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4.xml" ContentType="application/vnd.openxmlformats-officedocument.spreadsheetml.table+xml"/>
  <Override PartName="/xl/slicers/slicer1.xml" ContentType="application/vnd.ms-excel.slicer+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ЭтаКнига"/>
  <mc:AlternateContent xmlns:mc="http://schemas.openxmlformats.org/markup-compatibility/2006">
    <mc:Choice Requires="x15">
      <x15ac:absPath xmlns:x15ac="http://schemas.microsoft.com/office/spreadsheetml/2010/11/ac" url="C:\Users\marat\Desktop\SX_Однолинейка\odnolineyka\_Разработка\2026-10-04_v5\out\"/>
    </mc:Choice>
  </mc:AlternateContent>
  <xr:revisionPtr revIDLastSave="0" documentId="8_{F9A8389E-324E-4C14-A764-659919ADDAAD}" xr6:coauthVersionLast="47" xr6:coauthVersionMax="47" xr10:uidLastSave="{00000000-0000-0000-0000-000000000000}"/>
  <bookViews>
    <workbookView xWindow="4356" yWindow="3720" windowWidth="17280" windowHeight="9960" activeTab="4" xr2:uid="{6F064ABD-BBF2-4C61-AEC3-7F7A262BA80C}"/>
  </bookViews>
  <sheets>
    <sheet name="Гайд" sheetId="65" r:id="rId1"/>
    <sheet name="Проверка" sheetId="60" r:id="rId2"/>
    <sheet name="Объект" sheetId="52" r:id="rId3"/>
    <sheet name="Щиты" sheetId="54" r:id="rId4"/>
    <sheet name="Линии" sheetId="55" r:id="rId5"/>
    <sheet name="Коды" sheetId="53" r:id="rId6"/>
    <sheet name="Щит" sheetId="59" r:id="rId7"/>
    <sheet name="Кабельный_журнал" sheetId="58" r:id="rId8"/>
    <sheet name="Спецификация" sheetId="44" r:id="rId9"/>
    <sheet name="Бирки" sheetId="43" r:id="rId10"/>
    <sheet name="Изменения" sheetId="62" r:id="rId11"/>
    <sheet name="Наклейки" sheetId="63" r:id="rId12"/>
    <sheet name="Каталог" sheetId="42" r:id="rId13"/>
    <sheet name="Методика" sheetId="66" r:id="rId14"/>
    <sheet name="Таблицы_норм" sheetId="10" r:id="rId15"/>
    <sheet name="Режимы" sheetId="56" r:id="rId16"/>
    <sheet name="Расчёт_нагрузок" sheetId="57" r:id="rId17"/>
    <sheet name="Спецификация_авто" sheetId="16" state="hidden" r:id="rId18"/>
    <sheet name="Однолинейка" sheetId="40" state="hidden" r:id="rId19"/>
    <sheet name="Справочная_потребители" sheetId="19" state="hidden" r:id="rId20"/>
    <sheet name="_выдача" sheetId="61" state="hidden" r:id="rId21"/>
    <sheet name="_формулы" sheetId="64" state="veryHidden" r:id="rId22"/>
  </sheets>
  <functionGroups builtInGroupCount="19"/>
  <definedNames>
    <definedName name="_xlpm.a" hidden="1" xlm="1">#NAME?</definedName>
    <definedName name="_xlpm.a_" hidden="1" xlm="1">#NAME?</definedName>
    <definedName name="_xlpm.aa_" hidden="1" xlm="1">#NAME?</definedName>
    <definedName name="_xlpm.acc" hidden="1" xlm="1">#NAME?</definedName>
    <definedName name="_xlpm.ad" hidden="1" xlm="1">#NAME?</definedName>
    <definedName name="_xlpm.al" hidden="1" xlm="1">#NAME?</definedName>
    <definedName name="_xlpm.all" hidden="1" xlm="1">#NAME?</definedName>
    <definedName name="_xlpm.an" hidden="1" xlm="1">#NAME?</definedName>
    <definedName name="_xlpm.ap" hidden="1" xlm="1">#NAME?</definedName>
    <definedName name="_xlpm.aq" hidden="1" xlm="1">#NAME?</definedName>
    <definedName name="_xlpm.au" hidden="1" xlm="1">#NAME?</definedName>
    <definedName name="_xlpm.avr" hidden="1" xlm="1">#NAME?</definedName>
    <definedName name="_xlpm.ax" hidden="1" xlm="1">#NAME?</definedName>
    <definedName name="_xlpm.b" hidden="1" xlm="1">#NAME?</definedName>
    <definedName name="_xlpm.b_" hidden="1" xlm="1">#NAME?</definedName>
    <definedName name="_xlpm.b0" hidden="1" xlm="1">#NAME?</definedName>
    <definedName name="_xlpm.bb_" hidden="1" xlm="1">#NAME?</definedName>
    <definedName name="_xlpm.bc" hidden="1" xlm="1">#NAME?</definedName>
    <definedName name="_xlpm.bh" hidden="1" xlm="1">#NAME?</definedName>
    <definedName name="_xlpm.bk" hidden="1" xlm="1">#NAME?</definedName>
    <definedName name="_xlpm.bn" hidden="1" xlm="1">#NAME?</definedName>
    <definedName name="_xlpm.body" hidden="1" xlm="1">#NAME?</definedName>
    <definedName name="_xlpm.br" hidden="1" xlm="1">#NAME?</definedName>
    <definedName name="_xlpm.bt" hidden="1" xlm="1">#NAME?</definedName>
    <definedName name="_xlpm.byt" hidden="1" xlm="1">#NAME?</definedName>
    <definedName name="_xlpm.c" hidden="1" xlm="1">#NAME?</definedName>
    <definedName name="_xlpm.c_" hidden="1" xlm="1">#NAME?</definedName>
    <definedName name="_xlpm.c0" hidden="1" xlm="1">#NAME?</definedName>
    <definedName name="_xlpm.cats" hidden="1" xlm="1">#NAME?</definedName>
    <definedName name="_xlpm.cb" hidden="1" xlm="1">#NAME?</definedName>
    <definedName name="_xlpm.cbr" hidden="1" xlm="1">#NAME?</definedName>
    <definedName name="_xlpm.cc" hidden="1" xlm="1">#NAME?</definedName>
    <definedName name="_xlpm.cc_" hidden="1" xlm="1">#NAME?</definedName>
    <definedName name="_xlpm.cco" hidden="1" xlm="1">#NAME?</definedName>
    <definedName name="_xlpm.ch" hidden="1" xlm="1">#NAME?</definedName>
    <definedName name="_xlpm.CL" hidden="1" xlm="1">#NAME?</definedName>
    <definedName name="_xlpm.co" hidden="1" xlm="1">#NAME?</definedName>
    <definedName name="_xlpm.col" hidden="1" xlm="1">#NAME?</definedName>
    <definedName name="_xlpm.cq" hidden="1" xlm="1">#NAME?</definedName>
    <definedName name="_xlpm.cs" hidden="1" xlm="1">#NAME?</definedName>
    <definedName name="_xlpm.cs_" hidden="1" xlm="1">#NAME?</definedName>
    <definedName name="_xlpm.cse" hidden="1" xlm="1">#NAME?</definedName>
    <definedName name="_xlpm.cu" hidden="1" xlm="1">#NAME?</definedName>
    <definedName name="_xlpm.cur" hidden="1" xlm="1">#NAME?</definedName>
    <definedName name="_xlpm.cuu" hidden="1" xlm="1">#NAME?</definedName>
    <definedName name="_xlpm.d" hidden="1" xlm="1">#NAME?</definedName>
    <definedName name="_xlpm.dcx" hidden="1" xlm="1">#NAME?</definedName>
    <definedName name="_xlpm.dg_" hidden="1" xlm="1">#NAME?</definedName>
    <definedName name="_xlpm.dn" hidden="1" xlm="1">#NAME?</definedName>
    <definedName name="_xlpm.dpn" hidden="1" xlm="1">#NAME?</definedName>
    <definedName name="_xlpm.dpv" hidden="1" xlm="1">#NAME?</definedName>
    <definedName name="_xlpm.du_" hidden="1" xlm="1">#NAME?</definedName>
    <definedName name="_xlpm.ex" hidden="1" xlm="1">#NAME?</definedName>
    <definedName name="_xlpm.f" hidden="1" xlm="1">#NAME?</definedName>
    <definedName name="_xlpm.f_" hidden="1" xlm="1">#NAME?</definedName>
    <definedName name="_xlpm.fire" hidden="1" xlm="1">#NAME?</definedName>
    <definedName name="_xlpm.fl" hidden="1" xlm="1">#NAME?</definedName>
    <definedName name="_xlpm.fr" hidden="1" xlm="1">#NAME?</definedName>
    <definedName name="_xlpm.gd" hidden="1" xlm="1">#NAME?</definedName>
    <definedName name="_xlpm.gdn" hidden="1" xlm="1">#NAME?</definedName>
    <definedName name="_xlpm.gf" hidden="1" xlm="1">#NAME?</definedName>
    <definedName name="_xlpm.gk" hidden="1" xlm="1">#NAME?</definedName>
    <definedName name="_xlpm.gn" hidden="1" xlm="1">#NAME?</definedName>
    <definedName name="_xlpm.gp" hidden="1" xlm="1">#NAME?</definedName>
    <definedName name="_xlpm.gq" hidden="1" xlm="1">#NAME?</definedName>
    <definedName name="_xlpm.gs" hidden="1" xlm="1">#NAME?</definedName>
    <definedName name="_xlpm.gt" hidden="1" xlm="1">#NAME?</definedName>
    <definedName name="_xlpm.h" hidden="1" xlm="1">#NAME?</definedName>
    <definedName name="_xlpm.ha" hidden="1" xlm="1">#NAME?</definedName>
    <definedName name="_xlpm.hb" hidden="1" xlm="1">#NAME?</definedName>
    <definedName name="_xlpm.hd_a" hidden="1" xlm="1">#NAME?</definedName>
    <definedName name="_xlpm.hd_b" hidden="1" xlm="1">#NAME?</definedName>
    <definedName name="_xlpm.hn" hidden="1" xlm="1">#NAME?</definedName>
    <definedName name="_xlpm.hu" hidden="1" xlm="1">#NAME?</definedName>
    <definedName name="_xlpm.hx" hidden="1" xlm="1">#NAME?</definedName>
    <definedName name="_xlpm.ic" hidden="1" xlm="1">#NAME?</definedName>
    <definedName name="_xlpm.ids" hidden="1" xlm="1">#NAME?</definedName>
    <definedName name="_xlpm.ig" hidden="1" xlm="1">#NAME?</definedName>
    <definedName name="_xlpm.ii" hidden="1" xlm="1">#NAME?</definedName>
    <definedName name="_xlpm.inf" hidden="1" xlm="1">#NAME?</definedName>
    <definedName name="_xlpm.inn" hidden="1" xlm="1">#NAME?</definedName>
    <definedName name="_xlpm.inp" hidden="1" xlm="1">#NAME?</definedName>
    <definedName name="_xlpm.io" hidden="1" xlm="1">#NAME?</definedName>
    <definedName name="_xlpm.j" hidden="1" xlm="1">#NAME?</definedName>
    <definedName name="_xlpm.k" hidden="1" xlm="1">#NAME?</definedName>
    <definedName name="_xlpm.k_" hidden="1" xlm="1">#NAME?</definedName>
    <definedName name="_xlpm.kc" hidden="1" xlm="1">#NAME?</definedName>
    <definedName name="_xlpm.key" hidden="1" xlm="1">#NAME?</definedName>
    <definedName name="_xlpm.kinds" hidden="1" xlm="1">#NAME?</definedName>
    <definedName name="_xlpm.kk" hidden="1" xlm="1">#NAME?</definedName>
    <definedName name="_xlpm.ko" hidden="1" xlm="1">#NAME?</definedName>
    <definedName name="_xlpm.kz" hidden="1" xlm="1">#NAME?</definedName>
    <definedName name="_xlpm.l" hidden="1" xlm="1">#NAME?</definedName>
    <definedName name="_xlpm.L_" hidden="1" xlm="1">#NAME?</definedName>
    <definedName name="_xlpm.lc" hidden="1" xlm="1">#NAME?</definedName>
    <definedName name="_xlpm.ld" hidden="1" xlm="1">#NAME?</definedName>
    <definedName name="_xlpm.ln" hidden="1" xlm="1">#NAME?</definedName>
    <definedName name="_xlpm.lsum" hidden="1" xlm="1">#NAME?</definedName>
    <definedName name="_xlpm.m" hidden="1" xlm="1">#NAME?</definedName>
    <definedName name="_xlpm.m0" hidden="1" xlm="1">#NAME?</definedName>
    <definedName name="_xlpm.man" hidden="1" xlm="1">#NAME?</definedName>
    <definedName name="_xlpm.mask" hidden="1" xlm="1">#NAME?</definedName>
    <definedName name="_xlpm.mc" hidden="1" xlm="1">#NAME?</definedName>
    <definedName name="_xlpm.md" hidden="1" xlm="1">#NAME?</definedName>
    <definedName name="_xlpm.mk" hidden="1" xlm="1">#NAME?</definedName>
    <definedName name="_xlpm.mm" hidden="1" xlm="1">#NAME?</definedName>
    <definedName name="_xlpm.mn" hidden="1" xlm="1">#NAME?</definedName>
    <definedName name="_xlpm.mok" hidden="1" xlm="1">#NAME?</definedName>
    <definedName name="_xlpm.mr" hidden="1" xlm="1">#NAME?</definedName>
    <definedName name="_xlpm.mt" hidden="1" xlm="1">#NAME?</definedName>
    <definedName name="_xlpm.mv" hidden="1" xlm="1">#NAME?</definedName>
    <definedName name="_xlpm.mv_a" hidden="1" xlm="1">#NAME?</definedName>
    <definedName name="_xlpm.mv_b" hidden="1" xlm="1">#NAME?</definedName>
    <definedName name="_xlpm.n" hidden="1" xlm="1">#NAME?</definedName>
    <definedName name="_xlpm.n_1" hidden="1" xlm="1">#NAME?</definedName>
    <definedName name="_xlpm.n_2" hidden="1" xlm="1">#NAME?</definedName>
    <definedName name="_xlpm.n0" hidden="1" xlm="1">#NAME?</definedName>
    <definedName name="_xlpm.na" hidden="1" xlm="1">#NAME?</definedName>
    <definedName name="_xlpm.names" hidden="1" xlm="1">#NAME?</definedName>
    <definedName name="_xlpm.nb" hidden="1" xlm="1">#NAME?</definedName>
    <definedName name="_xlpm.nd" hidden="1" xlm="1">#NAME?</definedName>
    <definedName name="_xlpm.nf" hidden="1" xlm="1">#NAME?</definedName>
    <definedName name="_xlpm.nl_" hidden="1" xlm="1">#NAME?</definedName>
    <definedName name="_xlpm.nm" hidden="1" xlm="1">#NAME?</definedName>
    <definedName name="_xlpm.nn" hidden="1" xlm="1">#NAME?</definedName>
    <definedName name="_xlpm.nq" hidden="1" xlm="1">#NAME?</definedName>
    <definedName name="_xlpm.nx" hidden="1" xlm="1">#NAME?</definedName>
    <definedName name="_xlpm.o" hidden="1" xlm="1">#NAME?</definedName>
    <definedName name="_xlpm.ok" hidden="1" xlm="1">#NAME?</definedName>
    <definedName name="_xlpm.old" hidden="1" xlm="1">#NAME?</definedName>
    <definedName name="_xlpm.oo_" hidden="1" xlm="1">#NAME?</definedName>
    <definedName name="_xlpm.ord" hidden="1" xlm="1">#NAME?</definedName>
    <definedName name="_xlpm.otop" hidden="1" xlm="1">#NAME?</definedName>
    <definedName name="_xlpm.own" hidden="1" xlm="1">#NAME?</definedName>
    <definedName name="_xlpm.pall" hidden="1" xlm="1">#NAME?</definedName>
    <definedName name="_xlpm.pc" hidden="1" xlm="1">#NAME?</definedName>
    <definedName name="_xlpm.ph" hidden="1" xlm="1">#NAME?</definedName>
    <definedName name="_xlpm.pn" hidden="1" xlm="1">#NAME?</definedName>
    <definedName name="_xlpm.pos" hidden="1" xlm="1">#NAME?</definedName>
    <definedName name="_xlpm.post" hidden="1" xlm="1">#NAME?</definedName>
    <definedName name="_xlpm.pp_" hidden="1" xlm="1">#NAME?</definedName>
    <definedName name="_xlpm.pr" hidden="1" xlm="1">#NAME?</definedName>
    <definedName name="_xlpm.pr0" hidden="1" xlm="1">#NAME?</definedName>
    <definedName name="_xlpm.prev" hidden="1" xlm="1">#NAME?</definedName>
    <definedName name="_xlpm.prr_" hidden="1" xlm="1">#NAME?</definedName>
    <definedName name="_xlpm.pth" hidden="1" xlm="1">#NAME?</definedName>
    <definedName name="_xlpm.pv" hidden="1" xlm="1">#NAME?</definedName>
    <definedName name="_xlpm.pw" hidden="1" xlm="1">#NAME?</definedName>
    <definedName name="_xlpm.q" hidden="1" xlm="1">#NAME?</definedName>
    <definedName name="_xlpm.q0" hidden="1" xlm="1">#NAME?</definedName>
    <definedName name="_xlpm.qq_" hidden="1" xlm="1">#NAME?</definedName>
    <definedName name="_xlpm.qv_" hidden="1" xlm="1">#NAME?</definedName>
    <definedName name="_xlpm.r" hidden="1" xlm="1">#NAME?</definedName>
    <definedName name="_xlpm.r_" hidden="1" xlm="1">#NAME?</definedName>
    <definedName name="_xlpm.res" hidden="1" xlm="1">#NAME?</definedName>
    <definedName name="_xlpm.rho" hidden="1" xlm="1">#NAME?</definedName>
    <definedName name="_xlpm.rm" hidden="1" xlm="1">#NAME?</definedName>
    <definedName name="_xlpm.rows" hidden="1" xlm="1">#NAME?</definedName>
    <definedName name="_xlpm.rr" hidden="1" xlm="1">#NAME?</definedName>
    <definedName name="_xlpm.rw_a" hidden="1" xlm="1">#NAME?</definedName>
    <definedName name="_xlpm.rw_b" hidden="1" xlm="1">#NAME?</definedName>
    <definedName name="_xlpm.s" hidden="1" xlm="1">#NAME?</definedName>
    <definedName name="_xlpm.sa" hidden="1" xlm="1">#NAME?</definedName>
    <definedName name="_xlpm.se" hidden="1" xlm="1">#NAME?</definedName>
    <definedName name="_xlpm.sec_a" hidden="1" xlm="1">#NAME?</definedName>
    <definedName name="_xlpm.sec_b" hidden="1" xlm="1">#NAME?</definedName>
    <definedName name="_xlpm.sel" hidden="1" xlm="1">#NAME?</definedName>
    <definedName name="_xlpm.sg" hidden="1" xlm="1">#NAME?</definedName>
    <definedName name="_xlpm.sil" hidden="1" xlm="1">#NAME?</definedName>
    <definedName name="_xlpm.smin" hidden="1" xlm="1">#NAME?</definedName>
    <definedName name="_xlpm.SN" hidden="1" xlm="1">#NAME?</definedName>
    <definedName name="_xlpm.sr" hidden="1" xlm="1">#NAME?</definedName>
    <definedName name="_xlpm.src" hidden="1" xlm="1">#NAME?</definedName>
    <definedName name="_xlpm.srcs" hidden="1" xlm="1">#NAME?</definedName>
    <definedName name="_xlpm.ss_" hidden="1" xlm="1">#NAME?</definedName>
    <definedName name="_xlpm.sz" hidden="1" xlm="1">#NAME?</definedName>
    <definedName name="_xlpm.t" hidden="1" xlm="1">#NAME?</definedName>
    <definedName name="_xlpm.t_" hidden="1" xlm="1">#NAME?</definedName>
    <definedName name="_xlpm.tk" hidden="1" xlm="1">#NAME?</definedName>
    <definedName name="_xlpm.tp" hidden="1" xlm="1">#NAME?</definedName>
    <definedName name="_xlpm.tr" hidden="1" xlm="1">#NAME?</definedName>
    <definedName name="_xlpm.TX" hidden="1" xlm="1">#NAME?</definedName>
    <definedName name="_xlpm.TXT" hidden="1" xlm="1">#NAME?</definedName>
    <definedName name="_xlpm.u" hidden="1" xlm="1">#NAME?</definedName>
    <definedName name="_xlpm.u_" hidden="1" xlm="1">#NAME?</definedName>
    <definedName name="_xlpm.up" hidden="1" xlm="1">#NAME?</definedName>
    <definedName name="_xlpm.uu" hidden="1" xlm="1">#NAME?</definedName>
    <definedName name="_xlpm.v" hidden="1" xlm="1">#NAME?</definedName>
    <definedName name="_xlpm.v_" hidden="1" xlm="1">#NAME?</definedName>
    <definedName name="_xlpm.vng" hidden="1" xlm="1">#NAME?</definedName>
    <definedName name="_xlpm.vv_" hidden="1" xlm="1">#NAME?</definedName>
    <definedName name="_xlpm.w" hidden="1" xlm="1">#NAME?</definedName>
    <definedName name="_xlpm.w_" hidden="1" xlm="1">#NAME?</definedName>
    <definedName name="_xlpm.ww_" hidden="1" xlm="1">#NAME?</definedName>
    <definedName name="_xlpm.x" hidden="1" xlm="1">#NAME?</definedName>
    <definedName name="_xlpm.xx" hidden="1" xlm="1">#NAME?</definedName>
    <definedName name="_xlpm.ибп" hidden="1" xlm="1">#NAME?</definedName>
    <definedName name="_xlpm.кт" hidden="1" xlm="1">#NAME?</definedName>
    <definedName name="_xlpm.л1_" hidden="1" xlm="1">#NAME?</definedName>
    <definedName name="_xlpm.л2_" hidden="1" xlm="1">#NAME?</definedName>
    <definedName name="_xlpm.л3_" hidden="1" xlm="1">#NAME?</definedName>
    <definedName name="_xlpm.нг" hidden="1" xlm="1">#NAME?</definedName>
    <definedName name="_xlpm.п0" hidden="1" xlm="1">#NAME?</definedName>
    <definedName name="_xlpm.п1" hidden="1" xlm="1">#NAME?</definedName>
    <definedName name="_xlpm.п2" hidden="1" xlm="1">#NAME?</definedName>
    <definedName name="_xlpm.п3" hidden="1" xlm="1">#NAME?</definedName>
    <definedName name="_xlpm.п4" hidden="1" xlm="1">#NAME?</definedName>
    <definedName name="_xlpm.п5" hidden="1" xlm="1">#NAME?</definedName>
    <definedName name="_xlpm.п6" hidden="1" xlm="1">#NAME?</definedName>
    <definedName name="_xlpm.п7" hidden="1" xlm="1">#NAME?</definedName>
    <definedName name="_xlpm.РАСЧЁТ" hidden="1" xlm="1">#NAME?</definedName>
    <definedName name="_xlpm.рр" hidden="1" xlm="1">#NAME?</definedName>
    <definedName name="_xlpm.тр_" hidden="1" xlm="1">#NAME?</definedName>
    <definedName name="_xlpm.ф" hidden="1" xlm="1">#NAME?</definedName>
    <definedName name="_xlpm.ф1" hidden="1" xlm="1">#NAME?</definedName>
    <definedName name="_xlpm.ф2" hidden="1" xlm="1">#NAME?</definedName>
    <definedName name="_xlpm.ф3" hidden="1" xlm="1">#NAME?</definedName>
    <definedName name="_xlpm.фа" hidden="1" xlm="1">#NAME?</definedName>
    <definedName name="_xlpm.фб" hidden="1" xlm="1">#NAME?</definedName>
    <definedName name="_xlpm.фв" hidden="1" xlm="1">#NAME?</definedName>
    <definedName name="_xlpm.фз_" hidden="1" xlm="1">#NAME?</definedName>
    <definedName name="_xlpm.фс" hidden="1" xlm="1">#NAME?</definedName>
    <definedName name="_xlpm.щ" hidden="1" xlm="1">#NAME?</definedName>
    <definedName name="_xlpm.щит_" hidden="1" xlm="1">#NAME?</definedName>
    <definedName name="_xlnm._FilterDatabase" localSheetId="12" hidden="1">Каталог!$A$3:$P$500</definedName>
    <definedName name="_xlnm._FilterDatabase" localSheetId="18" hidden="1">Однолинейка!$A$2:$AD$1000</definedName>
    <definedName name="c_min">Объект!$C$7</definedName>
    <definedName name="dU_LED">Объект!$C$14</definedName>
    <definedName name="dU_пит">Таблицы_норм!$BQ$31</definedName>
    <definedName name="Iдоп_1ж">Таблицы_норм!$BY$4:$BY$18</definedName>
    <definedName name="Iдоп_2ж">Таблицы_норм!$BZ$4:$BZ$17</definedName>
    <definedName name="Iдоп_3ж">Таблицы_норм!$CA$4:$CA$17</definedName>
    <definedName name="Iдоп_S">Таблицы_норм!$BX$4:$BX$18</definedName>
    <definedName name="k_пк">Объект!$C$9</definedName>
    <definedName name="R_пер">Объект!$C$6</definedName>
    <definedName name="Uн_лин">Таблицы_норм!$BQ$29</definedName>
    <definedName name="ρкз_Al">Объект!$C$5</definedName>
    <definedName name="ρкз_Cu">Объект!$C$4</definedName>
    <definedName name="Автомат_номиналы">Таблицы_норм!$F$4:$G$23</definedName>
    <definedName name="Выдача_1">_выдача!$A$5:INDEX(_выдача!$A$5:$A$20004,MAX(1,Выдача_n))</definedName>
    <definedName name="Выдача_10">_выдача!$J$5:INDEX(_выдача!$J$5:$J$20004,MAX(1,Выдача_n))</definedName>
    <definedName name="Выдача_11">_выдача!$K$5:INDEX(_выдача!$K$5:$K$20004,MAX(1,Выдача_n))</definedName>
    <definedName name="Выдача_12">_выдача!$L$5:INDEX(_выдача!$L$5:$L$20004,MAX(1,Выдача_n))</definedName>
    <definedName name="Выдача_13">_выдача!$M$5:INDEX(_выдача!$M$5:$M$20004,MAX(1,Выдача_n))</definedName>
    <definedName name="Выдача_14">_выдача!$N$5:INDEX(_выдача!$N$5:$N$20004,MAX(1,Выдача_n))</definedName>
    <definedName name="Выдача_2">_выдача!$B$5:INDEX(_выдача!$B$5:$B$20004,MAX(1,Выдача_n))</definedName>
    <definedName name="Выдача_3">_выдача!$C$5:INDEX(_выдача!$C$5:$C$20004,MAX(1,Выдача_n))</definedName>
    <definedName name="Выдача_4">_выдача!$D$5:INDEX(_выдача!$D$5:$D$20004,MAX(1,Выдача_n))</definedName>
    <definedName name="Выдача_5">_выдача!$E$5:INDEX(_выдача!$E$5:$E$20004,MAX(1,Выдача_n))</definedName>
    <definedName name="Выдача_6">_выдача!$F$5:INDEX(_выдача!$F$5:$F$20004,MAX(1,Выдача_n))</definedName>
    <definedName name="Выдача_7">_выдача!$G$5:INDEX(_выдача!$G$5:$G$20004,MAX(1,Выдача_n))</definedName>
    <definedName name="Выдача_8">_выдача!$H$5:INDEX(_выдача!$H$5:$H$20004,MAX(1,Выдача_n))</definedName>
    <definedName name="Выдача_9">_выдача!$I$5:INDEX(_выдача!$I$5:$I$20004,MAX(1,Выдача_n))</definedName>
    <definedName name="Выдача_n">COUNTA(_выдача!$B$5:$B$20004)</definedName>
    <definedName name="Выдача_ключ">_выдача!$O$5:INDEX(_выдача!$O$5:$O$20004,MAX(1,Выдача_n))</definedName>
    <definedName name="гофра_пвх">Справочная_потребители!$Z$4:$AB$9</definedName>
    <definedName name="гофра_пнд">Справочная_потребители!$AD$4:$AF$9</definedName>
    <definedName name="Запас_БП">Объект!$C$13</definedName>
    <definedName name="Запас_кабеля">Кабельный_журнал!$L$1</definedName>
    <definedName name="ИБП_cos_вх">Объект!$C$24</definedName>
    <definedName name="ИБП_cos_вых">Объект!$C$18</definedName>
    <definedName name="ИБП_k">Объект!$C$22</definedName>
    <definedName name="ИБП_t">Объект!$C$19</definedName>
    <definedName name="ИБП_U">Объект!$C$20</definedName>
    <definedName name="ИБП_загрузка">Объект!$C$17</definedName>
    <definedName name="ИБП_заряд">Объект!$C$23</definedName>
    <definedName name="ИБП_КПД">Объект!$C$21</definedName>
    <definedName name="ИБП_ряд">Объект!$C$26:$N$26</definedName>
    <definedName name="Имя_пом">Объект!$C$11</definedName>
    <definedName name="Имя_режим">Объект!$C$10</definedName>
    <definedName name="К_прокл">Таблицы_норм!$BQ$30</definedName>
    <definedName name="Кабель_диаметр">Справочная_потребители!$T$4:$X$503</definedName>
    <definedName name="Кабель_номиналы">Таблицы_норм!$I$4:$J$19</definedName>
    <definedName name="Кабель_обозначение">Кабели[]</definedName>
    <definedName name="Кабель_сопротивление">Таблицы_норм!$B$4:$D$19</definedName>
    <definedName name="Категории_ПЗ">Таблицы_норм!$BT$4:$BT$33</definedName>
    <definedName name="Ко_сил">Таблицы_норм!$BQ$14</definedName>
    <definedName name="Коды_3L">Коды[3L клемм на линию]</definedName>
    <definedName name="Коды_апп">Коды[Аппараты]</definedName>
    <definedName name="Коды_вид">Коды[Вид нагрузки]</definedName>
    <definedName name="Коды_группа">Коды[Группа Кс]</definedName>
    <definedName name="Коды_имя">Коды[Наименование]</definedName>
    <definedName name="Коды_квт">Коды[кВт на шт]</definedName>
    <definedName name="Коды_код">Коды[Код]</definedName>
    <definedName name="Коды_мА">Коды[Дифзащита, мА (да = 30)]</definedName>
    <definedName name="Коды_минавт">Коды[Мин. автомат, А]</definedName>
    <definedName name="Коды_пожарная">Коды[Пожарная]</definedName>
    <definedName name="Коды_режим">Коды[1 - этаж/2 - шлейф]</definedName>
    <definedName name="Коды_уго">Коды[УГО]</definedName>
    <definedName name="Коды_упр">Коды[Управление]</definedName>
    <definedName name="Коды_утечка">Коды[Вид аппарата утечки]</definedName>
    <definedName name="Коды_хар">Коды[Характеристика (B/C/D)]</definedName>
    <definedName name="Кс_К">Таблицы_норм!$BQ$4:$BQ$11</definedName>
    <definedName name="Кс_Р">Таблицы_норм!$BP$4:$BP$11</definedName>
    <definedName name="Кс75_k">Объект!$G$3:$G$14</definedName>
    <definedName name="Кс75_n">Объект!$F$3:$F$14</definedName>
    <definedName name="Марка_пож">Объект!$C$12</definedName>
    <definedName name="Методика">Объект!$C$8</definedName>
    <definedName name="Мин_автомат_БП">Таблицы_норм!$BF$5</definedName>
    <definedName name="Модели_список">OFFSET(Каталог!$AB$3,0,0,1+MAX(Каталог!$AA$4:$AA$500),1)</definedName>
    <definedName name="Модули_спр">Каталог!$C$4:$F$500</definedName>
    <definedName name="Потребители_обозначение">Коды[[Код]:[Сечение]]</definedName>
    <definedName name="Спецификация">Спецификация!$B$3:$J$400</definedName>
    <definedName name="Список_автоматов">OFFSET(Каталог!$X$3,0,0,1+MAX(Каталог!$W$4:$W$500),1)</definedName>
    <definedName name="Список_аппаратов">OFFSET(Каталог!$Z$4,0,0,MAX(1,MAX(Каталог!$Y$4:$Y$500)),1)</definedName>
    <definedName name="Список_марок">Кабели[Обозначение]</definedName>
    <definedName name="Список_модулей">OFFSET(Каталог!$AB$3,0,0,1+MAX(Каталог!$AA$4:$AA$500),1)</definedName>
    <definedName name="Список_произв">OFFSET(Каталог!$AD$3,0,0,1+MAX(Каталог!$AC$4:$AC$500),1)</definedName>
    <definedName name="Список_щитов">Щиты[Щит]</definedName>
    <definedName name="Справочная_двигатели">Справочная_потребители!$B$4:$K$37</definedName>
    <definedName name="Справочная_ЛЭД">Справочная_потребители!$M$4:$O$19</definedName>
    <definedName name="Справочная_ПТО">Таблицы_норм!$AJ$4:$AK$200</definedName>
    <definedName name="Срез_Щит">#N/A</definedName>
    <definedName name="Столбцов_на_лист">Таблицы_норм!$BF$4</definedName>
    <definedName name="УГО_блоки">Таблицы_норм!$BA$4:$BC$30</definedName>
    <definedName name="Управление_цвета">Таблицы_норм!$AQ$4:$AS$10</definedName>
    <definedName name="Щит_спец">Спецификация!$L$1</definedName>
    <definedName name="Этаж_обозначение">Этажи[]</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5" i="62" l="1" a="1"/>
  <c r="B5" i="62" s="1"/>
  <c r="J5" i="62" s="1" a="1"/>
  <c r="J5" i="62" s="1"/>
  <c r="E2" i="62" a="1"/>
  <c r="E2" i="62" s="1"/>
  <c r="C2" i="62" a="1"/>
  <c r="C2" i="62" s="1"/>
  <c r="U4" i="42"/>
  <c r="U5" i="42"/>
  <c r="U6" i="42"/>
  <c r="U7" i="42"/>
  <c r="U8" i="42"/>
  <c r="U9" i="42"/>
  <c r="U10" i="42"/>
  <c r="V10" i="42" s="1"/>
  <c r="U11" i="42"/>
  <c r="V11" i="42" s="1"/>
  <c r="U12" i="42"/>
  <c r="U13" i="42"/>
  <c r="U14" i="42"/>
  <c r="U15" i="42"/>
  <c r="V15" i="42" s="1"/>
  <c r="U16" i="42"/>
  <c r="U17" i="42"/>
  <c r="U18" i="42"/>
  <c r="U19" i="42"/>
  <c r="U20" i="42"/>
  <c r="U21" i="42"/>
  <c r="U22" i="42"/>
  <c r="U23" i="42"/>
  <c r="U24" i="42"/>
  <c r="U25" i="42"/>
  <c r="U26" i="42"/>
  <c r="V26" i="42" s="1"/>
  <c r="U27" i="42"/>
  <c r="U28" i="42"/>
  <c r="U29" i="42"/>
  <c r="U30" i="42"/>
  <c r="U31" i="42"/>
  <c r="U32" i="42"/>
  <c r="U33" i="42"/>
  <c r="U34" i="42"/>
  <c r="U35" i="42"/>
  <c r="U36" i="42"/>
  <c r="U37" i="42"/>
  <c r="U38" i="42"/>
  <c r="U39" i="42"/>
  <c r="U40" i="42"/>
  <c r="U41" i="42"/>
  <c r="U42" i="42"/>
  <c r="U43" i="42"/>
  <c r="U44" i="42"/>
  <c r="U45" i="42"/>
  <c r="V45" i="42" s="1"/>
  <c r="U46" i="42"/>
  <c r="U47" i="42"/>
  <c r="U48" i="42"/>
  <c r="U49" i="42"/>
  <c r="U50" i="42"/>
  <c r="U51" i="42"/>
  <c r="U52" i="42"/>
  <c r="U53" i="42"/>
  <c r="U54" i="42"/>
  <c r="U55" i="42"/>
  <c r="U56" i="42"/>
  <c r="U57" i="42"/>
  <c r="U58" i="42"/>
  <c r="V58" i="42" s="1"/>
  <c r="U59" i="42"/>
  <c r="V59" i="42" s="1"/>
  <c r="U60" i="42"/>
  <c r="U61" i="42"/>
  <c r="U62" i="42"/>
  <c r="V62" i="42" s="1"/>
  <c r="U63" i="42"/>
  <c r="V63" i="42" s="1"/>
  <c r="U64" i="42"/>
  <c r="U65" i="42"/>
  <c r="U66" i="42"/>
  <c r="U67" i="42"/>
  <c r="U68" i="42"/>
  <c r="U69" i="42"/>
  <c r="U70" i="42"/>
  <c r="U71" i="42"/>
  <c r="U72" i="42"/>
  <c r="U73" i="42"/>
  <c r="U74" i="42"/>
  <c r="U75" i="42"/>
  <c r="V75" i="42" s="1"/>
  <c r="U76" i="42"/>
  <c r="U77" i="42"/>
  <c r="V77" i="42" s="1"/>
  <c r="U78" i="42"/>
  <c r="U79" i="42"/>
  <c r="U80" i="42"/>
  <c r="U81" i="42"/>
  <c r="U82" i="42"/>
  <c r="U83" i="42"/>
  <c r="U84" i="42"/>
  <c r="U85" i="42"/>
  <c r="U86" i="42"/>
  <c r="U87" i="42"/>
  <c r="U88" i="42"/>
  <c r="U89" i="42"/>
  <c r="U90" i="42"/>
  <c r="V90" i="42" s="1"/>
  <c r="U91" i="42"/>
  <c r="U92" i="42"/>
  <c r="U93" i="42"/>
  <c r="U94" i="42"/>
  <c r="U95" i="42"/>
  <c r="V95" i="42" s="1"/>
  <c r="U96" i="42"/>
  <c r="U97" i="42"/>
  <c r="U98" i="42"/>
  <c r="U99" i="42"/>
  <c r="U100" i="42"/>
  <c r="U101" i="42"/>
  <c r="U102" i="42"/>
  <c r="U103" i="42"/>
  <c r="U104" i="42"/>
  <c r="U105" i="42"/>
  <c r="U106" i="42"/>
  <c r="V106" i="42" s="1"/>
  <c r="U107" i="42"/>
  <c r="U108" i="42"/>
  <c r="U109" i="42"/>
  <c r="V109" i="42" s="1"/>
  <c r="U110" i="42"/>
  <c r="U111" i="42"/>
  <c r="U112" i="42"/>
  <c r="U113" i="42"/>
  <c r="U114" i="42"/>
  <c r="U115" i="42"/>
  <c r="U116" i="42"/>
  <c r="U117" i="42"/>
  <c r="U118" i="42"/>
  <c r="U119" i="42"/>
  <c r="U120" i="42"/>
  <c r="U121" i="42"/>
  <c r="U122" i="42"/>
  <c r="U123" i="42"/>
  <c r="U124" i="42"/>
  <c r="U125" i="42"/>
  <c r="U126" i="42"/>
  <c r="U127" i="42"/>
  <c r="U128" i="42"/>
  <c r="U129" i="42"/>
  <c r="U130" i="42"/>
  <c r="U131" i="42"/>
  <c r="U132" i="42"/>
  <c r="U133" i="42"/>
  <c r="U134" i="42"/>
  <c r="U135" i="42"/>
  <c r="U136" i="42"/>
  <c r="U137" i="42"/>
  <c r="U138" i="42"/>
  <c r="V138" i="42" s="1"/>
  <c r="U139" i="42"/>
  <c r="V139" i="42" s="1"/>
  <c r="U140" i="42"/>
  <c r="V140" i="42" s="1"/>
  <c r="U141" i="42"/>
  <c r="U142" i="42"/>
  <c r="V142" i="42" s="1"/>
  <c r="U143" i="42"/>
  <c r="U144" i="42"/>
  <c r="U145" i="42"/>
  <c r="U146" i="42"/>
  <c r="U147" i="42"/>
  <c r="U148" i="42"/>
  <c r="U149" i="42"/>
  <c r="U150" i="42"/>
  <c r="U151" i="42"/>
  <c r="U152" i="42"/>
  <c r="U153" i="42"/>
  <c r="U154" i="42"/>
  <c r="V154" i="42" s="1"/>
  <c r="U155" i="42"/>
  <c r="U156" i="42"/>
  <c r="U157" i="42"/>
  <c r="V157" i="42" s="1"/>
  <c r="U158" i="42"/>
  <c r="V158" i="42" s="1"/>
  <c r="U159" i="42"/>
  <c r="V159" i="42" s="1"/>
  <c r="U160" i="42"/>
  <c r="U161" i="42"/>
  <c r="U162" i="42"/>
  <c r="U163" i="42"/>
  <c r="U164" i="42"/>
  <c r="U165" i="42"/>
  <c r="U166" i="42"/>
  <c r="U167" i="42"/>
  <c r="U168" i="42"/>
  <c r="U169" i="42"/>
  <c r="U170" i="42"/>
  <c r="U171" i="42"/>
  <c r="U172" i="42"/>
  <c r="U173" i="42"/>
  <c r="U174" i="42"/>
  <c r="U175" i="42"/>
  <c r="U176" i="42"/>
  <c r="U177" i="42"/>
  <c r="U178" i="42"/>
  <c r="U179" i="42"/>
  <c r="U180" i="42"/>
  <c r="U181" i="42"/>
  <c r="U182" i="42"/>
  <c r="U183" i="42"/>
  <c r="U184" i="42"/>
  <c r="U185" i="42"/>
  <c r="U186" i="42"/>
  <c r="U187" i="42"/>
  <c r="V187" i="42" s="1"/>
  <c r="U188" i="42"/>
  <c r="U189" i="42"/>
  <c r="V189" i="42" s="1"/>
  <c r="U190" i="42"/>
  <c r="V190" i="42" s="1"/>
  <c r="U191" i="42"/>
  <c r="U192" i="42"/>
  <c r="U193" i="42"/>
  <c r="U194" i="42"/>
  <c r="U195" i="42"/>
  <c r="U196" i="42"/>
  <c r="U197" i="42"/>
  <c r="U198" i="42"/>
  <c r="U199" i="42"/>
  <c r="U200" i="42"/>
  <c r="U201" i="42"/>
  <c r="U202" i="42"/>
  <c r="U203" i="42"/>
  <c r="V203" i="42" s="1"/>
  <c r="U204" i="42"/>
  <c r="U205" i="42"/>
  <c r="U206" i="42"/>
  <c r="V206" i="42" s="1"/>
  <c r="U207" i="42"/>
  <c r="U208" i="42"/>
  <c r="U209" i="42"/>
  <c r="U210" i="42"/>
  <c r="U211" i="42"/>
  <c r="U212" i="42"/>
  <c r="U213" i="42"/>
  <c r="U214" i="42"/>
  <c r="U215" i="42"/>
  <c r="U216" i="42"/>
  <c r="U217" i="42"/>
  <c r="U218" i="42"/>
  <c r="V218" i="42" s="1"/>
  <c r="U219" i="42"/>
  <c r="V219" i="42" s="1"/>
  <c r="U220" i="42"/>
  <c r="V220" i="42" s="1"/>
  <c r="U221" i="42"/>
  <c r="V221" i="42" s="1"/>
  <c r="U222" i="42"/>
  <c r="U223" i="42"/>
  <c r="U224" i="42"/>
  <c r="U225" i="42"/>
  <c r="U226" i="42"/>
  <c r="U227" i="42"/>
  <c r="U228" i="42"/>
  <c r="U229" i="42"/>
  <c r="U230" i="42"/>
  <c r="U231" i="42"/>
  <c r="U232" i="42"/>
  <c r="U233" i="42"/>
  <c r="U234" i="42"/>
  <c r="V234" i="42" s="1"/>
  <c r="U235" i="42"/>
  <c r="U236" i="42"/>
  <c r="U237" i="42"/>
  <c r="U238" i="42"/>
  <c r="V238" i="42" s="1"/>
  <c r="U239" i="42"/>
  <c r="U240" i="42"/>
  <c r="U241" i="42"/>
  <c r="U242" i="42"/>
  <c r="U243" i="42"/>
  <c r="U244" i="42"/>
  <c r="U245" i="42"/>
  <c r="U246" i="42"/>
  <c r="U247" i="42"/>
  <c r="U248" i="42"/>
  <c r="U249" i="42"/>
  <c r="U250" i="42"/>
  <c r="U251" i="42"/>
  <c r="V251" i="42" s="1"/>
  <c r="U252" i="42"/>
  <c r="V252" i="42" s="1"/>
  <c r="U253" i="42"/>
  <c r="U254" i="42"/>
  <c r="U255" i="42"/>
  <c r="V255" i="42" s="1"/>
  <c r="U256" i="42"/>
  <c r="U257" i="42"/>
  <c r="U258" i="42"/>
  <c r="U259" i="42"/>
  <c r="U260" i="42"/>
  <c r="U261" i="42"/>
  <c r="U262" i="42"/>
  <c r="U263" i="42"/>
  <c r="U264" i="42"/>
  <c r="U265" i="42"/>
  <c r="U266" i="42"/>
  <c r="V266" i="42" s="1"/>
  <c r="U267" i="42"/>
  <c r="V267" i="42" s="1"/>
  <c r="U268" i="42"/>
  <c r="U269" i="42"/>
  <c r="V269" i="42" s="1"/>
  <c r="U270" i="42"/>
  <c r="V270" i="42" s="1"/>
  <c r="U271" i="42"/>
  <c r="V271" i="42" s="1"/>
  <c r="U272" i="42"/>
  <c r="U273" i="42"/>
  <c r="U274" i="42"/>
  <c r="U275" i="42"/>
  <c r="U276" i="42"/>
  <c r="U277" i="42"/>
  <c r="U278" i="42"/>
  <c r="U279" i="42"/>
  <c r="U280" i="42"/>
  <c r="U281" i="42"/>
  <c r="U282" i="42"/>
  <c r="V282" i="42" s="1"/>
  <c r="U283" i="42"/>
  <c r="V283" i="42" s="1"/>
  <c r="U284" i="42"/>
  <c r="U285" i="42"/>
  <c r="U286" i="42"/>
  <c r="U287" i="42"/>
  <c r="V287" i="42" s="1"/>
  <c r="U288" i="42"/>
  <c r="U289" i="42"/>
  <c r="U290" i="42"/>
  <c r="U291" i="42"/>
  <c r="U292" i="42"/>
  <c r="U293" i="42"/>
  <c r="U294" i="42"/>
  <c r="U295" i="42"/>
  <c r="U296" i="42"/>
  <c r="U297" i="42"/>
  <c r="U298" i="42"/>
  <c r="U299" i="42"/>
  <c r="V299" i="42" s="1"/>
  <c r="U300" i="42"/>
  <c r="V300" i="42" s="1"/>
  <c r="U301" i="42"/>
  <c r="U302" i="42"/>
  <c r="V302" i="42" s="1"/>
  <c r="U303" i="42"/>
  <c r="V303" i="42" s="1"/>
  <c r="U304" i="42"/>
  <c r="U305" i="42"/>
  <c r="U306" i="42"/>
  <c r="U307" i="42"/>
  <c r="U308" i="42"/>
  <c r="U309" i="42"/>
  <c r="U310" i="42"/>
  <c r="U311" i="42"/>
  <c r="U312" i="42"/>
  <c r="U313" i="42"/>
  <c r="U314" i="42"/>
  <c r="U315" i="42"/>
  <c r="U316" i="42"/>
  <c r="U317" i="42"/>
  <c r="U318" i="42"/>
  <c r="U319" i="42"/>
  <c r="V319" i="42" s="1"/>
  <c r="U320" i="42"/>
  <c r="U321" i="42"/>
  <c r="U322" i="42"/>
  <c r="U323" i="42"/>
  <c r="U324" i="42"/>
  <c r="U325" i="42"/>
  <c r="U326" i="42"/>
  <c r="U327" i="42"/>
  <c r="U328" i="42"/>
  <c r="U329" i="42"/>
  <c r="U330" i="42"/>
  <c r="U331" i="42"/>
  <c r="U332" i="42"/>
  <c r="U333" i="42"/>
  <c r="U334" i="42"/>
  <c r="U335" i="42"/>
  <c r="U336" i="42"/>
  <c r="U337" i="42"/>
  <c r="U338" i="42"/>
  <c r="U339" i="42"/>
  <c r="U340" i="42"/>
  <c r="U341" i="42"/>
  <c r="U342" i="42"/>
  <c r="U343" i="42"/>
  <c r="U344" i="42"/>
  <c r="U345" i="42"/>
  <c r="U346" i="42"/>
  <c r="U347" i="42"/>
  <c r="V347" i="42" s="1"/>
  <c r="U348" i="42"/>
  <c r="U349" i="42"/>
  <c r="V349" i="42" s="1"/>
  <c r="U350" i="42"/>
  <c r="U351" i="42"/>
  <c r="U352" i="42"/>
  <c r="U353" i="42"/>
  <c r="U354" i="42"/>
  <c r="U355" i="42"/>
  <c r="U356" i="42"/>
  <c r="U357" i="42"/>
  <c r="U358" i="42"/>
  <c r="U359" i="42"/>
  <c r="U360" i="42"/>
  <c r="U361" i="42"/>
  <c r="U362" i="42"/>
  <c r="V362" i="42" s="1"/>
  <c r="U363" i="42"/>
  <c r="V363" i="42" s="1"/>
  <c r="U364" i="42"/>
  <c r="U365" i="42"/>
  <c r="U366" i="42"/>
  <c r="U367" i="42"/>
  <c r="U368" i="42"/>
  <c r="U369" i="42"/>
  <c r="U370" i="42"/>
  <c r="U371" i="42"/>
  <c r="U372" i="42"/>
  <c r="U373" i="42"/>
  <c r="U374" i="42"/>
  <c r="U375" i="42"/>
  <c r="U376" i="42"/>
  <c r="U377" i="42"/>
  <c r="U378" i="42"/>
  <c r="V378" i="42" s="1"/>
  <c r="U379" i="42"/>
  <c r="V379" i="42" s="1"/>
  <c r="U380" i="42"/>
  <c r="V380" i="42" s="1"/>
  <c r="U381" i="42"/>
  <c r="U382" i="42"/>
  <c r="U383" i="42"/>
  <c r="V383" i="42" s="1"/>
  <c r="U384" i="42"/>
  <c r="U385" i="42"/>
  <c r="U386" i="42"/>
  <c r="U387" i="42"/>
  <c r="U388" i="42"/>
  <c r="U389" i="42"/>
  <c r="U390" i="42"/>
  <c r="U391" i="42"/>
  <c r="U392" i="42"/>
  <c r="U393" i="42"/>
  <c r="U394" i="42"/>
  <c r="U395" i="42"/>
  <c r="V395" i="42" s="1"/>
  <c r="U396" i="42"/>
  <c r="V396" i="42" s="1"/>
  <c r="U397" i="42"/>
  <c r="V397" i="42" s="1"/>
  <c r="U398" i="42"/>
  <c r="U399" i="42"/>
  <c r="V399" i="42" s="1"/>
  <c r="U400" i="42"/>
  <c r="U401" i="42"/>
  <c r="U402" i="42"/>
  <c r="U403" i="42"/>
  <c r="U404" i="42"/>
  <c r="U405" i="42"/>
  <c r="U406" i="42"/>
  <c r="U407" i="42"/>
  <c r="U408" i="42"/>
  <c r="U409" i="42"/>
  <c r="U410" i="42"/>
  <c r="V410" i="42" s="1"/>
  <c r="U411" i="42"/>
  <c r="V411" i="42" s="1"/>
  <c r="U412" i="42"/>
  <c r="U413" i="42"/>
  <c r="U414" i="42"/>
  <c r="V414" i="42" s="1"/>
  <c r="U415" i="42"/>
  <c r="U416" i="42"/>
  <c r="U417" i="42"/>
  <c r="U418" i="42"/>
  <c r="U419" i="42"/>
  <c r="U420" i="42"/>
  <c r="U421" i="42"/>
  <c r="U422" i="42"/>
  <c r="U423" i="42"/>
  <c r="U424" i="42"/>
  <c r="U425" i="42"/>
  <c r="U426" i="42"/>
  <c r="U427" i="42"/>
  <c r="V427" i="42" s="1"/>
  <c r="U428" i="42"/>
  <c r="U429" i="42"/>
  <c r="U430" i="42"/>
  <c r="V430" i="42" s="1"/>
  <c r="U431" i="42"/>
  <c r="V431" i="42" s="1"/>
  <c r="U432" i="42"/>
  <c r="U433" i="42"/>
  <c r="U434" i="42"/>
  <c r="U435" i="42"/>
  <c r="U436" i="42"/>
  <c r="U437" i="42"/>
  <c r="U438" i="42"/>
  <c r="U439" i="42"/>
  <c r="U440" i="42"/>
  <c r="U441" i="42"/>
  <c r="U442" i="42"/>
  <c r="U443" i="42"/>
  <c r="V443" i="42" s="1"/>
  <c r="U444" i="42"/>
  <c r="V444" i="42" s="1"/>
  <c r="U445" i="42"/>
  <c r="U446" i="42"/>
  <c r="U447" i="42"/>
  <c r="V447" i="42" s="1"/>
  <c r="U448" i="42"/>
  <c r="U449" i="42"/>
  <c r="U450" i="42"/>
  <c r="U451" i="42"/>
  <c r="U452" i="42"/>
  <c r="U453" i="42"/>
  <c r="U454" i="42"/>
  <c r="U455" i="42"/>
  <c r="U456" i="42"/>
  <c r="U457" i="42"/>
  <c r="U458" i="42"/>
  <c r="V458" i="42" s="1"/>
  <c r="U459" i="42"/>
  <c r="V459" i="42" s="1"/>
  <c r="U460" i="42"/>
  <c r="V460" i="42" s="1"/>
  <c r="U461" i="42"/>
  <c r="V461" i="42" s="1"/>
  <c r="U462" i="42"/>
  <c r="U463" i="42"/>
  <c r="U464" i="42"/>
  <c r="U465" i="42"/>
  <c r="U466" i="42"/>
  <c r="U467" i="42"/>
  <c r="U468" i="42"/>
  <c r="U469" i="42"/>
  <c r="U470" i="42"/>
  <c r="U471" i="42"/>
  <c r="U472" i="42"/>
  <c r="U473" i="42"/>
  <c r="U474" i="42"/>
  <c r="U475" i="42"/>
  <c r="V475" i="42" s="1"/>
  <c r="U476" i="42"/>
  <c r="U477" i="42"/>
  <c r="V477" i="42" s="1"/>
  <c r="U478" i="42"/>
  <c r="V478" i="42" s="1"/>
  <c r="U479" i="42"/>
  <c r="U480" i="42"/>
  <c r="U481" i="42"/>
  <c r="U482" i="42"/>
  <c r="U483" i="42"/>
  <c r="U484" i="42"/>
  <c r="U485" i="42"/>
  <c r="U486" i="42"/>
  <c r="U487" i="42"/>
  <c r="U488" i="42"/>
  <c r="U489" i="42"/>
  <c r="U490" i="42"/>
  <c r="U491" i="42"/>
  <c r="U492" i="42"/>
  <c r="V492" i="42" s="1"/>
  <c r="U493" i="42"/>
  <c r="U494" i="42"/>
  <c r="U495" i="42"/>
  <c r="V495" i="42" s="1"/>
  <c r="U496" i="42"/>
  <c r="U497" i="42"/>
  <c r="U498" i="42"/>
  <c r="U499" i="42"/>
  <c r="U500" i="42"/>
  <c r="N35" i="42"/>
  <c r="N36" i="42"/>
  <c r="N37" i="42"/>
  <c r="N38" i="42"/>
  <c r="N39" i="42"/>
  <c r="N40" i="42"/>
  <c r="P40" i="42" s="1"/>
  <c r="AE40" i="42" s="1"/>
  <c r="AF40" i="42" s="1"/>
  <c r="N41" i="42"/>
  <c r="P41" i="42" s="1"/>
  <c r="AE41" i="42" s="1"/>
  <c r="AF41" i="42" s="1"/>
  <c r="N42" i="42"/>
  <c r="P42" i="42" s="1"/>
  <c r="AE42" i="42" s="1"/>
  <c r="AF42" i="42" s="1"/>
  <c r="N43" i="42"/>
  <c r="P43" i="42" s="1"/>
  <c r="AE43" i="42" s="1"/>
  <c r="AF43" i="42" s="1"/>
  <c r="N44" i="42"/>
  <c r="P44" i="42" s="1"/>
  <c r="AE44" i="42" s="1"/>
  <c r="AF44" i="42" s="1"/>
  <c r="N45" i="42"/>
  <c r="P45" i="42" s="1"/>
  <c r="AE45" i="42" s="1"/>
  <c r="AF45" i="42" s="1"/>
  <c r="N46" i="42"/>
  <c r="P46" i="42" s="1"/>
  <c r="AE46" i="42" s="1"/>
  <c r="AF46" i="42" s="1"/>
  <c r="N47" i="42"/>
  <c r="N48" i="42"/>
  <c r="N49" i="42"/>
  <c r="P49" i="42" s="1"/>
  <c r="AE49" i="42" s="1"/>
  <c r="AF49" i="42" s="1"/>
  <c r="N50" i="42"/>
  <c r="N51" i="42"/>
  <c r="N52" i="42"/>
  <c r="N53" i="42"/>
  <c r="N54" i="42"/>
  <c r="N55" i="42"/>
  <c r="N56" i="42"/>
  <c r="N57" i="42"/>
  <c r="N58" i="42"/>
  <c r="P58" i="42" s="1"/>
  <c r="AE58" i="42" s="1"/>
  <c r="AF58" i="42" s="1"/>
  <c r="N59" i="42"/>
  <c r="P59" i="42" s="1"/>
  <c r="AE59" i="42" s="1"/>
  <c r="AF59" i="42" s="1"/>
  <c r="N60" i="42"/>
  <c r="N61" i="42"/>
  <c r="P61" i="42" s="1"/>
  <c r="AE61" i="42" s="1"/>
  <c r="AF61" i="42" s="1"/>
  <c r="N62" i="42"/>
  <c r="P62" i="42" s="1"/>
  <c r="AE62" i="42" s="1"/>
  <c r="AF62" i="42" s="1"/>
  <c r="N63" i="42"/>
  <c r="N64" i="42"/>
  <c r="N65" i="42"/>
  <c r="N66" i="42"/>
  <c r="N67" i="42"/>
  <c r="N68" i="42"/>
  <c r="N69" i="42"/>
  <c r="N70" i="42"/>
  <c r="N71" i="42"/>
  <c r="N72" i="42"/>
  <c r="N73" i="42"/>
  <c r="P73" i="42" s="1"/>
  <c r="AE73" i="42" s="1"/>
  <c r="AF73" i="42" s="1"/>
  <c r="N74" i="42"/>
  <c r="N75" i="42"/>
  <c r="P75" i="42" s="1"/>
  <c r="AE75" i="42" s="1"/>
  <c r="AF75" i="42" s="1"/>
  <c r="N76" i="42"/>
  <c r="P76" i="42" s="1"/>
  <c r="AE76" i="42" s="1"/>
  <c r="AF76" i="42" s="1"/>
  <c r="N77" i="42"/>
  <c r="P77" i="42" s="1"/>
  <c r="AE77" i="42" s="1"/>
  <c r="AF77" i="42" s="1"/>
  <c r="N78" i="42"/>
  <c r="N79" i="42"/>
  <c r="N80" i="42"/>
  <c r="N81" i="42"/>
  <c r="N82" i="42"/>
  <c r="N83" i="42"/>
  <c r="N84" i="42"/>
  <c r="N85" i="42"/>
  <c r="N86" i="42"/>
  <c r="N87" i="42"/>
  <c r="P87" i="42" s="1"/>
  <c r="AE87" i="42" s="1"/>
  <c r="AF87" i="42" s="1"/>
  <c r="N88" i="42"/>
  <c r="N89" i="42"/>
  <c r="N90" i="42"/>
  <c r="P90" i="42" s="1"/>
  <c r="AE90" i="42" s="1"/>
  <c r="AF90" i="42" s="1"/>
  <c r="N91" i="42"/>
  <c r="P91" i="42" s="1"/>
  <c r="AE91" i="42" s="1"/>
  <c r="AF91" i="42" s="1"/>
  <c r="N92" i="42"/>
  <c r="P92" i="42" s="1"/>
  <c r="AE92" i="42" s="1"/>
  <c r="AF92" i="42" s="1"/>
  <c r="N93" i="42"/>
  <c r="P93" i="42" s="1"/>
  <c r="AE93" i="42" s="1"/>
  <c r="AF93" i="42" s="1"/>
  <c r="N94" i="42"/>
  <c r="P94" i="42" s="1"/>
  <c r="AE94" i="42" s="1"/>
  <c r="AF94" i="42" s="1"/>
  <c r="N95" i="42"/>
  <c r="N96" i="42"/>
  <c r="N97" i="42"/>
  <c r="N98" i="42"/>
  <c r="N99" i="42"/>
  <c r="N100" i="42"/>
  <c r="N101" i="42"/>
  <c r="N102" i="42"/>
  <c r="N103" i="42"/>
  <c r="N104" i="42"/>
  <c r="N105" i="42"/>
  <c r="P105" i="42" s="1"/>
  <c r="AE105" i="42" s="1"/>
  <c r="AF105" i="42" s="1"/>
  <c r="N106" i="42"/>
  <c r="P106" i="42" s="1"/>
  <c r="AE106" i="42" s="1"/>
  <c r="AF106" i="42" s="1"/>
  <c r="N107" i="42"/>
  <c r="N108" i="42"/>
  <c r="P108" i="42" s="1"/>
  <c r="AE108" i="42" s="1"/>
  <c r="AF108" i="42" s="1"/>
  <c r="N109" i="42"/>
  <c r="P109" i="42" s="1"/>
  <c r="AE109" i="42" s="1"/>
  <c r="AF109" i="42" s="1"/>
  <c r="N110" i="42"/>
  <c r="P110" i="42" s="1"/>
  <c r="AE110" i="42" s="1"/>
  <c r="AF110" i="42" s="1"/>
  <c r="N111" i="42"/>
  <c r="N112" i="42"/>
  <c r="N113" i="42"/>
  <c r="P113" i="42" s="1"/>
  <c r="AE113" i="42" s="1"/>
  <c r="AF113" i="42" s="1"/>
  <c r="N114" i="42"/>
  <c r="N115" i="42"/>
  <c r="N116" i="42"/>
  <c r="N117" i="42"/>
  <c r="N118" i="42"/>
  <c r="N119" i="42"/>
  <c r="N120" i="42"/>
  <c r="P120" i="42" s="1"/>
  <c r="AE120" i="42" s="1"/>
  <c r="AF120" i="42" s="1"/>
  <c r="N121" i="42"/>
  <c r="N122" i="42"/>
  <c r="N123" i="42"/>
  <c r="P123" i="42" s="1"/>
  <c r="AE123" i="42" s="1"/>
  <c r="AF123" i="42" s="1"/>
  <c r="N124" i="42"/>
  <c r="P124" i="42" s="1"/>
  <c r="AE124" i="42" s="1"/>
  <c r="AF124" i="42" s="1"/>
  <c r="N125" i="42"/>
  <c r="P125" i="42" s="1"/>
  <c r="AE125" i="42" s="1"/>
  <c r="AF125" i="42" s="1"/>
  <c r="N126" i="42"/>
  <c r="N127" i="42"/>
  <c r="N128" i="42"/>
  <c r="N129" i="42"/>
  <c r="N130" i="42"/>
  <c r="N131" i="42"/>
  <c r="N132" i="42"/>
  <c r="N133" i="42"/>
  <c r="N134" i="42"/>
  <c r="N135" i="42"/>
  <c r="P135" i="42" s="1"/>
  <c r="AE135" i="42" s="1"/>
  <c r="AF135" i="42" s="1"/>
  <c r="N136" i="42"/>
  <c r="N137" i="42"/>
  <c r="N138" i="42"/>
  <c r="P138" i="42" s="1"/>
  <c r="AE138" i="42" s="1"/>
  <c r="AF138" i="42" s="1"/>
  <c r="N139" i="42"/>
  <c r="P139" i="42" s="1"/>
  <c r="AE139" i="42" s="1"/>
  <c r="AF139" i="42" s="1"/>
  <c r="N140" i="42"/>
  <c r="P140" i="42" s="1"/>
  <c r="AE140" i="42" s="1"/>
  <c r="AF140" i="42" s="1"/>
  <c r="N141" i="42"/>
  <c r="P141" i="42" s="1"/>
  <c r="AE141" i="42" s="1"/>
  <c r="AF141" i="42" s="1"/>
  <c r="N142" i="42"/>
  <c r="P142" i="42" s="1"/>
  <c r="AE142" i="42" s="1"/>
  <c r="AF142" i="42" s="1"/>
  <c r="N143" i="42"/>
  <c r="N144" i="42"/>
  <c r="N145" i="42"/>
  <c r="N146" i="42"/>
  <c r="N147" i="42"/>
  <c r="N148" i="42"/>
  <c r="N149" i="42"/>
  <c r="N150" i="42"/>
  <c r="N151" i="42"/>
  <c r="N152" i="42"/>
  <c r="N153" i="42"/>
  <c r="P153" i="42" s="1"/>
  <c r="AE153" i="42" s="1"/>
  <c r="AF153" i="42" s="1"/>
  <c r="N154" i="42"/>
  <c r="P154" i="42" s="1"/>
  <c r="AE154" i="42" s="1"/>
  <c r="AF154" i="42" s="1"/>
  <c r="N155" i="42"/>
  <c r="N156" i="42"/>
  <c r="P156" i="42" s="1"/>
  <c r="AE156" i="42" s="1"/>
  <c r="AF156" i="42" s="1"/>
  <c r="N157" i="42"/>
  <c r="P157" i="42" s="1"/>
  <c r="AE157" i="42" s="1"/>
  <c r="AF157" i="42" s="1"/>
  <c r="N158" i="42"/>
  <c r="P158" i="42" s="1"/>
  <c r="AE158" i="42" s="1"/>
  <c r="AF158" i="42" s="1"/>
  <c r="N159" i="42"/>
  <c r="N160" i="42"/>
  <c r="N161" i="42"/>
  <c r="P161" i="42" s="1"/>
  <c r="AE161" i="42" s="1"/>
  <c r="AF161" i="42" s="1"/>
  <c r="N162" i="42"/>
  <c r="N163" i="42"/>
  <c r="N164" i="42"/>
  <c r="N165" i="42"/>
  <c r="N166" i="42"/>
  <c r="N167" i="42"/>
  <c r="P167" i="42" s="1"/>
  <c r="AE167" i="42" s="1"/>
  <c r="AF167" i="42" s="1"/>
  <c r="N168" i="42"/>
  <c r="N169" i="42"/>
  <c r="N170" i="42"/>
  <c r="P170" i="42" s="1"/>
  <c r="AE170" i="42" s="1"/>
  <c r="AF170" i="42" s="1"/>
  <c r="N171" i="42"/>
  <c r="P171" i="42" s="1"/>
  <c r="AE171" i="42" s="1"/>
  <c r="AF171" i="42" s="1"/>
  <c r="N172" i="42"/>
  <c r="P172" i="42" s="1"/>
  <c r="AE172" i="42" s="1"/>
  <c r="AF172" i="42" s="1"/>
  <c r="N173" i="42"/>
  <c r="P173" i="42" s="1"/>
  <c r="AE173" i="42" s="1"/>
  <c r="AF173" i="42" s="1"/>
  <c r="N174" i="42"/>
  <c r="P174" i="42" s="1"/>
  <c r="AE174" i="42" s="1"/>
  <c r="AF174" i="42" s="1"/>
  <c r="N175" i="42"/>
  <c r="N176" i="42"/>
  <c r="N177" i="42"/>
  <c r="N178" i="42"/>
  <c r="N179" i="42"/>
  <c r="N180" i="42"/>
  <c r="N181" i="42"/>
  <c r="N182" i="42"/>
  <c r="N183" i="42"/>
  <c r="N184" i="42"/>
  <c r="N185" i="42"/>
  <c r="P185" i="42" s="1"/>
  <c r="AE185" i="42" s="1"/>
  <c r="AF185" i="42" s="1"/>
  <c r="N186" i="42"/>
  <c r="P186" i="42" s="1"/>
  <c r="AE186" i="42" s="1"/>
  <c r="AF186" i="42" s="1"/>
  <c r="N187" i="42"/>
  <c r="N188" i="42"/>
  <c r="P188" i="42" s="1"/>
  <c r="AE188" i="42" s="1"/>
  <c r="AF188" i="42" s="1"/>
  <c r="N189" i="42"/>
  <c r="P189" i="42" s="1"/>
  <c r="AE189" i="42" s="1"/>
  <c r="AF189" i="42" s="1"/>
  <c r="N190" i="42"/>
  <c r="P190" i="42" s="1"/>
  <c r="AE190" i="42" s="1"/>
  <c r="AF190" i="42" s="1"/>
  <c r="N191" i="42"/>
  <c r="N192" i="42"/>
  <c r="N193" i="42"/>
  <c r="P193" i="42" s="1"/>
  <c r="AE193" i="42" s="1"/>
  <c r="AF193" i="42" s="1"/>
  <c r="N194" i="42"/>
  <c r="N195" i="42"/>
  <c r="N196" i="42"/>
  <c r="N197" i="42"/>
  <c r="N198" i="42"/>
  <c r="N199" i="42"/>
  <c r="N200" i="42"/>
  <c r="P200" i="42" s="1"/>
  <c r="AE200" i="42" s="1"/>
  <c r="AF200" i="42" s="1"/>
  <c r="N201" i="42"/>
  <c r="N202" i="42"/>
  <c r="P202" i="42" s="1"/>
  <c r="AE202" i="42" s="1"/>
  <c r="AF202" i="42" s="1"/>
  <c r="N203" i="42"/>
  <c r="P203" i="42" s="1"/>
  <c r="AE203" i="42" s="1"/>
  <c r="AF203" i="42" s="1"/>
  <c r="N204" i="42"/>
  <c r="P204" i="42" s="1"/>
  <c r="AE204" i="42" s="1"/>
  <c r="AF204" i="42" s="1"/>
  <c r="N205" i="42"/>
  <c r="P205" i="42" s="1"/>
  <c r="AE205" i="42" s="1"/>
  <c r="AF205" i="42" s="1"/>
  <c r="N206" i="42"/>
  <c r="N207" i="42"/>
  <c r="N208" i="42"/>
  <c r="N209" i="42"/>
  <c r="N210" i="42"/>
  <c r="N211" i="42"/>
  <c r="N212" i="42"/>
  <c r="N213" i="42"/>
  <c r="N214" i="42"/>
  <c r="N215" i="42"/>
  <c r="N216" i="42"/>
  <c r="P216" i="42" s="1"/>
  <c r="AE216" i="42" s="1"/>
  <c r="AF216" i="42" s="1"/>
  <c r="N217" i="42"/>
  <c r="P217" i="42" s="1"/>
  <c r="AE217" i="42" s="1"/>
  <c r="AF217" i="42" s="1"/>
  <c r="N218" i="42"/>
  <c r="N219" i="42"/>
  <c r="P219" i="42" s="1"/>
  <c r="AE219" i="42" s="1"/>
  <c r="AF219" i="42" s="1"/>
  <c r="N220" i="42"/>
  <c r="P220" i="42" s="1"/>
  <c r="AE220" i="42" s="1"/>
  <c r="AF220" i="42" s="1"/>
  <c r="N221" i="42"/>
  <c r="P221" i="42" s="1"/>
  <c r="AE221" i="42" s="1"/>
  <c r="AF221" i="42" s="1"/>
  <c r="N222" i="42"/>
  <c r="P222" i="42" s="1"/>
  <c r="AE222" i="42" s="1"/>
  <c r="AF222" i="42" s="1"/>
  <c r="N223" i="42"/>
  <c r="N224" i="42"/>
  <c r="N225" i="42"/>
  <c r="N226" i="42"/>
  <c r="N227" i="42"/>
  <c r="N228" i="42"/>
  <c r="N229" i="42"/>
  <c r="N230" i="42"/>
  <c r="N231" i="42"/>
  <c r="N232" i="42"/>
  <c r="N233" i="42"/>
  <c r="N234" i="42"/>
  <c r="P234" i="42" s="1"/>
  <c r="AE234" i="42" s="1"/>
  <c r="AF234" i="42" s="1"/>
  <c r="N235" i="42"/>
  <c r="P235" i="42" s="1"/>
  <c r="AE235" i="42" s="1"/>
  <c r="AF235" i="42" s="1"/>
  <c r="N236" i="42"/>
  <c r="N237" i="42"/>
  <c r="P237" i="42" s="1"/>
  <c r="AE237" i="42" s="1"/>
  <c r="AF237" i="42" s="1"/>
  <c r="N238" i="42"/>
  <c r="P238" i="42" s="1"/>
  <c r="AE238" i="42" s="1"/>
  <c r="AF238" i="42" s="1"/>
  <c r="N239" i="42"/>
  <c r="N240" i="42"/>
  <c r="N241" i="42"/>
  <c r="N242" i="42"/>
  <c r="N243" i="42"/>
  <c r="N244" i="42"/>
  <c r="N245" i="42"/>
  <c r="N246" i="42"/>
  <c r="N247" i="42"/>
  <c r="N248" i="42"/>
  <c r="P248" i="42" s="1"/>
  <c r="AE248" i="42" s="1"/>
  <c r="AF248" i="42" s="1"/>
  <c r="N249" i="42"/>
  <c r="N250" i="42"/>
  <c r="N251" i="42"/>
  <c r="P251" i="42" s="1"/>
  <c r="AE251" i="42" s="1"/>
  <c r="AF251" i="42" s="1"/>
  <c r="N252" i="42"/>
  <c r="P252" i="42" s="1"/>
  <c r="AE252" i="42" s="1"/>
  <c r="AF252" i="42" s="1"/>
  <c r="N253" i="42"/>
  <c r="P253" i="42" s="1"/>
  <c r="AE253" i="42" s="1"/>
  <c r="AF253" i="42" s="1"/>
  <c r="N254" i="42"/>
  <c r="N255" i="42"/>
  <c r="N256" i="42"/>
  <c r="N257" i="42"/>
  <c r="P257" i="42" s="1"/>
  <c r="AE257" i="42" s="1"/>
  <c r="AF257" i="42" s="1"/>
  <c r="N258" i="42"/>
  <c r="N259" i="42"/>
  <c r="N260" i="42"/>
  <c r="N261" i="42"/>
  <c r="N262" i="42"/>
  <c r="N263" i="42"/>
  <c r="N264" i="42"/>
  <c r="P264" i="42" s="1"/>
  <c r="AE264" i="42" s="1"/>
  <c r="AF264" i="42" s="1"/>
  <c r="N265" i="42"/>
  <c r="N266" i="42"/>
  <c r="P266" i="42" s="1"/>
  <c r="AE266" i="42" s="1"/>
  <c r="AF266" i="42" s="1"/>
  <c r="N267" i="42"/>
  <c r="P267" i="42" s="1"/>
  <c r="AE267" i="42" s="1"/>
  <c r="AF267" i="42" s="1"/>
  <c r="N268" i="42"/>
  <c r="P268" i="42" s="1"/>
  <c r="AE268" i="42" s="1"/>
  <c r="AF268" i="42" s="1"/>
  <c r="N269" i="42"/>
  <c r="P269" i="42" s="1"/>
  <c r="AE269" i="42" s="1"/>
  <c r="AF269" i="42" s="1"/>
  <c r="N270" i="42"/>
  <c r="P270" i="42" s="1"/>
  <c r="AE270" i="42" s="1"/>
  <c r="AF270" i="42" s="1"/>
  <c r="N271" i="42"/>
  <c r="N272" i="42"/>
  <c r="N273" i="42"/>
  <c r="N274" i="42"/>
  <c r="N275" i="42"/>
  <c r="N276" i="42"/>
  <c r="N277" i="42"/>
  <c r="N278" i="42"/>
  <c r="N279" i="42"/>
  <c r="N280" i="42"/>
  <c r="N281" i="42"/>
  <c r="N282" i="42"/>
  <c r="P282" i="42" s="1"/>
  <c r="AE282" i="42" s="1"/>
  <c r="AF282" i="42" s="1"/>
  <c r="N283" i="42"/>
  <c r="P283" i="42" s="1"/>
  <c r="AE283" i="42" s="1"/>
  <c r="AF283" i="42" s="1"/>
  <c r="N284" i="42"/>
  <c r="N285" i="42"/>
  <c r="P285" i="42" s="1"/>
  <c r="AE285" i="42" s="1"/>
  <c r="AF285" i="42" s="1"/>
  <c r="N286" i="42"/>
  <c r="P286" i="42" s="1"/>
  <c r="AE286" i="42" s="1"/>
  <c r="AF286" i="42" s="1"/>
  <c r="N287" i="42"/>
  <c r="N288" i="42"/>
  <c r="N289" i="42"/>
  <c r="N290" i="42"/>
  <c r="N291" i="42"/>
  <c r="N292" i="42"/>
  <c r="N293" i="42"/>
  <c r="N294" i="42"/>
  <c r="N295" i="42"/>
  <c r="N296" i="42"/>
  <c r="P296" i="42" s="1"/>
  <c r="AE296" i="42" s="1"/>
  <c r="AF296" i="42" s="1"/>
  <c r="N297" i="42"/>
  <c r="P297" i="42" s="1"/>
  <c r="AE297" i="42" s="1"/>
  <c r="AF297" i="42" s="1"/>
  <c r="N298" i="42"/>
  <c r="P298" i="42" s="1"/>
  <c r="AE298" i="42" s="1"/>
  <c r="AF298" i="42" s="1"/>
  <c r="N299" i="42"/>
  <c r="N300" i="42"/>
  <c r="P300" i="42" s="1"/>
  <c r="AE300" i="42" s="1"/>
  <c r="AF300" i="42" s="1"/>
  <c r="N301" i="42"/>
  <c r="P301" i="42" s="1"/>
  <c r="AE301" i="42" s="1"/>
  <c r="AF301" i="42" s="1"/>
  <c r="N302" i="42"/>
  <c r="P302" i="42" s="1"/>
  <c r="AE302" i="42" s="1"/>
  <c r="AF302" i="42" s="1"/>
  <c r="N303" i="42"/>
  <c r="N304" i="42"/>
  <c r="N305" i="42"/>
  <c r="P305" i="42" s="1"/>
  <c r="AE305" i="42" s="1"/>
  <c r="AF305" i="42" s="1"/>
  <c r="N306" i="42"/>
  <c r="N307" i="42"/>
  <c r="N308" i="42"/>
  <c r="N309" i="42"/>
  <c r="N310" i="42"/>
  <c r="N311" i="42"/>
  <c r="N312" i="42"/>
  <c r="P312" i="42" s="1"/>
  <c r="AE312" i="42" s="1"/>
  <c r="AF312" i="42" s="1"/>
  <c r="N313" i="42"/>
  <c r="P313" i="42" s="1"/>
  <c r="AE313" i="42" s="1"/>
  <c r="AF313" i="42" s="1"/>
  <c r="N314" i="42"/>
  <c r="P314" i="42" s="1"/>
  <c r="AE314" i="42" s="1"/>
  <c r="AF314" i="42" s="1"/>
  <c r="N315" i="42"/>
  <c r="P315" i="42" s="1"/>
  <c r="AE315" i="42" s="1"/>
  <c r="AF315" i="42" s="1"/>
  <c r="N316" i="42"/>
  <c r="P316" i="42" s="1"/>
  <c r="AE316" i="42" s="1"/>
  <c r="AF316" i="42" s="1"/>
  <c r="N317" i="42"/>
  <c r="P317" i="42" s="1"/>
  <c r="AE317" i="42" s="1"/>
  <c r="AF317" i="42" s="1"/>
  <c r="N318" i="42"/>
  <c r="P318" i="42" s="1"/>
  <c r="AE318" i="42" s="1"/>
  <c r="AF318" i="42" s="1"/>
  <c r="N319" i="42"/>
  <c r="N320" i="42"/>
  <c r="N321" i="42"/>
  <c r="N322" i="42"/>
  <c r="N323" i="42"/>
  <c r="N324" i="42"/>
  <c r="N325" i="42"/>
  <c r="N326" i="42"/>
  <c r="N327" i="42"/>
  <c r="N328" i="42"/>
  <c r="N329" i="42"/>
  <c r="P329" i="42" s="1"/>
  <c r="AE329" i="42" s="1"/>
  <c r="AF329" i="42" s="1"/>
  <c r="N330" i="42"/>
  <c r="P330" i="42" s="1"/>
  <c r="AE330" i="42" s="1"/>
  <c r="AF330" i="42" s="1"/>
  <c r="N331" i="42"/>
  <c r="P331" i="42" s="1"/>
  <c r="AE331" i="42" s="1"/>
  <c r="AF331" i="42" s="1"/>
  <c r="N332" i="42"/>
  <c r="N333" i="42"/>
  <c r="P333" i="42" s="1"/>
  <c r="AE333" i="42" s="1"/>
  <c r="AF333" i="42" s="1"/>
  <c r="N334" i="42"/>
  <c r="P334" i="42" s="1"/>
  <c r="AE334" i="42" s="1"/>
  <c r="AF334" i="42" s="1"/>
  <c r="N335" i="42"/>
  <c r="N336" i="42"/>
  <c r="N337" i="42"/>
  <c r="N338" i="42"/>
  <c r="N339" i="42"/>
  <c r="N340" i="42"/>
  <c r="N341" i="42"/>
  <c r="N342" i="42"/>
  <c r="N343" i="42"/>
  <c r="N344" i="42"/>
  <c r="P344" i="42" s="1"/>
  <c r="AE344" i="42" s="1"/>
  <c r="AF344" i="42" s="1"/>
  <c r="N345" i="42"/>
  <c r="P345" i="42" s="1"/>
  <c r="AE345" i="42" s="1"/>
  <c r="AF345" i="42" s="1"/>
  <c r="N346" i="42"/>
  <c r="P346" i="42" s="1"/>
  <c r="AE346" i="42" s="1"/>
  <c r="AF346" i="42" s="1"/>
  <c r="N347" i="42"/>
  <c r="N348" i="42"/>
  <c r="P348" i="42" s="1"/>
  <c r="AE348" i="42" s="1"/>
  <c r="AF348" i="42" s="1"/>
  <c r="N349" i="42"/>
  <c r="P349" i="42" s="1"/>
  <c r="AE349" i="42" s="1"/>
  <c r="AF349" i="42" s="1"/>
  <c r="N350" i="42"/>
  <c r="P350" i="42" s="1"/>
  <c r="AE350" i="42" s="1"/>
  <c r="AF350" i="42" s="1"/>
  <c r="N351" i="42"/>
  <c r="N352" i="42"/>
  <c r="N353" i="42"/>
  <c r="P353" i="42" s="1"/>
  <c r="AE353" i="42" s="1"/>
  <c r="AF353" i="42" s="1"/>
  <c r="N354" i="42"/>
  <c r="N355" i="42"/>
  <c r="N356" i="42"/>
  <c r="N357" i="42"/>
  <c r="N358" i="42"/>
  <c r="N359" i="42"/>
  <c r="N360" i="42"/>
  <c r="P360" i="42" s="1"/>
  <c r="AE360" i="42" s="1"/>
  <c r="AF360" i="42" s="1"/>
  <c r="N361" i="42"/>
  <c r="N362" i="42"/>
  <c r="P362" i="42" s="1"/>
  <c r="AE362" i="42" s="1"/>
  <c r="AF362" i="42" s="1"/>
  <c r="N363" i="42"/>
  <c r="P363" i="42" s="1"/>
  <c r="AE363" i="42" s="1"/>
  <c r="AF363" i="42" s="1"/>
  <c r="N364" i="42"/>
  <c r="P364" i="42" s="1"/>
  <c r="AE364" i="42" s="1"/>
  <c r="AF364" i="42" s="1"/>
  <c r="N365" i="42"/>
  <c r="P365" i="42" s="1"/>
  <c r="AE365" i="42" s="1"/>
  <c r="AF365" i="42" s="1"/>
  <c r="N366" i="42"/>
  <c r="N367" i="42"/>
  <c r="N368" i="42"/>
  <c r="N369" i="42"/>
  <c r="N370" i="42"/>
  <c r="N371" i="42"/>
  <c r="N372" i="42"/>
  <c r="N373" i="42"/>
  <c r="N374" i="42"/>
  <c r="N375" i="42"/>
  <c r="P375" i="42" s="1"/>
  <c r="AE375" i="42" s="1"/>
  <c r="AF375" i="42" s="1"/>
  <c r="N376" i="42"/>
  <c r="P376" i="42" s="1"/>
  <c r="AE376" i="42" s="1"/>
  <c r="AF376" i="42" s="1"/>
  <c r="N377" i="42"/>
  <c r="P377" i="42" s="1"/>
  <c r="AE377" i="42" s="1"/>
  <c r="AF377" i="42" s="1"/>
  <c r="N378" i="42"/>
  <c r="P378" i="42" s="1"/>
  <c r="AE378" i="42" s="1"/>
  <c r="AF378" i="42" s="1"/>
  <c r="N379" i="42"/>
  <c r="P379" i="42" s="1"/>
  <c r="AE379" i="42" s="1"/>
  <c r="AF379" i="42" s="1"/>
  <c r="N380" i="42"/>
  <c r="P380" i="42" s="1"/>
  <c r="AE380" i="42" s="1"/>
  <c r="AF380" i="42" s="1"/>
  <c r="N381" i="42"/>
  <c r="N382" i="42"/>
  <c r="P382" i="42" s="1"/>
  <c r="AE382" i="42" s="1"/>
  <c r="AF382" i="42" s="1"/>
  <c r="N383" i="42"/>
  <c r="N384" i="42"/>
  <c r="N385" i="42"/>
  <c r="N386" i="42"/>
  <c r="N387" i="42"/>
  <c r="N388" i="42"/>
  <c r="N389" i="42"/>
  <c r="N390" i="42"/>
  <c r="N391" i="42"/>
  <c r="N392" i="42"/>
  <c r="N393" i="42"/>
  <c r="P393" i="42" s="1"/>
  <c r="AE393" i="42" s="1"/>
  <c r="AF393" i="42" s="1"/>
  <c r="N394" i="42"/>
  <c r="P394" i="42" s="1"/>
  <c r="AE394" i="42" s="1"/>
  <c r="AF394" i="42" s="1"/>
  <c r="N395" i="42"/>
  <c r="N396" i="42"/>
  <c r="P396" i="42" s="1"/>
  <c r="AE396" i="42" s="1"/>
  <c r="AF396" i="42" s="1"/>
  <c r="N397" i="42"/>
  <c r="P397" i="42" s="1"/>
  <c r="AE397" i="42" s="1"/>
  <c r="AF397" i="42" s="1"/>
  <c r="N398" i="42"/>
  <c r="P398" i="42" s="1"/>
  <c r="AE398" i="42" s="1"/>
  <c r="AF398" i="42" s="1"/>
  <c r="N399" i="42"/>
  <c r="N400" i="42"/>
  <c r="N401" i="42"/>
  <c r="P401" i="42" s="1"/>
  <c r="AE401" i="42" s="1"/>
  <c r="AF401" i="42" s="1"/>
  <c r="N402" i="42"/>
  <c r="N403" i="42"/>
  <c r="N404" i="42"/>
  <c r="N405" i="42"/>
  <c r="N406" i="42"/>
  <c r="N407" i="42"/>
  <c r="N408" i="42"/>
  <c r="P408" i="42" s="1"/>
  <c r="AE408" i="42" s="1"/>
  <c r="AF408" i="42" s="1"/>
  <c r="N409" i="42"/>
  <c r="N410" i="42"/>
  <c r="P410" i="42" s="1"/>
  <c r="AE410" i="42" s="1"/>
  <c r="AF410" i="42" s="1"/>
  <c r="N411" i="42"/>
  <c r="P411" i="42" s="1"/>
  <c r="AE411" i="42" s="1"/>
  <c r="AF411" i="42" s="1"/>
  <c r="N412" i="42"/>
  <c r="P412" i="42" s="1"/>
  <c r="AE412" i="42" s="1"/>
  <c r="AF412" i="42" s="1"/>
  <c r="N413" i="42"/>
  <c r="P413" i="42" s="1"/>
  <c r="AE413" i="42" s="1"/>
  <c r="AF413" i="42" s="1"/>
  <c r="N414" i="42"/>
  <c r="N415" i="42"/>
  <c r="N416" i="42"/>
  <c r="N417" i="42"/>
  <c r="N418" i="42"/>
  <c r="N419" i="42"/>
  <c r="N420" i="42"/>
  <c r="N421" i="42"/>
  <c r="N422" i="42"/>
  <c r="N423" i="42"/>
  <c r="P423" i="42" s="1"/>
  <c r="AE423" i="42" s="1"/>
  <c r="AF423" i="42" s="1"/>
  <c r="N424" i="42"/>
  <c r="P424" i="42" s="1"/>
  <c r="AE424" i="42" s="1"/>
  <c r="AF424" i="42" s="1"/>
  <c r="N425" i="42"/>
  <c r="N426" i="42"/>
  <c r="P426" i="42" s="1"/>
  <c r="AE426" i="42" s="1"/>
  <c r="AF426" i="42" s="1"/>
  <c r="N427" i="42"/>
  <c r="P427" i="42" s="1"/>
  <c r="AE427" i="42" s="1"/>
  <c r="AF427" i="42" s="1"/>
  <c r="N428" i="42"/>
  <c r="P428" i="42" s="1"/>
  <c r="AE428" i="42" s="1"/>
  <c r="AF428" i="42" s="1"/>
  <c r="N429" i="42"/>
  <c r="P429" i="42" s="1"/>
  <c r="AE429" i="42" s="1"/>
  <c r="AF429" i="42" s="1"/>
  <c r="N430" i="42"/>
  <c r="P430" i="42" s="1"/>
  <c r="AE430" i="42" s="1"/>
  <c r="AF430" i="42" s="1"/>
  <c r="N431" i="42"/>
  <c r="N432" i="42"/>
  <c r="N433" i="42"/>
  <c r="N434" i="42"/>
  <c r="N435" i="42"/>
  <c r="N436" i="42"/>
  <c r="N437" i="42"/>
  <c r="N438" i="42"/>
  <c r="N439" i="42"/>
  <c r="N440" i="42"/>
  <c r="P440" i="42" s="1"/>
  <c r="AE440" i="42" s="1"/>
  <c r="AF440" i="42" s="1"/>
  <c r="N441" i="42"/>
  <c r="P441" i="42" s="1"/>
  <c r="AE441" i="42" s="1"/>
  <c r="AF441" i="42" s="1"/>
  <c r="N442" i="42"/>
  <c r="P442" i="42" s="1"/>
  <c r="AE442" i="42" s="1"/>
  <c r="AF442" i="42" s="1"/>
  <c r="N443" i="42"/>
  <c r="P443" i="42" s="1"/>
  <c r="AE443" i="42" s="1"/>
  <c r="AF443" i="42" s="1"/>
  <c r="N444" i="42"/>
  <c r="P444" i="42" s="1"/>
  <c r="AE444" i="42" s="1"/>
  <c r="AF444" i="42" s="1"/>
  <c r="N445" i="42"/>
  <c r="P445" i="42" s="1"/>
  <c r="AE445" i="42" s="1"/>
  <c r="AF445" i="42" s="1"/>
  <c r="N446" i="42"/>
  <c r="P446" i="42" s="1"/>
  <c r="AE446" i="42" s="1"/>
  <c r="AF446" i="42" s="1"/>
  <c r="N447" i="42"/>
  <c r="N448" i="42"/>
  <c r="N449" i="42"/>
  <c r="P449" i="42" s="1"/>
  <c r="AE449" i="42" s="1"/>
  <c r="AF449" i="42" s="1"/>
  <c r="N450" i="42"/>
  <c r="N451" i="42"/>
  <c r="N452" i="42"/>
  <c r="N453" i="42"/>
  <c r="N454" i="42"/>
  <c r="N455" i="42"/>
  <c r="N456" i="42"/>
  <c r="P456" i="42" s="1"/>
  <c r="AE456" i="42" s="1"/>
  <c r="AF456" i="42" s="1"/>
  <c r="N457" i="42"/>
  <c r="P457" i="42" s="1"/>
  <c r="AE457" i="42" s="1"/>
  <c r="AF457" i="42" s="1"/>
  <c r="N458" i="42"/>
  <c r="P458" i="42" s="1"/>
  <c r="AE458" i="42" s="1"/>
  <c r="AF458" i="42" s="1"/>
  <c r="N459" i="42"/>
  <c r="P459" i="42" s="1"/>
  <c r="AE459" i="42" s="1"/>
  <c r="AF459" i="42" s="1"/>
  <c r="N460" i="42"/>
  <c r="P460" i="42" s="1"/>
  <c r="AE460" i="42" s="1"/>
  <c r="AF460" i="42" s="1"/>
  <c r="N461" i="42"/>
  <c r="P461" i="42" s="1"/>
  <c r="AE461" i="42" s="1"/>
  <c r="AF461" i="42" s="1"/>
  <c r="N462" i="42"/>
  <c r="N463" i="42"/>
  <c r="N464" i="42"/>
  <c r="N465" i="42"/>
  <c r="N466" i="42"/>
  <c r="N467" i="42"/>
  <c r="N468" i="42"/>
  <c r="N469" i="42"/>
  <c r="N470" i="42"/>
  <c r="N471" i="42"/>
  <c r="P471" i="42" s="1"/>
  <c r="AE471" i="42" s="1"/>
  <c r="AF471" i="42" s="1"/>
  <c r="N472" i="42"/>
  <c r="N473" i="42"/>
  <c r="N474" i="42"/>
  <c r="P474" i="42" s="1"/>
  <c r="AE474" i="42" s="1"/>
  <c r="AF474" i="42" s="1"/>
  <c r="N475" i="42"/>
  <c r="P475" i="42" s="1"/>
  <c r="AE475" i="42" s="1"/>
  <c r="AF475" i="42" s="1"/>
  <c r="N476" i="42"/>
  <c r="N477" i="42"/>
  <c r="P477" i="42" s="1"/>
  <c r="AE477" i="42" s="1"/>
  <c r="AF477" i="42" s="1"/>
  <c r="N478" i="42"/>
  <c r="P478" i="42" s="1"/>
  <c r="AE478" i="42" s="1"/>
  <c r="AF478" i="42" s="1"/>
  <c r="N479" i="42"/>
  <c r="N480" i="42"/>
  <c r="N481" i="42"/>
  <c r="N482" i="42"/>
  <c r="N483" i="42"/>
  <c r="N484" i="42"/>
  <c r="N485" i="42"/>
  <c r="N486" i="42"/>
  <c r="N487" i="42"/>
  <c r="N488" i="42"/>
  <c r="P488" i="42" s="1"/>
  <c r="AE488" i="42" s="1"/>
  <c r="AF488" i="42" s="1"/>
  <c r="N489" i="42"/>
  <c r="P489" i="42" s="1"/>
  <c r="AE489" i="42" s="1"/>
  <c r="AF489" i="42" s="1"/>
  <c r="N490" i="42"/>
  <c r="N491" i="42"/>
  <c r="P491" i="42" s="1"/>
  <c r="AE491" i="42" s="1"/>
  <c r="AF491" i="42" s="1"/>
  <c r="N492" i="42"/>
  <c r="P492" i="42" s="1"/>
  <c r="AE492" i="42" s="1"/>
  <c r="AF492" i="42" s="1"/>
  <c r="N493" i="42"/>
  <c r="P493" i="42" s="1"/>
  <c r="AE493" i="42" s="1"/>
  <c r="AF493" i="42" s="1"/>
  <c r="N494" i="42"/>
  <c r="P494" i="42" s="1"/>
  <c r="AE494" i="42" s="1"/>
  <c r="AF494" i="42" s="1"/>
  <c r="N495" i="42"/>
  <c r="N496" i="42"/>
  <c r="N497" i="42"/>
  <c r="P497" i="42" s="1"/>
  <c r="AE497" i="42" s="1"/>
  <c r="AF497" i="42" s="1"/>
  <c r="N498" i="42"/>
  <c r="N499" i="42"/>
  <c r="N500" i="42"/>
  <c r="K1" i="16"/>
  <c r="L1" i="44"/>
  <c r="V269" i="19"/>
  <c r="V268" i="19"/>
  <c r="X268" i="19" s="1"/>
  <c r="V267" i="19"/>
  <c r="V266" i="19"/>
  <c r="X266" i="19" s="1"/>
  <c r="V265" i="19"/>
  <c r="X264" i="19"/>
  <c r="V264" i="19"/>
  <c r="W264" i="19" s="1"/>
  <c r="V263" i="19"/>
  <c r="W263" i="19" s="1"/>
  <c r="W262" i="19"/>
  <c r="V262" i="19"/>
  <c r="X262" i="19" s="1"/>
  <c r="V261" i="19"/>
  <c r="X261" i="19" s="1"/>
  <c r="V260" i="19"/>
  <c r="V259" i="19"/>
  <c r="X258" i="19"/>
  <c r="V258" i="19"/>
  <c r="W258" i="19" s="1"/>
  <c r="X257" i="19"/>
  <c r="W257" i="19"/>
  <c r="V257" i="19"/>
  <c r="V256" i="19"/>
  <c r="V255" i="19"/>
  <c r="V254" i="19"/>
  <c r="X253" i="19"/>
  <c r="V253" i="19"/>
  <c r="W253" i="19" s="1"/>
  <c r="V252" i="19"/>
  <c r="X252" i="19" s="1"/>
  <c r="V251" i="19"/>
  <c r="V250" i="19"/>
  <c r="X249" i="19"/>
  <c r="W249" i="19"/>
  <c r="V249" i="19"/>
  <c r="V248" i="19"/>
  <c r="X248" i="19" s="1"/>
  <c r="V247" i="19"/>
  <c r="X246" i="19"/>
  <c r="W246" i="19"/>
  <c r="V246" i="19"/>
  <c r="V245" i="19"/>
  <c r="W244" i="19"/>
  <c r="V244" i="19"/>
  <c r="X244" i="19" s="1"/>
  <c r="V243" i="19"/>
  <c r="V242" i="19"/>
  <c r="W242" i="19" s="1"/>
  <c r="X241" i="19"/>
  <c r="V241" i="19"/>
  <c r="W241" i="19" s="1"/>
  <c r="V240" i="19"/>
  <c r="X240" i="19" s="1"/>
  <c r="V239" i="19"/>
  <c r="X238" i="19"/>
  <c r="W238" i="19"/>
  <c r="V238" i="19"/>
  <c r="V237" i="19"/>
  <c r="X237" i="19" s="1"/>
  <c r="V236" i="19"/>
  <c r="V235" i="19"/>
  <c r="V234" i="19"/>
  <c r="X233" i="19"/>
  <c r="W233" i="19"/>
  <c r="V233" i="19"/>
  <c r="W232" i="19"/>
  <c r="V232" i="19"/>
  <c r="X232" i="19" s="1"/>
  <c r="V231" i="19"/>
  <c r="X230" i="19"/>
  <c r="W230" i="19"/>
  <c r="V230" i="19"/>
  <c r="V229" i="19"/>
  <c r="V228" i="19"/>
  <c r="X227" i="19"/>
  <c r="V227" i="19"/>
  <c r="W227" i="19" s="1"/>
  <c r="V226" i="19"/>
  <c r="X226" i="19" s="1"/>
  <c r="X225" i="19"/>
  <c r="V225" i="19"/>
  <c r="W225" i="19" s="1"/>
  <c r="V224" i="19"/>
  <c r="V223" i="19"/>
  <c r="V222" i="19"/>
  <c r="X221" i="19"/>
  <c r="W221" i="19"/>
  <c r="V221" i="19"/>
  <c r="V220" i="19"/>
  <c r="X220" i="19" s="1"/>
  <c r="V219" i="19"/>
  <c r="V218" i="19"/>
  <c r="X217" i="19"/>
  <c r="V217" i="19"/>
  <c r="W217" i="19" s="1"/>
  <c r="W216" i="19"/>
  <c r="V216" i="19"/>
  <c r="X216" i="19" s="1"/>
  <c r="V215" i="19"/>
  <c r="V214" i="19"/>
  <c r="V213" i="19"/>
  <c r="W213" i="19" s="1"/>
  <c r="V212" i="19"/>
  <c r="X211" i="19"/>
  <c r="W211" i="19"/>
  <c r="V211" i="19"/>
  <c r="X210" i="19"/>
  <c r="W210" i="19"/>
  <c r="V210" i="19"/>
  <c r="X209" i="19"/>
  <c r="W209" i="19"/>
  <c r="V209" i="19"/>
  <c r="V208" i="19"/>
  <c r="X208" i="19" s="1"/>
  <c r="V207" i="19"/>
  <c r="X207" i="19" s="1"/>
  <c r="V206" i="19"/>
  <c r="X206" i="19" s="1"/>
  <c r="V205" i="19"/>
  <c r="W205" i="19" s="1"/>
  <c r="V204" i="19"/>
  <c r="V203" i="19"/>
  <c r="V202" i="19"/>
  <c r="X201" i="19"/>
  <c r="V201" i="19"/>
  <c r="W201" i="19" s="1"/>
  <c r="V200" i="19"/>
  <c r="V199" i="19"/>
  <c r="X198" i="19"/>
  <c r="V198" i="19"/>
  <c r="W198" i="19" s="1"/>
  <c r="V197" i="19"/>
  <c r="V196" i="19"/>
  <c r="W196" i="19" s="1"/>
  <c r="V195" i="19"/>
  <c r="X195" i="19" s="1"/>
  <c r="X194" i="19"/>
  <c r="W194" i="19"/>
  <c r="V194" i="19"/>
  <c r="X193" i="19"/>
  <c r="W193" i="19"/>
  <c r="V193" i="19"/>
  <c r="V192" i="19"/>
  <c r="X192" i="19" s="1"/>
  <c r="X191" i="19"/>
  <c r="V191" i="19"/>
  <c r="W191" i="19" s="1"/>
  <c r="W190" i="19"/>
  <c r="V190" i="19"/>
  <c r="X190" i="19" s="1"/>
  <c r="V189" i="19"/>
  <c r="W188" i="19"/>
  <c r="V188" i="19"/>
  <c r="X188" i="19" s="1"/>
  <c r="V187" i="19"/>
  <c r="V186" i="19"/>
  <c r="X185" i="19"/>
  <c r="V185" i="19"/>
  <c r="W185" i="19" s="1"/>
  <c r="X184" i="19"/>
  <c r="W184" i="19"/>
  <c r="V184" i="19"/>
  <c r="V183" i="19"/>
  <c r="W183" i="19" s="1"/>
  <c r="V182" i="19"/>
  <c r="X182" i="19" s="1"/>
  <c r="V181" i="19"/>
  <c r="V180" i="19"/>
  <c r="V179" i="19"/>
  <c r="X178" i="19"/>
  <c r="W178" i="19"/>
  <c r="V178" i="19"/>
  <c r="V177" i="19"/>
  <c r="V176" i="19"/>
  <c r="V175" i="19"/>
  <c r="V174" i="19"/>
  <c r="V173" i="19"/>
  <c r="V172" i="19"/>
  <c r="X172" i="19" s="1"/>
  <c r="V171" i="19"/>
  <c r="V170" i="19"/>
  <c r="V169" i="19"/>
  <c r="T267" i="19"/>
  <c r="T266" i="19"/>
  <c r="T265" i="19"/>
  <c r="T264" i="19"/>
  <c r="T263" i="19"/>
  <c r="T262" i="19"/>
  <c r="T261" i="19"/>
  <c r="T260" i="19"/>
  <c r="T259" i="19"/>
  <c r="T258" i="19"/>
  <c r="T257" i="19"/>
  <c r="T256" i="19"/>
  <c r="T255" i="19"/>
  <c r="T254" i="19"/>
  <c r="T253" i="19"/>
  <c r="T252" i="19"/>
  <c r="T251" i="19"/>
  <c r="T250" i="19"/>
  <c r="T249" i="19"/>
  <c r="T248" i="19"/>
  <c r="T247" i="19"/>
  <c r="T246" i="19"/>
  <c r="T245" i="19"/>
  <c r="T244" i="19"/>
  <c r="T243" i="19"/>
  <c r="T242" i="19"/>
  <c r="T241" i="19"/>
  <c r="T240" i="19"/>
  <c r="T239" i="19"/>
  <c r="T238" i="19"/>
  <c r="T237" i="19"/>
  <c r="T236" i="19"/>
  <c r="T235" i="19"/>
  <c r="T234" i="19"/>
  <c r="T233" i="19"/>
  <c r="T232" i="19"/>
  <c r="T231" i="19"/>
  <c r="T230" i="19"/>
  <c r="T229" i="19"/>
  <c r="T228" i="19"/>
  <c r="T227" i="19"/>
  <c r="T226" i="19"/>
  <c r="T225" i="19"/>
  <c r="T224" i="19"/>
  <c r="T223" i="19"/>
  <c r="T222" i="19"/>
  <c r="T221" i="19"/>
  <c r="T220" i="19"/>
  <c r="T219" i="19"/>
  <c r="T218" i="19"/>
  <c r="T217" i="19"/>
  <c r="T216" i="19"/>
  <c r="T215" i="19"/>
  <c r="T214" i="19"/>
  <c r="T213" i="19"/>
  <c r="T212" i="19"/>
  <c r="T211" i="19"/>
  <c r="T210" i="19"/>
  <c r="T209" i="19"/>
  <c r="T208" i="19"/>
  <c r="T207" i="19"/>
  <c r="T206" i="19"/>
  <c r="T205" i="19"/>
  <c r="T204" i="19"/>
  <c r="T203" i="19"/>
  <c r="T202" i="19"/>
  <c r="T201" i="19"/>
  <c r="T200" i="19"/>
  <c r="T199" i="19"/>
  <c r="T198" i="19"/>
  <c r="T197" i="19"/>
  <c r="T196" i="19"/>
  <c r="T195" i="19"/>
  <c r="T194" i="19"/>
  <c r="T193" i="19"/>
  <c r="T192" i="19"/>
  <c r="T191" i="19"/>
  <c r="T190" i="19"/>
  <c r="T189" i="19"/>
  <c r="T188" i="19"/>
  <c r="T187" i="19"/>
  <c r="T186" i="19"/>
  <c r="T185" i="19"/>
  <c r="T184" i="19"/>
  <c r="T183" i="19"/>
  <c r="T182" i="19"/>
  <c r="T181" i="19"/>
  <c r="T180" i="19"/>
  <c r="T179" i="19"/>
  <c r="T178" i="19"/>
  <c r="T177" i="19"/>
  <c r="T176" i="19"/>
  <c r="T175" i="19"/>
  <c r="T174" i="19"/>
  <c r="T173" i="19"/>
  <c r="T172" i="19"/>
  <c r="T171" i="19"/>
  <c r="T170" i="19"/>
  <c r="T169" i="19"/>
  <c r="G4" i="57"/>
  <c r="E5" i="56"/>
  <c r="D3" i="56"/>
  <c r="BI14" i="54"/>
  <c r="BI15" i="54"/>
  <c r="BI16" i="54"/>
  <c r="BI17" i="54"/>
  <c r="BI18" i="54"/>
  <c r="BI19" i="54"/>
  <c r="BI20" i="54"/>
  <c r="BI21" i="54"/>
  <c r="BI22" i="54"/>
  <c r="BI23" i="54"/>
  <c r="BI24" i="54"/>
  <c r="BI25" i="54"/>
  <c r="BI26" i="54"/>
  <c r="BI27" i="54"/>
  <c r="BI28" i="54"/>
  <c r="BI29" i="54"/>
  <c r="BI30" i="54"/>
  <c r="BG14" i="54"/>
  <c r="BG15" i="54"/>
  <c r="BG16" i="54"/>
  <c r="BG17" i="54"/>
  <c r="BG18" i="54"/>
  <c r="BG19" i="54"/>
  <c r="BG20" i="54"/>
  <c r="BG21" i="54"/>
  <c r="BG22" i="54"/>
  <c r="BG23" i="54"/>
  <c r="BG24" i="54"/>
  <c r="BG25" i="54"/>
  <c r="BG26" i="54"/>
  <c r="BG27" i="54"/>
  <c r="BG28" i="54"/>
  <c r="BG29" i="54"/>
  <c r="BG30" i="54"/>
  <c r="JZ3" i="55"/>
  <c r="JZ4" i="55"/>
  <c r="JZ5" i="55"/>
  <c r="JZ6" i="55"/>
  <c r="JZ7" i="55"/>
  <c r="JZ8" i="55"/>
  <c r="JZ9" i="55"/>
  <c r="JZ10" i="55"/>
  <c r="JZ11" i="55"/>
  <c r="JZ12" i="55"/>
  <c r="JZ13" i="55"/>
  <c r="JZ14" i="55"/>
  <c r="JZ15" i="55"/>
  <c r="JZ16" i="55"/>
  <c r="JZ17" i="55"/>
  <c r="JZ18" i="55"/>
  <c r="JZ19" i="55"/>
  <c r="JZ20" i="55"/>
  <c r="JZ21" i="55"/>
  <c r="JZ22" i="55"/>
  <c r="JZ23" i="55"/>
  <c r="JZ24" i="55"/>
  <c r="JZ25" i="55"/>
  <c r="JZ26" i="55"/>
  <c r="JZ27" i="55"/>
  <c r="JZ28" i="55"/>
  <c r="JZ29" i="55"/>
  <c r="JZ30" i="55"/>
  <c r="JZ31" i="55"/>
  <c r="JZ32" i="55"/>
  <c r="JZ33" i="55"/>
  <c r="JZ34" i="55"/>
  <c r="JZ35" i="55"/>
  <c r="JZ36" i="55"/>
  <c r="JZ37" i="55"/>
  <c r="JZ38" i="55"/>
  <c r="JZ39" i="55"/>
  <c r="JZ40" i="55"/>
  <c r="JZ41" i="55"/>
  <c r="JZ42" i="55"/>
  <c r="JZ43" i="55"/>
  <c r="JZ44" i="55"/>
  <c r="JZ45" i="55"/>
  <c r="JZ46" i="55"/>
  <c r="JZ47" i="55"/>
  <c r="JZ48" i="55"/>
  <c r="JZ49" i="55"/>
  <c r="JZ50" i="55"/>
  <c r="JZ51" i="55"/>
  <c r="JZ52" i="55"/>
  <c r="JZ53" i="55"/>
  <c r="JZ54" i="55"/>
  <c r="JZ55" i="55"/>
  <c r="JZ56" i="55"/>
  <c r="JZ57" i="55"/>
  <c r="JZ58" i="55"/>
  <c r="JZ59" i="55"/>
  <c r="JZ60" i="55"/>
  <c r="JZ61" i="55"/>
  <c r="JZ62" i="55"/>
  <c r="JZ63" i="55"/>
  <c r="JZ64" i="55"/>
  <c r="JZ65" i="55"/>
  <c r="JZ66" i="55"/>
  <c r="JZ67" i="55"/>
  <c r="JZ68" i="55"/>
  <c r="JZ69" i="55"/>
  <c r="JZ70" i="55"/>
  <c r="JZ71" i="55"/>
  <c r="JZ72" i="55"/>
  <c r="JZ73" i="55"/>
  <c r="JZ74" i="55"/>
  <c r="JZ75" i="55"/>
  <c r="JZ76" i="55"/>
  <c r="JZ77" i="55"/>
  <c r="JZ78" i="55"/>
  <c r="JZ79" i="55"/>
  <c r="JZ80" i="55"/>
  <c r="JZ81" i="55"/>
  <c r="JZ82" i="55"/>
  <c r="JZ83" i="55"/>
  <c r="JZ84" i="55"/>
  <c r="JZ85" i="55"/>
  <c r="JZ86" i="55"/>
  <c r="JZ87" i="55"/>
  <c r="JZ88" i="55"/>
  <c r="JZ89" i="55"/>
  <c r="JZ90" i="55"/>
  <c r="JZ91" i="55"/>
  <c r="JZ92" i="55"/>
  <c r="JZ93" i="55"/>
  <c r="JZ94" i="55"/>
  <c r="JZ95" i="55"/>
  <c r="JZ96" i="55"/>
  <c r="JZ97" i="55"/>
  <c r="JZ98" i="55"/>
  <c r="JZ99" i="55"/>
  <c r="JZ100" i="55"/>
  <c r="JZ101" i="55"/>
  <c r="JZ102" i="55"/>
  <c r="JZ103" i="55"/>
  <c r="JZ104" i="55"/>
  <c r="JZ105" i="55"/>
  <c r="JZ106" i="55"/>
  <c r="JZ107" i="55"/>
  <c r="JZ108" i="55"/>
  <c r="JZ109" i="55"/>
  <c r="JZ110" i="55"/>
  <c r="JZ111" i="55"/>
  <c r="JZ112" i="55"/>
  <c r="JZ113" i="55"/>
  <c r="JZ114" i="55"/>
  <c r="JZ115" i="55"/>
  <c r="JZ116" i="55"/>
  <c r="JZ117" i="55"/>
  <c r="JZ118" i="55"/>
  <c r="JZ119" i="55"/>
  <c r="JZ120" i="55"/>
  <c r="JZ121" i="55"/>
  <c r="JZ122" i="55"/>
  <c r="JZ123" i="55"/>
  <c r="JZ124" i="55"/>
  <c r="JZ125" i="55"/>
  <c r="JZ126" i="55"/>
  <c r="JZ127" i="55"/>
  <c r="JZ128" i="55"/>
  <c r="JZ129" i="55"/>
  <c r="JZ130" i="55"/>
  <c r="JZ131" i="55"/>
  <c r="JZ132" i="55"/>
  <c r="JZ133" i="55"/>
  <c r="JZ134" i="55"/>
  <c r="JZ135" i="55"/>
  <c r="JZ136" i="55"/>
  <c r="JZ137" i="55"/>
  <c r="JZ138" i="55"/>
  <c r="JZ139" i="55"/>
  <c r="JZ140" i="55"/>
  <c r="JZ141" i="55"/>
  <c r="JZ142" i="55"/>
  <c r="JZ143" i="55"/>
  <c r="JZ144" i="55"/>
  <c r="JZ145" i="55"/>
  <c r="JZ146" i="55"/>
  <c r="JZ147" i="55"/>
  <c r="JZ148" i="55"/>
  <c r="JZ149" i="55"/>
  <c r="JZ150" i="55"/>
  <c r="JZ151" i="55"/>
  <c r="JZ152" i="55"/>
  <c r="JZ153" i="55"/>
  <c r="JZ154" i="55"/>
  <c r="JZ155" i="55"/>
  <c r="JZ156" i="55"/>
  <c r="JZ157" i="55"/>
  <c r="JZ158" i="55"/>
  <c r="JZ159" i="55"/>
  <c r="JZ160" i="55"/>
  <c r="JZ161" i="55"/>
  <c r="JZ162" i="55"/>
  <c r="JZ163" i="55"/>
  <c r="JZ164" i="55"/>
  <c r="JZ165" i="55"/>
  <c r="JZ166" i="55"/>
  <c r="JZ167" i="55"/>
  <c r="JZ168" i="55"/>
  <c r="JZ169" i="55"/>
  <c r="JZ170" i="55"/>
  <c r="JZ171" i="55"/>
  <c r="JZ172" i="55"/>
  <c r="JZ173" i="55"/>
  <c r="JZ174" i="55"/>
  <c r="JZ175" i="55"/>
  <c r="JZ176" i="55"/>
  <c r="JZ177" i="55"/>
  <c r="JZ178" i="55"/>
  <c r="JZ179" i="55"/>
  <c r="JZ180" i="55"/>
  <c r="JZ181" i="55"/>
  <c r="JZ182" i="55"/>
  <c r="JZ183" i="55"/>
  <c r="JZ184" i="55"/>
  <c r="JZ185" i="55"/>
  <c r="JZ186" i="55"/>
  <c r="JZ187" i="55"/>
  <c r="JZ188" i="55"/>
  <c r="JZ189" i="55"/>
  <c r="JZ190" i="55"/>
  <c r="JZ191" i="55"/>
  <c r="JZ192" i="55"/>
  <c r="JZ193" i="55"/>
  <c r="JZ194" i="55"/>
  <c r="JZ195" i="55"/>
  <c r="JZ196" i="55"/>
  <c r="JZ197" i="55"/>
  <c r="JZ198" i="55"/>
  <c r="JZ199" i="55"/>
  <c r="JZ200" i="55"/>
  <c r="JZ201" i="55"/>
  <c r="JZ202" i="55"/>
  <c r="JZ203" i="55"/>
  <c r="JZ204" i="55"/>
  <c r="JZ205" i="55"/>
  <c r="JZ206" i="55"/>
  <c r="JZ207" i="55"/>
  <c r="JZ208" i="55"/>
  <c r="JZ209" i="55"/>
  <c r="JZ210" i="55"/>
  <c r="JZ211" i="55"/>
  <c r="JZ212" i="55"/>
  <c r="JZ213" i="55"/>
  <c r="JZ214" i="55"/>
  <c r="JZ215" i="55"/>
  <c r="JZ216" i="55"/>
  <c r="JZ217" i="55"/>
  <c r="JZ218" i="55"/>
  <c r="JZ219" i="55"/>
  <c r="JZ220" i="55"/>
  <c r="JZ221" i="55"/>
  <c r="JZ222" i="55"/>
  <c r="JZ223" i="55"/>
  <c r="JZ224" i="55"/>
  <c r="JZ225" i="55"/>
  <c r="JZ226" i="55"/>
  <c r="JZ227" i="55"/>
  <c r="JZ228" i="55"/>
  <c r="JZ229" i="55"/>
  <c r="JZ230" i="55"/>
  <c r="JZ231" i="55"/>
  <c r="JZ232" i="55"/>
  <c r="JZ233" i="55"/>
  <c r="JZ234" i="55"/>
  <c r="JZ235" i="55"/>
  <c r="JZ236" i="55"/>
  <c r="JZ237" i="55"/>
  <c r="JZ238" i="55"/>
  <c r="JZ239" i="55"/>
  <c r="JZ240" i="55"/>
  <c r="JZ241" i="55"/>
  <c r="JZ242" i="55"/>
  <c r="JZ243" i="55"/>
  <c r="JZ244" i="55"/>
  <c r="JZ245" i="55"/>
  <c r="JZ246" i="55"/>
  <c r="JZ247" i="55"/>
  <c r="JZ248" i="55"/>
  <c r="JZ249" i="55"/>
  <c r="JZ250" i="55"/>
  <c r="JZ251" i="55"/>
  <c r="JZ252" i="55"/>
  <c r="JZ253" i="55"/>
  <c r="JZ254" i="55"/>
  <c r="JZ255" i="55"/>
  <c r="JZ256" i="55"/>
  <c r="JZ257" i="55"/>
  <c r="JZ258" i="55"/>
  <c r="JZ259" i="55"/>
  <c r="JZ260" i="55"/>
  <c r="JZ261" i="55"/>
  <c r="JZ262" i="55"/>
  <c r="JZ263" i="55"/>
  <c r="JZ264" i="55"/>
  <c r="JZ265" i="55"/>
  <c r="JZ266" i="55"/>
  <c r="JZ267" i="55"/>
  <c r="JZ268" i="55"/>
  <c r="JZ269" i="55"/>
  <c r="JZ270" i="55"/>
  <c r="JZ271" i="55"/>
  <c r="JZ272" i="55"/>
  <c r="JZ273" i="55"/>
  <c r="JZ274" i="55"/>
  <c r="JZ275" i="55"/>
  <c r="JZ276" i="55"/>
  <c r="JZ277" i="55"/>
  <c r="JZ278" i="55"/>
  <c r="JZ279" i="55"/>
  <c r="JZ280" i="55"/>
  <c r="JZ281" i="55"/>
  <c r="JZ282" i="55"/>
  <c r="JZ283" i="55"/>
  <c r="JZ284" i="55"/>
  <c r="JZ285" i="55"/>
  <c r="JZ286" i="55"/>
  <c r="JZ287" i="55"/>
  <c r="JZ288" i="55"/>
  <c r="JZ289" i="55"/>
  <c r="JZ290" i="55"/>
  <c r="JZ291" i="55"/>
  <c r="JZ292" i="55"/>
  <c r="JZ293" i="55"/>
  <c r="JZ294" i="55"/>
  <c r="JZ295" i="55"/>
  <c r="JZ296" i="55"/>
  <c r="JZ297" i="55"/>
  <c r="JZ298" i="55"/>
  <c r="JZ299" i="55"/>
  <c r="JZ300" i="55"/>
  <c r="JZ301" i="55"/>
  <c r="JZ302" i="55"/>
  <c r="JZ303" i="55"/>
  <c r="JZ304" i="55"/>
  <c r="JZ305" i="55"/>
  <c r="JZ306" i="55"/>
  <c r="JZ307" i="55"/>
  <c r="JZ308" i="55"/>
  <c r="JZ309" i="55"/>
  <c r="JZ310" i="55"/>
  <c r="JZ311" i="55"/>
  <c r="JZ312" i="55"/>
  <c r="JZ313" i="55"/>
  <c r="JZ314" i="55"/>
  <c r="JZ315" i="55"/>
  <c r="JZ316" i="55"/>
  <c r="JZ317" i="55"/>
  <c r="JZ318" i="55"/>
  <c r="JZ319" i="55"/>
  <c r="JZ320" i="55"/>
  <c r="JZ321" i="55"/>
  <c r="JZ322" i="55"/>
  <c r="JZ323" i="55"/>
  <c r="JZ324" i="55"/>
  <c r="JZ325" i="55"/>
  <c r="JZ326" i="55"/>
  <c r="JZ327" i="55"/>
  <c r="JZ328" i="55"/>
  <c r="JZ329" i="55"/>
  <c r="JZ330" i="55"/>
  <c r="JZ331" i="55"/>
  <c r="JZ332" i="55"/>
  <c r="JZ333" i="55"/>
  <c r="JZ334" i="55"/>
  <c r="JZ335" i="55"/>
  <c r="JZ336" i="55"/>
  <c r="JZ337" i="55"/>
  <c r="JZ338" i="55"/>
  <c r="JZ339" i="55"/>
  <c r="JZ340" i="55"/>
  <c r="JZ341" i="55"/>
  <c r="JZ342" i="55"/>
  <c r="JZ343" i="55"/>
  <c r="JZ344" i="55"/>
  <c r="JZ345" i="55"/>
  <c r="JZ346" i="55"/>
  <c r="JZ347" i="55"/>
  <c r="JZ348" i="55"/>
  <c r="JZ349" i="55"/>
  <c r="JZ350" i="55"/>
  <c r="JZ351" i="55"/>
  <c r="JZ352" i="55"/>
  <c r="JT3" i="55"/>
  <c r="JT4" i="55"/>
  <c r="JT5" i="55"/>
  <c r="JT6" i="55"/>
  <c r="JT7" i="55"/>
  <c r="JT8" i="55"/>
  <c r="JT9" i="55"/>
  <c r="JT10" i="55"/>
  <c r="JT11" i="55"/>
  <c r="JT12" i="55"/>
  <c r="JT13" i="55"/>
  <c r="JT14" i="55"/>
  <c r="JT15" i="55"/>
  <c r="JT16" i="55"/>
  <c r="JT17" i="55"/>
  <c r="JT18" i="55"/>
  <c r="JT19" i="55"/>
  <c r="JT20" i="55"/>
  <c r="JT21" i="55"/>
  <c r="JT22" i="55"/>
  <c r="JT23" i="55"/>
  <c r="JT24" i="55"/>
  <c r="JT25" i="55"/>
  <c r="JT26" i="55"/>
  <c r="JT27" i="55"/>
  <c r="JT28" i="55"/>
  <c r="JT29" i="55"/>
  <c r="JT30" i="55"/>
  <c r="JT31" i="55"/>
  <c r="JT32" i="55"/>
  <c r="JT33" i="55"/>
  <c r="JT34" i="55"/>
  <c r="JT35" i="55"/>
  <c r="JT36" i="55"/>
  <c r="JT37" i="55"/>
  <c r="JT38" i="55"/>
  <c r="JT39" i="55"/>
  <c r="JT40" i="55"/>
  <c r="JT41" i="55"/>
  <c r="JT42" i="55"/>
  <c r="JT43" i="55"/>
  <c r="JT44" i="55"/>
  <c r="JT45" i="55"/>
  <c r="JT46" i="55"/>
  <c r="JT47" i="55"/>
  <c r="JT48" i="55"/>
  <c r="JT49" i="55"/>
  <c r="JT50" i="55"/>
  <c r="JT51" i="55"/>
  <c r="JT52" i="55"/>
  <c r="JT53" i="55"/>
  <c r="JT54" i="55"/>
  <c r="JT55" i="55"/>
  <c r="JT56" i="55"/>
  <c r="JT57" i="55"/>
  <c r="JT58" i="55"/>
  <c r="JT59" i="55"/>
  <c r="JT60" i="55"/>
  <c r="JT61" i="55"/>
  <c r="JT62" i="55"/>
  <c r="JT63" i="55"/>
  <c r="JT64" i="55"/>
  <c r="JT65" i="55"/>
  <c r="JT66" i="55"/>
  <c r="JT67" i="55"/>
  <c r="JT68" i="55"/>
  <c r="JT69" i="55"/>
  <c r="JT70" i="55"/>
  <c r="JT71" i="55"/>
  <c r="JT72" i="55"/>
  <c r="JT73" i="55"/>
  <c r="JT74" i="55"/>
  <c r="JT75" i="55"/>
  <c r="JT76" i="55"/>
  <c r="JT77" i="55"/>
  <c r="JT78" i="55"/>
  <c r="JT79" i="55"/>
  <c r="JT80" i="55"/>
  <c r="JT81" i="55"/>
  <c r="JT82" i="55"/>
  <c r="JT83" i="55"/>
  <c r="JT84" i="55"/>
  <c r="JT85" i="55"/>
  <c r="JT86" i="55"/>
  <c r="JT87" i="55"/>
  <c r="JT88" i="55"/>
  <c r="JT89" i="55"/>
  <c r="JT90" i="55"/>
  <c r="JT91" i="55"/>
  <c r="JT92" i="55"/>
  <c r="JT93" i="55"/>
  <c r="JT94" i="55"/>
  <c r="JT95" i="55"/>
  <c r="JT96" i="55"/>
  <c r="JT97" i="55"/>
  <c r="JT98" i="55"/>
  <c r="JT99" i="55"/>
  <c r="JT100" i="55"/>
  <c r="JT101" i="55"/>
  <c r="JT102" i="55"/>
  <c r="JT103" i="55"/>
  <c r="JT104" i="55"/>
  <c r="JT105" i="55"/>
  <c r="JT106" i="55"/>
  <c r="JT107" i="55"/>
  <c r="JT108" i="55"/>
  <c r="JT109" i="55"/>
  <c r="JT110" i="55"/>
  <c r="JT111" i="55"/>
  <c r="JT112" i="55"/>
  <c r="JT113" i="55"/>
  <c r="JT114" i="55"/>
  <c r="JT115" i="55"/>
  <c r="JT116" i="55"/>
  <c r="JT117" i="55"/>
  <c r="JT118" i="55"/>
  <c r="JT119" i="55"/>
  <c r="JT120" i="55"/>
  <c r="JT121" i="55"/>
  <c r="JT122" i="55"/>
  <c r="JT123" i="55"/>
  <c r="JT124" i="55"/>
  <c r="JT125" i="55"/>
  <c r="JT126" i="55"/>
  <c r="JT127" i="55"/>
  <c r="JT128" i="55"/>
  <c r="JT129" i="55"/>
  <c r="JT130" i="55"/>
  <c r="JT131" i="55"/>
  <c r="JT132" i="55"/>
  <c r="JT133" i="55"/>
  <c r="JT134" i="55"/>
  <c r="JT135" i="55"/>
  <c r="JT136" i="55"/>
  <c r="JT137" i="55"/>
  <c r="JT138" i="55"/>
  <c r="JT139" i="55"/>
  <c r="JT140" i="55"/>
  <c r="JT141" i="55"/>
  <c r="JT142" i="55"/>
  <c r="JT143" i="55"/>
  <c r="JT144" i="55"/>
  <c r="JT145" i="55"/>
  <c r="JT146" i="55"/>
  <c r="JT147" i="55"/>
  <c r="JT148" i="55"/>
  <c r="JT149" i="55"/>
  <c r="JT150" i="55"/>
  <c r="JT151" i="55"/>
  <c r="JT152" i="55"/>
  <c r="JT153" i="55"/>
  <c r="JT154" i="55"/>
  <c r="JT155" i="55"/>
  <c r="JT156" i="55"/>
  <c r="JT157" i="55"/>
  <c r="JT158" i="55"/>
  <c r="JT159" i="55"/>
  <c r="JT160" i="55"/>
  <c r="JT161" i="55"/>
  <c r="JT162" i="55"/>
  <c r="JT163" i="55"/>
  <c r="JT164" i="55"/>
  <c r="JT165" i="55"/>
  <c r="JT166" i="55"/>
  <c r="JT167" i="55"/>
  <c r="JT168" i="55"/>
  <c r="JT169" i="55"/>
  <c r="JT170" i="55"/>
  <c r="JT171" i="55"/>
  <c r="JT172" i="55"/>
  <c r="JT173" i="55"/>
  <c r="JT174" i="55"/>
  <c r="JT175" i="55"/>
  <c r="JT176" i="55"/>
  <c r="JT177" i="55"/>
  <c r="JT178" i="55"/>
  <c r="JT179" i="55"/>
  <c r="JT180" i="55"/>
  <c r="JT181" i="55"/>
  <c r="JT182" i="55"/>
  <c r="JT183" i="55"/>
  <c r="JT184" i="55"/>
  <c r="JT185" i="55"/>
  <c r="JT186" i="55"/>
  <c r="JT187" i="55"/>
  <c r="JT188" i="55"/>
  <c r="JT189" i="55"/>
  <c r="JT190" i="55"/>
  <c r="JT191" i="55"/>
  <c r="JT192" i="55"/>
  <c r="JT193" i="55"/>
  <c r="JT194" i="55"/>
  <c r="JT195" i="55"/>
  <c r="JT196" i="55"/>
  <c r="JT197" i="55"/>
  <c r="JT198" i="55"/>
  <c r="JT199" i="55"/>
  <c r="JT200" i="55"/>
  <c r="JT201" i="55"/>
  <c r="JT202" i="55"/>
  <c r="JT203" i="55"/>
  <c r="JT204" i="55"/>
  <c r="JT205" i="55"/>
  <c r="JT206" i="55"/>
  <c r="JT207" i="55"/>
  <c r="JT208" i="55"/>
  <c r="JT209" i="55"/>
  <c r="JT210" i="55"/>
  <c r="JT211" i="55"/>
  <c r="JT212" i="55"/>
  <c r="JT213" i="55"/>
  <c r="JT214" i="55"/>
  <c r="JT215" i="55"/>
  <c r="JT216" i="55"/>
  <c r="JT217" i="55"/>
  <c r="JT218" i="55"/>
  <c r="JT219" i="55"/>
  <c r="JT220" i="55"/>
  <c r="JT221" i="55"/>
  <c r="JT222" i="55"/>
  <c r="JT223" i="55"/>
  <c r="JT224" i="55"/>
  <c r="JT225" i="55"/>
  <c r="JT226" i="55"/>
  <c r="JT227" i="55"/>
  <c r="JT228" i="55"/>
  <c r="JT229" i="55"/>
  <c r="JT230" i="55"/>
  <c r="JT231" i="55"/>
  <c r="JT232" i="55"/>
  <c r="JT233" i="55"/>
  <c r="JT234" i="55"/>
  <c r="JT235" i="55"/>
  <c r="JT236" i="55"/>
  <c r="JT237" i="55"/>
  <c r="JT238" i="55"/>
  <c r="JT239" i="55"/>
  <c r="JT240" i="55"/>
  <c r="JT241" i="55"/>
  <c r="JT242" i="55"/>
  <c r="JT243" i="55"/>
  <c r="JT244" i="55"/>
  <c r="JT245" i="55"/>
  <c r="JT246" i="55"/>
  <c r="JT247" i="55"/>
  <c r="JT248" i="55"/>
  <c r="JT249" i="55"/>
  <c r="JT250" i="55"/>
  <c r="JT251" i="55"/>
  <c r="JT252" i="55"/>
  <c r="JT253" i="55"/>
  <c r="JT254" i="55"/>
  <c r="JT255" i="55"/>
  <c r="JT256" i="55"/>
  <c r="JT257" i="55"/>
  <c r="JT258" i="55"/>
  <c r="JT259" i="55"/>
  <c r="JT260" i="55"/>
  <c r="JT261" i="55"/>
  <c r="JT262" i="55"/>
  <c r="JT263" i="55"/>
  <c r="JT264" i="55"/>
  <c r="JT265" i="55"/>
  <c r="JT266" i="55"/>
  <c r="JT267" i="55"/>
  <c r="JT268" i="55"/>
  <c r="JT269" i="55"/>
  <c r="JT270" i="55"/>
  <c r="JT271" i="55"/>
  <c r="JT272" i="55"/>
  <c r="JT273" i="55"/>
  <c r="JT274" i="55"/>
  <c r="JT275" i="55"/>
  <c r="JT276" i="55"/>
  <c r="JT277" i="55"/>
  <c r="JT278" i="55"/>
  <c r="JT279" i="55"/>
  <c r="JT280" i="55"/>
  <c r="JT281" i="55"/>
  <c r="JT282" i="55"/>
  <c r="JT283" i="55"/>
  <c r="JT284" i="55"/>
  <c r="JT285" i="55"/>
  <c r="JT286" i="55"/>
  <c r="JT287" i="55"/>
  <c r="JT288" i="55"/>
  <c r="JT289" i="55"/>
  <c r="JT290" i="55"/>
  <c r="JT291" i="55"/>
  <c r="JT292" i="55"/>
  <c r="JT293" i="55"/>
  <c r="JT294" i="55"/>
  <c r="JT295" i="55"/>
  <c r="JT296" i="55"/>
  <c r="JT297" i="55"/>
  <c r="JT298" i="55"/>
  <c r="JT299" i="55"/>
  <c r="JT300" i="55"/>
  <c r="JT301" i="55"/>
  <c r="JT302" i="55"/>
  <c r="JT303" i="55"/>
  <c r="JT304" i="55"/>
  <c r="JT305" i="55"/>
  <c r="JT306" i="55"/>
  <c r="JT307" i="55"/>
  <c r="JT308" i="55"/>
  <c r="JT309" i="55"/>
  <c r="JT310" i="55"/>
  <c r="JT311" i="55"/>
  <c r="JT312" i="55"/>
  <c r="JT313" i="55"/>
  <c r="JT314" i="55"/>
  <c r="JT315" i="55"/>
  <c r="JT316" i="55"/>
  <c r="JT317" i="55"/>
  <c r="JT318" i="55"/>
  <c r="JT319" i="55"/>
  <c r="JT320" i="55"/>
  <c r="JT321" i="55"/>
  <c r="JT322" i="55"/>
  <c r="JT323" i="55"/>
  <c r="JT324" i="55"/>
  <c r="JT325" i="55"/>
  <c r="JT326" i="55"/>
  <c r="JT327" i="55"/>
  <c r="JT328" i="55"/>
  <c r="JT329" i="55"/>
  <c r="JT330" i="55"/>
  <c r="JT331" i="55"/>
  <c r="JT332" i="55"/>
  <c r="JT333" i="55"/>
  <c r="JT334" i="55"/>
  <c r="JT335" i="55"/>
  <c r="JT336" i="55"/>
  <c r="JT337" i="55"/>
  <c r="JT338" i="55"/>
  <c r="JT339" i="55"/>
  <c r="JT340" i="55"/>
  <c r="JT341" i="55"/>
  <c r="JT342" i="55"/>
  <c r="JT343" i="55"/>
  <c r="JT344" i="55"/>
  <c r="JT345" i="55"/>
  <c r="JT346" i="55"/>
  <c r="JT347" i="55"/>
  <c r="JT348" i="55"/>
  <c r="JT349" i="55"/>
  <c r="JT350" i="55"/>
  <c r="JT351" i="55"/>
  <c r="JT352" i="55"/>
  <c r="JJ3" i="55"/>
  <c r="JJ4" i="55"/>
  <c r="JJ5" i="55"/>
  <c r="JJ6" i="55"/>
  <c r="JJ7" i="55"/>
  <c r="JJ8" i="55"/>
  <c r="JJ9" i="55"/>
  <c r="JJ10" i="55"/>
  <c r="JJ11" i="55"/>
  <c r="JJ12" i="55"/>
  <c r="JJ13" i="55"/>
  <c r="JJ14" i="55"/>
  <c r="JJ15" i="55"/>
  <c r="JJ16" i="55"/>
  <c r="JJ17" i="55"/>
  <c r="JJ18" i="55"/>
  <c r="JJ19" i="55"/>
  <c r="JJ20" i="55"/>
  <c r="JJ21" i="55"/>
  <c r="JJ22" i="55"/>
  <c r="JJ23" i="55"/>
  <c r="JJ24" i="55"/>
  <c r="JJ25" i="55"/>
  <c r="JJ26" i="55"/>
  <c r="JJ27" i="55"/>
  <c r="JJ28" i="55"/>
  <c r="JJ29" i="55"/>
  <c r="JJ30" i="55"/>
  <c r="JJ31" i="55"/>
  <c r="JJ32" i="55"/>
  <c r="JJ33" i="55"/>
  <c r="JJ34" i="55"/>
  <c r="JJ35" i="55"/>
  <c r="JJ36" i="55"/>
  <c r="JJ37" i="55"/>
  <c r="JJ38" i="55"/>
  <c r="JJ39" i="55"/>
  <c r="JJ40" i="55"/>
  <c r="JJ41" i="55"/>
  <c r="JJ42" i="55"/>
  <c r="JJ43" i="55"/>
  <c r="JJ44" i="55"/>
  <c r="JJ45" i="55"/>
  <c r="JJ46" i="55"/>
  <c r="JJ47" i="55"/>
  <c r="JJ48" i="55"/>
  <c r="JJ49" i="55"/>
  <c r="JJ50" i="55"/>
  <c r="JJ51" i="55"/>
  <c r="JJ52" i="55"/>
  <c r="JJ53" i="55"/>
  <c r="JJ54" i="55"/>
  <c r="JJ55" i="55"/>
  <c r="JJ56" i="55"/>
  <c r="JJ57" i="55"/>
  <c r="JJ58" i="55"/>
  <c r="JJ59" i="55"/>
  <c r="JJ60" i="55"/>
  <c r="JJ61" i="55"/>
  <c r="JJ62" i="55"/>
  <c r="JJ63" i="55"/>
  <c r="JJ64" i="55"/>
  <c r="JJ65" i="55"/>
  <c r="JJ66" i="55"/>
  <c r="JJ67" i="55"/>
  <c r="JJ68" i="55"/>
  <c r="JJ69" i="55"/>
  <c r="JJ70" i="55"/>
  <c r="JJ71" i="55"/>
  <c r="JJ72" i="55"/>
  <c r="JJ73" i="55"/>
  <c r="JJ74" i="55"/>
  <c r="JJ75" i="55"/>
  <c r="JJ76" i="55"/>
  <c r="JJ77" i="55"/>
  <c r="JJ78" i="55"/>
  <c r="JJ79" i="55"/>
  <c r="JJ80" i="55"/>
  <c r="JJ81" i="55"/>
  <c r="JJ82" i="55"/>
  <c r="JJ83" i="55"/>
  <c r="JJ84" i="55"/>
  <c r="JJ85" i="55"/>
  <c r="JJ86" i="55"/>
  <c r="JJ87" i="55"/>
  <c r="JJ88" i="55"/>
  <c r="JJ89" i="55"/>
  <c r="JJ90" i="55"/>
  <c r="JJ91" i="55"/>
  <c r="JJ92" i="55"/>
  <c r="JJ93" i="55"/>
  <c r="JJ94" i="55"/>
  <c r="JJ95" i="55"/>
  <c r="JJ96" i="55"/>
  <c r="JJ97" i="55"/>
  <c r="JJ98" i="55"/>
  <c r="JJ99" i="55"/>
  <c r="JJ100" i="55"/>
  <c r="JJ101" i="55"/>
  <c r="JJ102" i="55"/>
  <c r="JJ103" i="55"/>
  <c r="JJ104" i="55"/>
  <c r="JJ105" i="55"/>
  <c r="JJ106" i="55"/>
  <c r="JJ107" i="55"/>
  <c r="JJ108" i="55"/>
  <c r="JJ109" i="55"/>
  <c r="JJ110" i="55"/>
  <c r="JJ111" i="55"/>
  <c r="JJ112" i="55"/>
  <c r="JJ113" i="55"/>
  <c r="JJ114" i="55"/>
  <c r="JJ115" i="55"/>
  <c r="JJ116" i="55"/>
  <c r="JJ117" i="55"/>
  <c r="JJ118" i="55"/>
  <c r="JJ119" i="55"/>
  <c r="JJ120" i="55"/>
  <c r="JJ121" i="55"/>
  <c r="JJ122" i="55"/>
  <c r="JJ123" i="55"/>
  <c r="JJ124" i="55"/>
  <c r="JJ125" i="55"/>
  <c r="JJ126" i="55"/>
  <c r="JJ127" i="55"/>
  <c r="JJ128" i="55"/>
  <c r="JJ129" i="55"/>
  <c r="JJ130" i="55"/>
  <c r="JJ131" i="55"/>
  <c r="JJ132" i="55"/>
  <c r="JJ133" i="55"/>
  <c r="JJ134" i="55"/>
  <c r="JJ135" i="55"/>
  <c r="JJ136" i="55"/>
  <c r="JJ137" i="55"/>
  <c r="JJ138" i="55"/>
  <c r="JJ139" i="55"/>
  <c r="JJ140" i="55"/>
  <c r="JJ141" i="55"/>
  <c r="JJ142" i="55"/>
  <c r="JJ143" i="55"/>
  <c r="JJ144" i="55"/>
  <c r="JJ145" i="55"/>
  <c r="JJ146" i="55"/>
  <c r="JJ147" i="55"/>
  <c r="JJ148" i="55"/>
  <c r="JJ149" i="55"/>
  <c r="JJ150" i="55"/>
  <c r="JJ151" i="55"/>
  <c r="JJ152" i="55"/>
  <c r="JJ153" i="55"/>
  <c r="JJ154" i="55"/>
  <c r="JJ155" i="55"/>
  <c r="JJ156" i="55"/>
  <c r="JJ157" i="55"/>
  <c r="JJ158" i="55"/>
  <c r="JJ159" i="55"/>
  <c r="JJ160" i="55"/>
  <c r="JJ161" i="55"/>
  <c r="JJ162" i="55"/>
  <c r="JJ163" i="55"/>
  <c r="JJ164" i="55"/>
  <c r="JJ165" i="55"/>
  <c r="JJ166" i="55"/>
  <c r="JJ167" i="55"/>
  <c r="JJ168" i="55"/>
  <c r="JJ169" i="55"/>
  <c r="JJ170" i="55"/>
  <c r="JJ171" i="55"/>
  <c r="JJ172" i="55"/>
  <c r="JJ173" i="55"/>
  <c r="JJ174" i="55"/>
  <c r="JJ175" i="55"/>
  <c r="JJ176" i="55"/>
  <c r="JJ177" i="55"/>
  <c r="JJ178" i="55"/>
  <c r="JJ179" i="55"/>
  <c r="JJ180" i="55"/>
  <c r="JJ181" i="55"/>
  <c r="JJ182" i="55"/>
  <c r="JJ183" i="55"/>
  <c r="JJ184" i="55"/>
  <c r="JJ185" i="55"/>
  <c r="JJ186" i="55"/>
  <c r="JJ187" i="55"/>
  <c r="JJ188" i="55"/>
  <c r="JJ189" i="55"/>
  <c r="JJ190" i="55"/>
  <c r="JJ191" i="55"/>
  <c r="JJ192" i="55"/>
  <c r="JJ193" i="55"/>
  <c r="JJ194" i="55"/>
  <c r="JJ195" i="55"/>
  <c r="JJ196" i="55"/>
  <c r="JJ197" i="55"/>
  <c r="JJ198" i="55"/>
  <c r="JJ199" i="55"/>
  <c r="JJ200" i="55"/>
  <c r="JJ201" i="55"/>
  <c r="JJ202" i="55"/>
  <c r="JJ203" i="55"/>
  <c r="JJ204" i="55"/>
  <c r="JJ205" i="55"/>
  <c r="JJ206" i="55"/>
  <c r="JJ207" i="55"/>
  <c r="JJ208" i="55"/>
  <c r="JJ209" i="55"/>
  <c r="JJ210" i="55"/>
  <c r="JJ211" i="55"/>
  <c r="JJ212" i="55"/>
  <c r="JJ213" i="55"/>
  <c r="JJ214" i="55"/>
  <c r="JJ215" i="55"/>
  <c r="JJ216" i="55"/>
  <c r="JJ217" i="55"/>
  <c r="JJ218" i="55"/>
  <c r="JJ219" i="55"/>
  <c r="JJ220" i="55"/>
  <c r="JJ221" i="55"/>
  <c r="JJ222" i="55"/>
  <c r="JJ223" i="55"/>
  <c r="JJ224" i="55"/>
  <c r="JJ225" i="55"/>
  <c r="JJ226" i="55"/>
  <c r="JJ227" i="55"/>
  <c r="JJ228" i="55"/>
  <c r="JJ229" i="55"/>
  <c r="JJ230" i="55"/>
  <c r="JJ231" i="55"/>
  <c r="JJ232" i="55"/>
  <c r="JJ233" i="55"/>
  <c r="JJ234" i="55"/>
  <c r="JJ235" i="55"/>
  <c r="JJ236" i="55"/>
  <c r="JJ237" i="55"/>
  <c r="JJ238" i="55"/>
  <c r="JJ239" i="55"/>
  <c r="JJ240" i="55"/>
  <c r="JJ241" i="55"/>
  <c r="JJ242" i="55"/>
  <c r="JJ243" i="55"/>
  <c r="JJ244" i="55"/>
  <c r="JJ245" i="55"/>
  <c r="JJ246" i="55"/>
  <c r="JJ247" i="55"/>
  <c r="JJ248" i="55"/>
  <c r="JJ249" i="55"/>
  <c r="JJ250" i="55"/>
  <c r="JJ251" i="55"/>
  <c r="JJ252" i="55"/>
  <c r="JJ253" i="55"/>
  <c r="JJ254" i="55"/>
  <c r="JJ255" i="55"/>
  <c r="JJ256" i="55"/>
  <c r="JJ257" i="55"/>
  <c r="JJ258" i="55"/>
  <c r="JJ259" i="55"/>
  <c r="JJ260" i="55"/>
  <c r="JJ261" i="55"/>
  <c r="JJ262" i="55"/>
  <c r="JJ263" i="55"/>
  <c r="JJ264" i="55"/>
  <c r="JJ265" i="55"/>
  <c r="JJ266" i="55"/>
  <c r="JJ267" i="55"/>
  <c r="JJ268" i="55"/>
  <c r="JJ269" i="55"/>
  <c r="JJ270" i="55"/>
  <c r="JJ271" i="55"/>
  <c r="JJ272" i="55"/>
  <c r="JJ273" i="55"/>
  <c r="JJ274" i="55"/>
  <c r="JJ275" i="55"/>
  <c r="JJ276" i="55"/>
  <c r="JJ277" i="55"/>
  <c r="JJ278" i="55"/>
  <c r="JJ279" i="55"/>
  <c r="JJ280" i="55"/>
  <c r="JJ281" i="55"/>
  <c r="JJ282" i="55"/>
  <c r="JJ283" i="55"/>
  <c r="JJ284" i="55"/>
  <c r="JJ285" i="55"/>
  <c r="JJ286" i="55"/>
  <c r="JJ287" i="55"/>
  <c r="JJ288" i="55"/>
  <c r="JJ289" i="55"/>
  <c r="JJ290" i="55"/>
  <c r="JJ291" i="55"/>
  <c r="JJ292" i="55"/>
  <c r="JJ293" i="55"/>
  <c r="JJ294" i="55"/>
  <c r="JJ295" i="55"/>
  <c r="JJ296" i="55"/>
  <c r="JJ297" i="55"/>
  <c r="JJ298" i="55"/>
  <c r="JJ299" i="55"/>
  <c r="JJ300" i="55"/>
  <c r="JJ301" i="55"/>
  <c r="JJ302" i="55"/>
  <c r="JJ303" i="55"/>
  <c r="JJ304" i="55"/>
  <c r="JJ305" i="55"/>
  <c r="JJ306" i="55"/>
  <c r="JJ307" i="55"/>
  <c r="JJ308" i="55"/>
  <c r="JJ309" i="55"/>
  <c r="JJ310" i="55"/>
  <c r="JJ311" i="55"/>
  <c r="JJ312" i="55"/>
  <c r="JJ313" i="55"/>
  <c r="JJ314" i="55"/>
  <c r="JJ315" i="55"/>
  <c r="JJ316" i="55"/>
  <c r="JJ317" i="55"/>
  <c r="JJ318" i="55"/>
  <c r="JJ319" i="55"/>
  <c r="JJ320" i="55"/>
  <c r="JJ321" i="55"/>
  <c r="JJ322" i="55"/>
  <c r="JJ323" i="55"/>
  <c r="JJ324" i="55"/>
  <c r="JJ325" i="55"/>
  <c r="JJ326" i="55"/>
  <c r="JJ327" i="55"/>
  <c r="JJ328" i="55"/>
  <c r="JJ329" i="55"/>
  <c r="JJ330" i="55"/>
  <c r="JJ331" i="55"/>
  <c r="JJ332" i="55"/>
  <c r="JJ333" i="55"/>
  <c r="JJ334" i="55"/>
  <c r="JJ335" i="55"/>
  <c r="JJ336" i="55"/>
  <c r="JJ337" i="55"/>
  <c r="JJ338" i="55"/>
  <c r="JJ339" i="55"/>
  <c r="JJ340" i="55"/>
  <c r="JJ341" i="55"/>
  <c r="JJ342" i="55"/>
  <c r="JJ343" i="55"/>
  <c r="JJ344" i="55"/>
  <c r="JJ345" i="55"/>
  <c r="JJ346" i="55"/>
  <c r="JJ347" i="55"/>
  <c r="JJ348" i="55"/>
  <c r="JJ349" i="55"/>
  <c r="JJ350" i="55"/>
  <c r="JJ351" i="55"/>
  <c r="JJ352" i="55"/>
  <c r="JI3" i="55"/>
  <c r="JI4" i="55"/>
  <c r="JI16" i="55"/>
  <c r="JI313" i="55"/>
  <c r="JH3" i="55"/>
  <c r="JH4" i="55"/>
  <c r="JH16" i="55"/>
  <c r="JH26" i="55"/>
  <c r="JI26" i="55" s="1"/>
  <c r="JH27" i="55"/>
  <c r="JI27" i="55" s="1"/>
  <c r="JH28" i="55"/>
  <c r="JI28" i="55" s="1"/>
  <c r="JH31" i="55"/>
  <c r="JI31" i="55" s="1"/>
  <c r="JH53" i="55"/>
  <c r="JI53" i="55" s="1"/>
  <c r="JH88" i="55"/>
  <c r="JI88" i="55" s="1"/>
  <c r="JH102" i="55"/>
  <c r="JI102" i="55" s="1"/>
  <c r="JH130" i="55"/>
  <c r="JI130" i="55" s="1"/>
  <c r="JH154" i="55"/>
  <c r="JI154" i="55" s="1"/>
  <c r="JH184" i="55"/>
  <c r="JI184" i="55" s="1"/>
  <c r="JH224" i="55"/>
  <c r="JI224" i="55" s="1"/>
  <c r="JH283" i="55"/>
  <c r="JI283" i="55" s="1"/>
  <c r="JH313" i="55"/>
  <c r="JH317" i="55"/>
  <c r="JI317" i="55" s="1"/>
  <c r="JH325" i="55"/>
  <c r="JI325" i="55" s="1"/>
  <c r="JH330" i="55"/>
  <c r="JI330" i="55" s="1"/>
  <c r="JH335" i="55"/>
  <c r="JI335" i="55" s="1"/>
  <c r="JH336" i="55"/>
  <c r="JI336" i="55" s="1"/>
  <c r="JH341" i="55"/>
  <c r="JI341" i="55" s="1"/>
  <c r="JD3" i="55"/>
  <c r="JD4" i="55"/>
  <c r="JD5" i="55"/>
  <c r="JD6" i="55"/>
  <c r="JD7" i="55"/>
  <c r="JD8" i="55"/>
  <c r="JD9" i="55"/>
  <c r="JD10" i="55"/>
  <c r="JD11" i="55"/>
  <c r="JD12" i="55"/>
  <c r="JD13" i="55"/>
  <c r="JD14" i="55"/>
  <c r="JD15" i="55"/>
  <c r="JD16" i="55"/>
  <c r="JD17" i="55"/>
  <c r="JD18" i="55"/>
  <c r="JD19" i="55"/>
  <c r="JD20" i="55"/>
  <c r="JD21" i="55"/>
  <c r="JD22" i="55"/>
  <c r="JD23" i="55"/>
  <c r="JD24" i="55"/>
  <c r="JD25" i="55"/>
  <c r="JD26" i="55"/>
  <c r="JD27" i="55"/>
  <c r="JD28" i="55"/>
  <c r="JD29" i="55"/>
  <c r="JD30" i="55"/>
  <c r="JD31" i="55"/>
  <c r="JD32" i="55"/>
  <c r="JD33" i="55"/>
  <c r="JD34" i="55"/>
  <c r="JD35" i="55"/>
  <c r="JD36" i="55"/>
  <c r="JD37" i="55"/>
  <c r="JD38" i="55"/>
  <c r="JD39" i="55"/>
  <c r="JD40" i="55"/>
  <c r="JD41" i="55"/>
  <c r="JD42" i="55"/>
  <c r="JD43" i="55"/>
  <c r="JD44" i="55"/>
  <c r="JD45" i="55"/>
  <c r="JD46" i="55"/>
  <c r="JD47" i="55"/>
  <c r="JD48" i="55"/>
  <c r="JD49" i="55"/>
  <c r="JD50" i="55"/>
  <c r="JD51" i="55"/>
  <c r="JD52" i="55"/>
  <c r="JD53" i="55"/>
  <c r="JD54" i="55"/>
  <c r="JD55" i="55"/>
  <c r="JD56" i="55"/>
  <c r="JD57" i="55"/>
  <c r="JD58" i="55"/>
  <c r="JD59" i="55"/>
  <c r="JD60" i="55"/>
  <c r="JD61" i="55"/>
  <c r="JD62" i="55"/>
  <c r="JD63" i="55"/>
  <c r="JD64" i="55"/>
  <c r="JD65" i="55"/>
  <c r="JD66" i="55"/>
  <c r="JD67" i="55"/>
  <c r="JD68" i="55"/>
  <c r="JD69" i="55"/>
  <c r="JD70" i="55"/>
  <c r="JD71" i="55"/>
  <c r="JD72" i="55"/>
  <c r="JD73" i="55"/>
  <c r="JD74" i="55"/>
  <c r="JD75" i="55"/>
  <c r="JD76" i="55"/>
  <c r="JD77" i="55"/>
  <c r="JD78" i="55"/>
  <c r="JD79" i="55"/>
  <c r="JD80" i="55"/>
  <c r="JD81" i="55"/>
  <c r="JD82" i="55"/>
  <c r="JD83" i="55"/>
  <c r="JD84" i="55"/>
  <c r="JD85" i="55"/>
  <c r="JD86" i="55"/>
  <c r="JD87" i="55"/>
  <c r="JD88" i="55"/>
  <c r="JD89" i="55"/>
  <c r="JD90" i="55"/>
  <c r="JD91" i="55"/>
  <c r="JD92" i="55"/>
  <c r="JD93" i="55"/>
  <c r="JD94" i="55"/>
  <c r="JD95" i="55"/>
  <c r="JD96" i="55"/>
  <c r="JD97" i="55"/>
  <c r="JD98" i="55"/>
  <c r="JD99" i="55"/>
  <c r="JD100" i="55"/>
  <c r="JD101" i="55"/>
  <c r="JD102" i="55"/>
  <c r="JD103" i="55"/>
  <c r="JD104" i="55"/>
  <c r="JD105" i="55"/>
  <c r="JD106" i="55"/>
  <c r="JD107" i="55"/>
  <c r="JD108" i="55"/>
  <c r="JD109" i="55"/>
  <c r="JD110" i="55"/>
  <c r="JD111" i="55"/>
  <c r="JD112" i="55"/>
  <c r="JD113" i="55"/>
  <c r="JD114" i="55"/>
  <c r="JD115" i="55"/>
  <c r="JD116" i="55"/>
  <c r="JD117" i="55"/>
  <c r="JD118" i="55"/>
  <c r="JD119" i="55"/>
  <c r="JD120" i="55"/>
  <c r="JD121" i="55"/>
  <c r="JD122" i="55"/>
  <c r="JD123" i="55"/>
  <c r="JD124" i="55"/>
  <c r="JD125" i="55"/>
  <c r="JD126" i="55"/>
  <c r="JD127" i="55"/>
  <c r="JD128" i="55"/>
  <c r="JD129" i="55"/>
  <c r="JD130" i="55"/>
  <c r="JD131" i="55"/>
  <c r="JD132" i="55"/>
  <c r="JD133" i="55"/>
  <c r="JD134" i="55"/>
  <c r="JD135" i="55"/>
  <c r="JD136" i="55"/>
  <c r="JD137" i="55"/>
  <c r="JD138" i="55"/>
  <c r="JD139" i="55"/>
  <c r="JD140" i="55"/>
  <c r="JD141" i="55"/>
  <c r="JD142" i="55"/>
  <c r="JD143" i="55"/>
  <c r="JD144" i="55"/>
  <c r="JD145" i="55"/>
  <c r="JD146" i="55"/>
  <c r="JD147" i="55"/>
  <c r="JD148" i="55"/>
  <c r="JD149" i="55"/>
  <c r="JD150" i="55"/>
  <c r="JD151" i="55"/>
  <c r="JD152" i="55"/>
  <c r="JD153" i="55"/>
  <c r="JD154" i="55"/>
  <c r="JD155" i="55"/>
  <c r="JD156" i="55"/>
  <c r="JD157" i="55"/>
  <c r="JD158" i="55"/>
  <c r="JD159" i="55"/>
  <c r="JD160" i="55"/>
  <c r="JD161" i="55"/>
  <c r="JD162" i="55"/>
  <c r="JD163" i="55"/>
  <c r="JD164" i="55"/>
  <c r="JD165" i="55"/>
  <c r="JD166" i="55"/>
  <c r="JD167" i="55"/>
  <c r="JD168" i="55"/>
  <c r="JD169" i="55"/>
  <c r="JD170" i="55"/>
  <c r="JD171" i="55"/>
  <c r="JD172" i="55"/>
  <c r="JD173" i="55"/>
  <c r="JD174" i="55"/>
  <c r="JD175" i="55"/>
  <c r="JD176" i="55"/>
  <c r="JD177" i="55"/>
  <c r="JD178" i="55"/>
  <c r="JD179" i="55"/>
  <c r="JD180" i="55"/>
  <c r="JD181" i="55"/>
  <c r="JD182" i="55"/>
  <c r="JD183" i="55"/>
  <c r="JD184" i="55"/>
  <c r="JD185" i="55"/>
  <c r="JD186" i="55"/>
  <c r="JD187" i="55"/>
  <c r="JD188" i="55"/>
  <c r="JD189" i="55"/>
  <c r="JD190" i="55"/>
  <c r="JD191" i="55"/>
  <c r="JD192" i="55"/>
  <c r="JD193" i="55"/>
  <c r="JD194" i="55"/>
  <c r="JD195" i="55"/>
  <c r="JD196" i="55"/>
  <c r="JD197" i="55"/>
  <c r="JD198" i="55"/>
  <c r="JD199" i="55"/>
  <c r="JD200" i="55"/>
  <c r="JD201" i="55"/>
  <c r="JD202" i="55"/>
  <c r="JD203" i="55"/>
  <c r="JD204" i="55"/>
  <c r="JD205" i="55"/>
  <c r="JD206" i="55"/>
  <c r="JD207" i="55"/>
  <c r="JD208" i="55"/>
  <c r="JD209" i="55"/>
  <c r="JD210" i="55"/>
  <c r="JD211" i="55"/>
  <c r="JD212" i="55"/>
  <c r="JD213" i="55"/>
  <c r="JD214" i="55"/>
  <c r="JD215" i="55"/>
  <c r="JD216" i="55"/>
  <c r="JD217" i="55"/>
  <c r="JD218" i="55"/>
  <c r="JD219" i="55"/>
  <c r="JD220" i="55"/>
  <c r="JD221" i="55"/>
  <c r="JD222" i="55"/>
  <c r="JD223" i="55"/>
  <c r="JD224" i="55"/>
  <c r="JD225" i="55"/>
  <c r="JD226" i="55"/>
  <c r="JD227" i="55"/>
  <c r="JD228" i="55"/>
  <c r="JD229" i="55"/>
  <c r="JD230" i="55"/>
  <c r="JD231" i="55"/>
  <c r="JD232" i="55"/>
  <c r="JD233" i="55"/>
  <c r="JD234" i="55"/>
  <c r="JD235" i="55"/>
  <c r="JD236" i="55"/>
  <c r="JD237" i="55"/>
  <c r="JD238" i="55"/>
  <c r="JD239" i="55"/>
  <c r="JD240" i="55"/>
  <c r="JD241" i="55"/>
  <c r="JD242" i="55"/>
  <c r="JD243" i="55"/>
  <c r="JD244" i="55"/>
  <c r="JD245" i="55"/>
  <c r="JD246" i="55"/>
  <c r="JD247" i="55"/>
  <c r="JD248" i="55"/>
  <c r="JD249" i="55"/>
  <c r="JD250" i="55"/>
  <c r="JD251" i="55"/>
  <c r="JD252" i="55"/>
  <c r="JD253" i="55"/>
  <c r="JD254" i="55"/>
  <c r="JD255" i="55"/>
  <c r="JD256" i="55"/>
  <c r="JD257" i="55"/>
  <c r="JD258" i="55"/>
  <c r="JD259" i="55"/>
  <c r="JD260" i="55"/>
  <c r="JD261" i="55"/>
  <c r="JD262" i="55"/>
  <c r="JD263" i="55"/>
  <c r="JD264" i="55"/>
  <c r="JD265" i="55"/>
  <c r="JD266" i="55"/>
  <c r="JD267" i="55"/>
  <c r="JD268" i="55"/>
  <c r="JD269" i="55"/>
  <c r="JD270" i="55"/>
  <c r="JD271" i="55"/>
  <c r="JD272" i="55"/>
  <c r="JD273" i="55"/>
  <c r="JD274" i="55"/>
  <c r="JD275" i="55"/>
  <c r="JD276" i="55"/>
  <c r="JD277" i="55"/>
  <c r="JD278" i="55"/>
  <c r="JD279" i="55"/>
  <c r="JD280" i="55"/>
  <c r="JD281" i="55"/>
  <c r="JD282" i="55"/>
  <c r="JD283" i="55"/>
  <c r="JD284" i="55"/>
  <c r="JD285" i="55"/>
  <c r="JD286" i="55"/>
  <c r="JD287" i="55"/>
  <c r="JD288" i="55"/>
  <c r="JD289" i="55"/>
  <c r="JD290" i="55"/>
  <c r="JD291" i="55"/>
  <c r="JD292" i="55"/>
  <c r="JD293" i="55"/>
  <c r="JD294" i="55"/>
  <c r="JD295" i="55"/>
  <c r="JD296" i="55"/>
  <c r="JD297" i="55"/>
  <c r="JD298" i="55"/>
  <c r="JD299" i="55"/>
  <c r="JD300" i="55"/>
  <c r="JD301" i="55"/>
  <c r="JD302" i="55"/>
  <c r="JD303" i="55"/>
  <c r="JD304" i="55"/>
  <c r="JD305" i="55"/>
  <c r="JD306" i="55"/>
  <c r="JD307" i="55"/>
  <c r="JD308" i="55"/>
  <c r="JD309" i="55"/>
  <c r="JD310" i="55"/>
  <c r="JD311" i="55"/>
  <c r="JD312" i="55"/>
  <c r="JD313" i="55"/>
  <c r="JD314" i="55"/>
  <c r="JD315" i="55"/>
  <c r="JD316" i="55"/>
  <c r="JD317" i="55"/>
  <c r="JD318" i="55"/>
  <c r="JD319" i="55"/>
  <c r="JD320" i="55"/>
  <c r="JD321" i="55"/>
  <c r="JD322" i="55"/>
  <c r="JD323" i="55"/>
  <c r="JD324" i="55"/>
  <c r="JD325" i="55"/>
  <c r="JD326" i="55"/>
  <c r="JD327" i="55"/>
  <c r="JD328" i="55"/>
  <c r="JD329" i="55"/>
  <c r="JD330" i="55"/>
  <c r="JD331" i="55"/>
  <c r="JD332" i="55"/>
  <c r="JD333" i="55"/>
  <c r="JD334" i="55"/>
  <c r="JD335" i="55"/>
  <c r="JD336" i="55"/>
  <c r="JD337" i="55"/>
  <c r="JD338" i="55"/>
  <c r="JD339" i="55"/>
  <c r="JD340" i="55"/>
  <c r="JD341" i="55"/>
  <c r="JD342" i="55"/>
  <c r="JD343" i="55"/>
  <c r="JD344" i="55"/>
  <c r="JD345" i="55"/>
  <c r="JD346" i="55"/>
  <c r="JD347" i="55"/>
  <c r="JD348" i="55"/>
  <c r="JD349" i="55"/>
  <c r="JD350" i="55"/>
  <c r="JD351" i="55"/>
  <c r="JD352" i="55"/>
  <c r="JB3" i="55"/>
  <c r="JB4" i="55"/>
  <c r="JB5" i="55"/>
  <c r="JB6" i="55"/>
  <c r="JB7" i="55"/>
  <c r="JB8" i="55"/>
  <c r="JB9" i="55"/>
  <c r="JB10" i="55"/>
  <c r="JB11" i="55"/>
  <c r="JB12" i="55"/>
  <c r="JB13" i="55"/>
  <c r="JB14" i="55"/>
  <c r="JB15" i="55"/>
  <c r="JB16" i="55"/>
  <c r="JB17" i="55"/>
  <c r="JB18" i="55"/>
  <c r="JB19" i="55"/>
  <c r="JB20" i="55"/>
  <c r="JB21" i="55"/>
  <c r="JB22" i="55"/>
  <c r="JB23" i="55"/>
  <c r="JB24" i="55"/>
  <c r="JB25" i="55"/>
  <c r="JB26" i="55"/>
  <c r="JB27" i="55"/>
  <c r="JB28" i="55"/>
  <c r="JB29" i="55"/>
  <c r="JB30" i="55"/>
  <c r="JB31" i="55"/>
  <c r="JB32" i="55"/>
  <c r="JB33" i="55"/>
  <c r="JB34" i="55"/>
  <c r="JB35" i="55"/>
  <c r="JB36" i="55"/>
  <c r="JB37" i="55"/>
  <c r="JB38" i="55"/>
  <c r="JB39" i="55"/>
  <c r="JB40" i="55"/>
  <c r="JB41" i="55"/>
  <c r="JB42" i="55"/>
  <c r="JB43" i="55"/>
  <c r="JB44" i="55"/>
  <c r="JB45" i="55"/>
  <c r="JB46" i="55"/>
  <c r="JB47" i="55"/>
  <c r="JB48" i="55"/>
  <c r="JB49" i="55"/>
  <c r="JB50" i="55"/>
  <c r="JB51" i="55"/>
  <c r="JB52" i="55"/>
  <c r="JB53" i="55"/>
  <c r="JB54" i="55"/>
  <c r="JB55" i="55"/>
  <c r="JB56" i="55"/>
  <c r="JB57" i="55"/>
  <c r="JB58" i="55"/>
  <c r="JB59" i="55"/>
  <c r="JB60" i="55"/>
  <c r="JB61" i="55"/>
  <c r="JB62" i="55"/>
  <c r="JB63" i="55"/>
  <c r="JB64" i="55"/>
  <c r="JB65" i="55"/>
  <c r="JB66" i="55"/>
  <c r="JB67" i="55"/>
  <c r="JB68" i="55"/>
  <c r="JB69" i="55"/>
  <c r="JB70" i="55"/>
  <c r="JB71" i="55"/>
  <c r="JB72" i="55"/>
  <c r="JB73" i="55"/>
  <c r="JB74" i="55"/>
  <c r="JB75" i="55"/>
  <c r="JB76" i="55"/>
  <c r="JB77" i="55"/>
  <c r="JB78" i="55"/>
  <c r="JB79" i="55"/>
  <c r="JB80" i="55"/>
  <c r="JB81" i="55"/>
  <c r="JB82" i="55"/>
  <c r="JB83" i="55"/>
  <c r="JB84" i="55"/>
  <c r="JB85" i="55"/>
  <c r="JB86" i="55"/>
  <c r="JB87" i="55"/>
  <c r="JB88" i="55"/>
  <c r="JB89" i="55"/>
  <c r="JB90" i="55"/>
  <c r="JB91" i="55"/>
  <c r="JB92" i="55"/>
  <c r="JB93" i="55"/>
  <c r="JB94" i="55"/>
  <c r="JB95" i="55"/>
  <c r="JB96" i="55"/>
  <c r="JB97" i="55"/>
  <c r="JB98" i="55"/>
  <c r="JB99" i="55"/>
  <c r="JB100" i="55"/>
  <c r="JB101" i="55"/>
  <c r="JB102" i="55"/>
  <c r="JB103" i="55"/>
  <c r="JB104" i="55"/>
  <c r="JB105" i="55"/>
  <c r="JB106" i="55"/>
  <c r="JB107" i="55"/>
  <c r="JB108" i="55"/>
  <c r="JB109" i="55"/>
  <c r="JB110" i="55"/>
  <c r="JB111" i="55"/>
  <c r="JB112" i="55"/>
  <c r="JB113" i="55"/>
  <c r="JB114" i="55"/>
  <c r="JB115" i="55"/>
  <c r="JB116" i="55"/>
  <c r="JB117" i="55"/>
  <c r="JB118" i="55"/>
  <c r="JB119" i="55"/>
  <c r="JB120" i="55"/>
  <c r="JB121" i="55"/>
  <c r="JB122" i="55"/>
  <c r="JB123" i="55"/>
  <c r="JB124" i="55"/>
  <c r="JB125" i="55"/>
  <c r="JB126" i="55"/>
  <c r="JB127" i="55"/>
  <c r="JB128" i="55"/>
  <c r="JB129" i="55"/>
  <c r="JB130" i="55"/>
  <c r="JB131" i="55"/>
  <c r="JB132" i="55"/>
  <c r="JB133" i="55"/>
  <c r="JB134" i="55"/>
  <c r="JB135" i="55"/>
  <c r="JB136" i="55"/>
  <c r="JB137" i="55"/>
  <c r="JB138" i="55"/>
  <c r="JB139" i="55"/>
  <c r="JB140" i="55"/>
  <c r="JB141" i="55"/>
  <c r="JB142" i="55"/>
  <c r="JB143" i="55"/>
  <c r="JB144" i="55"/>
  <c r="JB145" i="55"/>
  <c r="JB146" i="55"/>
  <c r="JB147" i="55"/>
  <c r="JB148" i="55"/>
  <c r="JB149" i="55"/>
  <c r="JB150" i="55"/>
  <c r="JB151" i="55"/>
  <c r="JB152" i="55"/>
  <c r="JB153" i="55"/>
  <c r="JB154" i="55"/>
  <c r="JB155" i="55"/>
  <c r="JB156" i="55"/>
  <c r="JB157" i="55"/>
  <c r="JB158" i="55"/>
  <c r="JB159" i="55"/>
  <c r="JB160" i="55"/>
  <c r="JB161" i="55"/>
  <c r="JB162" i="55"/>
  <c r="JB163" i="55"/>
  <c r="JB164" i="55"/>
  <c r="JB165" i="55"/>
  <c r="JB166" i="55"/>
  <c r="JB167" i="55"/>
  <c r="JB168" i="55"/>
  <c r="JB169" i="55"/>
  <c r="JB170" i="55"/>
  <c r="JB171" i="55"/>
  <c r="JB172" i="55"/>
  <c r="JB173" i="55"/>
  <c r="JB174" i="55"/>
  <c r="JB175" i="55"/>
  <c r="JB176" i="55"/>
  <c r="JB177" i="55"/>
  <c r="JB178" i="55"/>
  <c r="JB179" i="55"/>
  <c r="JB180" i="55"/>
  <c r="JB181" i="55"/>
  <c r="JB182" i="55"/>
  <c r="JB183" i="55"/>
  <c r="JB184" i="55"/>
  <c r="JB185" i="55"/>
  <c r="JB186" i="55"/>
  <c r="JB187" i="55"/>
  <c r="JB188" i="55"/>
  <c r="JB189" i="55"/>
  <c r="JB190" i="55"/>
  <c r="JB191" i="55"/>
  <c r="JB192" i="55"/>
  <c r="JB193" i="55"/>
  <c r="JB194" i="55"/>
  <c r="JB195" i="55"/>
  <c r="JB196" i="55"/>
  <c r="JB197" i="55"/>
  <c r="JB198" i="55"/>
  <c r="JB199" i="55"/>
  <c r="JB200" i="55"/>
  <c r="JB201" i="55"/>
  <c r="JB202" i="55"/>
  <c r="JB203" i="55"/>
  <c r="JB204" i="55"/>
  <c r="JB205" i="55"/>
  <c r="JB206" i="55"/>
  <c r="JB207" i="55"/>
  <c r="JB208" i="55"/>
  <c r="JB209" i="55"/>
  <c r="JB210" i="55"/>
  <c r="JB211" i="55"/>
  <c r="JB212" i="55"/>
  <c r="JB213" i="55"/>
  <c r="JB214" i="55"/>
  <c r="JB215" i="55"/>
  <c r="JB216" i="55"/>
  <c r="JB217" i="55"/>
  <c r="JB218" i="55"/>
  <c r="JB219" i="55"/>
  <c r="JB220" i="55"/>
  <c r="JB221" i="55"/>
  <c r="JB222" i="55"/>
  <c r="JB223" i="55"/>
  <c r="JB224" i="55"/>
  <c r="JB225" i="55"/>
  <c r="JB226" i="55"/>
  <c r="JB227" i="55"/>
  <c r="JB228" i="55"/>
  <c r="JB229" i="55"/>
  <c r="JB230" i="55"/>
  <c r="JB231" i="55"/>
  <c r="JB232" i="55"/>
  <c r="JB233" i="55"/>
  <c r="JB234" i="55"/>
  <c r="JB235" i="55"/>
  <c r="JB236" i="55"/>
  <c r="JB237" i="55"/>
  <c r="JB238" i="55"/>
  <c r="JB239" i="55"/>
  <c r="JB240" i="55"/>
  <c r="JB241" i="55"/>
  <c r="JB242" i="55"/>
  <c r="JB243" i="55"/>
  <c r="JB244" i="55"/>
  <c r="JB245" i="55"/>
  <c r="JB246" i="55"/>
  <c r="JB247" i="55"/>
  <c r="JB248" i="55"/>
  <c r="JB249" i="55"/>
  <c r="JB250" i="55"/>
  <c r="JB251" i="55"/>
  <c r="JB252" i="55"/>
  <c r="JB253" i="55"/>
  <c r="JB254" i="55"/>
  <c r="JB255" i="55"/>
  <c r="JB256" i="55"/>
  <c r="JB257" i="55"/>
  <c r="JB258" i="55"/>
  <c r="JB259" i="55"/>
  <c r="JB260" i="55"/>
  <c r="JB261" i="55"/>
  <c r="JB262" i="55"/>
  <c r="JB263" i="55"/>
  <c r="JB264" i="55"/>
  <c r="JB265" i="55"/>
  <c r="JB266" i="55"/>
  <c r="JB267" i="55"/>
  <c r="JB268" i="55"/>
  <c r="JB269" i="55"/>
  <c r="JB270" i="55"/>
  <c r="JB271" i="55"/>
  <c r="JB272" i="55"/>
  <c r="JB273" i="55"/>
  <c r="JB274" i="55"/>
  <c r="JB275" i="55"/>
  <c r="JB276" i="55"/>
  <c r="JB277" i="55"/>
  <c r="JB278" i="55"/>
  <c r="JB279" i="55"/>
  <c r="JB280" i="55"/>
  <c r="JB281" i="55"/>
  <c r="JB282" i="55"/>
  <c r="JB283" i="55"/>
  <c r="JB284" i="55"/>
  <c r="JB285" i="55"/>
  <c r="JB286" i="55"/>
  <c r="JB287" i="55"/>
  <c r="JB288" i="55"/>
  <c r="JB289" i="55"/>
  <c r="JB290" i="55"/>
  <c r="JB291" i="55"/>
  <c r="JB292" i="55"/>
  <c r="JB293" i="55"/>
  <c r="JB294" i="55"/>
  <c r="JB295" i="55"/>
  <c r="JB296" i="55"/>
  <c r="JB297" i="55"/>
  <c r="JB298" i="55"/>
  <c r="JB299" i="55"/>
  <c r="JB300" i="55"/>
  <c r="JB301" i="55"/>
  <c r="JB302" i="55"/>
  <c r="JB303" i="55"/>
  <c r="JB304" i="55"/>
  <c r="JB305" i="55"/>
  <c r="JB306" i="55"/>
  <c r="JB307" i="55"/>
  <c r="JB308" i="55"/>
  <c r="JB309" i="55"/>
  <c r="JB310" i="55"/>
  <c r="JB311" i="55"/>
  <c r="JB312" i="55"/>
  <c r="JB313" i="55"/>
  <c r="JB314" i="55"/>
  <c r="JB315" i="55"/>
  <c r="JB316" i="55"/>
  <c r="JB317" i="55"/>
  <c r="JB318" i="55"/>
  <c r="JB319" i="55"/>
  <c r="JB320" i="55"/>
  <c r="JB321" i="55"/>
  <c r="JB322" i="55"/>
  <c r="JB323" i="55"/>
  <c r="JB324" i="55"/>
  <c r="JB325" i="55"/>
  <c r="JB326" i="55"/>
  <c r="JB327" i="55"/>
  <c r="JB328" i="55"/>
  <c r="JB329" i="55"/>
  <c r="JB330" i="55"/>
  <c r="JB331" i="55"/>
  <c r="JB332" i="55"/>
  <c r="JB333" i="55"/>
  <c r="JB334" i="55"/>
  <c r="JB335" i="55"/>
  <c r="JB336" i="55"/>
  <c r="JB337" i="55"/>
  <c r="JB338" i="55"/>
  <c r="JB339" i="55"/>
  <c r="JB340" i="55"/>
  <c r="JB341" i="55"/>
  <c r="JB342" i="55"/>
  <c r="JB343" i="55"/>
  <c r="JB344" i="55"/>
  <c r="JB345" i="55"/>
  <c r="JB346" i="55"/>
  <c r="JB347" i="55"/>
  <c r="JB348" i="55"/>
  <c r="JB349" i="55"/>
  <c r="JB350" i="55"/>
  <c r="JB351" i="55"/>
  <c r="JB352" i="55"/>
  <c r="IB180" i="55"/>
  <c r="IB352" i="55"/>
  <c r="IA324" i="55"/>
  <c r="IA337" i="55"/>
  <c r="IA339" i="55"/>
  <c r="IA352" i="55"/>
  <c r="HZ352" i="55"/>
  <c r="HY173" i="55"/>
  <c r="HX314" i="55"/>
  <c r="HW352" i="55"/>
  <c r="HN7" i="55"/>
  <c r="HN9" i="55"/>
  <c r="HN10" i="55"/>
  <c r="HN11" i="55"/>
  <c r="HN12" i="55"/>
  <c r="HN13" i="55"/>
  <c r="HN14" i="55"/>
  <c r="HN15" i="55"/>
  <c r="HN16" i="55"/>
  <c r="HN17" i="55"/>
  <c r="HN18" i="55"/>
  <c r="HN19" i="55"/>
  <c r="HN20" i="55"/>
  <c r="HN21" i="55"/>
  <c r="HN24" i="55"/>
  <c r="HN57" i="55"/>
  <c r="HN59" i="55"/>
  <c r="HN60" i="55"/>
  <c r="HN61" i="55"/>
  <c r="HN62" i="55"/>
  <c r="HN63" i="55"/>
  <c r="HN64" i="55"/>
  <c r="HN65" i="55"/>
  <c r="HN66" i="55"/>
  <c r="HN67" i="55"/>
  <c r="HN68" i="55"/>
  <c r="HN69" i="55"/>
  <c r="HN70" i="55"/>
  <c r="HN71" i="55"/>
  <c r="HN74" i="55"/>
  <c r="HN75" i="55"/>
  <c r="HN76" i="55"/>
  <c r="HN77" i="55"/>
  <c r="HN78" i="55"/>
  <c r="HN79" i="55"/>
  <c r="HN80" i="55"/>
  <c r="HN89" i="55"/>
  <c r="HN91" i="55"/>
  <c r="HN92" i="55"/>
  <c r="HN93" i="55"/>
  <c r="HN94" i="55"/>
  <c r="HN95" i="55"/>
  <c r="HN96" i="55"/>
  <c r="HN97" i="55"/>
  <c r="HN98" i="55"/>
  <c r="HN99" i="55"/>
  <c r="HN100" i="55"/>
  <c r="HN101" i="55"/>
  <c r="HN107" i="55"/>
  <c r="HN109" i="55"/>
  <c r="HN110" i="55"/>
  <c r="HN111" i="55"/>
  <c r="HN112" i="55"/>
  <c r="HN113" i="55"/>
  <c r="HN114" i="55"/>
  <c r="HN115" i="55"/>
  <c r="HN116" i="55"/>
  <c r="HN117" i="55"/>
  <c r="HN118" i="55"/>
  <c r="HN119" i="55"/>
  <c r="HN120" i="55"/>
  <c r="HN121" i="55"/>
  <c r="HN124" i="55"/>
  <c r="HN125" i="55"/>
  <c r="HN126" i="55"/>
  <c r="HN127" i="55"/>
  <c r="HN128" i="55"/>
  <c r="HN135" i="55"/>
  <c r="HN137" i="55"/>
  <c r="HN138" i="55"/>
  <c r="HN139" i="55"/>
  <c r="HN140" i="55"/>
  <c r="HN141" i="55"/>
  <c r="HN142" i="55"/>
  <c r="HN143" i="55"/>
  <c r="HN144" i="55"/>
  <c r="HN145" i="55"/>
  <c r="HN146" i="55"/>
  <c r="HN147" i="55"/>
  <c r="HN148" i="55"/>
  <c r="HN149" i="55"/>
  <c r="HN152" i="55"/>
  <c r="HN153" i="55"/>
  <c r="HN164" i="55"/>
  <c r="HN166" i="55"/>
  <c r="HN167" i="55"/>
  <c r="HN168" i="55"/>
  <c r="HN169" i="55"/>
  <c r="HN170" i="55"/>
  <c r="HN171" i="55"/>
  <c r="HN172" i="55"/>
  <c r="HN173" i="55"/>
  <c r="HN174" i="55"/>
  <c r="HN175" i="55"/>
  <c r="HN176" i="55"/>
  <c r="HN177" i="55"/>
  <c r="HN178" i="55"/>
  <c r="HN181" i="55"/>
  <c r="HN182" i="55"/>
  <c r="HN183" i="55"/>
  <c r="HN193" i="55"/>
  <c r="HN195" i="55"/>
  <c r="HN196" i="55"/>
  <c r="HN197" i="55"/>
  <c r="HN198" i="55"/>
  <c r="HN199" i="55"/>
  <c r="HN200" i="55"/>
  <c r="HN201" i="55"/>
  <c r="HN202" i="55"/>
  <c r="HN203" i="55"/>
  <c r="HN204" i="55"/>
  <c r="HN205" i="55"/>
  <c r="HN206" i="55"/>
  <c r="HN207" i="55"/>
  <c r="HN210" i="55"/>
  <c r="HN211" i="55"/>
  <c r="HN212" i="55"/>
  <c r="HN213" i="55"/>
  <c r="HN214" i="55"/>
  <c r="HN215" i="55"/>
  <c r="HN216" i="55"/>
  <c r="HN217" i="55"/>
  <c r="HN218" i="55"/>
  <c r="HN219" i="55"/>
  <c r="HN233" i="55"/>
  <c r="HN235" i="55"/>
  <c r="HN236" i="55"/>
  <c r="HN237" i="55"/>
  <c r="HN238" i="55"/>
  <c r="HN239" i="55"/>
  <c r="HN240" i="55"/>
  <c r="HN241" i="55"/>
  <c r="HN242" i="55"/>
  <c r="HN243" i="55"/>
  <c r="HN244" i="55"/>
  <c r="HN245" i="55"/>
  <c r="HN246" i="55"/>
  <c r="HN247" i="55"/>
  <c r="HN250" i="55"/>
  <c r="HN251" i="55"/>
  <c r="HN252" i="55"/>
  <c r="HN253" i="55"/>
  <c r="HN254" i="55"/>
  <c r="HN255" i="55"/>
  <c r="HN256" i="55"/>
  <c r="HN257" i="55"/>
  <c r="HN258" i="55"/>
  <c r="HN259" i="55"/>
  <c r="HN292" i="55"/>
  <c r="HN294" i="55"/>
  <c r="HN295" i="55"/>
  <c r="HN296" i="55"/>
  <c r="HN297" i="55"/>
  <c r="HN298" i="55"/>
  <c r="HN299" i="55"/>
  <c r="HN300" i="55"/>
  <c r="HN301" i="55"/>
  <c r="HN302" i="55"/>
  <c r="HN303" i="55"/>
  <c r="HN304" i="55"/>
  <c r="HN305" i="55"/>
  <c r="HN306" i="55"/>
  <c r="HN309" i="55"/>
  <c r="HN310" i="55"/>
  <c r="HN311" i="55"/>
  <c r="HN312" i="55"/>
  <c r="HN344" i="55"/>
  <c r="HN346" i="55"/>
  <c r="HN347" i="55"/>
  <c r="HN348" i="55"/>
  <c r="HN349" i="55"/>
  <c r="HN350" i="55"/>
  <c r="HN351" i="55"/>
  <c r="HN352" i="55"/>
  <c r="HM317" i="55"/>
  <c r="M317" i="55" s="1"/>
  <c r="HN317" i="55" s="1"/>
  <c r="HL26" i="55"/>
  <c r="HM26" i="55" s="1"/>
  <c r="M26" i="55" s="1"/>
  <c r="HN26" i="55" s="1"/>
  <c r="HL31" i="55"/>
  <c r="HL53" i="55"/>
  <c r="HL88" i="55"/>
  <c r="HM88" i="55" s="1"/>
  <c r="M88" i="55" s="1"/>
  <c r="HN88" i="55" s="1"/>
  <c r="HL102" i="55"/>
  <c r="HM102" i="55" s="1"/>
  <c r="M102" i="55" s="1"/>
  <c r="HN102" i="55" s="1"/>
  <c r="HL130" i="55"/>
  <c r="HM130" i="55" s="1"/>
  <c r="M130" i="55" s="1"/>
  <c r="HN130" i="55" s="1"/>
  <c r="HL154" i="55"/>
  <c r="HM154" i="55" s="1"/>
  <c r="M154" i="55" s="1"/>
  <c r="HN154" i="55" s="1"/>
  <c r="HL184" i="55"/>
  <c r="HM184" i="55" s="1"/>
  <c r="M184" i="55" s="1"/>
  <c r="HN184" i="55" s="1"/>
  <c r="HL224" i="55"/>
  <c r="HL283" i="55"/>
  <c r="HL313" i="55"/>
  <c r="HM313" i="55" s="1"/>
  <c r="M313" i="55" s="1"/>
  <c r="HN313" i="55" s="1"/>
  <c r="HL317" i="55"/>
  <c r="HL325" i="55"/>
  <c r="HL330" i="55"/>
  <c r="HM330" i="55" s="1"/>
  <c r="M330" i="55" s="1"/>
  <c r="HN330" i="55" s="1"/>
  <c r="HL335" i="55"/>
  <c r="HM335" i="55" s="1"/>
  <c r="M335" i="55" s="1"/>
  <c r="HN335" i="55" s="1"/>
  <c r="HL336" i="55"/>
  <c r="HM336" i="55" s="1"/>
  <c r="M336" i="55" s="1"/>
  <c r="HN336" i="55" s="1"/>
  <c r="HL341" i="55"/>
  <c r="GZ3" i="55"/>
  <c r="GZ4" i="55"/>
  <c r="GZ5" i="55"/>
  <c r="GZ6" i="55"/>
  <c r="GZ7" i="55"/>
  <c r="GZ8" i="55"/>
  <c r="GZ9" i="55"/>
  <c r="GZ10" i="55"/>
  <c r="GZ11" i="55"/>
  <c r="GZ12" i="55"/>
  <c r="GZ13" i="55"/>
  <c r="GZ14" i="55"/>
  <c r="GZ15" i="55"/>
  <c r="GZ16" i="55"/>
  <c r="GZ17" i="55"/>
  <c r="GZ18" i="55"/>
  <c r="GZ19" i="55"/>
  <c r="GZ20" i="55"/>
  <c r="GZ21" i="55"/>
  <c r="GZ22" i="55"/>
  <c r="GZ23" i="55"/>
  <c r="GZ24" i="55"/>
  <c r="GZ25" i="55"/>
  <c r="GZ26" i="55"/>
  <c r="GZ27" i="55"/>
  <c r="GZ28" i="55"/>
  <c r="GZ29" i="55"/>
  <c r="GZ30" i="55"/>
  <c r="GZ31" i="55"/>
  <c r="GZ32" i="55"/>
  <c r="GZ33" i="55"/>
  <c r="GZ34" i="55"/>
  <c r="GZ35" i="55"/>
  <c r="GZ36" i="55"/>
  <c r="GZ37" i="55"/>
  <c r="GZ38" i="55"/>
  <c r="GZ39" i="55"/>
  <c r="GZ40" i="55"/>
  <c r="GZ41" i="55"/>
  <c r="GZ42" i="55"/>
  <c r="GZ43" i="55"/>
  <c r="GZ44" i="55"/>
  <c r="GZ45" i="55"/>
  <c r="GZ46" i="55"/>
  <c r="GZ47" i="55"/>
  <c r="GZ48" i="55"/>
  <c r="GZ49" i="55"/>
  <c r="GZ50" i="55"/>
  <c r="GZ51" i="55"/>
  <c r="GZ52" i="55"/>
  <c r="GZ53" i="55"/>
  <c r="GZ54" i="55"/>
  <c r="GZ55" i="55"/>
  <c r="GZ56" i="55"/>
  <c r="GZ57" i="55"/>
  <c r="GZ58" i="55"/>
  <c r="GZ59" i="55"/>
  <c r="GZ60" i="55"/>
  <c r="GZ61" i="55"/>
  <c r="GZ62" i="55"/>
  <c r="GZ63" i="55"/>
  <c r="GZ64" i="55"/>
  <c r="GZ65" i="55"/>
  <c r="GZ66" i="55"/>
  <c r="GZ67" i="55"/>
  <c r="GZ68" i="55"/>
  <c r="GZ69" i="55"/>
  <c r="GZ70" i="55"/>
  <c r="GZ71" i="55"/>
  <c r="GZ72" i="55"/>
  <c r="GZ73" i="55"/>
  <c r="GZ74" i="55"/>
  <c r="GZ75" i="55"/>
  <c r="GZ76" i="55"/>
  <c r="GZ77" i="55"/>
  <c r="GZ78" i="55"/>
  <c r="GZ79" i="55"/>
  <c r="GZ80" i="55"/>
  <c r="GZ81" i="55"/>
  <c r="GZ82" i="55"/>
  <c r="GZ83" i="55"/>
  <c r="GZ84" i="55"/>
  <c r="GZ85" i="55"/>
  <c r="GZ86" i="55"/>
  <c r="GZ87" i="55"/>
  <c r="GZ88" i="55"/>
  <c r="GZ89" i="55"/>
  <c r="GZ90" i="55"/>
  <c r="GZ91" i="55"/>
  <c r="GZ92" i="55"/>
  <c r="GZ93" i="55"/>
  <c r="GZ94" i="55"/>
  <c r="GZ95" i="55"/>
  <c r="GZ96" i="55"/>
  <c r="GZ97" i="55"/>
  <c r="GZ98" i="55"/>
  <c r="GZ99" i="55"/>
  <c r="GZ100" i="55"/>
  <c r="GZ101" i="55"/>
  <c r="GZ102" i="55"/>
  <c r="GZ103" i="55"/>
  <c r="GZ104" i="55"/>
  <c r="GZ105" i="55"/>
  <c r="GZ106" i="55"/>
  <c r="GZ107" i="55"/>
  <c r="GZ108" i="55"/>
  <c r="GZ109" i="55"/>
  <c r="GZ110" i="55"/>
  <c r="GZ111" i="55"/>
  <c r="GZ112" i="55"/>
  <c r="GZ113" i="55"/>
  <c r="GZ114" i="55"/>
  <c r="GZ115" i="55"/>
  <c r="GZ116" i="55"/>
  <c r="GZ117" i="55"/>
  <c r="GZ118" i="55"/>
  <c r="GZ119" i="55"/>
  <c r="GZ120" i="55"/>
  <c r="GZ121" i="55"/>
  <c r="GZ122" i="55"/>
  <c r="GZ123" i="55"/>
  <c r="GZ124" i="55"/>
  <c r="GZ125" i="55"/>
  <c r="GZ126" i="55"/>
  <c r="GZ127" i="55"/>
  <c r="GZ128" i="55"/>
  <c r="GZ129" i="55"/>
  <c r="GZ130" i="55"/>
  <c r="GZ131" i="55"/>
  <c r="GZ132" i="55"/>
  <c r="GZ133" i="55"/>
  <c r="GZ134" i="55"/>
  <c r="GZ135" i="55"/>
  <c r="GZ136" i="55"/>
  <c r="GZ137" i="55"/>
  <c r="GZ138" i="55"/>
  <c r="GZ139" i="55"/>
  <c r="GZ140" i="55"/>
  <c r="GZ141" i="55"/>
  <c r="GZ142" i="55"/>
  <c r="GZ143" i="55"/>
  <c r="GZ144" i="55"/>
  <c r="GZ145" i="55"/>
  <c r="GZ146" i="55"/>
  <c r="GZ147" i="55"/>
  <c r="GZ148" i="55"/>
  <c r="GZ149" i="55"/>
  <c r="GZ150" i="55"/>
  <c r="GZ151" i="55"/>
  <c r="GZ152" i="55"/>
  <c r="GZ153" i="55"/>
  <c r="GZ154" i="55"/>
  <c r="GZ155" i="55"/>
  <c r="GZ156" i="55"/>
  <c r="GZ157" i="55"/>
  <c r="GZ158" i="55"/>
  <c r="GZ159" i="55"/>
  <c r="GZ160" i="55"/>
  <c r="GZ161" i="55"/>
  <c r="GZ162" i="55"/>
  <c r="GZ163" i="55"/>
  <c r="GZ164" i="55"/>
  <c r="GZ165" i="55"/>
  <c r="GZ166" i="55"/>
  <c r="GZ167" i="55"/>
  <c r="GZ168" i="55"/>
  <c r="GZ169" i="55"/>
  <c r="GZ170" i="55"/>
  <c r="GZ171" i="55"/>
  <c r="GZ172" i="55"/>
  <c r="GZ173" i="55"/>
  <c r="GZ174" i="55"/>
  <c r="GZ175" i="55"/>
  <c r="GZ176" i="55"/>
  <c r="GZ177" i="55"/>
  <c r="GZ178" i="55"/>
  <c r="GZ179" i="55"/>
  <c r="GZ180" i="55"/>
  <c r="GZ181" i="55"/>
  <c r="GZ182" i="55"/>
  <c r="GZ183" i="55"/>
  <c r="GZ184" i="55"/>
  <c r="GZ185" i="55"/>
  <c r="GZ186" i="55"/>
  <c r="GZ187" i="55"/>
  <c r="GZ188" i="55"/>
  <c r="GZ189" i="55"/>
  <c r="GZ190" i="55"/>
  <c r="GZ191" i="55"/>
  <c r="GZ192" i="55"/>
  <c r="GZ193" i="55"/>
  <c r="GZ194" i="55"/>
  <c r="GZ195" i="55"/>
  <c r="GZ196" i="55"/>
  <c r="GZ197" i="55"/>
  <c r="GZ198" i="55"/>
  <c r="GZ199" i="55"/>
  <c r="GZ200" i="55"/>
  <c r="GZ201" i="55"/>
  <c r="GZ202" i="55"/>
  <c r="GZ203" i="55"/>
  <c r="GZ204" i="55"/>
  <c r="GZ205" i="55"/>
  <c r="GZ206" i="55"/>
  <c r="GZ207" i="55"/>
  <c r="GZ208" i="55"/>
  <c r="GZ209" i="55"/>
  <c r="GZ210" i="55"/>
  <c r="GZ211" i="55"/>
  <c r="GZ212" i="55"/>
  <c r="GZ213" i="55"/>
  <c r="GZ214" i="55"/>
  <c r="GZ215" i="55"/>
  <c r="GZ216" i="55"/>
  <c r="GZ217" i="55"/>
  <c r="GZ218" i="55"/>
  <c r="GZ219" i="55"/>
  <c r="GZ220" i="55"/>
  <c r="GZ221" i="55"/>
  <c r="GZ222" i="55"/>
  <c r="GZ223" i="55"/>
  <c r="GZ224" i="55"/>
  <c r="GZ225" i="55"/>
  <c r="GZ226" i="55"/>
  <c r="GZ227" i="55"/>
  <c r="GZ228" i="55"/>
  <c r="GZ229" i="55"/>
  <c r="GZ230" i="55"/>
  <c r="GZ231" i="55"/>
  <c r="GZ232" i="55"/>
  <c r="GZ233" i="55"/>
  <c r="GZ234" i="55"/>
  <c r="GZ235" i="55"/>
  <c r="GZ236" i="55"/>
  <c r="GZ237" i="55"/>
  <c r="GZ238" i="55"/>
  <c r="GZ239" i="55"/>
  <c r="GZ240" i="55"/>
  <c r="GZ241" i="55"/>
  <c r="GZ242" i="55"/>
  <c r="GZ243" i="55"/>
  <c r="GZ244" i="55"/>
  <c r="GZ245" i="55"/>
  <c r="GZ246" i="55"/>
  <c r="GZ247" i="55"/>
  <c r="GZ248" i="55"/>
  <c r="GZ249" i="55"/>
  <c r="GZ250" i="55"/>
  <c r="GZ251" i="55"/>
  <c r="GZ252" i="55"/>
  <c r="GZ253" i="55"/>
  <c r="GZ254" i="55"/>
  <c r="GZ255" i="55"/>
  <c r="GZ256" i="55"/>
  <c r="GZ257" i="55"/>
  <c r="GZ258" i="55"/>
  <c r="GZ259" i="55"/>
  <c r="GZ260" i="55"/>
  <c r="GZ261" i="55"/>
  <c r="GZ262" i="55"/>
  <c r="GZ263" i="55"/>
  <c r="GZ264" i="55"/>
  <c r="GZ265" i="55"/>
  <c r="GZ266" i="55"/>
  <c r="GZ267" i="55"/>
  <c r="GZ268" i="55"/>
  <c r="GZ269" i="55"/>
  <c r="GZ270" i="55"/>
  <c r="GZ271" i="55"/>
  <c r="GZ272" i="55"/>
  <c r="GZ273" i="55"/>
  <c r="GZ274" i="55"/>
  <c r="GZ275" i="55"/>
  <c r="GZ276" i="55"/>
  <c r="GZ277" i="55"/>
  <c r="GZ278" i="55"/>
  <c r="GZ279" i="55"/>
  <c r="GZ280" i="55"/>
  <c r="GZ281" i="55"/>
  <c r="GZ282" i="55"/>
  <c r="GZ283" i="55"/>
  <c r="GZ284" i="55"/>
  <c r="GZ285" i="55"/>
  <c r="GZ286" i="55"/>
  <c r="GZ287" i="55"/>
  <c r="GZ288" i="55"/>
  <c r="GZ289" i="55"/>
  <c r="GZ290" i="55"/>
  <c r="GZ291" i="55"/>
  <c r="GZ292" i="55"/>
  <c r="GZ293" i="55"/>
  <c r="GZ294" i="55"/>
  <c r="GZ295" i="55"/>
  <c r="GZ296" i="55"/>
  <c r="GZ297" i="55"/>
  <c r="GZ298" i="55"/>
  <c r="GZ299" i="55"/>
  <c r="GZ300" i="55"/>
  <c r="GZ301" i="55"/>
  <c r="GZ302" i="55"/>
  <c r="GZ303" i="55"/>
  <c r="GZ304" i="55"/>
  <c r="GZ305" i="55"/>
  <c r="GZ306" i="55"/>
  <c r="GZ307" i="55"/>
  <c r="GZ308" i="55"/>
  <c r="GZ309" i="55"/>
  <c r="GZ310" i="55"/>
  <c r="GZ311" i="55"/>
  <c r="GZ312" i="55"/>
  <c r="GZ313" i="55"/>
  <c r="GZ314" i="55"/>
  <c r="GZ315" i="55"/>
  <c r="GZ316" i="55"/>
  <c r="GZ317" i="55"/>
  <c r="GZ318" i="55"/>
  <c r="GZ319" i="55"/>
  <c r="GZ320" i="55"/>
  <c r="GZ321" i="55"/>
  <c r="GZ322" i="55"/>
  <c r="GZ323" i="55"/>
  <c r="GZ324" i="55"/>
  <c r="GZ325" i="55"/>
  <c r="GZ326" i="55"/>
  <c r="GZ327" i="55"/>
  <c r="GZ328" i="55"/>
  <c r="GZ329" i="55"/>
  <c r="GZ330" i="55"/>
  <c r="GZ331" i="55"/>
  <c r="GZ332" i="55"/>
  <c r="GZ333" i="55"/>
  <c r="GZ334" i="55"/>
  <c r="GZ335" i="55"/>
  <c r="GZ336" i="55"/>
  <c r="GZ337" i="55"/>
  <c r="GZ338" i="55"/>
  <c r="GZ339" i="55"/>
  <c r="GZ340" i="55"/>
  <c r="GZ341" i="55"/>
  <c r="GZ342" i="55"/>
  <c r="GZ343" i="55"/>
  <c r="GZ344" i="55"/>
  <c r="GZ345" i="55"/>
  <c r="GZ346" i="55"/>
  <c r="GZ347" i="55"/>
  <c r="GZ348" i="55"/>
  <c r="GZ349" i="55"/>
  <c r="GZ350" i="55"/>
  <c r="GZ351" i="55"/>
  <c r="GZ352" i="55"/>
  <c r="GN162" i="55"/>
  <c r="GN297" i="55"/>
  <c r="GI5" i="55"/>
  <c r="GI6" i="55"/>
  <c r="GI7" i="55"/>
  <c r="GI8" i="55"/>
  <c r="GI9" i="55"/>
  <c r="GI10" i="55"/>
  <c r="GI11" i="55"/>
  <c r="GI12" i="55"/>
  <c r="GI13" i="55"/>
  <c r="GI14" i="55"/>
  <c r="GI15" i="55"/>
  <c r="GI16" i="55"/>
  <c r="GI17" i="55"/>
  <c r="GI18" i="55"/>
  <c r="GI19" i="55"/>
  <c r="GI20" i="55"/>
  <c r="GI21" i="55"/>
  <c r="GI22" i="55"/>
  <c r="GI23" i="55"/>
  <c r="GI24" i="55"/>
  <c r="GI29" i="55"/>
  <c r="GI30" i="55"/>
  <c r="GI32" i="55"/>
  <c r="GI33" i="55"/>
  <c r="GI34" i="55"/>
  <c r="GI35" i="55"/>
  <c r="GI36" i="55"/>
  <c r="GI37" i="55"/>
  <c r="GI38" i="55"/>
  <c r="GI39" i="55"/>
  <c r="GI40" i="55"/>
  <c r="GI41" i="55"/>
  <c r="GI42" i="55"/>
  <c r="GI43" i="55"/>
  <c r="GI44" i="55"/>
  <c r="GI45" i="55"/>
  <c r="GI46" i="55"/>
  <c r="GI47" i="55"/>
  <c r="GI48" i="55"/>
  <c r="GI49" i="55"/>
  <c r="GI50" i="55"/>
  <c r="GI51" i="55"/>
  <c r="GI52" i="55"/>
  <c r="GI54" i="55"/>
  <c r="GI55" i="55"/>
  <c r="GI56" i="55"/>
  <c r="GI57" i="55"/>
  <c r="GI58" i="55"/>
  <c r="GI59" i="55"/>
  <c r="GI60" i="55"/>
  <c r="GI61" i="55"/>
  <c r="GI62" i="55"/>
  <c r="GI63" i="55"/>
  <c r="GI64" i="55"/>
  <c r="GI65" i="55"/>
  <c r="GI66" i="55"/>
  <c r="GI67" i="55"/>
  <c r="GI68" i="55"/>
  <c r="GI69" i="55"/>
  <c r="GI70" i="55"/>
  <c r="GI71" i="55"/>
  <c r="GI72" i="55"/>
  <c r="GI73" i="55"/>
  <c r="GI74" i="55"/>
  <c r="GI75" i="55"/>
  <c r="GI76" i="55"/>
  <c r="GI77" i="55"/>
  <c r="GI78" i="55"/>
  <c r="GI79" i="55"/>
  <c r="GI80" i="55"/>
  <c r="GI81" i="55"/>
  <c r="GI82" i="55"/>
  <c r="GI83" i="55"/>
  <c r="GI84" i="55"/>
  <c r="GI85" i="55"/>
  <c r="GI86" i="55"/>
  <c r="GI87" i="55"/>
  <c r="GI89" i="55"/>
  <c r="GI90" i="55"/>
  <c r="GI91" i="55"/>
  <c r="GI92" i="55"/>
  <c r="GI93" i="55"/>
  <c r="GI94" i="55"/>
  <c r="GI95" i="55"/>
  <c r="GI96" i="55"/>
  <c r="GI97" i="55"/>
  <c r="GI98" i="55"/>
  <c r="GI99" i="55"/>
  <c r="GI100" i="55"/>
  <c r="GI101" i="55"/>
  <c r="GI103" i="55"/>
  <c r="GI104" i="55"/>
  <c r="GI105" i="55"/>
  <c r="GI106" i="55"/>
  <c r="GI107" i="55"/>
  <c r="GI108" i="55"/>
  <c r="GI109" i="55"/>
  <c r="GI110" i="55"/>
  <c r="GI111" i="55"/>
  <c r="GI112" i="55"/>
  <c r="GI113" i="55"/>
  <c r="GI114" i="55"/>
  <c r="GI115" i="55"/>
  <c r="GI116" i="55"/>
  <c r="GI117" i="55"/>
  <c r="GI118" i="55"/>
  <c r="GI119" i="55"/>
  <c r="GI120" i="55"/>
  <c r="GI121" i="55"/>
  <c r="GI122" i="55"/>
  <c r="GI123" i="55"/>
  <c r="GI124" i="55"/>
  <c r="GI125" i="55"/>
  <c r="GI126" i="55"/>
  <c r="GI127" i="55"/>
  <c r="GI128" i="55"/>
  <c r="GI129" i="55"/>
  <c r="GI131" i="55"/>
  <c r="GI132" i="55"/>
  <c r="GI133" i="55"/>
  <c r="GI134" i="55"/>
  <c r="GI135" i="55"/>
  <c r="GI136" i="55"/>
  <c r="GI137" i="55"/>
  <c r="GI138" i="55"/>
  <c r="GI139" i="55"/>
  <c r="GI140" i="55"/>
  <c r="GI141" i="55"/>
  <c r="GI142" i="55"/>
  <c r="GI143" i="55"/>
  <c r="GI144" i="55"/>
  <c r="GI145" i="55"/>
  <c r="GI146" i="55"/>
  <c r="GI147" i="55"/>
  <c r="GI148" i="55"/>
  <c r="GI149" i="55"/>
  <c r="GI150" i="55"/>
  <c r="GI151" i="55"/>
  <c r="GI152" i="55"/>
  <c r="GI153" i="55"/>
  <c r="GI155" i="55"/>
  <c r="GI156" i="55"/>
  <c r="GI157" i="55"/>
  <c r="GI158" i="55"/>
  <c r="GI159" i="55"/>
  <c r="GI160" i="55"/>
  <c r="GI161" i="55"/>
  <c r="GI162" i="55"/>
  <c r="GI163" i="55"/>
  <c r="GI164" i="55"/>
  <c r="GI165" i="55"/>
  <c r="GI166" i="55"/>
  <c r="GI167" i="55"/>
  <c r="GI168" i="55"/>
  <c r="GI169" i="55"/>
  <c r="GI170" i="55"/>
  <c r="GI171" i="55"/>
  <c r="GI172" i="55"/>
  <c r="GI173" i="55"/>
  <c r="GI174" i="55"/>
  <c r="GI175" i="55"/>
  <c r="GI176" i="55"/>
  <c r="GI177" i="55"/>
  <c r="GI178" i="55"/>
  <c r="GI179" i="55"/>
  <c r="GI180" i="55"/>
  <c r="GI181" i="55"/>
  <c r="GI182" i="55"/>
  <c r="GI183" i="55"/>
  <c r="GI185" i="55"/>
  <c r="GI186" i="55"/>
  <c r="GI187" i="55"/>
  <c r="GI188" i="55"/>
  <c r="GI189" i="55"/>
  <c r="GI190" i="55"/>
  <c r="GI191" i="55"/>
  <c r="GI192" i="55"/>
  <c r="GI193" i="55"/>
  <c r="GI194" i="55"/>
  <c r="GI195" i="55"/>
  <c r="GI196" i="55"/>
  <c r="GI197" i="55"/>
  <c r="GI198" i="55"/>
  <c r="GI199" i="55"/>
  <c r="GI200" i="55"/>
  <c r="GI201" i="55"/>
  <c r="GI202" i="55"/>
  <c r="GI203" i="55"/>
  <c r="GI204" i="55"/>
  <c r="GI205" i="55"/>
  <c r="GI206" i="55"/>
  <c r="GI207" i="55"/>
  <c r="GI208" i="55"/>
  <c r="GI209" i="55"/>
  <c r="GI210" i="55"/>
  <c r="GI211" i="55"/>
  <c r="GI212" i="55"/>
  <c r="GI213" i="55"/>
  <c r="GI214" i="55"/>
  <c r="GI215" i="55"/>
  <c r="GI216" i="55"/>
  <c r="GI217" i="55"/>
  <c r="GI218" i="55"/>
  <c r="GI219" i="55"/>
  <c r="GI220" i="55"/>
  <c r="GI221" i="55"/>
  <c r="GI222" i="55"/>
  <c r="GI223" i="55"/>
  <c r="GI225" i="55"/>
  <c r="GI226" i="55"/>
  <c r="GI227" i="55"/>
  <c r="GI228" i="55"/>
  <c r="GI229" i="55"/>
  <c r="GI230" i="55"/>
  <c r="GI231" i="55"/>
  <c r="GI232" i="55"/>
  <c r="GI233" i="55"/>
  <c r="GI234" i="55"/>
  <c r="GI235" i="55"/>
  <c r="GI236" i="55"/>
  <c r="GI237" i="55"/>
  <c r="GI238" i="55"/>
  <c r="GI239" i="55"/>
  <c r="GI240" i="55"/>
  <c r="GI241" i="55"/>
  <c r="GI242" i="55"/>
  <c r="GI243" i="55"/>
  <c r="GI244" i="55"/>
  <c r="GI245" i="55"/>
  <c r="GI246" i="55"/>
  <c r="GI247" i="55"/>
  <c r="GI248" i="55"/>
  <c r="GI249" i="55"/>
  <c r="GI250" i="55"/>
  <c r="GI251" i="55"/>
  <c r="GI252" i="55"/>
  <c r="GI253" i="55"/>
  <c r="GI254" i="55"/>
  <c r="GI255" i="55"/>
  <c r="GI256" i="55"/>
  <c r="GI257" i="55"/>
  <c r="GI258" i="55"/>
  <c r="GI259" i="55"/>
  <c r="GI260" i="55"/>
  <c r="GI261" i="55"/>
  <c r="GI262" i="55"/>
  <c r="GI263" i="55"/>
  <c r="GI264" i="55"/>
  <c r="GI265" i="55"/>
  <c r="GI266" i="55"/>
  <c r="GI267" i="55"/>
  <c r="GI268" i="55"/>
  <c r="GI269" i="55"/>
  <c r="GI270" i="55"/>
  <c r="GI271" i="55"/>
  <c r="GI272" i="55"/>
  <c r="GI273" i="55"/>
  <c r="GI274" i="55"/>
  <c r="GI275" i="55"/>
  <c r="GI276" i="55"/>
  <c r="GI277" i="55"/>
  <c r="GI278" i="55"/>
  <c r="GI279" i="55"/>
  <c r="GI280" i="55"/>
  <c r="GI281" i="55"/>
  <c r="GI282" i="55"/>
  <c r="GI284" i="55"/>
  <c r="GI285" i="55"/>
  <c r="GI286" i="55"/>
  <c r="GI287" i="55"/>
  <c r="GI288" i="55"/>
  <c r="GI289" i="55"/>
  <c r="GI290" i="55"/>
  <c r="GI291" i="55"/>
  <c r="GI292" i="55"/>
  <c r="GI293" i="55"/>
  <c r="GI294" i="55"/>
  <c r="GI295" i="55"/>
  <c r="GI296" i="55"/>
  <c r="GI297" i="55"/>
  <c r="GI298" i="55"/>
  <c r="GI299" i="55"/>
  <c r="GI300" i="55"/>
  <c r="GI301" i="55"/>
  <c r="GI302" i="55"/>
  <c r="GI303" i="55"/>
  <c r="GI304" i="55"/>
  <c r="GI305" i="55"/>
  <c r="GI306" i="55"/>
  <c r="GI307" i="55"/>
  <c r="GI308" i="55"/>
  <c r="GI309" i="55"/>
  <c r="GI310" i="55"/>
  <c r="GI311" i="55"/>
  <c r="GI312" i="55"/>
  <c r="GI314" i="55"/>
  <c r="GI315" i="55"/>
  <c r="GI316" i="55"/>
  <c r="GI318" i="55"/>
  <c r="GI319" i="55"/>
  <c r="GI320" i="55"/>
  <c r="GI321" i="55"/>
  <c r="GI322" i="55"/>
  <c r="GI323" i="55"/>
  <c r="GI324" i="55"/>
  <c r="GI326" i="55"/>
  <c r="GI327" i="55"/>
  <c r="GI328" i="55"/>
  <c r="GI329" i="55"/>
  <c r="GI331" i="55"/>
  <c r="GI332" i="55"/>
  <c r="GI333" i="55"/>
  <c r="GI334" i="55"/>
  <c r="GI337" i="55"/>
  <c r="GI338" i="55"/>
  <c r="GI339" i="55"/>
  <c r="GI340" i="55"/>
  <c r="GI342" i="55"/>
  <c r="GI343" i="55"/>
  <c r="GI344" i="55"/>
  <c r="GI345" i="55"/>
  <c r="GI346" i="55"/>
  <c r="GI347" i="55"/>
  <c r="GI348" i="55"/>
  <c r="GI349" i="55"/>
  <c r="GI350" i="55"/>
  <c r="GI351" i="55"/>
  <c r="GI352" i="55"/>
  <c r="GB29" i="55"/>
  <c r="GC29" i="55" s="1"/>
  <c r="GE29" i="55" s="1" a="1"/>
  <c r="GE29" i="55" s="1"/>
  <c r="GF29" i="55" s="1"/>
  <c r="GB30" i="55"/>
  <c r="GC30" i="55" s="1"/>
  <c r="GE30" i="55" s="1" a="1"/>
  <c r="GE30" i="55" s="1"/>
  <c r="GF30" i="55" s="1"/>
  <c r="GA5" i="55"/>
  <c r="GA6" i="55"/>
  <c r="GA337" i="55"/>
  <c r="GA338" i="55"/>
  <c r="GA339" i="55"/>
  <c r="GA340" i="55"/>
  <c r="FV89" i="55"/>
  <c r="FV90" i="55"/>
  <c r="FV91" i="55"/>
  <c r="FV93" i="55"/>
  <c r="FV94" i="55"/>
  <c r="FV95" i="55"/>
  <c r="FV96" i="55"/>
  <c r="FV97" i="55"/>
  <c r="FV98" i="55"/>
  <c r="FV99" i="55"/>
  <c r="FV100" i="55"/>
  <c r="FV101" i="55"/>
  <c r="FV105" i="55"/>
  <c r="FV131" i="55"/>
  <c r="FV134" i="55"/>
  <c r="FV135" i="55"/>
  <c r="FV138" i="55"/>
  <c r="FV141" i="55"/>
  <c r="FV144" i="55"/>
  <c r="FV147" i="55"/>
  <c r="FV155" i="55"/>
  <c r="FV156" i="55"/>
  <c r="FV157" i="55"/>
  <c r="FV158" i="55"/>
  <c r="FV159" i="55"/>
  <c r="FV160" i="55"/>
  <c r="FV161" i="55"/>
  <c r="FV162" i="55"/>
  <c r="FV163" i="55"/>
  <c r="FV164" i="55"/>
  <c r="FV165" i="55"/>
  <c r="FV166" i="55"/>
  <c r="FV167" i="55"/>
  <c r="FV168" i="55"/>
  <c r="FV169" i="55"/>
  <c r="FV170" i="55"/>
  <c r="FV171" i="55"/>
  <c r="FV172" i="55"/>
  <c r="FV173" i="55"/>
  <c r="FV174" i="55"/>
  <c r="FV175" i="55"/>
  <c r="FV176" i="55"/>
  <c r="FV177" i="55"/>
  <c r="FV178" i="55"/>
  <c r="FV179" i="55"/>
  <c r="FV180" i="55"/>
  <c r="FV181" i="55"/>
  <c r="FV182" i="55"/>
  <c r="FV183" i="55"/>
  <c r="FV185" i="55"/>
  <c r="FV186" i="55"/>
  <c r="FV187" i="55"/>
  <c r="FV188" i="55"/>
  <c r="FV189" i="55"/>
  <c r="FV190" i="55"/>
  <c r="FV191" i="55"/>
  <c r="FV192" i="55"/>
  <c r="FV193" i="55"/>
  <c r="FV194" i="55"/>
  <c r="FV195" i="55"/>
  <c r="FV196" i="55"/>
  <c r="FV197" i="55"/>
  <c r="FV198" i="55"/>
  <c r="FV199" i="55"/>
  <c r="FV200" i="55"/>
  <c r="FV201" i="55"/>
  <c r="FV202" i="55"/>
  <c r="FV203" i="55"/>
  <c r="FV204" i="55"/>
  <c r="FV205" i="55"/>
  <c r="FV206" i="55"/>
  <c r="FV207" i="55"/>
  <c r="FV208" i="55"/>
  <c r="FV209" i="55"/>
  <c r="FV210" i="55"/>
  <c r="FV211" i="55"/>
  <c r="FV212" i="55"/>
  <c r="FV213" i="55"/>
  <c r="FV214" i="55"/>
  <c r="FV215" i="55"/>
  <c r="FV216" i="55"/>
  <c r="FV217" i="55"/>
  <c r="FV218" i="55"/>
  <c r="FV219" i="55"/>
  <c r="FV220" i="55"/>
  <c r="FV221" i="55"/>
  <c r="FV222" i="55"/>
  <c r="FV223" i="55"/>
  <c r="FV225" i="55"/>
  <c r="FV228" i="55"/>
  <c r="FV235" i="55"/>
  <c r="FV242" i="55"/>
  <c r="FV249" i="55"/>
  <c r="FV252" i="55"/>
  <c r="FV258" i="55"/>
  <c r="FV261" i="55"/>
  <c r="FV284" i="55"/>
  <c r="FV285" i="55"/>
  <c r="FV286" i="55"/>
  <c r="FV287" i="55"/>
  <c r="FV288" i="55"/>
  <c r="FV289" i="55"/>
  <c r="FV290" i="55"/>
  <c r="FV291" i="55"/>
  <c r="FV292" i="55"/>
  <c r="FV293" i="55"/>
  <c r="FV294" i="55"/>
  <c r="FV295" i="55"/>
  <c r="FV296" i="55"/>
  <c r="FV297" i="55"/>
  <c r="FV298" i="55"/>
  <c r="FV299" i="55"/>
  <c r="FV300" i="55"/>
  <c r="FV301" i="55"/>
  <c r="FV302" i="55"/>
  <c r="FV303" i="55"/>
  <c r="FV304" i="55"/>
  <c r="FV305" i="55"/>
  <c r="FV306" i="55"/>
  <c r="FV307" i="55"/>
  <c r="FV308" i="55"/>
  <c r="FV309" i="55"/>
  <c r="FV310" i="55"/>
  <c r="FV311" i="55"/>
  <c r="FV312" i="55"/>
  <c r="FV318" i="55"/>
  <c r="FV319" i="55"/>
  <c r="FV320" i="55"/>
  <c r="FV321" i="55"/>
  <c r="FV322" i="55"/>
  <c r="FV323" i="55"/>
  <c r="FV324" i="55"/>
  <c r="FV326" i="55"/>
  <c r="FV327" i="55"/>
  <c r="FV328" i="55"/>
  <c r="FV329" i="55"/>
  <c r="FV331" i="55"/>
  <c r="FV332" i="55"/>
  <c r="FV333" i="55"/>
  <c r="FV334" i="55"/>
  <c r="FV342" i="55"/>
  <c r="FV343" i="55"/>
  <c r="FV344" i="55"/>
  <c r="FV345" i="55"/>
  <c r="FV346" i="55"/>
  <c r="FV347" i="55"/>
  <c r="FV348" i="55"/>
  <c r="FV349" i="55"/>
  <c r="FV350" i="55"/>
  <c r="FT3" i="55"/>
  <c r="FT4" i="55"/>
  <c r="FT5" i="55"/>
  <c r="FT6" i="55"/>
  <c r="FT7" i="55"/>
  <c r="FT8" i="55"/>
  <c r="FT9" i="55"/>
  <c r="FT10" i="55"/>
  <c r="FT11" i="55"/>
  <c r="FT12" i="55"/>
  <c r="FT13" i="55"/>
  <c r="FT14" i="55"/>
  <c r="FT15" i="55"/>
  <c r="FT16" i="55"/>
  <c r="FT17" i="55"/>
  <c r="FT18" i="55"/>
  <c r="FT19" i="55"/>
  <c r="FT20" i="55"/>
  <c r="FT21" i="55"/>
  <c r="FT22" i="55"/>
  <c r="FT23" i="55"/>
  <c r="FT24" i="55"/>
  <c r="FT25" i="55"/>
  <c r="FT26" i="55"/>
  <c r="FT27" i="55"/>
  <c r="FT28" i="55"/>
  <c r="FT29" i="55"/>
  <c r="FT30" i="55"/>
  <c r="FT31" i="55"/>
  <c r="FT32" i="55"/>
  <c r="FT33" i="55"/>
  <c r="FT34" i="55"/>
  <c r="FT35" i="55"/>
  <c r="FT36" i="55"/>
  <c r="FT37" i="55"/>
  <c r="FT38" i="55"/>
  <c r="FT39" i="55"/>
  <c r="FT40" i="55"/>
  <c r="FT41" i="55"/>
  <c r="FT42" i="55"/>
  <c r="FT43" i="55"/>
  <c r="FT44" i="55"/>
  <c r="FT45" i="55"/>
  <c r="FT46" i="55"/>
  <c r="FT47" i="55"/>
  <c r="FT48" i="55"/>
  <c r="FT49" i="55"/>
  <c r="FT50" i="55"/>
  <c r="FT51" i="55"/>
  <c r="FT52" i="55"/>
  <c r="FT53" i="55"/>
  <c r="FT54" i="55"/>
  <c r="FT55" i="55"/>
  <c r="FT56" i="55"/>
  <c r="FT57" i="55"/>
  <c r="FT58" i="55"/>
  <c r="FT59" i="55"/>
  <c r="FT60" i="55"/>
  <c r="FT61" i="55"/>
  <c r="FT62" i="55"/>
  <c r="FT63" i="55"/>
  <c r="FT64" i="55"/>
  <c r="FT65" i="55"/>
  <c r="FT66" i="55"/>
  <c r="FT67" i="55"/>
  <c r="FT68" i="55"/>
  <c r="FT69" i="55"/>
  <c r="FT70" i="55"/>
  <c r="FT71" i="55"/>
  <c r="FT72" i="55"/>
  <c r="FT73" i="55"/>
  <c r="FT74" i="55"/>
  <c r="FT75" i="55"/>
  <c r="FT76" i="55"/>
  <c r="FT77" i="55"/>
  <c r="FT78" i="55"/>
  <c r="FT79" i="55"/>
  <c r="FT80" i="55"/>
  <c r="FT81" i="55"/>
  <c r="FT82" i="55"/>
  <c r="FT83" i="55"/>
  <c r="FT84" i="55"/>
  <c r="FT85" i="55"/>
  <c r="FT86" i="55"/>
  <c r="FT87" i="55"/>
  <c r="FT88" i="55"/>
  <c r="FT89" i="55"/>
  <c r="FT90" i="55"/>
  <c r="FT91" i="55"/>
  <c r="FT92" i="55"/>
  <c r="FT93" i="55"/>
  <c r="FT94" i="55"/>
  <c r="FT95" i="55"/>
  <c r="FT96" i="55"/>
  <c r="FT97" i="55"/>
  <c r="FT98" i="55"/>
  <c r="FT99" i="55"/>
  <c r="FT100" i="55"/>
  <c r="FT101" i="55"/>
  <c r="FT102" i="55"/>
  <c r="FT103" i="55"/>
  <c r="FT104" i="55"/>
  <c r="FT105" i="55"/>
  <c r="FT106" i="55"/>
  <c r="FT107" i="55"/>
  <c r="FT108" i="55"/>
  <c r="FT109" i="55"/>
  <c r="FT110" i="55"/>
  <c r="FT111" i="55"/>
  <c r="FT112" i="55"/>
  <c r="FT113" i="55"/>
  <c r="FT114" i="55"/>
  <c r="FT115" i="55"/>
  <c r="FT116" i="55"/>
  <c r="FT117" i="55"/>
  <c r="FT118" i="55"/>
  <c r="FT119" i="55"/>
  <c r="FT120" i="55"/>
  <c r="FT121" i="55"/>
  <c r="FT122" i="55"/>
  <c r="FT123" i="55"/>
  <c r="FT124" i="55"/>
  <c r="FT125" i="55"/>
  <c r="FT126" i="55"/>
  <c r="FT127" i="55"/>
  <c r="FT128" i="55"/>
  <c r="FT129" i="55"/>
  <c r="FT130" i="55"/>
  <c r="FT131" i="55"/>
  <c r="FT132" i="55"/>
  <c r="FT133" i="55"/>
  <c r="FT134" i="55"/>
  <c r="FT135" i="55"/>
  <c r="FT136" i="55"/>
  <c r="FT137" i="55"/>
  <c r="FT138" i="55"/>
  <c r="FT139" i="55"/>
  <c r="FT140" i="55"/>
  <c r="FT141" i="55"/>
  <c r="FT142" i="55"/>
  <c r="FT143" i="55"/>
  <c r="FT144" i="55"/>
  <c r="FT145" i="55"/>
  <c r="FT146" i="55"/>
  <c r="FT147" i="55"/>
  <c r="FT148" i="55"/>
  <c r="FT149" i="55"/>
  <c r="FT150" i="55"/>
  <c r="FT151" i="55"/>
  <c r="FT152" i="55"/>
  <c r="FT153" i="55"/>
  <c r="FT154" i="55"/>
  <c r="FT155" i="55"/>
  <c r="FT156" i="55"/>
  <c r="FT157" i="55"/>
  <c r="FT158" i="55"/>
  <c r="FT159" i="55"/>
  <c r="FT160" i="55"/>
  <c r="FT161" i="55"/>
  <c r="FT162" i="55"/>
  <c r="FT163" i="55"/>
  <c r="FT164" i="55"/>
  <c r="FT165" i="55"/>
  <c r="FT166" i="55"/>
  <c r="FT167" i="55"/>
  <c r="FT168" i="55"/>
  <c r="FT169" i="55"/>
  <c r="FT170" i="55"/>
  <c r="FT171" i="55"/>
  <c r="FT172" i="55"/>
  <c r="FT173" i="55"/>
  <c r="FT174" i="55"/>
  <c r="FT175" i="55"/>
  <c r="FT176" i="55"/>
  <c r="FT177" i="55"/>
  <c r="FT178" i="55"/>
  <c r="FT179" i="55"/>
  <c r="FT180" i="55"/>
  <c r="FT181" i="55"/>
  <c r="FT182" i="55"/>
  <c r="FT183" i="55"/>
  <c r="FT184" i="55"/>
  <c r="FT185" i="55"/>
  <c r="FT186" i="55"/>
  <c r="FT187" i="55"/>
  <c r="FT188" i="55"/>
  <c r="FT189" i="55"/>
  <c r="FT190" i="55"/>
  <c r="FT191" i="55"/>
  <c r="FT192" i="55"/>
  <c r="FT193" i="55"/>
  <c r="FT194" i="55"/>
  <c r="FT195" i="55"/>
  <c r="FT196" i="55"/>
  <c r="FT197" i="55"/>
  <c r="FT198" i="55"/>
  <c r="FT199" i="55"/>
  <c r="FT200" i="55"/>
  <c r="FT201" i="55"/>
  <c r="FT202" i="55"/>
  <c r="FT203" i="55"/>
  <c r="FT204" i="55"/>
  <c r="FT205" i="55"/>
  <c r="FT206" i="55"/>
  <c r="FT207" i="55"/>
  <c r="FT208" i="55"/>
  <c r="FT209" i="55"/>
  <c r="FT210" i="55"/>
  <c r="FT211" i="55"/>
  <c r="FT212" i="55"/>
  <c r="FT213" i="55"/>
  <c r="FT214" i="55"/>
  <c r="FT215" i="55"/>
  <c r="FT216" i="55"/>
  <c r="FT217" i="55"/>
  <c r="FT218" i="55"/>
  <c r="FT219" i="55"/>
  <c r="FT220" i="55"/>
  <c r="FT221" i="55"/>
  <c r="FT222" i="55"/>
  <c r="FT223" i="55"/>
  <c r="FT224" i="55"/>
  <c r="FT225" i="55"/>
  <c r="FT226" i="55"/>
  <c r="FT227" i="55"/>
  <c r="FT228" i="55"/>
  <c r="FT229" i="55"/>
  <c r="FT230" i="55"/>
  <c r="FT231" i="55"/>
  <c r="FT232" i="55"/>
  <c r="FT233" i="55"/>
  <c r="FT234" i="55"/>
  <c r="FT235" i="55"/>
  <c r="FT236" i="55"/>
  <c r="FT237" i="55"/>
  <c r="FT238" i="55"/>
  <c r="FT239" i="55"/>
  <c r="FT240" i="55"/>
  <c r="FT241" i="55"/>
  <c r="FT242" i="55"/>
  <c r="FT243" i="55"/>
  <c r="FT244" i="55"/>
  <c r="FT245" i="55"/>
  <c r="FT246" i="55"/>
  <c r="FT247" i="55"/>
  <c r="FT248" i="55"/>
  <c r="FT249" i="55"/>
  <c r="FT250" i="55"/>
  <c r="FT251" i="55"/>
  <c r="FT252" i="55"/>
  <c r="FT253" i="55"/>
  <c r="FT254" i="55"/>
  <c r="FT255" i="55"/>
  <c r="FT256" i="55"/>
  <c r="FT257" i="55"/>
  <c r="FT258" i="55"/>
  <c r="FT259" i="55"/>
  <c r="FT260" i="55"/>
  <c r="FT261" i="55"/>
  <c r="FT262" i="55"/>
  <c r="FT263" i="55"/>
  <c r="FT264" i="55"/>
  <c r="FT265" i="55"/>
  <c r="FT266" i="55"/>
  <c r="FT267" i="55"/>
  <c r="FT268" i="55"/>
  <c r="FT269" i="55"/>
  <c r="FT270" i="55"/>
  <c r="FT271" i="55"/>
  <c r="FT272" i="55"/>
  <c r="FT273" i="55"/>
  <c r="FT274" i="55"/>
  <c r="FT275" i="55"/>
  <c r="FT276" i="55"/>
  <c r="FT277" i="55"/>
  <c r="FT278" i="55"/>
  <c r="FT279" i="55"/>
  <c r="FT280" i="55"/>
  <c r="FT281" i="55"/>
  <c r="FT282" i="55"/>
  <c r="FT283" i="55"/>
  <c r="FT284" i="55"/>
  <c r="FT285" i="55"/>
  <c r="FT286" i="55"/>
  <c r="FT287" i="55"/>
  <c r="FT288" i="55"/>
  <c r="FT289" i="55"/>
  <c r="FT290" i="55"/>
  <c r="FT291" i="55"/>
  <c r="FT292" i="55"/>
  <c r="FT293" i="55"/>
  <c r="FT294" i="55"/>
  <c r="FT295" i="55"/>
  <c r="FT296" i="55"/>
  <c r="FT297" i="55"/>
  <c r="FT298" i="55"/>
  <c r="FT299" i="55"/>
  <c r="FT300" i="55"/>
  <c r="FT301" i="55"/>
  <c r="FT302" i="55"/>
  <c r="FT303" i="55"/>
  <c r="FT304" i="55"/>
  <c r="FT305" i="55"/>
  <c r="FT306" i="55"/>
  <c r="FT307" i="55"/>
  <c r="FT308" i="55"/>
  <c r="FT309" i="55"/>
  <c r="FT310" i="55"/>
  <c r="FT311" i="55"/>
  <c r="FT312" i="55"/>
  <c r="FT313" i="55"/>
  <c r="FT314" i="55"/>
  <c r="FT315" i="55"/>
  <c r="FT316" i="55"/>
  <c r="FT317" i="55"/>
  <c r="FT318" i="55"/>
  <c r="FT319" i="55"/>
  <c r="FT320" i="55"/>
  <c r="FT321" i="55"/>
  <c r="FT322" i="55"/>
  <c r="FT323" i="55"/>
  <c r="FT324" i="55"/>
  <c r="FT325" i="55"/>
  <c r="FT326" i="55"/>
  <c r="FT327" i="55"/>
  <c r="FT328" i="55"/>
  <c r="FT329" i="55"/>
  <c r="FT330" i="55"/>
  <c r="FT331" i="55"/>
  <c r="FT332" i="55"/>
  <c r="FT333" i="55"/>
  <c r="FT334" i="55"/>
  <c r="FT335" i="55"/>
  <c r="FT336" i="55"/>
  <c r="FT337" i="55"/>
  <c r="FT338" i="55"/>
  <c r="FT339" i="55"/>
  <c r="FT340" i="55"/>
  <c r="FT341" i="55"/>
  <c r="FT342" i="55"/>
  <c r="FT343" i="55"/>
  <c r="FT344" i="55"/>
  <c r="FT345" i="55"/>
  <c r="FT346" i="55"/>
  <c r="FT347" i="55"/>
  <c r="FT348" i="55"/>
  <c r="FT349" i="55"/>
  <c r="FT350" i="55"/>
  <c r="FT351" i="55"/>
  <c r="FT352" i="55"/>
  <c r="FO209" i="55"/>
  <c r="FF7" i="55"/>
  <c r="FF8" i="55"/>
  <c r="FF9" i="55"/>
  <c r="FF10" i="55"/>
  <c r="FF16" i="55"/>
  <c r="FF17" i="55"/>
  <c r="FF18" i="55"/>
  <c r="FF19" i="55"/>
  <c r="FF21" i="55"/>
  <c r="FF22" i="55"/>
  <c r="FF23" i="55"/>
  <c r="FF54" i="55"/>
  <c r="FF55" i="55"/>
  <c r="FF56" i="55"/>
  <c r="FF57" i="55"/>
  <c r="FF58" i="55"/>
  <c r="FF59" i="55"/>
  <c r="FF60" i="55"/>
  <c r="FF61" i="55"/>
  <c r="FF62" i="55"/>
  <c r="FF63" i="55"/>
  <c r="FF64" i="55"/>
  <c r="FF65" i="55"/>
  <c r="FF66" i="55"/>
  <c r="FF67" i="55"/>
  <c r="FF68" i="55"/>
  <c r="FF69" i="55"/>
  <c r="FF70" i="55"/>
  <c r="FF71" i="55"/>
  <c r="FF72" i="55"/>
  <c r="FF73" i="55"/>
  <c r="FF74" i="55"/>
  <c r="FF75" i="55"/>
  <c r="FF76" i="55"/>
  <c r="FF77" i="55"/>
  <c r="FF78" i="55"/>
  <c r="FF79" i="55"/>
  <c r="FF80" i="55"/>
  <c r="FF81" i="55"/>
  <c r="FF82" i="55"/>
  <c r="FF83" i="55"/>
  <c r="FF84" i="55"/>
  <c r="FF85" i="55"/>
  <c r="FF86" i="55"/>
  <c r="FF87" i="55"/>
  <c r="FF89" i="55"/>
  <c r="FF90" i="55"/>
  <c r="FF91" i="55"/>
  <c r="FF92" i="55"/>
  <c r="FF93" i="55"/>
  <c r="FF94" i="55"/>
  <c r="FF95" i="55"/>
  <c r="FF96" i="55"/>
  <c r="FF97" i="55"/>
  <c r="FF98" i="55"/>
  <c r="FF99" i="55"/>
  <c r="FF100" i="55"/>
  <c r="FF101" i="55"/>
  <c r="FF103" i="55"/>
  <c r="FF104" i="55"/>
  <c r="FF105" i="55"/>
  <c r="FF106" i="55"/>
  <c r="FF107" i="55"/>
  <c r="FF108" i="55"/>
  <c r="FF109" i="55"/>
  <c r="FF110" i="55"/>
  <c r="FF111" i="55"/>
  <c r="FF112" i="55"/>
  <c r="FF113" i="55"/>
  <c r="FF114" i="55"/>
  <c r="FF115" i="55"/>
  <c r="FF116" i="55"/>
  <c r="FF117" i="55"/>
  <c r="FF118" i="55"/>
  <c r="FF119" i="55"/>
  <c r="FF120" i="55"/>
  <c r="FF121" i="55"/>
  <c r="FF122" i="55"/>
  <c r="FF123" i="55"/>
  <c r="FF124" i="55"/>
  <c r="FF125" i="55"/>
  <c r="FF126" i="55"/>
  <c r="FF127" i="55"/>
  <c r="FF128" i="55"/>
  <c r="FF129" i="55"/>
  <c r="FF131" i="55"/>
  <c r="FF132" i="55"/>
  <c r="FF133" i="55"/>
  <c r="FF134" i="55"/>
  <c r="FF135" i="55"/>
  <c r="FF136" i="55"/>
  <c r="FF137" i="55"/>
  <c r="FF138" i="55"/>
  <c r="FF139" i="55"/>
  <c r="FF140" i="55"/>
  <c r="FF141" i="55"/>
  <c r="FF142" i="55"/>
  <c r="FF143" i="55"/>
  <c r="FF144" i="55"/>
  <c r="FF145" i="55"/>
  <c r="FF146" i="55"/>
  <c r="FF147" i="55"/>
  <c r="FF148" i="55"/>
  <c r="FF149" i="55"/>
  <c r="FF150" i="55"/>
  <c r="FF151" i="55"/>
  <c r="FF152" i="55"/>
  <c r="FF153" i="55"/>
  <c r="FF314" i="55"/>
  <c r="FF315" i="55"/>
  <c r="FF316" i="55"/>
  <c r="FF318" i="55"/>
  <c r="FF319" i="55"/>
  <c r="FF320" i="55"/>
  <c r="FF321" i="55"/>
  <c r="FF322" i="55"/>
  <c r="FF323" i="55"/>
  <c r="FF324" i="55"/>
  <c r="FF326" i="55"/>
  <c r="FF327" i="55"/>
  <c r="FF328" i="55"/>
  <c r="FF329" i="55"/>
  <c r="FF331" i="55"/>
  <c r="FF332" i="55"/>
  <c r="FF333" i="55"/>
  <c r="FF334" i="55"/>
  <c r="EU7" i="55"/>
  <c r="EU8" i="55"/>
  <c r="EU9" i="55"/>
  <c r="EU10" i="55"/>
  <c r="EU11" i="55"/>
  <c r="EU12" i="55"/>
  <c r="EU13" i="55"/>
  <c r="EU14" i="55"/>
  <c r="EU15" i="55"/>
  <c r="EU16" i="55"/>
  <c r="EU17" i="55"/>
  <c r="EU18" i="55"/>
  <c r="EU19" i="55"/>
  <c r="EU20" i="55"/>
  <c r="EU21" i="55"/>
  <c r="EU23" i="55"/>
  <c r="EU27" i="55"/>
  <c r="EU29" i="55"/>
  <c r="EU32" i="55"/>
  <c r="EU33" i="55"/>
  <c r="EU34" i="55"/>
  <c r="EU35" i="55"/>
  <c r="EU36" i="55"/>
  <c r="EU38" i="55"/>
  <c r="EU39" i="55"/>
  <c r="EU40" i="55"/>
  <c r="EU41" i="55"/>
  <c r="EU42" i="55"/>
  <c r="EU43" i="55"/>
  <c r="EU44" i="55"/>
  <c r="EU47" i="55"/>
  <c r="EU48" i="55"/>
  <c r="EU49" i="55"/>
  <c r="EU57" i="55"/>
  <c r="EU58" i="55"/>
  <c r="EU80" i="55"/>
  <c r="EU81" i="55"/>
  <c r="EU82" i="55"/>
  <c r="EU83" i="55"/>
  <c r="EU84" i="55"/>
  <c r="EU85" i="55"/>
  <c r="EU86" i="55"/>
  <c r="EU87" i="55"/>
  <c r="EU88" i="55"/>
  <c r="EU101" i="55"/>
  <c r="EU123" i="55"/>
  <c r="EU129" i="55"/>
  <c r="EU133" i="55"/>
  <c r="EU138" i="55"/>
  <c r="EU151" i="55"/>
  <c r="EU152" i="55"/>
  <c r="EU155" i="55"/>
  <c r="EU156" i="55"/>
  <c r="EU157" i="55"/>
  <c r="EU158" i="55"/>
  <c r="EU159" i="55"/>
  <c r="EU160" i="55"/>
  <c r="EU161" i="55"/>
  <c r="EU162" i="55"/>
  <c r="EU163" i="55"/>
  <c r="EU164" i="55"/>
  <c r="EU166" i="55"/>
  <c r="EU167" i="55"/>
  <c r="EU168" i="55"/>
  <c r="EU169" i="55"/>
  <c r="EU170" i="55"/>
  <c r="EU171" i="55"/>
  <c r="EU172" i="55"/>
  <c r="EU173" i="55"/>
  <c r="EU174" i="55"/>
  <c r="EU175" i="55"/>
  <c r="EU176" i="55"/>
  <c r="EU177" i="55"/>
  <c r="EU178" i="55"/>
  <c r="EU180" i="55"/>
  <c r="EU182" i="55"/>
  <c r="EU185" i="55"/>
  <c r="EU186" i="55"/>
  <c r="EU187" i="55"/>
  <c r="EU188" i="55"/>
  <c r="EU189" i="55"/>
  <c r="EU190" i="55"/>
  <c r="EU191" i="55"/>
  <c r="EU192" i="55"/>
  <c r="EU193" i="55"/>
  <c r="EU194" i="55"/>
  <c r="EU195" i="55"/>
  <c r="EU196" i="55"/>
  <c r="EU197" i="55"/>
  <c r="EU198" i="55"/>
  <c r="EU199" i="55"/>
  <c r="EU200" i="55"/>
  <c r="EU201" i="55"/>
  <c r="EU202" i="55"/>
  <c r="EU203" i="55"/>
  <c r="EU204" i="55"/>
  <c r="EU205" i="55"/>
  <c r="EU206" i="55"/>
  <c r="EU207" i="55"/>
  <c r="EU208" i="55"/>
  <c r="EU209" i="55"/>
  <c r="EU210" i="55"/>
  <c r="EU211" i="55"/>
  <c r="EU212" i="55"/>
  <c r="EU213" i="55"/>
  <c r="EU214" i="55"/>
  <c r="EU215" i="55"/>
  <c r="EU216" i="55"/>
  <c r="EU217" i="55"/>
  <c r="EU219" i="55"/>
  <c r="EU225" i="55"/>
  <c r="EU226" i="55"/>
  <c r="EU227" i="55"/>
  <c r="EU228" i="55"/>
  <c r="EU229" i="55"/>
  <c r="EU230" i="55"/>
  <c r="EU231" i="55"/>
  <c r="EU232" i="55"/>
  <c r="EU233" i="55"/>
  <c r="EU234" i="55"/>
  <c r="EU235" i="55"/>
  <c r="EU236" i="55"/>
  <c r="EU237" i="55"/>
  <c r="EU238" i="55"/>
  <c r="EU239" i="55"/>
  <c r="EU240" i="55"/>
  <c r="EU241" i="55"/>
  <c r="EU242" i="55"/>
  <c r="EU244" i="55"/>
  <c r="EU245" i="55"/>
  <c r="EU246" i="55"/>
  <c r="EU247" i="55"/>
  <c r="EU248" i="55"/>
  <c r="EU249" i="55"/>
  <c r="EU250" i="55"/>
  <c r="EU251" i="55"/>
  <c r="EU252" i="55"/>
  <c r="EU253" i="55"/>
  <c r="EU254" i="55"/>
  <c r="EU255" i="55"/>
  <c r="EU256" i="55"/>
  <c r="EU257" i="55"/>
  <c r="EU258" i="55"/>
  <c r="EU259" i="55"/>
  <c r="EU260" i="55"/>
  <c r="EU261" i="55"/>
  <c r="EU262" i="55"/>
  <c r="EU263" i="55"/>
  <c r="EU264" i="55"/>
  <c r="EU265" i="55"/>
  <c r="EU266" i="55"/>
  <c r="EU267" i="55"/>
  <c r="EU268" i="55"/>
  <c r="EU269" i="55"/>
  <c r="EU270" i="55"/>
  <c r="EU271" i="55"/>
  <c r="EU272" i="55"/>
  <c r="EU273" i="55"/>
  <c r="EU274" i="55"/>
  <c r="EU275" i="55"/>
  <c r="EU276" i="55"/>
  <c r="EU277" i="55"/>
  <c r="EU278" i="55"/>
  <c r="EU279" i="55"/>
  <c r="EU280" i="55"/>
  <c r="EU281" i="55"/>
  <c r="EU284" i="55"/>
  <c r="EU288" i="55"/>
  <c r="EU289" i="55"/>
  <c r="EU291" i="55"/>
  <c r="EU294" i="55"/>
  <c r="EU295" i="55"/>
  <c r="EU296" i="55"/>
  <c r="EU297" i="55"/>
  <c r="EU298" i="55"/>
  <c r="EU299" i="55"/>
  <c r="EU303" i="55"/>
  <c r="EU304" i="55"/>
  <c r="EU311" i="55"/>
  <c r="EU318" i="55"/>
  <c r="EU319" i="55"/>
  <c r="EU320" i="55"/>
  <c r="EU321" i="55"/>
  <c r="EU322" i="55"/>
  <c r="EU323" i="55"/>
  <c r="EU324" i="55"/>
  <c r="EU326" i="55"/>
  <c r="EU327" i="55"/>
  <c r="EU328" i="55"/>
  <c r="EU329" i="55"/>
  <c r="EU333" i="55"/>
  <c r="EU334" i="55"/>
  <c r="EU338" i="55"/>
  <c r="EU342" i="55"/>
  <c r="EU343" i="55"/>
  <c r="EU344" i="55"/>
  <c r="EU345" i="55"/>
  <c r="EU346" i="55"/>
  <c r="EU347" i="55"/>
  <c r="EU348" i="55"/>
  <c r="EU349" i="55"/>
  <c r="EU350" i="55"/>
  <c r="EU351" i="55"/>
  <c r="EU352" i="55"/>
  <c r="ET5" i="55"/>
  <c r="ET6" i="55"/>
  <c r="ET7" i="55"/>
  <c r="ET8" i="55"/>
  <c r="ET9" i="55"/>
  <c r="ET10" i="55"/>
  <c r="ET11" i="55"/>
  <c r="ET12" i="55"/>
  <c r="ET13" i="55"/>
  <c r="ET14" i="55"/>
  <c r="ET15" i="55"/>
  <c r="ET16" i="55"/>
  <c r="ET17" i="55"/>
  <c r="ET18" i="55"/>
  <c r="ET19" i="55"/>
  <c r="ET20" i="55"/>
  <c r="ET21" i="55"/>
  <c r="ET22" i="55"/>
  <c r="ET23" i="55"/>
  <c r="ET24" i="55"/>
  <c r="ET26" i="55"/>
  <c r="ET29" i="55"/>
  <c r="ET30" i="55"/>
  <c r="ET32" i="55"/>
  <c r="ET33" i="55"/>
  <c r="ET34" i="55"/>
  <c r="ET35" i="55"/>
  <c r="ET36" i="55"/>
  <c r="ET37" i="55"/>
  <c r="ET38" i="55"/>
  <c r="ET39" i="55"/>
  <c r="ET40" i="55"/>
  <c r="ET41" i="55"/>
  <c r="ET42" i="55"/>
  <c r="ET43" i="55"/>
  <c r="ET44" i="55"/>
  <c r="ET45" i="55"/>
  <c r="ET46" i="55"/>
  <c r="ET47" i="55"/>
  <c r="ET48" i="55"/>
  <c r="ET49" i="55"/>
  <c r="ET51" i="55"/>
  <c r="ET52" i="55"/>
  <c r="ET53" i="55"/>
  <c r="ET54" i="55"/>
  <c r="ET55" i="55"/>
  <c r="ET56" i="55"/>
  <c r="ET57" i="55"/>
  <c r="ET58" i="55"/>
  <c r="ET59" i="55"/>
  <c r="ET60" i="55"/>
  <c r="ET61" i="55"/>
  <c r="ET62" i="55"/>
  <c r="ET63" i="55"/>
  <c r="ET64" i="55"/>
  <c r="ET65" i="55"/>
  <c r="ET66" i="55"/>
  <c r="ET67" i="55"/>
  <c r="ET68" i="55"/>
  <c r="ET69" i="55"/>
  <c r="ET70" i="55"/>
  <c r="ET71" i="55"/>
  <c r="ET72" i="55"/>
  <c r="ET73" i="55"/>
  <c r="ET74" i="55"/>
  <c r="ET75" i="55"/>
  <c r="ET76" i="55"/>
  <c r="ET77" i="55"/>
  <c r="ET78" i="55"/>
  <c r="ET79" i="55"/>
  <c r="ET80" i="55"/>
  <c r="ET81" i="55"/>
  <c r="ET82" i="55"/>
  <c r="ET83" i="55"/>
  <c r="ET84" i="55"/>
  <c r="ET85" i="55"/>
  <c r="ET86" i="55"/>
  <c r="ET87" i="55"/>
  <c r="ET88" i="55"/>
  <c r="ET89" i="55"/>
  <c r="ET90" i="55"/>
  <c r="ET91" i="55"/>
  <c r="ET92" i="55"/>
  <c r="ET93" i="55"/>
  <c r="ET94" i="55"/>
  <c r="ET95" i="55"/>
  <c r="ET96" i="55"/>
  <c r="ET97" i="55"/>
  <c r="ET98" i="55"/>
  <c r="ET99" i="55"/>
  <c r="ET100" i="55"/>
  <c r="ET101" i="55"/>
  <c r="ET102" i="55"/>
  <c r="ET103" i="55"/>
  <c r="ET104" i="55"/>
  <c r="ET105" i="55"/>
  <c r="ET106" i="55"/>
  <c r="ET107" i="55"/>
  <c r="ET108" i="55"/>
  <c r="ET109" i="55"/>
  <c r="ET110" i="55"/>
  <c r="ET111" i="55"/>
  <c r="ET112" i="55"/>
  <c r="ET113" i="55"/>
  <c r="ET114" i="55"/>
  <c r="ET115" i="55"/>
  <c r="ET116" i="55"/>
  <c r="ET117" i="55"/>
  <c r="ET118" i="55"/>
  <c r="ET119" i="55"/>
  <c r="ET120" i="55"/>
  <c r="ET121" i="55"/>
  <c r="ET122" i="55"/>
  <c r="ET123" i="55"/>
  <c r="ET124" i="55"/>
  <c r="ET125" i="55"/>
  <c r="ET126" i="55"/>
  <c r="ET127" i="55"/>
  <c r="ET128" i="55"/>
  <c r="ET129" i="55"/>
  <c r="ET130" i="55"/>
  <c r="ET131" i="55"/>
  <c r="ET132" i="55"/>
  <c r="ET133" i="55"/>
  <c r="ET134" i="55"/>
  <c r="ET135" i="55"/>
  <c r="ET136" i="55"/>
  <c r="ET137" i="55"/>
  <c r="ET138" i="55"/>
  <c r="ET139" i="55"/>
  <c r="ET140" i="55"/>
  <c r="ET141" i="55"/>
  <c r="ET142" i="55"/>
  <c r="ET143" i="55"/>
  <c r="ET144" i="55"/>
  <c r="ET145" i="55"/>
  <c r="ET146" i="55"/>
  <c r="ET147" i="55"/>
  <c r="ET148" i="55"/>
  <c r="ET149" i="55"/>
  <c r="ET150" i="55"/>
  <c r="ET151" i="55"/>
  <c r="ET152" i="55"/>
  <c r="ET153" i="55"/>
  <c r="ET154" i="55"/>
  <c r="ET155" i="55"/>
  <c r="ET156" i="55"/>
  <c r="ET157" i="55"/>
  <c r="ET158" i="55"/>
  <c r="ET159" i="55"/>
  <c r="ET160" i="55"/>
  <c r="ET161" i="55"/>
  <c r="ET162" i="55"/>
  <c r="ET163" i="55"/>
  <c r="ET164" i="55"/>
  <c r="ET165" i="55"/>
  <c r="ET166" i="55"/>
  <c r="ET167" i="55"/>
  <c r="ET168" i="55"/>
  <c r="ET169" i="55"/>
  <c r="ET170" i="55"/>
  <c r="ET171" i="55"/>
  <c r="ET172" i="55"/>
  <c r="ET173" i="55"/>
  <c r="ET174" i="55"/>
  <c r="ET175" i="55"/>
  <c r="ET176" i="55"/>
  <c r="ET177" i="55"/>
  <c r="ET178" i="55"/>
  <c r="ET179" i="55"/>
  <c r="ET180" i="55"/>
  <c r="ET181" i="55"/>
  <c r="ET182" i="55"/>
  <c r="ET183" i="55"/>
  <c r="ET185" i="55"/>
  <c r="ET186" i="55"/>
  <c r="ET187" i="55"/>
  <c r="ET188" i="55"/>
  <c r="ET189" i="55"/>
  <c r="ET190" i="55"/>
  <c r="ET191" i="55"/>
  <c r="ET192" i="55"/>
  <c r="ET193" i="55"/>
  <c r="ET194" i="55"/>
  <c r="ET195" i="55"/>
  <c r="ET196" i="55"/>
  <c r="ET197" i="55"/>
  <c r="ET198" i="55"/>
  <c r="ET199" i="55"/>
  <c r="ET200" i="55"/>
  <c r="ET201" i="55"/>
  <c r="ET202" i="55"/>
  <c r="ET203" i="55"/>
  <c r="ET204" i="55"/>
  <c r="ET205" i="55"/>
  <c r="ET206" i="55"/>
  <c r="ET207" i="55"/>
  <c r="ET208" i="55"/>
  <c r="ET209" i="55"/>
  <c r="ET210" i="55"/>
  <c r="ET211" i="55"/>
  <c r="ET212" i="55"/>
  <c r="ET213" i="55"/>
  <c r="ET214" i="55"/>
  <c r="ET215" i="55"/>
  <c r="ET216" i="55"/>
  <c r="ET217" i="55"/>
  <c r="ET218" i="55"/>
  <c r="ET219" i="55"/>
  <c r="ET220" i="55"/>
  <c r="ET221" i="55"/>
  <c r="ET222" i="55"/>
  <c r="ET223" i="55"/>
  <c r="ET225" i="55"/>
  <c r="ET226" i="55"/>
  <c r="ET227" i="55"/>
  <c r="ET228" i="55"/>
  <c r="ET229" i="55"/>
  <c r="ET230" i="55"/>
  <c r="ET231" i="55"/>
  <c r="ET232" i="55"/>
  <c r="ET233" i="55"/>
  <c r="ET234" i="55"/>
  <c r="ET235" i="55"/>
  <c r="ET236" i="55"/>
  <c r="ET237" i="55"/>
  <c r="ET238" i="55"/>
  <c r="ET239" i="55"/>
  <c r="ET240" i="55"/>
  <c r="ET241" i="55"/>
  <c r="ET242" i="55"/>
  <c r="ET243" i="55"/>
  <c r="ET244" i="55"/>
  <c r="ET245" i="55"/>
  <c r="ET246" i="55"/>
  <c r="ET247" i="55"/>
  <c r="ET248" i="55"/>
  <c r="ET249" i="55"/>
  <c r="ET250" i="55"/>
  <c r="ET251" i="55"/>
  <c r="ET252" i="55"/>
  <c r="ET253" i="55"/>
  <c r="ET254" i="55"/>
  <c r="ET255" i="55"/>
  <c r="ET256" i="55"/>
  <c r="ET257" i="55"/>
  <c r="ET258" i="55"/>
  <c r="ET259" i="55"/>
  <c r="ET260" i="55"/>
  <c r="ET261" i="55"/>
  <c r="ET262" i="55"/>
  <c r="ET263" i="55"/>
  <c r="ET264" i="55"/>
  <c r="ET266" i="55"/>
  <c r="ET267" i="55"/>
  <c r="ET268" i="55"/>
  <c r="ET269" i="55"/>
  <c r="ET270" i="55"/>
  <c r="ET271" i="55"/>
  <c r="ET272" i="55"/>
  <c r="ET273" i="55"/>
  <c r="ET274" i="55"/>
  <c r="ET275" i="55"/>
  <c r="ET276" i="55"/>
  <c r="ET277" i="55"/>
  <c r="ET278" i="55"/>
  <c r="ET279" i="55"/>
  <c r="ET280" i="55"/>
  <c r="ET281" i="55"/>
  <c r="ET282" i="55"/>
  <c r="ET283" i="55"/>
  <c r="ET284" i="55"/>
  <c r="ET285" i="55"/>
  <c r="ET286" i="55"/>
  <c r="ET287" i="55"/>
  <c r="ET288" i="55"/>
  <c r="ET289" i="55"/>
  <c r="ET290" i="55"/>
  <c r="ET291" i="55"/>
  <c r="ET292" i="55"/>
  <c r="ET293" i="55"/>
  <c r="ET294" i="55"/>
  <c r="ET295" i="55"/>
  <c r="ET296" i="55"/>
  <c r="ET297" i="55"/>
  <c r="ET298" i="55"/>
  <c r="ET299" i="55"/>
  <c r="ET300" i="55"/>
  <c r="ET301" i="55"/>
  <c r="ET302" i="55"/>
  <c r="ET303" i="55"/>
  <c r="ET304" i="55"/>
  <c r="ET305" i="55"/>
  <c r="ET306" i="55"/>
  <c r="ET307" i="55"/>
  <c r="ET308" i="55"/>
  <c r="ET309" i="55"/>
  <c r="ET310" i="55"/>
  <c r="ET311" i="55"/>
  <c r="ET312" i="55"/>
  <c r="ET313" i="55"/>
  <c r="ET314" i="55"/>
  <c r="ET315" i="55"/>
  <c r="ET316" i="55"/>
  <c r="ET317" i="55"/>
  <c r="ET318" i="55"/>
  <c r="ET319" i="55"/>
  <c r="ET320" i="55"/>
  <c r="ET321" i="55"/>
  <c r="ET322" i="55"/>
  <c r="ET323" i="55"/>
  <c r="ET324" i="55"/>
  <c r="ET325" i="55"/>
  <c r="ET326" i="55"/>
  <c r="ET327" i="55"/>
  <c r="ET328" i="55"/>
  <c r="ET329" i="55"/>
  <c r="ET330" i="55"/>
  <c r="ET331" i="55"/>
  <c r="ET332" i="55"/>
  <c r="ET333" i="55"/>
  <c r="ET334" i="55"/>
  <c r="ET335" i="55"/>
  <c r="ET336" i="55"/>
  <c r="ET337" i="55"/>
  <c r="ET338" i="55"/>
  <c r="ET339" i="55"/>
  <c r="ET340" i="55"/>
  <c r="ET341" i="55"/>
  <c r="ET342" i="55"/>
  <c r="ET343" i="55"/>
  <c r="ET344" i="55"/>
  <c r="ET345" i="55"/>
  <c r="ET346" i="55"/>
  <c r="ET347" i="55"/>
  <c r="ET348" i="55"/>
  <c r="ET349" i="55"/>
  <c r="ET350" i="55"/>
  <c r="ET351" i="55"/>
  <c r="ET352" i="55"/>
  <c r="ES35" i="55"/>
  <c r="ES53" i="55"/>
  <c r="ES58" i="55"/>
  <c r="ES74" i="55"/>
  <c r="ES75" i="55"/>
  <c r="ES78" i="55"/>
  <c r="ES90" i="55"/>
  <c r="ES122" i="55"/>
  <c r="ES133" i="55"/>
  <c r="ES136" i="55"/>
  <c r="ES138" i="55"/>
  <c r="ES139" i="55"/>
  <c r="ES142" i="55"/>
  <c r="ES165" i="55"/>
  <c r="ES171" i="55"/>
  <c r="ES186" i="55"/>
  <c r="ES229" i="55"/>
  <c r="ES245" i="55"/>
  <c r="ES250" i="55"/>
  <c r="ES264" i="55"/>
  <c r="ES266" i="55"/>
  <c r="ES267" i="55"/>
  <c r="ES271" i="55"/>
  <c r="ES325" i="55"/>
  <c r="ES330" i="55"/>
  <c r="ES331" i="55"/>
  <c r="ES346" i="55"/>
  <c r="ES351" i="55"/>
  <c r="ER5" i="55"/>
  <c r="ER8" i="55"/>
  <c r="ER45" i="55"/>
  <c r="ER59" i="55"/>
  <c r="ER88" i="55"/>
  <c r="ER91" i="55"/>
  <c r="ER101" i="55"/>
  <c r="ER106" i="55"/>
  <c r="ER107" i="55"/>
  <c r="ER122" i="55"/>
  <c r="ER133" i="55"/>
  <c r="ER142" i="55"/>
  <c r="ER149" i="55"/>
  <c r="ER186" i="55"/>
  <c r="ER213" i="55"/>
  <c r="ER218" i="55"/>
  <c r="ER219" i="55"/>
  <c r="ER222" i="55"/>
  <c r="ER229" i="55"/>
  <c r="ER234" i="55"/>
  <c r="ER235" i="55"/>
  <c r="ER264" i="55"/>
  <c r="ER296" i="55"/>
  <c r="ER299" i="55"/>
  <c r="ER301" i="55"/>
  <c r="ER313" i="55"/>
  <c r="ER315" i="55"/>
  <c r="ER325" i="55"/>
  <c r="EN5" i="55"/>
  <c r="EN6" i="55"/>
  <c r="EN7" i="55"/>
  <c r="EN8" i="55"/>
  <c r="ES8" i="55" s="1"/>
  <c r="EN9" i="55"/>
  <c r="ES9" i="55" s="1"/>
  <c r="EN10" i="55"/>
  <c r="EN12" i="55"/>
  <c r="EN13" i="55"/>
  <c r="EN14" i="55"/>
  <c r="ES14" i="55" s="1"/>
  <c r="EN15" i="55"/>
  <c r="ER15" i="55" s="1"/>
  <c r="EN16" i="55"/>
  <c r="ES16" i="55" s="1"/>
  <c r="EN17" i="55"/>
  <c r="ES17" i="55" s="1"/>
  <c r="EN18" i="55"/>
  <c r="ER18" i="55" s="1"/>
  <c r="EN19" i="55"/>
  <c r="ER19" i="55" s="1"/>
  <c r="EN20" i="55"/>
  <c r="EN21" i="55"/>
  <c r="EN22" i="55"/>
  <c r="EN23" i="55"/>
  <c r="EN24" i="55"/>
  <c r="EN26" i="55"/>
  <c r="EN29" i="55"/>
  <c r="ES29" i="55" s="1"/>
  <c r="EN30" i="55"/>
  <c r="EN31" i="55"/>
  <c r="EN32" i="55"/>
  <c r="EN33" i="55"/>
  <c r="ER33" i="55" s="1"/>
  <c r="EN34" i="55"/>
  <c r="ER34" i="55" s="1"/>
  <c r="EN35" i="55"/>
  <c r="EN36" i="55"/>
  <c r="EN37" i="55"/>
  <c r="EN38" i="55"/>
  <c r="EN39" i="55"/>
  <c r="ER39" i="55" s="1"/>
  <c r="EN40" i="55"/>
  <c r="EN41" i="55"/>
  <c r="ER41" i="55" s="1"/>
  <c r="EN42" i="55"/>
  <c r="EN43" i="55"/>
  <c r="ES43" i="55" s="1"/>
  <c r="EN44" i="55"/>
  <c r="EN45" i="55"/>
  <c r="ES45" i="55" s="1"/>
  <c r="EN46" i="55"/>
  <c r="ER46" i="55" s="1"/>
  <c r="EN47" i="55"/>
  <c r="ES47" i="55" s="1"/>
  <c r="EN48" i="55"/>
  <c r="ES48" i="55" s="1"/>
  <c r="EN49" i="55"/>
  <c r="ES49" i="55" s="1"/>
  <c r="EN51" i="55"/>
  <c r="ES51" i="55" s="1"/>
  <c r="EN52" i="55"/>
  <c r="EN53" i="55"/>
  <c r="EN54" i="55"/>
  <c r="EN55" i="55"/>
  <c r="EN56" i="55"/>
  <c r="EN57" i="55"/>
  <c r="EN58" i="55"/>
  <c r="ER58" i="55" s="1"/>
  <c r="EN59" i="55"/>
  <c r="EN60" i="55"/>
  <c r="ER60" i="55" s="1"/>
  <c r="EN61" i="55"/>
  <c r="ER61" i="55" s="1"/>
  <c r="EN62" i="55"/>
  <c r="ES62" i="55" s="1"/>
  <c r="EN63" i="55"/>
  <c r="EN64" i="55"/>
  <c r="EN65" i="55"/>
  <c r="EN66" i="55"/>
  <c r="ER66" i="55" s="1"/>
  <c r="EN67" i="55"/>
  <c r="EN68" i="55"/>
  <c r="EN69" i="55"/>
  <c r="ES69" i="55" s="1"/>
  <c r="EN70" i="55"/>
  <c r="EN71" i="55"/>
  <c r="EN72" i="55"/>
  <c r="ER72" i="55" s="1"/>
  <c r="EN73" i="55"/>
  <c r="EN74" i="55"/>
  <c r="ER74" i="55" s="1"/>
  <c r="EN75" i="55"/>
  <c r="EN76" i="55"/>
  <c r="ES76" i="55" s="1"/>
  <c r="EN77" i="55"/>
  <c r="EN78" i="55"/>
  <c r="ER78" i="55" s="1"/>
  <c r="EN79" i="55"/>
  <c r="ER79" i="55" s="1"/>
  <c r="EN80" i="55"/>
  <c r="ES80" i="55" s="1"/>
  <c r="EN81" i="55"/>
  <c r="ER81" i="55" s="1"/>
  <c r="EN82" i="55"/>
  <c r="ER82" i="55" s="1"/>
  <c r="EN83" i="55"/>
  <c r="ER83" i="55" s="1"/>
  <c r="EN84" i="55"/>
  <c r="EN85" i="55"/>
  <c r="ES85" i="55" s="1"/>
  <c r="EN86" i="55"/>
  <c r="EN87" i="55"/>
  <c r="EN88" i="55"/>
  <c r="EN89" i="55"/>
  <c r="EN90" i="55"/>
  <c r="ER90" i="55" s="1"/>
  <c r="EN91" i="55"/>
  <c r="EN92" i="55"/>
  <c r="EN93" i="55"/>
  <c r="EN94" i="55"/>
  <c r="EN95" i="55"/>
  <c r="EN96" i="55"/>
  <c r="EN97" i="55"/>
  <c r="ER97" i="55" s="1"/>
  <c r="EN98" i="55"/>
  <c r="ER98" i="55" s="1"/>
  <c r="EN99" i="55"/>
  <c r="ES99" i="55" s="1"/>
  <c r="EN100" i="55"/>
  <c r="EN101" i="55"/>
  <c r="ES101" i="55" s="1"/>
  <c r="EN102" i="55"/>
  <c r="EN103" i="55"/>
  <c r="EN104" i="55"/>
  <c r="EN105" i="55"/>
  <c r="EN106" i="55"/>
  <c r="ES106" i="55" s="1"/>
  <c r="EN107" i="55"/>
  <c r="ES107" i="55" s="1"/>
  <c r="EN108" i="55"/>
  <c r="EN109" i="55"/>
  <c r="EN110" i="55"/>
  <c r="EN111" i="55"/>
  <c r="EN112" i="55"/>
  <c r="EN113" i="55"/>
  <c r="EN114" i="55"/>
  <c r="ER114" i="55" s="1"/>
  <c r="EN115" i="55"/>
  <c r="ES115" i="55" s="1"/>
  <c r="EN116" i="55"/>
  <c r="EN117" i="55"/>
  <c r="ES117" i="55" s="1"/>
  <c r="EN118" i="55"/>
  <c r="EN119" i="55"/>
  <c r="EN120" i="55"/>
  <c r="EN121" i="55"/>
  <c r="EN122" i="55"/>
  <c r="EN123" i="55"/>
  <c r="EN124" i="55"/>
  <c r="EN125" i="55"/>
  <c r="ER125" i="55" s="1"/>
  <c r="EN126" i="55"/>
  <c r="EN127" i="55"/>
  <c r="EN128" i="55"/>
  <c r="ES128" i="55" s="1"/>
  <c r="EN129" i="55"/>
  <c r="ES129" i="55" s="1"/>
  <c r="EN130" i="55"/>
  <c r="ER130" i="55" s="1"/>
  <c r="EN131" i="55"/>
  <c r="ER131" i="55" s="1"/>
  <c r="EN132" i="55"/>
  <c r="EN133" i="55"/>
  <c r="EN134" i="55"/>
  <c r="EN135" i="55"/>
  <c r="EN136" i="55"/>
  <c r="EN137" i="55"/>
  <c r="EN138" i="55"/>
  <c r="EN139" i="55"/>
  <c r="EN140" i="55"/>
  <c r="ES140" i="55" s="1"/>
  <c r="EN141" i="55"/>
  <c r="ER141" i="55" s="1"/>
  <c r="EN142" i="55"/>
  <c r="EN143" i="55"/>
  <c r="ES143" i="55" s="1"/>
  <c r="EN144" i="55"/>
  <c r="ES144" i="55" s="1"/>
  <c r="EN145" i="55"/>
  <c r="EN146" i="55"/>
  <c r="ER146" i="55" s="1"/>
  <c r="EN147" i="55"/>
  <c r="ER147" i="55" s="1"/>
  <c r="EN148" i="55"/>
  <c r="EN149" i="55"/>
  <c r="ES149" i="55" s="1"/>
  <c r="EN150" i="55"/>
  <c r="EN151" i="55"/>
  <c r="EN152" i="55"/>
  <c r="EN153" i="55"/>
  <c r="EN154" i="55"/>
  <c r="ES154" i="55" s="1"/>
  <c r="EN155" i="55"/>
  <c r="ES155" i="55" s="1"/>
  <c r="EN156" i="55"/>
  <c r="EN157" i="55"/>
  <c r="EN158" i="55"/>
  <c r="EN159" i="55"/>
  <c r="EN160" i="55"/>
  <c r="EN161" i="55"/>
  <c r="ER161" i="55" s="1"/>
  <c r="EN162" i="55"/>
  <c r="ER162" i="55" s="1"/>
  <c r="EN163" i="55"/>
  <c r="ES163" i="55" s="1"/>
  <c r="EN164" i="55"/>
  <c r="EN165" i="55"/>
  <c r="ER165" i="55" s="1"/>
  <c r="EN166" i="55"/>
  <c r="EN167" i="55"/>
  <c r="EN168" i="55"/>
  <c r="EN169" i="55"/>
  <c r="EN170" i="55"/>
  <c r="EN171" i="55"/>
  <c r="ER171" i="55" s="1"/>
  <c r="EN172" i="55"/>
  <c r="ES172" i="55" s="1"/>
  <c r="EN173" i="55"/>
  <c r="EN174" i="55"/>
  <c r="ES174" i="55" s="1"/>
  <c r="EN175" i="55"/>
  <c r="EN176" i="55"/>
  <c r="EN177" i="55"/>
  <c r="EN178" i="55"/>
  <c r="ER178" i="55" s="1"/>
  <c r="EN179" i="55"/>
  <c r="ES179" i="55" s="1"/>
  <c r="EN180" i="55"/>
  <c r="EN181" i="55"/>
  <c r="ES181" i="55" s="1"/>
  <c r="EN182" i="55"/>
  <c r="EN183" i="55"/>
  <c r="EN184" i="55"/>
  <c r="EN185" i="55"/>
  <c r="EN186" i="55"/>
  <c r="EN187" i="55"/>
  <c r="ER187" i="55" s="1"/>
  <c r="EN188" i="55"/>
  <c r="ER188" i="55" s="1"/>
  <c r="EN189" i="55"/>
  <c r="ER189" i="55" s="1"/>
  <c r="EN190" i="55"/>
  <c r="ES190" i="55" s="1"/>
  <c r="EN191" i="55"/>
  <c r="ES191" i="55" s="1"/>
  <c r="EN192" i="55"/>
  <c r="EN193" i="55"/>
  <c r="EN194" i="55"/>
  <c r="ER194" i="55" s="1"/>
  <c r="EN195" i="55"/>
  <c r="EN196" i="55"/>
  <c r="EN197" i="55"/>
  <c r="EN198" i="55"/>
  <c r="EN199" i="55"/>
  <c r="EN200" i="55"/>
  <c r="EN201" i="55"/>
  <c r="EN202" i="55"/>
  <c r="EN203" i="55"/>
  <c r="ES203" i="55" s="1"/>
  <c r="EN204" i="55"/>
  <c r="EN205" i="55"/>
  <c r="EN206" i="55"/>
  <c r="EN207" i="55"/>
  <c r="ER207" i="55" s="1"/>
  <c r="EN208" i="55"/>
  <c r="EN209" i="55"/>
  <c r="ER209" i="55" s="1"/>
  <c r="EN210" i="55"/>
  <c r="ER210" i="55" s="1"/>
  <c r="EN211" i="55"/>
  <c r="ER211" i="55" s="1"/>
  <c r="EN212" i="55"/>
  <c r="EN213" i="55"/>
  <c r="ES213" i="55" s="1"/>
  <c r="EN214" i="55"/>
  <c r="EN215" i="55"/>
  <c r="EN216" i="55"/>
  <c r="EN217" i="55"/>
  <c r="EN218" i="55"/>
  <c r="EN219" i="55"/>
  <c r="ES219" i="55" s="1"/>
  <c r="EN220" i="55"/>
  <c r="ES220" i="55" s="1"/>
  <c r="EN221" i="55"/>
  <c r="ES221" i="55" s="1"/>
  <c r="EN222" i="55"/>
  <c r="ES222" i="55" s="1"/>
  <c r="EN223" i="55"/>
  <c r="ER223" i="55" s="1"/>
  <c r="EN224" i="55"/>
  <c r="EN225" i="55"/>
  <c r="EN226" i="55"/>
  <c r="ER226" i="55" s="1"/>
  <c r="EN227" i="55"/>
  <c r="ES227" i="55" s="1"/>
  <c r="EN228" i="55"/>
  <c r="EN229" i="55"/>
  <c r="EN230" i="55"/>
  <c r="EN231" i="55"/>
  <c r="EN232" i="55"/>
  <c r="ER232" i="55" s="1"/>
  <c r="EN233" i="55"/>
  <c r="EN234" i="55"/>
  <c r="ES234" i="55" s="1"/>
  <c r="EN235" i="55"/>
  <c r="ES235" i="55" s="1"/>
  <c r="EN236" i="55"/>
  <c r="EN237" i="55"/>
  <c r="EN238" i="55"/>
  <c r="EN239" i="55"/>
  <c r="EN240" i="55"/>
  <c r="EN241" i="55"/>
  <c r="EN242" i="55"/>
  <c r="ER242" i="55" s="1"/>
  <c r="EN243" i="55"/>
  <c r="ES243" i="55" s="1"/>
  <c r="EN244" i="55"/>
  <c r="EN245" i="55"/>
  <c r="EN246" i="55"/>
  <c r="EN247" i="55"/>
  <c r="EN248" i="55"/>
  <c r="EN249" i="55"/>
  <c r="EN250" i="55"/>
  <c r="ER250" i="55" s="1"/>
  <c r="EN251" i="55"/>
  <c r="EN252" i="55"/>
  <c r="ER252" i="55" s="1"/>
  <c r="EN253" i="55"/>
  <c r="EN254" i="55"/>
  <c r="ES254" i="55" s="1"/>
  <c r="EN255" i="55"/>
  <c r="ES255" i="55" s="1"/>
  <c r="EN256" i="55"/>
  <c r="EN257" i="55"/>
  <c r="ER257" i="55" s="1"/>
  <c r="EN258" i="55"/>
  <c r="ER258" i="55" s="1"/>
  <c r="EN259" i="55"/>
  <c r="EN260" i="55"/>
  <c r="EN261" i="55"/>
  <c r="ES261" i="55" s="1"/>
  <c r="EN262" i="55"/>
  <c r="EN263" i="55"/>
  <c r="EN264" i="55"/>
  <c r="EN265" i="55"/>
  <c r="EN266" i="55"/>
  <c r="ER266" i="55" s="1"/>
  <c r="EN267" i="55"/>
  <c r="EN268" i="55"/>
  <c r="ES268" i="55" s="1"/>
  <c r="EN269" i="55"/>
  <c r="ER269" i="55" s="1"/>
  <c r="EN270" i="55"/>
  <c r="ES270" i="55" s="1"/>
  <c r="EN271" i="55"/>
  <c r="ER271" i="55" s="1"/>
  <c r="EN272" i="55"/>
  <c r="EN273" i="55"/>
  <c r="EN274" i="55"/>
  <c r="ER274" i="55" s="1"/>
  <c r="EN275" i="55"/>
  <c r="ER275" i="55" s="1"/>
  <c r="EN276" i="55"/>
  <c r="EN277" i="55"/>
  <c r="EN278" i="55"/>
  <c r="EN279" i="55"/>
  <c r="EN280" i="55"/>
  <c r="EN281" i="55"/>
  <c r="EN282" i="55"/>
  <c r="ES282" i="55" s="1"/>
  <c r="EN283" i="55"/>
  <c r="ER283" i="55" s="1"/>
  <c r="EN284" i="55"/>
  <c r="EN285" i="55"/>
  <c r="EN286" i="55"/>
  <c r="ER286" i="55" s="1"/>
  <c r="EN287" i="55"/>
  <c r="ER287" i="55" s="1"/>
  <c r="EN288" i="55"/>
  <c r="EN289" i="55"/>
  <c r="ER289" i="55" s="1"/>
  <c r="EN290" i="55"/>
  <c r="ER290" i="55" s="1"/>
  <c r="EN291" i="55"/>
  <c r="ES291" i="55" s="1"/>
  <c r="EN292" i="55"/>
  <c r="EN293" i="55"/>
  <c r="ES293" i="55" s="1"/>
  <c r="EN294" i="55"/>
  <c r="EN295" i="55"/>
  <c r="EN296" i="55"/>
  <c r="EN297" i="55"/>
  <c r="EN298" i="55"/>
  <c r="EN299" i="55"/>
  <c r="ES299" i="55" s="1"/>
  <c r="EN300" i="55"/>
  <c r="EN301" i="55"/>
  <c r="EN302" i="55"/>
  <c r="ES302" i="55" s="1"/>
  <c r="EN303" i="55"/>
  <c r="ES303" i="55" s="1"/>
  <c r="EN304" i="55"/>
  <c r="EN305" i="55"/>
  <c r="EN306" i="55"/>
  <c r="ER306" i="55" s="1"/>
  <c r="EN307" i="55"/>
  <c r="ES307" i="55" s="1"/>
  <c r="EN308" i="55"/>
  <c r="EN309" i="55"/>
  <c r="ES309" i="55" s="1"/>
  <c r="EN310" i="55"/>
  <c r="ES310" i="55" s="1"/>
  <c r="EN311" i="55"/>
  <c r="EN312" i="55"/>
  <c r="EN313" i="55"/>
  <c r="EN314" i="55"/>
  <c r="ER314" i="55" s="1"/>
  <c r="EN315" i="55"/>
  <c r="EN316" i="55"/>
  <c r="ER316" i="55" s="1"/>
  <c r="EN317" i="55"/>
  <c r="ER317" i="55" s="1"/>
  <c r="EN318" i="55"/>
  <c r="EN319" i="55"/>
  <c r="ER319" i="55" s="1"/>
  <c r="EN320" i="55"/>
  <c r="EN321" i="55"/>
  <c r="EN322" i="55"/>
  <c r="ER322" i="55" s="1"/>
  <c r="EN323" i="55"/>
  <c r="ER323" i="55" s="1"/>
  <c r="EN324" i="55"/>
  <c r="EN325" i="55"/>
  <c r="EN326" i="55"/>
  <c r="EN327" i="55"/>
  <c r="EN328" i="55"/>
  <c r="EN329" i="55"/>
  <c r="EN330" i="55"/>
  <c r="ER330" i="55" s="1"/>
  <c r="EN331" i="55"/>
  <c r="EN332" i="55"/>
  <c r="EN333" i="55"/>
  <c r="ER333" i="55" s="1"/>
  <c r="EN334" i="55"/>
  <c r="ES334" i="55" s="1"/>
  <c r="EN335" i="55"/>
  <c r="ES335" i="55" s="1"/>
  <c r="EN336" i="55"/>
  <c r="EN337" i="55"/>
  <c r="ER337" i="55" s="1"/>
  <c r="EN338" i="55"/>
  <c r="ER338" i="55" s="1"/>
  <c r="EN339" i="55"/>
  <c r="ER339" i="55" s="1"/>
  <c r="EN340" i="55"/>
  <c r="EN341" i="55"/>
  <c r="ES341" i="55" s="1"/>
  <c r="EN342" i="55"/>
  <c r="EN343" i="55"/>
  <c r="EN344" i="55"/>
  <c r="ER344" i="55" s="1"/>
  <c r="EN345" i="55"/>
  <c r="EN346" i="55"/>
  <c r="ER346" i="55" s="1"/>
  <c r="EN347" i="55"/>
  <c r="ES347" i="55" s="1"/>
  <c r="EN348" i="55"/>
  <c r="EN349" i="55"/>
  <c r="ES349" i="55" s="1"/>
  <c r="EN350" i="55"/>
  <c r="EN351" i="55"/>
  <c r="ER351" i="55" s="1"/>
  <c r="EN352" i="55"/>
  <c r="EJ86" i="55"/>
  <c r="EJ130" i="55"/>
  <c r="EJ132" i="55"/>
  <c r="EI5" i="55"/>
  <c r="EU5" i="55" s="1"/>
  <c r="EI6" i="55"/>
  <c r="EU6" i="55" s="1"/>
  <c r="EI7" i="55"/>
  <c r="EI8" i="55"/>
  <c r="EI9" i="55"/>
  <c r="EI10" i="55"/>
  <c r="EI11" i="55"/>
  <c r="EI12" i="55"/>
  <c r="EI13" i="55"/>
  <c r="EI14" i="55"/>
  <c r="EI15" i="55"/>
  <c r="EI16" i="55"/>
  <c r="EI17" i="55"/>
  <c r="EI18" i="55"/>
  <c r="EI19" i="55"/>
  <c r="EI20" i="55"/>
  <c r="EI21" i="55"/>
  <c r="EI22" i="55"/>
  <c r="EU22" i="55" s="1"/>
  <c r="EI23" i="55"/>
  <c r="EI24" i="55"/>
  <c r="EU24" i="55" s="1"/>
  <c r="EI25" i="55"/>
  <c r="EI26" i="55"/>
  <c r="EU26" i="55" s="1"/>
  <c r="EI29" i="55"/>
  <c r="EI30" i="55"/>
  <c r="EU30" i="55" s="1"/>
  <c r="EI32" i="55"/>
  <c r="EI33" i="55"/>
  <c r="EI34" i="55"/>
  <c r="EI35" i="55"/>
  <c r="EI36" i="55"/>
  <c r="EI37" i="55"/>
  <c r="EU37" i="55" s="1"/>
  <c r="EI38" i="55"/>
  <c r="EI39" i="55"/>
  <c r="EI40" i="55"/>
  <c r="EI41" i="55"/>
  <c r="EI42" i="55"/>
  <c r="EI43" i="55"/>
  <c r="EI44" i="55"/>
  <c r="EI45" i="55"/>
  <c r="EU45" i="55" s="1"/>
  <c r="EI46" i="55"/>
  <c r="EU46" i="55" s="1"/>
  <c r="EI47" i="55"/>
  <c r="EI48" i="55"/>
  <c r="EI49" i="55"/>
  <c r="EI50" i="55"/>
  <c r="EI51" i="55"/>
  <c r="EU51" i="55" s="1"/>
  <c r="EI52" i="55"/>
  <c r="EU52" i="55" s="1"/>
  <c r="EI53" i="55"/>
  <c r="EU53" i="55" s="1"/>
  <c r="EI54" i="55"/>
  <c r="EU54" i="55" s="1"/>
  <c r="EI55" i="55"/>
  <c r="EU55" i="55" s="1"/>
  <c r="EI56" i="55"/>
  <c r="EU56" i="55" s="1"/>
  <c r="EI57" i="55"/>
  <c r="EI58" i="55"/>
  <c r="EI59" i="55"/>
  <c r="EU59" i="55" s="1"/>
  <c r="EI60" i="55"/>
  <c r="EU60" i="55" s="1"/>
  <c r="EI61" i="55"/>
  <c r="EU61" i="55" s="1"/>
  <c r="EI62" i="55"/>
  <c r="EU62" i="55" s="1"/>
  <c r="EI63" i="55"/>
  <c r="EU63" i="55" s="1"/>
  <c r="EI64" i="55"/>
  <c r="EU64" i="55" s="1"/>
  <c r="EI65" i="55"/>
  <c r="EU65" i="55" s="1"/>
  <c r="EI66" i="55"/>
  <c r="EU66" i="55" s="1"/>
  <c r="EI67" i="55"/>
  <c r="EU67" i="55" s="1"/>
  <c r="EI68" i="55"/>
  <c r="EU68" i="55" s="1"/>
  <c r="EI69" i="55"/>
  <c r="EU69" i="55" s="1"/>
  <c r="EI70" i="55"/>
  <c r="EU70" i="55" s="1"/>
  <c r="EI71" i="55"/>
  <c r="EU71" i="55" s="1"/>
  <c r="EI72" i="55"/>
  <c r="EU72" i="55" s="1"/>
  <c r="EI73" i="55"/>
  <c r="EU73" i="55" s="1"/>
  <c r="EI74" i="55"/>
  <c r="EU74" i="55" s="1"/>
  <c r="EI75" i="55"/>
  <c r="EU75" i="55" s="1"/>
  <c r="EI76" i="55"/>
  <c r="EU76" i="55" s="1"/>
  <c r="EI77" i="55"/>
  <c r="EU77" i="55" s="1"/>
  <c r="EI78" i="55"/>
  <c r="EU78" i="55" s="1"/>
  <c r="EI79" i="55"/>
  <c r="EU79" i="55" s="1"/>
  <c r="EI80" i="55"/>
  <c r="EI81" i="55"/>
  <c r="EI82" i="55"/>
  <c r="EI83" i="55"/>
  <c r="EI84" i="55"/>
  <c r="EI85" i="55"/>
  <c r="EI86" i="55"/>
  <c r="EI87" i="55"/>
  <c r="EI88" i="55"/>
  <c r="EI89" i="55"/>
  <c r="EU89" i="55" s="1"/>
  <c r="EI90" i="55"/>
  <c r="EU90" i="55" s="1"/>
  <c r="EI91" i="55"/>
  <c r="EU91" i="55" s="1"/>
  <c r="EI92" i="55"/>
  <c r="EU92" i="55" s="1"/>
  <c r="EI93" i="55"/>
  <c r="EU93" i="55" s="1"/>
  <c r="EI94" i="55"/>
  <c r="EU94" i="55" s="1"/>
  <c r="EI95" i="55"/>
  <c r="EU95" i="55" s="1"/>
  <c r="EI96" i="55"/>
  <c r="EU96" i="55" s="1"/>
  <c r="EI97" i="55"/>
  <c r="EU97" i="55" s="1"/>
  <c r="EI98" i="55"/>
  <c r="EU98" i="55" s="1"/>
  <c r="EI99" i="55"/>
  <c r="EU99" i="55" s="1"/>
  <c r="EI100" i="55"/>
  <c r="EU100" i="55" s="1"/>
  <c r="EI101" i="55"/>
  <c r="EI102" i="55"/>
  <c r="EU102" i="55" s="1"/>
  <c r="EI103" i="55"/>
  <c r="EU103" i="55" s="1"/>
  <c r="EI104" i="55"/>
  <c r="EU104" i="55" s="1"/>
  <c r="EI105" i="55"/>
  <c r="EU105" i="55" s="1"/>
  <c r="EI106" i="55"/>
  <c r="EU106" i="55" s="1"/>
  <c r="EI107" i="55"/>
  <c r="EU107" i="55" s="1"/>
  <c r="EI108" i="55"/>
  <c r="EU108" i="55" s="1"/>
  <c r="EI109" i="55"/>
  <c r="EU109" i="55" s="1"/>
  <c r="EI110" i="55"/>
  <c r="EU110" i="55" s="1"/>
  <c r="EI111" i="55"/>
  <c r="EU111" i="55" s="1"/>
  <c r="EI112" i="55"/>
  <c r="EU112" i="55" s="1"/>
  <c r="EI113" i="55"/>
  <c r="EU113" i="55" s="1"/>
  <c r="EI114" i="55"/>
  <c r="EU114" i="55" s="1"/>
  <c r="EI115" i="55"/>
  <c r="EU115" i="55" s="1"/>
  <c r="EI116" i="55"/>
  <c r="EU116" i="55" s="1"/>
  <c r="EI117" i="55"/>
  <c r="EU117" i="55" s="1"/>
  <c r="EI118" i="55"/>
  <c r="EU118" i="55" s="1"/>
  <c r="EI119" i="55"/>
  <c r="EU119" i="55" s="1"/>
  <c r="EI120" i="55"/>
  <c r="EU120" i="55" s="1"/>
  <c r="EI121" i="55"/>
  <c r="EU121" i="55" s="1"/>
  <c r="EI122" i="55"/>
  <c r="EU122" i="55" s="1"/>
  <c r="EI123" i="55"/>
  <c r="EI124" i="55"/>
  <c r="EU124" i="55" s="1"/>
  <c r="EI125" i="55"/>
  <c r="EU125" i="55" s="1"/>
  <c r="EI126" i="55"/>
  <c r="EU126" i="55" s="1"/>
  <c r="EI127" i="55"/>
  <c r="EU127" i="55" s="1"/>
  <c r="EI128" i="55"/>
  <c r="EU128" i="55" s="1"/>
  <c r="EI129" i="55"/>
  <c r="EI130" i="55"/>
  <c r="EU130" i="55" s="1"/>
  <c r="EI131" i="55"/>
  <c r="EU131" i="55" s="1"/>
  <c r="EI132" i="55"/>
  <c r="EU132" i="55" s="1"/>
  <c r="EI133" i="55"/>
  <c r="EI134" i="55"/>
  <c r="EU134" i="55" s="1"/>
  <c r="EI135" i="55"/>
  <c r="EU135" i="55" s="1"/>
  <c r="EI136" i="55"/>
  <c r="EU136" i="55" s="1"/>
  <c r="EI137" i="55"/>
  <c r="EU137" i="55" s="1"/>
  <c r="EI138" i="55"/>
  <c r="EI139" i="55"/>
  <c r="EU139" i="55" s="1"/>
  <c r="EI140" i="55"/>
  <c r="EU140" i="55" s="1"/>
  <c r="EI141" i="55"/>
  <c r="EU141" i="55" s="1"/>
  <c r="EI142" i="55"/>
  <c r="EU142" i="55" s="1"/>
  <c r="EI143" i="55"/>
  <c r="EU143" i="55" s="1"/>
  <c r="EI144" i="55"/>
  <c r="EU144" i="55" s="1"/>
  <c r="EI145" i="55"/>
  <c r="EU145" i="55" s="1"/>
  <c r="EI146" i="55"/>
  <c r="EU146" i="55" s="1"/>
  <c r="EI147" i="55"/>
  <c r="EU147" i="55" s="1"/>
  <c r="EI148" i="55"/>
  <c r="EU148" i="55" s="1"/>
  <c r="EI149" i="55"/>
  <c r="EU149" i="55" s="1"/>
  <c r="EI150" i="55"/>
  <c r="EU150" i="55" s="1"/>
  <c r="EI151" i="55"/>
  <c r="EI152" i="55"/>
  <c r="EI153" i="55"/>
  <c r="EU153" i="55" s="1"/>
  <c r="EI155" i="55"/>
  <c r="EI156" i="55"/>
  <c r="EI157" i="55"/>
  <c r="EI158" i="55"/>
  <c r="EI159" i="55"/>
  <c r="EI160" i="55"/>
  <c r="EI161" i="55"/>
  <c r="EI162" i="55"/>
  <c r="EI163" i="55"/>
  <c r="EI164" i="55"/>
  <c r="EI165" i="55"/>
  <c r="EU165" i="55" s="1"/>
  <c r="EI166" i="55"/>
  <c r="EI167" i="55"/>
  <c r="EI168" i="55"/>
  <c r="EI169" i="55"/>
  <c r="EI170" i="55"/>
  <c r="EI171" i="55"/>
  <c r="EI172" i="55"/>
  <c r="EI173" i="55"/>
  <c r="EI174" i="55"/>
  <c r="EI175" i="55"/>
  <c r="EI176" i="55"/>
  <c r="EI177" i="55"/>
  <c r="EI178" i="55"/>
  <c r="EI179" i="55"/>
  <c r="EU179" i="55" s="1"/>
  <c r="EI180" i="55"/>
  <c r="EI181" i="55"/>
  <c r="EU181" i="55" s="1"/>
  <c r="EI182" i="55"/>
  <c r="EI183" i="55"/>
  <c r="EU183" i="55" s="1"/>
  <c r="EI185" i="55"/>
  <c r="EI186" i="55"/>
  <c r="EI187" i="55"/>
  <c r="EI188" i="55"/>
  <c r="EI189" i="55"/>
  <c r="EI190" i="55"/>
  <c r="EI191" i="55"/>
  <c r="EI192" i="55"/>
  <c r="EI193" i="55"/>
  <c r="EI194" i="55"/>
  <c r="EI195" i="55"/>
  <c r="EI196" i="55"/>
  <c r="EI197" i="55"/>
  <c r="EI198" i="55"/>
  <c r="EI199" i="55"/>
  <c r="EI200" i="55"/>
  <c r="EI201" i="55"/>
  <c r="EI202" i="55"/>
  <c r="EI203" i="55"/>
  <c r="EI204" i="55"/>
  <c r="EI205" i="55"/>
  <c r="EI206" i="55"/>
  <c r="EI207" i="55"/>
  <c r="EI208" i="55"/>
  <c r="EI209" i="55"/>
  <c r="EI210" i="55"/>
  <c r="EI211" i="55"/>
  <c r="EI212" i="55"/>
  <c r="EI213" i="55"/>
  <c r="EI214" i="55"/>
  <c r="EI215" i="55"/>
  <c r="EI216" i="55"/>
  <c r="EI217" i="55"/>
  <c r="EI218" i="55"/>
  <c r="EU218" i="55" s="1"/>
  <c r="EI219" i="55"/>
  <c r="EI220" i="55"/>
  <c r="EU220" i="55" s="1"/>
  <c r="EI221" i="55"/>
  <c r="EU221" i="55" s="1"/>
  <c r="EI222" i="55"/>
  <c r="EU222" i="55" s="1"/>
  <c r="EI223" i="55"/>
  <c r="EU223" i="55" s="1"/>
  <c r="EI224" i="55"/>
  <c r="EI225" i="55"/>
  <c r="EI226" i="55"/>
  <c r="EI227" i="55"/>
  <c r="EI228" i="55"/>
  <c r="EI229" i="55"/>
  <c r="EI230" i="55"/>
  <c r="EI231" i="55"/>
  <c r="EI232" i="55"/>
  <c r="EI233" i="55"/>
  <c r="EI234" i="55"/>
  <c r="EI235" i="55"/>
  <c r="EI236" i="55"/>
  <c r="EI237" i="55"/>
  <c r="EI238" i="55"/>
  <c r="EI239" i="55"/>
  <c r="EI240" i="55"/>
  <c r="EI241" i="55"/>
  <c r="EI242" i="55"/>
  <c r="EI243" i="55"/>
  <c r="EU243" i="55" s="1"/>
  <c r="EI244" i="55"/>
  <c r="EI245" i="55"/>
  <c r="EI246" i="55"/>
  <c r="EI247" i="55"/>
  <c r="EI248" i="55"/>
  <c r="EI249" i="55"/>
  <c r="EI250" i="55"/>
  <c r="EI251" i="55"/>
  <c r="EI252" i="55"/>
  <c r="EI253" i="55"/>
  <c r="EI254" i="55"/>
  <c r="EI255" i="55"/>
  <c r="EI256" i="55"/>
  <c r="EI257" i="55"/>
  <c r="EI258" i="55"/>
  <c r="EI259" i="55"/>
  <c r="EI260" i="55"/>
  <c r="EI261" i="55"/>
  <c r="EI262" i="55"/>
  <c r="EI263" i="55"/>
  <c r="EI264" i="55"/>
  <c r="EI265" i="55"/>
  <c r="ET265" i="55" s="1"/>
  <c r="EI266" i="55"/>
  <c r="EI267" i="55"/>
  <c r="EI268" i="55"/>
  <c r="EI269" i="55"/>
  <c r="EI270" i="55"/>
  <c r="EI271" i="55"/>
  <c r="EI272" i="55"/>
  <c r="EI273" i="55"/>
  <c r="EI274" i="55"/>
  <c r="EI275" i="55"/>
  <c r="EI276" i="55"/>
  <c r="EI277" i="55"/>
  <c r="EI278" i="55"/>
  <c r="EI279" i="55"/>
  <c r="EI280" i="55"/>
  <c r="EI281" i="55"/>
  <c r="EI282" i="55"/>
  <c r="EU282" i="55" s="1"/>
  <c r="EI284" i="55"/>
  <c r="EI285" i="55"/>
  <c r="EI286" i="55"/>
  <c r="EI287" i="55"/>
  <c r="EI288" i="55"/>
  <c r="EI289" i="55"/>
  <c r="EI290" i="55"/>
  <c r="EI291" i="55"/>
  <c r="EI292" i="55"/>
  <c r="EU292" i="55" s="1"/>
  <c r="EI293" i="55"/>
  <c r="EI294" i="55"/>
  <c r="EI295" i="55"/>
  <c r="EI296" i="55"/>
  <c r="EI297" i="55"/>
  <c r="EI298" i="55"/>
  <c r="EI299" i="55"/>
  <c r="EI300" i="55"/>
  <c r="EI301" i="55"/>
  <c r="EI302" i="55"/>
  <c r="EI303" i="55"/>
  <c r="EI304" i="55"/>
  <c r="EI305" i="55"/>
  <c r="EI306" i="55"/>
  <c r="EI307" i="55"/>
  <c r="EI308" i="55"/>
  <c r="EI309" i="55"/>
  <c r="EI310" i="55"/>
  <c r="EU310" i="55" s="1"/>
  <c r="EI311" i="55"/>
  <c r="EI312" i="55"/>
  <c r="EU312" i="55" s="1"/>
  <c r="EI313" i="55"/>
  <c r="EU313" i="55" s="1"/>
  <c r="EI314" i="55"/>
  <c r="EU314" i="55" s="1"/>
  <c r="EI315" i="55"/>
  <c r="EU315" i="55" s="1"/>
  <c r="EI316" i="55"/>
  <c r="EU316" i="55" s="1"/>
  <c r="EI317" i="55"/>
  <c r="EU317" i="55" s="1"/>
  <c r="EI318" i="55"/>
  <c r="EI319" i="55"/>
  <c r="EI320" i="55"/>
  <c r="EI321" i="55"/>
  <c r="EI322" i="55"/>
  <c r="EI323" i="55"/>
  <c r="EI324" i="55"/>
  <c r="EI325" i="55"/>
  <c r="EU325" i="55" s="1"/>
  <c r="EI326" i="55"/>
  <c r="EI327" i="55"/>
  <c r="EI328" i="55"/>
  <c r="EI329" i="55"/>
  <c r="EI330" i="55"/>
  <c r="EU330" i="55" s="1"/>
  <c r="EI331" i="55"/>
  <c r="EU331" i="55" s="1"/>
  <c r="EI332" i="55"/>
  <c r="EU332" i="55" s="1"/>
  <c r="EI333" i="55"/>
  <c r="EI334" i="55"/>
  <c r="EI335" i="55"/>
  <c r="EU335" i="55" s="1"/>
  <c r="EI336" i="55"/>
  <c r="EU336" i="55" s="1"/>
  <c r="EI337" i="55"/>
  <c r="EU337" i="55" s="1"/>
  <c r="EI338" i="55"/>
  <c r="EI339" i="55"/>
  <c r="EU339" i="55" s="1"/>
  <c r="EI340" i="55"/>
  <c r="EU340" i="55" s="1"/>
  <c r="EI341" i="55"/>
  <c r="EU341" i="55" s="1"/>
  <c r="EI342" i="55"/>
  <c r="EI343" i="55"/>
  <c r="EI344" i="55"/>
  <c r="EI345" i="55"/>
  <c r="EI346" i="55"/>
  <c r="EI347" i="55"/>
  <c r="EI348" i="55"/>
  <c r="EI349" i="55"/>
  <c r="EI350" i="55"/>
  <c r="EI351" i="55"/>
  <c r="EI352" i="55"/>
  <c r="EH3" i="55"/>
  <c r="K3" i="55" s="1"/>
  <c r="EI3" i="55" s="1"/>
  <c r="ET3" i="55" s="1"/>
  <c r="EH4" i="55"/>
  <c r="K4" i="55" s="1"/>
  <c r="EI4" i="55" s="1"/>
  <c r="EH5" i="55"/>
  <c r="EH6" i="55"/>
  <c r="EH7" i="55"/>
  <c r="EH8" i="55"/>
  <c r="EH9" i="55"/>
  <c r="EH10" i="55"/>
  <c r="EH11" i="55"/>
  <c r="EH12" i="55"/>
  <c r="EH13" i="55"/>
  <c r="EH14" i="55"/>
  <c r="EH15" i="55"/>
  <c r="EH16" i="55"/>
  <c r="EH17" i="55"/>
  <c r="EH18" i="55"/>
  <c r="EH19" i="55"/>
  <c r="EH20" i="55"/>
  <c r="EH21" i="55"/>
  <c r="EH22" i="55"/>
  <c r="EH23" i="55"/>
  <c r="EH24" i="55"/>
  <c r="EH25" i="55"/>
  <c r="K25" i="55" s="1"/>
  <c r="EH26" i="55"/>
  <c r="EH27" i="55"/>
  <c r="K27" i="55" s="1"/>
  <c r="EI27" i="55" s="1"/>
  <c r="ET27" i="55" s="1"/>
  <c r="EH28" i="55"/>
  <c r="K28" i="55" s="1"/>
  <c r="EI28" i="55" s="1"/>
  <c r="EU28" i="55" s="1"/>
  <c r="EH29" i="55"/>
  <c r="EH30" i="55"/>
  <c r="EH31" i="55"/>
  <c r="K31" i="55" s="1"/>
  <c r="EI31" i="55" s="1"/>
  <c r="EH32" i="55"/>
  <c r="EH33" i="55"/>
  <c r="EH34" i="55"/>
  <c r="EH35" i="55"/>
  <c r="EH36" i="55"/>
  <c r="EH37" i="55"/>
  <c r="EH38" i="55"/>
  <c r="EH39" i="55"/>
  <c r="EH40" i="55"/>
  <c r="EH41" i="55"/>
  <c r="EH42" i="55"/>
  <c r="EH43" i="55"/>
  <c r="EH44" i="55"/>
  <c r="EH45" i="55"/>
  <c r="EH46" i="55"/>
  <c r="EH47" i="55"/>
  <c r="EH48" i="55"/>
  <c r="EH49" i="55"/>
  <c r="EH50" i="55"/>
  <c r="EH51" i="55"/>
  <c r="EH52" i="55"/>
  <c r="EH53" i="55"/>
  <c r="EH54" i="55"/>
  <c r="EH55" i="55"/>
  <c r="EH56" i="55"/>
  <c r="EH57" i="55"/>
  <c r="EH58" i="55"/>
  <c r="EH59" i="55"/>
  <c r="EH60" i="55"/>
  <c r="EH61" i="55"/>
  <c r="EH62" i="55"/>
  <c r="EH63" i="55"/>
  <c r="EH64" i="55"/>
  <c r="EH65" i="55"/>
  <c r="EH66" i="55"/>
  <c r="EH67" i="55"/>
  <c r="EH68" i="55"/>
  <c r="EH69" i="55"/>
  <c r="EH70" i="55"/>
  <c r="EH71" i="55"/>
  <c r="EH72" i="55"/>
  <c r="EH73" i="55"/>
  <c r="EH74" i="55"/>
  <c r="EH75" i="55"/>
  <c r="EH76" i="55"/>
  <c r="EH77" i="55"/>
  <c r="EH78" i="55"/>
  <c r="EH79" i="55"/>
  <c r="EH80" i="55"/>
  <c r="EH81" i="55"/>
  <c r="EH82" i="55"/>
  <c r="EH83" i="55"/>
  <c r="EH84" i="55"/>
  <c r="EH85" i="55"/>
  <c r="EH86" i="55"/>
  <c r="EH87" i="55"/>
  <c r="EH88" i="55"/>
  <c r="EH89" i="55"/>
  <c r="EH90" i="55"/>
  <c r="EH91" i="55"/>
  <c r="EH92" i="55"/>
  <c r="EH93" i="55"/>
  <c r="EH94" i="55"/>
  <c r="EH95" i="55"/>
  <c r="EH96" i="55"/>
  <c r="EH97" i="55"/>
  <c r="EH98" i="55"/>
  <c r="EH99" i="55"/>
  <c r="EH100" i="55"/>
  <c r="EH101" i="55"/>
  <c r="EH102" i="55"/>
  <c r="EH103" i="55"/>
  <c r="EH104" i="55"/>
  <c r="EH105" i="55"/>
  <c r="EH106" i="55"/>
  <c r="EH107" i="55"/>
  <c r="EH108" i="55"/>
  <c r="EH109" i="55"/>
  <c r="EH110" i="55"/>
  <c r="EH111" i="55"/>
  <c r="EH112" i="55"/>
  <c r="EH113" i="55"/>
  <c r="EH114" i="55"/>
  <c r="EH115" i="55"/>
  <c r="EH116" i="55"/>
  <c r="EH117" i="55"/>
  <c r="EH118" i="55"/>
  <c r="EH119" i="55"/>
  <c r="EH120" i="55"/>
  <c r="EH121" i="55"/>
  <c r="EH122" i="55"/>
  <c r="EH123" i="55"/>
  <c r="EH124" i="55"/>
  <c r="EH125" i="55"/>
  <c r="EH126" i="55"/>
  <c r="EH127" i="55"/>
  <c r="EH128" i="55"/>
  <c r="EH129" i="55"/>
  <c r="EH130" i="55"/>
  <c r="EH131" i="55"/>
  <c r="EH132" i="55"/>
  <c r="EH133" i="55"/>
  <c r="EH134" i="55"/>
  <c r="EH135" i="55"/>
  <c r="EH136" i="55"/>
  <c r="EH137" i="55"/>
  <c r="EH138" i="55"/>
  <c r="EH139" i="55"/>
  <c r="EH140" i="55"/>
  <c r="EH141" i="55"/>
  <c r="EH142" i="55"/>
  <c r="EH143" i="55"/>
  <c r="EH144" i="55"/>
  <c r="EH145" i="55"/>
  <c r="EH146" i="55"/>
  <c r="EH147" i="55"/>
  <c r="EH148" i="55"/>
  <c r="EH149" i="55"/>
  <c r="EH150" i="55"/>
  <c r="EH151" i="55"/>
  <c r="EH152" i="55"/>
  <c r="EH153" i="55"/>
  <c r="EH154" i="55"/>
  <c r="K154" i="55" s="1"/>
  <c r="EI154" i="55" s="1"/>
  <c r="EU154" i="55" s="1"/>
  <c r="EH155" i="55"/>
  <c r="EH156" i="55"/>
  <c r="EH157" i="55"/>
  <c r="EH158" i="55"/>
  <c r="EH159" i="55"/>
  <c r="EH160" i="55"/>
  <c r="EH161" i="55"/>
  <c r="EH162" i="55"/>
  <c r="EH163" i="55"/>
  <c r="EH164" i="55"/>
  <c r="EH165" i="55"/>
  <c r="EH166" i="55"/>
  <c r="EH167" i="55"/>
  <c r="EH168" i="55"/>
  <c r="EH169" i="55"/>
  <c r="EH170" i="55"/>
  <c r="EH171" i="55"/>
  <c r="EH172" i="55"/>
  <c r="EH173" i="55"/>
  <c r="EH174" i="55"/>
  <c r="EH175" i="55"/>
  <c r="EH176" i="55"/>
  <c r="EH177" i="55"/>
  <c r="EH178" i="55"/>
  <c r="EH179" i="55"/>
  <c r="EH180" i="55"/>
  <c r="EH181" i="55"/>
  <c r="EH182" i="55"/>
  <c r="EH183" i="55"/>
  <c r="EH184" i="55"/>
  <c r="K184" i="55" s="1"/>
  <c r="EI184" i="55" s="1"/>
  <c r="EH185" i="55"/>
  <c r="EH186" i="55"/>
  <c r="EH187" i="55"/>
  <c r="EH188" i="55"/>
  <c r="EH189" i="55"/>
  <c r="EH190" i="55"/>
  <c r="EH191" i="55"/>
  <c r="EH192" i="55"/>
  <c r="EH193" i="55"/>
  <c r="EH194" i="55"/>
  <c r="EH195" i="55"/>
  <c r="EH196" i="55"/>
  <c r="EH197" i="55"/>
  <c r="EH198" i="55"/>
  <c r="EH199" i="55"/>
  <c r="EH200" i="55"/>
  <c r="EH201" i="55"/>
  <c r="EH202" i="55"/>
  <c r="EH203" i="55"/>
  <c r="EH204" i="55"/>
  <c r="EH205" i="55"/>
  <c r="EH206" i="55"/>
  <c r="EH207" i="55"/>
  <c r="EH208" i="55"/>
  <c r="EH209" i="55"/>
  <c r="EH210" i="55"/>
  <c r="EH211" i="55"/>
  <c r="EH212" i="55"/>
  <c r="EH213" i="55"/>
  <c r="EH214" i="55"/>
  <c r="EH215" i="55"/>
  <c r="EH216" i="55"/>
  <c r="EH217" i="55"/>
  <c r="EH218" i="55"/>
  <c r="EH219" i="55"/>
  <c r="EH220" i="55"/>
  <c r="EH221" i="55"/>
  <c r="EH222" i="55"/>
  <c r="EH223" i="55"/>
  <c r="EH224" i="55"/>
  <c r="K224" i="55" s="1"/>
  <c r="EH225" i="55"/>
  <c r="EH226" i="55"/>
  <c r="EH227" i="55"/>
  <c r="EH228" i="55"/>
  <c r="EH229" i="55"/>
  <c r="EH230" i="55"/>
  <c r="EH231" i="55"/>
  <c r="EH232" i="55"/>
  <c r="EH233" i="55"/>
  <c r="EH234" i="55"/>
  <c r="EH235" i="55"/>
  <c r="EH236" i="55"/>
  <c r="EH237" i="55"/>
  <c r="EH238" i="55"/>
  <c r="EH239" i="55"/>
  <c r="EH240" i="55"/>
  <c r="EH241" i="55"/>
  <c r="EH242" i="55"/>
  <c r="EH243" i="55"/>
  <c r="EH244" i="55"/>
  <c r="EH245" i="55"/>
  <c r="EH246" i="55"/>
  <c r="EH247" i="55"/>
  <c r="EH248" i="55"/>
  <c r="EH249" i="55"/>
  <c r="EH250" i="55"/>
  <c r="EH251" i="55"/>
  <c r="EH252" i="55"/>
  <c r="EH253" i="55"/>
  <c r="EH254" i="55"/>
  <c r="EH255" i="55"/>
  <c r="EH256" i="55"/>
  <c r="EH257" i="55"/>
  <c r="EH258" i="55"/>
  <c r="EH259" i="55"/>
  <c r="EH260" i="55"/>
  <c r="EH261" i="55"/>
  <c r="EH262" i="55"/>
  <c r="EH263" i="55"/>
  <c r="EH264" i="55"/>
  <c r="EH265" i="55"/>
  <c r="EH266" i="55"/>
  <c r="EH267" i="55"/>
  <c r="EH268" i="55"/>
  <c r="EH269" i="55"/>
  <c r="EH270" i="55"/>
  <c r="EH271" i="55"/>
  <c r="EH272" i="55"/>
  <c r="EH273" i="55"/>
  <c r="EH274" i="55"/>
  <c r="EH275" i="55"/>
  <c r="EH276" i="55"/>
  <c r="EH277" i="55"/>
  <c r="EH278" i="55"/>
  <c r="EH279" i="55"/>
  <c r="EH280" i="55"/>
  <c r="EH281" i="55"/>
  <c r="EH282" i="55"/>
  <c r="EH283" i="55"/>
  <c r="K283" i="55" s="1"/>
  <c r="EI283" i="55" s="1"/>
  <c r="EU283" i="55" s="1"/>
  <c r="EH284" i="55"/>
  <c r="EH285" i="55"/>
  <c r="EH286" i="55"/>
  <c r="EH287" i="55"/>
  <c r="EH288" i="55"/>
  <c r="EH289" i="55"/>
  <c r="EH290" i="55"/>
  <c r="EH291" i="55"/>
  <c r="EH292" i="55"/>
  <c r="EH293" i="55"/>
  <c r="EH294" i="55"/>
  <c r="EH295" i="55"/>
  <c r="EH296" i="55"/>
  <c r="EH297" i="55"/>
  <c r="EH298" i="55"/>
  <c r="EH299" i="55"/>
  <c r="EH300" i="55"/>
  <c r="EH301" i="55"/>
  <c r="EH302" i="55"/>
  <c r="EH303" i="55"/>
  <c r="EH304" i="55"/>
  <c r="EH305" i="55"/>
  <c r="EH306" i="55"/>
  <c r="EH307" i="55"/>
  <c r="EH308" i="55"/>
  <c r="EH309" i="55"/>
  <c r="EH310" i="55"/>
  <c r="EH311" i="55"/>
  <c r="EH312" i="55"/>
  <c r="EH313" i="55"/>
  <c r="EH314" i="55"/>
  <c r="EH315" i="55"/>
  <c r="EH316" i="55"/>
  <c r="EH317" i="55"/>
  <c r="EH318" i="55"/>
  <c r="EH319" i="55"/>
  <c r="EH320" i="55"/>
  <c r="EH321" i="55"/>
  <c r="EH322" i="55"/>
  <c r="EH323" i="55"/>
  <c r="EH324" i="55"/>
  <c r="EH325" i="55"/>
  <c r="EH326" i="55"/>
  <c r="EH327" i="55"/>
  <c r="EH328" i="55"/>
  <c r="EH329" i="55"/>
  <c r="EH330" i="55"/>
  <c r="EH331" i="55"/>
  <c r="EH332" i="55"/>
  <c r="EH333" i="55"/>
  <c r="EH334" i="55"/>
  <c r="EH335" i="55"/>
  <c r="EH336" i="55"/>
  <c r="EH337" i="55"/>
  <c r="EH338" i="55"/>
  <c r="EH339" i="55"/>
  <c r="EH340" i="55"/>
  <c r="EH341" i="55"/>
  <c r="EH342" i="55"/>
  <c r="EH343" i="55"/>
  <c r="EH344" i="55"/>
  <c r="EH345" i="55"/>
  <c r="EH346" i="55"/>
  <c r="EH347" i="55"/>
  <c r="EH348" i="55"/>
  <c r="EH349" i="55"/>
  <c r="EH350" i="55"/>
  <c r="EH351" i="55"/>
  <c r="EH352" i="55"/>
  <c r="EC145" i="55"/>
  <c r="EC161" i="55"/>
  <c r="EC162" i="55"/>
  <c r="EC201" i="55"/>
  <c r="EC205" i="55"/>
  <c r="EC221" i="55"/>
  <c r="EC336" i="55"/>
  <c r="EA3" i="55"/>
  <c r="EA4" i="55"/>
  <c r="EA5" i="55"/>
  <c r="EA6" i="55"/>
  <c r="EA7" i="55"/>
  <c r="EA8" i="55"/>
  <c r="EA9" i="55"/>
  <c r="EA10" i="55"/>
  <c r="EA11" i="55"/>
  <c r="EA12" i="55"/>
  <c r="EA13" i="55"/>
  <c r="EA14" i="55"/>
  <c r="EA15" i="55"/>
  <c r="EA16" i="55"/>
  <c r="EA17" i="55"/>
  <c r="EA18" i="55"/>
  <c r="EA19" i="55"/>
  <c r="EA20" i="55"/>
  <c r="EA21" i="55"/>
  <c r="EA22" i="55"/>
  <c r="EA23" i="55"/>
  <c r="EA24" i="55"/>
  <c r="EA25" i="55"/>
  <c r="EA26" i="55"/>
  <c r="EA27" i="55"/>
  <c r="EA28" i="55"/>
  <c r="EA29" i="55"/>
  <c r="EA30" i="55"/>
  <c r="EA31" i="55"/>
  <c r="EA32" i="55"/>
  <c r="EA33" i="55"/>
  <c r="EA34" i="55"/>
  <c r="EA35" i="55"/>
  <c r="EA36" i="55"/>
  <c r="EA37" i="55"/>
  <c r="EA38" i="55"/>
  <c r="EA39" i="55"/>
  <c r="EA40" i="55"/>
  <c r="EA41" i="55"/>
  <c r="EA42" i="55"/>
  <c r="EA43" i="55"/>
  <c r="EA44" i="55"/>
  <c r="EA45" i="55"/>
  <c r="EA46" i="55"/>
  <c r="EA47" i="55"/>
  <c r="EA48" i="55"/>
  <c r="EA49" i="55"/>
  <c r="EA50" i="55"/>
  <c r="EA51" i="55"/>
  <c r="EA52" i="55"/>
  <c r="EA53" i="55"/>
  <c r="EA54" i="55"/>
  <c r="EA55" i="55"/>
  <c r="EA56" i="55"/>
  <c r="EA57" i="55"/>
  <c r="EA58" i="55"/>
  <c r="EA59" i="55"/>
  <c r="EA60" i="55"/>
  <c r="EA61" i="55"/>
  <c r="EA62" i="55"/>
  <c r="EA63" i="55"/>
  <c r="EA64" i="55"/>
  <c r="EA65" i="55"/>
  <c r="EA66" i="55"/>
  <c r="EA67" i="55"/>
  <c r="EA68" i="55"/>
  <c r="EA69" i="55"/>
  <c r="EA70" i="55"/>
  <c r="EA71" i="55"/>
  <c r="EA72" i="55"/>
  <c r="EA73" i="55"/>
  <c r="EA74" i="55"/>
  <c r="EA75" i="55"/>
  <c r="EA76" i="55"/>
  <c r="EA77" i="55"/>
  <c r="EA78" i="55"/>
  <c r="EA79" i="55"/>
  <c r="EA80" i="55"/>
  <c r="EA81" i="55"/>
  <c r="EA82" i="55"/>
  <c r="EA83" i="55"/>
  <c r="EA84" i="55"/>
  <c r="EA85" i="55"/>
  <c r="EA86" i="55"/>
  <c r="EA87" i="55"/>
  <c r="EA88" i="55"/>
  <c r="EA89" i="55"/>
  <c r="EA90" i="55"/>
  <c r="EA91" i="55"/>
  <c r="EA92" i="55"/>
  <c r="EA93" i="55"/>
  <c r="EA94" i="55"/>
  <c r="EA95" i="55"/>
  <c r="EA96" i="55"/>
  <c r="EA97" i="55"/>
  <c r="EA98" i="55"/>
  <c r="EA99" i="55"/>
  <c r="EA100" i="55"/>
  <c r="EA101" i="55"/>
  <c r="EA102" i="55"/>
  <c r="EA103" i="55"/>
  <c r="EA104" i="55"/>
  <c r="EA105" i="55"/>
  <c r="EA106" i="55"/>
  <c r="EA107" i="55"/>
  <c r="EA108" i="55"/>
  <c r="EA109" i="55"/>
  <c r="EA110" i="55"/>
  <c r="EA111" i="55"/>
  <c r="EA112" i="55"/>
  <c r="EA113" i="55"/>
  <c r="EA114" i="55"/>
  <c r="EA115" i="55"/>
  <c r="EA116" i="55"/>
  <c r="EA117" i="55"/>
  <c r="EA118" i="55"/>
  <c r="EA119" i="55"/>
  <c r="EA120" i="55"/>
  <c r="EA121" i="55"/>
  <c r="EA122" i="55"/>
  <c r="EA123" i="55"/>
  <c r="EA124" i="55"/>
  <c r="EA125" i="55"/>
  <c r="EA126" i="55"/>
  <c r="EA127" i="55"/>
  <c r="EA128" i="55"/>
  <c r="EA129" i="55"/>
  <c r="EA130" i="55"/>
  <c r="EA131" i="55"/>
  <c r="EA132" i="55"/>
  <c r="EA133" i="55"/>
  <c r="EA134" i="55"/>
  <c r="EA135" i="55"/>
  <c r="EA136" i="55"/>
  <c r="EA137" i="55"/>
  <c r="EA138" i="55"/>
  <c r="EA139" i="55"/>
  <c r="EA140" i="55"/>
  <c r="EA141" i="55"/>
  <c r="EA142" i="55"/>
  <c r="EA143" i="55"/>
  <c r="EA144" i="55"/>
  <c r="EA145" i="55"/>
  <c r="EA146" i="55"/>
  <c r="EA147" i="55"/>
  <c r="EA148" i="55"/>
  <c r="EA149" i="55"/>
  <c r="EA150" i="55"/>
  <c r="EA151" i="55"/>
  <c r="EA152" i="55"/>
  <c r="EA153" i="55"/>
  <c r="EA154" i="55"/>
  <c r="EA155" i="55"/>
  <c r="EA156" i="55"/>
  <c r="EA157" i="55"/>
  <c r="EA158" i="55"/>
  <c r="EA159" i="55"/>
  <c r="EA160" i="55"/>
  <c r="EA161" i="55"/>
  <c r="EA162" i="55"/>
  <c r="EA163" i="55"/>
  <c r="EA164" i="55"/>
  <c r="EA165" i="55"/>
  <c r="EA166" i="55"/>
  <c r="EA167" i="55"/>
  <c r="EA168" i="55"/>
  <c r="EA169" i="55"/>
  <c r="EA170" i="55"/>
  <c r="EA171" i="55"/>
  <c r="EA172" i="55"/>
  <c r="EA173" i="55"/>
  <c r="EA174" i="55"/>
  <c r="EA175" i="55"/>
  <c r="EA176" i="55"/>
  <c r="EA177" i="55"/>
  <c r="EA178" i="55"/>
  <c r="EA179" i="55"/>
  <c r="EA180" i="55"/>
  <c r="EA181" i="55"/>
  <c r="EA182" i="55"/>
  <c r="EA183" i="55"/>
  <c r="EA184" i="55"/>
  <c r="EA185" i="55"/>
  <c r="EA186" i="55"/>
  <c r="EA187" i="55"/>
  <c r="EA188" i="55"/>
  <c r="EA189" i="55"/>
  <c r="EA190" i="55"/>
  <c r="EA191" i="55"/>
  <c r="EA192" i="55"/>
  <c r="EA193" i="55"/>
  <c r="EA194" i="55"/>
  <c r="EA195" i="55"/>
  <c r="EA196" i="55"/>
  <c r="EA197" i="55"/>
  <c r="EA198" i="55"/>
  <c r="EA199" i="55"/>
  <c r="EA200" i="55"/>
  <c r="EA201" i="55"/>
  <c r="EA202" i="55"/>
  <c r="EA203" i="55"/>
  <c r="EA204" i="55"/>
  <c r="EA205" i="55"/>
  <c r="EA206" i="55"/>
  <c r="EA207" i="55"/>
  <c r="EA208" i="55"/>
  <c r="EA209" i="55"/>
  <c r="EA210" i="55"/>
  <c r="EA211" i="55"/>
  <c r="EA212" i="55"/>
  <c r="EA213" i="55"/>
  <c r="EA214" i="55"/>
  <c r="EA215" i="55"/>
  <c r="EA216" i="55"/>
  <c r="EA217" i="55"/>
  <c r="EA218" i="55"/>
  <c r="EA219" i="55"/>
  <c r="EA220" i="55"/>
  <c r="EA221" i="55"/>
  <c r="EA222" i="55"/>
  <c r="EA223" i="55"/>
  <c r="EA224" i="55"/>
  <c r="EA225" i="55"/>
  <c r="EA226" i="55"/>
  <c r="EA227" i="55"/>
  <c r="EA228" i="55"/>
  <c r="EA229" i="55"/>
  <c r="EA230" i="55"/>
  <c r="EA231" i="55"/>
  <c r="EA232" i="55"/>
  <c r="EA233" i="55"/>
  <c r="EA234" i="55"/>
  <c r="EA235" i="55"/>
  <c r="EA236" i="55"/>
  <c r="EA237" i="55"/>
  <c r="EA238" i="55"/>
  <c r="EA239" i="55"/>
  <c r="EA240" i="55"/>
  <c r="EA241" i="55"/>
  <c r="EA242" i="55"/>
  <c r="EA243" i="55"/>
  <c r="EA244" i="55"/>
  <c r="EA245" i="55"/>
  <c r="EA246" i="55"/>
  <c r="EA247" i="55"/>
  <c r="EA248" i="55"/>
  <c r="EA249" i="55"/>
  <c r="EA250" i="55"/>
  <c r="EA251" i="55"/>
  <c r="EA252" i="55"/>
  <c r="EA253" i="55"/>
  <c r="EA254" i="55"/>
  <c r="EA255" i="55"/>
  <c r="EA256" i="55"/>
  <c r="EA257" i="55"/>
  <c r="EA258" i="55"/>
  <c r="EA259" i="55"/>
  <c r="EA260" i="55"/>
  <c r="EA261" i="55"/>
  <c r="EA262" i="55"/>
  <c r="EA263" i="55"/>
  <c r="EA264" i="55"/>
  <c r="EA265" i="55"/>
  <c r="EA266" i="55"/>
  <c r="EA267" i="55"/>
  <c r="EA268" i="55"/>
  <c r="EA269" i="55"/>
  <c r="EA270" i="55"/>
  <c r="EA271" i="55"/>
  <c r="EA272" i="55"/>
  <c r="EA273" i="55"/>
  <c r="EA274" i="55"/>
  <c r="EA275" i="55"/>
  <c r="EA276" i="55"/>
  <c r="EA277" i="55"/>
  <c r="EA278" i="55"/>
  <c r="EA279" i="55"/>
  <c r="EA280" i="55"/>
  <c r="EA281" i="55"/>
  <c r="EA282" i="55"/>
  <c r="EA283" i="55"/>
  <c r="EA284" i="55"/>
  <c r="EA285" i="55"/>
  <c r="EA286" i="55"/>
  <c r="EA287" i="55"/>
  <c r="EA288" i="55"/>
  <c r="EA289" i="55"/>
  <c r="EA290" i="55"/>
  <c r="EA291" i="55"/>
  <c r="EA292" i="55"/>
  <c r="EA293" i="55"/>
  <c r="EA294" i="55"/>
  <c r="EA295" i="55"/>
  <c r="EA296" i="55"/>
  <c r="EA297" i="55"/>
  <c r="EA298" i="55"/>
  <c r="EA299" i="55"/>
  <c r="EA300" i="55"/>
  <c r="EA301" i="55"/>
  <c r="EA302" i="55"/>
  <c r="EA303" i="55"/>
  <c r="EA304" i="55"/>
  <c r="EA305" i="55"/>
  <c r="EA306" i="55"/>
  <c r="EA307" i="55"/>
  <c r="EA308" i="55"/>
  <c r="EA309" i="55"/>
  <c r="EA310" i="55"/>
  <c r="EA311" i="55"/>
  <c r="EA312" i="55"/>
  <c r="EA313" i="55"/>
  <c r="EA314" i="55"/>
  <c r="EA315" i="55"/>
  <c r="EA316" i="55"/>
  <c r="EA317" i="55"/>
  <c r="EA318" i="55"/>
  <c r="EA319" i="55"/>
  <c r="EA320" i="55"/>
  <c r="EA321" i="55"/>
  <c r="EA322" i="55"/>
  <c r="EA323" i="55"/>
  <c r="EA324" i="55"/>
  <c r="EA325" i="55"/>
  <c r="EA326" i="55"/>
  <c r="EA327" i="55"/>
  <c r="EA328" i="55"/>
  <c r="EA329" i="55"/>
  <c r="EA330" i="55"/>
  <c r="EA331" i="55"/>
  <c r="EA332" i="55"/>
  <c r="EA333" i="55"/>
  <c r="EA334" i="55"/>
  <c r="EA335" i="55"/>
  <c r="EA336" i="55"/>
  <c r="EA337" i="55"/>
  <c r="EA338" i="55"/>
  <c r="EA339" i="55"/>
  <c r="EA340" i="55"/>
  <c r="EA341" i="55"/>
  <c r="EA342" i="55"/>
  <c r="EA343" i="55"/>
  <c r="EA344" i="55"/>
  <c r="EA345" i="55"/>
  <c r="EA346" i="55"/>
  <c r="EA347" i="55"/>
  <c r="EA348" i="55"/>
  <c r="EA349" i="55"/>
  <c r="EA350" i="55"/>
  <c r="EA351" i="55"/>
  <c r="EA352" i="55"/>
  <c r="DS199" i="55"/>
  <c r="DS238" i="55"/>
  <c r="DP5" i="55"/>
  <c r="DP6" i="55"/>
  <c r="DP7" i="55"/>
  <c r="DP8" i="55"/>
  <c r="DP9" i="55"/>
  <c r="DP10" i="55"/>
  <c r="DP12" i="55"/>
  <c r="DP13" i="55"/>
  <c r="DP14" i="55"/>
  <c r="DP15" i="55"/>
  <c r="DP16" i="55"/>
  <c r="DP17" i="55"/>
  <c r="DP18" i="55"/>
  <c r="DP19" i="55"/>
  <c r="DP20" i="55"/>
  <c r="DP21" i="55"/>
  <c r="DP22" i="55"/>
  <c r="DP23" i="55"/>
  <c r="DP24" i="55"/>
  <c r="DP26" i="55"/>
  <c r="DP31" i="55"/>
  <c r="DP53" i="55"/>
  <c r="DP54" i="55"/>
  <c r="DP55" i="55"/>
  <c r="DP56" i="55"/>
  <c r="DP57" i="55"/>
  <c r="DP58" i="55"/>
  <c r="DP59" i="55"/>
  <c r="DP60" i="55"/>
  <c r="DP61" i="55"/>
  <c r="DP62" i="55"/>
  <c r="DP63" i="55"/>
  <c r="DP64" i="55"/>
  <c r="DP65" i="55"/>
  <c r="DP66" i="55"/>
  <c r="DP67" i="55"/>
  <c r="DP68" i="55"/>
  <c r="DP69" i="55"/>
  <c r="DP70" i="55"/>
  <c r="DP71" i="55"/>
  <c r="DP72" i="55"/>
  <c r="DP73" i="55"/>
  <c r="DP74" i="55"/>
  <c r="DP75" i="55"/>
  <c r="DP76" i="55"/>
  <c r="DP77" i="55"/>
  <c r="DP78" i="55"/>
  <c r="DP79" i="55"/>
  <c r="DP80" i="55"/>
  <c r="DP81" i="55"/>
  <c r="DP82" i="55"/>
  <c r="DP83" i="55"/>
  <c r="DP84" i="55"/>
  <c r="DP85" i="55"/>
  <c r="DP86" i="55"/>
  <c r="DP87" i="55"/>
  <c r="DP88" i="55"/>
  <c r="DP89" i="55"/>
  <c r="DP90" i="55"/>
  <c r="DP91" i="55"/>
  <c r="DP92" i="55"/>
  <c r="DP93" i="55"/>
  <c r="DP94" i="55"/>
  <c r="DP95" i="55"/>
  <c r="DP96" i="55"/>
  <c r="DP97" i="55"/>
  <c r="DP98" i="55"/>
  <c r="DP99" i="55"/>
  <c r="DP100" i="55"/>
  <c r="DP101" i="55"/>
  <c r="DP102" i="55"/>
  <c r="DP103" i="55"/>
  <c r="DP104" i="55"/>
  <c r="DP105" i="55"/>
  <c r="DP106" i="55"/>
  <c r="DP107" i="55"/>
  <c r="DP108" i="55"/>
  <c r="DP109" i="55"/>
  <c r="DP110" i="55"/>
  <c r="DP111" i="55"/>
  <c r="DP112" i="55"/>
  <c r="DP113" i="55"/>
  <c r="DP114" i="55"/>
  <c r="DP115" i="55"/>
  <c r="DP116" i="55"/>
  <c r="DP117" i="55"/>
  <c r="DP118" i="55"/>
  <c r="DP119" i="55"/>
  <c r="DP120" i="55"/>
  <c r="DP121" i="55"/>
  <c r="DP122" i="55"/>
  <c r="DP123" i="55"/>
  <c r="DP124" i="55"/>
  <c r="DP125" i="55"/>
  <c r="DP126" i="55"/>
  <c r="DP127" i="55"/>
  <c r="DP128" i="55"/>
  <c r="DP129" i="55"/>
  <c r="DP130" i="55"/>
  <c r="DP154" i="55"/>
  <c r="DP155" i="55"/>
  <c r="DP156" i="55"/>
  <c r="DP157" i="55"/>
  <c r="DP158" i="55"/>
  <c r="DP159" i="55"/>
  <c r="DP160" i="55"/>
  <c r="DP161" i="55"/>
  <c r="DP162" i="55"/>
  <c r="DP163" i="55"/>
  <c r="DP164" i="55"/>
  <c r="DP165" i="55"/>
  <c r="DP166" i="55"/>
  <c r="DP167" i="55"/>
  <c r="DP168" i="55"/>
  <c r="DP169" i="55"/>
  <c r="DP170" i="55"/>
  <c r="DP171" i="55"/>
  <c r="DP172" i="55"/>
  <c r="DP173" i="55"/>
  <c r="DP174" i="55"/>
  <c r="DP175" i="55"/>
  <c r="DP176" i="55"/>
  <c r="DP177" i="55"/>
  <c r="DP178" i="55"/>
  <c r="DP179" i="55"/>
  <c r="DP180" i="55"/>
  <c r="DP181" i="55"/>
  <c r="DP182" i="55"/>
  <c r="DP183" i="55"/>
  <c r="DP184" i="55"/>
  <c r="DP220" i="55"/>
  <c r="DP221" i="55"/>
  <c r="DP222" i="55"/>
  <c r="DP223" i="55"/>
  <c r="DP224" i="55"/>
  <c r="DP283" i="55"/>
  <c r="DP284" i="55"/>
  <c r="DP285" i="55"/>
  <c r="DP286" i="55"/>
  <c r="DP287" i="55"/>
  <c r="DP288" i="55"/>
  <c r="DP289" i="55"/>
  <c r="DP290" i="55"/>
  <c r="DP291" i="55"/>
  <c r="DP292" i="55"/>
  <c r="DP293" i="55"/>
  <c r="DP294" i="55"/>
  <c r="DP295" i="55"/>
  <c r="DP296" i="55"/>
  <c r="DP297" i="55"/>
  <c r="DP298" i="55"/>
  <c r="DP299" i="55"/>
  <c r="DP300" i="55"/>
  <c r="DP301" i="55"/>
  <c r="DP302" i="55"/>
  <c r="DP303" i="55"/>
  <c r="DP304" i="55"/>
  <c r="DP305" i="55"/>
  <c r="DP306" i="55"/>
  <c r="DP307" i="55"/>
  <c r="DP308" i="55"/>
  <c r="DP309" i="55"/>
  <c r="DP310" i="55"/>
  <c r="DP311" i="55"/>
  <c r="DP312" i="55"/>
  <c r="DP313" i="55"/>
  <c r="DP314" i="55"/>
  <c r="DP315" i="55"/>
  <c r="DP316" i="55"/>
  <c r="DP317" i="55"/>
  <c r="DP318" i="55"/>
  <c r="DP319" i="55"/>
  <c r="DP320" i="55"/>
  <c r="DP321" i="55"/>
  <c r="DP322" i="55"/>
  <c r="DP323" i="55"/>
  <c r="DP324" i="55"/>
  <c r="DP325" i="55"/>
  <c r="DP326" i="55"/>
  <c r="DP327" i="55"/>
  <c r="DP328" i="55"/>
  <c r="DP329" i="55"/>
  <c r="DP330" i="55"/>
  <c r="DP331" i="55"/>
  <c r="DP332" i="55"/>
  <c r="DP333" i="55"/>
  <c r="DP334" i="55"/>
  <c r="DP335" i="55"/>
  <c r="DP336" i="55"/>
  <c r="DP337" i="55"/>
  <c r="DP338" i="55"/>
  <c r="DP339" i="55"/>
  <c r="DP340" i="55"/>
  <c r="DP341" i="55"/>
  <c r="DP344" i="55"/>
  <c r="DP345" i="55"/>
  <c r="DP346" i="55"/>
  <c r="DP347" i="55"/>
  <c r="DP348" i="55"/>
  <c r="DP349" i="55"/>
  <c r="DP350" i="55"/>
  <c r="DP351" i="55"/>
  <c r="DP352" i="55"/>
  <c r="DN168" i="55"/>
  <c r="DI143" i="55"/>
  <c r="H143" i="55" s="1"/>
  <c r="DJ143" i="55" s="1"/>
  <c r="DB3" i="55"/>
  <c r="DB4" i="55"/>
  <c r="DB16" i="55"/>
  <c r="DB18" i="55"/>
  <c r="DB19" i="55"/>
  <c r="DB26" i="55"/>
  <c r="DB27" i="55"/>
  <c r="DB28" i="55"/>
  <c r="DB31" i="55"/>
  <c r="DB53" i="55"/>
  <c r="DB88" i="55"/>
  <c r="DB102" i="55"/>
  <c r="DB130" i="55"/>
  <c r="DB154" i="55"/>
  <c r="DB184" i="55"/>
  <c r="DB224" i="55"/>
  <c r="DB283" i="55"/>
  <c r="DB313" i="55"/>
  <c r="DB317" i="55"/>
  <c r="DB325" i="55"/>
  <c r="DB330" i="55"/>
  <c r="DB335" i="55"/>
  <c r="DB336" i="55"/>
  <c r="DB341" i="55"/>
  <c r="CQ111" i="55"/>
  <c r="CO57" i="55"/>
  <c r="CP57" i="55" s="1"/>
  <c r="Y57" i="55" s="1"/>
  <c r="CO185" i="55"/>
  <c r="CP185" i="55" s="1"/>
  <c r="Y185" i="55" s="1"/>
  <c r="CO186" i="55"/>
  <c r="CP186" i="55" s="1"/>
  <c r="Y186" i="55" s="1"/>
  <c r="CN3" i="55"/>
  <c r="CN8" i="55"/>
  <c r="CN13" i="55"/>
  <c r="CN15" i="55"/>
  <c r="CN29" i="55"/>
  <c r="CN30" i="55"/>
  <c r="CN49" i="55"/>
  <c r="CN50" i="55"/>
  <c r="CN51" i="55"/>
  <c r="CN67" i="55"/>
  <c r="CN99" i="55"/>
  <c r="CN115" i="55"/>
  <c r="CN126" i="55"/>
  <c r="CN129" i="55"/>
  <c r="CN131" i="55"/>
  <c r="CN136" i="55"/>
  <c r="CN157" i="55"/>
  <c r="CN163" i="55"/>
  <c r="CN179" i="55"/>
  <c r="CN211" i="55"/>
  <c r="CN221" i="55"/>
  <c r="CN222" i="55"/>
  <c r="CN225" i="55"/>
  <c r="CN227" i="55"/>
  <c r="CN237" i="55"/>
  <c r="CN238" i="55"/>
  <c r="CN243" i="55"/>
  <c r="CN275" i="55"/>
  <c r="CN280" i="55"/>
  <c r="CN291" i="55"/>
  <c r="CN301" i="55"/>
  <c r="CN303" i="55"/>
  <c r="CN304" i="55"/>
  <c r="CN305" i="55"/>
  <c r="CN320" i="55"/>
  <c r="CN321" i="55"/>
  <c r="CN339" i="55"/>
  <c r="CN352" i="55"/>
  <c r="CM3" i="55"/>
  <c r="CM4" i="55"/>
  <c r="CM19" i="55"/>
  <c r="CM20" i="55"/>
  <c r="CM27" i="55"/>
  <c r="CM36" i="55"/>
  <c r="CM43" i="55"/>
  <c r="CM59" i="55"/>
  <c r="CM65" i="55"/>
  <c r="CM67" i="55"/>
  <c r="CM68" i="55"/>
  <c r="CM77" i="55"/>
  <c r="CM78" i="55"/>
  <c r="CM99" i="55"/>
  <c r="CM100" i="55"/>
  <c r="CM107" i="55"/>
  <c r="CM116" i="55"/>
  <c r="CM157" i="55"/>
  <c r="CM161" i="55"/>
  <c r="CM163" i="55"/>
  <c r="CM164" i="55"/>
  <c r="CM179" i="55"/>
  <c r="CM189" i="55"/>
  <c r="CM195" i="55"/>
  <c r="CM206" i="55"/>
  <c r="CM227" i="55"/>
  <c r="CM228" i="55"/>
  <c r="CM235" i="55"/>
  <c r="CM237" i="55"/>
  <c r="CM241" i="55"/>
  <c r="CM243" i="55"/>
  <c r="CM244" i="55"/>
  <c r="CM273" i="55"/>
  <c r="CM275" i="55"/>
  <c r="CM276" i="55"/>
  <c r="CM291" i="55"/>
  <c r="CM292" i="55"/>
  <c r="CM307" i="55"/>
  <c r="CM308" i="55"/>
  <c r="CM323" i="55"/>
  <c r="CM324" i="55"/>
  <c r="CM352" i="55"/>
  <c r="CL6" i="55"/>
  <c r="CL19" i="55"/>
  <c r="CL20" i="55"/>
  <c r="CL36" i="55"/>
  <c r="CL38" i="55"/>
  <c r="CL39" i="55"/>
  <c r="CL49" i="55"/>
  <c r="CL51" i="55"/>
  <c r="CL52" i="55"/>
  <c r="CL71" i="55"/>
  <c r="CL77" i="55"/>
  <c r="CL78" i="55"/>
  <c r="CL83" i="55"/>
  <c r="CL84" i="55"/>
  <c r="CL102" i="55"/>
  <c r="CL115" i="55"/>
  <c r="CL116" i="55"/>
  <c r="CL131" i="55"/>
  <c r="CL132" i="55"/>
  <c r="CL145" i="55"/>
  <c r="CL147" i="55"/>
  <c r="CL148" i="55"/>
  <c r="CL174" i="55"/>
  <c r="CL179" i="55"/>
  <c r="CL189" i="55"/>
  <c r="CL191" i="55"/>
  <c r="CL194" i="55"/>
  <c r="CL195" i="55"/>
  <c r="CL196" i="55"/>
  <c r="CL198" i="55"/>
  <c r="DL198" i="55" s="1"/>
  <c r="CL205" i="55"/>
  <c r="CL206" i="55"/>
  <c r="CL227" i="55"/>
  <c r="CL228" i="55"/>
  <c r="CL253" i="55"/>
  <c r="CL269" i="55"/>
  <c r="CL270" i="55"/>
  <c r="CL271" i="55"/>
  <c r="CL273" i="55"/>
  <c r="CL275" i="55"/>
  <c r="CL289" i="55"/>
  <c r="CL294" i="55"/>
  <c r="CL295" i="55"/>
  <c r="DL295" i="55" s="1"/>
  <c r="CL323" i="55"/>
  <c r="CL324" i="55"/>
  <c r="CL342" i="55"/>
  <c r="CL349" i="55"/>
  <c r="CL352" i="55"/>
  <c r="CK4" i="55"/>
  <c r="CK6" i="55"/>
  <c r="CK7" i="55"/>
  <c r="CK24" i="55"/>
  <c r="CK35" i="55"/>
  <c r="CK36" i="55"/>
  <c r="CK56" i="55"/>
  <c r="CK67" i="55"/>
  <c r="CK68" i="55"/>
  <c r="CK70" i="55"/>
  <c r="CK81" i="55"/>
  <c r="CK99" i="55"/>
  <c r="CK104" i="55"/>
  <c r="CK115" i="55"/>
  <c r="CK116" i="55"/>
  <c r="CK120" i="55"/>
  <c r="CK126" i="55"/>
  <c r="CK128" i="55"/>
  <c r="CK129" i="55"/>
  <c r="CK134" i="55"/>
  <c r="CK145" i="55"/>
  <c r="CK161" i="55"/>
  <c r="CK163" i="55"/>
  <c r="CK164" i="55"/>
  <c r="CK179" i="55"/>
  <c r="CK180" i="55"/>
  <c r="CK182" i="55"/>
  <c r="CK193" i="55"/>
  <c r="CK195" i="55"/>
  <c r="CK196" i="55"/>
  <c r="CK211" i="55"/>
  <c r="CK212" i="55"/>
  <c r="CK223" i="55"/>
  <c r="CK227" i="55"/>
  <c r="CK228" i="55"/>
  <c r="CK232" i="55"/>
  <c r="CK238" i="55"/>
  <c r="CK243" i="55"/>
  <c r="CK244" i="55"/>
  <c r="CK248" i="55"/>
  <c r="CK259" i="55"/>
  <c r="CK260" i="55"/>
  <c r="CK276" i="55"/>
  <c r="CK291" i="55"/>
  <c r="CK292" i="55"/>
  <c r="CK321" i="55"/>
  <c r="CK323" i="55"/>
  <c r="CK324" i="55"/>
  <c r="CK326" i="55"/>
  <c r="CK327" i="55"/>
  <c r="CK340" i="55"/>
  <c r="CK352" i="55"/>
  <c r="CJ7" i="55"/>
  <c r="CJ8" i="55"/>
  <c r="CJ11" i="55"/>
  <c r="CJ19" i="55"/>
  <c r="CJ20" i="55"/>
  <c r="CJ22" i="55"/>
  <c r="CJ27" i="55"/>
  <c r="CJ54" i="55"/>
  <c r="CJ56" i="55"/>
  <c r="CJ59" i="55"/>
  <c r="CJ67" i="55"/>
  <c r="CJ68" i="55"/>
  <c r="CJ70" i="55"/>
  <c r="CJ86" i="55"/>
  <c r="CJ99" i="55"/>
  <c r="CJ100" i="55"/>
  <c r="CJ102" i="55"/>
  <c r="CJ103" i="55"/>
  <c r="CJ120" i="55"/>
  <c r="CJ131" i="55"/>
  <c r="CJ132" i="55"/>
  <c r="CJ135" i="55"/>
  <c r="CJ136" i="55"/>
  <c r="CJ145" i="55"/>
  <c r="CJ161" i="55"/>
  <c r="CJ166" i="55"/>
  <c r="CJ179" i="55"/>
  <c r="CJ180" i="55"/>
  <c r="CJ182" i="55"/>
  <c r="CJ195" i="55"/>
  <c r="CJ196" i="55"/>
  <c r="CJ198" i="55"/>
  <c r="CJ214" i="55"/>
  <c r="CJ225" i="55"/>
  <c r="CJ235" i="55"/>
  <c r="CJ243" i="55"/>
  <c r="CJ244" i="55"/>
  <c r="CJ248" i="55"/>
  <c r="CJ273" i="55"/>
  <c r="CJ275" i="55"/>
  <c r="CJ276" i="55"/>
  <c r="CJ289" i="55"/>
  <c r="CJ291" i="55"/>
  <c r="CJ292" i="55"/>
  <c r="CJ323" i="55"/>
  <c r="CJ324" i="55"/>
  <c r="CJ336" i="55"/>
  <c r="CJ337" i="55"/>
  <c r="CJ339" i="55"/>
  <c r="CJ340" i="55"/>
  <c r="CJ352" i="55"/>
  <c r="CH3" i="55"/>
  <c r="CH4" i="55"/>
  <c r="CH5" i="55"/>
  <c r="CH6" i="55"/>
  <c r="CH7" i="55"/>
  <c r="CH8" i="55"/>
  <c r="CH9" i="55"/>
  <c r="CH10" i="55"/>
  <c r="CH11" i="55"/>
  <c r="CH12" i="55"/>
  <c r="CH13" i="55"/>
  <c r="CH14" i="55"/>
  <c r="CH15" i="55"/>
  <c r="CH16" i="55"/>
  <c r="CH17" i="55"/>
  <c r="CH18" i="55"/>
  <c r="CH19" i="55"/>
  <c r="CH20" i="55"/>
  <c r="CH21" i="55"/>
  <c r="CH22" i="55"/>
  <c r="CH23" i="55"/>
  <c r="CH24" i="55"/>
  <c r="CH25" i="55"/>
  <c r="CH26" i="55"/>
  <c r="CH27" i="55"/>
  <c r="CH28" i="55"/>
  <c r="CH29" i="55"/>
  <c r="CH30" i="55"/>
  <c r="CH31" i="55"/>
  <c r="CH32" i="55"/>
  <c r="CH33" i="55"/>
  <c r="CH34" i="55"/>
  <c r="CH35" i="55"/>
  <c r="CH36" i="55"/>
  <c r="CH37" i="55"/>
  <c r="CH38" i="55"/>
  <c r="CH39" i="55"/>
  <c r="CH40" i="55"/>
  <c r="CH41" i="55"/>
  <c r="CH42" i="55"/>
  <c r="CH43" i="55"/>
  <c r="CH44" i="55"/>
  <c r="CH45" i="55"/>
  <c r="CH46" i="55"/>
  <c r="CH47" i="55"/>
  <c r="CH48" i="55"/>
  <c r="CH49" i="55"/>
  <c r="CH50" i="55"/>
  <c r="CH51" i="55"/>
  <c r="CH52" i="55"/>
  <c r="CH53" i="55"/>
  <c r="CH54" i="55"/>
  <c r="CH55" i="55"/>
  <c r="CH56" i="55"/>
  <c r="CH57" i="55"/>
  <c r="CH58" i="55"/>
  <c r="CH59" i="55"/>
  <c r="CH60" i="55"/>
  <c r="CH61" i="55"/>
  <c r="CH62" i="55"/>
  <c r="CH63" i="55"/>
  <c r="CH64" i="55"/>
  <c r="CH65" i="55"/>
  <c r="CH66" i="55"/>
  <c r="CH67" i="55"/>
  <c r="CH68" i="55"/>
  <c r="CH69" i="55"/>
  <c r="CH70" i="55"/>
  <c r="CH71" i="55"/>
  <c r="CH72" i="55"/>
  <c r="CH73" i="55"/>
  <c r="CH74" i="55"/>
  <c r="CH75" i="55"/>
  <c r="CH76" i="55"/>
  <c r="CH77" i="55"/>
  <c r="CH78" i="55"/>
  <c r="CH79" i="55"/>
  <c r="CH80" i="55"/>
  <c r="CH81" i="55"/>
  <c r="CH82" i="55"/>
  <c r="CH83" i="55"/>
  <c r="CH84" i="55"/>
  <c r="CH85" i="55"/>
  <c r="CH86" i="55"/>
  <c r="CH87" i="55"/>
  <c r="CH88" i="55"/>
  <c r="CH89" i="55"/>
  <c r="CH90" i="55"/>
  <c r="CH91" i="55"/>
  <c r="CH92" i="55"/>
  <c r="CH93" i="55"/>
  <c r="CH94" i="55"/>
  <c r="CH95" i="55"/>
  <c r="CH96" i="55"/>
  <c r="CH97" i="55"/>
  <c r="CH98" i="55"/>
  <c r="CH99" i="55"/>
  <c r="CH100" i="55"/>
  <c r="CH101" i="55"/>
  <c r="CH102" i="55"/>
  <c r="CH103" i="55"/>
  <c r="CH104" i="55"/>
  <c r="CH105" i="55"/>
  <c r="CH106" i="55"/>
  <c r="CH107" i="55"/>
  <c r="CH108" i="55"/>
  <c r="CH109" i="55"/>
  <c r="CH110" i="55"/>
  <c r="CH111" i="55"/>
  <c r="CH112" i="55"/>
  <c r="CH113" i="55"/>
  <c r="CH114" i="55"/>
  <c r="CH115" i="55"/>
  <c r="CH116" i="55"/>
  <c r="CH117" i="55"/>
  <c r="CH118" i="55"/>
  <c r="CH119" i="55"/>
  <c r="CH120" i="55"/>
  <c r="CH121" i="55"/>
  <c r="CH122" i="55"/>
  <c r="CH123" i="55"/>
  <c r="CH124" i="55"/>
  <c r="CH125" i="55"/>
  <c r="CH126" i="55"/>
  <c r="CH127" i="55"/>
  <c r="CH128" i="55"/>
  <c r="CH129" i="55"/>
  <c r="CH130" i="55"/>
  <c r="CH131" i="55"/>
  <c r="CH132" i="55"/>
  <c r="CH133" i="55"/>
  <c r="CH134" i="55"/>
  <c r="CH135" i="55"/>
  <c r="CH136" i="55"/>
  <c r="CH137" i="55"/>
  <c r="CH138" i="55"/>
  <c r="CH139" i="55"/>
  <c r="CH140" i="55"/>
  <c r="CH141" i="55"/>
  <c r="CH142" i="55"/>
  <c r="CH143" i="55"/>
  <c r="CH144" i="55"/>
  <c r="CH145" i="55"/>
  <c r="CH146" i="55"/>
  <c r="CH147" i="55"/>
  <c r="CH148" i="55"/>
  <c r="CH149" i="55"/>
  <c r="CH150" i="55"/>
  <c r="CH151" i="55"/>
  <c r="CH152" i="55"/>
  <c r="CH153" i="55"/>
  <c r="CH154" i="55"/>
  <c r="CH155" i="55"/>
  <c r="CH156" i="55"/>
  <c r="CH157" i="55"/>
  <c r="CH158" i="55"/>
  <c r="CH159" i="55"/>
  <c r="CH160" i="55"/>
  <c r="CH161" i="55"/>
  <c r="CH162" i="55"/>
  <c r="CH163" i="55"/>
  <c r="CH164" i="55"/>
  <c r="CH165" i="55"/>
  <c r="CH166" i="55"/>
  <c r="CH167" i="55"/>
  <c r="CH168" i="55"/>
  <c r="CH169" i="55"/>
  <c r="CH170" i="55"/>
  <c r="CH171" i="55"/>
  <c r="CH172" i="55"/>
  <c r="CH173" i="55"/>
  <c r="CH174" i="55"/>
  <c r="CH175" i="55"/>
  <c r="CH176" i="55"/>
  <c r="CH177" i="55"/>
  <c r="CH178" i="55"/>
  <c r="CH179" i="55"/>
  <c r="CH180" i="55"/>
  <c r="CH181" i="55"/>
  <c r="CH182" i="55"/>
  <c r="CH183" i="55"/>
  <c r="CH184" i="55"/>
  <c r="CH185" i="55"/>
  <c r="CH186" i="55"/>
  <c r="CH187" i="55"/>
  <c r="CH188" i="55"/>
  <c r="CH189" i="55"/>
  <c r="CH190" i="55"/>
  <c r="CH191" i="55"/>
  <c r="CH192" i="55"/>
  <c r="CH193" i="55"/>
  <c r="CH194" i="55"/>
  <c r="CH195" i="55"/>
  <c r="CH196" i="55"/>
  <c r="CH197" i="55"/>
  <c r="CH198" i="55"/>
  <c r="CH199" i="55"/>
  <c r="CH200" i="55"/>
  <c r="CH201" i="55"/>
  <c r="CH202" i="55"/>
  <c r="CH203" i="55"/>
  <c r="CH204" i="55"/>
  <c r="CH205" i="55"/>
  <c r="CH206" i="55"/>
  <c r="CH207" i="55"/>
  <c r="CH208" i="55"/>
  <c r="CH209" i="55"/>
  <c r="CH210" i="55"/>
  <c r="CH211" i="55"/>
  <c r="CH212" i="55"/>
  <c r="CH213" i="55"/>
  <c r="CH214" i="55"/>
  <c r="CH215" i="55"/>
  <c r="CH216" i="55"/>
  <c r="CH217" i="55"/>
  <c r="CH218" i="55"/>
  <c r="CH219" i="55"/>
  <c r="CH220" i="55"/>
  <c r="CH221" i="55"/>
  <c r="CH222" i="55"/>
  <c r="CH223" i="55"/>
  <c r="CH224" i="55"/>
  <c r="CH225" i="55"/>
  <c r="CH226" i="55"/>
  <c r="CH227" i="55"/>
  <c r="CH228" i="55"/>
  <c r="CH229" i="55"/>
  <c r="CH230" i="55"/>
  <c r="CH231" i="55"/>
  <c r="CH232" i="55"/>
  <c r="CH233" i="55"/>
  <c r="CH234" i="55"/>
  <c r="CH235" i="55"/>
  <c r="CH236" i="55"/>
  <c r="CH237" i="55"/>
  <c r="CH238" i="55"/>
  <c r="CH239" i="55"/>
  <c r="CH240" i="55"/>
  <c r="CH241" i="55"/>
  <c r="CH242" i="55"/>
  <c r="CH243" i="55"/>
  <c r="CH244" i="55"/>
  <c r="CH245" i="55"/>
  <c r="CH246" i="55"/>
  <c r="CH247" i="55"/>
  <c r="CH248" i="55"/>
  <c r="CH249" i="55"/>
  <c r="CH250" i="55"/>
  <c r="CH251" i="55"/>
  <c r="CH252" i="55"/>
  <c r="CH253" i="55"/>
  <c r="CH254" i="55"/>
  <c r="CH255" i="55"/>
  <c r="CH256" i="55"/>
  <c r="CH257" i="55"/>
  <c r="CH258" i="55"/>
  <c r="CH259" i="55"/>
  <c r="CH260" i="55"/>
  <c r="CH261" i="55"/>
  <c r="CH262" i="55"/>
  <c r="CH263" i="55"/>
  <c r="CH264" i="55"/>
  <c r="CH265" i="55"/>
  <c r="CH266" i="55"/>
  <c r="CH267" i="55"/>
  <c r="CH268" i="55"/>
  <c r="CH269" i="55"/>
  <c r="CH270" i="55"/>
  <c r="CH271" i="55"/>
  <c r="CH272" i="55"/>
  <c r="CH273" i="55"/>
  <c r="CH274" i="55"/>
  <c r="CH275" i="55"/>
  <c r="CH276" i="55"/>
  <c r="CH277" i="55"/>
  <c r="CH278" i="55"/>
  <c r="CH279" i="55"/>
  <c r="CH280" i="55"/>
  <c r="CH281" i="55"/>
  <c r="CH282" i="55"/>
  <c r="CH283" i="55"/>
  <c r="CH284" i="55"/>
  <c r="CH285" i="55"/>
  <c r="CH286" i="55"/>
  <c r="CH287" i="55"/>
  <c r="CH288" i="55"/>
  <c r="CH289" i="55"/>
  <c r="CH290" i="55"/>
  <c r="CH291" i="55"/>
  <c r="CH292" i="55"/>
  <c r="CH293" i="55"/>
  <c r="CH294" i="55"/>
  <c r="CH295" i="55"/>
  <c r="CH296" i="55"/>
  <c r="CH297" i="55"/>
  <c r="CH298" i="55"/>
  <c r="CH299" i="55"/>
  <c r="CH300" i="55"/>
  <c r="CH301" i="55"/>
  <c r="CH302" i="55"/>
  <c r="CH303" i="55"/>
  <c r="CH304" i="55"/>
  <c r="CH305" i="55"/>
  <c r="CH306" i="55"/>
  <c r="CH307" i="55"/>
  <c r="CH308" i="55"/>
  <c r="CH309" i="55"/>
  <c r="CH310" i="55"/>
  <c r="CH311" i="55"/>
  <c r="CH312" i="55"/>
  <c r="CH313" i="55"/>
  <c r="CH314" i="55"/>
  <c r="CH315" i="55"/>
  <c r="CH316" i="55"/>
  <c r="CH317" i="55"/>
  <c r="CH318" i="55"/>
  <c r="CH319" i="55"/>
  <c r="CH320" i="55"/>
  <c r="CH321" i="55"/>
  <c r="CH322" i="55"/>
  <c r="CH323" i="55"/>
  <c r="CH324" i="55"/>
  <c r="CH325" i="55"/>
  <c r="CH326" i="55"/>
  <c r="CH327" i="55"/>
  <c r="CH328" i="55"/>
  <c r="CH329" i="55"/>
  <c r="CH330" i="55"/>
  <c r="CH331" i="55"/>
  <c r="CH332" i="55"/>
  <c r="CH333" i="55"/>
  <c r="CH334" i="55"/>
  <c r="CH335" i="55"/>
  <c r="CH336" i="55"/>
  <c r="CH337" i="55"/>
  <c r="CH338" i="55"/>
  <c r="CH339" i="55"/>
  <c r="CH340" i="55"/>
  <c r="CH341" i="55"/>
  <c r="CH342" i="55"/>
  <c r="CH343" i="55"/>
  <c r="CH344" i="55"/>
  <c r="CH345" i="55"/>
  <c r="CH346" i="55"/>
  <c r="CH347" i="55"/>
  <c r="CH348" i="55"/>
  <c r="CH349" i="55"/>
  <c r="CH350" i="55"/>
  <c r="CH351" i="55"/>
  <c r="CH352" i="55"/>
  <c r="CG9" i="55"/>
  <c r="CG14" i="55"/>
  <c r="CG23" i="55"/>
  <c r="CG30" i="55"/>
  <c r="DS30" i="55" s="1"/>
  <c r="CG41" i="55"/>
  <c r="CG47" i="55"/>
  <c r="CG63" i="55"/>
  <c r="CG73" i="55"/>
  <c r="CG75" i="55"/>
  <c r="CG78" i="55"/>
  <c r="CG80" i="55"/>
  <c r="CG94" i="55"/>
  <c r="CG95" i="55"/>
  <c r="CG111" i="55"/>
  <c r="CG142" i="55"/>
  <c r="CG143" i="55"/>
  <c r="CG158" i="55"/>
  <c r="DS158" i="55" s="1"/>
  <c r="CG169" i="55"/>
  <c r="CG175" i="55"/>
  <c r="CG199" i="55"/>
  <c r="CG201" i="55"/>
  <c r="CG203" i="55"/>
  <c r="CG206" i="55"/>
  <c r="CG207" i="55"/>
  <c r="CG208" i="55"/>
  <c r="CG209" i="55"/>
  <c r="CG233" i="55"/>
  <c r="CG256" i="55"/>
  <c r="CG265" i="55"/>
  <c r="CG270" i="55"/>
  <c r="CG282" i="55"/>
  <c r="CG286" i="55"/>
  <c r="CG287" i="55"/>
  <c r="CG335" i="55"/>
  <c r="CG343" i="55"/>
  <c r="CG350" i="55"/>
  <c r="DS350" i="55" s="1"/>
  <c r="CG351" i="55"/>
  <c r="DS351" i="55" s="1"/>
  <c r="CF3" i="55"/>
  <c r="CG3" i="55" s="1"/>
  <c r="DS3" i="55" s="1"/>
  <c r="CF4" i="55"/>
  <c r="CK3" i="55" s="1"/>
  <c r="CF5" i="55"/>
  <c r="CF6" i="55"/>
  <c r="CF7" i="55"/>
  <c r="CF8" i="55"/>
  <c r="CF9" i="55"/>
  <c r="CF10" i="55"/>
  <c r="CF11" i="55"/>
  <c r="CF12" i="55"/>
  <c r="CF13" i="55"/>
  <c r="CF14" i="55"/>
  <c r="CM13" i="55" s="1"/>
  <c r="CF15" i="55"/>
  <c r="CF16" i="55"/>
  <c r="CF17" i="55"/>
  <c r="CF18" i="55"/>
  <c r="CF19" i="55"/>
  <c r="CF20" i="55"/>
  <c r="CF21" i="55"/>
  <c r="CF22" i="55"/>
  <c r="CF23" i="55"/>
  <c r="CF24" i="55"/>
  <c r="CF25" i="55"/>
  <c r="CF26" i="55"/>
  <c r="CF27" i="55"/>
  <c r="CF28" i="55"/>
  <c r="CN27" i="55" s="1"/>
  <c r="CF29" i="55"/>
  <c r="CF30" i="55"/>
  <c r="CL29" i="55" s="1"/>
  <c r="CF31" i="55"/>
  <c r="CF32" i="55"/>
  <c r="CF33" i="55"/>
  <c r="CM32" i="55" s="1"/>
  <c r="CF34" i="55"/>
  <c r="CF35" i="55"/>
  <c r="CF36" i="55"/>
  <c r="CM35" i="55" s="1"/>
  <c r="CF37" i="55"/>
  <c r="CG37" i="55" s="1"/>
  <c r="CF38" i="55"/>
  <c r="CF39" i="55"/>
  <c r="CF40" i="55"/>
  <c r="CF41" i="55"/>
  <c r="CF42" i="55"/>
  <c r="CF43" i="55"/>
  <c r="CF44" i="55"/>
  <c r="CF45" i="55"/>
  <c r="CF46" i="55"/>
  <c r="CF47" i="55"/>
  <c r="CF48" i="55"/>
  <c r="CF49" i="55"/>
  <c r="CF50" i="55"/>
  <c r="CF51" i="55"/>
  <c r="CF52" i="55"/>
  <c r="CK51" i="55" s="1"/>
  <c r="CF53" i="55"/>
  <c r="CF54" i="55"/>
  <c r="CF55" i="55"/>
  <c r="CF56" i="55"/>
  <c r="CF57" i="55"/>
  <c r="CF58" i="55"/>
  <c r="CF59" i="55"/>
  <c r="CF60" i="55"/>
  <c r="CN59" i="55" s="1"/>
  <c r="CF61" i="55"/>
  <c r="CF62" i="55"/>
  <c r="CF63" i="55"/>
  <c r="CF64" i="55"/>
  <c r="CF65" i="55"/>
  <c r="CF66" i="55"/>
  <c r="CF67" i="55"/>
  <c r="CF68" i="55"/>
  <c r="CF69" i="55"/>
  <c r="CF70" i="55"/>
  <c r="CF71" i="55"/>
  <c r="CF72" i="55"/>
  <c r="CF73" i="55"/>
  <c r="CF74" i="55"/>
  <c r="CF75" i="55"/>
  <c r="CJ74" i="55" s="1"/>
  <c r="CF76" i="55"/>
  <c r="CF77" i="55"/>
  <c r="CF78" i="55"/>
  <c r="CN77" i="55" s="1"/>
  <c r="CF79" i="55"/>
  <c r="CF80" i="55"/>
  <c r="CF81" i="55"/>
  <c r="CF82" i="55"/>
  <c r="CF83" i="55"/>
  <c r="CF84" i="55"/>
  <c r="CF85" i="55"/>
  <c r="CF86" i="55"/>
  <c r="CF87" i="55"/>
  <c r="CK86" i="55" s="1"/>
  <c r="CF88" i="55"/>
  <c r="CF89" i="55"/>
  <c r="CF90" i="55"/>
  <c r="CF91" i="55"/>
  <c r="CF92" i="55"/>
  <c r="CJ91" i="55" s="1"/>
  <c r="CF93" i="55"/>
  <c r="CF94" i="55"/>
  <c r="CF95" i="55"/>
  <c r="CF96" i="55"/>
  <c r="CF97" i="55"/>
  <c r="CF98" i="55"/>
  <c r="CF99" i="55"/>
  <c r="CF100" i="55"/>
  <c r="CF101" i="55"/>
  <c r="CF102" i="55"/>
  <c r="CF103" i="55"/>
  <c r="CF104" i="55"/>
  <c r="CF105" i="55"/>
  <c r="CF106" i="55"/>
  <c r="CF107" i="55"/>
  <c r="CM106" i="55" s="1"/>
  <c r="CF108" i="55"/>
  <c r="CJ107" i="55" s="1"/>
  <c r="CF109" i="55"/>
  <c r="CF110" i="55"/>
  <c r="CM109" i="55" s="1"/>
  <c r="CF111" i="55"/>
  <c r="CF112" i="55"/>
  <c r="CF113" i="55"/>
  <c r="CF114" i="55"/>
  <c r="CF115" i="55"/>
  <c r="CF116" i="55"/>
  <c r="CF117" i="55"/>
  <c r="CF118" i="55"/>
  <c r="CF119" i="55"/>
  <c r="CF120" i="55"/>
  <c r="CF121" i="55"/>
  <c r="CF122" i="55"/>
  <c r="CF123" i="55"/>
  <c r="CF124" i="55"/>
  <c r="CG124" i="55" s="1"/>
  <c r="CF125" i="55"/>
  <c r="CF126" i="55"/>
  <c r="CF127" i="55"/>
  <c r="CF128" i="55"/>
  <c r="CF129" i="55"/>
  <c r="CF130" i="55"/>
  <c r="IA129" i="55" s="1"/>
  <c r="CF131" i="55"/>
  <c r="CF132" i="55"/>
  <c r="CF133" i="55"/>
  <c r="CF134" i="55"/>
  <c r="CF135" i="55"/>
  <c r="CF136" i="55"/>
  <c r="CF137" i="55"/>
  <c r="CG137" i="55" s="1"/>
  <c r="CF138" i="55"/>
  <c r="CF139" i="55"/>
  <c r="CJ138" i="55" s="1"/>
  <c r="CF140" i="55"/>
  <c r="CN139" i="55" s="1"/>
  <c r="CF141" i="55"/>
  <c r="CF142" i="55"/>
  <c r="CF143" i="55"/>
  <c r="CF144" i="55"/>
  <c r="CF145" i="55"/>
  <c r="CF146" i="55"/>
  <c r="CF147" i="55"/>
  <c r="CF148" i="55"/>
  <c r="CF149" i="55"/>
  <c r="CF150" i="55"/>
  <c r="CF151" i="55"/>
  <c r="CJ150" i="55" s="1"/>
  <c r="CF152" i="55"/>
  <c r="CF153" i="55"/>
  <c r="CN152" i="55" s="1"/>
  <c r="CF154" i="55"/>
  <c r="CF155" i="55"/>
  <c r="CF156" i="55"/>
  <c r="CN155" i="55" s="1"/>
  <c r="CF157" i="55"/>
  <c r="CF158" i="55"/>
  <c r="CL157" i="55" s="1"/>
  <c r="CF159" i="55"/>
  <c r="CF160" i="55"/>
  <c r="CF161" i="55"/>
  <c r="CF162" i="55"/>
  <c r="CF163" i="55"/>
  <c r="CF164" i="55"/>
  <c r="CF165" i="55"/>
  <c r="CG165" i="55" s="1"/>
  <c r="CF166" i="55"/>
  <c r="CF167" i="55"/>
  <c r="CF168" i="55"/>
  <c r="CF169" i="55"/>
  <c r="CF170" i="55"/>
  <c r="CF171" i="55"/>
  <c r="CF172" i="55"/>
  <c r="CG172" i="55" s="1"/>
  <c r="CF173" i="55"/>
  <c r="CF174" i="55"/>
  <c r="CF175" i="55"/>
  <c r="CK174" i="55" s="1"/>
  <c r="CF176" i="55"/>
  <c r="CF177" i="55"/>
  <c r="CF178" i="55"/>
  <c r="CF179" i="55"/>
  <c r="CF180" i="55"/>
  <c r="HW179" i="55" s="1"/>
  <c r="CF181" i="55"/>
  <c r="CF182" i="55"/>
  <c r="CF183" i="55"/>
  <c r="CF184" i="55"/>
  <c r="CJ183" i="55" s="1"/>
  <c r="CF185" i="55"/>
  <c r="CJ184" i="55" s="1"/>
  <c r="CF186" i="55"/>
  <c r="CF187" i="55"/>
  <c r="CF188" i="55"/>
  <c r="CM187" i="55" s="1"/>
  <c r="CF189" i="55"/>
  <c r="CF190" i="55"/>
  <c r="CG190" i="55" s="1"/>
  <c r="CF191" i="55"/>
  <c r="CF192" i="55"/>
  <c r="CF193" i="55"/>
  <c r="CF194" i="55"/>
  <c r="CF195" i="55"/>
  <c r="CF196" i="55"/>
  <c r="CF197" i="55"/>
  <c r="CG197" i="55" s="1"/>
  <c r="CF198" i="55"/>
  <c r="CF199" i="55"/>
  <c r="CK198" i="55" s="1"/>
  <c r="CF200" i="55"/>
  <c r="CF201" i="55"/>
  <c r="CN200" i="55" s="1"/>
  <c r="CF202" i="55"/>
  <c r="CF203" i="55"/>
  <c r="CF204" i="55"/>
  <c r="CF205" i="55"/>
  <c r="CF206" i="55"/>
  <c r="CF207" i="55"/>
  <c r="CF208" i="55"/>
  <c r="CF209" i="55"/>
  <c r="CF210" i="55"/>
  <c r="CF211" i="55"/>
  <c r="CF212" i="55"/>
  <c r="CL211" i="55" s="1"/>
  <c r="CF213" i="55"/>
  <c r="CF214" i="55"/>
  <c r="CF215" i="55"/>
  <c r="CF216" i="55"/>
  <c r="CF217" i="55"/>
  <c r="CF218" i="55"/>
  <c r="CF219" i="55"/>
  <c r="CF220" i="55"/>
  <c r="CF221" i="55"/>
  <c r="CF222" i="55"/>
  <c r="CF223" i="55"/>
  <c r="CF224" i="55"/>
  <c r="CF225" i="55"/>
  <c r="CF226" i="55"/>
  <c r="CF227" i="55"/>
  <c r="CF228" i="55"/>
  <c r="CF229" i="55"/>
  <c r="CF230" i="55"/>
  <c r="CF231" i="55"/>
  <c r="CJ230" i="55" s="1"/>
  <c r="CF232" i="55"/>
  <c r="CF233" i="55"/>
  <c r="CF234" i="55"/>
  <c r="CF235" i="55"/>
  <c r="CF236" i="55"/>
  <c r="CF237" i="55"/>
  <c r="CG237" i="55" s="1"/>
  <c r="CF238" i="55"/>
  <c r="CG238" i="55" s="1"/>
  <c r="GB238" i="55" s="1"/>
  <c r="GC238" i="55" s="1"/>
  <c r="CF239" i="55"/>
  <c r="CL238" i="55" s="1"/>
  <c r="CF240" i="55"/>
  <c r="CF241" i="55"/>
  <c r="CF242" i="55"/>
  <c r="CF243" i="55"/>
  <c r="CF244" i="55"/>
  <c r="CF245" i="55"/>
  <c r="CF246" i="55"/>
  <c r="CF247" i="55"/>
  <c r="CF248" i="55"/>
  <c r="CF249" i="55"/>
  <c r="CF250" i="55"/>
  <c r="CF251" i="55"/>
  <c r="CF252" i="55"/>
  <c r="CF253" i="55"/>
  <c r="CF254" i="55"/>
  <c r="CF255" i="55"/>
  <c r="CF256" i="55"/>
  <c r="CF257" i="55"/>
  <c r="CF258" i="55"/>
  <c r="CF259" i="55"/>
  <c r="CF260" i="55"/>
  <c r="CN259" i="55" s="1"/>
  <c r="CF261" i="55"/>
  <c r="CF262" i="55"/>
  <c r="CF263" i="55"/>
  <c r="CF264" i="55"/>
  <c r="CF265" i="55"/>
  <c r="CJ264" i="55" s="1"/>
  <c r="CF266" i="55"/>
  <c r="CF267" i="55"/>
  <c r="CF268" i="55"/>
  <c r="CJ267" i="55" s="1"/>
  <c r="CF269" i="55"/>
  <c r="CF270" i="55"/>
  <c r="CF271" i="55"/>
  <c r="CF272" i="55"/>
  <c r="CF273" i="55"/>
  <c r="CF274" i="55"/>
  <c r="CF275" i="55"/>
  <c r="CF276" i="55"/>
  <c r="CG276" i="55" s="1"/>
  <c r="CF277" i="55"/>
  <c r="CF278" i="55"/>
  <c r="CF279" i="55"/>
  <c r="CG279" i="55" s="1"/>
  <c r="CF280" i="55"/>
  <c r="CF281" i="55"/>
  <c r="CF282" i="55"/>
  <c r="CF283" i="55"/>
  <c r="CF284" i="55"/>
  <c r="CF285" i="55"/>
  <c r="CF286" i="55"/>
  <c r="CF287" i="55"/>
  <c r="CF288" i="55"/>
  <c r="CF289" i="55"/>
  <c r="CF290" i="55"/>
  <c r="CF291" i="55"/>
  <c r="CF292" i="55"/>
  <c r="CF293" i="55"/>
  <c r="CF294" i="55"/>
  <c r="CF295" i="55"/>
  <c r="CF296" i="55"/>
  <c r="CF297" i="55"/>
  <c r="CF298" i="55"/>
  <c r="CF299" i="55"/>
  <c r="CF300" i="55"/>
  <c r="CF301" i="55"/>
  <c r="CF302" i="55"/>
  <c r="CF303" i="55"/>
  <c r="CF304" i="55"/>
  <c r="CF305" i="55"/>
  <c r="CF306" i="55"/>
  <c r="CF307" i="55"/>
  <c r="CF308" i="55"/>
  <c r="CF309" i="55"/>
  <c r="CF310" i="55"/>
  <c r="CF311" i="55"/>
  <c r="CF312" i="55"/>
  <c r="CF313" i="55"/>
  <c r="CF314" i="55"/>
  <c r="CF315" i="55"/>
  <c r="CF316" i="55"/>
  <c r="CF317" i="55"/>
  <c r="CF318" i="55"/>
  <c r="CL317" i="55" s="1"/>
  <c r="CF319" i="55"/>
  <c r="CF320" i="55"/>
  <c r="CF321" i="55"/>
  <c r="CF322" i="55"/>
  <c r="CF323" i="55"/>
  <c r="CF324" i="55"/>
  <c r="CF325" i="55"/>
  <c r="CG325" i="55" s="1"/>
  <c r="CF326" i="55"/>
  <c r="CF327" i="55"/>
  <c r="CF328" i="55"/>
  <c r="CF329" i="55"/>
  <c r="CN328" i="55" s="1"/>
  <c r="CF330" i="55"/>
  <c r="CF331" i="55"/>
  <c r="CJ330" i="55" s="1"/>
  <c r="CF332" i="55"/>
  <c r="CF333" i="55"/>
  <c r="CF334" i="55"/>
  <c r="CF335" i="55"/>
  <c r="CF336" i="55"/>
  <c r="CF337" i="55"/>
  <c r="CF338" i="55"/>
  <c r="CF339" i="55"/>
  <c r="CF340" i="55"/>
  <c r="CF341" i="55"/>
  <c r="CF342" i="55"/>
  <c r="CF343" i="55"/>
  <c r="CF344" i="55"/>
  <c r="CF345" i="55"/>
  <c r="CF346" i="55"/>
  <c r="CF347" i="55"/>
  <c r="CF348" i="55"/>
  <c r="CF349" i="55"/>
  <c r="CF350" i="55"/>
  <c r="CF351" i="55"/>
  <c r="CF352" i="55"/>
  <c r="CD15" i="55"/>
  <c r="CD47" i="55"/>
  <c r="FX47" i="55" s="1" a="1"/>
  <c r="FX47" i="55" s="1"/>
  <c r="CD63" i="55"/>
  <c r="CD95" i="55"/>
  <c r="CD115" i="55"/>
  <c r="CC41" i="55"/>
  <c r="CC51" i="55"/>
  <c r="CC52" i="55"/>
  <c r="CC53" i="55"/>
  <c r="CC54" i="55"/>
  <c r="CC57" i="55"/>
  <c r="CC68" i="55"/>
  <c r="CC105" i="55"/>
  <c r="CB5" i="55"/>
  <c r="CB6" i="55"/>
  <c r="CB7" i="55"/>
  <c r="CB8" i="55"/>
  <c r="CB9" i="55"/>
  <c r="CB10" i="55"/>
  <c r="CB12" i="55"/>
  <c r="CB13" i="55"/>
  <c r="CB14" i="55"/>
  <c r="CB15" i="55"/>
  <c r="CB16" i="55"/>
  <c r="CB17" i="55"/>
  <c r="EB17" i="55" s="1"/>
  <c r="CB18" i="55"/>
  <c r="CB19" i="55"/>
  <c r="CB20" i="55"/>
  <c r="CB21" i="55"/>
  <c r="CB22" i="55"/>
  <c r="CB23" i="55"/>
  <c r="CB24" i="55"/>
  <c r="CB26" i="55"/>
  <c r="CB29" i="55"/>
  <c r="CB30" i="55"/>
  <c r="CB31" i="55"/>
  <c r="DZ31" i="55" s="1"/>
  <c r="CB32" i="55"/>
  <c r="CB33" i="55"/>
  <c r="CB34" i="55"/>
  <c r="CB35" i="55"/>
  <c r="CB36" i="55"/>
  <c r="CB37" i="55"/>
  <c r="CB38" i="55"/>
  <c r="CB39" i="55"/>
  <c r="CB40" i="55"/>
  <c r="CB41" i="55"/>
  <c r="CB42" i="55"/>
  <c r="CB43" i="55"/>
  <c r="CB44" i="55"/>
  <c r="CB45" i="55"/>
  <c r="CB46" i="55"/>
  <c r="CB47" i="55"/>
  <c r="CB48" i="55"/>
  <c r="CB49" i="55"/>
  <c r="CB51" i="55"/>
  <c r="CB52" i="55"/>
  <c r="CB53" i="55"/>
  <c r="CB54" i="55"/>
  <c r="CB55" i="55"/>
  <c r="CB56" i="55"/>
  <c r="CB57" i="55"/>
  <c r="CB58" i="55"/>
  <c r="CB59" i="55"/>
  <c r="CB60" i="55"/>
  <c r="CB61" i="55"/>
  <c r="CB62" i="55"/>
  <c r="CB63" i="55"/>
  <c r="DZ63" i="55" s="1"/>
  <c r="CB64" i="55"/>
  <c r="CB65" i="55"/>
  <c r="CB66" i="55"/>
  <c r="CB67" i="55"/>
  <c r="CB68" i="55"/>
  <c r="CB69" i="55"/>
  <c r="CB70" i="55"/>
  <c r="CB71" i="55"/>
  <c r="CB72" i="55"/>
  <c r="CB73" i="55"/>
  <c r="CB74" i="55"/>
  <c r="CB75" i="55"/>
  <c r="CB76" i="55"/>
  <c r="CB77" i="55"/>
  <c r="CB78" i="55"/>
  <c r="CB79" i="55"/>
  <c r="CB80" i="55"/>
  <c r="CB81" i="55"/>
  <c r="CB82" i="55"/>
  <c r="CB83" i="55"/>
  <c r="CB84" i="55"/>
  <c r="CB85" i="55"/>
  <c r="CB86" i="55"/>
  <c r="CB87" i="55"/>
  <c r="CB88" i="55"/>
  <c r="CB89" i="55"/>
  <c r="CB90" i="55"/>
  <c r="CB91" i="55"/>
  <c r="CB92" i="55"/>
  <c r="CB93" i="55"/>
  <c r="CB94" i="55"/>
  <c r="CB95" i="55"/>
  <c r="CB96" i="55"/>
  <c r="CB97" i="55"/>
  <c r="CB98" i="55"/>
  <c r="CB99" i="55"/>
  <c r="CB100" i="55"/>
  <c r="CB101" i="55"/>
  <c r="CB102" i="55"/>
  <c r="CB103" i="55"/>
  <c r="CB104" i="55"/>
  <c r="CB105" i="55"/>
  <c r="CB106" i="55"/>
  <c r="CB107" i="55"/>
  <c r="CB108" i="55"/>
  <c r="CB109" i="55"/>
  <c r="CB110" i="55"/>
  <c r="EB110" i="55" s="1"/>
  <c r="CB111" i="55"/>
  <c r="EB111" i="55" s="1"/>
  <c r="CB112" i="55"/>
  <c r="CB113" i="55"/>
  <c r="CB114" i="55"/>
  <c r="CB115" i="55"/>
  <c r="CB116" i="55"/>
  <c r="CB117" i="55"/>
  <c r="CB118" i="55"/>
  <c r="CB119" i="55"/>
  <c r="CB120" i="55"/>
  <c r="CB121" i="55"/>
  <c r="CB122" i="55"/>
  <c r="CB123" i="55"/>
  <c r="CB124" i="55"/>
  <c r="CB125" i="55"/>
  <c r="CB126" i="55"/>
  <c r="CB127" i="55"/>
  <c r="EB127" i="55" s="1"/>
  <c r="CB128" i="55"/>
  <c r="CB129" i="55"/>
  <c r="CB130" i="55"/>
  <c r="CB131" i="55"/>
  <c r="CB132" i="55"/>
  <c r="EB132" i="55" s="1"/>
  <c r="CB133" i="55"/>
  <c r="CB134" i="55"/>
  <c r="CB135" i="55"/>
  <c r="CB136" i="55"/>
  <c r="CB137" i="55"/>
  <c r="CB138" i="55"/>
  <c r="CB139" i="55"/>
  <c r="CB140" i="55"/>
  <c r="CB141" i="55"/>
  <c r="CB142" i="55"/>
  <c r="CB143" i="55"/>
  <c r="CB144" i="55"/>
  <c r="CB145" i="55"/>
  <c r="CB146" i="55"/>
  <c r="CB147" i="55"/>
  <c r="CB148" i="55"/>
  <c r="CB149" i="55"/>
  <c r="CB150" i="55"/>
  <c r="CB151" i="55"/>
  <c r="CB152" i="55"/>
  <c r="CB153" i="55"/>
  <c r="CB154" i="55"/>
  <c r="CB155" i="55"/>
  <c r="CB156" i="55"/>
  <c r="CB157" i="55"/>
  <c r="CB158" i="55"/>
  <c r="CB159" i="55"/>
  <c r="DZ159" i="55" s="1"/>
  <c r="CB160" i="55"/>
  <c r="CB161" i="55"/>
  <c r="CB162" i="55"/>
  <c r="CB163" i="55"/>
  <c r="CB164" i="55"/>
  <c r="CB165" i="55"/>
  <c r="CB166" i="55"/>
  <c r="CB167" i="55"/>
  <c r="CB168" i="55"/>
  <c r="CB169" i="55"/>
  <c r="CB170" i="55"/>
  <c r="CB171" i="55"/>
  <c r="CB172" i="55"/>
  <c r="CB173" i="55"/>
  <c r="CB174" i="55"/>
  <c r="CB175" i="55"/>
  <c r="DZ175" i="55" s="1"/>
  <c r="CB176" i="55"/>
  <c r="CB177" i="55"/>
  <c r="DZ177" i="55" s="1"/>
  <c r="CB178" i="55"/>
  <c r="DZ178" i="55" s="1"/>
  <c r="CB179" i="55"/>
  <c r="CB180" i="55"/>
  <c r="CB181" i="55"/>
  <c r="CB182" i="55"/>
  <c r="CB183" i="55"/>
  <c r="CB184" i="55"/>
  <c r="CB185" i="55"/>
  <c r="CB186" i="55"/>
  <c r="CB187" i="55"/>
  <c r="CB188" i="55"/>
  <c r="CB189" i="55"/>
  <c r="CB190" i="55"/>
  <c r="CB191" i="55"/>
  <c r="EB191" i="55" s="1"/>
  <c r="CB192" i="55"/>
  <c r="CB193" i="55"/>
  <c r="CB194" i="55"/>
  <c r="CB195" i="55"/>
  <c r="CB196" i="55"/>
  <c r="CB197" i="55"/>
  <c r="CB198" i="55"/>
  <c r="CB199" i="55"/>
  <c r="CB200" i="55"/>
  <c r="CB201" i="55"/>
  <c r="CB202" i="55"/>
  <c r="CB203" i="55"/>
  <c r="CB204" i="55"/>
  <c r="CB205" i="55"/>
  <c r="CB206" i="55"/>
  <c r="CB207" i="55"/>
  <c r="EB207" i="55" s="1"/>
  <c r="CB208" i="55"/>
  <c r="CB209" i="55"/>
  <c r="CB210" i="55"/>
  <c r="CB211" i="55"/>
  <c r="CB212" i="55"/>
  <c r="CB213" i="55"/>
  <c r="CB214" i="55"/>
  <c r="CB215" i="55"/>
  <c r="CB216" i="55"/>
  <c r="CB217" i="55"/>
  <c r="CB218" i="55"/>
  <c r="CB219" i="55"/>
  <c r="CB220" i="55"/>
  <c r="CB221" i="55"/>
  <c r="CB222" i="55"/>
  <c r="CB223" i="55"/>
  <c r="CB224" i="55"/>
  <c r="CB225" i="55"/>
  <c r="CB226" i="55"/>
  <c r="CB227" i="55"/>
  <c r="CB228" i="55"/>
  <c r="CB229" i="55"/>
  <c r="CB230" i="55"/>
  <c r="CB231" i="55"/>
  <c r="CB232" i="55"/>
  <c r="CB233" i="55"/>
  <c r="CB234" i="55"/>
  <c r="CB235" i="55"/>
  <c r="CB236" i="55"/>
  <c r="CB237" i="55"/>
  <c r="CB238" i="55"/>
  <c r="CB239" i="55"/>
  <c r="DZ239" i="55" s="1"/>
  <c r="CB240" i="55"/>
  <c r="CB241" i="55"/>
  <c r="CB242" i="55"/>
  <c r="CB243" i="55"/>
  <c r="CB244" i="55"/>
  <c r="CB245" i="55"/>
  <c r="CB246" i="55"/>
  <c r="CB247" i="55"/>
  <c r="CB248" i="55"/>
  <c r="CB249" i="55"/>
  <c r="CB250" i="55"/>
  <c r="CB251" i="55"/>
  <c r="CB252" i="55"/>
  <c r="CB253" i="55"/>
  <c r="CB254" i="55"/>
  <c r="CB255" i="55"/>
  <c r="CB256" i="55"/>
  <c r="CB257" i="55"/>
  <c r="CB258" i="55"/>
  <c r="CB259" i="55"/>
  <c r="CB260" i="55"/>
  <c r="CB261" i="55"/>
  <c r="CB262" i="55"/>
  <c r="CB263" i="55"/>
  <c r="CB264" i="55"/>
  <c r="CB265" i="55"/>
  <c r="CB266" i="55"/>
  <c r="CB267" i="55"/>
  <c r="CB268" i="55"/>
  <c r="CB269" i="55"/>
  <c r="CB270" i="55"/>
  <c r="CB271" i="55"/>
  <c r="DZ271" i="55" s="1"/>
  <c r="CB272" i="55"/>
  <c r="CB273" i="55"/>
  <c r="CB274" i="55"/>
  <c r="CB275" i="55"/>
  <c r="CB276" i="55"/>
  <c r="CB277" i="55"/>
  <c r="CB278" i="55"/>
  <c r="CB279" i="55"/>
  <c r="CB280" i="55"/>
  <c r="CB281" i="55"/>
  <c r="CB282" i="55"/>
  <c r="CB283" i="55"/>
  <c r="CB284" i="55"/>
  <c r="CB285" i="55"/>
  <c r="CB286" i="55"/>
  <c r="CB287" i="55"/>
  <c r="CB288" i="55"/>
  <c r="CB289" i="55"/>
  <c r="CB290" i="55"/>
  <c r="CB291" i="55"/>
  <c r="CB292" i="55"/>
  <c r="CB293" i="55"/>
  <c r="CB294" i="55"/>
  <c r="CB295" i="55"/>
  <c r="CB296" i="55"/>
  <c r="CB297" i="55"/>
  <c r="CB298" i="55"/>
  <c r="CB299" i="55"/>
  <c r="CB300" i="55"/>
  <c r="CB301" i="55"/>
  <c r="CB302" i="55"/>
  <c r="CB303" i="55"/>
  <c r="CB304" i="55"/>
  <c r="CB305" i="55"/>
  <c r="CB306" i="55"/>
  <c r="CB307" i="55"/>
  <c r="CB308" i="55"/>
  <c r="CB309" i="55"/>
  <c r="CB310" i="55"/>
  <c r="CB311" i="55"/>
  <c r="CB312" i="55"/>
  <c r="CB313" i="55"/>
  <c r="CB314" i="55"/>
  <c r="CB315" i="55"/>
  <c r="CB316" i="55"/>
  <c r="CB317" i="55"/>
  <c r="CB318" i="55"/>
  <c r="CB319" i="55"/>
  <c r="DZ319" i="55" s="1"/>
  <c r="CB320" i="55"/>
  <c r="CB321" i="55"/>
  <c r="CB322" i="55"/>
  <c r="CB323" i="55"/>
  <c r="CB324" i="55"/>
  <c r="CB325" i="55"/>
  <c r="CB326" i="55"/>
  <c r="CB327" i="55"/>
  <c r="CB328" i="55"/>
  <c r="CB329" i="55"/>
  <c r="CB330" i="55"/>
  <c r="CB331" i="55"/>
  <c r="CB332" i="55"/>
  <c r="CB333" i="55"/>
  <c r="CB334" i="55"/>
  <c r="CB335" i="55"/>
  <c r="CB336" i="55"/>
  <c r="CB337" i="55"/>
  <c r="CB338" i="55"/>
  <c r="CB339" i="55"/>
  <c r="CB340" i="55"/>
  <c r="CB341" i="55"/>
  <c r="CB342" i="55"/>
  <c r="CB343" i="55"/>
  <c r="CB344" i="55"/>
  <c r="CB345" i="55"/>
  <c r="CB346" i="55"/>
  <c r="CB347" i="55"/>
  <c r="CB348" i="55"/>
  <c r="CB349" i="55"/>
  <c r="CB350" i="55"/>
  <c r="CB351" i="55"/>
  <c r="DZ351" i="55" s="1"/>
  <c r="CB352" i="55"/>
  <c r="CA153" i="55"/>
  <c r="BZ5" i="55"/>
  <c r="BZ6" i="55"/>
  <c r="BZ7" i="55"/>
  <c r="BZ8" i="55"/>
  <c r="BZ9" i="55"/>
  <c r="BZ10" i="55"/>
  <c r="BZ12" i="55"/>
  <c r="BZ13" i="55"/>
  <c r="BZ14" i="55"/>
  <c r="EC14" i="55" s="1"/>
  <c r="BZ15" i="55"/>
  <c r="BZ16" i="55"/>
  <c r="BZ17" i="55"/>
  <c r="BZ18" i="55"/>
  <c r="BZ19" i="55"/>
  <c r="EX19" i="55" s="1"/>
  <c r="BZ20" i="55"/>
  <c r="BZ21" i="55"/>
  <c r="BZ22" i="55"/>
  <c r="BZ23" i="55"/>
  <c r="BZ24" i="55"/>
  <c r="BZ26" i="55"/>
  <c r="BZ29" i="55"/>
  <c r="BZ30" i="55"/>
  <c r="BZ31" i="55"/>
  <c r="BZ32" i="55"/>
  <c r="EX32" i="55" s="1"/>
  <c r="BZ33" i="55"/>
  <c r="BZ34" i="55"/>
  <c r="EC34" i="55" s="1"/>
  <c r="BZ35" i="55"/>
  <c r="BZ36" i="55"/>
  <c r="EX36" i="55" s="1"/>
  <c r="BZ37" i="55"/>
  <c r="BZ38" i="55"/>
  <c r="BZ39" i="55"/>
  <c r="BZ40" i="55"/>
  <c r="BZ41" i="55"/>
  <c r="BZ42" i="55"/>
  <c r="BZ43" i="55"/>
  <c r="BZ44" i="55"/>
  <c r="BZ45" i="55"/>
  <c r="BZ46" i="55"/>
  <c r="BZ47" i="55"/>
  <c r="EC47" i="55" s="1"/>
  <c r="BZ48" i="55"/>
  <c r="BZ49" i="55"/>
  <c r="BZ51" i="55"/>
  <c r="EX51" i="55" s="1"/>
  <c r="BZ52" i="55"/>
  <c r="EC52" i="55" s="1"/>
  <c r="BZ53" i="55"/>
  <c r="BZ54" i="55"/>
  <c r="BZ55" i="55"/>
  <c r="BZ56" i="55"/>
  <c r="BZ57" i="55"/>
  <c r="BZ58" i="55"/>
  <c r="BZ59" i="55"/>
  <c r="BZ60" i="55"/>
  <c r="BZ61" i="55"/>
  <c r="BZ62" i="55"/>
  <c r="BZ63" i="55"/>
  <c r="BZ64" i="55"/>
  <c r="BZ65" i="55"/>
  <c r="BZ66" i="55"/>
  <c r="BZ67" i="55"/>
  <c r="BZ68" i="55"/>
  <c r="BZ69" i="55"/>
  <c r="BZ70" i="55"/>
  <c r="BZ71" i="55"/>
  <c r="BZ72" i="55"/>
  <c r="BZ73" i="55"/>
  <c r="BZ74" i="55"/>
  <c r="BZ75" i="55"/>
  <c r="BZ76" i="55"/>
  <c r="BZ77" i="55"/>
  <c r="BZ78" i="55"/>
  <c r="BZ79" i="55"/>
  <c r="BZ80" i="55"/>
  <c r="BZ81" i="55"/>
  <c r="BZ82" i="55"/>
  <c r="BZ83" i="55"/>
  <c r="BZ84" i="55"/>
  <c r="BZ85" i="55"/>
  <c r="BZ86" i="55"/>
  <c r="BZ87" i="55"/>
  <c r="BZ88" i="55"/>
  <c r="BZ89" i="55"/>
  <c r="EC89" i="55" s="1"/>
  <c r="BZ90" i="55"/>
  <c r="BZ91" i="55"/>
  <c r="BZ92" i="55"/>
  <c r="BZ93" i="55"/>
  <c r="EX93" i="55" s="1"/>
  <c r="BZ94" i="55"/>
  <c r="BZ95" i="55"/>
  <c r="BZ96" i="55"/>
  <c r="BZ97" i="55"/>
  <c r="BZ98" i="55"/>
  <c r="BZ99" i="55"/>
  <c r="EC99" i="55" s="1"/>
  <c r="BZ100" i="55"/>
  <c r="BZ101" i="55"/>
  <c r="EX101" i="55" s="1"/>
  <c r="BZ102" i="55"/>
  <c r="BZ103" i="55"/>
  <c r="BZ104" i="55"/>
  <c r="BZ105" i="55"/>
  <c r="BZ106" i="55"/>
  <c r="EC106" i="55" s="1"/>
  <c r="BZ107" i="55"/>
  <c r="BZ108" i="55"/>
  <c r="BZ109" i="55"/>
  <c r="BZ110" i="55"/>
  <c r="BZ111" i="55"/>
  <c r="BZ112" i="55"/>
  <c r="BZ113" i="55"/>
  <c r="EC113" i="55" s="1"/>
  <c r="BZ114" i="55"/>
  <c r="BZ115" i="55"/>
  <c r="BZ116" i="55"/>
  <c r="EC116" i="55" s="1"/>
  <c r="BZ117" i="55"/>
  <c r="BZ118" i="55"/>
  <c r="BZ119" i="55"/>
  <c r="BZ120" i="55"/>
  <c r="BZ121" i="55"/>
  <c r="EC121" i="55" s="1"/>
  <c r="BZ122" i="55"/>
  <c r="EC122" i="55" s="1"/>
  <c r="BZ123" i="55"/>
  <c r="BZ124" i="55"/>
  <c r="BZ125" i="55"/>
  <c r="BZ126" i="55"/>
  <c r="BZ127" i="55"/>
  <c r="BZ128" i="55"/>
  <c r="EC128" i="55" s="1"/>
  <c r="BZ129" i="55"/>
  <c r="BZ130" i="55"/>
  <c r="BZ131" i="55"/>
  <c r="BZ132" i="55"/>
  <c r="BZ133" i="55"/>
  <c r="BZ134" i="55"/>
  <c r="BZ135" i="55"/>
  <c r="BZ136" i="55"/>
  <c r="BZ137" i="55"/>
  <c r="BZ138" i="55"/>
  <c r="BZ139" i="55"/>
  <c r="BZ140" i="55"/>
  <c r="BZ141" i="55"/>
  <c r="BZ142" i="55"/>
  <c r="BZ143" i="55"/>
  <c r="BZ144" i="55"/>
  <c r="EC144" i="55" s="1"/>
  <c r="BZ145" i="55"/>
  <c r="BZ146" i="55"/>
  <c r="EC146" i="55" s="1"/>
  <c r="BZ147" i="55"/>
  <c r="BZ148" i="55"/>
  <c r="EX148" i="55" s="1"/>
  <c r="BZ149" i="55"/>
  <c r="BZ150" i="55"/>
  <c r="BZ151" i="55"/>
  <c r="BZ152" i="55"/>
  <c r="BZ153" i="55"/>
  <c r="BZ154" i="55"/>
  <c r="BZ155" i="55"/>
  <c r="BZ156" i="55"/>
  <c r="BZ157" i="55"/>
  <c r="BZ158" i="55"/>
  <c r="BZ159" i="55"/>
  <c r="BZ160" i="55"/>
  <c r="EC160" i="55" s="1"/>
  <c r="BZ161" i="55"/>
  <c r="EX161" i="55" s="1"/>
  <c r="BZ162" i="55"/>
  <c r="BZ163" i="55"/>
  <c r="EC163" i="55" s="1"/>
  <c r="BZ164" i="55"/>
  <c r="EC164" i="55" s="1"/>
  <c r="BZ165" i="55"/>
  <c r="BZ166" i="55"/>
  <c r="BZ167" i="55"/>
  <c r="BZ168" i="55"/>
  <c r="BZ169" i="55"/>
  <c r="EC169" i="55" s="1"/>
  <c r="BZ170" i="55"/>
  <c r="BZ171" i="55"/>
  <c r="BZ172" i="55"/>
  <c r="BZ173" i="55"/>
  <c r="BZ174" i="55"/>
  <c r="BZ175" i="55"/>
  <c r="BZ176" i="55"/>
  <c r="BZ177" i="55"/>
  <c r="EX177" i="55" s="1"/>
  <c r="BZ178" i="55"/>
  <c r="EX178" i="55" s="1"/>
  <c r="BZ179" i="55"/>
  <c r="BZ180" i="55"/>
  <c r="BZ181" i="55"/>
  <c r="BZ182" i="55"/>
  <c r="BZ183" i="55"/>
  <c r="BZ184" i="55"/>
  <c r="CA184" i="55" s="1"/>
  <c r="BZ185" i="55"/>
  <c r="BZ186" i="55"/>
  <c r="BZ187" i="55"/>
  <c r="BZ188" i="55"/>
  <c r="BZ189" i="55"/>
  <c r="BZ190" i="55"/>
  <c r="BZ191" i="55"/>
  <c r="BZ192" i="55"/>
  <c r="EC192" i="55" s="1"/>
  <c r="BZ193" i="55"/>
  <c r="EC193" i="55" s="1"/>
  <c r="BZ194" i="55"/>
  <c r="BZ195" i="55"/>
  <c r="BZ196" i="55"/>
  <c r="BZ197" i="55"/>
  <c r="BZ198" i="55"/>
  <c r="BZ199" i="55"/>
  <c r="BZ200" i="55"/>
  <c r="BZ201" i="55"/>
  <c r="BZ202" i="55"/>
  <c r="BZ203" i="55"/>
  <c r="BZ204" i="55"/>
  <c r="BZ205" i="55"/>
  <c r="BZ206" i="55"/>
  <c r="BZ207" i="55"/>
  <c r="BZ208" i="55"/>
  <c r="BZ209" i="55"/>
  <c r="BZ210" i="55"/>
  <c r="EC210" i="55" s="1"/>
  <c r="BZ211" i="55"/>
  <c r="EC211" i="55" s="1"/>
  <c r="BZ212" i="55"/>
  <c r="BZ213" i="55"/>
  <c r="BZ214" i="55"/>
  <c r="BZ215" i="55"/>
  <c r="BZ216" i="55"/>
  <c r="BZ217" i="55"/>
  <c r="BZ218" i="55"/>
  <c r="BZ219" i="55"/>
  <c r="BZ220" i="55"/>
  <c r="BZ221" i="55"/>
  <c r="BZ222" i="55"/>
  <c r="BZ223" i="55"/>
  <c r="BZ224" i="55"/>
  <c r="EC224" i="55" s="1"/>
  <c r="BZ225" i="55"/>
  <c r="BZ226" i="55"/>
  <c r="EC226" i="55" s="1"/>
  <c r="BZ227" i="55"/>
  <c r="EC227" i="55" s="1"/>
  <c r="BZ228" i="55"/>
  <c r="EC228" i="55" s="1"/>
  <c r="BZ229" i="55"/>
  <c r="BZ230" i="55"/>
  <c r="BZ231" i="55"/>
  <c r="BZ232" i="55"/>
  <c r="BZ233" i="55"/>
  <c r="EX233" i="55" s="1"/>
  <c r="BZ234" i="55"/>
  <c r="BZ235" i="55"/>
  <c r="EX235" i="55" s="1"/>
  <c r="BZ236" i="55"/>
  <c r="BZ237" i="55"/>
  <c r="BZ238" i="55"/>
  <c r="BZ239" i="55"/>
  <c r="BZ240" i="55"/>
  <c r="BZ241" i="55"/>
  <c r="EX241" i="55" s="1"/>
  <c r="BZ242" i="55"/>
  <c r="EX242" i="55" s="1"/>
  <c r="BZ243" i="55"/>
  <c r="BZ244" i="55"/>
  <c r="EC244" i="55" s="1"/>
  <c r="BZ245" i="55"/>
  <c r="BZ246" i="55"/>
  <c r="BZ247" i="55"/>
  <c r="BZ248" i="55"/>
  <c r="BZ249" i="55"/>
  <c r="EC249" i="55" s="1"/>
  <c r="BZ250" i="55"/>
  <c r="BZ251" i="55"/>
  <c r="BZ252" i="55"/>
  <c r="BZ253" i="55"/>
  <c r="BZ254" i="55"/>
  <c r="BZ255" i="55"/>
  <c r="BZ256" i="55"/>
  <c r="BZ257" i="55"/>
  <c r="EC257" i="55" s="1"/>
  <c r="BZ258" i="55"/>
  <c r="BZ259" i="55"/>
  <c r="EC259" i="55" s="1"/>
  <c r="BZ260" i="55"/>
  <c r="BZ261" i="55"/>
  <c r="BZ262" i="55"/>
  <c r="BZ263" i="55"/>
  <c r="BZ264" i="55"/>
  <c r="BZ265" i="55"/>
  <c r="BZ266" i="55"/>
  <c r="BZ267" i="55"/>
  <c r="BZ268" i="55"/>
  <c r="BZ269" i="55"/>
  <c r="BZ270" i="55"/>
  <c r="BZ271" i="55"/>
  <c r="BZ272" i="55"/>
  <c r="EC272" i="55" s="1"/>
  <c r="BZ273" i="55"/>
  <c r="BZ274" i="55"/>
  <c r="EC274" i="55" s="1"/>
  <c r="BZ275" i="55"/>
  <c r="BZ276" i="55"/>
  <c r="EC276" i="55" s="1"/>
  <c r="BZ277" i="55"/>
  <c r="BZ278" i="55"/>
  <c r="BZ279" i="55"/>
  <c r="BZ280" i="55"/>
  <c r="BZ281" i="55"/>
  <c r="BZ282" i="55"/>
  <c r="BZ283" i="55"/>
  <c r="BZ284" i="55"/>
  <c r="BZ285" i="55"/>
  <c r="BZ286" i="55"/>
  <c r="BZ287" i="55"/>
  <c r="BZ288" i="55"/>
  <c r="BZ289" i="55"/>
  <c r="BZ290" i="55"/>
  <c r="BZ291" i="55"/>
  <c r="EX291" i="55" s="1"/>
  <c r="BZ292" i="55"/>
  <c r="EX292" i="55" s="1"/>
  <c r="BZ293" i="55"/>
  <c r="BZ294" i="55"/>
  <c r="BZ295" i="55"/>
  <c r="BZ296" i="55"/>
  <c r="BZ297" i="55"/>
  <c r="BZ298" i="55"/>
  <c r="EC298" i="55" s="1"/>
  <c r="BZ299" i="55"/>
  <c r="BZ300" i="55"/>
  <c r="BZ301" i="55"/>
  <c r="BZ302" i="55"/>
  <c r="BZ303" i="55"/>
  <c r="BZ304" i="55"/>
  <c r="BZ305" i="55"/>
  <c r="BZ306" i="55"/>
  <c r="BZ307" i="55"/>
  <c r="BZ308" i="55"/>
  <c r="EC308" i="55" s="1"/>
  <c r="BZ309" i="55"/>
  <c r="BZ310" i="55"/>
  <c r="BZ311" i="55"/>
  <c r="BZ312" i="55"/>
  <c r="BZ313" i="55"/>
  <c r="EC313" i="55" s="1"/>
  <c r="BZ314" i="55"/>
  <c r="EC314" i="55" s="1"/>
  <c r="BZ315" i="55"/>
  <c r="BZ316" i="55"/>
  <c r="BZ317" i="55"/>
  <c r="BZ318" i="55"/>
  <c r="BZ319" i="55"/>
  <c r="BZ320" i="55"/>
  <c r="BZ321" i="55"/>
  <c r="BZ322" i="55"/>
  <c r="BZ323" i="55"/>
  <c r="BZ324" i="55"/>
  <c r="BZ325" i="55"/>
  <c r="EX325" i="55" s="1"/>
  <c r="BZ326" i="55"/>
  <c r="BZ327" i="55"/>
  <c r="BZ328" i="55"/>
  <c r="BZ329" i="55"/>
  <c r="EX329" i="55" s="1"/>
  <c r="BZ330" i="55"/>
  <c r="BZ331" i="55"/>
  <c r="BZ332" i="55"/>
  <c r="BZ333" i="55"/>
  <c r="BZ334" i="55"/>
  <c r="BZ335" i="55"/>
  <c r="BZ336" i="55"/>
  <c r="BZ337" i="55"/>
  <c r="BZ338" i="55"/>
  <c r="EC338" i="55" s="1"/>
  <c r="BZ339" i="55"/>
  <c r="EC339" i="55" s="1"/>
  <c r="BZ340" i="55"/>
  <c r="EX340" i="55" s="1"/>
  <c r="BZ341" i="55"/>
  <c r="BZ342" i="55"/>
  <c r="BZ343" i="55"/>
  <c r="BZ344" i="55"/>
  <c r="BZ345" i="55"/>
  <c r="EC345" i="55" s="1"/>
  <c r="BZ346" i="55"/>
  <c r="BZ347" i="55"/>
  <c r="BZ348" i="55"/>
  <c r="BZ349" i="55"/>
  <c r="BZ350" i="55"/>
  <c r="BZ351" i="55"/>
  <c r="BZ352" i="55"/>
  <c r="EX352" i="55" s="1"/>
  <c r="BX3" i="55"/>
  <c r="EJ3" i="55" s="1"/>
  <c r="BX4" i="55"/>
  <c r="BX5" i="55"/>
  <c r="BX6" i="55"/>
  <c r="GN6" i="55" s="1"/>
  <c r="BX7" i="55"/>
  <c r="EJ7" i="55" s="1"/>
  <c r="BX8" i="55"/>
  <c r="BX9" i="55"/>
  <c r="BX10" i="55"/>
  <c r="BX11" i="55"/>
  <c r="BX12" i="55"/>
  <c r="BX13" i="55"/>
  <c r="BX14" i="55"/>
  <c r="BX15" i="55"/>
  <c r="BX16" i="55"/>
  <c r="BX17" i="55"/>
  <c r="BX18" i="55"/>
  <c r="BX19" i="55"/>
  <c r="BX20" i="55"/>
  <c r="EJ20" i="55" s="1"/>
  <c r="BX21" i="55"/>
  <c r="BX22" i="55"/>
  <c r="BX23" i="55"/>
  <c r="BX24" i="55"/>
  <c r="BX26" i="55"/>
  <c r="BX27" i="55"/>
  <c r="BX29" i="55"/>
  <c r="BX30" i="55"/>
  <c r="BX31" i="55"/>
  <c r="BX32" i="55"/>
  <c r="BX33" i="55"/>
  <c r="BX34" i="55"/>
  <c r="BX35" i="55"/>
  <c r="BX36" i="55"/>
  <c r="GN36" i="55" s="1"/>
  <c r="BX37" i="55"/>
  <c r="BX38" i="55"/>
  <c r="BX39" i="55"/>
  <c r="BX40" i="55"/>
  <c r="BX41" i="55"/>
  <c r="BX42" i="55"/>
  <c r="BX43" i="55"/>
  <c r="BX44" i="55"/>
  <c r="BX45" i="55"/>
  <c r="BX46" i="55"/>
  <c r="BX47" i="55"/>
  <c r="BX48" i="55"/>
  <c r="BX49" i="55"/>
  <c r="BX50" i="55"/>
  <c r="BX51" i="55"/>
  <c r="BX52" i="55"/>
  <c r="BX53" i="55"/>
  <c r="BX54" i="55"/>
  <c r="BX55" i="55"/>
  <c r="BX56" i="55"/>
  <c r="BX57" i="55"/>
  <c r="BX58" i="55"/>
  <c r="BX59" i="55"/>
  <c r="BX60" i="55"/>
  <c r="BX61" i="55"/>
  <c r="BX62" i="55"/>
  <c r="BX63" i="55"/>
  <c r="BX64" i="55"/>
  <c r="BX65" i="55"/>
  <c r="BX66" i="55"/>
  <c r="BX67" i="55"/>
  <c r="BX68" i="55"/>
  <c r="BX69" i="55"/>
  <c r="BX70" i="55"/>
  <c r="EJ70" i="55" s="1"/>
  <c r="BX71" i="55"/>
  <c r="GN71" i="55" s="1"/>
  <c r="BX72" i="55"/>
  <c r="BX73" i="55"/>
  <c r="BX74" i="55"/>
  <c r="BX75" i="55"/>
  <c r="BX76" i="55"/>
  <c r="BX77" i="55"/>
  <c r="BX78" i="55"/>
  <c r="BX79" i="55"/>
  <c r="BX80" i="55"/>
  <c r="BX81" i="55"/>
  <c r="BX82" i="55"/>
  <c r="EJ82" i="55" s="1"/>
  <c r="BX83" i="55"/>
  <c r="BX84" i="55"/>
  <c r="BX85" i="55"/>
  <c r="BX86" i="55"/>
  <c r="GN86" i="55" s="1"/>
  <c r="BX87" i="55"/>
  <c r="BX88" i="55"/>
  <c r="BX89" i="55"/>
  <c r="BX90" i="55"/>
  <c r="BX91" i="55"/>
  <c r="BX92" i="55"/>
  <c r="BX93" i="55"/>
  <c r="BX94" i="55"/>
  <c r="BX95" i="55"/>
  <c r="EJ95" i="55" s="1"/>
  <c r="BX96" i="55"/>
  <c r="BX97" i="55"/>
  <c r="BX98" i="55"/>
  <c r="BX99" i="55"/>
  <c r="BX100" i="55"/>
  <c r="BX101" i="55"/>
  <c r="BX102" i="55"/>
  <c r="DL102" i="55" s="1"/>
  <c r="BX103" i="55"/>
  <c r="BX104" i="55"/>
  <c r="BX105" i="55"/>
  <c r="BX106" i="55"/>
  <c r="BX107" i="55"/>
  <c r="BX108" i="55"/>
  <c r="BX109" i="55"/>
  <c r="BX110" i="55"/>
  <c r="BX111" i="55"/>
  <c r="BX112" i="55"/>
  <c r="BX113" i="55"/>
  <c r="BX114" i="55"/>
  <c r="BX115" i="55"/>
  <c r="BX116" i="55"/>
  <c r="BX117" i="55"/>
  <c r="BX118" i="55"/>
  <c r="BX119" i="55"/>
  <c r="BX120" i="55"/>
  <c r="EJ120" i="55" s="1"/>
  <c r="BX121" i="55"/>
  <c r="BX122" i="55"/>
  <c r="BX123" i="55"/>
  <c r="BX124" i="55"/>
  <c r="BX125" i="55"/>
  <c r="BX126" i="55"/>
  <c r="BX127" i="55"/>
  <c r="BX128" i="55"/>
  <c r="BX129" i="55"/>
  <c r="BX130" i="55"/>
  <c r="BX131" i="55"/>
  <c r="BX132" i="55"/>
  <c r="BX133" i="55"/>
  <c r="BX134" i="55"/>
  <c r="BX135" i="55"/>
  <c r="BX136" i="55"/>
  <c r="BX137" i="55"/>
  <c r="BX138" i="55"/>
  <c r="BX139" i="55"/>
  <c r="BX140" i="55"/>
  <c r="BX141" i="55"/>
  <c r="BX142" i="55"/>
  <c r="BX143" i="55"/>
  <c r="BX144" i="55"/>
  <c r="BX145" i="55"/>
  <c r="BX146" i="55"/>
  <c r="BX147" i="55"/>
  <c r="BX148" i="55"/>
  <c r="BX149" i="55"/>
  <c r="BX150" i="55"/>
  <c r="BX151" i="55"/>
  <c r="BX152" i="55"/>
  <c r="BX153" i="55"/>
  <c r="BX154" i="55"/>
  <c r="BX155" i="55"/>
  <c r="CA155" i="55" s="1"/>
  <c r="BX156" i="55"/>
  <c r="BX157" i="55"/>
  <c r="BX158" i="55"/>
  <c r="BX159" i="55"/>
  <c r="BX160" i="55"/>
  <c r="BX161" i="55"/>
  <c r="BX162" i="55"/>
  <c r="BX163" i="55"/>
  <c r="BX164" i="55"/>
  <c r="GN164" i="55" s="1"/>
  <c r="BX165" i="55"/>
  <c r="BX166" i="55"/>
  <c r="GN166" i="55" s="1"/>
  <c r="BX167" i="55"/>
  <c r="BX168" i="55"/>
  <c r="BX169" i="55"/>
  <c r="BX170" i="55"/>
  <c r="BX171" i="55"/>
  <c r="BX172" i="55"/>
  <c r="BX173" i="55"/>
  <c r="BX174" i="55"/>
  <c r="EJ174" i="55" s="1"/>
  <c r="BX175" i="55"/>
  <c r="EJ175" i="55" s="1"/>
  <c r="BX176" i="55"/>
  <c r="BX177" i="55"/>
  <c r="EJ177" i="55" s="1"/>
  <c r="BX178" i="55"/>
  <c r="BX179" i="55"/>
  <c r="BX180" i="55"/>
  <c r="BX181" i="55"/>
  <c r="BX182" i="55"/>
  <c r="BX183" i="55"/>
  <c r="BX184" i="55"/>
  <c r="BX185" i="55"/>
  <c r="BX186" i="55"/>
  <c r="CA186" i="55" s="1"/>
  <c r="BX187" i="55"/>
  <c r="BX188" i="55"/>
  <c r="BX189" i="55"/>
  <c r="BX190" i="55"/>
  <c r="BX191" i="55"/>
  <c r="BX192" i="55"/>
  <c r="EJ192" i="55" s="1"/>
  <c r="BX193" i="55"/>
  <c r="BX194" i="55"/>
  <c r="BX195" i="55"/>
  <c r="BX196" i="55"/>
  <c r="GN196" i="55" s="1"/>
  <c r="BX197" i="55"/>
  <c r="BX198" i="55"/>
  <c r="GN198" i="55" s="1"/>
  <c r="BX199" i="55"/>
  <c r="EJ199" i="55" s="1"/>
  <c r="BX200" i="55"/>
  <c r="BX201" i="55"/>
  <c r="GN201" i="55" s="1"/>
  <c r="BX202" i="55"/>
  <c r="BX203" i="55"/>
  <c r="BX204" i="55"/>
  <c r="BX205" i="55"/>
  <c r="BX206" i="55"/>
  <c r="BX207" i="55"/>
  <c r="BX208" i="55"/>
  <c r="BX209" i="55"/>
  <c r="BX210" i="55"/>
  <c r="BX211" i="55"/>
  <c r="BX212" i="55"/>
  <c r="BX213" i="55"/>
  <c r="BX214" i="55"/>
  <c r="BX215" i="55"/>
  <c r="BX216" i="55"/>
  <c r="BX217" i="55"/>
  <c r="BX218" i="55"/>
  <c r="BX219" i="55"/>
  <c r="BX220" i="55"/>
  <c r="BX221" i="55"/>
  <c r="BX222" i="55"/>
  <c r="BX223" i="55"/>
  <c r="BX224" i="55"/>
  <c r="BX225" i="55"/>
  <c r="BX226" i="55"/>
  <c r="BX227" i="55"/>
  <c r="BX228" i="55"/>
  <c r="BX229" i="55"/>
  <c r="BX230" i="55"/>
  <c r="BX231" i="55"/>
  <c r="GN231" i="55" s="1"/>
  <c r="BX232" i="55"/>
  <c r="BX233" i="55"/>
  <c r="BX234" i="55"/>
  <c r="BX235" i="55"/>
  <c r="BX236" i="55"/>
  <c r="BX237" i="55"/>
  <c r="BX238" i="55"/>
  <c r="BX239" i="55"/>
  <c r="BX240" i="55"/>
  <c r="BX241" i="55"/>
  <c r="BX242" i="55"/>
  <c r="BX243" i="55"/>
  <c r="BX244" i="55"/>
  <c r="EJ244" i="55" s="1"/>
  <c r="BX245" i="55"/>
  <c r="BX246" i="55"/>
  <c r="BX247" i="55"/>
  <c r="BX248" i="55"/>
  <c r="BX249" i="55"/>
  <c r="EJ249" i="55" s="1"/>
  <c r="BX250" i="55"/>
  <c r="BX251" i="55"/>
  <c r="BX252" i="55"/>
  <c r="BX253" i="55"/>
  <c r="BX254" i="55"/>
  <c r="BX255" i="55"/>
  <c r="BX256" i="55"/>
  <c r="BX257" i="55"/>
  <c r="BX258" i="55"/>
  <c r="BX259" i="55"/>
  <c r="BX260" i="55"/>
  <c r="BX261" i="55"/>
  <c r="BX262" i="55"/>
  <c r="BX263" i="55"/>
  <c r="EJ263" i="55" s="1"/>
  <c r="BX264" i="55"/>
  <c r="GN264" i="55" s="1"/>
  <c r="BX265" i="55"/>
  <c r="GN265" i="55" s="1"/>
  <c r="BX266" i="55"/>
  <c r="BX267" i="55"/>
  <c r="BX268" i="55"/>
  <c r="BX269" i="55"/>
  <c r="BX270" i="55"/>
  <c r="BX271" i="55"/>
  <c r="BX272" i="55"/>
  <c r="BX273" i="55"/>
  <c r="BX274" i="55"/>
  <c r="EJ274" i="55" s="1"/>
  <c r="BX275" i="55"/>
  <c r="BX276" i="55"/>
  <c r="EJ276" i="55" s="1"/>
  <c r="BX277" i="55"/>
  <c r="BX278" i="55"/>
  <c r="BX279" i="55"/>
  <c r="BX280" i="55"/>
  <c r="BX281" i="55"/>
  <c r="BX282" i="55"/>
  <c r="BX283" i="55"/>
  <c r="BX284" i="55"/>
  <c r="BX285" i="55"/>
  <c r="BX286" i="55"/>
  <c r="EJ286" i="55" s="1"/>
  <c r="BX287" i="55"/>
  <c r="BX288" i="55"/>
  <c r="BX289" i="55"/>
  <c r="BX290" i="55"/>
  <c r="BX291" i="55"/>
  <c r="BX292" i="55"/>
  <c r="BX293" i="55"/>
  <c r="EJ293" i="55" s="1"/>
  <c r="BX294" i="55"/>
  <c r="BX295" i="55"/>
  <c r="BX296" i="55"/>
  <c r="BX297" i="55"/>
  <c r="EJ297" i="55" s="1"/>
  <c r="BX298" i="55"/>
  <c r="BX299" i="55"/>
  <c r="BX300" i="55"/>
  <c r="BX301" i="55"/>
  <c r="BX302" i="55"/>
  <c r="BX303" i="55"/>
  <c r="BX304" i="55"/>
  <c r="BX305" i="55"/>
  <c r="BX306" i="55"/>
  <c r="GN306" i="55" s="1"/>
  <c r="BX307" i="55"/>
  <c r="BX308" i="55"/>
  <c r="GN308" i="55" s="1"/>
  <c r="BX309" i="55"/>
  <c r="BX310" i="55"/>
  <c r="BX311" i="55"/>
  <c r="BX312" i="55"/>
  <c r="BX313" i="55"/>
  <c r="DL313" i="55" s="1"/>
  <c r="BX314" i="55"/>
  <c r="BX315" i="55"/>
  <c r="BX316" i="55"/>
  <c r="BX317" i="55"/>
  <c r="BX318" i="55"/>
  <c r="BX319" i="55"/>
  <c r="BX320" i="55"/>
  <c r="BX321" i="55"/>
  <c r="GN321" i="55" s="1"/>
  <c r="BX322" i="55"/>
  <c r="BX323" i="55"/>
  <c r="BX324" i="55"/>
  <c r="EJ324" i="55" s="1"/>
  <c r="BX325" i="55"/>
  <c r="BX326" i="55"/>
  <c r="BX327" i="55"/>
  <c r="BX328" i="55"/>
  <c r="BX329" i="55"/>
  <c r="BX330" i="55"/>
  <c r="BX331" i="55"/>
  <c r="BX332" i="55"/>
  <c r="BX333" i="55"/>
  <c r="BX334" i="55"/>
  <c r="BX335" i="55"/>
  <c r="DL335" i="55" s="1"/>
  <c r="BX336" i="55"/>
  <c r="BX337" i="55"/>
  <c r="BX338" i="55"/>
  <c r="BX339" i="55"/>
  <c r="BX340" i="55"/>
  <c r="BX341" i="55"/>
  <c r="BX342" i="55"/>
  <c r="BX343" i="55"/>
  <c r="BX344" i="55"/>
  <c r="BX345" i="55"/>
  <c r="BX346" i="55"/>
  <c r="BX347" i="55"/>
  <c r="BX348" i="55"/>
  <c r="BX349" i="55"/>
  <c r="BX350" i="55"/>
  <c r="EJ350" i="55" s="1"/>
  <c r="BX351" i="55"/>
  <c r="EJ351" i="55" s="1"/>
  <c r="BX352" i="55"/>
  <c r="BW177" i="55"/>
  <c r="BW193" i="55"/>
  <c r="BW241" i="55"/>
  <c r="BW258" i="55"/>
  <c r="BV4" i="55"/>
  <c r="BV5" i="55"/>
  <c r="BV7" i="55"/>
  <c r="BV36" i="55"/>
  <c r="BV37" i="55"/>
  <c r="BV39" i="55"/>
  <c r="BV40" i="55"/>
  <c r="BV52" i="55"/>
  <c r="BV57" i="55"/>
  <c r="BV68" i="55"/>
  <c r="BV69" i="55"/>
  <c r="BV72" i="55"/>
  <c r="BV85" i="55"/>
  <c r="BV88" i="55"/>
  <c r="BV89" i="55"/>
  <c r="BV103" i="55"/>
  <c r="BV116" i="55"/>
  <c r="BV117" i="55"/>
  <c r="BV120" i="55"/>
  <c r="BV121" i="55"/>
  <c r="BV136" i="55"/>
  <c r="BV137" i="55"/>
  <c r="BV143" i="55"/>
  <c r="BV144" i="55"/>
  <c r="BV152" i="55"/>
  <c r="BV164" i="55"/>
  <c r="BV165" i="55"/>
  <c r="BV167" i="55"/>
  <c r="BV168" i="55"/>
  <c r="BV180" i="55"/>
  <c r="BV183" i="55"/>
  <c r="BV184" i="55"/>
  <c r="BV185" i="55"/>
  <c r="BV196" i="55"/>
  <c r="BV200" i="55"/>
  <c r="BV216" i="55"/>
  <c r="BV217" i="55"/>
  <c r="BV223" i="55"/>
  <c r="BV224" i="55"/>
  <c r="BV228" i="55"/>
  <c r="BV231" i="55"/>
  <c r="BV232" i="55"/>
  <c r="BV233" i="55"/>
  <c r="BV244" i="55"/>
  <c r="BV260" i="55"/>
  <c r="BV263" i="55"/>
  <c r="BV264" i="55"/>
  <c r="BV265" i="55"/>
  <c r="BV270" i="55"/>
  <c r="BV271" i="55"/>
  <c r="BV280" i="55"/>
  <c r="BV286" i="55"/>
  <c r="BV293" i="55"/>
  <c r="BV295" i="55"/>
  <c r="BV297" i="55"/>
  <c r="BV302" i="55"/>
  <c r="HY302" i="55" s="1"/>
  <c r="BV308" i="55"/>
  <c r="BV311" i="55"/>
  <c r="BV312" i="55"/>
  <c r="BV313" i="55"/>
  <c r="BV325" i="55"/>
  <c r="BV328" i="55"/>
  <c r="BV341" i="55"/>
  <c r="BV344" i="55"/>
  <c r="BV350" i="55"/>
  <c r="BV351" i="55"/>
  <c r="BV352" i="55"/>
  <c r="BU3" i="55"/>
  <c r="BV3" i="55" s="1"/>
  <c r="BU4" i="55"/>
  <c r="BU5" i="55"/>
  <c r="BU6" i="55"/>
  <c r="BV6" i="55" s="1"/>
  <c r="BU7" i="55"/>
  <c r="BU8" i="55"/>
  <c r="BV8" i="55" s="1"/>
  <c r="BU9" i="55"/>
  <c r="BV9" i="55" s="1"/>
  <c r="BU10" i="55"/>
  <c r="BV10" i="55" s="1"/>
  <c r="BU11" i="55"/>
  <c r="BV11" i="55" s="1"/>
  <c r="BU12" i="55"/>
  <c r="BV12" i="55" s="1"/>
  <c r="BU13" i="55"/>
  <c r="BV13" i="55" s="1"/>
  <c r="BU14" i="55"/>
  <c r="BV14" i="55" s="1"/>
  <c r="BU15" i="55"/>
  <c r="BV15" i="55" s="1"/>
  <c r="BU16" i="55"/>
  <c r="BV16" i="55" s="1"/>
  <c r="BU17" i="55"/>
  <c r="BV17" i="55" s="1"/>
  <c r="BU18" i="55"/>
  <c r="BV18" i="55" s="1"/>
  <c r="BU19" i="55"/>
  <c r="BV19" i="55" s="1"/>
  <c r="BU20" i="55"/>
  <c r="BV20" i="55" s="1"/>
  <c r="BU21" i="55"/>
  <c r="BV21" i="55" s="1"/>
  <c r="BU22" i="55"/>
  <c r="BV22" i="55" s="1"/>
  <c r="BU23" i="55"/>
  <c r="BV23" i="55" s="1"/>
  <c r="BU24" i="55"/>
  <c r="BV24" i="55" s="1"/>
  <c r="BU26" i="55"/>
  <c r="BV26" i="55" s="1"/>
  <c r="BU27" i="55"/>
  <c r="BV27" i="55" s="1"/>
  <c r="BU28" i="55"/>
  <c r="BV28" i="55" s="1"/>
  <c r="BU29" i="55"/>
  <c r="BV29" i="55" s="1"/>
  <c r="BU30" i="55"/>
  <c r="BV30" i="55" s="1"/>
  <c r="BU31" i="55"/>
  <c r="BV31" i="55" s="1"/>
  <c r="BU32" i="55"/>
  <c r="BV32" i="55" s="1"/>
  <c r="BU33" i="55"/>
  <c r="BV33" i="55" s="1"/>
  <c r="BU34" i="55"/>
  <c r="BV34" i="55" s="1"/>
  <c r="BU35" i="55"/>
  <c r="BV35" i="55" s="1"/>
  <c r="BU36" i="55"/>
  <c r="BU37" i="55"/>
  <c r="BU38" i="55"/>
  <c r="BV38" i="55" s="1"/>
  <c r="BU39" i="55"/>
  <c r="BU40" i="55"/>
  <c r="BU41" i="55"/>
  <c r="BV41" i="55" s="1"/>
  <c r="BU42" i="55"/>
  <c r="BV42" i="55" s="1"/>
  <c r="BU43" i="55"/>
  <c r="BV43" i="55" s="1"/>
  <c r="BU44" i="55"/>
  <c r="BV44" i="55" s="1"/>
  <c r="BU45" i="55"/>
  <c r="BV45" i="55" s="1"/>
  <c r="BU46" i="55"/>
  <c r="BV46" i="55" s="1"/>
  <c r="BU47" i="55"/>
  <c r="BV47" i="55" s="1"/>
  <c r="BU48" i="55"/>
  <c r="BV48" i="55" s="1"/>
  <c r="BU49" i="55"/>
  <c r="BV49" i="55" s="1"/>
  <c r="BU50" i="55"/>
  <c r="BV50" i="55" s="1"/>
  <c r="BU51" i="55"/>
  <c r="BV51" i="55" s="1"/>
  <c r="BU52" i="55"/>
  <c r="BU53" i="55"/>
  <c r="BV53" i="55" s="1"/>
  <c r="BU54" i="55"/>
  <c r="BV54" i="55" s="1"/>
  <c r="BU55" i="55"/>
  <c r="BV55" i="55" s="1"/>
  <c r="BU56" i="55"/>
  <c r="BV56" i="55" s="1"/>
  <c r="BU57" i="55"/>
  <c r="BU58" i="55"/>
  <c r="BV58" i="55" s="1"/>
  <c r="BU59" i="55"/>
  <c r="BV59" i="55" s="1"/>
  <c r="BU60" i="55"/>
  <c r="BV60" i="55" s="1"/>
  <c r="BU61" i="55"/>
  <c r="BV61" i="55" s="1"/>
  <c r="BU62" i="55"/>
  <c r="BV62" i="55" s="1"/>
  <c r="BU63" i="55"/>
  <c r="BV63" i="55" s="1"/>
  <c r="BU64" i="55"/>
  <c r="BV64" i="55" s="1"/>
  <c r="BU65" i="55"/>
  <c r="BV65" i="55" s="1"/>
  <c r="BU66" i="55"/>
  <c r="BV66" i="55" s="1"/>
  <c r="BU67" i="55"/>
  <c r="BV67" i="55" s="1"/>
  <c r="BU68" i="55"/>
  <c r="BU69" i="55"/>
  <c r="BU70" i="55"/>
  <c r="BV70" i="55" s="1"/>
  <c r="BU71" i="55"/>
  <c r="BV71" i="55" s="1"/>
  <c r="BU72" i="55"/>
  <c r="BU73" i="55"/>
  <c r="BV73" i="55" s="1"/>
  <c r="BU74" i="55"/>
  <c r="BV74" i="55" s="1"/>
  <c r="BU75" i="55"/>
  <c r="BV75" i="55" s="1"/>
  <c r="BU76" i="55"/>
  <c r="BV76" i="55" s="1"/>
  <c r="BU77" i="55"/>
  <c r="BV77" i="55" s="1"/>
  <c r="BU78" i="55"/>
  <c r="BV78" i="55" s="1"/>
  <c r="BU79" i="55"/>
  <c r="BV79" i="55" s="1"/>
  <c r="BU80" i="55"/>
  <c r="BV80" i="55" s="1"/>
  <c r="BU81" i="55"/>
  <c r="BV81" i="55" s="1"/>
  <c r="BU82" i="55"/>
  <c r="BV82" i="55" s="1"/>
  <c r="BU83" i="55"/>
  <c r="BV83" i="55" s="1"/>
  <c r="BU84" i="55"/>
  <c r="BV84" i="55" s="1"/>
  <c r="BU85" i="55"/>
  <c r="BU86" i="55"/>
  <c r="BV86" i="55" s="1"/>
  <c r="BU87" i="55"/>
  <c r="BV87" i="55" s="1"/>
  <c r="BU88" i="55"/>
  <c r="BU89" i="55"/>
  <c r="BU90" i="55"/>
  <c r="BV90" i="55" s="1"/>
  <c r="BU91" i="55"/>
  <c r="BV91" i="55" s="1"/>
  <c r="BU92" i="55"/>
  <c r="BV92" i="55" s="1"/>
  <c r="BU93" i="55"/>
  <c r="BV93" i="55" s="1"/>
  <c r="BU94" i="55"/>
  <c r="BV94" i="55" s="1"/>
  <c r="BU95" i="55"/>
  <c r="BV95" i="55" s="1"/>
  <c r="BU96" i="55"/>
  <c r="BV96" i="55" s="1"/>
  <c r="BU97" i="55"/>
  <c r="BV97" i="55" s="1"/>
  <c r="BU98" i="55"/>
  <c r="BV98" i="55" s="1"/>
  <c r="BU99" i="55"/>
  <c r="BV99" i="55" s="1"/>
  <c r="BU100" i="55"/>
  <c r="BV100" i="55" s="1"/>
  <c r="BU101" i="55"/>
  <c r="BV101" i="55" s="1"/>
  <c r="BU102" i="55"/>
  <c r="BV102" i="55" s="1"/>
  <c r="BU103" i="55"/>
  <c r="BU104" i="55"/>
  <c r="BV104" i="55" s="1"/>
  <c r="BU105" i="55"/>
  <c r="BV105" i="55" s="1"/>
  <c r="BU106" i="55"/>
  <c r="BV106" i="55" s="1"/>
  <c r="BU107" i="55"/>
  <c r="BV107" i="55" s="1"/>
  <c r="BU108" i="55"/>
  <c r="BV108" i="55" s="1"/>
  <c r="BU109" i="55"/>
  <c r="BV109" i="55" s="1"/>
  <c r="BU110" i="55"/>
  <c r="BV110" i="55" s="1"/>
  <c r="BU111" i="55"/>
  <c r="BV111" i="55" s="1"/>
  <c r="BU112" i="55"/>
  <c r="BV112" i="55" s="1"/>
  <c r="BU113" i="55"/>
  <c r="BV113" i="55" s="1"/>
  <c r="BU114" i="55"/>
  <c r="BV114" i="55" s="1"/>
  <c r="BU115" i="55"/>
  <c r="BV115" i="55" s="1"/>
  <c r="BU116" i="55"/>
  <c r="BU117" i="55"/>
  <c r="BU118" i="55"/>
  <c r="BV118" i="55" s="1"/>
  <c r="BU119" i="55"/>
  <c r="BV119" i="55" s="1"/>
  <c r="BU120" i="55"/>
  <c r="BU121" i="55"/>
  <c r="BU122" i="55"/>
  <c r="BV122" i="55" s="1"/>
  <c r="BU123" i="55"/>
  <c r="BV123" i="55" s="1"/>
  <c r="BU124" i="55"/>
  <c r="BV124" i="55" s="1"/>
  <c r="BU125" i="55"/>
  <c r="BV125" i="55" s="1"/>
  <c r="BU126" i="55"/>
  <c r="BV126" i="55" s="1"/>
  <c r="BU127" i="55"/>
  <c r="BV127" i="55" s="1"/>
  <c r="BU128" i="55"/>
  <c r="BV128" i="55" s="1"/>
  <c r="BU129" i="55"/>
  <c r="BV129" i="55" s="1"/>
  <c r="BU130" i="55"/>
  <c r="BV130" i="55" s="1"/>
  <c r="BU131" i="55"/>
  <c r="BV131" i="55" s="1"/>
  <c r="BU132" i="55"/>
  <c r="BV132" i="55" s="1"/>
  <c r="BU133" i="55"/>
  <c r="BV133" i="55" s="1"/>
  <c r="BU134" i="55"/>
  <c r="BV134" i="55" s="1"/>
  <c r="BU135" i="55"/>
  <c r="BV135" i="55" s="1"/>
  <c r="BU136" i="55"/>
  <c r="BU137" i="55"/>
  <c r="BU138" i="55"/>
  <c r="BV138" i="55" s="1"/>
  <c r="BU139" i="55"/>
  <c r="BV139" i="55" s="1"/>
  <c r="BU140" i="55"/>
  <c r="BV140" i="55" s="1"/>
  <c r="BU141" i="55"/>
  <c r="BV141" i="55" s="1"/>
  <c r="BU142" i="55"/>
  <c r="BV142" i="55" s="1"/>
  <c r="BU143" i="55"/>
  <c r="BU144" i="55"/>
  <c r="BU145" i="55"/>
  <c r="BV145" i="55" s="1"/>
  <c r="BU146" i="55"/>
  <c r="BV146" i="55" s="1"/>
  <c r="BU147" i="55"/>
  <c r="BV147" i="55" s="1"/>
  <c r="BU148" i="55"/>
  <c r="BV148" i="55" s="1"/>
  <c r="BU149" i="55"/>
  <c r="BV149" i="55" s="1"/>
  <c r="BU150" i="55"/>
  <c r="BV150" i="55" s="1"/>
  <c r="BU151" i="55"/>
  <c r="BV151" i="55" s="1"/>
  <c r="BU152" i="55"/>
  <c r="BU153" i="55"/>
  <c r="BV153" i="55" s="1"/>
  <c r="BU154" i="55"/>
  <c r="BV154" i="55" s="1"/>
  <c r="BU155" i="55"/>
  <c r="BV155" i="55" s="1"/>
  <c r="BU156" i="55"/>
  <c r="BV156" i="55" s="1"/>
  <c r="BU157" i="55"/>
  <c r="BV157" i="55" s="1"/>
  <c r="BU158" i="55"/>
  <c r="BV158" i="55" s="1"/>
  <c r="BU159" i="55"/>
  <c r="BV159" i="55" s="1"/>
  <c r="BU160" i="55"/>
  <c r="BV160" i="55" s="1"/>
  <c r="BU161" i="55"/>
  <c r="BV161" i="55" s="1"/>
  <c r="BU162" i="55"/>
  <c r="BV162" i="55" s="1"/>
  <c r="BU163" i="55"/>
  <c r="BV163" i="55" s="1"/>
  <c r="BU164" i="55"/>
  <c r="BU165" i="55"/>
  <c r="BU166" i="55"/>
  <c r="BV166" i="55" s="1"/>
  <c r="BU167" i="55"/>
  <c r="BU168" i="55"/>
  <c r="BU169" i="55"/>
  <c r="BV169" i="55" s="1"/>
  <c r="BU170" i="55"/>
  <c r="BV170" i="55" s="1"/>
  <c r="BU171" i="55"/>
  <c r="BV171" i="55" s="1"/>
  <c r="BU172" i="55"/>
  <c r="BV172" i="55" s="1"/>
  <c r="BU173" i="55"/>
  <c r="BV173" i="55" s="1"/>
  <c r="BU174" i="55"/>
  <c r="BV174" i="55" s="1"/>
  <c r="BU175" i="55"/>
  <c r="BV175" i="55" s="1"/>
  <c r="BU176" i="55"/>
  <c r="BV176" i="55" s="1"/>
  <c r="BU177" i="55"/>
  <c r="BV177" i="55" s="1"/>
  <c r="BU178" i="55"/>
  <c r="BV178" i="55" s="1"/>
  <c r="BU179" i="55"/>
  <c r="BV179" i="55" s="1"/>
  <c r="BU180" i="55"/>
  <c r="BU181" i="55"/>
  <c r="BV181" i="55" s="1"/>
  <c r="BU182" i="55"/>
  <c r="BV182" i="55" s="1"/>
  <c r="BU183" i="55"/>
  <c r="BU184" i="55"/>
  <c r="BU185" i="55"/>
  <c r="BU186" i="55"/>
  <c r="BV186" i="55" s="1"/>
  <c r="BU187" i="55"/>
  <c r="BV187" i="55" s="1"/>
  <c r="BU188" i="55"/>
  <c r="BV188" i="55" s="1"/>
  <c r="BU189" i="55"/>
  <c r="BV189" i="55" s="1"/>
  <c r="BU190" i="55"/>
  <c r="BV190" i="55" s="1"/>
  <c r="BU191" i="55"/>
  <c r="BV191" i="55" s="1"/>
  <c r="BU192" i="55"/>
  <c r="BV192" i="55" s="1"/>
  <c r="BU193" i="55"/>
  <c r="BV193" i="55" s="1"/>
  <c r="BU194" i="55"/>
  <c r="BV194" i="55" s="1"/>
  <c r="BU195" i="55"/>
  <c r="BV195" i="55" s="1"/>
  <c r="BU196" i="55"/>
  <c r="BU197" i="55"/>
  <c r="BV197" i="55" s="1"/>
  <c r="BU198" i="55"/>
  <c r="BV198" i="55" s="1"/>
  <c r="BU199" i="55"/>
  <c r="BV199" i="55" s="1"/>
  <c r="BU200" i="55"/>
  <c r="BU201" i="55"/>
  <c r="BV201" i="55" s="1"/>
  <c r="BU202" i="55"/>
  <c r="BV202" i="55" s="1"/>
  <c r="BU203" i="55"/>
  <c r="BV203" i="55" s="1"/>
  <c r="BU204" i="55"/>
  <c r="BV204" i="55" s="1"/>
  <c r="BU205" i="55"/>
  <c r="BV205" i="55" s="1"/>
  <c r="BU206" i="55"/>
  <c r="BV206" i="55" s="1"/>
  <c r="BU207" i="55"/>
  <c r="BV207" i="55" s="1"/>
  <c r="BU208" i="55"/>
  <c r="BV208" i="55" s="1"/>
  <c r="BU209" i="55"/>
  <c r="BV209" i="55" s="1"/>
  <c r="BU210" i="55"/>
  <c r="BV210" i="55" s="1"/>
  <c r="BU211" i="55"/>
  <c r="BV211" i="55" s="1"/>
  <c r="BU212" i="55"/>
  <c r="BV212" i="55" s="1"/>
  <c r="BU213" i="55"/>
  <c r="BV213" i="55" s="1"/>
  <c r="BU214" i="55"/>
  <c r="BV214" i="55" s="1"/>
  <c r="BU215" i="55"/>
  <c r="BV215" i="55" s="1"/>
  <c r="HY215" i="55" s="1"/>
  <c r="BU216" i="55"/>
  <c r="BU217" i="55"/>
  <c r="BU218" i="55"/>
  <c r="BV218" i="55" s="1"/>
  <c r="BU219" i="55"/>
  <c r="BV219" i="55" s="1"/>
  <c r="BU220" i="55"/>
  <c r="BV220" i="55" s="1"/>
  <c r="HY220" i="55" s="1"/>
  <c r="BU221" i="55"/>
  <c r="BV221" i="55" s="1"/>
  <c r="BU222" i="55"/>
  <c r="BV222" i="55" s="1"/>
  <c r="BU223" i="55"/>
  <c r="BU224" i="55"/>
  <c r="BU225" i="55"/>
  <c r="BV225" i="55" s="1"/>
  <c r="BU226" i="55"/>
  <c r="BV226" i="55" s="1"/>
  <c r="BU227" i="55"/>
  <c r="BV227" i="55" s="1"/>
  <c r="BU228" i="55"/>
  <c r="BU229" i="55"/>
  <c r="BV229" i="55" s="1"/>
  <c r="BU230" i="55"/>
  <c r="BV230" i="55" s="1"/>
  <c r="BU231" i="55"/>
  <c r="BU232" i="55"/>
  <c r="BU233" i="55"/>
  <c r="BU234" i="55"/>
  <c r="BV234" i="55" s="1"/>
  <c r="HX234" i="55" s="1"/>
  <c r="BU235" i="55"/>
  <c r="BV235" i="55" s="1"/>
  <c r="BU236" i="55"/>
  <c r="BV236" i="55" s="1"/>
  <c r="BU237" i="55"/>
  <c r="BV237" i="55" s="1"/>
  <c r="BU238" i="55"/>
  <c r="BV238" i="55" s="1"/>
  <c r="BU239" i="55"/>
  <c r="BV239" i="55" s="1"/>
  <c r="BU240" i="55"/>
  <c r="BV240" i="55" s="1"/>
  <c r="BU241" i="55"/>
  <c r="BV241" i="55" s="1"/>
  <c r="BU242" i="55"/>
  <c r="BV242" i="55" s="1"/>
  <c r="BU243" i="55"/>
  <c r="BV243" i="55" s="1"/>
  <c r="BU244" i="55"/>
  <c r="BU245" i="55"/>
  <c r="BV245" i="55" s="1"/>
  <c r="BU246" i="55"/>
  <c r="BV246" i="55" s="1"/>
  <c r="BU247" i="55"/>
  <c r="BV247" i="55" s="1"/>
  <c r="BU248" i="55"/>
  <c r="BV248" i="55" s="1"/>
  <c r="BU249" i="55"/>
  <c r="BV249" i="55" s="1"/>
  <c r="BU250" i="55"/>
  <c r="BV250" i="55" s="1"/>
  <c r="BU251" i="55"/>
  <c r="BV251" i="55" s="1"/>
  <c r="BU252" i="55"/>
  <c r="BV252" i="55" s="1"/>
  <c r="BU253" i="55"/>
  <c r="BV253" i="55" s="1"/>
  <c r="BU254" i="55"/>
  <c r="BV254" i="55" s="1"/>
  <c r="BU255" i="55"/>
  <c r="BV255" i="55" s="1"/>
  <c r="BU256" i="55"/>
  <c r="BV256" i="55" s="1"/>
  <c r="BU257" i="55"/>
  <c r="BV257" i="55" s="1"/>
  <c r="BU258" i="55"/>
  <c r="BV258" i="55" s="1"/>
  <c r="BU259" i="55"/>
  <c r="BV259" i="55" s="1"/>
  <c r="BU260" i="55"/>
  <c r="BU261" i="55"/>
  <c r="BV261" i="55" s="1"/>
  <c r="BU262" i="55"/>
  <c r="BV262" i="55" s="1"/>
  <c r="BU263" i="55"/>
  <c r="BU264" i="55"/>
  <c r="BU265" i="55"/>
  <c r="BU266" i="55"/>
  <c r="BV266" i="55" s="1"/>
  <c r="BU267" i="55"/>
  <c r="BV267" i="55" s="1"/>
  <c r="BU268" i="55"/>
  <c r="BV268" i="55" s="1"/>
  <c r="BU269" i="55"/>
  <c r="BV269" i="55" s="1"/>
  <c r="HY269" i="55" s="1"/>
  <c r="BU270" i="55"/>
  <c r="BU271" i="55"/>
  <c r="BU272" i="55"/>
  <c r="BV272" i="55" s="1"/>
  <c r="BU273" i="55"/>
  <c r="BV273" i="55" s="1"/>
  <c r="BU274" i="55"/>
  <c r="BV274" i="55" s="1"/>
  <c r="BU275" i="55"/>
  <c r="BV275" i="55" s="1"/>
  <c r="BU276" i="55"/>
  <c r="BV276" i="55" s="1"/>
  <c r="BU277" i="55"/>
  <c r="BV277" i="55" s="1"/>
  <c r="BU278" i="55"/>
  <c r="BV278" i="55" s="1"/>
  <c r="BU279" i="55"/>
  <c r="BV279" i="55" s="1"/>
  <c r="BU280" i="55"/>
  <c r="BU281" i="55"/>
  <c r="BV281" i="55" s="1"/>
  <c r="BU282" i="55"/>
  <c r="BV282" i="55" s="1"/>
  <c r="BU283" i="55"/>
  <c r="BV283" i="55" s="1"/>
  <c r="BU284" i="55"/>
  <c r="BV284" i="55" s="1"/>
  <c r="BU285" i="55"/>
  <c r="BV285" i="55" s="1"/>
  <c r="BU286" i="55"/>
  <c r="BU287" i="55"/>
  <c r="BV287" i="55" s="1"/>
  <c r="BU288" i="55"/>
  <c r="BV288" i="55" s="1"/>
  <c r="BU289" i="55"/>
  <c r="BV289" i="55" s="1"/>
  <c r="BU290" i="55"/>
  <c r="BV290" i="55" s="1"/>
  <c r="BU291" i="55"/>
  <c r="BV291" i="55" s="1"/>
  <c r="BU292" i="55"/>
  <c r="BV292" i="55" s="1"/>
  <c r="BU293" i="55"/>
  <c r="BU294" i="55"/>
  <c r="BV294" i="55" s="1"/>
  <c r="BU295" i="55"/>
  <c r="BU296" i="55"/>
  <c r="BV296" i="55" s="1"/>
  <c r="BU297" i="55"/>
  <c r="BU298" i="55"/>
  <c r="BV298" i="55" s="1"/>
  <c r="BU299" i="55"/>
  <c r="BV299" i="55" s="1"/>
  <c r="BU300" i="55"/>
  <c r="BV300" i="55" s="1"/>
  <c r="BU301" i="55"/>
  <c r="BV301" i="55" s="1"/>
  <c r="BU302" i="55"/>
  <c r="BU303" i="55"/>
  <c r="BV303" i="55" s="1"/>
  <c r="BU304" i="55"/>
  <c r="BV304" i="55" s="1"/>
  <c r="BU305" i="55"/>
  <c r="BV305" i="55" s="1"/>
  <c r="BU306" i="55"/>
  <c r="BV306" i="55" s="1"/>
  <c r="BU307" i="55"/>
  <c r="BV307" i="55" s="1"/>
  <c r="BU308" i="55"/>
  <c r="BU309" i="55"/>
  <c r="BV309" i="55" s="1"/>
  <c r="BU310" i="55"/>
  <c r="BV310" i="55" s="1"/>
  <c r="BU311" i="55"/>
  <c r="BU312" i="55"/>
  <c r="BU313" i="55"/>
  <c r="BU314" i="55"/>
  <c r="BV314" i="55" s="1"/>
  <c r="BU315" i="55"/>
  <c r="BV315" i="55" s="1"/>
  <c r="BU316" i="55"/>
  <c r="BV316" i="55" s="1"/>
  <c r="BU317" i="55"/>
  <c r="BV317" i="55" s="1"/>
  <c r="BU318" i="55"/>
  <c r="BV318" i="55" s="1"/>
  <c r="BU319" i="55"/>
  <c r="BV319" i="55" s="1"/>
  <c r="BU320" i="55"/>
  <c r="BV320" i="55" s="1"/>
  <c r="BU321" i="55"/>
  <c r="BV321" i="55" s="1"/>
  <c r="BU322" i="55"/>
  <c r="BV322" i="55" s="1"/>
  <c r="BU323" i="55"/>
  <c r="BV323" i="55" s="1"/>
  <c r="BU324" i="55"/>
  <c r="BV324" i="55" s="1"/>
  <c r="BU325" i="55"/>
  <c r="BU326" i="55"/>
  <c r="BV326" i="55" s="1"/>
  <c r="BU327" i="55"/>
  <c r="BV327" i="55" s="1"/>
  <c r="BU328" i="55"/>
  <c r="BU329" i="55"/>
  <c r="BV329" i="55" s="1"/>
  <c r="BU330" i="55"/>
  <c r="BV330" i="55" s="1"/>
  <c r="BU331" i="55"/>
  <c r="BV331" i="55" s="1"/>
  <c r="BU332" i="55"/>
  <c r="BV332" i="55" s="1"/>
  <c r="BU333" i="55"/>
  <c r="BV333" i="55" s="1"/>
  <c r="BU334" i="55"/>
  <c r="BV334" i="55" s="1"/>
  <c r="BU335" i="55"/>
  <c r="BV335" i="55" s="1"/>
  <c r="BU336" i="55"/>
  <c r="BV336" i="55" s="1"/>
  <c r="BU337" i="55"/>
  <c r="BV337" i="55" s="1"/>
  <c r="BU338" i="55"/>
  <c r="BV338" i="55" s="1"/>
  <c r="BU339" i="55"/>
  <c r="BV339" i="55" s="1"/>
  <c r="BU340" i="55"/>
  <c r="BV340" i="55" s="1"/>
  <c r="BU341" i="55"/>
  <c r="BU342" i="55"/>
  <c r="BV342" i="55" s="1"/>
  <c r="BU343" i="55"/>
  <c r="BV343" i="55" s="1"/>
  <c r="BU344" i="55"/>
  <c r="BU345" i="55"/>
  <c r="BV345" i="55" s="1"/>
  <c r="BU346" i="55"/>
  <c r="BV346" i="55" s="1"/>
  <c r="BU347" i="55"/>
  <c r="BV347" i="55" s="1"/>
  <c r="BU348" i="55"/>
  <c r="BV348" i="55" s="1"/>
  <c r="BU349" i="55"/>
  <c r="BV349" i="55" s="1"/>
  <c r="BU350" i="55"/>
  <c r="BU351" i="55"/>
  <c r="BU352" i="55"/>
  <c r="BT4" i="55"/>
  <c r="BT5" i="55"/>
  <c r="BT8" i="55"/>
  <c r="BT84" i="55"/>
  <c r="BT101" i="55"/>
  <c r="BT282" i="55"/>
  <c r="BT346" i="55"/>
  <c r="BS254" i="55"/>
  <c r="GL254" i="55" s="1"/>
  <c r="BR5" i="55"/>
  <c r="BR6" i="55"/>
  <c r="BR7" i="55"/>
  <c r="BR8" i="55"/>
  <c r="BR9" i="55"/>
  <c r="BR10" i="55"/>
  <c r="BR12" i="55"/>
  <c r="BR13" i="55"/>
  <c r="BR14" i="55"/>
  <c r="BR15" i="55"/>
  <c r="BR16" i="55"/>
  <c r="BR17" i="55"/>
  <c r="BR18" i="55"/>
  <c r="BR19" i="55"/>
  <c r="BR20" i="55"/>
  <c r="BR21" i="55"/>
  <c r="BR22" i="55"/>
  <c r="BR23" i="55"/>
  <c r="BS23" i="55" s="1"/>
  <c r="GL23" i="55" s="1"/>
  <c r="BR24" i="55"/>
  <c r="BR32" i="55"/>
  <c r="BR33" i="55"/>
  <c r="BR34" i="55"/>
  <c r="BR35" i="55"/>
  <c r="BR36" i="55"/>
  <c r="BR37" i="55"/>
  <c r="BR38" i="55"/>
  <c r="BR39" i="55"/>
  <c r="BR40" i="55"/>
  <c r="BR41" i="55"/>
  <c r="BR42" i="55"/>
  <c r="BR43" i="55"/>
  <c r="BR44" i="55"/>
  <c r="BR45" i="55"/>
  <c r="BR46" i="55"/>
  <c r="BR47" i="55"/>
  <c r="BR48" i="55"/>
  <c r="BR49" i="55"/>
  <c r="BR52" i="55"/>
  <c r="BR54" i="55"/>
  <c r="BR55" i="55"/>
  <c r="BR56" i="55"/>
  <c r="BR57" i="55"/>
  <c r="BR58" i="55"/>
  <c r="BR59" i="55"/>
  <c r="BR60" i="55"/>
  <c r="BR61" i="55"/>
  <c r="BR62" i="55"/>
  <c r="BR63" i="55"/>
  <c r="BR64" i="55"/>
  <c r="BR65" i="55"/>
  <c r="BR66" i="55"/>
  <c r="BR67" i="55"/>
  <c r="BR68" i="55"/>
  <c r="BR69" i="55"/>
  <c r="BR70" i="55"/>
  <c r="BR71" i="55"/>
  <c r="BR72" i="55"/>
  <c r="BR73" i="55"/>
  <c r="BR74" i="55"/>
  <c r="BR75" i="55"/>
  <c r="BR76" i="55"/>
  <c r="BR77" i="55"/>
  <c r="BR78" i="55"/>
  <c r="BR79" i="55"/>
  <c r="BR80" i="55"/>
  <c r="BR81" i="55"/>
  <c r="BR82" i="55"/>
  <c r="BR83" i="55"/>
  <c r="BR84" i="55"/>
  <c r="BR85" i="55"/>
  <c r="BR86" i="55"/>
  <c r="BR87" i="55"/>
  <c r="BR89" i="55"/>
  <c r="BR90" i="55"/>
  <c r="BR91" i="55"/>
  <c r="BR92" i="55"/>
  <c r="BR93" i="55"/>
  <c r="BR94" i="55"/>
  <c r="BR95" i="55"/>
  <c r="BR96" i="55"/>
  <c r="BR97" i="55"/>
  <c r="BR98" i="55"/>
  <c r="BR99" i="55"/>
  <c r="BR100" i="55"/>
  <c r="BR101" i="55"/>
  <c r="BR103" i="55"/>
  <c r="BR104" i="55"/>
  <c r="BR105" i="55"/>
  <c r="BR106" i="55"/>
  <c r="BR107" i="55"/>
  <c r="BR108" i="55"/>
  <c r="BR109" i="55"/>
  <c r="BR110" i="55"/>
  <c r="BR111" i="55"/>
  <c r="BR112" i="55"/>
  <c r="BR113" i="55"/>
  <c r="BR114" i="55"/>
  <c r="BR115" i="55"/>
  <c r="BR116" i="55"/>
  <c r="BR117" i="55"/>
  <c r="BR118" i="55"/>
  <c r="BR119" i="55"/>
  <c r="BR120" i="55"/>
  <c r="BR121" i="55"/>
  <c r="BR122" i="55"/>
  <c r="BR123" i="55"/>
  <c r="BR124" i="55"/>
  <c r="BR125" i="55"/>
  <c r="BR126" i="55"/>
  <c r="BR127" i="55"/>
  <c r="BR128" i="55"/>
  <c r="BR129" i="55"/>
  <c r="BR131" i="55"/>
  <c r="BR132" i="55"/>
  <c r="BR133" i="55"/>
  <c r="BR134" i="55"/>
  <c r="BR135" i="55"/>
  <c r="BR136" i="55"/>
  <c r="BR137" i="55"/>
  <c r="BR138" i="55"/>
  <c r="BR139" i="55"/>
  <c r="BR140" i="55"/>
  <c r="BR141" i="55"/>
  <c r="BR142" i="55"/>
  <c r="BR143" i="55"/>
  <c r="BR144" i="55"/>
  <c r="BR145" i="55"/>
  <c r="BR146" i="55"/>
  <c r="BR147" i="55"/>
  <c r="BR148" i="55"/>
  <c r="BR149" i="55"/>
  <c r="BR150" i="55"/>
  <c r="BR151" i="55"/>
  <c r="BR152" i="55"/>
  <c r="BR153" i="55"/>
  <c r="BR155" i="55"/>
  <c r="BR156" i="55"/>
  <c r="BR157" i="55"/>
  <c r="BR158" i="55"/>
  <c r="BR159" i="55"/>
  <c r="BR160" i="55"/>
  <c r="BR161" i="55"/>
  <c r="BR162" i="55"/>
  <c r="BR163" i="55"/>
  <c r="BR164" i="55"/>
  <c r="BR165" i="55"/>
  <c r="BR166" i="55"/>
  <c r="BR167" i="55"/>
  <c r="BR168" i="55"/>
  <c r="BR169" i="55"/>
  <c r="BR170" i="55"/>
  <c r="BR171" i="55"/>
  <c r="BR172" i="55"/>
  <c r="BR173" i="55"/>
  <c r="BR174" i="55"/>
  <c r="BR175" i="55"/>
  <c r="BR176" i="55"/>
  <c r="BR177" i="55"/>
  <c r="BR178" i="55"/>
  <c r="BR179" i="55"/>
  <c r="BR180" i="55"/>
  <c r="BR181" i="55"/>
  <c r="BR182" i="55"/>
  <c r="BR183" i="55"/>
  <c r="BR185" i="55"/>
  <c r="BR186" i="55"/>
  <c r="BR187" i="55"/>
  <c r="BR188" i="55"/>
  <c r="BR189" i="55"/>
  <c r="BR190" i="55"/>
  <c r="BR191" i="55"/>
  <c r="BR192" i="55"/>
  <c r="BR193" i="55"/>
  <c r="BR194" i="55"/>
  <c r="BR195" i="55"/>
  <c r="BR196" i="55"/>
  <c r="BR197" i="55"/>
  <c r="BR198" i="55"/>
  <c r="BR199" i="55"/>
  <c r="BR200" i="55"/>
  <c r="BR201" i="55"/>
  <c r="BR202" i="55"/>
  <c r="BR203" i="55"/>
  <c r="BR204" i="55"/>
  <c r="BR205" i="55"/>
  <c r="BR206" i="55"/>
  <c r="BR207" i="55"/>
  <c r="BR208" i="55"/>
  <c r="BR209" i="55"/>
  <c r="BR210" i="55"/>
  <c r="BR211" i="55"/>
  <c r="BR212" i="55"/>
  <c r="BR213" i="55"/>
  <c r="BR214" i="55"/>
  <c r="BR215" i="55"/>
  <c r="BR216" i="55"/>
  <c r="BR217" i="55"/>
  <c r="BR218" i="55"/>
  <c r="BR219" i="55"/>
  <c r="BR220" i="55"/>
  <c r="BR221" i="55"/>
  <c r="BR222" i="55"/>
  <c r="BR223" i="55"/>
  <c r="BR225" i="55"/>
  <c r="BR226" i="55"/>
  <c r="BR227" i="55"/>
  <c r="BR228" i="55"/>
  <c r="BR229" i="55"/>
  <c r="BR230" i="55"/>
  <c r="BR231" i="55"/>
  <c r="BR232" i="55"/>
  <c r="BR233" i="55"/>
  <c r="BR234" i="55"/>
  <c r="BR235" i="55"/>
  <c r="BR236" i="55"/>
  <c r="BR237" i="55"/>
  <c r="BR238" i="55"/>
  <c r="BR239" i="55"/>
  <c r="BR240" i="55"/>
  <c r="BR241" i="55"/>
  <c r="BR242" i="55"/>
  <c r="BR243" i="55"/>
  <c r="BR244" i="55"/>
  <c r="BR245" i="55"/>
  <c r="BR246" i="55"/>
  <c r="BR247" i="55"/>
  <c r="BR248" i="55"/>
  <c r="BS248" i="55" s="1"/>
  <c r="GL248" i="55" s="1"/>
  <c r="BR249" i="55"/>
  <c r="BR250" i="55"/>
  <c r="BR251" i="55"/>
  <c r="BR252" i="55"/>
  <c r="BR253" i="55"/>
  <c r="BR254" i="55"/>
  <c r="BR255" i="55"/>
  <c r="BR256" i="55"/>
  <c r="BR257" i="55"/>
  <c r="BR258" i="55"/>
  <c r="BR259" i="55"/>
  <c r="BR260" i="55"/>
  <c r="BR261" i="55"/>
  <c r="BR262" i="55"/>
  <c r="BR263" i="55"/>
  <c r="BR264" i="55"/>
  <c r="BR265" i="55"/>
  <c r="BR266" i="55"/>
  <c r="BR267" i="55"/>
  <c r="BR268" i="55"/>
  <c r="BR269" i="55"/>
  <c r="BR270" i="55"/>
  <c r="BR271" i="55"/>
  <c r="BR272" i="55"/>
  <c r="BR273" i="55"/>
  <c r="BR274" i="55"/>
  <c r="BR275" i="55"/>
  <c r="BR276" i="55"/>
  <c r="BR277" i="55"/>
  <c r="BR278" i="55"/>
  <c r="BR279" i="55"/>
  <c r="BR281" i="55"/>
  <c r="BR282" i="55"/>
  <c r="BR284" i="55"/>
  <c r="BR285" i="55"/>
  <c r="BR286" i="55"/>
  <c r="BR287" i="55"/>
  <c r="BR288" i="55"/>
  <c r="BR289" i="55"/>
  <c r="BR290" i="55"/>
  <c r="BR291" i="55"/>
  <c r="BR292" i="55"/>
  <c r="BR293" i="55"/>
  <c r="BR294" i="55"/>
  <c r="BR295" i="55"/>
  <c r="BR296" i="55"/>
  <c r="BR297" i="55"/>
  <c r="BR298" i="55"/>
  <c r="BS298" i="55" s="1"/>
  <c r="GL298" i="55" s="1"/>
  <c r="BR299" i="55"/>
  <c r="BR300" i="55"/>
  <c r="BR301" i="55"/>
  <c r="BR302" i="55"/>
  <c r="BR303" i="55"/>
  <c r="BR304" i="55"/>
  <c r="BR305" i="55"/>
  <c r="BR306" i="55"/>
  <c r="BR307" i="55"/>
  <c r="BR308" i="55"/>
  <c r="BR309" i="55"/>
  <c r="BR310" i="55"/>
  <c r="BR311" i="55"/>
  <c r="BR312" i="55"/>
  <c r="BR314" i="55"/>
  <c r="BR315" i="55"/>
  <c r="BR316" i="55"/>
  <c r="BR318" i="55"/>
  <c r="BR319" i="55"/>
  <c r="BR320" i="55"/>
  <c r="BR321" i="55"/>
  <c r="BR322" i="55"/>
  <c r="BR323" i="55"/>
  <c r="BR324" i="55"/>
  <c r="BR326" i="55"/>
  <c r="BR327" i="55"/>
  <c r="BR328" i="55"/>
  <c r="BR329" i="55"/>
  <c r="BR331" i="55"/>
  <c r="BR332" i="55"/>
  <c r="BR333" i="55"/>
  <c r="BR334" i="55"/>
  <c r="BR337" i="55"/>
  <c r="BR338" i="55"/>
  <c r="BR339" i="55"/>
  <c r="BR340" i="55"/>
  <c r="BR342" i="55"/>
  <c r="BR343" i="55"/>
  <c r="BR344" i="55"/>
  <c r="BR345" i="55"/>
  <c r="BR346" i="55"/>
  <c r="BR347" i="55"/>
  <c r="BR348" i="55"/>
  <c r="BR349" i="55"/>
  <c r="BR350" i="55"/>
  <c r="BR351" i="55"/>
  <c r="BR352" i="55"/>
  <c r="BP16" i="55"/>
  <c r="BP44" i="55"/>
  <c r="BP52" i="55"/>
  <c r="BP90" i="55"/>
  <c r="BP91" i="55"/>
  <c r="BP120" i="55"/>
  <c r="BP201" i="55"/>
  <c r="BP209" i="55"/>
  <c r="BP218" i="55"/>
  <c r="BP220" i="55"/>
  <c r="BP241" i="55"/>
  <c r="BP289" i="55"/>
  <c r="BO31" i="55"/>
  <c r="BO47" i="55"/>
  <c r="BO68" i="55"/>
  <c r="BO79" i="55"/>
  <c r="BO88" i="55"/>
  <c r="BO91" i="55"/>
  <c r="BO95" i="55"/>
  <c r="BO105" i="55"/>
  <c r="BO111" i="55"/>
  <c r="BO143" i="55"/>
  <c r="BO170" i="55"/>
  <c r="BO196" i="55"/>
  <c r="BO198" i="55"/>
  <c r="BO201" i="55"/>
  <c r="BO258" i="55"/>
  <c r="BO264" i="55"/>
  <c r="BO265" i="55"/>
  <c r="BO266" i="55"/>
  <c r="BO281" i="55"/>
  <c r="BO346" i="55"/>
  <c r="BN28" i="55"/>
  <c r="BN37" i="55"/>
  <c r="BN42" i="55"/>
  <c r="BN44" i="55"/>
  <c r="BN124" i="55"/>
  <c r="S124" i="55" s="1"/>
  <c r="BN126" i="55"/>
  <c r="BN155" i="55"/>
  <c r="S155" i="55" s="1"/>
  <c r="BN156" i="55"/>
  <c r="S156" i="55" s="1"/>
  <c r="BN172" i="55"/>
  <c r="BN174" i="55"/>
  <c r="S174" i="55" s="1"/>
  <c r="BN177" i="55"/>
  <c r="S177" i="55" s="1"/>
  <c r="BN301" i="55"/>
  <c r="BN302" i="55"/>
  <c r="S302" i="55" s="1"/>
  <c r="BN316" i="55"/>
  <c r="S316" i="55" s="1"/>
  <c r="BM3" i="55"/>
  <c r="BM4" i="55"/>
  <c r="BM5" i="55"/>
  <c r="BM6" i="55"/>
  <c r="BM7" i="55"/>
  <c r="BM8" i="55"/>
  <c r="BM9" i="55"/>
  <c r="BM10" i="55"/>
  <c r="BM11" i="55"/>
  <c r="BM12" i="55"/>
  <c r="BM13" i="55"/>
  <c r="BM14" i="55"/>
  <c r="BM15" i="55"/>
  <c r="BM16" i="55"/>
  <c r="BM17" i="55"/>
  <c r="BM18" i="55"/>
  <c r="BM19" i="55"/>
  <c r="BM20" i="55"/>
  <c r="BM21" i="55"/>
  <c r="BM22" i="55"/>
  <c r="BM23" i="55"/>
  <c r="BM24" i="55"/>
  <c r="BM25" i="55"/>
  <c r="BN25" i="55" s="1"/>
  <c r="BM26" i="55"/>
  <c r="BM27" i="55"/>
  <c r="BM28" i="55"/>
  <c r="BM29" i="55"/>
  <c r="BM30" i="55"/>
  <c r="BM31" i="55"/>
  <c r="BM32" i="55"/>
  <c r="S32" i="55" s="1"/>
  <c r="BM33" i="55"/>
  <c r="BM34" i="55"/>
  <c r="BM35" i="55"/>
  <c r="BM36" i="55"/>
  <c r="BM37" i="55"/>
  <c r="BM38" i="55"/>
  <c r="BM39" i="55"/>
  <c r="BM40" i="55"/>
  <c r="BN40" i="55" s="1"/>
  <c r="BM41" i="55"/>
  <c r="BN41" i="55" s="1"/>
  <c r="BM42" i="55"/>
  <c r="BM43" i="55"/>
  <c r="BN43" i="55" s="1"/>
  <c r="BM44" i="55"/>
  <c r="S44" i="55" s="1"/>
  <c r="BM45" i="55"/>
  <c r="BN45" i="55" s="1"/>
  <c r="BM46" i="55"/>
  <c r="BN46" i="55" s="1"/>
  <c r="BM47" i="55"/>
  <c r="BN47" i="55" s="1"/>
  <c r="BM48" i="55"/>
  <c r="BM49" i="55"/>
  <c r="S49" i="55" s="1"/>
  <c r="BM50" i="55"/>
  <c r="S50" i="55" s="1"/>
  <c r="BM51" i="55"/>
  <c r="BM52" i="55"/>
  <c r="BM53" i="55"/>
  <c r="BM54" i="55"/>
  <c r="BM55" i="55"/>
  <c r="BM56" i="55"/>
  <c r="BM57" i="55"/>
  <c r="GJ57" i="55" s="1"/>
  <c r="BM58" i="55"/>
  <c r="BM59" i="55"/>
  <c r="BM60" i="55"/>
  <c r="BN60" i="55" s="1"/>
  <c r="S60" i="55" s="1"/>
  <c r="BM61" i="55"/>
  <c r="BN61" i="55" s="1"/>
  <c r="BM62" i="55"/>
  <c r="BN62" i="55" s="1"/>
  <c r="S62" i="55" s="1"/>
  <c r="BM63" i="55"/>
  <c r="BM64" i="55"/>
  <c r="BN64" i="55" s="1"/>
  <c r="BM65" i="55"/>
  <c r="BN65" i="55" s="1"/>
  <c r="S65" i="55" s="1"/>
  <c r="BM66" i="55"/>
  <c r="BM67" i="55"/>
  <c r="BM68" i="55"/>
  <c r="BM69" i="55"/>
  <c r="BM70" i="55"/>
  <c r="BM71" i="55"/>
  <c r="BM72" i="55"/>
  <c r="BM73" i="55"/>
  <c r="BM74" i="55"/>
  <c r="BM75" i="55"/>
  <c r="BM76" i="55"/>
  <c r="BM77" i="55"/>
  <c r="BM78" i="55"/>
  <c r="BM79" i="55"/>
  <c r="BM80" i="55"/>
  <c r="BM81" i="55"/>
  <c r="BN81" i="55" s="1"/>
  <c r="BM82" i="55"/>
  <c r="BM83" i="55"/>
  <c r="BM84" i="55"/>
  <c r="BM85" i="55"/>
  <c r="BM86" i="55"/>
  <c r="BM87" i="55"/>
  <c r="BM88" i="55"/>
  <c r="BM89" i="55"/>
  <c r="BM90" i="55"/>
  <c r="BM91" i="55"/>
  <c r="BM92" i="55"/>
  <c r="BM93" i="55"/>
  <c r="BM94" i="55"/>
  <c r="BM95" i="55"/>
  <c r="BM96" i="55"/>
  <c r="BM97" i="55"/>
  <c r="BM98" i="55"/>
  <c r="BM99" i="55"/>
  <c r="BM100" i="55"/>
  <c r="BM101" i="55"/>
  <c r="BM102" i="55"/>
  <c r="BM103" i="55"/>
  <c r="BM104" i="55"/>
  <c r="BM105" i="55"/>
  <c r="GJ105" i="55" s="1"/>
  <c r="BM106" i="55"/>
  <c r="BM107" i="55"/>
  <c r="BM108" i="55"/>
  <c r="BN108" i="55" s="1"/>
  <c r="S108" i="55" s="1"/>
  <c r="BM109" i="55"/>
  <c r="BM110" i="55"/>
  <c r="BM111" i="55"/>
  <c r="BN111" i="55" s="1"/>
  <c r="S111" i="55" s="1"/>
  <c r="BM112" i="55"/>
  <c r="BN112" i="55" s="1"/>
  <c r="BM113" i="55"/>
  <c r="BM114" i="55"/>
  <c r="BM115" i="55"/>
  <c r="BM116" i="55"/>
  <c r="BM117" i="55"/>
  <c r="BM118" i="55"/>
  <c r="BM119" i="55"/>
  <c r="BM120" i="55"/>
  <c r="BM121" i="55"/>
  <c r="BM122" i="55"/>
  <c r="BM123" i="55"/>
  <c r="BM124" i="55"/>
  <c r="BM125" i="55"/>
  <c r="BN125" i="55" s="1"/>
  <c r="BM126" i="55"/>
  <c r="BM127" i="55"/>
  <c r="BM128" i="55"/>
  <c r="BM129" i="55"/>
  <c r="BN129" i="55" s="1"/>
  <c r="BM130" i="55"/>
  <c r="BM131" i="55"/>
  <c r="BM132" i="55"/>
  <c r="BM133" i="55"/>
  <c r="BM134" i="55"/>
  <c r="BM135" i="55"/>
  <c r="BM136" i="55"/>
  <c r="BM137" i="55"/>
  <c r="BM138" i="55"/>
  <c r="BM139" i="55"/>
  <c r="BM140" i="55"/>
  <c r="BM141" i="55"/>
  <c r="BM142" i="55"/>
  <c r="BM143" i="55"/>
  <c r="BM144" i="55"/>
  <c r="BM145" i="55"/>
  <c r="BM146" i="55"/>
  <c r="BM147" i="55"/>
  <c r="BM148" i="55"/>
  <c r="BM149" i="55"/>
  <c r="BM150" i="55"/>
  <c r="BM151" i="55"/>
  <c r="BM152" i="55"/>
  <c r="BM153" i="55"/>
  <c r="BM154" i="55"/>
  <c r="BM155" i="55"/>
  <c r="BM156" i="55"/>
  <c r="BM157" i="55"/>
  <c r="BN157" i="55" s="1"/>
  <c r="BM158" i="55"/>
  <c r="BM159" i="55"/>
  <c r="BM160" i="55"/>
  <c r="BM161" i="55"/>
  <c r="BM162" i="55"/>
  <c r="BM163" i="55"/>
  <c r="BM164" i="55"/>
  <c r="BM165" i="55"/>
  <c r="BM166" i="55"/>
  <c r="BM167" i="55"/>
  <c r="BM168" i="55"/>
  <c r="BM169" i="55"/>
  <c r="GJ169" i="55" s="1"/>
  <c r="BM170" i="55"/>
  <c r="BM171" i="55"/>
  <c r="BM172" i="55"/>
  <c r="BM173" i="55"/>
  <c r="BM174" i="55"/>
  <c r="BM175" i="55"/>
  <c r="BM176" i="55"/>
  <c r="BM177" i="55"/>
  <c r="BM178" i="55"/>
  <c r="BM179" i="55"/>
  <c r="BM180" i="55"/>
  <c r="BM181" i="55"/>
  <c r="BM182" i="55"/>
  <c r="BM183" i="55"/>
  <c r="BM184" i="55"/>
  <c r="BM185" i="55"/>
  <c r="BM186" i="55"/>
  <c r="BM187" i="55"/>
  <c r="BM188" i="55"/>
  <c r="BM189" i="55"/>
  <c r="BM190" i="55"/>
  <c r="BN190" i="55" s="1"/>
  <c r="S190" i="55" s="1"/>
  <c r="BM191" i="55"/>
  <c r="BN191" i="55" s="1"/>
  <c r="BM192" i="55"/>
  <c r="BM193" i="55"/>
  <c r="BN193" i="55" s="1"/>
  <c r="S193" i="55" s="1"/>
  <c r="BM194" i="55"/>
  <c r="BN194" i="55" s="1"/>
  <c r="S194" i="55" s="1"/>
  <c r="BM195" i="55"/>
  <c r="BM196" i="55"/>
  <c r="BM197" i="55"/>
  <c r="BM198" i="55"/>
  <c r="BM199" i="55"/>
  <c r="BM200" i="55"/>
  <c r="BM201" i="55"/>
  <c r="BM202" i="55"/>
  <c r="BM203" i="55"/>
  <c r="BM204" i="55"/>
  <c r="BN204" i="55" s="1"/>
  <c r="BM205" i="55"/>
  <c r="BM206" i="55"/>
  <c r="BM207" i="55"/>
  <c r="BM208" i="55"/>
  <c r="BM209" i="55"/>
  <c r="BM210" i="55"/>
  <c r="BM211" i="55"/>
  <c r="BM212" i="55"/>
  <c r="BM213" i="55"/>
  <c r="BM214" i="55"/>
  <c r="BM215" i="55"/>
  <c r="BM216" i="55"/>
  <c r="BM217" i="55"/>
  <c r="BM218" i="55"/>
  <c r="BM219" i="55"/>
  <c r="BM220" i="55"/>
  <c r="BM221" i="55"/>
  <c r="BN221" i="55" s="1"/>
  <c r="BM222" i="55"/>
  <c r="BM223" i="55"/>
  <c r="BM224" i="55"/>
  <c r="BM225" i="55"/>
  <c r="BM226" i="55"/>
  <c r="BM227" i="55"/>
  <c r="BM228" i="55"/>
  <c r="BM229" i="55"/>
  <c r="BM230" i="55"/>
  <c r="BM231" i="55"/>
  <c r="BM232" i="55"/>
  <c r="BM233" i="55"/>
  <c r="BM234" i="55"/>
  <c r="BM235" i="55"/>
  <c r="BM236" i="55"/>
  <c r="BN236" i="55" s="1"/>
  <c r="S236" i="55" s="1"/>
  <c r="BM237" i="55"/>
  <c r="BM238" i="55"/>
  <c r="BM239" i="55"/>
  <c r="BM240" i="55"/>
  <c r="BM241" i="55"/>
  <c r="BM242" i="55"/>
  <c r="BM243" i="55"/>
  <c r="BM244" i="55"/>
  <c r="BM245" i="55"/>
  <c r="BM246" i="55"/>
  <c r="BM247" i="55"/>
  <c r="BM248" i="55"/>
  <c r="BM249" i="55"/>
  <c r="BM250" i="55"/>
  <c r="BM251" i="55"/>
  <c r="BM252" i="55"/>
  <c r="BM253" i="55"/>
  <c r="BM254" i="55"/>
  <c r="BM255" i="55"/>
  <c r="BM256" i="55"/>
  <c r="BM257" i="55"/>
  <c r="BN257" i="55" s="1"/>
  <c r="S257" i="55" s="1"/>
  <c r="BM258" i="55"/>
  <c r="BM259" i="55"/>
  <c r="BM260" i="55"/>
  <c r="BM261" i="55"/>
  <c r="BM262" i="55"/>
  <c r="BM263" i="55"/>
  <c r="BM264" i="55"/>
  <c r="BM265" i="55"/>
  <c r="BM266" i="55"/>
  <c r="BM267" i="55"/>
  <c r="BM268" i="55"/>
  <c r="BN268" i="55" s="1"/>
  <c r="S268" i="55" s="1"/>
  <c r="BM269" i="55"/>
  <c r="BM270" i="55"/>
  <c r="BM271" i="55"/>
  <c r="BM272" i="55"/>
  <c r="BM273" i="55"/>
  <c r="BM274" i="55"/>
  <c r="BM275" i="55"/>
  <c r="BM276" i="55"/>
  <c r="BM277" i="55"/>
  <c r="BM278" i="55"/>
  <c r="BM279" i="55"/>
  <c r="BM280" i="55"/>
  <c r="BM281" i="55"/>
  <c r="BM282" i="55"/>
  <c r="BM283" i="55"/>
  <c r="BM284" i="55"/>
  <c r="BM285" i="55"/>
  <c r="BM286" i="55"/>
  <c r="BN286" i="55" s="1"/>
  <c r="S286" i="55" s="1"/>
  <c r="BM287" i="55"/>
  <c r="BM288" i="55"/>
  <c r="BM289" i="55"/>
  <c r="BM290" i="55"/>
  <c r="BM291" i="55"/>
  <c r="BM292" i="55"/>
  <c r="BM293" i="55"/>
  <c r="BM294" i="55"/>
  <c r="BM295" i="55"/>
  <c r="BM296" i="55"/>
  <c r="BM297" i="55"/>
  <c r="BM298" i="55"/>
  <c r="BM299" i="55"/>
  <c r="BM300" i="55"/>
  <c r="BM301" i="55"/>
  <c r="BM302" i="55"/>
  <c r="BM303" i="55"/>
  <c r="BM304" i="55"/>
  <c r="BM305" i="55"/>
  <c r="BN305" i="55" s="1"/>
  <c r="S305" i="55" s="1"/>
  <c r="BM306" i="55"/>
  <c r="BN306" i="55" s="1"/>
  <c r="S306" i="55" s="1"/>
  <c r="BM307" i="55"/>
  <c r="BM308" i="55"/>
  <c r="BN308" i="55" s="1"/>
  <c r="BM309" i="55"/>
  <c r="BM310" i="55"/>
  <c r="BM311" i="55"/>
  <c r="BM312" i="55"/>
  <c r="BM313" i="55"/>
  <c r="BM314" i="55"/>
  <c r="BM315" i="55"/>
  <c r="BM316" i="55"/>
  <c r="BM317" i="55"/>
  <c r="BM318" i="55"/>
  <c r="BM319" i="55"/>
  <c r="BM320" i="55"/>
  <c r="BM321" i="55"/>
  <c r="BM322" i="55"/>
  <c r="BM323" i="55"/>
  <c r="BM324" i="55"/>
  <c r="BM325" i="55"/>
  <c r="BM326" i="55"/>
  <c r="BM327" i="55"/>
  <c r="BM328" i="55"/>
  <c r="BM329" i="55"/>
  <c r="BM330" i="55"/>
  <c r="BM331" i="55"/>
  <c r="BM332" i="55"/>
  <c r="BN332" i="55" s="1"/>
  <c r="S332" i="55" s="1"/>
  <c r="BM333" i="55"/>
  <c r="BM334" i="55"/>
  <c r="BM335" i="55"/>
  <c r="BM336" i="55"/>
  <c r="BM337" i="55"/>
  <c r="BM338" i="55"/>
  <c r="BM339" i="55"/>
  <c r="BM340" i="55"/>
  <c r="BM341" i="55"/>
  <c r="BM342" i="55"/>
  <c r="BM343" i="55"/>
  <c r="BM344" i="55"/>
  <c r="BM345" i="55"/>
  <c r="BM346" i="55"/>
  <c r="BM347" i="55"/>
  <c r="BM348" i="55"/>
  <c r="BM349" i="55"/>
  <c r="BM350" i="55"/>
  <c r="BM351" i="55"/>
  <c r="BM352" i="55"/>
  <c r="BL3" i="55"/>
  <c r="BL4" i="55"/>
  <c r="BL5" i="55"/>
  <c r="BL6" i="55"/>
  <c r="BL7" i="55"/>
  <c r="BL8" i="55"/>
  <c r="BL9" i="55"/>
  <c r="BL10" i="55"/>
  <c r="BL11" i="55"/>
  <c r="BL12" i="55"/>
  <c r="BL13" i="55"/>
  <c r="BL14" i="55"/>
  <c r="BL15" i="55"/>
  <c r="BL16" i="55"/>
  <c r="BL17" i="55"/>
  <c r="BL18" i="55"/>
  <c r="BL19" i="55"/>
  <c r="BL20" i="55"/>
  <c r="BL21" i="55"/>
  <c r="BL22" i="55"/>
  <c r="BL23" i="55"/>
  <c r="BL24" i="55"/>
  <c r="BL25" i="55"/>
  <c r="BL26" i="55"/>
  <c r="BL27" i="55"/>
  <c r="BL28" i="55"/>
  <c r="BL29" i="55"/>
  <c r="BL30" i="55"/>
  <c r="BL31" i="55"/>
  <c r="BL32" i="55"/>
  <c r="BL33" i="55"/>
  <c r="BL34" i="55"/>
  <c r="BL35" i="55"/>
  <c r="BL36" i="55"/>
  <c r="BL37" i="55"/>
  <c r="BL38" i="55"/>
  <c r="BL39" i="55"/>
  <c r="BL40" i="55"/>
  <c r="BL41" i="55"/>
  <c r="BL42" i="55"/>
  <c r="BL43" i="55"/>
  <c r="BL44" i="55"/>
  <c r="BL45" i="55"/>
  <c r="BL46" i="55"/>
  <c r="BL47" i="55"/>
  <c r="BL48" i="55"/>
  <c r="BL49" i="55"/>
  <c r="BL50" i="55"/>
  <c r="BL51" i="55"/>
  <c r="BL52" i="55"/>
  <c r="BL53" i="55"/>
  <c r="BL54" i="55"/>
  <c r="BL55" i="55"/>
  <c r="BL56" i="55"/>
  <c r="BL57" i="55"/>
  <c r="BL58" i="55"/>
  <c r="BN58" i="55" s="1"/>
  <c r="BL59" i="55"/>
  <c r="BL60" i="55"/>
  <c r="BL61" i="55"/>
  <c r="BL62" i="55"/>
  <c r="BL63" i="55"/>
  <c r="BL64" i="55"/>
  <c r="BL65" i="55"/>
  <c r="BL66" i="55"/>
  <c r="BL67" i="55"/>
  <c r="BL68" i="55"/>
  <c r="BL69" i="55"/>
  <c r="BL70" i="55"/>
  <c r="BL71" i="55"/>
  <c r="BL72" i="55"/>
  <c r="BL73" i="55"/>
  <c r="BL74" i="55"/>
  <c r="BL75" i="55"/>
  <c r="BL76" i="55"/>
  <c r="BL77" i="55"/>
  <c r="BL78" i="55"/>
  <c r="BL79" i="55"/>
  <c r="BL80" i="55"/>
  <c r="BL81" i="55"/>
  <c r="BL82" i="55"/>
  <c r="BL83" i="55"/>
  <c r="BL84" i="55"/>
  <c r="BL85" i="55"/>
  <c r="BL86" i="55"/>
  <c r="BL87" i="55"/>
  <c r="BL88" i="55"/>
  <c r="BL89" i="55"/>
  <c r="BL90" i="55"/>
  <c r="BN90" i="55" s="1"/>
  <c r="S90" i="55" s="1"/>
  <c r="BL91" i="55"/>
  <c r="BL92" i="55"/>
  <c r="BL93" i="55"/>
  <c r="BL94" i="55"/>
  <c r="BL95" i="55"/>
  <c r="BL96" i="55"/>
  <c r="BL97" i="55"/>
  <c r="BL98" i="55"/>
  <c r="BL99" i="55"/>
  <c r="BL100" i="55"/>
  <c r="BL101" i="55"/>
  <c r="BL102" i="55"/>
  <c r="BL103" i="55"/>
  <c r="BL104" i="55"/>
  <c r="BL105" i="55"/>
  <c r="BL106" i="55"/>
  <c r="BN106" i="55" s="1"/>
  <c r="S106" i="55" s="1"/>
  <c r="BL107" i="55"/>
  <c r="BL108" i="55"/>
  <c r="BL109" i="55"/>
  <c r="BL110" i="55"/>
  <c r="BL111" i="55"/>
  <c r="BL112" i="55"/>
  <c r="BL113" i="55"/>
  <c r="BL114" i="55"/>
  <c r="BL115" i="55"/>
  <c r="BL116" i="55"/>
  <c r="BL117" i="55"/>
  <c r="BL118" i="55"/>
  <c r="BL119" i="55"/>
  <c r="BL120" i="55"/>
  <c r="BL121" i="55"/>
  <c r="BL122" i="55"/>
  <c r="BN122" i="55" s="1"/>
  <c r="BL123" i="55"/>
  <c r="BL124" i="55"/>
  <c r="BL125" i="55"/>
  <c r="BL126" i="55"/>
  <c r="BL127" i="55"/>
  <c r="BL128" i="55"/>
  <c r="BL129" i="55"/>
  <c r="BL130" i="55"/>
  <c r="BL131" i="55"/>
  <c r="BL132" i="55"/>
  <c r="BL133" i="55"/>
  <c r="BL134" i="55"/>
  <c r="BL135" i="55"/>
  <c r="BL136" i="55"/>
  <c r="BL137" i="55"/>
  <c r="BL138" i="55"/>
  <c r="BN138" i="55" s="1"/>
  <c r="BL139" i="55"/>
  <c r="BL140" i="55"/>
  <c r="BL141" i="55"/>
  <c r="BL142" i="55"/>
  <c r="BL143" i="55"/>
  <c r="BL144" i="55"/>
  <c r="BL145" i="55"/>
  <c r="BL146" i="55"/>
  <c r="BL147" i="55"/>
  <c r="BL148" i="55"/>
  <c r="BL149" i="55"/>
  <c r="BL150" i="55"/>
  <c r="BL151" i="55"/>
  <c r="BL152" i="55"/>
  <c r="BL153" i="55"/>
  <c r="BL154" i="55"/>
  <c r="BL155" i="55"/>
  <c r="BL156" i="55"/>
  <c r="BL157" i="55"/>
  <c r="BL158" i="55"/>
  <c r="BL159" i="55"/>
  <c r="BL160" i="55"/>
  <c r="BL161" i="55"/>
  <c r="BL162" i="55"/>
  <c r="BL163" i="55"/>
  <c r="BL164" i="55"/>
  <c r="BL165" i="55"/>
  <c r="BL166" i="55"/>
  <c r="BL167" i="55"/>
  <c r="BL168" i="55"/>
  <c r="BL169" i="55"/>
  <c r="BL170" i="55"/>
  <c r="BN170" i="55" s="1"/>
  <c r="BL171" i="55"/>
  <c r="BL172" i="55"/>
  <c r="BL173" i="55"/>
  <c r="BL174" i="55"/>
  <c r="BL175" i="55"/>
  <c r="BL176" i="55"/>
  <c r="BL177" i="55"/>
  <c r="BL178" i="55"/>
  <c r="BL179" i="55"/>
  <c r="BL180" i="55"/>
  <c r="BL181" i="55"/>
  <c r="BL182" i="55"/>
  <c r="BL183" i="55"/>
  <c r="BL184" i="55"/>
  <c r="BL185" i="55"/>
  <c r="BL186" i="55"/>
  <c r="BL187" i="55"/>
  <c r="BL188" i="55"/>
  <c r="BL189" i="55"/>
  <c r="BL190" i="55"/>
  <c r="BL191" i="55"/>
  <c r="BL192" i="55"/>
  <c r="BL193" i="55"/>
  <c r="BL194" i="55"/>
  <c r="BL195" i="55"/>
  <c r="BL196" i="55"/>
  <c r="BL197" i="55"/>
  <c r="BL198" i="55"/>
  <c r="BL199" i="55"/>
  <c r="BL200" i="55"/>
  <c r="BL201" i="55"/>
  <c r="BL202" i="55"/>
  <c r="BL203" i="55"/>
  <c r="BL204" i="55"/>
  <c r="BL205" i="55"/>
  <c r="BL206" i="55"/>
  <c r="BL207" i="55"/>
  <c r="BL208" i="55"/>
  <c r="BL209" i="55"/>
  <c r="BL210" i="55"/>
  <c r="BL211" i="55"/>
  <c r="BL212" i="55"/>
  <c r="BL213" i="55"/>
  <c r="BL214" i="55"/>
  <c r="BL215" i="55"/>
  <c r="BL216" i="55"/>
  <c r="BL217" i="55"/>
  <c r="BL218" i="55"/>
  <c r="BL219" i="55"/>
  <c r="BL220" i="55"/>
  <c r="BL221" i="55"/>
  <c r="BL222" i="55"/>
  <c r="BL223" i="55"/>
  <c r="BL224" i="55"/>
  <c r="BL225" i="55"/>
  <c r="BL226" i="55"/>
  <c r="BL227" i="55"/>
  <c r="BL228" i="55"/>
  <c r="BL229" i="55"/>
  <c r="BL230" i="55"/>
  <c r="BL231" i="55"/>
  <c r="BL232" i="55"/>
  <c r="BL233" i="55"/>
  <c r="BL234" i="55"/>
  <c r="BN234" i="55" s="1"/>
  <c r="BL235" i="55"/>
  <c r="BL236" i="55"/>
  <c r="BL237" i="55"/>
  <c r="BL238" i="55"/>
  <c r="BL239" i="55"/>
  <c r="BL240" i="55"/>
  <c r="BL241" i="55"/>
  <c r="BL242" i="55"/>
  <c r="BL243" i="55"/>
  <c r="BL244" i="55"/>
  <c r="BL245" i="55"/>
  <c r="BL246" i="55"/>
  <c r="BL247" i="55"/>
  <c r="BL248" i="55"/>
  <c r="BL249" i="55"/>
  <c r="BL250" i="55"/>
  <c r="BL251" i="55"/>
  <c r="BL252" i="55"/>
  <c r="BL253" i="55"/>
  <c r="BL254" i="55"/>
  <c r="BL255" i="55"/>
  <c r="BL256" i="55"/>
  <c r="BL257" i="55"/>
  <c r="BL258" i="55"/>
  <c r="BL259" i="55"/>
  <c r="BL260" i="55"/>
  <c r="BL261" i="55"/>
  <c r="BL262" i="55"/>
  <c r="BL263" i="55"/>
  <c r="BL264" i="55"/>
  <c r="BL265" i="55"/>
  <c r="BL266" i="55"/>
  <c r="BN266" i="55" s="1"/>
  <c r="S266" i="55" s="1"/>
  <c r="BL267" i="55"/>
  <c r="BL268" i="55"/>
  <c r="BL269" i="55"/>
  <c r="BL270" i="55"/>
  <c r="BL271" i="55"/>
  <c r="BL272" i="55"/>
  <c r="BL273" i="55"/>
  <c r="BL274" i="55"/>
  <c r="BL275" i="55"/>
  <c r="BL276" i="55"/>
  <c r="BL277" i="55"/>
  <c r="BL278" i="55"/>
  <c r="BL279" i="55"/>
  <c r="BL280" i="55"/>
  <c r="BL281" i="55"/>
  <c r="BL282" i="55"/>
  <c r="BL283" i="55"/>
  <c r="BL284" i="55"/>
  <c r="BL285" i="55"/>
  <c r="BL286" i="55"/>
  <c r="BL287" i="55"/>
  <c r="BL288" i="55"/>
  <c r="BL289" i="55"/>
  <c r="BL290" i="55"/>
  <c r="BL291" i="55"/>
  <c r="BL292" i="55"/>
  <c r="BL293" i="55"/>
  <c r="BL294" i="55"/>
  <c r="BL295" i="55"/>
  <c r="BL296" i="55"/>
  <c r="BL297" i="55"/>
  <c r="BL298" i="55"/>
  <c r="BN298" i="55" s="1"/>
  <c r="BL299" i="55"/>
  <c r="BL300" i="55"/>
  <c r="BL301" i="55"/>
  <c r="BL302" i="55"/>
  <c r="BL303" i="55"/>
  <c r="BL304" i="55"/>
  <c r="BL305" i="55"/>
  <c r="BL306" i="55"/>
  <c r="BL307" i="55"/>
  <c r="BL308" i="55"/>
  <c r="BL309" i="55"/>
  <c r="BL310" i="55"/>
  <c r="BL311" i="55"/>
  <c r="BL312" i="55"/>
  <c r="BL313" i="55"/>
  <c r="BL314" i="55"/>
  <c r="BN314" i="55" s="1"/>
  <c r="BL315" i="55"/>
  <c r="BL316" i="55"/>
  <c r="BL317" i="55"/>
  <c r="BL318" i="55"/>
  <c r="BL319" i="55"/>
  <c r="BL320" i="55"/>
  <c r="BL321" i="55"/>
  <c r="BL322" i="55"/>
  <c r="BL323" i="55"/>
  <c r="BL324" i="55"/>
  <c r="BL325" i="55"/>
  <c r="BL326" i="55"/>
  <c r="BL327" i="55"/>
  <c r="BL328" i="55"/>
  <c r="BN328" i="55" s="1"/>
  <c r="S328" i="55" s="1"/>
  <c r="BL329" i="55"/>
  <c r="BL330" i="55"/>
  <c r="BL331" i="55"/>
  <c r="BL332" i="55"/>
  <c r="BL333" i="55"/>
  <c r="BL334" i="55"/>
  <c r="BL335" i="55"/>
  <c r="BL336" i="55"/>
  <c r="BL337" i="55"/>
  <c r="BL338" i="55"/>
  <c r="BL339" i="55"/>
  <c r="BL340" i="55"/>
  <c r="BL341" i="55"/>
  <c r="BL342" i="55"/>
  <c r="BL343" i="55"/>
  <c r="BL344" i="55"/>
  <c r="BL345" i="55"/>
  <c r="BL346" i="55"/>
  <c r="BL347" i="55"/>
  <c r="BL348" i="55"/>
  <c r="BL349" i="55"/>
  <c r="BL350" i="55"/>
  <c r="BL351" i="55"/>
  <c r="BL352" i="55"/>
  <c r="BK3" i="55"/>
  <c r="BK4" i="55"/>
  <c r="BK5" i="55"/>
  <c r="BK6" i="55"/>
  <c r="BK7" i="55"/>
  <c r="BK8" i="55"/>
  <c r="BK9" i="55"/>
  <c r="BK10" i="55"/>
  <c r="BK11" i="55"/>
  <c r="BK12" i="55"/>
  <c r="BK13" i="55"/>
  <c r="BK14" i="55"/>
  <c r="BK15" i="55"/>
  <c r="BK16" i="55"/>
  <c r="BK17" i="55"/>
  <c r="BK18" i="55"/>
  <c r="BK19" i="55"/>
  <c r="BK20" i="55"/>
  <c r="BK21" i="55"/>
  <c r="BK22" i="55"/>
  <c r="BK23" i="55"/>
  <c r="BK24" i="55"/>
  <c r="BK25" i="55"/>
  <c r="BK26" i="55"/>
  <c r="BK27" i="55"/>
  <c r="BK28" i="55"/>
  <c r="BK29" i="55"/>
  <c r="BK30" i="55"/>
  <c r="BK31" i="55"/>
  <c r="BK32" i="55"/>
  <c r="BK33" i="55"/>
  <c r="BK34" i="55"/>
  <c r="BK35" i="55"/>
  <c r="BK36" i="55"/>
  <c r="BK37" i="55"/>
  <c r="BK38" i="55"/>
  <c r="BK39" i="55"/>
  <c r="BK40" i="55"/>
  <c r="BK41" i="55"/>
  <c r="BK42" i="55"/>
  <c r="BK43" i="55"/>
  <c r="BK44" i="55"/>
  <c r="BK45" i="55"/>
  <c r="BK46" i="55"/>
  <c r="BK47" i="55"/>
  <c r="BK48" i="55"/>
  <c r="BK49" i="55"/>
  <c r="BK50" i="55"/>
  <c r="BK51" i="55"/>
  <c r="BK52" i="55"/>
  <c r="BK53" i="55"/>
  <c r="BK54" i="55"/>
  <c r="BK55" i="55"/>
  <c r="BK56" i="55"/>
  <c r="BK57" i="55"/>
  <c r="BK58" i="55"/>
  <c r="BK59" i="55"/>
  <c r="BK60" i="55"/>
  <c r="BK61" i="55"/>
  <c r="BK62" i="55"/>
  <c r="BK63" i="55"/>
  <c r="BK64" i="55"/>
  <c r="BK65" i="55"/>
  <c r="BK66" i="55"/>
  <c r="BK67" i="55"/>
  <c r="BK68" i="55"/>
  <c r="BK69" i="55"/>
  <c r="BK70" i="55"/>
  <c r="BK71" i="55"/>
  <c r="BK72" i="55"/>
  <c r="BK73" i="55"/>
  <c r="BK74" i="55"/>
  <c r="BK75" i="55"/>
  <c r="BK76" i="55"/>
  <c r="BK77" i="55"/>
  <c r="BK78" i="55"/>
  <c r="BK79" i="55"/>
  <c r="BK80" i="55"/>
  <c r="BK81" i="55"/>
  <c r="BK82" i="55"/>
  <c r="BK83" i="55"/>
  <c r="BK84" i="55"/>
  <c r="BK85" i="55"/>
  <c r="BK86" i="55"/>
  <c r="BK87" i="55"/>
  <c r="BK88" i="55"/>
  <c r="BK89" i="55"/>
  <c r="BK90" i="55"/>
  <c r="BK91" i="55"/>
  <c r="BK92" i="55"/>
  <c r="BK93" i="55"/>
  <c r="BK94" i="55"/>
  <c r="BK95" i="55"/>
  <c r="BK96" i="55"/>
  <c r="BK97" i="55"/>
  <c r="BK98" i="55"/>
  <c r="BK99" i="55"/>
  <c r="BK100" i="55"/>
  <c r="BK101" i="55"/>
  <c r="BK102" i="55"/>
  <c r="BK103" i="55"/>
  <c r="BK104" i="55"/>
  <c r="BK105" i="55"/>
  <c r="BK106" i="55"/>
  <c r="BK107" i="55"/>
  <c r="BK108" i="55"/>
  <c r="BK109" i="55"/>
  <c r="BK110" i="55"/>
  <c r="BK111" i="55"/>
  <c r="BK112" i="55"/>
  <c r="BK113" i="55"/>
  <c r="BK114" i="55"/>
  <c r="BK115" i="55"/>
  <c r="BK116" i="55"/>
  <c r="BK117" i="55"/>
  <c r="BK118" i="55"/>
  <c r="BK119" i="55"/>
  <c r="BK120" i="55"/>
  <c r="BK121" i="55"/>
  <c r="BK122" i="55"/>
  <c r="BK123" i="55"/>
  <c r="BK124" i="55"/>
  <c r="BK125" i="55"/>
  <c r="BK126" i="55"/>
  <c r="BK127" i="55"/>
  <c r="BK128" i="55"/>
  <c r="BK129" i="55"/>
  <c r="BK130" i="55"/>
  <c r="BK131" i="55"/>
  <c r="BK132" i="55"/>
  <c r="BK133" i="55"/>
  <c r="BK134" i="55"/>
  <c r="BK135" i="55"/>
  <c r="BK136" i="55"/>
  <c r="BK137" i="55"/>
  <c r="BK138" i="55"/>
  <c r="BK139" i="55"/>
  <c r="BK140" i="55"/>
  <c r="BK141" i="55"/>
  <c r="BK142" i="55"/>
  <c r="BK143" i="55"/>
  <c r="BK144" i="55"/>
  <c r="BK145" i="55"/>
  <c r="BK146" i="55"/>
  <c r="BK147" i="55"/>
  <c r="BK148" i="55"/>
  <c r="BK149" i="55"/>
  <c r="BK150" i="55"/>
  <c r="BK151" i="55"/>
  <c r="BK152" i="55"/>
  <c r="BK153" i="55"/>
  <c r="BK154" i="55"/>
  <c r="BK155" i="55"/>
  <c r="BK156" i="55"/>
  <c r="BK157" i="55"/>
  <c r="BK158" i="55"/>
  <c r="BK159" i="55"/>
  <c r="BK160" i="55"/>
  <c r="BK161" i="55"/>
  <c r="BK162" i="55"/>
  <c r="BK163" i="55"/>
  <c r="BK164" i="55"/>
  <c r="BK165" i="55"/>
  <c r="BK166" i="55"/>
  <c r="BK167" i="55"/>
  <c r="BK168" i="55"/>
  <c r="BK169" i="55"/>
  <c r="BK170" i="55"/>
  <c r="BK171" i="55"/>
  <c r="BK172" i="55"/>
  <c r="BK173" i="55"/>
  <c r="BK174" i="55"/>
  <c r="BK175" i="55"/>
  <c r="BK176" i="55"/>
  <c r="BK177" i="55"/>
  <c r="BK178" i="55"/>
  <c r="BK179" i="55"/>
  <c r="BK180" i="55"/>
  <c r="BK181" i="55"/>
  <c r="BK182" i="55"/>
  <c r="BK183" i="55"/>
  <c r="BK184" i="55"/>
  <c r="BK185" i="55"/>
  <c r="BK186" i="55"/>
  <c r="BK187" i="55"/>
  <c r="BK188" i="55"/>
  <c r="BK189" i="55"/>
  <c r="BK190" i="55"/>
  <c r="BK191" i="55"/>
  <c r="BK192" i="55"/>
  <c r="BK193" i="55"/>
  <c r="BK194" i="55"/>
  <c r="BK195" i="55"/>
  <c r="BK196" i="55"/>
  <c r="BK197" i="55"/>
  <c r="BK198" i="55"/>
  <c r="BK199" i="55"/>
  <c r="BK200" i="55"/>
  <c r="BK201" i="55"/>
  <c r="BK202" i="55"/>
  <c r="BK203" i="55"/>
  <c r="BK204" i="55"/>
  <c r="BK205" i="55"/>
  <c r="BK206" i="55"/>
  <c r="BK207" i="55"/>
  <c r="BK208" i="55"/>
  <c r="BK209" i="55"/>
  <c r="BK210" i="55"/>
  <c r="BK211" i="55"/>
  <c r="BK212" i="55"/>
  <c r="BK213" i="55"/>
  <c r="BK214" i="55"/>
  <c r="BK215" i="55"/>
  <c r="BK216" i="55"/>
  <c r="BK217" i="55"/>
  <c r="BK218" i="55"/>
  <c r="BK219" i="55"/>
  <c r="BK220" i="55"/>
  <c r="BK221" i="55"/>
  <c r="BK222" i="55"/>
  <c r="BK223" i="55"/>
  <c r="BK224" i="55"/>
  <c r="BK225" i="55"/>
  <c r="BK226" i="55"/>
  <c r="BK227" i="55"/>
  <c r="BK228" i="55"/>
  <c r="BK229" i="55"/>
  <c r="BK230" i="55"/>
  <c r="BK231" i="55"/>
  <c r="BK232" i="55"/>
  <c r="BK233" i="55"/>
  <c r="BK234" i="55"/>
  <c r="BK235" i="55"/>
  <c r="BK236" i="55"/>
  <c r="BK237" i="55"/>
  <c r="BK238" i="55"/>
  <c r="BK239" i="55"/>
  <c r="BK240" i="55"/>
  <c r="BK241" i="55"/>
  <c r="BK242" i="55"/>
  <c r="BK243" i="55"/>
  <c r="BK244" i="55"/>
  <c r="BK245" i="55"/>
  <c r="BK246" i="55"/>
  <c r="BK247" i="55"/>
  <c r="BK248" i="55"/>
  <c r="BK249" i="55"/>
  <c r="BK250" i="55"/>
  <c r="BK251" i="55"/>
  <c r="BK252" i="55"/>
  <c r="BK253" i="55"/>
  <c r="BK254" i="55"/>
  <c r="BK255" i="55"/>
  <c r="BK256" i="55"/>
  <c r="BK257" i="55"/>
  <c r="BK258" i="55"/>
  <c r="BK259" i="55"/>
  <c r="BK260" i="55"/>
  <c r="BK261" i="55"/>
  <c r="BK262" i="55"/>
  <c r="BK263" i="55"/>
  <c r="BK264" i="55"/>
  <c r="BK265" i="55"/>
  <c r="BK266" i="55"/>
  <c r="BK267" i="55"/>
  <c r="BK268" i="55"/>
  <c r="BK269" i="55"/>
  <c r="BK270" i="55"/>
  <c r="BK271" i="55"/>
  <c r="BK272" i="55"/>
  <c r="BK273" i="55"/>
  <c r="BK274" i="55"/>
  <c r="BK275" i="55"/>
  <c r="BK276" i="55"/>
  <c r="BK277" i="55"/>
  <c r="BK278" i="55"/>
  <c r="BK279" i="55"/>
  <c r="BK280" i="55"/>
  <c r="BK281" i="55"/>
  <c r="BK282" i="55"/>
  <c r="BK283" i="55"/>
  <c r="BK284" i="55"/>
  <c r="BK285" i="55"/>
  <c r="BK286" i="55"/>
  <c r="BK287" i="55"/>
  <c r="BK288" i="55"/>
  <c r="BK289" i="55"/>
  <c r="BK290" i="55"/>
  <c r="BK291" i="55"/>
  <c r="BK292" i="55"/>
  <c r="BK293" i="55"/>
  <c r="BK294" i="55"/>
  <c r="BK295" i="55"/>
  <c r="BK296" i="55"/>
  <c r="BK297" i="55"/>
  <c r="BK298" i="55"/>
  <c r="BK299" i="55"/>
  <c r="BK300" i="55"/>
  <c r="BK301" i="55"/>
  <c r="BK302" i="55"/>
  <c r="BK303" i="55"/>
  <c r="BK304" i="55"/>
  <c r="BK305" i="55"/>
  <c r="BK306" i="55"/>
  <c r="BK307" i="55"/>
  <c r="BK308" i="55"/>
  <c r="BK309" i="55"/>
  <c r="BK310" i="55"/>
  <c r="BK311" i="55"/>
  <c r="BK312" i="55"/>
  <c r="BK313" i="55"/>
  <c r="BK314" i="55"/>
  <c r="BK315" i="55"/>
  <c r="BK316" i="55"/>
  <c r="BK317" i="55"/>
  <c r="BK318" i="55"/>
  <c r="BK319" i="55"/>
  <c r="BK320" i="55"/>
  <c r="BK321" i="55"/>
  <c r="BK322" i="55"/>
  <c r="BK323" i="55"/>
  <c r="BK324" i="55"/>
  <c r="BK325" i="55"/>
  <c r="BK326" i="55"/>
  <c r="BK327" i="55"/>
  <c r="BK328" i="55"/>
  <c r="BK329" i="55"/>
  <c r="BK330" i="55"/>
  <c r="BK331" i="55"/>
  <c r="BK332" i="55"/>
  <c r="BK333" i="55"/>
  <c r="BK334" i="55"/>
  <c r="BK335" i="55"/>
  <c r="BK336" i="55"/>
  <c r="BK337" i="55"/>
  <c r="BK338" i="55"/>
  <c r="BK339" i="55"/>
  <c r="BK340" i="55"/>
  <c r="BK341" i="55"/>
  <c r="BK342" i="55"/>
  <c r="BK343" i="55"/>
  <c r="BK344" i="55"/>
  <c r="BK345" i="55"/>
  <c r="BK346" i="55"/>
  <c r="BK347" i="55"/>
  <c r="BK348" i="55"/>
  <c r="BK349" i="55"/>
  <c r="BK350" i="55"/>
  <c r="BK351" i="55"/>
  <c r="BK352" i="55"/>
  <c r="BJ3" i="55"/>
  <c r="BJ4" i="55"/>
  <c r="BJ5" i="55"/>
  <c r="BJ6" i="55"/>
  <c r="BJ7" i="55"/>
  <c r="BJ8" i="55"/>
  <c r="BJ9" i="55"/>
  <c r="BJ10" i="55"/>
  <c r="BJ11" i="55"/>
  <c r="BJ12" i="55"/>
  <c r="BJ13" i="55"/>
  <c r="BJ14" i="55"/>
  <c r="BJ15" i="55"/>
  <c r="BJ16" i="55"/>
  <c r="BJ17" i="55"/>
  <c r="BJ18" i="55"/>
  <c r="BJ19" i="55"/>
  <c r="BJ20" i="55"/>
  <c r="BJ21" i="55"/>
  <c r="BJ22" i="55"/>
  <c r="BJ23" i="55"/>
  <c r="BJ24" i="55"/>
  <c r="BJ29" i="55"/>
  <c r="BJ30" i="55"/>
  <c r="BJ31" i="55"/>
  <c r="BJ53" i="55"/>
  <c r="BJ54" i="55"/>
  <c r="BJ55" i="55"/>
  <c r="BJ56" i="55"/>
  <c r="BJ57" i="55"/>
  <c r="BJ58" i="55"/>
  <c r="BJ59" i="55"/>
  <c r="BJ60" i="55"/>
  <c r="BJ61" i="55"/>
  <c r="BJ62" i="55"/>
  <c r="BJ63" i="55"/>
  <c r="BJ64" i="55"/>
  <c r="BJ65" i="55"/>
  <c r="BJ66" i="55"/>
  <c r="BJ67" i="55"/>
  <c r="BJ68" i="55"/>
  <c r="BJ69" i="55"/>
  <c r="BJ70" i="55"/>
  <c r="BJ71" i="55"/>
  <c r="BJ72" i="55"/>
  <c r="BJ73" i="55"/>
  <c r="BJ74" i="55"/>
  <c r="BJ75" i="55"/>
  <c r="BJ76" i="55"/>
  <c r="BJ77" i="55"/>
  <c r="BJ78" i="55"/>
  <c r="BJ79" i="55"/>
  <c r="BJ80" i="55"/>
  <c r="BJ81" i="55"/>
  <c r="BJ82" i="55"/>
  <c r="BJ83" i="55"/>
  <c r="BJ84" i="55"/>
  <c r="BJ85" i="55"/>
  <c r="BJ86" i="55"/>
  <c r="BJ87" i="55"/>
  <c r="BJ88" i="55"/>
  <c r="BJ89" i="55"/>
  <c r="BJ90" i="55"/>
  <c r="BJ91" i="55"/>
  <c r="BJ92" i="55"/>
  <c r="BJ93" i="55"/>
  <c r="BJ94" i="55"/>
  <c r="BJ95" i="55"/>
  <c r="BJ96" i="55"/>
  <c r="BJ97" i="55"/>
  <c r="BJ98" i="55"/>
  <c r="BJ99" i="55"/>
  <c r="BJ100" i="55"/>
  <c r="BJ101" i="55"/>
  <c r="BJ102" i="55"/>
  <c r="BJ103" i="55"/>
  <c r="BJ104" i="55"/>
  <c r="BJ105" i="55"/>
  <c r="BJ106" i="55"/>
  <c r="BJ107" i="55"/>
  <c r="BJ108" i="55"/>
  <c r="BJ109" i="55"/>
  <c r="BJ110" i="55"/>
  <c r="BJ111" i="55"/>
  <c r="BJ112" i="55"/>
  <c r="BJ113" i="55"/>
  <c r="BJ114" i="55"/>
  <c r="BJ115" i="55"/>
  <c r="BJ116" i="55"/>
  <c r="BJ117" i="55"/>
  <c r="BJ118" i="55"/>
  <c r="BJ119" i="55"/>
  <c r="BJ120" i="55"/>
  <c r="BJ121" i="55"/>
  <c r="BJ122" i="55"/>
  <c r="BJ123" i="55"/>
  <c r="BJ124" i="55"/>
  <c r="BJ125" i="55"/>
  <c r="BJ126" i="55"/>
  <c r="BJ127" i="55"/>
  <c r="BJ128" i="55"/>
  <c r="BJ129" i="55"/>
  <c r="BJ131" i="55"/>
  <c r="BJ132" i="55"/>
  <c r="BJ133" i="55"/>
  <c r="BJ134" i="55"/>
  <c r="BJ135" i="55"/>
  <c r="BJ136" i="55"/>
  <c r="BJ137" i="55"/>
  <c r="BJ138" i="55"/>
  <c r="BJ139" i="55"/>
  <c r="BJ140" i="55"/>
  <c r="BJ141" i="55"/>
  <c r="BJ142" i="55"/>
  <c r="BJ143" i="55"/>
  <c r="BJ144" i="55"/>
  <c r="BJ145" i="55"/>
  <c r="BJ146" i="55"/>
  <c r="BJ147" i="55"/>
  <c r="BJ148" i="55"/>
  <c r="BJ149" i="55"/>
  <c r="BJ150" i="55"/>
  <c r="BJ151" i="55"/>
  <c r="BJ152" i="55"/>
  <c r="BJ153" i="55"/>
  <c r="BJ154" i="55"/>
  <c r="BJ179" i="55"/>
  <c r="BJ180" i="55"/>
  <c r="BJ181" i="55"/>
  <c r="BJ182" i="55"/>
  <c r="BJ183" i="55"/>
  <c r="BJ184" i="55"/>
  <c r="BJ195" i="55"/>
  <c r="BJ196" i="55"/>
  <c r="BJ200" i="55"/>
  <c r="BJ210" i="55"/>
  <c r="BJ211" i="55"/>
  <c r="BJ220" i="55"/>
  <c r="BJ221" i="55"/>
  <c r="BJ222" i="55"/>
  <c r="BJ223" i="55"/>
  <c r="BJ224" i="55"/>
  <c r="BJ226" i="55"/>
  <c r="BJ228" i="55"/>
  <c r="BJ230" i="55"/>
  <c r="BJ232" i="55"/>
  <c r="BJ233" i="55"/>
  <c r="BJ234" i="55"/>
  <c r="BJ235" i="55"/>
  <c r="BJ265" i="55"/>
  <c r="BJ267" i="55"/>
  <c r="BJ268" i="55"/>
  <c r="BJ270" i="55"/>
  <c r="BJ271" i="55"/>
  <c r="BJ272" i="55"/>
  <c r="BJ273" i="55"/>
  <c r="BJ274" i="55"/>
  <c r="BJ276" i="55"/>
  <c r="BJ277" i="55"/>
  <c r="BJ280" i="55"/>
  <c r="BJ282" i="55"/>
  <c r="BJ283" i="55"/>
  <c r="BJ294" i="55"/>
  <c r="BJ310" i="55"/>
  <c r="BJ311" i="55"/>
  <c r="BJ312" i="55"/>
  <c r="BJ314" i="55"/>
  <c r="BJ315" i="55"/>
  <c r="BJ316" i="55"/>
  <c r="BJ324" i="55"/>
  <c r="BJ333" i="55"/>
  <c r="BJ334" i="55"/>
  <c r="BJ335" i="55"/>
  <c r="BJ336" i="55"/>
  <c r="BJ337" i="55"/>
  <c r="BJ338" i="55"/>
  <c r="BJ339" i="55"/>
  <c r="BJ340" i="55"/>
  <c r="BJ346" i="55"/>
  <c r="BJ347" i="55"/>
  <c r="BJ348" i="55"/>
  <c r="BJ349" i="55"/>
  <c r="BJ350" i="55"/>
  <c r="BJ351" i="55"/>
  <c r="BJ352" i="55"/>
  <c r="BI14" i="55" a="1"/>
  <c r="BI14" i="55" s="1"/>
  <c r="BI17" i="55" a="1"/>
  <c r="BI17" i="55" s="1"/>
  <c r="BH3" i="55"/>
  <c r="BH4" i="55"/>
  <c r="BH5" i="55"/>
  <c r="BW5" i="55" s="1"/>
  <c r="BH6" i="55"/>
  <c r="BH7" i="55"/>
  <c r="BH8" i="55"/>
  <c r="BH9" i="55"/>
  <c r="BH10" i="55"/>
  <c r="BH11" i="55"/>
  <c r="BH12" i="55"/>
  <c r="BI12" i="55" s="1" a="1"/>
  <c r="BI12" i="55" s="1"/>
  <c r="BH13" i="55"/>
  <c r="BH14" i="55"/>
  <c r="BH15" i="55"/>
  <c r="BH16" i="55"/>
  <c r="BH17" i="55"/>
  <c r="BW17" i="55" s="1"/>
  <c r="BH18" i="55"/>
  <c r="BH19" i="55"/>
  <c r="BH20" i="55"/>
  <c r="BW20" i="55" s="1"/>
  <c r="BH21" i="55"/>
  <c r="BH22" i="55"/>
  <c r="BH23" i="55"/>
  <c r="BH24" i="55"/>
  <c r="BH25" i="55"/>
  <c r="BH26" i="55"/>
  <c r="BH27" i="55"/>
  <c r="BH28" i="55"/>
  <c r="BH29" i="55"/>
  <c r="BI29" i="55" s="1" a="1"/>
  <c r="BI29" i="55" s="1"/>
  <c r="BH30" i="55"/>
  <c r="BH31" i="55"/>
  <c r="BH32" i="55"/>
  <c r="BH33" i="55"/>
  <c r="BH34" i="55"/>
  <c r="BH35" i="55"/>
  <c r="BH36" i="55"/>
  <c r="BH37" i="55"/>
  <c r="BS37" i="55" s="1"/>
  <c r="GL37" i="55" s="1"/>
  <c r="BH38" i="55"/>
  <c r="BH39" i="55"/>
  <c r="BH40" i="55"/>
  <c r="BH41" i="55"/>
  <c r="BH42" i="55"/>
  <c r="BH43" i="55"/>
  <c r="BH44" i="55"/>
  <c r="BH45" i="55"/>
  <c r="BH46" i="55"/>
  <c r="BH47" i="55"/>
  <c r="BH48" i="55"/>
  <c r="BH49" i="55"/>
  <c r="BH50" i="55"/>
  <c r="BH51" i="55"/>
  <c r="BH52" i="55"/>
  <c r="BH53" i="55"/>
  <c r="BH54" i="55"/>
  <c r="BH55" i="55"/>
  <c r="BH56" i="55"/>
  <c r="BH57" i="55"/>
  <c r="BH58" i="55"/>
  <c r="BS58" i="55" s="1"/>
  <c r="GL58" i="55" s="1"/>
  <c r="BH59" i="55"/>
  <c r="BH60" i="55"/>
  <c r="BS60" i="55" s="1"/>
  <c r="GL60" i="55" s="1"/>
  <c r="BH61" i="55"/>
  <c r="BH62" i="55"/>
  <c r="BH63" i="55"/>
  <c r="BH64" i="55"/>
  <c r="BH65" i="55"/>
  <c r="BH66" i="55"/>
  <c r="BH67" i="55"/>
  <c r="BH68" i="55"/>
  <c r="BH69" i="55"/>
  <c r="BH70" i="55"/>
  <c r="BH71" i="55"/>
  <c r="BH72" i="55"/>
  <c r="BH73" i="55"/>
  <c r="BH74" i="55"/>
  <c r="BS74" i="55" s="1"/>
  <c r="GL74" i="55" s="1"/>
  <c r="BH75" i="55"/>
  <c r="BS75" i="55" s="1"/>
  <c r="GL75" i="55" s="1"/>
  <c r="BH76" i="55"/>
  <c r="BS76" i="55" s="1"/>
  <c r="GL76" i="55" s="1"/>
  <c r="BH77" i="55"/>
  <c r="BH78" i="55"/>
  <c r="BH79" i="55"/>
  <c r="BW79" i="55" s="1"/>
  <c r="BH80" i="55"/>
  <c r="BH81" i="55"/>
  <c r="BH82" i="55"/>
  <c r="BH83" i="55"/>
  <c r="BH84" i="55"/>
  <c r="BH85" i="55"/>
  <c r="BH86" i="55"/>
  <c r="BH87" i="55"/>
  <c r="BH88" i="55"/>
  <c r="BH89" i="55"/>
  <c r="BH90" i="55"/>
  <c r="BH91" i="55"/>
  <c r="BH92" i="55"/>
  <c r="BH93" i="55"/>
  <c r="BH94" i="55"/>
  <c r="BH95" i="55"/>
  <c r="BS95" i="55" s="1"/>
  <c r="GL95" i="55" s="1"/>
  <c r="BH96" i="55"/>
  <c r="BH97" i="55"/>
  <c r="BH98" i="55"/>
  <c r="BH99" i="55"/>
  <c r="BH100" i="55"/>
  <c r="BH101" i="55"/>
  <c r="BH102" i="55"/>
  <c r="BH103" i="55"/>
  <c r="BH104" i="55"/>
  <c r="BH105" i="55"/>
  <c r="BH106" i="55"/>
  <c r="BH107" i="55"/>
  <c r="BS107" i="55" s="1"/>
  <c r="GL107" i="55" s="1"/>
  <c r="BH108" i="55"/>
  <c r="BH109" i="55"/>
  <c r="BH110" i="55"/>
  <c r="BS110" i="55" s="1"/>
  <c r="GL110" i="55" s="1"/>
  <c r="BH111" i="55"/>
  <c r="BH112" i="55"/>
  <c r="BH113" i="55"/>
  <c r="BH114" i="55"/>
  <c r="BH115" i="55"/>
  <c r="BH116" i="55"/>
  <c r="BH117" i="55"/>
  <c r="BH118" i="55"/>
  <c r="BH119" i="55"/>
  <c r="BH120" i="55"/>
  <c r="BH121" i="55"/>
  <c r="BH122" i="55"/>
  <c r="BH123" i="55"/>
  <c r="BH124" i="55"/>
  <c r="BH125" i="55"/>
  <c r="BH126" i="55"/>
  <c r="BH127" i="55"/>
  <c r="BI127" i="55" s="1" a="1"/>
  <c r="BI127" i="55" s="1"/>
  <c r="BH128" i="55"/>
  <c r="BH129" i="55"/>
  <c r="BH130" i="55"/>
  <c r="BH131" i="55"/>
  <c r="BH132" i="55"/>
  <c r="BH133" i="55"/>
  <c r="BH134" i="55"/>
  <c r="BH135" i="55"/>
  <c r="BH136" i="55"/>
  <c r="BH137" i="55"/>
  <c r="BH138" i="55"/>
  <c r="BH139" i="55"/>
  <c r="BS139" i="55" s="1"/>
  <c r="GL139" i="55" s="1"/>
  <c r="BH140" i="55"/>
  <c r="BS140" i="55" s="1"/>
  <c r="GL140" i="55" s="1"/>
  <c r="BH141" i="55"/>
  <c r="BH142" i="55"/>
  <c r="BH143" i="55"/>
  <c r="BH144" i="55"/>
  <c r="BH145" i="55"/>
  <c r="BH146" i="55"/>
  <c r="BH147" i="55"/>
  <c r="BH148" i="55"/>
  <c r="BH149" i="55"/>
  <c r="BW149" i="55" s="1"/>
  <c r="BH150" i="55"/>
  <c r="BH151" i="55"/>
  <c r="BH152" i="55"/>
  <c r="BH153" i="55"/>
  <c r="BH154" i="55"/>
  <c r="BH155" i="55"/>
  <c r="BS155" i="55" s="1"/>
  <c r="GL155" i="55" s="1"/>
  <c r="BH156" i="55"/>
  <c r="BH157" i="55"/>
  <c r="BH158" i="55"/>
  <c r="BH159" i="55"/>
  <c r="BH160" i="55"/>
  <c r="BH161" i="55"/>
  <c r="BH162" i="55"/>
  <c r="BW162" i="55" s="1"/>
  <c r="BH163" i="55"/>
  <c r="BW163" i="55" s="1"/>
  <c r="BH164" i="55"/>
  <c r="BW164" i="55" s="1"/>
  <c r="BH165" i="55"/>
  <c r="BH166" i="55"/>
  <c r="BH167" i="55"/>
  <c r="BH168" i="55"/>
  <c r="BH169" i="55"/>
  <c r="BH170" i="55"/>
  <c r="BH171" i="55"/>
  <c r="BH172" i="55"/>
  <c r="BH173" i="55"/>
  <c r="BH174" i="55"/>
  <c r="BH175" i="55"/>
  <c r="BH176" i="55"/>
  <c r="BH177" i="55"/>
  <c r="BH178" i="55"/>
  <c r="BH179" i="55"/>
  <c r="BH180" i="55"/>
  <c r="BH181" i="55"/>
  <c r="BH182" i="55"/>
  <c r="BH183" i="55"/>
  <c r="BH184" i="55"/>
  <c r="BH185" i="55"/>
  <c r="BH186" i="55"/>
  <c r="BH187" i="55"/>
  <c r="BS187" i="55" s="1"/>
  <c r="GL187" i="55" s="1"/>
  <c r="BH188" i="55"/>
  <c r="BH189" i="55"/>
  <c r="BS189" i="55" s="1"/>
  <c r="GL189" i="55" s="1"/>
  <c r="BH190" i="55"/>
  <c r="BS190" i="55" s="1"/>
  <c r="GL190" i="55" s="1"/>
  <c r="BH191" i="55"/>
  <c r="BH192" i="55"/>
  <c r="BH193" i="55"/>
  <c r="FG193" i="55" s="1"/>
  <c r="BH194" i="55"/>
  <c r="BH195" i="55"/>
  <c r="BH196" i="55"/>
  <c r="BI196" i="55" s="1" a="1"/>
  <c r="BI196" i="55" s="1"/>
  <c r="BH197" i="55"/>
  <c r="BH198" i="55"/>
  <c r="BH199" i="55"/>
  <c r="BH200" i="55"/>
  <c r="BH201" i="55"/>
  <c r="BH202" i="55"/>
  <c r="BH203" i="55"/>
  <c r="BH204" i="55"/>
  <c r="BH205" i="55"/>
  <c r="BH206" i="55"/>
  <c r="BH207" i="55"/>
  <c r="BH208" i="55"/>
  <c r="BH209" i="55"/>
  <c r="FG209" i="55" s="1"/>
  <c r="BH210" i="55"/>
  <c r="BW210" i="55" s="1"/>
  <c r="BH211" i="55"/>
  <c r="BH212" i="55"/>
  <c r="BH213" i="55"/>
  <c r="BH214" i="55"/>
  <c r="BH215" i="55"/>
  <c r="BH216" i="55"/>
  <c r="BH217" i="55"/>
  <c r="BH218" i="55"/>
  <c r="BH219" i="55"/>
  <c r="BS219" i="55" s="1"/>
  <c r="GL219" i="55" s="1"/>
  <c r="BH220" i="55"/>
  <c r="BH221" i="55"/>
  <c r="BH222" i="55"/>
  <c r="BS222" i="55" s="1"/>
  <c r="GL222" i="55" s="1"/>
  <c r="BH223" i="55"/>
  <c r="BH224" i="55"/>
  <c r="BH225" i="55"/>
  <c r="BH226" i="55"/>
  <c r="BH227" i="55"/>
  <c r="BH228" i="55"/>
  <c r="BH229" i="55"/>
  <c r="BH230" i="55"/>
  <c r="BI230" i="55" s="1" a="1"/>
  <c r="BI230" i="55" s="1"/>
  <c r="BH231" i="55"/>
  <c r="BH232" i="55"/>
  <c r="BH233" i="55"/>
  <c r="BH234" i="55"/>
  <c r="BH235" i="55"/>
  <c r="BH236" i="55"/>
  <c r="BH237" i="55"/>
  <c r="BH238" i="55"/>
  <c r="BH239" i="55"/>
  <c r="BH240" i="55"/>
  <c r="BH241" i="55"/>
  <c r="BH242" i="55"/>
  <c r="BH243" i="55"/>
  <c r="BW243" i="55" s="1"/>
  <c r="BH244" i="55"/>
  <c r="BH245" i="55"/>
  <c r="BH246" i="55"/>
  <c r="BW246" i="55" s="1"/>
  <c r="BH247" i="55"/>
  <c r="BH248" i="55"/>
  <c r="BH249" i="55"/>
  <c r="BH250" i="55"/>
  <c r="BH251" i="55"/>
  <c r="BH252" i="55"/>
  <c r="BS252" i="55" s="1"/>
  <c r="GL252" i="55" s="1"/>
  <c r="BH253" i="55"/>
  <c r="BH254" i="55"/>
  <c r="BH255" i="55"/>
  <c r="BH256" i="55"/>
  <c r="BH257" i="55"/>
  <c r="BH258" i="55"/>
  <c r="BH259" i="55"/>
  <c r="BH260" i="55"/>
  <c r="BH261" i="55"/>
  <c r="BH262" i="55"/>
  <c r="BH263" i="55"/>
  <c r="BH264" i="55"/>
  <c r="BH265" i="55"/>
  <c r="BH266" i="55"/>
  <c r="BH267" i="55"/>
  <c r="BS267" i="55" s="1"/>
  <c r="GL267" i="55" s="1"/>
  <c r="BH268" i="55"/>
  <c r="BS268" i="55" s="1"/>
  <c r="GL268" i="55" s="1"/>
  <c r="BH269" i="55"/>
  <c r="BH270" i="55"/>
  <c r="BH271" i="55"/>
  <c r="BH272" i="55"/>
  <c r="BH273" i="55"/>
  <c r="BH274" i="55"/>
  <c r="BW274" i="55" s="1"/>
  <c r="BH275" i="55"/>
  <c r="BH276" i="55"/>
  <c r="BH277" i="55"/>
  <c r="BH278" i="55"/>
  <c r="BH279" i="55"/>
  <c r="BH280" i="55"/>
  <c r="BH281" i="55"/>
  <c r="BH282" i="55"/>
  <c r="BS282" i="55" s="1"/>
  <c r="GL282" i="55" s="1"/>
  <c r="BH283" i="55"/>
  <c r="BH284" i="55"/>
  <c r="BH285" i="55"/>
  <c r="BH286" i="55"/>
  <c r="BH287" i="55"/>
  <c r="BH288" i="55"/>
  <c r="BH289" i="55"/>
  <c r="BH290" i="55"/>
  <c r="BH291" i="55"/>
  <c r="BH292" i="55"/>
  <c r="BW292" i="55" s="1"/>
  <c r="BH293" i="55"/>
  <c r="BH294" i="55"/>
  <c r="BI294" i="55" s="1" a="1"/>
  <c r="BI294" i="55" s="1"/>
  <c r="BH295" i="55"/>
  <c r="BH296" i="55"/>
  <c r="BH297" i="55"/>
  <c r="BH298" i="55"/>
  <c r="BH299" i="55"/>
  <c r="BH300" i="55"/>
  <c r="BH301" i="55"/>
  <c r="BH302" i="55"/>
  <c r="BH303" i="55"/>
  <c r="BH304" i="55"/>
  <c r="BH305" i="55"/>
  <c r="BH306" i="55"/>
  <c r="BH307" i="55"/>
  <c r="BH308" i="55"/>
  <c r="BH309" i="55"/>
  <c r="BH310" i="55"/>
  <c r="BH311" i="55"/>
  <c r="BH312" i="55"/>
  <c r="BH313" i="55"/>
  <c r="BH314" i="55"/>
  <c r="BH315" i="55"/>
  <c r="BH316" i="55"/>
  <c r="BH317" i="55"/>
  <c r="BH318" i="55"/>
  <c r="BH319" i="55"/>
  <c r="BH320" i="55"/>
  <c r="BH321" i="55"/>
  <c r="BH322" i="55"/>
  <c r="BH323" i="55"/>
  <c r="BS323" i="55" s="1"/>
  <c r="GL323" i="55" s="1"/>
  <c r="BH324" i="55"/>
  <c r="BH325" i="55"/>
  <c r="BH326" i="55"/>
  <c r="BH327" i="55"/>
  <c r="BH328" i="55"/>
  <c r="BH329" i="55"/>
  <c r="BH330" i="55"/>
  <c r="BH331" i="55"/>
  <c r="BS331" i="55" s="1"/>
  <c r="GL331" i="55" s="1"/>
  <c r="BH332" i="55"/>
  <c r="BH333" i="55"/>
  <c r="BH334" i="55"/>
  <c r="BH335" i="55"/>
  <c r="BH336" i="55"/>
  <c r="BH337" i="55"/>
  <c r="BH338" i="55"/>
  <c r="BW338" i="55" s="1"/>
  <c r="BH339" i="55"/>
  <c r="BW339" i="55" s="1"/>
  <c r="BH340" i="55"/>
  <c r="BH341" i="55"/>
  <c r="BH342" i="55"/>
  <c r="BH343" i="55"/>
  <c r="BH344" i="55"/>
  <c r="BH345" i="55"/>
  <c r="BH346" i="55"/>
  <c r="BH347" i="55"/>
  <c r="BH348" i="55"/>
  <c r="BH349" i="55"/>
  <c r="BH350" i="55"/>
  <c r="BH351" i="55"/>
  <c r="BH352" i="55"/>
  <c r="BG16" i="55"/>
  <c r="BG20" i="55"/>
  <c r="BG29" i="55"/>
  <c r="BG31" i="55"/>
  <c r="BG64" i="55"/>
  <c r="BG66" i="55"/>
  <c r="BG67" i="55"/>
  <c r="BG77" i="55"/>
  <c r="BG99" i="55"/>
  <c r="BG205" i="55"/>
  <c r="BG230" i="55"/>
  <c r="BG232" i="55"/>
  <c r="BG249" i="55"/>
  <c r="BG265" i="55"/>
  <c r="BG289" i="55"/>
  <c r="BG351" i="55"/>
  <c r="BF3" i="55"/>
  <c r="BG3" i="55" s="1"/>
  <c r="BI3" i="55" s="1" a="1"/>
  <c r="BI3" i="55" s="1"/>
  <c r="BF4" i="55"/>
  <c r="BG4" i="55" s="1"/>
  <c r="BF6" i="55"/>
  <c r="BG6" i="55" s="1"/>
  <c r="BF7" i="55"/>
  <c r="BG7" i="55" s="1"/>
  <c r="BF8" i="55"/>
  <c r="BG8" i="55" s="1"/>
  <c r="BF13" i="55"/>
  <c r="BG13" i="55" s="1"/>
  <c r="BF23" i="55"/>
  <c r="BG23" i="55" s="1"/>
  <c r="BF29" i="55"/>
  <c r="BF38" i="55"/>
  <c r="BG38" i="55" s="1"/>
  <c r="BF39" i="55"/>
  <c r="BG39" i="55" s="1"/>
  <c r="BF40" i="55"/>
  <c r="BG40" i="55" s="1"/>
  <c r="BF45" i="55"/>
  <c r="BG45" i="55" s="1"/>
  <c r="BF48" i="55"/>
  <c r="BG48" i="55" s="1"/>
  <c r="BF54" i="55"/>
  <c r="BG54" i="55" s="1"/>
  <c r="BF58" i="55"/>
  <c r="BG58" i="55" s="1"/>
  <c r="BF61" i="55"/>
  <c r="BG61" i="55" s="1"/>
  <c r="BF77" i="55"/>
  <c r="BF80" i="55"/>
  <c r="BG80" i="55" s="1"/>
  <c r="BF88" i="55"/>
  <c r="BG88" i="55" s="1"/>
  <c r="BF93" i="55"/>
  <c r="BG93" i="55" s="1"/>
  <c r="BF109" i="55"/>
  <c r="BG109" i="55" s="1"/>
  <c r="BF111" i="55"/>
  <c r="BG111" i="55" s="1"/>
  <c r="BF112" i="55"/>
  <c r="BG112" i="55" s="1"/>
  <c r="BF125" i="55"/>
  <c r="BG125" i="55" s="1"/>
  <c r="BF127" i="55"/>
  <c r="BG127" i="55" s="1"/>
  <c r="BF128" i="55"/>
  <c r="BG128" i="55" s="1"/>
  <c r="BF129" i="55"/>
  <c r="BG129" i="55" s="1"/>
  <c r="BI129" i="55" s="1" a="1"/>
  <c r="BI129" i="55" s="1"/>
  <c r="BF130" i="55"/>
  <c r="BG130" i="55" s="1"/>
  <c r="BF136" i="55"/>
  <c r="BG136" i="55" s="1"/>
  <c r="BF141" i="55"/>
  <c r="BG141" i="55" s="1"/>
  <c r="BF161" i="55"/>
  <c r="BG161" i="55" s="1"/>
  <c r="BF166" i="55"/>
  <c r="BG166" i="55" s="1"/>
  <c r="BF167" i="55"/>
  <c r="BG167" i="55" s="1"/>
  <c r="BF173" i="55"/>
  <c r="BG173" i="55" s="1"/>
  <c r="BF175" i="55"/>
  <c r="BG175" i="55" s="1"/>
  <c r="BF176" i="55"/>
  <c r="BG176" i="55" s="1"/>
  <c r="BF182" i="55"/>
  <c r="BG182" i="55" s="1"/>
  <c r="BF183" i="55"/>
  <c r="BG183" i="55" s="1"/>
  <c r="BF189" i="55"/>
  <c r="BG189" i="55" s="1"/>
  <c r="BI189" i="55" s="1" a="1"/>
  <c r="BI189" i="55" s="1"/>
  <c r="C189" i="55" s="1"/>
  <c r="BJ189" i="55" s="1"/>
  <c r="BF197" i="55"/>
  <c r="BG197" i="55" s="1"/>
  <c r="BF200" i="55"/>
  <c r="BG200" i="55" s="1"/>
  <c r="BF205" i="55"/>
  <c r="BF221" i="55"/>
  <c r="BG221" i="55" s="1"/>
  <c r="BF224" i="55"/>
  <c r="BG224" i="55" s="1"/>
  <c r="BF225" i="55"/>
  <c r="BG225" i="55" s="1"/>
  <c r="BF232" i="55"/>
  <c r="BF239" i="55"/>
  <c r="BG239" i="55" s="1"/>
  <c r="BF247" i="55"/>
  <c r="BG247" i="55" s="1"/>
  <c r="BF253" i="55"/>
  <c r="BG253" i="55" s="1"/>
  <c r="BF262" i="55"/>
  <c r="BG262" i="55" s="1"/>
  <c r="BF269" i="55"/>
  <c r="BG269" i="55" s="1"/>
  <c r="BF278" i="55"/>
  <c r="BG278" i="55" s="1"/>
  <c r="BF279" i="55"/>
  <c r="BG279" i="55" s="1"/>
  <c r="BF288" i="55"/>
  <c r="BG288" i="55" s="1"/>
  <c r="BF294" i="55"/>
  <c r="BG294" i="55" s="1"/>
  <c r="BF295" i="55"/>
  <c r="BG295" i="55" s="1"/>
  <c r="BF301" i="55"/>
  <c r="BG301" i="55" s="1"/>
  <c r="BF303" i="55"/>
  <c r="BG303" i="55" s="1"/>
  <c r="BF305" i="55"/>
  <c r="BG305" i="55" s="1"/>
  <c r="BF307" i="55"/>
  <c r="BG307" i="55" s="1"/>
  <c r="BF317" i="55"/>
  <c r="BG317" i="55" s="1"/>
  <c r="BF319" i="55"/>
  <c r="BG319" i="55" s="1"/>
  <c r="BF328" i="55"/>
  <c r="BG328" i="55" s="1"/>
  <c r="BF342" i="55"/>
  <c r="BG342" i="55" s="1"/>
  <c r="BF343" i="55"/>
  <c r="BG343" i="55" s="1"/>
  <c r="BF344" i="55"/>
  <c r="BG344" i="55" s="1"/>
  <c r="BF349" i="55"/>
  <c r="BG349" i="55" s="1"/>
  <c r="BE13" i="55"/>
  <c r="BE16" i="55"/>
  <c r="BE17" i="55"/>
  <c r="BE19" i="55"/>
  <c r="BE20" i="55"/>
  <c r="BE25" i="55"/>
  <c r="BE29" i="55"/>
  <c r="BE38" i="55"/>
  <c r="BE39" i="55"/>
  <c r="BE45" i="55"/>
  <c r="BE64" i="55"/>
  <c r="BE66" i="55"/>
  <c r="BE71" i="55"/>
  <c r="P71" i="55" s="1"/>
  <c r="FA71" i="55" s="1"/>
  <c r="BE77" i="55"/>
  <c r="BE79" i="55"/>
  <c r="BE82" i="55"/>
  <c r="BE86" i="55"/>
  <c r="BE87" i="55"/>
  <c r="BE88" i="55"/>
  <c r="BE109" i="55"/>
  <c r="BE118" i="55"/>
  <c r="BE119" i="55"/>
  <c r="BE120" i="55"/>
  <c r="P120" i="55" s="1"/>
  <c r="FA120" i="55" s="1"/>
  <c r="BE121" i="55"/>
  <c r="P121" i="55" s="1"/>
  <c r="FA121" i="55" s="1"/>
  <c r="BE125" i="55"/>
  <c r="BE129" i="55"/>
  <c r="P129" i="55" s="1"/>
  <c r="BE130" i="55"/>
  <c r="BE141" i="55"/>
  <c r="BE147" i="55"/>
  <c r="BE151" i="55"/>
  <c r="BE153" i="55"/>
  <c r="BE154" i="55"/>
  <c r="BE157" i="55"/>
  <c r="BE166" i="55"/>
  <c r="BE173" i="55"/>
  <c r="BE176" i="55"/>
  <c r="BE177" i="55"/>
  <c r="BE189" i="55"/>
  <c r="BE198" i="55"/>
  <c r="BE200" i="55"/>
  <c r="P200" i="55" s="1"/>
  <c r="FA200" i="55" s="1"/>
  <c r="BE202" i="55"/>
  <c r="P202" i="55" s="1"/>
  <c r="BE205" i="55"/>
  <c r="BE207" i="55"/>
  <c r="BE214" i="55"/>
  <c r="BE215" i="55"/>
  <c r="BE221" i="55"/>
  <c r="BE232" i="55"/>
  <c r="BE237" i="55"/>
  <c r="BE248" i="55"/>
  <c r="BE249" i="55"/>
  <c r="P249" i="55" s="1"/>
  <c r="FA249" i="55" s="1"/>
  <c r="BE250" i="55"/>
  <c r="BE255" i="55"/>
  <c r="BE262" i="55"/>
  <c r="BE265" i="55"/>
  <c r="P265" i="55" s="1"/>
  <c r="FA265" i="55" s="1"/>
  <c r="BE266" i="55"/>
  <c r="BE269" i="55"/>
  <c r="BE285" i="55"/>
  <c r="BE301" i="55"/>
  <c r="BE305" i="55"/>
  <c r="BE306" i="55"/>
  <c r="BE317" i="55"/>
  <c r="BE319" i="55"/>
  <c r="BE335" i="55"/>
  <c r="BE337" i="55"/>
  <c r="BE338" i="55"/>
  <c r="BE342" i="55"/>
  <c r="BE344" i="55"/>
  <c r="BE345" i="55"/>
  <c r="BE349" i="55"/>
  <c r="BD3" i="55"/>
  <c r="BE3" i="55" s="1"/>
  <c r="BD4" i="55"/>
  <c r="BE4" i="55" s="1"/>
  <c r="BD5" i="55"/>
  <c r="BD6" i="55"/>
  <c r="BE6" i="55" s="1"/>
  <c r="BD7" i="55"/>
  <c r="BE7" i="55" s="1"/>
  <c r="BD8" i="55"/>
  <c r="BE8" i="55" s="1"/>
  <c r="BD9" i="55"/>
  <c r="BD10" i="55"/>
  <c r="BD11" i="55"/>
  <c r="BD12" i="55"/>
  <c r="BD13" i="55"/>
  <c r="BD14" i="55"/>
  <c r="BD15" i="55"/>
  <c r="BE15" i="55" s="1"/>
  <c r="BD16" i="55"/>
  <c r="BF16" i="55" s="1"/>
  <c r="BD17" i="55"/>
  <c r="BF17" i="55" s="1"/>
  <c r="BG17" i="55" s="1"/>
  <c r="BD18" i="55"/>
  <c r="BE18" i="55" s="1"/>
  <c r="BD19" i="55"/>
  <c r="BF19" i="55" s="1"/>
  <c r="BG19" i="55" s="1"/>
  <c r="BD20" i="55"/>
  <c r="BF20" i="55" s="1"/>
  <c r="BD21" i="55"/>
  <c r="BD22" i="55"/>
  <c r="BE22" i="55" s="1"/>
  <c r="BD23" i="55"/>
  <c r="BE23" i="55" s="1"/>
  <c r="BD24" i="55"/>
  <c r="BD25" i="55"/>
  <c r="BF25" i="55" s="1"/>
  <c r="BG25" i="55" s="1"/>
  <c r="BD26" i="55"/>
  <c r="BD27" i="55"/>
  <c r="BD28" i="55"/>
  <c r="BD29" i="55"/>
  <c r="BD30" i="55"/>
  <c r="BD31" i="55"/>
  <c r="BF31" i="55" s="1"/>
  <c r="BD32" i="55"/>
  <c r="BD33" i="55"/>
  <c r="BF33" i="55" s="1"/>
  <c r="BG33" i="55" s="1"/>
  <c r="BD34" i="55"/>
  <c r="BE34" i="55" s="1"/>
  <c r="BD35" i="55"/>
  <c r="BE35" i="55" s="1"/>
  <c r="BD36" i="55"/>
  <c r="BF36" i="55" s="1"/>
  <c r="BG36" i="55" s="1"/>
  <c r="BD37" i="55"/>
  <c r="BF37" i="55" s="1"/>
  <c r="BG37" i="55" s="1"/>
  <c r="BD38" i="55"/>
  <c r="BD39" i="55"/>
  <c r="BD40" i="55"/>
  <c r="BE40" i="55" s="1"/>
  <c r="BD41" i="55"/>
  <c r="BD42" i="55"/>
  <c r="BE42" i="55" s="1"/>
  <c r="BD43" i="55"/>
  <c r="BE43" i="55" s="1"/>
  <c r="P43" i="55" s="1"/>
  <c r="BD44" i="55"/>
  <c r="BD45" i="55"/>
  <c r="BD46" i="55"/>
  <c r="BD47" i="55"/>
  <c r="BD48" i="55"/>
  <c r="BE48" i="55" s="1"/>
  <c r="BD49" i="55"/>
  <c r="BF49" i="55" s="1"/>
  <c r="BG49" i="55" s="1"/>
  <c r="BD50" i="55"/>
  <c r="BD51" i="55"/>
  <c r="BD52" i="55"/>
  <c r="BE52" i="55" s="1"/>
  <c r="BD53" i="55"/>
  <c r="BE53" i="55" s="1"/>
  <c r="BD54" i="55"/>
  <c r="BE54" i="55" s="1"/>
  <c r="BD55" i="55"/>
  <c r="BF55" i="55" s="1"/>
  <c r="BG55" i="55" s="1"/>
  <c r="BD56" i="55"/>
  <c r="BD57" i="55"/>
  <c r="BF57" i="55" s="1"/>
  <c r="BG57" i="55" s="1"/>
  <c r="BD58" i="55"/>
  <c r="BE58" i="55" s="1"/>
  <c r="BD59" i="55"/>
  <c r="BD60" i="55"/>
  <c r="BD61" i="55"/>
  <c r="BE61" i="55" s="1"/>
  <c r="BD62" i="55"/>
  <c r="BD63" i="55"/>
  <c r="BF63" i="55" s="1"/>
  <c r="BG63" i="55" s="1"/>
  <c r="BD64" i="55"/>
  <c r="BF64" i="55" s="1"/>
  <c r="BD65" i="55"/>
  <c r="BF65" i="55" s="1"/>
  <c r="BG65" i="55" s="1"/>
  <c r="BD66" i="55"/>
  <c r="BF66" i="55" s="1"/>
  <c r="BD67" i="55"/>
  <c r="BF67" i="55" s="1"/>
  <c r="BD68" i="55"/>
  <c r="BF68" i="55" s="1"/>
  <c r="BG68" i="55" s="1"/>
  <c r="BD69" i="55"/>
  <c r="BF69" i="55" s="1"/>
  <c r="BG69" i="55" s="1"/>
  <c r="BD70" i="55"/>
  <c r="BE70" i="55" s="1"/>
  <c r="BD71" i="55"/>
  <c r="BF71" i="55" s="1"/>
  <c r="BG71" i="55" s="1"/>
  <c r="BD72" i="55"/>
  <c r="BD73" i="55"/>
  <c r="BD74" i="55"/>
  <c r="BF74" i="55" s="1"/>
  <c r="BG74" i="55" s="1"/>
  <c r="BD75" i="55"/>
  <c r="BE75" i="55" s="1"/>
  <c r="P75" i="55" s="1"/>
  <c r="BD76" i="55"/>
  <c r="BD77" i="55"/>
  <c r="BD78" i="55"/>
  <c r="BD79" i="55"/>
  <c r="BF79" i="55" s="1"/>
  <c r="BG79" i="55" s="1"/>
  <c r="BD80" i="55"/>
  <c r="BE80" i="55" s="1"/>
  <c r="BD81" i="55"/>
  <c r="BE81" i="55" s="1"/>
  <c r="BD82" i="55"/>
  <c r="BF82" i="55" s="1"/>
  <c r="BG82" i="55" s="1"/>
  <c r="BD83" i="55"/>
  <c r="BD84" i="55"/>
  <c r="BD85" i="55"/>
  <c r="BE85" i="55" s="1"/>
  <c r="BD86" i="55"/>
  <c r="BF86" i="55" s="1"/>
  <c r="BG86" i="55" s="1"/>
  <c r="BD87" i="55"/>
  <c r="BF87" i="55" s="1"/>
  <c r="BG87" i="55" s="1"/>
  <c r="BD88" i="55"/>
  <c r="BD89" i="55"/>
  <c r="BF89" i="55" s="1"/>
  <c r="BG89" i="55" s="1"/>
  <c r="BD90" i="55"/>
  <c r="BE90" i="55" s="1"/>
  <c r="BD91" i="55"/>
  <c r="BE91" i="55" s="1"/>
  <c r="BD92" i="55"/>
  <c r="BD93" i="55"/>
  <c r="BE93" i="55" s="1"/>
  <c r="BD94" i="55"/>
  <c r="BE94" i="55" s="1"/>
  <c r="BD95" i="55"/>
  <c r="BE95" i="55" s="1"/>
  <c r="BD96" i="55"/>
  <c r="BD97" i="55"/>
  <c r="BF97" i="55" s="1"/>
  <c r="BG97" i="55" s="1"/>
  <c r="BD98" i="55"/>
  <c r="BE98" i="55" s="1"/>
  <c r="BD99" i="55"/>
  <c r="BF99" i="55" s="1"/>
  <c r="BD100" i="55"/>
  <c r="BF100" i="55" s="1"/>
  <c r="BG100" i="55" s="1"/>
  <c r="BD101" i="55"/>
  <c r="BD102" i="55"/>
  <c r="BF102" i="55" s="1"/>
  <c r="BG102" i="55" s="1"/>
  <c r="BD103" i="55"/>
  <c r="BF103" i="55" s="1"/>
  <c r="BG103" i="55" s="1"/>
  <c r="BD104" i="55"/>
  <c r="BD105" i="55"/>
  <c r="BF105" i="55" s="1"/>
  <c r="BG105" i="55" s="1"/>
  <c r="BD106" i="55"/>
  <c r="BD107" i="55"/>
  <c r="BE107" i="55" s="1"/>
  <c r="BD108" i="55"/>
  <c r="BD109" i="55"/>
  <c r="BD110" i="55"/>
  <c r="BD111" i="55"/>
  <c r="BE111" i="55" s="1"/>
  <c r="P111" i="55" s="1"/>
  <c r="BD112" i="55"/>
  <c r="BE112" i="55" s="1"/>
  <c r="P112" i="55" s="1"/>
  <c r="BD113" i="55"/>
  <c r="BD114" i="55"/>
  <c r="BD115" i="55"/>
  <c r="BE115" i="55" s="1"/>
  <c r="BD116" i="55"/>
  <c r="BE116" i="55" s="1"/>
  <c r="BD117" i="55"/>
  <c r="BD118" i="55"/>
  <c r="BF118" i="55" s="1"/>
  <c r="BG118" i="55" s="1"/>
  <c r="BD119" i="55"/>
  <c r="BF119" i="55" s="1"/>
  <c r="BG119" i="55" s="1"/>
  <c r="BD120" i="55"/>
  <c r="BF120" i="55" s="1"/>
  <c r="BG120" i="55" s="1"/>
  <c r="BD121" i="55"/>
  <c r="BF121" i="55" s="1"/>
  <c r="BG121" i="55" s="1"/>
  <c r="BD122" i="55"/>
  <c r="BD123" i="55"/>
  <c r="BD124" i="55"/>
  <c r="BD125" i="55"/>
  <c r="BD126" i="55"/>
  <c r="BD127" i="55"/>
  <c r="BE127" i="55" s="1"/>
  <c r="BD128" i="55"/>
  <c r="BE128" i="55" s="1"/>
  <c r="BD129" i="55"/>
  <c r="BD130" i="55"/>
  <c r="BD131" i="55"/>
  <c r="BD132" i="55"/>
  <c r="BD133" i="55"/>
  <c r="BD134" i="55"/>
  <c r="BD135" i="55"/>
  <c r="BD136" i="55"/>
  <c r="BE136" i="55" s="1"/>
  <c r="BD137" i="55"/>
  <c r="BD138" i="55"/>
  <c r="BD139" i="55"/>
  <c r="BD140" i="55"/>
  <c r="BE140" i="55" s="1"/>
  <c r="P140" i="55" s="1"/>
  <c r="BD141" i="55"/>
  <c r="BD142" i="55"/>
  <c r="BD143" i="55"/>
  <c r="BE143" i="55" s="1"/>
  <c r="P143" i="55" s="1"/>
  <c r="BD144" i="55"/>
  <c r="BD145" i="55"/>
  <c r="BF145" i="55" s="1"/>
  <c r="BG145" i="55" s="1"/>
  <c r="BD146" i="55"/>
  <c r="BE146" i="55" s="1"/>
  <c r="BD147" i="55"/>
  <c r="BF147" i="55" s="1"/>
  <c r="BG147" i="55" s="1"/>
  <c r="BD148" i="55"/>
  <c r="BE148" i="55" s="1"/>
  <c r="BD149" i="55"/>
  <c r="BD150" i="55"/>
  <c r="BE150" i="55" s="1"/>
  <c r="BD151" i="55"/>
  <c r="BF151" i="55" s="1"/>
  <c r="BG151" i="55" s="1"/>
  <c r="BD152" i="55"/>
  <c r="BD153" i="55"/>
  <c r="BF153" i="55" s="1"/>
  <c r="BG153" i="55" s="1"/>
  <c r="BD154" i="55"/>
  <c r="BF154" i="55" s="1"/>
  <c r="BG154" i="55" s="1"/>
  <c r="BD155" i="55"/>
  <c r="BE155" i="55" s="1"/>
  <c r="BD156" i="55"/>
  <c r="BD157" i="55"/>
  <c r="BF157" i="55" s="1"/>
  <c r="BG157" i="55" s="1"/>
  <c r="BD158" i="55"/>
  <c r="BD159" i="55"/>
  <c r="BE159" i="55" s="1"/>
  <c r="P159" i="55" s="1"/>
  <c r="BD160" i="55"/>
  <c r="BF160" i="55" s="1"/>
  <c r="BG160" i="55" s="1"/>
  <c r="BD161" i="55"/>
  <c r="BE161" i="55" s="1"/>
  <c r="BD162" i="55"/>
  <c r="BD163" i="55"/>
  <c r="BD164" i="55"/>
  <c r="BF164" i="55" s="1"/>
  <c r="BG164" i="55" s="1"/>
  <c r="BD165" i="55"/>
  <c r="BD166" i="55"/>
  <c r="BD167" i="55"/>
  <c r="BE167" i="55" s="1"/>
  <c r="BD168" i="55"/>
  <c r="BD169" i="55"/>
  <c r="BD170" i="55"/>
  <c r="BD171" i="55"/>
  <c r="BD172" i="55"/>
  <c r="BE172" i="55" s="1"/>
  <c r="P172" i="55" s="1"/>
  <c r="BD173" i="55"/>
  <c r="BD174" i="55"/>
  <c r="BD175" i="55"/>
  <c r="BE175" i="55" s="1"/>
  <c r="P175" i="55" s="1"/>
  <c r="BD176" i="55"/>
  <c r="BD177" i="55"/>
  <c r="BF177" i="55" s="1"/>
  <c r="BG177" i="55" s="1"/>
  <c r="BD178" i="55"/>
  <c r="BD179" i="55"/>
  <c r="BD180" i="55"/>
  <c r="BD181" i="55"/>
  <c r="BD182" i="55"/>
  <c r="BE182" i="55" s="1"/>
  <c r="BD183" i="55"/>
  <c r="BE183" i="55" s="1"/>
  <c r="BD184" i="55"/>
  <c r="BD185" i="55"/>
  <c r="BD186" i="55"/>
  <c r="BE186" i="55" s="1"/>
  <c r="BD187" i="55"/>
  <c r="BD188" i="55"/>
  <c r="BD189" i="55"/>
  <c r="BD190" i="55"/>
  <c r="BD191" i="55"/>
  <c r="BD192" i="55"/>
  <c r="BD193" i="55"/>
  <c r="BF193" i="55" s="1"/>
  <c r="BG193" i="55" s="1"/>
  <c r="BD194" i="55"/>
  <c r="BD195" i="55"/>
  <c r="BD196" i="55"/>
  <c r="BF196" i="55" s="1"/>
  <c r="BG196" i="55" s="1"/>
  <c r="BD197" i="55"/>
  <c r="BE197" i="55" s="1"/>
  <c r="BD198" i="55"/>
  <c r="BF198" i="55" s="1"/>
  <c r="BG198" i="55" s="1"/>
  <c r="BD199" i="55"/>
  <c r="BD200" i="55"/>
  <c r="BD201" i="55"/>
  <c r="BD202" i="55"/>
  <c r="BF202" i="55" s="1"/>
  <c r="BG202" i="55" s="1"/>
  <c r="BD203" i="55"/>
  <c r="BE203" i="55" s="1"/>
  <c r="BD204" i="55"/>
  <c r="BD205" i="55"/>
  <c r="BD206" i="55"/>
  <c r="BD207" i="55"/>
  <c r="BF207" i="55" s="1"/>
  <c r="BG207" i="55" s="1"/>
  <c r="BD208" i="55"/>
  <c r="BD209" i="55"/>
  <c r="BD210" i="55"/>
  <c r="BD211" i="55"/>
  <c r="BD212" i="55"/>
  <c r="BD213" i="55"/>
  <c r="BD214" i="55"/>
  <c r="BF214" i="55" s="1"/>
  <c r="BG214" i="55" s="1"/>
  <c r="BD215" i="55"/>
  <c r="BF215" i="55" s="1"/>
  <c r="BG215" i="55" s="1"/>
  <c r="BD216" i="55"/>
  <c r="BE216" i="55" s="1"/>
  <c r="BD217" i="55"/>
  <c r="BF217" i="55" s="1"/>
  <c r="BG217" i="55" s="1"/>
  <c r="BD218" i="55"/>
  <c r="BF218" i="55" s="1"/>
  <c r="BG218" i="55" s="1"/>
  <c r="BD219" i="55"/>
  <c r="BD220" i="55"/>
  <c r="BD221" i="55"/>
  <c r="BD222" i="55"/>
  <c r="BD223" i="55"/>
  <c r="BE223" i="55" s="1"/>
  <c r="BD224" i="55"/>
  <c r="BE224" i="55" s="1"/>
  <c r="BD225" i="55"/>
  <c r="BE225" i="55" s="1"/>
  <c r="BD226" i="55"/>
  <c r="BD227" i="55"/>
  <c r="BD228" i="55"/>
  <c r="BD229" i="55"/>
  <c r="BE229" i="55" s="1"/>
  <c r="BD230" i="55"/>
  <c r="BF230" i="55" s="1"/>
  <c r="BD231" i="55"/>
  <c r="BF231" i="55" s="1"/>
  <c r="BG231" i="55" s="1"/>
  <c r="BD232" i="55"/>
  <c r="BD233" i="55"/>
  <c r="BD234" i="55"/>
  <c r="BE234" i="55" s="1"/>
  <c r="BD235" i="55"/>
  <c r="BD236" i="55"/>
  <c r="BD237" i="55"/>
  <c r="BF237" i="55" s="1"/>
  <c r="BG237" i="55" s="1"/>
  <c r="BD238" i="55"/>
  <c r="BF238" i="55" s="1"/>
  <c r="BG238" i="55" s="1"/>
  <c r="BD239" i="55"/>
  <c r="BE239" i="55" s="1"/>
  <c r="BD240" i="55"/>
  <c r="BD241" i="55"/>
  <c r="BE241" i="55" s="1"/>
  <c r="BD242" i="55"/>
  <c r="BF242" i="55" s="1"/>
  <c r="BG242" i="55" s="1"/>
  <c r="BD243" i="55"/>
  <c r="BD244" i="55"/>
  <c r="BD245" i="55"/>
  <c r="BD246" i="55"/>
  <c r="BD247" i="55"/>
  <c r="BE247" i="55" s="1"/>
  <c r="BD248" i="55"/>
  <c r="BF248" i="55" s="1"/>
  <c r="BG248" i="55" s="1"/>
  <c r="BD249" i="55"/>
  <c r="BF249" i="55" s="1"/>
  <c r="BD250" i="55"/>
  <c r="BF250" i="55" s="1"/>
  <c r="BG250" i="55" s="1"/>
  <c r="BD251" i="55"/>
  <c r="BE251" i="55" s="1"/>
  <c r="BD252" i="55"/>
  <c r="BD253" i="55"/>
  <c r="BE253" i="55" s="1"/>
  <c r="BD254" i="55"/>
  <c r="BE254" i="55" s="1"/>
  <c r="BD255" i="55"/>
  <c r="BF255" i="55" s="1"/>
  <c r="BG255" i="55" s="1"/>
  <c r="BD256" i="55"/>
  <c r="BE256" i="55" s="1"/>
  <c r="BD257" i="55"/>
  <c r="BF257" i="55" s="1"/>
  <c r="BG257" i="55" s="1"/>
  <c r="BD258" i="55"/>
  <c r="BE258" i="55" s="1"/>
  <c r="P258" i="55" s="1"/>
  <c r="BD259" i="55"/>
  <c r="BE259" i="55" s="1"/>
  <c r="BD260" i="55"/>
  <c r="BE260" i="55" s="1"/>
  <c r="BD261" i="55"/>
  <c r="BE261" i="55" s="1"/>
  <c r="P261" i="55" s="1"/>
  <c r="BD262" i="55"/>
  <c r="BD263" i="55"/>
  <c r="BD264" i="55"/>
  <c r="BD265" i="55"/>
  <c r="BF265" i="55" s="1"/>
  <c r="BD266" i="55"/>
  <c r="BF266" i="55" s="1"/>
  <c r="BG266" i="55" s="1"/>
  <c r="BD267" i="55"/>
  <c r="BD268" i="55"/>
  <c r="BD269" i="55"/>
  <c r="BD270" i="55"/>
  <c r="BD271" i="55"/>
  <c r="BD272" i="55"/>
  <c r="BD273" i="55"/>
  <c r="BF273" i="55" s="1"/>
  <c r="BG273" i="55" s="1"/>
  <c r="BD274" i="55"/>
  <c r="BF274" i="55" s="1"/>
  <c r="BG274" i="55" s="1"/>
  <c r="BD275" i="55"/>
  <c r="BF275" i="55" s="1"/>
  <c r="BG275" i="55" s="1"/>
  <c r="BD276" i="55"/>
  <c r="BE276" i="55" s="1"/>
  <c r="BD277" i="55"/>
  <c r="BD278" i="55"/>
  <c r="BE278" i="55" s="1"/>
  <c r="BD279" i="55"/>
  <c r="BE279" i="55" s="1"/>
  <c r="BD280" i="55"/>
  <c r="BD281" i="55"/>
  <c r="BD282" i="55"/>
  <c r="BF282" i="55" s="1"/>
  <c r="BG282" i="55" s="1"/>
  <c r="BD283" i="55"/>
  <c r="BD284" i="55"/>
  <c r="BD285" i="55"/>
  <c r="BF285" i="55" s="1"/>
  <c r="BG285" i="55" s="1"/>
  <c r="BD286" i="55"/>
  <c r="BD287" i="55"/>
  <c r="BE287" i="55" s="1"/>
  <c r="P287" i="55" s="1"/>
  <c r="BD288" i="55"/>
  <c r="BE288" i="55" s="1"/>
  <c r="BD289" i="55"/>
  <c r="BF289" i="55" s="1"/>
  <c r="BD290" i="55"/>
  <c r="BF290" i="55" s="1"/>
  <c r="BG290" i="55" s="1"/>
  <c r="BD291" i="55"/>
  <c r="BF291" i="55" s="1"/>
  <c r="BG291" i="55" s="1"/>
  <c r="BD292" i="55"/>
  <c r="BF292" i="55" s="1"/>
  <c r="BG292" i="55" s="1"/>
  <c r="BD293" i="55"/>
  <c r="BF293" i="55" s="1"/>
  <c r="BG293" i="55" s="1"/>
  <c r="BD294" i="55"/>
  <c r="BE294" i="55" s="1"/>
  <c r="BD295" i="55"/>
  <c r="BE295" i="55" s="1"/>
  <c r="BD296" i="55"/>
  <c r="BD297" i="55"/>
  <c r="BD298" i="55"/>
  <c r="BD299" i="55"/>
  <c r="BE299" i="55" s="1"/>
  <c r="P299" i="55" s="1"/>
  <c r="BD300" i="55"/>
  <c r="BD301" i="55"/>
  <c r="BD302" i="55"/>
  <c r="BD303" i="55"/>
  <c r="BE303" i="55" s="1"/>
  <c r="P303" i="55" s="1"/>
  <c r="BD304" i="55"/>
  <c r="BD305" i="55"/>
  <c r="BD306" i="55"/>
  <c r="BF306" i="55" s="1"/>
  <c r="BG306" i="55" s="1"/>
  <c r="BD307" i="55"/>
  <c r="BE307" i="55" s="1"/>
  <c r="BD308" i="55"/>
  <c r="BD309" i="55"/>
  <c r="BD310" i="55"/>
  <c r="BD311" i="55"/>
  <c r="BE311" i="55" s="1"/>
  <c r="BD312" i="55"/>
  <c r="BD313" i="55"/>
  <c r="BD314" i="55"/>
  <c r="BD315" i="55"/>
  <c r="BD316" i="55"/>
  <c r="BD317" i="55"/>
  <c r="BD318" i="55"/>
  <c r="BD319" i="55"/>
  <c r="BD320" i="55"/>
  <c r="BF320" i="55" s="1"/>
  <c r="BG320" i="55" s="1"/>
  <c r="BD321" i="55"/>
  <c r="BD322" i="55"/>
  <c r="BF322" i="55" s="1"/>
  <c r="BG322" i="55" s="1"/>
  <c r="BD323" i="55"/>
  <c r="BF323" i="55" s="1"/>
  <c r="BG323" i="55" s="1"/>
  <c r="BD324" i="55"/>
  <c r="BF324" i="55" s="1"/>
  <c r="BG324" i="55" s="1"/>
  <c r="BD325" i="55"/>
  <c r="BF325" i="55" s="1"/>
  <c r="BG325" i="55" s="1"/>
  <c r="BD326" i="55"/>
  <c r="BF326" i="55" s="1"/>
  <c r="BG326" i="55" s="1"/>
  <c r="BD327" i="55"/>
  <c r="BD328" i="55"/>
  <c r="BE328" i="55" s="1"/>
  <c r="P328" i="55" s="1"/>
  <c r="BD329" i="55"/>
  <c r="BD330" i="55"/>
  <c r="BE330" i="55" s="1"/>
  <c r="BD331" i="55"/>
  <c r="BE331" i="55" s="1"/>
  <c r="P331" i="55" s="1"/>
  <c r="BD332" i="55"/>
  <c r="BD333" i="55"/>
  <c r="BD334" i="55"/>
  <c r="BD335" i="55"/>
  <c r="BF335" i="55" s="1"/>
  <c r="BG335" i="55" s="1"/>
  <c r="BD336" i="55"/>
  <c r="BD337" i="55"/>
  <c r="BF337" i="55" s="1"/>
  <c r="BG337" i="55" s="1"/>
  <c r="BD338" i="55"/>
  <c r="BF338" i="55" s="1"/>
  <c r="BG338" i="55" s="1"/>
  <c r="BD339" i="55"/>
  <c r="BD340" i="55"/>
  <c r="BD341" i="55"/>
  <c r="BD342" i="55"/>
  <c r="BD343" i="55"/>
  <c r="BE343" i="55" s="1"/>
  <c r="BD344" i="55"/>
  <c r="BD345" i="55"/>
  <c r="BF345" i="55" s="1"/>
  <c r="BG345" i="55" s="1"/>
  <c r="BD346" i="55"/>
  <c r="BE346" i="55" s="1"/>
  <c r="BD347" i="55"/>
  <c r="BE347" i="55" s="1"/>
  <c r="BD348" i="55"/>
  <c r="BD349" i="55"/>
  <c r="BD350" i="55"/>
  <c r="BD351" i="55"/>
  <c r="BF351" i="55" s="1"/>
  <c r="BD352" i="55"/>
  <c r="BC3" i="55"/>
  <c r="BC4" i="55"/>
  <c r="CQ4" i="55" s="1"/>
  <c r="BC5" i="55"/>
  <c r="BC6" i="55"/>
  <c r="P6" i="55" s="1"/>
  <c r="FA6" i="55" s="1"/>
  <c r="BC7" i="55"/>
  <c r="BC8" i="55"/>
  <c r="BC9" i="55"/>
  <c r="BC10" i="55"/>
  <c r="BC11" i="55"/>
  <c r="BT11" i="55" s="1"/>
  <c r="BC12" i="55"/>
  <c r="BC13" i="55"/>
  <c r="BC14" i="55"/>
  <c r="BC15" i="55"/>
  <c r="CQ15" i="55" s="1"/>
  <c r="BC16" i="55"/>
  <c r="BC17" i="55"/>
  <c r="P17" i="55" s="1"/>
  <c r="FA17" i="55" s="1"/>
  <c r="BC18" i="55"/>
  <c r="BP18" i="55" s="1"/>
  <c r="BC19" i="55"/>
  <c r="BC20" i="55"/>
  <c r="BC21" i="55"/>
  <c r="BC22" i="55"/>
  <c r="BP22" i="55" s="1"/>
  <c r="BC23" i="55"/>
  <c r="BP23" i="55" s="1"/>
  <c r="BC24" i="55"/>
  <c r="DB24" i="55" s="1"/>
  <c r="BC25" i="55"/>
  <c r="BC26" i="55"/>
  <c r="BC27" i="55"/>
  <c r="BC28" i="55"/>
  <c r="BC29" i="55"/>
  <c r="P29" i="55" s="1"/>
  <c r="BC30" i="55"/>
  <c r="BC31" i="55"/>
  <c r="BC32" i="55"/>
  <c r="BO32" i="55" s="1"/>
  <c r="BC33" i="55"/>
  <c r="BC34" i="55"/>
  <c r="BC35" i="55"/>
  <c r="BO35" i="55" s="1"/>
  <c r="BC36" i="55"/>
  <c r="BO36" i="55" s="1"/>
  <c r="BC37" i="55"/>
  <c r="BC38" i="55"/>
  <c r="BO38" i="55" s="1"/>
  <c r="BC39" i="55"/>
  <c r="BO39" i="55" s="1"/>
  <c r="BC40" i="55"/>
  <c r="BT40" i="55" s="1"/>
  <c r="BC41" i="55"/>
  <c r="BC42" i="55"/>
  <c r="BO42" i="55" s="1"/>
  <c r="BC43" i="55"/>
  <c r="BT43" i="55" s="1"/>
  <c r="BC44" i="55"/>
  <c r="BC45" i="55"/>
  <c r="BO45" i="55" s="1"/>
  <c r="BC46" i="55"/>
  <c r="BC47" i="55"/>
  <c r="BC48" i="55"/>
  <c r="BC49" i="55"/>
  <c r="BC50" i="55"/>
  <c r="BC51" i="55"/>
  <c r="BC52" i="55"/>
  <c r="BT52" i="55" s="1"/>
  <c r="BC53" i="55"/>
  <c r="BC54" i="55"/>
  <c r="BC55" i="55"/>
  <c r="BC56" i="55"/>
  <c r="BC57" i="55"/>
  <c r="BC58" i="55"/>
  <c r="BC59" i="55"/>
  <c r="BC60" i="55"/>
  <c r="P60" i="55" s="1"/>
  <c r="BC61" i="55"/>
  <c r="BC62" i="55"/>
  <c r="BC63" i="55"/>
  <c r="BC64" i="55"/>
  <c r="CD64" i="55" s="1"/>
  <c r="BC65" i="55"/>
  <c r="BP65" i="55" s="1"/>
  <c r="BC66" i="55"/>
  <c r="BC67" i="55"/>
  <c r="BO67" i="55" s="1"/>
  <c r="BC68" i="55"/>
  <c r="BC69" i="55"/>
  <c r="BP69" i="55" s="1"/>
  <c r="BC70" i="55"/>
  <c r="BP70" i="55" s="1"/>
  <c r="BC71" i="55"/>
  <c r="BC72" i="55"/>
  <c r="CA72" i="55" s="1"/>
  <c r="BC73" i="55"/>
  <c r="DB73" i="55" s="1"/>
  <c r="BC74" i="55"/>
  <c r="BC75" i="55"/>
  <c r="BC76" i="55"/>
  <c r="BP76" i="55" s="1"/>
  <c r="BC77" i="55"/>
  <c r="BC78" i="55"/>
  <c r="BC79" i="55"/>
  <c r="BC80" i="55"/>
  <c r="CD80" i="55" s="1"/>
  <c r="BC81" i="55"/>
  <c r="BP81" i="55" s="1"/>
  <c r="BC82" i="55"/>
  <c r="BO82" i="55" s="1"/>
  <c r="BC83" i="55"/>
  <c r="BC84" i="55"/>
  <c r="BC85" i="55"/>
  <c r="BC86" i="55"/>
  <c r="BO86" i="55" s="1"/>
  <c r="BC87" i="55"/>
  <c r="BC88" i="55"/>
  <c r="CC88" i="55" s="1"/>
  <c r="BC89" i="55"/>
  <c r="BT89" i="55" s="1"/>
  <c r="BC90" i="55"/>
  <c r="BC91" i="55"/>
  <c r="BC92" i="55"/>
  <c r="BC93" i="55"/>
  <c r="BC94" i="55"/>
  <c r="P94" i="55" s="1"/>
  <c r="BC95" i="55"/>
  <c r="CO95" i="55" s="1"/>
  <c r="CP95" i="55" s="1"/>
  <c r="Y95" i="55" s="1"/>
  <c r="BC96" i="55"/>
  <c r="BC97" i="55"/>
  <c r="BC98" i="55"/>
  <c r="BC99" i="55"/>
  <c r="BC100" i="55"/>
  <c r="BP100" i="55" s="1"/>
  <c r="BC101" i="55"/>
  <c r="BC102" i="55"/>
  <c r="BC103" i="55"/>
  <c r="BC104" i="55"/>
  <c r="BO104" i="55" s="1"/>
  <c r="BC105" i="55"/>
  <c r="BC106" i="55"/>
  <c r="BO106" i="55" s="1"/>
  <c r="BC107" i="55"/>
  <c r="BC108" i="55"/>
  <c r="BO108" i="55" s="1"/>
  <c r="BC109" i="55"/>
  <c r="BO109" i="55" s="1"/>
  <c r="BC110" i="55"/>
  <c r="BC111" i="55"/>
  <c r="BC112" i="55"/>
  <c r="BC113" i="55"/>
  <c r="BC114" i="55"/>
  <c r="BC115" i="55"/>
  <c r="BC116" i="55"/>
  <c r="BC117" i="55"/>
  <c r="BT117" i="55" s="1"/>
  <c r="BC118" i="55"/>
  <c r="BC119" i="55"/>
  <c r="CD119" i="55" s="1"/>
  <c r="BC120" i="55"/>
  <c r="CD120" i="55" s="1"/>
  <c r="BC121" i="55"/>
  <c r="BP121" i="55" s="1"/>
  <c r="BC122" i="55"/>
  <c r="BP122" i="55" s="1"/>
  <c r="BC123" i="55"/>
  <c r="BC124" i="55"/>
  <c r="BC125" i="55"/>
  <c r="CQ125" i="55" s="1"/>
  <c r="BC126" i="55"/>
  <c r="BC127" i="55"/>
  <c r="BC128" i="55"/>
  <c r="BO128" i="55" s="1"/>
  <c r="BC129" i="55"/>
  <c r="BP129" i="55" s="1"/>
  <c r="BC130" i="55"/>
  <c r="BO130" i="55" s="1"/>
  <c r="BC131" i="55"/>
  <c r="BT131" i="55" s="1"/>
  <c r="BC132" i="55"/>
  <c r="BO132" i="55" s="1"/>
  <c r="BC133" i="55"/>
  <c r="CC133" i="55" s="1"/>
  <c r="BC134" i="55"/>
  <c r="BC135" i="55"/>
  <c r="BC136" i="55"/>
  <c r="BC137" i="55"/>
  <c r="BC138" i="55"/>
  <c r="BC139" i="55"/>
  <c r="BC140" i="55"/>
  <c r="BC141" i="55"/>
  <c r="BC142" i="55"/>
  <c r="BC143" i="55"/>
  <c r="BC144" i="55"/>
  <c r="BC145" i="55"/>
  <c r="P145" i="55" s="1"/>
  <c r="BC146" i="55"/>
  <c r="BC147" i="55"/>
  <c r="CD147" i="55" s="1"/>
  <c r="BC148" i="55"/>
  <c r="BC149" i="55"/>
  <c r="BC150" i="55"/>
  <c r="DB150" i="55" s="1"/>
  <c r="BC151" i="55"/>
  <c r="CO151" i="55" s="1"/>
  <c r="CP151" i="55" s="1"/>
  <c r="Y151" i="55" s="1"/>
  <c r="BC152" i="55"/>
  <c r="BC153" i="55"/>
  <c r="BO153" i="55" s="1"/>
  <c r="BC154" i="55"/>
  <c r="BP154" i="55" s="1"/>
  <c r="BC155" i="55"/>
  <c r="P155" i="55" s="1"/>
  <c r="BC156" i="55"/>
  <c r="BO156" i="55" s="1"/>
  <c r="BC157" i="55"/>
  <c r="BC158" i="55"/>
  <c r="BC159" i="55"/>
  <c r="BC160" i="55"/>
  <c r="BC161" i="55"/>
  <c r="BC162" i="55"/>
  <c r="BC163" i="55"/>
  <c r="CQ163" i="55" s="1"/>
  <c r="BC164" i="55"/>
  <c r="CD164" i="55" s="1"/>
  <c r="BC165" i="55"/>
  <c r="BC166" i="55"/>
  <c r="BC167" i="55"/>
  <c r="BO167" i="55" s="1"/>
  <c r="BC168" i="55"/>
  <c r="BP168" i="55" s="1"/>
  <c r="BC169" i="55"/>
  <c r="BT169" i="55" s="1"/>
  <c r="BC170" i="55"/>
  <c r="BC171" i="55"/>
  <c r="BO171" i="55" s="1"/>
  <c r="BC172" i="55"/>
  <c r="BT172" i="55" s="1"/>
  <c r="BC173" i="55"/>
  <c r="BT173" i="55" s="1"/>
  <c r="BC174" i="55"/>
  <c r="DB174" i="55" s="1"/>
  <c r="BC175" i="55"/>
  <c r="BC176" i="55"/>
  <c r="BO176" i="55" s="1"/>
  <c r="BC177" i="55"/>
  <c r="CO177" i="55" s="1"/>
  <c r="CP177" i="55" s="1"/>
  <c r="Y177" i="55" s="1"/>
  <c r="BC178" i="55"/>
  <c r="BC179" i="55"/>
  <c r="BC180" i="55"/>
  <c r="BT180" i="55" s="1"/>
  <c r="BC181" i="55"/>
  <c r="BC182" i="55"/>
  <c r="BC183" i="55"/>
  <c r="CC183" i="55" s="1"/>
  <c r="BC184" i="55"/>
  <c r="P184" i="55" s="1"/>
  <c r="FA184" i="55" s="1"/>
  <c r="BC185" i="55"/>
  <c r="BC186" i="55"/>
  <c r="BC187" i="55"/>
  <c r="CC187" i="55" s="1"/>
  <c r="BC188" i="55"/>
  <c r="BC189" i="55"/>
  <c r="BC190" i="55"/>
  <c r="BC191" i="55"/>
  <c r="BC192" i="55"/>
  <c r="BC193" i="55"/>
  <c r="CD193" i="55" s="1"/>
  <c r="BC194" i="55"/>
  <c r="BC195" i="55"/>
  <c r="BC196" i="55"/>
  <c r="BC197" i="55"/>
  <c r="CD197" i="55" s="1"/>
  <c r="BC198" i="55"/>
  <c r="BC199" i="55"/>
  <c r="BC200" i="55"/>
  <c r="BP200" i="55" s="1"/>
  <c r="BC201" i="55"/>
  <c r="BC202" i="55"/>
  <c r="BO202" i="55" s="1"/>
  <c r="BC203" i="55"/>
  <c r="BP203" i="55" s="1"/>
  <c r="BC204" i="55"/>
  <c r="BC205" i="55"/>
  <c r="BP205" i="55" s="1"/>
  <c r="BC206" i="55"/>
  <c r="BC207" i="55"/>
  <c r="BC208" i="55"/>
  <c r="BC209" i="55"/>
  <c r="BC210" i="55"/>
  <c r="BC211" i="55"/>
  <c r="CC211" i="55" s="1"/>
  <c r="BC212" i="55"/>
  <c r="BC213" i="55"/>
  <c r="BC214" i="55"/>
  <c r="BO214" i="55" s="1"/>
  <c r="BC215" i="55"/>
  <c r="BO215" i="55" s="1"/>
  <c r="BC216" i="55"/>
  <c r="BC217" i="55"/>
  <c r="BC218" i="55"/>
  <c r="BT218" i="55" s="1"/>
  <c r="BC219" i="55"/>
  <c r="BP219" i="55" s="1"/>
  <c r="BC220" i="55"/>
  <c r="BT220" i="55" s="1"/>
  <c r="BC221" i="55"/>
  <c r="P221" i="55" s="1"/>
  <c r="BC222" i="55"/>
  <c r="BC223" i="55"/>
  <c r="BC224" i="55"/>
  <c r="BC225" i="55"/>
  <c r="BC226" i="55"/>
  <c r="CC226" i="55" s="1"/>
  <c r="BC227" i="55"/>
  <c r="BC228" i="55"/>
  <c r="CC228" i="55" s="1"/>
  <c r="BC229" i="55"/>
  <c r="BC230" i="55"/>
  <c r="BC231" i="55"/>
  <c r="BC232" i="55"/>
  <c r="BC233" i="55"/>
  <c r="CD233" i="55" s="1"/>
  <c r="BC234" i="55"/>
  <c r="BC235" i="55"/>
  <c r="BC236" i="55"/>
  <c r="CQ236" i="55" s="1"/>
  <c r="BC237" i="55"/>
  <c r="BC238" i="55"/>
  <c r="BC239" i="55"/>
  <c r="BC240" i="55"/>
  <c r="BC241" i="55"/>
  <c r="BC242" i="55"/>
  <c r="BC243" i="55"/>
  <c r="BC244" i="55"/>
  <c r="BO244" i="55" s="1"/>
  <c r="BC245" i="55"/>
  <c r="BC246" i="55"/>
  <c r="BO246" i="55" s="1"/>
  <c r="BC247" i="55"/>
  <c r="BC248" i="55"/>
  <c r="BC249" i="55"/>
  <c r="BC250" i="55"/>
  <c r="BC251" i="55"/>
  <c r="BP251" i="55" s="1"/>
  <c r="BC252" i="55"/>
  <c r="BC253" i="55"/>
  <c r="BP253" i="55" s="1"/>
  <c r="BC254" i="55"/>
  <c r="BC255" i="55"/>
  <c r="BC256" i="55"/>
  <c r="P256" i="55" s="1"/>
  <c r="BC257" i="55"/>
  <c r="BC258" i="55"/>
  <c r="BT258" i="55" s="1"/>
  <c r="BC259" i="55"/>
  <c r="BC260" i="55"/>
  <c r="BC261" i="55"/>
  <c r="BC262" i="55"/>
  <c r="P262" i="55" s="1"/>
  <c r="FA262" i="55" s="1"/>
  <c r="BC263" i="55"/>
  <c r="BC264" i="55"/>
  <c r="BC265" i="55"/>
  <c r="BC266" i="55"/>
  <c r="BC267" i="55"/>
  <c r="BC268" i="55"/>
  <c r="BP268" i="55" s="1"/>
  <c r="BC269" i="55"/>
  <c r="CO269" i="55" s="1"/>
  <c r="CP269" i="55" s="1"/>
  <c r="Y269" i="55" s="1"/>
  <c r="BC270" i="55"/>
  <c r="BC271" i="55"/>
  <c r="BC272" i="55"/>
  <c r="BC273" i="55"/>
  <c r="CC273" i="55" s="1"/>
  <c r="BC274" i="55"/>
  <c r="CD274" i="55" s="1"/>
  <c r="BC275" i="55"/>
  <c r="BC276" i="55"/>
  <c r="BC277" i="55"/>
  <c r="CD277" i="55" s="1"/>
  <c r="BC278" i="55"/>
  <c r="BC279" i="55"/>
  <c r="BC280" i="55"/>
  <c r="BC281" i="55"/>
  <c r="DC281" i="55" s="1"/>
  <c r="I281" i="55" s="1"/>
  <c r="DD281" i="55" s="1"/>
  <c r="DF281" i="55" s="1" a="1"/>
  <c r="DF281" i="55" s="1"/>
  <c r="BC282" i="55"/>
  <c r="BO282" i="55" s="1"/>
  <c r="BC283" i="55"/>
  <c r="P283" i="55" s="1"/>
  <c r="BC284" i="55"/>
  <c r="BO284" i="55" s="1"/>
  <c r="BC285" i="55"/>
  <c r="BO285" i="55" s="1"/>
  <c r="BC286" i="55"/>
  <c r="BC287" i="55"/>
  <c r="BC288" i="55"/>
  <c r="BC289" i="55"/>
  <c r="DB289" i="55" s="1"/>
  <c r="BC290" i="55"/>
  <c r="DC290" i="55" s="1"/>
  <c r="I290" i="55" s="1"/>
  <c r="DD290" i="55" s="1"/>
  <c r="BC291" i="55"/>
  <c r="DB291" i="55" s="1"/>
  <c r="BC292" i="55"/>
  <c r="BC293" i="55"/>
  <c r="BC294" i="55"/>
  <c r="BC295" i="55"/>
  <c r="BC296" i="55"/>
  <c r="BT296" i="55" s="1"/>
  <c r="BC297" i="55"/>
  <c r="BP297" i="55" s="1"/>
  <c r="BC298" i="55"/>
  <c r="BT298" i="55" s="1"/>
  <c r="BC299" i="55"/>
  <c r="BC300" i="55"/>
  <c r="BC301" i="55"/>
  <c r="BC302" i="55"/>
  <c r="BC303" i="55"/>
  <c r="BC304" i="55"/>
  <c r="CC304" i="55" s="1"/>
  <c r="BC305" i="55"/>
  <c r="BC306" i="55"/>
  <c r="BO306" i="55" s="1"/>
  <c r="BC307" i="55"/>
  <c r="BO307" i="55" s="1"/>
  <c r="BC308" i="55"/>
  <c r="BC309" i="55"/>
  <c r="BC310" i="55"/>
  <c r="BC311" i="55"/>
  <c r="BC312" i="55"/>
  <c r="BO312" i="55" s="1"/>
  <c r="BC313" i="55"/>
  <c r="CD313" i="55" s="1"/>
  <c r="BC314" i="55"/>
  <c r="BC315" i="55"/>
  <c r="BC316" i="55"/>
  <c r="BC317" i="55"/>
  <c r="FF317" i="55" s="1"/>
  <c r="BC318" i="55"/>
  <c r="BC319" i="55"/>
  <c r="BC320" i="55"/>
  <c r="BW320" i="55" s="1"/>
  <c r="BC321" i="55"/>
  <c r="BC322" i="55"/>
  <c r="BC323" i="55"/>
  <c r="BC324" i="55"/>
  <c r="CA324" i="55" s="1"/>
  <c r="BC325" i="55"/>
  <c r="BP325" i="55" s="1"/>
  <c r="BC326" i="55"/>
  <c r="BP326" i="55" s="1"/>
  <c r="BC327" i="55"/>
  <c r="BP327" i="55" s="1"/>
  <c r="BC328" i="55"/>
  <c r="BO328" i="55" s="1"/>
  <c r="BC329" i="55"/>
  <c r="BC330" i="55"/>
  <c r="BO330" i="55" s="1"/>
  <c r="BC331" i="55"/>
  <c r="BO331" i="55" s="1"/>
  <c r="BC332" i="55"/>
  <c r="BT332" i="55" s="1"/>
  <c r="BC333" i="55"/>
  <c r="BC334" i="55"/>
  <c r="BC335" i="55"/>
  <c r="BC336" i="55"/>
  <c r="BC337" i="55"/>
  <c r="CC337" i="55" s="1"/>
  <c r="BC338" i="55"/>
  <c r="BC339" i="55"/>
  <c r="BC340" i="55"/>
  <c r="BP340" i="55" s="1"/>
  <c r="BC341" i="55"/>
  <c r="BC342" i="55"/>
  <c r="BC343" i="55"/>
  <c r="BC344" i="55"/>
  <c r="CC344" i="55" s="1"/>
  <c r="BC345" i="55"/>
  <c r="BC346" i="55"/>
  <c r="BP346" i="55" s="1"/>
  <c r="BC347" i="55"/>
  <c r="BC348" i="55"/>
  <c r="BP348" i="55" s="1"/>
  <c r="BC349" i="55"/>
  <c r="BO349" i="55" s="1"/>
  <c r="BC350" i="55"/>
  <c r="BC351" i="55"/>
  <c r="BC352" i="55"/>
  <c r="BA3" i="55" a="1"/>
  <c r="BA3" i="55" s="1"/>
  <c r="BA4" i="55" a="1"/>
  <c r="BA4" i="55" s="1"/>
  <c r="BA5" i="55" a="1"/>
  <c r="BA5" i="55" s="1"/>
  <c r="BA6" i="55" a="1"/>
  <c r="BA6" i="55"/>
  <c r="BA7" i="55" a="1"/>
  <c r="BA7" i="55" s="1"/>
  <c r="BA8" i="55" a="1"/>
  <c r="BA8" i="55" s="1"/>
  <c r="BA9" i="55" a="1"/>
  <c r="BA9" i="55"/>
  <c r="BA10" i="55" a="1"/>
  <c r="BA10" i="55"/>
  <c r="BA11" i="55" a="1"/>
  <c r="BA11" i="55"/>
  <c r="BA12" i="55" a="1"/>
  <c r="BA12" i="55" s="1"/>
  <c r="BA13" i="55" a="1"/>
  <c r="BA13" i="55" s="1"/>
  <c r="BA14" i="55" a="1"/>
  <c r="BA14" i="55"/>
  <c r="BA15" i="55" a="1"/>
  <c r="BA15" i="55"/>
  <c r="BA16" i="55" a="1"/>
  <c r="BA16" i="55" s="1"/>
  <c r="BA17" i="55" a="1"/>
  <c r="BA17" i="55" s="1"/>
  <c r="BA18" i="55" a="1"/>
  <c r="BA18" i="55" s="1"/>
  <c r="BA19" i="55" a="1"/>
  <c r="BA19" i="55"/>
  <c r="BA20" i="55" a="1"/>
  <c r="BA20" i="55" s="1"/>
  <c r="BA21" i="55" a="1"/>
  <c r="BA21" i="55" s="1"/>
  <c r="BA22" i="55" a="1"/>
  <c r="BA22" i="55" s="1"/>
  <c r="BA23" i="55" a="1"/>
  <c r="BA23" i="55" s="1"/>
  <c r="BA24" i="55" a="1"/>
  <c r="BA24" i="55" s="1"/>
  <c r="BA25" i="55" a="1"/>
  <c r="BA25" i="55" s="1"/>
  <c r="BA26" i="55" a="1"/>
  <c r="BA26" i="55"/>
  <c r="BA27" i="55" a="1"/>
  <c r="BA27" i="55"/>
  <c r="BA28" i="55" a="1"/>
  <c r="BA28" i="55" s="1"/>
  <c r="BA29" i="55" a="1"/>
  <c r="BA29" i="55" s="1"/>
  <c r="BA30" i="55" a="1"/>
  <c r="BA30" i="55"/>
  <c r="BA31" i="55" a="1"/>
  <c r="BA31" i="55" s="1"/>
  <c r="BA32" i="55" a="1"/>
  <c r="BA32" i="55" s="1"/>
  <c r="BA33" i="55" a="1"/>
  <c r="BA33" i="55"/>
  <c r="BA34" i="55" a="1"/>
  <c r="BA34" i="55" s="1"/>
  <c r="BA35" i="55" a="1"/>
  <c r="BA35" i="55" s="1"/>
  <c r="BA36" i="55" a="1"/>
  <c r="BA36" i="55" s="1"/>
  <c r="BA37" i="55" a="1"/>
  <c r="BA37" i="55"/>
  <c r="BA38" i="55" a="1"/>
  <c r="BA38" i="55" s="1"/>
  <c r="BA39" i="55" a="1"/>
  <c r="BA39" i="55" s="1"/>
  <c r="BA40" i="55" a="1"/>
  <c r="BA40" i="55" s="1"/>
  <c r="BA41" i="55" a="1"/>
  <c r="BA41" i="55" s="1"/>
  <c r="BA42" i="55" a="1"/>
  <c r="BA42" i="55" s="1"/>
  <c r="BA43" i="55" a="1"/>
  <c r="BA43" i="55"/>
  <c r="BA44" i="55" a="1"/>
  <c r="BA44" i="55" s="1"/>
  <c r="BA45" i="55" a="1"/>
  <c r="BA45" i="55" s="1"/>
  <c r="BA46" i="55" a="1"/>
  <c r="BA46" i="55" s="1"/>
  <c r="BA47" i="55" a="1"/>
  <c r="BA47" i="55"/>
  <c r="BA48" i="55" a="1"/>
  <c r="BA48" i="55" s="1"/>
  <c r="BA49" i="55" a="1"/>
  <c r="BA49" i="55" s="1"/>
  <c r="BA50" i="55" a="1"/>
  <c r="BA50" i="55"/>
  <c r="BA51" i="55" a="1"/>
  <c r="BA51" i="55"/>
  <c r="BA52" i="55" a="1"/>
  <c r="BA52" i="55" s="1"/>
  <c r="BA53" i="55" a="1"/>
  <c r="BA53" i="55" s="1"/>
  <c r="BA54" i="55" a="1"/>
  <c r="BA54" i="55" s="1"/>
  <c r="BA55" i="55" a="1"/>
  <c r="BA55" i="55"/>
  <c r="BA56" i="55" a="1"/>
  <c r="BA56" i="55" s="1"/>
  <c r="BA57" i="55" a="1"/>
  <c r="BA57" i="55" s="1"/>
  <c r="BA58" i="55" a="1"/>
  <c r="BA58" i="55"/>
  <c r="BA59" i="55" a="1"/>
  <c r="BA59" i="55" s="1"/>
  <c r="BA60" i="55" a="1"/>
  <c r="BA60" i="55" s="1"/>
  <c r="BA61" i="55" a="1"/>
  <c r="BA61" i="55" s="1"/>
  <c r="BA62" i="55" a="1"/>
  <c r="BA62" i="55" s="1"/>
  <c r="BA63" i="55" a="1"/>
  <c r="BA63" i="55" s="1"/>
  <c r="BA64" i="55" a="1"/>
  <c r="BA64" i="55" s="1"/>
  <c r="BA65" i="55" a="1"/>
  <c r="BA65" i="55" s="1"/>
  <c r="BA66" i="55" a="1"/>
  <c r="BA66" i="55"/>
  <c r="BA67" i="55" a="1"/>
  <c r="BA67" i="55" s="1"/>
  <c r="BA68" i="55" a="1"/>
  <c r="BA68" i="55" s="1"/>
  <c r="BA69" i="55" a="1"/>
  <c r="BA69" i="55" s="1"/>
  <c r="BA70" i="55" a="1"/>
  <c r="BA70" i="55" s="1"/>
  <c r="BA71" i="55" a="1"/>
  <c r="BA71" i="55" s="1"/>
  <c r="BA72" i="55" a="1"/>
  <c r="BA72" i="55" s="1"/>
  <c r="BA73" i="55" a="1"/>
  <c r="BA73" i="55"/>
  <c r="BA74" i="55" a="1"/>
  <c r="BA74" i="55"/>
  <c r="BA75" i="55" a="1"/>
  <c r="BA75" i="55"/>
  <c r="BA76" i="55" a="1"/>
  <c r="BA76" i="55" s="1"/>
  <c r="BA77" i="55" a="1"/>
  <c r="BA77" i="55"/>
  <c r="BA78" i="55" a="1"/>
  <c r="BA78" i="55" s="1"/>
  <c r="BA79" i="55" a="1"/>
  <c r="BA79" i="55" s="1"/>
  <c r="BA80" i="55" a="1"/>
  <c r="BA80" i="55" s="1"/>
  <c r="BA81" i="55" a="1"/>
  <c r="BA81" i="55" s="1"/>
  <c r="BA82" i="55" a="1"/>
  <c r="BA82" i="55"/>
  <c r="BA83" i="55" a="1"/>
  <c r="BA83" i="55" s="1"/>
  <c r="BA84" i="55" a="1"/>
  <c r="BA84" i="55" s="1"/>
  <c r="BA85" i="55" a="1"/>
  <c r="BA85" i="55" s="1"/>
  <c r="BA86" i="55" a="1"/>
  <c r="BA86" i="55"/>
  <c r="BA87" i="55" a="1"/>
  <c r="BA87" i="55" s="1"/>
  <c r="BA88" i="55" a="1"/>
  <c r="BA88" i="55" s="1"/>
  <c r="BA89" i="55" a="1"/>
  <c r="BA89" i="55" s="1"/>
  <c r="BA90" i="55" a="1"/>
  <c r="BA90" i="55" s="1"/>
  <c r="BA91" i="55" a="1"/>
  <c r="BA91" i="55" s="1"/>
  <c r="BA92" i="55" a="1"/>
  <c r="BA92" i="55" s="1"/>
  <c r="BA93" i="55" a="1"/>
  <c r="BA93" i="55" s="1"/>
  <c r="BA94" i="55" a="1"/>
  <c r="BA94" i="55"/>
  <c r="BA95" i="55" a="1"/>
  <c r="BA95" i="55" s="1"/>
  <c r="BA96" i="55" a="1"/>
  <c r="BA96" i="55" s="1"/>
  <c r="BA97" i="55" a="1"/>
  <c r="BA97" i="55"/>
  <c r="BA98" i="55" a="1"/>
  <c r="BA98" i="55"/>
  <c r="BA99" i="55" a="1"/>
  <c r="BA99" i="55"/>
  <c r="BA100" i="55" a="1"/>
  <c r="BA100" i="55" s="1"/>
  <c r="BA101" i="55" a="1"/>
  <c r="BA101" i="55" s="1"/>
  <c r="BA102" i="55" a="1"/>
  <c r="BA102" i="55" s="1"/>
  <c r="BA103" i="55" a="1"/>
  <c r="BA103" i="55" s="1"/>
  <c r="BA104" i="55" a="1"/>
  <c r="BA104" i="55" s="1"/>
  <c r="BA105" i="55" a="1"/>
  <c r="BA105" i="55" s="1"/>
  <c r="BA106" i="55" a="1"/>
  <c r="BA106" i="55"/>
  <c r="BA107" i="55" a="1"/>
  <c r="BA107" i="55" s="1"/>
  <c r="BA108" i="55" a="1"/>
  <c r="BA108" i="55" s="1"/>
  <c r="BA109" i="55" a="1"/>
  <c r="BA109" i="55" s="1"/>
  <c r="BA110" i="55" a="1"/>
  <c r="BA110" i="55" s="1"/>
  <c r="BA111" i="55" a="1"/>
  <c r="BA111" i="55" s="1"/>
  <c r="BA112" i="55" a="1"/>
  <c r="BA112" i="55" s="1"/>
  <c r="BA113" i="55" a="1"/>
  <c r="BA113" i="55"/>
  <c r="BA114" i="55" a="1"/>
  <c r="BA114" i="55"/>
  <c r="BA115" i="55" a="1"/>
  <c r="BA115" i="55" s="1"/>
  <c r="BA116" i="55" a="1"/>
  <c r="BA116" i="55" s="1"/>
  <c r="BA117" i="55" a="1"/>
  <c r="BA117" i="55" s="1"/>
  <c r="BA118" i="55" a="1"/>
  <c r="BA118" i="55" s="1"/>
  <c r="BA119" i="55" a="1"/>
  <c r="BA119" i="55"/>
  <c r="BA120" i="55" a="1"/>
  <c r="BA120" i="55" s="1"/>
  <c r="BA121" i="55" a="1"/>
  <c r="BA121" i="55" s="1"/>
  <c r="BA122" i="55" a="1"/>
  <c r="BA122" i="55" s="1"/>
  <c r="BA123" i="55" a="1"/>
  <c r="BA123" i="55" s="1"/>
  <c r="BA124" i="55" a="1"/>
  <c r="BA124" i="55" s="1"/>
  <c r="BA125" i="55" a="1"/>
  <c r="BA125" i="55"/>
  <c r="BA126" i="55" a="1"/>
  <c r="BA126" i="55" s="1"/>
  <c r="BA127" i="55" a="1"/>
  <c r="BA127" i="55" s="1"/>
  <c r="BA128" i="55" a="1"/>
  <c r="BA128" i="55" s="1"/>
  <c r="BA129" i="55" a="1"/>
  <c r="BA129" i="55"/>
  <c r="BA130" i="55" a="1"/>
  <c r="BA130" i="55"/>
  <c r="BA131" i="55" a="1"/>
  <c r="BA131" i="55"/>
  <c r="BA132" i="55" a="1"/>
  <c r="BA132" i="55" s="1"/>
  <c r="BA133" i="55" a="1"/>
  <c r="BA133" i="55"/>
  <c r="BA134" i="55" a="1"/>
  <c r="BA134" i="55"/>
  <c r="BA135" i="55" a="1"/>
  <c r="BA135" i="55" s="1"/>
  <c r="BA136" i="55" a="1"/>
  <c r="BA136" i="55" s="1"/>
  <c r="BA137" i="55" a="1"/>
  <c r="BA137" i="55" s="1"/>
  <c r="BA138" i="55" a="1"/>
  <c r="BA138" i="55"/>
  <c r="BA139" i="55" a="1"/>
  <c r="BA139" i="55" s="1"/>
  <c r="BA140" i="55" a="1"/>
  <c r="BA140" i="55" s="1"/>
  <c r="BA141" i="55" a="1"/>
  <c r="BA141" i="55"/>
  <c r="BA142" i="55" a="1"/>
  <c r="BA142" i="55" s="1"/>
  <c r="BA143" i="55" a="1"/>
  <c r="BA143" i="55" s="1"/>
  <c r="BA144" i="55" a="1"/>
  <c r="BA144" i="55" s="1"/>
  <c r="BA145" i="55" a="1"/>
  <c r="BA145" i="55" s="1"/>
  <c r="BA146" i="55" a="1"/>
  <c r="BA146" i="55"/>
  <c r="BA147" i="55" a="1"/>
  <c r="BA147" i="55" s="1"/>
  <c r="BA148" i="55" a="1"/>
  <c r="BA148" i="55" s="1"/>
  <c r="BA149" i="55" a="1"/>
  <c r="BA149" i="55" s="1"/>
  <c r="BA150" i="55" a="1"/>
  <c r="BA150" i="55" s="1"/>
  <c r="BA151" i="55" a="1"/>
  <c r="BA151" i="55"/>
  <c r="BA152" i="55" a="1"/>
  <c r="BA152" i="55" s="1"/>
  <c r="BA153" i="55" a="1"/>
  <c r="BA153" i="55" s="1"/>
  <c r="BA154" i="55" a="1"/>
  <c r="BA154" i="55"/>
  <c r="BA155" i="55" a="1"/>
  <c r="BA155" i="55" s="1"/>
  <c r="BA156" i="55" a="1"/>
  <c r="BA156" i="55" s="1"/>
  <c r="BA157" i="55" a="1"/>
  <c r="BA157" i="55"/>
  <c r="BA158" i="55" a="1"/>
  <c r="BA158" i="55" s="1"/>
  <c r="BA159" i="55" a="1"/>
  <c r="BA159" i="55"/>
  <c r="BA160" i="55" a="1"/>
  <c r="BA160" i="55" s="1"/>
  <c r="BA161" i="55" a="1"/>
  <c r="BA161" i="55" s="1"/>
  <c r="BA162" i="55" a="1"/>
  <c r="BA162" i="55"/>
  <c r="BA163" i="55" a="1"/>
  <c r="BA163" i="55" s="1"/>
  <c r="BA164" i="55" a="1"/>
  <c r="BA164" i="55" s="1"/>
  <c r="BA165" i="55" a="1"/>
  <c r="BA165" i="55" s="1"/>
  <c r="BA166" i="55" a="1"/>
  <c r="BA166" i="55"/>
  <c r="BA167" i="55" a="1"/>
  <c r="BA167" i="55" s="1"/>
  <c r="BA168" i="55" a="1"/>
  <c r="BA168" i="55" s="1"/>
  <c r="BA169" i="55" a="1"/>
  <c r="BA169" i="55" s="1"/>
  <c r="BA170" i="55" a="1"/>
  <c r="BA170" i="55"/>
  <c r="BA171" i="55" a="1"/>
  <c r="BA171" i="55"/>
  <c r="BA172" i="55" a="1"/>
  <c r="BA172" i="55" s="1"/>
  <c r="BA173" i="55" a="1"/>
  <c r="BA173" i="55" s="1"/>
  <c r="BA174" i="55" a="1"/>
  <c r="BA174" i="55" s="1"/>
  <c r="BA175" i="55" a="1"/>
  <c r="BA175" i="55" s="1"/>
  <c r="BA176" i="55" a="1"/>
  <c r="BA176" i="55" s="1"/>
  <c r="BA177" i="55" a="1"/>
  <c r="BA177" i="55" s="1"/>
  <c r="BA178" i="55" a="1"/>
  <c r="BA178" i="55" s="1"/>
  <c r="BA179" i="55" a="1"/>
  <c r="BA179" i="55"/>
  <c r="BA180" i="55" a="1"/>
  <c r="BA180" i="55" s="1"/>
  <c r="BA181" i="55" a="1"/>
  <c r="BA181" i="55" s="1"/>
  <c r="BA182" i="55" a="1"/>
  <c r="BA182" i="55" s="1"/>
  <c r="BA183" i="55" a="1"/>
  <c r="BA183" i="55" s="1"/>
  <c r="BA184" i="55" a="1"/>
  <c r="BA184" i="55" s="1"/>
  <c r="BA185" i="55" a="1"/>
  <c r="BA185" i="55"/>
  <c r="BA186" i="55" a="1"/>
  <c r="BA186" i="55" s="1"/>
  <c r="BA187" i="55" a="1"/>
  <c r="BA187" i="55" s="1"/>
  <c r="BA188" i="55" a="1"/>
  <c r="BA188" i="55" s="1"/>
  <c r="BA189" i="55" a="1"/>
  <c r="BA189" i="55" s="1"/>
  <c r="BA190" i="55" a="1"/>
  <c r="BA190" i="55" s="1"/>
  <c r="BA191" i="55" a="1"/>
  <c r="BA191" i="55" s="1"/>
  <c r="BA192" i="55" a="1"/>
  <c r="BA192" i="55" s="1"/>
  <c r="BA193" i="55" a="1"/>
  <c r="BA193" i="55"/>
  <c r="BA194" i="55" a="1"/>
  <c r="BA194" i="55" s="1"/>
  <c r="BA195" i="55" a="1"/>
  <c r="BA195" i="55" s="1"/>
  <c r="BA196" i="55" a="1"/>
  <c r="BA196" i="55" s="1"/>
  <c r="BA197" i="55" a="1"/>
  <c r="BA197" i="55" s="1"/>
  <c r="BA198" i="55" a="1"/>
  <c r="BA198" i="55" s="1"/>
  <c r="BA199" i="55" a="1"/>
  <c r="BA199" i="55" s="1"/>
  <c r="BA200" i="55" a="1"/>
  <c r="BA200" i="55" s="1"/>
  <c r="BA201" i="55" a="1"/>
  <c r="BA201" i="55" s="1"/>
  <c r="BA202" i="55" a="1"/>
  <c r="BA202" i="55"/>
  <c r="BA203" i="55" a="1"/>
  <c r="BA203" i="55"/>
  <c r="BA204" i="55" a="1"/>
  <c r="BA204" i="55" s="1"/>
  <c r="BA205" i="55" a="1"/>
  <c r="BA205" i="55" s="1"/>
  <c r="BA206" i="55" a="1"/>
  <c r="BA206" i="55"/>
  <c r="BA207" i="55" a="1"/>
  <c r="BA207" i="55" s="1"/>
  <c r="BA208" i="55" a="1"/>
  <c r="BA208" i="55" s="1"/>
  <c r="BA209" i="55" a="1"/>
  <c r="BA209" i="55" s="1"/>
  <c r="BA210" i="55" a="1"/>
  <c r="BA210" i="55"/>
  <c r="BA211" i="55" a="1"/>
  <c r="BA211" i="55"/>
  <c r="BA212" i="55" a="1"/>
  <c r="BA212" i="55" s="1"/>
  <c r="BA213" i="55" a="1"/>
  <c r="BA213" i="55"/>
  <c r="BA214" i="55" a="1"/>
  <c r="BA214" i="55"/>
  <c r="BA215" i="55" a="1"/>
  <c r="BA215" i="55" s="1"/>
  <c r="BA216" i="55" a="1"/>
  <c r="BA216" i="55" s="1"/>
  <c r="BA217" i="55" a="1"/>
  <c r="BA217" i="55" s="1"/>
  <c r="BA218" i="55" a="1"/>
  <c r="BA218" i="55" s="1"/>
  <c r="BA219" i="55" a="1"/>
  <c r="BA219" i="55" s="1"/>
  <c r="BA220" i="55" a="1"/>
  <c r="BA220" i="55" s="1"/>
  <c r="BA221" i="55" a="1"/>
  <c r="BA221" i="55" s="1"/>
  <c r="BA222" i="55" a="1"/>
  <c r="BA222" i="55"/>
  <c r="BA223" i="55" a="1"/>
  <c r="BA223" i="55"/>
  <c r="BA224" i="55" a="1"/>
  <c r="BA224" i="55" s="1"/>
  <c r="BA225" i="55" a="1"/>
  <c r="BA225" i="55" s="1"/>
  <c r="BA226" i="55" a="1"/>
  <c r="BA226" i="55"/>
  <c r="BA227" i="55" a="1"/>
  <c r="BA227" i="55"/>
  <c r="BA228" i="55" a="1"/>
  <c r="BA228" i="55" s="1"/>
  <c r="BA229" i="55" a="1"/>
  <c r="BA229" i="55" s="1"/>
  <c r="BA230" i="55" a="1"/>
  <c r="BA230" i="55"/>
  <c r="BA231" i="55" a="1"/>
  <c r="BA231" i="55"/>
  <c r="BA232" i="55" a="1"/>
  <c r="BA232" i="55" s="1"/>
  <c r="BA233" i="55" a="1"/>
  <c r="BA233" i="55"/>
  <c r="BA234" i="55" a="1"/>
  <c r="BA234" i="55" s="1"/>
  <c r="BA235" i="55" a="1"/>
  <c r="BA235" i="55" s="1"/>
  <c r="BA236" i="55" a="1"/>
  <c r="BA236" i="55" s="1"/>
  <c r="BA237" i="55" a="1"/>
  <c r="BA237" i="55" s="1"/>
  <c r="BA238" i="55" a="1"/>
  <c r="BA238" i="55" s="1"/>
  <c r="BA239" i="55" a="1"/>
  <c r="BA239" i="55" s="1"/>
  <c r="BA240" i="55" a="1"/>
  <c r="BA240" i="55" s="1"/>
  <c r="BA241" i="55" a="1"/>
  <c r="BA241" i="55" s="1"/>
  <c r="BA242" i="55" a="1"/>
  <c r="BA242" i="55"/>
  <c r="BA243" i="55" a="1"/>
  <c r="BA243" i="55"/>
  <c r="BA244" i="55" a="1"/>
  <c r="BA244" i="55" s="1"/>
  <c r="BA245" i="55" a="1"/>
  <c r="BA245" i="55" s="1"/>
  <c r="BA246" i="55" a="1"/>
  <c r="BA246" i="55" s="1"/>
  <c r="BA247" i="55" a="1"/>
  <c r="BA247" i="55"/>
  <c r="BA248" i="55" a="1"/>
  <c r="BA248" i="55" s="1"/>
  <c r="BA249" i="55" a="1"/>
  <c r="BA249" i="55" s="1"/>
  <c r="BA250" i="55" a="1"/>
  <c r="BA250" i="55" s="1"/>
  <c r="BA251" i="55" a="1"/>
  <c r="BA251" i="55" s="1"/>
  <c r="BA252" i="55" a="1"/>
  <c r="BA252" i="55" s="1"/>
  <c r="BA253" i="55" a="1"/>
  <c r="BA253" i="55" s="1"/>
  <c r="BA254" i="55" a="1"/>
  <c r="BA254" i="55" s="1"/>
  <c r="BA255" i="55" a="1"/>
  <c r="BA255" i="55" s="1"/>
  <c r="BA256" i="55" a="1"/>
  <c r="BA256" i="55" s="1"/>
  <c r="BA257" i="55" a="1"/>
  <c r="BA257" i="55"/>
  <c r="BA258" i="55" a="1"/>
  <c r="BA258" i="55"/>
  <c r="BA259" i="55" a="1"/>
  <c r="BA259" i="55" s="1"/>
  <c r="BA260" i="55" a="1"/>
  <c r="BA260" i="55" s="1"/>
  <c r="BA261" i="55" a="1"/>
  <c r="BA261" i="55"/>
  <c r="BA262" i="55" a="1"/>
  <c r="BA262" i="55"/>
  <c r="BA263" i="55" a="1"/>
  <c r="BA263" i="55" s="1"/>
  <c r="BA264" i="55" a="1"/>
  <c r="BA264" i="55" s="1"/>
  <c r="BA265" i="55" a="1"/>
  <c r="BA265" i="55" s="1"/>
  <c r="BA266" i="55" a="1"/>
  <c r="BA266" i="55"/>
  <c r="BA267" i="55" a="1"/>
  <c r="BA267" i="55"/>
  <c r="BA268" i="55" a="1"/>
  <c r="BA268" i="55" s="1"/>
  <c r="BA269" i="55" a="1"/>
  <c r="BA269" i="55" s="1"/>
  <c r="BA270" i="55" a="1"/>
  <c r="BA270" i="55" s="1"/>
  <c r="BA271" i="55" a="1"/>
  <c r="BA271" i="55"/>
  <c r="GO271" i="55" s="1"/>
  <c r="BA272" i="55" a="1"/>
  <c r="BA272" i="55" s="1"/>
  <c r="BA273" i="55" a="1"/>
  <c r="BA273" i="55" s="1"/>
  <c r="BA274" i="55" a="1"/>
  <c r="BA274" i="55" s="1"/>
  <c r="BA275" i="55" a="1"/>
  <c r="BA275" i="55"/>
  <c r="BA276" i="55" a="1"/>
  <c r="BA276" i="55" s="1"/>
  <c r="BA277" i="55" a="1"/>
  <c r="BA277" i="55" s="1"/>
  <c r="BA278" i="55" a="1"/>
  <c r="BA278" i="55" s="1"/>
  <c r="BA279" i="55" a="1"/>
  <c r="BA279" i="55"/>
  <c r="BA280" i="55" a="1"/>
  <c r="BA280" i="55" s="1"/>
  <c r="BA281" i="55" a="1"/>
  <c r="BA281" i="55" s="1"/>
  <c r="BA282" i="55" a="1"/>
  <c r="BA282" i="55" s="1"/>
  <c r="BA283" i="55" a="1"/>
  <c r="BA283" i="55" s="1"/>
  <c r="BA284" i="55" a="1"/>
  <c r="BA284" i="55" s="1"/>
  <c r="BA285" i="55" a="1"/>
  <c r="BA285" i="55" s="1"/>
  <c r="BA286" i="55" a="1"/>
  <c r="BA286" i="55"/>
  <c r="BA287" i="55" a="1"/>
  <c r="BA287" i="55" s="1"/>
  <c r="BA288" i="55" a="1"/>
  <c r="BA288" i="55" s="1"/>
  <c r="BA289" i="55" a="1"/>
  <c r="BA289" i="55"/>
  <c r="BA290" i="55" a="1"/>
  <c r="BA290" i="55" s="1"/>
  <c r="BA291" i="55" a="1"/>
  <c r="BA291" i="55" s="1"/>
  <c r="BA292" i="55" a="1"/>
  <c r="BA292" i="55" s="1"/>
  <c r="BA293" i="55" a="1"/>
  <c r="BA293" i="55"/>
  <c r="BA294" i="55" a="1"/>
  <c r="BA294" i="55" s="1"/>
  <c r="BA295" i="55" a="1"/>
  <c r="BA295" i="55"/>
  <c r="BA296" i="55" a="1"/>
  <c r="BA296" i="55" s="1"/>
  <c r="BA297" i="55" a="1"/>
  <c r="BA297" i="55" s="1"/>
  <c r="BA298" i="55" a="1"/>
  <c r="BA298" i="55"/>
  <c r="BA299" i="55" a="1"/>
  <c r="BA299" i="55" s="1"/>
  <c r="BA300" i="55" a="1"/>
  <c r="BA300" i="55" s="1"/>
  <c r="BA301" i="55" a="1"/>
  <c r="BA301" i="55" s="1"/>
  <c r="BA302" i="55" a="1"/>
  <c r="BA302" i="55"/>
  <c r="BA303" i="55" a="1"/>
  <c r="BA303" i="55"/>
  <c r="BA304" i="55" a="1"/>
  <c r="BA304" i="55" s="1"/>
  <c r="BA305" i="55" a="1"/>
  <c r="BA305" i="55" s="1"/>
  <c r="BA306" i="55" a="1"/>
  <c r="BA306" i="55"/>
  <c r="BA307" i="55" a="1"/>
  <c r="BA307" i="55" s="1"/>
  <c r="BA308" i="55" a="1"/>
  <c r="BA308" i="55" s="1"/>
  <c r="BA309" i="55" a="1"/>
  <c r="BA309" i="55" s="1"/>
  <c r="BA310" i="55" a="1"/>
  <c r="BA310" i="55" s="1"/>
  <c r="BA311" i="55" a="1"/>
  <c r="BA311" i="55" s="1"/>
  <c r="BA312" i="55" a="1"/>
  <c r="BA312" i="55" s="1"/>
  <c r="BA313" i="55" a="1"/>
  <c r="BA313" i="55"/>
  <c r="BA314" i="55" a="1"/>
  <c r="BA314" i="55"/>
  <c r="BA315" i="55" a="1"/>
  <c r="BA315" i="55" s="1"/>
  <c r="BA316" i="55" a="1"/>
  <c r="BA316" i="55" s="1"/>
  <c r="BA317" i="55" a="1"/>
  <c r="BA317" i="55" s="1"/>
  <c r="BA318" i="55" a="1"/>
  <c r="BA318" i="55" s="1"/>
  <c r="BA319" i="55" a="1"/>
  <c r="BA319" i="55" s="1"/>
  <c r="BA320" i="55" a="1"/>
  <c r="BA320" i="55" s="1"/>
  <c r="BA321" i="55" a="1"/>
  <c r="BA321" i="55"/>
  <c r="BA322" i="55" a="1"/>
  <c r="BA322" i="55" s="1"/>
  <c r="BA323" i="55" a="1"/>
  <c r="BA323" i="55" s="1"/>
  <c r="BA324" i="55" a="1"/>
  <c r="BA324" i="55" s="1"/>
  <c r="BA325" i="55" a="1"/>
  <c r="BA325" i="55" s="1"/>
  <c r="BA326" i="55" a="1"/>
  <c r="BA326" i="55" s="1"/>
  <c r="BA327" i="55" a="1"/>
  <c r="BA327" i="55" s="1"/>
  <c r="BA328" i="55" a="1"/>
  <c r="BA328" i="55" s="1"/>
  <c r="BA329" i="55" a="1"/>
  <c r="BA329" i="55"/>
  <c r="BA330" i="55" a="1"/>
  <c r="BA330" i="55" s="1"/>
  <c r="BA331" i="55" a="1"/>
  <c r="BA331" i="55"/>
  <c r="BA332" i="55" a="1"/>
  <c r="BA332" i="55" s="1"/>
  <c r="BA333" i="55" a="1"/>
  <c r="BA333" i="55" s="1"/>
  <c r="BA334" i="55" a="1"/>
  <c r="BA334" i="55" s="1"/>
  <c r="BA335" i="55" a="1"/>
  <c r="BA335" i="55" s="1"/>
  <c r="BA336" i="55" a="1"/>
  <c r="BA336" i="55" s="1"/>
  <c r="BA337" i="55" a="1"/>
  <c r="BA337" i="55" s="1"/>
  <c r="BA338" i="55" a="1"/>
  <c r="BA338" i="55"/>
  <c r="BA339" i="55" a="1"/>
  <c r="BA339" i="55"/>
  <c r="BA340" i="55" a="1"/>
  <c r="BA340" i="55" s="1"/>
  <c r="BA341" i="55" a="1"/>
  <c r="BA341" i="55"/>
  <c r="BA342" i="55" a="1"/>
  <c r="BA342" i="55" s="1"/>
  <c r="BA343" i="55" a="1"/>
  <c r="BA343" i="55" s="1"/>
  <c r="BA344" i="55" a="1"/>
  <c r="BA344" i="55" s="1"/>
  <c r="BA345" i="55" a="1"/>
  <c r="BA345" i="55" s="1"/>
  <c r="BA346" i="55" a="1"/>
  <c r="BA346" i="55"/>
  <c r="BA347" i="55" a="1"/>
  <c r="BA347" i="55"/>
  <c r="BA348" i="55" a="1"/>
  <c r="BA348" i="55" s="1"/>
  <c r="BA349" i="55" a="1"/>
  <c r="BA349" i="55"/>
  <c r="BA350" i="55" a="1"/>
  <c r="BA350" i="55"/>
  <c r="BA351" i="55" a="1"/>
  <c r="BA351" i="55"/>
  <c r="BA352" i="55" a="1"/>
  <c r="BA352" i="55" s="1"/>
  <c r="S33" i="55"/>
  <c r="S34" i="55"/>
  <c r="S37" i="55"/>
  <c r="S40" i="55"/>
  <c r="S41" i="55"/>
  <c r="S42" i="55"/>
  <c r="S43" i="55"/>
  <c r="S122" i="55"/>
  <c r="S126" i="55"/>
  <c r="S129" i="55"/>
  <c r="S138" i="55"/>
  <c r="S170" i="55"/>
  <c r="S234" i="55"/>
  <c r="S298" i="55"/>
  <c r="P4" i="55"/>
  <c r="P8" i="55"/>
  <c r="P9" i="55"/>
  <c r="P10" i="55"/>
  <c r="P11" i="55"/>
  <c r="P15" i="55"/>
  <c r="P20" i="55"/>
  <c r="P24" i="55"/>
  <c r="P25" i="55"/>
  <c r="P26" i="55"/>
  <c r="P31" i="55"/>
  <c r="P42" i="55"/>
  <c r="P45" i="55"/>
  <c r="P56" i="55"/>
  <c r="FA56" i="55" s="1"/>
  <c r="P57" i="55"/>
  <c r="FA57" i="55" s="1"/>
  <c r="P58" i="55"/>
  <c r="FA58" i="55" s="1"/>
  <c r="P59" i="55"/>
  <c r="FA59" i="55" s="1"/>
  <c r="P63" i="55"/>
  <c r="FA63" i="55" s="1"/>
  <c r="P70" i="55"/>
  <c r="P79" i="55"/>
  <c r="P81" i="55"/>
  <c r="P88" i="55"/>
  <c r="FA88" i="55" s="1"/>
  <c r="P89" i="55"/>
  <c r="FA89" i="55" s="1"/>
  <c r="P90" i="55"/>
  <c r="P91" i="55"/>
  <c r="P95" i="55"/>
  <c r="P104" i="55"/>
  <c r="P106" i="55"/>
  <c r="P107" i="55"/>
  <c r="FA107" i="55" s="1"/>
  <c r="P116" i="55"/>
  <c r="P127" i="55"/>
  <c r="FA127" i="55" s="1"/>
  <c r="P128" i="55"/>
  <c r="FA128" i="55" s="1"/>
  <c r="P136" i="55"/>
  <c r="FA136" i="55" s="1"/>
  <c r="P149" i="55"/>
  <c r="P153" i="55"/>
  <c r="FA153" i="55" s="1"/>
  <c r="P154" i="55"/>
  <c r="P161" i="55"/>
  <c r="P173" i="55"/>
  <c r="P180" i="55"/>
  <c r="P181" i="55"/>
  <c r="P216" i="55"/>
  <c r="P225" i="55"/>
  <c r="P234" i="55"/>
  <c r="P241" i="55"/>
  <c r="P251" i="55"/>
  <c r="FA251" i="55" s="1"/>
  <c r="P276" i="55"/>
  <c r="FA276" i="55" s="1"/>
  <c r="P278" i="55"/>
  <c r="FA278" i="55" s="1"/>
  <c r="P279" i="55"/>
  <c r="FA279" i="55" s="1"/>
  <c r="P282" i="55"/>
  <c r="FA282" i="55" s="1"/>
  <c r="P301" i="55"/>
  <c r="FA301" i="55" s="1"/>
  <c r="P312" i="55"/>
  <c r="FA312" i="55" s="1"/>
  <c r="P313" i="55"/>
  <c r="P325" i="55"/>
  <c r="P330" i="55"/>
  <c r="FA330" i="55" s="1"/>
  <c r="P336" i="55"/>
  <c r="P337" i="55"/>
  <c r="P338" i="55"/>
  <c r="P344" i="55"/>
  <c r="FA344" i="55" s="1"/>
  <c r="P346" i="55"/>
  <c r="P347" i="55"/>
  <c r="P348" i="55"/>
  <c r="V503" i="19"/>
  <c r="X503" i="19" s="1"/>
  <c r="V502" i="19"/>
  <c r="X502" i="19" s="1"/>
  <c r="V501" i="19"/>
  <c r="V500" i="19"/>
  <c r="V499" i="19"/>
  <c r="V498" i="19"/>
  <c r="W498" i="19" s="1"/>
  <c r="V497" i="19"/>
  <c r="V496" i="19"/>
  <c r="X496" i="19" s="1"/>
  <c r="V495" i="19"/>
  <c r="V494" i="19"/>
  <c r="W493" i="19"/>
  <c r="V493" i="19"/>
  <c r="X493" i="19" s="1"/>
  <c r="V492" i="19"/>
  <c r="X492" i="19" s="1"/>
  <c r="V491" i="19"/>
  <c r="V490" i="19"/>
  <c r="X490" i="19" s="1"/>
  <c r="V489" i="19"/>
  <c r="V488" i="19"/>
  <c r="X488" i="19" s="1"/>
  <c r="V487" i="19"/>
  <c r="X487" i="19" s="1"/>
  <c r="V486" i="19"/>
  <c r="X486" i="19" s="1"/>
  <c r="V485" i="19"/>
  <c r="X485" i="19" s="1"/>
  <c r="V484" i="19"/>
  <c r="X484" i="19" s="1"/>
  <c r="V483" i="19"/>
  <c r="X483" i="19" s="1"/>
  <c r="V482" i="19"/>
  <c r="W482" i="19" s="1"/>
  <c r="V481" i="19"/>
  <c r="V480" i="19"/>
  <c r="V479" i="19"/>
  <c r="V478" i="19"/>
  <c r="X478" i="19" s="1"/>
  <c r="V477" i="19"/>
  <c r="V476" i="19"/>
  <c r="X476" i="19" s="1"/>
  <c r="V475" i="19"/>
  <c r="X475" i="19" s="1"/>
  <c r="V474" i="19"/>
  <c r="W474" i="19" s="1"/>
  <c r="V473" i="19"/>
  <c r="V472" i="19"/>
  <c r="W472" i="19" s="1"/>
  <c r="V471" i="19"/>
  <c r="X471" i="19" s="1"/>
  <c r="V470" i="19"/>
  <c r="X470" i="19" s="1"/>
  <c r="V469" i="19"/>
  <c r="V468" i="19"/>
  <c r="V467" i="19"/>
  <c r="V466" i="19"/>
  <c r="W466" i="19" s="1"/>
  <c r="V465" i="19"/>
  <c r="V464" i="19"/>
  <c r="X464" i="19" s="1"/>
  <c r="V463" i="19"/>
  <c r="V462" i="19"/>
  <c r="X462" i="19" s="1"/>
  <c r="V461" i="19"/>
  <c r="X461" i="19" s="1"/>
  <c r="V460" i="19"/>
  <c r="X460" i="19" s="1"/>
  <c r="V459" i="19"/>
  <c r="V458" i="19"/>
  <c r="W458" i="19" s="1"/>
  <c r="V457" i="19"/>
  <c r="V456" i="19"/>
  <c r="X456" i="19" s="1"/>
  <c r="V455" i="19"/>
  <c r="X455" i="19" s="1"/>
  <c r="V454" i="19"/>
  <c r="X454" i="19" s="1"/>
  <c r="V453" i="19"/>
  <c r="V452" i="19"/>
  <c r="X452" i="19" s="1"/>
  <c r="V451" i="19"/>
  <c r="X451" i="19" s="1"/>
  <c r="V450" i="19"/>
  <c r="W450" i="19" s="1"/>
  <c r="V449" i="19"/>
  <c r="V448" i="19"/>
  <c r="V447" i="19"/>
  <c r="V446" i="19"/>
  <c r="V445" i="19"/>
  <c r="W445" i="19" s="1"/>
  <c r="V444" i="19"/>
  <c r="X444" i="19" s="1"/>
  <c r="V443" i="19"/>
  <c r="X443" i="19" s="1"/>
  <c r="V442" i="19"/>
  <c r="X442" i="19" s="1"/>
  <c r="V441" i="19"/>
  <c r="V440" i="19"/>
  <c r="X440" i="19" s="1"/>
  <c r="V439" i="19"/>
  <c r="X439" i="19" s="1"/>
  <c r="V438" i="19"/>
  <c r="X438" i="19" s="1"/>
  <c r="V437" i="19"/>
  <c r="V436" i="19"/>
  <c r="W436" i="19" s="1"/>
  <c r="V435" i="19"/>
  <c r="V434" i="19"/>
  <c r="V433" i="19"/>
  <c r="V432" i="19"/>
  <c r="X432" i="19" s="1"/>
  <c r="V431" i="19"/>
  <c r="V430" i="19"/>
  <c r="V429" i="19"/>
  <c r="W429" i="19" s="1"/>
  <c r="V428" i="19"/>
  <c r="X428" i="19" s="1"/>
  <c r="V427" i="19"/>
  <c r="V426" i="19"/>
  <c r="X426" i="19" s="1"/>
  <c r="V425" i="19"/>
  <c r="V424" i="19"/>
  <c r="X424" i="19" s="1"/>
  <c r="V423" i="19"/>
  <c r="X423" i="19" s="1"/>
  <c r="V422" i="19"/>
  <c r="X422" i="19" s="1"/>
  <c r="V421" i="19"/>
  <c r="W421" i="19" s="1"/>
  <c r="V420" i="19"/>
  <c r="W420" i="19" s="1"/>
  <c r="V419" i="19"/>
  <c r="V418" i="19"/>
  <c r="W418" i="19" s="1"/>
  <c r="V417" i="19"/>
  <c r="V416" i="19"/>
  <c r="W416" i="19" s="1"/>
  <c r="V415" i="19"/>
  <c r="W415" i="19" s="1"/>
  <c r="V414" i="19"/>
  <c r="V413" i="19"/>
  <c r="X413" i="19" s="1"/>
  <c r="V412" i="19"/>
  <c r="X412" i="19" s="1"/>
  <c r="V411" i="19"/>
  <c r="X411" i="19" s="1"/>
  <c r="V410" i="19"/>
  <c r="X410" i="19" s="1"/>
  <c r="V409" i="19"/>
  <c r="V408" i="19"/>
  <c r="X408" i="19" s="1"/>
  <c r="V407" i="19"/>
  <c r="X407" i="19" s="1"/>
  <c r="V406" i="19"/>
  <c r="X406" i="19" s="1"/>
  <c r="V405" i="19"/>
  <c r="V404" i="19"/>
  <c r="V403" i="19"/>
  <c r="X403" i="19" s="1"/>
  <c r="V402" i="19"/>
  <c r="V401" i="19"/>
  <c r="V400" i="19"/>
  <c r="X400" i="19" s="1"/>
  <c r="V399" i="19"/>
  <c r="V398" i="19"/>
  <c r="W398" i="19" s="1"/>
  <c r="V397" i="19"/>
  <c r="X397" i="19" s="1"/>
  <c r="V396" i="19"/>
  <c r="X396" i="19" s="1"/>
  <c r="V395" i="19"/>
  <c r="W395" i="19" s="1"/>
  <c r="V394" i="19"/>
  <c r="V393" i="19"/>
  <c r="V392" i="19"/>
  <c r="X392" i="19" s="1"/>
  <c r="V391" i="19"/>
  <c r="X391" i="19" s="1"/>
  <c r="V390" i="19"/>
  <c r="X390" i="19" s="1"/>
  <c r="V389" i="19"/>
  <c r="W389" i="19" s="1"/>
  <c r="V388" i="19"/>
  <c r="W388" i="19" s="1"/>
  <c r="V387" i="19"/>
  <c r="X387" i="19" s="1"/>
  <c r="V386" i="19"/>
  <c r="V385" i="19"/>
  <c r="V384" i="19"/>
  <c r="X384" i="19" s="1"/>
  <c r="V383" i="19"/>
  <c r="V382" i="19"/>
  <c r="V381" i="19"/>
  <c r="X381" i="19" s="1"/>
  <c r="V380" i="19"/>
  <c r="X380" i="19" s="1"/>
  <c r="V379" i="19"/>
  <c r="W379" i="19" s="1"/>
  <c r="V378" i="19"/>
  <c r="V377" i="19"/>
  <c r="W377" i="19" s="1"/>
  <c r="V376" i="19"/>
  <c r="X376" i="19" s="1"/>
  <c r="V375" i="19"/>
  <c r="X375" i="19" s="1"/>
  <c r="V374" i="19"/>
  <c r="X374" i="19" s="1"/>
  <c r="V373" i="19"/>
  <c r="X373" i="19" s="1"/>
  <c r="V372" i="19"/>
  <c r="X372" i="19" s="1"/>
  <c r="V371" i="19"/>
  <c r="X371" i="19" s="1"/>
  <c r="V370" i="19"/>
  <c r="V369" i="19"/>
  <c r="V368" i="19"/>
  <c r="W368" i="19" s="1"/>
  <c r="V367" i="19"/>
  <c r="V366" i="19"/>
  <c r="X366" i="19" s="1"/>
  <c r="V365" i="19"/>
  <c r="X365" i="19" s="1"/>
  <c r="V364" i="19"/>
  <c r="X364" i="19" s="1"/>
  <c r="V363" i="19"/>
  <c r="W363" i="19" s="1"/>
  <c r="V362" i="19"/>
  <c r="W362" i="19" s="1"/>
  <c r="V361" i="19"/>
  <c r="V360" i="19"/>
  <c r="W360" i="19" s="1"/>
  <c r="V359" i="19"/>
  <c r="X359" i="19" s="1"/>
  <c r="V358" i="19"/>
  <c r="V357" i="19"/>
  <c r="V356" i="19"/>
  <c r="X356" i="19" s="1"/>
  <c r="V355" i="19"/>
  <c r="X355" i="19" s="1"/>
  <c r="V354" i="19"/>
  <c r="V353" i="19"/>
  <c r="V352" i="19"/>
  <c r="X352" i="19" s="1"/>
  <c r="V351" i="19"/>
  <c r="V350" i="19"/>
  <c r="V349" i="19"/>
  <c r="V348" i="19"/>
  <c r="X348" i="19" s="1"/>
  <c r="V347" i="19"/>
  <c r="V346" i="19"/>
  <c r="X346" i="19" s="1"/>
  <c r="V345" i="19"/>
  <c r="W345" i="19" s="1"/>
  <c r="V344" i="19"/>
  <c r="X344" i="19" s="1"/>
  <c r="V343" i="19"/>
  <c r="X343" i="19" s="1"/>
  <c r="V342" i="19"/>
  <c r="X342" i="19" s="1"/>
  <c r="V341" i="19"/>
  <c r="V340" i="19"/>
  <c r="V339" i="19"/>
  <c r="X339" i="19" s="1"/>
  <c r="V338" i="19"/>
  <c r="W338" i="19" s="1"/>
  <c r="V337" i="19"/>
  <c r="V336" i="19"/>
  <c r="X336" i="19" s="1"/>
  <c r="V335" i="19"/>
  <c r="V334" i="19"/>
  <c r="W334" i="19" s="1"/>
  <c r="V333" i="19"/>
  <c r="V332" i="19"/>
  <c r="X332" i="19" s="1"/>
  <c r="V331" i="19"/>
  <c r="V330" i="19"/>
  <c r="X330" i="19" s="1"/>
  <c r="V329" i="19"/>
  <c r="V328" i="19"/>
  <c r="W328" i="19" s="1"/>
  <c r="V327" i="19"/>
  <c r="X327" i="19" s="1"/>
  <c r="V326" i="19"/>
  <c r="V325" i="19"/>
  <c r="X325" i="19" s="1"/>
  <c r="V324" i="19"/>
  <c r="W324" i="19" s="1"/>
  <c r="V323" i="19"/>
  <c r="X323" i="19" s="1"/>
  <c r="V322" i="19"/>
  <c r="V321" i="19"/>
  <c r="V320" i="19"/>
  <c r="X320" i="19" s="1"/>
  <c r="V319" i="19"/>
  <c r="W319" i="19" s="1"/>
  <c r="V318" i="19"/>
  <c r="W318" i="19" s="1"/>
  <c r="V317" i="19"/>
  <c r="V316" i="19"/>
  <c r="X316" i="19" s="1"/>
  <c r="V315" i="19"/>
  <c r="V314" i="19"/>
  <c r="X314" i="19" s="1"/>
  <c r="V313" i="19"/>
  <c r="V312" i="19"/>
  <c r="W312" i="19" s="1"/>
  <c r="V311" i="19"/>
  <c r="X311" i="19" s="1"/>
  <c r="V310" i="19"/>
  <c r="X310" i="19" s="1"/>
  <c r="V309" i="19"/>
  <c r="X309" i="19" s="1"/>
  <c r="V308" i="19"/>
  <c r="X308" i="19" s="1"/>
  <c r="V307" i="19"/>
  <c r="X307" i="19" s="1"/>
  <c r="V306" i="19"/>
  <c r="W306" i="19" s="1"/>
  <c r="V305" i="19"/>
  <c r="V304" i="19"/>
  <c r="X304" i="19" s="1"/>
  <c r="V303" i="19"/>
  <c r="V302" i="19"/>
  <c r="X302" i="19" s="1"/>
  <c r="V301" i="19"/>
  <c r="X301" i="19" s="1"/>
  <c r="V300" i="19"/>
  <c r="X300" i="19" s="1"/>
  <c r="V299" i="19"/>
  <c r="V298" i="19"/>
  <c r="X298" i="19" s="1"/>
  <c r="V297" i="19"/>
  <c r="V296" i="19"/>
  <c r="V295" i="19"/>
  <c r="X295" i="19" s="1"/>
  <c r="V294" i="19"/>
  <c r="X294" i="19" s="1"/>
  <c r="V293" i="19"/>
  <c r="V292" i="19"/>
  <c r="X292" i="19" s="1"/>
  <c r="V291" i="19"/>
  <c r="X291" i="19" s="1"/>
  <c r="V290" i="19"/>
  <c r="W290" i="19" s="1"/>
  <c r="V289" i="19"/>
  <c r="V288" i="19"/>
  <c r="V287" i="19"/>
  <c r="X287" i="19" s="1"/>
  <c r="V286" i="19"/>
  <c r="V285" i="19"/>
  <c r="V284" i="19"/>
  <c r="X284" i="19" s="1"/>
  <c r="V283" i="19"/>
  <c r="W283" i="19" s="1"/>
  <c r="V282" i="19"/>
  <c r="V281" i="19"/>
  <c r="V280" i="19"/>
  <c r="V279" i="19"/>
  <c r="X279" i="19" s="1"/>
  <c r="V278" i="19"/>
  <c r="X278" i="19" s="1"/>
  <c r="V277" i="19"/>
  <c r="X277" i="19" s="1"/>
  <c r="V276" i="19"/>
  <c r="W276" i="19" s="1"/>
  <c r="V275" i="19"/>
  <c r="V274" i="19"/>
  <c r="W274" i="19" s="1"/>
  <c r="V273" i="19"/>
  <c r="V272" i="19"/>
  <c r="X272" i="19" s="1"/>
  <c r="V271" i="19"/>
  <c r="V270" i="19"/>
  <c r="V168" i="19"/>
  <c r="V167" i="19"/>
  <c r="X167" i="19" s="1"/>
  <c r="V166" i="19"/>
  <c r="X166" i="19" s="1"/>
  <c r="V165" i="19"/>
  <c r="X165" i="19" s="1"/>
  <c r="V164" i="19"/>
  <c r="X164" i="19" s="1"/>
  <c r="V163" i="19"/>
  <c r="V162" i="19"/>
  <c r="X162" i="19" s="1"/>
  <c r="V161" i="19"/>
  <c r="W161" i="19" s="1"/>
  <c r="V160" i="19"/>
  <c r="V159" i="19"/>
  <c r="V158" i="19"/>
  <c r="X158" i="19" s="1"/>
  <c r="T158" i="19"/>
  <c r="V157" i="19"/>
  <c r="W157" i="19" s="1"/>
  <c r="T157" i="19"/>
  <c r="V156" i="19"/>
  <c r="X156" i="19" s="1"/>
  <c r="T156" i="19"/>
  <c r="V155" i="19"/>
  <c r="X155" i="19" s="1"/>
  <c r="T155" i="19"/>
  <c r="V154" i="19"/>
  <c r="T154" i="19"/>
  <c r="V153" i="19"/>
  <c r="X153" i="19" s="1"/>
  <c r="T153" i="19"/>
  <c r="V152" i="19"/>
  <c r="X152" i="19" s="1"/>
  <c r="T152" i="19"/>
  <c r="V151" i="19"/>
  <c r="T151" i="19"/>
  <c r="V150" i="19"/>
  <c r="X150" i="19" s="1"/>
  <c r="T150" i="19"/>
  <c r="V149" i="19"/>
  <c r="X149" i="19" s="1"/>
  <c r="T149" i="19"/>
  <c r="V148" i="19"/>
  <c r="X148" i="19" s="1"/>
  <c r="T148" i="19"/>
  <c r="V147" i="19"/>
  <c r="X147" i="19" s="1"/>
  <c r="T147" i="19"/>
  <c r="V146" i="19"/>
  <c r="T146" i="19"/>
  <c r="V145" i="19"/>
  <c r="T145" i="19"/>
  <c r="V144" i="19"/>
  <c r="X144" i="19" s="1"/>
  <c r="T144" i="19"/>
  <c r="V143" i="19"/>
  <c r="W143" i="19" s="1"/>
  <c r="T143" i="19"/>
  <c r="V142" i="19"/>
  <c r="T142" i="19"/>
  <c r="V141" i="19"/>
  <c r="W141" i="19" s="1"/>
  <c r="T141" i="19"/>
  <c r="V140" i="19"/>
  <c r="X140" i="19" s="1"/>
  <c r="T140" i="19"/>
  <c r="V139" i="19"/>
  <c r="X139" i="19" s="1"/>
  <c r="T139" i="19"/>
  <c r="V138" i="19"/>
  <c r="X138" i="19" s="1"/>
  <c r="T138" i="19"/>
  <c r="V137" i="19"/>
  <c r="X137" i="19" s="1"/>
  <c r="T137" i="19"/>
  <c r="V136" i="19"/>
  <c r="X136" i="19" s="1"/>
  <c r="T136" i="19"/>
  <c r="V135" i="19"/>
  <c r="W135" i="19" s="1"/>
  <c r="T135" i="19"/>
  <c r="V134" i="19"/>
  <c r="W134" i="19" s="1"/>
  <c r="T134" i="19"/>
  <c r="V133" i="19"/>
  <c r="T133" i="19"/>
  <c r="V132" i="19"/>
  <c r="X132" i="19" s="1"/>
  <c r="T132" i="19"/>
  <c r="V131" i="19"/>
  <c r="T131" i="19"/>
  <c r="V130" i="19"/>
  <c r="X130" i="19" s="1"/>
  <c r="T130" i="19"/>
  <c r="V129" i="19"/>
  <c r="X129" i="19" s="1"/>
  <c r="T129" i="19"/>
  <c r="V128" i="19"/>
  <c r="X128" i="19" s="1"/>
  <c r="T128" i="19"/>
  <c r="V127" i="19"/>
  <c r="X127" i="19" s="1"/>
  <c r="T127" i="19"/>
  <c r="V126" i="19"/>
  <c r="T126" i="19"/>
  <c r="V125" i="19"/>
  <c r="X125" i="19" s="1"/>
  <c r="T125" i="19"/>
  <c r="V124" i="19"/>
  <c r="X124" i="19" s="1"/>
  <c r="T124" i="19"/>
  <c r="V123" i="19"/>
  <c r="X123" i="19" s="1"/>
  <c r="T123" i="19"/>
  <c r="V122" i="19"/>
  <c r="X122" i="19" s="1"/>
  <c r="T122" i="19"/>
  <c r="V121" i="19"/>
  <c r="T121" i="19"/>
  <c r="V120" i="19"/>
  <c r="X120" i="19" s="1"/>
  <c r="T120" i="19"/>
  <c r="V119" i="19"/>
  <c r="T119" i="19"/>
  <c r="V118" i="19"/>
  <c r="X118" i="19" s="1"/>
  <c r="T118" i="19"/>
  <c r="V117" i="19"/>
  <c r="X117" i="19" s="1"/>
  <c r="T117" i="19"/>
  <c r="V116" i="19"/>
  <c r="X116" i="19" s="1"/>
  <c r="T116" i="19"/>
  <c r="V115" i="19"/>
  <c r="X115" i="19" s="1"/>
  <c r="T115" i="19"/>
  <c r="V114" i="19"/>
  <c r="W114" i="19" s="1"/>
  <c r="T114" i="19"/>
  <c r="V113" i="19"/>
  <c r="X113" i="19" s="1"/>
  <c r="T113" i="19"/>
  <c r="V112" i="19"/>
  <c r="X112" i="19" s="1"/>
  <c r="T112" i="19"/>
  <c r="V111" i="19"/>
  <c r="X111" i="19" s="1"/>
  <c r="T111" i="19"/>
  <c r="V110" i="19"/>
  <c r="T110" i="19"/>
  <c r="V109" i="19"/>
  <c r="X109" i="19" s="1"/>
  <c r="T109" i="19"/>
  <c r="V108" i="19"/>
  <c r="X108" i="19" s="1"/>
  <c r="T108" i="19"/>
  <c r="V107" i="19"/>
  <c r="X107" i="19" s="1"/>
  <c r="T107" i="19"/>
  <c r="V106" i="19"/>
  <c r="X106" i="19" s="1"/>
  <c r="T106" i="19"/>
  <c r="V105" i="19"/>
  <c r="W105" i="19" s="1"/>
  <c r="T105" i="19"/>
  <c r="V104" i="19"/>
  <c r="X104" i="19" s="1"/>
  <c r="T104" i="19"/>
  <c r="V103" i="19"/>
  <c r="W103" i="19" s="1"/>
  <c r="T103" i="19"/>
  <c r="V102" i="19"/>
  <c r="W102" i="19" s="1"/>
  <c r="T102" i="19"/>
  <c r="V101" i="19"/>
  <c r="T101" i="19"/>
  <c r="V100" i="19"/>
  <c r="X100" i="19" s="1"/>
  <c r="T100" i="19"/>
  <c r="V99" i="19"/>
  <c r="W99" i="19" s="1"/>
  <c r="T99" i="19"/>
  <c r="V98" i="19"/>
  <c r="T98" i="19"/>
  <c r="V97" i="19"/>
  <c r="X97" i="19" s="1"/>
  <c r="T97" i="19"/>
  <c r="V96" i="19"/>
  <c r="X96" i="19" s="1"/>
  <c r="T96" i="19"/>
  <c r="V95" i="19"/>
  <c r="T95" i="19"/>
  <c r="V94" i="19"/>
  <c r="T94" i="19"/>
  <c r="V93" i="19"/>
  <c r="X93" i="19" s="1"/>
  <c r="T93" i="19"/>
  <c r="V92" i="19"/>
  <c r="X92" i="19" s="1"/>
  <c r="T92" i="19"/>
  <c r="V91" i="19"/>
  <c r="X91" i="19" s="1"/>
  <c r="T91" i="19"/>
  <c r="V90" i="19"/>
  <c r="W90" i="19" s="1"/>
  <c r="T90" i="19"/>
  <c r="V89" i="19"/>
  <c r="X89" i="19" s="1"/>
  <c r="T89" i="19"/>
  <c r="V88" i="19"/>
  <c r="X88" i="19" s="1"/>
  <c r="T88" i="19"/>
  <c r="V87" i="19"/>
  <c r="T87" i="19"/>
  <c r="V86" i="19"/>
  <c r="T86" i="19"/>
  <c r="V85" i="19"/>
  <c r="T85" i="19"/>
  <c r="V84" i="19"/>
  <c r="X84" i="19" s="1"/>
  <c r="T84" i="19"/>
  <c r="V83" i="19"/>
  <c r="X83" i="19" s="1"/>
  <c r="T83" i="19"/>
  <c r="V82" i="19"/>
  <c r="X82" i="19" s="1"/>
  <c r="T82" i="19"/>
  <c r="V81" i="19"/>
  <c r="T81" i="19"/>
  <c r="V80" i="19"/>
  <c r="X80" i="19" s="1"/>
  <c r="T80" i="19"/>
  <c r="V79" i="19"/>
  <c r="W79" i="19" s="1"/>
  <c r="T79" i="19"/>
  <c r="V78" i="19"/>
  <c r="T78" i="19"/>
  <c r="V77" i="19"/>
  <c r="X77" i="19" s="1"/>
  <c r="T77" i="19"/>
  <c r="V76" i="19"/>
  <c r="X76" i="19" s="1"/>
  <c r="T76" i="19"/>
  <c r="V75" i="19"/>
  <c r="T75" i="19"/>
  <c r="V74" i="19"/>
  <c r="X74" i="19" s="1"/>
  <c r="T74" i="19"/>
  <c r="V73" i="19"/>
  <c r="W73" i="19" s="1"/>
  <c r="T73" i="19"/>
  <c r="V72" i="19"/>
  <c r="X72" i="19" s="1"/>
  <c r="T72" i="19"/>
  <c r="V71" i="19"/>
  <c r="W71" i="19" s="1"/>
  <c r="T71" i="19"/>
  <c r="V70" i="19"/>
  <c r="T70" i="19"/>
  <c r="V69" i="19"/>
  <c r="T69" i="19"/>
  <c r="V68" i="19"/>
  <c r="X68" i="19" s="1"/>
  <c r="T68" i="19"/>
  <c r="V67" i="19"/>
  <c r="T67" i="19"/>
  <c r="V66" i="19"/>
  <c r="X66" i="19" s="1"/>
  <c r="T66" i="19"/>
  <c r="V65" i="19"/>
  <c r="X65" i="19" s="1"/>
  <c r="T65" i="19"/>
  <c r="V64" i="19"/>
  <c r="X64" i="19" s="1"/>
  <c r="T64" i="19"/>
  <c r="V63" i="19"/>
  <c r="T63" i="19"/>
  <c r="V62" i="19"/>
  <c r="W62" i="19" s="1"/>
  <c r="T62" i="19"/>
  <c r="V61" i="19"/>
  <c r="T61" i="19"/>
  <c r="V60" i="19"/>
  <c r="X60" i="19" s="1"/>
  <c r="T60" i="19"/>
  <c r="V59" i="19"/>
  <c r="T59" i="19"/>
  <c r="V58" i="19"/>
  <c r="X58" i="19" s="1"/>
  <c r="T58" i="19"/>
  <c r="V57" i="19"/>
  <c r="W57" i="19" s="1"/>
  <c r="T57" i="19"/>
  <c r="V56" i="19"/>
  <c r="X56" i="19" s="1"/>
  <c r="T56" i="19"/>
  <c r="V55" i="19"/>
  <c r="T55" i="19"/>
  <c r="V54" i="19"/>
  <c r="W54" i="19" s="1"/>
  <c r="T54" i="19"/>
  <c r="V53" i="19"/>
  <c r="T53" i="19"/>
  <c r="V52" i="19"/>
  <c r="X52" i="19" s="1"/>
  <c r="T52" i="19"/>
  <c r="V51" i="19"/>
  <c r="X51" i="19" s="1"/>
  <c r="T51" i="19"/>
  <c r="V50" i="19"/>
  <c r="W50" i="19" s="1"/>
  <c r="T50" i="19"/>
  <c r="V49" i="19"/>
  <c r="W49" i="19" s="1"/>
  <c r="T49" i="19"/>
  <c r="V48" i="19"/>
  <c r="X48" i="19" s="1"/>
  <c r="T48" i="19"/>
  <c r="V47" i="19"/>
  <c r="X47" i="19" s="1"/>
  <c r="T47" i="19"/>
  <c r="V46" i="19"/>
  <c r="T46" i="19"/>
  <c r="V45" i="19"/>
  <c r="W45" i="19" s="1"/>
  <c r="T45" i="19"/>
  <c r="V44" i="19"/>
  <c r="X44" i="19" s="1"/>
  <c r="T44" i="19"/>
  <c r="V43" i="19"/>
  <c r="X43" i="19" s="1"/>
  <c r="T43" i="19"/>
  <c r="V42" i="19"/>
  <c r="X42" i="19" s="1"/>
  <c r="T42" i="19"/>
  <c r="V41" i="19"/>
  <c r="T41" i="19"/>
  <c r="V40" i="19"/>
  <c r="X40" i="19" s="1"/>
  <c r="T40" i="19"/>
  <c r="V39" i="19"/>
  <c r="T39" i="19"/>
  <c r="V38" i="19"/>
  <c r="W38" i="19" s="1"/>
  <c r="T38" i="19"/>
  <c r="V37" i="19"/>
  <c r="T37" i="19"/>
  <c r="V36" i="19"/>
  <c r="X36" i="19" s="1"/>
  <c r="T36" i="19"/>
  <c r="V35" i="19"/>
  <c r="X35" i="19" s="1"/>
  <c r="T35" i="19"/>
  <c r="V34" i="19"/>
  <c r="T34" i="19"/>
  <c r="V33" i="19"/>
  <c r="X33" i="19" s="1"/>
  <c r="T33" i="19"/>
  <c r="V32" i="19"/>
  <c r="X32" i="19" s="1"/>
  <c r="T32" i="19"/>
  <c r="V31" i="19"/>
  <c r="X31" i="19" s="1"/>
  <c r="T31" i="19"/>
  <c r="V30" i="19"/>
  <c r="T30" i="19"/>
  <c r="V29" i="19"/>
  <c r="X29" i="19" s="1"/>
  <c r="T29" i="19"/>
  <c r="V28" i="19"/>
  <c r="X28" i="19" s="1"/>
  <c r="T28" i="19"/>
  <c r="V27" i="19"/>
  <c r="X27" i="19" s="1"/>
  <c r="T27" i="19"/>
  <c r="V26" i="19"/>
  <c r="T26" i="19"/>
  <c r="V25" i="19"/>
  <c r="T25" i="19"/>
  <c r="V24" i="19"/>
  <c r="X24" i="19" s="1"/>
  <c r="T24" i="19"/>
  <c r="V23" i="19"/>
  <c r="T23" i="19"/>
  <c r="V22" i="19"/>
  <c r="X22" i="19" s="1"/>
  <c r="T22" i="19"/>
  <c r="V21" i="19"/>
  <c r="T21" i="19"/>
  <c r="V20" i="19"/>
  <c r="X20" i="19" s="1"/>
  <c r="T20" i="19"/>
  <c r="V19" i="19"/>
  <c r="X19" i="19" s="1"/>
  <c r="T19" i="19"/>
  <c r="V18" i="19"/>
  <c r="T18" i="19"/>
  <c r="V17" i="19"/>
  <c r="T17" i="19"/>
  <c r="E17" i="19"/>
  <c r="F17" i="19" s="1"/>
  <c r="V16" i="19"/>
  <c r="X16" i="19" s="1"/>
  <c r="T16" i="19"/>
  <c r="E16" i="19"/>
  <c r="F16" i="19" s="1"/>
  <c r="V15" i="19"/>
  <c r="T15" i="19"/>
  <c r="E15" i="19"/>
  <c r="F15" i="19" s="1"/>
  <c r="V14" i="19"/>
  <c r="W14" i="19" s="1"/>
  <c r="T14" i="19"/>
  <c r="E14" i="19"/>
  <c r="F14" i="19" s="1"/>
  <c r="V13" i="19"/>
  <c r="T13" i="19"/>
  <c r="E13" i="19"/>
  <c r="F13" i="19" s="1"/>
  <c r="V12" i="19"/>
  <c r="T12" i="19"/>
  <c r="E12" i="19"/>
  <c r="F12" i="19" s="1"/>
  <c r="V11" i="19"/>
  <c r="X11" i="19" s="1"/>
  <c r="T11" i="19"/>
  <c r="E11" i="19"/>
  <c r="F11" i="19" s="1"/>
  <c r="V10" i="19"/>
  <c r="X10" i="19" s="1"/>
  <c r="T10" i="19"/>
  <c r="E10" i="19"/>
  <c r="F10" i="19" s="1"/>
  <c r="V9" i="19"/>
  <c r="T9" i="19"/>
  <c r="E9" i="19"/>
  <c r="F9" i="19" s="1"/>
  <c r="V8" i="19"/>
  <c r="X8" i="19" s="1"/>
  <c r="T8" i="19"/>
  <c r="E8" i="19"/>
  <c r="F8" i="19" s="1"/>
  <c r="V7" i="19"/>
  <c r="W7" i="19" s="1"/>
  <c r="T7" i="19"/>
  <c r="E7" i="19"/>
  <c r="F7" i="19" s="1"/>
  <c r="V6" i="19"/>
  <c r="X6" i="19" s="1"/>
  <c r="T6" i="19"/>
  <c r="E6" i="19"/>
  <c r="F6" i="19" s="1"/>
  <c r="V5" i="19"/>
  <c r="T5" i="19"/>
  <c r="E5" i="19"/>
  <c r="F5" i="19" s="1"/>
  <c r="V4" i="19"/>
  <c r="T4" i="19"/>
  <c r="E4" i="19"/>
  <c r="F4" i="19" s="1"/>
  <c r="AC500" i="42"/>
  <c r="AA500" i="42"/>
  <c r="Y500" i="42"/>
  <c r="V500" i="42"/>
  <c r="P500" i="42"/>
  <c r="AE500" i="42" s="1"/>
  <c r="AF500" i="42" s="1"/>
  <c r="AC499" i="42"/>
  <c r="AA499" i="42"/>
  <c r="Y499" i="42"/>
  <c r="V499" i="42"/>
  <c r="P499" i="42"/>
  <c r="AE499" i="42" s="1"/>
  <c r="AF499" i="42" s="1"/>
  <c r="AC498" i="42"/>
  <c r="AA498" i="42"/>
  <c r="Y498" i="42"/>
  <c r="P498" i="42"/>
  <c r="AE498" i="42" s="1"/>
  <c r="AF498" i="42" s="1"/>
  <c r="AC497" i="42"/>
  <c r="AA497" i="42"/>
  <c r="Y497" i="42"/>
  <c r="V497" i="42"/>
  <c r="AC496" i="42"/>
  <c r="AA496" i="42"/>
  <c r="Y496" i="42"/>
  <c r="P496" i="42"/>
  <c r="AE496" i="42" s="1"/>
  <c r="AF496" i="42" s="1"/>
  <c r="AC495" i="42"/>
  <c r="AA495" i="42"/>
  <c r="Y495" i="42"/>
  <c r="P495" i="42"/>
  <c r="AE495" i="42" s="1"/>
  <c r="AF495" i="42" s="1"/>
  <c r="AC494" i="42"/>
  <c r="AA494" i="42"/>
  <c r="Y494" i="42"/>
  <c r="AC493" i="42"/>
  <c r="AA493" i="42"/>
  <c r="Y493" i="42"/>
  <c r="V493" i="42"/>
  <c r="AC492" i="42"/>
  <c r="AA492" i="42"/>
  <c r="Y492" i="42"/>
  <c r="AC491" i="42"/>
  <c r="AA491" i="42"/>
  <c r="Y491" i="42"/>
  <c r="AC490" i="42"/>
  <c r="AA490" i="42"/>
  <c r="Y490" i="42"/>
  <c r="V490" i="42"/>
  <c r="P490" i="42"/>
  <c r="AE490" i="42" s="1"/>
  <c r="AF490" i="42" s="1"/>
  <c r="AC489" i="42"/>
  <c r="AA489" i="42"/>
  <c r="Y489" i="42"/>
  <c r="AC488" i="42"/>
  <c r="AA488" i="42"/>
  <c r="Y488" i="42"/>
  <c r="AC487" i="42"/>
  <c r="AA487" i="42"/>
  <c r="Y487" i="42"/>
  <c r="V487" i="42"/>
  <c r="P487" i="42"/>
  <c r="AE487" i="42" s="1"/>
  <c r="AF487" i="42" s="1"/>
  <c r="AC486" i="42"/>
  <c r="AA486" i="42"/>
  <c r="Y486" i="42"/>
  <c r="V486" i="42"/>
  <c r="P486" i="42"/>
  <c r="AE486" i="42" s="1"/>
  <c r="AF486" i="42" s="1"/>
  <c r="AC485" i="42"/>
  <c r="AA485" i="42"/>
  <c r="Y485" i="42"/>
  <c r="V485" i="42"/>
  <c r="P485" i="42"/>
  <c r="AE485" i="42" s="1"/>
  <c r="AF485" i="42" s="1"/>
  <c r="AC484" i="42"/>
  <c r="AA484" i="42"/>
  <c r="Y484" i="42"/>
  <c r="V484" i="42"/>
  <c r="P484" i="42"/>
  <c r="AE484" i="42" s="1"/>
  <c r="AF484" i="42" s="1"/>
  <c r="AC483" i="42"/>
  <c r="AA483" i="42"/>
  <c r="Y483" i="42"/>
  <c r="V483" i="42"/>
  <c r="P483" i="42"/>
  <c r="AE483" i="42" s="1"/>
  <c r="AF483" i="42" s="1"/>
  <c r="AC482" i="42"/>
  <c r="AA482" i="42"/>
  <c r="Y482" i="42"/>
  <c r="P482" i="42"/>
  <c r="AE482" i="42" s="1"/>
  <c r="AF482" i="42" s="1"/>
  <c r="AC481" i="42"/>
  <c r="AA481" i="42"/>
  <c r="Y481" i="42"/>
  <c r="P481" i="42"/>
  <c r="AE481" i="42" s="1"/>
  <c r="AF481" i="42" s="1"/>
  <c r="AC480" i="42"/>
  <c r="AA480" i="42"/>
  <c r="Y480" i="42"/>
  <c r="V480" i="42"/>
  <c r="P480" i="42"/>
  <c r="AE480" i="42" s="1"/>
  <c r="AF480" i="42" s="1"/>
  <c r="AC479" i="42"/>
  <c r="AA479" i="42"/>
  <c r="Y479" i="42"/>
  <c r="P479" i="42"/>
  <c r="AE479" i="42" s="1"/>
  <c r="AF479" i="42" s="1"/>
  <c r="AC478" i="42"/>
  <c r="AA478" i="42"/>
  <c r="Y478" i="42"/>
  <c r="AC477" i="42"/>
  <c r="AA477" i="42"/>
  <c r="Y477" i="42"/>
  <c r="AC476" i="42"/>
  <c r="AA476" i="42"/>
  <c r="Y476" i="42"/>
  <c r="V476" i="42"/>
  <c r="P476" i="42"/>
  <c r="AE476" i="42" s="1"/>
  <c r="AF476" i="42" s="1"/>
  <c r="AC475" i="42"/>
  <c r="AA475" i="42"/>
  <c r="Y475" i="42"/>
  <c r="AC474" i="42"/>
  <c r="AA474" i="42"/>
  <c r="Y474" i="42"/>
  <c r="AC473" i="42"/>
  <c r="AA473" i="42"/>
  <c r="Y473" i="42"/>
  <c r="V473" i="42"/>
  <c r="P473" i="42"/>
  <c r="AE473" i="42" s="1"/>
  <c r="AF473" i="42" s="1"/>
  <c r="AC472" i="42"/>
  <c r="AA472" i="42"/>
  <c r="Y472" i="42"/>
  <c r="V472" i="42"/>
  <c r="P472" i="42"/>
  <c r="AE472" i="42" s="1"/>
  <c r="AF472" i="42" s="1"/>
  <c r="AC471" i="42"/>
  <c r="AA471" i="42"/>
  <c r="Y471" i="42"/>
  <c r="V471" i="42"/>
  <c r="AC470" i="42"/>
  <c r="AA470" i="42"/>
  <c r="Y470" i="42"/>
  <c r="V470" i="42"/>
  <c r="P470" i="42"/>
  <c r="AE470" i="42" s="1"/>
  <c r="AF470" i="42" s="1"/>
  <c r="AC469" i="42"/>
  <c r="AA469" i="42"/>
  <c r="Y469" i="42"/>
  <c r="V469" i="42"/>
  <c r="P469" i="42"/>
  <c r="AE469" i="42" s="1"/>
  <c r="AF469" i="42" s="1"/>
  <c r="AC468" i="42"/>
  <c r="AA468" i="42"/>
  <c r="Y468" i="42"/>
  <c r="V468" i="42"/>
  <c r="P468" i="42"/>
  <c r="AE468" i="42" s="1"/>
  <c r="AF468" i="42" s="1"/>
  <c r="AC467" i="42"/>
  <c r="AA467" i="42"/>
  <c r="Y467" i="42"/>
  <c r="V467" i="42"/>
  <c r="P467" i="42"/>
  <c r="AE467" i="42" s="1"/>
  <c r="AF467" i="42" s="1"/>
  <c r="AC466" i="42"/>
  <c r="AA466" i="42"/>
  <c r="Y466" i="42"/>
  <c r="P466" i="42"/>
  <c r="AE466" i="42" s="1"/>
  <c r="AF466" i="42" s="1"/>
  <c r="AC465" i="42"/>
  <c r="AA465" i="42"/>
  <c r="Y465" i="42"/>
  <c r="V465" i="42"/>
  <c r="P465" i="42"/>
  <c r="AE465" i="42" s="1"/>
  <c r="AF465" i="42" s="1"/>
  <c r="AC464" i="42"/>
  <c r="AA464" i="42"/>
  <c r="Y464" i="42"/>
  <c r="V464" i="42"/>
  <c r="P464" i="42"/>
  <c r="AE464" i="42" s="1"/>
  <c r="AF464" i="42" s="1"/>
  <c r="AC463" i="42"/>
  <c r="AA463" i="42"/>
  <c r="Y463" i="42"/>
  <c r="P463" i="42"/>
  <c r="AE463" i="42" s="1"/>
  <c r="AF463" i="42" s="1"/>
  <c r="AC462" i="42"/>
  <c r="AA462" i="42"/>
  <c r="Y462" i="42"/>
  <c r="V462" i="42"/>
  <c r="P462" i="42"/>
  <c r="AE462" i="42" s="1"/>
  <c r="AF462" i="42" s="1"/>
  <c r="AC461" i="42"/>
  <c r="AA461" i="42"/>
  <c r="Y461" i="42"/>
  <c r="AC460" i="42"/>
  <c r="AA460" i="42"/>
  <c r="Y460" i="42"/>
  <c r="AC459" i="42"/>
  <c r="AA459" i="42"/>
  <c r="Y459" i="42"/>
  <c r="AC458" i="42"/>
  <c r="AA458" i="42"/>
  <c r="Y458" i="42"/>
  <c r="AC457" i="42"/>
  <c r="AA457" i="42"/>
  <c r="Y457" i="42"/>
  <c r="V457" i="42"/>
  <c r="AC456" i="42"/>
  <c r="AA456" i="42"/>
  <c r="Y456" i="42"/>
  <c r="AC455" i="42"/>
  <c r="AA455" i="42"/>
  <c r="Y455" i="42"/>
  <c r="V455" i="42"/>
  <c r="P455" i="42"/>
  <c r="AE455" i="42" s="1"/>
  <c r="AF455" i="42" s="1"/>
  <c r="AC454" i="42"/>
  <c r="AA454" i="42"/>
  <c r="Y454" i="42"/>
  <c r="P454" i="42"/>
  <c r="AE454" i="42" s="1"/>
  <c r="AF454" i="42" s="1"/>
  <c r="AC453" i="42"/>
  <c r="AA453" i="42"/>
  <c r="Y453" i="42"/>
  <c r="V453" i="42"/>
  <c r="P453" i="42"/>
  <c r="AE453" i="42" s="1"/>
  <c r="AF453" i="42" s="1"/>
  <c r="AC452" i="42"/>
  <c r="AA452" i="42"/>
  <c r="Y452" i="42"/>
  <c r="P452" i="42"/>
  <c r="AE452" i="42" s="1"/>
  <c r="AF452" i="42" s="1"/>
  <c r="AC451" i="42"/>
  <c r="AA451" i="42"/>
  <c r="Y451" i="42"/>
  <c r="P451" i="42"/>
  <c r="AE451" i="42" s="1"/>
  <c r="AF451" i="42" s="1"/>
  <c r="AC450" i="42"/>
  <c r="AA450" i="42"/>
  <c r="Y450" i="42"/>
  <c r="V450" i="42"/>
  <c r="P450" i="42"/>
  <c r="AE450" i="42" s="1"/>
  <c r="AF450" i="42" s="1"/>
  <c r="AC449" i="42"/>
  <c r="AA449" i="42"/>
  <c r="Y449" i="42"/>
  <c r="V449" i="42"/>
  <c r="AC448" i="42"/>
  <c r="AA448" i="42"/>
  <c r="Y448" i="42"/>
  <c r="V448" i="42"/>
  <c r="P448" i="42"/>
  <c r="AE448" i="42" s="1"/>
  <c r="AF448" i="42" s="1"/>
  <c r="AC447" i="42"/>
  <c r="AA447" i="42"/>
  <c r="Y447" i="42"/>
  <c r="P447" i="42"/>
  <c r="AE447" i="42" s="1"/>
  <c r="AF447" i="42" s="1"/>
  <c r="AC446" i="42"/>
  <c r="AA446" i="42"/>
  <c r="Y446" i="42"/>
  <c r="AC445" i="42"/>
  <c r="AA445" i="42"/>
  <c r="Y445" i="42"/>
  <c r="V445" i="42"/>
  <c r="AC444" i="42"/>
  <c r="AA444" i="42"/>
  <c r="Y444" i="42"/>
  <c r="AC443" i="42"/>
  <c r="AA443" i="42"/>
  <c r="Y443" i="42"/>
  <c r="AC442" i="42"/>
  <c r="AA442" i="42"/>
  <c r="Y442" i="42"/>
  <c r="V442" i="42"/>
  <c r="AC441" i="42"/>
  <c r="AA441" i="42"/>
  <c r="Y441" i="42"/>
  <c r="V441" i="42"/>
  <c r="AC440" i="42"/>
  <c r="AA440" i="42"/>
  <c r="Y440" i="42"/>
  <c r="V440" i="42"/>
  <c r="AC439" i="42"/>
  <c r="AA439" i="42"/>
  <c r="Y439" i="42"/>
  <c r="V439" i="42"/>
  <c r="P439" i="42"/>
  <c r="AE439" i="42" s="1"/>
  <c r="AF439" i="42" s="1"/>
  <c r="AC438" i="42"/>
  <c r="AA438" i="42"/>
  <c r="Y438" i="42"/>
  <c r="V438" i="42"/>
  <c r="P438" i="42"/>
  <c r="AE438" i="42" s="1"/>
  <c r="AF438" i="42" s="1"/>
  <c r="AC437" i="42"/>
  <c r="AA437" i="42"/>
  <c r="Y437" i="42"/>
  <c r="V437" i="42"/>
  <c r="P437" i="42"/>
  <c r="AE437" i="42" s="1"/>
  <c r="AF437" i="42" s="1"/>
  <c r="AC436" i="42"/>
  <c r="AA436" i="42"/>
  <c r="Y436" i="42"/>
  <c r="V436" i="42"/>
  <c r="P436" i="42"/>
  <c r="AE436" i="42" s="1"/>
  <c r="AF436" i="42" s="1"/>
  <c r="AC435" i="42"/>
  <c r="AA435" i="42"/>
  <c r="Y435" i="42"/>
  <c r="V435" i="42"/>
  <c r="P435" i="42"/>
  <c r="AE435" i="42" s="1"/>
  <c r="AF435" i="42" s="1"/>
  <c r="AC434" i="42"/>
  <c r="AA434" i="42"/>
  <c r="Y434" i="42"/>
  <c r="V434" i="42"/>
  <c r="P434" i="42"/>
  <c r="AE434" i="42" s="1"/>
  <c r="AF434" i="42" s="1"/>
  <c r="AC433" i="42"/>
  <c r="AA433" i="42"/>
  <c r="Y433" i="42"/>
  <c r="V433" i="42"/>
  <c r="P433" i="42"/>
  <c r="AE433" i="42" s="1"/>
  <c r="AF433" i="42" s="1"/>
  <c r="AC432" i="42"/>
  <c r="AA432" i="42"/>
  <c r="Y432" i="42"/>
  <c r="V432" i="42"/>
  <c r="P432" i="42"/>
  <c r="AE432" i="42" s="1"/>
  <c r="AF432" i="42" s="1"/>
  <c r="AC431" i="42"/>
  <c r="AA431" i="42"/>
  <c r="Y431" i="42"/>
  <c r="P431" i="42"/>
  <c r="AE431" i="42" s="1"/>
  <c r="AF431" i="42" s="1"/>
  <c r="AC430" i="42"/>
  <c r="AA430" i="42"/>
  <c r="Y430" i="42"/>
  <c r="AC429" i="42"/>
  <c r="AA429" i="42"/>
  <c r="Y429" i="42"/>
  <c r="V429" i="42"/>
  <c r="AC428" i="42"/>
  <c r="AA428" i="42"/>
  <c r="Y428" i="42"/>
  <c r="AC427" i="42"/>
  <c r="AA427" i="42"/>
  <c r="Y427" i="42"/>
  <c r="AC426" i="42"/>
  <c r="AA426" i="42"/>
  <c r="Y426" i="42"/>
  <c r="V426" i="42"/>
  <c r="AC425" i="42"/>
  <c r="AA425" i="42"/>
  <c r="Y425" i="42"/>
  <c r="V425" i="42"/>
  <c r="P425" i="42"/>
  <c r="AE425" i="42" s="1"/>
  <c r="AF425" i="42" s="1"/>
  <c r="AC424" i="42"/>
  <c r="AA424" i="42"/>
  <c r="Y424" i="42"/>
  <c r="V424" i="42"/>
  <c r="AC423" i="42"/>
  <c r="AA423" i="42"/>
  <c r="Y423" i="42"/>
  <c r="AC422" i="42"/>
  <c r="AA422" i="42"/>
  <c r="Y422" i="42"/>
  <c r="V422" i="42"/>
  <c r="P422" i="42"/>
  <c r="AE422" i="42" s="1"/>
  <c r="AF422" i="42" s="1"/>
  <c r="AC421" i="42"/>
  <c r="AA421" i="42"/>
  <c r="Y421" i="42"/>
  <c r="V421" i="42"/>
  <c r="P421" i="42"/>
  <c r="AE421" i="42" s="1"/>
  <c r="AF421" i="42" s="1"/>
  <c r="AC420" i="42"/>
  <c r="AA420" i="42"/>
  <c r="Y420" i="42"/>
  <c r="P420" i="42"/>
  <c r="AE420" i="42" s="1"/>
  <c r="AF420" i="42" s="1"/>
  <c r="AC419" i="42"/>
  <c r="AA419" i="42"/>
  <c r="Y419" i="42"/>
  <c r="V419" i="42"/>
  <c r="P419" i="42"/>
  <c r="AE419" i="42" s="1"/>
  <c r="AF419" i="42" s="1"/>
  <c r="AC418" i="42"/>
  <c r="AA418" i="42"/>
  <c r="Y418" i="42"/>
  <c r="V418" i="42"/>
  <c r="P418" i="42"/>
  <c r="AE418" i="42" s="1"/>
  <c r="AF418" i="42" s="1"/>
  <c r="AC417" i="42"/>
  <c r="AA417" i="42"/>
  <c r="Y417" i="42"/>
  <c r="V417" i="42"/>
  <c r="P417" i="42"/>
  <c r="AE417" i="42" s="1"/>
  <c r="AF417" i="42" s="1"/>
  <c r="AC416" i="42"/>
  <c r="AA416" i="42"/>
  <c r="Y416" i="42"/>
  <c r="P416" i="42"/>
  <c r="AE416" i="42" s="1"/>
  <c r="AF416" i="42" s="1"/>
  <c r="AC415" i="42"/>
  <c r="AA415" i="42"/>
  <c r="Y415" i="42"/>
  <c r="V415" i="42"/>
  <c r="P415" i="42"/>
  <c r="AE415" i="42" s="1"/>
  <c r="AF415" i="42" s="1"/>
  <c r="AC414" i="42"/>
  <c r="AA414" i="42"/>
  <c r="Y414" i="42"/>
  <c r="P414" i="42"/>
  <c r="AE414" i="42" s="1"/>
  <c r="AF414" i="42" s="1"/>
  <c r="AC413" i="42"/>
  <c r="AA413" i="42"/>
  <c r="Y413" i="42"/>
  <c r="AC412" i="42"/>
  <c r="AA412" i="42"/>
  <c r="Y412" i="42"/>
  <c r="V412" i="42"/>
  <c r="AC411" i="42"/>
  <c r="AA411" i="42"/>
  <c r="Y411" i="42"/>
  <c r="AC410" i="42"/>
  <c r="AA410" i="42"/>
  <c r="Y410" i="42"/>
  <c r="AC409" i="42"/>
  <c r="AA409" i="42"/>
  <c r="Y409" i="42"/>
  <c r="V409" i="42"/>
  <c r="P409" i="42"/>
  <c r="AE409" i="42" s="1"/>
  <c r="AF409" i="42" s="1"/>
  <c r="AC408" i="42"/>
  <c r="AA408" i="42"/>
  <c r="Y408" i="42"/>
  <c r="V408" i="42"/>
  <c r="AC407" i="42"/>
  <c r="AA407" i="42"/>
  <c r="Y407" i="42"/>
  <c r="V407" i="42"/>
  <c r="P407" i="42"/>
  <c r="AE407" i="42" s="1"/>
  <c r="AF407" i="42" s="1"/>
  <c r="AC406" i="42"/>
  <c r="AA406" i="42"/>
  <c r="Y406" i="42"/>
  <c r="P406" i="42"/>
  <c r="AE406" i="42" s="1"/>
  <c r="AF406" i="42" s="1"/>
  <c r="AC405" i="42"/>
  <c r="AA405" i="42"/>
  <c r="Y405" i="42"/>
  <c r="V405" i="42"/>
  <c r="P405" i="42"/>
  <c r="AE405" i="42" s="1"/>
  <c r="AF405" i="42" s="1"/>
  <c r="AC404" i="42"/>
  <c r="AA404" i="42"/>
  <c r="Y404" i="42"/>
  <c r="V404" i="42"/>
  <c r="P404" i="42"/>
  <c r="AE404" i="42" s="1"/>
  <c r="AF404" i="42" s="1"/>
  <c r="AC403" i="42"/>
  <c r="AA403" i="42"/>
  <c r="Y403" i="42"/>
  <c r="P403" i="42"/>
  <c r="AE403" i="42" s="1"/>
  <c r="AF403" i="42" s="1"/>
  <c r="AC402" i="42"/>
  <c r="AA402" i="42"/>
  <c r="Y402" i="42"/>
  <c r="V402" i="42"/>
  <c r="P402" i="42"/>
  <c r="AE402" i="42" s="1"/>
  <c r="AF402" i="42" s="1"/>
  <c r="AC401" i="42"/>
  <c r="AA401" i="42"/>
  <c r="Y401" i="42"/>
  <c r="AC400" i="42"/>
  <c r="AA400" i="42"/>
  <c r="Y400" i="42"/>
  <c r="V400" i="42"/>
  <c r="P400" i="42"/>
  <c r="AE400" i="42" s="1"/>
  <c r="AF400" i="42" s="1"/>
  <c r="AC399" i="42"/>
  <c r="AA399" i="42"/>
  <c r="Y399" i="42"/>
  <c r="P399" i="42"/>
  <c r="AE399" i="42" s="1"/>
  <c r="AF399" i="42" s="1"/>
  <c r="AC398" i="42"/>
  <c r="AA398" i="42"/>
  <c r="Y398" i="42"/>
  <c r="V398" i="42"/>
  <c r="AC397" i="42"/>
  <c r="AA397" i="42"/>
  <c r="Y397" i="42"/>
  <c r="AC396" i="42"/>
  <c r="AA396" i="42"/>
  <c r="Y396" i="42"/>
  <c r="AC395" i="42"/>
  <c r="AA395" i="42"/>
  <c r="Y395" i="42"/>
  <c r="P395" i="42"/>
  <c r="AE395" i="42" s="1"/>
  <c r="AF395" i="42" s="1"/>
  <c r="AC394" i="42"/>
  <c r="AA394" i="42"/>
  <c r="Y394" i="42"/>
  <c r="AC393" i="42"/>
  <c r="AA393" i="42"/>
  <c r="Y393" i="42"/>
  <c r="V393" i="42"/>
  <c r="AC392" i="42"/>
  <c r="AA392" i="42"/>
  <c r="Y392" i="42"/>
  <c r="V392" i="42"/>
  <c r="P392" i="42"/>
  <c r="AE392" i="42" s="1"/>
  <c r="AF392" i="42" s="1"/>
  <c r="AC391" i="42"/>
  <c r="AA391" i="42"/>
  <c r="Y391" i="42"/>
  <c r="V391" i="42"/>
  <c r="P391" i="42"/>
  <c r="AE391" i="42" s="1"/>
  <c r="AF391" i="42" s="1"/>
  <c r="AC390" i="42"/>
  <c r="AA390" i="42"/>
  <c r="Y390" i="42"/>
  <c r="V390" i="42"/>
  <c r="P390" i="42"/>
  <c r="AE390" i="42" s="1"/>
  <c r="AF390" i="42" s="1"/>
  <c r="AC389" i="42"/>
  <c r="AA389" i="42"/>
  <c r="Y389" i="42"/>
  <c r="V389" i="42"/>
  <c r="P389" i="42"/>
  <c r="AE389" i="42" s="1"/>
  <c r="AF389" i="42" s="1"/>
  <c r="AC388" i="42"/>
  <c r="AA388" i="42"/>
  <c r="Y388" i="42"/>
  <c r="V388" i="42"/>
  <c r="P388" i="42"/>
  <c r="AE388" i="42" s="1"/>
  <c r="AF388" i="42" s="1"/>
  <c r="AC387" i="42"/>
  <c r="AA387" i="42"/>
  <c r="Y387" i="42"/>
  <c r="V387" i="42"/>
  <c r="P387" i="42"/>
  <c r="AE387" i="42" s="1"/>
  <c r="AF387" i="42" s="1"/>
  <c r="AC386" i="42"/>
  <c r="AA386" i="42"/>
  <c r="Y386" i="42"/>
  <c r="V386" i="42"/>
  <c r="P386" i="42"/>
  <c r="AE386" i="42" s="1"/>
  <c r="AF386" i="42" s="1"/>
  <c r="AC385" i="42"/>
  <c r="AA385" i="42"/>
  <c r="Y385" i="42"/>
  <c r="V385" i="42"/>
  <c r="P385" i="42"/>
  <c r="AE385" i="42" s="1"/>
  <c r="AF385" i="42" s="1"/>
  <c r="AC384" i="42"/>
  <c r="AA384" i="42"/>
  <c r="Y384" i="42"/>
  <c r="P384" i="42"/>
  <c r="AE384" i="42" s="1"/>
  <c r="AF384" i="42" s="1"/>
  <c r="AC383" i="42"/>
  <c r="AA383" i="42"/>
  <c r="Y383" i="42"/>
  <c r="P383" i="42"/>
  <c r="AE383" i="42" s="1"/>
  <c r="AF383" i="42" s="1"/>
  <c r="AC382" i="42"/>
  <c r="AA382" i="42"/>
  <c r="Y382" i="42"/>
  <c r="AC381" i="42"/>
  <c r="AA381" i="42"/>
  <c r="Y381" i="42"/>
  <c r="P381" i="42"/>
  <c r="AE381" i="42" s="1"/>
  <c r="AF381" i="42" s="1"/>
  <c r="AC380" i="42"/>
  <c r="AA380" i="42"/>
  <c r="Y380" i="42"/>
  <c r="AC379" i="42"/>
  <c r="AA379" i="42"/>
  <c r="Y379" i="42"/>
  <c r="AC378" i="42"/>
  <c r="AA378" i="42"/>
  <c r="Y378" i="42"/>
  <c r="AC377" i="42"/>
  <c r="AA377" i="42"/>
  <c r="Y377" i="42"/>
  <c r="V377" i="42"/>
  <c r="AC376" i="42"/>
  <c r="AA376" i="42"/>
  <c r="Y376" i="42"/>
  <c r="V376" i="42"/>
  <c r="AC375" i="42"/>
  <c r="AA375" i="42"/>
  <c r="Y375" i="42"/>
  <c r="V375" i="42"/>
  <c r="AC374" i="42"/>
  <c r="AA374" i="42"/>
  <c r="Y374" i="42"/>
  <c r="V374" i="42"/>
  <c r="P374" i="42"/>
  <c r="AE374" i="42" s="1"/>
  <c r="AF374" i="42" s="1"/>
  <c r="AC373" i="42"/>
  <c r="AA373" i="42"/>
  <c r="Y373" i="42"/>
  <c r="P373" i="42"/>
  <c r="AE373" i="42" s="1"/>
  <c r="AF373" i="42" s="1"/>
  <c r="AC372" i="42"/>
  <c r="AA372" i="42"/>
  <c r="Y372" i="42"/>
  <c r="V372" i="42"/>
  <c r="P372" i="42"/>
  <c r="AE372" i="42" s="1"/>
  <c r="AF372" i="42" s="1"/>
  <c r="AC371" i="42"/>
  <c r="AA371" i="42"/>
  <c r="Y371" i="42"/>
  <c r="V371" i="42"/>
  <c r="P371" i="42"/>
  <c r="AE371" i="42" s="1"/>
  <c r="AF371" i="42" s="1"/>
  <c r="AC370" i="42"/>
  <c r="AA370" i="42"/>
  <c r="Y370" i="42"/>
  <c r="V370" i="42"/>
  <c r="P370" i="42"/>
  <c r="AE370" i="42" s="1"/>
  <c r="AF370" i="42" s="1"/>
  <c r="AC369" i="42"/>
  <c r="AA369" i="42"/>
  <c r="Y369" i="42"/>
  <c r="V369" i="42"/>
  <c r="P369" i="42"/>
  <c r="AE369" i="42" s="1"/>
  <c r="AF369" i="42" s="1"/>
  <c r="AC368" i="42"/>
  <c r="AA368" i="42"/>
  <c r="Y368" i="42"/>
  <c r="P368" i="42"/>
  <c r="AE368" i="42" s="1"/>
  <c r="AF368" i="42" s="1"/>
  <c r="AC367" i="42"/>
  <c r="AA367" i="42"/>
  <c r="Y367" i="42"/>
  <c r="V367" i="42"/>
  <c r="P367" i="42"/>
  <c r="AE367" i="42" s="1"/>
  <c r="AF367" i="42" s="1"/>
  <c r="AC366" i="42"/>
  <c r="AA366" i="42"/>
  <c r="Y366" i="42"/>
  <c r="P366" i="42"/>
  <c r="AE366" i="42" s="1"/>
  <c r="AF366" i="42" s="1"/>
  <c r="AC365" i="42"/>
  <c r="AA365" i="42"/>
  <c r="Y365" i="42"/>
  <c r="AC364" i="42"/>
  <c r="AA364" i="42"/>
  <c r="Y364" i="42"/>
  <c r="V364" i="42"/>
  <c r="AC363" i="42"/>
  <c r="AA363" i="42"/>
  <c r="Y363" i="42"/>
  <c r="AC362" i="42"/>
  <c r="AA362" i="42"/>
  <c r="Y362" i="42"/>
  <c r="AC361" i="42"/>
  <c r="AA361" i="42"/>
  <c r="Y361" i="42"/>
  <c r="V361" i="42"/>
  <c r="P361" i="42"/>
  <c r="AE361" i="42" s="1"/>
  <c r="AF361" i="42" s="1"/>
  <c r="AC360" i="42"/>
  <c r="AA360" i="42"/>
  <c r="Y360" i="42"/>
  <c r="V360" i="42"/>
  <c r="AC359" i="42"/>
  <c r="AA359" i="42"/>
  <c r="Y359" i="42"/>
  <c r="V359" i="42"/>
  <c r="P359" i="42"/>
  <c r="AE359" i="42" s="1"/>
  <c r="AF359" i="42" s="1"/>
  <c r="AC358" i="42"/>
  <c r="AA358" i="42"/>
  <c r="Y358" i="42"/>
  <c r="V358" i="42"/>
  <c r="P358" i="42"/>
  <c r="AE358" i="42" s="1"/>
  <c r="AF358" i="42" s="1"/>
  <c r="AC357" i="42"/>
  <c r="AA357" i="42"/>
  <c r="Y357" i="42"/>
  <c r="V357" i="42"/>
  <c r="P357" i="42"/>
  <c r="AE357" i="42" s="1"/>
  <c r="AF357" i="42" s="1"/>
  <c r="AC356" i="42"/>
  <c r="AA356" i="42"/>
  <c r="Y356" i="42"/>
  <c r="P356" i="42"/>
  <c r="AE356" i="42" s="1"/>
  <c r="AF356" i="42" s="1"/>
  <c r="AC355" i="42"/>
  <c r="AA355" i="42"/>
  <c r="Y355" i="42"/>
  <c r="P355" i="42"/>
  <c r="AE355" i="42" s="1"/>
  <c r="AF355" i="42" s="1"/>
  <c r="AC354" i="42"/>
  <c r="AA354" i="42"/>
  <c r="Y354" i="42"/>
  <c r="P354" i="42"/>
  <c r="AE354" i="42" s="1"/>
  <c r="AF354" i="42" s="1"/>
  <c r="AC353" i="42"/>
  <c r="AA353" i="42"/>
  <c r="Y353" i="42"/>
  <c r="V353" i="42"/>
  <c r="AC352" i="42"/>
  <c r="AA352" i="42"/>
  <c r="Y352" i="42"/>
  <c r="P352" i="42"/>
  <c r="AE352" i="42" s="1"/>
  <c r="AF352" i="42" s="1"/>
  <c r="AC351" i="42"/>
  <c r="AA351" i="42"/>
  <c r="Y351" i="42"/>
  <c r="P351" i="42"/>
  <c r="AE351" i="42" s="1"/>
  <c r="AF351" i="42" s="1"/>
  <c r="AC350" i="42"/>
  <c r="AA350" i="42"/>
  <c r="Y350" i="42"/>
  <c r="V350" i="42"/>
  <c r="AC349" i="42"/>
  <c r="AA349" i="42"/>
  <c r="Y349" i="42"/>
  <c r="AC348" i="42"/>
  <c r="AA348" i="42"/>
  <c r="Y348" i="42"/>
  <c r="AC347" i="42"/>
  <c r="AA347" i="42"/>
  <c r="Y347" i="42"/>
  <c r="P347" i="42"/>
  <c r="AE347" i="42" s="1"/>
  <c r="AF347" i="42" s="1"/>
  <c r="AC346" i="42"/>
  <c r="AA346" i="42"/>
  <c r="Y346" i="42"/>
  <c r="V346" i="42"/>
  <c r="AC345" i="42"/>
  <c r="AA345" i="42"/>
  <c r="Y345" i="42"/>
  <c r="AC344" i="42"/>
  <c r="AA344" i="42"/>
  <c r="Y344" i="42"/>
  <c r="AC343" i="42"/>
  <c r="AA343" i="42"/>
  <c r="Y343" i="42"/>
  <c r="V343" i="42"/>
  <c r="P343" i="42"/>
  <c r="AE343" i="42" s="1"/>
  <c r="AF343" i="42" s="1"/>
  <c r="AC342" i="42"/>
  <c r="AA342" i="42"/>
  <c r="Y342" i="42"/>
  <c r="P342" i="42"/>
  <c r="AE342" i="42" s="1"/>
  <c r="AF342" i="42" s="1"/>
  <c r="AC341" i="42"/>
  <c r="AA341" i="42"/>
  <c r="Y341" i="42"/>
  <c r="P341" i="42"/>
  <c r="AE341" i="42" s="1"/>
  <c r="AF341" i="42" s="1"/>
  <c r="AC340" i="42"/>
  <c r="AA340" i="42"/>
  <c r="Y340" i="42"/>
  <c r="V340" i="42"/>
  <c r="P340" i="42"/>
  <c r="AE340" i="42" s="1"/>
  <c r="AF340" i="42" s="1"/>
  <c r="AC339" i="42"/>
  <c r="AA339" i="42"/>
  <c r="Y339" i="42"/>
  <c r="V339" i="42"/>
  <c r="P339" i="42"/>
  <c r="AE339" i="42" s="1"/>
  <c r="AF339" i="42" s="1"/>
  <c r="AC338" i="42"/>
  <c r="AA338" i="42"/>
  <c r="Y338" i="42"/>
  <c r="V338" i="42"/>
  <c r="P338" i="42"/>
  <c r="AE338" i="42" s="1"/>
  <c r="AF338" i="42" s="1"/>
  <c r="AC337" i="42"/>
  <c r="AA337" i="42"/>
  <c r="Y337" i="42"/>
  <c r="V337" i="42"/>
  <c r="P337" i="42"/>
  <c r="AE337" i="42" s="1"/>
  <c r="AF337" i="42" s="1"/>
  <c r="AC336" i="42"/>
  <c r="AA336" i="42"/>
  <c r="Y336" i="42"/>
  <c r="V336" i="42"/>
  <c r="P336" i="42"/>
  <c r="AE336" i="42" s="1"/>
  <c r="AF336" i="42" s="1"/>
  <c r="AC335" i="42"/>
  <c r="AA335" i="42"/>
  <c r="Y335" i="42"/>
  <c r="P335" i="42"/>
  <c r="AE335" i="42" s="1"/>
  <c r="AF335" i="42" s="1"/>
  <c r="AC334" i="42"/>
  <c r="AA334" i="42"/>
  <c r="Y334" i="42"/>
  <c r="AC333" i="42"/>
  <c r="AA333" i="42"/>
  <c r="Y333" i="42"/>
  <c r="AC332" i="42"/>
  <c r="AA332" i="42"/>
  <c r="Y332" i="42"/>
  <c r="P332" i="42"/>
  <c r="AE332" i="42" s="1"/>
  <c r="AF332" i="42" s="1"/>
  <c r="AC331" i="42"/>
  <c r="AA331" i="42"/>
  <c r="Y331" i="42"/>
  <c r="AC330" i="42"/>
  <c r="AA330" i="42"/>
  <c r="Y330" i="42"/>
  <c r="AC329" i="42"/>
  <c r="AA329" i="42"/>
  <c r="Y329" i="42"/>
  <c r="V329" i="42"/>
  <c r="AC328" i="42"/>
  <c r="AA328" i="42"/>
  <c r="Y328" i="42"/>
  <c r="V328" i="42"/>
  <c r="P328" i="42"/>
  <c r="AE328" i="42" s="1"/>
  <c r="AF328" i="42" s="1"/>
  <c r="AC327" i="42"/>
  <c r="AA327" i="42"/>
  <c r="Y327" i="42"/>
  <c r="V327" i="42"/>
  <c r="P327" i="42"/>
  <c r="AE327" i="42" s="1"/>
  <c r="AF327" i="42" s="1"/>
  <c r="AC326" i="42"/>
  <c r="AA326" i="42"/>
  <c r="Y326" i="42"/>
  <c r="V326" i="42"/>
  <c r="P326" i="42"/>
  <c r="AE326" i="42" s="1"/>
  <c r="AF326" i="42" s="1"/>
  <c r="AC325" i="42"/>
  <c r="AA325" i="42"/>
  <c r="Y325" i="42"/>
  <c r="P325" i="42"/>
  <c r="AE325" i="42" s="1"/>
  <c r="AF325" i="42" s="1"/>
  <c r="AC324" i="42"/>
  <c r="AA324" i="42"/>
  <c r="Y324" i="42"/>
  <c r="V324" i="42"/>
  <c r="P324" i="42"/>
  <c r="AE324" i="42" s="1"/>
  <c r="AF324" i="42" s="1"/>
  <c r="AC323" i="42"/>
  <c r="AA323" i="42"/>
  <c r="Y323" i="42"/>
  <c r="V323" i="42"/>
  <c r="P323" i="42"/>
  <c r="AE323" i="42" s="1"/>
  <c r="AF323" i="42" s="1"/>
  <c r="AC322" i="42"/>
  <c r="AA322" i="42"/>
  <c r="Y322" i="42"/>
  <c r="V322" i="42"/>
  <c r="P322" i="42"/>
  <c r="AE322" i="42" s="1"/>
  <c r="AF322" i="42" s="1"/>
  <c r="AC321" i="42"/>
  <c r="AA321" i="42"/>
  <c r="Y321" i="42"/>
  <c r="V321" i="42"/>
  <c r="P321" i="42"/>
  <c r="AE321" i="42" s="1"/>
  <c r="AF321" i="42" s="1"/>
  <c r="AC320" i="42"/>
  <c r="AA320" i="42"/>
  <c r="Y320" i="42"/>
  <c r="V320" i="42"/>
  <c r="P320" i="42"/>
  <c r="AE320" i="42" s="1"/>
  <c r="AF320" i="42" s="1"/>
  <c r="AC319" i="42"/>
  <c r="AA319" i="42"/>
  <c r="Y319" i="42"/>
  <c r="P319" i="42"/>
  <c r="AE319" i="42" s="1"/>
  <c r="AF319" i="42" s="1"/>
  <c r="AC318" i="42"/>
  <c r="AA318" i="42"/>
  <c r="Y318" i="42"/>
  <c r="AC317" i="42"/>
  <c r="AA317" i="42"/>
  <c r="Y317" i="42"/>
  <c r="AC316" i="42"/>
  <c r="AA316" i="42"/>
  <c r="Y316" i="42"/>
  <c r="AC315" i="42"/>
  <c r="AA315" i="42"/>
  <c r="Y315" i="42"/>
  <c r="AC314" i="42"/>
  <c r="AA314" i="42"/>
  <c r="Y314" i="42"/>
  <c r="V314" i="42"/>
  <c r="AC313" i="42"/>
  <c r="AA313" i="42"/>
  <c r="Y313" i="42"/>
  <c r="V313" i="42"/>
  <c r="AC312" i="42"/>
  <c r="AA312" i="42"/>
  <c r="Y312" i="42"/>
  <c r="V312" i="42"/>
  <c r="AC311" i="42"/>
  <c r="AA311" i="42"/>
  <c r="Y311" i="42"/>
  <c r="V311" i="42"/>
  <c r="P311" i="42"/>
  <c r="AE311" i="42" s="1"/>
  <c r="AF311" i="42" s="1"/>
  <c r="AC310" i="42"/>
  <c r="AA310" i="42"/>
  <c r="Y310" i="42"/>
  <c r="V310" i="42"/>
  <c r="P310" i="42"/>
  <c r="AE310" i="42" s="1"/>
  <c r="AF310" i="42" s="1"/>
  <c r="AC309" i="42"/>
  <c r="AA309" i="42"/>
  <c r="Y309" i="42"/>
  <c r="V309" i="42"/>
  <c r="P309" i="42"/>
  <c r="AE309" i="42" s="1"/>
  <c r="AF309" i="42" s="1"/>
  <c r="AC308" i="42"/>
  <c r="AA308" i="42"/>
  <c r="Y308" i="42"/>
  <c r="P308" i="42"/>
  <c r="AE308" i="42" s="1"/>
  <c r="AF308" i="42" s="1"/>
  <c r="AC307" i="42"/>
  <c r="AA307" i="42"/>
  <c r="Y307" i="42"/>
  <c r="V307" i="42"/>
  <c r="P307" i="42"/>
  <c r="AE307" i="42" s="1"/>
  <c r="AF307" i="42" s="1"/>
  <c r="AC306" i="42"/>
  <c r="AA306" i="42"/>
  <c r="Y306" i="42"/>
  <c r="V306" i="42"/>
  <c r="P306" i="42"/>
  <c r="AE306" i="42" s="1"/>
  <c r="AF306" i="42" s="1"/>
  <c r="AC305" i="42"/>
  <c r="AA305" i="42"/>
  <c r="Y305" i="42"/>
  <c r="V305" i="42"/>
  <c r="AC304" i="42"/>
  <c r="AA304" i="42"/>
  <c r="Y304" i="42"/>
  <c r="V304" i="42"/>
  <c r="P304" i="42"/>
  <c r="AE304" i="42" s="1"/>
  <c r="AF304" i="42" s="1"/>
  <c r="AC303" i="42"/>
  <c r="AA303" i="42"/>
  <c r="Y303" i="42"/>
  <c r="P303" i="42"/>
  <c r="AE303" i="42" s="1"/>
  <c r="AF303" i="42" s="1"/>
  <c r="AC302" i="42"/>
  <c r="AA302" i="42"/>
  <c r="Y302" i="42"/>
  <c r="AC301" i="42"/>
  <c r="AA301" i="42"/>
  <c r="Y301" i="42"/>
  <c r="AC300" i="42"/>
  <c r="AA300" i="42"/>
  <c r="Y300" i="42"/>
  <c r="AC299" i="42"/>
  <c r="AA299" i="42"/>
  <c r="Y299" i="42"/>
  <c r="P299" i="42"/>
  <c r="AE299" i="42" s="1"/>
  <c r="AF299" i="42" s="1"/>
  <c r="AC298" i="42"/>
  <c r="AA298" i="42"/>
  <c r="Y298" i="42"/>
  <c r="V298" i="42"/>
  <c r="AC297" i="42"/>
  <c r="AA297" i="42"/>
  <c r="Y297" i="42"/>
  <c r="V297" i="42"/>
  <c r="AC296" i="42"/>
  <c r="AA296" i="42"/>
  <c r="Y296" i="42"/>
  <c r="AC295" i="42"/>
  <c r="AA295" i="42"/>
  <c r="Y295" i="42"/>
  <c r="V295" i="42"/>
  <c r="P295" i="42"/>
  <c r="AE295" i="42" s="1"/>
  <c r="AF295" i="42" s="1"/>
  <c r="AC294" i="42"/>
  <c r="AA294" i="42"/>
  <c r="Y294" i="42"/>
  <c r="P294" i="42"/>
  <c r="AE294" i="42" s="1"/>
  <c r="AF294" i="42" s="1"/>
  <c r="AC293" i="42"/>
  <c r="AA293" i="42"/>
  <c r="Y293" i="42"/>
  <c r="V293" i="42"/>
  <c r="P293" i="42"/>
  <c r="AE293" i="42" s="1"/>
  <c r="AF293" i="42" s="1"/>
  <c r="AC292" i="42"/>
  <c r="AA292" i="42"/>
  <c r="Y292" i="42"/>
  <c r="V292" i="42"/>
  <c r="P292" i="42"/>
  <c r="AE292" i="42" s="1"/>
  <c r="AF292" i="42" s="1"/>
  <c r="AC291" i="42"/>
  <c r="AA291" i="42"/>
  <c r="Y291" i="42"/>
  <c r="V291" i="42"/>
  <c r="P291" i="42"/>
  <c r="AE291" i="42" s="1"/>
  <c r="AF291" i="42" s="1"/>
  <c r="AC290" i="42"/>
  <c r="AA290" i="42"/>
  <c r="Y290" i="42"/>
  <c r="P290" i="42"/>
  <c r="AE290" i="42" s="1"/>
  <c r="AF290" i="42" s="1"/>
  <c r="AC289" i="42"/>
  <c r="AA289" i="42"/>
  <c r="Y289" i="42"/>
  <c r="V289" i="42"/>
  <c r="P289" i="42"/>
  <c r="AE289" i="42" s="1"/>
  <c r="AF289" i="42" s="1"/>
  <c r="AC288" i="42"/>
  <c r="AA288" i="42"/>
  <c r="Y288" i="42"/>
  <c r="V288" i="42"/>
  <c r="P288" i="42"/>
  <c r="AE288" i="42" s="1"/>
  <c r="AF288" i="42" s="1"/>
  <c r="AC287" i="42"/>
  <c r="AA287" i="42"/>
  <c r="Y287" i="42"/>
  <c r="P287" i="42"/>
  <c r="AE287" i="42" s="1"/>
  <c r="AF287" i="42" s="1"/>
  <c r="AC286" i="42"/>
  <c r="AA286" i="42"/>
  <c r="Y286" i="42"/>
  <c r="AC285" i="42"/>
  <c r="AA285" i="42"/>
  <c r="Y285" i="42"/>
  <c r="AC284" i="42"/>
  <c r="AA284" i="42"/>
  <c r="Y284" i="42"/>
  <c r="P284" i="42"/>
  <c r="AE284" i="42" s="1"/>
  <c r="AF284" i="42" s="1"/>
  <c r="AC283" i="42"/>
  <c r="AA283" i="42"/>
  <c r="Y283" i="42"/>
  <c r="AC282" i="42"/>
  <c r="AA282" i="42"/>
  <c r="Y282" i="42"/>
  <c r="AC281" i="42"/>
  <c r="AA281" i="42"/>
  <c r="Y281" i="42"/>
  <c r="V281" i="42"/>
  <c r="P281" i="42"/>
  <c r="AE281" i="42" s="1"/>
  <c r="AF281" i="42" s="1"/>
  <c r="AC280" i="42"/>
  <c r="AA280" i="42"/>
  <c r="Y280" i="42"/>
  <c r="V280" i="42"/>
  <c r="P280" i="42"/>
  <c r="AE280" i="42" s="1"/>
  <c r="AF280" i="42" s="1"/>
  <c r="AC279" i="42"/>
  <c r="AA279" i="42"/>
  <c r="Y279" i="42"/>
  <c r="P279" i="42"/>
  <c r="AE279" i="42" s="1"/>
  <c r="AF279" i="42" s="1"/>
  <c r="AC278" i="42"/>
  <c r="AA278" i="42"/>
  <c r="Y278" i="42"/>
  <c r="V278" i="42"/>
  <c r="P278" i="42"/>
  <c r="AE278" i="42" s="1"/>
  <c r="AF278" i="42" s="1"/>
  <c r="AC277" i="42"/>
  <c r="AA277" i="42"/>
  <c r="Y277" i="42"/>
  <c r="V277" i="42"/>
  <c r="P277" i="42"/>
  <c r="AE277" i="42" s="1"/>
  <c r="AF277" i="42" s="1"/>
  <c r="AC276" i="42"/>
  <c r="AA276" i="42"/>
  <c r="Y276" i="42"/>
  <c r="V276" i="42"/>
  <c r="P276" i="42"/>
  <c r="AE276" i="42" s="1"/>
  <c r="AF276" i="42" s="1"/>
  <c r="AC275" i="42"/>
  <c r="AA275" i="42"/>
  <c r="Y275" i="42"/>
  <c r="P275" i="42"/>
  <c r="AE275" i="42" s="1"/>
  <c r="AF275" i="42" s="1"/>
  <c r="AC274" i="42"/>
  <c r="AA274" i="42"/>
  <c r="Y274" i="42"/>
  <c r="V274" i="42"/>
  <c r="P274" i="42"/>
  <c r="AE274" i="42" s="1"/>
  <c r="AF274" i="42" s="1"/>
  <c r="AC273" i="42"/>
  <c r="AA273" i="42"/>
  <c r="Y273" i="42"/>
  <c r="V273" i="42"/>
  <c r="P273" i="42"/>
  <c r="AE273" i="42" s="1"/>
  <c r="AF273" i="42" s="1"/>
  <c r="AC272" i="42"/>
  <c r="AA272" i="42"/>
  <c r="Y272" i="42"/>
  <c r="V272" i="42"/>
  <c r="P272" i="42"/>
  <c r="AE272" i="42" s="1"/>
  <c r="AF272" i="42" s="1"/>
  <c r="AC271" i="42"/>
  <c r="AA271" i="42"/>
  <c r="Y271" i="42"/>
  <c r="P271" i="42"/>
  <c r="AE271" i="42" s="1"/>
  <c r="AF271" i="42" s="1"/>
  <c r="AC270" i="42"/>
  <c r="AA270" i="42"/>
  <c r="Y270" i="42"/>
  <c r="AC269" i="42"/>
  <c r="AA269" i="42"/>
  <c r="Y269" i="42"/>
  <c r="AC268" i="42"/>
  <c r="AA268" i="42"/>
  <c r="Y268" i="42"/>
  <c r="V268" i="42"/>
  <c r="AC267" i="42"/>
  <c r="AA267" i="42"/>
  <c r="Y267" i="42"/>
  <c r="AC266" i="42"/>
  <c r="AA266" i="42"/>
  <c r="Y266" i="42"/>
  <c r="AC265" i="42"/>
  <c r="AA265" i="42"/>
  <c r="Y265" i="42"/>
  <c r="V265" i="42"/>
  <c r="P265" i="42"/>
  <c r="AE265" i="42" s="1"/>
  <c r="AF265" i="42" s="1"/>
  <c r="AC264" i="42"/>
  <c r="AA264" i="42"/>
  <c r="Y264" i="42"/>
  <c r="AC263" i="42"/>
  <c r="AA263" i="42"/>
  <c r="Y263" i="42"/>
  <c r="V263" i="42"/>
  <c r="P263" i="42"/>
  <c r="AE263" i="42" s="1"/>
  <c r="AF263" i="42" s="1"/>
  <c r="AC262" i="42"/>
  <c r="AA262" i="42"/>
  <c r="Y262" i="42"/>
  <c r="V262" i="42"/>
  <c r="P262" i="42"/>
  <c r="AE262" i="42" s="1"/>
  <c r="AF262" i="42" s="1"/>
  <c r="AC261" i="42"/>
  <c r="AA261" i="42"/>
  <c r="Y261" i="42"/>
  <c r="P261" i="42"/>
  <c r="AE261" i="42" s="1"/>
  <c r="AF261" i="42" s="1"/>
  <c r="AC260" i="42"/>
  <c r="AA260" i="42"/>
  <c r="Y260" i="42"/>
  <c r="V260" i="42"/>
  <c r="P260" i="42"/>
  <c r="AE260" i="42" s="1"/>
  <c r="AF260" i="42" s="1"/>
  <c r="AC259" i="42"/>
  <c r="AA259" i="42"/>
  <c r="Y259" i="42"/>
  <c r="V259" i="42"/>
  <c r="P259" i="42"/>
  <c r="AE259" i="42" s="1"/>
  <c r="AF259" i="42" s="1"/>
  <c r="AC258" i="42"/>
  <c r="AA258" i="42"/>
  <c r="Y258" i="42"/>
  <c r="P258" i="42"/>
  <c r="AE258" i="42" s="1"/>
  <c r="AF258" i="42" s="1"/>
  <c r="AC257" i="42"/>
  <c r="AA257" i="42"/>
  <c r="Y257" i="42"/>
  <c r="AC256" i="42"/>
  <c r="AA256" i="42"/>
  <c r="Y256" i="42"/>
  <c r="P256" i="42"/>
  <c r="AE256" i="42" s="1"/>
  <c r="AF256" i="42" s="1"/>
  <c r="AC255" i="42"/>
  <c r="AA255" i="42"/>
  <c r="Y255" i="42"/>
  <c r="P255" i="42"/>
  <c r="AE255" i="42" s="1"/>
  <c r="AF255" i="42" s="1"/>
  <c r="AC254" i="42"/>
  <c r="AA254" i="42"/>
  <c r="Y254" i="42"/>
  <c r="P254" i="42"/>
  <c r="AE254" i="42" s="1"/>
  <c r="AF254" i="42" s="1"/>
  <c r="AC253" i="42"/>
  <c r="AA253" i="42"/>
  <c r="Y253" i="42"/>
  <c r="AC252" i="42"/>
  <c r="AA252" i="42"/>
  <c r="Y252" i="42"/>
  <c r="AC251" i="42"/>
  <c r="AA251" i="42"/>
  <c r="Y251" i="42"/>
  <c r="AC250" i="42"/>
  <c r="AA250" i="42"/>
  <c r="Y250" i="42"/>
  <c r="P250" i="42"/>
  <c r="AE250" i="42" s="1"/>
  <c r="AF250" i="42" s="1"/>
  <c r="AC249" i="42"/>
  <c r="AA249" i="42"/>
  <c r="Y249" i="42"/>
  <c r="V249" i="42"/>
  <c r="P249" i="42"/>
  <c r="AE249" i="42" s="1"/>
  <c r="AF249" i="42" s="1"/>
  <c r="AC248" i="42"/>
  <c r="AA248" i="42"/>
  <c r="Y248" i="42"/>
  <c r="AC247" i="42"/>
  <c r="AA247" i="42"/>
  <c r="Y247" i="42"/>
  <c r="V247" i="42"/>
  <c r="P247" i="42"/>
  <c r="AE247" i="42" s="1"/>
  <c r="AF247" i="42" s="1"/>
  <c r="AC246" i="42"/>
  <c r="AA246" i="42"/>
  <c r="Y246" i="42"/>
  <c r="V246" i="42"/>
  <c r="P246" i="42"/>
  <c r="AE246" i="42" s="1"/>
  <c r="AF246" i="42" s="1"/>
  <c r="AC245" i="42"/>
  <c r="AA245" i="42"/>
  <c r="Y245" i="42"/>
  <c r="P245" i="42"/>
  <c r="AE245" i="42" s="1"/>
  <c r="AF245" i="42" s="1"/>
  <c r="AC244" i="42"/>
  <c r="AA244" i="42"/>
  <c r="Y244" i="42"/>
  <c r="V244" i="42"/>
  <c r="P244" i="42"/>
  <c r="AE244" i="42" s="1"/>
  <c r="AF244" i="42" s="1"/>
  <c r="AC243" i="42"/>
  <c r="AA243" i="42"/>
  <c r="Y243" i="42"/>
  <c r="V243" i="42"/>
  <c r="P243" i="42"/>
  <c r="AE243" i="42" s="1"/>
  <c r="AF243" i="42" s="1"/>
  <c r="AC242" i="42"/>
  <c r="AA242" i="42"/>
  <c r="Y242" i="42"/>
  <c r="V242" i="42"/>
  <c r="P242" i="42"/>
  <c r="AE242" i="42" s="1"/>
  <c r="AF242" i="42" s="1"/>
  <c r="AC241" i="42"/>
  <c r="AA241" i="42"/>
  <c r="Y241" i="42"/>
  <c r="V241" i="42"/>
  <c r="P241" i="42"/>
  <c r="AE241" i="42" s="1"/>
  <c r="AF241" i="42" s="1"/>
  <c r="AC240" i="42"/>
  <c r="AA240" i="42"/>
  <c r="Y240" i="42"/>
  <c r="P240" i="42"/>
  <c r="AE240" i="42" s="1"/>
  <c r="AF240" i="42" s="1"/>
  <c r="AC239" i="42"/>
  <c r="AA239" i="42"/>
  <c r="Y239" i="42"/>
  <c r="V239" i="42"/>
  <c r="P239" i="42"/>
  <c r="AE239" i="42" s="1"/>
  <c r="AF239" i="42" s="1"/>
  <c r="AC238" i="42"/>
  <c r="AA238" i="42"/>
  <c r="Y238" i="42"/>
  <c r="AC237" i="42"/>
  <c r="AA237" i="42"/>
  <c r="Y237" i="42"/>
  <c r="V237" i="42"/>
  <c r="AC236" i="42"/>
  <c r="AA236" i="42"/>
  <c r="Y236" i="42"/>
  <c r="V236" i="42"/>
  <c r="P236" i="42"/>
  <c r="AE236" i="42" s="1"/>
  <c r="AF236" i="42" s="1"/>
  <c r="AC235" i="42"/>
  <c r="AA235" i="42"/>
  <c r="Y235" i="42"/>
  <c r="AC234" i="42"/>
  <c r="AA234" i="42"/>
  <c r="Y234" i="42"/>
  <c r="AC233" i="42"/>
  <c r="AA233" i="42"/>
  <c r="Y233" i="42"/>
  <c r="V233" i="42"/>
  <c r="P233" i="42"/>
  <c r="AE233" i="42" s="1"/>
  <c r="AF233" i="42" s="1"/>
  <c r="AC232" i="42"/>
  <c r="AA232" i="42"/>
  <c r="Y232" i="42"/>
  <c r="V232" i="42"/>
  <c r="P232" i="42"/>
  <c r="AE232" i="42" s="1"/>
  <c r="AF232" i="42" s="1"/>
  <c r="AC231" i="42"/>
  <c r="AA231" i="42"/>
  <c r="Y231" i="42"/>
  <c r="P231" i="42"/>
  <c r="AE231" i="42" s="1"/>
  <c r="AF231" i="42" s="1"/>
  <c r="AC230" i="42"/>
  <c r="AA230" i="42"/>
  <c r="Y230" i="42"/>
  <c r="P230" i="42"/>
  <c r="AE230" i="42" s="1"/>
  <c r="AF230" i="42" s="1"/>
  <c r="AC229" i="42"/>
  <c r="AA229" i="42"/>
  <c r="Y229" i="42"/>
  <c r="V229" i="42"/>
  <c r="P229" i="42"/>
  <c r="AE229" i="42" s="1"/>
  <c r="AF229" i="42" s="1"/>
  <c r="AC228" i="42"/>
  <c r="AA228" i="42"/>
  <c r="Y228" i="42"/>
  <c r="V228" i="42"/>
  <c r="P228" i="42"/>
  <c r="AE228" i="42" s="1"/>
  <c r="AF228" i="42" s="1"/>
  <c r="AC227" i="42"/>
  <c r="AA227" i="42"/>
  <c r="Y227" i="42"/>
  <c r="V227" i="42"/>
  <c r="P227" i="42"/>
  <c r="AE227" i="42" s="1"/>
  <c r="AF227" i="42" s="1"/>
  <c r="AC226" i="42"/>
  <c r="AA226" i="42"/>
  <c r="Y226" i="42"/>
  <c r="V226" i="42"/>
  <c r="P226" i="42"/>
  <c r="AE226" i="42" s="1"/>
  <c r="AF226" i="42" s="1"/>
  <c r="AC225" i="42"/>
  <c r="AA225" i="42"/>
  <c r="Y225" i="42"/>
  <c r="V225" i="42"/>
  <c r="P225" i="42"/>
  <c r="AE225" i="42" s="1"/>
  <c r="AF225" i="42" s="1"/>
  <c r="AC224" i="42"/>
  <c r="AA224" i="42"/>
  <c r="Y224" i="42"/>
  <c r="V224" i="42"/>
  <c r="P224" i="42"/>
  <c r="AE224" i="42" s="1"/>
  <c r="AF224" i="42" s="1"/>
  <c r="AC223" i="42"/>
  <c r="AA223" i="42"/>
  <c r="Y223" i="42"/>
  <c r="P223" i="42"/>
  <c r="AE223" i="42" s="1"/>
  <c r="AF223" i="42" s="1"/>
  <c r="AC222" i="42"/>
  <c r="AA222" i="42"/>
  <c r="Y222" i="42"/>
  <c r="AC221" i="42"/>
  <c r="AA221" i="42"/>
  <c r="Y221" i="42"/>
  <c r="AC220" i="42"/>
  <c r="AA220" i="42"/>
  <c r="Y220" i="42"/>
  <c r="AC219" i="42"/>
  <c r="AA219" i="42"/>
  <c r="Y219" i="42"/>
  <c r="AC218" i="42"/>
  <c r="AA218" i="42"/>
  <c r="Y218" i="42"/>
  <c r="P218" i="42"/>
  <c r="AE218" i="42" s="1"/>
  <c r="AF218" i="42" s="1"/>
  <c r="AC217" i="42"/>
  <c r="AA217" i="42"/>
  <c r="Y217" i="42"/>
  <c r="V217" i="42"/>
  <c r="AC216" i="42"/>
  <c r="AA216" i="42"/>
  <c r="Y216" i="42"/>
  <c r="AC215" i="42"/>
  <c r="AA215" i="42"/>
  <c r="Y215" i="42"/>
  <c r="V215" i="42"/>
  <c r="P215" i="42"/>
  <c r="AE215" i="42" s="1"/>
  <c r="AF215" i="42" s="1"/>
  <c r="AC214" i="42"/>
  <c r="AA214" i="42"/>
  <c r="Y214" i="42"/>
  <c r="P214" i="42"/>
  <c r="AE214" i="42" s="1"/>
  <c r="AF214" i="42" s="1"/>
  <c r="AC213" i="42"/>
  <c r="AA213" i="42"/>
  <c r="Y213" i="42"/>
  <c r="P213" i="42"/>
  <c r="AE213" i="42" s="1"/>
  <c r="AF213" i="42" s="1"/>
  <c r="AC212" i="42"/>
  <c r="AA212" i="42"/>
  <c r="Y212" i="42"/>
  <c r="V212" i="42"/>
  <c r="P212" i="42"/>
  <c r="AE212" i="42" s="1"/>
  <c r="AF212" i="42" s="1"/>
  <c r="AC211" i="42"/>
  <c r="AA211" i="42"/>
  <c r="Y211" i="42"/>
  <c r="V211" i="42"/>
  <c r="P211" i="42"/>
  <c r="AE211" i="42" s="1"/>
  <c r="AF211" i="42" s="1"/>
  <c r="AC210" i="42"/>
  <c r="AA210" i="42"/>
  <c r="Y210" i="42"/>
  <c r="P210" i="42"/>
  <c r="AE210" i="42" s="1"/>
  <c r="AF210" i="42" s="1"/>
  <c r="AC209" i="42"/>
  <c r="AA209" i="42"/>
  <c r="Y209" i="42"/>
  <c r="P209" i="42"/>
  <c r="AE209" i="42" s="1"/>
  <c r="AF209" i="42" s="1"/>
  <c r="AC208" i="42"/>
  <c r="AA208" i="42"/>
  <c r="Y208" i="42"/>
  <c r="P208" i="42"/>
  <c r="AE208" i="42" s="1"/>
  <c r="AF208" i="42" s="1"/>
  <c r="AC207" i="42"/>
  <c r="AA207" i="42"/>
  <c r="Y207" i="42"/>
  <c r="P207" i="42"/>
  <c r="AE207" i="42" s="1"/>
  <c r="AF207" i="42" s="1"/>
  <c r="AC206" i="42"/>
  <c r="AA206" i="42"/>
  <c r="Y206" i="42"/>
  <c r="P206" i="42"/>
  <c r="AE206" i="42" s="1"/>
  <c r="AF206" i="42" s="1"/>
  <c r="AC205" i="42"/>
  <c r="AA205" i="42"/>
  <c r="Y205" i="42"/>
  <c r="V205" i="42"/>
  <c r="AC204" i="42"/>
  <c r="AA204" i="42"/>
  <c r="Y204" i="42"/>
  <c r="AC203" i="42"/>
  <c r="AA203" i="42"/>
  <c r="Y203" i="42"/>
  <c r="AC202" i="42"/>
  <c r="AA202" i="42"/>
  <c r="Y202" i="42"/>
  <c r="AC201" i="42"/>
  <c r="AA201" i="42"/>
  <c r="Y201" i="42"/>
  <c r="V201" i="42"/>
  <c r="P201" i="42"/>
  <c r="AE201" i="42" s="1"/>
  <c r="AF201" i="42" s="1"/>
  <c r="AC200" i="42"/>
  <c r="AA200" i="42"/>
  <c r="Y200" i="42"/>
  <c r="V200" i="42"/>
  <c r="AC199" i="42"/>
  <c r="AA199" i="42"/>
  <c r="Y199" i="42"/>
  <c r="P199" i="42"/>
  <c r="AE199" i="42" s="1"/>
  <c r="AF199" i="42" s="1"/>
  <c r="AC198" i="42"/>
  <c r="AA198" i="42"/>
  <c r="Y198" i="42"/>
  <c r="P198" i="42"/>
  <c r="AE198" i="42" s="1"/>
  <c r="AF198" i="42" s="1"/>
  <c r="AC197" i="42"/>
  <c r="AA197" i="42"/>
  <c r="Y197" i="42"/>
  <c r="V197" i="42"/>
  <c r="P197" i="42"/>
  <c r="AE197" i="42" s="1"/>
  <c r="AF197" i="42" s="1"/>
  <c r="AC196" i="42"/>
  <c r="AA196" i="42"/>
  <c r="Y196" i="42"/>
  <c r="P196" i="42"/>
  <c r="AE196" i="42" s="1"/>
  <c r="AF196" i="42" s="1"/>
  <c r="AC195" i="42"/>
  <c r="AA195" i="42"/>
  <c r="Y195" i="42"/>
  <c r="P195" i="42"/>
  <c r="AE195" i="42" s="1"/>
  <c r="AF195" i="42" s="1"/>
  <c r="AC194" i="42"/>
  <c r="AA194" i="42"/>
  <c r="Y194" i="42"/>
  <c r="P194" i="42"/>
  <c r="AE194" i="42" s="1"/>
  <c r="AF194" i="42" s="1"/>
  <c r="AC193" i="42"/>
  <c r="AA193" i="42"/>
  <c r="Y193" i="42"/>
  <c r="V193" i="42"/>
  <c r="AC192" i="42"/>
  <c r="AA192" i="42"/>
  <c r="Y192" i="42"/>
  <c r="V192" i="42"/>
  <c r="P192" i="42"/>
  <c r="AE192" i="42" s="1"/>
  <c r="AF192" i="42" s="1"/>
  <c r="AC191" i="42"/>
  <c r="AA191" i="42"/>
  <c r="Y191" i="42"/>
  <c r="V191" i="42"/>
  <c r="P191" i="42"/>
  <c r="AE191" i="42" s="1"/>
  <c r="AF191" i="42" s="1"/>
  <c r="AC190" i="42"/>
  <c r="AA190" i="42"/>
  <c r="Y190" i="42"/>
  <c r="AC189" i="42"/>
  <c r="AA189" i="42"/>
  <c r="Y189" i="42"/>
  <c r="AC188" i="42"/>
  <c r="AA188" i="42"/>
  <c r="Y188" i="42"/>
  <c r="AC187" i="42"/>
  <c r="AA187" i="42"/>
  <c r="Y187" i="42"/>
  <c r="P187" i="42"/>
  <c r="AE187" i="42" s="1"/>
  <c r="AF187" i="42" s="1"/>
  <c r="AC186" i="42"/>
  <c r="AA186" i="42"/>
  <c r="Y186" i="42"/>
  <c r="V186" i="42"/>
  <c r="AC185" i="42"/>
  <c r="AA185" i="42"/>
  <c r="Y185" i="42"/>
  <c r="V185" i="42"/>
  <c r="AC184" i="42"/>
  <c r="AA184" i="42"/>
  <c r="Y184" i="42"/>
  <c r="V184" i="42"/>
  <c r="P184" i="42"/>
  <c r="AE184" i="42" s="1"/>
  <c r="AF184" i="42" s="1"/>
  <c r="AC183" i="42"/>
  <c r="AA183" i="42"/>
  <c r="Y183" i="42"/>
  <c r="P183" i="42"/>
  <c r="AE183" i="42" s="1"/>
  <c r="AF183" i="42" s="1"/>
  <c r="AC182" i="42"/>
  <c r="AA182" i="42"/>
  <c r="Y182" i="42"/>
  <c r="V182" i="42"/>
  <c r="P182" i="42"/>
  <c r="AE182" i="42" s="1"/>
  <c r="AF182" i="42" s="1"/>
  <c r="AC181" i="42"/>
  <c r="AA181" i="42"/>
  <c r="Y181" i="42"/>
  <c r="V181" i="42"/>
  <c r="P181" i="42"/>
  <c r="AE181" i="42" s="1"/>
  <c r="AF181" i="42" s="1"/>
  <c r="AC180" i="42"/>
  <c r="AA180" i="42"/>
  <c r="Y180" i="42"/>
  <c r="V180" i="42"/>
  <c r="P180" i="42"/>
  <c r="AE180" i="42" s="1"/>
  <c r="AF180" i="42" s="1"/>
  <c r="AC179" i="42"/>
  <c r="AA179" i="42"/>
  <c r="Y179" i="42"/>
  <c r="P179" i="42"/>
  <c r="AE179" i="42" s="1"/>
  <c r="AF179" i="42" s="1"/>
  <c r="AC178" i="42"/>
  <c r="AA178" i="42"/>
  <c r="Y178" i="42"/>
  <c r="P178" i="42"/>
  <c r="AE178" i="42" s="1"/>
  <c r="AF178" i="42" s="1"/>
  <c r="AC177" i="42"/>
  <c r="AA177" i="42"/>
  <c r="Y177" i="42"/>
  <c r="V177" i="42"/>
  <c r="P177" i="42"/>
  <c r="AE177" i="42" s="1"/>
  <c r="AF177" i="42" s="1"/>
  <c r="AC176" i="42"/>
  <c r="AA176" i="42"/>
  <c r="Y176" i="42"/>
  <c r="V176" i="42"/>
  <c r="P176" i="42"/>
  <c r="AE176" i="42" s="1"/>
  <c r="AF176" i="42" s="1"/>
  <c r="AC175" i="42"/>
  <c r="AA175" i="42"/>
  <c r="Y175" i="42"/>
  <c r="P175" i="42"/>
  <c r="AE175" i="42" s="1"/>
  <c r="AF175" i="42" s="1"/>
  <c r="AC174" i="42"/>
  <c r="AA174" i="42"/>
  <c r="Y174" i="42"/>
  <c r="AC173" i="42"/>
  <c r="AA173" i="42"/>
  <c r="Y173" i="42"/>
  <c r="V173" i="42"/>
  <c r="AC172" i="42"/>
  <c r="AA172" i="42"/>
  <c r="Y172" i="42"/>
  <c r="V172" i="42"/>
  <c r="AC171" i="42"/>
  <c r="AA171" i="42"/>
  <c r="Y171" i="42"/>
  <c r="AC170" i="42"/>
  <c r="AA170" i="42"/>
  <c r="Y170" i="42"/>
  <c r="AC169" i="42"/>
  <c r="AA169" i="42"/>
  <c r="Y169" i="42"/>
  <c r="P169" i="42"/>
  <c r="AE169" i="42" s="1"/>
  <c r="AF169" i="42" s="1"/>
  <c r="AC168" i="42"/>
  <c r="AA168" i="42"/>
  <c r="Y168" i="42"/>
  <c r="V168" i="42"/>
  <c r="P168" i="42"/>
  <c r="AE168" i="42" s="1"/>
  <c r="AF168" i="42" s="1"/>
  <c r="AC167" i="42"/>
  <c r="AA167" i="42"/>
  <c r="Y167" i="42"/>
  <c r="V167" i="42"/>
  <c r="AC166" i="42"/>
  <c r="AA166" i="42"/>
  <c r="Y166" i="42"/>
  <c r="V166" i="42"/>
  <c r="P166" i="42"/>
  <c r="AE166" i="42" s="1"/>
  <c r="AF166" i="42" s="1"/>
  <c r="AC165" i="42"/>
  <c r="AA165" i="42"/>
  <c r="Y165" i="42"/>
  <c r="V165" i="42"/>
  <c r="P165" i="42"/>
  <c r="AE165" i="42" s="1"/>
  <c r="AF165" i="42" s="1"/>
  <c r="AC164" i="42"/>
  <c r="AA164" i="42"/>
  <c r="Y164" i="42"/>
  <c r="V164" i="42"/>
  <c r="P164" i="42"/>
  <c r="AE164" i="42" s="1"/>
  <c r="AF164" i="42" s="1"/>
  <c r="AC163" i="42"/>
  <c r="AA163" i="42"/>
  <c r="Y163" i="42"/>
  <c r="V163" i="42"/>
  <c r="P163" i="42"/>
  <c r="AE163" i="42" s="1"/>
  <c r="AF163" i="42" s="1"/>
  <c r="AC162" i="42"/>
  <c r="AA162" i="42"/>
  <c r="Y162" i="42"/>
  <c r="V162" i="42"/>
  <c r="P162" i="42"/>
  <c r="AE162" i="42" s="1"/>
  <c r="AF162" i="42" s="1"/>
  <c r="AC161" i="42"/>
  <c r="AA161" i="42"/>
  <c r="Y161" i="42"/>
  <c r="AC160" i="42"/>
  <c r="AA160" i="42"/>
  <c r="Y160" i="42"/>
  <c r="V160" i="42"/>
  <c r="P160" i="42"/>
  <c r="AE160" i="42" s="1"/>
  <c r="AF160" i="42" s="1"/>
  <c r="AC159" i="42"/>
  <c r="AA159" i="42"/>
  <c r="Y159" i="42"/>
  <c r="P159" i="42"/>
  <c r="AE159" i="42" s="1"/>
  <c r="AF159" i="42" s="1"/>
  <c r="AC158" i="42"/>
  <c r="AA158" i="42"/>
  <c r="Y158" i="42"/>
  <c r="AC157" i="42"/>
  <c r="AA157" i="42"/>
  <c r="Y157" i="42"/>
  <c r="AC156" i="42"/>
  <c r="AA156" i="42"/>
  <c r="Y156" i="42"/>
  <c r="V156" i="42"/>
  <c r="AC155" i="42"/>
  <c r="AA155" i="42"/>
  <c r="Y155" i="42"/>
  <c r="P155" i="42"/>
  <c r="AE155" i="42" s="1"/>
  <c r="AF155" i="42" s="1"/>
  <c r="AC154" i="42"/>
  <c r="AA154" i="42"/>
  <c r="Y154" i="42"/>
  <c r="AC153" i="42"/>
  <c r="AA153" i="42"/>
  <c r="Y153" i="42"/>
  <c r="V153" i="42"/>
  <c r="AC152" i="42"/>
  <c r="AA152" i="42"/>
  <c r="Y152" i="42"/>
  <c r="V152" i="42"/>
  <c r="P152" i="42"/>
  <c r="AE152" i="42" s="1"/>
  <c r="AF152" i="42" s="1"/>
  <c r="AC151" i="42"/>
  <c r="AA151" i="42"/>
  <c r="Y151" i="42"/>
  <c r="V151" i="42"/>
  <c r="P151" i="42"/>
  <c r="AE151" i="42" s="1"/>
  <c r="AF151" i="42" s="1"/>
  <c r="AC150" i="42"/>
  <c r="AA150" i="42"/>
  <c r="Y150" i="42"/>
  <c r="P150" i="42"/>
  <c r="AE150" i="42" s="1"/>
  <c r="AF150" i="42" s="1"/>
  <c r="AC149" i="42"/>
  <c r="AA149" i="42"/>
  <c r="Y149" i="42"/>
  <c r="V149" i="42"/>
  <c r="P149" i="42"/>
  <c r="AE149" i="42" s="1"/>
  <c r="AF149" i="42" s="1"/>
  <c r="AC148" i="42"/>
  <c r="AA148" i="42"/>
  <c r="Y148" i="42"/>
  <c r="V148" i="42"/>
  <c r="P148" i="42"/>
  <c r="AE148" i="42" s="1"/>
  <c r="AF148" i="42" s="1"/>
  <c r="AC147" i="42"/>
  <c r="AA147" i="42"/>
  <c r="Y147" i="42"/>
  <c r="P147" i="42"/>
  <c r="AE147" i="42" s="1"/>
  <c r="AF147" i="42" s="1"/>
  <c r="AC146" i="42"/>
  <c r="AA146" i="42"/>
  <c r="Y146" i="42"/>
  <c r="V146" i="42"/>
  <c r="P146" i="42"/>
  <c r="AE146" i="42" s="1"/>
  <c r="AF146" i="42" s="1"/>
  <c r="AC145" i="42"/>
  <c r="AA145" i="42"/>
  <c r="Y145" i="42"/>
  <c r="P145" i="42"/>
  <c r="AE145" i="42" s="1"/>
  <c r="AF145" i="42" s="1"/>
  <c r="AC144" i="42"/>
  <c r="AA144" i="42"/>
  <c r="Y144" i="42"/>
  <c r="V144" i="42"/>
  <c r="P144" i="42"/>
  <c r="AE144" i="42" s="1"/>
  <c r="AF144" i="42" s="1"/>
  <c r="AC143" i="42"/>
  <c r="AA143" i="42"/>
  <c r="Y143" i="42"/>
  <c r="V143" i="42"/>
  <c r="P143" i="42"/>
  <c r="AE143" i="42" s="1"/>
  <c r="AF143" i="42" s="1"/>
  <c r="AC142" i="42"/>
  <c r="AA142" i="42"/>
  <c r="Y142" i="42"/>
  <c r="AC141" i="42"/>
  <c r="AA141" i="42"/>
  <c r="Y141" i="42"/>
  <c r="AC140" i="42"/>
  <c r="AA140" i="42"/>
  <c r="Y140" i="42"/>
  <c r="AC139" i="42"/>
  <c r="AA139" i="42"/>
  <c r="Y139" i="42"/>
  <c r="AC138" i="42"/>
  <c r="AA138" i="42"/>
  <c r="Y138" i="42"/>
  <c r="AC137" i="42"/>
  <c r="AA137" i="42"/>
  <c r="Y137" i="42"/>
  <c r="V137" i="42"/>
  <c r="P137" i="42"/>
  <c r="AE137" i="42" s="1"/>
  <c r="AF137" i="42" s="1"/>
  <c r="AC136" i="42"/>
  <c r="AA136" i="42"/>
  <c r="Y136" i="42"/>
  <c r="P136" i="42"/>
  <c r="AE136" i="42" s="1"/>
  <c r="AF136" i="42" s="1"/>
  <c r="AC135" i="42"/>
  <c r="AA135" i="42"/>
  <c r="Y135" i="42"/>
  <c r="V135" i="42"/>
  <c r="AC134" i="42"/>
  <c r="AA134" i="42"/>
  <c r="Y134" i="42"/>
  <c r="V134" i="42"/>
  <c r="P134" i="42"/>
  <c r="AE134" i="42" s="1"/>
  <c r="AF134" i="42" s="1"/>
  <c r="AC133" i="42"/>
  <c r="AA133" i="42"/>
  <c r="Y133" i="42"/>
  <c r="V133" i="42"/>
  <c r="P133" i="42"/>
  <c r="AE133" i="42" s="1"/>
  <c r="AF133" i="42" s="1"/>
  <c r="AC132" i="42"/>
  <c r="AA132" i="42"/>
  <c r="Y132" i="42"/>
  <c r="V132" i="42"/>
  <c r="P132" i="42"/>
  <c r="AE132" i="42" s="1"/>
  <c r="AF132" i="42" s="1"/>
  <c r="AC131" i="42"/>
  <c r="AA131" i="42"/>
  <c r="Y131" i="42"/>
  <c r="V131" i="42"/>
  <c r="P131" i="42"/>
  <c r="AE131" i="42" s="1"/>
  <c r="AF131" i="42" s="1"/>
  <c r="AC130" i="42"/>
  <c r="AA130" i="42"/>
  <c r="Y130" i="42"/>
  <c r="V130" i="42"/>
  <c r="P130" i="42"/>
  <c r="AE130" i="42" s="1"/>
  <c r="AF130" i="42" s="1"/>
  <c r="AC129" i="42"/>
  <c r="AA129" i="42"/>
  <c r="Y129" i="42"/>
  <c r="V129" i="42"/>
  <c r="P129" i="42"/>
  <c r="AE129" i="42" s="1"/>
  <c r="AF129" i="42" s="1"/>
  <c r="AC128" i="42"/>
  <c r="AA128" i="42"/>
  <c r="Y128" i="42"/>
  <c r="V128" i="42"/>
  <c r="P128" i="42"/>
  <c r="AE128" i="42" s="1"/>
  <c r="AF128" i="42" s="1"/>
  <c r="AC127" i="42"/>
  <c r="AA127" i="42"/>
  <c r="Y127" i="42"/>
  <c r="P127" i="42"/>
  <c r="AE127" i="42" s="1"/>
  <c r="AF127" i="42" s="1"/>
  <c r="AC126" i="42"/>
  <c r="AA126" i="42"/>
  <c r="Y126" i="42"/>
  <c r="P126" i="42"/>
  <c r="AE126" i="42" s="1"/>
  <c r="AF126" i="42" s="1"/>
  <c r="AC125" i="42"/>
  <c r="AA125" i="42"/>
  <c r="Y125" i="42"/>
  <c r="V125" i="42"/>
  <c r="AC124" i="42"/>
  <c r="AA124" i="42"/>
  <c r="Y124" i="42"/>
  <c r="V124" i="42"/>
  <c r="AC123" i="42"/>
  <c r="AA123" i="42"/>
  <c r="Y123" i="42"/>
  <c r="AC122" i="42"/>
  <c r="AA122" i="42"/>
  <c r="Y122" i="42"/>
  <c r="P122" i="42"/>
  <c r="AE122" i="42" s="1"/>
  <c r="AF122" i="42" s="1"/>
  <c r="AC121" i="42"/>
  <c r="AA121" i="42"/>
  <c r="Y121" i="42"/>
  <c r="V121" i="42"/>
  <c r="P121" i="42"/>
  <c r="AE121" i="42" s="1"/>
  <c r="AF121" i="42" s="1"/>
  <c r="AC120" i="42"/>
  <c r="AA120" i="42"/>
  <c r="Y120" i="42"/>
  <c r="AC119" i="42"/>
  <c r="AA119" i="42"/>
  <c r="Y119" i="42"/>
  <c r="P119" i="42"/>
  <c r="AE119" i="42" s="1"/>
  <c r="AF119" i="42" s="1"/>
  <c r="AC118" i="42"/>
  <c r="AA118" i="42"/>
  <c r="Y118" i="42"/>
  <c r="P118" i="42"/>
  <c r="AE118" i="42" s="1"/>
  <c r="AF118" i="42" s="1"/>
  <c r="AC117" i="42"/>
  <c r="AA117" i="42"/>
  <c r="Y117" i="42"/>
  <c r="P117" i="42"/>
  <c r="AE117" i="42" s="1"/>
  <c r="AF117" i="42" s="1"/>
  <c r="AC116" i="42"/>
  <c r="AA116" i="42"/>
  <c r="Y116" i="42"/>
  <c r="V116" i="42"/>
  <c r="P116" i="42"/>
  <c r="AE116" i="42" s="1"/>
  <c r="AF116" i="42" s="1"/>
  <c r="AC115" i="42"/>
  <c r="AA115" i="42"/>
  <c r="Y115" i="42"/>
  <c r="V115" i="42"/>
  <c r="P115" i="42"/>
  <c r="AE115" i="42" s="1"/>
  <c r="AF115" i="42" s="1"/>
  <c r="AC114" i="42"/>
  <c r="AA114" i="42"/>
  <c r="Y114" i="42"/>
  <c r="P114" i="42"/>
  <c r="AE114" i="42" s="1"/>
  <c r="AF114" i="42" s="1"/>
  <c r="AC113" i="42"/>
  <c r="AA113" i="42"/>
  <c r="Y113" i="42"/>
  <c r="AC112" i="42"/>
  <c r="AA112" i="42"/>
  <c r="Y112" i="42"/>
  <c r="P112" i="42"/>
  <c r="AE112" i="42" s="1"/>
  <c r="AF112" i="42" s="1"/>
  <c r="AC111" i="42"/>
  <c r="AA111" i="42"/>
  <c r="Y111" i="42"/>
  <c r="V111" i="42"/>
  <c r="P111" i="42"/>
  <c r="AE111" i="42" s="1"/>
  <c r="AF111" i="42" s="1"/>
  <c r="AC110" i="42"/>
  <c r="AA110" i="42"/>
  <c r="Y110" i="42"/>
  <c r="V110" i="42"/>
  <c r="AC109" i="42"/>
  <c r="AA109" i="42"/>
  <c r="Y109" i="42"/>
  <c r="AC108" i="42"/>
  <c r="AA108" i="42"/>
  <c r="Y108" i="42"/>
  <c r="V108" i="42"/>
  <c r="AC107" i="42"/>
  <c r="AA107" i="42"/>
  <c r="Y107" i="42"/>
  <c r="P107" i="42"/>
  <c r="AE107" i="42" s="1"/>
  <c r="AF107" i="42" s="1"/>
  <c r="AC106" i="42"/>
  <c r="AA106" i="42"/>
  <c r="Y106" i="42"/>
  <c r="AC105" i="42"/>
  <c r="AA105" i="42"/>
  <c r="Y105" i="42"/>
  <c r="AC104" i="42"/>
  <c r="AA104" i="42"/>
  <c r="Y104" i="42"/>
  <c r="V104" i="42"/>
  <c r="P104" i="42"/>
  <c r="AE104" i="42" s="1"/>
  <c r="AF104" i="42" s="1"/>
  <c r="AC103" i="42"/>
  <c r="AA103" i="42"/>
  <c r="Y103" i="42"/>
  <c r="V103" i="42"/>
  <c r="P103" i="42"/>
  <c r="AE103" i="42" s="1"/>
  <c r="AF103" i="42" s="1"/>
  <c r="AC102" i="42"/>
  <c r="AA102" i="42"/>
  <c r="Y102" i="42"/>
  <c r="V102" i="42"/>
  <c r="P102" i="42"/>
  <c r="AE102" i="42" s="1"/>
  <c r="AF102" i="42" s="1"/>
  <c r="AC101" i="42"/>
  <c r="AA101" i="42"/>
  <c r="Y101" i="42"/>
  <c r="V101" i="42"/>
  <c r="P101" i="42"/>
  <c r="AE101" i="42" s="1"/>
  <c r="AF101" i="42" s="1"/>
  <c r="AC100" i="42"/>
  <c r="AA100" i="42"/>
  <c r="Y100" i="42"/>
  <c r="V100" i="42"/>
  <c r="P100" i="42"/>
  <c r="AE100" i="42" s="1"/>
  <c r="AF100" i="42" s="1"/>
  <c r="AC99" i="42"/>
  <c r="AA99" i="42"/>
  <c r="Y99" i="42"/>
  <c r="P99" i="42"/>
  <c r="AE99" i="42" s="1"/>
  <c r="AF99" i="42" s="1"/>
  <c r="AC98" i="42"/>
  <c r="AA98" i="42"/>
  <c r="Y98" i="42"/>
  <c r="P98" i="42"/>
  <c r="AE98" i="42" s="1"/>
  <c r="AF98" i="42" s="1"/>
  <c r="AC97" i="42"/>
  <c r="AA97" i="42"/>
  <c r="Y97" i="42"/>
  <c r="V97" i="42"/>
  <c r="P97" i="42"/>
  <c r="AE97" i="42" s="1"/>
  <c r="AF97" i="42" s="1"/>
  <c r="AC96" i="42"/>
  <c r="AA96" i="42"/>
  <c r="Y96" i="42"/>
  <c r="P96" i="42"/>
  <c r="AE96" i="42" s="1"/>
  <c r="AF96" i="42" s="1"/>
  <c r="AC95" i="42"/>
  <c r="AA95" i="42"/>
  <c r="Y95" i="42"/>
  <c r="P95" i="42"/>
  <c r="AE95" i="42" s="1"/>
  <c r="AF95" i="42" s="1"/>
  <c r="AC94" i="42"/>
  <c r="AA94" i="42"/>
  <c r="Y94" i="42"/>
  <c r="AC93" i="42"/>
  <c r="AA93" i="42"/>
  <c r="Y93" i="42"/>
  <c r="V93" i="42"/>
  <c r="AC92" i="42"/>
  <c r="AA92" i="42"/>
  <c r="Y92" i="42"/>
  <c r="V92" i="42"/>
  <c r="AC91" i="42"/>
  <c r="AA91" i="42"/>
  <c r="Y91" i="42"/>
  <c r="AC90" i="42"/>
  <c r="AA90" i="42"/>
  <c r="Y90" i="42"/>
  <c r="AC89" i="42"/>
  <c r="AA89" i="42"/>
  <c r="Y89" i="42"/>
  <c r="V89" i="42"/>
  <c r="P89" i="42"/>
  <c r="AE89" i="42" s="1"/>
  <c r="AF89" i="42" s="1"/>
  <c r="AA88" i="42"/>
  <c r="Y88" i="42"/>
  <c r="V88" i="42"/>
  <c r="P88" i="42"/>
  <c r="AE88" i="42" s="1"/>
  <c r="AF88" i="42" s="1"/>
  <c r="AC87" i="42"/>
  <c r="AA87" i="42"/>
  <c r="Y87" i="42"/>
  <c r="V87" i="42"/>
  <c r="AC86" i="42"/>
  <c r="AA86" i="42"/>
  <c r="Y86" i="42"/>
  <c r="P86" i="42"/>
  <c r="AE86" i="42" s="1"/>
  <c r="AF86" i="42" s="1"/>
  <c r="AC85" i="42"/>
  <c r="AA85" i="42"/>
  <c r="Y85" i="42"/>
  <c r="P85" i="42"/>
  <c r="AE85" i="42" s="1"/>
  <c r="AF85" i="42" s="1"/>
  <c r="AC84" i="42"/>
  <c r="AA84" i="42"/>
  <c r="Y84" i="42"/>
  <c r="V84" i="42"/>
  <c r="P84" i="42"/>
  <c r="AE84" i="42" s="1"/>
  <c r="AF84" i="42" s="1"/>
  <c r="AC83" i="42"/>
  <c r="AA83" i="42"/>
  <c r="Y83" i="42"/>
  <c r="V83" i="42"/>
  <c r="P83" i="42"/>
  <c r="AE83" i="42" s="1"/>
  <c r="AF83" i="42" s="1"/>
  <c r="AC82" i="42"/>
  <c r="AA82" i="42"/>
  <c r="Y82" i="42"/>
  <c r="V82" i="42"/>
  <c r="P82" i="42"/>
  <c r="AE82" i="42" s="1"/>
  <c r="AF82" i="42" s="1"/>
  <c r="AC81" i="42"/>
  <c r="AA81" i="42"/>
  <c r="Y81" i="42"/>
  <c r="V81" i="42"/>
  <c r="P81" i="42"/>
  <c r="AE81" i="42" s="1"/>
  <c r="AF81" i="42" s="1"/>
  <c r="AC80" i="42"/>
  <c r="AA80" i="42"/>
  <c r="Y80" i="42"/>
  <c r="P80" i="42"/>
  <c r="AE80" i="42" s="1"/>
  <c r="AF80" i="42" s="1"/>
  <c r="AC79" i="42"/>
  <c r="AA79" i="42"/>
  <c r="Y79" i="42"/>
  <c r="P79" i="42"/>
  <c r="AE79" i="42" s="1"/>
  <c r="AF79" i="42" s="1"/>
  <c r="AC78" i="42"/>
  <c r="AA78" i="42"/>
  <c r="Y78" i="42"/>
  <c r="V78" i="42"/>
  <c r="P78" i="42"/>
  <c r="AE78" i="42" s="1"/>
  <c r="AF78" i="42" s="1"/>
  <c r="AC77" i="42"/>
  <c r="AA77" i="42"/>
  <c r="Y77" i="42"/>
  <c r="AC76" i="42"/>
  <c r="AA76" i="42"/>
  <c r="Y76" i="42"/>
  <c r="V76" i="42"/>
  <c r="AC75" i="42"/>
  <c r="AA75" i="42"/>
  <c r="Y75" i="42"/>
  <c r="AC74" i="42"/>
  <c r="AA74" i="42"/>
  <c r="Y74" i="42"/>
  <c r="V74" i="42"/>
  <c r="P74" i="42"/>
  <c r="AE74" i="42" s="1"/>
  <c r="AF74" i="42" s="1"/>
  <c r="AC73" i="42"/>
  <c r="AA73" i="42"/>
  <c r="Y73" i="42"/>
  <c r="AC72" i="42"/>
  <c r="AA72" i="42"/>
  <c r="Y72" i="42"/>
  <c r="V72" i="42"/>
  <c r="P72" i="42"/>
  <c r="AE72" i="42" s="1"/>
  <c r="AF72" i="42" s="1"/>
  <c r="AC71" i="42"/>
  <c r="AA71" i="42"/>
  <c r="Y71" i="42"/>
  <c r="V71" i="42"/>
  <c r="P71" i="42"/>
  <c r="AE71" i="42" s="1"/>
  <c r="AF71" i="42" s="1"/>
  <c r="AC70" i="42"/>
  <c r="AA70" i="42"/>
  <c r="Y70" i="42"/>
  <c r="P70" i="42"/>
  <c r="AE70" i="42" s="1"/>
  <c r="AF70" i="42" s="1"/>
  <c r="AC69" i="42"/>
  <c r="AA69" i="42"/>
  <c r="Y69" i="42"/>
  <c r="V69" i="42"/>
  <c r="P69" i="42"/>
  <c r="AE69" i="42" s="1"/>
  <c r="AF69" i="42" s="1"/>
  <c r="AA68" i="42"/>
  <c r="Y68" i="42"/>
  <c r="V68" i="42"/>
  <c r="P68" i="42"/>
  <c r="AE68" i="42" s="1"/>
  <c r="AF68" i="42" s="1"/>
  <c r="AC67" i="42"/>
  <c r="AA67" i="42"/>
  <c r="Y67" i="42"/>
  <c r="V67" i="42"/>
  <c r="P67" i="42"/>
  <c r="AE67" i="42" s="1"/>
  <c r="AF67" i="42" s="1"/>
  <c r="AC66" i="42"/>
  <c r="AA66" i="42"/>
  <c r="Y66" i="42"/>
  <c r="P66" i="42"/>
  <c r="AE66" i="42" s="1"/>
  <c r="AF66" i="42" s="1"/>
  <c r="AC65" i="42"/>
  <c r="AA65" i="42"/>
  <c r="Y65" i="42"/>
  <c r="V65" i="42"/>
  <c r="P65" i="42"/>
  <c r="AE65" i="42" s="1"/>
  <c r="AF65" i="42" s="1"/>
  <c r="AC64" i="42"/>
  <c r="AA64" i="42"/>
  <c r="Y64" i="42"/>
  <c r="V64" i="42"/>
  <c r="P64" i="42"/>
  <c r="AE64" i="42" s="1"/>
  <c r="AF64" i="42" s="1"/>
  <c r="AC63" i="42"/>
  <c r="AA63" i="42"/>
  <c r="Y63" i="42"/>
  <c r="P63" i="42"/>
  <c r="AE63" i="42" s="1"/>
  <c r="AF63" i="42" s="1"/>
  <c r="AC62" i="42"/>
  <c r="AA62" i="42"/>
  <c r="Y62" i="42"/>
  <c r="AC61" i="42"/>
  <c r="AA61" i="42"/>
  <c r="Y61" i="42"/>
  <c r="AC60" i="42"/>
  <c r="AA60" i="42"/>
  <c r="Y60" i="42"/>
  <c r="P60" i="42"/>
  <c r="AE60" i="42" s="1"/>
  <c r="AF60" i="42" s="1"/>
  <c r="AC59" i="42"/>
  <c r="AA59" i="42"/>
  <c r="Y59" i="42"/>
  <c r="AC58" i="42"/>
  <c r="AA58" i="42"/>
  <c r="Y58" i="42"/>
  <c r="AC57" i="42"/>
  <c r="AA57" i="42"/>
  <c r="Y57" i="42"/>
  <c r="V57" i="42"/>
  <c r="P57" i="42"/>
  <c r="AE57" i="42" s="1"/>
  <c r="AF57" i="42" s="1"/>
  <c r="AC56" i="42"/>
  <c r="AA56" i="42"/>
  <c r="Y56" i="42"/>
  <c r="P56" i="42"/>
  <c r="AE56" i="42" s="1"/>
  <c r="AF56" i="42" s="1"/>
  <c r="AA55" i="42"/>
  <c r="Y55" i="42"/>
  <c r="V55" i="42"/>
  <c r="P55" i="42"/>
  <c r="AE55" i="42" s="1"/>
  <c r="AF55" i="42" s="1"/>
  <c r="AC54" i="42"/>
  <c r="AA54" i="42"/>
  <c r="Y54" i="42"/>
  <c r="V54" i="42"/>
  <c r="P54" i="42"/>
  <c r="AE54" i="42" s="1"/>
  <c r="AF54" i="42" s="1"/>
  <c r="AC53" i="42"/>
  <c r="AA53" i="42"/>
  <c r="Y53" i="42"/>
  <c r="V53" i="42"/>
  <c r="P53" i="42"/>
  <c r="AE53" i="42" s="1"/>
  <c r="AF53" i="42" s="1"/>
  <c r="AC52" i="42"/>
  <c r="AA52" i="42"/>
  <c r="Y52" i="42"/>
  <c r="V52" i="42"/>
  <c r="P52" i="42"/>
  <c r="AE52" i="42" s="1"/>
  <c r="AF52" i="42" s="1"/>
  <c r="AC51" i="42"/>
  <c r="AA51" i="42"/>
  <c r="Y51" i="42"/>
  <c r="V51" i="42"/>
  <c r="P51" i="42"/>
  <c r="AE51" i="42" s="1"/>
  <c r="AF51" i="42" s="1"/>
  <c r="AC50" i="42"/>
  <c r="AA50" i="42"/>
  <c r="Y50" i="42"/>
  <c r="V50" i="42"/>
  <c r="P50" i="42"/>
  <c r="AE50" i="42" s="1"/>
  <c r="AF50" i="42" s="1"/>
  <c r="AC49" i="42"/>
  <c r="AA49" i="42"/>
  <c r="Y49" i="42"/>
  <c r="V49" i="42"/>
  <c r="AC48" i="42"/>
  <c r="AA48" i="42"/>
  <c r="Y48" i="42"/>
  <c r="P48" i="42"/>
  <c r="AE48" i="42" s="1"/>
  <c r="AF48" i="42" s="1"/>
  <c r="AC47" i="42"/>
  <c r="AA47" i="42"/>
  <c r="Y47" i="42"/>
  <c r="P47" i="42"/>
  <c r="AE47" i="42" s="1"/>
  <c r="AF47" i="42" s="1"/>
  <c r="AC46" i="42"/>
  <c r="AA46" i="42"/>
  <c r="Y46" i="42"/>
  <c r="AC45" i="42"/>
  <c r="AA45" i="42"/>
  <c r="Y45" i="42"/>
  <c r="AC44" i="42"/>
  <c r="AA44" i="42"/>
  <c r="Y44" i="42"/>
  <c r="V44" i="42"/>
  <c r="AC43" i="42"/>
  <c r="AA43" i="42"/>
  <c r="Y43" i="42"/>
  <c r="AC42" i="42"/>
  <c r="AA42" i="42"/>
  <c r="Y42" i="42"/>
  <c r="AC41" i="42"/>
  <c r="AA41" i="42"/>
  <c r="Y41" i="42"/>
  <c r="V41" i="42"/>
  <c r="AC40" i="42"/>
  <c r="AA40" i="42"/>
  <c r="Y40" i="42"/>
  <c r="V40" i="42"/>
  <c r="AC39" i="42"/>
  <c r="AA39" i="42"/>
  <c r="Y39" i="42"/>
  <c r="V39" i="42"/>
  <c r="P39" i="42"/>
  <c r="AE39" i="42" s="1"/>
  <c r="AF39" i="42" s="1"/>
  <c r="AC38" i="42"/>
  <c r="AA38" i="42"/>
  <c r="Y38" i="42"/>
  <c r="V38" i="42"/>
  <c r="P38" i="42"/>
  <c r="AE38" i="42" s="1"/>
  <c r="AF38" i="42" s="1"/>
  <c r="AC37" i="42"/>
  <c r="AA37" i="42"/>
  <c r="Y37" i="42"/>
  <c r="V37" i="42"/>
  <c r="P37" i="42"/>
  <c r="AE37" i="42" s="1"/>
  <c r="AF37" i="42" s="1"/>
  <c r="AC36" i="42"/>
  <c r="AA36" i="42"/>
  <c r="Y36" i="42"/>
  <c r="V36" i="42"/>
  <c r="P36" i="42"/>
  <c r="AE36" i="42" s="1"/>
  <c r="AF36" i="42" s="1"/>
  <c r="AC35" i="42"/>
  <c r="AA35" i="42"/>
  <c r="Y35" i="42"/>
  <c r="P35" i="42"/>
  <c r="AE35" i="42" s="1"/>
  <c r="AF35" i="42" s="1"/>
  <c r="AC34" i="42"/>
  <c r="AA34" i="42"/>
  <c r="Y34" i="42"/>
  <c r="V34" i="42"/>
  <c r="AA33" i="42"/>
  <c r="Y33" i="42"/>
  <c r="AC32" i="42"/>
  <c r="Y32" i="42"/>
  <c r="Y31" i="42"/>
  <c r="AC30" i="42"/>
  <c r="Y30" i="42"/>
  <c r="V30" i="42"/>
  <c r="AC29" i="42"/>
  <c r="Y29" i="42"/>
  <c r="AC28" i="42"/>
  <c r="Y28" i="42"/>
  <c r="AC27" i="42"/>
  <c r="Y27" i="42"/>
  <c r="AC26" i="42"/>
  <c r="Y26" i="42"/>
  <c r="AC25" i="42"/>
  <c r="Y25" i="42"/>
  <c r="V25" i="42"/>
  <c r="AC24" i="42"/>
  <c r="Y24" i="42"/>
  <c r="V24" i="42"/>
  <c r="AC23" i="42"/>
  <c r="Y23" i="42"/>
  <c r="AC22" i="42"/>
  <c r="Y22" i="42"/>
  <c r="AA21" i="42"/>
  <c r="V21" i="42"/>
  <c r="AC20" i="42"/>
  <c r="AA20" i="42"/>
  <c r="V20" i="42"/>
  <c r="AC19" i="42"/>
  <c r="AA19" i="42"/>
  <c r="V19" i="42"/>
  <c r="AC18" i="42"/>
  <c r="AA18" i="42"/>
  <c r="V18" i="42"/>
  <c r="AA17" i="42"/>
  <c r="AC16" i="42"/>
  <c r="AA16" i="42"/>
  <c r="AC15" i="42"/>
  <c r="AA15" i="42"/>
  <c r="AC14" i="42"/>
  <c r="AA14" i="42"/>
  <c r="AC13" i="42"/>
  <c r="AA13" i="42"/>
  <c r="V13" i="42"/>
  <c r="AA12" i="42"/>
  <c r="AC11" i="42"/>
  <c r="AA11" i="42"/>
  <c r="Y11" i="42"/>
  <c r="AC10" i="42"/>
  <c r="AA10" i="42"/>
  <c r="Y10" i="42"/>
  <c r="AC9" i="42"/>
  <c r="AA9" i="42"/>
  <c r="Y9" i="42"/>
  <c r="V9" i="42"/>
  <c r="AC8" i="42"/>
  <c r="AA8" i="42"/>
  <c r="Y8" i="42"/>
  <c r="V8" i="42"/>
  <c r="AC7" i="42"/>
  <c r="AA7" i="42"/>
  <c r="Y7" i="42"/>
  <c r="V7" i="42"/>
  <c r="AC6" i="42"/>
  <c r="AA6" i="42"/>
  <c r="Y6" i="42"/>
  <c r="V6" i="42"/>
  <c r="AC5" i="42"/>
  <c r="AA5" i="42"/>
  <c r="Y5" i="42"/>
  <c r="V5" i="42"/>
  <c r="AC4" i="42"/>
  <c r="AA4" i="42"/>
  <c r="Y4" i="42"/>
  <c r="AJ193" i="10"/>
  <c r="AJ192" i="10"/>
  <c r="AJ191" i="10"/>
  <c r="AJ190" i="10"/>
  <c r="AJ189" i="10"/>
  <c r="AJ188" i="10"/>
  <c r="AJ187" i="10"/>
  <c r="AJ186" i="10"/>
  <c r="AJ185" i="10"/>
  <c r="AJ184" i="10"/>
  <c r="AJ183" i="10"/>
  <c r="AJ182" i="10"/>
  <c r="AJ181" i="10"/>
  <c r="AJ180" i="10"/>
  <c r="AJ179" i="10"/>
  <c r="AJ178" i="10"/>
  <c r="AJ177" i="10"/>
  <c r="AJ176" i="10"/>
  <c r="AJ175" i="10"/>
  <c r="AJ174" i="10"/>
  <c r="AJ173" i="10"/>
  <c r="AJ172" i="10"/>
  <c r="AJ171" i="10"/>
  <c r="AJ170" i="10"/>
  <c r="AJ169" i="10"/>
  <c r="AJ168" i="10"/>
  <c r="AJ167" i="10"/>
  <c r="AJ166" i="10"/>
  <c r="AJ165" i="10"/>
  <c r="AJ164" i="10"/>
  <c r="AJ163" i="10"/>
  <c r="AJ162" i="10"/>
  <c r="AJ161" i="10"/>
  <c r="AJ160" i="10"/>
  <c r="AJ159" i="10"/>
  <c r="AJ158" i="10"/>
  <c r="AJ157" i="10"/>
  <c r="AJ156" i="10"/>
  <c r="AJ155" i="10"/>
  <c r="AJ154" i="10"/>
  <c r="AJ153" i="10"/>
  <c r="AJ152" i="10"/>
  <c r="AJ151" i="10"/>
  <c r="AJ150" i="10"/>
  <c r="AJ149" i="10"/>
  <c r="AJ148" i="10"/>
  <c r="AJ147" i="10"/>
  <c r="AJ146" i="10"/>
  <c r="AJ145" i="10"/>
  <c r="AJ144" i="10"/>
  <c r="AJ143" i="10"/>
  <c r="AJ142" i="10"/>
  <c r="AJ141" i="10"/>
  <c r="AJ140" i="10"/>
  <c r="AJ139" i="10"/>
  <c r="AJ138" i="10"/>
  <c r="AJ137" i="10"/>
  <c r="AJ136" i="10"/>
  <c r="AJ135" i="10"/>
  <c r="AJ134" i="10"/>
  <c r="AJ133" i="10"/>
  <c r="AJ132" i="10"/>
  <c r="AJ131" i="10"/>
  <c r="AJ130" i="10"/>
  <c r="AJ129" i="10"/>
  <c r="AJ128" i="10"/>
  <c r="AJ127" i="10"/>
  <c r="AJ126" i="10"/>
  <c r="AJ125" i="10"/>
  <c r="AJ124" i="10"/>
  <c r="AJ123" i="10"/>
  <c r="AJ122" i="10"/>
  <c r="AJ121" i="10"/>
  <c r="AJ120" i="10"/>
  <c r="AJ119" i="10"/>
  <c r="AJ118" i="10"/>
  <c r="AJ117" i="10"/>
  <c r="AJ116" i="10"/>
  <c r="AJ115" i="10"/>
  <c r="AJ114" i="10"/>
  <c r="AJ113" i="10"/>
  <c r="AJ112" i="10"/>
  <c r="AJ111" i="10"/>
  <c r="AJ110" i="10"/>
  <c r="AJ109" i="10"/>
  <c r="AJ108" i="10"/>
  <c r="AJ107" i="10"/>
  <c r="AJ106" i="10"/>
  <c r="AJ105" i="10"/>
  <c r="AJ104" i="10"/>
  <c r="AJ103" i="10"/>
  <c r="AJ102" i="10"/>
  <c r="AJ101" i="10"/>
  <c r="AJ100" i="10"/>
  <c r="AJ99" i="10"/>
  <c r="AJ98" i="10"/>
  <c r="AJ97" i="10"/>
  <c r="AJ96" i="10"/>
  <c r="AJ95" i="10"/>
  <c r="AJ94" i="10"/>
  <c r="AJ93" i="10"/>
  <c r="AJ92" i="10"/>
  <c r="AJ91" i="10"/>
  <c r="AJ90" i="10"/>
  <c r="AJ89" i="10"/>
  <c r="AJ88" i="10"/>
  <c r="AJ87" i="10"/>
  <c r="AJ86" i="10"/>
  <c r="AJ85" i="10"/>
  <c r="AJ84" i="10"/>
  <c r="AJ83" i="10"/>
  <c r="AJ82" i="10"/>
  <c r="AJ81" i="10"/>
  <c r="AJ80" i="10"/>
  <c r="AJ79" i="10"/>
  <c r="AJ78" i="10"/>
  <c r="AJ77" i="10"/>
  <c r="AJ76" i="10"/>
  <c r="AJ75" i="10"/>
  <c r="AJ74" i="10"/>
  <c r="AJ73" i="10"/>
  <c r="AJ72" i="10"/>
  <c r="AJ71" i="10"/>
  <c r="AJ70" i="10"/>
  <c r="AJ69" i="10"/>
  <c r="AJ68" i="10"/>
  <c r="AJ67" i="10"/>
  <c r="AJ66" i="10"/>
  <c r="AJ65" i="10"/>
  <c r="AJ64" i="10"/>
  <c r="AJ63" i="10"/>
  <c r="AJ62" i="10"/>
  <c r="AJ61" i="10"/>
  <c r="AJ60" i="10"/>
  <c r="AJ59" i="10"/>
  <c r="AJ58" i="10"/>
  <c r="AJ57" i="10"/>
  <c r="AJ56" i="10"/>
  <c r="AJ55" i="10"/>
  <c r="AJ54" i="10"/>
  <c r="AJ53" i="10"/>
  <c r="AJ52" i="10"/>
  <c r="AJ51" i="10"/>
  <c r="AJ50" i="10"/>
  <c r="AJ49" i="10"/>
  <c r="AJ48" i="10"/>
  <c r="AJ47" i="10"/>
  <c r="AJ46" i="10"/>
  <c r="AJ45" i="10"/>
  <c r="AJ44" i="10"/>
  <c r="AJ43" i="10"/>
  <c r="AJ42" i="10"/>
  <c r="AJ41" i="10"/>
  <c r="AJ40" i="10"/>
  <c r="AJ39" i="10"/>
  <c r="AJ38" i="10"/>
  <c r="AJ37" i="10"/>
  <c r="AJ36" i="10"/>
  <c r="AJ35" i="10"/>
  <c r="AJ34" i="10"/>
  <c r="AJ33" i="10"/>
  <c r="AJ32" i="10"/>
  <c r="AJ31" i="10"/>
  <c r="AJ30" i="10"/>
  <c r="AJ29" i="10"/>
  <c r="AJ28" i="10"/>
  <c r="AJ27" i="10"/>
  <c r="AJ26" i="10"/>
  <c r="AJ25" i="10"/>
  <c r="AJ24" i="10"/>
  <c r="AJ23" i="10"/>
  <c r="AJ22" i="10"/>
  <c r="AJ21" i="10"/>
  <c r="AJ20" i="10"/>
  <c r="AJ19" i="10"/>
  <c r="AJ18" i="10"/>
  <c r="AJ17" i="10"/>
  <c r="AJ16" i="10"/>
  <c r="AJ15" i="10"/>
  <c r="AJ14" i="10"/>
  <c r="AJ13" i="10"/>
  <c r="AJ12" i="10"/>
  <c r="AJ11" i="10"/>
  <c r="AJ10" i="10"/>
  <c r="AJ9" i="10"/>
  <c r="AJ8" i="10"/>
  <c r="AJ7" i="10"/>
  <c r="AJ6" i="10"/>
  <c r="AJ5" i="10"/>
  <c r="AJ4" i="10"/>
  <c r="S241" i="55" l="1"/>
  <c r="BS314" i="55"/>
  <c r="GL314" i="55" s="1"/>
  <c r="FA258" i="55"/>
  <c r="S81" i="55"/>
  <c r="FA112" i="55"/>
  <c r="BS182" i="55"/>
  <c r="GL182" i="55" s="1"/>
  <c r="ER270" i="55"/>
  <c r="ER191" i="55"/>
  <c r="ES46" i="55"/>
  <c r="FA31" i="55"/>
  <c r="BN239" i="55"/>
  <c r="S239" i="55" s="1"/>
  <c r="BN31" i="55"/>
  <c r="S31" i="55" s="1"/>
  <c r="BN318" i="55"/>
  <c r="S318" i="55" s="1"/>
  <c r="BN254" i="55"/>
  <c r="S254" i="55" s="1"/>
  <c r="BN94" i="55"/>
  <c r="S94" i="55" s="1"/>
  <c r="EC32" i="55"/>
  <c r="ES323" i="55"/>
  <c r="FA338" i="55"/>
  <c r="S47" i="55"/>
  <c r="BS291" i="55"/>
  <c r="GL291" i="55" s="1"/>
  <c r="BN269" i="55"/>
  <c r="GP269" i="55" s="1"/>
  <c r="BN253" i="55"/>
  <c r="BN93" i="55"/>
  <c r="GP93" i="55" s="1"/>
  <c r="BN29" i="55"/>
  <c r="S29" i="55" s="1"/>
  <c r="BN347" i="55"/>
  <c r="S347" i="55" s="1"/>
  <c r="BN331" i="55"/>
  <c r="BN315" i="55"/>
  <c r="S315" i="55" s="1"/>
  <c r="BN299" i="55"/>
  <c r="S299" i="55" s="1"/>
  <c r="BN283" i="55"/>
  <c r="BN267" i="55"/>
  <c r="S267" i="55" s="1"/>
  <c r="BN235" i="55"/>
  <c r="S235" i="55" s="1"/>
  <c r="BN219" i="55"/>
  <c r="BN203" i="55"/>
  <c r="BN171" i="55"/>
  <c r="S171" i="55" s="1"/>
  <c r="BN123" i="55"/>
  <c r="BN91" i="55"/>
  <c r="S91" i="55" s="1"/>
  <c r="BN59" i="55"/>
  <c r="BN27" i="55"/>
  <c r="S27" i="55" s="1"/>
  <c r="ER261" i="55"/>
  <c r="ER174" i="55"/>
  <c r="ER80" i="55"/>
  <c r="ES319" i="55"/>
  <c r="ES223" i="55"/>
  <c r="FA303" i="55"/>
  <c r="FA159" i="55"/>
  <c r="BS309" i="55"/>
  <c r="GL309" i="55" s="1"/>
  <c r="BS133" i="55"/>
  <c r="GL133" i="55" s="1"/>
  <c r="FA225" i="55"/>
  <c r="BN334" i="55"/>
  <c r="S334" i="55" s="1"/>
  <c r="BN270" i="55"/>
  <c r="S270" i="55" s="1"/>
  <c r="BN206" i="55"/>
  <c r="S206" i="55" s="1"/>
  <c r="BN142" i="55"/>
  <c r="S142" i="55" s="1"/>
  <c r="BN78" i="55"/>
  <c r="S78" i="55" s="1"/>
  <c r="BN30" i="55"/>
  <c r="S30" i="55" s="1"/>
  <c r="BS346" i="55"/>
  <c r="GL346" i="55" s="1"/>
  <c r="FA24" i="55"/>
  <c r="S46" i="55"/>
  <c r="FA94" i="55"/>
  <c r="FA172" i="55"/>
  <c r="FA140" i="55"/>
  <c r="BN218" i="55"/>
  <c r="S218" i="55" s="1"/>
  <c r="BN241" i="55"/>
  <c r="BS90" i="55"/>
  <c r="GL90" i="55" s="1"/>
  <c r="DZ258" i="55"/>
  <c r="EB194" i="55"/>
  <c r="DZ114" i="55"/>
  <c r="EB296" i="55"/>
  <c r="EB88" i="55"/>
  <c r="ER347" i="55"/>
  <c r="ER255" i="55"/>
  <c r="ER62" i="55"/>
  <c r="FA145" i="55"/>
  <c r="BI335" i="55" a="1"/>
  <c r="BI335" i="55" s="1"/>
  <c r="FA287" i="55"/>
  <c r="FA143" i="55"/>
  <c r="BS293" i="55"/>
  <c r="GL293" i="55" s="1"/>
  <c r="BS229" i="55"/>
  <c r="GL229" i="55" s="1"/>
  <c r="BN335" i="55"/>
  <c r="S335" i="55" s="1"/>
  <c r="BN15" i="55"/>
  <c r="S15" i="55" s="1"/>
  <c r="ER190" i="55"/>
  <c r="FA26" i="55"/>
  <c r="FA256" i="55"/>
  <c r="BN350" i="55"/>
  <c r="S350" i="55" s="1"/>
  <c r="FA336" i="55"/>
  <c r="S204" i="55"/>
  <c r="FA29" i="55"/>
  <c r="FA331" i="55"/>
  <c r="FA299" i="55"/>
  <c r="BN345" i="55"/>
  <c r="S345" i="55" s="1"/>
  <c r="BN313" i="55"/>
  <c r="S313" i="55" s="1"/>
  <c r="BN217" i="55"/>
  <c r="S217" i="55" s="1"/>
  <c r="BN153" i="55"/>
  <c r="S153" i="55" s="1"/>
  <c r="BN137" i="55"/>
  <c r="S137" i="55" s="1"/>
  <c r="BS106" i="55"/>
  <c r="GL106" i="55" s="1"/>
  <c r="EB209" i="55"/>
  <c r="DZ129" i="55"/>
  <c r="DZ65" i="55"/>
  <c r="EB103" i="55"/>
  <c r="EB19" i="55"/>
  <c r="FA175" i="55"/>
  <c r="BS261" i="55"/>
  <c r="GL261" i="55" s="1"/>
  <c r="BS213" i="55"/>
  <c r="GL213" i="55" s="1"/>
  <c r="FA95" i="55"/>
  <c r="BN222" i="55"/>
  <c r="S222" i="55" s="1"/>
  <c r="BN158" i="55"/>
  <c r="S158" i="55" s="1"/>
  <c r="EB116" i="55"/>
  <c r="GS116" i="55" s="1"/>
  <c r="ER85" i="55"/>
  <c r="ES15" i="55"/>
  <c r="FA173" i="55"/>
  <c r="FA15" i="55"/>
  <c r="CA140" i="55"/>
  <c r="FA60" i="55"/>
  <c r="CA12" i="55"/>
  <c r="EC340" i="55"/>
  <c r="ER155" i="55"/>
  <c r="FA81" i="55"/>
  <c r="CA107" i="55"/>
  <c r="EJ231" i="55"/>
  <c r="ER335" i="55"/>
  <c r="ES287" i="55"/>
  <c r="ES207" i="55"/>
  <c r="FA79" i="55"/>
  <c r="BS334" i="55"/>
  <c r="GL334" i="55" s="1"/>
  <c r="BS62" i="55"/>
  <c r="GL62" i="55" s="1"/>
  <c r="BS218" i="55"/>
  <c r="GL218" i="55" s="1"/>
  <c r="BS202" i="55"/>
  <c r="GL202" i="55" s="1"/>
  <c r="BS186" i="55"/>
  <c r="GL186" i="55" s="1"/>
  <c r="EB334" i="55"/>
  <c r="EB302" i="55"/>
  <c r="EB158" i="55"/>
  <c r="ER334" i="55"/>
  <c r="ER144" i="55"/>
  <c r="ER48" i="55"/>
  <c r="ES286" i="55"/>
  <c r="EX99" i="55"/>
  <c r="FA70" i="55"/>
  <c r="BS266" i="55"/>
  <c r="GL266" i="55" s="1"/>
  <c r="BS101" i="55"/>
  <c r="GL101" i="55" s="1"/>
  <c r="EJ198" i="55"/>
  <c r="ER143" i="55"/>
  <c r="ES79" i="55"/>
  <c r="P209" i="55"/>
  <c r="FA209" i="55" s="1"/>
  <c r="P239" i="55"/>
  <c r="FA239" i="55" s="1"/>
  <c r="P321" i="55"/>
  <c r="FA321" i="55" s="1"/>
  <c r="DI335" i="55"/>
  <c r="H335" i="55" s="1"/>
  <c r="DJ335" i="55" s="1"/>
  <c r="FF335" i="55"/>
  <c r="CD335" i="55"/>
  <c r="CQ335" i="55"/>
  <c r="CO287" i="55"/>
  <c r="CP287" i="55" s="1"/>
  <c r="Y287" i="55" s="1"/>
  <c r="CD287" i="55"/>
  <c r="BO287" i="55"/>
  <c r="DC255" i="55"/>
  <c r="I255" i="55" s="1"/>
  <c r="DD255" i="55" s="1"/>
  <c r="DI255" i="55"/>
  <c r="H255" i="55" s="1"/>
  <c r="DJ255" i="55" s="1"/>
  <c r="CQ255" i="55"/>
  <c r="BO255" i="55"/>
  <c r="DC191" i="55"/>
  <c r="I191" i="55" s="1"/>
  <c r="DD191" i="55" s="1"/>
  <c r="CQ191" i="55"/>
  <c r="CO191" i="55"/>
  <c r="CP191" i="55" s="1"/>
  <c r="Y191" i="55" s="1"/>
  <c r="DI191" i="55"/>
  <c r="H191" i="55" s="1"/>
  <c r="DJ191" i="55" s="1"/>
  <c r="CM309" i="55"/>
  <c r="IB309" i="55"/>
  <c r="CJ309" i="55"/>
  <c r="CK309" i="55"/>
  <c r="CL309" i="55"/>
  <c r="DL309" i="55" s="1"/>
  <c r="CL245" i="55"/>
  <c r="DL245" i="55" s="1"/>
  <c r="CM245" i="55"/>
  <c r="CG246" i="55"/>
  <c r="CJ245" i="55"/>
  <c r="CM181" i="55"/>
  <c r="CL181" i="55"/>
  <c r="CG182" i="55"/>
  <c r="CJ181" i="55"/>
  <c r="CL117" i="55"/>
  <c r="CK117" i="55"/>
  <c r="CJ117" i="55"/>
  <c r="CG118" i="55"/>
  <c r="CM117" i="55"/>
  <c r="CK53" i="55"/>
  <c r="CM53" i="55"/>
  <c r="CJ53" i="55"/>
  <c r="CL53" i="55"/>
  <c r="CG54" i="55"/>
  <c r="HW53" i="55"/>
  <c r="CQ93" i="55"/>
  <c r="BP93" i="55"/>
  <c r="BE315" i="55"/>
  <c r="P315" i="55" s="1"/>
  <c r="BF315" i="55"/>
  <c r="BG315" i="55" s="1"/>
  <c r="BP300" i="55"/>
  <c r="DI300" i="55"/>
  <c r="H300" i="55" s="1"/>
  <c r="DJ300" i="55" s="1"/>
  <c r="BO300" i="55"/>
  <c r="BT300" i="55"/>
  <c r="BP252" i="55"/>
  <c r="GG252" i="55" s="1"/>
  <c r="BT252" i="55"/>
  <c r="DI204" i="55"/>
  <c r="H204" i="55" s="1"/>
  <c r="DJ204" i="55" s="1"/>
  <c r="GX204" i="55" s="1"/>
  <c r="BP204" i="55"/>
  <c r="GG204" i="55" s="1"/>
  <c r="BT188" i="55"/>
  <c r="CO188" i="55"/>
  <c r="CP188" i="55" s="1"/>
  <c r="Y188" i="55" s="1"/>
  <c r="BO124" i="55"/>
  <c r="BP124" i="55"/>
  <c r="CQ92" i="55"/>
  <c r="CA92" i="55"/>
  <c r="BP92" i="55"/>
  <c r="BT44" i="55"/>
  <c r="BO44" i="55"/>
  <c r="DI28" i="55"/>
  <c r="H28" i="55" s="1"/>
  <c r="DJ28" i="55" s="1"/>
  <c r="BP28" i="55"/>
  <c r="BE314" i="55"/>
  <c r="P314" i="55" s="1"/>
  <c r="FA314" i="55" s="1"/>
  <c r="BF314" i="55"/>
  <c r="BG314" i="55" s="1"/>
  <c r="BE298" i="55"/>
  <c r="P298" i="55" s="1"/>
  <c r="FA298" i="55" s="1"/>
  <c r="BF298" i="55"/>
  <c r="BG298" i="55" s="1"/>
  <c r="BF138" i="55"/>
  <c r="BG138" i="55" s="1"/>
  <c r="BE138" i="55"/>
  <c r="P138" i="55" s="1"/>
  <c r="FA138" i="55" s="1"/>
  <c r="BE122" i="55"/>
  <c r="P122" i="55" s="1"/>
  <c r="FA122" i="55" s="1"/>
  <c r="BF122" i="55"/>
  <c r="BG122" i="55" s="1"/>
  <c r="BF106" i="55"/>
  <c r="BG106" i="55" s="1"/>
  <c r="BE106" i="55"/>
  <c r="BE26" i="55"/>
  <c r="BF26" i="55"/>
  <c r="BG26" i="55" s="1"/>
  <c r="BF10" i="55"/>
  <c r="BG10" i="55" s="1"/>
  <c r="BE10" i="55"/>
  <c r="BO236" i="55"/>
  <c r="DZ47" i="55"/>
  <c r="EB47" i="55"/>
  <c r="GS47" i="55" s="1"/>
  <c r="CM338" i="55"/>
  <c r="CK338" i="55"/>
  <c r="CN338" i="55"/>
  <c r="CM322" i="55"/>
  <c r="CN322" i="55"/>
  <c r="CK306" i="55"/>
  <c r="CL306" i="55"/>
  <c r="CN306" i="55"/>
  <c r="CJ306" i="55"/>
  <c r="CL290" i="55"/>
  <c r="CM290" i="55"/>
  <c r="CJ290" i="55"/>
  <c r="CK274" i="55"/>
  <c r="CJ274" i="55"/>
  <c r="CM258" i="55"/>
  <c r="CL258" i="55"/>
  <c r="CN258" i="55"/>
  <c r="CK242" i="55"/>
  <c r="CN242" i="55"/>
  <c r="CJ242" i="55"/>
  <c r="CJ226" i="55"/>
  <c r="CL226" i="55"/>
  <c r="CM226" i="55"/>
  <c r="CM210" i="55"/>
  <c r="CJ210" i="55"/>
  <c r="CK210" i="55"/>
  <c r="CM194" i="55"/>
  <c r="CN194" i="55"/>
  <c r="CK178" i="55"/>
  <c r="CL178" i="55"/>
  <c r="CJ178" i="55"/>
  <c r="CN178" i="55"/>
  <c r="CL162" i="55"/>
  <c r="CJ162" i="55"/>
  <c r="CN146" i="55"/>
  <c r="CM146" i="55"/>
  <c r="CK146" i="55"/>
  <c r="CJ146" i="55"/>
  <c r="CM130" i="55"/>
  <c r="IB130" i="55"/>
  <c r="CN130" i="55"/>
  <c r="CK130" i="55"/>
  <c r="CK114" i="55"/>
  <c r="CN114" i="55"/>
  <c r="CL114" i="55"/>
  <c r="CJ114" i="55"/>
  <c r="CL98" i="55"/>
  <c r="CM98" i="55"/>
  <c r="HW98" i="55"/>
  <c r="CJ98" i="55"/>
  <c r="CM82" i="55"/>
  <c r="CJ82" i="55"/>
  <c r="CK82" i="55"/>
  <c r="CM66" i="55"/>
  <c r="CL66" i="55"/>
  <c r="CN66" i="55"/>
  <c r="CK66" i="55"/>
  <c r="CK50" i="55"/>
  <c r="CL50" i="55"/>
  <c r="DL50" i="55" s="1"/>
  <c r="CL34" i="55"/>
  <c r="CJ34" i="55"/>
  <c r="CM34" i="55"/>
  <c r="CN18" i="55"/>
  <c r="CM18" i="55"/>
  <c r="CK18" i="55"/>
  <c r="CJ18" i="55"/>
  <c r="CN210" i="55"/>
  <c r="CD351" i="55"/>
  <c r="CO351" i="55"/>
  <c r="CP351" i="55" s="1"/>
  <c r="Y351" i="55" s="1"/>
  <c r="BO351" i="55"/>
  <c r="DC303" i="55"/>
  <c r="I303" i="55" s="1"/>
  <c r="DD303" i="55" s="1"/>
  <c r="CQ303" i="55"/>
  <c r="CD303" i="55"/>
  <c r="BO303" i="55"/>
  <c r="BO223" i="55"/>
  <c r="FF223" i="55"/>
  <c r="CO207" i="55"/>
  <c r="CP207" i="55" s="1"/>
  <c r="Y207" i="55" s="1"/>
  <c r="CD207" i="55"/>
  <c r="BO207" i="55"/>
  <c r="P207" i="55"/>
  <c r="FA207" i="55" s="1"/>
  <c r="DN159" i="55"/>
  <c r="CO159" i="55"/>
  <c r="CP159" i="55" s="1"/>
  <c r="Y159" i="55" s="1"/>
  <c r="CD159" i="55"/>
  <c r="BO159" i="55"/>
  <c r="CJ341" i="55"/>
  <c r="CL341" i="55"/>
  <c r="CK341" i="55"/>
  <c r="CG342" i="55"/>
  <c r="CM341" i="55"/>
  <c r="CM277" i="55"/>
  <c r="CL277" i="55"/>
  <c r="CG278" i="55"/>
  <c r="CK277" i="55"/>
  <c r="CG230" i="55"/>
  <c r="CK229" i="55"/>
  <c r="CL229" i="55"/>
  <c r="DL229" i="55" s="1"/>
  <c r="CM229" i="55"/>
  <c r="CJ229" i="55"/>
  <c r="CM165" i="55"/>
  <c r="CL165" i="55"/>
  <c r="DL165" i="55" s="1"/>
  <c r="CK165" i="55"/>
  <c r="CG166" i="55"/>
  <c r="CK101" i="55"/>
  <c r="CL101" i="55"/>
  <c r="DL101" i="55" s="1"/>
  <c r="CG102" i="55"/>
  <c r="CM101" i="55"/>
  <c r="CJ37" i="55"/>
  <c r="CG38" i="55"/>
  <c r="CK37" i="55"/>
  <c r="CM37" i="55"/>
  <c r="BE12" i="55"/>
  <c r="BF12" i="55"/>
  <c r="BG12" i="55" s="1"/>
  <c r="DI333" i="55"/>
  <c r="H333" i="55" s="1"/>
  <c r="DJ333" i="55" s="1"/>
  <c r="BO333" i="55"/>
  <c r="BT13" i="55"/>
  <c r="BP13" i="55"/>
  <c r="GG13" i="55" s="1"/>
  <c r="BF251" i="55"/>
  <c r="BG251" i="55" s="1"/>
  <c r="BI251" i="55" s="1" a="1"/>
  <c r="BI251" i="55" s="1"/>
  <c r="C251" i="55" s="1"/>
  <c r="BJ251" i="55" s="1"/>
  <c r="BO347" i="55"/>
  <c r="BQ347" i="55" s="1"/>
  <c r="BT347" i="55"/>
  <c r="BP347" i="55"/>
  <c r="CC267" i="55"/>
  <c r="DN267" i="55"/>
  <c r="BO219" i="55"/>
  <c r="BT219" i="55"/>
  <c r="P77" i="55"/>
  <c r="FA77" i="55" s="1"/>
  <c r="BI239" i="55" a="1"/>
  <c r="BI239" i="55" s="1"/>
  <c r="C239" i="55" s="1"/>
  <c r="BJ239" i="55" s="1"/>
  <c r="CJ101" i="55"/>
  <c r="X204" i="19"/>
  <c r="W204" i="19"/>
  <c r="CD319" i="55"/>
  <c r="CO319" i="55"/>
  <c r="CP319" i="55" s="1"/>
  <c r="Y319" i="55" s="1"/>
  <c r="CO271" i="55"/>
  <c r="CP271" i="55" s="1"/>
  <c r="Y271" i="55" s="1"/>
  <c r="CD271" i="55"/>
  <c r="FF239" i="55"/>
  <c r="CA239" i="55"/>
  <c r="BO239" i="55"/>
  <c r="CQ239" i="55"/>
  <c r="FF175" i="55"/>
  <c r="DC175" i="55"/>
  <c r="I175" i="55" s="1"/>
  <c r="DD175" i="55" s="1"/>
  <c r="CL325" i="55"/>
  <c r="CG326" i="55"/>
  <c r="CJ325" i="55"/>
  <c r="CM261" i="55"/>
  <c r="CL261" i="55"/>
  <c r="CK261" i="55"/>
  <c r="CG262" i="55"/>
  <c r="JW262" i="55" s="1"/>
  <c r="CM197" i="55"/>
  <c r="CK197" i="55"/>
  <c r="CJ197" i="55"/>
  <c r="CG198" i="55"/>
  <c r="DS198" i="55" s="1"/>
  <c r="CG134" i="55"/>
  <c r="CK133" i="55"/>
  <c r="CL133" i="55"/>
  <c r="DL133" i="55" s="1"/>
  <c r="CK85" i="55"/>
  <c r="CM85" i="55"/>
  <c r="CG86" i="55"/>
  <c r="CJ85" i="55"/>
  <c r="HW85" i="55"/>
  <c r="CL85" i="55"/>
  <c r="CK21" i="55"/>
  <c r="CM21" i="55"/>
  <c r="CL21" i="55"/>
  <c r="CG22" i="55"/>
  <c r="JW22" i="55" s="1"/>
  <c r="DN271" i="55"/>
  <c r="P223" i="55"/>
  <c r="FA223" i="55" s="1"/>
  <c r="P109" i="55"/>
  <c r="BE74" i="55"/>
  <c r="P74" i="55" s="1"/>
  <c r="BF234" i="55"/>
  <c r="BG234" i="55" s="1"/>
  <c r="BF42" i="55"/>
  <c r="BG42" i="55" s="1"/>
  <c r="BS197" i="55"/>
  <c r="GL197" i="55" s="1"/>
  <c r="BI197" i="55" a="1"/>
  <c r="BI197" i="55" s="1"/>
  <c r="C197" i="55" s="1"/>
  <c r="BJ197" i="55" s="1"/>
  <c r="BS165" i="55"/>
  <c r="GL165" i="55" s="1"/>
  <c r="BS21" i="55"/>
  <c r="GL21" i="55" s="1"/>
  <c r="BW21" i="55"/>
  <c r="BO60" i="55"/>
  <c r="CG337" i="55"/>
  <c r="JW337" i="55" s="1"/>
  <c r="CK336" i="55"/>
  <c r="CM336" i="55"/>
  <c r="CM320" i="55"/>
  <c r="CK320" i="55"/>
  <c r="CL304" i="55"/>
  <c r="CK304" i="55"/>
  <c r="CM288" i="55"/>
  <c r="CJ288" i="55"/>
  <c r="CG273" i="55"/>
  <c r="CJ272" i="55"/>
  <c r="CM272" i="55"/>
  <c r="CN256" i="55"/>
  <c r="CM256" i="55"/>
  <c r="CG257" i="55"/>
  <c r="CN240" i="55"/>
  <c r="CK240" i="55"/>
  <c r="CL240" i="55"/>
  <c r="HW224" i="55"/>
  <c r="CJ224" i="55"/>
  <c r="CK208" i="55"/>
  <c r="CM208" i="55"/>
  <c r="CJ208" i="55"/>
  <c r="CN192" i="55"/>
  <c r="CK192" i="55"/>
  <c r="CG193" i="55"/>
  <c r="CL176" i="55"/>
  <c r="DL176" i="55" s="1"/>
  <c r="CK176" i="55"/>
  <c r="CG177" i="55"/>
  <c r="CN176" i="55"/>
  <c r="CM160" i="55"/>
  <c r="CJ160" i="55"/>
  <c r="CM144" i="55"/>
  <c r="CG145" i="55"/>
  <c r="JW145" i="55" s="1"/>
  <c r="CJ144" i="55"/>
  <c r="CN128" i="55"/>
  <c r="CM128" i="55"/>
  <c r="CN112" i="55"/>
  <c r="CL112" i="55"/>
  <c r="DL112" i="55" s="1"/>
  <c r="CK112" i="55"/>
  <c r="CM96" i="55"/>
  <c r="CL96" i="55"/>
  <c r="DL96" i="55" s="1"/>
  <c r="CJ96" i="55"/>
  <c r="CM80" i="55"/>
  <c r="CJ80" i="55"/>
  <c r="CK80" i="55"/>
  <c r="CM64" i="55"/>
  <c r="CK64" i="55"/>
  <c r="CG65" i="55"/>
  <c r="CN64" i="55"/>
  <c r="CK48" i="55"/>
  <c r="CL48" i="55"/>
  <c r="CN48" i="55"/>
  <c r="CM16" i="55"/>
  <c r="CJ16" i="55"/>
  <c r="CG17" i="55"/>
  <c r="X213" i="19"/>
  <c r="CM293" i="55"/>
  <c r="CL293" i="55"/>
  <c r="DL293" i="55" s="1"/>
  <c r="CK293" i="55"/>
  <c r="CJ293" i="55"/>
  <c r="CL213" i="55"/>
  <c r="CM213" i="55"/>
  <c r="CK213" i="55"/>
  <c r="CG214" i="55"/>
  <c r="CJ213" i="55"/>
  <c r="CJ149" i="55"/>
  <c r="CK149" i="55"/>
  <c r="CL149" i="55"/>
  <c r="DL149" i="55" s="1"/>
  <c r="CG150" i="55"/>
  <c r="CM149" i="55"/>
  <c r="CL69" i="55"/>
  <c r="DL69" i="55" s="1"/>
  <c r="CG70" i="55"/>
  <c r="CK69" i="55"/>
  <c r="CJ69" i="55"/>
  <c r="CM5" i="55"/>
  <c r="CG6" i="55"/>
  <c r="CJ5" i="55"/>
  <c r="CL5" i="55"/>
  <c r="CK5" i="55"/>
  <c r="CM325" i="55"/>
  <c r="CO301" i="55"/>
  <c r="CP301" i="55" s="1"/>
  <c r="Y301" i="55" s="1"/>
  <c r="BO301" i="55"/>
  <c r="CQ301" i="55"/>
  <c r="CA189" i="55"/>
  <c r="CO189" i="55"/>
  <c r="CP189" i="55" s="1"/>
  <c r="Y189" i="55" s="1"/>
  <c r="BP157" i="55"/>
  <c r="BO157" i="55"/>
  <c r="CJ21" i="55"/>
  <c r="CM69" i="55"/>
  <c r="P157" i="55"/>
  <c r="P108" i="55"/>
  <c r="FA108" i="55" s="1"/>
  <c r="GJ281" i="55"/>
  <c r="BN281" i="55"/>
  <c r="S281" i="55" s="1"/>
  <c r="BW159" i="55"/>
  <c r="CG352" i="55"/>
  <c r="DS352" i="55" s="1"/>
  <c r="CL351" i="55"/>
  <c r="DL351" i="55" s="1"/>
  <c r="CN351" i="55"/>
  <c r="CK351" i="55"/>
  <c r="CK335" i="55"/>
  <c r="CN335" i="55"/>
  <c r="CL335" i="55"/>
  <c r="CM335" i="55"/>
  <c r="CG336" i="55"/>
  <c r="CM319" i="55"/>
  <c r="CN319" i="55"/>
  <c r="CK319" i="55"/>
  <c r="CG320" i="55"/>
  <c r="CL319" i="55"/>
  <c r="CG304" i="55"/>
  <c r="CM303" i="55"/>
  <c r="CL303" i="55"/>
  <c r="CK303" i="55"/>
  <c r="CG288" i="55"/>
  <c r="CN287" i="55"/>
  <c r="CK287" i="55"/>
  <c r="CK271" i="55"/>
  <c r="CG272" i="55"/>
  <c r="CM271" i="55"/>
  <c r="CN271" i="55"/>
  <c r="CM255" i="55"/>
  <c r="CN255" i="55"/>
  <c r="CL255" i="55"/>
  <c r="DL255" i="55" s="1"/>
  <c r="CG240" i="55"/>
  <c r="CN239" i="55"/>
  <c r="CK239" i="55"/>
  <c r="CL239" i="55"/>
  <c r="CM239" i="55"/>
  <c r="CG224" i="55"/>
  <c r="CL223" i="55"/>
  <c r="CK207" i="55"/>
  <c r="CN207" i="55"/>
  <c r="CL207" i="55"/>
  <c r="DL207" i="55" s="1"/>
  <c r="CM207" i="55"/>
  <c r="CK191" i="55"/>
  <c r="CG192" i="55"/>
  <c r="CM191" i="55"/>
  <c r="CN191" i="55"/>
  <c r="CG176" i="55"/>
  <c r="CL175" i="55"/>
  <c r="CM175" i="55"/>
  <c r="CK175" i="55"/>
  <c r="CN175" i="55"/>
  <c r="CG160" i="55"/>
  <c r="GB160" i="55" s="1"/>
  <c r="GC160" i="55" s="1"/>
  <c r="CK159" i="55"/>
  <c r="CL159" i="55"/>
  <c r="CN159" i="55"/>
  <c r="CK143" i="55"/>
  <c r="CN143" i="55"/>
  <c r="CL143" i="55"/>
  <c r="CM143" i="55"/>
  <c r="CG144" i="55"/>
  <c r="CN127" i="55"/>
  <c r="CK127" i="55"/>
  <c r="CM127" i="55"/>
  <c r="CG112" i="55"/>
  <c r="CM111" i="55"/>
  <c r="CN111" i="55"/>
  <c r="CK111" i="55"/>
  <c r="CG96" i="55"/>
  <c r="CL95" i="55"/>
  <c r="CN95" i="55"/>
  <c r="CK79" i="55"/>
  <c r="CM79" i="55"/>
  <c r="CN79" i="55"/>
  <c r="CL79" i="55"/>
  <c r="DL79" i="55" s="1"/>
  <c r="CL63" i="55"/>
  <c r="DL63" i="55" s="1"/>
  <c r="CN63" i="55"/>
  <c r="CK63" i="55"/>
  <c r="CM63" i="55"/>
  <c r="CG64" i="55"/>
  <c r="CG48" i="55"/>
  <c r="GB48" i="55" s="1"/>
  <c r="GC48" i="55" s="1"/>
  <c r="CM47" i="55"/>
  <c r="CN47" i="55"/>
  <c r="CL47" i="55"/>
  <c r="CG32" i="55"/>
  <c r="DS32" i="55" s="1"/>
  <c r="CL31" i="55"/>
  <c r="CN31" i="55"/>
  <c r="CK31" i="55"/>
  <c r="CK15" i="55"/>
  <c r="CM15" i="55"/>
  <c r="CL15" i="55"/>
  <c r="CG16" i="55"/>
  <c r="CK258" i="55"/>
  <c r="CK194" i="55"/>
  <c r="CL242" i="55"/>
  <c r="DL242" i="55" s="1"/>
  <c r="X205" i="19"/>
  <c r="W268" i="19"/>
  <c r="P335" i="55"/>
  <c r="FA335" i="55" s="1"/>
  <c r="CA280" i="55"/>
  <c r="DN264" i="55"/>
  <c r="CC264" i="55"/>
  <c r="BT248" i="55"/>
  <c r="CD248" i="55"/>
  <c r="FX248" i="55" s="1" a="1"/>
  <c r="FX248" i="55" s="1"/>
  <c r="FZ248" i="55" s="1"/>
  <c r="CO248" i="55"/>
  <c r="CP248" i="55" s="1"/>
  <c r="Y248" i="55" s="1"/>
  <c r="BP248" i="55"/>
  <c r="GG248" i="55" s="1"/>
  <c r="CD232" i="55"/>
  <c r="BP232" i="55"/>
  <c r="BT216" i="55"/>
  <c r="BO216" i="55"/>
  <c r="P305" i="55"/>
  <c r="BE242" i="55"/>
  <c r="P242" i="55" s="1"/>
  <c r="FA242" i="55" s="1"/>
  <c r="BF347" i="55"/>
  <c r="BG347" i="55" s="1"/>
  <c r="BI347" i="55" s="1" a="1"/>
  <c r="BI347" i="55" s="1"/>
  <c r="BI225" i="55" a="1"/>
  <c r="BI225" i="55" s="1"/>
  <c r="C225" i="55" s="1"/>
  <c r="BJ225" i="55" s="1"/>
  <c r="BF98" i="55"/>
  <c r="BG98" i="55" s="1"/>
  <c r="BI39" i="55" a="1"/>
  <c r="BI39" i="55" s="1"/>
  <c r="C39" i="55" s="1"/>
  <c r="BJ39" i="55" s="1"/>
  <c r="BO191" i="55"/>
  <c r="BW157" i="55"/>
  <c r="CJ277" i="55"/>
  <c r="CK256" i="55"/>
  <c r="DB17" i="55"/>
  <c r="CA279" i="55"/>
  <c r="CD279" i="55"/>
  <c r="BW247" i="55"/>
  <c r="BO247" i="55"/>
  <c r="BP199" i="55"/>
  <c r="BQ199" i="55" s="1"/>
  <c r="BO199" i="55"/>
  <c r="CC135" i="55"/>
  <c r="BT135" i="55"/>
  <c r="GG23" i="55"/>
  <c r="GD23" i="55"/>
  <c r="BE309" i="55"/>
  <c r="P309" i="55" s="1"/>
  <c r="EU309" i="55" s="1"/>
  <c r="BF309" i="55"/>
  <c r="BG309" i="55" s="1"/>
  <c r="BI293" i="55" a="1"/>
  <c r="BI293" i="55" s="1"/>
  <c r="C293" i="55" s="1"/>
  <c r="BJ293" i="55" s="1"/>
  <c r="BE277" i="55"/>
  <c r="P277" i="55" s="1"/>
  <c r="FA277" i="55" s="1"/>
  <c r="BF277" i="55"/>
  <c r="BG277" i="55" s="1"/>
  <c r="BE165" i="55"/>
  <c r="BF165" i="55"/>
  <c r="BG165" i="55" s="1"/>
  <c r="P177" i="55"/>
  <c r="BF346" i="55"/>
  <c r="BG346" i="55" s="1"/>
  <c r="BI161" i="55" a="1"/>
  <c r="BI161" i="55" s="1"/>
  <c r="C161" i="55" s="1"/>
  <c r="BJ161" i="55" s="1"/>
  <c r="BF95" i="55"/>
  <c r="BG95" i="55" s="1"/>
  <c r="BI5" i="55" a="1"/>
  <c r="BI5" i="55" s="1"/>
  <c r="BN329" i="55"/>
  <c r="S329" i="55" s="1"/>
  <c r="BN297" i="55"/>
  <c r="S297" i="55" s="1"/>
  <c r="BN265" i="55"/>
  <c r="S265" i="55" s="1"/>
  <c r="BN249" i="55"/>
  <c r="S249" i="55" s="1"/>
  <c r="BN233" i="55"/>
  <c r="S233" i="55" s="1"/>
  <c r="BN201" i="55"/>
  <c r="S201" i="55" s="1"/>
  <c r="BN185" i="55"/>
  <c r="S185" i="55" s="1"/>
  <c r="BN169" i="55"/>
  <c r="S169" i="55" s="1"/>
  <c r="BN121" i="55"/>
  <c r="S121" i="55" s="1"/>
  <c r="BN105" i="55"/>
  <c r="S105" i="55" s="1"/>
  <c r="BN89" i="55"/>
  <c r="S89" i="55" s="1"/>
  <c r="BN73" i="55"/>
  <c r="S73" i="55" s="1"/>
  <c r="BN57" i="55"/>
  <c r="S57" i="55" s="1"/>
  <c r="BN9" i="55"/>
  <c r="GP9" i="55" s="1"/>
  <c r="BO180" i="55"/>
  <c r="BT285" i="55"/>
  <c r="GN305" i="55"/>
  <c r="EB305" i="55"/>
  <c r="EJ241" i="55"/>
  <c r="DZ241" i="55"/>
  <c r="EJ161" i="55"/>
  <c r="GN161" i="55"/>
  <c r="DZ161" i="55"/>
  <c r="CG310" i="55"/>
  <c r="CK255" i="55"/>
  <c r="CM162" i="55"/>
  <c r="CO255" i="55"/>
  <c r="CP255" i="55" s="1"/>
  <c r="Y255" i="55" s="1"/>
  <c r="DB312" i="55"/>
  <c r="P65" i="55"/>
  <c r="S59" i="55"/>
  <c r="BP278" i="55"/>
  <c r="BQ278" i="55" s="1"/>
  <c r="CD278" i="55"/>
  <c r="FX278" i="55" s="1" a="1"/>
  <c r="FX278" i="55" s="1"/>
  <c r="CC134" i="55"/>
  <c r="BO134" i="55"/>
  <c r="BE308" i="55"/>
  <c r="P308" i="55" s="1"/>
  <c r="FA308" i="55" s="1"/>
  <c r="BF308" i="55"/>
  <c r="BG308" i="55" s="1"/>
  <c r="BI308" i="55" s="1" a="1"/>
  <c r="BI308" i="55" s="1"/>
  <c r="C308" i="55" s="1"/>
  <c r="BJ308" i="55" s="1"/>
  <c r="P260" i="55"/>
  <c r="FA260" i="55" s="1"/>
  <c r="P52" i="55"/>
  <c r="FA52" i="55" s="1"/>
  <c r="BE238" i="55"/>
  <c r="P176" i="55"/>
  <c r="FA176" i="55" s="1"/>
  <c r="BE63" i="55"/>
  <c r="BF223" i="55"/>
  <c r="BG223" i="55" s="1"/>
  <c r="BF159" i="55"/>
  <c r="BG159" i="55" s="1"/>
  <c r="BF94" i="55"/>
  <c r="BG94" i="55" s="1"/>
  <c r="BI94" i="55" s="1" a="1"/>
  <c r="BI94" i="55" s="1"/>
  <c r="BF35" i="55"/>
  <c r="BG35" i="55" s="1"/>
  <c r="BI97" i="55" a="1"/>
  <c r="BI97" i="55" s="1"/>
  <c r="BN280" i="55"/>
  <c r="GP280" i="55" s="1"/>
  <c r="BN248" i="55"/>
  <c r="S248" i="55" s="1"/>
  <c r="BN216" i="55"/>
  <c r="S216" i="55" s="1"/>
  <c r="BN200" i="55"/>
  <c r="S200" i="55" s="1"/>
  <c r="BN152" i="55"/>
  <c r="S152" i="55" s="1"/>
  <c r="BN136" i="55"/>
  <c r="BN104" i="55"/>
  <c r="S104" i="55" s="1"/>
  <c r="BN88" i="55"/>
  <c r="S88" i="55" s="1"/>
  <c r="BN24" i="55"/>
  <c r="BN107" i="55"/>
  <c r="S107" i="55" s="1"/>
  <c r="BO335" i="55"/>
  <c r="BO175" i="55"/>
  <c r="BP344" i="55"/>
  <c r="CD255" i="55"/>
  <c r="CG305" i="55"/>
  <c r="CJ165" i="55"/>
  <c r="CK181" i="55"/>
  <c r="CK95" i="55"/>
  <c r="CL224" i="55"/>
  <c r="CM274" i="55"/>
  <c r="CN274" i="55"/>
  <c r="P215" i="55"/>
  <c r="FA215" i="55" s="1"/>
  <c r="P151" i="55"/>
  <c r="FA151" i="55" s="1"/>
  <c r="S219" i="55"/>
  <c r="S25" i="55"/>
  <c r="BE163" i="55"/>
  <c r="BF163" i="55"/>
  <c r="BG163" i="55" s="1"/>
  <c r="BE290" i="55"/>
  <c r="P119" i="55"/>
  <c r="FA119" i="55" s="1"/>
  <c r="BF287" i="55"/>
  <c r="BG287" i="55" s="1"/>
  <c r="BF34" i="55"/>
  <c r="BG34" i="55" s="1"/>
  <c r="BI289" i="55" a="1"/>
  <c r="BI289" i="55" s="1"/>
  <c r="C289" i="55" s="1"/>
  <c r="BJ289" i="55" s="1"/>
  <c r="BO319" i="55"/>
  <c r="BO172" i="55"/>
  <c r="BP337" i="55"/>
  <c r="BT268" i="55"/>
  <c r="CD239" i="55"/>
  <c r="CG294" i="55"/>
  <c r="CK245" i="55"/>
  <c r="CL130" i="55"/>
  <c r="CL37" i="55"/>
  <c r="P13" i="55"/>
  <c r="FA13" i="55" s="1"/>
  <c r="BT308" i="55"/>
  <c r="CC308" i="55"/>
  <c r="DC292" i="55"/>
  <c r="I292" i="55" s="1"/>
  <c r="DD292" i="55" s="1"/>
  <c r="BT292" i="55"/>
  <c r="BP292" i="55"/>
  <c r="DB292" i="55"/>
  <c r="BP276" i="55"/>
  <c r="CD276" i="55"/>
  <c r="FX276" i="55" s="1" a="1"/>
  <c r="FX276" i="55" s="1"/>
  <c r="CA196" i="55"/>
  <c r="DI196" i="55"/>
  <c r="H196" i="55" s="1"/>
  <c r="DJ196" i="55" s="1"/>
  <c r="GX196" i="55" s="1"/>
  <c r="BO148" i="55"/>
  <c r="BP148" i="55"/>
  <c r="P148" i="55"/>
  <c r="FA148" i="55" s="1"/>
  <c r="BO84" i="55"/>
  <c r="CD84" i="55"/>
  <c r="BP68" i="55"/>
  <c r="GD68" i="55" s="1"/>
  <c r="CA68" i="55"/>
  <c r="CD36" i="55"/>
  <c r="DN36" i="55"/>
  <c r="BT20" i="55"/>
  <c r="BO20" i="55"/>
  <c r="BP20" i="55"/>
  <c r="GD20" i="55" s="1"/>
  <c r="BF226" i="55"/>
  <c r="BG226" i="55" s="1"/>
  <c r="BE226" i="55"/>
  <c r="P226" i="55" s="1"/>
  <c r="BF210" i="55"/>
  <c r="BG210" i="55" s="1"/>
  <c r="BE210" i="55"/>
  <c r="P210" i="55" s="1"/>
  <c r="FA210" i="55" s="1"/>
  <c r="BF194" i="55"/>
  <c r="BG194" i="55" s="1"/>
  <c r="BE194" i="55"/>
  <c r="P194" i="55" s="1"/>
  <c r="FA194" i="55" s="1"/>
  <c r="BE162" i="55"/>
  <c r="BF162" i="55"/>
  <c r="BG162" i="55" s="1"/>
  <c r="BE114" i="55"/>
  <c r="P114" i="55" s="1"/>
  <c r="FA114" i="55" s="1"/>
  <c r="BF114" i="55"/>
  <c r="BG114" i="55" s="1"/>
  <c r="BF50" i="55"/>
  <c r="BG50" i="55" s="1"/>
  <c r="BE50" i="55"/>
  <c r="BE351" i="55"/>
  <c r="BF146" i="55"/>
  <c r="BG146" i="55" s="1"/>
  <c r="BF91" i="55"/>
  <c r="BG91" i="55" s="1"/>
  <c r="BI91" i="55" s="1" a="1"/>
  <c r="BI91" i="55" s="1"/>
  <c r="BI177" i="55" a="1"/>
  <c r="BI177" i="55" s="1"/>
  <c r="C177" i="55" s="1"/>
  <c r="BJ177" i="55" s="1"/>
  <c r="BO304" i="55"/>
  <c r="BT264" i="55"/>
  <c r="EB222" i="55"/>
  <c r="GN94" i="55"/>
  <c r="EJ94" i="55"/>
  <c r="EB280" i="55"/>
  <c r="DZ280" i="55"/>
  <c r="EB216" i="55"/>
  <c r="GS216" i="55" s="1"/>
  <c r="DZ216" i="55"/>
  <c r="EB168" i="55"/>
  <c r="DZ168" i="55"/>
  <c r="EB104" i="55"/>
  <c r="DZ104" i="55"/>
  <c r="CC324" i="55"/>
  <c r="CD223" i="55"/>
  <c r="CG91" i="55"/>
  <c r="CJ90" i="55"/>
  <c r="CM58" i="55"/>
  <c r="CJ58" i="55"/>
  <c r="CN42" i="55"/>
  <c r="CG43" i="55"/>
  <c r="CN10" i="55"/>
  <c r="CG11" i="55"/>
  <c r="CJ10" i="55"/>
  <c r="CJ261" i="55"/>
  <c r="CL322" i="55"/>
  <c r="CL127" i="55"/>
  <c r="DL127" i="55" s="1"/>
  <c r="CM133" i="55"/>
  <c r="DI199" i="55"/>
  <c r="H199" i="55" s="1"/>
  <c r="DJ199" i="55" s="1"/>
  <c r="GX199" i="55" s="1"/>
  <c r="P12" i="55"/>
  <c r="FB12" i="55" s="1"/>
  <c r="S123" i="55"/>
  <c r="GA227" i="55"/>
  <c r="CC227" i="55"/>
  <c r="CO83" i="55"/>
  <c r="CP83" i="55" s="1"/>
  <c r="Y83" i="55" s="1"/>
  <c r="BO83" i="55"/>
  <c r="BT3" i="55"/>
  <c r="CD3" i="55"/>
  <c r="BF321" i="55"/>
  <c r="BG321" i="55" s="1"/>
  <c r="BE321" i="55"/>
  <c r="BF203" i="55"/>
  <c r="BG203" i="55" s="1"/>
  <c r="BF143" i="55"/>
  <c r="BG143" i="55" s="1"/>
  <c r="BF90" i="55"/>
  <c r="BG90" i="55" s="1"/>
  <c r="BS142" i="55"/>
  <c r="GL142" i="55" s="1"/>
  <c r="BI175" i="55" a="1"/>
  <c r="BI175" i="55" s="1"/>
  <c r="C175" i="55" s="1"/>
  <c r="BJ175" i="55" s="1"/>
  <c r="EX57" i="55"/>
  <c r="EC57" i="55"/>
  <c r="CA328" i="55"/>
  <c r="EB343" i="55"/>
  <c r="DZ343" i="55"/>
  <c r="EB295" i="55"/>
  <c r="DZ295" i="55"/>
  <c r="EB231" i="55"/>
  <c r="DZ231" i="55"/>
  <c r="EB183" i="55"/>
  <c r="GS183" i="55" s="1"/>
  <c r="DZ183" i="55"/>
  <c r="CK325" i="55"/>
  <c r="CO124" i="55"/>
  <c r="CP124" i="55" s="1"/>
  <c r="Y124" i="55" s="1"/>
  <c r="DI159" i="55"/>
  <c r="H159" i="55" s="1"/>
  <c r="DJ159" i="55" s="1"/>
  <c r="P319" i="55"/>
  <c r="FA319" i="55" s="1"/>
  <c r="P93" i="55"/>
  <c r="FA93" i="55" s="1"/>
  <c r="S283" i="55"/>
  <c r="S203" i="55"/>
  <c r="CQ162" i="55"/>
  <c r="CD162" i="55"/>
  <c r="FX162" i="55" s="1" a="1"/>
  <c r="FX162" i="55" s="1"/>
  <c r="CD66" i="55"/>
  <c r="FX66" i="55" s="1" a="1"/>
  <c r="FX66" i="55" s="1"/>
  <c r="BP66" i="55"/>
  <c r="GD66" i="55" s="1"/>
  <c r="BF304" i="55"/>
  <c r="BG304" i="55" s="1"/>
  <c r="BE304" i="55"/>
  <c r="BF272" i="55"/>
  <c r="BG272" i="55" s="1"/>
  <c r="BE272" i="55"/>
  <c r="BF192" i="55"/>
  <c r="BG192" i="55" s="1"/>
  <c r="BE192" i="55"/>
  <c r="P192" i="55" s="1"/>
  <c r="BE144" i="55"/>
  <c r="BF144" i="55"/>
  <c r="BG144" i="55" s="1"/>
  <c r="BE96" i="55"/>
  <c r="P96" i="55" s="1"/>
  <c r="BF96" i="55"/>
  <c r="BG96" i="55" s="1"/>
  <c r="P48" i="55"/>
  <c r="FA48" i="55" s="1"/>
  <c r="BF32" i="55"/>
  <c r="BG32" i="55" s="1"/>
  <c r="BE32" i="55"/>
  <c r="BE282" i="55"/>
  <c r="BE160" i="55"/>
  <c r="P160" i="55" s="1"/>
  <c r="FA160" i="55" s="1"/>
  <c r="BF276" i="55"/>
  <c r="BG276" i="55" s="1"/>
  <c r="BI276" i="55" s="1" a="1"/>
  <c r="BI276" i="55" s="1"/>
  <c r="BF18" i="55"/>
  <c r="BG18" i="55" s="1"/>
  <c r="BS333" i="55"/>
  <c r="GL333" i="55" s="1"/>
  <c r="FG301" i="55"/>
  <c r="FO301" i="55" s="1"/>
  <c r="BW301" i="55"/>
  <c r="BW237" i="55"/>
  <c r="BI237" i="55" a="1"/>
  <c r="BI237" i="55" s="1"/>
  <c r="C237" i="55" s="1"/>
  <c r="BJ237" i="55" s="1"/>
  <c r="BI93" i="55" a="1"/>
  <c r="BI93" i="55" s="1"/>
  <c r="BO271" i="55"/>
  <c r="BP324" i="55"/>
  <c r="BS149" i="55"/>
  <c r="GL149" i="55" s="1"/>
  <c r="CA308" i="55"/>
  <c r="CD191" i="55"/>
  <c r="CL197" i="55"/>
  <c r="DL197" i="55" s="1"/>
  <c r="CN82" i="55"/>
  <c r="CO68" i="55"/>
  <c r="CP68" i="55" s="1"/>
  <c r="Y68" i="55" s="1"/>
  <c r="P317" i="55"/>
  <c r="FA317" i="55" s="1"/>
  <c r="P255" i="55"/>
  <c r="FA255" i="55" s="1"/>
  <c r="P92" i="55"/>
  <c r="DC337" i="55"/>
  <c r="I337" i="55" s="1"/>
  <c r="DD337" i="55" s="1"/>
  <c r="DI337" i="55"/>
  <c r="H337" i="55" s="1"/>
  <c r="DJ337" i="55" s="1"/>
  <c r="CD337" i="55"/>
  <c r="BY337" i="55"/>
  <c r="CQ321" i="55"/>
  <c r="CO321" i="55"/>
  <c r="CP321" i="55" s="1"/>
  <c r="Y321" i="55" s="1"/>
  <c r="CD321" i="55"/>
  <c r="CQ305" i="55"/>
  <c r="CO305" i="55"/>
  <c r="CP305" i="55" s="1"/>
  <c r="Y305" i="55" s="1"/>
  <c r="CD305" i="55"/>
  <c r="BP305" i="55"/>
  <c r="DI273" i="55"/>
  <c r="H273" i="55" s="1"/>
  <c r="DJ273" i="55" s="1"/>
  <c r="CO273" i="55"/>
  <c r="CP273" i="55" s="1"/>
  <c r="Y273" i="55" s="1"/>
  <c r="BP273" i="55"/>
  <c r="BI273" i="55" a="1"/>
  <c r="BI273" i="55" s="1"/>
  <c r="CQ273" i="55"/>
  <c r="CD257" i="55"/>
  <c r="CC257" i="55"/>
  <c r="BP257" i="55"/>
  <c r="P257" i="55"/>
  <c r="FA257" i="55" s="1"/>
  <c r="CQ241" i="55"/>
  <c r="CO241" i="55"/>
  <c r="CP241" i="55" s="1"/>
  <c r="Y241" i="55" s="1"/>
  <c r="DB225" i="55"/>
  <c r="CC225" i="55"/>
  <c r="CO209" i="55"/>
  <c r="CP209" i="55" s="1"/>
  <c r="Y209" i="55" s="1"/>
  <c r="CD209" i="55"/>
  <c r="CE209" i="55" s="1" a="1"/>
  <c r="CE209" i="55" s="1"/>
  <c r="CQ209" i="55"/>
  <c r="DC193" i="55"/>
  <c r="I193" i="55" s="1"/>
  <c r="DD193" i="55" s="1"/>
  <c r="CC193" i="55"/>
  <c r="BP193" i="55"/>
  <c r="DC177" i="55"/>
  <c r="I177" i="55" s="1"/>
  <c r="DD177" i="55" s="1"/>
  <c r="BP177" i="55"/>
  <c r="CC177" i="55"/>
  <c r="CO161" i="55"/>
  <c r="CP161" i="55" s="1"/>
  <c r="Y161" i="55" s="1"/>
  <c r="CC161" i="55"/>
  <c r="BP161" i="55"/>
  <c r="DB145" i="55"/>
  <c r="CC145" i="55"/>
  <c r="BP145" i="55"/>
  <c r="GG145" i="55" s="1"/>
  <c r="CO129" i="55"/>
  <c r="CP129" i="55" s="1"/>
  <c r="Y129" i="55" s="1"/>
  <c r="CC129" i="55"/>
  <c r="CQ113" i="55"/>
  <c r="CC113" i="55"/>
  <c r="BP113" i="55"/>
  <c r="CD113" i="55"/>
  <c r="DI81" i="55"/>
  <c r="H81" i="55" s="1"/>
  <c r="DJ81" i="55" s="1"/>
  <c r="CQ81" i="55"/>
  <c r="CD81" i="55"/>
  <c r="CC81" i="55"/>
  <c r="CQ49" i="55"/>
  <c r="BP49" i="55"/>
  <c r="CD49" i="55"/>
  <c r="CO33" i="55"/>
  <c r="CP33" i="55" s="1"/>
  <c r="Y33" i="55" s="1"/>
  <c r="CC33" i="55"/>
  <c r="BP33" i="55"/>
  <c r="CQ17" i="55"/>
  <c r="CC17" i="55"/>
  <c r="BP17" i="55"/>
  <c r="GG17" i="55" s="1"/>
  <c r="BE271" i="55"/>
  <c r="P271" i="55" s="1"/>
  <c r="FA271" i="55" s="1"/>
  <c r="BF271" i="55"/>
  <c r="BG271" i="55" s="1"/>
  <c r="BI271" i="55" s="1" a="1"/>
  <c r="BI271" i="55" s="1"/>
  <c r="BI207" i="55" a="1"/>
  <c r="BI207" i="55" s="1"/>
  <c r="C207" i="55" s="1"/>
  <c r="BJ207" i="55" s="1"/>
  <c r="BF191" i="55"/>
  <c r="BG191" i="55" s="1"/>
  <c r="BI191" i="55" s="1" a="1"/>
  <c r="BI191" i="55" s="1"/>
  <c r="C191" i="55" s="1"/>
  <c r="BJ191" i="55" s="1"/>
  <c r="BE191" i="55"/>
  <c r="BE47" i="55"/>
  <c r="P47" i="55" s="1"/>
  <c r="FA47" i="55" s="1"/>
  <c r="BF47" i="55"/>
  <c r="BG47" i="55" s="1"/>
  <c r="BE274" i="55"/>
  <c r="P274" i="55" s="1"/>
  <c r="FA274" i="55" s="1"/>
  <c r="BE31" i="55"/>
  <c r="BI31" i="55" s="1" a="1"/>
  <c r="BI31" i="55" s="1"/>
  <c r="BF331" i="55"/>
  <c r="BG331" i="55" s="1"/>
  <c r="BI331" i="55" s="1" a="1"/>
  <c r="BI331" i="55" s="1"/>
  <c r="C331" i="55" s="1"/>
  <c r="BJ331" i="55" s="1"/>
  <c r="BF15" i="55"/>
  <c r="BG15" i="55" s="1"/>
  <c r="BW236" i="55"/>
  <c r="BW188" i="55"/>
  <c r="BS188" i="55"/>
  <c r="GL188" i="55" s="1"/>
  <c r="BW124" i="55"/>
  <c r="BQ124" i="55"/>
  <c r="BW108" i="55"/>
  <c r="BW44" i="55"/>
  <c r="BI157" i="55" a="1"/>
  <c r="BI157" i="55" s="1"/>
  <c r="C157" i="55" s="1"/>
  <c r="BJ157" i="55" s="1"/>
  <c r="BO268" i="55"/>
  <c r="BP321" i="55"/>
  <c r="CA303" i="55"/>
  <c r="CD175" i="55"/>
  <c r="CG128" i="55"/>
  <c r="CJ133" i="55"/>
  <c r="CJ50" i="55"/>
  <c r="CL111" i="55"/>
  <c r="P351" i="55"/>
  <c r="FA351" i="55" s="1"/>
  <c r="P253" i="55"/>
  <c r="FA253" i="55" s="1"/>
  <c r="P191" i="55"/>
  <c r="FA191" i="55" s="1"/>
  <c r="CQ304" i="55"/>
  <c r="BP304" i="55"/>
  <c r="GG304" i="55" s="1"/>
  <c r="CC272" i="55"/>
  <c r="CO272" i="55"/>
  <c r="CP272" i="55" s="1"/>
  <c r="Y272" i="55" s="1"/>
  <c r="CC144" i="55"/>
  <c r="BP144" i="55"/>
  <c r="BF334" i="55"/>
  <c r="BG334" i="55" s="1"/>
  <c r="BE334" i="55"/>
  <c r="BF270" i="55"/>
  <c r="BG270" i="55" s="1"/>
  <c r="BE270" i="55"/>
  <c r="P270" i="55" s="1"/>
  <c r="BE190" i="55"/>
  <c r="BF190" i="55"/>
  <c r="BG190" i="55" s="1"/>
  <c r="BF174" i="55"/>
  <c r="BG174" i="55" s="1"/>
  <c r="BI174" i="55" s="1" a="1"/>
  <c r="BI174" i="55" s="1"/>
  <c r="C174" i="55" s="1"/>
  <c r="BJ174" i="55" s="1"/>
  <c r="BE174" i="55"/>
  <c r="BF142" i="55"/>
  <c r="BG142" i="55" s="1"/>
  <c r="BE142" i="55"/>
  <c r="P142" i="55" s="1"/>
  <c r="BE126" i="55"/>
  <c r="BF126" i="55"/>
  <c r="BG126" i="55" s="1"/>
  <c r="BI126" i="55" s="1" a="1"/>
  <c r="BI126" i="55" s="1"/>
  <c r="BE110" i="55"/>
  <c r="P110" i="55" s="1"/>
  <c r="BF110" i="55"/>
  <c r="BG110" i="55" s="1"/>
  <c r="BF62" i="55"/>
  <c r="BG62" i="55" s="1"/>
  <c r="BE62" i="55"/>
  <c r="BE30" i="55"/>
  <c r="BF30" i="55"/>
  <c r="BG30" i="55" s="1"/>
  <c r="BF14" i="55"/>
  <c r="BG14" i="55" s="1"/>
  <c r="BE14" i="55"/>
  <c r="BE218" i="55"/>
  <c r="P218" i="55" s="1"/>
  <c r="FA218" i="55" s="1"/>
  <c r="BF330" i="55"/>
  <c r="BG330" i="55" s="1"/>
  <c r="BS315" i="55"/>
  <c r="GL315" i="55" s="1"/>
  <c r="BI315" i="55" a="1"/>
  <c r="BI315" i="55" s="1"/>
  <c r="BP312" i="55"/>
  <c r="BT124" i="55"/>
  <c r="CC196" i="55"/>
  <c r="CG113" i="55"/>
  <c r="CJ338" i="55"/>
  <c r="CJ32" i="55"/>
  <c r="CK322" i="55"/>
  <c r="CK47" i="55"/>
  <c r="CL287" i="55"/>
  <c r="CN223" i="55"/>
  <c r="CQ271" i="55"/>
  <c r="BF281" i="55"/>
  <c r="BG281" i="55" s="1"/>
  <c r="BI281" i="55" s="1" a="1"/>
  <c r="BI281" i="55" s="1"/>
  <c r="C281" i="55" s="1"/>
  <c r="BJ281" i="55" s="1"/>
  <c r="BE281" i="55"/>
  <c r="P281" i="55" s="1"/>
  <c r="FA281" i="55" s="1"/>
  <c r="BF169" i="55"/>
  <c r="BG169" i="55" s="1"/>
  <c r="BE169" i="55"/>
  <c r="BE273" i="55"/>
  <c r="P273" i="55" s="1"/>
  <c r="FA273" i="55" s="1"/>
  <c r="BW273" i="55"/>
  <c r="BW129" i="55"/>
  <c r="FG65" i="55"/>
  <c r="FO65" i="55" s="1"/>
  <c r="BW65" i="55"/>
  <c r="BW49" i="55"/>
  <c r="BI33" i="55" a="1"/>
  <c r="BI33" i="55" s="1"/>
  <c r="C33" i="55" s="1"/>
  <c r="BJ33" i="55" s="1"/>
  <c r="EX290" i="55"/>
  <c r="EC290" i="55"/>
  <c r="EC98" i="55"/>
  <c r="EX98" i="55"/>
  <c r="EC82" i="55"/>
  <c r="EX82" i="55"/>
  <c r="EB340" i="55"/>
  <c r="EB324" i="55"/>
  <c r="GS324" i="55" s="1"/>
  <c r="DZ324" i="55"/>
  <c r="EB276" i="55"/>
  <c r="EB260" i="55"/>
  <c r="DZ260" i="55"/>
  <c r="EB212" i="55"/>
  <c r="DZ180" i="55"/>
  <c r="EB180" i="55"/>
  <c r="GS180" i="55" s="1"/>
  <c r="DZ132" i="55"/>
  <c r="GS132" i="55" s="1"/>
  <c r="DZ116" i="55"/>
  <c r="DZ68" i="55"/>
  <c r="DZ52" i="55"/>
  <c r="EB52" i="55"/>
  <c r="DL270" i="55"/>
  <c r="ES321" i="55"/>
  <c r="ER321" i="55"/>
  <c r="ES193" i="55"/>
  <c r="ER193" i="55"/>
  <c r="ES65" i="55"/>
  <c r="ER65" i="55"/>
  <c r="ES32" i="55"/>
  <c r="ER32" i="55"/>
  <c r="ER13" i="55"/>
  <c r="ES13" i="55"/>
  <c r="ER129" i="55"/>
  <c r="ER47" i="55"/>
  <c r="EX144" i="55"/>
  <c r="BQ346" i="55"/>
  <c r="CC266" i="55"/>
  <c r="BP266" i="55"/>
  <c r="CA266" i="55"/>
  <c r="CA234" i="55"/>
  <c r="DB170" i="55"/>
  <c r="DN170" i="55"/>
  <c r="CA10" i="55"/>
  <c r="BF296" i="55"/>
  <c r="BG296" i="55" s="1"/>
  <c r="BE296" i="55"/>
  <c r="P296" i="55" s="1"/>
  <c r="FA296" i="55" s="1"/>
  <c r="BE184" i="55"/>
  <c r="BF184" i="55"/>
  <c r="BG184" i="55" s="1"/>
  <c r="BI184" i="55" s="1" a="1"/>
  <c r="BI184" i="55" s="1"/>
  <c r="BE168" i="55"/>
  <c r="P168" i="55" s="1"/>
  <c r="FA168" i="55" s="1"/>
  <c r="BF168" i="55"/>
  <c r="BG168" i="55" s="1"/>
  <c r="BI168" i="55" s="1" a="1"/>
  <c r="BI168" i="55" s="1"/>
  <c r="C168" i="55" s="1"/>
  <c r="BJ168" i="55" s="1"/>
  <c r="BE56" i="55"/>
  <c r="BF56" i="55"/>
  <c r="BG56" i="55" s="1"/>
  <c r="BE24" i="55"/>
  <c r="BF24" i="55"/>
  <c r="BG24" i="55" s="1"/>
  <c r="BE145" i="55"/>
  <c r="BE97" i="55"/>
  <c r="P97" i="55" s="1"/>
  <c r="BE57" i="55"/>
  <c r="BF311" i="55"/>
  <c r="BG311" i="55" s="1"/>
  <c r="BF216" i="55"/>
  <c r="BG216" i="55" s="1"/>
  <c r="BI216" i="55" s="1" a="1"/>
  <c r="BI216" i="55" s="1"/>
  <c r="C216" i="55" s="1"/>
  <c r="BJ216" i="55" s="1"/>
  <c r="BW64" i="55"/>
  <c r="EC305" i="55"/>
  <c r="EX305" i="55"/>
  <c r="EB159" i="55"/>
  <c r="GS159" i="55" s="1"/>
  <c r="ES352" i="55"/>
  <c r="ER352" i="55"/>
  <c r="ES336" i="55"/>
  <c r="ER336" i="55"/>
  <c r="ES320" i="55"/>
  <c r="ER320" i="55"/>
  <c r="ES304" i="55"/>
  <c r="ER304" i="55"/>
  <c r="ES288" i="55"/>
  <c r="ER288" i="55"/>
  <c r="ES272" i="55"/>
  <c r="ER272" i="55"/>
  <c r="ES256" i="55"/>
  <c r="ER256" i="55"/>
  <c r="ES240" i="55"/>
  <c r="ER240" i="55"/>
  <c r="ES224" i="55"/>
  <c r="ER224" i="55"/>
  <c r="ES208" i="55"/>
  <c r="ER208" i="55"/>
  <c r="ES192" i="55"/>
  <c r="ER192" i="55"/>
  <c r="ES176" i="55"/>
  <c r="ER176" i="55"/>
  <c r="ES160" i="55"/>
  <c r="ER160" i="55"/>
  <c r="ES112" i="55"/>
  <c r="ER112" i="55"/>
  <c r="ES96" i="55"/>
  <c r="ER96" i="55"/>
  <c r="ES64" i="55"/>
  <c r="ER64" i="55"/>
  <c r="ER31" i="55"/>
  <c r="ES31" i="55"/>
  <c r="ER128" i="55"/>
  <c r="X186" i="19"/>
  <c r="W186" i="19"/>
  <c r="CD345" i="55"/>
  <c r="BP345" i="55"/>
  <c r="CO265" i="55"/>
  <c r="CP265" i="55" s="1"/>
  <c r="Y265" i="55" s="1"/>
  <c r="CA265" i="55"/>
  <c r="CC249" i="55"/>
  <c r="BT249" i="55"/>
  <c r="BT217" i="55"/>
  <c r="BO217" i="55"/>
  <c r="CC169" i="55"/>
  <c r="DB169" i="55"/>
  <c r="BO169" i="55"/>
  <c r="CD105" i="55"/>
  <c r="FX105" i="55" s="1" a="1"/>
  <c r="FX105" i="55" s="1"/>
  <c r="DI105" i="55"/>
  <c r="H105" i="55" s="1"/>
  <c r="DJ105" i="55" s="1"/>
  <c r="BE327" i="55"/>
  <c r="P327" i="55" s="1"/>
  <c r="BF327" i="55"/>
  <c r="BG327" i="55" s="1"/>
  <c r="BE326" i="55"/>
  <c r="BE49" i="55"/>
  <c r="P49" i="55" s="1"/>
  <c r="GN17" i="55"/>
  <c r="EJ17" i="55"/>
  <c r="EX256" i="55"/>
  <c r="EC256" i="55"/>
  <c r="EX80" i="55"/>
  <c r="EC80" i="55"/>
  <c r="EB306" i="55"/>
  <c r="DL78" i="55"/>
  <c r="FG17" i="55"/>
  <c r="FK17" i="55" s="1"/>
  <c r="CO136" i="55"/>
  <c r="CP136" i="55" s="1"/>
  <c r="Y136" i="55" s="1"/>
  <c r="CC136" i="55"/>
  <c r="DN8" i="55"/>
  <c r="CA8" i="55"/>
  <c r="BE134" i="55"/>
  <c r="BF134" i="55"/>
  <c r="BG134" i="55" s="1"/>
  <c r="BE89" i="55"/>
  <c r="BI238" i="55" a="1"/>
  <c r="BI238" i="55" s="1"/>
  <c r="C238" i="55" s="1"/>
  <c r="BJ238" i="55" s="1"/>
  <c r="BN63" i="55"/>
  <c r="S63" i="55" s="1"/>
  <c r="BS339" i="55"/>
  <c r="GL339" i="55" s="1"/>
  <c r="BS85" i="55"/>
  <c r="GL85" i="55" s="1"/>
  <c r="BS69" i="55"/>
  <c r="GL69" i="55" s="1"/>
  <c r="CC217" i="55"/>
  <c r="CJ342" i="55"/>
  <c r="CK342" i="55"/>
  <c r="CL326" i="55"/>
  <c r="DL326" i="55" s="1"/>
  <c r="CG327" i="55"/>
  <c r="CJ326" i="55"/>
  <c r="CK310" i="55"/>
  <c r="CJ310" i="55"/>
  <c r="CG311" i="55"/>
  <c r="CL310" i="55"/>
  <c r="DL310" i="55" s="1"/>
  <c r="CJ294" i="55"/>
  <c r="CG295" i="55"/>
  <c r="CK294" i="55"/>
  <c r="CL278" i="55"/>
  <c r="DL278" i="55" s="1"/>
  <c r="CK278" i="55"/>
  <c r="CK262" i="55"/>
  <c r="CJ262" i="55"/>
  <c r="CL262" i="55"/>
  <c r="DL262" i="55" s="1"/>
  <c r="IB246" i="55"/>
  <c r="U246" i="55" s="1"/>
  <c r="CG247" i="55"/>
  <c r="CJ246" i="55"/>
  <c r="CK246" i="55"/>
  <c r="CK230" i="55"/>
  <c r="CL230" i="55"/>
  <c r="CG231" i="55"/>
  <c r="CL214" i="55"/>
  <c r="DL214" i="55" s="1"/>
  <c r="CG215" i="55"/>
  <c r="CL182" i="55"/>
  <c r="DL182" i="55" s="1"/>
  <c r="CG183" i="55"/>
  <c r="CG167" i="55"/>
  <c r="CL166" i="55"/>
  <c r="DL166" i="55" s="1"/>
  <c r="CK166" i="55"/>
  <c r="CL150" i="55"/>
  <c r="DL150" i="55" s="1"/>
  <c r="CK150" i="55"/>
  <c r="CG151" i="55"/>
  <c r="DS151" i="55" s="1"/>
  <c r="CL134" i="55"/>
  <c r="DL134" i="55" s="1"/>
  <c r="CG135" i="55"/>
  <c r="CL118" i="55"/>
  <c r="DL118" i="55" s="1"/>
  <c r="CK118" i="55"/>
  <c r="CJ118" i="55"/>
  <c r="CK102" i="55"/>
  <c r="CG103" i="55"/>
  <c r="CG87" i="55"/>
  <c r="DS87" i="55" s="1"/>
  <c r="CL86" i="55"/>
  <c r="DL86" i="55" s="1"/>
  <c r="CL70" i="55"/>
  <c r="DL70" i="55" s="1"/>
  <c r="CG71" i="55"/>
  <c r="CK54" i="55"/>
  <c r="CL54" i="55"/>
  <c r="DL54" i="55" s="1"/>
  <c r="CG55" i="55"/>
  <c r="CK38" i="55"/>
  <c r="CJ38" i="55"/>
  <c r="CG39" i="55"/>
  <c r="IC39" i="55" s="1"/>
  <c r="CL22" i="55"/>
  <c r="DL22" i="55" s="1"/>
  <c r="CK22" i="55"/>
  <c r="CG7" i="55"/>
  <c r="DS7" i="55" s="1"/>
  <c r="CJ6" i="55"/>
  <c r="CL246" i="55"/>
  <c r="DL246" i="55" s="1"/>
  <c r="X177" i="19"/>
  <c r="W177" i="19"/>
  <c r="X197" i="19"/>
  <c r="W197" i="19"/>
  <c r="X260" i="19"/>
  <c r="W260" i="19"/>
  <c r="BN333" i="55"/>
  <c r="BN285" i="55"/>
  <c r="GP285" i="55" s="1"/>
  <c r="BN237" i="55"/>
  <c r="BN205" i="55"/>
  <c r="GP205" i="55" s="1"/>
  <c r="BN109" i="55"/>
  <c r="GP109" i="55" s="1"/>
  <c r="BT345" i="55"/>
  <c r="EB303" i="55"/>
  <c r="GS303" i="55" s="1"/>
  <c r="DZ303" i="55"/>
  <c r="EB95" i="55"/>
  <c r="GS95" i="55" s="1"/>
  <c r="DZ95" i="55"/>
  <c r="EB46" i="55"/>
  <c r="CG263" i="55"/>
  <c r="CK214" i="55"/>
  <c r="ES348" i="55"/>
  <c r="ER348" i="55"/>
  <c r="ER300" i="55"/>
  <c r="ES300" i="55"/>
  <c r="ER284" i="55"/>
  <c r="ES284" i="55"/>
  <c r="ES236" i="55"/>
  <c r="ER236" i="55"/>
  <c r="ER156" i="55"/>
  <c r="ES156" i="55"/>
  <c r="ES108" i="55"/>
  <c r="ER108" i="55"/>
  <c r="ER92" i="55"/>
  <c r="ES92" i="55"/>
  <c r="ER24" i="55"/>
  <c r="ES24" i="55"/>
  <c r="ER7" i="55"/>
  <c r="ES7" i="55"/>
  <c r="X189" i="19"/>
  <c r="W189" i="19"/>
  <c r="X250" i="19"/>
  <c r="W250" i="19"/>
  <c r="BS59" i="55"/>
  <c r="GL59" i="55" s="1"/>
  <c r="BT104" i="55"/>
  <c r="DL319" i="55"/>
  <c r="DZ287" i="55"/>
  <c r="EJ287" i="55"/>
  <c r="DZ191" i="55"/>
  <c r="GN127" i="55"/>
  <c r="EJ127" i="55"/>
  <c r="EB238" i="55"/>
  <c r="EB206" i="55"/>
  <c r="EB94" i="55"/>
  <c r="EB78" i="55"/>
  <c r="CJ278" i="55"/>
  <c r="CJ134" i="55"/>
  <c r="W231" i="19"/>
  <c r="X231" i="19"/>
  <c r="BF209" i="55"/>
  <c r="BG209" i="55" s="1"/>
  <c r="BI209" i="55" s="1" a="1"/>
  <c r="BI209" i="55" s="1"/>
  <c r="C209" i="55" s="1"/>
  <c r="BJ209" i="55" s="1"/>
  <c r="BE209" i="55"/>
  <c r="BI193" i="55" a="1"/>
  <c r="BI193" i="55" s="1"/>
  <c r="C193" i="55" s="1"/>
  <c r="BJ193" i="55" s="1"/>
  <c r="BE113" i="55"/>
  <c r="P113" i="55" s="1"/>
  <c r="FA113" i="55" s="1"/>
  <c r="BF113" i="55"/>
  <c r="BG113" i="55" s="1"/>
  <c r="BI113" i="55" s="1" a="1"/>
  <c r="BI113" i="55" s="1"/>
  <c r="BI49" i="55" a="1"/>
  <c r="BI49" i="55" s="1"/>
  <c r="C49" i="55" s="1"/>
  <c r="BJ49" i="55" s="1"/>
  <c r="BE257" i="55"/>
  <c r="BE217" i="55"/>
  <c r="P217" i="55" s="1"/>
  <c r="FA217" i="55" s="1"/>
  <c r="BN300" i="55"/>
  <c r="BN282" i="55"/>
  <c r="S282" i="55" s="1"/>
  <c r="BN26" i="55"/>
  <c r="S26" i="55" s="1"/>
  <c r="BT88" i="55"/>
  <c r="BW209" i="55"/>
  <c r="CD249" i="55"/>
  <c r="CN337" i="55"/>
  <c r="CL337" i="55"/>
  <c r="DL337" i="55" s="1"/>
  <c r="CM337" i="55"/>
  <c r="CK337" i="55"/>
  <c r="CL321" i="55"/>
  <c r="DL321" i="55" s="1"/>
  <c r="CM321" i="55"/>
  <c r="CJ321" i="55"/>
  <c r="CJ305" i="55"/>
  <c r="CL305" i="55"/>
  <c r="CK305" i="55"/>
  <c r="CM305" i="55"/>
  <c r="CN289" i="55"/>
  <c r="CM289" i="55"/>
  <c r="CK289" i="55"/>
  <c r="CN273" i="55"/>
  <c r="CK273" i="55"/>
  <c r="CL257" i="55"/>
  <c r="DL257" i="55" s="1"/>
  <c r="CM257" i="55"/>
  <c r="CN257" i="55"/>
  <c r="CJ257" i="55"/>
  <c r="CK257" i="55"/>
  <c r="CJ241" i="55"/>
  <c r="CN241" i="55"/>
  <c r="CK241" i="55"/>
  <c r="CL241" i="55"/>
  <c r="CM225" i="55"/>
  <c r="CL225" i="55"/>
  <c r="DL225" i="55" s="1"/>
  <c r="CK225" i="55"/>
  <c r="CN209" i="55"/>
  <c r="CM209" i="55"/>
  <c r="CK209" i="55"/>
  <c r="CL209" i="55"/>
  <c r="DL209" i="55" s="1"/>
  <c r="CJ209" i="55"/>
  <c r="CL193" i="55"/>
  <c r="DL193" i="55" s="1"/>
  <c r="CN193" i="55"/>
  <c r="CJ193" i="55"/>
  <c r="CM193" i="55"/>
  <c r="CJ177" i="55"/>
  <c r="CL177" i="55"/>
  <c r="CM177" i="55"/>
  <c r="CN177" i="55"/>
  <c r="CK177" i="55"/>
  <c r="CL161" i="55"/>
  <c r="CN161" i="55"/>
  <c r="CN145" i="55"/>
  <c r="CM145" i="55"/>
  <c r="CL129" i="55"/>
  <c r="DL129" i="55" s="1"/>
  <c r="CM129" i="55"/>
  <c r="CJ129" i="55"/>
  <c r="CJ113" i="55"/>
  <c r="CM113" i="55"/>
  <c r="CN113" i="55"/>
  <c r="CL113" i="55"/>
  <c r="DL113" i="55" s="1"/>
  <c r="CK113" i="55"/>
  <c r="CM97" i="55"/>
  <c r="CL97" i="55"/>
  <c r="DL97" i="55" s="1"/>
  <c r="CJ97" i="55"/>
  <c r="CN97" i="55"/>
  <c r="CK97" i="55"/>
  <c r="CN81" i="55"/>
  <c r="CM81" i="55"/>
  <c r="CJ81" i="55"/>
  <c r="CL81" i="55"/>
  <c r="DL81" i="55" s="1"/>
  <c r="CL65" i="55"/>
  <c r="DL65" i="55" s="1"/>
  <c r="CK65" i="55"/>
  <c r="CN65" i="55"/>
  <c r="CJ65" i="55"/>
  <c r="CJ49" i="55"/>
  <c r="CM49" i="55"/>
  <c r="CK49" i="55"/>
  <c r="CL33" i="55"/>
  <c r="CM33" i="55"/>
  <c r="CN33" i="55"/>
  <c r="CJ33" i="55"/>
  <c r="CK33" i="55"/>
  <c r="CN17" i="55"/>
  <c r="CM17" i="55"/>
  <c r="CK17" i="55"/>
  <c r="CJ17" i="55"/>
  <c r="CL17" i="55"/>
  <c r="DL17" i="55" s="1"/>
  <c r="CG119" i="55"/>
  <c r="CQ143" i="55"/>
  <c r="CO143" i="55"/>
  <c r="CP143" i="55" s="1"/>
  <c r="Y143" i="55" s="1"/>
  <c r="CD143" i="55"/>
  <c r="CO127" i="55"/>
  <c r="CP127" i="55" s="1"/>
  <c r="Y127" i="55" s="1"/>
  <c r="CD127" i="55"/>
  <c r="CQ127" i="55"/>
  <c r="BO127" i="55"/>
  <c r="DC111" i="55"/>
  <c r="I111" i="55" s="1"/>
  <c r="DD111" i="55" s="1"/>
  <c r="CD111" i="55"/>
  <c r="DI79" i="55"/>
  <c r="H79" i="55" s="1"/>
  <c r="DJ79" i="55" s="1"/>
  <c r="CQ79" i="55"/>
  <c r="CD79" i="55"/>
  <c r="DC63" i="55"/>
  <c r="I63" i="55" s="1"/>
  <c r="DD63" i="55" s="1"/>
  <c r="DH63" i="55" s="1"/>
  <c r="DX63" i="55" s="1"/>
  <c r="BO63" i="55"/>
  <c r="DC47" i="55"/>
  <c r="I47" i="55" s="1"/>
  <c r="DD47" i="55" s="1"/>
  <c r="DF47" i="55" s="1" a="1"/>
  <c r="DF47" i="55" s="1"/>
  <c r="CQ47" i="55"/>
  <c r="CA47" i="55"/>
  <c r="DI31" i="55"/>
  <c r="H31" i="55" s="1"/>
  <c r="DJ31" i="55" s="1"/>
  <c r="CD31" i="55"/>
  <c r="CO31" i="55"/>
  <c r="CP31" i="55" s="1"/>
  <c r="Y31" i="55" s="1"/>
  <c r="BF333" i="55"/>
  <c r="BG333" i="55" s="1"/>
  <c r="BI333" i="55" s="1" a="1"/>
  <c r="BI333" i="55" s="1"/>
  <c r="BE333" i="55"/>
  <c r="P333" i="55" s="1"/>
  <c r="BN145" i="55"/>
  <c r="S145" i="55" s="1"/>
  <c r="BN113" i="55"/>
  <c r="S113" i="55" s="1"/>
  <c r="BO15" i="55"/>
  <c r="BS277" i="55"/>
  <c r="GL277" i="55" s="1"/>
  <c r="EJ105" i="55"/>
  <c r="GN105" i="55"/>
  <c r="EB24" i="55"/>
  <c r="DZ24" i="55"/>
  <c r="CN350" i="55"/>
  <c r="CL350" i="55"/>
  <c r="CM334" i="55"/>
  <c r="CL334" i="55"/>
  <c r="DL334" i="55" s="1"/>
  <c r="CN318" i="55"/>
  <c r="CK318" i="55"/>
  <c r="CM318" i="55"/>
  <c r="CN302" i="55"/>
  <c r="CG303" i="55"/>
  <c r="CK302" i="55"/>
  <c r="CN286" i="55"/>
  <c r="CL286" i="55"/>
  <c r="CG271" i="55"/>
  <c r="CM270" i="55"/>
  <c r="CM254" i="55"/>
  <c r="CN254" i="55"/>
  <c r="CK254" i="55"/>
  <c r="CG255" i="55"/>
  <c r="CL222" i="55"/>
  <c r="DL222" i="55" s="1"/>
  <c r="CG223" i="55"/>
  <c r="CN190" i="55"/>
  <c r="CK190" i="55"/>
  <c r="CG191" i="55"/>
  <c r="CN158" i="55"/>
  <c r="CL158" i="55"/>
  <c r="CM142" i="55"/>
  <c r="CL142" i="55"/>
  <c r="DL142" i="55" s="1"/>
  <c r="CG127" i="55"/>
  <c r="CM126" i="55"/>
  <c r="CL110" i="55"/>
  <c r="DL110" i="55" s="1"/>
  <c r="CN110" i="55"/>
  <c r="CK110" i="55"/>
  <c r="CL94" i="55"/>
  <c r="DL94" i="55" s="1"/>
  <c r="CN94" i="55"/>
  <c r="CN62" i="55"/>
  <c r="CK62" i="55"/>
  <c r="CM62" i="55"/>
  <c r="CN46" i="55"/>
  <c r="CL46" i="55"/>
  <c r="DL46" i="55" s="1"/>
  <c r="CK46" i="55"/>
  <c r="CL30" i="55"/>
  <c r="CG31" i="55"/>
  <c r="CM14" i="55"/>
  <c r="CL14" i="55"/>
  <c r="CG15" i="55"/>
  <c r="W180" i="19"/>
  <c r="X180" i="19"/>
  <c r="BN322" i="55"/>
  <c r="S322" i="55" s="1"/>
  <c r="BN290" i="55"/>
  <c r="S290" i="55" s="1"/>
  <c r="BN258" i="55"/>
  <c r="S258" i="55" s="1"/>
  <c r="BN178" i="55"/>
  <c r="BN130" i="55"/>
  <c r="S130" i="55" s="1"/>
  <c r="BN82" i="55"/>
  <c r="GP82" i="55" s="1"/>
  <c r="BN66" i="55"/>
  <c r="S66" i="55" s="1"/>
  <c r="CA150" i="55"/>
  <c r="CM349" i="55"/>
  <c r="CN349" i="55"/>
  <c r="CN333" i="55"/>
  <c r="CL333" i="55"/>
  <c r="CM333" i="55"/>
  <c r="CM317" i="55"/>
  <c r="CG318" i="55"/>
  <c r="CM301" i="55"/>
  <c r="CG302" i="55"/>
  <c r="FW302" i="55" s="1"/>
  <c r="CN285" i="55"/>
  <c r="CM285" i="55"/>
  <c r="CL285" i="55"/>
  <c r="DL285" i="55" s="1"/>
  <c r="CM269" i="55"/>
  <c r="CN269" i="55"/>
  <c r="CM253" i="55"/>
  <c r="CG254" i="55"/>
  <c r="CL221" i="55"/>
  <c r="DL221" i="55" s="1"/>
  <c r="CG222" i="55"/>
  <c r="DS222" i="55" s="1"/>
  <c r="CM221" i="55"/>
  <c r="CN205" i="55"/>
  <c r="CM205" i="55"/>
  <c r="CM173" i="55"/>
  <c r="CN173" i="55"/>
  <c r="CG174" i="55"/>
  <c r="CN141" i="55"/>
  <c r="CL141" i="55"/>
  <c r="CM141" i="55"/>
  <c r="CL125" i="55"/>
  <c r="CG126" i="55"/>
  <c r="CM125" i="55"/>
  <c r="CN109" i="55"/>
  <c r="CG110" i="55"/>
  <c r="DS110" i="55" s="1"/>
  <c r="CL93" i="55"/>
  <c r="DL93" i="55" s="1"/>
  <c r="CN93" i="55"/>
  <c r="CM93" i="55"/>
  <c r="CL61" i="55"/>
  <c r="CM61" i="55"/>
  <c r="CM45" i="55"/>
  <c r="CN45" i="55"/>
  <c r="CG46" i="55"/>
  <c r="CM29" i="55"/>
  <c r="BN351" i="55"/>
  <c r="S351" i="55" s="1"/>
  <c r="BN303" i="55"/>
  <c r="S303" i="55" s="1"/>
  <c r="BN287" i="55"/>
  <c r="S287" i="55" s="1"/>
  <c r="BN223" i="55"/>
  <c r="S223" i="55" s="1"/>
  <c r="BN175" i="55"/>
  <c r="S175" i="55" s="1"/>
  <c r="CG62" i="55"/>
  <c r="DL19" i="55"/>
  <c r="X242" i="19"/>
  <c r="BS231" i="55"/>
  <c r="GL231" i="55" s="1"/>
  <c r="BS183" i="55"/>
  <c r="GL183" i="55" s="1"/>
  <c r="BN14" i="55"/>
  <c r="S14" i="55" s="1"/>
  <c r="CN43" i="55"/>
  <c r="CG44" i="55"/>
  <c r="CG334" i="55"/>
  <c r="CL302" i="55"/>
  <c r="CL13" i="55"/>
  <c r="CM190" i="55"/>
  <c r="CN174" i="55"/>
  <c r="W243" i="19"/>
  <c r="X243" i="19"/>
  <c r="DL342" i="55"/>
  <c r="DL294" i="55"/>
  <c r="GN278" i="55"/>
  <c r="EJ278" i="55"/>
  <c r="DL230" i="55"/>
  <c r="EJ182" i="55"/>
  <c r="GN182" i="55"/>
  <c r="GN134" i="55"/>
  <c r="EJ134" i="55"/>
  <c r="DL38" i="55"/>
  <c r="EC275" i="55"/>
  <c r="EX275" i="55"/>
  <c r="EX195" i="55"/>
  <c r="EC195" i="55"/>
  <c r="EC179" i="55"/>
  <c r="EX179" i="55"/>
  <c r="EC83" i="55"/>
  <c r="EY83" i="55" s="1"/>
  <c r="R83" i="55" s="1"/>
  <c r="EX83" i="55"/>
  <c r="EX67" i="55"/>
  <c r="EC67" i="55"/>
  <c r="DL39" i="55"/>
  <c r="ER109" i="55"/>
  <c r="ES109" i="55"/>
  <c r="ES77" i="55"/>
  <c r="ER77" i="55"/>
  <c r="ES44" i="55"/>
  <c r="ER44" i="55"/>
  <c r="ER26" i="55"/>
  <c r="ES26" i="55"/>
  <c r="ER302" i="55"/>
  <c r="EX211" i="55"/>
  <c r="X196" i="19"/>
  <c r="W226" i="19"/>
  <c r="BN341" i="55"/>
  <c r="S341" i="55" s="1"/>
  <c r="BN325" i="55"/>
  <c r="S325" i="55" s="1"/>
  <c r="BN309" i="55"/>
  <c r="S309" i="55" s="1"/>
  <c r="BN293" i="55"/>
  <c r="S293" i="55" s="1"/>
  <c r="BN277" i="55"/>
  <c r="S277" i="55" s="1"/>
  <c r="BN261" i="55"/>
  <c r="S261" i="55" s="1"/>
  <c r="BN245" i="55"/>
  <c r="S245" i="55" s="1"/>
  <c r="BN229" i="55"/>
  <c r="S229" i="55" s="1"/>
  <c r="BN213" i="55"/>
  <c r="S213" i="55" s="1"/>
  <c r="BN197" i="55"/>
  <c r="BN181" i="55"/>
  <c r="S181" i="55" s="1"/>
  <c r="BN165" i="55"/>
  <c r="GP165" i="55" s="1"/>
  <c r="BN149" i="55"/>
  <c r="S149" i="55" s="1"/>
  <c r="BN133" i="55"/>
  <c r="S133" i="55" s="1"/>
  <c r="BN117" i="55"/>
  <c r="S117" i="55" s="1"/>
  <c r="BN101" i="55"/>
  <c r="S101" i="55" s="1"/>
  <c r="BN85" i="55"/>
  <c r="S85" i="55" s="1"/>
  <c r="BN69" i="55"/>
  <c r="S69" i="55" s="1"/>
  <c r="BN53" i="55"/>
  <c r="GP53" i="55" s="1"/>
  <c r="GQ53" i="55" s="1"/>
  <c r="GT53" i="55" s="1"/>
  <c r="BN21" i="55"/>
  <c r="S21" i="55" s="1"/>
  <c r="BN5" i="55"/>
  <c r="GP5" i="55" s="1"/>
  <c r="BS42" i="55"/>
  <c r="GL42" i="55" s="1"/>
  <c r="DZ262" i="55"/>
  <c r="EB262" i="55"/>
  <c r="GS262" i="55" s="1"/>
  <c r="ER254" i="55"/>
  <c r="GN70" i="55"/>
  <c r="EJ184" i="55"/>
  <c r="GN184" i="55"/>
  <c r="DL184" i="55"/>
  <c r="GN22" i="55"/>
  <c r="EJ22" i="55"/>
  <c r="DZ34" i="55"/>
  <c r="EB34" i="55"/>
  <c r="GS34" i="55" s="1"/>
  <c r="ER239" i="55"/>
  <c r="ES239" i="55"/>
  <c r="ES175" i="55"/>
  <c r="ER175" i="55"/>
  <c r="ER159" i="55"/>
  <c r="ES159" i="55"/>
  <c r="ES127" i="55"/>
  <c r="ER127" i="55"/>
  <c r="ER111" i="55"/>
  <c r="ES111" i="55"/>
  <c r="ER95" i="55"/>
  <c r="ES95" i="55"/>
  <c r="ES63" i="55"/>
  <c r="ER63" i="55"/>
  <c r="ER30" i="55"/>
  <c r="ES30" i="55"/>
  <c r="X214" i="19"/>
  <c r="W214" i="19"/>
  <c r="GN343" i="55"/>
  <c r="EJ343" i="55"/>
  <c r="GN151" i="55"/>
  <c r="EJ151" i="55"/>
  <c r="EJ103" i="55"/>
  <c r="GN103" i="55"/>
  <c r="GN87" i="55"/>
  <c r="EJ87" i="55"/>
  <c r="GN39" i="55"/>
  <c r="EJ39" i="55"/>
  <c r="EX84" i="55"/>
  <c r="EC84" i="55"/>
  <c r="EY84" i="55" s="1"/>
  <c r="EB322" i="55"/>
  <c r="GS322" i="55" s="1"/>
  <c r="DZ322" i="55"/>
  <c r="DZ306" i="55"/>
  <c r="EB178" i="55"/>
  <c r="GS178" i="55" s="1"/>
  <c r="ET25" i="55"/>
  <c r="EU25" i="55"/>
  <c r="ES350" i="55"/>
  <c r="ER350" i="55"/>
  <c r="ER318" i="55"/>
  <c r="ES318" i="55"/>
  <c r="ER238" i="55"/>
  <c r="ES238" i="55"/>
  <c r="ER206" i="55"/>
  <c r="ES206" i="55"/>
  <c r="ER158" i="55"/>
  <c r="ES158" i="55"/>
  <c r="ES126" i="55"/>
  <c r="ER126" i="55"/>
  <c r="ER110" i="55"/>
  <c r="ES110" i="55"/>
  <c r="ER94" i="55"/>
  <c r="ES94" i="55"/>
  <c r="ER303" i="55"/>
  <c r="EX228" i="55"/>
  <c r="W206" i="19"/>
  <c r="X234" i="19"/>
  <c r="W234" i="19"/>
  <c r="DZ290" i="55"/>
  <c r="EB290" i="55"/>
  <c r="GS290" i="55" s="1"/>
  <c r="EB258" i="55"/>
  <c r="EB210" i="55"/>
  <c r="DZ194" i="55"/>
  <c r="GS194" i="55" s="1"/>
  <c r="EB130" i="55"/>
  <c r="EB114" i="55"/>
  <c r="GS114" i="55" s="1"/>
  <c r="DZ98" i="55"/>
  <c r="DZ66" i="55"/>
  <c r="GS66" i="55" s="1"/>
  <c r="EB66" i="55"/>
  <c r="EB14" i="55"/>
  <c r="CG341" i="55"/>
  <c r="CL340" i="55"/>
  <c r="CM340" i="55"/>
  <c r="CG309" i="55"/>
  <c r="CK308" i="55"/>
  <c r="CJ308" i="55"/>
  <c r="IA292" i="55"/>
  <c r="CL292" i="55"/>
  <c r="CG277" i="55"/>
  <c r="CL276" i="55"/>
  <c r="CG261" i="55"/>
  <c r="CM260" i="55"/>
  <c r="CG245" i="55"/>
  <c r="CL244" i="55"/>
  <c r="CG229" i="55"/>
  <c r="CJ228" i="55"/>
  <c r="CG213" i="55"/>
  <c r="CM212" i="55"/>
  <c r="CL212" i="55"/>
  <c r="CG181" i="55"/>
  <c r="CM180" i="55"/>
  <c r="CL180" i="55"/>
  <c r="CG149" i="55"/>
  <c r="CJ148" i="55"/>
  <c r="CG133" i="55"/>
  <c r="CK132" i="55"/>
  <c r="CM132" i="55"/>
  <c r="CG117" i="55"/>
  <c r="CJ116" i="55"/>
  <c r="CG101" i="55"/>
  <c r="CK100" i="55"/>
  <c r="CL100" i="55"/>
  <c r="CG85" i="55"/>
  <c r="CK84" i="55"/>
  <c r="CM84" i="55"/>
  <c r="CJ84" i="55"/>
  <c r="CG69" i="55"/>
  <c r="DS69" i="55" s="1"/>
  <c r="CL68" i="55"/>
  <c r="DL68" i="55" s="1"/>
  <c r="CG53" i="55"/>
  <c r="CK52" i="55"/>
  <c r="CM52" i="55"/>
  <c r="CJ52" i="55"/>
  <c r="CG21" i="55"/>
  <c r="CK20" i="55"/>
  <c r="CG5" i="55"/>
  <c r="CL4" i="55"/>
  <c r="DL4" i="55" s="1"/>
  <c r="CJ260" i="55"/>
  <c r="CJ212" i="55"/>
  <c r="CJ164" i="55"/>
  <c r="CJ36" i="55"/>
  <c r="CJ4" i="55"/>
  <c r="CK275" i="55"/>
  <c r="CK148" i="55"/>
  <c r="CL308" i="55"/>
  <c r="CL164" i="55"/>
  <c r="DL164" i="55" s="1"/>
  <c r="CM148" i="55"/>
  <c r="DZ321" i="55"/>
  <c r="DZ225" i="55"/>
  <c r="CG340" i="55"/>
  <c r="CL339" i="55"/>
  <c r="DL339" i="55" s="1"/>
  <c r="CM339" i="55"/>
  <c r="CK339" i="55"/>
  <c r="CG324" i="55"/>
  <c r="CN323" i="55"/>
  <c r="CG308" i="55"/>
  <c r="CL307" i="55"/>
  <c r="CN307" i="55"/>
  <c r="CK307" i="55"/>
  <c r="CJ307" i="55"/>
  <c r="CG292" i="55"/>
  <c r="HZ291" i="55"/>
  <c r="CL291" i="55"/>
  <c r="DL291" i="55" s="1"/>
  <c r="CG260" i="55"/>
  <c r="CM259" i="55"/>
  <c r="CL259" i="55"/>
  <c r="DL259" i="55" s="1"/>
  <c r="CG244" i="55"/>
  <c r="CL243" i="55"/>
  <c r="DL243" i="55" s="1"/>
  <c r="CG228" i="55"/>
  <c r="CJ227" i="55"/>
  <c r="CG212" i="55"/>
  <c r="CM211" i="55"/>
  <c r="CG196" i="55"/>
  <c r="GB196" i="55" s="1"/>
  <c r="GC196" i="55" s="1"/>
  <c r="CN195" i="55"/>
  <c r="CG164" i="55"/>
  <c r="HZ163" i="55"/>
  <c r="CG148" i="55"/>
  <c r="CN147" i="55"/>
  <c r="CM147" i="55"/>
  <c r="CJ147" i="55"/>
  <c r="IA131" i="55"/>
  <c r="CK131" i="55"/>
  <c r="CM131" i="55"/>
  <c r="CG116" i="55"/>
  <c r="CM115" i="55"/>
  <c r="CJ115" i="55"/>
  <c r="CG100" i="55"/>
  <c r="CL99" i="55"/>
  <c r="IB83" i="55"/>
  <c r="CK83" i="55"/>
  <c r="CN83" i="55"/>
  <c r="CJ83" i="55"/>
  <c r="CG68" i="55"/>
  <c r="CL67" i="55"/>
  <c r="CG52" i="55"/>
  <c r="CM51" i="55"/>
  <c r="CJ51" i="55"/>
  <c r="CG36" i="55"/>
  <c r="CL35" i="55"/>
  <c r="DL35" i="55" s="1"/>
  <c r="CN35" i="55"/>
  <c r="CG20" i="55"/>
  <c r="CK19" i="55"/>
  <c r="CN19" i="55"/>
  <c r="CG4" i="55"/>
  <c r="CL3" i="55"/>
  <c r="CJ259" i="55"/>
  <c r="CJ211" i="55"/>
  <c r="CJ163" i="55"/>
  <c r="CJ35" i="55"/>
  <c r="CJ3" i="55"/>
  <c r="CK147" i="55"/>
  <c r="CL163" i="55"/>
  <c r="CM83" i="55"/>
  <c r="W252" i="19"/>
  <c r="W261" i="19"/>
  <c r="CL260" i="55"/>
  <c r="DL260" i="55" s="1"/>
  <c r="CM196" i="55"/>
  <c r="IB243" i="55"/>
  <c r="W172" i="19"/>
  <c r="W182" i="19"/>
  <c r="X218" i="19"/>
  <c r="W218" i="19"/>
  <c r="CG329" i="55"/>
  <c r="JW329" i="55" s="1"/>
  <c r="ES277" i="55"/>
  <c r="ER277" i="55"/>
  <c r="ES197" i="55"/>
  <c r="ER197" i="55"/>
  <c r="ER69" i="55"/>
  <c r="ER17" i="55"/>
  <c r="ES131" i="55"/>
  <c r="ER341" i="55"/>
  <c r="ER293" i="55"/>
  <c r="ER16" i="55"/>
  <c r="ER259" i="55"/>
  <c r="ES259" i="55"/>
  <c r="ER195" i="55"/>
  <c r="ES195" i="55"/>
  <c r="ER67" i="55"/>
  <c r="ES67" i="55"/>
  <c r="ER14" i="55"/>
  <c r="W255" i="19"/>
  <c r="X255" i="19"/>
  <c r="W208" i="19"/>
  <c r="W248" i="19"/>
  <c r="X263" i="19"/>
  <c r="JW237" i="55"/>
  <c r="GB237" i="55"/>
  <c r="GC237" i="55" s="1"/>
  <c r="DS237" i="55"/>
  <c r="IK29" i="55"/>
  <c r="GO29" i="55"/>
  <c r="IK38" i="55"/>
  <c r="GO38" i="55"/>
  <c r="IK79" i="55"/>
  <c r="GO79" i="55"/>
  <c r="IK78" i="55"/>
  <c r="GO78" i="55"/>
  <c r="GO158" i="55"/>
  <c r="IK158" i="55"/>
  <c r="IK69" i="55"/>
  <c r="GO69" i="55"/>
  <c r="IK167" i="55"/>
  <c r="GO167" i="55"/>
  <c r="IK177" i="55"/>
  <c r="GO177" i="55"/>
  <c r="IK97" i="55"/>
  <c r="GO97" i="55"/>
  <c r="HY277" i="55"/>
  <c r="HX277" i="55"/>
  <c r="CA277" i="55"/>
  <c r="HY101" i="55"/>
  <c r="HX101" i="55"/>
  <c r="HX312" i="55"/>
  <c r="HY312" i="55"/>
  <c r="EL312" i="55"/>
  <c r="CA312" i="55"/>
  <c r="IK187" i="55"/>
  <c r="GO187" i="55"/>
  <c r="IK116" i="55"/>
  <c r="GO116" i="55"/>
  <c r="IK106" i="55"/>
  <c r="GO106" i="55"/>
  <c r="IK87" i="55"/>
  <c r="GO87" i="55"/>
  <c r="HX229" i="55"/>
  <c r="HY229" i="55"/>
  <c r="HY149" i="55"/>
  <c r="EL149" i="55"/>
  <c r="HX149" i="55"/>
  <c r="IK127" i="55"/>
  <c r="GO127" i="55"/>
  <c r="FB52" i="55"/>
  <c r="IK278" i="55"/>
  <c r="GO278" i="55"/>
  <c r="IK198" i="55"/>
  <c r="GO198" i="55"/>
  <c r="IK166" i="55"/>
  <c r="GO166" i="55"/>
  <c r="GO157" i="55"/>
  <c r="IK157" i="55"/>
  <c r="HX19" i="55"/>
  <c r="HY19" i="55"/>
  <c r="HX3" i="55"/>
  <c r="HY3" i="55"/>
  <c r="IK277" i="55"/>
  <c r="GO277" i="55"/>
  <c r="IK257" i="55"/>
  <c r="GO257" i="55"/>
  <c r="IK207" i="55"/>
  <c r="GO207" i="55"/>
  <c r="IK197" i="55"/>
  <c r="GO197" i="55"/>
  <c r="IK186" i="55"/>
  <c r="GO186" i="55"/>
  <c r="HX179" i="55"/>
  <c r="HY179" i="55"/>
  <c r="IK217" i="55"/>
  <c r="GO217" i="55"/>
  <c r="IK175" i="55"/>
  <c r="GO175" i="55"/>
  <c r="FX147" i="55" a="1"/>
  <c r="FX147" i="55" s="1"/>
  <c r="FY147" i="55"/>
  <c r="HY114" i="55"/>
  <c r="HX114" i="55"/>
  <c r="IK295" i="55"/>
  <c r="GO295" i="55"/>
  <c r="IK286" i="55"/>
  <c r="GO286" i="55"/>
  <c r="IK275" i="55"/>
  <c r="GO275" i="55"/>
  <c r="IK245" i="55"/>
  <c r="GO245" i="55"/>
  <c r="IK206" i="55"/>
  <c r="GO206" i="55"/>
  <c r="GD148" i="55"/>
  <c r="GG148" i="55"/>
  <c r="FA129" i="55"/>
  <c r="FB129" i="55"/>
  <c r="IK276" i="55"/>
  <c r="GO276" i="55"/>
  <c r="GO266" i="55"/>
  <c r="IK266" i="55"/>
  <c r="IK246" i="55"/>
  <c r="GO246" i="55"/>
  <c r="IK196" i="55"/>
  <c r="GO196" i="55"/>
  <c r="FA216" i="55"/>
  <c r="FB216" i="55"/>
  <c r="GJ326" i="55"/>
  <c r="BN326" i="55"/>
  <c r="GP326" i="55" s="1"/>
  <c r="S326" i="55"/>
  <c r="GJ278" i="55"/>
  <c r="BN278" i="55"/>
  <c r="GP278" i="55" s="1"/>
  <c r="S278" i="55"/>
  <c r="GJ214" i="55"/>
  <c r="BN214" i="55"/>
  <c r="S214" i="55" s="1"/>
  <c r="GJ166" i="55"/>
  <c r="BN166" i="55"/>
  <c r="GP166" i="55" s="1"/>
  <c r="GJ134" i="55"/>
  <c r="BN134" i="55"/>
  <c r="GP134" i="55" s="1"/>
  <c r="GJ86" i="55"/>
  <c r="BN86" i="55"/>
  <c r="GP86" i="55" s="1"/>
  <c r="GJ70" i="55"/>
  <c r="BN70" i="55"/>
  <c r="S70" i="55" s="1"/>
  <c r="GJ22" i="55"/>
  <c r="BN22" i="55"/>
  <c r="GP22" i="55" s="1"/>
  <c r="GJ6" i="55"/>
  <c r="BN6" i="55"/>
  <c r="GP6" i="55" s="1"/>
  <c r="FA157" i="55"/>
  <c r="FB157" i="55"/>
  <c r="IK297" i="55"/>
  <c r="GO297" i="55"/>
  <c r="GG157" i="55"/>
  <c r="GD157" i="55"/>
  <c r="HX291" i="55"/>
  <c r="HY291" i="55"/>
  <c r="HX115" i="55"/>
  <c r="HY115" i="55"/>
  <c r="FA12" i="55"/>
  <c r="IK317" i="55"/>
  <c r="GO317" i="55"/>
  <c r="IK305" i="55"/>
  <c r="GO305" i="55"/>
  <c r="IK176" i="55"/>
  <c r="GO176" i="55"/>
  <c r="GD154" i="55"/>
  <c r="HY290" i="55"/>
  <c r="HX290" i="55"/>
  <c r="IK216" i="55"/>
  <c r="GO216" i="55"/>
  <c r="FA305" i="55"/>
  <c r="FB305" i="55"/>
  <c r="EU305" i="55"/>
  <c r="JW23" i="55"/>
  <c r="GB23" i="55"/>
  <c r="GC23" i="55" s="1"/>
  <c r="DS23" i="55"/>
  <c r="IK315" i="55"/>
  <c r="GO315" i="55"/>
  <c r="IK255" i="55"/>
  <c r="GO255" i="55"/>
  <c r="IK244" i="55"/>
  <c r="GO244" i="55"/>
  <c r="IK234" i="55"/>
  <c r="GO234" i="55"/>
  <c r="IK225" i="55"/>
  <c r="GO225" i="55"/>
  <c r="IK215" i="55"/>
  <c r="GO215" i="55"/>
  <c r="GO326" i="55"/>
  <c r="IK326" i="55"/>
  <c r="IK294" i="55"/>
  <c r="GO294" i="55"/>
  <c r="IK285" i="55"/>
  <c r="GO285" i="55"/>
  <c r="GJ310" i="55"/>
  <c r="BN310" i="55"/>
  <c r="GP310" i="55" s="1"/>
  <c r="GJ262" i="55"/>
  <c r="GJ230" i="55"/>
  <c r="BN230" i="55"/>
  <c r="GP230" i="55" s="1"/>
  <c r="S230" i="55"/>
  <c r="GJ198" i="55"/>
  <c r="BN198" i="55"/>
  <c r="GJ150" i="55"/>
  <c r="BN150" i="55"/>
  <c r="GP150" i="55" s="1"/>
  <c r="IL102" i="55"/>
  <c r="IM102" i="55" s="1"/>
  <c r="GJ102" i="55"/>
  <c r="BN102" i="55"/>
  <c r="GQ38" i="55"/>
  <c r="GJ38" i="55"/>
  <c r="BN38" i="55"/>
  <c r="GP38" i="55" s="1"/>
  <c r="S38" i="55"/>
  <c r="BN262" i="55"/>
  <c r="S262" i="55" s="1"/>
  <c r="GG219" i="55"/>
  <c r="GD219" i="55"/>
  <c r="GJ342" i="55"/>
  <c r="BN342" i="55"/>
  <c r="GP342" i="55" s="1"/>
  <c r="S342" i="55"/>
  <c r="GJ294" i="55"/>
  <c r="BN294" i="55"/>
  <c r="GP294" i="55" s="1"/>
  <c r="S294" i="55"/>
  <c r="GJ246" i="55"/>
  <c r="BN246" i="55"/>
  <c r="GJ182" i="55"/>
  <c r="BN182" i="55"/>
  <c r="S182" i="55" s="1"/>
  <c r="GJ118" i="55"/>
  <c r="BN118" i="55"/>
  <c r="GP118" i="55" s="1"/>
  <c r="GJ54" i="55"/>
  <c r="BN54" i="55"/>
  <c r="JW64" i="55"/>
  <c r="GB64" i="55"/>
  <c r="GC64" i="55" s="1"/>
  <c r="DS64" i="55"/>
  <c r="IK335" i="55"/>
  <c r="GO335" i="55"/>
  <c r="IK325" i="55"/>
  <c r="GO325" i="55"/>
  <c r="IK314" i="55"/>
  <c r="GO314" i="55"/>
  <c r="IK304" i="55"/>
  <c r="GO304" i="55"/>
  <c r="IK22" i="55"/>
  <c r="GO22" i="55"/>
  <c r="GG218" i="55"/>
  <c r="GD218" i="55"/>
  <c r="IK21" i="55"/>
  <c r="GO21" i="55"/>
  <c r="JH302" i="55"/>
  <c r="JI302" i="55" s="1"/>
  <c r="FF302" i="55"/>
  <c r="DN302" i="55"/>
  <c r="DI302" i="55"/>
  <c r="H302" i="55" s="1"/>
  <c r="DJ302" i="55" s="1"/>
  <c r="GA302" i="55"/>
  <c r="BY302" i="55" s="1"/>
  <c r="BT302" i="55"/>
  <c r="CC302" i="55"/>
  <c r="DC302" i="55"/>
  <c r="I302" i="55" s="1"/>
  <c r="DD302" i="55" s="1"/>
  <c r="CO302" i="55"/>
  <c r="CP302" i="55" s="1"/>
  <c r="Y302" i="55" s="1"/>
  <c r="DB302" i="55"/>
  <c r="CA302" i="55"/>
  <c r="CD302" i="55"/>
  <c r="BP302" i="55"/>
  <c r="CQ302" i="55"/>
  <c r="BO302" i="55"/>
  <c r="JH254" i="55"/>
  <c r="JI254" i="55" s="1"/>
  <c r="DN254" i="55"/>
  <c r="BT254" i="55"/>
  <c r="CC254" i="55"/>
  <c r="FF254" i="55"/>
  <c r="DC254" i="55"/>
  <c r="I254" i="55" s="1"/>
  <c r="DD254" i="55" s="1"/>
  <c r="CQ254" i="55"/>
  <c r="CO254" i="55"/>
  <c r="CP254" i="55" s="1"/>
  <c r="Y254" i="55" s="1"/>
  <c r="GA254" i="55"/>
  <c r="P254" i="55"/>
  <c r="FA254" i="55" s="1"/>
  <c r="DB254" i="55"/>
  <c r="DI254" i="55"/>
  <c r="H254" i="55" s="1"/>
  <c r="DJ254" i="55" s="1"/>
  <c r="CD254" i="55"/>
  <c r="CA254" i="55"/>
  <c r="BO254" i="55"/>
  <c r="BW254" i="55"/>
  <c r="BY254" i="55"/>
  <c r="BP254" i="55"/>
  <c r="JH174" i="55"/>
  <c r="JI174" i="55" s="1"/>
  <c r="FF174" i="55"/>
  <c r="DN174" i="55"/>
  <c r="DI174" i="55"/>
  <c r="H174" i="55" s="1"/>
  <c r="DJ174" i="55" s="1"/>
  <c r="BT174" i="55"/>
  <c r="CC174" i="55"/>
  <c r="CQ174" i="55"/>
  <c r="CO174" i="55"/>
  <c r="CP174" i="55" s="1"/>
  <c r="Y174" i="55" s="1"/>
  <c r="GA174" i="55"/>
  <c r="DC174" i="55"/>
  <c r="I174" i="55" s="1"/>
  <c r="DD174" i="55" s="1"/>
  <c r="BY174" i="55"/>
  <c r="CD174" i="55"/>
  <c r="CA174" i="55"/>
  <c r="BP174" i="55"/>
  <c r="BO174" i="55"/>
  <c r="P174" i="55"/>
  <c r="FA174" i="55" s="1"/>
  <c r="JH126" i="55"/>
  <c r="JI126" i="55" s="1"/>
  <c r="DN126" i="55"/>
  <c r="DB126" i="55"/>
  <c r="BT126" i="55"/>
  <c r="CC126" i="55"/>
  <c r="GA126" i="55"/>
  <c r="CO126" i="55"/>
  <c r="CP126" i="55" s="1"/>
  <c r="Y126" i="55" s="1"/>
  <c r="DI126" i="55"/>
  <c r="H126" i="55" s="1"/>
  <c r="DJ126" i="55" s="1"/>
  <c r="BP126" i="55"/>
  <c r="CA126" i="55"/>
  <c r="DC126" i="55"/>
  <c r="I126" i="55" s="1"/>
  <c r="DD126" i="55" s="1"/>
  <c r="CQ126" i="55"/>
  <c r="CD126" i="55"/>
  <c r="BO126" i="55"/>
  <c r="BW126" i="55"/>
  <c r="P126" i="55"/>
  <c r="FA126" i="55" s="1"/>
  <c r="BY126" i="55"/>
  <c r="JH62" i="55"/>
  <c r="JI62" i="55" s="1"/>
  <c r="DN62" i="55"/>
  <c r="DB62" i="55"/>
  <c r="GA62" i="55"/>
  <c r="BT62" i="55"/>
  <c r="DI62" i="55"/>
  <c r="H62" i="55" s="1"/>
  <c r="DJ62" i="55" s="1"/>
  <c r="CO62" i="55"/>
  <c r="CP62" i="55" s="1"/>
  <c r="Y62" i="55" s="1"/>
  <c r="CC62" i="55"/>
  <c r="CQ62" i="55"/>
  <c r="DC62" i="55"/>
  <c r="I62" i="55" s="1"/>
  <c r="DD62" i="55" s="1"/>
  <c r="BY62" i="55"/>
  <c r="CD62" i="55"/>
  <c r="BP62" i="55"/>
  <c r="BO62" i="55"/>
  <c r="P62" i="55"/>
  <c r="FA62" i="55" s="1"/>
  <c r="CA62" i="55"/>
  <c r="JH14" i="55"/>
  <c r="JI14" i="55" s="1"/>
  <c r="DN14" i="55"/>
  <c r="DB14" i="55"/>
  <c r="DC14" i="55"/>
  <c r="I14" i="55" s="1"/>
  <c r="DD14" i="55" s="1"/>
  <c r="BT14" i="55"/>
  <c r="CC14" i="55"/>
  <c r="CO14" i="55"/>
  <c r="CP14" i="55" s="1"/>
  <c r="Y14" i="55" s="1"/>
  <c r="DI14" i="55"/>
  <c r="H14" i="55" s="1"/>
  <c r="DJ14" i="55" s="1"/>
  <c r="FF14" i="55"/>
  <c r="GA14" i="55"/>
  <c r="BP14" i="55"/>
  <c r="CD14" i="55"/>
  <c r="P14" i="55"/>
  <c r="FA14" i="55" s="1"/>
  <c r="BY14" i="55"/>
  <c r="CA14" i="55"/>
  <c r="BO14" i="55"/>
  <c r="BE332" i="55"/>
  <c r="P332" i="55" s="1"/>
  <c r="FA332" i="55" s="1"/>
  <c r="BF332" i="55"/>
  <c r="BG332" i="55" s="1"/>
  <c r="BI332" i="55" s="1" a="1"/>
  <c r="BI332" i="55" s="1"/>
  <c r="C332" i="55" s="1"/>
  <c r="BJ332" i="55" s="1"/>
  <c r="BF300" i="55"/>
  <c r="BG300" i="55" s="1"/>
  <c r="BI300" i="55" s="1" a="1"/>
  <c r="BI300" i="55" s="1"/>
  <c r="C300" i="55" s="1"/>
  <c r="BJ300" i="55" s="1"/>
  <c r="BE300" i="55"/>
  <c r="P300" i="55" s="1"/>
  <c r="BE284" i="55"/>
  <c r="P284" i="55" s="1"/>
  <c r="FA284" i="55" s="1"/>
  <c r="BF284" i="55"/>
  <c r="BG284" i="55" s="1"/>
  <c r="BF252" i="55"/>
  <c r="BG252" i="55" s="1"/>
  <c r="BI252" i="55" s="1" a="1"/>
  <c r="BI252" i="55" s="1"/>
  <c r="C252" i="55" s="1"/>
  <c r="BJ252" i="55" s="1"/>
  <c r="BE252" i="55"/>
  <c r="P252" i="55" s="1"/>
  <c r="FA252" i="55" s="1"/>
  <c r="BF236" i="55"/>
  <c r="BG236" i="55" s="1"/>
  <c r="BE236" i="55"/>
  <c r="P236" i="55" s="1"/>
  <c r="BF204" i="55"/>
  <c r="BG204" i="55" s="1"/>
  <c r="BE204" i="55"/>
  <c r="P204" i="55" s="1"/>
  <c r="BF156" i="55"/>
  <c r="BG156" i="55" s="1"/>
  <c r="BI156" i="55" s="1" a="1"/>
  <c r="BI156" i="55" s="1"/>
  <c r="C156" i="55" s="1"/>
  <c r="BJ156" i="55" s="1"/>
  <c r="BE156" i="55"/>
  <c r="P156" i="55" s="1"/>
  <c r="BE92" i="55"/>
  <c r="BF92" i="55"/>
  <c r="BG92" i="55" s="1"/>
  <c r="BI92" i="55" s="1" a="1"/>
  <c r="BI92" i="55" s="1"/>
  <c r="BE60" i="55"/>
  <c r="BF60" i="55"/>
  <c r="BG60" i="55" s="1"/>
  <c r="GJ324" i="55"/>
  <c r="BN324" i="55"/>
  <c r="S324" i="55" s="1"/>
  <c r="GJ276" i="55"/>
  <c r="BN276" i="55"/>
  <c r="GP276" i="55" s="1"/>
  <c r="GJ228" i="55"/>
  <c r="BN228" i="55"/>
  <c r="GP228" i="55" s="1"/>
  <c r="S228" i="55"/>
  <c r="GJ180" i="55"/>
  <c r="BN180" i="55"/>
  <c r="GP180" i="55" s="1"/>
  <c r="GJ132" i="55"/>
  <c r="BN132" i="55"/>
  <c r="S132" i="55" s="1"/>
  <c r="GJ100" i="55"/>
  <c r="BN100" i="55"/>
  <c r="GP100" i="55" s="1"/>
  <c r="GJ68" i="55"/>
  <c r="BN68" i="55"/>
  <c r="S68" i="55" s="1"/>
  <c r="GQ36" i="55"/>
  <c r="GJ36" i="55"/>
  <c r="BN36" i="55"/>
  <c r="GP36" i="55" s="1"/>
  <c r="GT36" i="55" s="1"/>
  <c r="S36" i="55"/>
  <c r="IB348" i="55"/>
  <c r="IA348" i="55"/>
  <c r="HZ348" i="55"/>
  <c r="HW348" i="55"/>
  <c r="CJ348" i="55"/>
  <c r="CK348" i="55"/>
  <c r="CM348" i="55"/>
  <c r="CG349" i="55"/>
  <c r="CL348" i="55"/>
  <c r="DL348" i="55" s="1"/>
  <c r="CN348" i="55"/>
  <c r="IB284" i="55"/>
  <c r="HW284" i="55"/>
  <c r="IA284" i="55"/>
  <c r="HZ284" i="55"/>
  <c r="CJ284" i="55"/>
  <c r="CK284" i="55"/>
  <c r="CM284" i="55"/>
  <c r="CL284" i="55"/>
  <c r="CN284" i="55"/>
  <c r="CG285" i="55"/>
  <c r="IB220" i="55"/>
  <c r="IA220" i="55"/>
  <c r="HZ220" i="55"/>
  <c r="HW220" i="55"/>
  <c r="CJ220" i="55"/>
  <c r="CK220" i="55"/>
  <c r="CM220" i="55"/>
  <c r="CG221" i="55"/>
  <c r="CN220" i="55"/>
  <c r="CL220" i="55"/>
  <c r="IB156" i="55"/>
  <c r="HW156" i="55"/>
  <c r="IA156" i="55"/>
  <c r="HZ156" i="55"/>
  <c r="CJ156" i="55"/>
  <c r="CK156" i="55"/>
  <c r="CM156" i="55"/>
  <c r="CN156" i="55"/>
  <c r="CG157" i="55"/>
  <c r="CL156" i="55"/>
  <c r="DL156" i="55" s="1"/>
  <c r="IB108" i="55"/>
  <c r="IA108" i="55"/>
  <c r="HZ108" i="55"/>
  <c r="HW108" i="55"/>
  <c r="CJ108" i="55"/>
  <c r="CK108" i="55"/>
  <c r="CL108" i="55"/>
  <c r="DL108" i="55" s="1"/>
  <c r="CM108" i="55"/>
  <c r="CN108" i="55"/>
  <c r="CG109" i="55"/>
  <c r="IB60" i="55"/>
  <c r="HZ60" i="55"/>
  <c r="HW60" i="55"/>
  <c r="IA60" i="55"/>
  <c r="CJ60" i="55"/>
  <c r="CK60" i="55"/>
  <c r="CN60" i="55"/>
  <c r="CL60" i="55"/>
  <c r="DL60" i="55" s="1"/>
  <c r="CM60" i="55"/>
  <c r="CG61" i="55"/>
  <c r="FX119" i="55" a="1"/>
  <c r="FX119" i="55" s="1"/>
  <c r="FY119" i="55"/>
  <c r="IK30" i="55"/>
  <c r="GO30" i="55"/>
  <c r="HY96" i="55"/>
  <c r="HX96" i="55"/>
  <c r="EC123" i="55"/>
  <c r="EX123" i="55"/>
  <c r="IK150" i="55"/>
  <c r="GO150" i="55"/>
  <c r="IK70" i="55"/>
  <c r="GO70" i="55"/>
  <c r="IK345" i="55"/>
  <c r="GO345" i="55"/>
  <c r="IK303" i="55"/>
  <c r="GO303" i="55"/>
  <c r="IK41" i="55"/>
  <c r="GO41" i="55"/>
  <c r="JH350" i="55"/>
  <c r="JI350" i="55" s="1"/>
  <c r="GA350" i="55"/>
  <c r="BY350" i="55" s="1"/>
  <c r="FF350" i="55"/>
  <c r="DN350" i="55"/>
  <c r="CQ350" i="55"/>
  <c r="BT350" i="55"/>
  <c r="DI350" i="55"/>
  <c r="H350" i="55" s="1"/>
  <c r="DJ350" i="55" s="1"/>
  <c r="CC350" i="55"/>
  <c r="CD350" i="55"/>
  <c r="DC350" i="55"/>
  <c r="I350" i="55" s="1"/>
  <c r="DD350" i="55" s="1"/>
  <c r="BO350" i="55"/>
  <c r="DB350" i="55"/>
  <c r="BP350" i="55"/>
  <c r="CO350" i="55"/>
  <c r="CP350" i="55" s="1"/>
  <c r="Y350" i="55" s="1"/>
  <c r="P350" i="55"/>
  <c r="FA350" i="55" s="1"/>
  <c r="CA350" i="55"/>
  <c r="JH286" i="55"/>
  <c r="JI286" i="55" s="1"/>
  <c r="GA286" i="55"/>
  <c r="BY286" i="55" s="1"/>
  <c r="DN286" i="55"/>
  <c r="FF286" i="55"/>
  <c r="CQ286" i="55"/>
  <c r="BT286" i="55"/>
  <c r="CC286" i="55"/>
  <c r="DB286" i="55"/>
  <c r="CD286" i="55"/>
  <c r="DC286" i="55"/>
  <c r="I286" i="55" s="1"/>
  <c r="DD286" i="55" s="1"/>
  <c r="DI286" i="55"/>
  <c r="H286" i="55" s="1"/>
  <c r="DJ286" i="55" s="1"/>
  <c r="CA286" i="55"/>
  <c r="CO286" i="55"/>
  <c r="CP286" i="55" s="1"/>
  <c r="Y286" i="55" s="1"/>
  <c r="BP286" i="55"/>
  <c r="BO286" i="55"/>
  <c r="JH238" i="55"/>
  <c r="JI238" i="55" s="1"/>
  <c r="FF238" i="55"/>
  <c r="DN238" i="55"/>
  <c r="DI238" i="55"/>
  <c r="H238" i="55" s="1"/>
  <c r="DJ238" i="55" s="1"/>
  <c r="GA238" i="55"/>
  <c r="BY238" i="55" s="1"/>
  <c r="BT238" i="55"/>
  <c r="CC238" i="55"/>
  <c r="CO238" i="55"/>
  <c r="CP238" i="55" s="1"/>
  <c r="Y238" i="55" s="1"/>
  <c r="DB238" i="55"/>
  <c r="CQ238" i="55"/>
  <c r="BP238" i="55"/>
  <c r="CD238" i="55"/>
  <c r="CA238" i="55"/>
  <c r="DC238" i="55"/>
  <c r="I238" i="55" s="1"/>
  <c r="DD238" i="55" s="1"/>
  <c r="BO238" i="55"/>
  <c r="BW238" i="55"/>
  <c r="P238" i="55"/>
  <c r="FA238" i="55" s="1"/>
  <c r="JH190" i="55"/>
  <c r="JI190" i="55" s="1"/>
  <c r="FF190" i="55"/>
  <c r="DN190" i="55"/>
  <c r="BT190" i="55"/>
  <c r="GA190" i="55"/>
  <c r="BY190" i="55" s="1"/>
  <c r="CC190" i="55"/>
  <c r="DC190" i="55"/>
  <c r="I190" i="55" s="1"/>
  <c r="DD190" i="55" s="1"/>
  <c r="CO190" i="55"/>
  <c r="CP190" i="55" s="1"/>
  <c r="Y190" i="55" s="1"/>
  <c r="DB190" i="55"/>
  <c r="CQ190" i="55"/>
  <c r="DI190" i="55"/>
  <c r="H190" i="55" s="1"/>
  <c r="DJ190" i="55" s="1"/>
  <c r="BP190" i="55"/>
  <c r="CD190" i="55"/>
  <c r="BO190" i="55"/>
  <c r="CA190" i="55"/>
  <c r="BI190" i="55" a="1"/>
  <c r="BI190" i="55" s="1"/>
  <c r="C190" i="55" s="1"/>
  <c r="BJ190" i="55" s="1"/>
  <c r="JH142" i="55"/>
  <c r="JI142" i="55" s="1"/>
  <c r="DN142" i="55"/>
  <c r="GA142" i="55"/>
  <c r="BY142" i="55" s="1"/>
  <c r="BT142" i="55"/>
  <c r="CC142" i="55"/>
  <c r="CQ142" i="55"/>
  <c r="CA142" i="55"/>
  <c r="DI142" i="55"/>
  <c r="H142" i="55" s="1"/>
  <c r="DJ142" i="55" s="1"/>
  <c r="DC142" i="55"/>
  <c r="I142" i="55" s="1"/>
  <c r="DD142" i="55" s="1"/>
  <c r="DB142" i="55"/>
  <c r="CD142" i="55"/>
  <c r="BO142" i="55"/>
  <c r="CO142" i="55"/>
  <c r="CP142" i="55" s="1"/>
  <c r="Y142" i="55" s="1"/>
  <c r="BP142" i="55"/>
  <c r="JH78" i="55"/>
  <c r="JI78" i="55" s="1"/>
  <c r="GA78" i="55"/>
  <c r="BY78" i="55" s="1"/>
  <c r="DN78" i="55"/>
  <c r="DB78" i="55"/>
  <c r="CO78" i="55"/>
  <c r="CP78" i="55" s="1"/>
  <c r="Y78" i="55" s="1"/>
  <c r="BT78" i="55"/>
  <c r="CC78" i="55"/>
  <c r="BP78" i="55"/>
  <c r="DI78" i="55"/>
  <c r="H78" i="55" s="1"/>
  <c r="DJ78" i="55" s="1"/>
  <c r="DC78" i="55"/>
  <c r="I78" i="55" s="1"/>
  <c r="DD78" i="55" s="1"/>
  <c r="CA78" i="55"/>
  <c r="BO78" i="55"/>
  <c r="CQ78" i="55"/>
  <c r="CD78" i="55"/>
  <c r="JH30" i="55"/>
  <c r="JI30" i="55" s="1"/>
  <c r="DN30" i="55"/>
  <c r="DB30" i="55"/>
  <c r="FF30" i="55"/>
  <c r="CQ30" i="55"/>
  <c r="BT30" i="55"/>
  <c r="CC30" i="55"/>
  <c r="CD30" i="55"/>
  <c r="GA30" i="55"/>
  <c r="BY30" i="55" s="1"/>
  <c r="DI30" i="55"/>
  <c r="H30" i="55" s="1"/>
  <c r="DJ30" i="55" s="1"/>
  <c r="CO30" i="55"/>
  <c r="CP30" i="55" s="1"/>
  <c r="Y30" i="55" s="1"/>
  <c r="CA30" i="55"/>
  <c r="BP30" i="55"/>
  <c r="BO30" i="55"/>
  <c r="DC30" i="55"/>
  <c r="I30" i="55" s="1"/>
  <c r="DD30" i="55" s="1"/>
  <c r="P30" i="55"/>
  <c r="FA30" i="55" s="1"/>
  <c r="BI30" i="55" a="1"/>
  <c r="BI30" i="55" s="1"/>
  <c r="BF348" i="55"/>
  <c r="BG348" i="55" s="1"/>
  <c r="BE348" i="55"/>
  <c r="BE316" i="55"/>
  <c r="P316" i="55" s="1"/>
  <c r="FA316" i="55" s="1"/>
  <c r="BF316" i="55"/>
  <c r="BG316" i="55" s="1"/>
  <c r="BI316" i="55" s="1" a="1"/>
  <c r="BI316" i="55" s="1"/>
  <c r="BF268" i="55"/>
  <c r="BG268" i="55" s="1"/>
  <c r="BI268" i="55" s="1" a="1"/>
  <c r="BI268" i="55" s="1"/>
  <c r="BE268" i="55"/>
  <c r="BF220" i="55"/>
  <c r="BG220" i="55" s="1"/>
  <c r="BI220" i="55" s="1" a="1"/>
  <c r="BI220" i="55" s="1"/>
  <c r="BE220" i="55"/>
  <c r="BE188" i="55"/>
  <c r="P188" i="55" s="1"/>
  <c r="FA188" i="55" s="1"/>
  <c r="BF188" i="55"/>
  <c r="BG188" i="55" s="1"/>
  <c r="BI188" i="55" s="1" a="1"/>
  <c r="BI188" i="55" s="1"/>
  <c r="C188" i="55" s="1"/>
  <c r="BJ188" i="55" s="1"/>
  <c r="BF108" i="55"/>
  <c r="BG108" i="55" s="1"/>
  <c r="BE108" i="55"/>
  <c r="BF44" i="55"/>
  <c r="BG44" i="55" s="1"/>
  <c r="BI44" i="55" s="1" a="1"/>
  <c r="BI44" i="55" s="1"/>
  <c r="C44" i="55" s="1"/>
  <c r="BJ44" i="55" s="1"/>
  <c r="BE44" i="55"/>
  <c r="P44" i="55" s="1"/>
  <c r="GJ340" i="55"/>
  <c r="BN340" i="55"/>
  <c r="GP340" i="55" s="1"/>
  <c r="S340" i="55"/>
  <c r="GJ292" i="55"/>
  <c r="BN292" i="55"/>
  <c r="GP292" i="55" s="1"/>
  <c r="GJ244" i="55"/>
  <c r="BN244" i="55"/>
  <c r="GJ164" i="55"/>
  <c r="GP164" i="55"/>
  <c r="BN164" i="55"/>
  <c r="S164" i="55"/>
  <c r="GJ116" i="55"/>
  <c r="BN116" i="55"/>
  <c r="GP116" i="55" s="1"/>
  <c r="S116" i="55"/>
  <c r="GQ52" i="55"/>
  <c r="GJ52" i="55"/>
  <c r="BN52" i="55"/>
  <c r="GP52" i="55" s="1"/>
  <c r="GT52" i="55" s="1"/>
  <c r="S52" i="55"/>
  <c r="GJ4" i="55"/>
  <c r="BN4" i="55"/>
  <c r="S4" i="55"/>
  <c r="IB300" i="55"/>
  <c r="IA300" i="55"/>
  <c r="HZ300" i="55"/>
  <c r="HW300" i="55"/>
  <c r="CJ300" i="55"/>
  <c r="CK300" i="55"/>
  <c r="CL300" i="55"/>
  <c r="DL300" i="55" s="1"/>
  <c r="CM300" i="55"/>
  <c r="CN300" i="55"/>
  <c r="CG301" i="55"/>
  <c r="IB236" i="55"/>
  <c r="IA236" i="55"/>
  <c r="HW236" i="55"/>
  <c r="HZ236" i="55"/>
  <c r="CJ236" i="55"/>
  <c r="CK236" i="55"/>
  <c r="CL236" i="55"/>
  <c r="DL236" i="55" s="1"/>
  <c r="CM236" i="55"/>
  <c r="CN236" i="55"/>
  <c r="IB188" i="55"/>
  <c r="HZ188" i="55"/>
  <c r="HW188" i="55"/>
  <c r="IA188" i="55"/>
  <c r="CJ188" i="55"/>
  <c r="CK188" i="55"/>
  <c r="CN188" i="55"/>
  <c r="CL188" i="55"/>
  <c r="DL188" i="55" s="1"/>
  <c r="CG189" i="55"/>
  <c r="CM188" i="55"/>
  <c r="IB124" i="55"/>
  <c r="HZ124" i="55"/>
  <c r="HW124" i="55"/>
  <c r="CJ124" i="55"/>
  <c r="CK124" i="55"/>
  <c r="CN124" i="55"/>
  <c r="CL124" i="55"/>
  <c r="IA124" i="55"/>
  <c r="CM124" i="55"/>
  <c r="CG125" i="55"/>
  <c r="IB44" i="55"/>
  <c r="IA44" i="55"/>
  <c r="HW44" i="55"/>
  <c r="HZ44" i="55"/>
  <c r="CJ44" i="55"/>
  <c r="CK44" i="55"/>
  <c r="CL44" i="55"/>
  <c r="DL44" i="55" s="1"/>
  <c r="CN44" i="55"/>
  <c r="CG45" i="55"/>
  <c r="CM44" i="55"/>
  <c r="IK344" i="55"/>
  <c r="GO344" i="55"/>
  <c r="GO324" i="55"/>
  <c r="IK324" i="55"/>
  <c r="IK61" i="55"/>
  <c r="GO61" i="55"/>
  <c r="IK10" i="55"/>
  <c r="GO10" i="55"/>
  <c r="FB43" i="55"/>
  <c r="FA43" i="55"/>
  <c r="GP197" i="55"/>
  <c r="S197" i="55"/>
  <c r="FY115" i="55"/>
  <c r="FX115" i="55" a="1"/>
  <c r="FX115" i="55" s="1"/>
  <c r="FA337" i="55"/>
  <c r="EL337" i="55"/>
  <c r="FA241" i="55"/>
  <c r="FB241" i="55"/>
  <c r="FA192" i="55"/>
  <c r="IK169" i="55"/>
  <c r="GO169" i="55"/>
  <c r="IK149" i="55"/>
  <c r="GO149" i="55"/>
  <c r="IK129" i="55"/>
  <c r="GO129" i="55"/>
  <c r="IK58" i="55"/>
  <c r="GO58" i="55"/>
  <c r="IK48" i="55"/>
  <c r="GO48" i="55"/>
  <c r="BF172" i="55"/>
  <c r="BG172" i="55" s="1"/>
  <c r="BF140" i="55"/>
  <c r="BG140" i="55" s="1"/>
  <c r="FG345" i="55"/>
  <c r="CE345" i="55" s="1" a="1"/>
  <c r="CE345" i="55" s="1"/>
  <c r="EK345" i="55" s="1"/>
  <c r="BW345" i="55"/>
  <c r="BI345" i="55" a="1"/>
  <c r="BI345" i="55" s="1"/>
  <c r="C345" i="55" s="1"/>
  <c r="BJ345" i="55" s="1"/>
  <c r="BS345" i="55"/>
  <c r="FG329" i="55"/>
  <c r="BW329" i="55"/>
  <c r="BS329" i="55"/>
  <c r="GL329" i="55" s="1"/>
  <c r="FG313" i="55"/>
  <c r="BW313" i="55"/>
  <c r="BW297" i="55"/>
  <c r="FG297" i="55"/>
  <c r="BS297" i="55"/>
  <c r="GL297" i="55" s="1"/>
  <c r="BW281" i="55"/>
  <c r="BS281" i="55"/>
  <c r="GL281" i="55" s="1"/>
  <c r="FG281" i="55"/>
  <c r="FG265" i="55"/>
  <c r="BW265" i="55"/>
  <c r="BS265" i="55"/>
  <c r="GL265" i="55" s="1"/>
  <c r="BI265" i="55" a="1"/>
  <c r="BI265" i="55" s="1"/>
  <c r="BW249" i="55"/>
  <c r="FG249" i="55"/>
  <c r="BS249" i="55"/>
  <c r="GL249" i="55" s="1"/>
  <c r="BI249" i="55" a="1"/>
  <c r="BI249" i="55" s="1"/>
  <c r="C249" i="55" s="1"/>
  <c r="BJ249" i="55" s="1"/>
  <c r="FG233" i="55"/>
  <c r="BW233" i="55"/>
  <c r="BS233" i="55"/>
  <c r="GL233" i="55" s="1"/>
  <c r="BW217" i="55"/>
  <c r="BI217" i="55" a="1"/>
  <c r="BI217" i="55" s="1"/>
  <c r="C217" i="55" s="1"/>
  <c r="BJ217" i="55" s="1"/>
  <c r="FG217" i="55"/>
  <c r="BS217" i="55"/>
  <c r="GL217" i="55" s="1"/>
  <c r="FG201" i="55"/>
  <c r="BW201" i="55"/>
  <c r="BS201" i="55"/>
  <c r="BQ201" i="55"/>
  <c r="FG185" i="55"/>
  <c r="BW185" i="55"/>
  <c r="BS185" i="55"/>
  <c r="GL185" i="55" s="1"/>
  <c r="BW169" i="55"/>
  <c r="FG169" i="55"/>
  <c r="BI169" i="55" a="1"/>
  <c r="BI169" i="55" s="1"/>
  <c r="C169" i="55" s="1"/>
  <c r="BJ169" i="55" s="1"/>
  <c r="BS169" i="55"/>
  <c r="GL169" i="55" s="1"/>
  <c r="BW153" i="55"/>
  <c r="BI153" i="55" a="1"/>
  <c r="BI153" i="55" s="1"/>
  <c r="FG153" i="55"/>
  <c r="BS153" i="55"/>
  <c r="GL153" i="55" s="1"/>
  <c r="FG137" i="55"/>
  <c r="BW137" i="55"/>
  <c r="BS137" i="55"/>
  <c r="GL137" i="55" s="1"/>
  <c r="FG121" i="55"/>
  <c r="BW121" i="55"/>
  <c r="BS121" i="55"/>
  <c r="GL121" i="55" s="1"/>
  <c r="BI121" i="55" a="1"/>
  <c r="BI121" i="55" s="1"/>
  <c r="BW105" i="55"/>
  <c r="FG105" i="55"/>
  <c r="BS105" i="55"/>
  <c r="GL105" i="55" s="1"/>
  <c r="FG89" i="55"/>
  <c r="BW89" i="55"/>
  <c r="BI89" i="55" a="1"/>
  <c r="BI89" i="55" s="1"/>
  <c r="BS89" i="55"/>
  <c r="GL89" i="55" s="1"/>
  <c r="FG73" i="55"/>
  <c r="BW73" i="55"/>
  <c r="BS73" i="55"/>
  <c r="GL73" i="55" s="1"/>
  <c r="FG57" i="55"/>
  <c r="BW57" i="55"/>
  <c r="BI57" i="55" a="1"/>
  <c r="BI57" i="55" s="1"/>
  <c r="BS57" i="55"/>
  <c r="GL57" i="55" s="1"/>
  <c r="BW41" i="55"/>
  <c r="BS41" i="55"/>
  <c r="GL41" i="55" s="1"/>
  <c r="FG41" i="55"/>
  <c r="FG25" i="55"/>
  <c r="BW25" i="55"/>
  <c r="Z25" i="55" s="1"/>
  <c r="BX25" i="55" s="1"/>
  <c r="BI25" i="55" a="1"/>
  <c r="BI25" i="55" s="1"/>
  <c r="C25" i="55" s="1"/>
  <c r="BJ25" i="55" s="1"/>
  <c r="FG9" i="55"/>
  <c r="BW9" i="55"/>
  <c r="BI9" i="55" a="1"/>
  <c r="BI9" i="55" s="1"/>
  <c r="GD340" i="55"/>
  <c r="GG340" i="55"/>
  <c r="HY287" i="55"/>
  <c r="HX287" i="55"/>
  <c r="EL287" i="55"/>
  <c r="HY245" i="55"/>
  <c r="HX245" i="55"/>
  <c r="HY208" i="55"/>
  <c r="HX208" i="55"/>
  <c r="FB45" i="55"/>
  <c r="FA45" i="55"/>
  <c r="JH334" i="55"/>
  <c r="JI334" i="55" s="1"/>
  <c r="GA334" i="55"/>
  <c r="BY334" i="55" s="1"/>
  <c r="DN334" i="55"/>
  <c r="BT334" i="55"/>
  <c r="CC334" i="55"/>
  <c r="BP334" i="55"/>
  <c r="DI334" i="55"/>
  <c r="H334" i="55" s="1"/>
  <c r="DJ334" i="55" s="1"/>
  <c r="DB334" i="55"/>
  <c r="CO334" i="55"/>
  <c r="CP334" i="55" s="1"/>
  <c r="Y334" i="55" s="1"/>
  <c r="DC334" i="55"/>
  <c r="I334" i="55" s="1"/>
  <c r="DD334" i="55" s="1"/>
  <c r="CQ334" i="55"/>
  <c r="CA334" i="55"/>
  <c r="BI334" i="55" a="1"/>
  <c r="BI334" i="55" s="1"/>
  <c r="BW334" i="55"/>
  <c r="BO334" i="55"/>
  <c r="CD334" i="55"/>
  <c r="JH270" i="55"/>
  <c r="JI270" i="55" s="1"/>
  <c r="DN270" i="55"/>
  <c r="FF270" i="55"/>
  <c r="DC270" i="55"/>
  <c r="I270" i="55" s="1"/>
  <c r="DD270" i="55" s="1"/>
  <c r="BT270" i="55"/>
  <c r="CC270" i="55"/>
  <c r="DB270" i="55"/>
  <c r="DI270" i="55"/>
  <c r="H270" i="55" s="1"/>
  <c r="DJ270" i="55" s="1"/>
  <c r="BO270" i="55"/>
  <c r="CQ270" i="55"/>
  <c r="BP270" i="55"/>
  <c r="GA270" i="55"/>
  <c r="BY270" i="55"/>
  <c r="BI270" i="55" a="1"/>
  <c r="BI270" i="55" s="1"/>
  <c r="CD270" i="55"/>
  <c r="CO270" i="55"/>
  <c r="CP270" i="55" s="1"/>
  <c r="Y270" i="55" s="1"/>
  <c r="CA270" i="55"/>
  <c r="JH206" i="55"/>
  <c r="JI206" i="55" s="1"/>
  <c r="DN206" i="55"/>
  <c r="BT206" i="55"/>
  <c r="DI206" i="55"/>
  <c r="H206" i="55" s="1"/>
  <c r="DJ206" i="55" s="1"/>
  <c r="FF206" i="55"/>
  <c r="CC206" i="55"/>
  <c r="DC206" i="55"/>
  <c r="I206" i="55" s="1"/>
  <c r="DD206" i="55" s="1"/>
  <c r="CQ206" i="55"/>
  <c r="GA206" i="55"/>
  <c r="BY206" i="55" s="1"/>
  <c r="BP206" i="55"/>
  <c r="DB206" i="55"/>
  <c r="CA206" i="55"/>
  <c r="BO206" i="55"/>
  <c r="BQ206" i="55" s="1"/>
  <c r="BW206" i="55"/>
  <c r="CO206" i="55"/>
  <c r="CP206" i="55" s="1"/>
  <c r="Y206" i="55" s="1"/>
  <c r="JH94" i="55"/>
  <c r="JI94" i="55" s="1"/>
  <c r="DN94" i="55"/>
  <c r="DB94" i="55"/>
  <c r="GA94" i="55"/>
  <c r="CQ94" i="55"/>
  <c r="BT94" i="55"/>
  <c r="DI94" i="55"/>
  <c r="H94" i="55" s="1"/>
  <c r="DJ94" i="55" s="1"/>
  <c r="CC94" i="55"/>
  <c r="CD94" i="55"/>
  <c r="DC94" i="55"/>
  <c r="I94" i="55" s="1"/>
  <c r="DD94" i="55" s="1"/>
  <c r="BO94" i="55"/>
  <c r="BQ94" i="55" s="1"/>
  <c r="CO94" i="55"/>
  <c r="CP94" i="55" s="1"/>
  <c r="Y94" i="55" s="1"/>
  <c r="BY94" i="55"/>
  <c r="BP94" i="55"/>
  <c r="CA94" i="55"/>
  <c r="GJ212" i="55"/>
  <c r="BN212" i="55"/>
  <c r="GP212" i="55" s="1"/>
  <c r="IB316" i="55"/>
  <c r="HZ316" i="55"/>
  <c r="IA316" i="55"/>
  <c r="HW316" i="55"/>
  <c r="CJ316" i="55"/>
  <c r="CK316" i="55"/>
  <c r="CN316" i="55"/>
  <c r="CL316" i="55"/>
  <c r="CG317" i="55"/>
  <c r="CM316" i="55"/>
  <c r="IB252" i="55"/>
  <c r="HZ252" i="55"/>
  <c r="HW252" i="55"/>
  <c r="IA252" i="55"/>
  <c r="CJ252" i="55"/>
  <c r="CK252" i="55"/>
  <c r="CN252" i="55"/>
  <c r="CL252" i="55"/>
  <c r="DL252" i="55" s="1"/>
  <c r="CM252" i="55"/>
  <c r="CG253" i="55"/>
  <c r="IB172" i="55"/>
  <c r="V172" i="55" s="1"/>
  <c r="IA172" i="55"/>
  <c r="HZ172" i="55"/>
  <c r="HW172" i="55"/>
  <c r="CJ172" i="55"/>
  <c r="CK172" i="55"/>
  <c r="CL172" i="55"/>
  <c r="CM172" i="55"/>
  <c r="CN172" i="55"/>
  <c r="CG173" i="55"/>
  <c r="IB92" i="55"/>
  <c r="IA92" i="55"/>
  <c r="HW92" i="55"/>
  <c r="HZ92" i="55"/>
  <c r="CJ92" i="55"/>
  <c r="CK92" i="55"/>
  <c r="CM92" i="55"/>
  <c r="CN92" i="55"/>
  <c r="CG93" i="55"/>
  <c r="CL92" i="55"/>
  <c r="DL92" i="55" s="1"/>
  <c r="IB28" i="55"/>
  <c r="HW28" i="55"/>
  <c r="IA28" i="55"/>
  <c r="HZ28" i="55"/>
  <c r="CJ28" i="55"/>
  <c r="CK28" i="55"/>
  <c r="CM28" i="55"/>
  <c r="CG29" i="55"/>
  <c r="CN28" i="55"/>
  <c r="CL28" i="55"/>
  <c r="JW282" i="55"/>
  <c r="DS282" i="55"/>
  <c r="GB282" i="55"/>
  <c r="GC282" i="55" s="1"/>
  <c r="GG278" i="55"/>
  <c r="GD278" i="55"/>
  <c r="HY16" i="55"/>
  <c r="HX16" i="55"/>
  <c r="IK59" i="55"/>
  <c r="GO59" i="55"/>
  <c r="IK49" i="55"/>
  <c r="GO49" i="55"/>
  <c r="P334" i="55"/>
  <c r="FA334" i="55" s="1"/>
  <c r="GO189" i="55"/>
  <c r="IK189" i="55"/>
  <c r="IK148" i="55"/>
  <c r="GO148" i="55"/>
  <c r="IK138" i="55"/>
  <c r="GO138" i="55"/>
  <c r="IK118" i="55"/>
  <c r="GO118" i="55"/>
  <c r="IK89" i="55"/>
  <c r="GO89" i="55"/>
  <c r="IK47" i="55"/>
  <c r="GO47" i="55"/>
  <c r="FG344" i="55"/>
  <c r="BW344" i="55"/>
  <c r="BS344" i="55"/>
  <c r="BI344" i="55" a="1"/>
  <c r="BI344" i="55" s="1"/>
  <c r="C344" i="55" s="1"/>
  <c r="BJ344" i="55" s="1"/>
  <c r="FG328" i="55"/>
  <c r="BW328" i="55"/>
  <c r="BI328" i="55" a="1"/>
  <c r="BI328" i="55" s="1"/>
  <c r="C328" i="55" s="1"/>
  <c r="BJ328" i="55" s="1"/>
  <c r="BS328" i="55"/>
  <c r="GL328" i="55" s="1"/>
  <c r="FG312" i="55"/>
  <c r="BW312" i="55"/>
  <c r="BS312" i="55"/>
  <c r="GL312" i="55" s="1"/>
  <c r="BQ312" i="55"/>
  <c r="FG296" i="55"/>
  <c r="BW296" i="55"/>
  <c r="BI296" i="55" a="1"/>
  <c r="BI296" i="55" s="1"/>
  <c r="C296" i="55" s="1"/>
  <c r="BJ296" i="55" s="1"/>
  <c r="BS296" i="55"/>
  <c r="GL296" i="55" s="1"/>
  <c r="FG280" i="55"/>
  <c r="BW280" i="55"/>
  <c r="FG264" i="55"/>
  <c r="BW264" i="55"/>
  <c r="BS264" i="55"/>
  <c r="GL264" i="55" s="1"/>
  <c r="FG248" i="55"/>
  <c r="BW248" i="55"/>
  <c r="BI248" i="55" a="1"/>
  <c r="BI248" i="55" s="1"/>
  <c r="C248" i="55" s="1"/>
  <c r="BJ248" i="55" s="1"/>
  <c r="FG232" i="55"/>
  <c r="BW232" i="55"/>
  <c r="BI232" i="55" a="1"/>
  <c r="BI232" i="55" s="1"/>
  <c r="CE232" i="55" a="1"/>
  <c r="CE232" i="55" s="1"/>
  <c r="EK232" i="55" s="1"/>
  <c r="BS232" i="55"/>
  <c r="BW216" i="55"/>
  <c r="FG216" i="55"/>
  <c r="BS216" i="55"/>
  <c r="GL216" i="55" s="1"/>
  <c r="FG200" i="55"/>
  <c r="BW200" i="55"/>
  <c r="BS200" i="55"/>
  <c r="GL200" i="55" s="1"/>
  <c r="BI200" i="55" a="1"/>
  <c r="BI200" i="55" s="1"/>
  <c r="FG184" i="55"/>
  <c r="BW184" i="55"/>
  <c r="FG168" i="55"/>
  <c r="BW168" i="55"/>
  <c r="BS168" i="55"/>
  <c r="GL168" i="55" s="1"/>
  <c r="BW152" i="55"/>
  <c r="BS152" i="55"/>
  <c r="GL152" i="55" s="1"/>
  <c r="FG152" i="55"/>
  <c r="GG93" i="55"/>
  <c r="GD93" i="55"/>
  <c r="HY286" i="55"/>
  <c r="HX286" i="55"/>
  <c r="HX244" i="55"/>
  <c r="HY244" i="55"/>
  <c r="CA244" i="55"/>
  <c r="CD206" i="55"/>
  <c r="JH318" i="55"/>
  <c r="JI318" i="55" s="1"/>
  <c r="GA318" i="55"/>
  <c r="BY318" i="55" s="1"/>
  <c r="DN318" i="55"/>
  <c r="BT318" i="55"/>
  <c r="DI318" i="55"/>
  <c r="H318" i="55" s="1"/>
  <c r="DJ318" i="55" s="1"/>
  <c r="CC318" i="55"/>
  <c r="CQ318" i="55"/>
  <c r="CO318" i="55"/>
  <c r="CP318" i="55" s="1"/>
  <c r="Y318" i="55" s="1"/>
  <c r="DC318" i="55"/>
  <c r="I318" i="55" s="1"/>
  <c r="DD318" i="55" s="1"/>
  <c r="DB318" i="55"/>
  <c r="BO318" i="55"/>
  <c r="CD318" i="55"/>
  <c r="BP318" i="55"/>
  <c r="CA318" i="55"/>
  <c r="BW318" i="55"/>
  <c r="JH222" i="55"/>
  <c r="JI222" i="55" s="1"/>
  <c r="GA222" i="55"/>
  <c r="BY222" i="55" s="1"/>
  <c r="FF222" i="55"/>
  <c r="DN222" i="55"/>
  <c r="CQ222" i="55"/>
  <c r="BT222" i="55"/>
  <c r="DB222" i="55"/>
  <c r="CC222" i="55"/>
  <c r="CD222" i="55"/>
  <c r="DI222" i="55"/>
  <c r="H222" i="55" s="1"/>
  <c r="DJ222" i="55" s="1"/>
  <c r="BO222" i="55"/>
  <c r="CO222" i="55"/>
  <c r="CP222" i="55" s="1"/>
  <c r="Y222" i="55" s="1"/>
  <c r="CA222" i="55"/>
  <c r="DC222" i="55"/>
  <c r="I222" i="55" s="1"/>
  <c r="DD222" i="55" s="1"/>
  <c r="BP222" i="55"/>
  <c r="P222" i="55"/>
  <c r="FA222" i="55" s="1"/>
  <c r="JH158" i="55"/>
  <c r="JI158" i="55" s="1"/>
  <c r="GA158" i="55"/>
  <c r="BY158" i="55" s="1"/>
  <c r="DN158" i="55"/>
  <c r="FF158" i="55"/>
  <c r="CQ158" i="55"/>
  <c r="BT158" i="55"/>
  <c r="DB158" i="55"/>
  <c r="CC158" i="55"/>
  <c r="DC158" i="55"/>
  <c r="I158" i="55" s="1"/>
  <c r="DD158" i="55" s="1"/>
  <c r="CD158" i="55"/>
  <c r="DI158" i="55"/>
  <c r="H158" i="55" s="1"/>
  <c r="DJ158" i="55" s="1"/>
  <c r="CO158" i="55"/>
  <c r="CP158" i="55" s="1"/>
  <c r="Y158" i="55" s="1"/>
  <c r="BO158" i="55"/>
  <c r="BP158" i="55"/>
  <c r="CA158" i="55"/>
  <c r="JH110" i="55"/>
  <c r="JI110" i="55" s="1"/>
  <c r="GA110" i="55"/>
  <c r="BY110" i="55" s="1"/>
  <c r="DN110" i="55"/>
  <c r="DB110" i="55"/>
  <c r="DI110" i="55"/>
  <c r="H110" i="55" s="1"/>
  <c r="DJ110" i="55" s="1"/>
  <c r="BT110" i="55"/>
  <c r="CC110" i="55"/>
  <c r="CO110" i="55"/>
  <c r="CP110" i="55" s="1"/>
  <c r="Y110" i="55" s="1"/>
  <c r="CQ110" i="55"/>
  <c r="DC110" i="55"/>
  <c r="I110" i="55" s="1"/>
  <c r="DD110" i="55" s="1"/>
  <c r="BP110" i="55"/>
  <c r="BW110" i="55"/>
  <c r="CA110" i="55"/>
  <c r="CD110" i="55"/>
  <c r="BO110" i="55"/>
  <c r="JH46" i="55"/>
  <c r="JI46" i="55" s="1"/>
  <c r="DN46" i="55"/>
  <c r="DB46" i="55"/>
  <c r="DI46" i="55"/>
  <c r="H46" i="55" s="1"/>
  <c r="DJ46" i="55" s="1"/>
  <c r="GA46" i="55"/>
  <c r="BY46" i="55" s="1"/>
  <c r="BT46" i="55"/>
  <c r="CC46" i="55"/>
  <c r="DC46" i="55"/>
  <c r="I46" i="55" s="1"/>
  <c r="DD46" i="55" s="1"/>
  <c r="FF46" i="55"/>
  <c r="CO46" i="55"/>
  <c r="CP46" i="55" s="1"/>
  <c r="Y46" i="55" s="1"/>
  <c r="CQ46" i="55"/>
  <c r="BO46" i="55"/>
  <c r="CA46" i="55"/>
  <c r="BP46" i="55"/>
  <c r="CD46" i="55"/>
  <c r="BF124" i="55"/>
  <c r="BG124" i="55" s="1"/>
  <c r="BI124" i="55" s="1" a="1"/>
  <c r="BI124" i="55" s="1"/>
  <c r="BE124" i="55"/>
  <c r="P124" i="55" s="1"/>
  <c r="FA124" i="55" s="1"/>
  <c r="BE76" i="55"/>
  <c r="P76" i="55" s="1"/>
  <c r="FA76" i="55" s="1"/>
  <c r="BF76" i="55"/>
  <c r="BG76" i="55" s="1"/>
  <c r="BI76" i="55" s="1" a="1"/>
  <c r="BI76" i="55" s="1"/>
  <c r="BF28" i="55"/>
  <c r="BG28" i="55" s="1"/>
  <c r="BE28" i="55"/>
  <c r="P28" i="55" s="1"/>
  <c r="GJ308" i="55"/>
  <c r="GP308" i="55"/>
  <c r="S308" i="55"/>
  <c r="GJ260" i="55"/>
  <c r="BN260" i="55"/>
  <c r="GP260" i="55" s="1"/>
  <c r="S260" i="55"/>
  <c r="GJ196" i="55"/>
  <c r="BN196" i="55"/>
  <c r="GP196" i="55" s="1"/>
  <c r="S196" i="55"/>
  <c r="GJ148" i="55"/>
  <c r="BN148" i="55"/>
  <c r="GP148" i="55" s="1"/>
  <c r="GJ84" i="55"/>
  <c r="BN84" i="55"/>
  <c r="S84" i="55" s="1"/>
  <c r="GJ20" i="55"/>
  <c r="BN20" i="55"/>
  <c r="GP20" i="55" s="1"/>
  <c r="IB332" i="55"/>
  <c r="HW332" i="55"/>
  <c r="IA332" i="55"/>
  <c r="HZ332" i="55"/>
  <c r="CJ332" i="55"/>
  <c r="CK332" i="55"/>
  <c r="CG333" i="55"/>
  <c r="CN332" i="55"/>
  <c r="CM332" i="55"/>
  <c r="CL332" i="55"/>
  <c r="DL332" i="55" s="1"/>
  <c r="IB268" i="55"/>
  <c r="HW268" i="55"/>
  <c r="IA268" i="55"/>
  <c r="CJ268" i="55"/>
  <c r="CK268" i="55"/>
  <c r="HZ268" i="55"/>
  <c r="CG269" i="55"/>
  <c r="CN268" i="55"/>
  <c r="CL268" i="55"/>
  <c r="CM268" i="55"/>
  <c r="IB204" i="55"/>
  <c r="IA204" i="55"/>
  <c r="HW204" i="55"/>
  <c r="HZ204" i="55"/>
  <c r="CJ204" i="55"/>
  <c r="CK204" i="55"/>
  <c r="CG205" i="55"/>
  <c r="CN204" i="55"/>
  <c r="CL204" i="55"/>
  <c r="CM204" i="55"/>
  <c r="IB140" i="55"/>
  <c r="HW140" i="55"/>
  <c r="IA140" i="55"/>
  <c r="HZ140" i="55"/>
  <c r="CJ140" i="55"/>
  <c r="CK140" i="55"/>
  <c r="CG141" i="55"/>
  <c r="CN140" i="55"/>
  <c r="CL140" i="55"/>
  <c r="CM140" i="55"/>
  <c r="IB76" i="55"/>
  <c r="IA76" i="55"/>
  <c r="HZ76" i="55"/>
  <c r="HW76" i="55"/>
  <c r="CJ76" i="55"/>
  <c r="CK76" i="55"/>
  <c r="CG77" i="55"/>
  <c r="CN76" i="55"/>
  <c r="CL76" i="55"/>
  <c r="DL76" i="55" s="1"/>
  <c r="CM76" i="55"/>
  <c r="IB12" i="55"/>
  <c r="HW12" i="55"/>
  <c r="IA12" i="55"/>
  <c r="HZ12" i="55"/>
  <c r="CJ12" i="55"/>
  <c r="CK12" i="55"/>
  <c r="CG13" i="55"/>
  <c r="CN12" i="55"/>
  <c r="CM12" i="55"/>
  <c r="CL12" i="55"/>
  <c r="DL12" i="55" s="1"/>
  <c r="FA155" i="55"/>
  <c r="FB155" i="55"/>
  <c r="IK334" i="55"/>
  <c r="GO334" i="55"/>
  <c r="IK20" i="55"/>
  <c r="GO20" i="55"/>
  <c r="HY17" i="55"/>
  <c r="HX17" i="55"/>
  <c r="EL17" i="55"/>
  <c r="IK343" i="55"/>
  <c r="GO343" i="55"/>
  <c r="IK39" i="55"/>
  <c r="GO39" i="55"/>
  <c r="IK19" i="55"/>
  <c r="GO19" i="55"/>
  <c r="HX57" i="55"/>
  <c r="HY57" i="55"/>
  <c r="EL57" i="55"/>
  <c r="CQ14" i="55"/>
  <c r="FA74" i="55"/>
  <c r="FB74" i="55"/>
  <c r="P190" i="55"/>
  <c r="FA190" i="55" s="1"/>
  <c r="IK147" i="55"/>
  <c r="GO147" i="55"/>
  <c r="IK117" i="55"/>
  <c r="GO117" i="55"/>
  <c r="IK88" i="55"/>
  <c r="GO88" i="55"/>
  <c r="IK68" i="55"/>
  <c r="GO68" i="55"/>
  <c r="GG199" i="55"/>
  <c r="GD199" i="55"/>
  <c r="FB261" i="55"/>
  <c r="FA261" i="55"/>
  <c r="BI167" i="55" a="1"/>
  <c r="BI167" i="55" s="1"/>
  <c r="C167" i="55" s="1"/>
  <c r="BJ167" i="55" s="1"/>
  <c r="GG327" i="55"/>
  <c r="GD327" i="55"/>
  <c r="GG92" i="55"/>
  <c r="GD92" i="55"/>
  <c r="HX342" i="55"/>
  <c r="HY342" i="55"/>
  <c r="HX326" i="55"/>
  <c r="HY326" i="55"/>
  <c r="HX310" i="55"/>
  <c r="HY310" i="55"/>
  <c r="HX294" i="55"/>
  <c r="HY294" i="55"/>
  <c r="HX278" i="55"/>
  <c r="HY278" i="55"/>
  <c r="EL278" i="55"/>
  <c r="HX262" i="55"/>
  <c r="EL262" i="55"/>
  <c r="HY262" i="55"/>
  <c r="HX246" i="55"/>
  <c r="HY246" i="55"/>
  <c r="HX230" i="55"/>
  <c r="HY230" i="55"/>
  <c r="HX214" i="55"/>
  <c r="HY214" i="55"/>
  <c r="HX198" i="55"/>
  <c r="HY198" i="55"/>
  <c r="HX182" i="55"/>
  <c r="HY182" i="55"/>
  <c r="HX166" i="55"/>
  <c r="HY166" i="55"/>
  <c r="HX150" i="55"/>
  <c r="HY150" i="55"/>
  <c r="HX134" i="55"/>
  <c r="HY134" i="55"/>
  <c r="HX118" i="55"/>
  <c r="HY118" i="55"/>
  <c r="HX102" i="55"/>
  <c r="HY102" i="55"/>
  <c r="CA102" i="55"/>
  <c r="HX86" i="55"/>
  <c r="HY86" i="55"/>
  <c r="HX70" i="55"/>
  <c r="HY70" i="55"/>
  <c r="EL70" i="55"/>
  <c r="HX54" i="55"/>
  <c r="HY54" i="55"/>
  <c r="HX38" i="55"/>
  <c r="HY38" i="55"/>
  <c r="HY21" i="55"/>
  <c r="HX21" i="55"/>
  <c r="HX313" i="55"/>
  <c r="HY313" i="55"/>
  <c r="EL313" i="55"/>
  <c r="HY241" i="55"/>
  <c r="HX241" i="55"/>
  <c r="EL241" i="55"/>
  <c r="DE63" i="55" a="1"/>
  <c r="DE63" i="55" s="1"/>
  <c r="GY204" i="55"/>
  <c r="BW104" i="55"/>
  <c r="FG104" i="55"/>
  <c r="BS104" i="55"/>
  <c r="GL104" i="55" s="1"/>
  <c r="FG40" i="55"/>
  <c r="BW40" i="55"/>
  <c r="BI40" i="55" a="1"/>
  <c r="BI40" i="55" s="1"/>
  <c r="C40" i="55" s="1"/>
  <c r="BJ40" i="55" s="1"/>
  <c r="BS40" i="55"/>
  <c r="GL40" i="55" s="1"/>
  <c r="BN291" i="55"/>
  <c r="S291" i="55" s="1"/>
  <c r="GJ291" i="55"/>
  <c r="GJ227" i="55"/>
  <c r="BN227" i="55"/>
  <c r="GP227" i="55" s="1"/>
  <c r="GJ163" i="55"/>
  <c r="BN163" i="55"/>
  <c r="GP163" i="55" s="1"/>
  <c r="GJ99" i="55"/>
  <c r="BN99" i="55"/>
  <c r="GP99" i="55" s="1"/>
  <c r="S99" i="55"/>
  <c r="D3" i="40" a="1"/>
  <c r="D3" i="40" s="1"/>
  <c r="BV3" i="40" a="1"/>
  <c r="BV3" i="40" s="1"/>
  <c r="R3" i="40" a="1"/>
  <c r="R3" i="40" s="1"/>
  <c r="BL3" i="40" a="1"/>
  <c r="BL3" i="40" s="1"/>
  <c r="BE3" i="40" a="1"/>
  <c r="BE3" i="40" s="1"/>
  <c r="N3" i="40" a="1"/>
  <c r="N3" i="40" s="1"/>
  <c r="B3" i="40" a="1"/>
  <c r="B3" i="40" s="1"/>
  <c r="Y3" i="40" a="1"/>
  <c r="Y3" i="40" s="1"/>
  <c r="A3" i="40" a="1"/>
  <c r="A3" i="40" s="1"/>
  <c r="BG3" i="40" a="1"/>
  <c r="BG3" i="40" s="1"/>
  <c r="BZ3" i="40" a="1"/>
  <c r="BZ3" i="40" s="1"/>
  <c r="AL3" i="40" a="1"/>
  <c r="AL3" i="40" s="1"/>
  <c r="GJ3" i="55"/>
  <c r="BN3" i="55"/>
  <c r="GP3" i="55" s="1"/>
  <c r="HX323" i="55"/>
  <c r="HY323" i="55"/>
  <c r="HX259" i="55"/>
  <c r="HY259" i="55"/>
  <c r="EL259" i="55"/>
  <c r="HX195" i="55"/>
  <c r="HY195" i="55"/>
  <c r="HX131" i="55"/>
  <c r="HY131" i="55"/>
  <c r="HX67" i="55"/>
  <c r="HY67" i="55"/>
  <c r="HY273" i="55"/>
  <c r="HX273" i="55"/>
  <c r="FX197" i="55" a="1"/>
  <c r="FX197" i="55" s="1"/>
  <c r="FY197" i="55"/>
  <c r="HZ297" i="55"/>
  <c r="IB297" i="55"/>
  <c r="IA297" i="55"/>
  <c r="HW297" i="55"/>
  <c r="CL297" i="55"/>
  <c r="DL297" i="55" s="1"/>
  <c r="CM297" i="55"/>
  <c r="CN297" i="55"/>
  <c r="CK297" i="55"/>
  <c r="CG298" i="55"/>
  <c r="CJ297" i="55"/>
  <c r="HZ233" i="55"/>
  <c r="IB233" i="55"/>
  <c r="V233" i="55" s="1"/>
  <c r="IA233" i="55"/>
  <c r="HW233" i="55"/>
  <c r="CL233" i="55"/>
  <c r="DL233" i="55" s="1"/>
  <c r="CM233" i="55"/>
  <c r="CN233" i="55"/>
  <c r="CK233" i="55"/>
  <c r="CG234" i="55"/>
  <c r="CJ233" i="55"/>
  <c r="IB185" i="55"/>
  <c r="HZ185" i="55"/>
  <c r="IA185" i="55"/>
  <c r="HW185" i="55"/>
  <c r="CL185" i="55"/>
  <c r="DL185" i="55" s="1"/>
  <c r="CM185" i="55"/>
  <c r="CN185" i="55"/>
  <c r="CG186" i="55"/>
  <c r="CJ185" i="55"/>
  <c r="CK185" i="55"/>
  <c r="IB121" i="55"/>
  <c r="HW121" i="55"/>
  <c r="HZ121" i="55"/>
  <c r="CL121" i="55"/>
  <c r="DL121" i="55" s="1"/>
  <c r="CM121" i="55"/>
  <c r="CJ121" i="55"/>
  <c r="IA121" i="55"/>
  <c r="CK121" i="55"/>
  <c r="CG122" i="55"/>
  <c r="CN121" i="55"/>
  <c r="IB73" i="55"/>
  <c r="V73" i="55" s="1"/>
  <c r="HW73" i="55"/>
  <c r="IA73" i="55"/>
  <c r="HZ73" i="55"/>
  <c r="CL73" i="55"/>
  <c r="CM73" i="55"/>
  <c r="CG74" i="55"/>
  <c r="CN73" i="55"/>
  <c r="CJ73" i="55"/>
  <c r="CK73" i="55"/>
  <c r="HW9" i="55"/>
  <c r="IB9" i="55"/>
  <c r="V9" i="55" s="1"/>
  <c r="IA9" i="55"/>
  <c r="HZ9" i="55"/>
  <c r="CL9" i="55"/>
  <c r="CM9" i="55"/>
  <c r="CG10" i="55"/>
  <c r="CK9" i="55"/>
  <c r="CN9" i="55"/>
  <c r="FA181" i="55"/>
  <c r="FB181" i="55"/>
  <c r="IK254" i="55"/>
  <c r="GO254" i="55"/>
  <c r="IK195" i="55"/>
  <c r="GO195" i="55"/>
  <c r="IK115" i="55"/>
  <c r="GO115" i="55"/>
  <c r="IK77" i="55"/>
  <c r="GO77" i="55"/>
  <c r="IK57" i="55"/>
  <c r="GO57" i="55"/>
  <c r="FG327" i="55"/>
  <c r="BS327" i="55"/>
  <c r="BI327" i="55" a="1"/>
  <c r="BI327" i="55" s="1"/>
  <c r="C327" i="55" s="1"/>
  <c r="BJ327" i="55" s="1"/>
  <c r="FG215" i="55"/>
  <c r="BW215" i="55"/>
  <c r="BI215" i="55" a="1"/>
  <c r="BI215" i="55" s="1"/>
  <c r="C215" i="55" s="1"/>
  <c r="BJ215" i="55" s="1"/>
  <c r="HY338" i="55"/>
  <c r="HX338" i="55"/>
  <c r="EL338" i="55"/>
  <c r="HY306" i="55"/>
  <c r="HX306" i="55"/>
  <c r="HY274" i="55"/>
  <c r="HX274" i="55"/>
  <c r="EL274" i="55"/>
  <c r="HY242" i="55"/>
  <c r="HX242" i="55"/>
  <c r="EL242" i="55"/>
  <c r="HY210" i="55"/>
  <c r="HX210" i="55"/>
  <c r="HY146" i="55"/>
  <c r="HX146" i="55"/>
  <c r="HY98" i="55"/>
  <c r="HX98" i="55"/>
  <c r="HY66" i="55"/>
  <c r="HX66" i="55"/>
  <c r="HY50" i="55"/>
  <c r="HX50" i="55"/>
  <c r="HY351" i="55"/>
  <c r="HX351" i="55"/>
  <c r="EL351" i="55"/>
  <c r="FX193" i="55" a="1"/>
  <c r="FX193" i="55" s="1"/>
  <c r="FY193" i="55"/>
  <c r="FW329" i="55"/>
  <c r="FG136" i="55"/>
  <c r="BW136" i="55"/>
  <c r="BS136" i="55"/>
  <c r="GL136" i="55" s="1"/>
  <c r="BI136" i="55" a="1"/>
  <c r="BI136" i="55" s="1"/>
  <c r="FG88" i="55"/>
  <c r="BW88" i="55"/>
  <c r="BI88" i="55" a="1"/>
  <c r="BI88" i="55" s="1"/>
  <c r="FG56" i="55"/>
  <c r="BW56" i="55"/>
  <c r="BI56" i="55" a="1"/>
  <c r="BI56" i="55" s="1"/>
  <c r="BS56" i="55"/>
  <c r="GL56" i="55" s="1"/>
  <c r="FG8" i="55"/>
  <c r="BW8" i="55"/>
  <c r="BI8" i="55" a="1"/>
  <c r="BI8" i="55" s="1"/>
  <c r="GJ339" i="55"/>
  <c r="BN339" i="55"/>
  <c r="S339" i="55" s="1"/>
  <c r="GJ259" i="55"/>
  <c r="BN259" i="55"/>
  <c r="GP259" i="55" s="1"/>
  <c r="GJ195" i="55"/>
  <c r="BN195" i="55"/>
  <c r="GP195" i="55" s="1"/>
  <c r="GJ131" i="55"/>
  <c r="BN131" i="55"/>
  <c r="S131" i="55" s="1"/>
  <c r="GQ51" i="55"/>
  <c r="GJ51" i="55"/>
  <c r="BN51" i="55"/>
  <c r="GP51" i="55" s="1"/>
  <c r="S51" i="55"/>
  <c r="GD326" i="55"/>
  <c r="GG326" i="55"/>
  <c r="HX339" i="55"/>
  <c r="HY339" i="55"/>
  <c r="HX227" i="55"/>
  <c r="HY227" i="55"/>
  <c r="EL227" i="55"/>
  <c r="HX163" i="55"/>
  <c r="HY163" i="55"/>
  <c r="HX99" i="55"/>
  <c r="HY99" i="55"/>
  <c r="FY279" i="55"/>
  <c r="FX279" i="55" a="1"/>
  <c r="FX279" i="55" s="1"/>
  <c r="IA329" i="55"/>
  <c r="IB329" i="55"/>
  <c r="HZ329" i="55"/>
  <c r="HW329" i="55"/>
  <c r="CL329" i="55"/>
  <c r="CM329" i="55"/>
  <c r="CG330" i="55"/>
  <c r="CN329" i="55"/>
  <c r="CJ329" i="55"/>
  <c r="HW265" i="55"/>
  <c r="IB265" i="55"/>
  <c r="V265" i="55" s="1"/>
  <c r="IA265" i="55"/>
  <c r="HZ265" i="55"/>
  <c r="CL265" i="55"/>
  <c r="DL265" i="55" s="1"/>
  <c r="CM265" i="55"/>
  <c r="CG266" i="55"/>
  <c r="CK265" i="55"/>
  <c r="CJ265" i="55"/>
  <c r="IA217" i="55"/>
  <c r="HZ217" i="55"/>
  <c r="IB217" i="55"/>
  <c r="HW217" i="55"/>
  <c r="CL217" i="55"/>
  <c r="DL217" i="55" s="1"/>
  <c r="CM217" i="55"/>
  <c r="CJ217" i="55"/>
  <c r="CN217" i="55"/>
  <c r="CK217" i="55"/>
  <c r="CG218" i="55"/>
  <c r="IA153" i="55"/>
  <c r="HZ153" i="55"/>
  <c r="IB153" i="55"/>
  <c r="HW153" i="55"/>
  <c r="CL153" i="55"/>
  <c r="DL153" i="55" s="1"/>
  <c r="CM153" i="55"/>
  <c r="CJ153" i="55"/>
  <c r="CG154" i="55"/>
  <c r="CN153" i="55"/>
  <c r="CK153" i="55"/>
  <c r="HZ105" i="55"/>
  <c r="IB105" i="55"/>
  <c r="IA105" i="55"/>
  <c r="HW105" i="55"/>
  <c r="CL105" i="55"/>
  <c r="DL105" i="55" s="1"/>
  <c r="CM105" i="55"/>
  <c r="CN105" i="55"/>
  <c r="CG106" i="55"/>
  <c r="CJ105" i="55"/>
  <c r="CK105" i="55"/>
  <c r="IA25" i="55"/>
  <c r="HZ25" i="55"/>
  <c r="HW25" i="55"/>
  <c r="IB25" i="55"/>
  <c r="CL25" i="55"/>
  <c r="CM25" i="55"/>
  <c r="CJ25" i="55"/>
  <c r="CG26" i="55"/>
  <c r="CN25" i="55"/>
  <c r="CK25" i="55"/>
  <c r="GB145" i="55"/>
  <c r="GC145" i="55" s="1"/>
  <c r="DS145" i="55"/>
  <c r="IK323" i="55"/>
  <c r="GO323" i="55"/>
  <c r="IK205" i="55"/>
  <c r="GO205" i="55"/>
  <c r="FA49" i="55"/>
  <c r="FB49" i="55"/>
  <c r="FG279" i="55"/>
  <c r="BW279" i="55"/>
  <c r="BS279" i="55"/>
  <c r="GL279" i="55" s="1"/>
  <c r="CE279" i="55" a="1"/>
  <c r="CE279" i="55" s="1"/>
  <c r="EK279" i="55" s="1"/>
  <c r="FG247" i="55"/>
  <c r="BS247" i="55"/>
  <c r="GL247" i="55" s="1"/>
  <c r="BI247" i="55" a="1"/>
  <c r="BI247" i="55" s="1"/>
  <c r="C247" i="55" s="1"/>
  <c r="BJ247" i="55" s="1"/>
  <c r="FG199" i="55"/>
  <c r="BW199" i="55"/>
  <c r="BS199" i="55"/>
  <c r="GL199" i="55" s="1"/>
  <c r="FG135" i="55"/>
  <c r="BW135" i="55"/>
  <c r="BS135" i="55"/>
  <c r="GL135" i="55" s="1"/>
  <c r="FG87" i="55"/>
  <c r="BW87" i="55"/>
  <c r="BI87" i="55" a="1"/>
  <c r="BI87" i="55" s="1"/>
  <c r="BS87" i="55"/>
  <c r="GL87" i="55" s="1"/>
  <c r="FG39" i="55"/>
  <c r="BW39" i="55"/>
  <c r="BS39" i="55"/>
  <c r="GL39" i="55" s="1"/>
  <c r="FG7" i="55"/>
  <c r="BW7" i="55"/>
  <c r="BI7" i="55" a="1"/>
  <c r="BI7" i="55" s="1"/>
  <c r="GD325" i="55"/>
  <c r="T325" i="55"/>
  <c r="GG144" i="55"/>
  <c r="GD144" i="55"/>
  <c r="HY178" i="55"/>
  <c r="HX178" i="55"/>
  <c r="FG120" i="55"/>
  <c r="CE120" i="55" s="1" a="1"/>
  <c r="CE120" i="55" s="1"/>
  <c r="EK120" i="55" s="1"/>
  <c r="BW120" i="55"/>
  <c r="BI120" i="55" a="1"/>
  <c r="BI120" i="55" s="1"/>
  <c r="BS120" i="55"/>
  <c r="FG72" i="55"/>
  <c r="BW72" i="55"/>
  <c r="BS72" i="55"/>
  <c r="GL72" i="55" s="1"/>
  <c r="FG24" i="55"/>
  <c r="BW24" i="55"/>
  <c r="BS24" i="55"/>
  <c r="GL24" i="55" s="1"/>
  <c r="BI24" i="55" a="1"/>
  <c r="BI24" i="55" s="1"/>
  <c r="GJ307" i="55"/>
  <c r="BN307" i="55"/>
  <c r="GP307" i="55" s="1"/>
  <c r="GJ243" i="55"/>
  <c r="BN243" i="55"/>
  <c r="GJ179" i="55"/>
  <c r="BN179" i="55"/>
  <c r="GP179" i="55"/>
  <c r="GJ115" i="55"/>
  <c r="BN115" i="55"/>
  <c r="GP115" i="55" s="1"/>
  <c r="GJ67" i="55"/>
  <c r="BN67" i="55"/>
  <c r="S67" i="55" s="1"/>
  <c r="GJ19" i="55"/>
  <c r="BN19" i="55"/>
  <c r="S19" i="55" s="1"/>
  <c r="GG205" i="55"/>
  <c r="GD205" i="55"/>
  <c r="HX275" i="55"/>
  <c r="HY275" i="55"/>
  <c r="HX211" i="55"/>
  <c r="HY211" i="55"/>
  <c r="HX147" i="55"/>
  <c r="HY147" i="55"/>
  <c r="HX309" i="55"/>
  <c r="HY309" i="55"/>
  <c r="U309" i="55"/>
  <c r="V309" i="55"/>
  <c r="IA345" i="55"/>
  <c r="HZ345" i="55"/>
  <c r="IB345" i="55"/>
  <c r="HW345" i="55"/>
  <c r="CL345" i="55"/>
  <c r="CM345" i="55"/>
  <c r="CJ345" i="55"/>
  <c r="CK345" i="55"/>
  <c r="IA281" i="55"/>
  <c r="IB281" i="55"/>
  <c r="HW281" i="55"/>
  <c r="CL281" i="55"/>
  <c r="DL281" i="55" s="1"/>
  <c r="CM281" i="55"/>
  <c r="CJ281" i="55"/>
  <c r="HZ281" i="55"/>
  <c r="CN281" i="55"/>
  <c r="CK281" i="55"/>
  <c r="HZ169" i="55"/>
  <c r="IA169" i="55"/>
  <c r="HW169" i="55"/>
  <c r="IB169" i="55"/>
  <c r="V169" i="55" s="1"/>
  <c r="CL169" i="55"/>
  <c r="DL169" i="55" s="1"/>
  <c r="CM169" i="55"/>
  <c r="CN169" i="55"/>
  <c r="CK169" i="55"/>
  <c r="CJ169" i="55"/>
  <c r="IB57" i="55"/>
  <c r="IA57" i="55"/>
  <c r="HZ57" i="55"/>
  <c r="HW57" i="55"/>
  <c r="CL57" i="55"/>
  <c r="DL57" i="55" s="1"/>
  <c r="CM57" i="55"/>
  <c r="CG58" i="55"/>
  <c r="CN57" i="55"/>
  <c r="CJ57" i="55"/>
  <c r="CK57" i="55"/>
  <c r="IK126" i="55"/>
  <c r="GO126" i="55"/>
  <c r="IK67" i="55"/>
  <c r="GO67" i="55"/>
  <c r="FG343" i="55"/>
  <c r="BW343" i="55"/>
  <c r="BS343" i="55"/>
  <c r="GL343" i="55" s="1"/>
  <c r="BI343" i="55" a="1"/>
  <c r="BI343" i="55" s="1"/>
  <c r="C343" i="55" s="1"/>
  <c r="BJ343" i="55" s="1"/>
  <c r="FG295" i="55"/>
  <c r="CE295" i="55" s="1" a="1"/>
  <c r="CE295" i="55" s="1"/>
  <c r="EK295" i="55" s="1"/>
  <c r="BI295" i="55" a="1"/>
  <c r="BI295" i="55" s="1"/>
  <c r="C295" i="55" s="1"/>
  <c r="BJ295" i="55" s="1"/>
  <c r="FG231" i="55"/>
  <c r="BW231" i="55"/>
  <c r="BI231" i="55" a="1"/>
  <c r="BI231" i="55" s="1"/>
  <c r="C231" i="55" s="1"/>
  <c r="BJ231" i="55" s="1"/>
  <c r="FG167" i="55"/>
  <c r="BW167" i="55"/>
  <c r="BS167" i="55"/>
  <c r="GL167" i="55" s="1"/>
  <c r="FG119" i="55"/>
  <c r="BW119" i="55"/>
  <c r="BS119" i="55"/>
  <c r="GL119" i="55" s="1"/>
  <c r="BI119" i="55" a="1"/>
  <c r="BI119" i="55" s="1"/>
  <c r="FG71" i="55"/>
  <c r="BS71" i="55"/>
  <c r="GL71" i="55" s="1"/>
  <c r="BW71" i="55"/>
  <c r="GG22" i="55"/>
  <c r="GD22" i="55"/>
  <c r="HY194" i="55"/>
  <c r="HX194" i="55"/>
  <c r="EL194" i="55"/>
  <c r="GJ323" i="55"/>
  <c r="BN323" i="55"/>
  <c r="S323" i="55" s="1"/>
  <c r="GJ275" i="55"/>
  <c r="BN275" i="55"/>
  <c r="GP275" i="55" s="1"/>
  <c r="GJ211" i="55"/>
  <c r="BN211" i="55"/>
  <c r="GP211" i="55" s="1"/>
  <c r="GJ147" i="55"/>
  <c r="BN147" i="55"/>
  <c r="GP147" i="55" s="1"/>
  <c r="S147" i="55"/>
  <c r="GJ83" i="55"/>
  <c r="BN83" i="55"/>
  <c r="GP83" i="55" s="1"/>
  <c r="GQ35" i="55"/>
  <c r="GJ35" i="55"/>
  <c r="BN35" i="55"/>
  <c r="GP35" i="55" s="1"/>
  <c r="S35" i="55"/>
  <c r="GG266" i="55"/>
  <c r="GD266" i="55"/>
  <c r="HX307" i="55"/>
  <c r="HY307" i="55"/>
  <c r="HX243" i="55"/>
  <c r="HY243" i="55"/>
  <c r="HX83" i="55"/>
  <c r="HY83" i="55"/>
  <c r="FY3" i="55"/>
  <c r="FX3" i="55" a="1"/>
  <c r="FX3" i="55" s="1"/>
  <c r="FZ3" i="55" s="1"/>
  <c r="IB313" i="55"/>
  <c r="IA313" i="55"/>
  <c r="HZ313" i="55"/>
  <c r="HW313" i="55"/>
  <c r="CL313" i="55"/>
  <c r="CM313" i="55"/>
  <c r="CG314" i="55"/>
  <c r="CJ313" i="55"/>
  <c r="CN313" i="55"/>
  <c r="CK313" i="55"/>
  <c r="IB249" i="55"/>
  <c r="HW249" i="55"/>
  <c r="HZ249" i="55"/>
  <c r="IA249" i="55"/>
  <c r="CL249" i="55"/>
  <c r="DL249" i="55" s="1"/>
  <c r="CM249" i="55"/>
  <c r="CJ249" i="55"/>
  <c r="CK249" i="55"/>
  <c r="CG250" i="55"/>
  <c r="CN249" i="55"/>
  <c r="IA201" i="55"/>
  <c r="IB201" i="55"/>
  <c r="V201" i="55" s="1"/>
  <c r="HZ201" i="55"/>
  <c r="CL201" i="55"/>
  <c r="CM201" i="55"/>
  <c r="HW201" i="55"/>
  <c r="CG202" i="55"/>
  <c r="CJ201" i="55"/>
  <c r="CN201" i="55"/>
  <c r="CK201" i="55"/>
  <c r="HW137" i="55"/>
  <c r="IB137" i="55"/>
  <c r="IA137" i="55"/>
  <c r="HZ137" i="55"/>
  <c r="CL137" i="55"/>
  <c r="CM137" i="55"/>
  <c r="CG138" i="55"/>
  <c r="CN137" i="55"/>
  <c r="CJ137" i="55"/>
  <c r="CK137" i="55"/>
  <c r="IA89" i="55"/>
  <c r="HZ89" i="55"/>
  <c r="IB89" i="55"/>
  <c r="HW89" i="55"/>
  <c r="CL89" i="55"/>
  <c r="DL89" i="55" s="1"/>
  <c r="CM89" i="55"/>
  <c r="CJ89" i="55"/>
  <c r="CK89" i="55"/>
  <c r="CG90" i="55"/>
  <c r="CN89" i="55"/>
  <c r="HZ41" i="55"/>
  <c r="IB41" i="55"/>
  <c r="V41" i="55" s="1"/>
  <c r="HW41" i="55"/>
  <c r="IA41" i="55"/>
  <c r="CL41" i="55"/>
  <c r="DL41" i="55" s="1"/>
  <c r="CM41" i="55"/>
  <c r="CN41" i="55"/>
  <c r="CK41" i="55"/>
  <c r="CJ41" i="55"/>
  <c r="CG42" i="55"/>
  <c r="JW334" i="55"/>
  <c r="GB334" i="55"/>
  <c r="GC334" i="55" s="1"/>
  <c r="FW334" i="55"/>
  <c r="DS334" i="55"/>
  <c r="FA154" i="55"/>
  <c r="FB154" i="55"/>
  <c r="IK333" i="55"/>
  <c r="GO333" i="55"/>
  <c r="IK313" i="55"/>
  <c r="GO313" i="55"/>
  <c r="IK243" i="55"/>
  <c r="GO243" i="55"/>
  <c r="IK185" i="55"/>
  <c r="GO185" i="55"/>
  <c r="FG311" i="55"/>
  <c r="BS311" i="55"/>
  <c r="GL311" i="55" s="1"/>
  <c r="BW311" i="55"/>
  <c r="FG263" i="55"/>
  <c r="BW263" i="55"/>
  <c r="BS263" i="55"/>
  <c r="GL263" i="55" s="1"/>
  <c r="FG183" i="55"/>
  <c r="BW183" i="55"/>
  <c r="BI183" i="55" a="1"/>
  <c r="BI183" i="55" s="1"/>
  <c r="BS151" i="55"/>
  <c r="GL151" i="55" s="1"/>
  <c r="FG151" i="55"/>
  <c r="BI151" i="55" a="1"/>
  <c r="BI151" i="55" s="1"/>
  <c r="FG103" i="55"/>
  <c r="BS103" i="55"/>
  <c r="GL103" i="55" s="1"/>
  <c r="FG55" i="55"/>
  <c r="BS55" i="55"/>
  <c r="GL55" i="55" s="1"/>
  <c r="BW55" i="55"/>
  <c r="FG23" i="55"/>
  <c r="BQ23" i="55"/>
  <c r="BW23" i="55"/>
  <c r="BI23" i="55" a="1"/>
  <c r="BI23" i="55" s="1"/>
  <c r="HY322" i="55"/>
  <c r="HX322" i="55"/>
  <c r="HY258" i="55"/>
  <c r="HX258" i="55"/>
  <c r="EL258" i="55"/>
  <c r="HY226" i="55"/>
  <c r="HX226" i="55"/>
  <c r="HY162" i="55"/>
  <c r="HX162" i="55"/>
  <c r="HY130" i="55"/>
  <c r="HX130" i="55"/>
  <c r="HY82" i="55"/>
  <c r="HX82" i="55"/>
  <c r="HY34" i="55"/>
  <c r="HX34" i="55"/>
  <c r="FA10" i="55"/>
  <c r="FB10" i="55"/>
  <c r="IK214" i="55"/>
  <c r="GO214" i="55"/>
  <c r="FA180" i="55"/>
  <c r="FB180" i="55"/>
  <c r="IK233" i="55"/>
  <c r="GO233" i="55"/>
  <c r="IK96" i="55"/>
  <c r="GO96" i="55"/>
  <c r="FG342" i="55"/>
  <c r="BW342" i="55"/>
  <c r="BQ342" i="55"/>
  <c r="FG294" i="55"/>
  <c r="BW294" i="55"/>
  <c r="FG246" i="55"/>
  <c r="BS246" i="55"/>
  <c r="GL246" i="55" s="1"/>
  <c r="FG198" i="55"/>
  <c r="BW198" i="55"/>
  <c r="BS198" i="55"/>
  <c r="GL198" i="55" s="1"/>
  <c r="BI198" i="55" a="1"/>
  <c r="BI198" i="55" s="1"/>
  <c r="C198" i="55" s="1"/>
  <c r="BJ198" i="55" s="1"/>
  <c r="FG150" i="55"/>
  <c r="BS150" i="55"/>
  <c r="GL150" i="55" s="1"/>
  <c r="BW150" i="55"/>
  <c r="BW70" i="55"/>
  <c r="FG70" i="55"/>
  <c r="CE70" i="55" s="1" a="1"/>
  <c r="CE70" i="55" s="1"/>
  <c r="EK70" i="55" s="1"/>
  <c r="GG203" i="55"/>
  <c r="GD203" i="55"/>
  <c r="HY33" i="55"/>
  <c r="HX33" i="55"/>
  <c r="BW151" i="55"/>
  <c r="CK329" i="55"/>
  <c r="FA116" i="55"/>
  <c r="FB116" i="55"/>
  <c r="IK351" i="55"/>
  <c r="GO351" i="55"/>
  <c r="IK332" i="55"/>
  <c r="GO332" i="55"/>
  <c r="IK312" i="55"/>
  <c r="GO312" i="55"/>
  <c r="IK273" i="55"/>
  <c r="GO273" i="55"/>
  <c r="IK263" i="55"/>
  <c r="GO263" i="55"/>
  <c r="IK223" i="55"/>
  <c r="GO223" i="55"/>
  <c r="IK204" i="55"/>
  <c r="GO204" i="55"/>
  <c r="IK194" i="55"/>
  <c r="GO194" i="55"/>
  <c r="IK145" i="55"/>
  <c r="GO145" i="55"/>
  <c r="IK135" i="55"/>
  <c r="GO135" i="55"/>
  <c r="IK95" i="55"/>
  <c r="GO95" i="55"/>
  <c r="IK56" i="55"/>
  <c r="GO56" i="55"/>
  <c r="IK17" i="55"/>
  <c r="GO17" i="55"/>
  <c r="IL336" i="55"/>
  <c r="IM336" i="55" s="1"/>
  <c r="GP336" i="55"/>
  <c r="GQ336" i="55" s="1"/>
  <c r="GJ336" i="55"/>
  <c r="GJ304" i="55"/>
  <c r="BN304" i="55"/>
  <c r="S304" i="55" s="1"/>
  <c r="GJ256" i="55"/>
  <c r="BN256" i="55"/>
  <c r="GP256" i="55" s="1"/>
  <c r="S256" i="55"/>
  <c r="GJ240" i="55"/>
  <c r="BN240" i="55"/>
  <c r="BN192" i="55"/>
  <c r="S192" i="55" s="1"/>
  <c r="GJ192" i="55"/>
  <c r="GJ160" i="55"/>
  <c r="BN160" i="55"/>
  <c r="GP160" i="55" s="1"/>
  <c r="S160" i="55"/>
  <c r="GJ112" i="55"/>
  <c r="GP112" i="55"/>
  <c r="GJ96" i="55"/>
  <c r="BN96" i="55"/>
  <c r="GP96" i="55" s="1"/>
  <c r="S96" i="55"/>
  <c r="GJ64" i="55"/>
  <c r="GP64" i="55"/>
  <c r="S64" i="55"/>
  <c r="GJ16" i="55"/>
  <c r="BN16" i="55"/>
  <c r="GP16" i="55" s="1"/>
  <c r="S16" i="55"/>
  <c r="GD201" i="55"/>
  <c r="GG201" i="55"/>
  <c r="GG70" i="55"/>
  <c r="GD70" i="55"/>
  <c r="EB23" i="55"/>
  <c r="DZ23" i="55"/>
  <c r="FA8" i="55"/>
  <c r="FB8" i="55"/>
  <c r="S5" i="55"/>
  <c r="IK262" i="55"/>
  <c r="GO262" i="55"/>
  <c r="IK203" i="55"/>
  <c r="GO203" i="55"/>
  <c r="JH327" i="55"/>
  <c r="JI327" i="55" s="1"/>
  <c r="DC327" i="55"/>
  <c r="I327" i="55" s="1"/>
  <c r="DD327" i="55" s="1"/>
  <c r="CQ327" i="55"/>
  <c r="DN327" i="55"/>
  <c r="GA327" i="55"/>
  <c r="BY327" i="55" s="1"/>
  <c r="DB327" i="55"/>
  <c r="CO327" i="55"/>
  <c r="CP327" i="55" s="1"/>
  <c r="Y327" i="55" s="1"/>
  <c r="DI327" i="55"/>
  <c r="H327" i="55" s="1"/>
  <c r="DJ327" i="55" s="1"/>
  <c r="CD327" i="55"/>
  <c r="CC327" i="55"/>
  <c r="BT327" i="55"/>
  <c r="BO327" i="55"/>
  <c r="BQ327" i="55" s="1"/>
  <c r="CA327" i="55"/>
  <c r="JH263" i="55"/>
  <c r="JI263" i="55" s="1"/>
  <c r="FF263" i="55"/>
  <c r="DC263" i="55"/>
  <c r="I263" i="55" s="1"/>
  <c r="DD263" i="55" s="1"/>
  <c r="CQ263" i="55"/>
  <c r="DN263" i="55"/>
  <c r="DI263" i="55"/>
  <c r="H263" i="55" s="1"/>
  <c r="DJ263" i="55" s="1"/>
  <c r="DB263" i="55"/>
  <c r="CO263" i="55"/>
  <c r="CP263" i="55" s="1"/>
  <c r="Y263" i="55" s="1"/>
  <c r="CC263" i="55"/>
  <c r="BP263" i="55"/>
  <c r="CA263" i="55"/>
  <c r="BT263" i="55"/>
  <c r="GA263" i="55"/>
  <c r="BY263" i="55" s="1"/>
  <c r="BO263" i="55"/>
  <c r="CD263" i="55"/>
  <c r="JH215" i="55"/>
  <c r="JI215" i="55" s="1"/>
  <c r="FF215" i="55"/>
  <c r="GA215" i="55"/>
  <c r="BY215" i="55" s="1"/>
  <c r="DN215" i="55"/>
  <c r="CQ215" i="55"/>
  <c r="DI215" i="55"/>
  <c r="H215" i="55" s="1"/>
  <c r="DJ215" i="55" s="1"/>
  <c r="CC215" i="55"/>
  <c r="CD215" i="55"/>
  <c r="DC215" i="55"/>
  <c r="I215" i="55" s="1"/>
  <c r="DD215" i="55" s="1"/>
  <c r="DB215" i="55"/>
  <c r="CA215" i="55"/>
  <c r="BP215" i="55"/>
  <c r="CO215" i="55"/>
  <c r="CP215" i="55" s="1"/>
  <c r="Y215" i="55" s="1"/>
  <c r="JH167" i="55"/>
  <c r="JI167" i="55" s="1"/>
  <c r="FF167" i="55"/>
  <c r="GA167" i="55"/>
  <c r="CQ167" i="55"/>
  <c r="BY167" i="55"/>
  <c r="DC167" i="55"/>
  <c r="I167" i="55" s="1"/>
  <c r="DD167" i="55" s="1"/>
  <c r="CA167" i="55"/>
  <c r="BT167" i="55"/>
  <c r="CO167" i="55"/>
  <c r="CP167" i="55" s="1"/>
  <c r="Y167" i="55" s="1"/>
  <c r="DI167" i="55"/>
  <c r="H167" i="55" s="1"/>
  <c r="DJ167" i="55" s="1"/>
  <c r="DB167" i="55"/>
  <c r="DN167" i="55"/>
  <c r="CC167" i="55"/>
  <c r="CD167" i="55"/>
  <c r="P167" i="55"/>
  <c r="FA167" i="55" s="1"/>
  <c r="JH119" i="55"/>
  <c r="JI119" i="55" s="1"/>
  <c r="CQ119" i="55"/>
  <c r="DC119" i="55"/>
  <c r="I119" i="55" s="1"/>
  <c r="DD119" i="55" s="1"/>
  <c r="DI119" i="55"/>
  <c r="H119" i="55" s="1"/>
  <c r="DJ119" i="55" s="1"/>
  <c r="CA119" i="55"/>
  <c r="DB119" i="55"/>
  <c r="BT119" i="55"/>
  <c r="CC119" i="55"/>
  <c r="CO119" i="55"/>
  <c r="CP119" i="55" s="1"/>
  <c r="Y119" i="55" s="1"/>
  <c r="BP119" i="55"/>
  <c r="GA119" i="55"/>
  <c r="BY119" i="55" s="1"/>
  <c r="DN119" i="55"/>
  <c r="BO119" i="55"/>
  <c r="JH55" i="55"/>
  <c r="JI55" i="55" s="1"/>
  <c r="GA55" i="55"/>
  <c r="BY55" i="55" s="1"/>
  <c r="CQ55" i="55"/>
  <c r="DC55" i="55"/>
  <c r="I55" i="55" s="1"/>
  <c r="DD55" i="55" s="1"/>
  <c r="DB55" i="55"/>
  <c r="CA55" i="55"/>
  <c r="DN55" i="55"/>
  <c r="BO55" i="55"/>
  <c r="DI55" i="55"/>
  <c r="H55" i="55" s="1"/>
  <c r="DJ55" i="55" s="1"/>
  <c r="BP55" i="55"/>
  <c r="CD55" i="55"/>
  <c r="CC55" i="55"/>
  <c r="BT55" i="55"/>
  <c r="CO55" i="55"/>
  <c r="CP55" i="55" s="1"/>
  <c r="Y55" i="55" s="1"/>
  <c r="JH23" i="55"/>
  <c r="JI23" i="55" s="1"/>
  <c r="GA23" i="55"/>
  <c r="BY23" i="55" s="1"/>
  <c r="DN23" i="55"/>
  <c r="CQ23" i="55"/>
  <c r="DI23" i="55"/>
  <c r="H23" i="55" s="1"/>
  <c r="DJ23" i="55" s="1"/>
  <c r="DB23" i="55"/>
  <c r="CO23" i="55"/>
  <c r="CP23" i="55" s="1"/>
  <c r="Y23" i="55" s="1"/>
  <c r="CC23" i="55"/>
  <c r="BO23" i="55"/>
  <c r="DC23" i="55"/>
  <c r="I23" i="55" s="1"/>
  <c r="DD23" i="55" s="1"/>
  <c r="IC23" i="55" s="1"/>
  <c r="BT23" i="55"/>
  <c r="CD23" i="55"/>
  <c r="CA23" i="55"/>
  <c r="P23" i="55"/>
  <c r="FA23" i="55" s="1"/>
  <c r="BE181" i="55"/>
  <c r="BF181" i="55"/>
  <c r="BG181" i="55" s="1"/>
  <c r="BE133" i="55"/>
  <c r="P133" i="55" s="1"/>
  <c r="BF133" i="55"/>
  <c r="BG133" i="55" s="1"/>
  <c r="BI133" i="55" s="1" a="1"/>
  <c r="BI133" i="55" s="1"/>
  <c r="BE5" i="55"/>
  <c r="BF5" i="55"/>
  <c r="BG5" i="55" s="1"/>
  <c r="FG292" i="55"/>
  <c r="BI292" i="55" a="1"/>
  <c r="BI292" i="55" s="1"/>
  <c r="C292" i="55" s="1"/>
  <c r="BJ292" i="55" s="1"/>
  <c r="FG228" i="55"/>
  <c r="BW228" i="55"/>
  <c r="BS228" i="55"/>
  <c r="GL228" i="55" s="1"/>
  <c r="FG164" i="55"/>
  <c r="BS164" i="55"/>
  <c r="GL164" i="55" s="1"/>
  <c r="BI164" i="55" a="1"/>
  <c r="BI164" i="55" s="1"/>
  <c r="C164" i="55" s="1"/>
  <c r="BJ164" i="55" s="1"/>
  <c r="FG100" i="55"/>
  <c r="BS100" i="55"/>
  <c r="GL100" i="55" s="1"/>
  <c r="BW100" i="55"/>
  <c r="BI100" i="55" a="1"/>
  <c r="BI100" i="55" s="1"/>
  <c r="FG36" i="55"/>
  <c r="BI36" i="55" a="1"/>
  <c r="BI36" i="55" s="1"/>
  <c r="C36" i="55" s="1"/>
  <c r="BJ36" i="55" s="1"/>
  <c r="BS36" i="55"/>
  <c r="GL36" i="55" s="1"/>
  <c r="BW36" i="55"/>
  <c r="BN336" i="55"/>
  <c r="GG312" i="55"/>
  <c r="GD312" i="55"/>
  <c r="GD69" i="55"/>
  <c r="GG69" i="55"/>
  <c r="BQ69" i="55"/>
  <c r="DE290" i="55" a="1"/>
  <c r="DE290" i="55" s="1"/>
  <c r="DG290" i="55" a="1"/>
  <c r="DG290" i="55" s="1"/>
  <c r="DF290" i="55" a="1"/>
  <c r="DF290" i="55" s="1"/>
  <c r="DH290" i="55"/>
  <c r="IK222" i="55"/>
  <c r="GO222" i="55"/>
  <c r="IK103" i="55"/>
  <c r="GO103" i="55"/>
  <c r="JH294" i="55"/>
  <c r="JI294" i="55" s="1"/>
  <c r="FF294" i="55"/>
  <c r="GA294" i="55"/>
  <c r="DI294" i="55"/>
  <c r="H294" i="55" s="1"/>
  <c r="DJ294" i="55" s="1"/>
  <c r="BY294" i="55"/>
  <c r="BT294" i="55"/>
  <c r="DN294" i="55"/>
  <c r="CC294" i="55"/>
  <c r="DB294" i="55"/>
  <c r="CO294" i="55"/>
  <c r="CP294" i="55" s="1"/>
  <c r="Y294" i="55" s="1"/>
  <c r="CD294" i="55"/>
  <c r="DC294" i="55"/>
  <c r="I294" i="55" s="1"/>
  <c r="DD294" i="55" s="1"/>
  <c r="CA294" i="55"/>
  <c r="BO294" i="55"/>
  <c r="JH230" i="55"/>
  <c r="JI230" i="55" s="1"/>
  <c r="FF230" i="55"/>
  <c r="GA230" i="55"/>
  <c r="DI230" i="55"/>
  <c r="H230" i="55" s="1"/>
  <c r="DJ230" i="55" s="1"/>
  <c r="BY230" i="55"/>
  <c r="CQ230" i="55"/>
  <c r="BT230" i="55"/>
  <c r="CC230" i="55"/>
  <c r="CA230" i="55"/>
  <c r="DB230" i="55"/>
  <c r="DN230" i="55"/>
  <c r="DC230" i="55"/>
  <c r="I230" i="55" s="1"/>
  <c r="DD230" i="55" s="1"/>
  <c r="CO230" i="55"/>
  <c r="CP230" i="55" s="1"/>
  <c r="Y230" i="55" s="1"/>
  <c r="BO230" i="55"/>
  <c r="BP230" i="55"/>
  <c r="CD230" i="55"/>
  <c r="JH134" i="55"/>
  <c r="JI134" i="55" s="1"/>
  <c r="GA134" i="55"/>
  <c r="DI134" i="55"/>
  <c r="H134" i="55" s="1"/>
  <c r="DJ134" i="55" s="1"/>
  <c r="DN134" i="55"/>
  <c r="CQ134" i="55"/>
  <c r="DB134" i="55"/>
  <c r="BY134" i="55"/>
  <c r="CD134" i="55"/>
  <c r="CO134" i="55"/>
  <c r="CP134" i="55" s="1"/>
  <c r="Y134" i="55" s="1"/>
  <c r="DC134" i="55"/>
  <c r="I134" i="55" s="1"/>
  <c r="DD134" i="55" s="1"/>
  <c r="BP134" i="55"/>
  <c r="BQ134" i="55" s="1"/>
  <c r="CA134" i="55"/>
  <c r="BT134" i="55"/>
  <c r="BE244" i="55"/>
  <c r="P244" i="55" s="1"/>
  <c r="BF244" i="55"/>
  <c r="BG244" i="55" s="1"/>
  <c r="BE212" i="55"/>
  <c r="P212" i="55" s="1"/>
  <c r="FA212" i="55" s="1"/>
  <c r="BF212" i="55"/>
  <c r="BG212" i="55" s="1"/>
  <c r="BI212" i="55" s="1" a="1"/>
  <c r="BI212" i="55" s="1"/>
  <c r="C212" i="55" s="1"/>
  <c r="BJ212" i="55" s="1"/>
  <c r="BE132" i="55"/>
  <c r="P132" i="55" s="1"/>
  <c r="BF132" i="55"/>
  <c r="BG132" i="55" s="1"/>
  <c r="BI132" i="55" s="1" a="1"/>
  <c r="BI132" i="55" s="1"/>
  <c r="BF84" i="55"/>
  <c r="BG84" i="55" s="1"/>
  <c r="BI84" i="55" s="1" a="1"/>
  <c r="BI84" i="55" s="1"/>
  <c r="BE84" i="55"/>
  <c r="BE292" i="55"/>
  <c r="P292" i="55" s="1"/>
  <c r="BF261" i="55"/>
  <c r="BG261" i="55" s="1"/>
  <c r="BI261" i="55" s="1" a="1"/>
  <c r="BI261" i="55" s="1"/>
  <c r="C261" i="55" s="1"/>
  <c r="BJ261" i="55" s="1"/>
  <c r="GG251" i="55"/>
  <c r="GD251" i="55"/>
  <c r="GG122" i="55"/>
  <c r="GD122" i="55"/>
  <c r="GG16" i="55"/>
  <c r="GD16" i="55"/>
  <c r="BS70" i="55"/>
  <c r="GL70" i="55" s="1"/>
  <c r="EX348" i="55"/>
  <c r="EC348" i="55"/>
  <c r="EY348" i="55" s="1"/>
  <c r="EX332" i="55"/>
  <c r="EC332" i="55"/>
  <c r="EX316" i="55"/>
  <c r="EC316" i="55"/>
  <c r="EY316" i="55" s="1"/>
  <c r="EX300" i="55"/>
  <c r="EC300" i="55"/>
  <c r="EY300" i="55" s="1"/>
  <c r="EX284" i="55"/>
  <c r="EC284" i="55"/>
  <c r="EC268" i="55"/>
  <c r="EX268" i="55"/>
  <c r="EX252" i="55"/>
  <c r="EC252" i="55"/>
  <c r="EY252" i="55" s="1"/>
  <c r="EC236" i="55"/>
  <c r="EX236" i="55"/>
  <c r="EX220" i="55"/>
  <c r="EC220" i="55"/>
  <c r="EY220" i="55" s="1"/>
  <c r="CA220" i="55"/>
  <c r="EX204" i="55"/>
  <c r="EC204" i="55"/>
  <c r="EX188" i="55"/>
  <c r="EC188" i="55"/>
  <c r="EX172" i="55"/>
  <c r="EC172" i="55"/>
  <c r="EX156" i="55"/>
  <c r="EC156" i="55"/>
  <c r="EX140" i="55"/>
  <c r="EC140" i="55"/>
  <c r="EC124" i="55"/>
  <c r="EX124" i="55"/>
  <c r="EX108" i="55"/>
  <c r="EC108" i="55"/>
  <c r="CA108" i="55"/>
  <c r="EX92" i="55"/>
  <c r="EC92" i="55"/>
  <c r="EX76" i="55"/>
  <c r="EC76" i="55"/>
  <c r="EX60" i="55"/>
  <c r="EC60" i="55"/>
  <c r="EY60" i="55" s="1"/>
  <c r="EC43" i="55"/>
  <c r="EX43" i="55"/>
  <c r="EX7" i="55"/>
  <c r="EC7" i="55"/>
  <c r="FX345" i="55" a="1"/>
  <c r="FX345" i="55" s="1"/>
  <c r="FY345" i="55"/>
  <c r="CN265" i="55"/>
  <c r="JM281" i="55"/>
  <c r="JF281" i="55"/>
  <c r="FA65" i="55"/>
  <c r="FB65" i="55"/>
  <c r="IK253" i="55"/>
  <c r="GO253" i="55"/>
  <c r="FX233" i="55" a="1"/>
  <c r="FX233" i="55" s="1"/>
  <c r="FY233" i="55"/>
  <c r="FG310" i="55"/>
  <c r="BW310" i="55"/>
  <c r="BS310" i="55"/>
  <c r="GL310" i="55" s="1"/>
  <c r="FG262" i="55"/>
  <c r="BW262" i="55"/>
  <c r="BI262" i="55" a="1"/>
  <c r="BI262" i="55" s="1"/>
  <c r="C262" i="55" s="1"/>
  <c r="BJ262" i="55" s="1"/>
  <c r="BS262" i="55"/>
  <c r="GL262" i="55" s="1"/>
  <c r="FG214" i="55"/>
  <c r="BS214" i="55"/>
  <c r="GL214" i="55" s="1"/>
  <c r="BW214" i="55"/>
  <c r="BI214" i="55" a="1"/>
  <c r="BI214" i="55" s="1"/>
  <c r="C214" i="55" s="1"/>
  <c r="BJ214" i="55" s="1"/>
  <c r="FG166" i="55"/>
  <c r="BS166" i="55"/>
  <c r="GL166" i="55" s="1"/>
  <c r="BI166" i="55" a="1"/>
  <c r="BI166" i="55" s="1"/>
  <c r="C166" i="55" s="1"/>
  <c r="BJ166" i="55" s="1"/>
  <c r="FG118" i="55"/>
  <c r="BW118" i="55"/>
  <c r="BS118" i="55"/>
  <c r="GL118" i="55" s="1"/>
  <c r="FG86" i="55"/>
  <c r="BW86" i="55"/>
  <c r="BQ86" i="55"/>
  <c r="BS86" i="55"/>
  <c r="GL86" i="55" s="1"/>
  <c r="FG38" i="55"/>
  <c r="BS38" i="55"/>
  <c r="GL38" i="55" s="1"/>
  <c r="BI38" i="55" a="1"/>
  <c r="BI38" i="55" s="1"/>
  <c r="C38" i="55" s="1"/>
  <c r="BJ38" i="55" s="1"/>
  <c r="BW38" i="55"/>
  <c r="FG6" i="55"/>
  <c r="CE6" i="55" s="1" a="1"/>
  <c r="CE6" i="55" s="1"/>
  <c r="EK6" i="55" s="1"/>
  <c r="BW6" i="55"/>
  <c r="BS6" i="55"/>
  <c r="GL6" i="55" s="1"/>
  <c r="BI6" i="55" a="1"/>
  <c r="BI6" i="55" s="1"/>
  <c r="BQ6" i="55"/>
  <c r="BI71" i="55" a="1"/>
  <c r="BI71" i="55" s="1"/>
  <c r="FX277" i="55" a="1"/>
  <c r="FX277" i="55" s="1"/>
  <c r="FY277" i="55"/>
  <c r="CJ9" i="55"/>
  <c r="FA91" i="55"/>
  <c r="FB91" i="55"/>
  <c r="FX232" i="55" a="1"/>
  <c r="FX232" i="55" s="1"/>
  <c r="FY232" i="55"/>
  <c r="FA111" i="55"/>
  <c r="EL111" i="55"/>
  <c r="GJ320" i="55"/>
  <c r="BN320" i="55"/>
  <c r="GP320" i="55" s="1"/>
  <c r="GJ272" i="55"/>
  <c r="BN272" i="55"/>
  <c r="GP272" i="55" s="1"/>
  <c r="GJ224" i="55"/>
  <c r="GP176" i="55"/>
  <c r="GJ176" i="55"/>
  <c r="BN176" i="55"/>
  <c r="S176" i="55" s="1"/>
  <c r="GJ128" i="55"/>
  <c r="BN128" i="55"/>
  <c r="S128" i="55" s="1"/>
  <c r="GJ80" i="55"/>
  <c r="BN80" i="55"/>
  <c r="S80" i="55" s="1"/>
  <c r="GQ48" i="55"/>
  <c r="GJ48" i="55"/>
  <c r="BN48" i="55"/>
  <c r="GP48" i="55" s="1"/>
  <c r="GT48" i="55" s="1"/>
  <c r="DG292" i="55" a="1"/>
  <c r="DG292" i="55" s="1"/>
  <c r="DH292" i="55"/>
  <c r="DE292" i="55" a="1"/>
  <c r="DE292" i="55" s="1"/>
  <c r="DF292" i="55" a="1"/>
  <c r="DF292" i="55" s="1"/>
  <c r="FA325" i="55"/>
  <c r="FB325" i="55"/>
  <c r="FB90" i="55"/>
  <c r="FA90" i="55"/>
  <c r="IK252" i="55"/>
  <c r="GO252" i="55"/>
  <c r="IK124" i="55"/>
  <c r="GO124" i="55"/>
  <c r="IK85" i="55"/>
  <c r="GO85" i="55"/>
  <c r="IK45" i="55"/>
  <c r="GO45" i="55"/>
  <c r="IK6" i="55"/>
  <c r="GO6" i="55"/>
  <c r="JH295" i="55"/>
  <c r="JI295" i="55" s="1"/>
  <c r="FF295" i="55"/>
  <c r="GA295" i="55"/>
  <c r="CQ295" i="55"/>
  <c r="DC295" i="55"/>
  <c r="I295" i="55" s="1"/>
  <c r="DD295" i="55" s="1"/>
  <c r="BY295" i="55"/>
  <c r="DB295" i="55"/>
  <c r="CA295" i="55"/>
  <c r="BT295" i="55"/>
  <c r="DN295" i="55"/>
  <c r="DI295" i="55"/>
  <c r="H295" i="55" s="1"/>
  <c r="DJ295" i="55" s="1"/>
  <c r="CD295" i="55"/>
  <c r="BO295" i="55"/>
  <c r="BQ295" i="55" s="1"/>
  <c r="CO295" i="55"/>
  <c r="CP295" i="55" s="1"/>
  <c r="Y295" i="55" s="1"/>
  <c r="CC295" i="55"/>
  <c r="JH231" i="55"/>
  <c r="JI231" i="55" s="1"/>
  <c r="FF231" i="55"/>
  <c r="GA231" i="55"/>
  <c r="BY231" i="55" s="1"/>
  <c r="CQ231" i="55"/>
  <c r="DI231" i="55"/>
  <c r="H231" i="55" s="1"/>
  <c r="DJ231" i="55" s="1"/>
  <c r="CA231" i="55"/>
  <c r="BT231" i="55"/>
  <c r="CC231" i="55"/>
  <c r="CO231" i="55"/>
  <c r="CP231" i="55" s="1"/>
  <c r="Y231" i="55" s="1"/>
  <c r="DC231" i="55"/>
  <c r="I231" i="55" s="1"/>
  <c r="DD231" i="55" s="1"/>
  <c r="DN231" i="55"/>
  <c r="DB231" i="55"/>
  <c r="BO231" i="55"/>
  <c r="CD231" i="55"/>
  <c r="BP231" i="55"/>
  <c r="FF199" i="55"/>
  <c r="JH199" i="55"/>
  <c r="JI199" i="55" s="1"/>
  <c r="GA199" i="55"/>
  <c r="DC199" i="55"/>
  <c r="I199" i="55" s="1"/>
  <c r="DD199" i="55" s="1"/>
  <c r="CQ199" i="55"/>
  <c r="DN199" i="55"/>
  <c r="DB199" i="55"/>
  <c r="BY199" i="55"/>
  <c r="CO199" i="55"/>
  <c r="CP199" i="55" s="1"/>
  <c r="Y199" i="55" s="1"/>
  <c r="BT199" i="55"/>
  <c r="CC199" i="55"/>
  <c r="CA199" i="55"/>
  <c r="CD199" i="55"/>
  <c r="JH103" i="55"/>
  <c r="JI103" i="55" s="1"/>
  <c r="GA103" i="55"/>
  <c r="BY103" i="55" s="1"/>
  <c r="CQ103" i="55"/>
  <c r="DB103" i="55"/>
  <c r="DN103" i="55"/>
  <c r="CA103" i="55"/>
  <c r="BT103" i="55"/>
  <c r="CD103" i="55"/>
  <c r="DC103" i="55"/>
  <c r="I103" i="55" s="1"/>
  <c r="DD103" i="55" s="1"/>
  <c r="CO103" i="55"/>
  <c r="CP103" i="55" s="1"/>
  <c r="Y103" i="55" s="1"/>
  <c r="BO103" i="55"/>
  <c r="DI103" i="55"/>
  <c r="H103" i="55" s="1"/>
  <c r="DJ103" i="55" s="1"/>
  <c r="P103" i="55"/>
  <c r="FA103" i="55" s="1"/>
  <c r="BF341" i="55"/>
  <c r="BG341" i="55" s="1"/>
  <c r="BE341" i="55"/>
  <c r="FA328" i="55"/>
  <c r="FB328" i="55"/>
  <c r="FG324" i="55"/>
  <c r="BW324" i="55"/>
  <c r="BS324" i="55"/>
  <c r="GL324" i="55" s="1"/>
  <c r="BI324" i="55" a="1"/>
  <c r="BI324" i="55" s="1"/>
  <c r="FG260" i="55"/>
  <c r="BW260" i="55"/>
  <c r="BS260" i="55"/>
  <c r="GL260" i="55" s="1"/>
  <c r="FG196" i="55"/>
  <c r="BW196" i="55"/>
  <c r="BS196" i="55"/>
  <c r="GL196" i="55" s="1"/>
  <c r="FG132" i="55"/>
  <c r="BW132" i="55"/>
  <c r="BS132" i="55"/>
  <c r="GL132" i="55" s="1"/>
  <c r="FG68" i="55"/>
  <c r="BW68" i="55"/>
  <c r="BS68" i="55"/>
  <c r="BI68" i="55" a="1"/>
  <c r="BI68" i="55" s="1"/>
  <c r="GG200" i="55"/>
  <c r="GD200" i="55"/>
  <c r="BQ266" i="55"/>
  <c r="BS294" i="55"/>
  <c r="GL294" i="55" s="1"/>
  <c r="FX80" i="55" a="1"/>
  <c r="FX80" i="55" s="1"/>
  <c r="FY80" i="55"/>
  <c r="FB321" i="55"/>
  <c r="IK350" i="55"/>
  <c r="GO350" i="55"/>
  <c r="IK241" i="55"/>
  <c r="GO241" i="55"/>
  <c r="IK193" i="55"/>
  <c r="GO193" i="55"/>
  <c r="IK143" i="55"/>
  <c r="GO143" i="55"/>
  <c r="IK15" i="55"/>
  <c r="GO15" i="55"/>
  <c r="JH342" i="55"/>
  <c r="JI342" i="55" s="1"/>
  <c r="FF342" i="55"/>
  <c r="DI342" i="55"/>
  <c r="H342" i="55" s="1"/>
  <c r="DJ342" i="55" s="1"/>
  <c r="DB342" i="55"/>
  <c r="CQ342" i="55"/>
  <c r="CC342" i="55"/>
  <c r="CO342" i="55"/>
  <c r="CP342" i="55" s="1"/>
  <c r="Y342" i="55" s="1"/>
  <c r="GA342" i="55"/>
  <c r="BY342" i="55" s="1"/>
  <c r="DN342" i="55"/>
  <c r="DC342" i="55"/>
  <c r="I342" i="55" s="1"/>
  <c r="DD342" i="55" s="1"/>
  <c r="P342" i="55"/>
  <c r="FA342" i="55" s="1"/>
  <c r="CA342" i="55"/>
  <c r="CD342" i="55"/>
  <c r="BO342" i="55"/>
  <c r="BP342" i="55"/>
  <c r="BT342" i="55"/>
  <c r="JH278" i="55"/>
  <c r="JI278" i="55" s="1"/>
  <c r="FF278" i="55"/>
  <c r="GA278" i="55"/>
  <c r="DI278" i="55"/>
  <c r="H278" i="55" s="1"/>
  <c r="DJ278" i="55" s="1"/>
  <c r="BY278" i="55"/>
  <c r="DN278" i="55"/>
  <c r="CC278" i="55"/>
  <c r="CQ278" i="55"/>
  <c r="CO278" i="55"/>
  <c r="CP278" i="55" s="1"/>
  <c r="Y278" i="55" s="1"/>
  <c r="BO278" i="55"/>
  <c r="DB278" i="55"/>
  <c r="BT278" i="55"/>
  <c r="DC278" i="55"/>
  <c r="I278" i="55" s="1"/>
  <c r="DD278" i="55" s="1"/>
  <c r="CA278" i="55"/>
  <c r="JH198" i="55"/>
  <c r="JI198" i="55" s="1"/>
  <c r="FF198" i="55"/>
  <c r="GA198" i="55"/>
  <c r="BY198" i="55" s="1"/>
  <c r="DI198" i="55"/>
  <c r="H198" i="55" s="1"/>
  <c r="DJ198" i="55" s="1"/>
  <c r="CQ198" i="55"/>
  <c r="DB198" i="55"/>
  <c r="CD198" i="55"/>
  <c r="CO198" i="55"/>
  <c r="CP198" i="55" s="1"/>
  <c r="Y198" i="55" s="1"/>
  <c r="DC198" i="55"/>
  <c r="I198" i="55" s="1"/>
  <c r="DD198" i="55" s="1"/>
  <c r="DN198" i="55"/>
  <c r="CA198" i="55"/>
  <c r="CC198" i="55"/>
  <c r="BT198" i="55"/>
  <c r="JH150" i="55"/>
  <c r="JI150" i="55" s="1"/>
  <c r="GA150" i="55"/>
  <c r="DI150" i="55"/>
  <c r="H150" i="55" s="1"/>
  <c r="DJ150" i="55" s="1"/>
  <c r="BY150" i="55"/>
  <c r="CC150" i="55"/>
  <c r="CO150" i="55"/>
  <c r="CP150" i="55" s="1"/>
  <c r="Y150" i="55" s="1"/>
  <c r="DN150" i="55"/>
  <c r="BT150" i="55"/>
  <c r="BO150" i="55"/>
  <c r="DC150" i="55"/>
  <c r="I150" i="55" s="1"/>
  <c r="DD150" i="55" s="1"/>
  <c r="CQ150" i="55"/>
  <c r="P150" i="55"/>
  <c r="BP150" i="55"/>
  <c r="JH86" i="55"/>
  <c r="JI86" i="55" s="1"/>
  <c r="DI86" i="55"/>
  <c r="H86" i="55" s="1"/>
  <c r="DJ86" i="55" s="1"/>
  <c r="DB86" i="55"/>
  <c r="GA86" i="55"/>
  <c r="BY86" i="55" s="1"/>
  <c r="CQ86" i="55"/>
  <c r="CO86" i="55"/>
  <c r="CP86" i="55" s="1"/>
  <c r="Y86" i="55" s="1"/>
  <c r="CC86" i="55"/>
  <c r="CD86" i="55"/>
  <c r="DN86" i="55"/>
  <c r="BP86" i="55"/>
  <c r="CA86" i="55"/>
  <c r="DC86" i="55"/>
  <c r="I86" i="55" s="1"/>
  <c r="DD86" i="55" s="1"/>
  <c r="P86" i="55"/>
  <c r="JH38" i="55"/>
  <c r="JI38" i="55" s="1"/>
  <c r="FF38" i="55"/>
  <c r="GA38" i="55"/>
  <c r="BY38" i="55" s="1"/>
  <c r="DI38" i="55"/>
  <c r="H38" i="55" s="1"/>
  <c r="DJ38" i="55" s="1"/>
  <c r="DB38" i="55"/>
  <c r="BT38" i="55"/>
  <c r="CC38" i="55"/>
  <c r="CQ38" i="55"/>
  <c r="CO38" i="55"/>
  <c r="CP38" i="55" s="1"/>
  <c r="Y38" i="55" s="1"/>
  <c r="DC38" i="55"/>
  <c r="I38" i="55" s="1"/>
  <c r="DD38" i="55" s="1"/>
  <c r="DN38" i="55"/>
  <c r="CA38" i="55"/>
  <c r="BP38" i="55"/>
  <c r="CD38" i="55"/>
  <c r="P38" i="55"/>
  <c r="JH22" i="55"/>
  <c r="JI22" i="55" s="1"/>
  <c r="GA22" i="55"/>
  <c r="BY22" i="55" s="1"/>
  <c r="DI22" i="55"/>
  <c r="H22" i="55" s="1"/>
  <c r="DJ22" i="55" s="1"/>
  <c r="DB22" i="55"/>
  <c r="CO22" i="55"/>
  <c r="CP22" i="55" s="1"/>
  <c r="Y22" i="55" s="1"/>
  <c r="DN22" i="55"/>
  <c r="CC22" i="55"/>
  <c r="DC22" i="55"/>
  <c r="I22" i="55" s="1"/>
  <c r="DD22" i="55" s="1"/>
  <c r="CQ22" i="55"/>
  <c r="BO22" i="55"/>
  <c r="CD22" i="55"/>
  <c r="BT22" i="55"/>
  <c r="P22" i="55"/>
  <c r="CA22" i="55"/>
  <c r="BF340" i="55"/>
  <c r="BG340" i="55" s="1"/>
  <c r="BI340" i="55" s="1" a="1"/>
  <c r="BI340" i="55" s="1"/>
  <c r="BE340" i="55"/>
  <c r="IK340" i="55"/>
  <c r="GO340" i="55"/>
  <c r="IK281" i="55"/>
  <c r="GO281" i="55"/>
  <c r="IK261" i="55"/>
  <c r="GO261" i="55"/>
  <c r="IK202" i="55"/>
  <c r="GO202" i="55"/>
  <c r="GO182" i="55"/>
  <c r="IK182" i="55"/>
  <c r="IK84" i="55"/>
  <c r="GO84" i="55"/>
  <c r="IK25" i="55"/>
  <c r="GO25" i="55"/>
  <c r="FF341" i="55"/>
  <c r="GI341" i="55"/>
  <c r="GA341" i="55"/>
  <c r="BY341" i="55" s="1"/>
  <c r="DI341" i="55"/>
  <c r="H341" i="55" s="1"/>
  <c r="DJ341" i="55" s="1"/>
  <c r="CO341" i="55"/>
  <c r="CP341" i="55" s="1"/>
  <c r="Y341" i="55" s="1"/>
  <c r="BO341" i="55"/>
  <c r="BW341" i="55"/>
  <c r="BT341" i="55"/>
  <c r="CA341" i="55"/>
  <c r="DC341" i="55"/>
  <c r="I341" i="55" s="1"/>
  <c r="DD341" i="55" s="1"/>
  <c r="DN341" i="55"/>
  <c r="CQ341" i="55"/>
  <c r="CD341" i="55"/>
  <c r="BP341" i="55"/>
  <c r="CC341" i="55"/>
  <c r="JH309" i="55"/>
  <c r="JI309" i="55" s="1"/>
  <c r="FF309" i="55"/>
  <c r="DC309" i="55"/>
  <c r="I309" i="55" s="1"/>
  <c r="DD309" i="55" s="1"/>
  <c r="GA309" i="55"/>
  <c r="BY309" i="55"/>
  <c r="DN309" i="55"/>
  <c r="CQ309" i="55"/>
  <c r="CO309" i="55"/>
  <c r="CP309" i="55" s="1"/>
  <c r="Y309" i="55" s="1"/>
  <c r="BO309" i="55"/>
  <c r="CD309" i="55"/>
  <c r="DI309" i="55"/>
  <c r="H309" i="55" s="1"/>
  <c r="DJ309" i="55" s="1"/>
  <c r="BT309" i="55"/>
  <c r="BP309" i="55"/>
  <c r="BI309" i="55" a="1"/>
  <c r="BI309" i="55" s="1"/>
  <c r="C309" i="55" s="1"/>
  <c r="BJ309" i="55" s="1"/>
  <c r="DB309" i="55"/>
  <c r="CA309" i="55"/>
  <c r="JH277" i="55"/>
  <c r="JI277" i="55" s="1"/>
  <c r="FF277" i="55"/>
  <c r="DI277" i="55"/>
  <c r="H277" i="55" s="1"/>
  <c r="DJ277" i="55" s="1"/>
  <c r="GA277" i="55"/>
  <c r="BY277" i="55"/>
  <c r="DN277" i="55"/>
  <c r="CO277" i="55"/>
  <c r="CP277" i="55" s="1"/>
  <c r="Y277" i="55" s="1"/>
  <c r="BO277" i="55"/>
  <c r="DC277" i="55"/>
  <c r="I277" i="55" s="1"/>
  <c r="DD277" i="55" s="1"/>
  <c r="DB277" i="55"/>
  <c r="BT277" i="55"/>
  <c r="BI277" i="55" a="1"/>
  <c r="BI277" i="55" s="1"/>
  <c r="CC277" i="55"/>
  <c r="BW277" i="55"/>
  <c r="BP277" i="55"/>
  <c r="JH229" i="55"/>
  <c r="JI229" i="55" s="1"/>
  <c r="FF229" i="55"/>
  <c r="GA229" i="55"/>
  <c r="BY229" i="55" s="1"/>
  <c r="DI229" i="55"/>
  <c r="H229" i="55" s="1"/>
  <c r="DJ229" i="55" s="1"/>
  <c r="CO229" i="55"/>
  <c r="CP229" i="55" s="1"/>
  <c r="Y229" i="55" s="1"/>
  <c r="CA229" i="55"/>
  <c r="BO229" i="55"/>
  <c r="DB229" i="55"/>
  <c r="BW229" i="55"/>
  <c r="DC229" i="55"/>
  <c r="I229" i="55" s="1"/>
  <c r="DD229" i="55" s="1"/>
  <c r="BT229" i="55"/>
  <c r="BP229" i="55"/>
  <c r="CC229" i="55"/>
  <c r="P229" i="55"/>
  <c r="FA229" i="55" s="1"/>
  <c r="CQ229" i="55"/>
  <c r="DN229" i="55"/>
  <c r="JH181" i="55"/>
  <c r="JI181" i="55" s="1"/>
  <c r="FF181" i="55"/>
  <c r="GA181" i="55"/>
  <c r="DC181" i="55"/>
  <c r="I181" i="55" s="1"/>
  <c r="DD181" i="55" s="1"/>
  <c r="BY181" i="55"/>
  <c r="CQ181" i="55"/>
  <c r="CO181" i="55"/>
  <c r="CP181" i="55" s="1"/>
  <c r="Y181" i="55" s="1"/>
  <c r="DN181" i="55"/>
  <c r="BO181" i="55"/>
  <c r="CD181" i="55"/>
  <c r="CC181" i="55"/>
  <c r="BT181" i="55"/>
  <c r="DB181" i="55"/>
  <c r="DI181" i="55"/>
  <c r="H181" i="55" s="1"/>
  <c r="DJ181" i="55" s="1"/>
  <c r="CA181" i="55"/>
  <c r="BP181" i="55"/>
  <c r="JH165" i="55"/>
  <c r="JI165" i="55" s="1"/>
  <c r="FF165" i="55"/>
  <c r="GA165" i="55"/>
  <c r="BY165" i="55"/>
  <c r="DN165" i="55"/>
  <c r="CO165" i="55"/>
  <c r="CP165" i="55" s="1"/>
  <c r="Y165" i="55" s="1"/>
  <c r="DI165" i="55"/>
  <c r="H165" i="55" s="1"/>
  <c r="DJ165" i="55" s="1"/>
  <c r="CA165" i="55"/>
  <c r="BO165" i="55"/>
  <c r="DB165" i="55"/>
  <c r="DC165" i="55"/>
  <c r="I165" i="55" s="1"/>
  <c r="DD165" i="55" s="1"/>
  <c r="CQ165" i="55"/>
  <c r="BP165" i="55"/>
  <c r="BW165" i="55"/>
  <c r="BI165" i="55" a="1"/>
  <c r="BI165" i="55" s="1"/>
  <c r="C165" i="55" s="1"/>
  <c r="BJ165" i="55" s="1"/>
  <c r="CD165" i="55"/>
  <c r="CC165" i="55"/>
  <c r="BT165" i="55"/>
  <c r="P165" i="55"/>
  <c r="FA165" i="55" s="1"/>
  <c r="JH133" i="55"/>
  <c r="JI133" i="55" s="1"/>
  <c r="DN133" i="55"/>
  <c r="DI133" i="55"/>
  <c r="H133" i="55" s="1"/>
  <c r="DJ133" i="55" s="1"/>
  <c r="DB133" i="55"/>
  <c r="CO133" i="55"/>
  <c r="CP133" i="55" s="1"/>
  <c r="Y133" i="55" s="1"/>
  <c r="DC133" i="55"/>
  <c r="I133" i="55" s="1"/>
  <c r="DD133" i="55" s="1"/>
  <c r="BO133" i="55"/>
  <c r="CQ133" i="55"/>
  <c r="GA133" i="55"/>
  <c r="BY133" i="55" s="1"/>
  <c r="BT133" i="55"/>
  <c r="CD133" i="55"/>
  <c r="BP133" i="55"/>
  <c r="BW133" i="55"/>
  <c r="CA133" i="55"/>
  <c r="JH101" i="55"/>
  <c r="JI101" i="55" s="1"/>
  <c r="GA101" i="55"/>
  <c r="BY101" i="55" s="1"/>
  <c r="DC101" i="55"/>
  <c r="I101" i="55" s="1"/>
  <c r="DD101" i="55" s="1"/>
  <c r="CA101" i="55"/>
  <c r="DN101" i="55"/>
  <c r="DB101" i="55"/>
  <c r="BO101" i="55"/>
  <c r="CQ101" i="55"/>
  <c r="CD101" i="55"/>
  <c r="BP101" i="55"/>
  <c r="CO101" i="55"/>
  <c r="CP101" i="55" s="1"/>
  <c r="Y101" i="55" s="1"/>
  <c r="BW101" i="55"/>
  <c r="CC101" i="55"/>
  <c r="DI101" i="55"/>
  <c r="H101" i="55" s="1"/>
  <c r="DJ101" i="55" s="1"/>
  <c r="FF53" i="55"/>
  <c r="DC53" i="55"/>
  <c r="I53" i="55" s="1"/>
  <c r="DD53" i="55" s="1"/>
  <c r="DN53" i="55"/>
  <c r="CQ53" i="55"/>
  <c r="DI53" i="55"/>
  <c r="H53" i="55" s="1"/>
  <c r="DJ53" i="55" s="1"/>
  <c r="BO53" i="55"/>
  <c r="CD53" i="55"/>
  <c r="GI53" i="55"/>
  <c r="GA53" i="55"/>
  <c r="BY53" i="55" s="1"/>
  <c r="BT53" i="55"/>
  <c r="CA53" i="55"/>
  <c r="CO53" i="55"/>
  <c r="CP53" i="55" s="1"/>
  <c r="Y53" i="55" s="1"/>
  <c r="JH21" i="55"/>
  <c r="JI21" i="55" s="1"/>
  <c r="GA21" i="55"/>
  <c r="DI21" i="55"/>
  <c r="H21" i="55" s="1"/>
  <c r="DJ21" i="55" s="1"/>
  <c r="DB21" i="55"/>
  <c r="BY21" i="55"/>
  <c r="DN21" i="55"/>
  <c r="DC21" i="55"/>
  <c r="I21" i="55" s="1"/>
  <c r="DD21" i="55" s="1"/>
  <c r="BO21" i="55"/>
  <c r="CQ21" i="55"/>
  <c r="CA21" i="55"/>
  <c r="CO21" i="55"/>
  <c r="CP21" i="55" s="1"/>
  <c r="Y21" i="55" s="1"/>
  <c r="CC21" i="55"/>
  <c r="BT21" i="55"/>
  <c r="CD21" i="55"/>
  <c r="BP21" i="55"/>
  <c r="P21" i="55"/>
  <c r="FA21" i="55" s="1"/>
  <c r="BF227" i="55"/>
  <c r="BG227" i="55" s="1"/>
  <c r="BE227" i="55"/>
  <c r="BE179" i="55"/>
  <c r="BF179" i="55"/>
  <c r="BG179" i="55" s="1"/>
  <c r="BF51" i="55"/>
  <c r="BG51" i="55" s="1"/>
  <c r="BE51" i="55"/>
  <c r="BE325" i="55"/>
  <c r="BI325" i="55" s="1" a="1"/>
  <c r="BI325" i="55" s="1"/>
  <c r="C325" i="55" s="1"/>
  <c r="BJ325" i="55" s="1"/>
  <c r="BE291" i="55"/>
  <c r="BE164" i="55"/>
  <c r="P164" i="55" s="1"/>
  <c r="BE100" i="55"/>
  <c r="P100" i="55" s="1"/>
  <c r="BF260" i="55"/>
  <c r="BG260" i="55" s="1"/>
  <c r="BI260" i="55" s="1" a="1"/>
  <c r="BI260" i="55" s="1"/>
  <c r="C260" i="55" s="1"/>
  <c r="BJ260" i="55" s="1"/>
  <c r="IK352" i="55"/>
  <c r="GO352" i="55"/>
  <c r="IK342" i="55"/>
  <c r="GO342" i="55"/>
  <c r="IK224" i="55"/>
  <c r="GO224" i="55"/>
  <c r="IK125" i="55"/>
  <c r="GO125" i="55"/>
  <c r="IK105" i="55"/>
  <c r="GO105" i="55"/>
  <c r="IK86" i="55"/>
  <c r="GO86" i="55"/>
  <c r="FG326" i="55"/>
  <c r="BW326" i="55"/>
  <c r="BS326" i="55"/>
  <c r="GL326" i="55" s="1"/>
  <c r="BI326" i="55" a="1"/>
  <c r="BI326" i="55" s="1"/>
  <c r="C326" i="55" s="1"/>
  <c r="BJ326" i="55" s="1"/>
  <c r="FG278" i="55"/>
  <c r="CE278" i="55" s="1" a="1"/>
  <c r="CE278" i="55" s="1"/>
  <c r="EK278" i="55" s="1"/>
  <c r="BS278" i="55"/>
  <c r="BI278" i="55" a="1"/>
  <c r="BI278" i="55" s="1"/>
  <c r="C278" i="55" s="1"/>
  <c r="BJ278" i="55" s="1"/>
  <c r="BW278" i="55"/>
  <c r="FG230" i="55"/>
  <c r="BS230" i="55"/>
  <c r="GL230" i="55" s="1"/>
  <c r="BQ230" i="55"/>
  <c r="BW230" i="55"/>
  <c r="FG182" i="55"/>
  <c r="BW182" i="55"/>
  <c r="BI182" i="55" a="1"/>
  <c r="BI182" i="55" s="1"/>
  <c r="FG134" i="55"/>
  <c r="BW134" i="55"/>
  <c r="BI134" i="55" a="1"/>
  <c r="BI134" i="55" s="1"/>
  <c r="BS134" i="55"/>
  <c r="GL134" i="55" s="1"/>
  <c r="HV102" i="55"/>
  <c r="FG102" i="55"/>
  <c r="FG54" i="55"/>
  <c r="BW54" i="55"/>
  <c r="BS54" i="55"/>
  <c r="GL54" i="55" s="1"/>
  <c r="FG22" i="55"/>
  <c r="BS22" i="55"/>
  <c r="GL22" i="55" s="1"/>
  <c r="BW22" i="55"/>
  <c r="FA9" i="55"/>
  <c r="FB9" i="55"/>
  <c r="IK322" i="55"/>
  <c r="GO322" i="55"/>
  <c r="IK184" i="55"/>
  <c r="GO184" i="55"/>
  <c r="IK114" i="55"/>
  <c r="GO114" i="55"/>
  <c r="IK76" i="55"/>
  <c r="GO76" i="55"/>
  <c r="IK66" i="55"/>
  <c r="GO66" i="55"/>
  <c r="IK7" i="55"/>
  <c r="GO7" i="55"/>
  <c r="GG253" i="55"/>
  <c r="GD253" i="55"/>
  <c r="GD18" i="55"/>
  <c r="GG18" i="55"/>
  <c r="BS295" i="55"/>
  <c r="GL295" i="55" s="1"/>
  <c r="HX240" i="55"/>
  <c r="HY240" i="55"/>
  <c r="HY32" i="55"/>
  <c r="HX32" i="55"/>
  <c r="FX81" i="55" a="1"/>
  <c r="FX81" i="55" s="1"/>
  <c r="FZ81" i="55" s="1"/>
  <c r="FY81" i="55"/>
  <c r="IK341" i="55"/>
  <c r="GO341" i="55"/>
  <c r="IK301" i="55"/>
  <c r="GO301" i="55"/>
  <c r="IK213" i="55"/>
  <c r="GO213" i="55"/>
  <c r="IK173" i="55"/>
  <c r="GO173" i="55"/>
  <c r="IK134" i="55"/>
  <c r="GO134" i="55"/>
  <c r="IK75" i="55"/>
  <c r="GO75" i="55"/>
  <c r="JH343" i="55"/>
  <c r="JI343" i="55" s="1"/>
  <c r="FF343" i="55"/>
  <c r="GA343" i="55"/>
  <c r="BY343" i="55" s="1"/>
  <c r="DN343" i="55"/>
  <c r="CQ343" i="55"/>
  <c r="DI343" i="55"/>
  <c r="H343" i="55" s="1"/>
  <c r="DJ343" i="55" s="1"/>
  <c r="DB343" i="55"/>
  <c r="CC343" i="55"/>
  <c r="BT343" i="55"/>
  <c r="DC343" i="55"/>
  <c r="I343" i="55" s="1"/>
  <c r="DD343" i="55" s="1"/>
  <c r="BP343" i="55"/>
  <c r="CO343" i="55"/>
  <c r="CP343" i="55" s="1"/>
  <c r="Y343" i="55" s="1"/>
  <c r="CA343" i="55"/>
  <c r="JH279" i="55"/>
  <c r="JI279" i="55" s="1"/>
  <c r="FF279" i="55"/>
  <c r="GA279" i="55"/>
  <c r="BY279" i="55" s="1"/>
  <c r="DN279" i="55"/>
  <c r="CQ279" i="55"/>
  <c r="DI279" i="55"/>
  <c r="H279" i="55" s="1"/>
  <c r="DJ279" i="55" s="1"/>
  <c r="DC279" i="55"/>
  <c r="I279" i="55" s="1"/>
  <c r="DD279" i="55" s="1"/>
  <c r="CC279" i="55"/>
  <c r="CO279" i="55"/>
  <c r="CP279" i="55" s="1"/>
  <c r="Y279" i="55" s="1"/>
  <c r="BP279" i="55"/>
  <c r="BT279" i="55"/>
  <c r="DB279" i="55"/>
  <c r="BO279" i="55"/>
  <c r="BQ279" i="55" s="1"/>
  <c r="JH183" i="55"/>
  <c r="JI183" i="55" s="1"/>
  <c r="FF183" i="55"/>
  <c r="GA183" i="55"/>
  <c r="CQ183" i="55"/>
  <c r="DC183" i="55"/>
  <c r="I183" i="55" s="1"/>
  <c r="DD183" i="55" s="1"/>
  <c r="BY183" i="55"/>
  <c r="CA183" i="55"/>
  <c r="DI183" i="55"/>
  <c r="H183" i="55" s="1"/>
  <c r="DJ183" i="55" s="1"/>
  <c r="CD183" i="55"/>
  <c r="DN183" i="55"/>
  <c r="DB183" i="55"/>
  <c r="BP183" i="55"/>
  <c r="BQ183" i="55" s="1"/>
  <c r="BO183" i="55"/>
  <c r="CO183" i="55"/>
  <c r="CP183" i="55" s="1"/>
  <c r="Y183" i="55" s="1"/>
  <c r="P183" i="55"/>
  <c r="FA183" i="55" s="1"/>
  <c r="JH135" i="55"/>
  <c r="JI135" i="55" s="1"/>
  <c r="DC135" i="55"/>
  <c r="I135" i="55" s="1"/>
  <c r="DD135" i="55" s="1"/>
  <c r="CQ135" i="55"/>
  <c r="DN135" i="55"/>
  <c r="GA135" i="55"/>
  <c r="DB135" i="55"/>
  <c r="BY135" i="55"/>
  <c r="CO135" i="55"/>
  <c r="CP135" i="55" s="1"/>
  <c r="Y135" i="55" s="1"/>
  <c r="BP135" i="55"/>
  <c r="BO135" i="55"/>
  <c r="DI135" i="55"/>
  <c r="H135" i="55" s="1"/>
  <c r="DJ135" i="55" s="1"/>
  <c r="CD135" i="55"/>
  <c r="CA135" i="55"/>
  <c r="JH71" i="55"/>
  <c r="JI71" i="55" s="1"/>
  <c r="GA71" i="55"/>
  <c r="DC71" i="55"/>
  <c r="I71" i="55" s="1"/>
  <c r="DD71" i="55" s="1"/>
  <c r="CQ71" i="55"/>
  <c r="DN71" i="55"/>
  <c r="BY71" i="55"/>
  <c r="DB71" i="55"/>
  <c r="DI71" i="55"/>
  <c r="H71" i="55" s="1"/>
  <c r="DJ71" i="55" s="1"/>
  <c r="CD71" i="55"/>
  <c r="BO71" i="55"/>
  <c r="BQ71" i="55" s="1"/>
  <c r="CC71" i="55"/>
  <c r="BT71" i="55"/>
  <c r="BP71" i="55"/>
  <c r="JH7" i="55"/>
  <c r="JI7" i="55" s="1"/>
  <c r="GA7" i="55"/>
  <c r="DC7" i="55"/>
  <c r="I7" i="55" s="1"/>
  <c r="DD7" i="55" s="1"/>
  <c r="CQ7" i="55"/>
  <c r="DN7" i="55"/>
  <c r="DI7" i="55"/>
  <c r="H7" i="55" s="1"/>
  <c r="DJ7" i="55" s="1"/>
  <c r="DB7" i="55"/>
  <c r="CO7" i="55"/>
  <c r="CP7" i="55" s="1"/>
  <c r="Y7" i="55" s="1"/>
  <c r="BY7" i="55"/>
  <c r="CC7" i="55"/>
  <c r="BT7" i="55"/>
  <c r="BP7" i="55"/>
  <c r="CA7" i="55"/>
  <c r="CD7" i="55"/>
  <c r="BO7" i="55"/>
  <c r="BF101" i="55"/>
  <c r="BG101" i="55" s="1"/>
  <c r="BI101" i="55" s="1" a="1"/>
  <c r="BI101" i="55" s="1"/>
  <c r="BE101" i="55"/>
  <c r="P101" i="55" s="1"/>
  <c r="BF229" i="55"/>
  <c r="BG229" i="55" s="1"/>
  <c r="BI229" i="55" s="1" a="1"/>
  <c r="BI229" i="55" s="1"/>
  <c r="C229" i="55" s="1"/>
  <c r="BJ229" i="55" s="1"/>
  <c r="FG308" i="55"/>
  <c r="BW308" i="55"/>
  <c r="BS308" i="55"/>
  <c r="GL308" i="55" s="1"/>
  <c r="FG244" i="55"/>
  <c r="BW244" i="55"/>
  <c r="BS244" i="55"/>
  <c r="GL244" i="55" s="1"/>
  <c r="BI244" i="55" a="1"/>
  <c r="BI244" i="55" s="1"/>
  <c r="C244" i="55" s="1"/>
  <c r="BJ244" i="55" s="1"/>
  <c r="FG180" i="55"/>
  <c r="BW180" i="55"/>
  <c r="BS180" i="55"/>
  <c r="GL180" i="55" s="1"/>
  <c r="FG116" i="55"/>
  <c r="BW116" i="55"/>
  <c r="BS116" i="55"/>
  <c r="GL116" i="55" s="1"/>
  <c r="FG20" i="55"/>
  <c r="BI20" i="55" a="1"/>
  <c r="BI20" i="55" s="1"/>
  <c r="FA234" i="55"/>
  <c r="FB234" i="55"/>
  <c r="P7" i="55"/>
  <c r="T20" i="55"/>
  <c r="IK321" i="55"/>
  <c r="GO321" i="55"/>
  <c r="IK271" i="55"/>
  <c r="GO251" i="55"/>
  <c r="IK251" i="55"/>
  <c r="IK231" i="55"/>
  <c r="GO231" i="55"/>
  <c r="IK113" i="55"/>
  <c r="GO113" i="55"/>
  <c r="IK65" i="55"/>
  <c r="GO65" i="55"/>
  <c r="JH310" i="55"/>
  <c r="JI310" i="55" s="1"/>
  <c r="FF310" i="55"/>
  <c r="GA310" i="55"/>
  <c r="BY310" i="55" s="1"/>
  <c r="DI310" i="55"/>
  <c r="H310" i="55" s="1"/>
  <c r="DJ310" i="55" s="1"/>
  <c r="DN310" i="55"/>
  <c r="CQ310" i="55"/>
  <c r="BT310" i="55"/>
  <c r="DB310" i="55"/>
  <c r="CO310" i="55"/>
  <c r="CP310" i="55" s="1"/>
  <c r="Y310" i="55" s="1"/>
  <c r="DC310" i="55"/>
  <c r="I310" i="55" s="1"/>
  <c r="DD310" i="55" s="1"/>
  <c r="BO310" i="55"/>
  <c r="BP310" i="55"/>
  <c r="CA310" i="55"/>
  <c r="P310" i="55"/>
  <c r="CD310" i="55"/>
  <c r="JH246" i="55"/>
  <c r="JI246" i="55" s="1"/>
  <c r="FF246" i="55"/>
  <c r="GA246" i="55"/>
  <c r="BY246" i="55" s="1"/>
  <c r="DI246" i="55"/>
  <c r="H246" i="55" s="1"/>
  <c r="DJ246" i="55" s="1"/>
  <c r="DC246" i="55"/>
  <c r="I246" i="55" s="1"/>
  <c r="DD246" i="55" s="1"/>
  <c r="BT246" i="55"/>
  <c r="DN246" i="55"/>
  <c r="CQ246" i="55"/>
  <c r="CO246" i="55"/>
  <c r="CP246" i="55" s="1"/>
  <c r="Y246" i="55" s="1"/>
  <c r="CA246" i="55"/>
  <c r="DB246" i="55"/>
  <c r="CC246" i="55"/>
  <c r="CD246" i="55"/>
  <c r="JH214" i="55"/>
  <c r="JI214" i="55" s="1"/>
  <c r="FF214" i="55"/>
  <c r="GA214" i="55"/>
  <c r="BY214" i="55" s="1"/>
  <c r="DI214" i="55"/>
  <c r="H214" i="55" s="1"/>
  <c r="DJ214" i="55" s="1"/>
  <c r="DC214" i="55"/>
  <c r="I214" i="55" s="1"/>
  <c r="DD214" i="55" s="1"/>
  <c r="DB214" i="55"/>
  <c r="CC214" i="55"/>
  <c r="DN214" i="55"/>
  <c r="CO214" i="55"/>
  <c r="CP214" i="55" s="1"/>
  <c r="Y214" i="55" s="1"/>
  <c r="CD214" i="55"/>
  <c r="P214" i="55"/>
  <c r="CA214" i="55"/>
  <c r="BP214" i="55"/>
  <c r="BT214" i="55"/>
  <c r="CQ214" i="55"/>
  <c r="JH166" i="55"/>
  <c r="JI166" i="55" s="1"/>
  <c r="FF166" i="55"/>
  <c r="DI166" i="55"/>
  <c r="H166" i="55" s="1"/>
  <c r="DJ166" i="55" s="1"/>
  <c r="GA166" i="55"/>
  <c r="BY166" i="55" s="1"/>
  <c r="DN166" i="55"/>
  <c r="BT166" i="55"/>
  <c r="CQ166" i="55"/>
  <c r="CC166" i="55"/>
  <c r="DC166" i="55"/>
  <c r="I166" i="55" s="1"/>
  <c r="DD166" i="55" s="1"/>
  <c r="CO166" i="55"/>
  <c r="CP166" i="55" s="1"/>
  <c r="Y166" i="55" s="1"/>
  <c r="CA166" i="55"/>
  <c r="BO166" i="55"/>
  <c r="DB166" i="55"/>
  <c r="CD166" i="55"/>
  <c r="P166" i="55"/>
  <c r="FA166" i="55" s="1"/>
  <c r="JH118" i="55"/>
  <c r="JI118" i="55" s="1"/>
  <c r="DI118" i="55"/>
  <c r="H118" i="55" s="1"/>
  <c r="DJ118" i="55" s="1"/>
  <c r="CQ118" i="55"/>
  <c r="BT118" i="55"/>
  <c r="CC118" i="55"/>
  <c r="DN118" i="55"/>
  <c r="DB118" i="55"/>
  <c r="CO118" i="55"/>
  <c r="CP118" i="55" s="1"/>
  <c r="Y118" i="55" s="1"/>
  <c r="CD118" i="55"/>
  <c r="GA118" i="55"/>
  <c r="BY118" i="55" s="1"/>
  <c r="BO118" i="55"/>
  <c r="P118" i="55"/>
  <c r="DC118" i="55"/>
  <c r="I118" i="55" s="1"/>
  <c r="DD118" i="55" s="1"/>
  <c r="CA118" i="55"/>
  <c r="BP118" i="55"/>
  <c r="JH54" i="55"/>
  <c r="JI54" i="55" s="1"/>
  <c r="GA54" i="55"/>
  <c r="BY54" i="55" s="1"/>
  <c r="DI54" i="55"/>
  <c r="H54" i="55" s="1"/>
  <c r="DJ54" i="55" s="1"/>
  <c r="DB54" i="55"/>
  <c r="DN54" i="55"/>
  <c r="DC54" i="55"/>
  <c r="I54" i="55" s="1"/>
  <c r="DD54" i="55" s="1"/>
  <c r="CQ54" i="55"/>
  <c r="CO54" i="55"/>
  <c r="CP54" i="55" s="1"/>
  <c r="Y54" i="55" s="1"/>
  <c r="BT54" i="55"/>
  <c r="BO54" i="55"/>
  <c r="BP54" i="55"/>
  <c r="CD54" i="55"/>
  <c r="P54" i="55"/>
  <c r="FA54" i="55" s="1"/>
  <c r="BF228" i="55"/>
  <c r="BG228" i="55" s="1"/>
  <c r="BI228" i="55" s="1" a="1"/>
  <c r="BI228" i="55" s="1"/>
  <c r="BE228" i="55"/>
  <c r="BE180" i="55"/>
  <c r="BF180" i="55"/>
  <c r="BG180" i="55" s="1"/>
  <c r="BI180" i="55" s="1" a="1"/>
  <c r="BI180" i="55" s="1"/>
  <c r="BF83" i="55"/>
  <c r="BG83" i="55" s="1"/>
  <c r="BI83" i="55" s="1" a="1"/>
  <c r="BI83" i="55" s="1"/>
  <c r="BE83" i="55"/>
  <c r="IK242" i="55"/>
  <c r="GO242" i="55"/>
  <c r="GJ352" i="55"/>
  <c r="BN352" i="55"/>
  <c r="GJ288" i="55"/>
  <c r="BN288" i="55"/>
  <c r="S288" i="55" s="1"/>
  <c r="GJ208" i="55"/>
  <c r="BN208" i="55"/>
  <c r="GP208" i="55" s="1"/>
  <c r="S208" i="55"/>
  <c r="GJ144" i="55"/>
  <c r="BN144" i="55"/>
  <c r="GP144" i="55" s="1"/>
  <c r="GQ32" i="55"/>
  <c r="GJ32" i="55"/>
  <c r="BN32" i="55"/>
  <c r="GP32" i="55" s="1"/>
  <c r="GT32" i="55" s="1"/>
  <c r="DZ6" i="55"/>
  <c r="EB6" i="55"/>
  <c r="GS6" i="55" s="1"/>
  <c r="FB149" i="55"/>
  <c r="FA149" i="55"/>
  <c r="IK331" i="55"/>
  <c r="GO331" i="55"/>
  <c r="IK232" i="55"/>
  <c r="GO232" i="55"/>
  <c r="IK104" i="55"/>
  <c r="GO104" i="55"/>
  <c r="JH311" i="55"/>
  <c r="JI311" i="55" s="1"/>
  <c r="FF311" i="55"/>
  <c r="GA311" i="55"/>
  <c r="CQ311" i="55"/>
  <c r="DC311" i="55"/>
  <c r="I311" i="55" s="1"/>
  <c r="DD311" i="55" s="1"/>
  <c r="BY311" i="55"/>
  <c r="CA311" i="55"/>
  <c r="DI311" i="55"/>
  <c r="H311" i="55" s="1"/>
  <c r="DJ311" i="55" s="1"/>
  <c r="CO311" i="55"/>
  <c r="CP311" i="55" s="1"/>
  <c r="Y311" i="55" s="1"/>
  <c r="BT311" i="55"/>
  <c r="DN311" i="55"/>
  <c r="DB311" i="55"/>
  <c r="BP311" i="55"/>
  <c r="CC311" i="55"/>
  <c r="BO311" i="55"/>
  <c r="P311" i="55"/>
  <c r="FA311" i="55" s="1"/>
  <c r="CD311" i="55"/>
  <c r="JH247" i="55"/>
  <c r="JI247" i="55" s="1"/>
  <c r="FF247" i="55"/>
  <c r="GA247" i="55"/>
  <c r="BY247" i="55" s="1"/>
  <c r="CQ247" i="55"/>
  <c r="DC247" i="55"/>
  <c r="I247" i="55" s="1"/>
  <c r="DD247" i="55" s="1"/>
  <c r="DN247" i="55"/>
  <c r="DB247" i="55"/>
  <c r="CA247" i="55"/>
  <c r="CD247" i="55"/>
  <c r="CC247" i="55"/>
  <c r="CO247" i="55"/>
  <c r="CP247" i="55" s="1"/>
  <c r="Y247" i="55" s="1"/>
  <c r="DI247" i="55"/>
  <c r="H247" i="55" s="1"/>
  <c r="DJ247" i="55" s="1"/>
  <c r="P247" i="55"/>
  <c r="FA247" i="55" s="1"/>
  <c r="BT247" i="55"/>
  <c r="JH151" i="55"/>
  <c r="JI151" i="55" s="1"/>
  <c r="GA151" i="55"/>
  <c r="DN151" i="55"/>
  <c r="CQ151" i="55"/>
  <c r="DI151" i="55"/>
  <c r="H151" i="55" s="1"/>
  <c r="DJ151" i="55" s="1"/>
  <c r="DC151" i="55"/>
  <c r="I151" i="55" s="1"/>
  <c r="DD151" i="55" s="1"/>
  <c r="BY151" i="55"/>
  <c r="CC151" i="55"/>
  <c r="BT151" i="55"/>
  <c r="CA151" i="55"/>
  <c r="DB151" i="55"/>
  <c r="CD151" i="55"/>
  <c r="BP151" i="55"/>
  <c r="BO151" i="55"/>
  <c r="JH87" i="55"/>
  <c r="JI87" i="55" s="1"/>
  <c r="GA87" i="55"/>
  <c r="BY87" i="55" s="1"/>
  <c r="DN87" i="55"/>
  <c r="CQ87" i="55"/>
  <c r="DI87" i="55"/>
  <c r="H87" i="55" s="1"/>
  <c r="DJ87" i="55" s="1"/>
  <c r="DB87" i="55"/>
  <c r="DC87" i="55"/>
  <c r="I87" i="55" s="1"/>
  <c r="DD87" i="55" s="1"/>
  <c r="CO87" i="55"/>
  <c r="CP87" i="55" s="1"/>
  <c r="Y87" i="55" s="1"/>
  <c r="CC87" i="55"/>
  <c r="CA87" i="55"/>
  <c r="CD87" i="55"/>
  <c r="P87" i="55"/>
  <c r="FA87" i="55" s="1"/>
  <c r="BP87" i="55"/>
  <c r="BO87" i="55"/>
  <c r="JH39" i="55"/>
  <c r="JI39" i="55" s="1"/>
  <c r="FF39" i="55"/>
  <c r="GA39" i="55"/>
  <c r="BY39" i="55" s="1"/>
  <c r="CQ39" i="55"/>
  <c r="DB39" i="55"/>
  <c r="DC39" i="55"/>
  <c r="I39" i="55" s="1"/>
  <c r="DD39" i="55" s="1"/>
  <c r="CA39" i="55"/>
  <c r="BT39" i="55"/>
  <c r="DN39" i="55"/>
  <c r="CC39" i="55"/>
  <c r="DI39" i="55"/>
  <c r="H39" i="55" s="1"/>
  <c r="DJ39" i="55" s="1"/>
  <c r="CO39" i="55"/>
  <c r="CP39" i="55" s="1"/>
  <c r="Y39" i="55" s="1"/>
  <c r="CD39" i="55"/>
  <c r="P39" i="55"/>
  <c r="BP39" i="55"/>
  <c r="CE39" i="55" s="1" a="1"/>
  <c r="CE39" i="55" s="1"/>
  <c r="EK39" i="55" s="1"/>
  <c r="BF245" i="55"/>
  <c r="BG245" i="55" s="1"/>
  <c r="BI245" i="55" s="1" a="1"/>
  <c r="BI245" i="55" s="1"/>
  <c r="C245" i="55" s="1"/>
  <c r="BJ245" i="55" s="1"/>
  <c r="BE245" i="55"/>
  <c r="P245" i="55" s="1"/>
  <c r="EL245" i="55" s="1"/>
  <c r="BF213" i="55"/>
  <c r="BG213" i="55" s="1"/>
  <c r="BI213" i="55" s="1" a="1"/>
  <c r="BI213" i="55" s="1"/>
  <c r="C213" i="55" s="1"/>
  <c r="BJ213" i="55" s="1"/>
  <c r="BE213" i="55"/>
  <c r="P213" i="55" s="1"/>
  <c r="BE149" i="55"/>
  <c r="BI149" i="55" s="1" a="1"/>
  <c r="BI149" i="55" s="1"/>
  <c r="BF149" i="55"/>
  <c r="BG149" i="55" s="1"/>
  <c r="BF117" i="55"/>
  <c r="BG117" i="55" s="1"/>
  <c r="BE117" i="55"/>
  <c r="P117" i="55" s="1"/>
  <c r="BE21" i="55"/>
  <c r="BF21" i="55"/>
  <c r="BG21" i="55" s="1"/>
  <c r="BE293" i="55"/>
  <c r="P293" i="55" s="1"/>
  <c r="FA293" i="55" s="1"/>
  <c r="FG340" i="55"/>
  <c r="BS340" i="55"/>
  <c r="GL340" i="55" s="1"/>
  <c r="BW340" i="55"/>
  <c r="FG276" i="55"/>
  <c r="BS276" i="55"/>
  <c r="GL276" i="55" s="1"/>
  <c r="BW276" i="55"/>
  <c r="CE276" i="55" a="1"/>
  <c r="CE276" i="55" s="1"/>
  <c r="FG212" i="55"/>
  <c r="FG148" i="55"/>
  <c r="BS148" i="55"/>
  <c r="GL148" i="55" s="1"/>
  <c r="BW148" i="55"/>
  <c r="FG84" i="55"/>
  <c r="BW84" i="55"/>
  <c r="BS84" i="55"/>
  <c r="GL84" i="55" s="1"/>
  <c r="FG52" i="55"/>
  <c r="BW52" i="55"/>
  <c r="BS52" i="55"/>
  <c r="GL52" i="55" s="1"/>
  <c r="FG4" i="55"/>
  <c r="BW4" i="55"/>
  <c r="BI4" i="55" a="1"/>
  <c r="BI4" i="55" s="1"/>
  <c r="FX274" i="55" a="1"/>
  <c r="FX274" i="55" s="1"/>
  <c r="FY274" i="55"/>
  <c r="IK123" i="55"/>
  <c r="GO123" i="55"/>
  <c r="IK94" i="55"/>
  <c r="GO94" i="55"/>
  <c r="JH326" i="55"/>
  <c r="JI326" i="55" s="1"/>
  <c r="DI326" i="55"/>
  <c r="H326" i="55" s="1"/>
  <c r="DJ326" i="55" s="1"/>
  <c r="CQ326" i="55"/>
  <c r="DC326" i="55"/>
  <c r="I326" i="55" s="1"/>
  <c r="DD326" i="55" s="1"/>
  <c r="DB326" i="55"/>
  <c r="DN326" i="55"/>
  <c r="CD326" i="55"/>
  <c r="CO326" i="55"/>
  <c r="CP326" i="55" s="1"/>
  <c r="Y326" i="55" s="1"/>
  <c r="GA326" i="55"/>
  <c r="BY326" i="55" s="1"/>
  <c r="CA326" i="55"/>
  <c r="CC326" i="55"/>
  <c r="P326" i="55"/>
  <c r="BO326" i="55"/>
  <c r="BQ326" i="55" s="1"/>
  <c r="BT326" i="55"/>
  <c r="JH262" i="55"/>
  <c r="JI262" i="55" s="1"/>
  <c r="FF262" i="55"/>
  <c r="GA262" i="55"/>
  <c r="DI262" i="55"/>
  <c r="H262" i="55" s="1"/>
  <c r="DJ262" i="55" s="1"/>
  <c r="CQ262" i="55"/>
  <c r="DB262" i="55"/>
  <c r="BY262" i="55"/>
  <c r="CD262" i="55"/>
  <c r="CO262" i="55"/>
  <c r="CP262" i="55" s="1"/>
  <c r="Y262" i="55" s="1"/>
  <c r="CC262" i="55"/>
  <c r="BP262" i="55"/>
  <c r="DN262" i="55"/>
  <c r="DC262" i="55"/>
  <c r="I262" i="55" s="1"/>
  <c r="DD262" i="55" s="1"/>
  <c r="BT262" i="55"/>
  <c r="BO262" i="55"/>
  <c r="CA262" i="55"/>
  <c r="JH182" i="55"/>
  <c r="JI182" i="55" s="1"/>
  <c r="FF182" i="55"/>
  <c r="GA182" i="55"/>
  <c r="DI182" i="55"/>
  <c r="H182" i="55" s="1"/>
  <c r="DJ182" i="55" s="1"/>
  <c r="DC182" i="55"/>
  <c r="I182" i="55" s="1"/>
  <c r="DD182" i="55" s="1"/>
  <c r="BY182" i="55"/>
  <c r="DN182" i="55"/>
  <c r="BT182" i="55"/>
  <c r="CC182" i="55"/>
  <c r="DB182" i="55"/>
  <c r="CQ182" i="55"/>
  <c r="BO182" i="55"/>
  <c r="CO182" i="55"/>
  <c r="CP182" i="55" s="1"/>
  <c r="Y182" i="55" s="1"/>
  <c r="CD182" i="55"/>
  <c r="BP182" i="55"/>
  <c r="P182" i="55"/>
  <c r="FA182" i="55" s="1"/>
  <c r="GI102" i="55"/>
  <c r="FF102" i="55"/>
  <c r="GA102" i="55"/>
  <c r="DI102" i="55"/>
  <c r="H102" i="55" s="1"/>
  <c r="DJ102" i="55" s="1"/>
  <c r="BY102" i="55"/>
  <c r="DC102" i="55"/>
  <c r="I102" i="55" s="1"/>
  <c r="DD102" i="55" s="1"/>
  <c r="BT102" i="55"/>
  <c r="DN102" i="55"/>
  <c r="CC102" i="55"/>
  <c r="CQ102" i="55"/>
  <c r="CO102" i="55"/>
  <c r="CP102" i="55" s="1"/>
  <c r="Y102" i="55" s="1"/>
  <c r="CD102" i="55"/>
  <c r="BO102" i="55"/>
  <c r="P102" i="55"/>
  <c r="EL102" i="55" s="1"/>
  <c r="JH70" i="55"/>
  <c r="JI70" i="55" s="1"/>
  <c r="GA70" i="55"/>
  <c r="BY70" i="55" s="1"/>
  <c r="DI70" i="55"/>
  <c r="H70" i="55" s="1"/>
  <c r="DJ70" i="55" s="1"/>
  <c r="CQ70" i="55"/>
  <c r="DC70" i="55"/>
  <c r="I70" i="55" s="1"/>
  <c r="DD70" i="55" s="1"/>
  <c r="CD70" i="55"/>
  <c r="DB70" i="55"/>
  <c r="BT70" i="55"/>
  <c r="CC70" i="55"/>
  <c r="DN70" i="55"/>
  <c r="CA70" i="55"/>
  <c r="JH6" i="55"/>
  <c r="JI6" i="55" s="1"/>
  <c r="FF6" i="55"/>
  <c r="DI6" i="55"/>
  <c r="H6" i="55" s="1"/>
  <c r="DJ6" i="55" s="1"/>
  <c r="CQ6" i="55"/>
  <c r="DB6" i="55"/>
  <c r="CO6" i="55"/>
  <c r="CP6" i="55" s="1"/>
  <c r="Y6" i="55" s="1"/>
  <c r="BY6" i="55"/>
  <c r="CD6" i="55"/>
  <c r="CC6" i="55"/>
  <c r="BT6" i="55"/>
  <c r="BP6" i="55"/>
  <c r="DN6" i="55"/>
  <c r="DC6" i="55"/>
  <c r="I6" i="55" s="1"/>
  <c r="DD6" i="55" s="1"/>
  <c r="CA6" i="55"/>
  <c r="BO6" i="55"/>
  <c r="IK330" i="55"/>
  <c r="GO330" i="55"/>
  <c r="IK310" i="55"/>
  <c r="GO310" i="55"/>
  <c r="IK212" i="55"/>
  <c r="GO212" i="55"/>
  <c r="IK153" i="55"/>
  <c r="GO153" i="55"/>
  <c r="IK133" i="55"/>
  <c r="GO133" i="55"/>
  <c r="GO74" i="55"/>
  <c r="IK74" i="55"/>
  <c r="IK54" i="55"/>
  <c r="GO54" i="55"/>
  <c r="IK5" i="55"/>
  <c r="GO5" i="55"/>
  <c r="FF325" i="55"/>
  <c r="GI325" i="55"/>
  <c r="GA325" i="55"/>
  <c r="DN325" i="55"/>
  <c r="DI325" i="55"/>
  <c r="H325" i="55" s="1"/>
  <c r="DJ325" i="55" s="1"/>
  <c r="BY325" i="55"/>
  <c r="DC325" i="55"/>
  <c r="I325" i="55" s="1"/>
  <c r="DD325" i="55" s="1"/>
  <c r="CO325" i="55"/>
  <c r="CP325" i="55" s="1"/>
  <c r="Y325" i="55" s="1"/>
  <c r="BO325" i="55"/>
  <c r="CD325" i="55"/>
  <c r="CQ325" i="55"/>
  <c r="CC325" i="55"/>
  <c r="BW325" i="55"/>
  <c r="BT325" i="55"/>
  <c r="JH293" i="55"/>
  <c r="JI293" i="55" s="1"/>
  <c r="FF293" i="55"/>
  <c r="GA293" i="55"/>
  <c r="BY293" i="55"/>
  <c r="CO293" i="55"/>
  <c r="CP293" i="55" s="1"/>
  <c r="Y293" i="55" s="1"/>
  <c r="CA293" i="55"/>
  <c r="DN293" i="55"/>
  <c r="BO293" i="55"/>
  <c r="DB293" i="55"/>
  <c r="CQ293" i="55"/>
  <c r="CC293" i="55"/>
  <c r="CD293" i="55"/>
  <c r="BW293" i="55"/>
  <c r="BP293" i="55"/>
  <c r="DI293" i="55"/>
  <c r="H293" i="55" s="1"/>
  <c r="DJ293" i="55" s="1"/>
  <c r="DC293" i="55"/>
  <c r="I293" i="55" s="1"/>
  <c r="DD293" i="55" s="1"/>
  <c r="JH261" i="55"/>
  <c r="JI261" i="55" s="1"/>
  <c r="FF261" i="55"/>
  <c r="GA261" i="55"/>
  <c r="DN261" i="55"/>
  <c r="DI261" i="55"/>
  <c r="H261" i="55" s="1"/>
  <c r="DJ261" i="55" s="1"/>
  <c r="DB261" i="55"/>
  <c r="BY261" i="55"/>
  <c r="CO261" i="55"/>
  <c r="CP261" i="55" s="1"/>
  <c r="Y261" i="55" s="1"/>
  <c r="BO261" i="55"/>
  <c r="CA261" i="55"/>
  <c r="BT261" i="55"/>
  <c r="DC261" i="55"/>
  <c r="I261" i="55" s="1"/>
  <c r="DD261" i="55" s="1"/>
  <c r="CQ261" i="55"/>
  <c r="CC261" i="55"/>
  <c r="BW261" i="55"/>
  <c r="BP261" i="55"/>
  <c r="CD261" i="55"/>
  <c r="JH245" i="55"/>
  <c r="JI245" i="55" s="1"/>
  <c r="FF245" i="55"/>
  <c r="GA245" i="55"/>
  <c r="DC245" i="55"/>
  <c r="I245" i="55" s="1"/>
  <c r="DD245" i="55" s="1"/>
  <c r="BY245" i="55"/>
  <c r="CQ245" i="55"/>
  <c r="CO245" i="55"/>
  <c r="CP245" i="55" s="1"/>
  <c r="Y245" i="55" s="1"/>
  <c r="DI245" i="55"/>
  <c r="H245" i="55" s="1"/>
  <c r="DJ245" i="55" s="1"/>
  <c r="DB245" i="55"/>
  <c r="BO245" i="55"/>
  <c r="CD245" i="55"/>
  <c r="DN245" i="55"/>
  <c r="BP245" i="55"/>
  <c r="CA245" i="55"/>
  <c r="CC245" i="55"/>
  <c r="BT245" i="55"/>
  <c r="JH213" i="55"/>
  <c r="JI213" i="55" s="1"/>
  <c r="FF213" i="55"/>
  <c r="GA213" i="55"/>
  <c r="DI213" i="55"/>
  <c r="H213" i="55" s="1"/>
  <c r="DJ213" i="55" s="1"/>
  <c r="BY213" i="55"/>
  <c r="DC213" i="55"/>
  <c r="I213" i="55" s="1"/>
  <c r="DD213" i="55" s="1"/>
  <c r="CO213" i="55"/>
  <c r="CP213" i="55" s="1"/>
  <c r="Y213" i="55" s="1"/>
  <c r="DN213" i="55"/>
  <c r="BO213" i="55"/>
  <c r="CQ213" i="55"/>
  <c r="CD213" i="55"/>
  <c r="BT213" i="55"/>
  <c r="BW213" i="55"/>
  <c r="DB213" i="55"/>
  <c r="CA213" i="55"/>
  <c r="BP213" i="55"/>
  <c r="CC213" i="55"/>
  <c r="JH197" i="55"/>
  <c r="JI197" i="55" s="1"/>
  <c r="FF197" i="55"/>
  <c r="DN197" i="55"/>
  <c r="DI197" i="55"/>
  <c r="H197" i="55" s="1"/>
  <c r="DJ197" i="55" s="1"/>
  <c r="DB197" i="55"/>
  <c r="BY197" i="55"/>
  <c r="GA197" i="55"/>
  <c r="CO197" i="55"/>
  <c r="CP197" i="55" s="1"/>
  <c r="Y197" i="55" s="1"/>
  <c r="BO197" i="55"/>
  <c r="DC197" i="55"/>
  <c r="I197" i="55" s="1"/>
  <c r="DD197" i="55" s="1"/>
  <c r="BW197" i="55"/>
  <c r="CC197" i="55"/>
  <c r="BT197" i="55"/>
  <c r="BP197" i="55"/>
  <c r="CQ197" i="55"/>
  <c r="CA197" i="55"/>
  <c r="JH149" i="55"/>
  <c r="JI149" i="55" s="1"/>
  <c r="DI149" i="55"/>
  <c r="H149" i="55" s="1"/>
  <c r="DJ149" i="55" s="1"/>
  <c r="GA149" i="55"/>
  <c r="BY149" i="55"/>
  <c r="CO149" i="55"/>
  <c r="CP149" i="55" s="1"/>
  <c r="Y149" i="55" s="1"/>
  <c r="BO149" i="55"/>
  <c r="DN149" i="55"/>
  <c r="DC149" i="55"/>
  <c r="I149" i="55" s="1"/>
  <c r="DD149" i="55" s="1"/>
  <c r="CC149" i="55"/>
  <c r="CA149" i="55"/>
  <c r="CD149" i="55"/>
  <c r="BP149" i="55"/>
  <c r="DB149" i="55"/>
  <c r="BT149" i="55"/>
  <c r="CQ149" i="55"/>
  <c r="JH117" i="55"/>
  <c r="JI117" i="55" s="1"/>
  <c r="DC117" i="55"/>
  <c r="I117" i="55" s="1"/>
  <c r="DD117" i="55" s="1"/>
  <c r="GA117" i="55"/>
  <c r="DI117" i="55"/>
  <c r="H117" i="55" s="1"/>
  <c r="DJ117" i="55" s="1"/>
  <c r="BY117" i="55"/>
  <c r="CQ117" i="55"/>
  <c r="CO117" i="55"/>
  <c r="CP117" i="55" s="1"/>
  <c r="Y117" i="55" s="1"/>
  <c r="BO117" i="55"/>
  <c r="CD117" i="55"/>
  <c r="CA117" i="55"/>
  <c r="BP117" i="55"/>
  <c r="DN117" i="55"/>
  <c r="DB117" i="55"/>
  <c r="CC117" i="55"/>
  <c r="JH85" i="55"/>
  <c r="JI85" i="55" s="1"/>
  <c r="DI85" i="55"/>
  <c r="H85" i="55" s="1"/>
  <c r="DJ85" i="55" s="1"/>
  <c r="DB85" i="55"/>
  <c r="GA85" i="55"/>
  <c r="BY85" i="55" s="1"/>
  <c r="BO85" i="55"/>
  <c r="DC85" i="55"/>
  <c r="I85" i="55" s="1"/>
  <c r="DD85" i="55" s="1"/>
  <c r="BW85" i="55"/>
  <c r="CO85" i="55"/>
  <c r="CP85" i="55" s="1"/>
  <c r="Y85" i="55" s="1"/>
  <c r="CA85" i="55"/>
  <c r="BP85" i="55"/>
  <c r="DN85" i="55"/>
  <c r="CC85" i="55"/>
  <c r="CD85" i="55"/>
  <c r="P85" i="55"/>
  <c r="BT85" i="55"/>
  <c r="JH69" i="55"/>
  <c r="JI69" i="55" s="1"/>
  <c r="DN69" i="55"/>
  <c r="DI69" i="55"/>
  <c r="H69" i="55" s="1"/>
  <c r="DJ69" i="55" s="1"/>
  <c r="GA69" i="55"/>
  <c r="BY69" i="55" s="1"/>
  <c r="DC69" i="55"/>
  <c r="I69" i="55" s="1"/>
  <c r="DD69" i="55" s="1"/>
  <c r="BO69" i="55"/>
  <c r="CD69" i="55"/>
  <c r="CC69" i="55"/>
  <c r="BT69" i="55"/>
  <c r="CO69" i="55"/>
  <c r="CP69" i="55" s="1"/>
  <c r="Y69" i="55" s="1"/>
  <c r="DB69" i="55"/>
  <c r="BI69" i="55" a="1"/>
  <c r="BI69" i="55" s="1"/>
  <c r="BW69" i="55"/>
  <c r="CQ69" i="55"/>
  <c r="CA69" i="55"/>
  <c r="JH37" i="55"/>
  <c r="JI37" i="55" s="1"/>
  <c r="FF37" i="55"/>
  <c r="GA37" i="55"/>
  <c r="BY37" i="55"/>
  <c r="CA37" i="55"/>
  <c r="BO37" i="55"/>
  <c r="CO37" i="55"/>
  <c r="CP37" i="55" s="1"/>
  <c r="Y37" i="55" s="1"/>
  <c r="DB37" i="55"/>
  <c r="BT37" i="55"/>
  <c r="CC37" i="55"/>
  <c r="DN37" i="55"/>
  <c r="BP37" i="55"/>
  <c r="DI37" i="55"/>
  <c r="H37" i="55" s="1"/>
  <c r="DJ37" i="55" s="1"/>
  <c r="DC37" i="55"/>
  <c r="I37" i="55" s="1"/>
  <c r="DD37" i="55" s="1"/>
  <c r="CQ37" i="55"/>
  <c r="BI37" i="55" a="1"/>
  <c r="BI37" i="55" s="1"/>
  <c r="C37" i="55" s="1"/>
  <c r="BJ37" i="55" s="1"/>
  <c r="CD37" i="55"/>
  <c r="BW37" i="55"/>
  <c r="JH5" i="55"/>
  <c r="JI5" i="55" s="1"/>
  <c r="FF5" i="55"/>
  <c r="DN5" i="55"/>
  <c r="DI5" i="55"/>
  <c r="H5" i="55" s="1"/>
  <c r="DJ5" i="55" s="1"/>
  <c r="DB5" i="55"/>
  <c r="CO5" i="55"/>
  <c r="CP5" i="55" s="1"/>
  <c r="Y5" i="55" s="1"/>
  <c r="BY5" i="55"/>
  <c r="BO5" i="55"/>
  <c r="DC5" i="55"/>
  <c r="I5" i="55" s="1"/>
  <c r="DD5" i="55" s="1"/>
  <c r="CA5" i="55"/>
  <c r="BP5" i="55"/>
  <c r="CQ5" i="55"/>
  <c r="CD5" i="55"/>
  <c r="CC5" i="55"/>
  <c r="BF339" i="55"/>
  <c r="BG339" i="55" s="1"/>
  <c r="BE339" i="55"/>
  <c r="BE243" i="55"/>
  <c r="BF243" i="55"/>
  <c r="BG243" i="55" s="1"/>
  <c r="BF211" i="55"/>
  <c r="BG211" i="55" s="1"/>
  <c r="BE211" i="55"/>
  <c r="P211" i="55" s="1"/>
  <c r="FB211" i="55" s="1"/>
  <c r="BE195" i="55"/>
  <c r="BF195" i="55"/>
  <c r="BG195" i="55" s="1"/>
  <c r="BI195" i="55" s="1" a="1"/>
  <c r="BI195" i="55" s="1"/>
  <c r="BE131" i="55"/>
  <c r="P131" i="55" s="1"/>
  <c r="BF131" i="55"/>
  <c r="BG131" i="55" s="1"/>
  <c r="GD304" i="55"/>
  <c r="GD248" i="55"/>
  <c r="BP198" i="55"/>
  <c r="GG121" i="55"/>
  <c r="GD121" i="55"/>
  <c r="BS292" i="55"/>
  <c r="GL292" i="55" s="1"/>
  <c r="BS215" i="55"/>
  <c r="GL215" i="55" s="1"/>
  <c r="BT87" i="55"/>
  <c r="HX80" i="55"/>
  <c r="HY80" i="55"/>
  <c r="EX347" i="55"/>
  <c r="EC347" i="55"/>
  <c r="EY347" i="55" s="1"/>
  <c r="EC331" i="55"/>
  <c r="EX331" i="55"/>
  <c r="EX315" i="55"/>
  <c r="EC315" i="55"/>
  <c r="EX299" i="55"/>
  <c r="EC299" i="55"/>
  <c r="EY299" i="55" s="1"/>
  <c r="EX283" i="55"/>
  <c r="EC283" i="55"/>
  <c r="EY283" i="55" s="1"/>
  <c r="EC267" i="55"/>
  <c r="EX267" i="55"/>
  <c r="EC251" i="55"/>
  <c r="EX251" i="55"/>
  <c r="EC235" i="55"/>
  <c r="EX219" i="55"/>
  <c r="EC219" i="55"/>
  <c r="EC203" i="55"/>
  <c r="EX203" i="55"/>
  <c r="EX187" i="55"/>
  <c r="EC187" i="55"/>
  <c r="EC171" i="55"/>
  <c r="EX171" i="55"/>
  <c r="EX155" i="55"/>
  <c r="EC155" i="55"/>
  <c r="EX107" i="55"/>
  <c r="EC107" i="55"/>
  <c r="EX23" i="55"/>
  <c r="EC23" i="55"/>
  <c r="P295" i="55"/>
  <c r="FA295" i="55" s="1"/>
  <c r="IK240" i="55"/>
  <c r="GO240" i="55"/>
  <c r="IK211" i="55"/>
  <c r="GO211" i="55"/>
  <c r="IK122" i="55"/>
  <c r="GO122" i="55"/>
  <c r="IK24" i="55"/>
  <c r="GO24" i="55"/>
  <c r="BE324" i="55"/>
  <c r="BE99" i="55"/>
  <c r="P99" i="55" s="1"/>
  <c r="BE69" i="55"/>
  <c r="P69" i="55" s="1"/>
  <c r="BS337" i="55"/>
  <c r="FG337" i="55"/>
  <c r="CE337" i="55" s="1" a="1"/>
  <c r="CE337" i="55" s="1"/>
  <c r="EK337" i="55" s="1"/>
  <c r="BI337" i="55" a="1"/>
  <c r="BI337" i="55" s="1"/>
  <c r="BO70" i="55"/>
  <c r="BQ70" i="55" s="1"/>
  <c r="BW337" i="55"/>
  <c r="FY66" i="55"/>
  <c r="GB262" i="55"/>
  <c r="GC262" i="55" s="1"/>
  <c r="IK308" i="55"/>
  <c r="GO308" i="55"/>
  <c r="IK180" i="55"/>
  <c r="GO180" i="55"/>
  <c r="IK161" i="55"/>
  <c r="GO161" i="55"/>
  <c r="IK52" i="55"/>
  <c r="GO52" i="55"/>
  <c r="IK4" i="55"/>
  <c r="GO4" i="55"/>
  <c r="JH307" i="55"/>
  <c r="JI307" i="55" s="1"/>
  <c r="DC307" i="55"/>
  <c r="I307" i="55" s="1"/>
  <c r="DD307" i="55" s="1"/>
  <c r="DN307" i="55"/>
  <c r="GA307" i="55"/>
  <c r="CQ307" i="55"/>
  <c r="CO307" i="55"/>
  <c r="CP307" i="55" s="1"/>
  <c r="Y307" i="55" s="1"/>
  <c r="FF307" i="55"/>
  <c r="DB307" i="55"/>
  <c r="CA307" i="55"/>
  <c r="BP307" i="55"/>
  <c r="BY307" i="55"/>
  <c r="P307" i="55"/>
  <c r="DI307" i="55"/>
  <c r="H307" i="55" s="1"/>
  <c r="DJ307" i="55" s="1"/>
  <c r="CD307" i="55"/>
  <c r="BT307" i="55"/>
  <c r="JH243" i="55"/>
  <c r="JI243" i="55" s="1"/>
  <c r="FF243" i="55"/>
  <c r="DC243" i="55"/>
  <c r="I243" i="55" s="1"/>
  <c r="DD243" i="55" s="1"/>
  <c r="DN243" i="55"/>
  <c r="GA243" i="55"/>
  <c r="CQ243" i="55"/>
  <c r="CO243" i="55"/>
  <c r="CP243" i="55" s="1"/>
  <c r="Y243" i="55" s="1"/>
  <c r="DB243" i="55"/>
  <c r="CA243" i="55"/>
  <c r="BP243" i="55"/>
  <c r="DI243" i="55"/>
  <c r="H243" i="55" s="1"/>
  <c r="DJ243" i="55" s="1"/>
  <c r="BY243" i="55"/>
  <c r="P243" i="55"/>
  <c r="CD243" i="55"/>
  <c r="BT243" i="55"/>
  <c r="CC243" i="55"/>
  <c r="BO243" i="55"/>
  <c r="JH163" i="55"/>
  <c r="JI163" i="55" s="1"/>
  <c r="FF163" i="55"/>
  <c r="GA163" i="55"/>
  <c r="BY163" i="55" s="1"/>
  <c r="DC163" i="55"/>
  <c r="I163" i="55" s="1"/>
  <c r="DD163" i="55" s="1"/>
  <c r="DN163" i="55"/>
  <c r="CO163" i="55"/>
  <c r="CP163" i="55" s="1"/>
  <c r="Y163" i="55" s="1"/>
  <c r="CA163" i="55"/>
  <c r="BP163" i="55"/>
  <c r="DI163" i="55"/>
  <c r="H163" i="55" s="1"/>
  <c r="DJ163" i="55" s="1"/>
  <c r="P163" i="55"/>
  <c r="DB163" i="55"/>
  <c r="CD163" i="55"/>
  <c r="BO163" i="55"/>
  <c r="CC163" i="55"/>
  <c r="BT163" i="55"/>
  <c r="BE323" i="55"/>
  <c r="P323" i="55" s="1"/>
  <c r="BI342" i="55" a="1"/>
  <c r="BI342" i="55" s="1"/>
  <c r="C342" i="55" s="1"/>
  <c r="BJ342" i="55" s="1"/>
  <c r="BI117" i="55" a="1"/>
  <c r="BI117" i="55" s="1"/>
  <c r="BP295" i="55"/>
  <c r="HX144" i="55"/>
  <c r="HY144" i="55"/>
  <c r="CC310" i="55"/>
  <c r="FY64" i="55"/>
  <c r="FX64" i="55" a="1"/>
  <c r="FX64" i="55" s="1"/>
  <c r="JW305" i="55"/>
  <c r="GB305" i="55"/>
  <c r="GC305" i="55" s="1"/>
  <c r="DS305" i="55"/>
  <c r="FW305" i="55"/>
  <c r="JW208" i="55"/>
  <c r="FW208" i="55"/>
  <c r="DS208" i="55"/>
  <c r="GB208" i="55"/>
  <c r="GC208" i="55" s="1"/>
  <c r="CQ85" i="55"/>
  <c r="FA283" i="55"/>
  <c r="FB283" i="55"/>
  <c r="FC283" i="55"/>
  <c r="FD283" i="55" s="1"/>
  <c r="HS283" i="55" s="1"/>
  <c r="HU283" i="55" s="1"/>
  <c r="P55" i="55"/>
  <c r="FA55" i="55" s="1"/>
  <c r="S179" i="55"/>
  <c r="IK318" i="55"/>
  <c r="GO318" i="55"/>
  <c r="IK307" i="55"/>
  <c r="GO307" i="55"/>
  <c r="IK269" i="55"/>
  <c r="GO269" i="55"/>
  <c r="IK259" i="55"/>
  <c r="GO259" i="55"/>
  <c r="IK249" i="55"/>
  <c r="GO249" i="55"/>
  <c r="IK190" i="55"/>
  <c r="GO190" i="55"/>
  <c r="IK179" i="55"/>
  <c r="GO179" i="55"/>
  <c r="IK141" i="55"/>
  <c r="GO141" i="55"/>
  <c r="IK131" i="55"/>
  <c r="GO131" i="55"/>
  <c r="IK121" i="55"/>
  <c r="GO121" i="55"/>
  <c r="IK62" i="55"/>
  <c r="GO62" i="55"/>
  <c r="IK51" i="55"/>
  <c r="GO51" i="55"/>
  <c r="IK13" i="55"/>
  <c r="GO13" i="55"/>
  <c r="IK3" i="55"/>
  <c r="GO3" i="55"/>
  <c r="JH338" i="55"/>
  <c r="JI338" i="55" s="1"/>
  <c r="FF338" i="55"/>
  <c r="CO338" i="55"/>
  <c r="CP338" i="55" s="1"/>
  <c r="Y338" i="55" s="1"/>
  <c r="CA338" i="55"/>
  <c r="DN338" i="55"/>
  <c r="BT338" i="55"/>
  <c r="CQ338" i="55"/>
  <c r="CC338" i="55"/>
  <c r="DC338" i="55"/>
  <c r="I338" i="55" s="1"/>
  <c r="DD338" i="55" s="1"/>
  <c r="BP338" i="55"/>
  <c r="DB338" i="55"/>
  <c r="DI338" i="55"/>
  <c r="H338" i="55" s="1"/>
  <c r="DJ338" i="55" s="1"/>
  <c r="CD338" i="55"/>
  <c r="BO338" i="55"/>
  <c r="BY338" i="55"/>
  <c r="JH322" i="55"/>
  <c r="JI322" i="55" s="1"/>
  <c r="GA322" i="55"/>
  <c r="BY322" i="55" s="1"/>
  <c r="DI322" i="55"/>
  <c r="H322" i="55" s="1"/>
  <c r="DJ322" i="55" s="1"/>
  <c r="CO322" i="55"/>
  <c r="CP322" i="55" s="1"/>
  <c r="Y322" i="55" s="1"/>
  <c r="CA322" i="55"/>
  <c r="DB322" i="55"/>
  <c r="CC322" i="55"/>
  <c r="DC322" i="55"/>
  <c r="I322" i="55" s="1"/>
  <c r="DD322" i="55" s="1"/>
  <c r="CQ322" i="55"/>
  <c r="BP322" i="55"/>
  <c r="DN322" i="55"/>
  <c r="BT322" i="55"/>
  <c r="BO322" i="55"/>
  <c r="CD322" i="55"/>
  <c r="JH306" i="55"/>
  <c r="JI306" i="55" s="1"/>
  <c r="FF306" i="55"/>
  <c r="DN306" i="55"/>
  <c r="CQ306" i="55"/>
  <c r="CO306" i="55"/>
  <c r="CP306" i="55" s="1"/>
  <c r="Y306" i="55" s="1"/>
  <c r="DB306" i="55"/>
  <c r="CA306" i="55"/>
  <c r="GA306" i="55"/>
  <c r="CD306" i="55"/>
  <c r="DC306" i="55"/>
  <c r="I306" i="55" s="1"/>
  <c r="DD306" i="55" s="1"/>
  <c r="BT306" i="55"/>
  <c r="BP306" i="55"/>
  <c r="BY306" i="55"/>
  <c r="P306" i="55"/>
  <c r="JH290" i="55"/>
  <c r="JI290" i="55" s="1"/>
  <c r="GA290" i="55"/>
  <c r="FF290" i="55"/>
  <c r="CO290" i="55"/>
  <c r="CP290" i="55" s="1"/>
  <c r="Y290" i="55" s="1"/>
  <c r="DI290" i="55"/>
  <c r="H290" i="55" s="1"/>
  <c r="DJ290" i="55" s="1"/>
  <c r="CA290" i="55"/>
  <c r="CQ290" i="55"/>
  <c r="BT290" i="55"/>
  <c r="CC290" i="55"/>
  <c r="DN290" i="55"/>
  <c r="CD290" i="55"/>
  <c r="BO290" i="55"/>
  <c r="DB290" i="55"/>
  <c r="BY290" i="55"/>
  <c r="BW290" i="55"/>
  <c r="P290" i="55"/>
  <c r="JH274" i="55"/>
  <c r="JI274" i="55" s="1"/>
  <c r="FF274" i="55"/>
  <c r="GA274" i="55"/>
  <c r="BY274" i="55" s="1"/>
  <c r="CO274" i="55"/>
  <c r="CP274" i="55" s="1"/>
  <c r="Y274" i="55" s="1"/>
  <c r="CA274" i="55"/>
  <c r="DC274" i="55"/>
  <c r="I274" i="55" s="1"/>
  <c r="DD274" i="55" s="1"/>
  <c r="BT274" i="55"/>
  <c r="CC274" i="55"/>
  <c r="DI274" i="55"/>
  <c r="H274" i="55" s="1"/>
  <c r="DJ274" i="55" s="1"/>
  <c r="DB274" i="55"/>
  <c r="CQ274" i="55"/>
  <c r="DN274" i="55"/>
  <c r="BO274" i="55"/>
  <c r="BP274" i="55"/>
  <c r="JH258" i="55"/>
  <c r="JI258" i="55" s="1"/>
  <c r="GA258" i="55"/>
  <c r="BY258" i="55" s="1"/>
  <c r="FF258" i="55"/>
  <c r="DI258" i="55"/>
  <c r="H258" i="55" s="1"/>
  <c r="DJ258" i="55" s="1"/>
  <c r="CO258" i="55"/>
  <c r="CP258" i="55" s="1"/>
  <c r="Y258" i="55" s="1"/>
  <c r="CA258" i="55"/>
  <c r="CQ258" i="55"/>
  <c r="CC258" i="55"/>
  <c r="DN258" i="55"/>
  <c r="DC258" i="55"/>
  <c r="I258" i="55" s="1"/>
  <c r="DD258" i="55" s="1"/>
  <c r="BP258" i="55"/>
  <c r="CD258" i="55"/>
  <c r="DB258" i="55"/>
  <c r="JH242" i="55"/>
  <c r="JI242" i="55" s="1"/>
  <c r="GA242" i="55"/>
  <c r="BY242" i="55" s="1"/>
  <c r="FF242" i="55"/>
  <c r="CQ242" i="55"/>
  <c r="CO242" i="55"/>
  <c r="CP242" i="55" s="1"/>
  <c r="Y242" i="55" s="1"/>
  <c r="DB242" i="55"/>
  <c r="CA242" i="55"/>
  <c r="DC242" i="55"/>
  <c r="I242" i="55" s="1"/>
  <c r="DD242" i="55" s="1"/>
  <c r="CD242" i="55"/>
  <c r="DI242" i="55"/>
  <c r="H242" i="55" s="1"/>
  <c r="DJ242" i="55" s="1"/>
  <c r="BO242" i="55"/>
  <c r="CC242" i="55"/>
  <c r="BT242" i="55"/>
  <c r="DN242" i="55"/>
  <c r="JH226" i="55"/>
  <c r="JI226" i="55" s="1"/>
  <c r="FF226" i="55"/>
  <c r="GA226" i="55"/>
  <c r="BY226" i="55" s="1"/>
  <c r="CO226" i="55"/>
  <c r="CP226" i="55" s="1"/>
  <c r="Y226" i="55" s="1"/>
  <c r="CA226" i="55"/>
  <c r="DN226" i="55"/>
  <c r="CQ226" i="55"/>
  <c r="BT226" i="55"/>
  <c r="BP226" i="55"/>
  <c r="DI226" i="55"/>
  <c r="H226" i="55" s="1"/>
  <c r="DJ226" i="55" s="1"/>
  <c r="DC226" i="55"/>
  <c r="I226" i="55" s="1"/>
  <c r="DD226" i="55" s="1"/>
  <c r="DB226" i="55"/>
  <c r="BO226" i="55"/>
  <c r="CD226" i="55"/>
  <c r="JH210" i="55"/>
  <c r="JI210" i="55" s="1"/>
  <c r="FF210" i="55"/>
  <c r="CO210" i="55"/>
  <c r="CP210" i="55" s="1"/>
  <c r="Y210" i="55" s="1"/>
  <c r="CA210" i="55"/>
  <c r="BT210" i="55"/>
  <c r="DC210" i="55"/>
  <c r="I210" i="55" s="1"/>
  <c r="DD210" i="55" s="1"/>
  <c r="CC210" i="55"/>
  <c r="GA210" i="55"/>
  <c r="BY210" i="55" s="1"/>
  <c r="DN210" i="55"/>
  <c r="BP210" i="55"/>
  <c r="CQ210" i="55"/>
  <c r="DB210" i="55"/>
  <c r="CD210" i="55"/>
  <c r="BO210" i="55"/>
  <c r="DI210" i="55"/>
  <c r="H210" i="55" s="1"/>
  <c r="DJ210" i="55" s="1"/>
  <c r="FF194" i="55"/>
  <c r="JH194" i="55"/>
  <c r="JI194" i="55" s="1"/>
  <c r="GA194" i="55"/>
  <c r="BY194" i="55" s="1"/>
  <c r="DI194" i="55"/>
  <c r="H194" i="55" s="1"/>
  <c r="DJ194" i="55" s="1"/>
  <c r="CO194" i="55"/>
  <c r="CP194" i="55" s="1"/>
  <c r="Y194" i="55" s="1"/>
  <c r="CA194" i="55"/>
  <c r="DN194" i="55"/>
  <c r="CC194" i="55"/>
  <c r="CQ194" i="55"/>
  <c r="DB194" i="55"/>
  <c r="BT194" i="55"/>
  <c r="BP194" i="55"/>
  <c r="BO194" i="55"/>
  <c r="DC194" i="55"/>
  <c r="I194" i="55" s="1"/>
  <c r="DD194" i="55" s="1"/>
  <c r="BW194" i="55"/>
  <c r="CD194" i="55"/>
  <c r="JH178" i="55"/>
  <c r="JI178" i="55" s="1"/>
  <c r="GA178" i="55"/>
  <c r="BY178" i="55" s="1"/>
  <c r="CQ178" i="55"/>
  <c r="CO178" i="55"/>
  <c r="CP178" i="55" s="1"/>
  <c r="Y178" i="55" s="1"/>
  <c r="DI178" i="55"/>
  <c r="H178" i="55" s="1"/>
  <c r="DJ178" i="55" s="1"/>
  <c r="DB178" i="55"/>
  <c r="CA178" i="55"/>
  <c r="DN178" i="55"/>
  <c r="CD178" i="55"/>
  <c r="FF178" i="55"/>
  <c r="CC178" i="55"/>
  <c r="BT178" i="55"/>
  <c r="DC178" i="55"/>
  <c r="I178" i="55" s="1"/>
  <c r="DD178" i="55" s="1"/>
  <c r="BO178" i="55"/>
  <c r="BP178" i="55"/>
  <c r="JH162" i="55"/>
  <c r="JI162" i="55" s="1"/>
  <c r="FF162" i="55"/>
  <c r="CO162" i="55"/>
  <c r="CP162" i="55" s="1"/>
  <c r="Y162" i="55" s="1"/>
  <c r="CA162" i="55"/>
  <c r="DB162" i="55"/>
  <c r="BT162" i="55"/>
  <c r="GA162" i="55"/>
  <c r="BY162" i="55" s="1"/>
  <c r="DI162" i="55"/>
  <c r="H162" i="55" s="1"/>
  <c r="DJ162" i="55" s="1"/>
  <c r="DN162" i="55"/>
  <c r="DC162" i="55"/>
  <c r="I162" i="55" s="1"/>
  <c r="DD162" i="55" s="1"/>
  <c r="BO162" i="55"/>
  <c r="CC162" i="55"/>
  <c r="BP162" i="55"/>
  <c r="P162" i="55"/>
  <c r="JH146" i="55"/>
  <c r="JI146" i="55" s="1"/>
  <c r="GA146" i="55"/>
  <c r="BY146" i="55" s="1"/>
  <c r="CO146" i="55"/>
  <c r="CP146" i="55" s="1"/>
  <c r="Y146" i="55" s="1"/>
  <c r="DI146" i="55"/>
  <c r="H146" i="55" s="1"/>
  <c r="DJ146" i="55" s="1"/>
  <c r="CA146" i="55"/>
  <c r="CQ146" i="55"/>
  <c r="BT146" i="55"/>
  <c r="DN146" i="55"/>
  <c r="CC146" i="55"/>
  <c r="DB146" i="55"/>
  <c r="DC146" i="55"/>
  <c r="I146" i="55" s="1"/>
  <c r="DD146" i="55" s="1"/>
  <c r="CD146" i="55"/>
  <c r="BP146" i="55"/>
  <c r="BO146" i="55"/>
  <c r="P146" i="55"/>
  <c r="GI130" i="55"/>
  <c r="GA130" i="55"/>
  <c r="BY130" i="55" s="1"/>
  <c r="DI130" i="55"/>
  <c r="H130" i="55" s="1"/>
  <c r="DJ130" i="55" s="1"/>
  <c r="FF130" i="55"/>
  <c r="CO130" i="55"/>
  <c r="CP130" i="55" s="1"/>
  <c r="Y130" i="55" s="1"/>
  <c r="CA130" i="55"/>
  <c r="DC130" i="55"/>
  <c r="I130" i="55" s="1"/>
  <c r="DD130" i="55" s="1"/>
  <c r="CC130" i="55"/>
  <c r="CQ130" i="55"/>
  <c r="BP130" i="55"/>
  <c r="DN130" i="55"/>
  <c r="P130" i="55"/>
  <c r="FA130" i="55" s="1"/>
  <c r="BT130" i="55"/>
  <c r="JH114" i="55"/>
  <c r="JI114" i="55" s="1"/>
  <c r="GA114" i="55"/>
  <c r="BY114" i="55" s="1"/>
  <c r="CQ114" i="55"/>
  <c r="CO114" i="55"/>
  <c r="CP114" i="55" s="1"/>
  <c r="Y114" i="55" s="1"/>
  <c r="CA114" i="55"/>
  <c r="DB114" i="55"/>
  <c r="CD114" i="55"/>
  <c r="DI114" i="55"/>
  <c r="H114" i="55" s="1"/>
  <c r="DJ114" i="55" s="1"/>
  <c r="DN114" i="55"/>
  <c r="DC114" i="55"/>
  <c r="I114" i="55" s="1"/>
  <c r="DD114" i="55" s="1"/>
  <c r="BO114" i="55"/>
  <c r="CC114" i="55"/>
  <c r="BT114" i="55"/>
  <c r="BP114" i="55"/>
  <c r="JH98" i="55"/>
  <c r="JI98" i="55" s="1"/>
  <c r="GA98" i="55"/>
  <c r="BY98" i="55" s="1"/>
  <c r="DC98" i="55"/>
  <c r="I98" i="55" s="1"/>
  <c r="DD98" i="55" s="1"/>
  <c r="CO98" i="55"/>
  <c r="CP98" i="55" s="1"/>
  <c r="Y98" i="55" s="1"/>
  <c r="CA98" i="55"/>
  <c r="BT98" i="55"/>
  <c r="DN98" i="55"/>
  <c r="BP98" i="55"/>
  <c r="CQ98" i="55"/>
  <c r="DB98" i="55"/>
  <c r="CD98" i="55"/>
  <c r="BO98" i="55"/>
  <c r="P98" i="55"/>
  <c r="DI98" i="55"/>
  <c r="H98" i="55" s="1"/>
  <c r="DJ98" i="55" s="1"/>
  <c r="CC98" i="55"/>
  <c r="JH82" i="55"/>
  <c r="JI82" i="55" s="1"/>
  <c r="DB82" i="55"/>
  <c r="GA82" i="55"/>
  <c r="CA82" i="55"/>
  <c r="DN82" i="55"/>
  <c r="BT82" i="55"/>
  <c r="CQ82" i="55"/>
  <c r="CO82" i="55"/>
  <c r="CP82" i="55" s="1"/>
  <c r="Y82" i="55" s="1"/>
  <c r="CC82" i="55"/>
  <c r="BP82" i="55"/>
  <c r="DC82" i="55"/>
  <c r="I82" i="55" s="1"/>
  <c r="DD82" i="55" s="1"/>
  <c r="DI82" i="55"/>
  <c r="H82" i="55" s="1"/>
  <c r="DJ82" i="55" s="1"/>
  <c r="CD82" i="55"/>
  <c r="BY82" i="55"/>
  <c r="P82" i="55"/>
  <c r="JH66" i="55"/>
  <c r="JI66" i="55" s="1"/>
  <c r="DI66" i="55"/>
  <c r="H66" i="55" s="1"/>
  <c r="DJ66" i="55" s="1"/>
  <c r="DB66" i="55"/>
  <c r="GA66" i="55"/>
  <c r="CA66" i="55"/>
  <c r="CC66" i="55"/>
  <c r="DN66" i="55"/>
  <c r="BT66" i="55"/>
  <c r="CO66" i="55"/>
  <c r="CP66" i="55" s="1"/>
  <c r="Y66" i="55" s="1"/>
  <c r="P66" i="55"/>
  <c r="FA66" i="55" s="1"/>
  <c r="CQ66" i="55"/>
  <c r="BY66" i="55"/>
  <c r="BO66" i="55"/>
  <c r="JH50" i="55"/>
  <c r="JI50" i="55" s="1"/>
  <c r="GA50" i="55"/>
  <c r="BY50" i="55" s="1"/>
  <c r="AN50" i="55" s="1"/>
  <c r="BZ50" i="55" s="1"/>
  <c r="FF50" i="55"/>
  <c r="DN50" i="55"/>
  <c r="CQ50" i="55"/>
  <c r="CD50" i="55"/>
  <c r="DC50" i="55"/>
  <c r="I50" i="55" s="1"/>
  <c r="DD50" i="55" s="1"/>
  <c r="DB50" i="55"/>
  <c r="DI50" i="55"/>
  <c r="H50" i="55" s="1"/>
  <c r="DJ50" i="55" s="1"/>
  <c r="P50" i="55"/>
  <c r="BO50" i="55"/>
  <c r="CO50" i="55"/>
  <c r="CP50" i="55" s="1"/>
  <c r="Y50" i="55" s="1"/>
  <c r="BT50" i="55"/>
  <c r="CC50" i="55"/>
  <c r="JH34" i="55"/>
  <c r="JI34" i="55" s="1"/>
  <c r="FF34" i="55"/>
  <c r="GA34" i="55"/>
  <c r="BY34" i="55" s="1"/>
  <c r="DI34" i="55"/>
  <c r="H34" i="55" s="1"/>
  <c r="DJ34" i="55" s="1"/>
  <c r="CA34" i="55"/>
  <c r="CO34" i="55"/>
  <c r="CP34" i="55" s="1"/>
  <c r="Y34" i="55" s="1"/>
  <c r="CQ34" i="55"/>
  <c r="DN34" i="55"/>
  <c r="BT34" i="55"/>
  <c r="DB34" i="55"/>
  <c r="CC34" i="55"/>
  <c r="BO34" i="55"/>
  <c r="BP34" i="55"/>
  <c r="DC34" i="55"/>
  <c r="I34" i="55" s="1"/>
  <c r="DD34" i="55" s="1"/>
  <c r="P34" i="55"/>
  <c r="BW34" i="55"/>
  <c r="CD34" i="55"/>
  <c r="JH18" i="55"/>
  <c r="JI18" i="55" s="1"/>
  <c r="CA18" i="55"/>
  <c r="DC18" i="55"/>
  <c r="I18" i="55" s="1"/>
  <c r="DD18" i="55" s="1"/>
  <c r="BT18" i="55"/>
  <c r="CC18" i="55"/>
  <c r="DI18" i="55"/>
  <c r="H18" i="55" s="1"/>
  <c r="DJ18" i="55" s="1"/>
  <c r="GA18" i="55"/>
  <c r="BY18" i="55" s="1"/>
  <c r="CQ18" i="55"/>
  <c r="CD18" i="55"/>
  <c r="DN18" i="55"/>
  <c r="CO18" i="55"/>
  <c r="CP18" i="55" s="1"/>
  <c r="Y18" i="55" s="1"/>
  <c r="P18" i="55"/>
  <c r="BO18" i="55"/>
  <c r="BE352" i="55"/>
  <c r="BF352" i="55"/>
  <c r="BG352" i="55" s="1"/>
  <c r="BF336" i="55"/>
  <c r="BG336" i="55" s="1"/>
  <c r="BI336" i="55" s="1" a="1"/>
  <c r="BI336" i="55" s="1"/>
  <c r="BE336" i="55"/>
  <c r="BE240" i="55"/>
  <c r="P240" i="55" s="1"/>
  <c r="BF240" i="55"/>
  <c r="BG240" i="55" s="1"/>
  <c r="BF208" i="55"/>
  <c r="BG208" i="55" s="1"/>
  <c r="BE208" i="55"/>
  <c r="BE67" i="55"/>
  <c r="P67" i="55" s="1"/>
  <c r="BE36" i="55"/>
  <c r="P36" i="55" s="1"/>
  <c r="BF256" i="55"/>
  <c r="BG256" i="55" s="1"/>
  <c r="BF148" i="55"/>
  <c r="BG148" i="55" s="1"/>
  <c r="BI148" i="55" s="1" a="1"/>
  <c r="BI148" i="55" s="1"/>
  <c r="BF53" i="55"/>
  <c r="BG53" i="55" s="1"/>
  <c r="BI279" i="55" a="1"/>
  <c r="BI279" i="55" s="1"/>
  <c r="C279" i="55" s="1"/>
  <c r="BJ279" i="55" s="1"/>
  <c r="BI54" i="55" a="1"/>
  <c r="BI54" i="55" s="1"/>
  <c r="BI21" i="55" a="1"/>
  <c r="BI21" i="55" s="1"/>
  <c r="GG347" i="55"/>
  <c r="GD347" i="55"/>
  <c r="BP294" i="55"/>
  <c r="BP242" i="55"/>
  <c r="GG168" i="55"/>
  <c r="GD168" i="55"/>
  <c r="BP103" i="55"/>
  <c r="GD52" i="55"/>
  <c r="GG52" i="55"/>
  <c r="BQ148" i="55"/>
  <c r="BT293" i="55"/>
  <c r="BT183" i="55"/>
  <c r="HY217" i="55"/>
  <c r="HX217" i="55"/>
  <c r="EL217" i="55"/>
  <c r="HX181" i="55"/>
  <c r="HY181" i="55"/>
  <c r="EL181" i="55"/>
  <c r="HX143" i="55"/>
  <c r="HY143" i="55"/>
  <c r="EL143" i="55"/>
  <c r="HY112" i="55"/>
  <c r="HX112" i="55"/>
  <c r="EL112" i="55"/>
  <c r="BW322" i="55"/>
  <c r="BW83" i="55"/>
  <c r="GN348" i="55"/>
  <c r="EJ348" i="55"/>
  <c r="EB348" i="55"/>
  <c r="GN332" i="55"/>
  <c r="EJ332" i="55"/>
  <c r="EB332" i="55"/>
  <c r="GN316" i="55"/>
  <c r="EJ316" i="55"/>
  <c r="DL316" i="55"/>
  <c r="GN300" i="55"/>
  <c r="EJ300" i="55"/>
  <c r="GN284" i="55"/>
  <c r="EJ284" i="55"/>
  <c r="DL284" i="55"/>
  <c r="EB284" i="55"/>
  <c r="GN268" i="55"/>
  <c r="EJ268" i="55"/>
  <c r="EB268" i="55"/>
  <c r="DL268" i="55"/>
  <c r="GN252" i="55"/>
  <c r="EJ252" i="55"/>
  <c r="GN236" i="55"/>
  <c r="EJ236" i="55"/>
  <c r="GN220" i="55"/>
  <c r="EJ220" i="55"/>
  <c r="DL220" i="55"/>
  <c r="EB220" i="55"/>
  <c r="GN204" i="55"/>
  <c r="EJ204" i="55"/>
  <c r="DL204" i="55"/>
  <c r="GN188" i="55"/>
  <c r="EJ188" i="55"/>
  <c r="GN172" i="55"/>
  <c r="EJ172" i="55"/>
  <c r="DL172" i="55"/>
  <c r="GN156" i="55"/>
  <c r="EJ156" i="55"/>
  <c r="EB156" i="55"/>
  <c r="GN140" i="55"/>
  <c r="EJ140" i="55"/>
  <c r="DL140" i="55"/>
  <c r="GN124" i="55"/>
  <c r="EJ124" i="55"/>
  <c r="DL124" i="55"/>
  <c r="GN108" i="55"/>
  <c r="EJ108" i="55"/>
  <c r="GN92" i="55"/>
  <c r="EJ92" i="55"/>
  <c r="GN76" i="55"/>
  <c r="EJ76" i="55"/>
  <c r="EB76" i="55"/>
  <c r="GN60" i="55"/>
  <c r="EJ60" i="55"/>
  <c r="GN44" i="55"/>
  <c r="EJ44" i="55"/>
  <c r="EJ11" i="55"/>
  <c r="GN11" i="55"/>
  <c r="CA348" i="55"/>
  <c r="CA54" i="55"/>
  <c r="CC309" i="55"/>
  <c r="CC103" i="55"/>
  <c r="FY248" i="55"/>
  <c r="JW303" i="55"/>
  <c r="IC303" i="55"/>
  <c r="FW303" i="55"/>
  <c r="DS303" i="55"/>
  <c r="CR303" i="55" a="1"/>
  <c r="CR303" i="55" s="1"/>
  <c r="CS303" i="55" s="1"/>
  <c r="GB303" i="55"/>
  <c r="GC303" i="55" s="1"/>
  <c r="CG170" i="55"/>
  <c r="JW39" i="55"/>
  <c r="GB39" i="55"/>
  <c r="GC39" i="55" s="1"/>
  <c r="CN345" i="55"/>
  <c r="CO71" i="55"/>
  <c r="CP71" i="55" s="1"/>
  <c r="Y71" i="55" s="1"/>
  <c r="CQ277" i="55"/>
  <c r="GY333" i="55"/>
  <c r="GX333" i="55"/>
  <c r="IK349" i="55"/>
  <c r="GO349" i="55"/>
  <c r="IK280" i="55"/>
  <c r="GO280" i="55"/>
  <c r="IK270" i="55"/>
  <c r="GO270" i="55"/>
  <c r="IK250" i="55"/>
  <c r="GO250" i="55"/>
  <c r="IK221" i="55"/>
  <c r="GO221" i="55"/>
  <c r="GO181" i="55"/>
  <c r="IK181" i="55"/>
  <c r="IK142" i="55"/>
  <c r="GO142" i="55"/>
  <c r="IK102" i="55"/>
  <c r="GO102" i="55"/>
  <c r="GG120" i="55"/>
  <c r="GD120" i="55"/>
  <c r="BT86" i="55"/>
  <c r="HY79" i="55"/>
  <c r="HX79" i="55"/>
  <c r="EL79" i="55"/>
  <c r="BW212" i="55"/>
  <c r="BW103" i="55"/>
  <c r="CD150" i="55"/>
  <c r="JW209" i="55"/>
  <c r="FW209" i="55"/>
  <c r="GB209" i="55"/>
  <c r="GC209" i="55" s="1"/>
  <c r="DS209" i="55"/>
  <c r="FN301" i="55"/>
  <c r="FA109" i="55"/>
  <c r="FB109" i="55"/>
  <c r="IK289" i="55"/>
  <c r="GO289" i="55"/>
  <c r="IK63" i="55"/>
  <c r="GO63" i="55"/>
  <c r="IK42" i="55"/>
  <c r="GO42" i="55"/>
  <c r="IK23" i="55"/>
  <c r="GO23" i="55"/>
  <c r="JH339" i="55"/>
  <c r="JI339" i="55" s="1"/>
  <c r="FF339" i="55"/>
  <c r="CO339" i="55"/>
  <c r="CP339" i="55" s="1"/>
  <c r="Y339" i="55" s="1"/>
  <c r="CA339" i="55"/>
  <c r="BP339" i="55"/>
  <c r="BT339" i="55"/>
  <c r="P339" i="55"/>
  <c r="DB339" i="55"/>
  <c r="DI339" i="55"/>
  <c r="H339" i="55" s="1"/>
  <c r="DJ339" i="55" s="1"/>
  <c r="CC339" i="55"/>
  <c r="DC339" i="55"/>
  <c r="I339" i="55" s="1"/>
  <c r="DD339" i="55" s="1"/>
  <c r="CQ339" i="55"/>
  <c r="DN339" i="55"/>
  <c r="CD339" i="55"/>
  <c r="BO339" i="55"/>
  <c r="BY339" i="55"/>
  <c r="JH291" i="55"/>
  <c r="JI291" i="55" s="1"/>
  <c r="GA291" i="55"/>
  <c r="FF291" i="55"/>
  <c r="DC291" i="55"/>
  <c r="I291" i="55" s="1"/>
  <c r="DD291" i="55" s="1"/>
  <c r="CO291" i="55"/>
  <c r="CP291" i="55" s="1"/>
  <c r="Y291" i="55" s="1"/>
  <c r="DI291" i="55"/>
  <c r="H291" i="55" s="1"/>
  <c r="DJ291" i="55" s="1"/>
  <c r="CA291" i="55"/>
  <c r="DN291" i="55"/>
  <c r="BY291" i="55"/>
  <c r="BP291" i="55"/>
  <c r="CQ291" i="55"/>
  <c r="P291" i="55"/>
  <c r="CC291" i="55"/>
  <c r="BT291" i="55"/>
  <c r="CD291" i="55"/>
  <c r="BO291" i="55"/>
  <c r="JH227" i="55"/>
  <c r="JI227" i="55" s="1"/>
  <c r="DC227" i="55"/>
  <c r="I227" i="55" s="1"/>
  <c r="DD227" i="55" s="1"/>
  <c r="CO227" i="55"/>
  <c r="CP227" i="55" s="1"/>
  <c r="Y227" i="55" s="1"/>
  <c r="CA227" i="55"/>
  <c r="BY227" i="55"/>
  <c r="BP227" i="55"/>
  <c r="P227" i="55"/>
  <c r="FF227" i="55"/>
  <c r="DI227" i="55"/>
  <c r="H227" i="55" s="1"/>
  <c r="DJ227" i="55" s="1"/>
  <c r="DB227" i="55"/>
  <c r="DN227" i="55"/>
  <c r="CD227" i="55"/>
  <c r="BO227" i="55"/>
  <c r="BT227" i="55"/>
  <c r="CQ227" i="55"/>
  <c r="BI227" i="55" a="1"/>
  <c r="BI227" i="55" s="1"/>
  <c r="C227" i="55" s="1"/>
  <c r="BJ227" i="55" s="1"/>
  <c r="JH179" i="55"/>
  <c r="JI179" i="55" s="1"/>
  <c r="GA179" i="55"/>
  <c r="BY179" i="55" s="1"/>
  <c r="DC179" i="55"/>
  <c r="I179" i="55" s="1"/>
  <c r="DD179" i="55" s="1"/>
  <c r="DN179" i="55"/>
  <c r="CQ179" i="55"/>
  <c r="CO179" i="55"/>
  <c r="CP179" i="55" s="1"/>
  <c r="Y179" i="55" s="1"/>
  <c r="DI179" i="55"/>
  <c r="H179" i="55" s="1"/>
  <c r="DJ179" i="55" s="1"/>
  <c r="DB179" i="55"/>
  <c r="CA179" i="55"/>
  <c r="BP179" i="55"/>
  <c r="P179" i="55"/>
  <c r="FF179" i="55"/>
  <c r="CC179" i="55"/>
  <c r="BT179" i="55"/>
  <c r="BO179" i="55"/>
  <c r="CD179" i="55"/>
  <c r="JH115" i="55"/>
  <c r="JI115" i="55" s="1"/>
  <c r="GA115" i="55"/>
  <c r="BY115" i="55" s="1"/>
  <c r="DC115" i="55"/>
  <c r="I115" i="55" s="1"/>
  <c r="DD115" i="55" s="1"/>
  <c r="DN115" i="55"/>
  <c r="CQ115" i="55"/>
  <c r="CO115" i="55"/>
  <c r="CP115" i="55" s="1"/>
  <c r="Y115" i="55" s="1"/>
  <c r="CA115" i="55"/>
  <c r="BP115" i="55"/>
  <c r="DI115" i="55"/>
  <c r="H115" i="55" s="1"/>
  <c r="DJ115" i="55" s="1"/>
  <c r="P115" i="55"/>
  <c r="BO115" i="55"/>
  <c r="CC115" i="55"/>
  <c r="DB115" i="55"/>
  <c r="BT115" i="55"/>
  <c r="JH99" i="55"/>
  <c r="JI99" i="55" s="1"/>
  <c r="GA99" i="55"/>
  <c r="DC99" i="55"/>
  <c r="I99" i="55" s="1"/>
  <c r="DD99" i="55" s="1"/>
  <c r="CO99" i="55"/>
  <c r="CP99" i="55" s="1"/>
  <c r="Y99" i="55" s="1"/>
  <c r="CA99" i="55"/>
  <c r="DN99" i="55"/>
  <c r="DB99" i="55"/>
  <c r="DI99" i="55"/>
  <c r="H99" i="55" s="1"/>
  <c r="DJ99" i="55" s="1"/>
  <c r="BY99" i="55"/>
  <c r="BP99" i="55"/>
  <c r="CQ99" i="55"/>
  <c r="BT99" i="55"/>
  <c r="CD99" i="55"/>
  <c r="BO99" i="55"/>
  <c r="CC99" i="55"/>
  <c r="JH67" i="55"/>
  <c r="JI67" i="55" s="1"/>
  <c r="GA67" i="55"/>
  <c r="BY67" i="55" s="1"/>
  <c r="DN67" i="55"/>
  <c r="DI67" i="55"/>
  <c r="H67" i="55" s="1"/>
  <c r="DJ67" i="55" s="1"/>
  <c r="DC67" i="55"/>
  <c r="I67" i="55" s="1"/>
  <c r="DD67" i="55" s="1"/>
  <c r="CA67" i="55"/>
  <c r="BP67" i="55"/>
  <c r="CC67" i="55"/>
  <c r="BT67" i="55"/>
  <c r="CQ67" i="55"/>
  <c r="CO67" i="55"/>
  <c r="CP67" i="55" s="1"/>
  <c r="Y67" i="55" s="1"/>
  <c r="DB67" i="55"/>
  <c r="CD67" i="55"/>
  <c r="BW67" i="55"/>
  <c r="JH51" i="55"/>
  <c r="JI51" i="55" s="1"/>
  <c r="GA51" i="55"/>
  <c r="DC51" i="55"/>
  <c r="I51" i="55" s="1"/>
  <c r="DD51" i="55" s="1"/>
  <c r="DN51" i="55"/>
  <c r="CQ51" i="55"/>
  <c r="CA51" i="55"/>
  <c r="BP51" i="55"/>
  <c r="FF51" i="55"/>
  <c r="DI51" i="55"/>
  <c r="H51" i="55" s="1"/>
  <c r="DJ51" i="55" s="1"/>
  <c r="BY51" i="55"/>
  <c r="P51" i="55"/>
  <c r="CO51" i="55"/>
  <c r="CP51" i="55" s="1"/>
  <c r="Y51" i="55" s="1"/>
  <c r="CD51" i="55"/>
  <c r="DB51" i="55"/>
  <c r="BO51" i="55"/>
  <c r="BT51" i="55"/>
  <c r="JH35" i="55"/>
  <c r="JI35" i="55" s="1"/>
  <c r="FF35" i="55"/>
  <c r="GA35" i="55"/>
  <c r="BY35" i="55" s="1"/>
  <c r="DC35" i="55"/>
  <c r="I35" i="55" s="1"/>
  <c r="DD35" i="55" s="1"/>
  <c r="DI35" i="55"/>
  <c r="H35" i="55" s="1"/>
  <c r="DJ35" i="55" s="1"/>
  <c r="CA35" i="55"/>
  <c r="DB35" i="55"/>
  <c r="BP35" i="55"/>
  <c r="CQ35" i="55"/>
  <c r="BT35" i="55"/>
  <c r="P35" i="55"/>
  <c r="CC35" i="55"/>
  <c r="CO35" i="55"/>
  <c r="CP35" i="55" s="1"/>
  <c r="Y35" i="55" s="1"/>
  <c r="CD35" i="55"/>
  <c r="DN35" i="55"/>
  <c r="BE68" i="55"/>
  <c r="P68" i="55" s="1"/>
  <c r="BE37" i="55"/>
  <c r="P37" i="55" s="1"/>
  <c r="FA37" i="55" s="1"/>
  <c r="BO343" i="55"/>
  <c r="GG348" i="55"/>
  <c r="GD348" i="55"/>
  <c r="BP246" i="55"/>
  <c r="BP53" i="55"/>
  <c r="BQ68" i="55"/>
  <c r="BS342" i="55"/>
  <c r="GL342" i="55" s="1"/>
  <c r="BS212" i="55"/>
  <c r="GL212" i="55" s="1"/>
  <c r="HY113" i="55"/>
  <c r="HX113" i="55"/>
  <c r="BW327" i="55"/>
  <c r="BW102" i="55"/>
  <c r="FX249" i="55" a="1"/>
  <c r="FX249" i="55" s="1"/>
  <c r="FY249" i="55"/>
  <c r="JW257" i="55"/>
  <c r="GB257" i="55"/>
  <c r="GC257" i="55" s="1"/>
  <c r="DS257" i="55"/>
  <c r="CQ294" i="55"/>
  <c r="P343" i="55"/>
  <c r="FA343" i="55" s="1"/>
  <c r="P198" i="55"/>
  <c r="P53" i="55"/>
  <c r="S48" i="55"/>
  <c r="IK288" i="55"/>
  <c r="GO288" i="55"/>
  <c r="IK160" i="55"/>
  <c r="GO160" i="55"/>
  <c r="IK32" i="55"/>
  <c r="GO32" i="55"/>
  <c r="BE320" i="55"/>
  <c r="P320" i="55" s="1"/>
  <c r="FA320" i="55" s="1"/>
  <c r="BF254" i="55"/>
  <c r="BG254" i="55" s="1"/>
  <c r="BF116" i="55"/>
  <c r="BG116" i="55" s="1"/>
  <c r="BI116" i="55" s="1" a="1"/>
  <c r="BI116" i="55" s="1"/>
  <c r="BF52" i="55"/>
  <c r="BG52" i="55" s="1"/>
  <c r="BI52" i="55" s="1" a="1"/>
  <c r="BI52" i="55" s="1"/>
  <c r="C52" i="55" s="1"/>
  <c r="BJ52" i="55" s="1"/>
  <c r="BI341" i="55" a="1"/>
  <c r="BI341" i="55" s="1"/>
  <c r="C341" i="55" s="1"/>
  <c r="BJ341" i="55" s="1"/>
  <c r="BI86" i="55" a="1"/>
  <c r="BI86" i="55" s="1"/>
  <c r="GG346" i="55"/>
  <c r="GD346" i="55"/>
  <c r="GD292" i="55"/>
  <c r="GG292" i="55"/>
  <c r="BP167" i="55"/>
  <c r="BP102" i="55"/>
  <c r="BP50" i="55"/>
  <c r="HY216" i="55"/>
  <c r="HX216" i="55"/>
  <c r="EL216" i="55"/>
  <c r="HX142" i="55"/>
  <c r="HY142" i="55"/>
  <c r="HY31" i="55"/>
  <c r="HX31" i="55"/>
  <c r="EL31" i="55"/>
  <c r="FC31" i="55"/>
  <c r="FD31" i="55" s="1"/>
  <c r="HS31" i="55" s="1"/>
  <c r="HU31" i="55" s="1"/>
  <c r="BW82" i="55"/>
  <c r="CD130" i="55"/>
  <c r="CG346" i="55"/>
  <c r="JW302" i="55"/>
  <c r="DS302" i="55"/>
  <c r="GB302" i="55"/>
  <c r="GC302" i="55" s="1"/>
  <c r="CR302" i="55" a="1"/>
  <c r="CR302" i="55" s="1"/>
  <c r="CO70" i="55"/>
  <c r="CP70" i="55" s="1"/>
  <c r="Y70" i="55" s="1"/>
  <c r="DI306" i="55"/>
  <c r="H306" i="55" s="1"/>
  <c r="DJ306" i="55" s="1"/>
  <c r="EX91" i="55"/>
  <c r="EC91" i="55"/>
  <c r="IK339" i="55"/>
  <c r="GO339" i="55"/>
  <c r="IK309" i="55"/>
  <c r="GO309" i="55"/>
  <c r="IK230" i="55"/>
  <c r="GO230" i="55"/>
  <c r="IK152" i="55"/>
  <c r="GO152" i="55"/>
  <c r="IK112" i="55"/>
  <c r="GO112" i="55"/>
  <c r="IK93" i="55"/>
  <c r="GO93" i="55"/>
  <c r="IK83" i="55"/>
  <c r="GO83" i="55"/>
  <c r="IK53" i="55"/>
  <c r="GO53" i="55"/>
  <c r="IK14" i="55"/>
  <c r="GO14" i="55"/>
  <c r="BF259" i="55"/>
  <c r="BG259" i="55" s="1"/>
  <c r="BI259" i="55" s="1" a="1"/>
  <c r="BI259" i="55" s="1"/>
  <c r="C259" i="55" s="1"/>
  <c r="BJ259" i="55" s="1"/>
  <c r="FG305" i="55"/>
  <c r="BS305" i="55"/>
  <c r="BW305" i="55"/>
  <c r="BI305" i="55" a="1"/>
  <c r="BI305" i="55" s="1"/>
  <c r="C305" i="55" s="1"/>
  <c r="BJ305" i="55" s="1"/>
  <c r="GG297" i="55"/>
  <c r="GD297" i="55"/>
  <c r="JW174" i="55"/>
  <c r="IC174" i="55"/>
  <c r="GB174" i="55"/>
  <c r="GC174" i="55" s="1"/>
  <c r="FW174" i="55"/>
  <c r="DS174" i="55"/>
  <c r="CR174" i="55" a="1"/>
  <c r="CR174" i="55" s="1"/>
  <c r="CS174" i="55" s="1"/>
  <c r="P294" i="55"/>
  <c r="FA294" i="55" s="1"/>
  <c r="IK298" i="55"/>
  <c r="GO298" i="55"/>
  <c r="IK260" i="55"/>
  <c r="GO260" i="55"/>
  <c r="IK239" i="55"/>
  <c r="GO239" i="55"/>
  <c r="IK191" i="55"/>
  <c r="GO191" i="55"/>
  <c r="IK151" i="55"/>
  <c r="GO151" i="55"/>
  <c r="IK33" i="55"/>
  <c r="GO33" i="55"/>
  <c r="JH323" i="55"/>
  <c r="JI323" i="55" s="1"/>
  <c r="GA323" i="55"/>
  <c r="BY323" i="55" s="1"/>
  <c r="DN323" i="55"/>
  <c r="DI323" i="55"/>
  <c r="H323" i="55" s="1"/>
  <c r="DJ323" i="55" s="1"/>
  <c r="DC323" i="55"/>
  <c r="I323" i="55" s="1"/>
  <c r="DD323" i="55" s="1"/>
  <c r="DB323" i="55"/>
  <c r="CO323" i="55"/>
  <c r="CP323" i="55" s="1"/>
  <c r="Y323" i="55" s="1"/>
  <c r="CA323" i="55"/>
  <c r="BP323" i="55"/>
  <c r="CC323" i="55"/>
  <c r="CQ323" i="55"/>
  <c r="CD323" i="55"/>
  <c r="BT323" i="55"/>
  <c r="BO323" i="55"/>
  <c r="JH259" i="55"/>
  <c r="JI259" i="55" s="1"/>
  <c r="GA259" i="55"/>
  <c r="BY259" i="55" s="1"/>
  <c r="DN259" i="55"/>
  <c r="DI259" i="55"/>
  <c r="H259" i="55" s="1"/>
  <c r="DJ259" i="55" s="1"/>
  <c r="CO259" i="55"/>
  <c r="CP259" i="55" s="1"/>
  <c r="Y259" i="55" s="1"/>
  <c r="CA259" i="55"/>
  <c r="BP259" i="55"/>
  <c r="CQ259" i="55"/>
  <c r="CC259" i="55"/>
  <c r="FF259" i="55"/>
  <c r="BO259" i="55"/>
  <c r="P259" i="55"/>
  <c r="DB259" i="55"/>
  <c r="DC259" i="55"/>
  <c r="I259" i="55" s="1"/>
  <c r="DD259" i="55" s="1"/>
  <c r="CD259" i="55"/>
  <c r="BT259" i="55"/>
  <c r="JH211" i="55"/>
  <c r="JI211" i="55" s="1"/>
  <c r="GA211" i="55"/>
  <c r="FF211" i="55"/>
  <c r="DC211" i="55"/>
  <c r="I211" i="55" s="1"/>
  <c r="DD211" i="55" s="1"/>
  <c r="CO211" i="55"/>
  <c r="CP211" i="55" s="1"/>
  <c r="Y211" i="55" s="1"/>
  <c r="CA211" i="55"/>
  <c r="DN211" i="55"/>
  <c r="DI211" i="55"/>
  <c r="H211" i="55" s="1"/>
  <c r="DJ211" i="55" s="1"/>
  <c r="BP211" i="55"/>
  <c r="BT211" i="55"/>
  <c r="CQ211" i="55"/>
  <c r="DB211" i="55"/>
  <c r="CD211" i="55"/>
  <c r="BO211" i="55"/>
  <c r="BY211" i="55"/>
  <c r="JH195" i="55"/>
  <c r="JI195" i="55" s="1"/>
  <c r="GA195" i="55"/>
  <c r="FF195" i="55"/>
  <c r="DN195" i="55"/>
  <c r="DI195" i="55"/>
  <c r="H195" i="55" s="1"/>
  <c r="DJ195" i="55" s="1"/>
  <c r="CO195" i="55"/>
  <c r="CP195" i="55" s="1"/>
  <c r="Y195" i="55" s="1"/>
  <c r="CA195" i="55"/>
  <c r="BP195" i="55"/>
  <c r="CC195" i="55"/>
  <c r="DB195" i="55"/>
  <c r="P195" i="55"/>
  <c r="DC195" i="55"/>
  <c r="I195" i="55" s="1"/>
  <c r="DD195" i="55" s="1"/>
  <c r="CQ195" i="55"/>
  <c r="BT195" i="55"/>
  <c r="BO195" i="55"/>
  <c r="BY195" i="55"/>
  <c r="CD195" i="55"/>
  <c r="JH131" i="55"/>
  <c r="JI131" i="55" s="1"/>
  <c r="GA131" i="55"/>
  <c r="DN131" i="55"/>
  <c r="DI131" i="55"/>
  <c r="H131" i="55" s="1"/>
  <c r="DJ131" i="55" s="1"/>
  <c r="CO131" i="55"/>
  <c r="CP131" i="55" s="1"/>
  <c r="Y131" i="55" s="1"/>
  <c r="CA131" i="55"/>
  <c r="DC131" i="55"/>
  <c r="I131" i="55" s="1"/>
  <c r="DD131" i="55" s="1"/>
  <c r="DB131" i="55"/>
  <c r="BP131" i="55"/>
  <c r="CC131" i="55"/>
  <c r="CQ131" i="55"/>
  <c r="BO131" i="55"/>
  <c r="CD131" i="55"/>
  <c r="BY131" i="55"/>
  <c r="JH83" i="55"/>
  <c r="JI83" i="55" s="1"/>
  <c r="GA83" i="55"/>
  <c r="BY83" i="55" s="1"/>
  <c r="DB83" i="55"/>
  <c r="CA83" i="55"/>
  <c r="BP83" i="55"/>
  <c r="BQ83" i="55" s="1"/>
  <c r="BT83" i="55"/>
  <c r="DI83" i="55"/>
  <c r="H83" i="55" s="1"/>
  <c r="DJ83" i="55" s="1"/>
  <c r="P83" i="55"/>
  <c r="FA83" i="55" s="1"/>
  <c r="CD83" i="55"/>
  <c r="CQ83" i="55"/>
  <c r="DN83" i="55"/>
  <c r="CC83" i="55"/>
  <c r="JH19" i="55"/>
  <c r="JI19" i="55" s="1"/>
  <c r="GA19" i="55"/>
  <c r="BY19" i="55" s="1"/>
  <c r="DN19" i="55"/>
  <c r="CA19" i="55"/>
  <c r="DC19" i="55"/>
  <c r="I19" i="55" s="1"/>
  <c r="DD19" i="55" s="1"/>
  <c r="DI19" i="55"/>
  <c r="H19" i="55" s="1"/>
  <c r="DJ19" i="55" s="1"/>
  <c r="BP19" i="55"/>
  <c r="HV19" i="55" s="1"/>
  <c r="BT19" i="55"/>
  <c r="CQ19" i="55"/>
  <c r="P19" i="55"/>
  <c r="CO19" i="55"/>
  <c r="CP19" i="55" s="1"/>
  <c r="Y19" i="55" s="1"/>
  <c r="CD19" i="55"/>
  <c r="BO19" i="55"/>
  <c r="CC19" i="55"/>
  <c r="P341" i="55"/>
  <c r="FA221" i="55"/>
  <c r="FB221" i="55"/>
  <c r="P197" i="55"/>
  <c r="P134" i="55"/>
  <c r="FA134" i="55" s="1"/>
  <c r="S336" i="55"/>
  <c r="S307" i="55"/>
  <c r="S272" i="55"/>
  <c r="S112" i="55"/>
  <c r="IK337" i="55"/>
  <c r="GO337" i="55"/>
  <c r="IK327" i="55"/>
  <c r="GO327" i="55"/>
  <c r="IK306" i="55"/>
  <c r="GO306" i="55"/>
  <c r="IK287" i="55"/>
  <c r="GO287" i="55"/>
  <c r="IK268" i="55"/>
  <c r="GO268" i="55"/>
  <c r="IK258" i="55"/>
  <c r="GO258" i="55"/>
  <c r="IK248" i="55"/>
  <c r="GO248" i="55"/>
  <c r="IK209" i="55"/>
  <c r="GO209" i="55"/>
  <c r="IK199" i="55"/>
  <c r="GO199" i="55"/>
  <c r="IK178" i="55"/>
  <c r="GO178" i="55"/>
  <c r="IK159" i="55"/>
  <c r="GO159" i="55"/>
  <c r="IK140" i="55"/>
  <c r="GO140" i="55"/>
  <c r="IK130" i="55"/>
  <c r="GO130" i="55"/>
  <c r="IK120" i="55"/>
  <c r="GO120" i="55"/>
  <c r="IK81" i="55"/>
  <c r="GO81" i="55"/>
  <c r="IK71" i="55"/>
  <c r="GO71" i="55"/>
  <c r="IK50" i="55"/>
  <c r="GO50" i="55"/>
  <c r="IK31" i="55"/>
  <c r="GO31" i="55"/>
  <c r="IK12" i="55"/>
  <c r="GO12" i="55"/>
  <c r="JH352" i="55"/>
  <c r="JI352" i="55" s="1"/>
  <c r="GA352" i="55"/>
  <c r="BY352" i="55" s="1"/>
  <c r="DN352" i="55"/>
  <c r="FF352" i="55"/>
  <c r="DC352" i="55"/>
  <c r="I352" i="55" s="1"/>
  <c r="DD352" i="55" s="1"/>
  <c r="CA352" i="55"/>
  <c r="CQ352" i="55"/>
  <c r="BT352" i="55"/>
  <c r="DI352" i="55"/>
  <c r="H352" i="55" s="1"/>
  <c r="DJ352" i="55" s="1"/>
  <c r="DB352" i="55"/>
  <c r="CD352" i="55"/>
  <c r="CO352" i="55"/>
  <c r="CP352" i="55" s="1"/>
  <c r="Y352" i="55" s="1"/>
  <c r="BP352" i="55"/>
  <c r="BO352" i="55"/>
  <c r="P352" i="55"/>
  <c r="CC352" i="55"/>
  <c r="GI336" i="55"/>
  <c r="GA336" i="55"/>
  <c r="BY336" i="55" s="1"/>
  <c r="DN336" i="55"/>
  <c r="CA336" i="55"/>
  <c r="BT336" i="55"/>
  <c r="CO336" i="55"/>
  <c r="CP336" i="55" s="1"/>
  <c r="Y336" i="55" s="1"/>
  <c r="BP336" i="55"/>
  <c r="CQ336" i="55"/>
  <c r="DC336" i="55"/>
  <c r="I336" i="55" s="1"/>
  <c r="DD336" i="55" s="1"/>
  <c r="IC336" i="55" s="1"/>
  <c r="DI336" i="55"/>
  <c r="H336" i="55" s="1"/>
  <c r="DJ336" i="55" s="1"/>
  <c r="CD336" i="55"/>
  <c r="FF336" i="55"/>
  <c r="BO336" i="55"/>
  <c r="CC336" i="55"/>
  <c r="JH320" i="55"/>
  <c r="JI320" i="55" s="1"/>
  <c r="GA320" i="55"/>
  <c r="BY320" i="55" s="1"/>
  <c r="DN320" i="55"/>
  <c r="CA320" i="55"/>
  <c r="BT320" i="55"/>
  <c r="DI320" i="55"/>
  <c r="H320" i="55" s="1"/>
  <c r="DJ320" i="55" s="1"/>
  <c r="CO320" i="55"/>
  <c r="CP320" i="55" s="1"/>
  <c r="Y320" i="55" s="1"/>
  <c r="CC320" i="55"/>
  <c r="DB320" i="55"/>
  <c r="CD320" i="55"/>
  <c r="CQ320" i="55"/>
  <c r="DC320" i="55"/>
  <c r="I320" i="55" s="1"/>
  <c r="DD320" i="55" s="1"/>
  <c r="BP320" i="55"/>
  <c r="BO320" i="55"/>
  <c r="JH304" i="55"/>
  <c r="JI304" i="55" s="1"/>
  <c r="GA304" i="55"/>
  <c r="FF304" i="55"/>
  <c r="DN304" i="55"/>
  <c r="DB304" i="55"/>
  <c r="CA304" i="55"/>
  <c r="BT304" i="55"/>
  <c r="CD304" i="55"/>
  <c r="DC304" i="55"/>
  <c r="I304" i="55" s="1"/>
  <c r="DD304" i="55" s="1"/>
  <c r="IC304" i="55" s="1"/>
  <c r="DI304" i="55"/>
  <c r="H304" i="55" s="1"/>
  <c r="DJ304" i="55" s="1"/>
  <c r="CO304" i="55"/>
  <c r="CP304" i="55" s="1"/>
  <c r="Y304" i="55" s="1"/>
  <c r="P304" i="55"/>
  <c r="FA304" i="55" s="1"/>
  <c r="BY304" i="55"/>
  <c r="JH288" i="55"/>
  <c r="JI288" i="55" s="1"/>
  <c r="GA288" i="55"/>
  <c r="BY288" i="55" s="1"/>
  <c r="DN288" i="55"/>
  <c r="DC288" i="55"/>
  <c r="I288" i="55" s="1"/>
  <c r="DD288" i="55" s="1"/>
  <c r="FF288" i="55"/>
  <c r="CA288" i="55"/>
  <c r="CQ288" i="55"/>
  <c r="BT288" i="55"/>
  <c r="CD288" i="55"/>
  <c r="DI288" i="55"/>
  <c r="H288" i="55" s="1"/>
  <c r="DJ288" i="55" s="1"/>
  <c r="CO288" i="55"/>
  <c r="CP288" i="55" s="1"/>
  <c r="Y288" i="55" s="1"/>
  <c r="P288" i="55"/>
  <c r="FA288" i="55" s="1"/>
  <c r="DB288" i="55"/>
  <c r="CC288" i="55"/>
  <c r="BP288" i="55"/>
  <c r="BO288" i="55"/>
  <c r="JH272" i="55"/>
  <c r="JI272" i="55" s="1"/>
  <c r="FF272" i="55"/>
  <c r="DN272" i="55"/>
  <c r="CA272" i="55"/>
  <c r="DC272" i="55"/>
  <c r="I272" i="55" s="1"/>
  <c r="DD272" i="55" s="1"/>
  <c r="BT272" i="55"/>
  <c r="CD272" i="55"/>
  <c r="DI272" i="55"/>
  <c r="H272" i="55" s="1"/>
  <c r="DJ272" i="55" s="1"/>
  <c r="DB272" i="55"/>
  <c r="CQ272" i="55"/>
  <c r="GA272" i="55"/>
  <c r="BY272" i="55" s="1"/>
  <c r="BO272" i="55"/>
  <c r="BP272" i="55"/>
  <c r="P272" i="55"/>
  <c r="FA272" i="55" s="1"/>
  <c r="JH256" i="55"/>
  <c r="JI256" i="55" s="1"/>
  <c r="FF256" i="55"/>
  <c r="DN256" i="55"/>
  <c r="GA256" i="55"/>
  <c r="BY256" i="55" s="1"/>
  <c r="CA256" i="55"/>
  <c r="BT256" i="55"/>
  <c r="CQ256" i="55"/>
  <c r="CO256" i="55"/>
  <c r="CP256" i="55" s="1"/>
  <c r="Y256" i="55" s="1"/>
  <c r="CC256" i="55"/>
  <c r="DC256" i="55"/>
  <c r="I256" i="55" s="1"/>
  <c r="DD256" i="55" s="1"/>
  <c r="DB256" i="55"/>
  <c r="CD256" i="55"/>
  <c r="BP256" i="55"/>
  <c r="BQ256" i="55" s="1"/>
  <c r="BO256" i="55"/>
  <c r="DI256" i="55"/>
  <c r="H256" i="55" s="1"/>
  <c r="DJ256" i="55" s="1"/>
  <c r="JH240" i="55"/>
  <c r="JI240" i="55" s="1"/>
  <c r="GA240" i="55"/>
  <c r="BY240" i="55" s="1"/>
  <c r="FF240" i="55"/>
  <c r="DN240" i="55"/>
  <c r="CA240" i="55"/>
  <c r="DC240" i="55"/>
  <c r="I240" i="55" s="1"/>
  <c r="DD240" i="55" s="1"/>
  <c r="BT240" i="55"/>
  <c r="CD240" i="55"/>
  <c r="BO240" i="55"/>
  <c r="DI240" i="55"/>
  <c r="H240" i="55" s="1"/>
  <c r="DJ240" i="55" s="1"/>
  <c r="CQ240" i="55"/>
  <c r="DB240" i="55"/>
  <c r="BP240" i="55"/>
  <c r="CC240" i="55"/>
  <c r="CO240" i="55"/>
  <c r="CP240" i="55" s="1"/>
  <c r="Y240" i="55" s="1"/>
  <c r="GI224" i="55"/>
  <c r="DN224" i="55"/>
  <c r="GA224" i="55"/>
  <c r="BY224" i="55" s="1"/>
  <c r="DC224" i="55"/>
  <c r="I224" i="55" s="1"/>
  <c r="DD224" i="55" s="1"/>
  <c r="FF224" i="55"/>
  <c r="CA224" i="55"/>
  <c r="CQ224" i="55"/>
  <c r="BT224" i="55"/>
  <c r="CD224" i="55"/>
  <c r="CO224" i="55"/>
  <c r="CP224" i="55" s="1"/>
  <c r="Y224" i="55" s="1"/>
  <c r="DI224" i="55"/>
  <c r="H224" i="55" s="1"/>
  <c r="DJ224" i="55" s="1"/>
  <c r="CC224" i="55"/>
  <c r="BO224" i="55"/>
  <c r="P224" i="55"/>
  <c r="FA224" i="55" s="1"/>
  <c r="BP224" i="55"/>
  <c r="JH208" i="55"/>
  <c r="JI208" i="55" s="1"/>
  <c r="GA208" i="55"/>
  <c r="BY208" i="55" s="1"/>
  <c r="DN208" i="55"/>
  <c r="CA208" i="55"/>
  <c r="BT208" i="55"/>
  <c r="FF208" i="55"/>
  <c r="DI208" i="55"/>
  <c r="H208" i="55" s="1"/>
  <c r="DJ208" i="55" s="1"/>
  <c r="DC208" i="55"/>
  <c r="I208" i="55" s="1"/>
  <c r="DD208" i="55" s="1"/>
  <c r="BP208" i="55"/>
  <c r="DB208" i="55"/>
  <c r="CQ208" i="55"/>
  <c r="CO208" i="55"/>
  <c r="CP208" i="55" s="1"/>
  <c r="Y208" i="55" s="1"/>
  <c r="BO208" i="55"/>
  <c r="CC208" i="55"/>
  <c r="P208" i="55"/>
  <c r="CD208" i="55"/>
  <c r="CE208" i="55" s="1" a="1"/>
  <c r="CE208" i="55" s="1"/>
  <c r="EK208" i="55" s="1"/>
  <c r="BW208" i="55"/>
  <c r="JH192" i="55"/>
  <c r="JI192" i="55" s="1"/>
  <c r="FF192" i="55"/>
  <c r="DN192" i="55"/>
  <c r="GA192" i="55"/>
  <c r="BY192" i="55" s="1"/>
  <c r="CA192" i="55"/>
  <c r="BT192" i="55"/>
  <c r="CO192" i="55"/>
  <c r="CP192" i="55" s="1"/>
  <c r="Y192" i="55" s="1"/>
  <c r="CC192" i="55"/>
  <c r="DB192" i="55"/>
  <c r="BP192" i="55"/>
  <c r="BQ192" i="55" s="1"/>
  <c r="BO192" i="55"/>
  <c r="CD192" i="55"/>
  <c r="CQ192" i="55"/>
  <c r="DI192" i="55"/>
  <c r="H192" i="55" s="1"/>
  <c r="DJ192" i="55" s="1"/>
  <c r="DC192" i="55"/>
  <c r="I192" i="55" s="1"/>
  <c r="DD192" i="55" s="1"/>
  <c r="BW192" i="55"/>
  <c r="JH176" i="55"/>
  <c r="JI176" i="55" s="1"/>
  <c r="GA176" i="55"/>
  <c r="BY176" i="55" s="1"/>
  <c r="FF176" i="55"/>
  <c r="DN176" i="55"/>
  <c r="DI176" i="55"/>
  <c r="H176" i="55" s="1"/>
  <c r="DJ176" i="55" s="1"/>
  <c r="CA176" i="55"/>
  <c r="BT176" i="55"/>
  <c r="CD176" i="55"/>
  <c r="CQ176" i="55"/>
  <c r="CO176" i="55"/>
  <c r="CP176" i="55" s="1"/>
  <c r="Y176" i="55" s="1"/>
  <c r="DC176" i="55"/>
  <c r="I176" i="55" s="1"/>
  <c r="DD176" i="55" s="1"/>
  <c r="DB176" i="55"/>
  <c r="BP176" i="55"/>
  <c r="CC176" i="55"/>
  <c r="JH160" i="55"/>
  <c r="JI160" i="55" s="1"/>
  <c r="FF160" i="55"/>
  <c r="DN160" i="55"/>
  <c r="GA160" i="55"/>
  <c r="BY160" i="55" s="1"/>
  <c r="DC160" i="55"/>
  <c r="I160" i="55" s="1"/>
  <c r="DD160" i="55" s="1"/>
  <c r="CA160" i="55"/>
  <c r="CQ160" i="55"/>
  <c r="BT160" i="55"/>
  <c r="DB160" i="55"/>
  <c r="CD160" i="55"/>
  <c r="DI160" i="55"/>
  <c r="H160" i="55" s="1"/>
  <c r="DJ160" i="55" s="1"/>
  <c r="CO160" i="55"/>
  <c r="CP160" i="55" s="1"/>
  <c r="Y160" i="55" s="1"/>
  <c r="CC160" i="55"/>
  <c r="BP160" i="55"/>
  <c r="CE160" i="55" s="1" a="1"/>
  <c r="CE160" i="55" s="1"/>
  <c r="EK160" i="55" s="1"/>
  <c r="BO160" i="55"/>
  <c r="JH144" i="55"/>
  <c r="JI144" i="55" s="1"/>
  <c r="GA144" i="55"/>
  <c r="BY144" i="55" s="1"/>
  <c r="DN144" i="55"/>
  <c r="CA144" i="55"/>
  <c r="BT144" i="55"/>
  <c r="CQ144" i="55"/>
  <c r="CO144" i="55"/>
  <c r="CP144" i="55" s="1"/>
  <c r="Y144" i="55" s="1"/>
  <c r="DI144" i="55"/>
  <c r="H144" i="55" s="1"/>
  <c r="DJ144" i="55" s="1"/>
  <c r="DC144" i="55"/>
  <c r="I144" i="55" s="1"/>
  <c r="DD144" i="55" s="1"/>
  <c r="DB144" i="55"/>
  <c r="CD144" i="55"/>
  <c r="BO144" i="55"/>
  <c r="P144" i="55"/>
  <c r="JH128" i="55"/>
  <c r="JI128" i="55" s="1"/>
  <c r="GA128" i="55"/>
  <c r="BY128" i="55" s="1"/>
  <c r="DN128" i="55"/>
  <c r="CA128" i="55"/>
  <c r="DC128" i="55"/>
  <c r="I128" i="55" s="1"/>
  <c r="DD128" i="55" s="1"/>
  <c r="BT128" i="55"/>
  <c r="CO128" i="55"/>
  <c r="CP128" i="55" s="1"/>
  <c r="Y128" i="55" s="1"/>
  <c r="CC128" i="55"/>
  <c r="CD128" i="55"/>
  <c r="DI128" i="55"/>
  <c r="H128" i="55" s="1"/>
  <c r="DJ128" i="55" s="1"/>
  <c r="DB128" i="55"/>
  <c r="CQ128" i="55"/>
  <c r="BW128" i="55"/>
  <c r="BP128" i="55"/>
  <c r="BQ128" i="55" s="1"/>
  <c r="JH112" i="55"/>
  <c r="JI112" i="55" s="1"/>
  <c r="GA112" i="55"/>
  <c r="BY112" i="55" s="1"/>
  <c r="DN112" i="55"/>
  <c r="CA112" i="55"/>
  <c r="DB112" i="55"/>
  <c r="BT112" i="55"/>
  <c r="CQ112" i="55"/>
  <c r="CD112" i="55"/>
  <c r="CO112" i="55"/>
  <c r="CP112" i="55" s="1"/>
  <c r="Y112" i="55" s="1"/>
  <c r="BO112" i="55"/>
  <c r="DC112" i="55"/>
  <c r="I112" i="55" s="1"/>
  <c r="DD112" i="55" s="1"/>
  <c r="DI112" i="55"/>
  <c r="H112" i="55" s="1"/>
  <c r="DJ112" i="55" s="1"/>
  <c r="CC112" i="55"/>
  <c r="BP112" i="55"/>
  <c r="JH96" i="55"/>
  <c r="JI96" i="55" s="1"/>
  <c r="DN96" i="55"/>
  <c r="GA96" i="55"/>
  <c r="BY96" i="55" s="1"/>
  <c r="DC96" i="55"/>
  <c r="I96" i="55" s="1"/>
  <c r="DD96" i="55" s="1"/>
  <c r="CO96" i="55"/>
  <c r="CP96" i="55" s="1"/>
  <c r="Y96" i="55" s="1"/>
  <c r="CA96" i="55"/>
  <c r="CQ96" i="55"/>
  <c r="BT96" i="55"/>
  <c r="DI96" i="55"/>
  <c r="H96" i="55" s="1"/>
  <c r="DJ96" i="55" s="1"/>
  <c r="CD96" i="55"/>
  <c r="DB96" i="55"/>
  <c r="BO96" i="55"/>
  <c r="CC96" i="55"/>
  <c r="JH80" i="55"/>
  <c r="JI80" i="55" s="1"/>
  <c r="GA80" i="55"/>
  <c r="DN80" i="55"/>
  <c r="CA80" i="55"/>
  <c r="CO80" i="55"/>
  <c r="CP80" i="55" s="1"/>
  <c r="Y80" i="55" s="1"/>
  <c r="BT80" i="55"/>
  <c r="BY80" i="55"/>
  <c r="DB80" i="55"/>
  <c r="BP80" i="55"/>
  <c r="CE80" i="55" s="1" a="1"/>
  <c r="CE80" i="55" s="1"/>
  <c r="EK80" i="55" s="1"/>
  <c r="DI80" i="55"/>
  <c r="H80" i="55" s="1"/>
  <c r="DJ80" i="55" s="1"/>
  <c r="CQ80" i="55"/>
  <c r="CC80" i="55"/>
  <c r="BO80" i="55"/>
  <c r="DC80" i="55"/>
  <c r="I80" i="55" s="1"/>
  <c r="DD80" i="55" s="1"/>
  <c r="P80" i="55"/>
  <c r="JH64" i="55"/>
  <c r="JI64" i="55" s="1"/>
  <c r="DN64" i="55"/>
  <c r="DB64" i="55"/>
  <c r="GA64" i="55"/>
  <c r="CA64" i="55"/>
  <c r="BT64" i="55"/>
  <c r="DI64" i="55"/>
  <c r="H64" i="55" s="1"/>
  <c r="DJ64" i="55" s="1"/>
  <c r="CC64" i="55"/>
  <c r="CO64" i="55"/>
  <c r="CP64" i="55" s="1"/>
  <c r="Y64" i="55" s="1"/>
  <c r="CQ64" i="55"/>
  <c r="DC64" i="55"/>
  <c r="I64" i="55" s="1"/>
  <c r="DD64" i="55" s="1"/>
  <c r="BP64" i="55"/>
  <c r="BO64" i="55"/>
  <c r="P64" i="55"/>
  <c r="FA64" i="55" s="1"/>
  <c r="JH48" i="55"/>
  <c r="JI48" i="55" s="1"/>
  <c r="GA48" i="55"/>
  <c r="BY48" i="55" s="1"/>
  <c r="DN48" i="55"/>
  <c r="FF48" i="55"/>
  <c r="CA48" i="55"/>
  <c r="BT48" i="55"/>
  <c r="CD48" i="55"/>
  <c r="DC48" i="55"/>
  <c r="I48" i="55" s="1"/>
  <c r="DD48" i="55" s="1"/>
  <c r="CO48" i="55"/>
  <c r="CP48" i="55" s="1"/>
  <c r="Y48" i="55" s="1"/>
  <c r="DB48" i="55"/>
  <c r="CQ48" i="55"/>
  <c r="BO48" i="55"/>
  <c r="DI48" i="55"/>
  <c r="H48" i="55" s="1"/>
  <c r="DJ48" i="55" s="1"/>
  <c r="CC48" i="55"/>
  <c r="JH32" i="55"/>
  <c r="JI32" i="55" s="1"/>
  <c r="DN32" i="55"/>
  <c r="DC32" i="55"/>
  <c r="I32" i="55" s="1"/>
  <c r="DD32" i="55" s="1"/>
  <c r="CA32" i="55"/>
  <c r="FF32" i="55"/>
  <c r="CQ32" i="55"/>
  <c r="BT32" i="55"/>
  <c r="DB32" i="55"/>
  <c r="CD32" i="55"/>
  <c r="GA32" i="55"/>
  <c r="BY32" i="55" s="1"/>
  <c r="CO32" i="55"/>
  <c r="CP32" i="55" s="1"/>
  <c r="Y32" i="55" s="1"/>
  <c r="DI32" i="55"/>
  <c r="H32" i="55" s="1"/>
  <c r="DJ32" i="55" s="1"/>
  <c r="P32" i="55"/>
  <c r="FB32" i="55" s="1"/>
  <c r="BP32" i="55"/>
  <c r="CE32" i="55" s="1" a="1"/>
  <c r="CE32" i="55" s="1"/>
  <c r="EK32" i="55" s="1"/>
  <c r="CC32" i="55"/>
  <c r="DN16" i="55"/>
  <c r="GA16" i="55"/>
  <c r="BY16" i="55" s="1"/>
  <c r="CA16" i="55"/>
  <c r="DC16" i="55"/>
  <c r="I16" i="55" s="1"/>
  <c r="DD16" i="55" s="1"/>
  <c r="BT16" i="55"/>
  <c r="DI16" i="55"/>
  <c r="H16" i="55" s="1"/>
  <c r="DJ16" i="55" s="1"/>
  <c r="CO16" i="55"/>
  <c r="CP16" i="55" s="1"/>
  <c r="Y16" i="55" s="1"/>
  <c r="CD16" i="55"/>
  <c r="CQ16" i="55"/>
  <c r="P16" i="55"/>
  <c r="BO16" i="55"/>
  <c r="CC16" i="55"/>
  <c r="BE350" i="55"/>
  <c r="BF350" i="55"/>
  <c r="BG350" i="55" s="1"/>
  <c r="BF318" i="55"/>
  <c r="BG318" i="55" s="1"/>
  <c r="BI318" i="55" s="1" a="1"/>
  <c r="BI318" i="55" s="1"/>
  <c r="C318" i="55" s="1"/>
  <c r="BJ318" i="55" s="1"/>
  <c r="BE318" i="55"/>
  <c r="P318" i="55" s="1"/>
  <c r="FA318" i="55" s="1"/>
  <c r="BE302" i="55"/>
  <c r="P302" i="55" s="1"/>
  <c r="FA302" i="55" s="1"/>
  <c r="BF302" i="55"/>
  <c r="BG302" i="55" s="1"/>
  <c r="BI302" i="55" s="1" a="1"/>
  <c r="BI302" i="55" s="1"/>
  <c r="C302" i="55" s="1"/>
  <c r="BJ302" i="55" s="1"/>
  <c r="BF286" i="55"/>
  <c r="BG286" i="55" s="1"/>
  <c r="BE286" i="55"/>
  <c r="P286" i="55" s="1"/>
  <c r="BE222" i="55"/>
  <c r="BF222" i="55"/>
  <c r="BG222" i="55" s="1"/>
  <c r="BF206" i="55"/>
  <c r="BG206" i="55" s="1"/>
  <c r="BI206" i="55" s="1" a="1"/>
  <c r="BI206" i="55" s="1"/>
  <c r="C206" i="55" s="1"/>
  <c r="BJ206" i="55" s="1"/>
  <c r="BE206" i="55"/>
  <c r="P206" i="55" s="1"/>
  <c r="FA206" i="55" s="1"/>
  <c r="BF158" i="55"/>
  <c r="BG158" i="55" s="1"/>
  <c r="BI158" i="55" s="1" a="1"/>
  <c r="BI158" i="55" s="1"/>
  <c r="C158" i="55" s="1"/>
  <c r="BJ158" i="55" s="1"/>
  <c r="BE158" i="55"/>
  <c r="P158" i="55" s="1"/>
  <c r="FA158" i="55" s="1"/>
  <c r="BE78" i="55"/>
  <c r="P78" i="55" s="1"/>
  <c r="FA78" i="55" s="1"/>
  <c r="BF78" i="55"/>
  <c r="BG78" i="55" s="1"/>
  <c r="BI78" i="55" s="1" a="1"/>
  <c r="BI78" i="55" s="1"/>
  <c r="BF46" i="55"/>
  <c r="BG46" i="55" s="1"/>
  <c r="BI46" i="55" s="1" a="1"/>
  <c r="BI46" i="55" s="1"/>
  <c r="C46" i="55" s="1"/>
  <c r="BJ46" i="55" s="1"/>
  <c r="BE46" i="55"/>
  <c r="P46" i="55" s="1"/>
  <c r="FA46" i="55" s="1"/>
  <c r="BF115" i="55"/>
  <c r="BG115" i="55" s="1"/>
  <c r="BI115" i="55" s="1" a="1"/>
  <c r="BI115" i="55" s="1"/>
  <c r="BI311" i="55" a="1"/>
  <c r="BI311" i="55" s="1"/>
  <c r="BI211" i="55" a="1"/>
  <c r="BI211" i="55" s="1"/>
  <c r="BI53" i="55" a="1"/>
  <c r="BI53" i="55" s="1"/>
  <c r="GD345" i="55"/>
  <c r="GG345" i="55"/>
  <c r="BP290" i="55"/>
  <c r="BP166" i="55"/>
  <c r="BQ166" i="55" s="1"/>
  <c r="GD100" i="55"/>
  <c r="GG100" i="55"/>
  <c r="GD49" i="55"/>
  <c r="GG49" i="55"/>
  <c r="HX319" i="55"/>
  <c r="HY319" i="55"/>
  <c r="EL319" i="55"/>
  <c r="HX249" i="55"/>
  <c r="HY249" i="55"/>
  <c r="EL249" i="55"/>
  <c r="HY213" i="55"/>
  <c r="EL213" i="55"/>
  <c r="HX213" i="55"/>
  <c r="HY137" i="55"/>
  <c r="HX137" i="55"/>
  <c r="V137" i="55"/>
  <c r="CA137" i="55"/>
  <c r="BW80" i="55"/>
  <c r="BY64" i="55"/>
  <c r="CA325" i="55"/>
  <c r="EB339" i="55"/>
  <c r="GS339" i="55" s="1"/>
  <c r="DZ339" i="55"/>
  <c r="EB323" i="55"/>
  <c r="DZ323" i="55"/>
  <c r="DZ307" i="55"/>
  <c r="EB307" i="55"/>
  <c r="EB291" i="55"/>
  <c r="DZ291" i="55"/>
  <c r="EB275" i="55"/>
  <c r="DZ275" i="55"/>
  <c r="EB259" i="55"/>
  <c r="DZ259" i="55"/>
  <c r="EB243" i="55"/>
  <c r="DZ243" i="55"/>
  <c r="EB227" i="55"/>
  <c r="GS227" i="55" s="1"/>
  <c r="DZ227" i="55"/>
  <c r="EB211" i="55"/>
  <c r="DZ211" i="55"/>
  <c r="DZ195" i="55"/>
  <c r="EB195" i="55"/>
  <c r="EY195" i="55"/>
  <c r="R195" i="55" s="1"/>
  <c r="EB179" i="55"/>
  <c r="DZ179" i="55"/>
  <c r="DZ163" i="55"/>
  <c r="EB163" i="55"/>
  <c r="EB147" i="55"/>
  <c r="DZ147" i="55"/>
  <c r="EB131" i="55"/>
  <c r="DZ131" i="55"/>
  <c r="EB115" i="55"/>
  <c r="DZ115" i="55"/>
  <c r="DZ99" i="55"/>
  <c r="EB99" i="55"/>
  <c r="EB83" i="55"/>
  <c r="DZ83" i="55"/>
  <c r="DZ67" i="55"/>
  <c r="EB67" i="55"/>
  <c r="DZ51" i="55"/>
  <c r="EB51" i="55"/>
  <c r="CC307" i="55"/>
  <c r="CD229" i="55"/>
  <c r="JW254" i="55"/>
  <c r="GB254" i="55"/>
  <c r="GC254" i="55" s="1"/>
  <c r="DS254" i="55"/>
  <c r="JW203" i="55"/>
  <c r="FW203" i="55"/>
  <c r="DS203" i="55"/>
  <c r="GB203" i="55"/>
  <c r="GC203" i="55" s="1"/>
  <c r="GE203" i="55" s="1" a="1"/>
  <c r="GE203" i="55" s="1"/>
  <c r="GF203" i="55" s="1"/>
  <c r="DC83" i="55"/>
  <c r="I83" i="55" s="1"/>
  <c r="DD83" i="55" s="1"/>
  <c r="GX300" i="55"/>
  <c r="GY300" i="55"/>
  <c r="ES345" i="55"/>
  <c r="ER345" i="55"/>
  <c r="ER329" i="55"/>
  <c r="ES329" i="55"/>
  <c r="FB313" i="55"/>
  <c r="ES313" i="55"/>
  <c r="ES297" i="55"/>
  <c r="ER297" i="55"/>
  <c r="ER281" i="55"/>
  <c r="ES281" i="55"/>
  <c r="FB281" i="55"/>
  <c r="ER265" i="55"/>
  <c r="FB265" i="55"/>
  <c r="ES265" i="55"/>
  <c r="FB249" i="55"/>
  <c r="ER249" i="55"/>
  <c r="ES249" i="55"/>
  <c r="ES233" i="55"/>
  <c r="ER233" i="55"/>
  <c r="FB217" i="55"/>
  <c r="ER217" i="55"/>
  <c r="ES217" i="55"/>
  <c r="ER201" i="55"/>
  <c r="ES201" i="55"/>
  <c r="ER185" i="55"/>
  <c r="ES185" i="55"/>
  <c r="ES169" i="55"/>
  <c r="FB169" i="55"/>
  <c r="ER169" i="55"/>
  <c r="ES153" i="55"/>
  <c r="FB153" i="55"/>
  <c r="ER153" i="55"/>
  <c r="ER137" i="55"/>
  <c r="ES137" i="55"/>
  <c r="FB121" i="55"/>
  <c r="ES121" i="55"/>
  <c r="ER121" i="55"/>
  <c r="ES105" i="55"/>
  <c r="ER105" i="55"/>
  <c r="FB89" i="55"/>
  <c r="ES89" i="55"/>
  <c r="ER89" i="55"/>
  <c r="ER73" i="55"/>
  <c r="ES73" i="55"/>
  <c r="FB57" i="55"/>
  <c r="ER57" i="55"/>
  <c r="ES57" i="55"/>
  <c r="ES40" i="55"/>
  <c r="ER40" i="55"/>
  <c r="ES21" i="55"/>
  <c r="ER21" i="55"/>
  <c r="FB21" i="55"/>
  <c r="EC139" i="55"/>
  <c r="EX139" i="55"/>
  <c r="EC75" i="55"/>
  <c r="EX75" i="55"/>
  <c r="EX59" i="55"/>
  <c r="EC59" i="55"/>
  <c r="EX42" i="55"/>
  <c r="EC42" i="55"/>
  <c r="CA71" i="55"/>
  <c r="CD343" i="55"/>
  <c r="FA347" i="55"/>
  <c r="FB347" i="55"/>
  <c r="P5" i="55"/>
  <c r="FA5" i="55" s="1"/>
  <c r="BE196" i="55"/>
  <c r="FG321" i="55"/>
  <c r="BS321" i="55"/>
  <c r="BW321" i="55"/>
  <c r="BI321" i="55" a="1"/>
  <c r="BI321" i="55" s="1"/>
  <c r="C321" i="55" s="1"/>
  <c r="BJ321" i="55" s="1"/>
  <c r="BI118" i="55" a="1"/>
  <c r="BI118" i="55" s="1"/>
  <c r="BI55" i="55" a="1"/>
  <c r="BI55" i="55" s="1"/>
  <c r="BN224" i="55"/>
  <c r="S224" i="55" s="1"/>
  <c r="BP247" i="55"/>
  <c r="BT215" i="55"/>
  <c r="HY152" i="55"/>
  <c r="HX152" i="55"/>
  <c r="CA152" i="55"/>
  <c r="FB346" i="55"/>
  <c r="FA346" i="55"/>
  <c r="IK319" i="55"/>
  <c r="GO319" i="55"/>
  <c r="IK279" i="55"/>
  <c r="GO279" i="55"/>
  <c r="IK170" i="55"/>
  <c r="GO170" i="55"/>
  <c r="IK132" i="55"/>
  <c r="GO132" i="55"/>
  <c r="IK111" i="55"/>
  <c r="GO111" i="55"/>
  <c r="JH275" i="55"/>
  <c r="JI275" i="55" s="1"/>
  <c r="GA275" i="55"/>
  <c r="BY275" i="55" s="1"/>
  <c r="FF275" i="55"/>
  <c r="DN275" i="55"/>
  <c r="CO275" i="55"/>
  <c r="CP275" i="55" s="1"/>
  <c r="Y275" i="55" s="1"/>
  <c r="CA275" i="55"/>
  <c r="DB275" i="55"/>
  <c r="BP275" i="55"/>
  <c r="BT275" i="55"/>
  <c r="DI275" i="55"/>
  <c r="H275" i="55" s="1"/>
  <c r="DJ275" i="55" s="1"/>
  <c r="CD275" i="55"/>
  <c r="DC275" i="55"/>
  <c r="I275" i="55" s="1"/>
  <c r="DD275" i="55" s="1"/>
  <c r="BO275" i="55"/>
  <c r="BQ275" i="55" s="1"/>
  <c r="BW275" i="55"/>
  <c r="CQ275" i="55"/>
  <c r="CC275" i="55"/>
  <c r="JH147" i="55"/>
  <c r="JI147" i="55" s="1"/>
  <c r="GA147" i="55"/>
  <c r="BY147" i="55" s="1"/>
  <c r="CO147" i="55"/>
  <c r="CP147" i="55" s="1"/>
  <c r="Y147" i="55" s="1"/>
  <c r="DI147" i="55"/>
  <c r="H147" i="55" s="1"/>
  <c r="DJ147" i="55" s="1"/>
  <c r="CA147" i="55"/>
  <c r="BP147" i="55"/>
  <c r="CQ147" i="55"/>
  <c r="BT147" i="55"/>
  <c r="CC147" i="55"/>
  <c r="P147" i="55"/>
  <c r="FA147" i="55" s="1"/>
  <c r="DC147" i="55"/>
  <c r="I147" i="55" s="1"/>
  <c r="DD147" i="55" s="1"/>
  <c r="DB147" i="55"/>
  <c r="DN147" i="55"/>
  <c r="BO147" i="55"/>
  <c r="BI147" i="55" a="1"/>
  <c r="BI147" i="55" s="1"/>
  <c r="FB75" i="55"/>
  <c r="FA75" i="55"/>
  <c r="IK316" i="55"/>
  <c r="GO316" i="55"/>
  <c r="IK296" i="55"/>
  <c r="GO296" i="55"/>
  <c r="IK267" i="55"/>
  <c r="GO267" i="55"/>
  <c r="IK237" i="55"/>
  <c r="GO237" i="55"/>
  <c r="IK188" i="55"/>
  <c r="GO188" i="55"/>
  <c r="IK168" i="55"/>
  <c r="GO168" i="55"/>
  <c r="IK139" i="55"/>
  <c r="GO139" i="55"/>
  <c r="IK109" i="55"/>
  <c r="GO109" i="55"/>
  <c r="IK60" i="55"/>
  <c r="GO60" i="55"/>
  <c r="IK40" i="55"/>
  <c r="GO40" i="55"/>
  <c r="IK11" i="55"/>
  <c r="GO11" i="55"/>
  <c r="GY335" i="55"/>
  <c r="GX335" i="55"/>
  <c r="DG303" i="55" a="1"/>
  <c r="DG303" i="55" s="1"/>
  <c r="DE303" i="55" a="1"/>
  <c r="DE303" i="55" s="1"/>
  <c r="DF303" i="55" a="1"/>
  <c r="DF303" i="55" s="1"/>
  <c r="DH303" i="55"/>
  <c r="DX303" i="55" s="1"/>
  <c r="DE255" i="55" a="1"/>
  <c r="DE255" i="55" s="1"/>
  <c r="DH255" i="55"/>
  <c r="DX255" i="55" s="1"/>
  <c r="DF255" i="55" a="1"/>
  <c r="DF255" i="55" s="1"/>
  <c r="DG255" i="55" a="1"/>
  <c r="DG255" i="55" s="1"/>
  <c r="GY79" i="55"/>
  <c r="GX79" i="55"/>
  <c r="DG47" i="55" a="1"/>
  <c r="DG47" i="55" s="1"/>
  <c r="DH47" i="55"/>
  <c r="DE47" i="55" a="1"/>
  <c r="DE47" i="55" s="1"/>
  <c r="GX31" i="55"/>
  <c r="GY31" i="55"/>
  <c r="BE275" i="55"/>
  <c r="P275" i="55" s="1"/>
  <c r="FB275" i="55" s="1"/>
  <c r="BI145" i="55" a="1"/>
  <c r="BI145" i="55" s="1"/>
  <c r="BF85" i="55"/>
  <c r="BG85" i="55" s="1"/>
  <c r="BI85" i="55" s="1" a="1"/>
  <c r="BI85" i="55" s="1"/>
  <c r="GG344" i="55"/>
  <c r="GD344" i="55"/>
  <c r="BP96" i="55"/>
  <c r="BP48" i="55"/>
  <c r="BQ48" i="55" s="1"/>
  <c r="BQ22" i="55"/>
  <c r="HX327" i="55"/>
  <c r="HY327" i="55"/>
  <c r="HY247" i="55"/>
  <c r="HX247" i="55"/>
  <c r="EL247" i="55"/>
  <c r="HY199" i="55"/>
  <c r="HX199" i="55"/>
  <c r="HX119" i="55"/>
  <c r="EL119" i="55"/>
  <c r="HY119" i="55"/>
  <c r="HY71" i="55"/>
  <c r="EL71" i="55"/>
  <c r="HX71" i="55"/>
  <c r="HX22" i="55"/>
  <c r="HY22" i="55"/>
  <c r="EL22" i="55"/>
  <c r="HX6" i="55"/>
  <c r="HY6" i="55"/>
  <c r="EL6" i="55"/>
  <c r="HY289" i="55"/>
  <c r="HX289" i="55"/>
  <c r="HY209" i="55"/>
  <c r="HX209" i="55"/>
  <c r="EL209" i="55"/>
  <c r="HY177" i="55"/>
  <c r="EL177" i="55"/>
  <c r="HX177" i="55"/>
  <c r="HY136" i="55"/>
  <c r="HX136" i="55"/>
  <c r="EL136" i="55"/>
  <c r="CA136" i="55"/>
  <c r="BW295" i="55"/>
  <c r="BW166" i="55"/>
  <c r="CA182" i="55"/>
  <c r="CC306" i="55"/>
  <c r="FX313" i="55" a="1"/>
  <c r="FX313" i="55" s="1"/>
  <c r="FY313" i="55"/>
  <c r="JW294" i="55"/>
  <c r="IC294" i="55"/>
  <c r="GB294" i="55"/>
  <c r="GC294" i="55" s="1"/>
  <c r="FW294" i="55"/>
  <c r="DS294" i="55"/>
  <c r="CR294" i="55" a="1"/>
  <c r="CR294" i="55" s="1"/>
  <c r="CS294" i="55" s="1"/>
  <c r="DC66" i="55"/>
  <c r="I66" i="55" s="1"/>
  <c r="DD66" i="55" s="1"/>
  <c r="HX51" i="55"/>
  <c r="HY51" i="55"/>
  <c r="HX35" i="55"/>
  <c r="HY35" i="55"/>
  <c r="EL35" i="55"/>
  <c r="HY18" i="55"/>
  <c r="HX18" i="55"/>
  <c r="HY352" i="55"/>
  <c r="HX352" i="55"/>
  <c r="EL352" i="55"/>
  <c r="V352" i="55"/>
  <c r="U352" i="55"/>
  <c r="HY207" i="55"/>
  <c r="HX207" i="55"/>
  <c r="EL207" i="55"/>
  <c r="FY127" i="55"/>
  <c r="FX127" i="55" a="1"/>
  <c r="FX127" i="55" s="1"/>
  <c r="JW172" i="55"/>
  <c r="DS172" i="55"/>
  <c r="GB172" i="55"/>
  <c r="GC172" i="55" s="1"/>
  <c r="FW172" i="55"/>
  <c r="GY196" i="55"/>
  <c r="GN349" i="55"/>
  <c r="DL349" i="55"/>
  <c r="EJ349" i="55"/>
  <c r="GN333" i="55"/>
  <c r="EJ333" i="55"/>
  <c r="DL333" i="55"/>
  <c r="GN317" i="55"/>
  <c r="EJ317" i="55"/>
  <c r="DL317" i="55"/>
  <c r="GN301" i="55"/>
  <c r="EJ301" i="55"/>
  <c r="GN285" i="55"/>
  <c r="EJ285" i="55"/>
  <c r="GN269" i="55"/>
  <c r="EJ269" i="55"/>
  <c r="DL269" i="55"/>
  <c r="EB269" i="55"/>
  <c r="GN253" i="55"/>
  <c r="EJ253" i="55"/>
  <c r="DL253" i="55"/>
  <c r="GN237" i="55"/>
  <c r="EJ237" i="55"/>
  <c r="GN221" i="55"/>
  <c r="EJ221" i="55"/>
  <c r="EB221" i="55"/>
  <c r="GN205" i="55"/>
  <c r="EJ205" i="55"/>
  <c r="DL205" i="55"/>
  <c r="GN189" i="55"/>
  <c r="EJ189" i="55"/>
  <c r="DL189" i="55"/>
  <c r="GN173" i="55"/>
  <c r="EJ173" i="55"/>
  <c r="GN157" i="55"/>
  <c r="DL157" i="55"/>
  <c r="EJ157" i="55"/>
  <c r="EB157" i="55"/>
  <c r="GN141" i="55"/>
  <c r="EJ141" i="55"/>
  <c r="DL141" i="55"/>
  <c r="GN125" i="55"/>
  <c r="DL125" i="55"/>
  <c r="EJ125" i="55"/>
  <c r="GN109" i="55"/>
  <c r="EJ109" i="55"/>
  <c r="GN93" i="55"/>
  <c r="EJ93" i="55"/>
  <c r="GN77" i="55"/>
  <c r="EJ77" i="55"/>
  <c r="DL77" i="55"/>
  <c r="GN61" i="55"/>
  <c r="EJ61" i="55"/>
  <c r="DL61" i="55"/>
  <c r="EB61" i="55"/>
  <c r="GN45" i="55"/>
  <c r="EJ45" i="55"/>
  <c r="GN29" i="55"/>
  <c r="DL29" i="55"/>
  <c r="GN12" i="55"/>
  <c r="EJ12" i="55"/>
  <c r="EB7" i="55"/>
  <c r="DZ7" i="55"/>
  <c r="FX321" i="55" a="1"/>
  <c r="FX321" i="55" s="1"/>
  <c r="FY321" i="55"/>
  <c r="FX120" i="55" a="1"/>
  <c r="FX120" i="55" s="1"/>
  <c r="FY120" i="55"/>
  <c r="IA346" i="55"/>
  <c r="HZ346" i="55"/>
  <c r="IB346" i="55"/>
  <c r="HW346" i="55"/>
  <c r="CK346" i="55"/>
  <c r="CL346" i="55"/>
  <c r="DL346" i="55" s="1"/>
  <c r="CM346" i="55"/>
  <c r="CG347" i="55"/>
  <c r="CN346" i="55"/>
  <c r="CJ346" i="55"/>
  <c r="HZ330" i="55"/>
  <c r="HW330" i="55"/>
  <c r="IB330" i="55"/>
  <c r="IA330" i="55"/>
  <c r="CK330" i="55"/>
  <c r="CL330" i="55"/>
  <c r="CM330" i="55"/>
  <c r="CN330" i="55"/>
  <c r="CG331" i="55"/>
  <c r="HZ314" i="55"/>
  <c r="IB314" i="55"/>
  <c r="IA314" i="55"/>
  <c r="HW314" i="55"/>
  <c r="CK314" i="55"/>
  <c r="CL314" i="55"/>
  <c r="DL314" i="55" s="1"/>
  <c r="CN314" i="55"/>
  <c r="CG315" i="55"/>
  <c r="CJ314" i="55"/>
  <c r="HZ298" i="55"/>
  <c r="IA298" i="55"/>
  <c r="HW298" i="55"/>
  <c r="IB298" i="55"/>
  <c r="CK298" i="55"/>
  <c r="CL298" i="55"/>
  <c r="DL298" i="55" s="1"/>
  <c r="CJ298" i="55"/>
  <c r="CN298" i="55"/>
  <c r="CM298" i="55"/>
  <c r="CG299" i="55"/>
  <c r="IA282" i="55"/>
  <c r="HZ282" i="55"/>
  <c r="HW282" i="55"/>
  <c r="IB282" i="55"/>
  <c r="V282" i="55" s="1"/>
  <c r="CK282" i="55"/>
  <c r="CL282" i="55"/>
  <c r="DL282" i="55" s="1"/>
  <c r="CM282" i="55"/>
  <c r="CN282" i="55"/>
  <c r="CG283" i="55"/>
  <c r="GQ283" i="55" s="1"/>
  <c r="GR283" i="55" s="1"/>
  <c r="CJ282" i="55"/>
  <c r="HW266" i="55"/>
  <c r="IA266" i="55"/>
  <c r="IB266" i="55"/>
  <c r="HZ266" i="55"/>
  <c r="CK266" i="55"/>
  <c r="CL266" i="55"/>
  <c r="DL266" i="55" s="1"/>
  <c r="CM266" i="55"/>
  <c r="CG267" i="55"/>
  <c r="CN266" i="55"/>
  <c r="CJ266" i="55"/>
  <c r="HZ250" i="55"/>
  <c r="IB250" i="55"/>
  <c r="HW250" i="55"/>
  <c r="IA250" i="55"/>
  <c r="CK250" i="55"/>
  <c r="CL250" i="55"/>
  <c r="DL250" i="55" s="1"/>
  <c r="CN250" i="55"/>
  <c r="CM250" i="55"/>
  <c r="CJ250" i="55"/>
  <c r="CG251" i="55"/>
  <c r="IA234" i="55"/>
  <c r="HW234" i="55"/>
  <c r="IB234" i="55"/>
  <c r="HZ234" i="55"/>
  <c r="CK234" i="55"/>
  <c r="CL234" i="55"/>
  <c r="CJ234" i="55"/>
  <c r="CN234" i="55"/>
  <c r="CM234" i="55"/>
  <c r="CG235" i="55"/>
  <c r="IA218" i="55"/>
  <c r="HZ218" i="55"/>
  <c r="IB218" i="55"/>
  <c r="HW218" i="55"/>
  <c r="CK218" i="55"/>
  <c r="CL218" i="55"/>
  <c r="DL218" i="55" s="1"/>
  <c r="CM218" i="55"/>
  <c r="CN218" i="55"/>
  <c r="CG219" i="55"/>
  <c r="CJ218" i="55"/>
  <c r="IB202" i="55"/>
  <c r="IA202" i="55"/>
  <c r="HW202" i="55"/>
  <c r="HZ202" i="55"/>
  <c r="CK202" i="55"/>
  <c r="CL202" i="55"/>
  <c r="DL202" i="55" s="1"/>
  <c r="CM202" i="55"/>
  <c r="CJ202" i="55"/>
  <c r="CN202" i="55"/>
  <c r="HZ186" i="55"/>
  <c r="IB186" i="55"/>
  <c r="HW186" i="55"/>
  <c r="IA186" i="55"/>
  <c r="CK186" i="55"/>
  <c r="CL186" i="55"/>
  <c r="DL186" i="55" s="1"/>
  <c r="CN186" i="55"/>
  <c r="CG187" i="55"/>
  <c r="CM186" i="55"/>
  <c r="CJ186" i="55"/>
  <c r="IB170" i="55"/>
  <c r="HZ170" i="55"/>
  <c r="HW170" i="55"/>
  <c r="IA170" i="55"/>
  <c r="CK170" i="55"/>
  <c r="CL170" i="55"/>
  <c r="DL170" i="55" s="1"/>
  <c r="CJ170" i="55"/>
  <c r="CM170" i="55"/>
  <c r="CN170" i="55"/>
  <c r="CG171" i="55"/>
  <c r="IA154" i="55"/>
  <c r="HZ154" i="55"/>
  <c r="HW154" i="55"/>
  <c r="IB154" i="55"/>
  <c r="CK154" i="55"/>
  <c r="CL154" i="55"/>
  <c r="CM154" i="55"/>
  <c r="CG155" i="55"/>
  <c r="CJ154" i="55"/>
  <c r="FA313" i="55"/>
  <c r="FA106" i="55"/>
  <c r="GO348" i="55"/>
  <c r="IK348" i="55"/>
  <c r="IK311" i="55"/>
  <c r="GO311" i="55"/>
  <c r="IK284" i="55"/>
  <c r="GO284" i="55"/>
  <c r="IK247" i="55"/>
  <c r="GO247" i="55"/>
  <c r="IK229" i="55"/>
  <c r="GO229" i="55"/>
  <c r="GO156" i="55"/>
  <c r="IK156" i="55"/>
  <c r="IK119" i="55"/>
  <c r="GO119" i="55"/>
  <c r="IK92" i="55"/>
  <c r="GO92" i="55"/>
  <c r="IK55" i="55"/>
  <c r="GO55" i="55"/>
  <c r="IK46" i="55"/>
  <c r="GO46" i="55"/>
  <c r="IK37" i="55"/>
  <c r="GO37" i="55"/>
  <c r="JH349" i="55"/>
  <c r="JI349" i="55" s="1"/>
  <c r="GA349" i="55"/>
  <c r="BY349" i="55" s="1"/>
  <c r="FF349" i="55"/>
  <c r="DC349" i="55"/>
  <c r="I349" i="55" s="1"/>
  <c r="DD349" i="55" s="1"/>
  <c r="DB349" i="55"/>
  <c r="DI349" i="55"/>
  <c r="H349" i="55" s="1"/>
  <c r="DJ349" i="55" s="1"/>
  <c r="CC349" i="55"/>
  <c r="CD349" i="55"/>
  <c r="DN349" i="55"/>
  <c r="BT349" i="55"/>
  <c r="CQ349" i="55"/>
  <c r="CA349" i="55"/>
  <c r="GI317" i="55"/>
  <c r="DC317" i="55"/>
  <c r="I317" i="55" s="1"/>
  <c r="DD317" i="55" s="1"/>
  <c r="GA317" i="55"/>
  <c r="DI317" i="55"/>
  <c r="H317" i="55" s="1"/>
  <c r="DJ317" i="55" s="1"/>
  <c r="CC317" i="55"/>
  <c r="CD317" i="55"/>
  <c r="CA317" i="55"/>
  <c r="BP317" i="55"/>
  <c r="CQ317" i="55"/>
  <c r="EL317" i="55"/>
  <c r="DN317" i="55"/>
  <c r="CO317" i="55"/>
  <c r="CP317" i="55" s="1"/>
  <c r="Y317" i="55" s="1"/>
  <c r="BT317" i="55"/>
  <c r="BO317" i="55"/>
  <c r="BY317" i="55"/>
  <c r="JH269" i="55"/>
  <c r="JI269" i="55" s="1"/>
  <c r="DC269" i="55"/>
  <c r="I269" i="55" s="1"/>
  <c r="DD269" i="55" s="1"/>
  <c r="DB269" i="55"/>
  <c r="FF269" i="55"/>
  <c r="CC269" i="55"/>
  <c r="CQ269" i="55"/>
  <c r="CD269" i="55"/>
  <c r="CA269" i="55"/>
  <c r="GA269" i="55"/>
  <c r="BY269" i="55" s="1"/>
  <c r="DI269" i="55"/>
  <c r="H269" i="55" s="1"/>
  <c r="DJ269" i="55" s="1"/>
  <c r="BT269" i="55"/>
  <c r="BO269" i="55"/>
  <c r="DN269" i="55"/>
  <c r="JH221" i="55"/>
  <c r="JI221" i="55" s="1"/>
  <c r="GA221" i="55"/>
  <c r="BY221" i="55" s="1"/>
  <c r="FF221" i="55"/>
  <c r="DC221" i="55"/>
  <c r="I221" i="55" s="1"/>
  <c r="DD221" i="55" s="1"/>
  <c r="DB221" i="55"/>
  <c r="DI221" i="55"/>
  <c r="H221" i="55" s="1"/>
  <c r="DJ221" i="55" s="1"/>
  <c r="DN221" i="55"/>
  <c r="CC221" i="55"/>
  <c r="CD221" i="55"/>
  <c r="CO221" i="55"/>
  <c r="CP221" i="55" s="1"/>
  <c r="Y221" i="55" s="1"/>
  <c r="CQ221" i="55"/>
  <c r="BO221" i="55"/>
  <c r="JH189" i="55"/>
  <c r="JI189" i="55" s="1"/>
  <c r="FF189" i="55"/>
  <c r="DC189" i="55"/>
  <c r="I189" i="55" s="1"/>
  <c r="DD189" i="55" s="1"/>
  <c r="DB189" i="55"/>
  <c r="GA189" i="55"/>
  <c r="BY189" i="55" s="1"/>
  <c r="DN189" i="55"/>
  <c r="CC189" i="55"/>
  <c r="CD189" i="55"/>
  <c r="BP189" i="55"/>
  <c r="BQ189" i="55" s="1"/>
  <c r="CQ189" i="55"/>
  <c r="DI189" i="55"/>
  <c r="H189" i="55" s="1"/>
  <c r="DJ189" i="55" s="1"/>
  <c r="BT189" i="55"/>
  <c r="P189" i="55"/>
  <c r="FA189" i="55" s="1"/>
  <c r="BO189" i="55"/>
  <c r="JH141" i="55"/>
  <c r="JI141" i="55" s="1"/>
  <c r="DC141" i="55"/>
  <c r="I141" i="55" s="1"/>
  <c r="DD141" i="55" s="1"/>
  <c r="GA141" i="55"/>
  <c r="BY141" i="55" s="1"/>
  <c r="DB141" i="55"/>
  <c r="CC141" i="55"/>
  <c r="CQ141" i="55"/>
  <c r="CD141" i="55"/>
  <c r="CA141" i="55"/>
  <c r="CO141" i="55"/>
  <c r="CP141" i="55" s="1"/>
  <c r="Y141" i="55" s="1"/>
  <c r="DN141" i="55"/>
  <c r="DI141" i="55"/>
  <c r="H141" i="55" s="1"/>
  <c r="DJ141" i="55" s="1"/>
  <c r="P141" i="55"/>
  <c r="FA141" i="55" s="1"/>
  <c r="EL141" i="55"/>
  <c r="BO141" i="55"/>
  <c r="BI141" i="55" a="1"/>
  <c r="BI141" i="55" s="1"/>
  <c r="JH109" i="55"/>
  <c r="JI109" i="55" s="1"/>
  <c r="GA109" i="55"/>
  <c r="BY109" i="55" s="1"/>
  <c r="DC109" i="55"/>
  <c r="I109" i="55" s="1"/>
  <c r="DD109" i="55" s="1"/>
  <c r="DI109" i="55"/>
  <c r="H109" i="55" s="1"/>
  <c r="DJ109" i="55" s="1"/>
  <c r="DN109" i="55"/>
  <c r="CC109" i="55"/>
  <c r="CD109" i="55"/>
  <c r="CO109" i="55"/>
  <c r="CP109" i="55" s="1"/>
  <c r="Y109" i="55" s="1"/>
  <c r="EL109" i="55"/>
  <c r="DB109" i="55"/>
  <c r="BT109" i="55"/>
  <c r="CQ109" i="55"/>
  <c r="BP109" i="55"/>
  <c r="CE109" i="55" s="1" a="1"/>
  <c r="CE109" i="55" s="1"/>
  <c r="JH77" i="55"/>
  <c r="JI77" i="55" s="1"/>
  <c r="GA77" i="55"/>
  <c r="BY77" i="55" s="1"/>
  <c r="DC77" i="55"/>
  <c r="I77" i="55" s="1"/>
  <c r="DD77" i="55" s="1"/>
  <c r="DN77" i="55"/>
  <c r="CC77" i="55"/>
  <c r="CQ77" i="55"/>
  <c r="CD77" i="55"/>
  <c r="CA77" i="55"/>
  <c r="DB77" i="55"/>
  <c r="EL77" i="55"/>
  <c r="CO77" i="55"/>
  <c r="CP77" i="55" s="1"/>
  <c r="Y77" i="55" s="1"/>
  <c r="DI77" i="55"/>
  <c r="H77" i="55" s="1"/>
  <c r="DJ77" i="55" s="1"/>
  <c r="BO77" i="55"/>
  <c r="BQ77" i="55" s="1"/>
  <c r="BP77" i="55"/>
  <c r="JH45" i="55"/>
  <c r="JI45" i="55" s="1"/>
  <c r="DC45" i="55"/>
  <c r="I45" i="55" s="1"/>
  <c r="DD45" i="55" s="1"/>
  <c r="DI45" i="55"/>
  <c r="H45" i="55" s="1"/>
  <c r="DJ45" i="55" s="1"/>
  <c r="DN45" i="55"/>
  <c r="CC45" i="55"/>
  <c r="FF45" i="55"/>
  <c r="CO45" i="55"/>
  <c r="CP45" i="55" s="1"/>
  <c r="Y45" i="55" s="1"/>
  <c r="CD45" i="55"/>
  <c r="GA45" i="55"/>
  <c r="BY45" i="55" s="1"/>
  <c r="BP45" i="55"/>
  <c r="DB45" i="55"/>
  <c r="CQ45" i="55"/>
  <c r="CA45" i="55"/>
  <c r="JH13" i="55"/>
  <c r="JI13" i="55" s="1"/>
  <c r="GA13" i="55"/>
  <c r="BY13" i="55" s="1"/>
  <c r="DC13" i="55"/>
  <c r="I13" i="55" s="1"/>
  <c r="DD13" i="55" s="1"/>
  <c r="FF13" i="55"/>
  <c r="CC13" i="55"/>
  <c r="CQ13" i="55"/>
  <c r="CD13" i="55"/>
  <c r="CA13" i="55"/>
  <c r="CO13" i="55"/>
  <c r="CP13" i="55" s="1"/>
  <c r="Y13" i="55" s="1"/>
  <c r="DB13" i="55"/>
  <c r="DI13" i="55"/>
  <c r="H13" i="55" s="1"/>
  <c r="DJ13" i="55" s="1"/>
  <c r="BO13" i="55"/>
  <c r="DN13" i="55"/>
  <c r="BE123" i="55"/>
  <c r="P123" i="55" s="1"/>
  <c r="BF123" i="55"/>
  <c r="BG123" i="55" s="1"/>
  <c r="BE59" i="55"/>
  <c r="BF59" i="55"/>
  <c r="BG59" i="55" s="1"/>
  <c r="BE27" i="55"/>
  <c r="P27" i="55" s="1"/>
  <c r="BF27" i="55"/>
  <c r="BG27" i="55" s="1"/>
  <c r="BW336" i="55"/>
  <c r="BI269" i="55" a="1"/>
  <c r="BI269" i="55" s="1"/>
  <c r="C269" i="55" s="1"/>
  <c r="BJ269" i="55" s="1"/>
  <c r="IK302" i="55"/>
  <c r="GO302" i="55"/>
  <c r="IK293" i="55"/>
  <c r="GO293" i="55"/>
  <c r="IK238" i="55"/>
  <c r="GO238" i="55"/>
  <c r="GO220" i="55"/>
  <c r="IK220" i="55"/>
  <c r="IK183" i="55"/>
  <c r="GO183" i="55"/>
  <c r="IK174" i="55"/>
  <c r="GO174" i="55"/>
  <c r="IK165" i="55"/>
  <c r="GO165" i="55"/>
  <c r="IK110" i="55"/>
  <c r="GO110" i="55"/>
  <c r="IK101" i="55"/>
  <c r="GO101" i="55"/>
  <c r="IK28" i="55"/>
  <c r="GO28" i="55"/>
  <c r="JH333" i="55"/>
  <c r="JI333" i="55" s="1"/>
  <c r="DC333" i="55"/>
  <c r="I333" i="55" s="1"/>
  <c r="DD333" i="55" s="1"/>
  <c r="DB333" i="55"/>
  <c r="DN333" i="55"/>
  <c r="CC333" i="55"/>
  <c r="CQ333" i="55"/>
  <c r="CD333" i="55"/>
  <c r="CA333" i="55"/>
  <c r="GA333" i="55"/>
  <c r="BY333" i="55" s="1"/>
  <c r="BT333" i="55"/>
  <c r="BP333" i="55"/>
  <c r="BQ333" i="55" s="1"/>
  <c r="JH301" i="55"/>
  <c r="JI301" i="55" s="1"/>
  <c r="FF301" i="55"/>
  <c r="DC301" i="55"/>
  <c r="I301" i="55" s="1"/>
  <c r="DD301" i="55" s="1"/>
  <c r="DI301" i="55"/>
  <c r="H301" i="55" s="1"/>
  <c r="DJ301" i="55" s="1"/>
  <c r="DN301" i="55"/>
  <c r="DB301" i="55"/>
  <c r="GA301" i="55"/>
  <c r="BY301" i="55" s="1"/>
  <c r="CC301" i="55"/>
  <c r="CD301" i="55"/>
  <c r="BP301" i="55"/>
  <c r="BT301" i="55"/>
  <c r="CA301" i="55"/>
  <c r="BI301" i="55" a="1"/>
  <c r="BI301" i="55" s="1"/>
  <c r="C301" i="55" s="1"/>
  <c r="BJ301" i="55" s="1"/>
  <c r="JH285" i="55"/>
  <c r="JI285" i="55" s="1"/>
  <c r="GA285" i="55"/>
  <c r="DC285" i="55"/>
  <c r="I285" i="55" s="1"/>
  <c r="DD285" i="55" s="1"/>
  <c r="DB285" i="55"/>
  <c r="DI285" i="55"/>
  <c r="H285" i="55" s="1"/>
  <c r="DJ285" i="55" s="1"/>
  <c r="FF285" i="55"/>
  <c r="CC285" i="55"/>
  <c r="CD285" i="55"/>
  <c r="CQ285" i="55"/>
  <c r="CO285" i="55"/>
  <c r="CP285" i="55" s="1"/>
  <c r="Y285" i="55" s="1"/>
  <c r="CA285" i="55"/>
  <c r="DN285" i="55"/>
  <c r="BP285" i="55"/>
  <c r="BQ285" i="55" s="1"/>
  <c r="P285" i="55"/>
  <c r="FA285" i="55" s="1"/>
  <c r="JH253" i="55"/>
  <c r="JI253" i="55" s="1"/>
  <c r="GA253" i="55"/>
  <c r="BY253" i="55" s="1"/>
  <c r="DC253" i="55"/>
  <c r="I253" i="55" s="1"/>
  <c r="DD253" i="55" s="1"/>
  <c r="DB253" i="55"/>
  <c r="FF253" i="55"/>
  <c r="CC253" i="55"/>
  <c r="CD253" i="55"/>
  <c r="DN253" i="55"/>
  <c r="CQ253" i="55"/>
  <c r="CO253" i="55"/>
  <c r="CP253" i="55" s="1"/>
  <c r="Y253" i="55" s="1"/>
  <c r="DI253" i="55"/>
  <c r="H253" i="55" s="1"/>
  <c r="DJ253" i="55" s="1"/>
  <c r="CA253" i="55"/>
  <c r="BO253" i="55"/>
  <c r="BQ253" i="55" s="1"/>
  <c r="BI253" i="55" a="1"/>
  <c r="BI253" i="55" s="1"/>
  <c r="C253" i="55" s="1"/>
  <c r="BJ253" i="55" s="1"/>
  <c r="BT253" i="55"/>
  <c r="JH237" i="55"/>
  <c r="JI237" i="55" s="1"/>
  <c r="FF237" i="55"/>
  <c r="GA237" i="55"/>
  <c r="BY237" i="55" s="1"/>
  <c r="DC237" i="55"/>
  <c r="I237" i="55" s="1"/>
  <c r="DD237" i="55" s="1"/>
  <c r="DI237" i="55"/>
  <c r="H237" i="55" s="1"/>
  <c r="DJ237" i="55" s="1"/>
  <c r="DN237" i="55"/>
  <c r="DB237" i="55"/>
  <c r="CC237" i="55"/>
  <c r="CD237" i="55"/>
  <c r="BP237" i="55"/>
  <c r="P237" i="55"/>
  <c r="CQ237" i="55"/>
  <c r="BT237" i="55"/>
  <c r="CA237" i="55"/>
  <c r="CO237" i="55"/>
  <c r="CP237" i="55" s="1"/>
  <c r="Y237" i="55" s="1"/>
  <c r="JH205" i="55"/>
  <c r="JI205" i="55" s="1"/>
  <c r="DC205" i="55"/>
  <c r="I205" i="55" s="1"/>
  <c r="DD205" i="55" s="1"/>
  <c r="DB205" i="55"/>
  <c r="FF205" i="55"/>
  <c r="DI205" i="55"/>
  <c r="H205" i="55" s="1"/>
  <c r="DJ205" i="55" s="1"/>
  <c r="CC205" i="55"/>
  <c r="CQ205" i="55"/>
  <c r="CD205" i="55"/>
  <c r="CA205" i="55"/>
  <c r="GA205" i="55"/>
  <c r="BY205" i="55" s="1"/>
  <c r="BT205" i="55"/>
  <c r="CO205" i="55"/>
  <c r="CP205" i="55" s="1"/>
  <c r="Y205" i="55" s="1"/>
  <c r="DN205" i="55"/>
  <c r="BO205" i="55"/>
  <c r="BQ205" i="55" s="1"/>
  <c r="JH173" i="55"/>
  <c r="JI173" i="55" s="1"/>
  <c r="FF173" i="55"/>
  <c r="DC173" i="55"/>
  <c r="I173" i="55" s="1"/>
  <c r="DD173" i="55" s="1"/>
  <c r="DI173" i="55"/>
  <c r="H173" i="55" s="1"/>
  <c r="DJ173" i="55" s="1"/>
  <c r="DN173" i="55"/>
  <c r="DB173" i="55"/>
  <c r="CC173" i="55"/>
  <c r="CD173" i="55"/>
  <c r="GA173" i="55"/>
  <c r="CQ173" i="55"/>
  <c r="EL173" i="55"/>
  <c r="CA173" i="55"/>
  <c r="CO173" i="55"/>
  <c r="CP173" i="55" s="1"/>
  <c r="Y173" i="55" s="1"/>
  <c r="BP173" i="55"/>
  <c r="BQ173" i="55" s="1"/>
  <c r="BO173" i="55"/>
  <c r="BY173" i="55"/>
  <c r="JH157" i="55"/>
  <c r="JI157" i="55" s="1"/>
  <c r="GA157" i="55"/>
  <c r="BY157" i="55" s="1"/>
  <c r="DC157" i="55"/>
  <c r="I157" i="55" s="1"/>
  <c r="DD157" i="55" s="1"/>
  <c r="DB157" i="55"/>
  <c r="DI157" i="55"/>
  <c r="H157" i="55" s="1"/>
  <c r="DJ157" i="55" s="1"/>
  <c r="CC157" i="55"/>
  <c r="CD157" i="55"/>
  <c r="FF157" i="55"/>
  <c r="CO157" i="55"/>
  <c r="CP157" i="55" s="1"/>
  <c r="Y157" i="55" s="1"/>
  <c r="CA157" i="55"/>
  <c r="CQ157" i="55"/>
  <c r="BT157" i="55"/>
  <c r="JH125" i="55"/>
  <c r="JI125" i="55" s="1"/>
  <c r="DC125" i="55"/>
  <c r="I125" i="55" s="1"/>
  <c r="DD125" i="55" s="1"/>
  <c r="CC125" i="55"/>
  <c r="CD125" i="55"/>
  <c r="DB125" i="55"/>
  <c r="BY125" i="55"/>
  <c r="BT125" i="55"/>
  <c r="CA125" i="55"/>
  <c r="DN125" i="55"/>
  <c r="GA125" i="55"/>
  <c r="DI125" i="55"/>
  <c r="H125" i="55" s="1"/>
  <c r="DJ125" i="55" s="1"/>
  <c r="BO125" i="55"/>
  <c r="BI125" i="55" a="1"/>
  <c r="BI125" i="55" s="1"/>
  <c r="JH93" i="55"/>
  <c r="JI93" i="55" s="1"/>
  <c r="DC93" i="55"/>
  <c r="I93" i="55" s="1"/>
  <c r="DD93" i="55" s="1"/>
  <c r="DI93" i="55"/>
  <c r="H93" i="55" s="1"/>
  <c r="DJ93" i="55" s="1"/>
  <c r="CC93" i="55"/>
  <c r="CD93" i="55"/>
  <c r="BT93" i="55"/>
  <c r="DB93" i="55"/>
  <c r="DN93" i="55"/>
  <c r="CA93" i="55"/>
  <c r="GA93" i="55"/>
  <c r="BY93" i="55" s="1"/>
  <c r="CO93" i="55"/>
  <c r="CP93" i="55" s="1"/>
  <c r="Y93" i="55" s="1"/>
  <c r="BO93" i="55"/>
  <c r="JH61" i="55"/>
  <c r="JI61" i="55" s="1"/>
  <c r="GA61" i="55"/>
  <c r="BY61" i="55" s="1"/>
  <c r="DC61" i="55"/>
  <c r="I61" i="55" s="1"/>
  <c r="DD61" i="55" s="1"/>
  <c r="DB61" i="55"/>
  <c r="DI61" i="55"/>
  <c r="H61" i="55" s="1"/>
  <c r="DJ61" i="55" s="1"/>
  <c r="CO61" i="55"/>
  <c r="CP61" i="55" s="1"/>
  <c r="Y61" i="55" s="1"/>
  <c r="CC61" i="55"/>
  <c r="CD61" i="55"/>
  <c r="CQ61" i="55"/>
  <c r="CA61" i="55"/>
  <c r="BP61" i="55"/>
  <c r="DN61" i="55"/>
  <c r="BT61" i="55"/>
  <c r="BO61" i="55"/>
  <c r="JH29" i="55"/>
  <c r="JI29" i="55" s="1"/>
  <c r="GA29" i="55"/>
  <c r="BY29" i="55" s="1"/>
  <c r="FF29" i="55"/>
  <c r="DC29" i="55"/>
  <c r="I29" i="55" s="1"/>
  <c r="DD29" i="55" s="1"/>
  <c r="DI29" i="55"/>
  <c r="H29" i="55" s="1"/>
  <c r="DJ29" i="55" s="1"/>
  <c r="DB29" i="55"/>
  <c r="CC29" i="55"/>
  <c r="CD29" i="55"/>
  <c r="CA29" i="55"/>
  <c r="CQ29" i="55"/>
  <c r="DN29" i="55"/>
  <c r="BP29" i="55"/>
  <c r="BO29" i="55"/>
  <c r="CO29" i="55"/>
  <c r="CP29" i="55" s="1"/>
  <c r="Y29" i="55" s="1"/>
  <c r="BT29" i="55"/>
  <c r="BE283" i="55"/>
  <c r="BI283" i="55" s="1" a="1"/>
  <c r="BI283" i="55" s="1"/>
  <c r="BF283" i="55"/>
  <c r="BG283" i="55" s="1"/>
  <c r="BE267" i="55"/>
  <c r="P267" i="55" s="1"/>
  <c r="EL267" i="55" s="1"/>
  <c r="BF267" i="55"/>
  <c r="BG267" i="55" s="1"/>
  <c r="BE235" i="55"/>
  <c r="P235" i="55" s="1"/>
  <c r="BF235" i="55"/>
  <c r="BG235" i="55" s="1"/>
  <c r="BE219" i="55"/>
  <c r="P219" i="55" s="1"/>
  <c r="FA219" i="55" s="1"/>
  <c r="BF219" i="55"/>
  <c r="BG219" i="55" s="1"/>
  <c r="BI219" i="55" s="1" a="1"/>
  <c r="BI219" i="55" s="1"/>
  <c r="C219" i="55" s="1"/>
  <c r="BJ219" i="55" s="1"/>
  <c r="BE187" i="55"/>
  <c r="P187" i="55" s="1"/>
  <c r="FA187" i="55" s="1"/>
  <c r="BF187" i="55"/>
  <c r="BG187" i="55" s="1"/>
  <c r="BE171" i="55"/>
  <c r="P171" i="55" s="1"/>
  <c r="BF171" i="55"/>
  <c r="BG171" i="55" s="1"/>
  <c r="BI171" i="55" s="1" a="1"/>
  <c r="BI171" i="55" s="1"/>
  <c r="C171" i="55" s="1"/>
  <c r="BJ171" i="55" s="1"/>
  <c r="BE139" i="55"/>
  <c r="P139" i="55" s="1"/>
  <c r="BF139" i="55"/>
  <c r="BG139" i="55" s="1"/>
  <c r="BI139" i="55" s="1" a="1"/>
  <c r="BI139" i="55" s="1"/>
  <c r="BE11" i="55"/>
  <c r="BF11" i="55"/>
  <c r="BG11" i="55" s="1"/>
  <c r="BI11" i="55" s="1" a="1"/>
  <c r="BI11" i="55" s="1"/>
  <c r="BI45" i="55" a="1"/>
  <c r="BI45" i="55" s="1"/>
  <c r="C45" i="55" s="1"/>
  <c r="BJ45" i="55" s="1"/>
  <c r="BO237" i="55"/>
  <c r="GD324" i="55"/>
  <c r="GG324" i="55"/>
  <c r="GD241" i="55"/>
  <c r="GG241" i="55"/>
  <c r="GG193" i="55"/>
  <c r="GD193" i="55"/>
  <c r="CE193" i="55" a="1"/>
  <c r="CE193" i="55" s="1"/>
  <c r="EK193" i="55" s="1"/>
  <c r="BP141" i="55"/>
  <c r="GG91" i="55"/>
  <c r="GD91" i="55"/>
  <c r="BQ91" i="55"/>
  <c r="EJ346" i="55"/>
  <c r="GN346" i="55"/>
  <c r="GN314" i="55"/>
  <c r="EJ314" i="55"/>
  <c r="GN282" i="55"/>
  <c r="EJ282" i="55"/>
  <c r="DZ282" i="55"/>
  <c r="EJ218" i="55"/>
  <c r="GN218" i="55"/>
  <c r="GN186" i="55"/>
  <c r="EJ186" i="55"/>
  <c r="GN170" i="55"/>
  <c r="EJ170" i="55"/>
  <c r="DZ170" i="55"/>
  <c r="GN138" i="55"/>
  <c r="EJ138" i="55"/>
  <c r="GN106" i="55"/>
  <c r="EJ106" i="55"/>
  <c r="EJ74" i="55"/>
  <c r="GN74" i="55"/>
  <c r="GN42" i="55"/>
  <c r="EJ42" i="55"/>
  <c r="GN26" i="55"/>
  <c r="EJ26" i="55"/>
  <c r="DL26" i="55"/>
  <c r="DZ26" i="55"/>
  <c r="IA327" i="55"/>
  <c r="IB327" i="55"/>
  <c r="U327" i="55" s="1"/>
  <c r="HW327" i="55"/>
  <c r="HZ327" i="55"/>
  <c r="CM327" i="55"/>
  <c r="CN327" i="55"/>
  <c r="CG328" i="55"/>
  <c r="CJ327" i="55"/>
  <c r="CL327" i="55"/>
  <c r="IA263" i="55"/>
  <c r="IB263" i="55"/>
  <c r="V263" i="55" s="1"/>
  <c r="HZ263" i="55"/>
  <c r="HW263" i="55"/>
  <c r="CM263" i="55"/>
  <c r="CN263" i="55"/>
  <c r="CG264" i="55"/>
  <c r="CL263" i="55"/>
  <c r="DL263" i="55" s="1"/>
  <c r="CK263" i="55"/>
  <c r="CJ263" i="55"/>
  <c r="HZ167" i="55"/>
  <c r="HW167" i="55"/>
  <c r="IB167" i="55"/>
  <c r="U167" i="55" s="1"/>
  <c r="IA167" i="55"/>
  <c r="CM167" i="55"/>
  <c r="CN167" i="55"/>
  <c r="CK167" i="55"/>
  <c r="CG168" i="55"/>
  <c r="CL167" i="55"/>
  <c r="DL167" i="55" s="1"/>
  <c r="CJ167" i="55"/>
  <c r="IB55" i="55"/>
  <c r="HZ55" i="55"/>
  <c r="IA55" i="55"/>
  <c r="HW55" i="55"/>
  <c r="CM55" i="55"/>
  <c r="CN55" i="55"/>
  <c r="CG56" i="55"/>
  <c r="CK55" i="55"/>
  <c r="CL55" i="55"/>
  <c r="CJ55" i="55"/>
  <c r="JW17" i="55"/>
  <c r="DS17" i="55"/>
  <c r="GB17" i="55"/>
  <c r="GC17" i="55" s="1"/>
  <c r="GX105" i="55"/>
  <c r="GY105" i="55"/>
  <c r="GO347" i="55"/>
  <c r="IK347" i="55"/>
  <c r="IK283" i="55"/>
  <c r="GO283" i="55"/>
  <c r="IK256" i="55"/>
  <c r="GO256" i="55"/>
  <c r="IK210" i="55"/>
  <c r="GO210" i="55"/>
  <c r="IK64" i="55"/>
  <c r="GO64" i="55"/>
  <c r="IK27" i="55"/>
  <c r="GO27" i="55"/>
  <c r="FG351" i="55"/>
  <c r="BS351" i="55"/>
  <c r="GL351" i="55" s="1"/>
  <c r="BW351" i="55"/>
  <c r="BI351" i="55" a="1"/>
  <c r="BI351" i="55" s="1"/>
  <c r="FG303" i="55"/>
  <c r="BS303" i="55"/>
  <c r="GL303" i="55" s="1"/>
  <c r="BW303" i="55"/>
  <c r="FG255" i="55"/>
  <c r="BW255" i="55"/>
  <c r="BI255" i="55" a="1"/>
  <c r="BI255" i="55" s="1"/>
  <c r="C255" i="55" s="1"/>
  <c r="BJ255" i="55" s="1"/>
  <c r="FG207" i="55"/>
  <c r="BW207" i="55"/>
  <c r="BS207" i="55"/>
  <c r="GD232" i="55"/>
  <c r="GG232" i="55"/>
  <c r="EB20" i="55"/>
  <c r="GS20" i="55" s="1"/>
  <c r="DZ20" i="55"/>
  <c r="FY111" i="55"/>
  <c r="FX111" i="55" a="1"/>
  <c r="FX111" i="55" s="1"/>
  <c r="JW230" i="55"/>
  <c r="IC230" i="55"/>
  <c r="GB230" i="55"/>
  <c r="GC230" i="55" s="1"/>
  <c r="DS230" i="55"/>
  <c r="CS230" i="55"/>
  <c r="CR230" i="55" a="1"/>
  <c r="CR230" i="55" s="1"/>
  <c r="JW103" i="55"/>
  <c r="IC103" i="55"/>
  <c r="GB103" i="55"/>
  <c r="GC103" i="55" s="1"/>
  <c r="DS103" i="55"/>
  <c r="CS103" i="55"/>
  <c r="CR103" i="55" a="1"/>
  <c r="CR103" i="55" s="1"/>
  <c r="JW16" i="55"/>
  <c r="DS16" i="55"/>
  <c r="GB16" i="55"/>
  <c r="GC16" i="55" s="1"/>
  <c r="GE16" i="55" s="1" a="1"/>
  <c r="GE16" i="55" s="1"/>
  <c r="GF16" i="55" s="1"/>
  <c r="T16" i="55"/>
  <c r="CO349" i="55"/>
  <c r="CP349" i="55" s="1"/>
  <c r="Y349" i="55" s="1"/>
  <c r="P269" i="55"/>
  <c r="FA269" i="55" s="1"/>
  <c r="P248" i="55"/>
  <c r="FA248" i="55" s="1"/>
  <c r="FA42" i="55"/>
  <c r="FB42" i="55"/>
  <c r="IK292" i="55"/>
  <c r="GO292" i="55"/>
  <c r="IK228" i="55"/>
  <c r="GO228" i="55"/>
  <c r="IK164" i="55"/>
  <c r="GO164" i="55"/>
  <c r="IK100" i="55"/>
  <c r="GO100" i="55"/>
  <c r="IK36" i="55"/>
  <c r="GO36" i="55"/>
  <c r="JH347" i="55"/>
  <c r="JI347" i="55" s="1"/>
  <c r="GA347" i="55"/>
  <c r="DI347" i="55"/>
  <c r="H347" i="55" s="1"/>
  <c r="DJ347" i="55" s="1"/>
  <c r="DB347" i="55"/>
  <c r="DN347" i="55"/>
  <c r="CQ347" i="55"/>
  <c r="CD347" i="55"/>
  <c r="CO347" i="55"/>
  <c r="CP347" i="55" s="1"/>
  <c r="Y347" i="55" s="1"/>
  <c r="DC347" i="55"/>
  <c r="I347" i="55" s="1"/>
  <c r="DD347" i="55" s="1"/>
  <c r="CC347" i="55"/>
  <c r="BY347" i="55"/>
  <c r="CA347" i="55"/>
  <c r="FF347" i="55"/>
  <c r="JH331" i="55"/>
  <c r="JI331" i="55" s="1"/>
  <c r="GA331" i="55"/>
  <c r="DI331" i="55"/>
  <c r="H331" i="55" s="1"/>
  <c r="DJ331" i="55" s="1"/>
  <c r="DB331" i="55"/>
  <c r="DC331" i="55"/>
  <c r="I331" i="55" s="1"/>
  <c r="DD331" i="55" s="1"/>
  <c r="CQ331" i="55"/>
  <c r="DN331" i="55"/>
  <c r="CD331" i="55"/>
  <c r="CA331" i="55"/>
  <c r="BY331" i="55"/>
  <c r="CO331" i="55"/>
  <c r="CP331" i="55" s="1"/>
  <c r="Y331" i="55" s="1"/>
  <c r="BP331" i="55"/>
  <c r="CC331" i="55"/>
  <c r="JH315" i="55"/>
  <c r="JI315" i="55" s="1"/>
  <c r="GA315" i="55"/>
  <c r="BY315" i="55" s="1"/>
  <c r="DI315" i="55"/>
  <c r="H315" i="55" s="1"/>
  <c r="DJ315" i="55" s="1"/>
  <c r="DB315" i="55"/>
  <c r="CQ315" i="55"/>
  <c r="CD315" i="55"/>
  <c r="CA315" i="55"/>
  <c r="BT315" i="55"/>
  <c r="DC315" i="55"/>
  <c r="I315" i="55" s="1"/>
  <c r="DD315" i="55" s="1"/>
  <c r="CC315" i="55"/>
  <c r="CO315" i="55"/>
  <c r="CP315" i="55" s="1"/>
  <c r="Y315" i="55" s="1"/>
  <c r="DN315" i="55"/>
  <c r="BO315" i="55"/>
  <c r="JH299" i="55"/>
  <c r="JI299" i="55" s="1"/>
  <c r="GA299" i="55"/>
  <c r="BY299" i="55" s="1"/>
  <c r="FF299" i="55"/>
  <c r="DI299" i="55"/>
  <c r="H299" i="55" s="1"/>
  <c r="DJ299" i="55" s="1"/>
  <c r="DN299" i="55"/>
  <c r="DB299" i="55"/>
  <c r="CQ299" i="55"/>
  <c r="CD299" i="55"/>
  <c r="DC299" i="55"/>
  <c r="I299" i="55" s="1"/>
  <c r="DD299" i="55" s="1"/>
  <c r="CC299" i="55"/>
  <c r="BP299" i="55"/>
  <c r="CA299" i="55"/>
  <c r="BT299" i="55"/>
  <c r="CO299" i="55"/>
  <c r="CP299" i="55" s="1"/>
  <c r="Y299" i="55" s="1"/>
  <c r="BO299" i="55"/>
  <c r="BQ299" i="55" s="1"/>
  <c r="GA283" i="55"/>
  <c r="BY283" i="55" s="1"/>
  <c r="DI283" i="55"/>
  <c r="H283" i="55" s="1"/>
  <c r="DJ283" i="55" s="1"/>
  <c r="DN283" i="55"/>
  <c r="CQ283" i="55"/>
  <c r="CD283" i="55"/>
  <c r="DC283" i="55"/>
  <c r="I283" i="55" s="1"/>
  <c r="DD283" i="55" s="1"/>
  <c r="CO283" i="55"/>
  <c r="CP283" i="55" s="1"/>
  <c r="Y283" i="55" s="1"/>
  <c r="BT283" i="55"/>
  <c r="GI283" i="55"/>
  <c r="FF283" i="55"/>
  <c r="BO283" i="55"/>
  <c r="BP283" i="55"/>
  <c r="CC283" i="55"/>
  <c r="GA267" i="55"/>
  <c r="BY267" i="55" s="1"/>
  <c r="JH267" i="55"/>
  <c r="JI267" i="55" s="1"/>
  <c r="DI267" i="55"/>
  <c r="H267" i="55" s="1"/>
  <c r="DJ267" i="55" s="1"/>
  <c r="DB267" i="55"/>
  <c r="DC267" i="55"/>
  <c r="I267" i="55" s="1"/>
  <c r="DD267" i="55" s="1"/>
  <c r="CQ267" i="55"/>
  <c r="CD267" i="55"/>
  <c r="CA267" i="55"/>
  <c r="FF267" i="55"/>
  <c r="BT267" i="55"/>
  <c r="CO267" i="55"/>
  <c r="CP267" i="55" s="1"/>
  <c r="Y267" i="55" s="1"/>
  <c r="BP267" i="55"/>
  <c r="GA251" i="55"/>
  <c r="DI251" i="55"/>
  <c r="H251" i="55" s="1"/>
  <c r="DJ251" i="55" s="1"/>
  <c r="JH251" i="55"/>
  <c r="JI251" i="55" s="1"/>
  <c r="DB251" i="55"/>
  <c r="FF251" i="55"/>
  <c r="CQ251" i="55"/>
  <c r="CD251" i="55"/>
  <c r="DN251" i="55"/>
  <c r="DC251" i="55"/>
  <c r="I251" i="55" s="1"/>
  <c r="DD251" i="55" s="1"/>
  <c r="CA251" i="55"/>
  <c r="BY251" i="55"/>
  <c r="BT251" i="55"/>
  <c r="CO251" i="55"/>
  <c r="CP251" i="55" s="1"/>
  <c r="Y251" i="55" s="1"/>
  <c r="BO251" i="55"/>
  <c r="BQ251" i="55" s="1"/>
  <c r="CC251" i="55"/>
  <c r="JH235" i="55"/>
  <c r="JI235" i="55" s="1"/>
  <c r="GA235" i="55"/>
  <c r="FF235" i="55"/>
  <c r="DI235" i="55"/>
  <c r="H235" i="55" s="1"/>
  <c r="DJ235" i="55" s="1"/>
  <c r="DN235" i="55"/>
  <c r="DB235" i="55"/>
  <c r="CQ235" i="55"/>
  <c r="CD235" i="55"/>
  <c r="CC235" i="55"/>
  <c r="DC235" i="55"/>
  <c r="I235" i="55" s="1"/>
  <c r="DD235" i="55" s="1"/>
  <c r="BY235" i="55"/>
  <c r="CA235" i="55"/>
  <c r="BT235" i="55"/>
  <c r="BP235" i="55"/>
  <c r="CO235" i="55"/>
  <c r="CP235" i="55" s="1"/>
  <c r="Y235" i="55" s="1"/>
  <c r="JH219" i="55"/>
  <c r="JI219" i="55" s="1"/>
  <c r="GA219" i="55"/>
  <c r="BY219" i="55" s="1"/>
  <c r="FF219" i="55"/>
  <c r="DI219" i="55"/>
  <c r="H219" i="55" s="1"/>
  <c r="DJ219" i="55" s="1"/>
  <c r="DB219" i="55"/>
  <c r="DN219" i="55"/>
  <c r="CQ219" i="55"/>
  <c r="CD219" i="55"/>
  <c r="CE219" i="55" s="1" a="1"/>
  <c r="CE219" i="55" s="1"/>
  <c r="CO219" i="55"/>
  <c r="CP219" i="55" s="1"/>
  <c r="Y219" i="55" s="1"/>
  <c r="DC219" i="55"/>
  <c r="I219" i="55" s="1"/>
  <c r="DD219" i="55" s="1"/>
  <c r="CC219" i="55"/>
  <c r="JH203" i="55"/>
  <c r="JI203" i="55" s="1"/>
  <c r="GA203" i="55"/>
  <c r="BY203" i="55" s="1"/>
  <c r="FF203" i="55"/>
  <c r="DI203" i="55"/>
  <c r="H203" i="55" s="1"/>
  <c r="DJ203" i="55" s="1"/>
  <c r="DB203" i="55"/>
  <c r="DC203" i="55"/>
  <c r="I203" i="55" s="1"/>
  <c r="DD203" i="55" s="1"/>
  <c r="CQ203" i="55"/>
  <c r="CD203" i="55"/>
  <c r="CA203" i="55"/>
  <c r="BT203" i="55"/>
  <c r="DN203" i="55"/>
  <c r="CC203" i="55"/>
  <c r="CO203" i="55"/>
  <c r="CP203" i="55" s="1"/>
  <c r="Y203" i="55" s="1"/>
  <c r="P203" i="55"/>
  <c r="BO203" i="55"/>
  <c r="BQ203" i="55" s="1"/>
  <c r="JH187" i="55"/>
  <c r="JI187" i="55" s="1"/>
  <c r="GA187" i="55"/>
  <c r="BY187" i="55" s="1"/>
  <c r="FF187" i="55"/>
  <c r="DI187" i="55"/>
  <c r="H187" i="55" s="1"/>
  <c r="DJ187" i="55" s="1"/>
  <c r="DB187" i="55"/>
  <c r="CQ187" i="55"/>
  <c r="DN187" i="55"/>
  <c r="CD187" i="55"/>
  <c r="DC187" i="55"/>
  <c r="I187" i="55" s="1"/>
  <c r="DD187" i="55" s="1"/>
  <c r="CA187" i="55"/>
  <c r="BT187" i="55"/>
  <c r="BP187" i="55"/>
  <c r="BO187" i="55"/>
  <c r="CO187" i="55"/>
  <c r="CP187" i="55" s="1"/>
  <c r="Y187" i="55" s="1"/>
  <c r="BI187" i="55" a="1"/>
  <c r="BI187" i="55" s="1"/>
  <c r="C187" i="55" s="1"/>
  <c r="BJ187" i="55" s="1"/>
  <c r="JH171" i="55"/>
  <c r="JI171" i="55" s="1"/>
  <c r="GA171" i="55"/>
  <c r="BY171" i="55" s="1"/>
  <c r="DI171" i="55"/>
  <c r="H171" i="55" s="1"/>
  <c r="DJ171" i="55" s="1"/>
  <c r="DN171" i="55"/>
  <c r="DB171" i="55"/>
  <c r="CQ171" i="55"/>
  <c r="CD171" i="55"/>
  <c r="DC171" i="55"/>
  <c r="I171" i="55" s="1"/>
  <c r="DD171" i="55" s="1"/>
  <c r="CC171" i="55"/>
  <c r="BP171" i="55"/>
  <c r="BT171" i="55"/>
  <c r="FF171" i="55"/>
  <c r="CO171" i="55"/>
  <c r="CP171" i="55" s="1"/>
  <c r="Y171" i="55" s="1"/>
  <c r="CA171" i="55"/>
  <c r="JH155" i="55"/>
  <c r="JI155" i="55" s="1"/>
  <c r="GA155" i="55"/>
  <c r="BY155" i="55" s="1"/>
  <c r="FF155" i="55"/>
  <c r="DI155" i="55"/>
  <c r="H155" i="55" s="1"/>
  <c r="DJ155" i="55" s="1"/>
  <c r="DB155" i="55"/>
  <c r="DN155" i="55"/>
  <c r="CQ155" i="55"/>
  <c r="CD155" i="55"/>
  <c r="DC155" i="55"/>
  <c r="I155" i="55" s="1"/>
  <c r="DD155" i="55" s="1"/>
  <c r="CO155" i="55"/>
  <c r="CP155" i="55" s="1"/>
  <c r="Y155" i="55" s="1"/>
  <c r="BP155" i="55"/>
  <c r="CC155" i="55"/>
  <c r="BT155" i="55"/>
  <c r="BO155" i="55"/>
  <c r="BQ155" i="55" s="1"/>
  <c r="JH139" i="55"/>
  <c r="JI139" i="55" s="1"/>
  <c r="GA139" i="55"/>
  <c r="BY139" i="55" s="1"/>
  <c r="DI139" i="55"/>
  <c r="H139" i="55" s="1"/>
  <c r="DJ139" i="55" s="1"/>
  <c r="DB139" i="55"/>
  <c r="DC139" i="55"/>
  <c r="I139" i="55" s="1"/>
  <c r="DD139" i="55" s="1"/>
  <c r="CQ139" i="55"/>
  <c r="CD139" i="55"/>
  <c r="DN139" i="55"/>
  <c r="CA139" i="55"/>
  <c r="CO139" i="55"/>
  <c r="CP139" i="55" s="1"/>
  <c r="Y139" i="55" s="1"/>
  <c r="CC139" i="55"/>
  <c r="BO139" i="55"/>
  <c r="BP139" i="55"/>
  <c r="JH123" i="55"/>
  <c r="JI123" i="55" s="1"/>
  <c r="GA123" i="55"/>
  <c r="BY123" i="55" s="1"/>
  <c r="DI123" i="55"/>
  <c r="H123" i="55" s="1"/>
  <c r="DJ123" i="55" s="1"/>
  <c r="DB123" i="55"/>
  <c r="CQ123" i="55"/>
  <c r="CD123" i="55"/>
  <c r="CA123" i="55"/>
  <c r="BT123" i="55"/>
  <c r="DC123" i="55"/>
  <c r="I123" i="55" s="1"/>
  <c r="DD123" i="55" s="1"/>
  <c r="DN123" i="55"/>
  <c r="CO123" i="55"/>
  <c r="CP123" i="55" s="1"/>
  <c r="Y123" i="55" s="1"/>
  <c r="CC123" i="55"/>
  <c r="BO123" i="55"/>
  <c r="JH107" i="55"/>
  <c r="JI107" i="55" s="1"/>
  <c r="GA107" i="55"/>
  <c r="BY107" i="55" s="1"/>
  <c r="DI107" i="55"/>
  <c r="H107" i="55" s="1"/>
  <c r="DJ107" i="55" s="1"/>
  <c r="DN107" i="55"/>
  <c r="CO107" i="55"/>
  <c r="CP107" i="55" s="1"/>
  <c r="Y107" i="55" s="1"/>
  <c r="DB107" i="55"/>
  <c r="CQ107" i="55"/>
  <c r="CD107" i="55"/>
  <c r="CC107" i="55"/>
  <c r="DC107" i="55"/>
  <c r="I107" i="55" s="1"/>
  <c r="DD107" i="55" s="1"/>
  <c r="BP107" i="55"/>
  <c r="BT107" i="55"/>
  <c r="BO107" i="55"/>
  <c r="JH91" i="55"/>
  <c r="JI91" i="55" s="1"/>
  <c r="GA91" i="55"/>
  <c r="DI91" i="55"/>
  <c r="H91" i="55" s="1"/>
  <c r="DJ91" i="55" s="1"/>
  <c r="CO91" i="55"/>
  <c r="CP91" i="55" s="1"/>
  <c r="Y91" i="55" s="1"/>
  <c r="DN91" i="55"/>
  <c r="CQ91" i="55"/>
  <c r="CD91" i="55"/>
  <c r="DC91" i="55"/>
  <c r="I91" i="55" s="1"/>
  <c r="DD91" i="55" s="1"/>
  <c r="CC91" i="55"/>
  <c r="BY91" i="55"/>
  <c r="BT91" i="55"/>
  <c r="DB91" i="55"/>
  <c r="CA91" i="55"/>
  <c r="JH75" i="55"/>
  <c r="JI75" i="55" s="1"/>
  <c r="GA75" i="55"/>
  <c r="BY75" i="55" s="1"/>
  <c r="DI75" i="55"/>
  <c r="H75" i="55" s="1"/>
  <c r="DJ75" i="55" s="1"/>
  <c r="CO75" i="55"/>
  <c r="CP75" i="55" s="1"/>
  <c r="Y75" i="55" s="1"/>
  <c r="DC75" i="55"/>
  <c r="I75" i="55" s="1"/>
  <c r="DD75" i="55" s="1"/>
  <c r="CQ75" i="55"/>
  <c r="DN75" i="55"/>
  <c r="CD75" i="55"/>
  <c r="CA75" i="55"/>
  <c r="DB75" i="55"/>
  <c r="BO75" i="55"/>
  <c r="CC75" i="55"/>
  <c r="BT75" i="55"/>
  <c r="JH59" i="55"/>
  <c r="JI59" i="55" s="1"/>
  <c r="GA59" i="55"/>
  <c r="BY59" i="55" s="1"/>
  <c r="DI59" i="55"/>
  <c r="H59" i="55" s="1"/>
  <c r="DJ59" i="55" s="1"/>
  <c r="DB59" i="55"/>
  <c r="CO59" i="55"/>
  <c r="CP59" i="55" s="1"/>
  <c r="Y59" i="55" s="1"/>
  <c r="CQ59" i="55"/>
  <c r="CD59" i="55"/>
  <c r="DN59" i="55"/>
  <c r="DC59" i="55"/>
  <c r="I59" i="55" s="1"/>
  <c r="DD59" i="55" s="1"/>
  <c r="CA59" i="55"/>
  <c r="BT59" i="55"/>
  <c r="CC59" i="55"/>
  <c r="BO59" i="55"/>
  <c r="BP59" i="55"/>
  <c r="CE59" i="55" s="1" a="1"/>
  <c r="CE59" i="55" s="1"/>
  <c r="BI59" i="55" a="1"/>
  <c r="BI59" i="55" s="1"/>
  <c r="JH43" i="55"/>
  <c r="JI43" i="55" s="1"/>
  <c r="GA43" i="55"/>
  <c r="FF43" i="55"/>
  <c r="DI43" i="55"/>
  <c r="H43" i="55" s="1"/>
  <c r="DJ43" i="55" s="1"/>
  <c r="DN43" i="55"/>
  <c r="CO43" i="55"/>
  <c r="CP43" i="55" s="1"/>
  <c r="Y43" i="55" s="1"/>
  <c r="DB43" i="55"/>
  <c r="CQ43" i="55"/>
  <c r="CD43" i="55"/>
  <c r="DC43" i="55"/>
  <c r="I43" i="55" s="1"/>
  <c r="DD43" i="55" s="1"/>
  <c r="CC43" i="55"/>
  <c r="BP43" i="55"/>
  <c r="BY43" i="55"/>
  <c r="CA43" i="55"/>
  <c r="BO43" i="55"/>
  <c r="GA27" i="55"/>
  <c r="BY27" i="55" s="1"/>
  <c r="AN27" i="55" s="1"/>
  <c r="BZ27" i="55" s="1"/>
  <c r="DI27" i="55"/>
  <c r="H27" i="55" s="1"/>
  <c r="DJ27" i="55" s="1"/>
  <c r="CO27" i="55"/>
  <c r="CP27" i="55" s="1"/>
  <c r="Y27" i="55" s="1"/>
  <c r="DN27" i="55"/>
  <c r="CQ27" i="55"/>
  <c r="CD27" i="55"/>
  <c r="GI27" i="55"/>
  <c r="BP27" i="55"/>
  <c r="FF27" i="55"/>
  <c r="BT27" i="55"/>
  <c r="DC27" i="55"/>
  <c r="I27" i="55" s="1"/>
  <c r="DD27" i="55" s="1"/>
  <c r="BO27" i="55"/>
  <c r="CC27" i="55"/>
  <c r="BI27" i="55" a="1"/>
  <c r="BI27" i="55" s="1"/>
  <c r="C27" i="55" s="1"/>
  <c r="BJ27" i="55" s="1"/>
  <c r="JH11" i="55"/>
  <c r="JI11" i="55" s="1"/>
  <c r="GA11" i="55"/>
  <c r="BY11" i="55" s="1"/>
  <c r="AN11" i="55" s="1"/>
  <c r="BZ11" i="55" s="1"/>
  <c r="FF11" i="55"/>
  <c r="DI11" i="55"/>
  <c r="H11" i="55" s="1"/>
  <c r="DJ11" i="55" s="1"/>
  <c r="CO11" i="55"/>
  <c r="CP11" i="55" s="1"/>
  <c r="Y11" i="55" s="1"/>
  <c r="DC11" i="55"/>
  <c r="I11" i="55" s="1"/>
  <c r="DD11" i="55" s="1"/>
  <c r="CQ11" i="55"/>
  <c r="CD11" i="55"/>
  <c r="DB11" i="55"/>
  <c r="BP11" i="55"/>
  <c r="DN11" i="55"/>
  <c r="BF329" i="55"/>
  <c r="BG329" i="55" s="1"/>
  <c r="BI329" i="55" s="1" a="1"/>
  <c r="BI329" i="55" s="1"/>
  <c r="C329" i="55" s="1"/>
  <c r="BJ329" i="55" s="1"/>
  <c r="BE329" i="55"/>
  <c r="P329" i="55" s="1"/>
  <c r="BF313" i="55"/>
  <c r="BG313" i="55" s="1"/>
  <c r="BE313" i="55"/>
  <c r="BF297" i="55"/>
  <c r="BG297" i="55" s="1"/>
  <c r="BI297" i="55" s="1" a="1"/>
  <c r="BI297" i="55" s="1"/>
  <c r="C297" i="55" s="1"/>
  <c r="BJ297" i="55" s="1"/>
  <c r="BE297" i="55"/>
  <c r="P297" i="55" s="1"/>
  <c r="FA297" i="55" s="1"/>
  <c r="BF233" i="55"/>
  <c r="BG233" i="55" s="1"/>
  <c r="BI233" i="55" s="1" a="1"/>
  <c r="BI233" i="55" s="1"/>
  <c r="BE233" i="55"/>
  <c r="P233" i="55" s="1"/>
  <c r="FA233" i="55" s="1"/>
  <c r="BF201" i="55"/>
  <c r="BG201" i="55" s="1"/>
  <c r="BI201" i="55" s="1" a="1"/>
  <c r="BI201" i="55" s="1"/>
  <c r="C201" i="55" s="1"/>
  <c r="BJ201" i="55" s="1"/>
  <c r="BE201" i="55"/>
  <c r="P201" i="55" s="1"/>
  <c r="BF185" i="55"/>
  <c r="BG185" i="55" s="1"/>
  <c r="BI185" i="55" s="1" a="1"/>
  <c r="BI185" i="55" s="1"/>
  <c r="C185" i="55" s="1"/>
  <c r="BJ185" i="55" s="1"/>
  <c r="BE185" i="55"/>
  <c r="P185" i="55" s="1"/>
  <c r="EL185" i="55" s="1"/>
  <c r="BF137" i="55"/>
  <c r="BG137" i="55" s="1"/>
  <c r="BI137" i="55" s="1" a="1"/>
  <c r="BI137" i="55" s="1"/>
  <c r="BE137" i="55"/>
  <c r="P137" i="55" s="1"/>
  <c r="BF73" i="55"/>
  <c r="BG73" i="55" s="1"/>
  <c r="BI73" i="55" s="1" a="1"/>
  <c r="BI73" i="55" s="1"/>
  <c r="BE73" i="55"/>
  <c r="BF41" i="55"/>
  <c r="BG41" i="55" s="1"/>
  <c r="BI41" i="55" s="1" a="1"/>
  <c r="BI41" i="55" s="1"/>
  <c r="C41" i="55" s="1"/>
  <c r="BJ41" i="55" s="1"/>
  <c r="BE41" i="55"/>
  <c r="P41" i="55" s="1"/>
  <c r="FA41" i="55" s="1"/>
  <c r="BF9" i="55"/>
  <c r="BG9" i="55" s="1"/>
  <c r="BE9" i="55"/>
  <c r="BE231" i="55"/>
  <c r="P231" i="55" s="1"/>
  <c r="FA231" i="55" s="1"/>
  <c r="BE105" i="55"/>
  <c r="BI105" i="55" s="1" a="1"/>
  <c r="BI105" i="55" s="1"/>
  <c r="BF299" i="55"/>
  <c r="BG299" i="55" s="1"/>
  <c r="BI299" i="55" s="1" a="1"/>
  <c r="BI299" i="55" s="1"/>
  <c r="C299" i="55" s="1"/>
  <c r="BJ299" i="55" s="1"/>
  <c r="BF75" i="55"/>
  <c r="BG75" i="55" s="1"/>
  <c r="BI75" i="55" s="1" a="1"/>
  <c r="BI75" i="55" s="1"/>
  <c r="BF22" i="55"/>
  <c r="BG22" i="55" s="1"/>
  <c r="BI22" i="55" s="1" a="1"/>
  <c r="BI22" i="55" s="1"/>
  <c r="BO235" i="55"/>
  <c r="BQ235" i="55" s="1"/>
  <c r="BT331" i="55"/>
  <c r="BT77" i="55"/>
  <c r="EL334" i="55"/>
  <c r="HY89" i="55"/>
  <c r="HX89" i="55"/>
  <c r="EL89" i="55"/>
  <c r="HY8" i="55"/>
  <c r="HX8" i="55"/>
  <c r="EL8" i="55"/>
  <c r="BW125" i="55"/>
  <c r="BY285" i="55"/>
  <c r="CA219" i="55"/>
  <c r="JW223" i="55"/>
  <c r="FW223" i="55"/>
  <c r="GB223" i="55"/>
  <c r="GC223" i="55" s="1"/>
  <c r="DS223" i="55"/>
  <c r="JW142" i="55"/>
  <c r="IC142" i="55"/>
  <c r="GB142" i="55"/>
  <c r="GC142" i="55" s="1"/>
  <c r="DS142" i="55"/>
  <c r="CR142" i="55" a="1"/>
  <c r="CR142" i="55" s="1"/>
  <c r="JW102" i="55"/>
  <c r="IC102" i="55"/>
  <c r="GB102" i="55"/>
  <c r="GC102" i="55" s="1"/>
  <c r="DS102" i="55"/>
  <c r="CS102" i="55"/>
  <c r="CR102" i="55" a="1"/>
  <c r="CR102" i="55" s="1"/>
  <c r="JW15" i="55"/>
  <c r="GB15" i="55"/>
  <c r="GC15" i="55" s="1"/>
  <c r="DS15" i="55"/>
  <c r="CS150" i="55"/>
  <c r="CO333" i="55"/>
  <c r="CP333" i="55" s="1"/>
  <c r="Y333" i="55" s="1"/>
  <c r="EJ29" i="55"/>
  <c r="HX341" i="55"/>
  <c r="HY341" i="55"/>
  <c r="HY15" i="55"/>
  <c r="HX15" i="55"/>
  <c r="EL15" i="55"/>
  <c r="GN250" i="55"/>
  <c r="EJ250" i="55"/>
  <c r="CA221" i="55"/>
  <c r="HZ343" i="55"/>
  <c r="IA343" i="55"/>
  <c r="IB343" i="55"/>
  <c r="U343" i="55" s="1"/>
  <c r="HW343" i="55"/>
  <c r="CM343" i="55"/>
  <c r="CN343" i="55"/>
  <c r="CL343" i="55"/>
  <c r="DL343" i="55" s="1"/>
  <c r="CG344" i="55"/>
  <c r="CJ343" i="55"/>
  <c r="CK343" i="55"/>
  <c r="HW279" i="55"/>
  <c r="IB279" i="55"/>
  <c r="U279" i="55" s="1"/>
  <c r="IA279" i="55"/>
  <c r="CM279" i="55"/>
  <c r="CN279" i="55"/>
  <c r="HZ279" i="55"/>
  <c r="CJ279" i="55"/>
  <c r="CL279" i="55"/>
  <c r="DL279" i="55" s="1"/>
  <c r="CG280" i="55"/>
  <c r="HZ215" i="55"/>
  <c r="HW215" i="55"/>
  <c r="IB215" i="55"/>
  <c r="U215" i="55" s="1"/>
  <c r="IA215" i="55"/>
  <c r="CM215" i="55"/>
  <c r="CN215" i="55"/>
  <c r="CG216" i="55"/>
  <c r="CL215" i="55"/>
  <c r="DL215" i="55" s="1"/>
  <c r="CJ215" i="55"/>
  <c r="IB151" i="55"/>
  <c r="U151" i="55" s="1"/>
  <c r="HZ151" i="55"/>
  <c r="HW151" i="55"/>
  <c r="IA151" i="55"/>
  <c r="CM151" i="55"/>
  <c r="CN151" i="55"/>
  <c r="CJ151" i="55"/>
  <c r="CK151" i="55"/>
  <c r="CG152" i="55"/>
  <c r="CL151" i="55"/>
  <c r="DL151" i="55" s="1"/>
  <c r="HZ103" i="55"/>
  <c r="HW103" i="55"/>
  <c r="IB103" i="55"/>
  <c r="U103" i="55" s="1"/>
  <c r="IA103" i="55"/>
  <c r="CM103" i="55"/>
  <c r="CN103" i="55"/>
  <c r="CL103" i="55"/>
  <c r="DL103" i="55" s="1"/>
  <c r="CK103" i="55"/>
  <c r="IA7" i="55"/>
  <c r="IB7" i="55"/>
  <c r="V7" i="55" s="1"/>
  <c r="HW7" i="55"/>
  <c r="HZ7" i="55"/>
  <c r="CM7" i="55"/>
  <c r="CN7" i="55"/>
  <c r="CG8" i="55"/>
  <c r="CL7" i="55"/>
  <c r="DL7" i="55" s="1"/>
  <c r="JW63" i="55"/>
  <c r="IC63" i="55"/>
  <c r="DS63" i="55"/>
  <c r="GB63" i="55"/>
  <c r="GC63" i="55" s="1"/>
  <c r="CR63" i="55" a="1"/>
  <c r="CR63" i="55" s="1"/>
  <c r="CM314" i="55"/>
  <c r="U55" i="55"/>
  <c r="IK338" i="55"/>
  <c r="GO338" i="55"/>
  <c r="GO219" i="55"/>
  <c r="IK219" i="55"/>
  <c r="IK155" i="55"/>
  <c r="GO155" i="55"/>
  <c r="IK128" i="55"/>
  <c r="GO128" i="55"/>
  <c r="IK91" i="55"/>
  <c r="GO91" i="55"/>
  <c r="GO73" i="55"/>
  <c r="IK73" i="55"/>
  <c r="IK18" i="55"/>
  <c r="GO18" i="55"/>
  <c r="IK9" i="55"/>
  <c r="GO9" i="55"/>
  <c r="GG268" i="55"/>
  <c r="GD268" i="55"/>
  <c r="BF107" i="55"/>
  <c r="BG107" i="55" s="1"/>
  <c r="BI107" i="55" s="1" a="1"/>
  <c r="BI107" i="55" s="1"/>
  <c r="FG335" i="55"/>
  <c r="BW335" i="55"/>
  <c r="FG287" i="55"/>
  <c r="BW287" i="55"/>
  <c r="BS287" i="55"/>
  <c r="GL287" i="55" s="1"/>
  <c r="BI287" i="55" a="1"/>
  <c r="BI287" i="55" s="1"/>
  <c r="C287" i="55" s="1"/>
  <c r="BJ287" i="55" s="1"/>
  <c r="FG239" i="55"/>
  <c r="BS239" i="55"/>
  <c r="GL239" i="55" s="1"/>
  <c r="BW239" i="55"/>
  <c r="FG191" i="55"/>
  <c r="BS191" i="55"/>
  <c r="GL191" i="55" s="1"/>
  <c r="FG159" i="55"/>
  <c r="BI159" i="55" a="1"/>
  <c r="BI159" i="55" s="1"/>
  <c r="C159" i="55" s="1"/>
  <c r="BJ159" i="55" s="1"/>
  <c r="BS159" i="55"/>
  <c r="GL159" i="55" s="1"/>
  <c r="FG127" i="55"/>
  <c r="BS127" i="55"/>
  <c r="GL127" i="55" s="1"/>
  <c r="BW127" i="55"/>
  <c r="FG95" i="55"/>
  <c r="BW95" i="55"/>
  <c r="BI95" i="55" a="1"/>
  <c r="BI95" i="55" s="1"/>
  <c r="FG63" i="55"/>
  <c r="BS63" i="55"/>
  <c r="GL63" i="55" s="1"/>
  <c r="BW63" i="55"/>
  <c r="BI63" i="55" a="1"/>
  <c r="BI63" i="55" s="1"/>
  <c r="FG15" i="55"/>
  <c r="BW15" i="55"/>
  <c r="BI15" i="55" a="1"/>
  <c r="BI15" i="55" s="1"/>
  <c r="GG44" i="55"/>
  <c r="GD44" i="55"/>
  <c r="HY121" i="55"/>
  <c r="HX121" i="55"/>
  <c r="EL121" i="55"/>
  <c r="FX36" i="55" a="1"/>
  <c r="FX36" i="55" s="1"/>
  <c r="FY36" i="55"/>
  <c r="JW143" i="55"/>
  <c r="DS143" i="55"/>
  <c r="GB143" i="55"/>
  <c r="GC143" i="55" s="1"/>
  <c r="DN157" i="55"/>
  <c r="EB253" i="55"/>
  <c r="P205" i="55"/>
  <c r="FA205" i="55" s="1"/>
  <c r="P61" i="55"/>
  <c r="FA61" i="55" s="1"/>
  <c r="FA20" i="55"/>
  <c r="U172" i="55"/>
  <c r="IK346" i="55"/>
  <c r="GO346" i="55"/>
  <c r="IK328" i="55"/>
  <c r="GO328" i="55"/>
  <c r="IK291" i="55"/>
  <c r="GO291" i="55"/>
  <c r="IK282" i="55"/>
  <c r="GO282" i="55"/>
  <c r="IK264" i="55"/>
  <c r="GO264" i="55"/>
  <c r="IK227" i="55"/>
  <c r="GO227" i="55"/>
  <c r="GO218" i="55"/>
  <c r="IK218" i="55"/>
  <c r="IK200" i="55"/>
  <c r="GO200" i="55"/>
  <c r="IK163" i="55"/>
  <c r="GO163" i="55"/>
  <c r="IK154" i="55"/>
  <c r="GO154" i="55"/>
  <c r="IK136" i="55"/>
  <c r="GO136" i="55"/>
  <c r="IK99" i="55"/>
  <c r="GO99" i="55"/>
  <c r="IK90" i="55"/>
  <c r="GO90" i="55"/>
  <c r="GO72" i="55"/>
  <c r="IK72" i="55"/>
  <c r="IK35" i="55"/>
  <c r="GO35" i="55"/>
  <c r="IK26" i="55"/>
  <c r="GO26" i="55"/>
  <c r="IK8" i="55"/>
  <c r="GO8" i="55"/>
  <c r="JH346" i="55"/>
  <c r="JI346" i="55" s="1"/>
  <c r="GA346" i="55"/>
  <c r="BY346" i="55" s="1"/>
  <c r="DC346" i="55"/>
  <c r="I346" i="55" s="1"/>
  <c r="DD346" i="55" s="1"/>
  <c r="DI346" i="55"/>
  <c r="H346" i="55" s="1"/>
  <c r="DJ346" i="55" s="1"/>
  <c r="FF346" i="55"/>
  <c r="CD346" i="55"/>
  <c r="CO346" i="55"/>
  <c r="CP346" i="55" s="1"/>
  <c r="Y346" i="55" s="1"/>
  <c r="CQ346" i="55"/>
  <c r="DB346" i="55"/>
  <c r="CC346" i="55"/>
  <c r="DN346" i="55"/>
  <c r="CA346" i="55"/>
  <c r="GA330" i="55"/>
  <c r="BY330" i="55" s="1"/>
  <c r="GI330" i="55"/>
  <c r="DC330" i="55"/>
  <c r="I330" i="55" s="1"/>
  <c r="DD330" i="55" s="1"/>
  <c r="DI330" i="55"/>
  <c r="H330" i="55" s="1"/>
  <c r="DJ330" i="55" s="1"/>
  <c r="CD330" i="55"/>
  <c r="CQ330" i="55"/>
  <c r="FF330" i="55"/>
  <c r="DN330" i="55"/>
  <c r="BT330" i="55"/>
  <c r="CA330" i="55"/>
  <c r="BP330" i="55"/>
  <c r="CC330" i="55"/>
  <c r="JH314" i="55"/>
  <c r="JI314" i="55" s="1"/>
  <c r="GA314" i="55"/>
  <c r="BY314" i="55" s="1"/>
  <c r="DC314" i="55"/>
  <c r="I314" i="55" s="1"/>
  <c r="DD314" i="55" s="1"/>
  <c r="DI314" i="55"/>
  <c r="H314" i="55" s="1"/>
  <c r="DJ314" i="55" s="1"/>
  <c r="CD314" i="55"/>
  <c r="BT314" i="55"/>
  <c r="CC314" i="55"/>
  <c r="CA314" i="55"/>
  <c r="BO314" i="55"/>
  <c r="DN314" i="55"/>
  <c r="DB314" i="55"/>
  <c r="CQ314" i="55"/>
  <c r="BP314" i="55"/>
  <c r="CO314" i="55"/>
  <c r="CP314" i="55" s="1"/>
  <c r="Y314" i="55" s="1"/>
  <c r="JH298" i="55"/>
  <c r="JI298" i="55" s="1"/>
  <c r="GA298" i="55"/>
  <c r="BY298" i="55" s="1"/>
  <c r="DC298" i="55"/>
  <c r="I298" i="55" s="1"/>
  <c r="DD298" i="55" s="1"/>
  <c r="DI298" i="55"/>
  <c r="H298" i="55" s="1"/>
  <c r="DJ298" i="55" s="1"/>
  <c r="FF298" i="55"/>
  <c r="CD298" i="55"/>
  <c r="CC298" i="55"/>
  <c r="DB298" i="55"/>
  <c r="CO298" i="55"/>
  <c r="CP298" i="55" s="1"/>
  <c r="Y298" i="55" s="1"/>
  <c r="DN298" i="55"/>
  <c r="BP298" i="55"/>
  <c r="CQ298" i="55"/>
  <c r="EL298" i="55"/>
  <c r="CA298" i="55"/>
  <c r="BO298" i="55"/>
  <c r="JH282" i="55"/>
  <c r="JI282" i="55" s="1"/>
  <c r="GA282" i="55"/>
  <c r="BY282" i="55" s="1"/>
  <c r="FF282" i="55"/>
  <c r="DC282" i="55"/>
  <c r="I282" i="55" s="1"/>
  <c r="DD282" i="55" s="1"/>
  <c r="DI282" i="55"/>
  <c r="H282" i="55" s="1"/>
  <c r="DJ282" i="55" s="1"/>
  <c r="CD282" i="55"/>
  <c r="DB282" i="55"/>
  <c r="CO282" i="55"/>
  <c r="CP282" i="55" s="1"/>
  <c r="Y282" i="55" s="1"/>
  <c r="CQ282" i="55"/>
  <c r="DN282" i="55"/>
  <c r="CC282" i="55"/>
  <c r="CA282" i="55"/>
  <c r="BP282" i="55"/>
  <c r="JH266" i="55"/>
  <c r="JI266" i="55" s="1"/>
  <c r="GA266" i="55"/>
  <c r="BY266" i="55" s="1"/>
  <c r="DC266" i="55"/>
  <c r="I266" i="55" s="1"/>
  <c r="DD266" i="55" s="1"/>
  <c r="DI266" i="55"/>
  <c r="H266" i="55" s="1"/>
  <c r="DJ266" i="55" s="1"/>
  <c r="FF266" i="55"/>
  <c r="CD266" i="55"/>
  <c r="CQ266" i="55"/>
  <c r="BT266" i="55"/>
  <c r="DB266" i="55"/>
  <c r="DN266" i="55"/>
  <c r="CO266" i="55"/>
  <c r="CP266" i="55" s="1"/>
  <c r="Y266" i="55" s="1"/>
  <c r="P266" i="55"/>
  <c r="JH250" i="55"/>
  <c r="JI250" i="55" s="1"/>
  <c r="GA250" i="55"/>
  <c r="BY250" i="55" s="1"/>
  <c r="FF250" i="55"/>
  <c r="DC250" i="55"/>
  <c r="I250" i="55" s="1"/>
  <c r="DD250" i="55" s="1"/>
  <c r="DI250" i="55"/>
  <c r="H250" i="55" s="1"/>
  <c r="DJ250" i="55" s="1"/>
  <c r="CD250" i="55"/>
  <c r="DN250" i="55"/>
  <c r="BT250" i="55"/>
  <c r="CC250" i="55"/>
  <c r="CQ250" i="55"/>
  <c r="CO250" i="55"/>
  <c r="CP250" i="55" s="1"/>
  <c r="Y250" i="55" s="1"/>
  <c r="DB250" i="55"/>
  <c r="P250" i="55"/>
  <c r="FA250" i="55" s="1"/>
  <c r="CA250" i="55"/>
  <c r="BO250" i="55"/>
  <c r="BP250" i="55"/>
  <c r="JH234" i="55"/>
  <c r="JI234" i="55" s="1"/>
  <c r="GA234" i="55"/>
  <c r="BY234" i="55" s="1"/>
  <c r="DC234" i="55"/>
  <c r="I234" i="55" s="1"/>
  <c r="DD234" i="55" s="1"/>
  <c r="FF234" i="55"/>
  <c r="DI234" i="55"/>
  <c r="H234" i="55" s="1"/>
  <c r="DJ234" i="55" s="1"/>
  <c r="CD234" i="55"/>
  <c r="CC234" i="55"/>
  <c r="CQ234" i="55"/>
  <c r="CO234" i="55"/>
  <c r="CP234" i="55" s="1"/>
  <c r="Y234" i="55" s="1"/>
  <c r="BT234" i="55"/>
  <c r="DN234" i="55"/>
  <c r="BP234" i="55"/>
  <c r="DB234" i="55"/>
  <c r="JH218" i="55"/>
  <c r="JI218" i="55" s="1"/>
  <c r="GA218" i="55"/>
  <c r="BY218" i="55" s="1"/>
  <c r="FF218" i="55"/>
  <c r="DC218" i="55"/>
  <c r="I218" i="55" s="1"/>
  <c r="DD218" i="55" s="1"/>
  <c r="DI218" i="55"/>
  <c r="H218" i="55" s="1"/>
  <c r="DJ218" i="55" s="1"/>
  <c r="DN218" i="55"/>
  <c r="CD218" i="55"/>
  <c r="DB218" i="55"/>
  <c r="CO218" i="55"/>
  <c r="CP218" i="55" s="1"/>
  <c r="Y218" i="55" s="1"/>
  <c r="CQ218" i="55"/>
  <c r="BO218" i="55"/>
  <c r="BQ218" i="55" s="1"/>
  <c r="CC218" i="55"/>
  <c r="JH202" i="55"/>
  <c r="JI202" i="55" s="1"/>
  <c r="GA202" i="55"/>
  <c r="BY202" i="55" s="1"/>
  <c r="DC202" i="55"/>
  <c r="I202" i="55" s="1"/>
  <c r="DD202" i="55" s="1"/>
  <c r="FF202" i="55"/>
  <c r="DI202" i="55"/>
  <c r="H202" i="55" s="1"/>
  <c r="DJ202" i="55" s="1"/>
  <c r="CD202" i="55"/>
  <c r="CQ202" i="55"/>
  <c r="BT202" i="55"/>
  <c r="DN202" i="55"/>
  <c r="CC202" i="55"/>
  <c r="DB202" i="55"/>
  <c r="CO202" i="55"/>
  <c r="CP202" i="55" s="1"/>
  <c r="Y202" i="55" s="1"/>
  <c r="BP202" i="55"/>
  <c r="CA202" i="55"/>
  <c r="JH186" i="55"/>
  <c r="JI186" i="55" s="1"/>
  <c r="GA186" i="55"/>
  <c r="BY186" i="55" s="1"/>
  <c r="DC186" i="55"/>
  <c r="I186" i="55" s="1"/>
  <c r="DD186" i="55" s="1"/>
  <c r="DI186" i="55"/>
  <c r="H186" i="55" s="1"/>
  <c r="DJ186" i="55" s="1"/>
  <c r="FF186" i="55"/>
  <c r="CD186" i="55"/>
  <c r="DB186" i="55"/>
  <c r="BT186" i="55"/>
  <c r="CC186" i="55"/>
  <c r="BO186" i="55"/>
  <c r="CQ186" i="55"/>
  <c r="P186" i="55"/>
  <c r="DN186" i="55"/>
  <c r="BP186" i="55"/>
  <c r="JH170" i="55"/>
  <c r="JI170" i="55" s="1"/>
  <c r="GA170" i="55"/>
  <c r="BY170" i="55" s="1"/>
  <c r="DC170" i="55"/>
  <c r="I170" i="55" s="1"/>
  <c r="DD170" i="55" s="1"/>
  <c r="DI170" i="55"/>
  <c r="H170" i="55" s="1"/>
  <c r="DJ170" i="55" s="1"/>
  <c r="CD170" i="55"/>
  <c r="CC170" i="55"/>
  <c r="CO170" i="55"/>
  <c r="CP170" i="55" s="1"/>
  <c r="Y170" i="55" s="1"/>
  <c r="BP170" i="55"/>
  <c r="CQ170" i="55"/>
  <c r="FF170" i="55"/>
  <c r="CA170" i="55"/>
  <c r="BT170" i="55"/>
  <c r="GA154" i="55"/>
  <c r="BY154" i="55" s="1"/>
  <c r="FF154" i="55"/>
  <c r="GI154" i="55"/>
  <c r="DC154" i="55"/>
  <c r="I154" i="55" s="1"/>
  <c r="DD154" i="55" s="1"/>
  <c r="DI154" i="55"/>
  <c r="H154" i="55" s="1"/>
  <c r="DJ154" i="55" s="1"/>
  <c r="CD154" i="55"/>
  <c r="CO154" i="55"/>
  <c r="CP154" i="55" s="1"/>
  <c r="Y154" i="55" s="1"/>
  <c r="DN154" i="55"/>
  <c r="BO154" i="55"/>
  <c r="BT154" i="55"/>
  <c r="CQ154" i="55"/>
  <c r="CA154" i="55"/>
  <c r="CC154" i="55"/>
  <c r="JH138" i="55"/>
  <c r="JI138" i="55" s="1"/>
  <c r="GA138" i="55"/>
  <c r="BY138" i="55" s="1"/>
  <c r="DC138" i="55"/>
  <c r="I138" i="55" s="1"/>
  <c r="DD138" i="55" s="1"/>
  <c r="DI138" i="55"/>
  <c r="H138" i="55" s="1"/>
  <c r="DJ138" i="55" s="1"/>
  <c r="CD138" i="55"/>
  <c r="CQ138" i="55"/>
  <c r="DN138" i="55"/>
  <c r="DB138" i="55"/>
  <c r="BT138" i="55"/>
  <c r="CO138" i="55"/>
  <c r="CP138" i="55" s="1"/>
  <c r="Y138" i="55" s="1"/>
  <c r="BO138" i="55"/>
  <c r="BP138" i="55"/>
  <c r="CA138" i="55"/>
  <c r="CC138" i="55"/>
  <c r="JH122" i="55"/>
  <c r="JI122" i="55" s="1"/>
  <c r="GA122" i="55"/>
  <c r="BY122" i="55" s="1"/>
  <c r="DC122" i="55"/>
  <c r="I122" i="55" s="1"/>
  <c r="DD122" i="55" s="1"/>
  <c r="DI122" i="55"/>
  <c r="H122" i="55" s="1"/>
  <c r="DJ122" i="55" s="1"/>
  <c r="DB122" i="55"/>
  <c r="CD122" i="55"/>
  <c r="BT122" i="55"/>
  <c r="CQ122" i="55"/>
  <c r="CC122" i="55"/>
  <c r="DN122" i="55"/>
  <c r="CA122" i="55"/>
  <c r="CO122" i="55"/>
  <c r="CP122" i="55" s="1"/>
  <c r="Y122" i="55" s="1"/>
  <c r="BO122" i="55"/>
  <c r="JH106" i="55"/>
  <c r="JI106" i="55" s="1"/>
  <c r="GA106" i="55"/>
  <c r="DC106" i="55"/>
  <c r="I106" i="55" s="1"/>
  <c r="DD106" i="55" s="1"/>
  <c r="DI106" i="55"/>
  <c r="H106" i="55" s="1"/>
  <c r="DJ106" i="55" s="1"/>
  <c r="DB106" i="55"/>
  <c r="CD106" i="55"/>
  <c r="DN106" i="55"/>
  <c r="CO106" i="55"/>
  <c r="CP106" i="55" s="1"/>
  <c r="Y106" i="55" s="1"/>
  <c r="CC106" i="55"/>
  <c r="CQ106" i="55"/>
  <c r="BY106" i="55"/>
  <c r="BT106" i="55"/>
  <c r="BP106" i="55"/>
  <c r="CA106" i="55"/>
  <c r="JH90" i="55"/>
  <c r="JI90" i="55" s="1"/>
  <c r="GA90" i="55"/>
  <c r="DC90" i="55"/>
  <c r="I90" i="55" s="1"/>
  <c r="DD90" i="55" s="1"/>
  <c r="DI90" i="55"/>
  <c r="H90" i="55" s="1"/>
  <c r="DJ90" i="55" s="1"/>
  <c r="DB90" i="55"/>
  <c r="CD90" i="55"/>
  <c r="CQ90" i="55"/>
  <c r="CC90" i="55"/>
  <c r="BY90" i="55"/>
  <c r="BT90" i="55"/>
  <c r="DN90" i="55"/>
  <c r="CO90" i="55"/>
  <c r="CP90" i="55" s="1"/>
  <c r="Y90" i="55" s="1"/>
  <c r="CA90" i="55"/>
  <c r="BO90" i="55"/>
  <c r="BQ90" i="55" s="1"/>
  <c r="JH74" i="55"/>
  <c r="JI74" i="55" s="1"/>
  <c r="GA74" i="55"/>
  <c r="BY74" i="55" s="1"/>
  <c r="DC74" i="55"/>
  <c r="I74" i="55" s="1"/>
  <c r="DD74" i="55" s="1"/>
  <c r="DI74" i="55"/>
  <c r="H74" i="55" s="1"/>
  <c r="DJ74" i="55" s="1"/>
  <c r="DB74" i="55"/>
  <c r="CD74" i="55"/>
  <c r="CQ74" i="55"/>
  <c r="BT74" i="55"/>
  <c r="CO74" i="55"/>
  <c r="CP74" i="55" s="1"/>
  <c r="Y74" i="55" s="1"/>
  <c r="CA74" i="55"/>
  <c r="DN74" i="55"/>
  <c r="CC74" i="55"/>
  <c r="BO74" i="55"/>
  <c r="BP74" i="55"/>
  <c r="JH58" i="55"/>
  <c r="JI58" i="55" s="1"/>
  <c r="GA58" i="55"/>
  <c r="BY58" i="55" s="1"/>
  <c r="DC58" i="55"/>
  <c r="I58" i="55" s="1"/>
  <c r="DD58" i="55" s="1"/>
  <c r="DI58" i="55"/>
  <c r="H58" i="55" s="1"/>
  <c r="DJ58" i="55" s="1"/>
  <c r="DB58" i="55"/>
  <c r="CO58" i="55"/>
  <c r="CP58" i="55" s="1"/>
  <c r="Y58" i="55" s="1"/>
  <c r="CD58" i="55"/>
  <c r="BT58" i="55"/>
  <c r="CC58" i="55"/>
  <c r="CA58" i="55"/>
  <c r="BO58" i="55"/>
  <c r="DN58" i="55"/>
  <c r="CQ58" i="55"/>
  <c r="BP58" i="55"/>
  <c r="JH42" i="55"/>
  <c r="JI42" i="55" s="1"/>
  <c r="GA42" i="55"/>
  <c r="BY42" i="55" s="1"/>
  <c r="FF42" i="55"/>
  <c r="DC42" i="55"/>
  <c r="I42" i="55" s="1"/>
  <c r="DD42" i="55" s="1"/>
  <c r="DI42" i="55"/>
  <c r="H42" i="55" s="1"/>
  <c r="DJ42" i="55" s="1"/>
  <c r="DB42" i="55"/>
  <c r="CD42" i="55"/>
  <c r="CO42" i="55"/>
  <c r="CP42" i="55" s="1"/>
  <c r="Y42" i="55" s="1"/>
  <c r="CC42" i="55"/>
  <c r="DN42" i="55"/>
  <c r="BP42" i="55"/>
  <c r="EL42" i="55"/>
  <c r="CQ42" i="55"/>
  <c r="CA42" i="55"/>
  <c r="BT42" i="55"/>
  <c r="GA26" i="55"/>
  <c r="BY26" i="55" s="1"/>
  <c r="GI26" i="55"/>
  <c r="FF26" i="55"/>
  <c r="DC26" i="55"/>
  <c r="I26" i="55" s="1"/>
  <c r="DD26" i="55" s="1"/>
  <c r="DI26" i="55"/>
  <c r="H26" i="55" s="1"/>
  <c r="DJ26" i="55" s="1"/>
  <c r="CD26" i="55"/>
  <c r="DN26" i="55"/>
  <c r="EL26" i="55"/>
  <c r="CQ26" i="55"/>
  <c r="BO26" i="55"/>
  <c r="CC26" i="55"/>
  <c r="CO26" i="55"/>
  <c r="CP26" i="55" s="1"/>
  <c r="Y26" i="55" s="1"/>
  <c r="BT26" i="55"/>
  <c r="CA26" i="55"/>
  <c r="JH10" i="55"/>
  <c r="JI10" i="55" s="1"/>
  <c r="GA10" i="55"/>
  <c r="BY10" i="55" s="1"/>
  <c r="DC10" i="55"/>
  <c r="I10" i="55" s="1"/>
  <c r="DD10" i="55" s="1"/>
  <c r="DI10" i="55"/>
  <c r="H10" i="55" s="1"/>
  <c r="DJ10" i="55" s="1"/>
  <c r="DB10" i="55"/>
  <c r="CD10" i="55"/>
  <c r="CQ10" i="55"/>
  <c r="CO10" i="55"/>
  <c r="CP10" i="55" s="1"/>
  <c r="Y10" i="55" s="1"/>
  <c r="BT10" i="55"/>
  <c r="DN10" i="55"/>
  <c r="CC10" i="55"/>
  <c r="BO10" i="55"/>
  <c r="BP10" i="55"/>
  <c r="BE312" i="55"/>
  <c r="BF312" i="55"/>
  <c r="BG312" i="55" s="1"/>
  <c r="BI312" i="55" s="1" a="1"/>
  <c r="BI312" i="55" s="1"/>
  <c r="BE280" i="55"/>
  <c r="P280" i="55" s="1"/>
  <c r="FA280" i="55" s="1"/>
  <c r="BF280" i="55"/>
  <c r="BG280" i="55" s="1"/>
  <c r="BI280" i="55" s="1" a="1"/>
  <c r="BI280" i="55" s="1"/>
  <c r="BF264" i="55"/>
  <c r="BG264" i="55" s="1"/>
  <c r="BI264" i="55" s="1" a="1"/>
  <c r="BI264" i="55" s="1"/>
  <c r="C264" i="55" s="1"/>
  <c r="BJ264" i="55" s="1"/>
  <c r="BE264" i="55"/>
  <c r="P264" i="55" s="1"/>
  <c r="FA264" i="55" s="1"/>
  <c r="BF152" i="55"/>
  <c r="BG152" i="55" s="1"/>
  <c r="BE152" i="55"/>
  <c r="BF104" i="55"/>
  <c r="BG104" i="55" s="1"/>
  <c r="BE104" i="55"/>
  <c r="BF72" i="55"/>
  <c r="BG72" i="55" s="1"/>
  <c r="BI72" i="55" s="1" a="1"/>
  <c r="BI72" i="55" s="1"/>
  <c r="BE72" i="55"/>
  <c r="P72" i="55" s="1"/>
  <c r="BE230" i="55"/>
  <c r="P230" i="55" s="1"/>
  <c r="FA230" i="55" s="1"/>
  <c r="BE103" i="55"/>
  <c r="BI103" i="55" s="1" a="1"/>
  <c r="BI103" i="55" s="1"/>
  <c r="BE55" i="55"/>
  <c r="BF155" i="55"/>
  <c r="BG155" i="55" s="1"/>
  <c r="BI155" i="55" s="1" a="1"/>
  <c r="BI155" i="55" s="1"/>
  <c r="C155" i="55" s="1"/>
  <c r="BJ155" i="55" s="1"/>
  <c r="BI303" i="55" a="1"/>
  <c r="BI303" i="55" s="1"/>
  <c r="C303" i="55" s="1"/>
  <c r="BJ303" i="55" s="1"/>
  <c r="BO234" i="55"/>
  <c r="GG273" i="55"/>
  <c r="GD273" i="55"/>
  <c r="GD177" i="55"/>
  <c r="GG177" i="55"/>
  <c r="BP125" i="55"/>
  <c r="BQ125" i="55" s="1"/>
  <c r="GG76" i="55"/>
  <c r="GD76" i="55"/>
  <c r="BS255" i="55"/>
  <c r="GL255" i="55" s="1"/>
  <c r="BT141" i="55"/>
  <c r="HX185" i="55"/>
  <c r="HY185" i="55"/>
  <c r="HX160" i="55"/>
  <c r="HY160" i="55"/>
  <c r="EL160" i="55"/>
  <c r="HX52" i="55"/>
  <c r="HY52" i="55"/>
  <c r="EL52" i="55"/>
  <c r="CA218" i="55"/>
  <c r="EB342" i="55"/>
  <c r="DZ342" i="55"/>
  <c r="DZ326" i="55"/>
  <c r="EB326" i="55"/>
  <c r="DZ310" i="55"/>
  <c r="EB310" i="55"/>
  <c r="GS310" i="55" s="1"/>
  <c r="EB294" i="55"/>
  <c r="DZ294" i="55"/>
  <c r="DZ278" i="55"/>
  <c r="EB278" i="55"/>
  <c r="DZ246" i="55"/>
  <c r="EB246" i="55"/>
  <c r="EB230" i="55"/>
  <c r="DZ230" i="55"/>
  <c r="EB214" i="55"/>
  <c r="DZ214" i="55"/>
  <c r="EB198" i="55"/>
  <c r="DZ198" i="55"/>
  <c r="DZ182" i="55"/>
  <c r="EB182" i="55"/>
  <c r="EB166" i="55"/>
  <c r="DZ166" i="55"/>
  <c r="EB150" i="55"/>
  <c r="DZ150" i="55"/>
  <c r="DZ134" i="55"/>
  <c r="EB134" i="55"/>
  <c r="DZ118" i="55"/>
  <c r="EB118" i="55"/>
  <c r="EB102" i="55"/>
  <c r="DZ102" i="55"/>
  <c r="EB86" i="55"/>
  <c r="DZ86" i="55"/>
  <c r="EB70" i="55"/>
  <c r="DZ70" i="55"/>
  <c r="DZ54" i="55"/>
  <c r="EB54" i="55"/>
  <c r="DZ37" i="55"/>
  <c r="EB37" i="55"/>
  <c r="GS37" i="55" s="1"/>
  <c r="EB18" i="55"/>
  <c r="DZ18" i="55"/>
  <c r="CC11" i="55"/>
  <c r="JW137" i="55"/>
  <c r="GB137" i="55"/>
  <c r="GC137" i="55" s="1"/>
  <c r="DS137" i="55"/>
  <c r="U137" i="55"/>
  <c r="JW95" i="55"/>
  <c r="FW95" i="55"/>
  <c r="GB95" i="55"/>
  <c r="GC95" i="55" s="1"/>
  <c r="DS95" i="55"/>
  <c r="JW14" i="55"/>
  <c r="IC14" i="55"/>
  <c r="GB14" i="55"/>
  <c r="GC14" i="55" s="1"/>
  <c r="DS14" i="55"/>
  <c r="CR14" i="55" a="1"/>
  <c r="CR14" i="55" s="1"/>
  <c r="T14" i="55"/>
  <c r="CO330" i="55"/>
  <c r="CP330" i="55" s="1"/>
  <c r="Y330" i="55" s="1"/>
  <c r="DG193" i="55" a="1"/>
  <c r="DG193" i="55" s="1"/>
  <c r="DE193" i="55" a="1"/>
  <c r="DE193" i="55" s="1"/>
  <c r="DH193" i="55"/>
  <c r="DX193" i="55" s="1"/>
  <c r="DF193" i="55" a="1"/>
  <c r="DF193" i="55" s="1"/>
  <c r="HZ295" i="55"/>
  <c r="IB295" i="55"/>
  <c r="U295" i="55" s="1"/>
  <c r="HW295" i="55"/>
  <c r="IA295" i="55"/>
  <c r="CM295" i="55"/>
  <c r="CN295" i="55"/>
  <c r="CK295" i="55"/>
  <c r="CG296" i="55"/>
  <c r="CJ295" i="55"/>
  <c r="HZ231" i="55"/>
  <c r="HW231" i="55"/>
  <c r="IA231" i="55"/>
  <c r="IB231" i="55"/>
  <c r="U231" i="55" s="1"/>
  <c r="CM231" i="55"/>
  <c r="CN231" i="55"/>
  <c r="CL231" i="55"/>
  <c r="DL231" i="55" s="1"/>
  <c r="CK231" i="55"/>
  <c r="CG232" i="55"/>
  <c r="CJ231" i="55"/>
  <c r="IA199" i="55"/>
  <c r="HZ199" i="55"/>
  <c r="CM199" i="55"/>
  <c r="HW199" i="55"/>
  <c r="CN199" i="55"/>
  <c r="IB199" i="55"/>
  <c r="U199" i="55" s="1"/>
  <c r="CG200" i="55"/>
  <c r="CJ199" i="55"/>
  <c r="CL199" i="55"/>
  <c r="CK199" i="55"/>
  <c r="IA135" i="55"/>
  <c r="HW135" i="55"/>
  <c r="IB135" i="55"/>
  <c r="U135" i="55" s="1"/>
  <c r="HZ135" i="55"/>
  <c r="CM135" i="55"/>
  <c r="CN135" i="55"/>
  <c r="CG136" i="55"/>
  <c r="CL135" i="55"/>
  <c r="DL135" i="55" s="1"/>
  <c r="CK135" i="55"/>
  <c r="HZ87" i="55"/>
  <c r="HW87" i="55"/>
  <c r="IB87" i="55"/>
  <c r="U87" i="55" s="1"/>
  <c r="IA87" i="55"/>
  <c r="CM87" i="55"/>
  <c r="CN87" i="55"/>
  <c r="CL87" i="55"/>
  <c r="CJ87" i="55"/>
  <c r="CG88" i="55"/>
  <c r="HZ39" i="55"/>
  <c r="IB39" i="55"/>
  <c r="U39" i="55" s="1"/>
  <c r="HW39" i="55"/>
  <c r="IA39" i="55"/>
  <c r="CM39" i="55"/>
  <c r="CN39" i="55"/>
  <c r="CK39" i="55"/>
  <c r="CG40" i="55"/>
  <c r="CJ39" i="55"/>
  <c r="DG281" i="55" a="1"/>
  <c r="DG281" i="55" s="1"/>
  <c r="DH281" i="55"/>
  <c r="DE281" i="55" a="1"/>
  <c r="DE281" i="55" s="1"/>
  <c r="P125" i="55"/>
  <c r="FA125" i="55" s="1"/>
  <c r="IK320" i="55"/>
  <c r="GO320" i="55"/>
  <c r="IK274" i="55"/>
  <c r="GO274" i="55"/>
  <c r="IK192" i="55"/>
  <c r="GO192" i="55"/>
  <c r="IK146" i="55"/>
  <c r="GO146" i="55"/>
  <c r="BW319" i="55"/>
  <c r="FG319" i="55"/>
  <c r="BS319" i="55"/>
  <c r="GL319" i="55" s="1"/>
  <c r="BI319" i="55" a="1"/>
  <c r="BI319" i="55" s="1"/>
  <c r="C319" i="55" s="1"/>
  <c r="BJ319" i="55" s="1"/>
  <c r="FG271" i="55"/>
  <c r="BS271" i="55"/>
  <c r="GL271" i="55" s="1"/>
  <c r="BW271" i="55"/>
  <c r="FG223" i="55"/>
  <c r="BS223" i="55"/>
  <c r="GL223" i="55" s="1"/>
  <c r="BW223" i="55"/>
  <c r="BI223" i="55" a="1"/>
  <c r="BI223" i="55" s="1"/>
  <c r="FG175" i="55"/>
  <c r="BW175" i="55"/>
  <c r="BS175" i="55"/>
  <c r="GL175" i="55" s="1"/>
  <c r="FG143" i="55"/>
  <c r="BS143" i="55"/>
  <c r="GL143" i="55" s="1"/>
  <c r="BW143" i="55"/>
  <c r="FG111" i="55"/>
  <c r="BI111" i="55" a="1"/>
  <c r="BI111" i="55" s="1"/>
  <c r="FG79" i="55"/>
  <c r="BS79" i="55"/>
  <c r="GL79" i="55" s="1"/>
  <c r="BI79" i="55" a="1"/>
  <c r="BI79" i="55" s="1"/>
  <c r="FG47" i="55"/>
  <c r="BW47" i="55"/>
  <c r="BI47" i="55" a="1"/>
  <c r="BI47" i="55" s="1"/>
  <c r="C47" i="55" s="1"/>
  <c r="BJ47" i="55" s="1"/>
  <c r="BS47" i="55"/>
  <c r="FG31" i="55"/>
  <c r="BW31" i="55"/>
  <c r="GD276" i="55"/>
  <c r="GG276" i="55"/>
  <c r="GG90" i="55"/>
  <c r="GD90" i="55"/>
  <c r="HY94" i="55"/>
  <c r="HX94" i="55"/>
  <c r="EL94" i="55"/>
  <c r="EB39" i="55"/>
  <c r="GS39" i="55" s="1"/>
  <c r="DZ39" i="55"/>
  <c r="FY239" i="55"/>
  <c r="FX239" i="55" a="1"/>
  <c r="FX239" i="55" s="1"/>
  <c r="P349" i="55"/>
  <c r="FA349" i="55" s="1"/>
  <c r="IK300" i="55"/>
  <c r="GO300" i="55"/>
  <c r="IK236" i="55"/>
  <c r="GO236" i="55"/>
  <c r="IK172" i="55"/>
  <c r="GO172" i="55"/>
  <c r="IK108" i="55"/>
  <c r="GO108" i="55"/>
  <c r="IK44" i="55"/>
  <c r="GO44" i="55"/>
  <c r="JH345" i="55"/>
  <c r="JI345" i="55" s="1"/>
  <c r="GA345" i="55"/>
  <c r="BY345" i="55" s="1"/>
  <c r="FF345" i="55"/>
  <c r="DN345" i="55"/>
  <c r="DI345" i="55"/>
  <c r="H345" i="55" s="1"/>
  <c r="DJ345" i="55" s="1"/>
  <c r="CQ345" i="55"/>
  <c r="DB345" i="55"/>
  <c r="DC345" i="55"/>
  <c r="I345" i="55" s="1"/>
  <c r="DD345" i="55" s="1"/>
  <c r="CA345" i="55"/>
  <c r="CO345" i="55"/>
  <c r="CP345" i="55" s="1"/>
  <c r="Y345" i="55" s="1"/>
  <c r="BO345" i="55"/>
  <c r="BQ345" i="55" s="1"/>
  <c r="P345" i="55"/>
  <c r="CC345" i="55"/>
  <c r="JH329" i="55"/>
  <c r="JI329" i="55" s="1"/>
  <c r="GA329" i="55"/>
  <c r="BY329" i="55" s="1"/>
  <c r="DC329" i="55"/>
  <c r="I329" i="55" s="1"/>
  <c r="DD329" i="55" s="1"/>
  <c r="CQ329" i="55"/>
  <c r="DN329" i="55"/>
  <c r="DI329" i="55"/>
  <c r="H329" i="55" s="1"/>
  <c r="DJ329" i="55" s="1"/>
  <c r="CD329" i="55"/>
  <c r="BT329" i="55"/>
  <c r="BO329" i="55"/>
  <c r="DB329" i="55"/>
  <c r="CA329" i="55"/>
  <c r="BP329" i="55"/>
  <c r="CC329" i="55"/>
  <c r="GA313" i="55"/>
  <c r="BY313" i="55" s="1"/>
  <c r="GI313" i="55"/>
  <c r="CQ313" i="55"/>
  <c r="FF313" i="55"/>
  <c r="CA313" i="55"/>
  <c r="DI313" i="55"/>
  <c r="H313" i="55" s="1"/>
  <c r="DJ313" i="55" s="1"/>
  <c r="CO313" i="55"/>
  <c r="CP313" i="55" s="1"/>
  <c r="Y313" i="55" s="1"/>
  <c r="DN313" i="55"/>
  <c r="DC313" i="55"/>
  <c r="I313" i="55" s="1"/>
  <c r="DD313" i="55" s="1"/>
  <c r="CC313" i="55"/>
  <c r="BO313" i="55"/>
  <c r="BT313" i="55"/>
  <c r="JH297" i="55"/>
  <c r="JI297" i="55" s="1"/>
  <c r="GA297" i="55"/>
  <c r="BY297" i="55" s="1"/>
  <c r="CQ297" i="55"/>
  <c r="FF297" i="55"/>
  <c r="DC297" i="55"/>
  <c r="I297" i="55" s="1"/>
  <c r="DD297" i="55" s="1"/>
  <c r="DB297" i="55"/>
  <c r="DN297" i="55"/>
  <c r="CD297" i="55"/>
  <c r="CA297" i="55"/>
  <c r="BO297" i="55"/>
  <c r="BQ297" i="55" s="1"/>
  <c r="CO297" i="55"/>
  <c r="CP297" i="55" s="1"/>
  <c r="Y297" i="55" s="1"/>
  <c r="BT297" i="55"/>
  <c r="DI297" i="55"/>
  <c r="H297" i="55" s="1"/>
  <c r="DJ297" i="55" s="1"/>
  <c r="CC297" i="55"/>
  <c r="JH281" i="55"/>
  <c r="JI281" i="55" s="1"/>
  <c r="GA281" i="55"/>
  <c r="BY281" i="55" s="1"/>
  <c r="FF281" i="55"/>
  <c r="DN281" i="55"/>
  <c r="DI281" i="55"/>
  <c r="H281" i="55" s="1"/>
  <c r="DJ281" i="55" s="1"/>
  <c r="CQ281" i="55"/>
  <c r="DB281" i="55"/>
  <c r="CO281" i="55"/>
  <c r="CP281" i="55" s="1"/>
  <c r="Y281" i="55" s="1"/>
  <c r="BP281" i="55"/>
  <c r="CC281" i="55"/>
  <c r="BT281" i="55"/>
  <c r="JH265" i="55"/>
  <c r="JI265" i="55" s="1"/>
  <c r="GA265" i="55"/>
  <c r="BY265" i="55" s="1"/>
  <c r="DC265" i="55"/>
  <c r="I265" i="55" s="1"/>
  <c r="DD265" i="55" s="1"/>
  <c r="CQ265" i="55"/>
  <c r="DI265" i="55"/>
  <c r="H265" i="55" s="1"/>
  <c r="DJ265" i="55" s="1"/>
  <c r="CD265" i="55"/>
  <c r="DB265" i="55"/>
  <c r="DN265" i="55"/>
  <c r="CC265" i="55"/>
  <c r="FF265" i="55"/>
  <c r="BT265" i="55"/>
  <c r="BP265" i="55"/>
  <c r="BQ265" i="55" s="1"/>
  <c r="JH249" i="55"/>
  <c r="JI249" i="55" s="1"/>
  <c r="GA249" i="55"/>
  <c r="BY249" i="55" s="1"/>
  <c r="FF249" i="55"/>
  <c r="CQ249" i="55"/>
  <c r="DN249" i="55"/>
  <c r="CA249" i="55"/>
  <c r="DI249" i="55"/>
  <c r="H249" i="55" s="1"/>
  <c r="DJ249" i="55" s="1"/>
  <c r="DC249" i="55"/>
  <c r="I249" i="55" s="1"/>
  <c r="DD249" i="55" s="1"/>
  <c r="CO249" i="55"/>
  <c r="CP249" i="55" s="1"/>
  <c r="Y249" i="55" s="1"/>
  <c r="DB249" i="55"/>
  <c r="BP249" i="55"/>
  <c r="BO249" i="55"/>
  <c r="JH233" i="55"/>
  <c r="JI233" i="55" s="1"/>
  <c r="GA233" i="55"/>
  <c r="BY233" i="55" s="1"/>
  <c r="CQ233" i="55"/>
  <c r="DI233" i="55"/>
  <c r="H233" i="55" s="1"/>
  <c r="DJ233" i="55" s="1"/>
  <c r="FF233" i="55"/>
  <c r="BT233" i="55"/>
  <c r="CC233" i="55"/>
  <c r="CA233" i="55"/>
  <c r="DB233" i="55"/>
  <c r="DC233" i="55"/>
  <c r="I233" i="55" s="1"/>
  <c r="DD233" i="55" s="1"/>
  <c r="DN233" i="55"/>
  <c r="BP233" i="55"/>
  <c r="CO233" i="55"/>
  <c r="CP233" i="55" s="1"/>
  <c r="Y233" i="55" s="1"/>
  <c r="BO233" i="55"/>
  <c r="JH217" i="55"/>
  <c r="JI217" i="55" s="1"/>
  <c r="GA217" i="55"/>
  <c r="FF217" i="55"/>
  <c r="DN217" i="55"/>
  <c r="DI217" i="55"/>
  <c r="H217" i="55" s="1"/>
  <c r="DJ217" i="55" s="1"/>
  <c r="CQ217" i="55"/>
  <c r="DB217" i="55"/>
  <c r="DC217" i="55"/>
  <c r="I217" i="55" s="1"/>
  <c r="DD217" i="55" s="1"/>
  <c r="CD217" i="55"/>
  <c r="BP217" i="55"/>
  <c r="BY217" i="55"/>
  <c r="CO217" i="55"/>
  <c r="CP217" i="55" s="1"/>
  <c r="Y217" i="55" s="1"/>
  <c r="CA217" i="55"/>
  <c r="JH201" i="55"/>
  <c r="JI201" i="55" s="1"/>
  <c r="GA201" i="55"/>
  <c r="BY201" i="55" s="1"/>
  <c r="DC201" i="55"/>
  <c r="I201" i="55" s="1"/>
  <c r="DD201" i="55" s="1"/>
  <c r="FF201" i="55"/>
  <c r="CQ201" i="55"/>
  <c r="CD201" i="55"/>
  <c r="DI201" i="55"/>
  <c r="H201" i="55" s="1"/>
  <c r="DJ201" i="55" s="1"/>
  <c r="DN201" i="55"/>
  <c r="CO201" i="55"/>
  <c r="CP201" i="55" s="1"/>
  <c r="Y201" i="55" s="1"/>
  <c r="CA201" i="55"/>
  <c r="CC201" i="55"/>
  <c r="BT201" i="55"/>
  <c r="JH185" i="55"/>
  <c r="JI185" i="55" s="1"/>
  <c r="GA185" i="55"/>
  <c r="BY185" i="55" s="1"/>
  <c r="FF185" i="55"/>
  <c r="CQ185" i="55"/>
  <c r="DC185" i="55"/>
  <c r="I185" i="55" s="1"/>
  <c r="DD185" i="55" s="1"/>
  <c r="CA185" i="55"/>
  <c r="CD185" i="55"/>
  <c r="DI185" i="55"/>
  <c r="H185" i="55" s="1"/>
  <c r="DJ185" i="55" s="1"/>
  <c r="DB185" i="55"/>
  <c r="DN185" i="55"/>
  <c r="BP185" i="55"/>
  <c r="BO185" i="55"/>
  <c r="CC185" i="55"/>
  <c r="BT185" i="55"/>
  <c r="JH169" i="55"/>
  <c r="JI169" i="55" s="1"/>
  <c r="GA169" i="55"/>
  <c r="BY169" i="55" s="1"/>
  <c r="CQ169" i="55"/>
  <c r="DI169" i="55"/>
  <c r="H169" i="55" s="1"/>
  <c r="DJ169" i="55" s="1"/>
  <c r="DN169" i="55"/>
  <c r="CO169" i="55"/>
  <c r="CP169" i="55" s="1"/>
  <c r="Y169" i="55" s="1"/>
  <c r="DC169" i="55"/>
  <c r="I169" i="55" s="1"/>
  <c r="DD169" i="55" s="1"/>
  <c r="P169" i="55"/>
  <c r="FA169" i="55" s="1"/>
  <c r="FF169" i="55"/>
  <c r="CD169" i="55"/>
  <c r="CA169" i="55"/>
  <c r="JH153" i="55"/>
  <c r="JI153" i="55" s="1"/>
  <c r="GA153" i="55"/>
  <c r="DN153" i="55"/>
  <c r="DI153" i="55"/>
  <c r="H153" i="55" s="1"/>
  <c r="DJ153" i="55" s="1"/>
  <c r="CQ153" i="55"/>
  <c r="DB153" i="55"/>
  <c r="DC153" i="55"/>
  <c r="I153" i="55" s="1"/>
  <c r="DD153" i="55" s="1"/>
  <c r="CD153" i="55"/>
  <c r="BP153" i="55"/>
  <c r="CC153" i="55"/>
  <c r="BY153" i="55"/>
  <c r="BT153" i="55"/>
  <c r="CO153" i="55"/>
  <c r="CP153" i="55" s="1"/>
  <c r="Y153" i="55" s="1"/>
  <c r="JH137" i="55"/>
  <c r="JI137" i="55" s="1"/>
  <c r="GA137" i="55"/>
  <c r="DC137" i="55"/>
  <c r="I137" i="55" s="1"/>
  <c r="DD137" i="55" s="1"/>
  <c r="CQ137" i="55"/>
  <c r="DN137" i="55"/>
  <c r="DI137" i="55"/>
  <c r="H137" i="55" s="1"/>
  <c r="DJ137" i="55" s="1"/>
  <c r="DB137" i="55"/>
  <c r="CD137" i="55"/>
  <c r="BP137" i="55"/>
  <c r="BY137" i="55"/>
  <c r="CC137" i="55"/>
  <c r="BO137" i="55"/>
  <c r="CO137" i="55"/>
  <c r="CP137" i="55" s="1"/>
  <c r="Y137" i="55" s="1"/>
  <c r="JH121" i="55"/>
  <c r="JI121" i="55" s="1"/>
  <c r="GA121" i="55"/>
  <c r="BY121" i="55" s="1"/>
  <c r="DB121" i="55"/>
  <c r="CQ121" i="55"/>
  <c r="DI121" i="55"/>
  <c r="H121" i="55" s="1"/>
  <c r="DJ121" i="55" s="1"/>
  <c r="CA121" i="55"/>
  <c r="BT121" i="55"/>
  <c r="CC121" i="55"/>
  <c r="DN121" i="55"/>
  <c r="CO121" i="55"/>
  <c r="CP121" i="55" s="1"/>
  <c r="Y121" i="55" s="1"/>
  <c r="CD121" i="55"/>
  <c r="DC121" i="55"/>
  <c r="I121" i="55" s="1"/>
  <c r="DD121" i="55" s="1"/>
  <c r="BO121" i="55"/>
  <c r="BQ121" i="55" s="1"/>
  <c r="JH105" i="55"/>
  <c r="JI105" i="55" s="1"/>
  <c r="GA105" i="55"/>
  <c r="BY105" i="55" s="1"/>
  <c r="CQ105" i="55"/>
  <c r="DN105" i="55"/>
  <c r="DC105" i="55"/>
  <c r="I105" i="55" s="1"/>
  <c r="DD105" i="55" s="1"/>
  <c r="CO105" i="55"/>
  <c r="CP105" i="55" s="1"/>
  <c r="Y105" i="55" s="1"/>
  <c r="BP105" i="55"/>
  <c r="BQ105" i="55" s="1"/>
  <c r="BT105" i="55"/>
  <c r="P105" i="55"/>
  <c r="DB105" i="55"/>
  <c r="CA105" i="55"/>
  <c r="JH89" i="55"/>
  <c r="JI89" i="55" s="1"/>
  <c r="GA89" i="55"/>
  <c r="BY89" i="55" s="1"/>
  <c r="DN89" i="55"/>
  <c r="DI89" i="55"/>
  <c r="H89" i="55" s="1"/>
  <c r="DJ89" i="55" s="1"/>
  <c r="CQ89" i="55"/>
  <c r="CA89" i="55"/>
  <c r="DC89" i="55"/>
  <c r="I89" i="55" s="1"/>
  <c r="DD89" i="55" s="1"/>
  <c r="DB89" i="55"/>
  <c r="CD89" i="55"/>
  <c r="BP89" i="55"/>
  <c r="CO89" i="55"/>
  <c r="CP89" i="55" s="1"/>
  <c r="Y89" i="55" s="1"/>
  <c r="CC89" i="55"/>
  <c r="BO89" i="55"/>
  <c r="GA73" i="55"/>
  <c r="BY73" i="55" s="1"/>
  <c r="JH73" i="55"/>
  <c r="JI73" i="55" s="1"/>
  <c r="DC73" i="55"/>
  <c r="I73" i="55" s="1"/>
  <c r="DD73" i="55" s="1"/>
  <c r="CQ73" i="55"/>
  <c r="CD73" i="55"/>
  <c r="CO73" i="55"/>
  <c r="CP73" i="55" s="1"/>
  <c r="Y73" i="55" s="1"/>
  <c r="DI73" i="55"/>
  <c r="H73" i="55" s="1"/>
  <c r="DJ73" i="55" s="1"/>
  <c r="CC73" i="55"/>
  <c r="CA73" i="55"/>
  <c r="DN73" i="55"/>
  <c r="BO73" i="55"/>
  <c r="BT73" i="55"/>
  <c r="P73" i="55"/>
  <c r="BP73" i="55"/>
  <c r="JH57" i="55"/>
  <c r="JI57" i="55" s="1"/>
  <c r="GA57" i="55"/>
  <c r="BY57" i="55" s="1"/>
  <c r="CQ57" i="55"/>
  <c r="CA57" i="55"/>
  <c r="DI57" i="55"/>
  <c r="H57" i="55" s="1"/>
  <c r="DJ57" i="55" s="1"/>
  <c r="DN57" i="55"/>
  <c r="DC57" i="55"/>
  <c r="I57" i="55" s="1"/>
  <c r="DD57" i="55" s="1"/>
  <c r="BP57" i="55"/>
  <c r="DB57" i="55"/>
  <c r="BT57" i="55"/>
  <c r="CD57" i="55"/>
  <c r="BO57" i="55"/>
  <c r="JH41" i="55"/>
  <c r="JI41" i="55" s="1"/>
  <c r="GA41" i="55"/>
  <c r="FF41" i="55"/>
  <c r="CQ41" i="55"/>
  <c r="DC41" i="55"/>
  <c r="I41" i="55" s="1"/>
  <c r="DD41" i="55" s="1"/>
  <c r="CO41" i="55"/>
  <c r="CP41" i="55" s="1"/>
  <c r="Y41" i="55" s="1"/>
  <c r="DN41" i="55"/>
  <c r="DB41" i="55"/>
  <c r="CD41" i="55"/>
  <c r="BO41" i="55"/>
  <c r="BY41" i="55"/>
  <c r="BT41" i="55"/>
  <c r="DI41" i="55"/>
  <c r="H41" i="55" s="1"/>
  <c r="DJ41" i="55" s="1"/>
  <c r="CA41" i="55"/>
  <c r="BP41" i="55"/>
  <c r="JH25" i="55"/>
  <c r="JI25" i="55" s="1"/>
  <c r="GA25" i="55"/>
  <c r="BY25" i="55" s="1"/>
  <c r="AN25" i="55" s="1"/>
  <c r="BZ25" i="55" s="1"/>
  <c r="GI25" i="55"/>
  <c r="DN25" i="55"/>
  <c r="DI25" i="55"/>
  <c r="H25" i="55" s="1"/>
  <c r="DJ25" i="55" s="1"/>
  <c r="CQ25" i="55"/>
  <c r="DB25" i="55"/>
  <c r="CO25" i="55"/>
  <c r="CP25" i="55" s="1"/>
  <c r="Y25" i="55" s="1"/>
  <c r="FF25" i="55"/>
  <c r="AB25" i="55" s="1"/>
  <c r="BP25" i="55"/>
  <c r="BT25" i="55"/>
  <c r="AA25" i="55" s="1"/>
  <c r="BU25" i="55" s="1"/>
  <c r="BV25" i="55" s="1"/>
  <c r="DC25" i="55"/>
  <c r="I25" i="55" s="1"/>
  <c r="DD25" i="55" s="1"/>
  <c r="CC25" i="55"/>
  <c r="BO25" i="55"/>
  <c r="JH9" i="55"/>
  <c r="JI9" i="55" s="1"/>
  <c r="GA9" i="55"/>
  <c r="BY9" i="55" s="1"/>
  <c r="DC9" i="55"/>
  <c r="I9" i="55" s="1"/>
  <c r="DD9" i="55" s="1"/>
  <c r="CQ9" i="55"/>
  <c r="DI9" i="55"/>
  <c r="H9" i="55" s="1"/>
  <c r="DJ9" i="55" s="1"/>
  <c r="DB9" i="55"/>
  <c r="CD9" i="55"/>
  <c r="DN9" i="55"/>
  <c r="CC9" i="55"/>
  <c r="BT9" i="55"/>
  <c r="BP9" i="55"/>
  <c r="CO9" i="55"/>
  <c r="CP9" i="55" s="1"/>
  <c r="Y9" i="55" s="1"/>
  <c r="BO9" i="55"/>
  <c r="CA9" i="55"/>
  <c r="BE263" i="55"/>
  <c r="P263" i="55" s="1"/>
  <c r="FA263" i="55" s="1"/>
  <c r="BF263" i="55"/>
  <c r="BG263" i="55" s="1"/>
  <c r="BI263" i="55" s="1" a="1"/>
  <c r="BI263" i="55" s="1"/>
  <c r="C263" i="55" s="1"/>
  <c r="BJ263" i="55" s="1"/>
  <c r="BE199" i="55"/>
  <c r="P199" i="55" s="1"/>
  <c r="BF199" i="55"/>
  <c r="BG199" i="55" s="1"/>
  <c r="BI199" i="55" s="1" a="1"/>
  <c r="BI199" i="55" s="1"/>
  <c r="C199" i="55" s="1"/>
  <c r="BJ199" i="55" s="1"/>
  <c r="BF135" i="55"/>
  <c r="BG135" i="55" s="1"/>
  <c r="BI135" i="55" s="1" a="1"/>
  <c r="BI135" i="55" s="1"/>
  <c r="BE135" i="55"/>
  <c r="P135" i="55" s="1"/>
  <c r="FB135" i="55" s="1"/>
  <c r="BE102" i="55"/>
  <c r="BI102" i="55" s="1" a="1"/>
  <c r="BI102" i="55" s="1"/>
  <c r="BF43" i="55"/>
  <c r="BG43" i="55" s="1"/>
  <c r="BI43" i="55" s="1" a="1"/>
  <c r="BI43" i="55" s="1"/>
  <c r="C43" i="55" s="1"/>
  <c r="BJ43" i="55" s="1"/>
  <c r="FG348" i="55"/>
  <c r="BW348" i="55"/>
  <c r="BS348" i="55"/>
  <c r="GL348" i="55" s="1"/>
  <c r="BI348" i="55" a="1"/>
  <c r="BI348" i="55" s="1"/>
  <c r="BQ348" i="55"/>
  <c r="FG332" i="55"/>
  <c r="BW332" i="55"/>
  <c r="BS332" i="55"/>
  <c r="GL332" i="55" s="1"/>
  <c r="FG316" i="55"/>
  <c r="BW316" i="55"/>
  <c r="BS316" i="55"/>
  <c r="GL316" i="55" s="1"/>
  <c r="BS300" i="55"/>
  <c r="BQ300" i="55"/>
  <c r="FG300" i="55"/>
  <c r="BW300" i="55"/>
  <c r="BI236" i="55" a="1"/>
  <c r="BI236" i="55" s="1"/>
  <c r="C236" i="55" s="1"/>
  <c r="BJ236" i="55" s="1"/>
  <c r="BI204" i="55" a="1"/>
  <c r="BI204" i="55" s="1"/>
  <c r="C204" i="55" s="1"/>
  <c r="BJ204" i="55" s="1"/>
  <c r="BI28" i="55" a="1"/>
  <c r="BI28" i="55" s="1"/>
  <c r="C28" i="55" s="1"/>
  <c r="BJ28" i="55" s="1"/>
  <c r="BI205" i="55" a="1"/>
  <c r="BI205" i="55" s="1"/>
  <c r="C205" i="55" s="1"/>
  <c r="BJ205" i="55" s="1"/>
  <c r="BI123" i="55" a="1"/>
  <c r="BI123" i="55" s="1"/>
  <c r="BI61" i="55" a="1"/>
  <c r="BI61" i="55" s="1"/>
  <c r="BN344" i="55"/>
  <c r="S344" i="55" s="1"/>
  <c r="BN296" i="55"/>
  <c r="S296" i="55" s="1"/>
  <c r="BN168" i="55"/>
  <c r="S168" i="55" s="1"/>
  <c r="S136" i="55"/>
  <c r="BN120" i="55"/>
  <c r="S120" i="55" s="1"/>
  <c r="BN72" i="55"/>
  <c r="BO11" i="55"/>
  <c r="BP315" i="55"/>
  <c r="BP221" i="55"/>
  <c r="GG124" i="55"/>
  <c r="GD124" i="55"/>
  <c r="BP75" i="55"/>
  <c r="GG28" i="55"/>
  <c r="GD28" i="55"/>
  <c r="BT221" i="55"/>
  <c r="BT139" i="55"/>
  <c r="HX224" i="55"/>
  <c r="HY224" i="55"/>
  <c r="FC224" i="55"/>
  <c r="FD224" i="55" s="1"/>
  <c r="HS224" i="55" s="1"/>
  <c r="HU224" i="55" s="1"/>
  <c r="HX159" i="55"/>
  <c r="HY159" i="55"/>
  <c r="EL159" i="55"/>
  <c r="HX85" i="55"/>
  <c r="HY85" i="55"/>
  <c r="EL85" i="55"/>
  <c r="HY49" i="55"/>
  <c r="EL49" i="55"/>
  <c r="HX49" i="55"/>
  <c r="BW111" i="55"/>
  <c r="CA283" i="55"/>
  <c r="CA109" i="55"/>
  <c r="EB341" i="55"/>
  <c r="DZ341" i="55"/>
  <c r="DZ325" i="55"/>
  <c r="EB325" i="55"/>
  <c r="EB309" i="55"/>
  <c r="DZ309" i="55"/>
  <c r="DZ293" i="55"/>
  <c r="EB293" i="55"/>
  <c r="EB277" i="55"/>
  <c r="DZ277" i="55"/>
  <c r="EB261" i="55"/>
  <c r="DZ261" i="55"/>
  <c r="DZ245" i="55"/>
  <c r="EB245" i="55"/>
  <c r="DZ229" i="55"/>
  <c r="EB229" i="55"/>
  <c r="EB213" i="55"/>
  <c r="DZ213" i="55"/>
  <c r="EB197" i="55"/>
  <c r="DZ197" i="55"/>
  <c r="EB181" i="55"/>
  <c r="DZ181" i="55"/>
  <c r="DZ165" i="55"/>
  <c r="EB165" i="55"/>
  <c r="EB149" i="55"/>
  <c r="DZ149" i="55"/>
  <c r="DZ133" i="55"/>
  <c r="EB133" i="55"/>
  <c r="EB117" i="55"/>
  <c r="GS117" i="55" s="1"/>
  <c r="DZ117" i="55"/>
  <c r="DZ101" i="55"/>
  <c r="EB101" i="55"/>
  <c r="EB85" i="55"/>
  <c r="DZ85" i="55"/>
  <c r="EB69" i="55"/>
  <c r="DZ69" i="55"/>
  <c r="EB53" i="55"/>
  <c r="DZ53" i="55"/>
  <c r="CC8" i="55"/>
  <c r="FY287" i="55"/>
  <c r="FX287" i="55" a="1"/>
  <c r="FX287" i="55" s="1"/>
  <c r="CD25" i="55"/>
  <c r="CK279" i="55"/>
  <c r="CK215" i="55"/>
  <c r="CK87" i="55"/>
  <c r="CO329" i="55"/>
  <c r="CP329" i="55" s="1"/>
  <c r="Y329" i="55" s="1"/>
  <c r="CO125" i="55"/>
  <c r="CP125" i="55" s="1"/>
  <c r="Y125" i="55" s="1"/>
  <c r="HY55" i="55"/>
  <c r="HX55" i="55"/>
  <c r="EL55" i="55"/>
  <c r="EJ330" i="55"/>
  <c r="DL330" i="55"/>
  <c r="GN330" i="55"/>
  <c r="GN298" i="55"/>
  <c r="EJ298" i="55"/>
  <c r="DZ298" i="55"/>
  <c r="EJ266" i="55"/>
  <c r="GN266" i="55"/>
  <c r="GN234" i="55"/>
  <c r="EJ234" i="55"/>
  <c r="DL234" i="55"/>
  <c r="EJ202" i="55"/>
  <c r="GN202" i="55"/>
  <c r="EJ154" i="55"/>
  <c r="GN154" i="55"/>
  <c r="DL154" i="55"/>
  <c r="GN122" i="55"/>
  <c r="EJ122" i="55"/>
  <c r="EJ90" i="55"/>
  <c r="GN90" i="55"/>
  <c r="GN58" i="55"/>
  <c r="EJ58" i="55"/>
  <c r="DZ58" i="55"/>
  <c r="FX113" i="55" a="1"/>
  <c r="FX113" i="55" s="1"/>
  <c r="FY113" i="55"/>
  <c r="IB311" i="55"/>
  <c r="U311" i="55" s="1"/>
  <c r="HZ311" i="55"/>
  <c r="IA311" i="55"/>
  <c r="HW311" i="55"/>
  <c r="CM311" i="55"/>
  <c r="CN311" i="55"/>
  <c r="CG312" i="55"/>
  <c r="CK311" i="55"/>
  <c r="CL311" i="55"/>
  <c r="CJ311" i="55"/>
  <c r="IB247" i="55"/>
  <c r="U247" i="55" s="1"/>
  <c r="HW247" i="55"/>
  <c r="IA247" i="55"/>
  <c r="HZ247" i="55"/>
  <c r="CM247" i="55"/>
  <c r="CN247" i="55"/>
  <c r="CG248" i="55"/>
  <c r="CK247" i="55"/>
  <c r="CL247" i="55"/>
  <c r="CJ247" i="55"/>
  <c r="IB183" i="55"/>
  <c r="U183" i="55" s="1"/>
  <c r="HW183" i="55"/>
  <c r="HZ183" i="55"/>
  <c r="IA183" i="55"/>
  <c r="CM183" i="55"/>
  <c r="CN183" i="55"/>
  <c r="CG184" i="55"/>
  <c r="CK183" i="55"/>
  <c r="CL183" i="55"/>
  <c r="DL183" i="55" s="1"/>
  <c r="IB119" i="55"/>
  <c r="U119" i="55" s="1"/>
  <c r="HW119" i="55"/>
  <c r="HZ119" i="55"/>
  <c r="IA119" i="55"/>
  <c r="CM119" i="55"/>
  <c r="CN119" i="55"/>
  <c r="CG120" i="55"/>
  <c r="CK119" i="55"/>
  <c r="CJ119" i="55"/>
  <c r="CL119" i="55"/>
  <c r="IA71" i="55"/>
  <c r="IB71" i="55"/>
  <c r="U71" i="55" s="1"/>
  <c r="HZ71" i="55"/>
  <c r="HW71" i="55"/>
  <c r="CM71" i="55"/>
  <c r="CN71" i="55"/>
  <c r="CG72" i="55"/>
  <c r="CJ71" i="55"/>
  <c r="CK71" i="55"/>
  <c r="IB23" i="55"/>
  <c r="HW23" i="55"/>
  <c r="HZ23" i="55"/>
  <c r="CM23" i="55"/>
  <c r="CN23" i="55"/>
  <c r="IA23" i="55"/>
  <c r="CJ23" i="55"/>
  <c r="CG24" i="55"/>
  <c r="CK23" i="55"/>
  <c r="CL23" i="55"/>
  <c r="DL23" i="55" s="1"/>
  <c r="CG104" i="55"/>
  <c r="FA104" i="55"/>
  <c r="T17" i="55"/>
  <c r="GO329" i="55"/>
  <c r="IK329" i="55"/>
  <c r="IK265" i="55"/>
  <c r="GO265" i="55"/>
  <c r="IK201" i="55"/>
  <c r="GO201" i="55"/>
  <c r="IK137" i="55"/>
  <c r="GO137" i="55"/>
  <c r="IK82" i="55"/>
  <c r="GO82" i="55"/>
  <c r="GG300" i="55"/>
  <c r="GD300" i="55"/>
  <c r="FA348" i="55"/>
  <c r="FB348" i="55"/>
  <c r="FA202" i="55"/>
  <c r="FB202" i="55"/>
  <c r="FA161" i="55"/>
  <c r="FB161" i="55"/>
  <c r="IK336" i="55"/>
  <c r="GO336" i="55"/>
  <c r="IK299" i="55"/>
  <c r="GO299" i="55"/>
  <c r="IK290" i="55"/>
  <c r="GO290" i="55"/>
  <c r="IK272" i="55"/>
  <c r="GO272" i="55"/>
  <c r="IK235" i="55"/>
  <c r="GO235" i="55"/>
  <c r="IK226" i="55"/>
  <c r="GO226" i="55"/>
  <c r="IK208" i="55"/>
  <c r="GO208" i="55"/>
  <c r="IK171" i="55"/>
  <c r="GO171" i="55"/>
  <c r="IK162" i="55"/>
  <c r="GO162" i="55"/>
  <c r="IK144" i="55"/>
  <c r="GO144" i="55"/>
  <c r="IK107" i="55"/>
  <c r="GO107" i="55"/>
  <c r="IK98" i="55"/>
  <c r="GO98" i="55"/>
  <c r="IK80" i="55"/>
  <c r="GO80" i="55"/>
  <c r="IK43" i="55"/>
  <c r="GO43" i="55"/>
  <c r="IK34" i="55"/>
  <c r="GO34" i="55"/>
  <c r="IK16" i="55"/>
  <c r="GO16" i="55"/>
  <c r="JH344" i="55"/>
  <c r="JI344" i="55" s="1"/>
  <c r="GA344" i="55"/>
  <c r="BY344" i="55" s="1"/>
  <c r="DI344" i="55"/>
  <c r="H344" i="55" s="1"/>
  <c r="DJ344" i="55" s="1"/>
  <c r="DC344" i="55"/>
  <c r="I344" i="55" s="1"/>
  <c r="DD344" i="55" s="1"/>
  <c r="DN344" i="55"/>
  <c r="CQ344" i="55"/>
  <c r="DB344" i="55"/>
  <c r="CO344" i="55"/>
  <c r="CP344" i="55" s="1"/>
  <c r="Y344" i="55" s="1"/>
  <c r="FF344" i="55"/>
  <c r="CD344" i="55"/>
  <c r="CA344" i="55"/>
  <c r="BT344" i="55"/>
  <c r="BO344" i="55"/>
  <c r="BQ344" i="55" s="1"/>
  <c r="JH328" i="55"/>
  <c r="JI328" i="55" s="1"/>
  <c r="GA328" i="55"/>
  <c r="BY328" i="55" s="1"/>
  <c r="DI328" i="55"/>
  <c r="H328" i="55" s="1"/>
  <c r="DJ328" i="55" s="1"/>
  <c r="DC328" i="55"/>
  <c r="I328" i="55" s="1"/>
  <c r="DD328" i="55" s="1"/>
  <c r="CQ328" i="55"/>
  <c r="CD328" i="55"/>
  <c r="DB328" i="55"/>
  <c r="BP328" i="55"/>
  <c r="CC328" i="55"/>
  <c r="DN328" i="55"/>
  <c r="CO328" i="55"/>
  <c r="CP328" i="55" s="1"/>
  <c r="Y328" i="55" s="1"/>
  <c r="BT328" i="55"/>
  <c r="JH312" i="55"/>
  <c r="JI312" i="55" s="1"/>
  <c r="GA312" i="55"/>
  <c r="FF312" i="55"/>
  <c r="DI312" i="55"/>
  <c r="H312" i="55" s="1"/>
  <c r="DJ312" i="55" s="1"/>
  <c r="DC312" i="55"/>
  <c r="I312" i="55" s="1"/>
  <c r="DD312" i="55" s="1"/>
  <c r="CQ312" i="55"/>
  <c r="CO312" i="55"/>
  <c r="CP312" i="55" s="1"/>
  <c r="Y312" i="55" s="1"/>
  <c r="BT312" i="55"/>
  <c r="BY312" i="55"/>
  <c r="DN312" i="55"/>
  <c r="CC312" i="55"/>
  <c r="CD312" i="55"/>
  <c r="JH296" i="55"/>
  <c r="JI296" i="55" s="1"/>
  <c r="GA296" i="55"/>
  <c r="BY296" i="55" s="1"/>
  <c r="DI296" i="55"/>
  <c r="H296" i="55" s="1"/>
  <c r="DJ296" i="55" s="1"/>
  <c r="DC296" i="55"/>
  <c r="I296" i="55" s="1"/>
  <c r="DD296" i="55" s="1"/>
  <c r="CQ296" i="55"/>
  <c r="FF296" i="55"/>
  <c r="CC296" i="55"/>
  <c r="CA296" i="55"/>
  <c r="DB296" i="55"/>
  <c r="CD296" i="55"/>
  <c r="BO296" i="55"/>
  <c r="DN296" i="55"/>
  <c r="CO296" i="55"/>
  <c r="CP296" i="55" s="1"/>
  <c r="Y296" i="55" s="1"/>
  <c r="BP296" i="55"/>
  <c r="JH280" i="55"/>
  <c r="JI280" i="55" s="1"/>
  <c r="GA280" i="55"/>
  <c r="BY280" i="55" s="1"/>
  <c r="FF280" i="55"/>
  <c r="DI280" i="55"/>
  <c r="H280" i="55" s="1"/>
  <c r="DJ280" i="55" s="1"/>
  <c r="DC280" i="55"/>
  <c r="I280" i="55" s="1"/>
  <c r="DD280" i="55" s="1"/>
  <c r="DN280" i="55"/>
  <c r="CQ280" i="55"/>
  <c r="CO280" i="55"/>
  <c r="CP280" i="55" s="1"/>
  <c r="Y280" i="55" s="1"/>
  <c r="CD280" i="55"/>
  <c r="BP280" i="55"/>
  <c r="DB280" i="55"/>
  <c r="CC280" i="55"/>
  <c r="BT280" i="55"/>
  <c r="BO280" i="55"/>
  <c r="JH264" i="55"/>
  <c r="JI264" i="55" s="1"/>
  <c r="GA264" i="55"/>
  <c r="BY264" i="55" s="1"/>
  <c r="FF264" i="55"/>
  <c r="DI264" i="55"/>
  <c r="H264" i="55" s="1"/>
  <c r="DJ264" i="55" s="1"/>
  <c r="DC264" i="55"/>
  <c r="I264" i="55" s="1"/>
  <c r="DD264" i="55" s="1"/>
  <c r="CQ264" i="55"/>
  <c r="DB264" i="55"/>
  <c r="CD264" i="55"/>
  <c r="CO264" i="55"/>
  <c r="CP264" i="55" s="1"/>
  <c r="Y264" i="55" s="1"/>
  <c r="CA264" i="55"/>
  <c r="BP264" i="55"/>
  <c r="JH248" i="55"/>
  <c r="JI248" i="55" s="1"/>
  <c r="GA248" i="55"/>
  <c r="BY248" i="55" s="1"/>
  <c r="FF248" i="55"/>
  <c r="DI248" i="55"/>
  <c r="H248" i="55" s="1"/>
  <c r="DJ248" i="55" s="1"/>
  <c r="DC248" i="55"/>
  <c r="I248" i="55" s="1"/>
  <c r="DD248" i="55" s="1"/>
  <c r="CQ248" i="55"/>
  <c r="DN248" i="55"/>
  <c r="DB248" i="55"/>
  <c r="BO248" i="55"/>
  <c r="BQ248" i="55" s="1"/>
  <c r="CA248" i="55"/>
  <c r="CC248" i="55"/>
  <c r="JH232" i="55"/>
  <c r="JI232" i="55" s="1"/>
  <c r="GA232" i="55"/>
  <c r="BY232" i="55" s="1"/>
  <c r="FF232" i="55"/>
  <c r="DI232" i="55"/>
  <c r="H232" i="55" s="1"/>
  <c r="DJ232" i="55" s="1"/>
  <c r="DC232" i="55"/>
  <c r="I232" i="55" s="1"/>
  <c r="DD232" i="55" s="1"/>
  <c r="CQ232" i="55"/>
  <c r="CC232" i="55"/>
  <c r="CA232" i="55"/>
  <c r="DB232" i="55"/>
  <c r="CO232" i="55"/>
  <c r="CP232" i="55" s="1"/>
  <c r="Y232" i="55" s="1"/>
  <c r="BO232" i="55"/>
  <c r="BQ232" i="55" s="1"/>
  <c r="DN232" i="55"/>
  <c r="BT232" i="55"/>
  <c r="P232" i="55"/>
  <c r="FA232" i="55" s="1"/>
  <c r="JH216" i="55"/>
  <c r="JI216" i="55" s="1"/>
  <c r="GA216" i="55"/>
  <c r="BY216" i="55" s="1"/>
  <c r="FF216" i="55"/>
  <c r="DI216" i="55"/>
  <c r="H216" i="55" s="1"/>
  <c r="DJ216" i="55" s="1"/>
  <c r="DC216" i="55"/>
  <c r="I216" i="55" s="1"/>
  <c r="DD216" i="55" s="1"/>
  <c r="DN216" i="55"/>
  <c r="CQ216" i="55"/>
  <c r="CO216" i="55"/>
  <c r="CP216" i="55" s="1"/>
  <c r="Y216" i="55" s="1"/>
  <c r="DB216" i="55"/>
  <c r="CD216" i="55"/>
  <c r="CC216" i="55"/>
  <c r="CA216" i="55"/>
  <c r="BP216" i="55"/>
  <c r="JH200" i="55"/>
  <c r="JI200" i="55" s="1"/>
  <c r="GA200" i="55"/>
  <c r="FF200" i="55"/>
  <c r="DI200" i="55"/>
  <c r="H200" i="55" s="1"/>
  <c r="DJ200" i="55" s="1"/>
  <c r="DC200" i="55"/>
  <c r="I200" i="55" s="1"/>
  <c r="DD200" i="55" s="1"/>
  <c r="CQ200" i="55"/>
  <c r="DB200" i="55"/>
  <c r="CD200" i="55"/>
  <c r="CO200" i="55"/>
  <c r="CP200" i="55" s="1"/>
  <c r="Y200" i="55" s="1"/>
  <c r="CA200" i="55"/>
  <c r="DN200" i="55"/>
  <c r="BO200" i="55"/>
  <c r="BQ200" i="55" s="1"/>
  <c r="CC200" i="55"/>
  <c r="BT200" i="55"/>
  <c r="BY200" i="55"/>
  <c r="GA184" i="55"/>
  <c r="BY184" i="55" s="1"/>
  <c r="GI184" i="55"/>
  <c r="DI184" i="55"/>
  <c r="H184" i="55" s="1"/>
  <c r="DJ184" i="55" s="1"/>
  <c r="DC184" i="55"/>
  <c r="I184" i="55" s="1"/>
  <c r="DD184" i="55" s="1"/>
  <c r="CQ184" i="55"/>
  <c r="FF184" i="55"/>
  <c r="BT184" i="55"/>
  <c r="CD184" i="55"/>
  <c r="CC184" i="55"/>
  <c r="DN184" i="55"/>
  <c r="BP184" i="55"/>
  <c r="BO184" i="55"/>
  <c r="CO184" i="55"/>
  <c r="CP184" i="55" s="1"/>
  <c r="Y184" i="55" s="1"/>
  <c r="JH168" i="55"/>
  <c r="JI168" i="55" s="1"/>
  <c r="GA168" i="55"/>
  <c r="BY168" i="55" s="1"/>
  <c r="DI168" i="55"/>
  <c r="H168" i="55" s="1"/>
  <c r="DJ168" i="55" s="1"/>
  <c r="DC168" i="55"/>
  <c r="I168" i="55" s="1"/>
  <c r="DD168" i="55" s="1"/>
  <c r="CQ168" i="55"/>
  <c r="FF168" i="55"/>
  <c r="CC168" i="55"/>
  <c r="CA168" i="55"/>
  <c r="CO168" i="55"/>
  <c r="CP168" i="55" s="1"/>
  <c r="Y168" i="55" s="1"/>
  <c r="BO168" i="55"/>
  <c r="BQ168" i="55" s="1"/>
  <c r="DB168" i="55"/>
  <c r="BT168" i="55"/>
  <c r="CD168" i="55"/>
  <c r="JH152" i="55"/>
  <c r="JI152" i="55" s="1"/>
  <c r="GA152" i="55"/>
  <c r="BY152" i="55" s="1"/>
  <c r="DI152" i="55"/>
  <c r="H152" i="55" s="1"/>
  <c r="DJ152" i="55" s="1"/>
  <c r="DC152" i="55"/>
  <c r="I152" i="55" s="1"/>
  <c r="DD152" i="55" s="1"/>
  <c r="DN152" i="55"/>
  <c r="CQ152" i="55"/>
  <c r="CO152" i="55"/>
  <c r="CP152" i="55" s="1"/>
  <c r="Y152" i="55" s="1"/>
  <c r="CD152" i="55"/>
  <c r="BP152" i="55"/>
  <c r="DB152" i="55"/>
  <c r="CC152" i="55"/>
  <c r="BT152" i="55"/>
  <c r="P152" i="55"/>
  <c r="BO152" i="55"/>
  <c r="JH136" i="55"/>
  <c r="JI136" i="55" s="1"/>
  <c r="GA136" i="55"/>
  <c r="BY136" i="55" s="1"/>
  <c r="DI136" i="55"/>
  <c r="H136" i="55" s="1"/>
  <c r="DJ136" i="55" s="1"/>
  <c r="DC136" i="55"/>
  <c r="I136" i="55" s="1"/>
  <c r="DD136" i="55" s="1"/>
  <c r="CQ136" i="55"/>
  <c r="DN136" i="55"/>
  <c r="DB136" i="55"/>
  <c r="CD136" i="55"/>
  <c r="BT136" i="55"/>
  <c r="BP136" i="55"/>
  <c r="JH120" i="55"/>
  <c r="JI120" i="55" s="1"/>
  <c r="GA120" i="55"/>
  <c r="BY120" i="55" s="1"/>
  <c r="DI120" i="55"/>
  <c r="H120" i="55" s="1"/>
  <c r="DJ120" i="55" s="1"/>
  <c r="DC120" i="55"/>
  <c r="I120" i="55" s="1"/>
  <c r="DD120" i="55" s="1"/>
  <c r="CQ120" i="55"/>
  <c r="BT120" i="55"/>
  <c r="DB120" i="55"/>
  <c r="CA120" i="55"/>
  <c r="CO120" i="55"/>
  <c r="CP120" i="55" s="1"/>
  <c r="Y120" i="55" s="1"/>
  <c r="DN120" i="55"/>
  <c r="BO120" i="55"/>
  <c r="BQ120" i="55" s="1"/>
  <c r="CC120" i="55"/>
  <c r="JH104" i="55"/>
  <c r="JI104" i="55" s="1"/>
  <c r="GA104" i="55"/>
  <c r="BY104" i="55" s="1"/>
  <c r="DI104" i="55"/>
  <c r="H104" i="55" s="1"/>
  <c r="DJ104" i="55" s="1"/>
  <c r="DC104" i="55"/>
  <c r="I104" i="55" s="1"/>
  <c r="DD104" i="55" s="1"/>
  <c r="CQ104" i="55"/>
  <c r="DB104" i="55"/>
  <c r="DN104" i="55"/>
  <c r="CC104" i="55"/>
  <c r="CA104" i="55"/>
  <c r="CO104" i="55"/>
  <c r="CP104" i="55" s="1"/>
  <c r="Y104" i="55" s="1"/>
  <c r="CD104" i="55"/>
  <c r="BP104" i="55"/>
  <c r="GA88" i="55"/>
  <c r="BY88" i="55" s="1"/>
  <c r="GI88" i="55"/>
  <c r="FF88" i="55"/>
  <c r="DI88" i="55"/>
  <c r="H88" i="55" s="1"/>
  <c r="DJ88" i="55" s="1"/>
  <c r="DC88" i="55"/>
  <c r="I88" i="55" s="1"/>
  <c r="DD88" i="55" s="1"/>
  <c r="DN88" i="55"/>
  <c r="CQ88" i="55"/>
  <c r="CD88" i="55"/>
  <c r="CA88" i="55"/>
  <c r="CO88" i="55"/>
  <c r="CP88" i="55" s="1"/>
  <c r="Y88" i="55" s="1"/>
  <c r="BP88" i="55"/>
  <c r="JH72" i="55"/>
  <c r="JI72" i="55" s="1"/>
  <c r="GA72" i="55"/>
  <c r="BY72" i="55" s="1"/>
  <c r="DI72" i="55"/>
  <c r="H72" i="55" s="1"/>
  <c r="DJ72" i="55" s="1"/>
  <c r="DC72" i="55"/>
  <c r="I72" i="55" s="1"/>
  <c r="DD72" i="55" s="1"/>
  <c r="CQ72" i="55"/>
  <c r="CD72" i="55"/>
  <c r="CO72" i="55"/>
  <c r="CP72" i="55" s="1"/>
  <c r="Y72" i="55" s="1"/>
  <c r="DN72" i="55"/>
  <c r="BT72" i="55"/>
  <c r="DB72" i="55"/>
  <c r="BO72" i="55"/>
  <c r="CC72" i="55"/>
  <c r="JH56" i="55"/>
  <c r="JI56" i="55" s="1"/>
  <c r="GA56" i="55"/>
  <c r="BY56" i="55" s="1"/>
  <c r="DI56" i="55"/>
  <c r="H56" i="55" s="1"/>
  <c r="DJ56" i="55" s="1"/>
  <c r="DC56" i="55"/>
  <c r="I56" i="55" s="1"/>
  <c r="DD56" i="55" s="1"/>
  <c r="CQ56" i="55"/>
  <c r="DB56" i="55"/>
  <c r="CO56" i="55"/>
  <c r="CP56" i="55" s="1"/>
  <c r="Y56" i="55" s="1"/>
  <c r="BT56" i="55"/>
  <c r="DN56" i="55"/>
  <c r="CD56" i="55"/>
  <c r="CA56" i="55"/>
  <c r="CC56" i="55"/>
  <c r="BP56" i="55"/>
  <c r="BO56" i="55"/>
  <c r="JH40" i="55"/>
  <c r="JI40" i="55" s="1"/>
  <c r="GA40" i="55"/>
  <c r="BY40" i="55" s="1"/>
  <c r="FF40" i="55"/>
  <c r="DI40" i="55"/>
  <c r="H40" i="55" s="1"/>
  <c r="DJ40" i="55" s="1"/>
  <c r="DC40" i="55"/>
  <c r="I40" i="55" s="1"/>
  <c r="DD40" i="55" s="1"/>
  <c r="CQ40" i="55"/>
  <c r="DB40" i="55"/>
  <c r="CO40" i="55"/>
  <c r="CP40" i="55" s="1"/>
  <c r="Y40" i="55" s="1"/>
  <c r="CC40" i="55"/>
  <c r="CA40" i="55"/>
  <c r="CD40" i="55"/>
  <c r="BO40" i="55"/>
  <c r="DN40" i="55"/>
  <c r="P40" i="55"/>
  <c r="FA40" i="55" s="1"/>
  <c r="BP40" i="55"/>
  <c r="JH24" i="55"/>
  <c r="JI24" i="55" s="1"/>
  <c r="GA24" i="55"/>
  <c r="BY24" i="55" s="1"/>
  <c r="DI24" i="55"/>
  <c r="H24" i="55" s="1"/>
  <c r="DJ24" i="55" s="1"/>
  <c r="FF24" i="55"/>
  <c r="DC24" i="55"/>
  <c r="I24" i="55" s="1"/>
  <c r="DD24" i="55" s="1"/>
  <c r="DN24" i="55"/>
  <c r="CQ24" i="55"/>
  <c r="CO24" i="55"/>
  <c r="CP24" i="55" s="1"/>
  <c r="Y24" i="55" s="1"/>
  <c r="CD24" i="55"/>
  <c r="BP24" i="55"/>
  <c r="CA24" i="55"/>
  <c r="BT24" i="55"/>
  <c r="CC24" i="55"/>
  <c r="BO24" i="55"/>
  <c r="JH8" i="55"/>
  <c r="JI8" i="55" s="1"/>
  <c r="GA8" i="55"/>
  <c r="BY8" i="55" s="1"/>
  <c r="DI8" i="55"/>
  <c r="H8" i="55" s="1"/>
  <c r="DJ8" i="55" s="1"/>
  <c r="DC8" i="55"/>
  <c r="I8" i="55" s="1"/>
  <c r="DD8" i="55" s="1"/>
  <c r="CQ8" i="55"/>
  <c r="DB8" i="55"/>
  <c r="CD8" i="55"/>
  <c r="CO8" i="55"/>
  <c r="CP8" i="55" s="1"/>
  <c r="Y8" i="55" s="1"/>
  <c r="BP8" i="55"/>
  <c r="BO8" i="55"/>
  <c r="BF310" i="55"/>
  <c r="BG310" i="55" s="1"/>
  <c r="BI310" i="55" s="1" a="1"/>
  <c r="BI310" i="55" s="1"/>
  <c r="BE310" i="55"/>
  <c r="BE246" i="55"/>
  <c r="P246" i="55" s="1"/>
  <c r="BF246" i="55"/>
  <c r="BG246" i="55" s="1"/>
  <c r="BI246" i="55" s="1" a="1"/>
  <c r="BI246" i="55" s="1"/>
  <c r="C246" i="55" s="1"/>
  <c r="BJ246" i="55" s="1"/>
  <c r="FA177" i="55"/>
  <c r="FB177" i="55"/>
  <c r="BF150" i="55"/>
  <c r="BG150" i="55" s="1"/>
  <c r="BI150" i="55" s="1" a="1"/>
  <c r="BI150" i="55" s="1"/>
  <c r="BF70" i="55"/>
  <c r="BG70" i="55" s="1"/>
  <c r="BI70" i="55" s="1" a="1"/>
  <c r="BI70" i="55" s="1"/>
  <c r="BI221" i="55" a="1"/>
  <c r="BI221" i="55" s="1"/>
  <c r="BI143" i="55" a="1"/>
  <c r="BI143" i="55" s="1"/>
  <c r="GJ343" i="55"/>
  <c r="BN343" i="55"/>
  <c r="S343" i="55" s="1"/>
  <c r="GJ327" i="55"/>
  <c r="BN327" i="55"/>
  <c r="GJ311" i="55"/>
  <c r="BN311" i="55"/>
  <c r="S311" i="55" s="1"/>
  <c r="GJ295" i="55"/>
  <c r="BN295" i="55"/>
  <c r="S295" i="55" s="1"/>
  <c r="GJ279" i="55"/>
  <c r="BN279" i="55"/>
  <c r="S279" i="55" s="1"/>
  <c r="GJ263" i="55"/>
  <c r="BN263" i="55"/>
  <c r="GP263" i="55" s="1"/>
  <c r="S263" i="55"/>
  <c r="GJ247" i="55"/>
  <c r="BN247" i="55"/>
  <c r="S247" i="55" s="1"/>
  <c r="GJ231" i="55"/>
  <c r="GP231" i="55"/>
  <c r="BN231" i="55"/>
  <c r="S231" i="55" s="1"/>
  <c r="GJ215" i="55"/>
  <c r="BN215" i="55"/>
  <c r="S215" i="55" s="1"/>
  <c r="GJ199" i="55"/>
  <c r="BN199" i="55"/>
  <c r="GP199" i="55" s="1"/>
  <c r="GJ183" i="55"/>
  <c r="BN183" i="55"/>
  <c r="S183" i="55" s="1"/>
  <c r="GJ167" i="55"/>
  <c r="BN167" i="55"/>
  <c r="S167" i="55" s="1"/>
  <c r="GJ151" i="55"/>
  <c r="BN151" i="55"/>
  <c r="S151" i="55" s="1"/>
  <c r="GJ135" i="55"/>
  <c r="BN135" i="55"/>
  <c r="S135" i="55" s="1"/>
  <c r="GJ119" i="55"/>
  <c r="BN119" i="55"/>
  <c r="GJ103" i="55"/>
  <c r="BN103" i="55"/>
  <c r="S103" i="55" s="1"/>
  <c r="GJ87" i="55"/>
  <c r="BN87" i="55"/>
  <c r="S87" i="55" s="1"/>
  <c r="GP87" i="55"/>
  <c r="GJ71" i="55"/>
  <c r="BN71" i="55"/>
  <c r="S71" i="55" s="1"/>
  <c r="GJ55" i="55"/>
  <c r="BN55" i="55"/>
  <c r="S55" i="55" s="1"/>
  <c r="GQ39" i="55"/>
  <c r="GJ39" i="55"/>
  <c r="BN39" i="55"/>
  <c r="GP39" i="55" s="1"/>
  <c r="S39" i="55"/>
  <c r="GJ23" i="55"/>
  <c r="GP23" i="55"/>
  <c r="BN23" i="55"/>
  <c r="S23" i="55" s="1"/>
  <c r="GJ7" i="55"/>
  <c r="BN7" i="55"/>
  <c r="GP7" i="55" s="1"/>
  <c r="BO267" i="55"/>
  <c r="BQ267" i="55" s="1"/>
  <c r="BO136" i="55"/>
  <c r="BP349" i="55"/>
  <c r="BQ349" i="55" s="1"/>
  <c r="BP313" i="55"/>
  <c r="BP269" i="55"/>
  <c r="BQ269" i="55" s="1"/>
  <c r="GG220" i="55"/>
  <c r="GD220" i="55"/>
  <c r="BP169" i="55"/>
  <c r="BQ169" i="55" s="1"/>
  <c r="BP123" i="55"/>
  <c r="BP72" i="55"/>
  <c r="BP26" i="55"/>
  <c r="BQ268" i="55"/>
  <c r="BS111" i="55"/>
  <c r="GL111" i="55" s="1"/>
  <c r="BT137" i="55"/>
  <c r="BT45" i="55"/>
  <c r="HY257" i="55"/>
  <c r="HX257" i="55"/>
  <c r="EL257" i="55"/>
  <c r="HY81" i="55"/>
  <c r="HX81" i="55"/>
  <c r="EL81" i="55"/>
  <c r="BW191" i="55"/>
  <c r="EC350" i="55"/>
  <c r="EX350" i="55"/>
  <c r="EX334" i="55"/>
  <c r="EC334" i="55"/>
  <c r="EX318" i="55"/>
  <c r="EC318" i="55"/>
  <c r="EX302" i="55"/>
  <c r="EC302" i="55"/>
  <c r="EC286" i="55"/>
  <c r="EX286" i="55"/>
  <c r="EX270" i="55"/>
  <c r="EC270" i="55"/>
  <c r="EX254" i="55"/>
  <c r="EC254" i="55"/>
  <c r="EX238" i="55"/>
  <c r="EC238" i="55"/>
  <c r="EX222" i="55"/>
  <c r="EC222" i="55"/>
  <c r="EC206" i="55"/>
  <c r="EX206" i="55"/>
  <c r="EX190" i="55"/>
  <c r="EC190" i="55"/>
  <c r="EX174" i="55"/>
  <c r="EC174" i="55"/>
  <c r="EC158" i="55"/>
  <c r="EX158" i="55"/>
  <c r="EC142" i="55"/>
  <c r="EX142" i="55"/>
  <c r="EX126" i="55"/>
  <c r="EC126" i="55"/>
  <c r="EX110" i="55"/>
  <c r="EC110" i="55"/>
  <c r="EC94" i="55"/>
  <c r="EX94" i="55"/>
  <c r="EX78" i="55"/>
  <c r="EC78" i="55"/>
  <c r="EX62" i="55"/>
  <c r="EC62" i="55"/>
  <c r="EX45" i="55"/>
  <c r="EC45" i="55"/>
  <c r="EX29" i="55"/>
  <c r="EC29" i="55"/>
  <c r="CA281" i="55"/>
  <c r="EB35" i="55"/>
  <c r="DZ35" i="55"/>
  <c r="CD281" i="55"/>
  <c r="FY164" i="55"/>
  <c r="FX164" i="55" a="1"/>
  <c r="FX164" i="55" s="1"/>
  <c r="FY84" i="55"/>
  <c r="FX84" i="55" a="1"/>
  <c r="FX84" i="55" s="1"/>
  <c r="JW263" i="55"/>
  <c r="IC263" i="55"/>
  <c r="GB263" i="55"/>
  <c r="GC263" i="55" s="1"/>
  <c r="U263" i="55"/>
  <c r="DS263" i="55"/>
  <c r="CR263" i="55" a="1"/>
  <c r="CR263" i="55" s="1"/>
  <c r="JW175" i="55"/>
  <c r="IC175" i="55"/>
  <c r="GB175" i="55"/>
  <c r="GC175" i="55" s="1"/>
  <c r="DS175" i="55"/>
  <c r="CR175" i="55" a="1"/>
  <c r="CR175" i="55" s="1"/>
  <c r="FW175" i="55"/>
  <c r="JW91" i="55"/>
  <c r="GB91" i="55"/>
  <c r="GC91" i="55" s="1"/>
  <c r="DS91" i="55"/>
  <c r="FW91" i="55"/>
  <c r="CN154" i="55"/>
  <c r="DB201" i="55"/>
  <c r="DE191" i="55" a="1"/>
  <c r="DE191" i="55" s="1"/>
  <c r="DH191" i="55"/>
  <c r="DG191" i="55" a="1"/>
  <c r="DG191" i="55" s="1"/>
  <c r="DF191" i="55" a="1"/>
  <c r="DF191" i="55" s="1"/>
  <c r="GX28" i="55"/>
  <c r="GY28" i="55"/>
  <c r="JH340" i="55"/>
  <c r="JI340" i="55" s="1"/>
  <c r="FF340" i="55"/>
  <c r="BY340" i="55"/>
  <c r="CO340" i="55"/>
  <c r="CP340" i="55" s="1"/>
  <c r="Y340" i="55" s="1"/>
  <c r="CQ340" i="55"/>
  <c r="CC340" i="55"/>
  <c r="CA340" i="55"/>
  <c r="BT340" i="55"/>
  <c r="DB340" i="55"/>
  <c r="P340" i="55"/>
  <c r="DI340" i="55"/>
  <c r="H340" i="55" s="1"/>
  <c r="DJ340" i="55" s="1"/>
  <c r="DC340" i="55"/>
  <c r="I340" i="55" s="1"/>
  <c r="DD340" i="55" s="1"/>
  <c r="DN340" i="55"/>
  <c r="CD340" i="55"/>
  <c r="BO340" i="55"/>
  <c r="BQ340" i="55" s="1"/>
  <c r="JH324" i="55"/>
  <c r="JI324" i="55" s="1"/>
  <c r="GA324" i="55"/>
  <c r="BY324" i="55" s="1"/>
  <c r="DN324" i="55"/>
  <c r="DC324" i="55"/>
  <c r="I324" i="55" s="1"/>
  <c r="DD324" i="55" s="1"/>
  <c r="DB324" i="55"/>
  <c r="CO324" i="55"/>
  <c r="CP324" i="55" s="1"/>
  <c r="Y324" i="55" s="1"/>
  <c r="DI324" i="55"/>
  <c r="H324" i="55" s="1"/>
  <c r="DJ324" i="55" s="1"/>
  <c r="CD324" i="55"/>
  <c r="CQ324" i="55"/>
  <c r="BO324" i="55"/>
  <c r="BQ324" i="55" s="1"/>
  <c r="P324" i="55"/>
  <c r="BT324" i="55"/>
  <c r="JH308" i="55"/>
  <c r="JI308" i="55" s="1"/>
  <c r="FF308" i="55"/>
  <c r="DC308" i="55"/>
  <c r="I308" i="55" s="1"/>
  <c r="DD308" i="55" s="1"/>
  <c r="CR308" i="55" s="1" a="1"/>
  <c r="CR308" i="55" s="1"/>
  <c r="CS308" i="55" s="1"/>
  <c r="DN308" i="55"/>
  <c r="CQ308" i="55"/>
  <c r="CO308" i="55"/>
  <c r="CP308" i="55" s="1"/>
  <c r="Y308" i="55" s="1"/>
  <c r="GA308" i="55"/>
  <c r="BY308" i="55" s="1"/>
  <c r="CD308" i="55"/>
  <c r="DB308" i="55"/>
  <c r="DI308" i="55"/>
  <c r="H308" i="55" s="1"/>
  <c r="DJ308" i="55" s="1"/>
  <c r="BP308" i="55"/>
  <c r="JH292" i="55"/>
  <c r="JI292" i="55" s="1"/>
  <c r="FF292" i="55"/>
  <c r="GA292" i="55"/>
  <c r="BY292" i="55" s="1"/>
  <c r="CO292" i="55"/>
  <c r="CP292" i="55" s="1"/>
  <c r="Y292" i="55" s="1"/>
  <c r="DI292" i="55"/>
  <c r="H292" i="55" s="1"/>
  <c r="DJ292" i="55" s="1"/>
  <c r="CQ292" i="55"/>
  <c r="CA292" i="55"/>
  <c r="DN292" i="55"/>
  <c r="CD292" i="55"/>
  <c r="BO292" i="55"/>
  <c r="BQ292" i="55" s="1"/>
  <c r="CC292" i="55"/>
  <c r="JH276" i="55"/>
  <c r="JI276" i="55" s="1"/>
  <c r="FF276" i="55"/>
  <c r="GA276" i="55"/>
  <c r="BY276" i="55" s="1"/>
  <c r="DN276" i="55"/>
  <c r="CO276" i="55"/>
  <c r="CP276" i="55" s="1"/>
  <c r="Y276" i="55" s="1"/>
  <c r="CC276" i="55"/>
  <c r="DB276" i="55"/>
  <c r="CA276" i="55"/>
  <c r="DI276" i="55"/>
  <c r="H276" i="55" s="1"/>
  <c r="DJ276" i="55" s="1"/>
  <c r="BT276" i="55"/>
  <c r="DC276" i="55"/>
  <c r="I276" i="55" s="1"/>
  <c r="DD276" i="55" s="1"/>
  <c r="CR276" i="55" s="1" a="1"/>
  <c r="CR276" i="55" s="1"/>
  <c r="CS276" i="55" s="1"/>
  <c r="BO276" i="55"/>
  <c r="BQ276" i="55" s="1"/>
  <c r="JH260" i="55"/>
  <c r="JI260" i="55" s="1"/>
  <c r="FF260" i="55"/>
  <c r="GA260" i="55"/>
  <c r="BY260" i="55" s="1"/>
  <c r="DN260" i="55"/>
  <c r="DI260" i="55"/>
  <c r="H260" i="55" s="1"/>
  <c r="DJ260" i="55" s="1"/>
  <c r="CO260" i="55"/>
  <c r="CP260" i="55" s="1"/>
  <c r="Y260" i="55" s="1"/>
  <c r="CD260" i="55"/>
  <c r="DB260" i="55"/>
  <c r="CA260" i="55"/>
  <c r="BT260" i="55"/>
  <c r="DC260" i="55"/>
  <c r="I260" i="55" s="1"/>
  <c r="DD260" i="55" s="1"/>
  <c r="CQ260" i="55"/>
  <c r="BP260" i="55"/>
  <c r="JH244" i="55"/>
  <c r="JI244" i="55" s="1"/>
  <c r="FF244" i="55"/>
  <c r="GA244" i="55"/>
  <c r="BY244" i="55" s="1"/>
  <c r="DC244" i="55"/>
  <c r="I244" i="55" s="1"/>
  <c r="DD244" i="55" s="1"/>
  <c r="CQ244" i="55"/>
  <c r="CO244" i="55"/>
  <c r="CP244" i="55" s="1"/>
  <c r="Y244" i="55" s="1"/>
  <c r="DB244" i="55"/>
  <c r="CD244" i="55"/>
  <c r="BP244" i="55"/>
  <c r="DN244" i="55"/>
  <c r="DI244" i="55"/>
  <c r="H244" i="55" s="1"/>
  <c r="DJ244" i="55" s="1"/>
  <c r="CC244" i="55"/>
  <c r="BT244" i="55"/>
  <c r="JH228" i="55"/>
  <c r="JI228" i="55" s="1"/>
  <c r="FF228" i="55"/>
  <c r="GA228" i="55"/>
  <c r="BY228" i="55" s="1"/>
  <c r="CO228" i="55"/>
  <c r="CP228" i="55" s="1"/>
  <c r="Y228" i="55" s="1"/>
  <c r="CQ228" i="55"/>
  <c r="DB228" i="55"/>
  <c r="DN228" i="55"/>
  <c r="DI228" i="55"/>
  <c r="H228" i="55" s="1"/>
  <c r="DJ228" i="55" s="1"/>
  <c r="BT228" i="55"/>
  <c r="BP228" i="55"/>
  <c r="DC228" i="55"/>
  <c r="I228" i="55" s="1"/>
  <c r="DD228" i="55" s="1"/>
  <c r="BO228" i="55"/>
  <c r="CD228" i="55"/>
  <c r="JH212" i="55"/>
  <c r="JI212" i="55" s="1"/>
  <c r="FF212" i="55"/>
  <c r="GA212" i="55"/>
  <c r="BY212" i="55" s="1"/>
  <c r="DC212" i="55"/>
  <c r="I212" i="55" s="1"/>
  <c r="DD212" i="55" s="1"/>
  <c r="CO212" i="55"/>
  <c r="CP212" i="55" s="1"/>
  <c r="Y212" i="55" s="1"/>
  <c r="CC212" i="55"/>
  <c r="DI212" i="55"/>
  <c r="H212" i="55" s="1"/>
  <c r="DJ212" i="55" s="1"/>
  <c r="CA212" i="55"/>
  <c r="DB212" i="55"/>
  <c r="CQ212" i="55"/>
  <c r="CD212" i="55"/>
  <c r="DN212" i="55"/>
  <c r="BO212" i="55"/>
  <c r="BT212" i="55"/>
  <c r="BP212" i="55"/>
  <c r="JH196" i="55"/>
  <c r="JI196" i="55" s="1"/>
  <c r="FF196" i="55"/>
  <c r="GA196" i="55"/>
  <c r="BY196" i="55" s="1"/>
  <c r="DN196" i="55"/>
  <c r="CO196" i="55"/>
  <c r="CP196" i="55" s="1"/>
  <c r="Y196" i="55" s="1"/>
  <c r="CQ196" i="55"/>
  <c r="CD196" i="55"/>
  <c r="DC196" i="55"/>
  <c r="I196" i="55" s="1"/>
  <c r="DD196" i="55" s="1"/>
  <c r="DB196" i="55"/>
  <c r="BP196" i="55"/>
  <c r="P196" i="55"/>
  <c r="EL196" i="55" s="1"/>
  <c r="BT196" i="55"/>
  <c r="JH180" i="55"/>
  <c r="JI180" i="55" s="1"/>
  <c r="FF180" i="55"/>
  <c r="GA180" i="55"/>
  <c r="BY180" i="55" s="1"/>
  <c r="DC180" i="55"/>
  <c r="I180" i="55" s="1"/>
  <c r="DD180" i="55" s="1"/>
  <c r="CQ180" i="55"/>
  <c r="CO180" i="55"/>
  <c r="CP180" i="55" s="1"/>
  <c r="Y180" i="55" s="1"/>
  <c r="DI180" i="55"/>
  <c r="H180" i="55" s="1"/>
  <c r="DJ180" i="55" s="1"/>
  <c r="DB180" i="55"/>
  <c r="CD180" i="55"/>
  <c r="CC180" i="55"/>
  <c r="BP180" i="55"/>
  <c r="JH164" i="55"/>
  <c r="JI164" i="55" s="1"/>
  <c r="FF164" i="55"/>
  <c r="GA164" i="55"/>
  <c r="BY164" i="55" s="1"/>
  <c r="DN164" i="55"/>
  <c r="CO164" i="55"/>
  <c r="CP164" i="55" s="1"/>
  <c r="Y164" i="55" s="1"/>
  <c r="BT164" i="55"/>
  <c r="DB164" i="55"/>
  <c r="DI164" i="55"/>
  <c r="H164" i="55" s="1"/>
  <c r="DJ164" i="55" s="1"/>
  <c r="DC164" i="55"/>
  <c r="I164" i="55" s="1"/>
  <c r="DD164" i="55" s="1"/>
  <c r="CR164" i="55" s="1" a="1"/>
  <c r="CR164" i="55" s="1"/>
  <c r="CA164" i="55"/>
  <c r="CQ164" i="55"/>
  <c r="BP164" i="55"/>
  <c r="BO164" i="55"/>
  <c r="CC164" i="55"/>
  <c r="JH148" i="55"/>
  <c r="JI148" i="55" s="1"/>
  <c r="GA148" i="55"/>
  <c r="BY148" i="55" s="1"/>
  <c r="CO148" i="55"/>
  <c r="CP148" i="55" s="1"/>
  <c r="Y148" i="55" s="1"/>
  <c r="DI148" i="55"/>
  <c r="H148" i="55" s="1"/>
  <c r="DJ148" i="55" s="1"/>
  <c r="CC148" i="55"/>
  <c r="CA148" i="55"/>
  <c r="DC148" i="55"/>
  <c r="I148" i="55" s="1"/>
  <c r="DD148" i="55" s="1"/>
  <c r="CQ148" i="55"/>
  <c r="DN148" i="55"/>
  <c r="DB148" i="55"/>
  <c r="BT148" i="55"/>
  <c r="JH132" i="55"/>
  <c r="JI132" i="55" s="1"/>
  <c r="GA132" i="55"/>
  <c r="BY132" i="55" s="1"/>
  <c r="DN132" i="55"/>
  <c r="CO132" i="55"/>
  <c r="CP132" i="55" s="1"/>
  <c r="Y132" i="55" s="1"/>
  <c r="DI132" i="55"/>
  <c r="H132" i="55" s="1"/>
  <c r="DJ132" i="55" s="1"/>
  <c r="CD132" i="55"/>
  <c r="CQ132" i="55"/>
  <c r="DB132" i="55"/>
  <c r="CA132" i="55"/>
  <c r="BP132" i="55"/>
  <c r="DC132" i="55"/>
  <c r="I132" i="55" s="1"/>
  <c r="DD132" i="55" s="1"/>
  <c r="JH116" i="55"/>
  <c r="JI116" i="55" s="1"/>
  <c r="DC116" i="55"/>
  <c r="I116" i="55" s="1"/>
  <c r="DD116" i="55" s="1"/>
  <c r="BY116" i="55"/>
  <c r="CQ116" i="55"/>
  <c r="CO116" i="55"/>
  <c r="CP116" i="55" s="1"/>
  <c r="Y116" i="55" s="1"/>
  <c r="CD116" i="55"/>
  <c r="CA116" i="55"/>
  <c r="BP116" i="55"/>
  <c r="DI116" i="55"/>
  <c r="H116" i="55" s="1"/>
  <c r="DJ116" i="55" s="1"/>
  <c r="GA116" i="55"/>
  <c r="DB116" i="55"/>
  <c r="BO116" i="55"/>
  <c r="CC116" i="55"/>
  <c r="DN116" i="55"/>
  <c r="BT116" i="55"/>
  <c r="JH100" i="55"/>
  <c r="JI100" i="55" s="1"/>
  <c r="GA100" i="55"/>
  <c r="BY100" i="55"/>
  <c r="DC100" i="55"/>
  <c r="I100" i="55" s="1"/>
  <c r="DD100" i="55" s="1"/>
  <c r="BT100" i="55"/>
  <c r="DI100" i="55"/>
  <c r="H100" i="55" s="1"/>
  <c r="DJ100" i="55" s="1"/>
  <c r="DN100" i="55"/>
  <c r="CQ100" i="55"/>
  <c r="CD100" i="55"/>
  <c r="CC100" i="55"/>
  <c r="CO100" i="55"/>
  <c r="CP100" i="55" s="1"/>
  <c r="Y100" i="55" s="1"/>
  <c r="DB100" i="55"/>
  <c r="BO100" i="55"/>
  <c r="BQ100" i="55" s="1"/>
  <c r="JH84" i="55"/>
  <c r="JI84" i="55" s="1"/>
  <c r="DB84" i="55"/>
  <c r="GA84" i="55"/>
  <c r="BY84" i="55" s="1"/>
  <c r="CQ84" i="55"/>
  <c r="CO84" i="55"/>
  <c r="CP84" i="55" s="1"/>
  <c r="Y84" i="55" s="1"/>
  <c r="CC84" i="55"/>
  <c r="CA84" i="55"/>
  <c r="BP84" i="55"/>
  <c r="DC84" i="55"/>
  <c r="I84" i="55" s="1"/>
  <c r="DD84" i="55" s="1"/>
  <c r="P84" i="55"/>
  <c r="FA84" i="55" s="1"/>
  <c r="DN84" i="55"/>
  <c r="DI84" i="55"/>
  <c r="H84" i="55" s="1"/>
  <c r="DJ84" i="55" s="1"/>
  <c r="JH68" i="55"/>
  <c r="JI68" i="55" s="1"/>
  <c r="GA68" i="55"/>
  <c r="BY68" i="55" s="1"/>
  <c r="DN68" i="55"/>
  <c r="DC68" i="55"/>
  <c r="I68" i="55" s="1"/>
  <c r="DD68" i="55" s="1"/>
  <c r="IC68" i="55" s="1"/>
  <c r="DB68" i="55"/>
  <c r="CD68" i="55"/>
  <c r="CQ68" i="55"/>
  <c r="DI68" i="55"/>
  <c r="H68" i="55" s="1"/>
  <c r="DJ68" i="55" s="1"/>
  <c r="BT68" i="55"/>
  <c r="JH52" i="55"/>
  <c r="JI52" i="55" s="1"/>
  <c r="FF52" i="55"/>
  <c r="GA52" i="55"/>
  <c r="BY52" i="55" s="1"/>
  <c r="DC52" i="55"/>
  <c r="I52" i="55" s="1"/>
  <c r="DD52" i="55" s="1"/>
  <c r="DN52" i="55"/>
  <c r="CQ52" i="55"/>
  <c r="CD52" i="55"/>
  <c r="CO52" i="55"/>
  <c r="CP52" i="55" s="1"/>
  <c r="Y52" i="55" s="1"/>
  <c r="DI52" i="55"/>
  <c r="H52" i="55" s="1"/>
  <c r="DJ52" i="55" s="1"/>
  <c r="CA52" i="55"/>
  <c r="DB52" i="55"/>
  <c r="BO52" i="55"/>
  <c r="BQ52" i="55" s="1"/>
  <c r="JH36" i="55"/>
  <c r="JI36" i="55" s="1"/>
  <c r="FF36" i="55"/>
  <c r="GA36" i="55"/>
  <c r="BY36" i="55" s="1"/>
  <c r="DI36" i="55"/>
  <c r="H36" i="55" s="1"/>
  <c r="DJ36" i="55" s="1"/>
  <c r="BT36" i="55"/>
  <c r="CO36" i="55"/>
  <c r="CP36" i="55" s="1"/>
  <c r="Y36" i="55" s="1"/>
  <c r="DB36" i="55"/>
  <c r="CA36" i="55"/>
  <c r="CQ36" i="55"/>
  <c r="DC36" i="55"/>
  <c r="I36" i="55" s="1"/>
  <c r="DD36" i="55" s="1"/>
  <c r="BP36" i="55"/>
  <c r="CC36" i="55"/>
  <c r="JH20" i="55"/>
  <c r="JI20" i="55" s="1"/>
  <c r="FF20" i="55"/>
  <c r="DN20" i="55"/>
  <c r="CC20" i="55"/>
  <c r="GA20" i="55"/>
  <c r="BY20" i="55" s="1"/>
  <c r="DI20" i="55"/>
  <c r="H20" i="55" s="1"/>
  <c r="DJ20" i="55" s="1"/>
  <c r="CA20" i="55"/>
  <c r="CQ20" i="55"/>
  <c r="CO20" i="55"/>
  <c r="CP20" i="55" s="1"/>
  <c r="Y20" i="55" s="1"/>
  <c r="DB20" i="55"/>
  <c r="DC20" i="55"/>
  <c r="I20" i="55" s="1"/>
  <c r="DD20" i="55" s="1"/>
  <c r="CD20" i="55"/>
  <c r="FF4" i="55"/>
  <c r="GA4" i="55"/>
  <c r="GI4" i="55"/>
  <c r="DN4" i="55"/>
  <c r="DI4" i="55"/>
  <c r="H4" i="55" s="1"/>
  <c r="DJ4" i="55" s="1"/>
  <c r="CO4" i="55"/>
  <c r="CP4" i="55" s="1"/>
  <c r="Y4" i="55" s="1"/>
  <c r="BY4" i="55"/>
  <c r="AN4" i="55" s="1"/>
  <c r="BZ4" i="55" s="1"/>
  <c r="CA4" i="55" s="1"/>
  <c r="AO4" i="55" s="1"/>
  <c r="CB4" i="55" s="1"/>
  <c r="CD4" i="55"/>
  <c r="BO4" i="55"/>
  <c r="DC4" i="55"/>
  <c r="I4" i="55" s="1"/>
  <c r="DD4" i="55" s="1"/>
  <c r="CC4" i="55"/>
  <c r="BP4" i="55"/>
  <c r="T4" i="55" s="1"/>
  <c r="BE178" i="55"/>
  <c r="P178" i="55" s="1"/>
  <c r="BF178" i="55"/>
  <c r="BG178" i="55" s="1"/>
  <c r="BE289" i="55"/>
  <c r="P289" i="55" s="1"/>
  <c r="BF81" i="55"/>
  <c r="BG81" i="55" s="1"/>
  <c r="BI81" i="55" s="1" a="1"/>
  <c r="BI81" i="55" s="1"/>
  <c r="FG339" i="55"/>
  <c r="BQ339" i="55"/>
  <c r="BI339" i="55" a="1"/>
  <c r="BI339" i="55" s="1"/>
  <c r="FG323" i="55"/>
  <c r="BQ323" i="55"/>
  <c r="FG307" i="55"/>
  <c r="CE307" i="55" s="1" a="1"/>
  <c r="CE307" i="55" s="1"/>
  <c r="EK307" i="55" s="1"/>
  <c r="BS307" i="55"/>
  <c r="GL307" i="55" s="1"/>
  <c r="BI307" i="55" a="1"/>
  <c r="BI307" i="55" s="1"/>
  <c r="C307" i="55" s="1"/>
  <c r="BJ307" i="55" s="1"/>
  <c r="BW307" i="55"/>
  <c r="BQ307" i="55"/>
  <c r="FG291" i="55"/>
  <c r="BW291" i="55"/>
  <c r="FG275" i="55"/>
  <c r="BS275" i="55"/>
  <c r="GL275" i="55" s="1"/>
  <c r="BI275" i="55" a="1"/>
  <c r="BI275" i="55" s="1"/>
  <c r="C275" i="55" s="1"/>
  <c r="BJ275" i="55" s="1"/>
  <c r="FG259" i="55"/>
  <c r="CE259" i="55" s="1" a="1"/>
  <c r="CE259" i="55" s="1"/>
  <c r="EK259" i="55" s="1"/>
  <c r="BS259" i="55"/>
  <c r="GL259" i="55" s="1"/>
  <c r="BW259" i="55"/>
  <c r="FG243" i="55"/>
  <c r="CE243" i="55" s="1" a="1"/>
  <c r="CE243" i="55" s="1"/>
  <c r="EK243" i="55" s="1"/>
  <c r="BS243" i="55"/>
  <c r="GL243" i="55" s="1"/>
  <c r="FG227" i="55"/>
  <c r="BS227" i="55"/>
  <c r="GL227" i="55" s="1"/>
  <c r="BW227" i="55"/>
  <c r="FG211" i="55"/>
  <c r="BS211" i="55"/>
  <c r="GL211" i="55" s="1"/>
  <c r="BQ211" i="55"/>
  <c r="BW211" i="55"/>
  <c r="FG195" i="55"/>
  <c r="BS195" i="55"/>
  <c r="GL195" i="55" s="1"/>
  <c r="BQ195" i="55"/>
  <c r="FG179" i="55"/>
  <c r="BS179" i="55"/>
  <c r="GL179" i="55" s="1"/>
  <c r="BI179" i="55" a="1"/>
  <c r="BI179" i="55" s="1"/>
  <c r="BW179" i="55"/>
  <c r="FG163" i="55"/>
  <c r="BS163" i="55"/>
  <c r="GL163" i="55" s="1"/>
  <c r="BQ163" i="55"/>
  <c r="BI163" i="55" a="1"/>
  <c r="BI163" i="55" s="1"/>
  <c r="C163" i="55" s="1"/>
  <c r="BJ163" i="55" s="1"/>
  <c r="FG147" i="55"/>
  <c r="CE147" i="55" s="1" a="1"/>
  <c r="CE147" i="55" s="1"/>
  <c r="EK147" i="55" s="1"/>
  <c r="BS147" i="55"/>
  <c r="GL147" i="55" s="1"/>
  <c r="BW147" i="55"/>
  <c r="FG131" i="55"/>
  <c r="CE131" i="55" s="1" a="1"/>
  <c r="CE131" i="55" s="1"/>
  <c r="EK131" i="55" s="1"/>
  <c r="BS131" i="55"/>
  <c r="GL131" i="55" s="1"/>
  <c r="BQ131" i="55"/>
  <c r="BW131" i="55"/>
  <c r="BI131" i="55" a="1"/>
  <c r="BI131" i="55" s="1"/>
  <c r="FG115" i="55"/>
  <c r="BS115" i="55"/>
  <c r="GL115" i="55" s="1"/>
  <c r="BW115" i="55"/>
  <c r="FG99" i="55"/>
  <c r="BS99" i="55"/>
  <c r="GL99" i="55" s="1"/>
  <c r="BI99" i="55" a="1"/>
  <c r="BI99" i="55" s="1"/>
  <c r="BW99" i="55"/>
  <c r="FG83" i="55"/>
  <c r="BS83" i="55"/>
  <c r="GL83" i="55" s="1"/>
  <c r="FG67" i="55"/>
  <c r="BS67" i="55"/>
  <c r="GL67" i="55" s="1"/>
  <c r="BQ67" i="55"/>
  <c r="BI67" i="55" a="1"/>
  <c r="BI67" i="55" s="1"/>
  <c r="FG51" i="55"/>
  <c r="BQ51" i="55"/>
  <c r="E51" i="55" s="1"/>
  <c r="BR51" i="55" s="1"/>
  <c r="BS51" i="55" s="1"/>
  <c r="GL51" i="55" s="1"/>
  <c r="BW51" i="55"/>
  <c r="FG35" i="55"/>
  <c r="CE35" i="55" s="1" a="1"/>
  <c r="CE35" i="55" s="1"/>
  <c r="EK35" i="55" s="1"/>
  <c r="BS35" i="55"/>
  <c r="GL35" i="55" s="1"/>
  <c r="BW35" i="55"/>
  <c r="BQ35" i="55"/>
  <c r="FG19" i="55"/>
  <c r="AI15" i="54"/>
  <c r="AI19" i="54"/>
  <c r="AI25" i="54"/>
  <c r="AI26" i="54"/>
  <c r="AI18" i="54"/>
  <c r="AI20" i="54"/>
  <c r="AI21" i="54"/>
  <c r="AI22" i="54"/>
  <c r="AI17" i="54"/>
  <c r="AI24" i="54"/>
  <c r="AI14" i="54"/>
  <c r="AI16" i="54"/>
  <c r="AI27" i="54"/>
  <c r="AI29" i="54"/>
  <c r="AI30" i="54"/>
  <c r="AI23" i="54"/>
  <c r="FG3" i="55"/>
  <c r="AI28" i="54"/>
  <c r="BW3" i="55"/>
  <c r="BI323" i="55" a="1"/>
  <c r="BI323" i="55" s="1"/>
  <c r="C323" i="55" s="1"/>
  <c r="BJ323" i="55" s="1"/>
  <c r="BI51" i="55" a="1"/>
  <c r="BI51" i="55" s="1"/>
  <c r="C51" i="55" s="1"/>
  <c r="BJ51" i="55" s="1"/>
  <c r="BI35" i="55" a="1"/>
  <c r="BI35" i="55" s="1"/>
  <c r="C35" i="55" s="1"/>
  <c r="BJ35" i="55" s="1"/>
  <c r="GJ338" i="55"/>
  <c r="BN338" i="55"/>
  <c r="S338" i="55" s="1"/>
  <c r="GJ322" i="55"/>
  <c r="GP322" i="55"/>
  <c r="GJ306" i="55"/>
  <c r="GP306" i="55"/>
  <c r="GP290" i="55"/>
  <c r="GJ290" i="55"/>
  <c r="GJ274" i="55"/>
  <c r="BN274" i="55"/>
  <c r="S274" i="55" s="1"/>
  <c r="GJ258" i="55"/>
  <c r="GJ242" i="55"/>
  <c r="BN242" i="55"/>
  <c r="S242" i="55" s="1"/>
  <c r="GJ226" i="55"/>
  <c r="BN226" i="55"/>
  <c r="S226" i="55" s="1"/>
  <c r="GJ210" i="55"/>
  <c r="BN210" i="55"/>
  <c r="S210" i="55" s="1"/>
  <c r="GJ194" i="55"/>
  <c r="GP194" i="55"/>
  <c r="GJ178" i="55"/>
  <c r="GP178" i="55"/>
  <c r="S178" i="55"/>
  <c r="GJ162" i="55"/>
  <c r="BN162" i="55"/>
  <c r="GJ146" i="55"/>
  <c r="BN146" i="55"/>
  <c r="S146" i="55" s="1"/>
  <c r="IL130" i="55"/>
  <c r="IM130" i="55" s="1"/>
  <c r="GJ130" i="55"/>
  <c r="GJ114" i="55"/>
  <c r="BN114" i="55"/>
  <c r="S114" i="55" s="1"/>
  <c r="GJ98" i="55"/>
  <c r="BN98" i="55"/>
  <c r="S98" i="55" s="1"/>
  <c r="GJ82" i="55"/>
  <c r="S82" i="55"/>
  <c r="GJ66" i="55"/>
  <c r="GP66" i="55"/>
  <c r="GQ50" i="55"/>
  <c r="GJ50" i="55"/>
  <c r="BN50" i="55"/>
  <c r="GP50" i="55" s="1"/>
  <c r="GJ34" i="55"/>
  <c r="GQ34" i="55"/>
  <c r="BN34" i="55"/>
  <c r="GP34" i="55" s="1"/>
  <c r="GJ18" i="55"/>
  <c r="BN18" i="55"/>
  <c r="BQ179" i="55"/>
  <c r="HY337" i="55"/>
  <c r="HX337" i="55"/>
  <c r="HY225" i="55"/>
  <c r="HX225" i="55"/>
  <c r="EL225" i="55"/>
  <c r="HY193" i="55"/>
  <c r="HX193" i="55"/>
  <c r="HY161" i="55"/>
  <c r="HX161" i="55"/>
  <c r="EL161" i="55"/>
  <c r="HY145" i="55"/>
  <c r="HX145" i="55"/>
  <c r="EL145" i="55"/>
  <c r="HY129" i="55"/>
  <c r="HX129" i="55"/>
  <c r="EL129" i="55"/>
  <c r="HY97" i="55"/>
  <c r="HX97" i="55"/>
  <c r="HY65" i="55"/>
  <c r="HX65" i="55"/>
  <c r="EL65" i="55"/>
  <c r="HY350" i="55"/>
  <c r="EL350" i="55"/>
  <c r="HX350" i="55"/>
  <c r="HY271" i="55"/>
  <c r="HX271" i="55"/>
  <c r="EL271" i="55"/>
  <c r="HX206" i="55"/>
  <c r="HY206" i="55"/>
  <c r="EL206" i="55"/>
  <c r="BW19" i="55"/>
  <c r="EC12" i="55"/>
  <c r="EX12" i="55"/>
  <c r="DZ22" i="55"/>
  <c r="EB22" i="55"/>
  <c r="FY319" i="55"/>
  <c r="FX319" i="55" a="1"/>
  <c r="FX319" i="55" s="1"/>
  <c r="FY271" i="55"/>
  <c r="FX271" i="55" a="1"/>
  <c r="FX271" i="55" s="1"/>
  <c r="JW343" i="55"/>
  <c r="IC343" i="55"/>
  <c r="GB343" i="55"/>
  <c r="GC343" i="55" s="1"/>
  <c r="FW343" i="55"/>
  <c r="CR343" i="55" a="1"/>
  <c r="CR343" i="55" s="1"/>
  <c r="CS343" i="55" s="1"/>
  <c r="V343" i="55"/>
  <c r="DS343" i="55"/>
  <c r="JW207" i="55"/>
  <c r="GB207" i="55"/>
  <c r="GC207" i="55" s="1"/>
  <c r="DS207" i="55"/>
  <c r="FW207" i="55"/>
  <c r="JW128" i="55"/>
  <c r="IC128" i="55"/>
  <c r="GB128" i="55"/>
  <c r="GC128" i="55" s="1"/>
  <c r="DS128" i="55"/>
  <c r="JW47" i="55"/>
  <c r="IC47" i="55"/>
  <c r="DX47" i="55"/>
  <c r="GB47" i="55"/>
  <c r="GC47" i="55" s="1"/>
  <c r="DS47" i="55"/>
  <c r="CR47" i="55" a="1"/>
  <c r="CR47" i="55" s="1"/>
  <c r="CS47" i="55" s="1"/>
  <c r="GA3" i="55"/>
  <c r="BY3" i="55" s="1"/>
  <c r="AN3" i="55" s="1"/>
  <c r="BZ3" i="55" s="1"/>
  <c r="CA3" i="55" s="1"/>
  <c r="AO3" i="55" s="1"/>
  <c r="CB3" i="55" s="1"/>
  <c r="GI3" i="55"/>
  <c r="DN3" i="55"/>
  <c r="DI3" i="55"/>
  <c r="H3" i="55" s="1"/>
  <c r="DJ3" i="55" s="1"/>
  <c r="FF3" i="55"/>
  <c r="BP3" i="55"/>
  <c r="CQ3" i="55"/>
  <c r="CC3" i="55"/>
  <c r="BO3" i="55"/>
  <c r="P3" i="55"/>
  <c r="CO3" i="55"/>
  <c r="DC3" i="55"/>
  <c r="I3" i="55" s="1"/>
  <c r="DD3" i="55" s="1"/>
  <c r="CR3" i="55" s="1" a="1"/>
  <c r="CR3" i="55" s="1"/>
  <c r="CS3" i="55" s="1"/>
  <c r="BE33" i="55"/>
  <c r="P33" i="55" s="1"/>
  <c r="FG338" i="55"/>
  <c r="CE338" i="55" s="1" a="1"/>
  <c r="CE338" i="55" s="1"/>
  <c r="EK338" i="55" s="1"/>
  <c r="BS338" i="55"/>
  <c r="GL338" i="55" s="1"/>
  <c r="BI338" i="55" a="1"/>
  <c r="BI338" i="55" s="1"/>
  <c r="BQ338" i="55"/>
  <c r="FG322" i="55"/>
  <c r="BS322" i="55"/>
  <c r="GL322" i="55" s="1"/>
  <c r="BI322" i="55" a="1"/>
  <c r="BI322" i="55" s="1"/>
  <c r="C322" i="55" s="1"/>
  <c r="BJ322" i="55" s="1"/>
  <c r="FG306" i="55"/>
  <c r="BS306" i="55"/>
  <c r="GL306" i="55" s="1"/>
  <c r="BW306" i="55"/>
  <c r="BI306" i="55" a="1"/>
  <c r="BI306" i="55" s="1"/>
  <c r="C306" i="55" s="1"/>
  <c r="BJ306" i="55" s="1"/>
  <c r="BQ306" i="55"/>
  <c r="FG290" i="55"/>
  <c r="CE290" i="55" s="1" a="1"/>
  <c r="CE290" i="55" s="1"/>
  <c r="EK290" i="55" s="1"/>
  <c r="BS290" i="55"/>
  <c r="GL290" i="55" s="1"/>
  <c r="BI290" i="55" a="1"/>
  <c r="BI290" i="55" s="1"/>
  <c r="C290" i="55" s="1"/>
  <c r="BJ290" i="55" s="1"/>
  <c r="FG274" i="55"/>
  <c r="BS274" i="55"/>
  <c r="GL274" i="55" s="1"/>
  <c r="BI274" i="55" a="1"/>
  <c r="BI274" i="55" s="1"/>
  <c r="BQ274" i="55"/>
  <c r="FG258" i="55"/>
  <c r="CE258" i="55" s="1" a="1"/>
  <c r="CE258" i="55" s="1"/>
  <c r="EK258" i="55" s="1"/>
  <c r="BS258" i="55"/>
  <c r="GL258" i="55" s="1"/>
  <c r="FG242" i="55"/>
  <c r="BS242" i="55"/>
  <c r="GL242" i="55" s="1"/>
  <c r="BW242" i="55"/>
  <c r="BI242" i="55" a="1"/>
  <c r="BI242" i="55" s="1"/>
  <c r="C242" i="55" s="1"/>
  <c r="BJ242" i="55" s="1"/>
  <c r="FG226" i="55"/>
  <c r="BS226" i="55"/>
  <c r="GL226" i="55" s="1"/>
  <c r="BI226" i="55" a="1"/>
  <c r="BI226" i="55" s="1"/>
  <c r="CE226" i="55" a="1"/>
  <c r="CE226" i="55" s="1"/>
  <c r="EK226" i="55" s="1"/>
  <c r="BW226" i="55"/>
  <c r="FG210" i="55"/>
  <c r="BS210" i="55"/>
  <c r="GL210" i="55" s="1"/>
  <c r="BI210" i="55" a="1"/>
  <c r="BI210" i="55" s="1"/>
  <c r="BQ210" i="55"/>
  <c r="FG194" i="55"/>
  <c r="CE194" i="55" s="1" a="1"/>
  <c r="CE194" i="55" s="1"/>
  <c r="EK194" i="55" s="1"/>
  <c r="BS194" i="55"/>
  <c r="GL194" i="55" s="1"/>
  <c r="BI194" i="55" a="1"/>
  <c r="BI194" i="55" s="1"/>
  <c r="C194" i="55" s="1"/>
  <c r="BJ194" i="55" s="1"/>
  <c r="BQ194" i="55"/>
  <c r="FG178" i="55"/>
  <c r="BS178" i="55"/>
  <c r="GL178" i="55" s="1"/>
  <c r="BW178" i="55"/>
  <c r="BI178" i="55" a="1"/>
  <c r="BI178" i="55" s="1"/>
  <c r="C178" i="55" s="1"/>
  <c r="BJ178" i="55" s="1"/>
  <c r="CE178" i="55" a="1"/>
  <c r="CE178" i="55" s="1"/>
  <c r="EK178" i="55" s="1"/>
  <c r="FG162" i="55"/>
  <c r="BS162" i="55"/>
  <c r="GL162" i="55" s="1"/>
  <c r="BI162" i="55" a="1"/>
  <c r="BI162" i="55" s="1"/>
  <c r="C162" i="55" s="1"/>
  <c r="BJ162" i="55" s="1"/>
  <c r="FG146" i="55"/>
  <c r="BS146" i="55"/>
  <c r="GL146" i="55" s="1"/>
  <c r="BI146" i="55" a="1"/>
  <c r="BI146" i="55" s="1"/>
  <c r="BW146" i="55"/>
  <c r="BQ146" i="55"/>
  <c r="HV130" i="55"/>
  <c r="FG130" i="55"/>
  <c r="BI130" i="55" a="1"/>
  <c r="BI130" i="55" s="1"/>
  <c r="C130" i="55" s="1"/>
  <c r="BJ130" i="55" s="1"/>
  <c r="BW130" i="55"/>
  <c r="FG114" i="55"/>
  <c r="BS114" i="55"/>
  <c r="GL114" i="55" s="1"/>
  <c r="BW114" i="55"/>
  <c r="BI114" i="55" a="1"/>
  <c r="BI114" i="55" s="1"/>
  <c r="BQ114" i="55"/>
  <c r="FG98" i="55"/>
  <c r="CE98" i="55" s="1" a="1"/>
  <c r="CE98" i="55" s="1"/>
  <c r="EK98" i="55" s="1"/>
  <c r="BS98" i="55"/>
  <c r="GL98" i="55" s="1"/>
  <c r="BI98" i="55" a="1"/>
  <c r="BI98" i="55" s="1"/>
  <c r="BQ98" i="55"/>
  <c r="BW98" i="55"/>
  <c r="FG82" i="55"/>
  <c r="CE82" i="55" s="1" a="1"/>
  <c r="CE82" i="55" s="1"/>
  <c r="EK82" i="55" s="1"/>
  <c r="BS82" i="55"/>
  <c r="GL82" i="55" s="1"/>
  <c r="BI82" i="55" a="1"/>
  <c r="BI82" i="55" s="1"/>
  <c r="BQ82" i="55"/>
  <c r="FG66" i="55"/>
  <c r="BS66" i="55"/>
  <c r="BI66" i="55" a="1"/>
  <c r="BI66" i="55" s="1"/>
  <c r="FG50" i="55"/>
  <c r="BW50" i="55"/>
  <c r="BI50" i="55" a="1"/>
  <c r="BI50" i="55" s="1"/>
  <c r="C50" i="55" s="1"/>
  <c r="BJ50" i="55" s="1"/>
  <c r="FG34" i="55"/>
  <c r="BS34" i="55"/>
  <c r="GL34" i="55" s="1"/>
  <c r="BI34" i="55" a="1"/>
  <c r="BI34" i="55" s="1"/>
  <c r="C34" i="55" s="1"/>
  <c r="BJ34" i="55" s="1"/>
  <c r="BQ34" i="55"/>
  <c r="FG18" i="55"/>
  <c r="HV18" i="55"/>
  <c r="BI18" i="55" a="1"/>
  <c r="BI18" i="55" s="1"/>
  <c r="BW18" i="55"/>
  <c r="GJ337" i="55"/>
  <c r="BN337" i="55"/>
  <c r="GP337" i="55" s="1"/>
  <c r="S337" i="55"/>
  <c r="GJ321" i="55"/>
  <c r="BN321" i="55"/>
  <c r="S321" i="55" s="1"/>
  <c r="GP305" i="55"/>
  <c r="GJ305" i="55"/>
  <c r="GJ289" i="55"/>
  <c r="BN289" i="55"/>
  <c r="S289" i="55" s="1"/>
  <c r="GP273" i="55"/>
  <c r="GJ273" i="55"/>
  <c r="BN273" i="55"/>
  <c r="S273" i="55" s="1"/>
  <c r="GJ257" i="55"/>
  <c r="GP257" i="55"/>
  <c r="GJ241" i="55"/>
  <c r="GP241" i="55"/>
  <c r="GJ225" i="55"/>
  <c r="GJ209" i="55"/>
  <c r="BN209" i="55"/>
  <c r="GP209" i="55" s="1"/>
  <c r="GJ193" i="55"/>
  <c r="GP193" i="55"/>
  <c r="GP177" i="55"/>
  <c r="GJ177" i="55"/>
  <c r="GJ161" i="55"/>
  <c r="GP161" i="55"/>
  <c r="S161" i="55"/>
  <c r="BN161" i="55"/>
  <c r="GJ145" i="55"/>
  <c r="GP145" i="55"/>
  <c r="GQ129" i="55"/>
  <c r="GP129" i="55"/>
  <c r="GJ129" i="55"/>
  <c r="GP113" i="55"/>
  <c r="GJ113" i="55"/>
  <c r="GJ97" i="55"/>
  <c r="BN97" i="55"/>
  <c r="S97" i="55" s="1"/>
  <c r="GP81" i="55"/>
  <c r="GJ81" i="55"/>
  <c r="GP65" i="55"/>
  <c r="GJ65" i="55"/>
  <c r="GQ49" i="55"/>
  <c r="GP49" i="55"/>
  <c r="GJ49" i="55"/>
  <c r="BN49" i="55"/>
  <c r="GQ33" i="55"/>
  <c r="GJ33" i="55"/>
  <c r="BN33" i="55"/>
  <c r="GP33" i="55" s="1"/>
  <c r="GJ17" i="55"/>
  <c r="BN17" i="55"/>
  <c r="S17" i="55" s="1"/>
  <c r="BO260" i="55"/>
  <c r="BQ178" i="55"/>
  <c r="BT132" i="55"/>
  <c r="HY336" i="55"/>
  <c r="HX336" i="55"/>
  <c r="EL336" i="55"/>
  <c r="HX320" i="55"/>
  <c r="HY320" i="55"/>
  <c r="HX304" i="55"/>
  <c r="HY304" i="55"/>
  <c r="EL304" i="55"/>
  <c r="HY288" i="55"/>
  <c r="HX288" i="55"/>
  <c r="EL288" i="55"/>
  <c r="HY272" i="55"/>
  <c r="HX272" i="55"/>
  <c r="EL272" i="55"/>
  <c r="HY256" i="55"/>
  <c r="HX256" i="55"/>
  <c r="EL256" i="55"/>
  <c r="HY192" i="55"/>
  <c r="HX192" i="55"/>
  <c r="EL192" i="55"/>
  <c r="HY176" i="55"/>
  <c r="HX176" i="55"/>
  <c r="EL176" i="55"/>
  <c r="HY128" i="55"/>
  <c r="HX128" i="55"/>
  <c r="EL128" i="55"/>
  <c r="HX64" i="55"/>
  <c r="HY64" i="55"/>
  <c r="EL64" i="55"/>
  <c r="HY48" i="55"/>
  <c r="HX48" i="55"/>
  <c r="EL48" i="55"/>
  <c r="HY344" i="55"/>
  <c r="EL344" i="55"/>
  <c r="HX344" i="55"/>
  <c r="HY305" i="55"/>
  <c r="EL305" i="55"/>
  <c r="HX305" i="55"/>
  <c r="HX270" i="55"/>
  <c r="HY270" i="55"/>
  <c r="BW195" i="55"/>
  <c r="EC351" i="55"/>
  <c r="EX351" i="55"/>
  <c r="EX335" i="55"/>
  <c r="EC335" i="55"/>
  <c r="EC319" i="55"/>
  <c r="EX319" i="55"/>
  <c r="CA319" i="55"/>
  <c r="EX303" i="55"/>
  <c r="EC303" i="55"/>
  <c r="EC287" i="55"/>
  <c r="EX287" i="55"/>
  <c r="EC271" i="55"/>
  <c r="EX271" i="55"/>
  <c r="EC255" i="55"/>
  <c r="EX255" i="55"/>
  <c r="CA255" i="55"/>
  <c r="EX239" i="55"/>
  <c r="EC239" i="55"/>
  <c r="EC223" i="55"/>
  <c r="EX223" i="55"/>
  <c r="EC207" i="55"/>
  <c r="EX207" i="55"/>
  <c r="EX191" i="55"/>
  <c r="EC191" i="55"/>
  <c r="CA191" i="55"/>
  <c r="EX175" i="55"/>
  <c r="EC175" i="55"/>
  <c r="CA175" i="55"/>
  <c r="EC159" i="55"/>
  <c r="EX159" i="55"/>
  <c r="EX143" i="55"/>
  <c r="EC143" i="55"/>
  <c r="EC127" i="55"/>
  <c r="EX127" i="55"/>
  <c r="CA127" i="55"/>
  <c r="EX111" i="55"/>
  <c r="EC111" i="55"/>
  <c r="CA111" i="55"/>
  <c r="EC95" i="55"/>
  <c r="EX95" i="55"/>
  <c r="EX79" i="55"/>
  <c r="EC79" i="55"/>
  <c r="EC63" i="55"/>
  <c r="EX63" i="55"/>
  <c r="CA63" i="55"/>
  <c r="EX46" i="55"/>
  <c r="EC46" i="55"/>
  <c r="EY46" i="55" s="1"/>
  <c r="EC30" i="55"/>
  <c r="EX30" i="55"/>
  <c r="EX10" i="55"/>
  <c r="EC10" i="55"/>
  <c r="CA180" i="55"/>
  <c r="EB345" i="55"/>
  <c r="DZ345" i="55"/>
  <c r="EB329" i="55"/>
  <c r="DZ329" i="55"/>
  <c r="EB313" i="55"/>
  <c r="DZ313" i="55"/>
  <c r="EB297" i="55"/>
  <c r="DZ297" i="55"/>
  <c r="EB281" i="55"/>
  <c r="DZ281" i="55"/>
  <c r="EB265" i="55"/>
  <c r="DZ265" i="55"/>
  <c r="EB249" i="55"/>
  <c r="DZ249" i="55"/>
  <c r="EB233" i="55"/>
  <c r="DZ233" i="55"/>
  <c r="EB217" i="55"/>
  <c r="DZ217" i="55"/>
  <c r="EB201" i="55"/>
  <c r="DZ201" i="55"/>
  <c r="EB185" i="55"/>
  <c r="DZ185" i="55"/>
  <c r="EB169" i="55"/>
  <c r="DZ169" i="55"/>
  <c r="EB153" i="55"/>
  <c r="DZ153" i="55"/>
  <c r="EB137" i="55"/>
  <c r="DZ137" i="55"/>
  <c r="EB121" i="55"/>
  <c r="DZ121" i="55"/>
  <c r="EB105" i="55"/>
  <c r="DZ105" i="55"/>
  <c r="EB89" i="55"/>
  <c r="DZ89" i="55"/>
  <c r="EB73" i="55"/>
  <c r="DZ73" i="55"/>
  <c r="EB57" i="55"/>
  <c r="DZ57" i="55"/>
  <c r="FY207" i="55"/>
  <c r="FX207" i="55" a="1"/>
  <c r="FX207" i="55" s="1"/>
  <c r="JW342" i="55"/>
  <c r="IC342" i="55"/>
  <c r="GB342" i="55"/>
  <c r="GC342" i="55" s="1"/>
  <c r="FW342" i="55"/>
  <c r="DS342" i="55"/>
  <c r="JW206" i="55"/>
  <c r="IC206" i="55"/>
  <c r="GB206" i="55"/>
  <c r="GC206" i="55" s="1"/>
  <c r="FW206" i="55"/>
  <c r="DS206" i="55"/>
  <c r="ES343" i="55"/>
  <c r="FB343" i="55"/>
  <c r="ER343" i="55"/>
  <c r="ER327" i="55"/>
  <c r="ES327" i="55"/>
  <c r="ER311" i="55"/>
  <c r="ES311" i="55"/>
  <c r="FB311" i="55"/>
  <c r="ES295" i="55"/>
  <c r="FB295" i="55"/>
  <c r="ER295" i="55"/>
  <c r="GS295" i="55"/>
  <c r="ER279" i="55"/>
  <c r="FB279" i="55"/>
  <c r="ES279" i="55"/>
  <c r="ES263" i="55"/>
  <c r="ER263" i="55"/>
  <c r="ER247" i="55"/>
  <c r="FB247" i="55"/>
  <c r="ES247" i="55"/>
  <c r="ES231" i="55"/>
  <c r="ER231" i="55"/>
  <c r="ES215" i="55"/>
  <c r="ER215" i="55"/>
  <c r="FB215" i="55"/>
  <c r="ES199" i="55"/>
  <c r="ER199" i="55"/>
  <c r="ER183" i="55"/>
  <c r="FB183" i="55"/>
  <c r="ES183" i="55"/>
  <c r="ES167" i="55"/>
  <c r="FB167" i="55"/>
  <c r="ER167" i="55"/>
  <c r="ES151" i="55"/>
  <c r="ER151" i="55"/>
  <c r="FB151" i="55"/>
  <c r="ER135" i="55"/>
  <c r="ES135" i="55"/>
  <c r="ER119" i="55"/>
  <c r="ES119" i="55"/>
  <c r="FB119" i="55"/>
  <c r="ES103" i="55"/>
  <c r="FB103" i="55"/>
  <c r="ER103" i="55"/>
  <c r="ES87" i="55"/>
  <c r="ER87" i="55"/>
  <c r="FB87" i="55"/>
  <c r="ER71" i="55"/>
  <c r="FB71" i="55"/>
  <c r="ES71" i="55"/>
  <c r="ER55" i="55"/>
  <c r="ES55" i="55"/>
  <c r="FB55" i="55"/>
  <c r="ER38" i="55"/>
  <c r="ES38" i="55"/>
  <c r="BF241" i="55"/>
  <c r="BG241" i="55" s="1"/>
  <c r="BI241" i="55" s="1" a="1"/>
  <c r="BI241" i="55" s="1"/>
  <c r="C241" i="55" s="1"/>
  <c r="BJ241" i="55" s="1"/>
  <c r="FG352" i="55"/>
  <c r="BS352" i="55"/>
  <c r="GL352" i="55" s="1"/>
  <c r="BW352" i="55"/>
  <c r="BI352" i="55" a="1"/>
  <c r="BI352" i="55" s="1"/>
  <c r="BQ352" i="55"/>
  <c r="HV336" i="55"/>
  <c r="FG336" i="55"/>
  <c r="FG320" i="55"/>
  <c r="BS320" i="55"/>
  <c r="GL320" i="55" s="1"/>
  <c r="BI320" i="55" a="1"/>
  <c r="BI320" i="55" s="1"/>
  <c r="C320" i="55" s="1"/>
  <c r="BJ320" i="55" s="1"/>
  <c r="FG304" i="55"/>
  <c r="BS304" i="55"/>
  <c r="BW304" i="55"/>
  <c r="BI304" i="55" a="1"/>
  <c r="BI304" i="55" s="1"/>
  <c r="C304" i="55" s="1"/>
  <c r="BJ304" i="55" s="1"/>
  <c r="BQ304" i="55"/>
  <c r="FG288" i="55"/>
  <c r="BS288" i="55"/>
  <c r="GL288" i="55" s="1"/>
  <c r="BW288" i="55"/>
  <c r="BI288" i="55" a="1"/>
  <c r="BI288" i="55" s="1"/>
  <c r="C288" i="55" s="1"/>
  <c r="BJ288" i="55" s="1"/>
  <c r="FG272" i="55"/>
  <c r="BS272" i="55"/>
  <c r="GL272" i="55" s="1"/>
  <c r="BI272" i="55" a="1"/>
  <c r="BI272" i="55" s="1"/>
  <c r="BQ272" i="55"/>
  <c r="BW272" i="55"/>
  <c r="FG256" i="55"/>
  <c r="BS256" i="55"/>
  <c r="GL256" i="55" s="1"/>
  <c r="BI256" i="55" a="1"/>
  <c r="BI256" i="55" s="1"/>
  <c r="C256" i="55" s="1"/>
  <c r="BJ256" i="55" s="1"/>
  <c r="BW256" i="55"/>
  <c r="FG240" i="55"/>
  <c r="BS240" i="55"/>
  <c r="GL240" i="55" s="1"/>
  <c r="BW240" i="55"/>
  <c r="BI240" i="55" a="1"/>
  <c r="BI240" i="55" s="1"/>
  <c r="C240" i="55" s="1"/>
  <c r="BJ240" i="55" s="1"/>
  <c r="HV224" i="55"/>
  <c r="FG224" i="55"/>
  <c r="BW224" i="55"/>
  <c r="BI224" i="55" a="1"/>
  <c r="BI224" i="55" s="1"/>
  <c r="FG208" i="55"/>
  <c r="BS208" i="55"/>
  <c r="GL208" i="55" s="1"/>
  <c r="BI208" i="55" a="1"/>
  <c r="BI208" i="55" s="1"/>
  <c r="C208" i="55" s="1"/>
  <c r="BJ208" i="55" s="1"/>
  <c r="BS192" i="55"/>
  <c r="GL192" i="55" s="1"/>
  <c r="BI192" i="55" a="1"/>
  <c r="BI192" i="55" s="1"/>
  <c r="C192" i="55" s="1"/>
  <c r="BJ192" i="55" s="1"/>
  <c r="FG192" i="55"/>
  <c r="FG176" i="55"/>
  <c r="BS176" i="55"/>
  <c r="GL176" i="55" s="1"/>
  <c r="BW176" i="55"/>
  <c r="BI176" i="55" a="1"/>
  <c r="BI176" i="55" s="1"/>
  <c r="C176" i="55" s="1"/>
  <c r="BJ176" i="55" s="1"/>
  <c r="BQ176" i="55"/>
  <c r="FG160" i="55"/>
  <c r="BS160" i="55"/>
  <c r="GL160" i="55" s="1"/>
  <c r="BW160" i="55"/>
  <c r="BI160" i="55" a="1"/>
  <c r="BI160" i="55" s="1"/>
  <c r="C160" i="55" s="1"/>
  <c r="BJ160" i="55" s="1"/>
  <c r="FG144" i="55"/>
  <c r="BS144" i="55"/>
  <c r="BI144" i="55" a="1"/>
  <c r="BI144" i="55" s="1"/>
  <c r="BW144" i="55"/>
  <c r="BQ144" i="55"/>
  <c r="FG128" i="55"/>
  <c r="BS128" i="55"/>
  <c r="GL128" i="55" s="1"/>
  <c r="BI128" i="55" a="1"/>
  <c r="BI128" i="55" s="1"/>
  <c r="FG112" i="55"/>
  <c r="CE112" i="55" s="1" a="1"/>
  <c r="CE112" i="55" s="1"/>
  <c r="EK112" i="55" s="1"/>
  <c r="BS112" i="55"/>
  <c r="GL112" i="55" s="1"/>
  <c r="BW112" i="55"/>
  <c r="BI112" i="55" a="1"/>
  <c r="BI112" i="55" s="1"/>
  <c r="BQ112" i="55"/>
  <c r="FG96" i="55"/>
  <c r="BS96" i="55"/>
  <c r="GL96" i="55" s="1"/>
  <c r="BW96" i="55"/>
  <c r="BI96" i="55" a="1"/>
  <c r="BI96" i="55" s="1"/>
  <c r="FG80" i="55"/>
  <c r="BS80" i="55"/>
  <c r="GL80" i="55" s="1"/>
  <c r="BI80" i="55" a="1"/>
  <c r="BI80" i="55" s="1"/>
  <c r="BS64" i="55"/>
  <c r="GL64" i="55" s="1"/>
  <c r="BI64" i="55" a="1"/>
  <c r="BI64" i="55" s="1"/>
  <c r="BQ64" i="55"/>
  <c r="FG64" i="55"/>
  <c r="CE64" i="55" a="1"/>
  <c r="CE64" i="55" s="1"/>
  <c r="EK64" i="55" s="1"/>
  <c r="FG48" i="55"/>
  <c r="BS48" i="55"/>
  <c r="GL48" i="55" s="1"/>
  <c r="BW48" i="55"/>
  <c r="BI48" i="55" a="1"/>
  <c r="BI48" i="55" s="1"/>
  <c r="C48" i="55" s="1"/>
  <c r="BJ48" i="55" s="1"/>
  <c r="FG32" i="55"/>
  <c r="BS32" i="55"/>
  <c r="GL32" i="55" s="1"/>
  <c r="BW32" i="55"/>
  <c r="BI32" i="55" a="1"/>
  <c r="BI32" i="55" s="1"/>
  <c r="C32" i="55" s="1"/>
  <c r="BJ32" i="55" s="1"/>
  <c r="BQ32" i="55"/>
  <c r="HV16" i="55"/>
  <c r="FG16" i="55"/>
  <c r="BI16" i="55" a="1"/>
  <c r="BI16" i="55" s="1"/>
  <c r="BW16" i="55"/>
  <c r="BI291" i="55" a="1"/>
  <c r="BI291" i="55" s="1"/>
  <c r="C291" i="55" s="1"/>
  <c r="BJ291" i="55" s="1"/>
  <c r="BI243" i="55" a="1"/>
  <c r="BI243" i="55" s="1"/>
  <c r="C243" i="55" s="1"/>
  <c r="BJ243" i="55" s="1"/>
  <c r="BI19" i="55" a="1"/>
  <c r="BI19" i="55" s="1"/>
  <c r="GJ351" i="55"/>
  <c r="GP351" i="55"/>
  <c r="IL335" i="55"/>
  <c r="IM335" i="55" s="1"/>
  <c r="GP335" i="55"/>
  <c r="GQ335" i="55" s="1"/>
  <c r="GR335" i="55" s="1"/>
  <c r="GJ335" i="55"/>
  <c r="GJ319" i="55"/>
  <c r="BN319" i="55"/>
  <c r="GP319" i="55" s="1"/>
  <c r="GJ303" i="55"/>
  <c r="GJ287" i="55"/>
  <c r="GJ271" i="55"/>
  <c r="BN271" i="55"/>
  <c r="GJ255" i="55"/>
  <c r="BN255" i="55"/>
  <c r="S255" i="55" s="1"/>
  <c r="GJ239" i="55"/>
  <c r="GP239" i="55"/>
  <c r="GJ223" i="55"/>
  <c r="GP223" i="55"/>
  <c r="GJ207" i="55"/>
  <c r="BN207" i="55"/>
  <c r="S207" i="55" s="1"/>
  <c r="GP191" i="55"/>
  <c r="GJ191" i="55"/>
  <c r="S191" i="55"/>
  <c r="GJ175" i="55"/>
  <c r="GJ159" i="55"/>
  <c r="BN159" i="55"/>
  <c r="S159" i="55" s="1"/>
  <c r="GJ143" i="55"/>
  <c r="BN143" i="55"/>
  <c r="S143" i="55" s="1"/>
  <c r="GJ127" i="55"/>
  <c r="GJ111" i="55"/>
  <c r="GP111" i="55"/>
  <c r="GJ95" i="55"/>
  <c r="BN95" i="55"/>
  <c r="GJ79" i="55"/>
  <c r="BN79" i="55"/>
  <c r="S79" i="55" s="1"/>
  <c r="GG337" i="55"/>
  <c r="GD337" i="55"/>
  <c r="BQ259" i="55"/>
  <c r="HY95" i="55"/>
  <c r="HX95" i="55"/>
  <c r="EL95" i="55"/>
  <c r="HX56" i="55"/>
  <c r="HY56" i="55"/>
  <c r="EL56" i="55"/>
  <c r="HY30" i="55"/>
  <c r="HX30" i="55"/>
  <c r="EL30" i="55"/>
  <c r="BW323" i="55"/>
  <c r="BW66" i="55"/>
  <c r="EX26" i="55"/>
  <c r="EC26" i="55"/>
  <c r="CA228" i="55"/>
  <c r="CA100" i="55"/>
  <c r="CD148" i="55"/>
  <c r="IB347" i="55"/>
  <c r="IA347" i="55"/>
  <c r="HZ347" i="55"/>
  <c r="HW347" i="55"/>
  <c r="CK347" i="55"/>
  <c r="CL347" i="55"/>
  <c r="DL347" i="55" s="1"/>
  <c r="CG348" i="55"/>
  <c r="CJ347" i="55"/>
  <c r="CN347" i="55"/>
  <c r="CM347" i="55"/>
  <c r="IB331" i="55"/>
  <c r="IA331" i="55"/>
  <c r="HZ331" i="55"/>
  <c r="HW331" i="55"/>
  <c r="CK331" i="55"/>
  <c r="CL331" i="55"/>
  <c r="DL331" i="55" s="1"/>
  <c r="CG332" i="55"/>
  <c r="CM331" i="55"/>
  <c r="CN331" i="55"/>
  <c r="CJ331" i="55"/>
  <c r="IB315" i="55"/>
  <c r="HZ315" i="55"/>
  <c r="IA315" i="55"/>
  <c r="HW315" i="55"/>
  <c r="CK315" i="55"/>
  <c r="CL315" i="55"/>
  <c r="DL315" i="55" s="1"/>
  <c r="CJ315" i="55"/>
  <c r="CM315" i="55"/>
  <c r="CN315" i="55"/>
  <c r="CG316" i="55"/>
  <c r="IB299" i="55"/>
  <c r="HZ299" i="55"/>
  <c r="IA299" i="55"/>
  <c r="HW299" i="55"/>
  <c r="CK299" i="55"/>
  <c r="CL299" i="55"/>
  <c r="DL299" i="55" s="1"/>
  <c r="CJ299" i="55"/>
  <c r="CG300" i="55"/>
  <c r="CM299" i="55"/>
  <c r="IB283" i="55"/>
  <c r="HW283" i="55"/>
  <c r="IA283" i="55"/>
  <c r="HZ283" i="55"/>
  <c r="CK283" i="55"/>
  <c r="CL283" i="55"/>
  <c r="CG284" i="55"/>
  <c r="CJ283" i="55"/>
  <c r="CM283" i="55"/>
  <c r="CN283" i="55"/>
  <c r="IB267" i="55"/>
  <c r="HW267" i="55"/>
  <c r="IA267" i="55"/>
  <c r="HZ267" i="55"/>
  <c r="CK267" i="55"/>
  <c r="CL267" i="55"/>
  <c r="DL267" i="55" s="1"/>
  <c r="CG268" i="55"/>
  <c r="CM267" i="55"/>
  <c r="IB251" i="55"/>
  <c r="HZ251" i="55"/>
  <c r="IA251" i="55"/>
  <c r="CK251" i="55"/>
  <c r="CL251" i="55"/>
  <c r="DL251" i="55" s="1"/>
  <c r="HW251" i="55"/>
  <c r="CM251" i="55"/>
  <c r="CJ251" i="55"/>
  <c r="CN251" i="55"/>
  <c r="CG252" i="55"/>
  <c r="IB235" i="55"/>
  <c r="HZ235" i="55"/>
  <c r="IA235" i="55"/>
  <c r="HW235" i="55"/>
  <c r="CK235" i="55"/>
  <c r="CL235" i="55"/>
  <c r="DL235" i="55" s="1"/>
  <c r="CN235" i="55"/>
  <c r="CG236" i="55"/>
  <c r="IB219" i="55"/>
  <c r="IA219" i="55"/>
  <c r="HZ219" i="55"/>
  <c r="HW219" i="55"/>
  <c r="CK219" i="55"/>
  <c r="CL219" i="55"/>
  <c r="DL219" i="55" s="1"/>
  <c r="CG220" i="55"/>
  <c r="CN219" i="55"/>
  <c r="CM219" i="55"/>
  <c r="CJ219" i="55"/>
  <c r="IB203" i="55"/>
  <c r="V203" i="55" s="1"/>
  <c r="IA203" i="55"/>
  <c r="HW203" i="55"/>
  <c r="HZ203" i="55"/>
  <c r="CK203" i="55"/>
  <c r="CL203" i="55"/>
  <c r="CG204" i="55"/>
  <c r="CM203" i="55"/>
  <c r="CJ203" i="55"/>
  <c r="CN203" i="55"/>
  <c r="IB187" i="55"/>
  <c r="HZ187" i="55"/>
  <c r="HW187" i="55"/>
  <c r="IA187" i="55"/>
  <c r="CK187" i="55"/>
  <c r="CL187" i="55"/>
  <c r="DL187" i="55" s="1"/>
  <c r="CN187" i="55"/>
  <c r="CG188" i="55"/>
  <c r="CJ187" i="55"/>
  <c r="IB171" i="55"/>
  <c r="HZ171" i="55"/>
  <c r="IA171" i="55"/>
  <c r="HW171" i="55"/>
  <c r="CK171" i="55"/>
  <c r="CL171" i="55"/>
  <c r="DL171" i="55" s="1"/>
  <c r="CJ171" i="55"/>
  <c r="CM171" i="55"/>
  <c r="CN171" i="55"/>
  <c r="IB155" i="55"/>
  <c r="HW155" i="55"/>
  <c r="IA155" i="55"/>
  <c r="HZ155" i="55"/>
  <c r="CK155" i="55"/>
  <c r="CL155" i="55"/>
  <c r="DL155" i="55" s="1"/>
  <c r="CG156" i="55"/>
  <c r="CM155" i="55"/>
  <c r="CJ155" i="55"/>
  <c r="IB139" i="55"/>
  <c r="HW139" i="55"/>
  <c r="HZ139" i="55"/>
  <c r="IA139" i="55"/>
  <c r="CK139" i="55"/>
  <c r="CL139" i="55"/>
  <c r="CG140" i="55"/>
  <c r="CM139" i="55"/>
  <c r="CJ139" i="55"/>
  <c r="CN267" i="55"/>
  <c r="CR206" i="55" a="1"/>
  <c r="CR206" i="55" s="1"/>
  <c r="P228" i="55"/>
  <c r="FA92" i="55"/>
  <c r="FB92" i="55"/>
  <c r="JH348" i="55"/>
  <c r="JI348" i="55" s="1"/>
  <c r="GA348" i="55"/>
  <c r="FF348" i="55"/>
  <c r="DC348" i="55"/>
  <c r="I348" i="55" s="1"/>
  <c r="DD348" i="55" s="1"/>
  <c r="DN348" i="55"/>
  <c r="DB348" i="55"/>
  <c r="DI348" i="55"/>
  <c r="H348" i="55" s="1"/>
  <c r="DJ348" i="55" s="1"/>
  <c r="CC348" i="55"/>
  <c r="CD348" i="55"/>
  <c r="CO348" i="55"/>
  <c r="CP348" i="55" s="1"/>
  <c r="Y348" i="55" s="1"/>
  <c r="BY348" i="55"/>
  <c r="BO348" i="55"/>
  <c r="CQ348" i="55"/>
  <c r="BT348" i="55"/>
  <c r="JH332" i="55"/>
  <c r="JI332" i="55" s="1"/>
  <c r="DC332" i="55"/>
  <c r="I332" i="55" s="1"/>
  <c r="DD332" i="55" s="1"/>
  <c r="GA332" i="55"/>
  <c r="BY332" i="55" s="1"/>
  <c r="DN332" i="55"/>
  <c r="DB332" i="55"/>
  <c r="CC332" i="55"/>
  <c r="CQ332" i="55"/>
  <c r="CD332" i="55"/>
  <c r="DI332" i="55"/>
  <c r="H332" i="55" s="1"/>
  <c r="DJ332" i="55" s="1"/>
  <c r="BO332" i="55"/>
  <c r="CO332" i="55"/>
  <c r="CP332" i="55" s="1"/>
  <c r="Y332" i="55" s="1"/>
  <c r="CA332" i="55"/>
  <c r="BP332" i="55"/>
  <c r="JH316" i="55"/>
  <c r="JI316" i="55" s="1"/>
  <c r="GA316" i="55"/>
  <c r="BY316" i="55" s="1"/>
  <c r="DC316" i="55"/>
  <c r="I316" i="55" s="1"/>
  <c r="DD316" i="55" s="1"/>
  <c r="DN316" i="55"/>
  <c r="DB316" i="55"/>
  <c r="CC316" i="55"/>
  <c r="CD316" i="55"/>
  <c r="CQ316" i="55"/>
  <c r="CA316" i="55"/>
  <c r="DI316" i="55"/>
  <c r="H316" i="55" s="1"/>
  <c r="DJ316" i="55" s="1"/>
  <c r="BP316" i="55"/>
  <c r="BT316" i="55"/>
  <c r="CO316" i="55"/>
  <c r="CP316" i="55" s="1"/>
  <c r="Y316" i="55" s="1"/>
  <c r="BO316" i="55"/>
  <c r="JH300" i="55"/>
  <c r="JI300" i="55" s="1"/>
  <c r="FF300" i="55"/>
  <c r="DC300" i="55"/>
  <c r="I300" i="55" s="1"/>
  <c r="DD300" i="55" s="1"/>
  <c r="GA300" i="55"/>
  <c r="BY300" i="55" s="1"/>
  <c r="DN300" i="55"/>
  <c r="DB300" i="55"/>
  <c r="CC300" i="55"/>
  <c r="CD300" i="55"/>
  <c r="CO300" i="55"/>
  <c r="CP300" i="55" s="1"/>
  <c r="Y300" i="55" s="1"/>
  <c r="CQ300" i="55"/>
  <c r="CA300" i="55"/>
  <c r="JH284" i="55"/>
  <c r="JI284" i="55" s="1"/>
  <c r="GA284" i="55"/>
  <c r="BY284" i="55" s="1"/>
  <c r="FF284" i="55"/>
  <c r="DC284" i="55"/>
  <c r="I284" i="55" s="1"/>
  <c r="DD284" i="55" s="1"/>
  <c r="DN284" i="55"/>
  <c r="DB284" i="55"/>
  <c r="CC284" i="55"/>
  <c r="CD284" i="55"/>
  <c r="DI284" i="55"/>
  <c r="H284" i="55" s="1"/>
  <c r="DJ284" i="55" s="1"/>
  <c r="CQ284" i="55"/>
  <c r="CO284" i="55"/>
  <c r="CP284" i="55" s="1"/>
  <c r="Y284" i="55" s="1"/>
  <c r="CA284" i="55"/>
  <c r="BT284" i="55"/>
  <c r="BP284" i="55"/>
  <c r="JH268" i="55"/>
  <c r="JI268" i="55" s="1"/>
  <c r="GA268" i="55"/>
  <c r="FF268" i="55"/>
  <c r="DC268" i="55"/>
  <c r="I268" i="55" s="1"/>
  <c r="DD268" i="55" s="1"/>
  <c r="DN268" i="55"/>
  <c r="DB268" i="55"/>
  <c r="CC268" i="55"/>
  <c r="CQ268" i="55"/>
  <c r="CD268" i="55"/>
  <c r="DI268" i="55"/>
  <c r="H268" i="55" s="1"/>
  <c r="DJ268" i="55" s="1"/>
  <c r="CA268" i="55"/>
  <c r="CO268" i="55"/>
  <c r="CP268" i="55" s="1"/>
  <c r="Y268" i="55" s="1"/>
  <c r="P268" i="55"/>
  <c r="BY268" i="55"/>
  <c r="JH252" i="55"/>
  <c r="JI252" i="55" s="1"/>
  <c r="GA252" i="55"/>
  <c r="DC252" i="55"/>
  <c r="I252" i="55" s="1"/>
  <c r="DD252" i="55" s="1"/>
  <c r="DN252" i="55"/>
  <c r="DB252" i="55"/>
  <c r="CC252" i="55"/>
  <c r="CD252" i="55"/>
  <c r="FF252" i="55"/>
  <c r="DI252" i="55"/>
  <c r="H252" i="55" s="1"/>
  <c r="DJ252" i="55" s="1"/>
  <c r="CA252" i="55"/>
  <c r="BY252" i="55"/>
  <c r="CQ252" i="55"/>
  <c r="CO252" i="55"/>
  <c r="CP252" i="55" s="1"/>
  <c r="Y252" i="55" s="1"/>
  <c r="EL252" i="55"/>
  <c r="BO252" i="55"/>
  <c r="BQ252" i="55" s="1"/>
  <c r="JH236" i="55"/>
  <c r="JI236" i="55" s="1"/>
  <c r="FF236" i="55"/>
  <c r="GA236" i="55"/>
  <c r="DC236" i="55"/>
  <c r="I236" i="55" s="1"/>
  <c r="DD236" i="55" s="1"/>
  <c r="DN236" i="55"/>
  <c r="DB236" i="55"/>
  <c r="CC236" i="55"/>
  <c r="CD236" i="55"/>
  <c r="DI236" i="55"/>
  <c r="H236" i="55" s="1"/>
  <c r="DJ236" i="55" s="1"/>
  <c r="CO236" i="55"/>
  <c r="CP236" i="55" s="1"/>
  <c r="Y236" i="55" s="1"/>
  <c r="BT236" i="55"/>
  <c r="CA236" i="55"/>
  <c r="BY236" i="55"/>
  <c r="BP236" i="55"/>
  <c r="JH220" i="55"/>
  <c r="JI220" i="55" s="1"/>
  <c r="GA220" i="55"/>
  <c r="BY220" i="55" s="1"/>
  <c r="FF220" i="55"/>
  <c r="DC220" i="55"/>
  <c r="I220" i="55" s="1"/>
  <c r="DD220" i="55" s="1"/>
  <c r="DN220" i="55"/>
  <c r="DB220" i="55"/>
  <c r="CC220" i="55"/>
  <c r="CD220" i="55"/>
  <c r="CQ220" i="55"/>
  <c r="DI220" i="55"/>
  <c r="H220" i="55" s="1"/>
  <c r="DJ220" i="55" s="1"/>
  <c r="BO220" i="55"/>
  <c r="P220" i="55"/>
  <c r="FA220" i="55" s="1"/>
  <c r="CO220" i="55"/>
  <c r="CP220" i="55" s="1"/>
  <c r="Y220" i="55" s="1"/>
  <c r="JH204" i="55"/>
  <c r="JI204" i="55" s="1"/>
  <c r="DC204" i="55"/>
  <c r="I204" i="55" s="1"/>
  <c r="DD204" i="55" s="1"/>
  <c r="DN204" i="55"/>
  <c r="DB204" i="55"/>
  <c r="CC204" i="55"/>
  <c r="FF204" i="55"/>
  <c r="CQ204" i="55"/>
  <c r="CD204" i="55"/>
  <c r="BT204" i="55"/>
  <c r="GA204" i="55"/>
  <c r="BO204" i="55"/>
  <c r="BQ204" i="55" s="1"/>
  <c r="BY204" i="55"/>
  <c r="CA204" i="55"/>
  <c r="CO204" i="55"/>
  <c r="CP204" i="55" s="1"/>
  <c r="Y204" i="55" s="1"/>
  <c r="JH188" i="55"/>
  <c r="JI188" i="55" s="1"/>
  <c r="GA188" i="55"/>
  <c r="BY188" i="55" s="1"/>
  <c r="FF188" i="55"/>
  <c r="DC188" i="55"/>
  <c r="I188" i="55" s="1"/>
  <c r="DD188" i="55" s="1"/>
  <c r="DN188" i="55"/>
  <c r="DB188" i="55"/>
  <c r="CC188" i="55"/>
  <c r="CD188" i="55"/>
  <c r="CA188" i="55"/>
  <c r="BP188" i="55"/>
  <c r="CQ188" i="55"/>
  <c r="DI188" i="55"/>
  <c r="H188" i="55" s="1"/>
  <c r="DJ188" i="55" s="1"/>
  <c r="BO188" i="55"/>
  <c r="JH172" i="55"/>
  <c r="JI172" i="55" s="1"/>
  <c r="FF172" i="55"/>
  <c r="DC172" i="55"/>
  <c r="I172" i="55" s="1"/>
  <c r="DD172" i="55" s="1"/>
  <c r="DN172" i="55"/>
  <c r="DB172" i="55"/>
  <c r="GA172" i="55"/>
  <c r="BY172" i="55" s="1"/>
  <c r="CC172" i="55"/>
  <c r="CD172" i="55"/>
  <c r="CQ172" i="55"/>
  <c r="CO172" i="55"/>
  <c r="CP172" i="55" s="1"/>
  <c r="Y172" i="55" s="1"/>
  <c r="DI172" i="55"/>
  <c r="H172" i="55" s="1"/>
  <c r="DJ172" i="55" s="1"/>
  <c r="EL172" i="55"/>
  <c r="CA172" i="55"/>
  <c r="BP172" i="55"/>
  <c r="JH156" i="55"/>
  <c r="JI156" i="55" s="1"/>
  <c r="GA156" i="55"/>
  <c r="BY156" i="55" s="1"/>
  <c r="FF156" i="55"/>
  <c r="DC156" i="55"/>
  <c r="I156" i="55" s="1"/>
  <c r="DD156" i="55" s="1"/>
  <c r="DN156" i="55"/>
  <c r="DB156" i="55"/>
  <c r="CC156" i="55"/>
  <c r="CD156" i="55"/>
  <c r="DI156" i="55"/>
  <c r="H156" i="55" s="1"/>
  <c r="DJ156" i="55" s="1"/>
  <c r="CA156" i="55"/>
  <c r="BP156" i="55"/>
  <c r="CO156" i="55"/>
  <c r="CP156" i="55" s="1"/>
  <c r="Y156" i="55" s="1"/>
  <c r="CQ156" i="55"/>
  <c r="BT156" i="55"/>
  <c r="JH140" i="55"/>
  <c r="JI140" i="55" s="1"/>
  <c r="DC140" i="55"/>
  <c r="I140" i="55" s="1"/>
  <c r="DD140" i="55" s="1"/>
  <c r="DN140" i="55"/>
  <c r="DB140" i="55"/>
  <c r="CC140" i="55"/>
  <c r="CQ140" i="55"/>
  <c r="CD140" i="55"/>
  <c r="GA140" i="55"/>
  <c r="BY140" i="55" s="1"/>
  <c r="BT140" i="55"/>
  <c r="DI140" i="55"/>
  <c r="H140" i="55" s="1"/>
  <c r="DJ140" i="55" s="1"/>
  <c r="CO140" i="55"/>
  <c r="CP140" i="55" s="1"/>
  <c r="Y140" i="55" s="1"/>
  <c r="BO140" i="55"/>
  <c r="BQ140" i="55" s="1"/>
  <c r="BP140" i="55"/>
  <c r="JH124" i="55"/>
  <c r="JI124" i="55" s="1"/>
  <c r="DB124" i="55"/>
  <c r="DC124" i="55"/>
  <c r="I124" i="55" s="1"/>
  <c r="DD124" i="55" s="1"/>
  <c r="DN124" i="55"/>
  <c r="CC124" i="55"/>
  <c r="CD124" i="55"/>
  <c r="DI124" i="55"/>
  <c r="H124" i="55" s="1"/>
  <c r="DJ124" i="55" s="1"/>
  <c r="CA124" i="55"/>
  <c r="GA124" i="55"/>
  <c r="BY124" i="55" s="1"/>
  <c r="CQ124" i="55"/>
  <c r="JH108" i="55"/>
  <c r="JI108" i="55" s="1"/>
  <c r="DB108" i="55"/>
  <c r="DC108" i="55"/>
  <c r="I108" i="55" s="1"/>
  <c r="DD108" i="55" s="1"/>
  <c r="GA108" i="55"/>
  <c r="BY108" i="55" s="1"/>
  <c r="DN108" i="55"/>
  <c r="CO108" i="55"/>
  <c r="CP108" i="55" s="1"/>
  <c r="Y108" i="55" s="1"/>
  <c r="CC108" i="55"/>
  <c r="CD108" i="55"/>
  <c r="CQ108" i="55"/>
  <c r="DI108" i="55"/>
  <c r="H108" i="55" s="1"/>
  <c r="DJ108" i="55" s="1"/>
  <c r="BP108" i="55"/>
  <c r="BT108" i="55"/>
  <c r="JH92" i="55"/>
  <c r="JI92" i="55" s="1"/>
  <c r="GA92" i="55"/>
  <c r="BY92" i="55" s="1"/>
  <c r="DB92" i="55"/>
  <c r="DC92" i="55"/>
  <c r="I92" i="55" s="1"/>
  <c r="DD92" i="55" s="1"/>
  <c r="DN92" i="55"/>
  <c r="CO92" i="55"/>
  <c r="CP92" i="55" s="1"/>
  <c r="Y92" i="55" s="1"/>
  <c r="DI92" i="55"/>
  <c r="H92" i="55" s="1"/>
  <c r="DJ92" i="55" s="1"/>
  <c r="CC92" i="55"/>
  <c r="CD92" i="55"/>
  <c r="EL92" i="55"/>
  <c r="BO92" i="55"/>
  <c r="BQ92" i="55" s="1"/>
  <c r="JH76" i="55"/>
  <c r="JI76" i="55" s="1"/>
  <c r="GA76" i="55"/>
  <c r="DB76" i="55"/>
  <c r="DC76" i="55"/>
  <c r="I76" i="55" s="1"/>
  <c r="DD76" i="55" s="1"/>
  <c r="DN76" i="55"/>
  <c r="CO76" i="55"/>
  <c r="CP76" i="55" s="1"/>
  <c r="Y76" i="55" s="1"/>
  <c r="CC76" i="55"/>
  <c r="CQ76" i="55"/>
  <c r="CD76" i="55"/>
  <c r="BT76" i="55"/>
  <c r="BO76" i="55"/>
  <c r="BQ76" i="55" s="1"/>
  <c r="DI76" i="55"/>
  <c r="H76" i="55" s="1"/>
  <c r="DJ76" i="55" s="1"/>
  <c r="BY76" i="55"/>
  <c r="CA76" i="55"/>
  <c r="JH60" i="55"/>
  <c r="JI60" i="55" s="1"/>
  <c r="DB60" i="55"/>
  <c r="DC60" i="55"/>
  <c r="I60" i="55" s="1"/>
  <c r="DD60" i="55" s="1"/>
  <c r="DN60" i="55"/>
  <c r="CO60" i="55"/>
  <c r="CP60" i="55" s="1"/>
  <c r="Y60" i="55" s="1"/>
  <c r="CC60" i="55"/>
  <c r="CD60" i="55"/>
  <c r="CQ60" i="55"/>
  <c r="DI60" i="55"/>
  <c r="H60" i="55" s="1"/>
  <c r="DJ60" i="55" s="1"/>
  <c r="CA60" i="55"/>
  <c r="BY60" i="55"/>
  <c r="BP60" i="55"/>
  <c r="BT60" i="55"/>
  <c r="GA60" i="55"/>
  <c r="JH44" i="55"/>
  <c r="JI44" i="55" s="1"/>
  <c r="GA44" i="55"/>
  <c r="FF44" i="55"/>
  <c r="DB44" i="55"/>
  <c r="DC44" i="55"/>
  <c r="I44" i="55" s="1"/>
  <c r="DD44" i="55" s="1"/>
  <c r="DN44" i="55"/>
  <c r="CO44" i="55"/>
  <c r="CP44" i="55" s="1"/>
  <c r="Y44" i="55" s="1"/>
  <c r="CC44" i="55"/>
  <c r="CD44" i="55"/>
  <c r="CA44" i="55"/>
  <c r="CQ44" i="55"/>
  <c r="DI44" i="55"/>
  <c r="H44" i="55" s="1"/>
  <c r="DJ44" i="55" s="1"/>
  <c r="GA28" i="55"/>
  <c r="BY28" i="55" s="1"/>
  <c r="AN28" i="55" s="1"/>
  <c r="BZ28" i="55" s="1"/>
  <c r="FF28" i="55"/>
  <c r="DC28" i="55"/>
  <c r="I28" i="55" s="1"/>
  <c r="DD28" i="55" s="1"/>
  <c r="DN28" i="55"/>
  <c r="CO28" i="55"/>
  <c r="CP28" i="55" s="1"/>
  <c r="Y28" i="55" s="1"/>
  <c r="GI28" i="55"/>
  <c r="CC28" i="55"/>
  <c r="CD28" i="55"/>
  <c r="CQ28" i="55"/>
  <c r="EL28" i="55"/>
  <c r="BT28" i="55"/>
  <c r="BO28" i="55"/>
  <c r="BQ28" i="55" s="1"/>
  <c r="E28" i="55" s="1"/>
  <c r="BR28" i="55" s="1"/>
  <c r="BS28" i="55" s="1"/>
  <c r="GL28" i="55" s="1"/>
  <c r="JH12" i="55"/>
  <c r="JI12" i="55" s="1"/>
  <c r="GA12" i="55"/>
  <c r="BY12" i="55" s="1"/>
  <c r="DB12" i="55"/>
  <c r="DC12" i="55"/>
  <c r="I12" i="55" s="1"/>
  <c r="DD12" i="55" s="1"/>
  <c r="FF12" i="55"/>
  <c r="DN12" i="55"/>
  <c r="CO12" i="55"/>
  <c r="CP12" i="55" s="1"/>
  <c r="Y12" i="55" s="1"/>
  <c r="CC12" i="55"/>
  <c r="CQ12" i="55"/>
  <c r="CD12" i="55"/>
  <c r="DI12" i="55"/>
  <c r="H12" i="55" s="1"/>
  <c r="DJ12" i="55" s="1"/>
  <c r="BT12" i="55"/>
  <c r="BP12" i="55"/>
  <c r="BF170" i="55"/>
  <c r="BG170" i="55" s="1"/>
  <c r="BI170" i="55" s="1" a="1"/>
  <c r="BI170" i="55" s="1"/>
  <c r="C170" i="55" s="1"/>
  <c r="BJ170" i="55" s="1"/>
  <c r="BE170" i="55"/>
  <c r="P170" i="55" s="1"/>
  <c r="FA170" i="55" s="1"/>
  <c r="BE322" i="55"/>
  <c r="P322" i="55" s="1"/>
  <c r="BE193" i="55"/>
  <c r="P193" i="55" s="1"/>
  <c r="BE65" i="55"/>
  <c r="BI65" i="55" s="1" a="1"/>
  <c r="BI65" i="55" s="1"/>
  <c r="BF258" i="55"/>
  <c r="BG258" i="55" s="1"/>
  <c r="BI258" i="55" s="1" a="1"/>
  <c r="BI258" i="55" s="1"/>
  <c r="C258" i="55" s="1"/>
  <c r="BJ258" i="55" s="1"/>
  <c r="BF186" i="55"/>
  <c r="BG186" i="55" s="1"/>
  <c r="BI186" i="55" s="1" a="1"/>
  <c r="BI186" i="55" s="1"/>
  <c r="C186" i="55" s="1"/>
  <c r="BJ186" i="55" s="1"/>
  <c r="BQ331" i="55"/>
  <c r="BI235" i="55" a="1"/>
  <c r="BI235" i="55" s="1"/>
  <c r="BI284" i="55" a="1"/>
  <c r="BI284" i="55" s="1"/>
  <c r="C284" i="55" s="1"/>
  <c r="BJ284" i="55" s="1"/>
  <c r="BN225" i="55"/>
  <c r="S225" i="55" s="1"/>
  <c r="BN127" i="55"/>
  <c r="S127" i="55" s="1"/>
  <c r="BO308" i="55"/>
  <c r="BO12" i="55"/>
  <c r="GG321" i="55"/>
  <c r="GD321" i="55"/>
  <c r="GD289" i="55"/>
  <c r="GG289" i="55"/>
  <c r="GG129" i="55"/>
  <c r="GD129" i="55"/>
  <c r="BQ290" i="55"/>
  <c r="BT92" i="55"/>
  <c r="HY321" i="55"/>
  <c r="HX321" i="55"/>
  <c r="EL321" i="55"/>
  <c r="HX292" i="55"/>
  <c r="HY292" i="55"/>
  <c r="EL292" i="55"/>
  <c r="HY255" i="55"/>
  <c r="HX255" i="55"/>
  <c r="EL255" i="55"/>
  <c r="HX223" i="55"/>
  <c r="HY223" i="55"/>
  <c r="EL223" i="55"/>
  <c r="HX183" i="55"/>
  <c r="HY183" i="55"/>
  <c r="EL183" i="55"/>
  <c r="HY158" i="55"/>
  <c r="HX158" i="55"/>
  <c r="HX116" i="55"/>
  <c r="HY116" i="55"/>
  <c r="EL116" i="55"/>
  <c r="HY14" i="55"/>
  <c r="HX14" i="55"/>
  <c r="EL14" i="55"/>
  <c r="GN347" i="55"/>
  <c r="EJ347" i="55"/>
  <c r="GN331" i="55"/>
  <c r="EJ331" i="55"/>
  <c r="GN315" i="55"/>
  <c r="EJ315" i="55"/>
  <c r="GN299" i="55"/>
  <c r="EJ299" i="55"/>
  <c r="GN283" i="55"/>
  <c r="EJ283" i="55"/>
  <c r="DL283" i="55"/>
  <c r="EJ267" i="55"/>
  <c r="GN267" i="55"/>
  <c r="GN251" i="55"/>
  <c r="EJ251" i="55"/>
  <c r="GN235" i="55"/>
  <c r="EJ235" i="55"/>
  <c r="EJ219" i="55"/>
  <c r="GN219" i="55"/>
  <c r="DL203" i="55"/>
  <c r="GN203" i="55"/>
  <c r="EJ203" i="55"/>
  <c r="EJ187" i="55"/>
  <c r="GN187" i="55"/>
  <c r="GN171" i="55"/>
  <c r="EJ171" i="55"/>
  <c r="GN155" i="55"/>
  <c r="GN139" i="55"/>
  <c r="EJ139" i="55"/>
  <c r="DL139" i="55"/>
  <c r="EJ123" i="55"/>
  <c r="GN123" i="55"/>
  <c r="DL123" i="55"/>
  <c r="GN107" i="55"/>
  <c r="EJ107" i="55"/>
  <c r="GN91" i="55"/>
  <c r="EJ91" i="55"/>
  <c r="GN75" i="55"/>
  <c r="EJ75" i="55"/>
  <c r="GN59" i="55"/>
  <c r="EJ59" i="55"/>
  <c r="GN43" i="55"/>
  <c r="EJ43" i="55"/>
  <c r="GN27" i="55"/>
  <c r="EJ27" i="55"/>
  <c r="DL27" i="55"/>
  <c r="EJ10" i="55"/>
  <c r="GN10" i="55"/>
  <c r="BY44" i="55"/>
  <c r="EX344" i="55"/>
  <c r="EC344" i="55"/>
  <c r="EX328" i="55"/>
  <c r="EC328" i="55"/>
  <c r="EX312" i="55"/>
  <c r="EC312" i="55"/>
  <c r="EX296" i="55"/>
  <c r="EC296" i="55"/>
  <c r="EY296" i="55" s="1"/>
  <c r="EX280" i="55"/>
  <c r="EC280" i="55"/>
  <c r="EX264" i="55"/>
  <c r="EC264" i="55"/>
  <c r="EX248" i="55"/>
  <c r="EC248" i="55"/>
  <c r="EX232" i="55"/>
  <c r="EC232" i="55"/>
  <c r="EX216" i="55"/>
  <c r="EC216" i="55"/>
  <c r="EX200" i="55"/>
  <c r="EC200" i="55"/>
  <c r="EX184" i="55"/>
  <c r="EC184" i="55"/>
  <c r="EX168" i="55"/>
  <c r="EC168" i="55"/>
  <c r="EY168" i="55" s="1"/>
  <c r="EX152" i="55"/>
  <c r="EC152" i="55"/>
  <c r="EX136" i="55"/>
  <c r="EC136" i="55"/>
  <c r="EX120" i="55"/>
  <c r="EC120" i="55"/>
  <c r="EX104" i="55"/>
  <c r="EC104" i="55"/>
  <c r="EX88" i="55"/>
  <c r="EC88" i="55"/>
  <c r="EX72" i="55"/>
  <c r="EC72" i="55"/>
  <c r="EX56" i="55"/>
  <c r="EC56" i="55"/>
  <c r="EX39" i="55"/>
  <c r="EC39" i="55"/>
  <c r="CC260" i="55"/>
  <c r="CC132" i="55"/>
  <c r="FY351" i="55"/>
  <c r="FX351" i="55" a="1"/>
  <c r="FX351" i="55" s="1"/>
  <c r="CR150" i="55" a="1"/>
  <c r="CR150" i="55" s="1"/>
  <c r="JW70" i="55"/>
  <c r="IC70" i="55"/>
  <c r="GB70" i="55"/>
  <c r="GC70" i="55" s="1"/>
  <c r="GE70" i="55" s="1" a="1"/>
  <c r="GE70" i="55" s="1"/>
  <c r="GF70" i="55" s="1"/>
  <c r="CR70" i="55" a="1"/>
  <c r="CR70" i="55" s="1"/>
  <c r="CS70" i="55" s="1"/>
  <c r="DS70" i="55"/>
  <c r="CN299" i="55"/>
  <c r="CQ276" i="55"/>
  <c r="DN180" i="55"/>
  <c r="EB267" i="55"/>
  <c r="EJ155" i="55"/>
  <c r="BW350" i="55"/>
  <c r="FG350" i="55"/>
  <c r="BS350" i="55"/>
  <c r="GL350" i="55" s="1"/>
  <c r="FG334" i="55"/>
  <c r="FG318" i="55"/>
  <c r="BS318" i="55"/>
  <c r="GL318" i="55" s="1"/>
  <c r="BQ318" i="55"/>
  <c r="FG302" i="55"/>
  <c r="CE302" i="55" s="1" a="1"/>
  <c r="CE302" i="55" s="1"/>
  <c r="BQ302" i="55"/>
  <c r="BS302" i="55"/>
  <c r="GL302" i="55" s="1"/>
  <c r="FG286" i="55"/>
  <c r="BW286" i="55"/>
  <c r="BQ286" i="55"/>
  <c r="BI286" i="55" a="1"/>
  <c r="BI286" i="55" s="1"/>
  <c r="C286" i="55" s="1"/>
  <c r="BJ286" i="55" s="1"/>
  <c r="FG270" i="55"/>
  <c r="CE270" i="55" s="1" a="1"/>
  <c r="CE270" i="55" s="1"/>
  <c r="EK270" i="55" s="1"/>
  <c r="BS270" i="55"/>
  <c r="FG254" i="55"/>
  <c r="FG238" i="55"/>
  <c r="BS238" i="55"/>
  <c r="GL238" i="55" s="1"/>
  <c r="BW222" i="55"/>
  <c r="FG222" i="55"/>
  <c r="CE222" i="55" s="1" a="1"/>
  <c r="CE222" i="55" s="1"/>
  <c r="EK222" i="55" s="1"/>
  <c r="FG206" i="55"/>
  <c r="CE206" i="55" s="1" a="1"/>
  <c r="CE206" i="55" s="1"/>
  <c r="EK206" i="55" s="1"/>
  <c r="FG190" i="55"/>
  <c r="CE190" i="55" s="1" a="1"/>
  <c r="CE190" i="55" s="1"/>
  <c r="FG174" i="55"/>
  <c r="BQ174" i="55"/>
  <c r="BS174" i="55"/>
  <c r="BW158" i="55"/>
  <c r="BQ158" i="55"/>
  <c r="FG158" i="55"/>
  <c r="FG142" i="55"/>
  <c r="FG126" i="55"/>
  <c r="CE126" i="55" s="1" a="1"/>
  <c r="CE126" i="55" s="1"/>
  <c r="FG110" i="55"/>
  <c r="FG94" i="55"/>
  <c r="CE94" i="55" a="1"/>
  <c r="CE94" i="55" s="1"/>
  <c r="BW94" i="55"/>
  <c r="BS94" i="55"/>
  <c r="GL94" i="55" s="1"/>
  <c r="FG78" i="55"/>
  <c r="BW78" i="55"/>
  <c r="BS78" i="55"/>
  <c r="FG62" i="55"/>
  <c r="BI62" i="55" a="1"/>
  <c r="BI62" i="55" s="1"/>
  <c r="FG46" i="55"/>
  <c r="BQ46" i="55"/>
  <c r="BS46" i="55"/>
  <c r="GL46" i="55" s="1"/>
  <c r="BW46" i="55"/>
  <c r="FG30" i="55"/>
  <c r="CE30" i="55" s="1" a="1"/>
  <c r="CE30" i="55" s="1"/>
  <c r="EK30" i="55" s="1"/>
  <c r="BW30" i="55"/>
  <c r="BQ30" i="55"/>
  <c r="E30" i="55" s="1"/>
  <c r="BR30" i="55" s="1"/>
  <c r="BS30" i="55" s="1"/>
  <c r="HV14" i="55"/>
  <c r="FG14" i="55"/>
  <c r="BI350" i="55" a="1"/>
  <c r="BI350" i="55" s="1"/>
  <c r="BI142" i="55" a="1"/>
  <c r="BI142" i="55" s="1"/>
  <c r="GJ349" i="55"/>
  <c r="BN349" i="55"/>
  <c r="GP333" i="55"/>
  <c r="GJ333" i="55"/>
  <c r="S333" i="55"/>
  <c r="IL317" i="55"/>
  <c r="IM317" i="55" s="1"/>
  <c r="GJ317" i="55"/>
  <c r="GP301" i="55"/>
  <c r="GJ301" i="55"/>
  <c r="S301" i="55"/>
  <c r="GJ285" i="55"/>
  <c r="GJ269" i="55"/>
  <c r="GJ253" i="55"/>
  <c r="S253" i="55"/>
  <c r="GP253" i="55"/>
  <c r="GP237" i="55"/>
  <c r="GJ237" i="55"/>
  <c r="S237" i="55"/>
  <c r="GJ221" i="55"/>
  <c r="GP221" i="55"/>
  <c r="S221" i="55"/>
  <c r="GJ205" i="55"/>
  <c r="GJ189" i="55"/>
  <c r="GJ173" i="55"/>
  <c r="BN173" i="55"/>
  <c r="S173" i="55" s="1"/>
  <c r="GP157" i="55"/>
  <c r="S157" i="55"/>
  <c r="GJ157" i="55"/>
  <c r="GJ141" i="55"/>
  <c r="GP125" i="55"/>
  <c r="GJ125" i="55"/>
  <c r="S125" i="55"/>
  <c r="GJ109" i="55"/>
  <c r="GJ93" i="55"/>
  <c r="GJ77" i="55"/>
  <c r="BN77" i="55"/>
  <c r="S77" i="55" s="1"/>
  <c r="GJ61" i="55"/>
  <c r="S61" i="55"/>
  <c r="GP61" i="55"/>
  <c r="GJ45" i="55"/>
  <c r="GP45" i="55"/>
  <c r="GQ45" i="55"/>
  <c r="S45" i="55"/>
  <c r="GJ29" i="55"/>
  <c r="GJ13" i="55"/>
  <c r="BN189" i="55"/>
  <c r="BN13" i="55"/>
  <c r="GP13" i="55" s="1"/>
  <c r="GD113" i="55"/>
  <c r="GG113" i="55"/>
  <c r="GG65" i="55"/>
  <c r="GD65" i="55"/>
  <c r="BQ334" i="55"/>
  <c r="BQ254" i="55"/>
  <c r="BS286" i="55"/>
  <c r="GL286" i="55" s="1"/>
  <c r="BS206" i="55"/>
  <c r="HY265" i="55"/>
  <c r="HX265" i="55"/>
  <c r="EL265" i="55"/>
  <c r="HY200" i="55"/>
  <c r="HX200" i="55"/>
  <c r="EL200" i="55"/>
  <c r="HX169" i="55"/>
  <c r="HY169" i="55"/>
  <c r="HY135" i="55"/>
  <c r="HX135" i="55"/>
  <c r="HX78" i="55"/>
  <c r="HY78" i="55"/>
  <c r="EL78" i="55"/>
  <c r="HY7" i="55"/>
  <c r="HX7" i="55"/>
  <c r="BW190" i="55"/>
  <c r="BW62" i="55"/>
  <c r="GN341" i="55"/>
  <c r="DL341" i="55"/>
  <c r="EJ341" i="55"/>
  <c r="GN325" i="55"/>
  <c r="DL325" i="55"/>
  <c r="EJ325" i="55"/>
  <c r="EJ309" i="55"/>
  <c r="GN309" i="55"/>
  <c r="GN293" i="55"/>
  <c r="GN277" i="55"/>
  <c r="EJ277" i="55"/>
  <c r="DL277" i="55"/>
  <c r="DL261" i="55"/>
  <c r="EJ261" i="55"/>
  <c r="GN261" i="55"/>
  <c r="GN245" i="55"/>
  <c r="EJ245" i="55"/>
  <c r="GN229" i="55"/>
  <c r="GN213" i="55"/>
  <c r="DL213" i="55"/>
  <c r="EJ213" i="55"/>
  <c r="GN197" i="55"/>
  <c r="EJ197" i="55"/>
  <c r="EJ181" i="55"/>
  <c r="DL181" i="55"/>
  <c r="GN181" i="55"/>
  <c r="GN165" i="55"/>
  <c r="EJ165" i="55"/>
  <c r="EJ149" i="55"/>
  <c r="GN149" i="55"/>
  <c r="GN133" i="55"/>
  <c r="EJ133" i="55"/>
  <c r="EJ117" i="55"/>
  <c r="DL117" i="55"/>
  <c r="GN117" i="55"/>
  <c r="EJ101" i="55"/>
  <c r="GN101" i="55"/>
  <c r="GN85" i="55"/>
  <c r="DL85" i="55"/>
  <c r="EJ85" i="55"/>
  <c r="GN69" i="55"/>
  <c r="EJ69" i="55"/>
  <c r="GN53" i="55"/>
  <c r="EJ53" i="55"/>
  <c r="DL53" i="55"/>
  <c r="GN37" i="55"/>
  <c r="DL37" i="55"/>
  <c r="GN20" i="55"/>
  <c r="DL20" i="55"/>
  <c r="GN4" i="55"/>
  <c r="EJ4" i="55"/>
  <c r="EX342" i="55"/>
  <c r="EC342" i="55"/>
  <c r="EX326" i="55"/>
  <c r="EC326" i="55"/>
  <c r="EX310" i="55"/>
  <c r="EC310" i="55"/>
  <c r="EX294" i="55"/>
  <c r="EC294" i="55"/>
  <c r="EY294" i="55" s="1"/>
  <c r="EX278" i="55"/>
  <c r="EC278" i="55"/>
  <c r="EX262" i="55"/>
  <c r="EC262" i="55"/>
  <c r="EX246" i="55"/>
  <c r="EC246" i="55"/>
  <c r="EX230" i="55"/>
  <c r="EC230" i="55"/>
  <c r="EX214" i="55"/>
  <c r="EC214" i="55"/>
  <c r="EX198" i="55"/>
  <c r="EC198" i="55"/>
  <c r="EX182" i="55"/>
  <c r="EC182" i="55"/>
  <c r="EX166" i="55"/>
  <c r="EC166" i="55"/>
  <c r="EY166" i="55" s="1"/>
  <c r="EX150" i="55"/>
  <c r="EC150" i="55"/>
  <c r="EX134" i="55"/>
  <c r="EC134" i="55"/>
  <c r="EX118" i="55"/>
  <c r="EC118" i="55"/>
  <c r="EX102" i="55"/>
  <c r="EC102" i="55"/>
  <c r="EX86" i="55"/>
  <c r="EC86" i="55"/>
  <c r="EX70" i="55"/>
  <c r="EC70" i="55"/>
  <c r="EX54" i="55"/>
  <c r="EC54" i="55"/>
  <c r="EY54" i="55" s="1"/>
  <c r="DZ304" i="55"/>
  <c r="EB240" i="55"/>
  <c r="FY63" i="55"/>
  <c r="FX63" i="55" a="1"/>
  <c r="FX63" i="55" s="1"/>
  <c r="JW326" i="55"/>
  <c r="IC326" i="55"/>
  <c r="GB326" i="55"/>
  <c r="GC326" i="55" s="1"/>
  <c r="GE326" i="55" s="1" a="1"/>
  <c r="GE326" i="55" s="1"/>
  <c r="GF326" i="55" s="1"/>
  <c r="FW326" i="55"/>
  <c r="CR326" i="55" a="1"/>
  <c r="CR326" i="55" s="1"/>
  <c r="CS326" i="55" s="1"/>
  <c r="DS326" i="55"/>
  <c r="JW279" i="55"/>
  <c r="IC279" i="55"/>
  <c r="GB279" i="55"/>
  <c r="GC279" i="55" s="1"/>
  <c r="DS279" i="55"/>
  <c r="V279" i="55"/>
  <c r="JW201" i="55"/>
  <c r="IC201" i="55"/>
  <c r="GB201" i="55"/>
  <c r="GC201" i="55" s="1"/>
  <c r="GE201" i="55" s="1" a="1"/>
  <c r="GE201" i="55" s="1"/>
  <c r="GF201" i="55" s="1"/>
  <c r="DS201" i="55"/>
  <c r="FW201" i="55"/>
  <c r="CS201" i="55"/>
  <c r="U201" i="55"/>
  <c r="JW169" i="55"/>
  <c r="IC169" i="55"/>
  <c r="GB169" i="55"/>
  <c r="GC169" i="55" s="1"/>
  <c r="DS169" i="55"/>
  <c r="FW169" i="55"/>
  <c r="CR169" i="55" a="1"/>
  <c r="CR169" i="55" s="1"/>
  <c r="CS169" i="55" s="1"/>
  <c r="U169" i="55"/>
  <c r="JW127" i="55"/>
  <c r="DS127" i="55"/>
  <c r="GB127" i="55"/>
  <c r="GC127" i="55" s="1"/>
  <c r="JW46" i="55"/>
  <c r="GB46" i="55"/>
  <c r="GC46" i="55" s="1"/>
  <c r="DS46" i="55"/>
  <c r="JW11" i="55"/>
  <c r="IC11" i="55"/>
  <c r="GB11" i="55"/>
  <c r="GC11" i="55" s="1"/>
  <c r="DS11" i="55"/>
  <c r="CR11" i="55" a="1"/>
  <c r="CR11" i="55" s="1"/>
  <c r="GB193" i="55"/>
  <c r="GC193" i="55" s="1"/>
  <c r="GE193" i="55" s="1" a="1"/>
  <c r="GE193" i="55" s="1"/>
  <c r="GF193" i="55" s="1"/>
  <c r="FG349" i="55"/>
  <c r="FG333" i="55"/>
  <c r="BW333" i="55"/>
  <c r="HV317" i="55"/>
  <c r="FG317" i="55"/>
  <c r="BW317" i="55"/>
  <c r="BS301" i="55"/>
  <c r="FG285" i="55"/>
  <c r="CE285" i="55" s="1" a="1"/>
  <c r="CE285" i="55" s="1"/>
  <c r="EK285" i="55" s="1"/>
  <c r="BS285" i="55"/>
  <c r="GL285" i="55" s="1"/>
  <c r="BW285" i="55"/>
  <c r="FG269" i="55"/>
  <c r="BW269" i="55"/>
  <c r="FG253" i="55"/>
  <c r="CE253" i="55" s="1" a="1"/>
  <c r="CE253" i="55" s="1"/>
  <c r="EK253" i="55" s="1"/>
  <c r="BS253" i="55"/>
  <c r="BW253" i="55"/>
  <c r="FG237" i="55"/>
  <c r="BQ237" i="55"/>
  <c r="FG221" i="55"/>
  <c r="CE221" i="55" s="1" a="1"/>
  <c r="CE221" i="55" s="1"/>
  <c r="EK221" i="55" s="1"/>
  <c r="BS221" i="55"/>
  <c r="GL221" i="55" s="1"/>
  <c r="BQ221" i="55"/>
  <c r="BW221" i="55"/>
  <c r="FG205" i="55"/>
  <c r="BW205" i="55"/>
  <c r="FG189" i="55"/>
  <c r="BW189" i="55"/>
  <c r="FG173" i="55"/>
  <c r="BW173" i="55"/>
  <c r="BS173" i="55"/>
  <c r="GL173" i="55" s="1"/>
  <c r="FG157" i="55"/>
  <c r="CE157" i="55" s="1" a="1"/>
  <c r="CE157" i="55" s="1"/>
  <c r="EK157" i="55" s="1"/>
  <c r="BS157" i="55"/>
  <c r="BQ157" i="55"/>
  <c r="BW141" i="55"/>
  <c r="FG141" i="55"/>
  <c r="BQ141" i="55"/>
  <c r="BS141" i="55"/>
  <c r="GL141" i="55" s="1"/>
  <c r="FG125" i="55"/>
  <c r="FG109" i="55"/>
  <c r="BW109" i="55"/>
  <c r="BS109" i="55"/>
  <c r="GL109" i="55" s="1"/>
  <c r="FG93" i="55"/>
  <c r="CE93" i="55" s="1" a="1"/>
  <c r="CE93" i="55" s="1"/>
  <c r="BS93" i="55"/>
  <c r="BQ93" i="55"/>
  <c r="FG77" i="55"/>
  <c r="CE77" i="55" s="1" a="1"/>
  <c r="CE77" i="55" s="1"/>
  <c r="BW77" i="55"/>
  <c r="FG61" i="55"/>
  <c r="BW61" i="55"/>
  <c r="BS61" i="55"/>
  <c r="GL61" i="55" s="1"/>
  <c r="FG45" i="55"/>
  <c r="BQ45" i="55"/>
  <c r="FG29" i="55"/>
  <c r="BW29" i="55"/>
  <c r="HV29" i="55"/>
  <c r="HV13" i="55"/>
  <c r="BW13" i="55"/>
  <c r="FG13" i="55"/>
  <c r="BI13" i="55" a="1"/>
  <c r="BI13" i="55" s="1"/>
  <c r="BI173" i="55" a="1"/>
  <c r="BI173" i="55" s="1"/>
  <c r="C173" i="55" s="1"/>
  <c r="BJ173" i="55" s="1"/>
  <c r="BI110" i="55" a="1"/>
  <c r="BI110" i="55" s="1"/>
  <c r="GJ348" i="55"/>
  <c r="BN348" i="55"/>
  <c r="GP348" i="55" s="1"/>
  <c r="S348" i="55"/>
  <c r="GP332" i="55"/>
  <c r="GJ332" i="55"/>
  <c r="GP316" i="55"/>
  <c r="GJ316" i="55"/>
  <c r="GJ300" i="55"/>
  <c r="GP300" i="55"/>
  <c r="GJ284" i="55"/>
  <c r="BN284" i="55"/>
  <c r="S284" i="55" s="1"/>
  <c r="GP268" i="55"/>
  <c r="GJ268" i="55"/>
  <c r="GJ252" i="55"/>
  <c r="GP236" i="55"/>
  <c r="GJ236" i="55"/>
  <c r="GJ220" i="55"/>
  <c r="BN220" i="55"/>
  <c r="S220" i="55" s="1"/>
  <c r="GJ204" i="55"/>
  <c r="GP204" i="55"/>
  <c r="GP188" i="55"/>
  <c r="GJ188" i="55"/>
  <c r="GP172" i="55"/>
  <c r="GJ172" i="55"/>
  <c r="GP156" i="55"/>
  <c r="GJ156" i="55"/>
  <c r="GJ140" i="55"/>
  <c r="GP124" i="55"/>
  <c r="GJ124" i="55"/>
  <c r="GP108" i="55"/>
  <c r="GJ108" i="55"/>
  <c r="GJ92" i="55"/>
  <c r="BN92" i="55"/>
  <c r="S92" i="55" s="1"/>
  <c r="GJ76" i="55"/>
  <c r="BN76" i="55"/>
  <c r="GP60" i="55"/>
  <c r="GJ60" i="55"/>
  <c r="GJ44" i="55"/>
  <c r="GP44" i="55"/>
  <c r="GQ44" i="55"/>
  <c r="GP28" i="55"/>
  <c r="GQ28" i="55" s="1"/>
  <c r="GR28" i="55" s="1"/>
  <c r="GJ28" i="55"/>
  <c r="GJ12" i="55"/>
  <c r="BN188" i="55"/>
  <c r="S188" i="55" s="1"/>
  <c r="BN12" i="55"/>
  <c r="BS205" i="55"/>
  <c r="BS126" i="55"/>
  <c r="GL126" i="55" s="1"/>
  <c r="HY335" i="55"/>
  <c r="HX335" i="55"/>
  <c r="HX264" i="55"/>
  <c r="HY264" i="55"/>
  <c r="HY197" i="55"/>
  <c r="HX197" i="55"/>
  <c r="EL197" i="55"/>
  <c r="HY39" i="55"/>
  <c r="HX39" i="55"/>
  <c r="HX5" i="55"/>
  <c r="HY5" i="55"/>
  <c r="EL5" i="55"/>
  <c r="BW142" i="55"/>
  <c r="FX305" i="55" a="1"/>
  <c r="FX305" i="55" s="1"/>
  <c r="FZ305" i="55" s="1"/>
  <c r="FY305" i="55"/>
  <c r="JW278" i="55"/>
  <c r="IC278" i="55"/>
  <c r="GB278" i="55"/>
  <c r="GC278" i="55" s="1"/>
  <c r="GE278" i="55" s="1" a="1"/>
  <c r="GE278" i="55" s="1"/>
  <c r="GF278" i="55" s="1"/>
  <c r="DS278" i="55"/>
  <c r="JW199" i="55"/>
  <c r="IC199" i="55"/>
  <c r="GB199" i="55"/>
  <c r="GC199" i="55" s="1"/>
  <c r="GE199" i="55" s="1" a="1"/>
  <c r="GE199" i="55" s="1"/>
  <c r="GF199" i="55" s="1"/>
  <c r="FW199" i="55"/>
  <c r="CR199" i="55" a="1"/>
  <c r="CR199" i="55" s="1"/>
  <c r="CS199" i="55" s="1"/>
  <c r="JW167" i="55"/>
  <c r="GB167" i="55"/>
  <c r="GC167" i="55" s="1"/>
  <c r="IC167" i="55"/>
  <c r="DS167" i="55"/>
  <c r="FW167" i="55"/>
  <c r="JW126" i="55"/>
  <c r="IC126" i="55"/>
  <c r="DS126" i="55"/>
  <c r="GB126" i="55"/>
  <c r="GC126" i="55" s="1"/>
  <c r="CR126" i="55" a="1"/>
  <c r="CR126" i="55" s="1"/>
  <c r="CS126" i="55" s="1"/>
  <c r="JW86" i="55"/>
  <c r="IC86" i="55"/>
  <c r="GB86" i="55"/>
  <c r="GC86" i="55" s="1"/>
  <c r="CR86" i="55" a="1"/>
  <c r="CR86" i="55" s="1"/>
  <c r="JW9" i="55"/>
  <c r="IC9" i="55"/>
  <c r="GB9" i="55"/>
  <c r="GC9" i="55" s="1"/>
  <c r="DS9" i="55"/>
  <c r="U9" i="55"/>
  <c r="DG177" i="55" a="1"/>
  <c r="DG177" i="55" s="1"/>
  <c r="DF177" i="55" a="1"/>
  <c r="DF177" i="55" s="1"/>
  <c r="DE177" i="55" a="1"/>
  <c r="DE177" i="55" s="1"/>
  <c r="DH177" i="55"/>
  <c r="DX177" i="55" s="1"/>
  <c r="GY191" i="55"/>
  <c r="GX191" i="55"/>
  <c r="EY67" i="55"/>
  <c r="R67" i="55" s="1"/>
  <c r="FG284" i="55"/>
  <c r="BS284" i="55"/>
  <c r="GL284" i="55" s="1"/>
  <c r="BW284" i="55"/>
  <c r="FG268" i="55"/>
  <c r="CE268" i="55" s="1" a="1"/>
  <c r="CE268" i="55" s="1"/>
  <c r="BW268" i="55"/>
  <c r="FG252" i="55"/>
  <c r="BW252" i="55"/>
  <c r="FG236" i="55"/>
  <c r="BS236" i="55"/>
  <c r="GL236" i="55" s="1"/>
  <c r="FG220" i="55"/>
  <c r="BS220" i="55"/>
  <c r="BW220" i="55"/>
  <c r="FG204" i="55"/>
  <c r="BW204" i="55"/>
  <c r="FG188" i="55"/>
  <c r="CE188" i="55" a="1"/>
  <c r="CE188" i="55" s="1"/>
  <c r="FG172" i="55"/>
  <c r="BS172" i="55"/>
  <c r="GL172" i="55" s="1"/>
  <c r="BW172" i="55"/>
  <c r="BQ172" i="55"/>
  <c r="FG156" i="55"/>
  <c r="BS156" i="55"/>
  <c r="GL156" i="55" s="1"/>
  <c r="BW156" i="55"/>
  <c r="BQ156" i="55"/>
  <c r="FG140" i="55"/>
  <c r="BW140" i="55"/>
  <c r="BI140" i="55" a="1"/>
  <c r="BI140" i="55" s="1"/>
  <c r="FG124" i="55"/>
  <c r="FG108" i="55"/>
  <c r="BS108" i="55"/>
  <c r="GL108" i="55" s="1"/>
  <c r="FG92" i="55"/>
  <c r="BS92" i="55"/>
  <c r="BW92" i="55"/>
  <c r="FG76" i="55"/>
  <c r="BW76" i="55"/>
  <c r="FG60" i="55"/>
  <c r="BW60" i="55"/>
  <c r="FG44" i="55"/>
  <c r="BS44" i="55"/>
  <c r="BQ44" i="55"/>
  <c r="FG28" i="55"/>
  <c r="BW28" i="55"/>
  <c r="Z28" i="55" s="1"/>
  <c r="BX28" i="55" s="1"/>
  <c r="BW12" i="55"/>
  <c r="FG12" i="55"/>
  <c r="BI349" i="55" a="1"/>
  <c r="BI349" i="55" s="1"/>
  <c r="GJ347" i="55"/>
  <c r="GP331" i="55"/>
  <c r="GJ331" i="55"/>
  <c r="S331" i="55"/>
  <c r="GJ315" i="55"/>
  <c r="GJ299" i="55"/>
  <c r="GP283" i="55"/>
  <c r="GJ283" i="55"/>
  <c r="GP267" i="55"/>
  <c r="GJ267" i="55"/>
  <c r="GJ251" i="55"/>
  <c r="BN251" i="55"/>
  <c r="S251" i="55" s="1"/>
  <c r="GP235" i="55"/>
  <c r="GJ235" i="55"/>
  <c r="GP219" i="55"/>
  <c r="GJ219" i="55"/>
  <c r="GP203" i="55"/>
  <c r="GJ203" i="55"/>
  <c r="GJ187" i="55"/>
  <c r="GJ171" i="55"/>
  <c r="GP155" i="55"/>
  <c r="GJ155" i="55"/>
  <c r="GJ139" i="55"/>
  <c r="BN139" i="55"/>
  <c r="S139" i="55" s="1"/>
  <c r="GP123" i="55"/>
  <c r="GJ123" i="55"/>
  <c r="GP107" i="55"/>
  <c r="GJ107" i="55"/>
  <c r="GP91" i="55"/>
  <c r="GJ91" i="55"/>
  <c r="GJ75" i="55"/>
  <c r="GP59" i="55"/>
  <c r="GJ59" i="55"/>
  <c r="GP43" i="55"/>
  <c r="GJ43" i="55"/>
  <c r="GQ43" i="55"/>
  <c r="GJ27" i="55"/>
  <c r="GJ11" i="55"/>
  <c r="BN187" i="55"/>
  <c r="S187" i="55" s="1"/>
  <c r="BN75" i="55"/>
  <c r="S75" i="55" s="1"/>
  <c r="BN11" i="55"/>
  <c r="GG33" i="55"/>
  <c r="GD33" i="55"/>
  <c r="BQ222" i="55"/>
  <c r="BQ142" i="55"/>
  <c r="BS349" i="55"/>
  <c r="GL349" i="55" s="1"/>
  <c r="BS237" i="55"/>
  <c r="GL237" i="55" s="1"/>
  <c r="BS204" i="55"/>
  <c r="BS125" i="55"/>
  <c r="GL125" i="55" s="1"/>
  <c r="BS45" i="55"/>
  <c r="GL45" i="55" s="1"/>
  <c r="HY347" i="55"/>
  <c r="HX347" i="55"/>
  <c r="EL347" i="55"/>
  <c r="HX331" i="55"/>
  <c r="HY331" i="55"/>
  <c r="EL331" i="55"/>
  <c r="HY315" i="55"/>
  <c r="HX315" i="55"/>
  <c r="HX299" i="55"/>
  <c r="HY299" i="55"/>
  <c r="EL299" i="55"/>
  <c r="HX283" i="55"/>
  <c r="HY283" i="55"/>
  <c r="EL283" i="55"/>
  <c r="HY267" i="55"/>
  <c r="HX267" i="55"/>
  <c r="HX251" i="55"/>
  <c r="HY251" i="55"/>
  <c r="EL251" i="55"/>
  <c r="HY235" i="55"/>
  <c r="HX235" i="55"/>
  <c r="EL235" i="55"/>
  <c r="HY219" i="55"/>
  <c r="HX219" i="55"/>
  <c r="EL219" i="55"/>
  <c r="HX203" i="55"/>
  <c r="HY203" i="55"/>
  <c r="HY187" i="55"/>
  <c r="HX187" i="55"/>
  <c r="EL187" i="55"/>
  <c r="HX171" i="55"/>
  <c r="HY171" i="55"/>
  <c r="EL171" i="55"/>
  <c r="HY155" i="55"/>
  <c r="EL155" i="55"/>
  <c r="HX155" i="55"/>
  <c r="HX139" i="55"/>
  <c r="HY139" i="55"/>
  <c r="EL139" i="55"/>
  <c r="HX123" i="55"/>
  <c r="HY123" i="55"/>
  <c r="HX107" i="55"/>
  <c r="HY107" i="55"/>
  <c r="EL107" i="55"/>
  <c r="HY91" i="55"/>
  <c r="EL91" i="55"/>
  <c r="HX91" i="55"/>
  <c r="HX75" i="55"/>
  <c r="HY75" i="55"/>
  <c r="EL75" i="55"/>
  <c r="HX59" i="55"/>
  <c r="HY59" i="55"/>
  <c r="EL59" i="55"/>
  <c r="HX43" i="55"/>
  <c r="HY43" i="55"/>
  <c r="EL43" i="55"/>
  <c r="HY27" i="55"/>
  <c r="HX27" i="55"/>
  <c r="EL27" i="55"/>
  <c r="HY11" i="55"/>
  <c r="HX11" i="55"/>
  <c r="EL11" i="55"/>
  <c r="HY334" i="55"/>
  <c r="HX334" i="55"/>
  <c r="HY297" i="55"/>
  <c r="HX297" i="55"/>
  <c r="HX263" i="55"/>
  <c r="HY263" i="55"/>
  <c r="EL263" i="55"/>
  <c r="HY233" i="55"/>
  <c r="HX233" i="55"/>
  <c r="EL233" i="55"/>
  <c r="HX196" i="55"/>
  <c r="HY196" i="55"/>
  <c r="HX167" i="55"/>
  <c r="HY167" i="55"/>
  <c r="EL167" i="55"/>
  <c r="EL69" i="55"/>
  <c r="HX69" i="55"/>
  <c r="HY69" i="55"/>
  <c r="HX4" i="55"/>
  <c r="HY4" i="55"/>
  <c r="EL4" i="55"/>
  <c r="BW14" i="55"/>
  <c r="GN339" i="55"/>
  <c r="EJ339" i="55"/>
  <c r="GN323" i="55"/>
  <c r="EJ323" i="55"/>
  <c r="DL323" i="55"/>
  <c r="EJ307" i="55"/>
  <c r="DL307" i="55"/>
  <c r="GN307" i="55"/>
  <c r="GN291" i="55"/>
  <c r="EJ291" i="55"/>
  <c r="EJ275" i="55"/>
  <c r="GN275" i="55"/>
  <c r="DL275" i="55"/>
  <c r="GN259" i="55"/>
  <c r="EJ259" i="55"/>
  <c r="EJ243" i="55"/>
  <c r="GN243" i="55"/>
  <c r="GN227" i="55"/>
  <c r="EJ227" i="55"/>
  <c r="DL227" i="55"/>
  <c r="GN211" i="55"/>
  <c r="EJ211" i="55"/>
  <c r="DL211" i="55"/>
  <c r="GN195" i="55"/>
  <c r="EJ195" i="55"/>
  <c r="DL195" i="55"/>
  <c r="GN179" i="55"/>
  <c r="EJ179" i="55"/>
  <c r="DL179" i="55"/>
  <c r="EJ163" i="55"/>
  <c r="DL163" i="55"/>
  <c r="GN147" i="55"/>
  <c r="EJ147" i="55"/>
  <c r="DL147" i="55"/>
  <c r="GN131" i="55"/>
  <c r="EJ131" i="55"/>
  <c r="DL131" i="55"/>
  <c r="GN115" i="55"/>
  <c r="DL115" i="55"/>
  <c r="EJ115" i="55"/>
  <c r="GN99" i="55"/>
  <c r="EJ99" i="55"/>
  <c r="GN83" i="55"/>
  <c r="EJ83" i="55"/>
  <c r="DL83" i="55"/>
  <c r="GN67" i="55"/>
  <c r="EJ67" i="55"/>
  <c r="DL67" i="55"/>
  <c r="EJ51" i="55"/>
  <c r="DL51" i="55"/>
  <c r="GN51" i="55"/>
  <c r="EJ35" i="55"/>
  <c r="GN35" i="55"/>
  <c r="GN18" i="55"/>
  <c r="EJ18" i="55"/>
  <c r="EX16" i="55"/>
  <c r="EC16" i="55"/>
  <c r="FY223" i="55"/>
  <c r="FX223" i="55" a="1"/>
  <c r="FX223" i="55" s="1"/>
  <c r="FY175" i="55"/>
  <c r="FX175" i="55" a="1"/>
  <c r="FX175" i="55" s="1"/>
  <c r="FY143" i="55"/>
  <c r="FX143" i="55" a="1"/>
  <c r="FX143" i="55" s="1"/>
  <c r="JW341" i="55"/>
  <c r="IC341" i="55"/>
  <c r="CR341" i="55" a="1"/>
  <c r="CR341" i="55" s="1"/>
  <c r="GB341" i="55"/>
  <c r="GC341" i="55" s="1"/>
  <c r="DS341" i="55"/>
  <c r="JW325" i="55"/>
  <c r="IC325" i="55"/>
  <c r="GB325" i="55"/>
  <c r="GC325" i="55" s="1"/>
  <c r="GE325" i="55" s="1" a="1"/>
  <c r="GE325" i="55" s="1"/>
  <c r="CR325" i="55" a="1"/>
  <c r="CR325" i="55" s="1"/>
  <c r="CS325" i="55" s="1"/>
  <c r="DS325" i="55"/>
  <c r="JW309" i="55"/>
  <c r="IC309" i="55"/>
  <c r="FW309" i="55"/>
  <c r="GB309" i="55"/>
  <c r="GC309" i="55" s="1"/>
  <c r="CR309" i="55" a="1"/>
  <c r="CR309" i="55" s="1"/>
  <c r="DS309" i="55"/>
  <c r="JW277" i="55"/>
  <c r="IC277" i="55"/>
  <c r="GB277" i="55"/>
  <c r="GC277" i="55" s="1"/>
  <c r="DS277" i="55"/>
  <c r="CR277" i="55" a="1"/>
  <c r="CR277" i="55" s="1"/>
  <c r="JW261" i="55"/>
  <c r="FW261" i="55"/>
  <c r="GB261" i="55"/>
  <c r="GC261" i="55" s="1"/>
  <c r="CR261" i="55" a="1"/>
  <c r="CR261" i="55" s="1"/>
  <c r="DS261" i="55"/>
  <c r="JW245" i="55"/>
  <c r="IC245" i="55"/>
  <c r="GB245" i="55"/>
  <c r="GC245" i="55" s="1"/>
  <c r="DS245" i="55"/>
  <c r="CS245" i="55"/>
  <c r="CR245" i="55" a="1"/>
  <c r="CR245" i="55" s="1"/>
  <c r="JW229" i="55"/>
  <c r="IC229" i="55"/>
  <c r="GB229" i="55"/>
  <c r="GC229" i="55" s="1"/>
  <c r="CS229" i="55"/>
  <c r="CR229" i="55" a="1"/>
  <c r="CR229" i="55" s="1"/>
  <c r="DS229" i="55"/>
  <c r="JW213" i="55"/>
  <c r="IC213" i="55"/>
  <c r="FW213" i="55"/>
  <c r="GB213" i="55"/>
  <c r="GC213" i="55" s="1"/>
  <c r="CR213" i="55" a="1"/>
  <c r="CR213" i="55" s="1"/>
  <c r="DS213" i="55"/>
  <c r="JW197" i="55"/>
  <c r="IC197" i="55"/>
  <c r="FW197" i="55"/>
  <c r="GB197" i="55"/>
  <c r="GC197" i="55" s="1"/>
  <c r="CR197" i="55" a="1"/>
  <c r="CR197" i="55" s="1"/>
  <c r="DS197" i="55"/>
  <c r="JW181" i="55"/>
  <c r="IC181" i="55"/>
  <c r="FW181" i="55"/>
  <c r="GB181" i="55"/>
  <c r="GC181" i="55" s="1"/>
  <c r="CR181" i="55" a="1"/>
  <c r="CR181" i="55" s="1"/>
  <c r="DS181" i="55"/>
  <c r="JW165" i="55"/>
  <c r="IC165" i="55"/>
  <c r="FW165" i="55"/>
  <c r="GB165" i="55"/>
  <c r="GC165" i="55" s="1"/>
  <c r="DS165" i="55"/>
  <c r="CR165" i="55" a="1"/>
  <c r="CR165" i="55" s="1"/>
  <c r="JW149" i="55"/>
  <c r="IC149" i="55"/>
  <c r="GB149" i="55"/>
  <c r="GC149" i="55" s="1"/>
  <c r="CR149" i="55" a="1"/>
  <c r="CR149" i="55" s="1"/>
  <c r="DS149" i="55"/>
  <c r="JW133" i="55"/>
  <c r="IC133" i="55"/>
  <c r="GB133" i="55"/>
  <c r="GC133" i="55" s="1"/>
  <c r="DS133" i="55"/>
  <c r="CR133" i="55" a="1"/>
  <c r="CR133" i="55" s="1"/>
  <c r="JW117" i="55"/>
  <c r="IC117" i="55"/>
  <c r="GB117" i="55"/>
  <c r="GC117" i="55" s="1"/>
  <c r="CR117" i="55" a="1"/>
  <c r="CR117" i="55" s="1"/>
  <c r="DS117" i="55"/>
  <c r="JW101" i="55"/>
  <c r="IC101" i="55"/>
  <c r="FW101" i="55"/>
  <c r="DS101" i="55"/>
  <c r="CR101" i="55" a="1"/>
  <c r="CR101" i="55" s="1"/>
  <c r="GB101" i="55"/>
  <c r="GC101" i="55" s="1"/>
  <c r="IC85" i="55"/>
  <c r="JW85" i="55"/>
  <c r="GB85" i="55"/>
  <c r="GC85" i="55" s="1"/>
  <c r="CR85" i="55" a="1"/>
  <c r="CR85" i="55" s="1"/>
  <c r="CS85" i="55" s="1"/>
  <c r="JW69" i="55"/>
  <c r="IC69" i="55"/>
  <c r="GB69" i="55"/>
  <c r="GC69" i="55" s="1"/>
  <c r="GE69" i="55" s="1" a="1"/>
  <c r="GE69" i="55" s="1"/>
  <c r="GF69" i="55" s="1"/>
  <c r="CR69" i="55" a="1"/>
  <c r="CR69" i="55" s="1"/>
  <c r="JW53" i="55"/>
  <c r="IC53" i="55"/>
  <c r="GB53" i="55"/>
  <c r="GC53" i="55" s="1"/>
  <c r="CR53" i="55" a="1"/>
  <c r="CR53" i="55" s="1"/>
  <c r="DS53" i="55"/>
  <c r="JW37" i="55"/>
  <c r="IC37" i="55"/>
  <c r="GB37" i="55"/>
  <c r="GC37" i="55" s="1"/>
  <c r="CS37" i="55"/>
  <c r="CR37" i="55" a="1"/>
  <c r="CR37" i="55" s="1"/>
  <c r="DS37" i="55"/>
  <c r="JW21" i="55"/>
  <c r="IC21" i="55"/>
  <c r="GB21" i="55"/>
  <c r="GC21" i="55" s="1"/>
  <c r="DS21" i="55"/>
  <c r="CR21" i="55" a="1"/>
  <c r="CR21" i="55" s="1"/>
  <c r="JW5" i="55"/>
  <c r="IC5" i="55"/>
  <c r="GB5" i="55"/>
  <c r="GC5" i="55" s="1"/>
  <c r="CR5" i="55" a="1"/>
  <c r="CR5" i="55" s="1"/>
  <c r="DS5" i="55"/>
  <c r="JW318" i="55"/>
  <c r="IC318" i="55"/>
  <c r="GB318" i="55"/>
  <c r="GC318" i="55" s="1"/>
  <c r="DS318" i="55"/>
  <c r="FW318" i="55"/>
  <c r="CS318" i="55"/>
  <c r="JW272" i="55"/>
  <c r="IC272" i="55"/>
  <c r="GB272" i="55"/>
  <c r="GC272" i="55" s="1"/>
  <c r="DS272" i="55"/>
  <c r="CR272" i="55" a="1"/>
  <c r="CR272" i="55" s="1"/>
  <c r="CS272" i="55" s="1"/>
  <c r="JW198" i="55"/>
  <c r="IC198" i="55"/>
  <c r="GB198" i="55"/>
  <c r="GC198" i="55" s="1"/>
  <c r="FW198" i="55"/>
  <c r="CR198" i="55" a="1"/>
  <c r="CR198" i="55" s="1"/>
  <c r="CS198" i="55"/>
  <c r="JW124" i="55"/>
  <c r="DS124" i="55"/>
  <c r="GB124" i="55"/>
  <c r="GC124" i="55" s="1"/>
  <c r="GE124" i="55" s="1" a="1"/>
  <c r="GE124" i="55" s="1"/>
  <c r="GF124" i="55" s="1"/>
  <c r="JW44" i="55"/>
  <c r="IC44" i="55"/>
  <c r="GB44" i="55"/>
  <c r="GC44" i="55" s="1"/>
  <c r="GE44" i="55" s="1" a="1"/>
  <c r="GE44" i="55" s="1"/>
  <c r="GF44" i="55" s="1"/>
  <c r="DS44" i="55"/>
  <c r="JW7" i="55"/>
  <c r="IC7" i="55"/>
  <c r="GB7" i="55"/>
  <c r="GC7" i="55" s="1"/>
  <c r="CR7" i="55" a="1"/>
  <c r="CR7" i="55" s="1"/>
  <c r="CR318" i="55" a="1"/>
  <c r="CR318" i="55" s="1"/>
  <c r="CR201" i="55" a="1"/>
  <c r="CR201" i="55" s="1"/>
  <c r="GY159" i="55"/>
  <c r="GX159" i="55"/>
  <c r="FG347" i="55"/>
  <c r="BW347" i="55"/>
  <c r="BS347" i="55"/>
  <c r="CE347" i="55" a="1"/>
  <c r="CE347" i="55" s="1"/>
  <c r="EK347" i="55" s="1"/>
  <c r="FG331" i="55"/>
  <c r="CE331" i="55" s="1" a="1"/>
  <c r="CE331" i="55" s="1"/>
  <c r="BW331" i="55"/>
  <c r="FG315" i="55"/>
  <c r="BW315" i="55"/>
  <c r="BW299" i="55"/>
  <c r="BS299" i="55"/>
  <c r="GL299" i="55" s="1"/>
  <c r="FG299" i="55"/>
  <c r="FG283" i="55"/>
  <c r="HV283" i="55"/>
  <c r="BW283" i="55"/>
  <c r="FG267" i="55"/>
  <c r="BW267" i="55"/>
  <c r="BI267" i="55" a="1"/>
  <c r="BI267" i="55" s="1"/>
  <c r="FG251" i="55"/>
  <c r="BW251" i="55"/>
  <c r="BS251" i="55"/>
  <c r="BW235" i="55"/>
  <c r="FG235" i="55"/>
  <c r="FG219" i="55"/>
  <c r="BW219" i="55"/>
  <c r="FG203" i="55"/>
  <c r="CE203" i="55" s="1" a="1"/>
  <c r="CE203" i="55" s="1"/>
  <c r="EK203" i="55" s="1"/>
  <c r="BW203" i="55"/>
  <c r="BS203" i="55"/>
  <c r="FG187" i="55"/>
  <c r="BW187" i="55"/>
  <c r="CE187" i="55" a="1"/>
  <c r="CE187" i="55" s="1"/>
  <c r="EK187" i="55" s="1"/>
  <c r="BQ187" i="55"/>
  <c r="FG171" i="55"/>
  <c r="BW171" i="55"/>
  <c r="BS171" i="55"/>
  <c r="GL171" i="55" s="1"/>
  <c r="FG155" i="55"/>
  <c r="BW155" i="55"/>
  <c r="FG139" i="55"/>
  <c r="BW139" i="55"/>
  <c r="BQ139" i="55"/>
  <c r="FG123" i="55"/>
  <c r="BW123" i="55"/>
  <c r="BS123" i="55"/>
  <c r="GL123" i="55" s="1"/>
  <c r="BW107" i="55"/>
  <c r="FG107" i="55"/>
  <c r="FG91" i="55"/>
  <c r="BW91" i="55"/>
  <c r="BS91" i="55"/>
  <c r="GL91" i="55" s="1"/>
  <c r="FG75" i="55"/>
  <c r="BW75" i="55"/>
  <c r="CE75" i="55" a="1"/>
  <c r="CE75" i="55" s="1"/>
  <c r="EK75" i="55" s="1"/>
  <c r="BQ75" i="55"/>
  <c r="FG59" i="55"/>
  <c r="BW59" i="55"/>
  <c r="BW43" i="55"/>
  <c r="FG43" i="55"/>
  <c r="CE43" i="55" s="1" a="1"/>
  <c r="CE43" i="55" s="1"/>
  <c r="EK43" i="55" s="1"/>
  <c r="BS43" i="55"/>
  <c r="GL43" i="55" s="1"/>
  <c r="FG27" i="55"/>
  <c r="BW27" i="55"/>
  <c r="BQ27" i="55"/>
  <c r="E27" i="55" s="1"/>
  <c r="BR27" i="55" s="1"/>
  <c r="BS27" i="55"/>
  <c r="GL27" i="55" s="1"/>
  <c r="FG11" i="55"/>
  <c r="BW11" i="55"/>
  <c r="BQ11" i="55"/>
  <c r="E11" i="55" s="1"/>
  <c r="BR11" i="55" s="1"/>
  <c r="BS11" i="55" s="1"/>
  <c r="GL11" i="55" s="1"/>
  <c r="BI317" i="55" a="1"/>
  <c r="BI317" i="55" s="1"/>
  <c r="C317" i="55" s="1"/>
  <c r="BJ317" i="55" s="1"/>
  <c r="BI203" i="55" a="1"/>
  <c r="BI203" i="55" s="1"/>
  <c r="C203" i="55" s="1"/>
  <c r="BJ203" i="55" s="1"/>
  <c r="BI172" i="55" a="1"/>
  <c r="BI172" i="55" s="1"/>
  <c r="C172" i="55" s="1"/>
  <c r="BJ172" i="55" s="1"/>
  <c r="BI109" i="55" a="1"/>
  <c r="BI109" i="55" s="1"/>
  <c r="GJ346" i="55"/>
  <c r="BN346" i="55"/>
  <c r="IL330" i="55"/>
  <c r="IM330" i="55" s="1"/>
  <c r="GJ330" i="55"/>
  <c r="BN330" i="55"/>
  <c r="S330" i="55" s="1"/>
  <c r="GP314" i="55"/>
  <c r="GJ314" i="55"/>
  <c r="S314" i="55"/>
  <c r="GP298" i="55"/>
  <c r="GJ298" i="55"/>
  <c r="GP282" i="55"/>
  <c r="GJ282" i="55"/>
  <c r="GP266" i="55"/>
  <c r="GJ266" i="55"/>
  <c r="GJ250" i="55"/>
  <c r="GP234" i="55"/>
  <c r="GJ234" i="55"/>
  <c r="GP218" i="55"/>
  <c r="GJ218" i="55"/>
  <c r="GJ202" i="55"/>
  <c r="BN202" i="55"/>
  <c r="GP186" i="55"/>
  <c r="GJ186" i="55"/>
  <c r="GP170" i="55"/>
  <c r="GJ170" i="55"/>
  <c r="IL154" i="55"/>
  <c r="IM154" i="55" s="1"/>
  <c r="GJ154" i="55"/>
  <c r="BN154" i="55"/>
  <c r="GP154" i="55" s="1"/>
  <c r="GP138" i="55"/>
  <c r="GJ138" i="55"/>
  <c r="GP122" i="55"/>
  <c r="GJ122" i="55"/>
  <c r="GP106" i="55"/>
  <c r="GJ106" i="55"/>
  <c r="GP90" i="55"/>
  <c r="GJ90" i="55"/>
  <c r="GJ74" i="55"/>
  <c r="BN74" i="55"/>
  <c r="S74" i="55" s="1"/>
  <c r="GP58" i="55"/>
  <c r="GJ58" i="55"/>
  <c r="S58" i="55"/>
  <c r="GP42" i="55"/>
  <c r="GQ42" i="55"/>
  <c r="GJ42" i="55"/>
  <c r="IL26" i="55"/>
  <c r="IM26" i="55" s="1"/>
  <c r="GP26" i="55"/>
  <c r="GQ26" i="55" s="1"/>
  <c r="GR26" i="55" s="1"/>
  <c r="GJ26" i="55"/>
  <c r="GJ10" i="55"/>
  <c r="BN252" i="55"/>
  <c r="BN186" i="55"/>
  <c r="S186" i="55" s="1"/>
  <c r="BN141" i="55"/>
  <c r="GP141" i="55" s="1"/>
  <c r="BN10" i="55"/>
  <c r="GP10" i="55" s="1"/>
  <c r="GD161" i="55"/>
  <c r="GG161" i="55"/>
  <c r="BQ220" i="55"/>
  <c r="BS235" i="55"/>
  <c r="GL235" i="55" s="1"/>
  <c r="BS124" i="55"/>
  <c r="HX328" i="55"/>
  <c r="HY328" i="55"/>
  <c r="EL328" i="55"/>
  <c r="HX165" i="55"/>
  <c r="HY165" i="55"/>
  <c r="EL165" i="55"/>
  <c r="HX132" i="55"/>
  <c r="HY132" i="55"/>
  <c r="EL132" i="55"/>
  <c r="HX103" i="55"/>
  <c r="HY103" i="55"/>
  <c r="EL103" i="55"/>
  <c r="HX68" i="55"/>
  <c r="HY68" i="55"/>
  <c r="EL68" i="55"/>
  <c r="HX36" i="55"/>
  <c r="HY36" i="55"/>
  <c r="EL36" i="55"/>
  <c r="BW270" i="55"/>
  <c r="FX257" i="55" a="1"/>
  <c r="FX257" i="55" s="1"/>
  <c r="FY257" i="55"/>
  <c r="FY95" i="55"/>
  <c r="FX95" i="55" a="1"/>
  <c r="FX95" i="55" s="1"/>
  <c r="JW340" i="55"/>
  <c r="IC340" i="55"/>
  <c r="GB340" i="55"/>
  <c r="GC340" i="55" s="1"/>
  <c r="GE340" i="55" s="1" a="1"/>
  <c r="GE340" i="55" s="1"/>
  <c r="GF340" i="55" s="1"/>
  <c r="DS340" i="55"/>
  <c r="JW324" i="55"/>
  <c r="FW324" i="55"/>
  <c r="GB324" i="55"/>
  <c r="GC324" i="55" s="1"/>
  <c r="GE324" i="55" s="1" a="1"/>
  <c r="GE324" i="55" s="1"/>
  <c r="GF324" i="55" s="1"/>
  <c r="CR324" i="55" a="1"/>
  <c r="CR324" i="55" s="1"/>
  <c r="DS324" i="55"/>
  <c r="JW308" i="55"/>
  <c r="FW308" i="55"/>
  <c r="GB308" i="55"/>
  <c r="GC308" i="55" s="1"/>
  <c r="DS308" i="55"/>
  <c r="JW292" i="55"/>
  <c r="IC292" i="55"/>
  <c r="FW292" i="55"/>
  <c r="DS292" i="55"/>
  <c r="DX292" i="55"/>
  <c r="CR292" i="55" a="1"/>
  <c r="CR292" i="55" s="1"/>
  <c r="CS292" i="55" s="1"/>
  <c r="GB292" i="55"/>
  <c r="GC292" i="55" s="1"/>
  <c r="GE292" i="55" s="1" a="1"/>
  <c r="GE292" i="55" s="1"/>
  <c r="GF292" i="55" s="1"/>
  <c r="JW276" i="55"/>
  <c r="IC276" i="55"/>
  <c r="GB276" i="55"/>
  <c r="GC276" i="55" s="1"/>
  <c r="GE276" i="55" s="1" a="1"/>
  <c r="GE276" i="55" s="1"/>
  <c r="GF276" i="55" s="1"/>
  <c r="DS276" i="55"/>
  <c r="JW260" i="55"/>
  <c r="IC260" i="55"/>
  <c r="GB260" i="55"/>
  <c r="GC260" i="55" s="1"/>
  <c r="DS260" i="55"/>
  <c r="JW244" i="55"/>
  <c r="DS244" i="55"/>
  <c r="CR244" i="55" a="1"/>
  <c r="CR244" i="55" s="1"/>
  <c r="IC244" i="55"/>
  <c r="GB244" i="55"/>
  <c r="GC244" i="55" s="1"/>
  <c r="CS244" i="55"/>
  <c r="JW228" i="55"/>
  <c r="FW228" i="55"/>
  <c r="DS228" i="55"/>
  <c r="CR228" i="55" a="1"/>
  <c r="CR228" i="55" s="1"/>
  <c r="GB228" i="55"/>
  <c r="GC228" i="55" s="1"/>
  <c r="JW212" i="55"/>
  <c r="FW212" i="55"/>
  <c r="IC212" i="55"/>
  <c r="GB212" i="55"/>
  <c r="GC212" i="55" s="1"/>
  <c r="CR212" i="55" a="1"/>
  <c r="CR212" i="55" s="1"/>
  <c r="CS212" i="55" s="1"/>
  <c r="DS212" i="55"/>
  <c r="JW196" i="55"/>
  <c r="IC196" i="55"/>
  <c r="FW196" i="55"/>
  <c r="CR196" i="55" a="1"/>
  <c r="CR196" i="55" s="1"/>
  <c r="DS196" i="55"/>
  <c r="JW164" i="55"/>
  <c r="IC164" i="55"/>
  <c r="FW164" i="55"/>
  <c r="GB164" i="55"/>
  <c r="GC164" i="55" s="1"/>
  <c r="DS164" i="55"/>
  <c r="JW148" i="55"/>
  <c r="IC148" i="55"/>
  <c r="GB148" i="55"/>
  <c r="GC148" i="55" s="1"/>
  <c r="GE148" i="55" s="1" a="1"/>
  <c r="GE148" i="55" s="1"/>
  <c r="GF148" i="55" s="1"/>
  <c r="DS148" i="55"/>
  <c r="JW116" i="55"/>
  <c r="CR116" i="55" a="1"/>
  <c r="CR116" i="55" s="1"/>
  <c r="GB116" i="55"/>
  <c r="GC116" i="55" s="1"/>
  <c r="DS116" i="55"/>
  <c r="JW100" i="55"/>
  <c r="IC100" i="55"/>
  <c r="FW100" i="55"/>
  <c r="DS100" i="55"/>
  <c r="CR100" i="55" a="1"/>
  <c r="CR100" i="55" s="1"/>
  <c r="GB100" i="55"/>
  <c r="GC100" i="55" s="1"/>
  <c r="GE100" i="55" s="1" a="1"/>
  <c r="GE100" i="55" s="1"/>
  <c r="GF100" i="55" s="1"/>
  <c r="JW68" i="55"/>
  <c r="GB68" i="55"/>
  <c r="GC68" i="55" s="1"/>
  <c r="DS68" i="55"/>
  <c r="JW52" i="55"/>
  <c r="IC52" i="55"/>
  <c r="CR52" i="55" a="1"/>
  <c r="CR52" i="55" s="1"/>
  <c r="DS52" i="55"/>
  <c r="GB52" i="55"/>
  <c r="GC52" i="55" s="1"/>
  <c r="JW36" i="55"/>
  <c r="IC36" i="55"/>
  <c r="DS36" i="55"/>
  <c r="CR36" i="55" a="1"/>
  <c r="CR36" i="55" s="1"/>
  <c r="GB36" i="55"/>
  <c r="GC36" i="55" s="1"/>
  <c r="JW20" i="55"/>
  <c r="DS20" i="55"/>
  <c r="CR20" i="55" a="1"/>
  <c r="CR20" i="55" s="1"/>
  <c r="GB20" i="55"/>
  <c r="GC20" i="55" s="1"/>
  <c r="IC20" i="55"/>
  <c r="CS20" i="55"/>
  <c r="JW4" i="55"/>
  <c r="GB4" i="55"/>
  <c r="GC4" i="55" s="1"/>
  <c r="CR4" i="55" a="1"/>
  <c r="CR4" i="55" s="1"/>
  <c r="CS4" i="55"/>
  <c r="DS4" i="55"/>
  <c r="JW233" i="55"/>
  <c r="IC233" i="55"/>
  <c r="GB233" i="55"/>
  <c r="GC233" i="55" s="1"/>
  <c r="DS233" i="55"/>
  <c r="U233" i="55"/>
  <c r="CR233" i="55" a="1"/>
  <c r="CR233" i="55" s="1"/>
  <c r="JW193" i="55"/>
  <c r="IC193" i="55"/>
  <c r="DS193" i="55"/>
  <c r="FW193" i="55"/>
  <c r="JW119" i="55"/>
  <c r="GB119" i="55"/>
  <c r="GC119" i="55" s="1"/>
  <c r="IC119" i="55"/>
  <c r="DS119" i="55"/>
  <c r="V119" i="55"/>
  <c r="CR119" i="55" a="1"/>
  <c r="CR119" i="55" s="1"/>
  <c r="CS119" i="55" s="1"/>
  <c r="JW78" i="55"/>
  <c r="IC78" i="55"/>
  <c r="GB78" i="55"/>
  <c r="GC78" i="55" s="1"/>
  <c r="DS78" i="55"/>
  <c r="CR78" i="55" a="1"/>
  <c r="CR78" i="55" s="1"/>
  <c r="JW43" i="55"/>
  <c r="IC43" i="55"/>
  <c r="GB43" i="55"/>
  <c r="GC43" i="55" s="1"/>
  <c r="DS43" i="55"/>
  <c r="JW6" i="55"/>
  <c r="GB6" i="55"/>
  <c r="GC6" i="55" s="1"/>
  <c r="CR6" i="55" a="1"/>
  <c r="CR6" i="55" s="1"/>
  <c r="DS6" i="55"/>
  <c r="DS86" i="55"/>
  <c r="S300" i="55"/>
  <c r="S172" i="55"/>
  <c r="S28" i="55"/>
  <c r="DG337" i="55" a="1"/>
  <c r="DG337" i="55" s="1"/>
  <c r="DF337" i="55" a="1"/>
  <c r="DF337" i="55" s="1"/>
  <c r="DH337" i="55"/>
  <c r="DX337" i="55" s="1"/>
  <c r="DE337" i="55" a="1"/>
  <c r="DE337" i="55" s="1"/>
  <c r="GY273" i="55"/>
  <c r="GX273" i="55"/>
  <c r="GX81" i="55"/>
  <c r="GY81" i="55"/>
  <c r="FG346" i="55"/>
  <c r="BW346" i="55"/>
  <c r="BI346" i="55" a="1"/>
  <c r="BI346" i="55" s="1"/>
  <c r="FG330" i="55"/>
  <c r="HV330" i="55"/>
  <c r="BW330" i="55"/>
  <c r="BI330" i="55" a="1"/>
  <c r="BI330" i="55" s="1"/>
  <c r="C330" i="55" s="1"/>
  <c r="BJ330" i="55" s="1"/>
  <c r="FG314" i="55"/>
  <c r="BW314" i="55"/>
  <c r="BI314" i="55" a="1"/>
  <c r="BI314" i="55" s="1"/>
  <c r="CE314" i="55" a="1"/>
  <c r="CE314" i="55" s="1"/>
  <c r="EK314" i="55" s="1"/>
  <c r="BW298" i="55"/>
  <c r="BI298" i="55" a="1"/>
  <c r="BI298" i="55" s="1"/>
  <c r="C298" i="55" s="1"/>
  <c r="BJ298" i="55" s="1"/>
  <c r="FG298" i="55"/>
  <c r="FG282" i="55"/>
  <c r="BW282" i="55"/>
  <c r="BI282" i="55" a="1"/>
  <c r="BI282" i="55" s="1"/>
  <c r="FG266" i="55"/>
  <c r="CE266" i="55" s="1" a="1"/>
  <c r="CE266" i="55" s="1"/>
  <c r="BW266" i="55"/>
  <c r="BI266" i="55" a="1"/>
  <c r="BI266" i="55" s="1"/>
  <c r="C266" i="55" s="1"/>
  <c r="BJ266" i="55" s="1"/>
  <c r="FG250" i="55"/>
  <c r="BW250" i="55"/>
  <c r="BI250" i="55" a="1"/>
  <c r="BI250" i="55" s="1"/>
  <c r="C250" i="55" s="1"/>
  <c r="BJ250" i="55" s="1"/>
  <c r="BS250" i="55"/>
  <c r="GL250" i="55" s="1"/>
  <c r="FG234" i="55"/>
  <c r="BW234" i="55"/>
  <c r="BI234" i="55" a="1"/>
  <c r="BI234" i="55" s="1"/>
  <c r="BW218" i="55"/>
  <c r="FG218" i="55"/>
  <c r="BI218" i="55" a="1"/>
  <c r="BI218" i="55" s="1"/>
  <c r="C218" i="55" s="1"/>
  <c r="BJ218" i="55" s="1"/>
  <c r="CE218" i="55" a="1"/>
  <c r="CE218" i="55" s="1"/>
  <c r="FG202" i="55"/>
  <c r="BW202" i="55"/>
  <c r="BI202" i="55" a="1"/>
  <c r="BI202" i="55" s="1"/>
  <c r="C202" i="55" s="1"/>
  <c r="BJ202" i="55" s="1"/>
  <c r="FG186" i="55"/>
  <c r="CE186" i="55" s="1" a="1"/>
  <c r="CE186" i="55" s="1"/>
  <c r="BW186" i="55"/>
  <c r="FG170" i="55"/>
  <c r="CE170" i="55" s="1" a="1"/>
  <c r="CE170" i="55" s="1"/>
  <c r="EK170" i="55" s="1"/>
  <c r="BW170" i="55"/>
  <c r="BS170" i="55"/>
  <c r="GL170" i="55" s="1"/>
  <c r="BW154" i="55"/>
  <c r="HV154" i="55"/>
  <c r="BI154" i="55" a="1"/>
  <c r="BI154" i="55" s="1"/>
  <c r="FG154" i="55"/>
  <c r="FG138" i="55"/>
  <c r="BW138" i="55"/>
  <c r="BI138" i="55" a="1"/>
  <c r="BI138" i="55" s="1"/>
  <c r="BS138" i="55"/>
  <c r="GL138" i="55" s="1"/>
  <c r="FG122" i="55"/>
  <c r="BW122" i="55"/>
  <c r="BI122" i="55" a="1"/>
  <c r="BI122" i="55" s="1"/>
  <c r="BQ122" i="55"/>
  <c r="FG106" i="55"/>
  <c r="BW106" i="55"/>
  <c r="BI106" i="55" a="1"/>
  <c r="BI106" i="55" s="1"/>
  <c r="BQ106" i="55"/>
  <c r="FG90" i="55"/>
  <c r="BW90" i="55"/>
  <c r="BI90" i="55" a="1"/>
  <c r="BI90" i="55" s="1"/>
  <c r="BW74" i="55"/>
  <c r="BI74" i="55" a="1"/>
  <c r="BI74" i="55" s="1"/>
  <c r="FG74" i="55"/>
  <c r="CE74" i="55" s="1" a="1"/>
  <c r="CE74" i="55" s="1"/>
  <c r="FG58" i="55"/>
  <c r="BW58" i="55"/>
  <c r="BI58" i="55" a="1"/>
  <c r="BI58" i="55" s="1"/>
  <c r="FG42" i="55"/>
  <c r="BW42" i="55"/>
  <c r="BI42" i="55" a="1"/>
  <c r="BI42" i="55" s="1"/>
  <c r="C42" i="55" s="1"/>
  <c r="BJ42" i="55" s="1"/>
  <c r="HV26" i="55"/>
  <c r="FG26" i="55"/>
  <c r="BW26" i="55"/>
  <c r="BI26" i="55" a="1"/>
  <c r="BI26" i="55" s="1"/>
  <c r="C26" i="55" s="1"/>
  <c r="BJ26" i="55" s="1"/>
  <c r="HV10" i="55"/>
  <c r="BW10" i="55"/>
  <c r="FG10" i="55"/>
  <c r="BI10" i="55" a="1"/>
  <c r="BI10" i="55" s="1"/>
  <c r="BI285" i="55" a="1"/>
  <c r="BI285" i="55" s="1"/>
  <c r="C285" i="55" s="1"/>
  <c r="BJ285" i="55" s="1"/>
  <c r="BI254" i="55" a="1"/>
  <c r="BI254" i="55" s="1"/>
  <c r="C254" i="55" s="1"/>
  <c r="BJ254" i="55" s="1"/>
  <c r="BI77" i="55" a="1"/>
  <c r="BI77" i="55" s="1"/>
  <c r="BN317" i="55"/>
  <c r="BN250" i="55"/>
  <c r="BN140" i="55"/>
  <c r="S140" i="55" s="1"/>
  <c r="GG257" i="55"/>
  <c r="GD257" i="55"/>
  <c r="GG81" i="55"/>
  <c r="GD81" i="55"/>
  <c r="BQ219" i="55"/>
  <c r="BQ110" i="55"/>
  <c r="BS234" i="55"/>
  <c r="GL234" i="55" s="1"/>
  <c r="BS122" i="55"/>
  <c r="HY345" i="55"/>
  <c r="HX345" i="55"/>
  <c r="HX329" i="55"/>
  <c r="EL329" i="55"/>
  <c r="HY329" i="55"/>
  <c r="HX281" i="55"/>
  <c r="HY281" i="55"/>
  <c r="EL281" i="55"/>
  <c r="HX201" i="55"/>
  <c r="HY201" i="55"/>
  <c r="HX153" i="55"/>
  <c r="HY153" i="55"/>
  <c r="EL153" i="55"/>
  <c r="HX105" i="55"/>
  <c r="HY105" i="55"/>
  <c r="HY73" i="55"/>
  <c r="HX73" i="55"/>
  <c r="EL73" i="55"/>
  <c r="HY41" i="55"/>
  <c r="EL41" i="55"/>
  <c r="HX41" i="55"/>
  <c r="HY9" i="55"/>
  <c r="HX9" i="55"/>
  <c r="EL9" i="55"/>
  <c r="HY325" i="55"/>
  <c r="HX325" i="55"/>
  <c r="EL325" i="55"/>
  <c r="HY295" i="55"/>
  <c r="EL295" i="55"/>
  <c r="HX295" i="55"/>
  <c r="HX261" i="55"/>
  <c r="EL261" i="55"/>
  <c r="HY261" i="55"/>
  <c r="HX231" i="55"/>
  <c r="HY231" i="55"/>
  <c r="HX63" i="55"/>
  <c r="EL63" i="55"/>
  <c r="HY63" i="55"/>
  <c r="BW349" i="55"/>
  <c r="BW93" i="55"/>
  <c r="EY98" i="55"/>
  <c r="R98" i="55" s="1"/>
  <c r="EX49" i="55"/>
  <c r="EX33" i="55"/>
  <c r="EC33" i="55"/>
  <c r="EB140" i="55"/>
  <c r="DZ43" i="55"/>
  <c r="EB43" i="55"/>
  <c r="JW311" i="55"/>
  <c r="IC311" i="55"/>
  <c r="GB311" i="55"/>
  <c r="GC311" i="55" s="1"/>
  <c r="FW311" i="55"/>
  <c r="CR311" i="55" a="1"/>
  <c r="CR311" i="55" s="1"/>
  <c r="CS311" i="55" s="1"/>
  <c r="DS311" i="55"/>
  <c r="V311" i="55"/>
  <c r="JW192" i="55"/>
  <c r="IC192" i="55"/>
  <c r="GB192" i="55"/>
  <c r="GC192" i="55" s="1"/>
  <c r="DS192" i="55"/>
  <c r="FW192" i="55"/>
  <c r="CS192" i="55"/>
  <c r="CR192" i="55" a="1"/>
  <c r="CR192" i="55" s="1"/>
  <c r="JW75" i="55"/>
  <c r="IC75" i="55"/>
  <c r="GB75" i="55"/>
  <c r="GC75" i="55" s="1"/>
  <c r="DS75" i="55"/>
  <c r="CR75" i="55" a="1"/>
  <c r="CR75" i="55" s="1"/>
  <c r="CR193" i="55" a="1"/>
  <c r="CR193" i="55" s="1"/>
  <c r="CS193" i="55" s="1"/>
  <c r="DS85" i="55"/>
  <c r="EC49" i="55"/>
  <c r="EJ229" i="55"/>
  <c r="GN163" i="55"/>
  <c r="GJ344" i="55"/>
  <c r="GP328" i="55"/>
  <c r="GJ328" i="55"/>
  <c r="GJ312" i="55"/>
  <c r="BN312" i="55"/>
  <c r="GJ296" i="55"/>
  <c r="GJ280" i="55"/>
  <c r="GJ264" i="55"/>
  <c r="BN264" i="55"/>
  <c r="S264" i="55" s="1"/>
  <c r="GP248" i="55"/>
  <c r="GJ248" i="55"/>
  <c r="GJ232" i="55"/>
  <c r="BN232" i="55"/>
  <c r="GP216" i="55"/>
  <c r="GJ216" i="55"/>
  <c r="GP200" i="55"/>
  <c r="GJ200" i="55"/>
  <c r="IL184" i="55"/>
  <c r="IM184" i="55" s="1"/>
  <c r="GJ184" i="55"/>
  <c r="BN184" i="55"/>
  <c r="GJ168" i="55"/>
  <c r="GP152" i="55"/>
  <c r="GJ152" i="55"/>
  <c r="GP136" i="55"/>
  <c r="GJ136" i="55"/>
  <c r="GJ120" i="55"/>
  <c r="GP104" i="55"/>
  <c r="GJ104" i="55"/>
  <c r="IL88" i="55"/>
  <c r="IM88" i="55" s="1"/>
  <c r="GJ88" i="55"/>
  <c r="GJ72" i="55"/>
  <c r="GJ56" i="55"/>
  <c r="BN56" i="55"/>
  <c r="S56" i="55" s="1"/>
  <c r="GP40" i="55"/>
  <c r="GQ40" i="55"/>
  <c r="GJ40" i="55"/>
  <c r="GP24" i="55"/>
  <c r="GJ24" i="55"/>
  <c r="S24" i="55"/>
  <c r="GJ8" i="55"/>
  <c r="BN8" i="55"/>
  <c r="S8" i="55" s="1"/>
  <c r="GD305" i="55"/>
  <c r="GG305" i="55"/>
  <c r="GG209" i="55"/>
  <c r="GD209" i="55"/>
  <c r="BQ190" i="55"/>
  <c r="BQ108" i="55"/>
  <c r="BS269" i="55"/>
  <c r="GL269" i="55" s="1"/>
  <c r="BS158" i="55"/>
  <c r="BS77" i="55"/>
  <c r="GL77" i="55" s="1"/>
  <c r="HX324" i="55"/>
  <c r="HY324" i="55"/>
  <c r="HY293" i="55"/>
  <c r="HX293" i="55"/>
  <c r="HX260" i="55"/>
  <c r="HY260" i="55"/>
  <c r="EL260" i="55"/>
  <c r="HX228" i="55"/>
  <c r="HY228" i="55"/>
  <c r="BW302" i="55"/>
  <c r="BW174" i="55"/>
  <c r="BW45" i="55"/>
  <c r="DL352" i="55"/>
  <c r="GN352" i="55"/>
  <c r="EJ352" i="55"/>
  <c r="EJ336" i="55"/>
  <c r="DL336" i="55"/>
  <c r="GN336" i="55"/>
  <c r="GN320" i="55"/>
  <c r="EJ320" i="55"/>
  <c r="DZ320" i="55"/>
  <c r="DL304" i="55"/>
  <c r="GN304" i="55"/>
  <c r="EJ304" i="55"/>
  <c r="EB304" i="55"/>
  <c r="GN288" i="55"/>
  <c r="EB288" i="55"/>
  <c r="EJ288" i="55"/>
  <c r="EJ272" i="55"/>
  <c r="GN272" i="55"/>
  <c r="GN256" i="55"/>
  <c r="EJ256" i="55"/>
  <c r="DZ256" i="55"/>
  <c r="DL240" i="55"/>
  <c r="GN240" i="55"/>
  <c r="EJ240" i="55"/>
  <c r="DZ240" i="55"/>
  <c r="EJ224" i="55"/>
  <c r="DL224" i="55"/>
  <c r="GN224" i="55"/>
  <c r="EB224" i="55"/>
  <c r="EJ208" i="55"/>
  <c r="GN208" i="55"/>
  <c r="GN192" i="55"/>
  <c r="GN176" i="55"/>
  <c r="EJ176" i="55"/>
  <c r="DZ176" i="55"/>
  <c r="EB176" i="55"/>
  <c r="GN160" i="55"/>
  <c r="EJ160" i="55"/>
  <c r="GN144" i="55"/>
  <c r="EJ144" i="55"/>
  <c r="DL144" i="55"/>
  <c r="GN128" i="55"/>
  <c r="DL128" i="55"/>
  <c r="EJ128" i="55"/>
  <c r="DZ128" i="55"/>
  <c r="EJ112" i="55"/>
  <c r="GN112" i="55"/>
  <c r="EB112" i="55"/>
  <c r="DZ112" i="55"/>
  <c r="GN96" i="55"/>
  <c r="EB96" i="55"/>
  <c r="EJ96" i="55"/>
  <c r="EJ80" i="55"/>
  <c r="GN80" i="55"/>
  <c r="GN64" i="55"/>
  <c r="EJ64" i="55"/>
  <c r="DZ64" i="55"/>
  <c r="DL48" i="55"/>
  <c r="DZ48" i="55"/>
  <c r="GN48" i="55"/>
  <c r="EJ48" i="55"/>
  <c r="GN32" i="55"/>
  <c r="EJ32" i="55"/>
  <c r="EB32" i="55"/>
  <c r="GN15" i="55"/>
  <c r="EJ15" i="55"/>
  <c r="DL15" i="55"/>
  <c r="DZ15" i="55"/>
  <c r="EC13" i="55"/>
  <c r="EX13" i="55"/>
  <c r="DZ347" i="55"/>
  <c r="EB347" i="55"/>
  <c r="DZ331" i="55"/>
  <c r="EB331" i="55"/>
  <c r="DZ315" i="55"/>
  <c r="EB315" i="55"/>
  <c r="DZ299" i="55"/>
  <c r="EB299" i="55"/>
  <c r="DZ283" i="55"/>
  <c r="EB283" i="55"/>
  <c r="DZ267" i="55"/>
  <c r="DZ251" i="55"/>
  <c r="EB251" i="55"/>
  <c r="DZ235" i="55"/>
  <c r="EB235" i="55"/>
  <c r="DZ219" i="55"/>
  <c r="EB219" i="55"/>
  <c r="DZ203" i="55"/>
  <c r="EB203" i="55"/>
  <c r="DZ187" i="55"/>
  <c r="EB187" i="55"/>
  <c r="DZ171" i="55"/>
  <c r="EB171" i="55"/>
  <c r="DZ155" i="55"/>
  <c r="EB155" i="55"/>
  <c r="DZ139" i="55"/>
  <c r="EB139" i="55"/>
  <c r="DZ123" i="55"/>
  <c r="EB123" i="55"/>
  <c r="DZ107" i="55"/>
  <c r="EB107" i="55"/>
  <c r="DZ91" i="55"/>
  <c r="EB91" i="55"/>
  <c r="DZ75" i="55"/>
  <c r="EB75" i="55"/>
  <c r="DZ59" i="55"/>
  <c r="EB59" i="55"/>
  <c r="EB9" i="55"/>
  <c r="DZ9" i="55"/>
  <c r="FX337" i="55" a="1"/>
  <c r="FX337" i="55" s="1"/>
  <c r="FY337" i="55"/>
  <c r="FX209" i="55" a="1"/>
  <c r="FX209" i="55" s="1"/>
  <c r="FZ209" i="55" s="1"/>
  <c r="FY209" i="55"/>
  <c r="FX49" i="55" a="1"/>
  <c r="FX49" i="55" s="1"/>
  <c r="JW351" i="55"/>
  <c r="GB351" i="55"/>
  <c r="GC351" i="55" s="1"/>
  <c r="JW265" i="55"/>
  <c r="IC265" i="55"/>
  <c r="GB265" i="55"/>
  <c r="GC265" i="55" s="1"/>
  <c r="DS265" i="55"/>
  <c r="U265" i="55"/>
  <c r="CR265" i="55" a="1"/>
  <c r="CR265" i="55" s="1"/>
  <c r="CS265" i="55"/>
  <c r="JW231" i="55"/>
  <c r="IC231" i="55"/>
  <c r="GB231" i="55"/>
  <c r="GC231" i="55" s="1"/>
  <c r="DS231" i="55"/>
  <c r="CR231" i="55" a="1"/>
  <c r="CR231" i="55" s="1"/>
  <c r="JW113" i="55"/>
  <c r="GB113" i="55"/>
  <c r="GC113" i="55" s="1"/>
  <c r="GE113" i="55" s="1" a="1"/>
  <c r="GE113" i="55" s="1"/>
  <c r="GF113" i="55" s="1"/>
  <c r="DS113" i="55"/>
  <c r="GX337" i="55"/>
  <c r="GY337" i="55"/>
  <c r="DL99" i="55"/>
  <c r="EJ37" i="55"/>
  <c r="DG175" i="55" a="1"/>
  <c r="DG175" i="55" s="1"/>
  <c r="DE175" i="55" a="1"/>
  <c r="DE175" i="55" s="1"/>
  <c r="DF175" i="55" a="1"/>
  <c r="DF175" i="55" s="1"/>
  <c r="DH175" i="55"/>
  <c r="DX175" i="55" s="1"/>
  <c r="EY144" i="55"/>
  <c r="R144" i="55" s="1"/>
  <c r="EY32" i="55"/>
  <c r="R32" i="55" s="1"/>
  <c r="EU293" i="55"/>
  <c r="ET50" i="55"/>
  <c r="EU50" i="55"/>
  <c r="GY255" i="55"/>
  <c r="GX255" i="55"/>
  <c r="DS150" i="55"/>
  <c r="IB123" i="55"/>
  <c r="HZ123" i="55"/>
  <c r="HW123" i="55"/>
  <c r="IA123" i="55"/>
  <c r="CK123" i="55"/>
  <c r="CL123" i="55"/>
  <c r="CJ123" i="55"/>
  <c r="CM123" i="55"/>
  <c r="CN123" i="55"/>
  <c r="IB107" i="55"/>
  <c r="HZ107" i="55"/>
  <c r="IA107" i="55"/>
  <c r="HW107" i="55"/>
  <c r="CK107" i="55"/>
  <c r="CL107" i="55"/>
  <c r="DL107" i="55" s="1"/>
  <c r="CN107" i="55"/>
  <c r="CG108" i="55"/>
  <c r="IB91" i="55"/>
  <c r="IA91" i="55"/>
  <c r="HW91" i="55"/>
  <c r="HZ91" i="55"/>
  <c r="CK91" i="55"/>
  <c r="CL91" i="55"/>
  <c r="DL91" i="55" s="1"/>
  <c r="CG92" i="55"/>
  <c r="CN91" i="55"/>
  <c r="CM91" i="55"/>
  <c r="IB75" i="55"/>
  <c r="HZ75" i="55"/>
  <c r="HW75" i="55"/>
  <c r="IA75" i="55"/>
  <c r="CK75" i="55"/>
  <c r="CL75" i="55"/>
  <c r="DL75" i="55" s="1"/>
  <c r="CG76" i="55"/>
  <c r="CM75" i="55"/>
  <c r="CN75" i="55"/>
  <c r="CJ75" i="55"/>
  <c r="IB59" i="55"/>
  <c r="HZ59" i="55"/>
  <c r="IA59" i="55"/>
  <c r="HW59" i="55"/>
  <c r="CK59" i="55"/>
  <c r="CL59" i="55"/>
  <c r="DL59" i="55" s="1"/>
  <c r="CG60" i="55"/>
  <c r="IB43" i="55"/>
  <c r="IA43" i="55"/>
  <c r="HZ43" i="55"/>
  <c r="HW43" i="55"/>
  <c r="CK43" i="55"/>
  <c r="CL43" i="55"/>
  <c r="DL43" i="55" s="1"/>
  <c r="CJ43" i="55"/>
  <c r="IB27" i="55"/>
  <c r="HW27" i="55"/>
  <c r="IA27" i="55"/>
  <c r="HZ27" i="55"/>
  <c r="CK27" i="55"/>
  <c r="CL27" i="55"/>
  <c r="CG28" i="55"/>
  <c r="IB11" i="55"/>
  <c r="HW11" i="55"/>
  <c r="IA11" i="55"/>
  <c r="HZ11" i="55"/>
  <c r="CK11" i="55"/>
  <c r="CL11" i="55"/>
  <c r="DL11" i="55" s="1"/>
  <c r="CG12" i="55"/>
  <c r="CM11" i="55"/>
  <c r="JW336" i="55"/>
  <c r="DS336" i="55"/>
  <c r="GB336" i="55"/>
  <c r="GC336" i="55" s="1"/>
  <c r="CR336" i="55" a="1"/>
  <c r="CR336" i="55" s="1"/>
  <c r="JW256" i="55"/>
  <c r="IC256" i="55"/>
  <c r="DS256" i="55"/>
  <c r="GB256" i="55"/>
  <c r="GC256" i="55" s="1"/>
  <c r="JW151" i="55"/>
  <c r="IC151" i="55"/>
  <c r="GB151" i="55"/>
  <c r="GC151" i="55" s="1"/>
  <c r="V151" i="55"/>
  <c r="CR151" i="55" a="1"/>
  <c r="CR151" i="55" s="1"/>
  <c r="JW111" i="55"/>
  <c r="IC111" i="55"/>
  <c r="GB111" i="55"/>
  <c r="GC111" i="55" s="1"/>
  <c r="DS111" i="55"/>
  <c r="CR111" i="55" a="1"/>
  <c r="CR111" i="55" s="1"/>
  <c r="CS111" i="55" s="1"/>
  <c r="JW73" i="55"/>
  <c r="GB73" i="55"/>
  <c r="GC73" i="55" s="1"/>
  <c r="DS73" i="55"/>
  <c r="U73" i="55"/>
  <c r="JW41" i="55"/>
  <c r="IC41" i="55"/>
  <c r="GB41" i="55"/>
  <c r="GC41" i="55" s="1"/>
  <c r="DS41" i="55"/>
  <c r="CR41" i="55" a="1"/>
  <c r="CR41" i="55" s="1"/>
  <c r="U41" i="55"/>
  <c r="CQ337" i="55"/>
  <c r="HW138" i="55"/>
  <c r="IB138" i="55"/>
  <c r="IA138" i="55"/>
  <c r="HZ138" i="55"/>
  <c r="CK138" i="55"/>
  <c r="CL138" i="55"/>
  <c r="DL138" i="55" s="1"/>
  <c r="CM138" i="55"/>
  <c r="CG139" i="55"/>
  <c r="CN138" i="55"/>
  <c r="HZ122" i="55"/>
  <c r="IB122" i="55"/>
  <c r="HW122" i="55"/>
  <c r="IA122" i="55"/>
  <c r="CK122" i="55"/>
  <c r="CL122" i="55"/>
  <c r="DL122" i="55" s="1"/>
  <c r="CN122" i="55"/>
  <c r="CJ122" i="55"/>
  <c r="CM122" i="55"/>
  <c r="CG123" i="55"/>
  <c r="HZ106" i="55"/>
  <c r="IA106" i="55"/>
  <c r="IB106" i="55"/>
  <c r="HW106" i="55"/>
  <c r="CK106" i="55"/>
  <c r="CL106" i="55"/>
  <c r="DL106" i="55" s="1"/>
  <c r="CJ106" i="55"/>
  <c r="CN106" i="55"/>
  <c r="CG107" i="55"/>
  <c r="IA90" i="55"/>
  <c r="HW90" i="55"/>
  <c r="HZ90" i="55"/>
  <c r="IB90" i="55"/>
  <c r="CK90" i="55"/>
  <c r="CL90" i="55"/>
  <c r="DL90" i="55" s="1"/>
  <c r="CM90" i="55"/>
  <c r="HZ74" i="55"/>
  <c r="IB74" i="55"/>
  <c r="HW74" i="55"/>
  <c r="IA74" i="55"/>
  <c r="CK74" i="55"/>
  <c r="CL74" i="55"/>
  <c r="DL74" i="55" s="1"/>
  <c r="CM74" i="55"/>
  <c r="CN74" i="55"/>
  <c r="HZ58" i="55"/>
  <c r="IB58" i="55"/>
  <c r="HW58" i="55"/>
  <c r="IA58" i="55"/>
  <c r="CK58" i="55"/>
  <c r="CL58" i="55"/>
  <c r="DL58" i="55" s="1"/>
  <c r="CN58" i="55"/>
  <c r="CG59" i="55"/>
  <c r="IA42" i="55"/>
  <c r="IB42" i="55"/>
  <c r="HW42" i="55"/>
  <c r="HZ42" i="55"/>
  <c r="CK42" i="55"/>
  <c r="CL42" i="55"/>
  <c r="DL42" i="55" s="1"/>
  <c r="CJ42" i="55"/>
  <c r="CM42" i="55"/>
  <c r="IA26" i="55"/>
  <c r="HZ26" i="55"/>
  <c r="IB26" i="55"/>
  <c r="HW26" i="55"/>
  <c r="CK26" i="55"/>
  <c r="CL26" i="55"/>
  <c r="CM26" i="55"/>
  <c r="CG27" i="55"/>
  <c r="CN26" i="55"/>
  <c r="CJ26" i="55"/>
  <c r="HW10" i="55"/>
  <c r="IA10" i="55"/>
  <c r="IB10" i="55"/>
  <c r="CK10" i="55"/>
  <c r="CL10" i="55"/>
  <c r="DL10" i="55" s="1"/>
  <c r="CM10" i="55"/>
  <c r="HZ10" i="55"/>
  <c r="JW335" i="55"/>
  <c r="GT335" i="55"/>
  <c r="GB335" i="55"/>
  <c r="GC335" i="55" s="1"/>
  <c r="DS335" i="55"/>
  <c r="JW295" i="55"/>
  <c r="GB295" i="55"/>
  <c r="GC295" i="55" s="1"/>
  <c r="IC295" i="55"/>
  <c r="DS295" i="55"/>
  <c r="V295" i="55"/>
  <c r="FW295" i="55"/>
  <c r="JW255" i="55"/>
  <c r="IC255" i="55"/>
  <c r="GB255" i="55"/>
  <c r="GC255" i="55" s="1"/>
  <c r="DS255" i="55"/>
  <c r="CR255" i="55" a="1"/>
  <c r="CR255" i="55" s="1"/>
  <c r="JW150" i="55"/>
  <c r="IC150" i="55"/>
  <c r="GB150" i="55"/>
  <c r="GC150" i="55" s="1"/>
  <c r="JW71" i="55"/>
  <c r="IC71" i="55"/>
  <c r="GB71" i="55"/>
  <c r="GC71" i="55" s="1"/>
  <c r="DS71" i="55"/>
  <c r="CR71" i="55" a="1"/>
  <c r="CR71" i="55" s="1"/>
  <c r="V71" i="55"/>
  <c r="CN90" i="55"/>
  <c r="CN11" i="55"/>
  <c r="CR73" i="55" a="1"/>
  <c r="CR73" i="55" s="1"/>
  <c r="JH337" i="55"/>
  <c r="JI337" i="55" s="1"/>
  <c r="FF337" i="55"/>
  <c r="DN337" i="55"/>
  <c r="CA337" i="55"/>
  <c r="BT337" i="55"/>
  <c r="BO337" i="55"/>
  <c r="BQ337" i="55" s="1"/>
  <c r="DB337" i="55"/>
  <c r="CO337" i="55"/>
  <c r="CP337" i="55" s="1"/>
  <c r="Y337" i="55" s="1"/>
  <c r="JH321" i="55"/>
  <c r="JI321" i="55" s="1"/>
  <c r="GA321" i="55"/>
  <c r="DN321" i="55"/>
  <c r="DI321" i="55"/>
  <c r="H321" i="55" s="1"/>
  <c r="DJ321" i="55" s="1"/>
  <c r="CA321" i="55"/>
  <c r="BT321" i="55"/>
  <c r="DC321" i="55"/>
  <c r="I321" i="55" s="1"/>
  <c r="DD321" i="55" s="1"/>
  <c r="BO321" i="55"/>
  <c r="BQ321" i="55" s="1"/>
  <c r="CC321" i="55"/>
  <c r="BY321" i="55"/>
  <c r="DB321" i="55"/>
  <c r="JH305" i="55"/>
  <c r="JI305" i="55" s="1"/>
  <c r="FF305" i="55"/>
  <c r="DN305" i="55"/>
  <c r="DI305" i="55"/>
  <c r="H305" i="55" s="1"/>
  <c r="DJ305" i="55" s="1"/>
  <c r="DB305" i="55"/>
  <c r="CA305" i="55"/>
  <c r="GA305" i="55"/>
  <c r="BY305" i="55" s="1"/>
  <c r="BT305" i="55"/>
  <c r="BO305" i="55"/>
  <c r="BQ305" i="55" s="1"/>
  <c r="DC305" i="55"/>
  <c r="I305" i="55" s="1"/>
  <c r="DD305" i="55" s="1"/>
  <c r="JH289" i="55"/>
  <c r="JI289" i="55" s="1"/>
  <c r="GA289" i="55"/>
  <c r="DN289" i="55"/>
  <c r="FF289" i="55"/>
  <c r="DC289" i="55"/>
  <c r="I289" i="55" s="1"/>
  <c r="DD289" i="55" s="1"/>
  <c r="DI289" i="55"/>
  <c r="H289" i="55" s="1"/>
  <c r="DJ289" i="55" s="1"/>
  <c r="CA289" i="55"/>
  <c r="CQ289" i="55"/>
  <c r="BT289" i="55"/>
  <c r="BY289" i="55"/>
  <c r="CD289" i="55"/>
  <c r="CE289" i="55" s="1" a="1"/>
  <c r="CE289" i="55" s="1"/>
  <c r="EK289" i="55" s="1"/>
  <c r="BO289" i="55"/>
  <c r="CO289" i="55"/>
  <c r="CP289" i="55" s="1"/>
  <c r="Y289" i="55" s="1"/>
  <c r="CC289" i="55"/>
  <c r="JH273" i="55"/>
  <c r="JI273" i="55" s="1"/>
  <c r="FF273" i="55"/>
  <c r="DN273" i="55"/>
  <c r="GA273" i="55"/>
  <c r="BY273" i="55" s="1"/>
  <c r="CA273" i="55"/>
  <c r="DC273" i="55"/>
  <c r="I273" i="55" s="1"/>
  <c r="DD273" i="55" s="1"/>
  <c r="IC273" i="55" s="1"/>
  <c r="BT273" i="55"/>
  <c r="DB273" i="55"/>
  <c r="BO273" i="55"/>
  <c r="BQ273" i="55" s="1"/>
  <c r="CD273" i="55"/>
  <c r="JH257" i="55"/>
  <c r="JI257" i="55" s="1"/>
  <c r="FF257" i="55"/>
  <c r="DN257" i="55"/>
  <c r="DI257" i="55"/>
  <c r="H257" i="55" s="1"/>
  <c r="DJ257" i="55" s="1"/>
  <c r="CA257" i="55"/>
  <c r="BT257" i="55"/>
  <c r="BO257" i="55"/>
  <c r="BQ257" i="55" s="1"/>
  <c r="DC257" i="55"/>
  <c r="I257" i="55" s="1"/>
  <c r="DD257" i="55" s="1"/>
  <c r="BW257" i="55"/>
  <c r="CQ257" i="55"/>
  <c r="CO257" i="55"/>
  <c r="CP257" i="55" s="1"/>
  <c r="Y257" i="55" s="1"/>
  <c r="GA257" i="55"/>
  <c r="BY257" i="55" s="1"/>
  <c r="DB257" i="55"/>
  <c r="JH241" i="55"/>
  <c r="JI241" i="55" s="1"/>
  <c r="GA241" i="55"/>
  <c r="BY241" i="55" s="1"/>
  <c r="DN241" i="55"/>
  <c r="FF241" i="55"/>
  <c r="DI241" i="55"/>
  <c r="H241" i="55" s="1"/>
  <c r="DJ241" i="55" s="1"/>
  <c r="DB241" i="55"/>
  <c r="CA241" i="55"/>
  <c r="DC241" i="55"/>
  <c r="I241" i="55" s="1"/>
  <c r="DD241" i="55" s="1"/>
  <c r="BT241" i="55"/>
  <c r="BO241" i="55"/>
  <c r="CD241" i="55"/>
  <c r="CC241" i="55"/>
  <c r="JH225" i="55"/>
  <c r="JI225" i="55" s="1"/>
  <c r="DN225" i="55"/>
  <c r="GA225" i="55"/>
  <c r="BY225" i="55" s="1"/>
  <c r="DC225" i="55"/>
  <c r="I225" i="55" s="1"/>
  <c r="DD225" i="55" s="1"/>
  <c r="CA225" i="55"/>
  <c r="CQ225" i="55"/>
  <c r="BT225" i="55"/>
  <c r="CD225" i="55"/>
  <c r="FF225" i="55"/>
  <c r="BO225" i="55"/>
  <c r="BP225" i="55"/>
  <c r="CO225" i="55"/>
  <c r="CP225" i="55" s="1"/>
  <c r="Y225" i="55" s="1"/>
  <c r="DI225" i="55"/>
  <c r="H225" i="55" s="1"/>
  <c r="DJ225" i="55" s="1"/>
  <c r="JH209" i="55"/>
  <c r="JI209" i="55" s="1"/>
  <c r="GA209" i="55"/>
  <c r="BY209" i="55" s="1"/>
  <c r="DN209" i="55"/>
  <c r="FF209" i="55"/>
  <c r="CA209" i="55"/>
  <c r="BT209" i="55"/>
  <c r="DI209" i="55"/>
  <c r="H209" i="55" s="1"/>
  <c r="DJ209" i="55" s="1"/>
  <c r="DC209" i="55"/>
  <c r="I209" i="55" s="1"/>
  <c r="DD209" i="55" s="1"/>
  <c r="BO209" i="55"/>
  <c r="CC209" i="55"/>
  <c r="DB209" i="55"/>
  <c r="JH193" i="55"/>
  <c r="JI193" i="55" s="1"/>
  <c r="FF193" i="55"/>
  <c r="DN193" i="55"/>
  <c r="DI193" i="55"/>
  <c r="H193" i="55" s="1"/>
  <c r="DJ193" i="55" s="1"/>
  <c r="CA193" i="55"/>
  <c r="GA193" i="55"/>
  <c r="BT193" i="55"/>
  <c r="DB193" i="55"/>
  <c r="BO193" i="55"/>
  <c r="CO193" i="55"/>
  <c r="CP193" i="55" s="1"/>
  <c r="Y193" i="55" s="1"/>
  <c r="CQ193" i="55"/>
  <c r="JH177" i="55"/>
  <c r="JI177" i="55" s="1"/>
  <c r="GA177" i="55"/>
  <c r="BY177" i="55" s="1"/>
  <c r="DN177" i="55"/>
  <c r="DI177" i="55"/>
  <c r="H177" i="55" s="1"/>
  <c r="DJ177" i="55" s="1"/>
  <c r="DB177" i="55"/>
  <c r="CA177" i="55"/>
  <c r="BT177" i="55"/>
  <c r="BO177" i="55"/>
  <c r="BQ177" i="55" s="1"/>
  <c r="FF177" i="55"/>
  <c r="CQ177" i="55"/>
  <c r="JH161" i="55"/>
  <c r="JI161" i="55" s="1"/>
  <c r="GA161" i="55"/>
  <c r="BY161" i="55" s="1"/>
  <c r="FF161" i="55"/>
  <c r="DN161" i="55"/>
  <c r="DC161" i="55"/>
  <c r="I161" i="55" s="1"/>
  <c r="DD161" i="55" s="1"/>
  <c r="CA161" i="55"/>
  <c r="CQ161" i="55"/>
  <c r="BT161" i="55"/>
  <c r="CD161" i="55"/>
  <c r="CE161" i="55" s="1" a="1"/>
  <c r="CE161" i="55" s="1"/>
  <c r="BO161" i="55"/>
  <c r="DB161" i="55"/>
  <c r="DI161" i="55"/>
  <c r="H161" i="55" s="1"/>
  <c r="DJ161" i="55" s="1"/>
  <c r="JH145" i="55"/>
  <c r="JI145" i="55" s="1"/>
  <c r="GA145" i="55"/>
  <c r="BY145" i="55" s="1"/>
  <c r="DN145" i="55"/>
  <c r="DI145" i="55"/>
  <c r="H145" i="55" s="1"/>
  <c r="DJ145" i="55" s="1"/>
  <c r="CA145" i="55"/>
  <c r="BT145" i="55"/>
  <c r="BO145" i="55"/>
  <c r="BQ145" i="55" s="1"/>
  <c r="BW145" i="55"/>
  <c r="CQ145" i="55"/>
  <c r="DC145" i="55"/>
  <c r="I145" i="55" s="1"/>
  <c r="DD145" i="55" s="1"/>
  <c r="JH129" i="55"/>
  <c r="JI129" i="55" s="1"/>
  <c r="GA129" i="55"/>
  <c r="BY129" i="55" s="1"/>
  <c r="DN129" i="55"/>
  <c r="DI129" i="55"/>
  <c r="H129" i="55" s="1"/>
  <c r="DJ129" i="55" s="1"/>
  <c r="CA129" i="55"/>
  <c r="DC129" i="55"/>
  <c r="I129" i="55" s="1"/>
  <c r="DD129" i="55" s="1"/>
  <c r="BT129" i="55"/>
  <c r="DB129" i="55"/>
  <c r="BO129" i="55"/>
  <c r="BQ129" i="55" s="1"/>
  <c r="CD129" i="55"/>
  <c r="CQ129" i="55"/>
  <c r="JH113" i="55"/>
  <c r="JI113" i="55" s="1"/>
  <c r="GA113" i="55"/>
  <c r="BY113" i="55" s="1"/>
  <c r="DN113" i="55"/>
  <c r="DI113" i="55"/>
  <c r="H113" i="55" s="1"/>
  <c r="DJ113" i="55" s="1"/>
  <c r="CA113" i="55"/>
  <c r="DB113" i="55"/>
  <c r="BT113" i="55"/>
  <c r="BO113" i="55"/>
  <c r="BW113" i="55"/>
  <c r="CO113" i="55"/>
  <c r="CP113" i="55" s="1"/>
  <c r="Y113" i="55" s="1"/>
  <c r="DC113" i="55"/>
  <c r="I113" i="55" s="1"/>
  <c r="DD113" i="55" s="1"/>
  <c r="JH97" i="55"/>
  <c r="JI97" i="55" s="1"/>
  <c r="GA97" i="55"/>
  <c r="DN97" i="55"/>
  <c r="DC97" i="55"/>
  <c r="I97" i="55" s="1"/>
  <c r="DD97" i="55" s="1"/>
  <c r="CO97" i="55"/>
  <c r="CP97" i="55" s="1"/>
  <c r="Y97" i="55" s="1"/>
  <c r="CA97" i="55"/>
  <c r="CQ97" i="55"/>
  <c r="BT97" i="55"/>
  <c r="DI97" i="55"/>
  <c r="H97" i="55" s="1"/>
  <c r="DJ97" i="55" s="1"/>
  <c r="BY97" i="55"/>
  <c r="CD97" i="55"/>
  <c r="DB97" i="55"/>
  <c r="BO97" i="55"/>
  <c r="BP97" i="55"/>
  <c r="CC97" i="55"/>
  <c r="JH81" i="55"/>
  <c r="JI81" i="55" s="1"/>
  <c r="GA81" i="55"/>
  <c r="BY81" i="55" s="1"/>
  <c r="DN81" i="55"/>
  <c r="DB81" i="55"/>
  <c r="CA81" i="55"/>
  <c r="CO81" i="55"/>
  <c r="CP81" i="55" s="1"/>
  <c r="Y81" i="55" s="1"/>
  <c r="BT81" i="55"/>
  <c r="BO81" i="55"/>
  <c r="BQ81" i="55" s="1"/>
  <c r="DC81" i="55"/>
  <c r="I81" i="55" s="1"/>
  <c r="DD81" i="55" s="1"/>
  <c r="BW81" i="55"/>
  <c r="JH65" i="55"/>
  <c r="JI65" i="55" s="1"/>
  <c r="DN65" i="55"/>
  <c r="DI65" i="55"/>
  <c r="H65" i="55" s="1"/>
  <c r="DJ65" i="55" s="1"/>
  <c r="GA65" i="55"/>
  <c r="BY65" i="55" s="1"/>
  <c r="CA65" i="55"/>
  <c r="BT65" i="55"/>
  <c r="CO65" i="55"/>
  <c r="CP65" i="55" s="1"/>
  <c r="Y65" i="55" s="1"/>
  <c r="DB65" i="55"/>
  <c r="BO65" i="55"/>
  <c r="CQ65" i="55"/>
  <c r="CC65" i="55"/>
  <c r="DC65" i="55"/>
  <c r="I65" i="55" s="1"/>
  <c r="DD65" i="55" s="1"/>
  <c r="JH49" i="55"/>
  <c r="JI49" i="55" s="1"/>
  <c r="DN49" i="55"/>
  <c r="GA49" i="55"/>
  <c r="BY49" i="55" s="1"/>
  <c r="FF49" i="55"/>
  <c r="DI49" i="55"/>
  <c r="H49" i="55" s="1"/>
  <c r="DJ49" i="55" s="1"/>
  <c r="CA49" i="55"/>
  <c r="BT49" i="55"/>
  <c r="DC49" i="55"/>
  <c r="I49" i="55" s="1"/>
  <c r="DD49" i="55" s="1"/>
  <c r="BO49" i="55"/>
  <c r="CO49" i="55"/>
  <c r="CP49" i="55" s="1"/>
  <c r="Y49" i="55" s="1"/>
  <c r="DB49" i="55"/>
  <c r="CC49" i="55"/>
  <c r="JH33" i="55"/>
  <c r="JI33" i="55" s="1"/>
  <c r="FF33" i="55"/>
  <c r="DN33" i="55"/>
  <c r="GA33" i="55"/>
  <c r="BY33" i="55" s="1"/>
  <c r="DC33" i="55"/>
  <c r="I33" i="55" s="1"/>
  <c r="DD33" i="55" s="1"/>
  <c r="DI33" i="55"/>
  <c r="H33" i="55" s="1"/>
  <c r="DJ33" i="55" s="1"/>
  <c r="CA33" i="55"/>
  <c r="CQ33" i="55"/>
  <c r="BT33" i="55"/>
  <c r="DB33" i="55"/>
  <c r="CD33" i="55"/>
  <c r="BO33" i="55"/>
  <c r="JH17" i="55"/>
  <c r="JI17" i="55" s="1"/>
  <c r="DN17" i="55"/>
  <c r="CA17" i="55"/>
  <c r="DC17" i="55"/>
  <c r="I17" i="55" s="1"/>
  <c r="DD17" i="55" s="1"/>
  <c r="BT17" i="55"/>
  <c r="GA17" i="55"/>
  <c r="BY17" i="55" s="1"/>
  <c r="DI17" i="55"/>
  <c r="H17" i="55" s="1"/>
  <c r="DJ17" i="55" s="1"/>
  <c r="BO17" i="55"/>
  <c r="CO17" i="55"/>
  <c r="CP17" i="55" s="1"/>
  <c r="Y17" i="55" s="1"/>
  <c r="CD17" i="55"/>
  <c r="BI257" i="55" a="1"/>
  <c r="BI257" i="55" s="1"/>
  <c r="C257" i="55" s="1"/>
  <c r="BJ257" i="55" s="1"/>
  <c r="HX180" i="55"/>
  <c r="HY180" i="55"/>
  <c r="EL180" i="55"/>
  <c r="HY117" i="55"/>
  <c r="HX117" i="55"/>
  <c r="EL117" i="55"/>
  <c r="HX88" i="55"/>
  <c r="HY88" i="55"/>
  <c r="EL88" i="55"/>
  <c r="HY53" i="55"/>
  <c r="HX53" i="55"/>
  <c r="EL53" i="55"/>
  <c r="HX24" i="55"/>
  <c r="HY24" i="55"/>
  <c r="EL24" i="55"/>
  <c r="BY193" i="55"/>
  <c r="EB48" i="55"/>
  <c r="EB15" i="55"/>
  <c r="CC305" i="55"/>
  <c r="CD177" i="55"/>
  <c r="CD145" i="55"/>
  <c r="CD65" i="55"/>
  <c r="FY31" i="55"/>
  <c r="FX31" i="55" a="1"/>
  <c r="FX31" i="55" s="1"/>
  <c r="HW344" i="55"/>
  <c r="HZ344" i="55"/>
  <c r="IB344" i="55"/>
  <c r="IA344" i="55"/>
  <c r="CL344" i="55"/>
  <c r="DL344" i="55" s="1"/>
  <c r="CM344" i="55"/>
  <c r="CJ344" i="55"/>
  <c r="CK344" i="55"/>
  <c r="CG345" i="55"/>
  <c r="HW328" i="55"/>
  <c r="IA328" i="55"/>
  <c r="IB328" i="55"/>
  <c r="HZ328" i="55"/>
  <c r="CL328" i="55"/>
  <c r="CM328" i="55"/>
  <c r="CK328" i="55"/>
  <c r="CJ328" i="55"/>
  <c r="HW312" i="55"/>
  <c r="IB312" i="55"/>
  <c r="IA312" i="55"/>
  <c r="HZ312" i="55"/>
  <c r="CL312" i="55"/>
  <c r="DL312" i="55" s="1"/>
  <c r="CM312" i="55"/>
  <c r="CG313" i="55"/>
  <c r="CN312" i="55"/>
  <c r="CJ312" i="55"/>
  <c r="HW296" i="55"/>
  <c r="HZ296" i="55"/>
  <c r="IA296" i="55"/>
  <c r="IB296" i="55"/>
  <c r="CL296" i="55"/>
  <c r="DL296" i="55" s="1"/>
  <c r="CM296" i="55"/>
  <c r="CN296" i="55"/>
  <c r="CJ296" i="55"/>
  <c r="CK296" i="55"/>
  <c r="CG297" i="55"/>
  <c r="HW280" i="55"/>
  <c r="HZ280" i="55"/>
  <c r="IB280" i="55"/>
  <c r="IA280" i="55"/>
  <c r="CL280" i="55"/>
  <c r="DL280" i="55" s="1"/>
  <c r="CM280" i="55"/>
  <c r="CJ280" i="55"/>
  <c r="CG281" i="55"/>
  <c r="HW264" i="55"/>
  <c r="IA264" i="55"/>
  <c r="IB264" i="55"/>
  <c r="HZ264" i="55"/>
  <c r="CL264" i="55"/>
  <c r="DL264" i="55" s="1"/>
  <c r="CM264" i="55"/>
  <c r="CK264" i="55"/>
  <c r="CN264" i="55"/>
  <c r="HW248" i="55"/>
  <c r="IB248" i="55"/>
  <c r="HZ248" i="55"/>
  <c r="IA248" i="55"/>
  <c r="CL248" i="55"/>
  <c r="DL248" i="55" s="1"/>
  <c r="CM248" i="55"/>
  <c r="CG249" i="55"/>
  <c r="CN248" i="55"/>
  <c r="HW232" i="55"/>
  <c r="HZ232" i="55"/>
  <c r="IB232" i="55"/>
  <c r="IA232" i="55"/>
  <c r="CL232" i="55"/>
  <c r="DL232" i="55" s="1"/>
  <c r="CM232" i="55"/>
  <c r="CN232" i="55"/>
  <c r="CJ232" i="55"/>
  <c r="HW216" i="55"/>
  <c r="IB216" i="55"/>
  <c r="HZ216" i="55"/>
  <c r="IA216" i="55"/>
  <c r="CL216" i="55"/>
  <c r="DL216" i="55" s="1"/>
  <c r="CM216" i="55"/>
  <c r="CJ216" i="55"/>
  <c r="CK216" i="55"/>
  <c r="CG217" i="55"/>
  <c r="CN216" i="55"/>
  <c r="HW200" i="55"/>
  <c r="IA200" i="55"/>
  <c r="IB200" i="55"/>
  <c r="HZ200" i="55"/>
  <c r="CL200" i="55"/>
  <c r="DL200" i="55" s="1"/>
  <c r="CM200" i="55"/>
  <c r="CK200" i="55"/>
  <c r="CJ200" i="55"/>
  <c r="HW184" i="55"/>
  <c r="IB184" i="55"/>
  <c r="HZ184" i="55"/>
  <c r="IA184" i="55"/>
  <c r="CL184" i="55"/>
  <c r="CM184" i="55"/>
  <c r="CG185" i="55"/>
  <c r="CN184" i="55"/>
  <c r="CK184" i="55"/>
  <c r="HW168" i="55"/>
  <c r="HZ168" i="55"/>
  <c r="IB168" i="55"/>
  <c r="IA168" i="55"/>
  <c r="CL168" i="55"/>
  <c r="DL168" i="55" s="1"/>
  <c r="CM168" i="55"/>
  <c r="CN168" i="55"/>
  <c r="CJ168" i="55"/>
  <c r="CK168" i="55"/>
  <c r="HW152" i="55"/>
  <c r="IA152" i="55"/>
  <c r="IB152" i="55"/>
  <c r="HZ152" i="55"/>
  <c r="CL152" i="55"/>
  <c r="DL152" i="55" s="1"/>
  <c r="CM152" i="55"/>
  <c r="CJ152" i="55"/>
  <c r="CK152" i="55"/>
  <c r="CG153" i="55"/>
  <c r="HW136" i="55"/>
  <c r="IA136" i="55"/>
  <c r="IB136" i="55"/>
  <c r="HZ136" i="55"/>
  <c r="CL136" i="55"/>
  <c r="DL136" i="55" s="1"/>
  <c r="CM136" i="55"/>
  <c r="CK136" i="55"/>
  <c r="HW120" i="55"/>
  <c r="IB120" i="55"/>
  <c r="HZ120" i="55"/>
  <c r="IA120" i="55"/>
  <c r="CL120" i="55"/>
  <c r="CM120" i="55"/>
  <c r="CG121" i="55"/>
  <c r="CN120" i="55"/>
  <c r="HW104" i="55"/>
  <c r="HZ104" i="55"/>
  <c r="IB104" i="55"/>
  <c r="IA104" i="55"/>
  <c r="CL104" i="55"/>
  <c r="DL104" i="55" s="1"/>
  <c r="CM104" i="55"/>
  <c r="CN104" i="55"/>
  <c r="CJ104" i="55"/>
  <c r="HW88" i="55"/>
  <c r="HZ88" i="55"/>
  <c r="IA88" i="55"/>
  <c r="IB88" i="55"/>
  <c r="CL88" i="55"/>
  <c r="CM88" i="55"/>
  <c r="CJ88" i="55"/>
  <c r="CK88" i="55"/>
  <c r="CG89" i="55"/>
  <c r="HW72" i="55"/>
  <c r="IA72" i="55"/>
  <c r="IB72" i="55"/>
  <c r="HZ72" i="55"/>
  <c r="CL72" i="55"/>
  <c r="DL72" i="55" s="1"/>
  <c r="CM72" i="55"/>
  <c r="CK72" i="55"/>
  <c r="CJ72" i="55"/>
  <c r="CN72" i="55"/>
  <c r="HW56" i="55"/>
  <c r="IB56" i="55"/>
  <c r="HZ56" i="55"/>
  <c r="IA56" i="55"/>
  <c r="CL56" i="55"/>
  <c r="DL56" i="55" s="1"/>
  <c r="CM56" i="55"/>
  <c r="CG57" i="55"/>
  <c r="CN56" i="55"/>
  <c r="HW40" i="55"/>
  <c r="HZ40" i="55"/>
  <c r="IA40" i="55"/>
  <c r="IB40" i="55"/>
  <c r="CL40" i="55"/>
  <c r="DL40" i="55" s="1"/>
  <c r="CM40" i="55"/>
  <c r="CN40" i="55"/>
  <c r="CJ40" i="55"/>
  <c r="CK40" i="55"/>
  <c r="HW24" i="55"/>
  <c r="HZ24" i="55"/>
  <c r="IB24" i="55"/>
  <c r="IA24" i="55"/>
  <c r="CL24" i="55"/>
  <c r="DL24" i="55" s="1"/>
  <c r="CM24" i="55"/>
  <c r="CJ24" i="55"/>
  <c r="CG25" i="55"/>
  <c r="CN24" i="55"/>
  <c r="HW8" i="55"/>
  <c r="IA8" i="55"/>
  <c r="IB8" i="55"/>
  <c r="HZ8" i="55"/>
  <c r="CL8" i="55"/>
  <c r="DL8" i="55" s="1"/>
  <c r="CM8" i="55"/>
  <c r="CK8" i="55"/>
  <c r="JW287" i="55"/>
  <c r="FW287" i="55"/>
  <c r="GB287" i="55"/>
  <c r="GC287" i="55" s="1"/>
  <c r="DS287" i="55"/>
  <c r="JW214" i="55"/>
  <c r="IC214" i="55"/>
  <c r="GB214" i="55"/>
  <c r="GC214" i="55" s="1"/>
  <c r="FW214" i="55"/>
  <c r="DS214" i="55"/>
  <c r="CR214" i="55" a="1"/>
  <c r="CR214" i="55" s="1"/>
  <c r="CS214" i="55" s="1"/>
  <c r="JW177" i="55"/>
  <c r="GB177" i="55"/>
  <c r="GC177" i="55" s="1"/>
  <c r="GE177" i="55" s="1" a="1"/>
  <c r="GE177" i="55" s="1"/>
  <c r="GF177" i="55" s="1"/>
  <c r="FW177" i="55"/>
  <c r="IC177" i="55"/>
  <c r="DS177" i="55"/>
  <c r="CR177" i="55" a="1"/>
  <c r="CR177" i="55" s="1"/>
  <c r="JW144" i="55"/>
  <c r="GB144" i="55"/>
  <c r="GC144" i="55" s="1"/>
  <c r="GE144" i="55" s="1" a="1"/>
  <c r="GE144" i="55" s="1"/>
  <c r="GF144" i="55" s="1"/>
  <c r="FW144" i="55"/>
  <c r="DS144" i="55"/>
  <c r="CG105" i="55"/>
  <c r="JW65" i="55"/>
  <c r="IC65" i="55"/>
  <c r="DS65" i="55"/>
  <c r="GB65" i="55"/>
  <c r="GC65" i="55" s="1"/>
  <c r="GE65" i="55" s="1" a="1"/>
  <c r="GE65" i="55" s="1"/>
  <c r="GF65" i="55" s="1"/>
  <c r="JW38" i="55"/>
  <c r="GB38" i="55"/>
  <c r="GC38" i="55" s="1"/>
  <c r="IC38" i="55"/>
  <c r="DS38" i="55"/>
  <c r="CR38" i="55" a="1"/>
  <c r="CR38" i="55" s="1"/>
  <c r="CK312" i="55"/>
  <c r="CK280" i="55"/>
  <c r="CN344" i="55"/>
  <c r="CN88" i="55"/>
  <c r="CO145" i="55"/>
  <c r="CP145" i="55" s="1"/>
  <c r="Y145" i="55" s="1"/>
  <c r="CR295" i="55" a="1"/>
  <c r="CR295" i="55" s="1"/>
  <c r="CS295" i="55" s="1"/>
  <c r="DG111" i="55" a="1"/>
  <c r="DG111" i="55" s="1"/>
  <c r="DH111" i="55"/>
  <c r="DX111" i="55" s="1"/>
  <c r="EY340" i="55"/>
  <c r="EY272" i="55"/>
  <c r="FB14" i="55"/>
  <c r="EY89" i="55"/>
  <c r="HX311" i="55"/>
  <c r="HY311" i="55"/>
  <c r="EL311" i="55"/>
  <c r="HX191" i="55"/>
  <c r="HY191" i="55"/>
  <c r="EL191" i="55"/>
  <c r="HX164" i="55"/>
  <c r="HY164" i="55"/>
  <c r="HY133" i="55"/>
  <c r="EL133" i="55"/>
  <c r="HX133" i="55"/>
  <c r="HY72" i="55"/>
  <c r="HX72" i="55"/>
  <c r="EL72" i="55"/>
  <c r="EB41" i="55"/>
  <c r="DZ41" i="55"/>
  <c r="JW273" i="55"/>
  <c r="DS273" i="55"/>
  <c r="GB273" i="55"/>
  <c r="GC273" i="55" s="1"/>
  <c r="GE273" i="55" s="1" a="1"/>
  <c r="GE273" i="55" s="1"/>
  <c r="GF273" i="55" s="1"/>
  <c r="JW190" i="55"/>
  <c r="IC190" i="55"/>
  <c r="GB190" i="55"/>
  <c r="GC190" i="55" s="1"/>
  <c r="FW190" i="55"/>
  <c r="DS190" i="55"/>
  <c r="JW62" i="55"/>
  <c r="IC62" i="55"/>
  <c r="GB62" i="55"/>
  <c r="GC62" i="55" s="1"/>
  <c r="DS62" i="55"/>
  <c r="CR62" i="55" a="1"/>
  <c r="CR62" i="55" s="1"/>
  <c r="CS62" i="55" s="1"/>
  <c r="JW31" i="55"/>
  <c r="GB31" i="55"/>
  <c r="GC31" i="55" s="1"/>
  <c r="DS31" i="55"/>
  <c r="DZ103" i="55"/>
  <c r="GS103" i="55" s="1"/>
  <c r="JW183" i="55"/>
  <c r="IC183" i="55"/>
  <c r="GB183" i="55"/>
  <c r="GC183" i="55" s="1"/>
  <c r="FW183" i="55"/>
  <c r="CR183" i="55" a="1"/>
  <c r="CR183" i="55" s="1"/>
  <c r="V183" i="55"/>
  <c r="DS183" i="55"/>
  <c r="GS191" i="55"/>
  <c r="GP63" i="55"/>
  <c r="GJ63" i="55"/>
  <c r="GP47" i="55"/>
  <c r="GJ47" i="55"/>
  <c r="GQ47" i="55"/>
  <c r="GJ31" i="55"/>
  <c r="GP15" i="55"/>
  <c r="GJ15" i="55"/>
  <c r="HX308" i="55"/>
  <c r="HY308" i="55"/>
  <c r="EL308" i="55"/>
  <c r="HX280" i="55"/>
  <c r="HY280" i="55"/>
  <c r="EL280" i="55"/>
  <c r="HX222" i="55"/>
  <c r="HY222" i="55"/>
  <c r="EL222" i="55"/>
  <c r="HX184" i="55"/>
  <c r="HY184" i="55"/>
  <c r="EL184" i="55"/>
  <c r="FC184" i="55"/>
  <c r="FD184" i="55" s="1"/>
  <c r="HS184" i="55" s="1"/>
  <c r="HU184" i="55" s="1"/>
  <c r="HX127" i="55"/>
  <c r="HY127" i="55"/>
  <c r="EL127" i="55"/>
  <c r="HX100" i="55"/>
  <c r="HY100" i="55"/>
  <c r="EL100" i="55"/>
  <c r="HX37" i="55"/>
  <c r="EL37" i="55"/>
  <c r="HY37" i="55"/>
  <c r="DL273" i="55"/>
  <c r="EC349" i="55"/>
  <c r="EX349" i="55"/>
  <c r="EC333" i="55"/>
  <c r="EX333" i="55"/>
  <c r="EX317" i="55"/>
  <c r="EC317" i="55"/>
  <c r="EX301" i="55"/>
  <c r="EC301" i="55"/>
  <c r="EX285" i="55"/>
  <c r="EC285" i="55"/>
  <c r="EC269" i="55"/>
  <c r="EX269" i="55"/>
  <c r="EX253" i="55"/>
  <c r="EC253" i="55"/>
  <c r="EX237" i="55"/>
  <c r="EC237" i="55"/>
  <c r="EX221" i="55"/>
  <c r="EY221" i="55" s="1"/>
  <c r="EX205" i="55"/>
  <c r="EY205" i="55" s="1"/>
  <c r="EX189" i="55"/>
  <c r="EC189" i="55"/>
  <c r="EX173" i="55"/>
  <c r="EC173" i="55"/>
  <c r="EX157" i="55"/>
  <c r="EC157" i="55"/>
  <c r="EX141" i="55"/>
  <c r="EC141" i="55"/>
  <c r="EC125" i="55"/>
  <c r="EY125" i="55" s="1"/>
  <c r="EX125" i="55"/>
  <c r="EX109" i="55"/>
  <c r="EC109" i="55"/>
  <c r="EC93" i="55"/>
  <c r="EY93" i="55" s="1"/>
  <c r="EX77" i="55"/>
  <c r="EC77" i="55"/>
  <c r="EX61" i="55"/>
  <c r="EC61" i="55"/>
  <c r="EX44" i="55"/>
  <c r="EC44" i="55"/>
  <c r="GS343" i="55"/>
  <c r="EB327" i="55"/>
  <c r="DZ327" i="55"/>
  <c r="EB311" i="55"/>
  <c r="DZ311" i="55"/>
  <c r="EB279" i="55"/>
  <c r="DZ279" i="55"/>
  <c r="EB263" i="55"/>
  <c r="DZ263" i="55"/>
  <c r="EB247" i="55"/>
  <c r="DZ247" i="55"/>
  <c r="GS231" i="55"/>
  <c r="EB215" i="55"/>
  <c r="DZ215" i="55"/>
  <c r="EB199" i="55"/>
  <c r="DZ199" i="55"/>
  <c r="EB167" i="55"/>
  <c r="DZ167" i="55"/>
  <c r="EB151" i="55"/>
  <c r="DZ151" i="55"/>
  <c r="EB135" i="55"/>
  <c r="GS135" i="55" s="1"/>
  <c r="DZ135" i="55"/>
  <c r="EB119" i="55"/>
  <c r="DZ119" i="55"/>
  <c r="EB87" i="55"/>
  <c r="DZ87" i="55"/>
  <c r="EB71" i="55"/>
  <c r="DZ71" i="55"/>
  <c r="EB55" i="55"/>
  <c r="DZ55" i="55"/>
  <c r="EB38" i="55"/>
  <c r="DZ38" i="55"/>
  <c r="EB21" i="55"/>
  <c r="DZ21" i="55"/>
  <c r="EB5" i="55"/>
  <c r="DZ5" i="55"/>
  <c r="FY255" i="55"/>
  <c r="FX255" i="55" a="1"/>
  <c r="FX255" i="55" s="1"/>
  <c r="EY161" i="55"/>
  <c r="R161" i="55" s="1"/>
  <c r="FB331" i="55"/>
  <c r="FB299" i="55"/>
  <c r="FB219" i="55"/>
  <c r="ER23" i="55"/>
  <c r="ES23" i="55"/>
  <c r="FB23" i="55"/>
  <c r="ER6" i="55"/>
  <c r="FB6" i="55"/>
  <c r="ES6" i="55"/>
  <c r="GY143" i="55"/>
  <c r="GX143" i="55"/>
  <c r="EB68" i="55"/>
  <c r="GS68" i="55" s="1"/>
  <c r="EJ321" i="55"/>
  <c r="ER342" i="55"/>
  <c r="ES342" i="55"/>
  <c r="FB342" i="55"/>
  <c r="ER326" i="55"/>
  <c r="FB326" i="55"/>
  <c r="ES326" i="55"/>
  <c r="ER310" i="55"/>
  <c r="FB310" i="55"/>
  <c r="ER294" i="55"/>
  <c r="FB294" i="55"/>
  <c r="ES294" i="55"/>
  <c r="ER278" i="55"/>
  <c r="ES278" i="55"/>
  <c r="FB278" i="55"/>
  <c r="ER262" i="55"/>
  <c r="ES262" i="55"/>
  <c r="FB262" i="55"/>
  <c r="ER246" i="55"/>
  <c r="ES246" i="55"/>
  <c r="FB246" i="55"/>
  <c r="ER230" i="55"/>
  <c r="FB230" i="55"/>
  <c r="ES230" i="55"/>
  <c r="ER214" i="55"/>
  <c r="ES214" i="55"/>
  <c r="ER198" i="55"/>
  <c r="FB198" i="55"/>
  <c r="ER182" i="55"/>
  <c r="ES182" i="55"/>
  <c r="FB182" i="55"/>
  <c r="ER166" i="55"/>
  <c r="FB166" i="55"/>
  <c r="ES166" i="55"/>
  <c r="ER150" i="55"/>
  <c r="ES150" i="55"/>
  <c r="FB150" i="55"/>
  <c r="ER134" i="55"/>
  <c r="ER118" i="55"/>
  <c r="ES118" i="55"/>
  <c r="ER102" i="55"/>
  <c r="FB102" i="55"/>
  <c r="ES102" i="55"/>
  <c r="ER86" i="55"/>
  <c r="ES86" i="55"/>
  <c r="FB86" i="55"/>
  <c r="ER70" i="55"/>
  <c r="ES70" i="55"/>
  <c r="FB70" i="55"/>
  <c r="ER54" i="55"/>
  <c r="FB54" i="55"/>
  <c r="ES54" i="55"/>
  <c r="FB37" i="55"/>
  <c r="ES37" i="55"/>
  <c r="ER37" i="55"/>
  <c r="FH65" i="55"/>
  <c r="FI65" i="55"/>
  <c r="EY256" i="55"/>
  <c r="R256" i="55" s="1"/>
  <c r="FB229" i="55"/>
  <c r="FB165" i="55"/>
  <c r="FB101" i="55"/>
  <c r="ES134" i="55"/>
  <c r="DZ19" i="55"/>
  <c r="GS19" i="55" s="1"/>
  <c r="EB98" i="55"/>
  <c r="EY57" i="55"/>
  <c r="FB276" i="55"/>
  <c r="FB212" i="55"/>
  <c r="FB148" i="55"/>
  <c r="FB84" i="55"/>
  <c r="FB134" i="55"/>
  <c r="HX343" i="55"/>
  <c r="HY343" i="55"/>
  <c r="EL343" i="55"/>
  <c r="HY279" i="55"/>
  <c r="HX279" i="55"/>
  <c r="EL279" i="55"/>
  <c r="HX215" i="55"/>
  <c r="EL215" i="55"/>
  <c r="HY151" i="55"/>
  <c r="HX151" i="55"/>
  <c r="EL151" i="55"/>
  <c r="HX87" i="55"/>
  <c r="HY87" i="55"/>
  <c r="EL87" i="55"/>
  <c r="HX23" i="55"/>
  <c r="HY23" i="55"/>
  <c r="EL23" i="55"/>
  <c r="EJ337" i="55"/>
  <c r="GN337" i="55"/>
  <c r="EB337" i="55"/>
  <c r="EJ305" i="55"/>
  <c r="DL305" i="55"/>
  <c r="EJ289" i="55"/>
  <c r="GN289" i="55"/>
  <c r="DL289" i="55"/>
  <c r="DZ289" i="55"/>
  <c r="GN273" i="55"/>
  <c r="EJ273" i="55"/>
  <c r="GN257" i="55"/>
  <c r="EJ257" i="55"/>
  <c r="GN241" i="55"/>
  <c r="DL241" i="55"/>
  <c r="EJ225" i="55"/>
  <c r="GN225" i="55"/>
  <c r="GN209" i="55"/>
  <c r="EJ209" i="55"/>
  <c r="EJ193" i="55"/>
  <c r="GN193" i="55"/>
  <c r="GN177" i="55"/>
  <c r="DL177" i="55"/>
  <c r="GN145" i="55"/>
  <c r="DL145" i="55"/>
  <c r="GN129" i="55"/>
  <c r="EJ129" i="55"/>
  <c r="GN113" i="55"/>
  <c r="EJ113" i="55"/>
  <c r="GN97" i="55"/>
  <c r="EJ97" i="55"/>
  <c r="DZ97" i="55"/>
  <c r="EJ81" i="55"/>
  <c r="GN81" i="55"/>
  <c r="GN65" i="55"/>
  <c r="EJ65" i="55"/>
  <c r="EJ49" i="55"/>
  <c r="DL49" i="55"/>
  <c r="GN49" i="55"/>
  <c r="EJ33" i="55"/>
  <c r="DL33" i="55"/>
  <c r="DZ33" i="55"/>
  <c r="EJ16" i="55"/>
  <c r="GN16" i="55"/>
  <c r="EX17" i="55"/>
  <c r="EC17" i="55"/>
  <c r="DZ308" i="55"/>
  <c r="EB308" i="55"/>
  <c r="DZ292" i="55"/>
  <c r="EB292" i="55"/>
  <c r="GS292" i="55" s="1"/>
  <c r="DZ244" i="55"/>
  <c r="EB244" i="55"/>
  <c r="DZ228" i="55"/>
  <c r="EB228" i="55"/>
  <c r="EB196" i="55"/>
  <c r="DZ196" i="55"/>
  <c r="DZ164" i="55"/>
  <c r="EB164" i="55"/>
  <c r="EB148" i="55"/>
  <c r="DZ148" i="55"/>
  <c r="DZ100" i="55"/>
  <c r="EB100" i="55"/>
  <c r="EB84" i="55"/>
  <c r="DZ84" i="55"/>
  <c r="DZ36" i="55"/>
  <c r="EB36" i="55"/>
  <c r="FY335" i="55"/>
  <c r="FX335" i="55" a="1"/>
  <c r="FX335" i="55" s="1"/>
  <c r="FY303" i="55"/>
  <c r="FX303" i="55" a="1"/>
  <c r="FX303" i="55" s="1"/>
  <c r="FY191" i="55"/>
  <c r="FX191" i="55" a="1"/>
  <c r="FX191" i="55" s="1"/>
  <c r="FZ191" i="55" s="1"/>
  <c r="FY79" i="55"/>
  <c r="FX79" i="55" a="1"/>
  <c r="FX79" i="55" s="1"/>
  <c r="JW327" i="55"/>
  <c r="IC327" i="55"/>
  <c r="GB327" i="55"/>
  <c r="GC327" i="55" s="1"/>
  <c r="GE327" i="55" s="1" a="1"/>
  <c r="GE327" i="55" s="1"/>
  <c r="GF327" i="55" s="1"/>
  <c r="FW327" i="55"/>
  <c r="DS327" i="55"/>
  <c r="CR327" i="55" a="1"/>
  <c r="CR327" i="55" s="1"/>
  <c r="JW247" i="55"/>
  <c r="GB247" i="55"/>
  <c r="GC247" i="55" s="1"/>
  <c r="DS247" i="55"/>
  <c r="IC247" i="55"/>
  <c r="JW191" i="55"/>
  <c r="IC191" i="55"/>
  <c r="GB191" i="55"/>
  <c r="GC191" i="55" s="1"/>
  <c r="DX191" i="55"/>
  <c r="FW191" i="55"/>
  <c r="DS191" i="55"/>
  <c r="JW110" i="55"/>
  <c r="IC110" i="55"/>
  <c r="GB110" i="55"/>
  <c r="GC110" i="55" s="1"/>
  <c r="JW87" i="55"/>
  <c r="IC87" i="55"/>
  <c r="GB87" i="55"/>
  <c r="GC87" i="55" s="1"/>
  <c r="EB97" i="55"/>
  <c r="ET184" i="55"/>
  <c r="EU184" i="55"/>
  <c r="HY248" i="55"/>
  <c r="EL248" i="55"/>
  <c r="HX248" i="55"/>
  <c r="HY120" i="55"/>
  <c r="HX120" i="55"/>
  <c r="EL120" i="55"/>
  <c r="GN351" i="55"/>
  <c r="GN335" i="55"/>
  <c r="EJ335" i="55"/>
  <c r="EB335" i="55"/>
  <c r="GN319" i="55"/>
  <c r="EJ319" i="55"/>
  <c r="GN303" i="55"/>
  <c r="EJ303" i="55"/>
  <c r="DL303" i="55"/>
  <c r="GN287" i="55"/>
  <c r="DL287" i="55"/>
  <c r="GN271" i="55"/>
  <c r="EJ271" i="55"/>
  <c r="DL271" i="55"/>
  <c r="EB271" i="55"/>
  <c r="GS271" i="55" s="1"/>
  <c r="GN255" i="55"/>
  <c r="EJ255" i="55"/>
  <c r="GN239" i="55"/>
  <c r="DL239" i="55"/>
  <c r="EB239" i="55"/>
  <c r="GN223" i="55"/>
  <c r="EJ223" i="55"/>
  <c r="DL223" i="55"/>
  <c r="EB223" i="55"/>
  <c r="GN207" i="55"/>
  <c r="EJ207" i="55"/>
  <c r="DZ207" i="55"/>
  <c r="GS207" i="55" s="1"/>
  <c r="GN191" i="55"/>
  <c r="EJ191" i="55"/>
  <c r="DL191" i="55"/>
  <c r="GN175" i="55"/>
  <c r="DL175" i="55"/>
  <c r="GN159" i="55"/>
  <c r="EJ159" i="55"/>
  <c r="DL159" i="55"/>
  <c r="GN143" i="55"/>
  <c r="EJ143" i="55"/>
  <c r="DL143" i="55"/>
  <c r="GN111" i="55"/>
  <c r="EJ111" i="55"/>
  <c r="DL111" i="55"/>
  <c r="GN95" i="55"/>
  <c r="DL95" i="55"/>
  <c r="GN79" i="55"/>
  <c r="EJ79" i="55"/>
  <c r="EB79" i="55"/>
  <c r="GN63" i="55"/>
  <c r="EJ63" i="55"/>
  <c r="GN47" i="55"/>
  <c r="EJ47" i="55"/>
  <c r="DL47" i="55"/>
  <c r="GN31" i="55"/>
  <c r="EJ31" i="55"/>
  <c r="DL31" i="55"/>
  <c r="GN14" i="55"/>
  <c r="EJ14" i="55"/>
  <c r="DL14" i="55"/>
  <c r="EX337" i="55"/>
  <c r="EC337" i="55"/>
  <c r="EY337" i="55" s="1"/>
  <c r="EX321" i="55"/>
  <c r="EC321" i="55"/>
  <c r="EC289" i="55"/>
  <c r="EX289" i="55"/>
  <c r="EX273" i="55"/>
  <c r="EC273" i="55"/>
  <c r="EX257" i="55"/>
  <c r="EC241" i="55"/>
  <c r="EY241" i="55" s="1"/>
  <c r="R241" i="55" s="1"/>
  <c r="EX225" i="55"/>
  <c r="EC225" i="55"/>
  <c r="EC209" i="55"/>
  <c r="EX209" i="55"/>
  <c r="EX193" i="55"/>
  <c r="EC177" i="55"/>
  <c r="EY177" i="55" s="1"/>
  <c r="R177" i="55" s="1"/>
  <c r="EX145" i="55"/>
  <c r="EY145" i="55" s="1"/>
  <c r="EX129" i="55"/>
  <c r="EC129" i="55"/>
  <c r="EX113" i="55"/>
  <c r="EC97" i="55"/>
  <c r="EX81" i="55"/>
  <c r="EC81" i="55"/>
  <c r="EX65" i="55"/>
  <c r="EC65" i="55"/>
  <c r="EX48" i="55"/>
  <c r="EC48" i="55"/>
  <c r="EC15" i="55"/>
  <c r="EB338" i="55"/>
  <c r="DZ338" i="55"/>
  <c r="EB274" i="55"/>
  <c r="DZ274" i="55"/>
  <c r="GS258" i="55"/>
  <c r="EB242" i="55"/>
  <c r="GS242" i="55" s="1"/>
  <c r="DZ242" i="55"/>
  <c r="DZ226" i="55"/>
  <c r="EB226" i="55"/>
  <c r="DZ162" i="55"/>
  <c r="EB162" i="55"/>
  <c r="EB146" i="55"/>
  <c r="DZ146" i="55"/>
  <c r="EB82" i="55"/>
  <c r="DZ82" i="55"/>
  <c r="FY159" i="55"/>
  <c r="FX159" i="55" a="1"/>
  <c r="FX159" i="55" s="1"/>
  <c r="HZ336" i="55"/>
  <c r="IA336" i="55"/>
  <c r="IB336" i="55"/>
  <c r="HW336" i="55"/>
  <c r="CN336" i="55"/>
  <c r="CL336" i="55"/>
  <c r="HZ320" i="55"/>
  <c r="IA320" i="55"/>
  <c r="HW320" i="55"/>
  <c r="IB320" i="55"/>
  <c r="CL320" i="55"/>
  <c r="DL320" i="55" s="1"/>
  <c r="CJ320" i="55"/>
  <c r="HZ304" i="55"/>
  <c r="IA304" i="55"/>
  <c r="HW304" i="55"/>
  <c r="IB304" i="55"/>
  <c r="CM304" i="55"/>
  <c r="CJ304" i="55"/>
  <c r="HZ288" i="55"/>
  <c r="IA288" i="55"/>
  <c r="HW288" i="55"/>
  <c r="IB288" i="55"/>
  <c r="CK288" i="55"/>
  <c r="CG289" i="55"/>
  <c r="CN288" i="55"/>
  <c r="HZ272" i="55"/>
  <c r="IA272" i="55"/>
  <c r="IB272" i="55"/>
  <c r="U272" i="55" s="1"/>
  <c r="CN272" i="55"/>
  <c r="HW272" i="55"/>
  <c r="CL272" i="55"/>
  <c r="DL272" i="55" s="1"/>
  <c r="HZ256" i="55"/>
  <c r="IA256" i="55"/>
  <c r="HW256" i="55"/>
  <c r="IB256" i="55"/>
  <c r="CL256" i="55"/>
  <c r="DL256" i="55" s="1"/>
  <c r="CJ256" i="55"/>
  <c r="HZ240" i="55"/>
  <c r="IA240" i="55"/>
  <c r="IB240" i="55"/>
  <c r="HW240" i="55"/>
  <c r="CM240" i="55"/>
  <c r="CJ240" i="55"/>
  <c r="HZ224" i="55"/>
  <c r="IA224" i="55"/>
  <c r="IB224" i="55"/>
  <c r="CK224" i="55"/>
  <c r="CG225" i="55"/>
  <c r="CN224" i="55"/>
  <c r="HZ208" i="55"/>
  <c r="IA208" i="55"/>
  <c r="IB208" i="55"/>
  <c r="HW208" i="55"/>
  <c r="CN208" i="55"/>
  <c r="CL208" i="55"/>
  <c r="DL208" i="55" s="1"/>
  <c r="HZ192" i="55"/>
  <c r="IA192" i="55"/>
  <c r="HW192" i="55"/>
  <c r="IB192" i="55"/>
  <c r="CL192" i="55"/>
  <c r="DL192" i="55" s="1"/>
  <c r="CJ192" i="55"/>
  <c r="HZ176" i="55"/>
  <c r="IA176" i="55"/>
  <c r="HW176" i="55"/>
  <c r="IB176" i="55"/>
  <c r="CM176" i="55"/>
  <c r="CJ176" i="55"/>
  <c r="HZ160" i="55"/>
  <c r="IA160" i="55"/>
  <c r="IB160" i="55"/>
  <c r="HW160" i="55"/>
  <c r="CK160" i="55"/>
  <c r="CG161" i="55"/>
  <c r="CN160" i="55"/>
  <c r="HZ144" i="55"/>
  <c r="IA144" i="55"/>
  <c r="IB144" i="55"/>
  <c r="HW144" i="55"/>
  <c r="CN144" i="55"/>
  <c r="CL144" i="55"/>
  <c r="HZ128" i="55"/>
  <c r="IA128" i="55"/>
  <c r="HW128" i="55"/>
  <c r="IB128" i="55"/>
  <c r="V128" i="55" s="1"/>
  <c r="CL128" i="55"/>
  <c r="CJ128" i="55"/>
  <c r="HZ112" i="55"/>
  <c r="IA112" i="55"/>
  <c r="HW112" i="55"/>
  <c r="IB112" i="55"/>
  <c r="CM112" i="55"/>
  <c r="CJ112" i="55"/>
  <c r="HZ96" i="55"/>
  <c r="IA96" i="55"/>
  <c r="IB96" i="55"/>
  <c r="HW96" i="55"/>
  <c r="CK96" i="55"/>
  <c r="CG97" i="55"/>
  <c r="CN96" i="55"/>
  <c r="HZ80" i="55"/>
  <c r="IA80" i="55"/>
  <c r="IB80" i="55"/>
  <c r="V80" i="55" s="1"/>
  <c r="HW80" i="55"/>
  <c r="CN80" i="55"/>
  <c r="CL80" i="55"/>
  <c r="DL80" i="55" s="1"/>
  <c r="HZ64" i="55"/>
  <c r="IA64" i="55"/>
  <c r="HW64" i="55"/>
  <c r="IB64" i="55"/>
  <c r="CL64" i="55"/>
  <c r="DL64" i="55" s="1"/>
  <c r="CJ64" i="55"/>
  <c r="HZ48" i="55"/>
  <c r="IA48" i="55"/>
  <c r="HW48" i="55"/>
  <c r="IB48" i="55"/>
  <c r="CM48" i="55"/>
  <c r="CJ48" i="55"/>
  <c r="HZ32" i="55"/>
  <c r="IA32" i="55"/>
  <c r="IB32" i="55"/>
  <c r="HW32" i="55"/>
  <c r="CK32" i="55"/>
  <c r="CG33" i="55"/>
  <c r="CN32" i="55"/>
  <c r="HZ16" i="55"/>
  <c r="IA16" i="55"/>
  <c r="IB16" i="55"/>
  <c r="HW16" i="55"/>
  <c r="CN16" i="55"/>
  <c r="CL16" i="55"/>
  <c r="DL16" i="55" s="1"/>
  <c r="CG321" i="55"/>
  <c r="JW271" i="55"/>
  <c r="IC271" i="55"/>
  <c r="GB271" i="55"/>
  <c r="GC271" i="55" s="1"/>
  <c r="DS271" i="55"/>
  <c r="CG241" i="55"/>
  <c r="JW166" i="55"/>
  <c r="IC166" i="55"/>
  <c r="GB166" i="55"/>
  <c r="GC166" i="55" s="1"/>
  <c r="FW166" i="55"/>
  <c r="DS166" i="55"/>
  <c r="CR166" i="55" a="1"/>
  <c r="CR166" i="55" s="1"/>
  <c r="CS166" i="55" s="1"/>
  <c r="JW135" i="55"/>
  <c r="IC135" i="55"/>
  <c r="GB135" i="55"/>
  <c r="GC135" i="55" s="1"/>
  <c r="DS135" i="55"/>
  <c r="FW135" i="55"/>
  <c r="CG81" i="55"/>
  <c r="JW55" i="55"/>
  <c r="IC55" i="55"/>
  <c r="GB55" i="55"/>
  <c r="GC55" i="55" s="1"/>
  <c r="DS55" i="55"/>
  <c r="CR55" i="55" a="1"/>
  <c r="CR55" i="55" s="1"/>
  <c r="DZ340" i="55"/>
  <c r="GS340" i="55" s="1"/>
  <c r="DZ276" i="55"/>
  <c r="DZ212" i="55"/>
  <c r="EB351" i="55"/>
  <c r="EU308" i="55"/>
  <c r="EJ239" i="55"/>
  <c r="EX15" i="55"/>
  <c r="FI209" i="55"/>
  <c r="FM209" i="55"/>
  <c r="FL209" i="55"/>
  <c r="FN209" i="55"/>
  <c r="V247" i="55"/>
  <c r="V215" i="55"/>
  <c r="V135" i="55"/>
  <c r="V55" i="55"/>
  <c r="JH351" i="55"/>
  <c r="JI351" i="55" s="1"/>
  <c r="GA351" i="55"/>
  <c r="BY351" i="55" s="1"/>
  <c r="FF351" i="55"/>
  <c r="DC351" i="55"/>
  <c r="I351" i="55" s="1"/>
  <c r="DD351" i="55" s="1"/>
  <c r="IC351" i="55" s="1"/>
  <c r="DB351" i="55"/>
  <c r="CQ351" i="55"/>
  <c r="BT351" i="55"/>
  <c r="DI351" i="55"/>
  <c r="H351" i="55" s="1"/>
  <c r="DJ351" i="55" s="1"/>
  <c r="CC351" i="55"/>
  <c r="CA351" i="55"/>
  <c r="BP351" i="55"/>
  <c r="GI335" i="55"/>
  <c r="DC335" i="55"/>
  <c r="I335" i="55" s="1"/>
  <c r="DD335" i="55" s="1"/>
  <c r="BT335" i="55"/>
  <c r="DN335" i="55"/>
  <c r="CC335" i="55"/>
  <c r="CA335" i="55"/>
  <c r="GA335" i="55"/>
  <c r="BY335" i="55" s="1"/>
  <c r="BP335" i="55"/>
  <c r="JH319" i="55"/>
  <c r="JI319" i="55" s="1"/>
  <c r="GA319" i="55"/>
  <c r="BY319" i="55" s="1"/>
  <c r="DB319" i="55"/>
  <c r="BT319" i="55"/>
  <c r="DI319" i="55"/>
  <c r="H319" i="55" s="1"/>
  <c r="DJ319" i="55" s="1"/>
  <c r="CC319" i="55"/>
  <c r="DC319" i="55"/>
  <c r="I319" i="55" s="1"/>
  <c r="DD319" i="55" s="1"/>
  <c r="CQ319" i="55"/>
  <c r="DN319" i="55"/>
  <c r="BP319" i="55"/>
  <c r="JH303" i="55"/>
  <c r="JI303" i="55" s="1"/>
  <c r="GA303" i="55"/>
  <c r="BY303" i="55" s="1"/>
  <c r="FF303" i="55"/>
  <c r="DN303" i="55"/>
  <c r="DI303" i="55"/>
  <c r="H303" i="55" s="1"/>
  <c r="DJ303" i="55" s="1"/>
  <c r="DB303" i="55"/>
  <c r="BT303" i="55"/>
  <c r="CC303" i="55"/>
  <c r="CO303" i="55"/>
  <c r="CP303" i="55" s="1"/>
  <c r="Y303" i="55" s="1"/>
  <c r="BP303" i="55"/>
  <c r="JH287" i="55"/>
  <c r="JI287" i="55" s="1"/>
  <c r="GA287" i="55"/>
  <c r="BY287" i="55" s="1"/>
  <c r="DC287" i="55"/>
  <c r="I287" i="55" s="1"/>
  <c r="DD287" i="55" s="1"/>
  <c r="CR287" i="55" s="1" a="1"/>
  <c r="CR287" i="55" s="1"/>
  <c r="DB287" i="55"/>
  <c r="FF287" i="55"/>
  <c r="CQ287" i="55"/>
  <c r="BT287" i="55"/>
  <c r="CC287" i="55"/>
  <c r="DI287" i="55"/>
  <c r="H287" i="55" s="1"/>
  <c r="DJ287" i="55" s="1"/>
  <c r="DN287" i="55"/>
  <c r="CA287" i="55"/>
  <c r="BP287" i="55"/>
  <c r="JH271" i="55"/>
  <c r="JI271" i="55" s="1"/>
  <c r="FF271" i="55"/>
  <c r="DC271" i="55"/>
  <c r="I271" i="55" s="1"/>
  <c r="DD271" i="55" s="1"/>
  <c r="CR271" i="55" s="1" a="1"/>
  <c r="CR271" i="55" s="1"/>
  <c r="DB271" i="55"/>
  <c r="BT271" i="55"/>
  <c r="CC271" i="55"/>
  <c r="CA271" i="55"/>
  <c r="BY271" i="55"/>
  <c r="GA271" i="55"/>
  <c r="BP271" i="55"/>
  <c r="JH255" i="55"/>
  <c r="JI255" i="55" s="1"/>
  <c r="GA255" i="55"/>
  <c r="BY255" i="55" s="1"/>
  <c r="DB255" i="55"/>
  <c r="BT255" i="55"/>
  <c r="CC255" i="55"/>
  <c r="DN255" i="55"/>
  <c r="FF255" i="55"/>
  <c r="BP255" i="55"/>
  <c r="JH239" i="55"/>
  <c r="JI239" i="55" s="1"/>
  <c r="GA239" i="55"/>
  <c r="BY239" i="55" s="1"/>
  <c r="DN239" i="55"/>
  <c r="DI239" i="55"/>
  <c r="H239" i="55" s="1"/>
  <c r="DJ239" i="55" s="1"/>
  <c r="DB239" i="55"/>
  <c r="DC239" i="55"/>
  <c r="I239" i="55" s="1"/>
  <c r="DD239" i="55" s="1"/>
  <c r="BT239" i="55"/>
  <c r="CC239" i="55"/>
  <c r="CO239" i="55"/>
  <c r="CP239" i="55" s="1"/>
  <c r="Y239" i="55" s="1"/>
  <c r="BP239" i="55"/>
  <c r="JH223" i="55"/>
  <c r="JI223" i="55" s="1"/>
  <c r="DC223" i="55"/>
  <c r="I223" i="55" s="1"/>
  <c r="DD223" i="55" s="1"/>
  <c r="IC223" i="55" s="1"/>
  <c r="DB223" i="55"/>
  <c r="GA223" i="55"/>
  <c r="CQ223" i="55"/>
  <c r="BT223" i="55"/>
  <c r="DN223" i="55"/>
  <c r="CC223" i="55"/>
  <c r="CA223" i="55"/>
  <c r="BY223" i="55"/>
  <c r="BP223" i="55"/>
  <c r="JH207" i="55"/>
  <c r="JI207" i="55" s="1"/>
  <c r="GA207" i="55"/>
  <c r="BY207" i="55" s="1"/>
  <c r="DC207" i="55"/>
  <c r="I207" i="55" s="1"/>
  <c r="DD207" i="55" s="1"/>
  <c r="DB207" i="55"/>
  <c r="FF207" i="55"/>
  <c r="BT207" i="55"/>
  <c r="DI207" i="55"/>
  <c r="H207" i="55" s="1"/>
  <c r="DJ207" i="55" s="1"/>
  <c r="CC207" i="55"/>
  <c r="CA207" i="55"/>
  <c r="CQ207" i="55"/>
  <c r="DN207" i="55"/>
  <c r="BP207" i="55"/>
  <c r="BQ207" i="55" s="1"/>
  <c r="JH191" i="55"/>
  <c r="JI191" i="55" s="1"/>
  <c r="GA191" i="55"/>
  <c r="BY191" i="55" s="1"/>
  <c r="FF191" i="55"/>
  <c r="DB191" i="55"/>
  <c r="BT191" i="55"/>
  <c r="DN191" i="55"/>
  <c r="CC191" i="55"/>
  <c r="BP191" i="55"/>
  <c r="JH175" i="55"/>
  <c r="JI175" i="55" s="1"/>
  <c r="GA175" i="55"/>
  <c r="BY175" i="55" s="1"/>
  <c r="DN175" i="55"/>
  <c r="DI175" i="55"/>
  <c r="H175" i="55" s="1"/>
  <c r="DJ175" i="55" s="1"/>
  <c r="DB175" i="55"/>
  <c r="BT175" i="55"/>
  <c r="CC175" i="55"/>
  <c r="CQ175" i="55"/>
  <c r="CO175" i="55"/>
  <c r="CP175" i="55" s="1"/>
  <c r="Y175" i="55" s="1"/>
  <c r="BP175" i="55"/>
  <c r="JH159" i="55"/>
  <c r="JI159" i="55" s="1"/>
  <c r="GA159" i="55"/>
  <c r="BY159" i="55" s="1"/>
  <c r="FF159" i="55"/>
  <c r="DC159" i="55"/>
  <c r="I159" i="55" s="1"/>
  <c r="DD159" i="55" s="1"/>
  <c r="DB159" i="55"/>
  <c r="CQ159" i="55"/>
  <c r="BT159" i="55"/>
  <c r="CC159" i="55"/>
  <c r="CA159" i="55"/>
  <c r="BP159" i="55"/>
  <c r="CE159" i="55" s="1" a="1"/>
  <c r="CE159" i="55" s="1"/>
  <c r="EK159" i="55" s="1"/>
  <c r="JH143" i="55"/>
  <c r="JI143" i="55" s="1"/>
  <c r="GA143" i="55"/>
  <c r="BY143" i="55" s="1"/>
  <c r="DC143" i="55"/>
  <c r="I143" i="55" s="1"/>
  <c r="DD143" i="55" s="1"/>
  <c r="IC143" i="55" s="1"/>
  <c r="DB143" i="55"/>
  <c r="BT143" i="55"/>
  <c r="CC143" i="55"/>
  <c r="DN143" i="55"/>
  <c r="CA143" i="55"/>
  <c r="BP143" i="55"/>
  <c r="JH127" i="55"/>
  <c r="JI127" i="55" s="1"/>
  <c r="GA127" i="55"/>
  <c r="BY127" i="55" s="1"/>
  <c r="DB127" i="55"/>
  <c r="DC127" i="55"/>
  <c r="I127" i="55" s="1"/>
  <c r="DD127" i="55" s="1"/>
  <c r="IC127" i="55" s="1"/>
  <c r="BT127" i="55"/>
  <c r="CC127" i="55"/>
  <c r="DN127" i="55"/>
  <c r="DI127" i="55"/>
  <c r="H127" i="55" s="1"/>
  <c r="DJ127" i="55" s="1"/>
  <c r="BP127" i="55"/>
  <c r="JH111" i="55"/>
  <c r="JI111" i="55" s="1"/>
  <c r="GA111" i="55"/>
  <c r="BY111" i="55" s="1"/>
  <c r="DN111" i="55"/>
  <c r="DI111" i="55"/>
  <c r="H111" i="55" s="1"/>
  <c r="DJ111" i="55" s="1"/>
  <c r="DB111" i="55"/>
  <c r="BT111" i="55"/>
  <c r="CC111" i="55"/>
  <c r="CO111" i="55"/>
  <c r="CP111" i="55" s="1"/>
  <c r="Y111" i="55" s="1"/>
  <c r="BP111" i="55"/>
  <c r="JH95" i="55"/>
  <c r="JI95" i="55" s="1"/>
  <c r="DB95" i="55"/>
  <c r="GA95" i="55"/>
  <c r="DC95" i="55"/>
  <c r="I95" i="55" s="1"/>
  <c r="DD95" i="55" s="1"/>
  <c r="CQ95" i="55"/>
  <c r="BT95" i="55"/>
  <c r="DI95" i="55"/>
  <c r="H95" i="55" s="1"/>
  <c r="DJ95" i="55" s="1"/>
  <c r="CC95" i="55"/>
  <c r="DN95" i="55"/>
  <c r="CA95" i="55"/>
  <c r="BY95" i="55"/>
  <c r="BP95" i="55"/>
  <c r="JH79" i="55"/>
  <c r="JI79" i="55" s="1"/>
  <c r="GA79" i="55"/>
  <c r="BY79" i="55" s="1"/>
  <c r="DB79" i="55"/>
  <c r="DC79" i="55"/>
  <c r="I79" i="55" s="1"/>
  <c r="DD79" i="55" s="1"/>
  <c r="CO79" i="55"/>
  <c r="CP79" i="55" s="1"/>
  <c r="Y79" i="55" s="1"/>
  <c r="BT79" i="55"/>
  <c r="DN79" i="55"/>
  <c r="CC79" i="55"/>
  <c r="CA79" i="55"/>
  <c r="BP79" i="55"/>
  <c r="BQ79" i="55" s="1"/>
  <c r="JH63" i="55"/>
  <c r="JI63" i="55" s="1"/>
  <c r="GA63" i="55"/>
  <c r="BY63" i="55" s="1"/>
  <c r="DB63" i="55"/>
  <c r="BT63" i="55"/>
  <c r="DI63" i="55"/>
  <c r="H63" i="55" s="1"/>
  <c r="DJ63" i="55" s="1"/>
  <c r="CO63" i="55"/>
  <c r="CP63" i="55" s="1"/>
  <c r="Y63" i="55" s="1"/>
  <c r="CC63" i="55"/>
  <c r="DN63" i="55"/>
  <c r="CQ63" i="55"/>
  <c r="BP63" i="55"/>
  <c r="JH47" i="55"/>
  <c r="JI47" i="55" s="1"/>
  <c r="GA47" i="55"/>
  <c r="BY47" i="55" s="1"/>
  <c r="DB47" i="55"/>
  <c r="DN47" i="55"/>
  <c r="DI47" i="55"/>
  <c r="H47" i="55" s="1"/>
  <c r="DJ47" i="55" s="1"/>
  <c r="FF47" i="55"/>
  <c r="BT47" i="55"/>
  <c r="CC47" i="55"/>
  <c r="BP47" i="55"/>
  <c r="GA31" i="55"/>
  <c r="BY31" i="55" s="1"/>
  <c r="DC31" i="55"/>
  <c r="I31" i="55" s="1"/>
  <c r="DD31" i="55" s="1"/>
  <c r="GI31" i="55"/>
  <c r="FF31" i="55"/>
  <c r="CQ31" i="55"/>
  <c r="BT31" i="55"/>
  <c r="CC31" i="55"/>
  <c r="DN31" i="55"/>
  <c r="CA31" i="55"/>
  <c r="BP31" i="55"/>
  <c r="JH15" i="55"/>
  <c r="JI15" i="55" s="1"/>
  <c r="GA15" i="55"/>
  <c r="BY15" i="55" s="1"/>
  <c r="DB15" i="55"/>
  <c r="FF15" i="55"/>
  <c r="DC15" i="55"/>
  <c r="I15" i="55" s="1"/>
  <c r="DD15" i="55" s="1"/>
  <c r="BT15" i="55"/>
  <c r="CC15" i="55"/>
  <c r="CA15" i="55"/>
  <c r="CO15" i="55"/>
  <c r="CP15" i="55" s="1"/>
  <c r="Y15" i="55" s="1"/>
  <c r="DN15" i="55"/>
  <c r="DI15" i="55"/>
  <c r="H15" i="55" s="1"/>
  <c r="DJ15" i="55" s="1"/>
  <c r="BP15" i="55"/>
  <c r="HV341" i="55"/>
  <c r="FG341" i="55"/>
  <c r="HV325" i="55"/>
  <c r="FG325" i="55"/>
  <c r="FG309" i="55"/>
  <c r="CE309" i="55" a="1"/>
  <c r="CE309" i="55" s="1"/>
  <c r="EK309" i="55" s="1"/>
  <c r="BW309" i="55"/>
  <c r="FG293" i="55"/>
  <c r="CE293" i="55" a="1"/>
  <c r="CE293" i="55" s="1"/>
  <c r="EK293" i="55" s="1"/>
  <c r="BW245" i="55"/>
  <c r="BW181" i="55"/>
  <c r="BW117" i="55"/>
  <c r="BW53" i="55"/>
  <c r="GJ350" i="55"/>
  <c r="GJ334" i="55"/>
  <c r="GP318" i="55"/>
  <c r="GJ318" i="55"/>
  <c r="GJ302" i="55"/>
  <c r="GP302" i="55"/>
  <c r="GJ286" i="55"/>
  <c r="GP286" i="55"/>
  <c r="GP270" i="55"/>
  <c r="GJ270" i="55"/>
  <c r="GP254" i="55"/>
  <c r="GJ254" i="55"/>
  <c r="GJ238" i="55"/>
  <c r="GJ222" i="55"/>
  <c r="GP222" i="55"/>
  <c r="GJ206" i="55"/>
  <c r="GP190" i="55"/>
  <c r="GJ190" i="55"/>
  <c r="GJ174" i="55"/>
  <c r="GP174" i="55"/>
  <c r="GJ158" i="55"/>
  <c r="GP142" i="55"/>
  <c r="GJ142" i="55"/>
  <c r="GP126" i="55"/>
  <c r="GJ126" i="55"/>
  <c r="GJ110" i="55"/>
  <c r="GJ94" i="55"/>
  <c r="GP94" i="55"/>
  <c r="GJ78" i="55"/>
  <c r="GP62" i="55"/>
  <c r="GJ62" i="55"/>
  <c r="GJ46" i="55"/>
  <c r="GP46" i="55"/>
  <c r="GQ46" i="55"/>
  <c r="GJ30" i="55"/>
  <c r="GP30" i="55"/>
  <c r="GP14" i="55"/>
  <c r="GJ14" i="55"/>
  <c r="BN238" i="55"/>
  <c r="BN110" i="55"/>
  <c r="S110" i="55" s="1"/>
  <c r="HX340" i="55"/>
  <c r="HY340" i="55"/>
  <c r="HX276" i="55"/>
  <c r="HY276" i="55"/>
  <c r="EL276" i="55"/>
  <c r="HX212" i="55"/>
  <c r="HY212" i="55"/>
  <c r="EL212" i="55"/>
  <c r="HX148" i="55"/>
  <c r="HY148" i="55"/>
  <c r="EL148" i="55"/>
  <c r="HX84" i="55"/>
  <c r="HY84" i="55"/>
  <c r="EL84" i="55"/>
  <c r="HX20" i="55"/>
  <c r="HY20" i="55"/>
  <c r="EL20" i="55"/>
  <c r="GN350" i="55"/>
  <c r="DL350" i="55"/>
  <c r="GN334" i="55"/>
  <c r="EJ334" i="55"/>
  <c r="GN318" i="55"/>
  <c r="EJ318" i="55"/>
  <c r="GN302" i="55"/>
  <c r="EJ302" i="55"/>
  <c r="GN286" i="55"/>
  <c r="DL286" i="55"/>
  <c r="GN270" i="55"/>
  <c r="EJ270" i="55"/>
  <c r="GN254" i="55"/>
  <c r="EJ254" i="55"/>
  <c r="GN238" i="55"/>
  <c r="DL238" i="55"/>
  <c r="GN222" i="55"/>
  <c r="EJ222" i="55"/>
  <c r="GN206" i="55"/>
  <c r="EJ206" i="55"/>
  <c r="DL206" i="55"/>
  <c r="GN190" i="55"/>
  <c r="EJ190" i="55"/>
  <c r="GN174" i="55"/>
  <c r="DL174" i="55"/>
  <c r="GN158" i="55"/>
  <c r="EJ158" i="55"/>
  <c r="DL158" i="55"/>
  <c r="GN142" i="55"/>
  <c r="EJ142" i="55"/>
  <c r="GN126" i="55"/>
  <c r="EJ126" i="55"/>
  <c r="GN110" i="55"/>
  <c r="EJ110" i="55"/>
  <c r="GN78" i="55"/>
  <c r="EJ78" i="55"/>
  <c r="GN62" i="55"/>
  <c r="EJ62" i="55"/>
  <c r="GN46" i="55"/>
  <c r="EJ46" i="55"/>
  <c r="GN30" i="55"/>
  <c r="EJ30" i="55"/>
  <c r="DL30" i="55"/>
  <c r="GN13" i="55"/>
  <c r="EJ13" i="55"/>
  <c r="DL13" i="55"/>
  <c r="EC352" i="55"/>
  <c r="EX336" i="55"/>
  <c r="EC320" i="55"/>
  <c r="EX320" i="55"/>
  <c r="EX304" i="55"/>
  <c r="EC304" i="55"/>
  <c r="EC288" i="55"/>
  <c r="EX288" i="55"/>
  <c r="EX272" i="55"/>
  <c r="EX240" i="55"/>
  <c r="EC240" i="55"/>
  <c r="EX224" i="55"/>
  <c r="EC208" i="55"/>
  <c r="EX208" i="55"/>
  <c r="EX192" i="55"/>
  <c r="EY192" i="55" s="1"/>
  <c r="EX176" i="55"/>
  <c r="EC176" i="55"/>
  <c r="EX160" i="55"/>
  <c r="EY160" i="55" s="1"/>
  <c r="EX128" i="55"/>
  <c r="EY128" i="55" s="1"/>
  <c r="EX112" i="55"/>
  <c r="EC112" i="55"/>
  <c r="EC96" i="55"/>
  <c r="EX96" i="55"/>
  <c r="EC64" i="55"/>
  <c r="EX64" i="55"/>
  <c r="EX47" i="55"/>
  <c r="EC31" i="55"/>
  <c r="EX31" i="55"/>
  <c r="EX14" i="55"/>
  <c r="EY14" i="55" s="1"/>
  <c r="EB241" i="55"/>
  <c r="GS241" i="55" s="1"/>
  <c r="EB161" i="55"/>
  <c r="JW352" i="55"/>
  <c r="GB352" i="55"/>
  <c r="GC352" i="55" s="1"/>
  <c r="IC352" i="55"/>
  <c r="JW304" i="55"/>
  <c r="DS304" i="55"/>
  <c r="FW304" i="55"/>
  <c r="CR304" i="55" a="1"/>
  <c r="CR304" i="55" s="1"/>
  <c r="CS304" i="55" s="1"/>
  <c r="JW288" i="55"/>
  <c r="FW288" i="55"/>
  <c r="GB288" i="55"/>
  <c r="GC288" i="55" s="1"/>
  <c r="DS288" i="55"/>
  <c r="JW240" i="55"/>
  <c r="IC240" i="55"/>
  <c r="GB240" i="55"/>
  <c r="GC240" i="55" s="1"/>
  <c r="CR240" i="55" a="1"/>
  <c r="CR240" i="55" s="1"/>
  <c r="JW224" i="55"/>
  <c r="IC224" i="55"/>
  <c r="GB224" i="55"/>
  <c r="GC224" i="55" s="1"/>
  <c r="DS224" i="55"/>
  <c r="JW176" i="55"/>
  <c r="IC176" i="55"/>
  <c r="GB176" i="55"/>
  <c r="GC176" i="55" s="1"/>
  <c r="FW176" i="55"/>
  <c r="DS176" i="55"/>
  <c r="CR176" i="55" a="1"/>
  <c r="CR176" i="55" s="1"/>
  <c r="JW160" i="55"/>
  <c r="IC160" i="55"/>
  <c r="FW160" i="55"/>
  <c r="DS160" i="55"/>
  <c r="JW112" i="55"/>
  <c r="IC112" i="55"/>
  <c r="GB112" i="55"/>
  <c r="GC112" i="55" s="1"/>
  <c r="CR112" i="55" a="1"/>
  <c r="CR112" i="55" s="1"/>
  <c r="JW96" i="55"/>
  <c r="IC96" i="55"/>
  <c r="FW96" i="55"/>
  <c r="DS96" i="55"/>
  <c r="GB96" i="55"/>
  <c r="GC96" i="55" s="1"/>
  <c r="JW48" i="55"/>
  <c r="IC48" i="55"/>
  <c r="DS48" i="55"/>
  <c r="CR48" i="55" a="1"/>
  <c r="CR48" i="55" s="1"/>
  <c r="CS48" i="55" s="1"/>
  <c r="JW32" i="55"/>
  <c r="IC32" i="55"/>
  <c r="GB32" i="55"/>
  <c r="GC32" i="55" s="1"/>
  <c r="JW320" i="55"/>
  <c r="IC320" i="55"/>
  <c r="GB320" i="55"/>
  <c r="GC320" i="55" s="1"/>
  <c r="FW320" i="55"/>
  <c r="DS320" i="55"/>
  <c r="JW270" i="55"/>
  <c r="GB270" i="55"/>
  <c r="GC270" i="55" s="1"/>
  <c r="DS270" i="55"/>
  <c r="IC270" i="55"/>
  <c r="CG239" i="55"/>
  <c r="CG159" i="55"/>
  <c r="JW134" i="55"/>
  <c r="GB134" i="55"/>
  <c r="GC134" i="55" s="1"/>
  <c r="FW134" i="55"/>
  <c r="DS134" i="55"/>
  <c r="JW80" i="55"/>
  <c r="IC80" i="55"/>
  <c r="DS80" i="55"/>
  <c r="GB80" i="55"/>
  <c r="GC80" i="55" s="1"/>
  <c r="CR80" i="55" a="1"/>
  <c r="CR80" i="55" s="1"/>
  <c r="CS80" i="55" s="1"/>
  <c r="CL288" i="55"/>
  <c r="DL288" i="55" s="1"/>
  <c r="CL160" i="55"/>
  <c r="DL160" i="55" s="1"/>
  <c r="CL32" i="55"/>
  <c r="DL32" i="55" s="1"/>
  <c r="CM224" i="55"/>
  <c r="DI271" i="55"/>
  <c r="H271" i="55" s="1"/>
  <c r="DJ271" i="55" s="1"/>
  <c r="DI223" i="55"/>
  <c r="H223" i="55" s="1"/>
  <c r="DJ223" i="55" s="1"/>
  <c r="DL161" i="55"/>
  <c r="EB350" i="55"/>
  <c r="EB270" i="55"/>
  <c r="EJ238" i="55"/>
  <c r="EY99" i="55"/>
  <c r="FB118" i="55"/>
  <c r="FI193" i="55"/>
  <c r="FN193" i="55"/>
  <c r="FO193" i="55"/>
  <c r="FM193" i="55"/>
  <c r="FL193" i="55"/>
  <c r="GN33" i="55"/>
  <c r="JU31" i="55"/>
  <c r="JO31" i="55"/>
  <c r="JP31" i="55" s="1"/>
  <c r="JV31" i="55"/>
  <c r="HM31" i="55"/>
  <c r="M31" i="55" s="1"/>
  <c r="HN31" i="55" s="1"/>
  <c r="IL31" i="55" s="1"/>
  <c r="IM31" i="55" s="1"/>
  <c r="FY15" i="55"/>
  <c r="FX15" i="55" a="1"/>
  <c r="FX15" i="55" s="1"/>
  <c r="IA350" i="55"/>
  <c r="IB350" i="55"/>
  <c r="HW350" i="55"/>
  <c r="HZ350" i="55"/>
  <c r="CJ350" i="55"/>
  <c r="CM350" i="55"/>
  <c r="CK350" i="55"/>
  <c r="IA334" i="55"/>
  <c r="IB334" i="55"/>
  <c r="HZ334" i="55"/>
  <c r="HW334" i="55"/>
  <c r="CJ334" i="55"/>
  <c r="CN334" i="55"/>
  <c r="CK334" i="55"/>
  <c r="IA318" i="55"/>
  <c r="IB318" i="55"/>
  <c r="HZ318" i="55"/>
  <c r="HW318" i="55"/>
  <c r="CJ318" i="55"/>
  <c r="CL318" i="55"/>
  <c r="DL318" i="55" s="1"/>
  <c r="IA302" i="55"/>
  <c r="IB302" i="55"/>
  <c r="HW302" i="55"/>
  <c r="HZ302" i="55"/>
  <c r="CJ302" i="55"/>
  <c r="CM302" i="55"/>
  <c r="IA286" i="55"/>
  <c r="IB286" i="55"/>
  <c r="HW286" i="55"/>
  <c r="HZ286" i="55"/>
  <c r="CJ286" i="55"/>
  <c r="CM286" i="55"/>
  <c r="CK286" i="55"/>
  <c r="IA270" i="55"/>
  <c r="IB270" i="55"/>
  <c r="HZ270" i="55"/>
  <c r="HW270" i="55"/>
  <c r="CJ270" i="55"/>
  <c r="CN270" i="55"/>
  <c r="CK270" i="55"/>
  <c r="IA254" i="55"/>
  <c r="IB254" i="55"/>
  <c r="HZ254" i="55"/>
  <c r="HW254" i="55"/>
  <c r="CJ254" i="55"/>
  <c r="CL254" i="55"/>
  <c r="DL254" i="55" s="1"/>
  <c r="IA238" i="55"/>
  <c r="IB238" i="55"/>
  <c r="HW238" i="55"/>
  <c r="HZ238" i="55"/>
  <c r="CJ238" i="55"/>
  <c r="CM238" i="55"/>
  <c r="IA222" i="55"/>
  <c r="IB222" i="55"/>
  <c r="HZ222" i="55"/>
  <c r="HW222" i="55"/>
  <c r="CJ222" i="55"/>
  <c r="CM222" i="55"/>
  <c r="CK222" i="55"/>
  <c r="IA206" i="55"/>
  <c r="IB206" i="55"/>
  <c r="HZ206" i="55"/>
  <c r="HW206" i="55"/>
  <c r="CJ206" i="55"/>
  <c r="CN206" i="55"/>
  <c r="CK206" i="55"/>
  <c r="IA190" i="55"/>
  <c r="IB190" i="55"/>
  <c r="HZ190" i="55"/>
  <c r="HW190" i="55"/>
  <c r="CJ190" i="55"/>
  <c r="CL190" i="55"/>
  <c r="DL190" i="55" s="1"/>
  <c r="IA174" i="55"/>
  <c r="IB174" i="55"/>
  <c r="HW174" i="55"/>
  <c r="HZ174" i="55"/>
  <c r="CJ174" i="55"/>
  <c r="CM174" i="55"/>
  <c r="IA158" i="55"/>
  <c r="IB158" i="55"/>
  <c r="HW158" i="55"/>
  <c r="HZ158" i="55"/>
  <c r="CJ158" i="55"/>
  <c r="CM158" i="55"/>
  <c r="CK158" i="55"/>
  <c r="IA142" i="55"/>
  <c r="IB142" i="55"/>
  <c r="HZ142" i="55"/>
  <c r="HW142" i="55"/>
  <c r="CJ142" i="55"/>
  <c r="CN142" i="55"/>
  <c r="CK142" i="55"/>
  <c r="IA126" i="55"/>
  <c r="IB126" i="55"/>
  <c r="HW126" i="55"/>
  <c r="HZ126" i="55"/>
  <c r="CJ126" i="55"/>
  <c r="CL126" i="55"/>
  <c r="DL126" i="55" s="1"/>
  <c r="IA110" i="55"/>
  <c r="IB110" i="55"/>
  <c r="HW110" i="55"/>
  <c r="HZ110" i="55"/>
  <c r="CJ110" i="55"/>
  <c r="CM110" i="55"/>
  <c r="IA94" i="55"/>
  <c r="IB94" i="55"/>
  <c r="HW94" i="55"/>
  <c r="CJ94" i="55"/>
  <c r="HZ94" i="55"/>
  <c r="CM94" i="55"/>
  <c r="CK94" i="55"/>
  <c r="IA78" i="55"/>
  <c r="IB78" i="55"/>
  <c r="HZ78" i="55"/>
  <c r="HW78" i="55"/>
  <c r="CJ78" i="55"/>
  <c r="CN78" i="55"/>
  <c r="CK78" i="55"/>
  <c r="IA62" i="55"/>
  <c r="IB62" i="55"/>
  <c r="HW62" i="55"/>
  <c r="HZ62" i="55"/>
  <c r="CJ62" i="55"/>
  <c r="CL62" i="55"/>
  <c r="DL62" i="55" s="1"/>
  <c r="IA46" i="55"/>
  <c r="IB46" i="55"/>
  <c r="HW46" i="55"/>
  <c r="HZ46" i="55"/>
  <c r="CJ46" i="55"/>
  <c r="CM46" i="55"/>
  <c r="IA30" i="55"/>
  <c r="IB30" i="55"/>
  <c r="HW30" i="55"/>
  <c r="HZ30" i="55"/>
  <c r="CJ30" i="55"/>
  <c r="CM30" i="55"/>
  <c r="CK30" i="55"/>
  <c r="IA14" i="55"/>
  <c r="IB14" i="55"/>
  <c r="HZ14" i="55"/>
  <c r="HW14" i="55"/>
  <c r="CJ14" i="55"/>
  <c r="CN14" i="55"/>
  <c r="CK14" i="55"/>
  <c r="CG319" i="55"/>
  <c r="JW238" i="55"/>
  <c r="IC238" i="55"/>
  <c r="JW215" i="55"/>
  <c r="IC215" i="55"/>
  <c r="GB215" i="55"/>
  <c r="GC215" i="55" s="1"/>
  <c r="FW215" i="55"/>
  <c r="DS215" i="55"/>
  <c r="CG129" i="55"/>
  <c r="CG79" i="55"/>
  <c r="CG49" i="55"/>
  <c r="CK272" i="55"/>
  <c r="CK144" i="55"/>
  <c r="CK16" i="55"/>
  <c r="CM192" i="55"/>
  <c r="CO335" i="55"/>
  <c r="CP335" i="55" s="1"/>
  <c r="Y335" i="55" s="1"/>
  <c r="CO223" i="55"/>
  <c r="CP223" i="55" s="1"/>
  <c r="Y223" i="55" s="1"/>
  <c r="CO47" i="55"/>
  <c r="CP47" i="55" s="1"/>
  <c r="Y47" i="55" s="1"/>
  <c r="CR247" i="55" a="1"/>
  <c r="CR247" i="55" s="1"/>
  <c r="CR191" i="55" a="1"/>
  <c r="CR191" i="55" s="1"/>
  <c r="CS191" i="55" s="1"/>
  <c r="CR135" i="55" a="1"/>
  <c r="CR135" i="55" s="1"/>
  <c r="DL302" i="55"/>
  <c r="DN351" i="55"/>
  <c r="DS240" i="55"/>
  <c r="DS112" i="55"/>
  <c r="DZ210" i="55"/>
  <c r="DZ130" i="55"/>
  <c r="GS130" i="55" s="1"/>
  <c r="EB145" i="55"/>
  <c r="EY228" i="55"/>
  <c r="R228" i="55" s="1"/>
  <c r="EJ145" i="55"/>
  <c r="ES198" i="55"/>
  <c r="EX97" i="55"/>
  <c r="GB304" i="55"/>
  <c r="GC304" i="55" s="1"/>
  <c r="GE304" i="55" s="1" a="1"/>
  <c r="GE304" i="55" s="1"/>
  <c r="GF304" i="55" s="1"/>
  <c r="FG289" i="55"/>
  <c r="BS289" i="55"/>
  <c r="GL289" i="55" s="1"/>
  <c r="FG273" i="55"/>
  <c r="BS273" i="55"/>
  <c r="FG257" i="55"/>
  <c r="CE257" i="55" s="1" a="1"/>
  <c r="CE257" i="55" s="1"/>
  <c r="EK257" i="55" s="1"/>
  <c r="BS257" i="55"/>
  <c r="FG241" i="55"/>
  <c r="BS241" i="55"/>
  <c r="FG225" i="55"/>
  <c r="BS225" i="55"/>
  <c r="GL225" i="55" s="1"/>
  <c r="BS209" i="55"/>
  <c r="FP209" i="55" s="1"/>
  <c r="BS193" i="55"/>
  <c r="FJ193" i="55" s="1"/>
  <c r="FG177" i="55"/>
  <c r="BS177" i="55"/>
  <c r="FG161" i="55"/>
  <c r="BS161" i="55"/>
  <c r="GL161" i="55" s="1"/>
  <c r="FG145" i="55"/>
  <c r="BS145" i="55"/>
  <c r="BS129" i="55"/>
  <c r="FG113" i="55"/>
  <c r="BS113" i="55"/>
  <c r="BS97" i="55"/>
  <c r="GL97" i="55" s="1"/>
  <c r="FG97" i="55"/>
  <c r="FG81" i="55"/>
  <c r="CE81" i="55" s="1" a="1"/>
  <c r="CE81" i="55" s="1"/>
  <c r="EK81" i="55" s="1"/>
  <c r="BS81" i="55"/>
  <c r="BS65" i="55"/>
  <c r="FP65" i="55" s="1"/>
  <c r="FG49" i="55"/>
  <c r="BS49" i="55"/>
  <c r="FG33" i="55"/>
  <c r="CE33" i="55" s="1" a="1"/>
  <c r="CE33" i="55" s="1"/>
  <c r="BS33" i="55"/>
  <c r="GL33" i="55" s="1"/>
  <c r="HV17" i="55"/>
  <c r="GJ341" i="55"/>
  <c r="GJ325" i="55"/>
  <c r="GJ309" i="55"/>
  <c r="GJ293" i="55"/>
  <c r="GJ277" i="55"/>
  <c r="GJ261" i="55"/>
  <c r="GP261" i="55"/>
  <c r="GJ245" i="55"/>
  <c r="GP245" i="55"/>
  <c r="GJ229" i="55"/>
  <c r="GJ213" i="55"/>
  <c r="GP213" i="55"/>
  <c r="GJ197" i="55"/>
  <c r="GJ181" i="55"/>
  <c r="GP181" i="55"/>
  <c r="GJ165" i="55"/>
  <c r="GJ149" i="55"/>
  <c r="GP149" i="55"/>
  <c r="GJ133" i="55"/>
  <c r="GP133" i="55"/>
  <c r="GJ117" i="55"/>
  <c r="GP117" i="55"/>
  <c r="GJ101" i="55"/>
  <c r="GP101" i="55"/>
  <c r="GJ85" i="55"/>
  <c r="GJ69" i="55"/>
  <c r="GJ53" i="55"/>
  <c r="GQ37" i="55"/>
  <c r="GJ37" i="55"/>
  <c r="GP37" i="55"/>
  <c r="GJ21" i="55"/>
  <c r="GP21" i="55"/>
  <c r="GJ5" i="55"/>
  <c r="HX318" i="55"/>
  <c r="HY318" i="55"/>
  <c r="EL318" i="55"/>
  <c r="HY254" i="55"/>
  <c r="HX254" i="55"/>
  <c r="EL254" i="55"/>
  <c r="HX190" i="55"/>
  <c r="HY190" i="55"/>
  <c r="HY126" i="55"/>
  <c r="HX126" i="55"/>
  <c r="EL126" i="55"/>
  <c r="HX62" i="55"/>
  <c r="HY62" i="55"/>
  <c r="GN338" i="55"/>
  <c r="EJ338" i="55"/>
  <c r="GN322" i="55"/>
  <c r="DL322" i="55"/>
  <c r="DL306" i="55"/>
  <c r="GN290" i="55"/>
  <c r="EJ290" i="55"/>
  <c r="DL290" i="55"/>
  <c r="GN274" i="55"/>
  <c r="GN258" i="55"/>
  <c r="DL258" i="55"/>
  <c r="EJ258" i="55"/>
  <c r="GN242" i="55"/>
  <c r="GN226" i="55"/>
  <c r="EJ226" i="55"/>
  <c r="DL226" i="55"/>
  <c r="GN210" i="55"/>
  <c r="EJ210" i="55"/>
  <c r="GN194" i="55"/>
  <c r="DL194" i="55"/>
  <c r="GN178" i="55"/>
  <c r="DL178" i="55"/>
  <c r="EJ178" i="55"/>
  <c r="EJ162" i="55"/>
  <c r="DL162" i="55"/>
  <c r="GN146" i="55"/>
  <c r="EJ146" i="55"/>
  <c r="GN130" i="55"/>
  <c r="DL130" i="55"/>
  <c r="GN114" i="55"/>
  <c r="DL114" i="55"/>
  <c r="EJ114" i="55"/>
  <c r="GN98" i="55"/>
  <c r="EJ98" i="55"/>
  <c r="DL98" i="55"/>
  <c r="GN82" i="55"/>
  <c r="GN66" i="55"/>
  <c r="DL66" i="55"/>
  <c r="EJ66" i="55"/>
  <c r="GN50" i="55"/>
  <c r="GN34" i="55"/>
  <c r="EJ34" i="55"/>
  <c r="DL34" i="55"/>
  <c r="EB344" i="55"/>
  <c r="DZ344" i="55"/>
  <c r="EB328" i="55"/>
  <c r="DZ328" i="55"/>
  <c r="EB312" i="55"/>
  <c r="DZ312" i="55"/>
  <c r="GS280" i="55"/>
  <c r="EB264" i="55"/>
  <c r="DZ264" i="55"/>
  <c r="EB248" i="55"/>
  <c r="DZ248" i="55"/>
  <c r="EB232" i="55"/>
  <c r="DZ232" i="55"/>
  <c r="EB200" i="55"/>
  <c r="DZ200" i="55"/>
  <c r="EB184" i="55"/>
  <c r="DZ184" i="55"/>
  <c r="GS168" i="55"/>
  <c r="EB152" i="55"/>
  <c r="DZ152" i="55"/>
  <c r="EB136" i="55"/>
  <c r="DZ136" i="55"/>
  <c r="EB120" i="55"/>
  <c r="DZ120" i="55"/>
  <c r="GS104" i="55"/>
  <c r="EB72" i="55"/>
  <c r="GS72" i="55" s="1"/>
  <c r="DZ72" i="55"/>
  <c r="EB56" i="55"/>
  <c r="DZ56" i="55"/>
  <c r="EB40" i="55"/>
  <c r="DZ40" i="55"/>
  <c r="GS24" i="55"/>
  <c r="EB8" i="55"/>
  <c r="DZ8" i="55"/>
  <c r="IA349" i="55"/>
  <c r="IB349" i="55"/>
  <c r="HZ349" i="55"/>
  <c r="HW349" i="55"/>
  <c r="CJ349" i="55"/>
  <c r="CK349" i="55"/>
  <c r="IA333" i="55"/>
  <c r="IB333" i="55"/>
  <c r="HW333" i="55"/>
  <c r="HZ333" i="55"/>
  <c r="CJ333" i="55"/>
  <c r="CK333" i="55"/>
  <c r="IA317" i="55"/>
  <c r="IB317" i="55"/>
  <c r="HZ317" i="55"/>
  <c r="HW317" i="55"/>
  <c r="CJ317" i="55"/>
  <c r="CK317" i="55"/>
  <c r="IA301" i="55"/>
  <c r="IB301" i="55"/>
  <c r="HW301" i="55"/>
  <c r="HZ301" i="55"/>
  <c r="CJ301" i="55"/>
  <c r="CK301" i="55"/>
  <c r="IA285" i="55"/>
  <c r="IB285" i="55"/>
  <c r="HW285" i="55"/>
  <c r="HZ285" i="55"/>
  <c r="CJ285" i="55"/>
  <c r="CK285" i="55"/>
  <c r="IA269" i="55"/>
  <c r="IB269" i="55"/>
  <c r="HW269" i="55"/>
  <c r="HZ269" i="55"/>
  <c r="CJ269" i="55"/>
  <c r="CK269" i="55"/>
  <c r="IA253" i="55"/>
  <c r="IB253" i="55"/>
  <c r="HZ253" i="55"/>
  <c r="HW253" i="55"/>
  <c r="CJ253" i="55"/>
  <c r="CK253" i="55"/>
  <c r="IA237" i="55"/>
  <c r="IB237" i="55"/>
  <c r="HW237" i="55"/>
  <c r="HZ237" i="55"/>
  <c r="CJ237" i="55"/>
  <c r="CK237" i="55"/>
  <c r="IA221" i="55"/>
  <c r="IB221" i="55"/>
  <c r="HW221" i="55"/>
  <c r="HZ221" i="55"/>
  <c r="CJ221" i="55"/>
  <c r="CK221" i="55"/>
  <c r="IA205" i="55"/>
  <c r="IB205" i="55"/>
  <c r="HW205" i="55"/>
  <c r="CJ205" i="55"/>
  <c r="CK205" i="55"/>
  <c r="IA189" i="55"/>
  <c r="IB189" i="55"/>
  <c r="HZ189" i="55"/>
  <c r="HW189" i="55"/>
  <c r="CJ189" i="55"/>
  <c r="CK189" i="55"/>
  <c r="IA173" i="55"/>
  <c r="IB173" i="55"/>
  <c r="HW173" i="55"/>
  <c r="HZ173" i="55"/>
  <c r="CJ173" i="55"/>
  <c r="CK173" i="55"/>
  <c r="IA157" i="55"/>
  <c r="IB157" i="55"/>
  <c r="HW157" i="55"/>
  <c r="HZ157" i="55"/>
  <c r="CJ157" i="55"/>
  <c r="CK157" i="55"/>
  <c r="IA141" i="55"/>
  <c r="IB141" i="55"/>
  <c r="HW141" i="55"/>
  <c r="HZ141" i="55"/>
  <c r="CJ141" i="55"/>
  <c r="CK141" i="55"/>
  <c r="IA125" i="55"/>
  <c r="IB125" i="55"/>
  <c r="HZ125" i="55"/>
  <c r="HW125" i="55"/>
  <c r="CJ125" i="55"/>
  <c r="CK125" i="55"/>
  <c r="IA109" i="55"/>
  <c r="IB109" i="55"/>
  <c r="HW109" i="55"/>
  <c r="HZ109" i="55"/>
  <c r="CJ109" i="55"/>
  <c r="CK109" i="55"/>
  <c r="IA93" i="55"/>
  <c r="IB93" i="55"/>
  <c r="HZ93" i="55"/>
  <c r="CJ93" i="55"/>
  <c r="CK93" i="55"/>
  <c r="IA77" i="55"/>
  <c r="IB77" i="55"/>
  <c r="HW77" i="55"/>
  <c r="HZ77" i="55"/>
  <c r="CJ77" i="55"/>
  <c r="CK77" i="55"/>
  <c r="IA61" i="55"/>
  <c r="IB61" i="55"/>
  <c r="HZ61" i="55"/>
  <c r="HW61" i="55"/>
  <c r="CJ61" i="55"/>
  <c r="CK61" i="55"/>
  <c r="IA45" i="55"/>
  <c r="IB45" i="55"/>
  <c r="HW45" i="55"/>
  <c r="HZ45" i="55"/>
  <c r="CJ45" i="55"/>
  <c r="CK45" i="55"/>
  <c r="IA29" i="55"/>
  <c r="IB29" i="55"/>
  <c r="HW29" i="55"/>
  <c r="HZ29" i="55"/>
  <c r="CJ29" i="55"/>
  <c r="CK29" i="55"/>
  <c r="IA13" i="55"/>
  <c r="IB13" i="55"/>
  <c r="HZ13" i="55"/>
  <c r="HW13" i="55"/>
  <c r="CJ13" i="55"/>
  <c r="CK13" i="55"/>
  <c r="DZ88" i="55"/>
  <c r="GS88" i="55" s="1"/>
  <c r="EJ306" i="55"/>
  <c r="FB344" i="55"/>
  <c r="ES344" i="55"/>
  <c r="ER328" i="55"/>
  <c r="ER312" i="55"/>
  <c r="FB312" i="55"/>
  <c r="ES312" i="55"/>
  <c r="ES296" i="55"/>
  <c r="FB296" i="55"/>
  <c r="FB280" i="55"/>
  <c r="ES280" i="55"/>
  <c r="ER280" i="55"/>
  <c r="FB264" i="55"/>
  <c r="ER248" i="55"/>
  <c r="ES248" i="55"/>
  <c r="ES232" i="55"/>
  <c r="FB232" i="55"/>
  <c r="ES216" i="55"/>
  <c r="ER216" i="55"/>
  <c r="FB200" i="55"/>
  <c r="ER200" i="55"/>
  <c r="ES200" i="55"/>
  <c r="ER184" i="55"/>
  <c r="ES184" i="55"/>
  <c r="FB184" i="55"/>
  <c r="ES168" i="55"/>
  <c r="FB168" i="55"/>
  <c r="ER168" i="55"/>
  <c r="ER152" i="55"/>
  <c r="ES152" i="55"/>
  <c r="FB152" i="55"/>
  <c r="FB136" i="55"/>
  <c r="ER136" i="55"/>
  <c r="ER120" i="55"/>
  <c r="ES120" i="55"/>
  <c r="FB120" i="55"/>
  <c r="ES104" i="55"/>
  <c r="FB104" i="55"/>
  <c r="ER104" i="55"/>
  <c r="FB88" i="55"/>
  <c r="ES88" i="55"/>
  <c r="ES72" i="55"/>
  <c r="ER56" i="55"/>
  <c r="FB56" i="55"/>
  <c r="ES56" i="55"/>
  <c r="ES39" i="55"/>
  <c r="FB39" i="55"/>
  <c r="HW93" i="55"/>
  <c r="FG129" i="55"/>
  <c r="BS245" i="55"/>
  <c r="GL245" i="55" s="1"/>
  <c r="BS181" i="55"/>
  <c r="GL181" i="55" s="1"/>
  <c r="BS117" i="55"/>
  <c r="GL117" i="55" s="1"/>
  <c r="HY349" i="55"/>
  <c r="HX349" i="55"/>
  <c r="EL349" i="55"/>
  <c r="HY333" i="55"/>
  <c r="HX333" i="55"/>
  <c r="HY317" i="55"/>
  <c r="HX317" i="55"/>
  <c r="HX301" i="55"/>
  <c r="EL301" i="55"/>
  <c r="HX285" i="55"/>
  <c r="HY285" i="55"/>
  <c r="EL285" i="55"/>
  <c r="HX269" i="55"/>
  <c r="HX253" i="55"/>
  <c r="HY253" i="55"/>
  <c r="EL253" i="55"/>
  <c r="HY237" i="55"/>
  <c r="HX237" i="55"/>
  <c r="EL237" i="55"/>
  <c r="HX221" i="55"/>
  <c r="HY221" i="55"/>
  <c r="EL221" i="55"/>
  <c r="HY205" i="55"/>
  <c r="HX205" i="55"/>
  <c r="EL205" i="55"/>
  <c r="HX189" i="55"/>
  <c r="HY189" i="55"/>
  <c r="HX173" i="55"/>
  <c r="HY157" i="55"/>
  <c r="HX157" i="55"/>
  <c r="EL157" i="55"/>
  <c r="HX141" i="55"/>
  <c r="HY141" i="55"/>
  <c r="HX125" i="55"/>
  <c r="HY125" i="55"/>
  <c r="EL125" i="55"/>
  <c r="HX109" i="55"/>
  <c r="HY109" i="55"/>
  <c r="HY93" i="55"/>
  <c r="EL93" i="55"/>
  <c r="HX93" i="55"/>
  <c r="HX77" i="55"/>
  <c r="HY77" i="55"/>
  <c r="HY61" i="55"/>
  <c r="HX61" i="55"/>
  <c r="HX45" i="55"/>
  <c r="HY45" i="55"/>
  <c r="EL45" i="55"/>
  <c r="HY29" i="55"/>
  <c r="HX29" i="55"/>
  <c r="EL29" i="55"/>
  <c r="HY13" i="55"/>
  <c r="HX13" i="55"/>
  <c r="EL13" i="55"/>
  <c r="HX303" i="55"/>
  <c r="EL303" i="55"/>
  <c r="HX239" i="55"/>
  <c r="HY239" i="55"/>
  <c r="EL239" i="55"/>
  <c r="HY175" i="55"/>
  <c r="EL175" i="55"/>
  <c r="HX175" i="55"/>
  <c r="HY111" i="55"/>
  <c r="HX111" i="55"/>
  <c r="HY47" i="55"/>
  <c r="HX47" i="55"/>
  <c r="EL47" i="55"/>
  <c r="BW289" i="55"/>
  <c r="BW225" i="55"/>
  <c r="BW161" i="55"/>
  <c r="BW97" i="55"/>
  <c r="BW33" i="55"/>
  <c r="EX346" i="55"/>
  <c r="EC346" i="55"/>
  <c r="EX330" i="55"/>
  <c r="EC330" i="55"/>
  <c r="EX314" i="55"/>
  <c r="EX298" i="55"/>
  <c r="EX282" i="55"/>
  <c r="EC282" i="55"/>
  <c r="EX266" i="55"/>
  <c r="EC266" i="55"/>
  <c r="EX250" i="55"/>
  <c r="EC250" i="55"/>
  <c r="EX234" i="55"/>
  <c r="EX218" i="55"/>
  <c r="EC218" i="55"/>
  <c r="EX202" i="55"/>
  <c r="EC202" i="55"/>
  <c r="EX186" i="55"/>
  <c r="EX170" i="55"/>
  <c r="EC170" i="55"/>
  <c r="EX154" i="55"/>
  <c r="EC154" i="55"/>
  <c r="EX138" i="55"/>
  <c r="EC138" i="55"/>
  <c r="EX122" i="55"/>
  <c r="EY122" i="55" s="1"/>
  <c r="EX106" i="55"/>
  <c r="EX90" i="55"/>
  <c r="EC90" i="55"/>
  <c r="EX74" i="55"/>
  <c r="EC74" i="55"/>
  <c r="EX58" i="55"/>
  <c r="EC58" i="55"/>
  <c r="EC41" i="55"/>
  <c r="EC9" i="55"/>
  <c r="EX9" i="55"/>
  <c r="DZ349" i="55"/>
  <c r="EB349" i="55"/>
  <c r="DZ333" i="55"/>
  <c r="DZ317" i="55"/>
  <c r="EB317" i="55"/>
  <c r="GS317" i="55" s="1"/>
  <c r="DZ301" i="55"/>
  <c r="EB301" i="55"/>
  <c r="DZ285" i="55"/>
  <c r="EB285" i="55"/>
  <c r="DZ269" i="55"/>
  <c r="DZ253" i="55"/>
  <c r="DZ237" i="55"/>
  <c r="EB237" i="55"/>
  <c r="DZ221" i="55"/>
  <c r="DZ205" i="55"/>
  <c r="EB205" i="55"/>
  <c r="DZ189" i="55"/>
  <c r="DZ173" i="55"/>
  <c r="EB173" i="55"/>
  <c r="DZ157" i="55"/>
  <c r="DZ141" i="55"/>
  <c r="EB141" i="55"/>
  <c r="DZ125" i="55"/>
  <c r="EB125" i="55"/>
  <c r="DZ109" i="55"/>
  <c r="EB109" i="55"/>
  <c r="DZ93" i="55"/>
  <c r="EB93" i="55"/>
  <c r="GS93" i="55" s="1"/>
  <c r="DZ77" i="55"/>
  <c r="DZ61" i="55"/>
  <c r="DZ45" i="55"/>
  <c r="EB45" i="55"/>
  <c r="DZ29" i="55"/>
  <c r="EB29" i="55"/>
  <c r="DZ13" i="55"/>
  <c r="EB13" i="55"/>
  <c r="HZ338" i="55"/>
  <c r="HW338" i="55"/>
  <c r="IB338" i="55"/>
  <c r="IA338" i="55"/>
  <c r="CG339" i="55"/>
  <c r="HZ322" i="55"/>
  <c r="HW322" i="55"/>
  <c r="IA322" i="55"/>
  <c r="IB322" i="55"/>
  <c r="CG323" i="55"/>
  <c r="HZ306" i="55"/>
  <c r="IA306" i="55"/>
  <c r="HW306" i="55"/>
  <c r="IB306" i="55"/>
  <c r="CG307" i="55"/>
  <c r="HZ290" i="55"/>
  <c r="HW290" i="55"/>
  <c r="IB290" i="55"/>
  <c r="IA290" i="55"/>
  <c r="CG291" i="55"/>
  <c r="HZ274" i="55"/>
  <c r="IB274" i="55"/>
  <c r="IA274" i="55"/>
  <c r="HW274" i="55"/>
  <c r="CG275" i="55"/>
  <c r="HZ258" i="55"/>
  <c r="HW258" i="55"/>
  <c r="IB258" i="55"/>
  <c r="IA258" i="55"/>
  <c r="CG259" i="55"/>
  <c r="HZ242" i="55"/>
  <c r="IA242" i="55"/>
  <c r="HW242" i="55"/>
  <c r="IB242" i="55"/>
  <c r="CG243" i="55"/>
  <c r="HZ226" i="55"/>
  <c r="IA226" i="55"/>
  <c r="IB226" i="55"/>
  <c r="CG227" i="55"/>
  <c r="HZ210" i="55"/>
  <c r="HW210" i="55"/>
  <c r="IB210" i="55"/>
  <c r="IA210" i="55"/>
  <c r="CG211" i="55"/>
  <c r="HZ194" i="55"/>
  <c r="HW194" i="55"/>
  <c r="IB194" i="55"/>
  <c r="IA194" i="55"/>
  <c r="CG195" i="55"/>
  <c r="HZ178" i="55"/>
  <c r="IA178" i="55"/>
  <c r="HW178" i="55"/>
  <c r="IB178" i="55"/>
  <c r="CG179" i="55"/>
  <c r="HZ162" i="55"/>
  <c r="HW162" i="55"/>
  <c r="IA162" i="55"/>
  <c r="IB162" i="55"/>
  <c r="CG163" i="55"/>
  <c r="HZ146" i="55"/>
  <c r="IB146" i="55"/>
  <c r="IA146" i="55"/>
  <c r="HW146" i="55"/>
  <c r="CG147" i="55"/>
  <c r="HZ130" i="55"/>
  <c r="HW130" i="55"/>
  <c r="IA130" i="55"/>
  <c r="CG131" i="55"/>
  <c r="HZ114" i="55"/>
  <c r="IA114" i="55"/>
  <c r="HW114" i="55"/>
  <c r="IB114" i="55"/>
  <c r="CG115" i="55"/>
  <c r="HZ98" i="55"/>
  <c r="IA98" i="55"/>
  <c r="IB98" i="55"/>
  <c r="CG99" i="55"/>
  <c r="HZ82" i="55"/>
  <c r="HW82" i="55"/>
  <c r="IB82" i="55"/>
  <c r="IA82" i="55"/>
  <c r="CG83" i="55"/>
  <c r="HZ66" i="55"/>
  <c r="HW66" i="55"/>
  <c r="IA66" i="55"/>
  <c r="IB66" i="55"/>
  <c r="CG67" i="55"/>
  <c r="HZ50" i="55"/>
  <c r="IA50" i="55"/>
  <c r="HW50" i="55"/>
  <c r="IB50" i="55"/>
  <c r="CG51" i="55"/>
  <c r="HZ34" i="55"/>
  <c r="IB34" i="55"/>
  <c r="HW34" i="55"/>
  <c r="IA34" i="55"/>
  <c r="CG35" i="55"/>
  <c r="HZ18" i="55"/>
  <c r="IB18" i="55"/>
  <c r="IA18" i="55"/>
  <c r="HW18" i="55"/>
  <c r="CG19" i="55"/>
  <c r="JW3" i="55"/>
  <c r="IC3" i="55"/>
  <c r="GB3" i="55"/>
  <c r="GC3" i="55" s="1"/>
  <c r="CL301" i="55"/>
  <c r="DL301" i="55" s="1"/>
  <c r="CL237" i="55"/>
  <c r="DL237" i="55" s="1"/>
  <c r="CL173" i="55"/>
  <c r="DL173" i="55" s="1"/>
  <c r="CL109" i="55"/>
  <c r="DL109" i="55" s="1"/>
  <c r="CL45" i="55"/>
  <c r="DL45" i="55" s="1"/>
  <c r="CM351" i="55"/>
  <c r="CM287" i="55"/>
  <c r="CM223" i="55"/>
  <c r="CM159" i="55"/>
  <c r="CM95" i="55"/>
  <c r="CM31" i="55"/>
  <c r="CN317" i="55"/>
  <c r="CN253" i="55"/>
  <c r="CN189" i="55"/>
  <c r="CN125" i="55"/>
  <c r="CN61" i="55"/>
  <c r="EB189" i="55"/>
  <c r="EY290" i="55"/>
  <c r="EC234" i="55"/>
  <c r="EY82" i="55"/>
  <c r="ET4" i="55"/>
  <c r="EU4" i="55"/>
  <c r="EU290" i="55"/>
  <c r="ET31" i="55"/>
  <c r="EU31" i="55"/>
  <c r="FB125" i="55"/>
  <c r="EX41" i="55"/>
  <c r="GP293" i="55"/>
  <c r="FG277" i="55"/>
  <c r="CE277" i="55" s="1" a="1"/>
  <c r="CE277" i="55" s="1"/>
  <c r="EK277" i="55" s="1"/>
  <c r="FG261" i="55"/>
  <c r="FG245" i="55"/>
  <c r="FG229" i="55"/>
  <c r="CE229" i="55" s="1" a="1"/>
  <c r="CE229" i="55" s="1"/>
  <c r="EK229" i="55" s="1"/>
  <c r="FG213" i="55"/>
  <c r="CE213" i="55" s="1" a="1"/>
  <c r="CE213" i="55" s="1"/>
  <c r="EK213" i="55" s="1"/>
  <c r="FG197" i="55"/>
  <c r="CE197" i="55" a="1"/>
  <c r="CE197" i="55" s="1"/>
  <c r="EK197" i="55" s="1"/>
  <c r="FG181" i="55"/>
  <c r="CE181" i="55" s="1" a="1"/>
  <c r="CE181" i="55" s="1"/>
  <c r="EK181" i="55" s="1"/>
  <c r="FG165" i="55"/>
  <c r="CE165" i="55" s="1" a="1"/>
  <c r="CE165" i="55" s="1"/>
  <c r="EK165" i="55" s="1"/>
  <c r="FG149" i="55"/>
  <c r="CE149" i="55" s="1" a="1"/>
  <c r="CE149" i="55" s="1"/>
  <c r="EK149" i="55" s="1"/>
  <c r="FG133" i="55"/>
  <c r="CE133" i="55" s="1" a="1"/>
  <c r="CE133" i="55" s="1"/>
  <c r="EK133" i="55" s="1"/>
  <c r="FG117" i="55"/>
  <c r="CE117" i="55" s="1" a="1"/>
  <c r="CE117" i="55" s="1"/>
  <c r="EK117" i="55" s="1"/>
  <c r="FG101" i="55"/>
  <c r="CE101" i="55" a="1"/>
  <c r="CE101" i="55" s="1"/>
  <c r="EK101" i="55" s="1"/>
  <c r="FG85" i="55"/>
  <c r="FG69" i="55"/>
  <c r="FG53" i="55"/>
  <c r="FG37" i="55"/>
  <c r="CE37" i="55" s="1" a="1"/>
  <c r="CE37" i="55" s="1"/>
  <c r="EK37" i="55" s="1"/>
  <c r="FG21" i="55"/>
  <c r="CE21" i="55" a="1"/>
  <c r="CE21" i="55" s="1"/>
  <c r="EK21" i="55" s="1"/>
  <c r="HV5" i="55"/>
  <c r="FG5" i="55"/>
  <c r="GJ345" i="55"/>
  <c r="GP329" i="55"/>
  <c r="GJ329" i="55"/>
  <c r="IL313" i="55"/>
  <c r="IM313" i="55" s="1"/>
  <c r="GP313" i="55"/>
  <c r="GJ313" i="55"/>
  <c r="GP297" i="55"/>
  <c r="GJ297" i="55"/>
  <c r="GP281" i="55"/>
  <c r="GP265" i="55"/>
  <c r="GJ265" i="55"/>
  <c r="GP249" i="55"/>
  <c r="GJ249" i="55"/>
  <c r="GP233" i="55"/>
  <c r="GJ217" i="55"/>
  <c r="GP201" i="55"/>
  <c r="GJ201" i="55"/>
  <c r="GP185" i="55"/>
  <c r="GJ185" i="55"/>
  <c r="GP169" i="55"/>
  <c r="GJ153" i="55"/>
  <c r="GP137" i="55"/>
  <c r="GJ137" i="55"/>
  <c r="GP121" i="55"/>
  <c r="GJ121" i="55"/>
  <c r="GP89" i="55"/>
  <c r="GJ89" i="55"/>
  <c r="GP73" i="55"/>
  <c r="GJ73" i="55"/>
  <c r="GP57" i="55"/>
  <c r="GP41" i="55"/>
  <c r="GQ41" i="55"/>
  <c r="GJ41" i="55"/>
  <c r="GP25" i="55"/>
  <c r="GQ25" i="55"/>
  <c r="GJ25" i="55"/>
  <c r="GJ9" i="55"/>
  <c r="BQ289" i="55"/>
  <c r="BQ241" i="55"/>
  <c r="BQ225" i="55"/>
  <c r="BQ209" i="55"/>
  <c r="BQ193" i="55"/>
  <c r="BQ161" i="55"/>
  <c r="BQ113" i="55"/>
  <c r="BQ97" i="55"/>
  <c r="BQ65" i="55"/>
  <c r="BQ49" i="55"/>
  <c r="BQ33" i="55"/>
  <c r="HY348" i="55"/>
  <c r="HX348" i="55"/>
  <c r="EL348" i="55"/>
  <c r="HY332" i="55"/>
  <c r="HX332" i="55"/>
  <c r="EL332" i="55"/>
  <c r="HY316" i="55"/>
  <c r="HX316" i="55"/>
  <c r="EL316" i="55"/>
  <c r="HX300" i="55"/>
  <c r="HY300" i="55"/>
  <c r="EL300" i="55"/>
  <c r="HX284" i="55"/>
  <c r="HY284" i="55"/>
  <c r="HY268" i="55"/>
  <c r="HX268" i="55"/>
  <c r="HX252" i="55"/>
  <c r="HY252" i="55"/>
  <c r="HY236" i="55"/>
  <c r="HX236" i="55"/>
  <c r="EL236" i="55"/>
  <c r="HX220" i="55"/>
  <c r="HX204" i="55"/>
  <c r="EL204" i="55"/>
  <c r="HY204" i="55"/>
  <c r="HY188" i="55"/>
  <c r="HX188" i="55"/>
  <c r="EL188" i="55"/>
  <c r="HX172" i="55"/>
  <c r="HY172" i="55"/>
  <c r="HY156" i="55"/>
  <c r="HX156" i="55"/>
  <c r="EL156" i="55"/>
  <c r="HX140" i="55"/>
  <c r="EL140" i="55"/>
  <c r="HY140" i="55"/>
  <c r="HX124" i="55"/>
  <c r="HY124" i="55"/>
  <c r="EL124" i="55"/>
  <c r="HX108" i="55"/>
  <c r="HY108" i="55"/>
  <c r="EL108" i="55"/>
  <c r="HY92" i="55"/>
  <c r="HX92" i="55"/>
  <c r="HY76" i="55"/>
  <c r="HX76" i="55"/>
  <c r="EL76" i="55"/>
  <c r="HY60" i="55"/>
  <c r="HX60" i="55"/>
  <c r="EL60" i="55"/>
  <c r="HX44" i="55"/>
  <c r="HY44" i="55"/>
  <c r="EL44" i="55"/>
  <c r="HY28" i="55"/>
  <c r="HX28" i="55"/>
  <c r="HX12" i="55"/>
  <c r="HY12" i="55"/>
  <c r="EL12" i="55"/>
  <c r="HX302" i="55"/>
  <c r="EL302" i="55"/>
  <c r="HY238" i="55"/>
  <c r="HX238" i="55"/>
  <c r="EL238" i="55"/>
  <c r="HY174" i="55"/>
  <c r="HX174" i="55"/>
  <c r="HX110" i="55"/>
  <c r="HY110" i="55"/>
  <c r="HX46" i="55"/>
  <c r="HY46" i="55"/>
  <c r="EL46" i="55"/>
  <c r="GN21" i="55"/>
  <c r="EJ21" i="55"/>
  <c r="DL21" i="55"/>
  <c r="DL5" i="55"/>
  <c r="EJ5" i="55"/>
  <c r="GN5" i="55"/>
  <c r="EX345" i="55"/>
  <c r="EC329" i="55"/>
  <c r="EY329" i="55" s="1"/>
  <c r="EX313" i="55"/>
  <c r="EX297" i="55"/>
  <c r="EC297" i="55"/>
  <c r="EX281" i="55"/>
  <c r="EC265" i="55"/>
  <c r="EX265" i="55"/>
  <c r="EX249" i="55"/>
  <c r="EY249" i="55" s="1"/>
  <c r="EX217" i="55"/>
  <c r="EC217" i="55"/>
  <c r="EX201" i="55"/>
  <c r="EX185" i="55"/>
  <c r="EC185" i="55"/>
  <c r="EX169" i="55"/>
  <c r="EX153" i="55"/>
  <c r="EC153" i="55"/>
  <c r="EX137" i="55"/>
  <c r="EC137" i="55"/>
  <c r="EX121" i="55"/>
  <c r="EX105" i="55"/>
  <c r="EC105" i="55"/>
  <c r="EX89" i="55"/>
  <c r="EX73" i="55"/>
  <c r="EC73" i="55"/>
  <c r="EX40" i="55"/>
  <c r="EC40" i="55"/>
  <c r="EX24" i="55"/>
  <c r="EC24" i="55"/>
  <c r="EX8" i="55"/>
  <c r="EC8" i="55"/>
  <c r="DZ348" i="55"/>
  <c r="DZ332" i="55"/>
  <c r="DZ316" i="55"/>
  <c r="EB316" i="55"/>
  <c r="DZ300" i="55"/>
  <c r="EB300" i="55"/>
  <c r="DZ284" i="55"/>
  <c r="DZ268" i="55"/>
  <c r="DZ252" i="55"/>
  <c r="EB252" i="55"/>
  <c r="DZ236" i="55"/>
  <c r="EB236" i="55"/>
  <c r="DZ220" i="55"/>
  <c r="DZ204" i="55"/>
  <c r="EB204" i="55"/>
  <c r="DZ188" i="55"/>
  <c r="EB188" i="55"/>
  <c r="DZ172" i="55"/>
  <c r="EB172" i="55"/>
  <c r="DZ156" i="55"/>
  <c r="DZ140" i="55"/>
  <c r="DZ124" i="55"/>
  <c r="EB124" i="55"/>
  <c r="DZ108" i="55"/>
  <c r="EB108" i="55"/>
  <c r="DZ92" i="55"/>
  <c r="EB92" i="55"/>
  <c r="DZ76" i="55"/>
  <c r="DZ60" i="55"/>
  <c r="EB60" i="55"/>
  <c r="DZ44" i="55"/>
  <c r="EB44" i="55"/>
  <c r="DZ12" i="55"/>
  <c r="EB12" i="55"/>
  <c r="HZ337" i="55"/>
  <c r="HW337" i="55"/>
  <c r="IB337" i="55"/>
  <c r="CG338" i="55"/>
  <c r="HZ321" i="55"/>
  <c r="HW321" i="55"/>
  <c r="IA321" i="55"/>
  <c r="IB321" i="55"/>
  <c r="CG322" i="55"/>
  <c r="HZ305" i="55"/>
  <c r="IA305" i="55"/>
  <c r="IB305" i="55"/>
  <c r="HW305" i="55"/>
  <c r="CG306" i="55"/>
  <c r="HZ289" i="55"/>
  <c r="IA289" i="55"/>
  <c r="HW289" i="55"/>
  <c r="IB289" i="55"/>
  <c r="CG290" i="55"/>
  <c r="HZ273" i="55"/>
  <c r="IB273" i="55"/>
  <c r="IA273" i="55"/>
  <c r="HW273" i="55"/>
  <c r="CG274" i="55"/>
  <c r="HZ257" i="55"/>
  <c r="IA257" i="55"/>
  <c r="HW257" i="55"/>
  <c r="IB257" i="55"/>
  <c r="CG258" i="55"/>
  <c r="HZ241" i="55"/>
  <c r="IA241" i="55"/>
  <c r="IB241" i="55"/>
  <c r="HW241" i="55"/>
  <c r="CG242" i="55"/>
  <c r="HZ225" i="55"/>
  <c r="IB225" i="55"/>
  <c r="IA225" i="55"/>
  <c r="HW225" i="55"/>
  <c r="CG226" i="55"/>
  <c r="HZ209" i="55"/>
  <c r="HW209" i="55"/>
  <c r="IB209" i="55"/>
  <c r="IA209" i="55"/>
  <c r="CG210" i="55"/>
  <c r="HZ193" i="55"/>
  <c r="HW193" i="55"/>
  <c r="IB193" i="55"/>
  <c r="IA193" i="55"/>
  <c r="CG194" i="55"/>
  <c r="HZ177" i="55"/>
  <c r="IA177" i="55"/>
  <c r="HW177" i="55"/>
  <c r="CG178" i="55"/>
  <c r="HZ161" i="55"/>
  <c r="IA161" i="55"/>
  <c r="IB161" i="55"/>
  <c r="HW161" i="55"/>
  <c r="CG162" i="55"/>
  <c r="HZ145" i="55"/>
  <c r="IB145" i="55"/>
  <c r="IA145" i="55"/>
  <c r="HW145" i="55"/>
  <c r="CG146" i="55"/>
  <c r="HZ129" i="55"/>
  <c r="HW129" i="55"/>
  <c r="IB129" i="55"/>
  <c r="CG130" i="55"/>
  <c r="HZ113" i="55"/>
  <c r="IA113" i="55"/>
  <c r="HW113" i="55"/>
  <c r="IB113" i="55"/>
  <c r="CG114" i="55"/>
  <c r="HZ97" i="55"/>
  <c r="IA97" i="55"/>
  <c r="IB97" i="55"/>
  <c r="HW97" i="55"/>
  <c r="CG98" i="55"/>
  <c r="HZ81" i="55"/>
  <c r="HW81" i="55"/>
  <c r="IB81" i="55"/>
  <c r="IA81" i="55"/>
  <c r="CG82" i="55"/>
  <c r="HZ65" i="55"/>
  <c r="HW65" i="55"/>
  <c r="IA65" i="55"/>
  <c r="IB65" i="55"/>
  <c r="CG66" i="55"/>
  <c r="HZ49" i="55"/>
  <c r="IA49" i="55"/>
  <c r="HW49" i="55"/>
  <c r="IB49" i="55"/>
  <c r="CG50" i="55"/>
  <c r="HZ33" i="55"/>
  <c r="IA33" i="55"/>
  <c r="IB33" i="55"/>
  <c r="HW33" i="55"/>
  <c r="CG34" i="55"/>
  <c r="HZ17" i="55"/>
  <c r="IB17" i="55"/>
  <c r="U17" i="55" s="1"/>
  <c r="HW17" i="55"/>
  <c r="IA17" i="55"/>
  <c r="CG18" i="55"/>
  <c r="CK290" i="55"/>
  <c r="CK226" i="55"/>
  <c r="CK162" i="55"/>
  <c r="CK98" i="55"/>
  <c r="CK34" i="55"/>
  <c r="CM306" i="55"/>
  <c r="CM242" i="55"/>
  <c r="CM178" i="55"/>
  <c r="CM114" i="55"/>
  <c r="CM50" i="55"/>
  <c r="DZ296" i="55"/>
  <c r="EC281" i="55"/>
  <c r="EC233" i="55"/>
  <c r="EJ194" i="55"/>
  <c r="EJ50" i="55"/>
  <c r="EL284" i="55"/>
  <c r="EL220" i="55"/>
  <c r="GJ233" i="55"/>
  <c r="HW226" i="55"/>
  <c r="HY303" i="55"/>
  <c r="HZ205" i="55"/>
  <c r="HY346" i="55"/>
  <c r="HX346" i="55"/>
  <c r="EL346" i="55"/>
  <c r="HX330" i="55"/>
  <c r="EL330" i="55"/>
  <c r="HY330" i="55"/>
  <c r="HY314" i="55"/>
  <c r="EL314" i="55"/>
  <c r="HY298" i="55"/>
  <c r="HX298" i="55"/>
  <c r="HX282" i="55"/>
  <c r="HY282" i="55"/>
  <c r="EL282" i="55"/>
  <c r="HY266" i="55"/>
  <c r="EL266" i="55"/>
  <c r="HX266" i="55"/>
  <c r="HY250" i="55"/>
  <c r="HX250" i="55"/>
  <c r="EL250" i="55"/>
  <c r="HY234" i="55"/>
  <c r="EL234" i="55"/>
  <c r="HY218" i="55"/>
  <c r="HX218" i="55"/>
  <c r="HX202" i="55"/>
  <c r="HY202" i="55"/>
  <c r="EL202" i="55"/>
  <c r="HY186" i="55"/>
  <c r="HX186" i="55"/>
  <c r="HX170" i="55"/>
  <c r="HY170" i="55"/>
  <c r="HX154" i="55"/>
  <c r="HY154" i="55"/>
  <c r="FC154" i="55"/>
  <c r="FD154" i="55" s="1"/>
  <c r="HS154" i="55" s="1"/>
  <c r="HU154" i="55" s="1"/>
  <c r="EL154" i="55"/>
  <c r="HY138" i="55"/>
  <c r="HX138" i="55"/>
  <c r="EL138" i="55"/>
  <c r="HX122" i="55"/>
  <c r="HY122" i="55"/>
  <c r="EL122" i="55"/>
  <c r="HX106" i="55"/>
  <c r="HY106" i="55"/>
  <c r="EL106" i="55"/>
  <c r="HY90" i="55"/>
  <c r="HX90" i="55"/>
  <c r="EL90" i="55"/>
  <c r="HY74" i="55"/>
  <c r="HX74" i="55"/>
  <c r="EL74" i="55"/>
  <c r="HY58" i="55"/>
  <c r="HX58" i="55"/>
  <c r="EL58" i="55"/>
  <c r="HX42" i="55"/>
  <c r="HY42" i="55"/>
  <c r="HX26" i="55"/>
  <c r="HY26" i="55"/>
  <c r="HY10" i="55"/>
  <c r="EL10" i="55"/>
  <c r="HX10" i="55"/>
  <c r="HY296" i="55"/>
  <c r="HX296" i="55"/>
  <c r="EL296" i="55"/>
  <c r="HX232" i="55"/>
  <c r="HY232" i="55"/>
  <c r="EL232" i="55"/>
  <c r="HY168" i="55"/>
  <c r="HX168" i="55"/>
  <c r="EL168" i="55"/>
  <c r="HX104" i="55"/>
  <c r="HY104" i="55"/>
  <c r="EL104" i="55"/>
  <c r="HX40" i="55"/>
  <c r="EL40" i="55"/>
  <c r="HY40" i="55"/>
  <c r="GN340" i="55"/>
  <c r="DL340" i="55"/>
  <c r="EJ340" i="55"/>
  <c r="DL324" i="55"/>
  <c r="GN324" i="55"/>
  <c r="DL308" i="55"/>
  <c r="EJ308" i="55"/>
  <c r="GN292" i="55"/>
  <c r="EJ292" i="55"/>
  <c r="DL292" i="55"/>
  <c r="GN276" i="55"/>
  <c r="DL276" i="55"/>
  <c r="GN260" i="55"/>
  <c r="EJ260" i="55"/>
  <c r="DL244" i="55"/>
  <c r="GN244" i="55"/>
  <c r="GN228" i="55"/>
  <c r="EJ228" i="55"/>
  <c r="DL228" i="55"/>
  <c r="GN212" i="55"/>
  <c r="DL212" i="55"/>
  <c r="EJ212" i="55"/>
  <c r="DL196" i="55"/>
  <c r="EJ196" i="55"/>
  <c r="GN180" i="55"/>
  <c r="DL180" i="55"/>
  <c r="EJ180" i="55"/>
  <c r="EJ164" i="55"/>
  <c r="GN148" i="55"/>
  <c r="DL148" i="55"/>
  <c r="EJ148" i="55"/>
  <c r="DL132" i="55"/>
  <c r="GN132" i="55"/>
  <c r="GN116" i="55"/>
  <c r="DL116" i="55"/>
  <c r="EJ116" i="55"/>
  <c r="GN100" i="55"/>
  <c r="EJ100" i="55"/>
  <c r="DL100" i="55"/>
  <c r="GN84" i="55"/>
  <c r="DL84" i="55"/>
  <c r="EJ84" i="55"/>
  <c r="GN68" i="55"/>
  <c r="EJ68" i="55"/>
  <c r="DL52" i="55"/>
  <c r="EJ52" i="55"/>
  <c r="GN52" i="55"/>
  <c r="EJ36" i="55"/>
  <c r="DL36" i="55"/>
  <c r="GN19" i="55"/>
  <c r="EJ19" i="55"/>
  <c r="GN3" i="55"/>
  <c r="DL3" i="55"/>
  <c r="EX343" i="55"/>
  <c r="EC343" i="55"/>
  <c r="EX327" i="55"/>
  <c r="EC327" i="55"/>
  <c r="EX311" i="55"/>
  <c r="EC311" i="55"/>
  <c r="EX295" i="55"/>
  <c r="EC295" i="55"/>
  <c r="EX279" i="55"/>
  <c r="EC279" i="55"/>
  <c r="EX263" i="55"/>
  <c r="EC263" i="55"/>
  <c r="EX247" i="55"/>
  <c r="EC247" i="55"/>
  <c r="EX231" i="55"/>
  <c r="EC231" i="55"/>
  <c r="EX215" i="55"/>
  <c r="EC215" i="55"/>
  <c r="EX199" i="55"/>
  <c r="EC199" i="55"/>
  <c r="EX183" i="55"/>
  <c r="EC183" i="55"/>
  <c r="EX167" i="55"/>
  <c r="EC167" i="55"/>
  <c r="EX151" i="55"/>
  <c r="EC151" i="55"/>
  <c r="EX135" i="55"/>
  <c r="EC135" i="55"/>
  <c r="EX119" i="55"/>
  <c r="EC119" i="55"/>
  <c r="EX103" i="55"/>
  <c r="EC103" i="55"/>
  <c r="EX87" i="55"/>
  <c r="EC87" i="55"/>
  <c r="EX71" i="55"/>
  <c r="EC71" i="55"/>
  <c r="EX55" i="55"/>
  <c r="EC55" i="55"/>
  <c r="EX38" i="55"/>
  <c r="EC38" i="55"/>
  <c r="EX22" i="55"/>
  <c r="EC22" i="55"/>
  <c r="EX6" i="55"/>
  <c r="EC6" i="55"/>
  <c r="EB346" i="55"/>
  <c r="GS346" i="55" s="1"/>
  <c r="DZ346" i="55"/>
  <c r="EB330" i="55"/>
  <c r="DZ330" i="55"/>
  <c r="EB314" i="55"/>
  <c r="DZ314" i="55"/>
  <c r="EB298" i="55"/>
  <c r="EB282" i="55"/>
  <c r="GS282" i="55" s="1"/>
  <c r="EB266" i="55"/>
  <c r="GS266" i="55" s="1"/>
  <c r="DZ266" i="55"/>
  <c r="EB250" i="55"/>
  <c r="DZ250" i="55"/>
  <c r="EB234" i="55"/>
  <c r="DZ234" i="55"/>
  <c r="EB218" i="55"/>
  <c r="DZ218" i="55"/>
  <c r="EB202" i="55"/>
  <c r="GS202" i="55" s="1"/>
  <c r="DZ202" i="55"/>
  <c r="EB186" i="55"/>
  <c r="EB170" i="55"/>
  <c r="GS170" i="55" s="1"/>
  <c r="EB154" i="55"/>
  <c r="DZ154" i="55"/>
  <c r="EB138" i="55"/>
  <c r="DZ138" i="55"/>
  <c r="EB122" i="55"/>
  <c r="GS122" i="55" s="1"/>
  <c r="DZ122" i="55"/>
  <c r="EB106" i="55"/>
  <c r="DZ106" i="55"/>
  <c r="EB90" i="55"/>
  <c r="EB74" i="55"/>
  <c r="DZ74" i="55"/>
  <c r="EB58" i="55"/>
  <c r="GS58" i="55" s="1"/>
  <c r="EB42" i="55"/>
  <c r="DZ42" i="55"/>
  <c r="EB26" i="55"/>
  <c r="EB10" i="55"/>
  <c r="DZ10" i="55"/>
  <c r="HZ351" i="55"/>
  <c r="IA351" i="55"/>
  <c r="IB351" i="55"/>
  <c r="HW351" i="55"/>
  <c r="CJ351" i="55"/>
  <c r="HZ335" i="55"/>
  <c r="IA335" i="55"/>
  <c r="IB335" i="55"/>
  <c r="HW335" i="55"/>
  <c r="CJ335" i="55"/>
  <c r="HZ319" i="55"/>
  <c r="IA319" i="55"/>
  <c r="HW319" i="55"/>
  <c r="IB319" i="55"/>
  <c r="CJ319" i="55"/>
  <c r="HZ303" i="55"/>
  <c r="IA303" i="55"/>
  <c r="HW303" i="55"/>
  <c r="IB303" i="55"/>
  <c r="CJ303" i="55"/>
  <c r="HZ287" i="55"/>
  <c r="IA287" i="55"/>
  <c r="HW287" i="55"/>
  <c r="IB287" i="55"/>
  <c r="CJ287" i="55"/>
  <c r="HZ271" i="55"/>
  <c r="IA271" i="55"/>
  <c r="IB271" i="55"/>
  <c r="HW271" i="55"/>
  <c r="CJ271" i="55"/>
  <c r="HZ255" i="55"/>
  <c r="IA255" i="55"/>
  <c r="HW255" i="55"/>
  <c r="IB255" i="55"/>
  <c r="CJ255" i="55"/>
  <c r="HZ239" i="55"/>
  <c r="IA239" i="55"/>
  <c r="IB239" i="55"/>
  <c r="HW239" i="55"/>
  <c r="CJ239" i="55"/>
  <c r="HZ223" i="55"/>
  <c r="IA223" i="55"/>
  <c r="HW223" i="55"/>
  <c r="IB223" i="55"/>
  <c r="CJ223" i="55"/>
  <c r="HZ207" i="55"/>
  <c r="IA207" i="55"/>
  <c r="IB207" i="55"/>
  <c r="HW207" i="55"/>
  <c r="CJ207" i="55"/>
  <c r="HZ191" i="55"/>
  <c r="IA191" i="55"/>
  <c r="HW191" i="55"/>
  <c r="IB191" i="55"/>
  <c r="CJ191" i="55"/>
  <c r="HZ175" i="55"/>
  <c r="IA175" i="55"/>
  <c r="HW175" i="55"/>
  <c r="IB175" i="55"/>
  <c r="CJ175" i="55"/>
  <c r="HZ159" i="55"/>
  <c r="IA159" i="55"/>
  <c r="IB159" i="55"/>
  <c r="HW159" i="55"/>
  <c r="CJ159" i="55"/>
  <c r="HZ143" i="55"/>
  <c r="IA143" i="55"/>
  <c r="IB143" i="55"/>
  <c r="V143" i="55" s="1"/>
  <c r="HW143" i="55"/>
  <c r="CJ143" i="55"/>
  <c r="HZ127" i="55"/>
  <c r="IA127" i="55"/>
  <c r="IB127" i="55"/>
  <c r="HW127" i="55"/>
  <c r="CJ127" i="55"/>
  <c r="HZ111" i="55"/>
  <c r="IA111" i="55"/>
  <c r="IB111" i="55"/>
  <c r="HW111" i="55"/>
  <c r="CJ111" i="55"/>
  <c r="HZ95" i="55"/>
  <c r="IA95" i="55"/>
  <c r="IB95" i="55"/>
  <c r="HW95" i="55"/>
  <c r="CJ95" i="55"/>
  <c r="HZ79" i="55"/>
  <c r="IA79" i="55"/>
  <c r="IB79" i="55"/>
  <c r="HW79" i="55"/>
  <c r="CJ79" i="55"/>
  <c r="HZ63" i="55"/>
  <c r="IA63" i="55"/>
  <c r="HW63" i="55"/>
  <c r="IB63" i="55"/>
  <c r="CJ63" i="55"/>
  <c r="HZ47" i="55"/>
  <c r="IA47" i="55"/>
  <c r="HW47" i="55"/>
  <c r="IB47" i="55"/>
  <c r="CJ47" i="55"/>
  <c r="HZ31" i="55"/>
  <c r="IA31" i="55"/>
  <c r="IB31" i="55"/>
  <c r="HW31" i="55"/>
  <c r="CJ31" i="55"/>
  <c r="HZ15" i="55"/>
  <c r="IA15" i="55"/>
  <c r="IB15" i="55"/>
  <c r="HW15" i="55"/>
  <c r="CJ15" i="55"/>
  <c r="JW350" i="55"/>
  <c r="FW350" i="55"/>
  <c r="IC350" i="55"/>
  <c r="GB350" i="55"/>
  <c r="GC350" i="55" s="1"/>
  <c r="JW310" i="55"/>
  <c r="IC310" i="55"/>
  <c r="GB310" i="55"/>
  <c r="GC310" i="55" s="1"/>
  <c r="FW310" i="55"/>
  <c r="DS310" i="55"/>
  <c r="JW286" i="55"/>
  <c r="IC286" i="55"/>
  <c r="FW286" i="55"/>
  <c r="GB286" i="55"/>
  <c r="GC286" i="55" s="1"/>
  <c r="DS286" i="55"/>
  <c r="JW246" i="55"/>
  <c r="GB246" i="55"/>
  <c r="GC246" i="55" s="1"/>
  <c r="IC246" i="55"/>
  <c r="DS246" i="55"/>
  <c r="JW222" i="55"/>
  <c r="FW222" i="55"/>
  <c r="IC222" i="55"/>
  <c r="GB222" i="55"/>
  <c r="GC222" i="55" s="1"/>
  <c r="JW182" i="55"/>
  <c r="IC182" i="55"/>
  <c r="GB182" i="55"/>
  <c r="GC182" i="55" s="1"/>
  <c r="FW182" i="55"/>
  <c r="DS182" i="55"/>
  <c r="JW158" i="55"/>
  <c r="FW158" i="55"/>
  <c r="IC158" i="55"/>
  <c r="GB158" i="55"/>
  <c r="GC158" i="55" s="1"/>
  <c r="JW118" i="55"/>
  <c r="GB118" i="55"/>
  <c r="GC118" i="55" s="1"/>
  <c r="IC118" i="55"/>
  <c r="DS118" i="55"/>
  <c r="JW94" i="55"/>
  <c r="FW94" i="55"/>
  <c r="GB94" i="55"/>
  <c r="GC94" i="55" s="1"/>
  <c r="DS94" i="55"/>
  <c r="JW54" i="55"/>
  <c r="IC54" i="55"/>
  <c r="GB54" i="55"/>
  <c r="GC54" i="55" s="1"/>
  <c r="DS54" i="55"/>
  <c r="JW30" i="55"/>
  <c r="IC30" i="55"/>
  <c r="CJ322" i="55"/>
  <c r="CJ258" i="55"/>
  <c r="CJ194" i="55"/>
  <c r="CJ130" i="55"/>
  <c r="CJ66" i="55"/>
  <c r="CL338" i="55"/>
  <c r="DL338" i="55" s="1"/>
  <c r="CL274" i="55"/>
  <c r="DL274" i="55" s="1"/>
  <c r="CL210" i="55"/>
  <c r="DL210" i="55" s="1"/>
  <c r="CL146" i="55"/>
  <c r="DL146" i="55" s="1"/>
  <c r="CL82" i="55"/>
  <c r="DL82" i="55" s="1"/>
  <c r="CL18" i="55"/>
  <c r="DL18" i="55" s="1"/>
  <c r="CN290" i="55"/>
  <c r="CN226" i="55"/>
  <c r="CN162" i="55"/>
  <c r="CN98" i="55"/>
  <c r="CN34" i="55"/>
  <c r="DZ186" i="55"/>
  <c r="DZ90" i="55"/>
  <c r="EB333" i="55"/>
  <c r="EB77" i="55"/>
  <c r="EY275" i="55"/>
  <c r="EC186" i="55"/>
  <c r="EU287" i="55"/>
  <c r="EJ322" i="55"/>
  <c r="EJ242" i="55"/>
  <c r="EL218" i="55"/>
  <c r="FB298" i="55"/>
  <c r="FB218" i="55"/>
  <c r="FB41" i="55"/>
  <c r="ER22" i="55"/>
  <c r="ES22" i="55"/>
  <c r="FB5" i="55"/>
  <c r="ES5" i="55"/>
  <c r="ES328" i="55"/>
  <c r="GP277" i="55"/>
  <c r="HY301" i="55"/>
  <c r="IB177" i="55"/>
  <c r="EJ345" i="55"/>
  <c r="GN345" i="55"/>
  <c r="EJ329" i="55"/>
  <c r="GN329" i="55"/>
  <c r="DL329" i="55"/>
  <c r="EJ313" i="55"/>
  <c r="GN313" i="55"/>
  <c r="EJ281" i="55"/>
  <c r="GN281" i="55"/>
  <c r="EJ265" i="55"/>
  <c r="EJ233" i="55"/>
  <c r="GN233" i="55"/>
  <c r="EJ217" i="55"/>
  <c r="GN217" i="55"/>
  <c r="EJ201" i="55"/>
  <c r="DL201" i="55"/>
  <c r="EJ185" i="55"/>
  <c r="GN185" i="55"/>
  <c r="GN169" i="55"/>
  <c r="EJ169" i="55"/>
  <c r="EJ153" i="55"/>
  <c r="GN153" i="55"/>
  <c r="EJ137" i="55"/>
  <c r="GN137" i="55"/>
  <c r="DL137" i="55"/>
  <c r="EJ121" i="55"/>
  <c r="GN121" i="55"/>
  <c r="EJ89" i="55"/>
  <c r="GN89" i="55"/>
  <c r="EJ73" i="55"/>
  <c r="GN73" i="55"/>
  <c r="DL73" i="55"/>
  <c r="EJ57" i="55"/>
  <c r="GN57" i="55"/>
  <c r="EJ41" i="55"/>
  <c r="GN41" i="55"/>
  <c r="EJ9" i="55"/>
  <c r="GN9" i="55"/>
  <c r="DL9" i="55"/>
  <c r="EX341" i="55"/>
  <c r="EC341" i="55"/>
  <c r="EC325" i="55"/>
  <c r="EC309" i="55"/>
  <c r="EX309" i="55"/>
  <c r="EC293" i="55"/>
  <c r="EX293" i="55"/>
  <c r="EX277" i="55"/>
  <c r="EC277" i="55"/>
  <c r="EC261" i="55"/>
  <c r="EX261" i="55"/>
  <c r="EC245" i="55"/>
  <c r="EC229" i="55"/>
  <c r="EX229" i="55"/>
  <c r="EX213" i="55"/>
  <c r="EC213" i="55"/>
  <c r="EC197" i="55"/>
  <c r="EX197" i="55"/>
  <c r="EC181" i="55"/>
  <c r="EX181" i="55"/>
  <c r="EC165" i="55"/>
  <c r="EX165" i="55"/>
  <c r="EX149" i="55"/>
  <c r="EC149" i="55"/>
  <c r="EC133" i="55"/>
  <c r="EC117" i="55"/>
  <c r="EX117" i="55"/>
  <c r="EC101" i="55"/>
  <c r="EY101" i="55" s="1"/>
  <c r="R101" i="55" s="1"/>
  <c r="EX85" i="55"/>
  <c r="EC85" i="55"/>
  <c r="EC69" i="55"/>
  <c r="EX69" i="55"/>
  <c r="EC53" i="55"/>
  <c r="EX53" i="55"/>
  <c r="EC37" i="55"/>
  <c r="EX37" i="55"/>
  <c r="EX21" i="55"/>
  <c r="EC21" i="55"/>
  <c r="EC5" i="55"/>
  <c r="EX5" i="55"/>
  <c r="DZ337" i="55"/>
  <c r="EB321" i="55"/>
  <c r="GS321" i="55" s="1"/>
  <c r="DZ305" i="55"/>
  <c r="GS305" i="55" s="1"/>
  <c r="EB289" i="55"/>
  <c r="GS289" i="55" s="1"/>
  <c r="DZ273" i="55"/>
  <c r="EB257" i="55"/>
  <c r="DZ257" i="55"/>
  <c r="EB225" i="55"/>
  <c r="DZ209" i="55"/>
  <c r="GS209" i="55" s="1"/>
  <c r="EB193" i="55"/>
  <c r="DZ193" i="55"/>
  <c r="EB177" i="55"/>
  <c r="GS177" i="55" s="1"/>
  <c r="DZ145" i="55"/>
  <c r="EB129" i="55"/>
  <c r="GS129" i="55" s="1"/>
  <c r="EB113" i="55"/>
  <c r="DZ113" i="55"/>
  <c r="DZ81" i="55"/>
  <c r="EB65" i="55"/>
  <c r="GS65" i="55" s="1"/>
  <c r="DZ49" i="55"/>
  <c r="EB33" i="55"/>
  <c r="DZ17" i="55"/>
  <c r="GS17" i="55" s="1"/>
  <c r="HW342" i="55"/>
  <c r="IA342" i="55"/>
  <c r="IB342" i="55"/>
  <c r="HW326" i="55"/>
  <c r="IA326" i="55"/>
  <c r="IB326" i="55"/>
  <c r="HZ326" i="55"/>
  <c r="HW310" i="55"/>
  <c r="HZ310" i="55"/>
  <c r="IA310" i="55"/>
  <c r="IB310" i="55"/>
  <c r="HW294" i="55"/>
  <c r="HZ294" i="55"/>
  <c r="IB294" i="55"/>
  <c r="IA294" i="55"/>
  <c r="HW278" i="55"/>
  <c r="HZ278" i="55"/>
  <c r="IA278" i="55"/>
  <c r="IB278" i="55"/>
  <c r="HW262" i="55"/>
  <c r="IA262" i="55"/>
  <c r="IB262" i="55"/>
  <c r="HZ262" i="55"/>
  <c r="HW246" i="55"/>
  <c r="HZ246" i="55"/>
  <c r="IA246" i="55"/>
  <c r="HW230" i="55"/>
  <c r="HZ230" i="55"/>
  <c r="IB230" i="55"/>
  <c r="IA230" i="55"/>
  <c r="HW214" i="55"/>
  <c r="IA214" i="55"/>
  <c r="IB214" i="55"/>
  <c r="HZ214" i="55"/>
  <c r="HW198" i="55"/>
  <c r="IA198" i="55"/>
  <c r="IB198" i="55"/>
  <c r="HZ198" i="55"/>
  <c r="HW182" i="55"/>
  <c r="IA182" i="55"/>
  <c r="IB182" i="55"/>
  <c r="HZ182" i="55"/>
  <c r="HW166" i="55"/>
  <c r="HZ166" i="55"/>
  <c r="IB166" i="55"/>
  <c r="HW150" i="55"/>
  <c r="IA150" i="55"/>
  <c r="IB150" i="55"/>
  <c r="HZ150" i="55"/>
  <c r="HW134" i="55"/>
  <c r="IA134" i="55"/>
  <c r="HZ134" i="55"/>
  <c r="IB134" i="55"/>
  <c r="HW118" i="55"/>
  <c r="IA118" i="55"/>
  <c r="IB118" i="55"/>
  <c r="HZ118" i="55"/>
  <c r="HW102" i="55"/>
  <c r="HZ102" i="55"/>
  <c r="IB102" i="55"/>
  <c r="IA102" i="55"/>
  <c r="HW86" i="55"/>
  <c r="HZ86" i="55"/>
  <c r="IB86" i="55"/>
  <c r="IA86" i="55"/>
  <c r="HW70" i="55"/>
  <c r="IA70" i="55"/>
  <c r="IB70" i="55"/>
  <c r="HZ70" i="55"/>
  <c r="HW54" i="55"/>
  <c r="HZ54" i="55"/>
  <c r="IA54" i="55"/>
  <c r="IB54" i="55"/>
  <c r="HW38" i="55"/>
  <c r="HZ38" i="55"/>
  <c r="IB38" i="55"/>
  <c r="IA38" i="55"/>
  <c r="HW22" i="55"/>
  <c r="HZ22" i="55"/>
  <c r="IB22" i="55"/>
  <c r="IA22" i="55"/>
  <c r="HW6" i="55"/>
  <c r="IA6" i="55"/>
  <c r="IB6" i="55"/>
  <c r="HZ6" i="55"/>
  <c r="CG293" i="55"/>
  <c r="DL6" i="55"/>
  <c r="DZ127" i="55"/>
  <c r="GS127" i="55" s="1"/>
  <c r="EU301" i="55"/>
  <c r="EU285" i="55"/>
  <c r="EJ166" i="55"/>
  <c r="EX133" i="55"/>
  <c r="GN263" i="55"/>
  <c r="GN120" i="55"/>
  <c r="GN7" i="55"/>
  <c r="EJ344" i="55"/>
  <c r="GN344" i="55"/>
  <c r="EJ328" i="55"/>
  <c r="GN328" i="55"/>
  <c r="DL328" i="55"/>
  <c r="EJ312" i="55"/>
  <c r="GN312" i="55"/>
  <c r="GN296" i="55"/>
  <c r="EJ296" i="55"/>
  <c r="EJ280" i="55"/>
  <c r="GN280" i="55"/>
  <c r="EJ264" i="55"/>
  <c r="EJ248" i="55"/>
  <c r="GN248" i="55"/>
  <c r="GN232" i="55"/>
  <c r="EJ232" i="55"/>
  <c r="EJ216" i="55"/>
  <c r="GN216" i="55"/>
  <c r="EJ200" i="55"/>
  <c r="GN200" i="55"/>
  <c r="GN168" i="55"/>
  <c r="EJ168" i="55"/>
  <c r="EJ152" i="55"/>
  <c r="GN152" i="55"/>
  <c r="EJ136" i="55"/>
  <c r="GN136" i="55"/>
  <c r="GN104" i="55"/>
  <c r="EJ104" i="55"/>
  <c r="EJ88" i="55"/>
  <c r="GN88" i="55"/>
  <c r="EJ72" i="55"/>
  <c r="GN72" i="55"/>
  <c r="EJ56" i="55"/>
  <c r="GN56" i="55"/>
  <c r="GN40" i="55"/>
  <c r="EJ40" i="55"/>
  <c r="EJ24" i="55"/>
  <c r="GN24" i="55"/>
  <c r="EJ8" i="55"/>
  <c r="GN8" i="55"/>
  <c r="EX324" i="55"/>
  <c r="EC324" i="55"/>
  <c r="EX308" i="55"/>
  <c r="EC292" i="55"/>
  <c r="EX276" i="55"/>
  <c r="EX260" i="55"/>
  <c r="EC260" i="55"/>
  <c r="EX244" i="55"/>
  <c r="EX212" i="55"/>
  <c r="EX196" i="55"/>
  <c r="EC196" i="55"/>
  <c r="EC180" i="55"/>
  <c r="EX164" i="55"/>
  <c r="EC148" i="55"/>
  <c r="EX132" i="55"/>
  <c r="EC132" i="55"/>
  <c r="EX116" i="55"/>
  <c r="EX100" i="55"/>
  <c r="EX68" i="55"/>
  <c r="EC68" i="55"/>
  <c r="EX52" i="55"/>
  <c r="EY52" i="55" s="1"/>
  <c r="EC36" i="55"/>
  <c r="EY36" i="55" s="1"/>
  <c r="R36" i="55" s="1"/>
  <c r="EX20" i="55"/>
  <c r="DZ352" i="55"/>
  <c r="DZ336" i="55"/>
  <c r="EB336" i="55"/>
  <c r="EB320" i="55"/>
  <c r="DZ288" i="55"/>
  <c r="DZ272" i="55"/>
  <c r="EB272" i="55"/>
  <c r="EB256" i="55"/>
  <c r="DZ224" i="55"/>
  <c r="DZ208" i="55"/>
  <c r="EB208" i="55"/>
  <c r="EB192" i="55"/>
  <c r="DZ160" i="55"/>
  <c r="DZ144" i="55"/>
  <c r="EB144" i="55"/>
  <c r="EB128" i="55"/>
  <c r="DZ96" i="55"/>
  <c r="DZ80" i="55"/>
  <c r="EB80" i="55"/>
  <c r="EB64" i="55"/>
  <c r="DZ32" i="55"/>
  <c r="DZ16" i="55"/>
  <c r="EB16" i="55"/>
  <c r="HZ341" i="55"/>
  <c r="IA341" i="55"/>
  <c r="IB341" i="55"/>
  <c r="HW341" i="55"/>
  <c r="IA325" i="55"/>
  <c r="HW325" i="55"/>
  <c r="HZ325" i="55"/>
  <c r="IB325" i="55"/>
  <c r="HW309" i="55"/>
  <c r="IA309" i="55"/>
  <c r="HZ309" i="55"/>
  <c r="IB293" i="55"/>
  <c r="HZ293" i="55"/>
  <c r="HW293" i="55"/>
  <c r="IA293" i="55"/>
  <c r="HZ277" i="55"/>
  <c r="IA277" i="55"/>
  <c r="IB277" i="55"/>
  <c r="HW277" i="55"/>
  <c r="IA261" i="55"/>
  <c r="IB261" i="55"/>
  <c r="HW261" i="55"/>
  <c r="HZ261" i="55"/>
  <c r="HW245" i="55"/>
  <c r="HZ245" i="55"/>
  <c r="IB245" i="55"/>
  <c r="IA245" i="55"/>
  <c r="IB229" i="55"/>
  <c r="V229" i="55" s="1"/>
  <c r="HW229" i="55"/>
  <c r="IA229" i="55"/>
  <c r="HZ229" i="55"/>
  <c r="HZ213" i="55"/>
  <c r="IA213" i="55"/>
  <c r="HW213" i="55"/>
  <c r="IB213" i="55"/>
  <c r="IA197" i="55"/>
  <c r="HZ197" i="55"/>
  <c r="IB197" i="55"/>
  <c r="HZ181" i="55"/>
  <c r="IA181" i="55"/>
  <c r="IB181" i="55"/>
  <c r="HW181" i="55"/>
  <c r="IB165" i="55"/>
  <c r="HZ165" i="55"/>
  <c r="IA165" i="55"/>
  <c r="HW165" i="55"/>
  <c r="HZ149" i="55"/>
  <c r="IA149" i="55"/>
  <c r="IB149" i="55"/>
  <c r="HW149" i="55"/>
  <c r="IA133" i="55"/>
  <c r="HZ133" i="55"/>
  <c r="IB133" i="55"/>
  <c r="HW133" i="55"/>
  <c r="HW117" i="55"/>
  <c r="IA117" i="55"/>
  <c r="HZ117" i="55"/>
  <c r="IB117" i="55"/>
  <c r="IB101" i="55"/>
  <c r="U101" i="55" s="1"/>
  <c r="HW101" i="55"/>
  <c r="IA101" i="55"/>
  <c r="HZ101" i="55"/>
  <c r="HZ85" i="55"/>
  <c r="IA85" i="55"/>
  <c r="IA69" i="55"/>
  <c r="IB69" i="55"/>
  <c r="HZ69" i="55"/>
  <c r="HW69" i="55"/>
  <c r="IA53" i="55"/>
  <c r="IB53" i="55"/>
  <c r="HZ53" i="55"/>
  <c r="IB37" i="55"/>
  <c r="IA37" i="55"/>
  <c r="HZ37" i="55"/>
  <c r="HW37" i="55"/>
  <c r="HZ21" i="55"/>
  <c r="IB21" i="55"/>
  <c r="IA21" i="55"/>
  <c r="HW21" i="55"/>
  <c r="HW5" i="55"/>
  <c r="IA5" i="55"/>
  <c r="IB5" i="55"/>
  <c r="HZ5" i="55"/>
  <c r="CG180" i="55"/>
  <c r="CG132" i="55"/>
  <c r="CG84" i="55"/>
  <c r="CN342" i="55"/>
  <c r="CN326" i="55"/>
  <c r="CN310" i="55"/>
  <c r="CN294" i="55"/>
  <c r="CN278" i="55"/>
  <c r="CN262" i="55"/>
  <c r="CN246" i="55"/>
  <c r="CN230" i="55"/>
  <c r="CN214" i="55"/>
  <c r="CN198" i="55"/>
  <c r="CN182" i="55"/>
  <c r="CN166" i="55"/>
  <c r="CN150" i="55"/>
  <c r="CN134" i="55"/>
  <c r="CN118" i="55"/>
  <c r="CN102" i="55"/>
  <c r="CN86" i="55"/>
  <c r="CN70" i="55"/>
  <c r="CN54" i="55"/>
  <c r="CN38" i="55"/>
  <c r="CN22" i="55"/>
  <c r="CN6" i="55"/>
  <c r="DL345" i="55"/>
  <c r="EC212" i="55"/>
  <c r="EC100" i="55"/>
  <c r="EC20" i="55"/>
  <c r="FB335" i="55"/>
  <c r="FB319" i="55"/>
  <c r="FB303" i="55"/>
  <c r="FB271" i="55"/>
  <c r="FB255" i="55"/>
  <c r="FB239" i="55"/>
  <c r="FB207" i="55"/>
  <c r="FB191" i="55"/>
  <c r="FB175" i="55"/>
  <c r="FB143" i="55"/>
  <c r="FB127" i="55"/>
  <c r="FB111" i="55"/>
  <c r="FB79" i="55"/>
  <c r="FB63" i="55"/>
  <c r="FB46" i="55"/>
  <c r="FB30" i="55"/>
  <c r="HW197" i="55"/>
  <c r="IA166" i="55"/>
  <c r="IB85" i="55"/>
  <c r="GN327" i="55"/>
  <c r="EJ327" i="55"/>
  <c r="DL327" i="55"/>
  <c r="GN311" i="55"/>
  <c r="EJ311" i="55"/>
  <c r="DL311" i="55"/>
  <c r="GN295" i="55"/>
  <c r="EJ295" i="55"/>
  <c r="GN279" i="55"/>
  <c r="EJ279" i="55"/>
  <c r="GN247" i="55"/>
  <c r="EJ247" i="55"/>
  <c r="DL247" i="55"/>
  <c r="GN215" i="55"/>
  <c r="EJ215" i="55"/>
  <c r="GN199" i="55"/>
  <c r="DL199" i="55"/>
  <c r="EJ183" i="55"/>
  <c r="GN183" i="55"/>
  <c r="GN167" i="55"/>
  <c r="EJ167" i="55"/>
  <c r="GN135" i="55"/>
  <c r="EJ135" i="55"/>
  <c r="EJ119" i="55"/>
  <c r="DL119" i="55"/>
  <c r="GN119" i="55"/>
  <c r="EJ71" i="55"/>
  <c r="DL71" i="55"/>
  <c r="GN55" i="55"/>
  <c r="EJ55" i="55"/>
  <c r="DL55" i="55"/>
  <c r="GN23" i="55"/>
  <c r="EJ23" i="55"/>
  <c r="EX339" i="55"/>
  <c r="EY339" i="55" s="1"/>
  <c r="EX323" i="55"/>
  <c r="EC307" i="55"/>
  <c r="EX307" i="55"/>
  <c r="EC291" i="55"/>
  <c r="EX259" i="55"/>
  <c r="EC243" i="55"/>
  <c r="EX227" i="55"/>
  <c r="EY211" i="55"/>
  <c r="EY179" i="55"/>
  <c r="R179" i="55" s="1"/>
  <c r="EX163" i="55"/>
  <c r="EC147" i="55"/>
  <c r="EX147" i="55"/>
  <c r="EX131" i="55"/>
  <c r="EC115" i="55"/>
  <c r="EX115" i="55"/>
  <c r="EC51" i="55"/>
  <c r="EY51" i="55" s="1"/>
  <c r="R51" i="55" s="1"/>
  <c r="EC35" i="55"/>
  <c r="EX35" i="55"/>
  <c r="DZ335" i="55"/>
  <c r="EB319" i="55"/>
  <c r="EB287" i="55"/>
  <c r="EB255" i="55"/>
  <c r="DZ255" i="55"/>
  <c r="DZ223" i="55"/>
  <c r="EB175" i="55"/>
  <c r="GS175" i="55" s="1"/>
  <c r="EB143" i="55"/>
  <c r="DZ143" i="55"/>
  <c r="DZ111" i="55"/>
  <c r="GS111" i="55" s="1"/>
  <c r="DZ79" i="55"/>
  <c r="EB63" i="55"/>
  <c r="GS63" i="55" s="1"/>
  <c r="EB31" i="55"/>
  <c r="GS31" i="55" s="1"/>
  <c r="HZ340" i="55"/>
  <c r="HW340" i="55"/>
  <c r="IA340" i="55"/>
  <c r="IB340" i="55"/>
  <c r="U340" i="55" s="1"/>
  <c r="HW324" i="55"/>
  <c r="HZ324" i="55"/>
  <c r="IB324" i="55"/>
  <c r="IA308" i="55"/>
  <c r="HW308" i="55"/>
  <c r="HZ308" i="55"/>
  <c r="IB308" i="55"/>
  <c r="IB292" i="55"/>
  <c r="HW292" i="55"/>
  <c r="HZ292" i="55"/>
  <c r="HZ276" i="55"/>
  <c r="IB276" i="55"/>
  <c r="IA276" i="55"/>
  <c r="HW276" i="55"/>
  <c r="HW260" i="55"/>
  <c r="IA260" i="55"/>
  <c r="IB260" i="55"/>
  <c r="HZ260" i="55"/>
  <c r="IA244" i="55"/>
  <c r="IB244" i="55"/>
  <c r="HZ244" i="55"/>
  <c r="HW244" i="55"/>
  <c r="IB228" i="55"/>
  <c r="HW228" i="55"/>
  <c r="IA228" i="55"/>
  <c r="HZ228" i="55"/>
  <c r="HZ212" i="55"/>
  <c r="HW212" i="55"/>
  <c r="IA212" i="55"/>
  <c r="IB212" i="55"/>
  <c r="HZ196" i="55"/>
  <c r="IB196" i="55"/>
  <c r="IA196" i="55"/>
  <c r="HW196" i="55"/>
  <c r="IA180" i="55"/>
  <c r="HW180" i="55"/>
  <c r="HZ180" i="55"/>
  <c r="IB164" i="55"/>
  <c r="HW164" i="55"/>
  <c r="IA164" i="55"/>
  <c r="HZ164" i="55"/>
  <c r="HZ148" i="55"/>
  <c r="IA148" i="55"/>
  <c r="IB148" i="55"/>
  <c r="HW148" i="55"/>
  <c r="IB132" i="55"/>
  <c r="HW132" i="55"/>
  <c r="IA132" i="55"/>
  <c r="HZ132" i="55"/>
  <c r="IA116" i="55"/>
  <c r="HW116" i="55"/>
  <c r="IB116" i="55"/>
  <c r="HZ116" i="55"/>
  <c r="IB100" i="55"/>
  <c r="HW100" i="55"/>
  <c r="IA100" i="55"/>
  <c r="HZ100" i="55"/>
  <c r="HZ84" i="55"/>
  <c r="HW84" i="55"/>
  <c r="IA84" i="55"/>
  <c r="IB84" i="55"/>
  <c r="HW68" i="55"/>
  <c r="IA68" i="55"/>
  <c r="HZ68" i="55"/>
  <c r="IB68" i="55"/>
  <c r="IA52" i="55"/>
  <c r="HZ52" i="55"/>
  <c r="IB52" i="55"/>
  <c r="HW52" i="55"/>
  <c r="IB36" i="55"/>
  <c r="HW36" i="55"/>
  <c r="IA36" i="55"/>
  <c r="HZ36" i="55"/>
  <c r="HZ20" i="55"/>
  <c r="IB20" i="55"/>
  <c r="IA20" i="55"/>
  <c r="HW20" i="55"/>
  <c r="IB4" i="55"/>
  <c r="IA4" i="55"/>
  <c r="HW4" i="55"/>
  <c r="HZ4" i="55"/>
  <c r="CN341" i="55"/>
  <c r="CN325" i="55"/>
  <c r="CN309" i="55"/>
  <c r="CN293" i="55"/>
  <c r="CN277" i="55"/>
  <c r="CN261" i="55"/>
  <c r="CN245" i="55"/>
  <c r="CN229" i="55"/>
  <c r="CN213" i="55"/>
  <c r="CN197" i="55"/>
  <c r="CN181" i="55"/>
  <c r="CN165" i="55"/>
  <c r="CN149" i="55"/>
  <c r="CN133" i="55"/>
  <c r="CN117" i="55"/>
  <c r="CN101" i="55"/>
  <c r="CN85" i="55"/>
  <c r="CN69" i="55"/>
  <c r="CN53" i="55"/>
  <c r="CN37" i="55"/>
  <c r="CN21" i="55"/>
  <c r="CN5" i="55"/>
  <c r="DL120" i="55"/>
  <c r="DL88" i="55"/>
  <c r="EB49" i="55"/>
  <c r="GS49" i="55" s="1"/>
  <c r="EC323" i="55"/>
  <c r="EC19" i="55"/>
  <c r="EY19" i="55" s="1"/>
  <c r="EJ6" i="55"/>
  <c r="ER10" i="55"/>
  <c r="ES10" i="55"/>
  <c r="EX245" i="55"/>
  <c r="GN249" i="55"/>
  <c r="HZ342" i="55"/>
  <c r="GN342" i="55"/>
  <c r="EJ342" i="55"/>
  <c r="GN326" i="55"/>
  <c r="EJ326" i="55"/>
  <c r="GN310" i="55"/>
  <c r="EJ310" i="55"/>
  <c r="GN294" i="55"/>
  <c r="EJ294" i="55"/>
  <c r="GN262" i="55"/>
  <c r="EJ262" i="55"/>
  <c r="GN246" i="55"/>
  <c r="EJ246" i="55"/>
  <c r="GN230" i="55"/>
  <c r="EJ230" i="55"/>
  <c r="GN214" i="55"/>
  <c r="EJ214" i="55"/>
  <c r="GN150" i="55"/>
  <c r="EJ150" i="55"/>
  <c r="GN118" i="55"/>
  <c r="EJ118" i="55"/>
  <c r="GN102" i="55"/>
  <c r="EJ102" i="55"/>
  <c r="GN54" i="55"/>
  <c r="EJ54" i="55"/>
  <c r="GN38" i="55"/>
  <c r="EJ38" i="55"/>
  <c r="EX338" i="55"/>
  <c r="EY338" i="55" s="1"/>
  <c r="EX322" i="55"/>
  <c r="EC322" i="55"/>
  <c r="EX306" i="55"/>
  <c r="EC306" i="55"/>
  <c r="EX274" i="55"/>
  <c r="EX258" i="55"/>
  <c r="EC258" i="55"/>
  <c r="EC242" i="55"/>
  <c r="EX226" i="55"/>
  <c r="EY226" i="55" s="1"/>
  <c r="EX210" i="55"/>
  <c r="EX194" i="55"/>
  <c r="EC194" i="55"/>
  <c r="EC178" i="55"/>
  <c r="EX162" i="55"/>
  <c r="EY162" i="55" s="1"/>
  <c r="EX146" i="55"/>
  <c r="EY146" i="55" s="1"/>
  <c r="EX130" i="55"/>
  <c r="EC130" i="55"/>
  <c r="EC114" i="55"/>
  <c r="EX114" i="55"/>
  <c r="EX66" i="55"/>
  <c r="EC66" i="55"/>
  <c r="EX34" i="55"/>
  <c r="EX18" i="55"/>
  <c r="DZ350" i="55"/>
  <c r="DZ334" i="55"/>
  <c r="DZ318" i="55"/>
  <c r="EB318" i="55"/>
  <c r="DZ302" i="55"/>
  <c r="GS302" i="55" s="1"/>
  <c r="DZ286" i="55"/>
  <c r="EB286" i="55"/>
  <c r="DZ270" i="55"/>
  <c r="DZ254" i="55"/>
  <c r="EB254" i="55"/>
  <c r="DZ238" i="55"/>
  <c r="GS238" i="55" s="1"/>
  <c r="DZ222" i="55"/>
  <c r="DZ206" i="55"/>
  <c r="DZ190" i="55"/>
  <c r="EB190" i="55"/>
  <c r="DZ174" i="55"/>
  <c r="EB174" i="55"/>
  <c r="DZ158" i="55"/>
  <c r="GS158" i="55" s="1"/>
  <c r="DZ142" i="55"/>
  <c r="EB142" i="55"/>
  <c r="DZ126" i="55"/>
  <c r="EB126" i="55"/>
  <c r="DZ110" i="55"/>
  <c r="GS110" i="55" s="1"/>
  <c r="DZ94" i="55"/>
  <c r="GS94" i="55" s="1"/>
  <c r="DZ78" i="55"/>
  <c r="DZ62" i="55"/>
  <c r="EB62" i="55"/>
  <c r="DZ46" i="55"/>
  <c r="DZ30" i="55"/>
  <c r="EB30" i="55"/>
  <c r="DZ14" i="55"/>
  <c r="HZ339" i="55"/>
  <c r="HW339" i="55"/>
  <c r="IB339" i="55"/>
  <c r="IB323" i="55"/>
  <c r="HZ323" i="55"/>
  <c r="HW323" i="55"/>
  <c r="IA323" i="55"/>
  <c r="IA307" i="55"/>
  <c r="HW307" i="55"/>
  <c r="IB307" i="55"/>
  <c r="IB291" i="55"/>
  <c r="HW291" i="55"/>
  <c r="IA291" i="55"/>
  <c r="HZ275" i="55"/>
  <c r="IB275" i="55"/>
  <c r="IA275" i="55"/>
  <c r="HW275" i="55"/>
  <c r="HZ259" i="55"/>
  <c r="HW259" i="55"/>
  <c r="IB259" i="55"/>
  <c r="IA259" i="55"/>
  <c r="IA243" i="55"/>
  <c r="HZ243" i="55"/>
  <c r="HW243" i="55"/>
  <c r="IB227" i="55"/>
  <c r="HW227" i="55"/>
  <c r="HZ227" i="55"/>
  <c r="IA227" i="55"/>
  <c r="HZ211" i="55"/>
  <c r="HW211" i="55"/>
  <c r="IB211" i="55"/>
  <c r="IA211" i="55"/>
  <c r="IB195" i="55"/>
  <c r="HW195" i="55"/>
  <c r="IA195" i="55"/>
  <c r="HZ195" i="55"/>
  <c r="IA179" i="55"/>
  <c r="IB179" i="55"/>
  <c r="HZ179" i="55"/>
  <c r="IB163" i="55"/>
  <c r="HW163" i="55"/>
  <c r="IA163" i="55"/>
  <c r="HZ147" i="55"/>
  <c r="IA147" i="55"/>
  <c r="IB147" i="55"/>
  <c r="HW147" i="55"/>
  <c r="IB131" i="55"/>
  <c r="HW131" i="55"/>
  <c r="HZ131" i="55"/>
  <c r="IA115" i="55"/>
  <c r="HZ115" i="55"/>
  <c r="HW115" i="55"/>
  <c r="IB115" i="55"/>
  <c r="IB99" i="55"/>
  <c r="HW99" i="55"/>
  <c r="IA99" i="55"/>
  <c r="HZ99" i="55"/>
  <c r="HZ83" i="55"/>
  <c r="HW83" i="55"/>
  <c r="IA83" i="55"/>
  <c r="IB67" i="55"/>
  <c r="HW67" i="55"/>
  <c r="HZ67" i="55"/>
  <c r="IA67" i="55"/>
  <c r="IA51" i="55"/>
  <c r="HW51" i="55"/>
  <c r="HZ51" i="55"/>
  <c r="IB51" i="55"/>
  <c r="IB35" i="55"/>
  <c r="HW35" i="55"/>
  <c r="HZ35" i="55"/>
  <c r="IA35" i="55"/>
  <c r="HZ19" i="55"/>
  <c r="IA19" i="55"/>
  <c r="IB19" i="55"/>
  <c r="HW19" i="55"/>
  <c r="HZ3" i="55"/>
  <c r="IA3" i="55"/>
  <c r="HW3" i="55"/>
  <c r="IB3" i="55"/>
  <c r="CM342" i="55"/>
  <c r="CM326" i="55"/>
  <c r="CM310" i="55"/>
  <c r="CM294" i="55"/>
  <c r="CM278" i="55"/>
  <c r="CM262" i="55"/>
  <c r="CM246" i="55"/>
  <c r="CM230" i="55"/>
  <c r="CM214" i="55"/>
  <c r="CM198" i="55"/>
  <c r="CM182" i="55"/>
  <c r="CM166" i="55"/>
  <c r="CM150" i="55"/>
  <c r="CM134" i="55"/>
  <c r="CM118" i="55"/>
  <c r="CM102" i="55"/>
  <c r="CM86" i="55"/>
  <c r="CM70" i="55"/>
  <c r="CM54" i="55"/>
  <c r="CM38" i="55"/>
  <c r="CM22" i="55"/>
  <c r="CM6" i="55"/>
  <c r="CN340" i="55"/>
  <c r="CN324" i="55"/>
  <c r="CN308" i="55"/>
  <c r="CN292" i="55"/>
  <c r="CN276" i="55"/>
  <c r="CN260" i="55"/>
  <c r="CN244" i="55"/>
  <c r="CN228" i="55"/>
  <c r="CN212" i="55"/>
  <c r="CN196" i="55"/>
  <c r="CN180" i="55"/>
  <c r="CN164" i="55"/>
  <c r="CN148" i="55"/>
  <c r="CN132" i="55"/>
  <c r="CN116" i="55"/>
  <c r="CN100" i="55"/>
  <c r="CN84" i="55"/>
  <c r="CN68" i="55"/>
  <c r="CN52" i="55"/>
  <c r="CN36" i="55"/>
  <c r="CN20" i="55"/>
  <c r="CN4" i="55"/>
  <c r="DL87" i="55"/>
  <c r="DZ192" i="55"/>
  <c r="EB352" i="55"/>
  <c r="EB273" i="55"/>
  <c r="GS273" i="55" s="1"/>
  <c r="EB160" i="55"/>
  <c r="EB81" i="55"/>
  <c r="EC131" i="55"/>
  <c r="EC18" i="55"/>
  <c r="ER349" i="55"/>
  <c r="FB349" i="55"/>
  <c r="ES317" i="55"/>
  <c r="FB317" i="55"/>
  <c r="FB301" i="55"/>
  <c r="ER285" i="55"/>
  <c r="ES285" i="55"/>
  <c r="FB285" i="55"/>
  <c r="FB269" i="55"/>
  <c r="ES269" i="55"/>
  <c r="ES253" i="55"/>
  <c r="ER253" i="55"/>
  <c r="FB253" i="55"/>
  <c r="ER237" i="55"/>
  <c r="ES237" i="55"/>
  <c r="ER221" i="55"/>
  <c r="ES205" i="55"/>
  <c r="ER205" i="55"/>
  <c r="ES189" i="55"/>
  <c r="FB189" i="55"/>
  <c r="FB173" i="55"/>
  <c r="ER173" i="55"/>
  <c r="ES173" i="55"/>
  <c r="ER157" i="55"/>
  <c r="ES157" i="55"/>
  <c r="ES141" i="55"/>
  <c r="ES125" i="55"/>
  <c r="ER93" i="55"/>
  <c r="ES93" i="55"/>
  <c r="FB93" i="55"/>
  <c r="FB77" i="55"/>
  <c r="ES61" i="55"/>
  <c r="FB61" i="55"/>
  <c r="ES333" i="55"/>
  <c r="ES301" i="55"/>
  <c r="EX243" i="55"/>
  <c r="EX180" i="55"/>
  <c r="HZ307" i="55"/>
  <c r="EU307" i="55"/>
  <c r="FB29" i="55"/>
  <c r="ER12" i="55"/>
  <c r="ES12" i="55"/>
  <c r="ER154" i="55"/>
  <c r="ES218" i="55"/>
  <c r="JV325" i="55"/>
  <c r="JU325" i="55"/>
  <c r="JO325" i="55"/>
  <c r="JP325" i="55" s="1"/>
  <c r="HM325" i="55"/>
  <c r="M325" i="55" s="1"/>
  <c r="HN325" i="55" s="1"/>
  <c r="IL325" i="55" s="1"/>
  <c r="IM325" i="55" s="1"/>
  <c r="FB220" i="55"/>
  <c r="FB108" i="55"/>
  <c r="FB26" i="55"/>
  <c r="ER9" i="55"/>
  <c r="FB107" i="55"/>
  <c r="ER331" i="55"/>
  <c r="ES315" i="55"/>
  <c r="ES283" i="55"/>
  <c r="ER267" i="55"/>
  <c r="ES251" i="55"/>
  <c r="FB251" i="55"/>
  <c r="ER251" i="55"/>
  <c r="ER203" i="55"/>
  <c r="ES187" i="55"/>
  <c r="FB187" i="55"/>
  <c r="ER139" i="55"/>
  <c r="ES123" i="55"/>
  <c r="ER123" i="55"/>
  <c r="ES91" i="55"/>
  <c r="ER75" i="55"/>
  <c r="ES59" i="55"/>
  <c r="FB59" i="55"/>
  <c r="ES42" i="55"/>
  <c r="ER42" i="55"/>
  <c r="FB330" i="55"/>
  <c r="FB106" i="55"/>
  <c r="FB314" i="55"/>
  <c r="ES314" i="55"/>
  <c r="ES298" i="55"/>
  <c r="ER298" i="55"/>
  <c r="FB282" i="55"/>
  <c r="ER282" i="55"/>
  <c r="FB250" i="55"/>
  <c r="ER202" i="55"/>
  <c r="ES202" i="55"/>
  <c r="FB186" i="55"/>
  <c r="ES170" i="55"/>
  <c r="ER170" i="55"/>
  <c r="ER138" i="55"/>
  <c r="FB138" i="55"/>
  <c r="FB122" i="55"/>
  <c r="FB58" i="55"/>
  <c r="ES41" i="55"/>
  <c r="FB24" i="55"/>
  <c r="FB139" i="55"/>
  <c r="EU300" i="55"/>
  <c r="ER332" i="55"/>
  <c r="ES316" i="55"/>
  <c r="FB316" i="55"/>
  <c r="ER268" i="55"/>
  <c r="ES252" i="55"/>
  <c r="FB252" i="55"/>
  <c r="ER204" i="55"/>
  <c r="ES188" i="55"/>
  <c r="FB188" i="55"/>
  <c r="ER140" i="55"/>
  <c r="ES124" i="55"/>
  <c r="FB124" i="55"/>
  <c r="ER76" i="55"/>
  <c r="ES60" i="55"/>
  <c r="FB60" i="55"/>
  <c r="ER273" i="55"/>
  <c r="ER220" i="55"/>
  <c r="ES332" i="55"/>
  <c r="FB332" i="55"/>
  <c r="FB76" i="55"/>
  <c r="ET224" i="55"/>
  <c r="EU224" i="55"/>
  <c r="ES337" i="55"/>
  <c r="FB337" i="55"/>
  <c r="ES305" i="55"/>
  <c r="ER305" i="55"/>
  <c r="ES289" i="55"/>
  <c r="ES273" i="55"/>
  <c r="FB273" i="55"/>
  <c r="ES257" i="55"/>
  <c r="ES241" i="55"/>
  <c r="ER241" i="55"/>
  <c r="ES225" i="55"/>
  <c r="ES209" i="55"/>
  <c r="FB209" i="55"/>
  <c r="ES177" i="55"/>
  <c r="ER177" i="55"/>
  <c r="ES161" i="55"/>
  <c r="ES145" i="55"/>
  <c r="FB145" i="55"/>
  <c r="ES113" i="55"/>
  <c r="ER113" i="55"/>
  <c r="ES97" i="55"/>
  <c r="ES81" i="55"/>
  <c r="FB81" i="55"/>
  <c r="ER124" i="55"/>
  <c r="ER43" i="55"/>
  <c r="EU3" i="55"/>
  <c r="FB47" i="55"/>
  <c r="FB15" i="55"/>
  <c r="ER225" i="55"/>
  <c r="ER172" i="55"/>
  <c r="ES204" i="55"/>
  <c r="FB284" i="55"/>
  <c r="FB172" i="55"/>
  <c r="FB140" i="55"/>
  <c r="EU302" i="55"/>
  <c r="EU286" i="55"/>
  <c r="FB350" i="55"/>
  <c r="FB334" i="55"/>
  <c r="FB318" i="55"/>
  <c r="FB302" i="55"/>
  <c r="FB286" i="55"/>
  <c r="FB254" i="55"/>
  <c r="FB238" i="55"/>
  <c r="FB222" i="55"/>
  <c r="FB206" i="55"/>
  <c r="FB190" i="55"/>
  <c r="FB174" i="55"/>
  <c r="FB158" i="55"/>
  <c r="FB126" i="55"/>
  <c r="FB94" i="55"/>
  <c r="FB78" i="55"/>
  <c r="FB62" i="55"/>
  <c r="ER29" i="55"/>
  <c r="FB13" i="55"/>
  <c r="ER145" i="55"/>
  <c r="FB257" i="55"/>
  <c r="FB225" i="55"/>
  <c r="FB113" i="55"/>
  <c r="ER36" i="55"/>
  <c r="ES36" i="55"/>
  <c r="ER20" i="55"/>
  <c r="ES20" i="55"/>
  <c r="ET28" i="55"/>
  <c r="FB20" i="55"/>
  <c r="ER340" i="55"/>
  <c r="ES340" i="55"/>
  <c r="ER324" i="55"/>
  <c r="ES324" i="55"/>
  <c r="ER308" i="55"/>
  <c r="ES308" i="55"/>
  <c r="ER292" i="55"/>
  <c r="ES292" i="55"/>
  <c r="ER276" i="55"/>
  <c r="ES276" i="55"/>
  <c r="ER260" i="55"/>
  <c r="ES260" i="55"/>
  <c r="ER244" i="55"/>
  <c r="ES244" i="55"/>
  <c r="ER228" i="55"/>
  <c r="ES228" i="55"/>
  <c r="ER212" i="55"/>
  <c r="ES212" i="55"/>
  <c r="ER196" i="55"/>
  <c r="ES196" i="55"/>
  <c r="ER180" i="55"/>
  <c r="ES180" i="55"/>
  <c r="ER164" i="55"/>
  <c r="ES164" i="55"/>
  <c r="ER148" i="55"/>
  <c r="ES148" i="55"/>
  <c r="ER132" i="55"/>
  <c r="ES132" i="55"/>
  <c r="ER116" i="55"/>
  <c r="ES116" i="55"/>
  <c r="ER100" i="55"/>
  <c r="ES100" i="55"/>
  <c r="ER84" i="55"/>
  <c r="ES84" i="55"/>
  <c r="ER68" i="55"/>
  <c r="ES68" i="55"/>
  <c r="ER52" i="55"/>
  <c r="ES52" i="55"/>
  <c r="ER35" i="55"/>
  <c r="FB339" i="55"/>
  <c r="FB147" i="55"/>
  <c r="FB83" i="55"/>
  <c r="FB19" i="55"/>
  <c r="ER307" i="55"/>
  <c r="ER291" i="55"/>
  <c r="ER243" i="55"/>
  <c r="ER227" i="55"/>
  <c r="ER179" i="55"/>
  <c r="ER163" i="55"/>
  <c r="ER115" i="55"/>
  <c r="ER99" i="55"/>
  <c r="ER51" i="55"/>
  <c r="ER309" i="55"/>
  <c r="ER245" i="55"/>
  <c r="ER181" i="55"/>
  <c r="ER117" i="55"/>
  <c r="ER53" i="55"/>
  <c r="ES339" i="55"/>
  <c r="ES275" i="55"/>
  <c r="ES211" i="55"/>
  <c r="ES147" i="55"/>
  <c r="ES83" i="55"/>
  <c r="ES19" i="55"/>
  <c r="FB17" i="55"/>
  <c r="ES33" i="55"/>
  <c r="ER49" i="55"/>
  <c r="FB338" i="55"/>
  <c r="FB306" i="55"/>
  <c r="FB290" i="55"/>
  <c r="FB274" i="55"/>
  <c r="FB258" i="55"/>
  <c r="FB242" i="55"/>
  <c r="FB210" i="55"/>
  <c r="FB194" i="55"/>
  <c r="FB178" i="55"/>
  <c r="FB162" i="55"/>
  <c r="FB146" i="55"/>
  <c r="FB130" i="55"/>
  <c r="FB114" i="55"/>
  <c r="FB98" i="55"/>
  <c r="FB82" i="55"/>
  <c r="FB66" i="55"/>
  <c r="FB34" i="55"/>
  <c r="FB18" i="55"/>
  <c r="ES338" i="55"/>
  <c r="ES322" i="55"/>
  <c r="ES306" i="55"/>
  <c r="ES290" i="55"/>
  <c r="ES274" i="55"/>
  <c r="ES258" i="55"/>
  <c r="ES242" i="55"/>
  <c r="ES226" i="55"/>
  <c r="ES210" i="55"/>
  <c r="ES194" i="55"/>
  <c r="ES178" i="55"/>
  <c r="ES162" i="55"/>
  <c r="ES146" i="55"/>
  <c r="ES130" i="55"/>
  <c r="ES114" i="55"/>
  <c r="ES98" i="55"/>
  <c r="ES82" i="55"/>
  <c r="ES66" i="55"/>
  <c r="ES34" i="55"/>
  <c r="ES18" i="55"/>
  <c r="FB352" i="55"/>
  <c r="FB336" i="55"/>
  <c r="FB320" i="55"/>
  <c r="FB304" i="55"/>
  <c r="FB272" i="55"/>
  <c r="FB256" i="55"/>
  <c r="FB240" i="55"/>
  <c r="FB224" i="55"/>
  <c r="FB208" i="55"/>
  <c r="FB192" i="55"/>
  <c r="FB176" i="55"/>
  <c r="FB160" i="55"/>
  <c r="FB144" i="55"/>
  <c r="FB128" i="55"/>
  <c r="FB112" i="55"/>
  <c r="FB80" i="55"/>
  <c r="FB64" i="55"/>
  <c r="FB48" i="55"/>
  <c r="FB16" i="55"/>
  <c r="FB351" i="55"/>
  <c r="FB287" i="55"/>
  <c r="FB223" i="55"/>
  <c r="FB159" i="55"/>
  <c r="FB95" i="55"/>
  <c r="FB31" i="55"/>
  <c r="JV341" i="55"/>
  <c r="JU341" i="55"/>
  <c r="JO341" i="55"/>
  <c r="JP341" i="55" s="1"/>
  <c r="HM341" i="55"/>
  <c r="M341" i="55" s="1"/>
  <c r="HN341" i="55" s="1"/>
  <c r="IL341" i="55" s="1"/>
  <c r="IM341" i="55" s="1"/>
  <c r="JV283" i="55"/>
  <c r="JU283" i="55"/>
  <c r="JO283" i="55"/>
  <c r="JP283" i="55" s="1"/>
  <c r="HM283" i="55"/>
  <c r="M283" i="55" s="1"/>
  <c r="HN283" i="55" s="1"/>
  <c r="IL283" i="55" s="1"/>
  <c r="IM283" i="55" s="1"/>
  <c r="JV224" i="55"/>
  <c r="JO224" i="55"/>
  <c r="JP224" i="55" s="1"/>
  <c r="JU224" i="55"/>
  <c r="HM224" i="55"/>
  <c r="M224" i="55" s="1"/>
  <c r="HN224" i="55" s="1"/>
  <c r="IL224" i="55" s="1"/>
  <c r="IM224" i="55" s="1"/>
  <c r="W247" i="19"/>
  <c r="X247" i="19"/>
  <c r="JV53" i="55"/>
  <c r="JO53" i="55"/>
  <c r="JP53" i="55" s="1"/>
  <c r="JU53" i="55"/>
  <c r="HM53" i="55"/>
  <c r="M53" i="55" s="1"/>
  <c r="HN53" i="55" s="1"/>
  <c r="IL53" i="55" s="1"/>
  <c r="IM53" i="55" s="1"/>
  <c r="JU313" i="55"/>
  <c r="JV313" i="55"/>
  <c r="JO313" i="55"/>
  <c r="JP313" i="55" s="1"/>
  <c r="JU130" i="55"/>
  <c r="JO130" i="55"/>
  <c r="JP130" i="55" s="1"/>
  <c r="JV130" i="55"/>
  <c r="JU336" i="55"/>
  <c r="JV336" i="55"/>
  <c r="JO336" i="55"/>
  <c r="JP336" i="55" s="1"/>
  <c r="JU335" i="55"/>
  <c r="JV335" i="55"/>
  <c r="JO335" i="55"/>
  <c r="JP335" i="55" s="1"/>
  <c r="JU317" i="55"/>
  <c r="JO317" i="55"/>
  <c r="JP317" i="55" s="1"/>
  <c r="JV317" i="55"/>
  <c r="X223" i="19"/>
  <c r="W223" i="19"/>
  <c r="W174" i="19"/>
  <c r="X174" i="19"/>
  <c r="JV330" i="55"/>
  <c r="JU330" i="55"/>
  <c r="JO330" i="55"/>
  <c r="JP330" i="55" s="1"/>
  <c r="JU154" i="55"/>
  <c r="JV154" i="55"/>
  <c r="JO154" i="55"/>
  <c r="JP154" i="55" s="1"/>
  <c r="JU26" i="55"/>
  <c r="JV26" i="55"/>
  <c r="JO26" i="55"/>
  <c r="JP26" i="55" s="1"/>
  <c r="JV184" i="55"/>
  <c r="JU184" i="55"/>
  <c r="JO184" i="55"/>
  <c r="JP184" i="55" s="1"/>
  <c r="JU88" i="55"/>
  <c r="JV88" i="55"/>
  <c r="JO88" i="55"/>
  <c r="JP88" i="55" s="1"/>
  <c r="JV102" i="55"/>
  <c r="JU102" i="55"/>
  <c r="JO102" i="55"/>
  <c r="JP102" i="55" s="1"/>
  <c r="W215" i="19"/>
  <c r="X215" i="19"/>
  <c r="X200" i="19"/>
  <c r="W200" i="19"/>
  <c r="X265" i="19"/>
  <c r="W265" i="19"/>
  <c r="X228" i="19"/>
  <c r="W228" i="19"/>
  <c r="X169" i="19"/>
  <c r="W169" i="19"/>
  <c r="W179" i="19"/>
  <c r="X179" i="19"/>
  <c r="X259" i="19"/>
  <c r="W259" i="19"/>
  <c r="X251" i="19"/>
  <c r="W251" i="19"/>
  <c r="X229" i="19"/>
  <c r="W229" i="19"/>
  <c r="X269" i="19"/>
  <c r="W269" i="19"/>
  <c r="X173" i="19"/>
  <c r="W173" i="19"/>
  <c r="X222" i="19"/>
  <c r="W222" i="19"/>
  <c r="X245" i="19"/>
  <c r="W245" i="19"/>
  <c r="W192" i="19"/>
  <c r="W199" i="19"/>
  <c r="X199" i="19"/>
  <c r="X181" i="19"/>
  <c r="W181" i="19"/>
  <c r="X239" i="19"/>
  <c r="W239" i="19"/>
  <c r="X254" i="19"/>
  <c r="W254" i="19"/>
  <c r="X187" i="19"/>
  <c r="W187" i="19"/>
  <c r="X256" i="19"/>
  <c r="W256" i="19"/>
  <c r="X175" i="19"/>
  <c r="W175" i="19"/>
  <c r="X212" i="19"/>
  <c r="W212" i="19"/>
  <c r="W220" i="19"/>
  <c r="X202" i="19"/>
  <c r="W202" i="19"/>
  <c r="X176" i="19"/>
  <c r="W176" i="19"/>
  <c r="X267" i="19"/>
  <c r="W267" i="19"/>
  <c r="W240" i="19"/>
  <c r="X235" i="19"/>
  <c r="W235" i="19"/>
  <c r="X236" i="19"/>
  <c r="W236" i="19"/>
  <c r="X170" i="19"/>
  <c r="W170" i="19"/>
  <c r="X203" i="19"/>
  <c r="W203" i="19"/>
  <c r="X224" i="19"/>
  <c r="W224" i="19"/>
  <c r="X171" i="19"/>
  <c r="W171" i="19"/>
  <c r="W195" i="19"/>
  <c r="W207" i="19"/>
  <c r="W237" i="19"/>
  <c r="W266" i="19"/>
  <c r="X183" i="19"/>
  <c r="X219" i="19"/>
  <c r="W219" i="19"/>
  <c r="W432" i="19"/>
  <c r="W392" i="19"/>
  <c r="X360" i="19"/>
  <c r="W302" i="19"/>
  <c r="X436" i="19"/>
  <c r="W66" i="19"/>
  <c r="W336" i="19"/>
  <c r="W43" i="19"/>
  <c r="W122" i="19"/>
  <c r="W16" i="42"/>
  <c r="W155" i="19"/>
  <c r="W309" i="19"/>
  <c r="X415" i="19"/>
  <c r="W28" i="42"/>
  <c r="W10" i="19"/>
  <c r="W29" i="19"/>
  <c r="W325" i="19"/>
  <c r="X114" i="19"/>
  <c r="W127" i="19"/>
  <c r="X134" i="19"/>
  <c r="X420" i="19"/>
  <c r="W475" i="19"/>
  <c r="W6" i="19"/>
  <c r="W464" i="19"/>
  <c r="X7" i="19"/>
  <c r="W355" i="19"/>
  <c r="W424" i="19"/>
  <c r="W330" i="19"/>
  <c r="W452" i="19"/>
  <c r="X466" i="19"/>
  <c r="X71" i="19"/>
  <c r="W117" i="19"/>
  <c r="W130" i="19"/>
  <c r="W153" i="19"/>
  <c r="W413" i="19"/>
  <c r="W111" i="19"/>
  <c r="W344" i="19"/>
  <c r="W400" i="19"/>
  <c r="W27" i="19"/>
  <c r="W164" i="19"/>
  <c r="W320" i="19"/>
  <c r="W440" i="19"/>
  <c r="W483" i="19"/>
  <c r="X50" i="19"/>
  <c r="W118" i="19"/>
  <c r="W125" i="19"/>
  <c r="W308" i="19"/>
  <c r="W390" i="19"/>
  <c r="W33" i="42"/>
  <c r="W17" i="42"/>
  <c r="W29" i="42"/>
  <c r="W22" i="42"/>
  <c r="W14" i="42"/>
  <c r="W27" i="42"/>
  <c r="W23" i="42"/>
  <c r="W35" i="42"/>
  <c r="W19" i="42"/>
  <c r="W12" i="42"/>
  <c r="W301" i="19"/>
  <c r="X312" i="19"/>
  <c r="X445" i="19"/>
  <c r="W456" i="19"/>
  <c r="W162" i="19"/>
  <c r="W107" i="19"/>
  <c r="W113" i="19"/>
  <c r="W93" i="19"/>
  <c r="W292" i="19"/>
  <c r="X362" i="19"/>
  <c r="X14" i="19"/>
  <c r="X49" i="19"/>
  <c r="X79" i="19"/>
  <c r="W294" i="19"/>
  <c r="X328" i="19"/>
  <c r="W339" i="19"/>
  <c r="W426" i="19"/>
  <c r="X450" i="19"/>
  <c r="X472" i="19"/>
  <c r="W496" i="19"/>
  <c r="X102" i="19"/>
  <c r="W109" i="19"/>
  <c r="W381" i="19"/>
  <c r="X416" i="19"/>
  <c r="W461" i="19"/>
  <c r="X135" i="19"/>
  <c r="X319" i="19"/>
  <c r="W451" i="19"/>
  <c r="W486" i="19"/>
  <c r="W158" i="19"/>
  <c r="W298" i="19"/>
  <c r="W397" i="19"/>
  <c r="W408" i="19"/>
  <c r="X429" i="19"/>
  <c r="W137" i="19"/>
  <c r="W490" i="19"/>
  <c r="X38" i="19"/>
  <c r="X398" i="19"/>
  <c r="X421" i="19"/>
  <c r="W478" i="19"/>
  <c r="W96" i="42"/>
  <c r="W30" i="42"/>
  <c r="V17" i="42"/>
  <c r="W25" i="42"/>
  <c r="W105" i="42"/>
  <c r="V12" i="42"/>
  <c r="W20" i="42"/>
  <c r="V23" i="42"/>
  <c r="W46" i="42"/>
  <c r="W15" i="42"/>
  <c r="W458" i="42"/>
  <c r="W73" i="42"/>
  <c r="W91" i="42"/>
  <c r="W120" i="42"/>
  <c r="W26" i="42"/>
  <c r="W21" i="42"/>
  <c r="W18" i="42"/>
  <c r="W13" i="42"/>
  <c r="W474" i="42"/>
  <c r="V4" i="42"/>
  <c r="W4" i="42"/>
  <c r="W125" i="42"/>
  <c r="V16" i="42"/>
  <c r="W24" i="42"/>
  <c r="W195" i="42"/>
  <c r="W250" i="42"/>
  <c r="V29" i="42"/>
  <c r="V35" i="42"/>
  <c r="V250" i="42"/>
  <c r="V14" i="42"/>
  <c r="V22" i="42"/>
  <c r="V27" i="42"/>
  <c r="V33" i="42"/>
  <c r="W214" i="42"/>
  <c r="W352" i="42"/>
  <c r="W359" i="42"/>
  <c r="W48" i="42"/>
  <c r="W254" i="42"/>
  <c r="X446" i="19"/>
  <c r="W446" i="19"/>
  <c r="X163" i="19"/>
  <c r="W163" i="19"/>
  <c r="W434" i="19"/>
  <c r="X434" i="19"/>
  <c r="X81" i="19"/>
  <c r="W81" i="19"/>
  <c r="W322" i="19"/>
  <c r="X322" i="19"/>
  <c r="W59" i="19"/>
  <c r="X59" i="19"/>
  <c r="W270" i="19"/>
  <c r="X270" i="19"/>
  <c r="W386" i="19"/>
  <c r="X386" i="19"/>
  <c r="X4" i="19"/>
  <c r="W4" i="19"/>
  <c r="X414" i="19"/>
  <c r="W414" i="19"/>
  <c r="X447" i="19"/>
  <c r="W447" i="19"/>
  <c r="W402" i="19"/>
  <c r="X402" i="19"/>
  <c r="X13" i="19"/>
  <c r="W13" i="19"/>
  <c r="X30" i="19"/>
  <c r="W30" i="19"/>
  <c r="X45" i="19"/>
  <c r="X103" i="19"/>
  <c r="X290" i="19"/>
  <c r="W299" i="19"/>
  <c r="X299" i="19"/>
  <c r="W370" i="19"/>
  <c r="X370" i="19"/>
  <c r="X296" i="19"/>
  <c r="W296" i="19"/>
  <c r="W354" i="19"/>
  <c r="X354" i="19"/>
  <c r="W365" i="19"/>
  <c r="X394" i="19"/>
  <c r="W394" i="19"/>
  <c r="W404" i="19"/>
  <c r="X404" i="19"/>
  <c r="W146" i="19"/>
  <c r="X146" i="19"/>
  <c r="X282" i="19"/>
  <c r="W282" i="19"/>
  <c r="W378" i="19"/>
  <c r="X378" i="19"/>
  <c r="W454" i="19"/>
  <c r="W41" i="19"/>
  <c r="X41" i="19"/>
  <c r="W313" i="19"/>
  <c r="X313" i="19"/>
  <c r="W484" i="19"/>
  <c r="W349" i="19"/>
  <c r="X349" i="19"/>
  <c r="X389" i="19"/>
  <c r="X474" i="19"/>
  <c r="X326" i="19"/>
  <c r="W326" i="19"/>
  <c r="W376" i="19"/>
  <c r="X86" i="19"/>
  <c r="W86" i="19"/>
  <c r="X285" i="19"/>
  <c r="W285" i="19"/>
  <c r="W307" i="19"/>
  <c r="X338" i="19"/>
  <c r="X388" i="19"/>
  <c r="X418" i="19"/>
  <c r="X61" i="19"/>
  <c r="W61" i="19"/>
  <c r="X280" i="19"/>
  <c r="W280" i="19"/>
  <c r="W47" i="19"/>
  <c r="W304" i="19"/>
  <c r="W315" i="19"/>
  <c r="X315" i="19"/>
  <c r="X405" i="19"/>
  <c r="W405" i="19"/>
  <c r="X477" i="19"/>
  <c r="W477" i="19"/>
  <c r="X419" i="19"/>
  <c r="W419" i="19"/>
  <c r="W480" i="19"/>
  <c r="X480" i="19"/>
  <c r="X62" i="19"/>
  <c r="X157" i="19"/>
  <c r="W323" i="19"/>
  <c r="W410" i="19"/>
  <c r="W22" i="19"/>
  <c r="W35" i="19"/>
  <c r="X70" i="19"/>
  <c r="W70" i="19"/>
  <c r="X143" i="19"/>
  <c r="W167" i="19"/>
  <c r="W272" i="19"/>
  <c r="W287" i="19"/>
  <c r="W314" i="19"/>
  <c r="X333" i="19"/>
  <c r="W333" i="19"/>
  <c r="X379" i="19"/>
  <c r="X306" i="19"/>
  <c r="X324" i="19"/>
  <c r="X368" i="19"/>
  <c r="X482" i="19"/>
  <c r="X293" i="19"/>
  <c r="W293" i="19"/>
  <c r="X441" i="19"/>
  <c r="W441" i="19"/>
  <c r="W467" i="19"/>
  <c r="X467" i="19"/>
  <c r="X9" i="19"/>
  <c r="W9" i="19"/>
  <c r="X25" i="19"/>
  <c r="W25" i="19"/>
  <c r="W91" i="19"/>
  <c r="W291" i="19"/>
  <c r="W356" i="19"/>
  <c r="W403" i="19"/>
  <c r="W411" i="19"/>
  <c r="X468" i="19"/>
  <c r="W468" i="19"/>
  <c r="W488" i="19"/>
  <c r="W5" i="19"/>
  <c r="X5" i="19"/>
  <c r="W31" i="19"/>
  <c r="X57" i="19"/>
  <c r="W98" i="19"/>
  <c r="X98" i="19"/>
  <c r="X317" i="19"/>
  <c r="W317" i="19"/>
  <c r="X345" i="19"/>
  <c r="X377" i="19"/>
  <c r="W387" i="19"/>
  <c r="X458" i="19"/>
  <c r="X498" i="19"/>
  <c r="X73" i="19"/>
  <c r="X99" i="19"/>
  <c r="X105" i="19"/>
  <c r="X141" i="19"/>
  <c r="X161" i="19"/>
  <c r="X274" i="19"/>
  <c r="X363" i="19"/>
  <c r="W81" i="42"/>
  <c r="W85" i="42"/>
  <c r="V91" i="42"/>
  <c r="W142" i="42"/>
  <c r="W178" i="42"/>
  <c r="W180" i="42"/>
  <c r="W182" i="42"/>
  <c r="W186" i="42"/>
  <c r="W202" i="42"/>
  <c r="W229" i="42"/>
  <c r="W235" i="42"/>
  <c r="W237" i="42"/>
  <c r="W258" i="42"/>
  <c r="W265" i="42"/>
  <c r="W269" i="42"/>
  <c r="W286" i="42"/>
  <c r="W323" i="42"/>
  <c r="W31" i="42"/>
  <c r="W87" i="42"/>
  <c r="AD4" i="42"/>
  <c r="W378" i="42"/>
  <c r="W132" i="42"/>
  <c r="W41" i="42"/>
  <c r="W371" i="42"/>
  <c r="W193" i="42"/>
  <c r="W392" i="42"/>
  <c r="W375" i="42"/>
  <c r="W441" i="42"/>
  <c r="W322" i="42"/>
  <c r="W444" i="42"/>
  <c r="W409" i="42"/>
  <c r="W385" i="42"/>
  <c r="W372" i="42"/>
  <c r="W473" i="42"/>
  <c r="W460" i="42"/>
  <c r="W450" i="42"/>
  <c r="W405" i="42"/>
  <c r="W388" i="42"/>
  <c r="W271" i="42"/>
  <c r="W361" i="42"/>
  <c r="W293" i="42"/>
  <c r="W389" i="42"/>
  <c r="W297" i="42"/>
  <c r="W283" i="42"/>
  <c r="W137" i="42"/>
  <c r="W109" i="42"/>
  <c r="W104" i="42"/>
  <c r="W461" i="42"/>
  <c r="W349" i="42"/>
  <c r="W273" i="42"/>
  <c r="W201" i="42"/>
  <c r="W163" i="42"/>
  <c r="W449" i="42"/>
  <c r="W411" i="42"/>
  <c r="W400" i="42"/>
  <c r="W380" i="42"/>
  <c r="W363" i="42"/>
  <c r="W353" i="42"/>
  <c r="W320" i="42"/>
  <c r="W295" i="42"/>
  <c r="W277" i="42"/>
  <c r="W259" i="42"/>
  <c r="V42" i="42"/>
  <c r="W42" i="42"/>
  <c r="W112" i="42"/>
  <c r="W114" i="42"/>
  <c r="W136" i="42"/>
  <c r="W148" i="42"/>
  <c r="W152" i="42"/>
  <c r="V196" i="42"/>
  <c r="W196" i="42"/>
  <c r="W219" i="42"/>
  <c r="W223" i="42"/>
  <c r="W225" i="42"/>
  <c r="W231" i="42"/>
  <c r="V254" i="42"/>
  <c r="V258" i="42"/>
  <c r="V332" i="42"/>
  <c r="W332" i="42"/>
  <c r="V382" i="42"/>
  <c r="W382" i="42"/>
  <c r="W413" i="42"/>
  <c r="W456" i="42"/>
  <c r="AC12" i="42"/>
  <c r="AD5" i="42" s="1"/>
  <c r="W44" i="42"/>
  <c r="W57" i="42"/>
  <c r="W66" i="42"/>
  <c r="V66" i="42"/>
  <c r="W68" i="42"/>
  <c r="W70" i="42"/>
  <c r="V114" i="42"/>
  <c r="W126" i="42"/>
  <c r="W128" i="42"/>
  <c r="W144" i="42"/>
  <c r="W158" i="42"/>
  <c r="W162" i="42"/>
  <c r="W190" i="42"/>
  <c r="W192" i="42"/>
  <c r="W215" i="42"/>
  <c r="V223" i="42"/>
  <c r="W233" i="42"/>
  <c r="W341" i="42"/>
  <c r="W355" i="42"/>
  <c r="V355" i="42"/>
  <c r="W369" i="42"/>
  <c r="W248" i="42"/>
  <c r="W291" i="42"/>
  <c r="W319" i="42"/>
  <c r="W445" i="42"/>
  <c r="W454" i="42"/>
  <c r="V454" i="42"/>
  <c r="W465" i="42"/>
  <c r="W481" i="42"/>
  <c r="W242" i="42"/>
  <c r="W246" i="42"/>
  <c r="W306" i="42"/>
  <c r="W310" i="42"/>
  <c r="W339" i="42"/>
  <c r="W387" i="42"/>
  <c r="W396" i="42"/>
  <c r="V474" i="42"/>
  <c r="W240" i="42"/>
  <c r="W276" i="42"/>
  <c r="W315" i="42"/>
  <c r="V315" i="42"/>
  <c r="W351" i="42"/>
  <c r="W362" i="42"/>
  <c r="W401" i="42"/>
  <c r="W59" i="42"/>
  <c r="W200" i="42"/>
  <c r="W118" i="42"/>
  <c r="W174" i="42"/>
  <c r="W78" i="42"/>
  <c r="W170" i="42"/>
  <c r="W211" i="42"/>
  <c r="W54" i="42"/>
  <c r="W63" i="42"/>
  <c r="W80" i="42"/>
  <c r="W82" i="42"/>
  <c r="W86" i="42"/>
  <c r="W179" i="42"/>
  <c r="W228" i="42"/>
  <c r="W238" i="42"/>
  <c r="W298" i="42"/>
  <c r="W302" i="42"/>
  <c r="W326" i="42"/>
  <c r="W335" i="42"/>
  <c r="V335" i="42"/>
  <c r="W365" i="42"/>
  <c r="V365" i="42"/>
  <c r="W408" i="42"/>
  <c r="W433" i="42"/>
  <c r="W435" i="42"/>
  <c r="W194" i="42"/>
  <c r="V194" i="42"/>
  <c r="V48" i="42"/>
  <c r="V105" i="42"/>
  <c r="W176" i="42"/>
  <c r="W61" i="42"/>
  <c r="W124" i="42"/>
  <c r="W107" i="42"/>
  <c r="AA22" i="42"/>
  <c r="W56" i="42"/>
  <c r="V86" i="42"/>
  <c r="W111" i="42"/>
  <c r="W296" i="42"/>
  <c r="W410" i="42"/>
  <c r="W469" i="42"/>
  <c r="V32" i="42"/>
  <c r="V43" i="42"/>
  <c r="W43" i="42"/>
  <c r="W58" i="42"/>
  <c r="W90" i="42"/>
  <c r="W113" i="42"/>
  <c r="W115" i="42"/>
  <c r="W117" i="42"/>
  <c r="W145" i="42"/>
  <c r="V195" i="42"/>
  <c r="W197" i="42"/>
  <c r="V214" i="42"/>
  <c r="W222" i="42"/>
  <c r="W224" i="42"/>
  <c r="W232" i="42"/>
  <c r="W253" i="42"/>
  <c r="W264" i="42"/>
  <c r="W313" i="42"/>
  <c r="W390" i="42"/>
  <c r="W448" i="42"/>
  <c r="W280" i="42"/>
  <c r="V120" i="42"/>
  <c r="W209" i="42"/>
  <c r="W213" i="42"/>
  <c r="V213" i="42"/>
  <c r="W101" i="42"/>
  <c r="W198" i="42"/>
  <c r="W52" i="42"/>
  <c r="W490" i="42"/>
  <c r="W141" i="42"/>
  <c r="W147" i="42"/>
  <c r="W181" i="42"/>
  <c r="W268" i="42"/>
  <c r="W272" i="42"/>
  <c r="W72" i="42"/>
  <c r="W134" i="42"/>
  <c r="W122" i="42"/>
  <c r="W172" i="42"/>
  <c r="W95" i="42"/>
  <c r="V209" i="42"/>
  <c r="W76" i="42"/>
  <c r="W99" i="42"/>
  <c r="V99" i="42"/>
  <c r="W207" i="42"/>
  <c r="W143" i="42"/>
  <c r="W153" i="42"/>
  <c r="W183" i="42"/>
  <c r="W287" i="42"/>
  <c r="W342" i="42"/>
  <c r="W495" i="42"/>
  <c r="W67" i="42"/>
  <c r="W129" i="42"/>
  <c r="W139" i="42"/>
  <c r="V147" i="42"/>
  <c r="W155" i="42"/>
  <c r="W185" i="42"/>
  <c r="V342" i="42"/>
  <c r="W468" i="42"/>
  <c r="W491" i="42"/>
  <c r="V491" i="42"/>
  <c r="W133" i="42"/>
  <c r="W47" i="42"/>
  <c r="V47" i="42"/>
  <c r="V73" i="42"/>
  <c r="V96" i="42"/>
  <c r="V352" i="42"/>
  <c r="W368" i="42"/>
  <c r="W429" i="42"/>
  <c r="W477" i="42"/>
  <c r="W218" i="42"/>
  <c r="W230" i="42"/>
  <c r="W257" i="42"/>
  <c r="V257" i="42"/>
  <c r="W294" i="42"/>
  <c r="V294" i="42"/>
  <c r="W376" i="42"/>
  <c r="W418" i="42"/>
  <c r="W32" i="42"/>
  <c r="W157" i="42"/>
  <c r="W331" i="42"/>
  <c r="W354" i="42"/>
  <c r="W466" i="42"/>
  <c r="V171" i="42"/>
  <c r="W171" i="42"/>
  <c r="W175" i="42"/>
  <c r="V175" i="42"/>
  <c r="V199" i="42"/>
  <c r="W199" i="42"/>
  <c r="W98" i="42"/>
  <c r="W123" i="42"/>
  <c r="V123" i="42"/>
  <c r="W169" i="42"/>
  <c r="W173" i="42"/>
  <c r="W208" i="42"/>
  <c r="V208" i="42"/>
  <c r="W245" i="42"/>
  <c r="V245" i="42"/>
  <c r="W247" i="42"/>
  <c r="W309" i="42"/>
  <c r="V316" i="42"/>
  <c r="W316" i="42"/>
  <c r="W318" i="42"/>
  <c r="W329" i="42"/>
  <c r="W425" i="42"/>
  <c r="W480" i="42"/>
  <c r="V498" i="42"/>
  <c r="W498" i="42"/>
  <c r="W414" i="42"/>
  <c r="W45" i="42"/>
  <c r="W119" i="42"/>
  <c r="W161" i="42"/>
  <c r="V161" i="42"/>
  <c r="W345" i="42"/>
  <c r="V345" i="42"/>
  <c r="W381" i="42"/>
  <c r="W94" i="42"/>
  <c r="V119" i="42"/>
  <c r="Y12" i="42"/>
  <c r="W62" i="42"/>
  <c r="W79" i="42"/>
  <c r="W100" i="42"/>
  <c r="W106" i="42"/>
  <c r="W167" i="42"/>
  <c r="W241" i="42"/>
  <c r="V279" i="42"/>
  <c r="W279" i="42"/>
  <c r="W290" i="42"/>
  <c r="V290" i="42"/>
  <c r="W336" i="42"/>
  <c r="V348" i="42"/>
  <c r="W348" i="42"/>
  <c r="W423" i="42"/>
  <c r="W496" i="42"/>
  <c r="V406" i="42"/>
  <c r="W406" i="42"/>
  <c r="V482" i="42"/>
  <c r="W482" i="42"/>
  <c r="W49" i="42"/>
  <c r="W191" i="42"/>
  <c r="W34" i="42"/>
  <c r="W77" i="42"/>
  <c r="V210" i="42"/>
  <c r="W210" i="42"/>
  <c r="V31" i="42"/>
  <c r="W53" i="42"/>
  <c r="W110" i="42"/>
  <c r="W138" i="42"/>
  <c r="W150" i="42"/>
  <c r="V204" i="42"/>
  <c r="W204" i="42"/>
  <c r="W262" i="42"/>
  <c r="W275" i="42"/>
  <c r="V275" i="42"/>
  <c r="W301" i="42"/>
  <c r="V301" i="42"/>
  <c r="V325" i="42"/>
  <c r="W325" i="42"/>
  <c r="W379" i="42"/>
  <c r="W393" i="42"/>
  <c r="V451" i="42"/>
  <c r="W451" i="42"/>
  <c r="W330" i="42"/>
  <c r="W333" i="42"/>
  <c r="V333" i="42"/>
  <c r="W373" i="42"/>
  <c r="W403" i="42"/>
  <c r="V452" i="42"/>
  <c r="W452" i="42"/>
  <c r="W489" i="42"/>
  <c r="W205" i="42"/>
  <c r="V284" i="42"/>
  <c r="W284" i="42"/>
  <c r="V330" i="42"/>
  <c r="V366" i="42"/>
  <c r="W366" i="42"/>
  <c r="V373" i="42"/>
  <c r="V403" i="42"/>
  <c r="W439" i="42"/>
  <c r="V489" i="42"/>
  <c r="W492" i="42"/>
  <c r="W166" i="42"/>
  <c r="W227" i="42"/>
  <c r="W305" i="42"/>
  <c r="W399" i="42"/>
  <c r="W421" i="42"/>
  <c r="V428" i="42"/>
  <c r="W428" i="42"/>
  <c r="W438" i="42"/>
  <c r="W488" i="42"/>
  <c r="W358" i="42"/>
  <c r="W402" i="42"/>
  <c r="W417" i="42"/>
  <c r="W431" i="42"/>
  <c r="W479" i="42"/>
  <c r="V479" i="42"/>
  <c r="V488" i="42"/>
  <c r="W470" i="42"/>
  <c r="W485" i="42"/>
  <c r="W494" i="42"/>
  <c r="V494" i="42"/>
  <c r="V413" i="42"/>
  <c r="V420" i="42"/>
  <c r="W420" i="42"/>
  <c r="W424" i="42"/>
  <c r="W434" i="42"/>
  <c r="W457" i="42"/>
  <c r="W464" i="42"/>
  <c r="W398" i="42"/>
  <c r="V401" i="42"/>
  <c r="W427" i="42"/>
  <c r="W476" i="42"/>
  <c r="W497" i="42"/>
  <c r="W261" i="42"/>
  <c r="W127" i="42"/>
  <c r="W156" i="42"/>
  <c r="V170" i="42"/>
  <c r="V222" i="42"/>
  <c r="W344" i="42"/>
  <c r="W395" i="42"/>
  <c r="V94" i="42"/>
  <c r="V141" i="42"/>
  <c r="W146" i="42"/>
  <c r="W151" i="42"/>
  <c r="W184" i="42"/>
  <c r="W189" i="42"/>
  <c r="W203" i="42"/>
  <c r="W217" i="42"/>
  <c r="V341" i="42"/>
  <c r="V368" i="42"/>
  <c r="V98" i="42"/>
  <c r="W103" i="42"/>
  <c r="W165" i="42"/>
  <c r="W226" i="42"/>
  <c r="V240" i="42"/>
  <c r="W267" i="42"/>
  <c r="V296" i="42"/>
  <c r="W300" i="42"/>
  <c r="W304" i="42"/>
  <c r="V318" i="42"/>
  <c r="W338" i="42"/>
  <c r="W347" i="42"/>
  <c r="V354" i="42"/>
  <c r="W364" i="42"/>
  <c r="V381" i="42"/>
  <c r="V416" i="42"/>
  <c r="W416" i="42"/>
  <c r="V85" i="42"/>
  <c r="V113" i="42"/>
  <c r="W236" i="42"/>
  <c r="V253" i="42"/>
  <c r="V261" i="42"/>
  <c r="V264" i="42"/>
  <c r="V286" i="42"/>
  <c r="V351" i="42"/>
  <c r="V61" i="42"/>
  <c r="V127" i="42"/>
  <c r="W328" i="42"/>
  <c r="W51" i="42"/>
  <c r="W75" i="42"/>
  <c r="V122" i="42"/>
  <c r="V136" i="42"/>
  <c r="V198" i="42"/>
  <c r="W39" i="42"/>
  <c r="V70" i="42"/>
  <c r="V117" i="42"/>
  <c r="V150" i="42"/>
  <c r="V169" i="42"/>
  <c r="W244" i="42"/>
  <c r="V248" i="42"/>
  <c r="V331" i="42"/>
  <c r="W334" i="42"/>
  <c r="W384" i="42"/>
  <c r="V456" i="42"/>
  <c r="V463" i="42"/>
  <c r="W463" i="42"/>
  <c r="V80" i="42"/>
  <c r="V118" i="42"/>
  <c r="V231" i="42"/>
  <c r="W249" i="42"/>
  <c r="W312" i="42"/>
  <c r="W40" i="42"/>
  <c r="W108" i="42"/>
  <c r="V344" i="42"/>
  <c r="W89" i="42"/>
  <c r="W131" i="42"/>
  <c r="V145" i="42"/>
  <c r="V155" i="42"/>
  <c r="V174" i="42"/>
  <c r="V188" i="42"/>
  <c r="W188" i="42"/>
  <c r="V207" i="42"/>
  <c r="W216" i="42"/>
  <c r="V235" i="42"/>
  <c r="W256" i="42"/>
  <c r="V481" i="42"/>
  <c r="W38" i="42"/>
  <c r="V46" i="42"/>
  <c r="V60" i="42"/>
  <c r="W60" i="42"/>
  <c r="W65" i="42"/>
  <c r="V79" i="42"/>
  <c r="W84" i="42"/>
  <c r="W88" i="42"/>
  <c r="V107" i="42"/>
  <c r="V112" i="42"/>
  <c r="V126" i="42"/>
  <c r="W140" i="42"/>
  <c r="V178" i="42"/>
  <c r="V183" i="42"/>
  <c r="V202" i="42"/>
  <c r="V216" i="42"/>
  <c r="W221" i="42"/>
  <c r="V230" i="42"/>
  <c r="W252" i="42"/>
  <c r="V256" i="42"/>
  <c r="W270" i="42"/>
  <c r="W274" i="42"/>
  <c r="W278" i="42"/>
  <c r="W282" i="42"/>
  <c r="W292" i="42"/>
  <c r="W321" i="42"/>
  <c r="W324" i="42"/>
  <c r="V334" i="42"/>
  <c r="W357" i="42"/>
  <c r="W374" i="42"/>
  <c r="W377" i="42"/>
  <c r="V384" i="42"/>
  <c r="W412" i="42"/>
  <c r="V423" i="42"/>
  <c r="W453" i="42"/>
  <c r="V466" i="42"/>
  <c r="W484" i="42"/>
  <c r="W487" i="42"/>
  <c r="V496" i="42"/>
  <c r="W437" i="42"/>
  <c r="W350" i="42"/>
  <c r="W483" i="42"/>
  <c r="W475" i="42"/>
  <c r="W471" i="42"/>
  <c r="W459" i="42"/>
  <c r="W455" i="42"/>
  <c r="W443" i="42"/>
  <c r="W432" i="42"/>
  <c r="W407" i="42"/>
  <c r="W386" i="42"/>
  <c r="W370" i="42"/>
  <c r="W289" i="42"/>
  <c r="W260" i="42"/>
  <c r="W93" i="42"/>
  <c r="W164" i="42"/>
  <c r="W285" i="42"/>
  <c r="W303" i="42"/>
  <c r="W307" i="42"/>
  <c r="W367" i="42"/>
  <c r="W394" i="42"/>
  <c r="V394" i="42"/>
  <c r="W404" i="42"/>
  <c r="W419" i="42"/>
  <c r="W446" i="42"/>
  <c r="W493" i="42"/>
  <c r="W71" i="42"/>
  <c r="V179" i="42"/>
  <c r="V56" i="42"/>
  <c r="V308" i="42"/>
  <c r="W308" i="42"/>
  <c r="W160" i="42"/>
  <c r="W212" i="42"/>
  <c r="W391" i="42"/>
  <c r="W430" i="42"/>
  <c r="W440" i="42"/>
  <c r="W478" i="42"/>
  <c r="W500" i="42"/>
  <c r="W36" i="42"/>
  <c r="W37" i="42"/>
  <c r="W50" i="42"/>
  <c r="W55" i="42"/>
  <c r="W74" i="42"/>
  <c r="W102" i="42"/>
  <c r="W121" i="42"/>
  <c r="W220" i="42"/>
  <c r="W243" i="42"/>
  <c r="W266" i="42"/>
  <c r="V285" i="42"/>
  <c r="W311" i="42"/>
  <c r="W314" i="42"/>
  <c r="W327" i="42"/>
  <c r="W337" i="42"/>
  <c r="W360" i="42"/>
  <c r="V446" i="42"/>
  <c r="W472" i="42"/>
  <c r="W499" i="42"/>
  <c r="V28" i="42"/>
  <c r="W64" i="42"/>
  <c r="W69" i="42"/>
  <c r="W83" i="42"/>
  <c r="W92" i="42"/>
  <c r="W97" i="42"/>
  <c r="W116" i="42"/>
  <c r="W130" i="42"/>
  <c r="W135" i="42"/>
  <c r="W149" i="42"/>
  <c r="W154" i="42"/>
  <c r="W159" i="42"/>
  <c r="W168" i="42"/>
  <c r="W177" i="42"/>
  <c r="W187" i="42"/>
  <c r="W206" i="42"/>
  <c r="W234" i="42"/>
  <c r="W239" i="42"/>
  <c r="W251" i="42"/>
  <c r="W263" i="42"/>
  <c r="W281" i="42"/>
  <c r="W288" i="42"/>
  <c r="W299" i="42"/>
  <c r="V317" i="42"/>
  <c r="W317" i="42"/>
  <c r="W340" i="42"/>
  <c r="W343" i="42"/>
  <c r="W346" i="42"/>
  <c r="V356" i="42"/>
  <c r="W356" i="42"/>
  <c r="W383" i="42"/>
  <c r="W397" i="42"/>
  <c r="W415" i="42"/>
  <c r="W426" i="42"/>
  <c r="W436" i="42"/>
  <c r="W442" i="42"/>
  <c r="W255" i="42"/>
  <c r="W486" i="42"/>
  <c r="W447" i="42"/>
  <c r="W467" i="42"/>
  <c r="W422" i="42"/>
  <c r="W462" i="42"/>
  <c r="X275" i="19"/>
  <c r="W275" i="19"/>
  <c r="W286" i="19"/>
  <c r="X286" i="19"/>
  <c r="W383" i="19"/>
  <c r="X383" i="19"/>
  <c r="X469" i="19"/>
  <c r="W469" i="19"/>
  <c r="X494" i="19"/>
  <c r="W494" i="19"/>
  <c r="X495" i="19"/>
  <c r="W495" i="19"/>
  <c r="X401" i="19"/>
  <c r="W401" i="19"/>
  <c r="X409" i="19"/>
  <c r="W409" i="19"/>
  <c r="W479" i="19"/>
  <c r="X479" i="19"/>
  <c r="W94" i="19"/>
  <c r="X94" i="19"/>
  <c r="X63" i="19"/>
  <c r="W63" i="19"/>
  <c r="W453" i="19"/>
  <c r="X453" i="19"/>
  <c r="X497" i="19"/>
  <c r="W497" i="19"/>
  <c r="X12" i="19"/>
  <c r="W12" i="19"/>
  <c r="W58" i="19"/>
  <c r="W89" i="19"/>
  <c r="X288" i="19"/>
  <c r="W288" i="19"/>
  <c r="X347" i="19"/>
  <c r="W347" i="19"/>
  <c r="X357" i="19"/>
  <c r="W357" i="19"/>
  <c r="X435" i="19"/>
  <c r="W435" i="19"/>
  <c r="X337" i="19"/>
  <c r="W337" i="19"/>
  <c r="X358" i="19"/>
  <c r="W358" i="19"/>
  <c r="X489" i="19"/>
  <c r="W489" i="19"/>
  <c r="X23" i="19"/>
  <c r="W23" i="19"/>
  <c r="W473" i="19"/>
  <c r="X473" i="19"/>
  <c r="X329" i="19"/>
  <c r="W329" i="19"/>
  <c r="X427" i="19"/>
  <c r="W427" i="19"/>
  <c r="X437" i="19"/>
  <c r="W437" i="19"/>
  <c r="X499" i="19"/>
  <c r="W499" i="19"/>
  <c r="X133" i="19"/>
  <c r="W133" i="19"/>
  <c r="X281" i="19"/>
  <c r="W281" i="19"/>
  <c r="X465" i="19"/>
  <c r="W465" i="19"/>
  <c r="X67" i="19"/>
  <c r="W67" i="19"/>
  <c r="X159" i="19"/>
  <c r="W159" i="19"/>
  <c r="X448" i="19"/>
  <c r="W448" i="19"/>
  <c r="X34" i="19"/>
  <c r="W34" i="19"/>
  <c r="X46" i="19"/>
  <c r="W46" i="19"/>
  <c r="W350" i="19"/>
  <c r="X350" i="19"/>
  <c r="X78" i="19"/>
  <c r="W78" i="19"/>
  <c r="W331" i="19"/>
  <c r="X331" i="19"/>
  <c r="X17" i="19"/>
  <c r="W17" i="19"/>
  <c r="X53" i="19"/>
  <c r="W53" i="19"/>
  <c r="X90" i="19"/>
  <c r="X95" i="19"/>
  <c r="W95" i="19"/>
  <c r="W150" i="19"/>
  <c r="W85" i="19"/>
  <c r="X85" i="19"/>
  <c r="X39" i="19"/>
  <c r="W39" i="19"/>
  <c r="W121" i="19"/>
  <c r="X121" i="19"/>
  <c r="X21" i="19"/>
  <c r="W21" i="19"/>
  <c r="W372" i="19"/>
  <c r="W430" i="19"/>
  <c r="X430" i="19"/>
  <c r="X126" i="19"/>
  <c r="W126" i="19"/>
  <c r="X154" i="19"/>
  <c r="W154" i="19"/>
  <c r="X341" i="19"/>
  <c r="W341" i="19"/>
  <c r="X457" i="19"/>
  <c r="W457" i="19"/>
  <c r="X491" i="19"/>
  <c r="W491" i="19"/>
  <c r="W422" i="19"/>
  <c r="W18" i="19"/>
  <c r="X18" i="19"/>
  <c r="X340" i="19"/>
  <c r="W340" i="19"/>
  <c r="X145" i="19"/>
  <c r="W145" i="19"/>
  <c r="X449" i="19"/>
  <c r="W449" i="19"/>
  <c r="W139" i="19"/>
  <c r="W165" i="19"/>
  <c r="W442" i="19"/>
  <c r="X26" i="19"/>
  <c r="W26" i="19"/>
  <c r="W77" i="19"/>
  <c r="W82" i="19"/>
  <c r="X110" i="19"/>
  <c r="W110" i="19"/>
  <c r="W371" i="19"/>
  <c r="X395" i="19"/>
  <c r="X321" i="19"/>
  <c r="W321" i="19"/>
  <c r="W346" i="19"/>
  <c r="X303" i="19"/>
  <c r="W303" i="19"/>
  <c r="X351" i="19"/>
  <c r="W351" i="19"/>
  <c r="X399" i="19"/>
  <c r="W399" i="19"/>
  <c r="X500" i="19"/>
  <c r="W500" i="19"/>
  <c r="X119" i="19"/>
  <c r="W119" i="19"/>
  <c r="W149" i="19"/>
  <c r="X318" i="19"/>
  <c r="W384" i="19"/>
  <c r="W443" i="19"/>
  <c r="X131" i="19"/>
  <c r="W131" i="19"/>
  <c r="X160" i="19"/>
  <c r="W160" i="19"/>
  <c r="X289" i="19"/>
  <c r="W289" i="19"/>
  <c r="X353" i="19"/>
  <c r="W353" i="19"/>
  <c r="X369" i="19"/>
  <c r="W369" i="19"/>
  <c r="X459" i="19"/>
  <c r="W459" i="19"/>
  <c r="X87" i="19"/>
  <c r="W87" i="19"/>
  <c r="X168" i="19"/>
  <c r="W168" i="19"/>
  <c r="X273" i="19"/>
  <c r="W273" i="19"/>
  <c r="X385" i="19"/>
  <c r="W385" i="19"/>
  <c r="X393" i="19"/>
  <c r="W393" i="19"/>
  <c r="X69" i="19"/>
  <c r="W69" i="19"/>
  <c r="W16" i="19"/>
  <c r="X37" i="19"/>
  <c r="W37" i="19"/>
  <c r="W123" i="19"/>
  <c r="X283" i="19"/>
  <c r="X334" i="19"/>
  <c r="W366" i="19"/>
  <c r="W373" i="19"/>
  <c r="X425" i="19"/>
  <c r="W425" i="19"/>
  <c r="W462" i="19"/>
  <c r="W485" i="19"/>
  <c r="X501" i="19"/>
  <c r="W501" i="19"/>
  <c r="X75" i="19"/>
  <c r="W75" i="19"/>
  <c r="X151" i="19"/>
  <c r="W151" i="19"/>
  <c r="X335" i="19"/>
  <c r="W335" i="19"/>
  <c r="X433" i="19"/>
  <c r="W433" i="19"/>
  <c r="X54" i="19"/>
  <c r="X276" i="19"/>
  <c r="W352" i="19"/>
  <c r="X382" i="19"/>
  <c r="W382" i="19"/>
  <c r="X463" i="19"/>
  <c r="W463" i="19"/>
  <c r="X271" i="19"/>
  <c r="W271" i="19"/>
  <c r="X481" i="19"/>
  <c r="W481" i="19"/>
  <c r="X297" i="19"/>
  <c r="W297" i="19"/>
  <c r="X367" i="19"/>
  <c r="W367" i="19"/>
  <c r="X305" i="19"/>
  <c r="W305" i="19"/>
  <c r="X361" i="19"/>
  <c r="W361" i="19"/>
  <c r="X431" i="19"/>
  <c r="W431" i="19"/>
  <c r="W8" i="19"/>
  <c r="X15" i="19"/>
  <c r="W15" i="19"/>
  <c r="X55" i="19"/>
  <c r="W55" i="19"/>
  <c r="X101" i="19"/>
  <c r="W101" i="19"/>
  <c r="X142" i="19"/>
  <c r="W142" i="19"/>
  <c r="W277" i="19"/>
  <c r="X417" i="19"/>
  <c r="W417" i="19"/>
  <c r="W19" i="19"/>
  <c r="W33" i="19"/>
  <c r="W42" i="19"/>
  <c r="W51" i="19"/>
  <c r="W65" i="19"/>
  <c r="W74" i="19"/>
  <c r="W83" i="19"/>
  <c r="W97" i="19"/>
  <c r="W106" i="19"/>
  <c r="W115" i="19"/>
  <c r="W129" i="19"/>
  <c r="W138" i="19"/>
  <c r="W147" i="19"/>
  <c r="W278" i="19"/>
  <c r="W310" i="19"/>
  <c r="W342" i="19"/>
  <c r="W374" i="19"/>
  <c r="W406" i="19"/>
  <c r="W438" i="19"/>
  <c r="W470" i="19"/>
  <c r="W502" i="19"/>
  <c r="W284" i="19"/>
  <c r="W300" i="19"/>
  <c r="W316" i="19"/>
  <c r="W332" i="19"/>
  <c r="W348" i="19"/>
  <c r="W364" i="19"/>
  <c r="W380" i="19"/>
  <c r="W396" i="19"/>
  <c r="W412" i="19"/>
  <c r="W428" i="19"/>
  <c r="W444" i="19"/>
  <c r="W460" i="19"/>
  <c r="W476" i="19"/>
  <c r="W492" i="19"/>
  <c r="W11" i="19"/>
  <c r="W20" i="19"/>
  <c r="W24" i="19"/>
  <c r="W28" i="19"/>
  <c r="W32" i="19"/>
  <c r="W36" i="19"/>
  <c r="W40" i="19"/>
  <c r="W44" i="19"/>
  <c r="W48" i="19"/>
  <c r="W52" i="19"/>
  <c r="W56" i="19"/>
  <c r="W60" i="19"/>
  <c r="W64" i="19"/>
  <c r="W68" i="19"/>
  <c r="W72" i="19"/>
  <c r="W76" i="19"/>
  <c r="W80" i="19"/>
  <c r="W84" i="19"/>
  <c r="W88" i="19"/>
  <c r="W92" i="19"/>
  <c r="W96" i="19"/>
  <c r="W100" i="19"/>
  <c r="W104" i="19"/>
  <c r="W108" i="19"/>
  <c r="W112" i="19"/>
  <c r="W116" i="19"/>
  <c r="W120" i="19"/>
  <c r="W124" i="19"/>
  <c r="W128" i="19"/>
  <c r="W132" i="19"/>
  <c r="W136" i="19"/>
  <c r="W140" i="19"/>
  <c r="W144" i="19"/>
  <c r="W148" i="19"/>
  <c r="W152" i="19"/>
  <c r="W156" i="19"/>
  <c r="W166" i="19"/>
  <c r="W279" i="19"/>
  <c r="W295" i="19"/>
  <c r="W311" i="19"/>
  <c r="W327" i="19"/>
  <c r="W343" i="19"/>
  <c r="W359" i="19"/>
  <c r="W375" i="19"/>
  <c r="W391" i="19"/>
  <c r="W407" i="19"/>
  <c r="W423" i="19"/>
  <c r="W439" i="19"/>
  <c r="W455" i="19"/>
  <c r="W471" i="19"/>
  <c r="W487" i="19"/>
  <c r="W503" i="19"/>
  <c r="EK33" i="55" l="1"/>
  <c r="O33" i="55" a="1"/>
  <c r="O33" i="55" s="1"/>
  <c r="FN65" i="55"/>
  <c r="GP31" i="55"/>
  <c r="GP88" i="55"/>
  <c r="GQ92" i="55" s="1"/>
  <c r="GP315" i="55"/>
  <c r="GQ315" i="55" s="1"/>
  <c r="GP29" i="55"/>
  <c r="GQ29" i="55" s="1"/>
  <c r="GR29" i="55" s="1"/>
  <c r="EY206" i="55"/>
  <c r="GS149" i="55"/>
  <c r="GS277" i="55"/>
  <c r="CE58" i="55" a="1"/>
  <c r="CE58" i="55" s="1"/>
  <c r="EK58" i="55" s="1"/>
  <c r="FL301" i="55"/>
  <c r="S3" i="55"/>
  <c r="CE71" i="55" a="1"/>
  <c r="CE71" i="55" s="1"/>
  <c r="O71" i="55" s="1" a="1"/>
  <c r="O71" i="55" s="1"/>
  <c r="EY108" i="55"/>
  <c r="R108" i="55" s="1"/>
  <c r="CE250" i="55" a="1"/>
  <c r="CE250" i="55" s="1"/>
  <c r="O250" i="55" s="1" a="1"/>
  <c r="O250" i="55" s="1"/>
  <c r="GP78" i="55"/>
  <c r="GS138" i="55"/>
  <c r="FR193" i="55"/>
  <c r="FQ209" i="55"/>
  <c r="GS55" i="55"/>
  <c r="GS199" i="55"/>
  <c r="GS298" i="55"/>
  <c r="FK193" i="55"/>
  <c r="EY63" i="55"/>
  <c r="R63" i="55" s="1"/>
  <c r="R57" i="55"/>
  <c r="GS143" i="55"/>
  <c r="GT41" i="55"/>
  <c r="GS154" i="55"/>
  <c r="GS41" i="55"/>
  <c r="EY287" i="55"/>
  <c r="R287" i="55" s="1"/>
  <c r="GP345" i="55"/>
  <c r="FN17" i="55"/>
  <c r="GP120" i="55"/>
  <c r="GP347" i="55"/>
  <c r="GP92" i="55"/>
  <c r="O178" i="55" a="1"/>
  <c r="O178" i="55" s="1"/>
  <c r="GS102" i="55"/>
  <c r="GS230" i="55"/>
  <c r="EY258" i="55"/>
  <c r="GS333" i="55"/>
  <c r="GS26" i="55"/>
  <c r="GP217" i="55"/>
  <c r="FO17" i="55"/>
  <c r="GP143" i="55"/>
  <c r="GP309" i="55"/>
  <c r="FL17" i="55"/>
  <c r="GS247" i="55"/>
  <c r="S269" i="55"/>
  <c r="GS287" i="55"/>
  <c r="GS189" i="55"/>
  <c r="FJ17" i="55"/>
  <c r="GP158" i="55"/>
  <c r="GQ160" i="55" s="1"/>
  <c r="GS212" i="55"/>
  <c r="EY15" i="55"/>
  <c r="GP264" i="55"/>
  <c r="GP173" i="55"/>
  <c r="GP128" i="55"/>
  <c r="GP325" i="55"/>
  <c r="GQ326" i="55" s="1"/>
  <c r="EY31" i="55"/>
  <c r="R31" i="55" s="1"/>
  <c r="GS276" i="55"/>
  <c r="GS119" i="55"/>
  <c r="GP287" i="55"/>
  <c r="GQ287" i="55" s="1"/>
  <c r="S209" i="55"/>
  <c r="GP98" i="55"/>
  <c r="CE141" i="55" a="1"/>
  <c r="CE141" i="55" s="1"/>
  <c r="EK141" i="55" s="1"/>
  <c r="FZ120" i="55"/>
  <c r="GS218" i="55"/>
  <c r="FR17" i="55"/>
  <c r="GS350" i="55"/>
  <c r="GS308" i="55"/>
  <c r="FZ63" i="55"/>
  <c r="S93" i="55"/>
  <c r="S285" i="55"/>
  <c r="GP105" i="55"/>
  <c r="S280" i="55"/>
  <c r="GP341" i="55"/>
  <c r="GQ342" i="55" s="1"/>
  <c r="FI17" i="55"/>
  <c r="GP140" i="55"/>
  <c r="GP175" i="55"/>
  <c r="GP338" i="55"/>
  <c r="GP103" i="55"/>
  <c r="FZ36" i="55"/>
  <c r="GS83" i="55"/>
  <c r="S22" i="55"/>
  <c r="S9" i="55"/>
  <c r="FM17" i="55"/>
  <c r="EY130" i="55"/>
  <c r="R130" i="55" s="1"/>
  <c r="GS225" i="55"/>
  <c r="FQ17" i="55"/>
  <c r="FJ65" i="55"/>
  <c r="S205" i="55"/>
  <c r="GP303" i="55"/>
  <c r="GP130" i="55"/>
  <c r="GQ138" i="55" s="1"/>
  <c r="GR138" i="55" s="1"/>
  <c r="CE144" i="55" a="1"/>
  <c r="CE144" i="55" s="1"/>
  <c r="EK144" i="55" s="1"/>
  <c r="S259" i="55"/>
  <c r="S165" i="55"/>
  <c r="FH17" i="55"/>
  <c r="EY288" i="55"/>
  <c r="FM65" i="55"/>
  <c r="FZ337" i="55"/>
  <c r="GP56" i="55"/>
  <c r="GP296" i="55"/>
  <c r="GP27" i="55"/>
  <c r="GQ27" i="55" s="1"/>
  <c r="GP284" i="55"/>
  <c r="GQ284" i="55" s="1"/>
  <c r="GR284" i="55" s="1"/>
  <c r="S109" i="55"/>
  <c r="EY127" i="55"/>
  <c r="GP242" i="55"/>
  <c r="GS133" i="55"/>
  <c r="CE48" i="55" a="1"/>
  <c r="CE48" i="55" s="1"/>
  <c r="EK48" i="55" s="1"/>
  <c r="S53" i="55"/>
  <c r="GP334" i="55"/>
  <c r="FL65" i="55"/>
  <c r="EY157" i="55"/>
  <c r="GP299" i="55"/>
  <c r="GT44" i="55"/>
  <c r="CE301" i="55" a="1"/>
  <c r="CE301" i="55" s="1"/>
  <c r="EK301" i="55" s="1"/>
  <c r="CE220" i="55" a="1"/>
  <c r="CE220" i="55" s="1"/>
  <c r="EK220" i="55" s="1"/>
  <c r="CE61" i="55" a="1"/>
  <c r="CE61" i="55" s="1"/>
  <c r="EK61" i="55" s="1"/>
  <c r="FM301" i="55"/>
  <c r="S115" i="55"/>
  <c r="GP69" i="55"/>
  <c r="GS286" i="55"/>
  <c r="GP153" i="55"/>
  <c r="GP85" i="55"/>
  <c r="GP229" i="55"/>
  <c r="GQ267" i="55" s="1"/>
  <c r="GP206" i="55"/>
  <c r="GP350" i="55"/>
  <c r="FK65" i="55"/>
  <c r="GP171" i="55"/>
  <c r="GP258" i="55"/>
  <c r="GP247" i="55"/>
  <c r="CE122" i="55" a="1"/>
  <c r="CE122" i="55" s="1"/>
  <c r="EK122" i="55" s="1"/>
  <c r="S276" i="55"/>
  <c r="FA327" i="55"/>
  <c r="EL327" i="55"/>
  <c r="FB327" i="55"/>
  <c r="FA333" i="55"/>
  <c r="FB333" i="55"/>
  <c r="EL333" i="55"/>
  <c r="EK302" i="55"/>
  <c r="EV302" i="55"/>
  <c r="EW302" i="55" s="1"/>
  <c r="EK209" i="55"/>
  <c r="EV209" i="55" s="1"/>
  <c r="EW209" i="55" s="1"/>
  <c r="EZ209" i="55" s="1"/>
  <c r="FR209" i="55"/>
  <c r="FA315" i="55"/>
  <c r="EL315" i="55"/>
  <c r="FB315" i="55"/>
  <c r="FA110" i="55"/>
  <c r="FB110" i="55"/>
  <c r="EL110" i="55"/>
  <c r="FA142" i="55"/>
  <c r="EL142" i="55"/>
  <c r="FB142" i="55"/>
  <c r="FA96" i="55"/>
  <c r="EL96" i="55"/>
  <c r="FB96" i="55"/>
  <c r="GR336" i="55"/>
  <c r="GT336" i="55"/>
  <c r="JC336" i="55" s="1"/>
  <c r="GQ3" i="55"/>
  <c r="GR3" i="55" s="1"/>
  <c r="FA270" i="55"/>
  <c r="FB270" i="55"/>
  <c r="EL270" i="55"/>
  <c r="EK126" i="55"/>
  <c r="EV126" i="55" s="1"/>
  <c r="EW126" i="55" s="1"/>
  <c r="EZ126" i="55" s="1"/>
  <c r="FA97" i="55"/>
  <c r="FB97" i="55"/>
  <c r="EL97" i="55"/>
  <c r="FA123" i="55"/>
  <c r="FB123" i="55"/>
  <c r="EL123" i="55"/>
  <c r="EL226" i="55"/>
  <c r="FB226" i="55"/>
  <c r="FZ276" i="55"/>
  <c r="S10" i="55"/>
  <c r="U7" i="55"/>
  <c r="GT43" i="55"/>
  <c r="BQ61" i="55"/>
  <c r="CE349" i="55" a="1"/>
  <c r="CE349" i="55" s="1"/>
  <c r="EK349" i="55" s="1"/>
  <c r="FZ84" i="55"/>
  <c r="FB40" i="55"/>
  <c r="GS51" i="55"/>
  <c r="GP224" i="55"/>
  <c r="GQ225" i="55" s="1"/>
  <c r="EY43" i="55"/>
  <c r="GP192" i="55"/>
  <c r="FZ193" i="55"/>
  <c r="GP132" i="55"/>
  <c r="GP182" i="55"/>
  <c r="GP70" i="55"/>
  <c r="FZ147" i="55"/>
  <c r="GS190" i="55"/>
  <c r="GS188" i="55"/>
  <c r="EY58" i="55"/>
  <c r="R58" i="55" s="1"/>
  <c r="GS8" i="55"/>
  <c r="EY237" i="55"/>
  <c r="R237" i="55" s="1"/>
  <c r="IC308" i="55"/>
  <c r="GT39" i="55"/>
  <c r="GP135" i="55"/>
  <c r="V103" i="55"/>
  <c r="GS307" i="55"/>
  <c r="CE182" i="55" a="1"/>
  <c r="CE182" i="55" s="1"/>
  <c r="FR182" i="55" s="1"/>
  <c r="FZ233" i="55"/>
  <c r="GQ314" i="55"/>
  <c r="GR314" i="55" s="1"/>
  <c r="IC287" i="55"/>
  <c r="IE287" i="55" s="1" a="1"/>
  <c r="IE287" i="55" s="1"/>
  <c r="GP168" i="55"/>
  <c r="S154" i="55"/>
  <c r="FB263" i="55"/>
  <c r="CR143" i="55" a="1"/>
  <c r="CR143" i="55" s="1"/>
  <c r="CU143" i="55" s="1" a="1"/>
  <c r="CU143" i="55" s="1"/>
  <c r="EY188" i="55"/>
  <c r="EL130" i="55"/>
  <c r="S211" i="55"/>
  <c r="GD204" i="55"/>
  <c r="IC145" i="55"/>
  <c r="S195" i="55"/>
  <c r="EY123" i="55"/>
  <c r="S180" i="55"/>
  <c r="GT38" i="55"/>
  <c r="JC38" i="55" s="1"/>
  <c r="EY231" i="55"/>
  <c r="R231" i="55" s="1"/>
  <c r="GT37" i="55"/>
  <c r="GP110" i="55"/>
  <c r="GQ116" i="55" s="1"/>
  <c r="V327" i="55"/>
  <c r="EY109" i="55"/>
  <c r="R109" i="55" s="1"/>
  <c r="GS9" i="55"/>
  <c r="V272" i="55"/>
  <c r="FZ143" i="55"/>
  <c r="GP187" i="55"/>
  <c r="EY230" i="55"/>
  <c r="S141" i="55"/>
  <c r="EL158" i="55"/>
  <c r="GS195" i="55"/>
  <c r="BQ182" i="55"/>
  <c r="EL294" i="55"/>
  <c r="CR23" i="55" a="1"/>
  <c r="CR23" i="55" s="1"/>
  <c r="CS23" i="55" s="1"/>
  <c r="CR22" i="55" a="1"/>
  <c r="CR22" i="55" s="1"/>
  <c r="CU22" i="55" s="1" a="1"/>
  <c r="CU22" i="55" s="1"/>
  <c r="GS109" i="55"/>
  <c r="GS162" i="55"/>
  <c r="EY273" i="55"/>
  <c r="R273" i="55" s="1"/>
  <c r="GS100" i="55"/>
  <c r="EY17" i="55"/>
  <c r="FZ255" i="55"/>
  <c r="GS59" i="55"/>
  <c r="GS187" i="55"/>
  <c r="EY126" i="55"/>
  <c r="EY254" i="55"/>
  <c r="GS325" i="55"/>
  <c r="EL224" i="55"/>
  <c r="GS54" i="55"/>
  <c r="GS182" i="55"/>
  <c r="GS326" i="55"/>
  <c r="EY42" i="55"/>
  <c r="R42" i="55" s="1"/>
  <c r="EY155" i="55"/>
  <c r="R155" i="55" s="1"/>
  <c r="GD13" i="55"/>
  <c r="GP288" i="55"/>
  <c r="GQ294" i="55" s="1"/>
  <c r="EY204" i="55"/>
  <c r="R204" i="55" s="1"/>
  <c r="DS22" i="55"/>
  <c r="EY305" i="55"/>
  <c r="R305" i="55" s="1"/>
  <c r="GS260" i="55"/>
  <c r="GS331" i="55"/>
  <c r="FZ175" i="55"/>
  <c r="BQ66" i="55"/>
  <c r="EL147" i="55"/>
  <c r="GE23" i="55" a="1"/>
  <c r="GE23" i="55" s="1"/>
  <c r="GF23" i="55" s="1"/>
  <c r="GB22" i="55"/>
  <c r="GC22" i="55" s="1"/>
  <c r="GE22" i="55" s="1" a="1"/>
  <c r="GE22" i="55" s="1"/>
  <c r="GF22" i="55" s="1"/>
  <c r="GS306" i="55"/>
  <c r="GG66" i="55"/>
  <c r="EL230" i="55"/>
  <c r="S148" i="55"/>
  <c r="CE265" i="55" a="1"/>
  <c r="CE265" i="55" s="1"/>
  <c r="EK265" i="55" s="1"/>
  <c r="CR337" i="55" a="1"/>
  <c r="CR337" i="55" s="1"/>
  <c r="CS337" i="55" s="1"/>
  <c r="IC22" i="55"/>
  <c r="IE22" i="55" s="1" a="1"/>
  <c r="IE22" i="55" s="1"/>
  <c r="S166" i="55"/>
  <c r="EY80" i="55"/>
  <c r="EY35" i="55"/>
  <c r="GS92" i="55"/>
  <c r="GS301" i="55"/>
  <c r="EY266" i="55"/>
  <c r="GS232" i="55"/>
  <c r="CZ47" i="55"/>
  <c r="DA47" i="55" s="1"/>
  <c r="DV47" i="55" s="1"/>
  <c r="DW47" i="55" s="1"/>
  <c r="EY97" i="55"/>
  <c r="EY285" i="55"/>
  <c r="R285" i="55" s="1"/>
  <c r="GS347" i="55"/>
  <c r="EY134" i="55"/>
  <c r="R134" i="55" s="1"/>
  <c r="GQ157" i="55"/>
  <c r="GR157" i="55" s="1"/>
  <c r="GS105" i="55"/>
  <c r="GS233" i="55"/>
  <c r="EY223" i="55"/>
  <c r="R223" i="55" s="1"/>
  <c r="GP71" i="55"/>
  <c r="GP167" i="55"/>
  <c r="GS85" i="55"/>
  <c r="GS213" i="55"/>
  <c r="GS341" i="55"/>
  <c r="CR39" i="55" a="1"/>
  <c r="CR39" i="55" s="1"/>
  <c r="EY171" i="55"/>
  <c r="GD17" i="55"/>
  <c r="FY105" i="55"/>
  <c r="FZ105" i="55" s="1"/>
  <c r="FY276" i="55"/>
  <c r="EL21" i="55"/>
  <c r="IC337" i="55"/>
  <c r="CZ303" i="55"/>
  <c r="DA303" i="55" s="1"/>
  <c r="DM303" i="55" s="1"/>
  <c r="DQ303" i="55" s="1"/>
  <c r="EY29" i="55"/>
  <c r="R29" i="55" s="1"/>
  <c r="S7" i="55"/>
  <c r="CS39" i="55"/>
  <c r="CV39" i="55" s="1"/>
  <c r="GP304" i="55"/>
  <c r="EL134" i="55"/>
  <c r="DS337" i="55"/>
  <c r="EL229" i="55"/>
  <c r="EL277" i="55"/>
  <c r="EL113" i="55"/>
  <c r="BQ115" i="55"/>
  <c r="DS39" i="55"/>
  <c r="GD252" i="55"/>
  <c r="GP80" i="55"/>
  <c r="FZ232" i="55"/>
  <c r="FY162" i="55"/>
  <c r="FZ162" i="55" s="1"/>
  <c r="GP323" i="55"/>
  <c r="FZ197" i="55"/>
  <c r="V246" i="55"/>
  <c r="GB337" i="55"/>
  <c r="GC337" i="55" s="1"/>
  <c r="GS248" i="55"/>
  <c r="GS90" i="55"/>
  <c r="V340" i="55"/>
  <c r="EL297" i="55"/>
  <c r="EL169" i="55"/>
  <c r="O302" i="55" a="1"/>
  <c r="O302" i="55" s="1"/>
  <c r="S319" i="55"/>
  <c r="BQ80" i="55"/>
  <c r="GP17" i="55"/>
  <c r="EY45" i="55"/>
  <c r="R45" i="55" s="1"/>
  <c r="GP183" i="55"/>
  <c r="GS243" i="55"/>
  <c r="BQ240" i="55"/>
  <c r="DS262" i="55"/>
  <c r="CE22" i="55" a="1"/>
  <c r="CE22" i="55" s="1"/>
  <c r="GP339" i="55"/>
  <c r="GQ339" i="55" s="1"/>
  <c r="EL273" i="55"/>
  <c r="EL342" i="55"/>
  <c r="BI108" i="55" a="1"/>
  <c r="BI108" i="55" s="1"/>
  <c r="FB277" i="55"/>
  <c r="GP214" i="55"/>
  <c r="GS128" i="55"/>
  <c r="EY167" i="55"/>
  <c r="R167" i="55" s="1"/>
  <c r="GS173" i="55"/>
  <c r="GS120" i="55"/>
  <c r="GT46" i="55"/>
  <c r="JC46" i="55" s="1"/>
  <c r="EY173" i="55"/>
  <c r="R173" i="55" s="1"/>
  <c r="EY317" i="55"/>
  <c r="R317" i="55" s="1"/>
  <c r="GP8" i="55"/>
  <c r="GP344" i="55"/>
  <c r="EL264" i="55"/>
  <c r="BQ109" i="55"/>
  <c r="GP79" i="55"/>
  <c r="V17" i="55"/>
  <c r="BI313" i="55" a="1"/>
  <c r="BI313" i="55" s="1"/>
  <c r="C313" i="55" s="1"/>
  <c r="BJ313" i="55" s="1"/>
  <c r="FB297" i="55"/>
  <c r="GP68" i="55"/>
  <c r="FB260" i="55"/>
  <c r="GS52" i="55"/>
  <c r="GS81" i="55"/>
  <c r="EY85" i="55"/>
  <c r="GS29" i="55"/>
  <c r="GS349" i="55"/>
  <c r="EY44" i="55"/>
  <c r="R44" i="55" s="1"/>
  <c r="CR273" i="55" a="1"/>
  <c r="CR273" i="55" s="1"/>
  <c r="GS96" i="55"/>
  <c r="CE173" i="55" a="1"/>
  <c r="CE173" i="55" s="1"/>
  <c r="EK173" i="55" s="1"/>
  <c r="O222" i="55" a="1"/>
  <c r="O222" i="55" s="1"/>
  <c r="GM222" i="55" s="1"/>
  <c r="GP146" i="55"/>
  <c r="CE83" i="55" a="1"/>
  <c r="CE83" i="55" s="1"/>
  <c r="EK83" i="55" s="1"/>
  <c r="EY190" i="55"/>
  <c r="EY318" i="55"/>
  <c r="GP295" i="55"/>
  <c r="FZ113" i="55"/>
  <c r="EY219" i="55"/>
  <c r="R219" i="55" s="1"/>
  <c r="HV20" i="55"/>
  <c r="GG68" i="55"/>
  <c r="FB308" i="55"/>
  <c r="BI181" i="55" a="1"/>
  <c r="BI181" i="55" s="1"/>
  <c r="FY278" i="55"/>
  <c r="FZ278" i="55" s="1"/>
  <c r="GD145" i="55"/>
  <c r="GE145" i="55" s="1" a="1"/>
  <c r="GE145" i="55" s="1"/>
  <c r="GF145" i="55" s="1"/>
  <c r="DS329" i="55"/>
  <c r="EL210" i="55"/>
  <c r="DF63" i="55" a="1"/>
  <c r="DF63" i="55" s="1"/>
  <c r="JM63" i="55" s="1"/>
  <c r="EL335" i="55"/>
  <c r="EL114" i="55"/>
  <c r="V101" i="55"/>
  <c r="GP225" i="55"/>
  <c r="FZ111" i="55"/>
  <c r="GS147" i="55"/>
  <c r="U80" i="55"/>
  <c r="GG20" i="55"/>
  <c r="GB329" i="55"/>
  <c r="GC329" i="55" s="1"/>
  <c r="DG63" i="55" a="1"/>
  <c r="DG63" i="55" s="1"/>
  <c r="EL166" i="55"/>
  <c r="EL190" i="55"/>
  <c r="GP324" i="55"/>
  <c r="GQ324" i="55" s="1"/>
  <c r="GP262" i="55"/>
  <c r="GY199" i="55"/>
  <c r="DE111" i="55" a="1"/>
  <c r="DE111" i="55" s="1"/>
  <c r="DF111" i="55" a="1"/>
  <c r="DF111" i="55" s="1"/>
  <c r="GE20" i="55" a="1"/>
  <c r="GE20" i="55" s="1"/>
  <c r="GF20" i="55" s="1"/>
  <c r="GE68" i="55" a="1"/>
  <c r="GE68" i="55" s="1"/>
  <c r="GF68" i="55" s="1"/>
  <c r="O126" i="55" a="1"/>
  <c r="O126" i="55" s="1"/>
  <c r="CE304" i="55" a="1"/>
  <c r="CE304" i="55" s="1"/>
  <c r="EK304" i="55" s="1"/>
  <c r="FZ207" i="55"/>
  <c r="GS134" i="55"/>
  <c r="GS278" i="55"/>
  <c r="BQ320" i="55"/>
  <c r="FZ277" i="55"/>
  <c r="EY156" i="55"/>
  <c r="R156" i="55" s="1"/>
  <c r="S227" i="55"/>
  <c r="FB288" i="55"/>
  <c r="FB141" i="55"/>
  <c r="GS174" i="55"/>
  <c r="GS172" i="55"/>
  <c r="V87" i="55"/>
  <c r="GS71" i="55"/>
  <c r="GS215" i="55"/>
  <c r="FZ31" i="55"/>
  <c r="GS283" i="55"/>
  <c r="V167" i="55"/>
  <c r="CE189" i="55" a="1"/>
  <c r="CE189" i="55" s="1"/>
  <c r="EK189" i="55" s="1"/>
  <c r="EY175" i="55"/>
  <c r="R175" i="55" s="1"/>
  <c r="EL320" i="55"/>
  <c r="GE17" i="55" a="1"/>
  <c r="GE17" i="55" s="1"/>
  <c r="GF17" i="55" s="1"/>
  <c r="BW26" i="54" s="1" a="1"/>
  <c r="BW26" i="54" s="1"/>
  <c r="FB233" i="55"/>
  <c r="EY154" i="55"/>
  <c r="R154" i="55" s="1"/>
  <c r="EY88" i="55"/>
  <c r="R88" i="55" s="1"/>
  <c r="GS256" i="55"/>
  <c r="EY6" i="55"/>
  <c r="R6" i="55" s="1"/>
  <c r="FK123" i="55"/>
  <c r="FM123" i="55"/>
  <c r="FH123" i="55"/>
  <c r="FL123" i="55" s="1"/>
  <c r="FO123" i="55"/>
  <c r="FN123" i="55"/>
  <c r="FQ123" i="55"/>
  <c r="FI123" i="55"/>
  <c r="FJ123" i="55"/>
  <c r="FP123" i="55"/>
  <c r="GS62" i="55"/>
  <c r="EY69" i="55"/>
  <c r="R69" i="55" s="1"/>
  <c r="IE352" i="55" a="1"/>
  <c r="IE352" i="55" s="1"/>
  <c r="ID352" i="55" a="1"/>
  <c r="ID352" i="55" s="1"/>
  <c r="CX276" i="55"/>
  <c r="CW276" i="55"/>
  <c r="CY276" i="55"/>
  <c r="CV276" i="55"/>
  <c r="EK188" i="55"/>
  <c r="EY322" i="55"/>
  <c r="CT240" i="55" a="1"/>
  <c r="CT240" i="55" s="1"/>
  <c r="CU240" i="55" a="1"/>
  <c r="CU240" i="55" s="1"/>
  <c r="CS240" i="55"/>
  <c r="EK266" i="55"/>
  <c r="O266" i="55" a="1"/>
  <c r="O266" i="55" s="1"/>
  <c r="EV266" i="55"/>
  <c r="EW266" i="55" s="1"/>
  <c r="FK346" i="55"/>
  <c r="FL346" i="55"/>
  <c r="FN346" i="55"/>
  <c r="FQ346" i="55"/>
  <c r="FM346" i="55"/>
  <c r="FJ346" i="55"/>
  <c r="FI346" i="55"/>
  <c r="FO346" i="55"/>
  <c r="FP346" i="55"/>
  <c r="FH346" i="55"/>
  <c r="CE346" i="55" a="1"/>
  <c r="CE346" i="55" s="1"/>
  <c r="EY178" i="55"/>
  <c r="IE48" i="55" a="1"/>
  <c r="IE48" i="55" s="1"/>
  <c r="ID48" i="55" a="1"/>
  <c r="ID48" i="55" s="1"/>
  <c r="CT176" i="55" a="1"/>
  <c r="CT176" i="55" s="1"/>
  <c r="CU176" i="55" a="1"/>
  <c r="CU176" i="55" s="1"/>
  <c r="CS176" i="55"/>
  <c r="CZ176" i="55" s="1"/>
  <c r="DA176" i="55" s="1"/>
  <c r="DM176" i="55" s="1"/>
  <c r="DQ176" i="55" s="1"/>
  <c r="DG239" i="55" a="1"/>
  <c r="DG239" i="55" s="1"/>
  <c r="DH239" i="55"/>
  <c r="DF239" i="55" a="1"/>
  <c r="DF239" i="55" s="1"/>
  <c r="DE239" i="55" a="1"/>
  <c r="DE239" i="55" s="1"/>
  <c r="FK282" i="55"/>
  <c r="FL282" i="55"/>
  <c r="FN282" i="55"/>
  <c r="FP282" i="55"/>
  <c r="FJ282" i="55"/>
  <c r="FO282" i="55"/>
  <c r="FQ282" i="55"/>
  <c r="FH282" i="55"/>
  <c r="FI282" i="55"/>
  <c r="FM282" i="55"/>
  <c r="JC43" i="55"/>
  <c r="GL220" i="55"/>
  <c r="O220" i="55" a="1"/>
  <c r="O220" i="55" s="1"/>
  <c r="S76" i="55"/>
  <c r="GP76" i="55"/>
  <c r="V261" i="55"/>
  <c r="U261" i="55"/>
  <c r="EK93" i="55"/>
  <c r="JW132" i="55"/>
  <c r="IC132" i="55"/>
  <c r="DS132" i="55"/>
  <c r="CR132" i="55" a="1"/>
  <c r="CR132" i="55" s="1"/>
  <c r="GB132" i="55"/>
  <c r="GC132" i="55" s="1"/>
  <c r="CS132" i="55"/>
  <c r="CZ132" i="55" s="1"/>
  <c r="DA132" i="55" s="1"/>
  <c r="DM132" i="55" s="1"/>
  <c r="V132" i="55"/>
  <c r="U132" i="55"/>
  <c r="U133" i="55"/>
  <c r="V133" i="55"/>
  <c r="GS192" i="55"/>
  <c r="EY103" i="55"/>
  <c r="FK107" i="55"/>
  <c r="FI107" i="55"/>
  <c r="FP107" i="55"/>
  <c r="FM107" i="55"/>
  <c r="FQ107" i="55"/>
  <c r="FJ107" i="55"/>
  <c r="FO107" i="55"/>
  <c r="FN107" i="55"/>
  <c r="FH107" i="55"/>
  <c r="FL107" i="55" s="1"/>
  <c r="CU261" i="55" a="1"/>
  <c r="CU261" i="55" s="1"/>
  <c r="CT261" i="55" a="1"/>
  <c r="CT261" i="55" s="1"/>
  <c r="CS261" i="55"/>
  <c r="CZ261" i="55" s="1"/>
  <c r="DA261" i="55" s="1"/>
  <c r="GX152" i="55"/>
  <c r="GY152" i="55"/>
  <c r="GS279" i="55"/>
  <c r="CY62" i="55"/>
  <c r="CX62" i="55"/>
  <c r="CW62" i="55"/>
  <c r="CV62" i="55"/>
  <c r="U16" i="55"/>
  <c r="V16" i="55"/>
  <c r="V96" i="55"/>
  <c r="U96" i="55"/>
  <c r="FQ238" i="55"/>
  <c r="FI238" i="55"/>
  <c r="FJ238" i="55"/>
  <c r="FN238" i="55"/>
  <c r="FK238" i="55"/>
  <c r="FO238" i="55"/>
  <c r="FP238" i="55"/>
  <c r="FL238" i="55"/>
  <c r="FM238" i="55"/>
  <c r="CE238" i="55" a="1"/>
  <c r="CE238" i="55" s="1"/>
  <c r="FR238" i="55" s="1"/>
  <c r="ID244" i="55" a="1"/>
  <c r="ID244" i="55" s="1"/>
  <c r="IE244" i="55" a="1"/>
  <c r="IE244" i="55" s="1"/>
  <c r="FR28" i="55"/>
  <c r="FJ28" i="55"/>
  <c r="FK28" i="55"/>
  <c r="FQ28" i="55"/>
  <c r="FM28" i="55"/>
  <c r="FP28" i="55"/>
  <c r="FL28" i="55"/>
  <c r="FH28" i="55"/>
  <c r="FI28" i="55"/>
  <c r="FN28" i="55"/>
  <c r="FO28" i="55"/>
  <c r="FB268" i="55"/>
  <c r="FA268" i="55"/>
  <c r="EL268" i="55"/>
  <c r="U54" i="55"/>
  <c r="V54" i="55"/>
  <c r="GQ30" i="55"/>
  <c r="GR30" i="55" s="1"/>
  <c r="S349" i="55"/>
  <c r="GP349" i="55"/>
  <c r="DG33" i="55" a="1"/>
  <c r="DG33" i="55" s="1"/>
  <c r="DH33" i="55"/>
  <c r="DX33" i="55" s="1"/>
  <c r="DE33" i="55" a="1"/>
  <c r="DE33" i="55" s="1"/>
  <c r="DF33" i="55" a="1"/>
  <c r="DF33" i="55" s="1"/>
  <c r="CT73" i="55" a="1"/>
  <c r="CT73" i="55" s="1"/>
  <c r="CU73" i="55" a="1"/>
  <c r="CU73" i="55" s="1"/>
  <c r="CS73" i="55"/>
  <c r="CZ73" i="55" s="1"/>
  <c r="DA73" i="55" s="1"/>
  <c r="DM73" i="55" s="1"/>
  <c r="DQ73" i="55" s="1"/>
  <c r="FN261" i="55"/>
  <c r="FO261" i="55"/>
  <c r="FL261" i="55"/>
  <c r="FI261" i="55"/>
  <c r="FP261" i="55"/>
  <c r="FQ261" i="55"/>
  <c r="FK261" i="55"/>
  <c r="FM261" i="55"/>
  <c r="FJ261" i="55"/>
  <c r="CE261" i="55" a="1"/>
  <c r="CE261" i="55" s="1"/>
  <c r="CY80" i="55"/>
  <c r="CV80" i="55"/>
  <c r="CW80" i="55"/>
  <c r="CX80" i="55"/>
  <c r="EY212" i="55"/>
  <c r="V149" i="55"/>
  <c r="U149" i="55"/>
  <c r="CV119" i="55"/>
  <c r="CW119" i="55"/>
  <c r="CX119" i="55"/>
  <c r="CY119" i="55"/>
  <c r="EV30" i="55"/>
  <c r="EW30" i="55" s="1"/>
  <c r="CU71" i="55" a="1"/>
  <c r="CU71" i="55" s="1"/>
  <c r="CT71" i="55" a="1"/>
  <c r="CT71" i="55" s="1"/>
  <c r="CS71" i="55"/>
  <c r="U182" i="55"/>
  <c r="V182" i="55"/>
  <c r="JW115" i="55"/>
  <c r="GB115" i="55"/>
  <c r="GC115" i="55" s="1"/>
  <c r="IC115" i="55"/>
  <c r="CR115" i="55" a="1"/>
  <c r="CR115" i="55" s="1"/>
  <c r="DS115" i="55"/>
  <c r="V115" i="55"/>
  <c r="U115" i="55"/>
  <c r="JW275" i="55"/>
  <c r="IC275" i="55"/>
  <c r="GB275" i="55"/>
  <c r="GC275" i="55" s="1"/>
  <c r="DS275" i="55"/>
  <c r="CR275" i="55" a="1"/>
  <c r="CR275" i="55" s="1"/>
  <c r="V275" i="55"/>
  <c r="U275" i="55"/>
  <c r="GS237" i="55"/>
  <c r="EK59" i="55"/>
  <c r="FJ333" i="55"/>
  <c r="FK333" i="55"/>
  <c r="FH333" i="55"/>
  <c r="FL333" i="55" s="1"/>
  <c r="FO333" i="55"/>
  <c r="FP333" i="55"/>
  <c r="FI333" i="55"/>
  <c r="FM333" i="55"/>
  <c r="FN333" i="55"/>
  <c r="FQ333" i="55"/>
  <c r="CE333" i="55" a="1"/>
  <c r="CE333" i="55" s="1"/>
  <c r="O333" i="55" s="1" a="1"/>
  <c r="O333" i="55" s="1"/>
  <c r="GS337" i="55"/>
  <c r="CY191" i="55"/>
  <c r="CV191" i="55"/>
  <c r="CX191" i="55"/>
  <c r="CW191" i="55"/>
  <c r="CZ191" i="55"/>
  <c r="DA191" i="55" s="1"/>
  <c r="CT75" i="55" a="1"/>
  <c r="CT75" i="55" s="1"/>
  <c r="CS75" i="55"/>
  <c r="CZ75" i="55" s="1"/>
  <c r="DA75" i="55" s="1"/>
  <c r="DM75" i="55" s="1"/>
  <c r="DQ75" i="55" s="1"/>
  <c r="CU75" i="55" a="1"/>
  <c r="CU75" i="55" s="1"/>
  <c r="EK331" i="55"/>
  <c r="FJ205" i="55"/>
  <c r="FK205" i="55"/>
  <c r="FO205" i="55"/>
  <c r="FL205" i="55"/>
  <c r="FN205" i="55"/>
  <c r="FQ205" i="55"/>
  <c r="FM205" i="55"/>
  <c r="FI205" i="55"/>
  <c r="FP205" i="55"/>
  <c r="CE205" i="55" a="1"/>
  <c r="CE205" i="55" s="1"/>
  <c r="EK205" i="55" s="1"/>
  <c r="JW258" i="55"/>
  <c r="IC258" i="55"/>
  <c r="FW258" i="55"/>
  <c r="GB258" i="55"/>
  <c r="GC258" i="55" s="1"/>
  <c r="DS258" i="55"/>
  <c r="CR258" i="55" a="1"/>
  <c r="CR258" i="55" s="1"/>
  <c r="V258" i="55"/>
  <c r="U258" i="55"/>
  <c r="GS204" i="55"/>
  <c r="IE9" i="55" a="1"/>
  <c r="IE9" i="55" s="1"/>
  <c r="ID9" i="55" a="1"/>
  <c r="ID9" i="55" s="1"/>
  <c r="EY66" i="55"/>
  <c r="R66" i="55" s="1"/>
  <c r="JW131" i="55"/>
  <c r="IC131" i="55"/>
  <c r="FW131" i="55"/>
  <c r="GB131" i="55"/>
  <c r="GC131" i="55" s="1"/>
  <c r="DS131" i="55"/>
  <c r="CR131" i="55" a="1"/>
  <c r="CR131" i="55" s="1"/>
  <c r="CS131" i="55"/>
  <c r="CZ131" i="55" s="1"/>
  <c r="DA131" i="55" s="1"/>
  <c r="V131" i="55"/>
  <c r="U131" i="55"/>
  <c r="JW291" i="55"/>
  <c r="IC291" i="55"/>
  <c r="FW291" i="55"/>
  <c r="CR291" i="55" a="1"/>
  <c r="CR291" i="55" s="1"/>
  <c r="CS291" i="55" s="1"/>
  <c r="GB291" i="55"/>
  <c r="GC291" i="55" s="1"/>
  <c r="U291" i="55"/>
  <c r="DS291" i="55"/>
  <c r="V291" i="55"/>
  <c r="GS125" i="55"/>
  <c r="GS304" i="55"/>
  <c r="EK186" i="55"/>
  <c r="GL251" i="55"/>
  <c r="EY12" i="55"/>
  <c r="R12" i="55" s="1"/>
  <c r="EY293" i="55"/>
  <c r="R293" i="55" s="1"/>
  <c r="EY74" i="55"/>
  <c r="R340" i="55"/>
  <c r="GL124" i="55"/>
  <c r="EY197" i="55"/>
  <c r="R197" i="55" s="1"/>
  <c r="BX14" i="54" a="1"/>
  <c r="BX14" i="54" s="1"/>
  <c r="BW14" i="54" a="1"/>
  <c r="BW14" i="54" s="1"/>
  <c r="BL14" i="54" a="1"/>
  <c r="BL14" i="54" s="1"/>
  <c r="BT14" i="54" a="1"/>
  <c r="BT14" i="54" s="1"/>
  <c r="BR14" i="54" a="1"/>
  <c r="BR14" i="54" s="1"/>
  <c r="BF14" i="54" a="1"/>
  <c r="BF14" i="54" s="1"/>
  <c r="BP14" i="54" a="1"/>
  <c r="BP14" i="54" s="1"/>
  <c r="AJ14" i="54" a="1"/>
  <c r="AJ14" i="54" s="1"/>
  <c r="B14" i="54" s="1"/>
  <c r="AG14" i="54" s="1"/>
  <c r="V14" i="54" a="1"/>
  <c r="V14" i="54" s="1"/>
  <c r="S72" i="55"/>
  <c r="GP72" i="55"/>
  <c r="EY196" i="55"/>
  <c r="JW98" i="55"/>
  <c r="IC98" i="55"/>
  <c r="FW98" i="55"/>
  <c r="GB98" i="55"/>
  <c r="GC98" i="55" s="1"/>
  <c r="DS98" i="55"/>
  <c r="CR98" i="55" a="1"/>
  <c r="CR98" i="55" s="1"/>
  <c r="CS98" i="55" s="1"/>
  <c r="U98" i="55"/>
  <c r="V98" i="55"/>
  <c r="GS46" i="55"/>
  <c r="GS222" i="55"/>
  <c r="U324" i="55"/>
  <c r="V324" i="55"/>
  <c r="GS255" i="55"/>
  <c r="EY201" i="55"/>
  <c r="R201" i="55" s="1"/>
  <c r="IE32" i="55" a="1"/>
  <c r="IE32" i="55" s="1"/>
  <c r="ID32" i="55" a="1"/>
  <c r="ID32" i="55" s="1"/>
  <c r="EY326" i="55"/>
  <c r="R326" i="55" s="1"/>
  <c r="R196" i="55"/>
  <c r="V127" i="55"/>
  <c r="U127" i="55"/>
  <c r="U237" i="55"/>
  <c r="V237" i="55"/>
  <c r="GS40" i="55"/>
  <c r="GS200" i="55"/>
  <c r="FP113" i="55"/>
  <c r="FH113" i="55"/>
  <c r="FL113" i="55" s="1"/>
  <c r="FQ113" i="55"/>
  <c r="FI113" i="55"/>
  <c r="FN113" i="55"/>
  <c r="FJ113" i="55"/>
  <c r="FM113" i="55"/>
  <c r="FK113" i="55"/>
  <c r="FO113" i="55"/>
  <c r="CE113" i="55" a="1"/>
  <c r="CE113" i="55" s="1"/>
  <c r="EK113" i="55" s="1"/>
  <c r="GQ286" i="55"/>
  <c r="GR286" i="55" s="1"/>
  <c r="GG95" i="55"/>
  <c r="GD95" i="55"/>
  <c r="GE95" i="55" s="1" a="1"/>
  <c r="GE95" i="55" s="1"/>
  <c r="GF95" i="55" s="1"/>
  <c r="CE95" i="55" a="1"/>
  <c r="CE95" i="55" s="1"/>
  <c r="FR95" i="55" s="1"/>
  <c r="BQ95" i="55"/>
  <c r="GG223" i="55"/>
  <c r="GD223" i="55"/>
  <c r="GE223" i="55" s="1" a="1"/>
  <c r="GE223" i="55" s="1"/>
  <c r="GF223" i="55" s="1"/>
  <c r="CE223" i="55" a="1"/>
  <c r="CE223" i="55" s="1"/>
  <c r="EK223" i="55" s="1"/>
  <c r="BQ223" i="55"/>
  <c r="U224" i="55"/>
  <c r="V224" i="55"/>
  <c r="GS338" i="55"/>
  <c r="IE110" i="55" a="1"/>
  <c r="IE110" i="55" s="1"/>
  <c r="ID110" i="55" a="1"/>
  <c r="ID110" i="55" s="1"/>
  <c r="GS5" i="55"/>
  <c r="EY333" i="55"/>
  <c r="R333" i="55" s="1"/>
  <c r="IE273" i="55" a="1"/>
  <c r="IE273" i="55" s="1"/>
  <c r="ID273" i="55" a="1"/>
  <c r="ID273" i="55" s="1"/>
  <c r="JC335" i="55"/>
  <c r="GU335" i="55"/>
  <c r="GV335" i="55" s="1"/>
  <c r="GW335" i="55" s="1"/>
  <c r="GS43" i="55"/>
  <c r="CU5" i="55" a="1"/>
  <c r="CU5" i="55" s="1"/>
  <c r="CT5" i="55" a="1"/>
  <c r="CT5" i="55" s="1"/>
  <c r="IE21" i="55" a="1"/>
  <c r="IE21" i="55" s="1"/>
  <c r="ID21" i="55" a="1"/>
  <c r="ID21" i="55" s="1"/>
  <c r="EK268" i="55"/>
  <c r="O268" i="55" a="1"/>
  <c r="O268" i="55" s="1"/>
  <c r="FR188" i="55"/>
  <c r="FJ188" i="55"/>
  <c r="FK188" i="55"/>
  <c r="FM188" i="55"/>
  <c r="FO188" i="55"/>
  <c r="FI188" i="55"/>
  <c r="FN188" i="55"/>
  <c r="FQ188" i="55"/>
  <c r="FP188" i="55"/>
  <c r="FL188" i="55"/>
  <c r="JC44" i="55"/>
  <c r="GL66" i="55"/>
  <c r="DH136" i="55"/>
  <c r="DE136" i="55" a="1"/>
  <c r="DE136" i="55" s="1"/>
  <c r="DF136" i="55" a="1"/>
  <c r="DF136" i="55" s="1"/>
  <c r="DG136" i="55" a="1"/>
  <c r="DG136" i="55" s="1"/>
  <c r="U166" i="55"/>
  <c r="V166" i="55"/>
  <c r="U230" i="55"/>
  <c r="V230" i="55"/>
  <c r="GS74" i="55"/>
  <c r="R279" i="55"/>
  <c r="GS296" i="55"/>
  <c r="JC41" i="55"/>
  <c r="GS254" i="55"/>
  <c r="EY291" i="55"/>
  <c r="EY68" i="55"/>
  <c r="ID182" i="55" a="1"/>
  <c r="ID182" i="55" s="1"/>
  <c r="IE182" i="55" a="1"/>
  <c r="IE182" i="55" s="1"/>
  <c r="V287" i="55"/>
  <c r="U287" i="55"/>
  <c r="V335" i="55"/>
  <c r="U335" i="55"/>
  <c r="GS234" i="55"/>
  <c r="EY215" i="55"/>
  <c r="EY295" i="55"/>
  <c r="EY121" i="55"/>
  <c r="R121" i="55" s="1"/>
  <c r="JW67" i="55"/>
  <c r="IC67" i="55"/>
  <c r="CR67" i="55" a="1"/>
  <c r="CR67" i="55" s="1"/>
  <c r="GB67" i="55"/>
  <c r="GC67" i="55" s="1"/>
  <c r="V67" i="55"/>
  <c r="DS67" i="55"/>
  <c r="U67" i="55"/>
  <c r="JW227" i="55"/>
  <c r="IC227" i="55"/>
  <c r="GB227" i="55"/>
  <c r="GC227" i="55" s="1"/>
  <c r="CR227" i="55" a="1"/>
  <c r="CR227" i="55" s="1"/>
  <c r="CS227" i="55"/>
  <c r="CZ227" i="55" s="1"/>
  <c r="DA227" i="55" s="1"/>
  <c r="DS227" i="55"/>
  <c r="V227" i="55"/>
  <c r="U227" i="55"/>
  <c r="IV341" i="55" a="1"/>
  <c r="IV341" i="55" s="1"/>
  <c r="IW341" i="55" s="1"/>
  <c r="IX341" i="55" a="1"/>
  <c r="IX341" i="55" s="1"/>
  <c r="IY341" i="55" s="1"/>
  <c r="IN341" i="55" a="1"/>
  <c r="IN341" i="55" s="1"/>
  <c r="IO341" i="55" s="1"/>
  <c r="IP341" i="55" a="1"/>
  <c r="IP341" i="55" s="1"/>
  <c r="IQ341" i="55" s="1"/>
  <c r="IT341" i="55" a="1"/>
  <c r="IT341" i="55" s="1"/>
  <c r="IU341" i="55" s="1"/>
  <c r="IR341" i="55" a="1"/>
  <c r="IR341" i="55" s="1"/>
  <c r="IS341" i="55" s="1"/>
  <c r="EY47" i="55"/>
  <c r="R47" i="55" s="1"/>
  <c r="R336" i="55"/>
  <c r="DE31" i="55" a="1"/>
  <c r="DE31" i="55" s="1"/>
  <c r="DF31" i="55" a="1"/>
  <c r="DF31" i="55" s="1"/>
  <c r="DH31" i="55"/>
  <c r="DX31" i="55" s="1"/>
  <c r="CR31" i="55" a="1"/>
  <c r="CR31" i="55" s="1"/>
  <c r="DG31" i="55" a="1"/>
  <c r="DG31" i="55" s="1"/>
  <c r="IC31" i="55"/>
  <c r="GX63" i="55"/>
  <c r="GY63" i="55"/>
  <c r="GX111" i="55"/>
  <c r="GY111" i="55"/>
  <c r="V64" i="55"/>
  <c r="U64" i="55"/>
  <c r="U144" i="55"/>
  <c r="V144" i="55"/>
  <c r="GS82" i="55"/>
  <c r="DM47" i="55"/>
  <c r="GS239" i="55"/>
  <c r="GS151" i="55"/>
  <c r="GS311" i="55"/>
  <c r="IE65" i="55" a="1"/>
  <c r="IE65" i="55" s="1"/>
  <c r="ID65" i="55" a="1"/>
  <c r="ID65" i="55" s="1"/>
  <c r="FX241" i="55" a="1"/>
  <c r="FX241" i="55" s="1"/>
  <c r="FY241" i="55"/>
  <c r="CE241" i="55" a="1"/>
  <c r="CE241" i="55" s="1"/>
  <c r="EK241" i="55" s="1"/>
  <c r="DG257" i="55" a="1"/>
  <c r="DG257" i="55" s="1"/>
  <c r="DF257" i="55" a="1"/>
  <c r="DF257" i="55" s="1"/>
  <c r="DH257" i="55"/>
  <c r="DX257" i="55" s="1"/>
  <c r="DE257" i="55" a="1"/>
  <c r="DE257" i="55" s="1"/>
  <c r="IC257" i="55"/>
  <c r="CR257" i="55" a="1"/>
  <c r="CR257" i="55" s="1"/>
  <c r="DG305" i="55" a="1"/>
  <c r="DG305" i="55" s="1"/>
  <c r="DF305" i="55" a="1"/>
  <c r="DF305" i="55" s="1"/>
  <c r="DE305" i="55" a="1"/>
  <c r="DE305" i="55" s="1"/>
  <c r="DH305" i="55"/>
  <c r="DX305" i="55" s="1"/>
  <c r="IC305" i="55"/>
  <c r="CR305" i="55" a="1"/>
  <c r="CR305" i="55" s="1"/>
  <c r="IE150" i="55" a="1"/>
  <c r="IE150" i="55" s="1"/>
  <c r="ID150" i="55" a="1"/>
  <c r="ID150" i="55" s="1"/>
  <c r="IE111" i="55" a="1"/>
  <c r="IE111" i="55" s="1"/>
  <c r="ID111" i="55" a="1"/>
  <c r="ID111" i="55" s="1"/>
  <c r="FK42" i="55"/>
  <c r="FL42" i="55"/>
  <c r="FP42" i="55"/>
  <c r="FN42" i="55"/>
  <c r="FJ42" i="55"/>
  <c r="FM42" i="55"/>
  <c r="FO42" i="55"/>
  <c r="FQ42" i="55"/>
  <c r="FI42" i="55"/>
  <c r="FK298" i="55"/>
  <c r="FL298" i="55"/>
  <c r="FP298" i="55"/>
  <c r="FQ298" i="55"/>
  <c r="FI298" i="55"/>
  <c r="FN298" i="55"/>
  <c r="FO298" i="55"/>
  <c r="FM298" i="55"/>
  <c r="FJ298" i="55"/>
  <c r="GM33" i="55"/>
  <c r="CI33" i="55"/>
  <c r="HV33" i="55" s="1"/>
  <c r="FK187" i="55"/>
  <c r="FL187" i="55"/>
  <c r="FM187" i="55"/>
  <c r="FR187" i="55"/>
  <c r="FO187" i="55"/>
  <c r="FI187" i="55"/>
  <c r="FQ187" i="55"/>
  <c r="FP187" i="55"/>
  <c r="FN187" i="55"/>
  <c r="FJ187" i="55"/>
  <c r="FK251" i="55"/>
  <c r="FL251" i="55"/>
  <c r="FM251" i="55"/>
  <c r="FO251" i="55"/>
  <c r="FP251" i="55"/>
  <c r="FN251" i="55"/>
  <c r="FI251" i="55"/>
  <c r="FQ251" i="55"/>
  <c r="FJ251" i="55"/>
  <c r="CS5" i="55"/>
  <c r="CZ5" i="55" s="1"/>
  <c r="DA5" i="55" s="1"/>
  <c r="FR12" i="55"/>
  <c r="FJ12" i="55"/>
  <c r="FK12" i="55"/>
  <c r="FO12" i="55"/>
  <c r="FN12" i="55"/>
  <c r="FH12" i="55"/>
  <c r="FI12" i="55"/>
  <c r="FM12" i="55"/>
  <c r="FQ12" i="55"/>
  <c r="FL12" i="55"/>
  <c r="EY246" i="55"/>
  <c r="R246" i="55" s="1"/>
  <c r="GL78" i="55"/>
  <c r="GL174" i="55"/>
  <c r="FQ318" i="55"/>
  <c r="FI318" i="55"/>
  <c r="FJ318" i="55"/>
  <c r="FP318" i="55"/>
  <c r="FN318" i="55"/>
  <c r="FO318" i="55"/>
  <c r="FK318" i="55"/>
  <c r="FH318" i="55"/>
  <c r="FL318" i="55" s="1"/>
  <c r="FM318" i="55"/>
  <c r="CE318" i="55" a="1"/>
  <c r="CE318" i="55" s="1"/>
  <c r="DH124" i="55"/>
  <c r="DX124" i="55" s="1"/>
  <c r="DF124" i="55" a="1"/>
  <c r="DF124" i="55" s="1"/>
  <c r="DG124" i="55" a="1"/>
  <c r="DG124" i="55" s="1"/>
  <c r="DE124" i="55" a="1"/>
  <c r="DE124" i="55" s="1"/>
  <c r="CR124" i="55" a="1"/>
  <c r="CR124" i="55" s="1"/>
  <c r="GS78" i="55"/>
  <c r="V68" i="55"/>
  <c r="U68" i="55"/>
  <c r="U260" i="55"/>
  <c r="V260" i="55"/>
  <c r="GS319" i="55"/>
  <c r="EY147" i="55"/>
  <c r="EY20" i="55"/>
  <c r="R20" i="55" s="1"/>
  <c r="U213" i="55"/>
  <c r="V213" i="55"/>
  <c r="V341" i="55"/>
  <c r="U341" i="55"/>
  <c r="R68" i="55"/>
  <c r="V310" i="55"/>
  <c r="U310" i="55"/>
  <c r="ID246" i="55" a="1"/>
  <c r="ID246" i="55" s="1"/>
  <c r="IE246" i="55" a="1"/>
  <c r="IE246" i="55" s="1"/>
  <c r="V31" i="55"/>
  <c r="U31" i="55"/>
  <c r="EY22" i="55"/>
  <c r="JW146" i="55"/>
  <c r="IC146" i="55"/>
  <c r="GB146" i="55"/>
  <c r="GC146" i="55" s="1"/>
  <c r="DS146" i="55"/>
  <c r="CR146" i="55" a="1"/>
  <c r="CR146" i="55" s="1"/>
  <c r="U146" i="55"/>
  <c r="V146" i="55"/>
  <c r="U193" i="55"/>
  <c r="V193" i="55"/>
  <c r="FN21" i="55"/>
  <c r="FO21" i="55"/>
  <c r="FP21" i="55"/>
  <c r="FK21" i="55"/>
  <c r="FR21" i="55"/>
  <c r="FH21" i="55"/>
  <c r="FL21" i="55" s="1"/>
  <c r="FI21" i="55"/>
  <c r="FJ21" i="55"/>
  <c r="FM21" i="55"/>
  <c r="FQ21" i="55"/>
  <c r="FN277" i="55"/>
  <c r="FO277" i="55"/>
  <c r="FP277" i="55"/>
  <c r="FK277" i="55"/>
  <c r="FR277" i="55"/>
  <c r="FI277" i="55"/>
  <c r="FJ277" i="55"/>
  <c r="FQ277" i="55"/>
  <c r="FL277" i="55"/>
  <c r="FM277" i="55"/>
  <c r="JW19" i="55"/>
  <c r="IC19" i="55"/>
  <c r="DS19" i="55"/>
  <c r="CR19" i="55" a="1"/>
  <c r="CR19" i="55" s="1"/>
  <c r="CS19" i="55" s="1"/>
  <c r="CZ19" i="55" s="1"/>
  <c r="DA19" i="55" s="1"/>
  <c r="GB19" i="55"/>
  <c r="GC19" i="55" s="1"/>
  <c r="V19" i="55"/>
  <c r="U19" i="55"/>
  <c r="T19" i="55"/>
  <c r="JW179" i="55"/>
  <c r="FW179" i="55"/>
  <c r="GB179" i="55"/>
  <c r="GC179" i="55" s="1"/>
  <c r="GE179" i="55" s="1" a="1"/>
  <c r="GE179" i="55" s="1"/>
  <c r="GF179" i="55" s="1"/>
  <c r="CR179" i="55" a="1"/>
  <c r="CR179" i="55" s="1"/>
  <c r="DX179" i="55"/>
  <c r="DS179" i="55"/>
  <c r="IC179" i="55"/>
  <c r="V179" i="55"/>
  <c r="U179" i="55"/>
  <c r="JW241" i="55"/>
  <c r="IC241" i="55"/>
  <c r="GB241" i="55"/>
  <c r="GC241" i="55" s="1"/>
  <c r="GE241" i="55" s="1" a="1"/>
  <c r="GE241" i="55" s="1"/>
  <c r="GF241" i="55" s="1"/>
  <c r="CR241" i="55" a="1"/>
  <c r="CR241" i="55" s="1"/>
  <c r="DS241" i="55"/>
  <c r="V241" i="55"/>
  <c r="U241" i="55"/>
  <c r="GS335" i="55"/>
  <c r="GS21" i="55"/>
  <c r="GY225" i="55"/>
  <c r="GX225" i="55"/>
  <c r="CU231" i="55" a="1"/>
  <c r="CU231" i="55" s="1"/>
  <c r="CT231" i="55" a="1"/>
  <c r="CT231" i="55" s="1"/>
  <c r="FK234" i="55"/>
  <c r="FL234" i="55"/>
  <c r="FP234" i="55"/>
  <c r="FN234" i="55"/>
  <c r="FQ234" i="55"/>
  <c r="FJ234" i="55"/>
  <c r="FM234" i="55"/>
  <c r="FO234" i="55"/>
  <c r="FR234" i="55"/>
  <c r="FI234" i="55"/>
  <c r="ID7" i="55" a="1"/>
  <c r="ID7" i="55" s="1"/>
  <c r="IE7" i="55" a="1"/>
  <c r="IE7" i="55" s="1"/>
  <c r="ID69" i="55" a="1"/>
  <c r="ID69" i="55" s="1"/>
  <c r="IE69" i="55" a="1"/>
  <c r="IE69" i="55" s="1"/>
  <c r="EY280" i="55"/>
  <c r="FY28" i="55"/>
  <c r="FX28" i="55" a="1"/>
  <c r="FX28" i="55" s="1"/>
  <c r="CE28" i="55" a="1"/>
  <c r="CE28" i="55" s="1"/>
  <c r="EK28" i="55" s="1"/>
  <c r="FY108" i="55"/>
  <c r="FX108" i="55" a="1"/>
  <c r="FX108" i="55" s="1"/>
  <c r="FA33" i="55"/>
  <c r="FB33" i="55"/>
  <c r="EL33" i="55"/>
  <c r="FX330" i="55" a="1"/>
  <c r="FX330" i="55" s="1"/>
  <c r="FY330" i="55"/>
  <c r="ID223" i="55" a="1"/>
  <c r="ID223" i="55" s="1"/>
  <c r="IE223" i="55" a="1"/>
  <c r="IE223" i="55" s="1"/>
  <c r="JC52" i="55"/>
  <c r="R338" i="55"/>
  <c r="V196" i="55"/>
  <c r="U196" i="55"/>
  <c r="EY100" i="55"/>
  <c r="U5" i="55"/>
  <c r="V5" i="55"/>
  <c r="U69" i="55"/>
  <c r="V69" i="55"/>
  <c r="V277" i="55"/>
  <c r="U277" i="55"/>
  <c r="EY244" i="55"/>
  <c r="R244" i="55" s="1"/>
  <c r="GS113" i="55"/>
  <c r="R85" i="55"/>
  <c r="V191" i="55"/>
  <c r="U191" i="55"/>
  <c r="GS106" i="55"/>
  <c r="GS250" i="55"/>
  <c r="EY8" i="55"/>
  <c r="CX3" i="55"/>
  <c r="CY3" i="55"/>
  <c r="CW3" i="55"/>
  <c r="CV3" i="55"/>
  <c r="JW339" i="55"/>
  <c r="IC339" i="55"/>
  <c r="DS339" i="55"/>
  <c r="CR339" i="55" a="1"/>
  <c r="CR339" i="55" s="1"/>
  <c r="GB339" i="55"/>
  <c r="GC339" i="55" s="1"/>
  <c r="U339" i="55"/>
  <c r="V339" i="55"/>
  <c r="GS285" i="55"/>
  <c r="U334" i="55"/>
  <c r="V334" i="55"/>
  <c r="FN293" i="55"/>
  <c r="FO293" i="55"/>
  <c r="FR293" i="55"/>
  <c r="FM293" i="55"/>
  <c r="FJ293" i="55"/>
  <c r="FQ293" i="55"/>
  <c r="FK293" i="55"/>
  <c r="FP293" i="55"/>
  <c r="FL293" i="55"/>
  <c r="FI293" i="55"/>
  <c r="CU55" i="55" a="1"/>
  <c r="CU55" i="55" s="1"/>
  <c r="CT55" i="55" a="1"/>
  <c r="CT55" i="55" s="1"/>
  <c r="CS55" i="55"/>
  <c r="EY289" i="55"/>
  <c r="GS167" i="55"/>
  <c r="GS327" i="55"/>
  <c r="CS231" i="55"/>
  <c r="ID75" i="55" a="1"/>
  <c r="ID75" i="55" s="1"/>
  <c r="IE75" i="55" a="1"/>
  <c r="IE75" i="55" s="1"/>
  <c r="CV311" i="55"/>
  <c r="CW311" i="55"/>
  <c r="CX311" i="55"/>
  <c r="CY311" i="55"/>
  <c r="CU36" i="55" a="1"/>
  <c r="CU36" i="55" s="1"/>
  <c r="CT36" i="55" a="1"/>
  <c r="CT36" i="55" s="1"/>
  <c r="CS36" i="55"/>
  <c r="CU228" i="55" a="1"/>
  <c r="CU228" i="55" s="1"/>
  <c r="CT228" i="55" a="1"/>
  <c r="CT228" i="55" s="1"/>
  <c r="CS228" i="55"/>
  <c r="CU276" i="55" a="1"/>
  <c r="CU276" i="55" s="1"/>
  <c r="CT276" i="55" a="1"/>
  <c r="CT276" i="55" s="1"/>
  <c r="GL203" i="55"/>
  <c r="O203" i="55" a="1"/>
  <c r="O203" i="55" s="1"/>
  <c r="GL347" i="55"/>
  <c r="O347" i="55" a="1"/>
  <c r="O347" i="55" s="1"/>
  <c r="CU309" i="55" a="1"/>
  <c r="CU309" i="55" s="1"/>
  <c r="CT309" i="55" a="1"/>
  <c r="CT309" i="55" s="1"/>
  <c r="CS309" i="55"/>
  <c r="CZ309" i="55" s="1"/>
  <c r="DA309" i="55" s="1"/>
  <c r="GN28" i="55"/>
  <c r="AK3" i="40" s="1" a="1"/>
  <c r="AK3" i="40" s="1"/>
  <c r="EJ28" i="55"/>
  <c r="DL28" i="55"/>
  <c r="O28" i="55" a="1"/>
  <c r="O28" i="55" s="1"/>
  <c r="FJ124" i="55"/>
  <c r="FK124" i="55"/>
  <c r="FM124" i="55"/>
  <c r="FH124" i="55"/>
  <c r="FL124" i="55" s="1"/>
  <c r="FN124" i="55"/>
  <c r="FO124" i="55"/>
  <c r="FP124" i="55"/>
  <c r="FI124" i="55"/>
  <c r="FQ124" i="55"/>
  <c r="GL93" i="55"/>
  <c r="O93" i="55" a="1"/>
  <c r="O93" i="55" s="1"/>
  <c r="CT11" i="55" a="1"/>
  <c r="CT11" i="55" s="1"/>
  <c r="CU11" i="55" a="1"/>
  <c r="CU11" i="55" s="1"/>
  <c r="CS11" i="55"/>
  <c r="FQ174" i="55"/>
  <c r="FI174" i="55"/>
  <c r="FR174" i="55"/>
  <c r="FJ174" i="55"/>
  <c r="FN174" i="55"/>
  <c r="FM174" i="55"/>
  <c r="FP174" i="55"/>
  <c r="FL174" i="55"/>
  <c r="FK174" i="55"/>
  <c r="FO174" i="55"/>
  <c r="CE174" i="55" a="1"/>
  <c r="CE174" i="55" s="1"/>
  <c r="R280" i="55"/>
  <c r="FO290" i="55"/>
  <c r="FP290" i="55"/>
  <c r="FJ290" i="55"/>
  <c r="FQ290" i="55"/>
  <c r="FN290" i="55"/>
  <c r="FL290" i="55"/>
  <c r="FM290" i="55"/>
  <c r="FR290" i="55"/>
  <c r="FK290" i="55"/>
  <c r="FI290" i="55"/>
  <c r="CU175" i="55" a="1"/>
  <c r="CU175" i="55" s="1"/>
  <c r="CS175" i="55"/>
  <c r="CT175" i="55" a="1"/>
  <c r="CT175" i="55" s="1"/>
  <c r="FX281" i="55" a="1"/>
  <c r="FX281" i="55" s="1"/>
  <c r="FY281" i="55"/>
  <c r="JW88" i="55"/>
  <c r="IC88" i="55"/>
  <c r="GB88" i="55"/>
  <c r="GC88" i="55" s="1"/>
  <c r="GE88" i="55" s="1" a="1"/>
  <c r="GE88" i="55" s="1"/>
  <c r="CS88" i="55"/>
  <c r="DS88" i="55"/>
  <c r="CR88" i="55" a="1"/>
  <c r="CR88" i="55" s="1"/>
  <c r="U88" i="55"/>
  <c r="T88" i="55"/>
  <c r="V88" i="55"/>
  <c r="FY245" i="55"/>
  <c r="FX245" i="55" a="1"/>
  <c r="FX245" i="55" s="1"/>
  <c r="CE245" i="55" a="1"/>
  <c r="CE245" i="55" s="1"/>
  <c r="EK245" i="55" s="1"/>
  <c r="DE261" i="55" a="1"/>
  <c r="DE261" i="55" s="1"/>
  <c r="DG261" i="55" a="1"/>
  <c r="DG261" i="55" s="1"/>
  <c r="DF261" i="55" a="1"/>
  <c r="DF261" i="55" s="1"/>
  <c r="DH261" i="55"/>
  <c r="DX261" i="55" s="1"/>
  <c r="IC261" i="55"/>
  <c r="FY293" i="55"/>
  <c r="FX293" i="55" a="1"/>
  <c r="FX293" i="55" s="1"/>
  <c r="FZ293" i="55" s="1"/>
  <c r="FY325" i="55"/>
  <c r="FX325" i="55" a="1"/>
  <c r="FX325" i="55" s="1"/>
  <c r="GL201" i="55"/>
  <c r="U4" i="55"/>
  <c r="V4" i="55"/>
  <c r="V212" i="55"/>
  <c r="U212" i="55"/>
  <c r="GS16" i="55"/>
  <c r="GS272" i="55"/>
  <c r="R100" i="55"/>
  <c r="V118" i="55"/>
  <c r="U118" i="55"/>
  <c r="EY5" i="55"/>
  <c r="EY311" i="55"/>
  <c r="JW50" i="55"/>
  <c r="IC50" i="55"/>
  <c r="GT50" i="55"/>
  <c r="GB50" i="55"/>
  <c r="GC50" i="55" s="1"/>
  <c r="V50" i="55"/>
  <c r="DS50" i="55"/>
  <c r="U50" i="55"/>
  <c r="CR50" i="55" a="1"/>
  <c r="CR50" i="55" s="1"/>
  <c r="CS50" i="55" s="1"/>
  <c r="CZ50" i="55" s="1"/>
  <c r="DA50" i="55" s="1"/>
  <c r="DM50" i="55" s="1"/>
  <c r="U145" i="55"/>
  <c r="V145" i="55"/>
  <c r="JW210" i="55"/>
  <c r="FW210" i="55"/>
  <c r="IC210" i="55"/>
  <c r="GB210" i="55"/>
  <c r="GC210" i="55" s="1"/>
  <c r="DS210" i="55"/>
  <c r="CR210" i="55" a="1"/>
  <c r="CR210" i="55" s="1"/>
  <c r="V210" i="55"/>
  <c r="U210" i="55"/>
  <c r="U257" i="55"/>
  <c r="V257" i="55"/>
  <c r="U305" i="55"/>
  <c r="V305" i="55"/>
  <c r="GS60" i="55"/>
  <c r="EY24" i="55"/>
  <c r="R24" i="55" s="1"/>
  <c r="GQ313" i="55"/>
  <c r="GR313" i="55" s="1"/>
  <c r="FN181" i="55"/>
  <c r="FO181" i="55"/>
  <c r="FJ181" i="55"/>
  <c r="FQ181" i="55"/>
  <c r="FL181" i="55"/>
  <c r="FR181" i="55"/>
  <c r="FH181" i="55"/>
  <c r="FK181" i="55"/>
  <c r="FP181" i="55"/>
  <c r="FM181" i="55"/>
  <c r="FI181" i="55"/>
  <c r="EY202" i="55"/>
  <c r="GS145" i="55"/>
  <c r="EY193" i="55"/>
  <c r="R193" i="55" s="1"/>
  <c r="EY336" i="55"/>
  <c r="EY345" i="55"/>
  <c r="R345" i="55" s="1"/>
  <c r="IE177" i="55" a="1"/>
  <c r="IE177" i="55" s="1"/>
  <c r="ID177" i="55" a="1"/>
  <c r="ID177" i="55" s="1"/>
  <c r="ID214" i="55" a="1"/>
  <c r="ID214" i="55" s="1"/>
  <c r="IE214" i="55" a="1"/>
  <c r="IE214" i="55" s="1"/>
  <c r="GL122" i="55"/>
  <c r="O122" i="55" a="1"/>
  <c r="O122" i="55" s="1"/>
  <c r="CX212" i="55"/>
  <c r="CW212" i="55"/>
  <c r="CY212" i="55"/>
  <c r="CV212" i="55"/>
  <c r="S202" i="55"/>
  <c r="GP202" i="55"/>
  <c r="ID5" i="55" a="1"/>
  <c r="ID5" i="55" s="1"/>
  <c r="IE5" i="55" a="1"/>
  <c r="IE5" i="55" s="1"/>
  <c r="ID197" i="55" a="1"/>
  <c r="ID197" i="55" s="1"/>
  <c r="IE197" i="55" a="1"/>
  <c r="IE197" i="55" s="1"/>
  <c r="JM177" i="55"/>
  <c r="JF177" i="55"/>
  <c r="FR157" i="55"/>
  <c r="FJ157" i="55"/>
  <c r="FK157" i="55"/>
  <c r="FL157" i="55"/>
  <c r="FQ157" i="55"/>
  <c r="FN157" i="55"/>
  <c r="FO157" i="55"/>
  <c r="FM157" i="55"/>
  <c r="FI157" i="55"/>
  <c r="FP157" i="55"/>
  <c r="ID279" i="55" a="1"/>
  <c r="ID279" i="55" s="1"/>
  <c r="IE279" i="55" a="1"/>
  <c r="IE279" i="55" s="1"/>
  <c r="GP77" i="55"/>
  <c r="JW188" i="55"/>
  <c r="IC188" i="55"/>
  <c r="DS188" i="55"/>
  <c r="FW188" i="55"/>
  <c r="GB188" i="55"/>
  <c r="GC188" i="55" s="1"/>
  <c r="CR188" i="55" a="1"/>
  <c r="CR188" i="55" s="1"/>
  <c r="V188" i="55"/>
  <c r="U188" i="55"/>
  <c r="JW348" i="55"/>
  <c r="IC348" i="55"/>
  <c r="GB348" i="55"/>
  <c r="GC348" i="55" s="1"/>
  <c r="GE348" i="55" s="1" a="1"/>
  <c r="GE348" i="55" s="1"/>
  <c r="GF348" i="55" s="1"/>
  <c r="FW348" i="55"/>
  <c r="DS348" i="55"/>
  <c r="CR348" i="55" a="1"/>
  <c r="CR348" i="55" s="1"/>
  <c r="CS348" i="55"/>
  <c r="U348" i="55"/>
  <c r="V348" i="55"/>
  <c r="EY242" i="55"/>
  <c r="R19" i="55"/>
  <c r="R339" i="55"/>
  <c r="EY213" i="55"/>
  <c r="EY55" i="55"/>
  <c r="R55" i="55" s="1"/>
  <c r="EY151" i="55"/>
  <c r="R151" i="55" s="1"/>
  <c r="FN69" i="55"/>
  <c r="FO69" i="55"/>
  <c r="FI69" i="55"/>
  <c r="FP69" i="55"/>
  <c r="FH69" i="55"/>
  <c r="FL69" i="55" s="1"/>
  <c r="FK69" i="55"/>
  <c r="FM69" i="55"/>
  <c r="FJ69" i="55"/>
  <c r="FQ69" i="55"/>
  <c r="CE69" i="55" a="1"/>
  <c r="CE69" i="55" s="1"/>
  <c r="FR69" i="55" s="1"/>
  <c r="GL49" i="55"/>
  <c r="FY49" i="55"/>
  <c r="FZ49" i="55" s="1"/>
  <c r="R99" i="55"/>
  <c r="IE176" i="55" a="1"/>
  <c r="IE176" i="55" s="1"/>
  <c r="ID176" i="55" a="1"/>
  <c r="ID176" i="55" s="1"/>
  <c r="EY96" i="55"/>
  <c r="R96" i="55" s="1"/>
  <c r="U32" i="55"/>
  <c r="V32" i="55"/>
  <c r="V240" i="55"/>
  <c r="U240" i="55"/>
  <c r="JW289" i="55"/>
  <c r="IC289" i="55"/>
  <c r="GB289" i="55"/>
  <c r="GC289" i="55" s="1"/>
  <c r="GE289" i="55" s="1" a="1"/>
  <c r="GE289" i="55" s="1"/>
  <c r="GF289" i="55" s="1"/>
  <c r="FW289" i="55"/>
  <c r="DS289" i="55"/>
  <c r="CR289" i="55" a="1"/>
  <c r="CR289" i="55" s="1"/>
  <c r="CS289" i="55" s="1"/>
  <c r="V289" i="55"/>
  <c r="U289" i="55"/>
  <c r="CU62" i="55" a="1"/>
  <c r="CU62" i="55" s="1"/>
  <c r="CT62" i="55" a="1"/>
  <c r="CT62" i="55" s="1"/>
  <c r="IE190" i="55" a="1"/>
  <c r="IE190" i="55" s="1"/>
  <c r="ID190" i="55" a="1"/>
  <c r="ID190" i="55" s="1"/>
  <c r="DG113" i="55" a="1"/>
  <c r="DG113" i="55" s="1"/>
  <c r="DF113" i="55" a="1"/>
  <c r="DF113" i="55" s="1"/>
  <c r="DH113" i="55"/>
  <c r="DX113" i="55" s="1"/>
  <c r="DE113" i="55" a="1"/>
  <c r="DE113" i="55" s="1"/>
  <c r="IC113" i="55"/>
  <c r="DG129" i="55" a="1"/>
  <c r="DG129" i="55" s="1"/>
  <c r="DF129" i="55" a="1"/>
  <c r="DF129" i="55" s="1"/>
  <c r="DH129" i="55"/>
  <c r="DE129" i="55" a="1"/>
  <c r="DE129" i="55" s="1"/>
  <c r="GY161" i="55"/>
  <c r="GX161" i="55"/>
  <c r="IE265" i="55" a="1"/>
  <c r="IE265" i="55" s="1"/>
  <c r="ID265" i="55" a="1"/>
  <c r="ID265" i="55" s="1"/>
  <c r="GS299" i="55"/>
  <c r="GS32" i="55"/>
  <c r="EY49" i="55"/>
  <c r="R49" i="55" s="1"/>
  <c r="CU119" i="55" a="1"/>
  <c r="CU119" i="55" s="1"/>
  <c r="CT119" i="55" a="1"/>
  <c r="CT119" i="55" s="1"/>
  <c r="JC36" i="55"/>
  <c r="IE100" i="55" a="1"/>
  <c r="IE100" i="55" s="1"/>
  <c r="ID100" i="55" a="1"/>
  <c r="ID100" i="55" s="1"/>
  <c r="ID340" i="55" a="1"/>
  <c r="ID340" i="55" s="1"/>
  <c r="IE340" i="55" a="1"/>
  <c r="IE340" i="55" s="1"/>
  <c r="CW229" i="55"/>
  <c r="CX229" i="55"/>
  <c r="CY229" i="55"/>
  <c r="CV229" i="55"/>
  <c r="JN177" i="55"/>
  <c r="JG177" i="55"/>
  <c r="ID86" i="55" a="1"/>
  <c r="ID86" i="55" s="1"/>
  <c r="IE86" i="55" a="1"/>
  <c r="IE86" i="55" s="1"/>
  <c r="GQ316" i="55"/>
  <c r="GR316" i="55" s="1"/>
  <c r="GL30" i="55"/>
  <c r="O30" i="55" a="1"/>
  <c r="O30" i="55" s="1"/>
  <c r="EK94" i="55"/>
  <c r="O94" i="55" a="1"/>
  <c r="O94" i="55" s="1"/>
  <c r="GG236" i="55"/>
  <c r="GD236" i="55"/>
  <c r="BQ236" i="55"/>
  <c r="CE236" i="55" a="1"/>
  <c r="CE236" i="55" s="1"/>
  <c r="O236" i="55" s="1" a="1"/>
  <c r="O236" i="55" s="1"/>
  <c r="GX284" i="55"/>
  <c r="GY284" i="55"/>
  <c r="EY323" i="55"/>
  <c r="JW293" i="55"/>
  <c r="IC293" i="55"/>
  <c r="FW293" i="55"/>
  <c r="GB293" i="55"/>
  <c r="GC293" i="55" s="1"/>
  <c r="CR293" i="55" a="1"/>
  <c r="CR293" i="55" s="1"/>
  <c r="DS293" i="55"/>
  <c r="V293" i="55"/>
  <c r="U293" i="55"/>
  <c r="U262" i="55"/>
  <c r="V262" i="55"/>
  <c r="U326" i="55"/>
  <c r="V326" i="55"/>
  <c r="EY21" i="55"/>
  <c r="R21" i="55" s="1"/>
  <c r="EY309" i="55"/>
  <c r="U255" i="55"/>
  <c r="V255" i="55"/>
  <c r="EY327" i="55"/>
  <c r="R327" i="55" s="1"/>
  <c r="JW162" i="55"/>
  <c r="FW162" i="55"/>
  <c r="GB162" i="55"/>
  <c r="GC162" i="55" s="1"/>
  <c r="IC162" i="55"/>
  <c r="DS162" i="55"/>
  <c r="CR162" i="55" a="1"/>
  <c r="CR162" i="55" s="1"/>
  <c r="CS162" i="55" s="1"/>
  <c r="CZ162" i="55" s="1"/>
  <c r="DA162" i="55" s="1"/>
  <c r="V162" i="55"/>
  <c r="U162" i="55"/>
  <c r="U209" i="55"/>
  <c r="V209" i="55"/>
  <c r="GS236" i="55"/>
  <c r="EY153" i="55"/>
  <c r="EY265" i="55"/>
  <c r="IV313" i="55" a="1"/>
  <c r="IV313" i="55" s="1"/>
  <c r="IW313" i="55" s="1"/>
  <c r="IR313" i="55" a="1"/>
  <c r="IR313" i="55" s="1"/>
  <c r="IS313" i="55" s="1"/>
  <c r="IN313" i="55" a="1"/>
  <c r="IN313" i="55" s="1"/>
  <c r="IO313" i="55" s="1"/>
  <c r="IT313" i="55" a="1"/>
  <c r="IT313" i="55" s="1"/>
  <c r="IU313" i="55" s="1"/>
  <c r="IP313" i="55" a="1"/>
  <c r="IP313" i="55" s="1"/>
  <c r="IQ313" i="55" s="1"/>
  <c r="IX313" i="55" a="1"/>
  <c r="IX313" i="55" s="1"/>
  <c r="IY313" i="55" s="1"/>
  <c r="EY218" i="55"/>
  <c r="FP129" i="55"/>
  <c r="FH129" i="55"/>
  <c r="FL129" i="55" s="1"/>
  <c r="FQ129" i="55"/>
  <c r="FI129" i="55"/>
  <c r="FN129" i="55"/>
  <c r="FK129" i="55"/>
  <c r="FO129" i="55"/>
  <c r="FJ129" i="55"/>
  <c r="FM129" i="55"/>
  <c r="GS264" i="55"/>
  <c r="GS210" i="55"/>
  <c r="CU166" i="55" a="1"/>
  <c r="CU166" i="55" s="1"/>
  <c r="CT166" i="55" a="1"/>
  <c r="CT166" i="55" s="1"/>
  <c r="EY81" i="55"/>
  <c r="EY269" i="55"/>
  <c r="R269" i="55" s="1"/>
  <c r="GX241" i="55"/>
  <c r="GY241" i="55"/>
  <c r="GX305" i="55"/>
  <c r="GY305" i="55"/>
  <c r="GS171" i="55"/>
  <c r="CW192" i="55"/>
  <c r="CX192" i="55"/>
  <c r="CY192" i="55"/>
  <c r="CV192" i="55"/>
  <c r="EY210" i="55"/>
  <c r="R210" i="55" s="1"/>
  <c r="FK10" i="55"/>
  <c r="FL10" i="55"/>
  <c r="FJ10" i="55"/>
  <c r="FR10" i="55"/>
  <c r="FN10" i="55"/>
  <c r="FH10" i="55"/>
  <c r="FO10" i="55"/>
  <c r="FM10" i="55"/>
  <c r="FQ10" i="55"/>
  <c r="FI10" i="55"/>
  <c r="FK74" i="55"/>
  <c r="FJ74" i="55"/>
  <c r="FO74" i="55"/>
  <c r="FR74" i="55"/>
  <c r="FM74" i="55"/>
  <c r="FI74" i="55"/>
  <c r="FQ74" i="55"/>
  <c r="FH74" i="55"/>
  <c r="FL74" i="55" s="1"/>
  <c r="FN74" i="55"/>
  <c r="FP74" i="55"/>
  <c r="IE36" i="55" a="1"/>
  <c r="IE36" i="55" s="1"/>
  <c r="ID36" i="55" a="1"/>
  <c r="ID36" i="55" s="1"/>
  <c r="CU324" i="55" a="1"/>
  <c r="CU324" i="55" s="1"/>
  <c r="CT324" i="55" a="1"/>
  <c r="CT324" i="55" s="1"/>
  <c r="CS324" i="55"/>
  <c r="FK59" i="55"/>
  <c r="FM59" i="55"/>
  <c r="FR59" i="55"/>
  <c r="FH59" i="55"/>
  <c r="FL59" i="55" s="1"/>
  <c r="FO59" i="55"/>
  <c r="FQ59" i="55"/>
  <c r="FJ59" i="55"/>
  <c r="FI59" i="55"/>
  <c r="FN59" i="55"/>
  <c r="FP59" i="55"/>
  <c r="CY272" i="55"/>
  <c r="CV272" i="55"/>
  <c r="CW272" i="55"/>
  <c r="CX272" i="55"/>
  <c r="IE53" i="55" a="1"/>
  <c r="IE53" i="55" s="1"/>
  <c r="ID53" i="55" a="1"/>
  <c r="ID53" i="55" s="1"/>
  <c r="CV201" i="55"/>
  <c r="CW201" i="55"/>
  <c r="CY201" i="55"/>
  <c r="CX201" i="55"/>
  <c r="EY182" i="55"/>
  <c r="R182" i="55" s="1"/>
  <c r="FQ94" i="55"/>
  <c r="FI94" i="55"/>
  <c r="FR94" i="55"/>
  <c r="FJ94" i="55"/>
  <c r="FN94" i="55"/>
  <c r="FH94" i="55"/>
  <c r="FL94" i="55" s="1"/>
  <c r="FP94" i="55"/>
  <c r="FK94" i="55"/>
  <c r="FO94" i="55"/>
  <c r="FM94" i="55"/>
  <c r="GY140" i="55"/>
  <c r="GX140" i="55"/>
  <c r="GX156" i="55"/>
  <c r="GY156" i="55"/>
  <c r="DH188" i="55"/>
  <c r="DX188" i="55" s="1"/>
  <c r="DF188" i="55" a="1"/>
  <c r="DF188" i="55" s="1"/>
  <c r="DG188" i="55" a="1"/>
  <c r="DG188" i="55" s="1"/>
  <c r="DE188" i="55" a="1"/>
  <c r="DE188" i="55" s="1"/>
  <c r="DH204" i="55"/>
  <c r="DF204" i="55" a="1"/>
  <c r="DF204" i="55" s="1"/>
  <c r="DE204" i="55" a="1"/>
  <c r="DE204" i="55" s="1"/>
  <c r="DG204" i="55" a="1"/>
  <c r="DG204" i="55" s="1"/>
  <c r="GY268" i="55"/>
  <c r="GX268" i="55"/>
  <c r="FY284" i="55"/>
  <c r="FX284" i="55" a="1"/>
  <c r="FX284" i="55" s="1"/>
  <c r="DH300" i="55"/>
  <c r="DX300" i="55" s="1"/>
  <c r="DF300" i="55" a="1"/>
  <c r="DF300" i="55" s="1"/>
  <c r="DE300" i="55" a="1"/>
  <c r="DE300" i="55" s="1"/>
  <c r="DG300" i="55" a="1"/>
  <c r="DG300" i="55" s="1"/>
  <c r="FQ47" i="55"/>
  <c r="FI47" i="55"/>
  <c r="FJ47" i="55"/>
  <c r="FN47" i="55"/>
  <c r="FK47" i="55"/>
  <c r="FL47" i="55"/>
  <c r="FO47" i="55"/>
  <c r="FM47" i="55"/>
  <c r="FP47" i="55"/>
  <c r="GS160" i="55"/>
  <c r="U21" i="55"/>
  <c r="V21" i="55"/>
  <c r="GS64" i="55"/>
  <c r="GS320" i="55"/>
  <c r="EY132" i="55"/>
  <c r="EY276" i="55"/>
  <c r="V134" i="55"/>
  <c r="U134" i="55"/>
  <c r="V198" i="55"/>
  <c r="U198" i="55"/>
  <c r="GS193" i="55"/>
  <c r="EY133" i="55"/>
  <c r="R133" i="55" s="1"/>
  <c r="R275" i="55"/>
  <c r="ID222" i="55" a="1"/>
  <c r="ID222" i="55" s="1"/>
  <c r="IE222" i="55" a="1"/>
  <c r="IE222" i="55" s="1"/>
  <c r="EY71" i="55"/>
  <c r="R71" i="55" s="1"/>
  <c r="JW322" i="55"/>
  <c r="IC322" i="55"/>
  <c r="FW322" i="55"/>
  <c r="GB322" i="55"/>
  <c r="GC322" i="55" s="1"/>
  <c r="DS322" i="55"/>
  <c r="CR322" i="55" a="1"/>
  <c r="CR322" i="55" s="1"/>
  <c r="V322" i="55"/>
  <c r="U322" i="55"/>
  <c r="EY40" i="55"/>
  <c r="R40" i="55" s="1"/>
  <c r="FN85" i="55"/>
  <c r="FO85" i="55"/>
  <c r="FP85" i="55"/>
  <c r="FK85" i="55"/>
  <c r="FH85" i="55"/>
  <c r="FL85" i="55" s="1"/>
  <c r="FJ85" i="55"/>
  <c r="FM85" i="55"/>
  <c r="FQ85" i="55"/>
  <c r="FI85" i="55"/>
  <c r="CE85" i="55" a="1"/>
  <c r="CE85" i="55" s="1"/>
  <c r="EK85" i="55" s="1"/>
  <c r="FN197" i="55"/>
  <c r="FO197" i="55"/>
  <c r="FL197" i="55"/>
  <c r="FI197" i="55"/>
  <c r="FP197" i="55"/>
  <c r="FJ197" i="55"/>
  <c r="FM197" i="55"/>
  <c r="FR197" i="55"/>
  <c r="FK197" i="55"/>
  <c r="FQ197" i="55"/>
  <c r="R218" i="55"/>
  <c r="CT80" i="55" a="1"/>
  <c r="CT80" i="55" s="1"/>
  <c r="CU80" i="55" a="1"/>
  <c r="CU80" i="55" s="1"/>
  <c r="IE96" i="55" a="1"/>
  <c r="IE96" i="55" s="1"/>
  <c r="ID96" i="55" a="1"/>
  <c r="ID96" i="55" s="1"/>
  <c r="GS161" i="55"/>
  <c r="CW166" i="55"/>
  <c r="CY166" i="55"/>
  <c r="CV166" i="55"/>
  <c r="CX166" i="55"/>
  <c r="EY209" i="55"/>
  <c r="R209" i="55" s="1"/>
  <c r="ID87" i="55" a="1"/>
  <c r="ID87" i="55" s="1"/>
  <c r="IE87" i="55" a="1"/>
  <c r="IE87" i="55" s="1"/>
  <c r="R61" i="55"/>
  <c r="CW111" i="55"/>
  <c r="CX111" i="55"/>
  <c r="CY111" i="55"/>
  <c r="CV111" i="55"/>
  <c r="CU287" i="55" a="1"/>
  <c r="CU287" i="55" s="1"/>
  <c r="CT287" i="55" a="1"/>
  <c r="CT287" i="55" s="1"/>
  <c r="CS287" i="55"/>
  <c r="CZ287" i="55" s="1"/>
  <c r="DA287" i="55" s="1"/>
  <c r="IE256" i="55" a="1"/>
  <c r="IE256" i="55" s="1"/>
  <c r="ID256" i="55" a="1"/>
  <c r="ID256" i="55" s="1"/>
  <c r="CR113" i="55" a="1"/>
  <c r="CR113" i="55" s="1"/>
  <c r="GS315" i="55"/>
  <c r="EK74" i="55"/>
  <c r="CX4" i="55"/>
  <c r="CY4" i="55"/>
  <c r="CV4" i="55"/>
  <c r="CW4" i="55"/>
  <c r="IC124" i="55"/>
  <c r="EK109" i="55"/>
  <c r="CW326" i="55"/>
  <c r="CY326" i="55"/>
  <c r="CV326" i="55"/>
  <c r="CX326" i="55"/>
  <c r="EY70" i="55"/>
  <c r="R70" i="55" s="1"/>
  <c r="FQ110" i="55"/>
  <c r="FI110" i="55"/>
  <c r="FJ110" i="55"/>
  <c r="FN110" i="55"/>
  <c r="FP110" i="55"/>
  <c r="FM110" i="55"/>
  <c r="FK110" i="55"/>
  <c r="FO110" i="55"/>
  <c r="FH110" i="55"/>
  <c r="FL110" i="55" s="1"/>
  <c r="CE110" i="55" a="1"/>
  <c r="CE110" i="55" s="1"/>
  <c r="FQ286" i="55"/>
  <c r="FI286" i="55"/>
  <c r="FR286" i="55"/>
  <c r="FJ286" i="55"/>
  <c r="FL286" i="55"/>
  <c r="FM286" i="55"/>
  <c r="FP286" i="55"/>
  <c r="FK286" i="55"/>
  <c r="FN286" i="55"/>
  <c r="FO286" i="55"/>
  <c r="CE286" i="55" a="1"/>
  <c r="CE286" i="55" s="1"/>
  <c r="GG60" i="55"/>
  <c r="GD60" i="55"/>
  <c r="BQ60" i="55"/>
  <c r="CE60" i="55" a="1"/>
  <c r="CE60" i="55" s="1"/>
  <c r="O60" i="55" s="1" a="1"/>
  <c r="O60" i="55" s="1"/>
  <c r="FY156" i="55"/>
  <c r="FX156" i="55" a="1"/>
  <c r="FX156" i="55" s="1"/>
  <c r="FX282" i="55" a="1"/>
  <c r="FX282" i="55" s="1"/>
  <c r="FY282" i="55"/>
  <c r="DH314" i="55"/>
  <c r="DG314" i="55" a="1"/>
  <c r="DG314" i="55" s="1"/>
  <c r="DF314" i="55" a="1"/>
  <c r="DF314" i="55" s="1"/>
  <c r="DE314" i="55" a="1"/>
  <c r="DE314" i="55" s="1"/>
  <c r="DE146" i="55" a="1"/>
  <c r="DE146" i="55" s="1"/>
  <c r="DF146" i="55" a="1"/>
  <c r="DF146" i="55" s="1"/>
  <c r="DG146" i="55" a="1"/>
  <c r="DG146" i="55" s="1"/>
  <c r="DH146" i="55"/>
  <c r="DX146" i="55" s="1"/>
  <c r="IV325" i="55" a="1"/>
  <c r="IV325" i="55" s="1"/>
  <c r="IW325" i="55" s="1"/>
  <c r="IX325" i="55" a="1"/>
  <c r="IX325" i="55" s="1"/>
  <c r="IY325" i="55" s="1"/>
  <c r="IP325" i="55" a="1"/>
  <c r="IP325" i="55" s="1"/>
  <c r="IQ325" i="55" s="1"/>
  <c r="IT325" i="55" a="1"/>
  <c r="IT325" i="55" s="1"/>
  <c r="IU325" i="55" s="1"/>
  <c r="IR325" i="55" a="1"/>
  <c r="IR325" i="55" s="1"/>
  <c r="IS325" i="55" s="1"/>
  <c r="IN325" i="55" a="1"/>
  <c r="IN325" i="55" s="1"/>
  <c r="IO325" i="55" s="1"/>
  <c r="R258" i="55"/>
  <c r="GS77" i="55"/>
  <c r="ID30" i="55" a="1"/>
  <c r="ID30" i="55" s="1"/>
  <c r="IE30" i="55" a="1"/>
  <c r="IE30" i="55" s="1"/>
  <c r="EY343" i="55"/>
  <c r="JW114" i="55"/>
  <c r="IC114" i="55"/>
  <c r="GB114" i="55"/>
  <c r="GC114" i="55" s="1"/>
  <c r="DS114" i="55"/>
  <c r="CR114" i="55" a="1"/>
  <c r="CR114" i="55" s="1"/>
  <c r="V114" i="55"/>
  <c r="U114" i="55"/>
  <c r="JW274" i="55"/>
  <c r="IC274" i="55"/>
  <c r="GB274" i="55"/>
  <c r="GC274" i="55" s="1"/>
  <c r="DS274" i="55"/>
  <c r="CR274" i="55" a="1"/>
  <c r="CR274" i="55" s="1"/>
  <c r="V274" i="55"/>
  <c r="U274" i="55"/>
  <c r="GS252" i="55"/>
  <c r="ID3" i="55" a="1"/>
  <c r="ID3" i="55" s="1"/>
  <c r="IE3" i="55" a="1"/>
  <c r="IE3" i="55" s="1"/>
  <c r="JW307" i="55"/>
  <c r="FW307" i="55"/>
  <c r="GB307" i="55"/>
  <c r="GC307" i="55" s="1"/>
  <c r="CR307" i="55" a="1"/>
  <c r="CR307" i="55" s="1"/>
  <c r="CS307" i="55" s="1"/>
  <c r="CZ307" i="55" s="1"/>
  <c r="DA307" i="55" s="1"/>
  <c r="IC307" i="55"/>
  <c r="DS307" i="55"/>
  <c r="V307" i="55"/>
  <c r="U307" i="55"/>
  <c r="GY207" i="55"/>
  <c r="GX207" i="55"/>
  <c r="DE223" i="55" a="1"/>
  <c r="DE223" i="55" s="1"/>
  <c r="DH223" i="55"/>
  <c r="DX223" i="55" s="1"/>
  <c r="DG223" i="55" a="1"/>
  <c r="DG223" i="55" s="1"/>
  <c r="DF223" i="55" a="1"/>
  <c r="DF223" i="55" s="1"/>
  <c r="CR223" i="55" a="1"/>
  <c r="CR223" i="55" s="1"/>
  <c r="GX303" i="55"/>
  <c r="GY303" i="55"/>
  <c r="ID271" i="55" a="1"/>
  <c r="ID271" i="55" s="1"/>
  <c r="IE271" i="55" a="1"/>
  <c r="IE271" i="55" s="1"/>
  <c r="CT273" i="55" a="1"/>
  <c r="CT273" i="55" s="1"/>
  <c r="CU273" i="55" a="1"/>
  <c r="CU273" i="55" s="1"/>
  <c r="CS273" i="55"/>
  <c r="CX308" i="55"/>
  <c r="CW308" i="55"/>
  <c r="CY308" i="55"/>
  <c r="CV308" i="55"/>
  <c r="S252" i="55"/>
  <c r="GP252" i="55"/>
  <c r="FK299" i="55"/>
  <c r="FL299" i="55"/>
  <c r="FI299" i="55"/>
  <c r="FP299" i="55"/>
  <c r="FM299" i="55"/>
  <c r="FO299" i="55"/>
  <c r="FQ299" i="55"/>
  <c r="FN299" i="55"/>
  <c r="FJ299" i="55"/>
  <c r="CE299" i="55" a="1"/>
  <c r="CE299" i="55" s="1"/>
  <c r="CU277" i="55" a="1"/>
  <c r="CU277" i="55" s="1"/>
  <c r="CT277" i="55" a="1"/>
  <c r="CT277" i="55" s="1"/>
  <c r="FJ252" i="55"/>
  <c r="FK252" i="55"/>
  <c r="FM252" i="55"/>
  <c r="FP252" i="55"/>
  <c r="FL252" i="55"/>
  <c r="FQ252" i="55"/>
  <c r="FO252" i="55"/>
  <c r="FN252" i="55"/>
  <c r="FI252" i="55"/>
  <c r="S12" i="55"/>
  <c r="GP12" i="55"/>
  <c r="FR45" i="55"/>
  <c r="FJ45" i="55"/>
  <c r="FK45" i="55"/>
  <c r="FN45" i="55"/>
  <c r="FI45" i="55"/>
  <c r="FP45" i="55"/>
  <c r="FL45" i="55"/>
  <c r="FO45" i="55"/>
  <c r="FQ45" i="55"/>
  <c r="FM45" i="55"/>
  <c r="CE45" i="55" a="1"/>
  <c r="CE45" i="55" s="1"/>
  <c r="O45" i="55" s="1" a="1"/>
  <c r="O45" i="55" s="1"/>
  <c r="GL253" i="55"/>
  <c r="O253" i="55" a="1"/>
  <c r="O253" i="55" s="1"/>
  <c r="EV253" i="55" s="1"/>
  <c r="EW253" i="55" s="1"/>
  <c r="GL206" i="55"/>
  <c r="O206" i="55" a="1"/>
  <c r="O206" i="55" s="1"/>
  <c r="EX28" i="55"/>
  <c r="EC28" i="55"/>
  <c r="EO28" i="55" s="1" a="1"/>
  <c r="EO28" i="55" s="1"/>
  <c r="EQ28" i="55" s="1"/>
  <c r="CA28" i="55"/>
  <c r="AO28" i="55" s="1"/>
  <c r="CB28" i="55" s="1"/>
  <c r="FY76" i="55"/>
  <c r="FX76" i="55" a="1"/>
  <c r="FX76" i="55" s="1"/>
  <c r="CE76" i="55" a="1"/>
  <c r="CE76" i="55" s="1"/>
  <c r="EY148" i="55"/>
  <c r="JW66" i="55"/>
  <c r="IC66" i="55"/>
  <c r="DS66" i="55"/>
  <c r="GB66" i="55"/>
  <c r="GC66" i="55" s="1"/>
  <c r="GE66" i="55" s="1" a="1"/>
  <c r="GE66" i="55" s="1"/>
  <c r="GF66" i="55" s="1"/>
  <c r="CR66" i="55" a="1"/>
  <c r="CR66" i="55" s="1"/>
  <c r="CS66" i="55" s="1"/>
  <c r="CZ66" i="55" s="1"/>
  <c r="DA66" i="55" s="1"/>
  <c r="JY66" i="55" s="1"/>
  <c r="V66" i="55"/>
  <c r="U66" i="55"/>
  <c r="JW226" i="55"/>
  <c r="IC226" i="55"/>
  <c r="GB226" i="55"/>
  <c r="GC226" i="55" s="1"/>
  <c r="DS226" i="55"/>
  <c r="V226" i="55"/>
  <c r="CR226" i="55" a="1"/>
  <c r="CR226" i="55" s="1"/>
  <c r="CS226" i="55" s="1"/>
  <c r="CZ226" i="55" s="1"/>
  <c r="DA226" i="55" s="1"/>
  <c r="U226" i="55"/>
  <c r="GS108" i="55"/>
  <c r="GS312" i="55"/>
  <c r="JC37" i="55"/>
  <c r="FP81" i="55"/>
  <c r="FH81" i="55"/>
  <c r="FL81" i="55" s="1"/>
  <c r="FQ81" i="55"/>
  <c r="FI81" i="55"/>
  <c r="FR81" i="55"/>
  <c r="FM81" i="55"/>
  <c r="FJ81" i="55"/>
  <c r="FN81" i="55"/>
  <c r="FO81" i="55"/>
  <c r="FK81" i="55"/>
  <c r="U350" i="55"/>
  <c r="V350" i="55"/>
  <c r="S238" i="55"/>
  <c r="GP238" i="55"/>
  <c r="IE191" i="55" a="1"/>
  <c r="IE191" i="55" s="1"/>
  <c r="ID191" i="55" a="1"/>
  <c r="ID191" i="55" s="1"/>
  <c r="EY314" i="55"/>
  <c r="R314" i="55" s="1"/>
  <c r="IE62" i="55" a="1"/>
  <c r="IE62" i="55" s="1"/>
  <c r="ID62" i="55" a="1"/>
  <c r="ID62" i="55" s="1"/>
  <c r="JW297" i="55"/>
  <c r="IC297" i="55"/>
  <c r="GB297" i="55"/>
  <c r="GC297" i="55" s="1"/>
  <c r="GE297" i="55" s="1" a="1"/>
  <c r="GE297" i="55" s="1"/>
  <c r="GF297" i="55" s="1"/>
  <c r="DS297" i="55"/>
  <c r="FW297" i="55"/>
  <c r="CR297" i="55" a="1"/>
  <c r="CR297" i="55" s="1"/>
  <c r="U297" i="55"/>
  <c r="V297" i="55"/>
  <c r="CU111" i="55" a="1"/>
  <c r="CU111" i="55" s="1"/>
  <c r="CT111" i="55" a="1"/>
  <c r="CT111" i="55" s="1"/>
  <c r="S312" i="55"/>
  <c r="GP312" i="55"/>
  <c r="ID68" i="55" a="1"/>
  <c r="ID68" i="55" s="1"/>
  <c r="IE68" i="55" a="1"/>
  <c r="IE68" i="55" s="1"/>
  <c r="ID148" i="55" a="1"/>
  <c r="ID148" i="55" s="1"/>
  <c r="IE148" i="55" a="1"/>
  <c r="IE148" i="55" s="1"/>
  <c r="FK155" i="55"/>
  <c r="FL155" i="55"/>
  <c r="FQ155" i="55"/>
  <c r="FN155" i="55"/>
  <c r="FI155" i="55"/>
  <c r="FO155" i="55"/>
  <c r="FM155" i="55"/>
  <c r="FJ155" i="55"/>
  <c r="FP155" i="55"/>
  <c r="CE155" i="55" a="1"/>
  <c r="CE155" i="55" s="1"/>
  <c r="O155" i="55" s="1" a="1"/>
  <c r="O155" i="55" s="1"/>
  <c r="IE318" i="55" a="1"/>
  <c r="IE318" i="55" s="1"/>
  <c r="ID318" i="55" a="1"/>
  <c r="ID318" i="55" s="1"/>
  <c r="CS277" i="55"/>
  <c r="CT341" i="55" a="1"/>
  <c r="CT341" i="55" s="1"/>
  <c r="CU341" i="55" a="1"/>
  <c r="CU341" i="55" s="1"/>
  <c r="CS341" i="55"/>
  <c r="CZ341" i="55" s="1"/>
  <c r="DA341" i="55" s="1"/>
  <c r="EY198" i="55"/>
  <c r="R198" i="55" s="1"/>
  <c r="EY344" i="55"/>
  <c r="R344" i="55" s="1"/>
  <c r="FY140" i="55"/>
  <c r="FX140" i="55" a="1"/>
  <c r="FX140" i="55" s="1"/>
  <c r="FA324" i="55"/>
  <c r="FB324" i="55"/>
  <c r="GY340" i="55"/>
  <c r="GX340" i="55"/>
  <c r="EY243" i="55"/>
  <c r="R243" i="55" s="1"/>
  <c r="EY149" i="55"/>
  <c r="EY229" i="55"/>
  <c r="V63" i="55"/>
  <c r="U63" i="55"/>
  <c r="U111" i="55"/>
  <c r="V111" i="55"/>
  <c r="GS186" i="55"/>
  <c r="GS330" i="55"/>
  <c r="EY87" i="55"/>
  <c r="R87" i="55" s="1"/>
  <c r="EY185" i="55"/>
  <c r="EY297" i="55"/>
  <c r="R297" i="55" s="1"/>
  <c r="FN101" i="55"/>
  <c r="FO101" i="55"/>
  <c r="FR101" i="55"/>
  <c r="FH101" i="55"/>
  <c r="FM101" i="55"/>
  <c r="FJ101" i="55"/>
  <c r="FL101" i="55"/>
  <c r="FP101" i="55"/>
  <c r="FK101" i="55"/>
  <c r="FI101" i="55"/>
  <c r="FQ101" i="55"/>
  <c r="GS152" i="55"/>
  <c r="FP97" i="55"/>
  <c r="FH97" i="55"/>
  <c r="FQ97" i="55"/>
  <c r="FI97" i="55"/>
  <c r="FJ97" i="55"/>
  <c r="FO97" i="55"/>
  <c r="FL97" i="55"/>
  <c r="FK97" i="55"/>
  <c r="FM97" i="55"/>
  <c r="FN97" i="55"/>
  <c r="GL209" i="55"/>
  <c r="O209" i="55" a="1"/>
  <c r="O209" i="55" s="1"/>
  <c r="FJ209" i="55"/>
  <c r="FK209" i="55"/>
  <c r="JW319" i="55"/>
  <c r="IC319" i="55"/>
  <c r="GB319" i="55"/>
  <c r="GC319" i="55" s="1"/>
  <c r="DS319" i="55"/>
  <c r="FW319" i="55"/>
  <c r="CR319" i="55" a="1"/>
  <c r="CR319" i="55" s="1"/>
  <c r="V319" i="55"/>
  <c r="U319" i="55"/>
  <c r="GQ319" i="55"/>
  <c r="GR319" i="55" s="1"/>
  <c r="U78" i="55"/>
  <c r="V78" i="55"/>
  <c r="EY164" i="55"/>
  <c r="R164" i="55" s="1"/>
  <c r="GD239" i="55"/>
  <c r="GG239" i="55"/>
  <c r="CE239" i="55" a="1"/>
  <c r="CE239" i="55" s="1"/>
  <c r="EK239" i="55" s="1"/>
  <c r="BQ239" i="55"/>
  <c r="GY287" i="55"/>
  <c r="GX287" i="55"/>
  <c r="EY301" i="55"/>
  <c r="JW25" i="55"/>
  <c r="IC25" i="55"/>
  <c r="GB25" i="55"/>
  <c r="GC25" i="55" s="1"/>
  <c r="GT25" i="55"/>
  <c r="DS25" i="55"/>
  <c r="CR25" i="55" a="1"/>
  <c r="CR25" i="55" s="1"/>
  <c r="U25" i="55"/>
  <c r="V25" i="55"/>
  <c r="CS25" i="55"/>
  <c r="T25" i="55"/>
  <c r="IE151" i="55" a="1"/>
  <c r="IE151" i="55" s="1"/>
  <c r="ID151" i="55" a="1"/>
  <c r="ID151" i="55" s="1"/>
  <c r="CT336" i="55" a="1"/>
  <c r="CT336" i="55" s="1"/>
  <c r="CU336" i="55" a="1"/>
  <c r="CU336" i="55" s="1"/>
  <c r="CS336" i="55"/>
  <c r="FK202" i="55"/>
  <c r="FL202" i="55"/>
  <c r="FJ202" i="55"/>
  <c r="FQ202" i="55"/>
  <c r="FM202" i="55"/>
  <c r="FO202" i="55"/>
  <c r="FN202" i="55"/>
  <c r="FP202" i="55"/>
  <c r="FI202" i="55"/>
  <c r="FR202" i="55"/>
  <c r="CE202" i="55" a="1"/>
  <c r="CE202" i="55" s="1"/>
  <c r="EK202" i="55" s="1"/>
  <c r="CX244" i="55"/>
  <c r="CY244" i="55"/>
  <c r="CW244" i="55"/>
  <c r="CV244" i="55"/>
  <c r="GP74" i="55"/>
  <c r="FK235" i="55"/>
  <c r="FL235" i="55"/>
  <c r="FI235" i="55"/>
  <c r="FP235" i="55"/>
  <c r="FM235" i="55"/>
  <c r="FN235" i="55"/>
  <c r="FJ235" i="55"/>
  <c r="FQ235" i="55"/>
  <c r="FO235" i="55"/>
  <c r="CT21" i="55" a="1"/>
  <c r="CT21" i="55" s="1"/>
  <c r="CU21" i="55" a="1"/>
  <c r="CU21" i="55" s="1"/>
  <c r="IE101" i="55" a="1"/>
  <c r="IE101" i="55" s="1"/>
  <c r="ID101" i="55" a="1"/>
  <c r="ID101" i="55" s="1"/>
  <c r="CU213" i="55" a="1"/>
  <c r="CU213" i="55" s="1"/>
  <c r="CT213" i="55" a="1"/>
  <c r="CT213" i="55" s="1"/>
  <c r="CS213" i="55"/>
  <c r="CZ213" i="55" s="1"/>
  <c r="DA213" i="55" s="1"/>
  <c r="FR268" i="55"/>
  <c r="FJ268" i="55"/>
  <c r="FK268" i="55"/>
  <c r="FO268" i="55"/>
  <c r="FN268" i="55"/>
  <c r="FI268" i="55"/>
  <c r="FM268" i="55"/>
  <c r="FQ268" i="55"/>
  <c r="FP268" i="55"/>
  <c r="FL268" i="55"/>
  <c r="GY60" i="55"/>
  <c r="GX60" i="55"/>
  <c r="FO19" i="55"/>
  <c r="FH19" i="55"/>
  <c r="FK19" i="55"/>
  <c r="FR19" i="55"/>
  <c r="FM19" i="55"/>
  <c r="FI19" i="55"/>
  <c r="FL19" i="55"/>
  <c r="FJ19" i="55"/>
  <c r="FN19" i="55"/>
  <c r="FQ19" i="55"/>
  <c r="GD217" i="55"/>
  <c r="GG217" i="55"/>
  <c r="CE217" i="55" a="1"/>
  <c r="CE217" i="55" s="1"/>
  <c r="EK217" i="55" s="1"/>
  <c r="BQ217" i="55"/>
  <c r="EY292" i="55"/>
  <c r="EY37" i="55"/>
  <c r="R343" i="55"/>
  <c r="U113" i="55"/>
  <c r="V113" i="55"/>
  <c r="IX283" i="55" a="1"/>
  <c r="IX283" i="55" s="1"/>
  <c r="IY283" i="55" s="1"/>
  <c r="IP283" i="55" a="1"/>
  <c r="IP283" i="55" s="1"/>
  <c r="IQ283" i="55" s="1"/>
  <c r="IT283" i="55" a="1"/>
  <c r="IT283" i="55" s="1"/>
  <c r="IU283" i="55" s="1"/>
  <c r="IV283" i="55" a="1"/>
  <c r="IV283" i="55" s="1"/>
  <c r="IW283" i="55" s="1"/>
  <c r="IN283" i="55" a="1"/>
  <c r="IN283" i="55" s="1"/>
  <c r="IO283" i="55" s="1"/>
  <c r="IR283" i="55" a="1"/>
  <c r="IR283" i="55" s="1"/>
  <c r="IS283" i="55" s="1"/>
  <c r="EV220" i="55"/>
  <c r="EW220" i="55" s="1"/>
  <c r="U3" i="55"/>
  <c r="V3" i="55"/>
  <c r="GS14" i="55"/>
  <c r="EY34" i="55"/>
  <c r="R34" i="55" s="1"/>
  <c r="EY274" i="55"/>
  <c r="R274" i="55" s="1"/>
  <c r="V85" i="55"/>
  <c r="U85" i="55"/>
  <c r="U181" i="55"/>
  <c r="V181" i="55"/>
  <c r="EY308" i="55"/>
  <c r="V214" i="55"/>
  <c r="U214" i="55"/>
  <c r="GS257" i="55"/>
  <c r="EY53" i="55"/>
  <c r="R53" i="55" s="1"/>
  <c r="R185" i="55"/>
  <c r="R82" i="55"/>
  <c r="GS328" i="55"/>
  <c r="V158" i="55"/>
  <c r="U158" i="55"/>
  <c r="V238" i="55"/>
  <c r="U238" i="55"/>
  <c r="U318" i="55"/>
  <c r="V318" i="55"/>
  <c r="FZ15" i="55"/>
  <c r="GS270" i="55"/>
  <c r="IE80" i="55" a="1"/>
  <c r="IE80" i="55" s="1"/>
  <c r="ID80" i="55" a="1"/>
  <c r="ID80" i="55" s="1"/>
  <c r="IE320" i="55" a="1"/>
  <c r="IE320" i="55" s="1"/>
  <c r="ID320" i="55" a="1"/>
  <c r="ID320" i="55" s="1"/>
  <c r="GG15" i="55"/>
  <c r="GD15" i="55"/>
  <c r="GE15" i="55" s="1" a="1"/>
  <c r="GE15" i="55" s="1"/>
  <c r="GF15" i="55" s="1"/>
  <c r="BW24" i="54" s="1" a="1"/>
  <c r="BW24" i="54" s="1"/>
  <c r="T15" i="55"/>
  <c r="HV15" i="55"/>
  <c r="GG191" i="55"/>
  <c r="GD191" i="55"/>
  <c r="GE191" i="55" s="1" a="1"/>
  <c r="GE191" i="55" s="1"/>
  <c r="GF191" i="55" s="1"/>
  <c r="BQ191" i="55"/>
  <c r="CE191" i="55" a="1"/>
  <c r="CE191" i="55" s="1"/>
  <c r="JW97" i="55"/>
  <c r="IC97" i="55"/>
  <c r="GB97" i="55"/>
  <c r="GC97" i="55" s="1"/>
  <c r="FW97" i="55"/>
  <c r="DX97" i="55"/>
  <c r="DS97" i="55"/>
  <c r="CR97" i="55" a="1"/>
  <c r="CR97" i="55" s="1"/>
  <c r="U97" i="55"/>
  <c r="V97" i="55"/>
  <c r="EY189" i="55"/>
  <c r="JF175" i="55"/>
  <c r="JM175" i="55"/>
  <c r="EL324" i="55"/>
  <c r="AY28" i="54"/>
  <c r="AZ28" i="54" s="1" a="1"/>
  <c r="AZ28" i="54" s="1"/>
  <c r="FK330" i="55"/>
  <c r="FL330" i="55"/>
  <c r="FJ330" i="55"/>
  <c r="FO330" i="55"/>
  <c r="FH330" i="55"/>
  <c r="FM330" i="55"/>
  <c r="FI330" i="55"/>
  <c r="FR330" i="55"/>
  <c r="FQ330" i="55"/>
  <c r="FP330" i="55"/>
  <c r="FN330" i="55"/>
  <c r="CT116" i="55" a="1"/>
  <c r="CT116" i="55" s="1"/>
  <c r="CU116" i="55" a="1"/>
  <c r="CU116" i="55" s="1"/>
  <c r="CS116" i="55"/>
  <c r="IE212" i="55" a="1"/>
  <c r="IE212" i="55" s="1"/>
  <c r="ID212" i="55" a="1"/>
  <c r="ID212" i="55" s="1"/>
  <c r="CX292" i="55"/>
  <c r="CV292" i="55"/>
  <c r="CY292" i="55"/>
  <c r="CW292" i="55"/>
  <c r="CS21" i="55"/>
  <c r="CZ21" i="55" s="1"/>
  <c r="DA21" i="55" s="1"/>
  <c r="FQ142" i="55"/>
  <c r="FI142" i="55"/>
  <c r="FJ142" i="55"/>
  <c r="FH142" i="55"/>
  <c r="FM142" i="55"/>
  <c r="FL142" i="55"/>
  <c r="FP142" i="55"/>
  <c r="FN142" i="55"/>
  <c r="FK142" i="55"/>
  <c r="FO142" i="55"/>
  <c r="CE142" i="55" a="1"/>
  <c r="CE142" i="55" s="1"/>
  <c r="O289" i="55" a="1"/>
  <c r="O289" i="55" s="1"/>
  <c r="EV289" i="55" s="1"/>
  <c r="EW289" i="55" s="1"/>
  <c r="GX3" i="55"/>
  <c r="HA3" i="55" s="1"/>
  <c r="GY3" i="55"/>
  <c r="GY244" i="55"/>
  <c r="GX244" i="55"/>
  <c r="CZ276" i="55"/>
  <c r="DA276" i="55" s="1"/>
  <c r="EY346" i="55"/>
  <c r="R162" i="55"/>
  <c r="EY306" i="55"/>
  <c r="EY180" i="55"/>
  <c r="R180" i="55" s="1"/>
  <c r="V15" i="55"/>
  <c r="U15" i="55"/>
  <c r="U223" i="55"/>
  <c r="V223" i="55"/>
  <c r="U271" i="55"/>
  <c r="V271" i="55"/>
  <c r="GS42" i="55"/>
  <c r="FN117" i="55"/>
  <c r="FO117" i="55"/>
  <c r="FJ117" i="55"/>
  <c r="FQ117" i="55"/>
  <c r="FR117" i="55"/>
  <c r="FP117" i="55"/>
  <c r="FM117" i="55"/>
  <c r="FK117" i="55"/>
  <c r="FI117" i="55"/>
  <c r="FH117" i="55"/>
  <c r="FL117" i="55" s="1"/>
  <c r="FN245" i="55"/>
  <c r="FO245" i="55"/>
  <c r="FJ245" i="55"/>
  <c r="FQ245" i="55"/>
  <c r="FL245" i="55"/>
  <c r="FM245" i="55"/>
  <c r="FP245" i="55"/>
  <c r="FK245" i="55"/>
  <c r="FI245" i="55"/>
  <c r="EY234" i="55"/>
  <c r="EY9" i="55"/>
  <c r="CT112" i="55" a="1"/>
  <c r="CT112" i="55" s="1"/>
  <c r="CU112" i="55" a="1"/>
  <c r="CU112" i="55" s="1"/>
  <c r="CS112" i="55"/>
  <c r="CZ112" i="55" s="1"/>
  <c r="DA112" i="55" s="1"/>
  <c r="CZ111" i="55"/>
  <c r="DA111" i="55" s="1"/>
  <c r="DH207" i="55"/>
  <c r="DX207" i="55" s="1"/>
  <c r="DG207" i="55" a="1"/>
  <c r="DG207" i="55" s="1"/>
  <c r="DE207" i="55" a="1"/>
  <c r="DE207" i="55" s="1"/>
  <c r="DF207" i="55" a="1"/>
  <c r="DF207" i="55" s="1"/>
  <c r="IC207" i="55"/>
  <c r="CR207" i="55" a="1"/>
  <c r="CR207" i="55" s="1"/>
  <c r="GG271" i="55"/>
  <c r="GD271" i="55"/>
  <c r="GE271" i="55" s="1" a="1"/>
  <c r="GE271" i="55" s="1"/>
  <c r="GF271" i="55" s="1"/>
  <c r="BQ271" i="55"/>
  <c r="CE271" i="55" a="1"/>
  <c r="CE271" i="55" s="1"/>
  <c r="EK271" i="55" s="1"/>
  <c r="U176" i="55"/>
  <c r="V176" i="55"/>
  <c r="GS274" i="55"/>
  <c r="GS223" i="55"/>
  <c r="GS84" i="55"/>
  <c r="GS263" i="55"/>
  <c r="R189" i="55"/>
  <c r="JW57" i="55"/>
  <c r="IC57" i="55"/>
  <c r="GB57" i="55"/>
  <c r="GC57" i="55" s="1"/>
  <c r="DS57" i="55"/>
  <c r="CR57" i="55" a="1"/>
  <c r="CR57" i="55" s="1"/>
  <c r="U57" i="55"/>
  <c r="V57" i="55"/>
  <c r="JW89" i="55"/>
  <c r="IC89" i="55"/>
  <c r="GB89" i="55"/>
  <c r="GC89" i="55" s="1"/>
  <c r="GE89" i="55" s="1" a="1"/>
  <c r="GE89" i="55" s="1"/>
  <c r="GF89" i="55" s="1"/>
  <c r="DS89" i="55"/>
  <c r="CR89" i="55" a="1"/>
  <c r="CR89" i="55" s="1"/>
  <c r="CS89" i="55"/>
  <c r="U89" i="55"/>
  <c r="FW89" i="55"/>
  <c r="V89" i="55"/>
  <c r="JW153" i="55"/>
  <c r="IC153" i="55"/>
  <c r="GB153" i="55"/>
  <c r="GC153" i="55" s="1"/>
  <c r="DS153" i="55"/>
  <c r="CR153" i="55" a="1"/>
  <c r="CR153" i="55" s="1"/>
  <c r="U153" i="55"/>
  <c r="CS153" i="55"/>
  <c r="V153" i="55"/>
  <c r="DG273" i="55" a="1"/>
  <c r="DG273" i="55" s="1"/>
  <c r="DF273" i="55" a="1"/>
  <c r="DF273" i="55" s="1"/>
  <c r="DH273" i="55"/>
  <c r="DX273" i="55" s="1"/>
  <c r="DE273" i="55" a="1"/>
  <c r="DE273" i="55" s="1"/>
  <c r="JL175" i="55"/>
  <c r="JE175" i="55"/>
  <c r="CT233" i="55" a="1"/>
  <c r="CT233" i="55" s="1"/>
  <c r="CU233" i="55" a="1"/>
  <c r="CU233" i="55" s="1"/>
  <c r="CS233" i="55"/>
  <c r="CZ233" i="55" s="1"/>
  <c r="DA233" i="55" s="1"/>
  <c r="IV154" i="55" a="1"/>
  <c r="IV154" i="55" s="1"/>
  <c r="IW154" i="55" s="1"/>
  <c r="IP154" i="55" a="1"/>
  <c r="IP154" i="55" s="1"/>
  <c r="IQ154" i="55" s="1"/>
  <c r="IN154" i="55" a="1"/>
  <c r="IN154" i="55" s="1"/>
  <c r="IO154" i="55" s="1"/>
  <c r="IT154" i="55" a="1"/>
  <c r="IT154" i="55" s="1"/>
  <c r="IU154" i="55" s="1"/>
  <c r="IR154" i="55" a="1"/>
  <c r="IR154" i="55" s="1"/>
  <c r="IS154" i="55" s="1"/>
  <c r="IX154" i="55" a="1"/>
  <c r="IX154" i="55" s="1"/>
  <c r="IY154" i="55" s="1"/>
  <c r="FK171" i="55"/>
  <c r="FL171" i="55"/>
  <c r="FI171" i="55"/>
  <c r="FP171" i="55"/>
  <c r="FM171" i="55"/>
  <c r="FQ171" i="55"/>
  <c r="FJ171" i="55"/>
  <c r="FO171" i="55"/>
  <c r="FN171" i="55"/>
  <c r="FR171" i="55"/>
  <c r="CE171" i="55" a="1"/>
  <c r="CE171" i="55" s="1"/>
  <c r="EK171" i="55" s="1"/>
  <c r="IE44" i="55" a="1"/>
  <c r="IE44" i="55" s="1"/>
  <c r="ID44" i="55" a="1"/>
  <c r="ID44" i="55" s="1"/>
  <c r="CW325" i="55"/>
  <c r="CX325" i="55"/>
  <c r="CY325" i="55"/>
  <c r="CV325" i="55"/>
  <c r="S11" i="55"/>
  <c r="GP11" i="55"/>
  <c r="EV203" i="55"/>
  <c r="EW203" i="55" s="1"/>
  <c r="FY228" i="55"/>
  <c r="FX228" i="55" a="1"/>
  <c r="FX228" i="55" s="1"/>
  <c r="DH248" i="55"/>
  <c r="DE248" i="55" a="1"/>
  <c r="DE248" i="55" s="1"/>
  <c r="DG248" i="55" a="1"/>
  <c r="DG248" i="55" s="1"/>
  <c r="DF248" i="55" a="1"/>
  <c r="DF248" i="55" s="1"/>
  <c r="ID63" i="55" a="1"/>
  <c r="ID63" i="55" s="1"/>
  <c r="IE63" i="55" a="1"/>
  <c r="IE63" i="55" s="1"/>
  <c r="IE145" i="55" a="1"/>
  <c r="IE145" i="55" s="1"/>
  <c r="ID145" i="55" a="1"/>
  <c r="ID145" i="55" s="1"/>
  <c r="GS206" i="55"/>
  <c r="EY259" i="55"/>
  <c r="R259" i="55" s="1"/>
  <c r="U175" i="55"/>
  <c r="V175" i="55"/>
  <c r="R183" i="55"/>
  <c r="JW130" i="55"/>
  <c r="IC130" i="55"/>
  <c r="DX130" i="55"/>
  <c r="GB130" i="55"/>
  <c r="GC130" i="55" s="1"/>
  <c r="DS130" i="55"/>
  <c r="CR130" i="55" a="1"/>
  <c r="CR130" i="55" s="1"/>
  <c r="CS130" i="55" s="1"/>
  <c r="CZ130" i="55" s="1"/>
  <c r="DA130" i="55" s="1"/>
  <c r="T130" i="55"/>
  <c r="U130" i="55"/>
  <c r="V130" i="55"/>
  <c r="JW290" i="55"/>
  <c r="IC290" i="55"/>
  <c r="FW290" i="55"/>
  <c r="GB290" i="55"/>
  <c r="GC290" i="55" s="1"/>
  <c r="DX290" i="55"/>
  <c r="DS290" i="55"/>
  <c r="CS290" i="55"/>
  <c r="U290" i="55"/>
  <c r="V290" i="55"/>
  <c r="CR290" i="55" a="1"/>
  <c r="CR290" i="55" s="1"/>
  <c r="U337" i="55"/>
  <c r="V337" i="55"/>
  <c r="EY105" i="55"/>
  <c r="FN5" i="55"/>
  <c r="FO5" i="55"/>
  <c r="FL5" i="55"/>
  <c r="FI5" i="55"/>
  <c r="FQ5" i="55"/>
  <c r="FR5" i="55"/>
  <c r="FM5" i="55"/>
  <c r="FK5" i="55"/>
  <c r="FJ5" i="55"/>
  <c r="FH5" i="55"/>
  <c r="R290" i="55"/>
  <c r="GS184" i="55"/>
  <c r="GS344" i="55"/>
  <c r="GQ341" i="55"/>
  <c r="GR341" i="55" s="1"/>
  <c r="GL113" i="55"/>
  <c r="FP225" i="55"/>
  <c r="FQ225" i="55"/>
  <c r="FI225" i="55"/>
  <c r="FJ225" i="55"/>
  <c r="FO225" i="55"/>
  <c r="FL225" i="55"/>
  <c r="FM225" i="55"/>
  <c r="FK225" i="55"/>
  <c r="FN225" i="55"/>
  <c r="V46" i="55"/>
  <c r="U46" i="55"/>
  <c r="U126" i="55"/>
  <c r="V126" i="55"/>
  <c r="IT31" i="55" a="1"/>
  <c r="IT31" i="55" s="1"/>
  <c r="IU31" i="55" s="1"/>
  <c r="IN31" i="55" a="1"/>
  <c r="IN31" i="55" s="1"/>
  <c r="IO31" i="55" s="1"/>
  <c r="IV31" i="55" a="1"/>
  <c r="IV31" i="55" s="1"/>
  <c r="IW31" i="55" s="1"/>
  <c r="IX31" i="55" a="1"/>
  <c r="IX31" i="55" s="1"/>
  <c r="IY31" i="55" s="1"/>
  <c r="IP31" i="55" a="1"/>
  <c r="IP31" i="55" s="1"/>
  <c r="IQ31" i="55" s="1"/>
  <c r="IR31" i="55" a="1"/>
  <c r="IR31" i="55" s="1"/>
  <c r="IS31" i="55" s="1"/>
  <c r="IE224" i="55" a="1"/>
  <c r="IE224" i="55" s="1"/>
  <c r="ID224" i="55" a="1"/>
  <c r="ID224" i="55" s="1"/>
  <c r="GD143" i="55"/>
  <c r="GE143" i="55" s="1" a="1"/>
  <c r="GE143" i="55" s="1"/>
  <c r="GF143" i="55" s="1"/>
  <c r="GG143" i="55"/>
  <c r="CE143" i="55" a="1"/>
  <c r="CE143" i="55" s="1"/>
  <c r="BQ143" i="55"/>
  <c r="DE159" i="55" a="1"/>
  <c r="DE159" i="55" s="1"/>
  <c r="DF159" i="55" a="1"/>
  <c r="DF159" i="55" s="1"/>
  <c r="DH159" i="55"/>
  <c r="DG159" i="55" a="1"/>
  <c r="DG159" i="55" s="1"/>
  <c r="GD319" i="55"/>
  <c r="GG319" i="55"/>
  <c r="CE319" i="55" a="1"/>
  <c r="CE319" i="55" s="1"/>
  <c r="FR319" i="55" s="1"/>
  <c r="BQ319" i="55"/>
  <c r="DH335" i="55"/>
  <c r="DX335" i="55" s="1"/>
  <c r="DG335" i="55" a="1"/>
  <c r="DG335" i="55" s="1"/>
  <c r="DE335" i="55" a="1"/>
  <c r="DE335" i="55" s="1"/>
  <c r="DF335" i="55" a="1"/>
  <c r="DF335" i="55" s="1"/>
  <c r="IC335" i="55"/>
  <c r="CR335" i="55" a="1"/>
  <c r="CR335" i="55" s="1"/>
  <c r="JW81" i="55"/>
  <c r="IC81" i="55"/>
  <c r="GB81" i="55"/>
  <c r="GC81" i="55" s="1"/>
  <c r="GE81" i="55" s="1" a="1"/>
  <c r="GE81" i="55" s="1"/>
  <c r="GF81" i="55" s="1"/>
  <c r="DS81" i="55"/>
  <c r="CR81" i="55" a="1"/>
  <c r="CR81" i="55" s="1"/>
  <c r="U81" i="55"/>
  <c r="V81" i="55"/>
  <c r="JW225" i="55"/>
  <c r="IC225" i="55"/>
  <c r="GB225" i="55"/>
  <c r="GC225" i="55" s="1"/>
  <c r="FW225" i="55"/>
  <c r="CR225" i="55" a="1"/>
  <c r="CR225" i="55" s="1"/>
  <c r="CS225" i="55" s="1"/>
  <c r="CZ225" i="55" s="1"/>
  <c r="DA225" i="55" s="1"/>
  <c r="DS225" i="55"/>
  <c r="U225" i="55"/>
  <c r="V225" i="55"/>
  <c r="V304" i="55"/>
  <c r="U304" i="55"/>
  <c r="FZ159" i="55"/>
  <c r="EY313" i="55"/>
  <c r="R313" i="55" s="1"/>
  <c r="R93" i="55"/>
  <c r="GE335" i="55" a="1"/>
  <c r="GE335" i="55" s="1"/>
  <c r="GF335" i="55" s="1"/>
  <c r="IE41" i="55" a="1"/>
  <c r="IE41" i="55" s="1"/>
  <c r="ID41" i="55" a="1"/>
  <c r="ID41" i="55" s="1"/>
  <c r="V11" i="55"/>
  <c r="U11" i="55"/>
  <c r="JG175" i="55"/>
  <c r="JN175" i="55"/>
  <c r="ID351" i="55" a="1"/>
  <c r="ID351" i="55" s="1"/>
  <c r="IE351" i="55" a="1"/>
  <c r="IE351" i="55" s="1"/>
  <c r="S184" i="55"/>
  <c r="GP184" i="55"/>
  <c r="GQ188" i="55" s="1"/>
  <c r="CU196" i="55" a="1"/>
  <c r="CU196" i="55" s="1"/>
  <c r="CT196" i="55" a="1"/>
  <c r="CT196" i="55" s="1"/>
  <c r="CS196" i="55"/>
  <c r="GE244" i="55" a="1"/>
  <c r="GE244" i="55" s="1"/>
  <c r="GF244" i="55" s="1"/>
  <c r="CU308" i="55" a="1"/>
  <c r="CU308" i="55" s="1"/>
  <c r="CT308" i="55" a="1"/>
  <c r="CT308" i="55" s="1"/>
  <c r="CE251" i="55" a="1"/>
  <c r="CE251" i="55" s="1"/>
  <c r="O251" i="55" s="1" a="1"/>
  <c r="O251" i="55" s="1"/>
  <c r="GL92" i="55"/>
  <c r="FR61" i="55"/>
  <c r="FJ61" i="55"/>
  <c r="FK61" i="55"/>
  <c r="FP61" i="55"/>
  <c r="FM61" i="55"/>
  <c r="FH61" i="55"/>
  <c r="FL61" i="55" s="1"/>
  <c r="FN61" i="55"/>
  <c r="FQ61" i="55"/>
  <c r="FI61" i="55"/>
  <c r="FO61" i="55"/>
  <c r="FQ46" i="55"/>
  <c r="FI46" i="55"/>
  <c r="FR46" i="55"/>
  <c r="FJ46" i="55"/>
  <c r="FN46" i="55"/>
  <c r="FL46" i="55"/>
  <c r="FO46" i="55"/>
  <c r="FP46" i="55"/>
  <c r="FM46" i="55"/>
  <c r="FK46" i="55"/>
  <c r="CE46" i="55" a="1"/>
  <c r="CE46" i="55" s="1"/>
  <c r="EY39" i="55"/>
  <c r="GL144" i="55"/>
  <c r="EY191" i="55"/>
  <c r="GY203" i="55"/>
  <c r="GX203" i="55"/>
  <c r="GY315" i="55"/>
  <c r="GX315" i="55"/>
  <c r="CU325" i="55" a="1"/>
  <c r="CU325" i="55" s="1"/>
  <c r="CT325" i="55" a="1"/>
  <c r="CT325" i="55" s="1"/>
  <c r="ID167" i="55" a="1"/>
  <c r="ID167" i="55" s="1"/>
  <c r="IE167" i="55" a="1"/>
  <c r="IE167" i="55" s="1"/>
  <c r="FR109" i="55"/>
  <c r="FJ109" i="55"/>
  <c r="FK109" i="55"/>
  <c r="FN109" i="55"/>
  <c r="FI109" i="55"/>
  <c r="FP109" i="55"/>
  <c r="FH109" i="55"/>
  <c r="FL109" i="55" s="1"/>
  <c r="FQ109" i="55"/>
  <c r="FM109" i="55"/>
  <c r="FO109" i="55"/>
  <c r="EY118" i="55"/>
  <c r="EY262" i="55"/>
  <c r="EY120" i="55"/>
  <c r="DH12" i="55"/>
  <c r="DF12" i="55" a="1"/>
  <c r="DF12" i="55" s="1"/>
  <c r="DG12" i="55" a="1"/>
  <c r="DG12" i="55" s="1"/>
  <c r="DE12" i="55" a="1"/>
  <c r="DE12" i="55" s="1"/>
  <c r="GX44" i="55"/>
  <c r="GY44" i="55"/>
  <c r="DH92" i="55"/>
  <c r="DF92" i="55" a="1"/>
  <c r="DF92" i="55" s="1"/>
  <c r="DG92" i="55" a="1"/>
  <c r="DG92" i="55" s="1"/>
  <c r="DE92" i="55" a="1"/>
  <c r="DE92" i="55" s="1"/>
  <c r="FY268" i="55"/>
  <c r="FX268" i="55" a="1"/>
  <c r="FX268" i="55" s="1"/>
  <c r="FZ268" i="55" s="1"/>
  <c r="GG332" i="55"/>
  <c r="GD332" i="55"/>
  <c r="BQ332" i="55"/>
  <c r="CE332" i="55" a="1"/>
  <c r="CE332" i="55" s="1"/>
  <c r="EK332" i="55" s="1"/>
  <c r="CU206" i="55" a="1"/>
  <c r="CU206" i="55" s="1"/>
  <c r="CT206" i="55" a="1"/>
  <c r="CT206" i="55" s="1"/>
  <c r="CS206" i="55"/>
  <c r="GE47" i="55" a="1"/>
  <c r="GE47" i="55" s="1"/>
  <c r="GF47" i="55" s="1"/>
  <c r="BL21" i="54" a="1"/>
  <c r="BL21" i="54" s="1"/>
  <c r="AJ21" i="54" a="1"/>
  <c r="AJ21" i="54" s="1"/>
  <c r="B21" i="54" s="1"/>
  <c r="AG21" i="54" s="1"/>
  <c r="BP21" i="54" a="1"/>
  <c r="BP21" i="54" s="1"/>
  <c r="V21" i="54" a="1"/>
  <c r="V21" i="54" s="1"/>
  <c r="BX21" i="54" a="1"/>
  <c r="BX21" i="54" s="1"/>
  <c r="GY164" i="55"/>
  <c r="GX164" i="55"/>
  <c r="DE180" i="55" a="1"/>
  <c r="DE180" i="55" s="1"/>
  <c r="DF180" i="55" a="1"/>
  <c r="DF180" i="55" s="1"/>
  <c r="DG180" i="55" a="1"/>
  <c r="DG180" i="55" s="1"/>
  <c r="DH180" i="55"/>
  <c r="DX180" i="55" s="1"/>
  <c r="GD212" i="55"/>
  <c r="GE212" i="55" s="1" a="1"/>
  <c r="GE212" i="55" s="1"/>
  <c r="GF212" i="55" s="1"/>
  <c r="GG212" i="55"/>
  <c r="CE212" i="55" a="1"/>
  <c r="CE212" i="55" s="1"/>
  <c r="EK212" i="55" s="1"/>
  <c r="BQ212" i="55"/>
  <c r="GS35" i="55"/>
  <c r="C3" i="40" a="1"/>
  <c r="C3" i="40" s="1"/>
  <c r="DH72" i="55"/>
  <c r="DX72" i="55" s="1"/>
  <c r="DE72" i="55" a="1"/>
  <c r="DE72" i="55" s="1"/>
  <c r="DF72" i="55" a="1"/>
  <c r="DF72" i="55" s="1"/>
  <c r="DG72" i="55" a="1"/>
  <c r="DG72" i="55" s="1"/>
  <c r="FX104" i="55" a="1"/>
  <c r="FX104" i="55" s="1"/>
  <c r="FY104" i="55"/>
  <c r="GX136" i="55"/>
  <c r="GY136" i="55"/>
  <c r="FX73" i="55" a="1"/>
  <c r="FX73" i="55" s="1"/>
  <c r="FY73" i="55"/>
  <c r="DG121" i="55" a="1"/>
  <c r="DG121" i="55" s="1"/>
  <c r="DH121" i="55"/>
  <c r="DX121" i="55" s="1"/>
  <c r="DE121" i="55" a="1"/>
  <c r="DE121" i="55" s="1"/>
  <c r="DF121" i="55" a="1"/>
  <c r="DF121" i="55" s="1"/>
  <c r="DG153" i="55" a="1"/>
  <c r="DG153" i="55" s="1"/>
  <c r="DE153" i="55" a="1"/>
  <c r="DE153" i="55" s="1"/>
  <c r="DF153" i="55" a="1"/>
  <c r="DF153" i="55" s="1"/>
  <c r="DH153" i="55"/>
  <c r="DX153" i="55" s="1"/>
  <c r="DH170" i="55"/>
  <c r="DX170" i="55" s="1"/>
  <c r="DE170" i="55" a="1"/>
  <c r="DE170" i="55" s="1"/>
  <c r="DF170" i="55" a="1"/>
  <c r="DF170" i="55" s="1"/>
  <c r="DG170" i="55" a="1"/>
  <c r="DG170" i="55" s="1"/>
  <c r="FQ287" i="55"/>
  <c r="FI287" i="55"/>
  <c r="FJ287" i="55"/>
  <c r="FO287" i="55"/>
  <c r="FL287" i="55"/>
  <c r="FK287" i="55"/>
  <c r="FN287" i="55"/>
  <c r="FM287" i="55"/>
  <c r="FP287" i="55"/>
  <c r="GY187" i="55"/>
  <c r="GX187" i="55"/>
  <c r="CW174" i="55"/>
  <c r="CX174" i="55"/>
  <c r="CY174" i="55"/>
  <c r="CV174" i="55"/>
  <c r="AY23" i="54"/>
  <c r="AZ23" i="54" s="1" a="1"/>
  <c r="AZ23" i="54" s="1"/>
  <c r="FP224" i="55"/>
  <c r="FH224" i="55"/>
  <c r="FQ224" i="55"/>
  <c r="FI224" i="55"/>
  <c r="FO224" i="55"/>
  <c r="FM224" i="55"/>
  <c r="FL224" i="55"/>
  <c r="FR224" i="55"/>
  <c r="FN224" i="55"/>
  <c r="FJ224" i="55"/>
  <c r="FK224" i="55"/>
  <c r="FP336" i="55"/>
  <c r="FH336" i="55"/>
  <c r="FQ336" i="55"/>
  <c r="FI336" i="55"/>
  <c r="FM336" i="55"/>
  <c r="FL336" i="55"/>
  <c r="FR336" i="55"/>
  <c r="FN336" i="55"/>
  <c r="FJ336" i="55"/>
  <c r="FK336" i="55"/>
  <c r="FO336" i="55"/>
  <c r="FO163" i="55"/>
  <c r="FP163" i="55"/>
  <c r="FM163" i="55"/>
  <c r="FJ163" i="55"/>
  <c r="FQ163" i="55"/>
  <c r="FI163" i="55"/>
  <c r="FL163" i="55"/>
  <c r="FK163" i="55"/>
  <c r="FN163" i="55"/>
  <c r="GY68" i="55"/>
  <c r="GX68" i="55"/>
  <c r="DE116" i="55" a="1"/>
  <c r="DE116" i="55" s="1"/>
  <c r="DF116" i="55" a="1"/>
  <c r="DF116" i="55" s="1"/>
  <c r="DG116" i="55" a="1"/>
  <c r="DG116" i="55" s="1"/>
  <c r="DH116" i="55"/>
  <c r="DX116" i="55" s="1"/>
  <c r="IC116" i="55"/>
  <c r="FX24" i="55" a="1"/>
  <c r="FX24" i="55" s="1"/>
  <c r="FY24" i="55"/>
  <c r="GX72" i="55"/>
  <c r="GY72" i="55"/>
  <c r="GD264" i="55"/>
  <c r="GG264" i="55"/>
  <c r="BQ264" i="55"/>
  <c r="CE264" i="55" a="1"/>
  <c r="CE264" i="55" s="1"/>
  <c r="FR264" i="55" s="1"/>
  <c r="HX25" i="55"/>
  <c r="HY25" i="55"/>
  <c r="EL25" i="55"/>
  <c r="FX154" i="55" a="1"/>
  <c r="FX154" i="55" s="1"/>
  <c r="FY154" i="55"/>
  <c r="IE102" i="55" a="1"/>
  <c r="IE102" i="55" s="1"/>
  <c r="ID102" i="55" a="1"/>
  <c r="ID102" i="55" s="1"/>
  <c r="DH317" i="55"/>
  <c r="DX317" i="55" s="1"/>
  <c r="DE317" i="55" a="1"/>
  <c r="DE317" i="55" s="1"/>
  <c r="DF317" i="55" a="1"/>
  <c r="DF317" i="55" s="1"/>
  <c r="DG317" i="55" a="1"/>
  <c r="DG317" i="55" s="1"/>
  <c r="GS99" i="55"/>
  <c r="GS211" i="55"/>
  <c r="EY216" i="55"/>
  <c r="DH172" i="55"/>
  <c r="DX172" i="55" s="1"/>
  <c r="DF172" i="55" a="1"/>
  <c r="DF172" i="55" s="1"/>
  <c r="DG172" i="55" a="1"/>
  <c r="DG172" i="55" s="1"/>
  <c r="DE172" i="55" a="1"/>
  <c r="DE172" i="55" s="1"/>
  <c r="IC172" i="55"/>
  <c r="CR172" i="55" a="1"/>
  <c r="CR172" i="55" s="1"/>
  <c r="GY252" i="55"/>
  <c r="GX252" i="55"/>
  <c r="JW252" i="55"/>
  <c r="IC252" i="55"/>
  <c r="GB252" i="55"/>
  <c r="GC252" i="55" s="1"/>
  <c r="GE252" i="55" s="1" a="1"/>
  <c r="GE252" i="55" s="1"/>
  <c r="GF252" i="55" s="1"/>
  <c r="DS252" i="55"/>
  <c r="CR252" i="55" a="1"/>
  <c r="CR252" i="55" s="1"/>
  <c r="CS252" i="55" s="1"/>
  <c r="FW252" i="55"/>
  <c r="U252" i="55"/>
  <c r="V252" i="55"/>
  <c r="FP128" i="55"/>
  <c r="FH128" i="55"/>
  <c r="FL128" i="55" s="1"/>
  <c r="FQ128" i="55"/>
  <c r="FI128" i="55"/>
  <c r="FK128" i="55"/>
  <c r="FO128" i="55"/>
  <c r="FJ128" i="55"/>
  <c r="FN128" i="55"/>
  <c r="FM128" i="55"/>
  <c r="CE128" i="55" a="1"/>
  <c r="CE128" i="55" s="1"/>
  <c r="O128" i="55" s="1" a="1"/>
  <c r="O128" i="55" s="1"/>
  <c r="FO115" i="55"/>
  <c r="FP115" i="55"/>
  <c r="FH115" i="55"/>
  <c r="FL115" i="55" s="1"/>
  <c r="FQ115" i="55"/>
  <c r="FI115" i="55"/>
  <c r="FJ115" i="55"/>
  <c r="FM115" i="55"/>
  <c r="FN115" i="55"/>
  <c r="FK115" i="55"/>
  <c r="CE115" i="55" a="1"/>
  <c r="CE115" i="55" s="1"/>
  <c r="EK115" i="55" s="1"/>
  <c r="DZ4" i="55"/>
  <c r="EB4" i="55"/>
  <c r="GY260" i="55"/>
  <c r="GX260" i="55"/>
  <c r="R142" i="55"/>
  <c r="EY238" i="55"/>
  <c r="R238" i="55" s="1"/>
  <c r="GG8" i="55"/>
  <c r="GD8" i="55"/>
  <c r="HV8" i="55"/>
  <c r="FY200" i="55"/>
  <c r="FX200" i="55" a="1"/>
  <c r="FX200" i="55" s="1"/>
  <c r="CE200" i="55" a="1"/>
  <c r="CE200" i="55" s="1"/>
  <c r="DH216" i="55"/>
  <c r="DX216" i="55" s="1"/>
  <c r="DG216" i="55" a="1"/>
  <c r="DG216" i="55" s="1"/>
  <c r="DF216" i="55" a="1"/>
  <c r="DF216" i="55" s="1"/>
  <c r="DE216" i="55" a="1"/>
  <c r="DE216" i="55" s="1"/>
  <c r="GX232" i="55"/>
  <c r="GY232" i="55"/>
  <c r="JW72" i="55"/>
  <c r="IC72" i="55"/>
  <c r="GB72" i="55"/>
  <c r="GC72" i="55" s="1"/>
  <c r="GE72" i="55" s="1" a="1"/>
  <c r="GE72" i="55" s="1"/>
  <c r="GF72" i="55" s="1"/>
  <c r="DS72" i="55"/>
  <c r="CR72" i="55" a="1"/>
  <c r="CR72" i="55" s="1"/>
  <c r="CS72" i="55" s="1"/>
  <c r="CZ72" i="55" s="1"/>
  <c r="DA72" i="55" s="1"/>
  <c r="U72" i="55"/>
  <c r="V72" i="55"/>
  <c r="GD9" i="55"/>
  <c r="GE9" i="55" s="1" a="1"/>
  <c r="GE9" i="55" s="1"/>
  <c r="GF9" i="55" s="1"/>
  <c r="BW18" i="54" s="1" a="1"/>
  <c r="BW18" i="54" s="1"/>
  <c r="GG9" i="55"/>
  <c r="HV9" i="55"/>
  <c r="T9" i="55"/>
  <c r="GD25" i="55"/>
  <c r="GG25" i="55"/>
  <c r="HV25" i="55"/>
  <c r="FX41" i="55" a="1"/>
  <c r="FX41" i="55" s="1"/>
  <c r="FY41" i="55"/>
  <c r="GX57" i="55"/>
  <c r="GY57" i="55"/>
  <c r="DG73" i="55" a="1"/>
  <c r="DG73" i="55" s="1"/>
  <c r="DE73" i="55" a="1"/>
  <c r="DE73" i="55" s="1"/>
  <c r="DF73" i="55" a="1"/>
  <c r="DF73" i="55" s="1"/>
  <c r="DH73" i="55"/>
  <c r="DX73" i="55" s="1"/>
  <c r="IC73" i="55"/>
  <c r="FQ271" i="55"/>
  <c r="FI271" i="55"/>
  <c r="FJ271" i="55"/>
  <c r="FM271" i="55"/>
  <c r="FO271" i="55"/>
  <c r="FN271" i="55"/>
  <c r="FP271" i="55"/>
  <c r="FK271" i="55"/>
  <c r="FL271" i="55"/>
  <c r="DH58" i="55"/>
  <c r="DG58" i="55" a="1"/>
  <c r="DG58" i="55" s="1"/>
  <c r="DF58" i="55" a="1"/>
  <c r="DF58" i="55" s="1"/>
  <c r="DE58" i="55" a="1"/>
  <c r="DE58" i="55" s="1"/>
  <c r="IE230" i="55" a="1"/>
  <c r="IE230" i="55" s="1"/>
  <c r="ID230" i="55" a="1"/>
  <c r="ID230" i="55" s="1"/>
  <c r="EL61" i="55"/>
  <c r="GG285" i="55"/>
  <c r="GD285" i="55"/>
  <c r="O285" i="55" a="1"/>
  <c r="O285" i="55" s="1"/>
  <c r="GG301" i="55"/>
  <c r="GD301" i="55"/>
  <c r="O301" i="55" a="1"/>
  <c r="O301" i="55" s="1"/>
  <c r="EV301" i="55" s="1"/>
  <c r="EW301" i="55" s="1"/>
  <c r="FI301" i="55"/>
  <c r="FY333" i="55"/>
  <c r="FX333" i="55" a="1"/>
  <c r="FX333" i="55" s="1"/>
  <c r="FZ333" i="55" s="1"/>
  <c r="FY163" i="55"/>
  <c r="FX163" i="55" a="1"/>
  <c r="FX163" i="55" s="1"/>
  <c r="FZ163" i="55" s="1"/>
  <c r="FY243" i="55"/>
  <c r="FX243" i="55" a="1"/>
  <c r="FX243" i="55" s="1"/>
  <c r="GX307" i="55"/>
  <c r="GY307" i="55"/>
  <c r="GL120" i="55"/>
  <c r="O120" i="55" a="1"/>
  <c r="O120" i="55" s="1"/>
  <c r="FR13" i="55"/>
  <c r="FJ13" i="55"/>
  <c r="FK13" i="55"/>
  <c r="FH13" i="55"/>
  <c r="FO13" i="55"/>
  <c r="FL13" i="55"/>
  <c r="FN13" i="55"/>
  <c r="FI13" i="55"/>
  <c r="FQ13" i="55"/>
  <c r="FM13" i="55"/>
  <c r="ID127" i="55" a="1"/>
  <c r="ID127" i="55" s="1"/>
  <c r="IE127" i="55" a="1"/>
  <c r="IE127" i="55" s="1"/>
  <c r="EK190" i="55"/>
  <c r="O190" i="55" a="1"/>
  <c r="O190" i="55" s="1"/>
  <c r="EY56" i="55"/>
  <c r="FA193" i="55"/>
  <c r="FB193" i="55"/>
  <c r="EL193" i="55"/>
  <c r="FY44" i="55"/>
  <c r="FX44" i="55" a="1"/>
  <c r="FX44" i="55" s="1"/>
  <c r="CE44" i="55" a="1"/>
  <c r="CE44" i="55" s="1"/>
  <c r="O44" i="55" s="1" a="1"/>
  <c r="O44" i="55" s="1"/>
  <c r="FY60" i="55"/>
  <c r="FX60" i="55" a="1"/>
  <c r="FX60" i="55" s="1"/>
  <c r="DH156" i="55"/>
  <c r="DX156" i="55" s="1"/>
  <c r="DF156" i="55" a="1"/>
  <c r="DF156" i="55" s="1"/>
  <c r="DG156" i="55" a="1"/>
  <c r="DG156" i="55" s="1"/>
  <c r="DE156" i="55" a="1"/>
  <c r="DE156" i="55" s="1"/>
  <c r="S271" i="55"/>
  <c r="GP271" i="55"/>
  <c r="FY4" i="55"/>
  <c r="FX4" i="55" a="1"/>
  <c r="FX4" i="55" s="1"/>
  <c r="FY68" i="55"/>
  <c r="FX68" i="55" a="1"/>
  <c r="FX68" i="55" s="1"/>
  <c r="FZ68" i="55" s="1"/>
  <c r="CE68" i="55" a="1"/>
  <c r="CE68" i="55" s="1"/>
  <c r="FR68" i="55" s="1"/>
  <c r="DG132" i="55" a="1"/>
  <c r="DG132" i="55" s="1"/>
  <c r="DE132" i="55" a="1"/>
  <c r="DE132" i="55" s="1"/>
  <c r="DH132" i="55"/>
  <c r="DX132" i="55" s="1"/>
  <c r="DF132" i="55" a="1"/>
  <c r="DF132" i="55" s="1"/>
  <c r="DE148" i="55" a="1"/>
  <c r="DE148" i="55" s="1"/>
  <c r="DF148" i="55" a="1"/>
  <c r="DF148" i="55" s="1"/>
  <c r="DH148" i="55"/>
  <c r="DX148" i="55" s="1"/>
  <c r="DG148" i="55" a="1"/>
  <c r="DG148" i="55" s="1"/>
  <c r="CR148" i="55" a="1"/>
  <c r="CR148" i="55" s="1"/>
  <c r="CZ244" i="55"/>
  <c r="DA244" i="55" s="1"/>
  <c r="EY142" i="55"/>
  <c r="EY350" i="55"/>
  <c r="R350" i="55" s="1"/>
  <c r="GX26" i="55"/>
  <c r="GY26" i="55"/>
  <c r="DH42" i="55"/>
  <c r="DE42" i="55" a="1"/>
  <c r="DE42" i="55" s="1"/>
  <c r="DG42" i="55" a="1"/>
  <c r="DG42" i="55" s="1"/>
  <c r="DF42" i="55" a="1"/>
  <c r="DF42" i="55" s="1"/>
  <c r="DF235" i="55" a="1"/>
  <c r="DF235" i="55" s="1"/>
  <c r="DE235" i="55" a="1"/>
  <c r="DE235" i="55" s="1"/>
  <c r="DH235" i="55"/>
  <c r="DX235" i="55" s="1"/>
  <c r="DG235" i="55" a="1"/>
  <c r="DG235" i="55" s="1"/>
  <c r="DF251" i="55" a="1"/>
  <c r="DF251" i="55" s="1"/>
  <c r="DH251" i="55"/>
  <c r="DG251" i="55" a="1"/>
  <c r="DG251" i="55" s="1"/>
  <c r="DE251" i="55" a="1"/>
  <c r="DE251" i="55" s="1"/>
  <c r="GG331" i="55"/>
  <c r="GD331" i="55"/>
  <c r="O331" i="55" a="1"/>
  <c r="O331" i="55" s="1"/>
  <c r="DF347" i="55" a="1"/>
  <c r="DF347" i="55" s="1"/>
  <c r="DG347" i="55" a="1"/>
  <c r="DG347" i="55" s="1"/>
  <c r="DE347" i="55" a="1"/>
  <c r="DE347" i="55" s="1"/>
  <c r="DH347" i="55"/>
  <c r="DX347" i="55" s="1"/>
  <c r="EY139" i="55"/>
  <c r="R139" i="55" s="1"/>
  <c r="FA243" i="55"/>
  <c r="FB243" i="55"/>
  <c r="EL243" i="55"/>
  <c r="FA307" i="55"/>
  <c r="FB307" i="55"/>
  <c r="EL307" i="55"/>
  <c r="GL278" i="55"/>
  <c r="O278" i="55" a="1"/>
  <c r="O278" i="55" s="1"/>
  <c r="EV278" i="55" s="1"/>
  <c r="EW278" i="55" s="1"/>
  <c r="FL265" i="55"/>
  <c r="FM265" i="55"/>
  <c r="FJ265" i="55"/>
  <c r="FQ265" i="55"/>
  <c r="FN265" i="55"/>
  <c r="FK265" i="55"/>
  <c r="FO265" i="55"/>
  <c r="FP265" i="55"/>
  <c r="FI265" i="55"/>
  <c r="JW243" i="55"/>
  <c r="GB243" i="55"/>
  <c r="GC243" i="55" s="1"/>
  <c r="IC243" i="55"/>
  <c r="DS243" i="55"/>
  <c r="CR243" i="55" a="1"/>
  <c r="CR243" i="55" s="1"/>
  <c r="CS243" i="55"/>
  <c r="U243" i="55"/>
  <c r="V243" i="55"/>
  <c r="EY170" i="55"/>
  <c r="R170" i="55" s="1"/>
  <c r="GL129" i="55"/>
  <c r="GL241" i="55"/>
  <c r="JW79" i="55"/>
  <c r="IC79" i="55"/>
  <c r="GB79" i="55"/>
  <c r="GC79" i="55" s="1"/>
  <c r="CR79" i="55" a="1"/>
  <c r="CR79" i="55" s="1"/>
  <c r="CS79" i="55" s="1"/>
  <c r="DS79" i="55"/>
  <c r="U79" i="55"/>
  <c r="V79" i="55"/>
  <c r="U206" i="55"/>
  <c r="V206" i="55"/>
  <c r="ID270" i="55" a="1"/>
  <c r="ID270" i="55" s="1"/>
  <c r="IE270" i="55" a="1"/>
  <c r="IE270" i="55" s="1"/>
  <c r="CW48" i="55"/>
  <c r="CY48" i="55"/>
  <c r="CX48" i="55"/>
  <c r="CV48" i="55"/>
  <c r="DH15" i="55"/>
  <c r="DX15" i="55" s="1"/>
  <c r="DG15" i="55" a="1"/>
  <c r="DG15" i="55" s="1"/>
  <c r="DF15" i="55" a="1"/>
  <c r="DF15" i="55" s="1"/>
  <c r="DE15" i="55" a="1"/>
  <c r="DE15" i="55" s="1"/>
  <c r="CR15" i="55" a="1"/>
  <c r="CR15" i="55" s="1"/>
  <c r="GG47" i="55"/>
  <c r="GD47" i="55"/>
  <c r="BQ47" i="55"/>
  <c r="CE47" i="55" a="1"/>
  <c r="CE47" i="55" s="1"/>
  <c r="FR47" i="55" s="1"/>
  <c r="GD175" i="55"/>
  <c r="GE175" i="55" s="1" a="1"/>
  <c r="GE175" i="55" s="1"/>
  <c r="GF175" i="55" s="1"/>
  <c r="GG175" i="55"/>
  <c r="BQ175" i="55"/>
  <c r="CE175" i="55" a="1"/>
  <c r="CE175" i="55" s="1"/>
  <c r="FR175" i="55" s="1"/>
  <c r="GX239" i="55"/>
  <c r="GY239" i="55"/>
  <c r="DE287" i="55" a="1"/>
  <c r="DE287" i="55" s="1"/>
  <c r="DF287" i="55" a="1"/>
  <c r="DF287" i="55" s="1"/>
  <c r="DH287" i="55"/>
  <c r="DX287" i="55" s="1"/>
  <c r="DG287" i="55" a="1"/>
  <c r="DG287" i="55" s="1"/>
  <c r="DE319" i="55" a="1"/>
  <c r="DE319" i="55" s="1"/>
  <c r="DH319" i="55"/>
  <c r="DX319" i="55" s="1"/>
  <c r="DF319" i="55" a="1"/>
  <c r="DF319" i="55" s="1"/>
  <c r="DG319" i="55" a="1"/>
  <c r="DG319" i="55" s="1"/>
  <c r="GG351" i="55"/>
  <c r="GD351" i="55"/>
  <c r="BQ351" i="55"/>
  <c r="CE351" i="55" a="1"/>
  <c r="CE351" i="55" s="1"/>
  <c r="FR351" i="55" s="1"/>
  <c r="EY225" i="55"/>
  <c r="R225" i="55" s="1"/>
  <c r="GS196" i="55"/>
  <c r="EY349" i="55"/>
  <c r="CU38" i="55" a="1"/>
  <c r="CU38" i="55" s="1"/>
  <c r="CT38" i="55" a="1"/>
  <c r="CT38" i="55" s="1"/>
  <c r="IC105" i="55"/>
  <c r="GB105" i="55"/>
  <c r="GC105" i="55" s="1"/>
  <c r="JW105" i="55"/>
  <c r="DS105" i="55"/>
  <c r="U105" i="55"/>
  <c r="FW105" i="55"/>
  <c r="V105" i="55"/>
  <c r="CR105" i="55" a="1"/>
  <c r="CR105" i="55" s="1"/>
  <c r="CS105" i="55" s="1"/>
  <c r="CZ105" i="55" s="1"/>
  <c r="DA105" i="55" s="1"/>
  <c r="DV105" i="55" s="1"/>
  <c r="JW121" i="55"/>
  <c r="IC121" i="55"/>
  <c r="GB121" i="55"/>
  <c r="GC121" i="55" s="1"/>
  <c r="GE121" i="55" s="1" a="1"/>
  <c r="GE121" i="55" s="1"/>
  <c r="GF121" i="55" s="1"/>
  <c r="DS121" i="55"/>
  <c r="CR121" i="55" a="1"/>
  <c r="CR121" i="55" s="1"/>
  <c r="CS121" i="55" s="1"/>
  <c r="CZ121" i="55" s="1"/>
  <c r="DA121" i="55" s="1"/>
  <c r="U121" i="55"/>
  <c r="V121" i="55"/>
  <c r="GX49" i="55"/>
  <c r="GY49" i="55"/>
  <c r="FX97" i="55" a="1"/>
  <c r="FX97" i="55" s="1"/>
  <c r="FY97" i="55"/>
  <c r="DG209" i="55" a="1"/>
  <c r="DG209" i="55" s="1"/>
  <c r="DF209" i="55" a="1"/>
  <c r="DF209" i="55" s="1"/>
  <c r="DH209" i="55"/>
  <c r="DX209" i="55" s="1"/>
  <c r="DE209" i="55" a="1"/>
  <c r="DE209" i="55" s="1"/>
  <c r="IC209" i="55"/>
  <c r="FX273" i="55" a="1"/>
  <c r="FX273" i="55" s="1"/>
  <c r="FY273" i="55"/>
  <c r="CE273" i="55" a="1"/>
  <c r="CE273" i="55" s="1"/>
  <c r="JW107" i="55"/>
  <c r="IC107" i="55"/>
  <c r="GB107" i="55"/>
  <c r="GC107" i="55" s="1"/>
  <c r="DS107" i="55"/>
  <c r="CR107" i="55" a="1"/>
  <c r="CR107" i="55" s="1"/>
  <c r="V107" i="55"/>
  <c r="U107" i="55"/>
  <c r="CU151" i="55" a="1"/>
  <c r="CU151" i="55" s="1"/>
  <c r="CT151" i="55" a="1"/>
  <c r="CT151" i="55" s="1"/>
  <c r="CS151" i="55"/>
  <c r="V91" i="55"/>
  <c r="U91" i="55"/>
  <c r="GL158" i="55"/>
  <c r="CU311" i="55" a="1"/>
  <c r="CU311" i="55" s="1"/>
  <c r="CT311" i="55" a="1"/>
  <c r="CT311" i="55" s="1"/>
  <c r="FK138" i="55"/>
  <c r="FJ138" i="55"/>
  <c r="FP138" i="55"/>
  <c r="FI138" i="55"/>
  <c r="FH138" i="55"/>
  <c r="FL138" i="55" s="1"/>
  <c r="FM138" i="55"/>
  <c r="FQ138" i="55"/>
  <c r="FO138" i="55"/>
  <c r="FN138" i="55"/>
  <c r="FK186" i="55"/>
  <c r="FL186" i="55"/>
  <c r="FR186" i="55"/>
  <c r="FO186" i="55"/>
  <c r="FQ186" i="55"/>
  <c r="FM186" i="55"/>
  <c r="FI186" i="55"/>
  <c r="FP186" i="55"/>
  <c r="FN186" i="55"/>
  <c r="FJ186" i="55"/>
  <c r="CY193" i="55"/>
  <c r="CW193" i="55"/>
  <c r="CX193" i="55"/>
  <c r="CV193" i="55"/>
  <c r="CX20" i="55"/>
  <c r="CW20" i="55"/>
  <c r="CY20" i="55"/>
  <c r="CV20" i="55"/>
  <c r="GE36" i="55" a="1"/>
  <c r="GE36" i="55" s="1"/>
  <c r="GF36" i="55" s="1"/>
  <c r="FK11" i="55"/>
  <c r="FL11" i="55"/>
  <c r="FO11" i="55"/>
  <c r="FJ11" i="55"/>
  <c r="FQ11" i="55"/>
  <c r="FN11" i="55"/>
  <c r="FI11" i="55"/>
  <c r="FM11" i="55"/>
  <c r="FP11" i="55"/>
  <c r="CW198" i="55"/>
  <c r="CY198" i="55"/>
  <c r="CV198" i="55"/>
  <c r="CX198" i="55"/>
  <c r="ID117" i="55" a="1"/>
  <c r="ID117" i="55" s="1"/>
  <c r="IE117" i="55" a="1"/>
  <c r="IE117" i="55" s="1"/>
  <c r="CT181" i="55" a="1"/>
  <c r="CT181" i="55" s="1"/>
  <c r="CU181" i="55" a="1"/>
  <c r="CU181" i="55" s="1"/>
  <c r="IE229" i="55" a="1"/>
  <c r="IE229" i="55" s="1"/>
  <c r="ID229" i="55" a="1"/>
  <c r="ID229" i="55" s="1"/>
  <c r="CU86" i="55" a="1"/>
  <c r="CU86" i="55" s="1"/>
  <c r="CT86" i="55" a="1"/>
  <c r="CT86" i="55" s="1"/>
  <c r="CS86" i="55"/>
  <c r="CY126" i="55"/>
  <c r="CV126" i="55"/>
  <c r="CX126" i="55"/>
  <c r="CW126" i="55"/>
  <c r="EV39" i="55"/>
  <c r="EW39" i="55" s="1"/>
  <c r="FJ237" i="55"/>
  <c r="FK237" i="55"/>
  <c r="FN237" i="55"/>
  <c r="FI237" i="55"/>
  <c r="FP237" i="55"/>
  <c r="FQ237" i="55"/>
  <c r="FL237" i="55"/>
  <c r="FO237" i="55"/>
  <c r="FM237" i="55"/>
  <c r="FQ190" i="55"/>
  <c r="FI190" i="55"/>
  <c r="FR190" i="55"/>
  <c r="FJ190" i="55"/>
  <c r="FP190" i="55"/>
  <c r="FL190" i="55"/>
  <c r="FO190" i="55"/>
  <c r="FN190" i="55"/>
  <c r="FM190" i="55"/>
  <c r="FK190" i="55"/>
  <c r="GS267" i="55"/>
  <c r="R216" i="55"/>
  <c r="FA322" i="55"/>
  <c r="EL322" i="55"/>
  <c r="DH76" i="55"/>
  <c r="DG76" i="55" a="1"/>
  <c r="DG76" i="55" s="1"/>
  <c r="DE76" i="55" a="1"/>
  <c r="DE76" i="55" s="1"/>
  <c r="DF76" i="55" a="1"/>
  <c r="DF76" i="55" s="1"/>
  <c r="GY124" i="55"/>
  <c r="GX124" i="55"/>
  <c r="GX220" i="55"/>
  <c r="GY220" i="55"/>
  <c r="FY236" i="55"/>
  <c r="FX236" i="55" a="1"/>
  <c r="FX236" i="55" s="1"/>
  <c r="FY252" i="55"/>
  <c r="FX252" i="55" a="1"/>
  <c r="FX252" i="55" s="1"/>
  <c r="CE252" i="55" a="1"/>
  <c r="CE252" i="55" s="1"/>
  <c r="GY332" i="55"/>
  <c r="GX332" i="55"/>
  <c r="GX348" i="55"/>
  <c r="GY348" i="55"/>
  <c r="IN335" i="55" a="1"/>
  <c r="IN335" i="55" s="1"/>
  <c r="IO335" i="55" s="1"/>
  <c r="IT335" i="55" a="1"/>
  <c r="IT335" i="55" s="1"/>
  <c r="IU335" i="55" s="1"/>
  <c r="IR335" i="55" a="1"/>
  <c r="IR335" i="55" s="1"/>
  <c r="IS335" i="55" s="1"/>
  <c r="IX335" i="55" a="1"/>
  <c r="IX335" i="55" s="1"/>
  <c r="IY335" i="55" s="1"/>
  <c r="IP335" i="55" a="1"/>
  <c r="IP335" i="55" s="1"/>
  <c r="IQ335" i="55" s="1"/>
  <c r="IV335" i="55" a="1"/>
  <c r="IV335" i="55" s="1"/>
  <c r="IW335" i="55" s="1"/>
  <c r="EY143" i="55"/>
  <c r="R143" i="55" s="1"/>
  <c r="R319" i="55"/>
  <c r="FO242" i="55"/>
  <c r="FP242" i="55"/>
  <c r="FL242" i="55"/>
  <c r="FK242" i="55"/>
  <c r="FQ242" i="55"/>
  <c r="FM242" i="55"/>
  <c r="FJ242" i="55"/>
  <c r="FN242" i="55"/>
  <c r="FI242" i="55"/>
  <c r="CE242" i="55" a="1"/>
  <c r="CE242" i="55" s="1"/>
  <c r="O242" i="55" s="1" a="1"/>
  <c r="O242" i="55" s="1"/>
  <c r="EX4" i="55"/>
  <c r="EC4" i="55"/>
  <c r="FY212" i="55"/>
  <c r="FX212" i="55" a="1"/>
  <c r="FX212" i="55" s="1"/>
  <c r="GY228" i="55"/>
  <c r="GX228" i="55"/>
  <c r="GP343" i="55"/>
  <c r="FA152" i="55"/>
  <c r="EL152" i="55"/>
  <c r="DG297" i="55" a="1"/>
  <c r="DG297" i="55" s="1"/>
  <c r="DE297" i="55" a="1"/>
  <c r="DE297" i="55" s="1"/>
  <c r="DF297" i="55" a="1"/>
  <c r="DF297" i="55" s="1"/>
  <c r="DH297" i="55"/>
  <c r="DX297" i="55" s="1"/>
  <c r="U143" i="55"/>
  <c r="CU142" i="55" a="1"/>
  <c r="CU142" i="55" s="1"/>
  <c r="CT142" i="55" a="1"/>
  <c r="CT142" i="55" s="1"/>
  <c r="CS142" i="55"/>
  <c r="DF107" i="55" a="1"/>
  <c r="DF107" i="55" s="1"/>
  <c r="DE107" i="55" a="1"/>
  <c r="DE107" i="55" s="1"/>
  <c r="DH107" i="55"/>
  <c r="DX107" i="55" s="1"/>
  <c r="DG107" i="55" a="1"/>
  <c r="DG107" i="55" s="1"/>
  <c r="IC264" i="55"/>
  <c r="JW264" i="55"/>
  <c r="GB264" i="55"/>
  <c r="GC264" i="55" s="1"/>
  <c r="DS264" i="55"/>
  <c r="CR264" i="55" a="1"/>
  <c r="CR264" i="55" s="1"/>
  <c r="CS264" i="55" s="1"/>
  <c r="U264" i="55"/>
  <c r="V264" i="55"/>
  <c r="FA139" i="55"/>
  <c r="GG29" i="55"/>
  <c r="GD29" i="55"/>
  <c r="GG61" i="55"/>
  <c r="GD61" i="55"/>
  <c r="GL321" i="55"/>
  <c r="DE256" i="55" a="1"/>
  <c r="DE256" i="55" s="1"/>
  <c r="DF256" i="55" a="1"/>
  <c r="DF256" i="55" s="1"/>
  <c r="DH256" i="55"/>
  <c r="DX256" i="55" s="1"/>
  <c r="DG256" i="55" a="1"/>
  <c r="DG256" i="55" s="1"/>
  <c r="CR256" i="55" a="1"/>
  <c r="CR256" i="55" s="1"/>
  <c r="GY272" i="55"/>
  <c r="GX272" i="55"/>
  <c r="FY288" i="55"/>
  <c r="FX288" i="55" a="1"/>
  <c r="FX288" i="55" s="1"/>
  <c r="FZ288" i="55" s="1"/>
  <c r="CE288" i="55" a="1"/>
  <c r="CE288" i="55" s="1"/>
  <c r="FR288" i="55" s="1"/>
  <c r="EY18" i="55"/>
  <c r="R18" i="55" s="1"/>
  <c r="GS126" i="55"/>
  <c r="EY194" i="55"/>
  <c r="U148" i="55"/>
  <c r="V148" i="55"/>
  <c r="V276" i="55"/>
  <c r="U276" i="55"/>
  <c r="R35" i="55"/>
  <c r="GS80" i="55"/>
  <c r="GS336" i="55"/>
  <c r="R212" i="55"/>
  <c r="EY324" i="55"/>
  <c r="V6" i="55"/>
  <c r="U6" i="55"/>
  <c r="U70" i="55"/>
  <c r="V70" i="55"/>
  <c r="IE350" i="55" a="1"/>
  <c r="IE350" i="55" s="1"/>
  <c r="ID350" i="55" a="1"/>
  <c r="ID350" i="55" s="1"/>
  <c r="EY38" i="55"/>
  <c r="EY247" i="55"/>
  <c r="JW18" i="55"/>
  <c r="IC18" i="55"/>
  <c r="DS18" i="55"/>
  <c r="GB18" i="55"/>
  <c r="GC18" i="55" s="1"/>
  <c r="GE18" i="55" s="1" a="1"/>
  <c r="GE18" i="55" s="1"/>
  <c r="GF18" i="55" s="1"/>
  <c r="BW27" i="54" s="1" a="1"/>
  <c r="BW27" i="54" s="1"/>
  <c r="U18" i="55"/>
  <c r="CR18" i="55" a="1"/>
  <c r="CR18" i="55" s="1"/>
  <c r="V18" i="55"/>
  <c r="T18" i="55"/>
  <c r="V65" i="55"/>
  <c r="U65" i="55"/>
  <c r="EY137" i="55"/>
  <c r="EY217" i="55"/>
  <c r="R217" i="55" s="1"/>
  <c r="JW83" i="55"/>
  <c r="GB83" i="55"/>
  <c r="GC83" i="55" s="1"/>
  <c r="DS83" i="55"/>
  <c r="CR83" i="55" a="1"/>
  <c r="CR83" i="55" s="1"/>
  <c r="CS83" i="55"/>
  <c r="IC83" i="55"/>
  <c r="U83" i="55"/>
  <c r="V83" i="55"/>
  <c r="GS141" i="55"/>
  <c r="R74" i="55"/>
  <c r="FP241" i="55"/>
  <c r="FQ241" i="55"/>
  <c r="FI241" i="55"/>
  <c r="FL241" i="55"/>
  <c r="FN241" i="55"/>
  <c r="FR241" i="55"/>
  <c r="FO241" i="55"/>
  <c r="FK241" i="55"/>
  <c r="FJ241" i="55"/>
  <c r="FM241" i="55"/>
  <c r="JW129" i="55"/>
  <c r="IC129" i="55"/>
  <c r="GT129" i="55"/>
  <c r="DX129" i="55"/>
  <c r="CS129" i="55"/>
  <c r="GB129" i="55"/>
  <c r="GC129" i="55" s="1"/>
  <c r="GE129" i="55" s="1" a="1"/>
  <c r="GE129" i="55" s="1"/>
  <c r="GF129" i="55" s="1"/>
  <c r="DS129" i="55"/>
  <c r="CR129" i="55" a="1"/>
  <c r="CR129" i="55" s="1"/>
  <c r="U129" i="55"/>
  <c r="V129" i="55"/>
  <c r="V286" i="55"/>
  <c r="U286" i="55"/>
  <c r="CT48" i="55" a="1"/>
  <c r="CT48" i="55" s="1"/>
  <c r="CU48" i="55" a="1"/>
  <c r="CU48" i="55" s="1"/>
  <c r="EY304" i="55"/>
  <c r="FN309" i="55"/>
  <c r="FO309" i="55"/>
  <c r="FJ309" i="55"/>
  <c r="FQ309" i="55"/>
  <c r="FL309" i="55"/>
  <c r="FP309" i="55"/>
  <c r="FM309" i="55"/>
  <c r="FI309" i="55"/>
  <c r="FR309" i="55"/>
  <c r="FK309" i="55"/>
  <c r="JW33" i="55"/>
  <c r="GT33" i="55"/>
  <c r="IC33" i="55"/>
  <c r="GB33" i="55"/>
  <c r="GC33" i="55" s="1"/>
  <c r="GE33" i="55" s="1" a="1"/>
  <c r="GE33" i="55" s="1"/>
  <c r="GF33" i="55" s="1"/>
  <c r="V33" i="55"/>
  <c r="CR33" i="55" a="1"/>
  <c r="CR33" i="55" s="1"/>
  <c r="DS33" i="55"/>
  <c r="U33" i="55"/>
  <c r="U192" i="55"/>
  <c r="V192" i="55"/>
  <c r="ID247" i="55" a="1"/>
  <c r="ID247" i="55" s="1"/>
  <c r="IE247" i="55" a="1"/>
  <c r="IE247" i="55" s="1"/>
  <c r="FZ303" i="55"/>
  <c r="GS228" i="55"/>
  <c r="R125" i="55"/>
  <c r="CS38" i="55"/>
  <c r="CT177" i="55" a="1"/>
  <c r="CT177" i="55" s="1"/>
  <c r="CU177" i="55" a="1"/>
  <c r="CU177" i="55" s="1"/>
  <c r="FX65" i="55" a="1"/>
  <c r="FX65" i="55" s="1"/>
  <c r="FY65" i="55"/>
  <c r="CE65" i="55" a="1"/>
  <c r="CE65" i="55" s="1"/>
  <c r="DG145" i="55" a="1"/>
  <c r="DG145" i="55" s="1"/>
  <c r="DF145" i="55" a="1"/>
  <c r="DF145" i="55" s="1"/>
  <c r="DH145" i="55"/>
  <c r="DX145" i="55" s="1"/>
  <c r="DE145" i="55" a="1"/>
  <c r="DE145" i="55" s="1"/>
  <c r="CR145" i="55" a="1"/>
  <c r="CR145" i="55" s="1"/>
  <c r="GX209" i="55"/>
  <c r="GY209" i="55"/>
  <c r="CV295" i="55"/>
  <c r="CW295" i="55"/>
  <c r="CX295" i="55"/>
  <c r="CY295" i="55"/>
  <c r="JW76" i="55"/>
  <c r="IC76" i="55"/>
  <c r="GB76" i="55"/>
  <c r="GC76" i="55" s="1"/>
  <c r="GE76" i="55" s="1" a="1"/>
  <c r="GE76" i="55" s="1"/>
  <c r="GF76" i="55" s="1"/>
  <c r="DS76" i="55"/>
  <c r="DX76" i="55"/>
  <c r="CR76" i="55" a="1"/>
  <c r="CR76" i="55" s="1"/>
  <c r="CS76" i="55"/>
  <c r="CZ76" i="55" s="1"/>
  <c r="DA76" i="55" s="1"/>
  <c r="U76" i="55"/>
  <c r="V76" i="55"/>
  <c r="IC108" i="55"/>
  <c r="JW108" i="55"/>
  <c r="GB108" i="55"/>
  <c r="GC108" i="55" s="1"/>
  <c r="DS108" i="55"/>
  <c r="CR108" i="55" a="1"/>
  <c r="CR108" i="55" s="1"/>
  <c r="U108" i="55"/>
  <c r="V108" i="55"/>
  <c r="CV265" i="55"/>
  <c r="CW265" i="55"/>
  <c r="CX265" i="55"/>
  <c r="CY265" i="55"/>
  <c r="GS140" i="55"/>
  <c r="FK90" i="55"/>
  <c r="FN90" i="55"/>
  <c r="FQ90" i="55"/>
  <c r="FM90" i="55"/>
  <c r="FO90" i="55"/>
  <c r="FP90" i="55"/>
  <c r="FJ90" i="55"/>
  <c r="FI90" i="55"/>
  <c r="FH90" i="55"/>
  <c r="FL90" i="55" s="1"/>
  <c r="CE90" i="55" a="1"/>
  <c r="CE90" i="55" s="1"/>
  <c r="ID43" i="55" a="1"/>
  <c r="ID43" i="55" s="1"/>
  <c r="IE43" i="55" a="1"/>
  <c r="IE43" i="55" s="1"/>
  <c r="ID78" i="55" a="1"/>
  <c r="ID78" i="55" s="1"/>
  <c r="IE78" i="55" a="1"/>
  <c r="IE78" i="55" s="1"/>
  <c r="CU4" i="55" a="1"/>
  <c r="CU4" i="55" s="1"/>
  <c r="CT4" i="55" a="1"/>
  <c r="CT4" i="55" s="1"/>
  <c r="ID196" i="55" a="1"/>
  <c r="ID196" i="55" s="1"/>
  <c r="IE196" i="55" a="1"/>
  <c r="IE196" i="55" s="1"/>
  <c r="CT244" i="55" a="1"/>
  <c r="CT244" i="55" s="1"/>
  <c r="CU244" i="55" a="1"/>
  <c r="CU244" i="55" s="1"/>
  <c r="IV26" i="55" a="1"/>
  <c r="IV26" i="55" s="1"/>
  <c r="IW26" i="55" s="1"/>
  <c r="IP26" i="55" a="1"/>
  <c r="IP26" i="55" s="1"/>
  <c r="IQ26" i="55" s="1"/>
  <c r="IN26" i="55" a="1"/>
  <c r="IN26" i="55" s="1"/>
  <c r="IO26" i="55" s="1"/>
  <c r="IX26" i="55" a="1"/>
  <c r="IX26" i="55" s="1"/>
  <c r="IY26" i="55" s="1"/>
  <c r="IT26" i="55" a="1"/>
  <c r="IT26" i="55" s="1"/>
  <c r="IU26" i="55" s="1"/>
  <c r="IR26" i="55" a="1"/>
  <c r="IR26" i="55" s="1"/>
  <c r="IS26" i="55" s="1"/>
  <c r="FK139" i="55"/>
  <c r="FO139" i="55"/>
  <c r="FJ139" i="55"/>
  <c r="FQ139" i="55"/>
  <c r="FM139" i="55"/>
  <c r="FP139" i="55"/>
  <c r="FN139" i="55"/>
  <c r="FH139" i="55"/>
  <c r="FL139" i="55" s="1"/>
  <c r="FI139" i="55"/>
  <c r="CU7" i="55" a="1"/>
  <c r="CU7" i="55" s="1"/>
  <c r="CT7" i="55" a="1"/>
  <c r="CT7" i="55" s="1"/>
  <c r="CS7" i="55"/>
  <c r="IE272" i="55" a="1"/>
  <c r="IE272" i="55" s="1"/>
  <c r="ID272" i="55" a="1"/>
  <c r="ID272" i="55" s="1"/>
  <c r="CU37" i="55" a="1"/>
  <c r="CU37" i="55" s="1"/>
  <c r="CT37" i="55" a="1"/>
  <c r="CT37" i="55" s="1"/>
  <c r="CU85" i="55" a="1"/>
  <c r="CU85" i="55" s="1"/>
  <c r="CT85" i="55" a="1"/>
  <c r="CT85" i="55" s="1"/>
  <c r="CS181" i="55"/>
  <c r="FJ140" i="55"/>
  <c r="FK140" i="55"/>
  <c r="FO140" i="55"/>
  <c r="FM140" i="55"/>
  <c r="FP140" i="55"/>
  <c r="FQ140" i="55"/>
  <c r="FH140" i="55"/>
  <c r="FL140" i="55" s="1"/>
  <c r="FI140" i="55"/>
  <c r="FN140" i="55"/>
  <c r="IE199" i="55" a="1"/>
  <c r="IE199" i="55" s="1"/>
  <c r="ID199" i="55" a="1"/>
  <c r="ID199" i="55" s="1"/>
  <c r="CE237" i="55" a="1"/>
  <c r="CE237" i="55" s="1"/>
  <c r="EK237" i="55" s="1"/>
  <c r="FR285" i="55"/>
  <c r="FJ285" i="55"/>
  <c r="FK285" i="55"/>
  <c r="FL285" i="55"/>
  <c r="FQ285" i="55"/>
  <c r="FN285" i="55"/>
  <c r="FM285" i="55"/>
  <c r="FP285" i="55"/>
  <c r="FO285" i="55"/>
  <c r="FI285" i="55"/>
  <c r="R54" i="55"/>
  <c r="FQ14" i="55"/>
  <c r="FI14" i="55"/>
  <c r="FR14" i="55"/>
  <c r="FJ14" i="55"/>
  <c r="FH14" i="55"/>
  <c r="FO14" i="55"/>
  <c r="FK14" i="55"/>
  <c r="FN14" i="55"/>
  <c r="FL14" i="55"/>
  <c r="FM14" i="55"/>
  <c r="FQ62" i="55"/>
  <c r="FI62" i="55"/>
  <c r="FJ62" i="55"/>
  <c r="FP62" i="55"/>
  <c r="FN62" i="55"/>
  <c r="FH62" i="55"/>
  <c r="FL62" i="55" s="1"/>
  <c r="FK62" i="55"/>
  <c r="FM62" i="55"/>
  <c r="FO62" i="55"/>
  <c r="CE62" i="55" a="1"/>
  <c r="CE62" i="55" s="1"/>
  <c r="FR62" i="55" s="1"/>
  <c r="GL270" i="55"/>
  <c r="O270" i="55" a="1"/>
  <c r="O270" i="55" s="1"/>
  <c r="IE70" i="55" a="1"/>
  <c r="IE70" i="55" s="1"/>
  <c r="ID70" i="55" a="1"/>
  <c r="ID70" i="55" s="1"/>
  <c r="EY152" i="55"/>
  <c r="R152" i="55" s="1"/>
  <c r="R296" i="55"/>
  <c r="GG108" i="55"/>
  <c r="GD108" i="55"/>
  <c r="CE108" i="55" a="1"/>
  <c r="CE108" i="55" s="1"/>
  <c r="FR108" i="55" s="1"/>
  <c r="FY124" i="55"/>
  <c r="FX124" i="55" a="1"/>
  <c r="FX124" i="55" s="1"/>
  <c r="CE124" i="55" a="1"/>
  <c r="CE124" i="55" s="1"/>
  <c r="DH268" i="55"/>
  <c r="DX268" i="55" s="1"/>
  <c r="DG268" i="55" a="1"/>
  <c r="DG268" i="55" s="1"/>
  <c r="DE268" i="55" a="1"/>
  <c r="DE268" i="55" s="1"/>
  <c r="DF268" i="55" a="1"/>
  <c r="DF268" i="55" s="1"/>
  <c r="GG316" i="55"/>
  <c r="GD316" i="55"/>
  <c r="BQ316" i="55"/>
  <c r="CE316" i="55" a="1"/>
  <c r="CE316" i="55" s="1"/>
  <c r="FP288" i="55"/>
  <c r="FQ288" i="55"/>
  <c r="FI288" i="55"/>
  <c r="FO288" i="55"/>
  <c r="FJ288" i="55"/>
  <c r="FM288" i="55"/>
  <c r="FN288" i="55"/>
  <c r="FK288" i="55"/>
  <c r="FL288" i="55"/>
  <c r="FO67" i="55"/>
  <c r="FP67" i="55"/>
  <c r="FH67" i="55"/>
  <c r="FL67" i="55" s="1"/>
  <c r="FI67" i="55"/>
  <c r="FN67" i="55"/>
  <c r="FK67" i="55"/>
  <c r="FJ67" i="55"/>
  <c r="FM67" i="55"/>
  <c r="FQ67" i="55"/>
  <c r="FO323" i="55"/>
  <c r="FP323" i="55"/>
  <c r="FH323" i="55"/>
  <c r="FL323" i="55" s="1"/>
  <c r="FI323" i="55"/>
  <c r="FN323" i="55"/>
  <c r="FK323" i="55"/>
  <c r="FJ323" i="55"/>
  <c r="FQ323" i="55"/>
  <c r="FM323" i="55"/>
  <c r="FA196" i="55"/>
  <c r="FB196" i="55"/>
  <c r="GX201" i="55"/>
  <c r="GY201" i="55"/>
  <c r="CW150" i="55"/>
  <c r="CY150" i="55"/>
  <c r="CX150" i="55"/>
  <c r="CV150" i="55"/>
  <c r="FY141" i="55"/>
  <c r="FX141" i="55" a="1"/>
  <c r="FX141" i="55" s="1"/>
  <c r="FZ141" i="55" s="1"/>
  <c r="GX224" i="55"/>
  <c r="GY224" i="55"/>
  <c r="GX240" i="55"/>
  <c r="GY240" i="55"/>
  <c r="FY272" i="55"/>
  <c r="FX272" i="55" a="1"/>
  <c r="FX272" i="55" s="1"/>
  <c r="FZ272" i="55" s="1"/>
  <c r="CE272" i="55" a="1"/>
  <c r="CE272" i="55" s="1"/>
  <c r="FR272" i="55" s="1"/>
  <c r="EY131" i="55"/>
  <c r="V20" i="55"/>
  <c r="U20" i="55"/>
  <c r="V165" i="55"/>
  <c r="U165" i="55"/>
  <c r="V278" i="55"/>
  <c r="U278" i="55"/>
  <c r="V342" i="55"/>
  <c r="U342" i="55"/>
  <c r="EY165" i="55"/>
  <c r="EY325" i="55"/>
  <c r="R325" i="55" s="1"/>
  <c r="U177" i="55"/>
  <c r="V177" i="55"/>
  <c r="ID286" i="55" a="1"/>
  <c r="ID286" i="55" s="1"/>
  <c r="IE286" i="55" a="1"/>
  <c r="IE286" i="55" s="1"/>
  <c r="IE310" i="55" a="1"/>
  <c r="IE310" i="55" s="1"/>
  <c r="ID310" i="55" a="1"/>
  <c r="ID310" i="55" s="1"/>
  <c r="R38" i="55"/>
  <c r="R103" i="55"/>
  <c r="EY183" i="55"/>
  <c r="EY233" i="55"/>
  <c r="JW178" i="55"/>
  <c r="FW178" i="55"/>
  <c r="GB178" i="55"/>
  <c r="GC178" i="55" s="1"/>
  <c r="IC178" i="55"/>
  <c r="DS178" i="55"/>
  <c r="CR178" i="55" a="1"/>
  <c r="CR178" i="55" s="1"/>
  <c r="U178" i="55"/>
  <c r="V178" i="55"/>
  <c r="V273" i="55"/>
  <c r="U273" i="55"/>
  <c r="GS124" i="55"/>
  <c r="R137" i="55"/>
  <c r="FN37" i="55"/>
  <c r="FO37" i="55"/>
  <c r="FR37" i="55"/>
  <c r="FM37" i="55"/>
  <c r="FJ37" i="55"/>
  <c r="FQ37" i="55"/>
  <c r="FK37" i="55"/>
  <c r="FP37" i="55"/>
  <c r="FL37" i="55"/>
  <c r="FI37" i="55"/>
  <c r="FN213" i="55"/>
  <c r="FO213" i="55"/>
  <c r="FP213" i="55"/>
  <c r="FK213" i="55"/>
  <c r="FR213" i="55"/>
  <c r="FL213" i="55"/>
  <c r="FI213" i="55"/>
  <c r="FM213" i="55"/>
  <c r="FQ213" i="55"/>
  <c r="FJ213" i="55"/>
  <c r="JW35" i="55"/>
  <c r="IC35" i="55"/>
  <c r="GT35" i="55"/>
  <c r="GB35" i="55"/>
  <c r="GC35" i="55" s="1"/>
  <c r="CR35" i="55" a="1"/>
  <c r="CR35" i="55" s="1"/>
  <c r="CS35" i="55"/>
  <c r="DS35" i="55"/>
  <c r="V35" i="55"/>
  <c r="U35" i="55"/>
  <c r="JW195" i="55"/>
  <c r="IC195" i="55"/>
  <c r="FW195" i="55"/>
  <c r="CR195" i="55" a="1"/>
  <c r="CR195" i="55" s="1"/>
  <c r="CS195" i="55"/>
  <c r="CZ195" i="55" s="1"/>
  <c r="DA195" i="55" s="1"/>
  <c r="DS195" i="55"/>
  <c r="GB195" i="55"/>
  <c r="GC195" i="55" s="1"/>
  <c r="U195" i="55"/>
  <c r="V195" i="55"/>
  <c r="R266" i="55"/>
  <c r="FP33" i="55"/>
  <c r="FQ33" i="55"/>
  <c r="FI33" i="55"/>
  <c r="FJ33" i="55"/>
  <c r="FO33" i="55"/>
  <c r="FL33" i="55"/>
  <c r="FN33" i="55"/>
  <c r="FR33" i="55"/>
  <c r="FK33" i="55"/>
  <c r="FM33" i="55"/>
  <c r="GL145" i="55"/>
  <c r="V14" i="55"/>
  <c r="U14" i="55"/>
  <c r="R192" i="55"/>
  <c r="U112" i="55"/>
  <c r="V112" i="55"/>
  <c r="U320" i="55"/>
  <c r="V320" i="55"/>
  <c r="EY129" i="55"/>
  <c r="R129" i="55" s="1"/>
  <c r="R205" i="55"/>
  <c r="CU183" i="55" a="1"/>
  <c r="CU183" i="55" s="1"/>
  <c r="CT183" i="55" a="1"/>
  <c r="CT183" i="55" s="1"/>
  <c r="CS183" i="55"/>
  <c r="CZ183" i="55" s="1"/>
  <c r="DA183" i="55" s="1"/>
  <c r="JW185" i="55"/>
  <c r="IC185" i="55"/>
  <c r="GB185" i="55"/>
  <c r="GC185" i="55" s="1"/>
  <c r="DS185" i="55"/>
  <c r="FW185" i="55"/>
  <c r="CR185" i="55" a="1"/>
  <c r="CR185" i="55" s="1"/>
  <c r="U185" i="55"/>
  <c r="V185" i="55"/>
  <c r="JW217" i="55"/>
  <c r="IC217" i="55"/>
  <c r="GB217" i="55"/>
  <c r="GC217" i="55" s="1"/>
  <c r="GE217" i="55" s="1" a="1"/>
  <c r="GE217" i="55" s="1"/>
  <c r="GF217" i="55" s="1"/>
  <c r="DS217" i="55"/>
  <c r="FW217" i="55"/>
  <c r="CR217" i="55" a="1"/>
  <c r="CR217" i="55" s="1"/>
  <c r="CS217" i="55" s="1"/>
  <c r="U217" i="55"/>
  <c r="V217" i="55"/>
  <c r="FX145" i="55" a="1"/>
  <c r="FX145" i="55" s="1"/>
  <c r="FY145" i="55"/>
  <c r="CE145" i="55" a="1"/>
  <c r="CE145" i="55" s="1"/>
  <c r="EK145" i="55" s="1"/>
  <c r="GY97" i="55"/>
  <c r="GX97" i="55"/>
  <c r="GX113" i="55"/>
  <c r="GY113" i="55"/>
  <c r="DG161" i="55" a="1"/>
  <c r="DG161" i="55" s="1"/>
  <c r="DH161" i="55"/>
  <c r="DX161" i="55" s="1"/>
  <c r="DE161" i="55" a="1"/>
  <c r="DE161" i="55" s="1"/>
  <c r="DF161" i="55" a="1"/>
  <c r="DF161" i="55" s="1"/>
  <c r="DG225" i="55" a="1"/>
  <c r="DG225" i="55" s="1"/>
  <c r="DH225" i="55"/>
  <c r="DX225" i="55" s="1"/>
  <c r="DE225" i="55" a="1"/>
  <c r="DE225" i="55" s="1"/>
  <c r="DF225" i="55" a="1"/>
  <c r="DF225" i="55" s="1"/>
  <c r="GY289" i="55"/>
  <c r="GX289" i="55"/>
  <c r="CT41" i="55" a="1"/>
  <c r="CT41" i="55" s="1"/>
  <c r="CU41" i="55" a="1"/>
  <c r="CU41" i="55" s="1"/>
  <c r="JW12" i="55"/>
  <c r="IC12" i="55"/>
  <c r="GB12" i="55"/>
  <c r="GC12" i="55" s="1"/>
  <c r="DS12" i="55"/>
  <c r="DX12" i="55"/>
  <c r="CR12" i="55" a="1"/>
  <c r="CR12" i="55" s="1"/>
  <c r="CS12" i="55" s="1"/>
  <c r="CZ12" i="55" s="1"/>
  <c r="DA12" i="55" s="1"/>
  <c r="DM12" i="55" s="1"/>
  <c r="DQ12" i="55" s="1"/>
  <c r="V12" i="55"/>
  <c r="U12" i="55"/>
  <c r="T12" i="55"/>
  <c r="EY33" i="55"/>
  <c r="S250" i="55"/>
  <c r="GP250" i="55"/>
  <c r="AY21" i="54"/>
  <c r="AZ21" i="54" s="1" a="1"/>
  <c r="AZ21" i="54" s="1"/>
  <c r="FK154" i="55"/>
  <c r="FL154" i="55"/>
  <c r="FN154" i="55"/>
  <c r="FR154" i="55"/>
  <c r="FH154" i="55"/>
  <c r="FJ154" i="55"/>
  <c r="FM154" i="55"/>
  <c r="FI154" i="55"/>
  <c r="FO154" i="55"/>
  <c r="FP154" i="55"/>
  <c r="FQ154" i="55"/>
  <c r="FK250" i="55"/>
  <c r="FL250" i="55"/>
  <c r="FP250" i="55"/>
  <c r="FI250" i="55"/>
  <c r="FO250" i="55"/>
  <c r="FQ250" i="55"/>
  <c r="FM250" i="55"/>
  <c r="FN250" i="55"/>
  <c r="FJ250" i="55"/>
  <c r="IE20" i="55" a="1"/>
  <c r="IE20" i="55" s="1"/>
  <c r="ID20" i="55" a="1"/>
  <c r="ID20" i="55" s="1"/>
  <c r="ID164" i="55" a="1"/>
  <c r="ID164" i="55" s="1"/>
  <c r="IE164" i="55" a="1"/>
  <c r="IE164" i="55" s="1"/>
  <c r="CU292" i="55" a="1"/>
  <c r="CU292" i="55" s="1"/>
  <c r="CT292" i="55" a="1"/>
  <c r="CT292" i="55" s="1"/>
  <c r="GQ154" i="55"/>
  <c r="GR154" i="55" s="1"/>
  <c r="FK75" i="55"/>
  <c r="FO75" i="55"/>
  <c r="FJ75" i="55"/>
  <c r="FQ75" i="55"/>
  <c r="FI75" i="55"/>
  <c r="FM75" i="55"/>
  <c r="FH75" i="55"/>
  <c r="FL75" i="55" s="1"/>
  <c r="FN75" i="55"/>
  <c r="FP75" i="55"/>
  <c r="FR75" i="55"/>
  <c r="FK267" i="55"/>
  <c r="FL267" i="55"/>
  <c r="FO267" i="55"/>
  <c r="FJ267" i="55"/>
  <c r="FQ267" i="55"/>
  <c r="FN267" i="55"/>
  <c r="FM267" i="55"/>
  <c r="FI267" i="55"/>
  <c r="FP267" i="55"/>
  <c r="FK331" i="55"/>
  <c r="FO331" i="55"/>
  <c r="FJ331" i="55"/>
  <c r="FQ331" i="55"/>
  <c r="FI331" i="55"/>
  <c r="FR331" i="55"/>
  <c r="FH331" i="55"/>
  <c r="FL331" i="55" s="1"/>
  <c r="FP331" i="55"/>
  <c r="FN331" i="55"/>
  <c r="FM331" i="55"/>
  <c r="CW37" i="55"/>
  <c r="CX37" i="55"/>
  <c r="CY37" i="55"/>
  <c r="CV37" i="55"/>
  <c r="CT53" i="55" a="1"/>
  <c r="CT53" i="55" s="1"/>
  <c r="CU53" i="55" a="1"/>
  <c r="CU53" i="55" s="1"/>
  <c r="CU69" i="55" a="1"/>
  <c r="CU69" i="55" s="1"/>
  <c r="CT69" i="55" a="1"/>
  <c r="CT69" i="55" s="1"/>
  <c r="CS69" i="55"/>
  <c r="CW85" i="55"/>
  <c r="CX85" i="55"/>
  <c r="CY85" i="55"/>
  <c r="CV85" i="55"/>
  <c r="U229" i="55"/>
  <c r="GP251" i="55"/>
  <c r="FJ60" i="55"/>
  <c r="FK60" i="55"/>
  <c r="FM60" i="55"/>
  <c r="FQ60" i="55"/>
  <c r="FP60" i="55"/>
  <c r="FI60" i="55"/>
  <c r="FO60" i="55"/>
  <c r="FN60" i="55"/>
  <c r="FH60" i="55"/>
  <c r="FL60" i="55" s="1"/>
  <c r="FR204" i="55"/>
  <c r="FJ204" i="55"/>
  <c r="FK204" i="55"/>
  <c r="FO204" i="55"/>
  <c r="FQ204" i="55"/>
  <c r="FP204" i="55"/>
  <c r="FM204" i="55"/>
  <c r="FN204" i="55"/>
  <c r="FI204" i="55"/>
  <c r="FL204" i="55"/>
  <c r="FJ284" i="55"/>
  <c r="FK284" i="55"/>
  <c r="FQ284" i="55"/>
  <c r="FM284" i="55"/>
  <c r="FP284" i="55"/>
  <c r="FL284" i="55"/>
  <c r="FI284" i="55"/>
  <c r="FO284" i="55"/>
  <c r="FN284" i="55"/>
  <c r="EK77" i="55"/>
  <c r="FR141" i="55"/>
  <c r="FJ141" i="55"/>
  <c r="FK141" i="55"/>
  <c r="FH141" i="55"/>
  <c r="FL141" i="55" s="1"/>
  <c r="FO141" i="55"/>
  <c r="FM141" i="55"/>
  <c r="FP141" i="55"/>
  <c r="FI141" i="55"/>
  <c r="FN141" i="55"/>
  <c r="FQ141" i="55"/>
  <c r="FR189" i="55"/>
  <c r="FJ189" i="55"/>
  <c r="FK189" i="55"/>
  <c r="FP189" i="55"/>
  <c r="FM189" i="55"/>
  <c r="FL189" i="55"/>
  <c r="FO189" i="55"/>
  <c r="FI189" i="55"/>
  <c r="FQ189" i="55"/>
  <c r="FN189" i="55"/>
  <c r="GL301" i="55"/>
  <c r="FR301" i="55"/>
  <c r="FP301" i="55"/>
  <c r="FQ301" i="55"/>
  <c r="FJ349" i="55"/>
  <c r="FK349" i="55"/>
  <c r="FL349" i="55"/>
  <c r="FQ349" i="55"/>
  <c r="FN349" i="55"/>
  <c r="FH349" i="55"/>
  <c r="FO349" i="55"/>
  <c r="FI349" i="55"/>
  <c r="FP349" i="55"/>
  <c r="FM349" i="55"/>
  <c r="ID11" i="55" a="1"/>
  <c r="ID11" i="55" s="1"/>
  <c r="IE11" i="55" a="1"/>
  <c r="IE11" i="55" s="1"/>
  <c r="FQ126" i="55"/>
  <c r="FI126" i="55"/>
  <c r="FR126" i="55"/>
  <c r="FJ126" i="55"/>
  <c r="FP126" i="55"/>
  <c r="FH126" i="55"/>
  <c r="FL126" i="55" s="1"/>
  <c r="FK126" i="55"/>
  <c r="FO126" i="55"/>
  <c r="FM126" i="55"/>
  <c r="FN126" i="55"/>
  <c r="DH140" i="55"/>
  <c r="DE140" i="55" a="1"/>
  <c r="DE140" i="55" s="1"/>
  <c r="DG140" i="55" a="1"/>
  <c r="DG140" i="55" s="1"/>
  <c r="DF140" i="55" a="1"/>
  <c r="DF140" i="55" s="1"/>
  <c r="GY188" i="55"/>
  <c r="GX188" i="55"/>
  <c r="EB3" i="55"/>
  <c r="DZ3" i="55"/>
  <c r="FO179" i="55"/>
  <c r="FP179" i="55"/>
  <c r="FH179" i="55"/>
  <c r="FQ179" i="55"/>
  <c r="FL179" i="55"/>
  <c r="FI179" i="55"/>
  <c r="FK179" i="55"/>
  <c r="FN179" i="55"/>
  <c r="FM179" i="55"/>
  <c r="FJ179" i="55"/>
  <c r="CE179" i="55" a="1"/>
  <c r="CE179" i="55" s="1"/>
  <c r="EK179" i="55" s="1"/>
  <c r="JC39" i="55"/>
  <c r="GX120" i="55"/>
  <c r="GY120" i="55"/>
  <c r="FA105" i="55"/>
  <c r="EL105" i="55"/>
  <c r="FB105" i="55"/>
  <c r="GG125" i="55"/>
  <c r="GD125" i="55"/>
  <c r="CE125" i="55" a="1"/>
  <c r="CE125" i="55" s="1"/>
  <c r="EK125" i="55" s="1"/>
  <c r="EC11" i="55"/>
  <c r="EM11" i="55" s="1" a="1"/>
  <c r="EM11" i="55" s="1"/>
  <c r="J11" i="55" s="1"/>
  <c r="EN11" i="55" s="1"/>
  <c r="EX11" i="55"/>
  <c r="CA11" i="55"/>
  <c r="AO11" i="55" s="1"/>
  <c r="CB11" i="55" s="1"/>
  <c r="CV103" i="55"/>
  <c r="CW103" i="55"/>
  <c r="CX103" i="55"/>
  <c r="CY103" i="55"/>
  <c r="FY176" i="55"/>
  <c r="FX176" i="55" a="1"/>
  <c r="FX176" i="55" s="1"/>
  <c r="CE176" i="55" a="1"/>
  <c r="CE176" i="55" s="1"/>
  <c r="FR176" i="55" s="1"/>
  <c r="GS142" i="55"/>
  <c r="GS318" i="55"/>
  <c r="EY114" i="55"/>
  <c r="R114" i="55" s="1"/>
  <c r="EY307" i="55"/>
  <c r="V117" i="55"/>
  <c r="U117" i="55"/>
  <c r="V245" i="55"/>
  <c r="U245" i="55"/>
  <c r="EY245" i="55"/>
  <c r="V47" i="55"/>
  <c r="U47" i="55"/>
  <c r="U95" i="55"/>
  <c r="V95" i="55"/>
  <c r="V303" i="55"/>
  <c r="U303" i="55"/>
  <c r="V351" i="55"/>
  <c r="U351" i="55"/>
  <c r="EY119" i="55"/>
  <c r="R119" i="55" s="1"/>
  <c r="EY281" i="55"/>
  <c r="JW338" i="55"/>
  <c r="IC338" i="55"/>
  <c r="DS338" i="55"/>
  <c r="GB338" i="55"/>
  <c r="GC338" i="55" s="1"/>
  <c r="CR338" i="55" a="1"/>
  <c r="CR338" i="55" s="1"/>
  <c r="V338" i="55"/>
  <c r="U338" i="55"/>
  <c r="GQ338" i="55"/>
  <c r="GR338" i="55" s="1"/>
  <c r="GS300" i="55"/>
  <c r="EY73" i="55"/>
  <c r="R73" i="55" s="1"/>
  <c r="FN133" i="55"/>
  <c r="FO133" i="55"/>
  <c r="FI133" i="55"/>
  <c r="FP133" i="55"/>
  <c r="FQ133" i="55"/>
  <c r="FH133" i="55"/>
  <c r="FL133" i="55" s="1"/>
  <c r="FR133" i="55"/>
  <c r="FJ133" i="55"/>
  <c r="FK133" i="55"/>
  <c r="FM133" i="55"/>
  <c r="CU3" i="55" a="1"/>
  <c r="CU3" i="55" s="1"/>
  <c r="CT3" i="55" a="1"/>
  <c r="CT3" i="55" s="1"/>
  <c r="JW147" i="55"/>
  <c r="IC147" i="55"/>
  <c r="FW147" i="55"/>
  <c r="GB147" i="55"/>
  <c r="GC147" i="55" s="1"/>
  <c r="DS147" i="55"/>
  <c r="CR147" i="55" a="1"/>
  <c r="CR147" i="55" s="1"/>
  <c r="CS147" i="55"/>
  <c r="CZ147" i="55" s="1"/>
  <c r="DA147" i="55" s="1"/>
  <c r="DV147" i="55" s="1"/>
  <c r="V147" i="55"/>
  <c r="U147" i="55"/>
  <c r="GS13" i="55"/>
  <c r="EY90" i="55"/>
  <c r="R90" i="55" s="1"/>
  <c r="EV178" i="55"/>
  <c r="EW178" i="55" s="1"/>
  <c r="FP145" i="55"/>
  <c r="FH145" i="55"/>
  <c r="FL145" i="55" s="1"/>
  <c r="FQ145" i="55"/>
  <c r="FI145" i="55"/>
  <c r="FM145" i="55"/>
  <c r="FJ145" i="55"/>
  <c r="FN145" i="55"/>
  <c r="FO145" i="55"/>
  <c r="FK145" i="55"/>
  <c r="V94" i="55"/>
  <c r="U94" i="55"/>
  <c r="V174" i="55"/>
  <c r="U174" i="55"/>
  <c r="V254" i="55"/>
  <c r="U254" i="55"/>
  <c r="IE240" i="55" a="1"/>
  <c r="IE240" i="55" s="1"/>
  <c r="ID240" i="55" a="1"/>
  <c r="ID240" i="55" s="1"/>
  <c r="CU271" i="55" a="1"/>
  <c r="CU271" i="55" s="1"/>
  <c r="CT271" i="55" a="1"/>
  <c r="CT271" i="55" s="1"/>
  <c r="CS271" i="55"/>
  <c r="JW161" i="55"/>
  <c r="IC161" i="55"/>
  <c r="GB161" i="55"/>
  <c r="GC161" i="55" s="1"/>
  <c r="GE161" i="55" s="1" a="1"/>
  <c r="GE161" i="55" s="1"/>
  <c r="GF161" i="55" s="1"/>
  <c r="DS161" i="55"/>
  <c r="FW161" i="55"/>
  <c r="U161" i="55"/>
  <c r="V161" i="55"/>
  <c r="CR161" i="55" a="1"/>
  <c r="CR161" i="55" s="1"/>
  <c r="GS146" i="55"/>
  <c r="GS97" i="55"/>
  <c r="FZ335" i="55"/>
  <c r="GS244" i="55"/>
  <c r="EY116" i="55"/>
  <c r="R116" i="55" s="1"/>
  <c r="EY61" i="55"/>
  <c r="CW214" i="55"/>
  <c r="CY214" i="55"/>
  <c r="CV214" i="55"/>
  <c r="CX214" i="55"/>
  <c r="FX17" i="55" a="1"/>
  <c r="FX17" i="55" s="1"/>
  <c r="FY17" i="55"/>
  <c r="GY33" i="55"/>
  <c r="GX33" i="55"/>
  <c r="DG81" i="55" a="1"/>
  <c r="DG81" i="55" s="1"/>
  <c r="DF81" i="55" a="1"/>
  <c r="DF81" i="55" s="1"/>
  <c r="DH81" i="55"/>
  <c r="DX81" i="55" s="1"/>
  <c r="DE81" i="55" a="1"/>
  <c r="DE81" i="55" s="1"/>
  <c r="CZ193" i="55"/>
  <c r="DA193" i="55" s="1"/>
  <c r="DG289" i="55" a="1"/>
  <c r="DG289" i="55" s="1"/>
  <c r="DE289" i="55" a="1"/>
  <c r="DE289" i="55" s="1"/>
  <c r="DH289" i="55"/>
  <c r="DX289" i="55" s="1"/>
  <c r="DF289" i="55" a="1"/>
  <c r="DF289" i="55" s="1"/>
  <c r="CT265" i="55" a="1"/>
  <c r="CT265" i="55" s="1"/>
  <c r="CU265" i="55" a="1"/>
  <c r="CU265" i="55" s="1"/>
  <c r="GS107" i="55"/>
  <c r="GS235" i="55"/>
  <c r="EY13" i="55"/>
  <c r="R13" i="55" s="1"/>
  <c r="GP317" i="55"/>
  <c r="S317" i="55"/>
  <c r="IE308" i="55" a="1"/>
  <c r="IE308" i="55" s="1"/>
  <c r="ID308" i="55" a="1"/>
  <c r="ID308" i="55" s="1"/>
  <c r="FZ95" i="55"/>
  <c r="EK219" i="55"/>
  <c r="O219" i="55" a="1"/>
  <c r="O219" i="55" s="1"/>
  <c r="CU198" i="55" a="1"/>
  <c r="CU198" i="55" s="1"/>
  <c r="CT198" i="55" a="1"/>
  <c r="CT198" i="55" s="1"/>
  <c r="CS53" i="55"/>
  <c r="GP75" i="55"/>
  <c r="BQ301" i="55"/>
  <c r="IX317" i="55" a="1"/>
  <c r="IX317" i="55" s="1"/>
  <c r="IY317" i="55" s="1"/>
  <c r="IT317" i="55" a="1"/>
  <c r="IT317" i="55" s="1"/>
  <c r="IU317" i="55" s="1"/>
  <c r="IV317" i="55" a="1"/>
  <c r="IV317" i="55" s="1"/>
  <c r="IW317" i="55" s="1"/>
  <c r="IR317" i="55" a="1"/>
  <c r="IR317" i="55" s="1"/>
  <c r="IS317" i="55" s="1"/>
  <c r="IP317" i="55" a="1"/>
  <c r="IP317" i="55" s="1"/>
  <c r="IQ317" i="55" s="1"/>
  <c r="IN317" i="55" a="1"/>
  <c r="IN317" i="55" s="1"/>
  <c r="IO317" i="55" s="1"/>
  <c r="FQ270" i="55"/>
  <c r="FI270" i="55"/>
  <c r="FR270" i="55"/>
  <c r="FJ270" i="55"/>
  <c r="FO270" i="55"/>
  <c r="FK270" i="55"/>
  <c r="FN270" i="55"/>
  <c r="FL270" i="55"/>
  <c r="FP270" i="55"/>
  <c r="FM270" i="55"/>
  <c r="EY232" i="55"/>
  <c r="R232" i="55" s="1"/>
  <c r="EY312" i="55"/>
  <c r="GG12" i="55"/>
  <c r="GD12" i="55"/>
  <c r="DH44" i="55"/>
  <c r="DX44" i="55" s="1"/>
  <c r="DF44" i="55" a="1"/>
  <c r="DF44" i="55" s="1"/>
  <c r="DE44" i="55" a="1"/>
  <c r="DE44" i="55" s="1"/>
  <c r="DG44" i="55" a="1"/>
  <c r="DG44" i="55" s="1"/>
  <c r="DH60" i="55"/>
  <c r="DF60" i="55" a="1"/>
  <c r="DF60" i="55" s="1"/>
  <c r="DG60" i="55" a="1"/>
  <c r="DG60" i="55" s="1"/>
  <c r="DE60" i="55" a="1"/>
  <c r="DE60" i="55" s="1"/>
  <c r="GG172" i="55"/>
  <c r="GD172" i="55"/>
  <c r="GE172" i="55" s="1" a="1"/>
  <c r="GE172" i="55" s="1"/>
  <c r="GF172" i="55" s="1"/>
  <c r="CE172" i="55" a="1"/>
  <c r="CE172" i="55" s="1"/>
  <c r="FP352" i="55"/>
  <c r="FH352" i="55"/>
  <c r="FQ352" i="55"/>
  <c r="FI352" i="55"/>
  <c r="FO352" i="55"/>
  <c r="FK352" i="55"/>
  <c r="FN352" i="55"/>
  <c r="FJ352" i="55"/>
  <c r="FM352" i="55"/>
  <c r="FL352" i="55"/>
  <c r="EY79" i="55"/>
  <c r="R79" i="55" s="1"/>
  <c r="FO146" i="55"/>
  <c r="FP146" i="55"/>
  <c r="FH146" i="55"/>
  <c r="FN146" i="55"/>
  <c r="FJ146" i="55"/>
  <c r="FQ146" i="55"/>
  <c r="FI146" i="55"/>
  <c r="FK146" i="55"/>
  <c r="FM146" i="55"/>
  <c r="FL146" i="55"/>
  <c r="CE146" i="55" a="1"/>
  <c r="CE146" i="55" s="1"/>
  <c r="O146" i="55" s="1" a="1"/>
  <c r="O146" i="55" s="1"/>
  <c r="FO194" i="55"/>
  <c r="FP194" i="55"/>
  <c r="FN194" i="55"/>
  <c r="FI194" i="55"/>
  <c r="FR194" i="55"/>
  <c r="FJ194" i="55"/>
  <c r="FQ194" i="55"/>
  <c r="FK194" i="55"/>
  <c r="FL194" i="55"/>
  <c r="FM194" i="55"/>
  <c r="EY174" i="55"/>
  <c r="R174" i="55" s="1"/>
  <c r="GX24" i="55"/>
  <c r="GY24" i="55"/>
  <c r="GS165" i="55"/>
  <c r="GS293" i="55"/>
  <c r="GD73" i="55"/>
  <c r="GE73" i="55" s="1" a="1"/>
  <c r="GE73" i="55" s="1"/>
  <c r="GF73" i="55" s="1"/>
  <c r="GG73" i="55"/>
  <c r="CE73" i="55" a="1"/>
  <c r="CE73" i="55" s="1"/>
  <c r="FR73" i="55" s="1"/>
  <c r="BQ73" i="55"/>
  <c r="FA199" i="55"/>
  <c r="EL199" i="55"/>
  <c r="FB199" i="55"/>
  <c r="DF134" i="55" a="1"/>
  <c r="DF134" i="55" s="1"/>
  <c r="DG134" i="55" a="1"/>
  <c r="DG134" i="55" s="1"/>
  <c r="DE134" i="55" a="1"/>
  <c r="DE134" i="55" s="1"/>
  <c r="DH134" i="55"/>
  <c r="DX134" i="55" s="1"/>
  <c r="CR134" i="55" a="1"/>
  <c r="CR134" i="55" s="1"/>
  <c r="DF91" i="55" a="1"/>
  <c r="DF91" i="55" s="1"/>
  <c r="DG91" i="55" a="1"/>
  <c r="DG91" i="55" s="1"/>
  <c r="DE91" i="55" a="1"/>
  <c r="DE91" i="55" s="1"/>
  <c r="DH91" i="55"/>
  <c r="DX91" i="55" s="1"/>
  <c r="IC91" i="55"/>
  <c r="CR91" i="55" a="1"/>
  <c r="CR91" i="55" s="1"/>
  <c r="FK301" i="55"/>
  <c r="GY290" i="55"/>
  <c r="GX290" i="55"/>
  <c r="FA39" i="55"/>
  <c r="EL39" i="55"/>
  <c r="IV224" i="55" a="1"/>
  <c r="IV224" i="55" s="1"/>
  <c r="IW224" i="55" s="1"/>
  <c r="IR224" i="55" a="1"/>
  <c r="IR224" i="55" s="1"/>
  <c r="IS224" i="55" s="1"/>
  <c r="IT224" i="55" a="1"/>
  <c r="IT224" i="55" s="1"/>
  <c r="IU224" i="55" s="1"/>
  <c r="IX224" i="55" a="1"/>
  <c r="IX224" i="55" s="1"/>
  <c r="IY224" i="55" s="1"/>
  <c r="IP224" i="55" a="1"/>
  <c r="IP224" i="55" s="1"/>
  <c r="IQ224" i="55" s="1"/>
  <c r="IN224" i="55" a="1"/>
  <c r="IN224" i="55" s="1"/>
  <c r="IO224" i="55" s="1"/>
  <c r="FB322" i="55"/>
  <c r="FB205" i="55"/>
  <c r="GS334" i="55"/>
  <c r="R306" i="55"/>
  <c r="U292" i="55"/>
  <c r="V292" i="55"/>
  <c r="R211" i="55"/>
  <c r="U37" i="55"/>
  <c r="V37" i="55"/>
  <c r="V325" i="55"/>
  <c r="U325" i="55"/>
  <c r="GS144" i="55"/>
  <c r="U22" i="55"/>
  <c r="V22" i="55"/>
  <c r="V86" i="55"/>
  <c r="U86" i="55"/>
  <c r="U150" i="55"/>
  <c r="V150" i="55"/>
  <c r="EY181" i="55"/>
  <c r="R181" i="55" s="1"/>
  <c r="EY341" i="55"/>
  <c r="R341" i="55" s="1"/>
  <c r="EY263" i="55"/>
  <c r="R263" i="55" s="1"/>
  <c r="JW82" i="55"/>
  <c r="IC82" i="55"/>
  <c r="GB82" i="55"/>
  <c r="GC82" i="55" s="1"/>
  <c r="DS82" i="55"/>
  <c r="CR82" i="55" a="1"/>
  <c r="CR82" i="55" s="1"/>
  <c r="U82" i="55"/>
  <c r="V82" i="55"/>
  <c r="JW242" i="55"/>
  <c r="IC242" i="55"/>
  <c r="FW242" i="55"/>
  <c r="GB242" i="55"/>
  <c r="GC242" i="55" s="1"/>
  <c r="DS242" i="55"/>
  <c r="V242" i="55"/>
  <c r="U242" i="55"/>
  <c r="CR242" i="55" a="1"/>
  <c r="CR242" i="55" s="1"/>
  <c r="CS242" i="55" s="1"/>
  <c r="GS316" i="55"/>
  <c r="AY17" i="54"/>
  <c r="AZ17" i="54" s="1" a="1"/>
  <c r="AZ17" i="54" s="1"/>
  <c r="FN53" i="55"/>
  <c r="FO53" i="55"/>
  <c r="FJ53" i="55"/>
  <c r="FQ53" i="55"/>
  <c r="FL53" i="55"/>
  <c r="FP53" i="55"/>
  <c r="FM53" i="55"/>
  <c r="FI53" i="55"/>
  <c r="FK53" i="55"/>
  <c r="FH53" i="55"/>
  <c r="FR53" i="55"/>
  <c r="FN229" i="55"/>
  <c r="FO229" i="55"/>
  <c r="FR229" i="55"/>
  <c r="FM229" i="55"/>
  <c r="FJ229" i="55"/>
  <c r="FK229" i="55"/>
  <c r="FL229" i="55"/>
  <c r="FI229" i="55"/>
  <c r="FP229" i="55"/>
  <c r="FQ229" i="55"/>
  <c r="GE3" i="55" a="1"/>
  <c r="GE3" i="55" s="1"/>
  <c r="EY282" i="55"/>
  <c r="R282" i="55" s="1"/>
  <c r="FP49" i="55"/>
  <c r="FQ49" i="55"/>
  <c r="FI49" i="55"/>
  <c r="FL49" i="55"/>
  <c r="FN49" i="55"/>
  <c r="FJ49" i="55"/>
  <c r="FM49" i="55"/>
  <c r="FK49" i="55"/>
  <c r="FO49" i="55"/>
  <c r="CE49" i="55" a="1"/>
  <c r="CE49" i="55" s="1"/>
  <c r="O49" i="55" s="1" a="1"/>
  <c r="O49" i="55" s="1"/>
  <c r="CU135" i="55" a="1"/>
  <c r="CU135" i="55" s="1"/>
  <c r="CT135" i="55" a="1"/>
  <c r="CT135" i="55" s="1"/>
  <c r="CS135" i="55"/>
  <c r="V62" i="55"/>
  <c r="U62" i="55"/>
  <c r="IE304" i="55" a="1"/>
  <c r="IE304" i="55" s="1"/>
  <c r="ID304" i="55" a="1"/>
  <c r="ID304" i="55" s="1"/>
  <c r="EY208" i="55"/>
  <c r="EY320" i="55"/>
  <c r="R320" i="55" s="1"/>
  <c r="DE95" i="55" a="1"/>
  <c r="DE95" i="55" s="1"/>
  <c r="DG95" i="55" a="1"/>
  <c r="DG95" i="55" s="1"/>
  <c r="DF95" i="55" a="1"/>
  <c r="DF95" i="55" s="1"/>
  <c r="DH95" i="55"/>
  <c r="DX95" i="55" s="1"/>
  <c r="IC95" i="55"/>
  <c r="CR95" i="55" a="1"/>
  <c r="CR95" i="55" s="1"/>
  <c r="GD159" i="55"/>
  <c r="GG159" i="55"/>
  <c r="O159" i="55" a="1"/>
  <c r="O159" i="55" s="1"/>
  <c r="EV159" i="55" s="1"/>
  <c r="EW159" i="55" s="1"/>
  <c r="BQ159" i="55"/>
  <c r="ID135" i="55" a="1"/>
  <c r="ID135" i="55" s="1"/>
  <c r="IE135" i="55" a="1"/>
  <c r="IE135" i="55" s="1"/>
  <c r="ID166" i="55" a="1"/>
  <c r="ID166" i="55" s="1"/>
  <c r="IE166" i="55" a="1"/>
  <c r="IE166" i="55" s="1"/>
  <c r="R337" i="55"/>
  <c r="GS36" i="55"/>
  <c r="GS98" i="55"/>
  <c r="GS87" i="55"/>
  <c r="EY141" i="55"/>
  <c r="R141" i="55" s="1"/>
  <c r="R221" i="55"/>
  <c r="CU214" i="55" a="1"/>
  <c r="CU214" i="55" s="1"/>
  <c r="CT214" i="55" a="1"/>
  <c r="CT214" i="55" s="1"/>
  <c r="DG65" i="55" a="1"/>
  <c r="DG65" i="55" s="1"/>
  <c r="DE65" i="55" a="1"/>
  <c r="DE65" i="55" s="1"/>
  <c r="DF65" i="55" a="1"/>
  <c r="DF65" i="55" s="1"/>
  <c r="CR65" i="55" a="1"/>
  <c r="CR65" i="55" s="1"/>
  <c r="DH65" i="55"/>
  <c r="DX65" i="55" s="1"/>
  <c r="GS123" i="55"/>
  <c r="GS251" i="55"/>
  <c r="CU6" i="55" a="1"/>
  <c r="CU6" i="55" s="1"/>
  <c r="CT6" i="55" a="1"/>
  <c r="CT6" i="55" s="1"/>
  <c r="CS6" i="55"/>
  <c r="IE193" i="55" a="1"/>
  <c r="IE193" i="55" s="1"/>
  <c r="ID193" i="55" a="1"/>
  <c r="ID193" i="55" s="1"/>
  <c r="EK161" i="55"/>
  <c r="EV161" i="55" s="1"/>
  <c r="EW161" i="55" s="1"/>
  <c r="O161" i="55" a="1"/>
  <c r="O161" i="55" s="1"/>
  <c r="IV330" i="55" a="1"/>
  <c r="IV330" i="55" s="1"/>
  <c r="IW330" i="55" s="1"/>
  <c r="IR330" i="55" a="1"/>
  <c r="IR330" i="55" s="1"/>
  <c r="IS330" i="55" s="1"/>
  <c r="IP330" i="55" a="1"/>
  <c r="IP330" i="55" s="1"/>
  <c r="IQ330" i="55" s="1"/>
  <c r="IT330" i="55" a="1"/>
  <c r="IT330" i="55" s="1"/>
  <c r="IU330" i="55" s="1"/>
  <c r="IN330" i="55" a="1"/>
  <c r="IN330" i="55" s="1"/>
  <c r="IO330" i="55" s="1"/>
  <c r="IX330" i="55" a="1"/>
  <c r="IX330" i="55" s="1"/>
  <c r="IY330" i="55" s="1"/>
  <c r="FK219" i="55"/>
  <c r="FL219" i="55"/>
  <c r="FQ219" i="55"/>
  <c r="FN219" i="55"/>
  <c r="FI219" i="55"/>
  <c r="FJ219" i="55"/>
  <c r="FM219" i="55"/>
  <c r="FO219" i="55"/>
  <c r="FP219" i="55"/>
  <c r="FR219" i="55"/>
  <c r="CR44" i="55" a="1"/>
  <c r="CR44" i="55" s="1"/>
  <c r="ID149" i="55" a="1"/>
  <c r="ID149" i="55" s="1"/>
  <c r="IE149" i="55" a="1"/>
  <c r="IE149" i="55" s="1"/>
  <c r="GP139" i="55"/>
  <c r="FR76" i="55"/>
  <c r="FJ76" i="55"/>
  <c r="FK76" i="55"/>
  <c r="FO76" i="55"/>
  <c r="FI76" i="55"/>
  <c r="FN76" i="55"/>
  <c r="FH76" i="55"/>
  <c r="FL76" i="55" s="1"/>
  <c r="FP76" i="55"/>
  <c r="FQ76" i="55"/>
  <c r="FM76" i="55"/>
  <c r="GP220" i="55"/>
  <c r="FR29" i="55"/>
  <c r="FJ29" i="55"/>
  <c r="FK29" i="55"/>
  <c r="FL29" i="55"/>
  <c r="FQ29" i="55"/>
  <c r="FN29" i="55"/>
  <c r="FM29" i="55"/>
  <c r="FH29" i="55"/>
  <c r="FI29" i="55"/>
  <c r="FO29" i="55"/>
  <c r="FQ222" i="55"/>
  <c r="FI222" i="55"/>
  <c r="FR222" i="55"/>
  <c r="FJ222" i="55"/>
  <c r="FL222" i="55"/>
  <c r="FP222" i="55"/>
  <c r="FM222" i="55"/>
  <c r="FH222" i="55"/>
  <c r="FK222" i="55"/>
  <c r="FN222" i="55"/>
  <c r="FO222" i="55"/>
  <c r="JW204" i="55"/>
  <c r="IC204" i="55"/>
  <c r="FW204" i="55"/>
  <c r="DS204" i="55"/>
  <c r="DX204" i="55"/>
  <c r="GB204" i="55"/>
  <c r="GC204" i="55" s="1"/>
  <c r="GE204" i="55" s="1" a="1"/>
  <c r="GE204" i="55" s="1"/>
  <c r="GF204" i="55" s="1"/>
  <c r="CR204" i="55" a="1"/>
  <c r="CR204" i="55" s="1"/>
  <c r="CS204" i="55" s="1"/>
  <c r="V204" i="55"/>
  <c r="U204" i="55"/>
  <c r="EY26" i="55"/>
  <c r="R26" i="55" s="1"/>
  <c r="GP127" i="55"/>
  <c r="GL304" i="55"/>
  <c r="O304" i="55" a="1"/>
  <c r="O304" i="55" s="1"/>
  <c r="EY10" i="55"/>
  <c r="EY255" i="55"/>
  <c r="R255" i="55" s="1"/>
  <c r="S18" i="55"/>
  <c r="GP18" i="55"/>
  <c r="FO339" i="55"/>
  <c r="FP339" i="55"/>
  <c r="FH339" i="55"/>
  <c r="FK339" i="55"/>
  <c r="FM339" i="55"/>
  <c r="FQ339" i="55"/>
  <c r="FI339" i="55"/>
  <c r="FN339" i="55"/>
  <c r="FL339" i="55"/>
  <c r="FJ339" i="55"/>
  <c r="CE339" i="55" a="1"/>
  <c r="CE339" i="55" s="1"/>
  <c r="EK339" i="55" s="1"/>
  <c r="JF191" i="55"/>
  <c r="JM191" i="55"/>
  <c r="EY78" i="55"/>
  <c r="R78" i="55" s="1"/>
  <c r="FY312" i="55"/>
  <c r="FX312" i="55" a="1"/>
  <c r="FX312" i="55" s="1"/>
  <c r="FZ312" i="55" s="1"/>
  <c r="CE312" i="55" a="1"/>
  <c r="CE312" i="55" s="1"/>
  <c r="EK312" i="55" s="1"/>
  <c r="GG328" i="55"/>
  <c r="GD328" i="55"/>
  <c r="BQ328" i="55"/>
  <c r="CE328" i="55" a="1"/>
  <c r="CE328" i="55" s="1"/>
  <c r="EK328" i="55" s="1"/>
  <c r="FJ300" i="55"/>
  <c r="FK300" i="55"/>
  <c r="FI300" i="55"/>
  <c r="FO300" i="55"/>
  <c r="FM300" i="55"/>
  <c r="FN300" i="55"/>
  <c r="FQ300" i="55"/>
  <c r="FL300" i="55"/>
  <c r="FP300" i="55"/>
  <c r="GS118" i="55"/>
  <c r="GS246" i="55"/>
  <c r="GX330" i="55"/>
  <c r="GY330" i="55"/>
  <c r="CU63" i="55" a="1"/>
  <c r="CU63" i="55" s="1"/>
  <c r="CT63" i="55" a="1"/>
  <c r="CT63" i="55" s="1"/>
  <c r="CS63" i="55"/>
  <c r="IC15" i="55"/>
  <c r="FJ301" i="55"/>
  <c r="AN3" i="40" a="1"/>
  <c r="AN3" i="40" s="1"/>
  <c r="GS352" i="55"/>
  <c r="V228" i="55"/>
  <c r="U228" i="55"/>
  <c r="V308" i="55"/>
  <c r="U308" i="55"/>
  <c r="GS33" i="55"/>
  <c r="ID118" i="55" a="1"/>
  <c r="ID118" i="55" s="1"/>
  <c r="IE118" i="55" a="1"/>
  <c r="IE118" i="55" s="1"/>
  <c r="U207" i="55"/>
  <c r="V207" i="55"/>
  <c r="GS314" i="55"/>
  <c r="EY135" i="55"/>
  <c r="EY199" i="55"/>
  <c r="EL170" i="55"/>
  <c r="JW34" i="55"/>
  <c r="IC34" i="55"/>
  <c r="GT34" i="55"/>
  <c r="GB34" i="55"/>
  <c r="GC34" i="55" s="1"/>
  <c r="DX34" i="55"/>
  <c r="DS34" i="55"/>
  <c r="CS34" i="55"/>
  <c r="CZ34" i="55" s="1"/>
  <c r="DA34" i="55" s="1"/>
  <c r="CR34" i="55" a="1"/>
  <c r="CR34" i="55" s="1"/>
  <c r="V34" i="55"/>
  <c r="U34" i="55"/>
  <c r="JW194" i="55"/>
  <c r="IC194" i="55"/>
  <c r="FW194" i="55"/>
  <c r="GB194" i="55"/>
  <c r="GC194" i="55" s="1"/>
  <c r="CR194" i="55" a="1"/>
  <c r="CR194" i="55" s="1"/>
  <c r="DS194" i="55"/>
  <c r="U194" i="55"/>
  <c r="V194" i="55"/>
  <c r="R153" i="55"/>
  <c r="R329" i="55"/>
  <c r="FN149" i="55"/>
  <c r="FO149" i="55"/>
  <c r="FP149" i="55"/>
  <c r="FK149" i="55"/>
  <c r="FR149" i="55"/>
  <c r="FH149" i="55"/>
  <c r="FL149" i="55" s="1"/>
  <c r="FQ149" i="55"/>
  <c r="FI149" i="55"/>
  <c r="FJ149" i="55"/>
  <c r="FM149" i="55"/>
  <c r="GS136" i="55"/>
  <c r="FP273" i="55"/>
  <c r="FQ273" i="55"/>
  <c r="FI273" i="55"/>
  <c r="FM273" i="55"/>
  <c r="FJ273" i="55"/>
  <c r="FL273" i="55"/>
  <c r="FO273" i="55"/>
  <c r="FN273" i="55"/>
  <c r="FK273" i="55"/>
  <c r="CU191" i="55" a="1"/>
  <c r="CU191" i="55" s="1"/>
  <c r="CT191" i="55" a="1"/>
  <c r="CT191" i="55" s="1"/>
  <c r="U142" i="55"/>
  <c r="V142" i="55"/>
  <c r="GY271" i="55"/>
  <c r="GX271" i="55"/>
  <c r="R14" i="55"/>
  <c r="AY30" i="54"/>
  <c r="AZ30" i="54" s="1" a="1"/>
  <c r="AZ30" i="54" s="1"/>
  <c r="FN341" i="55"/>
  <c r="FO341" i="55"/>
  <c r="FP341" i="55"/>
  <c r="FK341" i="55"/>
  <c r="FR341" i="55"/>
  <c r="FH341" i="55"/>
  <c r="FJ341" i="55"/>
  <c r="FM341" i="55"/>
  <c r="FQ341" i="55"/>
  <c r="FI341" i="55"/>
  <c r="FL341" i="55"/>
  <c r="GX175" i="55"/>
  <c r="GY175" i="55"/>
  <c r="GD287" i="55"/>
  <c r="GE287" i="55" s="1" a="1"/>
  <c r="GE287" i="55" s="1"/>
  <c r="GF287" i="55" s="1"/>
  <c r="GG287" i="55"/>
  <c r="CE287" i="55" a="1"/>
  <c r="CE287" i="55" s="1"/>
  <c r="GS351" i="55"/>
  <c r="GE55" i="55" a="1"/>
  <c r="GE55" i="55" s="1"/>
  <c r="GF55" i="55" s="1"/>
  <c r="EV33" i="55"/>
  <c r="EW33" i="55" s="1"/>
  <c r="GT47" i="55"/>
  <c r="R84" i="55"/>
  <c r="JG111" i="55"/>
  <c r="JN111" i="55"/>
  <c r="CS177" i="55"/>
  <c r="GY17" i="55"/>
  <c r="GX17" i="55"/>
  <c r="DG321" i="55" a="1"/>
  <c r="DG321" i="55" s="1"/>
  <c r="DE321" i="55" a="1"/>
  <c r="DE321" i="55" s="1"/>
  <c r="DH321" i="55"/>
  <c r="DF321" i="55" a="1"/>
  <c r="DF321" i="55" s="1"/>
  <c r="IE336" i="55" a="1"/>
  <c r="IE336" i="55" s="1"/>
  <c r="ID336" i="55" a="1"/>
  <c r="ID336" i="55" s="1"/>
  <c r="V43" i="55"/>
  <c r="U43" i="55"/>
  <c r="EV208" i="55"/>
  <c r="EW208" i="55" s="1"/>
  <c r="FK106" i="55"/>
  <c r="FP106" i="55"/>
  <c r="FO106" i="55"/>
  <c r="FI106" i="55"/>
  <c r="FH106" i="55"/>
  <c r="FL106" i="55" s="1"/>
  <c r="FQ106" i="55"/>
  <c r="FJ106" i="55"/>
  <c r="FM106" i="55"/>
  <c r="FN106" i="55"/>
  <c r="FR106" i="55"/>
  <c r="EK218" i="55"/>
  <c r="EV218" i="55" s="1"/>
  <c r="EW218" i="55" s="1"/>
  <c r="O218" i="55" a="1"/>
  <c r="O218" i="55" s="1"/>
  <c r="CU78" i="55" a="1"/>
  <c r="CU78" i="55" s="1"/>
  <c r="CT78" i="55" a="1"/>
  <c r="CT78" i="55" s="1"/>
  <c r="CS78" i="55"/>
  <c r="CU100" i="55" a="1"/>
  <c r="CU100" i="55" s="1"/>
  <c r="CT100" i="55" a="1"/>
  <c r="CT100" i="55" s="1"/>
  <c r="CS100" i="55"/>
  <c r="GP330" i="55"/>
  <c r="GQ330" i="55" s="1"/>
  <c r="GR330" i="55" s="1"/>
  <c r="AY24" i="54"/>
  <c r="AZ24" i="54" s="1" a="1"/>
  <c r="AZ24" i="54" s="1"/>
  <c r="FK283" i="55"/>
  <c r="FL283" i="55"/>
  <c r="FQ283" i="55"/>
  <c r="FN283" i="55"/>
  <c r="FI283" i="55"/>
  <c r="FM283" i="55"/>
  <c r="FP283" i="55"/>
  <c r="FJ283" i="55"/>
  <c r="FO283" i="55"/>
  <c r="FR283" i="55"/>
  <c r="FH283" i="55"/>
  <c r="CU101" i="55" a="1"/>
  <c r="CU101" i="55" s="1"/>
  <c r="CT101" i="55" a="1"/>
  <c r="CT101" i="55" s="1"/>
  <c r="CU133" i="55" a="1"/>
  <c r="CU133" i="55" s="1"/>
  <c r="CT133" i="55" a="1"/>
  <c r="CT133" i="55" s="1"/>
  <c r="IE245" i="55" a="1"/>
  <c r="IE245" i="55" s="1"/>
  <c r="ID245" i="55" a="1"/>
  <c r="ID245" i="55" s="1"/>
  <c r="IE277" i="55" a="1"/>
  <c r="IE277" i="55" s="1"/>
  <c r="ID277" i="55" a="1"/>
  <c r="ID277" i="55" s="1"/>
  <c r="IE309" i="55" a="1"/>
  <c r="IE309" i="55" s="1"/>
  <c r="ID309" i="55" a="1"/>
  <c r="ID309" i="55" s="1"/>
  <c r="GF325" i="55"/>
  <c r="EY16" i="55"/>
  <c r="HV12" i="55"/>
  <c r="FJ156" i="55"/>
  <c r="FK156" i="55"/>
  <c r="FQ156" i="55"/>
  <c r="FO156" i="55"/>
  <c r="FM156" i="55"/>
  <c r="FN156" i="55"/>
  <c r="FL156" i="55"/>
  <c r="FP156" i="55"/>
  <c r="FI156" i="55"/>
  <c r="FR220" i="55"/>
  <c r="FJ220" i="55"/>
  <c r="FK220" i="55"/>
  <c r="FQ220" i="55"/>
  <c r="FI220" i="55"/>
  <c r="FL220" i="55"/>
  <c r="FM220" i="55"/>
  <c r="FH220" i="55"/>
  <c r="FP220" i="55"/>
  <c r="FO220" i="55"/>
  <c r="FN220" i="55"/>
  <c r="FR93" i="55"/>
  <c r="FJ93" i="55"/>
  <c r="FK93" i="55"/>
  <c r="FQ93" i="55"/>
  <c r="FN93" i="55"/>
  <c r="FH93" i="55"/>
  <c r="FL93" i="55" s="1"/>
  <c r="FO93" i="55"/>
  <c r="FP93" i="55"/>
  <c r="FI93" i="55"/>
  <c r="FM93" i="55"/>
  <c r="IE201" i="55" a="1"/>
  <c r="IE201" i="55" s="1"/>
  <c r="ID201" i="55" a="1"/>
  <c r="ID201" i="55" s="1"/>
  <c r="IE326" i="55" a="1"/>
  <c r="IE326" i="55" s="1"/>
  <c r="ID326" i="55" a="1"/>
  <c r="ID326" i="55" s="1"/>
  <c r="EY310" i="55"/>
  <c r="FQ78" i="55"/>
  <c r="FI78" i="55"/>
  <c r="FJ78" i="55"/>
  <c r="FH78" i="55"/>
  <c r="FP78" i="55"/>
  <c r="FL78" i="55"/>
  <c r="FN78" i="55"/>
  <c r="FK78" i="55"/>
  <c r="FM78" i="55"/>
  <c r="FO78" i="55"/>
  <c r="CE78" i="55" a="1"/>
  <c r="CE78" i="55" s="1"/>
  <c r="EY248" i="55"/>
  <c r="R248" i="55" s="1"/>
  <c r="FY188" i="55"/>
  <c r="FX188" i="55" a="1"/>
  <c r="FX188" i="55" s="1"/>
  <c r="DH220" i="55"/>
  <c r="DX220" i="55" s="1"/>
  <c r="DF220" i="55" a="1"/>
  <c r="DF220" i="55" s="1"/>
  <c r="DG220" i="55" a="1"/>
  <c r="DG220" i="55" s="1"/>
  <c r="DE220" i="55" a="1"/>
  <c r="DE220" i="55" s="1"/>
  <c r="JW236" i="55"/>
  <c r="IC236" i="55"/>
  <c r="DS236" i="55"/>
  <c r="CR236" i="55" a="1"/>
  <c r="CR236" i="55" s="1"/>
  <c r="GB236" i="55"/>
  <c r="GC236" i="55" s="1"/>
  <c r="CS236" i="55"/>
  <c r="V236" i="55"/>
  <c r="U236" i="55"/>
  <c r="FO50" i="55"/>
  <c r="FL50" i="55"/>
  <c r="FI50" i="55"/>
  <c r="FK50" i="55"/>
  <c r="FN50" i="55"/>
  <c r="FM50" i="55"/>
  <c r="BX27" i="54" a="1"/>
  <c r="BX27" i="54" s="1"/>
  <c r="AJ27" i="54" a="1"/>
  <c r="AJ27" i="54" s="1"/>
  <c r="B27" i="54" s="1"/>
  <c r="AG27" i="54" s="1"/>
  <c r="BP27" i="54" a="1"/>
  <c r="BP27" i="54" s="1"/>
  <c r="V27" i="54" a="1"/>
  <c r="V27" i="54" s="1"/>
  <c r="JG191" i="55"/>
  <c r="JN191" i="55"/>
  <c r="EY286" i="55"/>
  <c r="GG349" i="55"/>
  <c r="GD349" i="55"/>
  <c r="O349" i="55" a="1"/>
  <c r="O349" i="55" s="1"/>
  <c r="DH344" i="55"/>
  <c r="DX344" i="55" s="1"/>
  <c r="DE344" i="55" a="1"/>
  <c r="DE344" i="55" s="1"/>
  <c r="DG344" i="55" a="1"/>
  <c r="DG344" i="55" s="1"/>
  <c r="DF344" i="55" a="1"/>
  <c r="DF344" i="55" s="1"/>
  <c r="AY16" i="54"/>
  <c r="AZ16" i="54" s="1" a="1"/>
  <c r="AZ16" i="54" s="1"/>
  <c r="FQ31" i="55"/>
  <c r="FI31" i="55"/>
  <c r="FR31" i="55"/>
  <c r="FJ31" i="55"/>
  <c r="FO31" i="55"/>
  <c r="FL31" i="55"/>
  <c r="FP31" i="55"/>
  <c r="FM31" i="55"/>
  <c r="FK31" i="55"/>
  <c r="FH31" i="55"/>
  <c r="FN31" i="55"/>
  <c r="GX202" i="55"/>
  <c r="GY202" i="55"/>
  <c r="FA266" i="55"/>
  <c r="FB266" i="55"/>
  <c r="DH330" i="55"/>
  <c r="DX330" i="55" s="1"/>
  <c r="DE330" i="55" a="1"/>
  <c r="DE330" i="55" s="1"/>
  <c r="DF330" i="55" a="1"/>
  <c r="DF330" i="55" s="1"/>
  <c r="DG330" i="55" a="1"/>
  <c r="DG330" i="55" s="1"/>
  <c r="FA80" i="55"/>
  <c r="EL80" i="55"/>
  <c r="CR209" i="55" a="1"/>
  <c r="CR209" i="55" s="1"/>
  <c r="GY226" i="55"/>
  <c r="GX226" i="55"/>
  <c r="DE242" i="55" a="1"/>
  <c r="DE242" i="55" s="1"/>
  <c r="DF242" i="55" a="1"/>
  <c r="DF242" i="55" s="1"/>
  <c r="DG242" i="55" a="1"/>
  <c r="DG242" i="55" s="1"/>
  <c r="DH242" i="55"/>
  <c r="DX242" i="55" s="1"/>
  <c r="DF6" i="55" a="1"/>
  <c r="DF6" i="55" s="1"/>
  <c r="DG6" i="55" a="1"/>
  <c r="DG6" i="55" s="1"/>
  <c r="DE6" i="55" a="1"/>
  <c r="DE6" i="55" s="1"/>
  <c r="DH6" i="55"/>
  <c r="DX6" i="55" s="1"/>
  <c r="IC6" i="55"/>
  <c r="GP352" i="55"/>
  <c r="S352" i="55"/>
  <c r="FB170" i="55"/>
  <c r="R226" i="55"/>
  <c r="U36" i="55"/>
  <c r="V36" i="55"/>
  <c r="U100" i="55"/>
  <c r="V100" i="55"/>
  <c r="U164" i="55"/>
  <c r="V164" i="55"/>
  <c r="EY227" i="55"/>
  <c r="R227" i="55"/>
  <c r="JW84" i="55"/>
  <c r="GB84" i="55"/>
  <c r="GC84" i="55" s="1"/>
  <c r="IC84" i="55"/>
  <c r="CR84" i="55" a="1"/>
  <c r="CR84" i="55" s="1"/>
  <c r="CS84" i="55"/>
  <c r="V84" i="55"/>
  <c r="DS84" i="55"/>
  <c r="U84" i="55"/>
  <c r="U53" i="55"/>
  <c r="V53" i="55"/>
  <c r="U197" i="55"/>
  <c r="V197" i="55"/>
  <c r="EY260" i="55"/>
  <c r="R260" i="55" s="1"/>
  <c r="V294" i="55"/>
  <c r="U294" i="55"/>
  <c r="EY117" i="55"/>
  <c r="R117" i="55" s="1"/>
  <c r="EY261" i="55"/>
  <c r="ID158" i="55" a="1"/>
  <c r="ID158" i="55" s="1"/>
  <c r="IE158" i="55" a="1"/>
  <c r="IE158" i="55" s="1"/>
  <c r="GS10" i="55"/>
  <c r="GS12" i="55"/>
  <c r="EY169" i="55"/>
  <c r="R169" i="55" s="1"/>
  <c r="R249" i="55"/>
  <c r="R122" i="55"/>
  <c r="JC53" i="55"/>
  <c r="GU53" i="55"/>
  <c r="GV53" i="55" s="1"/>
  <c r="GW53" i="55" s="1"/>
  <c r="FP177" i="55"/>
  <c r="FQ177" i="55"/>
  <c r="FI177" i="55"/>
  <c r="FL177" i="55"/>
  <c r="FN177" i="55"/>
  <c r="FK177" i="55"/>
  <c r="FO177" i="55"/>
  <c r="FM177" i="55"/>
  <c r="FJ177" i="55"/>
  <c r="CE177" i="55" a="1"/>
  <c r="CE177" i="55" s="1"/>
  <c r="EK177" i="55" s="1"/>
  <c r="EY163" i="55"/>
  <c r="CU247" i="55" a="1"/>
  <c r="CU247" i="55" s="1"/>
  <c r="CT247" i="55" a="1"/>
  <c r="CT247" i="55" s="1"/>
  <c r="CS247" i="55"/>
  <c r="EY112" i="55"/>
  <c r="R112" i="55" s="1"/>
  <c r="DE127" i="55" a="1"/>
  <c r="DE127" i="55" s="1"/>
  <c r="DH127" i="55"/>
  <c r="DX127" i="55" s="1"/>
  <c r="DF127" i="55" a="1"/>
  <c r="DF127" i="55" s="1"/>
  <c r="DG127" i="55" a="1"/>
  <c r="DG127" i="55" s="1"/>
  <c r="GD335" i="55"/>
  <c r="T335" i="55"/>
  <c r="HV335" i="55"/>
  <c r="DE351" i="55" a="1"/>
  <c r="DE351" i="55" s="1"/>
  <c r="DG351" i="55" a="1"/>
  <c r="DG351" i="55" s="1"/>
  <c r="DH351" i="55"/>
  <c r="DX351" i="55" s="1"/>
  <c r="DF351" i="55" a="1"/>
  <c r="DF351" i="55" s="1"/>
  <c r="CR351" i="55" a="1"/>
  <c r="CR351" i="55" s="1"/>
  <c r="DM111" i="55"/>
  <c r="DQ111" i="55" s="1"/>
  <c r="EY77" i="55"/>
  <c r="EY257" i="55"/>
  <c r="R257" i="55" s="1"/>
  <c r="CS41" i="55"/>
  <c r="JW313" i="55"/>
  <c r="IC313" i="55"/>
  <c r="GT313" i="55"/>
  <c r="GB313" i="55"/>
  <c r="GC313" i="55" s="1"/>
  <c r="DS313" i="55"/>
  <c r="CR313" i="55" a="1"/>
  <c r="CR313" i="55" s="1"/>
  <c r="U313" i="55"/>
  <c r="V313" i="55"/>
  <c r="T313" i="55"/>
  <c r="DG97" i="55" a="1"/>
  <c r="DG97" i="55" s="1"/>
  <c r="DE97" i="55" a="1"/>
  <c r="DE97" i="55" s="1"/>
  <c r="DF97" i="55" a="1"/>
  <c r="DF97" i="55" s="1"/>
  <c r="DH97" i="55"/>
  <c r="FX129" i="55" a="1"/>
  <c r="FX129" i="55" s="1"/>
  <c r="FY129" i="55"/>
  <c r="CE129" i="55" a="1"/>
  <c r="CE129" i="55" s="1"/>
  <c r="EK129" i="55" s="1"/>
  <c r="GX145" i="55"/>
  <c r="GY145" i="55"/>
  <c r="IE255" i="55" a="1"/>
  <c r="IE255" i="55" s="1"/>
  <c r="ID255" i="55" a="1"/>
  <c r="ID255" i="55" s="1"/>
  <c r="JW60" i="55"/>
  <c r="IC60" i="55"/>
  <c r="GB60" i="55"/>
  <c r="GC60" i="55" s="1"/>
  <c r="DS60" i="55"/>
  <c r="DX60" i="55"/>
  <c r="CR60" i="55" a="1"/>
  <c r="CR60" i="55" s="1"/>
  <c r="CS60" i="55"/>
  <c r="U60" i="55"/>
  <c r="V60" i="55"/>
  <c r="U75" i="55"/>
  <c r="V75" i="55"/>
  <c r="EY224" i="55"/>
  <c r="R224" i="55" s="1"/>
  <c r="GS139" i="55"/>
  <c r="EY113" i="55"/>
  <c r="R113" i="55" s="1"/>
  <c r="GS224" i="55"/>
  <c r="GS288" i="55"/>
  <c r="IE192" i="55" a="1"/>
  <c r="IE192" i="55" s="1"/>
  <c r="ID192" i="55" a="1"/>
  <c r="ID192" i="55" s="1"/>
  <c r="CT52" i="55" a="1"/>
  <c r="CT52" i="55" s="1"/>
  <c r="CU52" i="55" a="1"/>
  <c r="CU52" i="55" s="1"/>
  <c r="CS52" i="55"/>
  <c r="CU164" i="55" a="1"/>
  <c r="CU164" i="55" s="1"/>
  <c r="CT164" i="55" a="1"/>
  <c r="CT164" i="55" s="1"/>
  <c r="CS164" i="55"/>
  <c r="IE260" i="55" a="1"/>
  <c r="IE260" i="55" s="1"/>
  <c r="ID260" i="55" a="1"/>
  <c r="ID260" i="55" s="1"/>
  <c r="S346" i="55"/>
  <c r="GP346" i="55"/>
  <c r="FK347" i="55"/>
  <c r="FL347" i="55"/>
  <c r="FQ347" i="55"/>
  <c r="FN347" i="55"/>
  <c r="FI347" i="55"/>
  <c r="FM347" i="55"/>
  <c r="FP347" i="55"/>
  <c r="FO347" i="55"/>
  <c r="FR347" i="55"/>
  <c r="FH347" i="55"/>
  <c r="FJ347" i="55"/>
  <c r="CT272" i="55" a="1"/>
  <c r="CT272" i="55" s="1"/>
  <c r="CU272" i="55" a="1"/>
  <c r="CU272" i="55" s="1"/>
  <c r="CS101" i="55"/>
  <c r="CS133" i="55"/>
  <c r="ID165" i="55" a="1"/>
  <c r="ID165" i="55" s="1"/>
  <c r="IE165" i="55" a="1"/>
  <c r="IE165" i="55" s="1"/>
  <c r="CU229" i="55" a="1"/>
  <c r="CU229" i="55" s="1"/>
  <c r="CT229" i="55" a="1"/>
  <c r="CT229" i="55" s="1"/>
  <c r="EV187" i="55"/>
  <c r="EW187" i="55" s="1"/>
  <c r="GL204" i="55"/>
  <c r="O204" i="55" a="1"/>
  <c r="O204" i="55" s="1"/>
  <c r="GL205" i="55"/>
  <c r="O205" i="55" a="1"/>
  <c r="O205" i="55" s="1"/>
  <c r="GL157" i="55"/>
  <c r="O157" i="55" a="1"/>
  <c r="O157" i="55" s="1"/>
  <c r="FR253" i="55"/>
  <c r="FJ253" i="55"/>
  <c r="FK253" i="55"/>
  <c r="FP253" i="55"/>
  <c r="FM253" i="55"/>
  <c r="FO253" i="55"/>
  <c r="FQ253" i="55"/>
  <c r="FN253" i="55"/>
  <c r="FI253" i="55"/>
  <c r="FL253" i="55"/>
  <c r="CR127" i="55" a="1"/>
  <c r="CR127" i="55" s="1"/>
  <c r="CV169" i="55"/>
  <c r="CW169" i="55"/>
  <c r="CY169" i="55"/>
  <c r="CX169" i="55"/>
  <c r="IE169" i="55" a="1"/>
  <c r="IE169" i="55" s="1"/>
  <c r="ID169" i="55" a="1"/>
  <c r="ID169" i="55" s="1"/>
  <c r="EY86" i="55"/>
  <c r="R86" i="55" s="1"/>
  <c r="GP189" i="55"/>
  <c r="S189" i="55"/>
  <c r="FQ334" i="55"/>
  <c r="FI334" i="55"/>
  <c r="FJ334" i="55"/>
  <c r="FH334" i="55"/>
  <c r="FL334" i="55" s="1"/>
  <c r="FP334" i="55"/>
  <c r="FM334" i="55"/>
  <c r="FN334" i="55"/>
  <c r="FK334" i="55"/>
  <c r="FO334" i="55"/>
  <c r="CE334" i="55" a="1"/>
  <c r="CE334" i="55" s="1"/>
  <c r="FR334" i="55" s="1"/>
  <c r="R168" i="55"/>
  <c r="DH332" i="55"/>
  <c r="DX332" i="55" s="1"/>
  <c r="DE332" i="55" a="1"/>
  <c r="DE332" i="55" s="1"/>
  <c r="DG332" i="55" a="1"/>
  <c r="DG332" i="55" s="1"/>
  <c r="DF332" i="55" a="1"/>
  <c r="DF332" i="55" s="1"/>
  <c r="GS121" i="55"/>
  <c r="GS249" i="55"/>
  <c r="EY95" i="55"/>
  <c r="R95" i="55" s="1"/>
  <c r="GQ337" i="55"/>
  <c r="EX3" i="55"/>
  <c r="EC3" i="55"/>
  <c r="EM3" i="55" s="1" a="1"/>
  <c r="EM3" i="55" s="1"/>
  <c r="J3" i="55" s="1"/>
  <c r="EN3" i="55" s="1"/>
  <c r="BP16" i="54" a="1"/>
  <c r="BP16" i="54" s="1"/>
  <c r="BX16" i="54" a="1"/>
  <c r="BX16" i="54" s="1"/>
  <c r="BW16" i="54" a="1"/>
  <c r="BW16" i="54" s="1"/>
  <c r="BL16" i="54" a="1"/>
  <c r="BL16" i="54" s="1"/>
  <c r="AJ16" i="54" a="1"/>
  <c r="AJ16" i="54" s="1"/>
  <c r="B16" i="54" s="1"/>
  <c r="AG16" i="54" s="1"/>
  <c r="V16" i="54" a="1"/>
  <c r="V16" i="54" s="1"/>
  <c r="FO275" i="55"/>
  <c r="FP275" i="55"/>
  <c r="FK275" i="55"/>
  <c r="FM275" i="55"/>
  <c r="FI275" i="55"/>
  <c r="FL275" i="55"/>
  <c r="FN275" i="55"/>
  <c r="FQ275" i="55"/>
  <c r="FJ275" i="55"/>
  <c r="CE275" i="55" a="1"/>
  <c r="CE275" i="55" s="1"/>
  <c r="O275" i="55" s="1" a="1"/>
  <c r="O275" i="55" s="1"/>
  <c r="DE340" i="55" a="1"/>
  <c r="DE340" i="55" s="1"/>
  <c r="DF340" i="55" a="1"/>
  <c r="DF340" i="55" s="1"/>
  <c r="DH340" i="55"/>
  <c r="DX340" i="55" s="1"/>
  <c r="DG340" i="55" a="1"/>
  <c r="DG340" i="55" s="1"/>
  <c r="CR340" i="55" a="1"/>
  <c r="CR340" i="55" s="1"/>
  <c r="GP215" i="55"/>
  <c r="GG296" i="55"/>
  <c r="GD296" i="55"/>
  <c r="BQ296" i="55"/>
  <c r="CE296" i="55" a="1"/>
  <c r="CE296" i="55" s="1"/>
  <c r="FR296" i="55" s="1"/>
  <c r="O296" i="55" a="1"/>
  <c r="O296" i="55" s="1"/>
  <c r="FY328" i="55"/>
  <c r="FX328" i="55" a="1"/>
  <c r="FX328" i="55" s="1"/>
  <c r="GL47" i="55"/>
  <c r="FY47" i="55"/>
  <c r="FZ47" i="55" s="1"/>
  <c r="GG170" i="55"/>
  <c r="GD170" i="55"/>
  <c r="BQ170" i="55"/>
  <c r="O170" i="55" a="1"/>
  <c r="O170" i="55" s="1"/>
  <c r="FX186" i="55" a="1"/>
  <c r="FX186" i="55" s="1"/>
  <c r="FY186" i="55"/>
  <c r="FA329" i="55"/>
  <c r="FB329" i="55"/>
  <c r="GL207" i="55"/>
  <c r="DE32" i="55" a="1"/>
  <c r="DE32" i="55" s="1"/>
  <c r="DF32" i="55" a="1"/>
  <c r="DF32" i="55" s="1"/>
  <c r="DH32" i="55"/>
  <c r="DX32" i="55" s="1"/>
  <c r="DG32" i="55" a="1"/>
  <c r="DG32" i="55" s="1"/>
  <c r="CR32" i="55" a="1"/>
  <c r="CR32" i="55" s="1"/>
  <c r="GD103" i="55"/>
  <c r="GE103" i="55" s="1" a="1"/>
  <c r="GE103" i="55" s="1"/>
  <c r="GF103" i="55" s="1"/>
  <c r="GG103" i="55"/>
  <c r="CE103" i="55" a="1"/>
  <c r="CE103" i="55" s="1"/>
  <c r="FR103" i="55" s="1"/>
  <c r="BQ103" i="55"/>
  <c r="EY331" i="55"/>
  <c r="R331" i="55" s="1"/>
  <c r="EY92" i="55"/>
  <c r="IT53" i="55" a="1"/>
  <c r="IT53" i="55" s="1"/>
  <c r="IU53" i="55" s="1"/>
  <c r="IR53" i="55" a="1"/>
  <c r="IR53" i="55" s="1"/>
  <c r="IS53" i="55" s="1"/>
  <c r="IX53" i="55" a="1"/>
  <c r="IX53" i="55" s="1"/>
  <c r="IY53" i="55" s="1"/>
  <c r="IV53" i="55" a="1"/>
  <c r="IV53" i="55" s="1"/>
  <c r="IW53" i="55" s="1"/>
  <c r="IN53" i="55" a="1"/>
  <c r="IN53" i="55" s="1"/>
  <c r="IO53" i="55" s="1"/>
  <c r="IP53" i="55" a="1"/>
  <c r="IP53" i="55" s="1"/>
  <c r="IQ53" i="55" s="1"/>
  <c r="GS30" i="55"/>
  <c r="R146" i="55"/>
  <c r="R322" i="55"/>
  <c r="U52" i="55"/>
  <c r="V52" i="55"/>
  <c r="V116" i="55"/>
  <c r="U116" i="55"/>
  <c r="U244" i="55"/>
  <c r="V244" i="55"/>
  <c r="EY115" i="55"/>
  <c r="R115" i="55" s="1"/>
  <c r="JW180" i="55"/>
  <c r="FW180" i="55"/>
  <c r="IC180" i="55"/>
  <c r="GB180" i="55"/>
  <c r="GC180" i="55" s="1"/>
  <c r="CR180" i="55" a="1"/>
  <c r="CR180" i="55" s="1"/>
  <c r="DS180" i="55"/>
  <c r="CS180" i="55"/>
  <c r="V180" i="55"/>
  <c r="U180" i="55"/>
  <c r="GS208" i="55"/>
  <c r="R52" i="55"/>
  <c r="U38" i="55"/>
  <c r="V38" i="55"/>
  <c r="U102" i="55"/>
  <c r="V102" i="55"/>
  <c r="EY277" i="55"/>
  <c r="EY186" i="55"/>
  <c r="IE54" i="55" a="1"/>
  <c r="IE54" i="55" s="1"/>
  <c r="ID54" i="55" a="1"/>
  <c r="ID54" i="55" s="1"/>
  <c r="EY279" i="55"/>
  <c r="JW306" i="55"/>
  <c r="FW306" i="55"/>
  <c r="IC306" i="55"/>
  <c r="GB306" i="55"/>
  <c r="GC306" i="55" s="1"/>
  <c r="GE306" i="55" s="1" a="1"/>
  <c r="GE306" i="55" s="1"/>
  <c r="GF306" i="55" s="1"/>
  <c r="CR306" i="55" a="1"/>
  <c r="CR306" i="55" s="1"/>
  <c r="DS306" i="55"/>
  <c r="V306" i="55"/>
  <c r="U306" i="55"/>
  <c r="GS44" i="55"/>
  <c r="R89" i="55"/>
  <c r="GQ185" i="55"/>
  <c r="GR185" i="55" s="1"/>
  <c r="FN165" i="55"/>
  <c r="FO165" i="55"/>
  <c r="FR165" i="55"/>
  <c r="FM165" i="55"/>
  <c r="FJ165" i="55"/>
  <c r="FP165" i="55"/>
  <c r="FI165" i="55"/>
  <c r="FK165" i="55"/>
  <c r="FQ165" i="55"/>
  <c r="FL165" i="55"/>
  <c r="JW323" i="55"/>
  <c r="IC323" i="55"/>
  <c r="FW323" i="55"/>
  <c r="GB323" i="55"/>
  <c r="GC323" i="55" s="1"/>
  <c r="CR323" i="55" a="1"/>
  <c r="CR323" i="55" s="1"/>
  <c r="DS323" i="55"/>
  <c r="V323" i="55"/>
  <c r="U323" i="55"/>
  <c r="EY41" i="55"/>
  <c r="EY138" i="55"/>
  <c r="GL193" i="55"/>
  <c r="O193" i="55" a="1"/>
  <c r="O193" i="55" s="1"/>
  <c r="FP193" i="55"/>
  <c r="FQ193" i="55"/>
  <c r="FP289" i="55"/>
  <c r="FQ289" i="55"/>
  <c r="FI289" i="55"/>
  <c r="FJ289" i="55"/>
  <c r="FO289" i="55"/>
  <c r="FL289" i="55"/>
  <c r="FN289" i="55"/>
  <c r="FM289" i="55"/>
  <c r="FK289" i="55"/>
  <c r="FR289" i="55"/>
  <c r="IC134" i="55"/>
  <c r="JC32" i="55"/>
  <c r="JC48" i="55"/>
  <c r="R128" i="55"/>
  <c r="EY240" i="55"/>
  <c r="EY352" i="55"/>
  <c r="GY15" i="55"/>
  <c r="GX15" i="55"/>
  <c r="GG63" i="55"/>
  <c r="GD63" i="55"/>
  <c r="BQ63" i="55"/>
  <c r="CE63" i="55" a="1"/>
  <c r="CE63" i="55" s="1"/>
  <c r="DH79" i="55"/>
  <c r="DX79" i="55" s="1"/>
  <c r="DG79" i="55" a="1"/>
  <c r="DG79" i="55" s="1"/>
  <c r="DE79" i="55" a="1"/>
  <c r="DE79" i="55" s="1"/>
  <c r="DF79" i="55" a="1"/>
  <c r="DF79" i="55" s="1"/>
  <c r="GG111" i="55"/>
  <c r="GD111" i="55"/>
  <c r="GE111" i="55" s="1" a="1"/>
  <c r="GE111" i="55" s="1"/>
  <c r="GF111" i="55" s="1"/>
  <c r="BQ111" i="55"/>
  <c r="CE111" i="55" a="1"/>
  <c r="CE111" i="55" s="1"/>
  <c r="IE327" i="55" a="1"/>
  <c r="IE327" i="55" s="1"/>
  <c r="ID327" i="55" a="1"/>
  <c r="ID327" i="55" s="1"/>
  <c r="EY298" i="55"/>
  <c r="R298" i="55" s="1"/>
  <c r="R157" i="55"/>
  <c r="EY106" i="55"/>
  <c r="R106" i="55" s="1"/>
  <c r="DG17" i="55" a="1"/>
  <c r="DG17" i="55" s="1"/>
  <c r="DF17" i="55" a="1"/>
  <c r="DF17" i="55" s="1"/>
  <c r="DH17" i="55"/>
  <c r="DX17" i="55" s="1"/>
  <c r="DE17" i="55" a="1"/>
  <c r="DE17" i="55" s="1"/>
  <c r="CR17" i="55" a="1"/>
  <c r="CR17" i="55" s="1"/>
  <c r="IC17" i="55"/>
  <c r="GX193" i="55"/>
  <c r="GY193" i="55"/>
  <c r="GX321" i="55"/>
  <c r="GY321" i="55"/>
  <c r="IE71" i="55" a="1"/>
  <c r="IE71" i="55" s="1"/>
  <c r="ID71" i="55" a="1"/>
  <c r="ID71" i="55" s="1"/>
  <c r="JW27" i="55"/>
  <c r="IC27" i="55"/>
  <c r="DS27" i="55"/>
  <c r="CR27" i="55" a="1"/>
  <c r="CR27" i="55" s="1"/>
  <c r="GB27" i="55"/>
  <c r="GC27" i="55" s="1"/>
  <c r="DX27" i="55"/>
  <c r="U27" i="55"/>
  <c r="V27" i="55"/>
  <c r="JW59" i="55"/>
  <c r="IC59" i="55"/>
  <c r="DS59" i="55"/>
  <c r="CR59" i="55" a="1"/>
  <c r="CR59" i="55" s="1"/>
  <c r="GB59" i="55"/>
  <c r="GC59" i="55" s="1"/>
  <c r="U59" i="55"/>
  <c r="V59" i="55"/>
  <c r="IC123" i="55"/>
  <c r="JW123" i="55"/>
  <c r="DS123" i="55"/>
  <c r="CR123" i="55" a="1"/>
  <c r="CR123" i="55" s="1"/>
  <c r="GB123" i="55"/>
  <c r="GC123" i="55" s="1"/>
  <c r="CS123" i="55"/>
  <c r="U123" i="55"/>
  <c r="V123" i="55"/>
  <c r="JW28" i="55"/>
  <c r="IC28" i="55"/>
  <c r="DS28" i="55"/>
  <c r="GB28" i="55"/>
  <c r="GC28" i="55" s="1"/>
  <c r="GE28" i="55" s="1" a="1"/>
  <c r="GE28" i="55" s="1"/>
  <c r="GF28" i="55" s="1"/>
  <c r="CR28" i="55" a="1"/>
  <c r="CR28" i="55" s="1"/>
  <c r="CS28" i="55"/>
  <c r="GT28" i="55"/>
  <c r="V28" i="55"/>
  <c r="U28" i="55"/>
  <c r="GS155" i="55"/>
  <c r="S232" i="55"/>
  <c r="GP232" i="55"/>
  <c r="CT192" i="55" a="1"/>
  <c r="CT192" i="55" s="1"/>
  <c r="CU192" i="55" a="1"/>
  <c r="CU192" i="55" s="1"/>
  <c r="FK58" i="55"/>
  <c r="FR58" i="55"/>
  <c r="FH58" i="55"/>
  <c r="FL58" i="55" s="1"/>
  <c r="FJ58" i="55"/>
  <c r="FM58" i="55"/>
  <c r="FP58" i="55"/>
  <c r="FO58" i="55"/>
  <c r="FQ58" i="55"/>
  <c r="FN58" i="55"/>
  <c r="FI58" i="55"/>
  <c r="IE233" i="55" a="1"/>
  <c r="IE233" i="55" s="1"/>
  <c r="ID233" i="55" a="1"/>
  <c r="ID233" i="55" s="1"/>
  <c r="ID292" i="55" a="1"/>
  <c r="ID292" i="55" s="1"/>
  <c r="IE292" i="55" a="1"/>
  <c r="IE292" i="55" s="1"/>
  <c r="IE181" i="55" a="1"/>
  <c r="IE181" i="55" s="1"/>
  <c r="ID181" i="55" a="1"/>
  <c r="ID181" i="55" s="1"/>
  <c r="ID341" i="55" a="1"/>
  <c r="ID341" i="55" s="1"/>
  <c r="IE341" i="55" a="1"/>
  <c r="IE341" i="55" s="1"/>
  <c r="GQ155" i="55"/>
  <c r="GR155" i="55" s="1"/>
  <c r="FJ92" i="55"/>
  <c r="FK92" i="55"/>
  <c r="FQ92" i="55"/>
  <c r="FN92" i="55"/>
  <c r="FP92" i="55"/>
  <c r="FH92" i="55"/>
  <c r="FL92" i="55" s="1"/>
  <c r="FO92" i="55"/>
  <c r="FI92" i="55"/>
  <c r="FM92" i="55"/>
  <c r="JL177" i="55"/>
  <c r="JE177" i="55"/>
  <c r="EY104" i="55"/>
  <c r="EY184" i="55"/>
  <c r="R184" i="55" s="1"/>
  <c r="DH28" i="55"/>
  <c r="DX28" i="55" s="1"/>
  <c r="DF28" i="55" a="1"/>
  <c r="DF28" i="55" s="1"/>
  <c r="DG28" i="55" a="1"/>
  <c r="DG28" i="55" s="1"/>
  <c r="DE28" i="55" a="1"/>
  <c r="DE28" i="55" s="1"/>
  <c r="GX92" i="55"/>
  <c r="GY92" i="55"/>
  <c r="DH108" i="55"/>
  <c r="DX108" i="55" s="1"/>
  <c r="DG108" i="55" a="1"/>
  <c r="DG108" i="55" s="1"/>
  <c r="DE108" i="55" a="1"/>
  <c r="DE108" i="55" s="1"/>
  <c r="DF108" i="55" a="1"/>
  <c r="DF108" i="55" s="1"/>
  <c r="FY172" i="55"/>
  <c r="FX172" i="55" a="1"/>
  <c r="FX172" i="55" s="1"/>
  <c r="DH316" i="55"/>
  <c r="DX316" i="55" s="1"/>
  <c r="DF316" i="55" a="1"/>
  <c r="DF316" i="55" s="1"/>
  <c r="DG316" i="55" a="1"/>
  <c r="DG316" i="55" s="1"/>
  <c r="DE316" i="55" a="1"/>
  <c r="DE316" i="55" s="1"/>
  <c r="FP208" i="55"/>
  <c r="FQ208" i="55"/>
  <c r="FI208" i="55"/>
  <c r="FM208" i="55"/>
  <c r="FK208" i="55"/>
  <c r="FN208" i="55"/>
  <c r="FJ208" i="55"/>
  <c r="FL208" i="55"/>
  <c r="FO208" i="55"/>
  <c r="FR208" i="55"/>
  <c r="ID342" i="55" a="1"/>
  <c r="ID342" i="55" s="1"/>
  <c r="IE342" i="55" a="1"/>
  <c r="IE342" i="55" s="1"/>
  <c r="FO211" i="55"/>
  <c r="FP211" i="55"/>
  <c r="FK211" i="55"/>
  <c r="FM211" i="55"/>
  <c r="FN211" i="55"/>
  <c r="FI211" i="55"/>
  <c r="FL211" i="55"/>
  <c r="FJ211" i="55"/>
  <c r="FQ211" i="55"/>
  <c r="CE211" i="55" a="1"/>
  <c r="CE211" i="55" s="1"/>
  <c r="FO291" i="55"/>
  <c r="FP291" i="55"/>
  <c r="FM291" i="55"/>
  <c r="FJ291" i="55"/>
  <c r="FQ291" i="55"/>
  <c r="FK291" i="55"/>
  <c r="FN291" i="55"/>
  <c r="FI291" i="55"/>
  <c r="FL291" i="55"/>
  <c r="CE291" i="55" a="1"/>
  <c r="CE291" i="55" s="1"/>
  <c r="O291" i="55" s="1" a="1"/>
  <c r="O291" i="55" s="1"/>
  <c r="FA340" i="55"/>
  <c r="EL340" i="55"/>
  <c r="FB340" i="55"/>
  <c r="EY94" i="55"/>
  <c r="FY216" i="55"/>
  <c r="FX216" i="55" a="1"/>
  <c r="FX216" i="55" s="1"/>
  <c r="GX248" i="55"/>
  <c r="GY248" i="55"/>
  <c r="JF193" i="55"/>
  <c r="JM193" i="55"/>
  <c r="GG10" i="55"/>
  <c r="GD10" i="55"/>
  <c r="BQ287" i="55"/>
  <c r="FX299" i="55" a="1"/>
  <c r="FX299" i="55" s="1"/>
  <c r="FY299" i="55"/>
  <c r="JW106" i="55"/>
  <c r="IC106" i="55"/>
  <c r="DS106" i="55"/>
  <c r="GB106" i="55"/>
  <c r="GC106" i="55" s="1"/>
  <c r="CR106" i="55" a="1"/>
  <c r="CR106" i="55" s="1"/>
  <c r="V106" i="55"/>
  <c r="U106" i="55"/>
  <c r="FY300" i="55"/>
  <c r="FX300" i="55" a="1"/>
  <c r="FX300" i="55" s="1"/>
  <c r="FY316" i="55"/>
  <c r="FX316" i="55" a="1"/>
  <c r="FX316" i="55" s="1"/>
  <c r="JW284" i="55"/>
  <c r="IC284" i="55"/>
  <c r="GB284" i="55"/>
  <c r="GC284" i="55" s="1"/>
  <c r="DS284" i="55"/>
  <c r="CR284" i="55" a="1"/>
  <c r="CR284" i="55" s="1"/>
  <c r="CS284" i="55"/>
  <c r="FW284" i="55"/>
  <c r="V284" i="55"/>
  <c r="U284" i="55"/>
  <c r="JW316" i="55"/>
  <c r="IC316" i="55"/>
  <c r="DS316" i="55"/>
  <c r="CR316" i="55" a="1"/>
  <c r="CR316" i="55" s="1"/>
  <c r="GB316" i="55"/>
  <c r="GC316" i="55" s="1"/>
  <c r="GE316" i="55" s="1" a="1"/>
  <c r="GE316" i="55" s="1"/>
  <c r="GF316" i="55" s="1"/>
  <c r="U316" i="55"/>
  <c r="V316" i="55"/>
  <c r="FP240" i="55"/>
  <c r="FQ240" i="55"/>
  <c r="FI240" i="55"/>
  <c r="FO240" i="55"/>
  <c r="FK240" i="55"/>
  <c r="FJ240" i="55"/>
  <c r="FN240" i="55"/>
  <c r="FL240" i="55"/>
  <c r="FM240" i="55"/>
  <c r="FP320" i="55"/>
  <c r="FH320" i="55"/>
  <c r="FQ320" i="55"/>
  <c r="FI320" i="55"/>
  <c r="FK320" i="55"/>
  <c r="FN320" i="55"/>
  <c r="FJ320" i="55"/>
  <c r="FL320" i="55"/>
  <c r="FM320" i="55"/>
  <c r="FO320" i="55"/>
  <c r="R127" i="55"/>
  <c r="FO322" i="55"/>
  <c r="FP322" i="55"/>
  <c r="FH322" i="55"/>
  <c r="FL322" i="55" s="1"/>
  <c r="FN322" i="55"/>
  <c r="FK322" i="55"/>
  <c r="FQ322" i="55"/>
  <c r="FJ322" i="55"/>
  <c r="FI322" i="55"/>
  <c r="FM322" i="55"/>
  <c r="GD3" i="55"/>
  <c r="T3" i="55"/>
  <c r="BX30" i="54" a="1"/>
  <c r="BX30" i="54" s="1"/>
  <c r="BW30" i="54" a="1"/>
  <c r="BW30" i="54" s="1"/>
  <c r="BP30" i="54" a="1"/>
  <c r="BP30" i="54" s="1"/>
  <c r="BL30" i="54" a="1"/>
  <c r="BL30" i="54" s="1"/>
  <c r="V30" i="54" a="1"/>
  <c r="V30" i="54" s="1"/>
  <c r="AJ30" i="54" a="1"/>
  <c r="AJ30" i="54" s="1"/>
  <c r="B30" i="54" s="1"/>
  <c r="AG30" i="54" s="1"/>
  <c r="DG4" i="55" a="1"/>
  <c r="DG4" i="55" s="1"/>
  <c r="DE4" i="55" a="1"/>
  <c r="DE4" i="55" s="1"/>
  <c r="DH4" i="55"/>
  <c r="DX4" i="55" s="1"/>
  <c r="DF4" i="55" a="1"/>
  <c r="DF4" i="55" s="1"/>
  <c r="GY36" i="55"/>
  <c r="GX36" i="55"/>
  <c r="GY276" i="55"/>
  <c r="GX276" i="55"/>
  <c r="GY292" i="55"/>
  <c r="GX292" i="55"/>
  <c r="FX340" i="55" a="1"/>
  <c r="FX340" i="55" s="1"/>
  <c r="FY340" i="55"/>
  <c r="CE340" i="55" a="1"/>
  <c r="CE340" i="55" s="1"/>
  <c r="FZ164" i="55"/>
  <c r="R206" i="55"/>
  <c r="GG269" i="55"/>
  <c r="GD269" i="55"/>
  <c r="FY56" i="55"/>
  <c r="FX56" i="55" a="1"/>
  <c r="FX56" i="55" s="1"/>
  <c r="FY72" i="55"/>
  <c r="FX72" i="55" a="1"/>
  <c r="FX72" i="55" s="1"/>
  <c r="FZ72" i="55" s="1"/>
  <c r="GX168" i="55"/>
  <c r="GY168" i="55"/>
  <c r="GG216" i="55"/>
  <c r="GD216" i="55"/>
  <c r="GX264" i="55"/>
  <c r="GY264" i="55"/>
  <c r="FX25" i="55" a="1"/>
  <c r="FX25" i="55" s="1"/>
  <c r="FY25" i="55"/>
  <c r="GG315" i="55"/>
  <c r="GD315" i="55"/>
  <c r="BQ315" i="55"/>
  <c r="FJ332" i="55"/>
  <c r="FK332" i="55"/>
  <c r="FO332" i="55"/>
  <c r="FI332" i="55"/>
  <c r="FQ332" i="55"/>
  <c r="FM332" i="55"/>
  <c r="FH332" i="55"/>
  <c r="FL332" i="55" s="1"/>
  <c r="FN332" i="55"/>
  <c r="FP332" i="55"/>
  <c r="GG57" i="55"/>
  <c r="GD57" i="55"/>
  <c r="CE57" i="55" a="1"/>
  <c r="CE57" i="55" s="1"/>
  <c r="EK57" i="55" s="1"/>
  <c r="BQ57" i="55"/>
  <c r="GX73" i="55"/>
  <c r="GY73" i="55"/>
  <c r="GD153" i="55"/>
  <c r="GG153" i="55"/>
  <c r="CE153" i="55" a="1"/>
  <c r="CE153" i="55" s="1"/>
  <c r="BQ153" i="55"/>
  <c r="GX169" i="55"/>
  <c r="GY169" i="55"/>
  <c r="DG233" i="55" a="1"/>
  <c r="DG233" i="55" s="1"/>
  <c r="DE233" i="55" a="1"/>
  <c r="DE233" i="55" s="1"/>
  <c r="DH233" i="55"/>
  <c r="DX233" i="55" s="1"/>
  <c r="DF233" i="55" a="1"/>
  <c r="DF233" i="55" s="1"/>
  <c r="CZ265" i="55"/>
  <c r="DA265" i="55" s="1"/>
  <c r="DM265" i="55" s="1"/>
  <c r="GX297" i="55"/>
  <c r="GY297" i="55"/>
  <c r="DG313" i="55" a="1"/>
  <c r="DG313" i="55" s="1"/>
  <c r="DH313" i="55"/>
  <c r="DX313" i="55" s="1"/>
  <c r="DF313" i="55" a="1"/>
  <c r="DF313" i="55" s="1"/>
  <c r="DE313" i="55" a="1"/>
  <c r="DE313" i="55" s="1"/>
  <c r="GX329" i="55"/>
  <c r="GY329" i="55"/>
  <c r="FQ223" i="55"/>
  <c r="FI223" i="55"/>
  <c r="FR223" i="55"/>
  <c r="FJ223" i="55"/>
  <c r="FO223" i="55"/>
  <c r="FL223" i="55"/>
  <c r="FM223" i="55"/>
  <c r="FP223" i="55"/>
  <c r="FH223" i="55"/>
  <c r="FK223" i="55"/>
  <c r="FN223" i="55"/>
  <c r="JW232" i="55"/>
  <c r="IC232" i="55"/>
  <c r="GB232" i="55"/>
  <c r="GC232" i="55" s="1"/>
  <c r="GE232" i="55" s="1" a="1"/>
  <c r="GE232" i="55" s="1"/>
  <c r="GF232" i="55" s="1"/>
  <c r="CR232" i="55" a="1"/>
  <c r="CR232" i="55" s="1"/>
  <c r="V232" i="55"/>
  <c r="DS232" i="55"/>
  <c r="U232" i="55"/>
  <c r="FX106" i="55" a="1"/>
  <c r="FX106" i="55" s="1"/>
  <c r="FY106" i="55"/>
  <c r="DH122" i="55"/>
  <c r="DG122" i="55" a="1"/>
  <c r="DG122" i="55" s="1"/>
  <c r="DF122" i="55" a="1"/>
  <c r="DF122" i="55" s="1"/>
  <c r="DE122" i="55" a="1"/>
  <c r="DE122" i="55" s="1"/>
  <c r="GX346" i="55"/>
  <c r="GY346" i="55"/>
  <c r="ID143" i="55" a="1"/>
  <c r="ID143" i="55" s="1"/>
  <c r="IE143" i="55" a="1"/>
  <c r="IE143" i="55" s="1"/>
  <c r="FA201" i="55"/>
  <c r="FB201" i="55"/>
  <c r="FY27" i="55"/>
  <c r="FX27" i="55" a="1"/>
  <c r="FX27" i="55" s="1"/>
  <c r="CU230" i="55" a="1"/>
  <c r="CU230" i="55" s="1"/>
  <c r="CT230" i="55" a="1"/>
  <c r="CT230" i="55" s="1"/>
  <c r="FY13" i="55"/>
  <c r="FX13" i="55" a="1"/>
  <c r="FX13" i="55" s="1"/>
  <c r="DH77" i="55"/>
  <c r="DE77" i="55" a="1"/>
  <c r="DE77" i="55" s="1"/>
  <c r="DG77" i="55" a="1"/>
  <c r="DG77" i="55" s="1"/>
  <c r="DF77" i="55" a="1"/>
  <c r="DF77" i="55" s="1"/>
  <c r="JW187" i="55"/>
  <c r="IC187" i="55"/>
  <c r="DS187" i="55"/>
  <c r="FW187" i="55"/>
  <c r="GB187" i="55"/>
  <c r="GC187" i="55" s="1"/>
  <c r="CR187" i="55" a="1"/>
  <c r="CR187" i="55" s="1"/>
  <c r="CS187" i="55" s="1"/>
  <c r="V187" i="55"/>
  <c r="U187" i="55"/>
  <c r="GY320" i="55"/>
  <c r="GX320" i="55"/>
  <c r="V39" i="55"/>
  <c r="FA18" i="55"/>
  <c r="BL27" i="54" s="1" a="1"/>
  <c r="BL27" i="54" s="1"/>
  <c r="EL18" i="55"/>
  <c r="DE34" i="55" a="1"/>
  <c r="DE34" i="55" s="1"/>
  <c r="DF34" i="55" a="1"/>
  <c r="DF34" i="55" s="1"/>
  <c r="DG34" i="55" a="1"/>
  <c r="DG34" i="55" s="1"/>
  <c r="DH34" i="55"/>
  <c r="FY7" i="55"/>
  <c r="FX7" i="55" a="1"/>
  <c r="FX7" i="55" s="1"/>
  <c r="FZ7" i="55" s="1"/>
  <c r="AY19" i="54"/>
  <c r="AZ19" i="54" s="1" a="1"/>
  <c r="AZ19" i="54" s="1"/>
  <c r="FM102" i="55"/>
  <c r="FN102" i="55"/>
  <c r="FR102" i="55"/>
  <c r="FH102" i="55"/>
  <c r="FO102" i="55"/>
  <c r="FL102" i="55"/>
  <c r="FQ102" i="55"/>
  <c r="FI102" i="55"/>
  <c r="FP102" i="55"/>
  <c r="FJ102" i="55"/>
  <c r="FK102" i="55"/>
  <c r="FA38" i="55"/>
  <c r="EL38" i="55"/>
  <c r="DE86" i="55" a="1"/>
  <c r="DE86" i="55" s="1"/>
  <c r="DF86" i="55" a="1"/>
  <c r="DF86" i="55" s="1"/>
  <c r="DH86" i="55"/>
  <c r="DX86" i="55" s="1"/>
  <c r="DG86" i="55" a="1"/>
  <c r="DG86" i="55" s="1"/>
  <c r="EY284" i="55"/>
  <c r="S83" i="55"/>
  <c r="FM136" i="55"/>
  <c r="FQ136" i="55"/>
  <c r="FI136" i="55"/>
  <c r="FP136" i="55"/>
  <c r="FH136" i="55"/>
  <c r="FL136" i="55" s="1"/>
  <c r="FJ136" i="55"/>
  <c r="FK136" i="55"/>
  <c r="FO136" i="55"/>
  <c r="FN136" i="55"/>
  <c r="FL280" i="55"/>
  <c r="FM280" i="55"/>
  <c r="FI280" i="55"/>
  <c r="FO280" i="55"/>
  <c r="FN280" i="55"/>
  <c r="FL344" i="55"/>
  <c r="FM344" i="55"/>
  <c r="FI344" i="55"/>
  <c r="FQ344" i="55"/>
  <c r="FJ344" i="55"/>
  <c r="FN344" i="55"/>
  <c r="FO344" i="55"/>
  <c r="FH344" i="55"/>
  <c r="FK344" i="55"/>
  <c r="FP344" i="55"/>
  <c r="BI60" i="55" a="1"/>
  <c r="BI60" i="55" s="1"/>
  <c r="GX174" i="55"/>
  <c r="GY174" i="55"/>
  <c r="DE254" i="55" a="1"/>
  <c r="DE254" i="55" s="1"/>
  <c r="DF254" i="55" a="1"/>
  <c r="DF254" i="55" s="1"/>
  <c r="DH254" i="55"/>
  <c r="DX254" i="55" s="1"/>
  <c r="DG254" i="55" a="1"/>
  <c r="DG254" i="55" s="1"/>
  <c r="BL29" i="54" a="1"/>
  <c r="BL29" i="54" s="1"/>
  <c r="AJ29" i="54" a="1"/>
  <c r="AJ29" i="54" s="1"/>
  <c r="B29" i="54" s="1"/>
  <c r="AG29" i="54" s="1"/>
  <c r="BP29" i="54" a="1"/>
  <c r="BP29" i="54" s="1"/>
  <c r="V29" i="54" a="1"/>
  <c r="V29" i="54" s="1"/>
  <c r="BX29" i="54" a="1"/>
  <c r="BX29" i="54" s="1"/>
  <c r="DG100" i="55" a="1"/>
  <c r="DG100" i="55" s="1"/>
  <c r="DH100" i="55"/>
  <c r="DX100" i="55" s="1"/>
  <c r="DF100" i="55" a="1"/>
  <c r="DF100" i="55" s="1"/>
  <c r="DE100" i="55" a="1"/>
  <c r="DE100" i="55" s="1"/>
  <c r="DG164" i="55" a="1"/>
  <c r="DG164" i="55" s="1"/>
  <c r="DH164" i="55"/>
  <c r="DX164" i="55" s="1"/>
  <c r="DE164" i="55" a="1"/>
  <c r="DE164" i="55" s="1"/>
  <c r="DF164" i="55" a="1"/>
  <c r="DF164" i="55" s="1"/>
  <c r="DG260" i="55" a="1"/>
  <c r="DG260" i="55" s="1"/>
  <c r="DF260" i="55" a="1"/>
  <c r="DF260" i="55" s="1"/>
  <c r="DE260" i="55" a="1"/>
  <c r="DE260" i="55" s="1"/>
  <c r="DH260" i="55"/>
  <c r="DX260" i="55" s="1"/>
  <c r="CZ292" i="55"/>
  <c r="DA292" i="55" s="1"/>
  <c r="ID175" i="55" a="1"/>
  <c r="ID175" i="55" s="1"/>
  <c r="IE175" i="55" a="1"/>
  <c r="IE175" i="55" s="1"/>
  <c r="GD313" i="55"/>
  <c r="HV313" i="55"/>
  <c r="S119" i="55"/>
  <c r="GP119" i="55"/>
  <c r="GD24" i="55"/>
  <c r="GG24" i="55"/>
  <c r="BQ24" i="55"/>
  <c r="CE24" i="55" a="1"/>
  <c r="CE24" i="55" s="1"/>
  <c r="O24" i="55" s="1" a="1"/>
  <c r="O24" i="55" s="1"/>
  <c r="GD104" i="55"/>
  <c r="GG104" i="55"/>
  <c r="CE104" i="55" a="1"/>
  <c r="CE104" i="55" s="1"/>
  <c r="O104" i="55" s="1" a="1"/>
  <c r="O104" i="55" s="1"/>
  <c r="BQ104" i="55"/>
  <c r="DH152" i="55"/>
  <c r="DX152" i="55" s="1"/>
  <c r="DG152" i="55" a="1"/>
  <c r="DG152" i="55" s="1"/>
  <c r="DE152" i="55" a="1"/>
  <c r="DE152" i="55" s="1"/>
  <c r="DF152" i="55" a="1"/>
  <c r="DF152" i="55" s="1"/>
  <c r="FZ287" i="55"/>
  <c r="DG25" i="55" a="1"/>
  <c r="DG25" i="55" s="1"/>
  <c r="DH25" i="55"/>
  <c r="DX25" i="55" s="1"/>
  <c r="DE25" i="55" a="1"/>
  <c r="DE25" i="55" s="1"/>
  <c r="DF25" i="55" a="1"/>
  <c r="DF25" i="55" s="1"/>
  <c r="DG57" i="55" a="1"/>
  <c r="DG57" i="55" s="1"/>
  <c r="DH57" i="55"/>
  <c r="DX57" i="55" s="1"/>
  <c r="DF57" i="55" a="1"/>
  <c r="DF57" i="55" s="1"/>
  <c r="DE57" i="55" a="1"/>
  <c r="DE57" i="55" s="1"/>
  <c r="GX89" i="55"/>
  <c r="GY89" i="55"/>
  <c r="FX153" i="55" a="1"/>
  <c r="FX153" i="55" s="1"/>
  <c r="FY153" i="55"/>
  <c r="DG265" i="55" a="1"/>
  <c r="DG265" i="55" s="1"/>
  <c r="DE265" i="55" a="1"/>
  <c r="DE265" i="55" s="1"/>
  <c r="DH265" i="55"/>
  <c r="DX265" i="55" s="1"/>
  <c r="DF265" i="55" a="1"/>
  <c r="DF265" i="55" s="1"/>
  <c r="FQ111" i="55"/>
  <c r="FI111" i="55"/>
  <c r="FR111" i="55"/>
  <c r="FJ111" i="55"/>
  <c r="FN111" i="55"/>
  <c r="FK111" i="55"/>
  <c r="FM111" i="55"/>
  <c r="FP111" i="55"/>
  <c r="FO111" i="55"/>
  <c r="FH111" i="55"/>
  <c r="FL111" i="55" s="1"/>
  <c r="GG42" i="55"/>
  <c r="GD42" i="55"/>
  <c r="CE42" i="55" a="1"/>
  <c r="CE42" i="55" s="1"/>
  <c r="O42" i="55" s="1" a="1"/>
  <c r="O42" i="55" s="1"/>
  <c r="BQ42" i="55"/>
  <c r="GG282" i="55"/>
  <c r="GD282" i="55"/>
  <c r="GE282" i="55" s="1" a="1"/>
  <c r="GE282" i="55" s="1"/>
  <c r="GF282" i="55" s="1"/>
  <c r="FQ95" i="55"/>
  <c r="FI95" i="55"/>
  <c r="FJ95" i="55"/>
  <c r="FO95" i="55"/>
  <c r="FK95" i="55"/>
  <c r="FN95" i="55"/>
  <c r="FH95" i="55"/>
  <c r="FL95" i="55" s="1"/>
  <c r="FP95" i="55"/>
  <c r="FM95" i="55"/>
  <c r="DF11" i="55" a="1"/>
  <c r="DF11" i="55" s="1"/>
  <c r="DG11" i="55" a="1"/>
  <c r="DG11" i="55" s="1"/>
  <c r="DH11" i="55"/>
  <c r="DX11" i="55" s="1"/>
  <c r="DE11" i="55" a="1"/>
  <c r="DE11" i="55" s="1"/>
  <c r="DF203" i="55" a="1"/>
  <c r="DF203" i="55" s="1"/>
  <c r="DH203" i="55"/>
  <c r="DX203" i="55" s="1"/>
  <c r="DE203" i="55" a="1"/>
  <c r="DE203" i="55" s="1"/>
  <c r="DG203" i="55" a="1"/>
  <c r="DG203" i="55" s="1"/>
  <c r="IC203" i="55"/>
  <c r="FX315" i="55" a="1"/>
  <c r="FX315" i="55" s="1"/>
  <c r="FY315" i="55"/>
  <c r="GY331" i="55"/>
  <c r="GX331" i="55"/>
  <c r="CW230" i="55"/>
  <c r="CY230" i="55"/>
  <c r="CV230" i="55"/>
  <c r="CX230" i="55"/>
  <c r="DH157" i="55"/>
  <c r="DE157" i="55" a="1"/>
  <c r="DE157" i="55" s="1"/>
  <c r="DF157" i="55" a="1"/>
  <c r="DF157" i="55" s="1"/>
  <c r="DG157" i="55" a="1"/>
  <c r="DG157" i="55" s="1"/>
  <c r="DH173" i="55"/>
  <c r="DE173" i="55" a="1"/>
  <c r="DE173" i="55" s="1"/>
  <c r="DF173" i="55" a="1"/>
  <c r="DF173" i="55" s="1"/>
  <c r="DG173" i="55" a="1"/>
  <c r="DG173" i="55" s="1"/>
  <c r="DH205" i="55"/>
  <c r="DX205" i="55" s="1"/>
  <c r="DE205" i="55" a="1"/>
  <c r="DE205" i="55" s="1"/>
  <c r="DF205" i="55" a="1"/>
  <c r="DF205" i="55" s="1"/>
  <c r="DG205" i="55" a="1"/>
  <c r="DG205" i="55" s="1"/>
  <c r="JW267" i="55"/>
  <c r="IC267" i="55"/>
  <c r="DS267" i="55"/>
  <c r="GB267" i="55"/>
  <c r="GC267" i="55" s="1"/>
  <c r="CR267" i="55" a="1"/>
  <c r="CR267" i="55" s="1"/>
  <c r="U267" i="55"/>
  <c r="V267" i="55"/>
  <c r="JW347" i="55"/>
  <c r="IC347" i="55"/>
  <c r="GB347" i="55"/>
  <c r="GC347" i="55" s="1"/>
  <c r="GE347" i="55" s="1" a="1"/>
  <c r="GE347" i="55" s="1"/>
  <c r="GF347" i="55" s="1"/>
  <c r="DS347" i="55"/>
  <c r="CR347" i="55" a="1"/>
  <c r="CR347" i="55" s="1"/>
  <c r="FW347" i="55"/>
  <c r="U347" i="55"/>
  <c r="V347" i="55"/>
  <c r="JF47" i="55"/>
  <c r="JM47" i="55"/>
  <c r="CR203" i="55" a="1"/>
  <c r="CR203" i="55" s="1"/>
  <c r="GX288" i="55"/>
  <c r="GY288" i="55"/>
  <c r="GD34" i="55"/>
  <c r="GG34" i="55"/>
  <c r="GG39" i="55"/>
  <c r="GD39" i="55"/>
  <c r="O39" i="55" a="1"/>
  <c r="O39" i="55" s="1"/>
  <c r="BQ39" i="55"/>
  <c r="GG87" i="55"/>
  <c r="GD87" i="55"/>
  <c r="CE87" i="55" a="1"/>
  <c r="CE87" i="55" s="1"/>
  <c r="FR87" i="55" s="1"/>
  <c r="BQ87" i="55"/>
  <c r="FA7" i="55"/>
  <c r="BL19" i="54" s="1" a="1"/>
  <c r="BL19" i="54" s="1"/>
  <c r="FB7" i="55"/>
  <c r="BP19" i="54" s="1" a="1"/>
  <c r="BP19" i="54" s="1"/>
  <c r="FX38" i="55" a="1"/>
  <c r="FX38" i="55" s="1"/>
  <c r="FY38" i="55"/>
  <c r="JL290" i="55"/>
  <c r="JE290" i="55"/>
  <c r="FA228" i="55"/>
  <c r="FB228" i="55"/>
  <c r="GS137" i="55"/>
  <c r="GS265" i="55"/>
  <c r="EY319" i="55"/>
  <c r="S162" i="55"/>
  <c r="GP162" i="55"/>
  <c r="CZ4" i="55"/>
  <c r="DA4" i="55" s="1"/>
  <c r="GD132" i="55"/>
  <c r="GG132" i="55"/>
  <c r="CE132" i="55" a="1"/>
  <c r="CE132" i="55" s="1"/>
  <c r="BQ132" i="55"/>
  <c r="CZ164" i="55"/>
  <c r="DA164" i="55" s="1"/>
  <c r="DG228" i="55" a="1"/>
  <c r="DG228" i="55" s="1"/>
  <c r="DH228" i="55"/>
  <c r="DX228" i="55" s="1"/>
  <c r="DF228" i="55" a="1"/>
  <c r="DF228" i="55" s="1"/>
  <c r="DE228" i="55" a="1"/>
  <c r="DE228" i="55" s="1"/>
  <c r="GD244" i="55"/>
  <c r="GG244" i="55"/>
  <c r="CE244" i="55" a="1"/>
  <c r="CE244" i="55" s="1"/>
  <c r="EK244" i="55" s="1"/>
  <c r="BQ244" i="55"/>
  <c r="FY260" i="55"/>
  <c r="FX260" i="55" a="1"/>
  <c r="FX260" i="55" s="1"/>
  <c r="EY222" i="55"/>
  <c r="FX168" i="55" a="1"/>
  <c r="FX168" i="55" s="1"/>
  <c r="FY168" i="55"/>
  <c r="CE168" i="55" a="1"/>
  <c r="CE168" i="55" s="1"/>
  <c r="FR168" i="55" s="1"/>
  <c r="GX344" i="55"/>
  <c r="GY344" i="55"/>
  <c r="JW104" i="55"/>
  <c r="IC104" i="55"/>
  <c r="GB104" i="55"/>
  <c r="GC104" i="55" s="1"/>
  <c r="DS104" i="55"/>
  <c r="U104" i="55"/>
  <c r="V104" i="55"/>
  <c r="CR104" i="55" a="1"/>
  <c r="CR104" i="55" s="1"/>
  <c r="JW184" i="55"/>
  <c r="IC184" i="55"/>
  <c r="GB184" i="55"/>
  <c r="GC184" i="55" s="1"/>
  <c r="DS184" i="55"/>
  <c r="CR184" i="55" a="1"/>
  <c r="CR184" i="55" s="1"/>
  <c r="V184" i="55"/>
  <c r="T184" i="55"/>
  <c r="U184" i="55"/>
  <c r="GS53" i="55"/>
  <c r="GS181" i="55"/>
  <c r="GS309" i="55"/>
  <c r="FX297" i="55" a="1"/>
  <c r="FX297" i="55" s="1"/>
  <c r="FY297" i="55"/>
  <c r="CE297" i="55" a="1"/>
  <c r="CE297" i="55" s="1"/>
  <c r="FX42" i="55" a="1"/>
  <c r="FX42" i="55" s="1"/>
  <c r="FY42" i="55"/>
  <c r="DH90" i="55"/>
  <c r="DG90" i="55" a="1"/>
  <c r="DG90" i="55" s="1"/>
  <c r="DE90" i="55" a="1"/>
  <c r="DE90" i="55" s="1"/>
  <c r="DF90" i="55" a="1"/>
  <c r="DF90" i="55" s="1"/>
  <c r="GG138" i="55"/>
  <c r="GD138" i="55"/>
  <c r="BQ138" i="55"/>
  <c r="CE138" i="55" a="1"/>
  <c r="CE138" i="55" s="1"/>
  <c r="FR138" i="55" s="1"/>
  <c r="FQ127" i="55"/>
  <c r="FI127" i="55"/>
  <c r="FJ127" i="55"/>
  <c r="FK127" i="55"/>
  <c r="FP127" i="55"/>
  <c r="FM127" i="55"/>
  <c r="FO127" i="55"/>
  <c r="FH127" i="55"/>
  <c r="FL127" i="55" s="1"/>
  <c r="FN127" i="55"/>
  <c r="JW216" i="55"/>
  <c r="IC216" i="55"/>
  <c r="GB216" i="55"/>
  <c r="GC216" i="55" s="1"/>
  <c r="FW216" i="55"/>
  <c r="DS216" i="55"/>
  <c r="V216" i="55"/>
  <c r="U216" i="55"/>
  <c r="CR216" i="55" a="1"/>
  <c r="CR216" i="55" s="1"/>
  <c r="CS216" i="55" s="1"/>
  <c r="EX27" i="55"/>
  <c r="EC27" i="55"/>
  <c r="EO27" i="55" s="1" a="1"/>
  <c r="EO27" i="55" s="1"/>
  <c r="EQ27" i="55" s="1"/>
  <c r="DF283" i="55" a="1"/>
  <c r="DF283" i="55" s="1"/>
  <c r="DG283" i="55" a="1"/>
  <c r="DG283" i="55" s="1"/>
  <c r="DH283" i="55"/>
  <c r="DX283" i="55" s="1"/>
  <c r="DE283" i="55" a="1"/>
  <c r="DE283" i="55" s="1"/>
  <c r="FQ207" i="55"/>
  <c r="FI207" i="55"/>
  <c r="FJ207" i="55"/>
  <c r="FM207" i="55"/>
  <c r="FO207" i="55"/>
  <c r="FK207" i="55"/>
  <c r="FN207" i="55"/>
  <c r="FL207" i="55"/>
  <c r="FP207" i="55"/>
  <c r="FY189" i="55"/>
  <c r="FX189" i="55" a="1"/>
  <c r="FX189" i="55" s="1"/>
  <c r="DH221" i="55"/>
  <c r="DE221" i="55" a="1"/>
  <c r="DE221" i="55" s="1"/>
  <c r="DF221" i="55" a="1"/>
  <c r="DF221" i="55" s="1"/>
  <c r="DG221" i="55" a="1"/>
  <c r="DG221" i="55" s="1"/>
  <c r="DH269" i="55"/>
  <c r="DX269" i="55" s="1"/>
  <c r="DE269" i="55" a="1"/>
  <c r="DE269" i="55" s="1"/>
  <c r="DG269" i="55" a="1"/>
  <c r="DG269" i="55" s="1"/>
  <c r="DF269" i="55" a="1"/>
  <c r="DF269" i="55" s="1"/>
  <c r="FP321" i="55"/>
  <c r="FH321" i="55"/>
  <c r="FL321" i="55" s="1"/>
  <c r="FQ321" i="55"/>
  <c r="FI321" i="55"/>
  <c r="FN321" i="55"/>
  <c r="FK321" i="55"/>
  <c r="FJ321" i="55"/>
  <c r="FM321" i="55"/>
  <c r="FO321" i="55"/>
  <c r="CE321" i="55" a="1"/>
  <c r="CE321" i="55" s="1"/>
  <c r="DF144" i="55" a="1"/>
  <c r="DF144" i="55" s="1"/>
  <c r="DH144" i="55"/>
  <c r="DX144" i="55" s="1"/>
  <c r="DG144" i="55" a="1"/>
  <c r="DG144" i="55" s="1"/>
  <c r="DE144" i="55" a="1"/>
  <c r="DE144" i="55" s="1"/>
  <c r="GD208" i="55"/>
  <c r="GG208" i="55"/>
  <c r="BQ208" i="55"/>
  <c r="O208" i="55" a="1"/>
  <c r="O208" i="55" s="1"/>
  <c r="FA352" i="55"/>
  <c r="FY195" i="55"/>
  <c r="FX195" i="55" a="1"/>
  <c r="FX195" i="55" s="1"/>
  <c r="FP305" i="55"/>
  <c r="FQ305" i="55"/>
  <c r="FI305" i="55"/>
  <c r="FL305" i="55"/>
  <c r="FN305" i="55"/>
  <c r="FM305" i="55"/>
  <c r="FK305" i="55"/>
  <c r="FJ305" i="55"/>
  <c r="FO305" i="55"/>
  <c r="CE305" i="55" a="1"/>
  <c r="CE305" i="55" s="1"/>
  <c r="FR305" i="55" s="1"/>
  <c r="GD210" i="55"/>
  <c r="GG210" i="55"/>
  <c r="CE210" i="55" a="1"/>
  <c r="CE210" i="55" s="1"/>
  <c r="FY318" i="55"/>
  <c r="FX318" i="55" a="1"/>
  <c r="FX318" i="55" s="1"/>
  <c r="JW156" i="55"/>
  <c r="IC156" i="55"/>
  <c r="DS156" i="55"/>
  <c r="CR156" i="55" a="1"/>
  <c r="CR156" i="55" s="1"/>
  <c r="FW156" i="55"/>
  <c r="GB156" i="55"/>
  <c r="GC156" i="55" s="1"/>
  <c r="CS156" i="55"/>
  <c r="CZ156" i="55" s="1"/>
  <c r="DA156" i="55" s="1"/>
  <c r="V156" i="55"/>
  <c r="U156" i="55"/>
  <c r="JW268" i="55"/>
  <c r="IC268" i="55"/>
  <c r="GB268" i="55"/>
  <c r="GC268" i="55" s="1"/>
  <c r="GE268" i="55" s="1" a="1"/>
  <c r="GE268" i="55" s="1"/>
  <c r="GF268" i="55" s="1"/>
  <c r="DS268" i="55"/>
  <c r="CR268" i="55" a="1"/>
  <c r="CR268" i="55" s="1"/>
  <c r="U268" i="55"/>
  <c r="V268" i="55"/>
  <c r="S95" i="55"/>
  <c r="GP95" i="55"/>
  <c r="FP48" i="55"/>
  <c r="FQ48" i="55"/>
  <c r="FI48" i="55"/>
  <c r="FL48" i="55"/>
  <c r="FO48" i="55"/>
  <c r="FJ48" i="55"/>
  <c r="FN48" i="55"/>
  <c r="FM48" i="55"/>
  <c r="FK48" i="55"/>
  <c r="FP256" i="55"/>
  <c r="FQ256" i="55"/>
  <c r="FI256" i="55"/>
  <c r="FK256" i="55"/>
  <c r="FM256" i="55"/>
  <c r="FL256" i="55"/>
  <c r="FN256" i="55"/>
  <c r="FO256" i="55"/>
  <c r="FJ256" i="55"/>
  <c r="EY30" i="55"/>
  <c r="EY207" i="55"/>
  <c r="FO66" i="55"/>
  <c r="FP66" i="55"/>
  <c r="FH66" i="55"/>
  <c r="FN66" i="55"/>
  <c r="FK66" i="55"/>
  <c r="FQ66" i="55"/>
  <c r="FM66" i="55"/>
  <c r="FI66" i="55"/>
  <c r="FJ66" i="55"/>
  <c r="FL66" i="55"/>
  <c r="CE66" i="55" a="1"/>
  <c r="CE66" i="55" s="1"/>
  <c r="FR66" i="55" s="1"/>
  <c r="FO338" i="55"/>
  <c r="FP338" i="55"/>
  <c r="FH338" i="55"/>
  <c r="FR338" i="55"/>
  <c r="FM338" i="55"/>
  <c r="FI338" i="55"/>
  <c r="FN338" i="55"/>
  <c r="FQ338" i="55"/>
  <c r="FL338" i="55"/>
  <c r="FJ338" i="55"/>
  <c r="FK338" i="55"/>
  <c r="ID343" i="55" a="1"/>
  <c r="ID343" i="55" s="1"/>
  <c r="IE343" i="55" a="1"/>
  <c r="IE343" i="55" s="1"/>
  <c r="GP114" i="55"/>
  <c r="BX17" i="54" a="1"/>
  <c r="BX17" i="54" s="1"/>
  <c r="BL17" i="54" a="1"/>
  <c r="BL17" i="54" s="1"/>
  <c r="V17" i="54" a="1"/>
  <c r="V17" i="54" s="1"/>
  <c r="BP17" i="54" a="1"/>
  <c r="BP17" i="54" s="1"/>
  <c r="AJ17" i="54" a="1"/>
  <c r="AJ17" i="54" s="1"/>
  <c r="B17" i="54" s="1"/>
  <c r="AG17" i="54" s="1"/>
  <c r="FO227" i="55"/>
  <c r="FP227" i="55"/>
  <c r="FM227" i="55"/>
  <c r="FJ227" i="55"/>
  <c r="FQ227" i="55"/>
  <c r="FI227" i="55"/>
  <c r="FL227" i="55"/>
  <c r="FK227" i="55"/>
  <c r="FN227" i="55"/>
  <c r="GY4" i="55"/>
  <c r="GX4" i="55"/>
  <c r="DG68" i="55" a="1"/>
  <c r="DG68" i="55" s="1"/>
  <c r="DF68" i="55" a="1"/>
  <c r="DF68" i="55" s="1"/>
  <c r="DH68" i="55"/>
  <c r="DX68" i="55" s="1"/>
  <c r="DE68" i="55" a="1"/>
  <c r="DE68" i="55" s="1"/>
  <c r="GD228" i="55"/>
  <c r="GE228" i="55" s="1" a="1"/>
  <c r="GE228" i="55" s="1"/>
  <c r="GF228" i="55" s="1"/>
  <c r="GG228" i="55"/>
  <c r="CE228" i="55" a="1"/>
  <c r="CE228" i="55" s="1"/>
  <c r="FR228" i="55" s="1"/>
  <c r="BQ228" i="55"/>
  <c r="FY244" i="55"/>
  <c r="FX244" i="55" a="1"/>
  <c r="FX244" i="55" s="1"/>
  <c r="FZ244" i="55" s="1"/>
  <c r="GD308" i="55"/>
  <c r="GG308" i="55"/>
  <c r="CE308" i="55" a="1"/>
  <c r="CE308" i="55" s="1"/>
  <c r="EK308" i="55" s="1"/>
  <c r="O308" i="55" a="1"/>
  <c r="O308" i="55" s="1"/>
  <c r="BQ308" i="55"/>
  <c r="FX324" i="55" a="1"/>
  <c r="FX324" i="55" s="1"/>
  <c r="FY324" i="55"/>
  <c r="JE191" i="55"/>
  <c r="JL191" i="55"/>
  <c r="EY158" i="55"/>
  <c r="R158" i="55" s="1"/>
  <c r="EY302" i="55"/>
  <c r="R302" i="55" s="1"/>
  <c r="FY8" i="55"/>
  <c r="FX8" i="55" a="1"/>
  <c r="FX8" i="55" s="1"/>
  <c r="DH24" i="55"/>
  <c r="DG24" i="55" a="1"/>
  <c r="DG24" i="55" s="1"/>
  <c r="DE24" i="55" a="1"/>
  <c r="DE24" i="55" s="1"/>
  <c r="DF24" i="55" a="1"/>
  <c r="DF24" i="55" s="1"/>
  <c r="DH40" i="55"/>
  <c r="DE40" i="55" a="1"/>
  <c r="DE40" i="55" s="1"/>
  <c r="DF40" i="55" a="1"/>
  <c r="DF40" i="55" s="1"/>
  <c r="DG40" i="55" a="1"/>
  <c r="DG40" i="55" s="1"/>
  <c r="DH56" i="55"/>
  <c r="DX56" i="55" s="1"/>
  <c r="DF56" i="55" a="1"/>
  <c r="DF56" i="55" s="1"/>
  <c r="DG56" i="55" a="1"/>
  <c r="DG56" i="55" s="1"/>
  <c r="DE56" i="55" a="1"/>
  <c r="DE56" i="55" s="1"/>
  <c r="GD88" i="55"/>
  <c r="HV88" i="55"/>
  <c r="GD184" i="55"/>
  <c r="HV184" i="55"/>
  <c r="DH328" i="55"/>
  <c r="DE328" i="55" a="1"/>
  <c r="DE328" i="55" s="1"/>
  <c r="DF328" i="55" a="1"/>
  <c r="DF328" i="55" s="1"/>
  <c r="DG328" i="55" a="1"/>
  <c r="DG328" i="55" s="1"/>
  <c r="CE300" i="55" a="1"/>
  <c r="CE300" i="55" s="1"/>
  <c r="FR300" i="55" s="1"/>
  <c r="FJ348" i="55"/>
  <c r="FK348" i="55"/>
  <c r="FQ348" i="55"/>
  <c r="FN348" i="55"/>
  <c r="FO348" i="55"/>
  <c r="FP348" i="55"/>
  <c r="FI348" i="55"/>
  <c r="FH348" i="55"/>
  <c r="FM348" i="55"/>
  <c r="FL348" i="55"/>
  <c r="GX137" i="55"/>
  <c r="GY137" i="55"/>
  <c r="CZ201" i="55"/>
  <c r="DA201" i="55" s="1"/>
  <c r="GX233" i="55"/>
  <c r="GY233" i="55"/>
  <c r="GD281" i="55"/>
  <c r="GG281" i="55"/>
  <c r="BQ281" i="55"/>
  <c r="FQ143" i="55"/>
  <c r="FI143" i="55"/>
  <c r="FR143" i="55"/>
  <c r="FJ143" i="55"/>
  <c r="FM143" i="55"/>
  <c r="FH143" i="55"/>
  <c r="FL143" i="55" s="1"/>
  <c r="FO143" i="55"/>
  <c r="FP143" i="55"/>
  <c r="FN143" i="55"/>
  <c r="FK143" i="55"/>
  <c r="JL281" i="55"/>
  <c r="JE281" i="55"/>
  <c r="IE14" i="55" a="1"/>
  <c r="IE14" i="55" s="1"/>
  <c r="ID14" i="55" a="1"/>
  <c r="ID14" i="55" s="1"/>
  <c r="FA72" i="55"/>
  <c r="FB72" i="55"/>
  <c r="FX170" i="55" a="1"/>
  <c r="FX170" i="55" s="1"/>
  <c r="FY170" i="55"/>
  <c r="GY186" i="55"/>
  <c r="GX186" i="55"/>
  <c r="DH202" i="55"/>
  <c r="DX202" i="55" s="1"/>
  <c r="DE202" i="55" a="1"/>
  <c r="DE202" i="55" s="1"/>
  <c r="DF202" i="55" a="1"/>
  <c r="DF202" i="55" s="1"/>
  <c r="DG202" i="55" a="1"/>
  <c r="DG202" i="55" s="1"/>
  <c r="GG234" i="55"/>
  <c r="GD234" i="55"/>
  <c r="CE234" i="55" a="1"/>
  <c r="CE234" i="55" s="1"/>
  <c r="FX314" i="55" a="1"/>
  <c r="FX314" i="55" s="1"/>
  <c r="FY314" i="55"/>
  <c r="GS253" i="55"/>
  <c r="GG59" i="55"/>
  <c r="GD59" i="55"/>
  <c r="O59" i="55" a="1"/>
  <c r="O59" i="55" s="1"/>
  <c r="FY107" i="55"/>
  <c r="FX107" i="55" a="1"/>
  <c r="FX107" i="55" s="1"/>
  <c r="FY283" i="55"/>
  <c r="FX283" i="55" a="1"/>
  <c r="FX283" i="55" s="1"/>
  <c r="GY299" i="55"/>
  <c r="GX299" i="55"/>
  <c r="GD48" i="55"/>
  <c r="GE48" i="55" s="1" a="1"/>
  <c r="GE48" i="55" s="1"/>
  <c r="GF48" i="55" s="1"/>
  <c r="GG48" i="55"/>
  <c r="JG255" i="55"/>
  <c r="JN255" i="55"/>
  <c r="GX147" i="55"/>
  <c r="GY147" i="55"/>
  <c r="GY144" i="55"/>
  <c r="GX144" i="55"/>
  <c r="CU174" i="55" a="1"/>
  <c r="CU174" i="55" s="1"/>
  <c r="CT174" i="55" a="1"/>
  <c r="CT174" i="55" s="1"/>
  <c r="FX99" i="55" a="1"/>
  <c r="FX99" i="55" s="1"/>
  <c r="FY99" i="55"/>
  <c r="S240" i="55"/>
  <c r="GP240" i="55"/>
  <c r="GP243" i="55"/>
  <c r="S243" i="55"/>
  <c r="FY270" i="55"/>
  <c r="FX270" i="55" a="1"/>
  <c r="FX270" i="55" s="1"/>
  <c r="FH16" i="55"/>
  <c r="FQ16" i="55"/>
  <c r="FI16" i="55"/>
  <c r="FM16" i="55"/>
  <c r="FO16" i="55"/>
  <c r="FR16" i="55"/>
  <c r="FK16" i="55"/>
  <c r="FJ16" i="55"/>
  <c r="FL16" i="55"/>
  <c r="FN16" i="55"/>
  <c r="FP96" i="55"/>
  <c r="FH96" i="55"/>
  <c r="FL96" i="55" s="1"/>
  <c r="FQ96" i="55"/>
  <c r="FI96" i="55"/>
  <c r="FO96" i="55"/>
  <c r="FK96" i="55"/>
  <c r="FN96" i="55"/>
  <c r="FM96" i="55"/>
  <c r="FJ96" i="55"/>
  <c r="GS153" i="55"/>
  <c r="GS281" i="55"/>
  <c r="EY271" i="55"/>
  <c r="R271" i="55" s="1"/>
  <c r="EY335" i="55"/>
  <c r="R335" i="55" s="1"/>
  <c r="GP321" i="55"/>
  <c r="FO18" i="55"/>
  <c r="FH18" i="55"/>
  <c r="FR18" i="55"/>
  <c r="FL18" i="55"/>
  <c r="FK18" i="55"/>
  <c r="FJ18" i="55"/>
  <c r="FI18" i="55"/>
  <c r="FN18" i="55"/>
  <c r="FQ18" i="55"/>
  <c r="FM18" i="55"/>
  <c r="FO114" i="55"/>
  <c r="FP114" i="55"/>
  <c r="FH114" i="55"/>
  <c r="FL114" i="55"/>
  <c r="FJ114" i="55"/>
  <c r="FM114" i="55"/>
  <c r="FR114" i="55"/>
  <c r="FN114" i="55"/>
  <c r="FK114" i="55"/>
  <c r="FQ114" i="55"/>
  <c r="FI114" i="55"/>
  <c r="FO162" i="55"/>
  <c r="FP162" i="55"/>
  <c r="FJ162" i="55"/>
  <c r="FL162" i="55"/>
  <c r="FK162" i="55"/>
  <c r="FN162" i="55"/>
  <c r="FI162" i="55"/>
  <c r="FM162" i="55"/>
  <c r="FQ162" i="55"/>
  <c r="O306" i="55" a="1"/>
  <c r="O306" i="55" s="1"/>
  <c r="CV343" i="55"/>
  <c r="CW343" i="55"/>
  <c r="CX343" i="55"/>
  <c r="CY343" i="55"/>
  <c r="GP210" i="55"/>
  <c r="BX22" i="54" a="1"/>
  <c r="BX22" i="54" s="1"/>
  <c r="BP22" i="54" a="1"/>
  <c r="BP22" i="54" s="1"/>
  <c r="AJ22" i="54" a="1"/>
  <c r="AJ22" i="54" s="1"/>
  <c r="B22" i="54" s="1"/>
  <c r="AG22" i="54" s="1"/>
  <c r="BL22" i="54" a="1"/>
  <c r="BL22" i="54" s="1"/>
  <c r="V22" i="54" a="1"/>
  <c r="V22" i="54" s="1"/>
  <c r="FO35" i="55"/>
  <c r="FP35" i="55"/>
  <c r="FM35" i="55"/>
  <c r="FJ35" i="55"/>
  <c r="FQ35" i="55"/>
  <c r="FK35" i="55"/>
  <c r="FN35" i="55"/>
  <c r="FL35" i="55"/>
  <c r="FR35" i="55"/>
  <c r="FI35" i="55"/>
  <c r="FO83" i="55"/>
  <c r="FP83" i="55"/>
  <c r="FH83" i="55"/>
  <c r="FL83" i="55" s="1"/>
  <c r="FK83" i="55"/>
  <c r="FR83" i="55"/>
  <c r="FM83" i="55"/>
  <c r="FI83" i="55"/>
  <c r="FQ83" i="55"/>
  <c r="FJ83" i="55"/>
  <c r="FN83" i="55"/>
  <c r="GY52" i="55"/>
  <c r="GX52" i="55"/>
  <c r="GY148" i="55"/>
  <c r="GX148" i="55"/>
  <c r="GY308" i="55"/>
  <c r="GX308" i="55"/>
  <c r="GY324" i="55"/>
  <c r="GX324" i="55"/>
  <c r="CU263" i="55" a="1"/>
  <c r="CU263" i="55" s="1"/>
  <c r="CT263" i="55" a="1"/>
  <c r="CT263" i="55" s="1"/>
  <c r="CS263" i="55"/>
  <c r="BB3" i="40" a="1"/>
  <c r="BB3" i="40" s="1"/>
  <c r="GX40" i="55"/>
  <c r="GY40" i="55"/>
  <c r="GX56" i="55"/>
  <c r="GY56" i="55"/>
  <c r="DH120" i="55"/>
  <c r="DE120" i="55" a="1"/>
  <c r="DE120" i="55" s="1"/>
  <c r="DG120" i="55" a="1"/>
  <c r="DG120" i="55" s="1"/>
  <c r="DF120" i="55" a="1"/>
  <c r="DF120" i="55" s="1"/>
  <c r="DH232" i="55"/>
  <c r="DX232" i="55" s="1"/>
  <c r="DE232" i="55" a="1"/>
  <c r="DE232" i="55" s="1"/>
  <c r="DF232" i="55" a="1"/>
  <c r="DF232" i="55" s="1"/>
  <c r="DG232" i="55" a="1"/>
  <c r="DG232" i="55" s="1"/>
  <c r="FX296" i="55" a="1"/>
  <c r="FX296" i="55" s="1"/>
  <c r="FY296" i="55"/>
  <c r="GX328" i="55"/>
  <c r="GY328" i="55"/>
  <c r="GS69" i="55"/>
  <c r="GS197" i="55"/>
  <c r="DG41" i="55" a="1"/>
  <c r="DG41" i="55" s="1"/>
  <c r="DE41" i="55" a="1"/>
  <c r="DE41" i="55" s="1"/>
  <c r="DF41" i="55" a="1"/>
  <c r="DF41" i="55" s="1"/>
  <c r="DH41" i="55"/>
  <c r="DX41" i="55" s="1"/>
  <c r="FA345" i="55"/>
  <c r="FB345" i="55"/>
  <c r="FX26" i="55" a="1"/>
  <c r="FX26" i="55" s="1"/>
  <c r="FY26" i="55"/>
  <c r="GX42" i="55"/>
  <c r="GY42" i="55"/>
  <c r="GY58" i="55"/>
  <c r="GX58" i="55"/>
  <c r="DH74" i="55"/>
  <c r="DE74" i="55" a="1"/>
  <c r="DE74" i="55" s="1"/>
  <c r="DF74" i="55" a="1"/>
  <c r="DF74" i="55" s="1"/>
  <c r="DG74" i="55" a="1"/>
  <c r="DG74" i="55" s="1"/>
  <c r="GX170" i="55"/>
  <c r="GY170" i="55"/>
  <c r="DH186" i="55"/>
  <c r="DG186" i="55" a="1"/>
  <c r="DG186" i="55" s="1"/>
  <c r="DF186" i="55" a="1"/>
  <c r="DF186" i="55" s="1"/>
  <c r="DE186" i="55" a="1"/>
  <c r="DE186" i="55" s="1"/>
  <c r="FX298" i="55" a="1"/>
  <c r="FX298" i="55" s="1"/>
  <c r="FY298" i="55"/>
  <c r="GY314" i="55"/>
  <c r="GX314" i="55"/>
  <c r="JW344" i="55"/>
  <c r="IC344" i="55"/>
  <c r="GB344" i="55"/>
  <c r="GC344" i="55" s="1"/>
  <c r="GE344" i="55" s="1" a="1"/>
  <c r="GE344" i="55" s="1"/>
  <c r="GF344" i="55" s="1"/>
  <c r="FW344" i="55"/>
  <c r="CR344" i="55" a="1"/>
  <c r="CR344" i="55" s="1"/>
  <c r="V344" i="55"/>
  <c r="DS344" i="55"/>
  <c r="U344" i="55"/>
  <c r="ID142" i="55" a="1"/>
  <c r="ID142" i="55" s="1"/>
  <c r="IE142" i="55" a="1"/>
  <c r="IE142" i="55" s="1"/>
  <c r="CA27" i="55"/>
  <c r="AO27" i="55" s="1"/>
  <c r="CB27" i="55" s="1"/>
  <c r="GY139" i="55"/>
  <c r="GX139" i="55"/>
  <c r="FX267" i="55" a="1"/>
  <c r="FX267" i="55" s="1"/>
  <c r="FY267" i="55"/>
  <c r="GG96" i="55"/>
  <c r="GD96" i="55"/>
  <c r="GE96" i="55" s="1" a="1"/>
  <c r="GE96" i="55" s="1"/>
  <c r="GF96" i="55" s="1"/>
  <c r="BQ96" i="55"/>
  <c r="CE96" i="55" a="1"/>
  <c r="CE96" i="55" s="1"/>
  <c r="JM255" i="55"/>
  <c r="JF255" i="55"/>
  <c r="CR254" i="55" a="1"/>
  <c r="CR254" i="55" s="1"/>
  <c r="DF16" i="55" a="1"/>
  <c r="DF16" i="55" s="1"/>
  <c r="DH16" i="55"/>
  <c r="DX16" i="55" s="1"/>
  <c r="DG16" i="55" a="1"/>
  <c r="DG16" i="55" s="1"/>
  <c r="DE16" i="55" a="1"/>
  <c r="DE16" i="55" s="1"/>
  <c r="CR16" i="55" a="1"/>
  <c r="CR16" i="55" s="1"/>
  <c r="IC16" i="55"/>
  <c r="GX112" i="55"/>
  <c r="GY112" i="55"/>
  <c r="DE288" i="55" a="1"/>
  <c r="DE288" i="55" s="1"/>
  <c r="DG288" i="55" a="1"/>
  <c r="DG288" i="55" s="1"/>
  <c r="CR288" i="55" a="1"/>
  <c r="CR288" i="55" s="1"/>
  <c r="DH288" i="55"/>
  <c r="DX288" i="55" s="1"/>
  <c r="DF288" i="55" a="1"/>
  <c r="DF288" i="55" s="1"/>
  <c r="FY51" i="55"/>
  <c r="FX51" i="55" a="1"/>
  <c r="FX51" i="55" s="1"/>
  <c r="FZ51" i="55" s="1"/>
  <c r="FA179" i="55"/>
  <c r="FB179" i="55"/>
  <c r="EL179" i="55"/>
  <c r="FX227" i="55" a="1"/>
  <c r="FX227" i="55" s="1"/>
  <c r="FY227" i="55"/>
  <c r="FA291" i="55"/>
  <c r="FB291" i="55"/>
  <c r="EL291" i="55"/>
  <c r="GS268" i="55"/>
  <c r="GX66" i="55"/>
  <c r="GY66" i="55"/>
  <c r="DE162" i="55" a="1"/>
  <c r="DE162" i="55" s="1"/>
  <c r="DH162" i="55"/>
  <c r="DX162" i="55" s="1"/>
  <c r="DF162" i="55" a="1"/>
  <c r="DF162" i="55" s="1"/>
  <c r="DG162" i="55" a="1"/>
  <c r="DG162" i="55" s="1"/>
  <c r="FX178" i="55" a="1"/>
  <c r="FX178" i="55" s="1"/>
  <c r="FY178" i="55"/>
  <c r="FA290" i="55"/>
  <c r="EL290" i="55"/>
  <c r="FA306" i="55"/>
  <c r="EU306" i="55"/>
  <c r="EL306" i="55"/>
  <c r="GY338" i="55"/>
  <c r="GX338" i="55"/>
  <c r="CE281" i="55" a="1"/>
  <c r="CE281" i="55" s="1"/>
  <c r="EK281" i="55" s="1"/>
  <c r="GP102" i="55"/>
  <c r="S102" i="55"/>
  <c r="FQ30" i="55"/>
  <c r="FI30" i="55"/>
  <c r="FR30" i="55"/>
  <c r="FJ30" i="55"/>
  <c r="FL30" i="55"/>
  <c r="FM30" i="55"/>
  <c r="FK30" i="55"/>
  <c r="FP30" i="55"/>
  <c r="FN30" i="55"/>
  <c r="FO30" i="55"/>
  <c r="CW70" i="55"/>
  <c r="CY70" i="55"/>
  <c r="CV70" i="55"/>
  <c r="CX70" i="55"/>
  <c r="FP64" i="55"/>
  <c r="FH64" i="55"/>
  <c r="FQ64" i="55"/>
  <c r="FI64" i="55"/>
  <c r="FK64" i="55"/>
  <c r="FN64" i="55"/>
  <c r="FJ64" i="55"/>
  <c r="FL64" i="55"/>
  <c r="FM64" i="55"/>
  <c r="FR64" i="55"/>
  <c r="FO64" i="55"/>
  <c r="FP176" i="55"/>
  <c r="FQ176" i="55"/>
  <c r="FI176" i="55"/>
  <c r="FN176" i="55"/>
  <c r="FJ176" i="55"/>
  <c r="FL176" i="55"/>
  <c r="FK176" i="55"/>
  <c r="FO176" i="55"/>
  <c r="FM176" i="55"/>
  <c r="GS169" i="55"/>
  <c r="GS297" i="55"/>
  <c r="EY159" i="55"/>
  <c r="CE34" i="55" a="1"/>
  <c r="CE34" i="55" s="1"/>
  <c r="FO210" i="55"/>
  <c r="FP210" i="55"/>
  <c r="FQ210" i="55"/>
  <c r="FK210" i="55"/>
  <c r="FL210" i="55"/>
  <c r="FN210" i="55"/>
  <c r="FM210" i="55"/>
  <c r="FI210" i="55"/>
  <c r="FJ210" i="55"/>
  <c r="FO258" i="55"/>
  <c r="FP258" i="55"/>
  <c r="FN258" i="55"/>
  <c r="FJ258" i="55"/>
  <c r="FM258" i="55"/>
  <c r="FQ258" i="55"/>
  <c r="FI258" i="55"/>
  <c r="FL258" i="55"/>
  <c r="FR258" i="55"/>
  <c r="FK258" i="55"/>
  <c r="DF3" i="55" a="1"/>
  <c r="DF3" i="55" s="1"/>
  <c r="DG3" i="55" a="1"/>
  <c r="DG3" i="55" s="1"/>
  <c r="DE3" i="55" a="1"/>
  <c r="DE3" i="55" s="1"/>
  <c r="DH3" i="55"/>
  <c r="DX3" i="55" s="1"/>
  <c r="ID47" i="55" a="1"/>
  <c r="ID47" i="55" s="1"/>
  <c r="IE47" i="55" a="1"/>
  <c r="IE47" i="55" s="1"/>
  <c r="BL20" i="54" a="1"/>
  <c r="BL20" i="54" s="1"/>
  <c r="BP20" i="54" a="1"/>
  <c r="BP20" i="54" s="1"/>
  <c r="V20" i="54" a="1"/>
  <c r="V20" i="54" s="1"/>
  <c r="AJ20" i="54" a="1"/>
  <c r="AJ20" i="54" s="1"/>
  <c r="B20" i="54" s="1"/>
  <c r="AG20" i="54" s="1"/>
  <c r="BX20" i="54" a="1"/>
  <c r="BX20" i="54" s="1"/>
  <c r="FO131" i="55"/>
  <c r="FP131" i="55"/>
  <c r="FH131" i="55"/>
  <c r="FL131" i="55" s="1"/>
  <c r="FI131" i="55"/>
  <c r="FN131" i="55"/>
  <c r="FK131" i="55"/>
  <c r="FR131" i="55"/>
  <c r="FM131" i="55"/>
  <c r="FQ131" i="55"/>
  <c r="FJ131" i="55"/>
  <c r="GD36" i="55"/>
  <c r="GG36" i="55"/>
  <c r="BQ36" i="55"/>
  <c r="FY52" i="55"/>
  <c r="FX52" i="55" a="1"/>
  <c r="FX52" i="55" s="1"/>
  <c r="CE52" i="55" a="1"/>
  <c r="CE52" i="55" s="1"/>
  <c r="FR52" i="55" s="1"/>
  <c r="FY132" i="55"/>
  <c r="FX132" i="55" a="1"/>
  <c r="FX132" i="55" s="1"/>
  <c r="GD196" i="55"/>
  <c r="GE196" i="55" s="1" a="1"/>
  <c r="GE196" i="55" s="1"/>
  <c r="GF196" i="55" s="1"/>
  <c r="GG196" i="55"/>
  <c r="CE196" i="55" a="1"/>
  <c r="CE196" i="55" s="1"/>
  <c r="FR196" i="55" s="1"/>
  <c r="BQ196" i="55"/>
  <c r="O196" i="55" a="1"/>
  <c r="O196" i="55" s="1"/>
  <c r="FY308" i="55"/>
  <c r="FX308" i="55" a="1"/>
  <c r="FX308" i="55" s="1"/>
  <c r="GE91" i="55" a="1"/>
  <c r="GE91" i="55" s="1"/>
  <c r="GF91" i="55" s="1"/>
  <c r="IE263" i="55" a="1"/>
  <c r="IE263" i="55" s="1"/>
  <c r="ID263" i="55" a="1"/>
  <c r="ID263" i="55" s="1"/>
  <c r="GP55" i="55"/>
  <c r="GP311" i="55"/>
  <c r="DH8" i="55"/>
  <c r="DX8" i="55" s="1"/>
  <c r="DE8" i="55" a="1"/>
  <c r="DE8" i="55" s="1"/>
  <c r="DF8" i="55" a="1"/>
  <c r="DF8" i="55" s="1"/>
  <c r="DG8" i="55" a="1"/>
  <c r="DG8" i="55" s="1"/>
  <c r="FY88" i="55"/>
  <c r="FX88" i="55" a="1"/>
  <c r="FX88" i="55" s="1"/>
  <c r="FX184" i="55" a="1"/>
  <c r="FX184" i="55" s="1"/>
  <c r="FY184" i="55"/>
  <c r="GX216" i="55"/>
  <c r="GY216" i="55"/>
  <c r="GD280" i="55"/>
  <c r="GG280" i="55"/>
  <c r="CE280" i="55" a="1"/>
  <c r="CE280" i="55" s="1"/>
  <c r="BQ280" i="55"/>
  <c r="E280" i="55" s="1"/>
  <c r="BR280" i="55" s="1"/>
  <c r="DH312" i="55"/>
  <c r="DF312" i="55" a="1"/>
  <c r="DF312" i="55" s="1"/>
  <c r="DE312" i="55" a="1"/>
  <c r="DE312" i="55" s="1"/>
  <c r="DG312" i="55" a="1"/>
  <c r="DG312" i="55" s="1"/>
  <c r="JW312" i="55"/>
  <c r="IC312" i="55"/>
  <c r="GB312" i="55"/>
  <c r="GC312" i="55" s="1"/>
  <c r="GE312" i="55" s="1" a="1"/>
  <c r="GE312" i="55" s="1"/>
  <c r="GF312" i="55" s="1"/>
  <c r="FW312" i="55"/>
  <c r="DS312" i="55"/>
  <c r="DX312" i="55"/>
  <c r="CR312" i="55" a="1"/>
  <c r="CR312" i="55" s="1"/>
  <c r="CS312" i="55" s="1"/>
  <c r="U312" i="55"/>
  <c r="V312" i="55"/>
  <c r="DG137" i="55" a="1"/>
  <c r="DG137" i="55" s="1"/>
  <c r="DE137" i="55" a="1"/>
  <c r="DE137" i="55" s="1"/>
  <c r="DH137" i="55"/>
  <c r="DX137" i="55" s="1"/>
  <c r="DF137" i="55" a="1"/>
  <c r="DF137" i="55" s="1"/>
  <c r="CR137" i="55" a="1"/>
  <c r="CR137" i="55" s="1"/>
  <c r="FX201" i="55" a="1"/>
  <c r="FX201" i="55" s="1"/>
  <c r="FY201" i="55"/>
  <c r="CE201" i="55" a="1"/>
  <c r="CE201" i="55" s="1"/>
  <c r="BI104" i="55" a="1"/>
  <c r="BI104" i="55" s="1"/>
  <c r="FX10" i="55" a="1"/>
  <c r="FX10" i="55" s="1"/>
  <c r="FY10" i="55"/>
  <c r="DH26" i="55"/>
  <c r="DX26" i="55" s="1"/>
  <c r="DG26" i="55" a="1"/>
  <c r="DG26" i="55" s="1"/>
  <c r="DF26" i="55" a="1"/>
  <c r="DF26" i="55" s="1"/>
  <c r="DE26" i="55" a="1"/>
  <c r="DE26" i="55" s="1"/>
  <c r="GG106" i="55"/>
  <c r="GD106" i="55"/>
  <c r="CE106" i="55" a="1"/>
  <c r="CE106" i="55" s="1"/>
  <c r="GX154" i="55"/>
  <c r="GY154" i="55"/>
  <c r="GY282" i="55"/>
  <c r="GX282" i="55"/>
  <c r="GX298" i="55"/>
  <c r="GY298" i="55"/>
  <c r="FQ159" i="55"/>
  <c r="FI159" i="55"/>
  <c r="FR159" i="55"/>
  <c r="FJ159" i="55"/>
  <c r="FO159" i="55"/>
  <c r="FL159" i="55"/>
  <c r="FP159" i="55"/>
  <c r="FN159" i="55"/>
  <c r="FM159" i="55"/>
  <c r="FK159" i="55"/>
  <c r="GE63" i="55" a="1"/>
  <c r="GE63" i="55" s="1"/>
  <c r="GF63" i="55" s="1"/>
  <c r="CU102" i="55" a="1"/>
  <c r="CU102" i="55" s="1"/>
  <c r="CT102" i="55" a="1"/>
  <c r="CT102" i="55" s="1"/>
  <c r="GG43" i="55"/>
  <c r="GD43" i="55"/>
  <c r="GE43" i="55" s="1" a="1"/>
  <c r="GE43" i="55" s="1"/>
  <c r="GF43" i="55" s="1"/>
  <c r="O43" i="55" a="1"/>
  <c r="O43" i="55" s="1"/>
  <c r="BQ43" i="55"/>
  <c r="FY91" i="55"/>
  <c r="FX91" i="55" a="1"/>
  <c r="FX91" i="55" s="1"/>
  <c r="FZ91" i="55" s="1"/>
  <c r="GY123" i="55"/>
  <c r="GX123" i="55"/>
  <c r="FA203" i="55"/>
  <c r="FB203" i="55"/>
  <c r="DF219" i="55" a="1"/>
  <c r="DF219" i="55" s="1"/>
  <c r="DG219" i="55" a="1"/>
  <c r="DG219" i="55" s="1"/>
  <c r="DE219" i="55" a="1"/>
  <c r="DE219" i="55" s="1"/>
  <c r="DH219" i="55"/>
  <c r="DX219" i="55" s="1"/>
  <c r="DF267" i="55" a="1"/>
  <c r="DF267" i="55" s="1"/>
  <c r="DG267" i="55" a="1"/>
  <c r="DG267" i="55" s="1"/>
  <c r="DH267" i="55"/>
  <c r="DX267" i="55" s="1"/>
  <c r="DE267" i="55" a="1"/>
  <c r="DE267" i="55" s="1"/>
  <c r="GX283" i="55"/>
  <c r="GY283" i="55"/>
  <c r="JW168" i="55"/>
  <c r="GB168" i="55"/>
  <c r="GC168" i="55" s="1"/>
  <c r="GE168" i="55" s="1" a="1"/>
  <c r="GE168" i="55" s="1"/>
  <c r="GF168" i="55" s="1"/>
  <c r="IC168" i="55"/>
  <c r="FW168" i="55"/>
  <c r="DS168" i="55"/>
  <c r="V168" i="55"/>
  <c r="CR168" i="55" a="1"/>
  <c r="CR168" i="55" s="1"/>
  <c r="U168" i="55"/>
  <c r="FY109" i="55"/>
  <c r="FX109" i="55" a="1"/>
  <c r="FX109" i="55" s="1"/>
  <c r="FZ109" i="55" s="1"/>
  <c r="GS157" i="55"/>
  <c r="FB341" i="55"/>
  <c r="FA341" i="55"/>
  <c r="EL341" i="55"/>
  <c r="FX323" i="55" a="1"/>
  <c r="FX323" i="55" s="1"/>
  <c r="FY323" i="55"/>
  <c r="CE323" i="55" a="1"/>
  <c r="CE323" i="55" s="1"/>
  <c r="JW346" i="55"/>
  <c r="IC346" i="55"/>
  <c r="DS346" i="55"/>
  <c r="GB346" i="55"/>
  <c r="GC346" i="55" s="1"/>
  <c r="GE346" i="55" s="1" a="1"/>
  <c r="GE346" i="55" s="1"/>
  <c r="GF346" i="55" s="1"/>
  <c r="CR346" i="55" a="1"/>
  <c r="CR346" i="55" s="1"/>
  <c r="FW346" i="55"/>
  <c r="CS346" i="55"/>
  <c r="U346" i="55"/>
  <c r="V346" i="55"/>
  <c r="JW170" i="55"/>
  <c r="IC170" i="55"/>
  <c r="DS170" i="55"/>
  <c r="FW170" i="55"/>
  <c r="GB170" i="55"/>
  <c r="GC170" i="55" s="1"/>
  <c r="GE170" i="55" s="1" a="1"/>
  <c r="GE170" i="55" s="1"/>
  <c r="GF170" i="55" s="1"/>
  <c r="V170" i="55"/>
  <c r="U170" i="55"/>
  <c r="CR170" i="55" a="1"/>
  <c r="CR170" i="55" s="1"/>
  <c r="GD274" i="55"/>
  <c r="GG274" i="55"/>
  <c r="GD306" i="55"/>
  <c r="GG306" i="55"/>
  <c r="CE306" i="55" a="1"/>
  <c r="CE306" i="55" s="1"/>
  <c r="EK306" i="55" s="1"/>
  <c r="CE324" i="55" a="1"/>
  <c r="CE324" i="55" s="1"/>
  <c r="JE63" i="55"/>
  <c r="JL63" i="55"/>
  <c r="GD350" i="55"/>
  <c r="GE350" i="55" s="1" a="1"/>
  <c r="GE350" i="55" s="1"/>
  <c r="GF350" i="55" s="1"/>
  <c r="GG350" i="55"/>
  <c r="BQ350" i="55"/>
  <c r="CE350" i="55" a="1"/>
  <c r="CE350" i="55" s="1"/>
  <c r="FR350" i="55" s="1"/>
  <c r="GM178" i="55"/>
  <c r="CI178" i="55"/>
  <c r="HV178" i="55" s="1"/>
  <c r="CP3" i="55"/>
  <c r="Y3" i="55" s="1"/>
  <c r="CZ3" i="55" s="1"/>
  <c r="DA3" i="55" s="1"/>
  <c r="AM3" i="40" a="1"/>
  <c r="AM3" i="40" s="1"/>
  <c r="CW47" i="55"/>
  <c r="CV47" i="55"/>
  <c r="CY47" i="55"/>
  <c r="CX47" i="55"/>
  <c r="AJ18" i="54" a="1"/>
  <c r="AJ18" i="54" s="1"/>
  <c r="B18" i="54" s="1"/>
  <c r="AG18" i="54" s="1"/>
  <c r="V18" i="54" a="1"/>
  <c r="V18" i="54" s="1"/>
  <c r="BL18" i="54" a="1"/>
  <c r="BL18" i="54" s="1"/>
  <c r="BP18" i="54" a="1"/>
  <c r="BP18" i="54" s="1"/>
  <c r="BX18" i="54" a="1"/>
  <c r="BX18" i="54" s="1"/>
  <c r="FO243" i="55"/>
  <c r="FP243" i="55"/>
  <c r="FQ243" i="55"/>
  <c r="FL243" i="55"/>
  <c r="FI243" i="55"/>
  <c r="FR243" i="55"/>
  <c r="FJ243" i="55"/>
  <c r="FK243" i="55"/>
  <c r="FM243" i="55"/>
  <c r="FN243" i="55"/>
  <c r="DG36" i="55" a="1"/>
  <c r="DG36" i="55" s="1"/>
  <c r="DH36" i="55"/>
  <c r="DX36" i="55" s="1"/>
  <c r="DE36" i="55" a="1"/>
  <c r="DE36" i="55" s="1"/>
  <c r="DF36" i="55" a="1"/>
  <c r="DF36" i="55" s="1"/>
  <c r="CZ100" i="55"/>
  <c r="DA100" i="55" s="1"/>
  <c r="DM100" i="55" s="1"/>
  <c r="DQ100" i="55" s="1"/>
  <c r="GY132" i="55"/>
  <c r="GX132" i="55"/>
  <c r="DG324" i="55" a="1"/>
  <c r="DG324" i="55" s="1"/>
  <c r="DE324" i="55" a="1"/>
  <c r="DE324" i="55" s="1"/>
  <c r="DH324" i="55"/>
  <c r="DX324" i="55" s="1"/>
  <c r="DF324" i="55" a="1"/>
  <c r="DF324" i="55" s="1"/>
  <c r="EY110" i="55"/>
  <c r="GD26" i="55"/>
  <c r="GX8" i="55"/>
  <c r="GY8" i="55"/>
  <c r="DH104" i="55"/>
  <c r="DX104" i="55" s="1"/>
  <c r="DE104" i="55" a="1"/>
  <c r="DE104" i="55" s="1"/>
  <c r="DF104" i="55" a="1"/>
  <c r="DF104" i="55" s="1"/>
  <c r="DG104" i="55" a="1"/>
  <c r="DG104" i="55" s="1"/>
  <c r="FX280" i="55" a="1"/>
  <c r="FX280" i="55" s="1"/>
  <c r="FY280" i="55"/>
  <c r="GX312" i="55"/>
  <c r="GY312" i="55"/>
  <c r="GS101" i="55"/>
  <c r="GS229" i="55"/>
  <c r="FJ316" i="55"/>
  <c r="FK316" i="55"/>
  <c r="FM316" i="55"/>
  <c r="FQ316" i="55"/>
  <c r="FO316" i="55"/>
  <c r="FP316" i="55"/>
  <c r="FI316" i="55"/>
  <c r="FH316" i="55"/>
  <c r="FL316" i="55" s="1"/>
  <c r="FN316" i="55"/>
  <c r="FA135" i="55"/>
  <c r="EL135" i="55"/>
  <c r="GX9" i="55"/>
  <c r="GY9" i="55"/>
  <c r="FA73" i="55"/>
  <c r="FB73" i="55"/>
  <c r="GD89" i="55"/>
  <c r="GG89" i="55"/>
  <c r="CE89" i="55" a="1"/>
  <c r="CE89" i="55" s="1"/>
  <c r="FR89" i="55" s="1"/>
  <c r="BQ89" i="55"/>
  <c r="O89" i="55" a="1"/>
  <c r="O89" i="55" s="1"/>
  <c r="GG105" i="55"/>
  <c r="GD105" i="55"/>
  <c r="CE105" i="55" a="1"/>
  <c r="CE105" i="55" s="1"/>
  <c r="EK105" i="55" s="1"/>
  <c r="GX121" i="55"/>
  <c r="GY121" i="55"/>
  <c r="FX169" i="55" a="1"/>
  <c r="FX169" i="55" s="1"/>
  <c r="FY169" i="55"/>
  <c r="GX185" i="55"/>
  <c r="GY185" i="55"/>
  <c r="GX281" i="55"/>
  <c r="GY281" i="55"/>
  <c r="GD329" i="55"/>
  <c r="GG329" i="55"/>
  <c r="BQ329" i="55"/>
  <c r="CE329" i="55" a="1"/>
  <c r="CE329" i="55" s="1"/>
  <c r="EK329" i="55" s="1"/>
  <c r="CU14" i="55" a="1"/>
  <c r="CU14" i="55" s="1"/>
  <c r="CT14" i="55" a="1"/>
  <c r="CT14" i="55" s="1"/>
  <c r="DH154" i="55"/>
  <c r="DX154" i="55" s="1"/>
  <c r="DG154" i="55" a="1"/>
  <c r="DG154" i="55" s="1"/>
  <c r="DE154" i="55" a="1"/>
  <c r="DE154" i="55" s="1"/>
  <c r="DF154" i="55" a="1"/>
  <c r="DF154" i="55" s="1"/>
  <c r="DH282" i="55"/>
  <c r="DX282" i="55" s="1"/>
  <c r="DG282" i="55" a="1"/>
  <c r="DG282" i="55" s="1"/>
  <c r="DE282" i="55" a="1"/>
  <c r="DE282" i="55" s="1"/>
  <c r="DF282" i="55" a="1"/>
  <c r="DF282" i="55" s="1"/>
  <c r="IC282" i="55"/>
  <c r="CR282" i="55" a="1"/>
  <c r="CR282" i="55" s="1"/>
  <c r="DH298" i="55"/>
  <c r="DE298" i="55" a="1"/>
  <c r="DE298" i="55" s="1"/>
  <c r="DF298" i="55" a="1"/>
  <c r="DF298" i="55" s="1"/>
  <c r="DG298" i="55" a="1"/>
  <c r="DG298" i="55" s="1"/>
  <c r="JW8" i="55"/>
  <c r="IC8" i="55"/>
  <c r="GB8" i="55"/>
  <c r="GC8" i="55" s="1"/>
  <c r="GE8" i="55" s="1" a="1"/>
  <c r="GE8" i="55" s="1"/>
  <c r="GF8" i="55" s="1"/>
  <c r="BW17" i="54" s="1" a="1"/>
  <c r="BW17" i="54" s="1"/>
  <c r="DS8" i="55"/>
  <c r="CR8" i="55" a="1"/>
  <c r="CR8" i="55" s="1"/>
  <c r="U8" i="55"/>
  <c r="T8" i="55"/>
  <c r="V8" i="55"/>
  <c r="JW152" i="55"/>
  <c r="IC152" i="55"/>
  <c r="GB152" i="55"/>
  <c r="GC152" i="55" s="1"/>
  <c r="CR152" i="55" a="1"/>
  <c r="CR152" i="55" s="1"/>
  <c r="DS152" i="55"/>
  <c r="U152" i="55"/>
  <c r="V152" i="55"/>
  <c r="CW102" i="55"/>
  <c r="CV102" i="55"/>
  <c r="CX102" i="55"/>
  <c r="CY102" i="55"/>
  <c r="FY235" i="55"/>
  <c r="FX235" i="55" a="1"/>
  <c r="FX235" i="55" s="1"/>
  <c r="FX251" i="55" a="1"/>
  <c r="FX251" i="55" s="1"/>
  <c r="FY251" i="55"/>
  <c r="FY347" i="55"/>
  <c r="FX347" i="55" a="1"/>
  <c r="FX347" i="55" s="1"/>
  <c r="GG45" i="55"/>
  <c r="GD45" i="55"/>
  <c r="DH189" i="55"/>
  <c r="DE189" i="55" a="1"/>
  <c r="DE189" i="55" s="1"/>
  <c r="DF189" i="55" a="1"/>
  <c r="DF189" i="55" s="1"/>
  <c r="DG189" i="55" a="1"/>
  <c r="DG189" i="55" s="1"/>
  <c r="FY349" i="55"/>
  <c r="FX349" i="55" a="1"/>
  <c r="FX349" i="55" s="1"/>
  <c r="JW283" i="55"/>
  <c r="IC283" i="55"/>
  <c r="GT283" i="55"/>
  <c r="GB283" i="55"/>
  <c r="GC283" i="55" s="1"/>
  <c r="GE283" i="55" s="1" a="1"/>
  <c r="GE283" i="55" s="1"/>
  <c r="DS283" i="55"/>
  <c r="CR283" i="55" a="1"/>
  <c r="CR283" i="55" s="1"/>
  <c r="CS283" i="55" s="1"/>
  <c r="T283" i="55"/>
  <c r="V283" i="55"/>
  <c r="U283" i="55"/>
  <c r="FY343" i="55"/>
  <c r="FX343" i="55" a="1"/>
  <c r="FX343" i="55" s="1"/>
  <c r="DE224" i="55" a="1"/>
  <c r="DE224" i="55" s="1"/>
  <c r="DH224" i="55"/>
  <c r="DX224" i="55" s="1"/>
  <c r="DG224" i="55" a="1"/>
  <c r="DG224" i="55" s="1"/>
  <c r="DF224" i="55" a="1"/>
  <c r="DF224" i="55" s="1"/>
  <c r="CR224" i="55" a="1"/>
  <c r="CR224" i="55" s="1"/>
  <c r="DF195" i="55" a="1"/>
  <c r="DF195" i="55" s="1"/>
  <c r="DH195" i="55"/>
  <c r="DX195" i="55" s="1"/>
  <c r="DG195" i="55" a="1"/>
  <c r="DG195" i="55" s="1"/>
  <c r="DE195" i="55" a="1"/>
  <c r="DE195" i="55" s="1"/>
  <c r="FA211" i="55"/>
  <c r="EL211" i="55"/>
  <c r="FA323" i="55"/>
  <c r="FB323" i="55"/>
  <c r="EL323" i="55"/>
  <c r="EY91" i="55"/>
  <c r="R91" i="55" s="1"/>
  <c r="FA240" i="55"/>
  <c r="EL240" i="55"/>
  <c r="DE18" i="55" a="1"/>
  <c r="DE18" i="55" s="1"/>
  <c r="DF18" i="55" a="1"/>
  <c r="DF18" i="55" s="1"/>
  <c r="DG18" i="55" a="1"/>
  <c r="DG18" i="55" s="1"/>
  <c r="DH18" i="55"/>
  <c r="DX18" i="55" s="1"/>
  <c r="EX50" i="55"/>
  <c r="EC50" i="55"/>
  <c r="EO50" i="55" s="1" a="1"/>
  <c r="EO50" i="55" s="1"/>
  <c r="CA50" i="55"/>
  <c r="AO50" i="55" s="1"/>
  <c r="CB50" i="55" s="1"/>
  <c r="FN324" i="55"/>
  <c r="FO324" i="55"/>
  <c r="FI324" i="55"/>
  <c r="FK324" i="55"/>
  <c r="FH324" i="55"/>
  <c r="FL324" i="55" s="1"/>
  <c r="FJ324" i="55"/>
  <c r="FM324" i="55"/>
  <c r="FP324" i="55"/>
  <c r="FR324" i="55"/>
  <c r="FQ324" i="55"/>
  <c r="GD231" i="55"/>
  <c r="GE231" i="55" s="1" a="1"/>
  <c r="GE231" i="55" s="1"/>
  <c r="GF231" i="55" s="1"/>
  <c r="GG231" i="55"/>
  <c r="CE231" i="55" a="1"/>
  <c r="CE231" i="55" s="1"/>
  <c r="O231" i="55" s="1" a="1"/>
  <c r="O231" i="55" s="1"/>
  <c r="BQ231" i="55"/>
  <c r="CZ295" i="55"/>
  <c r="DA295" i="55" s="1"/>
  <c r="FM342" i="55"/>
  <c r="FN342" i="55"/>
  <c r="FP342" i="55"/>
  <c r="FJ342" i="55"/>
  <c r="FR342" i="55"/>
  <c r="FI342" i="55"/>
  <c r="FQ342" i="55"/>
  <c r="FH342" i="55"/>
  <c r="FO342" i="55"/>
  <c r="FK342" i="55"/>
  <c r="FL342" i="55"/>
  <c r="FM183" i="55"/>
  <c r="FN183" i="55"/>
  <c r="FO183" i="55"/>
  <c r="FJ183" i="55"/>
  <c r="FQ183" i="55"/>
  <c r="FH183" i="55"/>
  <c r="FL183" i="55"/>
  <c r="FK183" i="55"/>
  <c r="FP183" i="55"/>
  <c r="FI183" i="55"/>
  <c r="DG46" i="55" a="1"/>
  <c r="DG46" i="55" s="1"/>
  <c r="DE46" i="55" a="1"/>
  <c r="DE46" i="55" s="1"/>
  <c r="DH46" i="55"/>
  <c r="DX46" i="55" s="1"/>
  <c r="DF46" i="55" a="1"/>
  <c r="DF46" i="55" s="1"/>
  <c r="CR46" i="55" a="1"/>
  <c r="CR46" i="55" s="1"/>
  <c r="IC46" i="55"/>
  <c r="CE169" i="55" a="1"/>
  <c r="CE169" i="55" s="1"/>
  <c r="FR169" i="55" s="1"/>
  <c r="FP304" i="55"/>
  <c r="FQ304" i="55"/>
  <c r="FI304" i="55"/>
  <c r="FL304" i="55"/>
  <c r="FJ304" i="55"/>
  <c r="FM304" i="55"/>
  <c r="FN304" i="55"/>
  <c r="FO304" i="55"/>
  <c r="FK304" i="55"/>
  <c r="FO82" i="55"/>
  <c r="FP82" i="55"/>
  <c r="FH82" i="55"/>
  <c r="FL82" i="55" s="1"/>
  <c r="FR82" i="55"/>
  <c r="FM82" i="55"/>
  <c r="FI82" i="55"/>
  <c r="FJ82" i="55"/>
  <c r="FK82" i="55"/>
  <c r="FQ82" i="55"/>
  <c r="FN82" i="55"/>
  <c r="FO306" i="55"/>
  <c r="FP306" i="55"/>
  <c r="FL306" i="55"/>
  <c r="FI306" i="55"/>
  <c r="FR306" i="55"/>
  <c r="FN306" i="55"/>
  <c r="FJ306" i="55"/>
  <c r="FM306" i="55"/>
  <c r="FQ306" i="55"/>
  <c r="FK306" i="55"/>
  <c r="CU343" i="55" a="1"/>
  <c r="CU343" i="55" s="1"/>
  <c r="CT343" i="55" a="1"/>
  <c r="CT343" i="55" s="1"/>
  <c r="BP26" i="54" a="1"/>
  <c r="BP26" i="54" s="1"/>
  <c r="BL26" i="54" a="1"/>
  <c r="BL26" i="54" s="1"/>
  <c r="BX26" i="54" a="1"/>
  <c r="BX26" i="54" s="1"/>
  <c r="V26" i="54" a="1"/>
  <c r="V26" i="54" s="1"/>
  <c r="AJ26" i="54" a="1"/>
  <c r="AJ26" i="54" s="1"/>
  <c r="B26" i="54" s="1"/>
  <c r="AG26" i="54" s="1"/>
  <c r="FA289" i="55"/>
  <c r="FB289" i="55"/>
  <c r="EL289" i="55"/>
  <c r="FX20" i="55" a="1"/>
  <c r="FX20" i="55" s="1"/>
  <c r="FY20" i="55"/>
  <c r="GY84" i="55"/>
  <c r="GX84" i="55"/>
  <c r="GY116" i="55"/>
  <c r="GX116" i="55"/>
  <c r="GD180" i="55"/>
  <c r="GG180" i="55"/>
  <c r="BQ180" i="55"/>
  <c r="CE180" i="55" a="1"/>
  <c r="CE180" i="55" s="1"/>
  <c r="FR180" i="55" s="1"/>
  <c r="DG196" i="55" a="1"/>
  <c r="DG196" i="55" s="1"/>
  <c r="DH196" i="55"/>
  <c r="DX196" i="55" s="1"/>
  <c r="DE196" i="55" a="1"/>
  <c r="DE196" i="55" s="1"/>
  <c r="DF196" i="55" a="1"/>
  <c r="DF196" i="55" s="1"/>
  <c r="DE244" i="55" a="1"/>
  <c r="DE244" i="55" s="1"/>
  <c r="DF244" i="55" a="1"/>
  <c r="DF244" i="55" s="1"/>
  <c r="DH244" i="55"/>
  <c r="DX244" i="55" s="1"/>
  <c r="DG244" i="55" a="1"/>
  <c r="DG244" i="55" s="1"/>
  <c r="CZ308" i="55"/>
  <c r="DA308" i="55" s="1"/>
  <c r="GG72" i="55"/>
  <c r="GD72" i="55"/>
  <c r="BQ72" i="55"/>
  <c r="CE72" i="55" a="1"/>
  <c r="CE72" i="55" s="1"/>
  <c r="GD40" i="55"/>
  <c r="GG40" i="55"/>
  <c r="CE40" i="55" a="1"/>
  <c r="CE40" i="55" s="1"/>
  <c r="FR40" i="55" s="1"/>
  <c r="BQ40" i="55"/>
  <c r="GX104" i="55"/>
  <c r="GY104" i="55"/>
  <c r="GG136" i="55"/>
  <c r="GD136" i="55"/>
  <c r="BQ136" i="55"/>
  <c r="CE136" i="55" a="1"/>
  <c r="CE136" i="55" s="1"/>
  <c r="O136" i="55" a="1"/>
  <c r="O136" i="55" s="1"/>
  <c r="DH200" i="55"/>
  <c r="DX200" i="55" s="1"/>
  <c r="DE200" i="55" a="1"/>
  <c r="DE200" i="55" s="1"/>
  <c r="DF200" i="55" a="1"/>
  <c r="DF200" i="55" s="1"/>
  <c r="DG200" i="55" a="1"/>
  <c r="DG200" i="55" s="1"/>
  <c r="EX25" i="55"/>
  <c r="EC25" i="55"/>
  <c r="CA25" i="55"/>
  <c r="AO25" i="55" s="1"/>
  <c r="CB25" i="55" s="1"/>
  <c r="FX89" i="55" a="1"/>
  <c r="FX89" i="55" s="1"/>
  <c r="FY89" i="55"/>
  <c r="FX185" i="55" a="1"/>
  <c r="FX185" i="55" s="1"/>
  <c r="FY185" i="55"/>
  <c r="GG249" i="55"/>
  <c r="GD249" i="55"/>
  <c r="BQ249" i="55"/>
  <c r="CE249" i="55" a="1"/>
  <c r="CE249" i="55" s="1"/>
  <c r="FQ175" i="55"/>
  <c r="FI175" i="55"/>
  <c r="FJ175" i="55"/>
  <c r="FN175" i="55"/>
  <c r="FK175" i="55"/>
  <c r="FP175" i="55"/>
  <c r="FL175" i="55"/>
  <c r="FM175" i="55"/>
  <c r="FO175" i="55"/>
  <c r="JW40" i="55"/>
  <c r="GB40" i="55"/>
  <c r="GC40" i="55" s="1"/>
  <c r="GE40" i="55" s="1" a="1"/>
  <c r="GE40" i="55" s="1"/>
  <c r="GF40" i="55" s="1"/>
  <c r="IC40" i="55"/>
  <c r="DX40" i="55"/>
  <c r="GT40" i="55"/>
  <c r="DS40" i="55"/>
  <c r="CR40" i="55" a="1"/>
  <c r="CR40" i="55" s="1"/>
  <c r="CS40" i="55" s="1"/>
  <c r="U40" i="55"/>
  <c r="V40" i="55"/>
  <c r="BI152" i="55" a="1"/>
  <c r="BI152" i="55" s="1"/>
  <c r="GX10" i="55"/>
  <c r="GY10" i="55"/>
  <c r="GG74" i="55"/>
  <c r="GD74" i="55"/>
  <c r="BQ74" i="55"/>
  <c r="O74" i="55" a="1"/>
  <c r="O74" i="55" s="1"/>
  <c r="GG186" i="55"/>
  <c r="GD186" i="55"/>
  <c r="O186" i="55" a="1"/>
  <c r="O186" i="55" s="1"/>
  <c r="BQ186" i="55"/>
  <c r="GG202" i="55"/>
  <c r="GD202" i="55"/>
  <c r="O202" i="55" a="1"/>
  <c r="O202" i="55" s="1"/>
  <c r="BQ202" i="55"/>
  <c r="FX266" i="55" a="1"/>
  <c r="FX266" i="55" s="1"/>
  <c r="FY266" i="55"/>
  <c r="GG11" i="55"/>
  <c r="GD11" i="55"/>
  <c r="GE11" i="55" s="1" a="1"/>
  <c r="GE11" i="55" s="1"/>
  <c r="GF11" i="55" s="1"/>
  <c r="CE11" i="55" a="1"/>
  <c r="CE11" i="55" s="1"/>
  <c r="EK11" i="55" s="1"/>
  <c r="DF27" i="55" a="1"/>
  <c r="DF27" i="55" s="1"/>
  <c r="DG27" i="55" a="1"/>
  <c r="DG27" i="55" s="1"/>
  <c r="DH27" i="55"/>
  <c r="DE27" i="55" a="1"/>
  <c r="DE27" i="55" s="1"/>
  <c r="DF43" i="55" a="1"/>
  <c r="DF43" i="55" s="1"/>
  <c r="DG43" i="55" a="1"/>
  <c r="DG43" i="55" s="1"/>
  <c r="DH43" i="55"/>
  <c r="DX43" i="55" s="1"/>
  <c r="DE43" i="55" a="1"/>
  <c r="DE43" i="55" s="1"/>
  <c r="FY75" i="55"/>
  <c r="FX75" i="55" a="1"/>
  <c r="FX75" i="55" s="1"/>
  <c r="GY107" i="55"/>
  <c r="GX107" i="55"/>
  <c r="GG187" i="55"/>
  <c r="GD187" i="55"/>
  <c r="O187" i="55" a="1"/>
  <c r="O187" i="55" s="1"/>
  <c r="FY219" i="55"/>
  <c r="FX219" i="55" a="1"/>
  <c r="FX219" i="55" s="1"/>
  <c r="FZ219" i="55" s="1"/>
  <c r="GX267" i="55"/>
  <c r="GY267" i="55"/>
  <c r="JW235" i="55"/>
  <c r="IC235" i="55"/>
  <c r="DS235" i="55"/>
  <c r="CR235" i="55" a="1"/>
  <c r="CR235" i="55" s="1"/>
  <c r="GB235" i="55"/>
  <c r="GC235" i="55" s="1"/>
  <c r="FW235" i="55"/>
  <c r="V235" i="55"/>
  <c r="U235" i="55"/>
  <c r="CS235" i="55"/>
  <c r="FB195" i="55"/>
  <c r="FA195" i="55"/>
  <c r="EL195" i="55"/>
  <c r="FB259" i="55"/>
  <c r="FA259" i="55"/>
  <c r="ID174" i="55" a="1"/>
  <c r="ID174" i="55" s="1"/>
  <c r="IE174" i="55" a="1"/>
  <c r="IE174" i="55" s="1"/>
  <c r="GD35" i="55"/>
  <c r="GG35" i="55"/>
  <c r="O35" i="55" a="1"/>
  <c r="O35" i="55" s="1"/>
  <c r="GY51" i="55"/>
  <c r="GX51" i="55"/>
  <c r="FB67" i="55"/>
  <c r="FA67" i="55"/>
  <c r="EL67" i="55"/>
  <c r="GX178" i="55"/>
  <c r="GY178" i="55"/>
  <c r="EK182" i="55"/>
  <c r="O182" i="55" a="1"/>
  <c r="O182" i="55" s="1"/>
  <c r="FA164" i="55"/>
  <c r="FB164" i="55"/>
  <c r="GY53" i="55"/>
  <c r="GX53" i="55"/>
  <c r="FX231" i="55" a="1"/>
  <c r="FX231" i="55" s="1"/>
  <c r="FY231" i="55"/>
  <c r="CE36" i="55" a="1"/>
  <c r="CE36" i="55" s="1"/>
  <c r="CE342" i="55" a="1"/>
  <c r="CE342" i="55" s="1"/>
  <c r="EK342" i="55" s="1"/>
  <c r="JW259" i="55"/>
  <c r="IC259" i="55"/>
  <c r="CR259" i="55" a="1"/>
  <c r="CR259" i="55" s="1"/>
  <c r="CS259" i="55"/>
  <c r="GB259" i="55"/>
  <c r="GC259" i="55" s="1"/>
  <c r="DS259" i="55"/>
  <c r="V259" i="55"/>
  <c r="U259" i="55"/>
  <c r="GL257" i="55"/>
  <c r="O257" i="55" a="1"/>
  <c r="O257" i="55" s="1"/>
  <c r="EV257" i="55" s="1"/>
  <c r="EW257" i="55" s="1"/>
  <c r="R97" i="55"/>
  <c r="V222" i="55"/>
  <c r="U222" i="55"/>
  <c r="V302" i="55"/>
  <c r="U302" i="55"/>
  <c r="CW304" i="55"/>
  <c r="CX304" i="55"/>
  <c r="CY304" i="55"/>
  <c r="CV304" i="55"/>
  <c r="R64" i="55"/>
  <c r="R160" i="55"/>
  <c r="CZ175" i="55"/>
  <c r="DA175" i="55" s="1"/>
  <c r="DM175" i="55" s="1"/>
  <c r="DQ175" i="55" s="1"/>
  <c r="R15" i="55"/>
  <c r="V160" i="55"/>
  <c r="U160" i="55"/>
  <c r="U288" i="55"/>
  <c r="V288" i="55"/>
  <c r="EY48" i="55"/>
  <c r="R48" i="55" s="1"/>
  <c r="GS38" i="55"/>
  <c r="CU295" i="55" a="1"/>
  <c r="CU295" i="55" s="1"/>
  <c r="CT295" i="55" a="1"/>
  <c r="CT295" i="55" s="1"/>
  <c r="IC144" i="55"/>
  <c r="IC281" i="55"/>
  <c r="JW281" i="55"/>
  <c r="GB281" i="55"/>
  <c r="GC281" i="55" s="1"/>
  <c r="DS281" i="55"/>
  <c r="CR281" i="55" a="1"/>
  <c r="CR281" i="55" s="1"/>
  <c r="CS281" i="55" s="1"/>
  <c r="CZ281" i="55" s="1"/>
  <c r="DA281" i="55" s="1"/>
  <c r="DM281" i="55" s="1"/>
  <c r="U281" i="55"/>
  <c r="DX281" i="55"/>
  <c r="V281" i="55"/>
  <c r="FX177" i="55" a="1"/>
  <c r="FX177" i="55" s="1"/>
  <c r="FY177" i="55"/>
  <c r="GD225" i="55"/>
  <c r="GG225" i="55"/>
  <c r="CE225" i="55" a="1"/>
  <c r="CE225" i="55" s="1"/>
  <c r="CU255" i="55" a="1"/>
  <c r="CU255" i="55" s="1"/>
  <c r="CS255" i="55"/>
  <c r="CT255" i="55" a="1"/>
  <c r="CT255" i="55" s="1"/>
  <c r="ID295" i="55" a="1"/>
  <c r="ID295" i="55" s="1"/>
  <c r="IE295" i="55" a="1"/>
  <c r="IE295" i="55" s="1"/>
  <c r="JW92" i="55"/>
  <c r="IC92" i="55"/>
  <c r="DS92" i="55"/>
  <c r="GB92" i="55"/>
  <c r="GC92" i="55" s="1"/>
  <c r="GE92" i="55" s="1" a="1"/>
  <c r="GE92" i="55" s="1"/>
  <c r="GF92" i="55" s="1"/>
  <c r="CR92" i="55" a="1"/>
  <c r="CR92" i="55" s="1"/>
  <c r="DX92" i="55"/>
  <c r="CS92" i="55"/>
  <c r="V92" i="55"/>
  <c r="U92" i="55"/>
  <c r="GQ184" i="55"/>
  <c r="GR184" i="55" s="1"/>
  <c r="EL231" i="55"/>
  <c r="FK218" i="55"/>
  <c r="FL218" i="55"/>
  <c r="FN218" i="55"/>
  <c r="FI218" i="55"/>
  <c r="FO218" i="55"/>
  <c r="FQ218" i="55"/>
  <c r="FM218" i="55"/>
  <c r="FJ218" i="55"/>
  <c r="FR218" i="55"/>
  <c r="FP218" i="55"/>
  <c r="FK314" i="55"/>
  <c r="FR314" i="55"/>
  <c r="FH314" i="55"/>
  <c r="FL314" i="55" s="1"/>
  <c r="FJ314" i="55"/>
  <c r="FM314" i="55"/>
  <c r="FN314" i="55"/>
  <c r="FI314" i="55"/>
  <c r="FP314" i="55"/>
  <c r="FQ314" i="55"/>
  <c r="FO314" i="55"/>
  <c r="JL337" i="55"/>
  <c r="JE337" i="55"/>
  <c r="CR43" i="55" a="1"/>
  <c r="CR43" i="55" s="1"/>
  <c r="ID119" i="55" a="1"/>
  <c r="ID119" i="55" s="1"/>
  <c r="IE119" i="55" a="1"/>
  <c r="IE119" i="55" s="1"/>
  <c r="CU20" i="55" a="1"/>
  <c r="CU20" i="55" s="1"/>
  <c r="CT20" i="55" a="1"/>
  <c r="CT20" i="55" s="1"/>
  <c r="CR68" i="55" a="1"/>
  <c r="CR68" i="55" s="1"/>
  <c r="FK27" i="55"/>
  <c r="FL27" i="55"/>
  <c r="FQ27" i="55"/>
  <c r="FN27" i="55"/>
  <c r="FI27" i="55"/>
  <c r="FM27" i="55"/>
  <c r="FP27" i="55"/>
  <c r="FJ27" i="55"/>
  <c r="FR27" i="55"/>
  <c r="FO27" i="55"/>
  <c r="FH27" i="55"/>
  <c r="CE91" i="55" a="1"/>
  <c r="CE91" i="55" s="1"/>
  <c r="CY318" i="55"/>
  <c r="CX318" i="55"/>
  <c r="CV318" i="55"/>
  <c r="CW318" i="55"/>
  <c r="ID37" i="55" a="1"/>
  <c r="ID37" i="55" s="1"/>
  <c r="IE37" i="55" a="1"/>
  <c r="IE37" i="55" s="1"/>
  <c r="CT149" i="55" a="1"/>
  <c r="CT149" i="55" s="1"/>
  <c r="CU149" i="55" a="1"/>
  <c r="CU149" i="55" s="1"/>
  <c r="CU165" i="55" a="1"/>
  <c r="CU165" i="55" s="1"/>
  <c r="CT165" i="55" a="1"/>
  <c r="CT165" i="55" s="1"/>
  <c r="CU197" i="55" a="1"/>
  <c r="CU197" i="55" s="1"/>
  <c r="CT197" i="55" a="1"/>
  <c r="CT197" i="55" s="1"/>
  <c r="IE213" i="55" a="1"/>
  <c r="IE213" i="55" s="1"/>
  <c r="ID213" i="55" a="1"/>
  <c r="ID213" i="55" s="1"/>
  <c r="EL203" i="55"/>
  <c r="EL7" i="55"/>
  <c r="S13" i="55"/>
  <c r="CU70" i="55" a="1"/>
  <c r="CU70" i="55" s="1"/>
  <c r="CT70" i="55" a="1"/>
  <c r="CT70" i="55" s="1"/>
  <c r="GY12" i="55"/>
  <c r="GX12" i="55"/>
  <c r="FY220" i="55"/>
  <c r="FX220" i="55" a="1"/>
  <c r="FX220" i="55" s="1"/>
  <c r="GY316" i="55"/>
  <c r="GX316" i="55"/>
  <c r="FY332" i="55"/>
  <c r="FX332" i="55" a="1"/>
  <c r="FX332" i="55" s="1"/>
  <c r="FZ332" i="55" s="1"/>
  <c r="JW220" i="55"/>
  <c r="IC220" i="55"/>
  <c r="GB220" i="55"/>
  <c r="GC220" i="55" s="1"/>
  <c r="GE220" i="55" s="1" a="1"/>
  <c r="GE220" i="55" s="1"/>
  <c r="GF220" i="55" s="1"/>
  <c r="DS220" i="55"/>
  <c r="FW220" i="55"/>
  <c r="CR220" i="55" a="1"/>
  <c r="CR220" i="55" s="1"/>
  <c r="CS220" i="55"/>
  <c r="U220" i="55"/>
  <c r="V220" i="55"/>
  <c r="FP144" i="55"/>
  <c r="FH144" i="55"/>
  <c r="FL144" i="55" s="1"/>
  <c r="FQ144" i="55"/>
  <c r="FI144" i="55"/>
  <c r="FM144" i="55"/>
  <c r="FJ144" i="55"/>
  <c r="FN144" i="55"/>
  <c r="FO144" i="55"/>
  <c r="FK144" i="55"/>
  <c r="FP192" i="55"/>
  <c r="FQ192" i="55"/>
  <c r="FI192" i="55"/>
  <c r="FK192" i="55"/>
  <c r="FL192" i="55"/>
  <c r="FN192" i="55"/>
  <c r="FJ192" i="55"/>
  <c r="FO192" i="55"/>
  <c r="FM192" i="55"/>
  <c r="CE192" i="55" a="1"/>
  <c r="CE192" i="55" s="1"/>
  <c r="FB231" i="55"/>
  <c r="EY351" i="55"/>
  <c r="GP289" i="55"/>
  <c r="FO34" i="55"/>
  <c r="FP34" i="55"/>
  <c r="FJ34" i="55"/>
  <c r="FQ34" i="55"/>
  <c r="FN34" i="55"/>
  <c r="FM34" i="55"/>
  <c r="FI34" i="55"/>
  <c r="FL34" i="55"/>
  <c r="FK34" i="55"/>
  <c r="CE274" i="55" a="1"/>
  <c r="CE274" i="55" s="1"/>
  <c r="FR274" i="55" s="1"/>
  <c r="EL3" i="55"/>
  <c r="CU47" i="55" a="1"/>
  <c r="CU47" i="55" s="1"/>
  <c r="CT47" i="55" a="1"/>
  <c r="CT47" i="55" s="1"/>
  <c r="BP28" i="54" a="1"/>
  <c r="BP28" i="54" s="1"/>
  <c r="AJ28" i="54" a="1"/>
  <c r="AJ28" i="54" s="1"/>
  <c r="B28" i="54" s="1"/>
  <c r="AG28" i="54" s="1"/>
  <c r="V28" i="54" a="1"/>
  <c r="V28" i="54" s="1"/>
  <c r="BX28" i="54" a="1"/>
  <c r="BX28" i="54" s="1"/>
  <c r="BX25" i="54" a="1"/>
  <c r="BX25" i="54" s="1"/>
  <c r="AJ25" i="54" a="1"/>
  <c r="AJ25" i="54" s="1"/>
  <c r="B25" i="54" s="1"/>
  <c r="AG25" i="54" s="1"/>
  <c r="BP25" i="54" a="1"/>
  <c r="BP25" i="54" s="1"/>
  <c r="V25" i="54" a="1"/>
  <c r="V25" i="54" s="1"/>
  <c r="BW25" i="54" a="1"/>
  <c r="BW25" i="54" s="1"/>
  <c r="FO99" i="55"/>
  <c r="FP99" i="55"/>
  <c r="FH99" i="55"/>
  <c r="FL99" i="55" s="1"/>
  <c r="FM99" i="55"/>
  <c r="FJ99" i="55"/>
  <c r="FQ99" i="55"/>
  <c r="FK99" i="55"/>
  <c r="FN99" i="55"/>
  <c r="FI99" i="55"/>
  <c r="DE20" i="55" a="1"/>
  <c r="DE20" i="55" s="1"/>
  <c r="DF20" i="55" a="1"/>
  <c r="DF20" i="55" s="1"/>
  <c r="DG20" i="55" a="1"/>
  <c r="DG20" i="55" s="1"/>
  <c r="DH20" i="55"/>
  <c r="DX20" i="55" s="1"/>
  <c r="FY100" i="55"/>
  <c r="FX100" i="55" a="1"/>
  <c r="FX100" i="55" s="1"/>
  <c r="CE100" i="55" a="1"/>
  <c r="CE100" i="55" s="1"/>
  <c r="GD116" i="55"/>
  <c r="GE116" i="55" s="1" a="1"/>
  <c r="GE116" i="55" s="1"/>
  <c r="GF116" i="55" s="1"/>
  <c r="GG116" i="55"/>
  <c r="FY196" i="55"/>
  <c r="FX196" i="55" a="1"/>
  <c r="FX196" i="55" s="1"/>
  <c r="GY212" i="55"/>
  <c r="GX212" i="55"/>
  <c r="FX292" i="55" a="1"/>
  <c r="FX292" i="55" s="1"/>
  <c r="FY292" i="55"/>
  <c r="CE292" i="55" a="1"/>
  <c r="CE292" i="55" s="1"/>
  <c r="FR292" i="55" s="1"/>
  <c r="R318" i="55"/>
  <c r="GG123" i="55"/>
  <c r="GD123" i="55"/>
  <c r="CE123" i="55" a="1"/>
  <c r="CE123" i="55" s="1"/>
  <c r="BQ123" i="55"/>
  <c r="GP151" i="55"/>
  <c r="DH88" i="55"/>
  <c r="DX88" i="55" s="1"/>
  <c r="DF88" i="55" a="1"/>
  <c r="DF88" i="55" s="1"/>
  <c r="DG88" i="55" a="1"/>
  <c r="DG88" i="55" s="1"/>
  <c r="DE88" i="55" a="1"/>
  <c r="DE88" i="55" s="1"/>
  <c r="GG152" i="55"/>
  <c r="GD152" i="55"/>
  <c r="CE152" i="55" a="1"/>
  <c r="CE152" i="55" s="1"/>
  <c r="O152" i="55" s="1" a="1"/>
  <c r="O152" i="55" s="1"/>
  <c r="BQ152" i="55"/>
  <c r="GX200" i="55"/>
  <c r="GY200" i="55"/>
  <c r="FY264" i="55"/>
  <c r="FX264" i="55" a="1"/>
  <c r="FX264" i="55" s="1"/>
  <c r="GG75" i="55"/>
  <c r="GD75" i="55"/>
  <c r="GE75" i="55" s="1" a="1"/>
  <c r="GE75" i="55" s="1"/>
  <c r="GF75" i="55" s="1"/>
  <c r="O75" i="55" a="1"/>
  <c r="O75" i="55" s="1"/>
  <c r="DG9" i="55" a="1"/>
  <c r="DG9" i="55" s="1"/>
  <c r="DE9" i="55" a="1"/>
  <c r="DE9" i="55" s="1"/>
  <c r="DF9" i="55" a="1"/>
  <c r="DF9" i="55" s="1"/>
  <c r="DH9" i="55"/>
  <c r="DX9" i="55" s="1"/>
  <c r="CR9" i="55" a="1"/>
  <c r="CR9" i="55" s="1"/>
  <c r="DG105" i="55" a="1"/>
  <c r="DG105" i="55" s="1"/>
  <c r="DE105" i="55" a="1"/>
  <c r="DE105" i="55" s="1"/>
  <c r="DH105" i="55"/>
  <c r="DX105" i="55" s="1"/>
  <c r="DF105" i="55" a="1"/>
  <c r="DF105" i="55" s="1"/>
  <c r="CZ153" i="55"/>
  <c r="DA153" i="55" s="1"/>
  <c r="DG201" i="55" a="1"/>
  <c r="DG201" i="55" s="1"/>
  <c r="DE201" i="55" a="1"/>
  <c r="DE201" i="55" s="1"/>
  <c r="DF201" i="55" a="1"/>
  <c r="DF201" i="55" s="1"/>
  <c r="DH201" i="55"/>
  <c r="DX201" i="55" s="1"/>
  <c r="DG345" i="55" a="1"/>
  <c r="DG345" i="55" s="1"/>
  <c r="DE345" i="55" a="1"/>
  <c r="DE345" i="55" s="1"/>
  <c r="DF345" i="55" a="1"/>
  <c r="DF345" i="55" s="1"/>
  <c r="DH345" i="55"/>
  <c r="DH10" i="55"/>
  <c r="DE10" i="55" a="1"/>
  <c r="DE10" i="55" s="1"/>
  <c r="DG10" i="55" a="1"/>
  <c r="DG10" i="55" s="1"/>
  <c r="DF10" i="55" a="1"/>
  <c r="DF10" i="55" s="1"/>
  <c r="FX138" i="55" a="1"/>
  <c r="FX138" i="55" s="1"/>
  <c r="FY138" i="55"/>
  <c r="GD330" i="55"/>
  <c r="FA137" i="55"/>
  <c r="FB137" i="55"/>
  <c r="EL137" i="55"/>
  <c r="FY43" i="55"/>
  <c r="FX43" i="55" a="1"/>
  <c r="FX43" i="55" s="1"/>
  <c r="DF59" i="55" a="1"/>
  <c r="DF59" i="55" s="1"/>
  <c r="DH59" i="55"/>
  <c r="DX59" i="55" s="1"/>
  <c r="DG59" i="55" a="1"/>
  <c r="DG59" i="55" s="1"/>
  <c r="DE59" i="55" a="1"/>
  <c r="DE59" i="55" s="1"/>
  <c r="FY173" i="55"/>
  <c r="FX173" i="55" a="1"/>
  <c r="FX173" i="55" s="1"/>
  <c r="FZ173" i="55" s="1"/>
  <c r="DH285" i="55"/>
  <c r="DE285" i="55" a="1"/>
  <c r="DE285" i="55" s="1"/>
  <c r="DF285" i="55" a="1"/>
  <c r="DF285" i="55" s="1"/>
  <c r="DG285" i="55" a="1"/>
  <c r="DG285" i="55" s="1"/>
  <c r="GG333" i="55"/>
  <c r="GD333" i="55"/>
  <c r="IC254" i="55"/>
  <c r="DE128" i="55" a="1"/>
  <c r="DE128" i="55" s="1"/>
  <c r="DF128" i="55" a="1"/>
  <c r="DF128" i="55" s="1"/>
  <c r="DH128" i="55"/>
  <c r="DX128" i="55" s="1"/>
  <c r="DG128" i="55" a="1"/>
  <c r="DG128" i="55" s="1"/>
  <c r="CR128" i="55" a="1"/>
  <c r="CR128" i="55" s="1"/>
  <c r="FX19" i="55" a="1"/>
  <c r="FX19" i="55" s="1"/>
  <c r="FY19" i="55"/>
  <c r="GD131" i="55"/>
  <c r="GG131" i="55"/>
  <c r="O131" i="55" a="1"/>
  <c r="O131" i="55" s="1"/>
  <c r="GD50" i="55"/>
  <c r="GG50" i="55"/>
  <c r="BQ50" i="55"/>
  <c r="E50" i="55" s="1"/>
  <c r="BR50" i="55" s="1"/>
  <c r="BS50" i="55" s="1"/>
  <c r="FJ50" i="55" s="1"/>
  <c r="CE50" i="55" a="1"/>
  <c r="CE50" i="55" s="1"/>
  <c r="EK50" i="55" s="1"/>
  <c r="GD53" i="55"/>
  <c r="GE53" i="55" s="1" a="1"/>
  <c r="GE53" i="55" s="1"/>
  <c r="GF53" i="55" s="1"/>
  <c r="HV53" i="55"/>
  <c r="T53" i="55"/>
  <c r="GY99" i="55"/>
  <c r="GX99" i="55"/>
  <c r="GX179" i="55"/>
  <c r="GY179" i="55"/>
  <c r="FB227" i="55"/>
  <c r="FA227" i="55"/>
  <c r="FA339" i="55"/>
  <c r="EL339" i="55"/>
  <c r="FX150" i="55" a="1"/>
  <c r="FX150" i="55" s="1"/>
  <c r="FY150" i="55"/>
  <c r="GX82" i="55"/>
  <c r="GY82" i="55"/>
  <c r="FX98" i="55" a="1"/>
  <c r="FX98" i="55" s="1"/>
  <c r="FY98" i="55"/>
  <c r="GX194" i="55"/>
  <c r="GY194" i="55"/>
  <c r="GX6" i="55"/>
  <c r="GY6" i="55"/>
  <c r="DF262" i="55" a="1"/>
  <c r="DF262" i="55" s="1"/>
  <c r="DG262" i="55" a="1"/>
  <c r="DG262" i="55" s="1"/>
  <c r="DE262" i="55" a="1"/>
  <c r="DE262" i="55" s="1"/>
  <c r="DH262" i="55"/>
  <c r="DX262" i="55" s="1"/>
  <c r="CR262" i="55" a="1"/>
  <c r="CR262" i="55" s="1"/>
  <c r="IC262" i="55"/>
  <c r="FZ274" i="55"/>
  <c r="BQ116" i="55"/>
  <c r="FN36" i="55"/>
  <c r="FO36" i="55"/>
  <c r="FM36" i="55"/>
  <c r="FQ36" i="55"/>
  <c r="FK36" i="55"/>
  <c r="FI36" i="55"/>
  <c r="FR36" i="55"/>
  <c r="FL36" i="55"/>
  <c r="FJ36" i="55"/>
  <c r="FP36" i="55"/>
  <c r="DF215" i="55" a="1"/>
  <c r="DF215" i="55" s="1"/>
  <c r="DE215" i="55" a="1"/>
  <c r="DE215" i="55" s="1"/>
  <c r="DG215" i="55" a="1"/>
  <c r="DG215" i="55" s="1"/>
  <c r="CR215" i="55" a="1"/>
  <c r="CR215" i="55" s="1"/>
  <c r="DH215" i="55"/>
  <c r="DX215" i="55" s="1"/>
  <c r="GL327" i="55"/>
  <c r="JW99" i="55"/>
  <c r="IC99" i="55"/>
  <c r="FW99" i="55"/>
  <c r="CR99" i="55" a="1"/>
  <c r="CR99" i="55" s="1"/>
  <c r="CS99" i="55"/>
  <c r="GB99" i="55"/>
  <c r="GC99" i="55" s="1"/>
  <c r="DS99" i="55"/>
  <c r="V99" i="55"/>
  <c r="U99" i="55"/>
  <c r="EY250" i="55"/>
  <c r="R250" i="55" s="1"/>
  <c r="EY330" i="55"/>
  <c r="R330" i="55" s="1"/>
  <c r="GS56" i="55"/>
  <c r="GR53" i="55"/>
  <c r="GL65" i="55"/>
  <c r="FP257" i="55"/>
  <c r="FQ257" i="55"/>
  <c r="FI257" i="55"/>
  <c r="FN257" i="55"/>
  <c r="FK257" i="55"/>
  <c r="FR257" i="55"/>
  <c r="FJ257" i="55"/>
  <c r="FM257" i="55"/>
  <c r="FL257" i="55"/>
  <c r="FO257" i="55"/>
  <c r="ID215" i="55" a="1"/>
  <c r="ID215" i="55" s="1"/>
  <c r="IE215" i="55" a="1"/>
  <c r="IE215" i="55" s="1"/>
  <c r="IE238" i="55" a="1"/>
  <c r="IE238" i="55" s="1"/>
  <c r="ID238" i="55" a="1"/>
  <c r="ID238" i="55" s="1"/>
  <c r="JW159" i="55"/>
  <c r="IC159" i="55"/>
  <c r="FW159" i="55"/>
  <c r="DX159" i="55"/>
  <c r="DS159" i="55"/>
  <c r="CR159" i="55" a="1"/>
  <c r="CR159" i="55" s="1"/>
  <c r="GB159" i="55"/>
  <c r="GC159" i="55" s="1"/>
  <c r="U159" i="55"/>
  <c r="V159" i="55"/>
  <c r="EY64" i="55"/>
  <c r="R272" i="55"/>
  <c r="AY27" i="54"/>
  <c r="AZ27" i="54" s="1" a="1"/>
  <c r="AZ27" i="54" s="1"/>
  <c r="FN325" i="55"/>
  <c r="FO325" i="55"/>
  <c r="FL325" i="55"/>
  <c r="FI325" i="55"/>
  <c r="FP325" i="55"/>
  <c r="FR325" i="55"/>
  <c r="FH325" i="55"/>
  <c r="FK325" i="55"/>
  <c r="FM325" i="55"/>
  <c r="FJ325" i="55"/>
  <c r="FQ325" i="55"/>
  <c r="GD79" i="55"/>
  <c r="GG79" i="55"/>
  <c r="GX95" i="55"/>
  <c r="GY95" i="55"/>
  <c r="GD127" i="55"/>
  <c r="GE127" i="55" s="1" a="1"/>
  <c r="GE127" i="55" s="1"/>
  <c r="GF127" i="55" s="1"/>
  <c r="GG127" i="55"/>
  <c r="BQ127" i="55"/>
  <c r="CE127" i="55" a="1"/>
  <c r="CE127" i="55" s="1"/>
  <c r="O127" i="55" s="1" a="1"/>
  <c r="O127" i="55" s="1"/>
  <c r="DH143" i="55"/>
  <c r="DX143" i="55" s="1"/>
  <c r="DG143" i="55" a="1"/>
  <c r="DG143" i="55" s="1"/>
  <c r="DF143" i="55" a="1"/>
  <c r="DF143" i="55" s="1"/>
  <c r="DE143" i="55" a="1"/>
  <c r="DE143" i="55" s="1"/>
  <c r="GD207" i="55"/>
  <c r="GE207" i="55" s="1" a="1"/>
  <c r="GE207" i="55" s="1"/>
  <c r="GF207" i="55" s="1"/>
  <c r="GG207" i="55"/>
  <c r="CE207" i="55" a="1"/>
  <c r="CE207" i="55" s="1"/>
  <c r="O207" i="55" s="1" a="1"/>
  <c r="O207" i="55" s="1"/>
  <c r="GX319" i="55"/>
  <c r="GY319" i="55"/>
  <c r="GS226" i="55"/>
  <c r="EY321" i="55"/>
  <c r="JW249" i="55"/>
  <c r="IC249" i="55"/>
  <c r="GB249" i="55"/>
  <c r="GC249" i="55" s="1"/>
  <c r="DS249" i="55"/>
  <c r="CR249" i="55" a="1"/>
  <c r="CR249" i="55" s="1"/>
  <c r="FW249" i="55"/>
  <c r="U249" i="55"/>
  <c r="V249" i="55"/>
  <c r="FX33" i="55" a="1"/>
  <c r="FX33" i="55" s="1"/>
  <c r="FY33" i="55"/>
  <c r="DG49" i="55" a="1"/>
  <c r="DG49" i="55" s="1"/>
  <c r="DF49" i="55" a="1"/>
  <c r="DF49" i="55" s="1"/>
  <c r="DE49" i="55" a="1"/>
  <c r="DE49" i="55" s="1"/>
  <c r="DH49" i="55"/>
  <c r="GD97" i="55"/>
  <c r="GG97" i="55"/>
  <c r="CE97" i="55" a="1"/>
  <c r="CE97" i="55" s="1"/>
  <c r="EK97" i="55" s="1"/>
  <c r="GY129" i="55"/>
  <c r="GX129" i="55"/>
  <c r="DG241" i="55" a="1"/>
  <c r="DG241" i="55" s="1"/>
  <c r="DF241" i="55" a="1"/>
  <c r="DF241" i="55" s="1"/>
  <c r="DH241" i="55"/>
  <c r="DX241" i="55" s="1"/>
  <c r="DE241" i="55" a="1"/>
  <c r="DE241" i="55" s="1"/>
  <c r="JW139" i="55"/>
  <c r="IC139" i="55"/>
  <c r="GB139" i="55"/>
  <c r="GC139" i="55" s="1"/>
  <c r="DS139" i="55"/>
  <c r="CR139" i="55" a="1"/>
  <c r="CR139" i="55" s="1"/>
  <c r="CS139" i="55"/>
  <c r="CZ139" i="55" s="1"/>
  <c r="DA139" i="55" s="1"/>
  <c r="V139" i="55"/>
  <c r="U139" i="55"/>
  <c r="GS75" i="55"/>
  <c r="GS203" i="55"/>
  <c r="GS176" i="55"/>
  <c r="DM304" i="55"/>
  <c r="DQ304" i="55" s="1"/>
  <c r="EL293" i="55"/>
  <c r="CT193" i="55" a="1"/>
  <c r="CT193" i="55" s="1"/>
  <c r="CU193" i="55" a="1"/>
  <c r="CU193" i="55" s="1"/>
  <c r="EL201" i="55"/>
  <c r="S3" i="40" a="1"/>
  <c r="S3" i="40" s="1"/>
  <c r="FK122" i="55"/>
  <c r="FR122" i="55"/>
  <c r="FH122" i="55"/>
  <c r="FL122" i="55" s="1"/>
  <c r="FN122" i="55"/>
  <c r="FQ122" i="55"/>
  <c r="FJ122" i="55"/>
  <c r="FI122" i="55"/>
  <c r="FM122" i="55"/>
  <c r="FP122" i="55"/>
  <c r="FO122" i="55"/>
  <c r="FK266" i="55"/>
  <c r="FL266" i="55"/>
  <c r="FJ266" i="55"/>
  <c r="FR266" i="55"/>
  <c r="FN266" i="55"/>
  <c r="FM266" i="55"/>
  <c r="FI266" i="55"/>
  <c r="FQ266" i="55"/>
  <c r="FO266" i="55"/>
  <c r="FP266" i="55"/>
  <c r="IC228" i="55"/>
  <c r="IC324" i="55"/>
  <c r="FZ257" i="55"/>
  <c r="CE315" i="55" a="1"/>
  <c r="CE315" i="55" s="1"/>
  <c r="ID85" i="55" a="1"/>
  <c r="ID85" i="55" s="1"/>
  <c r="IE85" i="55" a="1"/>
  <c r="IE85" i="55" s="1"/>
  <c r="CS149" i="55"/>
  <c r="CS165" i="55"/>
  <c r="CZ165" i="55" s="1"/>
  <c r="DA165" i="55" s="1"/>
  <c r="CS197" i="55"/>
  <c r="GE229" i="55" a="1"/>
  <c r="GE229" i="55" s="1"/>
  <c r="GF229" i="55" s="1"/>
  <c r="CT245" i="55" a="1"/>
  <c r="CT245" i="55" s="1"/>
  <c r="CU245" i="55" a="1"/>
  <c r="CU245" i="55" s="1"/>
  <c r="ID325" i="55" a="1"/>
  <c r="ID325" i="55" s="1"/>
  <c r="IE325" i="55" a="1"/>
  <c r="IE325" i="55" s="1"/>
  <c r="FZ223" i="55"/>
  <c r="GL44" i="55"/>
  <c r="FJ108" i="55"/>
  <c r="FK108" i="55"/>
  <c r="FI108" i="55"/>
  <c r="FP108" i="55"/>
  <c r="FM108" i="55"/>
  <c r="FH108" i="55"/>
  <c r="FL108" i="55" s="1"/>
  <c r="FN108" i="55"/>
  <c r="FO108" i="55"/>
  <c r="FQ108" i="55"/>
  <c r="FR236" i="55"/>
  <c r="FJ236" i="55"/>
  <c r="FK236" i="55"/>
  <c r="FI236" i="55"/>
  <c r="FN236" i="55"/>
  <c r="FO236" i="55"/>
  <c r="FQ236" i="55"/>
  <c r="FL236" i="55"/>
  <c r="FP236" i="55"/>
  <c r="FM236" i="55"/>
  <c r="V199" i="55"/>
  <c r="FJ125" i="55"/>
  <c r="FK125" i="55"/>
  <c r="FP125" i="55"/>
  <c r="FM125" i="55"/>
  <c r="FH125" i="55"/>
  <c r="FL125" i="55" s="1"/>
  <c r="FN125" i="55"/>
  <c r="FI125" i="55"/>
  <c r="FO125" i="55"/>
  <c r="FQ125" i="55"/>
  <c r="CE269" i="55" a="1"/>
  <c r="CE269" i="55" s="1"/>
  <c r="FR269" i="55" s="1"/>
  <c r="AY26" i="54"/>
  <c r="AZ26" i="54" s="1" a="1"/>
  <c r="AZ26" i="54" s="1"/>
  <c r="FR317" i="55"/>
  <c r="FJ317" i="55"/>
  <c r="FK317" i="55"/>
  <c r="FP317" i="55"/>
  <c r="FM317" i="55"/>
  <c r="FH317" i="55"/>
  <c r="FN317" i="55"/>
  <c r="FQ317" i="55"/>
  <c r="FI317" i="55"/>
  <c r="FL317" i="55"/>
  <c r="FO317" i="55"/>
  <c r="CU326" i="55" a="1"/>
  <c r="CU326" i="55" s="1"/>
  <c r="CT326" i="55" a="1"/>
  <c r="CT326" i="55" s="1"/>
  <c r="EY102" i="55"/>
  <c r="R166" i="55"/>
  <c r="R230" i="55"/>
  <c r="R294" i="55"/>
  <c r="CU150" i="55" a="1"/>
  <c r="CU150" i="55" s="1"/>
  <c r="CT150" i="55" a="1"/>
  <c r="CT150" i="55" s="1"/>
  <c r="BQ59" i="55"/>
  <c r="FY12" i="55"/>
  <c r="FX12" i="55" a="1"/>
  <c r="FX12" i="55" s="1"/>
  <c r="FZ12" i="55" s="1"/>
  <c r="GG188" i="55"/>
  <c r="GD188" i="55"/>
  <c r="O188" i="55" a="1"/>
  <c r="O188" i="55" s="1"/>
  <c r="BQ188" i="55"/>
  <c r="JW140" i="55"/>
  <c r="IC140" i="55"/>
  <c r="GB140" i="55"/>
  <c r="GC140" i="55" s="1"/>
  <c r="DS140" i="55"/>
  <c r="DX140" i="55"/>
  <c r="CR140" i="55" a="1"/>
  <c r="CR140" i="55" s="1"/>
  <c r="V140" i="55"/>
  <c r="U140" i="55"/>
  <c r="JW332" i="55"/>
  <c r="IC332" i="55"/>
  <c r="FW332" i="55"/>
  <c r="DS332" i="55"/>
  <c r="CR332" i="55" a="1"/>
  <c r="CR332" i="55" s="1"/>
  <c r="CS332" i="55"/>
  <c r="CZ332" i="55" s="1"/>
  <c r="DA332" i="55" s="1"/>
  <c r="GB332" i="55"/>
  <c r="GC332" i="55" s="1"/>
  <c r="U332" i="55"/>
  <c r="V332" i="55"/>
  <c r="GP207" i="55"/>
  <c r="GS73" i="55"/>
  <c r="GS201" i="55"/>
  <c r="GS329" i="55"/>
  <c r="EY239" i="55"/>
  <c r="AY20" i="54"/>
  <c r="AZ20" i="54" s="1" a="1"/>
  <c r="AZ20" i="54" s="1"/>
  <c r="FO130" i="55"/>
  <c r="FP130" i="55"/>
  <c r="FH130" i="55"/>
  <c r="FN130" i="55"/>
  <c r="FR130" i="55"/>
  <c r="FL130" i="55"/>
  <c r="FJ130" i="55"/>
  <c r="FI130" i="55"/>
  <c r="FM130" i="55"/>
  <c r="FQ130" i="55"/>
  <c r="FK130" i="55"/>
  <c r="CE322" i="55" a="1"/>
  <c r="CE322" i="55" s="1"/>
  <c r="EK322" i="55" s="1"/>
  <c r="U128" i="55"/>
  <c r="IE128" i="55" a="1"/>
  <c r="IE128" i="55" s="1"/>
  <c r="ID128" i="55" a="1"/>
  <c r="ID128" i="55" s="1"/>
  <c r="FZ319" i="55"/>
  <c r="GP226" i="55"/>
  <c r="AY14" i="54"/>
  <c r="AZ14" i="54" s="1" a="1"/>
  <c r="AZ14" i="54" s="1"/>
  <c r="FO3" i="55"/>
  <c r="FP3" i="55"/>
  <c r="FH3" i="55"/>
  <c r="FI3" i="55"/>
  <c r="FN3" i="55"/>
  <c r="FK3" i="55"/>
  <c r="FQ3" i="55"/>
  <c r="FJ3" i="55"/>
  <c r="FM3" i="55"/>
  <c r="FL3" i="55"/>
  <c r="FR3" i="55"/>
  <c r="BX19" i="54" a="1"/>
  <c r="BX19" i="54" s="1"/>
  <c r="AJ19" i="54" a="1"/>
  <c r="AJ19" i="54" s="1"/>
  <c r="B19" i="54" s="1"/>
  <c r="AG19" i="54" s="1"/>
  <c r="V19" i="54" a="1"/>
  <c r="V19" i="54" s="1"/>
  <c r="FO51" i="55"/>
  <c r="FP51" i="55"/>
  <c r="FQ51" i="55"/>
  <c r="FL51" i="55"/>
  <c r="FI51" i="55"/>
  <c r="FM51" i="55"/>
  <c r="FN51" i="55"/>
  <c r="FJ51" i="55"/>
  <c r="FK51" i="55"/>
  <c r="FO195" i="55"/>
  <c r="FP195" i="55"/>
  <c r="FI195" i="55"/>
  <c r="FN195" i="55"/>
  <c r="FK195" i="55"/>
  <c r="FM195" i="55"/>
  <c r="FJ195" i="55"/>
  <c r="FL195" i="55"/>
  <c r="FQ195" i="55"/>
  <c r="FA178" i="55"/>
  <c r="EL178" i="55"/>
  <c r="DE52" i="55" a="1"/>
  <c r="DE52" i="55" s="1"/>
  <c r="DF52" i="55" a="1"/>
  <c r="DF52" i="55" s="1"/>
  <c r="DG52" i="55" a="1"/>
  <c r="DG52" i="55" s="1"/>
  <c r="DH52" i="55"/>
  <c r="DX52" i="55" s="1"/>
  <c r="FY180" i="55"/>
  <c r="FX180" i="55" a="1"/>
  <c r="FX180" i="55" s="1"/>
  <c r="R254" i="55"/>
  <c r="GG169" i="55"/>
  <c r="GD169" i="55"/>
  <c r="GE169" i="55" s="1" a="1"/>
  <c r="GE169" i="55" s="1"/>
  <c r="GF169" i="55" s="1"/>
  <c r="S199" i="55"/>
  <c r="GP279" i="55"/>
  <c r="S327" i="55"/>
  <c r="GP327" i="55"/>
  <c r="GG41" i="55"/>
  <c r="GD41" i="55"/>
  <c r="GE41" i="55" s="1" a="1"/>
  <c r="GE41" i="55" s="1"/>
  <c r="GF41" i="55" s="1"/>
  <c r="BQ41" i="55"/>
  <c r="CE41" i="55" a="1"/>
  <c r="CE41" i="55" s="1"/>
  <c r="EK41" i="55" s="1"/>
  <c r="FX57" i="55" a="1"/>
  <c r="FX57" i="55" s="1"/>
  <c r="FY57" i="55"/>
  <c r="DG169" i="55" a="1"/>
  <c r="DG169" i="55" s="1"/>
  <c r="DE169" i="55" a="1"/>
  <c r="DE169" i="55" s="1"/>
  <c r="DH169" i="55"/>
  <c r="DX169" i="55" s="1"/>
  <c r="DF169" i="55" a="1"/>
  <c r="DF169" i="55" s="1"/>
  <c r="CE79" i="55" a="1"/>
  <c r="CE79" i="55" s="1"/>
  <c r="CS14" i="55"/>
  <c r="CZ14" i="55" s="1"/>
  <c r="DA14" i="55" s="1"/>
  <c r="GS70" i="55"/>
  <c r="GS198" i="55"/>
  <c r="GS342" i="55"/>
  <c r="GG58" i="55"/>
  <c r="GD58" i="55"/>
  <c r="BQ58" i="55"/>
  <c r="O58" i="55" a="1"/>
  <c r="O58" i="55" s="1"/>
  <c r="FX122" i="55" a="1"/>
  <c r="FX122" i="55" s="1"/>
  <c r="FY122" i="55"/>
  <c r="GX138" i="55"/>
  <c r="GY138" i="55"/>
  <c r="FX234" i="55" a="1"/>
  <c r="FX234" i="55" s="1"/>
  <c r="FY234" i="55"/>
  <c r="GX266" i="55"/>
  <c r="GY266" i="55"/>
  <c r="FQ63" i="55"/>
  <c r="FI63" i="55"/>
  <c r="FJ63" i="55"/>
  <c r="FK63" i="55"/>
  <c r="FP63" i="55"/>
  <c r="FM63" i="55"/>
  <c r="FN63" i="55"/>
  <c r="FH63" i="55"/>
  <c r="FL63" i="55" s="1"/>
  <c r="FO63" i="55"/>
  <c r="AY29" i="54"/>
  <c r="AZ29" i="54" s="1" a="1"/>
  <c r="AZ29" i="54" s="1"/>
  <c r="FQ335" i="55"/>
  <c r="FI335" i="55"/>
  <c r="FR335" i="55"/>
  <c r="FJ335" i="55"/>
  <c r="FM335" i="55"/>
  <c r="FH335" i="55"/>
  <c r="FO335" i="55"/>
  <c r="FP335" i="55"/>
  <c r="FL335" i="55"/>
  <c r="FN335" i="55"/>
  <c r="FK335" i="55"/>
  <c r="GX91" i="55"/>
  <c r="GY91" i="55"/>
  <c r="GG139" i="55"/>
  <c r="GD139" i="55"/>
  <c r="CE139" i="55" a="1"/>
  <c r="CE139" i="55" s="1"/>
  <c r="GX125" i="55"/>
  <c r="GY125" i="55"/>
  <c r="FY157" i="55"/>
  <c r="FX157" i="55" a="1"/>
  <c r="FX157" i="55" s="1"/>
  <c r="DH109" i="55"/>
  <c r="DE109" i="55" a="1"/>
  <c r="DE109" i="55" s="1"/>
  <c r="DG109" i="55" a="1"/>
  <c r="DG109" i="55" s="1"/>
  <c r="DF109" i="55" a="1"/>
  <c r="DF109" i="55" s="1"/>
  <c r="DH141" i="55"/>
  <c r="DE141" i="55" a="1"/>
  <c r="DE141" i="55" s="1"/>
  <c r="DF141" i="55" a="1"/>
  <c r="DF141" i="55" s="1"/>
  <c r="DG141" i="55" a="1"/>
  <c r="DG141" i="55" s="1"/>
  <c r="GS131" i="55"/>
  <c r="FA32" i="55"/>
  <c r="EL32" i="55"/>
  <c r="DE64" i="55" a="1"/>
  <c r="DE64" i="55" s="1"/>
  <c r="DG64" i="55" a="1"/>
  <c r="DG64" i="55" s="1"/>
  <c r="DF64" i="55" a="1"/>
  <c r="DF64" i="55" s="1"/>
  <c r="DH64" i="55"/>
  <c r="DX64" i="55" s="1"/>
  <c r="IC64" i="55"/>
  <c r="CR64" i="55" a="1"/>
  <c r="CR64" i="55" s="1"/>
  <c r="GY80" i="55"/>
  <c r="GX80" i="55"/>
  <c r="GD246" i="55"/>
  <c r="GE246" i="55" s="1" a="1"/>
  <c r="GE246" i="55" s="1"/>
  <c r="GF246" i="55" s="1"/>
  <c r="GG246" i="55"/>
  <c r="CE246" i="55" a="1"/>
  <c r="CE246" i="55" s="1"/>
  <c r="O246" i="55" s="1" a="1"/>
  <c r="O246" i="55" s="1"/>
  <c r="BQ246" i="55"/>
  <c r="GD51" i="55"/>
  <c r="GG51" i="55"/>
  <c r="CE51" i="55" a="1"/>
  <c r="CE51" i="55" s="1"/>
  <c r="EK51" i="55" s="1"/>
  <c r="GD67" i="55"/>
  <c r="GG67" i="55"/>
  <c r="CE67" i="55" a="1"/>
  <c r="CE67" i="55" s="1"/>
  <c r="EK67" i="55" s="1"/>
  <c r="GD227" i="55"/>
  <c r="GG227" i="55"/>
  <c r="BQ227" i="55"/>
  <c r="CE227" i="55" a="1"/>
  <c r="CE227" i="55" s="1"/>
  <c r="GY291" i="55"/>
  <c r="GX291" i="55"/>
  <c r="CZ71" i="55"/>
  <c r="DA71" i="55" s="1"/>
  <c r="DE82" i="55" a="1"/>
  <c r="DE82" i="55" s="1"/>
  <c r="DF82" i="55" a="1"/>
  <c r="DF82" i="55" s="1"/>
  <c r="DG82" i="55" a="1"/>
  <c r="DG82" i="55" s="1"/>
  <c r="DH82" i="55"/>
  <c r="DX82" i="55" s="1"/>
  <c r="DF130" i="55" a="1"/>
  <c r="DF130" i="55" s="1"/>
  <c r="DH130" i="55"/>
  <c r="DG130" i="55" a="1"/>
  <c r="DG130" i="55" s="1"/>
  <c r="DE130" i="55" a="1"/>
  <c r="DE130" i="55" s="1"/>
  <c r="FY102" i="55"/>
  <c r="FX102" i="55" a="1"/>
  <c r="FX102" i="55" s="1"/>
  <c r="CE116" i="55" a="1"/>
  <c r="CE116" i="55" s="1"/>
  <c r="O116" i="55" s="1" a="1"/>
  <c r="O116" i="55" s="1"/>
  <c r="FA133" i="55"/>
  <c r="FB133" i="55"/>
  <c r="GP84" i="55"/>
  <c r="FY350" i="55"/>
  <c r="FX350" i="55" a="1"/>
  <c r="FX350" i="55" s="1"/>
  <c r="FZ350" i="55" s="1"/>
  <c r="S134" i="55"/>
  <c r="JW51" i="55"/>
  <c r="IC51" i="55"/>
  <c r="GT51" i="55"/>
  <c r="CR51" i="55" a="1"/>
  <c r="CR51" i="55" s="1"/>
  <c r="CS51" i="55"/>
  <c r="DS51" i="55"/>
  <c r="GB51" i="55"/>
  <c r="GC51" i="55" s="1"/>
  <c r="V51" i="55"/>
  <c r="U51" i="55"/>
  <c r="JW211" i="55"/>
  <c r="FW211" i="55"/>
  <c r="IC211" i="55"/>
  <c r="GB211" i="55"/>
  <c r="GC211" i="55" s="1"/>
  <c r="DS211" i="55"/>
  <c r="CR211" i="55" a="1"/>
  <c r="CR211" i="55" s="1"/>
  <c r="CS211" i="55"/>
  <c r="V211" i="55"/>
  <c r="U211" i="55"/>
  <c r="GS45" i="55"/>
  <c r="GS205" i="55"/>
  <c r="EL269" i="55"/>
  <c r="FB248" i="55"/>
  <c r="FP161" i="55"/>
  <c r="FQ161" i="55"/>
  <c r="FI161" i="55"/>
  <c r="FJ161" i="55"/>
  <c r="FO161" i="55"/>
  <c r="FL161" i="55"/>
  <c r="FR161" i="55"/>
  <c r="FN161" i="55"/>
  <c r="FK161" i="55"/>
  <c r="FM161" i="55"/>
  <c r="U30" i="55"/>
  <c r="V30" i="55"/>
  <c r="U110" i="55"/>
  <c r="V110" i="55"/>
  <c r="V190" i="55"/>
  <c r="U190" i="55"/>
  <c r="JW239" i="55"/>
  <c r="IC239" i="55"/>
  <c r="DX239" i="55"/>
  <c r="CR239" i="55" a="1"/>
  <c r="CR239" i="55" s="1"/>
  <c r="GB239" i="55"/>
  <c r="GC239" i="55" s="1"/>
  <c r="GE239" i="55" s="1" a="1"/>
  <c r="GE239" i="55" s="1"/>
  <c r="GF239" i="55" s="1"/>
  <c r="DS239" i="55"/>
  <c r="V239" i="55"/>
  <c r="U239" i="55"/>
  <c r="IE112" i="55" a="1"/>
  <c r="IE112" i="55" s="1"/>
  <c r="ID112" i="55" a="1"/>
  <c r="ID112" i="55" s="1"/>
  <c r="GX47" i="55"/>
  <c r="GY47" i="55"/>
  <c r="GY127" i="55"/>
  <c r="GX127" i="55"/>
  <c r="DH271" i="55"/>
  <c r="DX271" i="55" s="1"/>
  <c r="DG271" i="55" a="1"/>
  <c r="DG271" i="55" s="1"/>
  <c r="DF271" i="55" a="1"/>
  <c r="DF271" i="55" s="1"/>
  <c r="DE271" i="55" a="1"/>
  <c r="DE271" i="55" s="1"/>
  <c r="GG303" i="55"/>
  <c r="GD303" i="55"/>
  <c r="GE303" i="55" s="1" a="1"/>
  <c r="GE303" i="55" s="1"/>
  <c r="GF303" i="55" s="1"/>
  <c r="CE303" i="55" a="1"/>
  <c r="CE303" i="55" s="1"/>
  <c r="FR303" i="55" s="1"/>
  <c r="BQ303" i="55"/>
  <c r="IE55" i="55" a="1"/>
  <c r="IE55" i="55" s="1"/>
  <c r="ID55" i="55" a="1"/>
  <c r="ID55" i="55" s="1"/>
  <c r="U208" i="55"/>
  <c r="V208" i="55"/>
  <c r="EY65" i="55"/>
  <c r="R145" i="55"/>
  <c r="CU327" i="55" a="1"/>
  <c r="CU327" i="55" s="1"/>
  <c r="CT327" i="55" a="1"/>
  <c r="CT327" i="55" s="1"/>
  <c r="CS327" i="55"/>
  <c r="CZ327" i="55" s="1"/>
  <c r="DA327" i="55" s="1"/>
  <c r="GS148" i="55"/>
  <c r="R17" i="55"/>
  <c r="FB293" i="55"/>
  <c r="FQ65" i="55"/>
  <c r="EY253" i="55"/>
  <c r="ID38" i="55" a="1"/>
  <c r="ID38" i="55" s="1"/>
  <c r="IE38" i="55" a="1"/>
  <c r="IE38" i="55" s="1"/>
  <c r="CR144" i="55" a="1"/>
  <c r="CR144" i="55" s="1"/>
  <c r="GS15" i="55"/>
  <c r="FX161" i="55" a="1"/>
  <c r="FX161" i="55" s="1"/>
  <c r="FY161" i="55"/>
  <c r="GX257" i="55"/>
  <c r="GY257" i="55"/>
  <c r="IE231" i="55" a="1"/>
  <c r="IE231" i="55" s="1"/>
  <c r="ID231" i="55" a="1"/>
  <c r="ID231" i="55" s="1"/>
  <c r="EL228" i="55"/>
  <c r="IX184" i="55" a="1"/>
  <c r="IX184" i="55" s="1"/>
  <c r="IY184" i="55" s="1"/>
  <c r="IR184" i="55" a="1"/>
  <c r="IR184" i="55" s="1"/>
  <c r="IS184" i="55" s="1"/>
  <c r="IV184" i="55" a="1"/>
  <c r="IV184" i="55" s="1"/>
  <c r="IW184" i="55" s="1"/>
  <c r="IN184" i="55" a="1"/>
  <c r="IN184" i="55" s="1"/>
  <c r="IO184" i="55" s="1"/>
  <c r="IT184" i="55" a="1"/>
  <c r="IT184" i="55" s="1"/>
  <c r="IU184" i="55" s="1"/>
  <c r="IP184" i="55" a="1"/>
  <c r="IP184" i="55" s="1"/>
  <c r="IQ184" i="55" s="1"/>
  <c r="IE311" i="55" a="1"/>
  <c r="IE311" i="55" s="1"/>
  <c r="ID311" i="55" a="1"/>
  <c r="ID311" i="55" s="1"/>
  <c r="FK170" i="55"/>
  <c r="FL170" i="55"/>
  <c r="FP170" i="55"/>
  <c r="FM170" i="55"/>
  <c r="FJ170" i="55"/>
  <c r="FO170" i="55"/>
  <c r="FQ170" i="55"/>
  <c r="FI170" i="55"/>
  <c r="FN170" i="55"/>
  <c r="FR170" i="55"/>
  <c r="BQ282" i="55"/>
  <c r="JM337" i="55"/>
  <c r="JF337" i="55"/>
  <c r="IE52" i="55" a="1"/>
  <c r="IE52" i="55" s="1"/>
  <c r="ID52" i="55" a="1"/>
  <c r="ID52" i="55" s="1"/>
  <c r="IE276" i="55" a="1"/>
  <c r="IE276" i="55" s="1"/>
  <c r="ID276" i="55" a="1"/>
  <c r="ID276" i="55" s="1"/>
  <c r="FK203" i="55"/>
  <c r="FL203" i="55"/>
  <c r="FO203" i="55"/>
  <c r="FJ203" i="55"/>
  <c r="FQ203" i="55"/>
  <c r="FN203" i="55"/>
  <c r="FM203" i="55"/>
  <c r="FI203" i="55"/>
  <c r="FR203" i="55"/>
  <c r="FP203" i="55"/>
  <c r="CE267" i="55" a="1"/>
  <c r="CE267" i="55" s="1"/>
  <c r="CT201" i="55" a="1"/>
  <c r="CT201" i="55" s="1"/>
  <c r="CU201" i="55" a="1"/>
  <c r="CU201" i="55" s="1"/>
  <c r="CU117" i="55" a="1"/>
  <c r="CU117" i="55" s="1"/>
  <c r="CT117" i="55" a="1"/>
  <c r="CT117" i="55" s="1"/>
  <c r="CW245" i="55"/>
  <c r="CX245" i="55"/>
  <c r="CY245" i="55"/>
  <c r="CV245" i="55"/>
  <c r="FR44" i="55"/>
  <c r="FJ44" i="55"/>
  <c r="FK44" i="55"/>
  <c r="FI44" i="55"/>
  <c r="FO44" i="55"/>
  <c r="FN44" i="55"/>
  <c r="FQ44" i="55"/>
  <c r="FL44" i="55"/>
  <c r="FM44" i="55"/>
  <c r="FP44" i="55"/>
  <c r="CV199" i="55"/>
  <c r="CW199" i="55"/>
  <c r="CX199" i="55"/>
  <c r="CY199" i="55"/>
  <c r="IE278" i="55" a="1"/>
  <c r="IE278" i="55" s="1"/>
  <c r="ID278" i="55" a="1"/>
  <c r="ID278" i="55" s="1"/>
  <c r="GQ156" i="55"/>
  <c r="GR156" i="55" s="1"/>
  <c r="FR77" i="55"/>
  <c r="FJ77" i="55"/>
  <c r="FK77" i="55"/>
  <c r="FH77" i="55"/>
  <c r="FL77" i="55" s="1"/>
  <c r="FO77" i="55"/>
  <c r="FP77" i="55"/>
  <c r="FI77" i="55"/>
  <c r="FQ77" i="55"/>
  <c r="FM77" i="55"/>
  <c r="FN77" i="55"/>
  <c r="FJ173" i="55"/>
  <c r="FK173" i="55"/>
  <c r="FN173" i="55"/>
  <c r="FI173" i="55"/>
  <c r="FP173" i="55"/>
  <c r="FQ173" i="55"/>
  <c r="FM173" i="55"/>
  <c r="FL173" i="55"/>
  <c r="FO173" i="55"/>
  <c r="FJ269" i="55"/>
  <c r="FK269" i="55"/>
  <c r="FO269" i="55"/>
  <c r="FL269" i="55"/>
  <c r="FI269" i="55"/>
  <c r="FN269" i="55"/>
  <c r="FM269" i="55"/>
  <c r="FQ269" i="55"/>
  <c r="FP269" i="55"/>
  <c r="CT169" i="55" a="1"/>
  <c r="CT169" i="55" s="1"/>
  <c r="CU169" i="55" a="1"/>
  <c r="CU169" i="55" s="1"/>
  <c r="GS240" i="55"/>
  <c r="R102" i="55"/>
  <c r="FQ254" i="55"/>
  <c r="FI254" i="55"/>
  <c r="FJ254" i="55"/>
  <c r="FP254" i="55"/>
  <c r="FM254" i="55"/>
  <c r="FL254" i="55"/>
  <c r="FO254" i="55"/>
  <c r="FN254" i="55"/>
  <c r="FK254" i="55"/>
  <c r="FQ350" i="55"/>
  <c r="FI350" i="55"/>
  <c r="FJ350" i="55"/>
  <c r="FL350" i="55"/>
  <c r="FN350" i="55"/>
  <c r="FH350" i="55"/>
  <c r="FO350" i="55"/>
  <c r="FK350" i="55"/>
  <c r="FP350" i="55"/>
  <c r="FM350" i="55"/>
  <c r="CE107" i="55" a="1"/>
  <c r="CE107" i="55" s="1"/>
  <c r="CZ28" i="55"/>
  <c r="DA28" i="55" s="1"/>
  <c r="FY92" i="55"/>
  <c r="FX92" i="55" a="1"/>
  <c r="FX92" i="55" s="1"/>
  <c r="FZ92" i="55" s="1"/>
  <c r="CE92" i="55" a="1"/>
  <c r="CE92" i="55" s="1"/>
  <c r="EK92" i="55" s="1"/>
  <c r="GG140" i="55"/>
  <c r="GD140" i="55"/>
  <c r="CE140" i="55" a="1"/>
  <c r="CE140" i="55" s="1"/>
  <c r="EK140" i="55" s="1"/>
  <c r="FY204" i="55"/>
  <c r="FX204" i="55" a="1"/>
  <c r="FX204" i="55" s="1"/>
  <c r="CE204" i="55" a="1"/>
  <c r="CE204" i="55" s="1"/>
  <c r="DH236" i="55"/>
  <c r="DX236" i="55" s="1"/>
  <c r="DG236" i="55" a="1"/>
  <c r="DG236" i="55" s="1"/>
  <c r="DE236" i="55" a="1"/>
  <c r="DE236" i="55" s="1"/>
  <c r="DF236" i="55" a="1"/>
  <c r="DF236" i="55" s="1"/>
  <c r="DH252" i="55"/>
  <c r="DX252" i="55" s="1"/>
  <c r="DF252" i="55" a="1"/>
  <c r="DF252" i="55" s="1"/>
  <c r="DG252" i="55" a="1"/>
  <c r="DG252" i="55" s="1"/>
  <c r="DE252" i="55" a="1"/>
  <c r="DE252" i="55" s="1"/>
  <c r="DH348" i="55"/>
  <c r="DX348" i="55" s="1"/>
  <c r="DF348" i="55" a="1"/>
  <c r="DF348" i="55" s="1"/>
  <c r="DG348" i="55" a="1"/>
  <c r="DG348" i="55" s="1"/>
  <c r="DE348" i="55" a="1"/>
  <c r="DE348" i="55" s="1"/>
  <c r="CE114" i="55" a="1"/>
  <c r="CE114" i="55" s="1"/>
  <c r="GP159" i="55"/>
  <c r="FP112" i="55"/>
  <c r="FH112" i="55"/>
  <c r="FL112" i="55" s="1"/>
  <c r="FQ112" i="55"/>
  <c r="FI112" i="55"/>
  <c r="FM112" i="55"/>
  <c r="FR112" i="55"/>
  <c r="FJ112" i="55"/>
  <c r="FK112" i="55"/>
  <c r="FN112" i="55"/>
  <c r="FO112" i="55"/>
  <c r="CE240" i="55" a="1"/>
  <c r="CE240" i="55" s="1"/>
  <c r="EY303" i="55"/>
  <c r="FO178" i="55"/>
  <c r="FP178" i="55"/>
  <c r="FL178" i="55"/>
  <c r="FN178" i="55"/>
  <c r="FQ178" i="55"/>
  <c r="FM178" i="55"/>
  <c r="FR178" i="55"/>
  <c r="FJ178" i="55"/>
  <c r="FI178" i="55"/>
  <c r="FK178" i="55"/>
  <c r="IX130" i="55" a="1"/>
  <c r="IX130" i="55" s="1"/>
  <c r="IY130" i="55" s="1"/>
  <c r="IV130" i="55" a="1"/>
  <c r="IV130" i="55" s="1"/>
  <c r="IW130" i="55" s="1"/>
  <c r="IR130" i="55" a="1"/>
  <c r="IR130" i="55" s="1"/>
  <c r="IS130" i="55" s="1"/>
  <c r="IP130" i="55" a="1"/>
  <c r="IP130" i="55" s="1"/>
  <c r="IQ130" i="55" s="1"/>
  <c r="IN130" i="55" a="1"/>
  <c r="IN130" i="55" s="1"/>
  <c r="IO130" i="55" s="1"/>
  <c r="IT130" i="55" a="1"/>
  <c r="IT130" i="55" s="1"/>
  <c r="IU130" i="55" s="1"/>
  <c r="HV3" i="55"/>
  <c r="BX15" i="54" a="1"/>
  <c r="BX15" i="54" s="1"/>
  <c r="V15" i="54" a="1"/>
  <c r="V15" i="54" s="1"/>
  <c r="AJ15" i="54" a="1"/>
  <c r="AJ15" i="54" s="1"/>
  <c r="B15" i="54" s="1"/>
  <c r="AG15" i="54" s="1"/>
  <c r="FO147" i="55"/>
  <c r="FP147" i="55"/>
  <c r="FH147" i="55"/>
  <c r="FL147" i="55" s="1"/>
  <c r="FK147" i="55"/>
  <c r="FR147" i="55"/>
  <c r="FM147" i="55"/>
  <c r="FQ147" i="55"/>
  <c r="FN147" i="55"/>
  <c r="FJ147" i="55"/>
  <c r="FI147" i="55"/>
  <c r="GD4" i="55"/>
  <c r="GE4" i="55" s="1" a="1"/>
  <c r="GE4" i="55" s="1"/>
  <c r="GF4" i="55" s="1"/>
  <c r="HV4" i="55"/>
  <c r="CZ20" i="55"/>
  <c r="DA20" i="55" s="1"/>
  <c r="CZ36" i="55"/>
  <c r="DA36" i="55" s="1"/>
  <c r="DM36" i="55" s="1"/>
  <c r="DE84" i="55" a="1"/>
  <c r="DE84" i="55" s="1"/>
  <c r="DF84" i="55" a="1"/>
  <c r="DF84" i="55" s="1"/>
  <c r="DH84" i="55"/>
  <c r="DX84" i="55" s="1"/>
  <c r="DG84" i="55" a="1"/>
  <c r="DG84" i="55" s="1"/>
  <c r="FY116" i="55"/>
  <c r="FX116" i="55" a="1"/>
  <c r="FX116" i="55" s="1"/>
  <c r="GD164" i="55"/>
  <c r="GE164" i="55" s="1" a="1"/>
  <c r="GE164" i="55" s="1"/>
  <c r="GF164" i="55" s="1"/>
  <c r="GG164" i="55"/>
  <c r="BQ164" i="55"/>
  <c r="CE164" i="55" a="1"/>
  <c r="CE164" i="55" s="1"/>
  <c r="O164" i="55" s="1" a="1"/>
  <c r="O164" i="55" s="1"/>
  <c r="CZ196" i="55"/>
  <c r="DA196" i="55" s="1"/>
  <c r="CZ212" i="55"/>
  <c r="DA212" i="55" s="1"/>
  <c r="DM212" i="55" s="1"/>
  <c r="DE276" i="55" a="1"/>
  <c r="DE276" i="55" s="1"/>
  <c r="DF276" i="55" a="1"/>
  <c r="DF276" i="55" s="1"/>
  <c r="DH276" i="55"/>
  <c r="DX276" i="55" s="1"/>
  <c r="DG276" i="55" a="1"/>
  <c r="DG276" i="55" s="1"/>
  <c r="EY62" i="55"/>
  <c r="R190" i="55"/>
  <c r="EY334" i="55"/>
  <c r="R334" i="55" s="1"/>
  <c r="FY136" i="55"/>
  <c r="FX136" i="55" a="1"/>
  <c r="FX136" i="55" s="1"/>
  <c r="GX184" i="55"/>
  <c r="GY184" i="55"/>
  <c r="DH280" i="55"/>
  <c r="DG280" i="55" a="1"/>
  <c r="DG280" i="55" s="1"/>
  <c r="DE280" i="55" a="1"/>
  <c r="DE280" i="55" s="1"/>
  <c r="DF280" i="55" a="1"/>
  <c r="DF280" i="55" s="1"/>
  <c r="DH296" i="55"/>
  <c r="DX296" i="55" s="1"/>
  <c r="DE296" i="55" a="1"/>
  <c r="DE296" i="55" s="1"/>
  <c r="DF296" i="55" a="1"/>
  <c r="DF296" i="55" s="1"/>
  <c r="DG296" i="55" a="1"/>
  <c r="DG296" i="55" s="1"/>
  <c r="FX344" i="55" a="1"/>
  <c r="FX344" i="55" s="1"/>
  <c r="FY344" i="55"/>
  <c r="CE344" i="55" a="1"/>
  <c r="CE344" i="55" s="1"/>
  <c r="FR344" i="55" s="1"/>
  <c r="DG89" i="55" a="1"/>
  <c r="DG89" i="55" s="1"/>
  <c r="DE89" i="55" a="1"/>
  <c r="DE89" i="55" s="1"/>
  <c r="DF89" i="55" a="1"/>
  <c r="DF89" i="55" s="1"/>
  <c r="DH89" i="55"/>
  <c r="DX89" i="55" s="1"/>
  <c r="CZ169" i="55"/>
  <c r="DA169" i="55" s="1"/>
  <c r="DM169" i="55" s="1"/>
  <c r="DQ169" i="55" s="1"/>
  <c r="DG185" i="55" a="1"/>
  <c r="DG185" i="55" s="1"/>
  <c r="DH185" i="55"/>
  <c r="DX185" i="55" s="1"/>
  <c r="DF185" i="55" a="1"/>
  <c r="DF185" i="55" s="1"/>
  <c r="DE185" i="55" a="1"/>
  <c r="DE185" i="55" s="1"/>
  <c r="GG233" i="55"/>
  <c r="GD233" i="55"/>
  <c r="GE233" i="55" s="1" a="1"/>
  <c r="GE233" i="55" s="1"/>
  <c r="GF233" i="55" s="1"/>
  <c r="BQ233" i="55"/>
  <c r="CE233" i="55" a="1"/>
  <c r="CE233" i="55" s="1"/>
  <c r="EK233" i="55" s="1"/>
  <c r="DG249" i="55" a="1"/>
  <c r="DG249" i="55" s="1"/>
  <c r="DH249" i="55"/>
  <c r="DX249" i="55" s="1"/>
  <c r="DE249" i="55" a="1"/>
  <c r="DE249" i="55" s="1"/>
  <c r="DF249" i="55" a="1"/>
  <c r="DF249" i="55" s="1"/>
  <c r="FX265" i="55" a="1"/>
  <c r="FX265" i="55" s="1"/>
  <c r="FY265" i="55"/>
  <c r="JW136" i="55"/>
  <c r="IC136" i="55"/>
  <c r="GB136" i="55"/>
  <c r="GC136" i="55" s="1"/>
  <c r="DX136" i="55"/>
  <c r="DS136" i="55"/>
  <c r="CR136" i="55" a="1"/>
  <c r="CR136" i="55" s="1"/>
  <c r="V136" i="55"/>
  <c r="U136" i="55"/>
  <c r="IC137" i="55"/>
  <c r="DH138" i="55"/>
  <c r="DE138" i="55" a="1"/>
  <c r="DE138" i="55" s="1"/>
  <c r="DG138" i="55" a="1"/>
  <c r="DG138" i="55" s="1"/>
  <c r="DF138" i="55" a="1"/>
  <c r="DF138" i="55" s="1"/>
  <c r="FA186" i="55"/>
  <c r="EL186" i="55"/>
  <c r="FX218" i="55" a="1"/>
  <c r="FX218" i="55" s="1"/>
  <c r="FY218" i="55"/>
  <c r="GX234" i="55"/>
  <c r="GY234" i="55"/>
  <c r="FX250" i="55" a="1"/>
  <c r="FX250" i="55" s="1"/>
  <c r="FY250" i="55"/>
  <c r="DH266" i="55"/>
  <c r="DX266" i="55" s="1"/>
  <c r="DE266" i="55" a="1"/>
  <c r="DE266" i="55" s="1"/>
  <c r="DG266" i="55" a="1"/>
  <c r="DG266" i="55" s="1"/>
  <c r="DF266" i="55" a="1"/>
  <c r="DF266" i="55" s="1"/>
  <c r="FQ191" i="55"/>
  <c r="FI191" i="55"/>
  <c r="FJ191" i="55"/>
  <c r="FK191" i="55"/>
  <c r="FP191" i="55"/>
  <c r="FM191" i="55"/>
  <c r="FL191" i="55"/>
  <c r="FN191" i="55"/>
  <c r="FO191" i="55"/>
  <c r="FA185" i="55"/>
  <c r="FB185" i="55"/>
  <c r="GG27" i="55"/>
  <c r="GD27" i="55"/>
  <c r="CE27" i="55" a="1"/>
  <c r="CE27" i="55" s="1"/>
  <c r="FX59" i="55" a="1"/>
  <c r="FX59" i="55" s="1"/>
  <c r="FY59" i="55"/>
  <c r="DF75" i="55" a="1"/>
  <c r="DF75" i="55" s="1"/>
  <c r="DH75" i="55"/>
  <c r="DX75" i="55" s="1"/>
  <c r="DG75" i="55" a="1"/>
  <c r="DG75" i="55" s="1"/>
  <c r="DE75" i="55" a="1"/>
  <c r="DE75" i="55" s="1"/>
  <c r="FB267" i="55"/>
  <c r="FA267" i="55"/>
  <c r="IE294" i="55" a="1"/>
  <c r="IE294" i="55" s="1"/>
  <c r="ID294" i="55" a="1"/>
  <c r="ID294" i="55" s="1"/>
  <c r="GY32" i="55"/>
  <c r="GX32" i="55"/>
  <c r="GD80" i="55"/>
  <c r="GG80" i="55"/>
  <c r="O80" i="55" a="1"/>
  <c r="O80" i="55" s="1"/>
  <c r="EV80" i="55" s="1"/>
  <c r="EW80" i="55" s="1"/>
  <c r="CE348" i="55" a="1"/>
  <c r="CE348" i="55" s="1"/>
  <c r="GD82" i="55"/>
  <c r="GG82" i="55"/>
  <c r="O82" i="55" a="1"/>
  <c r="O82" i="55" s="1"/>
  <c r="GX114" i="55"/>
  <c r="GY114" i="55"/>
  <c r="BQ216" i="55"/>
  <c r="GL344" i="55"/>
  <c r="FY30" i="55"/>
  <c r="FX30" i="55" a="1"/>
  <c r="FX30" i="55" s="1"/>
  <c r="FZ30" i="55" s="1"/>
  <c r="S54" i="55"/>
  <c r="GP54" i="55"/>
  <c r="JW163" i="55"/>
  <c r="IC163" i="55"/>
  <c r="FW163" i="55"/>
  <c r="GB163" i="55"/>
  <c r="GC163" i="55" s="1"/>
  <c r="CR163" i="55" a="1"/>
  <c r="CR163" i="55" s="1"/>
  <c r="CS163" i="55"/>
  <c r="DS163" i="55"/>
  <c r="V163" i="55"/>
  <c r="U163" i="55"/>
  <c r="GL81" i="55"/>
  <c r="O81" i="55" a="1"/>
  <c r="O81" i="55" s="1"/>
  <c r="GL177" i="55"/>
  <c r="GL273" i="55"/>
  <c r="IC49" i="55"/>
  <c r="GT49" i="55"/>
  <c r="JW49" i="55"/>
  <c r="GB49" i="55"/>
  <c r="GC49" i="55" s="1"/>
  <c r="GE49" i="55" s="1" a="1"/>
  <c r="GE49" i="55" s="1"/>
  <c r="GF49" i="55" s="1"/>
  <c r="DX49" i="55"/>
  <c r="DS49" i="55"/>
  <c r="U49" i="55"/>
  <c r="CR49" i="55" a="1"/>
  <c r="CR49" i="55" s="1"/>
  <c r="CS49" i="55" s="1"/>
  <c r="V49" i="55"/>
  <c r="U270" i="55"/>
  <c r="V270" i="55"/>
  <c r="GY223" i="55"/>
  <c r="GX223" i="55"/>
  <c r="GE80" i="55" a="1"/>
  <c r="GE80" i="55" s="1"/>
  <c r="GF80" i="55" s="1"/>
  <c r="IE160" i="55" a="1"/>
  <c r="IE160" i="55" s="1"/>
  <c r="ID160" i="55" a="1"/>
  <c r="ID160" i="55" s="1"/>
  <c r="IC288" i="55"/>
  <c r="CT304" i="55" a="1"/>
  <c r="CT304" i="55" s="1"/>
  <c r="CU304" i="55" a="1"/>
  <c r="CU304" i="55" s="1"/>
  <c r="EY176" i="55"/>
  <c r="R288" i="55"/>
  <c r="GD31" i="55"/>
  <c r="GE31" i="55" s="1" a="1"/>
  <c r="GE31" i="55" s="1"/>
  <c r="GF31" i="55" s="1"/>
  <c r="T31" i="55"/>
  <c r="HV31" i="55"/>
  <c r="GG255" i="55"/>
  <c r="GD255" i="55"/>
  <c r="GE255" i="55" s="1" a="1"/>
  <c r="GE255" i="55" s="1"/>
  <c r="GF255" i="55" s="1"/>
  <c r="BQ255" i="55"/>
  <c r="CE255" i="55" a="1"/>
  <c r="CE255" i="55" s="1"/>
  <c r="GX351" i="55"/>
  <c r="GY351" i="55"/>
  <c r="JW321" i="55"/>
  <c r="IC321" i="55"/>
  <c r="GB321" i="55"/>
  <c r="GC321" i="55" s="1"/>
  <c r="GE321" i="55" s="1" a="1"/>
  <c r="GE321" i="55" s="1"/>
  <c r="GF321" i="55" s="1"/>
  <c r="FW321" i="55"/>
  <c r="DX321" i="55"/>
  <c r="CR321" i="55" a="1"/>
  <c r="CR321" i="55" s="1"/>
  <c r="DS321" i="55"/>
  <c r="V321" i="55"/>
  <c r="U321" i="55"/>
  <c r="V48" i="55"/>
  <c r="U48" i="55"/>
  <c r="V256" i="55"/>
  <c r="U256" i="55"/>
  <c r="U336" i="55"/>
  <c r="V336" i="55"/>
  <c r="R321" i="55"/>
  <c r="GS79" i="55"/>
  <c r="GE87" i="55" a="1"/>
  <c r="GE87" i="55" s="1"/>
  <c r="GF87" i="55" s="1"/>
  <c r="FZ79" i="55"/>
  <c r="GS164" i="55"/>
  <c r="ID183" i="55" a="1"/>
  <c r="ID183" i="55" s="1"/>
  <c r="IE183" i="55" a="1"/>
  <c r="IE183" i="55" s="1"/>
  <c r="EL164" i="55"/>
  <c r="JW345" i="55"/>
  <c r="IC345" i="55"/>
  <c r="GB345" i="55"/>
  <c r="GC345" i="55" s="1"/>
  <c r="GE345" i="55" s="1" a="1"/>
  <c r="GE345" i="55" s="1"/>
  <c r="GF345" i="55" s="1"/>
  <c r="DS345" i="55"/>
  <c r="DX345" i="55"/>
  <c r="FW345" i="55"/>
  <c r="CR345" i="55" a="1"/>
  <c r="CR345" i="55" s="1"/>
  <c r="CS345" i="55"/>
  <c r="U345" i="55"/>
  <c r="V345" i="55"/>
  <c r="GS48" i="55"/>
  <c r="GX65" i="55"/>
  <c r="GY65" i="55"/>
  <c r="GX177" i="55"/>
  <c r="GY177" i="55"/>
  <c r="FX225" i="55" a="1"/>
  <c r="FX225" i="55" s="1"/>
  <c r="FY225" i="55"/>
  <c r="FX289" i="55" a="1"/>
  <c r="FX289" i="55" s="1"/>
  <c r="FY289" i="55"/>
  <c r="V231" i="55"/>
  <c r="GE351" i="55" a="1"/>
  <c r="GE351" i="55" s="1"/>
  <c r="GF351" i="55" s="1"/>
  <c r="GS91" i="55"/>
  <c r="GS219" i="55"/>
  <c r="GS112" i="55"/>
  <c r="IX88" i="55" a="1"/>
  <c r="IX88" i="55" s="1"/>
  <c r="IY88" i="55" s="1"/>
  <c r="IV88" i="55" a="1"/>
  <c r="IV88" i="55" s="1"/>
  <c r="IW88" i="55" s="1"/>
  <c r="IT88" i="55" a="1"/>
  <c r="IT88" i="55" s="1"/>
  <c r="IU88" i="55" s="1"/>
  <c r="IR88" i="55" a="1"/>
  <c r="IR88" i="55" s="1"/>
  <c r="IS88" i="55" s="1"/>
  <c r="IP88" i="55" a="1"/>
  <c r="IP88" i="55" s="1"/>
  <c r="IQ88" i="55" s="1"/>
  <c r="IN88" i="55" a="1"/>
  <c r="IN88" i="55" s="1"/>
  <c r="IO88" i="55" s="1"/>
  <c r="EL345" i="55"/>
  <c r="AY15" i="54"/>
  <c r="AZ15" i="54" s="1" a="1"/>
  <c r="AZ15" i="54" s="1"/>
  <c r="FK26" i="55"/>
  <c r="FL26" i="55"/>
  <c r="FN26" i="55"/>
  <c r="FP26" i="55"/>
  <c r="FJ26" i="55"/>
  <c r="FH26" i="55"/>
  <c r="FQ26" i="55"/>
  <c r="FM26" i="55"/>
  <c r="AN15" i="54" s="1"/>
  <c r="FR26" i="55"/>
  <c r="FO26" i="55"/>
  <c r="FI26" i="55"/>
  <c r="BQ234" i="55"/>
  <c r="CE282" i="55" a="1"/>
  <c r="CE282" i="55" s="1"/>
  <c r="JN337" i="55"/>
  <c r="JG337" i="55"/>
  <c r="IC4" i="55"/>
  <c r="GE52" i="55" a="1"/>
  <c r="GE52" i="55" s="1"/>
  <c r="GF52" i="55" s="1"/>
  <c r="CT212" i="55" a="1"/>
  <c r="CT212" i="55" s="1"/>
  <c r="CU212" i="55" a="1"/>
  <c r="CU212" i="55" s="1"/>
  <c r="CR260" i="55" a="1"/>
  <c r="CR260" i="55" s="1"/>
  <c r="GE308" i="55" a="1"/>
  <c r="GE308" i="55" s="1"/>
  <c r="GF308" i="55" s="1"/>
  <c r="FK43" i="55"/>
  <c r="FL43" i="55"/>
  <c r="FI43" i="55"/>
  <c r="FP43" i="55"/>
  <c r="FM43" i="55"/>
  <c r="FO43" i="55"/>
  <c r="FR43" i="55"/>
  <c r="FQ43" i="55"/>
  <c r="FN43" i="55"/>
  <c r="FJ43" i="55"/>
  <c r="FK91" i="55"/>
  <c r="FQ91" i="55"/>
  <c r="FN91" i="55"/>
  <c r="FI91" i="55"/>
  <c r="FO91" i="55"/>
  <c r="FP91" i="55"/>
  <c r="FJ91" i="55"/>
  <c r="FM91" i="55"/>
  <c r="FH91" i="55"/>
  <c r="FL91" i="55" s="1"/>
  <c r="FK315" i="55"/>
  <c r="FM315" i="55"/>
  <c r="FH315" i="55"/>
  <c r="FL315" i="55" s="1"/>
  <c r="FO315" i="55"/>
  <c r="FQ315" i="55"/>
  <c r="FJ315" i="55"/>
  <c r="FI315" i="55"/>
  <c r="FN315" i="55"/>
  <c r="FP315" i="55"/>
  <c r="CU318" i="55" a="1"/>
  <c r="CU318" i="55" s="1"/>
  <c r="CT318" i="55" a="1"/>
  <c r="CT318" i="55" s="1"/>
  <c r="ID198" i="55" a="1"/>
  <c r="ID198" i="55" s="1"/>
  <c r="IE198" i="55" a="1"/>
  <c r="IE198" i="55" s="1"/>
  <c r="CS117" i="55"/>
  <c r="ID133" i="55" a="1"/>
  <c r="ID133" i="55" s="1"/>
  <c r="IE133" i="55" a="1"/>
  <c r="IE133" i="55" s="1"/>
  <c r="FJ172" i="55"/>
  <c r="FK172" i="55"/>
  <c r="FI172" i="55"/>
  <c r="FQ172" i="55"/>
  <c r="FM172" i="55"/>
  <c r="FL172" i="55"/>
  <c r="FO172" i="55"/>
  <c r="FN172" i="55"/>
  <c r="FP172" i="55"/>
  <c r="CU126" i="55" a="1"/>
  <c r="CU126" i="55" s="1"/>
  <c r="CT126" i="55" a="1"/>
  <c r="CT126" i="55" s="1"/>
  <c r="ID126" i="55" a="1"/>
  <c r="ID126" i="55" s="1"/>
  <c r="IE126" i="55" a="1"/>
  <c r="IE126" i="55" s="1"/>
  <c r="CU199" i="55" a="1"/>
  <c r="CU199" i="55" s="1"/>
  <c r="CT199" i="55" a="1"/>
  <c r="CT199" i="55" s="1"/>
  <c r="FR221" i="55"/>
  <c r="FJ221" i="55"/>
  <c r="FK221" i="55"/>
  <c r="FL221" i="55"/>
  <c r="FQ221" i="55"/>
  <c r="FN221" i="55"/>
  <c r="FP221" i="55"/>
  <c r="FI221" i="55"/>
  <c r="FH221" i="55"/>
  <c r="FO221" i="55"/>
  <c r="FM221" i="55"/>
  <c r="FQ158" i="55"/>
  <c r="FI158" i="55"/>
  <c r="FJ158" i="55"/>
  <c r="FL158" i="55"/>
  <c r="FO158" i="55"/>
  <c r="FK158" i="55"/>
  <c r="FN158" i="55"/>
  <c r="FM158" i="55"/>
  <c r="FP158" i="55"/>
  <c r="CE254" i="55" a="1"/>
  <c r="CE254" i="55" s="1"/>
  <c r="FR254" i="55" s="1"/>
  <c r="FZ351" i="55"/>
  <c r="GY76" i="55"/>
  <c r="GX76" i="55"/>
  <c r="GG156" i="55"/>
  <c r="GD156" i="55"/>
  <c r="GY172" i="55"/>
  <c r="GX172" i="55"/>
  <c r="GG284" i="55"/>
  <c r="GD284" i="55"/>
  <c r="BQ284" i="55"/>
  <c r="CE284" i="55" a="1"/>
  <c r="CE284" i="55" s="1"/>
  <c r="O284" i="55" s="1" a="1"/>
  <c r="O284" i="55" s="1"/>
  <c r="FY148" i="55"/>
  <c r="FX148" i="55" a="1"/>
  <c r="FX148" i="55" s="1"/>
  <c r="FZ148" i="55" s="1"/>
  <c r="CE148" i="55" a="1"/>
  <c r="CE148" i="55" s="1"/>
  <c r="FR148" i="55" s="1"/>
  <c r="GP255" i="55"/>
  <c r="FP32" i="55"/>
  <c r="FQ32" i="55"/>
  <c r="FI32" i="55"/>
  <c r="FO32" i="55"/>
  <c r="FJ32" i="55"/>
  <c r="FM32" i="55"/>
  <c r="FL32" i="55"/>
  <c r="FR32" i="55"/>
  <c r="FN32" i="55"/>
  <c r="FK32" i="55"/>
  <c r="FP272" i="55"/>
  <c r="FQ272" i="55"/>
  <c r="FI272" i="55"/>
  <c r="FM272" i="55"/>
  <c r="FO272" i="55"/>
  <c r="FN272" i="55"/>
  <c r="FJ272" i="55"/>
  <c r="FK272" i="55"/>
  <c r="FL272" i="55"/>
  <c r="FB38" i="55"/>
  <c r="GS89" i="55"/>
  <c r="GS217" i="55"/>
  <c r="GS345" i="55"/>
  <c r="R239" i="55"/>
  <c r="GP97" i="55"/>
  <c r="FO226" i="55"/>
  <c r="FP226" i="55"/>
  <c r="FJ226" i="55"/>
  <c r="FM226" i="55"/>
  <c r="FI226" i="55"/>
  <c r="FR226" i="55"/>
  <c r="FN226" i="55"/>
  <c r="FQ226" i="55"/>
  <c r="FL226" i="55"/>
  <c r="FK226" i="55"/>
  <c r="GS22" i="55"/>
  <c r="GP274" i="55"/>
  <c r="BP23" i="54" a="1"/>
  <c r="BP23" i="54" s="1"/>
  <c r="BX23" i="54" a="1"/>
  <c r="BX23" i="54" s="1"/>
  <c r="AJ23" i="54" a="1"/>
  <c r="AJ23" i="54" s="1"/>
  <c r="B23" i="54" s="1"/>
  <c r="AG23" i="54" s="1"/>
  <c r="BL23" i="54" a="1"/>
  <c r="BL23" i="54" s="1"/>
  <c r="V23" i="54" a="1"/>
  <c r="V23" i="54" s="1"/>
  <c r="FO259" i="55"/>
  <c r="FP259" i="55"/>
  <c r="FI259" i="55"/>
  <c r="FN259" i="55"/>
  <c r="FK259" i="55"/>
  <c r="FQ259" i="55"/>
  <c r="FJ259" i="55"/>
  <c r="FL259" i="55"/>
  <c r="FM259" i="55"/>
  <c r="FR259" i="55"/>
  <c r="FO307" i="55"/>
  <c r="FP307" i="55"/>
  <c r="FQ307" i="55"/>
  <c r="FL307" i="55"/>
  <c r="FI307" i="55"/>
  <c r="FM307" i="55"/>
  <c r="FK307" i="55"/>
  <c r="FJ307" i="55"/>
  <c r="FN307" i="55"/>
  <c r="FR307" i="55"/>
  <c r="GD84" i="55"/>
  <c r="GG84" i="55"/>
  <c r="BQ84" i="55"/>
  <c r="CE84" i="55" a="1"/>
  <c r="CE84" i="55" s="1"/>
  <c r="EK84" i="55" s="1"/>
  <c r="GY100" i="55"/>
  <c r="GX100" i="55"/>
  <c r="CZ116" i="55"/>
  <c r="DA116" i="55" s="1"/>
  <c r="GY180" i="55"/>
  <c r="GX180" i="55"/>
  <c r="DE212" i="55" a="1"/>
  <c r="DE212" i="55" s="1"/>
  <c r="DF212" i="55" a="1"/>
  <c r="DF212" i="55" s="1"/>
  <c r="DG212" i="55" a="1"/>
  <c r="DG212" i="55" s="1"/>
  <c r="DH212" i="55"/>
  <c r="DX212" i="55" s="1"/>
  <c r="R126" i="55"/>
  <c r="EY270" i="55"/>
  <c r="FA246" i="55"/>
  <c r="EL246" i="55"/>
  <c r="FX40" i="55" a="1"/>
  <c r="FX40" i="55" s="1"/>
  <c r="FY40" i="55"/>
  <c r="DH168" i="55"/>
  <c r="DX168" i="55" s="1"/>
  <c r="DE168" i="55" a="1"/>
  <c r="DE168" i="55" s="1"/>
  <c r="DF168" i="55" a="1"/>
  <c r="DF168" i="55" s="1"/>
  <c r="DG168" i="55" a="1"/>
  <c r="DG168" i="55" s="1"/>
  <c r="DH264" i="55"/>
  <c r="DX264" i="55" s="1"/>
  <c r="DE264" i="55" a="1"/>
  <c r="DE264" i="55" s="1"/>
  <c r="DF264" i="55" a="1"/>
  <c r="DF264" i="55" s="1"/>
  <c r="DG264" i="55" a="1"/>
  <c r="DG264" i="55" s="1"/>
  <c r="GX280" i="55"/>
  <c r="GY280" i="55"/>
  <c r="GX296" i="55"/>
  <c r="GY296" i="55"/>
  <c r="V23" i="55"/>
  <c r="U23" i="55"/>
  <c r="JW248" i="55"/>
  <c r="IC248" i="55"/>
  <c r="GB248" i="55"/>
  <c r="GC248" i="55" s="1"/>
  <c r="GE248" i="55" s="1" a="1"/>
  <c r="GE248" i="55" s="1"/>
  <c r="GF248" i="55" s="1"/>
  <c r="DS248" i="55"/>
  <c r="DX248" i="55"/>
  <c r="CR248" i="55" a="1"/>
  <c r="CR248" i="55" s="1"/>
  <c r="CS248" i="55" s="1"/>
  <c r="U248" i="55"/>
  <c r="V248" i="55"/>
  <c r="GS261" i="55"/>
  <c r="GG221" i="55"/>
  <c r="GD221" i="55"/>
  <c r="O221" i="55" a="1"/>
  <c r="O221" i="55" s="1"/>
  <c r="CE156" i="55" a="1"/>
  <c r="CE156" i="55" s="1"/>
  <c r="O156" i="55" s="1" a="1"/>
  <c r="O156" i="55" s="1"/>
  <c r="GX41" i="55"/>
  <c r="GY41" i="55"/>
  <c r="GX249" i="55"/>
  <c r="GY249" i="55"/>
  <c r="GX265" i="55"/>
  <c r="GY265" i="55"/>
  <c r="FX329" i="55" a="1"/>
  <c r="FX329" i="55" s="1"/>
  <c r="FY329" i="55"/>
  <c r="GX345" i="55"/>
  <c r="GY345" i="55"/>
  <c r="GS86" i="55"/>
  <c r="GS214" i="55"/>
  <c r="GY122" i="55"/>
  <c r="GX122" i="55"/>
  <c r="FY11" i="55"/>
  <c r="FX11" i="55" a="1"/>
  <c r="FX11" i="55" s="1"/>
  <c r="GX157" i="55"/>
  <c r="GY157" i="55"/>
  <c r="GS269" i="55"/>
  <c r="EY59" i="55"/>
  <c r="R59" i="55" s="1"/>
  <c r="DE352" i="55" a="1"/>
  <c r="DE352" i="55" s="1"/>
  <c r="DG352" i="55" a="1"/>
  <c r="DG352" i="55" s="1"/>
  <c r="DF352" i="55" a="1"/>
  <c r="DF352" i="55" s="1"/>
  <c r="DH352" i="55"/>
  <c r="DX352" i="55" s="1"/>
  <c r="CR352" i="55" a="1"/>
  <c r="CR352" i="55" s="1"/>
  <c r="FA34" i="55"/>
  <c r="EL34" i="55"/>
  <c r="BK3" i="40" a="1"/>
  <c r="BK3" i="40" s="1"/>
  <c r="GG135" i="55"/>
  <c r="GD135" i="55"/>
  <c r="GE135" i="55" s="1" a="1"/>
  <c r="GE135" i="55" s="1"/>
  <c r="GF135" i="55" s="1"/>
  <c r="BQ135" i="55"/>
  <c r="CE135" i="55" a="1"/>
  <c r="CE135" i="55" s="1"/>
  <c r="GX183" i="55"/>
  <c r="GY183" i="55"/>
  <c r="GX279" i="55"/>
  <c r="GY279" i="55"/>
  <c r="FA86" i="55"/>
  <c r="EL86" i="55"/>
  <c r="DE150" i="55" a="1"/>
  <c r="DE150" i="55" s="1"/>
  <c r="DG150" i="55" a="1"/>
  <c r="DG150" i="55" s="1"/>
  <c r="DF150" i="55" a="1"/>
  <c r="DF150" i="55" s="1"/>
  <c r="DH150" i="55"/>
  <c r="DX150" i="55" s="1"/>
  <c r="FY198" i="55"/>
  <c r="FX198" i="55" a="1"/>
  <c r="FX198" i="55" s="1"/>
  <c r="FZ198" i="55" s="1"/>
  <c r="CE198" i="55" a="1"/>
  <c r="CE198" i="55" s="1"/>
  <c r="EK198" i="55" s="1"/>
  <c r="JW205" i="55"/>
  <c r="IC205" i="55"/>
  <c r="GB205" i="55"/>
  <c r="GC205" i="55" s="1"/>
  <c r="GE205" i="55" s="1" a="1"/>
  <c r="GE205" i="55" s="1"/>
  <c r="GF205" i="55" s="1"/>
  <c r="CR205" i="55" a="1"/>
  <c r="CR205" i="55" s="1"/>
  <c r="CS205" i="55"/>
  <c r="FW205" i="55"/>
  <c r="V205" i="55"/>
  <c r="U205" i="55"/>
  <c r="DS205" i="55"/>
  <c r="CE216" i="55" a="1"/>
  <c r="CE216" i="55" s="1"/>
  <c r="FR216" i="55" s="1"/>
  <c r="CA3" i="40" a="1"/>
  <c r="CA3" i="40" s="1"/>
  <c r="GP244" i="55"/>
  <c r="S244" i="55"/>
  <c r="GY205" i="55"/>
  <c r="GX205" i="55"/>
  <c r="GX237" i="55"/>
  <c r="GY237" i="55"/>
  <c r="GY13" i="55"/>
  <c r="GX13" i="55"/>
  <c r="JW155" i="55"/>
  <c r="IC155" i="55"/>
  <c r="DS155" i="55"/>
  <c r="FW155" i="55"/>
  <c r="CR155" i="55" a="1"/>
  <c r="CR155" i="55" s="1"/>
  <c r="GB155" i="55"/>
  <c r="GC155" i="55" s="1"/>
  <c r="GE155" i="55" s="1" a="1"/>
  <c r="GE155" i="55" s="1"/>
  <c r="GF155" i="55" s="1"/>
  <c r="CS155" i="55"/>
  <c r="CZ155" i="55" s="1"/>
  <c r="DA155" i="55" s="1"/>
  <c r="GT155" i="55" s="1"/>
  <c r="V155" i="55"/>
  <c r="U155" i="55"/>
  <c r="FZ321" i="55"/>
  <c r="JG47" i="55"/>
  <c r="JN47" i="55"/>
  <c r="DF80" i="55" a="1"/>
  <c r="DF80" i="55" s="1"/>
  <c r="DH80" i="55"/>
  <c r="DX80" i="55" s="1"/>
  <c r="DG80" i="55" a="1"/>
  <c r="DG80" i="55" s="1"/>
  <c r="DE80" i="55" a="1"/>
  <c r="DE80" i="55" s="1"/>
  <c r="DF112" i="55" a="1"/>
  <c r="DF112" i="55" s="1"/>
  <c r="DG112" i="55" a="1"/>
  <c r="DG112" i="55" s="1"/>
  <c r="DH112" i="55"/>
  <c r="DX112" i="55" s="1"/>
  <c r="DE112" i="55" a="1"/>
  <c r="DE112" i="55" s="1"/>
  <c r="GY128" i="55"/>
  <c r="GX128" i="55"/>
  <c r="CZ192" i="55"/>
  <c r="DA192" i="55" s="1"/>
  <c r="DF208" i="55" a="1"/>
  <c r="DF208" i="55" s="1"/>
  <c r="DH208" i="55"/>
  <c r="DX208" i="55" s="1"/>
  <c r="DG208" i="55" a="1"/>
  <c r="DG208" i="55" s="1"/>
  <c r="DE208" i="55" a="1"/>
  <c r="DE208" i="55" s="1"/>
  <c r="IC208" i="55"/>
  <c r="FY224" i="55"/>
  <c r="FX224" i="55" a="1"/>
  <c r="FX224" i="55" s="1"/>
  <c r="FZ224" i="55" s="1"/>
  <c r="FY240" i="55"/>
  <c r="FX240" i="55" a="1"/>
  <c r="FX240" i="55" s="1"/>
  <c r="FZ240" i="55" s="1"/>
  <c r="FB35" i="55"/>
  <c r="FA35" i="55"/>
  <c r="FA99" i="55"/>
  <c r="FB99" i="55"/>
  <c r="EL99" i="55"/>
  <c r="FA115" i="55"/>
  <c r="FB115" i="55"/>
  <c r="DF339" i="55" a="1"/>
  <c r="DF339" i="55" s="1"/>
  <c r="DE339" i="55" a="1"/>
  <c r="DE339" i="55" s="1"/>
  <c r="DH339" i="55"/>
  <c r="DX339" i="55" s="1"/>
  <c r="DG339" i="55" a="1"/>
  <c r="DG339" i="55" s="1"/>
  <c r="GE39" i="55" a="1"/>
  <c r="GE39" i="55" s="1"/>
  <c r="GF39" i="55" s="1"/>
  <c r="GS348" i="55"/>
  <c r="FA82" i="55"/>
  <c r="EL82" i="55"/>
  <c r="GY98" i="55"/>
  <c r="GX98" i="55"/>
  <c r="GY258" i="55"/>
  <c r="GX258" i="55"/>
  <c r="CZ102" i="55"/>
  <c r="DA102" i="55" s="1"/>
  <c r="GD262" i="55"/>
  <c r="GE262" i="55" s="1" a="1"/>
  <c r="GE262" i="55" s="1"/>
  <c r="GF262" i="55" s="1"/>
  <c r="GG262" i="55"/>
  <c r="CE262" i="55" a="1"/>
  <c r="CE262" i="55" s="1"/>
  <c r="FN148" i="55"/>
  <c r="FO148" i="55"/>
  <c r="FK148" i="55"/>
  <c r="FQ148" i="55"/>
  <c r="FJ148" i="55"/>
  <c r="FM148" i="55"/>
  <c r="FI148" i="55"/>
  <c r="FH148" i="55"/>
  <c r="FL148" i="55" s="1"/>
  <c r="FP148" i="55"/>
  <c r="CZ311" i="55"/>
  <c r="DA311" i="55" s="1"/>
  <c r="FA118" i="55"/>
  <c r="EL118" i="55"/>
  <c r="DE21" i="55" a="1"/>
  <c r="DE21" i="55" s="1"/>
  <c r="DG21" i="55" a="1"/>
  <c r="DG21" i="55" s="1"/>
  <c r="DH21" i="55"/>
  <c r="DX21" i="55" s="1"/>
  <c r="DF21" i="55" a="1"/>
  <c r="DF21" i="55" s="1"/>
  <c r="GG150" i="55"/>
  <c r="GD150" i="55"/>
  <c r="GE150" i="55" s="1" a="1"/>
  <c r="GE150" i="55" s="1"/>
  <c r="GF150" i="55" s="1"/>
  <c r="CE150" i="55" a="1"/>
  <c r="CE150" i="55" s="1"/>
  <c r="O150" i="55" s="1" a="1"/>
  <c r="O150" i="55" s="1"/>
  <c r="GD215" i="55"/>
  <c r="GE215" i="55" s="1" a="1"/>
  <c r="GE215" i="55" s="1"/>
  <c r="GF215" i="55" s="1"/>
  <c r="GG215" i="55"/>
  <c r="CE215" i="55" a="1"/>
  <c r="CE215" i="55" s="1"/>
  <c r="O215" i="55" s="1" a="1"/>
  <c r="O215" i="55" s="1"/>
  <c r="BQ215" i="55"/>
  <c r="FY327" i="55"/>
  <c r="FX327" i="55" a="1"/>
  <c r="FX327" i="55" s="1"/>
  <c r="CE327" i="55" a="1"/>
  <c r="CE327" i="55" s="1"/>
  <c r="O327" i="55" s="1" a="1"/>
  <c r="O327" i="55" s="1"/>
  <c r="FM327" i="55"/>
  <c r="FN327" i="55"/>
  <c r="FQ327" i="55"/>
  <c r="FI327" i="55"/>
  <c r="FO327" i="55"/>
  <c r="FH327" i="55"/>
  <c r="FL327" i="55" s="1"/>
  <c r="FK327" i="55"/>
  <c r="FJ327" i="55"/>
  <c r="FP327" i="55"/>
  <c r="JW186" i="55"/>
  <c r="IC186" i="55"/>
  <c r="GB186" i="55"/>
  <c r="GC186" i="55" s="1"/>
  <c r="FW186" i="55"/>
  <c r="DS186" i="55"/>
  <c r="DX186" i="55"/>
  <c r="CR186" i="55" a="1"/>
  <c r="CR186" i="55" s="1"/>
  <c r="V186" i="55"/>
  <c r="U186" i="55"/>
  <c r="GX158" i="55"/>
  <c r="GY158" i="55"/>
  <c r="GX286" i="55"/>
  <c r="GY286" i="55"/>
  <c r="DH237" i="55"/>
  <c r="DX237" i="55" s="1"/>
  <c r="DE237" i="55" a="1"/>
  <c r="DE237" i="55" s="1"/>
  <c r="DG237" i="55" a="1"/>
  <c r="DG237" i="55" s="1"/>
  <c r="DF237" i="55" a="1"/>
  <c r="DF237" i="55" s="1"/>
  <c r="IC237" i="55"/>
  <c r="DH253" i="55"/>
  <c r="DX253" i="55" s="1"/>
  <c r="DE253" i="55" a="1"/>
  <c r="DE253" i="55" s="1"/>
  <c r="DF253" i="55" a="1"/>
  <c r="DF253" i="55" s="1"/>
  <c r="DG253" i="55" a="1"/>
  <c r="DG253" i="55" s="1"/>
  <c r="FY45" i="55"/>
  <c r="FX45" i="55" a="1"/>
  <c r="FX45" i="55" s="1"/>
  <c r="FY77" i="55"/>
  <c r="FX77" i="55" a="1"/>
  <c r="FX77" i="55" s="1"/>
  <c r="FX128" i="55" a="1"/>
  <c r="FX128" i="55" s="1"/>
  <c r="FY128" i="55"/>
  <c r="GX176" i="55"/>
  <c r="GY176" i="55"/>
  <c r="FA131" i="55"/>
  <c r="FB131" i="55"/>
  <c r="FX211" i="55" a="1"/>
  <c r="FX211" i="55" s="1"/>
  <c r="FY211" i="55"/>
  <c r="DF259" i="55" a="1"/>
  <c r="DF259" i="55" s="1"/>
  <c r="DE259" i="55" a="1"/>
  <c r="DE259" i="55" s="1"/>
  <c r="DG259" i="55" a="1"/>
  <c r="DG259" i="55" s="1"/>
  <c r="DH259" i="55"/>
  <c r="DX259" i="55" s="1"/>
  <c r="CU302" i="55" a="1"/>
  <c r="CU302" i="55" s="1"/>
  <c r="CT302" i="55" a="1"/>
  <c r="CT302" i="55" s="1"/>
  <c r="CS302" i="55"/>
  <c r="GD167" i="55"/>
  <c r="GE167" i="55" s="1" a="1"/>
  <c r="GE167" i="55" s="1"/>
  <c r="GF167" i="55" s="1"/>
  <c r="GG167" i="55"/>
  <c r="FA51" i="55"/>
  <c r="FB51" i="55"/>
  <c r="GY115" i="55"/>
  <c r="GX115" i="55"/>
  <c r="FX34" i="55" a="1"/>
  <c r="FX34" i="55" s="1"/>
  <c r="FY34" i="55"/>
  <c r="FA98" i="55"/>
  <c r="EL98" i="55"/>
  <c r="CZ242" i="55"/>
  <c r="DA242" i="55" s="1"/>
  <c r="DV242" i="55" s="1"/>
  <c r="EY251" i="55"/>
  <c r="FX37" i="55" a="1"/>
  <c r="FX37" i="55" s="1"/>
  <c r="FY37" i="55"/>
  <c r="CZ326" i="55"/>
  <c r="DA326" i="55" s="1"/>
  <c r="FX54" i="55" a="1"/>
  <c r="FX54" i="55" s="1"/>
  <c r="FY54" i="55"/>
  <c r="FA101" i="55"/>
  <c r="FA150" i="55"/>
  <c r="EL150" i="55"/>
  <c r="DF198" i="55" a="1"/>
  <c r="DF198" i="55" s="1"/>
  <c r="DG198" i="55" a="1"/>
  <c r="DG198" i="55" s="1"/>
  <c r="DH198" i="55"/>
  <c r="DX198" i="55" s="1"/>
  <c r="DE198" i="55" a="1"/>
  <c r="DE198" i="55" s="1"/>
  <c r="FN68" i="55"/>
  <c r="FO68" i="55"/>
  <c r="FI68" i="55"/>
  <c r="FK68" i="55"/>
  <c r="FQ68" i="55"/>
  <c r="FM68" i="55"/>
  <c r="FH68" i="55"/>
  <c r="FP68" i="55"/>
  <c r="FJ68" i="55"/>
  <c r="FL68" i="55"/>
  <c r="JM290" i="55"/>
  <c r="JF290" i="55"/>
  <c r="FY167" i="55"/>
  <c r="FX167" i="55" a="1"/>
  <c r="FX167" i="55" s="1"/>
  <c r="GX327" i="55"/>
  <c r="GY327" i="55"/>
  <c r="BQ150" i="55"/>
  <c r="FM135" i="55"/>
  <c r="FN135" i="55"/>
  <c r="FQ135" i="55"/>
  <c r="FI135" i="55"/>
  <c r="FO135" i="55"/>
  <c r="FK135" i="55"/>
  <c r="FH135" i="55"/>
  <c r="FL135" i="55" s="1"/>
  <c r="FJ135" i="55"/>
  <c r="FP135" i="55"/>
  <c r="FY158" i="55"/>
  <c r="FX158" i="55" a="1"/>
  <c r="FX158" i="55" s="1"/>
  <c r="GX222" i="55"/>
  <c r="GY222" i="55"/>
  <c r="FM105" i="55"/>
  <c r="FP105" i="55"/>
  <c r="FK105" i="55"/>
  <c r="FR105" i="55"/>
  <c r="FH105" i="55"/>
  <c r="FL105" i="55" s="1"/>
  <c r="FO105" i="55"/>
  <c r="FI105" i="55"/>
  <c r="FN105" i="55"/>
  <c r="FQ105" i="55"/>
  <c r="FJ105" i="55"/>
  <c r="GG238" i="55"/>
  <c r="GD238" i="55"/>
  <c r="GE238" i="55" s="1" a="1"/>
  <c r="GE238" i="55" s="1"/>
  <c r="GF238" i="55" s="1"/>
  <c r="BQ238" i="55"/>
  <c r="GP246" i="55"/>
  <c r="S246" i="55"/>
  <c r="FQ351" i="55"/>
  <c r="FI351" i="55"/>
  <c r="FJ351" i="55"/>
  <c r="FO351" i="55"/>
  <c r="FL351" i="55"/>
  <c r="FK351" i="55"/>
  <c r="FN351" i="55"/>
  <c r="FH351" i="55"/>
  <c r="FP351" i="55"/>
  <c r="FM351" i="55"/>
  <c r="GX173" i="55"/>
  <c r="GY173" i="55"/>
  <c r="GY109" i="55"/>
  <c r="GX109" i="55"/>
  <c r="JW315" i="55"/>
  <c r="IC315" i="55"/>
  <c r="DS315" i="55"/>
  <c r="GB315" i="55"/>
  <c r="GC315" i="55" s="1"/>
  <c r="CR315" i="55" a="1"/>
  <c r="CR315" i="55" s="1"/>
  <c r="CS315" i="55"/>
  <c r="U315" i="55"/>
  <c r="V315" i="55"/>
  <c r="GS7" i="55"/>
  <c r="FZ127" i="55"/>
  <c r="GS115" i="55"/>
  <c r="FY96" i="55"/>
  <c r="FX96" i="55" a="1"/>
  <c r="FX96" i="55" s="1"/>
  <c r="DE160" i="55" a="1"/>
  <c r="DE160" i="55" s="1"/>
  <c r="DG160" i="55" a="1"/>
  <c r="DG160" i="55" s="1"/>
  <c r="DH160" i="55"/>
  <c r="DX160" i="55" s="1"/>
  <c r="CR160" i="55" a="1"/>
  <c r="CR160" i="55" s="1"/>
  <c r="DF160" i="55" a="1"/>
  <c r="DF160" i="55" s="1"/>
  <c r="GY208" i="55"/>
  <c r="GX208" i="55"/>
  <c r="DF240" i="55" a="1"/>
  <c r="DF240" i="55" s="1"/>
  <c r="DG240" i="55" a="1"/>
  <c r="DG240" i="55" s="1"/>
  <c r="DE240" i="55" a="1"/>
  <c r="DE240" i="55" s="1"/>
  <c r="DH240" i="55"/>
  <c r="DX240" i="55" s="1"/>
  <c r="DF272" i="55" a="1"/>
  <c r="DF272" i="55" s="1"/>
  <c r="DH272" i="55"/>
  <c r="DX272" i="55" s="1"/>
  <c r="DG272" i="55" a="1"/>
  <c r="DG272" i="55" s="1"/>
  <c r="DE272" i="55" a="1"/>
  <c r="DE272" i="55" s="1"/>
  <c r="GD115" i="55"/>
  <c r="GG115" i="55"/>
  <c r="GY227" i="55"/>
  <c r="GX227" i="55"/>
  <c r="GX339" i="55"/>
  <c r="GY339" i="55"/>
  <c r="CU39" i="55" a="1"/>
  <c r="CU39" i="55" s="1"/>
  <c r="CT39" i="55" a="1"/>
  <c r="CT39" i="55" s="1"/>
  <c r="GS284" i="55"/>
  <c r="DE114" i="55" a="1"/>
  <c r="DE114" i="55" s="1"/>
  <c r="DF114" i="55" a="1"/>
  <c r="DF114" i="55" s="1"/>
  <c r="DG114" i="55" a="1"/>
  <c r="DG114" i="55" s="1"/>
  <c r="DH114" i="55"/>
  <c r="DX114" i="55" s="1"/>
  <c r="DE210" i="55" a="1"/>
  <c r="DE210" i="55" s="1"/>
  <c r="DF210" i="55" a="1"/>
  <c r="DF210" i="55" s="1"/>
  <c r="DG210" i="55" a="1"/>
  <c r="DG210" i="55" s="1"/>
  <c r="DH210" i="55"/>
  <c r="DX210" i="55" s="1"/>
  <c r="FX322" i="55" a="1"/>
  <c r="FX322" i="55" s="1"/>
  <c r="FY322" i="55"/>
  <c r="FX338" i="55" a="1"/>
  <c r="FX338" i="55" s="1"/>
  <c r="FY338" i="55"/>
  <c r="GD163" i="55"/>
  <c r="GG163" i="55"/>
  <c r="CE163" i="55" a="1"/>
  <c r="CE163" i="55" s="1"/>
  <c r="O163" i="55" s="1" a="1"/>
  <c r="O163" i="55" s="1"/>
  <c r="GD243" i="55"/>
  <c r="GG243" i="55"/>
  <c r="BQ243" i="55"/>
  <c r="O243" i="55" a="1"/>
  <c r="O243" i="55" s="1"/>
  <c r="GD293" i="55"/>
  <c r="GG293" i="55"/>
  <c r="O293" i="55" a="1"/>
  <c r="O293" i="55" s="1"/>
  <c r="EV293" i="55" s="1"/>
  <c r="EW293" i="55" s="1"/>
  <c r="BQ293" i="55"/>
  <c r="GX39" i="55"/>
  <c r="GY39" i="55"/>
  <c r="FX183" i="55" a="1"/>
  <c r="FX183" i="55" s="1"/>
  <c r="FY183" i="55"/>
  <c r="CZ198" i="55"/>
  <c r="DA198" i="55" s="1"/>
  <c r="EY7" i="55"/>
  <c r="R7" i="55" s="1"/>
  <c r="JN290" i="55"/>
  <c r="JG290" i="55"/>
  <c r="GD263" i="55"/>
  <c r="GE263" i="55" s="1" a="1"/>
  <c r="GE263" i="55" s="1"/>
  <c r="GF263" i="55" s="1"/>
  <c r="GG263" i="55"/>
  <c r="CE263" i="55" a="1"/>
  <c r="CE263" i="55" s="1"/>
  <c r="FR263" i="55" s="1"/>
  <c r="O342" i="55" a="1"/>
  <c r="O342" i="55" s="1"/>
  <c r="EV342" i="55" s="1"/>
  <c r="EW342" i="55" s="1"/>
  <c r="BQ263" i="55"/>
  <c r="FM295" i="55"/>
  <c r="FN295" i="55"/>
  <c r="FK295" i="55"/>
  <c r="FR295" i="55"/>
  <c r="FO295" i="55"/>
  <c r="FP295" i="55"/>
  <c r="FQ295" i="55"/>
  <c r="FJ295" i="55"/>
  <c r="FL295" i="55"/>
  <c r="FI295" i="55"/>
  <c r="DG110" i="55" a="1"/>
  <c r="DG110" i="55" s="1"/>
  <c r="CR110" i="55" a="1"/>
  <c r="CR110" i="55" s="1"/>
  <c r="DH110" i="55"/>
  <c r="DX110" i="55" s="1"/>
  <c r="DE110" i="55" a="1"/>
  <c r="DE110" i="55" s="1"/>
  <c r="DF110" i="55" a="1"/>
  <c r="DF110" i="55" s="1"/>
  <c r="FL216" i="55"/>
  <c r="FM216" i="55"/>
  <c r="FI216" i="55"/>
  <c r="FO216" i="55"/>
  <c r="FQ216" i="55"/>
  <c r="FP216" i="55"/>
  <c r="FK216" i="55"/>
  <c r="FJ216" i="55"/>
  <c r="FN216" i="55"/>
  <c r="FY334" i="55"/>
  <c r="FX334" i="55" a="1"/>
  <c r="FX334" i="55" s="1"/>
  <c r="FZ334" i="55" s="1"/>
  <c r="GD78" i="55"/>
  <c r="GE78" i="55" s="1" a="1"/>
  <c r="GE78" i="55" s="1"/>
  <c r="GF78" i="55" s="1"/>
  <c r="GG78" i="55"/>
  <c r="BQ78" i="55"/>
  <c r="DE286" i="55" a="1"/>
  <c r="DE286" i="55" s="1"/>
  <c r="DF286" i="55" a="1"/>
  <c r="DF286" i="55" s="1"/>
  <c r="DH286" i="55"/>
  <c r="DX286" i="55" s="1"/>
  <c r="DG286" i="55" a="1"/>
  <c r="DG286" i="55" s="1"/>
  <c r="CR286" i="55" a="1"/>
  <c r="CR286" i="55" s="1"/>
  <c r="FA156" i="55"/>
  <c r="FB156" i="55"/>
  <c r="IE23" i="55" a="1"/>
  <c r="IE23" i="55" s="1"/>
  <c r="ID23" i="55" a="1"/>
  <c r="ID23" i="55" s="1"/>
  <c r="GY75" i="55"/>
  <c r="GX75" i="55"/>
  <c r="GG155" i="55"/>
  <c r="GD155" i="55"/>
  <c r="GG171" i="55"/>
  <c r="GD171" i="55"/>
  <c r="BQ171" i="55"/>
  <c r="O171" i="55" a="1"/>
  <c r="O171" i="55" s="1"/>
  <c r="FQ255" i="55"/>
  <c r="FI255" i="55"/>
  <c r="FJ255" i="55"/>
  <c r="FK255" i="55"/>
  <c r="FP255" i="55"/>
  <c r="FM255" i="55"/>
  <c r="FL255" i="55"/>
  <c r="FO255" i="55"/>
  <c r="FN255" i="55"/>
  <c r="GG141" i="55"/>
  <c r="GD141" i="55"/>
  <c r="O141" i="55" a="1"/>
  <c r="O141" i="55" s="1"/>
  <c r="FA171" i="55"/>
  <c r="FB171" i="55"/>
  <c r="FY125" i="55"/>
  <c r="FX125" i="55" a="1"/>
  <c r="FX125" i="55" s="1"/>
  <c r="FY301" i="55"/>
  <c r="FX301" i="55" a="1"/>
  <c r="FX301" i="55" s="1"/>
  <c r="GY45" i="55"/>
  <c r="GX45" i="55"/>
  <c r="GY269" i="55"/>
  <c r="GX269" i="55"/>
  <c r="GX349" i="55"/>
  <c r="GY349" i="55"/>
  <c r="JW219" i="55"/>
  <c r="IC219" i="55"/>
  <c r="GB219" i="55"/>
  <c r="GC219" i="55" s="1"/>
  <c r="GE219" i="55" s="1" a="1"/>
  <c r="GE219" i="55" s="1"/>
  <c r="GF219" i="55" s="1"/>
  <c r="DS219" i="55"/>
  <c r="CR219" i="55" a="1"/>
  <c r="CR219" i="55" s="1"/>
  <c r="CS219" i="55" s="1"/>
  <c r="FW219" i="55"/>
  <c r="U219" i="55"/>
  <c r="V219" i="55"/>
  <c r="JL255" i="55"/>
  <c r="JE255" i="55"/>
  <c r="GD320" i="55"/>
  <c r="GE320" i="55" s="1" a="1"/>
  <c r="GE320" i="55" s="1"/>
  <c r="GF320" i="55" s="1"/>
  <c r="GG320" i="55"/>
  <c r="CE320" i="55" a="1"/>
  <c r="CE320" i="55" s="1"/>
  <c r="FY83" i="55"/>
  <c r="FX83" i="55" a="1"/>
  <c r="FX83" i="55" s="1"/>
  <c r="GD211" i="55"/>
  <c r="GG211" i="55"/>
  <c r="O211" i="55" a="1"/>
  <c r="O211" i="55" s="1"/>
  <c r="FX130" i="55" a="1"/>
  <c r="FX130" i="55" s="1"/>
  <c r="FY130" i="55"/>
  <c r="FZ249" i="55"/>
  <c r="GS220" i="55"/>
  <c r="GD98" i="55"/>
  <c r="GG98" i="55"/>
  <c r="O98" i="55" a="1"/>
  <c r="O98" i="55" s="1"/>
  <c r="FX114" i="55" a="1"/>
  <c r="FX114" i="55" s="1"/>
  <c r="FY114" i="55"/>
  <c r="GY146" i="55"/>
  <c r="GX146" i="55"/>
  <c r="EY187" i="55"/>
  <c r="FN52" i="55"/>
  <c r="FO52" i="55"/>
  <c r="FQ52" i="55"/>
  <c r="FM52" i="55"/>
  <c r="FI52" i="55"/>
  <c r="FK52" i="55"/>
  <c r="FP52" i="55"/>
  <c r="FL52" i="55"/>
  <c r="FJ52" i="55"/>
  <c r="EK276" i="55"/>
  <c r="O276" i="55" a="1"/>
  <c r="O276" i="55" s="1"/>
  <c r="GG7" i="55"/>
  <c r="GD7" i="55"/>
  <c r="GE7" i="55" s="1" a="1"/>
  <c r="GE7" i="55" s="1"/>
  <c r="GF7" i="55" s="1"/>
  <c r="BW19" i="54" s="1" a="1"/>
  <c r="BW19" i="54" s="1"/>
  <c r="HV7" i="55"/>
  <c r="T7" i="55"/>
  <c r="FY71" i="55"/>
  <c r="FX71" i="55" a="1"/>
  <c r="FX71" i="55" s="1"/>
  <c r="FZ71" i="55" s="1"/>
  <c r="DH183" i="55"/>
  <c r="DX183" i="55" s="1"/>
  <c r="DF183" i="55" a="1"/>
  <c r="DF183" i="55" s="1"/>
  <c r="DE183" i="55" a="1"/>
  <c r="DE183" i="55" s="1"/>
  <c r="DG183" i="55" a="1"/>
  <c r="DG183" i="55" s="1"/>
  <c r="GG38" i="55"/>
  <c r="GD38" i="55"/>
  <c r="GE38" i="55" s="1" a="1"/>
  <c r="GE38" i="55" s="1"/>
  <c r="GF38" i="55" s="1"/>
  <c r="CE38" i="55" a="1"/>
  <c r="CE38" i="55" s="1"/>
  <c r="FR38" i="55" s="1"/>
  <c r="O38" i="55" a="1"/>
  <c r="O38" i="55" s="1"/>
  <c r="BQ38" i="55"/>
  <c r="FA292" i="55"/>
  <c r="FB292" i="55"/>
  <c r="FY134" i="55"/>
  <c r="FX134" i="55" a="1"/>
  <c r="FX134" i="55" s="1"/>
  <c r="FZ134" i="55" s="1"/>
  <c r="CE134" i="55" a="1"/>
  <c r="CE134" i="55" s="1"/>
  <c r="EK134" i="55" s="1"/>
  <c r="JW13" i="55"/>
  <c r="GB13" i="55"/>
  <c r="GC13" i="55" s="1"/>
  <c r="IC13" i="55"/>
  <c r="CR13" i="55" a="1"/>
  <c r="CR13" i="55" s="1"/>
  <c r="CS13" i="55" s="1"/>
  <c r="DS13" i="55"/>
  <c r="T13" i="55"/>
  <c r="V13" i="55"/>
  <c r="U13" i="55"/>
  <c r="FL169" i="55"/>
  <c r="FM169" i="55"/>
  <c r="FP169" i="55"/>
  <c r="FK169" i="55"/>
  <c r="FJ169" i="55"/>
  <c r="FI169" i="55"/>
  <c r="FQ169" i="55"/>
  <c r="FO169" i="55"/>
  <c r="FN169" i="55"/>
  <c r="CT337" i="55" a="1"/>
  <c r="CT337" i="55" s="1"/>
  <c r="CU337" i="55" a="1"/>
  <c r="CU337" i="55" s="1"/>
  <c r="EL115" i="55"/>
  <c r="JW24" i="55"/>
  <c r="IC24" i="55"/>
  <c r="GB24" i="55"/>
  <c r="GC24" i="55" s="1"/>
  <c r="GE24" i="55" s="1" a="1"/>
  <c r="GE24" i="55" s="1"/>
  <c r="GF24" i="55" s="1"/>
  <c r="DX24" i="55"/>
  <c r="DS24" i="55"/>
  <c r="CR24" i="55" a="1"/>
  <c r="CR24" i="55" s="1"/>
  <c r="U24" i="55"/>
  <c r="V24" i="55"/>
  <c r="GL300" i="55"/>
  <c r="FX121" i="55" a="1"/>
  <c r="FX121" i="55" s="1"/>
  <c r="FY121" i="55"/>
  <c r="CE121" i="55" a="1"/>
  <c r="CE121" i="55" s="1"/>
  <c r="FR121" i="55" s="1"/>
  <c r="GD137" i="55"/>
  <c r="GE137" i="55" s="1" a="1"/>
  <c r="GE137" i="55" s="1"/>
  <c r="GF137" i="55" s="1"/>
  <c r="GG137" i="55"/>
  <c r="FX217" i="55" a="1"/>
  <c r="FX217" i="55" s="1"/>
  <c r="FY217" i="55"/>
  <c r="FZ239" i="55"/>
  <c r="FQ79" i="55"/>
  <c r="FI79" i="55"/>
  <c r="FJ79" i="55"/>
  <c r="FM79" i="55"/>
  <c r="FH79" i="55"/>
  <c r="FL79" i="55" s="1"/>
  <c r="FO79" i="55"/>
  <c r="FP79" i="55"/>
  <c r="FN79" i="55"/>
  <c r="FK79" i="55"/>
  <c r="FQ319" i="55"/>
  <c r="FI319" i="55"/>
  <c r="FJ319" i="55"/>
  <c r="FK319" i="55"/>
  <c r="FP319" i="55"/>
  <c r="FM319" i="55"/>
  <c r="FN319" i="55"/>
  <c r="FO319" i="55"/>
  <c r="FH319" i="55"/>
  <c r="FL319" i="55"/>
  <c r="JL193" i="55"/>
  <c r="JE193" i="55"/>
  <c r="GS18" i="55"/>
  <c r="GS150" i="55"/>
  <c r="GS294" i="55"/>
  <c r="FX90" i="55" a="1"/>
  <c r="FX90" i="55" s="1"/>
  <c r="FY90" i="55"/>
  <c r="GY106" i="55"/>
  <c r="GX106" i="55"/>
  <c r="GY250" i="55"/>
  <c r="GX250" i="55"/>
  <c r="GG314" i="55"/>
  <c r="GD314" i="55"/>
  <c r="O314" i="55" a="1"/>
  <c r="O314" i="55" s="1"/>
  <c r="BQ314" i="55"/>
  <c r="CZ346" i="55"/>
  <c r="DA346" i="55" s="1"/>
  <c r="JW280" i="55"/>
  <c r="IC280" i="55"/>
  <c r="GB280" i="55"/>
  <c r="GC280" i="55" s="1"/>
  <c r="GE280" i="55" s="1" a="1"/>
  <c r="GE280" i="55" s="1"/>
  <c r="GF280" i="55" s="1"/>
  <c r="U280" i="55"/>
  <c r="DS280" i="55"/>
  <c r="DX280" i="55"/>
  <c r="V280" i="55"/>
  <c r="CR280" i="55" a="1"/>
  <c r="CR280" i="55" s="1"/>
  <c r="GY43" i="55"/>
  <c r="GX43" i="55"/>
  <c r="DF187" i="55" a="1"/>
  <c r="DF187" i="55" s="1"/>
  <c r="DH187" i="55"/>
  <c r="DX187" i="55" s="1"/>
  <c r="DG187" i="55" a="1"/>
  <c r="DG187" i="55" s="1"/>
  <c r="DE187" i="55" a="1"/>
  <c r="DE187" i="55" s="1"/>
  <c r="GX235" i="55"/>
  <c r="GY235" i="55"/>
  <c r="FY331" i="55"/>
  <c r="FX331" i="55" a="1"/>
  <c r="FX331" i="55" s="1"/>
  <c r="JW328" i="55"/>
  <c r="IC328" i="55"/>
  <c r="GB328" i="55"/>
  <c r="GC328" i="55" s="1"/>
  <c r="GE328" i="55" s="1" a="1"/>
  <c r="GE328" i="55" s="1"/>
  <c r="GF328" i="55" s="1"/>
  <c r="DS328" i="55"/>
  <c r="FW328" i="55"/>
  <c r="DX328" i="55"/>
  <c r="CR328" i="55" a="1"/>
  <c r="CR328" i="55" s="1"/>
  <c r="V328" i="55"/>
  <c r="U328" i="55"/>
  <c r="DH45" i="55"/>
  <c r="DX45" i="55" s="1"/>
  <c r="DE45" i="55" a="1"/>
  <c r="DE45" i="55" s="1"/>
  <c r="DF45" i="55" a="1"/>
  <c r="DF45" i="55" s="1"/>
  <c r="DG45" i="55" a="1"/>
  <c r="DG45" i="55" s="1"/>
  <c r="JW299" i="55"/>
  <c r="IC299" i="55"/>
  <c r="GB299" i="55"/>
  <c r="GC299" i="55" s="1"/>
  <c r="GE299" i="55" s="1" a="1"/>
  <c r="GE299" i="55" s="1"/>
  <c r="GF299" i="55" s="1"/>
  <c r="DS299" i="55"/>
  <c r="FW299" i="55"/>
  <c r="CR299" i="55" a="1"/>
  <c r="CR299" i="55" s="1"/>
  <c r="CS299" i="55" s="1"/>
  <c r="CZ299" i="55" s="1"/>
  <c r="DA299" i="55" s="1"/>
  <c r="DX299" i="55"/>
  <c r="U299" i="55"/>
  <c r="V299" i="55"/>
  <c r="CU294" i="55" a="1"/>
  <c r="CU294" i="55" s="1"/>
  <c r="CT294" i="55" a="1"/>
  <c r="CT294" i="55" s="1"/>
  <c r="DF147" i="55" a="1"/>
  <c r="DF147" i="55" s="1"/>
  <c r="DE147" i="55" a="1"/>
  <c r="DE147" i="55" s="1"/>
  <c r="DH147" i="55"/>
  <c r="DX147" i="55" s="1"/>
  <c r="DG147" i="55" a="1"/>
  <c r="DG147" i="55" s="1"/>
  <c r="DF83" i="55" a="1"/>
  <c r="DF83" i="55" s="1"/>
  <c r="DE83" i="55" a="1"/>
  <c r="DE83" i="55" s="1"/>
  <c r="DH83" i="55"/>
  <c r="DX83" i="55" s="1"/>
  <c r="DG83" i="55" a="1"/>
  <c r="DG83" i="55" s="1"/>
  <c r="FX229" i="55" a="1"/>
  <c r="FX229" i="55" s="1"/>
  <c r="FY229" i="55"/>
  <c r="GS163" i="55"/>
  <c r="GS275" i="55"/>
  <c r="FA16" i="55"/>
  <c r="BL25" i="54" s="1" a="1"/>
  <c r="BL25" i="54" s="1"/>
  <c r="EL16" i="55"/>
  <c r="DE320" i="55" a="1"/>
  <c r="DE320" i="55" s="1"/>
  <c r="DG320" i="55" a="1"/>
  <c r="DG320" i="55" s="1"/>
  <c r="DF320" i="55" a="1"/>
  <c r="DF320" i="55" s="1"/>
  <c r="DH320" i="55"/>
  <c r="DX320" i="55" s="1"/>
  <c r="CR320" i="55" a="1"/>
  <c r="CR320" i="55" s="1"/>
  <c r="FY336" i="55"/>
  <c r="FX336" i="55" a="1"/>
  <c r="FX336" i="55" s="1"/>
  <c r="GG352" i="55"/>
  <c r="GD352" i="55"/>
  <c r="GE352" i="55" s="1" a="1"/>
  <c r="GE352" i="55" s="1"/>
  <c r="GF352" i="55" s="1"/>
  <c r="CE352" i="55" a="1"/>
  <c r="CE352" i="55" s="1"/>
  <c r="EK352" i="55" s="1"/>
  <c r="FA19" i="55"/>
  <c r="BL28" i="54" s="1" a="1"/>
  <c r="BL28" i="54" s="1"/>
  <c r="EL19" i="55"/>
  <c r="DF131" i="55" a="1"/>
  <c r="DF131" i="55" s="1"/>
  <c r="DG131" i="55" a="1"/>
  <c r="DG131" i="55" s="1"/>
  <c r="DH131" i="55"/>
  <c r="DX131" i="55" s="1"/>
  <c r="DE131" i="55" a="1"/>
  <c r="DE131" i="55" s="1"/>
  <c r="GD195" i="55"/>
  <c r="GG195" i="55"/>
  <c r="CE195" i="55" a="1"/>
  <c r="CE195" i="55" s="1"/>
  <c r="GY211" i="55"/>
  <c r="GX211" i="55"/>
  <c r="GD323" i="55"/>
  <c r="GG323" i="55"/>
  <c r="DF115" i="55" a="1"/>
  <c r="DF115" i="55" s="1"/>
  <c r="DE115" i="55" a="1"/>
  <c r="DE115" i="55" s="1"/>
  <c r="DG115" i="55" a="1"/>
  <c r="DG115" i="55" s="1"/>
  <c r="DH115" i="55"/>
  <c r="DX115" i="55" s="1"/>
  <c r="DF291" i="55" a="1"/>
  <c r="DF291" i="55" s="1"/>
  <c r="DH291" i="55"/>
  <c r="DX291" i="55" s="1"/>
  <c r="DE291" i="55" a="1"/>
  <c r="DE291" i="55" s="1"/>
  <c r="DG291" i="55" a="1"/>
  <c r="DG291" i="55" s="1"/>
  <c r="ID303" i="55" a="1"/>
  <c r="ID303" i="55" s="1"/>
  <c r="IE303" i="55" a="1"/>
  <c r="IE303" i="55" s="1"/>
  <c r="GD242" i="55"/>
  <c r="GG242" i="55"/>
  <c r="BQ242" i="55"/>
  <c r="GY245" i="55"/>
  <c r="GX245" i="55"/>
  <c r="GX214" i="55"/>
  <c r="GY214" i="55"/>
  <c r="GX71" i="55"/>
  <c r="GY71" i="55"/>
  <c r="FA22" i="55"/>
  <c r="FB22" i="55"/>
  <c r="CE167" i="55" a="1"/>
  <c r="CE167" i="55" s="1"/>
  <c r="FM39" i="55"/>
  <c r="FN39" i="55"/>
  <c r="FK39" i="55"/>
  <c r="FR39" i="55"/>
  <c r="FO39" i="55"/>
  <c r="FQ39" i="55"/>
  <c r="FI39" i="55"/>
  <c r="FP39" i="55"/>
  <c r="FL39" i="55"/>
  <c r="FJ39" i="55"/>
  <c r="EL131" i="55"/>
  <c r="FY94" i="55"/>
  <c r="FX94" i="55" a="1"/>
  <c r="FX94" i="55" s="1"/>
  <c r="JW125" i="55"/>
  <c r="IC125" i="55"/>
  <c r="CR125" i="55" a="1"/>
  <c r="CR125" i="55" s="1"/>
  <c r="GB125" i="55"/>
  <c r="GC125" i="55" s="1"/>
  <c r="DS125" i="55"/>
  <c r="CS125" i="55"/>
  <c r="V125" i="55"/>
  <c r="U125" i="55"/>
  <c r="FX137" i="55" a="1"/>
  <c r="FX137" i="55" s="1"/>
  <c r="FY137" i="55"/>
  <c r="DG217" i="55" a="1"/>
  <c r="DG217" i="55" s="1"/>
  <c r="DH217" i="55"/>
  <c r="DX217" i="55" s="1"/>
  <c r="DF217" i="55" a="1"/>
  <c r="DF217" i="55" s="1"/>
  <c r="DE217" i="55" a="1"/>
  <c r="DE217" i="55" s="1"/>
  <c r="GX313" i="55"/>
  <c r="GY313" i="55"/>
  <c r="JN281" i="55"/>
  <c r="JG281" i="55"/>
  <c r="JN193" i="55"/>
  <c r="JG193" i="55"/>
  <c r="DH106" i="55"/>
  <c r="DX106" i="55" s="1"/>
  <c r="DE106" i="55" a="1"/>
  <c r="DE106" i="55" s="1"/>
  <c r="DF106" i="55" a="1"/>
  <c r="DF106" i="55" s="1"/>
  <c r="DG106" i="55" a="1"/>
  <c r="DG106" i="55" s="1"/>
  <c r="GY218" i="55"/>
  <c r="GX218" i="55"/>
  <c r="DH234" i="55"/>
  <c r="DE234" i="55" a="1"/>
  <c r="DE234" i="55" s="1"/>
  <c r="DF234" i="55" a="1"/>
  <c r="DF234" i="55" s="1"/>
  <c r="DG234" i="55" a="1"/>
  <c r="DG234" i="55" s="1"/>
  <c r="DH250" i="55"/>
  <c r="DG250" i="55" a="1"/>
  <c r="DG250" i="55" s="1"/>
  <c r="DE250" i="55" a="1"/>
  <c r="DE250" i="55" s="1"/>
  <c r="DF250" i="55" a="1"/>
  <c r="DF250" i="55" s="1"/>
  <c r="FX346" i="55" a="1"/>
  <c r="FX346" i="55" s="1"/>
  <c r="FY346" i="55"/>
  <c r="GX11" i="55"/>
  <c r="GY11" i="55"/>
  <c r="GY59" i="55"/>
  <c r="GX59" i="55"/>
  <c r="DF155" i="55" a="1"/>
  <c r="DF155" i="55" s="1"/>
  <c r="DG155" i="55" a="1"/>
  <c r="DG155" i="55" s="1"/>
  <c r="DH155" i="55"/>
  <c r="DX155" i="55" s="1"/>
  <c r="DE155" i="55" a="1"/>
  <c r="DE155" i="55" s="1"/>
  <c r="DF171" i="55" a="1"/>
  <c r="DF171" i="55" s="1"/>
  <c r="DH171" i="55"/>
  <c r="DX171" i="55" s="1"/>
  <c r="DG171" i="55" a="1"/>
  <c r="DG171" i="55" s="1"/>
  <c r="DE171" i="55" a="1"/>
  <c r="DE171" i="55" s="1"/>
  <c r="FY187" i="55"/>
  <c r="FX187" i="55" a="1"/>
  <c r="FX187" i="55" s="1"/>
  <c r="FY203" i="55"/>
  <c r="FX203" i="55" a="1"/>
  <c r="FX203" i="55" s="1"/>
  <c r="FZ203" i="55" s="1"/>
  <c r="GX219" i="55"/>
  <c r="GY219" i="55"/>
  <c r="GY251" i="55"/>
  <c r="GX251" i="55"/>
  <c r="GD283" i="55"/>
  <c r="DF315" i="55" a="1"/>
  <c r="DF315" i="55" s="1"/>
  <c r="DH315" i="55"/>
  <c r="DX315" i="55" s="1"/>
  <c r="DG315" i="55" a="1"/>
  <c r="DG315" i="55" s="1"/>
  <c r="DE315" i="55" a="1"/>
  <c r="DE315" i="55" s="1"/>
  <c r="FY61" i="55"/>
  <c r="FX61" i="55" a="1"/>
  <c r="FX61" i="55" s="1"/>
  <c r="FY93" i="55"/>
  <c r="FX93" i="55" a="1"/>
  <c r="FX93" i="55" s="1"/>
  <c r="DH125" i="55"/>
  <c r="DX125" i="55" s="1"/>
  <c r="DE125" i="55" a="1"/>
  <c r="DE125" i="55" s="1"/>
  <c r="DF125" i="55" a="1"/>
  <c r="DF125" i="55" s="1"/>
  <c r="DG125" i="55" a="1"/>
  <c r="DG125" i="55" s="1"/>
  <c r="GG173" i="55"/>
  <c r="GD173" i="55"/>
  <c r="GG109" i="55"/>
  <c r="GD109" i="55"/>
  <c r="O109" i="55" a="1"/>
  <c r="O109" i="55" s="1"/>
  <c r="GD317" i="55"/>
  <c r="DH349" i="55"/>
  <c r="DX349" i="55" s="1"/>
  <c r="DE349" i="55" a="1"/>
  <c r="DE349" i="55" s="1"/>
  <c r="DF349" i="55" a="1"/>
  <c r="DF349" i="55" s="1"/>
  <c r="DG349" i="55" a="1"/>
  <c r="DG349" i="55" s="1"/>
  <c r="JW171" i="55"/>
  <c r="IC171" i="55"/>
  <c r="GB171" i="55"/>
  <c r="GC171" i="55" s="1"/>
  <c r="DS171" i="55"/>
  <c r="CR171" i="55" a="1"/>
  <c r="CR171" i="55" s="1"/>
  <c r="FW171" i="55"/>
  <c r="U171" i="55"/>
  <c r="V171" i="55"/>
  <c r="CW294" i="55"/>
  <c r="CY294" i="55"/>
  <c r="CX294" i="55"/>
  <c r="CV294" i="55"/>
  <c r="JF303" i="55"/>
  <c r="JM303" i="55"/>
  <c r="DF275" i="55" a="1"/>
  <c r="DF275" i="55" s="1"/>
  <c r="DE275" i="55" a="1"/>
  <c r="DE275" i="55" s="1"/>
  <c r="DH275" i="55"/>
  <c r="DX275" i="55" s="1"/>
  <c r="DG275" i="55" a="1"/>
  <c r="DG275" i="55" s="1"/>
  <c r="CZ48" i="55"/>
  <c r="DA48" i="55" s="1"/>
  <c r="GY64" i="55"/>
  <c r="GX64" i="55"/>
  <c r="DE96" i="55" a="1"/>
  <c r="DE96" i="55" s="1"/>
  <c r="DG96" i="55" a="1"/>
  <c r="DG96" i="55" s="1"/>
  <c r="CR96" i="55" a="1"/>
  <c r="CR96" i="55" s="1"/>
  <c r="DF96" i="55" a="1"/>
  <c r="DF96" i="55" s="1"/>
  <c r="DH96" i="55"/>
  <c r="DX96" i="55" s="1"/>
  <c r="GD176" i="55"/>
  <c r="GE176" i="55" s="1" a="1"/>
  <c r="GE176" i="55" s="1"/>
  <c r="GF176" i="55" s="1"/>
  <c r="GG176" i="55"/>
  <c r="O176" i="55" a="1"/>
  <c r="O176" i="55" s="1"/>
  <c r="DE192" i="55" a="1"/>
  <c r="DE192" i="55" s="1"/>
  <c r="DG192" i="55" a="1"/>
  <c r="DG192" i="55" s="1"/>
  <c r="DF192" i="55" a="1"/>
  <c r="DF192" i="55" s="1"/>
  <c r="DH192" i="55"/>
  <c r="DX192" i="55" s="1"/>
  <c r="FX208" i="55" a="1"/>
  <c r="FX208" i="55" s="1"/>
  <c r="FY208" i="55"/>
  <c r="GD288" i="55"/>
  <c r="GE288" i="55" s="1" a="1"/>
  <c r="GE288" i="55" s="1"/>
  <c r="GF288" i="55" s="1"/>
  <c r="GG288" i="55"/>
  <c r="BQ288" i="55"/>
  <c r="GY336" i="55"/>
  <c r="GX336" i="55"/>
  <c r="GX83" i="55"/>
  <c r="GY83" i="55"/>
  <c r="GX306" i="55"/>
  <c r="GY306" i="55"/>
  <c r="DF35" i="55" a="1"/>
  <c r="DF35" i="55" s="1"/>
  <c r="DH35" i="55"/>
  <c r="DX35" i="55" s="1"/>
  <c r="DE35" i="55" a="1"/>
  <c r="DE35" i="55" s="1"/>
  <c r="DG35" i="55" a="1"/>
  <c r="DG35" i="55" s="1"/>
  <c r="GX67" i="55"/>
  <c r="GY67" i="55"/>
  <c r="DF179" i="55" a="1"/>
  <c r="DF179" i="55" s="1"/>
  <c r="DE179" i="55" a="1"/>
  <c r="DE179" i="55" s="1"/>
  <c r="DG179" i="55" a="1"/>
  <c r="DG179" i="55" s="1"/>
  <c r="DH179" i="55"/>
  <c r="CW303" i="55"/>
  <c r="CV303" i="55"/>
  <c r="CX303" i="55"/>
  <c r="CY303" i="55"/>
  <c r="GG294" i="55"/>
  <c r="GD294" i="55"/>
  <c r="GE294" i="55" s="1" a="1"/>
  <c r="GE294" i="55" s="1"/>
  <c r="GF294" i="55" s="1"/>
  <c r="BQ294" i="55"/>
  <c r="CE294" i="55" a="1"/>
  <c r="CE294" i="55" s="1"/>
  <c r="EK294" i="55" s="1"/>
  <c r="FX18" i="55" a="1"/>
  <c r="FX18" i="55" s="1"/>
  <c r="FY18" i="55"/>
  <c r="EL50" i="55"/>
  <c r="FA226" i="55"/>
  <c r="GD258" i="55"/>
  <c r="GG258" i="55"/>
  <c r="BQ258" i="55"/>
  <c r="O258" i="55" a="1"/>
  <c r="O258" i="55" s="1"/>
  <c r="EV258" i="55" s="1"/>
  <c r="EW258" i="55" s="1"/>
  <c r="FX290" i="55" a="1"/>
  <c r="FX290" i="55" s="1"/>
  <c r="FY290" i="55"/>
  <c r="FX306" i="55" a="1"/>
  <c r="FX306" i="55" s="1"/>
  <c r="FY306" i="55"/>
  <c r="DG322" i="55" a="1"/>
  <c r="DG322" i="55" s="1"/>
  <c r="DH322" i="55"/>
  <c r="DX322" i="55" s="1"/>
  <c r="DF322" i="55" a="1"/>
  <c r="DF322" i="55" s="1"/>
  <c r="DE322" i="55" a="1"/>
  <c r="DE322" i="55" s="1"/>
  <c r="CZ245" i="55"/>
  <c r="DA245" i="55" s="1"/>
  <c r="DM245" i="55" s="1"/>
  <c r="FX310" i="55" a="1"/>
  <c r="FX310" i="55" s="1"/>
  <c r="FZ310" i="55" s="1"/>
  <c r="FY310" i="55"/>
  <c r="GD229" i="55"/>
  <c r="GG229" i="55"/>
  <c r="BQ229" i="55"/>
  <c r="O229" i="55" a="1"/>
  <c r="O229" i="55" s="1"/>
  <c r="EV229" i="55" s="1"/>
  <c r="EW229" i="55" s="1"/>
  <c r="GD309" i="55"/>
  <c r="GE309" i="55" s="1" a="1"/>
  <c r="GE309" i="55" s="1"/>
  <c r="GF309" i="55" s="1"/>
  <c r="GG309" i="55"/>
  <c r="BQ309" i="55"/>
  <c r="O309" i="55" a="1"/>
  <c r="O309" i="55" s="1"/>
  <c r="FN196" i="55"/>
  <c r="FO196" i="55"/>
  <c r="FI196" i="55"/>
  <c r="FP196" i="55"/>
  <c r="FM196" i="55"/>
  <c r="FJ196" i="55"/>
  <c r="FQ196" i="55"/>
  <c r="FK196" i="55"/>
  <c r="FL196" i="55"/>
  <c r="FN164" i="55"/>
  <c r="FO164" i="55"/>
  <c r="FM164" i="55"/>
  <c r="FI164" i="55"/>
  <c r="FL164" i="55"/>
  <c r="FK164" i="55"/>
  <c r="FJ164" i="55"/>
  <c r="FP164" i="55"/>
  <c r="FQ164" i="55"/>
  <c r="JW333" i="55"/>
  <c r="IC333" i="55"/>
  <c r="GB333" i="55"/>
  <c r="GC333" i="55" s="1"/>
  <c r="FW333" i="55"/>
  <c r="DS333" i="55"/>
  <c r="CR333" i="55" a="1"/>
  <c r="CR333" i="55" s="1"/>
  <c r="CS333" i="55"/>
  <c r="V333" i="55"/>
  <c r="U333" i="55"/>
  <c r="CE137" i="55" a="1"/>
  <c r="CE137" i="55" s="1"/>
  <c r="EK137" i="55" s="1"/>
  <c r="JW349" i="55"/>
  <c r="GB349" i="55"/>
  <c r="GC349" i="55" s="1"/>
  <c r="IC349" i="55"/>
  <c r="FW349" i="55"/>
  <c r="CR349" i="55" a="1"/>
  <c r="CR349" i="55" s="1"/>
  <c r="CS349" i="55" s="1"/>
  <c r="DS349" i="55"/>
  <c r="U349" i="55"/>
  <c r="V349" i="55"/>
  <c r="CZ41" i="55"/>
  <c r="DA41" i="55" s="1"/>
  <c r="GX153" i="55"/>
  <c r="GY153" i="55"/>
  <c r="DG329" i="55" a="1"/>
  <c r="DG329" i="55" s="1"/>
  <c r="DE329" i="55" a="1"/>
  <c r="DE329" i="55" s="1"/>
  <c r="DF329" i="55" a="1"/>
  <c r="DF329" i="55" s="1"/>
  <c r="DH329" i="55"/>
  <c r="DX329" i="55" s="1"/>
  <c r="IC329" i="55"/>
  <c r="CR329" i="55" a="1"/>
  <c r="CR329" i="55" s="1"/>
  <c r="JW200" i="55"/>
  <c r="IC200" i="55"/>
  <c r="GB200" i="55"/>
  <c r="GC200" i="55" s="1"/>
  <c r="GE200" i="55" s="1" a="1"/>
  <c r="GE200" i="55" s="1"/>
  <c r="GF200" i="55" s="1"/>
  <c r="DS200" i="55"/>
  <c r="CR200" i="55" a="1"/>
  <c r="CR200" i="55" s="1"/>
  <c r="U200" i="55"/>
  <c r="FW200" i="55"/>
  <c r="V200" i="55"/>
  <c r="GS166" i="55"/>
  <c r="FX58" i="55" a="1"/>
  <c r="FX58" i="55" s="1"/>
  <c r="FY58" i="55"/>
  <c r="FX74" i="55" a="1"/>
  <c r="FX74" i="55" s="1"/>
  <c r="FY74" i="55"/>
  <c r="GX90" i="55"/>
  <c r="GY90" i="55"/>
  <c r="DH218" i="55"/>
  <c r="DX218" i="55" s="1"/>
  <c r="DG218" i="55" a="1"/>
  <c r="DG218" i="55" s="1"/>
  <c r="DE218" i="55" a="1"/>
  <c r="DE218" i="55" s="1"/>
  <c r="DF218" i="55" a="1"/>
  <c r="DF218" i="55" s="1"/>
  <c r="FQ15" i="55"/>
  <c r="FI15" i="55"/>
  <c r="FR15" i="55"/>
  <c r="FJ15" i="55"/>
  <c r="FM15" i="55"/>
  <c r="FH15" i="55"/>
  <c r="FO15" i="55"/>
  <c r="FK15" i="55"/>
  <c r="FN15" i="55"/>
  <c r="FL15" i="55"/>
  <c r="FQ239" i="55"/>
  <c r="FI239" i="55"/>
  <c r="FR239" i="55"/>
  <c r="FJ239" i="55"/>
  <c r="FN239" i="55"/>
  <c r="FK239" i="55"/>
  <c r="FO239" i="55"/>
  <c r="FP239" i="55"/>
  <c r="FL239" i="55"/>
  <c r="FM239" i="55"/>
  <c r="GX27" i="55"/>
  <c r="GY27" i="55"/>
  <c r="GG107" i="55"/>
  <c r="GD107" i="55"/>
  <c r="BQ107" i="55"/>
  <c r="DF123" i="55" a="1"/>
  <c r="DF123" i="55" s="1"/>
  <c r="DH123" i="55"/>
  <c r="DX123" i="55" s="1"/>
  <c r="DG123" i="55" a="1"/>
  <c r="DG123" i="55" s="1"/>
  <c r="DE123" i="55" a="1"/>
  <c r="DE123" i="55" s="1"/>
  <c r="FY155" i="55"/>
  <c r="FX155" i="55" a="1"/>
  <c r="FX155" i="55" s="1"/>
  <c r="FY171" i="55"/>
  <c r="FX171" i="55" a="1"/>
  <c r="FX171" i="55" s="1"/>
  <c r="GG299" i="55"/>
  <c r="GD299" i="55"/>
  <c r="GX347" i="55"/>
  <c r="GY347" i="55"/>
  <c r="FY29" i="55"/>
  <c r="FX29" i="55" a="1"/>
  <c r="FX29" i="55" s="1"/>
  <c r="FA237" i="55"/>
  <c r="FB237" i="55"/>
  <c r="GY253" i="55"/>
  <c r="GX253" i="55"/>
  <c r="DH13" i="55"/>
  <c r="DX13" i="55" s="1"/>
  <c r="DE13" i="55" a="1"/>
  <c r="DE13" i="55" s="1"/>
  <c r="DF13" i="55" a="1"/>
  <c r="DF13" i="55" s="1"/>
  <c r="DG13" i="55" a="1"/>
  <c r="DG13" i="55" s="1"/>
  <c r="GG77" i="55"/>
  <c r="GD77" i="55"/>
  <c r="O77" i="55" a="1"/>
  <c r="O77" i="55" s="1"/>
  <c r="JW251" i="55"/>
  <c r="IC251" i="55"/>
  <c r="GB251" i="55"/>
  <c r="GC251" i="55" s="1"/>
  <c r="GE251" i="55" s="1" a="1"/>
  <c r="GE251" i="55" s="1"/>
  <c r="GF251" i="55" s="1"/>
  <c r="DS251" i="55"/>
  <c r="CR251" i="55" a="1"/>
  <c r="CR251" i="55" s="1"/>
  <c r="CS251" i="55" s="1"/>
  <c r="CZ251" i="55" s="1"/>
  <c r="DA251" i="55" s="1"/>
  <c r="DX251" i="55"/>
  <c r="V251" i="55"/>
  <c r="U251" i="55"/>
  <c r="JL303" i="55"/>
  <c r="JE303" i="55"/>
  <c r="GS291" i="55"/>
  <c r="GG166" i="55"/>
  <c r="GD166" i="55"/>
  <c r="GE166" i="55" s="1" a="1"/>
  <c r="GE166" i="55" s="1"/>
  <c r="GF166" i="55" s="1"/>
  <c r="CE166" i="55" a="1"/>
  <c r="CE166" i="55" s="1"/>
  <c r="FX16" i="55" a="1"/>
  <c r="FX16" i="55" s="1"/>
  <c r="FY16" i="55"/>
  <c r="FY32" i="55"/>
  <c r="FX32" i="55" a="1"/>
  <c r="FX32" i="55" s="1"/>
  <c r="FZ32" i="55" s="1"/>
  <c r="DF48" i="55" a="1"/>
  <c r="DF48" i="55" s="1"/>
  <c r="DG48" i="55" a="1"/>
  <c r="DG48" i="55" s="1"/>
  <c r="DE48" i="55" a="1"/>
  <c r="DE48" i="55" s="1"/>
  <c r="DH48" i="55"/>
  <c r="DX48" i="55" s="1"/>
  <c r="CZ80" i="55"/>
  <c r="DA80" i="55" s="1"/>
  <c r="GD160" i="55"/>
  <c r="GE160" i="55" s="1" a="1"/>
  <c r="GE160" i="55" s="1"/>
  <c r="GF160" i="55" s="1"/>
  <c r="GG160" i="55"/>
  <c r="BQ160" i="55"/>
  <c r="O160" i="55" a="1"/>
  <c r="O160" i="55" s="1"/>
  <c r="GY192" i="55"/>
  <c r="GX192" i="55"/>
  <c r="FA208" i="55"/>
  <c r="EL208" i="55"/>
  <c r="GD224" i="55"/>
  <c r="GE224" i="55" s="1" a="1"/>
  <c r="GE224" i="55" s="1"/>
  <c r="GF224" i="55" s="1"/>
  <c r="T224" i="55"/>
  <c r="CZ240" i="55"/>
  <c r="DA240" i="55" s="1"/>
  <c r="GY256" i="55"/>
  <c r="GX256" i="55"/>
  <c r="GG272" i="55"/>
  <c r="GD272" i="55"/>
  <c r="GE272" i="55" s="1" a="1"/>
  <c r="GE272" i="55" s="1"/>
  <c r="GF272" i="55" s="1"/>
  <c r="DF336" i="55" a="1"/>
  <c r="DF336" i="55" s="1"/>
  <c r="DH336" i="55"/>
  <c r="DX336" i="55" s="1"/>
  <c r="DG336" i="55" a="1"/>
  <c r="DG336" i="55" s="1"/>
  <c r="DE336" i="55" a="1"/>
  <c r="DE336" i="55" s="1"/>
  <c r="FY352" i="55"/>
  <c r="FX352" i="55" a="1"/>
  <c r="FX352" i="55" s="1"/>
  <c r="GD259" i="55"/>
  <c r="GG259" i="55"/>
  <c r="O259" i="55" a="1"/>
  <c r="O259" i="55" s="1"/>
  <c r="FA198" i="55"/>
  <c r="EL198" i="55"/>
  <c r="DF51" i="55" a="1"/>
  <c r="DF51" i="55" s="1"/>
  <c r="DE51" i="55" a="1"/>
  <c r="DE51" i="55" s="1"/>
  <c r="DH51" i="55"/>
  <c r="DX51" i="55" s="1"/>
  <c r="DG51" i="55" a="1"/>
  <c r="DG51" i="55" s="1"/>
  <c r="DF99" i="55" a="1"/>
  <c r="DF99" i="55" s="1"/>
  <c r="DH99" i="55"/>
  <c r="DX99" i="55" s="1"/>
  <c r="DG99" i="55" a="1"/>
  <c r="DG99" i="55" s="1"/>
  <c r="DE99" i="55" a="1"/>
  <c r="DE99" i="55" s="1"/>
  <c r="GX210" i="55"/>
  <c r="GY210" i="55"/>
  <c r="DF258" i="55" a="1"/>
  <c r="DF258" i="55" s="1"/>
  <c r="DH258" i="55"/>
  <c r="DX258" i="55" s="1"/>
  <c r="DE258" i="55" a="1"/>
  <c r="DE258" i="55" s="1"/>
  <c r="DG258" i="55" a="1"/>
  <c r="DG258" i="55" s="1"/>
  <c r="CZ85" i="55"/>
  <c r="DA85" i="55" s="1"/>
  <c r="CZ149" i="55"/>
  <c r="DA149" i="55" s="1"/>
  <c r="DE213" i="55" a="1"/>
  <c r="DE213" i="55" s="1"/>
  <c r="DG213" i="55" a="1"/>
  <c r="DG213" i="55" s="1"/>
  <c r="DH213" i="55"/>
  <c r="DX213" i="55" s="1"/>
  <c r="DF213" i="55" a="1"/>
  <c r="DF213" i="55" s="1"/>
  <c r="GX166" i="55"/>
  <c r="GY166" i="55"/>
  <c r="FA310" i="55"/>
  <c r="EL310" i="55"/>
  <c r="DE165" i="55" a="1"/>
  <c r="DE165" i="55" s="1"/>
  <c r="DH165" i="55"/>
  <c r="DX165" i="55" s="1"/>
  <c r="DG165" i="55" a="1"/>
  <c r="DG165" i="55" s="1"/>
  <c r="DF165" i="55" a="1"/>
  <c r="DF165" i="55" s="1"/>
  <c r="FM198" i="55"/>
  <c r="FN198" i="55"/>
  <c r="FL198" i="55"/>
  <c r="FP198" i="55"/>
  <c r="FJ198" i="55"/>
  <c r="FI198" i="55"/>
  <c r="FO198" i="55"/>
  <c r="FK198" i="55"/>
  <c r="FQ198" i="55"/>
  <c r="BQ167" i="55"/>
  <c r="BQ137" i="55"/>
  <c r="GG267" i="55"/>
  <c r="GD267" i="55"/>
  <c r="O267" i="55" a="1"/>
  <c r="O267" i="55" s="1"/>
  <c r="DF331" i="55" a="1"/>
  <c r="DF331" i="55" s="1"/>
  <c r="DE331" i="55" a="1"/>
  <c r="DE331" i="55" s="1"/>
  <c r="DH331" i="55"/>
  <c r="DX331" i="55" s="1"/>
  <c r="DG331" i="55" a="1"/>
  <c r="DG331" i="55" s="1"/>
  <c r="JW56" i="55"/>
  <c r="IC56" i="55"/>
  <c r="GB56" i="55"/>
  <c r="GC56" i="55" s="1"/>
  <c r="DS56" i="55"/>
  <c r="U56" i="55"/>
  <c r="CR56" i="55" a="1"/>
  <c r="CR56" i="55" s="1"/>
  <c r="V56" i="55"/>
  <c r="GX93" i="55"/>
  <c r="GY93" i="55"/>
  <c r="GG237" i="55"/>
  <c r="GD237" i="55"/>
  <c r="GE237" i="55" s="1" a="1"/>
  <c r="GE237" i="55" s="1"/>
  <c r="GF237" i="55" s="1"/>
  <c r="FY285" i="55"/>
  <c r="FX285" i="55" a="1"/>
  <c r="FX285" i="55" s="1"/>
  <c r="DH333" i="55"/>
  <c r="DX333" i="55" s="1"/>
  <c r="DE333" i="55" a="1"/>
  <c r="DE333" i="55" s="1"/>
  <c r="DF333" i="55" a="1"/>
  <c r="DF333" i="55" s="1"/>
  <c r="DG333" i="55" a="1"/>
  <c r="DG333" i="55" s="1"/>
  <c r="GY141" i="55"/>
  <c r="GX141" i="55"/>
  <c r="GY189" i="55"/>
  <c r="GX189" i="55"/>
  <c r="FY221" i="55"/>
  <c r="FX221" i="55" a="1"/>
  <c r="FX221" i="55" s="1"/>
  <c r="FZ221" i="55" s="1"/>
  <c r="FY269" i="55"/>
  <c r="FX269" i="55" a="1"/>
  <c r="FX269" i="55" s="1"/>
  <c r="FY317" i="55"/>
  <c r="FX317" i="55" a="1"/>
  <c r="FX317" i="55" s="1"/>
  <c r="FZ317" i="55" s="1"/>
  <c r="JW331" i="55"/>
  <c r="IC331" i="55"/>
  <c r="FW331" i="55"/>
  <c r="DS331" i="55"/>
  <c r="GB331" i="55"/>
  <c r="GC331" i="55" s="1"/>
  <c r="GE331" i="55" s="1" a="1"/>
  <c r="GE331" i="55" s="1"/>
  <c r="GF331" i="55" s="1"/>
  <c r="CR331" i="55" a="1"/>
  <c r="CR331" i="55" s="1"/>
  <c r="CS331" i="55" s="1"/>
  <c r="V331" i="55"/>
  <c r="U331" i="55"/>
  <c r="GS221" i="55"/>
  <c r="EL51" i="55"/>
  <c r="FA275" i="55"/>
  <c r="U203" i="55"/>
  <c r="GS179" i="55"/>
  <c r="GD290" i="55"/>
  <c r="GG290" i="55"/>
  <c r="O290" i="55" a="1"/>
  <c r="O290" i="55" s="1"/>
  <c r="FX48" i="55" a="1"/>
  <c r="FX48" i="55" s="1"/>
  <c r="FY48" i="55"/>
  <c r="FA144" i="55"/>
  <c r="EL144" i="55"/>
  <c r="CZ304" i="55"/>
  <c r="DA304" i="55" s="1"/>
  <c r="FX320" i="55" a="1"/>
  <c r="FX320" i="55" s="1"/>
  <c r="FY320" i="55"/>
  <c r="GD19" i="55"/>
  <c r="GG19" i="55"/>
  <c r="GD83" i="55"/>
  <c r="GG83" i="55"/>
  <c r="O83" i="55" a="1"/>
  <c r="O83" i="55" s="1"/>
  <c r="GX131" i="55"/>
  <c r="GY131" i="55"/>
  <c r="GX195" i="55"/>
  <c r="GY195" i="55"/>
  <c r="CZ70" i="55"/>
  <c r="DA70" i="55" s="1"/>
  <c r="GE257" i="55" a="1"/>
  <c r="GE257" i="55" s="1"/>
  <c r="GF257" i="55" s="1"/>
  <c r="FY179" i="55"/>
  <c r="FX179" i="55" a="1"/>
  <c r="FX179" i="55" s="1"/>
  <c r="FA162" i="55"/>
  <c r="EL162" i="55"/>
  <c r="DE178" i="55" a="1"/>
  <c r="DE178" i="55" s="1"/>
  <c r="DF178" i="55" a="1"/>
  <c r="DF178" i="55" s="1"/>
  <c r="DG178" i="55" a="1"/>
  <c r="DG178" i="55" s="1"/>
  <c r="DH178" i="55"/>
  <c r="DX178" i="55" s="1"/>
  <c r="DG194" i="55" a="1"/>
  <c r="DG194" i="55" s="1"/>
  <c r="DE194" i="55" a="1"/>
  <c r="DE194" i="55" s="1"/>
  <c r="DF194" i="55" a="1"/>
  <c r="DF194" i="55" s="1"/>
  <c r="DH194" i="55"/>
  <c r="DX194" i="55" s="1"/>
  <c r="FX226" i="55" a="1"/>
  <c r="FX226" i="55" s="1"/>
  <c r="FY226" i="55"/>
  <c r="GX274" i="55"/>
  <c r="GY274" i="55"/>
  <c r="GL337" i="55"/>
  <c r="O337" i="55" a="1"/>
  <c r="O337" i="55" s="1"/>
  <c r="EV337" i="55" s="1"/>
  <c r="EW337" i="55" s="1"/>
  <c r="FY69" i="55"/>
  <c r="FX69" i="55" a="1"/>
  <c r="FX69" i="55" s="1"/>
  <c r="FZ69" i="55" s="1"/>
  <c r="GY197" i="55"/>
  <c r="GX197" i="55"/>
  <c r="S144" i="55"/>
  <c r="GX54" i="55"/>
  <c r="GY54" i="55"/>
  <c r="DE133" i="55" a="1"/>
  <c r="DE133" i="55" s="1"/>
  <c r="DG133" i="55" a="1"/>
  <c r="DG133" i="55" s="1"/>
  <c r="DH133" i="55"/>
  <c r="DX133" i="55" s="1"/>
  <c r="DF133" i="55" a="1"/>
  <c r="DF133" i="55" s="1"/>
  <c r="FY181" i="55"/>
  <c r="FX181" i="55" a="1"/>
  <c r="FX181" i="55" s="1"/>
  <c r="DE229" i="55" a="1"/>
  <c r="DE229" i="55" s="1"/>
  <c r="DH229" i="55"/>
  <c r="DX229" i="55" s="1"/>
  <c r="DG229" i="55" a="1"/>
  <c r="DG229" i="55" s="1"/>
  <c r="DF229" i="55" a="1"/>
  <c r="DF229" i="55" s="1"/>
  <c r="GY309" i="55"/>
  <c r="GX309" i="55"/>
  <c r="DE341" i="55" a="1"/>
  <c r="DE341" i="55" s="1"/>
  <c r="DH341" i="55"/>
  <c r="DX341" i="55" s="1"/>
  <c r="DG341" i="55" a="1"/>
  <c r="DG341" i="55" s="1"/>
  <c r="DF341" i="55" a="1"/>
  <c r="DF341" i="55" s="1"/>
  <c r="GP67" i="55"/>
  <c r="FM247" i="55"/>
  <c r="FN247" i="55"/>
  <c r="FO247" i="55"/>
  <c r="FJ247" i="55"/>
  <c r="FQ247" i="55"/>
  <c r="FI247" i="55"/>
  <c r="FL247" i="55"/>
  <c r="FK247" i="55"/>
  <c r="FP247" i="55"/>
  <c r="FL40" i="55"/>
  <c r="FM40" i="55"/>
  <c r="FK40" i="55"/>
  <c r="FN40" i="55"/>
  <c r="FJ40" i="55"/>
  <c r="FQ40" i="55"/>
  <c r="FO40" i="55"/>
  <c r="FP40" i="55"/>
  <c r="FI40" i="55"/>
  <c r="JW253" i="55"/>
  <c r="IC253" i="55"/>
  <c r="GB253" i="55"/>
  <c r="GC253" i="55" s="1"/>
  <c r="GE253" i="55" s="1" a="1"/>
  <c r="GE253" i="55" s="1"/>
  <c r="GF253" i="55" s="1"/>
  <c r="DS253" i="55"/>
  <c r="CR253" i="55" a="1"/>
  <c r="CR253" i="55" s="1"/>
  <c r="V253" i="55"/>
  <c r="U253" i="55"/>
  <c r="FL297" i="55"/>
  <c r="FM297" i="55"/>
  <c r="FP297" i="55"/>
  <c r="FK297" i="55"/>
  <c r="FR297" i="55"/>
  <c r="FO297" i="55"/>
  <c r="FJ297" i="55"/>
  <c r="FN297" i="55"/>
  <c r="FI297" i="55"/>
  <c r="FQ297" i="55"/>
  <c r="CR237" i="55" a="1"/>
  <c r="CR237" i="55" s="1"/>
  <c r="EY150" i="55"/>
  <c r="R150" i="55" s="1"/>
  <c r="EY214" i="55"/>
  <c r="R214" i="55" s="1"/>
  <c r="EY278" i="55"/>
  <c r="EY342" i="55"/>
  <c r="CE158" i="55" a="1"/>
  <c r="CE158" i="55" s="1"/>
  <c r="FQ206" i="55"/>
  <c r="FI206" i="55"/>
  <c r="FR206" i="55"/>
  <c r="FJ206" i="55"/>
  <c r="FN206" i="55"/>
  <c r="FP206" i="55"/>
  <c r="FK206" i="55"/>
  <c r="FO206" i="55"/>
  <c r="FL206" i="55"/>
  <c r="FM206" i="55"/>
  <c r="FQ302" i="55"/>
  <c r="FI302" i="55"/>
  <c r="FR302" i="55"/>
  <c r="FJ302" i="55"/>
  <c r="FN302" i="55"/>
  <c r="FL302" i="55"/>
  <c r="FO302" i="55"/>
  <c r="FM302" i="55"/>
  <c r="FP302" i="55"/>
  <c r="FK302" i="55"/>
  <c r="EY72" i="55"/>
  <c r="R72" i="55" s="1"/>
  <c r="EY136" i="55"/>
  <c r="EY200" i="55"/>
  <c r="R200" i="55" s="1"/>
  <c r="EY264" i="55"/>
  <c r="R264" i="55" s="1"/>
  <c r="EY328" i="55"/>
  <c r="R328" i="55" s="1"/>
  <c r="GY108" i="55"/>
  <c r="GX108" i="55"/>
  <c r="GX236" i="55"/>
  <c r="GY236" i="55"/>
  <c r="DH284" i="55"/>
  <c r="DX284" i="55" s="1"/>
  <c r="DF284" i="55" a="1"/>
  <c r="DF284" i="55" s="1"/>
  <c r="DG284" i="55" a="1"/>
  <c r="DG284" i="55" s="1"/>
  <c r="DE284" i="55" a="1"/>
  <c r="DE284" i="55" s="1"/>
  <c r="FY348" i="55"/>
  <c r="FX348" i="55" a="1"/>
  <c r="FX348" i="55" s="1"/>
  <c r="JW300" i="55"/>
  <c r="IC300" i="55"/>
  <c r="DS300" i="55"/>
  <c r="FW300" i="55"/>
  <c r="CR300" i="55" a="1"/>
  <c r="CR300" i="55" s="1"/>
  <c r="CS300" i="55" s="1"/>
  <c r="GB300" i="55"/>
  <c r="GC300" i="55" s="1"/>
  <c r="GE300" i="55" s="1" a="1"/>
  <c r="GE300" i="55" s="1"/>
  <c r="GF300" i="55" s="1"/>
  <c r="V300" i="55"/>
  <c r="U300" i="55"/>
  <c r="FP80" i="55"/>
  <c r="FH80" i="55"/>
  <c r="FL80" i="55" s="1"/>
  <c r="FQ80" i="55"/>
  <c r="FI80" i="55"/>
  <c r="FM80" i="55"/>
  <c r="FR80" i="55"/>
  <c r="FN80" i="55"/>
  <c r="FJ80" i="55"/>
  <c r="FO80" i="55"/>
  <c r="FK80" i="55"/>
  <c r="FP160" i="55"/>
  <c r="FQ160" i="55"/>
  <c r="FI160" i="55"/>
  <c r="FO160" i="55"/>
  <c r="FL160" i="55"/>
  <c r="FR160" i="55"/>
  <c r="FN160" i="55"/>
  <c r="FJ160" i="55"/>
  <c r="FK160" i="55"/>
  <c r="FM160" i="55"/>
  <c r="ID206" i="55" a="1"/>
  <c r="ID206" i="55" s="1"/>
  <c r="IE206" i="55" a="1"/>
  <c r="IE206" i="55" s="1"/>
  <c r="GS57" i="55"/>
  <c r="GS185" i="55"/>
  <c r="GS313" i="55"/>
  <c r="R46" i="55"/>
  <c r="EY111" i="55"/>
  <c r="FO98" i="55"/>
  <c r="FP98" i="55"/>
  <c r="FH98" i="55"/>
  <c r="FJ98" i="55"/>
  <c r="FR98" i="55"/>
  <c r="FK98" i="55"/>
  <c r="FL98" i="55"/>
  <c r="FM98" i="55"/>
  <c r="FN98" i="55"/>
  <c r="FI98" i="55"/>
  <c r="FQ98" i="55"/>
  <c r="FO274" i="55"/>
  <c r="FP274" i="55"/>
  <c r="FL274" i="55"/>
  <c r="FJ274" i="55"/>
  <c r="FK274" i="55"/>
  <c r="FI274" i="55"/>
  <c r="FN274" i="55"/>
  <c r="FM274" i="55"/>
  <c r="FQ274" i="55"/>
  <c r="FZ271" i="55"/>
  <c r="BP24" i="54" a="1"/>
  <c r="BP24" i="54" s="1"/>
  <c r="BL24" i="54" a="1"/>
  <c r="BL24" i="54" s="1"/>
  <c r="AJ24" i="54" a="1"/>
  <c r="AJ24" i="54" s="1"/>
  <c r="B24" i="54" s="1"/>
  <c r="AG24" i="54" s="1"/>
  <c r="V24" i="54" a="1"/>
  <c r="V24" i="54" s="1"/>
  <c r="BX24" i="54" a="1"/>
  <c r="BX24" i="54" s="1"/>
  <c r="GY20" i="55"/>
  <c r="GX20" i="55"/>
  <c r="GD260" i="55"/>
  <c r="GE260" i="55" s="1" a="1"/>
  <c r="GE260" i="55" s="1"/>
  <c r="GF260" i="55" s="1"/>
  <c r="GG260" i="55"/>
  <c r="CE260" i="55" a="1"/>
  <c r="CE260" i="55" s="1"/>
  <c r="DE308" i="55" a="1"/>
  <c r="DE308" i="55" s="1"/>
  <c r="DF308" i="55" a="1"/>
  <c r="DF308" i="55" s="1"/>
  <c r="DG308" i="55" a="1"/>
  <c r="DG308" i="55" s="1"/>
  <c r="DH308" i="55"/>
  <c r="DX308" i="55" s="1"/>
  <c r="GG56" i="55"/>
  <c r="GD56" i="55"/>
  <c r="CE56" i="55" a="1"/>
  <c r="CE56" i="55" s="1"/>
  <c r="O56" i="55" s="1" a="1"/>
  <c r="O56" i="55" s="1"/>
  <c r="BQ56" i="55"/>
  <c r="GX88" i="55"/>
  <c r="GY88" i="55"/>
  <c r="FY152" i="55"/>
  <c r="FX152" i="55" a="1"/>
  <c r="FX152" i="55" s="1"/>
  <c r="FZ152" i="55" s="1"/>
  <c r="DH184" i="55"/>
  <c r="DX184" i="55" s="1"/>
  <c r="DF184" i="55" a="1"/>
  <c r="DF184" i="55" s="1"/>
  <c r="DE184" i="55" a="1"/>
  <c r="DE184" i="55" s="1"/>
  <c r="DG184" i="55" a="1"/>
  <c r="DG184" i="55" s="1"/>
  <c r="JW120" i="55"/>
  <c r="IC120" i="55"/>
  <c r="GB120" i="55"/>
  <c r="GC120" i="55" s="1"/>
  <c r="GE120" i="55" s="1" a="1"/>
  <c r="GE120" i="55" s="1"/>
  <c r="GF120" i="55" s="1"/>
  <c r="DS120" i="55"/>
  <c r="DX120" i="55"/>
  <c r="V120" i="55"/>
  <c r="CR120" i="55" a="1"/>
  <c r="CR120" i="55" s="1"/>
  <c r="U120" i="55"/>
  <c r="GS245" i="55"/>
  <c r="FX9" i="55" a="1"/>
  <c r="FX9" i="55" s="1"/>
  <c r="FY9" i="55"/>
  <c r="GX25" i="55"/>
  <c r="GY25" i="55"/>
  <c r="GG185" i="55"/>
  <c r="GD185" i="55"/>
  <c r="CE185" i="55" a="1"/>
  <c r="CE185" i="55" s="1"/>
  <c r="EK185" i="55" s="1"/>
  <c r="O185" i="55" a="1"/>
  <c r="O185" i="55" s="1"/>
  <c r="BQ185" i="55"/>
  <c r="GX217" i="55"/>
  <c r="GY217" i="55"/>
  <c r="GD265" i="55"/>
  <c r="GE265" i="55" s="1" a="1"/>
  <c r="GE265" i="55" s="1"/>
  <c r="GF265" i="55" s="1"/>
  <c r="GG265" i="55"/>
  <c r="JW296" i="55"/>
  <c r="GB296" i="55"/>
  <c r="GC296" i="55" s="1"/>
  <c r="GE296" i="55" s="1" a="1"/>
  <c r="GE296" i="55" s="1"/>
  <c r="GF296" i="55" s="1"/>
  <c r="IC296" i="55"/>
  <c r="FW296" i="55"/>
  <c r="CR296" i="55" a="1"/>
  <c r="CR296" i="55" s="1"/>
  <c r="CS296" i="55" s="1"/>
  <c r="DS296" i="55"/>
  <c r="V296" i="55"/>
  <c r="U296" i="55"/>
  <c r="GX74" i="55"/>
  <c r="GY74" i="55"/>
  <c r="FX202" i="55" a="1"/>
  <c r="FX202" i="55" s="1"/>
  <c r="FY202" i="55"/>
  <c r="GG250" i="55"/>
  <c r="GD250" i="55"/>
  <c r="BQ250" i="55"/>
  <c r="GG298" i="55"/>
  <c r="GD298" i="55"/>
  <c r="BQ298" i="55"/>
  <c r="CE298" i="55" a="1"/>
  <c r="CE298" i="55" s="1"/>
  <c r="FR298" i="55" s="1"/>
  <c r="DH346" i="55"/>
  <c r="DX346" i="55" s="1"/>
  <c r="DG346" i="55" a="1"/>
  <c r="DG346" i="55" s="1"/>
  <c r="DE346" i="55" a="1"/>
  <c r="DE346" i="55" s="1"/>
  <c r="DF346" i="55" a="1"/>
  <c r="DF346" i="55" s="1"/>
  <c r="FY139" i="55"/>
  <c r="FX139" i="55" a="1"/>
  <c r="FX139" i="55" s="1"/>
  <c r="FZ139" i="55" s="1"/>
  <c r="DF299" i="55" a="1"/>
  <c r="DF299" i="55" s="1"/>
  <c r="DE299" i="55" a="1"/>
  <c r="DE299" i="55" s="1"/>
  <c r="DG299" i="55" a="1"/>
  <c r="DG299" i="55" s="1"/>
  <c r="DH299" i="55"/>
  <c r="GX61" i="55"/>
  <c r="GY61" i="55"/>
  <c r="DH93" i="55"/>
  <c r="DX93" i="55" s="1"/>
  <c r="DE93" i="55" a="1"/>
  <c r="DE93" i="55" s="1"/>
  <c r="DF93" i="55" a="1"/>
  <c r="DF93" i="55" s="1"/>
  <c r="DG93" i="55" a="1"/>
  <c r="DG93" i="55" s="1"/>
  <c r="GY301" i="55"/>
  <c r="GX301" i="55"/>
  <c r="GY77" i="55"/>
  <c r="GX77" i="55"/>
  <c r="GS61" i="55"/>
  <c r="FZ313" i="55"/>
  <c r="GY275" i="55"/>
  <c r="GX275" i="55"/>
  <c r="GS67" i="55"/>
  <c r="BI222" i="55" a="1"/>
  <c r="BI222" i="55" s="1"/>
  <c r="GY16" i="55"/>
  <c r="GX16" i="55"/>
  <c r="GD128" i="55"/>
  <c r="GE128" i="55" s="1" a="1"/>
  <c r="GE128" i="55" s="1"/>
  <c r="GF128" i="55" s="1"/>
  <c r="GG128" i="55"/>
  <c r="DF176" i="55" a="1"/>
  <c r="DF176" i="55" s="1"/>
  <c r="DG176" i="55" a="1"/>
  <c r="DG176" i="55" s="1"/>
  <c r="DE176" i="55" a="1"/>
  <c r="DE176" i="55" s="1"/>
  <c r="DH176" i="55"/>
  <c r="DX176" i="55" s="1"/>
  <c r="FY192" i="55"/>
  <c r="FX192" i="55" a="1"/>
  <c r="FX192" i="55" s="1"/>
  <c r="GG240" i="55"/>
  <c r="GD240" i="55"/>
  <c r="GE240" i="55" s="1" a="1"/>
  <c r="GE240" i="55" s="1"/>
  <c r="GF240" i="55" s="1"/>
  <c r="O240" i="55" a="1"/>
  <c r="O240" i="55" s="1"/>
  <c r="GG256" i="55"/>
  <c r="GD256" i="55"/>
  <c r="GE256" i="55" s="1" a="1"/>
  <c r="GE256" i="55" s="1"/>
  <c r="GF256" i="55" s="1"/>
  <c r="CE256" i="55" a="1"/>
  <c r="CE256" i="55" s="1"/>
  <c r="FR256" i="55" s="1"/>
  <c r="GX304" i="55"/>
  <c r="GY304" i="55"/>
  <c r="GD336" i="55"/>
  <c r="GE336" i="55" s="1" a="1"/>
  <c r="GE336" i="55" s="1"/>
  <c r="GF336" i="55" s="1"/>
  <c r="T336" i="55"/>
  <c r="GY352" i="55"/>
  <c r="GX352" i="55"/>
  <c r="GY19" i="55"/>
  <c r="GX19" i="55"/>
  <c r="DF211" i="55" a="1"/>
  <c r="DF211" i="55" s="1"/>
  <c r="DE211" i="55" a="1"/>
  <c r="DE211" i="55" s="1"/>
  <c r="DH211" i="55"/>
  <c r="DX211" i="55" s="1"/>
  <c r="DG211" i="55" a="1"/>
  <c r="DG211" i="55" s="1"/>
  <c r="DF323" i="55" a="1"/>
  <c r="DF323" i="55" s="1"/>
  <c r="DG323" i="55" a="1"/>
  <c r="DG323" i="55" s="1"/>
  <c r="DE323" i="55" a="1"/>
  <c r="DE323" i="55" s="1"/>
  <c r="DH323" i="55"/>
  <c r="DX323" i="55" s="1"/>
  <c r="FA68" i="55"/>
  <c r="FB68" i="55"/>
  <c r="CU303" i="55" a="1"/>
  <c r="CU303" i="55" s="1"/>
  <c r="CT303" i="55" a="1"/>
  <c r="CT303" i="55" s="1"/>
  <c r="GS76" i="55"/>
  <c r="GY18" i="55"/>
  <c r="GX18" i="55"/>
  <c r="DE50" i="55" a="1"/>
  <c r="DE50" i="55" s="1"/>
  <c r="DF50" i="55" a="1"/>
  <c r="DF50" i="55" s="1"/>
  <c r="DG50" i="55" a="1"/>
  <c r="DG50" i="55" s="1"/>
  <c r="DH50" i="55"/>
  <c r="DX50" i="55" s="1"/>
  <c r="DG98" i="55" a="1"/>
  <c r="DG98" i="55" s="1"/>
  <c r="DE98" i="55" a="1"/>
  <c r="DE98" i="55" s="1"/>
  <c r="DF98" i="55" a="1"/>
  <c r="DF98" i="55" s="1"/>
  <c r="DH98" i="55"/>
  <c r="DX98" i="55" s="1"/>
  <c r="FA146" i="55"/>
  <c r="EL146" i="55"/>
  <c r="GD162" i="55"/>
  <c r="GG162" i="55"/>
  <c r="BQ162" i="55"/>
  <c r="CE162" i="55" a="1"/>
  <c r="CE162" i="55" s="1"/>
  <c r="O162" i="55" a="1"/>
  <c r="O162" i="55" s="1"/>
  <c r="FX210" i="55" a="1"/>
  <c r="FX210" i="55" s="1"/>
  <c r="FZ210" i="55" s="1"/>
  <c r="FY210" i="55"/>
  <c r="EY23" i="55"/>
  <c r="R23" i="55" s="1"/>
  <c r="EY315" i="55"/>
  <c r="CZ37" i="55"/>
  <c r="DA37" i="55" s="1"/>
  <c r="DE85" i="55" a="1"/>
  <c r="DE85" i="55" s="1"/>
  <c r="DH85" i="55"/>
  <c r="DX85" i="55" s="1"/>
  <c r="DF85" i="55" a="1"/>
  <c r="DF85" i="55" s="1"/>
  <c r="DG85" i="55" a="1"/>
  <c r="DG85" i="55" s="1"/>
  <c r="GY117" i="55"/>
  <c r="GX117" i="55"/>
  <c r="DE245" i="55" a="1"/>
  <c r="DE245" i="55" s="1"/>
  <c r="DF245" i="55" a="1"/>
  <c r="DF245" i="55" s="1"/>
  <c r="DG245" i="55" a="1"/>
  <c r="DG245" i="55" s="1"/>
  <c r="DH245" i="55"/>
  <c r="DX245" i="55" s="1"/>
  <c r="GX247" i="55"/>
  <c r="GY247" i="55"/>
  <c r="GX118" i="55"/>
  <c r="GY118" i="55"/>
  <c r="FY246" i="55"/>
  <c r="FX246" i="55" a="1"/>
  <c r="FX246" i="55" s="1"/>
  <c r="CZ133" i="55"/>
  <c r="DA133" i="55" s="1"/>
  <c r="DE277" i="55" a="1"/>
  <c r="DE277" i="55" s="1"/>
  <c r="DH277" i="55"/>
  <c r="DX277" i="55" s="1"/>
  <c r="DF277" i="55" a="1"/>
  <c r="DF277" i="55" s="1"/>
  <c r="DG277" i="55" a="1"/>
  <c r="DG277" i="55" s="1"/>
  <c r="FY309" i="55"/>
  <c r="FX309" i="55" a="1"/>
  <c r="FX309" i="55" s="1"/>
  <c r="U329" i="55"/>
  <c r="V329" i="55"/>
  <c r="FM56" i="55"/>
  <c r="FO56" i="55"/>
  <c r="FJ56" i="55"/>
  <c r="FP56" i="55"/>
  <c r="FH56" i="55"/>
  <c r="FL56" i="55" s="1"/>
  <c r="FK56" i="55"/>
  <c r="FN56" i="55"/>
  <c r="FI56" i="55"/>
  <c r="FQ56" i="55"/>
  <c r="EL66" i="55"/>
  <c r="BY3" i="40" a="1"/>
  <c r="BY3" i="40" s="1"/>
  <c r="FM152" i="55"/>
  <c r="FI152" i="55"/>
  <c r="FK152" i="55"/>
  <c r="FN152" i="55"/>
  <c r="FJ152" i="55"/>
  <c r="FQ152" i="55"/>
  <c r="FO152" i="55"/>
  <c r="FP152" i="55"/>
  <c r="FH152" i="55"/>
  <c r="FL152" i="55" s="1"/>
  <c r="DG302" i="55" a="1"/>
  <c r="DG302" i="55" s="1"/>
  <c r="DH302" i="55"/>
  <c r="DX302" i="55" s="1"/>
  <c r="DF302" i="55" a="1"/>
  <c r="DF302" i="55" s="1"/>
  <c r="DE302" i="55" a="1"/>
  <c r="DE302" i="55" s="1"/>
  <c r="IC302" i="55"/>
  <c r="GP198" i="55"/>
  <c r="S198" i="55"/>
  <c r="CU23" i="55" a="1"/>
  <c r="CU23" i="55" s="1"/>
  <c r="CT23" i="55" a="1"/>
  <c r="CT23" i="55" s="1"/>
  <c r="FQ303" i="55"/>
  <c r="FI303" i="55"/>
  <c r="FJ303" i="55"/>
  <c r="FN303" i="55"/>
  <c r="FK303" i="55"/>
  <c r="FL303" i="55"/>
  <c r="FM303" i="55"/>
  <c r="FP303" i="55"/>
  <c r="FO303" i="55"/>
  <c r="FA235" i="55"/>
  <c r="FB235" i="55"/>
  <c r="GX29" i="55"/>
  <c r="GY29" i="55"/>
  <c r="FY237" i="55"/>
  <c r="FX237" i="55" a="1"/>
  <c r="FX237" i="55" s="1"/>
  <c r="DH301" i="55"/>
  <c r="DX301" i="55" s="1"/>
  <c r="DE301" i="55" a="1"/>
  <c r="DE301" i="55" s="1"/>
  <c r="DF301" i="55" a="1"/>
  <c r="DF301" i="55" s="1"/>
  <c r="DG301" i="55" a="1"/>
  <c r="DG301" i="55" s="1"/>
  <c r="EL189" i="55"/>
  <c r="GX317" i="55"/>
  <c r="GY317" i="55"/>
  <c r="GG247" i="55"/>
  <c r="GD247" i="55"/>
  <c r="GE247" i="55" s="1" a="1"/>
  <c r="GE247" i="55" s="1"/>
  <c r="GF247" i="55" s="1"/>
  <c r="BQ247" i="55"/>
  <c r="CE247" i="55" a="1"/>
  <c r="CE247" i="55" s="1"/>
  <c r="O247" i="55" a="1"/>
  <c r="O247" i="55" s="1"/>
  <c r="GG112" i="55"/>
  <c r="GD112" i="55"/>
  <c r="GE112" i="55" s="1" a="1"/>
  <c r="GE112" i="55" s="1"/>
  <c r="GF112" i="55" s="1"/>
  <c r="O112" i="55" a="1"/>
  <c r="O112" i="55" s="1"/>
  <c r="FY144" i="55"/>
  <c r="FX144" i="55" a="1"/>
  <c r="FX144" i="55" s="1"/>
  <c r="GY160" i="55"/>
  <c r="GX160" i="55"/>
  <c r="FY256" i="55"/>
  <c r="FX256" i="55" a="1"/>
  <c r="FX256" i="55" s="1"/>
  <c r="FZ256" i="55" s="1"/>
  <c r="CZ272" i="55"/>
  <c r="DA272" i="55" s="1"/>
  <c r="DF304" i="55" a="1"/>
  <c r="DF304" i="55" s="1"/>
  <c r="DG304" i="55" a="1"/>
  <c r="DG304" i="55" s="1"/>
  <c r="DE304" i="55" a="1"/>
  <c r="DE304" i="55" s="1"/>
  <c r="DH304" i="55"/>
  <c r="DX304" i="55" s="1"/>
  <c r="CZ336" i="55"/>
  <c r="DA336" i="55" s="1"/>
  <c r="FA197" i="55"/>
  <c r="FB197" i="55"/>
  <c r="DF19" i="55" a="1"/>
  <c r="DF19" i="55" s="1"/>
  <c r="DE19" i="55" a="1"/>
  <c r="DE19" i="55" s="1"/>
  <c r="DH19" i="55"/>
  <c r="DX19" i="55" s="1"/>
  <c r="DG19" i="55" a="1"/>
  <c r="DG19" i="55" s="1"/>
  <c r="GX259" i="55"/>
  <c r="GY259" i="55"/>
  <c r="GX323" i="55"/>
  <c r="GY323" i="55"/>
  <c r="FY291" i="55"/>
  <c r="FX291" i="55" a="1"/>
  <c r="FX291" i="55" s="1"/>
  <c r="GS332" i="55"/>
  <c r="FX50" i="55" a="1"/>
  <c r="FX50" i="55" s="1"/>
  <c r="FY50" i="55"/>
  <c r="FB69" i="55"/>
  <c r="FA69" i="55"/>
  <c r="GY5" i="55"/>
  <c r="GX5" i="55"/>
  <c r="DE69" i="55" a="1"/>
  <c r="DE69" i="55" s="1"/>
  <c r="DG69" i="55" a="1"/>
  <c r="DG69" i="55" s="1"/>
  <c r="DF69" i="55" a="1"/>
  <c r="DF69" i="55" s="1"/>
  <c r="DH69" i="55"/>
  <c r="DX69" i="55" s="1"/>
  <c r="FA245" i="55"/>
  <c r="FB245" i="55"/>
  <c r="GG151" i="55"/>
  <c r="GD151" i="55"/>
  <c r="GE151" i="55" s="1" a="1"/>
  <c r="GE151" i="55" s="1"/>
  <c r="GF151" i="55" s="1"/>
  <c r="CE151" i="55" a="1"/>
  <c r="CE151" i="55" s="1"/>
  <c r="FR151" i="55" s="1"/>
  <c r="BQ151" i="55"/>
  <c r="CZ247" i="55"/>
  <c r="DA247" i="55" s="1"/>
  <c r="GG311" i="55"/>
  <c r="GD311" i="55"/>
  <c r="GE311" i="55" s="1" a="1"/>
  <c r="GE311" i="55" s="1"/>
  <c r="GF311" i="55" s="1"/>
  <c r="BQ311" i="55"/>
  <c r="CE311" i="55" a="1"/>
  <c r="CE311" i="55" s="1"/>
  <c r="FX53" i="55" a="1"/>
  <c r="FX53" i="55" s="1"/>
  <c r="FY53" i="55"/>
  <c r="BQ260" i="55"/>
  <c r="BQ262" i="55"/>
  <c r="EY268" i="55"/>
  <c r="R268" i="55" s="1"/>
  <c r="JW42" i="55"/>
  <c r="IC42" i="55"/>
  <c r="GB42" i="55"/>
  <c r="GC42" i="55" s="1"/>
  <c r="GE42" i="55" s="1" a="1"/>
  <c r="GE42" i="55" s="1"/>
  <c r="GF42" i="55" s="1"/>
  <c r="DS42" i="55"/>
  <c r="GT42" i="55"/>
  <c r="DX42" i="55"/>
  <c r="CR42" i="55" a="1"/>
  <c r="CR42" i="55" s="1"/>
  <c r="U42" i="55"/>
  <c r="V42" i="55"/>
  <c r="EL275" i="55"/>
  <c r="FL312" i="55"/>
  <c r="FM312" i="55"/>
  <c r="FO312" i="55"/>
  <c r="FJ312" i="55"/>
  <c r="FP312" i="55"/>
  <c r="FK312" i="55"/>
  <c r="FN312" i="55"/>
  <c r="FR312" i="55"/>
  <c r="FH312" i="55"/>
  <c r="FQ312" i="55"/>
  <c r="FI312" i="55"/>
  <c r="EL101" i="55"/>
  <c r="FX123" i="55" a="1"/>
  <c r="FX123" i="55" s="1"/>
  <c r="FY123" i="55"/>
  <c r="DF139" i="55" a="1"/>
  <c r="DF139" i="55" s="1"/>
  <c r="DH139" i="55"/>
  <c r="DX139" i="55" s="1"/>
  <c r="DG139" i="55" a="1"/>
  <c r="DG139" i="55" s="1"/>
  <c r="DE139" i="55" a="1"/>
  <c r="DE139" i="55" s="1"/>
  <c r="GX155" i="55"/>
  <c r="GY155" i="55"/>
  <c r="GY171" i="55"/>
  <c r="GX171" i="55"/>
  <c r="GG235" i="55"/>
  <c r="GD235" i="55"/>
  <c r="CE235" i="55" a="1"/>
  <c r="CE235" i="55" s="1"/>
  <c r="FR235" i="55" s="1"/>
  <c r="CU103" i="55" a="1"/>
  <c r="CU103" i="55" s="1"/>
  <c r="CT103" i="55" a="1"/>
  <c r="CT103" i="55" s="1"/>
  <c r="ID103" i="55" a="1"/>
  <c r="ID103" i="55" s="1"/>
  <c r="IE103" i="55" a="1"/>
  <c r="IE103" i="55" s="1"/>
  <c r="DH29" i="55"/>
  <c r="DX29" i="55" s="1"/>
  <c r="DE29" i="55" a="1"/>
  <c r="DE29" i="55" s="1"/>
  <c r="DF29" i="55" a="1"/>
  <c r="DF29" i="55" s="1"/>
  <c r="DG29" i="55" a="1"/>
  <c r="DG29" i="55" s="1"/>
  <c r="DH61" i="55"/>
  <c r="DE61" i="55" a="1"/>
  <c r="DE61" i="55" s="1"/>
  <c r="DF61" i="55" a="1"/>
  <c r="DF61" i="55" s="1"/>
  <c r="DG61" i="55" a="1"/>
  <c r="DG61" i="55" s="1"/>
  <c r="FY205" i="55"/>
  <c r="FX205" i="55" a="1"/>
  <c r="FX205" i="55" s="1"/>
  <c r="FY253" i="55"/>
  <c r="FX253" i="55" a="1"/>
  <c r="FX253" i="55" s="1"/>
  <c r="FZ253" i="55" s="1"/>
  <c r="GX285" i="55"/>
  <c r="GY285" i="55"/>
  <c r="GG189" i="55"/>
  <c r="GD189" i="55"/>
  <c r="GX221" i="55"/>
  <c r="GY221" i="55"/>
  <c r="JE47" i="55"/>
  <c r="JL47" i="55"/>
  <c r="GD147" i="55"/>
  <c r="GG147" i="55"/>
  <c r="BQ147" i="55"/>
  <c r="O147" i="55" a="1"/>
  <c r="O147" i="55" s="1"/>
  <c r="EV147" i="55" s="1"/>
  <c r="EW147" i="55" s="1"/>
  <c r="GD275" i="55"/>
  <c r="GG275" i="55"/>
  <c r="GS323" i="55"/>
  <c r="FA286" i="55"/>
  <c r="EL286" i="55"/>
  <c r="FY160" i="55"/>
  <c r="FX160" i="55" a="1"/>
  <c r="FX160" i="55" s="1"/>
  <c r="FZ160" i="55" s="1"/>
  <c r="GG192" i="55"/>
  <c r="GD192" i="55"/>
  <c r="GE192" i="55" s="1" a="1"/>
  <c r="GE192" i="55" s="1"/>
  <c r="GF192" i="55" s="1"/>
  <c r="O192" i="55" a="1"/>
  <c r="O192" i="55" s="1"/>
  <c r="FY304" i="55"/>
  <c r="FX304" i="55" a="1"/>
  <c r="FX304" i="55" s="1"/>
  <c r="GL305" i="55"/>
  <c r="FY35" i="55"/>
  <c r="FX35" i="55" a="1"/>
  <c r="FX35" i="55" s="1"/>
  <c r="FY67" i="55"/>
  <c r="FX67" i="55" a="1"/>
  <c r="FX67" i="55" s="1"/>
  <c r="FY339" i="55"/>
  <c r="FX339" i="55" a="1"/>
  <c r="FX339" i="55" s="1"/>
  <c r="DH226" i="55"/>
  <c r="DX226" i="55" s="1"/>
  <c r="DF226" i="55" a="1"/>
  <c r="DF226" i="55" s="1"/>
  <c r="DG226" i="55" a="1"/>
  <c r="DG226" i="55" s="1"/>
  <c r="DE226" i="55" a="1"/>
  <c r="DE226" i="55" s="1"/>
  <c r="FX242" i="55" a="1"/>
  <c r="FX242" i="55" s="1"/>
  <c r="FY242" i="55"/>
  <c r="DE274" i="55" a="1"/>
  <c r="DE274" i="55" s="1"/>
  <c r="DF274" i="55" a="1"/>
  <c r="DF274" i="55" s="1"/>
  <c r="DG274" i="55" a="1"/>
  <c r="DG274" i="55" s="1"/>
  <c r="DH274" i="55"/>
  <c r="DX274" i="55" s="1"/>
  <c r="GX322" i="55"/>
  <c r="GY322" i="55"/>
  <c r="CR208" i="55" a="1"/>
  <c r="CR208" i="55" s="1"/>
  <c r="FY307" i="55"/>
  <c r="FX307" i="55" a="1"/>
  <c r="FX307" i="55" s="1"/>
  <c r="EY235" i="55"/>
  <c r="FA102" i="55"/>
  <c r="FY182" i="55"/>
  <c r="FX182" i="55" a="1"/>
  <c r="FX182" i="55" s="1"/>
  <c r="FZ182" i="55" s="1"/>
  <c r="FA326" i="55"/>
  <c r="EL326" i="55"/>
  <c r="FY151" i="55"/>
  <c r="FX151" i="55" a="1"/>
  <c r="FX151" i="55" s="1"/>
  <c r="FZ151" i="55" s="1"/>
  <c r="GD118" i="55"/>
  <c r="GE118" i="55" s="1" a="1"/>
  <c r="GE118" i="55" s="1"/>
  <c r="GF118" i="55" s="1"/>
  <c r="GG118" i="55"/>
  <c r="CE118" i="55" a="1"/>
  <c r="CE118" i="55" s="1"/>
  <c r="BQ118" i="55"/>
  <c r="O118" i="55" a="1"/>
  <c r="O118" i="55" s="1"/>
  <c r="FN20" i="55"/>
  <c r="FO20" i="55"/>
  <c r="FK20" i="55"/>
  <c r="FI20" i="55"/>
  <c r="FL20" i="55"/>
  <c r="FJ20" i="55"/>
  <c r="FM20" i="55"/>
  <c r="FR20" i="55"/>
  <c r="FQ20" i="55"/>
  <c r="FH20" i="55"/>
  <c r="FA100" i="55"/>
  <c r="FB100" i="55"/>
  <c r="GY165" i="55"/>
  <c r="GX165" i="55"/>
  <c r="O262" i="55" a="1"/>
  <c r="O262" i="55" s="1"/>
  <c r="FM70" i="55"/>
  <c r="FN70" i="55"/>
  <c r="FR70" i="55"/>
  <c r="FH70" i="55"/>
  <c r="FL70" i="55" s="1"/>
  <c r="FK70" i="55"/>
  <c r="FQ70" i="55"/>
  <c r="FI70" i="55"/>
  <c r="FJ70" i="55"/>
  <c r="FO70" i="55"/>
  <c r="FP70" i="55"/>
  <c r="JW202" i="55"/>
  <c r="IC202" i="55"/>
  <c r="FW202" i="55"/>
  <c r="DS202" i="55"/>
  <c r="GB202" i="55"/>
  <c r="GC202" i="55" s="1"/>
  <c r="GE202" i="55" s="1" a="1"/>
  <c r="GE202" i="55" s="1"/>
  <c r="GF202" i="55" s="1"/>
  <c r="CR202" i="55" a="1"/>
  <c r="CR202" i="55" s="1"/>
  <c r="CS202" i="55" s="1"/>
  <c r="V202" i="55"/>
  <c r="U202" i="55"/>
  <c r="EL83" i="55"/>
  <c r="JW266" i="55"/>
  <c r="IC266" i="55"/>
  <c r="DS266" i="55"/>
  <c r="GB266" i="55"/>
  <c r="GC266" i="55" s="1"/>
  <c r="GE266" i="55" s="1" a="1"/>
  <c r="GE266" i="55" s="1"/>
  <c r="GF266" i="55" s="1"/>
  <c r="CR266" i="55" a="1"/>
  <c r="CR266" i="55" s="1"/>
  <c r="CS266" i="55"/>
  <c r="U266" i="55"/>
  <c r="V266" i="55"/>
  <c r="FZ279" i="55"/>
  <c r="JW74" i="55"/>
  <c r="IC74" i="55"/>
  <c r="GB74" i="55"/>
  <c r="GC74" i="55" s="1"/>
  <c r="DS74" i="55"/>
  <c r="CR74" i="55" a="1"/>
  <c r="CR74" i="55" s="1"/>
  <c r="DX74" i="55"/>
  <c r="U74" i="55"/>
  <c r="V74" i="55"/>
  <c r="DE222" i="55" a="1"/>
  <c r="DE222" i="55" s="1"/>
  <c r="DF222" i="55" a="1"/>
  <c r="DF222" i="55" s="1"/>
  <c r="DG222" i="55" a="1"/>
  <c r="DG222" i="55" s="1"/>
  <c r="DH222" i="55"/>
  <c r="DX222" i="55" s="1"/>
  <c r="CR222" i="55" a="1"/>
  <c r="CR222" i="55" s="1"/>
  <c r="GD318" i="55"/>
  <c r="GE318" i="55" s="1" a="1"/>
  <c r="GE318" i="55" s="1"/>
  <c r="GF318" i="55" s="1"/>
  <c r="GG318" i="55"/>
  <c r="DE158" i="55" a="1"/>
  <c r="DE158" i="55" s="1"/>
  <c r="DF158" i="55" a="1"/>
  <c r="DF158" i="55" s="1"/>
  <c r="CR158" i="55" a="1"/>
  <c r="CR158" i="55" s="1"/>
  <c r="DG158" i="55" a="1"/>
  <c r="DG158" i="55" s="1"/>
  <c r="DH158" i="55"/>
  <c r="DX158" i="55" s="1"/>
  <c r="FL248" i="55"/>
  <c r="FM248" i="55"/>
  <c r="FO248" i="55"/>
  <c r="FI248" i="55"/>
  <c r="FP248" i="55"/>
  <c r="FQ248" i="55"/>
  <c r="FJ248" i="55"/>
  <c r="FN248" i="55"/>
  <c r="FK248" i="55"/>
  <c r="DE94" i="55" a="1"/>
  <c r="DE94" i="55" s="1"/>
  <c r="DF94" i="55" a="1"/>
  <c r="DF94" i="55" s="1"/>
  <c r="DG94" i="55" a="1"/>
  <c r="DG94" i="55" s="1"/>
  <c r="DH94" i="55"/>
  <c r="DX94" i="55" s="1"/>
  <c r="IC94" i="55"/>
  <c r="CR94" i="55" a="1"/>
  <c r="CR94" i="55" s="1"/>
  <c r="FM329" i="55"/>
  <c r="FJ329" i="55"/>
  <c r="FQ329" i="55"/>
  <c r="FN329" i="55"/>
  <c r="FO329" i="55"/>
  <c r="FP329" i="55"/>
  <c r="FH329" i="55"/>
  <c r="FL329" i="55" s="1"/>
  <c r="FK329" i="55"/>
  <c r="FI329" i="55"/>
  <c r="FZ115" i="55"/>
  <c r="CZ78" i="55"/>
  <c r="DA78" i="55" s="1"/>
  <c r="DE190" i="55" a="1"/>
  <c r="DE190" i="55" s="1"/>
  <c r="DF190" i="55" a="1"/>
  <c r="DF190" i="55" s="1"/>
  <c r="DG190" i="55" a="1"/>
  <c r="DG190" i="55" s="1"/>
  <c r="CR190" i="55" a="1"/>
  <c r="CR190" i="55" s="1"/>
  <c r="DH190" i="55"/>
  <c r="DX190" i="55" s="1"/>
  <c r="FY286" i="55"/>
  <c r="FX286" i="55" a="1"/>
  <c r="FX286" i="55" s="1"/>
  <c r="FZ286" i="55" s="1"/>
  <c r="DE350" i="55" a="1"/>
  <c r="DE350" i="55" s="1"/>
  <c r="DF350" i="55" a="1"/>
  <c r="DF350" i="55" s="1"/>
  <c r="DG350" i="55" a="1"/>
  <c r="DG350" i="55" s="1"/>
  <c r="DH350" i="55"/>
  <c r="DX350" i="55" s="1"/>
  <c r="CR350" i="55" a="1"/>
  <c r="CR350" i="55" s="1"/>
  <c r="JW157" i="55"/>
  <c r="IC157" i="55"/>
  <c r="GB157" i="55"/>
  <c r="GC157" i="55" s="1"/>
  <c r="GE157" i="55" s="1" a="1"/>
  <c r="GE157" i="55" s="1"/>
  <c r="GF157" i="55" s="1"/>
  <c r="CR157" i="55" a="1"/>
  <c r="CR157" i="55" s="1"/>
  <c r="DX157" i="55"/>
  <c r="CS157" i="55"/>
  <c r="FW157" i="55"/>
  <c r="DS157" i="55"/>
  <c r="U157" i="55"/>
  <c r="V157" i="55"/>
  <c r="FA36" i="55"/>
  <c r="FB36" i="55"/>
  <c r="GX50" i="55"/>
  <c r="GY50" i="55"/>
  <c r="GY130" i="55"/>
  <c r="GX130" i="55"/>
  <c r="GD338" i="55"/>
  <c r="GG338" i="55"/>
  <c r="O338" i="55" a="1"/>
  <c r="O338" i="55" s="1"/>
  <c r="FA163" i="55"/>
  <c r="FB163" i="55"/>
  <c r="GG198" i="55"/>
  <c r="GD198" i="55"/>
  <c r="GE198" i="55" s="1" a="1"/>
  <c r="GE198" i="55" s="1"/>
  <c r="GF198" i="55" s="1"/>
  <c r="GY149" i="55"/>
  <c r="GX149" i="55"/>
  <c r="GY213" i="55"/>
  <c r="GX213" i="55"/>
  <c r="CZ325" i="55"/>
  <c r="DA325" i="55" s="1"/>
  <c r="DM325" i="55" s="1"/>
  <c r="DQ325" i="55" s="1"/>
  <c r="FY326" i="55"/>
  <c r="FX326" i="55" a="1"/>
  <c r="FX326" i="55" s="1"/>
  <c r="FN212" i="55"/>
  <c r="FO212" i="55"/>
  <c r="FK212" i="55"/>
  <c r="FP212" i="55"/>
  <c r="FL212" i="55"/>
  <c r="FI212" i="55"/>
  <c r="FM212" i="55"/>
  <c r="FJ212" i="55"/>
  <c r="FQ212" i="55"/>
  <c r="FX39" i="55" a="1"/>
  <c r="FX39" i="55" s="1"/>
  <c r="FY39" i="55"/>
  <c r="FX247" i="55" a="1"/>
  <c r="FX247" i="55" s="1"/>
  <c r="FY247" i="55"/>
  <c r="FX166" i="55" a="1"/>
  <c r="FX166" i="55" s="1"/>
  <c r="FY166" i="55"/>
  <c r="FN244" i="55"/>
  <c r="FO244" i="55"/>
  <c r="FQ244" i="55"/>
  <c r="FL244" i="55"/>
  <c r="FR244" i="55"/>
  <c r="FK244" i="55"/>
  <c r="FP244" i="55"/>
  <c r="FM244" i="55"/>
  <c r="FI244" i="55"/>
  <c r="FJ244" i="55"/>
  <c r="FM182" i="55"/>
  <c r="FN182" i="55"/>
  <c r="FJ182" i="55"/>
  <c r="FH182" i="55"/>
  <c r="FK182" i="55"/>
  <c r="FI182" i="55"/>
  <c r="FL182" i="55"/>
  <c r="FP182" i="55"/>
  <c r="FO182" i="55"/>
  <c r="FQ182" i="55"/>
  <c r="DE101" i="55" a="1"/>
  <c r="DE101" i="55" s="1"/>
  <c r="DH101" i="55"/>
  <c r="DX101" i="55" s="1"/>
  <c r="DG101" i="55" a="1"/>
  <c r="DG101" i="55" s="1"/>
  <c r="DF101" i="55" a="1"/>
  <c r="DF101" i="55" s="1"/>
  <c r="GY133" i="55"/>
  <c r="GX133" i="55"/>
  <c r="CZ181" i="55"/>
  <c r="DA181" i="55" s="1"/>
  <c r="DM181" i="55" s="1"/>
  <c r="DQ181" i="55" s="1"/>
  <c r="GG86" i="55"/>
  <c r="GD86" i="55"/>
  <c r="GE86" i="55" s="1" a="1"/>
  <c r="GE86" i="55" s="1"/>
  <c r="GF86" i="55" s="1"/>
  <c r="GX278" i="55"/>
  <c r="GY278" i="55"/>
  <c r="FY199" i="55"/>
  <c r="FX199" i="55" a="1"/>
  <c r="FX199" i="55" s="1"/>
  <c r="FX295" i="55" a="1"/>
  <c r="FX295" i="55" s="1"/>
  <c r="FY295" i="55"/>
  <c r="JM292" i="55"/>
  <c r="JF292" i="55"/>
  <c r="FM6" i="55"/>
  <c r="FN6" i="55"/>
  <c r="FL6" i="55"/>
  <c r="FQ6" i="55"/>
  <c r="FJ6" i="55"/>
  <c r="FI6" i="55"/>
  <c r="FO6" i="55"/>
  <c r="FK6" i="55"/>
  <c r="FP6" i="55"/>
  <c r="FR6" i="55"/>
  <c r="FH6" i="55"/>
  <c r="CE86" i="55" a="1"/>
  <c r="CE86" i="55" s="1"/>
  <c r="R43" i="55"/>
  <c r="EZ220" i="55"/>
  <c r="R220" i="55"/>
  <c r="R284" i="55"/>
  <c r="R348" i="55"/>
  <c r="GX294" i="55"/>
  <c r="GY294" i="55"/>
  <c r="FX215" i="55" a="1"/>
  <c r="FX215" i="55" s="1"/>
  <c r="FY215" i="55"/>
  <c r="CZ263" i="55"/>
  <c r="DA263" i="55" s="1"/>
  <c r="FM103" i="55"/>
  <c r="FN103" i="55"/>
  <c r="FK103" i="55"/>
  <c r="FH103" i="55"/>
  <c r="FL103" i="55" s="1"/>
  <c r="FO103" i="55"/>
  <c r="FI103" i="55"/>
  <c r="FQ103" i="55"/>
  <c r="FP103" i="55"/>
  <c r="FJ103" i="55"/>
  <c r="S275" i="55"/>
  <c r="FM167" i="55"/>
  <c r="FN167" i="55"/>
  <c r="FK167" i="55"/>
  <c r="FR167" i="55"/>
  <c r="FO167" i="55"/>
  <c r="FP167" i="55"/>
  <c r="FJ167" i="55"/>
  <c r="FQ167" i="55"/>
  <c r="FI167" i="55"/>
  <c r="FL167" i="55"/>
  <c r="JW58" i="55"/>
  <c r="IC58" i="55"/>
  <c r="GB58" i="55"/>
  <c r="GC58" i="55" s="1"/>
  <c r="GE58" i="55" s="1" a="1"/>
  <c r="GE58" i="55" s="1"/>
  <c r="GF58" i="55" s="1"/>
  <c r="DS58" i="55"/>
  <c r="DX58" i="55"/>
  <c r="CS58" i="55"/>
  <c r="CR58" i="55" a="1"/>
  <c r="CR58" i="55" s="1"/>
  <c r="V58" i="55"/>
  <c r="U58" i="55"/>
  <c r="FM120" i="55"/>
  <c r="FO120" i="55"/>
  <c r="FQ120" i="55"/>
  <c r="FK120" i="55"/>
  <c r="FN120" i="55"/>
  <c r="FI120" i="55"/>
  <c r="FJ120" i="55"/>
  <c r="FH120" i="55"/>
  <c r="FL120" i="55" s="1"/>
  <c r="FR120" i="55"/>
  <c r="FP120" i="55"/>
  <c r="EL54" i="55"/>
  <c r="GX46" i="55"/>
  <c r="GY46" i="55"/>
  <c r="FY222" i="55"/>
  <c r="FX222" i="55" a="1"/>
  <c r="FX222" i="55" s="1"/>
  <c r="FZ222" i="55" s="1"/>
  <c r="DE318" i="55" a="1"/>
  <c r="DE318" i="55" s="1"/>
  <c r="DF318" i="55" a="1"/>
  <c r="DF318" i="55" s="1"/>
  <c r="DH318" i="55"/>
  <c r="DX318" i="55" s="1"/>
  <c r="DG318" i="55" a="1"/>
  <c r="DG318" i="55" s="1"/>
  <c r="AY22" i="54"/>
  <c r="AZ22" i="54" s="1" a="1"/>
  <c r="AZ22" i="54" s="1"/>
  <c r="FL184" i="55"/>
  <c r="FM184" i="55"/>
  <c r="FO184" i="55"/>
  <c r="FR184" i="55"/>
  <c r="FN184" i="55"/>
  <c r="FH184" i="55"/>
  <c r="FQ184" i="55"/>
  <c r="FI184" i="55"/>
  <c r="FP184" i="55"/>
  <c r="FK184" i="55"/>
  <c r="FJ184" i="55"/>
  <c r="GG206" i="55"/>
  <c r="GD206" i="55"/>
  <c r="GE206" i="55" s="1" a="1"/>
  <c r="GE206" i="55" s="1"/>
  <c r="GF206" i="55" s="1"/>
  <c r="FL41" i="55"/>
  <c r="FM41" i="55"/>
  <c r="FP41" i="55"/>
  <c r="FK41" i="55"/>
  <c r="FQ41" i="55"/>
  <c r="FO41" i="55"/>
  <c r="FN41" i="55"/>
  <c r="FJ41" i="55"/>
  <c r="FI41" i="55"/>
  <c r="FM137" i="55"/>
  <c r="FJ137" i="55"/>
  <c r="FQ137" i="55"/>
  <c r="FN137" i="55"/>
  <c r="FP137" i="55"/>
  <c r="FI137" i="55"/>
  <c r="FK137" i="55"/>
  <c r="FR137" i="55"/>
  <c r="FO137" i="55"/>
  <c r="FH137" i="55"/>
  <c r="FL137" i="55" s="1"/>
  <c r="FL233" i="55"/>
  <c r="FM233" i="55"/>
  <c r="FP233" i="55"/>
  <c r="FK233" i="55"/>
  <c r="FR233" i="55"/>
  <c r="FN233" i="55"/>
  <c r="FQ233" i="55"/>
  <c r="FI233" i="55"/>
  <c r="FJ233" i="55"/>
  <c r="FO233" i="55"/>
  <c r="GL345" i="55"/>
  <c r="O345" i="55" a="1"/>
  <c r="O345" i="55" s="1"/>
  <c r="GG62" i="55"/>
  <c r="GD62" i="55"/>
  <c r="GE62" i="55" s="1" a="1"/>
  <c r="GE62" i="55" s="1"/>
  <c r="GF62" i="55" s="1"/>
  <c r="BQ62" i="55"/>
  <c r="GY302" i="55"/>
  <c r="GX302" i="55"/>
  <c r="IE337" i="55" a="1"/>
  <c r="IE337" i="55" s="1"/>
  <c r="ID337" i="55" a="1"/>
  <c r="ID337" i="55" s="1"/>
  <c r="S310" i="55"/>
  <c r="FA53" i="55"/>
  <c r="FB53" i="55"/>
  <c r="GD99" i="55"/>
  <c r="GG99" i="55"/>
  <c r="BQ99" i="55"/>
  <c r="CE99" i="55" a="1"/>
  <c r="CE99" i="55" s="1"/>
  <c r="EK99" i="55" s="1"/>
  <c r="GD179" i="55"/>
  <c r="GG179" i="55"/>
  <c r="O179" i="55" a="1"/>
  <c r="O179" i="55" s="1"/>
  <c r="GD291" i="55"/>
  <c r="GG291" i="55"/>
  <c r="BQ291" i="55"/>
  <c r="GD178" i="55"/>
  <c r="GG178" i="55"/>
  <c r="FX194" i="55" a="1"/>
  <c r="FX194" i="55" s="1"/>
  <c r="FY194" i="55"/>
  <c r="FX258" i="55" a="1"/>
  <c r="FX258" i="55" s="1"/>
  <c r="FY258" i="55"/>
  <c r="DE306" i="55" a="1"/>
  <c r="DE306" i="55" s="1"/>
  <c r="DF306" i="55" a="1"/>
  <c r="DF306" i="55" s="1"/>
  <c r="DG306" i="55" a="1"/>
  <c r="DG306" i="55" s="1"/>
  <c r="DH306" i="55"/>
  <c r="DX306" i="55" s="1"/>
  <c r="GD322" i="55"/>
  <c r="GG322" i="55"/>
  <c r="BQ322" i="55"/>
  <c r="DE338" i="55" a="1"/>
  <c r="DE338" i="55" s="1"/>
  <c r="DF338" i="55" a="1"/>
  <c r="DF338" i="55" s="1"/>
  <c r="DG338" i="55" a="1"/>
  <c r="DG338" i="55" s="1"/>
  <c r="DH338" i="55"/>
  <c r="DX338" i="55" s="1"/>
  <c r="GE208" i="55" a="1"/>
  <c r="GE208" i="55" s="1"/>
  <c r="GF208" i="55" s="1"/>
  <c r="GE305" i="55" a="1"/>
  <c r="GE305" i="55" s="1"/>
  <c r="GF305" i="55" s="1"/>
  <c r="GY163" i="55"/>
  <c r="GX163" i="55"/>
  <c r="GY243" i="55"/>
  <c r="GX243" i="55"/>
  <c r="GD307" i="55"/>
  <c r="GG307" i="55"/>
  <c r="O307" i="55" a="1"/>
  <c r="O307" i="55" s="1"/>
  <c r="GY69" i="55"/>
  <c r="GX69" i="55"/>
  <c r="DE117" i="55" a="1"/>
  <c r="DE117" i="55" s="1"/>
  <c r="DF117" i="55" a="1"/>
  <c r="DF117" i="55" s="1"/>
  <c r="DG117" i="55" a="1"/>
  <c r="DG117" i="55" s="1"/>
  <c r="DH117" i="55"/>
  <c r="DX117" i="55" s="1"/>
  <c r="DE325" i="55" a="1"/>
  <c r="DE325" i="55" s="1"/>
  <c r="DG325" i="55" a="1"/>
  <c r="DG325" i="55" s="1"/>
  <c r="DH325" i="55"/>
  <c r="DX325" i="55" s="1"/>
  <c r="DF325" i="55" a="1"/>
  <c r="DF325" i="55" s="1"/>
  <c r="FY262" i="55"/>
  <c r="FX262" i="55" a="1"/>
  <c r="FX262" i="55" s="1"/>
  <c r="FN340" i="55"/>
  <c r="FO340" i="55"/>
  <c r="FK340" i="55"/>
  <c r="FM340" i="55"/>
  <c r="FP340" i="55"/>
  <c r="FI340" i="55"/>
  <c r="FH340" i="55"/>
  <c r="FJ340" i="55"/>
  <c r="FQ340" i="55"/>
  <c r="FR340" i="55"/>
  <c r="FL340" i="55"/>
  <c r="FY87" i="55"/>
  <c r="FX87" i="55" a="1"/>
  <c r="FX87" i="55" s="1"/>
  <c r="FZ87" i="55" s="1"/>
  <c r="DE118" i="55" a="1"/>
  <c r="DE118" i="55" s="1"/>
  <c r="DH118" i="55"/>
  <c r="DX118" i="55" s="1"/>
  <c r="CR118" i="55" a="1"/>
  <c r="CR118" i="55" s="1"/>
  <c r="DF118" i="55" a="1"/>
  <c r="DF118" i="55" s="1"/>
  <c r="DG118" i="55" a="1"/>
  <c r="DG118" i="55" s="1"/>
  <c r="GG214" i="55"/>
  <c r="GD214" i="55"/>
  <c r="GE214" i="55" s="1" a="1"/>
  <c r="GE214" i="55" s="1"/>
  <c r="GF214" i="55" s="1"/>
  <c r="GD310" i="55"/>
  <c r="GE310" i="55" s="1" a="1"/>
  <c r="GE310" i="55" s="1"/>
  <c r="GF310" i="55" s="1"/>
  <c r="GG310" i="55"/>
  <c r="FN116" i="55"/>
  <c r="FO116" i="55"/>
  <c r="FQ116" i="55"/>
  <c r="FP116" i="55"/>
  <c r="FJ116" i="55"/>
  <c r="FI116" i="55"/>
  <c r="FM116" i="55"/>
  <c r="FK116" i="55"/>
  <c r="FH116" i="55"/>
  <c r="FL116" i="55" s="1"/>
  <c r="FM278" i="55"/>
  <c r="FN278" i="55"/>
  <c r="FP278" i="55"/>
  <c r="FO278" i="55"/>
  <c r="FI278" i="55"/>
  <c r="FJ278" i="55"/>
  <c r="FL278" i="55"/>
  <c r="FR278" i="55"/>
  <c r="FK278" i="55"/>
  <c r="FQ278" i="55"/>
  <c r="DE53" i="55" a="1"/>
  <c r="DE53" i="55" s="1"/>
  <c r="DH53" i="55"/>
  <c r="DX53" i="55" s="1"/>
  <c r="DG53" i="55" a="1"/>
  <c r="DG53" i="55" s="1"/>
  <c r="DF53" i="55" a="1"/>
  <c r="DF53" i="55" s="1"/>
  <c r="FX22" i="55" a="1"/>
  <c r="FX22" i="55" s="1"/>
  <c r="FY22" i="55"/>
  <c r="GX295" i="55"/>
  <c r="GY295" i="55"/>
  <c r="JL292" i="55"/>
  <c r="JE292" i="55"/>
  <c r="FM86" i="55"/>
  <c r="FN86" i="55"/>
  <c r="FP86" i="55"/>
  <c r="FJ86" i="55"/>
  <c r="FO86" i="55"/>
  <c r="FQ86" i="55"/>
  <c r="FH86" i="55"/>
  <c r="FL86" i="55" s="1"/>
  <c r="FK86" i="55"/>
  <c r="FI86" i="55"/>
  <c r="FM166" i="55"/>
  <c r="FN166" i="55"/>
  <c r="FR166" i="55"/>
  <c r="FP166" i="55"/>
  <c r="FI166" i="55"/>
  <c r="FK166" i="55"/>
  <c r="FJ166" i="55"/>
  <c r="FL166" i="55"/>
  <c r="FQ166" i="55"/>
  <c r="FO166" i="55"/>
  <c r="EY172" i="55"/>
  <c r="R172" i="55" s="1"/>
  <c r="FA132" i="55"/>
  <c r="FB132" i="55"/>
  <c r="GD119" i="55"/>
  <c r="GE119" i="55" s="1" a="1"/>
  <c r="GE119" i="55" s="1"/>
  <c r="GF119" i="55" s="1"/>
  <c r="GG119" i="55"/>
  <c r="GX167" i="55"/>
  <c r="GY167" i="55"/>
  <c r="FM71" i="55"/>
  <c r="FN71" i="55"/>
  <c r="FQ71" i="55"/>
  <c r="FI71" i="55"/>
  <c r="FO71" i="55"/>
  <c r="FH71" i="55"/>
  <c r="FL71" i="55" s="1"/>
  <c r="FK71" i="55"/>
  <c r="FP71" i="55"/>
  <c r="FJ71" i="55"/>
  <c r="FL24" i="55"/>
  <c r="FM24" i="55"/>
  <c r="FI24" i="55"/>
  <c r="FP24" i="55"/>
  <c r="FQ24" i="55"/>
  <c r="FH24" i="55"/>
  <c r="FK24" i="55"/>
  <c r="FO24" i="55"/>
  <c r="FN24" i="55"/>
  <c r="FJ24" i="55"/>
  <c r="CE199" i="55" a="1"/>
  <c r="CE199" i="55" s="1"/>
  <c r="JW218" i="55"/>
  <c r="IC218" i="55"/>
  <c r="GB218" i="55"/>
  <c r="GC218" i="55" s="1"/>
  <c r="GE218" i="55" s="1" a="1"/>
  <c r="GE218" i="55" s="1"/>
  <c r="GF218" i="55" s="1"/>
  <c r="DS218" i="55"/>
  <c r="FW218" i="55"/>
  <c r="CR218" i="55" a="1"/>
  <c r="CR218" i="55" s="1"/>
  <c r="U218" i="55"/>
  <c r="V218" i="55"/>
  <c r="GE329" i="55" a="1"/>
  <c r="GE329" i="55" s="1"/>
  <c r="GF329" i="55" s="1"/>
  <c r="JW10" i="55"/>
  <c r="IC10" i="55"/>
  <c r="GB10" i="55"/>
  <c r="GC10" i="55" s="1"/>
  <c r="GE10" i="55" s="1" a="1"/>
  <c r="GE10" i="55" s="1"/>
  <c r="GF10" i="55" s="1"/>
  <c r="BW20" i="54" s="1" a="1"/>
  <c r="BW20" i="54" s="1"/>
  <c r="DS10" i="55"/>
  <c r="DX10" i="55"/>
  <c r="CR10" i="55" a="1"/>
  <c r="CR10" i="55" s="1"/>
  <c r="T10" i="55"/>
  <c r="U10" i="55"/>
  <c r="V10" i="55"/>
  <c r="JW298" i="55"/>
  <c r="IC298" i="55"/>
  <c r="GB298" i="55"/>
  <c r="GC298" i="55" s="1"/>
  <c r="DS298" i="55"/>
  <c r="FW298" i="55"/>
  <c r="DX298" i="55"/>
  <c r="CR298" i="55" a="1"/>
  <c r="CR298" i="55" s="1"/>
  <c r="CS298" i="55" s="1"/>
  <c r="U298" i="55"/>
  <c r="V298" i="55"/>
  <c r="JW141" i="55"/>
  <c r="IC141" i="55"/>
  <c r="GB141" i="55"/>
  <c r="GC141" i="55" s="1"/>
  <c r="FW141" i="55"/>
  <c r="CR141" i="55" a="1"/>
  <c r="CR141" i="55" s="1"/>
  <c r="CS141" i="55" s="1"/>
  <c r="DS141" i="55"/>
  <c r="DX141" i="55"/>
  <c r="V141" i="55"/>
  <c r="U141" i="55"/>
  <c r="GY110" i="55"/>
  <c r="GX110" i="55"/>
  <c r="JW29" i="55"/>
  <c r="IC29" i="55"/>
  <c r="CR29" i="55" a="1"/>
  <c r="CR29" i="55" s="1"/>
  <c r="DS29" i="55"/>
  <c r="CS29" i="55"/>
  <c r="U29" i="55"/>
  <c r="V29" i="55"/>
  <c r="T29" i="55"/>
  <c r="S212" i="55"/>
  <c r="GX94" i="55"/>
  <c r="GY94" i="55"/>
  <c r="GG270" i="55"/>
  <c r="GD270" i="55"/>
  <c r="GE270" i="55" s="1" a="1"/>
  <c r="GE270" i="55" s="1"/>
  <c r="GF270" i="55" s="1"/>
  <c r="BQ270" i="55"/>
  <c r="FM73" i="55"/>
  <c r="FJ73" i="55"/>
  <c r="FQ73" i="55"/>
  <c r="FN73" i="55"/>
  <c r="FO73" i="55"/>
  <c r="FH73" i="55"/>
  <c r="FL73" i="55" s="1"/>
  <c r="FI73" i="55"/>
  <c r="FP73" i="55"/>
  <c r="FK73" i="55"/>
  <c r="FL201" i="55"/>
  <c r="FM201" i="55"/>
  <c r="FJ201" i="55"/>
  <c r="FQ201" i="55"/>
  <c r="FN201" i="55"/>
  <c r="FO201" i="55"/>
  <c r="FI201" i="55"/>
  <c r="FK201" i="55"/>
  <c r="FP201" i="55"/>
  <c r="GX350" i="55"/>
  <c r="GY350" i="55"/>
  <c r="JW285" i="55"/>
  <c r="IC285" i="55"/>
  <c r="GB285" i="55"/>
  <c r="GC285" i="55" s="1"/>
  <c r="GE285" i="55" s="1" a="1"/>
  <c r="GE285" i="55" s="1"/>
  <c r="GF285" i="55" s="1"/>
  <c r="DX285" i="55"/>
  <c r="CR285" i="55" a="1"/>
  <c r="CR285" i="55" s="1"/>
  <c r="CS285" i="55" s="1"/>
  <c r="FW285" i="55"/>
  <c r="DS285" i="55"/>
  <c r="V285" i="55"/>
  <c r="U285" i="55"/>
  <c r="FA204" i="55"/>
  <c r="FB204" i="55"/>
  <c r="FY14" i="55"/>
  <c r="FX14" i="55" a="1"/>
  <c r="FX14" i="55" s="1"/>
  <c r="FZ14" i="55" s="1"/>
  <c r="FY62" i="55"/>
  <c r="FX62" i="55" a="1"/>
  <c r="FX62" i="55" s="1"/>
  <c r="FZ62" i="55" s="1"/>
  <c r="GG254" i="55"/>
  <c r="GD254" i="55"/>
  <c r="GE254" i="55" s="1" a="1"/>
  <c r="GE254" i="55" s="1"/>
  <c r="GF254" i="55" s="1"/>
  <c r="S118" i="55"/>
  <c r="S6" i="55"/>
  <c r="FM22" i="55"/>
  <c r="FN22" i="55"/>
  <c r="FP22" i="55"/>
  <c r="FO22" i="55"/>
  <c r="FI22" i="55"/>
  <c r="FK22" i="55"/>
  <c r="FQ22" i="55"/>
  <c r="FH22" i="55"/>
  <c r="FL22" i="55" s="1"/>
  <c r="FJ22" i="55"/>
  <c r="CZ229" i="55"/>
  <c r="DA229" i="55" s="1"/>
  <c r="DF38" i="55" a="1"/>
  <c r="DF38" i="55" s="1"/>
  <c r="DG38" i="55" a="1"/>
  <c r="DG38" i="55" s="1"/>
  <c r="DH38" i="55"/>
  <c r="DX38" i="55" s="1"/>
  <c r="DE38" i="55" a="1"/>
  <c r="DE38" i="55" s="1"/>
  <c r="FX86" i="55" a="1"/>
  <c r="FX86" i="55" s="1"/>
  <c r="FY86" i="55"/>
  <c r="CZ150" i="55"/>
  <c r="DA150" i="55" s="1"/>
  <c r="GX198" i="55"/>
  <c r="GY198" i="55"/>
  <c r="GX342" i="55"/>
  <c r="GY342" i="55"/>
  <c r="DF231" i="55" a="1"/>
  <c r="DF231" i="55" s="1"/>
  <c r="DH231" i="55"/>
  <c r="DX231" i="55" s="1"/>
  <c r="DE231" i="55" a="1"/>
  <c r="DE231" i="55" s="1"/>
  <c r="DG231" i="55" a="1"/>
  <c r="DG231" i="55" s="1"/>
  <c r="FM262" i="55"/>
  <c r="FN262" i="55"/>
  <c r="FL262" i="55"/>
  <c r="FQ262" i="55"/>
  <c r="FR262" i="55"/>
  <c r="FJ262" i="55"/>
  <c r="FK262" i="55"/>
  <c r="FP262" i="55"/>
  <c r="FI262" i="55"/>
  <c r="FO262" i="55"/>
  <c r="GX134" i="55"/>
  <c r="GY134" i="55"/>
  <c r="GX230" i="55"/>
  <c r="GY230" i="55"/>
  <c r="FY23" i="55"/>
  <c r="FX23" i="55" a="1"/>
  <c r="FX23" i="55" s="1"/>
  <c r="FX55" i="55" a="1"/>
  <c r="FX55" i="55" s="1"/>
  <c r="FY55" i="55"/>
  <c r="CZ119" i="55"/>
  <c r="DA119" i="55" s="1"/>
  <c r="DM119" i="55" s="1"/>
  <c r="DQ119" i="55" s="1"/>
  <c r="CE23" i="55" a="1"/>
  <c r="CE23" i="55" s="1"/>
  <c r="FR23" i="55" s="1"/>
  <c r="FM263" i="55"/>
  <c r="FN263" i="55"/>
  <c r="FQ263" i="55"/>
  <c r="FL263" i="55"/>
  <c r="FI263" i="55"/>
  <c r="FK263" i="55"/>
  <c r="FJ263" i="55"/>
  <c r="FO263" i="55"/>
  <c r="FP263" i="55"/>
  <c r="JW314" i="55"/>
  <c r="IC314" i="55"/>
  <c r="GB314" i="55"/>
  <c r="GC314" i="55" s="1"/>
  <c r="GE314" i="55" s="1" a="1"/>
  <c r="GE314" i="55" s="1"/>
  <c r="GF314" i="55" s="1"/>
  <c r="DS314" i="55"/>
  <c r="DX314" i="55"/>
  <c r="CR314" i="55" a="1"/>
  <c r="CR314" i="55" s="1"/>
  <c r="V314" i="55"/>
  <c r="U314" i="55"/>
  <c r="FM279" i="55"/>
  <c r="FN279" i="55"/>
  <c r="FI279" i="55"/>
  <c r="FP279" i="55"/>
  <c r="FK279" i="55"/>
  <c r="FO279" i="55"/>
  <c r="FR279" i="55"/>
  <c r="FJ279" i="55"/>
  <c r="FL279" i="55"/>
  <c r="FQ279" i="55"/>
  <c r="CZ318" i="55"/>
  <c r="DA318" i="55" s="1"/>
  <c r="DM318" i="55" s="1"/>
  <c r="DQ318" i="55" s="1"/>
  <c r="FY206" i="55"/>
  <c r="FX206" i="55" a="1"/>
  <c r="FX206" i="55" s="1"/>
  <c r="FZ206" i="55" s="1"/>
  <c r="GL232" i="55"/>
  <c r="O232" i="55" a="1"/>
  <c r="O232" i="55" s="1"/>
  <c r="JW45" i="55"/>
  <c r="IC45" i="55"/>
  <c r="GT45" i="55"/>
  <c r="GB45" i="55"/>
  <c r="GC45" i="55" s="1"/>
  <c r="CR45" i="55" a="1"/>
  <c r="CR45" i="55" s="1"/>
  <c r="DS45" i="55"/>
  <c r="V45" i="55"/>
  <c r="U45" i="55"/>
  <c r="GX238" i="55"/>
  <c r="GY238" i="55"/>
  <c r="GG14" i="55"/>
  <c r="GD14" i="55"/>
  <c r="GE14" i="55" s="1" a="1"/>
  <c r="GE14" i="55" s="1"/>
  <c r="GF14" i="55" s="1"/>
  <c r="BW23" i="54" s="1" a="1"/>
  <c r="BW23" i="54" s="1"/>
  <c r="GG174" i="55"/>
  <c r="GD174" i="55"/>
  <c r="GE64" i="55" a="1"/>
  <c r="GE64" i="55" s="1"/>
  <c r="GF64" i="55" s="1"/>
  <c r="FZ66" i="55"/>
  <c r="EY107" i="55"/>
  <c r="EY203" i="55"/>
  <c r="EZ203" i="55" s="1"/>
  <c r="EY267" i="55"/>
  <c r="GY85" i="55"/>
  <c r="GX85" i="55"/>
  <c r="GY261" i="55"/>
  <c r="GX261" i="55"/>
  <c r="GY325" i="55"/>
  <c r="GX325" i="55"/>
  <c r="DF102" i="55" a="1"/>
  <c r="DF102" i="55" s="1"/>
  <c r="DG102" i="55" a="1"/>
  <c r="DG102" i="55" s="1"/>
  <c r="DH102" i="55"/>
  <c r="DX102" i="55" s="1"/>
  <c r="DE102" i="55" a="1"/>
  <c r="DE102" i="55" s="1"/>
  <c r="DF326" i="55" a="1"/>
  <c r="DF326" i="55" s="1"/>
  <c r="DG326" i="55" a="1"/>
  <c r="DG326" i="55" s="1"/>
  <c r="DE326" i="55" a="1"/>
  <c r="DE326" i="55" s="1"/>
  <c r="DH326" i="55"/>
  <c r="DX326" i="55" s="1"/>
  <c r="GX311" i="55"/>
  <c r="GY311" i="55"/>
  <c r="GD54" i="55"/>
  <c r="GE54" i="55" s="1" a="1"/>
  <c r="GE54" i="55" s="1"/>
  <c r="GF54" i="55" s="1"/>
  <c r="GG54" i="55"/>
  <c r="FA214" i="55"/>
  <c r="FB214" i="55"/>
  <c r="DE310" i="55" a="1"/>
  <c r="DE310" i="55" s="1"/>
  <c r="DH310" i="55"/>
  <c r="DX310" i="55" s="1"/>
  <c r="CR310" i="55" a="1"/>
  <c r="CR310" i="55" s="1"/>
  <c r="DG310" i="55" a="1"/>
  <c r="DG310" i="55" s="1"/>
  <c r="DF310" i="55" a="1"/>
  <c r="DF310" i="55" s="1"/>
  <c r="DF135" i="55" a="1"/>
  <c r="DF135" i="55" s="1"/>
  <c r="DH135" i="55"/>
  <c r="DX135" i="55" s="1"/>
  <c r="DE135" i="55" a="1"/>
  <c r="DE135" i="55" s="1"/>
  <c r="DG135" i="55" a="1"/>
  <c r="DG135" i="55" s="1"/>
  <c r="CZ343" i="55"/>
  <c r="DA343" i="55" s="1"/>
  <c r="GY21" i="55"/>
  <c r="GX21" i="55"/>
  <c r="GY101" i="55"/>
  <c r="GX101" i="55"/>
  <c r="DE181" i="55" a="1"/>
  <c r="DE181" i="55" s="1"/>
  <c r="DG181" i="55" a="1"/>
  <c r="DG181" i="55" s="1"/>
  <c r="DF181" i="55" a="1"/>
  <c r="DF181" i="55" s="1"/>
  <c r="DH181" i="55"/>
  <c r="DX181" i="55" s="1"/>
  <c r="CZ38" i="55"/>
  <c r="DA38" i="55" s="1"/>
  <c r="FZ80" i="55"/>
  <c r="FN132" i="55"/>
  <c r="FO132" i="55"/>
  <c r="FI132" i="55"/>
  <c r="FH132" i="55"/>
  <c r="FL132" i="55" s="1"/>
  <c r="FK132" i="55"/>
  <c r="FQ132" i="55"/>
  <c r="FP132" i="55"/>
  <c r="FJ132" i="55"/>
  <c r="FM132" i="55"/>
  <c r="FN260" i="55"/>
  <c r="FO260" i="55"/>
  <c r="FI260" i="55"/>
  <c r="FQ260" i="55"/>
  <c r="FJ260" i="55"/>
  <c r="FM260" i="55"/>
  <c r="FP260" i="55"/>
  <c r="FK260" i="55"/>
  <c r="FL260" i="55"/>
  <c r="GX103" i="55"/>
  <c r="GY103" i="55"/>
  <c r="CZ231" i="55"/>
  <c r="DA231" i="55" s="1"/>
  <c r="JG292" i="55"/>
  <c r="JN292" i="55"/>
  <c r="BQ214" i="55"/>
  <c r="R300" i="55"/>
  <c r="GD55" i="55"/>
  <c r="GG55" i="55"/>
  <c r="GX215" i="55"/>
  <c r="GY215" i="55"/>
  <c r="GX263" i="55"/>
  <c r="GY263" i="55"/>
  <c r="GS23" i="55"/>
  <c r="FM23" i="55"/>
  <c r="FN23" i="55"/>
  <c r="FI23" i="55"/>
  <c r="FP23" i="55"/>
  <c r="FK23" i="55"/>
  <c r="FO23" i="55"/>
  <c r="FH23" i="55"/>
  <c r="FL23" i="55" s="1"/>
  <c r="FQ23" i="55"/>
  <c r="FJ23" i="55"/>
  <c r="JW122" i="55"/>
  <c r="IC122" i="55"/>
  <c r="GB122" i="55"/>
  <c r="GC122" i="55" s="1"/>
  <c r="GE122" i="55" s="1" a="1"/>
  <c r="GE122" i="55" s="1"/>
  <c r="GF122" i="55" s="1"/>
  <c r="DS122" i="55"/>
  <c r="DX122" i="55"/>
  <c r="CR122" i="55" a="1"/>
  <c r="CR122" i="55" s="1"/>
  <c r="U122" i="55"/>
  <c r="V122" i="55"/>
  <c r="FM104" i="55"/>
  <c r="FK104" i="55"/>
  <c r="FO104" i="55"/>
  <c r="FI104" i="55"/>
  <c r="FQ104" i="55"/>
  <c r="FN104" i="55"/>
  <c r="FP104" i="55"/>
  <c r="FH104" i="55"/>
  <c r="FL104" i="55" s="1"/>
  <c r="FJ104" i="55"/>
  <c r="JW173" i="55"/>
  <c r="IC173" i="55"/>
  <c r="DX173" i="55"/>
  <c r="CR173" i="55" a="1"/>
  <c r="CR173" i="55" s="1"/>
  <c r="CS173" i="55" s="1"/>
  <c r="FW173" i="55"/>
  <c r="GB173" i="55"/>
  <c r="GC173" i="55" s="1"/>
  <c r="GE173" i="55" s="1" a="1"/>
  <c r="GE173" i="55" s="1"/>
  <c r="GF173" i="55" s="1"/>
  <c r="DS173" i="55"/>
  <c r="U173" i="55"/>
  <c r="V173" i="55"/>
  <c r="DG206" i="55" a="1"/>
  <c r="DG206" i="55" s="1"/>
  <c r="DE206" i="55" a="1"/>
  <c r="DE206" i="55" s="1"/>
  <c r="DH206" i="55"/>
  <c r="DX206" i="55" s="1"/>
  <c r="DF206" i="55" a="1"/>
  <c r="DF206" i="55" s="1"/>
  <c r="DG334" i="55" a="1"/>
  <c r="DG334" i="55" s="1"/>
  <c r="DE334" i="55" a="1"/>
  <c r="DE334" i="55" s="1"/>
  <c r="DF334" i="55" a="1"/>
  <c r="DF334" i="55" s="1"/>
  <c r="DH334" i="55"/>
  <c r="DX334" i="55" s="1"/>
  <c r="FL9" i="55"/>
  <c r="FM9" i="55"/>
  <c r="FJ9" i="55"/>
  <c r="FQ9" i="55"/>
  <c r="FN9" i="55"/>
  <c r="FR9" i="55"/>
  <c r="FH9" i="55"/>
  <c r="FK9" i="55"/>
  <c r="FI9" i="55"/>
  <c r="FO9" i="55"/>
  <c r="FL281" i="55"/>
  <c r="FM281" i="55"/>
  <c r="FN281" i="55"/>
  <c r="FI281" i="55"/>
  <c r="FP281" i="55"/>
  <c r="FJ281" i="55"/>
  <c r="FQ281" i="55"/>
  <c r="FO281" i="55"/>
  <c r="FK281" i="55"/>
  <c r="FR281" i="55"/>
  <c r="FA44" i="55"/>
  <c r="FB44" i="55"/>
  <c r="DE30" i="55" a="1"/>
  <c r="DE30" i="55" s="1"/>
  <c r="DF30" i="55" a="1"/>
  <c r="DF30" i="55" s="1"/>
  <c r="DH30" i="55"/>
  <c r="DX30" i="55" s="1"/>
  <c r="CR30" i="55" a="1"/>
  <c r="CR30" i="55" s="1"/>
  <c r="DG30" i="55" a="1"/>
  <c r="DG30" i="55" s="1"/>
  <c r="GG142" i="55"/>
  <c r="GD142" i="55"/>
  <c r="GE142" i="55" s="1" a="1"/>
  <c r="GE142" i="55" s="1"/>
  <c r="GF142" i="55" s="1"/>
  <c r="JW109" i="55"/>
  <c r="IC109" i="55"/>
  <c r="GB109" i="55"/>
  <c r="GC109" i="55" s="1"/>
  <c r="GE109" i="55" s="1" a="1"/>
  <c r="GE109" i="55" s="1"/>
  <c r="GF109" i="55" s="1"/>
  <c r="DS109" i="55"/>
  <c r="CR109" i="55" a="1"/>
  <c r="CR109" i="55" s="1"/>
  <c r="DX109" i="55"/>
  <c r="U109" i="55"/>
  <c r="V109" i="55"/>
  <c r="S100" i="55"/>
  <c r="FA236" i="55"/>
  <c r="FB236" i="55"/>
  <c r="EL62" i="55"/>
  <c r="FY126" i="55"/>
  <c r="FX126" i="55" a="1"/>
  <c r="FX126" i="55" s="1"/>
  <c r="FY5" i="55"/>
  <c r="FX5" i="55" a="1"/>
  <c r="FX5" i="55" s="1"/>
  <c r="FZ5" i="55" s="1"/>
  <c r="GD197" i="55"/>
  <c r="GE197" i="55" s="1" a="1"/>
  <c r="GE197" i="55" s="1"/>
  <c r="GF197" i="55" s="1"/>
  <c r="GG197" i="55"/>
  <c r="BQ197" i="55"/>
  <c r="O197" i="55" a="1"/>
  <c r="O197" i="55" s="1"/>
  <c r="GD213" i="55"/>
  <c r="GE213" i="55" s="1" a="1"/>
  <c r="GE213" i="55" s="1"/>
  <c r="GF213" i="55" s="1"/>
  <c r="GG213" i="55"/>
  <c r="BQ213" i="55"/>
  <c r="O213" i="55" a="1"/>
  <c r="O213" i="55" s="1"/>
  <c r="GG6" i="55"/>
  <c r="GD6" i="55"/>
  <c r="GE6" i="55" s="1" a="1"/>
  <c r="GE6" i="55" s="1"/>
  <c r="GF6" i="55" s="1"/>
  <c r="O6" i="55" a="1"/>
  <c r="O6" i="55" s="1"/>
  <c r="FY70" i="55"/>
  <c r="FX70" i="55" a="1"/>
  <c r="FX70" i="55" s="1"/>
  <c r="DE182" i="55" a="1"/>
  <c r="DE182" i="55" s="1"/>
  <c r="DF182" i="55" a="1"/>
  <c r="DF182" i="55" s="1"/>
  <c r="CR182" i="55" a="1"/>
  <c r="CR182" i="55" s="1"/>
  <c r="DG182" i="55" a="1"/>
  <c r="DG182" i="55" s="1"/>
  <c r="DH182" i="55"/>
  <c r="DX182" i="55" s="1"/>
  <c r="FN84" i="55"/>
  <c r="FO84" i="55"/>
  <c r="FK84" i="55"/>
  <c r="FM84" i="55"/>
  <c r="FP84" i="55"/>
  <c r="FJ84" i="55"/>
  <c r="FR84" i="55"/>
  <c r="FQ84" i="55"/>
  <c r="FI84" i="55"/>
  <c r="FH84" i="55"/>
  <c r="FL84" i="55" s="1"/>
  <c r="CZ166" i="55"/>
  <c r="DA166" i="55" s="1"/>
  <c r="FY214" i="55"/>
  <c r="FX214" i="55" a="1"/>
  <c r="FX214" i="55" s="1"/>
  <c r="GX7" i="55"/>
  <c r="GY7" i="55"/>
  <c r="DF71" i="55" a="1"/>
  <c r="DF71" i="55" s="1"/>
  <c r="DE71" i="55" a="1"/>
  <c r="DE71" i="55" s="1"/>
  <c r="DG71" i="55" a="1"/>
  <c r="DG71" i="55" s="1"/>
  <c r="DH71" i="55"/>
  <c r="DX71" i="55" s="1"/>
  <c r="GD343" i="55"/>
  <c r="GE343" i="55" s="1" a="1"/>
  <c r="GE343" i="55" s="1"/>
  <c r="GF343" i="55" s="1"/>
  <c r="GG343" i="55"/>
  <c r="GY229" i="55"/>
  <c r="GX229" i="55"/>
  <c r="GY277" i="55"/>
  <c r="GX277" i="55"/>
  <c r="GY341" i="55"/>
  <c r="GX341" i="55"/>
  <c r="DE22" i="55" a="1"/>
  <c r="DE22" i="55" s="1"/>
  <c r="DG22" i="55" a="1"/>
  <c r="DG22" i="55" s="1"/>
  <c r="DH22" i="55"/>
  <c r="DX22" i="55" s="1"/>
  <c r="DF22" i="55" a="1"/>
  <c r="DF22" i="55" s="1"/>
  <c r="CZ86" i="55"/>
  <c r="DA86" i="55" s="1"/>
  <c r="CZ199" i="55"/>
  <c r="DA199" i="55" s="1"/>
  <c r="R60" i="55"/>
  <c r="EY236" i="55"/>
  <c r="R236" i="55" s="1"/>
  <c r="FN228" i="55"/>
  <c r="FO228" i="55"/>
  <c r="FM228" i="55"/>
  <c r="FJ228" i="55"/>
  <c r="FP228" i="55"/>
  <c r="FI228" i="55"/>
  <c r="FK228" i="55"/>
  <c r="FL228" i="55"/>
  <c r="FQ228" i="55"/>
  <c r="DH23" i="55"/>
  <c r="DX23" i="55" s="1"/>
  <c r="DG23" i="55" a="1"/>
  <c r="DG23" i="55" s="1"/>
  <c r="DE23" i="55" a="1"/>
  <c r="DE23" i="55" s="1"/>
  <c r="DF23" i="55" a="1"/>
  <c r="DF23" i="55" s="1"/>
  <c r="GX55" i="55"/>
  <c r="GY55" i="55"/>
  <c r="GQ64" i="55"/>
  <c r="FM246" i="55"/>
  <c r="FN246" i="55"/>
  <c r="FJ246" i="55"/>
  <c r="FL246" i="55"/>
  <c r="FO246" i="55"/>
  <c r="FP246" i="55"/>
  <c r="FK246" i="55"/>
  <c r="FQ246" i="55"/>
  <c r="FI246" i="55"/>
  <c r="JW138" i="55"/>
  <c r="IC138" i="55"/>
  <c r="GB138" i="55"/>
  <c r="GC138" i="55" s="1"/>
  <c r="FW138" i="55"/>
  <c r="DS138" i="55"/>
  <c r="DX138" i="55"/>
  <c r="CR138" i="55" a="1"/>
  <c r="CR138" i="55" s="1"/>
  <c r="U138" i="55"/>
  <c r="V138" i="55"/>
  <c r="BQ343" i="55"/>
  <c r="AY18" i="54"/>
  <c r="AZ18" i="54" s="1" a="1"/>
  <c r="AZ18" i="54" s="1"/>
  <c r="FL88" i="55"/>
  <c r="FM88" i="55"/>
  <c r="FI88" i="55"/>
  <c r="FQ88" i="55"/>
  <c r="FJ88" i="55"/>
  <c r="FO88" i="55"/>
  <c r="FK88" i="55"/>
  <c r="FR88" i="55"/>
  <c r="FP88" i="55"/>
  <c r="FH88" i="55"/>
  <c r="FN88" i="55"/>
  <c r="S163" i="55"/>
  <c r="GP291" i="55"/>
  <c r="GY270" i="55"/>
  <c r="GX270" i="55"/>
  <c r="AY25" i="54"/>
  <c r="AZ25" i="54" s="1" a="1"/>
  <c r="AZ25" i="54" s="1"/>
  <c r="FL313" i="55"/>
  <c r="FM313" i="55"/>
  <c r="FR313" i="55"/>
  <c r="FH313" i="55"/>
  <c r="FO313" i="55"/>
  <c r="FJ313" i="55"/>
  <c r="FN313" i="55"/>
  <c r="FQ313" i="55"/>
  <c r="FP313" i="55"/>
  <c r="FK313" i="55"/>
  <c r="FI313" i="55"/>
  <c r="U124" i="55"/>
  <c r="V124" i="55"/>
  <c r="GP4" i="55"/>
  <c r="FY78" i="55"/>
  <c r="FX78" i="55" a="1"/>
  <c r="FX78" i="55" s="1"/>
  <c r="FZ78" i="55" s="1"/>
  <c r="DE62" i="55" a="1"/>
  <c r="DE62" i="55" s="1"/>
  <c r="DF62" i="55" a="1"/>
  <c r="DF62" i="55" s="1"/>
  <c r="DG62" i="55" a="1"/>
  <c r="DG62" i="55" s="1"/>
  <c r="DH62" i="55"/>
  <c r="DX62" i="55" s="1"/>
  <c r="FY174" i="55"/>
  <c r="FX174" i="55" a="1"/>
  <c r="FX174" i="55" s="1"/>
  <c r="S86" i="55"/>
  <c r="GD146" i="55"/>
  <c r="GG146" i="55"/>
  <c r="CZ243" i="55"/>
  <c r="DA243" i="55" s="1"/>
  <c r="DM243" i="55" s="1"/>
  <c r="DE37" i="55" a="1"/>
  <c r="DE37" i="55" s="1"/>
  <c r="DH37" i="55"/>
  <c r="DX37" i="55" s="1"/>
  <c r="DG37" i="55" a="1"/>
  <c r="DG37" i="55" s="1"/>
  <c r="DF37" i="55" a="1"/>
  <c r="DF37" i="55" s="1"/>
  <c r="FB85" i="55"/>
  <c r="FA85" i="55"/>
  <c r="DF70" i="55" a="1"/>
  <c r="DF70" i="55" s="1"/>
  <c r="DG70" i="55" a="1"/>
  <c r="DG70" i="55" s="1"/>
  <c r="DH70" i="55"/>
  <c r="DX70" i="55" s="1"/>
  <c r="DE70" i="55" a="1"/>
  <c r="DE70" i="55" s="1"/>
  <c r="GX102" i="55"/>
  <c r="GY102" i="55"/>
  <c r="GX182" i="55"/>
  <c r="GY182" i="55"/>
  <c r="GX262" i="55"/>
  <c r="GY262" i="55"/>
  <c r="FN4" i="55"/>
  <c r="FO4" i="55"/>
  <c r="FI4" i="55"/>
  <c r="FQ4" i="55"/>
  <c r="FJ4" i="55"/>
  <c r="FR4" i="55"/>
  <c r="FM4" i="55"/>
  <c r="FK4" i="55"/>
  <c r="FL4" i="55"/>
  <c r="FP4" i="55"/>
  <c r="FH4" i="55"/>
  <c r="DF87" i="55" a="1"/>
  <c r="DF87" i="55" s="1"/>
  <c r="DH87" i="55"/>
  <c r="DX87" i="55" s="1"/>
  <c r="DG87" i="55" a="1"/>
  <c r="DG87" i="55" s="1"/>
  <c r="CR87" i="55" a="1"/>
  <c r="CR87" i="55" s="1"/>
  <c r="DE87" i="55" a="1"/>
  <c r="DE87" i="55" s="1"/>
  <c r="DG151" i="55" a="1"/>
  <c r="DG151" i="55" s="1"/>
  <c r="DE151" i="55" a="1"/>
  <c r="DE151" i="55" s="1"/>
  <c r="DF151" i="55" a="1"/>
  <c r="DF151" i="55" s="1"/>
  <c r="DH151" i="55"/>
  <c r="DX151" i="55" s="1"/>
  <c r="DH247" i="55"/>
  <c r="DX247" i="55" s="1"/>
  <c r="DE247" i="55" a="1"/>
  <c r="DE247" i="55" s="1"/>
  <c r="DF247" i="55" a="1"/>
  <c r="DF247" i="55" s="1"/>
  <c r="DG247" i="55" a="1"/>
  <c r="DG247" i="55" s="1"/>
  <c r="FX118" i="55" a="1"/>
  <c r="FX118" i="55" s="1"/>
  <c r="FY118" i="55"/>
  <c r="DF166" i="55" a="1"/>
  <c r="DF166" i="55" s="1"/>
  <c r="DG166" i="55" a="1"/>
  <c r="DG166" i="55" s="1"/>
  <c r="DH166" i="55"/>
  <c r="DX166" i="55" s="1"/>
  <c r="DE166" i="55" a="1"/>
  <c r="DE166" i="55" s="1"/>
  <c r="CZ214" i="55"/>
  <c r="DA214" i="55" s="1"/>
  <c r="DF343" i="55" a="1"/>
  <c r="DF343" i="55" s="1"/>
  <c r="DE343" i="55" a="1"/>
  <c r="DE343" i="55" s="1"/>
  <c r="DG343" i="55" a="1"/>
  <c r="DG343" i="55" s="1"/>
  <c r="DH343" i="55"/>
  <c r="DX343" i="55" s="1"/>
  <c r="DE309" i="55" a="1"/>
  <c r="DE309" i="55" s="1"/>
  <c r="DH309" i="55"/>
  <c r="DX309" i="55" s="1"/>
  <c r="DG309" i="55" a="1"/>
  <c r="DG309" i="55" s="1"/>
  <c r="DF309" i="55" a="1"/>
  <c r="DF309" i="55" s="1"/>
  <c r="GX150" i="55"/>
  <c r="GY150" i="55"/>
  <c r="GG342" i="55"/>
  <c r="GD342" i="55"/>
  <c r="GE342" i="55" s="1" a="1"/>
  <c r="GE342" i="55" s="1"/>
  <c r="GF342" i="55" s="1"/>
  <c r="CZ103" i="55"/>
  <c r="DA103" i="55" s="1"/>
  <c r="R188" i="55"/>
  <c r="FA244" i="55"/>
  <c r="FB244" i="55"/>
  <c r="FN100" i="55"/>
  <c r="FO100" i="55"/>
  <c r="FM100" i="55"/>
  <c r="FR100" i="55"/>
  <c r="FH100" i="55"/>
  <c r="FL100" i="55" s="1"/>
  <c r="FP100" i="55"/>
  <c r="FQ100" i="55"/>
  <c r="FK100" i="55"/>
  <c r="FJ100" i="55"/>
  <c r="FI100" i="55"/>
  <c r="DF167" i="55" a="1"/>
  <c r="DF167" i="55" s="1"/>
  <c r="DH167" i="55"/>
  <c r="DX167" i="55" s="1"/>
  <c r="DG167" i="55" a="1"/>
  <c r="DG167" i="55" s="1"/>
  <c r="DE167" i="55" a="1"/>
  <c r="DE167" i="55" s="1"/>
  <c r="CR167" i="55" a="1"/>
  <c r="CR167" i="55" s="1"/>
  <c r="DF327" i="55" a="1"/>
  <c r="DF327" i="55" s="1"/>
  <c r="DE327" i="55" a="1"/>
  <c r="DE327" i="55" s="1"/>
  <c r="DH327" i="55"/>
  <c r="DX327" i="55" s="1"/>
  <c r="DG327" i="55" a="1"/>
  <c r="DG327" i="55" s="1"/>
  <c r="FM150" i="55"/>
  <c r="FN150" i="55"/>
  <c r="FP150" i="55"/>
  <c r="FK150" i="55"/>
  <c r="FQ150" i="55"/>
  <c r="FI150" i="55"/>
  <c r="FO150" i="55"/>
  <c r="FJ150" i="55"/>
  <c r="FH150" i="55"/>
  <c r="FL150" i="55" s="1"/>
  <c r="FM151" i="55"/>
  <c r="FN151" i="55"/>
  <c r="FI151" i="55"/>
  <c r="FP151" i="55"/>
  <c r="FK151" i="55"/>
  <c r="FQ151" i="55"/>
  <c r="FO151" i="55"/>
  <c r="FJ151" i="55"/>
  <c r="FH151" i="55"/>
  <c r="FL151" i="55" s="1"/>
  <c r="FM199" i="55"/>
  <c r="FN199" i="55"/>
  <c r="FQ199" i="55"/>
  <c r="FL199" i="55"/>
  <c r="FI199" i="55"/>
  <c r="FP199" i="55"/>
  <c r="FJ199" i="55"/>
  <c r="FO199" i="55"/>
  <c r="FK199" i="55"/>
  <c r="JW26" i="55"/>
  <c r="IC26" i="55"/>
  <c r="DS26" i="55"/>
  <c r="GB26" i="55"/>
  <c r="GC26" i="55" s="1"/>
  <c r="GT26" i="55"/>
  <c r="CR26" i="55" a="1"/>
  <c r="CR26" i="55" s="1"/>
  <c r="CS26" i="55"/>
  <c r="T26" i="55"/>
  <c r="U26" i="55"/>
  <c r="V26" i="55"/>
  <c r="JW269" i="55"/>
  <c r="IC269" i="55"/>
  <c r="GB269" i="55"/>
  <c r="GC269" i="55" s="1"/>
  <c r="GE269" i="55" s="1" a="1"/>
  <c r="GE269" i="55" s="1"/>
  <c r="GF269" i="55" s="1"/>
  <c r="CR269" i="55" a="1"/>
  <c r="CR269" i="55" s="1"/>
  <c r="CS269" i="55"/>
  <c r="DS269" i="55"/>
  <c r="U269" i="55"/>
  <c r="V269" i="55"/>
  <c r="FY46" i="55"/>
  <c r="FX46" i="55" a="1"/>
  <c r="FX46" i="55" s="1"/>
  <c r="GX318" i="55"/>
  <c r="GY318" i="55"/>
  <c r="FL264" i="55"/>
  <c r="FM264" i="55"/>
  <c r="FQ264" i="55"/>
  <c r="FN264" i="55"/>
  <c r="FK264" i="55"/>
  <c r="FI264" i="55"/>
  <c r="FJ264" i="55"/>
  <c r="FO264" i="55"/>
  <c r="FP264" i="55"/>
  <c r="FL296" i="55"/>
  <c r="FM296" i="55"/>
  <c r="FK296" i="55"/>
  <c r="FN296" i="55"/>
  <c r="FQ296" i="55"/>
  <c r="FI296" i="55"/>
  <c r="FO296" i="55"/>
  <c r="FP296" i="55"/>
  <c r="FJ296" i="55"/>
  <c r="FM328" i="55"/>
  <c r="FQ328" i="55"/>
  <c r="FO328" i="55"/>
  <c r="FH328" i="55"/>
  <c r="FL328" i="55" s="1"/>
  <c r="FP328" i="55"/>
  <c r="FK328" i="55"/>
  <c r="FI328" i="55"/>
  <c r="FJ328" i="55"/>
  <c r="FN328" i="55"/>
  <c r="FL345" i="55"/>
  <c r="FM345" i="55"/>
  <c r="FN345" i="55"/>
  <c r="FI345" i="55"/>
  <c r="FP345" i="55"/>
  <c r="FQ345" i="55"/>
  <c r="FR345" i="55"/>
  <c r="FO345" i="55"/>
  <c r="FJ345" i="55"/>
  <c r="FH345" i="55"/>
  <c r="FK345" i="55"/>
  <c r="S292" i="55"/>
  <c r="GD30" i="55"/>
  <c r="GG30" i="55"/>
  <c r="CZ142" i="55"/>
  <c r="DA142" i="55" s="1"/>
  <c r="GY14" i="55"/>
  <c r="GX14" i="55"/>
  <c r="DE126" i="55" a="1"/>
  <c r="DE126" i="55" s="1"/>
  <c r="DF126" i="55" a="1"/>
  <c r="DF126" i="55" s="1"/>
  <c r="DH126" i="55"/>
  <c r="DX126" i="55" s="1"/>
  <c r="DG126" i="55" a="1"/>
  <c r="DG126" i="55" s="1"/>
  <c r="EL174" i="55"/>
  <c r="GE337" i="55" a="1"/>
  <c r="GE337" i="55" s="1"/>
  <c r="GF337" i="55" s="1"/>
  <c r="IV102" i="55" a="1"/>
  <c r="IV102" i="55" s="1"/>
  <c r="IW102" i="55" s="1"/>
  <c r="IT102" i="55" a="1"/>
  <c r="IT102" i="55" s="1"/>
  <c r="IU102" i="55" s="1"/>
  <c r="IN102" i="55" a="1"/>
  <c r="IN102" i="55" s="1"/>
  <c r="IO102" i="55" s="1"/>
  <c r="IX102" i="55" a="1"/>
  <c r="IX102" i="55" s="1"/>
  <c r="IY102" i="55" s="1"/>
  <c r="IP102" i="55" a="1"/>
  <c r="IP102" i="55" s="1"/>
  <c r="IQ102" i="55" s="1"/>
  <c r="IR102" i="55" a="1"/>
  <c r="IR102" i="55" s="1"/>
  <c r="IS102" i="55" s="1"/>
  <c r="O279" i="55" a="1"/>
  <c r="O279" i="55" s="1"/>
  <c r="GY35" i="55"/>
  <c r="GX35" i="55"/>
  <c r="DF67" i="55" a="1"/>
  <c r="DF67" i="55" s="1"/>
  <c r="DG67" i="55" a="1"/>
  <c r="DG67" i="55" s="1"/>
  <c r="DH67" i="55"/>
  <c r="DX67" i="55" s="1"/>
  <c r="DE67" i="55" a="1"/>
  <c r="DE67" i="55" s="1"/>
  <c r="GD339" i="55"/>
  <c r="GG339" i="55"/>
  <c r="O339" i="55" a="1"/>
  <c r="O339" i="55" s="1"/>
  <c r="EV339" i="55" s="1"/>
  <c r="EW339" i="55" s="1"/>
  <c r="ID39" i="55" a="1"/>
  <c r="ID39" i="55" s="1"/>
  <c r="IE39" i="55" a="1"/>
  <c r="IE39" i="55" s="1"/>
  <c r="GS156" i="55"/>
  <c r="GY34" i="55"/>
  <c r="GX34" i="55"/>
  <c r="GD114" i="55"/>
  <c r="GG114" i="55"/>
  <c r="FX146" i="55" a="1"/>
  <c r="FX146" i="55" s="1"/>
  <c r="FY146" i="55"/>
  <c r="GD194" i="55"/>
  <c r="GG194" i="55"/>
  <c r="O194" i="55" a="1"/>
  <c r="O194" i="55" s="1"/>
  <c r="GX242" i="55"/>
  <c r="GY242" i="55"/>
  <c r="GD5" i="55"/>
  <c r="GE5" i="55" s="1" a="1"/>
  <c r="GE5" i="55" s="1"/>
  <c r="GF5" i="55" s="1"/>
  <c r="BW29" i="54" s="1" a="1"/>
  <c r="BW29" i="54" s="1"/>
  <c r="GG5" i="55"/>
  <c r="T5" i="55"/>
  <c r="GY37" i="55"/>
  <c r="GX37" i="55"/>
  <c r="GD149" i="55"/>
  <c r="GE149" i="55" s="1" a="1"/>
  <c r="GE149" i="55" s="1"/>
  <c r="GF149" i="55" s="1"/>
  <c r="GG149" i="55"/>
  <c r="O149" i="55" a="1"/>
  <c r="O149" i="55" s="1"/>
  <c r="BQ149" i="55"/>
  <c r="GX326" i="55"/>
  <c r="GY326" i="55"/>
  <c r="FA117" i="55"/>
  <c r="FB117" i="55"/>
  <c r="GX151" i="55"/>
  <c r="GY151" i="55"/>
  <c r="DH311" i="55"/>
  <c r="DX311" i="55" s="1"/>
  <c r="DE311" i="55" a="1"/>
  <c r="DE311" i="55" s="1"/>
  <c r="DF311" i="55" a="1"/>
  <c r="DF311" i="55" s="1"/>
  <c r="DG311" i="55" a="1"/>
  <c r="DG311" i="55" s="1"/>
  <c r="FN308" i="55"/>
  <c r="FO308" i="55"/>
  <c r="FQ308" i="55"/>
  <c r="FM308" i="55"/>
  <c r="FI308" i="55"/>
  <c r="FJ308" i="55"/>
  <c r="FK308" i="55"/>
  <c r="FL308" i="55"/>
  <c r="FP308" i="55"/>
  <c r="CZ53" i="55"/>
  <c r="DA53" i="55" s="1"/>
  <c r="GD133" i="55"/>
  <c r="GE133" i="55" s="1" a="1"/>
  <c r="GE133" i="55" s="1"/>
  <c r="GF133" i="55" s="1"/>
  <c r="GG133" i="55"/>
  <c r="BQ133" i="55"/>
  <c r="O133" i="55" a="1"/>
  <c r="O133" i="55" s="1"/>
  <c r="FY165" i="55"/>
  <c r="FX165" i="55" a="1"/>
  <c r="FX165" i="55" s="1"/>
  <c r="GD181" i="55"/>
  <c r="GE181" i="55" s="1" a="1"/>
  <c r="GE181" i="55" s="1"/>
  <c r="GF181" i="55" s="1"/>
  <c r="GG181" i="55"/>
  <c r="O181" i="55" a="1"/>
  <c r="O181" i="55" s="1"/>
  <c r="BQ181" i="55"/>
  <c r="DF103" i="55" a="1"/>
  <c r="DF103" i="55" s="1"/>
  <c r="DH103" i="55"/>
  <c r="DX103" i="55" s="1"/>
  <c r="DE103" i="55" a="1"/>
  <c r="DE103" i="55" s="1"/>
  <c r="DG103" i="55" a="1"/>
  <c r="DG103" i="55" s="1"/>
  <c r="BQ310" i="55"/>
  <c r="R316" i="55"/>
  <c r="FX230" i="55" a="1"/>
  <c r="FX230" i="55" s="1"/>
  <c r="FY230" i="55"/>
  <c r="DF263" i="55" a="1"/>
  <c r="DF263" i="55" s="1"/>
  <c r="DE263" i="55" a="1"/>
  <c r="DE263" i="55" s="1"/>
  <c r="DG263" i="55" a="1"/>
  <c r="DG263" i="55" s="1"/>
  <c r="DH263" i="55"/>
  <c r="DX263" i="55" s="1"/>
  <c r="IX336" i="55" a="1"/>
  <c r="IX336" i="55" s="1"/>
  <c r="IY336" i="55" s="1"/>
  <c r="IR336" i="55" a="1"/>
  <c r="IR336" i="55" s="1"/>
  <c r="IS336" i="55" s="1"/>
  <c r="IP336" i="55" a="1"/>
  <c r="IP336" i="55" s="1"/>
  <c r="IQ336" i="55" s="1"/>
  <c r="IN336" i="55" a="1"/>
  <c r="IN336" i="55" s="1"/>
  <c r="IO336" i="55" s="1"/>
  <c r="IV336" i="55" a="1"/>
  <c r="IV336" i="55" s="1"/>
  <c r="IW336" i="55" s="1"/>
  <c r="IT336" i="55" a="1"/>
  <c r="IT336" i="55" s="1"/>
  <c r="IU336" i="55" s="1"/>
  <c r="IC334" i="55"/>
  <c r="JW250" i="55"/>
  <c r="IC250" i="55"/>
  <c r="GB250" i="55"/>
  <c r="GC250" i="55" s="1"/>
  <c r="DS250" i="55"/>
  <c r="DX250" i="55"/>
  <c r="CR250" i="55" a="1"/>
  <c r="CR250" i="55" s="1"/>
  <c r="V250" i="55"/>
  <c r="U250" i="55"/>
  <c r="CE343" i="55" a="1"/>
  <c r="CE343" i="55" s="1"/>
  <c r="JW330" i="55"/>
  <c r="IC330" i="55"/>
  <c r="DS330" i="55"/>
  <c r="GB330" i="55"/>
  <c r="GC330" i="55" s="1"/>
  <c r="GE330" i="55" s="1" a="1"/>
  <c r="GE330" i="55" s="1"/>
  <c r="GT330" i="55"/>
  <c r="CR330" i="55" a="1"/>
  <c r="CR330" i="55" s="1"/>
  <c r="CS330" i="55"/>
  <c r="CZ330" i="55" s="1"/>
  <c r="DA330" i="55" s="1"/>
  <c r="V330" i="55"/>
  <c r="U330" i="55"/>
  <c r="T330" i="55"/>
  <c r="FL8" i="55"/>
  <c r="FM8" i="55"/>
  <c r="FQ8" i="55"/>
  <c r="FN8" i="55"/>
  <c r="FK8" i="55"/>
  <c r="FO8" i="55"/>
  <c r="FJ8" i="55"/>
  <c r="FI8" i="55"/>
  <c r="FR8" i="55"/>
  <c r="FH8" i="55"/>
  <c r="FM215" i="55"/>
  <c r="FN215" i="55"/>
  <c r="FI215" i="55"/>
  <c r="FP215" i="55"/>
  <c r="FK215" i="55"/>
  <c r="FO215" i="55"/>
  <c r="FR215" i="55"/>
  <c r="FL215" i="55"/>
  <c r="FJ215" i="55"/>
  <c r="FQ215" i="55"/>
  <c r="GG46" i="55"/>
  <c r="GD46" i="55"/>
  <c r="GE46" i="55" s="1" a="1"/>
  <c r="GE46" i="55" s="1"/>
  <c r="GF46" i="55" s="1"/>
  <c r="FY110" i="55"/>
  <c r="FX110" i="55" a="1"/>
  <c r="FX110" i="55" s="1"/>
  <c r="GY206" i="55"/>
  <c r="GX206" i="55"/>
  <c r="GY334" i="55"/>
  <c r="GX334" i="55"/>
  <c r="FM153" i="55"/>
  <c r="FN153" i="55"/>
  <c r="FI153" i="55"/>
  <c r="FP153" i="55"/>
  <c r="FR153" i="55"/>
  <c r="FH153" i="55"/>
  <c r="FL153" i="55" s="1"/>
  <c r="FK153" i="55"/>
  <c r="FO153" i="55"/>
  <c r="FJ153" i="55"/>
  <c r="FQ153" i="55"/>
  <c r="FL217" i="55"/>
  <c r="FM217" i="55"/>
  <c r="FN217" i="55"/>
  <c r="FI217" i="55"/>
  <c r="FP217" i="55"/>
  <c r="FO217" i="55"/>
  <c r="FK217" i="55"/>
  <c r="FJ217" i="55"/>
  <c r="FQ217" i="55"/>
  <c r="FL249" i="55"/>
  <c r="FM249" i="55"/>
  <c r="FR249" i="55"/>
  <c r="FO249" i="55"/>
  <c r="FJ249" i="55"/>
  <c r="FP249" i="55"/>
  <c r="FI249" i="55"/>
  <c r="FQ249" i="55"/>
  <c r="FK249" i="55"/>
  <c r="FN249" i="55"/>
  <c r="JW189" i="55"/>
  <c r="IC189" i="55"/>
  <c r="DX189" i="55"/>
  <c r="DS189" i="55"/>
  <c r="CR189" i="55" a="1"/>
  <c r="CR189" i="55" s="1"/>
  <c r="GB189" i="55"/>
  <c r="GC189" i="55" s="1"/>
  <c r="FW189" i="55"/>
  <c r="V189" i="55"/>
  <c r="U189" i="55"/>
  <c r="FY190" i="55"/>
  <c r="FX190" i="55" a="1"/>
  <c r="FX190" i="55" s="1"/>
  <c r="FY254" i="55"/>
  <c r="FX254" i="55" a="1"/>
  <c r="FX254" i="55" s="1"/>
  <c r="GG302" i="55"/>
  <c r="GD302" i="55"/>
  <c r="GE302" i="55" s="1" a="1"/>
  <c r="GE302" i="55" s="1"/>
  <c r="GF302" i="55" s="1"/>
  <c r="GG295" i="55"/>
  <c r="GD295" i="55"/>
  <c r="GE295" i="55" s="1" a="1"/>
  <c r="GE295" i="55" s="1"/>
  <c r="GF295" i="55" s="1"/>
  <c r="DF163" i="55" a="1"/>
  <c r="DF163" i="55" s="1"/>
  <c r="DH163" i="55"/>
  <c r="DX163" i="55" s="1"/>
  <c r="DE163" i="55" a="1"/>
  <c r="DE163" i="55" s="1"/>
  <c r="DG163" i="55" a="1"/>
  <c r="DG163" i="55" s="1"/>
  <c r="GD37" i="55"/>
  <c r="GE37" i="55" s="1" a="1"/>
  <c r="GE37" i="55" s="1"/>
  <c r="GF37" i="55" s="1"/>
  <c r="GG37" i="55"/>
  <c r="BQ37" i="55"/>
  <c r="O37" i="55" a="1"/>
  <c r="O37" i="55" s="1"/>
  <c r="EV37" i="55" s="1"/>
  <c r="EW37" i="55" s="1"/>
  <c r="FY85" i="55"/>
  <c r="FX85" i="55" a="1"/>
  <c r="FX85" i="55" s="1"/>
  <c r="FY149" i="55"/>
  <c r="FX149" i="55" a="1"/>
  <c r="FX149" i="55" s="1"/>
  <c r="FZ149" i="55" s="1"/>
  <c r="FY261" i="55"/>
  <c r="FX261" i="55" a="1"/>
  <c r="FX261" i="55" s="1"/>
  <c r="FZ261" i="55" s="1"/>
  <c r="FY6" i="55"/>
  <c r="FX6" i="55" a="1"/>
  <c r="FX6" i="55" s="1"/>
  <c r="FZ6" i="55" s="1"/>
  <c r="FN180" i="55"/>
  <c r="FO180" i="55"/>
  <c r="FQ180" i="55"/>
  <c r="FK180" i="55"/>
  <c r="FM180" i="55"/>
  <c r="FP180" i="55"/>
  <c r="FH180" i="55"/>
  <c r="FL180" i="55"/>
  <c r="FI180" i="55"/>
  <c r="FJ180" i="55"/>
  <c r="DF7" i="55" a="1"/>
  <c r="DF7" i="55" s="1"/>
  <c r="DE7" i="55" a="1"/>
  <c r="DE7" i="55" s="1"/>
  <c r="DH7" i="55"/>
  <c r="DX7" i="55" s="1"/>
  <c r="DG7" i="55" a="1"/>
  <c r="DG7" i="55" s="1"/>
  <c r="GG279" i="55"/>
  <c r="GD279" i="55"/>
  <c r="GE279" i="55" s="1" a="1"/>
  <c r="GE279" i="55" s="1"/>
  <c r="GF279" i="55" s="1"/>
  <c r="BQ54" i="55"/>
  <c r="CE230" i="55" a="1"/>
  <c r="CE230" i="55" s="1"/>
  <c r="GD21" i="55"/>
  <c r="GE21" i="55" s="1" a="1"/>
  <c r="GE21" i="55" s="1"/>
  <c r="GF21" i="55" s="1"/>
  <c r="GG21" i="55"/>
  <c r="O21" i="55" a="1"/>
  <c r="O21" i="55" s="1"/>
  <c r="BQ21" i="55"/>
  <c r="FY133" i="55"/>
  <c r="FX133" i="55" a="1"/>
  <c r="FX133" i="55" s="1"/>
  <c r="FA309" i="55"/>
  <c r="FB309" i="55"/>
  <c r="DE278" i="55" a="1"/>
  <c r="DE278" i="55" s="1"/>
  <c r="DG278" i="55" a="1"/>
  <c r="DG278" i="55" s="1"/>
  <c r="DF278" i="55" a="1"/>
  <c r="DF278" i="55" s="1"/>
  <c r="DH278" i="55"/>
  <c r="DX278" i="55" s="1"/>
  <c r="CR278" i="55" a="1"/>
  <c r="CR278" i="55" s="1"/>
  <c r="FX342" i="55" a="1"/>
  <c r="FX342" i="55" s="1"/>
  <c r="FY342" i="55"/>
  <c r="FY103" i="55"/>
  <c r="FX103" i="55" a="1"/>
  <c r="FX103" i="55" s="1"/>
  <c r="DF295" i="55" a="1"/>
  <c r="DF295" i="55" s="1"/>
  <c r="DH295" i="55"/>
  <c r="DX295" i="55" s="1"/>
  <c r="DG295" i="55" a="1"/>
  <c r="DG295" i="55" s="1"/>
  <c r="DE295" i="55" a="1"/>
  <c r="DE295" i="55" s="1"/>
  <c r="EY76" i="55"/>
  <c r="EY124" i="55"/>
  <c r="R124" i="55" s="1"/>
  <c r="GG230" i="55"/>
  <c r="GD230" i="55"/>
  <c r="GE230" i="55" s="1" a="1"/>
  <c r="GE230" i="55" s="1"/>
  <c r="GF230" i="55" s="1"/>
  <c r="BQ198" i="55"/>
  <c r="CE55" i="55" a="1"/>
  <c r="CE55" i="55" s="1"/>
  <c r="O55" i="55" s="1" a="1"/>
  <c r="O55" i="55" s="1"/>
  <c r="CE119" i="55" a="1"/>
  <c r="CE119" i="55" s="1"/>
  <c r="EK119" i="55" s="1"/>
  <c r="FM231" i="55"/>
  <c r="FN231" i="55"/>
  <c r="FK231" i="55"/>
  <c r="FO231" i="55"/>
  <c r="FQ231" i="55"/>
  <c r="FJ231" i="55"/>
  <c r="FI231" i="55"/>
  <c r="FP231" i="55"/>
  <c r="FL231" i="55"/>
  <c r="FM343" i="55"/>
  <c r="FN343" i="55"/>
  <c r="FI343" i="55"/>
  <c r="FP343" i="55"/>
  <c r="FK343" i="55"/>
  <c r="FQ343" i="55"/>
  <c r="FJ343" i="55"/>
  <c r="FH343" i="55"/>
  <c r="FR343" i="55"/>
  <c r="FO343" i="55"/>
  <c r="FL343" i="55"/>
  <c r="EL309" i="55"/>
  <c r="FM87" i="55"/>
  <c r="FN87" i="55"/>
  <c r="FI87" i="55"/>
  <c r="FP87" i="55"/>
  <c r="FK87" i="55"/>
  <c r="FQ87" i="55"/>
  <c r="FJ87" i="55"/>
  <c r="FH87" i="55"/>
  <c r="FL87" i="55" s="1"/>
  <c r="FO87" i="55"/>
  <c r="GP131" i="55"/>
  <c r="JW234" i="55"/>
  <c r="IC234" i="55"/>
  <c r="DS234" i="55"/>
  <c r="GB234" i="55"/>
  <c r="GC234" i="55" s="1"/>
  <c r="GE234" i="55" s="1" a="1"/>
  <c r="GE234" i="55" s="1"/>
  <c r="GF234" i="55" s="1"/>
  <c r="DX234" i="55"/>
  <c r="V234" i="55"/>
  <c r="U234" i="55"/>
  <c r="CR234" i="55" a="1"/>
  <c r="CR234" i="55" s="1"/>
  <c r="JW77" i="55"/>
  <c r="IC77" i="55"/>
  <c r="GB77" i="55"/>
  <c r="GC77" i="55" s="1"/>
  <c r="DS77" i="55"/>
  <c r="CR77" i="55" a="1"/>
  <c r="CR77" i="55" s="1"/>
  <c r="DX77" i="55"/>
  <c r="V77" i="55"/>
  <c r="U77" i="55"/>
  <c r="S20" i="55"/>
  <c r="FL232" i="55"/>
  <c r="FM232" i="55"/>
  <c r="FK232" i="55"/>
  <c r="FQ232" i="55"/>
  <c r="FJ232" i="55"/>
  <c r="FN232" i="55"/>
  <c r="FR232" i="55"/>
  <c r="FI232" i="55"/>
  <c r="FO232" i="55"/>
  <c r="FP232" i="55"/>
  <c r="U282" i="55"/>
  <c r="GG334" i="55"/>
  <c r="GD334" i="55"/>
  <c r="GE334" i="55" s="1" a="1"/>
  <c r="GE334" i="55" s="1"/>
  <c r="GF334" i="55" s="1"/>
  <c r="FY142" i="55"/>
  <c r="FX142" i="55" a="1"/>
  <c r="FX142" i="55" s="1"/>
  <c r="GD190" i="55"/>
  <c r="GE190" i="55" s="1" a="1"/>
  <c r="GE190" i="55" s="1"/>
  <c r="GF190" i="55" s="1"/>
  <c r="GG190" i="55"/>
  <c r="GD286" i="55"/>
  <c r="GE286" i="55" s="1" a="1"/>
  <c r="GE286" i="55" s="1"/>
  <c r="GF286" i="55" s="1"/>
  <c r="GG286" i="55"/>
  <c r="R123" i="55"/>
  <c r="CZ62" i="55"/>
  <c r="DA62" i="55" s="1"/>
  <c r="GD126" i="55"/>
  <c r="GE126" i="55" s="1" a="1"/>
  <c r="GE126" i="55" s="1"/>
  <c r="GF126" i="55" s="1"/>
  <c r="GG126" i="55"/>
  <c r="BQ126" i="55"/>
  <c r="DG174" i="55" a="1"/>
  <c r="DG174" i="55" s="1"/>
  <c r="DH174" i="55"/>
  <c r="DX174" i="55" s="1"/>
  <c r="DE174" i="55" a="1"/>
  <c r="DE174" i="55" s="1"/>
  <c r="DF174" i="55" a="1"/>
  <c r="DF174" i="55" s="1"/>
  <c r="GY254" i="55"/>
  <c r="GX254" i="55"/>
  <c r="FY302" i="55"/>
  <c r="FX302" i="55" a="1"/>
  <c r="FX302" i="55" s="1"/>
  <c r="FZ302" i="55" s="1"/>
  <c r="S150" i="55"/>
  <c r="R283" i="55"/>
  <c r="R347" i="55"/>
  <c r="DE5" i="55" a="1"/>
  <c r="DE5" i="55" s="1"/>
  <c r="DG5" i="55" a="1"/>
  <c r="DG5" i="55" s="1"/>
  <c r="DH5" i="55"/>
  <c r="DX5" i="55" s="1"/>
  <c r="DF5" i="55" a="1"/>
  <c r="DF5" i="55" s="1"/>
  <c r="GD117" i="55"/>
  <c r="GE117" i="55" s="1" a="1"/>
  <c r="GE117" i="55" s="1"/>
  <c r="GF117" i="55" s="1"/>
  <c r="GG117" i="55"/>
  <c r="BQ117" i="55"/>
  <c r="O117" i="55" a="1"/>
  <c r="O117" i="55" s="1"/>
  <c r="DE197" i="55" a="1"/>
  <c r="DE197" i="55" s="1"/>
  <c r="DG197" i="55" a="1"/>
  <c r="DG197" i="55" s="1"/>
  <c r="DH197" i="55"/>
  <c r="DX197" i="55" s="1"/>
  <c r="DF197" i="55" a="1"/>
  <c r="DF197" i="55" s="1"/>
  <c r="GD261" i="55"/>
  <c r="GE261" i="55" s="1" a="1"/>
  <c r="GE261" i="55" s="1"/>
  <c r="GF261" i="55" s="1"/>
  <c r="GG261" i="55"/>
  <c r="BQ261" i="55"/>
  <c r="O261" i="55" a="1"/>
  <c r="O261" i="55" s="1"/>
  <c r="DE293" i="55" a="1"/>
  <c r="DE293" i="55" s="1"/>
  <c r="DH293" i="55"/>
  <c r="DX293" i="55" s="1"/>
  <c r="DG293" i="55" a="1"/>
  <c r="DG293" i="55" s="1"/>
  <c r="DF293" i="55" a="1"/>
  <c r="DF293" i="55" s="1"/>
  <c r="GX70" i="55"/>
  <c r="GY70" i="55"/>
  <c r="DF39" i="55" a="1"/>
  <c r="DF39" i="55" s="1"/>
  <c r="DH39" i="55"/>
  <c r="DX39" i="55" s="1"/>
  <c r="DG39" i="55" a="1"/>
  <c r="DG39" i="55" s="1"/>
  <c r="DE39" i="55" a="1"/>
  <c r="DE39" i="55" s="1"/>
  <c r="GX87" i="55"/>
  <c r="GY87" i="55"/>
  <c r="DE54" i="55" a="1"/>
  <c r="DE54" i="55" s="1"/>
  <c r="DH54" i="55"/>
  <c r="DX54" i="55" s="1"/>
  <c r="CR54" i="55" a="1"/>
  <c r="CR54" i="55" s="1"/>
  <c r="DF54" i="55" a="1"/>
  <c r="DF54" i="55" s="1"/>
  <c r="DG54" i="55" a="1"/>
  <c r="DG54" i="55" s="1"/>
  <c r="DE246" i="55" a="1"/>
  <c r="DE246" i="55" s="1"/>
  <c r="DG246" i="55" a="1"/>
  <c r="DG246" i="55" s="1"/>
  <c r="DF246" i="55" a="1"/>
  <c r="DF246" i="55" s="1"/>
  <c r="DH246" i="55"/>
  <c r="DX246" i="55" s="1"/>
  <c r="CR246" i="55" a="1"/>
  <c r="CR246" i="55" s="1"/>
  <c r="FY135" i="55"/>
  <c r="FX135" i="55" a="1"/>
  <c r="FX135" i="55" s="1"/>
  <c r="FZ135" i="55" s="1"/>
  <c r="GD183" i="55"/>
  <c r="GE183" i="55" s="1" a="1"/>
  <c r="GE183" i="55" s="1"/>
  <c r="GF183" i="55" s="1"/>
  <c r="GG183" i="55"/>
  <c r="CE183" i="55" a="1"/>
  <c r="CE183" i="55" s="1"/>
  <c r="FM54" i="55"/>
  <c r="FN54" i="55"/>
  <c r="FJ54" i="55"/>
  <c r="FP54" i="55"/>
  <c r="FI54" i="55"/>
  <c r="FO54" i="55"/>
  <c r="FK54" i="55"/>
  <c r="FH54" i="55"/>
  <c r="FL54" i="55" s="1"/>
  <c r="FQ54" i="55"/>
  <c r="FM134" i="55"/>
  <c r="FN134" i="55"/>
  <c r="FI134" i="55"/>
  <c r="FO134" i="55"/>
  <c r="FP134" i="55"/>
  <c r="FK134" i="55"/>
  <c r="FQ134" i="55"/>
  <c r="FH134" i="55"/>
  <c r="FL134" i="55" s="1"/>
  <c r="FJ134" i="55"/>
  <c r="FM230" i="55"/>
  <c r="FN230" i="55"/>
  <c r="FR230" i="55"/>
  <c r="FJ230" i="55"/>
  <c r="FI230" i="55"/>
  <c r="FK230" i="55"/>
  <c r="FQ230" i="55"/>
  <c r="FP230" i="55"/>
  <c r="FO230" i="55"/>
  <c r="FL230" i="55"/>
  <c r="CE326" i="55" a="1"/>
  <c r="CE326" i="55" s="1"/>
  <c r="FR326" i="55" s="1"/>
  <c r="FX21" i="55" a="1"/>
  <c r="FX21" i="55" s="1"/>
  <c r="FY21" i="55"/>
  <c r="GD277" i="55"/>
  <c r="GE277" i="55" s="1" a="1"/>
  <c r="GE277" i="55" s="1"/>
  <c r="GF277" i="55" s="1"/>
  <c r="GG277" i="55"/>
  <c r="BQ277" i="55"/>
  <c r="O277" i="55" a="1"/>
  <c r="O277" i="55" s="1"/>
  <c r="GX231" i="55"/>
  <c r="GY231" i="55"/>
  <c r="S320" i="55"/>
  <c r="R252" i="55"/>
  <c r="DF294" i="55" a="1"/>
  <c r="DF294" i="55" s="1"/>
  <c r="DG294" i="55" a="1"/>
  <c r="DG294" i="55" s="1"/>
  <c r="DH294" i="55"/>
  <c r="DX294" i="55" s="1"/>
  <c r="DE294" i="55" a="1"/>
  <c r="DE294" i="55" s="1"/>
  <c r="FN292" i="55"/>
  <c r="FO292" i="55"/>
  <c r="FM292" i="55"/>
  <c r="FQ292" i="55"/>
  <c r="FK292" i="55"/>
  <c r="FP292" i="55"/>
  <c r="FL292" i="55"/>
  <c r="FJ292" i="55"/>
  <c r="FI292" i="55"/>
  <c r="GX119" i="55"/>
  <c r="GY119" i="55"/>
  <c r="O198" i="55" a="1"/>
  <c r="O198" i="55" s="1"/>
  <c r="BQ55" i="55"/>
  <c r="FM311" i="55"/>
  <c r="FN311" i="55"/>
  <c r="FO311" i="55"/>
  <c r="FJ311" i="55"/>
  <c r="FQ311" i="55"/>
  <c r="FP311" i="55"/>
  <c r="FI311" i="55"/>
  <c r="FL311" i="55"/>
  <c r="FK311" i="55"/>
  <c r="FH311" i="55"/>
  <c r="CR334" i="55" a="1"/>
  <c r="CR334" i="55" s="1"/>
  <c r="JW90" i="55"/>
  <c r="IC90" i="55"/>
  <c r="DS90" i="55"/>
  <c r="GB90" i="55"/>
  <c r="GC90" i="55" s="1"/>
  <c r="GE90" i="55" s="1" a="1"/>
  <c r="GE90" i="55" s="1"/>
  <c r="GF90" i="55" s="1"/>
  <c r="DX90" i="55"/>
  <c r="CR90" i="55" a="1"/>
  <c r="CR90" i="55" s="1"/>
  <c r="FW90" i="55"/>
  <c r="V90" i="55"/>
  <c r="U90" i="55"/>
  <c r="BQ119" i="55"/>
  <c r="FM7" i="55"/>
  <c r="FN7" i="55"/>
  <c r="FQ7" i="55"/>
  <c r="FL7" i="55"/>
  <c r="FI7" i="55"/>
  <c r="FK7" i="55"/>
  <c r="FO7" i="55"/>
  <c r="FH7" i="55"/>
  <c r="FR7" i="55"/>
  <c r="FJ7" i="55"/>
  <c r="FL200" i="55"/>
  <c r="FM200" i="55"/>
  <c r="FQ200" i="55"/>
  <c r="FP200" i="55"/>
  <c r="FJ200" i="55"/>
  <c r="FO200" i="55"/>
  <c r="FK200" i="55"/>
  <c r="FN200" i="55"/>
  <c r="FI200" i="55"/>
  <c r="JW317" i="55"/>
  <c r="IC317" i="55"/>
  <c r="GB317" i="55"/>
  <c r="GC317" i="55" s="1"/>
  <c r="CR317" i="55" a="1"/>
  <c r="CR317" i="55" s="1"/>
  <c r="CS317" i="55" s="1"/>
  <c r="DS317" i="55"/>
  <c r="T317" i="55"/>
  <c r="U317" i="55"/>
  <c r="V317" i="55"/>
  <c r="CZ206" i="55"/>
  <c r="DA206" i="55" s="1"/>
  <c r="DG270" i="55" a="1"/>
  <c r="DG270" i="55" s="1"/>
  <c r="DF270" i="55" a="1"/>
  <c r="DF270" i="55" s="1"/>
  <c r="DE270" i="55" a="1"/>
  <c r="DE270" i="55" s="1"/>
  <c r="DH270" i="55"/>
  <c r="DX270" i="55" s="1"/>
  <c r="CR270" i="55" a="1"/>
  <c r="CR270" i="55" s="1"/>
  <c r="EJ25" i="55"/>
  <c r="GN25" i="55"/>
  <c r="DL25" i="55"/>
  <c r="FL185" i="55"/>
  <c r="FM185" i="55"/>
  <c r="FO185" i="55"/>
  <c r="FJ185" i="55"/>
  <c r="FQ185" i="55"/>
  <c r="FP185" i="55"/>
  <c r="FI185" i="55"/>
  <c r="FK185" i="55"/>
  <c r="FN185" i="55"/>
  <c r="O297" i="55" a="1"/>
  <c r="O297" i="55" s="1"/>
  <c r="JW301" i="55"/>
  <c r="IC301" i="55"/>
  <c r="GB301" i="55"/>
  <c r="GC301" i="55" s="1"/>
  <c r="CR301" i="55" a="1"/>
  <c r="CR301" i="55" s="1"/>
  <c r="FW301" i="55"/>
  <c r="DS301" i="55"/>
  <c r="V301" i="55"/>
  <c r="U301" i="55"/>
  <c r="GX30" i="55"/>
  <c r="GY30" i="55"/>
  <c r="DG238" i="55" a="1"/>
  <c r="DG238" i="55" s="1"/>
  <c r="DF238" i="55" a="1"/>
  <c r="DF238" i="55" s="1"/>
  <c r="DH238" i="55"/>
  <c r="DX238" i="55" s="1"/>
  <c r="CR238" i="55" a="1"/>
  <c r="CR238" i="55" s="1"/>
  <c r="DE238" i="55" a="1"/>
  <c r="DE238" i="55" s="1"/>
  <c r="FZ119" i="55"/>
  <c r="GY62" i="55"/>
  <c r="GX62" i="55"/>
  <c r="GX126" i="55"/>
  <c r="GY126" i="55"/>
  <c r="DG66" i="55" a="1"/>
  <c r="DG66" i="55" s="1"/>
  <c r="DF66" i="55" a="1"/>
  <c r="DF66" i="55" s="1"/>
  <c r="DE66" i="55" a="1"/>
  <c r="DE66" i="55" s="1"/>
  <c r="DH66" i="55"/>
  <c r="DX66" i="55" s="1"/>
  <c r="JG303" i="55"/>
  <c r="JN303" i="55"/>
  <c r="FY275" i="55"/>
  <c r="FX275" i="55" a="1"/>
  <c r="FX275" i="55" s="1"/>
  <c r="EY75" i="55"/>
  <c r="GS259" i="55"/>
  <c r="GG32" i="55"/>
  <c r="GD32" i="55"/>
  <c r="GE32" i="55" s="1" a="1"/>
  <c r="GE32" i="55" s="1"/>
  <c r="GF32" i="55" s="1"/>
  <c r="O32" i="55" a="1"/>
  <c r="O32" i="55" s="1"/>
  <c r="GX48" i="55"/>
  <c r="GY48" i="55"/>
  <c r="GD64" i="55"/>
  <c r="GG64" i="55"/>
  <c r="O64" i="55" a="1"/>
  <c r="O64" i="55" s="1"/>
  <c r="GY96" i="55"/>
  <c r="GX96" i="55"/>
  <c r="FY112" i="55"/>
  <c r="FX112" i="55" a="1"/>
  <c r="FX112" i="55" s="1"/>
  <c r="FY131" i="55"/>
  <c r="FX131" i="55" a="1"/>
  <c r="FX131" i="55" s="1"/>
  <c r="FZ131" i="55" s="1"/>
  <c r="FY259" i="55"/>
  <c r="FX259" i="55" a="1"/>
  <c r="FX259" i="55" s="1"/>
  <c r="GE174" i="55" a="1"/>
  <c r="GE174" i="55" s="1"/>
  <c r="GF174" i="55" s="1"/>
  <c r="GD102" i="55"/>
  <c r="GE102" i="55" s="1" a="1"/>
  <c r="GE102" i="55" s="1"/>
  <c r="GF102" i="55" s="1"/>
  <c r="T102" i="55"/>
  <c r="DF227" i="55" a="1"/>
  <c r="DF227" i="55" s="1"/>
  <c r="DH227" i="55"/>
  <c r="DX227" i="55" s="1"/>
  <c r="DG227" i="55" a="1"/>
  <c r="DG227" i="55" s="1"/>
  <c r="DE227" i="55" a="1"/>
  <c r="DE227" i="55" s="1"/>
  <c r="GE209" i="55" a="1"/>
  <c r="GE209" i="55" s="1"/>
  <c r="GF209" i="55" s="1"/>
  <c r="FX82" i="55" a="1"/>
  <c r="FX82" i="55" s="1"/>
  <c r="FY82" i="55"/>
  <c r="GD130" i="55"/>
  <c r="GY162" i="55"/>
  <c r="GX162" i="55"/>
  <c r="GD226" i="55"/>
  <c r="GG226" i="55"/>
  <c r="O226" i="55" a="1"/>
  <c r="O226" i="55" s="1"/>
  <c r="BQ226" i="55"/>
  <c r="DF243" i="55" a="1"/>
  <c r="DF243" i="55" s="1"/>
  <c r="DE243" i="55" a="1"/>
  <c r="DE243" i="55" s="1"/>
  <c r="DG243" i="55" a="1"/>
  <c r="DG243" i="55" s="1"/>
  <c r="DH243" i="55"/>
  <c r="DX243" i="55" s="1"/>
  <c r="DF307" i="55" a="1"/>
  <c r="DF307" i="55" s="1"/>
  <c r="DE307" i="55" a="1"/>
  <c r="DE307" i="55" s="1"/>
  <c r="DH307" i="55"/>
  <c r="DX307" i="55" s="1"/>
  <c r="DG307" i="55" a="1"/>
  <c r="DG307" i="55" s="1"/>
  <c r="FP337" i="55"/>
  <c r="FH337" i="55"/>
  <c r="FQ337" i="55"/>
  <c r="FI337" i="55"/>
  <c r="FR337" i="55"/>
  <c r="FM337" i="55"/>
  <c r="FJ337" i="55"/>
  <c r="FL337" i="55"/>
  <c r="FK337" i="55"/>
  <c r="FN337" i="55"/>
  <c r="FO337" i="55"/>
  <c r="CZ69" i="55"/>
  <c r="DA69" i="55" s="1"/>
  <c r="FY213" i="55"/>
  <c r="FX213" i="55" a="1"/>
  <c r="FX213" i="55" s="1"/>
  <c r="GD245" i="55"/>
  <c r="GE245" i="55" s="1" a="1"/>
  <c r="GE245" i="55" s="1"/>
  <c r="GF245" i="55" s="1"/>
  <c r="GG245" i="55"/>
  <c r="BQ245" i="55"/>
  <c r="O245" i="55" a="1"/>
  <c r="O245" i="55" s="1"/>
  <c r="CZ6" i="55"/>
  <c r="DA6" i="55" s="1"/>
  <c r="FN276" i="55"/>
  <c r="FO276" i="55"/>
  <c r="FK276" i="55"/>
  <c r="FI276" i="55"/>
  <c r="FL276" i="55"/>
  <c r="FJ276" i="55"/>
  <c r="FR276" i="55"/>
  <c r="FP276" i="55"/>
  <c r="FM276" i="55"/>
  <c r="FQ276" i="55"/>
  <c r="DE214" i="55" a="1"/>
  <c r="DE214" i="55" s="1"/>
  <c r="DF214" i="55" a="1"/>
  <c r="DF214" i="55" s="1"/>
  <c r="DG214" i="55" a="1"/>
  <c r="DG214" i="55" s="1"/>
  <c r="DH214" i="55"/>
  <c r="DX214" i="55" s="1"/>
  <c r="CE54" i="55" a="1"/>
  <c r="CE54" i="55" s="1"/>
  <c r="FR54" i="55" s="1"/>
  <c r="FM326" i="55"/>
  <c r="FN326" i="55"/>
  <c r="FH326" i="55"/>
  <c r="FL326" i="55" s="1"/>
  <c r="FK326" i="55"/>
  <c r="FP326" i="55"/>
  <c r="FQ326" i="55"/>
  <c r="FJ326" i="55"/>
  <c r="FI326" i="55"/>
  <c r="FO326" i="55"/>
  <c r="GD101" i="55"/>
  <c r="GE101" i="55" s="1" a="1"/>
  <c r="GE101" i="55" s="1"/>
  <c r="GF101" i="55" s="1"/>
  <c r="GG101" i="55"/>
  <c r="BQ101" i="55"/>
  <c r="O101" i="55" a="1"/>
  <c r="O101" i="55" s="1"/>
  <c r="GD165" i="55"/>
  <c r="GE165" i="55" s="1" a="1"/>
  <c r="GE165" i="55" s="1"/>
  <c r="GF165" i="55" s="1"/>
  <c r="GG165" i="55"/>
  <c r="BQ165" i="55"/>
  <c r="O165" i="55" a="1"/>
  <c r="O165" i="55" s="1"/>
  <c r="GY181" i="55"/>
  <c r="GX181" i="55"/>
  <c r="GD341" i="55"/>
  <c r="GE341" i="55" s="1" a="1"/>
  <c r="GE341" i="55" s="1"/>
  <c r="GF341" i="55" s="1"/>
  <c r="T341" i="55"/>
  <c r="GX38" i="55"/>
  <c r="GY38" i="55"/>
  <c r="GX86" i="55"/>
  <c r="GY86" i="55"/>
  <c r="DF199" i="55" a="1"/>
  <c r="DF199" i="55" s="1"/>
  <c r="DH199" i="55"/>
  <c r="DX199" i="55" s="1"/>
  <c r="DE199" i="55" a="1"/>
  <c r="DE199" i="55" s="1"/>
  <c r="DG199" i="55" a="1"/>
  <c r="DG199" i="55" s="1"/>
  <c r="FM38" i="55"/>
  <c r="FN38" i="55"/>
  <c r="FQ38" i="55"/>
  <c r="FK38" i="55"/>
  <c r="FI38" i="55"/>
  <c r="FP38" i="55"/>
  <c r="FL38" i="55"/>
  <c r="FO38" i="55"/>
  <c r="FJ38" i="55"/>
  <c r="CE214" i="55" a="1"/>
  <c r="CE214" i="55" s="1"/>
  <c r="FM310" i="55"/>
  <c r="FN310" i="55"/>
  <c r="FJ310" i="55"/>
  <c r="FP310" i="55"/>
  <c r="FI310" i="55"/>
  <c r="FO310" i="55"/>
  <c r="FK310" i="55"/>
  <c r="FL310" i="55"/>
  <c r="FH310" i="55"/>
  <c r="FQ310" i="55"/>
  <c r="CZ230" i="55"/>
  <c r="DA230" i="55" s="1"/>
  <c r="FX294" i="55" a="1"/>
  <c r="FX294" i="55" s="1"/>
  <c r="FY294" i="55"/>
  <c r="DH119" i="55"/>
  <c r="DX119" i="55" s="1"/>
  <c r="DE119" i="55" a="1"/>
  <c r="DE119" i="55" s="1"/>
  <c r="DF119" i="55" a="1"/>
  <c r="DF119" i="55" s="1"/>
  <c r="DG119" i="55" a="1"/>
  <c r="DG119" i="55" s="1"/>
  <c r="FY263" i="55"/>
  <c r="FX263" i="55" a="1"/>
  <c r="FX263" i="55" s="1"/>
  <c r="FM294" i="55"/>
  <c r="FN294" i="55"/>
  <c r="FQ294" i="55"/>
  <c r="FK294" i="55"/>
  <c r="FI294" i="55"/>
  <c r="FP294" i="55"/>
  <c r="FJ294" i="55"/>
  <c r="FO294" i="55"/>
  <c r="FL294" i="55"/>
  <c r="O295" i="55" a="1"/>
  <c r="O295" i="55" s="1"/>
  <c r="GP19" i="55"/>
  <c r="FM72" i="55"/>
  <c r="FQ72" i="55"/>
  <c r="FO72" i="55"/>
  <c r="FH72" i="55"/>
  <c r="FL72" i="55" s="1"/>
  <c r="FI72" i="55"/>
  <c r="FJ72" i="55"/>
  <c r="FK72" i="55"/>
  <c r="FP72" i="55"/>
  <c r="FN72" i="55"/>
  <c r="JW154" i="55"/>
  <c r="IC154" i="55"/>
  <c r="DS154" i="55"/>
  <c r="GB154" i="55"/>
  <c r="GC154" i="55" s="1"/>
  <c r="GE154" i="55" s="1" a="1"/>
  <c r="GE154" i="55" s="1"/>
  <c r="CR154" i="55" a="1"/>
  <c r="CR154" i="55" s="1"/>
  <c r="GT154" i="55"/>
  <c r="CS154" i="55"/>
  <c r="T154" i="55"/>
  <c r="V154" i="55"/>
  <c r="U154" i="55"/>
  <c r="EL163" i="55"/>
  <c r="JG63" i="55"/>
  <c r="JN63" i="55"/>
  <c r="EL182" i="55"/>
  <c r="EL214" i="55"/>
  <c r="GD158" i="55"/>
  <c r="GE158" i="55" s="1" a="1"/>
  <c r="GE158" i="55" s="1"/>
  <c r="GF158" i="55" s="1"/>
  <c r="GG158" i="55"/>
  <c r="GD222" i="55"/>
  <c r="GE222" i="55" s="1" a="1"/>
  <c r="GE222" i="55" s="1"/>
  <c r="GF222" i="55" s="1"/>
  <c r="GG222" i="55"/>
  <c r="EL244" i="55"/>
  <c r="FL168" i="55"/>
  <c r="FM168" i="55"/>
  <c r="FK168" i="55"/>
  <c r="FP168" i="55"/>
  <c r="FO168" i="55"/>
  <c r="FI168" i="55"/>
  <c r="FJ168" i="55"/>
  <c r="FQ168" i="55"/>
  <c r="FN168" i="55"/>
  <c r="FL25" i="55"/>
  <c r="FM25" i="55"/>
  <c r="FN25" i="55"/>
  <c r="FI25" i="55"/>
  <c r="FJ25" i="55"/>
  <c r="FH25" i="55"/>
  <c r="FO25" i="55"/>
  <c r="FR25" i="55"/>
  <c r="FK25" i="55"/>
  <c r="FQ25" i="55"/>
  <c r="FM57" i="55"/>
  <c r="FH57" i="55"/>
  <c r="FL57" i="55" s="1"/>
  <c r="FO57" i="55"/>
  <c r="FJ57" i="55"/>
  <c r="FK57" i="55"/>
  <c r="FI57" i="55"/>
  <c r="FN57" i="55"/>
  <c r="FQ57" i="55"/>
  <c r="FP57" i="55"/>
  <c r="FM89" i="55"/>
  <c r="FN89" i="55"/>
  <c r="FI89" i="55"/>
  <c r="FP89" i="55"/>
  <c r="FQ89" i="55"/>
  <c r="FJ89" i="55"/>
  <c r="FO89" i="55"/>
  <c r="FH89" i="55"/>
  <c r="FL89" i="55" s="1"/>
  <c r="FK89" i="55"/>
  <c r="DG78" i="55" a="1"/>
  <c r="DG78" i="55" s="1"/>
  <c r="DE78" i="55" a="1"/>
  <c r="DE78" i="55" s="1"/>
  <c r="DH78" i="55"/>
  <c r="DX78" i="55" s="1"/>
  <c r="DF78" i="55" a="1"/>
  <c r="DF78" i="55" s="1"/>
  <c r="DG142" i="55" a="1"/>
  <c r="DG142" i="55" s="1"/>
  <c r="DF142" i="55" a="1"/>
  <c r="DF142" i="55" s="1"/>
  <c r="DH142" i="55"/>
  <c r="DX142" i="55" s="1"/>
  <c r="DE142" i="55" a="1"/>
  <c r="DE142" i="55" s="1"/>
  <c r="GY190" i="55"/>
  <c r="GX190" i="55"/>
  <c r="JW61" i="55"/>
  <c r="IC61" i="55"/>
  <c r="GB61" i="55"/>
  <c r="GC61" i="55" s="1"/>
  <c r="GE61" i="55" s="1" a="1"/>
  <c r="GE61" i="55" s="1"/>
  <c r="GF61" i="55" s="1"/>
  <c r="DX61" i="55"/>
  <c r="CR61" i="55" a="1"/>
  <c r="CR61" i="55" s="1"/>
  <c r="DS61" i="55"/>
  <c r="V61" i="55"/>
  <c r="U61" i="55"/>
  <c r="JW221" i="55"/>
  <c r="IC221" i="55"/>
  <c r="GB221" i="55"/>
  <c r="GC221" i="55" s="1"/>
  <c r="GE221" i="55" s="1" a="1"/>
  <c r="GE221" i="55" s="1"/>
  <c r="GF221" i="55" s="1"/>
  <c r="DS221" i="55"/>
  <c r="CR221" i="55" a="1"/>
  <c r="CR221" i="55" s="1"/>
  <c r="FW221" i="55"/>
  <c r="CS221" i="55"/>
  <c r="V221" i="55"/>
  <c r="DX221" i="55"/>
  <c r="U221" i="55"/>
  <c r="FA300" i="55"/>
  <c r="FB300" i="55"/>
  <c r="DG14" i="55" a="1"/>
  <c r="DG14" i="55" s="1"/>
  <c r="DF14" i="55" a="1"/>
  <c r="DF14" i="55" s="1"/>
  <c r="DH14" i="55"/>
  <c r="DX14" i="55" s="1"/>
  <c r="DE14" i="55" a="1"/>
  <c r="DE14" i="55" s="1"/>
  <c r="CZ126" i="55"/>
  <c r="DA126" i="55" s="1"/>
  <c r="CZ174" i="55"/>
  <c r="DA174" i="55" s="1"/>
  <c r="FZ64" i="55"/>
  <c r="R171" i="55"/>
  <c r="R299" i="55"/>
  <c r="GD85" i="55"/>
  <c r="GE85" i="55" s="1" a="1"/>
  <c r="GE85" i="55" s="1"/>
  <c r="GF85" i="55" s="1"/>
  <c r="GG85" i="55"/>
  <c r="BQ85" i="55"/>
  <c r="FX117" i="55" a="1"/>
  <c r="FX117" i="55" s="1"/>
  <c r="FY117" i="55"/>
  <c r="DE149" i="55" a="1"/>
  <c r="DE149" i="55" s="1"/>
  <c r="DF149" i="55" a="1"/>
  <c r="DF149" i="55" s="1"/>
  <c r="DG149" i="55" a="1"/>
  <c r="DG149" i="55" s="1"/>
  <c r="DH149" i="55"/>
  <c r="DX149" i="55" s="1"/>
  <c r="GY293" i="55"/>
  <c r="GX293" i="55"/>
  <c r="GD182" i="55"/>
  <c r="GE182" i="55" s="1" a="1"/>
  <c r="GE182" i="55" s="1"/>
  <c r="GF182" i="55" s="1"/>
  <c r="GG182" i="55"/>
  <c r="FA213" i="55"/>
  <c r="FB213" i="55"/>
  <c r="FX311" i="55" a="1"/>
  <c r="FX311" i="55" s="1"/>
  <c r="FY311" i="55"/>
  <c r="GX246" i="55"/>
  <c r="GY246" i="55"/>
  <c r="GX310" i="55"/>
  <c r="GY310" i="55"/>
  <c r="GG71" i="55"/>
  <c r="GD71" i="55"/>
  <c r="GE71" i="55" s="1" a="1"/>
  <c r="GE71" i="55" s="1"/>
  <c r="GF71" i="55" s="1"/>
  <c r="GX135" i="55"/>
  <c r="GY135" i="55"/>
  <c r="DH279" i="55"/>
  <c r="DX279" i="55" s="1"/>
  <c r="DG279" i="55" a="1"/>
  <c r="DG279" i="55" s="1"/>
  <c r="DE279" i="55" a="1"/>
  <c r="DE279" i="55" s="1"/>
  <c r="DF279" i="55" a="1"/>
  <c r="DF279" i="55" s="1"/>
  <c r="CR279" i="55" a="1"/>
  <c r="CR279" i="55" s="1"/>
  <c r="GX343" i="55"/>
  <c r="GY343" i="55"/>
  <c r="FY101" i="55"/>
  <c r="FX101" i="55" a="1"/>
  <c r="FX101" i="55" s="1"/>
  <c r="FX341" i="55" a="1"/>
  <c r="FX341" i="55" s="1"/>
  <c r="FY341" i="55"/>
  <c r="GX22" i="55"/>
  <c r="GY22" i="55"/>
  <c r="DE342" i="55" a="1"/>
  <c r="DE342" i="55" s="1"/>
  <c r="DF342" i="55" a="1"/>
  <c r="DF342" i="55" s="1"/>
  <c r="DH342" i="55"/>
  <c r="DX342" i="55" s="1"/>
  <c r="DG342" i="55" a="1"/>
  <c r="DG342" i="55" s="1"/>
  <c r="CR342" i="55" a="1"/>
  <c r="CR342" i="55" s="1"/>
  <c r="GL68" i="55"/>
  <c r="O68" i="55" a="1"/>
  <c r="O68" i="55" s="1"/>
  <c r="FM118" i="55"/>
  <c r="FN118" i="55"/>
  <c r="FJ118" i="55"/>
  <c r="FQ118" i="55"/>
  <c r="FI118" i="55"/>
  <c r="FO118" i="55"/>
  <c r="FK118" i="55"/>
  <c r="FH118" i="55"/>
  <c r="FL118" i="55" s="1"/>
  <c r="FR118" i="55"/>
  <c r="FP118" i="55"/>
  <c r="FM214" i="55"/>
  <c r="FN214" i="55"/>
  <c r="FP214" i="55"/>
  <c r="FR214" i="55"/>
  <c r="FL214" i="55"/>
  <c r="FK214" i="55"/>
  <c r="FQ214" i="55"/>
  <c r="FI214" i="55"/>
  <c r="FJ214" i="55"/>
  <c r="FO214" i="55"/>
  <c r="CE310" i="55" a="1"/>
  <c r="CE310" i="55" s="1"/>
  <c r="O310" i="55" s="1" a="1"/>
  <c r="O310" i="55" s="1"/>
  <c r="FZ345" i="55"/>
  <c r="EY140" i="55"/>
  <c r="EY332" i="55"/>
  <c r="GD134" i="55"/>
  <c r="GE134" i="55" s="1" a="1"/>
  <c r="GE134" i="55" s="1"/>
  <c r="GF134" i="55" s="1"/>
  <c r="GG134" i="55"/>
  <c r="DF230" i="55" a="1"/>
  <c r="DF230" i="55" s="1"/>
  <c r="DG230" i="55" a="1"/>
  <c r="DG230" i="55" s="1"/>
  <c r="DE230" i="55" a="1"/>
  <c r="DE230" i="55" s="1"/>
  <c r="DH230" i="55"/>
  <c r="DX230" i="55" s="1"/>
  <c r="CZ294" i="55"/>
  <c r="DA294" i="55" s="1"/>
  <c r="GX23" i="55"/>
  <c r="GY23" i="55"/>
  <c r="DH55" i="55"/>
  <c r="DX55" i="55" s="1"/>
  <c r="DE55" i="55" a="1"/>
  <c r="DE55" i="55" s="1"/>
  <c r="DG55" i="55" a="1"/>
  <c r="DG55" i="55" s="1"/>
  <c r="DF55" i="55" a="1"/>
  <c r="DF55" i="55" s="1"/>
  <c r="O70" i="55" a="1"/>
  <c r="O70" i="55" s="1"/>
  <c r="FM55" i="55"/>
  <c r="FN55" i="55"/>
  <c r="FO55" i="55"/>
  <c r="FJ55" i="55"/>
  <c r="FQ55" i="55"/>
  <c r="FP55" i="55"/>
  <c r="FK55" i="55"/>
  <c r="FH55" i="55"/>
  <c r="FL55" i="55" s="1"/>
  <c r="FI55" i="55"/>
  <c r="FM119" i="55"/>
  <c r="FN119" i="55"/>
  <c r="FO119" i="55"/>
  <c r="FJ119" i="55"/>
  <c r="FQ119" i="55"/>
  <c r="FK119" i="55"/>
  <c r="FI119" i="55"/>
  <c r="FH119" i="55"/>
  <c r="FL119" i="55" s="1"/>
  <c r="FP119" i="55"/>
  <c r="GG110" i="55"/>
  <c r="GD110" i="55"/>
  <c r="GE110" i="55" s="1" a="1"/>
  <c r="GE110" i="55" s="1"/>
  <c r="GF110" i="55" s="1"/>
  <c r="CE248" i="55" a="1"/>
  <c r="CE248" i="55" s="1"/>
  <c r="FR248" i="55" s="1"/>
  <c r="JW93" i="55"/>
  <c r="GB93" i="55"/>
  <c r="GC93" i="55" s="1"/>
  <c r="GE93" i="55" s="1" a="1"/>
  <c r="GE93" i="55" s="1"/>
  <c r="GF93" i="55" s="1"/>
  <c r="FW93" i="55"/>
  <c r="CR93" i="55" a="1"/>
  <c r="CR93" i="55" s="1"/>
  <c r="CS93" i="55"/>
  <c r="IC93" i="55"/>
  <c r="DS93" i="55"/>
  <c r="U93" i="55"/>
  <c r="V93" i="55"/>
  <c r="GD94" i="55"/>
  <c r="GE94" i="55" s="1" a="1"/>
  <c r="GE94" i="55" s="1"/>
  <c r="GF94" i="55" s="1"/>
  <c r="GG94" i="55"/>
  <c r="FM121" i="55"/>
  <c r="FH121" i="55"/>
  <c r="FL121" i="55" s="1"/>
  <c r="FO121" i="55"/>
  <c r="FJ121" i="55"/>
  <c r="FN121" i="55"/>
  <c r="FQ121" i="55"/>
  <c r="FK121" i="55"/>
  <c r="FI121" i="55"/>
  <c r="FP121" i="55"/>
  <c r="V44" i="55"/>
  <c r="U44" i="55"/>
  <c r="GY78" i="55"/>
  <c r="GX78" i="55"/>
  <c r="GY142" i="55"/>
  <c r="GX142" i="55"/>
  <c r="FY238" i="55"/>
  <c r="FX238" i="55" a="1"/>
  <c r="FX238" i="55" s="1"/>
  <c r="W5" i="42"/>
  <c r="X5" i="42" s="1"/>
  <c r="X4" i="42"/>
  <c r="AB4" i="42"/>
  <c r="AA23" i="42"/>
  <c r="AB5" i="42" s="1"/>
  <c r="Z4" i="42"/>
  <c r="Y13" i="42"/>
  <c r="AC17" i="42"/>
  <c r="AD6" i="42" s="1"/>
  <c r="GR27" i="55" l="1"/>
  <c r="GT27" i="55"/>
  <c r="EZ342" i="55"/>
  <c r="FZ165" i="55"/>
  <c r="FZ70" i="55"/>
  <c r="FZ304" i="55"/>
  <c r="FZ61" i="55"/>
  <c r="FZ116" i="55"/>
  <c r="FZ220" i="55"/>
  <c r="FZ349" i="55"/>
  <c r="GQ158" i="55"/>
  <c r="GR158" i="55" s="1"/>
  <c r="FZ243" i="55"/>
  <c r="GQ90" i="55"/>
  <c r="GR90" i="55" s="1"/>
  <c r="GQ96" i="55"/>
  <c r="GQ94" i="55"/>
  <c r="GQ91" i="55"/>
  <c r="GQ88" i="55"/>
  <c r="GR88" i="55" s="1"/>
  <c r="GQ168" i="55"/>
  <c r="GR168" i="55" s="1"/>
  <c r="FZ341" i="55"/>
  <c r="EO11" i="55" a="1"/>
  <c r="EO11" i="55" s="1"/>
  <c r="EQ11" i="55" s="1"/>
  <c r="EV94" i="55"/>
  <c r="EW94" i="55" s="1"/>
  <c r="GQ182" i="55"/>
  <c r="O138" i="55" a="1"/>
  <c r="O138" i="55" s="1"/>
  <c r="GQ323" i="55"/>
  <c r="GR323" i="55" s="1"/>
  <c r="FR212" i="55"/>
  <c r="FR217" i="55"/>
  <c r="FR329" i="55"/>
  <c r="FZ204" i="55"/>
  <c r="GU336" i="55"/>
  <c r="GV336" i="55" s="1"/>
  <c r="GW336" i="55" s="1"/>
  <c r="FZ343" i="55"/>
  <c r="FZ172" i="55"/>
  <c r="FZ60" i="55"/>
  <c r="AO15" i="54"/>
  <c r="AQ26" i="54"/>
  <c r="FR250" i="55"/>
  <c r="GQ170" i="55"/>
  <c r="GR170" i="55" s="1"/>
  <c r="R202" i="55"/>
  <c r="FR41" i="55"/>
  <c r="GQ99" i="55"/>
  <c r="GR99" i="55" s="1"/>
  <c r="GQ89" i="55"/>
  <c r="GR89" i="55" s="1"/>
  <c r="EK250" i="55"/>
  <c r="FZ290" i="55"/>
  <c r="FZ217" i="55"/>
  <c r="CI222" i="55"/>
  <c r="HV222" i="55" s="1"/>
  <c r="EZ258" i="55"/>
  <c r="GK258" i="55" s="1"/>
  <c r="O288" i="55" a="1"/>
  <c r="O288" i="55" s="1"/>
  <c r="GM288" i="55" s="1"/>
  <c r="FZ158" i="55"/>
  <c r="FZ43" i="55"/>
  <c r="FZ75" i="55"/>
  <c r="FZ52" i="55"/>
  <c r="FZ270" i="55"/>
  <c r="O48" i="55" a="1"/>
  <c r="O48" i="55" s="1"/>
  <c r="GM48" i="55" s="1"/>
  <c r="GT184" i="55"/>
  <c r="FZ260" i="55"/>
  <c r="FR322" i="55"/>
  <c r="GQ93" i="55"/>
  <c r="GR93" i="55" s="1"/>
  <c r="GQ345" i="55"/>
  <c r="FZ236" i="55"/>
  <c r="O144" i="55" a="1"/>
  <c r="O144" i="55" s="1"/>
  <c r="GQ325" i="55"/>
  <c r="FR185" i="55"/>
  <c r="O322" i="55" a="1"/>
  <c r="O322" i="55" s="1"/>
  <c r="EV322" i="55" s="1"/>
  <c r="EW322" i="55" s="1"/>
  <c r="EZ322" i="55" s="1"/>
  <c r="AL26" i="54"/>
  <c r="FR339" i="55"/>
  <c r="FR237" i="55"/>
  <c r="O237" i="55" a="1"/>
  <c r="O237" i="55" s="1"/>
  <c r="O140" i="55" a="1"/>
  <c r="O140" i="55" s="1"/>
  <c r="FR294" i="55"/>
  <c r="AO25" i="54"/>
  <c r="FR104" i="55"/>
  <c r="FR71" i="55"/>
  <c r="GQ262" i="55"/>
  <c r="GQ239" i="55"/>
  <c r="O241" i="55" a="1"/>
  <c r="O241" i="55" s="1"/>
  <c r="EV241" i="55" s="1"/>
  <c r="EW241" i="55" s="1"/>
  <c r="EK71" i="55"/>
  <c r="GQ243" i="55"/>
  <c r="GR243" i="55" s="1"/>
  <c r="FZ212" i="55"/>
  <c r="FZ200" i="55"/>
  <c r="GQ31" i="55"/>
  <c r="GR31" i="55" s="1"/>
  <c r="GR32" i="55" s="1"/>
  <c r="GR33" i="55" s="1"/>
  <c r="GR34" i="55" s="1"/>
  <c r="GR35" i="55" s="1"/>
  <c r="GR36" i="55" s="1"/>
  <c r="GR37" i="55" s="1"/>
  <c r="GR38" i="55" s="1"/>
  <c r="GR39" i="55" s="1"/>
  <c r="GR40" i="55" s="1"/>
  <c r="GR41" i="55" s="1"/>
  <c r="GR42" i="55" s="1"/>
  <c r="GR43" i="55" s="1"/>
  <c r="GR44" i="55" s="1"/>
  <c r="GR45" i="55" s="1"/>
  <c r="GR46" i="55" s="1"/>
  <c r="GR47" i="55" s="1"/>
  <c r="GR48" i="55" s="1"/>
  <c r="GR49" i="55" s="1"/>
  <c r="GR50" i="55" s="1"/>
  <c r="GR51" i="55" s="1"/>
  <c r="GR52" i="55" s="1"/>
  <c r="FR119" i="55"/>
  <c r="FZ142" i="55"/>
  <c r="GQ135" i="55"/>
  <c r="FZ110" i="55"/>
  <c r="AK25" i="54"/>
  <c r="FR24" i="55"/>
  <c r="O105" i="55" a="1"/>
  <c r="O105" i="55" s="1"/>
  <c r="EV105" i="55" s="1"/>
  <c r="EW105" i="55" s="1"/>
  <c r="EZ30" i="55"/>
  <c r="FR48" i="55"/>
  <c r="FZ4" i="55"/>
  <c r="GQ130" i="55"/>
  <c r="GT130" i="55" s="1"/>
  <c r="EZ37" i="55"/>
  <c r="GK37" i="55" s="1"/>
  <c r="FR308" i="55"/>
  <c r="O263" i="55" a="1"/>
  <c r="O263" i="55" s="1"/>
  <c r="GQ84" i="55"/>
  <c r="GR84" i="55" s="1"/>
  <c r="FR327" i="55"/>
  <c r="FR144" i="55"/>
  <c r="FZ296" i="55"/>
  <c r="FR60" i="55"/>
  <c r="FR271" i="55"/>
  <c r="AR25" i="54"/>
  <c r="O305" i="55" a="1"/>
  <c r="O305" i="55" s="1"/>
  <c r="FR198" i="55"/>
  <c r="O300" i="55" a="1"/>
  <c r="O300" i="55" s="1"/>
  <c r="FZ56" i="55"/>
  <c r="O61" i="55" a="1"/>
  <c r="O61" i="55" s="1"/>
  <c r="EV61" i="55" s="1"/>
  <c r="EW61" i="55" s="1"/>
  <c r="FZ245" i="55"/>
  <c r="EV202" i="55"/>
  <c r="EW202" i="55" s="1"/>
  <c r="EZ202" i="55" s="1"/>
  <c r="EV186" i="55"/>
  <c r="EW186" i="55" s="1"/>
  <c r="FR328" i="55"/>
  <c r="AP27" i="54" s="1"/>
  <c r="FZ126" i="55"/>
  <c r="FZ262" i="55"/>
  <c r="O265" i="55" a="1"/>
  <c r="O265" i="55" s="1"/>
  <c r="FZ29" i="55"/>
  <c r="FZ94" i="55"/>
  <c r="FZ301" i="55"/>
  <c r="FZ157" i="55"/>
  <c r="FZ189" i="55"/>
  <c r="FZ27" i="55"/>
  <c r="FZ284" i="55"/>
  <c r="GQ285" i="55"/>
  <c r="GR285" i="55" s="1"/>
  <c r="GT3" i="55"/>
  <c r="GU3" i="55" s="1"/>
  <c r="JX76" i="55"/>
  <c r="DM76" i="55"/>
  <c r="DQ76" i="55" s="1"/>
  <c r="II76" i="55" s="1"/>
  <c r="JY251" i="55"/>
  <c r="DV251" i="55"/>
  <c r="DV195" i="55"/>
  <c r="JY195" i="55"/>
  <c r="DM195" i="55"/>
  <c r="DV153" i="55"/>
  <c r="DM153" i="55"/>
  <c r="EZ80" i="55"/>
  <c r="HL80" i="55" s="1"/>
  <c r="JX130" i="55"/>
  <c r="DM130" i="55"/>
  <c r="DQ130" i="55" s="1"/>
  <c r="DR130" i="55" s="1" a="1"/>
  <c r="DR130" i="55" s="1"/>
  <c r="DT130" i="55" s="1"/>
  <c r="JY130" i="55"/>
  <c r="DR303" i="55" a="1"/>
  <c r="DR303" i="55" s="1"/>
  <c r="DT303" i="55" s="1"/>
  <c r="EO303" i="55" s="1" a="1"/>
  <c r="EO303" i="55" s="1"/>
  <c r="DU303" i="55"/>
  <c r="HT303" i="55" s="1"/>
  <c r="II303" i="55"/>
  <c r="EZ301" i="55"/>
  <c r="GK301" i="55" s="1"/>
  <c r="GQ166" i="55"/>
  <c r="GR166" i="55" s="1"/>
  <c r="FR50" i="55"/>
  <c r="GE338" i="55" a="1"/>
  <c r="GE338" i="55" s="1"/>
  <c r="GF338" i="55" s="1"/>
  <c r="JC3" i="55"/>
  <c r="EV331" i="55"/>
  <c r="EW331" i="55" s="1"/>
  <c r="EZ331" i="55" s="1"/>
  <c r="HL331" i="55" s="1"/>
  <c r="JL111" i="55"/>
  <c r="JE111" i="55"/>
  <c r="FZ295" i="55"/>
  <c r="O256" i="55" a="1"/>
  <c r="O256" i="55" s="1"/>
  <c r="EV256" i="55" s="1"/>
  <c r="EW256" i="55" s="1"/>
  <c r="FZ48" i="55"/>
  <c r="GE13" i="55" a="1"/>
  <c r="GE13" i="55" s="1"/>
  <c r="GF13" i="55" s="1"/>
  <c r="BW22" i="54" s="1" a="1"/>
  <c r="BW22" i="54" s="1"/>
  <c r="FZ344" i="55"/>
  <c r="AL14" i="54"/>
  <c r="FZ267" i="55"/>
  <c r="FR265" i="55"/>
  <c r="FZ199" i="55"/>
  <c r="FZ205" i="55"/>
  <c r="O235" i="55" a="1"/>
  <c r="O235" i="55" s="1"/>
  <c r="CI235" i="55" s="1"/>
  <c r="HV235" i="55" s="1"/>
  <c r="T235" i="55" s="1"/>
  <c r="FR56" i="55"/>
  <c r="FZ9" i="55"/>
  <c r="FZ285" i="55"/>
  <c r="FZ54" i="55"/>
  <c r="O233" i="55" a="1"/>
  <c r="O233" i="55" s="1"/>
  <c r="CI233" i="55" s="1"/>
  <c r="HV233" i="55" s="1"/>
  <c r="T233" i="55" s="1"/>
  <c r="AK20" i="54"/>
  <c r="FZ251" i="55"/>
  <c r="FZ10" i="55"/>
  <c r="R222" i="55"/>
  <c r="EZ208" i="55"/>
  <c r="FZ124" i="55"/>
  <c r="FZ24" i="55"/>
  <c r="GQ177" i="55"/>
  <c r="GR177" i="55" s="1"/>
  <c r="EK22" i="55"/>
  <c r="EV22" i="55" s="1"/>
  <c r="EW22" i="55" s="1"/>
  <c r="EZ22" i="55" s="1"/>
  <c r="O22" i="55" a="1"/>
  <c r="O22" i="55" s="1"/>
  <c r="FZ291" i="55"/>
  <c r="EZ187" i="55"/>
  <c r="FZ45" i="55"/>
  <c r="GE211" i="55" a="1"/>
  <c r="GE211" i="55" s="1"/>
  <c r="GF211" i="55" s="1"/>
  <c r="FZ235" i="55"/>
  <c r="FZ283" i="55"/>
  <c r="GE34" i="55" a="1"/>
  <c r="GE34" i="55" s="1"/>
  <c r="GF34" i="55" s="1"/>
  <c r="FZ41" i="55"/>
  <c r="FZ228" i="55"/>
  <c r="FZ37" i="55"/>
  <c r="FZ99" i="55"/>
  <c r="FZ153" i="55"/>
  <c r="FZ17" i="55"/>
  <c r="O108" i="55" a="1"/>
  <c r="O108" i="55" s="1"/>
  <c r="EZ229" i="55"/>
  <c r="R80" i="55"/>
  <c r="JX303" i="55"/>
  <c r="O177" i="55" a="1"/>
  <c r="O177" i="55" s="1"/>
  <c r="EV177" i="55" s="1"/>
  <c r="EW177" i="55" s="1"/>
  <c r="EZ177" i="55" s="1"/>
  <c r="FR125" i="55"/>
  <c r="O11" i="55" a="1"/>
  <c r="O11" i="55" s="1"/>
  <c r="FZ227" i="55"/>
  <c r="GQ321" i="55"/>
  <c r="GR321" i="55" s="1"/>
  <c r="O216" i="55" a="1"/>
  <c r="O216" i="55" s="1"/>
  <c r="GM216" i="55" s="1"/>
  <c r="GQ161" i="55"/>
  <c r="GR161" i="55" s="1"/>
  <c r="FR177" i="55"/>
  <c r="O351" i="55" a="1"/>
  <c r="O351" i="55" s="1"/>
  <c r="GM351" i="55" s="1"/>
  <c r="FZ154" i="55"/>
  <c r="GE25" i="55" a="1"/>
  <c r="GE25" i="55" s="1"/>
  <c r="GF25" i="55" s="1"/>
  <c r="BW15" i="54" s="1" a="1"/>
  <c r="BW15" i="54" s="1"/>
  <c r="EV109" i="55"/>
  <c r="EW109" i="55" s="1"/>
  <c r="GQ298" i="55"/>
  <c r="GR298" i="55" s="1"/>
  <c r="GQ301" i="55"/>
  <c r="GR301" i="55" s="1"/>
  <c r="FR57" i="55"/>
  <c r="E3" i="40" a="1"/>
  <c r="E3" i="40" s="1"/>
  <c r="BF8" i="10" s="1"/>
  <c r="FZ16" i="55"/>
  <c r="O173" i="55" a="1"/>
  <c r="O173" i="55" s="1"/>
  <c r="GM173" i="55" s="1"/>
  <c r="FZ289" i="55"/>
  <c r="JY303" i="55"/>
  <c r="GQ134" i="55"/>
  <c r="FZ250" i="55"/>
  <c r="GE313" i="55" a="1"/>
  <c r="GE313" i="55" s="1"/>
  <c r="GF313" i="55" s="1"/>
  <c r="GE12" i="55" a="1"/>
  <c r="GE12" i="55" s="1"/>
  <c r="GF12" i="55" s="1"/>
  <c r="BW21" i="54" s="1" a="1"/>
  <c r="BW21" i="54" s="1"/>
  <c r="FR85" i="55"/>
  <c r="JF63" i="55"/>
  <c r="AK18" i="54"/>
  <c r="FZ117" i="55"/>
  <c r="FZ118" i="55"/>
  <c r="AO18" i="54"/>
  <c r="ID22" i="55" a="1"/>
  <c r="ID22" i="55" s="1"/>
  <c r="GQ100" i="55"/>
  <c r="GR100" i="55" s="1"/>
  <c r="FZ114" i="55"/>
  <c r="GQ288" i="55"/>
  <c r="GR288" i="55" s="1"/>
  <c r="FZ338" i="55"/>
  <c r="GE186" i="55" a="1"/>
  <c r="GE186" i="55" s="1"/>
  <c r="GF186" i="55" s="1"/>
  <c r="FZ327" i="55"/>
  <c r="DV303" i="55"/>
  <c r="DW303" i="55" s="1"/>
  <c r="GE136" i="55" a="1"/>
  <c r="GE136" i="55" s="1"/>
  <c r="GF136" i="55" s="1"/>
  <c r="FR173" i="55"/>
  <c r="DM242" i="55"/>
  <c r="FZ138" i="55"/>
  <c r="GQ114" i="55"/>
  <c r="GR114" i="55" s="1"/>
  <c r="GQ179" i="55"/>
  <c r="FR349" i="55"/>
  <c r="GQ183" i="55"/>
  <c r="GR183" i="55" s="1"/>
  <c r="GQ136" i="55"/>
  <c r="GR136" i="55" s="1"/>
  <c r="FR42" i="55"/>
  <c r="GQ349" i="55"/>
  <c r="GR349" i="55" s="1"/>
  <c r="CS22" i="55"/>
  <c r="O85" i="55" a="1"/>
  <c r="O85" i="55" s="1"/>
  <c r="GM85" i="55" s="1"/>
  <c r="FR246" i="55"/>
  <c r="O119" i="55" a="1"/>
  <c r="O119" i="55" s="1"/>
  <c r="CI119" i="55" s="1"/>
  <c r="HV119" i="55" s="1"/>
  <c r="T119" i="55" s="1"/>
  <c r="GE315" i="55" a="1"/>
  <c r="GE315" i="55" s="1"/>
  <c r="GF315" i="55" s="1"/>
  <c r="FZ225" i="55"/>
  <c r="FZ150" i="55"/>
  <c r="CS143" i="55"/>
  <c r="CX143" i="55" s="1"/>
  <c r="GQ308" i="55"/>
  <c r="GT308" i="55" s="1"/>
  <c r="O329" i="55" a="1"/>
  <c r="O329" i="55" s="1"/>
  <c r="O87" i="55" a="1"/>
  <c r="O87" i="55" s="1"/>
  <c r="GE147" i="55" a="1"/>
  <c r="GE147" i="55" s="1"/>
  <c r="GF147" i="55" s="1"/>
  <c r="EV222" i="55"/>
  <c r="EW222" i="55" s="1"/>
  <c r="EZ222" i="55" s="1"/>
  <c r="AN18" i="54"/>
  <c r="FZ211" i="55"/>
  <c r="O84" i="55" a="1"/>
  <c r="O84" i="55" s="1"/>
  <c r="CI84" i="55" s="1"/>
  <c r="HV84" i="55" s="1"/>
  <c r="T84" i="55" s="1"/>
  <c r="CT143" i="55" a="1"/>
  <c r="CT143" i="55" s="1"/>
  <c r="FR304" i="55"/>
  <c r="GQ310" i="55"/>
  <c r="GR310" i="55" s="1"/>
  <c r="EV205" i="55"/>
  <c r="EW205" i="55" s="1"/>
  <c r="EZ205" i="55" s="1"/>
  <c r="GM126" i="55"/>
  <c r="CI126" i="55"/>
  <c r="HV126" i="55" s="1"/>
  <c r="T126" i="55" s="1"/>
  <c r="AN25" i="54"/>
  <c r="FR116" i="55"/>
  <c r="CT22" i="55" a="1"/>
  <c r="CT22" i="55" s="1"/>
  <c r="AM25" i="54"/>
  <c r="FZ53" i="55"/>
  <c r="O115" i="55" a="1"/>
  <c r="O115" i="55" s="1"/>
  <c r="FZ129" i="55"/>
  <c r="FR140" i="55"/>
  <c r="JX47" i="55"/>
  <c r="ID287" i="55" a="1"/>
  <c r="ID287" i="55" s="1"/>
  <c r="EV140" i="55"/>
  <c r="EW140" i="55" s="1"/>
  <c r="EZ140" i="55" s="1"/>
  <c r="GQ181" i="55"/>
  <c r="GM302" i="55"/>
  <c r="CI302" i="55"/>
  <c r="HV302" i="55" s="1"/>
  <c r="T302" i="55" s="1"/>
  <c r="GQ340" i="55"/>
  <c r="GR340" i="55" s="1"/>
  <c r="FZ322" i="55"/>
  <c r="GE77" i="55" a="1"/>
  <c r="GE77" i="55" s="1"/>
  <c r="GF77" i="55" s="1"/>
  <c r="GE298" i="55" a="1"/>
  <c r="GE298" i="55" s="1"/>
  <c r="GF298" i="55" s="1"/>
  <c r="CZ39" i="55"/>
  <c r="DA39" i="55" s="1"/>
  <c r="FZ237" i="55"/>
  <c r="FR164" i="55"/>
  <c r="O294" i="55" a="1"/>
  <c r="O294" i="55" s="1"/>
  <c r="EV294" i="55" s="1"/>
  <c r="EW294" i="55" s="1"/>
  <c r="GE125" i="55" a="1"/>
  <c r="GE125" i="55" s="1"/>
  <c r="GF125" i="55" s="1"/>
  <c r="FZ136" i="55"/>
  <c r="FZ180" i="55"/>
  <c r="FZ314" i="55"/>
  <c r="FZ318" i="55"/>
  <c r="GE323" i="55" a="1"/>
  <c r="GE323" i="55" s="1"/>
  <c r="GF323" i="55" s="1"/>
  <c r="FR145" i="55"/>
  <c r="FR284" i="55"/>
  <c r="GE35" i="55" a="1"/>
  <c r="GE35" i="55" s="1"/>
  <c r="GF35" i="55" s="1"/>
  <c r="CY39" i="55"/>
  <c r="O217" i="55" a="1"/>
  <c r="O217" i="55" s="1"/>
  <c r="EV217" i="55" s="1"/>
  <c r="EW217" i="55" s="1"/>
  <c r="EZ217" i="55" s="1"/>
  <c r="GK217" i="55" s="1"/>
  <c r="JY47" i="55"/>
  <c r="GQ224" i="55"/>
  <c r="GR224" i="55" s="1"/>
  <c r="FZ146" i="55"/>
  <c r="FR22" i="55"/>
  <c r="O99" i="55" a="1"/>
  <c r="O99" i="55" s="1"/>
  <c r="GM99" i="55" s="1"/>
  <c r="GQ22" i="55"/>
  <c r="GR22" i="55" s="1"/>
  <c r="GE317" i="55" a="1"/>
  <c r="GE317" i="55" s="1"/>
  <c r="GF317" i="55" s="1"/>
  <c r="O312" i="55" a="1"/>
  <c r="O312" i="55" s="1"/>
  <c r="EV312" i="55" s="1"/>
  <c r="EW312" i="55" s="1"/>
  <c r="EZ312" i="55" s="1"/>
  <c r="GE26" i="55" a="1"/>
  <c r="GE26" i="55" s="1"/>
  <c r="GF26" i="55" s="1"/>
  <c r="O189" i="55" a="1"/>
  <c r="O189" i="55" s="1"/>
  <c r="EV189" i="55" s="1"/>
  <c r="EW189" i="55" s="1"/>
  <c r="EZ189" i="55" s="1"/>
  <c r="GE301" i="55" a="1"/>
  <c r="GE301" i="55" s="1"/>
  <c r="GF301" i="55" s="1"/>
  <c r="FZ133" i="55"/>
  <c r="FZ190" i="55"/>
  <c r="O134" i="55" a="1"/>
  <c r="O134" i="55" s="1"/>
  <c r="CI134" i="55" s="1"/>
  <c r="HV134" i="55" s="1"/>
  <c r="FZ307" i="55"/>
  <c r="FZ339" i="55"/>
  <c r="GE56" i="55" a="1"/>
  <c r="GE56" i="55" s="1"/>
  <c r="GF56" i="55" s="1"/>
  <c r="FZ187" i="55"/>
  <c r="GQ163" i="55"/>
  <c r="FR51" i="55"/>
  <c r="GE140" i="55" a="1"/>
  <c r="GE140" i="55" s="1"/>
  <c r="GF140" i="55" s="1"/>
  <c r="R342" i="55"/>
  <c r="GE104" i="55" a="1"/>
  <c r="GE104" i="55" s="1"/>
  <c r="GF104" i="55" s="1"/>
  <c r="EZ94" i="55"/>
  <c r="HL94" i="55" s="1"/>
  <c r="GQ306" i="55"/>
  <c r="GR306" i="55" s="1"/>
  <c r="R301" i="55"/>
  <c r="R37" i="55"/>
  <c r="CX39" i="55"/>
  <c r="DK39" i="55" s="1"/>
  <c r="DO39" i="55" s="1"/>
  <c r="G39" i="55" s="1"/>
  <c r="DP39" i="55" s="1"/>
  <c r="DQ39" i="55" s="1"/>
  <c r="GQ331" i="55"/>
  <c r="GR331" i="55" s="1"/>
  <c r="R22" i="55"/>
  <c r="EV93" i="55"/>
  <c r="EW93" i="55" s="1"/>
  <c r="EZ93" i="55" s="1"/>
  <c r="FZ342" i="55"/>
  <c r="FZ309" i="55"/>
  <c r="O298" i="55" a="1"/>
  <c r="O298" i="55" s="1"/>
  <c r="FZ179" i="55"/>
  <c r="FZ93" i="55"/>
  <c r="FZ96" i="55"/>
  <c r="O41" i="55" a="1"/>
  <c r="O41" i="55" s="1"/>
  <c r="EV41" i="55" s="1"/>
  <c r="EW41" i="55" s="1"/>
  <c r="EZ41" i="55" s="1"/>
  <c r="FR332" i="55"/>
  <c r="FR352" i="55"/>
  <c r="GQ164" i="55"/>
  <c r="GR164" i="55" s="1"/>
  <c r="CW39" i="55"/>
  <c r="FS39" i="55" s="1"/>
  <c r="FZ76" i="55"/>
  <c r="GV3" i="55"/>
  <c r="GW3" i="55" s="1"/>
  <c r="GQ307" i="55"/>
  <c r="AR15" i="54"/>
  <c r="FZ100" i="55"/>
  <c r="FZ347" i="55"/>
  <c r="FZ8" i="55"/>
  <c r="GQ176" i="55"/>
  <c r="GR176" i="55" s="1"/>
  <c r="FZ44" i="55"/>
  <c r="FZ140" i="55"/>
  <c r="JM111" i="55"/>
  <c r="JF111" i="55"/>
  <c r="EZ339" i="55"/>
  <c r="HL187" i="55"/>
  <c r="GK187" i="55"/>
  <c r="DR325" i="55" a="1"/>
  <c r="DR325" i="55" s="1"/>
  <c r="DT325" i="55" s="1"/>
  <c r="II325" i="55"/>
  <c r="IJ325" i="55" s="1"/>
  <c r="DU325" i="55"/>
  <c r="HT325" i="55" s="1"/>
  <c r="DV330" i="55"/>
  <c r="DW330" i="55" s="1"/>
  <c r="JX330" i="55"/>
  <c r="JY330" i="55"/>
  <c r="DM330" i="55"/>
  <c r="DQ330" i="55" s="1"/>
  <c r="CY298" i="55"/>
  <c r="CW298" i="55"/>
  <c r="CX298" i="55"/>
  <c r="CV298" i="55"/>
  <c r="CZ298" i="55"/>
  <c r="DA298" i="55" s="1"/>
  <c r="GT298" i="55" s="1"/>
  <c r="JC155" i="55"/>
  <c r="GV155" i="55"/>
  <c r="GW155" i="55" s="1"/>
  <c r="GU155" i="55"/>
  <c r="HL258" i="55"/>
  <c r="HL203" i="55"/>
  <c r="GK203" i="55"/>
  <c r="GK30" i="55"/>
  <c r="HL30" i="55"/>
  <c r="JX139" i="55"/>
  <c r="DV139" i="55"/>
  <c r="DW139" i="55" s="1"/>
  <c r="JY139" i="55"/>
  <c r="DM139" i="55"/>
  <c r="CX141" i="55"/>
  <c r="CW141" i="55"/>
  <c r="CY141" i="55"/>
  <c r="CV141" i="55"/>
  <c r="CZ141" i="55"/>
  <c r="DA141" i="55" s="1"/>
  <c r="JY156" i="55"/>
  <c r="DM156" i="55"/>
  <c r="DQ156" i="55" s="1"/>
  <c r="DV156" i="55"/>
  <c r="DW156" i="55" s="1"/>
  <c r="JX156" i="55"/>
  <c r="GM152" i="55"/>
  <c r="CI152" i="55"/>
  <c r="HV152" i="55" s="1"/>
  <c r="DV299" i="55"/>
  <c r="DW299" i="55" s="1"/>
  <c r="DM299" i="55"/>
  <c r="DQ299" i="55" s="1"/>
  <c r="JY299" i="55"/>
  <c r="JX299" i="55"/>
  <c r="GM150" i="55"/>
  <c r="CI150" i="55"/>
  <c r="HV150" i="55" s="1"/>
  <c r="T150" i="55" s="1"/>
  <c r="CW285" i="55"/>
  <c r="CV285" i="55"/>
  <c r="CY285" i="55"/>
  <c r="CX285" i="55"/>
  <c r="CZ285" i="55"/>
  <c r="DA285" i="55" s="1"/>
  <c r="GR262" i="55"/>
  <c r="JY233" i="55"/>
  <c r="JX233" i="55"/>
  <c r="DV233" i="55"/>
  <c r="DW233" i="55" s="1"/>
  <c r="DM233" i="55"/>
  <c r="AQ14" i="54"/>
  <c r="CT140" i="55" a="1"/>
  <c r="CT140" i="55" s="1"/>
  <c r="CU140" i="55" a="1"/>
  <c r="CU140" i="55" s="1"/>
  <c r="JM128" i="55"/>
  <c r="JF128" i="55"/>
  <c r="CU46" i="55" a="1"/>
  <c r="CU46" i="55" s="1"/>
  <c r="CT46" i="55" a="1"/>
  <c r="CT46" i="55" s="1"/>
  <c r="CS46" i="55"/>
  <c r="JN162" i="55"/>
  <c r="JG162" i="55"/>
  <c r="JN86" i="55"/>
  <c r="JG86" i="55"/>
  <c r="JL4" i="55"/>
  <c r="JE4" i="55"/>
  <c r="IE60" i="55" a="1"/>
  <c r="IE60" i="55" s="1"/>
  <c r="ID60" i="55" a="1"/>
  <c r="ID60" i="55" s="1"/>
  <c r="FZ238" i="55"/>
  <c r="JL230" i="55"/>
  <c r="JE230" i="55"/>
  <c r="CT61" i="55" a="1"/>
  <c r="CT61" i="55" s="1"/>
  <c r="CU61" i="55" a="1"/>
  <c r="CU61" i="55" s="1"/>
  <c r="GF154" i="55"/>
  <c r="JG307" i="55"/>
  <c r="JN307" i="55"/>
  <c r="FZ259" i="55"/>
  <c r="DR12" i="55" a="1"/>
  <c r="DR12" i="55" s="1"/>
  <c r="DT12" i="55" s="1"/>
  <c r="II12" i="55"/>
  <c r="IE301" i="55" a="1"/>
  <c r="IE301" i="55" s="1"/>
  <c r="ID301" i="55" a="1"/>
  <c r="ID301" i="55" s="1"/>
  <c r="JL39" i="55"/>
  <c r="JE39" i="55"/>
  <c r="JF197" i="55"/>
  <c r="JM197" i="55"/>
  <c r="DV62" i="55"/>
  <c r="DW62" i="55" s="1"/>
  <c r="JY62" i="55"/>
  <c r="JX62" i="55"/>
  <c r="DM62" i="55"/>
  <c r="DQ62" i="55" s="1"/>
  <c r="EK230" i="55"/>
  <c r="O230" i="55" a="1"/>
  <c r="O230" i="55" s="1"/>
  <c r="EV230" i="55"/>
  <c r="EW230" i="55" s="1"/>
  <c r="JM263" i="55"/>
  <c r="JF263" i="55"/>
  <c r="FZ46" i="55"/>
  <c r="JM309" i="55"/>
  <c r="JF309" i="55"/>
  <c r="JN247" i="55"/>
  <c r="JG247" i="55"/>
  <c r="JG70" i="55"/>
  <c r="JN70" i="55"/>
  <c r="AR18" i="54"/>
  <c r="DM86" i="55"/>
  <c r="DQ86" i="55" s="1"/>
  <c r="JY86" i="55"/>
  <c r="JX86" i="55"/>
  <c r="DV86" i="55"/>
  <c r="DW86" i="55" s="1"/>
  <c r="JL71" i="55"/>
  <c r="JE71" i="55"/>
  <c r="JE30" i="55"/>
  <c r="JL30" i="55"/>
  <c r="DV39" i="55"/>
  <c r="DW39" i="55" s="1"/>
  <c r="DM39" i="55"/>
  <c r="JY39" i="55"/>
  <c r="JX39" i="55"/>
  <c r="JG325" i="55"/>
  <c r="JN325" i="55"/>
  <c r="JM306" i="55"/>
  <c r="JF306" i="55"/>
  <c r="AO22" i="54"/>
  <c r="JL101" i="55"/>
  <c r="JE101" i="55"/>
  <c r="ID74" i="55" a="1"/>
  <c r="ID74" i="55" s="1"/>
  <c r="IE74" i="55" a="1"/>
  <c r="IE74" i="55" s="1"/>
  <c r="CX202" i="55"/>
  <c r="CV202" i="55"/>
  <c r="CY202" i="55"/>
  <c r="CW202" i="55"/>
  <c r="CZ202" i="55"/>
  <c r="DA202" i="55" s="1"/>
  <c r="CT208" i="55" a="1"/>
  <c r="CT208" i="55" s="1"/>
  <c r="CU208" i="55" a="1"/>
  <c r="CU208" i="55" s="1"/>
  <c r="CS208" i="55"/>
  <c r="FZ67" i="55"/>
  <c r="CT42" i="55" a="1"/>
  <c r="CT42" i="55" s="1"/>
  <c r="CU42" i="55" a="1"/>
  <c r="CU42" i="55" s="1"/>
  <c r="JF302" i="55"/>
  <c r="JM302" i="55"/>
  <c r="JN277" i="55"/>
  <c r="JG277" i="55"/>
  <c r="CV296" i="55"/>
  <c r="CY296" i="55"/>
  <c r="CW296" i="55"/>
  <c r="CX296" i="55"/>
  <c r="CZ296" i="55"/>
  <c r="DA296" i="55" s="1"/>
  <c r="CW300" i="55"/>
  <c r="CV300" i="55"/>
  <c r="CY300" i="55"/>
  <c r="CX300" i="55"/>
  <c r="GR116" i="55"/>
  <c r="GT116" i="55"/>
  <c r="JG333" i="55"/>
  <c r="JN333" i="55"/>
  <c r="JM213" i="55"/>
  <c r="JF213" i="55"/>
  <c r="JG51" i="55"/>
  <c r="JN51" i="55"/>
  <c r="JN336" i="55"/>
  <c r="JG336" i="55"/>
  <c r="JE13" i="55"/>
  <c r="JL13" i="55"/>
  <c r="FZ336" i="55"/>
  <c r="JM83" i="55"/>
  <c r="JF83" i="55"/>
  <c r="CV299" i="55"/>
  <c r="CY299" i="55"/>
  <c r="CX299" i="55"/>
  <c r="CW299" i="55"/>
  <c r="CT24" i="55" a="1"/>
  <c r="CT24" i="55" s="1"/>
  <c r="CU24" i="55" a="1"/>
  <c r="CU24" i="55" s="1"/>
  <c r="CS24" i="55"/>
  <c r="GM98" i="55"/>
  <c r="CI98" i="55"/>
  <c r="HV98" i="55" s="1"/>
  <c r="T98" i="55" s="1"/>
  <c r="EV98" i="55"/>
  <c r="EW98" i="55" s="1"/>
  <c r="EK320" i="55"/>
  <c r="FR320" i="55"/>
  <c r="CU286" i="55" a="1"/>
  <c r="CU286" i="55" s="1"/>
  <c r="CT286" i="55" a="1"/>
  <c r="CT286" i="55" s="1"/>
  <c r="CS286" i="55"/>
  <c r="FZ77" i="55"/>
  <c r="JN352" i="55"/>
  <c r="JG352" i="55"/>
  <c r="CX211" i="55"/>
  <c r="CY211" i="55"/>
  <c r="CW211" i="55"/>
  <c r="CV211" i="55"/>
  <c r="JC51" i="55"/>
  <c r="ID139" i="55" a="1"/>
  <c r="ID139" i="55" s="1"/>
  <c r="IE139" i="55" a="1"/>
  <c r="IE139" i="55" s="1"/>
  <c r="IE159" i="55" a="1"/>
  <c r="IE159" i="55" s="1"/>
  <c r="ID159" i="55" a="1"/>
  <c r="ID159" i="55" s="1"/>
  <c r="JM10" i="55"/>
  <c r="JF10" i="55"/>
  <c r="JN105" i="55"/>
  <c r="JG105" i="55"/>
  <c r="DZ27" i="55"/>
  <c r="EB27" i="55"/>
  <c r="CV263" i="55"/>
  <c r="CW263" i="55"/>
  <c r="CX263" i="55"/>
  <c r="CY263" i="55"/>
  <c r="JN40" i="55"/>
  <c r="JG40" i="55"/>
  <c r="CU347" i="55" a="1"/>
  <c r="CU347" i="55" s="1"/>
  <c r="CT347" i="55" a="1"/>
  <c r="CT347" i="55" s="1"/>
  <c r="CS347" i="55"/>
  <c r="ID106" i="55" a="1"/>
  <c r="ID106" i="55" s="1"/>
  <c r="IE106" i="55" a="1"/>
  <c r="IE106" i="55" s="1"/>
  <c r="ER3" i="55"/>
  <c r="FE3" i="55"/>
  <c r="FB3" i="55"/>
  <c r="ES3" i="55"/>
  <c r="FC3" i="55"/>
  <c r="FD3" i="55" s="1"/>
  <c r="HS3" i="55" s="1"/>
  <c r="HU3" i="55" s="1"/>
  <c r="FA3" i="55"/>
  <c r="CX52" i="55"/>
  <c r="CW52" i="55"/>
  <c r="CV52" i="55"/>
  <c r="CY52" i="55"/>
  <c r="CZ52" i="55"/>
  <c r="DA52" i="55" s="1"/>
  <c r="GQ139" i="55"/>
  <c r="GR139" i="55" s="1"/>
  <c r="GQ141" i="55"/>
  <c r="GQ144" i="55"/>
  <c r="GQ148" i="55"/>
  <c r="GQ142" i="55"/>
  <c r="GQ147" i="55"/>
  <c r="R281" i="55"/>
  <c r="DR119" i="55" a="1"/>
  <c r="DR119" i="55" s="1"/>
  <c r="DT119" i="55" s="1"/>
  <c r="II119" i="55"/>
  <c r="DU119" i="55"/>
  <c r="HT119" i="55" s="1"/>
  <c r="R233" i="55"/>
  <c r="DR318" i="55" a="1"/>
  <c r="DR318" i="55" s="1"/>
  <c r="DT318" i="55" s="1"/>
  <c r="DU318" i="55"/>
  <c r="HT318" i="55" s="1"/>
  <c r="II318" i="55"/>
  <c r="IE25" i="55" a="1"/>
  <c r="IE25" i="55" s="1"/>
  <c r="ID25" i="55" a="1"/>
  <c r="ID25" i="55" s="1"/>
  <c r="JL352" i="55"/>
  <c r="JE352" i="55"/>
  <c r="IE321" i="55" a="1"/>
  <c r="IE321" i="55" s="1"/>
  <c r="ID321" i="55" a="1"/>
  <c r="ID321" i="55" s="1"/>
  <c r="CY49" i="55"/>
  <c r="CX49" i="55"/>
  <c r="CW49" i="55"/>
  <c r="CV49" i="55"/>
  <c r="CZ49" i="55"/>
  <c r="DA49" i="55" s="1"/>
  <c r="T49" i="55"/>
  <c r="JN296" i="55"/>
  <c r="JG296" i="55"/>
  <c r="JL252" i="55"/>
  <c r="JE252" i="55"/>
  <c r="CV143" i="55"/>
  <c r="CW143" i="55"/>
  <c r="FU102" i="55"/>
  <c r="L102" i="55" s="1"/>
  <c r="FV102" i="55" s="1"/>
  <c r="JM40" i="55"/>
  <c r="JF40" i="55"/>
  <c r="JM205" i="55"/>
  <c r="JF205" i="55"/>
  <c r="DR73" i="55" a="1"/>
  <c r="DR73" i="55" s="1"/>
  <c r="DT73" i="55" s="1"/>
  <c r="II73" i="55"/>
  <c r="DU73" i="55"/>
  <c r="HT73" i="55" s="1"/>
  <c r="DV292" i="55"/>
  <c r="DW292" i="55" s="1"/>
  <c r="JX292" i="55"/>
  <c r="JY292" i="55"/>
  <c r="DM292" i="55"/>
  <c r="DQ292" i="55" s="1"/>
  <c r="IE232" i="55" a="1"/>
  <c r="IE232" i="55" s="1"/>
  <c r="ID232" i="55" a="1"/>
  <c r="ID232" i="55" s="1"/>
  <c r="EK153" i="55"/>
  <c r="R41" i="55"/>
  <c r="CT306" i="55" a="1"/>
  <c r="CT306" i="55" s="1"/>
  <c r="CU306" i="55" a="1"/>
  <c r="CU306" i="55" s="1"/>
  <c r="CS306" i="55"/>
  <c r="AG5" i="58" a="1"/>
  <c r="AG5" i="58" s="1"/>
  <c r="R3" i="55"/>
  <c r="GQ127" i="55"/>
  <c r="GR127" i="55" s="1"/>
  <c r="GT176" i="55"/>
  <c r="R33" i="55"/>
  <c r="EZ33" i="55"/>
  <c r="ID195" i="55" a="1"/>
  <c r="ID195" i="55" s="1"/>
  <c r="IE195" i="55" a="1"/>
  <c r="IE195" i="55" s="1"/>
  <c r="JG170" i="55"/>
  <c r="JN170" i="55"/>
  <c r="GE130" i="55" a="1"/>
  <c r="GE130" i="55" s="1"/>
  <c r="GR345" i="55"/>
  <c r="GT345" i="55"/>
  <c r="GK229" i="55"/>
  <c r="HL229" i="55"/>
  <c r="FZ282" i="55"/>
  <c r="FS166" i="55"/>
  <c r="JL261" i="55"/>
  <c r="JE261" i="55"/>
  <c r="JG230" i="55"/>
  <c r="JN230" i="55"/>
  <c r="JN39" i="55"/>
  <c r="JG39" i="55"/>
  <c r="DV14" i="55"/>
  <c r="DW14" i="55" s="1"/>
  <c r="JY14" i="55"/>
  <c r="JX14" i="55"/>
  <c r="GF330" i="55"/>
  <c r="DR76" i="55" a="1"/>
  <c r="DR76" i="55" s="1"/>
  <c r="DT76" i="55" s="1"/>
  <c r="DU76" i="55"/>
  <c r="HT76" i="55" s="1"/>
  <c r="IE269" i="55" a="1"/>
  <c r="IE269" i="55" s="1"/>
  <c r="ID269" i="55" a="1"/>
  <c r="ID269" i="55" s="1"/>
  <c r="JG327" i="55"/>
  <c r="JN327" i="55"/>
  <c r="JG309" i="55"/>
  <c r="JN309" i="55"/>
  <c r="JM247" i="55"/>
  <c r="JF247" i="55"/>
  <c r="JF70" i="55"/>
  <c r="JM70" i="55"/>
  <c r="JM22" i="55"/>
  <c r="JF22" i="55"/>
  <c r="JM71" i="55"/>
  <c r="JF71" i="55"/>
  <c r="IE173" i="55" a="1"/>
  <c r="IE173" i="55" s="1"/>
  <c r="ID173" i="55" a="1"/>
  <c r="ID173" i="55" s="1"/>
  <c r="ID45" i="55" a="1"/>
  <c r="ID45" i="55" s="1"/>
  <c r="IE45" i="55" a="1"/>
  <c r="IE45" i="55" s="1"/>
  <c r="CU141" i="55" a="1"/>
  <c r="CU141" i="55" s="1"/>
  <c r="CT141" i="55" a="1"/>
  <c r="CT141" i="55" s="1"/>
  <c r="CT218" i="55" a="1"/>
  <c r="CT218" i="55" s="1"/>
  <c r="CU218" i="55" a="1"/>
  <c r="CU218" i="55" s="1"/>
  <c r="CS218" i="55"/>
  <c r="EK199" i="55"/>
  <c r="O199" i="55" a="1"/>
  <c r="O199" i="55" s="1"/>
  <c r="EV199" i="55"/>
  <c r="EW199" i="55" s="1"/>
  <c r="FR199" i="55"/>
  <c r="JL325" i="55"/>
  <c r="JE325" i="55"/>
  <c r="JE306" i="55"/>
  <c r="JL306" i="55"/>
  <c r="ID157" i="55" a="1"/>
  <c r="ID157" i="55" s="1"/>
  <c r="IE157" i="55" a="1"/>
  <c r="IE157" i="55" s="1"/>
  <c r="JF277" i="55"/>
  <c r="JM277" i="55"/>
  <c r="JN85" i="55"/>
  <c r="JG85" i="55"/>
  <c r="GM265" i="55"/>
  <c r="CI265" i="55"/>
  <c r="HV265" i="55" s="1"/>
  <c r="T265" i="55" s="1"/>
  <c r="JF333" i="55"/>
  <c r="JM333" i="55"/>
  <c r="GM160" i="55"/>
  <c r="CI160" i="55"/>
  <c r="HV160" i="55" s="1"/>
  <c r="EV160" i="55"/>
  <c r="EW160" i="55" s="1"/>
  <c r="JL123" i="55"/>
  <c r="JE123" i="55"/>
  <c r="JN329" i="55"/>
  <c r="JG329" i="55"/>
  <c r="DV48" i="55"/>
  <c r="DW48" i="55" s="1"/>
  <c r="JX48" i="55"/>
  <c r="JY48" i="55"/>
  <c r="DM48" i="55"/>
  <c r="JN147" i="55"/>
  <c r="JG147" i="55"/>
  <c r="JL187" i="55"/>
  <c r="JE187" i="55"/>
  <c r="JG286" i="55"/>
  <c r="JN286" i="55"/>
  <c r="JL240" i="55"/>
  <c r="JE240" i="55"/>
  <c r="JY242" i="55"/>
  <c r="JX242" i="55"/>
  <c r="JM230" i="55"/>
  <c r="JF230" i="55"/>
  <c r="FZ311" i="55"/>
  <c r="FZ263" i="55"/>
  <c r="GM165" i="55"/>
  <c r="CI165" i="55"/>
  <c r="HV165" i="55" s="1"/>
  <c r="T165" i="55" s="1"/>
  <c r="EV165" i="55"/>
  <c r="EW165" i="55" s="1"/>
  <c r="EZ165" i="55" s="1"/>
  <c r="JE307" i="55"/>
  <c r="JL307" i="55"/>
  <c r="JG197" i="55"/>
  <c r="JN197" i="55"/>
  <c r="CU278" i="55" a="1"/>
  <c r="CU278" i="55" s="1"/>
  <c r="CT278" i="55" a="1"/>
  <c r="CT278" i="55" s="1"/>
  <c r="CS278" i="55"/>
  <c r="IE250" i="55" a="1"/>
  <c r="IE250" i="55" s="1"/>
  <c r="ID250" i="55" a="1"/>
  <c r="ID250" i="55" s="1"/>
  <c r="FZ230" i="55"/>
  <c r="JL247" i="55"/>
  <c r="JE247" i="55"/>
  <c r="JG62" i="55"/>
  <c r="JN62" i="55"/>
  <c r="GM213" i="55"/>
  <c r="CI213" i="55"/>
  <c r="HV213" i="55" s="1"/>
  <c r="T213" i="55" s="1"/>
  <c r="EV213" i="55"/>
  <c r="EW213" i="55" s="1"/>
  <c r="DV231" i="55"/>
  <c r="DW231" i="55" s="1"/>
  <c r="JY231" i="55"/>
  <c r="JX231" i="55"/>
  <c r="DM231" i="55"/>
  <c r="IE298" i="55" a="1"/>
  <c r="IE298" i="55" s="1"/>
  <c r="ID298" i="55" a="1"/>
  <c r="ID298" i="55" s="1"/>
  <c r="GM179" i="55"/>
  <c r="CI179" i="55"/>
  <c r="HV179" i="55" s="1"/>
  <c r="EV179" i="55"/>
  <c r="EW179" i="55" s="1"/>
  <c r="EK86" i="55"/>
  <c r="O86" i="55" a="1"/>
  <c r="O86" i="55" s="1"/>
  <c r="JF29" i="55"/>
  <c r="JM29" i="55"/>
  <c r="JN302" i="55"/>
  <c r="JG302" i="55"/>
  <c r="JF85" i="55"/>
  <c r="JM85" i="55"/>
  <c r="BJ24" i="54"/>
  <c r="BK24" i="54" s="1"/>
  <c r="BN24" i="54"/>
  <c r="BO24" i="54" s="1"/>
  <c r="AE24" i="54" a="1"/>
  <c r="AE24" i="54" s="1"/>
  <c r="BH24" i="54"/>
  <c r="R111" i="55"/>
  <c r="CT253" i="55" a="1"/>
  <c r="CT253" i="55" s="1"/>
  <c r="CU253" i="55" a="1"/>
  <c r="CU253" i="55" s="1"/>
  <c r="CS253" i="55"/>
  <c r="ID331" i="55" a="1"/>
  <c r="ID331" i="55" s="1"/>
  <c r="IE331" i="55" a="1"/>
  <c r="IE331" i="55" s="1"/>
  <c r="JL333" i="55"/>
  <c r="JE333" i="55"/>
  <c r="GM267" i="55"/>
  <c r="CI267" i="55"/>
  <c r="HV267" i="55" s="1"/>
  <c r="JN213" i="55"/>
  <c r="JG213" i="55"/>
  <c r="JE51" i="55"/>
  <c r="JL51" i="55"/>
  <c r="JM336" i="55"/>
  <c r="JF336" i="55"/>
  <c r="JG123" i="55"/>
  <c r="JN123" i="55"/>
  <c r="ID349" i="55" a="1"/>
  <c r="ID349" i="55" s="1"/>
  <c r="IE349" i="55" a="1"/>
  <c r="IE349" i="55" s="1"/>
  <c r="FZ208" i="55"/>
  <c r="R75" i="55"/>
  <c r="FZ137" i="55"/>
  <c r="CT320" i="55" a="1"/>
  <c r="CT320" i="55" s="1"/>
  <c r="CU320" i="55" a="1"/>
  <c r="CU320" i="55" s="1"/>
  <c r="CS320" i="55"/>
  <c r="CT328" i="55" a="1"/>
  <c r="CT328" i="55" s="1"/>
  <c r="CU328" i="55" a="1"/>
  <c r="CU328" i="55" s="1"/>
  <c r="CS328" i="55"/>
  <c r="FZ90" i="55"/>
  <c r="GM171" i="55"/>
  <c r="CI171" i="55"/>
  <c r="HV171" i="55" s="1"/>
  <c r="EV171" i="55"/>
  <c r="EW171" i="55" s="1"/>
  <c r="CV248" i="55"/>
  <c r="CX248" i="55"/>
  <c r="CW248" i="55"/>
  <c r="CY248" i="55"/>
  <c r="CZ248" i="55"/>
  <c r="DA248" i="55" s="1"/>
  <c r="GM81" i="55"/>
  <c r="CI81" i="55"/>
  <c r="HV81" i="55" s="1"/>
  <c r="EV81" i="55"/>
  <c r="EW81" i="55" s="1"/>
  <c r="EZ81" i="55" s="1"/>
  <c r="JL75" i="55"/>
  <c r="JE75" i="55"/>
  <c r="JF296" i="55"/>
  <c r="JM296" i="55"/>
  <c r="JG252" i="55"/>
  <c r="JN252" i="55"/>
  <c r="ID51" i="55" a="1"/>
  <c r="ID51" i="55" s="1"/>
  <c r="IE51" i="55" a="1"/>
  <c r="IE51" i="55" s="1"/>
  <c r="GQ207" i="55"/>
  <c r="GR207" i="55" s="1"/>
  <c r="GQ211" i="55"/>
  <c r="GQ217" i="55"/>
  <c r="EK315" i="55"/>
  <c r="FR315" i="55"/>
  <c r="O315" i="55" a="1"/>
  <c r="O315" i="55" s="1"/>
  <c r="EK225" i="55"/>
  <c r="FR225" i="55"/>
  <c r="O225" i="55" a="1"/>
  <c r="O225" i="55" s="1"/>
  <c r="DM226" i="55"/>
  <c r="DV226" i="55"/>
  <c r="JX226" i="55"/>
  <c r="DR100" i="55" a="1"/>
  <c r="DR100" i="55" s="1"/>
  <c r="DT100" i="55" s="1"/>
  <c r="DU100" i="55"/>
  <c r="HT100" i="55" s="1"/>
  <c r="II100" i="55"/>
  <c r="JN16" i="55"/>
  <c r="JG16" i="55"/>
  <c r="JC184" i="55"/>
  <c r="GU184" i="55"/>
  <c r="GV184" i="55" s="1"/>
  <c r="GW184" i="55" s="1"/>
  <c r="JX164" i="55"/>
  <c r="JY164" i="55"/>
  <c r="DV164" i="55"/>
  <c r="DW164" i="55" s="1"/>
  <c r="DM164" i="55"/>
  <c r="DQ164" i="55" s="1"/>
  <c r="JL205" i="55"/>
  <c r="JE205" i="55"/>
  <c r="JL313" i="55"/>
  <c r="JE313" i="55"/>
  <c r="GR337" i="55"/>
  <c r="GM204" i="55"/>
  <c r="CI204" i="55"/>
  <c r="HV204" i="55" s="1"/>
  <c r="EK172" i="55"/>
  <c r="FR172" i="55"/>
  <c r="EV172" i="55"/>
  <c r="EW172" i="55" s="1"/>
  <c r="JL268" i="55"/>
  <c r="JE268" i="55"/>
  <c r="JM145" i="55"/>
  <c r="JF145" i="55"/>
  <c r="JM170" i="55"/>
  <c r="JF170" i="55"/>
  <c r="JL270" i="55"/>
  <c r="JE270" i="55"/>
  <c r="JF39" i="55"/>
  <c r="JM39" i="55"/>
  <c r="JL197" i="55"/>
  <c r="JE197" i="55"/>
  <c r="JL327" i="55"/>
  <c r="JE327" i="55"/>
  <c r="JL309" i="55"/>
  <c r="JE309" i="55"/>
  <c r="JF62" i="55"/>
  <c r="JM62" i="55"/>
  <c r="JN22" i="55"/>
  <c r="JG22" i="55"/>
  <c r="ID122" i="55" a="1"/>
  <c r="ID122" i="55" s="1"/>
  <c r="IE122" i="55" a="1"/>
  <c r="IE122" i="55" s="1"/>
  <c r="JF38" i="55"/>
  <c r="JM38" i="55"/>
  <c r="JN117" i="55"/>
  <c r="JG117" i="55"/>
  <c r="FZ258" i="55"/>
  <c r="JF94" i="55"/>
  <c r="JM94" i="55"/>
  <c r="JF158" i="55"/>
  <c r="JM158" i="55"/>
  <c r="CT74" i="55" a="1"/>
  <c r="CT74" i="55" s="1"/>
  <c r="CU74" i="55" a="1"/>
  <c r="CU74" i="55" s="1"/>
  <c r="CS74" i="55"/>
  <c r="JE29" i="55"/>
  <c r="JL29" i="55"/>
  <c r="DV336" i="55"/>
  <c r="DW336" i="55" s="1"/>
  <c r="JX336" i="55"/>
  <c r="JY336" i="55"/>
  <c r="DM336" i="55"/>
  <c r="DQ336" i="55" s="1"/>
  <c r="JL277" i="55"/>
  <c r="JE277" i="55"/>
  <c r="JN184" i="55"/>
  <c r="JG184" i="55"/>
  <c r="JG308" i="55"/>
  <c r="JN308" i="55"/>
  <c r="GQ67" i="55"/>
  <c r="GR67" i="55" s="1"/>
  <c r="CZ211" i="55"/>
  <c r="DA211" i="55" s="1"/>
  <c r="JL213" i="55"/>
  <c r="JE213" i="55"/>
  <c r="JM51" i="55"/>
  <c r="JF51" i="55"/>
  <c r="JG35" i="55"/>
  <c r="JN35" i="55"/>
  <c r="JN106" i="55"/>
  <c r="JG106" i="55"/>
  <c r="DV121" i="55"/>
  <c r="DW121" i="55" s="1"/>
  <c r="JY121" i="55"/>
  <c r="DM121" i="55"/>
  <c r="DQ121" i="55" s="1"/>
  <c r="JX121" i="55"/>
  <c r="EK195" i="55"/>
  <c r="EV195" i="55" s="1"/>
  <c r="EW195" i="55" s="1"/>
  <c r="O195" i="55" a="1"/>
  <c r="O195" i="55" s="1"/>
  <c r="FR195" i="55"/>
  <c r="JN183" i="55"/>
  <c r="JG183" i="55"/>
  <c r="JM286" i="55"/>
  <c r="JF286" i="55"/>
  <c r="FZ167" i="55"/>
  <c r="JL198" i="55"/>
  <c r="JE198" i="55"/>
  <c r="GM156" i="55"/>
  <c r="CI156" i="55"/>
  <c r="HV156" i="55" s="1"/>
  <c r="T156" i="55" s="1"/>
  <c r="CW117" i="55"/>
  <c r="CX117" i="55"/>
  <c r="CY117" i="55"/>
  <c r="CV117" i="55"/>
  <c r="JM252" i="55"/>
  <c r="JF252" i="55"/>
  <c r="CV14" i="55"/>
  <c r="CY14" i="55"/>
  <c r="CX14" i="55"/>
  <c r="CW14" i="55"/>
  <c r="CS140" i="55"/>
  <c r="CT128" i="55" a="1"/>
  <c r="CT128" i="55" s="1"/>
  <c r="CU128" i="55" a="1"/>
  <c r="CU128" i="55" s="1"/>
  <c r="CS128" i="55"/>
  <c r="JL59" i="55"/>
  <c r="JE59" i="55"/>
  <c r="GM116" i="55"/>
  <c r="CI116" i="55"/>
  <c r="HV116" i="55" s="1"/>
  <c r="CY92" i="55"/>
  <c r="CV92" i="55"/>
  <c r="CW92" i="55"/>
  <c r="CX92" i="55"/>
  <c r="CZ92" i="55"/>
  <c r="DA92" i="55" s="1"/>
  <c r="FZ231" i="55"/>
  <c r="FZ185" i="55"/>
  <c r="EK231" i="55"/>
  <c r="EV231" i="55"/>
  <c r="EW231" i="55" s="1"/>
  <c r="DZ50" i="55"/>
  <c r="EB50" i="55"/>
  <c r="FZ280" i="55"/>
  <c r="CT170" i="55" a="1"/>
  <c r="CT170" i="55" s="1"/>
  <c r="CU170" i="55" a="1"/>
  <c r="CU170" i="55" s="1"/>
  <c r="CS170" i="55"/>
  <c r="EK201" i="55"/>
  <c r="EV201" i="55" s="1"/>
  <c r="EW201" i="55" s="1"/>
  <c r="EZ201" i="55" s="1"/>
  <c r="O201" i="55" a="1"/>
  <c r="O201" i="55" s="1"/>
  <c r="FZ308" i="55"/>
  <c r="JM232" i="55"/>
  <c r="JF232" i="55"/>
  <c r="FZ315" i="55"/>
  <c r="JL260" i="55"/>
  <c r="JE260" i="55"/>
  <c r="GM207" i="55"/>
  <c r="CI207" i="55"/>
  <c r="HV207" i="55" s="1"/>
  <c r="CU127" i="55" a="1"/>
  <c r="CU127" i="55" s="1"/>
  <c r="CT127" i="55" a="1"/>
  <c r="CT127" i="55" s="1"/>
  <c r="CS127" i="55"/>
  <c r="AO24" i="54"/>
  <c r="CY63" i="55"/>
  <c r="CX63" i="55"/>
  <c r="CW63" i="55"/>
  <c r="CV63" i="55"/>
  <c r="CZ63" i="55"/>
  <c r="DA63" i="55" s="1"/>
  <c r="O172" i="55" a="1"/>
  <c r="O172" i="55" s="1"/>
  <c r="JN268" i="55"/>
  <c r="JG268" i="55"/>
  <c r="FS265" i="55"/>
  <c r="JN145" i="55"/>
  <c r="JG145" i="55"/>
  <c r="FS174" i="55"/>
  <c r="JE170" i="55"/>
  <c r="JL170" i="55"/>
  <c r="R191" i="55"/>
  <c r="GE225" i="55" a="1"/>
  <c r="GE225" i="55" s="1"/>
  <c r="GF225" i="55" s="1"/>
  <c r="JY226" i="55"/>
  <c r="CU279" i="55" a="1"/>
  <c r="CU279" i="55" s="1"/>
  <c r="CT279" i="55" a="1"/>
  <c r="CT279" i="55" s="1"/>
  <c r="CS279" i="55"/>
  <c r="GM117" i="55"/>
  <c r="CI117" i="55"/>
  <c r="HV117" i="55" s="1"/>
  <c r="T117" i="55" s="1"/>
  <c r="EV117" i="55"/>
  <c r="EW117" i="55" s="1"/>
  <c r="IE189" i="55" a="1"/>
  <c r="IE189" i="55" s="1"/>
  <c r="ID189" i="55" a="1"/>
  <c r="ID189" i="55" s="1"/>
  <c r="GM339" i="55"/>
  <c r="CI339" i="55"/>
  <c r="HV339" i="55" s="1"/>
  <c r="JM327" i="55"/>
  <c r="JF327" i="55"/>
  <c r="JE62" i="55"/>
  <c r="JL62" i="55"/>
  <c r="JE158" i="55"/>
  <c r="JL158" i="55"/>
  <c r="JN301" i="55"/>
  <c r="JG301" i="55"/>
  <c r="JL35" i="55"/>
  <c r="JE35" i="55"/>
  <c r="JF106" i="55"/>
  <c r="JM106" i="55"/>
  <c r="ID219" i="55" a="1"/>
  <c r="ID219" i="55" s="1"/>
  <c r="IE219" i="55" a="1"/>
  <c r="IE219" i="55" s="1"/>
  <c r="AK29" i="54"/>
  <c r="ID99" i="55" a="1"/>
  <c r="ID99" i="55" s="1"/>
  <c r="IE99" i="55" a="1"/>
  <c r="IE99" i="55" s="1"/>
  <c r="JN128" i="55"/>
  <c r="JG128" i="55"/>
  <c r="JN59" i="55"/>
  <c r="JG59" i="55"/>
  <c r="EK169" i="55"/>
  <c r="O169" i="55" a="1"/>
  <c r="O169" i="55" s="1"/>
  <c r="EQ50" i="55"/>
  <c r="GM45" i="55"/>
  <c r="CI45" i="55"/>
  <c r="HV45" i="55" s="1"/>
  <c r="JN104" i="55"/>
  <c r="JG104" i="55"/>
  <c r="JN267" i="55"/>
  <c r="JG267" i="55"/>
  <c r="JM16" i="55"/>
  <c r="JF16" i="55"/>
  <c r="JE232" i="55"/>
  <c r="JL232" i="55"/>
  <c r="JM328" i="55"/>
  <c r="JF328" i="55"/>
  <c r="EK132" i="55"/>
  <c r="O132" i="55" a="1"/>
  <c r="O132" i="55" s="1"/>
  <c r="JN173" i="55"/>
  <c r="JG173" i="55"/>
  <c r="ID203" i="55" a="1"/>
  <c r="ID203" i="55" s="1"/>
  <c r="IE203" i="55" a="1"/>
  <c r="IE203" i="55" s="1"/>
  <c r="JN97" i="55"/>
  <c r="JG97" i="55"/>
  <c r="JM127" i="55"/>
  <c r="JF127" i="55"/>
  <c r="AM24" i="54"/>
  <c r="CT161" i="55" a="1"/>
  <c r="CT161" i="55" s="1"/>
  <c r="CU161" i="55" a="1"/>
  <c r="CU161" i="55" s="1"/>
  <c r="CS161" i="55"/>
  <c r="CV217" i="55"/>
  <c r="CW217" i="55"/>
  <c r="CY217" i="55"/>
  <c r="CX217" i="55"/>
  <c r="CZ217" i="55"/>
  <c r="DA217" i="55" s="1"/>
  <c r="ID221" i="55" a="1"/>
  <c r="ID221" i="55" s="1"/>
  <c r="IE221" i="55" a="1"/>
  <c r="IE221" i="55" s="1"/>
  <c r="JG119" i="55"/>
  <c r="JN119" i="55"/>
  <c r="JM270" i="55"/>
  <c r="JF270" i="55"/>
  <c r="CU246" i="55" a="1"/>
  <c r="CU246" i="55" s="1"/>
  <c r="CT246" i="55" a="1"/>
  <c r="CT246" i="55" s="1"/>
  <c r="CS246" i="55"/>
  <c r="CU77" i="55" a="1"/>
  <c r="CU77" i="55" s="1"/>
  <c r="CT77" i="55" a="1"/>
  <c r="CT77" i="55" s="1"/>
  <c r="CS77" i="55"/>
  <c r="JF278" i="55"/>
  <c r="JM278" i="55"/>
  <c r="GM134" i="55"/>
  <c r="JF37" i="55"/>
  <c r="JM37" i="55"/>
  <c r="JX343" i="55"/>
  <c r="JY343" i="55"/>
  <c r="DV343" i="55"/>
  <c r="DW343" i="55" s="1"/>
  <c r="DM343" i="55"/>
  <c r="JM308" i="55"/>
  <c r="JF308" i="55"/>
  <c r="GR267" i="55"/>
  <c r="GQ327" i="55"/>
  <c r="GR327" i="55" s="1"/>
  <c r="GQ328" i="55"/>
  <c r="GQ329" i="55"/>
  <c r="ID324" i="55" a="1"/>
  <c r="ID324" i="55" s="1"/>
  <c r="IE324" i="55" a="1"/>
  <c r="IE324" i="55" s="1"/>
  <c r="GM295" i="55"/>
  <c r="CI295" i="55"/>
  <c r="HV295" i="55" s="1"/>
  <c r="T295" i="55" s="1"/>
  <c r="EV295" i="55"/>
  <c r="EW295" i="55" s="1"/>
  <c r="JG243" i="55"/>
  <c r="JN243" i="55"/>
  <c r="JG270" i="55"/>
  <c r="JN270" i="55"/>
  <c r="CT250" i="55" a="1"/>
  <c r="CT250" i="55" s="1"/>
  <c r="CU250" i="55" a="1"/>
  <c r="CU250" i="55" s="1"/>
  <c r="GM55" i="55"/>
  <c r="CI55" i="55"/>
  <c r="HV55" i="55" s="1"/>
  <c r="T55" i="55" s="1"/>
  <c r="CU167" i="55" a="1"/>
  <c r="CU167" i="55" s="1"/>
  <c r="CT167" i="55" a="1"/>
  <c r="CT167" i="55" s="1"/>
  <c r="CS167" i="55"/>
  <c r="JM151" i="55"/>
  <c r="JF151" i="55"/>
  <c r="AM18" i="54"/>
  <c r="ID109" i="55" a="1"/>
  <c r="ID109" i="55" s="1"/>
  <c r="IE109" i="55" a="1"/>
  <c r="IE109" i="55" s="1"/>
  <c r="R107" i="55"/>
  <c r="JG231" i="55"/>
  <c r="JN231" i="55"/>
  <c r="JL117" i="55"/>
  <c r="JE117" i="55"/>
  <c r="CU350" i="55" a="1"/>
  <c r="CU350" i="55" s="1"/>
  <c r="CT350" i="55" a="1"/>
  <c r="CT350" i="55" s="1"/>
  <c r="CS350" i="55"/>
  <c r="JN139" i="55"/>
  <c r="JG139" i="55"/>
  <c r="JF301" i="55"/>
  <c r="JM301" i="55"/>
  <c r="JE323" i="55"/>
  <c r="JL323" i="55"/>
  <c r="JL308" i="55"/>
  <c r="JE308" i="55"/>
  <c r="IE280" i="55" a="1"/>
  <c r="IE280" i="55" s="1"/>
  <c r="ID280" i="55" a="1"/>
  <c r="ID280" i="55" s="1"/>
  <c r="JE80" i="55"/>
  <c r="JL80" i="55"/>
  <c r="DV20" i="55"/>
  <c r="DW20" i="55" s="1"/>
  <c r="JX20" i="55"/>
  <c r="JY20" i="55"/>
  <c r="FZ184" i="55"/>
  <c r="CU254" i="55" a="1"/>
  <c r="CU254" i="55" s="1"/>
  <c r="CT254" i="55" a="1"/>
  <c r="CT254" i="55" s="1"/>
  <c r="CS254" i="55"/>
  <c r="JY201" i="55"/>
  <c r="DV201" i="55"/>
  <c r="DW201" i="55" s="1"/>
  <c r="JX201" i="55"/>
  <c r="DM201" i="55"/>
  <c r="JE328" i="55"/>
  <c r="JL328" i="55"/>
  <c r="GM24" i="55"/>
  <c r="CI24" i="55"/>
  <c r="HV24" i="55" s="1"/>
  <c r="AQ19" i="54"/>
  <c r="CV123" i="55"/>
  <c r="CX123" i="55"/>
  <c r="CY123" i="55"/>
  <c r="CW123" i="55"/>
  <c r="CZ123" i="55"/>
  <c r="DA123" i="55" s="1"/>
  <c r="GR315" i="55"/>
  <c r="AL24" i="54"/>
  <c r="JC34" i="55"/>
  <c r="O328" i="55" a="1"/>
  <c r="O328" i="55" s="1"/>
  <c r="JN65" i="55"/>
  <c r="JG65" i="55"/>
  <c r="EK124" i="55"/>
  <c r="EV124" i="55" s="1"/>
  <c r="EW124" i="55" s="1"/>
  <c r="O124" i="55" a="1"/>
  <c r="O124" i="55" s="1"/>
  <c r="EK90" i="55"/>
  <c r="O90" i="55" a="1"/>
  <c r="O90" i="55" s="1"/>
  <c r="EV90" i="55" s="1"/>
  <c r="EW90" i="55" s="1"/>
  <c r="FR90" i="55"/>
  <c r="JL76" i="55"/>
  <c r="JE76" i="55"/>
  <c r="FS308" i="55"/>
  <c r="JM307" i="55"/>
  <c r="JF307" i="55"/>
  <c r="JL199" i="55"/>
  <c r="JE199" i="55"/>
  <c r="DV341" i="55"/>
  <c r="JX341" i="55"/>
  <c r="JY341" i="55"/>
  <c r="DM341" i="55"/>
  <c r="DQ341" i="55" s="1"/>
  <c r="CT285" i="55" a="1"/>
  <c r="CT285" i="55" s="1"/>
  <c r="CU285" i="55" a="1"/>
  <c r="CU285" i="55" s="1"/>
  <c r="JL184" i="55"/>
  <c r="JE184" i="55"/>
  <c r="ID333" i="55" a="1"/>
  <c r="ID333" i="55" s="1"/>
  <c r="IE333" i="55" a="1"/>
  <c r="IE333" i="55" s="1"/>
  <c r="JN275" i="55"/>
  <c r="JG275" i="55"/>
  <c r="JL183" i="55"/>
  <c r="JE183" i="55"/>
  <c r="CV345" i="55"/>
  <c r="CW345" i="55"/>
  <c r="CY345" i="55"/>
  <c r="CX345" i="55"/>
  <c r="CZ345" i="55"/>
  <c r="DA345" i="55" s="1"/>
  <c r="GM82" i="55"/>
  <c r="CI82" i="55"/>
  <c r="HV82" i="55" s="1"/>
  <c r="EV82" i="55"/>
  <c r="EW82" i="55" s="1"/>
  <c r="EK79" i="55"/>
  <c r="O79" i="55" a="1"/>
  <c r="O79" i="55" s="1"/>
  <c r="JG142" i="55"/>
  <c r="JN142" i="55"/>
  <c r="JF119" i="55"/>
  <c r="JM119" i="55"/>
  <c r="CT234" i="55" a="1"/>
  <c r="CT234" i="55" s="1"/>
  <c r="CU234" i="55" a="1"/>
  <c r="CU234" i="55" s="1"/>
  <c r="JG278" i="55"/>
  <c r="JN278" i="55"/>
  <c r="CT122" i="55" a="1"/>
  <c r="CT122" i="55" s="1"/>
  <c r="CU122" i="55" a="1"/>
  <c r="CU122" i="55" s="1"/>
  <c r="JN135" i="55"/>
  <c r="JG135" i="55"/>
  <c r="DV229" i="55"/>
  <c r="DW229" i="55" s="1"/>
  <c r="JX229" i="55"/>
  <c r="JY229" i="55"/>
  <c r="DM229" i="55"/>
  <c r="CT298" i="55" a="1"/>
  <c r="CT298" i="55" s="1"/>
  <c r="CU298" i="55" a="1"/>
  <c r="CU298" i="55" s="1"/>
  <c r="JC42" i="55"/>
  <c r="JE125" i="55"/>
  <c r="JL125" i="55"/>
  <c r="JL106" i="55"/>
  <c r="JE106" i="55"/>
  <c r="GM141" i="55"/>
  <c r="CI141" i="55"/>
  <c r="HV141" i="55" s="1"/>
  <c r="T141" i="55" s="1"/>
  <c r="GQ244" i="55"/>
  <c r="GR244" i="55" s="1"/>
  <c r="GQ278" i="55"/>
  <c r="GQ247" i="55"/>
  <c r="GQ260" i="55"/>
  <c r="GQ265" i="55"/>
  <c r="JM236" i="55"/>
  <c r="JF236" i="55"/>
  <c r="GM246" i="55"/>
  <c r="CI246" i="55"/>
  <c r="HV246" i="55" s="1"/>
  <c r="ID46" i="55" a="1"/>
  <c r="ID46" i="55" s="1"/>
  <c r="IE46" i="55" a="1"/>
  <c r="IE46" i="55" s="1"/>
  <c r="GM196" i="55"/>
  <c r="CI196" i="55"/>
  <c r="HV196" i="55" s="1"/>
  <c r="T196" i="55" s="1"/>
  <c r="EK66" i="55"/>
  <c r="O66" i="55" a="1"/>
  <c r="O66" i="55" s="1"/>
  <c r="JE279" i="55"/>
  <c r="JL279" i="55"/>
  <c r="JM78" i="55"/>
  <c r="JF78" i="55"/>
  <c r="JL119" i="55"/>
  <c r="JE119" i="55"/>
  <c r="JF199" i="55"/>
  <c r="JM199" i="55"/>
  <c r="JE243" i="55"/>
  <c r="JL243" i="55"/>
  <c r="CT301" i="55" a="1"/>
  <c r="CT301" i="55" s="1"/>
  <c r="CU301" i="55" a="1"/>
  <c r="CU301" i="55" s="1"/>
  <c r="DV206" i="55"/>
  <c r="DW206" i="55" s="1"/>
  <c r="JX206" i="55"/>
  <c r="JY206" i="55"/>
  <c r="DM206" i="55"/>
  <c r="JL278" i="55"/>
  <c r="JE278" i="55"/>
  <c r="JG163" i="55"/>
  <c r="JN163" i="55"/>
  <c r="CS250" i="55"/>
  <c r="IE334" i="55" a="1"/>
  <c r="IE334" i="55" s="1"/>
  <c r="ID334" i="55" a="1"/>
  <c r="ID334" i="55" s="1"/>
  <c r="GM133" i="55"/>
  <c r="CI133" i="55"/>
  <c r="HV133" i="55" s="1"/>
  <c r="T133" i="55" s="1"/>
  <c r="EV133" i="55"/>
  <c r="EW133" i="55" s="1"/>
  <c r="GM149" i="55"/>
  <c r="CI149" i="55"/>
  <c r="HV149" i="55" s="1"/>
  <c r="T149" i="55" s="1"/>
  <c r="EV149" i="55"/>
  <c r="EW149" i="55" s="1"/>
  <c r="EZ149" i="55" s="1"/>
  <c r="GM194" i="55"/>
  <c r="CI194" i="55"/>
  <c r="HV194" i="55" s="1"/>
  <c r="CX269" i="55"/>
  <c r="CY269" i="55"/>
  <c r="CV269" i="55"/>
  <c r="CW269" i="55"/>
  <c r="CZ269" i="55"/>
  <c r="DA269" i="55" s="1"/>
  <c r="JL167" i="55"/>
  <c r="JE167" i="55"/>
  <c r="JG343" i="55"/>
  <c r="JN343" i="55"/>
  <c r="JE151" i="55"/>
  <c r="JL151" i="55"/>
  <c r="FR132" i="55"/>
  <c r="JL326" i="55"/>
  <c r="JE326" i="55"/>
  <c r="JE231" i="55"/>
  <c r="JL231" i="55"/>
  <c r="CW29" i="55"/>
  <c r="CX29" i="55"/>
  <c r="CV29" i="55"/>
  <c r="CY29" i="55"/>
  <c r="CZ29" i="55"/>
  <c r="DA29" i="55" s="1"/>
  <c r="GM345" i="55"/>
  <c r="CI345" i="55"/>
  <c r="HV345" i="55" s="1"/>
  <c r="T345" i="55" s="1"/>
  <c r="EV345" i="55"/>
  <c r="EW345" i="55" s="1"/>
  <c r="GM338" i="55"/>
  <c r="CI338" i="55"/>
  <c r="HV338" i="55" s="1"/>
  <c r="EV338" i="55"/>
  <c r="EW338" i="55" s="1"/>
  <c r="EK311" i="55"/>
  <c r="JE98" i="55"/>
  <c r="JL98" i="55"/>
  <c r="EK260" i="55"/>
  <c r="JM284" i="55"/>
  <c r="JF284" i="55"/>
  <c r="JG341" i="55"/>
  <c r="JN341" i="55"/>
  <c r="JN194" i="55"/>
  <c r="JG194" i="55"/>
  <c r="GM290" i="55"/>
  <c r="CI290" i="55"/>
  <c r="HV290" i="55" s="1"/>
  <c r="EV290" i="55"/>
  <c r="EW290" i="55" s="1"/>
  <c r="GM237" i="55"/>
  <c r="CI237" i="55"/>
  <c r="HV237" i="55" s="1"/>
  <c r="JN258" i="55"/>
  <c r="JG258" i="55"/>
  <c r="DV80" i="55"/>
  <c r="DW80" i="55" s="1"/>
  <c r="JY80" i="55"/>
  <c r="JX80" i="55"/>
  <c r="DM80" i="55"/>
  <c r="DQ80" i="55" s="1"/>
  <c r="JM35" i="55"/>
  <c r="JF35" i="55"/>
  <c r="JL192" i="55"/>
  <c r="JE192" i="55"/>
  <c r="ID299" i="55" a="1"/>
  <c r="ID299" i="55" s="1"/>
  <c r="IE299" i="55" a="1"/>
  <c r="IE299" i="55" s="1"/>
  <c r="EZ293" i="55"/>
  <c r="JF160" i="55"/>
  <c r="JM160" i="55"/>
  <c r="JF198" i="55"/>
  <c r="JM198" i="55"/>
  <c r="JN80" i="55"/>
  <c r="JG80" i="55"/>
  <c r="EK135" i="55"/>
  <c r="O135" i="55" a="1"/>
  <c r="O135" i="55" s="1"/>
  <c r="EK139" i="55"/>
  <c r="FR139" i="55"/>
  <c r="GM68" i="55"/>
  <c r="CI68" i="55"/>
  <c r="HV68" i="55" s="1"/>
  <c r="JG199" i="55"/>
  <c r="JN199" i="55"/>
  <c r="GQ19" i="55"/>
  <c r="GR19" i="55" s="1"/>
  <c r="GM277" i="55"/>
  <c r="CI277" i="55"/>
  <c r="HV277" i="55" s="1"/>
  <c r="T277" i="55" s="1"/>
  <c r="EV277" i="55"/>
  <c r="EW277" i="55" s="1"/>
  <c r="EZ277" i="55" s="1"/>
  <c r="JL22" i="55"/>
  <c r="JE22" i="55"/>
  <c r="JM117" i="55"/>
  <c r="JF117" i="55"/>
  <c r="JL94" i="55"/>
  <c r="JE94" i="55"/>
  <c r="JE139" i="55"/>
  <c r="JL139" i="55"/>
  <c r="CV331" i="55"/>
  <c r="CX331" i="55"/>
  <c r="CW331" i="55"/>
  <c r="CY331" i="55"/>
  <c r="CZ331" i="55"/>
  <c r="DA331" i="55" s="1"/>
  <c r="JX149" i="55"/>
  <c r="DV149" i="55"/>
  <c r="JY149" i="55"/>
  <c r="DM149" i="55"/>
  <c r="DV41" i="55"/>
  <c r="JY41" i="55"/>
  <c r="JX41" i="55"/>
  <c r="JF192" i="55"/>
  <c r="JM192" i="55"/>
  <c r="JF125" i="55"/>
  <c r="JM125" i="55"/>
  <c r="JF320" i="55"/>
  <c r="JM320" i="55"/>
  <c r="EK150" i="55"/>
  <c r="EV150" i="55"/>
  <c r="EW150" i="55" s="1"/>
  <c r="ID205" i="55" a="1"/>
  <c r="ID205" i="55" s="1"/>
  <c r="IE205" i="55" a="1"/>
  <c r="IE205" i="55" s="1"/>
  <c r="JY28" i="55"/>
  <c r="DV28" i="55"/>
  <c r="JX28" i="55"/>
  <c r="CU342" i="55" a="1"/>
  <c r="CU342" i="55" s="1"/>
  <c r="CT342" i="55" a="1"/>
  <c r="CT342" i="55" s="1"/>
  <c r="CS342" i="55"/>
  <c r="JF279" i="55"/>
  <c r="JM279" i="55"/>
  <c r="JN7" i="55"/>
  <c r="JG7" i="55"/>
  <c r="JN37" i="55"/>
  <c r="JG37" i="55"/>
  <c r="AN22" i="54"/>
  <c r="JM274" i="55"/>
  <c r="JF274" i="55"/>
  <c r="JL304" i="55"/>
  <c r="JE304" i="55"/>
  <c r="JM98" i="55"/>
  <c r="JF98" i="55"/>
  <c r="JM184" i="55"/>
  <c r="JF184" i="55"/>
  <c r="JM341" i="55"/>
  <c r="JF341" i="55"/>
  <c r="JL194" i="55"/>
  <c r="JE194" i="55"/>
  <c r="JX85" i="55"/>
  <c r="DV85" i="55"/>
  <c r="DW85" i="55" s="1"/>
  <c r="JY85" i="55"/>
  <c r="JN192" i="55"/>
  <c r="JG192" i="55"/>
  <c r="DM155" i="55"/>
  <c r="DQ155" i="55" s="1"/>
  <c r="JX155" i="55"/>
  <c r="DV155" i="55"/>
  <c r="DW155" i="55" s="1"/>
  <c r="JG198" i="55"/>
  <c r="JN198" i="55"/>
  <c r="GM231" i="55"/>
  <c r="CI231" i="55"/>
  <c r="HV231" i="55" s="1"/>
  <c r="T231" i="55" s="1"/>
  <c r="JM267" i="55"/>
  <c r="JF267" i="55"/>
  <c r="JN342" i="55"/>
  <c r="JG342" i="55"/>
  <c r="CX221" i="55"/>
  <c r="CY221" i="55"/>
  <c r="CW221" i="55"/>
  <c r="CV221" i="55"/>
  <c r="CZ221" i="55"/>
  <c r="DA221" i="55" s="1"/>
  <c r="ID154" i="55" a="1"/>
  <c r="ID154" i="55" s="1"/>
  <c r="IE154" i="55" a="1"/>
  <c r="IE154" i="55" s="1"/>
  <c r="EK214" i="55"/>
  <c r="CS122" i="55"/>
  <c r="JL135" i="55"/>
  <c r="JE135" i="55"/>
  <c r="AM22" i="54"/>
  <c r="JY263" i="55"/>
  <c r="JX263" i="55"/>
  <c r="DV263" i="55"/>
  <c r="DW263" i="55" s="1"/>
  <c r="JL274" i="55"/>
  <c r="JE274" i="55"/>
  <c r="JF69" i="55"/>
  <c r="JM69" i="55"/>
  <c r="JN304" i="55"/>
  <c r="JG304" i="55"/>
  <c r="JL301" i="55"/>
  <c r="JE301" i="55"/>
  <c r="JN323" i="55"/>
  <c r="JG323" i="55"/>
  <c r="R56" i="55"/>
  <c r="GM120" i="55"/>
  <c r="CI120" i="55"/>
  <c r="HV120" i="55" s="1"/>
  <c r="EV120" i="55"/>
  <c r="EW120" i="55" s="1"/>
  <c r="GR188" i="55"/>
  <c r="JX6" i="55"/>
  <c r="JY6" i="55"/>
  <c r="DV6" i="55"/>
  <c r="DW6" i="55" s="1"/>
  <c r="DM6" i="55"/>
  <c r="DQ6" i="55" s="1"/>
  <c r="CU238" i="55" a="1"/>
  <c r="CU238" i="55" s="1"/>
  <c r="CT238" i="55" a="1"/>
  <c r="CT238" i="55" s="1"/>
  <c r="CS238" i="55"/>
  <c r="JF174" i="55"/>
  <c r="JM174" i="55"/>
  <c r="JE7" i="55"/>
  <c r="JL7" i="55"/>
  <c r="JE163" i="55"/>
  <c r="JL163" i="55"/>
  <c r="JN151" i="55"/>
  <c r="JG151" i="55"/>
  <c r="JL37" i="55"/>
  <c r="JE37" i="55"/>
  <c r="CU45" i="55" a="1"/>
  <c r="CU45" i="55" s="1"/>
  <c r="CT45" i="55" a="1"/>
  <c r="CT45" i="55" s="1"/>
  <c r="CS45" i="55"/>
  <c r="CI99" i="55"/>
  <c r="HV99" i="55" s="1"/>
  <c r="T99" i="55" s="1"/>
  <c r="EV99" i="55"/>
  <c r="EW99" i="55" s="1"/>
  <c r="GM247" i="55"/>
  <c r="CI247" i="55"/>
  <c r="HV247" i="55" s="1"/>
  <c r="T247" i="55" s="1"/>
  <c r="JL258" i="55"/>
  <c r="JE258" i="55"/>
  <c r="ID251" i="55" a="1"/>
  <c r="ID251" i="55" s="1"/>
  <c r="IE251" i="55" a="1"/>
  <c r="IE251" i="55" s="1"/>
  <c r="JG291" i="55"/>
  <c r="JN291" i="55"/>
  <c r="JE131" i="55"/>
  <c r="JL131" i="55"/>
  <c r="DV327" i="55"/>
  <c r="JX327" i="55"/>
  <c r="JY327" i="55"/>
  <c r="DM327" i="55"/>
  <c r="DQ327" i="55" s="1"/>
  <c r="CT160" i="55" a="1"/>
  <c r="CT160" i="55" s="1"/>
  <c r="CU160" i="55" a="1"/>
  <c r="CU160" i="55" s="1"/>
  <c r="CS160" i="55"/>
  <c r="CV315" i="55"/>
  <c r="CW315" i="55"/>
  <c r="CX315" i="55"/>
  <c r="CY315" i="55"/>
  <c r="CZ315" i="55"/>
  <c r="DA315" i="55" s="1"/>
  <c r="JL138" i="55"/>
  <c r="JE138" i="55"/>
  <c r="EK246" i="55"/>
  <c r="EV246" i="55" s="1"/>
  <c r="EW246" i="55" s="1"/>
  <c r="O139" i="55" a="1"/>
  <c r="O139" i="55" s="1"/>
  <c r="AN26" i="54"/>
  <c r="CV139" i="55"/>
  <c r="CX139" i="55"/>
  <c r="CW139" i="55"/>
  <c r="CY139" i="55"/>
  <c r="JL219" i="55"/>
  <c r="JE219" i="55"/>
  <c r="AL16" i="54"/>
  <c r="CT338" i="55" a="1"/>
  <c r="CT338" i="55" s="1"/>
  <c r="CU338" i="55" a="1"/>
  <c r="CU338" i="55" s="1"/>
  <c r="CS338" i="55"/>
  <c r="GM190" i="55"/>
  <c r="CI190" i="55"/>
  <c r="HV190" i="55" s="1"/>
  <c r="JM55" i="55"/>
  <c r="JF55" i="55"/>
  <c r="JM342" i="55"/>
  <c r="JF342" i="55"/>
  <c r="JL78" i="55"/>
  <c r="JE78" i="55"/>
  <c r="JN227" i="55"/>
  <c r="JG227" i="55"/>
  <c r="CS234" i="55"/>
  <c r="JF343" i="55"/>
  <c r="JM343" i="55"/>
  <c r="JX318" i="55"/>
  <c r="JY318" i="55"/>
  <c r="DV318" i="55"/>
  <c r="DW318" i="55" s="1"/>
  <c r="ID10" i="55" a="1"/>
  <c r="ID10" i="55" s="1"/>
  <c r="IE10" i="55" a="1"/>
  <c r="IE10" i="55" s="1"/>
  <c r="JE338" i="55"/>
  <c r="JL338" i="55"/>
  <c r="FZ215" i="55"/>
  <c r="GQ276" i="55"/>
  <c r="DV346" i="55"/>
  <c r="JX346" i="55"/>
  <c r="JY346" i="55"/>
  <c r="JM80" i="55"/>
  <c r="JF80" i="55"/>
  <c r="EK123" i="55"/>
  <c r="FR123" i="55"/>
  <c r="O123" i="55" a="1"/>
  <c r="O123" i="55" s="1"/>
  <c r="CX259" i="55"/>
  <c r="CY259" i="55"/>
  <c r="CW259" i="55"/>
  <c r="CV259" i="55"/>
  <c r="CZ259" i="55"/>
  <c r="DA259" i="55" s="1"/>
  <c r="EV71" i="55"/>
  <c r="EW71" i="55" s="1"/>
  <c r="JG202" i="55"/>
  <c r="JN202" i="55"/>
  <c r="CV216" i="55"/>
  <c r="CW216" i="55"/>
  <c r="CY216" i="55"/>
  <c r="CX216" i="55"/>
  <c r="CZ216" i="55"/>
  <c r="DA216" i="55" s="1"/>
  <c r="JM316" i="55"/>
  <c r="JF316" i="55"/>
  <c r="AN16" i="54"/>
  <c r="AQ17" i="54"/>
  <c r="IE185" i="55" a="1"/>
  <c r="IE185" i="55" s="1"/>
  <c r="ID185" i="55" a="1"/>
  <c r="ID185" i="55" s="1"/>
  <c r="CV7" i="55"/>
  <c r="CW7" i="55"/>
  <c r="CX7" i="55"/>
  <c r="CY7" i="55"/>
  <c r="CZ7" i="55"/>
  <c r="DA7" i="55" s="1"/>
  <c r="CX83" i="55"/>
  <c r="CY83" i="55"/>
  <c r="CV83" i="55"/>
  <c r="CW83" i="55"/>
  <c r="CZ83" i="55"/>
  <c r="DA83" i="55" s="1"/>
  <c r="EV190" i="55"/>
  <c r="EW190" i="55" s="1"/>
  <c r="ID116" i="55" a="1"/>
  <c r="ID116" i="55" s="1"/>
  <c r="IE116" i="55" a="1"/>
  <c r="IE116" i="55" s="1"/>
  <c r="GQ253" i="55"/>
  <c r="R9" i="55"/>
  <c r="EZ109" i="55"/>
  <c r="GR339" i="55"/>
  <c r="IE31" i="55" a="1"/>
  <c r="IE31" i="55" s="1"/>
  <c r="ID31" i="55" a="1"/>
  <c r="ID31" i="55" s="1"/>
  <c r="DM263" i="55"/>
  <c r="GM70" i="55"/>
  <c r="CI70" i="55"/>
  <c r="HV70" i="55" s="1"/>
  <c r="T70" i="55" s="1"/>
  <c r="EV70" i="55"/>
  <c r="EW70" i="55" s="1"/>
  <c r="JG279" i="55"/>
  <c r="JN279" i="55"/>
  <c r="EK54" i="55"/>
  <c r="O54" i="55" a="1"/>
  <c r="O54" i="55" s="1"/>
  <c r="CY157" i="55"/>
  <c r="CV157" i="55"/>
  <c r="CW157" i="55"/>
  <c r="CX157" i="55"/>
  <c r="CZ157" i="55"/>
  <c r="DA157" i="55" s="1"/>
  <c r="GM275" i="55"/>
  <c r="CI275" i="55"/>
  <c r="HV275" i="55" s="1"/>
  <c r="JF139" i="55"/>
  <c r="JM139" i="55"/>
  <c r="JG69" i="55"/>
  <c r="JN69" i="55"/>
  <c r="EK158" i="55"/>
  <c r="EV158" i="55" s="1"/>
  <c r="EW158" i="55" s="1"/>
  <c r="O158" i="55" a="1"/>
  <c r="O158" i="55" s="1"/>
  <c r="FR158" i="55"/>
  <c r="JF165" i="55"/>
  <c r="JM165" i="55"/>
  <c r="IE136" i="55" a="1"/>
  <c r="IE136" i="55" s="1"/>
  <c r="ID136" i="55" a="1"/>
  <c r="ID136" i="55" s="1"/>
  <c r="FS199" i="55"/>
  <c r="EK303" i="55"/>
  <c r="O303" i="55" a="1"/>
  <c r="O303" i="55" s="1"/>
  <c r="DM332" i="55"/>
  <c r="DQ332" i="55" s="1"/>
  <c r="JY332" i="55"/>
  <c r="JX332" i="55"/>
  <c r="DV332" i="55"/>
  <c r="DW332" i="55" s="1"/>
  <c r="GM329" i="55"/>
  <c r="CI329" i="55"/>
  <c r="HV329" i="55" s="1"/>
  <c r="EV329" i="55"/>
  <c r="EW329" i="55" s="1"/>
  <c r="GM71" i="55"/>
  <c r="CI71" i="55"/>
  <c r="HV71" i="55" s="1"/>
  <c r="T71" i="55" s="1"/>
  <c r="JM162" i="55"/>
  <c r="JF162" i="55"/>
  <c r="GQ261" i="55"/>
  <c r="IE61" i="55" a="1"/>
  <c r="IE61" i="55" s="1"/>
  <c r="ID61" i="55" a="1"/>
  <c r="ID61" i="55" s="1"/>
  <c r="GM101" i="55"/>
  <c r="CI101" i="55"/>
  <c r="HV101" i="55" s="1"/>
  <c r="EV101" i="55"/>
  <c r="EW101" i="55" s="1"/>
  <c r="IE317" i="55" a="1"/>
  <c r="IE317" i="55" s="1"/>
  <c r="ID317" i="55" a="1"/>
  <c r="ID317" i="55" s="1"/>
  <c r="JF5" i="55"/>
  <c r="JM5" i="55"/>
  <c r="ID234" i="55" a="1"/>
  <c r="ID234" i="55" s="1"/>
  <c r="IE234" i="55" a="1"/>
  <c r="IE234" i="55" s="1"/>
  <c r="JM7" i="55"/>
  <c r="JF7" i="55"/>
  <c r="JM231" i="55"/>
  <c r="JF231" i="55"/>
  <c r="FR201" i="55"/>
  <c r="JN318" i="55"/>
  <c r="JG318" i="55"/>
  <c r="JF350" i="55"/>
  <c r="JM350" i="55"/>
  <c r="FZ242" i="55"/>
  <c r="GM263" i="55"/>
  <c r="CI263" i="55"/>
  <c r="HV263" i="55" s="1"/>
  <c r="T263" i="55" s="1"/>
  <c r="EK247" i="55"/>
  <c r="EV247" i="55" s="1"/>
  <c r="EW247" i="55" s="1"/>
  <c r="O260" i="55" a="1"/>
  <c r="O260" i="55" s="1"/>
  <c r="JL341" i="55"/>
  <c r="JE341" i="55"/>
  <c r="JN178" i="55"/>
  <c r="JG178" i="55"/>
  <c r="GM83" i="55"/>
  <c r="CI83" i="55"/>
  <c r="HV83" i="55" s="1"/>
  <c r="T83" i="55" s="1"/>
  <c r="EV83" i="55"/>
  <c r="EW83" i="55" s="1"/>
  <c r="GM115" i="55"/>
  <c r="CI115" i="55"/>
  <c r="HV115" i="55" s="1"/>
  <c r="EV115" i="55"/>
  <c r="EW115" i="55" s="1"/>
  <c r="GR163" i="55"/>
  <c r="AK30" i="54"/>
  <c r="CU91" i="55" a="1"/>
  <c r="CU91" i="55" s="1"/>
  <c r="CT91" i="55" a="1"/>
  <c r="CT91" i="55" s="1"/>
  <c r="CS91" i="55"/>
  <c r="R140" i="55"/>
  <c r="GR307" i="55"/>
  <c r="GT307" i="55"/>
  <c r="IE141" i="55" a="1"/>
  <c r="IE141" i="55" s="1"/>
  <c r="ID141" i="55" a="1"/>
  <c r="ID141" i="55" s="1"/>
  <c r="JL226" i="55"/>
  <c r="JE226" i="55"/>
  <c r="JN210" i="55"/>
  <c r="JG210" i="55"/>
  <c r="CU269" i="55" a="1"/>
  <c r="CU269" i="55" s="1"/>
  <c r="CT269" i="55" a="1"/>
  <c r="CT269" i="55" s="1"/>
  <c r="JN167" i="55"/>
  <c r="JG167" i="55"/>
  <c r="JE343" i="55"/>
  <c r="JL343" i="55"/>
  <c r="GQ4" i="55"/>
  <c r="BD3" i="40" a="1"/>
  <c r="BD3" i="40" s="1"/>
  <c r="GQ23" i="55"/>
  <c r="GQ17" i="55"/>
  <c r="GQ8" i="55"/>
  <c r="GQ15" i="55"/>
  <c r="GQ13" i="55"/>
  <c r="GQ5" i="55"/>
  <c r="GQ24" i="55"/>
  <c r="GQ16" i="55"/>
  <c r="GQ18" i="55"/>
  <c r="GQ9" i="55"/>
  <c r="GQ10" i="55"/>
  <c r="GQ14" i="55"/>
  <c r="GQ6" i="55"/>
  <c r="GQ21" i="55"/>
  <c r="GQ20" i="55"/>
  <c r="GQ7" i="55"/>
  <c r="CW173" i="55"/>
  <c r="CV173" i="55"/>
  <c r="CX173" i="55"/>
  <c r="CY173" i="55"/>
  <c r="CZ173" i="55"/>
  <c r="DA173" i="55" s="1"/>
  <c r="FR260" i="55"/>
  <c r="JG326" i="55"/>
  <c r="JN326" i="55"/>
  <c r="JN350" i="55"/>
  <c r="JG350" i="55"/>
  <c r="JF304" i="55"/>
  <c r="JM304" i="55"/>
  <c r="IE24" i="55" a="1"/>
  <c r="IE24" i="55" s="1"/>
  <c r="ID24" i="55" a="1"/>
  <c r="ID24" i="55" s="1"/>
  <c r="GQ128" i="55"/>
  <c r="AO29" i="54"/>
  <c r="FZ234" i="55"/>
  <c r="AM20" i="54"/>
  <c r="JM46" i="55"/>
  <c r="JF46" i="55"/>
  <c r="JN4" i="55"/>
  <c r="JG4" i="55"/>
  <c r="DM225" i="55"/>
  <c r="JY225" i="55"/>
  <c r="JX225" i="55"/>
  <c r="DV225" i="55"/>
  <c r="CX180" i="55"/>
  <c r="CV180" i="55"/>
  <c r="CY180" i="55"/>
  <c r="CW180" i="55"/>
  <c r="R92" i="55"/>
  <c r="EV265" i="55"/>
  <c r="EW265" i="55" s="1"/>
  <c r="JN225" i="55"/>
  <c r="JG225" i="55"/>
  <c r="R324" i="55"/>
  <c r="JY243" i="55"/>
  <c r="JX243" i="55"/>
  <c r="DV243" i="55"/>
  <c r="EK319" i="55"/>
  <c r="O319" i="55" a="1"/>
  <c r="O319" i="55" s="1"/>
  <c r="CW154" i="55"/>
  <c r="CY154" i="55"/>
  <c r="CV154" i="55"/>
  <c r="CX154" i="55"/>
  <c r="JL174" i="55"/>
  <c r="JE174" i="55"/>
  <c r="JL87" i="55"/>
  <c r="JE87" i="55"/>
  <c r="GK331" i="55"/>
  <c r="ID266" i="55" a="1"/>
  <c r="ID266" i="55" s="1"/>
  <c r="IE266" i="55" a="1"/>
  <c r="IE266" i="55" s="1"/>
  <c r="JL69" i="55"/>
  <c r="JE69" i="55"/>
  <c r="CT300" i="55" a="1"/>
  <c r="CT300" i="55" s="1"/>
  <c r="CU300" i="55" a="1"/>
  <c r="CU300" i="55" s="1"/>
  <c r="DV240" i="55"/>
  <c r="JX240" i="55"/>
  <c r="JY240" i="55"/>
  <c r="DM240" i="55"/>
  <c r="JE291" i="55"/>
  <c r="JL291" i="55"/>
  <c r="DV196" i="55"/>
  <c r="JX196" i="55"/>
  <c r="JY196" i="55"/>
  <c r="DM196" i="55"/>
  <c r="FR92" i="55"/>
  <c r="JL342" i="55"/>
  <c r="JE342" i="55"/>
  <c r="FZ294" i="55"/>
  <c r="JM163" i="55"/>
  <c r="JF163" i="55"/>
  <c r="JF167" i="55"/>
  <c r="JM167" i="55"/>
  <c r="CT10" i="55" a="1"/>
  <c r="CT10" i="55" s="1"/>
  <c r="CU10" i="55" a="1"/>
  <c r="CU10" i="55" s="1"/>
  <c r="CV55" i="55"/>
  <c r="CW55" i="55"/>
  <c r="CX55" i="55"/>
  <c r="CY55" i="55"/>
  <c r="CZ55" i="55"/>
  <c r="DA55" i="55" s="1"/>
  <c r="JN55" i="55"/>
  <c r="JG55" i="55"/>
  <c r="CT221" i="55" a="1"/>
  <c r="CT221" i="55" s="1"/>
  <c r="CU221" i="55" a="1"/>
  <c r="CU221" i="55" s="1"/>
  <c r="JN78" i="55"/>
  <c r="JG78" i="55"/>
  <c r="JM238" i="55"/>
  <c r="JF238" i="55"/>
  <c r="FR134" i="55"/>
  <c r="JG54" i="55"/>
  <c r="JN54" i="55"/>
  <c r="JL293" i="55"/>
  <c r="JE293" i="55"/>
  <c r="O214" i="55" a="1"/>
  <c r="O214" i="55" s="1"/>
  <c r="ID330" i="55" a="1"/>
  <c r="ID330" i="55" s="1"/>
  <c r="IE330" i="55" a="1"/>
  <c r="IE330" i="55" s="1"/>
  <c r="DM214" i="55"/>
  <c r="DV214" i="55"/>
  <c r="DW214" i="55" s="1"/>
  <c r="JY214" i="55"/>
  <c r="JX214" i="55"/>
  <c r="CU87" i="55" a="1"/>
  <c r="CU87" i="55" s="1"/>
  <c r="CT87" i="55" a="1"/>
  <c r="CT87" i="55" s="1"/>
  <c r="CS87" i="55"/>
  <c r="DV309" i="55"/>
  <c r="JY309" i="55"/>
  <c r="JX309" i="55"/>
  <c r="DM309" i="55"/>
  <c r="DQ309" i="55" s="1"/>
  <c r="GM192" i="55"/>
  <c r="CI192" i="55"/>
  <c r="HV192" i="55" s="1"/>
  <c r="T192" i="55" s="1"/>
  <c r="O311" i="55" a="1"/>
  <c r="O311" i="55" s="1"/>
  <c r="CV23" i="55"/>
  <c r="CW23" i="55"/>
  <c r="CX23" i="55"/>
  <c r="CY23" i="55"/>
  <c r="FZ202" i="55"/>
  <c r="DM85" i="55"/>
  <c r="DQ85" i="55" s="1"/>
  <c r="JM178" i="55"/>
  <c r="JF178" i="55"/>
  <c r="CT321" i="55" a="1"/>
  <c r="CT321" i="55" s="1"/>
  <c r="CU321" i="55" a="1"/>
  <c r="CU321" i="55" s="1"/>
  <c r="CS321" i="55"/>
  <c r="CT259" i="55" a="1"/>
  <c r="CT259" i="55" s="1"/>
  <c r="CU259" i="55" a="1"/>
  <c r="CU259" i="55" s="1"/>
  <c r="HL342" i="55"/>
  <c r="GK342" i="55"/>
  <c r="CU203" i="55" a="1"/>
  <c r="CU203" i="55" s="1"/>
  <c r="CT203" i="55" a="1"/>
  <c r="CT203" i="55" s="1"/>
  <c r="CS203" i="55"/>
  <c r="GQ282" i="55"/>
  <c r="DV230" i="55"/>
  <c r="DW230" i="55" s="1"/>
  <c r="JY230" i="55"/>
  <c r="JX230" i="55"/>
  <c r="DM230" i="55"/>
  <c r="JM227" i="55"/>
  <c r="JF227" i="55"/>
  <c r="JL66" i="55"/>
  <c r="JE66" i="55"/>
  <c r="JL295" i="55"/>
  <c r="JE295" i="55"/>
  <c r="JN67" i="55"/>
  <c r="JG67" i="55"/>
  <c r="JY103" i="55"/>
  <c r="JX103" i="55"/>
  <c r="DV103" i="55"/>
  <c r="DW103" i="55" s="1"/>
  <c r="DM103" i="55"/>
  <c r="DQ103" i="55" s="1"/>
  <c r="JG87" i="55"/>
  <c r="JN87" i="55"/>
  <c r="JM118" i="55"/>
  <c r="JF118" i="55"/>
  <c r="JF318" i="55"/>
  <c r="JM318" i="55"/>
  <c r="JL211" i="55"/>
  <c r="JE211" i="55"/>
  <c r="GQ214" i="55"/>
  <c r="JY147" i="55"/>
  <c r="JX147" i="55"/>
  <c r="DM147" i="55"/>
  <c r="EK255" i="55"/>
  <c r="O255" i="55" a="1"/>
  <c r="O255" i="55" s="1"/>
  <c r="FR255" i="55"/>
  <c r="GF283" i="55"/>
  <c r="CZ154" i="55"/>
  <c r="DA154" i="55" s="1"/>
  <c r="JL202" i="55"/>
  <c r="JE202" i="55"/>
  <c r="GQ263" i="55"/>
  <c r="CV79" i="55"/>
  <c r="CY79" i="55"/>
  <c r="CX79" i="55"/>
  <c r="CW79" i="55"/>
  <c r="CZ79" i="55"/>
  <c r="DA79" i="55" s="1"/>
  <c r="JN148" i="55"/>
  <c r="JG148" i="55"/>
  <c r="JG216" i="55"/>
  <c r="JN216" i="55"/>
  <c r="CU54" i="55" a="1"/>
  <c r="CU54" i="55" s="1"/>
  <c r="CT54" i="55" a="1"/>
  <c r="CT54" i="55" s="1"/>
  <c r="CS54" i="55"/>
  <c r="GE189" i="55" a="1"/>
  <c r="GE189" i="55" s="1"/>
  <c r="GF189" i="55" s="1"/>
  <c r="CX330" i="55"/>
  <c r="CV330" i="55"/>
  <c r="CW330" i="55"/>
  <c r="CY330" i="55"/>
  <c r="JM67" i="55"/>
  <c r="JF67" i="55"/>
  <c r="CT138" i="55" a="1"/>
  <c r="CT138" i="55" s="1"/>
  <c r="CU138" i="55" a="1"/>
  <c r="CU138" i="55" s="1"/>
  <c r="DV38" i="55"/>
  <c r="DW38" i="55" s="1"/>
  <c r="DM38" i="55"/>
  <c r="JY38" i="55"/>
  <c r="JX38" i="55"/>
  <c r="GR160" i="55"/>
  <c r="R315" i="55"/>
  <c r="CZ180" i="55"/>
  <c r="DA180" i="55" s="1"/>
  <c r="JM229" i="55"/>
  <c r="JF229" i="55"/>
  <c r="GM77" i="55"/>
  <c r="CI77" i="55"/>
  <c r="HV77" i="55" s="1"/>
  <c r="EV77" i="55"/>
  <c r="EW77" i="55" s="1"/>
  <c r="CX333" i="55"/>
  <c r="CV333" i="55"/>
  <c r="CY333" i="55"/>
  <c r="CW333" i="55"/>
  <c r="CZ333" i="55"/>
  <c r="DA333" i="55" s="1"/>
  <c r="FS303" i="55"/>
  <c r="GM243" i="55"/>
  <c r="CI243" i="55"/>
  <c r="HV243" i="55" s="1"/>
  <c r="T243" i="55" s="1"/>
  <c r="EV243" i="55"/>
  <c r="EW243" i="55" s="1"/>
  <c r="GM221" i="55"/>
  <c r="CI221" i="55"/>
  <c r="HV221" i="55" s="1"/>
  <c r="T221" i="55" s="1"/>
  <c r="EV221" i="55"/>
  <c r="EW221" i="55" s="1"/>
  <c r="IE92" i="55" a="1"/>
  <c r="IE92" i="55" s="1"/>
  <c r="ID92" i="55" a="1"/>
  <c r="ID92" i="55" s="1"/>
  <c r="GQ102" i="55"/>
  <c r="GR102" i="55" s="1"/>
  <c r="GT102" i="55"/>
  <c r="GQ112" i="55"/>
  <c r="GQ117" i="55"/>
  <c r="GQ105" i="55"/>
  <c r="GQ122" i="55"/>
  <c r="GQ123" i="55"/>
  <c r="GQ109" i="55"/>
  <c r="GQ120" i="55"/>
  <c r="GQ104" i="55"/>
  <c r="GQ111" i="55"/>
  <c r="GQ126" i="55"/>
  <c r="GQ107" i="55"/>
  <c r="GQ106" i="55"/>
  <c r="GQ110" i="55"/>
  <c r="GQ115" i="55"/>
  <c r="GQ118" i="55"/>
  <c r="GQ124" i="55"/>
  <c r="GQ103" i="55"/>
  <c r="GQ125" i="55"/>
  <c r="GQ113" i="55"/>
  <c r="GQ121" i="55"/>
  <c r="GQ108" i="55"/>
  <c r="FZ106" i="55"/>
  <c r="AQ20" i="54"/>
  <c r="DM20" i="55"/>
  <c r="DQ20" i="55" s="1"/>
  <c r="GR179" i="55"/>
  <c r="ID91" i="55" a="1"/>
  <c r="ID91" i="55" s="1"/>
  <c r="IE91" i="55" a="1"/>
  <c r="IE91" i="55" s="1"/>
  <c r="FS214" i="55"/>
  <c r="JE161" i="55"/>
  <c r="JL161" i="55"/>
  <c r="CV206" i="55"/>
  <c r="CY206" i="55"/>
  <c r="CX206" i="55"/>
  <c r="CW206" i="55"/>
  <c r="IE124" i="55" a="1"/>
  <c r="IE124" i="55" s="1"/>
  <c r="ID124" i="55" a="1"/>
  <c r="ID124" i="55" s="1"/>
  <c r="EK227" i="55"/>
  <c r="FR227" i="55"/>
  <c r="IE140" i="55" a="1"/>
  <c r="IE140" i="55" s="1"/>
  <c r="ID140" i="55" a="1"/>
  <c r="ID140" i="55" s="1"/>
  <c r="AM16" i="54"/>
  <c r="EV92" i="55"/>
  <c r="EW92" i="55" s="1"/>
  <c r="EZ92" i="55" s="1"/>
  <c r="GM219" i="55"/>
  <c r="CI219" i="55"/>
  <c r="HV219" i="55" s="1"/>
  <c r="T219" i="55" s="1"/>
  <c r="IE105" i="55" a="1"/>
  <c r="IE105" i="55" s="1"/>
  <c r="ID105" i="55" a="1"/>
  <c r="ID105" i="55" s="1"/>
  <c r="JE319" i="55"/>
  <c r="JL319" i="55"/>
  <c r="JL156" i="55"/>
  <c r="JE156" i="55"/>
  <c r="ID93" i="55" a="1"/>
  <c r="ID93" i="55" s="1"/>
  <c r="IE93" i="55" a="1"/>
  <c r="IE93" i="55" s="1"/>
  <c r="DV126" i="55"/>
  <c r="DW126" i="55" s="1"/>
  <c r="JX126" i="55"/>
  <c r="JY126" i="55"/>
  <c r="DM126" i="55"/>
  <c r="DQ126" i="55" s="1"/>
  <c r="R76" i="55"/>
  <c r="JL214" i="55"/>
  <c r="JE214" i="55"/>
  <c r="FR150" i="55"/>
  <c r="GE45" i="55" a="1"/>
  <c r="GE45" i="55" s="1"/>
  <c r="GF45" i="55" s="1"/>
  <c r="ID314" i="55" a="1"/>
  <c r="ID314" i="55" s="1"/>
  <c r="IE314" i="55" a="1"/>
  <c r="IE314" i="55" s="1"/>
  <c r="JE318" i="55"/>
  <c r="JL318" i="55"/>
  <c r="JX261" i="55"/>
  <c r="DV261" i="55"/>
  <c r="JY261" i="55"/>
  <c r="DM261" i="55"/>
  <c r="JM211" i="55"/>
  <c r="JF211" i="55"/>
  <c r="JE346" i="55"/>
  <c r="JL346" i="55"/>
  <c r="IE56" i="55" a="1"/>
  <c r="IE56" i="55" s="1"/>
  <c r="ID56" i="55" a="1"/>
  <c r="ID56" i="55" s="1"/>
  <c r="ID155" i="55" a="1"/>
  <c r="ID155" i="55" s="1"/>
  <c r="IE155" i="55" a="1"/>
  <c r="IE155" i="55" s="1"/>
  <c r="ID282" i="55" a="1"/>
  <c r="ID282" i="55" s="1"/>
  <c r="IE282" i="55" a="1"/>
  <c r="IE282" i="55" s="1"/>
  <c r="JE144" i="55"/>
  <c r="JL144" i="55"/>
  <c r="GM42" i="55"/>
  <c r="CI42" i="55"/>
  <c r="HV42" i="55" s="1"/>
  <c r="GQ145" i="55"/>
  <c r="JY105" i="55"/>
  <c r="JG156" i="55"/>
  <c r="JN156" i="55"/>
  <c r="GM28" i="55"/>
  <c r="CI28" i="55"/>
  <c r="HV28" i="55" s="1"/>
  <c r="T28" i="55" s="1"/>
  <c r="JE14" i="55"/>
  <c r="JL14" i="55"/>
  <c r="CS61" i="55"/>
  <c r="JN66" i="55"/>
  <c r="JG66" i="55"/>
  <c r="CT90" i="55" a="1"/>
  <c r="CT90" i="55" s="1"/>
  <c r="CU90" i="55" a="1"/>
  <c r="CU90" i="55" s="1"/>
  <c r="CS90" i="55"/>
  <c r="CU334" i="55" a="1"/>
  <c r="CU334" i="55" s="1"/>
  <c r="CT334" i="55" a="1"/>
  <c r="CT334" i="55" s="1"/>
  <c r="CS334" i="55"/>
  <c r="CT189" i="55" a="1"/>
  <c r="CT189" i="55" s="1"/>
  <c r="CU189" i="55" a="1"/>
  <c r="CU189" i="55" s="1"/>
  <c r="CS189" i="55"/>
  <c r="CT330" i="55" a="1"/>
  <c r="CT330" i="55" s="1"/>
  <c r="CU330" i="55" a="1"/>
  <c r="CU330" i="55" s="1"/>
  <c r="JL311" i="55"/>
  <c r="JE311" i="55"/>
  <c r="CW26" i="55"/>
  <c r="CX26" i="55"/>
  <c r="CV26" i="55"/>
  <c r="CY26" i="55"/>
  <c r="ID26" i="55" a="1"/>
  <c r="ID26" i="55" s="1"/>
  <c r="IE26" i="55" a="1"/>
  <c r="IE26" i="55" s="1"/>
  <c r="JM23" i="55"/>
  <c r="JF23" i="55"/>
  <c r="CT109" i="55" a="1"/>
  <c r="CT109" i="55" s="1"/>
  <c r="CU109" i="55" a="1"/>
  <c r="CU109" i="55" s="1"/>
  <c r="CS109" i="55"/>
  <c r="JN30" i="55"/>
  <c r="JG30" i="55"/>
  <c r="JM206" i="55"/>
  <c r="JF206" i="55"/>
  <c r="JM102" i="55"/>
  <c r="JF102" i="55"/>
  <c r="CS10" i="55"/>
  <c r="JG53" i="55"/>
  <c r="JN53" i="55"/>
  <c r="GM307" i="55"/>
  <c r="CI307" i="55"/>
  <c r="HV307" i="55" s="1"/>
  <c r="T307" i="55" s="1"/>
  <c r="EV307" i="55"/>
  <c r="EW307" i="55" s="1"/>
  <c r="EZ307" i="55" s="1"/>
  <c r="AK22" i="54"/>
  <c r="FZ39" i="55"/>
  <c r="ID202" i="55" a="1"/>
  <c r="ID202" i="55" s="1"/>
  <c r="IE202" i="55" a="1"/>
  <c r="IE202" i="55" s="1"/>
  <c r="GM262" i="55"/>
  <c r="CI262" i="55"/>
  <c r="HV262" i="55" s="1"/>
  <c r="GM118" i="55"/>
  <c r="CI118" i="55"/>
  <c r="HV118" i="55" s="1"/>
  <c r="GR324" i="55"/>
  <c r="DR176" i="55" a="1"/>
  <c r="DR176" i="55" s="1"/>
  <c r="DT176" i="55" s="1"/>
  <c r="II176" i="55"/>
  <c r="DU176" i="55"/>
  <c r="HT176" i="55" s="1"/>
  <c r="JN245" i="55"/>
  <c r="JG245" i="55"/>
  <c r="JM93" i="55"/>
  <c r="JF93" i="55"/>
  <c r="JG346" i="55"/>
  <c r="JN346" i="55"/>
  <c r="JN229" i="55"/>
  <c r="JG229" i="55"/>
  <c r="JX5" i="55"/>
  <c r="DV5" i="55"/>
  <c r="JY5" i="55"/>
  <c r="DM5" i="55"/>
  <c r="DQ5" i="55" s="1"/>
  <c r="DV131" i="55"/>
  <c r="DM131" i="55"/>
  <c r="JX131" i="55"/>
  <c r="JY131" i="55"/>
  <c r="CT329" i="55" a="1"/>
  <c r="CT329" i="55" s="1"/>
  <c r="CU329" i="55" a="1"/>
  <c r="CU329" i="55" s="1"/>
  <c r="CS329" i="55"/>
  <c r="R203" i="55"/>
  <c r="GM109" i="55"/>
  <c r="CI109" i="55"/>
  <c r="HV109" i="55" s="1"/>
  <c r="JM171" i="55"/>
  <c r="JF171" i="55"/>
  <c r="R187" i="55"/>
  <c r="FZ229" i="55"/>
  <c r="JE339" i="55"/>
  <c r="JL339" i="55"/>
  <c r="CZ300" i="55"/>
  <c r="DA300" i="55" s="1"/>
  <c r="JE249" i="55"/>
  <c r="JL249" i="55"/>
  <c r="EK114" i="55"/>
  <c r="O114" i="55" a="1"/>
  <c r="O114" i="55" s="1"/>
  <c r="CV327" i="55"/>
  <c r="CW327" i="55"/>
  <c r="CX327" i="55"/>
  <c r="DW327" i="55"/>
  <c r="CY327" i="55"/>
  <c r="EK116" i="55"/>
  <c r="EV116" i="55" s="1"/>
  <c r="EW116" i="55" s="1"/>
  <c r="EZ116" i="55" s="1"/>
  <c r="O227" i="55" a="1"/>
  <c r="O227" i="55" s="1"/>
  <c r="JX165" i="55"/>
  <c r="JY165" i="55"/>
  <c r="DV165" i="55"/>
  <c r="DM165" i="55"/>
  <c r="DQ165" i="55" s="1"/>
  <c r="JM324" i="55"/>
  <c r="JF324" i="55"/>
  <c r="FS70" i="55"/>
  <c r="R30" i="55"/>
  <c r="EK87" i="55"/>
  <c r="EV87" i="55" s="1"/>
  <c r="EW87" i="55" s="1"/>
  <c r="JN265" i="55"/>
  <c r="JG265" i="55"/>
  <c r="JM152" i="55"/>
  <c r="JF152" i="55"/>
  <c r="CT106" i="55" a="1"/>
  <c r="CT106" i="55" s="1"/>
  <c r="CU106" i="55" a="1"/>
  <c r="CU106" i="55" s="1"/>
  <c r="CS106" i="55"/>
  <c r="ID204" i="55" a="1"/>
  <c r="ID204" i="55" s="1"/>
  <c r="IE204" i="55" a="1"/>
  <c r="IE204" i="55" s="1"/>
  <c r="DW242" i="55"/>
  <c r="CY242" i="55"/>
  <c r="CX242" i="55"/>
  <c r="CV242" i="55"/>
  <c r="CW242" i="55"/>
  <c r="JX105" i="55"/>
  <c r="JG235" i="55"/>
  <c r="JN235" i="55"/>
  <c r="JM148" i="55"/>
  <c r="JF148" i="55"/>
  <c r="JG172" i="55"/>
  <c r="JN172" i="55"/>
  <c r="R104" i="55"/>
  <c r="JM300" i="55"/>
  <c r="JF300" i="55"/>
  <c r="GM49" i="55"/>
  <c r="CI49" i="55"/>
  <c r="HV49" i="55" s="1"/>
  <c r="CV11" i="55"/>
  <c r="CX11" i="55"/>
  <c r="CY11" i="55"/>
  <c r="CW11" i="55"/>
  <c r="CZ11" i="55"/>
  <c r="DA11" i="55" s="1"/>
  <c r="EZ295" i="55"/>
  <c r="R295" i="55"/>
  <c r="CZ23" i="55"/>
  <c r="DA23" i="55" s="1"/>
  <c r="JL149" i="55"/>
  <c r="JE149" i="55"/>
  <c r="FZ213" i="55"/>
  <c r="CY317" i="55"/>
  <c r="CV317" i="55"/>
  <c r="CX317" i="55"/>
  <c r="CW317" i="55"/>
  <c r="CZ317" i="55"/>
  <c r="DA317" i="55" s="1"/>
  <c r="FR311" i="55"/>
  <c r="JL54" i="55"/>
  <c r="JE54" i="55"/>
  <c r="JC330" i="55"/>
  <c r="GU330" i="55"/>
  <c r="GV330" i="55" s="1"/>
  <c r="GW330" i="55" s="1"/>
  <c r="DV183" i="55"/>
  <c r="DW183" i="55" s="1"/>
  <c r="JY183" i="55"/>
  <c r="JX183" i="55"/>
  <c r="DM183" i="55"/>
  <c r="DQ183" i="55" s="1"/>
  <c r="CS138" i="55"/>
  <c r="JE23" i="55"/>
  <c r="JL23" i="55"/>
  <c r="GM6" i="55"/>
  <c r="CI6" i="55"/>
  <c r="HV6" i="55" s="1"/>
  <c r="T6" i="55" s="1"/>
  <c r="EV6" i="55"/>
  <c r="EW6" i="55" s="1"/>
  <c r="CU30" i="55" a="1"/>
  <c r="CU30" i="55" s="1"/>
  <c r="CT30" i="55" a="1"/>
  <c r="CT30" i="55" s="1"/>
  <c r="CS30" i="55"/>
  <c r="JM181" i="55"/>
  <c r="JF181" i="55"/>
  <c r="JL310" i="55"/>
  <c r="JE310" i="55"/>
  <c r="JC45" i="55"/>
  <c r="CT314" i="55" a="1"/>
  <c r="CT314" i="55" s="1"/>
  <c r="CU314" i="55" a="1"/>
  <c r="CU314" i="55" s="1"/>
  <c r="JX119" i="55"/>
  <c r="DV119" i="55"/>
  <c r="DW119" i="55" s="1"/>
  <c r="JY119" i="55"/>
  <c r="DV150" i="55"/>
  <c r="DW150" i="55" s="1"/>
  <c r="JX150" i="55"/>
  <c r="JY150" i="55"/>
  <c r="DM150" i="55"/>
  <c r="ID218" i="55" a="1"/>
  <c r="ID218" i="55" s="1"/>
  <c r="IE218" i="55" a="1"/>
  <c r="IE218" i="55" s="1"/>
  <c r="JL118" i="55"/>
  <c r="JE118" i="55"/>
  <c r="AL22" i="54"/>
  <c r="JM101" i="55"/>
  <c r="JF101" i="55"/>
  <c r="R235" i="55"/>
  <c r="DM34" i="55"/>
  <c r="JY34" i="55"/>
  <c r="JX34" i="55"/>
  <c r="DV34" i="55"/>
  <c r="DW34" i="55" s="1"/>
  <c r="JN61" i="55"/>
  <c r="JG61" i="55"/>
  <c r="GM235" i="55"/>
  <c r="DV247" i="55"/>
  <c r="JX247" i="55"/>
  <c r="JY247" i="55"/>
  <c r="DM247" i="55"/>
  <c r="GQ272" i="55"/>
  <c r="JF245" i="55"/>
  <c r="JM245" i="55"/>
  <c r="EK162" i="55"/>
  <c r="EV162" i="55" s="1"/>
  <c r="EW162" i="55" s="1"/>
  <c r="FR162" i="55"/>
  <c r="GM240" i="55"/>
  <c r="CI240" i="55"/>
  <c r="HV240" i="55" s="1"/>
  <c r="T240" i="55" s="1"/>
  <c r="GM56" i="55"/>
  <c r="CI56" i="55"/>
  <c r="HV56" i="55" s="1"/>
  <c r="EZ337" i="55"/>
  <c r="FZ352" i="55"/>
  <c r="FZ171" i="55"/>
  <c r="CT333" i="55" a="1"/>
  <c r="CT333" i="55" s="1"/>
  <c r="CU333" i="55" a="1"/>
  <c r="CU333" i="55" s="1"/>
  <c r="GM309" i="55"/>
  <c r="CI309" i="55"/>
  <c r="HV309" i="55" s="1"/>
  <c r="T309" i="55" s="1"/>
  <c r="EV309" i="55"/>
  <c r="EW309" i="55" s="1"/>
  <c r="EZ309" i="55" s="1"/>
  <c r="GE171" i="55" a="1"/>
  <c r="GE171" i="55" s="1"/>
  <c r="GF171" i="55" s="1"/>
  <c r="JG83" i="55"/>
  <c r="JN83" i="55"/>
  <c r="FZ331" i="55"/>
  <c r="R332" i="55"/>
  <c r="FZ128" i="55"/>
  <c r="DV311" i="55"/>
  <c r="DW311" i="55" s="1"/>
  <c r="JY311" i="55"/>
  <c r="JX311" i="55"/>
  <c r="DM311" i="55"/>
  <c r="DQ311" i="55" s="1"/>
  <c r="DV102" i="55"/>
  <c r="DW102" i="55" s="1"/>
  <c r="JY102" i="55"/>
  <c r="JX102" i="55"/>
  <c r="DM102" i="55"/>
  <c r="DQ102" i="55" s="1"/>
  <c r="JM339" i="55"/>
  <c r="JF339" i="55"/>
  <c r="JY155" i="55"/>
  <c r="JM150" i="55"/>
  <c r="JF150" i="55"/>
  <c r="CT352" i="55" a="1"/>
  <c r="CT352" i="55" s="1"/>
  <c r="CU352" i="55" a="1"/>
  <c r="CU352" i="55" s="1"/>
  <c r="CS352" i="55"/>
  <c r="JX72" i="55"/>
  <c r="DV72" i="55"/>
  <c r="DW72" i="55" s="1"/>
  <c r="JY72" i="55"/>
  <c r="DM72" i="55"/>
  <c r="DQ72" i="55" s="1"/>
  <c r="DV116" i="55"/>
  <c r="DW116" i="55" s="1"/>
  <c r="JX116" i="55"/>
  <c r="JY116" i="55"/>
  <c r="DM116" i="55"/>
  <c r="DQ116" i="55" s="1"/>
  <c r="GM284" i="55"/>
  <c r="CI284" i="55"/>
  <c r="HV284" i="55" s="1"/>
  <c r="T284" i="55" s="1"/>
  <c r="R303" i="55"/>
  <c r="JL49" i="55"/>
  <c r="JE49" i="55"/>
  <c r="JF105" i="55"/>
  <c r="JM105" i="55"/>
  <c r="CV235" i="55"/>
  <c r="CY235" i="55"/>
  <c r="CX235" i="55"/>
  <c r="CW235" i="55"/>
  <c r="CZ235" i="55"/>
  <c r="DA235" i="55" s="1"/>
  <c r="EK34" i="55"/>
  <c r="FR34" i="55"/>
  <c r="O34" i="55" a="1"/>
  <c r="O34" i="55" s="1"/>
  <c r="FZ107" i="55"/>
  <c r="EK228" i="55"/>
  <c r="O228" i="55" a="1"/>
  <c r="O228" i="55" s="1"/>
  <c r="IE104" i="55" a="1"/>
  <c r="IE104" i="55" s="1"/>
  <c r="ID104" i="55" a="1"/>
  <c r="ID104" i="55" s="1"/>
  <c r="JL152" i="55"/>
  <c r="JE152" i="55"/>
  <c r="EK78" i="55"/>
  <c r="FR78" i="55"/>
  <c r="O78" i="55" a="1"/>
  <c r="O78" i="55" s="1"/>
  <c r="IE161" i="55" a="1"/>
  <c r="IE161" i="55" s="1"/>
  <c r="ID161" i="55" a="1"/>
  <c r="ID161" i="55" s="1"/>
  <c r="DZ11" i="55"/>
  <c r="EB11" i="55"/>
  <c r="GS11" i="55" s="1"/>
  <c r="IE264" i="55" a="1"/>
  <c r="IE264" i="55" s="1"/>
  <c r="ID264" i="55" a="1"/>
  <c r="ID264" i="55" s="1"/>
  <c r="JM172" i="55"/>
  <c r="JF172" i="55"/>
  <c r="O92" i="55" a="1"/>
  <c r="O92" i="55" s="1"/>
  <c r="IE81" i="55" a="1"/>
  <c r="IE81" i="55" s="1"/>
  <c r="ID81" i="55" a="1"/>
  <c r="ID81" i="55" s="1"/>
  <c r="CY289" i="55"/>
  <c r="CX289" i="55"/>
  <c r="CW289" i="55"/>
  <c r="CV289" i="55"/>
  <c r="CZ289" i="55"/>
  <c r="DA289" i="55" s="1"/>
  <c r="GR64" i="55"/>
  <c r="JL182" i="55"/>
  <c r="JE182" i="55"/>
  <c r="JM334" i="55"/>
  <c r="JF334" i="55"/>
  <c r="JG118" i="55"/>
  <c r="JN118" i="55"/>
  <c r="JL350" i="55"/>
  <c r="JE350" i="55"/>
  <c r="CX266" i="55"/>
  <c r="CY266" i="55"/>
  <c r="CW266" i="55"/>
  <c r="CV266" i="55"/>
  <c r="CZ266" i="55"/>
  <c r="DA266" i="55" s="1"/>
  <c r="FZ123" i="55"/>
  <c r="DV272" i="55"/>
  <c r="DW272" i="55" s="1"/>
  <c r="JX272" i="55"/>
  <c r="JY272" i="55"/>
  <c r="DM272" i="55"/>
  <c r="GM211" i="55"/>
  <c r="CI211" i="55"/>
  <c r="HV211" i="55" s="1"/>
  <c r="T211" i="55" s="1"/>
  <c r="R267" i="55"/>
  <c r="JN160" i="55"/>
  <c r="JG160" i="55"/>
  <c r="FR135" i="55"/>
  <c r="IE208" i="55" a="1"/>
  <c r="IE208" i="55" s="1"/>
  <c r="ID208" i="55" a="1"/>
  <c r="ID208" i="55" s="1"/>
  <c r="EK156" i="55"/>
  <c r="EV156" i="55" s="1"/>
  <c r="EW156" i="55" s="1"/>
  <c r="FR156" i="55"/>
  <c r="IE4" i="55" a="1"/>
  <c r="IE4" i="55" s="1"/>
  <c r="ID4" i="55" a="1"/>
  <c r="ID4" i="55" s="1"/>
  <c r="GR134" i="55"/>
  <c r="DR169" i="55" a="1"/>
  <c r="DR169" i="55" s="1"/>
  <c r="DT169" i="55" s="1"/>
  <c r="II169" i="55"/>
  <c r="DU169" i="55"/>
  <c r="HT169" i="55" s="1"/>
  <c r="GR92" i="55"/>
  <c r="GT92" i="55"/>
  <c r="BH26" i="54"/>
  <c r="BJ26" i="54"/>
  <c r="BK26" i="54" s="1"/>
  <c r="BN26" i="54"/>
  <c r="BO26" i="54" s="1"/>
  <c r="AE26" i="54" a="1"/>
  <c r="AE26" i="54" s="1"/>
  <c r="JL162" i="55"/>
  <c r="JE162" i="55"/>
  <c r="JM202" i="55"/>
  <c r="JF202" i="55"/>
  <c r="CV156" i="55"/>
  <c r="CY156" i="55"/>
  <c r="CX156" i="55"/>
  <c r="CW156" i="55"/>
  <c r="JL332" i="55"/>
  <c r="JE332" i="55"/>
  <c r="DR111" i="55" a="1"/>
  <c r="DR111" i="55" s="1"/>
  <c r="DT111" i="55" s="1"/>
  <c r="DU111" i="55"/>
  <c r="HT111" i="55" s="1"/>
  <c r="II111" i="55"/>
  <c r="CT209" i="55" a="1"/>
  <c r="CT209" i="55" s="1"/>
  <c r="CU209" i="55" a="1"/>
  <c r="CU209" i="55" s="1"/>
  <c r="CS209" i="55"/>
  <c r="R310" i="55"/>
  <c r="GM226" i="55"/>
  <c r="CI226" i="55"/>
  <c r="HV226" i="55" s="1"/>
  <c r="T226" i="55" s="1"/>
  <c r="EV226" i="55"/>
  <c r="EW226" i="55" s="1"/>
  <c r="JN238" i="55"/>
  <c r="JG238" i="55"/>
  <c r="FZ21" i="55"/>
  <c r="JM54" i="55"/>
  <c r="JF54" i="55"/>
  <c r="JG174" i="55"/>
  <c r="JN174" i="55"/>
  <c r="JN103" i="55"/>
  <c r="JG103" i="55"/>
  <c r="JM126" i="55"/>
  <c r="JF126" i="55"/>
  <c r="JX307" i="55"/>
  <c r="DV307" i="55"/>
  <c r="DM307" i="55"/>
  <c r="DQ307" i="55" s="1"/>
  <c r="JY307" i="55"/>
  <c r="ID138" i="55" a="1"/>
  <c r="ID138" i="55" s="1"/>
  <c r="IE138" i="55" a="1"/>
  <c r="IE138" i="55" s="1"/>
  <c r="CU173" i="55" a="1"/>
  <c r="CU173" i="55" s="1"/>
  <c r="CT173" i="55" a="1"/>
  <c r="CT173" i="55" s="1"/>
  <c r="GM147" i="55"/>
  <c r="CI147" i="55"/>
  <c r="HV147" i="55" s="1"/>
  <c r="T147" i="55" s="1"/>
  <c r="JM346" i="55"/>
  <c r="JF346" i="55"/>
  <c r="JX213" i="55"/>
  <c r="DV213" i="55"/>
  <c r="JY213" i="55"/>
  <c r="DM213" i="55"/>
  <c r="JN45" i="55"/>
  <c r="JG45" i="55"/>
  <c r="GQ69" i="55"/>
  <c r="FS47" i="55"/>
  <c r="CT267" i="55" a="1"/>
  <c r="CT267" i="55" s="1"/>
  <c r="CU267" i="55" a="1"/>
  <c r="CU267" i="55" s="1"/>
  <c r="CS267" i="55"/>
  <c r="DM346" i="55"/>
  <c r="DQ346" i="55" s="1"/>
  <c r="FR124" i="55"/>
  <c r="JC154" i="55"/>
  <c r="GU154" i="55"/>
  <c r="GV154" i="55" s="1"/>
  <c r="GW154" i="55" s="1"/>
  <c r="JM66" i="55"/>
  <c r="JF66" i="55"/>
  <c r="JF294" i="55"/>
  <c r="JM294" i="55"/>
  <c r="JL5" i="55"/>
  <c r="JE5" i="55"/>
  <c r="JE103" i="55"/>
  <c r="JL103" i="55"/>
  <c r="JE126" i="55"/>
  <c r="JL126" i="55"/>
  <c r="CU118" i="55" a="1"/>
  <c r="CU118" i="55" s="1"/>
  <c r="CT118" i="55" a="1"/>
  <c r="CT118" i="55" s="1"/>
  <c r="CS118" i="55"/>
  <c r="GM162" i="55"/>
  <c r="CI162" i="55"/>
  <c r="HV162" i="55" s="1"/>
  <c r="T162" i="55" s="1"/>
  <c r="CZ117" i="55"/>
  <c r="DA117" i="55" s="1"/>
  <c r="JL210" i="55"/>
  <c r="JE210" i="55"/>
  <c r="AL30" i="54"/>
  <c r="ID194" i="55" a="1"/>
  <c r="ID194" i="55" s="1"/>
  <c r="IE194" i="55" a="1"/>
  <c r="IE194" i="55" s="1"/>
  <c r="GM146" i="55"/>
  <c r="CI146" i="55"/>
  <c r="HV146" i="55" s="1"/>
  <c r="EV219" i="55"/>
  <c r="EW219" i="55" s="1"/>
  <c r="FS103" i="55"/>
  <c r="EV194" i="55"/>
  <c r="EW194" i="55" s="1"/>
  <c r="EZ194" i="55" s="1"/>
  <c r="JG287" i="55"/>
  <c r="JN287" i="55"/>
  <c r="DR75" i="55" a="1"/>
  <c r="DR75" i="55" s="1"/>
  <c r="DT75" i="55" s="1"/>
  <c r="DU75" i="55"/>
  <c r="HT75" i="55" s="1"/>
  <c r="II75" i="55"/>
  <c r="JM305" i="55"/>
  <c r="JF305" i="55"/>
  <c r="CV93" i="55"/>
  <c r="CY93" i="55"/>
  <c r="CW93" i="55"/>
  <c r="CX93" i="55"/>
  <c r="CZ93" i="55"/>
  <c r="DA93" i="55" s="1"/>
  <c r="JF149" i="55"/>
  <c r="JM149" i="55"/>
  <c r="CT93" i="55" a="1"/>
  <c r="CT93" i="55" s="1"/>
  <c r="CU93" i="55" a="1"/>
  <c r="CU93" i="55" s="1"/>
  <c r="JM14" i="55"/>
  <c r="JF14" i="55"/>
  <c r="CT154" i="55" a="1"/>
  <c r="CT154" i="55" s="1"/>
  <c r="CU154" i="55" a="1"/>
  <c r="CU154" i="55" s="1"/>
  <c r="EK183" i="55"/>
  <c r="O183" i="55" a="1"/>
  <c r="O183" i="55" s="1"/>
  <c r="FR183" i="55"/>
  <c r="FZ103" i="55"/>
  <c r="GM279" i="55"/>
  <c r="CI279" i="55"/>
  <c r="HV279" i="55" s="1"/>
  <c r="EV279" i="55"/>
  <c r="EW279" i="55" s="1"/>
  <c r="EZ279" i="55" s="1"/>
  <c r="JX142" i="55"/>
  <c r="DV142" i="55"/>
  <c r="DW142" i="55" s="1"/>
  <c r="JY142" i="55"/>
  <c r="DM142" i="55"/>
  <c r="AQ25" i="54"/>
  <c r="JG23" i="55"/>
  <c r="JN23" i="55"/>
  <c r="JE206" i="55"/>
  <c r="JL206" i="55"/>
  <c r="JG181" i="55"/>
  <c r="JN181" i="55"/>
  <c r="CS314" i="55"/>
  <c r="JL53" i="55"/>
  <c r="JE53" i="55"/>
  <c r="JM325" i="55"/>
  <c r="JF325" i="55"/>
  <c r="GM291" i="55"/>
  <c r="CI291" i="55"/>
  <c r="HV291" i="55" s="1"/>
  <c r="T291" i="55" s="1"/>
  <c r="ID58" i="55" a="1"/>
  <c r="ID58" i="55" s="1"/>
  <c r="IE58" i="55" a="1"/>
  <c r="IE58" i="55" s="1"/>
  <c r="HL220" i="55"/>
  <c r="GK220" i="55"/>
  <c r="JG101" i="55"/>
  <c r="JN101" i="55"/>
  <c r="CU190" i="55" a="1"/>
  <c r="CU190" i="55" s="1"/>
  <c r="CT190" i="55" a="1"/>
  <c r="CT190" i="55" s="1"/>
  <c r="CS190" i="55"/>
  <c r="JF222" i="55"/>
  <c r="JM222" i="55"/>
  <c r="CT202" i="55" a="1"/>
  <c r="CT202" i="55" s="1"/>
  <c r="CU202" i="55" a="1"/>
  <c r="CU202" i="55" s="1"/>
  <c r="JF61" i="55"/>
  <c r="JM61" i="55"/>
  <c r="CS42" i="55"/>
  <c r="EV141" i="55"/>
  <c r="EW141" i="55" s="1"/>
  <c r="ID302" i="55" a="1"/>
  <c r="ID302" i="55" s="1"/>
  <c r="IE302" i="55" a="1"/>
  <c r="IE302" i="55" s="1"/>
  <c r="JL245" i="55"/>
  <c r="JE245" i="55"/>
  <c r="CU237" i="55" a="1"/>
  <c r="CU237" i="55" s="1"/>
  <c r="CT237" i="55" a="1"/>
  <c r="CT237" i="55" s="1"/>
  <c r="CS237" i="55"/>
  <c r="JG331" i="55"/>
  <c r="JN331" i="55"/>
  <c r="JL322" i="55"/>
  <c r="JE322" i="55"/>
  <c r="JM115" i="55"/>
  <c r="JF115" i="55"/>
  <c r="CX13" i="55"/>
  <c r="CY13" i="55"/>
  <c r="CV13" i="55"/>
  <c r="CW13" i="55"/>
  <c r="CZ13" i="55"/>
  <c r="DA13" i="55" s="1"/>
  <c r="DM19" i="55"/>
  <c r="DQ19" i="55" s="1"/>
  <c r="DV19" i="55"/>
  <c r="DW19" i="55" s="1"/>
  <c r="JY19" i="55"/>
  <c r="JX19" i="55"/>
  <c r="GM215" i="55"/>
  <c r="CI215" i="55"/>
  <c r="HV215" i="55" s="1"/>
  <c r="R251" i="55"/>
  <c r="EK344" i="55"/>
  <c r="O344" i="55" a="1"/>
  <c r="O344" i="55" s="1"/>
  <c r="EV344" i="55" s="1"/>
  <c r="EW344" i="55" s="1"/>
  <c r="CU239" i="55" a="1"/>
  <c r="CU239" i="55" s="1"/>
  <c r="CT239" i="55" a="1"/>
  <c r="CT239" i="55" s="1"/>
  <c r="CS239" i="55"/>
  <c r="JF49" i="55"/>
  <c r="JM49" i="55"/>
  <c r="BN28" i="54"/>
  <c r="BO28" i="54" s="1"/>
  <c r="BJ28" i="54"/>
  <c r="BK28" i="54" s="1"/>
  <c r="BH28" i="54"/>
  <c r="AE28" i="54" a="1"/>
  <c r="AE28" i="54" s="1"/>
  <c r="GM74" i="55"/>
  <c r="CI74" i="55"/>
  <c r="HV74" i="55" s="1"/>
  <c r="EV74" i="55"/>
  <c r="EW74" i="55" s="1"/>
  <c r="JC40" i="55"/>
  <c r="GM136" i="55"/>
  <c r="CI136" i="55"/>
  <c r="HV136" i="55" s="1"/>
  <c r="JL324" i="55"/>
  <c r="JE324" i="55"/>
  <c r="CV312" i="55"/>
  <c r="CX312" i="55"/>
  <c r="CW312" i="55"/>
  <c r="CY312" i="55"/>
  <c r="CZ312" i="55"/>
  <c r="DA312" i="55" s="1"/>
  <c r="JM56" i="55"/>
  <c r="JF56" i="55"/>
  <c r="R94" i="55"/>
  <c r="GM87" i="55"/>
  <c r="CI87" i="55"/>
  <c r="HV87" i="55" s="1"/>
  <c r="CZ26" i="55"/>
  <c r="DA26" i="55" s="1"/>
  <c r="JN152" i="55"/>
  <c r="JG152" i="55"/>
  <c r="CU27" i="55" a="1"/>
  <c r="CU27" i="55" s="1"/>
  <c r="CT27" i="55" a="1"/>
  <c r="CT27" i="55" s="1"/>
  <c r="CS27" i="55"/>
  <c r="R10" i="55"/>
  <c r="HL208" i="55"/>
  <c r="GK208" i="55"/>
  <c r="CT82" i="55" a="1"/>
  <c r="CT82" i="55" s="1"/>
  <c r="CU82" i="55" a="1"/>
  <c r="CU82" i="55" s="1"/>
  <c r="CS82" i="55"/>
  <c r="ID79" i="55" a="1"/>
  <c r="ID79" i="55" s="1"/>
  <c r="IE79" i="55" a="1"/>
  <c r="IE79" i="55" s="1"/>
  <c r="JG180" i="55"/>
  <c r="JN180" i="55"/>
  <c r="CV89" i="55"/>
  <c r="CW89" i="55"/>
  <c r="CY89" i="55"/>
  <c r="CX89" i="55"/>
  <c r="CZ89" i="55"/>
  <c r="DA89" i="55" s="1"/>
  <c r="CU207" i="55" a="1"/>
  <c r="CU207" i="55" s="1"/>
  <c r="CT207" i="55" a="1"/>
  <c r="CT207" i="55" s="1"/>
  <c r="CS207" i="55"/>
  <c r="R346" i="55"/>
  <c r="CT297" i="55" a="1"/>
  <c r="CT297" i="55" s="1"/>
  <c r="CU297" i="55" a="1"/>
  <c r="CU297" i="55" s="1"/>
  <c r="CS297" i="55"/>
  <c r="GE293" i="55" a="1"/>
  <c r="GE293" i="55" s="1"/>
  <c r="GF293" i="55" s="1"/>
  <c r="ID348" i="55" a="1"/>
  <c r="ID348" i="55" s="1"/>
  <c r="IE348" i="55" a="1"/>
  <c r="IE348" i="55" s="1"/>
  <c r="GF88" i="55"/>
  <c r="GM164" i="55"/>
  <c r="CI164" i="55"/>
  <c r="HV164" i="55" s="1"/>
  <c r="T164" i="55" s="1"/>
  <c r="EK73" i="55"/>
  <c r="O73" i="55" a="1"/>
  <c r="O73" i="55" s="1"/>
  <c r="DU12" i="55"/>
  <c r="HT12" i="55" s="1"/>
  <c r="JM216" i="55"/>
  <c r="JF216" i="55"/>
  <c r="JG31" i="55"/>
  <c r="JN31" i="55"/>
  <c r="JE55" i="55"/>
  <c r="JL55" i="55"/>
  <c r="GM64" i="55"/>
  <c r="CI64" i="55"/>
  <c r="HV64" i="55" s="1"/>
  <c r="EV64" i="55"/>
  <c r="EW64" i="55" s="1"/>
  <c r="JG294" i="55"/>
  <c r="JN294" i="55"/>
  <c r="JN5" i="55"/>
  <c r="JG5" i="55"/>
  <c r="FR231" i="55"/>
  <c r="JL166" i="55"/>
  <c r="JE166" i="55"/>
  <c r="JL334" i="55"/>
  <c r="JE334" i="55"/>
  <c r="DV325" i="55"/>
  <c r="DW325" i="55" s="1"/>
  <c r="JX325" i="55"/>
  <c r="JY325" i="55"/>
  <c r="CT157" i="55" a="1"/>
  <c r="CT157" i="55" s="1"/>
  <c r="CU157" i="55" a="1"/>
  <c r="CU157" i="55" s="1"/>
  <c r="JN226" i="55"/>
  <c r="JG226" i="55"/>
  <c r="DM251" i="55"/>
  <c r="JX251" i="55"/>
  <c r="JM50" i="55"/>
  <c r="JF50" i="55"/>
  <c r="GM128" i="55"/>
  <c r="CI128" i="55"/>
  <c r="HV128" i="55" s="1"/>
  <c r="FR247" i="55"/>
  <c r="JL178" i="55"/>
  <c r="JE178" i="55"/>
  <c r="CT171" i="55" a="1"/>
  <c r="CT171" i="55" s="1"/>
  <c r="CU171" i="55" a="1"/>
  <c r="CU171" i="55" s="1"/>
  <c r="CS171" i="55"/>
  <c r="CT280" i="55" a="1"/>
  <c r="CT280" i="55" s="1"/>
  <c r="CU280" i="55" a="1"/>
  <c r="CU280" i="55" s="1"/>
  <c r="CS280" i="55"/>
  <c r="JM210" i="55"/>
  <c r="JF210" i="55"/>
  <c r="JE160" i="55"/>
  <c r="JL160" i="55"/>
  <c r="JG339" i="55"/>
  <c r="JN339" i="55"/>
  <c r="JE208" i="55"/>
  <c r="JL208" i="55"/>
  <c r="EK72" i="55"/>
  <c r="O72" i="55" a="1"/>
  <c r="O72" i="55" s="1"/>
  <c r="FR72" i="55"/>
  <c r="CT282" i="55" a="1"/>
  <c r="CT282" i="55" s="1"/>
  <c r="CU282" i="55" a="1"/>
  <c r="CU282" i="55" s="1"/>
  <c r="CS282" i="55"/>
  <c r="DV50" i="55"/>
  <c r="DW50" i="55" s="1"/>
  <c r="JY50" i="55"/>
  <c r="JX50" i="55"/>
  <c r="GR239" i="55"/>
  <c r="CU31" i="55" a="1"/>
  <c r="CU31" i="55" s="1"/>
  <c r="CT31" i="55" a="1"/>
  <c r="CT31" i="55" s="1"/>
  <c r="CS31" i="55"/>
  <c r="EK248" i="55"/>
  <c r="O248" i="55" a="1"/>
  <c r="O248" i="55" s="1"/>
  <c r="EK326" i="55"/>
  <c r="O326" i="55" a="1"/>
  <c r="O326" i="55" s="1"/>
  <c r="GM261" i="55"/>
  <c r="CI261" i="55"/>
  <c r="HV261" i="55" s="1"/>
  <c r="T261" i="55" s="1"/>
  <c r="JG334" i="55"/>
  <c r="JN334" i="55"/>
  <c r="CU310" i="55" a="1"/>
  <c r="CU310" i="55" s="1"/>
  <c r="CT310" i="55" a="1"/>
  <c r="CT310" i="55" s="1"/>
  <c r="CS310" i="55"/>
  <c r="JG102" i="55"/>
  <c r="JN102" i="55"/>
  <c r="DM105" i="55"/>
  <c r="DQ105" i="55" s="1"/>
  <c r="EK23" i="55"/>
  <c r="EV23" i="55" s="1"/>
  <c r="EW23" i="55" s="1"/>
  <c r="O23" i="55" a="1"/>
  <c r="O23" i="55" s="1"/>
  <c r="JM53" i="55"/>
  <c r="JF53" i="55"/>
  <c r="CU222" i="55" a="1"/>
  <c r="CU222" i="55" s="1"/>
  <c r="CT222" i="55" a="1"/>
  <c r="CT222" i="55" s="1"/>
  <c r="CS222" i="55"/>
  <c r="JM226" i="55"/>
  <c r="JF226" i="55"/>
  <c r="ID42" i="55" a="1"/>
  <c r="ID42" i="55" s="1"/>
  <c r="IE42" i="55" a="1"/>
  <c r="IE42" i="55" s="1"/>
  <c r="JL50" i="55"/>
  <c r="JE50" i="55"/>
  <c r="JG93" i="55"/>
  <c r="JN93" i="55"/>
  <c r="JM45" i="55"/>
  <c r="JF45" i="55"/>
  <c r="FR79" i="55"/>
  <c r="JY112" i="55"/>
  <c r="DV112" i="55"/>
  <c r="JX112" i="55"/>
  <c r="DM112" i="55"/>
  <c r="DQ112" i="55" s="1"/>
  <c r="JF89" i="55"/>
  <c r="JM89" i="55"/>
  <c r="GM306" i="55"/>
  <c r="CI306" i="55"/>
  <c r="HV306" i="55" s="1"/>
  <c r="EV306" i="55"/>
  <c r="EW306" i="55" s="1"/>
  <c r="GR182" i="55"/>
  <c r="DM14" i="55"/>
  <c r="DQ14" i="55" s="1"/>
  <c r="JE300" i="55"/>
  <c r="JL300" i="55"/>
  <c r="W6" i="42"/>
  <c r="JG14" i="55"/>
  <c r="JN14" i="55"/>
  <c r="JX69" i="55"/>
  <c r="DV69" i="55"/>
  <c r="DW69" i="55" s="1"/>
  <c r="JY69" i="55"/>
  <c r="DM69" i="55"/>
  <c r="DQ69" i="55" s="1"/>
  <c r="GM32" i="55"/>
  <c r="CI32" i="55"/>
  <c r="HV32" i="55" s="1"/>
  <c r="EV32" i="55"/>
  <c r="EW32" i="55" s="1"/>
  <c r="CS301" i="55"/>
  <c r="GM310" i="55"/>
  <c r="CI310" i="55"/>
  <c r="HV310" i="55" s="1"/>
  <c r="EK55" i="55"/>
  <c r="EV55" i="55"/>
  <c r="EW55" i="55" s="1"/>
  <c r="FR55" i="55"/>
  <c r="FZ254" i="55"/>
  <c r="JE263" i="55"/>
  <c r="JL263" i="55"/>
  <c r="GM181" i="55"/>
  <c r="CI181" i="55"/>
  <c r="HV181" i="55" s="1"/>
  <c r="T181" i="55" s="1"/>
  <c r="EV181" i="55"/>
  <c r="EW181" i="55" s="1"/>
  <c r="CT26" i="55" a="1"/>
  <c r="CT26" i="55" s="1"/>
  <c r="CU26" i="55" a="1"/>
  <c r="CU26" i="55" s="1"/>
  <c r="FZ174" i="55"/>
  <c r="AL18" i="54"/>
  <c r="JX199" i="55"/>
  <c r="JY199" i="55"/>
  <c r="DV199" i="55"/>
  <c r="DW199" i="55" s="1"/>
  <c r="DM199" i="55"/>
  <c r="JG71" i="55"/>
  <c r="JN71" i="55"/>
  <c r="JM30" i="55"/>
  <c r="JF30" i="55"/>
  <c r="JN206" i="55"/>
  <c r="JG206" i="55"/>
  <c r="JL181" i="55"/>
  <c r="JE181" i="55"/>
  <c r="DM41" i="55"/>
  <c r="FZ55" i="55"/>
  <c r="FZ86" i="55"/>
  <c r="ID29" i="55" a="1"/>
  <c r="ID29" i="55" s="1"/>
  <c r="IE29" i="55" a="1"/>
  <c r="IE29" i="55" s="1"/>
  <c r="FR86" i="55"/>
  <c r="JN306" i="55"/>
  <c r="JG306" i="55"/>
  <c r="JN190" i="55"/>
  <c r="JG190" i="55"/>
  <c r="CU94" i="55" a="1"/>
  <c r="CU94" i="55" s="1"/>
  <c r="CT94" i="55" a="1"/>
  <c r="CT94" i="55" s="1"/>
  <c r="CS94" i="55"/>
  <c r="JL222" i="55"/>
  <c r="JE222" i="55"/>
  <c r="EK118" i="55"/>
  <c r="EV118" i="55" s="1"/>
  <c r="EW118" i="55" s="1"/>
  <c r="JL19" i="55"/>
  <c r="JE19" i="55"/>
  <c r="JL302" i="55"/>
  <c r="JE302" i="55"/>
  <c r="JY281" i="55"/>
  <c r="JX281" i="55"/>
  <c r="IE300" i="55" a="1"/>
  <c r="IE300" i="55" s="1"/>
  <c r="ID300" i="55" a="1"/>
  <c r="ID300" i="55" s="1"/>
  <c r="CT56" i="55" a="1"/>
  <c r="CT56" i="55" s="1"/>
  <c r="CU56" i="55" a="1"/>
  <c r="CU56" i="55" s="1"/>
  <c r="CS56" i="55"/>
  <c r="JM99" i="55"/>
  <c r="JF99" i="55"/>
  <c r="JL336" i="55"/>
  <c r="JE336" i="55"/>
  <c r="EK166" i="55"/>
  <c r="EV166" i="55" s="1"/>
  <c r="EW166" i="55" s="1"/>
  <c r="O166" i="55" a="1"/>
  <c r="O166" i="55" s="1"/>
  <c r="FZ155" i="55"/>
  <c r="JF218" i="55"/>
  <c r="JM218" i="55"/>
  <c r="CT200" i="55" a="1"/>
  <c r="CT200" i="55" s="1"/>
  <c r="CU200" i="55" a="1"/>
  <c r="CU200" i="55" s="1"/>
  <c r="CS200" i="55"/>
  <c r="JM322" i="55"/>
  <c r="JF322" i="55"/>
  <c r="FZ18" i="55"/>
  <c r="JE179" i="55"/>
  <c r="JL179" i="55"/>
  <c r="GM242" i="55"/>
  <c r="CI242" i="55"/>
  <c r="HV242" i="55" s="1"/>
  <c r="T242" i="55" s="1"/>
  <c r="JE83" i="55"/>
  <c r="JL83" i="55"/>
  <c r="IE13" i="55" a="1"/>
  <c r="IE13" i="55" s="1"/>
  <c r="ID13" i="55" a="1"/>
  <c r="ID13" i="55" s="1"/>
  <c r="GM38" i="55"/>
  <c r="CI38" i="55"/>
  <c r="HV38" i="55" s="1"/>
  <c r="T38" i="55" s="1"/>
  <c r="O320" i="55" a="1"/>
  <c r="O320" i="55" s="1"/>
  <c r="CV219" i="55"/>
  <c r="CW219" i="55"/>
  <c r="CX219" i="55"/>
  <c r="CY219" i="55"/>
  <c r="CZ219" i="55"/>
  <c r="DA219" i="55" s="1"/>
  <c r="DM198" i="55"/>
  <c r="DV198" i="55"/>
  <c r="DW198" i="55" s="1"/>
  <c r="JY198" i="55"/>
  <c r="JX198" i="55"/>
  <c r="ID315" i="55" a="1"/>
  <c r="ID315" i="55" s="1"/>
  <c r="IE315" i="55" a="1"/>
  <c r="IE315" i="55" s="1"/>
  <c r="CW302" i="55"/>
  <c r="CV302" i="55"/>
  <c r="CX302" i="55"/>
  <c r="CY302" i="55"/>
  <c r="CZ302" i="55"/>
  <c r="DA302" i="55" s="1"/>
  <c r="CX205" i="55"/>
  <c r="CV205" i="55"/>
  <c r="CW205" i="55"/>
  <c r="CY205" i="55"/>
  <c r="CZ205" i="55"/>
  <c r="DA205" i="55" s="1"/>
  <c r="JF352" i="55"/>
  <c r="JM352" i="55"/>
  <c r="FZ40" i="55"/>
  <c r="CX163" i="55"/>
  <c r="CY163" i="55"/>
  <c r="CV163" i="55"/>
  <c r="CW163" i="55"/>
  <c r="CZ163" i="55"/>
  <c r="DA163" i="55" s="1"/>
  <c r="CT136" i="55" a="1"/>
  <c r="CT136" i="55" s="1"/>
  <c r="CU136" i="55" a="1"/>
  <c r="CU136" i="55" s="1"/>
  <c r="CS136" i="55"/>
  <c r="JE130" i="55"/>
  <c r="JL130" i="55"/>
  <c r="DR304" i="55" a="1"/>
  <c r="DR304" i="55" s="1"/>
  <c r="DT304" i="55" s="1"/>
  <c r="II304" i="55"/>
  <c r="DU304" i="55"/>
  <c r="HT304" i="55" s="1"/>
  <c r="GM127" i="55"/>
  <c r="CI127" i="55"/>
  <c r="HV127" i="55" s="1"/>
  <c r="JF262" i="55"/>
  <c r="JM262" i="55"/>
  <c r="JE105" i="55"/>
  <c r="JL105" i="55"/>
  <c r="EK152" i="55"/>
  <c r="EV152" i="55" s="1"/>
  <c r="EW152" i="55" s="1"/>
  <c r="FR152" i="55"/>
  <c r="DV281" i="55"/>
  <c r="DW281" i="55" s="1"/>
  <c r="EK136" i="55"/>
  <c r="EV136" i="55"/>
  <c r="EW136" i="55" s="1"/>
  <c r="FR136" i="55"/>
  <c r="JN324" i="55"/>
  <c r="JG324" i="55"/>
  <c r="BH20" i="54"/>
  <c r="BJ20" i="54"/>
  <c r="BK20" i="54" s="1"/>
  <c r="BN20" i="54"/>
  <c r="BO20" i="54" s="1"/>
  <c r="AE20" i="54" a="1"/>
  <c r="AE20" i="54" s="1"/>
  <c r="CT268" i="55" a="1"/>
  <c r="CT268" i="55" s="1"/>
  <c r="CU268" i="55" a="1"/>
  <c r="CU268" i="55" s="1"/>
  <c r="CS268" i="55"/>
  <c r="JM90" i="55"/>
  <c r="JF90" i="55"/>
  <c r="O153" i="55" a="1"/>
  <c r="O153" i="55" s="1"/>
  <c r="EV153" i="55" s="1"/>
  <c r="EW153" i="55" s="1"/>
  <c r="EK211" i="55"/>
  <c r="EV211" i="55" s="1"/>
  <c r="EW211" i="55" s="1"/>
  <c r="FR211" i="55"/>
  <c r="EK63" i="55"/>
  <c r="FR63" i="55"/>
  <c r="O63" i="55" a="1"/>
  <c r="O63" i="55" s="1"/>
  <c r="R138" i="55"/>
  <c r="JC313" i="55"/>
  <c r="GU313" i="55"/>
  <c r="GV313" i="55" s="1"/>
  <c r="GW313" i="55" s="1"/>
  <c r="JM321" i="55"/>
  <c r="JF321" i="55"/>
  <c r="GM304" i="55"/>
  <c r="CI304" i="55"/>
  <c r="HV304" i="55" s="1"/>
  <c r="T304" i="55" s="1"/>
  <c r="EV304" i="55"/>
  <c r="EW304" i="55" s="1"/>
  <c r="GQ250" i="55"/>
  <c r="GR250" i="55" s="1"/>
  <c r="HL37" i="55"/>
  <c r="EZ61" i="55"/>
  <c r="GR91" i="55"/>
  <c r="CT97" i="55" a="1"/>
  <c r="CT97" i="55" s="1"/>
  <c r="CU97" i="55" a="1"/>
  <c r="CU97" i="55" s="1"/>
  <c r="CS97" i="55"/>
  <c r="IE88" i="55" a="1"/>
  <c r="IE88" i="55" s="1"/>
  <c r="ID88" i="55" a="1"/>
  <c r="ID88" i="55" s="1"/>
  <c r="CX291" i="55"/>
  <c r="CY291" i="55"/>
  <c r="CV291" i="55"/>
  <c r="CW291" i="55"/>
  <c r="CZ291" i="55"/>
  <c r="DA291" i="55" s="1"/>
  <c r="GM185" i="55"/>
  <c r="CI185" i="55"/>
  <c r="HV185" i="55" s="1"/>
  <c r="IE120" i="55" a="1"/>
  <c r="IE120" i="55" s="1"/>
  <c r="ID120" i="55" a="1"/>
  <c r="ID120" i="55" s="1"/>
  <c r="GQ70" i="55"/>
  <c r="JM133" i="55"/>
  <c r="JF133" i="55"/>
  <c r="IE329" i="55" a="1"/>
  <c r="IE329" i="55" s="1"/>
  <c r="ID329" i="55" a="1"/>
  <c r="ID329" i="55" s="1"/>
  <c r="GM258" i="55"/>
  <c r="CI258" i="55"/>
  <c r="HV258" i="55" s="1"/>
  <c r="JM179" i="55"/>
  <c r="JF179" i="55"/>
  <c r="JF96" i="55"/>
  <c r="JM96" i="55"/>
  <c r="JL155" i="55"/>
  <c r="JE155" i="55"/>
  <c r="JG234" i="55"/>
  <c r="JN234" i="55"/>
  <c r="JL217" i="55"/>
  <c r="JE217" i="55"/>
  <c r="EK167" i="55"/>
  <c r="GM276" i="55"/>
  <c r="CI276" i="55"/>
  <c r="HV276" i="55" s="1"/>
  <c r="T276" i="55" s="1"/>
  <c r="JY294" i="55"/>
  <c r="JX294" i="55"/>
  <c r="DV294" i="55"/>
  <c r="DW294" i="55" s="1"/>
  <c r="DM294" i="55"/>
  <c r="DQ294" i="55" s="1"/>
  <c r="FZ101" i="55"/>
  <c r="JN149" i="55"/>
  <c r="JG149" i="55"/>
  <c r="JX174" i="55"/>
  <c r="JY174" i="55"/>
  <c r="DV174" i="55"/>
  <c r="DW174" i="55" s="1"/>
  <c r="DM174" i="55"/>
  <c r="DQ174" i="55" s="1"/>
  <c r="JF142" i="55"/>
  <c r="JM142" i="55"/>
  <c r="JM214" i="55"/>
  <c r="JF214" i="55"/>
  <c r="JE227" i="55"/>
  <c r="JL227" i="55"/>
  <c r="JL238" i="55"/>
  <c r="JE238" i="55"/>
  <c r="GM297" i="55"/>
  <c r="CI297" i="55"/>
  <c r="HV297" i="55" s="1"/>
  <c r="GM198" i="55"/>
  <c r="CI198" i="55"/>
  <c r="HV198" i="55" s="1"/>
  <c r="T198" i="55" s="1"/>
  <c r="JL246" i="55"/>
  <c r="JE246" i="55"/>
  <c r="JF295" i="55"/>
  <c r="JM295" i="55"/>
  <c r="GM37" i="55"/>
  <c r="CI37" i="55"/>
  <c r="HV37" i="55" s="1"/>
  <c r="T37" i="55" s="1"/>
  <c r="JN263" i="55"/>
  <c r="JG263" i="55"/>
  <c r="JF311" i="55"/>
  <c r="JM311" i="55"/>
  <c r="JL70" i="55"/>
  <c r="JE70" i="55"/>
  <c r="AL25" i="54"/>
  <c r="AQ18" i="54"/>
  <c r="DV166" i="55"/>
  <c r="DW166" i="55" s="1"/>
  <c r="JY166" i="55"/>
  <c r="DM166" i="55"/>
  <c r="DQ166" i="55" s="1"/>
  <c r="JX166" i="55"/>
  <c r="JF182" i="55"/>
  <c r="JM182" i="55"/>
  <c r="GM197" i="55"/>
  <c r="CI197" i="55"/>
  <c r="HV197" i="55" s="1"/>
  <c r="EV197" i="55"/>
  <c r="EW197" i="55" s="1"/>
  <c r="JG310" i="55"/>
  <c r="JN310" i="55"/>
  <c r="GM232" i="55"/>
  <c r="CI232" i="55"/>
  <c r="HV232" i="55" s="1"/>
  <c r="EV232" i="55"/>
  <c r="EW232" i="55" s="1"/>
  <c r="EZ232" i="55" s="1"/>
  <c r="JN38" i="55"/>
  <c r="JG38" i="55"/>
  <c r="FZ22" i="55"/>
  <c r="JM338" i="55"/>
  <c r="JF338" i="55"/>
  <c r="AR22" i="54"/>
  <c r="FZ247" i="55"/>
  <c r="JY78" i="55"/>
  <c r="DV78" i="55"/>
  <c r="DW78" i="55" s="1"/>
  <c r="JX78" i="55"/>
  <c r="DM78" i="55"/>
  <c r="DQ78" i="55" s="1"/>
  <c r="JG94" i="55"/>
  <c r="JN94" i="55"/>
  <c r="CU158" i="55" a="1"/>
  <c r="CU158" i="55" s="1"/>
  <c r="CT158" i="55" a="1"/>
  <c r="CT158" i="55" s="1"/>
  <c r="CS158" i="55"/>
  <c r="CT266" i="55" a="1"/>
  <c r="CT266" i="55" s="1"/>
  <c r="CU266" i="55" a="1"/>
  <c r="CU266" i="55" s="1"/>
  <c r="JN274" i="55"/>
  <c r="JG274" i="55"/>
  <c r="GM305" i="55"/>
  <c r="CI305" i="55"/>
  <c r="HV305" i="55" s="1"/>
  <c r="JN29" i="55"/>
  <c r="JG29" i="55"/>
  <c r="DV21" i="55"/>
  <c r="DW21" i="55" s="1"/>
  <c r="JX21" i="55"/>
  <c r="JY21" i="55"/>
  <c r="DM21" i="55"/>
  <c r="DQ21" i="55" s="1"/>
  <c r="GM112" i="55"/>
  <c r="CI112" i="55"/>
  <c r="HV112" i="55" s="1"/>
  <c r="T112" i="55" s="1"/>
  <c r="EV112" i="55"/>
  <c r="EW112" i="55" s="1"/>
  <c r="EZ112" i="55" s="1"/>
  <c r="GQ198" i="55"/>
  <c r="GR198" i="55" s="1"/>
  <c r="GT198" i="55"/>
  <c r="JN50" i="55"/>
  <c r="JG50" i="55"/>
  <c r="JG211" i="55"/>
  <c r="JN211" i="55"/>
  <c r="EK256" i="55"/>
  <c r="JF176" i="55"/>
  <c r="JM176" i="55"/>
  <c r="JM299" i="55"/>
  <c r="JF299" i="55"/>
  <c r="GM250" i="55"/>
  <c r="CI250" i="55"/>
  <c r="HV250" i="55" s="1"/>
  <c r="JN284" i="55"/>
  <c r="JG284" i="55"/>
  <c r="ID253" i="55" a="1"/>
  <c r="ID253" i="55" s="1"/>
  <c r="IE253" i="55" a="1"/>
  <c r="IE253" i="55" s="1"/>
  <c r="JL133" i="55"/>
  <c r="JE133" i="55"/>
  <c r="JM194" i="55"/>
  <c r="JF194" i="55"/>
  <c r="DM70" i="55"/>
  <c r="DQ70" i="55" s="1"/>
  <c r="JY70" i="55"/>
  <c r="JX70" i="55"/>
  <c r="DV70" i="55"/>
  <c r="DW70" i="55" s="1"/>
  <c r="JG99" i="55"/>
  <c r="JN99" i="55"/>
  <c r="JF48" i="55"/>
  <c r="JM48" i="55"/>
  <c r="JM13" i="55"/>
  <c r="JF13" i="55"/>
  <c r="FZ58" i="55"/>
  <c r="JL329" i="55"/>
  <c r="JE329" i="55"/>
  <c r="GE333" i="55" a="1"/>
  <c r="GE333" i="55" s="1"/>
  <c r="GF333" i="55" s="1"/>
  <c r="JY245" i="55"/>
  <c r="JX245" i="55"/>
  <c r="DV245" i="55"/>
  <c r="DW245" i="55" s="1"/>
  <c r="JE96" i="55"/>
  <c r="JL96" i="55"/>
  <c r="FS294" i="55"/>
  <c r="JL349" i="55"/>
  <c r="JE349" i="55"/>
  <c r="JN125" i="55"/>
  <c r="JG125" i="55"/>
  <c r="JM155" i="55"/>
  <c r="JF155" i="55"/>
  <c r="JG217" i="55"/>
  <c r="JN217" i="55"/>
  <c r="CT125" i="55" a="1"/>
  <c r="CT125" i="55" s="1"/>
  <c r="CU125" i="55" a="1"/>
  <c r="CU125" i="55" s="1"/>
  <c r="O167" i="55" a="1"/>
  <c r="O167" i="55" s="1"/>
  <c r="FZ83" i="55"/>
  <c r="JL237" i="55"/>
  <c r="JE237" i="55"/>
  <c r="JM112" i="55"/>
  <c r="JF112" i="55"/>
  <c r="FZ11" i="55"/>
  <c r="JL212" i="55"/>
  <c r="JE212" i="55"/>
  <c r="CT345" i="55" a="1"/>
  <c r="CT345" i="55" s="1"/>
  <c r="CU345" i="55" a="1"/>
  <c r="CU345" i="55" s="1"/>
  <c r="ID163" i="55" a="1"/>
  <c r="ID163" i="55" s="1"/>
  <c r="IE163" i="55" a="1"/>
  <c r="IE163" i="55" s="1"/>
  <c r="JX162" i="55"/>
  <c r="DM162" i="55"/>
  <c r="DQ162" i="55" s="1"/>
  <c r="JY162" i="55"/>
  <c r="BN15" i="54"/>
  <c r="BO15" i="54" s="1"/>
  <c r="BH15" i="54"/>
  <c r="AE15" i="54" a="1"/>
  <c r="AE15" i="54" s="1"/>
  <c r="BJ15" i="54"/>
  <c r="BK15" i="54" s="1"/>
  <c r="EK267" i="55"/>
  <c r="EV267" i="55" s="1"/>
  <c r="EW267" i="55" s="1"/>
  <c r="FR267" i="55"/>
  <c r="AN29" i="54"/>
  <c r="AO14" i="54"/>
  <c r="AN20" i="54"/>
  <c r="AO26" i="54"/>
  <c r="GQ303" i="55"/>
  <c r="EK36" i="55"/>
  <c r="O36" i="55" a="1"/>
  <c r="O36" i="55" s="1"/>
  <c r="EK180" i="55"/>
  <c r="EV180" i="55" s="1"/>
  <c r="EW180" i="55" s="1"/>
  <c r="O180" i="55" a="1"/>
  <c r="O180" i="55" s="1"/>
  <c r="JL224" i="55"/>
  <c r="JE224" i="55"/>
  <c r="JE189" i="55"/>
  <c r="JL189" i="55"/>
  <c r="JF298" i="55"/>
  <c r="JM298" i="55"/>
  <c r="CT312" i="55" a="1"/>
  <c r="CT312" i="55" s="1"/>
  <c r="CU312" i="55" a="1"/>
  <c r="CU312" i="55" s="1"/>
  <c r="FZ178" i="55"/>
  <c r="JL16" i="55"/>
  <c r="JE16" i="55"/>
  <c r="JN186" i="55"/>
  <c r="JG186" i="55"/>
  <c r="FZ26" i="55"/>
  <c r="JN232" i="55"/>
  <c r="JG232" i="55"/>
  <c r="JG328" i="55"/>
  <c r="JN328" i="55"/>
  <c r="JN56" i="55"/>
  <c r="JG56" i="55"/>
  <c r="GT156" i="55"/>
  <c r="GM138" i="55"/>
  <c r="CI138" i="55"/>
  <c r="HV138" i="55" s="1"/>
  <c r="GE184" i="55" a="1"/>
  <c r="GE184" i="55" s="1"/>
  <c r="JN228" i="55"/>
  <c r="JG228" i="55"/>
  <c r="JE265" i="55"/>
  <c r="JL265" i="55"/>
  <c r="GE187" i="55" a="1"/>
  <c r="GE187" i="55" s="1"/>
  <c r="GF187" i="55" s="1"/>
  <c r="FZ216" i="55"/>
  <c r="JN316" i="55"/>
  <c r="JG316" i="55"/>
  <c r="JX12" i="55"/>
  <c r="JY12" i="55"/>
  <c r="DV12" i="55"/>
  <c r="DW12" i="55" s="1"/>
  <c r="ID123" i="55" a="1"/>
  <c r="ID123" i="55" s="1"/>
  <c r="IE123" i="55" a="1"/>
  <c r="IE123" i="55" s="1"/>
  <c r="JM79" i="55"/>
  <c r="JF79" i="55"/>
  <c r="CT323" i="55" a="1"/>
  <c r="CT323" i="55" s="1"/>
  <c r="CU323" i="55" a="1"/>
  <c r="CU323" i="55" s="1"/>
  <c r="IE180" i="55" a="1"/>
  <c r="IE180" i="55" s="1"/>
  <c r="ID180" i="55" a="1"/>
  <c r="ID180" i="55" s="1"/>
  <c r="JE32" i="55"/>
  <c r="JL32" i="55"/>
  <c r="EK296" i="55"/>
  <c r="EV296" i="55" s="1"/>
  <c r="EW296" i="55" s="1"/>
  <c r="JG332" i="55"/>
  <c r="JN332" i="55"/>
  <c r="JE97" i="55"/>
  <c r="JL97" i="55"/>
  <c r="AQ24" i="54"/>
  <c r="AN30" i="54"/>
  <c r="EZ55" i="55"/>
  <c r="CW6" i="55"/>
  <c r="CX6" i="55"/>
  <c r="CV6" i="55"/>
  <c r="CY6" i="55"/>
  <c r="JE65" i="55"/>
  <c r="JL65" i="55"/>
  <c r="JL225" i="55"/>
  <c r="JE225" i="55"/>
  <c r="JM268" i="55"/>
  <c r="JF268" i="55"/>
  <c r="JL145" i="55"/>
  <c r="JE145" i="55"/>
  <c r="GE264" i="55" a="1"/>
  <c r="GE264" i="55" s="1"/>
  <c r="GF264" i="55" s="1"/>
  <c r="JN297" i="55"/>
  <c r="JG297" i="55"/>
  <c r="JM319" i="55"/>
  <c r="JF319" i="55"/>
  <c r="GQ175" i="55"/>
  <c r="JL216" i="55"/>
  <c r="JE216" i="55"/>
  <c r="JL172" i="55"/>
  <c r="JE172" i="55"/>
  <c r="CW21" i="55"/>
  <c r="CX21" i="55"/>
  <c r="CY21" i="55"/>
  <c r="CV21" i="55"/>
  <c r="FR97" i="55"/>
  <c r="EZ28" i="55"/>
  <c r="R28" i="55"/>
  <c r="GE114" i="55" a="1"/>
  <c r="GE114" i="55" s="1"/>
  <c r="GF114" i="55" s="1"/>
  <c r="JN300" i="55"/>
  <c r="JG300" i="55"/>
  <c r="ID210" i="55" a="1"/>
  <c r="ID210" i="55" s="1"/>
  <c r="IE210" i="55" a="1"/>
  <c r="IE210" i="55" s="1"/>
  <c r="JG261" i="55"/>
  <c r="JN261" i="55"/>
  <c r="EZ289" i="55"/>
  <c r="FZ28" i="55"/>
  <c r="GQ72" i="55"/>
  <c r="GR72" i="55" s="1"/>
  <c r="EV59" i="55"/>
  <c r="EW59" i="55" s="1"/>
  <c r="EK65" i="55"/>
  <c r="FR65" i="55"/>
  <c r="CT83" i="55" a="1"/>
  <c r="CT83" i="55" s="1"/>
  <c r="CU83" i="55" a="1"/>
  <c r="CU83" i="55" s="1"/>
  <c r="CT18" i="55" a="1"/>
  <c r="CT18" i="55" s="1"/>
  <c r="CU18" i="55" a="1"/>
  <c r="CU18" i="55" s="1"/>
  <c r="EK273" i="55"/>
  <c r="FR273" i="55"/>
  <c r="O273" i="55" a="1"/>
  <c r="O273" i="55" s="1"/>
  <c r="JL148" i="55"/>
  <c r="JE148" i="55"/>
  <c r="JF156" i="55"/>
  <c r="JM156" i="55"/>
  <c r="EK200" i="55"/>
  <c r="O200" i="55" a="1"/>
  <c r="O200" i="55" s="1"/>
  <c r="FZ104" i="55"/>
  <c r="GM144" i="55"/>
  <c r="CI144" i="55"/>
  <c r="HV144" i="55" s="1"/>
  <c r="EV144" i="55"/>
  <c r="EW144" i="55" s="1"/>
  <c r="GR225" i="55"/>
  <c r="GT225" i="55"/>
  <c r="ID207" i="55" a="1"/>
  <c r="ID207" i="55" s="1"/>
  <c r="IE207" i="55" a="1"/>
  <c r="IE207" i="55" s="1"/>
  <c r="EK191" i="55"/>
  <c r="EV191" i="55" s="1"/>
  <c r="EW191" i="55" s="1"/>
  <c r="ID319" i="55" a="1"/>
  <c r="ID319" i="55" s="1"/>
  <c r="IE319" i="55" a="1"/>
  <c r="IE319" i="55" s="1"/>
  <c r="EK299" i="55"/>
  <c r="FR299" i="55"/>
  <c r="R242" i="55"/>
  <c r="IE257" i="55" a="1"/>
  <c r="IE257" i="55" s="1"/>
  <c r="ID257" i="55" a="1"/>
  <c r="ID257" i="55" s="1"/>
  <c r="JN49" i="55"/>
  <c r="JG49" i="55"/>
  <c r="AR27" i="54"/>
  <c r="CU159" i="55" a="1"/>
  <c r="CU159" i="55" s="1"/>
  <c r="CT159" i="55" a="1"/>
  <c r="CT159" i="55" s="1"/>
  <c r="O65" i="55" a="1"/>
  <c r="O65" i="55" s="1"/>
  <c r="JL128" i="55"/>
  <c r="JE128" i="55"/>
  <c r="JM59" i="55"/>
  <c r="JF59" i="55"/>
  <c r="JN10" i="55"/>
  <c r="JG10" i="55"/>
  <c r="CT9" i="55" a="1"/>
  <c r="CT9" i="55" s="1"/>
  <c r="CU9" i="55" a="1"/>
  <c r="CU9" i="55" s="1"/>
  <c r="CS9" i="55"/>
  <c r="EK100" i="55"/>
  <c r="O100" i="55" a="1"/>
  <c r="O100" i="55" s="1"/>
  <c r="CW220" i="55"/>
  <c r="CX220" i="55"/>
  <c r="CV220" i="55"/>
  <c r="CY220" i="55"/>
  <c r="CZ220" i="55"/>
  <c r="DA220" i="55" s="1"/>
  <c r="GT220" i="55" s="1"/>
  <c r="FS318" i="55"/>
  <c r="ID235" i="55" a="1"/>
  <c r="ID235" i="55" s="1"/>
  <c r="IE235" i="55" a="1"/>
  <c r="IE235" i="55" s="1"/>
  <c r="JM282" i="55"/>
  <c r="JF282" i="55"/>
  <c r="JF104" i="55"/>
  <c r="JM104" i="55"/>
  <c r="DV3" i="55"/>
  <c r="DW3" i="55" s="1"/>
  <c r="JX3" i="55"/>
  <c r="JY3" i="55"/>
  <c r="DM3" i="55"/>
  <c r="IE168" i="55" a="1"/>
  <c r="IE168" i="55" s="1"/>
  <c r="ID168" i="55" a="1"/>
  <c r="ID168" i="55" s="1"/>
  <c r="JG219" i="55"/>
  <c r="JN219" i="55"/>
  <c r="JL312" i="55"/>
  <c r="JE312" i="55"/>
  <c r="JM41" i="55"/>
  <c r="JF41" i="55"/>
  <c r="JF120" i="55"/>
  <c r="JM120" i="55"/>
  <c r="GM59" i="55"/>
  <c r="CI59" i="55"/>
  <c r="HV59" i="55" s="1"/>
  <c r="JL40" i="55"/>
  <c r="JE40" i="55"/>
  <c r="JN144" i="55"/>
  <c r="JG144" i="55"/>
  <c r="JG269" i="55"/>
  <c r="JN269" i="55"/>
  <c r="JL90" i="55"/>
  <c r="JE90" i="55"/>
  <c r="CT184" i="55" a="1"/>
  <c r="CT184" i="55" s="1"/>
  <c r="CU184" i="55" a="1"/>
  <c r="CU184" i="55" s="1"/>
  <c r="CS184" i="55"/>
  <c r="CT104" i="55" a="1"/>
  <c r="CT104" i="55" s="1"/>
  <c r="CU104" i="55" a="1"/>
  <c r="CU104" i="55" s="1"/>
  <c r="GE267" i="55" a="1"/>
  <c r="GE267" i="55" s="1"/>
  <c r="GF267" i="55" s="1"/>
  <c r="JF173" i="55"/>
  <c r="JM173" i="55"/>
  <c r="JN203" i="55"/>
  <c r="JG203" i="55"/>
  <c r="R62" i="55"/>
  <c r="EZ186" i="55"/>
  <c r="R186" i="55"/>
  <c r="GQ189" i="55"/>
  <c r="GQ204" i="55"/>
  <c r="GQ194" i="55"/>
  <c r="GQ196" i="55"/>
  <c r="GQ193" i="55"/>
  <c r="GQ216" i="55"/>
  <c r="IE313" i="55" a="1"/>
  <c r="IE313" i="55" s="1"/>
  <c r="ID313" i="55" a="1"/>
  <c r="ID313" i="55" s="1"/>
  <c r="AR16" i="54"/>
  <c r="R286" i="55"/>
  <c r="EK287" i="55"/>
  <c r="FR287" i="55"/>
  <c r="GQ220" i="55"/>
  <c r="GR220" i="55" s="1"/>
  <c r="R312" i="55"/>
  <c r="FE11" i="55"/>
  <c r="ER11" i="55"/>
  <c r="ES11" i="55"/>
  <c r="FB11" i="55"/>
  <c r="FA11" i="55"/>
  <c r="FC11" i="55"/>
  <c r="FD11" i="55" s="1"/>
  <c r="HS11" i="55" s="1"/>
  <c r="HU11" i="55" s="1"/>
  <c r="JX195" i="55"/>
  <c r="CT178" i="55" a="1"/>
  <c r="CT178" i="55" s="1"/>
  <c r="CU178" i="55" a="1"/>
  <c r="CU178" i="55" s="1"/>
  <c r="CS178" i="55"/>
  <c r="ID76" i="55" a="1"/>
  <c r="ID76" i="55" s="1"/>
  <c r="IE76" i="55" a="1"/>
  <c r="IE76" i="55" s="1"/>
  <c r="CY129" i="55"/>
  <c r="CW129" i="55"/>
  <c r="CV129" i="55"/>
  <c r="CX129" i="55"/>
  <c r="CZ129" i="55"/>
  <c r="DA129" i="55" s="1"/>
  <c r="JN107" i="55"/>
  <c r="JG107" i="55"/>
  <c r="GQ343" i="55"/>
  <c r="GR343" i="55" s="1"/>
  <c r="GQ347" i="55"/>
  <c r="GQ344" i="55"/>
  <c r="GQ348" i="55"/>
  <c r="GQ351" i="55"/>
  <c r="JL235" i="55"/>
  <c r="JE235" i="55"/>
  <c r="JM132" i="55"/>
  <c r="JF132" i="55"/>
  <c r="JN116" i="55"/>
  <c r="JG116" i="55"/>
  <c r="GQ273" i="55"/>
  <c r="AQ23" i="54"/>
  <c r="JG72" i="55"/>
  <c r="JN72" i="55"/>
  <c r="GQ81" i="55"/>
  <c r="GR130" i="55"/>
  <c r="JM207" i="55"/>
  <c r="JF207" i="55"/>
  <c r="CV25" i="55"/>
  <c r="CW25" i="55"/>
  <c r="CX25" i="55"/>
  <c r="CY25" i="55"/>
  <c r="CW341" i="55"/>
  <c r="DW341" i="55"/>
  <c r="CX341" i="55"/>
  <c r="CY341" i="55"/>
  <c r="CV341" i="55"/>
  <c r="GQ254" i="55"/>
  <c r="DW307" i="55"/>
  <c r="CX307" i="55"/>
  <c r="CY307" i="55"/>
  <c r="CV307" i="55"/>
  <c r="CW307" i="55"/>
  <c r="ID146" i="55" a="1"/>
  <c r="ID146" i="55" s="1"/>
  <c r="IE146" i="55" a="1"/>
  <c r="IE146" i="55" s="1"/>
  <c r="JL257" i="55"/>
  <c r="JE257" i="55"/>
  <c r="CU163" i="55" a="1"/>
  <c r="CU163" i="55" s="1"/>
  <c r="CT163" i="55" a="1"/>
  <c r="CT163" i="55" s="1"/>
  <c r="GQ54" i="55"/>
  <c r="GR54" i="55" s="1"/>
  <c r="GQ87" i="55"/>
  <c r="GQ78" i="55"/>
  <c r="GQ59" i="55"/>
  <c r="GQ61" i="55"/>
  <c r="GQ63" i="55"/>
  <c r="GQ85" i="55"/>
  <c r="GQ60" i="55"/>
  <c r="GQ68" i="55"/>
  <c r="GQ80" i="55"/>
  <c r="GQ62" i="55"/>
  <c r="GQ66" i="55"/>
  <c r="GQ57" i="55"/>
  <c r="GQ73" i="55"/>
  <c r="GQ79" i="55"/>
  <c r="JG75" i="55"/>
  <c r="JN75" i="55"/>
  <c r="FZ218" i="55"/>
  <c r="JL185" i="55"/>
  <c r="JE185" i="55"/>
  <c r="JL296" i="55"/>
  <c r="JE296" i="55"/>
  <c r="JL236" i="55"/>
  <c r="JE236" i="55"/>
  <c r="EK107" i="55"/>
  <c r="FR107" i="55"/>
  <c r="FZ161" i="55"/>
  <c r="JN130" i="55"/>
  <c r="JG130" i="55"/>
  <c r="JM169" i="55"/>
  <c r="JF169" i="55"/>
  <c r="AR14" i="54"/>
  <c r="AK26" i="54"/>
  <c r="ID228" i="55" a="1"/>
  <c r="ID228" i="55" s="1"/>
  <c r="IE228" i="55" a="1"/>
  <c r="IE228" i="55" s="1"/>
  <c r="EK207" i="55"/>
  <c r="EV207" i="55" s="1"/>
  <c r="EW207" i="55" s="1"/>
  <c r="AQ27" i="54"/>
  <c r="CS159" i="55"/>
  <c r="ID254" i="55" a="1"/>
  <c r="ID254" i="55" s="1"/>
  <c r="IE254" i="55" a="1"/>
  <c r="IE254" i="55" s="1"/>
  <c r="JL10" i="55"/>
  <c r="JE10" i="55"/>
  <c r="CU68" i="55" a="1"/>
  <c r="CU68" i="55" s="1"/>
  <c r="CT68" i="55" a="1"/>
  <c r="CT68" i="55" s="1"/>
  <c r="CS68" i="55"/>
  <c r="GM35" i="55"/>
  <c r="CI35" i="55"/>
  <c r="HV35" i="55" s="1"/>
  <c r="EV35" i="55"/>
  <c r="EW35" i="55" s="1"/>
  <c r="JL43" i="55"/>
  <c r="JE43" i="55"/>
  <c r="JX132" i="55"/>
  <c r="JY132" i="55"/>
  <c r="JE46" i="55"/>
  <c r="JL46" i="55"/>
  <c r="EZ50" i="55"/>
  <c r="R50" i="55"/>
  <c r="JC283" i="55"/>
  <c r="GU283" i="55"/>
  <c r="GV283" i="55" s="1"/>
  <c r="GW283" i="55" s="1"/>
  <c r="JL282" i="55"/>
  <c r="JE282" i="55"/>
  <c r="GM89" i="55"/>
  <c r="CI89" i="55"/>
  <c r="HV89" i="55" s="1"/>
  <c r="T89" i="55" s="1"/>
  <c r="JL104" i="55"/>
  <c r="JE104" i="55"/>
  <c r="JM219" i="55"/>
  <c r="JF219" i="55"/>
  <c r="CT137" i="55" a="1"/>
  <c r="CT137" i="55" s="1"/>
  <c r="CU137" i="55" a="1"/>
  <c r="CU137" i="55" s="1"/>
  <c r="CS137" i="55"/>
  <c r="EK196" i="55"/>
  <c r="EV196" i="55" s="1"/>
  <c r="EW196" i="55" s="1"/>
  <c r="EZ196" i="55" s="1"/>
  <c r="JL41" i="55"/>
  <c r="JE41" i="55"/>
  <c r="JL269" i="55"/>
  <c r="JE269" i="55"/>
  <c r="FR207" i="55"/>
  <c r="JG90" i="55"/>
  <c r="JN90" i="55"/>
  <c r="JL173" i="55"/>
  <c r="JE173" i="55"/>
  <c r="JL203" i="55"/>
  <c r="JE203" i="55"/>
  <c r="JY73" i="55"/>
  <c r="DV73" i="55"/>
  <c r="DW73" i="55" s="1"/>
  <c r="JX73" i="55"/>
  <c r="JG254" i="55"/>
  <c r="JN254" i="55"/>
  <c r="ID187" i="55" a="1"/>
  <c r="ID187" i="55" s="1"/>
  <c r="IE187" i="55" a="1"/>
  <c r="IE187" i="55" s="1"/>
  <c r="GE284" i="55" a="1"/>
  <c r="GE284" i="55" s="1"/>
  <c r="GF284" i="55" s="1"/>
  <c r="JM108" i="55"/>
  <c r="JF108" i="55"/>
  <c r="IE17" i="55" a="1"/>
  <c r="IE17" i="55" s="1"/>
  <c r="ID17" i="55" a="1"/>
  <c r="ID17" i="55" s="1"/>
  <c r="GR135" i="55"/>
  <c r="GT135" i="55"/>
  <c r="CY60" i="55"/>
  <c r="CV60" i="55"/>
  <c r="CX60" i="55"/>
  <c r="CW60" i="55"/>
  <c r="GQ352" i="55"/>
  <c r="GR352" i="55" s="1"/>
  <c r="AK16" i="54"/>
  <c r="DW100" i="55"/>
  <c r="CX100" i="55"/>
  <c r="CV100" i="55"/>
  <c r="CY100" i="55"/>
  <c r="CW100" i="55"/>
  <c r="AR30" i="54"/>
  <c r="ID34" i="55" a="1"/>
  <c r="ID34" i="55" s="1"/>
  <c r="IE34" i="55" a="1"/>
  <c r="IE34" i="55" s="1"/>
  <c r="JN91" i="55"/>
  <c r="JG91" i="55"/>
  <c r="ID147" i="55" a="1"/>
  <c r="ID147" i="55" s="1"/>
  <c r="IE147" i="55" a="1"/>
  <c r="IE147" i="55" s="1"/>
  <c r="EZ11" i="55"/>
  <c r="R11" i="55"/>
  <c r="JF140" i="55"/>
  <c r="JM140" i="55"/>
  <c r="AO21" i="54"/>
  <c r="CT185" i="55" a="1"/>
  <c r="CT185" i="55" s="1"/>
  <c r="CU185" i="55" a="1"/>
  <c r="CU185" i="55" s="1"/>
  <c r="EK272" i="55"/>
  <c r="O272" i="55" a="1"/>
  <c r="O272" i="55" s="1"/>
  <c r="GT183" i="55"/>
  <c r="JY76" i="55"/>
  <c r="R304" i="55"/>
  <c r="FZ273" i="55"/>
  <c r="R349" i="55"/>
  <c r="JM235" i="55"/>
  <c r="JF235" i="55"/>
  <c r="JM116" i="55"/>
  <c r="JF116" i="55"/>
  <c r="DV287" i="55"/>
  <c r="DW287" i="55" s="1"/>
  <c r="JY287" i="55"/>
  <c r="JX287" i="55"/>
  <c r="DM287" i="55"/>
  <c r="DQ287" i="55" s="1"/>
  <c r="JM273" i="55"/>
  <c r="JF273" i="55"/>
  <c r="JE207" i="55"/>
  <c r="JL207" i="55"/>
  <c r="DV66" i="55"/>
  <c r="DM66" i="55"/>
  <c r="DQ66" i="55" s="1"/>
  <c r="JX66" i="55"/>
  <c r="FS111" i="55"/>
  <c r="GQ77" i="55"/>
  <c r="GQ210" i="55"/>
  <c r="GR210" i="55" s="1"/>
  <c r="GQ264" i="55"/>
  <c r="CY98" i="55"/>
  <c r="CV98" i="55"/>
  <c r="CW98" i="55"/>
  <c r="CX98" i="55"/>
  <c r="GQ231" i="55"/>
  <c r="ID291" i="55" a="1"/>
  <c r="ID291" i="55" s="1"/>
  <c r="IE291" i="55" a="1"/>
  <c r="IE291" i="55" s="1"/>
  <c r="EK333" i="55"/>
  <c r="EV333" i="55" s="1"/>
  <c r="EW333" i="55" s="1"/>
  <c r="FR333" i="55"/>
  <c r="AP28" i="54" s="1"/>
  <c r="JE286" i="55"/>
  <c r="JL286" i="55"/>
  <c r="JN114" i="55"/>
  <c r="JG114" i="55"/>
  <c r="JL272" i="55"/>
  <c r="JE272" i="55"/>
  <c r="JN208" i="55"/>
  <c r="JG208" i="55"/>
  <c r="CT205" i="55" a="1"/>
  <c r="CT205" i="55" s="1"/>
  <c r="CU205" i="55" a="1"/>
  <c r="CU205" i="55" s="1"/>
  <c r="GQ97" i="55"/>
  <c r="GR97" i="55" s="1"/>
  <c r="GQ98" i="55"/>
  <c r="AK15" i="54"/>
  <c r="CT49" i="55" a="1"/>
  <c r="CT49" i="55" s="1"/>
  <c r="CU49" i="55" a="1"/>
  <c r="CU49" i="55" s="1"/>
  <c r="JM185" i="55"/>
  <c r="JF185" i="55"/>
  <c r="JG276" i="55"/>
  <c r="JN276" i="55"/>
  <c r="JN84" i="55"/>
  <c r="JG84" i="55"/>
  <c r="JG236" i="55"/>
  <c r="JN236" i="55"/>
  <c r="JG141" i="55"/>
  <c r="JN141" i="55"/>
  <c r="GQ279" i="55"/>
  <c r="GR279" i="55" s="1"/>
  <c r="JG52" i="55"/>
  <c r="JN52" i="55"/>
  <c r="GM188" i="55"/>
  <c r="CI188" i="55"/>
  <c r="HV188" i="55" s="1"/>
  <c r="EV188" i="55"/>
  <c r="EW188" i="55" s="1"/>
  <c r="JE241" i="55"/>
  <c r="JL241" i="55"/>
  <c r="FZ33" i="55"/>
  <c r="GL50" i="55"/>
  <c r="O50" i="55" a="1"/>
  <c r="O50" i="55" s="1"/>
  <c r="FP50" i="55"/>
  <c r="GM333" i="55"/>
  <c r="CI333" i="55"/>
  <c r="HV333" i="55" s="1"/>
  <c r="T333" i="55" s="1"/>
  <c r="JM9" i="55"/>
  <c r="JF9" i="55"/>
  <c r="FZ266" i="55"/>
  <c r="EB25" i="55"/>
  <c r="DZ25" i="55"/>
  <c r="JX308" i="55"/>
  <c r="DV308" i="55"/>
  <c r="DW308" i="55" s="1"/>
  <c r="JY308" i="55"/>
  <c r="JN46" i="55"/>
  <c r="JG46" i="55"/>
  <c r="EM50" i="55" a="1"/>
  <c r="EM50" i="55" s="1"/>
  <c r="J50" i="55" s="1"/>
  <c r="EN50" i="55" s="1"/>
  <c r="JN282" i="55"/>
  <c r="JG282" i="55"/>
  <c r="JX100" i="55"/>
  <c r="JY100" i="55"/>
  <c r="DV100" i="55"/>
  <c r="ID346" i="55" a="1"/>
  <c r="ID346" i="55" s="1"/>
  <c r="IE346" i="55" a="1"/>
  <c r="IE346" i="55" s="1"/>
  <c r="EZ159" i="55"/>
  <c r="R159" i="55"/>
  <c r="JM288" i="55"/>
  <c r="JF288" i="55"/>
  <c r="EK96" i="55"/>
  <c r="EV96" i="55" s="1"/>
  <c r="EW96" i="55" s="1"/>
  <c r="JL120" i="55"/>
  <c r="JE120" i="55"/>
  <c r="JM24" i="55"/>
  <c r="JF24" i="55"/>
  <c r="FZ324" i="55"/>
  <c r="JM144" i="55"/>
  <c r="JF144" i="55"/>
  <c r="BN30" i="54"/>
  <c r="BO30" i="54" s="1"/>
  <c r="BH30" i="54"/>
  <c r="AE30" i="54" a="1"/>
  <c r="AE30" i="54" s="1"/>
  <c r="BJ30" i="54"/>
  <c r="BK30" i="54" s="1"/>
  <c r="GE123" i="55" a="1"/>
  <c r="GE123" i="55" s="1"/>
  <c r="GF123" i="55" s="1"/>
  <c r="CT17" i="55" a="1"/>
  <c r="CT17" i="55" s="1"/>
  <c r="CU17" i="55" a="1"/>
  <c r="CU17" i="55" s="1"/>
  <c r="CS17" i="55"/>
  <c r="GQ257" i="55"/>
  <c r="JG351" i="55"/>
  <c r="JN351" i="55"/>
  <c r="CX84" i="55"/>
  <c r="CW84" i="55"/>
  <c r="CY84" i="55"/>
  <c r="CV84" i="55"/>
  <c r="ID6" i="55" a="1"/>
  <c r="ID6" i="55" s="1"/>
  <c r="IE6" i="55" a="1"/>
  <c r="IE6" i="55" s="1"/>
  <c r="JN330" i="55"/>
  <c r="JG330" i="55"/>
  <c r="AQ30" i="54"/>
  <c r="JG140" i="55"/>
  <c r="JN140" i="55"/>
  <c r="CS185" i="55"/>
  <c r="FR67" i="55"/>
  <c r="CT33" i="55" a="1"/>
  <c r="CT33" i="55" s="1"/>
  <c r="CU33" i="55" a="1"/>
  <c r="CU33" i="55" s="1"/>
  <c r="R247" i="55"/>
  <c r="CV264" i="55"/>
  <c r="CY264" i="55"/>
  <c r="CX264" i="55"/>
  <c r="CW264" i="55"/>
  <c r="EK252" i="55"/>
  <c r="O252" i="55" a="1"/>
  <c r="O252" i="55" s="1"/>
  <c r="EV252" i="55" s="1"/>
  <c r="EW252" i="55" s="1"/>
  <c r="FR252" i="55"/>
  <c r="IE209" i="55" a="1"/>
  <c r="IE209" i="55" s="1"/>
  <c r="ID209" i="55" a="1"/>
  <c r="ID209" i="55" s="1"/>
  <c r="JF42" i="55"/>
  <c r="JM42" i="55"/>
  <c r="JL132" i="55"/>
  <c r="JE132" i="55"/>
  <c r="EK264" i="55"/>
  <c r="O264" i="55" a="1"/>
  <c r="O264" i="55" s="1"/>
  <c r="JL116" i="55"/>
  <c r="JE116" i="55"/>
  <c r="AM23" i="54"/>
  <c r="EZ39" i="55"/>
  <c r="R39" i="55"/>
  <c r="JG159" i="55"/>
  <c r="JN159" i="55"/>
  <c r="JN273" i="55"/>
  <c r="JG273" i="55"/>
  <c r="JG207" i="55"/>
  <c r="JN207" i="55"/>
  <c r="JY276" i="55"/>
  <c r="DV276" i="55"/>
  <c r="DW276" i="55" s="1"/>
  <c r="JX276" i="55"/>
  <c r="O191" i="55" a="1"/>
  <c r="O191" i="55" s="1"/>
  <c r="R308" i="55"/>
  <c r="GQ213" i="55"/>
  <c r="CT274" i="55" a="1"/>
  <c r="CT274" i="55" s="1"/>
  <c r="CU274" i="55" a="1"/>
  <c r="CU274" i="55" s="1"/>
  <c r="R81" i="55"/>
  <c r="JL129" i="55"/>
  <c r="JE129" i="55"/>
  <c r="FS311" i="55"/>
  <c r="JF257" i="55"/>
  <c r="JM257" i="55"/>
  <c r="GR181" i="55"/>
  <c r="GT181" i="55"/>
  <c r="JL218" i="55"/>
  <c r="JE218" i="55"/>
  <c r="IE200" i="55" a="1"/>
  <c r="IE200" i="55" s="1"/>
  <c r="ID200" i="55" a="1"/>
  <c r="ID200" i="55" s="1"/>
  <c r="GE349" i="55" a="1"/>
  <c r="GE349" i="55" s="1"/>
  <c r="GF349" i="55" s="1"/>
  <c r="JN322" i="55"/>
  <c r="JG322" i="55"/>
  <c r="GM176" i="55"/>
  <c r="CI176" i="55"/>
  <c r="HV176" i="55" s="1"/>
  <c r="T176" i="55" s="1"/>
  <c r="JE275" i="55"/>
  <c r="JL275" i="55"/>
  <c r="JL315" i="55"/>
  <c r="JE315" i="55"/>
  <c r="FZ346" i="55"/>
  <c r="ID125" i="55" a="1"/>
  <c r="ID125" i="55" s="1"/>
  <c r="IE125" i="55" a="1"/>
  <c r="IE125" i="55" s="1"/>
  <c r="JM291" i="55"/>
  <c r="JF291" i="55"/>
  <c r="JN320" i="55"/>
  <c r="JG320" i="55"/>
  <c r="JE45" i="55"/>
  <c r="JL45" i="55"/>
  <c r="JN187" i="55"/>
  <c r="JG187" i="55"/>
  <c r="CY337" i="55"/>
  <c r="CV337" i="55"/>
  <c r="CW337" i="55"/>
  <c r="CX337" i="55"/>
  <c r="GM155" i="55"/>
  <c r="CI155" i="55"/>
  <c r="HV155" i="55" s="1"/>
  <c r="T155" i="55" s="1"/>
  <c r="FZ183" i="55"/>
  <c r="JM114" i="55"/>
  <c r="JF114" i="55"/>
  <c r="JN272" i="55"/>
  <c r="JG272" i="55"/>
  <c r="FZ34" i="55"/>
  <c r="JG259" i="55"/>
  <c r="JN259" i="55"/>
  <c r="BJ23" i="54"/>
  <c r="BK23" i="54" s="1"/>
  <c r="BH23" i="54"/>
  <c r="AE23" i="54" a="1"/>
  <c r="AE23" i="54" s="1"/>
  <c r="BN23" i="54"/>
  <c r="BO23" i="54" s="1"/>
  <c r="GQ255" i="55"/>
  <c r="GR255" i="55" s="1"/>
  <c r="CU260" i="55" a="1"/>
  <c r="CU260" i="55" s="1"/>
  <c r="CT260" i="55" a="1"/>
  <c r="CT260" i="55" s="1"/>
  <c r="CS260" i="55"/>
  <c r="EK348" i="55"/>
  <c r="O348" i="55" a="1"/>
  <c r="O348" i="55" s="1"/>
  <c r="FR348" i="55"/>
  <c r="JM75" i="55"/>
  <c r="JF75" i="55"/>
  <c r="JM280" i="55"/>
  <c r="JF280" i="55"/>
  <c r="JM130" i="55"/>
  <c r="JF130" i="55"/>
  <c r="JF141" i="55"/>
  <c r="JM141" i="55"/>
  <c r="JL169" i="55"/>
  <c r="JE169" i="55"/>
  <c r="JM52" i="55"/>
  <c r="JF52" i="55"/>
  <c r="BN19" i="54"/>
  <c r="BO19" i="54" s="1"/>
  <c r="BJ19" i="54"/>
  <c r="BK19" i="54" s="1"/>
  <c r="BH19" i="54"/>
  <c r="AE19" i="54" a="1"/>
  <c r="AE19" i="54" s="1"/>
  <c r="GQ249" i="55"/>
  <c r="GQ236" i="55"/>
  <c r="GQ242" i="55"/>
  <c r="GQ266" i="55"/>
  <c r="GQ245" i="55"/>
  <c r="GQ226" i="55"/>
  <c r="GR226" i="55" s="1"/>
  <c r="GQ227" i="55"/>
  <c r="GQ233" i="55"/>
  <c r="GQ270" i="55"/>
  <c r="GQ275" i="55"/>
  <c r="GQ277" i="55"/>
  <c r="GQ237" i="55"/>
  <c r="GQ248" i="55"/>
  <c r="GQ280" i="55"/>
  <c r="GQ268" i="55"/>
  <c r="GQ258" i="55"/>
  <c r="GQ241" i="55"/>
  <c r="GQ228" i="55"/>
  <c r="GQ281" i="55"/>
  <c r="AR20" i="54"/>
  <c r="GM327" i="55"/>
  <c r="CI327" i="55"/>
  <c r="HV327" i="55" s="1"/>
  <c r="T327" i="55" s="1"/>
  <c r="JL9" i="55"/>
  <c r="JE9" i="55"/>
  <c r="EK292" i="55"/>
  <c r="O292" i="55" a="1"/>
  <c r="O292" i="55" s="1"/>
  <c r="GQ259" i="55"/>
  <c r="JN43" i="55"/>
  <c r="JG43" i="55"/>
  <c r="JN244" i="55"/>
  <c r="JG244" i="55"/>
  <c r="GR308" i="55"/>
  <c r="JE195" i="55"/>
  <c r="JL195" i="55"/>
  <c r="ID283" i="55" a="1"/>
  <c r="ID283" i="55" s="1"/>
  <c r="IE283" i="55" a="1"/>
  <c r="IE283" i="55" s="1"/>
  <c r="CT152" i="55" a="1"/>
  <c r="CT152" i="55" s="1"/>
  <c r="CU152" i="55" a="1"/>
  <c r="CU152" i="55" s="1"/>
  <c r="CS152" i="55"/>
  <c r="EK89" i="55"/>
  <c r="EV89" i="55" s="1"/>
  <c r="EW89" i="55" s="1"/>
  <c r="JM36" i="55"/>
  <c r="JF36" i="55"/>
  <c r="JL8" i="55"/>
  <c r="JE8" i="55"/>
  <c r="O96" i="55" a="1"/>
  <c r="O96" i="55" s="1"/>
  <c r="IE344" i="55" a="1"/>
  <c r="IE344" i="55" s="1"/>
  <c r="ID344" i="55" a="1"/>
  <c r="ID344" i="55" s="1"/>
  <c r="JM74" i="55"/>
  <c r="JF74" i="55"/>
  <c r="GQ240" i="55"/>
  <c r="GR240" i="55" s="1"/>
  <c r="JE24" i="55"/>
  <c r="JL24" i="55"/>
  <c r="EK321" i="55"/>
  <c r="JG221" i="55"/>
  <c r="JN221" i="55"/>
  <c r="IE347" i="55" a="1"/>
  <c r="IE347" i="55" s="1"/>
  <c r="ID347" i="55" a="1"/>
  <c r="ID347" i="55" s="1"/>
  <c r="JN157" i="55"/>
  <c r="JG157" i="55"/>
  <c r="JM203" i="55"/>
  <c r="JF203" i="55"/>
  <c r="JL164" i="55"/>
  <c r="JE164" i="55"/>
  <c r="JM254" i="55"/>
  <c r="JF254" i="55"/>
  <c r="AL19" i="54"/>
  <c r="JN34" i="55"/>
  <c r="JG34" i="55"/>
  <c r="CT232" i="55" a="1"/>
  <c r="CT232" i="55" s="1"/>
  <c r="CU232" i="55" a="1"/>
  <c r="CU232" i="55" s="1"/>
  <c r="CS232" i="55"/>
  <c r="EK340" i="55"/>
  <c r="EV340" i="55" s="1"/>
  <c r="EW340" i="55" s="1"/>
  <c r="O340" i="55" a="1"/>
  <c r="O340" i="55" s="1"/>
  <c r="FZ299" i="55"/>
  <c r="JC27" i="55"/>
  <c r="JL17" i="55"/>
  <c r="JE17" i="55"/>
  <c r="JL351" i="55"/>
  <c r="JE351" i="55"/>
  <c r="CT84" i="55" a="1"/>
  <c r="CT84" i="55" s="1"/>
  <c r="CU84" i="55" a="1"/>
  <c r="CU84" i="55" s="1"/>
  <c r="JM330" i="55"/>
  <c r="JF330" i="55"/>
  <c r="ID236" i="55" a="1"/>
  <c r="ID236" i="55" s="1"/>
  <c r="IE236" i="55" a="1"/>
  <c r="IE236" i="55" s="1"/>
  <c r="CY177" i="55"/>
  <c r="CW177" i="55"/>
  <c r="CX177" i="55"/>
  <c r="CV177" i="55"/>
  <c r="O287" i="55" a="1"/>
  <c r="O287" i="55" s="1"/>
  <c r="CV135" i="55"/>
  <c r="CW135" i="55"/>
  <c r="CX135" i="55"/>
  <c r="CY135" i="55"/>
  <c r="CZ135" i="55"/>
  <c r="DA135" i="55" s="1"/>
  <c r="R323" i="55"/>
  <c r="EZ257" i="55"/>
  <c r="JE140" i="55"/>
  <c r="JL140" i="55"/>
  <c r="FS85" i="55"/>
  <c r="FU85" i="55"/>
  <c r="L85" i="55" s="1"/>
  <c r="FV85" i="55" s="1"/>
  <c r="FW85" i="55" s="1"/>
  <c r="AR21" i="54"/>
  <c r="CV183" i="55"/>
  <c r="CW183" i="55"/>
  <c r="CX183" i="55"/>
  <c r="CY183" i="55"/>
  <c r="GM108" i="55"/>
  <c r="CI108" i="55"/>
  <c r="HV108" i="55" s="1"/>
  <c r="DV76" i="55"/>
  <c r="GE83" i="55" a="1"/>
  <c r="GE83" i="55" s="1"/>
  <c r="GF83" i="55" s="1"/>
  <c r="FS126" i="55"/>
  <c r="CV121" i="55"/>
  <c r="CW121" i="55"/>
  <c r="CX121" i="55"/>
  <c r="CY121" i="55"/>
  <c r="JG15" i="55"/>
  <c r="JN15" i="55"/>
  <c r="JN42" i="55"/>
  <c r="JG42" i="55"/>
  <c r="CZ84" i="55"/>
  <c r="DA84" i="55" s="1"/>
  <c r="AN23" i="54"/>
  <c r="R261" i="55"/>
  <c r="CX116" i="55"/>
  <c r="CY116" i="55"/>
  <c r="CV116" i="55"/>
  <c r="CW116" i="55"/>
  <c r="CW277" i="55"/>
  <c r="CX277" i="55"/>
  <c r="CY277" i="55"/>
  <c r="CV277" i="55"/>
  <c r="DW226" i="55"/>
  <c r="CY226" i="55"/>
  <c r="CV226" i="55"/>
  <c r="CX226" i="55"/>
  <c r="CW226" i="55"/>
  <c r="ID307" i="55" a="1"/>
  <c r="ID307" i="55" s="1"/>
  <c r="IE307" i="55" a="1"/>
  <c r="IE307" i="55" s="1"/>
  <c r="CT322" i="55" a="1"/>
  <c r="CT322" i="55" s="1"/>
  <c r="CU322" i="55" a="1"/>
  <c r="CU322" i="55" s="1"/>
  <c r="CS322" i="55"/>
  <c r="R276" i="55"/>
  <c r="CY348" i="55"/>
  <c r="CX348" i="55"/>
  <c r="CW348" i="55"/>
  <c r="CV348" i="55"/>
  <c r="CZ348" i="55"/>
  <c r="DA348" i="55" s="1"/>
  <c r="IE241" i="55" a="1"/>
  <c r="IE241" i="55" s="1"/>
  <c r="ID241" i="55" a="1"/>
  <c r="ID241" i="55" s="1"/>
  <c r="JN257" i="55"/>
  <c r="JG257" i="55"/>
  <c r="CX227" i="55"/>
  <c r="CY227" i="55"/>
  <c r="CV227" i="55"/>
  <c r="CW227" i="55"/>
  <c r="CT67" i="55" a="1"/>
  <c r="CT67" i="55" s="1"/>
  <c r="CU67" i="55" a="1"/>
  <c r="CU67" i="55" s="1"/>
  <c r="CS67" i="55"/>
  <c r="GM251" i="55"/>
  <c r="CI251" i="55"/>
  <c r="HV251" i="55" s="1"/>
  <c r="T251" i="55" s="1"/>
  <c r="JL93" i="55"/>
  <c r="JE93" i="55"/>
  <c r="EZ278" i="55"/>
  <c r="R278" i="55"/>
  <c r="GM337" i="55"/>
  <c r="CI337" i="55"/>
  <c r="HV337" i="55" s="1"/>
  <c r="T337" i="55" s="1"/>
  <c r="JN165" i="55"/>
  <c r="JG165" i="55"/>
  <c r="JF123" i="55"/>
  <c r="JM123" i="55"/>
  <c r="JG218" i="55"/>
  <c r="JN218" i="55"/>
  <c r="GM229" i="55"/>
  <c r="CI229" i="55"/>
  <c r="HV229" i="55" s="1"/>
  <c r="T229" i="55" s="1"/>
  <c r="DV227" i="55"/>
  <c r="DW227" i="55" s="1"/>
  <c r="DM227" i="55"/>
  <c r="JM275" i="55"/>
  <c r="JF275" i="55"/>
  <c r="JG315" i="55"/>
  <c r="JN315" i="55"/>
  <c r="JE171" i="55"/>
  <c r="JL171" i="55"/>
  <c r="JM250" i="55"/>
  <c r="JF250" i="55"/>
  <c r="JN131" i="55"/>
  <c r="JG131" i="55"/>
  <c r="JE320" i="55"/>
  <c r="JL320" i="55"/>
  <c r="JE147" i="55"/>
  <c r="JL147" i="55"/>
  <c r="FZ121" i="55"/>
  <c r="GM163" i="55"/>
  <c r="CI163" i="55"/>
  <c r="HV163" i="55" s="1"/>
  <c r="T163" i="55" s="1"/>
  <c r="JL114" i="55"/>
  <c r="JE114" i="55"/>
  <c r="JE259" i="55"/>
  <c r="JL259" i="55"/>
  <c r="JG253" i="55"/>
  <c r="JN253" i="55"/>
  <c r="EK327" i="55"/>
  <c r="EV327" i="55" s="1"/>
  <c r="EW327" i="55" s="1"/>
  <c r="JM208" i="55"/>
  <c r="JF208" i="55"/>
  <c r="JN264" i="55"/>
  <c r="JG264" i="55"/>
  <c r="EK148" i="55"/>
  <c r="EV148" i="55" s="1"/>
  <c r="EW148" i="55" s="1"/>
  <c r="O148" i="55" a="1"/>
  <c r="O148" i="55" s="1"/>
  <c r="AQ15" i="54"/>
  <c r="JC49" i="55"/>
  <c r="JN185" i="55"/>
  <c r="JG185" i="55"/>
  <c r="JL280" i="55"/>
  <c r="JE280" i="55"/>
  <c r="JM276" i="55"/>
  <c r="JF276" i="55"/>
  <c r="JM84" i="55"/>
  <c r="JF84" i="55"/>
  <c r="EK204" i="55"/>
  <c r="EV204" i="55"/>
  <c r="EW204" i="55" s="1"/>
  <c r="FS245" i="55"/>
  <c r="DR175" i="55" a="1"/>
  <c r="DR175" i="55" s="1"/>
  <c r="DT175" i="55" s="1"/>
  <c r="II175" i="55"/>
  <c r="DU175" i="55"/>
  <c r="HT175" i="55" s="1"/>
  <c r="JL271" i="55"/>
  <c r="JE271" i="55"/>
  <c r="JE141" i="55"/>
  <c r="JL141" i="55"/>
  <c r="FZ122" i="55"/>
  <c r="JG169" i="55"/>
  <c r="JN169" i="55"/>
  <c r="JL52" i="55"/>
  <c r="JE52" i="55"/>
  <c r="EK269" i="55"/>
  <c r="O269" i="55" a="1"/>
  <c r="O269" i="55" s="1"/>
  <c r="CU139" i="55" a="1"/>
  <c r="CU139" i="55" s="1"/>
  <c r="CT139" i="55" a="1"/>
  <c r="CT139" i="55" s="1"/>
  <c r="JF241" i="55"/>
  <c r="JM241" i="55"/>
  <c r="JF345" i="55"/>
  <c r="JM345" i="55"/>
  <c r="JN9" i="55"/>
  <c r="JG9" i="55"/>
  <c r="JE88" i="55"/>
  <c r="JL88" i="55"/>
  <c r="JG20" i="55"/>
  <c r="JN20" i="55"/>
  <c r="CT220" i="55" a="1"/>
  <c r="CT220" i="55" s="1"/>
  <c r="CU220" i="55" a="1"/>
  <c r="CU220" i="55" s="1"/>
  <c r="JN18" i="55"/>
  <c r="JG18" i="55"/>
  <c r="JG195" i="55"/>
  <c r="JN195" i="55"/>
  <c r="JL36" i="55"/>
  <c r="JE36" i="55"/>
  <c r="R351" i="55"/>
  <c r="DW346" i="55"/>
  <c r="CW346" i="55"/>
  <c r="CX346" i="55"/>
  <c r="CY346" i="55"/>
  <c r="CV346" i="55"/>
  <c r="CT168" i="55" a="1"/>
  <c r="CT168" i="55" s="1"/>
  <c r="CU168" i="55" a="1"/>
  <c r="CU168" i="55" s="1"/>
  <c r="JL137" i="55"/>
  <c r="JE137" i="55"/>
  <c r="CT288" i="55" a="1"/>
  <c r="CT288" i="55" s="1"/>
  <c r="CU288" i="55" a="1"/>
  <c r="CU288" i="55" s="1"/>
  <c r="CS288" i="55"/>
  <c r="CT344" i="55" a="1"/>
  <c r="CT344" i="55" s="1"/>
  <c r="CU344" i="55" a="1"/>
  <c r="CU344" i="55" s="1"/>
  <c r="FZ170" i="55"/>
  <c r="JL68" i="55"/>
  <c r="JE68" i="55"/>
  <c r="CT156" i="55" a="1"/>
  <c r="CT156" i="55" s="1"/>
  <c r="CU156" i="55" a="1"/>
  <c r="CU156" i="55" s="1"/>
  <c r="EK210" i="55"/>
  <c r="EV210" i="55" s="1"/>
  <c r="EW210" i="55" s="1"/>
  <c r="FR210" i="55"/>
  <c r="JF221" i="55"/>
  <c r="JM221" i="55"/>
  <c r="JE283" i="55"/>
  <c r="JL283" i="55"/>
  <c r="O244" i="55" a="1"/>
  <c r="O244" i="55" s="1"/>
  <c r="GT166" i="55"/>
  <c r="GM39" i="55"/>
  <c r="CI39" i="55"/>
  <c r="HV39" i="55" s="1"/>
  <c r="T39" i="55" s="1"/>
  <c r="JF157" i="55"/>
  <c r="JM157" i="55"/>
  <c r="JE11" i="55"/>
  <c r="JL11" i="55"/>
  <c r="JL254" i="55"/>
  <c r="JE254" i="55"/>
  <c r="AK19" i="54"/>
  <c r="JM34" i="55"/>
  <c r="JF34" i="55"/>
  <c r="DV265" i="55"/>
  <c r="DW265" i="55" s="1"/>
  <c r="JY265" i="55"/>
  <c r="JX265" i="55"/>
  <c r="EK291" i="55"/>
  <c r="EV291" i="55" s="1"/>
  <c r="EW291" i="55" s="1"/>
  <c r="EZ291" i="55" s="1"/>
  <c r="FR291" i="55"/>
  <c r="CT340" i="55" a="1"/>
  <c r="CT340" i="55" s="1"/>
  <c r="CU340" i="55" a="1"/>
  <c r="CU340" i="55" s="1"/>
  <c r="CS340" i="55"/>
  <c r="CW133" i="55"/>
  <c r="CX133" i="55"/>
  <c r="CY133" i="55"/>
  <c r="DW133" i="55"/>
  <c r="CV133" i="55"/>
  <c r="DM276" i="55"/>
  <c r="JL6" i="55"/>
  <c r="JE6" i="55"/>
  <c r="JL330" i="55"/>
  <c r="JE330" i="55"/>
  <c r="JL60" i="55"/>
  <c r="JE60" i="55"/>
  <c r="GQ269" i="55"/>
  <c r="CW69" i="55"/>
  <c r="CX69" i="55"/>
  <c r="CY69" i="55"/>
  <c r="CV69" i="55"/>
  <c r="CT108" i="55" a="1"/>
  <c r="CT108" i="55" s="1"/>
  <c r="CU108" i="55" a="1"/>
  <c r="CU108" i="55" s="1"/>
  <c r="CS108" i="55"/>
  <c r="CS18" i="55"/>
  <c r="JN256" i="55"/>
  <c r="JG256" i="55"/>
  <c r="CT264" i="55" a="1"/>
  <c r="CT264" i="55" s="1"/>
  <c r="CU264" i="55" a="1"/>
  <c r="CU264" i="55" s="1"/>
  <c r="JE347" i="55"/>
  <c r="JL347" i="55"/>
  <c r="JE42" i="55"/>
  <c r="JL42" i="55"/>
  <c r="GQ252" i="55"/>
  <c r="ID252" i="55" a="1"/>
  <c r="ID252" i="55" s="1"/>
  <c r="IE252" i="55" a="1"/>
  <c r="IE252" i="55" s="1"/>
  <c r="DW196" i="55"/>
  <c r="CX196" i="55"/>
  <c r="CW196" i="55"/>
  <c r="CY196" i="55"/>
  <c r="CV196" i="55"/>
  <c r="CT81" i="55" a="1"/>
  <c r="CT81" i="55" s="1"/>
  <c r="CU81" i="55" a="1"/>
  <c r="CU81" i="55" s="1"/>
  <c r="CS81" i="55"/>
  <c r="IE89" i="55" a="1"/>
  <c r="IE89" i="55" s="1"/>
  <c r="ID89" i="55" a="1"/>
  <c r="ID89" i="55" s="1"/>
  <c r="DM308" i="55"/>
  <c r="DQ308" i="55" s="1"/>
  <c r="CU319" i="55" a="1"/>
  <c r="CU319" i="55" s="1"/>
  <c r="CT319" i="55" a="1"/>
  <c r="CT319" i="55" s="1"/>
  <c r="CT307" i="55" a="1"/>
  <c r="CT307" i="55" s="1"/>
  <c r="CU307" i="55" a="1"/>
  <c r="CU307" i="55" s="1"/>
  <c r="JF129" i="55"/>
  <c r="JM129" i="55"/>
  <c r="GM347" i="55"/>
  <c r="CI347" i="55"/>
  <c r="HV347" i="55" s="1"/>
  <c r="EV347" i="55"/>
  <c r="EW347" i="55" s="1"/>
  <c r="CZ177" i="55"/>
  <c r="DA177" i="55" s="1"/>
  <c r="GT177" i="55" s="1"/>
  <c r="JN124" i="55"/>
  <c r="JG124" i="55"/>
  <c r="CW5" i="55"/>
  <c r="CX5" i="55"/>
  <c r="CY5" i="55"/>
  <c r="DW5" i="55"/>
  <c r="CV5" i="55"/>
  <c r="EK95" i="55"/>
  <c r="EV95" i="55" s="1"/>
  <c r="EW95" i="55" s="1"/>
  <c r="O95" i="55" a="1"/>
  <c r="O95" i="55" s="1"/>
  <c r="CT275" i="55" a="1"/>
  <c r="CT275" i="55" s="1"/>
  <c r="CU275" i="55" a="1"/>
  <c r="CU275" i="55" s="1"/>
  <c r="CS275" i="55"/>
  <c r="GE115" i="55" a="1"/>
  <c r="GE115" i="55" s="1"/>
  <c r="GF115" i="55" s="1"/>
  <c r="EK151" i="55"/>
  <c r="EV151" i="55" s="1"/>
  <c r="EW151" i="55" s="1"/>
  <c r="O151" i="55" a="1"/>
  <c r="O151" i="55" s="1"/>
  <c r="JY133" i="55"/>
  <c r="JX133" i="55"/>
  <c r="DV133" i="55"/>
  <c r="JL85" i="55"/>
  <c r="JE85" i="55"/>
  <c r="CI298" i="55"/>
  <c r="HV298" i="55" s="1"/>
  <c r="T298" i="55" s="1"/>
  <c r="GM298" i="55"/>
  <c r="JL229" i="55"/>
  <c r="JE229" i="55"/>
  <c r="CZ98" i="55"/>
  <c r="DA98" i="55" s="1"/>
  <c r="JM258" i="55"/>
  <c r="JF258" i="55"/>
  <c r="DW251" i="55"/>
  <c r="CV251" i="55"/>
  <c r="CW251" i="55"/>
  <c r="CX251" i="55"/>
  <c r="CY251" i="55"/>
  <c r="O107" i="55" a="1"/>
  <c r="O107" i="55" s="1"/>
  <c r="GQ256" i="55"/>
  <c r="FZ306" i="55"/>
  <c r="ID171" i="55" a="1"/>
  <c r="ID171" i="55" s="1"/>
  <c r="IE171" i="55" a="1"/>
  <c r="IE171" i="55" s="1"/>
  <c r="JG171" i="55"/>
  <c r="JN171" i="55"/>
  <c r="JL250" i="55"/>
  <c r="JE250" i="55"/>
  <c r="JN115" i="55"/>
  <c r="JG115" i="55"/>
  <c r="JM131" i="55"/>
  <c r="JF131" i="55"/>
  <c r="JM147" i="55"/>
  <c r="JF147" i="55"/>
  <c r="JM187" i="55"/>
  <c r="JF187" i="55"/>
  <c r="GM300" i="55"/>
  <c r="CI300" i="55"/>
  <c r="HV300" i="55" s="1"/>
  <c r="T300" i="55" s="1"/>
  <c r="JM110" i="55"/>
  <c r="JF110" i="55"/>
  <c r="JM272" i="55"/>
  <c r="JF272" i="55"/>
  <c r="JM259" i="55"/>
  <c r="JF259" i="55"/>
  <c r="JM253" i="55"/>
  <c r="JF253" i="55"/>
  <c r="CT186" i="55" a="1"/>
  <c r="CT186" i="55" s="1"/>
  <c r="CU186" i="55" a="1"/>
  <c r="CU186" i="55" s="1"/>
  <c r="ID186" i="55" a="1"/>
  <c r="ID186" i="55" s="1"/>
  <c r="IE186" i="55" a="1"/>
  <c r="IE186" i="55" s="1"/>
  <c r="JX192" i="55"/>
  <c r="JY192" i="55"/>
  <c r="DV192" i="55"/>
  <c r="DW192" i="55" s="1"/>
  <c r="GQ230" i="55"/>
  <c r="FZ329" i="55"/>
  <c r="JF264" i="55"/>
  <c r="JM264" i="55"/>
  <c r="HL126" i="55"/>
  <c r="GK126" i="55"/>
  <c r="AM15" i="54"/>
  <c r="GM80" i="55"/>
  <c r="CI80" i="55"/>
  <c r="HV80" i="55" s="1"/>
  <c r="T80" i="55" s="1"/>
  <c r="FZ59" i="55"/>
  <c r="FR191" i="55"/>
  <c r="JF138" i="55"/>
  <c r="JM138" i="55"/>
  <c r="FZ265" i="55"/>
  <c r="DV169" i="55"/>
  <c r="DW169" i="55" s="1"/>
  <c r="JX169" i="55"/>
  <c r="JY169" i="55"/>
  <c r="JG280" i="55"/>
  <c r="JN280" i="55"/>
  <c r="JL276" i="55"/>
  <c r="JE276" i="55"/>
  <c r="JL84" i="55"/>
  <c r="JE84" i="55"/>
  <c r="JF271" i="55"/>
  <c r="JM271" i="55"/>
  <c r="ID211" i="55" a="1"/>
  <c r="ID211" i="55" s="1"/>
  <c r="IE211" i="55" a="1"/>
  <c r="IE211" i="55" s="1"/>
  <c r="JN82" i="55"/>
  <c r="JG82" i="55"/>
  <c r="CT64" i="55" a="1"/>
  <c r="CT64" i="55" s="1"/>
  <c r="CU64" i="55" a="1"/>
  <c r="CU64" i="55" s="1"/>
  <c r="CS64" i="55"/>
  <c r="AL29" i="54"/>
  <c r="GM58" i="55"/>
  <c r="CI58" i="55"/>
  <c r="HV58" i="55" s="1"/>
  <c r="T58" i="55" s="1"/>
  <c r="EV58" i="55"/>
  <c r="EW58" i="55" s="1"/>
  <c r="GE332" i="55" a="1"/>
  <c r="GE332" i="55" s="1"/>
  <c r="GF332" i="55" s="1"/>
  <c r="ID332" i="55" a="1"/>
  <c r="ID332" i="55" s="1"/>
  <c r="IE332" i="55" a="1"/>
  <c r="IE332" i="55" s="1"/>
  <c r="JL143" i="55"/>
  <c r="JE143" i="55"/>
  <c r="GE99" i="55" a="1"/>
  <c r="GE99" i="55" s="1"/>
  <c r="GF99" i="55" s="1"/>
  <c r="GM131" i="55"/>
  <c r="CI131" i="55"/>
  <c r="HV131" i="55" s="1"/>
  <c r="EV131" i="55"/>
  <c r="EW131" i="55" s="1"/>
  <c r="EZ131" i="55" s="1"/>
  <c r="JE345" i="55"/>
  <c r="JL345" i="55"/>
  <c r="JG88" i="55"/>
  <c r="JN88" i="55"/>
  <c r="FZ292" i="55"/>
  <c r="EK274" i="55"/>
  <c r="EK192" i="55"/>
  <c r="EV192" i="55"/>
  <c r="EW192" i="55" s="1"/>
  <c r="EK91" i="55"/>
  <c r="EV91" i="55" s="1"/>
  <c r="EW91" i="55" s="1"/>
  <c r="O91" i="55" a="1"/>
  <c r="O91" i="55" s="1"/>
  <c r="FR91" i="55"/>
  <c r="CV281" i="55"/>
  <c r="CW281" i="55"/>
  <c r="CY281" i="55"/>
  <c r="CX281" i="55"/>
  <c r="GM182" i="55"/>
  <c r="CI182" i="55"/>
  <c r="HV182" i="55" s="1"/>
  <c r="JE27" i="55"/>
  <c r="JL27" i="55"/>
  <c r="JM244" i="55"/>
  <c r="JF244" i="55"/>
  <c r="JM18" i="55"/>
  <c r="JF18" i="55"/>
  <c r="CV283" i="55"/>
  <c r="CW283" i="55"/>
  <c r="CX283" i="55"/>
  <c r="CY283" i="55"/>
  <c r="IE8" i="55" a="1"/>
  <c r="IE8" i="55" s="1"/>
  <c r="ID8" i="55" a="1"/>
  <c r="ID8" i="55" s="1"/>
  <c r="JM154" i="55"/>
  <c r="JF154" i="55"/>
  <c r="GR294" i="55"/>
  <c r="GT294" i="55"/>
  <c r="JN137" i="55"/>
  <c r="JG137" i="55"/>
  <c r="BS280" i="55"/>
  <c r="GQ311" i="55"/>
  <c r="GR311" i="55" s="1"/>
  <c r="FZ132" i="55"/>
  <c r="JL3" i="55"/>
  <c r="JE3" i="55"/>
  <c r="I3" i="40" a="1"/>
  <c r="I3" i="40" s="1"/>
  <c r="JN288" i="55"/>
  <c r="JG288" i="55"/>
  <c r="O281" i="55" a="1"/>
  <c r="O281" i="55" s="1"/>
  <c r="O210" i="55" a="1"/>
  <c r="O210" i="55" s="1"/>
  <c r="FZ195" i="55"/>
  <c r="JL221" i="55"/>
  <c r="JE221" i="55"/>
  <c r="GQ162" i="55"/>
  <c r="GR162" i="55" s="1"/>
  <c r="JL157" i="55"/>
  <c r="JE157" i="55"/>
  <c r="JG57" i="55"/>
  <c r="JN57" i="55"/>
  <c r="GM104" i="55"/>
  <c r="CI104" i="55"/>
  <c r="HV104" i="55" s="1"/>
  <c r="JG164" i="55"/>
  <c r="JN164" i="55"/>
  <c r="JL34" i="55"/>
  <c r="JE34" i="55"/>
  <c r="JM233" i="55"/>
  <c r="JF233" i="55"/>
  <c r="FZ340" i="55"/>
  <c r="CT316" i="55" a="1"/>
  <c r="CT316" i="55" s="1"/>
  <c r="CU316" i="55" a="1"/>
  <c r="CU316" i="55" s="1"/>
  <c r="CS316" i="55"/>
  <c r="ID284" i="55" a="1"/>
  <c r="ID284" i="55" s="1"/>
  <c r="IE284" i="55" a="1"/>
  <c r="IE284" i="55" s="1"/>
  <c r="ID28" i="55" a="1"/>
  <c r="ID28" i="55" s="1"/>
  <c r="IE28" i="55" a="1"/>
  <c r="IE28" i="55" s="1"/>
  <c r="CU123" i="55" a="1"/>
  <c r="CU123" i="55" s="1"/>
  <c r="CT123" i="55" a="1"/>
  <c r="CT123" i="55" s="1"/>
  <c r="JF17" i="55"/>
  <c r="JM17" i="55"/>
  <c r="EK111" i="55"/>
  <c r="O111" i="55" a="1"/>
  <c r="O111" i="55" s="1"/>
  <c r="JN340" i="55"/>
  <c r="JG340" i="55"/>
  <c r="BH16" i="54"/>
  <c r="AE16" i="54" a="1"/>
  <c r="AE16" i="54" s="1"/>
  <c r="BJ16" i="54"/>
  <c r="BK16" i="54" s="1"/>
  <c r="BN16" i="54"/>
  <c r="BO16" i="54" s="1"/>
  <c r="CW101" i="55"/>
  <c r="CX101" i="55"/>
  <c r="CY101" i="55"/>
  <c r="CV101" i="55"/>
  <c r="T101" i="55"/>
  <c r="CT60" i="55" a="1"/>
  <c r="CT60" i="55" s="1"/>
  <c r="CU60" i="55" a="1"/>
  <c r="CU60" i="55" s="1"/>
  <c r="HL301" i="55"/>
  <c r="JN6" i="55"/>
  <c r="JG6" i="55"/>
  <c r="GQ203" i="55"/>
  <c r="CX204" i="55"/>
  <c r="CY204" i="55"/>
  <c r="CV204" i="55"/>
  <c r="CW204" i="55"/>
  <c r="CZ204" i="55"/>
  <c r="DA204" i="55" s="1"/>
  <c r="T204" i="55"/>
  <c r="CU95" i="55" a="1"/>
  <c r="CU95" i="55" s="1"/>
  <c r="CT95" i="55" a="1"/>
  <c r="CT95" i="55" s="1"/>
  <c r="CS95" i="55"/>
  <c r="AL17" i="54"/>
  <c r="JN60" i="55"/>
  <c r="JG60" i="55"/>
  <c r="JF81" i="55"/>
  <c r="JM81" i="55"/>
  <c r="GE195" i="55" a="1"/>
  <c r="GE195" i="55" s="1"/>
  <c r="GF195" i="55" s="1"/>
  <c r="ID178" i="55" a="1"/>
  <c r="ID178" i="55" s="1"/>
  <c r="IE178" i="55" a="1"/>
  <c r="IE178" i="55" s="1"/>
  <c r="EO4" i="55" a="1"/>
  <c r="EO4" i="55" s="1"/>
  <c r="DR181" i="55" a="1"/>
  <c r="DR181" i="55" s="1"/>
  <c r="DT181" i="55" s="1"/>
  <c r="DU181" i="55"/>
  <c r="HT181" i="55" s="1"/>
  <c r="II181" i="55"/>
  <c r="GE243" i="55" a="1"/>
  <c r="GE243" i="55" s="1"/>
  <c r="GF243" i="55" s="1"/>
  <c r="JG347" i="55"/>
  <c r="JN347" i="55"/>
  <c r="JG317" i="55"/>
  <c r="JN317" i="55"/>
  <c r="JL92" i="55"/>
  <c r="JE92" i="55"/>
  <c r="R262" i="55"/>
  <c r="CY290" i="55"/>
  <c r="CV290" i="55"/>
  <c r="CX290" i="55"/>
  <c r="CW290" i="55"/>
  <c r="T290" i="55"/>
  <c r="JY153" i="55"/>
  <c r="JX153" i="55"/>
  <c r="GE307" i="55" a="1"/>
  <c r="GE307" i="55" s="1"/>
  <c r="GF307" i="55" s="1"/>
  <c r="CS274" i="55"/>
  <c r="JN129" i="55"/>
  <c r="JG129" i="55"/>
  <c r="GM268" i="55"/>
  <c r="CI268" i="55"/>
  <c r="HV268" i="55" s="1"/>
  <c r="JN222" i="55"/>
  <c r="JG222" i="55"/>
  <c r="EK235" i="55"/>
  <c r="GQ86" i="55"/>
  <c r="JG19" i="55"/>
  <c r="JN19" i="55"/>
  <c r="DV176" i="55"/>
  <c r="JY176" i="55"/>
  <c r="JX176" i="55"/>
  <c r="FZ246" i="55"/>
  <c r="JX37" i="55"/>
  <c r="DV37" i="55"/>
  <c r="DW37" i="55" s="1"/>
  <c r="JY37" i="55"/>
  <c r="FZ192" i="55"/>
  <c r="EK298" i="55"/>
  <c r="EV298" i="55" s="1"/>
  <c r="EW298" i="55" s="1"/>
  <c r="IE296" i="55" a="1"/>
  <c r="IE296" i="55" s="1"/>
  <c r="ID296" i="55" a="1"/>
  <c r="ID296" i="55" s="1"/>
  <c r="CT120" i="55" a="1"/>
  <c r="CT120" i="55" s="1"/>
  <c r="CU120" i="55" a="1"/>
  <c r="CU120" i="55" s="1"/>
  <c r="EK56" i="55"/>
  <c r="EV56" i="55"/>
  <c r="EW56" i="55" s="1"/>
  <c r="FZ348" i="55"/>
  <c r="FZ181" i="55"/>
  <c r="CU331" i="55" a="1"/>
  <c r="CU331" i="55" s="1"/>
  <c r="CT331" i="55" a="1"/>
  <c r="CT331" i="55" s="1"/>
  <c r="FZ269" i="55"/>
  <c r="JL165" i="55"/>
  <c r="JE165" i="55"/>
  <c r="GM259" i="55"/>
  <c r="CI259" i="55"/>
  <c r="HV259" i="55" s="1"/>
  <c r="T259" i="55" s="1"/>
  <c r="EV259" i="55"/>
  <c r="EW259" i="55" s="1"/>
  <c r="CY349" i="55"/>
  <c r="CW349" i="55"/>
  <c r="CX349" i="55"/>
  <c r="CV349" i="55"/>
  <c r="CZ349" i="55"/>
  <c r="DA349" i="55" s="1"/>
  <c r="JG179" i="55"/>
  <c r="JN179" i="55"/>
  <c r="JM315" i="55"/>
  <c r="JF315" i="55"/>
  <c r="JG250" i="55"/>
  <c r="JN250" i="55"/>
  <c r="CY125" i="55"/>
  <c r="CV125" i="55"/>
  <c r="CX125" i="55"/>
  <c r="CW125" i="55"/>
  <c r="CZ125" i="55"/>
  <c r="DA125" i="55" s="1"/>
  <c r="JL115" i="55"/>
  <c r="JE115" i="55"/>
  <c r="CT299" i="55" a="1"/>
  <c r="CT299" i="55" s="1"/>
  <c r="CU299" i="55" a="1"/>
  <c r="CU299" i="55" s="1"/>
  <c r="GM314" i="55"/>
  <c r="CI314" i="55"/>
  <c r="HV314" i="55" s="1"/>
  <c r="EV314" i="55"/>
  <c r="EW314" i="55" s="1"/>
  <c r="FZ130" i="55"/>
  <c r="EV269" i="55"/>
  <c r="EW269" i="55" s="1"/>
  <c r="CU219" i="55" a="1"/>
  <c r="CU219" i="55" s="1"/>
  <c r="CT219" i="55" a="1"/>
  <c r="CT219" i="55" s="1"/>
  <c r="JE110" i="55"/>
  <c r="JL110" i="55"/>
  <c r="GM342" i="55"/>
  <c r="CI342" i="55"/>
  <c r="HV342" i="55" s="1"/>
  <c r="EK163" i="55"/>
  <c r="EV163" i="55" s="1"/>
  <c r="EW163" i="55" s="1"/>
  <c r="FR163" i="55"/>
  <c r="CU315" i="55" a="1"/>
  <c r="CU315" i="55" s="1"/>
  <c r="CT315" i="55" a="1"/>
  <c r="CT315" i="55" s="1"/>
  <c r="JL253" i="55"/>
  <c r="JE253" i="55"/>
  <c r="CS186" i="55"/>
  <c r="IE248" i="55" a="1"/>
  <c r="IE248" i="55" s="1"/>
  <c r="ID248" i="55" a="1"/>
  <c r="ID248" i="55" s="1"/>
  <c r="JE264" i="55"/>
  <c r="JL264" i="55"/>
  <c r="GQ274" i="55"/>
  <c r="GR274" i="55" s="1"/>
  <c r="AL15" i="54"/>
  <c r="IE345" i="55" a="1"/>
  <c r="IE345" i="55" s="1"/>
  <c r="ID345" i="55" a="1"/>
  <c r="ID345" i="55" s="1"/>
  <c r="IE49" i="55" a="1"/>
  <c r="IE49" i="55" s="1"/>
  <c r="ID49" i="55" a="1"/>
  <c r="ID49" i="55" s="1"/>
  <c r="EK27" i="55"/>
  <c r="O27" i="55" a="1"/>
  <c r="O27" i="55" s="1"/>
  <c r="JG271" i="55"/>
  <c r="JN271" i="55"/>
  <c r="IE239" i="55" a="1"/>
  <c r="IE239" i="55" s="1"/>
  <c r="ID239" i="55" a="1"/>
  <c r="ID239" i="55" s="1"/>
  <c r="CX51" i="55"/>
  <c r="CY51" i="55"/>
  <c r="CV51" i="55"/>
  <c r="CW51" i="55"/>
  <c r="JM82" i="55"/>
  <c r="JF82" i="55"/>
  <c r="IE64" i="55" a="1"/>
  <c r="IE64" i="55" s="1"/>
  <c r="ID64" i="55" a="1"/>
  <c r="ID64" i="55" s="1"/>
  <c r="JM109" i="55"/>
  <c r="JF109" i="55"/>
  <c r="AQ29" i="54"/>
  <c r="FZ57" i="55"/>
  <c r="CX332" i="55"/>
  <c r="CW332" i="55"/>
  <c r="CV332" i="55"/>
  <c r="CY332" i="55"/>
  <c r="CW197" i="55"/>
  <c r="CX197" i="55"/>
  <c r="CY197" i="55"/>
  <c r="CV197" i="55"/>
  <c r="JM143" i="55"/>
  <c r="JF143" i="55"/>
  <c r="CX99" i="55"/>
  <c r="CY99" i="55"/>
  <c r="CV99" i="55"/>
  <c r="CW99" i="55"/>
  <c r="CU215" i="55" a="1"/>
  <c r="CU215" i="55" s="1"/>
  <c r="CT215" i="55" a="1"/>
  <c r="CT215" i="55" s="1"/>
  <c r="CS215" i="55"/>
  <c r="FZ98" i="55"/>
  <c r="JN285" i="55"/>
  <c r="JG285" i="55"/>
  <c r="JL20" i="55"/>
  <c r="JE20" i="55"/>
  <c r="GQ232" i="55"/>
  <c r="IE281" i="55" a="1"/>
  <c r="IE281" i="55" s="1"/>
  <c r="ID281" i="55" a="1"/>
  <c r="ID281" i="55" s="1"/>
  <c r="FS304" i="55"/>
  <c r="ID259" i="55" a="1"/>
  <c r="ID259" i="55" s="1"/>
  <c r="IE259" i="55" a="1"/>
  <c r="IE259" i="55" s="1"/>
  <c r="EV182" i="55"/>
  <c r="EW182" i="55" s="1"/>
  <c r="EK249" i="55"/>
  <c r="EK40" i="55"/>
  <c r="JL244" i="55"/>
  <c r="JE244" i="55"/>
  <c r="JM195" i="55"/>
  <c r="JF195" i="55"/>
  <c r="JL154" i="55"/>
  <c r="JE154" i="55"/>
  <c r="JG36" i="55"/>
  <c r="JN36" i="55"/>
  <c r="EK350" i="55"/>
  <c r="EV350" i="55" s="1"/>
  <c r="EW350" i="55" s="1"/>
  <c r="O350" i="55" a="1"/>
  <c r="O350" i="55" s="1"/>
  <c r="EK323" i="55"/>
  <c r="O323" i="55" a="1"/>
  <c r="O323" i="55" s="1"/>
  <c r="FR323" i="55"/>
  <c r="EK280" i="55"/>
  <c r="GQ55" i="55"/>
  <c r="GR55" i="55" s="1"/>
  <c r="JN3" i="55"/>
  <c r="JG3" i="55"/>
  <c r="K3" i="40" a="1"/>
  <c r="K3" i="40" s="1"/>
  <c r="FR96" i="55"/>
  <c r="JN283" i="55"/>
  <c r="JG283" i="55"/>
  <c r="CS104" i="55"/>
  <c r="JN11" i="55"/>
  <c r="JG11" i="55"/>
  <c r="JM25" i="55"/>
  <c r="JF25" i="55"/>
  <c r="JL100" i="55"/>
  <c r="JE100" i="55"/>
  <c r="O57" i="55" a="1"/>
  <c r="O57" i="55" s="1"/>
  <c r="EV57" i="55" s="1"/>
  <c r="EW57" i="55" s="1"/>
  <c r="GE106" i="55" a="1"/>
  <c r="GE106" i="55" s="1"/>
  <c r="GF106" i="55" s="1"/>
  <c r="ID27" i="55" a="1"/>
  <c r="ID27" i="55" s="1"/>
  <c r="IE27" i="55" a="1"/>
  <c r="IE27" i="55" s="1"/>
  <c r="JN17" i="55"/>
  <c r="JG17" i="55"/>
  <c r="CU180" i="55" a="1"/>
  <c r="CU180" i="55" s="1"/>
  <c r="CT180" i="55" a="1"/>
  <c r="CT180" i="55" s="1"/>
  <c r="DW247" i="55"/>
  <c r="CV247" i="55"/>
  <c r="CW247" i="55"/>
  <c r="CX247" i="55"/>
  <c r="CY247" i="55"/>
  <c r="JF344" i="55"/>
  <c r="JM344" i="55"/>
  <c r="CW236" i="55"/>
  <c r="CY236" i="55"/>
  <c r="CX236" i="55"/>
  <c r="CV236" i="55"/>
  <c r="CZ236" i="55"/>
  <c r="DA236" i="55" s="1"/>
  <c r="AR24" i="54"/>
  <c r="CT194" i="55" a="1"/>
  <c r="CT194" i="55" s="1"/>
  <c r="CU194" i="55" a="1"/>
  <c r="CU194" i="55" s="1"/>
  <c r="CT44" i="55" a="1"/>
  <c r="CT44" i="55" s="1"/>
  <c r="CU44" i="55" a="1"/>
  <c r="CU44" i="55" s="1"/>
  <c r="CS44" i="55"/>
  <c r="ID95" i="55" a="1"/>
  <c r="ID95" i="55" s="1"/>
  <c r="IE95" i="55" a="1"/>
  <c r="IE95" i="55" s="1"/>
  <c r="CT242" i="55" a="1"/>
  <c r="CT242" i="55" s="1"/>
  <c r="CU242" i="55" a="1"/>
  <c r="CU242" i="55" s="1"/>
  <c r="JN134" i="55"/>
  <c r="JG134" i="55"/>
  <c r="EK146" i="55"/>
  <c r="EV146" i="55" s="1"/>
  <c r="EW146" i="55" s="1"/>
  <c r="FR146" i="55"/>
  <c r="JM60" i="55"/>
  <c r="JF60" i="55"/>
  <c r="JN81" i="55"/>
  <c r="JG81" i="55"/>
  <c r="AK21" i="54"/>
  <c r="CX35" i="55"/>
  <c r="CY35" i="55"/>
  <c r="CV35" i="55"/>
  <c r="CW35" i="55"/>
  <c r="T35" i="55"/>
  <c r="CZ35" i="55"/>
  <c r="DA35" i="55" s="1"/>
  <c r="GE178" i="55" a="1"/>
  <c r="GE178" i="55" s="1"/>
  <c r="GF178" i="55" s="1"/>
  <c r="EK316" i="55"/>
  <c r="CZ60" i="55"/>
  <c r="DA60" i="55" s="1"/>
  <c r="CX76" i="55"/>
  <c r="CW76" i="55"/>
  <c r="CY76" i="55"/>
  <c r="CV76" i="55"/>
  <c r="DW76" i="55"/>
  <c r="GQ83" i="55"/>
  <c r="JM256" i="55"/>
  <c r="JF256" i="55"/>
  <c r="R4" i="55"/>
  <c r="GT243" i="55"/>
  <c r="GM278" i="55"/>
  <c r="CI278" i="55"/>
  <c r="HV278" i="55" s="1"/>
  <c r="IE73" i="55" a="1"/>
  <c r="IE73" i="55" s="1"/>
  <c r="ID73" i="55" a="1"/>
  <c r="ID73" i="55" s="1"/>
  <c r="JG92" i="55"/>
  <c r="JN92" i="55"/>
  <c r="CS319" i="55"/>
  <c r="EK155" i="55"/>
  <c r="EV155" i="55" s="1"/>
  <c r="EW155" i="55" s="1"/>
  <c r="FR155" i="55"/>
  <c r="IE297" i="55" a="1"/>
  <c r="IE297" i="55" s="1"/>
  <c r="ID297" i="55" a="1"/>
  <c r="ID297" i="55" s="1"/>
  <c r="DW66" i="55"/>
  <c r="CY66" i="55"/>
  <c r="CW66" i="55"/>
  <c r="CV66" i="55"/>
  <c r="CX66" i="55"/>
  <c r="GM60" i="55"/>
  <c r="CI60" i="55"/>
  <c r="HV60" i="55" s="1"/>
  <c r="T60" i="55" s="1"/>
  <c r="FS192" i="55"/>
  <c r="GE188" i="55" a="1"/>
  <c r="GE188" i="55" s="1"/>
  <c r="GF188" i="55" s="1"/>
  <c r="GE50" i="55" a="1"/>
  <c r="GE50" i="55" s="1"/>
  <c r="GF50" i="55" s="1"/>
  <c r="EV268" i="55"/>
  <c r="EW268" i="55" s="1"/>
  <c r="GQ56" i="55"/>
  <c r="GQ346" i="55"/>
  <c r="EZ253" i="55"/>
  <c r="R253" i="55"/>
  <c r="JE82" i="55"/>
  <c r="JL82" i="55"/>
  <c r="O51" i="55" a="1"/>
  <c r="O51" i="55" s="1"/>
  <c r="JN109" i="55"/>
  <c r="JG109" i="55"/>
  <c r="AM29" i="54"/>
  <c r="CW165" i="55"/>
  <c r="CX165" i="55"/>
  <c r="CY165" i="55"/>
  <c r="CV165" i="55"/>
  <c r="DW165" i="55"/>
  <c r="IE249" i="55" a="1"/>
  <c r="IE249" i="55" s="1"/>
  <c r="ID249" i="55" a="1"/>
  <c r="ID249" i="55" s="1"/>
  <c r="JG143" i="55"/>
  <c r="JN143" i="55"/>
  <c r="AO27" i="54"/>
  <c r="JG215" i="55"/>
  <c r="JN215" i="55"/>
  <c r="ID262" i="55" a="1"/>
  <c r="ID262" i="55" s="1"/>
  <c r="IE262" i="55" a="1"/>
  <c r="IE262" i="55" s="1"/>
  <c r="JM285" i="55"/>
  <c r="JF285" i="55"/>
  <c r="FR192" i="55"/>
  <c r="CU43" i="55" a="1"/>
  <c r="CU43" i="55" s="1"/>
  <c r="CT43" i="55" a="1"/>
  <c r="CT43" i="55" s="1"/>
  <c r="CS43" i="55"/>
  <c r="CY255" i="55"/>
  <c r="CW255" i="55"/>
  <c r="CV255" i="55"/>
  <c r="CX255" i="55"/>
  <c r="CZ255" i="55"/>
  <c r="DA255" i="55" s="1"/>
  <c r="CZ264" i="55"/>
  <c r="DA264" i="55" s="1"/>
  <c r="O40" i="55" a="1"/>
  <c r="O40" i="55" s="1"/>
  <c r="JM196" i="55"/>
  <c r="JF196" i="55"/>
  <c r="FZ20" i="55"/>
  <c r="CT8" i="55" a="1"/>
  <c r="CT8" i="55" s="1"/>
  <c r="CU8" i="55" a="1"/>
  <c r="CU8" i="55" s="1"/>
  <c r="JN154" i="55"/>
  <c r="JG154" i="55"/>
  <c r="JL26" i="55"/>
  <c r="JE26" i="55"/>
  <c r="EK52" i="55"/>
  <c r="O52" i="55" a="1"/>
  <c r="O52" i="55" s="1"/>
  <c r="JM3" i="55"/>
  <c r="JF3" i="55"/>
  <c r="J3" i="40" a="1"/>
  <c r="J3" i="40" s="1"/>
  <c r="CS344" i="55"/>
  <c r="JN68" i="55"/>
  <c r="JG68" i="55"/>
  <c r="JM283" i="55"/>
  <c r="JF283" i="55"/>
  <c r="FZ297" i="55"/>
  <c r="EK168" i="55"/>
  <c r="O168" i="55" a="1"/>
  <c r="O168" i="55" s="1"/>
  <c r="JL25" i="55"/>
  <c r="JE25" i="55"/>
  <c r="JM100" i="55"/>
  <c r="JF100" i="55"/>
  <c r="AO19" i="54"/>
  <c r="CV187" i="55"/>
  <c r="CX187" i="55"/>
  <c r="CW187" i="55"/>
  <c r="CY187" i="55"/>
  <c r="CZ187" i="55"/>
  <c r="DA187" i="55" s="1"/>
  <c r="JL233" i="55"/>
  <c r="JE233" i="55"/>
  <c r="JE28" i="55"/>
  <c r="JL28" i="55"/>
  <c r="CT32" i="55" a="1"/>
  <c r="CT32" i="55" s="1"/>
  <c r="CU32" i="55" a="1"/>
  <c r="CU32" i="55" s="1"/>
  <c r="CS32" i="55"/>
  <c r="JM340" i="55"/>
  <c r="JF340" i="55"/>
  <c r="GM157" i="55"/>
  <c r="CI157" i="55"/>
  <c r="HV157" i="55" s="1"/>
  <c r="T157" i="55" s="1"/>
  <c r="EV157" i="55"/>
  <c r="EW157" i="55" s="1"/>
  <c r="JL220" i="55"/>
  <c r="JE220" i="55"/>
  <c r="R16" i="55"/>
  <c r="AK24" i="54"/>
  <c r="GM218" i="55"/>
  <c r="CI218" i="55"/>
  <c r="HV218" i="55" s="1"/>
  <c r="EZ199" i="55"/>
  <c r="CU204" i="55" a="1"/>
  <c r="CU204" i="55" s="1"/>
  <c r="CT204" i="55" a="1"/>
  <c r="CT204" i="55" s="1"/>
  <c r="EK49" i="55"/>
  <c r="EV49" i="55" s="1"/>
  <c r="EW49" i="55" s="1"/>
  <c r="FR49" i="55"/>
  <c r="GF3" i="55"/>
  <c r="AN17" i="54"/>
  <c r="JM134" i="55"/>
  <c r="JF134" i="55"/>
  <c r="GQ101" i="55"/>
  <c r="O316" i="55" a="1"/>
  <c r="O316" i="55" s="1"/>
  <c r="CU76" i="55" a="1"/>
  <c r="CU76" i="55" s="1"/>
  <c r="CT76" i="55" a="1"/>
  <c r="CT76" i="55" s="1"/>
  <c r="CS33" i="55"/>
  <c r="JL256" i="55"/>
  <c r="JE256" i="55"/>
  <c r="EM4" i="55" a="1"/>
  <c r="EM4" i="55" s="1"/>
  <c r="J4" i="55" s="1"/>
  <c r="EN4" i="55" s="1"/>
  <c r="EY4" i="55" s="1"/>
  <c r="CW86" i="55"/>
  <c r="CY86" i="55"/>
  <c r="CV86" i="55"/>
  <c r="CX86" i="55"/>
  <c r="CI351" i="55"/>
  <c r="HV351" i="55" s="1"/>
  <c r="JE317" i="55"/>
  <c r="JL317" i="55"/>
  <c r="BH21" i="54"/>
  <c r="BJ21" i="54"/>
  <c r="BK21" i="54" s="1"/>
  <c r="BN21" i="54"/>
  <c r="BO21" i="54" s="1"/>
  <c r="AE21" i="54" a="1"/>
  <c r="AE21" i="54" s="1"/>
  <c r="JM92" i="55"/>
  <c r="JF92" i="55"/>
  <c r="EK143" i="55"/>
  <c r="O143" i="55" a="1"/>
  <c r="O143" i="55" s="1"/>
  <c r="AQ28" i="54"/>
  <c r="GQ171" i="55"/>
  <c r="R234" i="55"/>
  <c r="DZ28" i="55"/>
  <c r="EB28" i="55"/>
  <c r="EZ218" i="55"/>
  <c r="R229" i="55"/>
  <c r="FS272" i="55"/>
  <c r="CX324" i="55"/>
  <c r="CV324" i="55"/>
  <c r="CW324" i="55"/>
  <c r="CY324" i="55"/>
  <c r="CZ324" i="55"/>
  <c r="DA324" i="55" s="1"/>
  <c r="CT348" i="55" a="1"/>
  <c r="CT348" i="55" s="1"/>
  <c r="CU348" i="55" a="1"/>
  <c r="CU348" i="55" s="1"/>
  <c r="DM192" i="55"/>
  <c r="CT146" i="55" a="1"/>
  <c r="CT146" i="55" s="1"/>
  <c r="CU146" i="55" a="1"/>
  <c r="CU146" i="55" s="1"/>
  <c r="CS146" i="55"/>
  <c r="EZ147" i="55"/>
  <c r="EK318" i="55"/>
  <c r="O318" i="55" a="1"/>
  <c r="O318" i="55" s="1"/>
  <c r="FR318" i="55"/>
  <c r="ID227" i="55" a="1"/>
  <c r="ID227" i="55" s="1"/>
  <c r="IE227" i="55" a="1"/>
  <c r="IE227" i="55" s="1"/>
  <c r="R277" i="55"/>
  <c r="DV191" i="55"/>
  <c r="DW191" i="55" s="1"/>
  <c r="JY191" i="55"/>
  <c r="JX191" i="55"/>
  <c r="DW176" i="55"/>
  <c r="CY176" i="55"/>
  <c r="CV176" i="55"/>
  <c r="CW176" i="55"/>
  <c r="CX176" i="55"/>
  <c r="CU110" i="55" a="1"/>
  <c r="CU110" i="55" s="1"/>
  <c r="CT110" i="55" a="1"/>
  <c r="CT110" i="55" s="1"/>
  <c r="CS110" i="55"/>
  <c r="EK263" i="55"/>
  <c r="EV263" i="55" s="1"/>
  <c r="EW263" i="55" s="1"/>
  <c r="JN240" i="55"/>
  <c r="JG240" i="55"/>
  <c r="JN21" i="55"/>
  <c r="JG21" i="55"/>
  <c r="CZ51" i="55"/>
  <c r="DA51" i="55" s="1"/>
  <c r="JE112" i="55"/>
  <c r="JL112" i="55"/>
  <c r="CV155" i="55"/>
  <c r="CW155" i="55"/>
  <c r="CY155" i="55"/>
  <c r="CX155" i="55"/>
  <c r="JG150" i="55"/>
  <c r="JN150" i="55"/>
  <c r="CT248" i="55" a="1"/>
  <c r="CT248" i="55" s="1"/>
  <c r="CU248" i="55" a="1"/>
  <c r="CU248" i="55" s="1"/>
  <c r="JN168" i="55"/>
  <c r="JG168" i="55"/>
  <c r="DM37" i="55"/>
  <c r="CZ337" i="55"/>
  <c r="DA337" i="55" s="1"/>
  <c r="IE288" i="55" a="1"/>
  <c r="IE288" i="55" s="1"/>
  <c r="ID288" i="55" a="1"/>
  <c r="ID288" i="55" s="1"/>
  <c r="JF266" i="55"/>
  <c r="JM266" i="55"/>
  <c r="JL89" i="55"/>
  <c r="JE89" i="55"/>
  <c r="JE348" i="55"/>
  <c r="JL348" i="55"/>
  <c r="R136" i="55"/>
  <c r="R65" i="55"/>
  <c r="CT51" i="55" a="1"/>
  <c r="CT51" i="55" s="1"/>
  <c r="CU51" i="55" a="1"/>
  <c r="CU51" i="55" s="1"/>
  <c r="JF64" i="55"/>
  <c r="JM64" i="55"/>
  <c r="JE109" i="55"/>
  <c r="JL109" i="55"/>
  <c r="AM14" i="54"/>
  <c r="AR26" i="54"/>
  <c r="GM44" i="55"/>
  <c r="CI44" i="55"/>
  <c r="HV44" i="55" s="1"/>
  <c r="CW149" i="55"/>
  <c r="CX149" i="55"/>
  <c r="CY149" i="55"/>
  <c r="CV149" i="55"/>
  <c r="DW149" i="55"/>
  <c r="GE139" i="55" a="1"/>
  <c r="GE139" i="55" s="1"/>
  <c r="GF139" i="55" s="1"/>
  <c r="O97" i="55" a="1"/>
  <c r="O97" i="55" s="1"/>
  <c r="CT249" i="55" a="1"/>
  <c r="CT249" i="55" s="1"/>
  <c r="CU249" i="55" a="1"/>
  <c r="CU249" i="55" s="1"/>
  <c r="AK27" i="54"/>
  <c r="CU99" i="55" a="1"/>
  <c r="CU99" i="55" s="1"/>
  <c r="CT99" i="55" a="1"/>
  <c r="CT99" i="55" s="1"/>
  <c r="GM187" i="55"/>
  <c r="CI187" i="55"/>
  <c r="HV187" i="55" s="1"/>
  <c r="T187" i="55" s="1"/>
  <c r="JM27" i="55"/>
  <c r="JF27" i="55"/>
  <c r="CV40" i="55"/>
  <c r="CY40" i="55"/>
  <c r="CX40" i="55"/>
  <c r="CW40" i="55"/>
  <c r="CZ40" i="55"/>
  <c r="DA40" i="55" s="1"/>
  <c r="JG200" i="55"/>
  <c r="JN200" i="55"/>
  <c r="JL196" i="55"/>
  <c r="JE196" i="55"/>
  <c r="CS8" i="55"/>
  <c r="FZ169" i="55"/>
  <c r="FR316" i="55"/>
  <c r="O274" i="55" a="1"/>
  <c r="O274" i="55" s="1"/>
  <c r="FZ323" i="55"/>
  <c r="CS168" i="55"/>
  <c r="JM26" i="55"/>
  <c r="JF26" i="55"/>
  <c r="FZ298" i="55"/>
  <c r="IE268" i="55" a="1"/>
  <c r="IE268" i="55" s="1"/>
  <c r="ID268" i="55" a="1"/>
  <c r="ID268" i="55" s="1"/>
  <c r="FR321" i="55"/>
  <c r="EM27" i="55" a="1"/>
  <c r="EM27" i="55" s="1"/>
  <c r="J27" i="55" s="1"/>
  <c r="EN27" i="55" s="1"/>
  <c r="EY27" i="55" s="1"/>
  <c r="CZ25" i="55"/>
  <c r="DA25" i="55" s="1"/>
  <c r="DM25" i="55" s="1"/>
  <c r="R207" i="55"/>
  <c r="FZ38" i="55"/>
  <c r="AM19" i="54"/>
  <c r="JL122" i="55"/>
  <c r="JE122" i="55"/>
  <c r="JG233" i="55"/>
  <c r="JN233" i="55"/>
  <c r="JN28" i="55"/>
  <c r="JG28" i="55"/>
  <c r="GQ58" i="55"/>
  <c r="JC28" i="55"/>
  <c r="CU59" i="55" a="1"/>
  <c r="CU59" i="55" s="1"/>
  <c r="CT59" i="55" a="1"/>
  <c r="CT59" i="55" s="1"/>
  <c r="CS59" i="55"/>
  <c r="CS323" i="55"/>
  <c r="JN32" i="55"/>
  <c r="JG32" i="55"/>
  <c r="FZ328" i="55"/>
  <c r="JL340" i="55"/>
  <c r="JE340" i="55"/>
  <c r="JN220" i="55"/>
  <c r="JG220" i="55"/>
  <c r="JC47" i="55"/>
  <c r="CS194" i="55"/>
  <c r="CY34" i="55"/>
  <c r="CV34" i="55"/>
  <c r="CX34" i="55"/>
  <c r="CW34" i="55"/>
  <c r="GQ65" i="55"/>
  <c r="JF95" i="55"/>
  <c r="JM95" i="55"/>
  <c r="JG44" i="55"/>
  <c r="JN44" i="55"/>
  <c r="IE338" i="55" a="1"/>
  <c r="IE338" i="55" s="1"/>
  <c r="ID338" i="55" a="1"/>
  <c r="ID338" i="55" s="1"/>
  <c r="R245" i="55"/>
  <c r="FZ145" i="55"/>
  <c r="DM191" i="55"/>
  <c r="R307" i="55"/>
  <c r="O321" i="55" a="1"/>
  <c r="O321" i="55" s="1"/>
  <c r="FS193" i="55"/>
  <c r="R176" i="55"/>
  <c r="JL58" i="55"/>
  <c r="JE58" i="55"/>
  <c r="JM73" i="55"/>
  <c r="JF73" i="55"/>
  <c r="GQ350" i="55"/>
  <c r="R120" i="55"/>
  <c r="CW213" i="55"/>
  <c r="CX213" i="55"/>
  <c r="CY213" i="55"/>
  <c r="DW213" i="55"/>
  <c r="CV213" i="55"/>
  <c r="O239" i="55" a="1"/>
  <c r="O239" i="55" s="1"/>
  <c r="EM28" i="55" a="1"/>
  <c r="EM28" i="55" s="1"/>
  <c r="J28" i="55" s="1"/>
  <c r="EN28" i="55" s="1"/>
  <c r="JN188" i="55"/>
  <c r="JG188" i="55"/>
  <c r="DV162" i="55"/>
  <c r="DW162" i="55" s="1"/>
  <c r="EZ213" i="55"/>
  <c r="ID261" i="55" a="1"/>
  <c r="ID261" i="55" s="1"/>
  <c r="IE261" i="55" a="1"/>
  <c r="IE261" i="55" s="1"/>
  <c r="CV231" i="55"/>
  <c r="CW231" i="55"/>
  <c r="CX231" i="55"/>
  <c r="CY231" i="55"/>
  <c r="IE339" i="55" a="1"/>
  <c r="IE339" i="55" s="1"/>
  <c r="ID339" i="55" a="1"/>
  <c r="ID339" i="55" s="1"/>
  <c r="DV132" i="55"/>
  <c r="DW132" i="55" s="1"/>
  <c r="EK310" i="55"/>
  <c r="EV310" i="55"/>
  <c r="EW310" i="55" s="1"/>
  <c r="CZ197" i="55"/>
  <c r="DA197" i="55" s="1"/>
  <c r="JL142" i="55"/>
  <c r="JE142" i="55"/>
  <c r="JM243" i="55"/>
  <c r="JF243" i="55"/>
  <c r="FZ82" i="55"/>
  <c r="FZ112" i="55"/>
  <c r="FZ275" i="55"/>
  <c r="FR200" i="55"/>
  <c r="ID90" i="55" a="1"/>
  <c r="ID90" i="55" s="1"/>
  <c r="IE90" i="55" a="1"/>
  <c r="IE90" i="55" s="1"/>
  <c r="JM246" i="55"/>
  <c r="JF246" i="55"/>
  <c r="JF293" i="55"/>
  <c r="JM293" i="55"/>
  <c r="ID77" i="55" a="1"/>
  <c r="ID77" i="55" s="1"/>
  <c r="IE77" i="55" a="1"/>
  <c r="IE77" i="55" s="1"/>
  <c r="GQ133" i="55"/>
  <c r="GQ143" i="55"/>
  <c r="GQ153" i="55"/>
  <c r="GQ131" i="55"/>
  <c r="GR131" i="55" s="1"/>
  <c r="GQ140" i="55"/>
  <c r="GQ152" i="55"/>
  <c r="GQ150" i="55"/>
  <c r="GQ149" i="55"/>
  <c r="GQ137" i="55"/>
  <c r="GQ132" i="55"/>
  <c r="GQ146" i="55"/>
  <c r="JN295" i="55"/>
  <c r="JG295" i="55"/>
  <c r="FZ85" i="55"/>
  <c r="EK343" i="55"/>
  <c r="EV343" i="55" s="1"/>
  <c r="EW343" i="55" s="1"/>
  <c r="O343" i="55" a="1"/>
  <c r="O343" i="55" s="1"/>
  <c r="CZ101" i="55"/>
  <c r="DA101" i="55" s="1"/>
  <c r="JN166" i="55"/>
  <c r="JG166" i="55"/>
  <c r="JF87" i="55"/>
  <c r="JM87" i="55"/>
  <c r="GQ291" i="55"/>
  <c r="GR291" i="55" s="1"/>
  <c r="GE138" i="55" a="1"/>
  <c r="GE138" i="55" s="1"/>
  <c r="GF138" i="55" s="1"/>
  <c r="FZ214" i="55"/>
  <c r="JG182" i="55"/>
  <c r="JN182" i="55"/>
  <c r="JF135" i="55"/>
  <c r="JM135" i="55"/>
  <c r="JM326" i="55"/>
  <c r="JF326" i="55"/>
  <c r="FZ23" i="55"/>
  <c r="JL38" i="55"/>
  <c r="JE38" i="55"/>
  <c r="ID285" i="55" a="1"/>
  <c r="ID285" i="55" s="1"/>
  <c r="IE285" i="55" a="1"/>
  <c r="IE285" i="55" s="1"/>
  <c r="CT29" i="55" a="1"/>
  <c r="CT29" i="55" s="1"/>
  <c r="CU29" i="55" a="1"/>
  <c r="CU29" i="55" s="1"/>
  <c r="FZ194" i="55"/>
  <c r="AQ22" i="54"/>
  <c r="CT58" i="55" a="1"/>
  <c r="CT58" i="55" s="1"/>
  <c r="CU58" i="55" a="1"/>
  <c r="CU58" i="55" s="1"/>
  <c r="CZ277" i="55"/>
  <c r="DA277" i="55" s="1"/>
  <c r="FZ166" i="55"/>
  <c r="FZ326" i="55"/>
  <c r="JF190" i="55"/>
  <c r="JM190" i="55"/>
  <c r="ID94" i="55" a="1"/>
  <c r="ID94" i="55" s="1"/>
  <c r="IE94" i="55" a="1"/>
  <c r="IE94" i="55" s="1"/>
  <c r="GE74" i="55" a="1"/>
  <c r="GE74" i="55" s="1"/>
  <c r="GF74" i="55" s="1"/>
  <c r="FZ35" i="55"/>
  <c r="JE61" i="55"/>
  <c r="JL61" i="55"/>
  <c r="FZ50" i="55"/>
  <c r="JM19" i="55"/>
  <c r="JF19" i="55"/>
  <c r="FZ144" i="55"/>
  <c r="JN98" i="55"/>
  <c r="JG98" i="55"/>
  <c r="JM323" i="55"/>
  <c r="JF323" i="55"/>
  <c r="JL176" i="55"/>
  <c r="JE176" i="55"/>
  <c r="JG299" i="55"/>
  <c r="JN299" i="55"/>
  <c r="GR342" i="55"/>
  <c r="FZ226" i="55"/>
  <c r="FZ320" i="55"/>
  <c r="JL331" i="55"/>
  <c r="JE331" i="55"/>
  <c r="JE48" i="55"/>
  <c r="JL48" i="55"/>
  <c r="CU251" i="55" a="1"/>
  <c r="CU251" i="55" s="1"/>
  <c r="CT251" i="55" a="1"/>
  <c r="CT251" i="55" s="1"/>
  <c r="O299" i="55" a="1"/>
  <c r="O299" i="55" s="1"/>
  <c r="FZ74" i="55"/>
  <c r="CZ99" i="55"/>
  <c r="DA99" i="55" s="1"/>
  <c r="CT96" i="55" a="1"/>
  <c r="CT96" i="55" s="1"/>
  <c r="CU96" i="55" a="1"/>
  <c r="CU96" i="55" s="1"/>
  <c r="CS96" i="55"/>
  <c r="JN349" i="55"/>
  <c r="JG349" i="55"/>
  <c r="JF234" i="55"/>
  <c r="JM234" i="55"/>
  <c r="JM217" i="55"/>
  <c r="JF217" i="55"/>
  <c r="O137" i="55" a="1"/>
  <c r="O137" i="55" s="1"/>
  <c r="IE328" i="55" a="1"/>
  <c r="IE328" i="55" s="1"/>
  <c r="ID328" i="55" a="1"/>
  <c r="ID328" i="55" s="1"/>
  <c r="EV276" i="55"/>
  <c r="EW276" i="55" s="1"/>
  <c r="FZ125" i="55"/>
  <c r="JN110" i="55"/>
  <c r="JG110" i="55"/>
  <c r="GM293" i="55"/>
  <c r="CI293" i="55"/>
  <c r="HV293" i="55" s="1"/>
  <c r="JF240" i="55"/>
  <c r="JM240" i="55"/>
  <c r="JM237" i="55"/>
  <c r="JF237" i="55"/>
  <c r="EK215" i="55"/>
  <c r="EV215" i="55" s="1"/>
  <c r="EW215" i="55" s="1"/>
  <c r="JL21" i="55"/>
  <c r="JE21" i="55"/>
  <c r="EK262" i="55"/>
  <c r="EV262" i="55" s="1"/>
  <c r="EW262" i="55" s="1"/>
  <c r="EK216" i="55"/>
  <c r="EV216" i="55"/>
  <c r="EW216" i="55" s="1"/>
  <c r="JL150" i="55"/>
  <c r="JE150" i="55"/>
  <c r="JY75" i="55"/>
  <c r="JX75" i="55"/>
  <c r="DV75" i="55"/>
  <c r="JF168" i="55"/>
  <c r="JM168" i="55"/>
  <c r="JG212" i="55"/>
  <c r="JN212" i="55"/>
  <c r="EK284" i="55"/>
  <c r="EV284" i="55" s="1"/>
  <c r="EW284" i="55" s="1"/>
  <c r="EK254" i="55"/>
  <c r="O254" i="55" a="1"/>
  <c r="O254" i="55" s="1"/>
  <c r="JN266" i="55"/>
  <c r="JG266" i="55"/>
  <c r="JG249" i="55"/>
  <c r="JN249" i="55"/>
  <c r="JG89" i="55"/>
  <c r="JN89" i="55"/>
  <c r="EK164" i="55"/>
  <c r="EV164" i="55" s="1"/>
  <c r="EW164" i="55" s="1"/>
  <c r="JN348" i="55"/>
  <c r="JG348" i="55"/>
  <c r="DV71" i="55"/>
  <c r="DW71" i="55" s="1"/>
  <c r="JY71" i="55"/>
  <c r="JX71" i="55"/>
  <c r="DM71" i="55"/>
  <c r="DQ71" i="55" s="1"/>
  <c r="JN64" i="55"/>
  <c r="JG64" i="55"/>
  <c r="AR29" i="54"/>
  <c r="AN14" i="54"/>
  <c r="AL20" i="54"/>
  <c r="AM26" i="54"/>
  <c r="CS249" i="55"/>
  <c r="AN27" i="54"/>
  <c r="JM215" i="55"/>
  <c r="JF215" i="55"/>
  <c r="IE144" i="55" a="1"/>
  <c r="IE144" i="55" s="1"/>
  <c r="ID144" i="55" a="1"/>
  <c r="ID144" i="55" s="1"/>
  <c r="CT40" i="55" a="1"/>
  <c r="CT40" i="55" s="1"/>
  <c r="CU40" i="55" a="1"/>
  <c r="CU40" i="55" s="1"/>
  <c r="O249" i="55" a="1"/>
  <c r="O249" i="55" s="1"/>
  <c r="JM200" i="55"/>
  <c r="JF200" i="55"/>
  <c r="JN224" i="55"/>
  <c r="JG224" i="55"/>
  <c r="JG189" i="55"/>
  <c r="JN189" i="55"/>
  <c r="CT346" i="55" a="1"/>
  <c r="CT346" i="55" s="1"/>
  <c r="CU346" i="55" a="1"/>
  <c r="CU346" i="55" s="1"/>
  <c r="JN26" i="55"/>
  <c r="JG26" i="55"/>
  <c r="IE312" i="55" a="1"/>
  <c r="IE312" i="55" s="1"/>
  <c r="ID312" i="55" a="1"/>
  <c r="ID312" i="55" s="1"/>
  <c r="JL186" i="55"/>
  <c r="JE186" i="55"/>
  <c r="EK305" i="55"/>
  <c r="EV305" i="55"/>
  <c r="EW305" i="55" s="1"/>
  <c r="GE216" i="55" a="1"/>
  <c r="GE216" i="55" s="1"/>
  <c r="GF216" i="55" s="1"/>
  <c r="EK138" i="55"/>
  <c r="EV138" i="55"/>
  <c r="EW138" i="55" s="1"/>
  <c r="JM228" i="55"/>
  <c r="JF228" i="55"/>
  <c r="JF265" i="55"/>
  <c r="JM265" i="55"/>
  <c r="JG25" i="55"/>
  <c r="JN25" i="55"/>
  <c r="R270" i="55"/>
  <c r="JG100" i="55"/>
  <c r="JN100" i="55"/>
  <c r="AR19" i="54"/>
  <c r="CU187" i="55" a="1"/>
  <c r="CU187" i="55" s="1"/>
  <c r="CT187" i="55" a="1"/>
  <c r="CT187" i="55" s="1"/>
  <c r="FZ13" i="55"/>
  <c r="JF122" i="55"/>
  <c r="JM122" i="55"/>
  <c r="GQ71" i="55"/>
  <c r="CX284" i="55"/>
  <c r="CW284" i="55"/>
  <c r="CV284" i="55"/>
  <c r="CY284" i="55"/>
  <c r="CZ284" i="55"/>
  <c r="DA284" i="55" s="1"/>
  <c r="FZ316" i="55"/>
  <c r="JM28" i="55"/>
  <c r="JF28" i="55"/>
  <c r="EK275" i="55"/>
  <c r="EV275" i="55" s="1"/>
  <c r="EW275" i="55" s="1"/>
  <c r="FR275" i="55"/>
  <c r="FS169" i="55"/>
  <c r="GQ172" i="55"/>
  <c r="EZ77" i="55"/>
  <c r="R77" i="55"/>
  <c r="R163" i="55"/>
  <c r="IE84" i="55" a="1"/>
  <c r="IE84" i="55" s="1"/>
  <c r="ID84" i="55" a="1"/>
  <c r="ID84" i="55" s="1"/>
  <c r="GE236" i="55" a="1"/>
  <c r="GE236" i="55" s="1"/>
  <c r="GF236" i="55" s="1"/>
  <c r="JF220" i="55"/>
  <c r="JM220" i="55"/>
  <c r="AN24" i="54"/>
  <c r="R135" i="55"/>
  <c r="CT65" i="55" a="1"/>
  <c r="CT65" i="55" s="1"/>
  <c r="CU65" i="55" a="1"/>
  <c r="CU65" i="55" s="1"/>
  <c r="CS65" i="55"/>
  <c r="JG95" i="55"/>
  <c r="JN95" i="55"/>
  <c r="GQ82" i="55"/>
  <c r="GQ165" i="55"/>
  <c r="CT35" i="55" a="1"/>
  <c r="CT35" i="55" s="1"/>
  <c r="CU35" i="55" a="1"/>
  <c r="CU35" i="55" s="1"/>
  <c r="JF297" i="55"/>
  <c r="JM297" i="55"/>
  <c r="EK242" i="55"/>
  <c r="EV242" i="55" s="1"/>
  <c r="EW242" i="55" s="1"/>
  <c r="FR242" i="55"/>
  <c r="CV151" i="55"/>
  <c r="CW151" i="55"/>
  <c r="CX151" i="55"/>
  <c r="CY151" i="55"/>
  <c r="CZ151" i="55"/>
  <c r="DA151" i="55" s="1"/>
  <c r="GQ271" i="55"/>
  <c r="GR271" i="55" s="1"/>
  <c r="JF58" i="55"/>
  <c r="JM58" i="55"/>
  <c r="JL73" i="55"/>
  <c r="JE73" i="55"/>
  <c r="CT172" i="55" a="1"/>
  <c r="CT172" i="55" s="1"/>
  <c r="CU172" i="55" a="1"/>
  <c r="CU172" i="55" s="1"/>
  <c r="CS172" i="55"/>
  <c r="EZ105" i="55"/>
  <c r="R105" i="55"/>
  <c r="CY130" i="55"/>
  <c r="CW130" i="55"/>
  <c r="CV130" i="55"/>
  <c r="CX130" i="55"/>
  <c r="EZ302" i="55"/>
  <c r="AO28" i="54"/>
  <c r="R149" i="55"/>
  <c r="GQ234" i="55"/>
  <c r="JM314" i="55"/>
  <c r="JF314" i="55"/>
  <c r="GE210" i="55" a="1"/>
  <c r="GE210" i="55" s="1"/>
  <c r="GF210" i="55" s="1"/>
  <c r="CV88" i="55"/>
  <c r="CW88" i="55"/>
  <c r="CX88" i="55"/>
  <c r="CY88" i="55"/>
  <c r="CZ88" i="55"/>
  <c r="DA88" i="55" s="1"/>
  <c r="EV185" i="55"/>
  <c r="EW185" i="55" s="1"/>
  <c r="JY227" i="55"/>
  <c r="R199" i="55"/>
  <c r="EK38" i="55"/>
  <c r="EV38" i="55"/>
  <c r="EW38" i="55" s="1"/>
  <c r="FR310" i="55"/>
  <c r="AP24" i="54" s="1"/>
  <c r="JN214" i="55"/>
  <c r="JG214" i="55"/>
  <c r="GM245" i="55"/>
  <c r="CI245" i="55"/>
  <c r="HV245" i="55" s="1"/>
  <c r="T245" i="55" s="1"/>
  <c r="CZ290" i="55"/>
  <c r="DA290" i="55" s="1"/>
  <c r="CU270" i="55" a="1"/>
  <c r="CU270" i="55" s="1"/>
  <c r="CT270" i="55" a="1"/>
  <c r="CT270" i="55" s="1"/>
  <c r="CS270" i="55"/>
  <c r="CT317" i="55" a="1"/>
  <c r="CT317" i="55" s="1"/>
  <c r="CU317" i="55" a="1"/>
  <c r="CU317" i="55" s="1"/>
  <c r="JL294" i="55"/>
  <c r="JE294" i="55"/>
  <c r="JN246" i="55"/>
  <c r="JG246" i="55"/>
  <c r="JN293" i="55"/>
  <c r="JG293" i="55"/>
  <c r="GM21" i="55"/>
  <c r="CI21" i="55"/>
  <c r="HV21" i="55" s="1"/>
  <c r="T21" i="55" s="1"/>
  <c r="EV21" i="55"/>
  <c r="EW21" i="55" s="1"/>
  <c r="GE250" i="55" a="1"/>
  <c r="GE250" i="55" s="1"/>
  <c r="GF250" i="55" s="1"/>
  <c r="JF103" i="55"/>
  <c r="JM103" i="55"/>
  <c r="DV53" i="55"/>
  <c r="DW53" i="55" s="1"/>
  <c r="JX53" i="55"/>
  <c r="JY53" i="55"/>
  <c r="DM53" i="55"/>
  <c r="DQ53" i="55" s="1"/>
  <c r="JN311" i="55"/>
  <c r="JG311" i="55"/>
  <c r="JL67" i="55"/>
  <c r="JE67" i="55"/>
  <c r="JN126" i="55"/>
  <c r="JG126" i="55"/>
  <c r="JC26" i="55"/>
  <c r="GU26" i="55"/>
  <c r="GU27" i="55" s="1"/>
  <c r="JF166" i="55"/>
  <c r="JM166" i="55"/>
  <c r="CU182" i="55" a="1"/>
  <c r="CU182" i="55" s="1"/>
  <c r="CT182" i="55" a="1"/>
  <c r="CT182" i="55" s="1"/>
  <c r="CS182" i="55"/>
  <c r="T197" i="55"/>
  <c r="JF310" i="55"/>
  <c r="JM310" i="55"/>
  <c r="JL102" i="55"/>
  <c r="JE102" i="55"/>
  <c r="GE141" i="55" a="1"/>
  <c r="GE141" i="55" s="1"/>
  <c r="GF141" i="55" s="1"/>
  <c r="JN338" i="55"/>
  <c r="JG338" i="55"/>
  <c r="CV58" i="55"/>
  <c r="CX58" i="55"/>
  <c r="CW58" i="55"/>
  <c r="CY58" i="55"/>
  <c r="CZ58" i="55"/>
  <c r="DA58" i="55" s="1"/>
  <c r="DV181" i="55"/>
  <c r="DW181" i="55" s="1"/>
  <c r="JX181" i="55"/>
  <c r="JY181" i="55"/>
  <c r="JE190" i="55"/>
  <c r="JL190" i="55"/>
  <c r="JN158" i="55"/>
  <c r="JG158" i="55"/>
  <c r="JN176" i="55"/>
  <c r="JG176" i="55"/>
  <c r="JE299" i="55"/>
  <c r="JL299" i="55"/>
  <c r="CT296" i="55" a="1"/>
  <c r="CT296" i="55" s="1"/>
  <c r="CU296" i="55" a="1"/>
  <c r="CU296" i="55" s="1"/>
  <c r="CS120" i="55"/>
  <c r="JE284" i="55"/>
  <c r="JL284" i="55"/>
  <c r="JN133" i="55"/>
  <c r="JG133" i="55"/>
  <c r="DV304" i="55"/>
  <c r="DW304" i="55" s="1"/>
  <c r="JY304" i="55"/>
  <c r="JX304" i="55"/>
  <c r="JM331" i="55"/>
  <c r="JF331" i="55"/>
  <c r="JE99" i="55"/>
  <c r="JL99" i="55"/>
  <c r="JN48" i="55"/>
  <c r="JG48" i="55"/>
  <c r="JG13" i="55"/>
  <c r="JN13" i="55"/>
  <c r="JM329" i="55"/>
  <c r="JF329" i="55"/>
  <c r="CT349" i="55" a="1"/>
  <c r="CT349" i="55" s="1"/>
  <c r="CU349" i="55" a="1"/>
  <c r="CU349" i="55" s="1"/>
  <c r="JN96" i="55"/>
  <c r="JG96" i="55"/>
  <c r="JM349" i="55"/>
  <c r="JF349" i="55"/>
  <c r="JN155" i="55"/>
  <c r="JG155" i="55"/>
  <c r="JL234" i="55"/>
  <c r="JE234" i="55"/>
  <c r="O352" i="55" a="1"/>
  <c r="O352" i="55" s="1"/>
  <c r="CU13" i="55" a="1"/>
  <c r="CU13" i="55" s="1"/>
  <c r="CT13" i="55" a="1"/>
  <c r="CT13" i="55" s="1"/>
  <c r="GQ246" i="55"/>
  <c r="GR246" i="55" s="1"/>
  <c r="JN237" i="55"/>
  <c r="JG237" i="55"/>
  <c r="JN112" i="55"/>
  <c r="JG112" i="55"/>
  <c r="JL168" i="55"/>
  <c r="JE168" i="55"/>
  <c r="JM212" i="55"/>
  <c r="JF212" i="55"/>
  <c r="EK282" i="55"/>
  <c r="O282" i="55" a="1"/>
  <c r="O282" i="55" s="1"/>
  <c r="FR282" i="55"/>
  <c r="GQ208" i="55"/>
  <c r="JL266" i="55"/>
  <c r="JE266" i="55"/>
  <c r="IE137" i="55" a="1"/>
  <c r="IE137" i="55" s="1"/>
  <c r="ID137" i="55" a="1"/>
  <c r="ID137" i="55" s="1"/>
  <c r="O67" i="55" a="1"/>
  <c r="O67" i="55" s="1"/>
  <c r="EV67" i="55" s="1"/>
  <c r="EW67" i="55" s="1"/>
  <c r="EK240" i="55"/>
  <c r="EV240" i="55" s="1"/>
  <c r="EW240" i="55" s="1"/>
  <c r="EZ240" i="55" s="1"/>
  <c r="FR240" i="55"/>
  <c r="JM348" i="55"/>
  <c r="JF348" i="55"/>
  <c r="GM140" i="55"/>
  <c r="CI140" i="55"/>
  <c r="HV140" i="55" s="1"/>
  <c r="GQ304" i="55"/>
  <c r="JE64" i="55"/>
  <c r="JL64" i="55"/>
  <c r="EK127" i="55"/>
  <c r="EV127" i="55" s="1"/>
  <c r="EW127" i="55" s="1"/>
  <c r="FR127" i="55"/>
  <c r="AL27" i="54"/>
  <c r="JL262" i="55"/>
  <c r="JE262" i="55"/>
  <c r="JG201" i="55"/>
  <c r="JN201" i="55"/>
  <c r="T116" i="55"/>
  <c r="FR99" i="55"/>
  <c r="CT281" i="55" a="1"/>
  <c r="CT281" i="55" s="1"/>
  <c r="CU281" i="55" a="1"/>
  <c r="CU281" i="55" s="1"/>
  <c r="GE259" i="55" a="1"/>
  <c r="GE259" i="55" s="1"/>
  <c r="GF259" i="55" s="1"/>
  <c r="GR96" i="55"/>
  <c r="CU235" i="55" a="1"/>
  <c r="CU235" i="55" s="1"/>
  <c r="CT235" i="55" a="1"/>
  <c r="CT235" i="55" s="1"/>
  <c r="CI11" i="55"/>
  <c r="HV11" i="55" s="1"/>
  <c r="T11" i="55" s="1"/>
  <c r="GM186" i="55"/>
  <c r="CI186" i="55"/>
  <c r="HV186" i="55" s="1"/>
  <c r="JL200" i="55"/>
  <c r="JE200" i="55"/>
  <c r="JN196" i="55"/>
  <c r="JG196" i="55"/>
  <c r="CU283" i="55" a="1"/>
  <c r="CU283" i="55" s="1"/>
  <c r="CT283" i="55" a="1"/>
  <c r="CT283" i="55" s="1"/>
  <c r="JM189" i="55"/>
  <c r="JF189" i="55"/>
  <c r="R110" i="55"/>
  <c r="JL267" i="55"/>
  <c r="JE267" i="55"/>
  <c r="GM43" i="55"/>
  <c r="CI43" i="55"/>
  <c r="HV43" i="55" s="1"/>
  <c r="EV43" i="55"/>
  <c r="EW43" i="55" s="1"/>
  <c r="CT16" i="55" a="1"/>
  <c r="CT16" i="55" s="1"/>
  <c r="CU16" i="55" a="1"/>
  <c r="CU16" i="55" s="1"/>
  <c r="CS16" i="55"/>
  <c r="JM186" i="55"/>
  <c r="JF186" i="55"/>
  <c r="FS343" i="55"/>
  <c r="EK234" i="55"/>
  <c r="O234" i="55" a="1"/>
  <c r="O234" i="55" s="1"/>
  <c r="JL56" i="55"/>
  <c r="JE56" i="55"/>
  <c r="GM208" i="55"/>
  <c r="CI208" i="55"/>
  <c r="HV208" i="55" s="1"/>
  <c r="EZ27" i="55"/>
  <c r="R27" i="55"/>
  <c r="IE216" i="55" a="1"/>
  <c r="IE216" i="55" s="1"/>
  <c r="ID216" i="55" a="1"/>
  <c r="ID216" i="55" s="1"/>
  <c r="FS230" i="55"/>
  <c r="EK42" i="55"/>
  <c r="EV42" i="55" s="1"/>
  <c r="EW42" i="55" s="1"/>
  <c r="EK24" i="55"/>
  <c r="EV24" i="55" s="1"/>
  <c r="EW24" i="55" s="1"/>
  <c r="JN122" i="55"/>
  <c r="JG122" i="55"/>
  <c r="JL316" i="55"/>
  <c r="JE316" i="55"/>
  <c r="IE134" i="55" a="1"/>
  <c r="IE134" i="55" s="1"/>
  <c r="ID134" i="55" a="1"/>
  <c r="ID134" i="55" s="1"/>
  <c r="JM32" i="55"/>
  <c r="JF32" i="55"/>
  <c r="GM296" i="55"/>
  <c r="CI296" i="55"/>
  <c r="HV296" i="55" s="1"/>
  <c r="T296" i="55" s="1"/>
  <c r="JM332" i="55"/>
  <c r="JF332" i="55"/>
  <c r="GM205" i="55"/>
  <c r="CI205" i="55"/>
  <c r="HV205" i="55" s="1"/>
  <c r="T205" i="55" s="1"/>
  <c r="JF97" i="55"/>
  <c r="JM97" i="55"/>
  <c r="GE84" i="55" a="1"/>
  <c r="GE84" i="55" s="1"/>
  <c r="GF84" i="55" s="1"/>
  <c r="FQ50" i="55"/>
  <c r="AO16" i="54" s="1"/>
  <c r="CU236" i="55" a="1"/>
  <c r="CU236" i="55" s="1"/>
  <c r="CT236" i="55" a="1"/>
  <c r="CT236" i="55" s="1"/>
  <c r="DM133" i="55"/>
  <c r="AO30" i="54"/>
  <c r="JF65" i="55"/>
  <c r="JM65" i="55"/>
  <c r="JL95" i="55"/>
  <c r="JE95" i="55"/>
  <c r="ID82" i="55" a="1"/>
  <c r="ID82" i="55" s="1"/>
  <c r="IE82" i="55" a="1"/>
  <c r="IE82" i="55" s="1"/>
  <c r="CW53" i="55"/>
  <c r="CX53" i="55"/>
  <c r="CY53" i="55"/>
  <c r="CV53" i="55"/>
  <c r="JF225" i="55"/>
  <c r="JM225" i="55"/>
  <c r="O145" i="55" a="1"/>
  <c r="O145" i="55" s="1"/>
  <c r="CT145" i="55" a="1"/>
  <c r="CT145" i="55" s="1"/>
  <c r="CU145" i="55" a="1"/>
  <c r="CU145" i="55" s="1"/>
  <c r="CS145" i="55"/>
  <c r="R194" i="55"/>
  <c r="GM61" i="55"/>
  <c r="CI61" i="55"/>
  <c r="HV61" i="55" s="1"/>
  <c r="JL297" i="55"/>
  <c r="JE297" i="55"/>
  <c r="FR11" i="55"/>
  <c r="AP14" i="54" s="1"/>
  <c r="IE121" i="55" a="1"/>
  <c r="IE121" i="55" s="1"/>
  <c r="ID121" i="55" a="1"/>
  <c r="ID121" i="55" s="1"/>
  <c r="JG319" i="55"/>
  <c r="JN319" i="55"/>
  <c r="EK47" i="55"/>
  <c r="O47" i="55" a="1"/>
  <c r="O47" i="55" s="1"/>
  <c r="CU79" i="55" a="1"/>
  <c r="CU79" i="55" s="1"/>
  <c r="CT79" i="55" a="1"/>
  <c r="CT79" i="55" s="1"/>
  <c r="DV244" i="55"/>
  <c r="DW244" i="55" s="1"/>
  <c r="JY244" i="55"/>
  <c r="JX244" i="55"/>
  <c r="DM244" i="55"/>
  <c r="JN58" i="55"/>
  <c r="JG58" i="55"/>
  <c r="EK128" i="55"/>
  <c r="EV128" i="55" s="1"/>
  <c r="EW128" i="55" s="1"/>
  <c r="FR128" i="55"/>
  <c r="CZ283" i="55"/>
  <c r="DA283" i="55" s="1"/>
  <c r="DV130" i="55"/>
  <c r="DW130" i="55" s="1"/>
  <c r="CT57" i="55" a="1"/>
  <c r="CT57" i="55" s="1"/>
  <c r="CU57" i="55" a="1"/>
  <c r="CU57" i="55" s="1"/>
  <c r="CS57" i="55"/>
  <c r="EK142" i="55"/>
  <c r="O142" i="55" a="1"/>
  <c r="O142" i="55" s="1"/>
  <c r="EV142" i="55" s="1"/>
  <c r="EW142" i="55" s="1"/>
  <c r="FR142" i="55"/>
  <c r="GQ229" i="55"/>
  <c r="GQ74" i="55"/>
  <c r="JC25" i="55"/>
  <c r="ID226" i="55" a="1"/>
  <c r="ID226" i="55" s="1"/>
  <c r="IE226" i="55" a="1"/>
  <c r="IE226" i="55" s="1"/>
  <c r="EK110" i="55"/>
  <c r="O110" i="55" a="1"/>
  <c r="O110" i="55" s="1"/>
  <c r="FR110" i="55"/>
  <c r="ID322" i="55" a="1"/>
  <c r="ID322" i="55" s="1"/>
  <c r="IE322" i="55" a="1"/>
  <c r="IE322" i="55" s="1"/>
  <c r="GQ235" i="55"/>
  <c r="GQ296" i="55"/>
  <c r="EV250" i="55"/>
  <c r="EW250" i="55" s="1"/>
  <c r="EZ250" i="55" s="1"/>
  <c r="JF261" i="55"/>
  <c r="JM261" i="55"/>
  <c r="CX228" i="55"/>
  <c r="CV228" i="55"/>
  <c r="CY228" i="55"/>
  <c r="CW228" i="55"/>
  <c r="CZ228" i="55"/>
  <c r="DA228" i="55" s="1"/>
  <c r="JX227" i="55"/>
  <c r="FS150" i="55"/>
  <c r="CT256" i="55" a="1"/>
  <c r="CT256" i="55" s="1"/>
  <c r="CU256" i="55" a="1"/>
  <c r="CU256" i="55" s="1"/>
  <c r="CS256" i="55"/>
  <c r="FZ252" i="55"/>
  <c r="ID107" i="55" a="1"/>
  <c r="ID107" i="55" s="1"/>
  <c r="IE107" i="55" a="1"/>
  <c r="IE107" i="55" s="1"/>
  <c r="JM251" i="55"/>
  <c r="JF251" i="55"/>
  <c r="CU148" i="55" a="1"/>
  <c r="CU148" i="55" s="1"/>
  <c r="CT148" i="55" a="1"/>
  <c r="CT148" i="55" s="1"/>
  <c r="CS148" i="55"/>
  <c r="DY39" i="55"/>
  <c r="IE172" i="55" a="1"/>
  <c r="IE172" i="55" s="1"/>
  <c r="ID172" i="55" a="1"/>
  <c r="ID172" i="55" s="1"/>
  <c r="JM317" i="55"/>
  <c r="JF317" i="55"/>
  <c r="FZ73" i="55"/>
  <c r="EK251" i="55"/>
  <c r="EV251" i="55" s="1"/>
  <c r="EW251" i="55" s="1"/>
  <c r="IE290" i="55" a="1"/>
  <c r="IE290" i="55" s="1"/>
  <c r="ID290" i="55" a="1"/>
  <c r="ID290" i="55" s="1"/>
  <c r="JL273" i="55"/>
  <c r="JE273" i="55"/>
  <c r="GE319" i="55" a="1"/>
  <c r="GE319" i="55" s="1"/>
  <c r="GF319" i="55" s="1"/>
  <c r="GQ238" i="55"/>
  <c r="GR238" i="55" s="1"/>
  <c r="CT226" i="55" a="1"/>
  <c r="CT226" i="55" s="1"/>
  <c r="CU226" i="55" a="1"/>
  <c r="CU226" i="55" s="1"/>
  <c r="GE226" i="55" a="1"/>
  <c r="GE226" i="55" s="1"/>
  <c r="GF226" i="55" s="1"/>
  <c r="GQ309" i="55"/>
  <c r="JG314" i="55"/>
  <c r="JN314" i="55"/>
  <c r="FU4" i="55"/>
  <c r="L4" i="55" s="1"/>
  <c r="FV4" i="55" s="1"/>
  <c r="FW4" i="55" s="1"/>
  <c r="JM188" i="55"/>
  <c r="JF188" i="55"/>
  <c r="CY162" i="55"/>
  <c r="CV162" i="55"/>
  <c r="CW162" i="55"/>
  <c r="CX162" i="55"/>
  <c r="CU293" i="55" a="1"/>
  <c r="CU293" i="55" s="1"/>
  <c r="CT293" i="55" a="1"/>
  <c r="CT293" i="55" s="1"/>
  <c r="CT289" i="55" a="1"/>
  <c r="CT289" i="55" s="1"/>
  <c r="CU289" i="55" a="1"/>
  <c r="CU289" i="55" s="1"/>
  <c r="JC50" i="55"/>
  <c r="CT88" i="55" a="1"/>
  <c r="CT88" i="55" s="1"/>
  <c r="CU88" i="55" a="1"/>
  <c r="CU88" i="55" s="1"/>
  <c r="GR287" i="55"/>
  <c r="GT287" i="55"/>
  <c r="CT179" i="55" a="1"/>
  <c r="CT179" i="55" s="1"/>
  <c r="CU179" i="55" a="1"/>
  <c r="CU179" i="55" s="1"/>
  <c r="JF124" i="55"/>
  <c r="JM124" i="55"/>
  <c r="JN305" i="55"/>
  <c r="JG305" i="55"/>
  <c r="DW75" i="55"/>
  <c r="CV75" i="55"/>
  <c r="CX75" i="55"/>
  <c r="CW75" i="55"/>
  <c r="CY75" i="55"/>
  <c r="CT115" i="55" a="1"/>
  <c r="CT115" i="55" s="1"/>
  <c r="CU115" i="55" a="1"/>
  <c r="CU115" i="55" s="1"/>
  <c r="CV71" i="55"/>
  <c r="CW71" i="55"/>
  <c r="CX71" i="55"/>
  <c r="CY71" i="55"/>
  <c r="FS62" i="55"/>
  <c r="JG239" i="55"/>
  <c r="JN239" i="55"/>
  <c r="CS293" i="55"/>
  <c r="GM236" i="55"/>
  <c r="CI236" i="55"/>
  <c r="HV236" i="55" s="1"/>
  <c r="T236" i="55" s="1"/>
  <c r="CT188" i="55" a="1"/>
  <c r="CT188" i="55" s="1"/>
  <c r="CU188" i="55" a="1"/>
  <c r="CU188" i="55" s="1"/>
  <c r="GM122" i="55"/>
  <c r="EV122" i="55"/>
  <c r="EW122" i="55" s="1"/>
  <c r="CI122" i="55"/>
  <c r="HV122" i="55" s="1"/>
  <c r="ID50" i="55" a="1"/>
  <c r="ID50" i="55" s="1"/>
  <c r="IE50" i="55" a="1"/>
  <c r="IE50" i="55" s="1"/>
  <c r="GM203" i="55"/>
  <c r="CI203" i="55"/>
  <c r="HV203" i="55" s="1"/>
  <c r="CT339" i="55" a="1"/>
  <c r="CT339" i="55" s="1"/>
  <c r="CU339" i="55" a="1"/>
  <c r="CU339" i="55" s="1"/>
  <c r="FZ108" i="55"/>
  <c r="ID19" i="55" a="1"/>
  <c r="ID19" i="55" s="1"/>
  <c r="IE19" i="55" a="1"/>
  <c r="IE19" i="55" s="1"/>
  <c r="GE146" i="55" a="1"/>
  <c r="GE146" i="55" s="1"/>
  <c r="GF146" i="55" s="1"/>
  <c r="CT257" i="55" a="1"/>
  <c r="CT257" i="55" s="1"/>
  <c r="CU257" i="55" a="1"/>
  <c r="CU257" i="55" s="1"/>
  <c r="CS257" i="55"/>
  <c r="GQ305" i="55"/>
  <c r="ID131" i="55" a="1"/>
  <c r="ID131" i="55" s="1"/>
  <c r="IE131" i="55" a="1"/>
  <c r="IE131" i="55" s="1"/>
  <c r="ID115" i="55" a="1"/>
  <c r="ID115" i="55" s="1"/>
  <c r="IE115" i="55" a="1"/>
  <c r="IE115" i="55" s="1"/>
  <c r="GQ173" i="55"/>
  <c r="EV245" i="55"/>
  <c r="EW245" i="55" s="1"/>
  <c r="CT258" i="55" a="1"/>
  <c r="CT258" i="55" s="1"/>
  <c r="CU258" i="55" a="1"/>
  <c r="CU258" i="55" s="1"/>
  <c r="FS191" i="55"/>
  <c r="IE258" i="55" a="1"/>
  <c r="IE258" i="55" s="1"/>
  <c r="ID258" i="55" a="1"/>
  <c r="ID258" i="55" s="1"/>
  <c r="IE132" i="55" a="1"/>
  <c r="IE132" i="55" s="1"/>
  <c r="ID132" i="55" a="1"/>
  <c r="ID132" i="55" s="1"/>
  <c r="GM94" i="55"/>
  <c r="CI94" i="55"/>
  <c r="HV94" i="55" s="1"/>
  <c r="IE113" i="55" a="1"/>
  <c r="IE113" i="55" s="1"/>
  <c r="ID113" i="55" a="1"/>
  <c r="ID113" i="55" s="1"/>
  <c r="HL209" i="55"/>
  <c r="GK209" i="55"/>
  <c r="DM28" i="55"/>
  <c r="GE19" i="55" a="1"/>
  <c r="GE19" i="55" s="1"/>
  <c r="GF19" i="55" s="1"/>
  <c r="BW28" i="54" s="1" a="1"/>
  <c r="BW28" i="54" s="1"/>
  <c r="JM31" i="55"/>
  <c r="JF31" i="55"/>
  <c r="R8" i="55"/>
  <c r="GE275" i="55" a="1"/>
  <c r="GE275" i="55" s="1"/>
  <c r="GF275" i="55" s="1"/>
  <c r="DK80" i="55"/>
  <c r="DY80" i="55"/>
  <c r="R178" i="55"/>
  <c r="EZ178" i="55"/>
  <c r="AM27" i="54"/>
  <c r="GE159" i="55" a="1"/>
  <c r="GE159" i="55" s="1"/>
  <c r="GF159" i="55" s="1"/>
  <c r="JL215" i="55"/>
  <c r="JE215" i="55"/>
  <c r="CU262" i="55" a="1"/>
  <c r="CU262" i="55" s="1"/>
  <c r="CT262" i="55" a="1"/>
  <c r="CT262" i="55" s="1"/>
  <c r="CS262" i="55"/>
  <c r="JL285" i="55"/>
  <c r="JE285" i="55"/>
  <c r="JG345" i="55"/>
  <c r="JN345" i="55"/>
  <c r="GM75" i="55"/>
  <c r="CI75" i="55"/>
  <c r="HV75" i="55" s="1"/>
  <c r="T75" i="55" s="1"/>
  <c r="EV75" i="55"/>
  <c r="EW75" i="55" s="1"/>
  <c r="JF88" i="55"/>
  <c r="JM88" i="55"/>
  <c r="JM20" i="55"/>
  <c r="JF20" i="55"/>
  <c r="CT92" i="55" a="1"/>
  <c r="CT92" i="55" s="1"/>
  <c r="CU92" i="55" a="1"/>
  <c r="CU92" i="55" s="1"/>
  <c r="FZ177" i="55"/>
  <c r="DV175" i="55"/>
  <c r="DW175" i="55" s="1"/>
  <c r="JX175" i="55"/>
  <c r="JY175" i="55"/>
  <c r="JM43" i="55"/>
  <c r="JF43" i="55"/>
  <c r="GM202" i="55"/>
  <c r="CI202" i="55"/>
  <c r="HV202" i="55" s="1"/>
  <c r="T202" i="55" s="1"/>
  <c r="FZ89" i="55"/>
  <c r="JL18" i="55"/>
  <c r="JE18" i="55"/>
  <c r="GE152" i="55" a="1"/>
  <c r="GE152" i="55" s="1"/>
  <c r="GF152" i="55" s="1"/>
  <c r="JG298" i="55"/>
  <c r="JN298" i="55"/>
  <c r="EK324" i="55"/>
  <c r="O324" i="55" a="1"/>
  <c r="O324" i="55" s="1"/>
  <c r="ID170" i="55" a="1"/>
  <c r="ID170" i="55" s="1"/>
  <c r="IE170" i="55" a="1"/>
  <c r="IE170" i="55" s="1"/>
  <c r="FZ201" i="55"/>
  <c r="JG312" i="55"/>
  <c r="JN312" i="55"/>
  <c r="FZ88" i="55"/>
  <c r="JL288" i="55"/>
  <c r="JE288" i="55"/>
  <c r="JN74" i="55"/>
  <c r="JG74" i="55"/>
  <c r="JN41" i="55"/>
  <c r="JG41" i="55"/>
  <c r="JG120" i="55"/>
  <c r="JN120" i="55"/>
  <c r="BJ22" i="54"/>
  <c r="BK22" i="54" s="1"/>
  <c r="BH22" i="54"/>
  <c r="BN22" i="54"/>
  <c r="BO22" i="54" s="1"/>
  <c r="AE22" i="54" a="1"/>
  <c r="AE22" i="54" s="1"/>
  <c r="JG24" i="55"/>
  <c r="JN24" i="55"/>
  <c r="GM308" i="55"/>
  <c r="CI308" i="55"/>
  <c r="HV308" i="55" s="1"/>
  <c r="T308" i="55" s="1"/>
  <c r="IE184" i="55" a="1"/>
  <c r="IE184" i="55" s="1"/>
  <c r="ID184" i="55" a="1"/>
  <c r="ID184" i="55" s="1"/>
  <c r="DV4" i="55"/>
  <c r="DW4" i="55" s="1"/>
  <c r="JX4" i="55"/>
  <c r="JY4" i="55"/>
  <c r="ID267" i="55" a="1"/>
  <c r="ID267" i="55" s="1"/>
  <c r="IE267" i="55" a="1"/>
  <c r="IE267" i="55" s="1"/>
  <c r="FZ25" i="55"/>
  <c r="ID316" i="55" a="1"/>
  <c r="ID316" i="55" s="1"/>
  <c r="IE316" i="55" a="1"/>
  <c r="IE316" i="55" s="1"/>
  <c r="CT284" i="55" a="1"/>
  <c r="CT284" i="55" s="1"/>
  <c r="CU284" i="55" a="1"/>
  <c r="CU284" i="55" s="1"/>
  <c r="FZ300" i="55"/>
  <c r="DW28" i="55"/>
  <c r="CX28" i="55"/>
  <c r="CW28" i="55"/>
  <c r="CV28" i="55"/>
  <c r="CY28" i="55"/>
  <c r="ID59" i="55" a="1"/>
  <c r="ID59" i="55" s="1"/>
  <c r="IE59" i="55" a="1"/>
  <c r="IE59" i="55" s="1"/>
  <c r="GE27" i="55" a="1"/>
  <c r="GE27" i="55" s="1"/>
  <c r="GF27" i="55" s="1"/>
  <c r="R352" i="55"/>
  <c r="IE323" i="55" a="1"/>
  <c r="IE323" i="55" s="1"/>
  <c r="ID323" i="55" a="1"/>
  <c r="ID323" i="55" s="1"/>
  <c r="EK103" i="55"/>
  <c r="EK334" i="55"/>
  <c r="O334" i="55" a="1"/>
  <c r="O334" i="55" s="1"/>
  <c r="EV334" i="55"/>
  <c r="EW334" i="55" s="1"/>
  <c r="JG127" i="55"/>
  <c r="JN127" i="55"/>
  <c r="JM6" i="55"/>
  <c r="JF6" i="55"/>
  <c r="FZ188" i="55"/>
  <c r="CT34" i="55" a="1"/>
  <c r="CT34" i="55" s="1"/>
  <c r="CU34" i="55" a="1"/>
  <c r="CU34" i="55" s="1"/>
  <c r="GE242" i="55" a="1"/>
  <c r="GE242" i="55" s="1"/>
  <c r="GF242" i="55" s="1"/>
  <c r="JE91" i="55"/>
  <c r="JL91" i="55"/>
  <c r="JM289" i="55"/>
  <c r="JF289" i="55"/>
  <c r="EY11" i="55"/>
  <c r="GS3" i="55"/>
  <c r="AN21" i="54"/>
  <c r="JM161" i="55"/>
  <c r="JF161" i="55"/>
  <c r="IE217" i="55" a="1"/>
  <c r="IE217" i="55" s="1"/>
  <c r="ID217" i="55" a="1"/>
  <c r="ID217" i="55" s="1"/>
  <c r="GE108" i="55" a="1"/>
  <c r="GE108" i="55" s="1"/>
  <c r="GF108" i="55" s="1"/>
  <c r="FZ65" i="55"/>
  <c r="JF76" i="55"/>
  <c r="JM76" i="55"/>
  <c r="JE209" i="55"/>
  <c r="JL209" i="55"/>
  <c r="CT121" i="55" a="1"/>
  <c r="CT121" i="55" s="1"/>
  <c r="CU121" i="55" a="1"/>
  <c r="CU121" i="55" s="1"/>
  <c r="JM287" i="55"/>
  <c r="JF287" i="55"/>
  <c r="JM347" i="55"/>
  <c r="JF347" i="55"/>
  <c r="JN132" i="55"/>
  <c r="JG132" i="55"/>
  <c r="GM301" i="55"/>
  <c r="CI301" i="55"/>
  <c r="HV301" i="55" s="1"/>
  <c r="JG73" i="55"/>
  <c r="JN73" i="55"/>
  <c r="AR23" i="54"/>
  <c r="JM153" i="55"/>
  <c r="JF153" i="55"/>
  <c r="JM72" i="55"/>
  <c r="JF72" i="55"/>
  <c r="JM180" i="55"/>
  <c r="JF180" i="55"/>
  <c r="EK46" i="55"/>
  <c r="O46" i="55" a="1"/>
  <c r="O46" i="55" s="1"/>
  <c r="GQ199" i="55"/>
  <c r="GQ205" i="55"/>
  <c r="GQ218" i="55"/>
  <c r="GQ209" i="55"/>
  <c r="GQ187" i="55"/>
  <c r="GQ200" i="55"/>
  <c r="GQ190" i="55"/>
  <c r="GQ197" i="55"/>
  <c r="GQ206" i="55"/>
  <c r="GQ186" i="55"/>
  <c r="R165" i="55"/>
  <c r="GE153" i="55" a="1"/>
  <c r="GE153" i="55" s="1"/>
  <c r="GF153" i="55" s="1"/>
  <c r="DV111" i="55"/>
  <c r="DW111" i="55" s="1"/>
  <c r="JY111" i="55"/>
  <c r="JX111" i="55"/>
  <c r="FS292" i="55"/>
  <c r="AN28" i="54"/>
  <c r="R292" i="55"/>
  <c r="CT25" i="55" a="1"/>
  <c r="CT25" i="55" s="1"/>
  <c r="CU25" i="55" a="1"/>
  <c r="CU25" i="55" s="1"/>
  <c r="GQ312" i="55"/>
  <c r="R148" i="55"/>
  <c r="CU223" i="55" a="1"/>
  <c r="CU223" i="55" s="1"/>
  <c r="CT223" i="55" a="1"/>
  <c r="CT223" i="55" s="1"/>
  <c r="CS223" i="55"/>
  <c r="CT114" i="55" a="1"/>
  <c r="CT114" i="55" s="1"/>
  <c r="CU114" i="55" a="1"/>
  <c r="CU114" i="55" s="1"/>
  <c r="FZ156" i="55"/>
  <c r="EK286" i="55"/>
  <c r="O286" i="55" a="1"/>
  <c r="O286" i="55" s="1"/>
  <c r="FR129" i="55"/>
  <c r="ID162" i="55" a="1"/>
  <c r="ID162" i="55" s="1"/>
  <c r="IE162" i="55" a="1"/>
  <c r="IE162" i="55" s="1"/>
  <c r="FS229" i="55"/>
  <c r="JL113" i="55"/>
  <c r="JE113" i="55"/>
  <c r="GQ202" i="55"/>
  <c r="FZ281" i="55"/>
  <c r="EP28" i="55" a="1"/>
  <c r="EP28" i="55" s="1"/>
  <c r="CT241" i="55" a="1"/>
  <c r="CT241" i="55" s="1"/>
  <c r="CU241" i="55" a="1"/>
  <c r="CU241" i="55" s="1"/>
  <c r="JE31" i="55"/>
  <c r="JL31" i="55"/>
  <c r="CT227" i="55" a="1"/>
  <c r="CT227" i="55" s="1"/>
  <c r="CU227" i="55" a="1"/>
  <c r="CU227" i="55" s="1"/>
  <c r="BN14" i="54"/>
  <c r="BO14" i="54" s="1"/>
  <c r="AE14" i="54" a="1"/>
  <c r="AE14" i="54" s="1"/>
  <c r="BH14" i="54"/>
  <c r="BJ14" i="54"/>
  <c r="BK14" i="54" s="1"/>
  <c r="DW131" i="55"/>
  <c r="CX131" i="55"/>
  <c r="CY131" i="55"/>
  <c r="CW131" i="55"/>
  <c r="CV131" i="55"/>
  <c r="FU80" i="55"/>
  <c r="L80" i="55" s="1"/>
  <c r="FV80" i="55" s="1"/>
  <c r="FW80" i="55" s="1"/>
  <c r="FS80" i="55"/>
  <c r="CV73" i="55"/>
  <c r="CW73" i="55"/>
  <c r="CY73" i="55"/>
  <c r="CX73" i="55"/>
  <c r="GQ222" i="55"/>
  <c r="CX132" i="55"/>
  <c r="CY132" i="55"/>
  <c r="CW132" i="55"/>
  <c r="CV132" i="55"/>
  <c r="R118" i="55"/>
  <c r="JL287" i="55"/>
  <c r="JE287" i="55"/>
  <c r="GM241" i="55"/>
  <c r="CI241" i="55"/>
  <c r="HV241" i="55" s="1"/>
  <c r="GM331" i="55"/>
  <c r="CI331" i="55"/>
  <c r="HV331" i="55" s="1"/>
  <c r="T331" i="55" s="1"/>
  <c r="EK68" i="55"/>
  <c r="EV68" i="55" s="1"/>
  <c r="EW68" i="55" s="1"/>
  <c r="EK44" i="55"/>
  <c r="EV44" i="55" s="1"/>
  <c r="EW44" i="55" s="1"/>
  <c r="CY252" i="55"/>
  <c r="CV252" i="55"/>
  <c r="CW252" i="55"/>
  <c r="CX252" i="55"/>
  <c r="JL153" i="55"/>
  <c r="JE153" i="55"/>
  <c r="JL72" i="55"/>
  <c r="JE72" i="55"/>
  <c r="JL180" i="55"/>
  <c r="JE180" i="55"/>
  <c r="JE12" i="55"/>
  <c r="JL12" i="55"/>
  <c r="IE225" i="55" a="1"/>
  <c r="IE225" i="55" s="1"/>
  <c r="ID225" i="55" a="1"/>
  <c r="ID225" i="55" s="1"/>
  <c r="CU335" i="55" a="1"/>
  <c r="CU335" i="55" s="1"/>
  <c r="CT335" i="55" a="1"/>
  <c r="CT335" i="55" s="1"/>
  <c r="CS335" i="55"/>
  <c r="JF159" i="55"/>
  <c r="JM159" i="55"/>
  <c r="CV153" i="55"/>
  <c r="CW153" i="55"/>
  <c r="CX153" i="55"/>
  <c r="DW153" i="55"/>
  <c r="CY153" i="55"/>
  <c r="CT89" i="55" a="1"/>
  <c r="CT89" i="55" s="1"/>
  <c r="CU89" i="55" a="1"/>
  <c r="CU89" i="55" s="1"/>
  <c r="FS244" i="55"/>
  <c r="GR325" i="55"/>
  <c r="GT325" i="55"/>
  <c r="AR3" i="40" a="1"/>
  <c r="AR3" i="40" s="1"/>
  <c r="JM223" i="55"/>
  <c r="JF223" i="55"/>
  <c r="ID114" i="55" a="1"/>
  <c r="ID114" i="55" s="1"/>
  <c r="IE114" i="55" a="1"/>
  <c r="IE114" i="55" s="1"/>
  <c r="FS326" i="55"/>
  <c r="CT113" i="55" a="1"/>
  <c r="CT113" i="55" s="1"/>
  <c r="CU113" i="55" a="1"/>
  <c r="CU113" i="55" s="1"/>
  <c r="CS113" i="55"/>
  <c r="GM30" i="55"/>
  <c r="CI30" i="55"/>
  <c r="HV30" i="55" s="1"/>
  <c r="CY50" i="55"/>
  <c r="CX50" i="55"/>
  <c r="CW50" i="55"/>
  <c r="CV50" i="55"/>
  <c r="GM93" i="55"/>
  <c r="CI93" i="55"/>
  <c r="HV93" i="55" s="1"/>
  <c r="T93" i="55" s="1"/>
  <c r="CX36" i="55"/>
  <c r="CV36" i="55"/>
  <c r="CY36" i="55"/>
  <c r="CW36" i="55"/>
  <c r="GE339" i="55" a="1"/>
  <c r="GE339" i="55" s="1"/>
  <c r="GF339" i="55" s="1"/>
  <c r="ID179" i="55" a="1"/>
  <c r="ID179" i="55" s="1"/>
  <c r="IE179" i="55" a="1"/>
  <c r="IE179" i="55" s="1"/>
  <c r="CX19" i="55"/>
  <c r="CY19" i="55"/>
  <c r="CV19" i="55"/>
  <c r="CW19" i="55"/>
  <c r="FZ241" i="55"/>
  <c r="ID67" i="55" a="1"/>
  <c r="ID67" i="55" s="1"/>
  <c r="IE67" i="55" a="1"/>
  <c r="IE67" i="55" s="1"/>
  <c r="GE291" i="55" a="1"/>
  <c r="GE291" i="55" s="1"/>
  <c r="GF291" i="55" s="1"/>
  <c r="CT131" i="55" a="1"/>
  <c r="CT131" i="55" s="1"/>
  <c r="CU131" i="55" a="1"/>
  <c r="CU131" i="55" s="1"/>
  <c r="GQ295" i="55"/>
  <c r="GE132" i="55" a="1"/>
  <c r="GE132" i="55" s="1"/>
  <c r="GF132" i="55" s="1"/>
  <c r="EK346" i="55"/>
  <c r="EV346" i="55" s="1"/>
  <c r="EW346" i="55" s="1"/>
  <c r="O346" i="55" a="1"/>
  <c r="O346" i="55" s="1"/>
  <c r="GM266" i="55"/>
  <c r="CI266" i="55"/>
  <c r="HV266" i="55" s="1"/>
  <c r="T266" i="55" s="1"/>
  <c r="JF201" i="55"/>
  <c r="JM201" i="55"/>
  <c r="GQ151" i="55"/>
  <c r="GR151" i="55" s="1"/>
  <c r="BJ25" i="54"/>
  <c r="BK25" i="54" s="1"/>
  <c r="AE25" i="54" a="1"/>
  <c r="AE25" i="54" s="1"/>
  <c r="BN25" i="54"/>
  <c r="BO25" i="54" s="1"/>
  <c r="BH25" i="54"/>
  <c r="GE235" i="55" a="1"/>
  <c r="GE235" i="55" s="1"/>
  <c r="GF235" i="55" s="1"/>
  <c r="IE40" i="55" a="1"/>
  <c r="IE40" i="55" s="1"/>
  <c r="ID40" i="55" a="1"/>
  <c r="ID40" i="55" s="1"/>
  <c r="CT224" i="55" a="1"/>
  <c r="CT224" i="55" s="1"/>
  <c r="CU224" i="55" a="1"/>
  <c r="CU224" i="55" s="1"/>
  <c r="CS224" i="55"/>
  <c r="JE298" i="55"/>
  <c r="JL298" i="55"/>
  <c r="GM105" i="55"/>
  <c r="CI105" i="55"/>
  <c r="HV105" i="55" s="1"/>
  <c r="T105" i="55" s="1"/>
  <c r="EK106" i="55"/>
  <c r="EV106" i="55" s="1"/>
  <c r="EW106" i="55" s="1"/>
  <c r="JM137" i="55"/>
  <c r="JF137" i="55"/>
  <c r="JF312" i="55"/>
  <c r="JM312" i="55"/>
  <c r="JN8" i="55"/>
  <c r="JG8" i="55"/>
  <c r="JL74" i="55"/>
  <c r="JE74" i="55"/>
  <c r="BJ17" i="54"/>
  <c r="BK17" i="54" s="1"/>
  <c r="BH17" i="54"/>
  <c r="BN17" i="54"/>
  <c r="BO17" i="54" s="1"/>
  <c r="AE17" i="54" a="1"/>
  <c r="AE17" i="54" s="1"/>
  <c r="GQ95" i="55"/>
  <c r="GR95" i="55" s="1"/>
  <c r="GE156" i="55" a="1"/>
  <c r="GE156" i="55" s="1"/>
  <c r="GF156" i="55" s="1"/>
  <c r="ID156" i="55" a="1"/>
  <c r="ID156" i="55" s="1"/>
  <c r="IE156" i="55" a="1"/>
  <c r="IE156" i="55" s="1"/>
  <c r="FZ42" i="55"/>
  <c r="GQ292" i="55"/>
  <c r="JM11" i="55"/>
  <c r="JF11" i="55"/>
  <c r="JL57" i="55"/>
  <c r="JE57" i="55"/>
  <c r="GQ119" i="55"/>
  <c r="GR119" i="55" s="1"/>
  <c r="JM260" i="55"/>
  <c r="JF260" i="55"/>
  <c r="BN29" i="54"/>
  <c r="BO29" i="54" s="1"/>
  <c r="BH29" i="54"/>
  <c r="BJ29" i="54"/>
  <c r="BK29" i="54" s="1"/>
  <c r="AE29" i="54" a="1"/>
  <c r="AE29" i="54" s="1"/>
  <c r="AN19" i="54"/>
  <c r="JM77" i="55"/>
  <c r="JF77" i="55"/>
  <c r="JF313" i="55"/>
  <c r="JM313" i="55"/>
  <c r="JL108" i="55"/>
  <c r="JE108" i="55"/>
  <c r="CT28" i="55" a="1"/>
  <c r="CT28" i="55" s="1"/>
  <c r="CU28" i="55" a="1"/>
  <c r="CU28" i="55" s="1"/>
  <c r="GE59" i="55" a="1"/>
  <c r="GE59" i="55" s="1"/>
  <c r="GF59" i="55" s="1"/>
  <c r="JE79" i="55"/>
  <c r="JL79" i="55"/>
  <c r="GM193" i="55"/>
  <c r="CI193" i="55"/>
  <c r="HV193" i="55" s="1"/>
  <c r="T193" i="55" s="1"/>
  <c r="FZ186" i="55"/>
  <c r="JN242" i="55"/>
  <c r="JG242" i="55"/>
  <c r="JG344" i="55"/>
  <c r="JN344" i="55"/>
  <c r="JM91" i="55"/>
  <c r="JF91" i="55"/>
  <c r="JL44" i="55"/>
  <c r="JE44" i="55"/>
  <c r="JL289" i="55"/>
  <c r="JE289" i="55"/>
  <c r="DW147" i="55"/>
  <c r="CX147" i="55"/>
  <c r="CY147" i="55"/>
  <c r="CV147" i="55"/>
  <c r="CW147" i="55"/>
  <c r="CT217" i="55" a="1"/>
  <c r="CT217" i="55" s="1"/>
  <c r="CU217" i="55" a="1"/>
  <c r="CU217" i="55" s="1"/>
  <c r="DM4" i="55"/>
  <c r="CW181" i="55"/>
  <c r="CX181" i="55"/>
  <c r="CY181" i="55"/>
  <c r="CV181" i="55"/>
  <c r="JC129" i="55"/>
  <c r="ID18" i="55" a="1"/>
  <c r="ID18" i="55" s="1"/>
  <c r="IE18" i="55" a="1"/>
  <c r="IE18" i="55" s="1"/>
  <c r="JN76" i="55"/>
  <c r="JG76" i="55"/>
  <c r="CT107" i="55" a="1"/>
  <c r="CT107" i="55" s="1"/>
  <c r="CU107" i="55" a="1"/>
  <c r="CU107" i="55" s="1"/>
  <c r="JM209" i="55"/>
  <c r="JF209" i="55"/>
  <c r="FS48" i="55"/>
  <c r="DW243" i="55"/>
  <c r="CX243" i="55"/>
  <c r="CY243" i="55"/>
  <c r="CV243" i="55"/>
  <c r="CW243" i="55"/>
  <c r="CV72" i="55"/>
  <c r="CY72" i="55"/>
  <c r="CX72" i="55"/>
  <c r="CW72" i="55"/>
  <c r="IE72" i="55" a="1"/>
  <c r="IE72" i="55" s="1"/>
  <c r="ID72" i="55" a="1"/>
  <c r="ID72" i="55" s="1"/>
  <c r="FR115" i="55"/>
  <c r="JN153" i="55"/>
  <c r="JG153" i="55"/>
  <c r="JN12" i="55"/>
  <c r="JG12" i="55"/>
  <c r="IE335" i="55" a="1"/>
  <c r="IE335" i="55" s="1"/>
  <c r="ID335" i="55" a="1"/>
  <c r="ID335" i="55" s="1"/>
  <c r="JL159" i="55"/>
  <c r="JE159" i="55"/>
  <c r="GQ290" i="55"/>
  <c r="CV233" i="55"/>
  <c r="CW233" i="55"/>
  <c r="CY233" i="55"/>
  <c r="CX233" i="55"/>
  <c r="GE57" i="55" a="1"/>
  <c r="GE57" i="55" s="1"/>
  <c r="GF57" i="55" s="1"/>
  <c r="EV193" i="55"/>
  <c r="EW193" i="55" s="1"/>
  <c r="FR245" i="55"/>
  <c r="AR28" i="54"/>
  <c r="EV308" i="55"/>
  <c r="EW308" i="55" s="1"/>
  <c r="EZ308" i="55" s="1"/>
  <c r="GQ334" i="55"/>
  <c r="GR326" i="55"/>
  <c r="GT326" i="55"/>
  <c r="GM206" i="55"/>
  <c r="CI206" i="55"/>
  <c r="HV206" i="55" s="1"/>
  <c r="T206" i="55" s="1"/>
  <c r="EV206" i="55"/>
  <c r="EW206" i="55" s="1"/>
  <c r="GQ332" i="55"/>
  <c r="JG223" i="55"/>
  <c r="JN223" i="55"/>
  <c r="GE274" i="55" a="1"/>
  <c r="GE274" i="55" s="1"/>
  <c r="GF274" i="55" s="1"/>
  <c r="JN204" i="55"/>
  <c r="JG204" i="55"/>
  <c r="GE162" i="55" a="1"/>
  <c r="GE162" i="55" s="1"/>
  <c r="GF162" i="55" s="1"/>
  <c r="IE293" i="55" a="1"/>
  <c r="IE293" i="55" s="1"/>
  <c r="ID293" i="55" a="1"/>
  <c r="ID293" i="55" s="1"/>
  <c r="JF113" i="55"/>
  <c r="JM113" i="55"/>
  <c r="GQ289" i="55"/>
  <c r="GR289" i="55" s="1"/>
  <c r="CT210" i="55" a="1"/>
  <c r="CT210" i="55" s="1"/>
  <c r="CU210" i="55" a="1"/>
  <c r="CU210" i="55" s="1"/>
  <c r="CW175" i="55"/>
  <c r="CX175" i="55"/>
  <c r="CV175" i="55"/>
  <c r="CY175" i="55"/>
  <c r="EK174" i="55"/>
  <c r="GQ219" i="55"/>
  <c r="R215" i="55"/>
  <c r="FZ330" i="55"/>
  <c r="CS241" i="55"/>
  <c r="R5" i="55"/>
  <c r="GE227" i="55" a="1"/>
  <c r="GE227" i="55" s="1"/>
  <c r="GF227" i="55" s="1"/>
  <c r="R291" i="55"/>
  <c r="JG136" i="55"/>
  <c r="JN136" i="55"/>
  <c r="O223" i="55" a="1"/>
  <c r="O223" i="55" s="1"/>
  <c r="GE98" i="55" a="1"/>
  <c r="GE98" i="55" s="1"/>
  <c r="GF98" i="55" s="1"/>
  <c r="EK238" i="55"/>
  <c r="EV238" i="55" s="1"/>
  <c r="EW238" i="55" s="1"/>
  <c r="O238" i="55" a="1"/>
  <c r="O238" i="55" s="1"/>
  <c r="CW261" i="55"/>
  <c r="CX261" i="55"/>
  <c r="CY261" i="55"/>
  <c r="CV261" i="55"/>
  <c r="DW261" i="55"/>
  <c r="GQ76" i="55"/>
  <c r="EK121" i="55"/>
  <c r="O121" i="55" a="1"/>
  <c r="O121" i="55" s="1"/>
  <c r="JM183" i="55"/>
  <c r="JF183" i="55"/>
  <c r="DM326" i="55"/>
  <c r="DQ326" i="55" s="1"/>
  <c r="JX326" i="55"/>
  <c r="JY326" i="55"/>
  <c r="DV326" i="55"/>
  <c r="DW326" i="55" s="1"/>
  <c r="ID237" i="55" a="1"/>
  <c r="ID237" i="55" s="1"/>
  <c r="IE237" i="55" a="1"/>
  <c r="IE237" i="55" s="1"/>
  <c r="JF21" i="55"/>
  <c r="JM21" i="55"/>
  <c r="CU155" i="55" a="1"/>
  <c r="CU155" i="55" s="1"/>
  <c r="CT155" i="55" a="1"/>
  <c r="CT155" i="55" s="1"/>
  <c r="AP15" i="54"/>
  <c r="GE163" i="55" a="1"/>
  <c r="GE163" i="55" s="1"/>
  <c r="GF163" i="55" s="1"/>
  <c r="JN138" i="55"/>
  <c r="JG138" i="55"/>
  <c r="JM249" i="55"/>
  <c r="JF249" i="55"/>
  <c r="JY212" i="55"/>
  <c r="DV212" i="55"/>
  <c r="DW212" i="55" s="1"/>
  <c r="JX212" i="55"/>
  <c r="JX36" i="55"/>
  <c r="JY36" i="55"/>
  <c r="DV36" i="55"/>
  <c r="DW36" i="55" s="1"/>
  <c r="GQ159" i="55"/>
  <c r="GQ169" i="55"/>
  <c r="DY245" i="55"/>
  <c r="CT144" i="55" a="1"/>
  <c r="CT144" i="55" s="1"/>
  <c r="CU144" i="55" a="1"/>
  <c r="CU144" i="55" s="1"/>
  <c r="CS144" i="55"/>
  <c r="CT211" i="55" a="1"/>
  <c r="CT211" i="55" s="1"/>
  <c r="CU211" i="55" a="1"/>
  <c r="CU211" i="55" s="1"/>
  <c r="GE51" i="55" a="1"/>
  <c r="GE51" i="55" s="1"/>
  <c r="GF51" i="55" s="1"/>
  <c r="FZ102" i="55"/>
  <c r="AP29" i="54"/>
  <c r="AK14" i="54"/>
  <c r="AO20" i="54"/>
  <c r="CU332" i="55" a="1"/>
  <c r="CU332" i="55" s="1"/>
  <c r="CT332" i="55" a="1"/>
  <c r="CT332" i="55" s="1"/>
  <c r="JN241" i="55"/>
  <c r="JG241" i="55"/>
  <c r="GE249" i="55" a="1"/>
  <c r="GE249" i="55" s="1"/>
  <c r="GF249" i="55" s="1"/>
  <c r="JN262" i="55"/>
  <c r="JG262" i="55"/>
  <c r="FZ19" i="55"/>
  <c r="JL201" i="55"/>
  <c r="JE201" i="55"/>
  <c r="FZ264" i="55"/>
  <c r="FZ196" i="55"/>
  <c r="IE220" i="55" a="1"/>
  <c r="IE220" i="55" s="1"/>
  <c r="ID220" i="55" a="1"/>
  <c r="ID220" i="55" s="1"/>
  <c r="GE281" i="55" a="1"/>
  <c r="GE281" i="55" s="1"/>
  <c r="GF281" i="55" s="1"/>
  <c r="GM257" i="55"/>
  <c r="CI257" i="55"/>
  <c r="HV257" i="55" s="1"/>
  <c r="JN27" i="55"/>
  <c r="JG27" i="55"/>
  <c r="DM295" i="55"/>
  <c r="DQ295" i="55" s="1"/>
  <c r="JY295" i="55"/>
  <c r="JX295" i="55"/>
  <c r="DV295" i="55"/>
  <c r="DW295" i="55" s="1"/>
  <c r="JF224" i="55"/>
  <c r="JM224" i="55"/>
  <c r="IE152" i="55" a="1"/>
  <c r="IE152" i="55" s="1"/>
  <c r="ID152" i="55" a="1"/>
  <c r="ID152" i="55" s="1"/>
  <c r="BN18" i="54"/>
  <c r="BO18" i="54" s="1"/>
  <c r="BH18" i="54"/>
  <c r="BJ18" i="54"/>
  <c r="BK18" i="54" s="1"/>
  <c r="AE18" i="54" a="1"/>
  <c r="AE18" i="54" s="1"/>
  <c r="O106" i="55" a="1"/>
  <c r="O106" i="55" s="1"/>
  <c r="JM8" i="55"/>
  <c r="JF8" i="55"/>
  <c r="IE16" i="55" a="1"/>
  <c r="IE16" i="55" s="1"/>
  <c r="ID16" i="55" a="1"/>
  <c r="ID16" i="55" s="1"/>
  <c r="EK300" i="55"/>
  <c r="EV300" i="55" s="1"/>
  <c r="EW300" i="55" s="1"/>
  <c r="JM68" i="55"/>
  <c r="JF68" i="55"/>
  <c r="CT216" i="55" a="1"/>
  <c r="CT216" i="55" s="1"/>
  <c r="CU216" i="55" a="1"/>
  <c r="CU216" i="55" s="1"/>
  <c r="FZ168" i="55"/>
  <c r="GQ212" i="55"/>
  <c r="JF57" i="55"/>
  <c r="JM57" i="55"/>
  <c r="JG260" i="55"/>
  <c r="JN260" i="55"/>
  <c r="JF86" i="55"/>
  <c r="JM86" i="55"/>
  <c r="JN77" i="55"/>
  <c r="JG77" i="55"/>
  <c r="JN108" i="55"/>
  <c r="JG108" i="55"/>
  <c r="GQ300" i="55"/>
  <c r="JG79" i="55"/>
  <c r="JN79" i="55"/>
  <c r="IE306" i="55" a="1"/>
  <c r="IE306" i="55" s="1"/>
  <c r="ID306" i="55" a="1"/>
  <c r="ID306" i="55" s="1"/>
  <c r="O103" i="55" a="1"/>
  <c r="O103" i="55" s="1"/>
  <c r="CX164" i="55"/>
  <c r="CV164" i="55"/>
  <c r="CW164" i="55"/>
  <c r="CY164" i="55"/>
  <c r="CV41" i="55"/>
  <c r="CW41" i="55"/>
  <c r="CY41" i="55"/>
  <c r="CX41" i="55"/>
  <c r="DW41" i="55"/>
  <c r="CU351" i="55" a="1"/>
  <c r="CU351" i="55" s="1"/>
  <c r="CT351" i="55" a="1"/>
  <c r="CT351" i="55" s="1"/>
  <c r="CS351" i="55"/>
  <c r="JL127" i="55"/>
  <c r="JE127" i="55"/>
  <c r="JM242" i="55"/>
  <c r="JF242" i="55"/>
  <c r="JL344" i="55"/>
  <c r="JE344" i="55"/>
  <c r="BH27" i="54"/>
  <c r="BJ27" i="54"/>
  <c r="BK27" i="54" s="1"/>
  <c r="BN27" i="54"/>
  <c r="BO27" i="54" s="1"/>
  <c r="AE27" i="54" a="1"/>
  <c r="AE27" i="54" s="1"/>
  <c r="GQ221" i="55"/>
  <c r="JL321" i="55"/>
  <c r="JE321" i="55"/>
  <c r="GM161" i="55"/>
  <c r="CI161" i="55"/>
  <c r="HV161" i="55" s="1"/>
  <c r="AM17" i="54"/>
  <c r="JF44" i="55"/>
  <c r="JM44" i="55"/>
  <c r="GQ75" i="55"/>
  <c r="GR75" i="55" s="1"/>
  <c r="GQ320" i="55"/>
  <c r="GQ317" i="55"/>
  <c r="GQ318" i="55"/>
  <c r="JN289" i="55"/>
  <c r="JG289" i="55"/>
  <c r="CV271" i="55"/>
  <c r="CY271" i="55"/>
  <c r="CX271" i="55"/>
  <c r="CW271" i="55"/>
  <c r="CZ271" i="55"/>
  <c r="DA271" i="55" s="1"/>
  <c r="CT147" i="55" a="1"/>
  <c r="CT147" i="55" s="1"/>
  <c r="CU147" i="55" a="1"/>
  <c r="CU147" i="55" s="1"/>
  <c r="GQ192" i="55"/>
  <c r="CX12" i="55"/>
  <c r="CV12" i="55"/>
  <c r="CY12" i="55"/>
  <c r="CW12" i="55"/>
  <c r="IE12" i="55" a="1"/>
  <c r="IE12" i="55" s="1"/>
  <c r="ID12" i="55" a="1"/>
  <c r="ID12" i="55" s="1"/>
  <c r="JN161" i="55"/>
  <c r="JG161" i="55"/>
  <c r="EZ266" i="55"/>
  <c r="DW195" i="55"/>
  <c r="CX195" i="55"/>
  <c r="CY195" i="55"/>
  <c r="CW195" i="55"/>
  <c r="CV195" i="55"/>
  <c r="JC35" i="55"/>
  <c r="GM270" i="55"/>
  <c r="CI270" i="55"/>
  <c r="HV270" i="55" s="1"/>
  <c r="CW38" i="55"/>
  <c r="CY38" i="55"/>
  <c r="CX38" i="55"/>
  <c r="CV38" i="55"/>
  <c r="CT129" i="55" a="1"/>
  <c r="CT129" i="55" s="1"/>
  <c r="CU129" i="55" a="1"/>
  <c r="CU129" i="55" s="1"/>
  <c r="EK288" i="55"/>
  <c r="EV288" i="55" s="1"/>
  <c r="EW288" i="55" s="1"/>
  <c r="JL107" i="55"/>
  <c r="JE107" i="55"/>
  <c r="FS198" i="55"/>
  <c r="JN209" i="55"/>
  <c r="JG209" i="55"/>
  <c r="CT105" i="55" a="1"/>
  <c r="CT105" i="55" s="1"/>
  <c r="CU105" i="55" a="1"/>
  <c r="CU105" i="55" s="1"/>
  <c r="O129" i="55" a="1"/>
  <c r="O129" i="55" s="1"/>
  <c r="CT243" i="55" a="1"/>
  <c r="CT243" i="55" s="1"/>
  <c r="CU243" i="55" a="1"/>
  <c r="CU243" i="55" s="1"/>
  <c r="JF121" i="55"/>
  <c r="JM121" i="55"/>
  <c r="JM12" i="55"/>
  <c r="JF12" i="55"/>
  <c r="CT225" i="55" a="1"/>
  <c r="CT225" i="55" s="1"/>
  <c r="CU225" i="55" a="1"/>
  <c r="CU225" i="55" s="1"/>
  <c r="JM335" i="55"/>
  <c r="JF335" i="55"/>
  <c r="CT130" i="55" a="1"/>
  <c r="CT130" i="55" s="1"/>
  <c r="CU130" i="55" a="1"/>
  <c r="CU130" i="55" s="1"/>
  <c r="GQ333" i="55"/>
  <c r="IE153" i="55" a="1"/>
  <c r="IE153" i="55" s="1"/>
  <c r="ID153" i="55" a="1"/>
  <c r="ID153" i="55" s="1"/>
  <c r="DW112" i="55"/>
  <c r="CX112" i="55"/>
  <c r="CW112" i="55"/>
  <c r="CY112" i="55"/>
  <c r="CV112" i="55"/>
  <c r="HD3" i="55"/>
  <c r="HB3" i="55"/>
  <c r="HC3" i="55" s="1"/>
  <c r="HA4" i="55"/>
  <c r="AK28" i="54"/>
  <c r="GE97" i="55" a="1"/>
  <c r="GE97" i="55" s="1"/>
  <c r="GF97" i="55" s="1"/>
  <c r="CY336" i="55"/>
  <c r="CV336" i="55"/>
  <c r="CW336" i="55"/>
  <c r="CX336" i="55"/>
  <c r="GQ12" i="55"/>
  <c r="CY273" i="55"/>
  <c r="CV273" i="55"/>
  <c r="CW273" i="55"/>
  <c r="CX273" i="55"/>
  <c r="CZ273" i="55"/>
  <c r="DA273" i="55" s="1"/>
  <c r="JN146" i="55"/>
  <c r="JG146" i="55"/>
  <c r="JE204" i="55"/>
  <c r="JL204" i="55"/>
  <c r="FS201" i="55"/>
  <c r="CT162" i="55" a="1"/>
  <c r="CT162" i="55" s="1"/>
  <c r="CU162" i="55" a="1"/>
  <c r="CU162" i="55" s="1"/>
  <c r="JN113" i="55"/>
  <c r="JG113" i="55"/>
  <c r="ID188" i="55" a="1"/>
  <c r="ID188" i="55" s="1"/>
  <c r="IE188" i="55" a="1"/>
  <c r="IE188" i="55" s="1"/>
  <c r="GR94" i="55"/>
  <c r="DW309" i="55"/>
  <c r="CW309" i="55"/>
  <c r="CX309" i="55"/>
  <c r="CY309" i="55"/>
  <c r="CV309" i="55"/>
  <c r="CT19" i="55" a="1"/>
  <c r="CT19" i="55" s="1"/>
  <c r="CU19" i="55" a="1"/>
  <c r="CU19" i="55" s="1"/>
  <c r="CT305" i="55" a="1"/>
  <c r="CT305" i="55" s="1"/>
  <c r="CU305" i="55" a="1"/>
  <c r="CU305" i="55" s="1"/>
  <c r="CS305" i="55"/>
  <c r="R147" i="55"/>
  <c r="JM136" i="55"/>
  <c r="JF136" i="55"/>
  <c r="GE131" i="55" a="1"/>
  <c r="GE131" i="55" s="1"/>
  <c r="GF131" i="55" s="1"/>
  <c r="GE258" i="55" a="1"/>
  <c r="GE258" i="55" s="1"/>
  <c r="GF258" i="55" s="1"/>
  <c r="FS119" i="55"/>
  <c r="JF33" i="55"/>
  <c r="JM33" i="55"/>
  <c r="FR346" i="55"/>
  <c r="JM269" i="55"/>
  <c r="JF269" i="55"/>
  <c r="EK297" i="55"/>
  <c r="EV297" i="55"/>
  <c r="EW297" i="55" s="1"/>
  <c r="JL228" i="55"/>
  <c r="JE228" i="55"/>
  <c r="JN205" i="55"/>
  <c r="JG205" i="55"/>
  <c r="EK104" i="55"/>
  <c r="EV104" i="55"/>
  <c r="EW104" i="55" s="1"/>
  <c r="JM164" i="55"/>
  <c r="JF164" i="55"/>
  <c r="JL86" i="55"/>
  <c r="JE86" i="55"/>
  <c r="JL77" i="55"/>
  <c r="JE77" i="55"/>
  <c r="JN313" i="55"/>
  <c r="JG313" i="55"/>
  <c r="JM4" i="55"/>
  <c r="JF4" i="55"/>
  <c r="GQ180" i="55"/>
  <c r="GE180" i="55" a="1"/>
  <c r="GE180" i="55" s="1"/>
  <c r="GF180" i="55" s="1"/>
  <c r="GM170" i="55"/>
  <c r="CI170" i="55"/>
  <c r="HV170" i="55" s="1"/>
  <c r="EY3" i="55"/>
  <c r="CT313" i="55" a="1"/>
  <c r="CT313" i="55" s="1"/>
  <c r="CU313" i="55" a="1"/>
  <c r="CU313" i="55" s="1"/>
  <c r="JF351" i="55"/>
  <c r="JM351" i="55"/>
  <c r="GQ174" i="55"/>
  <c r="JE242" i="55"/>
  <c r="JL242" i="55"/>
  <c r="JN321" i="55"/>
  <c r="JG321" i="55"/>
  <c r="R132" i="55"/>
  <c r="EZ161" i="55"/>
  <c r="AO17" i="54"/>
  <c r="IE242" i="55" a="1"/>
  <c r="IE242" i="55" s="1"/>
  <c r="ID242" i="55" a="1"/>
  <c r="ID242" i="55" s="1"/>
  <c r="CU134" i="55" a="1"/>
  <c r="CU134" i="55" s="1"/>
  <c r="CT134" i="55" a="1"/>
  <c r="CT134" i="55" s="1"/>
  <c r="CS134" i="55"/>
  <c r="DV193" i="55"/>
  <c r="DW193" i="55" s="1"/>
  <c r="DM193" i="55"/>
  <c r="JX193" i="55"/>
  <c r="JY193" i="55"/>
  <c r="O125" i="55" a="1"/>
  <c r="O125" i="55" s="1"/>
  <c r="AQ21" i="54"/>
  <c r="ID35" i="55" a="1"/>
  <c r="ID35" i="55" s="1"/>
  <c r="IE35" i="55" a="1"/>
  <c r="IE35" i="55" s="1"/>
  <c r="R311" i="55"/>
  <c r="DK295" i="55"/>
  <c r="DY295" i="55"/>
  <c r="JM107" i="55"/>
  <c r="JF107" i="55"/>
  <c r="FU20" i="55"/>
  <c r="L20" i="55" s="1"/>
  <c r="FV20" i="55" s="1"/>
  <c r="FW20" i="55" s="1"/>
  <c r="GE107" i="55" a="1"/>
  <c r="GE107" i="55" s="1"/>
  <c r="GF107" i="55" s="1"/>
  <c r="EK175" i="55"/>
  <c r="CU15" i="55" a="1"/>
  <c r="CU15" i="55" s="1"/>
  <c r="CT15" i="55" a="1"/>
  <c r="CT15" i="55" s="1"/>
  <c r="CS15" i="55"/>
  <c r="GE79" i="55" a="1"/>
  <c r="GE79" i="55" s="1"/>
  <c r="GF79" i="55" s="1"/>
  <c r="CI285" i="55"/>
  <c r="HV285" i="55" s="1"/>
  <c r="T285" i="55" s="1"/>
  <c r="GM285" i="55"/>
  <c r="EV285" i="55"/>
  <c r="EW285" i="55" s="1"/>
  <c r="CT72" i="55" a="1"/>
  <c r="CT72" i="55" s="1"/>
  <c r="CU72" i="55" a="1"/>
  <c r="CU72" i="55" s="1"/>
  <c r="JE121" i="55"/>
  <c r="JL121" i="55"/>
  <c r="JL335" i="55"/>
  <c r="JE335" i="55"/>
  <c r="CT290" i="55" a="1"/>
  <c r="CT290" i="55" s="1"/>
  <c r="CU290" i="55" a="1"/>
  <c r="CU290" i="55" s="1"/>
  <c r="GE290" i="55" a="1"/>
  <c r="GE290" i="55" s="1"/>
  <c r="GF290" i="55" s="1"/>
  <c r="ID130" i="55" a="1"/>
  <c r="ID130" i="55" s="1"/>
  <c r="IE130" i="55" a="1"/>
  <c r="IE130" i="55" s="1"/>
  <c r="JM248" i="55"/>
  <c r="JF248" i="55"/>
  <c r="AM28" i="54"/>
  <c r="GM209" i="55"/>
  <c r="CI209" i="55"/>
  <c r="HV209" i="55" s="1"/>
  <c r="GQ297" i="55"/>
  <c r="GM253" i="55"/>
  <c r="CI253" i="55"/>
  <c r="HV253" i="55" s="1"/>
  <c r="JE223" i="55"/>
  <c r="JL223" i="55"/>
  <c r="JM146" i="55"/>
  <c r="JF146" i="55"/>
  <c r="EK60" i="55"/>
  <c r="EV60" i="55"/>
  <c r="EW60" i="55" s="1"/>
  <c r="CX287" i="55"/>
  <c r="CV287" i="55"/>
  <c r="CW287" i="55"/>
  <c r="CY287" i="55"/>
  <c r="GQ322" i="55"/>
  <c r="JM204" i="55"/>
  <c r="JF204" i="55"/>
  <c r="GQ293" i="55"/>
  <c r="R265" i="55"/>
  <c r="CS188" i="55"/>
  <c r="FS212" i="55"/>
  <c r="GQ299" i="55"/>
  <c r="R208" i="55"/>
  <c r="FR251" i="55"/>
  <c r="IE305" i="55" a="1"/>
  <c r="IE305" i="55" s="1"/>
  <c r="ID305" i="55" a="1"/>
  <c r="ID305" i="55" s="1"/>
  <c r="GE67" i="55" a="1"/>
  <c r="GE67" i="55" s="1"/>
  <c r="GF67" i="55" s="1"/>
  <c r="JL136" i="55"/>
  <c r="JE136" i="55"/>
  <c r="FR113" i="55"/>
  <c r="CT98" i="55" a="1"/>
  <c r="CT98" i="55" s="1"/>
  <c r="CU98" i="55" a="1"/>
  <c r="CU98" i="55" s="1"/>
  <c r="ID98" i="55" a="1"/>
  <c r="ID98" i="55" s="1"/>
  <c r="IE98" i="55" a="1"/>
  <c r="IE98" i="55" s="1"/>
  <c r="FR205" i="55"/>
  <c r="EK261" i="55"/>
  <c r="EV261" i="55"/>
  <c r="EW261" i="55" s="1"/>
  <c r="JL33" i="55"/>
  <c r="JE33" i="55"/>
  <c r="EV237" i="55"/>
  <c r="EW237" i="55" s="1"/>
  <c r="GM220" i="55"/>
  <c r="CI220" i="55"/>
  <c r="HV220" i="55" s="1"/>
  <c r="T220" i="55" s="1"/>
  <c r="DW240" i="55"/>
  <c r="CV240" i="55"/>
  <c r="CY240" i="55"/>
  <c r="CX240" i="55"/>
  <c r="CW240" i="55"/>
  <c r="FS276" i="55"/>
  <c r="GQ215" i="55"/>
  <c r="GR215" i="55" s="1"/>
  <c r="EO3" i="55" a="1"/>
  <c r="EO3" i="55" s="1"/>
  <c r="GQ223" i="55"/>
  <c r="GE60" i="55" a="1"/>
  <c r="GE60" i="55" s="1"/>
  <c r="GF60" i="55" s="1"/>
  <c r="CS313" i="55"/>
  <c r="AQ16" i="54"/>
  <c r="GM349" i="55"/>
  <c r="CI349" i="55"/>
  <c r="HV349" i="55" s="1"/>
  <c r="T349" i="55" s="1"/>
  <c r="EV349" i="55"/>
  <c r="EW349" i="55" s="1"/>
  <c r="CV78" i="55"/>
  <c r="CW78" i="55"/>
  <c r="CY78" i="55"/>
  <c r="CX78" i="55"/>
  <c r="AM30" i="54"/>
  <c r="GE194" i="55" a="1"/>
  <c r="GE194" i="55" s="1"/>
  <c r="GF194" i="55" s="1"/>
  <c r="EV198" i="55"/>
  <c r="EW198" i="55" s="1"/>
  <c r="AK17" i="54"/>
  <c r="GQ191" i="55"/>
  <c r="JE81" i="55"/>
  <c r="JL81" i="55"/>
  <c r="EK176" i="55"/>
  <c r="EV176" i="55" s="1"/>
  <c r="EW176" i="55" s="1"/>
  <c r="EZ176" i="55" s="1"/>
  <c r="GQ251" i="55"/>
  <c r="FS37" i="55"/>
  <c r="AM21" i="54"/>
  <c r="CT12" i="55" a="1"/>
  <c r="CT12" i="55" s="1"/>
  <c r="CU12" i="55" a="1"/>
  <c r="CU12" i="55" s="1"/>
  <c r="GE185" i="55" a="1"/>
  <c r="GE185" i="55" s="1"/>
  <c r="GF185" i="55" s="1"/>
  <c r="CU195" i="55" a="1"/>
  <c r="CU195" i="55" s="1"/>
  <c r="CT195" i="55" a="1"/>
  <c r="CT195" i="55" s="1"/>
  <c r="EK108" i="55"/>
  <c r="EV108" i="55"/>
  <c r="EW108" i="55" s="1"/>
  <c r="EK62" i="55"/>
  <c r="O62" i="55" a="1"/>
  <c r="O62" i="55" s="1"/>
  <c r="FS295" i="55"/>
  <c r="IE33" i="55" a="1"/>
  <c r="IE33" i="55" s="1"/>
  <c r="ID33" i="55" a="1"/>
  <c r="ID33" i="55" s="1"/>
  <c r="IE129" i="55" a="1"/>
  <c r="IE129" i="55" s="1"/>
  <c r="ID129" i="55" a="1"/>
  <c r="ID129" i="55" s="1"/>
  <c r="ID83" i="55" a="1"/>
  <c r="ID83" i="55" s="1"/>
  <c r="IE83" i="55" a="1"/>
  <c r="IE83" i="55" s="1"/>
  <c r="CV142" i="55"/>
  <c r="CX142" i="55"/>
  <c r="CW142" i="55"/>
  <c r="CY142" i="55"/>
  <c r="CS107" i="55"/>
  <c r="FZ97" i="55"/>
  <c r="EK351" i="55"/>
  <c r="EV351" i="55" s="1"/>
  <c r="EW351" i="55" s="1"/>
  <c r="JL15" i="55"/>
  <c r="JE15" i="55"/>
  <c r="JL251" i="55"/>
  <c r="JE251" i="55"/>
  <c r="CT252" i="55" a="1"/>
  <c r="CT252" i="55" s="1"/>
  <c r="CU252" i="55" a="1"/>
  <c r="CU252" i="55" s="1"/>
  <c r="GQ167" i="55"/>
  <c r="O332" i="55" a="1"/>
  <c r="O332" i="55" s="1"/>
  <c r="JG335" i="55"/>
  <c r="JN335" i="55"/>
  <c r="JN248" i="55"/>
  <c r="JG248" i="55"/>
  <c r="CT153" i="55" a="1"/>
  <c r="CT153" i="55" s="1"/>
  <c r="CU153" i="55" a="1"/>
  <c r="CU153" i="55" s="1"/>
  <c r="O271" i="55" a="1"/>
  <c r="O271" i="55" s="1"/>
  <c r="AL28" i="54"/>
  <c r="IE97" i="55" a="1"/>
  <c r="IE97" i="55" s="1"/>
  <c r="ID97" i="55" a="1"/>
  <c r="ID97" i="55" s="1"/>
  <c r="CT66" i="55" a="1"/>
  <c r="CT66" i="55" s="1"/>
  <c r="CU66" i="55" a="1"/>
  <c r="CU66" i="55" s="1"/>
  <c r="ID274" i="55" a="1"/>
  <c r="ID274" i="55" s="1"/>
  <c r="IE274" i="55" a="1"/>
  <c r="IE274" i="55" s="1"/>
  <c r="CS114" i="55"/>
  <c r="JL146" i="55"/>
  <c r="JE146" i="55"/>
  <c r="GE322" i="55" a="1"/>
  <c r="GE322" i="55" s="1"/>
  <c r="GF322" i="55" s="1"/>
  <c r="R240" i="55"/>
  <c r="R213" i="55"/>
  <c r="CZ252" i="55"/>
  <c r="DA252" i="55" s="1"/>
  <c r="IE289" i="55" a="1"/>
  <c r="IE289" i="55" s="1"/>
  <c r="ID289" i="55" a="1"/>
  <c r="ID289" i="55" s="1"/>
  <c r="EK69" i="55"/>
  <c r="O69" i="55" a="1"/>
  <c r="O69" i="55" s="1"/>
  <c r="R309" i="55"/>
  <c r="GT88" i="55"/>
  <c r="FU3" i="55"/>
  <c r="L3" i="55" s="1"/>
  <c r="FV3" i="55" s="1"/>
  <c r="R289" i="55"/>
  <c r="CT124" i="55" a="1"/>
  <c r="CT124" i="55" s="1"/>
  <c r="CU124" i="55" a="1"/>
  <c r="CU124" i="55" s="1"/>
  <c r="CS124" i="55"/>
  <c r="GQ302" i="55"/>
  <c r="T131" i="55"/>
  <c r="CS258" i="55"/>
  <c r="R131" i="55"/>
  <c r="CS115" i="55"/>
  <c r="CU132" i="55" a="1"/>
  <c r="CU132" i="55" s="1"/>
  <c r="CT132" i="55" a="1"/>
  <c r="CT132" i="55" s="1"/>
  <c r="JL239" i="55"/>
  <c r="JE239" i="55"/>
  <c r="DK276" i="55"/>
  <c r="EV170" i="55"/>
  <c r="EW170" i="55" s="1"/>
  <c r="IE15" i="55" a="1"/>
  <c r="IE15" i="55" s="1"/>
  <c r="ID15" i="55" a="1"/>
  <c r="ID15" i="55" s="1"/>
  <c r="GM159" i="55"/>
  <c r="CI159" i="55"/>
  <c r="HV159" i="55" s="1"/>
  <c r="AR17" i="54"/>
  <c r="GE82" i="55" a="1"/>
  <c r="GE82" i="55" s="1"/>
  <c r="GF82" i="55" s="1"/>
  <c r="JL134" i="55"/>
  <c r="JE134" i="55"/>
  <c r="FZ176" i="55"/>
  <c r="FR179" i="55"/>
  <c r="AP21" i="54" s="1"/>
  <c r="AL21" i="54"/>
  <c r="GQ195" i="55"/>
  <c r="GQ178" i="55"/>
  <c r="ID108" i="55" a="1"/>
  <c r="ID108" i="55" s="1"/>
  <c r="IE108" i="55" a="1"/>
  <c r="IE108" i="55" s="1"/>
  <c r="JC33" i="55"/>
  <c r="CV105" i="55"/>
  <c r="CW105" i="55"/>
  <c r="CY105" i="55"/>
  <c r="DW105" i="55"/>
  <c r="CX105" i="55"/>
  <c r="GE105" i="55" a="1"/>
  <c r="GE105" i="55" s="1"/>
  <c r="GF105" i="55" s="1"/>
  <c r="O175" i="55" a="1"/>
  <c r="O175" i="55" s="1"/>
  <c r="JF15" i="55"/>
  <c r="JM15" i="55"/>
  <c r="ID243" i="55" a="1"/>
  <c r="ID243" i="55" s="1"/>
  <c r="IE243" i="55" a="1"/>
  <c r="IE243" i="55" s="1"/>
  <c r="JG251" i="55"/>
  <c r="JN251" i="55"/>
  <c r="JG121" i="55"/>
  <c r="JN121" i="55"/>
  <c r="O212" i="55" a="1"/>
  <c r="O212" i="55" s="1"/>
  <c r="EV212" i="55" s="1"/>
  <c r="EW212" i="55" s="1"/>
  <c r="DW225" i="55"/>
  <c r="CY225" i="55"/>
  <c r="CX225" i="55"/>
  <c r="CW225" i="55"/>
  <c r="CV225" i="55"/>
  <c r="O113" i="55" a="1"/>
  <c r="O113" i="55" s="1"/>
  <c r="JL248" i="55"/>
  <c r="JE248" i="55"/>
  <c r="GQ11" i="55"/>
  <c r="GR11" i="55" s="1"/>
  <c r="IE57" i="55" a="1"/>
  <c r="IE57" i="55" s="1"/>
  <c r="ID57" i="55" a="1"/>
  <c r="ID57" i="55" s="1"/>
  <c r="GT341" i="55"/>
  <c r="GM289" i="55"/>
  <c r="CI289" i="55"/>
  <c r="HV289" i="55" s="1"/>
  <c r="T289" i="55" s="1"/>
  <c r="EV270" i="55"/>
  <c r="EW270" i="55" s="1"/>
  <c r="ID66" i="55" a="1"/>
  <c r="ID66" i="55" s="1"/>
  <c r="IE66" i="55" a="1"/>
  <c r="IE66" i="55" s="1"/>
  <c r="EK76" i="55"/>
  <c r="O76" i="55" a="1"/>
  <c r="O76" i="55" s="1"/>
  <c r="EK45" i="55"/>
  <c r="EV45" i="55"/>
  <c r="EW45" i="55" s="1"/>
  <c r="JL314" i="55"/>
  <c r="JE314" i="55"/>
  <c r="JE188" i="55"/>
  <c r="JL188" i="55"/>
  <c r="EK236" i="55"/>
  <c r="EV236" i="55" s="1"/>
  <c r="EW236" i="55" s="1"/>
  <c r="CS210" i="55"/>
  <c r="CT50" i="55" a="1"/>
  <c r="CT50" i="55" s="1"/>
  <c r="CU50" i="55" a="1"/>
  <c r="CU50" i="55" s="1"/>
  <c r="FZ325" i="55"/>
  <c r="CS339" i="55"/>
  <c r="CS179" i="55"/>
  <c r="JL124" i="55"/>
  <c r="JE124" i="55"/>
  <c r="O174" i="55" a="1"/>
  <c r="O174" i="55" s="1"/>
  <c r="JL305" i="55"/>
  <c r="JE305" i="55"/>
  <c r="GQ201" i="55"/>
  <c r="CU291" i="55" a="1"/>
  <c r="CU291" i="55" s="1"/>
  <c r="CT291" i="55" a="1"/>
  <c r="CT291" i="55" s="1"/>
  <c r="ID275" i="55" a="1"/>
  <c r="ID275" i="55" s="1"/>
  <c r="IE275" i="55" a="1"/>
  <c r="IE275" i="55" s="1"/>
  <c r="FR261" i="55"/>
  <c r="JN33" i="55"/>
  <c r="JG33" i="55"/>
  <c r="JM239" i="55"/>
  <c r="JF239" i="55"/>
  <c r="X6" i="42"/>
  <c r="W7" i="42"/>
  <c r="Z5" i="42"/>
  <c r="Y14" i="42"/>
  <c r="AA24" i="42"/>
  <c r="AC21" i="42"/>
  <c r="AC31" i="42" s="1"/>
  <c r="HL202" i="55" l="1"/>
  <c r="GK202" i="55"/>
  <c r="DO295" i="55"/>
  <c r="CI288" i="55"/>
  <c r="HV288" i="55" s="1"/>
  <c r="EV135" i="55"/>
  <c r="EW135" i="55" s="1"/>
  <c r="EZ135" i="55" s="1"/>
  <c r="GK135" i="55" s="1"/>
  <c r="EV86" i="55"/>
  <c r="EW86" i="55" s="1"/>
  <c r="EZ86" i="55" s="1"/>
  <c r="GK86" i="55" s="1"/>
  <c r="EV320" i="55"/>
  <c r="EW320" i="55" s="1"/>
  <c r="EV234" i="55"/>
  <c r="EW234" i="55" s="1"/>
  <c r="EV143" i="55"/>
  <c r="EW143" i="55" s="1"/>
  <c r="EZ143" i="55" s="1"/>
  <c r="CI322" i="55"/>
  <c r="HV322" i="55" s="1"/>
  <c r="EV103" i="55"/>
  <c r="EW103" i="55" s="1"/>
  <c r="EV40" i="55"/>
  <c r="EW40" i="55" s="1"/>
  <c r="DY304" i="55"/>
  <c r="GM322" i="55"/>
  <c r="BV27" i="54"/>
  <c r="DK304" i="55"/>
  <c r="DO304" i="55" s="1"/>
  <c r="EV48" i="55"/>
  <c r="EW48" i="55" s="1"/>
  <c r="EZ48" i="55" s="1"/>
  <c r="EV100" i="55"/>
  <c r="EW100" i="55" s="1"/>
  <c r="EV200" i="55"/>
  <c r="EW200" i="55" s="1"/>
  <c r="GT72" i="55"/>
  <c r="EV183" i="55"/>
  <c r="EW183" i="55" s="1"/>
  <c r="EZ183" i="55" s="1"/>
  <c r="CI41" i="55"/>
  <c r="HV41" i="55" s="1"/>
  <c r="T41" i="55" s="1"/>
  <c r="EV316" i="55"/>
  <c r="EW316" i="55" s="1"/>
  <c r="EV235" i="55"/>
  <c r="EW235" i="55" s="1"/>
  <c r="CI48" i="55"/>
  <c r="CI294" i="55"/>
  <c r="GM256" i="55"/>
  <c r="EV34" i="55"/>
  <c r="EW34" i="55" s="1"/>
  <c r="EZ34" i="55" s="1"/>
  <c r="EV84" i="55"/>
  <c r="EW84" i="55" s="1"/>
  <c r="EZ84" i="55" s="1"/>
  <c r="GM41" i="55"/>
  <c r="GM294" i="55"/>
  <c r="EV214" i="55"/>
  <c r="EW214" i="55" s="1"/>
  <c r="EV79" i="55"/>
  <c r="EW79" i="55" s="1"/>
  <c r="CI177" i="55"/>
  <c r="HV177" i="55" s="1"/>
  <c r="T177" i="55" s="1"/>
  <c r="GT55" i="55"/>
  <c r="EV111" i="55"/>
  <c r="EW111" i="55" s="1"/>
  <c r="EZ111" i="55" s="1"/>
  <c r="HL111" i="55" s="1"/>
  <c r="CI312" i="55"/>
  <c r="HV312" i="55" s="1"/>
  <c r="T312" i="55" s="1"/>
  <c r="DO80" i="55"/>
  <c r="EV167" i="55"/>
  <c r="EW167" i="55" s="1"/>
  <c r="GM312" i="55"/>
  <c r="AP26" i="54"/>
  <c r="EV264" i="55"/>
  <c r="EW264" i="55" s="1"/>
  <c r="EZ264" i="55" s="1"/>
  <c r="EV78" i="55"/>
  <c r="EW78" i="55" s="1"/>
  <c r="EZ78" i="55" s="1"/>
  <c r="EV169" i="55"/>
  <c r="EW169" i="55" s="1"/>
  <c r="GT164" i="55"/>
  <c r="JC164" i="55" s="1"/>
  <c r="BV17" i="54"/>
  <c r="AP30" i="54"/>
  <c r="Z30" i="54" s="1"/>
  <c r="EV110" i="55"/>
  <c r="EW110" i="55" s="1"/>
  <c r="EV323" i="55"/>
  <c r="EW323" i="55" s="1"/>
  <c r="EZ323" i="55" s="1"/>
  <c r="EV273" i="55"/>
  <c r="EW273" i="55" s="1"/>
  <c r="EV274" i="55"/>
  <c r="EW274" i="55" s="1"/>
  <c r="EV326" i="55"/>
  <c r="EW326" i="55" s="1"/>
  <c r="BV29" i="54"/>
  <c r="EP11" i="55" a="1"/>
  <c r="EP11" i="55" s="1"/>
  <c r="GT31" i="55"/>
  <c r="HL22" i="55"/>
  <c r="GK22" i="55"/>
  <c r="HL222" i="55"/>
  <c r="GK222" i="55"/>
  <c r="JO222" i="55" s="1"/>
  <c r="JU222" i="55" s="1"/>
  <c r="BV21" i="54"/>
  <c r="GT151" i="55"/>
  <c r="GU151" i="55" s="1"/>
  <c r="BV16" i="54"/>
  <c r="EV255" i="55"/>
  <c r="EW255" i="55" s="1"/>
  <c r="II130" i="55"/>
  <c r="EV348" i="55"/>
  <c r="EW348" i="55" s="1"/>
  <c r="EZ348" i="55" s="1"/>
  <c r="DU130" i="55"/>
  <c r="HT130" i="55" s="1"/>
  <c r="EV175" i="55"/>
  <c r="EW175" i="55" s="1"/>
  <c r="EZ175" i="55" s="1"/>
  <c r="EV11" i="55"/>
  <c r="EW11" i="55" s="1"/>
  <c r="Q11" i="55" s="1"/>
  <c r="CI256" i="55"/>
  <c r="HV256" i="55" s="1"/>
  <c r="T256" i="55" s="1"/>
  <c r="EV311" i="55"/>
  <c r="EW311" i="55" s="1"/>
  <c r="EZ311" i="55" s="1"/>
  <c r="AP22" i="54"/>
  <c r="BV14" i="54"/>
  <c r="DK245" i="55"/>
  <c r="DO245" i="55" s="1"/>
  <c r="G245" i="55" s="1"/>
  <c r="DP245" i="55" s="1"/>
  <c r="DQ245" i="55" s="1"/>
  <c r="II245" i="55" s="1"/>
  <c r="BV18" i="54"/>
  <c r="AP19" i="54"/>
  <c r="Z19" i="54" s="1"/>
  <c r="BV30" i="54"/>
  <c r="AP20" i="54"/>
  <c r="Z20" i="54" s="1"/>
  <c r="AP25" i="54"/>
  <c r="Z25" i="54" s="1"/>
  <c r="BV20" i="54"/>
  <c r="EV65" i="55"/>
  <c r="EW65" i="55" s="1"/>
  <c r="EZ65" i="55" s="1"/>
  <c r="EV248" i="55"/>
  <c r="EW248" i="55" s="1"/>
  <c r="EZ248" i="55" s="1"/>
  <c r="EV73" i="55"/>
  <c r="EW73" i="55" s="1"/>
  <c r="EZ73" i="55" s="1"/>
  <c r="GT19" i="55"/>
  <c r="JC19" i="55" s="1"/>
  <c r="EV315" i="55"/>
  <c r="EW315" i="55" s="1"/>
  <c r="EZ315" i="55" s="1"/>
  <c r="DY265" i="55"/>
  <c r="AP17" i="54"/>
  <c r="Z17" i="54" s="1"/>
  <c r="EV233" i="55"/>
  <c r="EW233" i="55" s="1"/>
  <c r="EZ233" i="55" s="1"/>
  <c r="CX22" i="55"/>
  <c r="CZ22" i="55"/>
  <c r="DA22" i="55" s="1"/>
  <c r="CV22" i="55"/>
  <c r="CW22" i="55"/>
  <c r="CY22" i="55"/>
  <c r="EV52" i="55"/>
  <c r="EW52" i="55" s="1"/>
  <c r="BV24" i="54"/>
  <c r="DK265" i="55"/>
  <c r="DO265" i="55" s="1"/>
  <c r="G265" i="55" s="1"/>
  <c r="DP265" i="55" s="1"/>
  <c r="DQ265" i="55" s="1"/>
  <c r="DR265" i="55" s="1" a="1"/>
  <c r="DR265" i="55" s="1"/>
  <c r="DT265" i="55" s="1"/>
  <c r="GM11" i="55"/>
  <c r="GM119" i="55"/>
  <c r="GM233" i="55"/>
  <c r="CI85" i="55"/>
  <c r="EV119" i="55"/>
  <c r="EW119" i="55" s="1"/>
  <c r="EV85" i="55"/>
  <c r="EW85" i="55" s="1"/>
  <c r="EZ85" i="55" s="1"/>
  <c r="GT162" i="55"/>
  <c r="JC162" i="55" s="1"/>
  <c r="BV23" i="54"/>
  <c r="GK80" i="55"/>
  <c r="GK94" i="55"/>
  <c r="JO94" i="55" s="1"/>
  <c r="GM177" i="55"/>
  <c r="EV321" i="55"/>
  <c r="EW321" i="55" s="1"/>
  <c r="EZ321" i="55" s="1"/>
  <c r="AP16" i="54"/>
  <c r="Z15" i="54" s="1"/>
  <c r="HQ304" i="55"/>
  <c r="DY126" i="55"/>
  <c r="GM84" i="55"/>
  <c r="EV107" i="55"/>
  <c r="EW107" i="55" s="1"/>
  <c r="HL217" i="55"/>
  <c r="JO217" i="55" s="1"/>
  <c r="BV15" i="54"/>
  <c r="GT244" i="55"/>
  <c r="GV244" i="55" s="1"/>
  <c r="GT100" i="55"/>
  <c r="JC100" i="55" s="1"/>
  <c r="CI189" i="55"/>
  <c r="HV189" i="55" s="1"/>
  <c r="T189" i="55" s="1"/>
  <c r="GM22" i="55"/>
  <c r="CI22" i="55"/>
  <c r="HV22" i="55" s="1"/>
  <c r="T22" i="55" s="1"/>
  <c r="GT119" i="55"/>
  <c r="BV26" i="54"/>
  <c r="CI217" i="55"/>
  <c r="HV217" i="55" s="1"/>
  <c r="T217" i="55" s="1"/>
  <c r="DK126" i="55"/>
  <c r="DO126" i="55" s="1"/>
  <c r="EV173" i="55"/>
  <c r="EW173" i="55" s="1"/>
  <c r="EZ173" i="55" s="1"/>
  <c r="CI216" i="55"/>
  <c r="HV216" i="55" s="1"/>
  <c r="T216" i="55" s="1"/>
  <c r="GT226" i="55"/>
  <c r="JC226" i="55" s="1"/>
  <c r="EV134" i="55"/>
  <c r="EW134" i="55" s="1"/>
  <c r="GM189" i="55"/>
  <c r="CZ143" i="55"/>
  <c r="DA143" i="55" s="1"/>
  <c r="GT143" i="55" s="1"/>
  <c r="EV318" i="55"/>
  <c r="EW318" i="55" s="1"/>
  <c r="GM217" i="55"/>
  <c r="EV76" i="55"/>
  <c r="EW76" i="55" s="1"/>
  <c r="EZ76" i="55" s="1"/>
  <c r="HL76" i="55" s="1"/>
  <c r="DY37" i="55"/>
  <c r="BV19" i="54"/>
  <c r="CI173" i="55"/>
  <c r="HV173" i="55" s="1"/>
  <c r="T173" i="55" s="1"/>
  <c r="AP18" i="54"/>
  <c r="Z18" i="54" s="1"/>
  <c r="EV139" i="55"/>
  <c r="EW139" i="55" s="1"/>
  <c r="EZ139" i="55" s="1"/>
  <c r="CY143" i="55"/>
  <c r="GT224" i="55"/>
  <c r="BV25" i="54"/>
  <c r="EV287" i="55"/>
  <c r="EW287" i="55" s="1"/>
  <c r="EZ287" i="55" s="1"/>
  <c r="EV36" i="55"/>
  <c r="EW36" i="55" s="1"/>
  <c r="EZ36" i="55" s="1"/>
  <c r="EV66" i="55"/>
  <c r="EW66" i="55" s="1"/>
  <c r="EZ66" i="55" s="1"/>
  <c r="EZ288" i="55"/>
  <c r="EZ215" i="55"/>
  <c r="EZ318" i="55"/>
  <c r="EZ246" i="55"/>
  <c r="EZ252" i="55"/>
  <c r="EZ211" i="55"/>
  <c r="EZ124" i="55"/>
  <c r="EZ296" i="55"/>
  <c r="EZ142" i="55"/>
  <c r="EZ298" i="55"/>
  <c r="EZ191" i="55"/>
  <c r="EZ169" i="55"/>
  <c r="EZ242" i="55"/>
  <c r="EZ255" i="55"/>
  <c r="HL176" i="55"/>
  <c r="GK176" i="55"/>
  <c r="EZ234" i="55"/>
  <c r="EZ320" i="55"/>
  <c r="EZ236" i="55"/>
  <c r="EZ128" i="55"/>
  <c r="GU28" i="55"/>
  <c r="GV28" i="55" s="1"/>
  <c r="GW28" i="55" s="1"/>
  <c r="GV27" i="55"/>
  <c r="GW27" i="55" s="1"/>
  <c r="EZ267" i="55"/>
  <c r="EZ49" i="55"/>
  <c r="HL92" i="55"/>
  <c r="GK92" i="55"/>
  <c r="EZ343" i="55"/>
  <c r="HL131" i="55"/>
  <c r="GK131" i="55"/>
  <c r="EZ162" i="55"/>
  <c r="EZ346" i="55"/>
  <c r="EZ155" i="55"/>
  <c r="EZ274" i="55"/>
  <c r="EZ148" i="55"/>
  <c r="EZ23" i="55"/>
  <c r="EZ79" i="55"/>
  <c r="EZ90" i="55"/>
  <c r="EZ107" i="55"/>
  <c r="EZ153" i="55"/>
  <c r="HL143" i="55"/>
  <c r="GK143" i="55"/>
  <c r="EZ57" i="55"/>
  <c r="EZ327" i="55"/>
  <c r="GK111" i="55"/>
  <c r="EZ118" i="55"/>
  <c r="EZ251" i="55"/>
  <c r="HL240" i="55"/>
  <c r="GK240" i="55"/>
  <c r="EZ42" i="55"/>
  <c r="EZ67" i="55"/>
  <c r="EZ110" i="55"/>
  <c r="EZ263" i="55"/>
  <c r="EZ127" i="55"/>
  <c r="EZ200" i="55"/>
  <c r="GR269" i="55"/>
  <c r="GT269" i="55"/>
  <c r="GR249" i="55"/>
  <c r="EZ333" i="55"/>
  <c r="GR73" i="55"/>
  <c r="GT73" i="55"/>
  <c r="HL61" i="55"/>
  <c r="GK61" i="55"/>
  <c r="DO276" i="55"/>
  <c r="G276" i="55" s="1"/>
  <c r="DP276" i="55" s="1"/>
  <c r="DQ276" i="55" s="1"/>
  <c r="CY114" i="55"/>
  <c r="CX114" i="55"/>
  <c r="CW114" i="55"/>
  <c r="CV114" i="55"/>
  <c r="CZ114" i="55"/>
  <c r="DA114" i="55" s="1"/>
  <c r="FS164" i="55"/>
  <c r="GR218" i="55"/>
  <c r="CY257" i="55"/>
  <c r="CW257" i="55"/>
  <c r="CX257" i="55"/>
  <c r="CV257" i="55"/>
  <c r="T257" i="55"/>
  <c r="CZ257" i="55"/>
  <c r="DA257" i="55" s="1"/>
  <c r="GT257" i="55" s="1"/>
  <c r="CW256" i="55"/>
  <c r="CX256" i="55"/>
  <c r="CV256" i="55"/>
  <c r="CY256" i="55"/>
  <c r="CZ256" i="55"/>
  <c r="DA256" i="55" s="1"/>
  <c r="GT256" i="55" s="1"/>
  <c r="GR74" i="55"/>
  <c r="GR71" i="55"/>
  <c r="GT71" i="55"/>
  <c r="GR133" i="55"/>
  <c r="GT133" i="55"/>
  <c r="JX337" i="55"/>
  <c r="JY337" i="55"/>
  <c r="DV337" i="55"/>
  <c r="DW337" i="55" s="1"/>
  <c r="DM337" i="55"/>
  <c r="DQ337" i="55" s="1"/>
  <c r="JX324" i="55"/>
  <c r="DV324" i="55"/>
  <c r="DW324" i="55" s="1"/>
  <c r="JY324" i="55"/>
  <c r="DM324" i="55"/>
  <c r="DQ324" i="55" s="1"/>
  <c r="GM143" i="55"/>
  <c r="CI143" i="55"/>
  <c r="HV143" i="55" s="1"/>
  <c r="T143" i="55" s="1"/>
  <c r="GR83" i="55"/>
  <c r="GT83" i="55"/>
  <c r="FS247" i="55"/>
  <c r="EZ350" i="55"/>
  <c r="AF16" i="54"/>
  <c r="AH16" i="54"/>
  <c r="AD16" i="54" a="1"/>
  <c r="AD16" i="54" s="1"/>
  <c r="GG31" i="55" s="1"/>
  <c r="GH40" i="55"/>
  <c r="GH41" i="55"/>
  <c r="GH42" i="55"/>
  <c r="GH43" i="55"/>
  <c r="GH31" i="55"/>
  <c r="GH51" i="55"/>
  <c r="GH32" i="55"/>
  <c r="GH52" i="55"/>
  <c r="GH47" i="55"/>
  <c r="GH39" i="55"/>
  <c r="GH44" i="55"/>
  <c r="GH45" i="55"/>
  <c r="GH48" i="55"/>
  <c r="GH36" i="55"/>
  <c r="GH37" i="55"/>
  <c r="GH38" i="55"/>
  <c r="GH46" i="55"/>
  <c r="GH50" i="55"/>
  <c r="GH33" i="55"/>
  <c r="GH34" i="55"/>
  <c r="GH49" i="55"/>
  <c r="GH35" i="55"/>
  <c r="EZ91" i="55"/>
  <c r="GM269" i="55"/>
  <c r="CI269" i="55"/>
  <c r="HV269" i="55" s="1"/>
  <c r="T269" i="55" s="1"/>
  <c r="GM148" i="55"/>
  <c r="CI148" i="55"/>
  <c r="HV148" i="55" s="1"/>
  <c r="T148" i="55" s="1"/>
  <c r="JX84" i="55"/>
  <c r="JY84" i="55"/>
  <c r="DM84" i="55"/>
  <c r="DQ84" i="55" s="1"/>
  <c r="DV84" i="55"/>
  <c r="DW84" i="55" s="1"/>
  <c r="FS60" i="55"/>
  <c r="GR193" i="55"/>
  <c r="GT193" i="55"/>
  <c r="DR21" i="55" a="1"/>
  <c r="DR21" i="55" s="1"/>
  <c r="DT21" i="55" s="1"/>
  <c r="II21" i="55"/>
  <c r="IJ21" i="55" s="1"/>
  <c r="DU21" i="55"/>
  <c r="HT21" i="55" s="1"/>
  <c r="DM205" i="55"/>
  <c r="DV205" i="55"/>
  <c r="DW205" i="55" s="1"/>
  <c r="JX205" i="55"/>
  <c r="JY205" i="55"/>
  <c r="DM312" i="55"/>
  <c r="DQ312" i="55" s="1"/>
  <c r="JX312" i="55"/>
  <c r="JY312" i="55"/>
  <c r="DV312" i="55"/>
  <c r="DW312" i="55" s="1"/>
  <c r="DM93" i="55"/>
  <c r="DQ93" i="55" s="1"/>
  <c r="JY93" i="55"/>
  <c r="DV93" i="55"/>
  <c r="DW93" i="55" s="1"/>
  <c r="JX93" i="55"/>
  <c r="GT93" i="55"/>
  <c r="CW118" i="55"/>
  <c r="CV118" i="55"/>
  <c r="CX118" i="55"/>
  <c r="CY118" i="55"/>
  <c r="T118" i="55"/>
  <c r="CZ118" i="55"/>
  <c r="DA118" i="55" s="1"/>
  <c r="HL337" i="55"/>
  <c r="GK337" i="55"/>
  <c r="HL295" i="55"/>
  <c r="GK295" i="55"/>
  <c r="GR115" i="55"/>
  <c r="JY55" i="55"/>
  <c r="JX55" i="55"/>
  <c r="DV55" i="55"/>
  <c r="DW55" i="55" s="1"/>
  <c r="DM55" i="55"/>
  <c r="DQ55" i="55" s="1"/>
  <c r="EZ134" i="55"/>
  <c r="GM319" i="55"/>
  <c r="CI319" i="55"/>
  <c r="HV319" i="55" s="1"/>
  <c r="T319" i="55" s="1"/>
  <c r="GR20" i="55"/>
  <c r="GT20" i="55"/>
  <c r="FS157" i="55"/>
  <c r="DV216" i="55"/>
  <c r="DW216" i="55" s="1"/>
  <c r="DM216" i="55"/>
  <c r="JX216" i="55"/>
  <c r="JY216" i="55"/>
  <c r="FS345" i="55"/>
  <c r="FS92" i="55"/>
  <c r="GM225" i="55"/>
  <c r="CI225" i="55"/>
  <c r="HV225" i="55" s="1"/>
  <c r="T225" i="55" s="1"/>
  <c r="EZ171" i="55"/>
  <c r="EZ179" i="55"/>
  <c r="EO318" i="55" a="1"/>
  <c r="EO318" i="55" s="1"/>
  <c r="GR148" i="55"/>
  <c r="DK211" i="55"/>
  <c r="DY211" i="55"/>
  <c r="FS296" i="55"/>
  <c r="GM63" i="55"/>
  <c r="CI63" i="55"/>
  <c r="HV63" i="55" s="1"/>
  <c r="T63" i="55" s="1"/>
  <c r="GR178" i="55"/>
  <c r="GR167" i="55"/>
  <c r="GT167" i="55"/>
  <c r="FS142" i="55"/>
  <c r="DV273" i="55"/>
  <c r="DW273" i="55" s="1"/>
  <c r="JX273" i="55"/>
  <c r="JY273" i="55"/>
  <c r="DM273" i="55"/>
  <c r="GM106" i="55"/>
  <c r="CI106" i="55"/>
  <c r="HV106" i="55" s="1"/>
  <c r="EZ238" i="55"/>
  <c r="GR219" i="55"/>
  <c r="GT219" i="55"/>
  <c r="FS73" i="55"/>
  <c r="GR296" i="55"/>
  <c r="GT296" i="55"/>
  <c r="FU130" i="55"/>
  <c r="L130" i="55" s="1"/>
  <c r="FV130" i="55" s="1"/>
  <c r="HL77" i="55"/>
  <c r="GK77" i="55"/>
  <c r="EZ216" i="55"/>
  <c r="DV99" i="55"/>
  <c r="DW99" i="55" s="1"/>
  <c r="DM99" i="55"/>
  <c r="DQ99" i="55" s="1"/>
  <c r="JX99" i="55"/>
  <c r="JY99" i="55"/>
  <c r="GT99" i="55"/>
  <c r="GM343" i="55"/>
  <c r="CI343" i="55"/>
  <c r="GR58" i="55"/>
  <c r="GT58" i="55"/>
  <c r="EZ157" i="55"/>
  <c r="FS187" i="55"/>
  <c r="CY319" i="55"/>
  <c r="CX319" i="55"/>
  <c r="CV319" i="55"/>
  <c r="CW319" i="55"/>
  <c r="CZ319" i="55"/>
  <c r="DA319" i="55" s="1"/>
  <c r="GM27" i="55"/>
  <c r="CI27" i="55"/>
  <c r="HV27" i="55" s="1"/>
  <c r="T27" i="55" s="1"/>
  <c r="GR203" i="55"/>
  <c r="GR237" i="55"/>
  <c r="GT237" i="55"/>
  <c r="CV137" i="55"/>
  <c r="CW137" i="55"/>
  <c r="CX137" i="55"/>
  <c r="CY137" i="55"/>
  <c r="CZ137" i="55"/>
  <c r="DA137" i="55" s="1"/>
  <c r="GT137" i="55" s="1"/>
  <c r="GR68" i="55"/>
  <c r="FU341" i="55"/>
  <c r="L341" i="55" s="1"/>
  <c r="FV341" i="55" s="1"/>
  <c r="GR195" i="55"/>
  <c r="GT195" i="55"/>
  <c r="GT75" i="55"/>
  <c r="DK181" i="55"/>
  <c r="DO181" i="55" s="1"/>
  <c r="DY181" i="55"/>
  <c r="HQ181" i="55" s="1"/>
  <c r="FS36" i="55"/>
  <c r="CY113" i="55"/>
  <c r="CW113" i="55"/>
  <c r="CX113" i="55"/>
  <c r="CV113" i="55"/>
  <c r="CZ113" i="55"/>
  <c r="DA113" i="55" s="1"/>
  <c r="GT113" i="55" s="1"/>
  <c r="GR205" i="55"/>
  <c r="GT205" i="55"/>
  <c r="GR235" i="55"/>
  <c r="GT235" i="55"/>
  <c r="GR229" i="55"/>
  <c r="GT229" i="55"/>
  <c r="GM352" i="55"/>
  <c r="CI352" i="55"/>
  <c r="HV352" i="55" s="1"/>
  <c r="T352" i="55" s="1"/>
  <c r="EV352" i="55"/>
  <c r="EW352" i="55" s="1"/>
  <c r="GV26" i="55"/>
  <c r="GW26" i="55" s="1"/>
  <c r="GR172" i="55"/>
  <c r="GK213" i="55"/>
  <c r="HL213" i="55"/>
  <c r="GM40" i="55"/>
  <c r="CI40" i="55"/>
  <c r="HV40" i="55" s="1"/>
  <c r="T40" i="55" s="1"/>
  <c r="CV104" i="55"/>
  <c r="CY104" i="55"/>
  <c r="CX104" i="55"/>
  <c r="CW104" i="55"/>
  <c r="CZ104" i="55"/>
  <c r="DA104" i="55" s="1"/>
  <c r="T104" i="55"/>
  <c r="DK99" i="55"/>
  <c r="DY99" i="55"/>
  <c r="EP27" i="55" a="1"/>
  <c r="EP27" i="55" s="1"/>
  <c r="DK349" i="55"/>
  <c r="DY349" i="55"/>
  <c r="EZ214" i="55"/>
  <c r="JC220" i="55"/>
  <c r="GU220" i="55"/>
  <c r="GV220" i="55"/>
  <c r="GW220" i="55" s="1"/>
  <c r="CX275" i="55"/>
  <c r="CY275" i="55"/>
  <c r="CV275" i="55"/>
  <c r="CW275" i="55"/>
  <c r="T275" i="55"/>
  <c r="CZ275" i="55"/>
  <c r="DA275" i="55" s="1"/>
  <c r="FS196" i="55"/>
  <c r="CY18" i="55"/>
  <c r="CW18" i="55"/>
  <c r="CV18" i="55"/>
  <c r="CX18" i="55"/>
  <c r="CZ18" i="55"/>
  <c r="DA18" i="55" s="1"/>
  <c r="GT18" i="55" s="1"/>
  <c r="GM244" i="55"/>
  <c r="CI244" i="55"/>
  <c r="DV348" i="55"/>
  <c r="DW348" i="55" s="1"/>
  <c r="DM348" i="55"/>
  <c r="DQ348" i="55" s="1"/>
  <c r="JX348" i="55"/>
  <c r="JY348" i="55"/>
  <c r="GR259" i="55"/>
  <c r="GT259" i="55"/>
  <c r="GR277" i="55"/>
  <c r="GT277" i="55"/>
  <c r="CX260" i="55"/>
  <c r="CW260" i="55"/>
  <c r="CY260" i="55"/>
  <c r="CV260" i="55"/>
  <c r="CZ260" i="55"/>
  <c r="DA260" i="55" s="1"/>
  <c r="GT260" i="55" s="1"/>
  <c r="DK98" i="55"/>
  <c r="DY98" i="55"/>
  <c r="DK60" i="55"/>
  <c r="DY60" i="55"/>
  <c r="CX159" i="55"/>
  <c r="CV159" i="55"/>
  <c r="CY159" i="55"/>
  <c r="CW159" i="55"/>
  <c r="CZ159" i="55"/>
  <c r="DA159" i="55" s="1"/>
  <c r="T159" i="55"/>
  <c r="GR60" i="55"/>
  <c r="GT60" i="55"/>
  <c r="FS129" i="55"/>
  <c r="GR196" i="55"/>
  <c r="GT196" i="55"/>
  <c r="DR78" i="55" a="1"/>
  <c r="DR78" i="55" s="1"/>
  <c r="DT78" i="55" s="1"/>
  <c r="II78" i="55"/>
  <c r="DU78" i="55"/>
  <c r="HT78" i="55" s="1"/>
  <c r="EZ64" i="55"/>
  <c r="DK89" i="55"/>
  <c r="DY89" i="55"/>
  <c r="AF28" i="54"/>
  <c r="AD28" i="54" a="1"/>
  <c r="AD28" i="54" s="1"/>
  <c r="GG330" i="55" s="1"/>
  <c r="AH28" i="54"/>
  <c r="GH330" i="55"/>
  <c r="GH331" i="55"/>
  <c r="GH332" i="55"/>
  <c r="GH333" i="55"/>
  <c r="GH334" i="55"/>
  <c r="CV314" i="55"/>
  <c r="CX314" i="55"/>
  <c r="CY314" i="55"/>
  <c r="CW314" i="55"/>
  <c r="T314" i="55"/>
  <c r="CZ314" i="55"/>
  <c r="DA314" i="55" s="1"/>
  <c r="DK93" i="55"/>
  <c r="DY93" i="55"/>
  <c r="CX352" i="55"/>
  <c r="CV352" i="55"/>
  <c r="CY352" i="55"/>
  <c r="CW352" i="55"/>
  <c r="CZ352" i="55"/>
  <c r="DA352" i="55" s="1"/>
  <c r="CX30" i="55"/>
  <c r="CW30" i="55"/>
  <c r="CV30" i="55"/>
  <c r="CY30" i="55"/>
  <c r="CZ30" i="55"/>
  <c r="DA30" i="55" s="1"/>
  <c r="T30" i="55"/>
  <c r="DV11" i="55"/>
  <c r="DW11" i="55" s="1"/>
  <c r="JX11" i="55"/>
  <c r="JY11" i="55"/>
  <c r="DM11" i="55"/>
  <c r="CW90" i="55"/>
  <c r="CX90" i="55"/>
  <c r="CV90" i="55"/>
  <c r="CY90" i="55"/>
  <c r="CZ90" i="55"/>
  <c r="DA90" i="55" s="1"/>
  <c r="GR110" i="55"/>
  <c r="DK333" i="55"/>
  <c r="DO333" i="55" s="1"/>
  <c r="DY333" i="55"/>
  <c r="DM79" i="55"/>
  <c r="DQ79" i="55" s="1"/>
  <c r="DV79" i="55"/>
  <c r="DW79" i="55" s="1"/>
  <c r="JX79" i="55"/>
  <c r="JY79" i="55"/>
  <c r="EV319" i="55"/>
  <c r="EW319" i="55" s="1"/>
  <c r="GR21" i="55"/>
  <c r="GT21" i="55"/>
  <c r="GR4" i="55"/>
  <c r="AF3" i="40" a="1"/>
  <c r="AF3" i="40" s="1"/>
  <c r="GK140" i="55"/>
  <c r="HL140" i="55"/>
  <c r="GM123" i="55"/>
  <c r="CI123" i="55"/>
  <c r="HV123" i="55" s="1"/>
  <c r="T123" i="55" s="1"/>
  <c r="DM29" i="55"/>
  <c r="JX29" i="55"/>
  <c r="JY29" i="55"/>
  <c r="DV29" i="55"/>
  <c r="DW29" i="55" s="1"/>
  <c r="GT29" i="55"/>
  <c r="GM328" i="55"/>
  <c r="CI328" i="55"/>
  <c r="HV328" i="55" s="1"/>
  <c r="T328" i="55" s="1"/>
  <c r="EZ117" i="55"/>
  <c r="FS63" i="55"/>
  <c r="JC176" i="55"/>
  <c r="GU176" i="55"/>
  <c r="GV176" i="55"/>
  <c r="DM49" i="55"/>
  <c r="DV49" i="55"/>
  <c r="DW49" i="55" s="1"/>
  <c r="JX49" i="55"/>
  <c r="JY49" i="55"/>
  <c r="GR144" i="55"/>
  <c r="CV24" i="55"/>
  <c r="CW24" i="55"/>
  <c r="CX24" i="55"/>
  <c r="CY24" i="55"/>
  <c r="CZ24" i="55"/>
  <c r="DA24" i="55" s="1"/>
  <c r="T24" i="55"/>
  <c r="DR330" i="55" a="1"/>
  <c r="DR330" i="55" s="1"/>
  <c r="DT330" i="55" s="1"/>
  <c r="DU330" i="55"/>
  <c r="HT330" i="55" s="1"/>
  <c r="II330" i="55"/>
  <c r="GM174" i="55"/>
  <c r="CI174" i="55"/>
  <c r="FW3" i="55"/>
  <c r="AH18" i="54"/>
  <c r="AD18" i="54" a="1"/>
  <c r="AD18" i="54" s="1"/>
  <c r="GG88" i="55" s="1"/>
  <c r="AF18" i="54"/>
  <c r="GH88" i="55"/>
  <c r="GH89" i="55"/>
  <c r="GH90" i="55"/>
  <c r="GH91" i="55"/>
  <c r="GH95" i="55"/>
  <c r="GH96" i="55"/>
  <c r="GH94" i="55"/>
  <c r="GH97" i="55"/>
  <c r="GH98" i="55"/>
  <c r="GH100" i="55"/>
  <c r="GH101" i="55"/>
  <c r="GH92" i="55"/>
  <c r="GH93" i="55"/>
  <c r="GH99" i="55"/>
  <c r="GM238" i="55"/>
  <c r="CI238" i="55"/>
  <c r="HV238" i="55" s="1"/>
  <c r="T238" i="55" s="1"/>
  <c r="EV174" i="55"/>
  <c r="EW174" i="55" s="1"/>
  <c r="X7" i="42"/>
  <c r="EZ45" i="55"/>
  <c r="GM175" i="55"/>
  <c r="CI175" i="55"/>
  <c r="HV175" i="55" s="1"/>
  <c r="T175" i="55" s="1"/>
  <c r="JC88" i="55"/>
  <c r="GU88" i="55"/>
  <c r="GV88" i="55" s="1"/>
  <c r="GW88" i="55" s="1"/>
  <c r="GR293" i="55"/>
  <c r="CW134" i="55"/>
  <c r="CY134" i="55"/>
  <c r="CX134" i="55"/>
  <c r="CV134" i="55"/>
  <c r="T134" i="55"/>
  <c r="CZ134" i="55"/>
  <c r="DA134" i="55" s="1"/>
  <c r="EZ193" i="55"/>
  <c r="FS181" i="55"/>
  <c r="GR295" i="55"/>
  <c r="GT295" i="55"/>
  <c r="GR199" i="55"/>
  <c r="GT199" i="55"/>
  <c r="FS75" i="55"/>
  <c r="HL309" i="55"/>
  <c r="GK309" i="55"/>
  <c r="DK187" i="55"/>
  <c r="DY187" i="55"/>
  <c r="CV344" i="55"/>
  <c r="CW344" i="55"/>
  <c r="CX344" i="55"/>
  <c r="CY344" i="55"/>
  <c r="CZ344" i="55"/>
  <c r="DA344" i="55" s="1"/>
  <c r="GT344" i="55" s="1"/>
  <c r="JY264" i="55"/>
  <c r="DV264" i="55"/>
  <c r="DW264" i="55" s="1"/>
  <c r="DM264" i="55"/>
  <c r="JX264" i="55"/>
  <c r="FS349" i="55"/>
  <c r="GR86" i="55"/>
  <c r="GT86" i="55"/>
  <c r="JC294" i="55"/>
  <c r="GV294" i="55"/>
  <c r="GU294" i="55"/>
  <c r="EZ192" i="55"/>
  <c r="DK196" i="55"/>
  <c r="DO196" i="55" s="1"/>
  <c r="G196" i="55" s="1"/>
  <c r="DP196" i="55" s="1"/>
  <c r="DQ196" i="55" s="1"/>
  <c r="DY196" i="55"/>
  <c r="CW108" i="55"/>
  <c r="CX108" i="55"/>
  <c r="CV108" i="55"/>
  <c r="CY108" i="55"/>
  <c r="CZ108" i="55"/>
  <c r="DA108" i="55" s="1"/>
  <c r="T108" i="55"/>
  <c r="EZ204" i="55"/>
  <c r="HL201" i="55"/>
  <c r="GK201" i="55"/>
  <c r="FS183" i="55"/>
  <c r="FS135" i="55"/>
  <c r="EZ89" i="55"/>
  <c r="GM292" i="55"/>
  <c r="CI292" i="55"/>
  <c r="GR275" i="55"/>
  <c r="GT275" i="55"/>
  <c r="CV185" i="55"/>
  <c r="CW185" i="55"/>
  <c r="CX185" i="55"/>
  <c r="CY185" i="55"/>
  <c r="T185" i="55"/>
  <c r="CZ185" i="55"/>
  <c r="DA185" i="55" s="1"/>
  <c r="ER50" i="55"/>
  <c r="ES50" i="55"/>
  <c r="FB50" i="55"/>
  <c r="FE50" i="55"/>
  <c r="FC50" i="55"/>
  <c r="FD50" i="55" s="1"/>
  <c r="HS50" i="55" s="1"/>
  <c r="HU50" i="55" s="1"/>
  <c r="FA50" i="55"/>
  <c r="FS98" i="55"/>
  <c r="EQ303" i="55"/>
  <c r="EP303" i="55" a="1"/>
  <c r="EP303" i="55" s="1"/>
  <c r="EZ304" i="55"/>
  <c r="GR85" i="55"/>
  <c r="GT85" i="55"/>
  <c r="GR194" i="55"/>
  <c r="HL28" i="55"/>
  <c r="GK28" i="55"/>
  <c r="EZ197" i="55"/>
  <c r="EZ167" i="55"/>
  <c r="DK291" i="55"/>
  <c r="DY291" i="55"/>
  <c r="GM153" i="55"/>
  <c r="CI153" i="55"/>
  <c r="HV153" i="55" s="1"/>
  <c r="T153" i="55" s="1"/>
  <c r="CV280" i="55"/>
  <c r="CW280" i="55"/>
  <c r="CX280" i="55"/>
  <c r="CY280" i="55"/>
  <c r="CZ280" i="55"/>
  <c r="DA280" i="55" s="1"/>
  <c r="CW237" i="55"/>
  <c r="CY237" i="55"/>
  <c r="CV237" i="55"/>
  <c r="CX237" i="55"/>
  <c r="T237" i="55"/>
  <c r="CZ237" i="55"/>
  <c r="DA237" i="55" s="1"/>
  <c r="CY190" i="55"/>
  <c r="CW190" i="55"/>
  <c r="CV190" i="55"/>
  <c r="CX190" i="55"/>
  <c r="CZ190" i="55"/>
  <c r="DA190" i="55" s="1"/>
  <c r="T190" i="55"/>
  <c r="FS93" i="55"/>
  <c r="AH26" i="54"/>
  <c r="AF26" i="54"/>
  <c r="AD26" i="54" a="1"/>
  <c r="AD26" i="54" s="1"/>
  <c r="GG317" i="55" s="1"/>
  <c r="GH323" i="55"/>
  <c r="GH319" i="55"/>
  <c r="GH320" i="55"/>
  <c r="GH321" i="55"/>
  <c r="GH322" i="55"/>
  <c r="GH318" i="55"/>
  <c r="GH324" i="55"/>
  <c r="GH317" i="55"/>
  <c r="EZ156" i="55"/>
  <c r="GM228" i="55"/>
  <c r="CI228" i="55"/>
  <c r="HV228" i="55" s="1"/>
  <c r="T228" i="55" s="1"/>
  <c r="DV300" i="55"/>
  <c r="DW300" i="55" s="1"/>
  <c r="JY300" i="55"/>
  <c r="DM300" i="55"/>
  <c r="DQ300" i="55" s="1"/>
  <c r="JX300" i="55"/>
  <c r="EO176" i="55" a="1"/>
  <c r="EO176" i="55" s="1"/>
  <c r="GR106" i="55"/>
  <c r="FS79" i="55"/>
  <c r="JO342" i="55"/>
  <c r="HM342" i="55"/>
  <c r="M342" i="55" s="1"/>
  <c r="HN342" i="55" s="1"/>
  <c r="GM311" i="55"/>
  <c r="CI311" i="55"/>
  <c r="GM214" i="55"/>
  <c r="CI214" i="55"/>
  <c r="DK55" i="55"/>
  <c r="DY55" i="55"/>
  <c r="JU331" i="55"/>
  <c r="JV331" i="55" s="1"/>
  <c r="JO331" i="55"/>
  <c r="HM331" i="55"/>
  <c r="M331" i="55" s="1"/>
  <c r="HN331" i="55" s="1"/>
  <c r="HL279" i="55"/>
  <c r="GK279" i="55"/>
  <c r="GR6" i="55"/>
  <c r="GT6" i="55"/>
  <c r="CV91" i="55"/>
  <c r="CW91" i="55"/>
  <c r="CX91" i="55"/>
  <c r="CY91" i="55"/>
  <c r="CZ91" i="55"/>
  <c r="DA91" i="55" s="1"/>
  <c r="EZ329" i="55"/>
  <c r="DK83" i="55"/>
  <c r="DY83" i="55"/>
  <c r="EV123" i="55"/>
  <c r="EW123" i="55" s="1"/>
  <c r="CY338" i="55"/>
  <c r="CX338" i="55"/>
  <c r="CW338" i="55"/>
  <c r="CV338" i="55"/>
  <c r="T338" i="55"/>
  <c r="CZ338" i="55"/>
  <c r="DA338" i="55" s="1"/>
  <c r="CW246" i="55"/>
  <c r="CV246" i="55"/>
  <c r="CX246" i="55"/>
  <c r="CY246" i="55"/>
  <c r="T246" i="55"/>
  <c r="CZ246" i="55"/>
  <c r="DA246" i="55" s="1"/>
  <c r="GM201" i="55"/>
  <c r="CI201" i="55"/>
  <c r="GK307" i="55"/>
  <c r="HL307" i="55"/>
  <c r="EV225" i="55"/>
  <c r="EW225" i="55" s="1"/>
  <c r="HL233" i="55"/>
  <c r="GK233" i="55"/>
  <c r="GR141" i="55"/>
  <c r="GT141" i="55"/>
  <c r="DK202" i="55"/>
  <c r="DY202" i="55"/>
  <c r="EO12" i="55" a="1"/>
  <c r="EO12" i="55" s="1"/>
  <c r="FS141" i="55"/>
  <c r="GR192" i="55"/>
  <c r="GT192" i="55"/>
  <c r="DK164" i="55"/>
  <c r="DO164" i="55" s="1"/>
  <c r="DY164" i="55"/>
  <c r="GR292" i="55"/>
  <c r="GT292" i="55"/>
  <c r="GM286" i="55"/>
  <c r="CI286" i="55"/>
  <c r="HV286" i="55" s="1"/>
  <c r="T286" i="55" s="1"/>
  <c r="FU88" i="55"/>
  <c r="L88" i="55" s="1"/>
  <c r="FV88" i="55" s="1"/>
  <c r="CY65" i="55"/>
  <c r="CW65" i="55"/>
  <c r="CX65" i="55"/>
  <c r="CV65" i="55"/>
  <c r="CZ65" i="55"/>
  <c r="DA65" i="55" s="1"/>
  <c r="GT65" i="55" s="1"/>
  <c r="DR71" i="55" a="1"/>
  <c r="DR71" i="55" s="1"/>
  <c r="DT71" i="55" s="1"/>
  <c r="DU71" i="55"/>
  <c r="HT71" i="55" s="1"/>
  <c r="II71" i="55"/>
  <c r="GM299" i="55"/>
  <c r="CI299" i="55"/>
  <c r="HV299" i="55" s="1"/>
  <c r="T299" i="55" s="1"/>
  <c r="DM40" i="55"/>
  <c r="JX40" i="55"/>
  <c r="JY40" i="55"/>
  <c r="DV40" i="55"/>
  <c r="DW40" i="55" s="1"/>
  <c r="GM97" i="55"/>
  <c r="CI97" i="55"/>
  <c r="HV97" i="55" s="1"/>
  <c r="T97" i="55" s="1"/>
  <c r="EV97" i="55"/>
  <c r="EW97" i="55" s="1"/>
  <c r="GM113" i="55"/>
  <c r="CI113" i="55"/>
  <c r="HV113" i="55" s="1"/>
  <c r="T113" i="55" s="1"/>
  <c r="EV113" i="55"/>
  <c r="EW113" i="55" s="1"/>
  <c r="GR297" i="55"/>
  <c r="FS273" i="55"/>
  <c r="HB4" i="55"/>
  <c r="HC4" i="55" s="1"/>
  <c r="HD4" i="55"/>
  <c r="HA5" i="55"/>
  <c r="FS195" i="55"/>
  <c r="DY119" i="55"/>
  <c r="HQ119" i="55" s="1"/>
  <c r="EV286" i="55"/>
  <c r="EW286" i="55" s="1"/>
  <c r="GM46" i="55"/>
  <c r="CI46" i="55"/>
  <c r="HV46" i="55" s="1"/>
  <c r="T46" i="55" s="1"/>
  <c r="FS28" i="55"/>
  <c r="DK75" i="55"/>
  <c r="DO75" i="55" s="1"/>
  <c r="DY75" i="55"/>
  <c r="HQ75" i="55" s="1"/>
  <c r="GR309" i="55"/>
  <c r="GT309" i="55"/>
  <c r="CY16" i="55"/>
  <c r="CV16" i="55"/>
  <c r="CW16" i="55"/>
  <c r="CX16" i="55"/>
  <c r="CZ16" i="55"/>
  <c r="DA16" i="55" s="1"/>
  <c r="GM282" i="55"/>
  <c r="CI282" i="55"/>
  <c r="HV282" i="55" s="1"/>
  <c r="T282" i="55" s="1"/>
  <c r="FS151" i="55"/>
  <c r="EZ305" i="55"/>
  <c r="GM249" i="55"/>
  <c r="CI249" i="55"/>
  <c r="HV249" i="55" s="1"/>
  <c r="GM254" i="55"/>
  <c r="CI254" i="55"/>
  <c r="HV254" i="55" s="1"/>
  <c r="T254" i="55" s="1"/>
  <c r="FS324" i="55"/>
  <c r="JY255" i="55"/>
  <c r="JX255" i="55"/>
  <c r="DV255" i="55"/>
  <c r="DW255" i="55" s="1"/>
  <c r="DM255" i="55"/>
  <c r="GM51" i="55"/>
  <c r="CI51" i="55"/>
  <c r="HV51" i="55" s="1"/>
  <c r="T51" i="55" s="1"/>
  <c r="EV51" i="55"/>
  <c r="EW51" i="55" s="1"/>
  <c r="DV125" i="55"/>
  <c r="DW125" i="55" s="1"/>
  <c r="DM125" i="55"/>
  <c r="DQ125" i="55" s="1"/>
  <c r="JY125" i="55"/>
  <c r="JX125" i="55"/>
  <c r="JO126" i="55"/>
  <c r="JX98" i="55"/>
  <c r="DV98" i="55"/>
  <c r="DW98" i="55" s="1"/>
  <c r="JY98" i="55"/>
  <c r="DM98" i="55"/>
  <c r="DQ98" i="55" s="1"/>
  <c r="CX67" i="55"/>
  <c r="CY67" i="55"/>
  <c r="CW67" i="55"/>
  <c r="CV67" i="55"/>
  <c r="CZ67" i="55"/>
  <c r="DA67" i="55" s="1"/>
  <c r="FS348" i="55"/>
  <c r="EV292" i="55"/>
  <c r="EW292" i="55" s="1"/>
  <c r="GR270" i="55"/>
  <c r="HL81" i="55"/>
  <c r="GK81" i="55"/>
  <c r="GR257" i="55"/>
  <c r="GM50" i="55"/>
  <c r="CI50" i="55"/>
  <c r="HV50" i="55" s="1"/>
  <c r="T50" i="55" s="1"/>
  <c r="GR63" i="55"/>
  <c r="GT63" i="55"/>
  <c r="FU25" i="55"/>
  <c r="L25" i="55" s="1"/>
  <c r="FV25" i="55" s="1"/>
  <c r="FW25" i="55" s="1"/>
  <c r="HL312" i="55"/>
  <c r="GK312" i="55"/>
  <c r="GR204" i="55"/>
  <c r="GT204" i="55"/>
  <c r="DV220" i="55"/>
  <c r="DW220" i="55" s="1"/>
  <c r="JX220" i="55"/>
  <c r="JY220" i="55"/>
  <c r="DM220" i="55"/>
  <c r="DQ220" i="55" s="1"/>
  <c r="EV299" i="55"/>
  <c r="EW299" i="55" s="1"/>
  <c r="CV136" i="55"/>
  <c r="CW136" i="55"/>
  <c r="CY136" i="55"/>
  <c r="CX136" i="55"/>
  <c r="CZ136" i="55"/>
  <c r="DA136" i="55" s="1"/>
  <c r="T136" i="55"/>
  <c r="FS205" i="55"/>
  <c r="DM219" i="55"/>
  <c r="DV219" i="55"/>
  <c r="DW219" i="55" s="1"/>
  <c r="JY219" i="55"/>
  <c r="JX219" i="55"/>
  <c r="CX94" i="55"/>
  <c r="CY94" i="55"/>
  <c r="CV94" i="55"/>
  <c r="CW94" i="55"/>
  <c r="CZ94" i="55"/>
  <c r="DA94" i="55" s="1"/>
  <c r="T94" i="55"/>
  <c r="CX222" i="55"/>
  <c r="CW222" i="55"/>
  <c r="CY222" i="55"/>
  <c r="CV222" i="55"/>
  <c r="CZ222" i="55"/>
  <c r="DA222" i="55" s="1"/>
  <c r="T222" i="55"/>
  <c r="CW282" i="55"/>
  <c r="CX282" i="55"/>
  <c r="CV282" i="55"/>
  <c r="CY282" i="55"/>
  <c r="CZ282" i="55"/>
  <c r="DA282" i="55" s="1"/>
  <c r="FS312" i="55"/>
  <c r="EZ219" i="55"/>
  <c r="DR346" i="55" a="1"/>
  <c r="DR346" i="55" s="1"/>
  <c r="DT346" i="55" s="1"/>
  <c r="DU346" i="55"/>
  <c r="HT346" i="55" s="1"/>
  <c r="II346" i="55"/>
  <c r="EV228" i="55"/>
  <c r="EW228" i="55" s="1"/>
  <c r="FS11" i="55"/>
  <c r="FU11" i="55"/>
  <c r="L11" i="55" s="1"/>
  <c r="FV11" i="55" s="1"/>
  <c r="FW11" i="55" s="1"/>
  <c r="DR5" i="55" a="1"/>
  <c r="DR5" i="55" s="1"/>
  <c r="DT5" i="55" s="1"/>
  <c r="II5" i="55"/>
  <c r="DU5" i="55"/>
  <c r="HT5" i="55" s="1"/>
  <c r="GK322" i="55"/>
  <c r="HL322" i="55"/>
  <c r="GR107" i="55"/>
  <c r="EZ221" i="55"/>
  <c r="FS55" i="55"/>
  <c r="GR14" i="55"/>
  <c r="GT14" i="55"/>
  <c r="GM260" i="55"/>
  <c r="CI260" i="55"/>
  <c r="HV260" i="55" s="1"/>
  <c r="T260" i="55" s="1"/>
  <c r="JX315" i="55"/>
  <c r="DV315" i="55"/>
  <c r="DW315" i="55" s="1"/>
  <c r="DM315" i="55"/>
  <c r="DQ315" i="55" s="1"/>
  <c r="JY315" i="55"/>
  <c r="EZ276" i="55"/>
  <c r="DM269" i="55"/>
  <c r="DV269" i="55"/>
  <c r="DW269" i="55" s="1"/>
  <c r="JX269" i="55"/>
  <c r="JY269" i="55"/>
  <c r="CV250" i="55"/>
  <c r="CW250" i="55"/>
  <c r="CX250" i="55"/>
  <c r="CY250" i="55"/>
  <c r="CZ250" i="55"/>
  <c r="DA250" i="55" s="1"/>
  <c r="GT250" i="55" s="1"/>
  <c r="T250" i="55"/>
  <c r="EP50" i="55" a="1"/>
  <c r="EP50" i="55" s="1"/>
  <c r="DM211" i="55"/>
  <c r="JX211" i="55"/>
  <c r="DV211" i="55"/>
  <c r="DW211" i="55" s="1"/>
  <c r="JY211" i="55"/>
  <c r="EZ172" i="55"/>
  <c r="FW102" i="55"/>
  <c r="FS49" i="55"/>
  <c r="EZ230" i="55"/>
  <c r="DK141" i="55"/>
  <c r="DY141" i="55"/>
  <c r="GR304" i="55"/>
  <c r="GT304" i="55"/>
  <c r="FS240" i="55"/>
  <c r="CX179" i="55"/>
  <c r="CY179" i="55"/>
  <c r="CW179" i="55"/>
  <c r="CV179" i="55"/>
  <c r="CZ179" i="55"/>
  <c r="DA179" i="55" s="1"/>
  <c r="T179" i="55"/>
  <c r="GM76" i="55"/>
  <c r="CI76" i="55"/>
  <c r="HV76" i="55" s="1"/>
  <c r="T76" i="55" s="1"/>
  <c r="DK105" i="55"/>
  <c r="DO105" i="55" s="1"/>
  <c r="DY105" i="55"/>
  <c r="FS78" i="55"/>
  <c r="DK240" i="55"/>
  <c r="DO240" i="55" s="1"/>
  <c r="G240" i="55" s="1"/>
  <c r="DP240" i="55" s="1"/>
  <c r="DQ240" i="55" s="1"/>
  <c r="DY240" i="55"/>
  <c r="GM103" i="55"/>
  <c r="CI103" i="55"/>
  <c r="GR212" i="55"/>
  <c r="GT212" i="55"/>
  <c r="DK119" i="55"/>
  <c r="DO119" i="55" s="1"/>
  <c r="DK153" i="55"/>
  <c r="DO153" i="55" s="1"/>
  <c r="G153" i="55" s="1"/>
  <c r="DP153" i="55" s="1"/>
  <c r="DQ153" i="55" s="1"/>
  <c r="DY153" i="55"/>
  <c r="EV46" i="55"/>
  <c r="EW46" i="55" s="1"/>
  <c r="DY48" i="55"/>
  <c r="DK28" i="55"/>
  <c r="DO28" i="55" s="1"/>
  <c r="G28" i="55" s="1"/>
  <c r="DP28" i="55" s="1"/>
  <c r="DQ28" i="55" s="1"/>
  <c r="DY28" i="55"/>
  <c r="CW293" i="55"/>
  <c r="CX293" i="55"/>
  <c r="CY293" i="55"/>
  <c r="CV293" i="55"/>
  <c r="T293" i="55"/>
  <c r="CZ293" i="55"/>
  <c r="DA293" i="55" s="1"/>
  <c r="GT293" i="55" s="1"/>
  <c r="GK194" i="55"/>
  <c r="HL194" i="55"/>
  <c r="EV282" i="55"/>
  <c r="EW282" i="55" s="1"/>
  <c r="HL105" i="55"/>
  <c r="GK105" i="55"/>
  <c r="EZ275" i="55"/>
  <c r="EV254" i="55"/>
  <c r="EW254" i="55" s="1"/>
  <c r="GM137" i="55"/>
  <c r="CI137" i="55"/>
  <c r="HV137" i="55" s="1"/>
  <c r="T137" i="55" s="1"/>
  <c r="EV137" i="55"/>
  <c r="EW137" i="55" s="1"/>
  <c r="DV277" i="55"/>
  <c r="DW277" i="55" s="1"/>
  <c r="JY277" i="55"/>
  <c r="JX277" i="55"/>
  <c r="DM277" i="55"/>
  <c r="DV197" i="55"/>
  <c r="DW197" i="55" s="1"/>
  <c r="JX197" i="55"/>
  <c r="JY197" i="55"/>
  <c r="DM197" i="55"/>
  <c r="FS40" i="55"/>
  <c r="BI3" i="40" a="1"/>
  <c r="BI3" i="40" s="1"/>
  <c r="HL250" i="55"/>
  <c r="GK250" i="55"/>
  <c r="EZ210" i="55"/>
  <c r="FS76" i="55"/>
  <c r="JO301" i="55"/>
  <c r="GM111" i="55"/>
  <c r="CI111" i="55"/>
  <c r="GM210" i="55"/>
  <c r="CI210" i="55"/>
  <c r="HV210" i="55" s="1"/>
  <c r="T210" i="55" s="1"/>
  <c r="EZ58" i="55"/>
  <c r="GM95" i="55"/>
  <c r="CI95" i="55"/>
  <c r="HV95" i="55" s="1"/>
  <c r="HL277" i="55"/>
  <c r="GK277" i="55"/>
  <c r="CV152" i="55"/>
  <c r="CW152" i="55"/>
  <c r="CY152" i="55"/>
  <c r="CX152" i="55"/>
  <c r="T152" i="55"/>
  <c r="CZ152" i="55"/>
  <c r="DA152" i="55" s="1"/>
  <c r="GR233" i="55"/>
  <c r="GT233" i="55"/>
  <c r="GT255" i="55"/>
  <c r="EV244" i="55"/>
  <c r="EW244" i="55" s="1"/>
  <c r="JC183" i="55"/>
  <c r="GU183" i="55"/>
  <c r="GV183" i="55"/>
  <c r="GR189" i="55"/>
  <c r="GT189" i="55"/>
  <c r="GM65" i="55"/>
  <c r="CI65" i="55"/>
  <c r="HV65" i="55" s="1"/>
  <c r="T65" i="55" s="1"/>
  <c r="HL86" i="55"/>
  <c r="DK6" i="55"/>
  <c r="DO6" i="55" s="1"/>
  <c r="DY6" i="55"/>
  <c r="GM180" i="55"/>
  <c r="CI180" i="55"/>
  <c r="HV180" i="55" s="1"/>
  <c r="T180" i="55" s="1"/>
  <c r="EZ152" i="55"/>
  <c r="CV56" i="55"/>
  <c r="CX56" i="55"/>
  <c r="CW56" i="55"/>
  <c r="CY56" i="55"/>
  <c r="CZ56" i="55"/>
  <c r="DA56" i="55" s="1"/>
  <c r="T56" i="55"/>
  <c r="DR112" i="55" a="1"/>
  <c r="DR112" i="55" s="1"/>
  <c r="DT112" i="55" s="1"/>
  <c r="II112" i="55"/>
  <c r="DU112" i="55"/>
  <c r="HT112" i="55" s="1"/>
  <c r="FS89" i="55"/>
  <c r="GM183" i="55"/>
  <c r="CI183" i="55"/>
  <c r="HV183" i="55" s="1"/>
  <c r="T183" i="55" s="1"/>
  <c r="CV267" i="55"/>
  <c r="CX267" i="55"/>
  <c r="CY267" i="55"/>
  <c r="CW267" i="55"/>
  <c r="T267" i="55"/>
  <c r="CZ267" i="55"/>
  <c r="DA267" i="55" s="1"/>
  <c r="EO111" i="55" a="1"/>
  <c r="EO111" i="55" s="1"/>
  <c r="EZ6" i="55"/>
  <c r="DM317" i="55"/>
  <c r="DQ317" i="55" s="1"/>
  <c r="DV317" i="55"/>
  <c r="DW317" i="55" s="1"/>
  <c r="JY317" i="55"/>
  <c r="JX317" i="55"/>
  <c r="GM227" i="55"/>
  <c r="CI227" i="55"/>
  <c r="HV227" i="55" s="1"/>
  <c r="T227" i="55" s="1"/>
  <c r="GT324" i="55"/>
  <c r="CX10" i="55"/>
  <c r="CY10" i="55"/>
  <c r="CV10" i="55"/>
  <c r="CW10" i="55"/>
  <c r="CZ10" i="55"/>
  <c r="DA10" i="55" s="1"/>
  <c r="EV227" i="55"/>
  <c r="EW227" i="55" s="1"/>
  <c r="GR126" i="55"/>
  <c r="GT126" i="55"/>
  <c r="FU330" i="55"/>
  <c r="L330" i="55" s="1"/>
  <c r="FV330" i="55" s="1"/>
  <c r="GR214" i="55"/>
  <c r="GT214" i="55"/>
  <c r="GR10" i="55"/>
  <c r="GT10" i="55"/>
  <c r="GM54" i="55"/>
  <c r="CI54" i="55"/>
  <c r="HV54" i="55" s="1"/>
  <c r="HL109" i="55"/>
  <c r="GK109" i="55"/>
  <c r="DV7" i="55"/>
  <c r="DW7" i="55" s="1"/>
  <c r="JX7" i="55"/>
  <c r="JY7" i="55"/>
  <c r="DM7" i="55"/>
  <c r="DQ7" i="55" s="1"/>
  <c r="DY308" i="55"/>
  <c r="HQ308" i="55" s="1"/>
  <c r="JY221" i="55"/>
  <c r="DM221" i="55"/>
  <c r="DQ221" i="55" s="1"/>
  <c r="JX221" i="55"/>
  <c r="DV221" i="55"/>
  <c r="DW221" i="55" s="1"/>
  <c r="GM135" i="55"/>
  <c r="CI135" i="55"/>
  <c r="HV135" i="55" s="1"/>
  <c r="T135" i="55" s="1"/>
  <c r="DR80" i="55" a="1"/>
  <c r="DR80" i="55" s="1"/>
  <c r="DT80" i="55" s="1"/>
  <c r="DU80" i="55"/>
  <c r="HT80" i="55" s="1"/>
  <c r="II80" i="55"/>
  <c r="IJ80" i="55" s="1"/>
  <c r="GR265" i="55"/>
  <c r="GT265" i="55"/>
  <c r="FS217" i="55"/>
  <c r="GM132" i="55"/>
  <c r="CI132" i="55"/>
  <c r="HV132" i="55" s="1"/>
  <c r="T132" i="55" s="1"/>
  <c r="CV279" i="55"/>
  <c r="CW279" i="55"/>
  <c r="CX279" i="55"/>
  <c r="CY279" i="55"/>
  <c r="T279" i="55"/>
  <c r="CZ279" i="55"/>
  <c r="DA279" i="55" s="1"/>
  <c r="CY170" i="55"/>
  <c r="CX170" i="55"/>
  <c r="CV170" i="55"/>
  <c r="CW170" i="55"/>
  <c r="CZ170" i="55"/>
  <c r="DA170" i="55" s="1"/>
  <c r="T170" i="55"/>
  <c r="EZ195" i="55"/>
  <c r="GM315" i="55"/>
  <c r="CI315" i="55"/>
  <c r="HV315" i="55" s="1"/>
  <c r="T315" i="55" s="1"/>
  <c r="CV328" i="55"/>
  <c r="CY328" i="55"/>
  <c r="CW328" i="55"/>
  <c r="CX328" i="55"/>
  <c r="CZ328" i="55"/>
  <c r="DA328" i="55" s="1"/>
  <c r="AH24" i="54"/>
  <c r="AD24" i="54" a="1"/>
  <c r="AD24" i="54" s="1"/>
  <c r="GG283" i="55" s="1"/>
  <c r="AF24" i="54"/>
  <c r="GH296" i="55"/>
  <c r="GH312" i="55"/>
  <c r="GH297" i="55"/>
  <c r="GH298" i="55"/>
  <c r="GH283" i="55"/>
  <c r="GH299" i="55"/>
  <c r="GH287" i="55"/>
  <c r="GH307" i="55"/>
  <c r="GH288" i="55"/>
  <c r="GH308" i="55"/>
  <c r="GH303" i="55"/>
  <c r="GH304" i="55"/>
  <c r="GH305" i="55"/>
  <c r="GH306" i="55"/>
  <c r="GH285" i="55"/>
  <c r="GH310" i="55"/>
  <c r="GH286" i="55"/>
  <c r="GH289" i="55"/>
  <c r="GH290" i="55"/>
  <c r="GH291" i="55"/>
  <c r="GH294" i="55"/>
  <c r="GH300" i="55"/>
  <c r="GH301" i="55"/>
  <c r="GH292" i="55"/>
  <c r="GH295" i="55"/>
  <c r="GH302" i="55"/>
  <c r="GH309" i="55"/>
  <c r="GH311" i="55"/>
  <c r="GH284" i="55"/>
  <c r="GH293" i="55"/>
  <c r="CW278" i="55"/>
  <c r="CY278" i="55"/>
  <c r="CV278" i="55"/>
  <c r="CX278" i="55"/>
  <c r="T278" i="55"/>
  <c r="CZ278" i="55"/>
  <c r="DA278" i="55" s="1"/>
  <c r="DK49" i="55"/>
  <c r="DO49" i="55" s="1"/>
  <c r="G49" i="55" s="1"/>
  <c r="DP49" i="55" s="1"/>
  <c r="DQ49" i="55" s="1"/>
  <c r="DY49" i="55"/>
  <c r="GV164" i="55"/>
  <c r="GU164" i="55"/>
  <c r="JX52" i="55"/>
  <c r="JY52" i="55"/>
  <c r="DV52" i="55"/>
  <c r="DW52" i="55" s="1"/>
  <c r="DM52" i="55"/>
  <c r="CV347" i="55"/>
  <c r="CW347" i="55"/>
  <c r="CX347" i="55"/>
  <c r="CY347" i="55"/>
  <c r="CZ347" i="55"/>
  <c r="DA347" i="55" s="1"/>
  <c r="T347" i="55"/>
  <c r="FS299" i="55"/>
  <c r="GM230" i="55"/>
  <c r="CI230" i="55"/>
  <c r="JO203" i="55"/>
  <c r="GR351" i="55"/>
  <c r="HL205" i="55"/>
  <c r="GK205" i="55"/>
  <c r="GM200" i="55"/>
  <c r="CI200" i="55"/>
  <c r="HV200" i="55" s="1"/>
  <c r="T200" i="55" s="1"/>
  <c r="JC72" i="55"/>
  <c r="GV72" i="55"/>
  <c r="GW72" i="55" s="1"/>
  <c r="GU72" i="55"/>
  <c r="FS6" i="55"/>
  <c r="EZ180" i="55"/>
  <c r="AH15" i="54"/>
  <c r="AD15" i="54" a="1"/>
  <c r="AD15" i="54" s="1"/>
  <c r="GG26" i="55" s="1"/>
  <c r="AF15" i="54"/>
  <c r="GH26" i="55"/>
  <c r="GH27" i="55"/>
  <c r="GH29" i="55"/>
  <c r="GH30" i="55"/>
  <c r="GH28" i="55"/>
  <c r="EZ256" i="55"/>
  <c r="DR174" i="55" a="1"/>
  <c r="DR174" i="55" s="1"/>
  <c r="DT174" i="55" s="1"/>
  <c r="DU174" i="55"/>
  <c r="HT174" i="55" s="1"/>
  <c r="II174" i="55"/>
  <c r="CX268" i="55"/>
  <c r="CV268" i="55"/>
  <c r="CY268" i="55"/>
  <c r="CW268" i="55"/>
  <c r="T268" i="55"/>
  <c r="CZ268" i="55"/>
  <c r="DA268" i="55" s="1"/>
  <c r="GT268" i="55" s="1"/>
  <c r="DK205" i="55"/>
  <c r="DY205" i="55"/>
  <c r="EZ326" i="55"/>
  <c r="CV171" i="55"/>
  <c r="CY171" i="55"/>
  <c r="CX171" i="55"/>
  <c r="CW171" i="55"/>
  <c r="T171" i="55"/>
  <c r="CZ171" i="55"/>
  <c r="DA171" i="55" s="1"/>
  <c r="CV27" i="55"/>
  <c r="CW27" i="55"/>
  <c r="CX27" i="55"/>
  <c r="CY27" i="55"/>
  <c r="CZ27" i="55"/>
  <c r="DA27" i="55" s="1"/>
  <c r="DR19" i="55" a="1"/>
  <c r="DR19" i="55" s="1"/>
  <c r="DT19" i="55" s="1"/>
  <c r="II19" i="55"/>
  <c r="IJ19" i="55" s="1"/>
  <c r="DU19" i="55"/>
  <c r="HT19" i="55" s="1"/>
  <c r="JX266" i="55"/>
  <c r="JY266" i="55"/>
  <c r="DM266" i="55"/>
  <c r="DV266" i="55"/>
  <c r="DW266" i="55" s="1"/>
  <c r="DV289" i="55"/>
  <c r="DW289" i="55" s="1"/>
  <c r="JY289" i="55"/>
  <c r="JX289" i="55"/>
  <c r="DM289" i="55"/>
  <c r="DQ289" i="55" s="1"/>
  <c r="DK11" i="55"/>
  <c r="DY11" i="55"/>
  <c r="FU26" i="55"/>
  <c r="L26" i="55" s="1"/>
  <c r="FV26" i="55" s="1"/>
  <c r="GR111" i="55"/>
  <c r="GT111" i="55"/>
  <c r="CY321" i="55"/>
  <c r="CW321" i="55"/>
  <c r="CV321" i="55"/>
  <c r="CX321" i="55"/>
  <c r="CZ321" i="55"/>
  <c r="DA321" i="55" s="1"/>
  <c r="DR309" i="55" a="1"/>
  <c r="DR309" i="55" s="1"/>
  <c r="DT309" i="55" s="1"/>
  <c r="II309" i="55"/>
  <c r="DU309" i="55"/>
  <c r="HT309" i="55" s="1"/>
  <c r="GR9" i="55"/>
  <c r="EZ158" i="55"/>
  <c r="EV54" i="55"/>
  <c r="EW54" i="55" s="1"/>
  <c r="FS216" i="55"/>
  <c r="DK308" i="55"/>
  <c r="DO308" i="55" s="1"/>
  <c r="DR155" i="55" a="1"/>
  <c r="DR155" i="55" s="1"/>
  <c r="DT155" i="55" s="1"/>
  <c r="DU155" i="55"/>
  <c r="HT155" i="55" s="1"/>
  <c r="II155" i="55"/>
  <c r="EV260" i="55"/>
  <c r="EW260" i="55" s="1"/>
  <c r="FU29" i="55"/>
  <c r="L29" i="55" s="1"/>
  <c r="FV29" i="55" s="1"/>
  <c r="FW29" i="55" s="1"/>
  <c r="FS269" i="55"/>
  <c r="GR260" i="55"/>
  <c r="GM79" i="55"/>
  <c r="CI79" i="55"/>
  <c r="HV79" i="55" s="1"/>
  <c r="T79" i="55" s="1"/>
  <c r="EV132" i="55"/>
  <c r="EW132" i="55" s="1"/>
  <c r="GM169" i="55"/>
  <c r="CI169" i="55"/>
  <c r="GM195" i="55"/>
  <c r="CI195" i="55"/>
  <c r="HV195" i="55" s="1"/>
  <c r="T195" i="55" s="1"/>
  <c r="CX74" i="55"/>
  <c r="CV74" i="55"/>
  <c r="CW74" i="55"/>
  <c r="CY74" i="55"/>
  <c r="T74" i="55"/>
  <c r="CZ74" i="55"/>
  <c r="DA74" i="55" s="1"/>
  <c r="GK323" i="55"/>
  <c r="HL323" i="55"/>
  <c r="EZ207" i="55"/>
  <c r="DR292" i="55" a="1"/>
  <c r="DR292" i="55" s="1"/>
  <c r="DT292" i="55" s="1"/>
  <c r="DU292" i="55"/>
  <c r="HT292" i="55" s="1"/>
  <c r="II292" i="55"/>
  <c r="JX143" i="55"/>
  <c r="JY143" i="55"/>
  <c r="DV143" i="55"/>
  <c r="DW143" i="55" s="1"/>
  <c r="DM143" i="55"/>
  <c r="GM334" i="55"/>
  <c r="CI334" i="55"/>
  <c r="HV334" i="55" s="1"/>
  <c r="T334" i="55" s="1"/>
  <c r="EZ43" i="55"/>
  <c r="HL135" i="55"/>
  <c r="GT84" i="55"/>
  <c r="GR132" i="55"/>
  <c r="GT132" i="55"/>
  <c r="GR65" i="55"/>
  <c r="CW110" i="55"/>
  <c r="CX110" i="55"/>
  <c r="CY110" i="55"/>
  <c r="CV110" i="55"/>
  <c r="CZ110" i="55"/>
  <c r="DA110" i="55" s="1"/>
  <c r="GT110" i="55" s="1"/>
  <c r="AD21" i="54" a="1"/>
  <c r="AD21" i="54" s="1"/>
  <c r="GG154" i="55" s="1"/>
  <c r="AH21" i="54"/>
  <c r="AF21" i="54"/>
  <c r="GH168" i="55"/>
  <c r="GH169" i="55"/>
  <c r="GH154" i="55"/>
  <c r="GH170" i="55"/>
  <c r="GH155" i="55"/>
  <c r="GH171" i="55"/>
  <c r="GH159" i="55"/>
  <c r="GH179" i="55"/>
  <c r="GH160" i="55"/>
  <c r="GH180" i="55"/>
  <c r="GH175" i="55"/>
  <c r="GH173" i="55"/>
  <c r="GH174" i="55"/>
  <c r="GH176" i="55"/>
  <c r="GH178" i="55"/>
  <c r="GH181" i="55"/>
  <c r="GH182" i="55"/>
  <c r="GH183" i="55"/>
  <c r="GH158" i="55"/>
  <c r="GH162" i="55"/>
  <c r="GH163" i="55"/>
  <c r="GH156" i="55"/>
  <c r="GH167" i="55"/>
  <c r="GH172" i="55"/>
  <c r="GH177" i="55"/>
  <c r="GH157" i="55"/>
  <c r="GH164" i="55"/>
  <c r="GH161" i="55"/>
  <c r="GH165" i="55"/>
  <c r="GH166" i="55"/>
  <c r="ER4" i="55"/>
  <c r="ES4" i="55"/>
  <c r="FB4" i="55"/>
  <c r="FE4" i="55"/>
  <c r="FA4" i="55"/>
  <c r="FC4" i="55"/>
  <c r="FD4" i="55" s="1"/>
  <c r="HS4" i="55" s="1"/>
  <c r="HU4" i="55" s="1"/>
  <c r="GM52" i="55"/>
  <c r="CI52" i="55"/>
  <c r="HV52" i="55" s="1"/>
  <c r="T52" i="55" s="1"/>
  <c r="DY66" i="55"/>
  <c r="DM60" i="55"/>
  <c r="DQ60" i="55" s="1"/>
  <c r="DV60" i="55"/>
  <c r="DW60" i="55" s="1"/>
  <c r="JY60" i="55"/>
  <c r="JX60" i="55"/>
  <c r="DV236" i="55"/>
  <c r="DW236" i="55" s="1"/>
  <c r="JY236" i="55"/>
  <c r="JX236" i="55"/>
  <c r="DM236" i="55"/>
  <c r="BJ3" i="40" a="1"/>
  <c r="BJ3" i="40" s="1"/>
  <c r="DK290" i="55"/>
  <c r="DY290" i="55"/>
  <c r="GR252" i="55"/>
  <c r="GT252" i="55"/>
  <c r="GK112" i="55"/>
  <c r="HL112" i="55"/>
  <c r="FS227" i="55"/>
  <c r="DK277" i="55"/>
  <c r="DY277" i="55"/>
  <c r="GR264" i="55"/>
  <c r="GT264" i="55"/>
  <c r="EV272" i="55"/>
  <c r="EW272" i="55" s="1"/>
  <c r="EZ35" i="55"/>
  <c r="GR59" i="55"/>
  <c r="FS307" i="55"/>
  <c r="GR348" i="55"/>
  <c r="GT348" i="55"/>
  <c r="HL177" i="55"/>
  <c r="GK177" i="55"/>
  <c r="JO202" i="55"/>
  <c r="JU202" i="55"/>
  <c r="HL186" i="55"/>
  <c r="GK186" i="55"/>
  <c r="DK220" i="55"/>
  <c r="DY220" i="55"/>
  <c r="GM36" i="55"/>
  <c r="CI36" i="55"/>
  <c r="HV36" i="55" s="1"/>
  <c r="T36" i="55" s="1"/>
  <c r="DR70" i="55" a="1"/>
  <c r="DR70" i="55" s="1"/>
  <c r="DT70" i="55" s="1"/>
  <c r="II70" i="55"/>
  <c r="DU70" i="55"/>
  <c r="HT70" i="55" s="1"/>
  <c r="CY97" i="55"/>
  <c r="CX97" i="55"/>
  <c r="CW97" i="55"/>
  <c r="CV97" i="55"/>
  <c r="CZ97" i="55"/>
  <c r="DA97" i="55" s="1"/>
  <c r="JY302" i="55"/>
  <c r="DV302" i="55"/>
  <c r="DW302" i="55" s="1"/>
  <c r="JX302" i="55"/>
  <c r="DM302" i="55"/>
  <c r="DQ302" i="55" s="1"/>
  <c r="DK219" i="55"/>
  <c r="DY219" i="55"/>
  <c r="GM326" i="55"/>
  <c r="CI326" i="55"/>
  <c r="JY13" i="55"/>
  <c r="DM13" i="55"/>
  <c r="DQ13" i="55" s="1"/>
  <c r="JX13" i="55"/>
  <c r="DV13" i="55"/>
  <c r="DW13" i="55" s="1"/>
  <c r="JC92" i="55"/>
  <c r="GU92" i="55"/>
  <c r="GV92" i="55"/>
  <c r="EV328" i="55"/>
  <c r="EW328" i="55" s="1"/>
  <c r="CY61" i="55"/>
  <c r="CV61" i="55"/>
  <c r="CW61" i="55"/>
  <c r="CX61" i="55"/>
  <c r="CZ61" i="55"/>
  <c r="DA61" i="55" s="1"/>
  <c r="GT61" i="55" s="1"/>
  <c r="T61" i="55"/>
  <c r="DR20" i="55" a="1"/>
  <c r="DR20" i="55" s="1"/>
  <c r="DT20" i="55" s="1"/>
  <c r="DU20" i="55"/>
  <c r="HT20" i="55" s="1"/>
  <c r="II20" i="55"/>
  <c r="IJ20" i="55" s="1"/>
  <c r="GR104" i="55"/>
  <c r="EZ243" i="55"/>
  <c r="GR18" i="55"/>
  <c r="GM158" i="55"/>
  <c r="CI158" i="55"/>
  <c r="HV158" i="55" s="1"/>
  <c r="FU315" i="55"/>
  <c r="L315" i="55" s="1"/>
  <c r="FV315" i="55" s="1"/>
  <c r="FW315" i="55" s="1"/>
  <c r="FS315" i="55"/>
  <c r="FS221" i="55"/>
  <c r="GR247" i="55"/>
  <c r="GT247" i="55"/>
  <c r="GT315" i="55"/>
  <c r="CY161" i="55"/>
  <c r="CX161" i="55"/>
  <c r="CV161" i="55"/>
  <c r="CW161" i="55"/>
  <c r="CZ161" i="55"/>
  <c r="DA161" i="55" s="1"/>
  <c r="T161" i="55"/>
  <c r="CY127" i="55"/>
  <c r="CV127" i="55"/>
  <c r="CW127" i="55"/>
  <c r="CX127" i="55"/>
  <c r="CZ127" i="55"/>
  <c r="DA127" i="55" s="1"/>
  <c r="T127" i="55"/>
  <c r="JC177" i="55"/>
  <c r="GV177" i="55"/>
  <c r="GU177" i="55"/>
  <c r="EO76" i="55" a="1"/>
  <c r="EO76" i="55" s="1"/>
  <c r="JO229" i="55"/>
  <c r="JU229" i="55" s="1"/>
  <c r="JV229" i="55" s="1"/>
  <c r="DK299" i="55"/>
  <c r="DO299" i="55" s="1"/>
  <c r="DY299" i="55"/>
  <c r="HQ299" i="55" s="1"/>
  <c r="JC116" i="55"/>
  <c r="GV116" i="55"/>
  <c r="GU116" i="55"/>
  <c r="DR62" i="55" a="1"/>
  <c r="DR62" i="55" s="1"/>
  <c r="DT62" i="55" s="1"/>
  <c r="DU62" i="55"/>
  <c r="HT62" i="55" s="1"/>
  <c r="II62" i="55"/>
  <c r="DR299" i="55" a="1"/>
  <c r="DR299" i="55" s="1"/>
  <c r="DT299" i="55" s="1"/>
  <c r="DU299" i="55"/>
  <c r="HT299" i="55" s="1"/>
  <c r="II299" i="55"/>
  <c r="JO258" i="55"/>
  <c r="GR230" i="55"/>
  <c r="GT230" i="55"/>
  <c r="EZ294" i="55"/>
  <c r="FS277" i="55"/>
  <c r="GT240" i="55"/>
  <c r="GR245" i="55"/>
  <c r="GT245" i="55"/>
  <c r="GR78" i="55"/>
  <c r="GT78" i="55"/>
  <c r="GR344" i="55"/>
  <c r="FS220" i="55"/>
  <c r="HL55" i="55"/>
  <c r="GK55" i="55"/>
  <c r="GM167" i="55"/>
  <c r="CI167" i="55"/>
  <c r="HV167" i="55" s="1"/>
  <c r="T167" i="55" s="1"/>
  <c r="GR70" i="55"/>
  <c r="GT70" i="55"/>
  <c r="DM163" i="55"/>
  <c r="DQ163" i="55" s="1"/>
  <c r="DV163" i="55"/>
  <c r="DW163" i="55" s="1"/>
  <c r="JY163" i="55"/>
  <c r="JX163" i="55"/>
  <c r="FS219" i="55"/>
  <c r="CV200" i="55"/>
  <c r="CX200" i="55"/>
  <c r="CW200" i="55"/>
  <c r="CY200" i="55"/>
  <c r="CZ200" i="55"/>
  <c r="DA200" i="55" s="1"/>
  <c r="GM72" i="55"/>
  <c r="CI72" i="55"/>
  <c r="HV72" i="55" s="1"/>
  <c r="T72" i="55" s="1"/>
  <c r="CV297" i="55"/>
  <c r="CW297" i="55"/>
  <c r="CY297" i="55"/>
  <c r="CX297" i="55"/>
  <c r="T297" i="55"/>
  <c r="CZ297" i="55"/>
  <c r="DA297" i="55" s="1"/>
  <c r="GT297" i="55" s="1"/>
  <c r="FU13" i="55"/>
  <c r="L13" i="55" s="1"/>
  <c r="FV13" i="55" s="1"/>
  <c r="FW13" i="55" s="1"/>
  <c r="FS266" i="55"/>
  <c r="GM34" i="55"/>
  <c r="CI34" i="55"/>
  <c r="HV34" i="55" s="1"/>
  <c r="T34" i="55" s="1"/>
  <c r="GR120" i="55"/>
  <c r="DV180" i="55"/>
  <c r="DW180" i="55" s="1"/>
  <c r="JX180" i="55"/>
  <c r="JY180" i="55"/>
  <c r="DM180" i="55"/>
  <c r="DQ180" i="55" s="1"/>
  <c r="GR263" i="55"/>
  <c r="GT263" i="55"/>
  <c r="GR16" i="55"/>
  <c r="GT163" i="55"/>
  <c r="CY234" i="55"/>
  <c r="CX234" i="55"/>
  <c r="CV234" i="55"/>
  <c r="CW234" i="55"/>
  <c r="CZ234" i="55"/>
  <c r="DA234" i="55" s="1"/>
  <c r="GT234" i="55" s="1"/>
  <c r="DV331" i="55"/>
  <c r="DW331" i="55" s="1"/>
  <c r="DM331" i="55"/>
  <c r="DQ331" i="55" s="1"/>
  <c r="GT331" i="55"/>
  <c r="JY331" i="55"/>
  <c r="JX331" i="55"/>
  <c r="GR278" i="55"/>
  <c r="DK117" i="55"/>
  <c r="DY117" i="55"/>
  <c r="CW320" i="55"/>
  <c r="CY320" i="55"/>
  <c r="CV320" i="55"/>
  <c r="CX320" i="55"/>
  <c r="CZ320" i="55"/>
  <c r="DA320" i="55" s="1"/>
  <c r="EZ160" i="55"/>
  <c r="FS225" i="55"/>
  <c r="CX115" i="55"/>
  <c r="CY115" i="55"/>
  <c r="CW115" i="55"/>
  <c r="CV115" i="55"/>
  <c r="CZ115" i="55"/>
  <c r="DA115" i="55" s="1"/>
  <c r="GT115" i="55" s="1"/>
  <c r="T115" i="55"/>
  <c r="DV271" i="55"/>
  <c r="DW271" i="55" s="1"/>
  <c r="JY271" i="55"/>
  <c r="JX271" i="55"/>
  <c r="DM271" i="55"/>
  <c r="AF29" i="54"/>
  <c r="AH29" i="54"/>
  <c r="AD29" i="54" a="1"/>
  <c r="AD29" i="54" s="1"/>
  <c r="GH335" i="55"/>
  <c r="GH337" i="55"/>
  <c r="GH340" i="55"/>
  <c r="GH338" i="55"/>
  <c r="GH339" i="55"/>
  <c r="GH336" i="55"/>
  <c r="EZ334" i="55"/>
  <c r="GK196" i="55"/>
  <c r="HL196" i="55"/>
  <c r="CY145" i="55"/>
  <c r="CV145" i="55"/>
  <c r="CX145" i="55"/>
  <c r="CW145" i="55"/>
  <c r="CZ145" i="55"/>
  <c r="DA145" i="55" s="1"/>
  <c r="GT145" i="55" s="1"/>
  <c r="HL27" i="55"/>
  <c r="GK27" i="55"/>
  <c r="EZ38" i="55"/>
  <c r="CW172" i="55"/>
  <c r="CX172" i="55"/>
  <c r="CV172" i="55"/>
  <c r="CY172" i="55"/>
  <c r="CZ172" i="55"/>
  <c r="DA172" i="55" s="1"/>
  <c r="EZ284" i="55"/>
  <c r="FS86" i="55"/>
  <c r="FU86" i="55"/>
  <c r="L86" i="55" s="1"/>
  <c r="FV86" i="55" s="1"/>
  <c r="FW86" i="55" s="1"/>
  <c r="GR87" i="55"/>
  <c r="GT87" i="55"/>
  <c r="JC130" i="55"/>
  <c r="GU130" i="55"/>
  <c r="GV130" i="55"/>
  <c r="GW130" i="55" s="1"/>
  <c r="GR347" i="55"/>
  <c r="CY178" i="55"/>
  <c r="CX178" i="55"/>
  <c r="CV178" i="55"/>
  <c r="CW178" i="55"/>
  <c r="T178" i="55"/>
  <c r="CZ178" i="55"/>
  <c r="DA178" i="55" s="1"/>
  <c r="DK21" i="55"/>
  <c r="DO21" i="55" s="1"/>
  <c r="DY21" i="55"/>
  <c r="HQ21" i="55" s="1"/>
  <c r="GF184" i="55"/>
  <c r="DY70" i="55"/>
  <c r="DR166" i="55" a="1"/>
  <c r="DR166" i="55" s="1"/>
  <c r="DT166" i="55" s="1"/>
  <c r="DU166" i="55"/>
  <c r="HT166" i="55" s="1"/>
  <c r="II166" i="55"/>
  <c r="AD20" i="54" a="1"/>
  <c r="AD20" i="54" s="1"/>
  <c r="GG130" i="55" s="1"/>
  <c r="AF20" i="54"/>
  <c r="AH20" i="54"/>
  <c r="GH136" i="55"/>
  <c r="GH152" i="55"/>
  <c r="GH137" i="55"/>
  <c r="GH153" i="55"/>
  <c r="GH138" i="55"/>
  <c r="GH139" i="55"/>
  <c r="GH135" i="55"/>
  <c r="GH140" i="55"/>
  <c r="GH131" i="55"/>
  <c r="GH151" i="55"/>
  <c r="GH146" i="55"/>
  <c r="GH147" i="55"/>
  <c r="GH148" i="55"/>
  <c r="GH150" i="55"/>
  <c r="GH143" i="55"/>
  <c r="GH144" i="55"/>
  <c r="GH145" i="55"/>
  <c r="GH149" i="55"/>
  <c r="GH134" i="55"/>
  <c r="GH142" i="55"/>
  <c r="GH132" i="55"/>
  <c r="GH133" i="55"/>
  <c r="GH141" i="55"/>
  <c r="GH130" i="55"/>
  <c r="FS163" i="55"/>
  <c r="EV72" i="55"/>
  <c r="EW72" i="55" s="1"/>
  <c r="GK308" i="55"/>
  <c r="HL308" i="55"/>
  <c r="JO220" i="55"/>
  <c r="EZ226" i="55"/>
  <c r="FS156" i="55"/>
  <c r="FS289" i="55"/>
  <c r="FS242" i="55"/>
  <c r="EZ87" i="55"/>
  <c r="FS206" i="55"/>
  <c r="GR109" i="55"/>
  <c r="DM173" i="55"/>
  <c r="DQ173" i="55" s="1"/>
  <c r="DV173" i="55"/>
  <c r="DW173" i="55" s="1"/>
  <c r="JX173" i="55"/>
  <c r="JY173" i="55"/>
  <c r="GR24" i="55"/>
  <c r="GR25" i="55" s="1"/>
  <c r="GT24" i="55"/>
  <c r="EZ101" i="55"/>
  <c r="DR332" i="55" a="1"/>
  <c r="DR332" i="55" s="1"/>
  <c r="DT332" i="55" s="1"/>
  <c r="II332" i="55"/>
  <c r="DU332" i="55"/>
  <c r="HT332" i="55" s="1"/>
  <c r="GR253" i="55"/>
  <c r="FU7" i="55"/>
  <c r="L7" i="55" s="1"/>
  <c r="FV7" i="55" s="1"/>
  <c r="FW7" i="55" s="1"/>
  <c r="GS4" i="55"/>
  <c r="DK221" i="55"/>
  <c r="DY221" i="55"/>
  <c r="EZ150" i="55"/>
  <c r="GV19" i="55"/>
  <c r="GU19" i="55"/>
  <c r="DY269" i="55"/>
  <c r="JC244" i="55"/>
  <c r="GU244" i="55"/>
  <c r="EZ82" i="55"/>
  <c r="DM123" i="55"/>
  <c r="DQ123" i="55" s="1"/>
  <c r="DV123" i="55"/>
  <c r="DW123" i="55" s="1"/>
  <c r="JX123" i="55"/>
  <c r="JY123" i="55"/>
  <c r="GS50" i="55"/>
  <c r="CW128" i="55"/>
  <c r="CV128" i="55"/>
  <c r="CY128" i="55"/>
  <c r="CX128" i="55"/>
  <c r="T128" i="55"/>
  <c r="CZ128" i="55"/>
  <c r="DA128" i="55" s="1"/>
  <c r="FS117" i="55"/>
  <c r="DR121" i="55" a="1"/>
  <c r="DR121" i="55" s="1"/>
  <c r="DT121" i="55" s="1"/>
  <c r="DU121" i="55"/>
  <c r="HT121" i="55" s="1"/>
  <c r="II121" i="55"/>
  <c r="GK149" i="55"/>
  <c r="HL149" i="55"/>
  <c r="GT337" i="55"/>
  <c r="GR217" i="55"/>
  <c r="GT217" i="55"/>
  <c r="JC345" i="55"/>
  <c r="GV345" i="55"/>
  <c r="GW345" i="55" s="1"/>
  <c r="GU345" i="55"/>
  <c r="FS143" i="55"/>
  <c r="FS52" i="55"/>
  <c r="CX286" i="55"/>
  <c r="CY286" i="55"/>
  <c r="CW286" i="55"/>
  <c r="CV286" i="55"/>
  <c r="CZ286" i="55"/>
  <c r="DA286" i="55" s="1"/>
  <c r="DK300" i="55"/>
  <c r="DY300" i="55"/>
  <c r="DR86" i="55" a="1"/>
  <c r="DR86" i="55" s="1"/>
  <c r="DT86" i="55" s="1"/>
  <c r="DU86" i="55"/>
  <c r="HT86" i="55" s="1"/>
  <c r="II86" i="55"/>
  <c r="IJ86" i="55" s="1"/>
  <c r="W325" i="55"/>
  <c r="EO325" i="55" a="1"/>
  <c r="EO325" i="55" s="1"/>
  <c r="GR322" i="55"/>
  <c r="GT322" i="55"/>
  <c r="AK3" i="55"/>
  <c r="HE3" i="55"/>
  <c r="GM142" i="55"/>
  <c r="CI142" i="55"/>
  <c r="HV142" i="55" s="1"/>
  <c r="T142" i="55" s="1"/>
  <c r="CV168" i="55"/>
  <c r="CY168" i="55"/>
  <c r="CW168" i="55"/>
  <c r="CX168" i="55"/>
  <c r="CZ168" i="55"/>
  <c r="DA168" i="55" s="1"/>
  <c r="BO3" i="40" a="1"/>
  <c r="BO3" i="40" s="1"/>
  <c r="GR232" i="55"/>
  <c r="FS125" i="55"/>
  <c r="FS290" i="55"/>
  <c r="CX95" i="55"/>
  <c r="CV95" i="55"/>
  <c r="CW95" i="55"/>
  <c r="CY95" i="55"/>
  <c r="CZ95" i="55"/>
  <c r="DA95" i="55" s="1"/>
  <c r="GT95" i="55" s="1"/>
  <c r="T95" i="55"/>
  <c r="GM281" i="55"/>
  <c r="CI281" i="55"/>
  <c r="HV281" i="55" s="1"/>
  <c r="T281" i="55" s="1"/>
  <c r="GM287" i="55"/>
  <c r="CI287" i="55"/>
  <c r="HV287" i="55" s="1"/>
  <c r="T287" i="55" s="1"/>
  <c r="GR61" i="55"/>
  <c r="GR12" i="55"/>
  <c r="GT12" i="55"/>
  <c r="FS271" i="55"/>
  <c r="CX351" i="55"/>
  <c r="CY351" i="55"/>
  <c r="CV351" i="55"/>
  <c r="CW351" i="55"/>
  <c r="T351" i="55"/>
  <c r="CZ351" i="55"/>
  <c r="DA351" i="55" s="1"/>
  <c r="FS252" i="55"/>
  <c r="DK131" i="55"/>
  <c r="DO131" i="55" s="1"/>
  <c r="G131" i="55" s="1"/>
  <c r="DP131" i="55" s="1"/>
  <c r="DQ131" i="55" s="1"/>
  <c r="DY131" i="55"/>
  <c r="CV57" i="55"/>
  <c r="CW57" i="55"/>
  <c r="CX57" i="55"/>
  <c r="CY57" i="55"/>
  <c r="CZ57" i="55"/>
  <c r="DA57" i="55" s="1"/>
  <c r="GT57" i="55" s="1"/>
  <c r="GR77" i="55"/>
  <c r="CX68" i="55"/>
  <c r="CV68" i="55"/>
  <c r="CY68" i="55"/>
  <c r="CW68" i="55"/>
  <c r="T68" i="55"/>
  <c r="CZ68" i="55"/>
  <c r="DA68" i="55" s="1"/>
  <c r="DK307" i="55"/>
  <c r="DO307" i="55" s="1"/>
  <c r="DY307" i="55"/>
  <c r="GT343" i="55"/>
  <c r="GM100" i="55"/>
  <c r="CI100" i="55"/>
  <c r="HV100" i="55" s="1"/>
  <c r="T100" i="55" s="1"/>
  <c r="HL289" i="55"/>
  <c r="GK289" i="55"/>
  <c r="FS21" i="55"/>
  <c r="FU21" i="55"/>
  <c r="L21" i="55" s="1"/>
  <c r="FV21" i="55" s="1"/>
  <c r="FW21" i="55" s="1"/>
  <c r="DK70" i="55"/>
  <c r="DO70" i="55" s="1"/>
  <c r="GR303" i="55"/>
  <c r="GT303" i="55"/>
  <c r="DR162" i="55" a="1"/>
  <c r="DR162" i="55" s="1"/>
  <c r="DT162" i="55" s="1"/>
  <c r="II162" i="55"/>
  <c r="DU162" i="55"/>
  <c r="HT162" i="55" s="1"/>
  <c r="EZ138" i="55"/>
  <c r="DK302" i="55"/>
  <c r="DY302" i="55"/>
  <c r="GM320" i="55"/>
  <c r="CI320" i="55"/>
  <c r="HV320" i="55" s="1"/>
  <c r="T320" i="55" s="1"/>
  <c r="GM23" i="55"/>
  <c r="CI23" i="55"/>
  <c r="HV23" i="55" s="1"/>
  <c r="T23" i="55" s="1"/>
  <c r="GM248" i="55"/>
  <c r="CI248" i="55"/>
  <c r="HV248" i="55" s="1"/>
  <c r="T248" i="55" s="1"/>
  <c r="CW239" i="55"/>
  <c r="CY239" i="55"/>
  <c r="CV239" i="55"/>
  <c r="CX239" i="55"/>
  <c r="CZ239" i="55"/>
  <c r="DA239" i="55" s="1"/>
  <c r="GR69" i="55"/>
  <c r="GT69" i="55"/>
  <c r="DK156" i="55"/>
  <c r="DO156" i="55" s="1"/>
  <c r="DY156" i="55"/>
  <c r="DK266" i="55"/>
  <c r="DY266" i="55"/>
  <c r="DK289" i="55"/>
  <c r="DO289" i="55" s="1"/>
  <c r="DY289" i="55"/>
  <c r="DR116" i="55" a="1"/>
  <c r="DR116" i="55" s="1"/>
  <c r="DT116" i="55" s="1"/>
  <c r="DU116" i="55"/>
  <c r="HT116" i="55" s="1"/>
  <c r="II116" i="55"/>
  <c r="DR102" i="55" a="1"/>
  <c r="DR102" i="55" s="1"/>
  <c r="DT102" i="55" s="1"/>
  <c r="DU102" i="55"/>
  <c r="HT102" i="55" s="1"/>
  <c r="II102" i="55"/>
  <c r="IJ102" i="55" s="1"/>
  <c r="EZ235" i="55"/>
  <c r="CX138" i="55"/>
  <c r="CW138" i="55"/>
  <c r="CV138" i="55"/>
  <c r="CY138" i="55"/>
  <c r="CZ138" i="55"/>
  <c r="DA138" i="55" s="1"/>
  <c r="T138" i="55"/>
  <c r="DK206" i="55"/>
  <c r="DO206" i="55" s="1"/>
  <c r="G206" i="55" s="1"/>
  <c r="DP206" i="55" s="1"/>
  <c r="DQ206" i="55" s="1"/>
  <c r="DY206" i="55"/>
  <c r="GR108" i="55"/>
  <c r="GT108" i="55"/>
  <c r="GR123" i="55"/>
  <c r="GT123" i="55"/>
  <c r="CW54" i="55"/>
  <c r="CV54" i="55"/>
  <c r="CX54" i="55"/>
  <c r="CY54" i="55"/>
  <c r="CZ54" i="55"/>
  <c r="DA54" i="55" s="1"/>
  <c r="T54" i="55"/>
  <c r="CV87" i="55"/>
  <c r="CW87" i="55"/>
  <c r="CX87" i="55"/>
  <c r="CY87" i="55"/>
  <c r="T87" i="55"/>
  <c r="CZ87" i="55"/>
  <c r="DA87" i="55" s="1"/>
  <c r="GR5" i="55"/>
  <c r="GT5" i="55"/>
  <c r="EZ115" i="55"/>
  <c r="EZ70" i="55"/>
  <c r="EZ71" i="55"/>
  <c r="FS139" i="55"/>
  <c r="CX160" i="55"/>
  <c r="CW160" i="55"/>
  <c r="CY160" i="55"/>
  <c r="CV160" i="55"/>
  <c r="T160" i="55"/>
  <c r="CZ160" i="55"/>
  <c r="DA160" i="55" s="1"/>
  <c r="FS331" i="55"/>
  <c r="GM66" i="55"/>
  <c r="CI66" i="55"/>
  <c r="HV66" i="55" s="1"/>
  <c r="T66" i="55" s="1"/>
  <c r="FS123" i="55"/>
  <c r="GR211" i="55"/>
  <c r="GT211" i="55"/>
  <c r="EO119" i="55" a="1"/>
  <c r="EO119" i="55" s="1"/>
  <c r="DK52" i="55"/>
  <c r="DO52" i="55" s="1"/>
  <c r="G52" i="55" s="1"/>
  <c r="DP52" i="55" s="1"/>
  <c r="DQ52" i="55" s="1"/>
  <c r="DY52" i="55"/>
  <c r="DM285" i="55"/>
  <c r="DQ285" i="55" s="1"/>
  <c r="DV285" i="55"/>
  <c r="DW285" i="55" s="1"/>
  <c r="JY285" i="55"/>
  <c r="GT285" i="55"/>
  <c r="JX285" i="55"/>
  <c r="DR326" i="55" a="1"/>
  <c r="DR326" i="55" s="1"/>
  <c r="DT326" i="55" s="1"/>
  <c r="II326" i="55"/>
  <c r="DU326" i="55"/>
  <c r="HT326" i="55" s="1"/>
  <c r="EZ259" i="55"/>
  <c r="HL39" i="55"/>
  <c r="GK39" i="55"/>
  <c r="GK116" i="55"/>
  <c r="HL116" i="55"/>
  <c r="CY17" i="55"/>
  <c r="CV17" i="55"/>
  <c r="CW17" i="55"/>
  <c r="CX17" i="55"/>
  <c r="CZ17" i="55"/>
  <c r="DA17" i="55" s="1"/>
  <c r="DR287" i="55" a="1"/>
  <c r="DR287" i="55" s="1"/>
  <c r="DT287" i="55" s="1"/>
  <c r="DU287" i="55"/>
  <c r="HT287" i="55" s="1"/>
  <c r="II287" i="55"/>
  <c r="GM272" i="55"/>
  <c r="CI272" i="55"/>
  <c r="JC135" i="55"/>
  <c r="GV135" i="55"/>
  <c r="GU135" i="55"/>
  <c r="GM69" i="55"/>
  <c r="CI69" i="55"/>
  <c r="HV69" i="55" s="1"/>
  <c r="T69" i="55" s="1"/>
  <c r="GM223" i="55"/>
  <c r="CI223" i="55"/>
  <c r="HV223" i="55" s="1"/>
  <c r="T223" i="55" s="1"/>
  <c r="EV223" i="55"/>
  <c r="EW223" i="55" s="1"/>
  <c r="FS105" i="55"/>
  <c r="CY258" i="55"/>
  <c r="CW258" i="55"/>
  <c r="CX258" i="55"/>
  <c r="CV258" i="55"/>
  <c r="T258" i="55"/>
  <c r="CZ258" i="55"/>
  <c r="DA258" i="55" s="1"/>
  <c r="EV69" i="55"/>
  <c r="EW69" i="55" s="1"/>
  <c r="GR332" i="55"/>
  <c r="GT332" i="55"/>
  <c r="FS147" i="55"/>
  <c r="DR39" i="55" a="1"/>
  <c r="DR39" i="55" s="1"/>
  <c r="DT39" i="55" s="1"/>
  <c r="HQ39" i="55"/>
  <c r="DU39" i="55"/>
  <c r="HT39" i="55" s="1"/>
  <c r="II39" i="55"/>
  <c r="FE28" i="55"/>
  <c r="FB28" i="55"/>
  <c r="ER28" i="55"/>
  <c r="ES28" i="55"/>
  <c r="FC28" i="55"/>
  <c r="FD28" i="55" s="1"/>
  <c r="HS28" i="55" s="1"/>
  <c r="HU28" i="55" s="1"/>
  <c r="FA28" i="55"/>
  <c r="CX32" i="55"/>
  <c r="CY32" i="55"/>
  <c r="CV32" i="55"/>
  <c r="CW32" i="55"/>
  <c r="T32" i="55"/>
  <c r="CZ32" i="55"/>
  <c r="DA32" i="55" s="1"/>
  <c r="JX248" i="55"/>
  <c r="JY248" i="55"/>
  <c r="DM248" i="55"/>
  <c r="DV248" i="55"/>
  <c r="DW248" i="55" s="1"/>
  <c r="GF130" i="55"/>
  <c r="CW46" i="55"/>
  <c r="CV46" i="55"/>
  <c r="CY46" i="55"/>
  <c r="CX46" i="55"/>
  <c r="CZ46" i="55"/>
  <c r="DA46" i="55" s="1"/>
  <c r="DK285" i="55"/>
  <c r="DY285" i="55"/>
  <c r="EZ95" i="55"/>
  <c r="GR227" i="55"/>
  <c r="GT227" i="55"/>
  <c r="GM252" i="55"/>
  <c r="CI252" i="55"/>
  <c r="HV252" i="55" s="1"/>
  <c r="T252" i="55" s="1"/>
  <c r="EZ96" i="55"/>
  <c r="AH25" i="54"/>
  <c r="AF25" i="54"/>
  <c r="AD25" i="54" a="1"/>
  <c r="AD25" i="54" s="1"/>
  <c r="GG313" i="55" s="1"/>
  <c r="GH313" i="55"/>
  <c r="GH314" i="55"/>
  <c r="GH315" i="55"/>
  <c r="GH316" i="55"/>
  <c r="EZ285" i="55"/>
  <c r="CY305" i="55"/>
  <c r="CV305" i="55"/>
  <c r="CX305" i="55"/>
  <c r="CW305" i="55"/>
  <c r="T305" i="55"/>
  <c r="CZ305" i="55"/>
  <c r="DA305" i="55" s="1"/>
  <c r="HL266" i="55"/>
  <c r="GK266" i="55"/>
  <c r="FS175" i="55"/>
  <c r="FS72" i="55"/>
  <c r="CX223" i="55"/>
  <c r="CW223" i="55"/>
  <c r="CY223" i="55"/>
  <c r="CV223" i="55"/>
  <c r="CZ223" i="55"/>
  <c r="DA223" i="55" s="1"/>
  <c r="JX228" i="55"/>
  <c r="JY228" i="55"/>
  <c r="DV228" i="55"/>
  <c r="DW228" i="55" s="1"/>
  <c r="DM228" i="55"/>
  <c r="GM110" i="55"/>
  <c r="CI110" i="55"/>
  <c r="HV110" i="55" s="1"/>
  <c r="T110" i="55" s="1"/>
  <c r="GM47" i="55"/>
  <c r="CI47" i="55"/>
  <c r="GM318" i="55"/>
  <c r="CI318" i="55"/>
  <c r="EZ52" i="55"/>
  <c r="FS255" i="55"/>
  <c r="HL253" i="55"/>
  <c r="GK253" i="55"/>
  <c r="EZ316" i="55"/>
  <c r="EZ146" i="55"/>
  <c r="BP3" i="40" a="1"/>
  <c r="BP3" i="40" s="1"/>
  <c r="DK197" i="55"/>
  <c r="DO197" i="55" s="1"/>
  <c r="G197" i="55" s="1"/>
  <c r="DP197" i="55" s="1"/>
  <c r="DQ197" i="55" s="1"/>
  <c r="DY197" i="55"/>
  <c r="FS51" i="55"/>
  <c r="GR180" i="55"/>
  <c r="GT180" i="55"/>
  <c r="EZ206" i="55"/>
  <c r="FS228" i="55"/>
  <c r="GM145" i="55"/>
  <c r="CI145" i="55"/>
  <c r="HV145" i="55" s="1"/>
  <c r="T145" i="55" s="1"/>
  <c r="EV145" i="55"/>
  <c r="EW145" i="55" s="1"/>
  <c r="N18" i="42"/>
  <c r="P18" i="42" s="1"/>
  <c r="AE18" i="42" s="1"/>
  <c r="AF18" i="42" s="1"/>
  <c r="N20" i="42"/>
  <c r="P20" i="42" s="1"/>
  <c r="AE20" i="42" s="1"/>
  <c r="AF20" i="42" s="1"/>
  <c r="N21" i="42"/>
  <c r="P21" i="42" s="1"/>
  <c r="AE21" i="42" s="1"/>
  <c r="AF21" i="42" s="1"/>
  <c r="N17" i="42"/>
  <c r="P17" i="42" s="1"/>
  <c r="AE17" i="42" s="1"/>
  <c r="AF17" i="42" s="1"/>
  <c r="N15" i="42"/>
  <c r="P15" i="42" s="1"/>
  <c r="AE15" i="42" s="1"/>
  <c r="AF15" i="42" s="1"/>
  <c r="N16" i="42"/>
  <c r="P16" i="42" s="1"/>
  <c r="AE16" i="42" s="1"/>
  <c r="AF16" i="42" s="1"/>
  <c r="N19" i="42"/>
  <c r="P19" i="42" s="1"/>
  <c r="AE19" i="42" s="1"/>
  <c r="AF19" i="42" s="1"/>
  <c r="N14" i="42"/>
  <c r="P14" i="42" s="1"/>
  <c r="AE14" i="42" s="1"/>
  <c r="AF14" i="42" s="1"/>
  <c r="N13" i="42"/>
  <c r="P13" i="42" s="1"/>
  <c r="AE13" i="42" s="1"/>
  <c r="AF13" i="42" s="1"/>
  <c r="N12" i="42"/>
  <c r="P12" i="42" s="1"/>
  <c r="AE12" i="42" s="1"/>
  <c r="AF12" i="42" s="1"/>
  <c r="GR213" i="55"/>
  <c r="GT213" i="55"/>
  <c r="FS264" i="55"/>
  <c r="GR302" i="55"/>
  <c r="GT302" i="55"/>
  <c r="DK287" i="55"/>
  <c r="DO287" i="55" s="1"/>
  <c r="EZ297" i="55"/>
  <c r="DK112" i="55"/>
  <c r="DO112" i="55" s="1"/>
  <c r="DY112" i="55"/>
  <c r="HQ112" i="55" s="1"/>
  <c r="FS50" i="55"/>
  <c r="CV335" i="55"/>
  <c r="CX335" i="55"/>
  <c r="CW335" i="55"/>
  <c r="CY335" i="55"/>
  <c r="CZ335" i="55"/>
  <c r="DA335" i="55" s="1"/>
  <c r="GR186" i="55"/>
  <c r="GR150" i="55"/>
  <c r="GT150" i="55"/>
  <c r="GK147" i="55"/>
  <c r="HL147" i="55"/>
  <c r="FS197" i="55"/>
  <c r="GR281" i="55"/>
  <c r="GT281" i="55"/>
  <c r="GR76" i="55"/>
  <c r="GT76" i="55"/>
  <c r="EZ241" i="55"/>
  <c r="HL218" i="55"/>
  <c r="GK218" i="55"/>
  <c r="JX35" i="55"/>
  <c r="DM35" i="55"/>
  <c r="JY35" i="55"/>
  <c r="DV35" i="55"/>
  <c r="DW35" i="55" s="1"/>
  <c r="EZ40" i="55"/>
  <c r="EQ4" i="55"/>
  <c r="DM204" i="55"/>
  <c r="DV204" i="55"/>
  <c r="DW204" i="55" s="1"/>
  <c r="JX204" i="55"/>
  <c r="JY204" i="55"/>
  <c r="GR228" i="55"/>
  <c r="GT228" i="55"/>
  <c r="GK165" i="55"/>
  <c r="HL165" i="55"/>
  <c r="DR183" i="55" a="1"/>
  <c r="DR183" i="55" s="1"/>
  <c r="DT183" i="55" s="1"/>
  <c r="DU183" i="55"/>
  <c r="HT183" i="55" s="1"/>
  <c r="II183" i="55"/>
  <c r="GR121" i="55"/>
  <c r="GT121" i="55"/>
  <c r="DV154" i="55"/>
  <c r="DW154" i="55" s="1"/>
  <c r="JY154" i="55"/>
  <c r="JX154" i="55"/>
  <c r="DM154" i="55"/>
  <c r="DQ154" i="55" s="1"/>
  <c r="GM303" i="55"/>
  <c r="CI303" i="55"/>
  <c r="DY139" i="55"/>
  <c r="GM90" i="55"/>
  <c r="CI90" i="55"/>
  <c r="HV90" i="55" s="1"/>
  <c r="T90" i="55" s="1"/>
  <c r="CY254" i="55"/>
  <c r="CX254" i="55"/>
  <c r="CW254" i="55"/>
  <c r="CV254" i="55"/>
  <c r="CZ254" i="55"/>
  <c r="DA254" i="55" s="1"/>
  <c r="GT254" i="55" s="1"/>
  <c r="JC341" i="55"/>
  <c r="GU341" i="55"/>
  <c r="GV341" i="55"/>
  <c r="GW341" i="55" s="1"/>
  <c r="GM62" i="55"/>
  <c r="CI62" i="55"/>
  <c r="CV313" i="55"/>
  <c r="CW313" i="55"/>
  <c r="CX313" i="55"/>
  <c r="CY313" i="55"/>
  <c r="CZ313" i="55"/>
  <c r="DA313" i="55" s="1"/>
  <c r="CV15" i="55"/>
  <c r="CY15" i="55"/>
  <c r="CW15" i="55"/>
  <c r="CX15" i="55"/>
  <c r="CZ15" i="55"/>
  <c r="DA15" i="55" s="1"/>
  <c r="GT15" i="55" s="1"/>
  <c r="GM129" i="55"/>
  <c r="CI129" i="55"/>
  <c r="HV129" i="55" s="1"/>
  <c r="T129" i="55" s="1"/>
  <c r="EV129" i="55"/>
  <c r="EW129" i="55" s="1"/>
  <c r="EZ44" i="55"/>
  <c r="GR197" i="55"/>
  <c r="GT197" i="55"/>
  <c r="DY228" i="55"/>
  <c r="CV249" i="55"/>
  <c r="CW249" i="55"/>
  <c r="CX249" i="55"/>
  <c r="CY249" i="55"/>
  <c r="T249" i="55"/>
  <c r="CZ249" i="55"/>
  <c r="DA249" i="55" s="1"/>
  <c r="GT249" i="55" s="1"/>
  <c r="FS155" i="55"/>
  <c r="FS176" i="55"/>
  <c r="GS28" i="55"/>
  <c r="GM168" i="55"/>
  <c r="CI168" i="55"/>
  <c r="HV168" i="55" s="1"/>
  <c r="T168" i="55" s="1"/>
  <c r="JC243" i="55"/>
  <c r="GV243" i="55"/>
  <c r="GU243" i="55"/>
  <c r="FS236" i="55"/>
  <c r="CV215" i="55"/>
  <c r="CW215" i="55"/>
  <c r="CX215" i="55"/>
  <c r="CY215" i="55"/>
  <c r="CZ215" i="55"/>
  <c r="DA215" i="55" s="1"/>
  <c r="T215" i="55"/>
  <c r="DK101" i="55"/>
  <c r="DY101" i="55"/>
  <c r="GM107" i="55"/>
  <c r="CI107" i="55"/>
  <c r="HV107" i="55" s="1"/>
  <c r="T107" i="55" s="1"/>
  <c r="CY81" i="55"/>
  <c r="CV81" i="55"/>
  <c r="CW81" i="55"/>
  <c r="CX81" i="55"/>
  <c r="T81" i="55"/>
  <c r="CZ81" i="55"/>
  <c r="DA81" i="55" s="1"/>
  <c r="GT81" i="55" s="1"/>
  <c r="FS133" i="55"/>
  <c r="EZ340" i="55"/>
  <c r="GR241" i="55"/>
  <c r="GR254" i="55"/>
  <c r="CV9" i="55"/>
  <c r="CW9" i="55"/>
  <c r="CY9" i="55"/>
  <c r="CX9" i="55"/>
  <c r="CZ9" i="55"/>
  <c r="DA9" i="55" s="1"/>
  <c r="GM273" i="55"/>
  <c r="CI273" i="55"/>
  <c r="HV273" i="55" s="1"/>
  <c r="T273" i="55" s="1"/>
  <c r="JC156" i="55"/>
  <c r="GU156" i="55"/>
  <c r="GV156" i="55"/>
  <c r="GW156" i="55" s="1"/>
  <c r="JC198" i="55"/>
  <c r="GV198" i="55"/>
  <c r="GU198" i="55"/>
  <c r="DK163" i="55"/>
  <c r="DY163" i="55"/>
  <c r="FS302" i="55"/>
  <c r="CY208" i="55"/>
  <c r="CV208" i="55"/>
  <c r="CW208" i="55"/>
  <c r="CX208" i="55"/>
  <c r="T208" i="55"/>
  <c r="CZ208" i="55"/>
  <c r="DA208" i="55" s="1"/>
  <c r="EV62" i="55"/>
  <c r="EW62" i="55" s="1"/>
  <c r="GR191" i="55"/>
  <c r="GT191" i="55"/>
  <c r="GR299" i="55"/>
  <c r="GT299" i="55"/>
  <c r="DK37" i="55"/>
  <c r="DO37" i="55" s="1"/>
  <c r="G37" i="55" s="1"/>
  <c r="DP37" i="55" s="1"/>
  <c r="DQ37" i="55" s="1"/>
  <c r="FS38" i="55"/>
  <c r="FS243" i="55"/>
  <c r="JC325" i="55"/>
  <c r="GU325" i="55"/>
  <c r="GV325" i="55"/>
  <c r="GW325" i="55" s="1"/>
  <c r="GR222" i="55"/>
  <c r="GT222" i="55"/>
  <c r="AX24" i="54"/>
  <c r="AW23" i="54"/>
  <c r="AV22" i="54"/>
  <c r="AU21" i="54"/>
  <c r="AX25" i="54"/>
  <c r="AW24" i="54"/>
  <c r="AV23" i="54"/>
  <c r="AU22" i="54"/>
  <c r="AS19" i="54"/>
  <c r="AX27" i="54"/>
  <c r="AW26" i="54"/>
  <c r="AV25" i="54"/>
  <c r="AU24" i="54"/>
  <c r="AS21" i="54"/>
  <c r="AX29" i="54"/>
  <c r="AV14" i="54"/>
  <c r="AU16" i="54"/>
  <c r="AS22" i="54"/>
  <c r="AH14" i="54"/>
  <c r="W16" i="54"/>
  <c r="AX30" i="54"/>
  <c r="AV15" i="54"/>
  <c r="AU17" i="54"/>
  <c r="AW15" i="54"/>
  <c r="AV17" i="54"/>
  <c r="AU19" i="54"/>
  <c r="AS25" i="54"/>
  <c r="AX14" i="54"/>
  <c r="AW16" i="54"/>
  <c r="AV18" i="54"/>
  <c r="AU20" i="54"/>
  <c r="AS26" i="54"/>
  <c r="W20" i="54"/>
  <c r="AX15" i="54"/>
  <c r="AW21" i="54"/>
  <c r="AV30" i="54"/>
  <c r="AX17" i="54"/>
  <c r="AW25" i="54"/>
  <c r="AU15" i="54"/>
  <c r="AS15" i="54"/>
  <c r="AX18" i="54"/>
  <c r="AW27" i="54"/>
  <c r="AU18" i="54"/>
  <c r="AS16" i="54"/>
  <c r="Z22" i="54"/>
  <c r="W26" i="54"/>
  <c r="AX19" i="54"/>
  <c r="AW28" i="54"/>
  <c r="AU23" i="54"/>
  <c r="AS17" i="54"/>
  <c r="AV16" i="54"/>
  <c r="AX16" i="54"/>
  <c r="AV19" i="54"/>
  <c r="Z16" i="54"/>
  <c r="W24" i="54"/>
  <c r="AX20" i="54"/>
  <c r="AV20" i="54"/>
  <c r="AS18" i="54"/>
  <c r="W25" i="54"/>
  <c r="AX21" i="54"/>
  <c r="AV21" i="54"/>
  <c r="AS20" i="54"/>
  <c r="AF14" i="54"/>
  <c r="W27" i="54"/>
  <c r="AW18" i="54"/>
  <c r="AU29" i="54"/>
  <c r="AS28" i="54"/>
  <c r="AW19" i="54"/>
  <c r="AU30" i="54"/>
  <c r="AS29" i="54"/>
  <c r="W15" i="54"/>
  <c r="AW22" i="54"/>
  <c r="Z24" i="54"/>
  <c r="W18" i="54"/>
  <c r="AW14" i="54"/>
  <c r="AU27" i="54"/>
  <c r="AS24" i="54"/>
  <c r="AW29" i="54"/>
  <c r="Z27" i="54"/>
  <c r="AW30" i="54"/>
  <c r="Z28" i="54"/>
  <c r="AV24" i="54"/>
  <c r="Z29" i="54"/>
  <c r="AV26" i="54"/>
  <c r="AD14" i="54" a="1"/>
  <c r="AD14" i="54" s="1"/>
  <c r="AX23" i="54"/>
  <c r="AX26" i="54"/>
  <c r="AV29" i="54"/>
  <c r="AU14" i="54"/>
  <c r="AU25" i="54"/>
  <c r="AU26" i="54"/>
  <c r="AU28" i="54"/>
  <c r="Z26" i="54"/>
  <c r="AX22" i="54"/>
  <c r="W19" i="54"/>
  <c r="AS30" i="54"/>
  <c r="Z21" i="54"/>
  <c r="W17" i="54"/>
  <c r="AV27" i="54"/>
  <c r="W30" i="54"/>
  <c r="AW17" i="54"/>
  <c r="AW20" i="54"/>
  <c r="AV28" i="54"/>
  <c r="AS27" i="54"/>
  <c r="W21" i="54"/>
  <c r="W22" i="54"/>
  <c r="W28" i="54"/>
  <c r="W29" i="54"/>
  <c r="AX28" i="54"/>
  <c r="GH8" i="55"/>
  <c r="GH24" i="55"/>
  <c r="GH9" i="55"/>
  <c r="GH25" i="55"/>
  <c r="GH10" i="55"/>
  <c r="GH11" i="55"/>
  <c r="GH7" i="55"/>
  <c r="GH12" i="55"/>
  <c r="GH3" i="55"/>
  <c r="GH23" i="55"/>
  <c r="GH16" i="55"/>
  <c r="GH17" i="55"/>
  <c r="GH18" i="55"/>
  <c r="GH20" i="55"/>
  <c r="GH4" i="55"/>
  <c r="GH5" i="55"/>
  <c r="GH6" i="55"/>
  <c r="GH15" i="55"/>
  <c r="GH21" i="55"/>
  <c r="GH22" i="55"/>
  <c r="GH13" i="55"/>
  <c r="GH14" i="55"/>
  <c r="GH19" i="55"/>
  <c r="GR312" i="55"/>
  <c r="GT312" i="55"/>
  <c r="GR190" i="55"/>
  <c r="GT190" i="55"/>
  <c r="DY198" i="55"/>
  <c r="EV324" i="55"/>
  <c r="EW324" i="55" s="1"/>
  <c r="FS71" i="55"/>
  <c r="EV168" i="55"/>
  <c r="EW168" i="55" s="1"/>
  <c r="EZ24" i="55"/>
  <c r="GM234" i="55"/>
  <c r="CI234" i="55"/>
  <c r="HV234" i="55" s="1"/>
  <c r="T234" i="55" s="1"/>
  <c r="DM58" i="55"/>
  <c r="DQ58" i="55" s="1"/>
  <c r="JY58" i="55"/>
  <c r="JX58" i="55"/>
  <c r="DV58" i="55"/>
  <c r="DW58" i="55" s="1"/>
  <c r="HL232" i="55"/>
  <c r="GK232" i="55"/>
  <c r="EZ181" i="55"/>
  <c r="DK213" i="55"/>
  <c r="DO213" i="55" s="1"/>
  <c r="G213" i="55" s="1"/>
  <c r="DP213" i="55" s="1"/>
  <c r="DQ213" i="55" s="1"/>
  <c r="DY213" i="55"/>
  <c r="CY194" i="55"/>
  <c r="CW194" i="55"/>
  <c r="CX194" i="55"/>
  <c r="CV194" i="55"/>
  <c r="T194" i="55"/>
  <c r="CZ194" i="55"/>
  <c r="DA194" i="55" s="1"/>
  <c r="GT194" i="55" s="1"/>
  <c r="GM316" i="55"/>
  <c r="CI316" i="55"/>
  <c r="HV316" i="55" s="1"/>
  <c r="T316" i="55" s="1"/>
  <c r="FS35" i="55"/>
  <c r="EV249" i="55"/>
  <c r="EW249" i="55" s="1"/>
  <c r="EZ314" i="55"/>
  <c r="DY192" i="55"/>
  <c r="EZ262" i="55"/>
  <c r="FS101" i="55"/>
  <c r="CX340" i="55"/>
  <c r="CW340" i="55"/>
  <c r="CY340" i="55"/>
  <c r="CV340" i="55"/>
  <c r="CZ340" i="55"/>
  <c r="DA340" i="55" s="1"/>
  <c r="DK116" i="55"/>
  <c r="DO116" i="55" s="1"/>
  <c r="DY116" i="55"/>
  <c r="GM340" i="55"/>
  <c r="CI340" i="55"/>
  <c r="HV340" i="55" s="1"/>
  <c r="T340" i="55" s="1"/>
  <c r="GR258" i="55"/>
  <c r="GT258" i="55"/>
  <c r="AH19" i="54"/>
  <c r="AF19" i="54"/>
  <c r="AD19" i="54" a="1"/>
  <c r="AD19" i="54" s="1"/>
  <c r="GG102" i="55" s="1"/>
  <c r="GH104" i="55"/>
  <c r="GH120" i="55"/>
  <c r="GH105" i="55"/>
  <c r="GH121" i="55"/>
  <c r="GH106" i="55"/>
  <c r="GH122" i="55"/>
  <c r="GH107" i="55"/>
  <c r="GH123" i="55"/>
  <c r="GH115" i="55"/>
  <c r="GH116" i="55"/>
  <c r="GH111" i="55"/>
  <c r="GH119" i="55"/>
  <c r="GH124" i="55"/>
  <c r="GH125" i="55"/>
  <c r="GH127" i="55"/>
  <c r="GH109" i="55"/>
  <c r="GH110" i="55"/>
  <c r="GH112" i="55"/>
  <c r="GH113" i="55"/>
  <c r="GH103" i="55"/>
  <c r="GH114" i="55"/>
  <c r="GH117" i="55"/>
  <c r="GH108" i="55"/>
  <c r="GH118" i="55"/>
  <c r="GH126" i="55"/>
  <c r="GH129" i="55"/>
  <c r="GH102" i="55"/>
  <c r="GH128" i="55"/>
  <c r="GT289" i="55"/>
  <c r="GR57" i="55"/>
  <c r="CX158" i="55"/>
  <c r="CV158" i="55"/>
  <c r="CY158" i="55"/>
  <c r="CW158" i="55"/>
  <c r="T158" i="55"/>
  <c r="CZ158" i="55"/>
  <c r="DA158" i="55" s="1"/>
  <c r="DR294" i="55" a="1"/>
  <c r="DR294" i="55" s="1"/>
  <c r="DT294" i="55" s="1"/>
  <c r="DU294" i="55"/>
  <c r="HT294" i="55" s="1"/>
  <c r="II294" i="55"/>
  <c r="EZ32" i="55"/>
  <c r="JO80" i="55"/>
  <c r="CV207" i="55"/>
  <c r="CX207" i="55"/>
  <c r="CW207" i="55"/>
  <c r="CY207" i="55"/>
  <c r="CZ207" i="55"/>
  <c r="DA207" i="55" s="1"/>
  <c r="T207" i="55"/>
  <c r="GM344" i="55"/>
  <c r="CI344" i="55"/>
  <c r="HV344" i="55" s="1"/>
  <c r="T344" i="55" s="1"/>
  <c r="JY117" i="55"/>
  <c r="JX117" i="55"/>
  <c r="DV117" i="55"/>
  <c r="DW117" i="55" s="1"/>
  <c r="DM117" i="55"/>
  <c r="DQ117" i="55" s="1"/>
  <c r="EZ265" i="55"/>
  <c r="FS235" i="55"/>
  <c r="CV329" i="55"/>
  <c r="CW329" i="55"/>
  <c r="CY329" i="55"/>
  <c r="CX329" i="55"/>
  <c r="CZ329" i="55"/>
  <c r="DA329" i="55" s="1"/>
  <c r="GT329" i="55" s="1"/>
  <c r="T329" i="55"/>
  <c r="DR126" i="55" a="1"/>
  <c r="DR126" i="55" s="1"/>
  <c r="DT126" i="55" s="1"/>
  <c r="DU126" i="55"/>
  <c r="HT126" i="55" s="1"/>
  <c r="II126" i="55"/>
  <c r="GR125" i="55"/>
  <c r="GT125" i="55"/>
  <c r="GR117" i="55"/>
  <c r="GT117" i="55"/>
  <c r="JX333" i="55"/>
  <c r="DV333" i="55"/>
  <c r="DW333" i="55" s="1"/>
  <c r="DM333" i="55"/>
  <c r="DQ333" i="55" s="1"/>
  <c r="JY333" i="55"/>
  <c r="FU154" i="55"/>
  <c r="L154" i="55" s="1"/>
  <c r="FV154" i="55" s="1"/>
  <c r="GR8" i="55"/>
  <c r="EZ83" i="55"/>
  <c r="HL93" i="55"/>
  <c r="GK93" i="55"/>
  <c r="GR276" i="55"/>
  <c r="GT276" i="55"/>
  <c r="DR327" i="55" a="1"/>
  <c r="DR327" i="55" s="1"/>
  <c r="DT327" i="55" s="1"/>
  <c r="DU327" i="55"/>
  <c r="HT327" i="55" s="1"/>
  <c r="II327" i="55"/>
  <c r="CW238" i="55"/>
  <c r="CY238" i="55"/>
  <c r="CV238" i="55"/>
  <c r="CX238" i="55"/>
  <c r="CZ238" i="55"/>
  <c r="DA238" i="55" s="1"/>
  <c r="GK293" i="55"/>
  <c r="HL293" i="55"/>
  <c r="EZ290" i="55"/>
  <c r="DR341" i="55" a="1"/>
  <c r="DR341" i="55" s="1"/>
  <c r="DT341" i="55" s="1"/>
  <c r="DU341" i="55"/>
  <c r="HT341" i="55" s="1"/>
  <c r="II341" i="55"/>
  <c r="IJ341" i="55" s="1"/>
  <c r="GM124" i="55"/>
  <c r="CI124" i="55"/>
  <c r="HV124" i="55" s="1"/>
  <c r="T124" i="55" s="1"/>
  <c r="EZ21" i="55"/>
  <c r="FU14" i="55"/>
  <c r="L14" i="55" s="1"/>
  <c r="FV14" i="55" s="1"/>
  <c r="FW14" i="55" s="1"/>
  <c r="FS248" i="55"/>
  <c r="EZ136" i="55"/>
  <c r="CY306" i="55"/>
  <c r="CX306" i="55"/>
  <c r="CW306" i="55"/>
  <c r="CV306" i="55"/>
  <c r="T306" i="55"/>
  <c r="CZ306" i="55"/>
  <c r="DA306" i="55" s="1"/>
  <c r="EO73" i="55" a="1"/>
  <c r="EO73" i="55" s="1"/>
  <c r="DK263" i="55"/>
  <c r="DO263" i="55" s="1"/>
  <c r="G263" i="55" s="1"/>
  <c r="DP263" i="55" s="1"/>
  <c r="DQ263" i="55" s="1"/>
  <c r="DY263" i="55"/>
  <c r="FS300" i="55"/>
  <c r="DR156" i="55" a="1"/>
  <c r="DR156" i="55" s="1"/>
  <c r="DT156" i="55" s="1"/>
  <c r="II156" i="55"/>
  <c r="DU156" i="55"/>
  <c r="HT156" i="55" s="1"/>
  <c r="JO187" i="55"/>
  <c r="GR149" i="55"/>
  <c r="GT149" i="55"/>
  <c r="GM239" i="55"/>
  <c r="CI239" i="55"/>
  <c r="HV239" i="55" s="1"/>
  <c r="T239" i="55" s="1"/>
  <c r="EV239" i="55"/>
  <c r="EW239" i="55" s="1"/>
  <c r="DK34" i="55"/>
  <c r="DO34" i="55" s="1"/>
  <c r="G34" i="55" s="1"/>
  <c r="DP34" i="55" s="1"/>
  <c r="DQ34" i="55" s="1"/>
  <c r="DY34" i="55"/>
  <c r="EZ106" i="55"/>
  <c r="FS149" i="55"/>
  <c r="DK155" i="55"/>
  <c r="DO155" i="55" s="1"/>
  <c r="DY155" i="55"/>
  <c r="HQ155" i="55" s="1"/>
  <c r="HL199" i="55"/>
  <c r="GK199" i="55"/>
  <c r="EO181" i="55" a="1"/>
  <c r="EO181" i="55" s="1"/>
  <c r="EZ273" i="55"/>
  <c r="CW64" i="55"/>
  <c r="CY64" i="55"/>
  <c r="CV64" i="55"/>
  <c r="CX64" i="55"/>
  <c r="T64" i="55"/>
  <c r="CZ64" i="55"/>
  <c r="DA64" i="55" s="1"/>
  <c r="DR308" i="55" a="1"/>
  <c r="DR308" i="55" s="1"/>
  <c r="DT308" i="55" s="1"/>
  <c r="DU308" i="55"/>
  <c r="HT308" i="55" s="1"/>
  <c r="II308" i="55"/>
  <c r="FS121" i="55"/>
  <c r="DK177" i="55"/>
  <c r="DY177" i="55"/>
  <c r="GR266" i="55"/>
  <c r="GT266" i="55"/>
  <c r="JC181" i="55"/>
  <c r="GV181" i="55"/>
  <c r="GU181" i="55"/>
  <c r="GR300" i="55"/>
  <c r="GT300" i="55"/>
  <c r="CY144" i="55"/>
  <c r="CV144" i="55"/>
  <c r="CX144" i="55"/>
  <c r="CW144" i="55"/>
  <c r="T144" i="55"/>
  <c r="CZ144" i="55"/>
  <c r="DA144" i="55" s="1"/>
  <c r="GK291" i="55"/>
  <c r="HL291" i="55"/>
  <c r="AH22" i="54"/>
  <c r="AF22" i="54"/>
  <c r="AD22" i="54" a="1"/>
  <c r="AD22" i="54" s="1"/>
  <c r="GG184" i="55" s="1"/>
  <c r="GH184" i="55"/>
  <c r="GH200" i="55"/>
  <c r="GH216" i="55"/>
  <c r="GH185" i="55"/>
  <c r="GH201" i="55"/>
  <c r="GH217" i="55"/>
  <c r="GH186" i="55"/>
  <c r="GH202" i="55"/>
  <c r="GH218" i="55"/>
  <c r="GH187" i="55"/>
  <c r="GH203" i="55"/>
  <c r="GH219" i="55"/>
  <c r="GH199" i="55"/>
  <c r="GH223" i="55"/>
  <c r="GH204" i="55"/>
  <c r="GH195" i="55"/>
  <c r="GH215" i="55"/>
  <c r="GH197" i="55"/>
  <c r="GH198" i="55"/>
  <c r="GH205" i="55"/>
  <c r="GH207" i="55"/>
  <c r="GH212" i="55"/>
  <c r="GH213" i="55"/>
  <c r="GH214" i="55"/>
  <c r="GH188" i="55"/>
  <c r="GH220" i="55"/>
  <c r="GH196" i="55"/>
  <c r="GH208" i="55"/>
  <c r="GH209" i="55"/>
  <c r="GH193" i="55"/>
  <c r="GH190" i="55"/>
  <c r="GH222" i="55"/>
  <c r="GH210" i="55"/>
  <c r="GH221" i="55"/>
  <c r="GH194" i="55"/>
  <c r="GH211" i="55"/>
  <c r="GH206" i="55"/>
  <c r="GH189" i="55"/>
  <c r="GH191" i="55"/>
  <c r="GH192" i="55"/>
  <c r="FS162" i="55"/>
  <c r="EY28" i="55"/>
  <c r="DR53" i="55" a="1"/>
  <c r="DR53" i="55" s="1"/>
  <c r="DT53" i="55" s="1"/>
  <c r="DU53" i="55"/>
  <c r="HT53" i="55" s="1"/>
  <c r="II53" i="55"/>
  <c r="IJ53" i="55" s="1"/>
  <c r="GT291" i="55"/>
  <c r="GR56" i="55"/>
  <c r="CY322" i="55"/>
  <c r="CW322" i="55"/>
  <c r="CV322" i="55"/>
  <c r="CX322" i="55"/>
  <c r="T322" i="55"/>
  <c r="CZ322" i="55"/>
  <c r="DA322" i="55" s="1"/>
  <c r="FS116" i="55"/>
  <c r="FS177" i="55"/>
  <c r="EZ188" i="55"/>
  <c r="EZ237" i="55"/>
  <c r="DK38" i="55"/>
  <c r="DO38" i="55" s="1"/>
  <c r="G38" i="55" s="1"/>
  <c r="DP38" i="55" s="1"/>
  <c r="DQ38" i="55" s="1"/>
  <c r="DY38" i="55"/>
  <c r="EZ300" i="55"/>
  <c r="GR206" i="55"/>
  <c r="GT206" i="55"/>
  <c r="JO209" i="55"/>
  <c r="GM67" i="55"/>
  <c r="CI67" i="55"/>
  <c r="HV67" i="55" s="1"/>
  <c r="T67" i="55" s="1"/>
  <c r="GR152" i="55"/>
  <c r="GT152" i="55"/>
  <c r="DK176" i="55"/>
  <c r="DO176" i="55" s="1"/>
  <c r="DY176" i="55"/>
  <c r="HQ176" i="55" s="1"/>
  <c r="CY146" i="55"/>
  <c r="CX146" i="55"/>
  <c r="CW146" i="55"/>
  <c r="CV146" i="55"/>
  <c r="T146" i="55"/>
  <c r="CZ146" i="55"/>
  <c r="DA146" i="55" s="1"/>
  <c r="GT146" i="55" s="1"/>
  <c r="EZ268" i="55"/>
  <c r="GM57" i="55"/>
  <c r="CI57" i="55"/>
  <c r="HV57" i="55" s="1"/>
  <c r="T57" i="55" s="1"/>
  <c r="EZ269" i="55"/>
  <c r="BN3" i="40" a="1"/>
  <c r="BN3" i="40" s="1"/>
  <c r="FU283" i="55"/>
  <c r="L283" i="55" s="1"/>
  <c r="FV283" i="55" s="1"/>
  <c r="GR236" i="55"/>
  <c r="GT236" i="55"/>
  <c r="FS337" i="55"/>
  <c r="GM191" i="55"/>
  <c r="CI191" i="55"/>
  <c r="GK159" i="55"/>
  <c r="HL159" i="55"/>
  <c r="GR79" i="55"/>
  <c r="GT79" i="55"/>
  <c r="EZ100" i="55"/>
  <c r="HL48" i="55"/>
  <c r="GK48" i="55"/>
  <c r="JC298" i="55"/>
  <c r="GV298" i="55"/>
  <c r="GU298" i="55"/>
  <c r="DR14" i="55" a="1"/>
  <c r="DR14" i="55" s="1"/>
  <c r="DT14" i="55" s="1"/>
  <c r="II14" i="55"/>
  <c r="IJ14" i="55" s="1"/>
  <c r="DU14" i="55"/>
  <c r="HT14" i="55" s="1"/>
  <c r="DR307" i="55" a="1"/>
  <c r="DR307" i="55" s="1"/>
  <c r="DT307" i="55" s="1"/>
  <c r="II307" i="55"/>
  <c r="DU307" i="55"/>
  <c r="HT307" i="55" s="1"/>
  <c r="GM78" i="55"/>
  <c r="CI78" i="55"/>
  <c r="HV78" i="55" s="1"/>
  <c r="T78" i="55" s="1"/>
  <c r="DK327" i="55"/>
  <c r="DO327" i="55" s="1"/>
  <c r="DY327" i="55"/>
  <c r="EZ231" i="55"/>
  <c r="EZ60" i="55"/>
  <c r="GR221" i="55"/>
  <c r="GT221" i="55"/>
  <c r="JC326" i="55"/>
  <c r="GV326" i="55"/>
  <c r="GW326" i="55" s="1"/>
  <c r="GU326" i="55"/>
  <c r="GM324" i="55"/>
  <c r="CI324" i="55"/>
  <c r="HV324" i="55" s="1"/>
  <c r="T324" i="55" s="1"/>
  <c r="DK71" i="55"/>
  <c r="DO71" i="55" s="1"/>
  <c r="DY71" i="55"/>
  <c r="JX283" i="55"/>
  <c r="DV283" i="55"/>
  <c r="DW283" i="55" s="1"/>
  <c r="JY283" i="55"/>
  <c r="DM283" i="55"/>
  <c r="DQ283" i="55" s="1"/>
  <c r="CW182" i="55"/>
  <c r="CV182" i="55"/>
  <c r="CX182" i="55"/>
  <c r="CY182" i="55"/>
  <c r="CZ182" i="55"/>
  <c r="DA182" i="55" s="1"/>
  <c r="T182" i="55"/>
  <c r="CV270" i="55"/>
  <c r="CY270" i="55"/>
  <c r="CX270" i="55"/>
  <c r="CW270" i="55"/>
  <c r="CZ270" i="55"/>
  <c r="DA270" i="55" s="1"/>
  <c r="T270" i="55"/>
  <c r="GR140" i="55"/>
  <c r="DK231" i="55"/>
  <c r="DO231" i="55" s="1"/>
  <c r="G231" i="55" s="1"/>
  <c r="DP231" i="55" s="1"/>
  <c r="DQ231" i="55" s="1"/>
  <c r="DY231" i="55"/>
  <c r="FE27" i="55"/>
  <c r="FB27" i="55"/>
  <c r="ER27" i="55"/>
  <c r="ES27" i="55"/>
  <c r="FC27" i="55"/>
  <c r="FD27" i="55" s="1"/>
  <c r="HS27" i="55" s="1"/>
  <c r="HU27" i="55" s="1"/>
  <c r="FA27" i="55"/>
  <c r="CV8" i="55"/>
  <c r="CY8" i="55"/>
  <c r="CX8" i="55"/>
  <c r="CW8" i="55"/>
  <c r="CZ8" i="55"/>
  <c r="DA8" i="55" s="1"/>
  <c r="FS204" i="55"/>
  <c r="FS281" i="55"/>
  <c r="GV308" i="55"/>
  <c r="GW308" i="55" s="1"/>
  <c r="JC308" i="55"/>
  <c r="GU308" i="55"/>
  <c r="JC287" i="55"/>
  <c r="GU287" i="55"/>
  <c r="GV287" i="55"/>
  <c r="GW287" i="55" s="1"/>
  <c r="CV120" i="55"/>
  <c r="CX120" i="55"/>
  <c r="CY120" i="55"/>
  <c r="CW120" i="55"/>
  <c r="CZ120" i="55"/>
  <c r="DA120" i="55" s="1"/>
  <c r="T120" i="55"/>
  <c r="EZ185" i="55"/>
  <c r="GK302" i="55"/>
  <c r="HL302" i="55"/>
  <c r="GT271" i="55"/>
  <c r="GT165" i="55"/>
  <c r="GR165" i="55"/>
  <c r="FS284" i="55"/>
  <c r="CX96" i="55"/>
  <c r="CV96" i="55"/>
  <c r="CY96" i="55"/>
  <c r="CW96" i="55"/>
  <c r="CZ96" i="55"/>
  <c r="DA96" i="55" s="1"/>
  <c r="GR153" i="55"/>
  <c r="GT153" i="55"/>
  <c r="FS231" i="55"/>
  <c r="FS213" i="55"/>
  <c r="GR101" i="55"/>
  <c r="GT101" i="55"/>
  <c r="DK165" i="55"/>
  <c r="DO165" i="55" s="1"/>
  <c r="DY165" i="55"/>
  <c r="GM323" i="55"/>
  <c r="CI323" i="55"/>
  <c r="HV323" i="55" s="1"/>
  <c r="T323" i="55" s="1"/>
  <c r="FS332" i="55"/>
  <c r="CV186" i="55"/>
  <c r="CW186" i="55"/>
  <c r="CX186" i="55"/>
  <c r="CY186" i="55"/>
  <c r="T186" i="55"/>
  <c r="CZ186" i="55"/>
  <c r="DA186" i="55" s="1"/>
  <c r="DK192" i="55"/>
  <c r="DO192" i="55" s="1"/>
  <c r="G192" i="55" s="1"/>
  <c r="DP192" i="55" s="1"/>
  <c r="DQ192" i="55" s="1"/>
  <c r="GT311" i="55"/>
  <c r="DK251" i="55"/>
  <c r="DO251" i="55" s="1"/>
  <c r="G251" i="55" s="1"/>
  <c r="DP251" i="55" s="1"/>
  <c r="DQ251" i="55" s="1"/>
  <c r="DY251" i="55"/>
  <c r="EZ151" i="55"/>
  <c r="HL278" i="55"/>
  <c r="GK278" i="55"/>
  <c r="GM96" i="55"/>
  <c r="CI96" i="55"/>
  <c r="HV96" i="55" s="1"/>
  <c r="T96" i="55" s="1"/>
  <c r="GR268" i="55"/>
  <c r="EZ59" i="55"/>
  <c r="EZ351" i="55"/>
  <c r="GR98" i="55"/>
  <c r="GT98" i="55"/>
  <c r="DR66" i="55" a="1"/>
  <c r="DR66" i="55" s="1"/>
  <c r="DT66" i="55" s="1"/>
  <c r="II66" i="55"/>
  <c r="DU66" i="55"/>
  <c r="HT66" i="55" s="1"/>
  <c r="GR66" i="55"/>
  <c r="GT66" i="55"/>
  <c r="JC225" i="55"/>
  <c r="GV225" i="55"/>
  <c r="GW225" i="55" s="1"/>
  <c r="GU225" i="55"/>
  <c r="DM291" i="55"/>
  <c r="DQ291" i="55" s="1"/>
  <c r="JX291" i="55"/>
  <c r="JY291" i="55"/>
  <c r="DV291" i="55"/>
  <c r="DW291" i="55" s="1"/>
  <c r="EV63" i="55"/>
  <c r="EW63" i="55" s="1"/>
  <c r="EZ166" i="55"/>
  <c r="GM73" i="55"/>
  <c r="CI73" i="55"/>
  <c r="HV73" i="55" s="1"/>
  <c r="T73" i="55" s="1"/>
  <c r="EZ344" i="55"/>
  <c r="EZ310" i="55"/>
  <c r="DR72" i="55" a="1"/>
  <c r="DR72" i="55" s="1"/>
  <c r="DT72" i="55" s="1"/>
  <c r="II72" i="55"/>
  <c r="DU72" i="55"/>
  <c r="HT72" i="55" s="1"/>
  <c r="DR311" i="55" a="1"/>
  <c r="DR311" i="55" s="1"/>
  <c r="DT311" i="55" s="1"/>
  <c r="II311" i="55"/>
  <c r="DU311" i="55"/>
  <c r="HT311" i="55" s="1"/>
  <c r="GM114" i="55"/>
  <c r="CI114" i="55"/>
  <c r="HV114" i="55" s="1"/>
  <c r="T114" i="55" s="1"/>
  <c r="GR103" i="55"/>
  <c r="GT103" i="55"/>
  <c r="GR112" i="55"/>
  <c r="GT112" i="55"/>
  <c r="FS333" i="55"/>
  <c r="DR103" i="55" a="1"/>
  <c r="DR103" i="55" s="1"/>
  <c r="DT103" i="55" s="1"/>
  <c r="DU103" i="55"/>
  <c r="HT103" i="55" s="1"/>
  <c r="II103" i="55"/>
  <c r="GR282" i="55"/>
  <c r="GT282" i="55"/>
  <c r="FS180" i="55"/>
  <c r="GR17" i="55"/>
  <c r="GT17" i="55"/>
  <c r="GR261" i="55"/>
  <c r="GT261" i="55"/>
  <c r="JX83" i="55"/>
  <c r="JY83" i="55"/>
  <c r="DM83" i="55"/>
  <c r="DQ83" i="55" s="1"/>
  <c r="DV83" i="55"/>
  <c r="DW83" i="55" s="1"/>
  <c r="FS259" i="55"/>
  <c r="CW45" i="55"/>
  <c r="CY45" i="55"/>
  <c r="CX45" i="55"/>
  <c r="CV45" i="55"/>
  <c r="CZ45" i="55"/>
  <c r="DA45" i="55" s="1"/>
  <c r="T45" i="55"/>
  <c r="EZ56" i="55"/>
  <c r="BV22" i="54"/>
  <c r="CV167" i="55"/>
  <c r="CW167" i="55"/>
  <c r="CX167" i="55"/>
  <c r="CY167" i="55"/>
  <c r="CZ167" i="55"/>
  <c r="DA167" i="55" s="1"/>
  <c r="GR329" i="55"/>
  <c r="CI172" i="55"/>
  <c r="HV172" i="55" s="1"/>
  <c r="T172" i="55" s="1"/>
  <c r="GM172" i="55"/>
  <c r="DR336" i="55" a="1"/>
  <c r="DR336" i="55" s="1"/>
  <c r="DT336" i="55" s="1"/>
  <c r="II336" i="55"/>
  <c r="IJ336" i="55" s="1"/>
  <c r="DU336" i="55"/>
  <c r="HT336" i="55" s="1"/>
  <c r="DY248" i="55"/>
  <c r="CY253" i="55"/>
  <c r="CV253" i="55"/>
  <c r="CW253" i="55"/>
  <c r="CX253" i="55"/>
  <c r="T253" i="55"/>
  <c r="CZ253" i="55"/>
  <c r="DA253" i="55" s="1"/>
  <c r="GT253" i="55" s="1"/>
  <c r="GM86" i="55"/>
  <c r="CI86" i="55"/>
  <c r="HV86" i="55" s="1"/>
  <c r="T86" i="55" s="1"/>
  <c r="CW218" i="55"/>
  <c r="CV218" i="55"/>
  <c r="CX218" i="55"/>
  <c r="CY218" i="55"/>
  <c r="CZ218" i="55"/>
  <c r="DA218" i="55" s="1"/>
  <c r="GT218" i="55" s="1"/>
  <c r="T218" i="55"/>
  <c r="GT139" i="55"/>
  <c r="FS263" i="55"/>
  <c r="FS285" i="55"/>
  <c r="DK298" i="55"/>
  <c r="DY298" i="55"/>
  <c r="EZ104" i="55"/>
  <c r="CX339" i="55"/>
  <c r="CY339" i="55"/>
  <c r="CV339" i="55"/>
  <c r="CW339" i="55"/>
  <c r="CZ339" i="55"/>
  <c r="DA339" i="55" s="1"/>
  <c r="T339" i="55"/>
  <c r="DK233" i="55"/>
  <c r="DO233" i="55" s="1"/>
  <c r="G233" i="55" s="1"/>
  <c r="DP233" i="55" s="1"/>
  <c r="DQ233" i="55" s="1"/>
  <c r="DY233" i="55"/>
  <c r="FS153" i="55"/>
  <c r="FS131" i="55"/>
  <c r="GR146" i="55"/>
  <c r="GR251" i="55"/>
  <c r="GT251" i="55"/>
  <c r="FS287" i="55"/>
  <c r="GR137" i="55"/>
  <c r="FS34" i="55"/>
  <c r="CX323" i="55"/>
  <c r="CY323" i="55"/>
  <c r="CW323" i="55"/>
  <c r="CV323" i="55"/>
  <c r="CZ323" i="55"/>
  <c r="DA323" i="55" s="1"/>
  <c r="GM274" i="55"/>
  <c r="CI274" i="55"/>
  <c r="HV274" i="55" s="1"/>
  <c r="T274" i="55" s="1"/>
  <c r="DK149" i="55"/>
  <c r="DO149" i="55" s="1"/>
  <c r="G149" i="55" s="1"/>
  <c r="DP149" i="55" s="1"/>
  <c r="DQ149" i="55" s="1"/>
  <c r="DY149" i="55"/>
  <c r="GM271" i="55"/>
  <c r="CI271" i="55"/>
  <c r="HV271" i="55" s="1"/>
  <c r="T271" i="55" s="1"/>
  <c r="EV271" i="55"/>
  <c r="EW271" i="55" s="1"/>
  <c r="EZ212" i="55"/>
  <c r="DY271" i="55"/>
  <c r="GM121" i="55"/>
  <c r="CI121" i="55"/>
  <c r="HV121" i="55" s="1"/>
  <c r="T121" i="55" s="1"/>
  <c r="FS233" i="55"/>
  <c r="FS132" i="55"/>
  <c r="EZ103" i="55"/>
  <c r="CW262" i="55"/>
  <c r="CX262" i="55"/>
  <c r="CV262" i="55"/>
  <c r="CY262" i="55"/>
  <c r="T262" i="55"/>
  <c r="CZ262" i="55"/>
  <c r="DA262" i="55" s="1"/>
  <c r="CW301" i="55"/>
  <c r="CY301" i="55"/>
  <c r="CX301" i="55"/>
  <c r="CV301" i="55"/>
  <c r="CZ301" i="55"/>
  <c r="DA301" i="55" s="1"/>
  <c r="T301" i="55"/>
  <c r="DR105" i="55" a="1"/>
  <c r="DR105" i="55" s="1"/>
  <c r="DT105" i="55" s="1"/>
  <c r="II105" i="55"/>
  <c r="DU105" i="55"/>
  <c r="HT105" i="55" s="1"/>
  <c r="CX31" i="55"/>
  <c r="CW31" i="55"/>
  <c r="CY31" i="55"/>
  <c r="CV31" i="55"/>
  <c r="CZ31" i="55"/>
  <c r="DA31" i="55" s="1"/>
  <c r="CY82" i="55"/>
  <c r="CX82" i="55"/>
  <c r="CW82" i="55"/>
  <c r="CV82" i="55"/>
  <c r="CZ82" i="55"/>
  <c r="DA82" i="55" s="1"/>
  <c r="GT82" i="55" s="1"/>
  <c r="T82" i="55"/>
  <c r="CY42" i="55"/>
  <c r="CX42" i="55"/>
  <c r="CV42" i="55"/>
  <c r="CW42" i="55"/>
  <c r="T42" i="55"/>
  <c r="CZ42" i="55"/>
  <c r="DA42" i="55" s="1"/>
  <c r="EO75" i="55" a="1"/>
  <c r="EO75" i="55" s="1"/>
  <c r="EZ119" i="55"/>
  <c r="EO169" i="55" a="1"/>
  <c r="EO169" i="55" s="1"/>
  <c r="GR272" i="55"/>
  <c r="GT272" i="55"/>
  <c r="FS327" i="55"/>
  <c r="CW109" i="55"/>
  <c r="CX109" i="55"/>
  <c r="CY109" i="55"/>
  <c r="CV109" i="55"/>
  <c r="CZ109" i="55"/>
  <c r="DA109" i="55" s="1"/>
  <c r="GT109" i="55" s="1"/>
  <c r="T109" i="55"/>
  <c r="CY189" i="55"/>
  <c r="CV189" i="55"/>
  <c r="CX189" i="55"/>
  <c r="CW189" i="55"/>
  <c r="CZ189" i="55"/>
  <c r="DA189" i="55" s="1"/>
  <c r="GR113" i="55"/>
  <c r="GR105" i="55"/>
  <c r="GT105" i="55"/>
  <c r="DY173" i="55"/>
  <c r="GR15" i="55"/>
  <c r="EV303" i="55"/>
  <c r="EW303" i="55" s="1"/>
  <c r="EZ190" i="55"/>
  <c r="JY259" i="55"/>
  <c r="JX259" i="55"/>
  <c r="DM259" i="55"/>
  <c r="DV259" i="55"/>
  <c r="DW259" i="55" s="1"/>
  <c r="EZ338" i="55"/>
  <c r="DV345" i="55"/>
  <c r="DW345" i="55" s="1"/>
  <c r="DM345" i="55"/>
  <c r="DQ345" i="55" s="1"/>
  <c r="JX345" i="55"/>
  <c r="JY345" i="55"/>
  <c r="CX140" i="55"/>
  <c r="CW140" i="55"/>
  <c r="CV140" i="55"/>
  <c r="CY140" i="55"/>
  <c r="T140" i="55"/>
  <c r="CZ140" i="55"/>
  <c r="DA140" i="55" s="1"/>
  <c r="GT140" i="55" s="1"/>
  <c r="EZ270" i="55"/>
  <c r="EO100" i="55" a="1"/>
  <c r="EO100" i="55" s="1"/>
  <c r="GR333" i="55"/>
  <c r="GT333" i="55"/>
  <c r="FU12" i="55"/>
  <c r="L12" i="55" s="1"/>
  <c r="FV12" i="55" s="1"/>
  <c r="FW12" i="55" s="1"/>
  <c r="GR318" i="55"/>
  <c r="GT318" i="55"/>
  <c r="GR334" i="55"/>
  <c r="JC119" i="55"/>
  <c r="GU119" i="55"/>
  <c r="GV119" i="55"/>
  <c r="CX224" i="55"/>
  <c r="CW224" i="55"/>
  <c r="CY224" i="55"/>
  <c r="CV224" i="55"/>
  <c r="CZ224" i="55"/>
  <c r="DA224" i="55" s="1"/>
  <c r="EZ68" i="55"/>
  <c r="GR201" i="55"/>
  <c r="GT201" i="55"/>
  <c r="DY150" i="55"/>
  <c r="EZ170" i="55"/>
  <c r="EZ198" i="55"/>
  <c r="EQ3" i="55"/>
  <c r="DK309" i="55"/>
  <c r="DO309" i="55" s="1"/>
  <c r="DY309" i="55"/>
  <c r="GR317" i="55"/>
  <c r="GT317" i="55"/>
  <c r="GR169" i="55"/>
  <c r="GT169" i="55"/>
  <c r="DK261" i="55"/>
  <c r="DO261" i="55" s="1"/>
  <c r="G261" i="55" s="1"/>
  <c r="DP261" i="55" s="1"/>
  <c r="DQ261" i="55" s="1"/>
  <c r="DY261" i="55"/>
  <c r="BV28" i="54"/>
  <c r="DK73" i="55"/>
  <c r="DO73" i="55" s="1"/>
  <c r="GR187" i="55"/>
  <c r="GT187" i="55"/>
  <c r="EZ122" i="55"/>
  <c r="FU53" i="55"/>
  <c r="L53" i="55" s="1"/>
  <c r="FV53" i="55" s="1"/>
  <c r="FS58" i="55"/>
  <c r="DV290" i="55"/>
  <c r="DW290" i="55" s="1"/>
  <c r="DM290" i="55"/>
  <c r="DQ290" i="55" s="1"/>
  <c r="JY290" i="55"/>
  <c r="JX290" i="55"/>
  <c r="DV88" i="55"/>
  <c r="DW88" i="55" s="1"/>
  <c r="JX88" i="55"/>
  <c r="JY88" i="55"/>
  <c r="DM88" i="55"/>
  <c r="DQ88" i="55" s="1"/>
  <c r="EZ163" i="55"/>
  <c r="DK284" i="55"/>
  <c r="DY284" i="55"/>
  <c r="DV101" i="55"/>
  <c r="DW101" i="55" s="1"/>
  <c r="JX101" i="55"/>
  <c r="JY101" i="55"/>
  <c r="DM101" i="55"/>
  <c r="DQ101" i="55" s="1"/>
  <c r="GR143" i="55"/>
  <c r="GR171" i="55"/>
  <c r="GT171" i="55"/>
  <c r="DY193" i="55"/>
  <c r="DV187" i="55"/>
  <c r="DW187" i="55" s="1"/>
  <c r="JY187" i="55"/>
  <c r="JX187" i="55"/>
  <c r="DM187" i="55"/>
  <c r="FS165" i="55"/>
  <c r="EZ182" i="55"/>
  <c r="FS99" i="55"/>
  <c r="CY274" i="55"/>
  <c r="CW274" i="55"/>
  <c r="CV274" i="55"/>
  <c r="CX274" i="55"/>
  <c r="CZ274" i="55"/>
  <c r="DA274" i="55" s="1"/>
  <c r="FS251" i="55"/>
  <c r="GM151" i="55"/>
  <c r="CI151" i="55"/>
  <c r="HV151" i="55" s="1"/>
  <c r="T151" i="55" s="1"/>
  <c r="DV177" i="55"/>
  <c r="DW177" i="55" s="1"/>
  <c r="JY177" i="55"/>
  <c r="JX177" i="55"/>
  <c r="DM177" i="55"/>
  <c r="DQ177" i="55" s="1"/>
  <c r="EO175" i="55" a="1"/>
  <c r="EO175" i="55" s="1"/>
  <c r="FS226" i="55"/>
  <c r="JY135" i="55"/>
  <c r="DV135" i="55"/>
  <c r="DW135" i="55" s="1"/>
  <c r="JX135" i="55"/>
  <c r="DM135" i="55"/>
  <c r="CV232" i="55"/>
  <c r="CY232" i="55"/>
  <c r="CX232" i="55"/>
  <c r="CW232" i="55"/>
  <c r="T232" i="55"/>
  <c r="CZ232" i="55"/>
  <c r="DA232" i="55" s="1"/>
  <c r="GR280" i="55"/>
  <c r="EZ247" i="55"/>
  <c r="FU84" i="55"/>
  <c r="L84" i="55" s="1"/>
  <c r="FV84" i="55" s="1"/>
  <c r="FW84" i="55" s="1"/>
  <c r="FS84" i="55"/>
  <c r="GR62" i="55"/>
  <c r="GT62" i="55"/>
  <c r="GR273" i="55"/>
  <c r="GT273" i="55"/>
  <c r="DM129" i="55"/>
  <c r="DQ129" i="55" s="1"/>
  <c r="JY129" i="55"/>
  <c r="JX129" i="55"/>
  <c r="DV129" i="55"/>
  <c r="DW129" i="55" s="1"/>
  <c r="EY50" i="55"/>
  <c r="GR175" i="55"/>
  <c r="GT175" i="55"/>
  <c r="JO37" i="55"/>
  <c r="GM166" i="55"/>
  <c r="CI166" i="55"/>
  <c r="CW310" i="55"/>
  <c r="CV310" i="55"/>
  <c r="CX310" i="55"/>
  <c r="CY310" i="55"/>
  <c r="T310" i="55"/>
  <c r="CZ310" i="55"/>
  <c r="DA310" i="55" s="1"/>
  <c r="EZ74" i="55"/>
  <c r="CY209" i="55"/>
  <c r="CV209" i="55"/>
  <c r="CW209" i="55"/>
  <c r="CX209" i="55"/>
  <c r="T209" i="55"/>
  <c r="CZ209" i="55"/>
  <c r="DA209" i="55" s="1"/>
  <c r="DK235" i="55"/>
  <c r="DY235" i="55"/>
  <c r="DV23" i="55"/>
  <c r="DW23" i="55" s="1"/>
  <c r="JX23" i="55"/>
  <c r="JY23" i="55"/>
  <c r="DM23" i="55"/>
  <c r="DQ23" i="55" s="1"/>
  <c r="EZ120" i="55"/>
  <c r="EV114" i="55"/>
  <c r="EW114" i="55" s="1"/>
  <c r="CV334" i="55"/>
  <c r="CW334" i="55"/>
  <c r="CX334" i="55"/>
  <c r="CY334" i="55"/>
  <c r="CZ334" i="55"/>
  <c r="DA334" i="55" s="1"/>
  <c r="GR145" i="55"/>
  <c r="GR124" i="55"/>
  <c r="JC102" i="55"/>
  <c r="GU102" i="55"/>
  <c r="GV102" i="55" s="1"/>
  <c r="GW102" i="55" s="1"/>
  <c r="CV203" i="55"/>
  <c r="CX203" i="55"/>
  <c r="CW203" i="55"/>
  <c r="CY203" i="55"/>
  <c r="T203" i="55"/>
  <c r="CZ203" i="55"/>
  <c r="DA203" i="55" s="1"/>
  <c r="DY229" i="55"/>
  <c r="GR128" i="55"/>
  <c r="GR129" i="55" s="1"/>
  <c r="GT128" i="55"/>
  <c r="FS173" i="55"/>
  <c r="GT4" i="55"/>
  <c r="JC307" i="55"/>
  <c r="GV307" i="55"/>
  <c r="GW307" i="55" s="1"/>
  <c r="GU307" i="55"/>
  <c r="DM157" i="55"/>
  <c r="DQ157" i="55" s="1"/>
  <c r="JX157" i="55"/>
  <c r="GT157" i="55"/>
  <c r="DV157" i="55"/>
  <c r="DW157" i="55" s="1"/>
  <c r="JY157" i="55"/>
  <c r="GM139" i="55"/>
  <c r="CI139" i="55"/>
  <c r="HV139" i="55" s="1"/>
  <c r="T139" i="55" s="1"/>
  <c r="EZ345" i="55"/>
  <c r="EZ133" i="55"/>
  <c r="DK345" i="55"/>
  <c r="DY345" i="55"/>
  <c r="HL189" i="55"/>
  <c r="GK189" i="55"/>
  <c r="GR328" i="55"/>
  <c r="GT328" i="55"/>
  <c r="EO130" i="55" a="1"/>
  <c r="EO130" i="55" s="1"/>
  <c r="W130" i="55"/>
  <c r="DV63" i="55"/>
  <c r="DW63" i="55" s="1"/>
  <c r="JY63" i="55"/>
  <c r="JX63" i="55"/>
  <c r="DM63" i="55"/>
  <c r="DQ63" i="55" s="1"/>
  <c r="DM92" i="55"/>
  <c r="DQ92" i="55" s="1"/>
  <c r="DV92" i="55"/>
  <c r="DW92" i="55" s="1"/>
  <c r="JY92" i="55"/>
  <c r="JX92" i="55"/>
  <c r="DR164" i="55" a="1"/>
  <c r="DR164" i="55" s="1"/>
  <c r="DT164" i="55" s="1"/>
  <c r="DU164" i="55"/>
  <c r="HT164" i="55" s="1"/>
  <c r="II164" i="55"/>
  <c r="GR147" i="55"/>
  <c r="GT147" i="55"/>
  <c r="FS211" i="55"/>
  <c r="EZ98" i="55"/>
  <c r="DM296" i="55"/>
  <c r="DQ296" i="55" s="1"/>
  <c r="JX296" i="55"/>
  <c r="JY296" i="55"/>
  <c r="DV296" i="55"/>
  <c r="DW296" i="55" s="1"/>
  <c r="JY202" i="55"/>
  <c r="JX202" i="55"/>
  <c r="DM202" i="55"/>
  <c r="DV202" i="55"/>
  <c r="DW202" i="55" s="1"/>
  <c r="JX141" i="55"/>
  <c r="JY141" i="55"/>
  <c r="DV141" i="55"/>
  <c r="DW141" i="55" s="1"/>
  <c r="DM141" i="55"/>
  <c r="FS298" i="55"/>
  <c r="GK339" i="55"/>
  <c r="HL339" i="55"/>
  <c r="HL161" i="55"/>
  <c r="GK161" i="55"/>
  <c r="FS112" i="55"/>
  <c r="GR173" i="55"/>
  <c r="GT173" i="55"/>
  <c r="DK162" i="55"/>
  <c r="DO162" i="55" s="1"/>
  <c r="DY162" i="55"/>
  <c r="CX148" i="55"/>
  <c r="CW148" i="55"/>
  <c r="CY148" i="55"/>
  <c r="CV148" i="55"/>
  <c r="CZ148" i="55"/>
  <c r="DA148" i="55" s="1"/>
  <c r="EV47" i="55"/>
  <c r="EW47" i="55" s="1"/>
  <c r="GR346" i="55"/>
  <c r="GT346" i="55"/>
  <c r="FS66" i="55"/>
  <c r="DK236" i="55"/>
  <c r="DY236" i="55"/>
  <c r="JC55" i="55"/>
  <c r="GU55" i="55"/>
  <c r="GV55" i="55"/>
  <c r="GW55" i="55" s="1"/>
  <c r="GT274" i="55"/>
  <c r="AH23" i="54"/>
  <c r="AF23" i="54"/>
  <c r="AD23" i="54" a="1"/>
  <c r="AD23" i="54" s="1"/>
  <c r="GG224" i="55" s="1"/>
  <c r="GH232" i="55"/>
  <c r="GH248" i="55"/>
  <c r="GH264" i="55"/>
  <c r="GH280" i="55"/>
  <c r="GH233" i="55"/>
  <c r="GH249" i="55"/>
  <c r="GH265" i="55"/>
  <c r="GH281" i="55"/>
  <c r="GH234" i="55"/>
  <c r="GH250" i="55"/>
  <c r="GH266" i="55"/>
  <c r="GH282" i="55"/>
  <c r="GH235" i="55"/>
  <c r="GH251" i="55"/>
  <c r="GH267" i="55"/>
  <c r="GH243" i="55"/>
  <c r="GH263" i="55"/>
  <c r="GH224" i="55"/>
  <c r="GH244" i="55"/>
  <c r="GH268" i="55"/>
  <c r="GH239" i="55"/>
  <c r="GH259" i="55"/>
  <c r="GH279" i="55"/>
  <c r="GH226" i="55"/>
  <c r="GH253" i="55"/>
  <c r="GH276" i="55"/>
  <c r="GH227" i="55"/>
  <c r="GH254" i="55"/>
  <c r="GH277" i="55"/>
  <c r="GH228" i="55"/>
  <c r="GH255" i="55"/>
  <c r="GH278" i="55"/>
  <c r="GH230" i="55"/>
  <c r="GH257" i="55"/>
  <c r="GH246" i="55"/>
  <c r="GH247" i="55"/>
  <c r="GH252" i="55"/>
  <c r="GH256" i="55"/>
  <c r="GH242" i="55"/>
  <c r="GH258" i="55"/>
  <c r="GH260" i="55"/>
  <c r="GH240" i="55"/>
  <c r="GH236" i="55"/>
  <c r="GH237" i="55"/>
  <c r="GH238" i="55"/>
  <c r="GH245" i="55"/>
  <c r="GH229" i="55"/>
  <c r="GH231" i="55"/>
  <c r="GH261" i="55"/>
  <c r="GH262" i="55"/>
  <c r="GH269" i="55"/>
  <c r="GH270" i="55"/>
  <c r="GH271" i="55"/>
  <c r="GH225" i="55"/>
  <c r="GH241" i="55"/>
  <c r="GH272" i="55"/>
  <c r="GH273" i="55"/>
  <c r="GH274" i="55"/>
  <c r="GH275" i="55"/>
  <c r="FS100" i="55"/>
  <c r="GM212" i="55"/>
  <c r="CI212" i="55"/>
  <c r="FU336" i="55"/>
  <c r="L336" i="55" s="1"/>
  <c r="FV336" i="55" s="1"/>
  <c r="FW336" i="55" s="1"/>
  <c r="EV121" i="55"/>
  <c r="EW121" i="55" s="1"/>
  <c r="AH17" i="54"/>
  <c r="AF17" i="54"/>
  <c r="AD17" i="54" a="1"/>
  <c r="AD17" i="54" s="1"/>
  <c r="GG53" i="55" s="1"/>
  <c r="GH56" i="55"/>
  <c r="GH72" i="55"/>
  <c r="GH57" i="55"/>
  <c r="GH73" i="55"/>
  <c r="GH58" i="55"/>
  <c r="GH74" i="55"/>
  <c r="GH59" i="55"/>
  <c r="GH75" i="55"/>
  <c r="GH71" i="55"/>
  <c r="GH76" i="55"/>
  <c r="GH67" i="55"/>
  <c r="GH87" i="55"/>
  <c r="GH66" i="55"/>
  <c r="GH68" i="55"/>
  <c r="GH69" i="55"/>
  <c r="GH77" i="55"/>
  <c r="GH78" i="55"/>
  <c r="GH79" i="55"/>
  <c r="GH80" i="55"/>
  <c r="GH81" i="55"/>
  <c r="GH61" i="55"/>
  <c r="GH63" i="55"/>
  <c r="GH64" i="55"/>
  <c r="GH55" i="55"/>
  <c r="GH53" i="55"/>
  <c r="GH54" i="55"/>
  <c r="GH62" i="55"/>
  <c r="GH60" i="55"/>
  <c r="GH70" i="55"/>
  <c r="GH82" i="55"/>
  <c r="GH84" i="55"/>
  <c r="GH83" i="55"/>
  <c r="GH86" i="55"/>
  <c r="GH65" i="55"/>
  <c r="GH85" i="55"/>
  <c r="GR202" i="55"/>
  <c r="GT202" i="55"/>
  <c r="GR234" i="55"/>
  <c r="EZ164" i="55"/>
  <c r="GM321" i="55"/>
  <c r="CI321" i="55"/>
  <c r="HV321" i="55" s="1"/>
  <c r="T321" i="55" s="1"/>
  <c r="CV59" i="55"/>
  <c r="CX59" i="55"/>
  <c r="CW59" i="55"/>
  <c r="CY59" i="55"/>
  <c r="CZ59" i="55"/>
  <c r="DA59" i="55" s="1"/>
  <c r="T59" i="55"/>
  <c r="CY33" i="55"/>
  <c r="CX33" i="55"/>
  <c r="CW33" i="55"/>
  <c r="CV33" i="55"/>
  <c r="CZ33" i="55"/>
  <c r="DA33" i="55" s="1"/>
  <c r="T33" i="55"/>
  <c r="BH3" i="40" a="1"/>
  <c r="BH3" i="40" s="1"/>
  <c r="DY69" i="55"/>
  <c r="HQ69" i="55" s="1"/>
  <c r="FS346" i="55"/>
  <c r="GR242" i="55"/>
  <c r="GT242" i="55"/>
  <c r="DK337" i="55"/>
  <c r="DO337" i="55" s="1"/>
  <c r="DY337" i="55"/>
  <c r="GM264" i="55"/>
  <c r="CI264" i="55"/>
  <c r="HV264" i="55" s="1"/>
  <c r="T264" i="55" s="1"/>
  <c r="CY124" i="55"/>
  <c r="CV124" i="55"/>
  <c r="CX124" i="55"/>
  <c r="CW124" i="55"/>
  <c r="CZ124" i="55"/>
  <c r="DA124" i="55" s="1"/>
  <c r="GT124" i="55" s="1"/>
  <c r="DV252" i="55"/>
  <c r="DW252" i="55" s="1"/>
  <c r="JY252" i="55"/>
  <c r="JX252" i="55"/>
  <c r="DM252" i="55"/>
  <c r="CV107" i="55"/>
  <c r="CY107" i="55"/>
  <c r="CX107" i="55"/>
  <c r="CW107" i="55"/>
  <c r="CZ107" i="55"/>
  <c r="DA107" i="55" s="1"/>
  <c r="GT107" i="55" s="1"/>
  <c r="GR290" i="55"/>
  <c r="GT290" i="55"/>
  <c r="DK147" i="55"/>
  <c r="DO147" i="55" s="1"/>
  <c r="G147" i="55" s="1"/>
  <c r="DP147" i="55" s="1"/>
  <c r="DQ147" i="55" s="1"/>
  <c r="DY147" i="55"/>
  <c r="JY284" i="55"/>
  <c r="JX284" i="55"/>
  <c r="DV284" i="55"/>
  <c r="DW284" i="55" s="1"/>
  <c r="GT284" i="55"/>
  <c r="DM284" i="55"/>
  <c r="DQ284" i="55" s="1"/>
  <c r="DV25" i="55"/>
  <c r="DW25" i="55" s="1"/>
  <c r="JX25" i="55"/>
  <c r="JY25" i="55"/>
  <c r="CV43" i="55"/>
  <c r="CY43" i="55"/>
  <c r="CX43" i="55"/>
  <c r="CW43" i="55"/>
  <c r="T43" i="55"/>
  <c r="CZ43" i="55"/>
  <c r="DA43" i="55" s="1"/>
  <c r="GR256" i="55"/>
  <c r="FS69" i="55"/>
  <c r="DK133" i="55"/>
  <c r="DO133" i="55" s="1"/>
  <c r="G133" i="55" s="1"/>
  <c r="DP133" i="55" s="1"/>
  <c r="DQ133" i="55" s="1"/>
  <c r="DY133" i="55"/>
  <c r="HL257" i="55"/>
  <c r="GK257" i="55"/>
  <c r="AH30" i="54"/>
  <c r="AF30" i="54"/>
  <c r="AD30" i="54" a="1"/>
  <c r="AD30" i="54" s="1"/>
  <c r="GG341" i="55" s="1"/>
  <c r="GH344" i="55"/>
  <c r="GH345" i="55"/>
  <c r="GH346" i="55"/>
  <c r="GH347" i="55"/>
  <c r="GH351" i="55"/>
  <c r="GH352" i="55"/>
  <c r="GH343" i="55"/>
  <c r="GH342" i="55"/>
  <c r="GH348" i="55"/>
  <c r="GH350" i="55"/>
  <c r="GH349" i="55"/>
  <c r="GH341" i="55"/>
  <c r="GR81" i="55"/>
  <c r="DM26" i="55"/>
  <c r="DQ26" i="55" s="1"/>
  <c r="JX26" i="55"/>
  <c r="JY26" i="55"/>
  <c r="DV26" i="55"/>
  <c r="DW26" i="55" s="1"/>
  <c r="EZ141" i="55"/>
  <c r="DV235" i="55"/>
  <c r="DW235" i="55" s="1"/>
  <c r="DM235" i="55"/>
  <c r="JY235" i="55"/>
  <c r="JX235" i="55"/>
  <c r="DK242" i="55"/>
  <c r="DO242" i="55" s="1"/>
  <c r="G242" i="55" s="1"/>
  <c r="DP242" i="55" s="1"/>
  <c r="DQ242" i="55" s="1"/>
  <c r="DY242" i="55"/>
  <c r="GR122" i="55"/>
  <c r="GT122" i="55"/>
  <c r="DR85" i="55" a="1"/>
  <c r="DR85" i="55" s="1"/>
  <c r="DT85" i="55" s="1"/>
  <c r="II85" i="55"/>
  <c r="IJ85" i="55" s="1"/>
  <c r="DU85" i="55"/>
  <c r="HT85" i="55" s="1"/>
  <c r="GR13" i="55"/>
  <c r="GT13" i="55"/>
  <c r="EZ99" i="55"/>
  <c r="DK331" i="55"/>
  <c r="DO331" i="55" s="1"/>
  <c r="DY331" i="55"/>
  <c r="CY210" i="55"/>
  <c r="CV210" i="55"/>
  <c r="CW210" i="55"/>
  <c r="CX210" i="55"/>
  <c r="CZ210" i="55"/>
  <c r="DA210" i="55" s="1"/>
  <c r="GT210" i="55" s="1"/>
  <c r="GM199" i="55"/>
  <c r="CI199" i="55"/>
  <c r="JX298" i="55"/>
  <c r="JY298" i="55"/>
  <c r="DM298" i="55"/>
  <c r="DQ298" i="55" s="1"/>
  <c r="DV298" i="55"/>
  <c r="DW298" i="55" s="1"/>
  <c r="EZ108" i="55"/>
  <c r="GR223" i="55"/>
  <c r="GM125" i="55"/>
  <c r="CI125" i="55"/>
  <c r="HV125" i="55" s="1"/>
  <c r="T125" i="55" s="1"/>
  <c r="EV125" i="55"/>
  <c r="EW125" i="55" s="1"/>
  <c r="AH27" i="54"/>
  <c r="AD27" i="54" a="1"/>
  <c r="AD27" i="54" s="1"/>
  <c r="GG325" i="55" s="1"/>
  <c r="AF27" i="54"/>
  <c r="GH328" i="55"/>
  <c r="GH329" i="55"/>
  <c r="GH327" i="55"/>
  <c r="GH326" i="55"/>
  <c r="GH325" i="55"/>
  <c r="FS41" i="55"/>
  <c r="DR295" i="55" a="1"/>
  <c r="DR295" i="55" s="1"/>
  <c r="DT295" i="55" s="1"/>
  <c r="HQ295" i="55"/>
  <c r="DU295" i="55"/>
  <c r="HT295" i="55" s="1"/>
  <c r="II295" i="55"/>
  <c r="DR245" i="55" a="1"/>
  <c r="DR245" i="55" s="1"/>
  <c r="DT245" i="55" s="1"/>
  <c r="CY241" i="55"/>
  <c r="CV241" i="55"/>
  <c r="CW241" i="55"/>
  <c r="CX241" i="55"/>
  <c r="CZ241" i="55"/>
  <c r="DA241" i="55" s="1"/>
  <c r="GT241" i="55" s="1"/>
  <c r="T241" i="55"/>
  <c r="GR200" i="55"/>
  <c r="GT200" i="55"/>
  <c r="DK198" i="55"/>
  <c r="DO198" i="55" s="1"/>
  <c r="G198" i="55" s="1"/>
  <c r="DP198" i="55" s="1"/>
  <c r="DQ198" i="55" s="1"/>
  <c r="GT11" i="55"/>
  <c r="DK150" i="55"/>
  <c r="DO150" i="55" s="1"/>
  <c r="G150" i="55" s="1"/>
  <c r="DP150" i="55" s="1"/>
  <c r="DQ150" i="55" s="1"/>
  <c r="DY276" i="55"/>
  <c r="JO22" i="55"/>
  <c r="GM332" i="55"/>
  <c r="CI332" i="55"/>
  <c r="HV332" i="55" s="1"/>
  <c r="T332" i="55" s="1"/>
  <c r="EV332" i="55"/>
  <c r="EW332" i="55" s="1"/>
  <c r="GT215" i="55"/>
  <c r="CY188" i="55"/>
  <c r="CV188" i="55"/>
  <c r="CW188" i="55"/>
  <c r="CX188" i="55"/>
  <c r="T188" i="55"/>
  <c r="CZ188" i="55"/>
  <c r="DA188" i="55" s="1"/>
  <c r="GR174" i="55"/>
  <c r="GT174" i="55"/>
  <c r="FS309" i="55"/>
  <c r="GR320" i="55"/>
  <c r="GT320" i="55"/>
  <c r="GR159" i="55"/>
  <c r="GT159" i="55"/>
  <c r="FS261" i="55"/>
  <c r="DK243" i="55"/>
  <c r="DO243" i="55" s="1"/>
  <c r="G243" i="55" s="1"/>
  <c r="DP243" i="55" s="1"/>
  <c r="DQ243" i="55" s="1"/>
  <c r="DY243" i="55"/>
  <c r="GM346" i="55"/>
  <c r="CI346" i="55"/>
  <c r="HV346" i="55" s="1"/>
  <c r="T346" i="55" s="1"/>
  <c r="GR209" i="55"/>
  <c r="HL178" i="55"/>
  <c r="GK178" i="55"/>
  <c r="GR305" i="55"/>
  <c r="GT305" i="55"/>
  <c r="GR208" i="55"/>
  <c r="GT208" i="55"/>
  <c r="DK58" i="55"/>
  <c r="DY58" i="55"/>
  <c r="DV151" i="55"/>
  <c r="DW151" i="55" s="1"/>
  <c r="JX151" i="55"/>
  <c r="JY151" i="55"/>
  <c r="DM151" i="55"/>
  <c r="GR82" i="55"/>
  <c r="GT131" i="55"/>
  <c r="GR350" i="55"/>
  <c r="GT350" i="55"/>
  <c r="EZ245" i="55"/>
  <c r="EV281" i="55"/>
  <c r="EW281" i="55" s="1"/>
  <c r="DV51" i="55"/>
  <c r="DW51" i="55" s="1"/>
  <c r="DM51" i="55"/>
  <c r="JX51" i="55"/>
  <c r="JY51" i="55"/>
  <c r="DK193" i="55"/>
  <c r="DO193" i="55" s="1"/>
  <c r="G193" i="55" s="1"/>
  <c r="DP193" i="55" s="1"/>
  <c r="DQ193" i="55" s="1"/>
  <c r="DK35" i="55"/>
  <c r="DO35" i="55" s="1"/>
  <c r="G35" i="55" s="1"/>
  <c r="DP35" i="55" s="1"/>
  <c r="DQ35" i="55" s="1"/>
  <c r="DY35" i="55"/>
  <c r="CW44" i="55"/>
  <c r="CV44" i="55"/>
  <c r="CY44" i="55"/>
  <c r="CX44" i="55"/>
  <c r="T44" i="55"/>
  <c r="CZ44" i="55"/>
  <c r="DA44" i="55" s="1"/>
  <c r="DK247" i="55"/>
  <c r="DO247" i="55" s="1"/>
  <c r="G247" i="55" s="1"/>
  <c r="DP247" i="55" s="1"/>
  <c r="DQ247" i="55" s="1"/>
  <c r="DY247" i="55"/>
  <c r="GM350" i="55"/>
  <c r="CI350" i="55"/>
  <c r="HV350" i="55" s="1"/>
  <c r="T350" i="55" s="1"/>
  <c r="JX349" i="55"/>
  <c r="DM349" i="55"/>
  <c r="DQ349" i="55" s="1"/>
  <c r="JY349" i="55"/>
  <c r="DV349" i="55"/>
  <c r="DW349" i="55" s="1"/>
  <c r="GT349" i="55"/>
  <c r="DK204" i="55"/>
  <c r="DY204" i="55"/>
  <c r="CY316" i="55"/>
  <c r="CV316" i="55"/>
  <c r="CX316" i="55"/>
  <c r="CW316" i="55"/>
  <c r="CZ316" i="55"/>
  <c r="DA316" i="55" s="1"/>
  <c r="GL280" i="55"/>
  <c r="FP280" i="55"/>
  <c r="FK280" i="55"/>
  <c r="AL23" i="54" s="1"/>
  <c r="AS23" i="54" s="1"/>
  <c r="FQ280" i="55"/>
  <c r="AO23" i="54" s="1"/>
  <c r="FJ280" i="55"/>
  <c r="AK23" i="54" s="1"/>
  <c r="W23" i="54" s="1"/>
  <c r="O280" i="55" a="1"/>
  <c r="O280" i="55" s="1"/>
  <c r="FR280" i="55"/>
  <c r="AP23" i="54" s="1"/>
  <c r="GM91" i="55"/>
  <c r="CI91" i="55"/>
  <c r="HV91" i="55" s="1"/>
  <c r="T91" i="55" s="1"/>
  <c r="EZ347" i="55"/>
  <c r="JC166" i="55"/>
  <c r="GV166" i="55"/>
  <c r="GU166" i="55"/>
  <c r="CX288" i="55"/>
  <c r="CY288" i="55"/>
  <c r="CV288" i="55"/>
  <c r="CW288" i="55"/>
  <c r="T288" i="55"/>
  <c r="CZ288" i="55"/>
  <c r="DA288" i="55" s="1"/>
  <c r="DK226" i="55"/>
  <c r="DO226" i="55" s="1"/>
  <c r="G226" i="55" s="1"/>
  <c r="DP226" i="55" s="1"/>
  <c r="DQ226" i="55" s="1"/>
  <c r="DY226" i="55"/>
  <c r="GR248" i="55"/>
  <c r="GT248" i="55"/>
  <c r="GM348" i="55"/>
  <c r="CI348" i="55"/>
  <c r="HV348" i="55" s="1"/>
  <c r="T348" i="55" s="1"/>
  <c r="DK84" i="55"/>
  <c r="DY84" i="55"/>
  <c r="GT97" i="55"/>
  <c r="GR231" i="55"/>
  <c r="GT231" i="55"/>
  <c r="EZ349" i="55"/>
  <c r="HL11" i="55"/>
  <c r="GK11" i="55"/>
  <c r="GK50" i="55"/>
  <c r="HL50" i="55"/>
  <c r="GR80" i="55"/>
  <c r="GT80" i="55"/>
  <c r="DK129" i="55"/>
  <c r="DY129" i="55"/>
  <c r="GR216" i="55"/>
  <c r="GT216" i="55"/>
  <c r="CV184" i="55"/>
  <c r="CX184" i="55"/>
  <c r="CY184" i="55"/>
  <c r="CW184" i="55"/>
  <c r="CZ184" i="55"/>
  <c r="DA184" i="55" s="1"/>
  <c r="EZ144" i="55"/>
  <c r="FS291" i="55"/>
  <c r="EO304" i="55" a="1"/>
  <c r="EO304" i="55" s="1"/>
  <c r="DR69" i="55" a="1"/>
  <c r="DR69" i="55" s="1"/>
  <c r="DT69" i="55" s="1"/>
  <c r="DU69" i="55"/>
  <c r="HT69" i="55" s="1"/>
  <c r="II69" i="55"/>
  <c r="EZ306" i="55"/>
  <c r="DM89" i="55"/>
  <c r="DQ89" i="55" s="1"/>
  <c r="DV89" i="55"/>
  <c r="DW89" i="55" s="1"/>
  <c r="JX89" i="55"/>
  <c r="JY89" i="55"/>
  <c r="GT89" i="55"/>
  <c r="JO208" i="55"/>
  <c r="JU208" i="55" s="1"/>
  <c r="GM92" i="55"/>
  <c r="CI92" i="55"/>
  <c r="HV92" i="55" s="1"/>
  <c r="T92" i="55" s="1"/>
  <c r="CY106" i="55"/>
  <c r="CW106" i="55"/>
  <c r="CV106" i="55"/>
  <c r="CX106" i="55"/>
  <c r="T106" i="55"/>
  <c r="CZ106" i="55"/>
  <c r="DA106" i="55" s="1"/>
  <c r="GT106" i="55" s="1"/>
  <c r="DR165" i="55" a="1"/>
  <c r="DR165" i="55" s="1"/>
  <c r="DT165" i="55" s="1"/>
  <c r="II165" i="55"/>
  <c r="DU165" i="55"/>
  <c r="HT165" i="55" s="1"/>
  <c r="GR118" i="55"/>
  <c r="GT118" i="55"/>
  <c r="GM255" i="55"/>
  <c r="CI255" i="55"/>
  <c r="HV255" i="55" s="1"/>
  <c r="T255" i="55" s="1"/>
  <c r="FS23" i="55"/>
  <c r="EZ261" i="55"/>
  <c r="DK229" i="55"/>
  <c r="DO229" i="55" s="1"/>
  <c r="G229" i="55" s="1"/>
  <c r="DP229" i="55" s="1"/>
  <c r="DQ229" i="55" s="1"/>
  <c r="GR7" i="55"/>
  <c r="GT7" i="55"/>
  <c r="GR23" i="55"/>
  <c r="GT23" i="55"/>
  <c r="DK157" i="55"/>
  <c r="DO157" i="55" s="1"/>
  <c r="DY157" i="55"/>
  <c r="FU83" i="55"/>
  <c r="L83" i="55" s="1"/>
  <c r="FV83" i="55" s="1"/>
  <c r="FW83" i="55" s="1"/>
  <c r="FS83" i="55"/>
  <c r="DK259" i="55"/>
  <c r="DY259" i="55"/>
  <c r="DR6" i="55" a="1"/>
  <c r="DR6" i="55" s="1"/>
  <c r="DT6" i="55" s="1"/>
  <c r="II6" i="55"/>
  <c r="DU6" i="55"/>
  <c r="HT6" i="55" s="1"/>
  <c r="CV122" i="55"/>
  <c r="CY122" i="55"/>
  <c r="CX122" i="55"/>
  <c r="CW122" i="55"/>
  <c r="CZ122" i="55"/>
  <c r="DA122" i="55" s="1"/>
  <c r="T122" i="55"/>
  <c r="CW342" i="55"/>
  <c r="CY342" i="55"/>
  <c r="CX342" i="55"/>
  <c r="CV342" i="55"/>
  <c r="T342" i="55"/>
  <c r="CZ342" i="55"/>
  <c r="DA342" i="55" s="1"/>
  <c r="CX350" i="55"/>
  <c r="CY350" i="55"/>
  <c r="CV350" i="55"/>
  <c r="CW350" i="55"/>
  <c r="CZ350" i="55"/>
  <c r="DA350" i="55" s="1"/>
  <c r="GT327" i="55"/>
  <c r="CX77" i="55"/>
  <c r="CY77" i="55"/>
  <c r="CW77" i="55"/>
  <c r="CV77" i="55"/>
  <c r="T77" i="55"/>
  <c r="CZ77" i="55"/>
  <c r="DA77" i="55" s="1"/>
  <c r="GT77" i="55" s="1"/>
  <c r="JY217" i="55"/>
  <c r="DV217" i="55"/>
  <c r="DW217" i="55" s="1"/>
  <c r="JX217" i="55"/>
  <c r="DM217" i="55"/>
  <c r="DY92" i="55"/>
  <c r="GK33" i="55"/>
  <c r="HL33" i="55"/>
  <c r="HL41" i="55"/>
  <c r="GK41" i="55"/>
  <c r="GR142" i="55"/>
  <c r="GT142" i="55"/>
  <c r="GS27" i="55"/>
  <c r="DK296" i="55"/>
  <c r="DY296" i="55"/>
  <c r="FS202" i="55"/>
  <c r="EZ75" i="55"/>
  <c r="JO30" i="55"/>
  <c r="JU30" i="55" s="1"/>
  <c r="W8" i="42"/>
  <c r="AA25" i="42"/>
  <c r="AB6" i="42"/>
  <c r="Z6" i="42"/>
  <c r="AD8" i="42"/>
  <c r="AC33" i="42"/>
  <c r="AC55" i="42" s="1"/>
  <c r="AD10" i="42" s="1"/>
  <c r="AD7" i="42"/>
  <c r="Y15" i="42"/>
  <c r="Z7" i="42" s="1"/>
  <c r="JC151" i="55" l="1"/>
  <c r="HQ164" i="55"/>
  <c r="HQ162" i="55"/>
  <c r="DY121" i="55"/>
  <c r="GU226" i="55"/>
  <c r="HV294" i="55"/>
  <c r="T294" i="55" s="1"/>
  <c r="DK294" i="55"/>
  <c r="DO294" i="55" s="1"/>
  <c r="DY294" i="55"/>
  <c r="HQ294" i="55" s="1"/>
  <c r="DK248" i="55"/>
  <c r="DO248" i="55" s="1"/>
  <c r="G248" i="55" s="1"/>
  <c r="DP248" i="55" s="1"/>
  <c r="DQ248" i="55" s="1"/>
  <c r="HQ126" i="55"/>
  <c r="DO300" i="55"/>
  <c r="GV226" i="55"/>
  <c r="GW226" i="55" s="1"/>
  <c r="HV48" i="55"/>
  <c r="T48" i="55" s="1"/>
  <c r="DK48" i="55"/>
  <c r="DO48" i="55" s="1"/>
  <c r="G48" i="55" s="1"/>
  <c r="DP48" i="55" s="1"/>
  <c r="DQ48" i="55" s="1"/>
  <c r="DY76" i="55"/>
  <c r="HQ76" i="55" s="1"/>
  <c r="DY41" i="55"/>
  <c r="HQ245" i="55"/>
  <c r="DK41" i="55"/>
  <c r="DO41" i="55" s="1"/>
  <c r="G41" i="55" s="1"/>
  <c r="DP41" i="55" s="1"/>
  <c r="DQ41" i="55" s="1"/>
  <c r="DY312" i="55"/>
  <c r="JU301" i="55"/>
  <c r="JV301" i="55" s="1"/>
  <c r="DY225" i="55"/>
  <c r="II265" i="55"/>
  <c r="DK312" i="55"/>
  <c r="DY100" i="55"/>
  <c r="HQ100" i="55" s="1"/>
  <c r="JC31" i="55"/>
  <c r="GU31" i="55"/>
  <c r="GU32" i="55" s="1"/>
  <c r="DK225" i="55"/>
  <c r="DO225" i="55" s="1"/>
  <c r="G225" i="55" s="1"/>
  <c r="DP225" i="55" s="1"/>
  <c r="DQ225" i="55" s="1"/>
  <c r="DR225" i="55" s="1" a="1"/>
  <c r="DR225" i="55" s="1"/>
  <c r="DU265" i="55"/>
  <c r="HT265" i="55" s="1"/>
  <c r="DO84" i="55"/>
  <c r="GV151" i="55"/>
  <c r="GW151" i="55" s="1"/>
  <c r="DO302" i="55"/>
  <c r="HQ307" i="55"/>
  <c r="DY86" i="55"/>
  <c r="DY63" i="55"/>
  <c r="DY216" i="55"/>
  <c r="DY217" i="55"/>
  <c r="DK86" i="55"/>
  <c r="DO86" i="55" s="1"/>
  <c r="DK63" i="55"/>
  <c r="DK216" i="55"/>
  <c r="DK217" i="55"/>
  <c r="GK76" i="55"/>
  <c r="JO76" i="55" s="1"/>
  <c r="DK22" i="55"/>
  <c r="DY22" i="55"/>
  <c r="DO259" i="55"/>
  <c r="G259" i="55" s="1"/>
  <c r="DP259" i="55" s="1"/>
  <c r="DQ259" i="55" s="1"/>
  <c r="DR259" i="55" s="1" a="1"/>
  <c r="DR259" i="55" s="1"/>
  <c r="HQ165" i="55"/>
  <c r="DY73" i="55"/>
  <c r="HQ73" i="55" s="1"/>
  <c r="DO298" i="55"/>
  <c r="DO205" i="55"/>
  <c r="G205" i="55" s="1"/>
  <c r="DP205" i="55" s="1"/>
  <c r="DQ205" i="55" s="1"/>
  <c r="II205" i="55" s="1"/>
  <c r="JX22" i="55"/>
  <c r="DV22" i="55"/>
  <c r="DW22" i="55" s="1"/>
  <c r="JY22" i="55"/>
  <c r="DM22" i="55"/>
  <c r="DQ22" i="55" s="1"/>
  <c r="GT22" i="55"/>
  <c r="DK228" i="55"/>
  <c r="DO228" i="55" s="1"/>
  <c r="G228" i="55" s="1"/>
  <c r="DP228" i="55" s="1"/>
  <c r="DQ228" i="55" s="1"/>
  <c r="DR228" i="55" s="1" a="1"/>
  <c r="DR228" i="55" s="1"/>
  <c r="DT228" i="55" s="1"/>
  <c r="DK332" i="55"/>
  <c r="DO332" i="55" s="1"/>
  <c r="DY195" i="55"/>
  <c r="HQ86" i="55"/>
  <c r="DK195" i="55"/>
  <c r="DO195" i="55" s="1"/>
  <c r="G195" i="55" s="1"/>
  <c r="DP195" i="55" s="1"/>
  <c r="DQ195" i="55" s="1"/>
  <c r="DR195" i="55" s="1" a="1"/>
  <c r="DR195" i="55" s="1"/>
  <c r="DT195" i="55" s="1"/>
  <c r="DO211" i="55"/>
  <c r="G211" i="55" s="1"/>
  <c r="DP211" i="55" s="1"/>
  <c r="DQ211" i="55" s="1"/>
  <c r="II211" i="55" s="1"/>
  <c r="DY180" i="55"/>
  <c r="DO236" i="55"/>
  <c r="G236" i="55" s="1"/>
  <c r="DP236" i="55" s="1"/>
  <c r="DQ236" i="55" s="1"/>
  <c r="HQ236" i="55" s="1"/>
  <c r="DO277" i="55"/>
  <c r="G277" i="55" s="1"/>
  <c r="DP277" i="55" s="1"/>
  <c r="DQ277" i="55" s="1"/>
  <c r="GV100" i="55"/>
  <c r="DO11" i="55"/>
  <c r="G11" i="55" s="1"/>
  <c r="DP11" i="55" s="1"/>
  <c r="DQ11" i="55" s="1"/>
  <c r="DO349" i="55"/>
  <c r="GV162" i="55"/>
  <c r="GW162" i="55" s="1"/>
  <c r="GU162" i="55"/>
  <c r="DY72" i="55"/>
  <c r="DY255" i="55"/>
  <c r="GU100" i="55"/>
  <c r="DY348" i="55"/>
  <c r="W14" i="54"/>
  <c r="BQ4" i="55" s="1"/>
  <c r="E4" i="55" s="1"/>
  <c r="BR4" i="55" s="1"/>
  <c r="DK72" i="55"/>
  <c r="DO72" i="55" s="1"/>
  <c r="DK255" i="55"/>
  <c r="DO255" i="55" s="1"/>
  <c r="G255" i="55" s="1"/>
  <c r="DP255" i="55" s="1"/>
  <c r="DQ255" i="55" s="1"/>
  <c r="II255" i="55" s="1"/>
  <c r="DY273" i="55"/>
  <c r="HV85" i="55"/>
  <c r="T85" i="55" s="1"/>
  <c r="DK85" i="55"/>
  <c r="DO85" i="55" s="1"/>
  <c r="DY85" i="55"/>
  <c r="HQ85" i="55" s="1"/>
  <c r="AP3" i="40" a="1"/>
  <c r="AP3" i="40" s="1"/>
  <c r="HQ309" i="55"/>
  <c r="JV30" i="55"/>
  <c r="DY264" i="55"/>
  <c r="DK173" i="55"/>
  <c r="DO173" i="55" s="1"/>
  <c r="DK132" i="55"/>
  <c r="DO132" i="55" s="1"/>
  <c r="G132" i="55" s="1"/>
  <c r="DP132" i="55" s="1"/>
  <c r="DQ132" i="55" s="1"/>
  <c r="II132" i="55" s="1"/>
  <c r="IJ132" i="55" s="1"/>
  <c r="HQ6" i="55"/>
  <c r="DU245" i="55"/>
  <c r="HT245" i="55" s="1"/>
  <c r="DK264" i="55"/>
  <c r="DO264" i="55" s="1"/>
  <c r="G264" i="55" s="1"/>
  <c r="DP264" i="55" s="1"/>
  <c r="DQ264" i="55" s="1"/>
  <c r="HQ327" i="55"/>
  <c r="DK346" i="55"/>
  <c r="DO346" i="55" s="1"/>
  <c r="AB3" i="40" a="1"/>
  <c r="AB3" i="40" s="1"/>
  <c r="DY79" i="55"/>
  <c r="JC224" i="55"/>
  <c r="GU224" i="55"/>
  <c r="GV224" i="55" s="1"/>
  <c r="GW224" i="55" s="1"/>
  <c r="FU22" i="55"/>
  <c r="L22" i="55" s="1"/>
  <c r="FV22" i="55" s="1"/>
  <c r="FW22" i="55" s="1"/>
  <c r="FS22" i="55"/>
  <c r="DK92" i="55"/>
  <c r="DO92" i="55" s="1"/>
  <c r="DO345" i="55"/>
  <c r="DK271" i="55"/>
  <c r="DO271" i="55" s="1"/>
  <c r="G271" i="55" s="1"/>
  <c r="DP271" i="55" s="1"/>
  <c r="DQ271" i="55" s="1"/>
  <c r="DK139" i="55"/>
  <c r="DO139" i="55" s="1"/>
  <c r="G139" i="55" s="1"/>
  <c r="DP139" i="55" s="1"/>
  <c r="DQ139" i="55" s="1"/>
  <c r="DK143" i="55"/>
  <c r="DO143" i="55" s="1"/>
  <c r="G143" i="55" s="1"/>
  <c r="DP143" i="55" s="1"/>
  <c r="DQ143" i="55" s="1"/>
  <c r="II143" i="55" s="1"/>
  <c r="IJ143" i="55" s="1"/>
  <c r="Z14" i="54"/>
  <c r="Z23" i="54"/>
  <c r="JC257" i="55"/>
  <c r="GU257" i="55"/>
  <c r="GV257" i="55"/>
  <c r="JC146" i="55"/>
  <c r="GV146" i="55"/>
  <c r="GU146" i="55"/>
  <c r="JC82" i="55"/>
  <c r="GV82" i="55"/>
  <c r="GW82" i="55" s="1"/>
  <c r="GU82" i="55"/>
  <c r="JC250" i="55"/>
  <c r="GV250" i="55"/>
  <c r="GU250" i="55"/>
  <c r="JC106" i="55"/>
  <c r="GV106" i="55"/>
  <c r="GW106" i="55" s="1"/>
  <c r="GU106" i="55"/>
  <c r="JC124" i="55"/>
  <c r="GU124" i="55"/>
  <c r="GV124" i="55"/>
  <c r="JC218" i="55"/>
  <c r="GV218" i="55"/>
  <c r="GU218" i="55"/>
  <c r="JC254" i="55"/>
  <c r="GU254" i="55"/>
  <c r="GV254" i="55"/>
  <c r="JC293" i="55"/>
  <c r="GU293" i="55"/>
  <c r="GV293" i="55"/>
  <c r="GW293" i="55" s="1"/>
  <c r="JC297" i="55"/>
  <c r="GU297" i="55"/>
  <c r="GV297" i="55"/>
  <c r="JC194" i="55"/>
  <c r="GU194" i="55"/>
  <c r="GV194" i="55"/>
  <c r="GW194" i="55" s="1"/>
  <c r="BA23" i="54"/>
  <c r="AT23" i="54" a="1"/>
  <c r="AT23" i="54" s="1"/>
  <c r="JC140" i="55"/>
  <c r="GU140" i="55"/>
  <c r="GV140" i="55"/>
  <c r="JO161" i="55"/>
  <c r="JU161" i="55" s="1"/>
  <c r="DR296" i="55" a="1"/>
  <c r="DR296" i="55" s="1"/>
  <c r="DT296" i="55" s="1"/>
  <c r="II296" i="55"/>
  <c r="DU296" i="55"/>
  <c r="HT296" i="55" s="1"/>
  <c r="FS109" i="55"/>
  <c r="FS339" i="55"/>
  <c r="JC112" i="55"/>
  <c r="GU112" i="55"/>
  <c r="GV112" i="55"/>
  <c r="FS186" i="55"/>
  <c r="FS182" i="55"/>
  <c r="JC221" i="55"/>
  <c r="GU221" i="55"/>
  <c r="GV221" i="55"/>
  <c r="GW221" i="55" s="1"/>
  <c r="JV222" i="55"/>
  <c r="CE16" i="55" a="1"/>
  <c r="CE16" i="55" s="1"/>
  <c r="CE313" i="55" a="1"/>
  <c r="CE313" i="55" s="1"/>
  <c r="AS14" i="54"/>
  <c r="DV286" i="55"/>
  <c r="DW286" i="55" s="1"/>
  <c r="JY286" i="55"/>
  <c r="JX286" i="55"/>
  <c r="DM286" i="55"/>
  <c r="DQ286" i="55" s="1"/>
  <c r="GT286" i="55"/>
  <c r="EO166" i="55" a="1"/>
  <c r="EO166" i="55" s="1"/>
  <c r="FS172" i="55"/>
  <c r="DK297" i="55"/>
  <c r="DY297" i="55"/>
  <c r="EO292" i="55" a="1"/>
  <c r="EO292" i="55" s="1"/>
  <c r="DV27" i="55"/>
  <c r="DW27" i="55" s="1"/>
  <c r="DM27" i="55"/>
  <c r="JX27" i="55"/>
  <c r="JY27" i="55"/>
  <c r="DV347" i="55"/>
  <c r="DW347" i="55" s="1"/>
  <c r="JY347" i="55"/>
  <c r="JX347" i="55"/>
  <c r="DM347" i="55"/>
  <c r="DQ347" i="55" s="1"/>
  <c r="FS279" i="55"/>
  <c r="DM56" i="55"/>
  <c r="DQ56" i="55" s="1"/>
  <c r="JX56" i="55"/>
  <c r="JY56" i="55"/>
  <c r="DV56" i="55"/>
  <c r="DW56" i="55" s="1"/>
  <c r="HV103" i="55"/>
  <c r="T103" i="55" s="1"/>
  <c r="DK103" i="55"/>
  <c r="DO103" i="55" s="1"/>
  <c r="DY103" i="55"/>
  <c r="HQ103" i="55" s="1"/>
  <c r="DK250" i="55"/>
  <c r="DY250" i="55"/>
  <c r="FS94" i="55"/>
  <c r="EZ51" i="55"/>
  <c r="DV30" i="55"/>
  <c r="DW30" i="55" s="1"/>
  <c r="JX30" i="55"/>
  <c r="JY30" i="55"/>
  <c r="GT30" i="55"/>
  <c r="DM30" i="55"/>
  <c r="DM314" i="55"/>
  <c r="DQ314" i="55" s="1"/>
  <c r="JX314" i="55"/>
  <c r="JY314" i="55"/>
  <c r="GT314" i="55"/>
  <c r="DV314" i="55"/>
  <c r="DW314" i="55" s="1"/>
  <c r="BU28" i="54" a="1"/>
  <c r="BU28" i="54" s="1"/>
  <c r="BM28" i="54" a="1"/>
  <c r="BM28" i="54" s="1"/>
  <c r="BQ28" i="54" a="1"/>
  <c r="BQ28" i="54" s="1"/>
  <c r="FS260" i="55"/>
  <c r="DK319" i="55"/>
  <c r="DY319" i="55"/>
  <c r="HL216" i="55"/>
  <c r="GK216" i="55"/>
  <c r="HL127" i="55"/>
  <c r="GK127" i="55"/>
  <c r="HL57" i="55"/>
  <c r="GK57" i="55"/>
  <c r="JO131" i="55"/>
  <c r="HM131" i="55"/>
  <c r="M131" i="55" s="1"/>
  <c r="HN131" i="55" s="1"/>
  <c r="HL296" i="55"/>
  <c r="GK296" i="55"/>
  <c r="DK288" i="55"/>
  <c r="DY288" i="55"/>
  <c r="JO339" i="55"/>
  <c r="JU339" i="55" s="1"/>
  <c r="JV339" i="55" s="1"/>
  <c r="DK310" i="55"/>
  <c r="DY310" i="55"/>
  <c r="HL182" i="55"/>
  <c r="GK182" i="55"/>
  <c r="GK85" i="55"/>
  <c r="HL85" i="55"/>
  <c r="DR149" i="55" a="1"/>
  <c r="DR149" i="55" s="1"/>
  <c r="DT149" i="55" s="1"/>
  <c r="II149" i="55"/>
  <c r="IJ149" i="55" s="1"/>
  <c r="DU149" i="55"/>
  <c r="HT149" i="55" s="1"/>
  <c r="DK218" i="55"/>
  <c r="DY218" i="55"/>
  <c r="FS146" i="55"/>
  <c r="HL300" i="55"/>
  <c r="GK300" i="55"/>
  <c r="FS322" i="55"/>
  <c r="HL262" i="55"/>
  <c r="GK262" i="55"/>
  <c r="AT19" i="54" a="1"/>
  <c r="AT19" i="54" s="1"/>
  <c r="BA19" i="54"/>
  <c r="FU335" i="55"/>
  <c r="L335" i="55" s="1"/>
  <c r="FV335" i="55" s="1"/>
  <c r="HL70" i="55"/>
  <c r="GK70" i="55"/>
  <c r="FS138" i="55"/>
  <c r="GU77" i="55"/>
  <c r="GV77" i="55"/>
  <c r="JC77" i="55"/>
  <c r="GW19" i="55"/>
  <c r="HL38" i="55"/>
  <c r="GK38" i="55"/>
  <c r="HL160" i="55"/>
  <c r="GK160" i="55"/>
  <c r="GW116" i="55"/>
  <c r="EZ132" i="55"/>
  <c r="JU342" i="55"/>
  <c r="JV342" i="55" s="1"/>
  <c r="HL156" i="55"/>
  <c r="GK156" i="55"/>
  <c r="FS237" i="55"/>
  <c r="DK257" i="55"/>
  <c r="DY257" i="55"/>
  <c r="HL343" i="55"/>
  <c r="GK343" i="55"/>
  <c r="DR247" i="55" a="1"/>
  <c r="DR247" i="55" s="1"/>
  <c r="DT247" i="55" s="1"/>
  <c r="DU247" i="55"/>
  <c r="HT247" i="55" s="1"/>
  <c r="II247" i="55"/>
  <c r="JC305" i="55"/>
  <c r="GV305" i="55"/>
  <c r="GU305" i="55"/>
  <c r="HL345" i="55"/>
  <c r="GK345" i="55"/>
  <c r="DK42" i="55"/>
  <c r="DO42" i="55" s="1"/>
  <c r="G42" i="55" s="1"/>
  <c r="DP42" i="55" s="1"/>
  <c r="DQ42" i="55" s="1"/>
  <c r="DY42" i="55"/>
  <c r="JC103" i="55"/>
  <c r="GV103" i="55"/>
  <c r="GW103" i="55" s="1"/>
  <c r="GU103" i="55"/>
  <c r="EO14" i="55" a="1"/>
  <c r="EO14" i="55" s="1"/>
  <c r="DK146" i="55"/>
  <c r="DY146" i="55"/>
  <c r="JO291" i="55"/>
  <c r="HL83" i="55"/>
  <c r="GK83" i="55"/>
  <c r="DR213" i="55" a="1"/>
  <c r="DR213" i="55" s="1"/>
  <c r="DT213" i="55" s="1"/>
  <c r="II213" i="55"/>
  <c r="DU213" i="55"/>
  <c r="HT213" i="55" s="1"/>
  <c r="BQ18" i="55"/>
  <c r="BQ325" i="55"/>
  <c r="E325" i="55" s="1"/>
  <c r="BR325" i="55" s="1"/>
  <c r="BS18" i="55"/>
  <c r="FS18" i="55" s="1"/>
  <c r="FU9" i="55"/>
  <c r="L9" i="55" s="1"/>
  <c r="FV9" i="55" s="1"/>
  <c r="FW9" i="55" s="1"/>
  <c r="FS46" i="55"/>
  <c r="JC337" i="55"/>
  <c r="GV337" i="55"/>
  <c r="GW337" i="55" s="1"/>
  <c r="GU337" i="55"/>
  <c r="DR331" i="55" a="1"/>
  <c r="DR331" i="55" s="1"/>
  <c r="DT331" i="55" s="1"/>
  <c r="DU331" i="55"/>
  <c r="HT331" i="55" s="1"/>
  <c r="HQ331" i="55"/>
  <c r="II331" i="55"/>
  <c r="DR180" i="55" a="1"/>
  <c r="DR180" i="55" s="1"/>
  <c r="DT180" i="55" s="1"/>
  <c r="DU180" i="55"/>
  <c r="HT180" i="55" s="1"/>
  <c r="II180" i="55"/>
  <c r="DK127" i="55"/>
  <c r="DY127" i="55"/>
  <c r="EO20" i="55" a="1"/>
  <c r="EO20" i="55" s="1"/>
  <c r="DK97" i="55"/>
  <c r="DY97" i="55"/>
  <c r="JC84" i="55"/>
  <c r="GV84" i="55"/>
  <c r="GW84" i="55" s="1"/>
  <c r="GU84" i="55"/>
  <c r="HL207" i="55"/>
  <c r="GK207" i="55"/>
  <c r="GW100" i="55"/>
  <c r="W155" i="55"/>
  <c r="EO155" i="55" a="1"/>
  <c r="EO155" i="55" s="1"/>
  <c r="JX268" i="55"/>
  <c r="DM268" i="55"/>
  <c r="JY268" i="55"/>
  <c r="DV268" i="55"/>
  <c r="DW268" i="55" s="1"/>
  <c r="DK278" i="55"/>
  <c r="DY278" i="55"/>
  <c r="JC214" i="55"/>
  <c r="GU214" i="55"/>
  <c r="GV214" i="55"/>
  <c r="FS56" i="55"/>
  <c r="FS250" i="55"/>
  <c r="EZ299" i="55"/>
  <c r="DR98" i="55" a="1"/>
  <c r="DR98" i="55" s="1"/>
  <c r="DT98" i="55" s="1"/>
  <c r="II98" i="55"/>
  <c r="DU98" i="55"/>
  <c r="HT98" i="55" s="1"/>
  <c r="HQ98" i="55"/>
  <c r="HL84" i="55"/>
  <c r="GK84" i="55"/>
  <c r="EZ97" i="55"/>
  <c r="HL183" i="55"/>
  <c r="GK183" i="55"/>
  <c r="JU28" i="55"/>
  <c r="JV28" i="55"/>
  <c r="JO28" i="55"/>
  <c r="JP28" i="55" s="1"/>
  <c r="HM28" i="55"/>
  <c r="M28" i="55" s="1"/>
  <c r="HN28" i="55" s="1"/>
  <c r="HV292" i="55"/>
  <c r="T292" i="55" s="1"/>
  <c r="DK292" i="55"/>
  <c r="DO292" i="55" s="1"/>
  <c r="DY292" i="55"/>
  <c r="HQ292" i="55" s="1"/>
  <c r="DK108" i="55"/>
  <c r="DY108" i="55"/>
  <c r="JC199" i="55"/>
  <c r="GV199" i="55"/>
  <c r="GU199" i="55"/>
  <c r="EO330" i="55" a="1"/>
  <c r="EO330" i="55" s="1"/>
  <c r="W330" i="55"/>
  <c r="GW176" i="55"/>
  <c r="JC110" i="55"/>
  <c r="GU110" i="55"/>
  <c r="GV110" i="55"/>
  <c r="FS314" i="55"/>
  <c r="FU314" i="55"/>
  <c r="L314" i="55" s="1"/>
  <c r="FV314" i="55" s="1"/>
  <c r="FW314" i="55" s="1"/>
  <c r="DO89" i="55"/>
  <c r="DM159" i="55"/>
  <c r="DQ159" i="55" s="1"/>
  <c r="JX159" i="55"/>
  <c r="DV159" i="55"/>
  <c r="DW159" i="55" s="1"/>
  <c r="JY159" i="55"/>
  <c r="DY78" i="55"/>
  <c r="HQ78" i="55" s="1"/>
  <c r="JC237" i="55"/>
  <c r="GU237" i="55"/>
  <c r="GV237" i="55"/>
  <c r="HL134" i="55"/>
  <c r="GK134" i="55"/>
  <c r="DK118" i="55"/>
  <c r="DY118" i="55"/>
  <c r="FS257" i="55"/>
  <c r="DR276" i="55" a="1"/>
  <c r="DR276" i="55" s="1"/>
  <c r="DT276" i="55" s="1"/>
  <c r="II276" i="55"/>
  <c r="DU276" i="55"/>
  <c r="HT276" i="55" s="1"/>
  <c r="HL263" i="55"/>
  <c r="GK263" i="55"/>
  <c r="HL118" i="55"/>
  <c r="GK118" i="55"/>
  <c r="GK242" i="55"/>
  <c r="HL242" i="55"/>
  <c r="HL124" i="55"/>
  <c r="GK124" i="55"/>
  <c r="HL133" i="55"/>
  <c r="GK133" i="55"/>
  <c r="FS232" i="55"/>
  <c r="FU224" i="55"/>
  <c r="L224" i="55" s="1"/>
  <c r="FV224" i="55" s="1"/>
  <c r="JC105" i="55"/>
  <c r="GU105" i="55"/>
  <c r="GV105" i="55"/>
  <c r="GW105" i="55" s="1"/>
  <c r="FS42" i="55"/>
  <c r="DV262" i="55"/>
  <c r="DW262" i="55" s="1"/>
  <c r="JY262" i="55"/>
  <c r="JX262" i="55"/>
  <c r="DM262" i="55"/>
  <c r="GT262" i="55"/>
  <c r="JC266" i="55"/>
  <c r="GV266" i="55"/>
  <c r="GW266" i="55" s="1"/>
  <c r="GU266" i="55"/>
  <c r="DK64" i="55"/>
  <c r="DY64" i="55"/>
  <c r="JO293" i="55"/>
  <c r="GK32" i="55"/>
  <c r="HL32" i="55"/>
  <c r="JC289" i="55"/>
  <c r="GV289" i="55"/>
  <c r="GW289" i="55" s="1"/>
  <c r="GU289" i="55"/>
  <c r="BQ19" i="55"/>
  <c r="BS19" i="55"/>
  <c r="BQ330" i="55"/>
  <c r="E330" i="55" s="1"/>
  <c r="BR330" i="55" s="1"/>
  <c r="CE19" i="55" a="1"/>
  <c r="CE19" i="55" s="1"/>
  <c r="CE330" i="55" a="1"/>
  <c r="CE330" i="55" s="1"/>
  <c r="DK249" i="55"/>
  <c r="DY249" i="55"/>
  <c r="JC121" i="55"/>
  <c r="GU121" i="55"/>
  <c r="GV121" i="55"/>
  <c r="BQ25" i="54" a="1"/>
  <c r="BQ25" i="54" s="1"/>
  <c r="BU25" i="54" a="1"/>
  <c r="BU25" i="54" s="1"/>
  <c r="BM25" i="54" a="1"/>
  <c r="BM25" i="54" s="1"/>
  <c r="JC332" i="55"/>
  <c r="GU332" i="55"/>
  <c r="GV332" i="55"/>
  <c r="GW332" i="55" s="1"/>
  <c r="JC263" i="55"/>
  <c r="GV263" i="55"/>
  <c r="GW263" i="55" s="1"/>
  <c r="GU263" i="55"/>
  <c r="JC230" i="55"/>
  <c r="GU230" i="55"/>
  <c r="GV230" i="55"/>
  <c r="GW230" i="55" s="1"/>
  <c r="JO186" i="55"/>
  <c r="JC264" i="55"/>
  <c r="GV264" i="55"/>
  <c r="GW264" i="55" s="1"/>
  <c r="GU264" i="55"/>
  <c r="BM21" i="54" a="1"/>
  <c r="BM21" i="54" s="1"/>
  <c r="W165" i="55" s="1"/>
  <c r="BU21" i="54" a="1"/>
  <c r="BU21" i="54" s="1"/>
  <c r="BQ21" i="54" a="1"/>
  <c r="BQ21" i="54" s="1"/>
  <c r="JC132" i="55"/>
  <c r="GU132" i="55"/>
  <c r="GV132" i="55"/>
  <c r="GW132" i="55" s="1"/>
  <c r="DR11" i="55" a="1"/>
  <c r="DR11" i="55" s="1"/>
  <c r="DT11" i="55" s="1"/>
  <c r="W11" i="55" s="1"/>
  <c r="DU11" i="55"/>
  <c r="HT11" i="55" s="1"/>
  <c r="II11" i="55"/>
  <c r="IJ11" i="55" s="1"/>
  <c r="HQ11" i="55"/>
  <c r="DM278" i="55"/>
  <c r="JX278" i="55"/>
  <c r="DV278" i="55"/>
  <c r="DW278" i="55" s="1"/>
  <c r="JY278" i="55"/>
  <c r="JC10" i="55"/>
  <c r="GV10" i="55"/>
  <c r="GU10" i="55"/>
  <c r="GU14" i="55"/>
  <c r="GV14" i="55"/>
  <c r="JC14" i="55"/>
  <c r="DK67" i="55"/>
  <c r="DY67" i="55"/>
  <c r="DV65" i="55"/>
  <c r="DW65" i="55" s="1"/>
  <c r="DM65" i="55"/>
  <c r="DQ65" i="55" s="1"/>
  <c r="JX65" i="55"/>
  <c r="JY65" i="55"/>
  <c r="HV201" i="55"/>
  <c r="T201" i="55" s="1"/>
  <c r="DY201" i="55"/>
  <c r="DK201" i="55"/>
  <c r="DO201" i="55" s="1"/>
  <c r="G201" i="55" s="1"/>
  <c r="DP201" i="55" s="1"/>
  <c r="DQ201" i="55" s="1"/>
  <c r="DK338" i="55"/>
  <c r="DY338" i="55"/>
  <c r="JC275" i="55"/>
  <c r="GV275" i="55"/>
  <c r="GW275" i="55" s="1"/>
  <c r="GU275" i="55"/>
  <c r="BM18" i="54" a="1"/>
  <c r="BM18" i="54" s="1"/>
  <c r="BU18" i="54" a="1"/>
  <c r="BU18" i="54" s="1"/>
  <c r="BQ18" i="54" a="1"/>
  <c r="BQ18" i="54" s="1"/>
  <c r="HL175" i="55"/>
  <c r="GK175" i="55"/>
  <c r="HL255" i="55"/>
  <c r="GK255" i="55"/>
  <c r="DO296" i="55"/>
  <c r="DK350" i="55"/>
  <c r="DO350" i="55" s="1"/>
  <c r="DY350" i="55"/>
  <c r="GK306" i="55"/>
  <c r="HL306" i="55"/>
  <c r="FU184" i="55"/>
  <c r="L184" i="55" s="1"/>
  <c r="FV184" i="55" s="1"/>
  <c r="EZ281" i="55"/>
  <c r="GK98" i="55"/>
  <c r="HL98" i="55"/>
  <c r="HL310" i="55"/>
  <c r="GK310" i="55"/>
  <c r="DM120" i="55"/>
  <c r="DQ120" i="55" s="1"/>
  <c r="JY120" i="55"/>
  <c r="DV120" i="55"/>
  <c r="DW120" i="55" s="1"/>
  <c r="JX120" i="55"/>
  <c r="DR231" i="55" a="1"/>
  <c r="DR231" i="55" s="1"/>
  <c r="DT231" i="55" s="1"/>
  <c r="DU231" i="55"/>
  <c r="HT231" i="55" s="1"/>
  <c r="II231" i="55"/>
  <c r="EZ324" i="55"/>
  <c r="FS305" i="55"/>
  <c r="DM54" i="55"/>
  <c r="DQ54" i="55" s="1"/>
  <c r="DV54" i="55"/>
  <c r="DW54" i="55" s="1"/>
  <c r="JY54" i="55"/>
  <c r="JX54" i="55"/>
  <c r="GT54" i="55"/>
  <c r="DU195" i="55"/>
  <c r="HT195" i="55" s="1"/>
  <c r="II195" i="55"/>
  <c r="DR205" i="55" a="1"/>
  <c r="DR205" i="55" s="1"/>
  <c r="DT205" i="55" s="1"/>
  <c r="JC324" i="55"/>
  <c r="GU324" i="55"/>
  <c r="GV324" i="55"/>
  <c r="GW324" i="55" s="1"/>
  <c r="JC189" i="55"/>
  <c r="GU189" i="55"/>
  <c r="GV189" i="55"/>
  <c r="GW189" i="55" s="1"/>
  <c r="DV282" i="55"/>
  <c r="DW282" i="55" s="1"/>
  <c r="JY282" i="55"/>
  <c r="JX282" i="55"/>
  <c r="DM282" i="55"/>
  <c r="EZ286" i="55"/>
  <c r="JC6" i="55"/>
  <c r="GU6" i="55"/>
  <c r="GV6" i="55"/>
  <c r="GW6" i="55" s="1"/>
  <c r="FS134" i="55"/>
  <c r="JY18" i="55"/>
  <c r="DM18" i="55"/>
  <c r="DQ18" i="55" s="1"/>
  <c r="JX18" i="55"/>
  <c r="DV18" i="55"/>
  <c r="DW18" i="55" s="1"/>
  <c r="JC235" i="55"/>
  <c r="GV235" i="55"/>
  <c r="GU235" i="55"/>
  <c r="JC133" i="55"/>
  <c r="GV133" i="55"/>
  <c r="GW133" i="55" s="1"/>
  <c r="GU133" i="55"/>
  <c r="GK245" i="55"/>
  <c r="HL245" i="55"/>
  <c r="DR298" i="55" a="1"/>
  <c r="DR298" i="55" s="1"/>
  <c r="DT298" i="55" s="1"/>
  <c r="DU298" i="55"/>
  <c r="HT298" i="55" s="1"/>
  <c r="II298" i="55"/>
  <c r="HL344" i="55"/>
  <c r="GK344" i="55"/>
  <c r="FS96" i="55"/>
  <c r="GK60" i="55"/>
  <c r="HL60" i="55"/>
  <c r="CE325" i="55" a="1"/>
  <c r="CE325" i="55" s="1"/>
  <c r="CE18" i="55" a="1"/>
  <c r="CE18" i="55" s="1"/>
  <c r="JO253" i="55"/>
  <c r="DK305" i="55"/>
  <c r="DY305" i="55"/>
  <c r="JC285" i="55"/>
  <c r="GU285" i="55"/>
  <c r="GV285" i="55"/>
  <c r="GW285" i="55" s="1"/>
  <c r="DK138" i="55"/>
  <c r="DY138" i="55"/>
  <c r="HF3" i="55"/>
  <c r="FS128" i="55"/>
  <c r="FS106" i="55"/>
  <c r="DV44" i="55"/>
  <c r="DW44" i="55" s="1"/>
  <c r="JX44" i="55"/>
  <c r="JY44" i="55"/>
  <c r="DM44" i="55"/>
  <c r="DO235" i="55"/>
  <c r="G235" i="55" s="1"/>
  <c r="DP235" i="55" s="1"/>
  <c r="DQ235" i="55" s="1"/>
  <c r="DO284" i="55"/>
  <c r="HL338" i="55"/>
  <c r="GK338" i="55"/>
  <c r="W336" i="55"/>
  <c r="EO336" i="55" a="1"/>
  <c r="EO336" i="55" s="1"/>
  <c r="JC17" i="55"/>
  <c r="GV17" i="55"/>
  <c r="GU17" i="55"/>
  <c r="JO278" i="55"/>
  <c r="JC236" i="55"/>
  <c r="GU236" i="55"/>
  <c r="GV236" i="55"/>
  <c r="DO177" i="55"/>
  <c r="FS64" i="55"/>
  <c r="EO126" i="55" a="1"/>
  <c r="EO126" i="55" s="1"/>
  <c r="HL314" i="55"/>
  <c r="GK314" i="55"/>
  <c r="HL181" i="55"/>
  <c r="GK181" i="55"/>
  <c r="JC190" i="55"/>
  <c r="GU190" i="55"/>
  <c r="GV190" i="55"/>
  <c r="GW190" i="55" s="1"/>
  <c r="BQ12" i="55"/>
  <c r="BQ154" i="55"/>
  <c r="E154" i="55" s="1"/>
  <c r="BR154" i="55" s="1"/>
  <c r="BS12" i="55"/>
  <c r="CE9" i="55" a="1"/>
  <c r="CE9" i="55" s="1"/>
  <c r="CE88" i="55" a="1"/>
  <c r="CE88" i="55" s="1"/>
  <c r="JC76" i="55"/>
  <c r="GU76" i="55"/>
  <c r="GV76" i="55"/>
  <c r="JC213" i="55"/>
  <c r="GU213" i="55"/>
  <c r="GV213" i="55"/>
  <c r="HL150" i="55"/>
  <c r="GK150" i="55"/>
  <c r="FS297" i="55"/>
  <c r="JC344" i="55"/>
  <c r="GU344" i="55"/>
  <c r="GV344" i="55"/>
  <c r="FS127" i="55"/>
  <c r="DR13" i="55" a="1"/>
  <c r="DR13" i="55" s="1"/>
  <c r="DT13" i="55" s="1"/>
  <c r="II13" i="55"/>
  <c r="IJ13" i="55" s="1"/>
  <c r="DU13" i="55"/>
  <c r="HT13" i="55" s="1"/>
  <c r="DK27" i="55"/>
  <c r="DY27" i="55"/>
  <c r="EQ12" i="55"/>
  <c r="BT21" i="54" s="1" a="1"/>
  <c r="BT21" i="54" s="1"/>
  <c r="JC277" i="55"/>
  <c r="GU277" i="55"/>
  <c r="GV277" i="55"/>
  <c r="GW277" i="55" s="1"/>
  <c r="JC71" i="55"/>
  <c r="GV71" i="55"/>
  <c r="GU71" i="55"/>
  <c r="GK148" i="55"/>
  <c r="HL148" i="55"/>
  <c r="HL261" i="55"/>
  <c r="GK261" i="55"/>
  <c r="JC231" i="55"/>
  <c r="GU231" i="55"/>
  <c r="GV231" i="55"/>
  <c r="GW231" i="55" s="1"/>
  <c r="JC320" i="55"/>
  <c r="GU320" i="55"/>
  <c r="GV320" i="55"/>
  <c r="GW320" i="55" s="1"/>
  <c r="GK99" i="55"/>
  <c r="HL99" i="55"/>
  <c r="GK164" i="55"/>
  <c r="HL164" i="55"/>
  <c r="EZ47" i="55"/>
  <c r="DR129" i="55" a="1"/>
  <c r="DR129" i="55" s="1"/>
  <c r="DT129" i="55" s="1"/>
  <c r="II129" i="55"/>
  <c r="DU129" i="55"/>
  <c r="HT129" i="55" s="1"/>
  <c r="DR345" i="55" a="1"/>
  <c r="DR345" i="55" s="1"/>
  <c r="DT345" i="55" s="1"/>
  <c r="DU345" i="55"/>
  <c r="HT345" i="55" s="1"/>
  <c r="II345" i="55"/>
  <c r="FU31" i="55"/>
  <c r="L31" i="55" s="1"/>
  <c r="FV31" i="55" s="1"/>
  <c r="JC261" i="55"/>
  <c r="GV261" i="55"/>
  <c r="GW261" i="55" s="1"/>
  <c r="GU261" i="55"/>
  <c r="JY96" i="55"/>
  <c r="DV96" i="55"/>
  <c r="DW96" i="55" s="1"/>
  <c r="JX96" i="55"/>
  <c r="DM96" i="55"/>
  <c r="DQ96" i="55" s="1"/>
  <c r="GT96" i="55"/>
  <c r="DR34" i="55" a="1"/>
  <c r="DR34" i="55" s="1"/>
  <c r="DT34" i="55" s="1"/>
  <c r="II34" i="55"/>
  <c r="DU34" i="55"/>
  <c r="HT34" i="55" s="1"/>
  <c r="JO93" i="55"/>
  <c r="JU93" i="55" s="1"/>
  <c r="BQ14" i="55"/>
  <c r="BQ224" i="55"/>
  <c r="E224" i="55" s="1"/>
  <c r="BR224" i="55" s="1"/>
  <c r="BS14" i="55"/>
  <c r="HL241" i="55"/>
  <c r="GK241" i="55"/>
  <c r="DK32" i="55"/>
  <c r="DY32" i="55"/>
  <c r="JY351" i="55"/>
  <c r="JX351" i="55"/>
  <c r="DV351" i="55"/>
  <c r="DW351" i="55" s="1"/>
  <c r="DM351" i="55"/>
  <c r="DQ351" i="55" s="1"/>
  <c r="HL101" i="55"/>
  <c r="GK101" i="55"/>
  <c r="JC331" i="55"/>
  <c r="GV331" i="55"/>
  <c r="GW331" i="55" s="1"/>
  <c r="GU331" i="55"/>
  <c r="DM127" i="55"/>
  <c r="DQ127" i="55" s="1"/>
  <c r="JY127" i="55"/>
  <c r="JX127" i="55"/>
  <c r="DV127" i="55"/>
  <c r="DW127" i="55" s="1"/>
  <c r="FS97" i="55"/>
  <c r="EO309" i="55" a="1"/>
  <c r="EO309" i="55" s="1"/>
  <c r="DK267" i="55"/>
  <c r="DY267" i="55"/>
  <c r="DK260" i="55"/>
  <c r="DY260" i="55"/>
  <c r="JC75" i="55"/>
  <c r="GV75" i="55"/>
  <c r="GU75" i="55"/>
  <c r="HL350" i="55"/>
  <c r="GK350" i="55"/>
  <c r="HL23" i="55"/>
  <c r="GK23" i="55"/>
  <c r="JY316" i="55"/>
  <c r="JX316" i="55"/>
  <c r="DV316" i="55"/>
  <c r="DW316" i="55" s="1"/>
  <c r="DM316" i="55"/>
  <c r="DQ316" i="55" s="1"/>
  <c r="GT316" i="55"/>
  <c r="GK141" i="55"/>
  <c r="HL141" i="55"/>
  <c r="DV33" i="55"/>
  <c r="DW33" i="55" s="1"/>
  <c r="DM33" i="55"/>
  <c r="JX33" i="55"/>
  <c r="JY33" i="55"/>
  <c r="HV212" i="55"/>
  <c r="T212" i="55" s="1"/>
  <c r="DK212" i="55"/>
  <c r="DO212" i="55" s="1"/>
  <c r="G212" i="55" s="1"/>
  <c r="DP212" i="55" s="1"/>
  <c r="DQ212" i="55" s="1"/>
  <c r="DY212" i="55"/>
  <c r="JY148" i="55"/>
  <c r="JX148" i="55"/>
  <c r="DV148" i="55"/>
  <c r="DW148" i="55" s="1"/>
  <c r="DM148" i="55"/>
  <c r="DR92" i="55" a="1"/>
  <c r="DR92" i="55" s="1"/>
  <c r="DT92" i="55" s="1"/>
  <c r="DU92" i="55"/>
  <c r="HT92" i="55" s="1"/>
  <c r="II92" i="55"/>
  <c r="JC128" i="55"/>
  <c r="GU128" i="55"/>
  <c r="GU129" i="55" s="1"/>
  <c r="GV128" i="55"/>
  <c r="JC273" i="55"/>
  <c r="GV273" i="55"/>
  <c r="GW273" i="55" s="1"/>
  <c r="GU273" i="55"/>
  <c r="DK232" i="55"/>
  <c r="DY232" i="55"/>
  <c r="FW53" i="55"/>
  <c r="JC113" i="55"/>
  <c r="GV113" i="55"/>
  <c r="GU113" i="55"/>
  <c r="JC251" i="55"/>
  <c r="GV251" i="55"/>
  <c r="GU251" i="55"/>
  <c r="FS120" i="55"/>
  <c r="DR283" i="55" a="1"/>
  <c r="DR283" i="55" s="1"/>
  <c r="DT283" i="55" s="1"/>
  <c r="II283" i="55"/>
  <c r="IJ283" i="55" s="1"/>
  <c r="DU283" i="55"/>
  <c r="HT283" i="55" s="1"/>
  <c r="EZ239" i="55"/>
  <c r="JX238" i="55"/>
  <c r="JY238" i="55"/>
  <c r="DV238" i="55"/>
  <c r="DW238" i="55" s="1"/>
  <c r="DM238" i="55"/>
  <c r="GT238" i="55"/>
  <c r="JC258" i="55"/>
  <c r="GU258" i="55"/>
  <c r="GV258" i="55"/>
  <c r="BQ13" i="55"/>
  <c r="BS13" i="55"/>
  <c r="BQ184" i="55"/>
  <c r="E184" i="55" s="1"/>
  <c r="BR184" i="55" s="1"/>
  <c r="FS249" i="55"/>
  <c r="FS254" i="55"/>
  <c r="GK96" i="55"/>
  <c r="HL96" i="55"/>
  <c r="EZ69" i="55"/>
  <c r="JC142" i="55"/>
  <c r="GU142" i="55"/>
  <c r="GV142" i="55"/>
  <c r="DM342" i="55"/>
  <c r="DV342" i="55"/>
  <c r="DW342" i="55" s="1"/>
  <c r="JY342" i="55"/>
  <c r="JX342" i="55"/>
  <c r="GT342" i="55"/>
  <c r="JC97" i="55"/>
  <c r="GV97" i="55"/>
  <c r="GU97" i="55"/>
  <c r="FU316" i="55"/>
  <c r="L316" i="55" s="1"/>
  <c r="FV316" i="55" s="1"/>
  <c r="FW316" i="55" s="1"/>
  <c r="FS316" i="55"/>
  <c r="JC350" i="55"/>
  <c r="GU350" i="55"/>
  <c r="GV350" i="55"/>
  <c r="JC13" i="55"/>
  <c r="GU13" i="55"/>
  <c r="GV13" i="55"/>
  <c r="JC256" i="55"/>
  <c r="GV256" i="55"/>
  <c r="GU256" i="55"/>
  <c r="JC234" i="55"/>
  <c r="GV234" i="55"/>
  <c r="GW234" i="55" s="1"/>
  <c r="GU234" i="55"/>
  <c r="BQ23" i="54" a="1"/>
  <c r="BQ23" i="54" s="1"/>
  <c r="BU23" i="54" a="1"/>
  <c r="BU23" i="54" s="1"/>
  <c r="BM23" i="54" a="1"/>
  <c r="BM23" i="54" s="1"/>
  <c r="DR63" i="55" a="1"/>
  <c r="DR63" i="55" s="1"/>
  <c r="DT63" i="55" s="1"/>
  <c r="II63" i="55"/>
  <c r="DU63" i="55"/>
  <c r="HT63" i="55" s="1"/>
  <c r="JC145" i="55"/>
  <c r="GV145" i="55"/>
  <c r="GU145" i="55"/>
  <c r="FS310" i="55"/>
  <c r="HL122" i="55"/>
  <c r="GK122" i="55"/>
  <c r="GW119" i="55"/>
  <c r="DK339" i="55"/>
  <c r="DY339" i="55"/>
  <c r="FS218" i="55"/>
  <c r="HL56" i="55"/>
  <c r="GK56" i="55"/>
  <c r="JC66" i="55"/>
  <c r="GU66" i="55"/>
  <c r="GV66" i="55"/>
  <c r="DM8" i="55"/>
  <c r="JX8" i="55"/>
  <c r="JY8" i="55"/>
  <c r="AS3" i="40" s="1" a="1"/>
  <c r="AS3" i="40" s="1"/>
  <c r="DV8" i="55"/>
  <c r="DW8" i="55" s="1"/>
  <c r="DR263" i="55" a="1"/>
  <c r="DR263" i="55" s="1"/>
  <c r="DT263" i="55" s="1"/>
  <c r="II263" i="55"/>
  <c r="DU263" i="55"/>
  <c r="HT263" i="55" s="1"/>
  <c r="FS286" i="55"/>
  <c r="JU149" i="55"/>
  <c r="JV149" i="55" s="1"/>
  <c r="JO149" i="55"/>
  <c r="JO323" i="55"/>
  <c r="DK56" i="55"/>
  <c r="DY56" i="55"/>
  <c r="JO277" i="55"/>
  <c r="JU277" i="55" s="1"/>
  <c r="JV277" i="55" s="1"/>
  <c r="DK293" i="55"/>
  <c r="DY293" i="55"/>
  <c r="HL64" i="55"/>
  <c r="GK64" i="55"/>
  <c r="FS159" i="55"/>
  <c r="DM77" i="55"/>
  <c r="DQ77" i="55" s="1"/>
  <c r="DV77" i="55"/>
  <c r="DW77" i="55" s="1"/>
  <c r="JX77" i="55"/>
  <c r="JY77" i="55"/>
  <c r="JU22" i="55"/>
  <c r="JV22" i="55" s="1"/>
  <c r="FS33" i="55"/>
  <c r="JX209" i="55"/>
  <c r="JY209" i="55"/>
  <c r="DV209" i="55"/>
  <c r="DW209" i="55" s="1"/>
  <c r="DM209" i="55"/>
  <c r="HL198" i="55"/>
  <c r="GK198" i="55"/>
  <c r="DK262" i="55"/>
  <c r="DO262" i="55" s="1"/>
  <c r="G262" i="55" s="1"/>
  <c r="DP262" i="55" s="1"/>
  <c r="DQ262" i="55" s="1"/>
  <c r="DY262" i="55"/>
  <c r="X24" i="54"/>
  <c r="BB24" i="54" s="1"/>
  <c r="AT24" i="54" a="1"/>
  <c r="AT24" i="54" s="1"/>
  <c r="BA24" i="54"/>
  <c r="GW243" i="55"/>
  <c r="DM321" i="55"/>
  <c r="DQ321" i="55" s="1"/>
  <c r="DV321" i="55"/>
  <c r="DW321" i="55" s="1"/>
  <c r="GT321" i="55"/>
  <c r="JY321" i="55"/>
  <c r="JX321" i="55"/>
  <c r="FS347" i="55"/>
  <c r="JO279" i="55"/>
  <c r="JU279" i="55" s="1"/>
  <c r="JX344" i="55"/>
  <c r="DM344" i="55"/>
  <c r="DQ344" i="55" s="1"/>
  <c r="JY344" i="55"/>
  <c r="DV344" i="55"/>
  <c r="DW344" i="55" s="1"/>
  <c r="DY142" i="55"/>
  <c r="DK30" i="55"/>
  <c r="DO30" i="55" s="1"/>
  <c r="G30" i="55" s="1"/>
  <c r="DP30" i="55" s="1"/>
  <c r="DQ30" i="55" s="1"/>
  <c r="DY30" i="55"/>
  <c r="JC195" i="55"/>
  <c r="GU195" i="55"/>
  <c r="GV195" i="55"/>
  <c r="FS118" i="55"/>
  <c r="JO61" i="55"/>
  <c r="JU61" i="55" s="1"/>
  <c r="GK110" i="55"/>
  <c r="HL110" i="55"/>
  <c r="HL348" i="55"/>
  <c r="GK348" i="55"/>
  <c r="HL153" i="55"/>
  <c r="GK153" i="55"/>
  <c r="JO92" i="55"/>
  <c r="DM313" i="55"/>
  <c r="DQ313" i="55" s="1"/>
  <c r="JX313" i="55"/>
  <c r="JY313" i="55"/>
  <c r="DV313" i="55"/>
  <c r="DW313" i="55" s="1"/>
  <c r="DK254" i="55"/>
  <c r="DY254" i="55"/>
  <c r="DV223" i="55"/>
  <c r="DW223" i="55" s="1"/>
  <c r="JX223" i="55"/>
  <c r="JY223" i="55"/>
  <c r="DM223" i="55"/>
  <c r="DQ223" i="55" s="1"/>
  <c r="DM258" i="55"/>
  <c r="JY258" i="55"/>
  <c r="JX258" i="55"/>
  <c r="DV258" i="55"/>
  <c r="DW258" i="55" s="1"/>
  <c r="GK115" i="55"/>
  <c r="HL115" i="55"/>
  <c r="DK54" i="55"/>
  <c r="DO54" i="55" s="1"/>
  <c r="DY54" i="55"/>
  <c r="DO266" i="55"/>
  <c r="G266" i="55" s="1"/>
  <c r="DP266" i="55" s="1"/>
  <c r="DQ266" i="55" s="1"/>
  <c r="FS351" i="55"/>
  <c r="JC24" i="55"/>
  <c r="GU24" i="55"/>
  <c r="GU25" i="55" s="1"/>
  <c r="GV24" i="55"/>
  <c r="DR277" i="55" a="1"/>
  <c r="DR277" i="55" s="1"/>
  <c r="DT277" i="55" s="1"/>
  <c r="DU277" i="55"/>
  <c r="HT277" i="55" s="1"/>
  <c r="HQ277" i="55"/>
  <c r="II277" i="55"/>
  <c r="DR289" i="55" a="1"/>
  <c r="DR289" i="55" s="1"/>
  <c r="DT289" i="55" s="1"/>
  <c r="DU289" i="55"/>
  <c r="HT289" i="55" s="1"/>
  <c r="II289" i="55"/>
  <c r="DK347" i="55"/>
  <c r="DO347" i="55" s="1"/>
  <c r="DY347" i="55"/>
  <c r="GK195" i="55"/>
  <c r="HL195" i="55"/>
  <c r="HM196" i="55" s="1"/>
  <c r="GW183" i="55"/>
  <c r="EZ137" i="55"/>
  <c r="DR240" i="55" a="1"/>
  <c r="DR240" i="55" s="1"/>
  <c r="DT240" i="55" s="1"/>
  <c r="DU240" i="55"/>
  <c r="HT240" i="55" s="1"/>
  <c r="HQ240" i="55"/>
  <c r="II240" i="55"/>
  <c r="DR220" i="55" a="1"/>
  <c r="DR220" i="55" s="1"/>
  <c r="DT220" i="55" s="1"/>
  <c r="DU220" i="55"/>
  <c r="HT220" i="55" s="1"/>
  <c r="II220" i="55"/>
  <c r="IJ220" i="55" s="1"/>
  <c r="DO63" i="55"/>
  <c r="JY280" i="55"/>
  <c r="DM280" i="55"/>
  <c r="JX280" i="55"/>
  <c r="DV280" i="55"/>
  <c r="DW280" i="55" s="1"/>
  <c r="DK78" i="55"/>
  <c r="DO78" i="55" s="1"/>
  <c r="JO143" i="55"/>
  <c r="JU143" i="55" s="1"/>
  <c r="JC272" i="55"/>
  <c r="GU272" i="55"/>
  <c r="GV272" i="55"/>
  <c r="GW272" i="55" s="1"/>
  <c r="HQ105" i="55"/>
  <c r="FU8" i="55"/>
  <c r="L8" i="55" s="1"/>
  <c r="FV8" i="55" s="1"/>
  <c r="FW8" i="55" s="1"/>
  <c r="HL231" i="55"/>
  <c r="GK231" i="55"/>
  <c r="JX144" i="55"/>
  <c r="DV144" i="55"/>
  <c r="DW144" i="55" s="1"/>
  <c r="JY144" i="55"/>
  <c r="DM144" i="55"/>
  <c r="BA27" i="54"/>
  <c r="AT27" i="54" a="1"/>
  <c r="AT27" i="54" s="1"/>
  <c r="X27" i="54"/>
  <c r="BB27" i="54" s="1"/>
  <c r="HL206" i="55"/>
  <c r="GK206" i="55"/>
  <c r="DV57" i="55"/>
  <c r="DW57" i="55" s="1"/>
  <c r="JY57" i="55"/>
  <c r="JX57" i="55"/>
  <c r="DM57" i="55"/>
  <c r="DQ57" i="55" s="1"/>
  <c r="DY324" i="55"/>
  <c r="DR163" i="55" a="1"/>
  <c r="DR163" i="55" s="1"/>
  <c r="DT163" i="55" s="1"/>
  <c r="DU163" i="55"/>
  <c r="HT163" i="55" s="1"/>
  <c r="II163" i="55"/>
  <c r="JO205" i="55"/>
  <c r="JU205" i="55"/>
  <c r="JV205" i="55" s="1"/>
  <c r="DR221" i="55" a="1"/>
  <c r="DR221" i="55" s="1"/>
  <c r="DT221" i="55" s="1"/>
  <c r="DU221" i="55"/>
  <c r="HT221" i="55" s="1"/>
  <c r="II221" i="55"/>
  <c r="HQ221" i="55"/>
  <c r="GK210" i="55"/>
  <c r="HL210" i="55"/>
  <c r="FS293" i="55"/>
  <c r="DY151" i="55"/>
  <c r="DM246" i="55"/>
  <c r="JY246" i="55"/>
  <c r="JX246" i="55"/>
  <c r="DV246" i="55"/>
  <c r="DW246" i="55" s="1"/>
  <c r="GT246" i="55"/>
  <c r="HL89" i="55"/>
  <c r="GK89" i="55"/>
  <c r="JO213" i="55"/>
  <c r="JU213" i="55" s="1"/>
  <c r="JV213" i="55" s="1"/>
  <c r="JO77" i="55"/>
  <c r="GK211" i="55"/>
  <c r="HL211" i="55"/>
  <c r="DK316" i="55"/>
  <c r="DY316" i="55"/>
  <c r="DK44" i="55"/>
  <c r="DY44" i="55"/>
  <c r="JC131" i="55"/>
  <c r="GU131" i="55"/>
  <c r="GV131" i="55"/>
  <c r="GW131" i="55" s="1"/>
  <c r="JO178" i="55"/>
  <c r="JU178" i="55" s="1"/>
  <c r="JC174" i="55"/>
  <c r="GU174" i="55"/>
  <c r="GV174" i="55"/>
  <c r="BU27" i="54" a="1"/>
  <c r="BU27" i="54" s="1"/>
  <c r="BQ27" i="54" a="1"/>
  <c r="BQ27" i="54" s="1"/>
  <c r="BM27" i="54" a="1"/>
  <c r="BM27" i="54" s="1"/>
  <c r="W326" i="55" s="1"/>
  <c r="HV199" i="55"/>
  <c r="T199" i="55" s="1"/>
  <c r="DK199" i="55"/>
  <c r="DO199" i="55" s="1"/>
  <c r="G199" i="55" s="1"/>
  <c r="DP199" i="55" s="1"/>
  <c r="DQ199" i="55" s="1"/>
  <c r="DY199" i="55"/>
  <c r="DV43" i="55"/>
  <c r="DW43" i="55" s="1"/>
  <c r="JY43" i="55"/>
  <c r="JX43" i="55"/>
  <c r="DM43" i="55"/>
  <c r="DY50" i="55"/>
  <c r="JC202" i="55"/>
  <c r="GV202" i="55"/>
  <c r="GU202" i="55"/>
  <c r="DV334" i="55"/>
  <c r="DW334" i="55" s="1"/>
  <c r="JX334" i="55"/>
  <c r="JY334" i="55"/>
  <c r="DM334" i="55"/>
  <c r="DQ334" i="55" s="1"/>
  <c r="HV166" i="55"/>
  <c r="T166" i="55" s="1"/>
  <c r="DY166" i="55"/>
  <c r="HQ166" i="55" s="1"/>
  <c r="DK166" i="55"/>
  <c r="DO166" i="55" s="1"/>
  <c r="EQ100" i="55"/>
  <c r="EP100" i="55" a="1"/>
  <c r="EP100" i="55" s="1"/>
  <c r="FS262" i="55"/>
  <c r="DK76" i="55"/>
  <c r="DO76" i="55" s="1"/>
  <c r="DK96" i="55"/>
  <c r="DY96" i="55"/>
  <c r="DK120" i="55"/>
  <c r="DY120" i="55"/>
  <c r="GW298" i="55"/>
  <c r="EQ73" i="55"/>
  <c r="EP73" i="55" a="1"/>
  <c r="EP73" i="55" s="1"/>
  <c r="DY123" i="55"/>
  <c r="BS10" i="55"/>
  <c r="FS10" i="55" s="1"/>
  <c r="BQ10" i="55"/>
  <c r="BQ130" i="55"/>
  <c r="E130" i="55" s="1"/>
  <c r="BR130" i="55" s="1"/>
  <c r="EO183" i="55" a="1"/>
  <c r="EO183" i="55" s="1"/>
  <c r="W183" i="55"/>
  <c r="DY51" i="55"/>
  <c r="JC281" i="55"/>
  <c r="GV281" i="55"/>
  <c r="GW281" i="55" s="1"/>
  <c r="GU281" i="55"/>
  <c r="GK52" i="55"/>
  <c r="HL52" i="55"/>
  <c r="JO116" i="55"/>
  <c r="DR285" i="55" a="1"/>
  <c r="DR285" i="55" s="1"/>
  <c r="DT285" i="55" s="1"/>
  <c r="II285" i="55"/>
  <c r="DU285" i="55"/>
  <c r="HT285" i="55" s="1"/>
  <c r="JC5" i="55"/>
  <c r="GV5" i="55"/>
  <c r="GW5" i="55" s="1"/>
  <c r="GU5" i="55"/>
  <c r="FS54" i="55"/>
  <c r="DV95" i="55"/>
  <c r="DW95" i="55" s="1"/>
  <c r="JX95" i="55"/>
  <c r="JY95" i="55"/>
  <c r="DM95" i="55"/>
  <c r="DQ95" i="55" s="1"/>
  <c r="DK324" i="55"/>
  <c r="DO324" i="55" s="1"/>
  <c r="DK286" i="55"/>
  <c r="DY286" i="55"/>
  <c r="GK226" i="55"/>
  <c r="HL226" i="55"/>
  <c r="JX145" i="55"/>
  <c r="JY145" i="55"/>
  <c r="DV145" i="55"/>
  <c r="DW145" i="55" s="1"/>
  <c r="DM145" i="55"/>
  <c r="JY115" i="55"/>
  <c r="JX115" i="55"/>
  <c r="DM115" i="55"/>
  <c r="DQ115" i="55" s="1"/>
  <c r="DV115" i="55"/>
  <c r="DW115" i="55" s="1"/>
  <c r="DM234" i="55"/>
  <c r="JY234" i="55"/>
  <c r="JX234" i="55"/>
  <c r="DV234" i="55"/>
  <c r="DW234" i="55" s="1"/>
  <c r="JC70" i="55"/>
  <c r="GV70" i="55"/>
  <c r="GU70" i="55"/>
  <c r="JC78" i="55"/>
  <c r="GU78" i="55"/>
  <c r="GV78" i="55"/>
  <c r="JU258" i="55"/>
  <c r="JV258" i="55" s="1"/>
  <c r="DM61" i="55"/>
  <c r="DQ61" i="55" s="1"/>
  <c r="DV61" i="55"/>
  <c r="DW61" i="55" s="1"/>
  <c r="JY61" i="55"/>
  <c r="JX61" i="55"/>
  <c r="HV326" i="55"/>
  <c r="T326" i="55" s="1"/>
  <c r="DY326" i="55"/>
  <c r="HQ326" i="55" s="1"/>
  <c r="DK326" i="55"/>
  <c r="DO326" i="55" s="1"/>
  <c r="DV110" i="55"/>
  <c r="DW110" i="55" s="1"/>
  <c r="DM110" i="55"/>
  <c r="DQ110" i="55" s="1"/>
  <c r="JY110" i="55"/>
  <c r="JX110" i="55"/>
  <c r="HL43" i="55"/>
  <c r="GK43" i="55"/>
  <c r="DM74" i="55"/>
  <c r="DQ74" i="55" s="1"/>
  <c r="DV74" i="55"/>
  <c r="DW74" i="55" s="1"/>
  <c r="JY74" i="55"/>
  <c r="JX74" i="55"/>
  <c r="DY315" i="55"/>
  <c r="DK321" i="55"/>
  <c r="DO321" i="55" s="1"/>
  <c r="DY321" i="55"/>
  <c r="FS27" i="55"/>
  <c r="FS268" i="55"/>
  <c r="BQ15" i="54" a="1"/>
  <c r="BQ15" i="54" s="1"/>
  <c r="BU15" i="54" a="1"/>
  <c r="BU15" i="54" s="1"/>
  <c r="BM15" i="54" a="1"/>
  <c r="BM15" i="54" s="1"/>
  <c r="GT351" i="55"/>
  <c r="BQ24" i="54" a="1"/>
  <c r="BQ24" i="54" s="1"/>
  <c r="BU24" i="54" a="1"/>
  <c r="BU24" i="54" s="1"/>
  <c r="BM24" i="54" a="1"/>
  <c r="BM24" i="54" s="1"/>
  <c r="W311" i="55" s="1"/>
  <c r="BC28" i="54"/>
  <c r="BD28" i="54"/>
  <c r="BE28" i="54"/>
  <c r="FW330" i="55"/>
  <c r="DK348" i="55"/>
  <c r="DO348" i="55" s="1"/>
  <c r="DK151" i="55"/>
  <c r="DO151" i="55" s="1"/>
  <c r="G151" i="55" s="1"/>
  <c r="DP151" i="55" s="1"/>
  <c r="DQ151" i="55" s="1"/>
  <c r="DK79" i="55"/>
  <c r="DO79" i="55" s="1"/>
  <c r="FS282" i="55"/>
  <c r="JO81" i="55"/>
  <c r="JU81" i="55"/>
  <c r="FU16" i="55"/>
  <c r="L16" i="55" s="1"/>
  <c r="FV16" i="55" s="1"/>
  <c r="FW16" i="55" s="1"/>
  <c r="DO216" i="55"/>
  <c r="G216" i="55" s="1"/>
  <c r="DP216" i="55" s="1"/>
  <c r="DQ216" i="55" s="1"/>
  <c r="JX190" i="55"/>
  <c r="DV190" i="55"/>
  <c r="DW190" i="55" s="1"/>
  <c r="JY190" i="55"/>
  <c r="DM190" i="55"/>
  <c r="DK142" i="55"/>
  <c r="DO142" i="55" s="1"/>
  <c r="G142" i="55" s="1"/>
  <c r="DP142" i="55" s="1"/>
  <c r="DQ142" i="55" s="1"/>
  <c r="JX24" i="55"/>
  <c r="DM24" i="55"/>
  <c r="DQ24" i="55" s="1"/>
  <c r="JY24" i="55"/>
  <c r="DV24" i="55"/>
  <c r="DW24" i="55" s="1"/>
  <c r="JO140" i="55"/>
  <c r="JY90" i="55"/>
  <c r="DM90" i="55"/>
  <c r="DQ90" i="55" s="1"/>
  <c r="JX90" i="55"/>
  <c r="DV90" i="55"/>
  <c r="DW90" i="55" s="1"/>
  <c r="GT90" i="55"/>
  <c r="JC259" i="55"/>
  <c r="GU259" i="55"/>
  <c r="GV259" i="55"/>
  <c r="HL157" i="55"/>
  <c r="GK157" i="55"/>
  <c r="DR211" i="55" a="1"/>
  <c r="DR211" i="55" s="1"/>
  <c r="DT211" i="55" s="1"/>
  <c r="JC83" i="55"/>
  <c r="GU83" i="55"/>
  <c r="GV83" i="55"/>
  <c r="GW83" i="55" s="1"/>
  <c r="GT74" i="55"/>
  <c r="JC73" i="55"/>
  <c r="GV73" i="55"/>
  <c r="GW73" i="55" s="1"/>
  <c r="GU73" i="55"/>
  <c r="GK274" i="55"/>
  <c r="HL274" i="55"/>
  <c r="HL49" i="55"/>
  <c r="GK49" i="55"/>
  <c r="HL236" i="55"/>
  <c r="GK236" i="55"/>
  <c r="DK94" i="55"/>
  <c r="DY94" i="55"/>
  <c r="JY16" i="55"/>
  <c r="JX16" i="55"/>
  <c r="DV16" i="55"/>
  <c r="DW16" i="55" s="1"/>
  <c r="DM16" i="55"/>
  <c r="DQ16" i="55" s="1"/>
  <c r="DK65" i="55"/>
  <c r="DY65" i="55"/>
  <c r="EZ123" i="55"/>
  <c r="FS108" i="55"/>
  <c r="FS30" i="55"/>
  <c r="FU30" i="55"/>
  <c r="L30" i="55" s="1"/>
  <c r="FV30" i="55" s="1"/>
  <c r="FW30" i="55" s="1"/>
  <c r="HL214" i="55"/>
  <c r="GK214" i="55"/>
  <c r="HL128" i="55"/>
  <c r="GK128" i="55"/>
  <c r="EO6" i="55" a="1"/>
  <c r="EO6" i="55" s="1"/>
  <c r="GW166" i="55"/>
  <c r="HL163" i="55"/>
  <c r="GK163" i="55"/>
  <c r="DR38" i="55" a="1"/>
  <c r="DR38" i="55" s="1"/>
  <c r="DT38" i="55" s="1"/>
  <c r="II38" i="55"/>
  <c r="HQ38" i="55"/>
  <c r="DU38" i="55"/>
  <c r="HT38" i="55" s="1"/>
  <c r="DY227" i="55"/>
  <c r="GK273" i="55"/>
  <c r="HL273" i="55"/>
  <c r="HL21" i="55"/>
  <c r="GK21" i="55"/>
  <c r="DK238" i="55"/>
  <c r="DO238" i="55" s="1"/>
  <c r="G238" i="55" s="1"/>
  <c r="DP238" i="55" s="1"/>
  <c r="DQ238" i="55" s="1"/>
  <c r="DY238" i="55"/>
  <c r="GT8" i="55"/>
  <c r="BA17" i="54"/>
  <c r="AT17" i="54" a="1"/>
  <c r="AT17" i="54" s="1"/>
  <c r="BS29" i="55"/>
  <c r="BQ29" i="55"/>
  <c r="E29" i="55" s="1"/>
  <c r="BR29" i="55" s="1"/>
  <c r="BQ31" i="55"/>
  <c r="E31" i="55" s="1"/>
  <c r="BR31" i="55" s="1"/>
  <c r="DU225" i="55"/>
  <c r="HT225" i="55" s="1"/>
  <c r="II225" i="55"/>
  <c r="HL235" i="55"/>
  <c r="GK235" i="55"/>
  <c r="JU289" i="55"/>
  <c r="JO289" i="55"/>
  <c r="JV289" i="55" s="1"/>
  <c r="JC322" i="55"/>
  <c r="GU322" i="55"/>
  <c r="GV322" i="55"/>
  <c r="GW322" i="55" s="1"/>
  <c r="JC87" i="55"/>
  <c r="GU87" i="55"/>
  <c r="GV87" i="55"/>
  <c r="GW87" i="55" s="1"/>
  <c r="JU27" i="55"/>
  <c r="JV27" i="55"/>
  <c r="JO27" i="55"/>
  <c r="JP27" i="55" s="1"/>
  <c r="HM27" i="55"/>
  <c r="M27" i="55" s="1"/>
  <c r="HN27" i="55" s="1"/>
  <c r="DV320" i="55"/>
  <c r="DW320" i="55" s="1"/>
  <c r="JY320" i="55"/>
  <c r="JX320" i="55"/>
  <c r="DM320" i="55"/>
  <c r="DQ320" i="55" s="1"/>
  <c r="JV202" i="55"/>
  <c r="JO135" i="55"/>
  <c r="DK282" i="55"/>
  <c r="DY282" i="55"/>
  <c r="FS65" i="55"/>
  <c r="JC295" i="55"/>
  <c r="GU295" i="55"/>
  <c r="GV295" i="55"/>
  <c r="DK314" i="55"/>
  <c r="DY314" i="55"/>
  <c r="JC205" i="55"/>
  <c r="GU205" i="55"/>
  <c r="GV205" i="55"/>
  <c r="DR55" i="55" a="1"/>
  <c r="DR55" i="55" s="1"/>
  <c r="DT55" i="55" s="1"/>
  <c r="DU55" i="55"/>
  <c r="HT55" i="55" s="1"/>
  <c r="II55" i="55"/>
  <c r="HL91" i="55"/>
  <c r="GK91" i="55"/>
  <c r="GK169" i="55"/>
  <c r="HL169" i="55"/>
  <c r="DK33" i="55"/>
  <c r="DY33" i="55"/>
  <c r="JC147" i="55"/>
  <c r="GU147" i="55"/>
  <c r="GV147" i="55"/>
  <c r="DY23" i="55"/>
  <c r="JC187" i="55"/>
  <c r="GV187" i="55"/>
  <c r="GW187" i="55" s="1"/>
  <c r="GU187" i="55"/>
  <c r="JY189" i="55"/>
  <c r="DV189" i="55"/>
  <c r="DW189" i="55" s="1"/>
  <c r="DM189" i="55"/>
  <c r="JX189" i="55"/>
  <c r="JY323" i="55"/>
  <c r="JX323" i="55"/>
  <c r="DM323" i="55"/>
  <c r="DQ323" i="55" s="1"/>
  <c r="GT323" i="55"/>
  <c r="DV323" i="55"/>
  <c r="DW323" i="55" s="1"/>
  <c r="HL104" i="55"/>
  <c r="GK104" i="55"/>
  <c r="JY45" i="55"/>
  <c r="DM45" i="55"/>
  <c r="DV45" i="55"/>
  <c r="DW45" i="55" s="1"/>
  <c r="JX45" i="55"/>
  <c r="GK151" i="55"/>
  <c r="HL151" i="55"/>
  <c r="DV270" i="55"/>
  <c r="DW270" i="55" s="1"/>
  <c r="JY270" i="55"/>
  <c r="DM270" i="55"/>
  <c r="JX270" i="55"/>
  <c r="BC24" i="54"/>
  <c r="BD24" i="54"/>
  <c r="BE24" i="54"/>
  <c r="FW283" i="55"/>
  <c r="HL237" i="55"/>
  <c r="GK237" i="55"/>
  <c r="DK227" i="55"/>
  <c r="DO227" i="55" s="1"/>
  <c r="G227" i="55" s="1"/>
  <c r="DP227" i="55" s="1"/>
  <c r="DQ227" i="55" s="1"/>
  <c r="JC149" i="55"/>
  <c r="GU149" i="55"/>
  <c r="GV149" i="55"/>
  <c r="EO294" i="55" a="1"/>
  <c r="EO294" i="55" s="1"/>
  <c r="EZ249" i="55"/>
  <c r="JO232" i="55"/>
  <c r="JC312" i="55"/>
  <c r="GV312" i="55"/>
  <c r="GU312" i="55"/>
  <c r="AB3" i="59" a="1"/>
  <c r="AB3" i="59" s="1"/>
  <c r="AC3" i="59" s="1" a="1"/>
  <c r="AC3" i="59" s="1"/>
  <c r="AA3" i="59" a="1"/>
  <c r="AA3" i="59" s="1"/>
  <c r="AB3" i="56" a="1"/>
  <c r="AB3" i="56" s="1"/>
  <c r="AA3" i="56" a="1"/>
  <c r="AA3" i="56" s="1"/>
  <c r="A17" i="57" a="1"/>
  <c r="A17" i="57" s="1"/>
  <c r="C16" i="57" a="1"/>
  <c r="BM14" i="54" a="1"/>
  <c r="BM14" i="54" s="1"/>
  <c r="W20" i="55" s="1"/>
  <c r="BU14" i="54" a="1"/>
  <c r="BU14" i="54" s="1"/>
  <c r="BQ14" i="54" a="1"/>
  <c r="BQ14" i="54" s="1"/>
  <c r="CE7" i="55" a="1"/>
  <c r="CE7" i="55" s="1"/>
  <c r="CE102" i="55" a="1"/>
  <c r="CE102" i="55" s="1"/>
  <c r="DR37" i="55" a="1"/>
  <c r="DR37" i="55" s="1"/>
  <c r="DT37" i="55" s="1"/>
  <c r="II37" i="55"/>
  <c r="DU37" i="55"/>
  <c r="HT37" i="55" s="1"/>
  <c r="DO163" i="55"/>
  <c r="JO41" i="55"/>
  <c r="JU41" i="55" s="1"/>
  <c r="DK342" i="55"/>
  <c r="DO342" i="55" s="1"/>
  <c r="G342" i="55" s="1"/>
  <c r="DP342" i="55" s="1"/>
  <c r="DQ342" i="55" s="1"/>
  <c r="DY342" i="55"/>
  <c r="JC118" i="55"/>
  <c r="GV118" i="55"/>
  <c r="GU118" i="55"/>
  <c r="EO69" i="55" a="1"/>
  <c r="EO69" i="55" s="1"/>
  <c r="JC216" i="55"/>
  <c r="GU216" i="55"/>
  <c r="GV216" i="55"/>
  <c r="HL347" i="55"/>
  <c r="GK347" i="55"/>
  <c r="GT209" i="55"/>
  <c r="EO245" i="55" a="1"/>
  <c r="EO245" i="55" s="1"/>
  <c r="DK50" i="55"/>
  <c r="DO50" i="55" s="1"/>
  <c r="G50" i="55" s="1"/>
  <c r="DP50" i="55" s="1"/>
  <c r="DQ50" i="55" s="1"/>
  <c r="JC242" i="55"/>
  <c r="GU242" i="55"/>
  <c r="GV242" i="55"/>
  <c r="JC274" i="55"/>
  <c r="GU274" i="55"/>
  <c r="GV274" i="55"/>
  <c r="GW274" i="55" s="1"/>
  <c r="FS148" i="55"/>
  <c r="DK23" i="55"/>
  <c r="DO23" i="55" s="1"/>
  <c r="DK209" i="55"/>
  <c r="DY209" i="55"/>
  <c r="JC62" i="55"/>
  <c r="GU62" i="55"/>
  <c r="GV62" i="55"/>
  <c r="DV274" i="55"/>
  <c r="DW274" i="55" s="1"/>
  <c r="DM274" i="55"/>
  <c r="JY274" i="55"/>
  <c r="JX274" i="55"/>
  <c r="HL170" i="55"/>
  <c r="GK170" i="55"/>
  <c r="GT334" i="55"/>
  <c r="FS189" i="55"/>
  <c r="HL166" i="55"/>
  <c r="GK166" i="55"/>
  <c r="HQ66" i="55"/>
  <c r="FS270" i="55"/>
  <c r="GT56" i="55"/>
  <c r="DY346" i="55"/>
  <c r="HQ346" i="55" s="1"/>
  <c r="DK123" i="55"/>
  <c r="DO123" i="55" s="1"/>
  <c r="JY329" i="55"/>
  <c r="JX329" i="55"/>
  <c r="DV329" i="55"/>
  <c r="DW329" i="55" s="1"/>
  <c r="DM329" i="55"/>
  <c r="DQ329" i="55" s="1"/>
  <c r="DM207" i="55"/>
  <c r="JY207" i="55"/>
  <c r="DV207" i="55"/>
  <c r="DW207" i="55" s="1"/>
  <c r="JX207" i="55"/>
  <c r="GT207" i="55"/>
  <c r="AT20" i="54" a="1"/>
  <c r="AT20" i="54" s="1"/>
  <c r="BA20" i="54"/>
  <c r="GV299" i="55"/>
  <c r="GU299" i="55"/>
  <c r="JC299" i="55"/>
  <c r="JC241" i="55"/>
  <c r="GU241" i="55"/>
  <c r="GV241" i="55"/>
  <c r="JC197" i="55"/>
  <c r="GV197" i="55"/>
  <c r="GU197" i="55"/>
  <c r="FU313" i="55"/>
  <c r="L313" i="55" s="1"/>
  <c r="FV313" i="55" s="1"/>
  <c r="DK51" i="55"/>
  <c r="DO51" i="55" s="1"/>
  <c r="G51" i="55" s="1"/>
  <c r="DP51" i="55" s="1"/>
  <c r="DQ51" i="55" s="1"/>
  <c r="JC180" i="55"/>
  <c r="GV180" i="55"/>
  <c r="GW180" i="55" s="1"/>
  <c r="GU180" i="55"/>
  <c r="FS223" i="55"/>
  <c r="HL285" i="55"/>
  <c r="GK285" i="55"/>
  <c r="JC227" i="55"/>
  <c r="GV227" i="55"/>
  <c r="GW227" i="55" s="1"/>
  <c r="GU227" i="55"/>
  <c r="EV28" i="55"/>
  <c r="EW28" i="55" s="1"/>
  <c r="Q28" i="55" s="1"/>
  <c r="DK258" i="55"/>
  <c r="DO258" i="55" s="1"/>
  <c r="G258" i="55" s="1"/>
  <c r="DP258" i="55" s="1"/>
  <c r="DQ258" i="55" s="1"/>
  <c r="DY258" i="55"/>
  <c r="GW135" i="55"/>
  <c r="JY160" i="55"/>
  <c r="JX160" i="55"/>
  <c r="DV160" i="55"/>
  <c r="DW160" i="55" s="1"/>
  <c r="DM160" i="55"/>
  <c r="DQ160" i="55" s="1"/>
  <c r="GT160" i="55"/>
  <c r="JC69" i="55"/>
  <c r="GU69" i="55"/>
  <c r="GV69" i="55"/>
  <c r="DK57" i="55"/>
  <c r="DO57" i="55" s="1"/>
  <c r="DY57" i="55"/>
  <c r="DK351" i="55"/>
  <c r="DY351" i="55"/>
  <c r="DM168" i="55"/>
  <c r="DQ168" i="55" s="1"/>
  <c r="JX168" i="55"/>
  <c r="JY168" i="55"/>
  <c r="DV168" i="55"/>
  <c r="DW168" i="55" s="1"/>
  <c r="GT168" i="55"/>
  <c r="HQ121" i="55"/>
  <c r="DO221" i="55"/>
  <c r="DK320" i="55"/>
  <c r="DY320" i="55"/>
  <c r="FS234" i="55"/>
  <c r="GT120" i="55"/>
  <c r="DK61" i="55"/>
  <c r="DO61" i="55" s="1"/>
  <c r="DY61" i="55"/>
  <c r="HQ70" i="55"/>
  <c r="JO177" i="55"/>
  <c r="JO112" i="55"/>
  <c r="DR60" i="55" a="1"/>
  <c r="DR60" i="55" s="1"/>
  <c r="DT60" i="55" s="1"/>
  <c r="DU60" i="55"/>
  <c r="HT60" i="55" s="1"/>
  <c r="II60" i="55"/>
  <c r="DK315" i="55"/>
  <c r="DO315" i="55" s="1"/>
  <c r="FS278" i="55"/>
  <c r="JY170" i="55"/>
  <c r="JX170" i="55"/>
  <c r="DV170" i="55"/>
  <c r="DW170" i="55" s="1"/>
  <c r="DM170" i="55"/>
  <c r="DQ170" i="55" s="1"/>
  <c r="GT170" i="55"/>
  <c r="JC126" i="55"/>
  <c r="GU126" i="55"/>
  <c r="GV126" i="55"/>
  <c r="HL152" i="55"/>
  <c r="GK152" i="55"/>
  <c r="EZ244" i="55"/>
  <c r="EZ254" i="55"/>
  <c r="DR28" i="55" a="1"/>
  <c r="DR28" i="55" s="1"/>
  <c r="DT28" i="55" s="1"/>
  <c r="W28" i="55" s="1"/>
  <c r="DU28" i="55"/>
  <c r="HT28" i="55" s="1"/>
  <c r="II28" i="55"/>
  <c r="IJ28" i="55" s="1"/>
  <c r="JC304" i="55"/>
  <c r="GU304" i="55"/>
  <c r="GV304" i="55"/>
  <c r="HL172" i="55"/>
  <c r="GK172" i="55"/>
  <c r="HL221" i="55"/>
  <c r="GK221" i="55"/>
  <c r="EZ228" i="55"/>
  <c r="GT270" i="55"/>
  <c r="DK190" i="55"/>
  <c r="DY190" i="55"/>
  <c r="FS280" i="55"/>
  <c r="DR196" i="55" a="1"/>
  <c r="DR196" i="55" s="1"/>
  <c r="DT196" i="55" s="1"/>
  <c r="II196" i="55"/>
  <c r="DU196" i="55"/>
  <c r="HT196" i="55" s="1"/>
  <c r="JY352" i="55"/>
  <c r="DV352" i="55"/>
  <c r="DW352" i="55" s="1"/>
  <c r="JX352" i="55"/>
  <c r="DM352" i="55"/>
  <c r="DQ352" i="55" s="1"/>
  <c r="GT352" i="55"/>
  <c r="DK159" i="55"/>
  <c r="DO159" i="55" s="1"/>
  <c r="DY159" i="55"/>
  <c r="DV113" i="55"/>
  <c r="DW113" i="55" s="1"/>
  <c r="JY113" i="55"/>
  <c r="JX113" i="55"/>
  <c r="DM113" i="55"/>
  <c r="DQ113" i="55" s="1"/>
  <c r="FW130" i="55"/>
  <c r="GT148" i="55"/>
  <c r="JC93" i="55"/>
  <c r="GU93" i="55"/>
  <c r="GV93" i="55"/>
  <c r="EO21" i="55" a="1"/>
  <c r="EO21" i="55" s="1"/>
  <c r="GK67" i="55"/>
  <c r="HL67" i="55"/>
  <c r="GK66" i="55"/>
  <c r="HL66" i="55"/>
  <c r="HL107" i="55"/>
  <c r="GK107" i="55"/>
  <c r="HL191" i="55"/>
  <c r="GK191" i="55"/>
  <c r="GK252" i="55"/>
  <c r="HL252" i="55"/>
  <c r="DK188" i="55"/>
  <c r="DY188" i="55"/>
  <c r="DK210" i="55"/>
  <c r="DY210" i="55"/>
  <c r="JC122" i="55"/>
  <c r="GV122" i="55"/>
  <c r="GW122" i="55" s="1"/>
  <c r="GU122" i="55"/>
  <c r="JC98" i="55"/>
  <c r="GV98" i="55"/>
  <c r="GU98" i="55"/>
  <c r="HL259" i="55"/>
  <c r="GK259" i="55"/>
  <c r="JC12" i="55"/>
  <c r="GU12" i="55"/>
  <c r="GV12" i="55"/>
  <c r="JY172" i="55"/>
  <c r="DV172" i="55"/>
  <c r="DW172" i="55" s="1"/>
  <c r="JX172" i="55"/>
  <c r="DM172" i="55"/>
  <c r="DQ172" i="55" s="1"/>
  <c r="HL75" i="55"/>
  <c r="GK75" i="55"/>
  <c r="DK122" i="55"/>
  <c r="DY122" i="55"/>
  <c r="JC7" i="55"/>
  <c r="GV7" i="55"/>
  <c r="GU7" i="55"/>
  <c r="HL144" i="55"/>
  <c r="GK144" i="55"/>
  <c r="FS288" i="55"/>
  <c r="DK241" i="55"/>
  <c r="DY241" i="55"/>
  <c r="DM232" i="55"/>
  <c r="JY232" i="55"/>
  <c r="DV232" i="55"/>
  <c r="DW232" i="55" s="1"/>
  <c r="JX232" i="55"/>
  <c r="HL185" i="55"/>
  <c r="HM186" i="55" s="1"/>
  <c r="M186" i="55" s="1"/>
  <c r="HN186" i="55" s="1"/>
  <c r="GK185" i="55"/>
  <c r="DV146" i="55"/>
  <c r="DW146" i="55" s="1"/>
  <c r="DM146" i="55"/>
  <c r="JY146" i="55"/>
  <c r="JX146" i="55"/>
  <c r="JC276" i="55"/>
  <c r="GV276" i="55"/>
  <c r="GW276" i="55" s="1"/>
  <c r="GU276" i="55"/>
  <c r="JO33" i="55"/>
  <c r="HM33" i="55"/>
  <c r="M33" i="55" s="1"/>
  <c r="HN33" i="55" s="1"/>
  <c r="IL33" i="55" s="1"/>
  <c r="IM33" i="55" s="1"/>
  <c r="DR150" i="55" a="1"/>
  <c r="DR150" i="55" s="1"/>
  <c r="DT150" i="55" s="1"/>
  <c r="II150" i="55"/>
  <c r="IJ150" i="55" s="1"/>
  <c r="DU150" i="55"/>
  <c r="HT150" i="55" s="1"/>
  <c r="JX124" i="55"/>
  <c r="JY124" i="55"/>
  <c r="DV124" i="55"/>
  <c r="DW124" i="55" s="1"/>
  <c r="DM124" i="55"/>
  <c r="DQ124" i="55" s="1"/>
  <c r="DK148" i="55"/>
  <c r="DY148" i="55"/>
  <c r="JX203" i="55"/>
  <c r="DV203" i="55"/>
  <c r="DW203" i="55" s="1"/>
  <c r="JY203" i="55"/>
  <c r="DM203" i="55"/>
  <c r="FS209" i="55"/>
  <c r="DR88" i="55" a="1"/>
  <c r="DR88" i="55" s="1"/>
  <c r="DT88" i="55" s="1"/>
  <c r="DU88" i="55"/>
  <c r="HT88" i="55" s="1"/>
  <c r="II88" i="55"/>
  <c r="IJ88" i="55" s="1"/>
  <c r="HL270" i="55"/>
  <c r="GK270" i="55"/>
  <c r="EO105" i="55" a="1"/>
  <c r="EO105" i="55" s="1"/>
  <c r="HL103" i="55"/>
  <c r="GK103" i="55"/>
  <c r="FS323" i="55"/>
  <c r="DM253" i="55"/>
  <c r="JX253" i="55"/>
  <c r="JY253" i="55"/>
  <c r="DV253" i="55"/>
  <c r="DW253" i="55" s="1"/>
  <c r="JC282" i="55"/>
  <c r="GV282" i="55"/>
  <c r="GW282" i="55" s="1"/>
  <c r="GU282" i="55"/>
  <c r="DK270" i="55"/>
  <c r="DY270" i="55"/>
  <c r="JY306" i="55"/>
  <c r="JX306" i="55"/>
  <c r="DM306" i="55"/>
  <c r="DQ306" i="55" s="1"/>
  <c r="GT306" i="55"/>
  <c r="DV306" i="55"/>
  <c r="DW306" i="55" s="1"/>
  <c r="FS238" i="55"/>
  <c r="CE25" i="55" a="1"/>
  <c r="CE25" i="55" s="1"/>
  <c r="EK25" i="55" s="1"/>
  <c r="CE26" i="55" a="1"/>
  <c r="CE26" i="55" s="1"/>
  <c r="AT26" i="54" a="1"/>
  <c r="AT26" i="54" s="1"/>
  <c r="X26" i="54" s="1"/>
  <c r="BB26" i="54" s="1"/>
  <c r="BA26" i="54"/>
  <c r="DK223" i="55"/>
  <c r="DY223" i="55"/>
  <c r="FS258" i="55"/>
  <c r="EQ325" i="55"/>
  <c r="FS115" i="55"/>
  <c r="JC245" i="55"/>
  <c r="GV245" i="55"/>
  <c r="GU245" i="55"/>
  <c r="JC348" i="55"/>
  <c r="GU348" i="55"/>
  <c r="GV348" i="55"/>
  <c r="FS321" i="55"/>
  <c r="DV171" i="55"/>
  <c r="DW171" i="55" s="1"/>
  <c r="JX171" i="55"/>
  <c r="DM171" i="55"/>
  <c r="DQ171" i="55" s="1"/>
  <c r="JY171" i="55"/>
  <c r="FS170" i="55"/>
  <c r="JC265" i="55"/>
  <c r="GV265" i="55"/>
  <c r="GW265" i="55" s="1"/>
  <c r="GU265" i="55"/>
  <c r="DR7" i="55" a="1"/>
  <c r="DR7" i="55" s="1"/>
  <c r="DT7" i="55" s="1"/>
  <c r="II7" i="55"/>
  <c r="IJ7" i="55" s="1"/>
  <c r="DU7" i="55"/>
  <c r="HT7" i="55" s="1"/>
  <c r="DR317" i="55" a="1"/>
  <c r="DR317" i="55" s="1"/>
  <c r="DT317" i="55" s="1"/>
  <c r="II317" i="55"/>
  <c r="IJ317" i="55" s="1"/>
  <c r="DU317" i="55"/>
  <c r="HT317" i="55" s="1"/>
  <c r="DO312" i="55"/>
  <c r="JC255" i="55"/>
  <c r="GU255" i="55"/>
  <c r="GV255" i="55"/>
  <c r="JO250" i="55"/>
  <c r="GK275" i="55"/>
  <c r="HL275" i="55"/>
  <c r="JC204" i="55"/>
  <c r="GU204" i="55"/>
  <c r="GV204" i="55"/>
  <c r="HD5" i="55"/>
  <c r="HB5" i="55"/>
  <c r="HC5" i="55" s="1"/>
  <c r="HA6" i="55"/>
  <c r="DO202" i="55"/>
  <c r="G202" i="55" s="1"/>
  <c r="DP202" i="55" s="1"/>
  <c r="DQ202" i="55" s="1"/>
  <c r="DK246" i="55"/>
  <c r="DO246" i="55" s="1"/>
  <c r="G246" i="55" s="1"/>
  <c r="DP246" i="55" s="1"/>
  <c r="DQ246" i="55" s="1"/>
  <c r="DY246" i="55"/>
  <c r="DO83" i="55"/>
  <c r="GK192" i="55"/>
  <c r="HL192" i="55"/>
  <c r="DK24" i="55"/>
  <c r="DO24" i="55" s="1"/>
  <c r="DY24" i="55"/>
  <c r="DY135" i="55"/>
  <c r="GT172" i="55"/>
  <c r="GT203" i="55"/>
  <c r="JC58" i="55"/>
  <c r="GV58" i="55"/>
  <c r="GW58" i="55" s="1"/>
  <c r="GU58" i="55"/>
  <c r="HL333" i="55"/>
  <c r="GK333" i="55"/>
  <c r="HL155" i="55"/>
  <c r="GK155" i="55"/>
  <c r="HL315" i="55"/>
  <c r="GK315" i="55"/>
  <c r="DK77" i="55"/>
  <c r="DO77" i="55" s="1"/>
  <c r="DY77" i="55"/>
  <c r="JC80" i="55"/>
  <c r="GV80" i="55"/>
  <c r="GU80" i="55"/>
  <c r="JC349" i="55"/>
  <c r="GU349" i="55"/>
  <c r="GV349" i="55"/>
  <c r="JC200" i="55"/>
  <c r="GV200" i="55"/>
  <c r="GU200" i="55"/>
  <c r="DK124" i="55"/>
  <c r="DO124" i="55" s="1"/>
  <c r="DY124" i="55"/>
  <c r="FU274" i="55"/>
  <c r="L274" i="55" s="1"/>
  <c r="FV274" i="55" s="1"/>
  <c r="FW274" i="55" s="1"/>
  <c r="FS274" i="55"/>
  <c r="FU82" i="55"/>
  <c r="L82" i="55" s="1"/>
  <c r="FV82" i="55" s="1"/>
  <c r="FW82" i="55" s="1"/>
  <c r="FS82" i="55"/>
  <c r="EO311" i="55" a="1"/>
  <c r="EO311" i="55" s="1"/>
  <c r="FS306" i="55"/>
  <c r="FS329" i="55"/>
  <c r="DV194" i="55"/>
  <c r="DW194" i="55" s="1"/>
  <c r="DM194" i="55"/>
  <c r="JY194" i="55"/>
  <c r="JX194" i="55"/>
  <c r="BS25" i="55"/>
  <c r="BQ25" i="55"/>
  <c r="E25" i="55" s="1"/>
  <c r="BR25" i="55" s="1"/>
  <c r="BQ26" i="55"/>
  <c r="E26" i="55" s="1"/>
  <c r="BR26" i="55" s="1"/>
  <c r="AT16" i="54" a="1"/>
  <c r="AT16" i="54" s="1"/>
  <c r="BA16" i="54"/>
  <c r="EZ62" i="55"/>
  <c r="EZ129" i="55"/>
  <c r="JO165" i="55"/>
  <c r="EQ119" i="55"/>
  <c r="EP119" i="55" a="1"/>
  <c r="EP119" i="55" s="1"/>
  <c r="DV68" i="55"/>
  <c r="DW68" i="55" s="1"/>
  <c r="JX68" i="55"/>
  <c r="JY68" i="55"/>
  <c r="DM68" i="55"/>
  <c r="DQ68" i="55" s="1"/>
  <c r="JC253" i="55"/>
  <c r="GU253" i="55"/>
  <c r="GV253" i="55"/>
  <c r="FS178" i="55"/>
  <c r="JU55" i="55"/>
  <c r="JO55" i="55"/>
  <c r="DR177" i="55" a="1"/>
  <c r="DR177" i="55" s="1"/>
  <c r="DT177" i="55" s="1"/>
  <c r="DU177" i="55"/>
  <c r="HT177" i="55" s="1"/>
  <c r="II177" i="55"/>
  <c r="BM22" i="54" a="1"/>
  <c r="BM22" i="54" s="1"/>
  <c r="BU22" i="54" a="1"/>
  <c r="BU22" i="54" s="1"/>
  <c r="BQ22" i="54" a="1"/>
  <c r="BQ22" i="54" s="1"/>
  <c r="GW181" i="55"/>
  <c r="GK290" i="55"/>
  <c r="HL290" i="55"/>
  <c r="JC57" i="55"/>
  <c r="GU57" i="55"/>
  <c r="GV57" i="55"/>
  <c r="BM19" i="54" a="1"/>
  <c r="BM19" i="54" s="1"/>
  <c r="W103" i="55" s="1"/>
  <c r="BU19" i="54" a="1"/>
  <c r="BU19" i="54" s="1"/>
  <c r="BQ19" i="54" a="1"/>
  <c r="BQ19" i="54" s="1"/>
  <c r="FS194" i="55"/>
  <c r="EZ168" i="55"/>
  <c r="BQ15" i="55"/>
  <c r="BQ283" i="55"/>
  <c r="E283" i="55" s="1"/>
  <c r="BR283" i="55" s="1"/>
  <c r="BS15" i="55"/>
  <c r="DV9" i="55"/>
  <c r="DW9" i="55" s="1"/>
  <c r="JY9" i="55"/>
  <c r="JX9" i="55"/>
  <c r="DM9" i="55"/>
  <c r="DQ9" i="55" s="1"/>
  <c r="JX188" i="55"/>
  <c r="DV188" i="55"/>
  <c r="DW188" i="55" s="1"/>
  <c r="DM188" i="55"/>
  <c r="JY188" i="55"/>
  <c r="GT188" i="55"/>
  <c r="DR26" i="55" a="1"/>
  <c r="DR26" i="55" s="1"/>
  <c r="DT26" i="55" s="1"/>
  <c r="DU26" i="55"/>
  <c r="HT26" i="55" s="1"/>
  <c r="II26" i="55"/>
  <c r="IJ26" i="55" s="1"/>
  <c r="L36" i="16"/>
  <c r="L35" i="16"/>
  <c r="L30" i="16"/>
  <c r="L33" i="16"/>
  <c r="L27" i="16"/>
  <c r="L29" i="16"/>
  <c r="L28" i="16"/>
  <c r="L31" i="16"/>
  <c r="L34" i="16"/>
  <c r="L32" i="16"/>
  <c r="JC152" i="55"/>
  <c r="GU152" i="55"/>
  <c r="GV152" i="55"/>
  <c r="GK188" i="55"/>
  <c r="HL188" i="55"/>
  <c r="FS144" i="55"/>
  <c r="BD21" i="54"/>
  <c r="BE21" i="54"/>
  <c r="BC21" i="54"/>
  <c r="FW154" i="55"/>
  <c r="DV158" i="55"/>
  <c r="DW158" i="55" s="1"/>
  <c r="JY158" i="55"/>
  <c r="JX158" i="55"/>
  <c r="DM158" i="55"/>
  <c r="DQ158" i="55" s="1"/>
  <c r="GT158" i="55"/>
  <c r="BS9" i="55"/>
  <c r="BQ9" i="55"/>
  <c r="BQ88" i="55"/>
  <c r="E88" i="55" s="1"/>
  <c r="BR88" i="55" s="1"/>
  <c r="AT22" i="54" a="1"/>
  <c r="AT22" i="54" s="1"/>
  <c r="BA22" i="54"/>
  <c r="GW198" i="55"/>
  <c r="HL40" i="55"/>
  <c r="GK40" i="55"/>
  <c r="HV318" i="55"/>
  <c r="T318" i="55" s="1"/>
  <c r="DK318" i="55"/>
  <c r="DO318" i="55" s="1"/>
  <c r="DY318" i="55"/>
  <c r="HQ318" i="55" s="1"/>
  <c r="DR52" i="55" a="1"/>
  <c r="DR52" i="55" s="1"/>
  <c r="DT52" i="55" s="1"/>
  <c r="II52" i="55"/>
  <c r="DU52" i="55"/>
  <c r="HT52" i="55" s="1"/>
  <c r="JC123" i="55"/>
  <c r="GV123" i="55"/>
  <c r="GW123" i="55" s="1"/>
  <c r="GU123" i="55"/>
  <c r="JC343" i="55"/>
  <c r="GU343" i="55"/>
  <c r="GV343" i="55"/>
  <c r="GW343" i="55" s="1"/>
  <c r="FS57" i="55"/>
  <c r="FS95" i="55"/>
  <c r="FS145" i="55"/>
  <c r="JC18" i="55"/>
  <c r="GV18" i="55"/>
  <c r="GU18" i="55"/>
  <c r="FS61" i="55"/>
  <c r="JC260" i="55"/>
  <c r="GU260" i="55"/>
  <c r="GV260" i="55"/>
  <c r="GW260" i="55" s="1"/>
  <c r="W9" i="42"/>
  <c r="FS77" i="55"/>
  <c r="EQ304" i="55"/>
  <c r="EP304" i="55" a="1"/>
  <c r="EP304" i="55" s="1"/>
  <c r="JC248" i="55"/>
  <c r="GU248" i="55"/>
  <c r="GV248" i="55"/>
  <c r="GW248" i="55" s="1"/>
  <c r="JC11" i="55"/>
  <c r="GV11" i="55"/>
  <c r="GU11" i="55"/>
  <c r="JY210" i="55"/>
  <c r="JX210" i="55"/>
  <c r="DV210" i="55"/>
  <c r="DW210" i="55" s="1"/>
  <c r="DM210" i="55"/>
  <c r="EO85" i="55" a="1"/>
  <c r="EO85" i="55" s="1"/>
  <c r="JC81" i="55"/>
  <c r="GV81" i="55"/>
  <c r="GW81" i="55" s="1"/>
  <c r="GU81" i="55"/>
  <c r="BM30" i="54" a="1"/>
  <c r="BM30" i="54" s="1"/>
  <c r="BQ30" i="54" a="1"/>
  <c r="BQ30" i="54" s="1"/>
  <c r="BU30" i="54" a="1"/>
  <c r="BU30" i="54" s="1"/>
  <c r="FS43" i="55"/>
  <c r="DR147" i="55" a="1"/>
  <c r="DR147" i="55" s="1"/>
  <c r="DT147" i="55" s="1"/>
  <c r="DU147" i="55"/>
  <c r="HT147" i="55" s="1"/>
  <c r="II147" i="55"/>
  <c r="IJ147" i="55" s="1"/>
  <c r="FS124" i="55"/>
  <c r="DK274" i="55"/>
  <c r="DY274" i="55"/>
  <c r="JC318" i="55"/>
  <c r="GU318" i="55"/>
  <c r="GV318" i="55"/>
  <c r="GW318" i="55" s="1"/>
  <c r="DV140" i="55"/>
  <c r="DW140" i="55" s="1"/>
  <c r="JY140" i="55"/>
  <c r="JX140" i="55"/>
  <c r="DM140" i="55"/>
  <c r="DK189" i="55"/>
  <c r="DY189" i="55"/>
  <c r="EQ169" i="55"/>
  <c r="EP169" i="55" a="1"/>
  <c r="EP169" i="55" s="1"/>
  <c r="DV82" i="55"/>
  <c r="DW82" i="55" s="1"/>
  <c r="JY82" i="55"/>
  <c r="JX82" i="55"/>
  <c r="DM82" i="55"/>
  <c r="DQ82" i="55" s="1"/>
  <c r="DK45" i="55"/>
  <c r="DY45" i="55"/>
  <c r="EO66" i="55" a="1"/>
  <c r="EO66" i="55" s="1"/>
  <c r="DR251" i="55" a="1"/>
  <c r="DR251" i="55" s="1"/>
  <c r="DT251" i="55" s="1"/>
  <c r="DU251" i="55"/>
  <c r="HT251" i="55" s="1"/>
  <c r="II251" i="55"/>
  <c r="JC101" i="55"/>
  <c r="GV101" i="55"/>
  <c r="GU101" i="55"/>
  <c r="JO48" i="55"/>
  <c r="JU48" i="55" s="1"/>
  <c r="GK269" i="55"/>
  <c r="HL269" i="55"/>
  <c r="JC291" i="55"/>
  <c r="GU291" i="55"/>
  <c r="GV291" i="55"/>
  <c r="GW291" i="55" s="1"/>
  <c r="DK144" i="55"/>
  <c r="DY144" i="55"/>
  <c r="EQ181" i="55"/>
  <c r="EP181" i="55" a="1"/>
  <c r="EP181" i="55" s="1"/>
  <c r="DK329" i="55"/>
  <c r="DY329" i="55"/>
  <c r="FS207" i="55"/>
  <c r="JY340" i="55"/>
  <c r="JX340" i="55"/>
  <c r="DV340" i="55"/>
  <c r="DW340" i="55" s="1"/>
  <c r="DM340" i="55"/>
  <c r="DQ340" i="55" s="1"/>
  <c r="GT340" i="55"/>
  <c r="BS20" i="55"/>
  <c r="BQ20" i="55"/>
  <c r="BQ341" i="55"/>
  <c r="E341" i="55" s="1"/>
  <c r="BR341" i="55" s="1"/>
  <c r="CE15" i="55" a="1"/>
  <c r="CE15" i="55" s="1"/>
  <c r="CE283" i="55" a="1"/>
  <c r="CE283" i="55" s="1"/>
  <c r="BQ317" i="55"/>
  <c r="E317" i="55" s="1"/>
  <c r="BR317" i="55" s="1"/>
  <c r="BS17" i="55"/>
  <c r="BQ17" i="55"/>
  <c r="JC191" i="55"/>
  <c r="GU191" i="55"/>
  <c r="GV191" i="55"/>
  <c r="GW191" i="55" s="1"/>
  <c r="GK340" i="55"/>
  <c r="HL340" i="55"/>
  <c r="HL44" i="55"/>
  <c r="GK44" i="55"/>
  <c r="HL173" i="55"/>
  <c r="GK173" i="55"/>
  <c r="HL95" i="55"/>
  <c r="GK95" i="55"/>
  <c r="HV272" i="55"/>
  <c r="T272" i="55" s="1"/>
  <c r="DY272" i="55"/>
  <c r="DK272" i="55"/>
  <c r="DO272" i="55" s="1"/>
  <c r="G272" i="55" s="1"/>
  <c r="DP272" i="55" s="1"/>
  <c r="DQ272" i="55" s="1"/>
  <c r="JO39" i="55"/>
  <c r="HL138" i="55"/>
  <c r="GK138" i="55"/>
  <c r="DK168" i="55"/>
  <c r="DY168" i="55"/>
  <c r="EO121" i="55" a="1"/>
  <c r="EO121" i="55" s="1"/>
  <c r="DR123" i="55" a="1"/>
  <c r="DR123" i="55" s="1"/>
  <c r="DT123" i="55" s="1"/>
  <c r="DU123" i="55"/>
  <c r="HT123" i="55" s="1"/>
  <c r="II123" i="55"/>
  <c r="DR173" i="55" a="1"/>
  <c r="DR173" i="55" s="1"/>
  <c r="DT173" i="55" s="1"/>
  <c r="II173" i="55"/>
  <c r="DU173" i="55"/>
  <c r="HT173" i="55" s="1"/>
  <c r="DM178" i="55"/>
  <c r="DQ178" i="55" s="1"/>
  <c r="DV178" i="55"/>
  <c r="DW178" i="55" s="1"/>
  <c r="JX178" i="55"/>
  <c r="JY178" i="55"/>
  <c r="GK284" i="55"/>
  <c r="HL284" i="55"/>
  <c r="DK145" i="55"/>
  <c r="DY145" i="55"/>
  <c r="DM200" i="55"/>
  <c r="DV200" i="55"/>
  <c r="DW200" i="55" s="1"/>
  <c r="JX200" i="55"/>
  <c r="JY200" i="55"/>
  <c r="DV161" i="55"/>
  <c r="DW161" i="55" s="1"/>
  <c r="JY161" i="55"/>
  <c r="DM161" i="55"/>
  <c r="DQ161" i="55" s="1"/>
  <c r="JX161" i="55"/>
  <c r="GT161" i="55"/>
  <c r="EO70" i="55" a="1"/>
  <c r="EO70" i="55" s="1"/>
  <c r="JC252" i="55"/>
  <c r="GU252" i="55"/>
  <c r="GV252" i="55"/>
  <c r="DK66" i="55"/>
  <c r="DO66" i="55" s="1"/>
  <c r="FS74" i="55"/>
  <c r="DK268" i="55"/>
  <c r="DY268" i="55"/>
  <c r="EZ227" i="55"/>
  <c r="HL6" i="55"/>
  <c r="GK6" i="55"/>
  <c r="JC233" i="55"/>
  <c r="GU233" i="55"/>
  <c r="GV233" i="55"/>
  <c r="HL58" i="55"/>
  <c r="GK58" i="55"/>
  <c r="HL246" i="55"/>
  <c r="GK246" i="55"/>
  <c r="EZ46" i="55"/>
  <c r="JC107" i="55"/>
  <c r="GV107" i="55"/>
  <c r="GU107" i="55"/>
  <c r="DV222" i="55"/>
  <c r="DW222" i="55" s="1"/>
  <c r="DM222" i="55"/>
  <c r="DQ222" i="55" s="1"/>
  <c r="JY222" i="55"/>
  <c r="JX222" i="55"/>
  <c r="EZ292" i="55"/>
  <c r="JU126" i="55"/>
  <c r="JV126" i="55" s="1"/>
  <c r="AK4" i="55"/>
  <c r="HE4" i="55"/>
  <c r="FW88" i="55"/>
  <c r="GK329" i="55"/>
  <c r="HL329" i="55"/>
  <c r="EV50" i="55"/>
  <c r="EW50" i="55" s="1"/>
  <c r="Q50" i="55" s="1"/>
  <c r="DK344" i="55"/>
  <c r="DY344" i="55"/>
  <c r="HL193" i="55"/>
  <c r="GK193" i="55"/>
  <c r="FS24" i="55"/>
  <c r="GK117" i="55"/>
  <c r="HL117" i="55"/>
  <c r="DK90" i="55"/>
  <c r="DY90" i="55"/>
  <c r="FS352" i="55"/>
  <c r="DK135" i="55"/>
  <c r="DO135" i="55" s="1"/>
  <c r="G135" i="55" s="1"/>
  <c r="DP135" i="55" s="1"/>
  <c r="DQ135" i="55" s="1"/>
  <c r="DO99" i="55"/>
  <c r="FW341" i="55"/>
  <c r="JC296" i="55"/>
  <c r="GU296" i="55"/>
  <c r="GV296" i="55"/>
  <c r="JC167" i="55"/>
  <c r="GU167" i="55"/>
  <c r="GV167" i="55"/>
  <c r="JC115" i="55"/>
  <c r="GV115" i="55"/>
  <c r="GU115" i="55"/>
  <c r="JC193" i="55"/>
  <c r="GU193" i="55"/>
  <c r="GV193" i="55"/>
  <c r="JY256" i="55"/>
  <c r="DV256" i="55"/>
  <c r="DW256" i="55" s="1"/>
  <c r="JX256" i="55"/>
  <c r="DM256" i="55"/>
  <c r="HL42" i="55"/>
  <c r="GK42" i="55"/>
  <c r="GK36" i="55"/>
  <c r="HL36" i="55"/>
  <c r="HL321" i="55"/>
  <c r="GK321" i="55"/>
  <c r="HL320" i="55"/>
  <c r="GK320" i="55"/>
  <c r="HL287" i="55"/>
  <c r="GK287" i="55"/>
  <c r="FS342" i="55"/>
  <c r="DO129" i="55"/>
  <c r="DO204" i="55"/>
  <c r="G204" i="55" s="1"/>
  <c r="DP204" i="55" s="1"/>
  <c r="DQ204" i="55" s="1"/>
  <c r="FS44" i="55"/>
  <c r="DR198" i="55" a="1"/>
  <c r="DR198" i="55" s="1"/>
  <c r="DT198" i="55" s="1"/>
  <c r="II198" i="55"/>
  <c r="DU198" i="55"/>
  <c r="HT198" i="55" s="1"/>
  <c r="EZ125" i="55"/>
  <c r="DK43" i="55"/>
  <c r="DY43" i="55"/>
  <c r="JC290" i="55"/>
  <c r="GV290" i="55"/>
  <c r="GW290" i="55" s="1"/>
  <c r="GU290" i="55"/>
  <c r="DM59" i="55"/>
  <c r="DQ59" i="55" s="1"/>
  <c r="JX59" i="55"/>
  <c r="JY59" i="55"/>
  <c r="DV59" i="55"/>
  <c r="DW59" i="55" s="1"/>
  <c r="EQ130" i="55"/>
  <c r="JC157" i="55"/>
  <c r="GU157" i="55"/>
  <c r="GV157" i="55"/>
  <c r="GW157" i="55" s="1"/>
  <c r="DK334" i="55"/>
  <c r="DY334" i="55"/>
  <c r="JU37" i="55"/>
  <c r="JV37" i="55" s="1"/>
  <c r="JC201" i="55"/>
  <c r="GV201" i="55"/>
  <c r="GU201" i="55"/>
  <c r="HL190" i="55"/>
  <c r="GK190" i="55"/>
  <c r="HL119" i="55"/>
  <c r="GK119" i="55"/>
  <c r="GK212" i="55"/>
  <c r="HL212" i="55"/>
  <c r="DK323" i="55"/>
  <c r="DY323" i="55"/>
  <c r="DK253" i="55"/>
  <c r="DO253" i="55" s="1"/>
  <c r="G253" i="55" s="1"/>
  <c r="DP253" i="55" s="1"/>
  <c r="DQ253" i="55" s="1"/>
  <c r="DY253" i="55"/>
  <c r="JC329" i="55"/>
  <c r="GV329" i="55"/>
  <c r="GW329" i="55" s="1"/>
  <c r="GU329" i="55"/>
  <c r="EZ63" i="55"/>
  <c r="JC311" i="55"/>
  <c r="GU311" i="55"/>
  <c r="GV311" i="55"/>
  <c r="HL100" i="55"/>
  <c r="GK100" i="55"/>
  <c r="JU187" i="55"/>
  <c r="JV187" i="55" s="1"/>
  <c r="DR333" i="55" a="1"/>
  <c r="DR333" i="55" s="1"/>
  <c r="DT333" i="55" s="1"/>
  <c r="DU333" i="55"/>
  <c r="HT333" i="55" s="1"/>
  <c r="II333" i="55"/>
  <c r="DK207" i="55"/>
  <c r="DO207" i="55" s="1"/>
  <c r="G207" i="55" s="1"/>
  <c r="DP207" i="55" s="1"/>
  <c r="DQ207" i="55" s="1"/>
  <c r="DY207" i="55"/>
  <c r="FS158" i="55"/>
  <c r="DR58" i="55" a="1"/>
  <c r="DR58" i="55" s="1"/>
  <c r="DT58" i="55" s="1"/>
  <c r="II58" i="55"/>
  <c r="DU58" i="55"/>
  <c r="HT58" i="55" s="1"/>
  <c r="BQ16" i="55"/>
  <c r="BS16" i="55"/>
  <c r="BQ313" i="55"/>
  <c r="E313" i="55" s="1"/>
  <c r="BR313" i="55" s="1"/>
  <c r="CE13" i="55" a="1"/>
  <c r="CE13" i="55" s="1"/>
  <c r="CE184" i="55" a="1"/>
  <c r="CE184" i="55" s="1"/>
  <c r="DO101" i="55"/>
  <c r="HV62" i="55"/>
  <c r="T62" i="55" s="1"/>
  <c r="DK62" i="55"/>
  <c r="DO62" i="55" s="1"/>
  <c r="DY62" i="55"/>
  <c r="HQ62" i="55" s="1"/>
  <c r="HV303" i="55"/>
  <c r="T303" i="55" s="1"/>
  <c r="DY303" i="55"/>
  <c r="HQ303" i="55" s="1"/>
  <c r="DK303" i="55"/>
  <c r="DO303" i="55" s="1"/>
  <c r="JO147" i="55"/>
  <c r="JU147" i="55" s="1"/>
  <c r="HV47" i="55"/>
  <c r="T47" i="55" s="1"/>
  <c r="DK47" i="55"/>
  <c r="DO47" i="55" s="1"/>
  <c r="G47" i="55" s="1"/>
  <c r="DP47" i="55" s="1"/>
  <c r="DQ47" i="55" s="1"/>
  <c r="DY47" i="55"/>
  <c r="DV87" i="55"/>
  <c r="DW87" i="55" s="1"/>
  <c r="JY87" i="55"/>
  <c r="JX87" i="55"/>
  <c r="DM87" i="55"/>
  <c r="DQ87" i="55" s="1"/>
  <c r="JC108" i="55"/>
  <c r="GU108" i="55"/>
  <c r="GV108" i="55"/>
  <c r="GW108" i="55" s="1"/>
  <c r="EO102" i="55" a="1"/>
  <c r="EO102" i="55" s="1"/>
  <c r="W102" i="55"/>
  <c r="DM239" i="55"/>
  <c r="JX239" i="55"/>
  <c r="JY239" i="55"/>
  <c r="DV239" i="55"/>
  <c r="DW239" i="55" s="1"/>
  <c r="GT239" i="55"/>
  <c r="DK95" i="55"/>
  <c r="DY95" i="55"/>
  <c r="FS168" i="55"/>
  <c r="HL82" i="55"/>
  <c r="GK82" i="55"/>
  <c r="JC109" i="55"/>
  <c r="GU109" i="55"/>
  <c r="GV109" i="55"/>
  <c r="JU220" i="55"/>
  <c r="JV220" i="55" s="1"/>
  <c r="DK115" i="55"/>
  <c r="DY115" i="55"/>
  <c r="DK234" i="55"/>
  <c r="DY234" i="55"/>
  <c r="JC240" i="55"/>
  <c r="GU240" i="55"/>
  <c r="GV240" i="55"/>
  <c r="EO299" i="55" a="1"/>
  <c r="EO299" i="55" s="1"/>
  <c r="EQ76" i="55"/>
  <c r="EP76" i="55" a="1"/>
  <c r="EP76" i="55" s="1"/>
  <c r="FS161" i="55"/>
  <c r="DO219" i="55"/>
  <c r="G219" i="55" s="1"/>
  <c r="DP219" i="55" s="1"/>
  <c r="DQ219" i="55" s="1"/>
  <c r="DK110" i="55"/>
  <c r="DY110" i="55"/>
  <c r="EZ54" i="55"/>
  <c r="FS171" i="55"/>
  <c r="DK170" i="55"/>
  <c r="DO170" i="55" s="1"/>
  <c r="DY170" i="55"/>
  <c r="DO141" i="55"/>
  <c r="G141" i="55" s="1"/>
  <c r="DP141" i="55" s="1"/>
  <c r="DQ141" i="55" s="1"/>
  <c r="HL276" i="55"/>
  <c r="GK276" i="55"/>
  <c r="JC309" i="55"/>
  <c r="GV309" i="55"/>
  <c r="GU309" i="55"/>
  <c r="JC141" i="55"/>
  <c r="GU141" i="55"/>
  <c r="GV141" i="55"/>
  <c r="FS246" i="55"/>
  <c r="EQ176" i="55"/>
  <c r="EP176" i="55" a="1"/>
  <c r="EP176" i="55" s="1"/>
  <c r="FS190" i="55"/>
  <c r="JV217" i="55"/>
  <c r="DV185" i="55"/>
  <c r="DW185" i="55" s="1"/>
  <c r="JX185" i="55"/>
  <c r="JY185" i="55"/>
  <c r="DM185" i="55"/>
  <c r="GT185" i="55"/>
  <c r="FS344" i="55"/>
  <c r="GU21" i="55"/>
  <c r="GV21" i="55"/>
  <c r="JC21" i="55"/>
  <c r="FS90" i="55"/>
  <c r="EO78" i="55" a="1"/>
  <c r="EO78" i="55" s="1"/>
  <c r="DO60" i="55"/>
  <c r="DY183" i="55"/>
  <c r="HQ183" i="55" s="1"/>
  <c r="DM275" i="55"/>
  <c r="DV275" i="55"/>
  <c r="DW275" i="55" s="1"/>
  <c r="JX275" i="55"/>
  <c r="JY275" i="55"/>
  <c r="DK113" i="55"/>
  <c r="DO113" i="55" s="1"/>
  <c r="DY113" i="55"/>
  <c r="GT68" i="55"/>
  <c r="HV343" i="55"/>
  <c r="T343" i="55" s="1"/>
  <c r="DK343" i="55"/>
  <c r="DO343" i="55" s="1"/>
  <c r="G343" i="55" s="1"/>
  <c r="DP343" i="55" s="1"/>
  <c r="DQ343" i="55" s="1"/>
  <c r="DY343" i="55"/>
  <c r="EQ318" i="55"/>
  <c r="EP318" i="55" a="1"/>
  <c r="EP318" i="55" s="1"/>
  <c r="DR324" i="55" a="1"/>
  <c r="DR324" i="55" s="1"/>
  <c r="DT324" i="55" s="1"/>
  <c r="DU324" i="55"/>
  <c r="HT324" i="55" s="1"/>
  <c r="II324" i="55"/>
  <c r="JC249" i="55"/>
  <c r="GV249" i="55"/>
  <c r="GW249" i="55" s="1"/>
  <c r="GU249" i="55"/>
  <c r="HL346" i="55"/>
  <c r="GK346" i="55"/>
  <c r="HL73" i="55"/>
  <c r="GK73" i="55"/>
  <c r="HL264" i="55"/>
  <c r="GK264" i="55"/>
  <c r="HL298" i="55"/>
  <c r="GK298" i="55"/>
  <c r="HL318" i="55"/>
  <c r="GK318" i="55"/>
  <c r="DR236" i="55" a="1"/>
  <c r="DR236" i="55" s="1"/>
  <c r="DT236" i="55" s="1"/>
  <c r="DU236" i="55"/>
  <c r="HT236" i="55" s="1"/>
  <c r="JC173" i="55"/>
  <c r="GU173" i="55"/>
  <c r="GV173" i="55"/>
  <c r="DR157" i="55" a="1"/>
  <c r="DR157" i="55" s="1"/>
  <c r="DT157" i="55" s="1"/>
  <c r="II157" i="55"/>
  <c r="DU157" i="55"/>
  <c r="HT157" i="55" s="1"/>
  <c r="DK203" i="55"/>
  <c r="DY203" i="55"/>
  <c r="JC175" i="55"/>
  <c r="GU175" i="55"/>
  <c r="GV175" i="55"/>
  <c r="EQ175" i="55"/>
  <c r="EP175" i="55" a="1"/>
  <c r="EP175" i="55" s="1"/>
  <c r="DR261" i="55" a="1"/>
  <c r="DR261" i="55" s="1"/>
  <c r="DT261" i="55" s="1"/>
  <c r="HQ261" i="55"/>
  <c r="II261" i="55"/>
  <c r="DU261" i="55"/>
  <c r="HT261" i="55" s="1"/>
  <c r="GK68" i="55"/>
  <c r="HL68" i="55"/>
  <c r="EZ303" i="55"/>
  <c r="DK82" i="55"/>
  <c r="DY82" i="55"/>
  <c r="DV167" i="55"/>
  <c r="DW167" i="55" s="1"/>
  <c r="JX167" i="55"/>
  <c r="JY167" i="55"/>
  <c r="DM167" i="55"/>
  <c r="DQ167" i="55" s="1"/>
  <c r="JY186" i="55"/>
  <c r="DM186" i="55"/>
  <c r="DV186" i="55"/>
  <c r="DW186" i="55" s="1"/>
  <c r="JX186" i="55"/>
  <c r="JC271" i="55"/>
  <c r="GU271" i="55"/>
  <c r="GV271" i="55"/>
  <c r="GW271" i="55" s="1"/>
  <c r="JC79" i="55"/>
  <c r="GU79" i="55"/>
  <c r="GV79" i="55"/>
  <c r="JC300" i="55"/>
  <c r="GU300" i="55"/>
  <c r="GV300" i="55"/>
  <c r="EO308" i="55" a="1"/>
  <c r="EO308" i="55" s="1"/>
  <c r="HQ156" i="55"/>
  <c r="DK306" i="55"/>
  <c r="DY306" i="55"/>
  <c r="CE12" i="55" a="1"/>
  <c r="CE12" i="55" s="1"/>
  <c r="CE154" i="55" a="1"/>
  <c r="CE154" i="55" s="1"/>
  <c r="CE20" i="55" a="1"/>
  <c r="CE20" i="55" s="1"/>
  <c r="CE341" i="55" a="1"/>
  <c r="CE341" i="55" s="1"/>
  <c r="CE10" i="55" a="1"/>
  <c r="CE10" i="55" s="1"/>
  <c r="CE130" i="55" a="1"/>
  <c r="CE130" i="55" s="1"/>
  <c r="AT18" i="54" a="1"/>
  <c r="AT18" i="54" s="1"/>
  <c r="BA18" i="54"/>
  <c r="JY208" i="55"/>
  <c r="JX208" i="55"/>
  <c r="DV208" i="55"/>
  <c r="DW208" i="55" s="1"/>
  <c r="DM208" i="55"/>
  <c r="JY215" i="55"/>
  <c r="DV215" i="55"/>
  <c r="DW215" i="55" s="1"/>
  <c r="JX215" i="55"/>
  <c r="DM215" i="55"/>
  <c r="JC150" i="55"/>
  <c r="GU150" i="55"/>
  <c r="GV150" i="55"/>
  <c r="GW150" i="55" s="1"/>
  <c r="HL297" i="55"/>
  <c r="GK297" i="55"/>
  <c r="DR197" i="55" a="1"/>
  <c r="DR197" i="55" s="1"/>
  <c r="DT197" i="55" s="1"/>
  <c r="DU197" i="55"/>
  <c r="HT197" i="55" s="1"/>
  <c r="II197" i="55"/>
  <c r="DV32" i="55"/>
  <c r="DW32" i="55" s="1"/>
  <c r="JX32" i="55"/>
  <c r="JY32" i="55"/>
  <c r="DM32" i="55"/>
  <c r="FS160" i="55"/>
  <c r="DK239" i="55"/>
  <c r="DY239" i="55"/>
  <c r="JO308" i="55"/>
  <c r="FS200" i="55"/>
  <c r="HQ265" i="55"/>
  <c r="DK121" i="55"/>
  <c r="DO121" i="55" s="1"/>
  <c r="DK161" i="55"/>
  <c r="DO161" i="55" s="1"/>
  <c r="DY161" i="55"/>
  <c r="GK243" i="55"/>
  <c r="HL243" i="55"/>
  <c r="EZ328" i="55"/>
  <c r="GT59" i="55"/>
  <c r="DO290" i="55"/>
  <c r="HV230" i="55"/>
  <c r="T230" i="55" s="1"/>
  <c r="DY230" i="55"/>
  <c r="DK230" i="55"/>
  <c r="DO230" i="55" s="1"/>
  <c r="G230" i="55" s="1"/>
  <c r="DP230" i="55" s="1"/>
  <c r="DQ230" i="55" s="1"/>
  <c r="GW164" i="55"/>
  <c r="DM10" i="55"/>
  <c r="DQ10" i="55" s="1"/>
  <c r="JX10" i="55"/>
  <c r="DV10" i="55"/>
  <c r="DW10" i="55" s="1"/>
  <c r="JY10" i="55"/>
  <c r="EZ282" i="55"/>
  <c r="DY36" i="55"/>
  <c r="DM179" i="55"/>
  <c r="DQ179" i="55" s="1"/>
  <c r="JY179" i="55"/>
  <c r="JX179" i="55"/>
  <c r="DV179" i="55"/>
  <c r="DW179" i="55" s="1"/>
  <c r="GT179" i="55"/>
  <c r="DR315" i="55" a="1"/>
  <c r="DR315" i="55" s="1"/>
  <c r="DT315" i="55" s="1"/>
  <c r="DU315" i="55"/>
  <c r="HT315" i="55" s="1"/>
  <c r="II315" i="55"/>
  <c r="IJ315" i="55" s="1"/>
  <c r="FS222" i="55"/>
  <c r="JY67" i="55"/>
  <c r="JX67" i="55"/>
  <c r="DV67" i="55"/>
  <c r="DW67" i="55" s="1"/>
  <c r="DM67" i="55"/>
  <c r="DQ67" i="55" s="1"/>
  <c r="JC292" i="55"/>
  <c r="GU292" i="55"/>
  <c r="GV292" i="55"/>
  <c r="HV214" i="55"/>
  <c r="T214" i="55" s="1"/>
  <c r="DK214" i="55"/>
  <c r="DO214" i="55" s="1"/>
  <c r="G214" i="55" s="1"/>
  <c r="DP214" i="55" s="1"/>
  <c r="DQ214" i="55" s="1"/>
  <c r="DY214" i="55"/>
  <c r="JX237" i="55"/>
  <c r="JY237" i="55"/>
  <c r="DV237" i="55"/>
  <c r="DW237" i="55" s="1"/>
  <c r="DM237" i="55"/>
  <c r="JC85" i="55"/>
  <c r="GU85" i="55"/>
  <c r="GV85" i="55"/>
  <c r="GW85" i="55" s="1"/>
  <c r="JO201" i="55"/>
  <c r="DK273" i="55"/>
  <c r="DO273" i="55" s="1"/>
  <c r="G273" i="55" s="1"/>
  <c r="DP273" i="55" s="1"/>
  <c r="DQ273" i="55" s="1"/>
  <c r="DO217" i="55"/>
  <c r="G217" i="55" s="1"/>
  <c r="DP217" i="55" s="1"/>
  <c r="DQ217" i="55" s="1"/>
  <c r="EZ319" i="55"/>
  <c r="JC196" i="55"/>
  <c r="GU196" i="55"/>
  <c r="GV196" i="55"/>
  <c r="DO98" i="55"/>
  <c r="FS275" i="55"/>
  <c r="FS104" i="55"/>
  <c r="FU104" i="55"/>
  <c r="L104" i="55" s="1"/>
  <c r="FV104" i="55" s="1"/>
  <c r="FW104" i="55" s="1"/>
  <c r="JX137" i="55"/>
  <c r="JY137" i="55"/>
  <c r="DV137" i="55"/>
  <c r="DW137" i="55" s="1"/>
  <c r="DM137" i="55"/>
  <c r="JC99" i="55"/>
  <c r="GU99" i="55"/>
  <c r="GV99" i="55"/>
  <c r="HL179" i="55"/>
  <c r="GK179" i="55"/>
  <c r="DK256" i="55"/>
  <c r="DY256" i="55"/>
  <c r="JY114" i="55"/>
  <c r="JX114" i="55"/>
  <c r="DM114" i="55"/>
  <c r="DQ114" i="55" s="1"/>
  <c r="DV114" i="55"/>
  <c r="DW114" i="55" s="1"/>
  <c r="GT114" i="55"/>
  <c r="JC269" i="55"/>
  <c r="GU269" i="55"/>
  <c r="GV269" i="55"/>
  <c r="GW269" i="55" s="1"/>
  <c r="HL90" i="55"/>
  <c r="GK90" i="55"/>
  <c r="HL311" i="55"/>
  <c r="GK311" i="55"/>
  <c r="HL248" i="55"/>
  <c r="GK248" i="55"/>
  <c r="DR302" i="55" a="1"/>
  <c r="DR302" i="55" s="1"/>
  <c r="DT302" i="55" s="1"/>
  <c r="HQ302" i="55"/>
  <c r="II302" i="55"/>
  <c r="DU302" i="55"/>
  <c r="HT302" i="55" s="1"/>
  <c r="FS110" i="55"/>
  <c r="DK74" i="55"/>
  <c r="DY74" i="55"/>
  <c r="HL158" i="55"/>
  <c r="GK158" i="55"/>
  <c r="JC111" i="55"/>
  <c r="GU111" i="55"/>
  <c r="GV111" i="55"/>
  <c r="DK171" i="55"/>
  <c r="DY171" i="55"/>
  <c r="HL180" i="55"/>
  <c r="GK180" i="55"/>
  <c r="JU203" i="55"/>
  <c r="JV203" i="55" s="1"/>
  <c r="DM328" i="55"/>
  <c r="DQ328" i="55" s="1"/>
  <c r="JX328" i="55"/>
  <c r="DV328" i="55"/>
  <c r="DW328" i="55" s="1"/>
  <c r="JY328" i="55"/>
  <c r="DV152" i="55"/>
  <c r="DW152" i="55" s="1"/>
  <c r="DM152" i="55"/>
  <c r="JX152" i="55"/>
  <c r="JY152" i="55"/>
  <c r="JO105" i="55"/>
  <c r="HM105" i="55"/>
  <c r="M105" i="55" s="1"/>
  <c r="HN105" i="55" s="1"/>
  <c r="DR153" i="55" a="1"/>
  <c r="DR153" i="55" s="1"/>
  <c r="DT153" i="55" s="1"/>
  <c r="II153" i="55"/>
  <c r="DU153" i="55"/>
  <c r="HT153" i="55" s="1"/>
  <c r="JO322" i="55"/>
  <c r="JU322" i="55" s="1"/>
  <c r="JV322" i="55" s="1"/>
  <c r="EO346" i="55" a="1"/>
  <c r="EO346" i="55" s="1"/>
  <c r="JO312" i="55"/>
  <c r="JX91" i="55"/>
  <c r="JY91" i="55"/>
  <c r="DV91" i="55"/>
  <c r="DW91" i="55" s="1"/>
  <c r="DM91" i="55"/>
  <c r="DQ91" i="55" s="1"/>
  <c r="GT91" i="55"/>
  <c r="DO55" i="55"/>
  <c r="JU217" i="55"/>
  <c r="GW294" i="55"/>
  <c r="HL45" i="55"/>
  <c r="GK45" i="55"/>
  <c r="DK183" i="55"/>
  <c r="DO183" i="55" s="1"/>
  <c r="DM104" i="55"/>
  <c r="DQ104" i="55" s="1"/>
  <c r="DV104" i="55"/>
  <c r="DW104" i="55" s="1"/>
  <c r="JX104" i="55"/>
  <c r="JY104" i="55"/>
  <c r="FS113" i="55"/>
  <c r="GT178" i="55"/>
  <c r="DR93" i="55" a="1"/>
  <c r="DR93" i="55" s="1"/>
  <c r="DT93" i="55" s="1"/>
  <c r="II93" i="55"/>
  <c r="DU93" i="55"/>
  <c r="HT93" i="55" s="1"/>
  <c r="GK34" i="55"/>
  <c r="HL34" i="55"/>
  <c r="JO111" i="55"/>
  <c r="JC327" i="55"/>
  <c r="GV327" i="55"/>
  <c r="GW327" i="55" s="1"/>
  <c r="GU327" i="55"/>
  <c r="DM122" i="55"/>
  <c r="DQ122" i="55" s="1"/>
  <c r="DV122" i="55"/>
  <c r="DW122" i="55" s="1"/>
  <c r="JX122" i="55"/>
  <c r="JY122" i="55"/>
  <c r="JV208" i="55"/>
  <c r="DR226" i="55" a="1"/>
  <c r="DR226" i="55" s="1"/>
  <c r="DT226" i="55" s="1"/>
  <c r="DU226" i="55"/>
  <c r="HT226" i="55" s="1"/>
  <c r="II226" i="55"/>
  <c r="GM280" i="55"/>
  <c r="CI280" i="55"/>
  <c r="HV280" i="55" s="1"/>
  <c r="T280" i="55" s="1"/>
  <c r="EV280" i="55"/>
  <c r="EW280" i="55" s="1"/>
  <c r="DR35" i="55" a="1"/>
  <c r="DR35" i="55" s="1"/>
  <c r="DT35" i="55" s="1"/>
  <c r="II35" i="55"/>
  <c r="DU35" i="55"/>
  <c r="HT35" i="55" s="1"/>
  <c r="HQ35" i="55"/>
  <c r="DR243" i="55" a="1"/>
  <c r="DR243" i="55" s="1"/>
  <c r="DT243" i="55" s="1"/>
  <c r="II243" i="55"/>
  <c r="DU243" i="55"/>
  <c r="HT243" i="55" s="1"/>
  <c r="FS188" i="55"/>
  <c r="EO295" i="55" a="1"/>
  <c r="EO295" i="55" s="1"/>
  <c r="W295" i="55"/>
  <c r="FS210" i="55"/>
  <c r="DK69" i="55"/>
  <c r="DO69" i="55" s="1"/>
  <c r="FS59" i="55"/>
  <c r="HL247" i="55"/>
  <c r="GK247" i="55"/>
  <c r="JX350" i="55"/>
  <c r="JY350" i="55"/>
  <c r="DV350" i="55"/>
  <c r="DW350" i="55" s="1"/>
  <c r="DM350" i="55"/>
  <c r="DQ350" i="55" s="1"/>
  <c r="FS122" i="55"/>
  <c r="JC23" i="55"/>
  <c r="GU23" i="55"/>
  <c r="GV23" i="55"/>
  <c r="GW23" i="55" s="1"/>
  <c r="EO165" i="55" a="1"/>
  <c r="EO165" i="55" s="1"/>
  <c r="JC89" i="55"/>
  <c r="GU89" i="55"/>
  <c r="GV89" i="55"/>
  <c r="JU50" i="55"/>
  <c r="JV50" i="55"/>
  <c r="JO50" i="55"/>
  <c r="JP50" i="55" s="1"/>
  <c r="HM50" i="55"/>
  <c r="M50" i="55" s="1"/>
  <c r="HN50" i="55" s="1"/>
  <c r="IL50" i="55" s="1"/>
  <c r="IM50" i="55" s="1"/>
  <c r="DV288" i="55"/>
  <c r="DW288" i="55" s="1"/>
  <c r="JX288" i="55"/>
  <c r="JY288" i="55"/>
  <c r="DM288" i="55"/>
  <c r="DQ288" i="55" s="1"/>
  <c r="GT288" i="55"/>
  <c r="DR193" i="55" a="1"/>
  <c r="DR193" i="55" s="1"/>
  <c r="DT193" i="55" s="1"/>
  <c r="II193" i="55"/>
  <c r="DU193" i="55"/>
  <c r="HT193" i="55" s="1"/>
  <c r="JO257" i="55"/>
  <c r="DM107" i="55"/>
  <c r="DQ107" i="55" s="1"/>
  <c r="DV107" i="55"/>
  <c r="DW107" i="55" s="1"/>
  <c r="JX107" i="55"/>
  <c r="JY107" i="55"/>
  <c r="DY281" i="55"/>
  <c r="DK59" i="55"/>
  <c r="DY59" i="55"/>
  <c r="BQ17" i="54" a="1"/>
  <c r="BQ17" i="54" s="1"/>
  <c r="BU17" i="54" a="1"/>
  <c r="BU17" i="54" s="1"/>
  <c r="BM17" i="54" a="1"/>
  <c r="BM17" i="54" s="1"/>
  <c r="W62" i="55" s="1"/>
  <c r="EZ114" i="55"/>
  <c r="HL74" i="55"/>
  <c r="GK74" i="55"/>
  <c r="GT280" i="55"/>
  <c r="JC169" i="55"/>
  <c r="GU169" i="55"/>
  <c r="GV169" i="55"/>
  <c r="JC333" i="55"/>
  <c r="GU333" i="55"/>
  <c r="GV333" i="55"/>
  <c r="GW333" i="55" s="1"/>
  <c r="FS140" i="55"/>
  <c r="JC15" i="55"/>
  <c r="GU15" i="55"/>
  <c r="GV15" i="55"/>
  <c r="DM109" i="55"/>
  <c r="DQ109" i="55" s="1"/>
  <c r="JX109" i="55"/>
  <c r="JY109" i="55"/>
  <c r="DV109" i="55"/>
  <c r="DW109" i="55" s="1"/>
  <c r="EQ75" i="55"/>
  <c r="EP75" i="55" a="1"/>
  <c r="EP75" i="55" s="1"/>
  <c r="EZ271" i="55"/>
  <c r="JC139" i="55"/>
  <c r="GV139" i="55"/>
  <c r="GU139" i="55"/>
  <c r="EO103" i="55" a="1"/>
  <c r="EO103" i="55" s="1"/>
  <c r="GK351" i="55"/>
  <c r="HL351" i="55"/>
  <c r="JO302" i="55"/>
  <c r="DM182" i="55"/>
  <c r="DQ182" i="55" s="1"/>
  <c r="DV182" i="55"/>
  <c r="DW182" i="55" s="1"/>
  <c r="JY182" i="55"/>
  <c r="JX182" i="55"/>
  <c r="GT182" i="55"/>
  <c r="GK268" i="55"/>
  <c r="HL268" i="55"/>
  <c r="EO53" i="55" a="1"/>
  <c r="EO53" i="55" s="1"/>
  <c r="W53" i="55"/>
  <c r="EO341" i="55" a="1"/>
  <c r="EO341" i="55" s="1"/>
  <c r="W341" i="55"/>
  <c r="EO327" i="55" a="1"/>
  <c r="EO327" i="55" s="1"/>
  <c r="JC117" i="55"/>
  <c r="GV117" i="55"/>
  <c r="GU117" i="55"/>
  <c r="DK158" i="55"/>
  <c r="DY158" i="55"/>
  <c r="FS340" i="55"/>
  <c r="HL24" i="55"/>
  <c r="GK24" i="55"/>
  <c r="BA30" i="54"/>
  <c r="AT30" i="54" a="1"/>
  <c r="AT30" i="54" s="1"/>
  <c r="X30" i="54" s="1"/>
  <c r="BB30" i="54" s="1"/>
  <c r="G6" i="57"/>
  <c r="GG4" i="55"/>
  <c r="GG3" i="55"/>
  <c r="BA29" i="54"/>
  <c r="AT29" i="54" a="1"/>
  <c r="AT29" i="54" s="1"/>
  <c r="AT25" i="54" a="1"/>
  <c r="AT25" i="54" s="1"/>
  <c r="BA25" i="54"/>
  <c r="X25" i="54"/>
  <c r="BB25" i="54" s="1"/>
  <c r="AT21" i="54" a="1"/>
  <c r="AT21" i="54" s="1"/>
  <c r="BA21" i="54"/>
  <c r="DM81" i="55"/>
  <c r="DQ81" i="55" s="1"/>
  <c r="DV81" i="55"/>
  <c r="DW81" i="55" s="1"/>
  <c r="JX81" i="55"/>
  <c r="JY81" i="55"/>
  <c r="DR154" i="55" a="1"/>
  <c r="DR154" i="55" s="1"/>
  <c r="DT154" i="55" s="1"/>
  <c r="DU154" i="55"/>
  <c r="HT154" i="55" s="1"/>
  <c r="II154" i="55"/>
  <c r="JC228" i="55"/>
  <c r="GV228" i="55"/>
  <c r="GW228" i="55" s="1"/>
  <c r="GU228" i="55"/>
  <c r="DO285" i="55"/>
  <c r="EO39" i="55" a="1"/>
  <c r="EO39" i="55" s="1"/>
  <c r="DY252" i="55"/>
  <c r="JC211" i="55"/>
  <c r="GU211" i="55"/>
  <c r="GV211" i="55"/>
  <c r="DK160" i="55"/>
  <c r="DY160" i="55"/>
  <c r="DK87" i="55"/>
  <c r="DY87" i="55"/>
  <c r="DR206" i="55" a="1"/>
  <c r="DR206" i="55" s="1"/>
  <c r="DT206" i="55" s="1"/>
  <c r="HQ206" i="55"/>
  <c r="II206" i="55"/>
  <c r="DU206" i="55"/>
  <c r="HT206" i="55" s="1"/>
  <c r="EO162" i="55" a="1"/>
  <c r="EO162" i="55" s="1"/>
  <c r="FS68" i="55"/>
  <c r="DY175" i="55"/>
  <c r="HQ175" i="55" s="1"/>
  <c r="EO86" i="55" a="1"/>
  <c r="EO86" i="55" s="1"/>
  <c r="JY128" i="55"/>
  <c r="DV128" i="55"/>
  <c r="DW128" i="55" s="1"/>
  <c r="JX128" i="55"/>
  <c r="DM128" i="55"/>
  <c r="DQ128" i="55" s="1"/>
  <c r="GW244" i="55"/>
  <c r="DK178" i="55"/>
  <c r="DY178" i="55"/>
  <c r="JO196" i="55"/>
  <c r="JU196" i="55" s="1"/>
  <c r="JV196" i="55" s="1"/>
  <c r="GG336" i="55"/>
  <c r="GG335" i="55"/>
  <c r="DO117" i="55"/>
  <c r="DK200" i="55"/>
  <c r="DY200" i="55"/>
  <c r="DY125" i="55"/>
  <c r="DY40" i="55"/>
  <c r="GT67" i="55"/>
  <c r="GT9" i="55"/>
  <c r="FW26" i="55"/>
  <c r="W174" i="55"/>
  <c r="EO174" i="55" a="1"/>
  <c r="EO174" i="55" s="1"/>
  <c r="DK328" i="55"/>
  <c r="DY328" i="55"/>
  <c r="JY279" i="55"/>
  <c r="DV279" i="55"/>
  <c r="DW279" i="55" s="1"/>
  <c r="JX279" i="55"/>
  <c r="DM279" i="55"/>
  <c r="GT279" i="55"/>
  <c r="JO109" i="55"/>
  <c r="FU10" i="55"/>
  <c r="L10" i="55" s="1"/>
  <c r="FV10" i="55" s="1"/>
  <c r="FW10" i="55" s="1"/>
  <c r="EQ111" i="55"/>
  <c r="EP111" i="55" a="1"/>
  <c r="EP111" i="55" s="1"/>
  <c r="DK152" i="55"/>
  <c r="DY152" i="55"/>
  <c r="HV111" i="55"/>
  <c r="T111" i="55" s="1"/>
  <c r="DK111" i="55"/>
  <c r="DO111" i="55" s="1"/>
  <c r="DY111" i="55"/>
  <c r="HQ111" i="55" s="1"/>
  <c r="JO194" i="55"/>
  <c r="JU194" i="55" s="1"/>
  <c r="DK36" i="55"/>
  <c r="DO36" i="55" s="1"/>
  <c r="G36" i="55" s="1"/>
  <c r="DP36" i="55" s="1"/>
  <c r="DQ36" i="55" s="1"/>
  <c r="HL219" i="55"/>
  <c r="GK219" i="55"/>
  <c r="DK222" i="55"/>
  <c r="DY222" i="55"/>
  <c r="DM136" i="55"/>
  <c r="JX136" i="55"/>
  <c r="JY136" i="55"/>
  <c r="DV136" i="55"/>
  <c r="DW136" i="55" s="1"/>
  <c r="GT136" i="55"/>
  <c r="HQ71" i="55"/>
  <c r="JO233" i="55"/>
  <c r="DM338" i="55"/>
  <c r="DQ338" i="55" s="1"/>
  <c r="DV338" i="55"/>
  <c r="DW338" i="55" s="1"/>
  <c r="GT338" i="55"/>
  <c r="JX338" i="55"/>
  <c r="JY338" i="55"/>
  <c r="DR300" i="55" a="1"/>
  <c r="DR300" i="55" s="1"/>
  <c r="DT300" i="55" s="1"/>
  <c r="II300" i="55"/>
  <c r="DU300" i="55"/>
  <c r="HT300" i="55" s="1"/>
  <c r="BU26" i="54" a="1"/>
  <c r="BU26" i="54" s="1"/>
  <c r="BQ26" i="54" a="1"/>
  <c r="BQ26" i="54" s="1"/>
  <c r="BM26" i="54" a="1"/>
  <c r="BM26" i="54" s="1"/>
  <c r="DO291" i="55"/>
  <c r="GK204" i="55"/>
  <c r="HL204" i="55"/>
  <c r="JC86" i="55"/>
  <c r="GU86" i="55"/>
  <c r="GV86" i="55"/>
  <c r="GW86" i="55" s="1"/>
  <c r="DO187" i="55"/>
  <c r="G187" i="55" s="1"/>
  <c r="DP187" i="55" s="1"/>
  <c r="DQ187" i="55" s="1"/>
  <c r="DM134" i="55"/>
  <c r="JY134" i="55"/>
  <c r="JX134" i="55"/>
  <c r="DV134" i="55"/>
  <c r="DW134" i="55" s="1"/>
  <c r="GT134" i="55"/>
  <c r="HV174" i="55"/>
  <c r="T174" i="55" s="1"/>
  <c r="DK174" i="55"/>
  <c r="DO174" i="55" s="1"/>
  <c r="DY174" i="55"/>
  <c r="HQ174" i="55" s="1"/>
  <c r="GT144" i="55"/>
  <c r="DK352" i="55"/>
  <c r="DO352" i="55" s="1"/>
  <c r="DY352" i="55"/>
  <c r="DK104" i="55"/>
  <c r="DY104" i="55"/>
  <c r="EZ352" i="55"/>
  <c r="DM319" i="55"/>
  <c r="DQ319" i="55" s="1"/>
  <c r="JY319" i="55"/>
  <c r="DV319" i="55"/>
  <c r="DW319" i="55" s="1"/>
  <c r="JX319" i="55"/>
  <c r="GT319" i="55"/>
  <c r="JC219" i="55"/>
  <c r="GV219" i="55"/>
  <c r="GU219" i="55"/>
  <c r="GU20" i="55"/>
  <c r="JC20" i="55"/>
  <c r="GV20" i="55"/>
  <c r="JO295" i="55"/>
  <c r="HL234" i="55"/>
  <c r="GK234" i="55"/>
  <c r="HL142" i="55"/>
  <c r="GK142" i="55"/>
  <c r="HL215" i="55"/>
  <c r="GK215" i="55"/>
  <c r="DR349" i="55" a="1"/>
  <c r="DR349" i="55" s="1"/>
  <c r="DT349" i="55" s="1"/>
  <c r="II349" i="55"/>
  <c r="DU349" i="55"/>
  <c r="HT349" i="55" s="1"/>
  <c r="DO58" i="55"/>
  <c r="DV241" i="55"/>
  <c r="DW241" i="55" s="1"/>
  <c r="JY241" i="55"/>
  <c r="JX241" i="55"/>
  <c r="DM241" i="55"/>
  <c r="GT223" i="55"/>
  <c r="DR242" i="55" a="1"/>
  <c r="DR242" i="55" s="1"/>
  <c r="DT242" i="55" s="1"/>
  <c r="II242" i="55"/>
  <c r="HQ242" i="55"/>
  <c r="DU242" i="55"/>
  <c r="HT242" i="55" s="1"/>
  <c r="FS107" i="55"/>
  <c r="DK281" i="55"/>
  <c r="DO281" i="55" s="1"/>
  <c r="G281" i="55" s="1"/>
  <c r="DP281" i="55" s="1"/>
  <c r="DQ281" i="55" s="1"/>
  <c r="EO164" i="55" a="1"/>
  <c r="EO164" i="55" s="1"/>
  <c r="JO189" i="55"/>
  <c r="JU189" i="55" s="1"/>
  <c r="HL120" i="55"/>
  <c r="GK120" i="55"/>
  <c r="DY332" i="55"/>
  <c r="HQ332" i="55" s="1"/>
  <c r="JC143" i="55"/>
  <c r="GU143" i="55"/>
  <c r="GV143" i="55"/>
  <c r="DR290" i="55" a="1"/>
  <c r="DR290" i="55" s="1"/>
  <c r="DT290" i="55" s="1"/>
  <c r="DU290" i="55"/>
  <c r="HT290" i="55" s="1"/>
  <c r="II290" i="55"/>
  <c r="DV224" i="55"/>
  <c r="DW224" i="55" s="1"/>
  <c r="JY224" i="55"/>
  <c r="JX224" i="55"/>
  <c r="DM224" i="55"/>
  <c r="DQ224" i="55" s="1"/>
  <c r="DK140" i="55"/>
  <c r="DY140" i="55"/>
  <c r="DK301" i="55"/>
  <c r="DY301" i="55"/>
  <c r="JC137" i="55"/>
  <c r="GV137" i="55"/>
  <c r="GU137" i="55"/>
  <c r="DR233" i="55" a="1"/>
  <c r="DR233" i="55" s="1"/>
  <c r="DT233" i="55" s="1"/>
  <c r="DU233" i="55"/>
  <c r="HT233" i="55" s="1"/>
  <c r="II233" i="55"/>
  <c r="HQ72" i="55"/>
  <c r="DR291" i="55" a="1"/>
  <c r="DR291" i="55" s="1"/>
  <c r="DT291" i="55" s="1"/>
  <c r="II291" i="55"/>
  <c r="DU291" i="55"/>
  <c r="HT291" i="55" s="1"/>
  <c r="GK59" i="55"/>
  <c r="HL59" i="55"/>
  <c r="EV27" i="55"/>
  <c r="EW27" i="55" s="1"/>
  <c r="Q27" i="55" s="1"/>
  <c r="W307" i="55"/>
  <c r="EO307" i="55" a="1"/>
  <c r="EO307" i="55" s="1"/>
  <c r="JO159" i="55"/>
  <c r="JU159" i="55" s="1"/>
  <c r="JU209" i="55"/>
  <c r="JV209" i="55" s="1"/>
  <c r="DM322" i="55"/>
  <c r="DQ322" i="55" s="1"/>
  <c r="DV322" i="55"/>
  <c r="DW322" i="55" s="1"/>
  <c r="JX322" i="55"/>
  <c r="JY322" i="55"/>
  <c r="JY64" i="55"/>
  <c r="JX64" i="55"/>
  <c r="DV64" i="55"/>
  <c r="DW64" i="55" s="1"/>
  <c r="DM64" i="55"/>
  <c r="DQ64" i="55" s="1"/>
  <c r="GT64" i="55"/>
  <c r="JU80" i="55"/>
  <c r="JV80" i="55" s="1"/>
  <c r="DK340" i="55"/>
  <c r="DY340" i="55"/>
  <c r="DK194" i="55"/>
  <c r="DY194" i="55"/>
  <c r="BQ7" i="55"/>
  <c r="BS7" i="55"/>
  <c r="BQ102" i="55"/>
  <c r="E102" i="55" s="1"/>
  <c r="BR102" i="55" s="1"/>
  <c r="DK208" i="55"/>
  <c r="DY208" i="55"/>
  <c r="JX249" i="55"/>
  <c r="JY249" i="55"/>
  <c r="DM249" i="55"/>
  <c r="DV249" i="55"/>
  <c r="DW249" i="55" s="1"/>
  <c r="JY15" i="55"/>
  <c r="JX15" i="55"/>
  <c r="DV15" i="55"/>
  <c r="DW15" i="55" s="1"/>
  <c r="DM15" i="55"/>
  <c r="DQ15" i="55" s="1"/>
  <c r="GT186" i="55"/>
  <c r="DY287" i="55"/>
  <c r="HQ287" i="55" s="1"/>
  <c r="GK146" i="55"/>
  <c r="HL146" i="55"/>
  <c r="FS32" i="55"/>
  <c r="DK252" i="55"/>
  <c r="DO252" i="55" s="1"/>
  <c r="G252" i="55" s="1"/>
  <c r="DP252" i="55" s="1"/>
  <c r="DQ252" i="55" s="1"/>
  <c r="EO287" i="55" a="1"/>
  <c r="EO287" i="55" s="1"/>
  <c r="HQ116" i="55"/>
  <c r="DR131" i="55" a="1"/>
  <c r="DR131" i="55" s="1"/>
  <c r="DT131" i="55" s="1"/>
  <c r="II131" i="55"/>
  <c r="IJ131" i="55" s="1"/>
  <c r="DU131" i="55"/>
  <c r="HT131" i="55" s="1"/>
  <c r="DK175" i="55"/>
  <c r="DO175" i="55" s="1"/>
  <c r="GK87" i="55"/>
  <c r="HL87" i="55"/>
  <c r="EZ72" i="55"/>
  <c r="GT278" i="55"/>
  <c r="JC163" i="55"/>
  <c r="GV163" i="55"/>
  <c r="GW163" i="55" s="1"/>
  <c r="GU163" i="55"/>
  <c r="GT104" i="55"/>
  <c r="DO220" i="55"/>
  <c r="GK35" i="55"/>
  <c r="HL35" i="55"/>
  <c r="DK125" i="55"/>
  <c r="DO125" i="55" s="1"/>
  <c r="DK40" i="55"/>
  <c r="DO40" i="55" s="1"/>
  <c r="G40" i="55" s="1"/>
  <c r="DP40" i="55" s="1"/>
  <c r="DQ40" i="55" s="1"/>
  <c r="EZ260" i="55"/>
  <c r="FS328" i="55"/>
  <c r="HQ80" i="55"/>
  <c r="JY267" i="55"/>
  <c r="JX267" i="55"/>
  <c r="DV267" i="55"/>
  <c r="DW267" i="55" s="1"/>
  <c r="DM267" i="55"/>
  <c r="GT267" i="55"/>
  <c r="EO112" i="55" a="1"/>
  <c r="EO112" i="55" s="1"/>
  <c r="JO86" i="55"/>
  <c r="FS179" i="55"/>
  <c r="JU94" i="55"/>
  <c r="JV94" i="55" s="1"/>
  <c r="DK136" i="55"/>
  <c r="DO136" i="55" s="1"/>
  <c r="G136" i="55" s="1"/>
  <c r="DP136" i="55" s="1"/>
  <c r="DQ136" i="55" s="1"/>
  <c r="DY136" i="55"/>
  <c r="JC63" i="55"/>
  <c r="GU63" i="55"/>
  <c r="GV63" i="55"/>
  <c r="DR125" i="55" a="1"/>
  <c r="DR125" i="55" s="1"/>
  <c r="DT125" i="55" s="1"/>
  <c r="II125" i="55"/>
  <c r="HQ125" i="55"/>
  <c r="DU125" i="55"/>
  <c r="HT125" i="55" s="1"/>
  <c r="HL305" i="55"/>
  <c r="GK305" i="55"/>
  <c r="EZ225" i="55"/>
  <c r="DK91" i="55"/>
  <c r="DY91" i="55"/>
  <c r="HV311" i="55"/>
  <c r="T311" i="55" s="1"/>
  <c r="DK311" i="55"/>
  <c r="DO311" i="55" s="1"/>
  <c r="DY311" i="55"/>
  <c r="HQ311" i="55" s="1"/>
  <c r="DK237" i="55"/>
  <c r="DY237" i="55"/>
  <c r="GK167" i="55"/>
  <c r="HL167" i="55"/>
  <c r="HL304" i="55"/>
  <c r="GK304" i="55"/>
  <c r="DK185" i="55"/>
  <c r="DY185" i="55"/>
  <c r="JX260" i="55"/>
  <c r="JY260" i="55"/>
  <c r="DV260" i="55"/>
  <c r="DW260" i="55" s="1"/>
  <c r="DM260" i="55"/>
  <c r="DR348" i="55" a="1"/>
  <c r="DR348" i="55" s="1"/>
  <c r="DT348" i="55" s="1"/>
  <c r="DU348" i="55"/>
  <c r="HT348" i="55" s="1"/>
  <c r="II348" i="55"/>
  <c r="GK171" i="55"/>
  <c r="HL171" i="55"/>
  <c r="DR84" i="55" a="1"/>
  <c r="DR84" i="55" s="1"/>
  <c r="DT84" i="55" s="1"/>
  <c r="DU84" i="55"/>
  <c r="HT84" i="55" s="1"/>
  <c r="II84" i="55"/>
  <c r="IJ84" i="55" s="1"/>
  <c r="HQ84" i="55"/>
  <c r="DR337" i="55" a="1"/>
  <c r="DR337" i="55" s="1"/>
  <c r="DT337" i="55" s="1"/>
  <c r="DU337" i="55"/>
  <c r="HT337" i="55" s="1"/>
  <c r="II337" i="55"/>
  <c r="FS256" i="55"/>
  <c r="JO240" i="55"/>
  <c r="JU240" i="55" s="1"/>
  <c r="JV240" i="55" s="1"/>
  <c r="HL79" i="55"/>
  <c r="GK79" i="55"/>
  <c r="HL162" i="55"/>
  <c r="GK162" i="55"/>
  <c r="HL267" i="55"/>
  <c r="GK267" i="55"/>
  <c r="JC328" i="55"/>
  <c r="GV328" i="55"/>
  <c r="GW328" i="55" s="1"/>
  <c r="GU328" i="55"/>
  <c r="FS203" i="55"/>
  <c r="FS334" i="55"/>
  <c r="FS253" i="55"/>
  <c r="FS45" i="55"/>
  <c r="JO199" i="55"/>
  <c r="CE8" i="55" a="1"/>
  <c r="CE8" i="55" s="1"/>
  <c r="CE53" i="55" a="1"/>
  <c r="CE53" i="55" s="1"/>
  <c r="JC222" i="55"/>
  <c r="GU222" i="55"/>
  <c r="GV222" i="55"/>
  <c r="GW222" i="55" s="1"/>
  <c r="JC208" i="55"/>
  <c r="GU208" i="55"/>
  <c r="GV208" i="55"/>
  <c r="GW208" i="55" s="1"/>
  <c r="JC215" i="55"/>
  <c r="GU215" i="55"/>
  <c r="GV215" i="55"/>
  <c r="DK107" i="55"/>
  <c r="DO107" i="55" s="1"/>
  <c r="DY107" i="55"/>
  <c r="DM310" i="55"/>
  <c r="DQ310" i="55" s="1"/>
  <c r="JY310" i="55"/>
  <c r="JX310" i="55"/>
  <c r="DV310" i="55"/>
  <c r="DW310" i="55" s="1"/>
  <c r="GT310" i="55"/>
  <c r="DR101" i="55" a="1"/>
  <c r="DR101" i="55" s="1"/>
  <c r="DT101" i="55" s="1"/>
  <c r="II101" i="55"/>
  <c r="HQ101" i="55"/>
  <c r="DU101" i="55"/>
  <c r="HT101" i="55" s="1"/>
  <c r="JC317" i="55"/>
  <c r="GU317" i="55"/>
  <c r="GV317" i="55" s="1"/>
  <c r="GW317" i="55" s="1"/>
  <c r="DM42" i="55"/>
  <c r="JY42" i="55"/>
  <c r="JX42" i="55"/>
  <c r="DV42" i="55"/>
  <c r="DW42" i="55" s="1"/>
  <c r="DR83" i="55" a="1"/>
  <c r="DR83" i="55" s="1"/>
  <c r="DT83" i="55" s="1"/>
  <c r="DU83" i="55"/>
  <c r="HT83" i="55" s="1"/>
  <c r="II83" i="55"/>
  <c r="IJ83" i="55" s="1"/>
  <c r="JC153" i="55"/>
  <c r="GU153" i="55"/>
  <c r="GV153" i="55"/>
  <c r="EO156" i="55" a="1"/>
  <c r="EO156" i="55" s="1"/>
  <c r="W156" i="55"/>
  <c r="HL136" i="55"/>
  <c r="GK136" i="55"/>
  <c r="JC125" i="55"/>
  <c r="GU125" i="55"/>
  <c r="GV125" i="55"/>
  <c r="HL265" i="55"/>
  <c r="GK265" i="55"/>
  <c r="FS208" i="55"/>
  <c r="DK81" i="55"/>
  <c r="DY81" i="55"/>
  <c r="DK215" i="55"/>
  <c r="DY215" i="55"/>
  <c r="JY254" i="55"/>
  <c r="DV254" i="55"/>
  <c r="DW254" i="55" s="1"/>
  <c r="JX254" i="55"/>
  <c r="DM254" i="55"/>
  <c r="JO218" i="55"/>
  <c r="JO266" i="55"/>
  <c r="JU266" i="55" s="1"/>
  <c r="FU87" i="55"/>
  <c r="L87" i="55" s="1"/>
  <c r="FV87" i="55" s="1"/>
  <c r="FW87" i="55" s="1"/>
  <c r="FS87" i="55"/>
  <c r="DV138" i="55"/>
  <c r="DW138" i="55" s="1"/>
  <c r="JY138" i="55"/>
  <c r="JX138" i="55"/>
  <c r="DM138" i="55"/>
  <c r="GT138" i="55"/>
  <c r="JC65" i="55"/>
  <c r="GU65" i="55"/>
  <c r="GV65" i="55"/>
  <c r="EO19" i="55" a="1"/>
  <c r="EO19" i="55" s="1"/>
  <c r="W19" i="55"/>
  <c r="HL326" i="55"/>
  <c r="GK326" i="55"/>
  <c r="HL256" i="55"/>
  <c r="GK256" i="55"/>
  <c r="DR49" i="55" a="1"/>
  <c r="DR49" i="55" s="1"/>
  <c r="DT49" i="55" s="1"/>
  <c r="II49" i="55"/>
  <c r="DU49" i="55"/>
  <c r="HT49" i="55" s="1"/>
  <c r="HQ49" i="55"/>
  <c r="EO80" i="55" a="1"/>
  <c r="EO80" i="55" s="1"/>
  <c r="JX293" i="55"/>
  <c r="JY293" i="55"/>
  <c r="DV293" i="55"/>
  <c r="DW293" i="55" s="1"/>
  <c r="DM293" i="55"/>
  <c r="DQ293" i="55" s="1"/>
  <c r="JC212" i="55"/>
  <c r="GU212" i="55"/>
  <c r="GV212" i="55"/>
  <c r="HL230" i="55"/>
  <c r="GK230" i="55"/>
  <c r="DM250" i="55"/>
  <c r="JX250" i="55"/>
  <c r="JY250" i="55"/>
  <c r="DV250" i="55"/>
  <c r="DW250" i="55" s="1"/>
  <c r="FS67" i="55"/>
  <c r="EO71" i="55" a="1"/>
  <c r="EO71" i="55" s="1"/>
  <c r="JO307" i="55"/>
  <c r="FS91" i="55"/>
  <c r="FS185" i="55"/>
  <c r="EZ174" i="55"/>
  <c r="JC29" i="55"/>
  <c r="GU29" i="55"/>
  <c r="GV29" i="55"/>
  <c r="GW29" i="55" s="1"/>
  <c r="DK275" i="55"/>
  <c r="DY275" i="55"/>
  <c r="DK137" i="55"/>
  <c r="DY137" i="55"/>
  <c r="FS319" i="55"/>
  <c r="DR99" i="55" a="1"/>
  <c r="DR99" i="55" s="1"/>
  <c r="DT99" i="55" s="1"/>
  <c r="DU99" i="55"/>
  <c r="HT99" i="55" s="1"/>
  <c r="II99" i="55"/>
  <c r="HL238" i="55"/>
  <c r="GK238" i="55"/>
  <c r="JO337" i="55"/>
  <c r="HM337" i="55"/>
  <c r="M337" i="55" s="1"/>
  <c r="HN337" i="55" s="1"/>
  <c r="DR312" i="55" a="1"/>
  <c r="DR312" i="55" s="1"/>
  <c r="DT312" i="55" s="1"/>
  <c r="HQ312" i="55"/>
  <c r="DU312" i="55"/>
  <c r="HT312" i="55" s="1"/>
  <c r="II312" i="55"/>
  <c r="JX257" i="55"/>
  <c r="DV257" i="55"/>
  <c r="DW257" i="55" s="1"/>
  <c r="JY257" i="55"/>
  <c r="DM257" i="55"/>
  <c r="FS114" i="55"/>
  <c r="HL200" i="55"/>
  <c r="GK200" i="55"/>
  <c r="HL251" i="55"/>
  <c r="GK251" i="55"/>
  <c r="GK327" i="55"/>
  <c r="HL327" i="55"/>
  <c r="GK139" i="55"/>
  <c r="HL139" i="55"/>
  <c r="HL288" i="55"/>
  <c r="GK288" i="55"/>
  <c r="HL106" i="55"/>
  <c r="GK106" i="55"/>
  <c r="DR117" i="55" a="1"/>
  <c r="DR117" i="55" s="1"/>
  <c r="DT117" i="55" s="1"/>
  <c r="II117" i="55"/>
  <c r="DU117" i="55"/>
  <c r="HT117" i="55" s="1"/>
  <c r="BS5" i="55"/>
  <c r="BQ5" i="55"/>
  <c r="BQ336" i="55"/>
  <c r="E336" i="55" s="1"/>
  <c r="BR336" i="55" s="1"/>
  <c r="BQ335" i="55"/>
  <c r="E335" i="55" s="1"/>
  <c r="BR335" i="55" s="1"/>
  <c r="CE17" i="55" a="1"/>
  <c r="CE17" i="55" s="1"/>
  <c r="CE317" i="55" a="1"/>
  <c r="CE317" i="55" s="1"/>
  <c r="BA28" i="54"/>
  <c r="AT28" i="54" a="1"/>
  <c r="AT28" i="54" s="1"/>
  <c r="X28" i="54" s="1"/>
  <c r="BB28" i="54" s="1"/>
  <c r="CE29" i="55" a="1"/>
  <c r="CE29" i="55" s="1"/>
  <c r="CE31" i="55" a="1"/>
  <c r="CE31" i="55" s="1"/>
  <c r="FS81" i="55"/>
  <c r="FU81" i="55"/>
  <c r="L81" i="55" s="1"/>
  <c r="FV81" i="55" s="1"/>
  <c r="FW81" i="55" s="1"/>
  <c r="FS215" i="55"/>
  <c r="FU15" i="55"/>
  <c r="L15" i="55" s="1"/>
  <c r="FV15" i="55" s="1"/>
  <c r="FW15" i="55" s="1"/>
  <c r="DY132" i="55"/>
  <c r="DV335" i="55"/>
  <c r="DW335" i="55" s="1"/>
  <c r="DM335" i="55"/>
  <c r="DQ335" i="55" s="1"/>
  <c r="JY335" i="55"/>
  <c r="JX335" i="55"/>
  <c r="GU302" i="55"/>
  <c r="JC302" i="55"/>
  <c r="GV302" i="55"/>
  <c r="EZ145" i="55"/>
  <c r="GK316" i="55"/>
  <c r="HL316" i="55"/>
  <c r="JY305" i="55"/>
  <c r="JX305" i="55"/>
  <c r="DV305" i="55"/>
  <c r="DW305" i="55" s="1"/>
  <c r="DM305" i="55"/>
  <c r="DQ305" i="55" s="1"/>
  <c r="DK46" i="55"/>
  <c r="DO46" i="55" s="1"/>
  <c r="G46" i="55" s="1"/>
  <c r="DP46" i="55" s="1"/>
  <c r="DQ46" i="55" s="1"/>
  <c r="DY46" i="55"/>
  <c r="JY17" i="55"/>
  <c r="DM17" i="55"/>
  <c r="DQ17" i="55" s="1"/>
  <c r="JX17" i="55"/>
  <c r="DV17" i="55"/>
  <c r="DW17" i="55" s="1"/>
  <c r="EO326" i="55" a="1"/>
  <c r="EO326" i="55" s="1"/>
  <c r="GK71" i="55"/>
  <c r="HL71" i="55"/>
  <c r="DK68" i="55"/>
  <c r="DY68" i="55"/>
  <c r="GT232" i="55"/>
  <c r="JC217" i="55"/>
  <c r="GV217" i="55"/>
  <c r="GU217" i="55"/>
  <c r="DK269" i="55"/>
  <c r="DO269" i="55" s="1"/>
  <c r="G269" i="55" s="1"/>
  <c r="DP269" i="55" s="1"/>
  <c r="DQ269" i="55" s="1"/>
  <c r="EO332" i="55" a="1"/>
  <c r="EO332" i="55" s="1"/>
  <c r="GT347" i="55"/>
  <c r="DY143" i="55"/>
  <c r="GT16" i="55"/>
  <c r="JC247" i="55"/>
  <c r="GV247" i="55"/>
  <c r="GU247" i="55"/>
  <c r="DM97" i="55"/>
  <c r="DQ97" i="55" s="1"/>
  <c r="JY97" i="55"/>
  <c r="DV97" i="55"/>
  <c r="DW97" i="55" s="1"/>
  <c r="JX97" i="55"/>
  <c r="EZ272" i="55"/>
  <c r="HV169" i="55"/>
  <c r="T169" i="55" s="1"/>
  <c r="DK169" i="55"/>
  <c r="DO169" i="55" s="1"/>
  <c r="DY169" i="55"/>
  <c r="HQ169" i="55" s="1"/>
  <c r="GT127" i="55"/>
  <c r="DK279" i="55"/>
  <c r="DY279" i="55"/>
  <c r="FS267" i="55"/>
  <c r="FS152" i="55"/>
  <c r="DK179" i="55"/>
  <c r="DY179" i="55"/>
  <c r="EO5" i="55" a="1"/>
  <c r="EO5" i="55" s="1"/>
  <c r="DV94" i="55"/>
  <c r="DW94" i="55" s="1"/>
  <c r="DM94" i="55"/>
  <c r="DQ94" i="55" s="1"/>
  <c r="JX94" i="55"/>
  <c r="JY94" i="55"/>
  <c r="GT94" i="55"/>
  <c r="FS136" i="55"/>
  <c r="EZ113" i="55"/>
  <c r="JC192" i="55"/>
  <c r="GU192" i="55"/>
  <c r="GV192" i="55"/>
  <c r="GW192" i="55" s="1"/>
  <c r="FS338" i="55"/>
  <c r="HL197" i="55"/>
  <c r="GK197" i="55"/>
  <c r="JX108" i="55"/>
  <c r="DV108" i="55"/>
  <c r="DW108" i="55" s="1"/>
  <c r="DM108" i="55"/>
  <c r="DQ108" i="55" s="1"/>
  <c r="JY108" i="55"/>
  <c r="JO309" i="55"/>
  <c r="JU309" i="55" s="1"/>
  <c r="JV309" i="55" s="1"/>
  <c r="DK134" i="55"/>
  <c r="DY134" i="55"/>
  <c r="DR79" i="55" a="1"/>
  <c r="DR79" i="55" s="1"/>
  <c r="DT79" i="55" s="1"/>
  <c r="DU79" i="55"/>
  <c r="HT79" i="55" s="1"/>
  <c r="II79" i="55"/>
  <c r="DO93" i="55"/>
  <c r="JC60" i="55"/>
  <c r="GU60" i="55"/>
  <c r="GV60" i="55"/>
  <c r="HV244" i="55"/>
  <c r="T244" i="55" s="1"/>
  <c r="DY244" i="55"/>
  <c r="DK244" i="55"/>
  <c r="DO244" i="55" s="1"/>
  <c r="G244" i="55" s="1"/>
  <c r="DP244" i="55" s="1"/>
  <c r="DQ244" i="55" s="1"/>
  <c r="JC229" i="55"/>
  <c r="GV229" i="55"/>
  <c r="GW229" i="55" s="1"/>
  <c r="GU229" i="55"/>
  <c r="FS137" i="55"/>
  <c r="DK100" i="55"/>
  <c r="DO100" i="55" s="1"/>
  <c r="DK180" i="55"/>
  <c r="DO180" i="55" s="1"/>
  <c r="DV118" i="55"/>
  <c r="DW118" i="55" s="1"/>
  <c r="JY118" i="55"/>
  <c r="JX118" i="55"/>
  <c r="DM118" i="55"/>
  <c r="DQ118" i="55" s="1"/>
  <c r="BQ16" i="54" a="1"/>
  <c r="BQ16" i="54" s="1"/>
  <c r="BU16" i="54" a="1"/>
  <c r="BU16" i="54" s="1"/>
  <c r="BM16" i="54" a="1"/>
  <c r="BM16" i="54" s="1"/>
  <c r="W39" i="55" s="1"/>
  <c r="DK114" i="55"/>
  <c r="DY114" i="55"/>
  <c r="HL78" i="55"/>
  <c r="GK78" i="55"/>
  <c r="HL65" i="55"/>
  <c r="GK65" i="55"/>
  <c r="JO176" i="55"/>
  <c r="JU176" i="55" s="1"/>
  <c r="JV176" i="55" s="1"/>
  <c r="JC171" i="55"/>
  <c r="GV171" i="55"/>
  <c r="GU171" i="55"/>
  <c r="JX301" i="55"/>
  <c r="JY301" i="55"/>
  <c r="DM301" i="55"/>
  <c r="DQ301" i="55" s="1"/>
  <c r="DV301" i="55"/>
  <c r="DW301" i="55" s="1"/>
  <c r="GT301" i="55"/>
  <c r="DR192" i="55" a="1"/>
  <c r="DR192" i="55" s="1"/>
  <c r="DT192" i="55" s="1"/>
  <c r="II192" i="55"/>
  <c r="DU192" i="55"/>
  <c r="HT192" i="55" s="1"/>
  <c r="HQ192" i="55"/>
  <c r="JC165" i="55"/>
  <c r="GV165" i="55"/>
  <c r="GW165" i="55" s="1"/>
  <c r="GU165" i="55"/>
  <c r="BS8" i="55"/>
  <c r="FS8" i="55" s="1"/>
  <c r="BQ8" i="55"/>
  <c r="BQ53" i="55"/>
  <c r="E53" i="55" s="1"/>
  <c r="BR53" i="55" s="1"/>
  <c r="BU20" i="54" a="1"/>
  <c r="BU20" i="54" s="1"/>
  <c r="BM20" i="54" a="1"/>
  <c r="BM20" i="54" s="1"/>
  <c r="BQ20" i="54" a="1"/>
  <c r="BQ20" i="54" s="1"/>
  <c r="FS320" i="55"/>
  <c r="FS350" i="55"/>
  <c r="DV106" i="55"/>
  <c r="DW106" i="55" s="1"/>
  <c r="DM106" i="55"/>
  <c r="DQ106" i="55" s="1"/>
  <c r="JY106" i="55"/>
  <c r="JX106" i="55"/>
  <c r="DR133" i="55" a="1"/>
  <c r="DR133" i="55" s="1"/>
  <c r="DT133" i="55" s="1"/>
  <c r="II133" i="55"/>
  <c r="IJ133" i="55" s="1"/>
  <c r="DU133" i="55"/>
  <c r="HT133" i="55" s="1"/>
  <c r="JC346" i="55"/>
  <c r="GV346" i="55"/>
  <c r="GU346" i="55"/>
  <c r="DR23" i="55" a="1"/>
  <c r="DR23" i="55" s="1"/>
  <c r="DT23" i="55" s="1"/>
  <c r="DU23" i="55"/>
  <c r="HT23" i="55" s="1"/>
  <c r="II23" i="55"/>
  <c r="IJ23" i="55" s="1"/>
  <c r="DV31" i="55"/>
  <c r="DW31" i="55" s="1"/>
  <c r="JX31" i="55"/>
  <c r="JY31" i="55"/>
  <c r="DM31" i="55"/>
  <c r="DQ31" i="55" s="1"/>
  <c r="JC95" i="55"/>
  <c r="GU95" i="55"/>
  <c r="GV95" i="55"/>
  <c r="DK167" i="55"/>
  <c r="DY167" i="55"/>
  <c r="JC268" i="55"/>
  <c r="GU268" i="55"/>
  <c r="GV268" i="55"/>
  <c r="GW268" i="55" s="1"/>
  <c r="DK182" i="55"/>
  <c r="DY182" i="55"/>
  <c r="CE5" i="55" a="1"/>
  <c r="CE5" i="55" s="1"/>
  <c r="CE336" i="55" a="1"/>
  <c r="CE336" i="55" s="1"/>
  <c r="CE335" i="55" a="1"/>
  <c r="CE335" i="55" s="1"/>
  <c r="BA15" i="54"/>
  <c r="AT15" i="54" a="1"/>
  <c r="AT15" i="54" s="1"/>
  <c r="FH30" i="55" s="1"/>
  <c r="JY46" i="55"/>
  <c r="JX46" i="55"/>
  <c r="DV46" i="55"/>
  <c r="DW46" i="55" s="1"/>
  <c r="DM46" i="55"/>
  <c r="EZ223" i="55"/>
  <c r="JC210" i="55"/>
  <c r="GU210" i="55"/>
  <c r="GV210" i="55"/>
  <c r="EO116" i="55" a="1"/>
  <c r="EO116" i="55" s="1"/>
  <c r="FS239" i="55"/>
  <c r="JC303" i="55"/>
  <c r="GU303" i="55"/>
  <c r="GV303" i="55"/>
  <c r="JC61" i="55"/>
  <c r="GU61" i="55"/>
  <c r="GV61" i="55"/>
  <c r="DK128" i="55"/>
  <c r="DY128" i="55"/>
  <c r="DK172" i="55"/>
  <c r="DO172" i="55" s="1"/>
  <c r="DY172" i="55"/>
  <c r="HL334" i="55"/>
  <c r="GK334" i="55"/>
  <c r="BM29" i="54" a="1"/>
  <c r="BM29" i="54" s="1"/>
  <c r="BU29" i="54" a="1"/>
  <c r="BU29" i="54" s="1"/>
  <c r="BQ29" i="54" a="1"/>
  <c r="BQ29" i="54" s="1"/>
  <c r="JY297" i="55"/>
  <c r="JX297" i="55"/>
  <c r="DV297" i="55"/>
  <c r="DW297" i="55" s="1"/>
  <c r="DM297" i="55"/>
  <c r="DQ297" i="55" s="1"/>
  <c r="EO265" i="55" a="1"/>
  <c r="EO265" i="55" s="1"/>
  <c r="HL294" i="55"/>
  <c r="GK294" i="55"/>
  <c r="EO62" i="55" a="1"/>
  <c r="EO62" i="55" s="1"/>
  <c r="GW177" i="55"/>
  <c r="JC315" i="55"/>
  <c r="GV315" i="55"/>
  <c r="GW315" i="55" s="1"/>
  <c r="GU315" i="55"/>
  <c r="GW92" i="55"/>
  <c r="JU11" i="55"/>
  <c r="JV11" i="55"/>
  <c r="JO11" i="55"/>
  <c r="JP11" i="55" s="1"/>
  <c r="HM11" i="55"/>
  <c r="JC159" i="55"/>
  <c r="GU159" i="55"/>
  <c r="GV159" i="55"/>
  <c r="GW159" i="55" s="1"/>
  <c r="EZ332" i="55"/>
  <c r="FS241" i="55"/>
  <c r="HL108" i="55"/>
  <c r="GK108" i="55"/>
  <c r="DR284" i="55" a="1"/>
  <c r="DR284" i="55" s="1"/>
  <c r="DT284" i="55" s="1"/>
  <c r="DU284" i="55"/>
  <c r="HT284" i="55" s="1"/>
  <c r="II284" i="55"/>
  <c r="EZ121" i="55"/>
  <c r="JC4" i="55"/>
  <c r="GU4" i="55"/>
  <c r="DK109" i="55"/>
  <c r="DY109" i="55"/>
  <c r="FS301" i="55"/>
  <c r="JY339" i="55"/>
  <c r="JX339" i="55"/>
  <c r="DV339" i="55"/>
  <c r="DW339" i="55" s="1"/>
  <c r="DM339" i="55"/>
  <c r="DQ339" i="55" s="1"/>
  <c r="GT339" i="55"/>
  <c r="DM218" i="55"/>
  <c r="JY218" i="55"/>
  <c r="DV218" i="55"/>
  <c r="DW218" i="55" s="1"/>
  <c r="JX218" i="55"/>
  <c r="DR248" i="55" a="1"/>
  <c r="DR248" i="55" s="1"/>
  <c r="DT248" i="55" s="1"/>
  <c r="II248" i="55"/>
  <c r="DU248" i="55"/>
  <c r="HT248" i="55" s="1"/>
  <c r="FS167" i="55"/>
  <c r="EO72" i="55" a="1"/>
  <c r="EO72" i="55" s="1"/>
  <c r="DK186" i="55"/>
  <c r="DY186" i="55"/>
  <c r="DR41" i="55" a="1"/>
  <c r="DR41" i="55" s="1"/>
  <c r="DT41" i="55" s="1"/>
  <c r="DU41" i="55"/>
  <c r="HT41" i="55" s="1"/>
  <c r="II41" i="55"/>
  <c r="HV191" i="55"/>
  <c r="T191" i="55" s="1"/>
  <c r="DK191" i="55"/>
  <c r="DO191" i="55" s="1"/>
  <c r="G191" i="55" s="1"/>
  <c r="DP191" i="55" s="1"/>
  <c r="DQ191" i="55" s="1"/>
  <c r="DY191" i="55"/>
  <c r="JC206" i="55"/>
  <c r="GU206" i="55"/>
  <c r="GV206" i="55"/>
  <c r="DK322" i="55"/>
  <c r="DY322" i="55"/>
  <c r="DR229" i="55" a="1"/>
  <c r="DR229" i="55" s="1"/>
  <c r="DT229" i="55" s="1"/>
  <c r="DU229" i="55"/>
  <c r="HT229" i="55" s="1"/>
  <c r="II229" i="55"/>
  <c r="DK106" i="55"/>
  <c r="DY106" i="55"/>
  <c r="DR89" i="55" a="1"/>
  <c r="DR89" i="55" s="1"/>
  <c r="DT89" i="55" s="1"/>
  <c r="DU89" i="55"/>
  <c r="HT89" i="55" s="1"/>
  <c r="II89" i="55"/>
  <c r="DM184" i="55"/>
  <c r="DQ184" i="55" s="1"/>
  <c r="JX184" i="55"/>
  <c r="JY184" i="55"/>
  <c r="DV184" i="55"/>
  <c r="DW184" i="55" s="1"/>
  <c r="HL349" i="55"/>
  <c r="GK349" i="55"/>
  <c r="JC284" i="55"/>
  <c r="GU284" i="55"/>
  <c r="GV284" i="55"/>
  <c r="GW284" i="55" s="1"/>
  <c r="X8" i="42"/>
  <c r="AD9" i="42"/>
  <c r="AA26" i="42"/>
  <c r="AB8" i="42" s="1"/>
  <c r="AC68" i="42"/>
  <c r="AB7" i="42"/>
  <c r="Y16" i="42"/>
  <c r="DT225" i="55" l="1"/>
  <c r="HQ225" i="55"/>
  <c r="DT259" i="55"/>
  <c r="HQ259" i="55" s="1"/>
  <c r="HQ180" i="55"/>
  <c r="HM165" i="55"/>
  <c r="M165" i="55" s="1"/>
  <c r="HN165" i="55" s="1"/>
  <c r="DR48" i="55" a="1"/>
  <c r="DR48" i="55" s="1"/>
  <c r="DT48" i="55" s="1"/>
  <c r="EO48" i="55" s="1" a="1"/>
  <c r="EO48" i="55" s="1"/>
  <c r="DU48" i="55"/>
  <c r="HT48" i="55" s="1"/>
  <c r="II48" i="55"/>
  <c r="HM199" i="55"/>
  <c r="HQ197" i="55"/>
  <c r="HQ157" i="55"/>
  <c r="JV55" i="55"/>
  <c r="X16" i="54"/>
  <c r="BB16" i="54" s="1"/>
  <c r="HQ150" i="55"/>
  <c r="GV31" i="55"/>
  <c r="GW31" i="55" s="1"/>
  <c r="W265" i="55"/>
  <c r="HQ133" i="55"/>
  <c r="X29" i="54"/>
  <c r="BB29" i="54" s="1"/>
  <c r="DU259" i="55"/>
  <c r="HT259" i="55" s="1"/>
  <c r="HM218" i="55"/>
  <c r="X20" i="54"/>
  <c r="BB20" i="54" s="1"/>
  <c r="HQ289" i="55"/>
  <c r="HQ247" i="55"/>
  <c r="HQ348" i="55"/>
  <c r="HQ123" i="55"/>
  <c r="DO27" i="55"/>
  <c r="G27" i="55" s="1"/>
  <c r="DP27" i="55" s="1"/>
  <c r="DQ27" i="55" s="1"/>
  <c r="DU27" i="55" s="1"/>
  <c r="HT27" i="55" s="1"/>
  <c r="DU211" i="55"/>
  <c r="HT211" i="55" s="1"/>
  <c r="DO179" i="55"/>
  <c r="HQ153" i="55"/>
  <c r="II236" i="55"/>
  <c r="HQ324" i="55"/>
  <c r="II259" i="55"/>
  <c r="HQ99" i="55"/>
  <c r="X17" i="54"/>
  <c r="BB17" i="54" s="1"/>
  <c r="HQ345" i="55"/>
  <c r="DU255" i="55"/>
  <c r="HT255" i="55" s="1"/>
  <c r="GV32" i="55"/>
  <c r="GW32" i="55" s="1"/>
  <c r="GU33" i="55"/>
  <c r="DO279" i="55"/>
  <c r="G279" i="55" s="1"/>
  <c r="DP279" i="55" s="1"/>
  <c r="DQ279" i="55" s="1"/>
  <c r="DO306" i="55"/>
  <c r="DO137" i="55"/>
  <c r="G137" i="55" s="1"/>
  <c r="DP137" i="55" s="1"/>
  <c r="DQ137" i="55" s="1"/>
  <c r="DR255" i="55" a="1"/>
  <c r="DR255" i="55" s="1"/>
  <c r="DT255" i="55" s="1"/>
  <c r="EO255" i="55" s="1" a="1"/>
  <c r="EO255" i="55" s="1"/>
  <c r="HQ23" i="55"/>
  <c r="HQ79" i="55"/>
  <c r="DO87" i="55"/>
  <c r="HQ173" i="55"/>
  <c r="GV25" i="55"/>
  <c r="GW25" i="55" s="1"/>
  <c r="HQ34" i="55"/>
  <c r="HQ60" i="55"/>
  <c r="HQ37" i="55"/>
  <c r="DO127" i="55"/>
  <c r="DO138" i="55"/>
  <c r="G138" i="55" s="1"/>
  <c r="DP138" i="55" s="1"/>
  <c r="DQ138" i="55" s="1"/>
  <c r="DR138" i="55" s="1" a="1"/>
  <c r="DR138" i="55" s="1"/>
  <c r="JU131" i="55"/>
  <c r="JV131" i="55" s="1"/>
  <c r="HQ198" i="55"/>
  <c r="GV129" i="55"/>
  <c r="GW129" i="55" s="1"/>
  <c r="DO351" i="55"/>
  <c r="HQ143" i="55"/>
  <c r="JC22" i="55"/>
  <c r="GU22" i="55"/>
  <c r="GV22" i="55"/>
  <c r="GW22" i="55" s="1"/>
  <c r="HQ248" i="55"/>
  <c r="JV266" i="55"/>
  <c r="JV147" i="55"/>
  <c r="W116" i="55"/>
  <c r="X18" i="54"/>
  <c r="BB18" i="54" s="1"/>
  <c r="X19" i="54"/>
  <c r="BB19" i="54" s="1"/>
  <c r="W309" i="55"/>
  <c r="BQ3" i="55"/>
  <c r="E3" i="55" s="1"/>
  <c r="BR3" i="55" s="1"/>
  <c r="DO144" i="55"/>
  <c r="G144" i="55" s="1"/>
  <c r="DP144" i="55" s="1"/>
  <c r="DQ144" i="55" s="1"/>
  <c r="DR144" i="55" s="1" a="1"/>
  <c r="DR144" i="55" s="1"/>
  <c r="DT144" i="55" s="1"/>
  <c r="DR22" i="55" a="1"/>
  <c r="DR22" i="55" s="1"/>
  <c r="DT22" i="55" s="1"/>
  <c r="DU22" i="55"/>
  <c r="HT22" i="55" s="1"/>
  <c r="HQ22" i="55"/>
  <c r="II22" i="55"/>
  <c r="IJ22" i="55" s="1"/>
  <c r="DO158" i="55"/>
  <c r="DU143" i="55"/>
  <c r="HT143" i="55" s="1"/>
  <c r="W143" i="55" s="1"/>
  <c r="DO56" i="55"/>
  <c r="DU132" i="55"/>
  <c r="HT132" i="55" s="1"/>
  <c r="W132" i="55" s="1"/>
  <c r="JU308" i="55"/>
  <c r="JV308" i="55" s="1"/>
  <c r="DO314" i="55"/>
  <c r="II264" i="55"/>
  <c r="DR143" i="55" a="1"/>
  <c r="DR143" i="55" s="1"/>
  <c r="DT143" i="55" s="1"/>
  <c r="DR132" i="55" a="1"/>
  <c r="DR132" i="55" s="1"/>
  <c r="DT132" i="55" s="1"/>
  <c r="DU264" i="55"/>
  <c r="HT264" i="55" s="1"/>
  <c r="X21" i="54"/>
  <c r="BB21" i="54" s="1"/>
  <c r="DU139" i="55"/>
  <c r="HT139" i="55" s="1"/>
  <c r="DO274" i="55"/>
  <c r="G274" i="55" s="1"/>
  <c r="DP274" i="55" s="1"/>
  <c r="DQ274" i="55" s="1"/>
  <c r="II139" i="55"/>
  <c r="IJ139" i="55" s="1"/>
  <c r="HM161" i="55"/>
  <c r="M161" i="55" s="1"/>
  <c r="HN161" i="55" s="1"/>
  <c r="DO239" i="55"/>
  <c r="G239" i="55" s="1"/>
  <c r="DP239" i="55" s="1"/>
  <c r="DQ239" i="55" s="1"/>
  <c r="W121" i="55"/>
  <c r="DR139" i="55" a="1"/>
  <c r="DR139" i="55" s="1"/>
  <c r="DT139" i="55" s="1"/>
  <c r="EO139" i="55" s="1" a="1"/>
  <c r="EO139" i="55" s="1"/>
  <c r="HM111" i="55"/>
  <c r="DR264" i="55" a="1"/>
  <c r="DR264" i="55" s="1"/>
  <c r="DT264" i="55" s="1"/>
  <c r="EO264" i="55" s="1" a="1"/>
  <c r="EO264" i="55" s="1"/>
  <c r="DO120" i="55"/>
  <c r="DO110" i="55"/>
  <c r="DO65" i="55"/>
  <c r="DO68" i="55"/>
  <c r="DO128" i="55"/>
  <c r="HQ228" i="55"/>
  <c r="HM159" i="55"/>
  <c r="M159" i="55" s="1"/>
  <c r="HN159" i="55" s="1"/>
  <c r="DO222" i="55"/>
  <c r="HQ41" i="55"/>
  <c r="W5" i="55"/>
  <c r="HQ226" i="55"/>
  <c r="DO148" i="55"/>
  <c r="G148" i="55" s="1"/>
  <c r="DP148" i="55" s="1"/>
  <c r="DQ148" i="55" s="1"/>
  <c r="DR148" i="55" s="1" a="1"/>
  <c r="DR148" i="55" s="1"/>
  <c r="DO320" i="55"/>
  <c r="DO288" i="55"/>
  <c r="JV161" i="55"/>
  <c r="X15" i="54"/>
  <c r="BB15" i="54" s="1"/>
  <c r="HQ300" i="55"/>
  <c r="HQ93" i="55"/>
  <c r="W308" i="55"/>
  <c r="W299" i="55"/>
  <c r="DO168" i="55"/>
  <c r="JV48" i="55"/>
  <c r="W21" i="55"/>
  <c r="DO33" i="55"/>
  <c r="G33" i="55" s="1"/>
  <c r="DP33" i="55" s="1"/>
  <c r="DQ33" i="55" s="1"/>
  <c r="DR33" i="55" s="1" a="1"/>
  <c r="DR33" i="55" s="1"/>
  <c r="W6" i="55"/>
  <c r="HQ211" i="55"/>
  <c r="II228" i="55"/>
  <c r="DU228" i="55"/>
  <c r="HT228" i="55" s="1"/>
  <c r="HQ349" i="55"/>
  <c r="DO95" i="55"/>
  <c r="DO44" i="55"/>
  <c r="G44" i="55" s="1"/>
  <c r="DP44" i="55" s="1"/>
  <c r="DQ44" i="55" s="1"/>
  <c r="DU44" i="55" s="1"/>
  <c r="HT44" i="55" s="1"/>
  <c r="HQ205" i="55"/>
  <c r="HQ231" i="55"/>
  <c r="HM39" i="55"/>
  <c r="M39" i="55" s="1"/>
  <c r="HN39" i="55" s="1"/>
  <c r="IL39" i="55" s="1"/>
  <c r="IM39" i="55" s="1"/>
  <c r="IV39" i="55" s="1" a="1"/>
  <c r="IV39" i="55" s="1"/>
  <c r="IW39" i="55" s="1"/>
  <c r="Y24" i="54"/>
  <c r="DO282" i="55"/>
  <c r="G282" i="55" s="1"/>
  <c r="DP282" i="55" s="1"/>
  <c r="DQ282" i="55" s="1"/>
  <c r="HQ285" i="55"/>
  <c r="DO254" i="55"/>
  <c r="G254" i="55" s="1"/>
  <c r="DP254" i="55" s="1"/>
  <c r="DQ254" i="55" s="1"/>
  <c r="DR254" i="55" s="1" a="1"/>
  <c r="DR254" i="55" s="1"/>
  <c r="HQ298" i="55"/>
  <c r="DU205" i="55"/>
  <c r="HT205" i="55" s="1"/>
  <c r="HQ149" i="55"/>
  <c r="DO203" i="55"/>
  <c r="G203" i="55" s="1"/>
  <c r="DP203" i="55" s="1"/>
  <c r="DQ203" i="55" s="1"/>
  <c r="DR203" i="55" s="1" a="1"/>
  <c r="DR203" i="55" s="1"/>
  <c r="DT203" i="55" s="1"/>
  <c r="DO43" i="55"/>
  <c r="G43" i="55" s="1"/>
  <c r="DP43" i="55" s="1"/>
  <c r="DQ43" i="55" s="1"/>
  <c r="DR43" i="55" s="1" a="1"/>
  <c r="DR43" i="55" s="1"/>
  <c r="DO344" i="55"/>
  <c r="DO189" i="55"/>
  <c r="G189" i="55" s="1"/>
  <c r="DP189" i="55" s="1"/>
  <c r="DQ189" i="55" s="1"/>
  <c r="W105" i="55"/>
  <c r="HM194" i="55"/>
  <c r="M194" i="55" s="1"/>
  <c r="HN194" i="55" s="1"/>
  <c r="HQ229" i="55"/>
  <c r="W71" i="55"/>
  <c r="DO340" i="55"/>
  <c r="HQ193" i="55"/>
  <c r="HQ196" i="55"/>
  <c r="DY280" i="55"/>
  <c r="HQ129" i="55"/>
  <c r="DO22" i="55"/>
  <c r="IN39" i="55" a="1"/>
  <c r="IN39" i="55" s="1"/>
  <c r="IO39" i="55" s="1"/>
  <c r="IP39" i="55" a="1"/>
  <c r="IP39" i="55" s="1"/>
  <c r="IQ39" i="55" s="1"/>
  <c r="IX39" i="55" a="1"/>
  <c r="IX39" i="55" s="1"/>
  <c r="IY39" i="55" s="1"/>
  <c r="IR39" i="55" a="1"/>
  <c r="IR39" i="55" s="1"/>
  <c r="IS39" i="55" s="1"/>
  <c r="IT39" i="55" a="1"/>
  <c r="IT39" i="55" s="1"/>
  <c r="IU39" i="55" s="1"/>
  <c r="C15" i="57"/>
  <c r="H15" i="57"/>
  <c r="G15" i="57"/>
  <c r="I15" i="57" s="1"/>
  <c r="J15" i="57" s="1"/>
  <c r="DO106" i="55"/>
  <c r="AC20" i="54"/>
  <c r="IJ130" i="55" s="1"/>
  <c r="FE142" i="55"/>
  <c r="FE144" i="55"/>
  <c r="FE130" i="55"/>
  <c r="FE132" i="55"/>
  <c r="FE146" i="55"/>
  <c r="FE147" i="55"/>
  <c r="FE149" i="55"/>
  <c r="FE131" i="55"/>
  <c r="FE133" i="55"/>
  <c r="FE148" i="55"/>
  <c r="FE137" i="55"/>
  <c r="FE150" i="55"/>
  <c r="FE151" i="55"/>
  <c r="FE135" i="55"/>
  <c r="FE141" i="55"/>
  <c r="FE138" i="55"/>
  <c r="FE140" i="55"/>
  <c r="FE152" i="55"/>
  <c r="FE143" i="55"/>
  <c r="FE134" i="55"/>
  <c r="FE153" i="55"/>
  <c r="FE136" i="55"/>
  <c r="FE145" i="55"/>
  <c r="FE139" i="55"/>
  <c r="GU301" i="55"/>
  <c r="GV301" i="55"/>
  <c r="JC301" i="55"/>
  <c r="DR244" i="55" a="1"/>
  <c r="DR244" i="55" s="1"/>
  <c r="DT244" i="55" s="1"/>
  <c r="DU244" i="55"/>
  <c r="HT244" i="55" s="1"/>
  <c r="II244" i="55"/>
  <c r="DR97" i="55" a="1"/>
  <c r="DR97" i="55" s="1"/>
  <c r="DT97" i="55" s="1"/>
  <c r="II97" i="55"/>
  <c r="DU97" i="55"/>
  <c r="HT97" i="55" s="1"/>
  <c r="JO251" i="55"/>
  <c r="GW215" i="55"/>
  <c r="EO84" i="55" a="1"/>
  <c r="EO84" i="55" s="1"/>
  <c r="W84" i="55"/>
  <c r="JO304" i="55"/>
  <c r="W112" i="55"/>
  <c r="HQ131" i="55"/>
  <c r="JC186" i="55"/>
  <c r="GV186" i="55"/>
  <c r="GW186" i="55" s="1"/>
  <c r="GU186" i="55"/>
  <c r="DO194" i="55"/>
  <c r="G194" i="55" s="1"/>
  <c r="DP194" i="55" s="1"/>
  <c r="DQ194" i="55" s="1"/>
  <c r="HQ233" i="55"/>
  <c r="HQ290" i="55"/>
  <c r="DO104" i="55"/>
  <c r="JO204" i="55"/>
  <c r="JU204" i="55" s="1"/>
  <c r="HM204" i="55"/>
  <c r="EQ162" i="55"/>
  <c r="EP162" i="55" a="1"/>
  <c r="EP162" i="55" s="1"/>
  <c r="JO268" i="55"/>
  <c r="DO59" i="55"/>
  <c r="DR288" i="55" a="1"/>
  <c r="DR288" i="55" s="1"/>
  <c r="DT288" i="55" s="1"/>
  <c r="DU288" i="55"/>
  <c r="HT288" i="55" s="1"/>
  <c r="II288" i="55"/>
  <c r="W35" i="55"/>
  <c r="EO35" i="55" a="1"/>
  <c r="EO35" i="55" s="1"/>
  <c r="HQ315" i="55"/>
  <c r="GW175" i="55"/>
  <c r="EO236" i="55" a="1"/>
  <c r="EO236" i="55" s="1"/>
  <c r="W236" i="55"/>
  <c r="JO276" i="55"/>
  <c r="JO82" i="55"/>
  <c r="JU82" i="55"/>
  <c r="JV82" i="55" s="1"/>
  <c r="DR87" i="55" a="1"/>
  <c r="DR87" i="55" s="1"/>
  <c r="DT87" i="55" s="1"/>
  <c r="II87" i="55"/>
  <c r="IJ87" i="55" s="1"/>
  <c r="DU87" i="55"/>
  <c r="HT87" i="55" s="1"/>
  <c r="GW201" i="55"/>
  <c r="EQ66" i="55"/>
  <c r="EP66" i="55" a="1"/>
  <c r="EP66" i="55" s="1"/>
  <c r="EG350" i="55"/>
  <c r="EG351" i="55"/>
  <c r="EG352" i="55"/>
  <c r="EG342" i="55"/>
  <c r="EG344" i="55"/>
  <c r="EG345" i="55"/>
  <c r="EG343" i="55"/>
  <c r="EG346" i="55"/>
  <c r="EG347" i="55"/>
  <c r="EG349" i="55"/>
  <c r="EG341" i="55"/>
  <c r="EG348" i="55"/>
  <c r="GW18" i="55"/>
  <c r="HQ52" i="55"/>
  <c r="HL129" i="55"/>
  <c r="GK129" i="55"/>
  <c r="JC203" i="55"/>
  <c r="GV203" i="55"/>
  <c r="GU203" i="55"/>
  <c r="W317" i="55"/>
  <c r="EO317" i="55" a="1"/>
  <c r="EO317" i="55" s="1"/>
  <c r="DO223" i="55"/>
  <c r="HM107" i="55"/>
  <c r="JO107" i="55"/>
  <c r="DR113" i="55" a="1"/>
  <c r="DR113" i="55" s="1"/>
  <c r="DT113" i="55" s="1"/>
  <c r="II113" i="55"/>
  <c r="DU113" i="55"/>
  <c r="HT113" i="55" s="1"/>
  <c r="HQ28" i="55"/>
  <c r="BC25" i="54"/>
  <c r="BD25" i="54"/>
  <c r="BE25" i="54"/>
  <c r="FW313" i="55"/>
  <c r="DR227" i="55" a="1"/>
  <c r="DR227" i="55" s="1"/>
  <c r="DT227" i="55" s="1"/>
  <c r="DU227" i="55"/>
  <c r="HT227" i="55" s="1"/>
  <c r="II227" i="55"/>
  <c r="GW147" i="55"/>
  <c r="DK280" i="55"/>
  <c r="DO280" i="55" s="1"/>
  <c r="G280" i="55" s="1"/>
  <c r="DP280" i="55" s="1"/>
  <c r="DQ280" i="55" s="1"/>
  <c r="DR151" i="55" a="1"/>
  <c r="DR151" i="55" s="1"/>
  <c r="DT151" i="55" s="1"/>
  <c r="DU151" i="55"/>
  <c r="HT151" i="55" s="1"/>
  <c r="II151" i="55"/>
  <c r="IJ151" i="55" s="1"/>
  <c r="JO52" i="55"/>
  <c r="GL10" i="55"/>
  <c r="FP10" i="55"/>
  <c r="DR57" i="55" a="1"/>
  <c r="DR57" i="55" s="1"/>
  <c r="DT57" i="55" s="1"/>
  <c r="II57" i="55"/>
  <c r="DU57" i="55"/>
  <c r="HT57" i="55" s="1"/>
  <c r="HQ220" i="55"/>
  <c r="JV279" i="55"/>
  <c r="JO64" i="55"/>
  <c r="JU64" i="55" s="1"/>
  <c r="JO56" i="55"/>
  <c r="GK69" i="55"/>
  <c r="HL69" i="55"/>
  <c r="HQ92" i="55"/>
  <c r="DO267" i="55"/>
  <c r="G267" i="55" s="1"/>
  <c r="DP267" i="55" s="1"/>
  <c r="DQ267" i="55" s="1"/>
  <c r="DR351" i="55" a="1"/>
  <c r="DR351" i="55" s="1"/>
  <c r="DT351" i="55" s="1"/>
  <c r="II351" i="55"/>
  <c r="DU351" i="55"/>
  <c r="HT351" i="55" s="1"/>
  <c r="GL12" i="55"/>
  <c r="FP12" i="55"/>
  <c r="FS12" i="55"/>
  <c r="DR120" i="55" a="1"/>
  <c r="DR120" i="55" s="1"/>
  <c r="DT120" i="55" s="1"/>
  <c r="II120" i="55"/>
  <c r="DU120" i="55"/>
  <c r="HT120" i="55" s="1"/>
  <c r="DR201" i="55" a="1"/>
  <c r="DR201" i="55" s="1"/>
  <c r="DT201" i="55" s="1"/>
  <c r="II201" i="55"/>
  <c r="DU201" i="55"/>
  <c r="HT201" i="55" s="1"/>
  <c r="GL19" i="55"/>
  <c r="FP19" i="55"/>
  <c r="FS19" i="55"/>
  <c r="EO98" i="55" a="1"/>
  <c r="EO98" i="55" s="1"/>
  <c r="W98" i="55"/>
  <c r="JO343" i="55"/>
  <c r="HM343" i="55"/>
  <c r="M343" i="55" s="1"/>
  <c r="HN343" i="55" s="1"/>
  <c r="JO38" i="55"/>
  <c r="JU38" i="55" s="1"/>
  <c r="HM38" i="55"/>
  <c r="M38" i="55" s="1"/>
  <c r="HN38" i="55" s="1"/>
  <c r="IL38" i="55" s="1"/>
  <c r="IM38" i="55" s="1"/>
  <c r="AC28" i="54"/>
  <c r="FE330" i="55"/>
  <c r="FE334" i="55"/>
  <c r="FE331" i="55"/>
  <c r="FE332" i="55"/>
  <c r="FE333" i="55"/>
  <c r="EQ166" i="55"/>
  <c r="EP166" i="55" a="1"/>
  <c r="EP166" i="55" s="1"/>
  <c r="EO296" i="55" a="1"/>
  <c r="EO296" i="55" s="1"/>
  <c r="W296" i="55"/>
  <c r="AB29" i="54"/>
  <c r="EE337" i="55"/>
  <c r="EE338" i="55"/>
  <c r="EE339" i="55"/>
  <c r="EE340" i="55"/>
  <c r="EE335" i="55"/>
  <c r="EE336" i="55"/>
  <c r="FC338" i="55"/>
  <c r="FD338" i="55" s="1"/>
  <c r="HS338" i="55" s="1"/>
  <c r="HU338" i="55" s="1"/>
  <c r="FC337" i="55"/>
  <c r="FD337" i="55" s="1"/>
  <c r="HS337" i="55" s="1"/>
  <c r="HU337" i="55" s="1"/>
  <c r="FC336" i="55"/>
  <c r="FD336" i="55" s="1"/>
  <c r="HS336" i="55" s="1"/>
  <c r="HU336" i="55" s="1"/>
  <c r="FC335" i="55"/>
  <c r="FD335" i="55" s="1"/>
  <c r="HS335" i="55" s="1"/>
  <c r="HU335" i="55" s="1"/>
  <c r="FC340" i="55"/>
  <c r="FD340" i="55" s="1"/>
  <c r="HS340" i="55" s="1"/>
  <c r="HU340" i="55" s="1"/>
  <c r="FC339" i="55"/>
  <c r="FD339" i="55" s="1"/>
  <c r="HS339" i="55" s="1"/>
  <c r="HU339" i="55" s="1"/>
  <c r="EK336" i="55"/>
  <c r="DR269" i="55" a="1"/>
  <c r="DR269" i="55" s="1"/>
  <c r="DT269" i="55" s="1"/>
  <c r="II269" i="55"/>
  <c r="DU269" i="55"/>
  <c r="HT269" i="55" s="1"/>
  <c r="DR293" i="55" a="1"/>
  <c r="DR293" i="55" s="1"/>
  <c r="DT293" i="55" s="1"/>
  <c r="II293" i="55"/>
  <c r="DU293" i="55"/>
  <c r="HT293" i="55" s="1"/>
  <c r="W337" i="55"/>
  <c r="EO337" i="55" a="1"/>
  <c r="EO337" i="55" s="1"/>
  <c r="EK12" i="55"/>
  <c r="JO346" i="55"/>
  <c r="JU346" i="55" s="1"/>
  <c r="JV346" i="55" s="1"/>
  <c r="HM346" i="55"/>
  <c r="EK283" i="55"/>
  <c r="FH193" i="55"/>
  <c r="FH209" i="55"/>
  <c r="FH186" i="55"/>
  <c r="FH219" i="55"/>
  <c r="FH207" i="55"/>
  <c r="FH204" i="55"/>
  <c r="FH188" i="55"/>
  <c r="FH190" i="55"/>
  <c r="FH218" i="55"/>
  <c r="FH205" i="55"/>
  <c r="FH192" i="55"/>
  <c r="FH202" i="55"/>
  <c r="FH210" i="55"/>
  <c r="FH199" i="55"/>
  <c r="FH217" i="55"/>
  <c r="FH200" i="55"/>
  <c r="FH197" i="55"/>
  <c r="FH208" i="55"/>
  <c r="FH211" i="55"/>
  <c r="FH213" i="55"/>
  <c r="FH187" i="55"/>
  <c r="FH196" i="55"/>
  <c r="FH194" i="55"/>
  <c r="FH189" i="55"/>
  <c r="FH206" i="55"/>
  <c r="FH215" i="55"/>
  <c r="FH198" i="55"/>
  <c r="FH191" i="55"/>
  <c r="FH216" i="55"/>
  <c r="FH195" i="55"/>
  <c r="FH185" i="55"/>
  <c r="FH201" i="55"/>
  <c r="FH212" i="55"/>
  <c r="FH203" i="55"/>
  <c r="FH214" i="55"/>
  <c r="W177" i="55"/>
  <c r="EO177" i="55" a="1"/>
  <c r="EO177" i="55" s="1"/>
  <c r="HB6" i="55"/>
  <c r="HC6" i="55" s="1"/>
  <c r="HD6" i="55"/>
  <c r="HA7" i="55"/>
  <c r="JO252" i="55"/>
  <c r="JU252" i="55" s="1"/>
  <c r="JV252" i="55" s="1"/>
  <c r="JC148" i="55"/>
  <c r="GV148" i="55"/>
  <c r="GU148" i="55"/>
  <c r="DO109" i="55"/>
  <c r="EK5" i="55"/>
  <c r="DR137" i="55" a="1"/>
  <c r="DR137" i="55" s="1"/>
  <c r="DT137" i="55" s="1"/>
  <c r="II137" i="55"/>
  <c r="IJ137" i="55" s="1"/>
  <c r="DU137" i="55"/>
  <c r="HT137" i="55" s="1"/>
  <c r="JO265" i="55"/>
  <c r="HL260" i="55"/>
  <c r="GK260" i="55"/>
  <c r="JO87" i="55"/>
  <c r="EO291" i="55" a="1"/>
  <c r="EO291" i="55" s="1"/>
  <c r="W291" i="55"/>
  <c r="JV189" i="55"/>
  <c r="DR319" i="55" a="1"/>
  <c r="DR319" i="55" s="1"/>
  <c r="DT319" i="55" s="1"/>
  <c r="DU319" i="55"/>
  <c r="HT319" i="55" s="1"/>
  <c r="HQ319" i="55"/>
  <c r="II319" i="55"/>
  <c r="JO247" i="55"/>
  <c r="JC91" i="55"/>
  <c r="GV91" i="55"/>
  <c r="GU91" i="55"/>
  <c r="DR328" i="55" a="1"/>
  <c r="DR328" i="55" s="1"/>
  <c r="DT328" i="55" s="1"/>
  <c r="II328" i="55"/>
  <c r="DU328" i="55"/>
  <c r="HT328" i="55" s="1"/>
  <c r="EO261" i="55" a="1"/>
  <c r="EO261" i="55" s="1"/>
  <c r="W261" i="55"/>
  <c r="JC185" i="55"/>
  <c r="GV185" i="55"/>
  <c r="GW185" i="55" s="1"/>
  <c r="GU185" i="55"/>
  <c r="GW309" i="55"/>
  <c r="GW109" i="55"/>
  <c r="EO58" i="55" a="1"/>
  <c r="EO58" i="55" s="1"/>
  <c r="W58" i="55"/>
  <c r="GW311" i="55"/>
  <c r="JO119" i="55"/>
  <c r="JU119" i="55" s="1"/>
  <c r="JV119" i="55" s="1"/>
  <c r="JO42" i="55"/>
  <c r="HM42" i="55"/>
  <c r="M42" i="55" s="1"/>
  <c r="HN42" i="55" s="1"/>
  <c r="IL42" i="55" s="1"/>
  <c r="IM42" i="55" s="1"/>
  <c r="W70" i="55"/>
  <c r="EO147" i="55" a="1"/>
  <c r="EO147" i="55" s="1"/>
  <c r="W147" i="55"/>
  <c r="X22" i="54"/>
  <c r="BB22" i="54" s="1"/>
  <c r="GW304" i="55"/>
  <c r="EO89" i="55" a="1"/>
  <c r="EO89" i="55" s="1"/>
  <c r="W89" i="55"/>
  <c r="JU334" i="55"/>
  <c r="JO334" i="55"/>
  <c r="JO65" i="55"/>
  <c r="JO305" i="55"/>
  <c r="W193" i="55"/>
  <c r="EO193" i="55" a="1"/>
  <c r="EO193" i="55" s="1"/>
  <c r="JO193" i="55"/>
  <c r="JU193" i="55" s="1"/>
  <c r="HM193" i="55"/>
  <c r="JC161" i="55"/>
  <c r="GV161" i="55"/>
  <c r="GW161" i="55" s="1"/>
  <c r="GU161" i="55"/>
  <c r="W251" i="55"/>
  <c r="EO251" i="55" a="1"/>
  <c r="EO251" i="55" s="1"/>
  <c r="BS88" i="55"/>
  <c r="GW57" i="55"/>
  <c r="GW200" i="55"/>
  <c r="AK5" i="55"/>
  <c r="HE5" i="55"/>
  <c r="DR171" i="55" a="1"/>
  <c r="DR171" i="55" s="1"/>
  <c r="DT171" i="55" s="1"/>
  <c r="DU171" i="55"/>
  <c r="HT171" i="55" s="1"/>
  <c r="II171" i="55"/>
  <c r="HQ171" i="55"/>
  <c r="EQ105" i="55"/>
  <c r="EP105" i="55" a="1"/>
  <c r="EP105" i="55" s="1"/>
  <c r="DR124" i="55" a="1"/>
  <c r="DR124" i="55" s="1"/>
  <c r="DT124" i="55" s="1"/>
  <c r="II124" i="55"/>
  <c r="DU124" i="55"/>
  <c r="HT124" i="55" s="1"/>
  <c r="JO144" i="55"/>
  <c r="JU144" i="55" s="1"/>
  <c r="JV144" i="55" s="1"/>
  <c r="JC170" i="55"/>
  <c r="GV170" i="55"/>
  <c r="GU170" i="55"/>
  <c r="JC232" i="55"/>
  <c r="GV232" i="55"/>
  <c r="GW232" i="55" s="1"/>
  <c r="GU232" i="55"/>
  <c r="DR338" i="55" a="1"/>
  <c r="DR338" i="55" s="1"/>
  <c r="DT338" i="55" s="1"/>
  <c r="II338" i="55"/>
  <c r="DU338" i="55"/>
  <c r="HT338" i="55" s="1"/>
  <c r="DR222" i="55" a="1"/>
  <c r="DR222" i="55" s="1"/>
  <c r="DT222" i="55" s="1"/>
  <c r="II222" i="55"/>
  <c r="DU222" i="55"/>
  <c r="HT222" i="55" s="1"/>
  <c r="DR161" i="55" a="1"/>
  <c r="DR161" i="55" s="1"/>
  <c r="DT161" i="55" s="1"/>
  <c r="DU161" i="55"/>
  <c r="HT161" i="55" s="1"/>
  <c r="II161" i="55"/>
  <c r="JO138" i="55"/>
  <c r="JU138" i="55" s="1"/>
  <c r="GL20" i="55"/>
  <c r="FP20" i="55"/>
  <c r="FS20" i="55"/>
  <c r="EO26" i="55" a="1"/>
  <c r="EO26" i="55" s="1"/>
  <c r="W26" i="55"/>
  <c r="GW349" i="55"/>
  <c r="GW204" i="55"/>
  <c r="JO270" i="55"/>
  <c r="JO163" i="55"/>
  <c r="HM163" i="55"/>
  <c r="M163" i="55" s="1"/>
  <c r="HN163" i="55" s="1"/>
  <c r="BS330" i="55"/>
  <c r="JO133" i="55"/>
  <c r="JU133" i="55" s="1"/>
  <c r="EO213" i="55" a="1"/>
  <c r="EO213" i="55" s="1"/>
  <c r="W213" i="55"/>
  <c r="BS4" i="55"/>
  <c r="EZ4" i="55"/>
  <c r="JO296" i="55"/>
  <c r="AB28" i="54"/>
  <c r="EE334" i="55"/>
  <c r="EE330" i="55"/>
  <c r="EE333" i="55"/>
  <c r="EE332" i="55"/>
  <c r="EE331" i="55"/>
  <c r="FC331" i="55"/>
  <c r="FD331" i="55" s="1"/>
  <c r="HS331" i="55" s="1"/>
  <c r="HU331" i="55" s="1"/>
  <c r="FC334" i="55"/>
  <c r="FD334" i="55" s="1"/>
  <c r="HS334" i="55" s="1"/>
  <c r="HU334" i="55" s="1"/>
  <c r="FC333" i="55"/>
  <c r="FD333" i="55" s="1"/>
  <c r="HS333" i="55" s="1"/>
  <c r="HU333" i="55" s="1"/>
  <c r="FC332" i="55"/>
  <c r="FD332" i="55" s="1"/>
  <c r="HS332" i="55" s="1"/>
  <c r="HU332" i="55" s="1"/>
  <c r="FC330" i="55"/>
  <c r="FD330" i="55" s="1"/>
  <c r="HS330" i="55" s="1"/>
  <c r="HU330" i="55" s="1"/>
  <c r="JC286" i="55"/>
  <c r="GU286" i="55"/>
  <c r="GV286" i="55"/>
  <c r="GW286" i="55" s="1"/>
  <c r="GK332" i="55"/>
  <c r="HL332" i="55"/>
  <c r="DR46" i="55" a="1"/>
  <c r="DR46" i="55" s="1"/>
  <c r="DT46" i="55" s="1"/>
  <c r="DU46" i="55"/>
  <c r="HT46" i="55" s="1"/>
  <c r="II46" i="55"/>
  <c r="W312" i="55"/>
  <c r="EO312" i="55" a="1"/>
  <c r="EO312" i="55" s="1"/>
  <c r="EQ19" i="55"/>
  <c r="BT28" i="54" s="1" a="1"/>
  <c r="BT28" i="54" s="1"/>
  <c r="GL7" i="55"/>
  <c r="FP7" i="55"/>
  <c r="FS7" i="55"/>
  <c r="JO351" i="55"/>
  <c r="JU351" i="55"/>
  <c r="JV351" i="55" s="1"/>
  <c r="HM351" i="55"/>
  <c r="GW15" i="55"/>
  <c r="DR204" i="55" a="1"/>
  <c r="DR204" i="55" s="1"/>
  <c r="DT204" i="55" s="1"/>
  <c r="II204" i="55"/>
  <c r="DU204" i="55"/>
  <c r="HT204" i="55" s="1"/>
  <c r="EK15" i="55"/>
  <c r="AB19" i="54"/>
  <c r="EE114" i="55"/>
  <c r="EE115" i="55"/>
  <c r="EE116" i="55"/>
  <c r="EE102" i="55"/>
  <c r="EE118" i="55"/>
  <c r="EE103" i="55"/>
  <c r="EE123" i="55"/>
  <c r="EE104" i="55"/>
  <c r="EE124" i="55"/>
  <c r="EE105" i="55"/>
  <c r="EE125" i="55"/>
  <c r="EE106" i="55"/>
  <c r="EE126" i="55"/>
  <c r="EE122" i="55"/>
  <c r="EE128" i="55"/>
  <c r="EE129" i="55"/>
  <c r="EE120" i="55"/>
  <c r="EE107" i="55"/>
  <c r="EE109" i="55"/>
  <c r="EE108" i="55"/>
  <c r="EE110" i="55"/>
  <c r="EE111" i="55"/>
  <c r="EE113" i="55"/>
  <c r="EE119" i="55"/>
  <c r="EE121" i="55"/>
  <c r="EE112" i="55"/>
  <c r="EE127" i="55"/>
  <c r="EE117" i="55"/>
  <c r="FC113" i="55"/>
  <c r="FD113" i="55" s="1"/>
  <c r="HS113" i="55" s="1"/>
  <c r="HU113" i="55" s="1"/>
  <c r="FC114" i="55"/>
  <c r="FD114" i="55" s="1"/>
  <c r="HS114" i="55" s="1"/>
  <c r="HU114" i="55" s="1"/>
  <c r="FC129" i="55"/>
  <c r="FD129" i="55" s="1"/>
  <c r="HS129" i="55" s="1"/>
  <c r="HU129" i="55" s="1"/>
  <c r="FC116" i="55"/>
  <c r="FD116" i="55" s="1"/>
  <c r="HS116" i="55" s="1"/>
  <c r="HU116" i="55" s="1"/>
  <c r="FC106" i="55"/>
  <c r="FD106" i="55" s="1"/>
  <c r="HS106" i="55" s="1"/>
  <c r="HU106" i="55" s="1"/>
  <c r="FC112" i="55"/>
  <c r="FD112" i="55" s="1"/>
  <c r="HS112" i="55" s="1"/>
  <c r="HU112" i="55" s="1"/>
  <c r="FC103" i="55"/>
  <c r="FD103" i="55" s="1"/>
  <c r="HS103" i="55" s="1"/>
  <c r="HU103" i="55" s="1"/>
  <c r="FC121" i="55"/>
  <c r="FD121" i="55" s="1"/>
  <c r="HS121" i="55" s="1"/>
  <c r="HU121" i="55" s="1"/>
  <c r="FC127" i="55"/>
  <c r="FD127" i="55" s="1"/>
  <c r="HS127" i="55" s="1"/>
  <c r="HU127" i="55" s="1"/>
  <c r="FC109" i="55"/>
  <c r="FD109" i="55" s="1"/>
  <c r="HS109" i="55" s="1"/>
  <c r="HU109" i="55" s="1"/>
  <c r="FC117" i="55"/>
  <c r="FD117" i="55" s="1"/>
  <c r="HS117" i="55" s="1"/>
  <c r="HU117" i="55" s="1"/>
  <c r="FC115" i="55"/>
  <c r="FD115" i="55" s="1"/>
  <c r="HS115" i="55" s="1"/>
  <c r="HU115" i="55" s="1"/>
  <c r="FC119" i="55"/>
  <c r="FD119" i="55" s="1"/>
  <c r="HS119" i="55" s="1"/>
  <c r="HU119" i="55" s="1"/>
  <c r="FC122" i="55"/>
  <c r="FD122" i="55" s="1"/>
  <c r="HS122" i="55" s="1"/>
  <c r="HU122" i="55" s="1"/>
  <c r="FC124" i="55"/>
  <c r="FD124" i="55" s="1"/>
  <c r="HS124" i="55" s="1"/>
  <c r="HU124" i="55" s="1"/>
  <c r="FC110" i="55"/>
  <c r="FD110" i="55" s="1"/>
  <c r="HS110" i="55" s="1"/>
  <c r="HU110" i="55" s="1"/>
  <c r="FC128" i="55"/>
  <c r="FD128" i="55" s="1"/>
  <c r="HS128" i="55" s="1"/>
  <c r="HU128" i="55" s="1"/>
  <c r="FC123" i="55"/>
  <c r="FD123" i="55" s="1"/>
  <c r="HS123" i="55" s="1"/>
  <c r="HU123" i="55" s="1"/>
  <c r="FC104" i="55"/>
  <c r="FD104" i="55" s="1"/>
  <c r="HS104" i="55" s="1"/>
  <c r="HU104" i="55" s="1"/>
  <c r="FC120" i="55"/>
  <c r="FD120" i="55" s="1"/>
  <c r="HS120" i="55" s="1"/>
  <c r="HU120" i="55" s="1"/>
  <c r="FC111" i="55"/>
  <c r="FD111" i="55" s="1"/>
  <c r="HS111" i="55" s="1"/>
  <c r="HU111" i="55" s="1"/>
  <c r="FC126" i="55"/>
  <c r="FD126" i="55" s="1"/>
  <c r="HS126" i="55" s="1"/>
  <c r="HU126" i="55" s="1"/>
  <c r="FC125" i="55"/>
  <c r="FD125" i="55" s="1"/>
  <c r="HS125" i="55" s="1"/>
  <c r="HU125" i="55" s="1"/>
  <c r="FC108" i="55"/>
  <c r="FD108" i="55" s="1"/>
  <c r="HS108" i="55" s="1"/>
  <c r="HU108" i="55" s="1"/>
  <c r="FC107" i="55"/>
  <c r="FD107" i="55" s="1"/>
  <c r="HS107" i="55" s="1"/>
  <c r="HU107" i="55" s="1"/>
  <c r="FC118" i="55"/>
  <c r="FD118" i="55" s="1"/>
  <c r="HS118" i="55" s="1"/>
  <c r="HU118" i="55" s="1"/>
  <c r="FC105" i="55"/>
  <c r="FD105" i="55" s="1"/>
  <c r="HS105" i="55" s="1"/>
  <c r="HU105" i="55" s="1"/>
  <c r="FC102" i="55"/>
  <c r="FD102" i="55" s="1"/>
  <c r="HS102" i="55" s="1"/>
  <c r="HU102" i="55" s="1"/>
  <c r="W111" i="55"/>
  <c r="W119" i="55"/>
  <c r="II148" i="55"/>
  <c r="IJ148" i="55" s="1"/>
  <c r="JV41" i="55"/>
  <c r="AJ3" i="40" a="1"/>
  <c r="AJ3" i="40" s="1"/>
  <c r="BF9" i="10" s="1"/>
  <c r="EQ116" i="55"/>
  <c r="EP116" i="55" a="1"/>
  <c r="EP116" i="55" s="1"/>
  <c r="BS336" i="55"/>
  <c r="JU327" i="55"/>
  <c r="JO327" i="55"/>
  <c r="HM327" i="55"/>
  <c r="M327" i="55" s="1"/>
  <c r="HN327" i="55" s="1"/>
  <c r="GW125" i="55"/>
  <c r="DR310" i="55" a="1"/>
  <c r="DR310" i="55" s="1"/>
  <c r="DT310" i="55" s="1"/>
  <c r="II310" i="55"/>
  <c r="HQ310" i="55"/>
  <c r="DU310" i="55"/>
  <c r="HT310" i="55" s="1"/>
  <c r="JO267" i="55"/>
  <c r="GK352" i="55"/>
  <c r="HL352" i="55"/>
  <c r="JC338" i="55"/>
  <c r="GV338" i="55"/>
  <c r="GW338" i="55" s="1"/>
  <c r="GU338" i="55"/>
  <c r="JO219" i="55"/>
  <c r="JU219" i="55" s="1"/>
  <c r="JV219" i="55" s="1"/>
  <c r="HM219" i="55"/>
  <c r="EG62" i="55"/>
  <c r="EG78" i="55"/>
  <c r="EG63" i="55"/>
  <c r="EG79" i="55"/>
  <c r="EG64" i="55"/>
  <c r="EG80" i="55"/>
  <c r="EG66" i="55"/>
  <c r="EG82" i="55"/>
  <c r="EG55" i="55"/>
  <c r="EG75" i="55"/>
  <c r="EG56" i="55"/>
  <c r="EG76" i="55"/>
  <c r="EG57" i="55"/>
  <c r="EG77" i="55"/>
  <c r="EG58" i="55"/>
  <c r="EG81" i="55"/>
  <c r="EG54" i="55"/>
  <c r="EG86" i="55"/>
  <c r="EG60" i="55"/>
  <c r="EG61" i="55"/>
  <c r="EG84" i="55"/>
  <c r="EG73" i="55"/>
  <c r="EG74" i="55"/>
  <c r="EG83" i="55"/>
  <c r="EG87" i="55"/>
  <c r="EG69" i="55"/>
  <c r="EG71" i="55"/>
  <c r="EG72" i="55"/>
  <c r="EG67" i="55"/>
  <c r="EG53" i="55"/>
  <c r="EG59" i="55"/>
  <c r="EG65" i="55"/>
  <c r="EG68" i="55"/>
  <c r="EG70" i="55"/>
  <c r="EG85" i="55"/>
  <c r="EQ165" i="55"/>
  <c r="EP165" i="55" a="1"/>
  <c r="EP165" i="55" s="1"/>
  <c r="DR91" i="55" a="1"/>
  <c r="DR91" i="55" s="1"/>
  <c r="DT91" i="55" s="1"/>
  <c r="II91" i="55"/>
  <c r="DU91" i="55"/>
  <c r="HT91" i="55" s="1"/>
  <c r="DR59" i="55" a="1"/>
  <c r="DR59" i="55" s="1"/>
  <c r="DT59" i="55" s="1"/>
  <c r="DU59" i="55"/>
  <c r="HT59" i="55" s="1"/>
  <c r="II59" i="55"/>
  <c r="BS341" i="55"/>
  <c r="JO188" i="55"/>
  <c r="HM188" i="55"/>
  <c r="M188" i="55" s="1"/>
  <c r="HN188" i="55" s="1"/>
  <c r="JU112" i="55"/>
  <c r="JV112" i="55" s="1"/>
  <c r="JO78" i="55"/>
  <c r="JU78" i="55"/>
  <c r="GL5" i="55"/>
  <c r="FP5" i="55"/>
  <c r="FS5" i="55"/>
  <c r="W80" i="55"/>
  <c r="DR40" i="55" a="1"/>
  <c r="DR40" i="55" s="1"/>
  <c r="DT40" i="55" s="1"/>
  <c r="II40" i="55"/>
  <c r="HQ40" i="55"/>
  <c r="DU40" i="55"/>
  <c r="HT40" i="55" s="1"/>
  <c r="DR36" i="55" a="1"/>
  <c r="DR36" i="55" s="1"/>
  <c r="DT36" i="55" s="1"/>
  <c r="DU36" i="55"/>
  <c r="HT36" i="55" s="1"/>
  <c r="II36" i="55"/>
  <c r="FH174" i="55"/>
  <c r="FH155" i="55"/>
  <c r="FH171" i="55"/>
  <c r="FH159" i="55"/>
  <c r="FH157" i="55"/>
  <c r="FH161" i="55"/>
  <c r="FH158" i="55"/>
  <c r="FH173" i="55"/>
  <c r="FH164" i="55"/>
  <c r="FH162" i="55"/>
  <c r="FH177" i="55"/>
  <c r="FH170" i="55"/>
  <c r="FH178" i="55"/>
  <c r="FH169" i="55"/>
  <c r="FH168" i="55"/>
  <c r="FH172" i="55"/>
  <c r="FH176" i="55"/>
  <c r="FH156" i="55"/>
  <c r="FH166" i="55"/>
  <c r="FH163" i="55"/>
  <c r="FH167" i="55"/>
  <c r="FH175" i="55"/>
  <c r="FH160" i="55"/>
  <c r="FH165" i="55"/>
  <c r="IJ35" i="55"/>
  <c r="DR122" i="55" a="1"/>
  <c r="DR122" i="55" s="1"/>
  <c r="DT122" i="55" s="1"/>
  <c r="DU122" i="55"/>
  <c r="HT122" i="55" s="1"/>
  <c r="II122" i="55"/>
  <c r="JO180" i="55"/>
  <c r="DR10" i="55" a="1"/>
  <c r="DR10" i="55" s="1"/>
  <c r="DT10" i="55" s="1"/>
  <c r="DU10" i="55"/>
  <c r="HT10" i="55" s="1"/>
  <c r="II10" i="55"/>
  <c r="DR167" i="55" a="1"/>
  <c r="DR167" i="55" s="1"/>
  <c r="DT167" i="55" s="1"/>
  <c r="DU167" i="55"/>
  <c r="HT167" i="55" s="1"/>
  <c r="II167" i="55"/>
  <c r="GW11" i="55"/>
  <c r="GW7" i="55"/>
  <c r="DR271" i="55" a="1"/>
  <c r="DR271" i="55" s="1"/>
  <c r="DT271" i="55" s="1"/>
  <c r="II271" i="55"/>
  <c r="HQ271" i="55"/>
  <c r="DU271" i="55"/>
  <c r="HT271" i="55" s="1"/>
  <c r="GW216" i="55"/>
  <c r="HL123" i="55"/>
  <c r="GK123" i="55"/>
  <c r="JO306" i="55"/>
  <c r="GW297" i="55"/>
  <c r="HL121" i="55"/>
  <c r="GK121" i="55"/>
  <c r="JO294" i="55"/>
  <c r="AB20" i="54"/>
  <c r="EE130" i="55"/>
  <c r="EE131" i="55"/>
  <c r="EE147" i="55"/>
  <c r="EE132" i="55"/>
  <c r="EE148" i="55"/>
  <c r="EE134" i="55"/>
  <c r="EE143" i="55"/>
  <c r="EE144" i="55"/>
  <c r="EE145" i="55"/>
  <c r="EE146" i="55"/>
  <c r="EE152" i="55"/>
  <c r="EE150" i="55"/>
  <c r="EE137" i="55"/>
  <c r="EE138" i="55"/>
  <c r="EE139" i="55"/>
  <c r="EE141" i="55"/>
  <c r="EE151" i="55"/>
  <c r="EE153" i="55"/>
  <c r="EE135" i="55"/>
  <c r="EE136" i="55"/>
  <c r="EE140" i="55"/>
  <c r="EE149" i="55"/>
  <c r="EE133" i="55"/>
  <c r="EE142" i="55"/>
  <c r="FC149" i="55"/>
  <c r="FD149" i="55" s="1"/>
  <c r="HS149" i="55" s="1"/>
  <c r="HU149" i="55" s="1"/>
  <c r="FC143" i="55"/>
  <c r="FD143" i="55" s="1"/>
  <c r="HS143" i="55" s="1"/>
  <c r="HU143" i="55" s="1"/>
  <c r="FC130" i="55"/>
  <c r="FD130" i="55" s="1"/>
  <c r="HS130" i="55" s="1"/>
  <c r="HU130" i="55" s="1"/>
  <c r="FC142" i="55"/>
  <c r="FD142" i="55" s="1"/>
  <c r="HS142" i="55" s="1"/>
  <c r="HU142" i="55" s="1"/>
  <c r="FC136" i="55"/>
  <c r="FD136" i="55" s="1"/>
  <c r="HS136" i="55" s="1"/>
  <c r="HU136" i="55" s="1"/>
  <c r="FC147" i="55"/>
  <c r="FD147" i="55" s="1"/>
  <c r="HS147" i="55" s="1"/>
  <c r="HU147" i="55" s="1"/>
  <c r="FC148" i="55"/>
  <c r="FD148" i="55" s="1"/>
  <c r="HS148" i="55" s="1"/>
  <c r="HU148" i="55" s="1"/>
  <c r="FC144" i="55"/>
  <c r="FD144" i="55" s="1"/>
  <c r="HS144" i="55" s="1"/>
  <c r="HU144" i="55" s="1"/>
  <c r="FC145" i="55"/>
  <c r="FD145" i="55" s="1"/>
  <c r="HS145" i="55" s="1"/>
  <c r="HU145" i="55" s="1"/>
  <c r="FC132" i="55"/>
  <c r="FD132" i="55" s="1"/>
  <c r="HS132" i="55" s="1"/>
  <c r="HU132" i="55" s="1"/>
  <c r="FC133" i="55"/>
  <c r="FD133" i="55" s="1"/>
  <c r="HS133" i="55" s="1"/>
  <c r="HU133" i="55" s="1"/>
  <c r="FC138" i="55"/>
  <c r="FD138" i="55" s="1"/>
  <c r="HS138" i="55" s="1"/>
  <c r="HU138" i="55" s="1"/>
  <c r="FC135" i="55"/>
  <c r="FD135" i="55" s="1"/>
  <c r="HS135" i="55" s="1"/>
  <c r="HU135" i="55" s="1"/>
  <c r="FC151" i="55"/>
  <c r="FD151" i="55" s="1"/>
  <c r="HS151" i="55" s="1"/>
  <c r="HU151" i="55" s="1"/>
  <c r="FC140" i="55"/>
  <c r="FD140" i="55" s="1"/>
  <c r="HS140" i="55" s="1"/>
  <c r="HU140" i="55" s="1"/>
  <c r="FC153" i="55"/>
  <c r="FD153" i="55" s="1"/>
  <c r="HS153" i="55" s="1"/>
  <c r="HU153" i="55" s="1"/>
  <c r="FC141" i="55"/>
  <c r="FD141" i="55" s="1"/>
  <c r="HS141" i="55" s="1"/>
  <c r="HU141" i="55" s="1"/>
  <c r="FC139" i="55"/>
  <c r="FD139" i="55" s="1"/>
  <c r="HS139" i="55" s="1"/>
  <c r="HU139" i="55" s="1"/>
  <c r="FC131" i="55"/>
  <c r="FD131" i="55" s="1"/>
  <c r="HS131" i="55" s="1"/>
  <c r="HU131" i="55" s="1"/>
  <c r="FC134" i="55"/>
  <c r="FD134" i="55" s="1"/>
  <c r="HS134" i="55" s="1"/>
  <c r="HU134" i="55" s="1"/>
  <c r="FC137" i="55"/>
  <c r="FD137" i="55" s="1"/>
  <c r="HS137" i="55" s="1"/>
  <c r="HU137" i="55" s="1"/>
  <c r="FC152" i="55"/>
  <c r="FD152" i="55" s="1"/>
  <c r="HS152" i="55" s="1"/>
  <c r="HU152" i="55" s="1"/>
  <c r="FC150" i="55"/>
  <c r="FD150" i="55" s="1"/>
  <c r="HS150" i="55" s="1"/>
  <c r="HU150" i="55" s="1"/>
  <c r="FC146" i="55"/>
  <c r="FD146" i="55" s="1"/>
  <c r="HS146" i="55" s="1"/>
  <c r="HU146" i="55" s="1"/>
  <c r="DO114" i="55"/>
  <c r="EQ80" i="55"/>
  <c r="EP80" i="55" a="1"/>
  <c r="EP80" i="55" s="1"/>
  <c r="JO136" i="55"/>
  <c r="JO79" i="55"/>
  <c r="JU79" i="55" s="1"/>
  <c r="JV79" i="55" s="1"/>
  <c r="JO167" i="55"/>
  <c r="HM167" i="55"/>
  <c r="DR15" i="55" a="1"/>
  <c r="DR15" i="55" s="1"/>
  <c r="DT15" i="55" s="1"/>
  <c r="II15" i="55"/>
  <c r="IJ15" i="55" s="1"/>
  <c r="DU15" i="55"/>
  <c r="HT15" i="55" s="1"/>
  <c r="JU295" i="55"/>
  <c r="JV295" i="55" s="1"/>
  <c r="JO248" i="55"/>
  <c r="HL319" i="55"/>
  <c r="HM320" i="55" s="1"/>
  <c r="M320" i="55" s="1"/>
  <c r="HN320" i="55" s="1"/>
  <c r="GK319" i="55"/>
  <c r="DR207" i="55" a="1"/>
  <c r="DR207" i="55" s="1"/>
  <c r="DT207" i="55" s="1"/>
  <c r="DU207" i="55"/>
  <c r="HT207" i="55" s="1"/>
  <c r="II207" i="55"/>
  <c r="W52" i="55"/>
  <c r="EO52" i="55" a="1"/>
  <c r="EO52" i="55" s="1"/>
  <c r="DR115" i="55" a="1"/>
  <c r="DR115" i="55" s="1"/>
  <c r="DT115" i="55" s="1"/>
  <c r="DU115" i="55"/>
  <c r="HT115" i="55" s="1"/>
  <c r="II115" i="55"/>
  <c r="IJ115" i="55" s="1"/>
  <c r="JO198" i="55"/>
  <c r="HM198" i="55"/>
  <c r="GW113" i="55"/>
  <c r="DR301" i="55" a="1"/>
  <c r="DR301" i="55" s="1"/>
  <c r="DT301" i="55" s="1"/>
  <c r="II301" i="55"/>
  <c r="DU301" i="55"/>
  <c r="HT301" i="55" s="1"/>
  <c r="JO171" i="55"/>
  <c r="EO233" i="55" a="1"/>
  <c r="EO233" i="55" s="1"/>
  <c r="W233" i="55"/>
  <c r="GW250" i="55"/>
  <c r="JO35" i="55"/>
  <c r="HM35" i="55"/>
  <c r="M35" i="55" s="1"/>
  <c r="HN35" i="55" s="1"/>
  <c r="IL35" i="55" s="1"/>
  <c r="IM35" i="55" s="1"/>
  <c r="JC9" i="55"/>
  <c r="GV9" i="55"/>
  <c r="GU9" i="55"/>
  <c r="DO178" i="55"/>
  <c r="DR214" i="55" a="1"/>
  <c r="DR214" i="55" s="1"/>
  <c r="DT214" i="55" s="1"/>
  <c r="II214" i="55"/>
  <c r="DU214" i="55"/>
  <c r="HT214" i="55" s="1"/>
  <c r="DR141" i="55" a="1"/>
  <c r="DR141" i="55" s="1"/>
  <c r="DT141" i="55" s="1"/>
  <c r="II141" i="55"/>
  <c r="IJ141" i="55" s="1"/>
  <c r="DU141" i="55"/>
  <c r="HT141" i="55" s="1"/>
  <c r="JC340" i="55"/>
  <c r="GV340" i="55"/>
  <c r="GW340" i="55" s="1"/>
  <c r="GU340" i="55"/>
  <c r="JO269" i="55"/>
  <c r="JU269" i="55"/>
  <c r="JO290" i="55"/>
  <c r="JC172" i="55"/>
  <c r="GU172" i="55"/>
  <c r="GV172" i="55"/>
  <c r="JU177" i="55"/>
  <c r="JV177" i="55" s="1"/>
  <c r="DR320" i="55" a="1"/>
  <c r="DR320" i="55" s="1"/>
  <c r="DT320" i="55" s="1"/>
  <c r="DU320" i="55"/>
  <c r="HT320" i="55" s="1"/>
  <c r="II320" i="55"/>
  <c r="DR266" i="55" a="1"/>
  <c r="DR266" i="55" s="1"/>
  <c r="DT266" i="55" s="1"/>
  <c r="HQ266" i="55"/>
  <c r="II266" i="55"/>
  <c r="DU266" i="55"/>
  <c r="HT266" i="55" s="1"/>
  <c r="W41" i="55"/>
  <c r="EO41" i="55" a="1"/>
  <c r="EO41" i="55" s="1"/>
  <c r="EG142" i="55"/>
  <c r="EG143" i="55"/>
  <c r="EG144" i="55"/>
  <c r="EG130" i="55"/>
  <c r="EG146" i="55"/>
  <c r="EG139" i="55"/>
  <c r="EG140" i="55"/>
  <c r="EG141" i="55"/>
  <c r="EG145" i="55"/>
  <c r="EG138" i="55"/>
  <c r="EG148" i="55"/>
  <c r="EG149" i="55"/>
  <c r="EG136" i="55"/>
  <c r="EG153" i="55"/>
  <c r="EG137" i="55"/>
  <c r="EG147" i="55"/>
  <c r="EG150" i="55"/>
  <c r="EG151" i="55"/>
  <c r="EG133" i="55"/>
  <c r="EG135" i="55"/>
  <c r="EG152" i="55"/>
  <c r="EG131" i="55"/>
  <c r="EG132" i="55"/>
  <c r="EG134" i="55"/>
  <c r="AB16" i="54"/>
  <c r="EE34" i="55"/>
  <c r="EE50" i="55"/>
  <c r="EE35" i="55"/>
  <c r="EE51" i="55"/>
  <c r="EE36" i="55"/>
  <c r="EE52" i="55"/>
  <c r="EE38" i="55"/>
  <c r="EE39" i="55"/>
  <c r="EE40" i="55"/>
  <c r="EE41" i="55"/>
  <c r="EE42" i="55"/>
  <c r="EE37" i="55"/>
  <c r="EE44" i="55"/>
  <c r="EE45" i="55"/>
  <c r="EE32" i="55"/>
  <c r="EE48" i="55"/>
  <c r="EE49" i="55"/>
  <c r="EE43" i="55"/>
  <c r="EE47" i="55"/>
  <c r="EE31" i="55"/>
  <c r="EE33" i="55"/>
  <c r="EE46" i="55"/>
  <c r="FC49" i="55"/>
  <c r="FD49" i="55" s="1"/>
  <c r="HS49" i="55" s="1"/>
  <c r="HU49" i="55" s="1"/>
  <c r="FC35" i="55"/>
  <c r="FD35" i="55" s="1"/>
  <c r="HS35" i="55" s="1"/>
  <c r="HU35" i="55" s="1"/>
  <c r="FC47" i="55"/>
  <c r="FD47" i="55" s="1"/>
  <c r="HS47" i="55" s="1"/>
  <c r="HU47" i="55" s="1"/>
  <c r="FC48" i="55"/>
  <c r="FD48" i="55" s="1"/>
  <c r="HS48" i="55" s="1"/>
  <c r="HU48" i="55" s="1"/>
  <c r="FC36" i="55"/>
  <c r="FD36" i="55" s="1"/>
  <c r="HS36" i="55" s="1"/>
  <c r="HU36" i="55" s="1"/>
  <c r="FC37" i="55"/>
  <c r="FD37" i="55" s="1"/>
  <c r="HS37" i="55" s="1"/>
  <c r="HU37" i="55" s="1"/>
  <c r="FC43" i="55"/>
  <c r="FD43" i="55" s="1"/>
  <c r="HS43" i="55" s="1"/>
  <c r="HU43" i="55" s="1"/>
  <c r="FC40" i="55"/>
  <c r="FD40" i="55" s="1"/>
  <c r="HS40" i="55" s="1"/>
  <c r="HU40" i="55" s="1"/>
  <c r="FC52" i="55"/>
  <c r="FD52" i="55" s="1"/>
  <c r="HS52" i="55" s="1"/>
  <c r="HU52" i="55" s="1"/>
  <c r="FC39" i="55"/>
  <c r="FD39" i="55" s="1"/>
  <c r="HS39" i="55" s="1"/>
  <c r="HU39" i="55" s="1"/>
  <c r="FC44" i="55"/>
  <c r="FD44" i="55" s="1"/>
  <c r="HS44" i="55" s="1"/>
  <c r="HU44" i="55" s="1"/>
  <c r="FC46" i="55"/>
  <c r="FD46" i="55" s="1"/>
  <c r="HS46" i="55" s="1"/>
  <c r="HU46" i="55" s="1"/>
  <c r="FC41" i="55"/>
  <c r="FD41" i="55" s="1"/>
  <c r="HS41" i="55" s="1"/>
  <c r="HU41" i="55" s="1"/>
  <c r="FC45" i="55"/>
  <c r="FD45" i="55" s="1"/>
  <c r="HS45" i="55" s="1"/>
  <c r="HU45" i="55" s="1"/>
  <c r="FC42" i="55"/>
  <c r="FD42" i="55" s="1"/>
  <c r="HS42" i="55" s="1"/>
  <c r="HU42" i="55" s="1"/>
  <c r="FC33" i="55"/>
  <c r="FD33" i="55" s="1"/>
  <c r="HS33" i="55" s="1"/>
  <c r="HU33" i="55" s="1"/>
  <c r="FC34" i="55"/>
  <c r="FD34" i="55" s="1"/>
  <c r="HS34" i="55" s="1"/>
  <c r="HU34" i="55" s="1"/>
  <c r="FC51" i="55"/>
  <c r="FD51" i="55" s="1"/>
  <c r="HS51" i="55" s="1"/>
  <c r="HU51" i="55" s="1"/>
  <c r="FC38" i="55"/>
  <c r="FD38" i="55" s="1"/>
  <c r="HS38" i="55" s="1"/>
  <c r="HU38" i="55" s="1"/>
  <c r="FC32" i="55"/>
  <c r="FD32" i="55" s="1"/>
  <c r="HS32" i="55" s="1"/>
  <c r="HU32" i="55" s="1"/>
  <c r="JO71" i="55"/>
  <c r="JO200" i="55"/>
  <c r="JU200" i="55" s="1"/>
  <c r="HM200" i="55"/>
  <c r="HL174" i="55"/>
  <c r="HM175" i="55" s="1"/>
  <c r="GK174" i="55"/>
  <c r="EQ112" i="55"/>
  <c r="EP112" i="55" a="1"/>
  <c r="EP112" i="55" s="1"/>
  <c r="JV159" i="55"/>
  <c r="EO290" i="55" a="1"/>
  <c r="EO290" i="55" s="1"/>
  <c r="W290" i="55"/>
  <c r="EO349" i="55" a="1"/>
  <c r="EO349" i="55" s="1"/>
  <c r="W349" i="55"/>
  <c r="GW20" i="55"/>
  <c r="JC279" i="55"/>
  <c r="GU279" i="55"/>
  <c r="GV279" i="55"/>
  <c r="GW279" i="55" s="1"/>
  <c r="JC67" i="55"/>
  <c r="GU67" i="55"/>
  <c r="GV67" i="55"/>
  <c r="GW139" i="55"/>
  <c r="EZ280" i="55"/>
  <c r="GW111" i="55"/>
  <c r="GW99" i="55"/>
  <c r="EO315" i="55" a="1"/>
  <c r="EO315" i="55" s="1"/>
  <c r="W315" i="55"/>
  <c r="GW300" i="55"/>
  <c r="DR135" i="55" a="1"/>
  <c r="DR135" i="55" s="1"/>
  <c r="DT135" i="55" s="1"/>
  <c r="DU135" i="55"/>
  <c r="HT135" i="55" s="1"/>
  <c r="II135" i="55"/>
  <c r="IJ135" i="55" s="1"/>
  <c r="JO329" i="55"/>
  <c r="GW107" i="55"/>
  <c r="AG29" i="42"/>
  <c r="AH29" i="42" s="1"/>
  <c r="M32" i="16"/>
  <c r="JC188" i="55"/>
  <c r="GU188" i="55"/>
  <c r="GV188" i="55"/>
  <c r="GW188" i="55" s="1"/>
  <c r="JO185" i="55"/>
  <c r="HM185" i="55"/>
  <c r="M185" i="55" s="1"/>
  <c r="HN185" i="55" s="1"/>
  <c r="HM209" i="55"/>
  <c r="M209" i="55" s="1"/>
  <c r="HN209" i="55" s="1"/>
  <c r="HM187" i="55"/>
  <c r="M187" i="55" s="1"/>
  <c r="HN187" i="55" s="1"/>
  <c r="HM208" i="55"/>
  <c r="M208" i="55" s="1"/>
  <c r="HN208" i="55" s="1"/>
  <c r="HM220" i="55"/>
  <c r="M220" i="55" s="1"/>
  <c r="HN220" i="55" s="1"/>
  <c r="HM222" i="55"/>
  <c r="M222" i="55" s="1"/>
  <c r="HN222" i="55" s="1"/>
  <c r="HM217" i="55"/>
  <c r="HM203" i="55"/>
  <c r="HM202" i="55"/>
  <c r="DR168" i="55" a="1"/>
  <c r="DR168" i="55" s="1"/>
  <c r="DT168" i="55" s="1"/>
  <c r="II168" i="55"/>
  <c r="HQ168" i="55"/>
  <c r="DU168" i="55"/>
  <c r="HT168" i="55" s="1"/>
  <c r="JC74" i="55"/>
  <c r="GV74" i="55"/>
  <c r="GU74" i="55"/>
  <c r="EQ48" i="55"/>
  <c r="EP48" i="55" a="1"/>
  <c r="EP48" i="55" s="1"/>
  <c r="JO344" i="55"/>
  <c r="JU344" i="55" s="1"/>
  <c r="HM344" i="55"/>
  <c r="JU310" i="55"/>
  <c r="JO310" i="55"/>
  <c r="DO118" i="55"/>
  <c r="GW110" i="55"/>
  <c r="EQ155" i="55"/>
  <c r="EP155" i="55" a="1"/>
  <c r="EP155" i="55" s="1"/>
  <c r="DO257" i="55"/>
  <c r="G257" i="55" s="1"/>
  <c r="DP257" i="55" s="1"/>
  <c r="DQ257" i="55" s="1"/>
  <c r="BS3" i="55"/>
  <c r="EZ3" i="55"/>
  <c r="EO149" i="55" a="1"/>
  <c r="EO149" i="55" s="1"/>
  <c r="W149" i="55"/>
  <c r="GW61" i="55"/>
  <c r="DO167" i="55"/>
  <c r="BS53" i="55"/>
  <c r="EG46" i="55"/>
  <c r="EG31" i="55"/>
  <c r="EG47" i="55"/>
  <c r="EG32" i="55"/>
  <c r="EG48" i="55"/>
  <c r="EG34" i="55"/>
  <c r="EG50" i="55"/>
  <c r="EG35" i="55"/>
  <c r="EG36" i="55"/>
  <c r="EG37" i="55"/>
  <c r="EG38" i="55"/>
  <c r="EG52" i="55"/>
  <c r="EG41" i="55"/>
  <c r="EG42" i="55"/>
  <c r="EG43" i="55"/>
  <c r="EG45" i="55"/>
  <c r="EG40" i="55"/>
  <c r="EG44" i="55"/>
  <c r="EG49" i="55"/>
  <c r="EG51" i="55"/>
  <c r="EG39" i="55"/>
  <c r="EG33" i="55"/>
  <c r="GW60" i="55"/>
  <c r="JC94" i="55"/>
  <c r="GU94" i="55"/>
  <c r="GV94" i="55"/>
  <c r="GW247" i="55"/>
  <c r="HL145" i="55"/>
  <c r="GK145" i="55"/>
  <c r="HQ117" i="55"/>
  <c r="JO238" i="55"/>
  <c r="GW63" i="55"/>
  <c r="JC267" i="55"/>
  <c r="GV267" i="55"/>
  <c r="GW267" i="55" s="1"/>
  <c r="GU267" i="55"/>
  <c r="EO131" i="55" a="1"/>
  <c r="EO131" i="55" s="1"/>
  <c r="W131" i="55"/>
  <c r="EQ307" i="55"/>
  <c r="EP307" i="55" a="1"/>
  <c r="EP307" i="55" s="1"/>
  <c r="JC144" i="55"/>
  <c r="GV144" i="55"/>
  <c r="GU144" i="55"/>
  <c r="AB26" i="54"/>
  <c r="EE321" i="55"/>
  <c r="EE322" i="55"/>
  <c r="EE323" i="55"/>
  <c r="EE324" i="55"/>
  <c r="EE320" i="55"/>
  <c r="EE318" i="55"/>
  <c r="EE317" i="55"/>
  <c r="EE319" i="55"/>
  <c r="FC317" i="55"/>
  <c r="FD317" i="55" s="1"/>
  <c r="HS317" i="55" s="1"/>
  <c r="HU317" i="55" s="1"/>
  <c r="FC319" i="55"/>
  <c r="FD319" i="55" s="1"/>
  <c r="HS319" i="55" s="1"/>
  <c r="HU319" i="55" s="1"/>
  <c r="FC318" i="55"/>
  <c r="FD318" i="55" s="1"/>
  <c r="HS318" i="55" s="1"/>
  <c r="HU318" i="55" s="1"/>
  <c r="FC321" i="55"/>
  <c r="FD321" i="55" s="1"/>
  <c r="HS321" i="55" s="1"/>
  <c r="HU321" i="55" s="1"/>
  <c r="FC320" i="55"/>
  <c r="FD320" i="55" s="1"/>
  <c r="HS320" i="55" s="1"/>
  <c r="HU320" i="55" s="1"/>
  <c r="FC322" i="55"/>
  <c r="FD322" i="55" s="1"/>
  <c r="HS322" i="55" s="1"/>
  <c r="HU322" i="55" s="1"/>
  <c r="FC324" i="55"/>
  <c r="FD324" i="55" s="1"/>
  <c r="HS324" i="55" s="1"/>
  <c r="HU324" i="55" s="1"/>
  <c r="FC323" i="55"/>
  <c r="FD323" i="55" s="1"/>
  <c r="HS323" i="55" s="1"/>
  <c r="HU323" i="55" s="1"/>
  <c r="W318" i="55"/>
  <c r="JU233" i="55"/>
  <c r="JV233" i="55" s="1"/>
  <c r="JV194" i="55"/>
  <c r="JC182" i="55"/>
  <c r="GV182" i="55"/>
  <c r="GU182" i="55"/>
  <c r="DR350" i="55" a="1"/>
  <c r="DR350" i="55" s="1"/>
  <c r="DT350" i="55" s="1"/>
  <c r="II350" i="55"/>
  <c r="DU350" i="55"/>
  <c r="HT350" i="55" s="1"/>
  <c r="JU312" i="55"/>
  <c r="JO311" i="55"/>
  <c r="DR217" i="55" a="1"/>
  <c r="DR217" i="55" s="1"/>
  <c r="DT217" i="55" s="1"/>
  <c r="II217" i="55"/>
  <c r="HQ217" i="55"/>
  <c r="DU217" i="55"/>
  <c r="HT217" i="55" s="1"/>
  <c r="DR230" i="55" a="1"/>
  <c r="DR230" i="55" s="1"/>
  <c r="DT230" i="55" s="1"/>
  <c r="II230" i="55"/>
  <c r="DU230" i="55"/>
  <c r="HT230" i="55" s="1"/>
  <c r="JO318" i="55"/>
  <c r="HM318" i="55"/>
  <c r="M318" i="55" s="1"/>
  <c r="HN318" i="55" s="1"/>
  <c r="W78" i="55"/>
  <c r="EQ299" i="55"/>
  <c r="EP299" i="55" a="1"/>
  <c r="EP299" i="55" s="1"/>
  <c r="EK184" i="55"/>
  <c r="HQ333" i="55"/>
  <c r="HL125" i="55"/>
  <c r="GK125" i="55"/>
  <c r="DO268" i="55"/>
  <c r="G268" i="55" s="1"/>
  <c r="DP268" i="55" s="1"/>
  <c r="DQ268" i="55" s="1"/>
  <c r="JU39" i="55"/>
  <c r="M34" i="16"/>
  <c r="AG31" i="42"/>
  <c r="AH31" i="42" s="1"/>
  <c r="BS283" i="55"/>
  <c r="EZ283" i="55"/>
  <c r="GK283" i="55" s="1"/>
  <c r="GW253" i="55"/>
  <c r="GW80" i="55"/>
  <c r="JO275" i="55"/>
  <c r="W88" i="55"/>
  <c r="EO88" i="55" a="1"/>
  <c r="EO88" i="55" s="1"/>
  <c r="JU67" i="55"/>
  <c r="JV67" i="55" s="1"/>
  <c r="JO67" i="55"/>
  <c r="DO190" i="55"/>
  <c r="G190" i="55" s="1"/>
  <c r="DP190" i="55" s="1"/>
  <c r="DQ190" i="55" s="1"/>
  <c r="DR258" i="55" a="1"/>
  <c r="DR258" i="55" s="1"/>
  <c r="DT258" i="55" s="1"/>
  <c r="DU258" i="55"/>
  <c r="HT258" i="55" s="1"/>
  <c r="II258" i="55"/>
  <c r="HQ258" i="55"/>
  <c r="GW197" i="55"/>
  <c r="DR329" i="55" a="1"/>
  <c r="DR329" i="55" s="1"/>
  <c r="DT329" i="55" s="1"/>
  <c r="II329" i="55"/>
  <c r="DU329" i="55"/>
  <c r="HT329" i="55" s="1"/>
  <c r="JC334" i="55"/>
  <c r="GU334" i="55"/>
  <c r="GV334" i="55"/>
  <c r="GW334" i="55" s="1"/>
  <c r="EQ69" i="55"/>
  <c r="EP69" i="55" a="1"/>
  <c r="EP69" i="55" s="1"/>
  <c r="DR238" i="55" a="1"/>
  <c r="DR238" i="55" s="1"/>
  <c r="DT238" i="55" s="1"/>
  <c r="DU238" i="55"/>
  <c r="HT238" i="55" s="1"/>
  <c r="II238" i="55"/>
  <c r="DR16" i="55" a="1"/>
  <c r="DR16" i="55" s="1"/>
  <c r="DT16" i="55" s="1"/>
  <c r="II16" i="55"/>
  <c r="IJ16" i="55" s="1"/>
  <c r="DU16" i="55"/>
  <c r="HT16" i="55" s="1"/>
  <c r="DR199" i="55" a="1"/>
  <c r="DR199" i="55" s="1"/>
  <c r="DT199" i="55" s="1"/>
  <c r="II199" i="55"/>
  <c r="DU199" i="55"/>
  <c r="HT199" i="55" s="1"/>
  <c r="DR313" i="55" a="1"/>
  <c r="DR313" i="55" s="1"/>
  <c r="DT313" i="55" s="1"/>
  <c r="II313" i="55"/>
  <c r="IJ313" i="55" s="1"/>
  <c r="DU313" i="55"/>
  <c r="HT313" i="55" s="1"/>
  <c r="AB23" i="54"/>
  <c r="EE225" i="55"/>
  <c r="EE241" i="55"/>
  <c r="EE257" i="55"/>
  <c r="EE273" i="55"/>
  <c r="EE226" i="55"/>
  <c r="EE242" i="55"/>
  <c r="EE258" i="55"/>
  <c r="EE274" i="55"/>
  <c r="EE227" i="55"/>
  <c r="EE243" i="55"/>
  <c r="EE259" i="55"/>
  <c r="EE275" i="55"/>
  <c r="EE228" i="55"/>
  <c r="EE244" i="55"/>
  <c r="EE260" i="55"/>
  <c r="EE276" i="55"/>
  <c r="EE236" i="55"/>
  <c r="EE256" i="55"/>
  <c r="EE280" i="55"/>
  <c r="EE238" i="55"/>
  <c r="EE262" i="55"/>
  <c r="EE282" i="55"/>
  <c r="EE239" i="55"/>
  <c r="EE263" i="55"/>
  <c r="EE234" i="55"/>
  <c r="EE254" i="55"/>
  <c r="EE278" i="55"/>
  <c r="EE251" i="55"/>
  <c r="EE281" i="55"/>
  <c r="EE224" i="55"/>
  <c r="EE252" i="55"/>
  <c r="EE229" i="55"/>
  <c r="EE253" i="55"/>
  <c r="EE231" i="55"/>
  <c r="EE261" i="55"/>
  <c r="EE266" i="55"/>
  <c r="EE230" i="55"/>
  <c r="EE267" i="55"/>
  <c r="EE232" i="55"/>
  <c r="EE268" i="55"/>
  <c r="EE233" i="55"/>
  <c r="EE269" i="55"/>
  <c r="EE271" i="55"/>
  <c r="EE277" i="55"/>
  <c r="EE235" i="55"/>
  <c r="EE279" i="55"/>
  <c r="EE265" i="55"/>
  <c r="EE270" i="55"/>
  <c r="EE272" i="55"/>
  <c r="EE237" i="55"/>
  <c r="EE240" i="55"/>
  <c r="EE264" i="55"/>
  <c r="EE249" i="55"/>
  <c r="EE255" i="55"/>
  <c r="EE245" i="55"/>
  <c r="EE246" i="55"/>
  <c r="EE247" i="55"/>
  <c r="EE248" i="55"/>
  <c r="EE250" i="55"/>
  <c r="FC278" i="55"/>
  <c r="FD278" i="55" s="1"/>
  <c r="HS278" i="55" s="1"/>
  <c r="HU278" i="55" s="1"/>
  <c r="FC242" i="55"/>
  <c r="FD242" i="55" s="1"/>
  <c r="HS242" i="55" s="1"/>
  <c r="HU242" i="55" s="1"/>
  <c r="FC277" i="55"/>
  <c r="FD277" i="55" s="1"/>
  <c r="HS277" i="55" s="1"/>
  <c r="HU277" i="55" s="1"/>
  <c r="FC258" i="55"/>
  <c r="FD258" i="55" s="1"/>
  <c r="HS258" i="55" s="1"/>
  <c r="HU258" i="55" s="1"/>
  <c r="FC229" i="55"/>
  <c r="FD229" i="55" s="1"/>
  <c r="HS229" i="55" s="1"/>
  <c r="HU229" i="55" s="1"/>
  <c r="FC273" i="55"/>
  <c r="FD273" i="55" s="1"/>
  <c r="HS273" i="55" s="1"/>
  <c r="HU273" i="55" s="1"/>
  <c r="FC262" i="55"/>
  <c r="FD262" i="55" s="1"/>
  <c r="HS262" i="55" s="1"/>
  <c r="HU262" i="55" s="1"/>
  <c r="FC241" i="55"/>
  <c r="FD241" i="55" s="1"/>
  <c r="HS241" i="55" s="1"/>
  <c r="HU241" i="55" s="1"/>
  <c r="FC256" i="55"/>
  <c r="FD256" i="55" s="1"/>
  <c r="HS256" i="55" s="1"/>
  <c r="HU256" i="55" s="1"/>
  <c r="FC245" i="55"/>
  <c r="FD245" i="55" s="1"/>
  <c r="HS245" i="55" s="1"/>
  <c r="HU245" i="55" s="1"/>
  <c r="FC249" i="55"/>
  <c r="FD249" i="55" s="1"/>
  <c r="HS249" i="55" s="1"/>
  <c r="HU249" i="55" s="1"/>
  <c r="FC271" i="55"/>
  <c r="FD271" i="55" s="1"/>
  <c r="HS271" i="55" s="1"/>
  <c r="HU271" i="55" s="1"/>
  <c r="FC272" i="55"/>
  <c r="FD272" i="55" s="1"/>
  <c r="HS272" i="55" s="1"/>
  <c r="HU272" i="55" s="1"/>
  <c r="FC251" i="55"/>
  <c r="FD251" i="55" s="1"/>
  <c r="HS251" i="55" s="1"/>
  <c r="HU251" i="55" s="1"/>
  <c r="FC274" i="55"/>
  <c r="FD274" i="55" s="1"/>
  <c r="HS274" i="55" s="1"/>
  <c r="HU274" i="55" s="1"/>
  <c r="FC264" i="55"/>
  <c r="FD264" i="55" s="1"/>
  <c r="HS264" i="55" s="1"/>
  <c r="HU264" i="55" s="1"/>
  <c r="FC279" i="55"/>
  <c r="FD279" i="55" s="1"/>
  <c r="HS279" i="55" s="1"/>
  <c r="HU279" i="55" s="1"/>
  <c r="FC247" i="55"/>
  <c r="FD247" i="55" s="1"/>
  <c r="HS247" i="55" s="1"/>
  <c r="HU247" i="55" s="1"/>
  <c r="FC280" i="55"/>
  <c r="FD280" i="55" s="1"/>
  <c r="HS280" i="55" s="1"/>
  <c r="HU280" i="55" s="1"/>
  <c r="FC259" i="55"/>
  <c r="FD259" i="55" s="1"/>
  <c r="HS259" i="55" s="1"/>
  <c r="HU259" i="55" s="1"/>
  <c r="FC257" i="55"/>
  <c r="FD257" i="55" s="1"/>
  <c r="HS257" i="55" s="1"/>
  <c r="HU257" i="55" s="1"/>
  <c r="FC255" i="55"/>
  <c r="FD255" i="55" s="1"/>
  <c r="HS255" i="55" s="1"/>
  <c r="HU255" i="55" s="1"/>
  <c r="FC235" i="55"/>
  <c r="FD235" i="55" s="1"/>
  <c r="HS235" i="55" s="1"/>
  <c r="HU235" i="55" s="1"/>
  <c r="FC263" i="55"/>
  <c r="FD263" i="55" s="1"/>
  <c r="HS263" i="55" s="1"/>
  <c r="HU263" i="55" s="1"/>
  <c r="FC261" i="55"/>
  <c r="FD261" i="55" s="1"/>
  <c r="HS261" i="55" s="1"/>
  <c r="HU261" i="55" s="1"/>
  <c r="FC266" i="55"/>
  <c r="FD266" i="55" s="1"/>
  <c r="HS266" i="55" s="1"/>
  <c r="HU266" i="55" s="1"/>
  <c r="FC230" i="55"/>
  <c r="FD230" i="55" s="1"/>
  <c r="HS230" i="55" s="1"/>
  <c r="HU230" i="55" s="1"/>
  <c r="FC237" i="55"/>
  <c r="FD237" i="55" s="1"/>
  <c r="HS237" i="55" s="1"/>
  <c r="HU237" i="55" s="1"/>
  <c r="FC232" i="55"/>
  <c r="FD232" i="55" s="1"/>
  <c r="HS232" i="55" s="1"/>
  <c r="HU232" i="55" s="1"/>
  <c r="FC267" i="55"/>
  <c r="FD267" i="55" s="1"/>
  <c r="HS267" i="55" s="1"/>
  <c r="HU267" i="55" s="1"/>
  <c r="FC233" i="55"/>
  <c r="FD233" i="55" s="1"/>
  <c r="HS233" i="55" s="1"/>
  <c r="HU233" i="55" s="1"/>
  <c r="FC260" i="55"/>
  <c r="FD260" i="55" s="1"/>
  <c r="HS260" i="55" s="1"/>
  <c r="HU260" i="55" s="1"/>
  <c r="FC225" i="55"/>
  <c r="FD225" i="55" s="1"/>
  <c r="HS225" i="55" s="1"/>
  <c r="HU225" i="55" s="1"/>
  <c r="FC270" i="55"/>
  <c r="FD270" i="55" s="1"/>
  <c r="HS270" i="55" s="1"/>
  <c r="HU270" i="55" s="1"/>
  <c r="FC254" i="55"/>
  <c r="FD254" i="55" s="1"/>
  <c r="HS254" i="55" s="1"/>
  <c r="HU254" i="55" s="1"/>
  <c r="FC248" i="55"/>
  <c r="FD248" i="55" s="1"/>
  <c r="HS248" i="55" s="1"/>
  <c r="HU248" i="55" s="1"/>
  <c r="FC253" i="55"/>
  <c r="FD253" i="55" s="1"/>
  <c r="HS253" i="55" s="1"/>
  <c r="HU253" i="55" s="1"/>
  <c r="FC238" i="55"/>
  <c r="FD238" i="55" s="1"/>
  <c r="HS238" i="55" s="1"/>
  <c r="HU238" i="55" s="1"/>
  <c r="FC281" i="55"/>
  <c r="FD281" i="55" s="1"/>
  <c r="HS281" i="55" s="1"/>
  <c r="HU281" i="55" s="1"/>
  <c r="FC250" i="55"/>
  <c r="FD250" i="55" s="1"/>
  <c r="HS250" i="55" s="1"/>
  <c r="HU250" i="55" s="1"/>
  <c r="FC265" i="55"/>
  <c r="FD265" i="55" s="1"/>
  <c r="HS265" i="55" s="1"/>
  <c r="HU265" i="55" s="1"/>
  <c r="FC252" i="55"/>
  <c r="FD252" i="55" s="1"/>
  <c r="HS252" i="55" s="1"/>
  <c r="HU252" i="55" s="1"/>
  <c r="FC276" i="55"/>
  <c r="FD276" i="55" s="1"/>
  <c r="HS276" i="55" s="1"/>
  <c r="HU276" i="55" s="1"/>
  <c r="FC282" i="55"/>
  <c r="FD282" i="55" s="1"/>
  <c r="HS282" i="55" s="1"/>
  <c r="HU282" i="55" s="1"/>
  <c r="FC236" i="55"/>
  <c r="FD236" i="55" s="1"/>
  <c r="HS236" i="55" s="1"/>
  <c r="HU236" i="55" s="1"/>
  <c r="FC239" i="55"/>
  <c r="FD239" i="55" s="1"/>
  <c r="HS239" i="55" s="1"/>
  <c r="HU239" i="55" s="1"/>
  <c r="FC234" i="55"/>
  <c r="FD234" i="55" s="1"/>
  <c r="HS234" i="55" s="1"/>
  <c r="HU234" i="55" s="1"/>
  <c r="FC243" i="55"/>
  <c r="FD243" i="55" s="1"/>
  <c r="HS243" i="55" s="1"/>
  <c r="HU243" i="55" s="1"/>
  <c r="FC240" i="55"/>
  <c r="FD240" i="55" s="1"/>
  <c r="HS240" i="55" s="1"/>
  <c r="HU240" i="55" s="1"/>
  <c r="FC228" i="55"/>
  <c r="FD228" i="55" s="1"/>
  <c r="HS228" i="55" s="1"/>
  <c r="HU228" i="55" s="1"/>
  <c r="FC268" i="55"/>
  <c r="FD268" i="55" s="1"/>
  <c r="HS268" i="55" s="1"/>
  <c r="HU268" i="55" s="1"/>
  <c r="FC231" i="55"/>
  <c r="FD231" i="55" s="1"/>
  <c r="HS231" i="55" s="1"/>
  <c r="HU231" i="55" s="1"/>
  <c r="FC269" i="55"/>
  <c r="FD269" i="55" s="1"/>
  <c r="HS269" i="55" s="1"/>
  <c r="HU269" i="55" s="1"/>
  <c r="FC227" i="55"/>
  <c r="FD227" i="55" s="1"/>
  <c r="HS227" i="55" s="1"/>
  <c r="HU227" i="55" s="1"/>
  <c r="FC226" i="55"/>
  <c r="FD226" i="55" s="1"/>
  <c r="HS226" i="55" s="1"/>
  <c r="HU226" i="55" s="1"/>
  <c r="FC244" i="55"/>
  <c r="FD244" i="55" s="1"/>
  <c r="HS244" i="55" s="1"/>
  <c r="HU244" i="55" s="1"/>
  <c r="FC275" i="55"/>
  <c r="FD275" i="55" s="1"/>
  <c r="HS275" i="55" s="1"/>
  <c r="HU275" i="55" s="1"/>
  <c r="FC246" i="55"/>
  <c r="FD246" i="55" s="1"/>
  <c r="HS246" i="55" s="1"/>
  <c r="HU246" i="55" s="1"/>
  <c r="EQ309" i="55"/>
  <c r="EP309" i="55" a="1"/>
  <c r="EP309" i="55" s="1"/>
  <c r="EO34" i="55" a="1"/>
  <c r="EO34" i="55" s="1"/>
  <c r="W34" i="55"/>
  <c r="W48" i="55"/>
  <c r="DR54" i="55" a="1"/>
  <c r="DR54" i="55" s="1"/>
  <c r="DT54" i="55" s="1"/>
  <c r="DU54" i="55"/>
  <c r="HT54" i="55" s="1"/>
  <c r="II54" i="55"/>
  <c r="JU186" i="55"/>
  <c r="JV186" i="55" s="1"/>
  <c r="JO124" i="55"/>
  <c r="JU124" i="55"/>
  <c r="W324" i="55"/>
  <c r="EO324" i="55" a="1"/>
  <c r="EO324" i="55" s="1"/>
  <c r="EQ78" i="55"/>
  <c r="EP78" i="55" a="1"/>
  <c r="EP78" i="55" s="1"/>
  <c r="IJ333" i="55"/>
  <c r="II43" i="55"/>
  <c r="DU43" i="55"/>
  <c r="HT43" i="55" s="1"/>
  <c r="W173" i="55"/>
  <c r="EO173" i="55" a="1"/>
  <c r="EO173" i="55" s="1"/>
  <c r="JV39" i="55"/>
  <c r="JO340" i="55"/>
  <c r="HM340" i="55"/>
  <c r="M340" i="55" s="1"/>
  <c r="HN340" i="55" s="1"/>
  <c r="DR340" i="55" a="1"/>
  <c r="DR340" i="55" s="1"/>
  <c r="DT340" i="55" s="1"/>
  <c r="DU340" i="55"/>
  <c r="HT340" i="55" s="1"/>
  <c r="II340" i="55"/>
  <c r="AB30" i="54"/>
  <c r="EE344" i="55"/>
  <c r="EE346" i="55"/>
  <c r="EE347" i="55"/>
  <c r="EE342" i="55"/>
  <c r="EE341" i="55"/>
  <c r="EE345" i="55"/>
  <c r="EE343" i="55"/>
  <c r="EE348" i="55"/>
  <c r="EE349" i="55"/>
  <c r="EE350" i="55"/>
  <c r="EE351" i="55"/>
  <c r="EE352" i="55"/>
  <c r="FC350" i="55"/>
  <c r="FD350" i="55" s="1"/>
  <c r="HS350" i="55" s="1"/>
  <c r="HU350" i="55" s="1"/>
  <c r="FC351" i="55"/>
  <c r="FD351" i="55" s="1"/>
  <c r="HS351" i="55" s="1"/>
  <c r="HU351" i="55" s="1"/>
  <c r="FC344" i="55"/>
  <c r="FD344" i="55" s="1"/>
  <c r="HS344" i="55" s="1"/>
  <c r="HU344" i="55" s="1"/>
  <c r="FC343" i="55"/>
  <c r="FD343" i="55" s="1"/>
  <c r="HS343" i="55" s="1"/>
  <c r="HU343" i="55" s="1"/>
  <c r="FC345" i="55"/>
  <c r="FD345" i="55" s="1"/>
  <c r="HS345" i="55" s="1"/>
  <c r="HU345" i="55" s="1"/>
  <c r="FC346" i="55"/>
  <c r="FD346" i="55" s="1"/>
  <c r="HS346" i="55" s="1"/>
  <c r="HU346" i="55" s="1"/>
  <c r="FC349" i="55"/>
  <c r="FD349" i="55" s="1"/>
  <c r="HS349" i="55" s="1"/>
  <c r="HU349" i="55" s="1"/>
  <c r="FC347" i="55"/>
  <c r="FD347" i="55" s="1"/>
  <c r="HS347" i="55" s="1"/>
  <c r="HU347" i="55" s="1"/>
  <c r="FC348" i="55"/>
  <c r="FD348" i="55" s="1"/>
  <c r="HS348" i="55" s="1"/>
  <c r="HU348" i="55" s="1"/>
  <c r="FC341" i="55"/>
  <c r="FD341" i="55" s="1"/>
  <c r="HS341" i="55" s="1"/>
  <c r="HU341" i="55" s="1"/>
  <c r="FC352" i="55"/>
  <c r="FD352" i="55" s="1"/>
  <c r="HS352" i="55" s="1"/>
  <c r="HU352" i="55" s="1"/>
  <c r="FC342" i="55"/>
  <c r="FD342" i="55" s="1"/>
  <c r="HS342" i="55" s="1"/>
  <c r="HU342" i="55" s="1"/>
  <c r="DR158" i="55" a="1"/>
  <c r="DR158" i="55" s="1"/>
  <c r="DT158" i="55" s="1"/>
  <c r="DU158" i="55"/>
  <c r="HT158" i="55" s="1"/>
  <c r="II158" i="55"/>
  <c r="GL15" i="55"/>
  <c r="FP15" i="55"/>
  <c r="HL62" i="55"/>
  <c r="GK62" i="55"/>
  <c r="GW348" i="55"/>
  <c r="DO122" i="55"/>
  <c r="GW312" i="55"/>
  <c r="JO237" i="55"/>
  <c r="JU237" i="55" s="1"/>
  <c r="JO104" i="55"/>
  <c r="JU104" i="55" s="1"/>
  <c r="HM104" i="55"/>
  <c r="M104" i="55" s="1"/>
  <c r="HN104" i="55" s="1"/>
  <c r="W220" i="55"/>
  <c r="EO220" i="55" a="1"/>
  <c r="EO220" i="55" s="1"/>
  <c r="DO293" i="55"/>
  <c r="JO96" i="55"/>
  <c r="JU96" i="55"/>
  <c r="HM96" i="55"/>
  <c r="W92" i="55"/>
  <c r="EO92" i="55" a="1"/>
  <c r="EO92" i="55" s="1"/>
  <c r="DR316" i="55" a="1"/>
  <c r="DR316" i="55" s="1"/>
  <c r="DT316" i="55" s="1"/>
  <c r="DU316" i="55"/>
  <c r="HT316" i="55" s="1"/>
  <c r="II316" i="55"/>
  <c r="IJ316" i="55" s="1"/>
  <c r="W345" i="55"/>
  <c r="EO345" i="55" a="1"/>
  <c r="EO345" i="55" s="1"/>
  <c r="DR18" i="55" a="1"/>
  <c r="DR18" i="55" s="1"/>
  <c r="DT18" i="55" s="1"/>
  <c r="DU18" i="55"/>
  <c r="HT18" i="55" s="1"/>
  <c r="II18" i="55"/>
  <c r="JC262" i="55"/>
  <c r="GU262" i="55"/>
  <c r="GV262" i="55"/>
  <c r="GW262" i="55" s="1"/>
  <c r="HL299" i="55"/>
  <c r="GK299" i="55"/>
  <c r="EG334" i="55"/>
  <c r="EG331" i="55"/>
  <c r="EG332" i="55"/>
  <c r="EG333" i="55"/>
  <c r="EG330" i="55"/>
  <c r="DR286" i="55" a="1"/>
  <c r="DR286" i="55" s="1"/>
  <c r="DT286" i="55" s="1"/>
  <c r="II286" i="55"/>
  <c r="DU286" i="55"/>
  <c r="HT286" i="55" s="1"/>
  <c r="HQ286" i="55"/>
  <c r="EQ265" i="55"/>
  <c r="EP265" i="55" a="1"/>
  <c r="EP265" i="55" s="1"/>
  <c r="EO229" i="55" a="1"/>
  <c r="EO229" i="55" s="1"/>
  <c r="W229" i="55"/>
  <c r="JC339" i="55"/>
  <c r="GV339" i="55"/>
  <c r="GW339" i="55" s="1"/>
  <c r="GU339" i="55"/>
  <c r="HQ284" i="55"/>
  <c r="GW95" i="55"/>
  <c r="AC16" i="54"/>
  <c r="FE47" i="55"/>
  <c r="FE49" i="55"/>
  <c r="FE48" i="55"/>
  <c r="FE42" i="55"/>
  <c r="FE43" i="55"/>
  <c r="FE34" i="55"/>
  <c r="FE36" i="55"/>
  <c r="FE46" i="55"/>
  <c r="FE38" i="55"/>
  <c r="FE40" i="55"/>
  <c r="FE44" i="55"/>
  <c r="FE32" i="55"/>
  <c r="FE45" i="55"/>
  <c r="FE33" i="55"/>
  <c r="FE37" i="55"/>
  <c r="FE52" i="55"/>
  <c r="FE35" i="55"/>
  <c r="FE41" i="55"/>
  <c r="FE31" i="55"/>
  <c r="FE51" i="55"/>
  <c r="FE39" i="55"/>
  <c r="DR108" i="55" a="1"/>
  <c r="DR108" i="55" s="1"/>
  <c r="DT108" i="55" s="1"/>
  <c r="DU108" i="55"/>
  <c r="HT108" i="55" s="1"/>
  <c r="HQ108" i="55"/>
  <c r="II108" i="55"/>
  <c r="EQ326" i="55"/>
  <c r="EP326" i="55" a="1"/>
  <c r="EP326" i="55" s="1"/>
  <c r="EQ156" i="55"/>
  <c r="EP156" i="55" a="1"/>
  <c r="EP156" i="55" s="1"/>
  <c r="DO237" i="55"/>
  <c r="G237" i="55" s="1"/>
  <c r="DP237" i="55" s="1"/>
  <c r="DQ237" i="55" s="1"/>
  <c r="JC104" i="55"/>
  <c r="GV104" i="55"/>
  <c r="GW104" i="55" s="1"/>
  <c r="GU104" i="55"/>
  <c r="GW143" i="55"/>
  <c r="AC26" i="54"/>
  <c r="IJ318" i="55" s="1"/>
  <c r="FE319" i="55"/>
  <c r="FE322" i="55"/>
  <c r="FE320" i="55"/>
  <c r="FE318" i="55"/>
  <c r="FE323" i="55"/>
  <c r="FE324" i="55"/>
  <c r="FE321" i="55"/>
  <c r="FE317" i="55"/>
  <c r="DR128" i="55" a="1"/>
  <c r="DR128" i="55" s="1"/>
  <c r="DT128" i="55" s="1"/>
  <c r="II128" i="55"/>
  <c r="DU128" i="55"/>
  <c r="HT128" i="55" s="1"/>
  <c r="EO206" i="55" a="1"/>
  <c r="EO206" i="55" s="1"/>
  <c r="W206" i="55"/>
  <c r="GW117" i="55"/>
  <c r="GK271" i="55"/>
  <c r="HL271" i="55"/>
  <c r="GW169" i="55"/>
  <c r="IX50" i="55" a="1"/>
  <c r="IX50" i="55" s="1"/>
  <c r="IY50" i="55" s="1"/>
  <c r="IR50" i="55" a="1"/>
  <c r="IR50" i="55" s="1"/>
  <c r="IS50" i="55" s="1"/>
  <c r="IV50" i="55" a="1"/>
  <c r="IV50" i="55" s="1"/>
  <c r="IW50" i="55" s="1"/>
  <c r="IT50" i="55" a="1"/>
  <c r="IT50" i="55" s="1"/>
  <c r="IU50" i="55" s="1"/>
  <c r="IN50" i="55" a="1"/>
  <c r="IN50" i="55" s="1"/>
  <c r="IO50" i="55" s="1"/>
  <c r="IP50" i="55" a="1"/>
  <c r="IP50" i="55" s="1"/>
  <c r="IQ50" i="55" s="1"/>
  <c r="DR104" i="55" a="1"/>
  <c r="DR104" i="55" s="1"/>
  <c r="DT104" i="55" s="1"/>
  <c r="DU104" i="55"/>
  <c r="HT104" i="55" s="1"/>
  <c r="II104" i="55"/>
  <c r="IJ104" i="55" s="1"/>
  <c r="JV312" i="55"/>
  <c r="JU105" i="55"/>
  <c r="JV105" i="55" s="1"/>
  <c r="DR273" i="55" a="1"/>
  <c r="DR273" i="55" s="1"/>
  <c r="DT273" i="55" s="1"/>
  <c r="DU273" i="55"/>
  <c r="HT273" i="55" s="1"/>
  <c r="II273" i="55"/>
  <c r="JC179" i="55"/>
  <c r="GV179" i="55"/>
  <c r="GW179" i="55" s="1"/>
  <c r="GU179" i="55"/>
  <c r="EO197" i="55" a="1"/>
  <c r="EO197" i="55" s="1"/>
  <c r="W197" i="55"/>
  <c r="DO82" i="55"/>
  <c r="GW240" i="55"/>
  <c r="EK13" i="55"/>
  <c r="DO334" i="55"/>
  <c r="JO287" i="55"/>
  <c r="JU287" i="55"/>
  <c r="JV287" i="55" s="1"/>
  <c r="HL46" i="55"/>
  <c r="GK46" i="55"/>
  <c r="DR272" i="55" a="1"/>
  <c r="DR272" i="55" s="1"/>
  <c r="DT272" i="55" s="1"/>
  <c r="II272" i="55"/>
  <c r="DU272" i="55"/>
  <c r="HT272" i="55" s="1"/>
  <c r="DO45" i="55"/>
  <c r="G45" i="55" s="1"/>
  <c r="DP45" i="55" s="1"/>
  <c r="DQ45" i="55" s="1"/>
  <c r="M31" i="16"/>
  <c r="AG28" i="42"/>
  <c r="AH28" i="42" s="1"/>
  <c r="EQ311" i="55"/>
  <c r="EP311" i="55" a="1"/>
  <c r="EP311" i="55" s="1"/>
  <c r="EK26" i="55"/>
  <c r="EO150" i="55" a="1"/>
  <c r="EO150" i="55" s="1"/>
  <c r="W150" i="55"/>
  <c r="JO75" i="55"/>
  <c r="JU75" i="55" s="1"/>
  <c r="HL254" i="55"/>
  <c r="GK254" i="55"/>
  <c r="W69" i="55"/>
  <c r="EO37" i="55" a="1"/>
  <c r="EO37" i="55" s="1"/>
  <c r="W37" i="55"/>
  <c r="JC323" i="55"/>
  <c r="GU323" i="55"/>
  <c r="GV323" i="55"/>
  <c r="GW323" i="55" s="1"/>
  <c r="GW295" i="55"/>
  <c r="JO235" i="55"/>
  <c r="DR90" i="55" a="1"/>
  <c r="DR90" i="55" s="1"/>
  <c r="DT90" i="55" s="1"/>
  <c r="DU90" i="55"/>
  <c r="HT90" i="55" s="1"/>
  <c r="II90" i="55"/>
  <c r="HQ90" i="55"/>
  <c r="DR61" i="55" a="1"/>
  <c r="DR61" i="55" s="1"/>
  <c r="DT61" i="55" s="1"/>
  <c r="DU61" i="55"/>
  <c r="HT61" i="55" s="1"/>
  <c r="II61" i="55"/>
  <c r="JO89" i="55"/>
  <c r="JU89" i="55" s="1"/>
  <c r="HM89" i="55"/>
  <c r="HM94" i="55"/>
  <c r="EO221" i="55" a="1"/>
  <c r="EO221" i="55" s="1"/>
  <c r="W221" i="55"/>
  <c r="W289" i="55"/>
  <c r="EO289" i="55" a="1"/>
  <c r="EO289" i="55" s="1"/>
  <c r="JO115" i="55"/>
  <c r="JU115" i="55" s="1"/>
  <c r="HM92" i="55"/>
  <c r="GW195" i="55"/>
  <c r="HQ263" i="55"/>
  <c r="DO339" i="55"/>
  <c r="EG238" i="55"/>
  <c r="EG254" i="55"/>
  <c r="EG270" i="55"/>
  <c r="EG239" i="55"/>
  <c r="EG255" i="55"/>
  <c r="EG271" i="55"/>
  <c r="EG224" i="55"/>
  <c r="EG240" i="55"/>
  <c r="EG256" i="55"/>
  <c r="EG272" i="55"/>
  <c r="EG226" i="55"/>
  <c r="EG242" i="55"/>
  <c r="EG258" i="55"/>
  <c r="EG274" i="55"/>
  <c r="EG227" i="55"/>
  <c r="EG247" i="55"/>
  <c r="EG267" i="55"/>
  <c r="EG228" i="55"/>
  <c r="EG248" i="55"/>
  <c r="EG268" i="55"/>
  <c r="EG229" i="55"/>
  <c r="EG249" i="55"/>
  <c r="EG269" i="55"/>
  <c r="EG230" i="55"/>
  <c r="EG250" i="55"/>
  <c r="EG273" i="55"/>
  <c r="EG225" i="55"/>
  <c r="EG257" i="55"/>
  <c r="EG282" i="55"/>
  <c r="EG232" i="55"/>
  <c r="EG260" i="55"/>
  <c r="EG233" i="55"/>
  <c r="EG261" i="55"/>
  <c r="EG252" i="55"/>
  <c r="EG280" i="55"/>
  <c r="EG231" i="55"/>
  <c r="EG265" i="55"/>
  <c r="EG234" i="55"/>
  <c r="EG266" i="55"/>
  <c r="EG235" i="55"/>
  <c r="EG275" i="55"/>
  <c r="EG237" i="55"/>
  <c r="EG277" i="55"/>
  <c r="EG244" i="55"/>
  <c r="EG245" i="55"/>
  <c r="EG246" i="55"/>
  <c r="EG251" i="55"/>
  <c r="EG276" i="55"/>
  <c r="EG279" i="55"/>
  <c r="EG281" i="55"/>
  <c r="EG263" i="55"/>
  <c r="EG236" i="55"/>
  <c r="EG241" i="55"/>
  <c r="EG264" i="55"/>
  <c r="EG278" i="55"/>
  <c r="EG243" i="55"/>
  <c r="EG253" i="55"/>
  <c r="EG259" i="55"/>
  <c r="EG262" i="55"/>
  <c r="HL239" i="55"/>
  <c r="GK239" i="55"/>
  <c r="DR27" i="55" a="1"/>
  <c r="DR27" i="55" s="1"/>
  <c r="DT27" i="55" s="1"/>
  <c r="W27" i="55" s="1"/>
  <c r="II27" i="55"/>
  <c r="IJ27" i="55" s="1"/>
  <c r="DO305" i="55"/>
  <c r="JU98" i="55"/>
  <c r="JO98" i="55"/>
  <c r="JO242" i="55"/>
  <c r="JO134" i="55"/>
  <c r="JO83" i="55"/>
  <c r="JU83" i="55"/>
  <c r="DR42" i="55" a="1"/>
  <c r="DR42" i="55" s="1"/>
  <c r="DT42" i="55" s="1"/>
  <c r="II42" i="55"/>
  <c r="IJ42" i="55" s="1"/>
  <c r="HQ42" i="55"/>
  <c r="DU42" i="55"/>
  <c r="HT42" i="55" s="1"/>
  <c r="GW77" i="55"/>
  <c r="JO85" i="55"/>
  <c r="JU85" i="55" s="1"/>
  <c r="JC314" i="55"/>
  <c r="GV314" i="55"/>
  <c r="GW314" i="55" s="1"/>
  <c r="GU314" i="55"/>
  <c r="DO250" i="55"/>
  <c r="G250" i="55" s="1"/>
  <c r="DP250" i="55" s="1"/>
  <c r="DQ250" i="55" s="1"/>
  <c r="EQ164" i="55"/>
  <c r="EP164" i="55" a="1"/>
  <c r="EP164" i="55" s="1"/>
  <c r="EQ103" i="55"/>
  <c r="EP103" i="55" a="1"/>
  <c r="EP103" i="55" s="1"/>
  <c r="JC288" i="55"/>
  <c r="GV288" i="55"/>
  <c r="GW288" i="55" s="1"/>
  <c r="GU288" i="55"/>
  <c r="EO153" i="55" a="1"/>
  <c r="EO153" i="55" s="1"/>
  <c r="W153" i="55"/>
  <c r="DO256" i="55"/>
  <c r="G256" i="55" s="1"/>
  <c r="DP256" i="55" s="1"/>
  <c r="DQ256" i="55" s="1"/>
  <c r="EK9" i="55"/>
  <c r="JO338" i="55"/>
  <c r="JU338" i="55" s="1"/>
  <c r="HM338" i="55"/>
  <c r="M338" i="55" s="1"/>
  <c r="HN338" i="55" s="1"/>
  <c r="JO316" i="55"/>
  <c r="JU316" i="55" s="1"/>
  <c r="HM316" i="55"/>
  <c r="M316" i="55" s="1"/>
  <c r="HN316" i="55" s="1"/>
  <c r="EQ308" i="55"/>
  <c r="EP308" i="55" a="1"/>
  <c r="EP308" i="55" s="1"/>
  <c r="GW193" i="55"/>
  <c r="JO44" i="55"/>
  <c r="JU44" i="55"/>
  <c r="HM44" i="55"/>
  <c r="M44" i="55" s="1"/>
  <c r="HN44" i="55" s="1"/>
  <c r="IL44" i="55" s="1"/>
  <c r="IM44" i="55" s="1"/>
  <c r="GW98" i="55"/>
  <c r="JO66" i="55"/>
  <c r="EO63" i="55" a="1"/>
  <c r="EO63" i="55" s="1"/>
  <c r="W63" i="55"/>
  <c r="JC316" i="55"/>
  <c r="GU316" i="55"/>
  <c r="GV316" i="55"/>
  <c r="GW316" i="55" s="1"/>
  <c r="DR235" i="55" a="1"/>
  <c r="DR235" i="55" s="1"/>
  <c r="DT235" i="55" s="1"/>
  <c r="DU235" i="55"/>
  <c r="HT235" i="55" s="1"/>
  <c r="II235" i="55"/>
  <c r="DO186" i="55"/>
  <c r="G186" i="55" s="1"/>
  <c r="DP186" i="55" s="1"/>
  <c r="DQ186" i="55" s="1"/>
  <c r="DR297" i="55" a="1"/>
  <c r="DR297" i="55" s="1"/>
  <c r="DT297" i="55" s="1"/>
  <c r="DU297" i="55"/>
  <c r="HT297" i="55" s="1"/>
  <c r="HQ297" i="55"/>
  <c r="II297" i="55"/>
  <c r="GL8" i="55"/>
  <c r="FP8" i="55"/>
  <c r="DR118" i="55" a="1"/>
  <c r="DR118" i="55" s="1"/>
  <c r="DT118" i="55" s="1"/>
  <c r="HQ118" i="55"/>
  <c r="DU118" i="55"/>
  <c r="HT118" i="55" s="1"/>
  <c r="II118" i="55"/>
  <c r="DR279" i="55" a="1"/>
  <c r="DR279" i="55" s="1"/>
  <c r="DT279" i="55" s="1"/>
  <c r="DU279" i="55"/>
  <c r="HT279" i="55" s="1"/>
  <c r="II279" i="55"/>
  <c r="JC16" i="55"/>
  <c r="GU16" i="55"/>
  <c r="GV16" i="55"/>
  <c r="EO117" i="55" a="1"/>
  <c r="EO117" i="55" s="1"/>
  <c r="W117" i="55"/>
  <c r="W49" i="55"/>
  <c r="EO49" i="55" a="1"/>
  <c r="EO49" i="55" s="1"/>
  <c r="GW153" i="55"/>
  <c r="GW137" i="55"/>
  <c r="JO215" i="55"/>
  <c r="HM215" i="55"/>
  <c r="EG318" i="55"/>
  <c r="EG319" i="55"/>
  <c r="EG320" i="55"/>
  <c r="EG322" i="55"/>
  <c r="EG317" i="55"/>
  <c r="EG323" i="55"/>
  <c r="EG324" i="55"/>
  <c r="EG321" i="55"/>
  <c r="JC136" i="55"/>
  <c r="GV136" i="55"/>
  <c r="GW136" i="55" s="1"/>
  <c r="GU136" i="55"/>
  <c r="DR107" i="55" a="1"/>
  <c r="DR107" i="55" s="1"/>
  <c r="DT107" i="55" s="1"/>
  <c r="DU107" i="55"/>
  <c r="HT107" i="55" s="1"/>
  <c r="II107" i="55"/>
  <c r="EQ295" i="55"/>
  <c r="EP295" i="55" a="1"/>
  <c r="EP295" i="55" s="1"/>
  <c r="JO90" i="55"/>
  <c r="HM90" i="55"/>
  <c r="M90" i="55" s="1"/>
  <c r="HN90" i="55" s="1"/>
  <c r="HM201" i="55"/>
  <c r="GW292" i="55"/>
  <c r="GW79" i="55"/>
  <c r="HL303" i="55"/>
  <c r="GK303" i="55"/>
  <c r="JO298" i="55"/>
  <c r="JU298" i="55" s="1"/>
  <c r="JC239" i="55"/>
  <c r="GU239" i="55"/>
  <c r="GV239" i="55"/>
  <c r="BS313" i="55"/>
  <c r="EO333" i="55" a="1"/>
  <c r="EO333" i="55" s="1"/>
  <c r="W333" i="55"/>
  <c r="GW115" i="55"/>
  <c r="DR82" i="55" a="1"/>
  <c r="DR82" i="55" s="1"/>
  <c r="DT82" i="55" s="1"/>
  <c r="DU82" i="55"/>
  <c r="HT82" i="55" s="1"/>
  <c r="II82" i="55"/>
  <c r="IJ82" i="55" s="1"/>
  <c r="DR274" i="55" a="1"/>
  <c r="DR274" i="55" s="1"/>
  <c r="DT274" i="55" s="1"/>
  <c r="HQ274" i="55"/>
  <c r="DU274" i="55"/>
  <c r="HT274" i="55" s="1"/>
  <c r="II274" i="55"/>
  <c r="IJ274" i="55" s="1"/>
  <c r="AG25" i="42"/>
  <c r="AH25" i="42" s="1"/>
  <c r="M28" i="16"/>
  <c r="AC22" i="54"/>
  <c r="IJ196" i="55" s="1"/>
  <c r="FE194" i="55"/>
  <c r="FE222" i="55"/>
  <c r="FE206" i="55"/>
  <c r="FE210" i="55"/>
  <c r="FE208" i="55"/>
  <c r="FE211" i="55"/>
  <c r="FE212" i="55"/>
  <c r="FE192" i="55"/>
  <c r="FE213" i="55"/>
  <c r="FE219" i="55"/>
  <c r="FE220" i="55"/>
  <c r="FE202" i="55"/>
  <c r="FE186" i="55"/>
  <c r="FE188" i="55"/>
  <c r="FE190" i="55"/>
  <c r="FE191" i="55"/>
  <c r="FE189" i="55"/>
  <c r="FE185" i="55"/>
  <c r="FE217" i="55"/>
  <c r="FE214" i="55"/>
  <c r="FE197" i="55"/>
  <c r="FE201" i="55"/>
  <c r="FE199" i="55"/>
  <c r="FE221" i="55"/>
  <c r="FE193" i="55"/>
  <c r="FE198" i="55"/>
  <c r="FE205" i="55"/>
  <c r="FE203" i="55"/>
  <c r="FE209" i="55"/>
  <c r="FE187" i="55"/>
  <c r="FE196" i="55"/>
  <c r="FE207" i="55"/>
  <c r="FE223" i="55"/>
  <c r="FE184" i="55"/>
  <c r="FE204" i="55"/>
  <c r="FE218" i="55"/>
  <c r="FE216" i="55"/>
  <c r="FE195" i="55"/>
  <c r="FE215" i="55"/>
  <c r="FE200" i="55"/>
  <c r="JO192" i="55"/>
  <c r="HM192" i="55"/>
  <c r="M192" i="55" s="1"/>
  <c r="HN192" i="55" s="1"/>
  <c r="EO7" i="55" a="1"/>
  <c r="EO7" i="55" s="1"/>
  <c r="W7" i="55"/>
  <c r="DR172" i="55" a="1"/>
  <c r="DR172" i="55" s="1"/>
  <c r="DT172" i="55" s="1"/>
  <c r="II172" i="55"/>
  <c r="DU172" i="55"/>
  <c r="HT172" i="55" s="1"/>
  <c r="JC270" i="55"/>
  <c r="GU270" i="55"/>
  <c r="GV270" i="55"/>
  <c r="GW270" i="55" s="1"/>
  <c r="GW241" i="55"/>
  <c r="JO170" i="55"/>
  <c r="GW242" i="55"/>
  <c r="DR323" i="55" a="1"/>
  <c r="DR323" i="55" s="1"/>
  <c r="DT323" i="55" s="1"/>
  <c r="DU323" i="55"/>
  <c r="HT323" i="55" s="1"/>
  <c r="II323" i="55"/>
  <c r="JO21" i="55"/>
  <c r="JU21" i="55" s="1"/>
  <c r="EQ6" i="55"/>
  <c r="EP6" i="55" a="1"/>
  <c r="EP6" i="55" s="1"/>
  <c r="Y28" i="54"/>
  <c r="DR334" i="55" a="1"/>
  <c r="DR334" i="55" s="1"/>
  <c r="DT334" i="55" s="1"/>
  <c r="II334" i="55"/>
  <c r="IJ334" i="55" s="1"/>
  <c r="HQ334" i="55"/>
  <c r="DU334" i="55"/>
  <c r="HT334" i="55" s="1"/>
  <c r="AB27" i="54"/>
  <c r="EE326" i="55"/>
  <c r="EE327" i="55"/>
  <c r="EE325" i="55"/>
  <c r="EE329" i="55"/>
  <c r="EE328" i="55"/>
  <c r="FC327" i="55"/>
  <c r="FD327" i="55" s="1"/>
  <c r="HS327" i="55" s="1"/>
  <c r="HU327" i="55" s="1"/>
  <c r="FC328" i="55"/>
  <c r="FD328" i="55" s="1"/>
  <c r="HS328" i="55" s="1"/>
  <c r="HU328" i="55" s="1"/>
  <c r="FC325" i="55"/>
  <c r="FD325" i="55" s="1"/>
  <c r="HS325" i="55" s="1"/>
  <c r="HU325" i="55" s="1"/>
  <c r="FC329" i="55"/>
  <c r="FD329" i="55" s="1"/>
  <c r="HS329" i="55" s="1"/>
  <c r="HU329" i="55" s="1"/>
  <c r="FC326" i="55"/>
  <c r="FD326" i="55" s="1"/>
  <c r="HS326" i="55" s="1"/>
  <c r="HU326" i="55" s="1"/>
  <c r="JC246" i="55"/>
  <c r="GV246" i="55"/>
  <c r="GU246" i="55"/>
  <c r="JO206" i="55"/>
  <c r="JU206" i="55" s="1"/>
  <c r="JV206" i="55" s="1"/>
  <c r="HM206" i="55"/>
  <c r="AC23" i="54"/>
  <c r="IJ233" i="55" s="1"/>
  <c r="FE254" i="55"/>
  <c r="FE226" i="55"/>
  <c r="FE255" i="55"/>
  <c r="FE256" i="55"/>
  <c r="FE239" i="55"/>
  <c r="FE275" i="55"/>
  <c r="FE277" i="55"/>
  <c r="FE242" i="55"/>
  <c r="FE258" i="55"/>
  <c r="FE259" i="55"/>
  <c r="FE260" i="55"/>
  <c r="FE272" i="55"/>
  <c r="FE276" i="55"/>
  <c r="FE234" i="55"/>
  <c r="FE235" i="55"/>
  <c r="FE236" i="55"/>
  <c r="FE253" i="55"/>
  <c r="FE270" i="55"/>
  <c r="FE274" i="55"/>
  <c r="FE250" i="55"/>
  <c r="FE238" i="55"/>
  <c r="FE240" i="55"/>
  <c r="FE252" i="55"/>
  <c r="FE261" i="55"/>
  <c r="FE249" i="55"/>
  <c r="FE231" i="55"/>
  <c r="FE233" i="55"/>
  <c r="FE265" i="55"/>
  <c r="FE281" i="55"/>
  <c r="FE278" i="55"/>
  <c r="FE232" i="55"/>
  <c r="FE279" i="55"/>
  <c r="FE263" i="55"/>
  <c r="FE266" i="55"/>
  <c r="FE251" i="55"/>
  <c r="FE227" i="55"/>
  <c r="FE264" i="55"/>
  <c r="FE225" i="55"/>
  <c r="FE241" i="55"/>
  <c r="FE229" i="55"/>
  <c r="FE228" i="55"/>
  <c r="FE247" i="55"/>
  <c r="FE269" i="55"/>
  <c r="FE245" i="55"/>
  <c r="FE271" i="55"/>
  <c r="FE246" i="55"/>
  <c r="FE280" i="55"/>
  <c r="FE257" i="55"/>
  <c r="FE230" i="55"/>
  <c r="FE268" i="55"/>
  <c r="FE273" i="55"/>
  <c r="FE243" i="55"/>
  <c r="FE267" i="55"/>
  <c r="FE248" i="55"/>
  <c r="FE244" i="55"/>
  <c r="FE224" i="55"/>
  <c r="FE282" i="55"/>
  <c r="FE262" i="55"/>
  <c r="FE237" i="55"/>
  <c r="GW97" i="55"/>
  <c r="DO32" i="55"/>
  <c r="G32" i="55" s="1"/>
  <c r="DP32" i="55" s="1"/>
  <c r="DQ32" i="55" s="1"/>
  <c r="JC96" i="55"/>
  <c r="GV96" i="55"/>
  <c r="GU96" i="55"/>
  <c r="JO255" i="55"/>
  <c r="JU255" i="55" s="1"/>
  <c r="DR65" i="55" a="1"/>
  <c r="DR65" i="55" s="1"/>
  <c r="DT65" i="55" s="1"/>
  <c r="DU65" i="55"/>
  <c r="HT65" i="55" s="1"/>
  <c r="II65" i="55"/>
  <c r="AB25" i="54"/>
  <c r="EE313" i="55"/>
  <c r="EE315" i="55"/>
  <c r="EE314" i="55"/>
  <c r="EE316" i="55"/>
  <c r="FC313" i="55"/>
  <c r="FD313" i="55" s="1"/>
  <c r="HS313" i="55" s="1"/>
  <c r="HU313" i="55" s="1"/>
  <c r="FC315" i="55"/>
  <c r="FD315" i="55" s="1"/>
  <c r="HS315" i="55" s="1"/>
  <c r="HU315" i="55" s="1"/>
  <c r="FC314" i="55"/>
  <c r="FD314" i="55" s="1"/>
  <c r="HS314" i="55" s="1"/>
  <c r="HU314" i="55" s="1"/>
  <c r="FC316" i="55"/>
  <c r="FD316" i="55" s="1"/>
  <c r="HS316" i="55" s="1"/>
  <c r="HU316" i="55" s="1"/>
  <c r="GW237" i="55"/>
  <c r="EO180" i="55" a="1"/>
  <c r="EO180" i="55" s="1"/>
  <c r="W180" i="55"/>
  <c r="JO262" i="55"/>
  <c r="JU262" i="55" s="1"/>
  <c r="GW254" i="55"/>
  <c r="EQ62" i="55"/>
  <c r="EP62" i="55" a="1"/>
  <c r="EP62" i="55" s="1"/>
  <c r="HL113" i="55"/>
  <c r="GK113" i="55"/>
  <c r="JU199" i="55"/>
  <c r="JO162" i="55"/>
  <c r="JU162" i="55" s="1"/>
  <c r="JV162" i="55" s="1"/>
  <c r="HM162" i="55"/>
  <c r="M162" i="55" s="1"/>
  <c r="HN162" i="55" s="1"/>
  <c r="HL63" i="55"/>
  <c r="GK63" i="55"/>
  <c r="GK227" i="55"/>
  <c r="HL227" i="55"/>
  <c r="GL9" i="55"/>
  <c r="FP9" i="55"/>
  <c r="GW152" i="55"/>
  <c r="DR51" i="55" a="1"/>
  <c r="DR51" i="55" s="1"/>
  <c r="DT51" i="55" s="1"/>
  <c r="DU51" i="55"/>
  <c r="HT51" i="55" s="1"/>
  <c r="II51" i="55"/>
  <c r="GW205" i="55"/>
  <c r="JO210" i="55"/>
  <c r="HM210" i="55"/>
  <c r="II254" i="55"/>
  <c r="IJ254" i="55" s="1"/>
  <c r="DR262" i="55" a="1"/>
  <c r="DR262" i="55" s="1"/>
  <c r="DT262" i="55" s="1"/>
  <c r="DU262" i="55"/>
  <c r="HT262" i="55" s="1"/>
  <c r="HQ262" i="55"/>
  <c r="II262" i="55"/>
  <c r="GW350" i="55"/>
  <c r="JC238" i="55"/>
  <c r="GU238" i="55"/>
  <c r="GV238" i="55"/>
  <c r="JO141" i="55"/>
  <c r="JO101" i="55"/>
  <c r="JO99" i="55"/>
  <c r="JU99" i="55" s="1"/>
  <c r="JV99" i="55" s="1"/>
  <c r="JC54" i="55"/>
  <c r="GV54" i="55"/>
  <c r="GW54" i="55" s="1"/>
  <c r="GU54" i="55"/>
  <c r="DO338" i="55"/>
  <c r="GK51" i="55"/>
  <c r="HL51" i="55"/>
  <c r="HL223" i="55"/>
  <c r="GK223" i="55"/>
  <c r="GW346" i="55"/>
  <c r="JU337" i="55"/>
  <c r="JV337" i="55" s="1"/>
  <c r="JC138" i="55"/>
  <c r="GV138" i="55"/>
  <c r="GU138" i="55"/>
  <c r="W125" i="55"/>
  <c r="EO125" i="55" a="1"/>
  <c r="EO125" i="55" s="1"/>
  <c r="DR281" i="55" a="1"/>
  <c r="DR281" i="55" s="1"/>
  <c r="DT281" i="55" s="1"/>
  <c r="DU281" i="55"/>
  <c r="HT281" i="55" s="1"/>
  <c r="II281" i="55"/>
  <c r="HQ281" i="55"/>
  <c r="JU109" i="55"/>
  <c r="JV109" i="55" s="1"/>
  <c r="DO171" i="55"/>
  <c r="JO179" i="55"/>
  <c r="W66" i="55"/>
  <c r="AC30" i="54"/>
  <c r="IJ346" i="55" s="1"/>
  <c r="FE346" i="55"/>
  <c r="FE347" i="55"/>
  <c r="FE350" i="55"/>
  <c r="FE348" i="55"/>
  <c r="FE345" i="55"/>
  <c r="FE351" i="55"/>
  <c r="FE341" i="55"/>
  <c r="FE343" i="55"/>
  <c r="FE342" i="55"/>
  <c r="FE352" i="55"/>
  <c r="FE344" i="55"/>
  <c r="FE349" i="55"/>
  <c r="JC158" i="55"/>
  <c r="GU158" i="55"/>
  <c r="GV158" i="55"/>
  <c r="GW158" i="55" s="1"/>
  <c r="JC8" i="55"/>
  <c r="GV8" i="55"/>
  <c r="GW8" i="55" s="1"/>
  <c r="GU8" i="55"/>
  <c r="JC90" i="55"/>
  <c r="GV90" i="55"/>
  <c r="GW90" i="55" s="1"/>
  <c r="GU90" i="55"/>
  <c r="JV61" i="55"/>
  <c r="BS154" i="55"/>
  <c r="EZ154" i="55"/>
  <c r="GK154" i="55" s="1"/>
  <c r="GW236" i="55"/>
  <c r="JO349" i="55"/>
  <c r="HM349" i="55"/>
  <c r="DR339" i="55" a="1"/>
  <c r="DR339" i="55" s="1"/>
  <c r="DT339" i="55" s="1"/>
  <c r="DU339" i="55"/>
  <c r="HT339" i="55" s="1"/>
  <c r="II339" i="55"/>
  <c r="GW302" i="55"/>
  <c r="EK31" i="55"/>
  <c r="JC64" i="55"/>
  <c r="GU64" i="55"/>
  <c r="GV64" i="55"/>
  <c r="W72" i="55"/>
  <c r="W284" i="55"/>
  <c r="EO284" i="55" a="1"/>
  <c r="EO284" i="55" s="1"/>
  <c r="GW303" i="55"/>
  <c r="EO133" i="55" a="1"/>
  <c r="EO133" i="55" s="1"/>
  <c r="W133" i="55"/>
  <c r="GW171" i="55"/>
  <c r="DR94" i="55" a="1"/>
  <c r="DR94" i="55" s="1"/>
  <c r="DT94" i="55" s="1"/>
  <c r="DU94" i="55"/>
  <c r="HT94" i="55" s="1"/>
  <c r="II94" i="55"/>
  <c r="JC127" i="55"/>
  <c r="GU127" i="55"/>
  <c r="GV127" i="55"/>
  <c r="EK29" i="55"/>
  <c r="DO215" i="55"/>
  <c r="G215" i="55" s="1"/>
  <c r="DP215" i="55" s="1"/>
  <c r="DQ215" i="55" s="1"/>
  <c r="DR64" i="55" a="1"/>
  <c r="DR64" i="55" s="1"/>
  <c r="DT64" i="55" s="1"/>
  <c r="HQ64" i="55"/>
  <c r="II64" i="55"/>
  <c r="DU64" i="55"/>
  <c r="HT64" i="55" s="1"/>
  <c r="GW219" i="55"/>
  <c r="EQ327" i="55"/>
  <c r="EP327" i="55" a="1"/>
  <c r="EP327" i="55" s="1"/>
  <c r="IJ226" i="55"/>
  <c r="JU111" i="55"/>
  <c r="JV111" i="55" s="1"/>
  <c r="EQ346" i="55"/>
  <c r="EP346" i="55" a="1"/>
  <c r="EP346" i="55" s="1"/>
  <c r="JO158" i="55"/>
  <c r="JU158" i="55"/>
  <c r="HM158" i="55"/>
  <c r="M158" i="55" s="1"/>
  <c r="HN158" i="55" s="1"/>
  <c r="EK130" i="55"/>
  <c r="DR47" i="55" a="1"/>
  <c r="DR47" i="55" s="1"/>
  <c r="DT47" i="55" s="1"/>
  <c r="II47" i="55"/>
  <c r="IJ47" i="55" s="1"/>
  <c r="HQ47" i="55"/>
  <c r="DU47" i="55"/>
  <c r="HT47" i="55" s="1"/>
  <c r="GL16" i="55"/>
  <c r="FP16" i="55"/>
  <c r="DR253" i="55" a="1"/>
  <c r="DR253" i="55" s="1"/>
  <c r="DT253" i="55" s="1"/>
  <c r="DU253" i="55"/>
  <c r="HT253" i="55" s="1"/>
  <c r="II253" i="55"/>
  <c r="JO320" i="55"/>
  <c r="W85" i="55"/>
  <c r="M29" i="16"/>
  <c r="AG26" i="42"/>
  <c r="AH26" i="42" s="1"/>
  <c r="HL168" i="55"/>
  <c r="HM169" i="55" s="1"/>
  <c r="GK168" i="55"/>
  <c r="EG190" i="55"/>
  <c r="EG206" i="55"/>
  <c r="EG222" i="55"/>
  <c r="EG191" i="55"/>
  <c r="EG207" i="55"/>
  <c r="EG223" i="55"/>
  <c r="EG192" i="55"/>
  <c r="EG208" i="55"/>
  <c r="EG194" i="55"/>
  <c r="EG210" i="55"/>
  <c r="EG203" i="55"/>
  <c r="EG184" i="55"/>
  <c r="EG204" i="55"/>
  <c r="EG185" i="55"/>
  <c r="EG205" i="55"/>
  <c r="EG186" i="55"/>
  <c r="EG209" i="55"/>
  <c r="EG198" i="55"/>
  <c r="EG200" i="55"/>
  <c r="EG201" i="55"/>
  <c r="EG196" i="55"/>
  <c r="EG220" i="55"/>
  <c r="EG189" i="55"/>
  <c r="EG193" i="55"/>
  <c r="EG195" i="55"/>
  <c r="EG199" i="55"/>
  <c r="EG188" i="55"/>
  <c r="EG197" i="55"/>
  <c r="EG202" i="55"/>
  <c r="EG211" i="55"/>
  <c r="EG213" i="55"/>
  <c r="EG215" i="55"/>
  <c r="EG216" i="55"/>
  <c r="EG187" i="55"/>
  <c r="EG212" i="55"/>
  <c r="EG214" i="55"/>
  <c r="EG217" i="55"/>
  <c r="EG219" i="55"/>
  <c r="EG221" i="55"/>
  <c r="EG218" i="55"/>
  <c r="DR68" i="55" a="1"/>
  <c r="DR68" i="55" s="1"/>
  <c r="DT68" i="55" s="1"/>
  <c r="DU68" i="55"/>
  <c r="HT68" i="55" s="1"/>
  <c r="II68" i="55"/>
  <c r="FH42" i="55"/>
  <c r="FH46" i="55"/>
  <c r="FH48" i="55"/>
  <c r="FH47" i="55"/>
  <c r="FH35" i="55"/>
  <c r="FH36" i="55"/>
  <c r="FH43" i="55"/>
  <c r="FH41" i="55"/>
  <c r="FH33" i="55"/>
  <c r="FH45" i="55"/>
  <c r="FH37" i="55"/>
  <c r="FH39" i="55"/>
  <c r="FH50" i="55"/>
  <c r="FH32" i="55"/>
  <c r="FH49" i="55"/>
  <c r="FH51" i="55"/>
  <c r="FH34" i="55"/>
  <c r="FH44" i="55"/>
  <c r="FH38" i="55"/>
  <c r="FH40" i="55"/>
  <c r="FH52" i="55"/>
  <c r="IX33" i="55" a="1"/>
  <c r="IX33" i="55" s="1"/>
  <c r="IY33" i="55" s="1"/>
  <c r="IT33" i="55" a="1"/>
  <c r="IT33" i="55" s="1"/>
  <c r="IU33" i="55" s="1"/>
  <c r="IR33" i="55" a="1"/>
  <c r="IR33" i="55" s="1"/>
  <c r="IS33" i="55" s="1"/>
  <c r="IN33" i="55" a="1"/>
  <c r="IN33" i="55" s="1"/>
  <c r="IO33" i="55" s="1"/>
  <c r="IP33" i="55" a="1"/>
  <c r="IP33" i="55" s="1"/>
  <c r="IQ33" i="55" s="1"/>
  <c r="IV33" i="55" a="1"/>
  <c r="IV33" i="55" s="1"/>
  <c r="IW33" i="55" s="1"/>
  <c r="JC352" i="55"/>
  <c r="GV352" i="55"/>
  <c r="GU352" i="55"/>
  <c r="GK228" i="55"/>
  <c r="HL228" i="55"/>
  <c r="GK244" i="55"/>
  <c r="HL244" i="55"/>
  <c r="GW118" i="55"/>
  <c r="EK102" i="55"/>
  <c r="JU232" i="55"/>
  <c r="DR96" i="55" a="1"/>
  <c r="DR96" i="55" s="1"/>
  <c r="DT96" i="55" s="1"/>
  <c r="DU96" i="55"/>
  <c r="HT96" i="55" s="1"/>
  <c r="II96" i="55"/>
  <c r="HQ96" i="55"/>
  <c r="JO150" i="55"/>
  <c r="JU278" i="55"/>
  <c r="JV278" i="55" s="1"/>
  <c r="EO298" i="55" a="1"/>
  <c r="EO298" i="55" s="1"/>
  <c r="W298" i="55"/>
  <c r="GK324" i="55"/>
  <c r="HL324" i="55"/>
  <c r="EG313" i="55"/>
  <c r="EG314" i="55"/>
  <c r="EG316" i="55"/>
  <c r="EG315" i="55"/>
  <c r="JO32" i="55"/>
  <c r="JU32" i="55" s="1"/>
  <c r="JV32" i="55" s="1"/>
  <c r="HM32" i="55"/>
  <c r="M32" i="55" s="1"/>
  <c r="HN32" i="55" s="1"/>
  <c r="IL32" i="55" s="1"/>
  <c r="IM32" i="55" s="1"/>
  <c r="HM37" i="55"/>
  <c r="M37" i="55" s="1"/>
  <c r="HN37" i="55" s="1"/>
  <c r="IL37" i="55" s="1"/>
  <c r="IM37" i="55" s="1"/>
  <c r="JO345" i="55"/>
  <c r="HM345" i="55"/>
  <c r="M345" i="55" s="1"/>
  <c r="HN345" i="55" s="1"/>
  <c r="JO156" i="55"/>
  <c r="HM156" i="55"/>
  <c r="M156" i="55" s="1"/>
  <c r="HN156" i="55" s="1"/>
  <c r="GW112" i="55"/>
  <c r="GW140" i="55"/>
  <c r="O15" i="55" a="1"/>
  <c r="O15" i="55" s="1"/>
  <c r="O283" i="55" a="1"/>
  <c r="O283" i="55" s="1"/>
  <c r="EM283" i="55" s="1" a="1"/>
  <c r="EM283" i="55" s="1"/>
  <c r="JO169" i="55"/>
  <c r="JU169" i="55" s="1"/>
  <c r="JV169" i="55" s="1"/>
  <c r="JO273" i="55"/>
  <c r="DR216" i="55" a="1"/>
  <c r="DR216" i="55" s="1"/>
  <c r="DT216" i="55" s="1"/>
  <c r="HQ216" i="55"/>
  <c r="DU216" i="55"/>
  <c r="HT216" i="55" s="1"/>
  <c r="II216" i="55"/>
  <c r="AB24" i="54"/>
  <c r="EE289" i="55"/>
  <c r="EE305" i="55"/>
  <c r="EE290" i="55"/>
  <c r="EE306" i="55"/>
  <c r="EE291" i="55"/>
  <c r="EE307" i="55"/>
  <c r="EE292" i="55"/>
  <c r="EE308" i="55"/>
  <c r="EE300" i="55"/>
  <c r="EE302" i="55"/>
  <c r="EE283" i="55"/>
  <c r="EE303" i="55"/>
  <c r="EE298" i="55"/>
  <c r="EE311" i="55"/>
  <c r="EE284" i="55"/>
  <c r="EE312" i="55"/>
  <c r="EE285" i="55"/>
  <c r="EE287" i="55"/>
  <c r="EE299" i="55"/>
  <c r="EE301" i="55"/>
  <c r="EE304" i="55"/>
  <c r="EE309" i="55"/>
  <c r="EE286" i="55"/>
  <c r="EE293" i="55"/>
  <c r="EE294" i="55"/>
  <c r="EE295" i="55"/>
  <c r="EE296" i="55"/>
  <c r="EE288" i="55"/>
  <c r="EE310" i="55"/>
  <c r="EE297" i="55"/>
  <c r="FC309" i="55"/>
  <c r="FD309" i="55" s="1"/>
  <c r="HS309" i="55" s="1"/>
  <c r="HU309" i="55" s="1"/>
  <c r="FC287" i="55"/>
  <c r="FD287" i="55" s="1"/>
  <c r="HS287" i="55" s="1"/>
  <c r="HU287" i="55" s="1"/>
  <c r="FC312" i="55"/>
  <c r="FD312" i="55" s="1"/>
  <c r="HS312" i="55" s="1"/>
  <c r="HU312" i="55" s="1"/>
  <c r="FC294" i="55"/>
  <c r="FD294" i="55" s="1"/>
  <c r="HS294" i="55" s="1"/>
  <c r="HU294" i="55" s="1"/>
  <c r="FC295" i="55"/>
  <c r="FD295" i="55" s="1"/>
  <c r="HS295" i="55" s="1"/>
  <c r="HU295" i="55" s="1"/>
  <c r="FC304" i="55"/>
  <c r="FD304" i="55" s="1"/>
  <c r="HS304" i="55" s="1"/>
  <c r="HU304" i="55" s="1"/>
  <c r="FC297" i="55"/>
  <c r="FD297" i="55" s="1"/>
  <c r="HS297" i="55" s="1"/>
  <c r="HU297" i="55" s="1"/>
  <c r="FC288" i="55"/>
  <c r="FD288" i="55" s="1"/>
  <c r="HS288" i="55" s="1"/>
  <c r="HU288" i="55" s="1"/>
  <c r="FC296" i="55"/>
  <c r="FD296" i="55" s="1"/>
  <c r="HS296" i="55" s="1"/>
  <c r="HU296" i="55" s="1"/>
  <c r="FC293" i="55"/>
  <c r="FD293" i="55" s="1"/>
  <c r="HS293" i="55" s="1"/>
  <c r="HU293" i="55" s="1"/>
  <c r="FC308" i="55"/>
  <c r="FD308" i="55" s="1"/>
  <c r="HS308" i="55" s="1"/>
  <c r="HU308" i="55" s="1"/>
  <c r="FC298" i="55"/>
  <c r="FD298" i="55" s="1"/>
  <c r="HS298" i="55" s="1"/>
  <c r="HU298" i="55" s="1"/>
  <c r="FC303" i="55"/>
  <c r="FD303" i="55" s="1"/>
  <c r="HS303" i="55" s="1"/>
  <c r="HU303" i="55" s="1"/>
  <c r="FC305" i="55"/>
  <c r="FD305" i="55" s="1"/>
  <c r="HS305" i="55" s="1"/>
  <c r="HU305" i="55" s="1"/>
  <c r="FC292" i="55"/>
  <c r="FD292" i="55" s="1"/>
  <c r="HS292" i="55" s="1"/>
  <c r="HU292" i="55" s="1"/>
  <c r="FC284" i="55"/>
  <c r="FD284" i="55" s="1"/>
  <c r="HS284" i="55" s="1"/>
  <c r="HU284" i="55" s="1"/>
  <c r="FC311" i="55"/>
  <c r="FD311" i="55" s="1"/>
  <c r="HS311" i="55" s="1"/>
  <c r="HU311" i="55" s="1"/>
  <c r="FC301" i="55"/>
  <c r="FD301" i="55" s="1"/>
  <c r="HS301" i="55" s="1"/>
  <c r="HU301" i="55" s="1"/>
  <c r="FC285" i="55"/>
  <c r="FD285" i="55" s="1"/>
  <c r="HS285" i="55" s="1"/>
  <c r="HU285" i="55" s="1"/>
  <c r="FC300" i="55"/>
  <c r="FD300" i="55" s="1"/>
  <c r="HS300" i="55" s="1"/>
  <c r="HU300" i="55" s="1"/>
  <c r="FC302" i="55"/>
  <c r="FD302" i="55" s="1"/>
  <c r="HS302" i="55" s="1"/>
  <c r="HU302" i="55" s="1"/>
  <c r="FC299" i="55"/>
  <c r="FD299" i="55" s="1"/>
  <c r="HS299" i="55" s="1"/>
  <c r="HU299" i="55" s="1"/>
  <c r="FC290" i="55"/>
  <c r="FD290" i="55" s="1"/>
  <c r="HS290" i="55" s="1"/>
  <c r="HU290" i="55" s="1"/>
  <c r="FC307" i="55"/>
  <c r="FD307" i="55" s="1"/>
  <c r="HS307" i="55" s="1"/>
  <c r="HU307" i="55" s="1"/>
  <c r="FC289" i="55"/>
  <c r="FD289" i="55" s="1"/>
  <c r="HS289" i="55" s="1"/>
  <c r="HU289" i="55" s="1"/>
  <c r="FC286" i="55"/>
  <c r="FD286" i="55" s="1"/>
  <c r="HS286" i="55" s="1"/>
  <c r="HU286" i="55" s="1"/>
  <c r="FC291" i="55"/>
  <c r="FD291" i="55" s="1"/>
  <c r="HS291" i="55" s="1"/>
  <c r="HU291" i="55" s="1"/>
  <c r="FC306" i="55"/>
  <c r="FD306" i="55" s="1"/>
  <c r="HS306" i="55" s="1"/>
  <c r="HU306" i="55" s="1"/>
  <c r="FC310" i="55"/>
  <c r="FD310" i="55" s="1"/>
  <c r="HS310" i="55" s="1"/>
  <c r="HU310" i="55" s="1"/>
  <c r="W303" i="55"/>
  <c r="W304" i="55"/>
  <c r="GW78" i="55"/>
  <c r="AC27" i="54"/>
  <c r="FE325" i="55"/>
  <c r="FE328" i="55"/>
  <c r="FE327" i="55"/>
  <c r="FE329" i="55"/>
  <c r="FE326" i="55"/>
  <c r="DO316" i="55"/>
  <c r="HM205" i="55"/>
  <c r="JC321" i="55"/>
  <c r="GU321" i="55"/>
  <c r="GV321" i="55"/>
  <c r="GW321" i="55" s="1"/>
  <c r="W263" i="55"/>
  <c r="EO263" i="55" a="1"/>
  <c r="EO263" i="55" s="1"/>
  <c r="DR31" i="55" a="1"/>
  <c r="DR31" i="55" s="1"/>
  <c r="DT31" i="55" s="1"/>
  <c r="II31" i="55"/>
  <c r="IJ31" i="55" s="1"/>
  <c r="DU31" i="55"/>
  <c r="HT31" i="55" s="1"/>
  <c r="JC347" i="55"/>
  <c r="GV347" i="55"/>
  <c r="GU347" i="55"/>
  <c r="EO99" i="55" a="1"/>
  <c r="EO99" i="55" s="1"/>
  <c r="W99" i="55"/>
  <c r="JO230" i="55"/>
  <c r="EO101" i="55" a="1"/>
  <c r="EO101" i="55" s="1"/>
  <c r="W101" i="55"/>
  <c r="W348" i="55"/>
  <c r="EO348" i="55" a="1"/>
  <c r="EO348" i="55" s="1"/>
  <c r="DR136" i="55" a="1"/>
  <c r="DR136" i="55" s="1"/>
  <c r="DT136" i="55" s="1"/>
  <c r="DU136" i="55"/>
  <c r="HT136" i="55" s="1"/>
  <c r="II136" i="55"/>
  <c r="IJ136" i="55" s="1"/>
  <c r="EQ287" i="55"/>
  <c r="EP287" i="55" a="1"/>
  <c r="EP287" i="55" s="1"/>
  <c r="JO59" i="55"/>
  <c r="JU59" i="55" s="1"/>
  <c r="JV59" i="55" s="1"/>
  <c r="W242" i="55"/>
  <c r="EO242" i="55" a="1"/>
  <c r="EO242" i="55" s="1"/>
  <c r="JO142" i="55"/>
  <c r="JU142" i="55" s="1"/>
  <c r="JV142" i="55" s="1"/>
  <c r="JC134" i="55"/>
  <c r="GV134" i="55"/>
  <c r="GW134" i="55" s="1"/>
  <c r="GU134" i="55"/>
  <c r="DR182" i="55" a="1"/>
  <c r="DR182" i="55" s="1"/>
  <c r="DT182" i="55" s="1"/>
  <c r="DU182" i="55"/>
  <c r="HT182" i="55" s="1"/>
  <c r="II182" i="55"/>
  <c r="JC280" i="55"/>
  <c r="GU280" i="55"/>
  <c r="GV280" i="55"/>
  <c r="GW280" i="55" s="1"/>
  <c r="JO34" i="55"/>
  <c r="HM34" i="55"/>
  <c r="M34" i="55" s="1"/>
  <c r="HN34" i="55" s="1"/>
  <c r="IL34" i="55" s="1"/>
  <c r="IM34" i="55" s="1"/>
  <c r="JO45" i="55"/>
  <c r="JU45" i="55" s="1"/>
  <c r="HM45" i="55"/>
  <c r="M45" i="55" s="1"/>
  <c r="HN45" i="55" s="1"/>
  <c r="IL45" i="55" s="1"/>
  <c r="IM45" i="55" s="1"/>
  <c r="W346" i="55"/>
  <c r="JC59" i="55"/>
  <c r="GV59" i="55"/>
  <c r="GU59" i="55"/>
  <c r="JO297" i="55"/>
  <c r="JU297" i="55" s="1"/>
  <c r="EK10" i="55"/>
  <c r="JO68" i="55"/>
  <c r="JO264" i="55"/>
  <c r="DR343" i="55" a="1"/>
  <c r="DR343" i="55" s="1"/>
  <c r="DT343" i="55" s="1"/>
  <c r="DU343" i="55"/>
  <c r="HT343" i="55" s="1"/>
  <c r="II343" i="55"/>
  <c r="IJ343" i="55" s="1"/>
  <c r="JO246" i="55"/>
  <c r="GW252" i="55"/>
  <c r="DO145" i="55"/>
  <c r="G145" i="55" s="1"/>
  <c r="DP145" i="55" s="1"/>
  <c r="DQ145" i="55" s="1"/>
  <c r="M27" i="16"/>
  <c r="AG24" i="42"/>
  <c r="AH24" i="42" s="1"/>
  <c r="AB22" i="54"/>
  <c r="EE193" i="55"/>
  <c r="EE209" i="55"/>
  <c r="EE194" i="55"/>
  <c r="EE210" i="55"/>
  <c r="EE195" i="55"/>
  <c r="EE211" i="55"/>
  <c r="EE196" i="55"/>
  <c r="EE212" i="55"/>
  <c r="EE192" i="55"/>
  <c r="EE216" i="55"/>
  <c r="EE198" i="55"/>
  <c r="EE218" i="55"/>
  <c r="EE199" i="55"/>
  <c r="EE219" i="55"/>
  <c r="EE190" i="55"/>
  <c r="EE214" i="55"/>
  <c r="EE197" i="55"/>
  <c r="EE223" i="55"/>
  <c r="EE200" i="55"/>
  <c r="EE201" i="55"/>
  <c r="EE203" i="55"/>
  <c r="EE186" i="55"/>
  <c r="EE222" i="55"/>
  <c r="EE187" i="55"/>
  <c r="EE188" i="55"/>
  <c r="EE189" i="55"/>
  <c r="EE217" i="55"/>
  <c r="EE221" i="55"/>
  <c r="EE213" i="55"/>
  <c r="EE205" i="55"/>
  <c r="EE206" i="55"/>
  <c r="EE207" i="55"/>
  <c r="EE215" i="55"/>
  <c r="EE220" i="55"/>
  <c r="EE204" i="55"/>
  <c r="EE184" i="55"/>
  <c r="EE185" i="55"/>
  <c r="EE191" i="55"/>
  <c r="EE202" i="55"/>
  <c r="EE208" i="55"/>
  <c r="FC210" i="55"/>
  <c r="FD210" i="55" s="1"/>
  <c r="HS210" i="55" s="1"/>
  <c r="HU210" i="55" s="1"/>
  <c r="FC194" i="55"/>
  <c r="FD194" i="55" s="1"/>
  <c r="HS194" i="55" s="1"/>
  <c r="HU194" i="55" s="1"/>
  <c r="FC217" i="55"/>
  <c r="FD217" i="55" s="1"/>
  <c r="HS217" i="55" s="1"/>
  <c r="HU217" i="55" s="1"/>
  <c r="FC216" i="55"/>
  <c r="FD216" i="55" s="1"/>
  <c r="HS216" i="55" s="1"/>
  <c r="HU216" i="55" s="1"/>
  <c r="FC209" i="55"/>
  <c r="FD209" i="55" s="1"/>
  <c r="HS209" i="55" s="1"/>
  <c r="HU209" i="55" s="1"/>
  <c r="FC185" i="55"/>
  <c r="FD185" i="55" s="1"/>
  <c r="HS185" i="55" s="1"/>
  <c r="HU185" i="55" s="1"/>
  <c r="FC223" i="55"/>
  <c r="FD223" i="55" s="1"/>
  <c r="HS223" i="55" s="1"/>
  <c r="HU223" i="55" s="1"/>
  <c r="FC221" i="55"/>
  <c r="FD221" i="55" s="1"/>
  <c r="HS221" i="55" s="1"/>
  <c r="HU221" i="55" s="1"/>
  <c r="FC190" i="55"/>
  <c r="FD190" i="55" s="1"/>
  <c r="HS190" i="55" s="1"/>
  <c r="HU190" i="55" s="1"/>
  <c r="FC206" i="55"/>
  <c r="FD206" i="55" s="1"/>
  <c r="HS206" i="55" s="1"/>
  <c r="HU206" i="55" s="1"/>
  <c r="FC192" i="55"/>
  <c r="FD192" i="55" s="1"/>
  <c r="HS192" i="55" s="1"/>
  <c r="HU192" i="55" s="1"/>
  <c r="FC197" i="55"/>
  <c r="FD197" i="55" s="1"/>
  <c r="HS197" i="55" s="1"/>
  <c r="HU197" i="55" s="1"/>
  <c r="FC191" i="55"/>
  <c r="FD191" i="55" s="1"/>
  <c r="HS191" i="55" s="1"/>
  <c r="HU191" i="55" s="1"/>
  <c r="FC218" i="55"/>
  <c r="FD218" i="55" s="1"/>
  <c r="HS218" i="55" s="1"/>
  <c r="HU218" i="55" s="1"/>
  <c r="FC213" i="55"/>
  <c r="FD213" i="55" s="1"/>
  <c r="HS213" i="55" s="1"/>
  <c r="HU213" i="55" s="1"/>
  <c r="FC187" i="55"/>
  <c r="FD187" i="55" s="1"/>
  <c r="HS187" i="55" s="1"/>
  <c r="HU187" i="55" s="1"/>
  <c r="FC189" i="55"/>
  <c r="FD189" i="55" s="1"/>
  <c r="HS189" i="55" s="1"/>
  <c r="HU189" i="55" s="1"/>
  <c r="FC200" i="55"/>
  <c r="FD200" i="55" s="1"/>
  <c r="HS200" i="55" s="1"/>
  <c r="HU200" i="55" s="1"/>
  <c r="FC207" i="55"/>
  <c r="FD207" i="55" s="1"/>
  <c r="HS207" i="55" s="1"/>
  <c r="HU207" i="55" s="1"/>
  <c r="FC215" i="55"/>
  <c r="FD215" i="55" s="1"/>
  <c r="HS215" i="55" s="1"/>
  <c r="HU215" i="55" s="1"/>
  <c r="FC219" i="55"/>
  <c r="FD219" i="55" s="1"/>
  <c r="HS219" i="55" s="1"/>
  <c r="HU219" i="55" s="1"/>
  <c r="FC203" i="55"/>
  <c r="FD203" i="55" s="1"/>
  <c r="HS203" i="55" s="1"/>
  <c r="HU203" i="55" s="1"/>
  <c r="FC212" i="55"/>
  <c r="FD212" i="55" s="1"/>
  <c r="HS212" i="55" s="1"/>
  <c r="HU212" i="55" s="1"/>
  <c r="FC222" i="55"/>
  <c r="FD222" i="55" s="1"/>
  <c r="HS222" i="55" s="1"/>
  <c r="HU222" i="55" s="1"/>
  <c r="FC202" i="55"/>
  <c r="FD202" i="55" s="1"/>
  <c r="HS202" i="55" s="1"/>
  <c r="HU202" i="55" s="1"/>
  <c r="FC204" i="55"/>
  <c r="FD204" i="55" s="1"/>
  <c r="HS204" i="55" s="1"/>
  <c r="HU204" i="55" s="1"/>
  <c r="FC188" i="55"/>
  <c r="FD188" i="55" s="1"/>
  <c r="HS188" i="55" s="1"/>
  <c r="HU188" i="55" s="1"/>
  <c r="FC196" i="55"/>
  <c r="FD196" i="55" s="1"/>
  <c r="HS196" i="55" s="1"/>
  <c r="HU196" i="55" s="1"/>
  <c r="FC205" i="55"/>
  <c r="FD205" i="55" s="1"/>
  <c r="HS205" i="55" s="1"/>
  <c r="HU205" i="55" s="1"/>
  <c r="FC193" i="55"/>
  <c r="FD193" i="55" s="1"/>
  <c r="HS193" i="55" s="1"/>
  <c r="HU193" i="55" s="1"/>
  <c r="FC195" i="55"/>
  <c r="FD195" i="55" s="1"/>
  <c r="HS195" i="55" s="1"/>
  <c r="HU195" i="55" s="1"/>
  <c r="FC199" i="55"/>
  <c r="FD199" i="55" s="1"/>
  <c r="HS199" i="55" s="1"/>
  <c r="HU199" i="55" s="1"/>
  <c r="FC220" i="55"/>
  <c r="FD220" i="55" s="1"/>
  <c r="HS220" i="55" s="1"/>
  <c r="HU220" i="55" s="1"/>
  <c r="FC186" i="55"/>
  <c r="FD186" i="55" s="1"/>
  <c r="HS186" i="55" s="1"/>
  <c r="HU186" i="55" s="1"/>
  <c r="FC211" i="55"/>
  <c r="FD211" i="55" s="1"/>
  <c r="HS211" i="55" s="1"/>
  <c r="HU211" i="55" s="1"/>
  <c r="FC201" i="55"/>
  <c r="FD201" i="55" s="1"/>
  <c r="HS201" i="55" s="1"/>
  <c r="HU201" i="55" s="1"/>
  <c r="FC208" i="55"/>
  <c r="FD208" i="55" s="1"/>
  <c r="HS208" i="55" s="1"/>
  <c r="HU208" i="55" s="1"/>
  <c r="FC198" i="55"/>
  <c r="FD198" i="55" s="1"/>
  <c r="HS198" i="55" s="1"/>
  <c r="HU198" i="55" s="1"/>
  <c r="FC214" i="55"/>
  <c r="FD214" i="55" s="1"/>
  <c r="HS214" i="55" s="1"/>
  <c r="HU214" i="55" s="1"/>
  <c r="DR352" i="55" a="1"/>
  <c r="DR352" i="55" s="1"/>
  <c r="DT352" i="55" s="1"/>
  <c r="II352" i="55"/>
  <c r="DU352" i="55"/>
  <c r="HT352" i="55" s="1"/>
  <c r="GW69" i="55"/>
  <c r="EK7" i="55"/>
  <c r="EG286" i="55"/>
  <c r="EG302" i="55"/>
  <c r="EG287" i="55"/>
  <c r="EG303" i="55"/>
  <c r="EG288" i="55"/>
  <c r="EG304" i="55"/>
  <c r="EG290" i="55"/>
  <c r="EG306" i="55"/>
  <c r="EG291" i="55"/>
  <c r="EG311" i="55"/>
  <c r="EG292" i="55"/>
  <c r="EG312" i="55"/>
  <c r="EG293" i="55"/>
  <c r="EG294" i="55"/>
  <c r="EG310" i="55"/>
  <c r="EG284" i="55"/>
  <c r="EG285" i="55"/>
  <c r="EG308" i="55"/>
  <c r="EG301" i="55"/>
  <c r="EG305" i="55"/>
  <c r="EG307" i="55"/>
  <c r="EG296" i="55"/>
  <c r="EG297" i="55"/>
  <c r="EG298" i="55"/>
  <c r="EG299" i="55"/>
  <c r="EG295" i="55"/>
  <c r="EG300" i="55"/>
  <c r="EG309" i="55"/>
  <c r="EG289" i="55"/>
  <c r="EG283" i="55"/>
  <c r="DR74" i="55" a="1"/>
  <c r="DR74" i="55" s="1"/>
  <c r="DT74" i="55" s="1"/>
  <c r="II74" i="55"/>
  <c r="DU74" i="55"/>
  <c r="HT74" i="55" s="1"/>
  <c r="EG329" i="55"/>
  <c r="EG327" i="55"/>
  <c r="EG325" i="55"/>
  <c r="EG326" i="55"/>
  <c r="EG328" i="55"/>
  <c r="EO240" i="55" a="1"/>
  <c r="EO240" i="55" s="1"/>
  <c r="W240" i="55"/>
  <c r="JU92" i="55"/>
  <c r="JV92" i="55" s="1"/>
  <c r="JO23" i="55"/>
  <c r="JO241" i="55"/>
  <c r="JU241" i="55" s="1"/>
  <c r="JV241" i="55" s="1"/>
  <c r="JU253" i="55"/>
  <c r="JV253" i="55" s="1"/>
  <c r="JO175" i="55"/>
  <c r="AC25" i="54"/>
  <c r="FE313" i="55"/>
  <c r="FE314" i="55"/>
  <c r="FE316" i="55"/>
  <c r="FE315" i="55"/>
  <c r="JO118" i="55"/>
  <c r="JO183" i="55"/>
  <c r="JU183" i="55" s="1"/>
  <c r="JV183" i="55" s="1"/>
  <c r="JO207" i="55"/>
  <c r="HM207" i="55"/>
  <c r="IJ331" i="55"/>
  <c r="JU291" i="55"/>
  <c r="JV291" i="55" s="1"/>
  <c r="JO182" i="55"/>
  <c r="JO57" i="55"/>
  <c r="DR314" i="55" a="1"/>
  <c r="DR314" i="55" s="1"/>
  <c r="DT314" i="55" s="1"/>
  <c r="II314" i="55"/>
  <c r="DU314" i="55"/>
  <c r="HT314" i="55" s="1"/>
  <c r="Y21" i="54"/>
  <c r="BS26" i="55"/>
  <c r="GW245" i="55"/>
  <c r="EQ72" i="55"/>
  <c r="EP72" i="55" a="1"/>
  <c r="EP72" i="55" s="1"/>
  <c r="GW212" i="55"/>
  <c r="JO256" i="55"/>
  <c r="GU278" i="55"/>
  <c r="GV278" i="55"/>
  <c r="GW278" i="55" s="1"/>
  <c r="JC278" i="55"/>
  <c r="W287" i="55"/>
  <c r="DO301" i="55"/>
  <c r="JC319" i="55"/>
  <c r="GU319" i="55"/>
  <c r="GV319" i="55"/>
  <c r="GW319" i="55" s="1"/>
  <c r="DO152" i="55"/>
  <c r="G152" i="55" s="1"/>
  <c r="DP152" i="55" s="1"/>
  <c r="DQ152" i="55" s="1"/>
  <c r="DO328" i="55"/>
  <c r="DO200" i="55"/>
  <c r="G200" i="55" s="1"/>
  <c r="DP200" i="55" s="1"/>
  <c r="DQ200" i="55" s="1"/>
  <c r="W86" i="55"/>
  <c r="W154" i="55"/>
  <c r="EO154" i="55" a="1"/>
  <c r="EO154" i="55" s="1"/>
  <c r="W327" i="55"/>
  <c r="JU257" i="55"/>
  <c r="JV257" i="55" s="1"/>
  <c r="GW89" i="55"/>
  <c r="EO226" i="55" a="1"/>
  <c r="EO226" i="55" s="1"/>
  <c r="W226" i="55"/>
  <c r="HM322" i="55"/>
  <c r="M322" i="55" s="1"/>
  <c r="HN322" i="55" s="1"/>
  <c r="DO74" i="55"/>
  <c r="JU201" i="55"/>
  <c r="JV201" i="55" s="1"/>
  <c r="DR179" i="55" a="1"/>
  <c r="DR179" i="55" s="1"/>
  <c r="DT179" i="55" s="1"/>
  <c r="DU179" i="55"/>
  <c r="HT179" i="55" s="1"/>
  <c r="II179" i="55"/>
  <c r="HL328" i="55"/>
  <c r="HM329" i="55" s="1"/>
  <c r="M329" i="55" s="1"/>
  <c r="HN329" i="55" s="1"/>
  <c r="GK328" i="55"/>
  <c r="EK341" i="55"/>
  <c r="W157" i="55"/>
  <c r="EO157" i="55" a="1"/>
  <c r="EO157" i="55" s="1"/>
  <c r="GW21" i="55"/>
  <c r="GW141" i="55"/>
  <c r="HL54" i="55"/>
  <c r="HM74" i="55" s="1"/>
  <c r="GK54" i="55"/>
  <c r="DO234" i="55"/>
  <c r="G234" i="55" s="1"/>
  <c r="DP234" i="55" s="1"/>
  <c r="DQ234" i="55" s="1"/>
  <c r="DO323" i="55"/>
  <c r="EO198" i="55" a="1"/>
  <c r="EO198" i="55" s="1"/>
  <c r="W198" i="55"/>
  <c r="JO321" i="55"/>
  <c r="JU321" i="55" s="1"/>
  <c r="HM321" i="55"/>
  <c r="M321" i="55" s="1"/>
  <c r="HN321" i="55" s="1"/>
  <c r="JO117" i="55"/>
  <c r="HF4" i="55"/>
  <c r="HG4" i="55" s="1"/>
  <c r="JO284" i="55"/>
  <c r="JU284" i="55" s="1"/>
  <c r="JV284" i="55" s="1"/>
  <c r="HM284" i="55"/>
  <c r="M284" i="55" s="1"/>
  <c r="HN284" i="55" s="1"/>
  <c r="JO95" i="55"/>
  <c r="JU95" i="55" s="1"/>
  <c r="HM95" i="55"/>
  <c r="GL17" i="55"/>
  <c r="FP17" i="55"/>
  <c r="GW101" i="55"/>
  <c r="EQ85" i="55"/>
  <c r="EP85" i="55" a="1"/>
  <c r="EP85" i="55" s="1"/>
  <c r="M33" i="16"/>
  <c r="AG30" i="42"/>
  <c r="AH30" i="42" s="1"/>
  <c r="JU315" i="55"/>
  <c r="JV315" i="55" s="1"/>
  <c r="JO315" i="55"/>
  <c r="HM315" i="55"/>
  <c r="M315" i="55" s="1"/>
  <c r="HN315" i="55" s="1"/>
  <c r="JU33" i="55"/>
  <c r="JV33" i="55" s="1"/>
  <c r="DO210" i="55"/>
  <c r="G210" i="55" s="1"/>
  <c r="DP210" i="55" s="1"/>
  <c r="DQ210" i="55" s="1"/>
  <c r="GW93" i="55"/>
  <c r="W60" i="55"/>
  <c r="EO60" i="55" a="1"/>
  <c r="EO60" i="55" s="1"/>
  <c r="DR50" i="55" a="1"/>
  <c r="DR50" i="55" s="1"/>
  <c r="DT50" i="55" s="1"/>
  <c r="W50" i="55" s="1"/>
  <c r="DU50" i="55"/>
  <c r="HT50" i="55" s="1"/>
  <c r="HQ50" i="55"/>
  <c r="II50" i="55"/>
  <c r="AC14" i="54"/>
  <c r="FE14" i="55"/>
  <c r="FE17" i="55"/>
  <c r="FE18" i="55"/>
  <c r="FE16" i="55"/>
  <c r="FE19" i="55"/>
  <c r="FE20" i="55"/>
  <c r="FE21" i="55"/>
  <c r="FE9" i="55"/>
  <c r="FE6" i="55"/>
  <c r="FE22" i="55"/>
  <c r="FE15" i="55"/>
  <c r="FE5" i="55"/>
  <c r="FE12" i="55"/>
  <c r="FE24" i="55"/>
  <c r="FE7" i="55"/>
  <c r="FE13" i="55"/>
  <c r="FE10" i="55"/>
  <c r="FE23" i="55"/>
  <c r="FE8" i="55"/>
  <c r="GK249" i="55"/>
  <c r="HL249" i="55"/>
  <c r="EO225" i="55" a="1"/>
  <c r="EO225" i="55" s="1"/>
  <c r="W225" i="55"/>
  <c r="JO128" i="55"/>
  <c r="JU128" i="55" s="1"/>
  <c r="JV128" i="55" s="1"/>
  <c r="DO94" i="55"/>
  <c r="JU140" i="55"/>
  <c r="JV140" i="55" s="1"/>
  <c r="FS16" i="55"/>
  <c r="AC24" i="54"/>
  <c r="IJ289" i="55" s="1"/>
  <c r="FE306" i="55"/>
  <c r="FE286" i="55"/>
  <c r="FE302" i="55"/>
  <c r="FE303" i="55"/>
  <c r="FE304" i="55"/>
  <c r="FE290" i="55"/>
  <c r="FE293" i="55"/>
  <c r="FE292" i="55"/>
  <c r="FE298" i="55"/>
  <c r="FE299" i="55"/>
  <c r="FE300" i="55"/>
  <c r="FE297" i="55"/>
  <c r="FE295" i="55"/>
  <c r="FE312" i="55"/>
  <c r="FE287" i="55"/>
  <c r="FE308" i="55"/>
  <c r="FE309" i="55"/>
  <c r="FE311" i="55"/>
  <c r="FE307" i="55"/>
  <c r="FE310" i="55"/>
  <c r="FE284" i="55"/>
  <c r="FE305" i="55"/>
  <c r="FE283" i="55"/>
  <c r="FE291" i="55"/>
  <c r="FE294" i="55"/>
  <c r="FE285" i="55"/>
  <c r="FE288" i="55"/>
  <c r="FE289" i="55"/>
  <c r="FE296" i="55"/>
  <c r="FE301" i="55"/>
  <c r="JO226" i="55"/>
  <c r="JU226" i="55" s="1"/>
  <c r="EQ183" i="55"/>
  <c r="EP183" i="55" a="1"/>
  <c r="EP183" i="55" s="1"/>
  <c r="JV143" i="55"/>
  <c r="DR30" i="55" a="1"/>
  <c r="DR30" i="55" s="1"/>
  <c r="DT30" i="55" s="1"/>
  <c r="II30" i="55"/>
  <c r="IJ30" i="55" s="1"/>
  <c r="DU30" i="55"/>
  <c r="HT30" i="55" s="1"/>
  <c r="DR321" i="55" a="1"/>
  <c r="DR321" i="55" s="1"/>
  <c r="DT321" i="55" s="1"/>
  <c r="HQ321" i="55"/>
  <c r="DU321" i="55"/>
  <c r="HT321" i="55" s="1"/>
  <c r="II321" i="55"/>
  <c r="JO122" i="55"/>
  <c r="JC342" i="55"/>
  <c r="GU342" i="55"/>
  <c r="GV342" i="55"/>
  <c r="BS184" i="55"/>
  <c r="EZ184" i="55"/>
  <c r="GK184" i="55" s="1"/>
  <c r="DO232" i="55"/>
  <c r="G232" i="55" s="1"/>
  <c r="DP232" i="55" s="1"/>
  <c r="DQ232" i="55" s="1"/>
  <c r="GL14" i="55"/>
  <c r="FP14" i="55"/>
  <c r="FS14" i="55"/>
  <c r="JO261" i="55"/>
  <c r="GW213" i="55"/>
  <c r="JO181" i="55"/>
  <c r="JO245" i="55"/>
  <c r="W205" i="55"/>
  <c r="EO205" i="55" a="1"/>
  <c r="EO205" i="55" s="1"/>
  <c r="AC18" i="54"/>
  <c r="IJ100" i="55" s="1"/>
  <c r="FE94" i="55"/>
  <c r="FE90" i="55"/>
  <c r="FE98" i="55"/>
  <c r="FE100" i="55"/>
  <c r="FE101" i="55"/>
  <c r="FE92" i="55"/>
  <c r="FE89" i="55"/>
  <c r="FE91" i="55"/>
  <c r="FE95" i="55"/>
  <c r="FE88" i="55"/>
  <c r="FE93" i="55"/>
  <c r="FE97" i="55"/>
  <c r="FE96" i="55"/>
  <c r="FE99" i="55"/>
  <c r="DO67" i="55"/>
  <c r="GW121" i="55"/>
  <c r="EQ330" i="55"/>
  <c r="GW214" i="55"/>
  <c r="FS9" i="55"/>
  <c r="GW305" i="55"/>
  <c r="HL132" i="55"/>
  <c r="GK132" i="55"/>
  <c r="EQ292" i="55"/>
  <c r="EP292" i="55" a="1"/>
  <c r="EP292" i="55" s="1"/>
  <c r="GW146" i="55"/>
  <c r="GW167" i="55"/>
  <c r="DO90" i="55"/>
  <c r="W123" i="55"/>
  <c r="EO123" i="55" a="1"/>
  <c r="EO123" i="55" s="1"/>
  <c r="JO40" i="55"/>
  <c r="JU40" i="55" s="1"/>
  <c r="JV40" i="55" s="1"/>
  <c r="HM40" i="55"/>
  <c r="M40" i="55" s="1"/>
  <c r="HN40" i="55" s="1"/>
  <c r="IL40" i="55" s="1"/>
  <c r="IM40" i="55" s="1"/>
  <c r="JU250" i="55"/>
  <c r="JV250" i="55" s="1"/>
  <c r="JC120" i="55"/>
  <c r="GV120" i="55"/>
  <c r="GU120" i="55"/>
  <c r="JO197" i="55"/>
  <c r="HM197" i="55"/>
  <c r="EQ332" i="55"/>
  <c r="EP332" i="55" a="1"/>
  <c r="EP332" i="55" s="1"/>
  <c r="JO106" i="55"/>
  <c r="HM106" i="55"/>
  <c r="M106" i="55" s="1"/>
  <c r="HN106" i="55" s="1"/>
  <c r="DO81" i="55"/>
  <c r="GW206" i="55"/>
  <c r="JO108" i="55"/>
  <c r="HM108" i="55"/>
  <c r="M108" i="55" s="1"/>
  <c r="HN108" i="55" s="1"/>
  <c r="DR17" i="55" a="1"/>
  <c r="DR17" i="55" s="1"/>
  <c r="DT17" i="55" s="1"/>
  <c r="II17" i="55"/>
  <c r="IJ17" i="55" s="1"/>
  <c r="DU17" i="55"/>
  <c r="HT17" i="55" s="1"/>
  <c r="JC310" i="55"/>
  <c r="GV310" i="55"/>
  <c r="GU310" i="55"/>
  <c r="DO91" i="55"/>
  <c r="JO120" i="55"/>
  <c r="JU120" i="55" s="1"/>
  <c r="JC223" i="55"/>
  <c r="GU223" i="55"/>
  <c r="GV223" i="55"/>
  <c r="GW223" i="55" s="1"/>
  <c r="JO234" i="55"/>
  <c r="W300" i="55"/>
  <c r="EO300" i="55" a="1"/>
  <c r="EO300" i="55" s="1"/>
  <c r="EQ174" i="55"/>
  <c r="EP174" i="55" a="1"/>
  <c r="EP174" i="55" s="1"/>
  <c r="DO160" i="55"/>
  <c r="JO74" i="55"/>
  <c r="JU74" i="55" s="1"/>
  <c r="HQ243" i="55"/>
  <c r="JC114" i="55"/>
  <c r="GU114" i="55"/>
  <c r="GV114" i="55"/>
  <c r="DR67" i="55" a="1"/>
  <c r="DR67" i="55" s="1"/>
  <c r="DT67" i="55" s="1"/>
  <c r="II67" i="55"/>
  <c r="DU67" i="55"/>
  <c r="HT67" i="55" s="1"/>
  <c r="DR239" i="55" a="1"/>
  <c r="DR239" i="55" s="1"/>
  <c r="DT239" i="55" s="1"/>
  <c r="II239" i="55"/>
  <c r="IJ239" i="55" s="1"/>
  <c r="DU239" i="55"/>
  <c r="HT239" i="55" s="1"/>
  <c r="EK20" i="55"/>
  <c r="JO73" i="55"/>
  <c r="JC68" i="55"/>
  <c r="GU68" i="55"/>
  <c r="GV68" i="55"/>
  <c r="JO212" i="55"/>
  <c r="JU212" i="55" s="1"/>
  <c r="JV212" i="55" s="1"/>
  <c r="HM212" i="55"/>
  <c r="JO36" i="55"/>
  <c r="HM36" i="55"/>
  <c r="M36" i="55" s="1"/>
  <c r="HN36" i="55" s="1"/>
  <c r="IL36" i="55" s="1"/>
  <c r="IM36" i="55" s="1"/>
  <c r="JO58" i="55"/>
  <c r="JU58" i="55" s="1"/>
  <c r="JV58" i="55" s="1"/>
  <c r="EQ121" i="55"/>
  <c r="EP121" i="55" a="1"/>
  <c r="EP121" i="55" s="1"/>
  <c r="BS317" i="55"/>
  <c r="DO329" i="55"/>
  <c r="HQ147" i="55"/>
  <c r="X9" i="42"/>
  <c r="M30" i="16"/>
  <c r="AG27" i="42"/>
  <c r="AH27" i="42" s="1"/>
  <c r="GL25" i="55"/>
  <c r="FP25" i="55"/>
  <c r="FS25" i="55"/>
  <c r="DR246" i="55" a="1"/>
  <c r="DR246" i="55" s="1"/>
  <c r="DT246" i="55" s="1"/>
  <c r="DU246" i="55"/>
  <c r="HT246" i="55" s="1"/>
  <c r="II246" i="55"/>
  <c r="IJ246" i="55" s="1"/>
  <c r="GW255" i="55"/>
  <c r="JC306" i="55"/>
  <c r="GV306" i="55"/>
  <c r="GU306" i="55"/>
  <c r="DO241" i="55"/>
  <c r="G241" i="55" s="1"/>
  <c r="DP241" i="55" s="1"/>
  <c r="DQ241" i="55" s="1"/>
  <c r="JO221" i="55"/>
  <c r="HM221" i="55"/>
  <c r="M221" i="55" s="1"/>
  <c r="HN221" i="55" s="1"/>
  <c r="JO152" i="55"/>
  <c r="JO285" i="55"/>
  <c r="JU285" i="55" s="1"/>
  <c r="JV285" i="55" s="1"/>
  <c r="HM285" i="55"/>
  <c r="M285" i="55" s="1"/>
  <c r="HN285" i="55" s="1"/>
  <c r="JC56" i="55"/>
  <c r="GU56" i="55"/>
  <c r="GV56" i="55"/>
  <c r="GW56" i="55" s="1"/>
  <c r="W245" i="55"/>
  <c r="DR342" i="55" a="1"/>
  <c r="DR342" i="55" s="1"/>
  <c r="DT342" i="55" s="1"/>
  <c r="DU342" i="55"/>
  <c r="HT342" i="55" s="1"/>
  <c r="II342" i="55"/>
  <c r="IJ342" i="55" s="1"/>
  <c r="EG14" i="55"/>
  <c r="EG15" i="55"/>
  <c r="EG16" i="55"/>
  <c r="EG18" i="55"/>
  <c r="EG11" i="55"/>
  <c r="EG12" i="55"/>
  <c r="EG13" i="55"/>
  <c r="EG17" i="55"/>
  <c r="EG4" i="55"/>
  <c r="EG5" i="55"/>
  <c r="EG24" i="55"/>
  <c r="EG3" i="55"/>
  <c r="EG6" i="55"/>
  <c r="EG7" i="55"/>
  <c r="EG9" i="55"/>
  <c r="EG8" i="55"/>
  <c r="EG19" i="55"/>
  <c r="EG20" i="55"/>
  <c r="EG23" i="55"/>
  <c r="EG25" i="55"/>
  <c r="EG22" i="55"/>
  <c r="EG10" i="55"/>
  <c r="EG21" i="55"/>
  <c r="JO91" i="55"/>
  <c r="HM91" i="55"/>
  <c r="JC351" i="55"/>
  <c r="GU351" i="55"/>
  <c r="GV351" i="55"/>
  <c r="JO43" i="55"/>
  <c r="HM43" i="55"/>
  <c r="M43" i="55" s="1"/>
  <c r="HN43" i="55" s="1"/>
  <c r="IL43" i="55" s="1"/>
  <c r="IM43" i="55" s="1"/>
  <c r="GW174" i="55"/>
  <c r="HL137" i="55"/>
  <c r="GK137" i="55"/>
  <c r="EO277" i="55" a="1"/>
  <c r="EO277" i="55" s="1"/>
  <c r="W277" i="55"/>
  <c r="JO153" i="55"/>
  <c r="JU153" i="55" s="1"/>
  <c r="JV153" i="55" s="1"/>
  <c r="GL13" i="55"/>
  <c r="FP13" i="55"/>
  <c r="FS13" i="55"/>
  <c r="W283" i="55"/>
  <c r="EO283" i="55" a="1"/>
  <c r="EO283" i="55" s="1"/>
  <c r="DR212" i="55" a="1"/>
  <c r="DR212" i="55" s="1"/>
  <c r="DT212" i="55" s="1"/>
  <c r="II212" i="55"/>
  <c r="IJ212" i="55" s="1"/>
  <c r="DU212" i="55"/>
  <c r="HT212" i="55" s="1"/>
  <c r="JO350" i="55"/>
  <c r="HM350" i="55"/>
  <c r="DR127" i="55" a="1"/>
  <c r="DR127" i="55" s="1"/>
  <c r="DT127" i="55" s="1"/>
  <c r="II127" i="55"/>
  <c r="DU127" i="55"/>
  <c r="HT127" i="55" s="1"/>
  <c r="BS224" i="55"/>
  <c r="EZ224" i="55"/>
  <c r="GK224" i="55" s="1"/>
  <c r="W129" i="55"/>
  <c r="EO129" i="55" a="1"/>
  <c r="EO129" i="55" s="1"/>
  <c r="JO148" i="55"/>
  <c r="JU148" i="55"/>
  <c r="JV148" i="55" s="1"/>
  <c r="W13" i="55"/>
  <c r="EO13" i="55" a="1"/>
  <c r="EO13" i="55" s="1"/>
  <c r="GW17" i="55"/>
  <c r="HL286" i="55"/>
  <c r="GK286" i="55"/>
  <c r="EG94" i="55"/>
  <c r="EG95" i="55"/>
  <c r="EG96" i="55"/>
  <c r="EG98" i="55"/>
  <c r="EG99" i="55"/>
  <c r="EG100" i="55"/>
  <c r="EG101" i="55"/>
  <c r="EG88" i="55"/>
  <c r="EG89" i="55"/>
  <c r="EG92" i="55"/>
  <c r="EG93" i="55"/>
  <c r="EG97" i="55"/>
  <c r="EG91" i="55"/>
  <c r="EG90" i="55"/>
  <c r="JO263" i="55"/>
  <c r="HL97" i="55"/>
  <c r="HM98" i="55" s="1"/>
  <c r="GK97" i="55"/>
  <c r="JO70" i="55"/>
  <c r="JU70" i="55" s="1"/>
  <c r="JO300" i="55"/>
  <c r="JU300" i="55" s="1"/>
  <c r="DO310" i="55"/>
  <c r="JO127" i="55"/>
  <c r="JU127" i="55" s="1"/>
  <c r="JV127" i="55" s="1"/>
  <c r="JC30" i="55"/>
  <c r="GU30" i="55"/>
  <c r="GV30" i="55"/>
  <c r="GW30" i="55" s="1"/>
  <c r="W292" i="55"/>
  <c r="EO132" i="55" a="1"/>
  <c r="EO132" i="55" s="1"/>
  <c r="FH271" i="55"/>
  <c r="FH265" i="55"/>
  <c r="FH268" i="55"/>
  <c r="FH242" i="55"/>
  <c r="FH277" i="55"/>
  <c r="FH235" i="55"/>
  <c r="FH225" i="55"/>
  <c r="FH237" i="55"/>
  <c r="FH267" i="55"/>
  <c r="FH270" i="55"/>
  <c r="FH253" i="55"/>
  <c r="FH251" i="55"/>
  <c r="FH257" i="55"/>
  <c r="FH226" i="55"/>
  <c r="FH241" i="55"/>
  <c r="FH245" i="55"/>
  <c r="FH261" i="55"/>
  <c r="FH254" i="55"/>
  <c r="FH260" i="55"/>
  <c r="FH256" i="55"/>
  <c r="FH266" i="55"/>
  <c r="FH273" i="55"/>
  <c r="FH280" i="55"/>
  <c r="FH272" i="55"/>
  <c r="FH234" i="55"/>
  <c r="FH255" i="55"/>
  <c r="FH227" i="55"/>
  <c r="FH236" i="55"/>
  <c r="FH252" i="55"/>
  <c r="FH275" i="55"/>
  <c r="FH258" i="55"/>
  <c r="FH238" i="55"/>
  <c r="FH259" i="55"/>
  <c r="FH281" i="55"/>
  <c r="FH232" i="55"/>
  <c r="FH250" i="55"/>
  <c r="FH240" i="55"/>
  <c r="FH243" i="55"/>
  <c r="FH246" i="55"/>
  <c r="FH229" i="55"/>
  <c r="FH248" i="55"/>
  <c r="FH249" i="55"/>
  <c r="FH276" i="55"/>
  <c r="FH262" i="55"/>
  <c r="FH239" i="55"/>
  <c r="FH233" i="55"/>
  <c r="FH247" i="55"/>
  <c r="FH231" i="55"/>
  <c r="FH269" i="55"/>
  <c r="FH278" i="55"/>
  <c r="FH264" i="55"/>
  <c r="FH263" i="55"/>
  <c r="FH228" i="55"/>
  <c r="FH230" i="55"/>
  <c r="FH244" i="55"/>
  <c r="FH279" i="55"/>
  <c r="FH274" i="55"/>
  <c r="GW218" i="55"/>
  <c r="EQ21" i="55"/>
  <c r="EP21" i="55" a="1"/>
  <c r="EP21" i="55" s="1"/>
  <c r="JV232" i="55"/>
  <c r="JO211" i="55"/>
  <c r="HM211" i="55"/>
  <c r="DO322" i="55"/>
  <c r="DR184" i="55" a="1"/>
  <c r="DR184" i="55" s="1"/>
  <c r="DT184" i="55" s="1"/>
  <c r="DU184" i="55"/>
  <c r="HT184" i="55" s="1"/>
  <c r="II184" i="55"/>
  <c r="IJ184" i="55" s="1"/>
  <c r="AC29" i="54"/>
  <c r="IJ337" i="55" s="1"/>
  <c r="FE338" i="55"/>
  <c r="FE336" i="55"/>
  <c r="FE337" i="55"/>
  <c r="FE335" i="55"/>
  <c r="FE340" i="55"/>
  <c r="FE339" i="55"/>
  <c r="HQ89" i="55"/>
  <c r="EG335" i="55"/>
  <c r="EG336" i="55"/>
  <c r="EG338" i="55"/>
  <c r="EG337" i="55"/>
  <c r="EG340" i="55"/>
  <c r="EG339" i="55"/>
  <c r="EK335" i="55"/>
  <c r="DR106" i="55" a="1"/>
  <c r="DR106" i="55" s="1"/>
  <c r="DT106" i="55" s="1"/>
  <c r="DU106" i="55"/>
  <c r="HT106" i="55" s="1"/>
  <c r="II106" i="55"/>
  <c r="IJ106" i="55" s="1"/>
  <c r="W79" i="55"/>
  <c r="EO79" i="55" a="1"/>
  <c r="EO79" i="55" s="1"/>
  <c r="EQ5" i="55"/>
  <c r="BT29" i="54" s="1" a="1"/>
  <c r="BT29" i="54" s="1"/>
  <c r="W332" i="55"/>
  <c r="DR335" i="55" a="1"/>
  <c r="DR335" i="55" s="1"/>
  <c r="DT335" i="55" s="1"/>
  <c r="DU335" i="55"/>
  <c r="HT335" i="55" s="1"/>
  <c r="II335" i="55"/>
  <c r="IJ335" i="55" s="1"/>
  <c r="EK317" i="55"/>
  <c r="JO288" i="55"/>
  <c r="JU288" i="55" s="1"/>
  <c r="JV288" i="55" s="1"/>
  <c r="JU307" i="55"/>
  <c r="JV307" i="55" s="1"/>
  <c r="JO326" i="55"/>
  <c r="HM326" i="55"/>
  <c r="M326" i="55" s="1"/>
  <c r="HN326" i="55" s="1"/>
  <c r="HQ83" i="55"/>
  <c r="EK53" i="55"/>
  <c r="HQ337" i="55"/>
  <c r="GK225" i="55"/>
  <c r="HL225" i="55"/>
  <c r="HL72" i="55"/>
  <c r="GK72" i="55"/>
  <c r="DR252" i="55" a="1"/>
  <c r="DR252" i="55" s="1"/>
  <c r="DT252" i="55" s="1"/>
  <c r="DU252" i="55"/>
  <c r="HT252" i="55" s="1"/>
  <c r="II252" i="55"/>
  <c r="DO208" i="55"/>
  <c r="G208" i="55" s="1"/>
  <c r="DP208" i="55" s="1"/>
  <c r="DQ208" i="55" s="1"/>
  <c r="HQ291" i="55"/>
  <c r="DO140" i="55"/>
  <c r="G140" i="55" s="1"/>
  <c r="DP140" i="55" s="1"/>
  <c r="DQ140" i="55" s="1"/>
  <c r="HM189" i="55"/>
  <c r="M189" i="55" s="1"/>
  <c r="HN189" i="55" s="1"/>
  <c r="EQ86" i="55"/>
  <c r="EP86" i="55" a="1"/>
  <c r="EP86" i="55" s="1"/>
  <c r="GW211" i="55"/>
  <c r="EQ341" i="55"/>
  <c r="JU302" i="55"/>
  <c r="JV302" i="55" s="1"/>
  <c r="GK114" i="55"/>
  <c r="HL114" i="55"/>
  <c r="HM127" i="55" s="1"/>
  <c r="IJ243" i="55"/>
  <c r="IJ93" i="55"/>
  <c r="HL282" i="55"/>
  <c r="GK282" i="55"/>
  <c r="JO243" i="55"/>
  <c r="EK154" i="55"/>
  <c r="IJ261" i="55"/>
  <c r="GW173" i="55"/>
  <c r="DO115" i="55"/>
  <c r="HQ58" i="55"/>
  <c r="GW296" i="55"/>
  <c r="GW233" i="55"/>
  <c r="JO173" i="55"/>
  <c r="JU173" i="55" s="1"/>
  <c r="HM173" i="55"/>
  <c r="HQ251" i="55"/>
  <c r="M35" i="16"/>
  <c r="AG32" i="42"/>
  <c r="AH32" i="42" s="1"/>
  <c r="EO259" i="55" a="1"/>
  <c r="EO259" i="55" s="1"/>
  <c r="W259" i="55"/>
  <c r="AC19" i="54"/>
  <c r="IJ129" i="55" s="1"/>
  <c r="FE110" i="55"/>
  <c r="FE111" i="55"/>
  <c r="FE112" i="55"/>
  <c r="FE127" i="55"/>
  <c r="FE108" i="55"/>
  <c r="FE114" i="55"/>
  <c r="FE126" i="55"/>
  <c r="FE128" i="55"/>
  <c r="FE122" i="55"/>
  <c r="FE109" i="55"/>
  <c r="FE124" i="55"/>
  <c r="FE121" i="55"/>
  <c r="FE103" i="55"/>
  <c r="FE105" i="55"/>
  <c r="FE104" i="55"/>
  <c r="FE118" i="55"/>
  <c r="FE125" i="55"/>
  <c r="FE102" i="55"/>
  <c r="FE115" i="55"/>
  <c r="FE119" i="55"/>
  <c r="FE123" i="55"/>
  <c r="FE113" i="55"/>
  <c r="FE117" i="55"/>
  <c r="FE129" i="55"/>
  <c r="FE116" i="55"/>
  <c r="FE107" i="55"/>
  <c r="FE106" i="55"/>
  <c r="FE120" i="55"/>
  <c r="HQ177" i="55"/>
  <c r="JO155" i="55"/>
  <c r="HM155" i="55"/>
  <c r="M155" i="55" s="1"/>
  <c r="HN155" i="55" s="1"/>
  <c r="DR202" i="55" a="1"/>
  <c r="DR202" i="55" s="1"/>
  <c r="DT202" i="55" s="1"/>
  <c r="HQ202" i="55"/>
  <c r="II202" i="55"/>
  <c r="DU202" i="55"/>
  <c r="HT202" i="55" s="1"/>
  <c r="DR306" i="55" a="1"/>
  <c r="DR306" i="55" s="1"/>
  <c r="DT306" i="55" s="1"/>
  <c r="DU306" i="55"/>
  <c r="HT306" i="55" s="1"/>
  <c r="II306" i="55"/>
  <c r="HQ306" i="55"/>
  <c r="JO103" i="55"/>
  <c r="JU103" i="55" s="1"/>
  <c r="HM103" i="55"/>
  <c r="M103" i="55" s="1"/>
  <c r="HN103" i="55" s="1"/>
  <c r="GW12" i="55"/>
  <c r="DO188" i="55"/>
  <c r="G188" i="55" s="1"/>
  <c r="DP188" i="55" s="1"/>
  <c r="DQ188" i="55" s="1"/>
  <c r="GW126" i="55"/>
  <c r="HM112" i="55"/>
  <c r="GW299" i="55"/>
  <c r="GW62" i="55"/>
  <c r="EQ245" i="55"/>
  <c r="EP245" i="55" a="1"/>
  <c r="EP245" i="55" s="1"/>
  <c r="HM41" i="55"/>
  <c r="M41" i="55" s="1"/>
  <c r="HN41" i="55" s="1"/>
  <c r="IL41" i="55" s="1"/>
  <c r="IM41" i="55" s="1"/>
  <c r="AB14" i="54"/>
  <c r="EE18" i="55"/>
  <c r="EE3" i="55"/>
  <c r="EE19" i="55"/>
  <c r="EE4" i="55"/>
  <c r="EE20" i="55"/>
  <c r="EE6" i="55"/>
  <c r="EE22" i="55"/>
  <c r="EE15" i="55"/>
  <c r="EE16" i="55"/>
  <c r="EE17" i="55"/>
  <c r="EE21" i="55"/>
  <c r="EE10" i="55"/>
  <c r="EE12" i="55"/>
  <c r="EE13" i="55"/>
  <c r="EE8" i="55"/>
  <c r="EE25" i="55"/>
  <c r="EE5" i="55"/>
  <c r="EE7" i="55"/>
  <c r="EE9" i="55"/>
  <c r="EE11" i="55"/>
  <c r="EE14" i="55"/>
  <c r="EE23" i="55"/>
  <c r="EE24" i="55"/>
  <c r="FC21" i="55"/>
  <c r="FD21" i="55" s="1"/>
  <c r="HS21" i="55" s="1"/>
  <c r="HU21" i="55" s="1"/>
  <c r="FC17" i="55"/>
  <c r="FD17" i="55" s="1"/>
  <c r="HS17" i="55" s="1"/>
  <c r="HU17" i="55" s="1"/>
  <c r="FC22" i="55"/>
  <c r="FD22" i="55" s="1"/>
  <c r="HS22" i="55" s="1"/>
  <c r="HU22" i="55" s="1"/>
  <c r="FC6" i="55"/>
  <c r="FD6" i="55" s="1"/>
  <c r="HS6" i="55" s="1"/>
  <c r="HU6" i="55" s="1"/>
  <c r="FC20" i="55"/>
  <c r="FD20" i="55" s="1"/>
  <c r="HS20" i="55" s="1"/>
  <c r="HU20" i="55" s="1"/>
  <c r="FC24" i="55"/>
  <c r="FD24" i="55" s="1"/>
  <c r="HS24" i="55" s="1"/>
  <c r="HU24" i="55" s="1"/>
  <c r="FC15" i="55"/>
  <c r="FD15" i="55" s="1"/>
  <c r="HS15" i="55" s="1"/>
  <c r="HU15" i="55" s="1"/>
  <c r="FC16" i="55"/>
  <c r="FD16" i="55" s="1"/>
  <c r="HS16" i="55" s="1"/>
  <c r="HU16" i="55" s="1"/>
  <c r="FC8" i="55"/>
  <c r="FD8" i="55" s="1"/>
  <c r="HS8" i="55" s="1"/>
  <c r="HU8" i="55" s="1"/>
  <c r="FC7" i="55"/>
  <c r="FD7" i="55" s="1"/>
  <c r="HS7" i="55" s="1"/>
  <c r="HU7" i="55" s="1"/>
  <c r="FC23" i="55"/>
  <c r="FD23" i="55" s="1"/>
  <c r="HS23" i="55" s="1"/>
  <c r="HU23" i="55" s="1"/>
  <c r="FC14" i="55"/>
  <c r="FD14" i="55" s="1"/>
  <c r="HS14" i="55" s="1"/>
  <c r="HU14" i="55" s="1"/>
  <c r="FC9" i="55"/>
  <c r="FD9" i="55" s="1"/>
  <c r="HS9" i="55" s="1"/>
  <c r="HU9" i="55" s="1"/>
  <c r="FC10" i="55"/>
  <c r="FD10" i="55" s="1"/>
  <c r="HS10" i="55" s="1"/>
  <c r="HU10" i="55" s="1"/>
  <c r="FC13" i="55"/>
  <c r="FD13" i="55" s="1"/>
  <c r="HS13" i="55" s="1"/>
  <c r="HU13" i="55" s="1"/>
  <c r="FC5" i="55"/>
  <c r="FD5" i="55" s="1"/>
  <c r="HS5" i="55" s="1"/>
  <c r="HU5" i="55" s="1"/>
  <c r="FC12" i="55"/>
  <c r="FD12" i="55" s="1"/>
  <c r="HS12" i="55" s="1"/>
  <c r="HU12" i="55" s="1"/>
  <c r="FC18" i="55"/>
  <c r="FD18" i="55" s="1"/>
  <c r="HS18" i="55" s="1"/>
  <c r="HU18" i="55" s="1"/>
  <c r="FC19" i="55"/>
  <c r="FD19" i="55" s="1"/>
  <c r="HS19" i="55" s="1"/>
  <c r="HU19" i="55" s="1"/>
  <c r="W12" i="55"/>
  <c r="W294" i="55"/>
  <c r="DR282" i="55" a="1"/>
  <c r="DR282" i="55" s="1"/>
  <c r="DT282" i="55" s="1"/>
  <c r="II282" i="55"/>
  <c r="IJ282" i="55" s="1"/>
  <c r="DU282" i="55"/>
  <c r="HT282" i="55" s="1"/>
  <c r="BS31" i="55"/>
  <c r="EZ31" i="55"/>
  <c r="GK31" i="55" s="1"/>
  <c r="JO214" i="55"/>
  <c r="HM214" i="55"/>
  <c r="JO236" i="55"/>
  <c r="EO211" i="55" a="1"/>
  <c r="EO211" i="55" s="1"/>
  <c r="W211" i="55"/>
  <c r="AB15" i="54"/>
  <c r="EE26" i="55"/>
  <c r="EE27" i="55"/>
  <c r="EE29" i="55"/>
  <c r="EE30" i="55"/>
  <c r="EE28" i="55"/>
  <c r="FC30" i="55"/>
  <c r="FD30" i="55" s="1"/>
  <c r="HS30" i="55" s="1"/>
  <c r="HU30" i="55" s="1"/>
  <c r="FC29" i="55"/>
  <c r="FD29" i="55" s="1"/>
  <c r="HS29" i="55" s="1"/>
  <c r="HU29" i="55" s="1"/>
  <c r="FC26" i="55"/>
  <c r="FD26" i="55" s="1"/>
  <c r="HS26" i="55" s="1"/>
  <c r="HU26" i="55" s="1"/>
  <c r="GW70" i="55"/>
  <c r="W285" i="55"/>
  <c r="EO285" i="55" a="1"/>
  <c r="EO285" i="55" s="1"/>
  <c r="GW202" i="55"/>
  <c r="DR223" i="55" a="1"/>
  <c r="DR223" i="55" s="1"/>
  <c r="DT223" i="55" s="1"/>
  <c r="DU223" i="55"/>
  <c r="HT223" i="55" s="1"/>
  <c r="II223" i="55"/>
  <c r="IJ223" i="55" s="1"/>
  <c r="F3" i="40" a="1"/>
  <c r="F3" i="40" s="1"/>
  <c r="GW256" i="55"/>
  <c r="JO314" i="55"/>
  <c r="JU314" i="55" s="1"/>
  <c r="HM314" i="55"/>
  <c r="M314" i="55" s="1"/>
  <c r="HN314" i="55" s="1"/>
  <c r="EK18" i="55"/>
  <c r="AB18" i="54"/>
  <c r="EE98" i="55"/>
  <c r="EE99" i="55"/>
  <c r="EE100" i="55"/>
  <c r="EE94" i="55"/>
  <c r="EE96" i="55"/>
  <c r="EE97" i="55"/>
  <c r="EE92" i="55"/>
  <c r="EE95" i="55"/>
  <c r="EE101" i="55"/>
  <c r="EE93" i="55"/>
  <c r="EE91" i="55"/>
  <c r="EE88" i="55"/>
  <c r="EE89" i="55"/>
  <c r="EE90" i="55"/>
  <c r="FC96" i="55"/>
  <c r="FD96" i="55" s="1"/>
  <c r="HS96" i="55" s="1"/>
  <c r="HU96" i="55" s="1"/>
  <c r="FC95" i="55"/>
  <c r="FD95" i="55" s="1"/>
  <c r="HS95" i="55" s="1"/>
  <c r="HU95" i="55" s="1"/>
  <c r="FC88" i="55"/>
  <c r="FD88" i="55" s="1"/>
  <c r="HS88" i="55" s="1"/>
  <c r="HU88" i="55" s="1"/>
  <c r="FC94" i="55"/>
  <c r="FD94" i="55" s="1"/>
  <c r="HS94" i="55" s="1"/>
  <c r="HU94" i="55" s="1"/>
  <c r="FC89" i="55"/>
  <c r="FD89" i="55" s="1"/>
  <c r="HS89" i="55" s="1"/>
  <c r="HU89" i="55" s="1"/>
  <c r="FC92" i="55"/>
  <c r="FD92" i="55" s="1"/>
  <c r="HS92" i="55" s="1"/>
  <c r="HU92" i="55" s="1"/>
  <c r="FC91" i="55"/>
  <c r="FD91" i="55" s="1"/>
  <c r="HS91" i="55" s="1"/>
  <c r="HU91" i="55" s="1"/>
  <c r="FC90" i="55"/>
  <c r="FD90" i="55" s="1"/>
  <c r="HS90" i="55" s="1"/>
  <c r="HU90" i="55" s="1"/>
  <c r="FC100" i="55"/>
  <c r="FD100" i="55" s="1"/>
  <c r="HS100" i="55" s="1"/>
  <c r="HU100" i="55" s="1"/>
  <c r="FC93" i="55"/>
  <c r="FD93" i="55" s="1"/>
  <c r="HS93" i="55" s="1"/>
  <c r="HU93" i="55" s="1"/>
  <c r="FC97" i="55"/>
  <c r="FD97" i="55" s="1"/>
  <c r="HS97" i="55" s="1"/>
  <c r="HU97" i="55" s="1"/>
  <c r="FC99" i="55"/>
  <c r="FD99" i="55" s="1"/>
  <c r="HS99" i="55" s="1"/>
  <c r="HU99" i="55" s="1"/>
  <c r="FC101" i="55"/>
  <c r="FD101" i="55" s="1"/>
  <c r="HS101" i="55" s="1"/>
  <c r="HU101" i="55" s="1"/>
  <c r="FC98" i="55"/>
  <c r="FD98" i="55" s="1"/>
  <c r="HS98" i="55" s="1"/>
  <c r="HU98" i="55" s="1"/>
  <c r="W100" i="55"/>
  <c r="GW14" i="55"/>
  <c r="W331" i="55"/>
  <c r="EO331" i="55" a="1"/>
  <c r="EO331" i="55" s="1"/>
  <c r="GL18" i="55"/>
  <c r="FP18" i="55"/>
  <c r="DO146" i="55"/>
  <c r="G146" i="55" s="1"/>
  <c r="DP146" i="55" s="1"/>
  <c r="DQ146" i="55" s="1"/>
  <c r="FS17" i="55"/>
  <c r="HM339" i="55"/>
  <c r="M339" i="55" s="1"/>
  <c r="HN339" i="55" s="1"/>
  <c r="X23" i="54"/>
  <c r="BB23" i="54" s="1"/>
  <c r="GW257" i="55"/>
  <c r="G12" i="57"/>
  <c r="C16" i="57"/>
  <c r="G7" i="57" s="1"/>
  <c r="G8" i="57"/>
  <c r="G9" i="57"/>
  <c r="EQ294" i="55"/>
  <c r="EP294" i="55" a="1"/>
  <c r="EP294" i="55" s="1"/>
  <c r="JO151" i="55"/>
  <c r="IJ38" i="55"/>
  <c r="EG30" i="55"/>
  <c r="EG26" i="55"/>
  <c r="EG28" i="55"/>
  <c r="EG29" i="55"/>
  <c r="EG27" i="55"/>
  <c r="IJ228" i="55"/>
  <c r="JU77" i="55"/>
  <c r="JV77" i="55" s="1"/>
  <c r="JO348" i="55"/>
  <c r="JU348" i="55" s="1"/>
  <c r="HM348" i="55"/>
  <c r="DQ8" i="55"/>
  <c r="AT3" i="40" a="1"/>
  <c r="AT3" i="40" s="1"/>
  <c r="GW75" i="55"/>
  <c r="HL47" i="55"/>
  <c r="GK47" i="55"/>
  <c r="GW76" i="55"/>
  <c r="W126" i="55"/>
  <c r="EQ336" i="55"/>
  <c r="EK325" i="55"/>
  <c r="EO231" i="55" a="1"/>
  <c r="EO231" i="55" s="1"/>
  <c r="W231" i="55"/>
  <c r="HL281" i="55"/>
  <c r="GK281" i="55"/>
  <c r="AC21" i="54"/>
  <c r="IJ173" i="55" s="1"/>
  <c r="FE162" i="55"/>
  <c r="FE165" i="55"/>
  <c r="FE174" i="55"/>
  <c r="FE156" i="55"/>
  <c r="FE164" i="55"/>
  <c r="FE175" i="55"/>
  <c r="FE176" i="55"/>
  <c r="FE177" i="55"/>
  <c r="FE178" i="55"/>
  <c r="FE158" i="55"/>
  <c r="FE167" i="55"/>
  <c r="FE169" i="55"/>
  <c r="FE168" i="55"/>
  <c r="FE170" i="55"/>
  <c r="FE154" i="55"/>
  <c r="FE160" i="55"/>
  <c r="FE172" i="55"/>
  <c r="FE179" i="55"/>
  <c r="FE183" i="55"/>
  <c r="FE182" i="55"/>
  <c r="FE163" i="55"/>
  <c r="FE180" i="55"/>
  <c r="FE173" i="55"/>
  <c r="FE155" i="55"/>
  <c r="FE159" i="55"/>
  <c r="FE157" i="55"/>
  <c r="FE166" i="55"/>
  <c r="FE171" i="55"/>
  <c r="FE181" i="55"/>
  <c r="FE161" i="55"/>
  <c r="JU293" i="55"/>
  <c r="JV293" i="55" s="1"/>
  <c r="HQ276" i="55"/>
  <c r="GW199" i="55"/>
  <c r="BS325" i="55"/>
  <c r="IJ247" i="55"/>
  <c r="JO216" i="55"/>
  <c r="JU216" i="55" s="1"/>
  <c r="JV216" i="55" s="1"/>
  <c r="HM216" i="55"/>
  <c r="DR56" i="55" a="1"/>
  <c r="DR56" i="55" s="1"/>
  <c r="DT56" i="55" s="1"/>
  <c r="DU56" i="55"/>
  <c r="HT56" i="55" s="1"/>
  <c r="HQ56" i="55"/>
  <c r="II56" i="55"/>
  <c r="DO297" i="55"/>
  <c r="BA14" i="54"/>
  <c r="AT14" i="54" a="1"/>
  <c r="AT14" i="54" s="1"/>
  <c r="FH11" i="55" s="1"/>
  <c r="X14" i="54"/>
  <c r="BB14" i="54" s="1"/>
  <c r="GW124" i="55"/>
  <c r="HQ55" i="55"/>
  <c r="GL29" i="55"/>
  <c r="FP29" i="55"/>
  <c r="FS29" i="55"/>
  <c r="W38" i="55"/>
  <c r="EO38" i="55" a="1"/>
  <c r="EO38" i="55" s="1"/>
  <c r="JO49" i="55"/>
  <c r="JU49" i="55" s="1"/>
  <c r="DR24" i="55" a="1"/>
  <c r="DR24" i="55" s="1"/>
  <c r="DT24" i="55" s="1"/>
  <c r="DU24" i="55"/>
  <c r="HT24" i="55" s="1"/>
  <c r="II24" i="55"/>
  <c r="IJ24" i="55" s="1"/>
  <c r="JV81" i="55"/>
  <c r="AC15" i="54"/>
  <c r="FE30" i="55"/>
  <c r="FE29" i="55"/>
  <c r="FE26" i="55"/>
  <c r="DR110" i="55" a="1"/>
  <c r="DR110" i="55" s="1"/>
  <c r="DT110" i="55" s="1"/>
  <c r="II110" i="55"/>
  <c r="IJ110" i="55" s="1"/>
  <c r="DU110" i="55"/>
  <c r="HT110" i="55" s="1"/>
  <c r="HQ110" i="55"/>
  <c r="DO286" i="55"/>
  <c r="EO228" i="55" a="1"/>
  <c r="EO228" i="55" s="1"/>
  <c r="W228" i="55"/>
  <c r="DO96" i="55"/>
  <c r="HQ163" i="55"/>
  <c r="GW24" i="55"/>
  <c r="JO110" i="55"/>
  <c r="JU110" i="55" s="1"/>
  <c r="HM110" i="55"/>
  <c r="DR344" i="55" a="1"/>
  <c r="DR344" i="55" s="1"/>
  <c r="DT344" i="55" s="1"/>
  <c r="II344" i="55"/>
  <c r="HQ344" i="55"/>
  <c r="DU344" i="55"/>
  <c r="HT344" i="55" s="1"/>
  <c r="FH301" i="55"/>
  <c r="FH286" i="55"/>
  <c r="FH300" i="55"/>
  <c r="FH306" i="55"/>
  <c r="FH293" i="55"/>
  <c r="FH299" i="55"/>
  <c r="FH287" i="55"/>
  <c r="FH302" i="55"/>
  <c r="FH288" i="55"/>
  <c r="FH289" i="55"/>
  <c r="FH304" i="55"/>
  <c r="FH309" i="55"/>
  <c r="FH305" i="55"/>
  <c r="FH298" i="55"/>
  <c r="FH284" i="55"/>
  <c r="FH290" i="55"/>
  <c r="FH303" i="55"/>
  <c r="FH294" i="55"/>
  <c r="FH296" i="55"/>
  <c r="FH308" i="55"/>
  <c r="FH285" i="55"/>
  <c r="FH307" i="55"/>
  <c r="FH291" i="55"/>
  <c r="FH297" i="55"/>
  <c r="FH295" i="55"/>
  <c r="FH292" i="55"/>
  <c r="DR77" i="55" a="1"/>
  <c r="DR77" i="55" s="1"/>
  <c r="DT77" i="55" s="1"/>
  <c r="II77" i="55"/>
  <c r="DU77" i="55"/>
  <c r="HT77" i="55" s="1"/>
  <c r="JU323" i="55"/>
  <c r="JV323" i="55" s="1"/>
  <c r="GW66" i="55"/>
  <c r="GW145" i="55"/>
  <c r="GW13" i="55"/>
  <c r="GW258" i="55"/>
  <c r="GW128" i="55"/>
  <c r="HM93" i="55"/>
  <c r="GW71" i="55"/>
  <c r="HG3" i="55"/>
  <c r="HQ195" i="55"/>
  <c r="EG158" i="55"/>
  <c r="EG174" i="55"/>
  <c r="EG159" i="55"/>
  <c r="EG175" i="55"/>
  <c r="EG160" i="55"/>
  <c r="EG176" i="55"/>
  <c r="EG162" i="55"/>
  <c r="EG178" i="55"/>
  <c r="EG163" i="55"/>
  <c r="EG183" i="55"/>
  <c r="EG164" i="55"/>
  <c r="EG165" i="55"/>
  <c r="EG166" i="55"/>
  <c r="EG170" i="55"/>
  <c r="EG172" i="55"/>
  <c r="EG173" i="55"/>
  <c r="EG168" i="55"/>
  <c r="EG154" i="55"/>
  <c r="EG155" i="55"/>
  <c r="EG157" i="55"/>
  <c r="EG156" i="55"/>
  <c r="EG161" i="55"/>
  <c r="EG182" i="55"/>
  <c r="EG169" i="55"/>
  <c r="EG171" i="55"/>
  <c r="EG177" i="55"/>
  <c r="EG179" i="55"/>
  <c r="EG180" i="55"/>
  <c r="EG167" i="55"/>
  <c r="EG181" i="55"/>
  <c r="DO249" i="55"/>
  <c r="G249" i="55" s="1"/>
  <c r="DP249" i="55" s="1"/>
  <c r="DQ249" i="55" s="1"/>
  <c r="IJ276" i="55"/>
  <c r="JO84" i="55"/>
  <c r="DO278" i="55"/>
  <c r="G278" i="55" s="1"/>
  <c r="DP278" i="55" s="1"/>
  <c r="DQ278" i="55" s="1"/>
  <c r="DO97" i="55"/>
  <c r="EQ14" i="55"/>
  <c r="BT23" i="54" s="1" a="1"/>
  <c r="BT23" i="54" s="1"/>
  <c r="FW335" i="55"/>
  <c r="EK313" i="55"/>
  <c r="EK17" i="55"/>
  <c r="JO139" i="55"/>
  <c r="JU139" i="55"/>
  <c r="JV139" i="55" s="1"/>
  <c r="EK8" i="55"/>
  <c r="BS102" i="55"/>
  <c r="DR114" i="55" a="1"/>
  <c r="DR114" i="55" s="1"/>
  <c r="DT114" i="55" s="1"/>
  <c r="DU114" i="55"/>
  <c r="HT114" i="55" s="1"/>
  <c r="II114" i="55"/>
  <c r="IJ114" i="55" s="1"/>
  <c r="EQ102" i="55"/>
  <c r="JO100" i="55"/>
  <c r="EQ70" i="55"/>
  <c r="EP70" i="55" a="1"/>
  <c r="EP70" i="55" s="1"/>
  <c r="GW149" i="55"/>
  <c r="EO55" i="55" a="1"/>
  <c r="EO55" i="55" s="1"/>
  <c r="W55" i="55"/>
  <c r="JO274" i="55"/>
  <c r="JO157" i="55"/>
  <c r="HM157" i="55"/>
  <c r="M157" i="55" s="1"/>
  <c r="HN157" i="55" s="1"/>
  <c r="HM213" i="55"/>
  <c r="EO163" i="55" a="1"/>
  <c r="EO163" i="55" s="1"/>
  <c r="W163" i="55"/>
  <c r="JO195" i="55"/>
  <c r="JU195" i="55"/>
  <c r="HM195" i="55"/>
  <c r="GW142" i="55"/>
  <c r="JO164" i="55"/>
  <c r="HM164" i="55"/>
  <c r="GW344" i="55"/>
  <c r="EQ126" i="55"/>
  <c r="EP126" i="55" a="1"/>
  <c r="EP126" i="55" s="1"/>
  <c r="JO60" i="55"/>
  <c r="JU60" i="55"/>
  <c r="EO195" i="55" a="1"/>
  <c r="EO195" i="55" s="1"/>
  <c r="W195" i="55"/>
  <c r="GW10" i="55"/>
  <c r="AB21" i="54"/>
  <c r="EE161" i="55"/>
  <c r="EE177" i="55"/>
  <c r="EE162" i="55"/>
  <c r="EE178" i="55"/>
  <c r="EE163" i="55"/>
  <c r="EE179" i="55"/>
  <c r="EE164" i="55"/>
  <c r="EE180" i="55"/>
  <c r="EE172" i="55"/>
  <c r="EE154" i="55"/>
  <c r="EE174" i="55"/>
  <c r="EE155" i="55"/>
  <c r="EE175" i="55"/>
  <c r="EE170" i="55"/>
  <c r="EE167" i="55"/>
  <c r="EE168" i="55"/>
  <c r="EE169" i="55"/>
  <c r="EE173" i="55"/>
  <c r="EE156" i="55"/>
  <c r="EE157" i="55"/>
  <c r="EE171" i="55"/>
  <c r="EE181" i="55"/>
  <c r="EE182" i="55"/>
  <c r="EE165" i="55"/>
  <c r="EE158" i="55"/>
  <c r="EE159" i="55"/>
  <c r="EE160" i="55"/>
  <c r="EE176" i="55"/>
  <c r="EE183" i="55"/>
  <c r="EE166" i="55"/>
  <c r="FC177" i="55"/>
  <c r="FD177" i="55" s="1"/>
  <c r="HS177" i="55" s="1"/>
  <c r="HU177" i="55" s="1"/>
  <c r="FC160" i="55"/>
  <c r="FD160" i="55" s="1"/>
  <c r="HS160" i="55" s="1"/>
  <c r="HU160" i="55" s="1"/>
  <c r="FC169" i="55"/>
  <c r="FD169" i="55" s="1"/>
  <c r="HS169" i="55" s="1"/>
  <c r="HU169" i="55" s="1"/>
  <c r="FC171" i="55"/>
  <c r="FD171" i="55" s="1"/>
  <c r="HS171" i="55" s="1"/>
  <c r="HU171" i="55" s="1"/>
  <c r="FC166" i="55"/>
  <c r="FD166" i="55" s="1"/>
  <c r="HS166" i="55" s="1"/>
  <c r="HU166" i="55" s="1"/>
  <c r="FC159" i="55"/>
  <c r="FD159" i="55" s="1"/>
  <c r="HS159" i="55" s="1"/>
  <c r="HU159" i="55" s="1"/>
  <c r="FC176" i="55"/>
  <c r="FD176" i="55" s="1"/>
  <c r="HS176" i="55" s="1"/>
  <c r="HU176" i="55" s="1"/>
  <c r="FC161" i="55"/>
  <c r="FD161" i="55" s="1"/>
  <c r="HS161" i="55" s="1"/>
  <c r="HU161" i="55" s="1"/>
  <c r="FC181" i="55"/>
  <c r="FD181" i="55" s="1"/>
  <c r="HS181" i="55" s="1"/>
  <c r="HU181" i="55" s="1"/>
  <c r="FC175" i="55"/>
  <c r="FD175" i="55" s="1"/>
  <c r="HS175" i="55" s="1"/>
  <c r="HU175" i="55" s="1"/>
  <c r="FC168" i="55"/>
  <c r="FD168" i="55" s="1"/>
  <c r="HS168" i="55" s="1"/>
  <c r="HU168" i="55" s="1"/>
  <c r="FC174" i="55"/>
  <c r="FD174" i="55" s="1"/>
  <c r="HS174" i="55" s="1"/>
  <c r="HU174" i="55" s="1"/>
  <c r="FC167" i="55"/>
  <c r="FD167" i="55" s="1"/>
  <c r="HS167" i="55" s="1"/>
  <c r="HU167" i="55" s="1"/>
  <c r="FC172" i="55"/>
  <c r="FD172" i="55" s="1"/>
  <c r="HS172" i="55" s="1"/>
  <c r="HU172" i="55" s="1"/>
  <c r="FC173" i="55"/>
  <c r="FD173" i="55" s="1"/>
  <c r="HS173" i="55" s="1"/>
  <c r="HU173" i="55" s="1"/>
  <c r="FC156" i="55"/>
  <c r="FD156" i="55" s="1"/>
  <c r="HS156" i="55" s="1"/>
  <c r="HU156" i="55" s="1"/>
  <c r="FC155" i="55"/>
  <c r="FD155" i="55" s="1"/>
  <c r="HS155" i="55" s="1"/>
  <c r="HU155" i="55" s="1"/>
  <c r="FC157" i="55"/>
  <c r="FD157" i="55" s="1"/>
  <c r="HS157" i="55" s="1"/>
  <c r="HU157" i="55" s="1"/>
  <c r="FC180" i="55"/>
  <c r="FD180" i="55" s="1"/>
  <c r="HS180" i="55" s="1"/>
  <c r="HU180" i="55" s="1"/>
  <c r="FC183" i="55"/>
  <c r="FD183" i="55" s="1"/>
  <c r="HS183" i="55" s="1"/>
  <c r="HU183" i="55" s="1"/>
  <c r="FC158" i="55"/>
  <c r="FD158" i="55" s="1"/>
  <c r="HS158" i="55" s="1"/>
  <c r="HU158" i="55" s="1"/>
  <c r="FC165" i="55"/>
  <c r="FD165" i="55" s="1"/>
  <c r="HS165" i="55" s="1"/>
  <c r="HU165" i="55" s="1"/>
  <c r="FC178" i="55"/>
  <c r="FD178" i="55" s="1"/>
  <c r="HS178" i="55" s="1"/>
  <c r="HU178" i="55" s="1"/>
  <c r="FC170" i="55"/>
  <c r="FD170" i="55" s="1"/>
  <c r="HS170" i="55" s="1"/>
  <c r="HU170" i="55" s="1"/>
  <c r="FC179" i="55"/>
  <c r="FD179" i="55" s="1"/>
  <c r="HS179" i="55" s="1"/>
  <c r="HU179" i="55" s="1"/>
  <c r="FC162" i="55"/>
  <c r="FD162" i="55" s="1"/>
  <c r="HS162" i="55" s="1"/>
  <c r="HU162" i="55" s="1"/>
  <c r="FC163" i="55"/>
  <c r="FD163" i="55" s="1"/>
  <c r="HS163" i="55" s="1"/>
  <c r="HU163" i="55" s="1"/>
  <c r="FC164" i="55"/>
  <c r="FD164" i="55" s="1"/>
  <c r="HS164" i="55" s="1"/>
  <c r="HU164" i="55" s="1"/>
  <c r="FC182" i="55"/>
  <c r="FD182" i="55" s="1"/>
  <c r="HS182" i="55" s="1"/>
  <c r="HU182" i="55" s="1"/>
  <c r="W175" i="55"/>
  <c r="W176" i="55"/>
  <c r="W169" i="55"/>
  <c r="W181" i="55"/>
  <c r="EK330" i="55"/>
  <c r="FW224" i="55"/>
  <c r="W276" i="55"/>
  <c r="EO276" i="55" a="1"/>
  <c r="EO276" i="55" s="1"/>
  <c r="EQ20" i="55"/>
  <c r="BT30" i="54" s="1" a="1"/>
  <c r="BT30" i="54" s="1"/>
  <c r="W14" i="55"/>
  <c r="EO247" i="55" a="1"/>
  <c r="EO247" i="55" s="1"/>
  <c r="W247" i="55"/>
  <c r="DO319" i="55"/>
  <c r="EK16" i="55"/>
  <c r="CE224" i="55" a="1"/>
  <c r="CE224" i="55" s="1"/>
  <c r="CE14" i="55" a="1"/>
  <c r="CE14" i="55" s="1"/>
  <c r="W10" i="42"/>
  <c r="X412" i="42" s="1"/>
  <c r="W248" i="55"/>
  <c r="EO248" i="55" a="1"/>
  <c r="EO248" i="55" s="1"/>
  <c r="GV4" i="55"/>
  <c r="GW210" i="55"/>
  <c r="DO182" i="55"/>
  <c r="W23" i="55"/>
  <c r="EO23" i="55" a="1"/>
  <c r="EO23" i="55" s="1"/>
  <c r="EO192" i="55" a="1"/>
  <c r="EO192" i="55" s="1"/>
  <c r="W192" i="55"/>
  <c r="DO134" i="55"/>
  <c r="G134" i="55" s="1"/>
  <c r="DP134" i="55" s="1"/>
  <c r="DQ134" i="55" s="1"/>
  <c r="FS15" i="55"/>
  <c r="DO275" i="55"/>
  <c r="G275" i="55" s="1"/>
  <c r="DP275" i="55" s="1"/>
  <c r="DQ275" i="55" s="1"/>
  <c r="EQ71" i="55"/>
  <c r="EP71" i="55" a="1"/>
  <c r="EP71" i="55" s="1"/>
  <c r="GW65" i="55"/>
  <c r="JU218" i="55"/>
  <c r="JV218" i="55" s="1"/>
  <c r="JV199" i="55"/>
  <c r="DO185" i="55"/>
  <c r="G185" i="55" s="1"/>
  <c r="DP185" i="55" s="1"/>
  <c r="DQ185" i="55" s="1"/>
  <c r="JU86" i="55"/>
  <c r="JV86" i="55" s="1"/>
  <c r="W164" i="55"/>
  <c r="HM109" i="55"/>
  <c r="W162" i="55"/>
  <c r="EQ39" i="55"/>
  <c r="EP39" i="55" a="1"/>
  <c r="EP39" i="55" s="1"/>
  <c r="JO24" i="55"/>
  <c r="JU24" i="55" s="1"/>
  <c r="JV24" i="55" s="1"/>
  <c r="EQ53" i="55"/>
  <c r="AC17" i="54"/>
  <c r="IJ58" i="55" s="1"/>
  <c r="FE82" i="55"/>
  <c r="FE62" i="55"/>
  <c r="FE63" i="55"/>
  <c r="FE64" i="55"/>
  <c r="FE66" i="55"/>
  <c r="FE68" i="55"/>
  <c r="FE74" i="55"/>
  <c r="FE78" i="55"/>
  <c r="FE65" i="55"/>
  <c r="FE67" i="55"/>
  <c r="FE69" i="55"/>
  <c r="FE80" i="55"/>
  <c r="FE57" i="55"/>
  <c r="FE81" i="55"/>
  <c r="FE70" i="55"/>
  <c r="FE87" i="55"/>
  <c r="FE73" i="55"/>
  <c r="FE75" i="55"/>
  <c r="FE59" i="55"/>
  <c r="FE85" i="55"/>
  <c r="FE58" i="55"/>
  <c r="FE76" i="55"/>
  <c r="FE84" i="55"/>
  <c r="FE72" i="55"/>
  <c r="FE71" i="55"/>
  <c r="FE53" i="55"/>
  <c r="FE54" i="55"/>
  <c r="FE77" i="55"/>
  <c r="FE79" i="55"/>
  <c r="FE61" i="55"/>
  <c r="FE56" i="55"/>
  <c r="FE86" i="55"/>
  <c r="FE83" i="55"/>
  <c r="FE55" i="55"/>
  <c r="FE60" i="55"/>
  <c r="JC178" i="55"/>
  <c r="GV178" i="55"/>
  <c r="GU178" i="55"/>
  <c r="IJ153" i="55"/>
  <c r="EO302" i="55" a="1"/>
  <c r="EO302" i="55" s="1"/>
  <c r="W302" i="55"/>
  <c r="GW196" i="55"/>
  <c r="IJ236" i="55"/>
  <c r="JO190" i="55"/>
  <c r="JU190" i="55" s="1"/>
  <c r="HM190" i="55"/>
  <c r="M190" i="55" s="1"/>
  <c r="HN190" i="55" s="1"/>
  <c r="JO6" i="55"/>
  <c r="DR9" i="55" a="1"/>
  <c r="DR9" i="55" s="1"/>
  <c r="DT9" i="55" s="1"/>
  <c r="DU9" i="55"/>
  <c r="HT9" i="55" s="1"/>
  <c r="II9" i="55"/>
  <c r="IJ9" i="55" s="1"/>
  <c r="JU165" i="55"/>
  <c r="JV165" i="55" s="1"/>
  <c r="DO270" i="55"/>
  <c r="G270" i="55" s="1"/>
  <c r="DP270" i="55" s="1"/>
  <c r="DQ270" i="55" s="1"/>
  <c r="JO259" i="55"/>
  <c r="JU259" i="55" s="1"/>
  <c r="JO191" i="55"/>
  <c r="JU191" i="55" s="1"/>
  <c r="HM191" i="55"/>
  <c r="M191" i="55" s="1"/>
  <c r="HN191" i="55" s="1"/>
  <c r="EO196" i="55" a="1"/>
  <c r="EO196" i="55" s="1"/>
  <c r="W196" i="55"/>
  <c r="DR170" i="55" a="1"/>
  <c r="DR170" i="55" s="1"/>
  <c r="DT170" i="55" s="1"/>
  <c r="DU170" i="55"/>
  <c r="HT170" i="55" s="1"/>
  <c r="II170" i="55"/>
  <c r="HQ170" i="55"/>
  <c r="HM177" i="55"/>
  <c r="JC168" i="55"/>
  <c r="GU168" i="55"/>
  <c r="GV168" i="55"/>
  <c r="JC207" i="55"/>
  <c r="GU207" i="55"/>
  <c r="GV207" i="55"/>
  <c r="JO166" i="55"/>
  <c r="HM166" i="55"/>
  <c r="DO209" i="55"/>
  <c r="G209" i="55" s="1"/>
  <c r="DP209" i="55" s="1"/>
  <c r="DQ209" i="55" s="1"/>
  <c r="JO347" i="55"/>
  <c r="HM347" i="55"/>
  <c r="JU347" i="55"/>
  <c r="AC3" i="56" a="1"/>
  <c r="AC3" i="56" s="1"/>
  <c r="F53" i="56" s="1" a="1"/>
  <c r="F53" i="56" s="1"/>
  <c r="AD3" i="56" a="1"/>
  <c r="AD3" i="56" s="1"/>
  <c r="H53" i="56" s="1" a="1"/>
  <c r="H53" i="56" s="1"/>
  <c r="JU135" i="55"/>
  <c r="JV135" i="55" s="1"/>
  <c r="GW259" i="55"/>
  <c r="DR142" i="55" a="1"/>
  <c r="DR142" i="55" s="1"/>
  <c r="DT142" i="55" s="1"/>
  <c r="DU142" i="55"/>
  <c r="HT142" i="55" s="1"/>
  <c r="II142" i="55"/>
  <c r="IJ142" i="55" s="1"/>
  <c r="DR95" i="55" a="1"/>
  <c r="DR95" i="55" s="1"/>
  <c r="DT95" i="55" s="1"/>
  <c r="DU95" i="55"/>
  <c r="HT95" i="55" s="1"/>
  <c r="II95" i="55"/>
  <c r="JU116" i="55"/>
  <c r="JV116" i="55" s="1"/>
  <c r="BS130" i="55"/>
  <c r="JV178" i="55"/>
  <c r="JO231" i="55"/>
  <c r="JU231" i="55" s="1"/>
  <c r="HM231" i="55"/>
  <c r="M231" i="55" s="1"/>
  <c r="HN231" i="55" s="1"/>
  <c r="HQ63" i="55"/>
  <c r="GW251" i="55"/>
  <c r="DO260" i="55"/>
  <c r="G260" i="55" s="1"/>
  <c r="DP260" i="55" s="1"/>
  <c r="DQ260" i="55" s="1"/>
  <c r="JV93" i="55"/>
  <c r="FW31" i="55"/>
  <c r="EK88" i="55"/>
  <c r="GW235" i="55"/>
  <c r="BD22" i="54"/>
  <c r="BE22" i="54"/>
  <c r="BC22" i="54"/>
  <c r="FW184" i="55"/>
  <c r="EO143" i="55" a="1"/>
  <c r="EO143" i="55" s="1"/>
  <c r="EK19" i="55"/>
  <c r="DO64" i="55"/>
  <c r="DR159" i="55" a="1"/>
  <c r="DR159" i="55" s="1"/>
  <c r="DT159" i="55" s="1"/>
  <c r="DU159" i="55"/>
  <c r="HT159" i="55" s="1"/>
  <c r="II159" i="55"/>
  <c r="IJ159" i="55" s="1"/>
  <c r="HQ159" i="55"/>
  <c r="DO108" i="55"/>
  <c r="HQ213" i="55"/>
  <c r="JO160" i="55"/>
  <c r="JU160" i="55"/>
  <c r="HM160" i="55"/>
  <c r="M160" i="55" s="1"/>
  <c r="HN160" i="55" s="1"/>
  <c r="DO218" i="55"/>
  <c r="G218" i="55" s="1"/>
  <c r="DP218" i="55" s="1"/>
  <c r="DQ218" i="55" s="1"/>
  <c r="DR347" i="55" a="1"/>
  <c r="DR347" i="55" s="1"/>
  <c r="DT347" i="55" s="1"/>
  <c r="DU347" i="55"/>
  <c r="HT347" i="55" s="1"/>
  <c r="II347" i="55"/>
  <c r="IJ347" i="55" s="1"/>
  <c r="W166" i="55"/>
  <c r="HQ296" i="55"/>
  <c r="CE4" i="55" a="1"/>
  <c r="CE4" i="55" s="1"/>
  <c r="CE3" i="55" a="1"/>
  <c r="CE3" i="55" s="1"/>
  <c r="GK272" i="55"/>
  <c r="HL272" i="55"/>
  <c r="EO83" i="55" a="1"/>
  <c r="EO83" i="55" s="1"/>
  <c r="W83" i="55"/>
  <c r="DR224" i="55" a="1"/>
  <c r="DR224" i="55" s="1"/>
  <c r="DT224" i="55" s="1"/>
  <c r="DU224" i="55"/>
  <c r="HT224" i="55" s="1"/>
  <c r="II224" i="55"/>
  <c r="IJ224" i="55" s="1"/>
  <c r="DR109" i="55" a="1"/>
  <c r="DR109" i="55" s="1"/>
  <c r="DT109" i="55" s="1"/>
  <c r="II109" i="55"/>
  <c r="IJ109" i="55" s="1"/>
  <c r="DU109" i="55"/>
  <c r="HT109" i="55" s="1"/>
  <c r="EO243" i="55" a="1"/>
  <c r="EO243" i="55" s="1"/>
  <c r="W243" i="55"/>
  <c r="GK292" i="55"/>
  <c r="HL292" i="55"/>
  <c r="AG33" i="42"/>
  <c r="AH33" i="42" s="1"/>
  <c r="M36" i="16"/>
  <c r="EG110" i="55"/>
  <c r="EG126" i="55"/>
  <c r="EG111" i="55"/>
  <c r="EG127" i="55"/>
  <c r="EG112" i="55"/>
  <c r="EG128" i="55"/>
  <c r="EG114" i="55"/>
  <c r="EG119" i="55"/>
  <c r="EG120" i="55"/>
  <c r="EG121" i="55"/>
  <c r="EG102" i="55"/>
  <c r="EG122" i="55"/>
  <c r="EG113" i="55"/>
  <c r="EG116" i="55"/>
  <c r="EG117" i="55"/>
  <c r="EG108" i="55"/>
  <c r="EG115" i="55"/>
  <c r="EG118" i="55"/>
  <c r="EG123" i="55"/>
  <c r="EG125" i="55"/>
  <c r="EG103" i="55"/>
  <c r="EG107" i="55"/>
  <c r="EG109" i="55"/>
  <c r="EG124" i="55"/>
  <c r="EG106" i="55"/>
  <c r="EG104" i="55"/>
  <c r="EG105" i="55"/>
  <c r="EG129" i="55"/>
  <c r="JO172" i="55"/>
  <c r="JU172" i="55" s="1"/>
  <c r="HM172" i="55"/>
  <c r="JC160" i="55"/>
  <c r="GV160" i="55"/>
  <c r="GW160" i="55" s="1"/>
  <c r="GU160" i="55"/>
  <c r="BS335" i="55"/>
  <c r="JU76" i="55"/>
  <c r="JV76" i="55" s="1"/>
  <c r="DR187" i="55" a="1"/>
  <c r="DR187" i="55" s="1"/>
  <c r="DT187" i="55" s="1"/>
  <c r="DU187" i="55"/>
  <c r="HT187" i="55" s="1"/>
  <c r="II187" i="55"/>
  <c r="HQ187" i="55"/>
  <c r="AB17" i="54"/>
  <c r="EE66" i="55"/>
  <c r="EE82" i="55"/>
  <c r="EE67" i="55"/>
  <c r="EE83" i="55"/>
  <c r="EE68" i="55"/>
  <c r="EE84" i="55"/>
  <c r="EE54" i="55"/>
  <c r="EE70" i="55"/>
  <c r="EE86" i="55"/>
  <c r="EE59" i="55"/>
  <c r="EE79" i="55"/>
  <c r="EE60" i="55"/>
  <c r="EE80" i="55"/>
  <c r="EE61" i="55"/>
  <c r="EE81" i="55"/>
  <c r="EE62" i="55"/>
  <c r="EE85" i="55"/>
  <c r="EE69" i="55"/>
  <c r="EE72" i="55"/>
  <c r="EE73" i="55"/>
  <c r="EE64" i="55"/>
  <c r="EE57" i="55"/>
  <c r="EE58" i="55"/>
  <c r="EE63" i="55"/>
  <c r="EE71" i="55"/>
  <c r="EE53" i="55"/>
  <c r="EE55" i="55"/>
  <c r="EE56" i="55"/>
  <c r="EE65" i="55"/>
  <c r="EE75" i="55"/>
  <c r="EE76" i="55"/>
  <c r="EE77" i="55"/>
  <c r="EE78" i="55"/>
  <c r="EE87" i="55"/>
  <c r="EE74" i="55"/>
  <c r="FC70" i="55"/>
  <c r="FD70" i="55" s="1"/>
  <c r="HS70" i="55" s="1"/>
  <c r="HU70" i="55" s="1"/>
  <c r="FC54" i="55"/>
  <c r="FD54" i="55" s="1"/>
  <c r="HS54" i="55" s="1"/>
  <c r="HU54" i="55" s="1"/>
  <c r="FC57" i="55"/>
  <c r="FD57" i="55" s="1"/>
  <c r="HS57" i="55" s="1"/>
  <c r="HU57" i="55" s="1"/>
  <c r="FC79" i="55"/>
  <c r="FD79" i="55" s="1"/>
  <c r="HS79" i="55" s="1"/>
  <c r="HU79" i="55" s="1"/>
  <c r="FC71" i="55"/>
  <c r="FD71" i="55" s="1"/>
  <c r="HS71" i="55" s="1"/>
  <c r="HU71" i="55" s="1"/>
  <c r="FC62" i="55"/>
  <c r="FD62" i="55" s="1"/>
  <c r="HS62" i="55" s="1"/>
  <c r="HU62" i="55" s="1"/>
  <c r="FC59" i="55"/>
  <c r="FD59" i="55" s="1"/>
  <c r="HS59" i="55" s="1"/>
  <c r="HU59" i="55" s="1"/>
  <c r="FC65" i="55"/>
  <c r="FD65" i="55" s="1"/>
  <c r="HS65" i="55" s="1"/>
  <c r="HU65" i="55" s="1"/>
  <c r="FC64" i="55"/>
  <c r="FD64" i="55" s="1"/>
  <c r="HS64" i="55" s="1"/>
  <c r="HU64" i="55" s="1"/>
  <c r="FC69" i="55"/>
  <c r="FD69" i="55" s="1"/>
  <c r="HS69" i="55" s="1"/>
  <c r="HU69" i="55" s="1"/>
  <c r="FC87" i="55"/>
  <c r="FD87" i="55" s="1"/>
  <c r="HS87" i="55" s="1"/>
  <c r="HU87" i="55" s="1"/>
  <c r="FC81" i="55"/>
  <c r="FD81" i="55" s="1"/>
  <c r="HS81" i="55" s="1"/>
  <c r="HU81" i="55" s="1"/>
  <c r="FC85" i="55"/>
  <c r="FD85" i="55" s="1"/>
  <c r="HS85" i="55" s="1"/>
  <c r="HU85" i="55" s="1"/>
  <c r="FC56" i="55"/>
  <c r="FD56" i="55" s="1"/>
  <c r="HS56" i="55" s="1"/>
  <c r="HU56" i="55" s="1"/>
  <c r="FC77" i="55"/>
  <c r="FD77" i="55" s="1"/>
  <c r="HS77" i="55" s="1"/>
  <c r="HU77" i="55" s="1"/>
  <c r="FC72" i="55"/>
  <c r="FD72" i="55" s="1"/>
  <c r="HS72" i="55" s="1"/>
  <c r="HU72" i="55" s="1"/>
  <c r="FC74" i="55"/>
  <c r="FD74" i="55" s="1"/>
  <c r="HS74" i="55" s="1"/>
  <c r="HU74" i="55" s="1"/>
  <c r="FC73" i="55"/>
  <c r="FD73" i="55" s="1"/>
  <c r="HS73" i="55" s="1"/>
  <c r="HU73" i="55" s="1"/>
  <c r="FC84" i="55"/>
  <c r="FD84" i="55" s="1"/>
  <c r="HS84" i="55" s="1"/>
  <c r="HU84" i="55" s="1"/>
  <c r="FC75" i="55"/>
  <c r="FD75" i="55" s="1"/>
  <c r="HS75" i="55" s="1"/>
  <c r="HU75" i="55" s="1"/>
  <c r="FC63" i="55"/>
  <c r="FD63" i="55" s="1"/>
  <c r="HS63" i="55" s="1"/>
  <c r="HU63" i="55" s="1"/>
  <c r="FC53" i="55"/>
  <c r="FD53" i="55" s="1"/>
  <c r="HS53" i="55" s="1"/>
  <c r="HU53" i="55" s="1"/>
  <c r="FC78" i="55"/>
  <c r="FD78" i="55" s="1"/>
  <c r="HS78" i="55" s="1"/>
  <c r="HU78" i="55" s="1"/>
  <c r="FC76" i="55"/>
  <c r="FD76" i="55" s="1"/>
  <c r="HS76" i="55" s="1"/>
  <c r="HU76" i="55" s="1"/>
  <c r="FC68" i="55"/>
  <c r="FD68" i="55" s="1"/>
  <c r="HS68" i="55" s="1"/>
  <c r="HU68" i="55" s="1"/>
  <c r="FC58" i="55"/>
  <c r="FD58" i="55" s="1"/>
  <c r="HS58" i="55" s="1"/>
  <c r="HU58" i="55" s="1"/>
  <c r="FC60" i="55"/>
  <c r="FD60" i="55" s="1"/>
  <c r="HS60" i="55" s="1"/>
  <c r="HU60" i="55" s="1"/>
  <c r="FC86" i="55"/>
  <c r="FD86" i="55" s="1"/>
  <c r="HS86" i="55" s="1"/>
  <c r="HU86" i="55" s="1"/>
  <c r="FC83" i="55"/>
  <c r="FD83" i="55" s="1"/>
  <c r="HS83" i="55" s="1"/>
  <c r="HU83" i="55" s="1"/>
  <c r="FC66" i="55"/>
  <c r="FD66" i="55" s="1"/>
  <c r="HS66" i="55" s="1"/>
  <c r="HU66" i="55" s="1"/>
  <c r="FC80" i="55"/>
  <c r="FD80" i="55" s="1"/>
  <c r="HS80" i="55" s="1"/>
  <c r="HU80" i="55" s="1"/>
  <c r="FC67" i="55"/>
  <c r="FD67" i="55" s="1"/>
  <c r="HS67" i="55" s="1"/>
  <c r="HU67" i="55" s="1"/>
  <c r="FC55" i="55"/>
  <c r="FD55" i="55" s="1"/>
  <c r="HS55" i="55" s="1"/>
  <c r="HU55" i="55" s="1"/>
  <c r="FC61" i="55"/>
  <c r="FD61" i="55" s="1"/>
  <c r="HS61" i="55" s="1"/>
  <c r="HU61" i="55" s="1"/>
  <c r="FC82" i="55"/>
  <c r="FD82" i="55" s="1"/>
  <c r="HS82" i="55" s="1"/>
  <c r="HU82" i="55" s="1"/>
  <c r="W75" i="55"/>
  <c r="W76" i="55"/>
  <c r="W73" i="55"/>
  <c r="W93" i="55"/>
  <c r="EO93" i="55" a="1"/>
  <c r="EO93" i="55" s="1"/>
  <c r="DR219" i="55" a="1"/>
  <c r="DR219" i="55" s="1"/>
  <c r="DT219" i="55" s="1"/>
  <c r="II219" i="55"/>
  <c r="IJ219" i="55" s="1"/>
  <c r="DU219" i="55"/>
  <c r="HT219" i="55" s="1"/>
  <c r="DR189" i="55" a="1"/>
  <c r="DR189" i="55" s="1"/>
  <c r="DT189" i="55" s="1"/>
  <c r="II189" i="55"/>
  <c r="DU189" i="55"/>
  <c r="HT189" i="55" s="1"/>
  <c r="JO333" i="55"/>
  <c r="HM333" i="55"/>
  <c r="M333" i="55" s="1"/>
  <c r="HN333" i="55" s="1"/>
  <c r="DR160" i="55" a="1"/>
  <c r="DR160" i="55" s="1"/>
  <c r="DT160" i="55" s="1"/>
  <c r="II160" i="55"/>
  <c r="IJ160" i="55" s="1"/>
  <c r="DU160" i="55"/>
  <c r="HT160" i="55" s="1"/>
  <c r="JC209" i="55"/>
  <c r="GU209" i="55"/>
  <c r="GV209" i="55"/>
  <c r="GW209" i="55" s="1"/>
  <c r="DR191" i="55" a="1"/>
  <c r="DR191" i="55" s="1"/>
  <c r="DT191" i="55" s="1"/>
  <c r="DU191" i="55"/>
  <c r="HT191" i="55" s="1"/>
  <c r="II191" i="55"/>
  <c r="GW217" i="55"/>
  <c r="DR305" i="55" a="1"/>
  <c r="DR305" i="55" s="1"/>
  <c r="DT305" i="55" s="1"/>
  <c r="II305" i="55"/>
  <c r="IJ305" i="55" s="1"/>
  <c r="DU305" i="55"/>
  <c r="HT305" i="55" s="1"/>
  <c r="JO146" i="55"/>
  <c r="DR322" i="55" a="1"/>
  <c r="DR322" i="55" s="1"/>
  <c r="DT322" i="55" s="1"/>
  <c r="II322" i="55"/>
  <c r="IJ322" i="55" s="1"/>
  <c r="DU322" i="55"/>
  <c r="HT322" i="55" s="1"/>
  <c r="DR81" i="55" a="1"/>
  <c r="DR81" i="55" s="1"/>
  <c r="DT81" i="55" s="1"/>
  <c r="DU81" i="55"/>
  <c r="HT81" i="55" s="1"/>
  <c r="II81" i="55"/>
  <c r="IJ81" i="55" s="1"/>
  <c r="HQ81" i="55"/>
  <c r="DR178" i="55" a="1"/>
  <c r="DR178" i="55" s="1"/>
  <c r="DT178" i="55" s="1"/>
  <c r="DU178" i="55"/>
  <c r="HT178" i="55" s="1"/>
  <c r="HQ178" i="55"/>
  <c r="II178" i="55"/>
  <c r="X10" i="42"/>
  <c r="W11" i="42"/>
  <c r="X277" i="42" s="1"/>
  <c r="X370" i="42"/>
  <c r="X173" i="42"/>
  <c r="X177" i="42"/>
  <c r="AC88" i="42"/>
  <c r="AA27" i="42"/>
  <c r="AB9" i="42" s="1"/>
  <c r="AD11" i="42"/>
  <c r="Y17" i="42"/>
  <c r="Y18" i="42" s="1"/>
  <c r="Z8" i="42"/>
  <c r="DT254" i="55" l="1"/>
  <c r="HQ254" i="55"/>
  <c r="HM144" i="55"/>
  <c r="JV96" i="55"/>
  <c r="HM152" i="55"/>
  <c r="HM148" i="55"/>
  <c r="HM115" i="55"/>
  <c r="HQ91" i="55"/>
  <c r="HQ201" i="55"/>
  <c r="IJ258" i="55"/>
  <c r="HM146" i="55"/>
  <c r="HQ347" i="55"/>
  <c r="JV45" i="55"/>
  <c r="Y22" i="54"/>
  <c r="HQ189" i="55"/>
  <c r="HQ109" i="55"/>
  <c r="HQ95" i="55"/>
  <c r="HM60" i="55"/>
  <c r="IJ238" i="55"/>
  <c r="IJ271" i="55"/>
  <c r="IJ252" i="55"/>
  <c r="IJ259" i="55"/>
  <c r="IJ240" i="55"/>
  <c r="IJ231" i="55"/>
  <c r="HQ172" i="55"/>
  <c r="HQ207" i="55"/>
  <c r="HM73" i="55"/>
  <c r="M73" i="55" s="1"/>
  <c r="HN73" i="55" s="1"/>
  <c r="HQ273" i="55"/>
  <c r="JV327" i="55"/>
  <c r="GV33" i="55"/>
  <c r="GW33" i="55" s="1"/>
  <c r="GU34" i="55"/>
  <c r="HQ179" i="55"/>
  <c r="IJ225" i="55"/>
  <c r="HQ68" i="55"/>
  <c r="DU254" i="55"/>
  <c r="HT254" i="55" s="1"/>
  <c r="HM84" i="55"/>
  <c r="M84" i="55" s="1"/>
  <c r="HN84" i="55" s="1"/>
  <c r="IJ272" i="55"/>
  <c r="IJ273" i="55"/>
  <c r="HQ127" i="55"/>
  <c r="HQ314" i="55"/>
  <c r="HQ74" i="55"/>
  <c r="HQ182" i="55"/>
  <c r="IJ266" i="55"/>
  <c r="HQ191" i="55"/>
  <c r="JV160" i="55"/>
  <c r="HQ235" i="55"/>
  <c r="HQ255" i="55"/>
  <c r="IJ113" i="55"/>
  <c r="IJ277" i="55"/>
  <c r="IJ281" i="55"/>
  <c r="DR44" i="55" a="1"/>
  <c r="DR44" i="55" s="1"/>
  <c r="DT44" i="55" s="1"/>
  <c r="HQ141" i="55"/>
  <c r="HQ269" i="55"/>
  <c r="HQ151" i="55"/>
  <c r="HQ113" i="55"/>
  <c r="HQ61" i="55"/>
  <c r="HQ320" i="55"/>
  <c r="HQ59" i="55"/>
  <c r="IJ269" i="55"/>
  <c r="HQ97" i="55"/>
  <c r="HQ132" i="55"/>
  <c r="JU261" i="55"/>
  <c r="JV261" i="55" s="1"/>
  <c r="HM57" i="55"/>
  <c r="IJ264" i="55"/>
  <c r="HM128" i="55"/>
  <c r="HQ82" i="55"/>
  <c r="HQ27" i="55"/>
  <c r="W255" i="55"/>
  <c r="HQ329" i="55"/>
  <c r="HQ328" i="55"/>
  <c r="HQ223" i="55"/>
  <c r="HQ246" i="55"/>
  <c r="HM58" i="55"/>
  <c r="M58" i="55" s="1"/>
  <c r="HN58" i="55" s="1"/>
  <c r="HQ67" i="55"/>
  <c r="IJ50" i="55"/>
  <c r="HQ352" i="55"/>
  <c r="IJ242" i="55"/>
  <c r="HQ199" i="55"/>
  <c r="DU138" i="55"/>
  <c r="HT138" i="55" s="1"/>
  <c r="HQ48" i="55"/>
  <c r="DT43" i="55"/>
  <c r="HQ43" i="55" s="1"/>
  <c r="DT33" i="55"/>
  <c r="HQ33" i="55" s="1"/>
  <c r="DT148" i="55"/>
  <c r="HQ148" i="55"/>
  <c r="DT138" i="55"/>
  <c r="HQ138" i="55" s="1"/>
  <c r="JV172" i="55"/>
  <c r="HQ30" i="55"/>
  <c r="JU66" i="55"/>
  <c r="JV66" i="55" s="1"/>
  <c r="HQ222" i="55"/>
  <c r="HQ57" i="55"/>
  <c r="JV60" i="55"/>
  <c r="JV231" i="55"/>
  <c r="W139" i="55"/>
  <c r="HM247" i="55"/>
  <c r="IJ314" i="55"/>
  <c r="IJ189" i="55"/>
  <c r="IJ163" i="55"/>
  <c r="HM236" i="55"/>
  <c r="IJ320" i="55"/>
  <c r="HQ301" i="55"/>
  <c r="HQ46" i="55"/>
  <c r="HQ137" i="55"/>
  <c r="HQ87" i="55"/>
  <c r="IJ192" i="55"/>
  <c r="IJ77" i="55"/>
  <c r="JV103" i="55"/>
  <c r="IJ211" i="55"/>
  <c r="JU108" i="55"/>
  <c r="JV108" i="55" s="1"/>
  <c r="HM52" i="55"/>
  <c r="M52" i="55" s="1"/>
  <c r="HN52" i="55" s="1"/>
  <c r="IL52" i="55" s="1"/>
  <c r="IM52" i="55" s="1"/>
  <c r="IV52" i="55" s="1" a="1"/>
  <c r="IV52" i="55" s="1"/>
  <c r="IW52" i="55" s="1"/>
  <c r="IJ191" i="55"/>
  <c r="IJ187" i="55"/>
  <c r="JV347" i="55"/>
  <c r="JV226" i="55"/>
  <c r="IJ205" i="55"/>
  <c r="IJ74" i="55"/>
  <c r="IJ214" i="55"/>
  <c r="JV75" i="55"/>
  <c r="JV78" i="55"/>
  <c r="DU148" i="55"/>
  <c r="HT148" i="55" s="1"/>
  <c r="W148" i="55" s="1"/>
  <c r="EO22" i="55" a="1"/>
  <c r="EO22" i="55" s="1"/>
  <c r="W22" i="55"/>
  <c r="HM323" i="55"/>
  <c r="M323" i="55" s="1"/>
  <c r="HN323" i="55" s="1"/>
  <c r="IJ56" i="55"/>
  <c r="IJ306" i="55"/>
  <c r="HM122" i="55"/>
  <c r="M122" i="55" s="1"/>
  <c r="HN122" i="55" s="1"/>
  <c r="JV95" i="55"/>
  <c r="JV297" i="55"/>
  <c r="HQ51" i="55"/>
  <c r="JV191" i="55"/>
  <c r="W264" i="55"/>
  <c r="HM126" i="55"/>
  <c r="X447" i="42"/>
  <c r="X498" i="42"/>
  <c r="HM178" i="55"/>
  <c r="HM151" i="55"/>
  <c r="M151" i="55" s="1"/>
  <c r="HN151" i="55" s="1"/>
  <c r="IJ195" i="55"/>
  <c r="JU326" i="55"/>
  <c r="JV326" i="55" s="1"/>
  <c r="JV120" i="55"/>
  <c r="IJ321" i="55"/>
  <c r="IJ324" i="55"/>
  <c r="JV158" i="55"/>
  <c r="HM259" i="55"/>
  <c r="JV195" i="55"/>
  <c r="HQ114" i="55"/>
  <c r="HM49" i="55"/>
  <c r="M49" i="55" s="1"/>
  <c r="HN49" i="55" s="1"/>
  <c r="IL49" i="55" s="1"/>
  <c r="IM49" i="55" s="1"/>
  <c r="IP49" i="55" s="1" a="1"/>
  <c r="IP49" i="55" s="1"/>
  <c r="IQ49" i="55" s="1"/>
  <c r="HM176" i="55"/>
  <c r="DU33" i="55"/>
  <c r="HT33" i="55" s="1"/>
  <c r="DU203" i="55"/>
  <c r="HT203" i="55" s="1"/>
  <c r="HQ104" i="55"/>
  <c r="HQ135" i="55"/>
  <c r="HQ115" i="55"/>
  <c r="II138" i="55"/>
  <c r="IJ138" i="55" s="1"/>
  <c r="DU144" i="55"/>
  <c r="HT144" i="55" s="1"/>
  <c r="W144" i="55" s="1"/>
  <c r="IJ255" i="55"/>
  <c r="HQ161" i="55"/>
  <c r="HQ227" i="55"/>
  <c r="HQ139" i="55"/>
  <c r="IJ202" i="55"/>
  <c r="HM306" i="55"/>
  <c r="AG3" i="40" a="1"/>
  <c r="AG3" i="40" s="1"/>
  <c r="HQ339" i="55"/>
  <c r="II44" i="55"/>
  <c r="IJ44" i="55" s="1"/>
  <c r="II33" i="55"/>
  <c r="HQ203" i="55"/>
  <c r="IJ348" i="55"/>
  <c r="HM79" i="55"/>
  <c r="HQ144" i="55"/>
  <c r="HQ120" i="55"/>
  <c r="IJ227" i="55"/>
  <c r="HQ142" i="55"/>
  <c r="HQ322" i="55"/>
  <c r="JV259" i="55"/>
  <c r="HQ252" i="55"/>
  <c r="HQ253" i="55"/>
  <c r="HQ44" i="55"/>
  <c r="II203" i="55"/>
  <c r="HQ122" i="55"/>
  <c r="II144" i="55"/>
  <c r="IJ144" i="55" s="1"/>
  <c r="HQ124" i="55"/>
  <c r="HQ293" i="55"/>
  <c r="HQ244" i="55"/>
  <c r="HQ264" i="55"/>
  <c r="HQ212" i="55"/>
  <c r="BF3" i="40" a="1"/>
  <c r="BF3" i="40" s="1"/>
  <c r="HQ94" i="55"/>
  <c r="HQ107" i="55"/>
  <c r="HQ350" i="55"/>
  <c r="IT52" i="55" a="1"/>
  <c r="IT52" i="55" s="1"/>
  <c r="IU52" i="55" s="1"/>
  <c r="IX52" i="55" a="1"/>
  <c r="IX52" i="55" s="1"/>
  <c r="IY52" i="55" s="1"/>
  <c r="HH4" i="55"/>
  <c r="JV235" i="55"/>
  <c r="W81" i="55"/>
  <c r="EO81" i="55" a="1"/>
  <c r="EO81" i="55" s="1"/>
  <c r="IJ89" i="55"/>
  <c r="EO142" i="55" a="1"/>
  <c r="EO142" i="55" s="1"/>
  <c r="W142" i="55"/>
  <c r="GW207" i="55"/>
  <c r="DR275" i="55" a="1"/>
  <c r="DR275" i="55" s="1"/>
  <c r="DT275" i="55" s="1"/>
  <c r="II275" i="55"/>
  <c r="IJ275" i="55" s="1"/>
  <c r="DU275" i="55"/>
  <c r="HT275" i="55" s="1"/>
  <c r="C42" i="56" a="1"/>
  <c r="C42" i="56" s="1"/>
  <c r="HQ24" i="55"/>
  <c r="IJ111" i="55"/>
  <c r="IJ119" i="55"/>
  <c r="IJ121" i="55"/>
  <c r="IJ116" i="55"/>
  <c r="IJ112" i="55"/>
  <c r="IJ126" i="55"/>
  <c r="IJ103" i="55"/>
  <c r="IJ105" i="55"/>
  <c r="EQ79" i="55"/>
  <c r="EP79" i="55" a="1"/>
  <c r="EP79" i="55" s="1"/>
  <c r="JV300" i="55"/>
  <c r="IJ127" i="55"/>
  <c r="GW114" i="55"/>
  <c r="HM234" i="55"/>
  <c r="M234" i="55" s="1"/>
  <c r="HN234" i="55" s="1"/>
  <c r="IJ312" i="55"/>
  <c r="JU106" i="55"/>
  <c r="JV106" i="55" s="1"/>
  <c r="HM181" i="55"/>
  <c r="EQ60" i="55"/>
  <c r="EP60" i="55" a="1"/>
  <c r="EP60" i="55" s="1"/>
  <c r="JO54" i="55"/>
  <c r="HM54" i="55"/>
  <c r="M54" i="55" s="1"/>
  <c r="HN54" i="55" s="1"/>
  <c r="HM80" i="55"/>
  <c r="HM86" i="55"/>
  <c r="M86" i="55" s="1"/>
  <c r="HN86" i="55" s="1"/>
  <c r="HM61" i="55"/>
  <c r="HM76" i="55"/>
  <c r="HM77" i="55"/>
  <c r="HM81" i="55"/>
  <c r="M81" i="55" s="1"/>
  <c r="HN81" i="55" s="1"/>
  <c r="HM55" i="55"/>
  <c r="M55" i="55" s="1"/>
  <c r="HN55" i="55" s="1"/>
  <c r="HM264" i="55"/>
  <c r="M264" i="55" s="1"/>
  <c r="HN264" i="55" s="1"/>
  <c r="EO31" i="55" a="1"/>
  <c r="EO31" i="55" s="1"/>
  <c r="W31" i="55"/>
  <c r="IX37" i="55" a="1"/>
  <c r="IX37" i="55" s="1"/>
  <c r="IY37" i="55" s="1"/>
  <c r="IR37" i="55" a="1"/>
  <c r="IR37" i="55" s="1"/>
  <c r="IS37" i="55" s="1"/>
  <c r="IV37" i="55" a="1"/>
  <c r="IV37" i="55" s="1"/>
  <c r="IW37" i="55" s="1"/>
  <c r="IP37" i="55" a="1"/>
  <c r="IP37" i="55" s="1"/>
  <c r="IQ37" i="55" s="1"/>
  <c r="IT37" i="55" a="1"/>
  <c r="IT37" i="55" s="1"/>
  <c r="IU37" i="55" s="1"/>
  <c r="IN37" i="55" a="1"/>
  <c r="IN37" i="55" s="1"/>
  <c r="IO37" i="55" s="1"/>
  <c r="HM150" i="55"/>
  <c r="M150" i="55" s="1"/>
  <c r="HN150" i="55" s="1"/>
  <c r="JO228" i="55"/>
  <c r="JU228" i="55" s="1"/>
  <c r="HM228" i="55"/>
  <c r="M228" i="55" s="1"/>
  <c r="HN228" i="55" s="1"/>
  <c r="GW127" i="55"/>
  <c r="HM179" i="55"/>
  <c r="M179" i="55" s="1"/>
  <c r="HN179" i="55" s="1"/>
  <c r="HM101" i="55"/>
  <c r="EO262" i="55" a="1"/>
  <c r="EO262" i="55" s="1"/>
  <c r="W262" i="55"/>
  <c r="EO51" i="55" a="1"/>
  <c r="EO51" i="55" s="1"/>
  <c r="W51" i="55"/>
  <c r="EQ180" i="55"/>
  <c r="EP180" i="55" a="1"/>
  <c r="EP180" i="55" s="1"/>
  <c r="W65" i="55"/>
  <c r="EO65" i="55" a="1"/>
  <c r="EO65" i="55" s="1"/>
  <c r="GW246" i="55"/>
  <c r="W172" i="55"/>
  <c r="EO172" i="55" a="1"/>
  <c r="EO172" i="55" s="1"/>
  <c r="IJ118" i="55"/>
  <c r="W235" i="55"/>
  <c r="EO235" i="55" a="1"/>
  <c r="EO235" i="55" s="1"/>
  <c r="IT44" i="55" a="1"/>
  <c r="IT44" i="55" s="1"/>
  <c r="IU44" i="55" s="1"/>
  <c r="IR44" i="55" a="1"/>
  <c r="IR44" i="55" s="1"/>
  <c r="IS44" i="55" s="1"/>
  <c r="IP44" i="55" a="1"/>
  <c r="IP44" i="55" s="1"/>
  <c r="IQ44" i="55" s="1"/>
  <c r="IX44" i="55" a="1"/>
  <c r="IX44" i="55" s="1"/>
  <c r="IY44" i="55" s="1"/>
  <c r="IN44" i="55" a="1"/>
  <c r="IN44" i="55" s="1"/>
  <c r="IO44" i="55" s="1"/>
  <c r="IV44" i="55" a="1"/>
  <c r="IV44" i="55" s="1"/>
  <c r="IW44" i="55" s="1"/>
  <c r="JV338" i="55"/>
  <c r="JU235" i="55"/>
  <c r="DR45" i="55" a="1"/>
  <c r="DR45" i="55" s="1"/>
  <c r="DT45" i="55" s="1"/>
  <c r="DU45" i="55"/>
  <c r="HT45" i="55" s="1"/>
  <c r="II45" i="55"/>
  <c r="IJ45" i="55" s="1"/>
  <c r="EQ92" i="55"/>
  <c r="EP92" i="55" a="1"/>
  <c r="EP92" i="55" s="1"/>
  <c r="EQ324" i="55"/>
  <c r="EP324" i="55" a="1"/>
  <c r="EP324" i="55" s="1"/>
  <c r="EO238" i="55" a="1"/>
  <c r="EO238" i="55" s="1"/>
  <c r="W238" i="55"/>
  <c r="JU275" i="55"/>
  <c r="JV275" i="55" s="1"/>
  <c r="GW182" i="55"/>
  <c r="EQ149" i="55"/>
  <c r="EP149" i="55" a="1"/>
  <c r="EP149" i="55" s="1"/>
  <c r="JV344" i="55"/>
  <c r="JV200" i="55"/>
  <c r="W266" i="55"/>
  <c r="EO266" i="55" a="1"/>
  <c r="EO266" i="55" s="1"/>
  <c r="EO167" i="55" a="1"/>
  <c r="EO167" i="55" s="1"/>
  <c r="W167" i="55"/>
  <c r="JO352" i="55"/>
  <c r="JU352" i="55"/>
  <c r="JV352" i="55" s="1"/>
  <c r="HM352" i="55"/>
  <c r="JV138" i="55"/>
  <c r="AK6" i="55"/>
  <c r="HE6" i="55"/>
  <c r="IJ201" i="55"/>
  <c r="DR280" i="55" a="1"/>
  <c r="DR280" i="55" s="1"/>
  <c r="DT280" i="55" s="1"/>
  <c r="DU280" i="55"/>
  <c r="HT280" i="55" s="1"/>
  <c r="II280" i="55"/>
  <c r="IJ280" i="55" s="1"/>
  <c r="JO129" i="55"/>
  <c r="HM129" i="55"/>
  <c r="M129" i="55" s="1"/>
  <c r="HN129" i="55" s="1"/>
  <c r="IL129" i="55" s="1"/>
  <c r="IM129" i="55" s="1"/>
  <c r="JU276" i="55"/>
  <c r="JV276" i="55" s="1"/>
  <c r="EQ302" i="55"/>
  <c r="EP302" i="55" a="1"/>
  <c r="EP302" i="55" s="1"/>
  <c r="EQ55" i="55"/>
  <c r="EP55" i="55" a="1"/>
  <c r="EP55" i="55" s="1"/>
  <c r="G53" i="56" a="1"/>
  <c r="G53" i="56" s="1"/>
  <c r="GL325" i="55"/>
  <c r="FS325" i="55"/>
  <c r="JO114" i="55"/>
  <c r="JU114" i="55"/>
  <c r="JV114" i="55"/>
  <c r="HM114" i="55"/>
  <c r="W252" i="55"/>
  <c r="EO252" i="55" a="1"/>
  <c r="EO252" i="55" s="1"/>
  <c r="HM288" i="55"/>
  <c r="M288" i="55" s="1"/>
  <c r="HN288" i="55" s="1"/>
  <c r="EO127" i="55" a="1"/>
  <c r="EO127" i="55" s="1"/>
  <c r="W127" i="55"/>
  <c r="JV152" i="55"/>
  <c r="EO246" i="55" a="1"/>
  <c r="EO246" i="55" s="1"/>
  <c r="W246" i="55"/>
  <c r="EQ123" i="55"/>
  <c r="EP123" i="55" a="1"/>
  <c r="EP123" i="55" s="1"/>
  <c r="HM117" i="55"/>
  <c r="DR152" i="55" a="1"/>
  <c r="DR152" i="55" s="1"/>
  <c r="DT152" i="55" s="1"/>
  <c r="II152" i="55"/>
  <c r="IJ152" i="55" s="1"/>
  <c r="DU152" i="55"/>
  <c r="HT152" i="55" s="1"/>
  <c r="HQ152" i="55"/>
  <c r="HM118" i="55"/>
  <c r="IJ326" i="55"/>
  <c r="IJ327" i="55"/>
  <c r="GM283" i="55"/>
  <c r="CI283" i="55"/>
  <c r="IV32" i="55" a="1"/>
  <c r="IV32" i="55" s="1"/>
  <c r="IW32" i="55" s="1"/>
  <c r="IT32" i="55" a="1"/>
  <c r="IT32" i="55" s="1"/>
  <c r="IU32" i="55" s="1"/>
  <c r="IP32" i="55" a="1"/>
  <c r="IP32" i="55" s="1"/>
  <c r="IQ32" i="55" s="1"/>
  <c r="IX32" i="55" a="1"/>
  <c r="IX32" i="55" s="1"/>
  <c r="IY32" i="55" s="1"/>
  <c r="IN32" i="55" a="1"/>
  <c r="IN32" i="55" s="1"/>
  <c r="IO32" i="55" s="1"/>
  <c r="IR32" i="55" a="1"/>
  <c r="IR32" i="55" s="1"/>
  <c r="IS32" i="55" s="1"/>
  <c r="EO334" i="55" a="1"/>
  <c r="EO334" i="55" s="1"/>
  <c r="W334" i="55"/>
  <c r="EO42" i="55" a="1"/>
  <c r="EO42" i="55" s="1"/>
  <c r="W42" i="55"/>
  <c r="JO254" i="55"/>
  <c r="HM254" i="55"/>
  <c r="IJ286" i="55"/>
  <c r="EO313" i="55" a="1"/>
  <c r="EO313" i="55" s="1"/>
  <c r="W313" i="55"/>
  <c r="GK3" i="55"/>
  <c r="HL3" i="55"/>
  <c r="HM71" i="55"/>
  <c r="JO121" i="55"/>
  <c r="HM121" i="55"/>
  <c r="JU188" i="55"/>
  <c r="JV188" i="55" s="1"/>
  <c r="IJ91" i="55"/>
  <c r="IJ302" i="55"/>
  <c r="IJ46" i="55"/>
  <c r="EQ213" i="55"/>
  <c r="EP213" i="55" a="1"/>
  <c r="EP213" i="55" s="1"/>
  <c r="JU270" i="55"/>
  <c r="JV270" i="55" s="1"/>
  <c r="IJ161" i="55"/>
  <c r="IJ290" i="55"/>
  <c r="IJ124" i="55"/>
  <c r="HM305" i="55"/>
  <c r="IJ328" i="55"/>
  <c r="EO137" i="55" a="1"/>
  <c r="EO137" i="55" s="1"/>
  <c r="W137" i="55"/>
  <c r="W269" i="55"/>
  <c r="EO269" i="55" a="1"/>
  <c r="EO269" i="55" s="1"/>
  <c r="JV38" i="55"/>
  <c r="W201" i="55"/>
  <c r="EO201" i="55" a="1"/>
  <c r="EO201" i="55" s="1"/>
  <c r="DR267" i="55" a="1"/>
  <c r="DR267" i="55" s="1"/>
  <c r="DT267" i="55" s="1"/>
  <c r="DU267" i="55"/>
  <c r="HT267" i="55" s="1"/>
  <c r="II267" i="55"/>
  <c r="IJ267" i="55" s="1"/>
  <c r="IJ57" i="55"/>
  <c r="W113" i="55"/>
  <c r="EO113" i="55" a="1"/>
  <c r="EO113" i="55" s="1"/>
  <c r="HM268" i="55"/>
  <c r="M268" i="55" s="1"/>
  <c r="HN268" i="55" s="1"/>
  <c r="JU251" i="55"/>
  <c r="JV251" i="55" s="1"/>
  <c r="W305" i="55"/>
  <c r="EO305" i="55" a="1"/>
  <c r="EO305" i="55" s="1"/>
  <c r="EO160" i="55" a="1"/>
  <c r="EO160" i="55" s="1"/>
  <c r="W160" i="55"/>
  <c r="EO282" i="55" a="1"/>
  <c r="EO282" i="55" s="1"/>
  <c r="W282" i="55"/>
  <c r="G11" i="57"/>
  <c r="JU155" i="55"/>
  <c r="JV155" i="55" s="1"/>
  <c r="EQ259" i="55"/>
  <c r="EP259" i="55" a="1"/>
  <c r="EP259" i="55" s="1"/>
  <c r="JU211" i="55"/>
  <c r="JV211" i="55" s="1"/>
  <c r="HM70" i="55"/>
  <c r="JU43" i="55"/>
  <c r="JV43" i="55" s="1"/>
  <c r="JU152" i="55"/>
  <c r="JU234" i="55"/>
  <c r="JV234" i="55" s="1"/>
  <c r="JU181" i="55"/>
  <c r="JV181" i="55" s="1"/>
  <c r="GL184" i="55"/>
  <c r="FS184" i="55"/>
  <c r="EO30" i="55" a="1"/>
  <c r="EO30" i="55" s="1"/>
  <c r="W30" i="55"/>
  <c r="JU57" i="55"/>
  <c r="JV57" i="55" s="1"/>
  <c r="HM241" i="55"/>
  <c r="JU264" i="55"/>
  <c r="JV264" i="55" s="1"/>
  <c r="IJ182" i="55"/>
  <c r="HM59" i="55"/>
  <c r="EQ101" i="55"/>
  <c r="EP101" i="55" a="1"/>
  <c r="EP101" i="55" s="1"/>
  <c r="EQ263" i="55"/>
  <c r="EP263" i="55" a="1"/>
  <c r="EP263" i="55" s="1"/>
  <c r="GM15" i="55"/>
  <c r="CI15" i="55"/>
  <c r="JU150" i="55"/>
  <c r="JV150" i="55" s="1"/>
  <c r="IJ68" i="55"/>
  <c r="EO47" i="55" a="1"/>
  <c r="EO47" i="55" s="1"/>
  <c r="W47" i="55"/>
  <c r="JU349" i="55"/>
  <c r="JV349" i="55" s="1"/>
  <c r="JU101" i="55"/>
  <c r="HM255" i="55"/>
  <c r="EQ333" i="55"/>
  <c r="EP333" i="55" a="1"/>
  <c r="EP333" i="55" s="1"/>
  <c r="JV115" i="55"/>
  <c r="W44" i="55"/>
  <c r="EO44" i="55" a="1"/>
  <c r="EO44" i="55" s="1"/>
  <c r="HM75" i="55"/>
  <c r="IJ48" i="55"/>
  <c r="IJ39" i="55"/>
  <c r="EO286" i="55" a="1"/>
  <c r="EO286" i="55" s="1"/>
  <c r="W286" i="55"/>
  <c r="JV237" i="55"/>
  <c r="JU340" i="55"/>
  <c r="IJ37" i="55"/>
  <c r="EO258" i="55" a="1"/>
  <c r="EO258" i="55" s="1"/>
  <c r="W258" i="55"/>
  <c r="IJ217" i="55"/>
  <c r="GL3" i="55"/>
  <c r="FS3" i="55"/>
  <c r="JV269" i="55"/>
  <c r="JU171" i="55"/>
  <c r="JV171" i="55" s="1"/>
  <c r="EO115" i="55" a="1"/>
  <c r="EO115" i="55" s="1"/>
  <c r="W115" i="55"/>
  <c r="JU248" i="55"/>
  <c r="JV248" i="55" s="1"/>
  <c r="IJ40" i="55"/>
  <c r="W91" i="55"/>
  <c r="EO91" i="55" a="1"/>
  <c r="EO91" i="55" s="1"/>
  <c r="HM267" i="55"/>
  <c r="M267" i="55" s="1"/>
  <c r="HN267" i="55" s="1"/>
  <c r="GL336" i="55"/>
  <c r="FS336" i="55"/>
  <c r="W124" i="55"/>
  <c r="EO124" i="55" a="1"/>
  <c r="EO124" i="55" s="1"/>
  <c r="EO328" i="55" a="1"/>
  <c r="EO328" i="55" s="1"/>
  <c r="W328" i="55"/>
  <c r="EQ291" i="55"/>
  <c r="EP291" i="55" a="1"/>
  <c r="EP291" i="55" s="1"/>
  <c r="O13" i="55" a="1"/>
  <c r="O13" i="55" s="1"/>
  <c r="O184" i="55" a="1"/>
  <c r="O184" i="55" s="1"/>
  <c r="EV184" i="55" s="1"/>
  <c r="EW184" i="55" s="1"/>
  <c r="Q184" i="55" s="1"/>
  <c r="EO9" i="55" a="1"/>
  <c r="EO9" i="55" s="1"/>
  <c r="W9" i="55"/>
  <c r="EQ248" i="55"/>
  <c r="EP248" i="55" a="1"/>
  <c r="EP248" i="55" s="1"/>
  <c r="W219" i="55"/>
  <c r="EO219" i="55" a="1"/>
  <c r="EO219" i="55" s="1"/>
  <c r="JU73" i="55"/>
  <c r="JV73" i="55" s="1"/>
  <c r="GW342" i="55"/>
  <c r="JU117" i="55"/>
  <c r="JV117" i="55" s="1"/>
  <c r="HM182" i="55"/>
  <c r="JU118" i="55"/>
  <c r="JV118" i="55" s="1"/>
  <c r="IX45" i="55" a="1"/>
  <c r="IX45" i="55" s="1"/>
  <c r="IY45" i="55" s="1"/>
  <c r="IR45" i="55" a="1"/>
  <c r="IR45" i="55" s="1"/>
  <c r="IS45" i="55" s="1"/>
  <c r="IN45" i="55" a="1"/>
  <c r="IN45" i="55" s="1"/>
  <c r="IO45" i="55" s="1"/>
  <c r="IT45" i="55" a="1"/>
  <c r="IT45" i="55" s="1"/>
  <c r="IU45" i="55" s="1"/>
  <c r="IP45" i="55" a="1"/>
  <c r="IP45" i="55" s="1"/>
  <c r="IQ45" i="55" s="1"/>
  <c r="IV45" i="55" a="1"/>
  <c r="IV45" i="55" s="1"/>
  <c r="IW45" i="55" s="1"/>
  <c r="HM230" i="55"/>
  <c r="M230" i="55" s="1"/>
  <c r="HN230" i="55" s="1"/>
  <c r="IJ216" i="55"/>
  <c r="GW352" i="55"/>
  <c r="IJ154" i="55"/>
  <c r="IJ94" i="55"/>
  <c r="GW64" i="55"/>
  <c r="JU179" i="55"/>
  <c r="JV179" i="55" s="1"/>
  <c r="JV101" i="55"/>
  <c r="O19" i="55" a="1"/>
  <c r="O19" i="55" s="1"/>
  <c r="EP19" i="55" s="1" a="1"/>
  <c r="EP19" i="55" s="1"/>
  <c r="BR28" i="54" s="1" a="1"/>
  <c r="BR28" i="54" s="1"/>
  <c r="O330" i="55" a="1"/>
  <c r="O330" i="55" s="1"/>
  <c r="HM170" i="55"/>
  <c r="EQ49" i="55"/>
  <c r="EP49" i="55" a="1"/>
  <c r="EP49" i="55" s="1"/>
  <c r="EO118" i="55" a="1"/>
  <c r="EO118" i="55" s="1"/>
  <c r="W118" i="55"/>
  <c r="JV44" i="55"/>
  <c r="DR250" i="55" a="1"/>
  <c r="DR250" i="55" s="1"/>
  <c r="DT250" i="55" s="1"/>
  <c r="DU250" i="55"/>
  <c r="HT250" i="55" s="1"/>
  <c r="II250" i="55"/>
  <c r="IJ250" i="55" s="1"/>
  <c r="HM83" i="55"/>
  <c r="M83" i="55" s="1"/>
  <c r="HN83" i="55" s="1"/>
  <c r="JV98" i="55"/>
  <c r="HQ272" i="55"/>
  <c r="W273" i="55"/>
  <c r="EO273" i="55" a="1"/>
  <c r="EO273" i="55" s="1"/>
  <c r="IJ49" i="55"/>
  <c r="JV340" i="55"/>
  <c r="IJ197" i="55"/>
  <c r="EQ34" i="55"/>
  <c r="EP34" i="55" a="1"/>
  <c r="EP34" i="55" s="1"/>
  <c r="EO217" i="55" a="1"/>
  <c r="EO217" i="55" s="1"/>
  <c r="W217" i="55"/>
  <c r="DR257" i="55" a="1"/>
  <c r="DR257" i="55" s="1"/>
  <c r="DT257" i="55" s="1"/>
  <c r="II257" i="55"/>
  <c r="IJ257" i="55" s="1"/>
  <c r="DU257" i="55"/>
  <c r="HT257" i="55" s="1"/>
  <c r="JU329" i="55"/>
  <c r="JV329" i="55" s="1"/>
  <c r="HL280" i="55"/>
  <c r="HM281" i="55" s="1"/>
  <c r="M281" i="55" s="1"/>
  <c r="HN281" i="55" s="1"/>
  <c r="GK280" i="55"/>
  <c r="EQ349" i="55"/>
  <c r="EP349" i="55" a="1"/>
  <c r="EP349" i="55" s="1"/>
  <c r="JV71" i="55"/>
  <c r="GW9" i="55"/>
  <c r="HM136" i="55"/>
  <c r="M136" i="55" s="1"/>
  <c r="HN136" i="55" s="1"/>
  <c r="IJ10" i="55"/>
  <c r="EO40" i="55" a="1"/>
  <c r="EO40" i="55" s="1"/>
  <c r="W40" i="55"/>
  <c r="HM133" i="55"/>
  <c r="M133" i="55" s="1"/>
  <c r="HN133" i="55" s="1"/>
  <c r="GL88" i="55"/>
  <c r="FS88" i="55"/>
  <c r="JU305" i="55"/>
  <c r="JV305" i="55" s="1"/>
  <c r="EQ177" i="55"/>
  <c r="EP177" i="55" a="1"/>
  <c r="EP177" i="55" s="1"/>
  <c r="IJ193" i="55"/>
  <c r="JO69" i="55"/>
  <c r="HM69" i="55"/>
  <c r="EO57" i="55" a="1"/>
  <c r="EO57" i="55" s="1"/>
  <c r="W57" i="55"/>
  <c r="JU268" i="55"/>
  <c r="JV268" i="55" s="1"/>
  <c r="HM153" i="55"/>
  <c r="GW351" i="55"/>
  <c r="HQ342" i="55"/>
  <c r="X161" i="42"/>
  <c r="X472" i="42"/>
  <c r="EO109" i="55" a="1"/>
  <c r="EO109" i="55" s="1"/>
  <c r="W109" i="55"/>
  <c r="GW178" i="55"/>
  <c r="G9" i="56" a="1"/>
  <c r="G9" i="56" s="1"/>
  <c r="EO114" i="55" a="1"/>
  <c r="EO114" i="55" s="1"/>
  <c r="W114" i="55"/>
  <c r="JQ3" i="55"/>
  <c r="HH3" i="55"/>
  <c r="HQ77" i="55"/>
  <c r="IJ344" i="55"/>
  <c r="HM116" i="55"/>
  <c r="JO47" i="55"/>
  <c r="JU47" i="55" s="1"/>
  <c r="HM47" i="55"/>
  <c r="M47" i="55" s="1"/>
  <c r="HN47" i="55" s="1"/>
  <c r="IL47" i="55" s="1"/>
  <c r="IM47" i="55" s="1"/>
  <c r="IJ55" i="55"/>
  <c r="JO72" i="55"/>
  <c r="JU72" i="55" s="1"/>
  <c r="HM72" i="55"/>
  <c r="M72" i="55" s="1"/>
  <c r="HN72" i="55" s="1"/>
  <c r="HQ106" i="55"/>
  <c r="W17" i="55"/>
  <c r="EO17" i="55" a="1"/>
  <c r="EO17" i="55" s="1"/>
  <c r="EQ225" i="55"/>
  <c r="EP225" i="55" a="1"/>
  <c r="EP225" i="55" s="1"/>
  <c r="DR145" i="55" a="1"/>
  <c r="DR145" i="55" s="1"/>
  <c r="DT145" i="55" s="1"/>
  <c r="DU145" i="55"/>
  <c r="HT145" i="55" s="1"/>
  <c r="II145" i="55"/>
  <c r="IJ145" i="55" s="1"/>
  <c r="HQ145" i="55"/>
  <c r="HM68" i="55"/>
  <c r="EO182" i="55" a="1"/>
  <c r="EO182" i="55" s="1"/>
  <c r="W182" i="55"/>
  <c r="W68" i="55"/>
  <c r="EO68" i="55" a="1"/>
  <c r="EO68" i="55" s="1"/>
  <c r="IJ157" i="55"/>
  <c r="HM141" i="55"/>
  <c r="JO113" i="55"/>
  <c r="HM113" i="55"/>
  <c r="EQ7" i="55"/>
  <c r="BT19" i="54" s="1" a="1"/>
  <c r="BT19" i="54" s="1"/>
  <c r="GL313" i="55"/>
  <c r="FS313" i="55"/>
  <c r="IJ92" i="55"/>
  <c r="EQ289" i="55"/>
  <c r="EP289" i="55" a="1"/>
  <c r="EP289" i="55" s="1"/>
  <c r="JO271" i="55"/>
  <c r="HM271" i="55"/>
  <c r="M271" i="55" s="1"/>
  <c r="HN271" i="55" s="1"/>
  <c r="IJ99" i="55"/>
  <c r="IJ18" i="55"/>
  <c r="DR190" i="55" a="1"/>
  <c r="DR190" i="55" s="1"/>
  <c r="DT190" i="55" s="1"/>
  <c r="II190" i="55"/>
  <c r="IJ190" i="55" s="1"/>
  <c r="DU190" i="55"/>
  <c r="HT190" i="55" s="1"/>
  <c r="HM238" i="55"/>
  <c r="IJ221" i="55"/>
  <c r="JU71" i="55"/>
  <c r="IJ301" i="55"/>
  <c r="EQ52" i="55"/>
  <c r="EP52" i="55" a="1"/>
  <c r="EP52" i="55" s="1"/>
  <c r="W271" i="55"/>
  <c r="EO271" i="55" a="1"/>
  <c r="EO271" i="55" s="1"/>
  <c r="JU267" i="55"/>
  <c r="JV267" i="55" s="1"/>
  <c r="EO46" i="55" a="1"/>
  <c r="EO46" i="55" s="1"/>
  <c r="W46" i="55"/>
  <c r="W161" i="55"/>
  <c r="EO161" i="55" a="1"/>
  <c r="EO161" i="55" s="1"/>
  <c r="EQ58" i="55"/>
  <c r="EP58" i="55" a="1"/>
  <c r="EP58" i="55" s="1"/>
  <c r="HM87" i="55"/>
  <c r="M87" i="55" s="1"/>
  <c r="HN87" i="55" s="1"/>
  <c r="EQ296" i="55"/>
  <c r="EP296" i="55" a="1"/>
  <c r="EP296" i="55" s="1"/>
  <c r="EQ236" i="55"/>
  <c r="EP236" i="55" a="1"/>
  <c r="EP236" i="55" s="1"/>
  <c r="JO272" i="55"/>
  <c r="JU272" i="55" s="1"/>
  <c r="HM272" i="55"/>
  <c r="M272" i="55" s="1"/>
  <c r="HN272" i="55" s="1"/>
  <c r="D31" i="56" a="1"/>
  <c r="D31" i="56" s="1"/>
  <c r="JO286" i="55"/>
  <c r="JU286" i="55"/>
  <c r="JV286" i="55"/>
  <c r="HM286" i="55"/>
  <c r="M286" i="55" s="1"/>
  <c r="HN286" i="55" s="1"/>
  <c r="HM302" i="55"/>
  <c r="HM307" i="55"/>
  <c r="M307" i="55" s="1"/>
  <c r="HN307" i="55" s="1"/>
  <c r="HM291" i="55"/>
  <c r="M291" i="55" s="1"/>
  <c r="HN291" i="55" s="1"/>
  <c r="HM312" i="55"/>
  <c r="HM308" i="55"/>
  <c r="M308" i="55" s="1"/>
  <c r="HN308" i="55" s="1"/>
  <c r="HM289" i="55"/>
  <c r="M289" i="55" s="1"/>
  <c r="HN289" i="55" s="1"/>
  <c r="HM309" i="55"/>
  <c r="IX43" i="55" a="1"/>
  <c r="IX43" i="55" s="1"/>
  <c r="IY43" i="55" s="1"/>
  <c r="IT43" i="55" a="1"/>
  <c r="IT43" i="55" s="1"/>
  <c r="IU43" i="55" s="1"/>
  <c r="IP43" i="55" a="1"/>
  <c r="IP43" i="55" s="1"/>
  <c r="IQ43" i="55" s="1"/>
  <c r="IV43" i="55" a="1"/>
  <c r="IV43" i="55" s="1"/>
  <c r="IW43" i="55" s="1"/>
  <c r="IN43" i="55" a="1"/>
  <c r="IN43" i="55" s="1"/>
  <c r="IO43" i="55" s="1"/>
  <c r="IR43" i="55" a="1"/>
  <c r="IR43" i="55" s="1"/>
  <c r="IS43" i="55" s="1"/>
  <c r="W187" i="55"/>
  <c r="EO187" i="55" a="1"/>
  <c r="EO187" i="55" s="1"/>
  <c r="EK14" i="55"/>
  <c r="EQ228" i="55"/>
  <c r="EP228" i="55" a="1"/>
  <c r="EP228" i="55" s="1"/>
  <c r="EQ163" i="55"/>
  <c r="EP163" i="55" a="1"/>
  <c r="EP163" i="55" s="1"/>
  <c r="DR249" i="55" a="1"/>
  <c r="DR249" i="55" s="1"/>
  <c r="DT249" i="55" s="1"/>
  <c r="DU249" i="55"/>
  <c r="HT249" i="55" s="1"/>
  <c r="II249" i="55"/>
  <c r="IJ249" i="55" s="1"/>
  <c r="EO24" i="55" a="1"/>
  <c r="EO24" i="55" s="1"/>
  <c r="W24" i="55"/>
  <c r="EQ285" i="55"/>
  <c r="EP285" i="55" a="1"/>
  <c r="EP285" i="55" s="1"/>
  <c r="EQ211" i="55"/>
  <c r="EP211" i="55" a="1"/>
  <c r="EP211" i="55" s="1"/>
  <c r="IV41" i="55" a="1"/>
  <c r="IV41" i="55" s="1"/>
  <c r="IW41" i="55" s="1"/>
  <c r="IX41" i="55" a="1"/>
  <c r="IX41" i="55" s="1"/>
  <c r="IY41" i="55" s="1"/>
  <c r="IR41" i="55" a="1"/>
  <c r="IR41" i="55" s="1"/>
  <c r="IS41" i="55" s="1"/>
  <c r="IP41" i="55" a="1"/>
  <c r="IP41" i="55" s="1"/>
  <c r="IQ41" i="55" s="1"/>
  <c r="IN41" i="55" a="1"/>
  <c r="IN41" i="55" s="1"/>
  <c r="IO41" i="55" s="1"/>
  <c r="IT41" i="55" a="1"/>
  <c r="IT41" i="55" s="1"/>
  <c r="IU41" i="55" s="1"/>
  <c r="JU182" i="55"/>
  <c r="JV182" i="55" s="1"/>
  <c r="JU230" i="55"/>
  <c r="IJ96" i="55"/>
  <c r="JO223" i="55"/>
  <c r="JU223" i="55" s="1"/>
  <c r="HM223" i="55"/>
  <c r="M223" i="55" s="1"/>
  <c r="HN223" i="55" s="1"/>
  <c r="EO254" i="55" a="1"/>
  <c r="EO254" i="55" s="1"/>
  <c r="W254" i="55"/>
  <c r="JV255" i="55"/>
  <c r="JU170" i="55"/>
  <c r="JV170" i="55" s="1"/>
  <c r="GW239" i="55"/>
  <c r="JV90" i="55"/>
  <c r="IJ298" i="55"/>
  <c r="IJ61" i="55"/>
  <c r="EO272" i="55" a="1"/>
  <c r="EO272" i="55" s="1"/>
  <c r="W272" i="55"/>
  <c r="IJ203" i="55"/>
  <c r="IJ117" i="55"/>
  <c r="EQ173" i="55"/>
  <c r="EP173" i="55" a="1"/>
  <c r="EP173" i="55" s="1"/>
  <c r="IJ206" i="55"/>
  <c r="IJ199" i="55"/>
  <c r="HM67" i="55"/>
  <c r="HM311" i="55"/>
  <c r="EQ290" i="55"/>
  <c r="EP290" i="55" a="1"/>
  <c r="EP290" i="55" s="1"/>
  <c r="EO320" i="55" a="1"/>
  <c r="EO320" i="55" s="1"/>
  <c r="W320" i="55"/>
  <c r="W10" i="55"/>
  <c r="EO10" i="55" a="1"/>
  <c r="EO10" i="55" s="1"/>
  <c r="EQ251" i="55"/>
  <c r="EP251" i="55" a="1"/>
  <c r="EP251" i="55" s="1"/>
  <c r="GW91" i="55"/>
  <c r="IJ291" i="55"/>
  <c r="JU343" i="55"/>
  <c r="JV343" i="55" s="1"/>
  <c r="IJ120" i="55"/>
  <c r="IJ63" i="55"/>
  <c r="JU107" i="55"/>
  <c r="JV107" i="55" s="1"/>
  <c r="IJ125" i="55"/>
  <c r="IJ97" i="55"/>
  <c r="EQ243" i="55"/>
  <c r="EP243" i="55" a="1"/>
  <c r="EP243" i="55" s="1"/>
  <c r="HQ282" i="55"/>
  <c r="EK4" i="55"/>
  <c r="JV230" i="55"/>
  <c r="EO216" i="55" a="1"/>
  <c r="EO216" i="55" s="1"/>
  <c r="W216" i="55"/>
  <c r="JU320" i="55"/>
  <c r="JV320" i="55" s="1"/>
  <c r="W94" i="55"/>
  <c r="EO94" i="55" a="1"/>
  <c r="EO94" i="55" s="1"/>
  <c r="GL154" i="55"/>
  <c r="FS154" i="55"/>
  <c r="JO51" i="55"/>
  <c r="JU51" i="55" s="1"/>
  <c r="JV51" i="55" s="1"/>
  <c r="HM51" i="55"/>
  <c r="M51" i="55" s="1"/>
  <c r="HN51" i="55" s="1"/>
  <c r="IL51" i="55" s="1"/>
  <c r="IM51" i="55" s="1"/>
  <c r="JU90" i="55"/>
  <c r="JV83" i="55"/>
  <c r="IJ33" i="55"/>
  <c r="W203" i="55"/>
  <c r="EO203" i="55" a="1"/>
  <c r="EO203" i="55" s="1"/>
  <c r="W18" i="55"/>
  <c r="EO18" i="55" a="1"/>
  <c r="EO18" i="55" s="1"/>
  <c r="IJ180" i="55"/>
  <c r="W199" i="55"/>
  <c r="EO199" i="55" a="1"/>
  <c r="EO199" i="55" s="1"/>
  <c r="GW74" i="55"/>
  <c r="IX35" i="55" a="1"/>
  <c r="IX35" i="55" s="1"/>
  <c r="IY35" i="55" s="1"/>
  <c r="IT35" i="55" a="1"/>
  <c r="IT35" i="55" s="1"/>
  <c r="IU35" i="55" s="1"/>
  <c r="IP35" i="55" a="1"/>
  <c r="IP35" i="55" s="1"/>
  <c r="IQ35" i="55" s="1"/>
  <c r="IN35" i="55" a="1"/>
  <c r="IN35" i="55" s="1"/>
  <c r="IO35" i="55" s="1"/>
  <c r="IV35" i="55" a="1"/>
  <c r="IV35" i="55" s="1"/>
  <c r="IW35" i="55" s="1"/>
  <c r="IR35" i="55" a="1"/>
  <c r="IR35" i="55" s="1"/>
  <c r="IS35" i="55" s="1"/>
  <c r="EO301" i="55" a="1"/>
  <c r="EO301" i="55" s="1"/>
  <c r="W301" i="55"/>
  <c r="JU136" i="55"/>
  <c r="JV136" i="55" s="1"/>
  <c r="JU306" i="55"/>
  <c r="JV306" i="55" s="1"/>
  <c r="EO144" i="55" a="1"/>
  <c r="EO144" i="55" s="1"/>
  <c r="JO332" i="55"/>
  <c r="JU332" i="55" s="1"/>
  <c r="JV332" i="55" s="1"/>
  <c r="HM332" i="55"/>
  <c r="M332" i="55" s="1"/>
  <c r="HN332" i="55" s="1"/>
  <c r="JV133" i="55"/>
  <c r="HM65" i="55"/>
  <c r="EQ147" i="55"/>
  <c r="EP147" i="55" a="1"/>
  <c r="EP147" i="55" s="1"/>
  <c r="EQ337" i="55"/>
  <c r="EP337" i="55" a="1"/>
  <c r="EP337" i="55" s="1"/>
  <c r="IJ213" i="55"/>
  <c r="W120" i="55"/>
  <c r="EO120" i="55" a="1"/>
  <c r="EO120" i="55" s="1"/>
  <c r="HM56" i="55"/>
  <c r="M56" i="55" s="1"/>
  <c r="HN56" i="55" s="1"/>
  <c r="HM304" i="55"/>
  <c r="W97" i="55"/>
  <c r="EO97" i="55" a="1"/>
  <c r="EO97" i="55" s="1"/>
  <c r="EK3" i="55"/>
  <c r="EQ93" i="55"/>
  <c r="EP93" i="55" a="1"/>
  <c r="EP93" i="55" s="1"/>
  <c r="D20" i="56" a="1"/>
  <c r="D20" i="56" s="1"/>
  <c r="JU333" i="55"/>
  <c r="JV333" i="55" s="1"/>
  <c r="GW168" i="55"/>
  <c r="EQ139" i="55"/>
  <c r="EP139" i="55" a="1"/>
  <c r="EP139" i="55" s="1"/>
  <c r="DR134" i="55" a="1"/>
  <c r="DR134" i="55" s="1"/>
  <c r="DT134" i="55" s="1"/>
  <c r="DU134" i="55"/>
  <c r="HT134" i="55" s="1"/>
  <c r="II134" i="55"/>
  <c r="IJ134" i="55" s="1"/>
  <c r="EK224" i="55"/>
  <c r="D53" i="56" a="1"/>
  <c r="D53" i="56" s="1"/>
  <c r="C53" i="56" a="1"/>
  <c r="C53" i="56" s="1"/>
  <c r="IX49" i="55" a="1"/>
  <c r="IX49" i="55" s="1"/>
  <c r="IY49" i="55" s="1"/>
  <c r="IT49" i="55" a="1"/>
  <c r="IT49" i="55" s="1"/>
  <c r="IU49" i="55" s="1"/>
  <c r="IN49" i="55" a="1"/>
  <c r="IN49" i="55" s="1"/>
  <c r="IO49" i="55" s="1"/>
  <c r="IR49" i="55" a="1"/>
  <c r="IR49" i="55" s="1"/>
  <c r="IS49" i="55" s="1"/>
  <c r="IV49" i="55" a="1"/>
  <c r="IV49" i="55" s="1"/>
  <c r="IW49" i="55" s="1"/>
  <c r="IJ176" i="55"/>
  <c r="IJ169" i="55"/>
  <c r="IJ181" i="55"/>
  <c r="IJ175" i="55"/>
  <c r="IJ183" i="55"/>
  <c r="IJ162" i="55"/>
  <c r="IJ155" i="55"/>
  <c r="IJ174" i="55"/>
  <c r="IJ156" i="55"/>
  <c r="IJ164" i="55"/>
  <c r="IJ165" i="55"/>
  <c r="IJ166" i="55"/>
  <c r="JO249" i="55"/>
  <c r="JU249" i="55" s="1"/>
  <c r="JV249" i="55" s="1"/>
  <c r="HM249" i="55"/>
  <c r="M249" i="55" s="1"/>
  <c r="HN249" i="55" s="1"/>
  <c r="DR241" i="55" a="1"/>
  <c r="DR241" i="55" s="1"/>
  <c r="DT241" i="55" s="1"/>
  <c r="DU241" i="55"/>
  <c r="HT241" i="55" s="1"/>
  <c r="II241" i="55"/>
  <c r="IJ241" i="55" s="1"/>
  <c r="JU36" i="55"/>
  <c r="JV36" i="55" s="1"/>
  <c r="HQ239" i="55"/>
  <c r="JV74" i="55"/>
  <c r="HM120" i="55"/>
  <c r="HM261" i="55"/>
  <c r="M261" i="55" s="1"/>
  <c r="HN261" i="55" s="1"/>
  <c r="GL26" i="55"/>
  <c r="FS26" i="55"/>
  <c r="EO74" i="55" a="1"/>
  <c r="EO74" i="55" s="1"/>
  <c r="W74" i="55"/>
  <c r="HM246" i="55"/>
  <c r="JU68" i="55"/>
  <c r="JV68" i="55" s="1"/>
  <c r="IT34" i="55" a="1"/>
  <c r="IT34" i="55" s="1"/>
  <c r="IU34" i="55" s="1"/>
  <c r="IR34" i="55" a="1"/>
  <c r="IR34" i="55" s="1"/>
  <c r="IS34" i="55" s="1"/>
  <c r="IN34" i="55" a="1"/>
  <c r="IN34" i="55" s="1"/>
  <c r="IO34" i="55" s="1"/>
  <c r="IX34" i="55" a="1"/>
  <c r="IX34" i="55" s="1"/>
  <c r="IY34" i="55" s="1"/>
  <c r="IP34" i="55" a="1"/>
  <c r="IP34" i="55" s="1"/>
  <c r="IQ34" i="55" s="1"/>
  <c r="IV34" i="55" a="1"/>
  <c r="IV34" i="55" s="1"/>
  <c r="IW34" i="55" s="1"/>
  <c r="IJ300" i="55"/>
  <c r="EO96" i="55" a="1"/>
  <c r="EO96" i="55" s="1"/>
  <c r="W96" i="55"/>
  <c r="IJ198" i="55"/>
  <c r="JU141" i="55"/>
  <c r="JV141" i="55" s="1"/>
  <c r="IJ52" i="55"/>
  <c r="EO274" i="55" a="1"/>
  <c r="EO274" i="55" s="1"/>
  <c r="W274" i="55"/>
  <c r="EQ117" i="55"/>
  <c r="EP117" i="55" a="1"/>
  <c r="EP117" i="55" s="1"/>
  <c r="IJ297" i="55"/>
  <c r="DR256" i="55" a="1"/>
  <c r="DR256" i="55" s="1"/>
  <c r="DT256" i="55" s="1"/>
  <c r="DU256" i="55"/>
  <c r="HT256" i="55" s="1"/>
  <c r="II256" i="55"/>
  <c r="IJ256" i="55" s="1"/>
  <c r="HM134" i="55"/>
  <c r="M134" i="55" s="1"/>
  <c r="HN134" i="55" s="1"/>
  <c r="W61" i="55"/>
  <c r="EO61" i="55" a="1"/>
  <c r="EO61" i="55" s="1"/>
  <c r="W33" i="55"/>
  <c r="EO33" i="55" a="1"/>
  <c r="EO33" i="55" s="1"/>
  <c r="IJ123" i="55"/>
  <c r="HM124" i="55"/>
  <c r="GL283" i="55"/>
  <c r="FS283" i="55"/>
  <c r="JU238" i="55"/>
  <c r="JV238" i="55" s="1"/>
  <c r="EO135" i="55" a="1"/>
  <c r="EO135" i="55" s="1"/>
  <c r="W135" i="55"/>
  <c r="GW67" i="55"/>
  <c r="HM180" i="55"/>
  <c r="M180" i="55" s="1"/>
  <c r="HN180" i="55" s="1"/>
  <c r="IJ222" i="55"/>
  <c r="IJ171" i="55"/>
  <c r="JU87" i="55"/>
  <c r="JV87" i="55" s="1"/>
  <c r="EO227" i="55" a="1"/>
  <c r="EO227" i="55" s="1"/>
  <c r="W227" i="55"/>
  <c r="EO87" i="55" a="1"/>
  <c r="EO87" i="55" s="1"/>
  <c r="W87" i="55"/>
  <c r="DR146" i="55" a="1"/>
  <c r="DR146" i="55" s="1"/>
  <c r="DT146" i="55" s="1"/>
  <c r="DU146" i="55"/>
  <c r="HT146" i="55" s="1"/>
  <c r="II146" i="55"/>
  <c r="IJ146" i="55" s="1"/>
  <c r="W347" i="55"/>
  <c r="EO347" i="55" a="1"/>
  <c r="EO347" i="55" s="1"/>
  <c r="JU164" i="55"/>
  <c r="JV164" i="55" s="1"/>
  <c r="E9" i="56" a="1"/>
  <c r="E9" i="56" s="1"/>
  <c r="E53" i="56" a="1"/>
  <c r="E53" i="56" s="1"/>
  <c r="GL102" i="55"/>
  <c r="FS102" i="55"/>
  <c r="JV110" i="55"/>
  <c r="JV49" i="55"/>
  <c r="DR8" i="55" a="1"/>
  <c r="DR8" i="55" s="1"/>
  <c r="DT8" i="55" s="1"/>
  <c r="II8" i="55"/>
  <c r="IJ8" i="55" s="1"/>
  <c r="DU8" i="55"/>
  <c r="HT8" i="55" s="1"/>
  <c r="EO306" i="55" a="1"/>
  <c r="EO306" i="55" s="1"/>
  <c r="W306" i="55"/>
  <c r="HM243" i="55"/>
  <c r="HM263" i="55"/>
  <c r="M263" i="55" s="1"/>
  <c r="HN263" i="55" s="1"/>
  <c r="EQ277" i="55"/>
  <c r="EP277" i="55" a="1"/>
  <c r="EP277" i="55" s="1"/>
  <c r="IJ79" i="55"/>
  <c r="EQ205" i="55"/>
  <c r="EP205" i="55" a="1"/>
  <c r="EP205" i="55" s="1"/>
  <c r="HM226" i="55"/>
  <c r="M226" i="55" s="1"/>
  <c r="HN226" i="55" s="1"/>
  <c r="JV321" i="55"/>
  <c r="O154" i="55" a="1"/>
  <c r="O154" i="55" s="1"/>
  <c r="O12" i="55" a="1"/>
  <c r="O12" i="55" s="1"/>
  <c r="HQ136" i="55"/>
  <c r="EQ99" i="55"/>
  <c r="EP99" i="55" a="1"/>
  <c r="EP99" i="55" s="1"/>
  <c r="HM273" i="55"/>
  <c r="M273" i="55" s="1"/>
  <c r="HN273" i="55" s="1"/>
  <c r="IJ64" i="55"/>
  <c r="GW238" i="55"/>
  <c r="JO227" i="55"/>
  <c r="JU227" i="55" s="1"/>
  <c r="JV227" i="55" s="1"/>
  <c r="HM227" i="55"/>
  <c r="M227" i="55" s="1"/>
  <c r="HN227" i="55" s="1"/>
  <c r="GW96" i="55"/>
  <c r="IJ265" i="55"/>
  <c r="IJ245" i="55"/>
  <c r="JU192" i="55"/>
  <c r="JV192" i="55" s="1"/>
  <c r="HM298" i="55"/>
  <c r="GW16" i="55"/>
  <c r="EQ63" i="55"/>
  <c r="EP63" i="55" a="1"/>
  <c r="EP63" i="55" s="1"/>
  <c r="HM85" i="55"/>
  <c r="M85" i="55" s="1"/>
  <c r="HN85" i="55" s="1"/>
  <c r="EQ150" i="55"/>
  <c r="EP150" i="55" a="1"/>
  <c r="EP150" i="55" s="1"/>
  <c r="IJ108" i="55"/>
  <c r="EQ220" i="55"/>
  <c r="EP220" i="55" a="1"/>
  <c r="EP220" i="55" s="1"/>
  <c r="JU318" i="55"/>
  <c r="JV318" i="55" s="1"/>
  <c r="JU311" i="55"/>
  <c r="JV311" i="55" s="1"/>
  <c r="GW144" i="55"/>
  <c r="JU185" i="55"/>
  <c r="JV185" i="55" s="1"/>
  <c r="GW172" i="55"/>
  <c r="JU35" i="55"/>
  <c r="JV35" i="55" s="1"/>
  <c r="IJ229" i="55"/>
  <c r="IJ310" i="55"/>
  <c r="IJ248" i="55"/>
  <c r="HM296" i="55"/>
  <c r="GW170" i="55"/>
  <c r="JU65" i="55"/>
  <c r="JV65" i="55" s="1"/>
  <c r="IT42" i="55" a="1"/>
  <c r="IT42" i="55" s="1"/>
  <c r="IU42" i="55" s="1"/>
  <c r="IV42" i="55" a="1"/>
  <c r="IV42" i="55" s="1"/>
  <c r="IW42" i="55" s="1"/>
  <c r="IX42" i="55" a="1"/>
  <c r="IX42" i="55" s="1"/>
  <c r="IY42" i="55" s="1"/>
  <c r="IR42" i="55" a="1"/>
  <c r="IR42" i="55" s="1"/>
  <c r="IS42" i="55" s="1"/>
  <c r="IP42" i="55" a="1"/>
  <c r="IP42" i="55" s="1"/>
  <c r="IQ42" i="55" s="1"/>
  <c r="IN42" i="55" a="1"/>
  <c r="IN42" i="55" s="1"/>
  <c r="IO42" i="55" s="1"/>
  <c r="IJ251" i="55"/>
  <c r="EQ132" i="55"/>
  <c r="EP132" i="55" a="1"/>
  <c r="EP132" i="55" s="1"/>
  <c r="EQ13" i="55"/>
  <c r="BT22" i="54" s="1" a="1"/>
  <c r="BT22" i="54" s="1"/>
  <c r="EP13" i="55" a="1"/>
  <c r="EP13" i="55" s="1"/>
  <c r="BR22" i="54" s="1" a="1"/>
  <c r="BR22" i="54" s="1"/>
  <c r="W159" i="55"/>
  <c r="EO159" i="55" a="1"/>
  <c r="EO159" i="55" s="1"/>
  <c r="HM295" i="55"/>
  <c r="W344" i="55"/>
  <c r="EO344" i="55" a="1"/>
  <c r="EO344" i="55" s="1"/>
  <c r="JV314" i="55"/>
  <c r="JO225" i="55"/>
  <c r="HM225" i="55"/>
  <c r="M225" i="55" s="1"/>
  <c r="HN225" i="55" s="1"/>
  <c r="HM229" i="55"/>
  <c r="M229" i="55" s="1"/>
  <c r="HN229" i="55" s="1"/>
  <c r="HM258" i="55"/>
  <c r="HM279" i="55"/>
  <c r="M279" i="55" s="1"/>
  <c r="HN279" i="55" s="1"/>
  <c r="HM266" i="55"/>
  <c r="M266" i="55" s="1"/>
  <c r="HN266" i="55" s="1"/>
  <c r="HM257" i="55"/>
  <c r="HM253" i="55"/>
  <c r="HM250" i="55"/>
  <c r="HM278" i="55"/>
  <c r="M278" i="55" s="1"/>
  <c r="HN278" i="55" s="1"/>
  <c r="HM232" i="55"/>
  <c r="M232" i="55" s="1"/>
  <c r="HN232" i="55" s="1"/>
  <c r="HM277" i="55"/>
  <c r="M277" i="55" s="1"/>
  <c r="HN277" i="55" s="1"/>
  <c r="HM240" i="55"/>
  <c r="HM233" i="55"/>
  <c r="JV70" i="55"/>
  <c r="EO342" i="55" a="1"/>
  <c r="EO342" i="55" s="1"/>
  <c r="W342" i="55"/>
  <c r="IV36" i="55" a="1"/>
  <c r="IV36" i="55" s="1"/>
  <c r="IW36" i="55" s="1"/>
  <c r="IX36" i="55" a="1"/>
  <c r="IX36" i="55" s="1"/>
  <c r="IY36" i="55" s="1"/>
  <c r="IR36" i="55" a="1"/>
  <c r="IR36" i="55" s="1"/>
  <c r="IS36" i="55" s="1"/>
  <c r="IP36" i="55" a="1"/>
  <c r="IP36" i="55" s="1"/>
  <c r="IQ36" i="55" s="1"/>
  <c r="IN36" i="55" a="1"/>
  <c r="IN36" i="55" s="1"/>
  <c r="IO36" i="55" s="1"/>
  <c r="IT36" i="55" a="1"/>
  <c r="IT36" i="55" s="1"/>
  <c r="IU36" i="55" s="1"/>
  <c r="DR210" i="55" a="1"/>
  <c r="DR210" i="55" s="1"/>
  <c r="DT210" i="55" s="1"/>
  <c r="DU210" i="55"/>
  <c r="HT210" i="55" s="1"/>
  <c r="II210" i="55"/>
  <c r="IJ210" i="55" s="1"/>
  <c r="X303" i="42"/>
  <c r="GL335" i="55"/>
  <c r="FS335" i="55"/>
  <c r="C74" i="56" a="1"/>
  <c r="C74" i="56" s="1"/>
  <c r="JU221" i="55"/>
  <c r="JV221" i="55" s="1"/>
  <c r="JU197" i="55"/>
  <c r="JV197" i="55" s="1"/>
  <c r="EQ157" i="55"/>
  <c r="EP157" i="55" a="1"/>
  <c r="EP157" i="55" s="1"/>
  <c r="X409" i="42"/>
  <c r="DR270" i="55" a="1"/>
  <c r="DR270" i="55" s="1"/>
  <c r="DT270" i="55" s="1"/>
  <c r="II270" i="55"/>
  <c r="IJ270" i="55" s="1"/>
  <c r="DU270" i="55"/>
  <c r="HT270" i="55" s="1"/>
  <c r="EQ23" i="55"/>
  <c r="EP23" i="55" a="1"/>
  <c r="EP23" i="55" s="1"/>
  <c r="JO281" i="55"/>
  <c r="JO97" i="55"/>
  <c r="HM97" i="55"/>
  <c r="IJ178" i="55"/>
  <c r="DR185" i="55" a="1"/>
  <c r="DR185" i="55" s="1"/>
  <c r="DT185" i="55" s="1"/>
  <c r="DU185" i="55"/>
  <c r="HT185" i="55" s="1"/>
  <c r="II185" i="55"/>
  <c r="IJ185" i="55" s="1"/>
  <c r="HQ185" i="55"/>
  <c r="EO189" i="55" a="1"/>
  <c r="EO189" i="55" s="1"/>
  <c r="W189" i="55"/>
  <c r="W224" i="55"/>
  <c r="EO224" i="55" a="1"/>
  <c r="EO224" i="55" s="1"/>
  <c r="JU122" i="55"/>
  <c r="JV122" i="55" s="1"/>
  <c r="JU23" i="55"/>
  <c r="JV23" i="55" s="1"/>
  <c r="JU246" i="55"/>
  <c r="JV246" i="55" s="1"/>
  <c r="JU34" i="55"/>
  <c r="JV34" i="55" s="1"/>
  <c r="JO324" i="55"/>
  <c r="HM324" i="55"/>
  <c r="M324" i="55" s="1"/>
  <c r="HN324" i="55" s="1"/>
  <c r="IJ253" i="55"/>
  <c r="EO281" i="55" a="1"/>
  <c r="EO281" i="55" s="1"/>
  <c r="W281" i="55"/>
  <c r="JU210" i="55"/>
  <c r="JV210" i="55" s="1"/>
  <c r="IJ263" i="55"/>
  <c r="JV21" i="55"/>
  <c r="IJ60" i="55"/>
  <c r="HM66" i="55"/>
  <c r="EQ153" i="55"/>
  <c r="EP153" i="55" a="1"/>
  <c r="EP153" i="55" s="1"/>
  <c r="JU134" i="55"/>
  <c r="JV134" i="55" s="1"/>
  <c r="EQ221" i="55"/>
  <c r="EP221" i="55" a="1"/>
  <c r="EP221" i="55" s="1"/>
  <c r="JO46" i="55"/>
  <c r="HM46" i="55"/>
  <c r="M46" i="55" s="1"/>
  <c r="HN46" i="55" s="1"/>
  <c r="IL46" i="55" s="1"/>
  <c r="IM46" i="55" s="1"/>
  <c r="EQ206" i="55"/>
  <c r="EP206" i="55" a="1"/>
  <c r="EP206" i="55" s="1"/>
  <c r="EQ345" i="55"/>
  <c r="EP345" i="55" a="1"/>
  <c r="EP345" i="55" s="1"/>
  <c r="JO62" i="55"/>
  <c r="JU62" i="55" s="1"/>
  <c r="JV62" i="55" s="1"/>
  <c r="HM62" i="55"/>
  <c r="GL53" i="55"/>
  <c r="FS53" i="55"/>
  <c r="EQ41" i="55"/>
  <c r="EP41" i="55" a="1"/>
  <c r="EP41" i="55" s="1"/>
  <c r="IJ207" i="55"/>
  <c r="W15" i="55"/>
  <c r="EO15" i="55" a="1"/>
  <c r="EO15" i="55" s="1"/>
  <c r="IJ36" i="55"/>
  <c r="HM78" i="55"/>
  <c r="GL341" i="55"/>
  <c r="FS341" i="55"/>
  <c r="EO310" i="55" a="1"/>
  <c r="EO310" i="55" s="1"/>
  <c r="W310" i="55"/>
  <c r="GL330" i="55"/>
  <c r="FS330" i="55"/>
  <c r="EQ26" i="55"/>
  <c r="EO222" i="55" a="1"/>
  <c r="EO222" i="55" s="1"/>
  <c r="W222" i="55"/>
  <c r="EO171" i="55" a="1"/>
  <c r="EO171" i="55" s="1"/>
  <c r="W171" i="55"/>
  <c r="JO260" i="55"/>
  <c r="JU260" i="55"/>
  <c r="HM260" i="55"/>
  <c r="M260" i="55" s="1"/>
  <c r="HN260" i="55" s="1"/>
  <c r="GW148" i="55"/>
  <c r="EV283" i="55"/>
  <c r="EW283" i="55" s="1"/>
  <c r="Q283" i="55" s="1"/>
  <c r="EQ98" i="55"/>
  <c r="EP98" i="55" a="1"/>
  <c r="EP98" i="55" s="1"/>
  <c r="JU56" i="55"/>
  <c r="JV56" i="55" s="1"/>
  <c r="JU52" i="55"/>
  <c r="JV52" i="55" s="1"/>
  <c r="EQ317" i="55"/>
  <c r="HM82" i="55"/>
  <c r="M82" i="55" s="1"/>
  <c r="HN82" i="55" s="1"/>
  <c r="EQ35" i="55"/>
  <c r="EP35" i="55" a="1"/>
  <c r="EP35" i="55" s="1"/>
  <c r="JU304" i="55"/>
  <c r="JV304" i="55" s="1"/>
  <c r="EO322" i="55" a="1"/>
  <c r="EO322" i="55" s="1"/>
  <c r="W322" i="55"/>
  <c r="GL130" i="55"/>
  <c r="FS130" i="55"/>
  <c r="EQ192" i="55"/>
  <c r="EP192" i="55" a="1"/>
  <c r="EP192" i="55" s="1"/>
  <c r="C5" i="56" a="1"/>
  <c r="C5" i="56" s="1"/>
  <c r="EO77" i="55" a="1"/>
  <c r="EO77" i="55" s="1"/>
  <c r="W77" i="55"/>
  <c r="EQ226" i="55"/>
  <c r="EP226" i="55" a="1"/>
  <c r="EP226" i="55" s="1"/>
  <c r="EO191" i="55" a="1"/>
  <c r="EO191" i="55" s="1"/>
  <c r="W191" i="55"/>
  <c r="EQ247" i="55"/>
  <c r="EP247" i="55" a="1"/>
  <c r="EP247" i="55" s="1"/>
  <c r="F9" i="56" a="1"/>
  <c r="F9" i="56" s="1"/>
  <c r="EQ38" i="55"/>
  <c r="EP38" i="55" a="1"/>
  <c r="EP38" i="55" s="1"/>
  <c r="EO56" i="55" a="1"/>
  <c r="EO56" i="55" s="1"/>
  <c r="W56" i="55"/>
  <c r="EQ231" i="55"/>
  <c r="EP231" i="55" a="1"/>
  <c r="EP231" i="55" s="1"/>
  <c r="EQ331" i="55"/>
  <c r="EP331" i="55" a="1"/>
  <c r="EP331" i="55" s="1"/>
  <c r="JV173" i="55"/>
  <c r="W335" i="55"/>
  <c r="EO335" i="55" a="1"/>
  <c r="EO335" i="55" s="1"/>
  <c r="EQ129" i="55"/>
  <c r="EP129" i="55" a="1"/>
  <c r="EP129" i="55" s="1"/>
  <c r="JU91" i="55"/>
  <c r="JV91" i="55" s="1"/>
  <c r="GW306" i="55"/>
  <c r="IJ303" i="55"/>
  <c r="IJ304" i="55"/>
  <c r="IJ294" i="55"/>
  <c r="IJ308" i="55"/>
  <c r="IJ309" i="55"/>
  <c r="IJ299" i="55"/>
  <c r="IJ292" i="55"/>
  <c r="IJ311" i="55"/>
  <c r="IJ307" i="55"/>
  <c r="IJ287" i="55"/>
  <c r="IJ295" i="55"/>
  <c r="IJ12" i="55"/>
  <c r="IJ6" i="55"/>
  <c r="IJ5" i="55"/>
  <c r="HM301" i="55"/>
  <c r="HM297" i="55"/>
  <c r="JU273" i="55"/>
  <c r="JV273" i="55" s="1"/>
  <c r="JU156" i="55"/>
  <c r="JV156" i="55" s="1"/>
  <c r="EO64" i="55" a="1"/>
  <c r="EO64" i="55" s="1"/>
  <c r="W64" i="55"/>
  <c r="HM262" i="55"/>
  <c r="M262" i="55" s="1"/>
  <c r="HN262" i="55" s="1"/>
  <c r="DR32" i="55" a="1"/>
  <c r="DR32" i="55" s="1"/>
  <c r="DT32" i="55" s="1"/>
  <c r="DU32" i="55"/>
  <c r="HT32" i="55" s="1"/>
  <c r="II32" i="55"/>
  <c r="IJ32" i="55" s="1"/>
  <c r="IJ107" i="55"/>
  <c r="W297" i="55"/>
  <c r="EO297" i="55" a="1"/>
  <c r="EO297" i="55" s="1"/>
  <c r="IJ90" i="55"/>
  <c r="HM287" i="55"/>
  <c r="M287" i="55" s="1"/>
  <c r="HN287" i="55" s="1"/>
  <c r="EO104" i="55" a="1"/>
  <c r="EO104" i="55" s="1"/>
  <c r="W104" i="55"/>
  <c r="IJ43" i="55"/>
  <c r="JV124" i="55"/>
  <c r="IJ329" i="55"/>
  <c r="HM48" i="55"/>
  <c r="M48" i="55" s="1"/>
  <c r="HN48" i="55" s="1"/>
  <c r="IL48" i="55" s="1"/>
  <c r="IM48" i="55" s="1"/>
  <c r="IJ230" i="55"/>
  <c r="JO145" i="55"/>
  <c r="JU145" i="55" s="1"/>
  <c r="HM145" i="55"/>
  <c r="HM310" i="55"/>
  <c r="IJ168" i="55"/>
  <c r="EO141" i="55" a="1"/>
  <c r="EO141" i="55" s="1"/>
  <c r="W141" i="55"/>
  <c r="JU180" i="55"/>
  <c r="JV180" i="55" s="1"/>
  <c r="EV15" i="55"/>
  <c r="EW15" i="55" s="1"/>
  <c r="JU296" i="55"/>
  <c r="JV296" i="55" s="1"/>
  <c r="HM334" i="55"/>
  <c r="M334" i="55" s="1"/>
  <c r="HN334" i="55" s="1"/>
  <c r="JU247" i="55"/>
  <c r="JV247" i="55" s="1"/>
  <c r="HM265" i="55"/>
  <c r="M265" i="55" s="1"/>
  <c r="HN265" i="55" s="1"/>
  <c r="HM64" i="55"/>
  <c r="JV204" i="55"/>
  <c r="IJ244" i="55"/>
  <c r="EO212" i="55" a="1"/>
  <c r="EO212" i="55" s="1"/>
  <c r="W212" i="55"/>
  <c r="GW120" i="55"/>
  <c r="EQ198" i="55"/>
  <c r="EP198" i="55" a="1"/>
  <c r="EP198" i="55" s="1"/>
  <c r="X321" i="42"/>
  <c r="EO178" i="55" a="1"/>
  <c r="EO178" i="55" s="1"/>
  <c r="W178" i="55"/>
  <c r="EQ143" i="55"/>
  <c r="EP143" i="55" a="1"/>
  <c r="EP143" i="55" s="1"/>
  <c r="W95" i="55"/>
  <c r="EO95" i="55" a="1"/>
  <c r="EO95" i="55" s="1"/>
  <c r="DR209" i="55" a="1"/>
  <c r="DR209" i="55" s="1"/>
  <c r="DT209" i="55" s="1"/>
  <c r="II209" i="55"/>
  <c r="IJ209" i="55" s="1"/>
  <c r="DU209" i="55"/>
  <c r="HT209" i="55" s="1"/>
  <c r="HQ209" i="55"/>
  <c r="HM274" i="55"/>
  <c r="M274" i="55" s="1"/>
  <c r="HN274" i="55" s="1"/>
  <c r="HM100" i="55"/>
  <c r="HM139" i="55"/>
  <c r="JU151" i="55"/>
  <c r="JV151" i="55" s="1"/>
  <c r="JU214" i="55"/>
  <c r="JV214" i="55" s="1"/>
  <c r="JU243" i="55"/>
  <c r="JV243" i="55" s="1"/>
  <c r="DR140" i="55" a="1"/>
  <c r="DR140" i="55" s="1"/>
  <c r="DT140" i="55" s="1"/>
  <c r="II140" i="55"/>
  <c r="IJ140" i="55" s="1"/>
  <c r="DU140" i="55"/>
  <c r="HT140" i="55" s="1"/>
  <c r="HQ140" i="55"/>
  <c r="EO184" i="55" a="1"/>
  <c r="EO184" i="55" s="1"/>
  <c r="W184" i="55"/>
  <c r="JU263" i="55"/>
  <c r="JV263" i="55" s="1"/>
  <c r="JO137" i="55"/>
  <c r="HM137" i="55"/>
  <c r="HM245" i="55"/>
  <c r="JO328" i="55"/>
  <c r="JU328" i="55" s="1"/>
  <c r="JV328" i="55" s="1"/>
  <c r="HM328" i="55"/>
  <c r="M328" i="55" s="1"/>
  <c r="HN328" i="55" s="1"/>
  <c r="JU207" i="55"/>
  <c r="JV207" i="55" s="1"/>
  <c r="HQ343" i="55"/>
  <c r="HM142" i="55"/>
  <c r="EO136" i="55" a="1"/>
  <c r="EO136" i="55" s="1"/>
  <c r="W136" i="55"/>
  <c r="GW347" i="55"/>
  <c r="W253" i="55"/>
  <c r="EO253" i="55" a="1"/>
  <c r="EO253" i="55" s="1"/>
  <c r="IJ339" i="55"/>
  <c r="EQ125" i="55"/>
  <c r="EP125" i="55" a="1"/>
  <c r="EP125" i="55" s="1"/>
  <c r="JO63" i="55"/>
  <c r="JU63" i="55" s="1"/>
  <c r="JV63" i="55" s="1"/>
  <c r="HM63" i="55"/>
  <c r="HQ323" i="55"/>
  <c r="JV298" i="55"/>
  <c r="HQ279" i="55"/>
  <c r="JV316" i="55"/>
  <c r="JV85" i="55"/>
  <c r="HM242" i="55"/>
  <c r="EQ197" i="55"/>
  <c r="EP197" i="55" a="1"/>
  <c r="EP197" i="55" s="1"/>
  <c r="HQ128" i="55"/>
  <c r="W108" i="55"/>
  <c r="EO108" i="55" a="1"/>
  <c r="EO108" i="55" s="1"/>
  <c r="EQ229" i="55"/>
  <c r="EP229" i="55" a="1"/>
  <c r="EP229" i="55" s="1"/>
  <c r="EQ255" i="55"/>
  <c r="EP255" i="55" a="1"/>
  <c r="EP255" i="55" s="1"/>
  <c r="HQ316" i="55"/>
  <c r="HQ340" i="55"/>
  <c r="EO43" i="55" a="1"/>
  <c r="EO43" i="55" s="1"/>
  <c r="W43" i="55"/>
  <c r="W16" i="55"/>
  <c r="EO16" i="55" a="1"/>
  <c r="EO16" i="55" s="1"/>
  <c r="EO329" i="55" a="1"/>
  <c r="EO329" i="55" s="1"/>
  <c r="W329" i="55"/>
  <c r="EQ88" i="55"/>
  <c r="HQ230" i="55"/>
  <c r="IJ350" i="55"/>
  <c r="W168" i="55"/>
  <c r="EO168" i="55" a="1"/>
  <c r="EO168" i="55" s="1"/>
  <c r="HM290" i="55"/>
  <c r="M290" i="55" s="1"/>
  <c r="HN290" i="55" s="1"/>
  <c r="EO207" i="55" a="1"/>
  <c r="EO207" i="55" s="1"/>
  <c r="W207" i="55"/>
  <c r="EO138" i="55" a="1"/>
  <c r="EO138" i="55" s="1"/>
  <c r="W138" i="55"/>
  <c r="HQ36" i="55"/>
  <c r="IJ59" i="55"/>
  <c r="EO148" i="55" a="1"/>
  <c r="EO148" i="55" s="1"/>
  <c r="HF5" i="55"/>
  <c r="JU42" i="55"/>
  <c r="JV42" i="55" s="1"/>
  <c r="IJ319" i="55"/>
  <c r="HM252" i="55"/>
  <c r="IJ293" i="55"/>
  <c r="IJ345" i="55"/>
  <c r="IJ288" i="55"/>
  <c r="IJ41" i="55"/>
  <c r="EO106" i="55" a="1"/>
  <c r="EO106" i="55" s="1"/>
  <c r="W106" i="55"/>
  <c r="JU350" i="55"/>
  <c r="JV350" i="55" s="1"/>
  <c r="JU6" i="55"/>
  <c r="JV6" i="55" s="1"/>
  <c r="D9" i="56" a="1"/>
  <c r="D9" i="56" s="1"/>
  <c r="JU236" i="55"/>
  <c r="JV236" i="55" s="1"/>
  <c r="X404" i="42"/>
  <c r="IJ170" i="55"/>
  <c r="X74" i="42"/>
  <c r="IJ95" i="55"/>
  <c r="IJ75" i="55"/>
  <c r="IJ76" i="55"/>
  <c r="IJ73" i="55"/>
  <c r="IJ71" i="55"/>
  <c r="IJ69" i="55"/>
  <c r="IJ70" i="55"/>
  <c r="IJ62" i="55"/>
  <c r="IJ72" i="55"/>
  <c r="IJ78" i="55"/>
  <c r="IJ66" i="55"/>
  <c r="EO110" i="55" a="1"/>
  <c r="EO110" i="55" s="1"/>
  <c r="W110" i="55"/>
  <c r="W239" i="55"/>
  <c r="EO239" i="55" a="1"/>
  <c r="EO239" i="55" s="1"/>
  <c r="X35" i="42"/>
  <c r="DR218" i="55" a="1"/>
  <c r="DR218" i="55" s="1"/>
  <c r="DT218" i="55" s="1"/>
  <c r="II218" i="55"/>
  <c r="IJ218" i="55" s="1"/>
  <c r="DU218" i="55"/>
  <c r="HT218" i="55" s="1"/>
  <c r="DR260" i="55" a="1"/>
  <c r="DR260" i="55" s="1"/>
  <c r="DT260" i="55" s="1"/>
  <c r="II260" i="55"/>
  <c r="IJ260" i="55" s="1"/>
  <c r="DU260" i="55"/>
  <c r="HT260" i="55" s="1"/>
  <c r="JU157" i="55"/>
  <c r="JV157" i="55" s="1"/>
  <c r="HM292" i="55"/>
  <c r="JO292" i="55"/>
  <c r="EQ83" i="55"/>
  <c r="EP83" i="55" a="1"/>
  <c r="EP83" i="55" s="1"/>
  <c r="D42" i="56" a="1"/>
  <c r="D42" i="56" s="1"/>
  <c r="DR278" i="55" a="1"/>
  <c r="DR278" i="55" s="1"/>
  <c r="DT278" i="55" s="1"/>
  <c r="II278" i="55"/>
  <c r="IJ278" i="55" s="1"/>
  <c r="DU278" i="55"/>
  <c r="HT278" i="55" s="1"/>
  <c r="HM293" i="55"/>
  <c r="M293" i="55" s="1"/>
  <c r="HN293" i="55" s="1"/>
  <c r="EQ283" i="55"/>
  <c r="EP283" i="55" a="1"/>
  <c r="EP283" i="55" s="1"/>
  <c r="EQ154" i="55"/>
  <c r="EP154" i="55" a="1"/>
  <c r="EP154" i="55" s="1"/>
  <c r="HM256" i="55"/>
  <c r="EQ240" i="55"/>
  <c r="EP240" i="55" a="1"/>
  <c r="EP240" i="55" s="1"/>
  <c r="EQ298" i="55"/>
  <c r="EP298" i="55" a="1"/>
  <c r="EP298" i="55" s="1"/>
  <c r="IJ101" i="55"/>
  <c r="EQ133" i="55"/>
  <c r="EP133" i="55" a="1"/>
  <c r="EP133" i="55" s="1"/>
  <c r="HM99" i="55"/>
  <c r="IJ323" i="55"/>
  <c r="EO82" i="55" a="1"/>
  <c r="EO82" i="55" s="1"/>
  <c r="W82" i="55"/>
  <c r="IJ279" i="55"/>
  <c r="DR186" i="55" a="1"/>
  <c r="DR186" i="55" s="1"/>
  <c r="DT186" i="55" s="1"/>
  <c r="II186" i="55"/>
  <c r="IJ186" i="55" s="1"/>
  <c r="DU186" i="55"/>
  <c r="HT186" i="55" s="1"/>
  <c r="IJ296" i="55"/>
  <c r="W90" i="55"/>
  <c r="EO90" i="55" a="1"/>
  <c r="EO90" i="55" s="1"/>
  <c r="IJ158" i="55"/>
  <c r="IJ340" i="55"/>
  <c r="HQ54" i="55"/>
  <c r="DR268" i="55" a="1"/>
  <c r="DR268" i="55" s="1"/>
  <c r="DT268" i="55" s="1"/>
  <c r="DU268" i="55"/>
  <c r="HT268" i="55" s="1"/>
  <c r="HQ268" i="55"/>
  <c r="II268" i="55"/>
  <c r="IJ268" i="55" s="1"/>
  <c r="EO230" i="55" a="1"/>
  <c r="EO230" i="55" s="1"/>
  <c r="W230" i="55"/>
  <c r="JO174" i="55"/>
  <c r="JU174" i="55" s="1"/>
  <c r="JV174" i="55" s="1"/>
  <c r="HM174" i="55"/>
  <c r="IJ34" i="55"/>
  <c r="HQ214" i="55"/>
  <c r="HM294" i="55"/>
  <c r="IJ122" i="55"/>
  <c r="EO36" i="55" a="1"/>
  <c r="EO36" i="55" s="1"/>
  <c r="W36" i="55"/>
  <c r="HQ204" i="55"/>
  <c r="HQ338" i="55"/>
  <c r="HM119" i="55"/>
  <c r="EO293" i="55" a="1"/>
  <c r="EO293" i="55" s="1"/>
  <c r="W293" i="55"/>
  <c r="HQ351" i="55"/>
  <c r="Y25" i="54"/>
  <c r="IJ349" i="55"/>
  <c r="EQ84" i="55"/>
  <c r="EP84" i="55" a="1"/>
  <c r="EP84" i="55" s="1"/>
  <c r="EO244" i="55" a="1"/>
  <c r="EO244" i="55" s="1"/>
  <c r="W244" i="55"/>
  <c r="JU146" i="55"/>
  <c r="JV146" i="55" s="1"/>
  <c r="EO170" i="55" a="1"/>
  <c r="EO170" i="55" s="1"/>
  <c r="W170" i="55"/>
  <c r="JV190" i="55"/>
  <c r="X312" i="42"/>
  <c r="HQ305" i="55"/>
  <c r="HQ160" i="55"/>
  <c r="EQ195" i="55"/>
  <c r="EP195" i="55" a="1"/>
  <c r="EP195" i="55" s="1"/>
  <c r="EQ264" i="55"/>
  <c r="EP264" i="55" a="1"/>
  <c r="EP264" i="55" s="1"/>
  <c r="JO132" i="55"/>
  <c r="JU132" i="55" s="1"/>
  <c r="HM132" i="55"/>
  <c r="M132" i="55" s="1"/>
  <c r="HN132" i="55" s="1"/>
  <c r="HM149" i="55"/>
  <c r="HM135" i="55"/>
  <c r="HM147" i="55"/>
  <c r="HM140" i="55"/>
  <c r="HM143" i="55"/>
  <c r="X432" i="42"/>
  <c r="HQ219" i="55"/>
  <c r="JU166" i="55"/>
  <c r="JV166" i="55" s="1"/>
  <c r="EQ196" i="55"/>
  <c r="EP196" i="55" a="1"/>
  <c r="EP196" i="55" s="1"/>
  <c r="GW4" i="55"/>
  <c r="AZ3" i="40" a="1"/>
  <c r="AZ3" i="40" s="1"/>
  <c r="EQ276" i="55"/>
  <c r="EP276" i="55" a="1"/>
  <c r="EP276" i="55" s="1"/>
  <c r="JU274" i="55"/>
  <c r="JV274" i="55" s="1"/>
  <c r="JU100" i="55"/>
  <c r="JV100" i="55" s="1"/>
  <c r="JV348" i="55"/>
  <c r="W223" i="55"/>
  <c r="EO223" i="55" a="1"/>
  <c r="EO223" i="55" s="1"/>
  <c r="DR188" i="55" a="1"/>
  <c r="DR188" i="55" s="1"/>
  <c r="DT188" i="55" s="1"/>
  <c r="DU188" i="55"/>
  <c r="HT188" i="55" s="1"/>
  <c r="II188" i="55"/>
  <c r="IJ188" i="55" s="1"/>
  <c r="EO202" i="55" a="1"/>
  <c r="EO202" i="55" s="1"/>
  <c r="W202" i="55"/>
  <c r="JO282" i="55"/>
  <c r="HM282" i="55"/>
  <c r="M282" i="55" s="1"/>
  <c r="HN282" i="55" s="1"/>
  <c r="DR208" i="55" a="1"/>
  <c r="DR208" i="55" s="1"/>
  <c r="DT208" i="55" s="1"/>
  <c r="II208" i="55"/>
  <c r="IJ208" i="55" s="1"/>
  <c r="DU208" i="55"/>
  <c r="HT208" i="55" s="1"/>
  <c r="GL224" i="55"/>
  <c r="FS224" i="55"/>
  <c r="GW68" i="55"/>
  <c r="IJ67" i="55"/>
  <c r="GW310" i="55"/>
  <c r="IX40" i="55" a="1"/>
  <c r="IX40" i="55" s="1"/>
  <c r="IY40" i="55" s="1"/>
  <c r="IV40" i="55" a="1"/>
  <c r="IV40" i="55" s="1"/>
  <c r="IW40" i="55" s="1"/>
  <c r="IR40" i="55" a="1"/>
  <c r="IR40" i="55" s="1"/>
  <c r="IS40" i="55" s="1"/>
  <c r="IP40" i="55" a="1"/>
  <c r="IP40" i="55" s="1"/>
  <c r="IQ40" i="55" s="1"/>
  <c r="IN40" i="55" a="1"/>
  <c r="IN40" i="55" s="1"/>
  <c r="IO40" i="55" s="1"/>
  <c r="IT40" i="55" a="1"/>
  <c r="IT40" i="55" s="1"/>
  <c r="IU40" i="55" s="1"/>
  <c r="JU245" i="55"/>
  <c r="JV245" i="55" s="1"/>
  <c r="W321" i="55"/>
  <c r="EO321" i="55" a="1"/>
  <c r="EO321" i="55" s="1"/>
  <c r="IJ177" i="55"/>
  <c r="IJ179" i="55"/>
  <c r="JU256" i="55"/>
  <c r="JV256" i="55" s="1"/>
  <c r="EO314" i="55" a="1"/>
  <c r="EO314" i="55" s="1"/>
  <c r="W314" i="55"/>
  <c r="HM183" i="55"/>
  <c r="JU175" i="55"/>
  <c r="JV175" i="55" s="1"/>
  <c r="IJ352" i="55"/>
  <c r="EQ348" i="55"/>
  <c r="EP348" i="55" a="1"/>
  <c r="EP348" i="55" s="1"/>
  <c r="DR215" i="55" a="1"/>
  <c r="DR215" i="55" s="1"/>
  <c r="DT215" i="55" s="1"/>
  <c r="II215" i="55"/>
  <c r="IJ215" i="55" s="1"/>
  <c r="DU215" i="55"/>
  <c r="HT215" i="55" s="1"/>
  <c r="EO339" i="55" a="1"/>
  <c r="EO339" i="55" s="1"/>
  <c r="W339" i="55"/>
  <c r="IJ262" i="55"/>
  <c r="IJ51" i="55"/>
  <c r="JV262" i="55"/>
  <c r="HQ65" i="55"/>
  <c r="JO303" i="55"/>
  <c r="HM303" i="55"/>
  <c r="W107" i="55"/>
  <c r="EO107" i="55" a="1"/>
  <c r="EO107" i="55" s="1"/>
  <c r="JU215" i="55"/>
  <c r="JV215" i="55" s="1"/>
  <c r="IJ235" i="55"/>
  <c r="IJ98" i="55"/>
  <c r="JU242" i="55"/>
  <c r="JV242" i="55" s="1"/>
  <c r="JO239" i="55"/>
  <c r="JU239" i="55" s="1"/>
  <c r="JV239" i="55" s="1"/>
  <c r="HM239" i="55"/>
  <c r="JV89" i="55"/>
  <c r="EQ37" i="55"/>
  <c r="EP37" i="55" a="1"/>
  <c r="EP37" i="55" s="1"/>
  <c r="IJ128" i="55"/>
  <c r="JV104" i="55"/>
  <c r="HQ158" i="55"/>
  <c r="IJ54" i="55"/>
  <c r="HQ238" i="55"/>
  <c r="EO350" i="55" a="1"/>
  <c r="EO350" i="55" s="1"/>
  <c r="W350" i="55"/>
  <c r="GW94" i="55"/>
  <c r="IJ284" i="55"/>
  <c r="JV310" i="55"/>
  <c r="EQ315" i="55"/>
  <c r="EP315" i="55" a="1"/>
  <c r="EP315" i="55" s="1"/>
  <c r="JU290" i="55"/>
  <c r="JV290" i="55" s="1"/>
  <c r="EQ233" i="55"/>
  <c r="EP233" i="55" a="1"/>
  <c r="EP233" i="55" s="1"/>
  <c r="JU198" i="55"/>
  <c r="JV198" i="55" s="1"/>
  <c r="HQ167" i="55"/>
  <c r="W59" i="55"/>
  <c r="EO59" i="55" a="1"/>
  <c r="EO59" i="55" s="1"/>
  <c r="GK4" i="55"/>
  <c r="HL4" i="55"/>
  <c r="JU163" i="55"/>
  <c r="JV163" i="55" s="1"/>
  <c r="HM138" i="55"/>
  <c r="JV193" i="55"/>
  <c r="JV334" i="55"/>
  <c r="EQ261" i="55"/>
  <c r="EP261" i="55" a="1"/>
  <c r="EP261" i="55" s="1"/>
  <c r="JU265" i="55"/>
  <c r="JV265" i="55" s="1"/>
  <c r="IJ332" i="55"/>
  <c r="IJ330" i="55"/>
  <c r="JV64" i="55"/>
  <c r="GW203" i="55"/>
  <c r="HM276" i="55"/>
  <c r="M276" i="55" s="1"/>
  <c r="HN276" i="55" s="1"/>
  <c r="HQ288" i="55"/>
  <c r="JU84" i="55"/>
  <c r="JV84" i="55" s="1"/>
  <c r="GL31" i="55"/>
  <c r="FS31" i="55"/>
  <c r="HM300" i="55"/>
  <c r="IJ285" i="55"/>
  <c r="GL317" i="55"/>
  <c r="FS317" i="55"/>
  <c r="EO67" i="55" a="1"/>
  <c r="EO67" i="55" s="1"/>
  <c r="W67" i="55"/>
  <c r="EQ300" i="55"/>
  <c r="EP300" i="55" a="1"/>
  <c r="EP300" i="55" s="1"/>
  <c r="DR234" i="55" a="1"/>
  <c r="DR234" i="55" s="1"/>
  <c r="DT234" i="55" s="1"/>
  <c r="DU234" i="55"/>
  <c r="HT234" i="55" s="1"/>
  <c r="II234" i="55"/>
  <c r="IJ234" i="55" s="1"/>
  <c r="EO352" i="55" a="1"/>
  <c r="EO352" i="55" s="1"/>
  <c r="W352" i="55"/>
  <c r="EO343" i="55" a="1"/>
  <c r="EO343" i="55" s="1"/>
  <c r="W343" i="55"/>
  <c r="JU345" i="55"/>
  <c r="JV345" i="55" s="1"/>
  <c r="JO244" i="55"/>
  <c r="HM244" i="55"/>
  <c r="IJ65" i="55"/>
  <c r="EO323" i="55" a="1"/>
  <c r="EO323" i="55" s="1"/>
  <c r="W323" i="55"/>
  <c r="EO279" i="55" a="1"/>
  <c r="EO279" i="55" s="1"/>
  <c r="W279" i="55"/>
  <c r="HM235" i="55"/>
  <c r="EO128" i="55" a="1"/>
  <c r="EO128" i="55" s="1"/>
  <c r="W128" i="55"/>
  <c r="DR237" i="55" a="1"/>
  <c r="DR237" i="55" s="1"/>
  <c r="DT237" i="55" s="1"/>
  <c r="HQ237" i="55"/>
  <c r="II237" i="55"/>
  <c r="IJ237" i="55" s="1"/>
  <c r="DU237" i="55"/>
  <c r="HT237" i="55" s="1"/>
  <c r="JO299" i="55"/>
  <c r="JU299" i="55" s="1"/>
  <c r="HM299" i="55"/>
  <c r="W316" i="55"/>
  <c r="EO316" i="55" a="1"/>
  <c r="EO316" i="55" s="1"/>
  <c r="W340" i="55"/>
  <c r="EO340" i="55" a="1"/>
  <c r="EO340" i="55" s="1"/>
  <c r="HM275" i="55"/>
  <c r="M275" i="55" s="1"/>
  <c r="HN275" i="55" s="1"/>
  <c r="JO125" i="55"/>
  <c r="HM125" i="55"/>
  <c r="EQ131" i="55"/>
  <c r="EP131" i="55" a="1"/>
  <c r="EP131" i="55" s="1"/>
  <c r="JO319" i="55"/>
  <c r="JU319" i="55" s="1"/>
  <c r="HM319" i="55"/>
  <c r="M319" i="55" s="1"/>
  <c r="HN319" i="55" s="1"/>
  <c r="JU167" i="55"/>
  <c r="JV167" i="55" s="1"/>
  <c r="JU294" i="55"/>
  <c r="JV294" i="55" s="1"/>
  <c r="JO123" i="55"/>
  <c r="JU123" i="55" s="1"/>
  <c r="HM123" i="55"/>
  <c r="M123" i="55" s="1"/>
  <c r="HN123" i="55" s="1"/>
  <c r="IJ167" i="55"/>
  <c r="W122" i="55"/>
  <c r="EO122" i="55" a="1"/>
  <c r="EO122" i="55" s="1"/>
  <c r="IJ204" i="55"/>
  <c r="GL4" i="55"/>
  <c r="FS4" i="55"/>
  <c r="IJ338" i="55"/>
  <c r="EO319" i="55" a="1"/>
  <c r="EO319" i="55" s="1"/>
  <c r="W319" i="55"/>
  <c r="IX38" i="55" a="1"/>
  <c r="IX38" i="55" s="1"/>
  <c r="IY38" i="55" s="1"/>
  <c r="IV38" i="55" a="1"/>
  <c r="IV38" i="55" s="1"/>
  <c r="IW38" i="55" s="1"/>
  <c r="IN38" i="55" a="1"/>
  <c r="IN38" i="55" s="1"/>
  <c r="IO38" i="55" s="1"/>
  <c r="IP38" i="55" a="1"/>
  <c r="IP38" i="55" s="1"/>
  <c r="IQ38" i="55" s="1"/>
  <c r="IT38" i="55" a="1"/>
  <c r="IT38" i="55" s="1"/>
  <c r="IU38" i="55" s="1"/>
  <c r="IR38" i="55" a="1"/>
  <c r="IR38" i="55" s="1"/>
  <c r="IS38" i="55" s="1"/>
  <c r="IJ351" i="55"/>
  <c r="EO151" i="55" a="1"/>
  <c r="EO151" i="55" s="1"/>
  <c r="W151" i="55"/>
  <c r="EO288" i="55" a="1"/>
  <c r="EO288" i="55" s="1"/>
  <c r="W288" i="55"/>
  <c r="DR232" i="55" a="1"/>
  <c r="DR232" i="55" s="1"/>
  <c r="DT232" i="55" s="1"/>
  <c r="II232" i="55"/>
  <c r="IJ232" i="55" s="1"/>
  <c r="DU232" i="55"/>
  <c r="HT232" i="55" s="1"/>
  <c r="HQ232" i="55"/>
  <c r="JQ4" i="55"/>
  <c r="EO179" i="55" a="1"/>
  <c r="EO179" i="55" s="1"/>
  <c r="W179" i="55"/>
  <c r="DR200" i="55" a="1"/>
  <c r="DR200" i="55" s="1"/>
  <c r="DT200" i="55" s="1"/>
  <c r="II200" i="55"/>
  <c r="IJ200" i="55" s="1"/>
  <c r="HQ200" i="55"/>
  <c r="DU200" i="55"/>
  <c r="HT200" i="55" s="1"/>
  <c r="GW59" i="55"/>
  <c r="EQ242" i="55"/>
  <c r="EP242" i="55" a="1"/>
  <c r="EP242" i="55" s="1"/>
  <c r="JO168" i="55"/>
  <c r="HM168" i="55"/>
  <c r="EQ284" i="55"/>
  <c r="EP284" i="55" a="1"/>
  <c r="EP284" i="55" s="1"/>
  <c r="GW138" i="55"/>
  <c r="IJ172" i="55"/>
  <c r="HM237" i="55"/>
  <c r="EO158" i="55" a="1"/>
  <c r="EO158" i="55" s="1"/>
  <c r="W158" i="55"/>
  <c r="EO54" i="55" a="1"/>
  <c r="EO54" i="55" s="1"/>
  <c r="W54" i="55"/>
  <c r="HM269" i="55"/>
  <c r="M269" i="55" s="1"/>
  <c r="HN269" i="55" s="1"/>
  <c r="EO214" i="55" a="1"/>
  <c r="EO214" i="55" s="1"/>
  <c r="W214" i="55"/>
  <c r="HM171" i="55"/>
  <c r="HM248" i="55"/>
  <c r="M248" i="55" s="1"/>
  <c r="HN248" i="55" s="1"/>
  <c r="W204" i="55"/>
  <c r="EO204" i="55" a="1"/>
  <c r="EO204" i="55" s="1"/>
  <c r="EQ312" i="55"/>
  <c r="EP312" i="55" a="1"/>
  <c r="EP312" i="55" s="1"/>
  <c r="HM270" i="55"/>
  <c r="M270" i="55" s="1"/>
  <c r="HN270" i="55" s="1"/>
  <c r="EO338" i="55" a="1"/>
  <c r="EO338" i="55" s="1"/>
  <c r="W338" i="55"/>
  <c r="EQ193" i="55"/>
  <c r="EP193" i="55" a="1"/>
  <c r="EP193" i="55" s="1"/>
  <c r="EQ89" i="55"/>
  <c r="EP89" i="55" a="1"/>
  <c r="EP89" i="55" s="1"/>
  <c r="HD7" i="55"/>
  <c r="HB7" i="55"/>
  <c r="HC7" i="55" s="1"/>
  <c r="HA8" i="55"/>
  <c r="W351" i="55"/>
  <c r="EO351" i="55" a="1"/>
  <c r="EO351" i="55" s="1"/>
  <c r="DR194" i="55" a="1"/>
  <c r="DR194" i="55" s="1"/>
  <c r="DT194" i="55" s="1"/>
  <c r="DU194" i="55"/>
  <c r="HT194" i="55" s="1"/>
  <c r="II194" i="55"/>
  <c r="IJ194" i="55" s="1"/>
  <c r="HM251" i="55"/>
  <c r="GW301" i="55"/>
  <c r="X224" i="42"/>
  <c r="X349" i="42"/>
  <c r="X380" i="42"/>
  <c r="X14" i="42"/>
  <c r="X351" i="42"/>
  <c r="X102" i="42"/>
  <c r="X376" i="42"/>
  <c r="X99" i="42"/>
  <c r="X442" i="42"/>
  <c r="X427" i="42"/>
  <c r="X61" i="42"/>
  <c r="X262" i="42"/>
  <c r="X67" i="42"/>
  <c r="X255" i="42"/>
  <c r="X175" i="42"/>
  <c r="X456" i="42"/>
  <c r="X222" i="42"/>
  <c r="X94" i="42"/>
  <c r="X76" i="42"/>
  <c r="X416" i="42"/>
  <c r="X441" i="42"/>
  <c r="X134" i="42"/>
  <c r="X363" i="42"/>
  <c r="X211" i="42"/>
  <c r="X115" i="42"/>
  <c r="X473" i="42"/>
  <c r="X158" i="42"/>
  <c r="X18" i="42"/>
  <c r="X413" i="42"/>
  <c r="X450" i="42"/>
  <c r="X285" i="42"/>
  <c r="X313" i="42"/>
  <c r="X478" i="42"/>
  <c r="X283" i="42"/>
  <c r="X197" i="42"/>
  <c r="X212" i="42"/>
  <c r="X342" i="42"/>
  <c r="X228" i="42"/>
  <c r="X116" i="42"/>
  <c r="X415" i="42"/>
  <c r="X270" i="42"/>
  <c r="X62" i="42"/>
  <c r="X382" i="42"/>
  <c r="X278" i="42"/>
  <c r="X113" i="42"/>
  <c r="X139" i="42"/>
  <c r="X79" i="42"/>
  <c r="X284" i="42"/>
  <c r="X302" i="42"/>
  <c r="X292" i="42"/>
  <c r="X365" i="42"/>
  <c r="X257" i="42"/>
  <c r="AD373" i="42"/>
  <c r="AD298" i="42"/>
  <c r="AD481" i="42"/>
  <c r="X129" i="42"/>
  <c r="AD463" i="42"/>
  <c r="X38" i="42"/>
  <c r="X42" i="42"/>
  <c r="X198" i="42"/>
  <c r="X232" i="42"/>
  <c r="X392" i="42"/>
  <c r="X474" i="42"/>
  <c r="X156" i="42"/>
  <c r="X254" i="42"/>
  <c r="X468" i="42"/>
  <c r="X119" i="42"/>
  <c r="X249" i="42"/>
  <c r="X244" i="42"/>
  <c r="X386" i="42"/>
  <c r="X464" i="42"/>
  <c r="X58" i="42"/>
  <c r="X288" i="42"/>
  <c r="X168" i="42"/>
  <c r="X207" i="42"/>
  <c r="X209" i="42"/>
  <c r="X452" i="42"/>
  <c r="X81" i="42"/>
  <c r="X112" i="42"/>
  <c r="X387" i="42"/>
  <c r="X44" i="42"/>
  <c r="X83" i="42"/>
  <c r="X397" i="42"/>
  <c r="X485" i="42"/>
  <c r="X236" i="42"/>
  <c r="X193" i="42"/>
  <c r="X30" i="42"/>
  <c r="X324" i="42"/>
  <c r="X487" i="42"/>
  <c r="X103" i="42"/>
  <c r="X348" i="42"/>
  <c r="X214" i="42"/>
  <c r="X314" i="42"/>
  <c r="X201" i="42"/>
  <c r="X350" i="42"/>
  <c r="X486" i="42"/>
  <c r="X420" i="42"/>
  <c r="X405" i="42"/>
  <c r="X217" i="42"/>
  <c r="X241" i="42"/>
  <c r="X40" i="42"/>
  <c r="X195" i="42"/>
  <c r="X143" i="42"/>
  <c r="X39" i="42"/>
  <c r="X359" i="42"/>
  <c r="X66" i="42"/>
  <c r="X223" i="42"/>
  <c r="X120" i="42"/>
  <c r="X150" i="42"/>
  <c r="X220" i="42"/>
  <c r="X304" i="42"/>
  <c r="X109" i="42"/>
  <c r="X461" i="42"/>
  <c r="X457" i="42"/>
  <c r="X398" i="42"/>
  <c r="X163" i="42"/>
  <c r="X465" i="42"/>
  <c r="X308" i="42"/>
  <c r="X403" i="42"/>
  <c r="X394" i="42"/>
  <c r="X178" i="42"/>
  <c r="X354" i="42"/>
  <c r="X21" i="42"/>
  <c r="X188" i="42"/>
  <c r="X73" i="42"/>
  <c r="X296" i="42"/>
  <c r="X318" i="42"/>
  <c r="X231" i="42"/>
  <c r="X309" i="42"/>
  <c r="X458" i="42"/>
  <c r="X170" i="42"/>
  <c r="X264" i="42"/>
  <c r="X57" i="42"/>
  <c r="X344" i="42"/>
  <c r="X340" i="42"/>
  <c r="X141" i="42"/>
  <c r="X431" i="42"/>
  <c r="X493" i="42"/>
  <c r="X346" i="42"/>
  <c r="X362" i="42"/>
  <c r="X414" i="42"/>
  <c r="X15" i="42"/>
  <c r="X496" i="42"/>
  <c r="AD288" i="42"/>
  <c r="X377" i="42"/>
  <c r="X182" i="42"/>
  <c r="X335" i="42"/>
  <c r="X199" i="42"/>
  <c r="X454" i="42"/>
  <c r="X279" i="42"/>
  <c r="X243" i="42"/>
  <c r="X471" i="42"/>
  <c r="X169" i="42"/>
  <c r="X51" i="42"/>
  <c r="X260" i="42"/>
  <c r="X482" i="42"/>
  <c r="X407" i="42"/>
  <c r="X144" i="42"/>
  <c r="X68" i="42"/>
  <c r="X215" i="42"/>
  <c r="X358" i="42"/>
  <c r="X157" i="42"/>
  <c r="X444" i="42"/>
  <c r="X88" i="42"/>
  <c r="X440" i="42"/>
  <c r="X190" i="42"/>
  <c r="X206" i="42"/>
  <c r="X429" i="42"/>
  <c r="X165" i="42"/>
  <c r="X184" i="42"/>
  <c r="X203" i="42"/>
  <c r="X330" i="42"/>
  <c r="X384" i="42"/>
  <c r="X221" i="42"/>
  <c r="X343" i="42"/>
  <c r="X92" i="42"/>
  <c r="X323" i="42"/>
  <c r="X256" i="42"/>
  <c r="X393" i="42"/>
  <c r="X131" i="42"/>
  <c r="X480" i="42"/>
  <c r="X107" i="42"/>
  <c r="X421" i="42"/>
  <c r="X186" i="42"/>
  <c r="X396" i="42"/>
  <c r="X80" i="42"/>
  <c r="X272" i="42"/>
  <c r="X46" i="42"/>
  <c r="X282" i="42"/>
  <c r="X423" i="42"/>
  <c r="X310" i="42"/>
  <c r="X96" i="42"/>
  <c r="X23" i="42"/>
  <c r="X29" i="42"/>
  <c r="X327" i="42"/>
  <c r="X259" i="42"/>
  <c r="X152" i="42"/>
  <c r="X208" i="42"/>
  <c r="X445" i="42"/>
  <c r="X373" i="42"/>
  <c r="X252" i="42"/>
  <c r="X411" i="42"/>
  <c r="X85" i="42"/>
  <c r="X71" i="42"/>
  <c r="X375" i="42"/>
  <c r="X399" i="42"/>
  <c r="X181" i="42"/>
  <c r="X446" i="42"/>
  <c r="X227" i="42"/>
  <c r="X320" i="42"/>
  <c r="X110" i="42"/>
  <c r="X63" i="42"/>
  <c r="X234" i="42"/>
  <c r="X439" i="42"/>
  <c r="X218" i="42"/>
  <c r="X124" i="42"/>
  <c r="X258" i="42"/>
  <c r="X11" i="42"/>
  <c r="X105" i="42"/>
  <c r="X128" i="42"/>
  <c r="X237" i="42"/>
  <c r="X353" i="42"/>
  <c r="X315" i="42"/>
  <c r="X53" i="42"/>
  <c r="X470" i="42"/>
  <c r="X369" i="42"/>
  <c r="X275" i="42"/>
  <c r="X64" i="42"/>
  <c r="X202" i="42"/>
  <c r="X238" i="42"/>
  <c r="X24" i="42"/>
  <c r="X489" i="42"/>
  <c r="X166" i="42"/>
  <c r="X89" i="42"/>
  <c r="X118" i="42"/>
  <c r="X77" i="42"/>
  <c r="X65" i="42"/>
  <c r="X54" i="42"/>
  <c r="X47" i="42"/>
  <c r="X298" i="42"/>
  <c r="X159" i="42"/>
  <c r="X70" i="42"/>
  <c r="X332" i="42"/>
  <c r="X142" i="42"/>
  <c r="X151" i="42"/>
  <c r="X167" i="42"/>
  <c r="X462" i="42"/>
  <c r="X306" i="42"/>
  <c r="X352" i="42"/>
  <c r="X176" i="42"/>
  <c r="X483" i="42"/>
  <c r="X183" i="42"/>
  <c r="X463" i="42"/>
  <c r="X180" i="42"/>
  <c r="X280" i="42"/>
  <c r="X488" i="42"/>
  <c r="X443" i="42"/>
  <c r="X117" i="42"/>
  <c r="X329" i="42"/>
  <c r="X481" i="42"/>
  <c r="X273" i="42"/>
  <c r="X328" i="42"/>
  <c r="X135" i="42"/>
  <c r="X191" i="42"/>
  <c r="X55" i="42"/>
  <c r="X436" i="42"/>
  <c r="X476" i="42"/>
  <c r="X276" i="42"/>
  <c r="X251" i="42"/>
  <c r="X455" i="42"/>
  <c r="X100" i="42"/>
  <c r="X261" i="42"/>
  <c r="X213" i="42"/>
  <c r="X48" i="42"/>
  <c r="X385" i="42"/>
  <c r="X16" i="42"/>
  <c r="X326" i="42"/>
  <c r="X301" i="42"/>
  <c r="X378" i="42"/>
  <c r="X93" i="42"/>
  <c r="X17" i="42"/>
  <c r="X84" i="42"/>
  <c r="X299" i="42"/>
  <c r="X247" i="42"/>
  <c r="X216" i="42"/>
  <c r="X466" i="42"/>
  <c r="X162" i="42"/>
  <c r="X319" i="42"/>
  <c r="X146" i="42"/>
  <c r="X374" i="42"/>
  <c r="X333" i="42"/>
  <c r="X122" i="42"/>
  <c r="X497" i="42"/>
  <c r="X268" i="42"/>
  <c r="X390" i="42"/>
  <c r="X424" i="42"/>
  <c r="X289" i="42"/>
  <c r="X422" i="42"/>
  <c r="X185" i="42"/>
  <c r="X174" i="42"/>
  <c r="X372" i="42"/>
  <c r="X50" i="42"/>
  <c r="X210" i="42"/>
  <c r="X52" i="42"/>
  <c r="X250" i="42"/>
  <c r="X242" i="42"/>
  <c r="X225" i="42"/>
  <c r="X499" i="42"/>
  <c r="X28" i="42"/>
  <c r="X484" i="42"/>
  <c r="X59" i="42"/>
  <c r="X290" i="42"/>
  <c r="X339" i="42"/>
  <c r="X295" i="42"/>
  <c r="X453" i="42"/>
  <c r="X294" i="42"/>
  <c r="X205" i="42"/>
  <c r="X430" i="42"/>
  <c r="X300" i="42"/>
  <c r="X368" i="42"/>
  <c r="X337" i="42"/>
  <c r="X449" i="42"/>
  <c r="X136" i="42"/>
  <c r="X274" i="42"/>
  <c r="X400" i="42"/>
  <c r="X360" i="42"/>
  <c r="X366" i="42"/>
  <c r="X43" i="42"/>
  <c r="X106" i="42"/>
  <c r="X408" i="42"/>
  <c r="X200" i="42"/>
  <c r="X189" i="42"/>
  <c r="X495" i="42"/>
  <c r="X91" i="42"/>
  <c r="X56" i="42"/>
  <c r="X357" i="42"/>
  <c r="X36" i="42"/>
  <c r="X104" i="42"/>
  <c r="X395" i="42"/>
  <c r="X138" i="42"/>
  <c r="X233" i="42"/>
  <c r="X121" i="42"/>
  <c r="X33" i="42"/>
  <c r="X153" i="42"/>
  <c r="X49" i="42"/>
  <c r="X160" i="42"/>
  <c r="X467" i="42"/>
  <c r="X172" i="42"/>
  <c r="X235" i="42"/>
  <c r="X25" i="42"/>
  <c r="X219" i="42"/>
  <c r="X433" i="42"/>
  <c r="X69" i="42"/>
  <c r="X78" i="42"/>
  <c r="X361" i="42"/>
  <c r="X419" i="42"/>
  <c r="X322" i="42"/>
  <c r="X500" i="42"/>
  <c r="X204" i="42"/>
  <c r="X239" i="42"/>
  <c r="X253" i="42"/>
  <c r="X145" i="42"/>
  <c r="X41" i="42"/>
  <c r="X316" i="42"/>
  <c r="X367" i="42"/>
  <c r="X267" i="42"/>
  <c r="X287" i="42"/>
  <c r="X477" i="42"/>
  <c r="X127" i="42"/>
  <c r="X60" i="42"/>
  <c r="X347" i="42"/>
  <c r="X336" i="42"/>
  <c r="X22" i="42"/>
  <c r="X75" i="42"/>
  <c r="X418" i="42"/>
  <c r="X86" i="42"/>
  <c r="X230" i="42"/>
  <c r="X137" i="42"/>
  <c r="X147" i="42"/>
  <c r="X171" i="42"/>
  <c r="X98" i="42"/>
  <c r="X37" i="42"/>
  <c r="X305" i="42"/>
  <c r="X148" i="42"/>
  <c r="X345" i="42"/>
  <c r="X379" i="42"/>
  <c r="X132" i="42"/>
  <c r="X406" i="42"/>
  <c r="X19" i="42"/>
  <c r="X334" i="42"/>
  <c r="X108" i="42"/>
  <c r="X125" i="42"/>
  <c r="X391" i="42"/>
  <c r="X154" i="42"/>
  <c r="X281" i="42"/>
  <c r="X95" i="42"/>
  <c r="X12" i="42"/>
  <c r="X266" i="42"/>
  <c r="X448" i="42"/>
  <c r="X32" i="42"/>
  <c r="X435" i="42"/>
  <c r="X263" i="42"/>
  <c r="X371" i="42"/>
  <c r="X338" i="42"/>
  <c r="X286" i="42"/>
  <c r="X434" i="42"/>
  <c r="X269" i="42"/>
  <c r="X226" i="42"/>
  <c r="X297" i="42"/>
  <c r="X140" i="42"/>
  <c r="X179" i="42"/>
  <c r="X271" i="42"/>
  <c r="X248" i="42"/>
  <c r="X494" i="42"/>
  <c r="X101" i="42"/>
  <c r="X317" i="42"/>
  <c r="X27" i="42"/>
  <c r="X194" i="42"/>
  <c r="X389" i="42"/>
  <c r="X459" i="42"/>
  <c r="X438" i="42"/>
  <c r="X492" i="42"/>
  <c r="X402" i="42"/>
  <c r="X20" i="42"/>
  <c r="X87" i="42"/>
  <c r="X426" i="42"/>
  <c r="X114" i="42"/>
  <c r="X417" i="42"/>
  <c r="X13" i="42"/>
  <c r="X126" i="42"/>
  <c r="X388" i="42"/>
  <c r="X149" i="42"/>
  <c r="X364" i="42"/>
  <c r="X307" i="42"/>
  <c r="X90" i="42"/>
  <c r="X381" i="42"/>
  <c r="X475" i="42"/>
  <c r="X491" i="42"/>
  <c r="X325" i="42"/>
  <c r="X97" i="42"/>
  <c r="X45" i="42"/>
  <c r="X479" i="42"/>
  <c r="X355" i="42"/>
  <c r="X469" i="42"/>
  <c r="X401" i="42"/>
  <c r="X187" i="42"/>
  <c r="X229" i="42"/>
  <c r="X460" i="42"/>
  <c r="X356" i="42"/>
  <c r="X26" i="42"/>
  <c r="X240" i="42"/>
  <c r="X331" i="42"/>
  <c r="X490" i="42"/>
  <c r="X265" i="42"/>
  <c r="X155" i="42"/>
  <c r="X451" i="42"/>
  <c r="X311" i="42"/>
  <c r="X133" i="42"/>
  <c r="X425" i="42"/>
  <c r="X383" i="42"/>
  <c r="X192" i="42"/>
  <c r="AD15" i="42"/>
  <c r="X428" i="42"/>
  <c r="X246" i="42"/>
  <c r="X341" i="42"/>
  <c r="X164" i="42"/>
  <c r="X72" i="42"/>
  <c r="X31" i="42"/>
  <c r="X34" i="42"/>
  <c r="X293" i="42"/>
  <c r="X123" i="42"/>
  <c r="X111" i="42"/>
  <c r="X196" i="42"/>
  <c r="X130" i="42"/>
  <c r="X245" i="42"/>
  <c r="AD206" i="42"/>
  <c r="X291" i="42"/>
  <c r="X437" i="42"/>
  <c r="X82" i="42"/>
  <c r="X410" i="42"/>
  <c r="AD143" i="42"/>
  <c r="AD278" i="42"/>
  <c r="AD51" i="42"/>
  <c r="AD345" i="42"/>
  <c r="AD398" i="42"/>
  <c r="AD241" i="42"/>
  <c r="AD40" i="42"/>
  <c r="AD118" i="42"/>
  <c r="AD313" i="42"/>
  <c r="AD246" i="42"/>
  <c r="AD435" i="42"/>
  <c r="AD25" i="42"/>
  <c r="AD139" i="42"/>
  <c r="AD325" i="42"/>
  <c r="AD333" i="42"/>
  <c r="AD299" i="42"/>
  <c r="AD55" i="42"/>
  <c r="AD329" i="42"/>
  <c r="AD149" i="42"/>
  <c r="AD467" i="42"/>
  <c r="AD267" i="42"/>
  <c r="AD426" i="42"/>
  <c r="AD486" i="42"/>
  <c r="AD244" i="42"/>
  <c r="AD477" i="42"/>
  <c r="AD331" i="42"/>
  <c r="AD119" i="42"/>
  <c r="AD147" i="42"/>
  <c r="AD423" i="42"/>
  <c r="AD184" i="42"/>
  <c r="AD357" i="42"/>
  <c r="AD381" i="42"/>
  <c r="AD495" i="42"/>
  <c r="AD483" i="42"/>
  <c r="AD494" i="42"/>
  <c r="AD412" i="42"/>
  <c r="AD245" i="42"/>
  <c r="AD16" i="42"/>
  <c r="AD12" i="42"/>
  <c r="AD399" i="42"/>
  <c r="AD106" i="42"/>
  <c r="AD402" i="42"/>
  <c r="AD458" i="42"/>
  <c r="AD437" i="42"/>
  <c r="AD372" i="42"/>
  <c r="AD306" i="42"/>
  <c r="AD242" i="42"/>
  <c r="AD274" i="42"/>
  <c r="AD19" i="42"/>
  <c r="AD350" i="42"/>
  <c r="AD382" i="42"/>
  <c r="AD287" i="42"/>
  <c r="AD113" i="42"/>
  <c r="AD450" i="42"/>
  <c r="AD234" i="42"/>
  <c r="AD167" i="42"/>
  <c r="AD49" i="42"/>
  <c r="AD195" i="42"/>
  <c r="AD279" i="42"/>
  <c r="AD226" i="42"/>
  <c r="AD305" i="42"/>
  <c r="AD307" i="42"/>
  <c r="AD73" i="42"/>
  <c r="AD150" i="42"/>
  <c r="AD424" i="42"/>
  <c r="AD472" i="42"/>
  <c r="AD344" i="42"/>
  <c r="AD459" i="42"/>
  <c r="AD148" i="42"/>
  <c r="AD181" i="42"/>
  <c r="AD174" i="42"/>
  <c r="AD436" i="42"/>
  <c r="AD59" i="42"/>
  <c r="AD445" i="42"/>
  <c r="AD247" i="42"/>
  <c r="AD24" i="42"/>
  <c r="AD384" i="42"/>
  <c r="AD88" i="42"/>
  <c r="AD487" i="42"/>
  <c r="AD470" i="42"/>
  <c r="AD386" i="42"/>
  <c r="AD262" i="42"/>
  <c r="AD335" i="42"/>
  <c r="AD395" i="42"/>
  <c r="AD275" i="42"/>
  <c r="AD122" i="42"/>
  <c r="AD193" i="42"/>
  <c r="AD91" i="42"/>
  <c r="AD111" i="42"/>
  <c r="AD225" i="42"/>
  <c r="AD340" i="42"/>
  <c r="AD61" i="42"/>
  <c r="AD185" i="42"/>
  <c r="AD26" i="42"/>
  <c r="AD489" i="42"/>
  <c r="AD465" i="42"/>
  <c r="AD374" i="42"/>
  <c r="AD308" i="42"/>
  <c r="AD285" i="42"/>
  <c r="AD197" i="42"/>
  <c r="AD254" i="42"/>
  <c r="AD92" i="42"/>
  <c r="AD255" i="42"/>
  <c r="AD256" i="42"/>
  <c r="AD239" i="42"/>
  <c r="AD68" i="42"/>
  <c r="AD431" i="42"/>
  <c r="AD14" i="42"/>
  <c r="AD97" i="42"/>
  <c r="AD117" i="42"/>
  <c r="AD169" i="42"/>
  <c r="AD74" i="42"/>
  <c r="AD30" i="42"/>
  <c r="AD34" i="42"/>
  <c r="AD151" i="42"/>
  <c r="AD231" i="42"/>
  <c r="AD348" i="42"/>
  <c r="AD263" i="42"/>
  <c r="AD408" i="42"/>
  <c r="AD105" i="42"/>
  <c r="AD37" i="42"/>
  <c r="AD317" i="42"/>
  <c r="AD440" i="42"/>
  <c r="AD351" i="42"/>
  <c r="AD64" i="42"/>
  <c r="AD120" i="42"/>
  <c r="AD303" i="42"/>
  <c r="AD203" i="42"/>
  <c r="AD176" i="42"/>
  <c r="AD336" i="42"/>
  <c r="AD198" i="42"/>
  <c r="AD114" i="42"/>
  <c r="AD442" i="42"/>
  <c r="AD66" i="42"/>
  <c r="AD132" i="42"/>
  <c r="AD391" i="42"/>
  <c r="AD438" i="42"/>
  <c r="AD476" i="42"/>
  <c r="AD448" i="42"/>
  <c r="AD488" i="42"/>
  <c r="AD53" i="42"/>
  <c r="AD490" i="42"/>
  <c r="AD449" i="42"/>
  <c r="AD332" i="42"/>
  <c r="AD338" i="42"/>
  <c r="AD219" i="42"/>
  <c r="AD211" i="42"/>
  <c r="AD415" i="42"/>
  <c r="AD166" i="42"/>
  <c r="AD378" i="42"/>
  <c r="AD107" i="42"/>
  <c r="AD388" i="42"/>
  <c r="AD89" i="42"/>
  <c r="AD464" i="42"/>
  <c r="AD419" i="42"/>
  <c r="AD214" i="42"/>
  <c r="AD272" i="42"/>
  <c r="AD316" i="42"/>
  <c r="AD404" i="42"/>
  <c r="AD284" i="42"/>
  <c r="AD27" i="42"/>
  <c r="AD282" i="42"/>
  <c r="AD422" i="42"/>
  <c r="AD491" i="42"/>
  <c r="AD390" i="42"/>
  <c r="AD71" i="42"/>
  <c r="AD406" i="42"/>
  <c r="AD50" i="42"/>
  <c r="AD451" i="42"/>
  <c r="AD229" i="42"/>
  <c r="AD249" i="42"/>
  <c r="AD98" i="42"/>
  <c r="AD77" i="42"/>
  <c r="AD277" i="42"/>
  <c r="AD36" i="42"/>
  <c r="AD385" i="42"/>
  <c r="AD96" i="42"/>
  <c r="AD253" i="42"/>
  <c r="AD85" i="42"/>
  <c r="AD154" i="42"/>
  <c r="AD121" i="42"/>
  <c r="AD276" i="42"/>
  <c r="AD112" i="42"/>
  <c r="AD192" i="42"/>
  <c r="AD43" i="42"/>
  <c r="AD309" i="42"/>
  <c r="AD228" i="42"/>
  <c r="AD362" i="42"/>
  <c r="AD212" i="42"/>
  <c r="AD155" i="42"/>
  <c r="AD420" i="42"/>
  <c r="AD235" i="42"/>
  <c r="AD482" i="42"/>
  <c r="AD205" i="42"/>
  <c r="AD410" i="42"/>
  <c r="AD327" i="42"/>
  <c r="AD140" i="42"/>
  <c r="AD44" i="42"/>
  <c r="AD209" i="42"/>
  <c r="AD460" i="42"/>
  <c r="AD434" i="42"/>
  <c r="AD304" i="42"/>
  <c r="AD145" i="42"/>
  <c r="AD296" i="42"/>
  <c r="AD301" i="42"/>
  <c r="AD337" i="42"/>
  <c r="AD191" i="42"/>
  <c r="AD207" i="42"/>
  <c r="AD258" i="42"/>
  <c r="AD310" i="42"/>
  <c r="AD38" i="42"/>
  <c r="AD210" i="42"/>
  <c r="AD173" i="42"/>
  <c r="AD233" i="42"/>
  <c r="AD312" i="42"/>
  <c r="AD342" i="42"/>
  <c r="AD444" i="42"/>
  <c r="AD369" i="42"/>
  <c r="AD443" i="42"/>
  <c r="AD218" i="42"/>
  <c r="AD164" i="42"/>
  <c r="AD455" i="42"/>
  <c r="AD251" i="42"/>
  <c r="AD141" i="42"/>
  <c r="AD70" i="42"/>
  <c r="AD289" i="42"/>
  <c r="AD315" i="42"/>
  <c r="AD290" i="42"/>
  <c r="AD76" i="42"/>
  <c r="AD497" i="42"/>
  <c r="AD131" i="42"/>
  <c r="AD379" i="42"/>
  <c r="AD86" i="42"/>
  <c r="AD260" i="42"/>
  <c r="AD180" i="42"/>
  <c r="AD405" i="42"/>
  <c r="AD183" i="42"/>
  <c r="AD421" i="42"/>
  <c r="AD170" i="42"/>
  <c r="AD500" i="42"/>
  <c r="AD138" i="42"/>
  <c r="AD334" i="42"/>
  <c r="AD158" i="42"/>
  <c r="AD496" i="42"/>
  <c r="AD21" i="42"/>
  <c r="AD355" i="42"/>
  <c r="AD46" i="42"/>
  <c r="AD94" i="42"/>
  <c r="AD108" i="42"/>
  <c r="AD81" i="42"/>
  <c r="AD318" i="42"/>
  <c r="AD146" i="42"/>
  <c r="AD380" i="42"/>
  <c r="AD432" i="42"/>
  <c r="AD110" i="42"/>
  <c r="AD480" i="42"/>
  <c r="AD171" i="42"/>
  <c r="AD265" i="42"/>
  <c r="AD353" i="42"/>
  <c r="AD179" i="42"/>
  <c r="AD462" i="42"/>
  <c r="AD60" i="42"/>
  <c r="Y19" i="42"/>
  <c r="Z11" i="42" s="1"/>
  <c r="AD144" i="42"/>
  <c r="AD479" i="42"/>
  <c r="AD321" i="42"/>
  <c r="AD161" i="42"/>
  <c r="AD102" i="42"/>
  <c r="AD273" i="42"/>
  <c r="AD324" i="42"/>
  <c r="AD302" i="42"/>
  <c r="AD160" i="42"/>
  <c r="AD42" i="42"/>
  <c r="AD295" i="42"/>
  <c r="AD136" i="42"/>
  <c r="AD281" i="42"/>
  <c r="AD58" i="42"/>
  <c r="AD29" i="42"/>
  <c r="AD383" i="42"/>
  <c r="AD471" i="42"/>
  <c r="AD261" i="42"/>
  <c r="AD257" i="42"/>
  <c r="AD376" i="42"/>
  <c r="AD69" i="42"/>
  <c r="AD264" i="42"/>
  <c r="AD54" i="42"/>
  <c r="AD223" i="42"/>
  <c r="AD130" i="42"/>
  <c r="AD407" i="42"/>
  <c r="AD47" i="42"/>
  <c r="AD17" i="42"/>
  <c r="AD126" i="42"/>
  <c r="AD230" i="42"/>
  <c r="AD427" i="42"/>
  <c r="AD162" i="42"/>
  <c r="AD22" i="42"/>
  <c r="AD454" i="42"/>
  <c r="AD125" i="42"/>
  <c r="AD418" i="42"/>
  <c r="AD363" i="42"/>
  <c r="AD447" i="42"/>
  <c r="AD377" i="42"/>
  <c r="AD292" i="42"/>
  <c r="AD87" i="42"/>
  <c r="AD243" i="42"/>
  <c r="AD13" i="42"/>
  <c r="AD396" i="42"/>
  <c r="AD433" i="42"/>
  <c r="AD165" i="42"/>
  <c r="AD95" i="42"/>
  <c r="AD341" i="42"/>
  <c r="AD354" i="42"/>
  <c r="AD291" i="42"/>
  <c r="AD411" i="42"/>
  <c r="AD439" i="42"/>
  <c r="AD83" i="42"/>
  <c r="AD484" i="42"/>
  <c r="AD57" i="42"/>
  <c r="AD322" i="42"/>
  <c r="AD204" i="42"/>
  <c r="AD39" i="42"/>
  <c r="AD248" i="42"/>
  <c r="AD269" i="42"/>
  <c r="AD232" i="42"/>
  <c r="AD201" i="42"/>
  <c r="AD67" i="42"/>
  <c r="AD79" i="42"/>
  <c r="AD469" i="42"/>
  <c r="AD75" i="42"/>
  <c r="AD266" i="42"/>
  <c r="AD123" i="42"/>
  <c r="AD178" i="42"/>
  <c r="AD220" i="42"/>
  <c r="AD485" i="42"/>
  <c r="AD387" i="42"/>
  <c r="AD240" i="42"/>
  <c r="AD80" i="42"/>
  <c r="AD93" i="42"/>
  <c r="AD417" i="42"/>
  <c r="AD177" i="42"/>
  <c r="AD365" i="42"/>
  <c r="AD414" i="42"/>
  <c r="AD457" i="42"/>
  <c r="AD224" i="42"/>
  <c r="AD453" i="42"/>
  <c r="AD156" i="42"/>
  <c r="AD236" i="42"/>
  <c r="AD360" i="42"/>
  <c r="AD200" i="42"/>
  <c r="AD401" i="42"/>
  <c r="AD293" i="42"/>
  <c r="AD252" i="42"/>
  <c r="AD473" i="42"/>
  <c r="AD283" i="42"/>
  <c r="AD297" i="42"/>
  <c r="AD18" i="42"/>
  <c r="AD84" i="42"/>
  <c r="AD238" i="42"/>
  <c r="AD280" i="42"/>
  <c r="AD389" i="42"/>
  <c r="AD100" i="42"/>
  <c r="AD364" i="42"/>
  <c r="AD72" i="42"/>
  <c r="AD217" i="42"/>
  <c r="AD45" i="42"/>
  <c r="AD237" i="42"/>
  <c r="AD20" i="42"/>
  <c r="AD101" i="42"/>
  <c r="AD413" i="42"/>
  <c r="AD90" i="42"/>
  <c r="AD52" i="42"/>
  <c r="AD56" i="42"/>
  <c r="AD492" i="42"/>
  <c r="AD286" i="42"/>
  <c r="AD319" i="42"/>
  <c r="AD268" i="42"/>
  <c r="AD397" i="42"/>
  <c r="AD135" i="42"/>
  <c r="AD392" i="42"/>
  <c r="AD32" i="42"/>
  <c r="AD361" i="42"/>
  <c r="AD28" i="42"/>
  <c r="AD216" i="42"/>
  <c r="AD428" i="42"/>
  <c r="AD356" i="42"/>
  <c r="AD134" i="42"/>
  <c r="AD159" i="42"/>
  <c r="AD330" i="42"/>
  <c r="AD270" i="42"/>
  <c r="AD446" i="42"/>
  <c r="AD409" i="42"/>
  <c r="AD31" i="42"/>
  <c r="AD137" i="42"/>
  <c r="AD163" i="42"/>
  <c r="AD456" i="42"/>
  <c r="AD157" i="42"/>
  <c r="AD359" i="42"/>
  <c r="AD196" i="42"/>
  <c r="AD259" i="42"/>
  <c r="AD371" i="42"/>
  <c r="AD227" i="42"/>
  <c r="AD441" i="42"/>
  <c r="AD475" i="42"/>
  <c r="AD416" i="42"/>
  <c r="AD109" i="42"/>
  <c r="AD103" i="42"/>
  <c r="AD78" i="42"/>
  <c r="AD115" i="42"/>
  <c r="AD188" i="42"/>
  <c r="AD202" i="42"/>
  <c r="AD370" i="42"/>
  <c r="AD368" i="42"/>
  <c r="AD425" i="42"/>
  <c r="AD99" i="42"/>
  <c r="AD393" i="42"/>
  <c r="AD271" i="42"/>
  <c r="AD314" i="42"/>
  <c r="AD129" i="42"/>
  <c r="AD358" i="42"/>
  <c r="AD400" i="42"/>
  <c r="AD128" i="42"/>
  <c r="AD468" i="42"/>
  <c r="AD429" i="42"/>
  <c r="AA28" i="42"/>
  <c r="AD300" i="42"/>
  <c r="AD189" i="42"/>
  <c r="AD347" i="42"/>
  <c r="AD175" i="42"/>
  <c r="AD394" i="42"/>
  <c r="AD142" i="42"/>
  <c r="AD116" i="42"/>
  <c r="AD311" i="42"/>
  <c r="AD168" i="42"/>
  <c r="AD215" i="42"/>
  <c r="AD194" i="42"/>
  <c r="AD23" i="42"/>
  <c r="AD352" i="42"/>
  <c r="AD498" i="42"/>
  <c r="AD182" i="42"/>
  <c r="AD366" i="42"/>
  <c r="AD250" i="42"/>
  <c r="AD323" i="42"/>
  <c r="AD127" i="42"/>
  <c r="AD320" i="42"/>
  <c r="AD172" i="42"/>
  <c r="AD339" i="42"/>
  <c r="AD65" i="42"/>
  <c r="AD375" i="42"/>
  <c r="AD133" i="42"/>
  <c r="AD343" i="42"/>
  <c r="AD41" i="42"/>
  <c r="AD62" i="42"/>
  <c r="AD186" i="42"/>
  <c r="AD452" i="42"/>
  <c r="AD48" i="42"/>
  <c r="AD190" i="42"/>
  <c r="AD35" i="42"/>
  <c r="AD187" i="42"/>
  <c r="AD466" i="42"/>
  <c r="AD33" i="42"/>
  <c r="AD199" i="42"/>
  <c r="AD349" i="42"/>
  <c r="Z9" i="42"/>
  <c r="AD294" i="42"/>
  <c r="AD63" i="42"/>
  <c r="AD213" i="42"/>
  <c r="AD461" i="42"/>
  <c r="AD222" i="42"/>
  <c r="AD403" i="42"/>
  <c r="AD478" i="42"/>
  <c r="AD152" i="42"/>
  <c r="AD367" i="42"/>
  <c r="AD346" i="42"/>
  <c r="AD104" i="42"/>
  <c r="AD124" i="42"/>
  <c r="AD499" i="42"/>
  <c r="AD153" i="42"/>
  <c r="AD82" i="42"/>
  <c r="AD430" i="42"/>
  <c r="AD326" i="42"/>
  <c r="AD328" i="42"/>
  <c r="AD208" i="42"/>
  <c r="AD221" i="42"/>
  <c r="AD493" i="42"/>
  <c r="AD474" i="42"/>
  <c r="GU35" i="55" l="1"/>
  <c r="GV34" i="55"/>
  <c r="GW34" i="55" s="1"/>
  <c r="JV72" i="55"/>
  <c r="JU137" i="55"/>
  <c r="JV137" i="55" s="1"/>
  <c r="HQ194" i="55"/>
  <c r="IR52" i="55" a="1"/>
  <c r="IR52" i="55" s="1"/>
  <c r="IS52" i="55" s="1"/>
  <c r="HQ241" i="55"/>
  <c r="IN52" i="55" a="1"/>
  <c r="IN52" i="55" s="1"/>
  <c r="IO52" i="55" s="1"/>
  <c r="JU113" i="55"/>
  <c r="JV113" i="55" s="1"/>
  <c r="IP52" i="55" a="1"/>
  <c r="IP52" i="55" s="1"/>
  <c r="IQ52" i="55" s="1"/>
  <c r="HQ210" i="55"/>
  <c r="HQ190" i="55"/>
  <c r="HQ134" i="55"/>
  <c r="JV319" i="55"/>
  <c r="HQ260" i="55"/>
  <c r="EQ22" i="55"/>
  <c r="EP22" i="55" a="1"/>
  <c r="EP22" i="55" s="1"/>
  <c r="HQ234" i="55"/>
  <c r="JV132" i="55"/>
  <c r="HQ208" i="55"/>
  <c r="JV260" i="55"/>
  <c r="JV47" i="55"/>
  <c r="HQ218" i="55"/>
  <c r="HQ146" i="55"/>
  <c r="HQ32" i="55"/>
  <c r="HQ257" i="55"/>
  <c r="HQ250" i="55"/>
  <c r="HQ45" i="55"/>
  <c r="EO237" i="55" a="1"/>
  <c r="EO237" i="55" s="1"/>
  <c r="W237" i="55"/>
  <c r="EQ179" i="55"/>
  <c r="EP179" i="55" a="1"/>
  <c r="EP179" i="55" s="1"/>
  <c r="EQ151" i="55"/>
  <c r="EP151" i="55" a="1"/>
  <c r="EP151" i="55" s="1"/>
  <c r="EQ316" i="55"/>
  <c r="EP316" i="55" a="1"/>
  <c r="EP316" i="55" s="1"/>
  <c r="JU303" i="55"/>
  <c r="JV303" i="55" s="1"/>
  <c r="EQ321" i="55"/>
  <c r="EP321" i="55" a="1"/>
  <c r="EP321" i="55" s="1"/>
  <c r="EQ222" i="55"/>
  <c r="EP222" i="55" a="1"/>
  <c r="EP222" i="55" s="1"/>
  <c r="EO256" i="55" a="1"/>
  <c r="EO256" i="55" s="1"/>
  <c r="W256" i="55"/>
  <c r="JU168" i="55"/>
  <c r="JV168" i="55" s="1"/>
  <c r="EQ279" i="55"/>
  <c r="EP279" i="55" a="1"/>
  <c r="EP279" i="55" s="1"/>
  <c r="EQ343" i="55"/>
  <c r="EP343" i="55" a="1"/>
  <c r="EP343" i="55" s="1"/>
  <c r="JV4" i="55"/>
  <c r="JU4" i="55"/>
  <c r="JO4" i="55"/>
  <c r="JP4" i="55" s="1"/>
  <c r="HM4" i="55"/>
  <c r="M4" i="55" s="1"/>
  <c r="HN4" i="55" s="1"/>
  <c r="IL4" i="55" s="1"/>
  <c r="IM4" i="55" s="1"/>
  <c r="EQ82" i="55"/>
  <c r="EP82" i="55" a="1"/>
  <c r="EP82" i="55" s="1"/>
  <c r="EO260" i="55" a="1"/>
  <c r="EO260" i="55" s="1"/>
  <c r="W260" i="55"/>
  <c r="EO140" i="55" a="1"/>
  <c r="EO140" i="55" s="1"/>
  <c r="W140" i="55"/>
  <c r="W209" i="55"/>
  <c r="EO209" i="55" a="1"/>
  <c r="EO209" i="55" s="1"/>
  <c r="EO32" i="55" a="1"/>
  <c r="EO32" i="55" s="1"/>
  <c r="W32" i="55"/>
  <c r="EQ189" i="55"/>
  <c r="EP189" i="55" a="1"/>
  <c r="EP189" i="55" s="1"/>
  <c r="EQ342" i="55"/>
  <c r="EP342" i="55" a="1"/>
  <c r="EP342" i="55" s="1"/>
  <c r="EQ18" i="55"/>
  <c r="BT27" i="54" s="1" a="1"/>
  <c r="BT27" i="54" s="1"/>
  <c r="EQ272" i="55"/>
  <c r="EP272" i="55" a="1"/>
  <c r="EP272" i="55" s="1"/>
  <c r="EQ273" i="55"/>
  <c r="EP273" i="55" a="1"/>
  <c r="EP273" i="55" s="1"/>
  <c r="EQ124" i="55"/>
  <c r="EP124" i="55" a="1"/>
  <c r="EP124" i="55" s="1"/>
  <c r="EQ160" i="55"/>
  <c r="EP160" i="55" a="1"/>
  <c r="EP160" i="55" s="1"/>
  <c r="EO267" i="55" a="1"/>
  <c r="EO267" i="55" s="1"/>
  <c r="W267" i="55"/>
  <c r="EQ266" i="55"/>
  <c r="EP266" i="55" a="1"/>
  <c r="EP266" i="55" s="1"/>
  <c r="EQ335" i="55"/>
  <c r="EQ97" i="55"/>
  <c r="EP97" i="55" a="1"/>
  <c r="EP97" i="55" s="1"/>
  <c r="EQ320" i="55"/>
  <c r="EP320" i="55" a="1"/>
  <c r="EP320" i="55" s="1"/>
  <c r="EQ161" i="55"/>
  <c r="EP161" i="55" a="1"/>
  <c r="EP161" i="55" s="1"/>
  <c r="EQ57" i="55"/>
  <c r="EP57" i="55" a="1"/>
  <c r="EP57" i="55" s="1"/>
  <c r="EQ42" i="55"/>
  <c r="EP42" i="55" a="1"/>
  <c r="EP42" i="55" s="1"/>
  <c r="HF6" i="55"/>
  <c r="HG6" i="55" s="1"/>
  <c r="EQ136" i="55"/>
  <c r="EP136" i="55" a="1"/>
  <c r="EP136" i="55" s="1"/>
  <c r="EQ95" i="55"/>
  <c r="EP95" i="55" a="1"/>
  <c r="EP95" i="55" s="1"/>
  <c r="EQ212" i="55"/>
  <c r="EP212" i="55" a="1"/>
  <c r="EP212" i="55" s="1"/>
  <c r="EQ104" i="55"/>
  <c r="EP104" i="55" a="1"/>
  <c r="EP104" i="55" s="1"/>
  <c r="IV46" i="55" a="1"/>
  <c r="IV46" i="55" s="1"/>
  <c r="IW46" i="55" s="1"/>
  <c r="IN46" i="55" a="1"/>
  <c r="IN46" i="55" s="1"/>
  <c r="IO46" i="55" s="1"/>
  <c r="IR46" i="55" a="1"/>
  <c r="IR46" i="55" s="1"/>
  <c r="IS46" i="55" s="1"/>
  <c r="IX46" i="55" a="1"/>
  <c r="IX46" i="55" s="1"/>
  <c r="IY46" i="55" s="1"/>
  <c r="IP46" i="55" a="1"/>
  <c r="IP46" i="55" s="1"/>
  <c r="IQ46" i="55" s="1"/>
  <c r="IT46" i="55" a="1"/>
  <c r="IT46" i="55" s="1"/>
  <c r="IU46" i="55" s="1"/>
  <c r="JU225" i="55"/>
  <c r="JV225" i="55" s="1"/>
  <c r="JV223" i="55"/>
  <c r="EQ68" i="55"/>
  <c r="EP68" i="55" a="1"/>
  <c r="EP68" i="55" s="1"/>
  <c r="EQ40" i="55"/>
  <c r="EP40" i="55" a="1"/>
  <c r="EP40" i="55" s="1"/>
  <c r="EQ115" i="55"/>
  <c r="EP115" i="55" a="1"/>
  <c r="EP115" i="55" s="1"/>
  <c r="EQ305" i="55"/>
  <c r="EP305" i="55" a="1"/>
  <c r="EP305" i="55" s="1"/>
  <c r="EQ201" i="55"/>
  <c r="EP201" i="55" a="1"/>
  <c r="EP201" i="55" s="1"/>
  <c r="JV3" i="55"/>
  <c r="JU3" i="55"/>
  <c r="JO3" i="55"/>
  <c r="HM3" i="55"/>
  <c r="M3" i="55" s="1"/>
  <c r="HN3" i="55" s="1"/>
  <c r="EQ141" i="55"/>
  <c r="EP141" i="55" a="1"/>
  <c r="EP141" i="55" s="1"/>
  <c r="EQ281" i="55"/>
  <c r="EP281" i="55" a="1"/>
  <c r="EP281" i="55" s="1"/>
  <c r="EQ306" i="55"/>
  <c r="EP306" i="55" a="1"/>
  <c r="EP306" i="55" s="1"/>
  <c r="EQ87" i="55"/>
  <c r="EP87" i="55" a="1"/>
  <c r="EP87" i="55" s="1"/>
  <c r="EQ17" i="55"/>
  <c r="BT26" i="54" s="1" a="1"/>
  <c r="BT26" i="54" s="1"/>
  <c r="EQ9" i="55"/>
  <c r="BT18" i="54" s="1" a="1"/>
  <c r="BT18" i="54" s="1"/>
  <c r="EQ286" i="55"/>
  <c r="EP286" i="55" a="1"/>
  <c r="EP286" i="55" s="1"/>
  <c r="JV228" i="55"/>
  <c r="EO185" i="55" a="1"/>
  <c r="EO185" i="55" s="1"/>
  <c r="W185" i="55"/>
  <c r="HQ270" i="55"/>
  <c r="EQ33" i="55"/>
  <c r="EP33" i="55" a="1"/>
  <c r="EP33" i="55" s="1"/>
  <c r="EQ203" i="55"/>
  <c r="EP203" i="55" a="1"/>
  <c r="EP203" i="55" s="1"/>
  <c r="JV272" i="55"/>
  <c r="EQ109" i="55"/>
  <c r="EP109" i="55" a="1"/>
  <c r="EP109" i="55" s="1"/>
  <c r="JU69" i="55"/>
  <c r="JV69" i="55" s="1"/>
  <c r="W257" i="55"/>
  <c r="EO257" i="55" a="1"/>
  <c r="EO257" i="55" s="1"/>
  <c r="GM330" i="55"/>
  <c r="CI330" i="55"/>
  <c r="EQ334" i="55"/>
  <c r="EP334" i="55" a="1"/>
  <c r="EP334" i="55" s="1"/>
  <c r="EQ235" i="55"/>
  <c r="EP235" i="55" a="1"/>
  <c r="EP235" i="55" s="1"/>
  <c r="EQ142" i="55"/>
  <c r="EP142" i="55" a="1"/>
  <c r="EP142" i="55" s="1"/>
  <c r="HI4" i="55"/>
  <c r="HJ4" i="55"/>
  <c r="EQ223" i="55"/>
  <c r="EP223" i="55" a="1"/>
  <c r="EP223" i="55" s="1"/>
  <c r="EQ244" i="55"/>
  <c r="EP244" i="55" a="1"/>
  <c r="EP244" i="55" s="1"/>
  <c r="W218" i="55"/>
  <c r="EO218" i="55" a="1"/>
  <c r="EO218" i="55" s="1"/>
  <c r="EQ329" i="55"/>
  <c r="EP329" i="55" a="1"/>
  <c r="EP329" i="55" s="1"/>
  <c r="EQ108" i="55"/>
  <c r="EP108" i="55" a="1"/>
  <c r="EP108" i="55" s="1"/>
  <c r="EQ322" i="55"/>
  <c r="EP322" i="55" a="1"/>
  <c r="EP322" i="55" s="1"/>
  <c r="JU46" i="55"/>
  <c r="JV46" i="55" s="1"/>
  <c r="EO210" i="55" a="1"/>
  <c r="EO210" i="55" s="1"/>
  <c r="W210" i="55"/>
  <c r="EQ347" i="55"/>
  <c r="EP347" i="55" a="1"/>
  <c r="EP347" i="55" s="1"/>
  <c r="EQ94" i="55"/>
  <c r="EP94" i="55" a="1"/>
  <c r="EP94" i="55" s="1"/>
  <c r="GM19" i="55"/>
  <c r="CI19" i="55"/>
  <c r="EV19" i="55"/>
  <c r="EW19" i="55" s="1"/>
  <c r="EP330" i="55" a="1"/>
  <c r="EP330" i="55" s="1"/>
  <c r="GM184" i="55"/>
  <c r="CI184" i="55"/>
  <c r="EQ47" i="55"/>
  <c r="EP47" i="55" a="1"/>
  <c r="EP47" i="55" s="1"/>
  <c r="EQ313" i="55"/>
  <c r="EQ246" i="55"/>
  <c r="EP246" i="55" a="1"/>
  <c r="EP246" i="55" s="1"/>
  <c r="IV129" i="55" a="1"/>
  <c r="IV129" i="55" s="1"/>
  <c r="IW129" i="55" s="1"/>
  <c r="IX129" i="55" a="1"/>
  <c r="IX129" i="55" s="1"/>
  <c r="IY129" i="55" s="1"/>
  <c r="IR129" i="55" a="1"/>
  <c r="IR129" i="55" s="1"/>
  <c r="IS129" i="55" s="1"/>
  <c r="IP129" i="55" a="1"/>
  <c r="IP129" i="55" s="1"/>
  <c r="IQ129" i="55" s="1"/>
  <c r="IT129" i="55" a="1"/>
  <c r="IT129" i="55" s="1"/>
  <c r="IU129" i="55" s="1"/>
  <c r="IN129" i="55" a="1"/>
  <c r="IN129" i="55" s="1"/>
  <c r="IO129" i="55" s="1"/>
  <c r="EO270" i="55" a="1"/>
  <c r="EO270" i="55" s="1"/>
  <c r="W270" i="55"/>
  <c r="EQ274" i="55"/>
  <c r="EP274" i="55" a="1"/>
  <c r="EP274" i="55" s="1"/>
  <c r="HJ3" i="55"/>
  <c r="HI3" i="55"/>
  <c r="GM13" i="55"/>
  <c r="CI13" i="55"/>
  <c r="EV13" i="55"/>
  <c r="EW13" i="55" s="1"/>
  <c r="EQ269" i="55"/>
  <c r="EP269" i="55" a="1"/>
  <c r="EP269" i="55" s="1"/>
  <c r="EQ51" i="55"/>
  <c r="EP51" i="55" a="1"/>
  <c r="EP51" i="55" s="1"/>
  <c r="EQ67" i="55"/>
  <c r="EP67" i="55" a="1"/>
  <c r="EP67" i="55" s="1"/>
  <c r="EQ338" i="55"/>
  <c r="EP338" i="55" a="1"/>
  <c r="EP338" i="55" s="1"/>
  <c r="EQ230" i="55"/>
  <c r="EP230" i="55" a="1"/>
  <c r="EP230" i="55" s="1"/>
  <c r="EQ138" i="55"/>
  <c r="EP138" i="55" a="1"/>
  <c r="EP138" i="55" s="1"/>
  <c r="EQ16" i="55"/>
  <c r="BT25" i="54" s="1" a="1"/>
  <c r="BT25" i="54" s="1"/>
  <c r="EQ344" i="55"/>
  <c r="EP344" i="55" a="1"/>
  <c r="EP344" i="55" s="1"/>
  <c r="EQ227" i="55"/>
  <c r="EP227" i="55" a="1"/>
  <c r="EP227" i="55" s="1"/>
  <c r="EQ61" i="55"/>
  <c r="EP61" i="55" a="1"/>
  <c r="EP61" i="55" s="1"/>
  <c r="EQ24" i="55"/>
  <c r="EP24" i="55" a="1"/>
  <c r="EP24" i="55" s="1"/>
  <c r="EQ187" i="55"/>
  <c r="EP187" i="55" a="1"/>
  <c r="EP187" i="55" s="1"/>
  <c r="EQ46" i="55"/>
  <c r="EP46" i="55" a="1"/>
  <c r="EP46" i="55" s="1"/>
  <c r="EO190" i="55" a="1"/>
  <c r="EO190" i="55" s="1"/>
  <c r="W190" i="55"/>
  <c r="EQ182" i="55"/>
  <c r="EP182" i="55" a="1"/>
  <c r="EP182" i="55" s="1"/>
  <c r="EQ44" i="55"/>
  <c r="EP44" i="55" a="1"/>
  <c r="EP44" i="55" s="1"/>
  <c r="BA3" i="40" a="1"/>
  <c r="BA3" i="40" s="1"/>
  <c r="EQ90" i="55"/>
  <c r="EP90" i="55" a="1"/>
  <c r="EP90" i="55" s="1"/>
  <c r="EQ323" i="55"/>
  <c r="EP323" i="55" a="1"/>
  <c r="EP323" i="55" s="1"/>
  <c r="JU125" i="55"/>
  <c r="JV125" i="55" s="1"/>
  <c r="EQ310" i="55"/>
  <c r="EP310" i="55" a="1"/>
  <c r="EP310" i="55" s="1"/>
  <c r="EQ120" i="55"/>
  <c r="EP120" i="55" a="1"/>
  <c r="EP120" i="55" s="1"/>
  <c r="EQ144" i="55"/>
  <c r="EP144" i="55" a="1"/>
  <c r="EP144" i="55" s="1"/>
  <c r="BY22" i="54" a="1"/>
  <c r="BY22" i="54" s="1"/>
  <c r="BY19" i="54" a="1"/>
  <c r="BY19" i="54" s="1"/>
  <c r="BY30" i="54" a="1"/>
  <c r="BY30" i="54" s="1"/>
  <c r="BY20" i="54" a="1"/>
  <c r="BY20" i="54" s="1"/>
  <c r="BY24" i="54" a="1"/>
  <c r="BY24" i="54" s="1"/>
  <c r="BY18" i="54" a="1"/>
  <c r="BY18" i="54" s="1"/>
  <c r="BY21" i="54" a="1"/>
  <c r="BY21" i="54" s="1"/>
  <c r="BY28" i="54" a="1"/>
  <c r="BY28" i="54" s="1"/>
  <c r="BY14" i="54" a="1"/>
  <c r="BY14" i="54" s="1"/>
  <c r="BY25" i="54" a="1"/>
  <c r="BY25" i="54" s="1"/>
  <c r="BY17" i="54" a="1"/>
  <c r="BY17" i="54" s="1"/>
  <c r="BY29" i="54" a="1"/>
  <c r="BY29" i="54" s="1"/>
  <c r="BY27" i="54" a="1"/>
  <c r="BY27" i="54" s="1"/>
  <c r="BY26" i="54" a="1"/>
  <c r="BY26" i="54" s="1"/>
  <c r="BY15" i="54" a="1"/>
  <c r="BY15" i="54" s="1"/>
  <c r="BY23" i="54" a="1"/>
  <c r="BY23" i="54" s="1"/>
  <c r="BY16" i="54" a="1"/>
  <c r="BY16" i="54" s="1"/>
  <c r="DY15" i="55"/>
  <c r="HQ15" i="55" s="1"/>
  <c r="DK15" i="55"/>
  <c r="DO15" i="55" s="1"/>
  <c r="JU129" i="55"/>
  <c r="JV129" i="55" s="1"/>
  <c r="EO45" i="55" a="1"/>
  <c r="EO45" i="55" s="1"/>
  <c r="W45" i="55"/>
  <c r="EQ262" i="55"/>
  <c r="EP262" i="55" a="1"/>
  <c r="EP262" i="55" s="1"/>
  <c r="EQ158" i="55"/>
  <c r="EP158" i="55" a="1"/>
  <c r="EP158" i="55" s="1"/>
  <c r="EQ122" i="55"/>
  <c r="EP122" i="55" a="1"/>
  <c r="EP122" i="55" s="1"/>
  <c r="EQ170" i="55"/>
  <c r="EP170" i="55" a="1"/>
  <c r="EP170" i="55" s="1"/>
  <c r="JV299" i="55"/>
  <c r="EQ352" i="55"/>
  <c r="EP352" i="55" a="1"/>
  <c r="EP352" i="55" s="1"/>
  <c r="W188" i="55"/>
  <c r="EO188" i="55" a="1"/>
  <c r="EO188" i="55" s="1"/>
  <c r="EO194" i="55" a="1"/>
  <c r="EO194" i="55" s="1"/>
  <c r="W194" i="55"/>
  <c r="EQ178" i="55"/>
  <c r="EP178" i="55" a="1"/>
  <c r="EP178" i="55" s="1"/>
  <c r="JV145" i="55"/>
  <c r="W8" i="55"/>
  <c r="EO8" i="55" a="1"/>
  <c r="EO8" i="55" s="1"/>
  <c r="W241" i="55"/>
  <c r="EO241" i="55" a="1"/>
  <c r="EO241" i="55" s="1"/>
  <c r="HQ249" i="55"/>
  <c r="EQ217" i="55"/>
  <c r="EP217" i="55" a="1"/>
  <c r="EP217" i="55" s="1"/>
  <c r="EQ91" i="55"/>
  <c r="EP91" i="55" a="1"/>
  <c r="EP91" i="55" s="1"/>
  <c r="T3" i="40" a="1"/>
  <c r="T3" i="40" s="1"/>
  <c r="EQ30" i="55"/>
  <c r="EP30" i="55" a="1"/>
  <c r="EP30" i="55" s="1"/>
  <c r="EQ113" i="55"/>
  <c r="EP113" i="55" a="1"/>
  <c r="EP113" i="55" s="1"/>
  <c r="W152" i="55"/>
  <c r="EO152" i="55" a="1"/>
  <c r="EO152" i="55" s="1"/>
  <c r="HQ280" i="55"/>
  <c r="EQ172" i="55"/>
  <c r="EP172" i="55" a="1"/>
  <c r="EP172" i="55" s="1"/>
  <c r="EV330" i="55"/>
  <c r="EW330" i="55" s="1"/>
  <c r="EQ214" i="55"/>
  <c r="EP214" i="55" a="1"/>
  <c r="EP214" i="55" s="1"/>
  <c r="W232" i="55"/>
  <c r="EO232" i="55" a="1"/>
  <c r="EO232" i="55" s="1"/>
  <c r="EO208" i="55" a="1"/>
  <c r="EO208" i="55" s="1"/>
  <c r="W208" i="55"/>
  <c r="EQ64" i="55"/>
  <c r="EP64" i="55" a="1"/>
  <c r="EP64" i="55" s="1"/>
  <c r="EQ128" i="55"/>
  <c r="EP128" i="55" a="1"/>
  <c r="EP128" i="55" s="1"/>
  <c r="JU244" i="55"/>
  <c r="JV244" i="55" s="1"/>
  <c r="EO234" i="55" a="1"/>
  <c r="EO234" i="55" s="1"/>
  <c r="W234" i="55"/>
  <c r="EQ107" i="55"/>
  <c r="EP107" i="55" a="1"/>
  <c r="EP107" i="55" s="1"/>
  <c r="EQ314" i="55"/>
  <c r="EP314" i="55" a="1"/>
  <c r="EP314" i="55" s="1"/>
  <c r="O16" i="55" a="1"/>
  <c r="O16" i="55" s="1"/>
  <c r="O313" i="55" a="1"/>
  <c r="O313" i="55" s="1"/>
  <c r="EQ207" i="55"/>
  <c r="EP207" i="55" a="1"/>
  <c r="EP207" i="55" s="1"/>
  <c r="EM184" i="55" a="1"/>
  <c r="EM184" i="55" s="1"/>
  <c r="EQ77" i="55"/>
  <c r="EP77" i="55" a="1"/>
  <c r="EP77" i="55" s="1"/>
  <c r="JU324" i="55"/>
  <c r="JV324" i="55" s="1"/>
  <c r="JU97" i="55"/>
  <c r="JV97" i="55" s="1"/>
  <c r="EQ135" i="55"/>
  <c r="EP135" i="55" a="1"/>
  <c r="EP135" i="55" s="1"/>
  <c r="EQ271" i="55"/>
  <c r="EP271" i="55" a="1"/>
  <c r="EP271" i="55" s="1"/>
  <c r="EO250" i="55" a="1"/>
  <c r="EO250" i="55" s="1"/>
  <c r="W250" i="55"/>
  <c r="EQ127" i="55"/>
  <c r="EP127" i="55" a="1"/>
  <c r="EP127" i="55" s="1"/>
  <c r="JU54" i="55"/>
  <c r="JV54" i="55" s="1"/>
  <c r="EQ81" i="55"/>
  <c r="EP81" i="55" a="1"/>
  <c r="EP81" i="55" s="1"/>
  <c r="EQ319" i="55"/>
  <c r="EP319" i="55" a="1"/>
  <c r="EP319" i="55" s="1"/>
  <c r="EQ339" i="55"/>
  <c r="EP339" i="55" a="1"/>
  <c r="EP339" i="55" s="1"/>
  <c r="EQ36" i="55"/>
  <c r="EP36" i="55" a="1"/>
  <c r="EP36" i="55" s="1"/>
  <c r="JU292" i="55"/>
  <c r="JV292" i="55" s="1"/>
  <c r="EQ239" i="55"/>
  <c r="EP239" i="55" a="1"/>
  <c r="EP239" i="55" s="1"/>
  <c r="EQ297" i="55"/>
  <c r="EP297" i="55" a="1"/>
  <c r="EP297" i="55" s="1"/>
  <c r="EQ351" i="55"/>
  <c r="EP351" i="55" a="1"/>
  <c r="EP351" i="55" s="1"/>
  <c r="EQ204" i="55"/>
  <c r="EP204" i="55" a="1"/>
  <c r="EP204" i="55" s="1"/>
  <c r="EQ340" i="55"/>
  <c r="EP340" i="55" a="1"/>
  <c r="EP340" i="55" s="1"/>
  <c r="HD8" i="55"/>
  <c r="HB8" i="55"/>
  <c r="HC8" i="55" s="1"/>
  <c r="HA9" i="55"/>
  <c r="W200" i="55"/>
  <c r="EO200" i="55" a="1"/>
  <c r="EO200" i="55" s="1"/>
  <c r="HQ215" i="55"/>
  <c r="JU282" i="55"/>
  <c r="JV282" i="55" s="1"/>
  <c r="W268" i="55"/>
  <c r="EO268" i="55" a="1"/>
  <c r="EO268" i="55" s="1"/>
  <c r="HQ186" i="55"/>
  <c r="HG5" i="55"/>
  <c r="EQ253" i="55"/>
  <c r="EP253" i="55" a="1"/>
  <c r="EP253" i="55" s="1"/>
  <c r="IV48" i="55" a="1"/>
  <c r="IV48" i="55" s="1"/>
  <c r="IW48" i="55" s="1"/>
  <c r="IP48" i="55" a="1"/>
  <c r="IP48" i="55" s="1"/>
  <c r="IQ48" i="55" s="1"/>
  <c r="IN48" i="55" a="1"/>
  <c r="IN48" i="55" s="1"/>
  <c r="IO48" i="55" s="1"/>
  <c r="IT48" i="55" a="1"/>
  <c r="IT48" i="55" s="1"/>
  <c r="IU48" i="55" s="1"/>
  <c r="IR48" i="55" a="1"/>
  <c r="IR48" i="55" s="1"/>
  <c r="IS48" i="55" s="1"/>
  <c r="IX48" i="55" a="1"/>
  <c r="IX48" i="55" s="1"/>
  <c r="IY48" i="55" s="1"/>
  <c r="C79" i="56"/>
  <c r="D5" i="56"/>
  <c r="EQ224" i="55"/>
  <c r="GM12" i="55"/>
  <c r="CI12" i="55"/>
  <c r="EP12" i="55" a="1"/>
  <c r="EP12" i="55" s="1"/>
  <c r="BR21" i="54" s="1" a="1"/>
  <c r="BR21" i="54" s="1"/>
  <c r="EV12" i="55"/>
  <c r="EW12" i="55" s="1"/>
  <c r="EO146" i="55" a="1"/>
  <c r="EO146" i="55" s="1"/>
  <c r="W146" i="55"/>
  <c r="EQ74" i="55"/>
  <c r="EP74" i="55" a="1"/>
  <c r="EP74" i="55" s="1"/>
  <c r="EQ216" i="55"/>
  <c r="EP216" i="55" a="1"/>
  <c r="EP216" i="55" s="1"/>
  <c r="EQ10" i="55"/>
  <c r="BT20" i="54" s="1" a="1"/>
  <c r="BT20" i="54" s="1"/>
  <c r="EQ137" i="55"/>
  <c r="EP137" i="55" a="1"/>
  <c r="EP137" i="55" s="1"/>
  <c r="JU121" i="55"/>
  <c r="JV121" i="55" s="1"/>
  <c r="HQ275" i="55"/>
  <c r="EQ184" i="55"/>
  <c r="EP184" i="55" a="1"/>
  <c r="EP184" i="55" s="1"/>
  <c r="EQ171" i="55"/>
  <c r="EP171" i="55" a="1"/>
  <c r="EP171" i="55" s="1"/>
  <c r="EQ159" i="55"/>
  <c r="EP159" i="55" a="1"/>
  <c r="EP159" i="55" s="1"/>
  <c r="GM154" i="55"/>
  <c r="CI154" i="55"/>
  <c r="EV154" i="55"/>
  <c r="EW154" i="55" s="1"/>
  <c r="Q154" i="55" s="1"/>
  <c r="EQ199" i="55"/>
  <c r="EP199" i="55" a="1"/>
  <c r="EP199" i="55" s="1"/>
  <c r="EQ254" i="55"/>
  <c r="EP254" i="55" a="1"/>
  <c r="EP254" i="55" s="1"/>
  <c r="EO249" i="55" a="1"/>
  <c r="EO249" i="55" s="1"/>
  <c r="W249" i="55"/>
  <c r="EQ114" i="55"/>
  <c r="EP114" i="55" a="1"/>
  <c r="EP114" i="55" s="1"/>
  <c r="EO280" i="55" a="1"/>
  <c r="EO280" i="55" s="1"/>
  <c r="W280" i="55"/>
  <c r="EQ59" i="55"/>
  <c r="EP59" i="55" a="1"/>
  <c r="EP59" i="55" s="1"/>
  <c r="EQ350" i="55"/>
  <c r="EP350" i="55" a="1"/>
  <c r="EP350" i="55" s="1"/>
  <c r="EQ288" i="55"/>
  <c r="EP288" i="55" a="1"/>
  <c r="EP288" i="55" s="1"/>
  <c r="W186" i="55"/>
  <c r="EO186" i="55" a="1"/>
  <c r="EO186" i="55" s="1"/>
  <c r="EQ168" i="55"/>
  <c r="EP168" i="55" a="1"/>
  <c r="EP168" i="55" s="1"/>
  <c r="EQ43" i="55"/>
  <c r="EP43" i="55" a="1"/>
  <c r="EP43" i="55" s="1"/>
  <c r="AK7" i="55"/>
  <c r="HE7" i="55"/>
  <c r="EO215" i="55" a="1"/>
  <c r="EO215" i="55" s="1"/>
  <c r="W215" i="55"/>
  <c r="EQ202" i="55"/>
  <c r="EP202" i="55" a="1"/>
  <c r="EP202" i="55" s="1"/>
  <c r="HQ278" i="55"/>
  <c r="EQ106" i="55"/>
  <c r="EP106" i="55" a="1"/>
  <c r="EP106" i="55" s="1"/>
  <c r="C78" i="56"/>
  <c r="C75" i="56"/>
  <c r="C76" i="56" s="1" a="1"/>
  <c r="C76" i="56" s="1"/>
  <c r="C77" i="56" s="1"/>
  <c r="HQ256" i="55"/>
  <c r="JU271" i="55"/>
  <c r="JV271" i="55" s="1"/>
  <c r="W145" i="55"/>
  <c r="EO145" i="55" a="1"/>
  <c r="EO145" i="55" s="1"/>
  <c r="EQ219" i="55"/>
  <c r="EP219" i="55" a="1"/>
  <c r="EP219" i="55" s="1"/>
  <c r="EQ328" i="55"/>
  <c r="EP328" i="55" a="1"/>
  <c r="EP328" i="55" s="1"/>
  <c r="EQ258" i="55"/>
  <c r="EP258" i="55" a="1"/>
  <c r="EP258" i="55" s="1"/>
  <c r="EQ282" i="55"/>
  <c r="EP282" i="55" a="1"/>
  <c r="EP282" i="55" s="1"/>
  <c r="HQ267" i="55"/>
  <c r="JU254" i="55"/>
  <c r="JV254" i="55" s="1"/>
  <c r="EQ252" i="55"/>
  <c r="EP252" i="55" a="1"/>
  <c r="EP252" i="55" s="1"/>
  <c r="EQ167" i="55"/>
  <c r="EP167" i="55" a="1"/>
  <c r="EP167" i="55" s="1"/>
  <c r="EQ31" i="55"/>
  <c r="EO275" i="55" a="1"/>
  <c r="EO275" i="55" s="1"/>
  <c r="W275" i="55"/>
  <c r="EM154" i="55" a="1"/>
  <c r="EM154" i="55" s="1"/>
  <c r="EQ110" i="55"/>
  <c r="EP110" i="55" a="1"/>
  <c r="EP110" i="55" s="1"/>
  <c r="BF24" i="54" a="1"/>
  <c r="BF24" i="54" s="1"/>
  <c r="EZ15" i="55"/>
  <c r="EQ191" i="55"/>
  <c r="EP191" i="55" a="1"/>
  <c r="EP191" i="55" s="1"/>
  <c r="JU281" i="55"/>
  <c r="JV281" i="55" s="1"/>
  <c r="EQ96" i="55"/>
  <c r="EP96" i="55" a="1"/>
  <c r="EP96" i="55" s="1"/>
  <c r="EO134" i="55" a="1"/>
  <c r="EO134" i="55" s="1"/>
  <c r="W134" i="55"/>
  <c r="EQ301" i="55"/>
  <c r="EP301" i="55" a="1"/>
  <c r="EP301" i="55" s="1"/>
  <c r="IX51" i="55" a="1"/>
  <c r="IX51" i="55" s="1"/>
  <c r="IY51" i="55" s="1"/>
  <c r="IV51" i="55" a="1"/>
  <c r="IV51" i="55" s="1"/>
  <c r="IW51" i="55" s="1"/>
  <c r="IP51" i="55" a="1"/>
  <c r="IP51" i="55" s="1"/>
  <c r="IQ51" i="55" s="1"/>
  <c r="IR51" i="55" a="1"/>
  <c r="IR51" i="55" s="1"/>
  <c r="IS51" i="55" s="1"/>
  <c r="IT51" i="55" a="1"/>
  <c r="IT51" i="55" s="1"/>
  <c r="IU51" i="55" s="1"/>
  <c r="IN51" i="55" a="1"/>
  <c r="IN51" i="55" s="1"/>
  <c r="IO51" i="55" s="1"/>
  <c r="JO280" i="55"/>
  <c r="JU280" i="55" s="1"/>
  <c r="JV280" i="55" s="1"/>
  <c r="HM280" i="55"/>
  <c r="M280" i="55" s="1"/>
  <c r="HN280" i="55" s="1"/>
  <c r="EQ118" i="55"/>
  <c r="EP118" i="55" a="1"/>
  <c r="EP118" i="55" s="1"/>
  <c r="EQ238" i="55"/>
  <c r="EP238" i="55" a="1"/>
  <c r="EP238" i="55" s="1"/>
  <c r="EQ65" i="55"/>
  <c r="EP65" i="55" a="1"/>
  <c r="EP65" i="55" s="1"/>
  <c r="JV123" i="55"/>
  <c r="EQ54" i="55"/>
  <c r="EP54" i="55" a="1"/>
  <c r="EP54" i="55" s="1"/>
  <c r="HQ188" i="55"/>
  <c r="EQ293" i="55"/>
  <c r="EP293" i="55" a="1"/>
  <c r="EP293" i="55" s="1"/>
  <c r="W278" i="55"/>
  <c r="EO278" i="55" a="1"/>
  <c r="EO278" i="55" s="1"/>
  <c r="EQ148" i="55"/>
  <c r="EP148" i="55" a="1"/>
  <c r="EP148" i="55" s="1"/>
  <c r="EQ56" i="55"/>
  <c r="EP56" i="55" a="1"/>
  <c r="EP56" i="55" s="1"/>
  <c r="EQ15" i="55"/>
  <c r="BT24" i="54" s="1" a="1"/>
  <c r="BT24" i="54" s="1"/>
  <c r="EP15" i="55" a="1"/>
  <c r="EP15" i="55" s="1"/>
  <c r="BR24" i="54" s="1" a="1"/>
  <c r="BR24" i="54" s="1"/>
  <c r="IN47" i="55" a="1"/>
  <c r="IN47" i="55" s="1"/>
  <c r="IO47" i="55" s="1"/>
  <c r="IT47" i="55" a="1"/>
  <c r="IT47" i="55" s="1"/>
  <c r="IU47" i="55" s="1"/>
  <c r="IP47" i="55" a="1"/>
  <c r="IP47" i="55" s="1"/>
  <c r="IQ47" i="55" s="1"/>
  <c r="IX47" i="55" a="1"/>
  <c r="IX47" i="55" s="1"/>
  <c r="IY47" i="55" s="1"/>
  <c r="IR47" i="55" a="1"/>
  <c r="IR47" i="55" s="1"/>
  <c r="IS47" i="55" s="1"/>
  <c r="IV47" i="55" a="1"/>
  <c r="IV47" i="55" s="1"/>
  <c r="IW47" i="55" s="1"/>
  <c r="C64" i="56" a="1"/>
  <c r="C64" i="56" s="1"/>
  <c r="DK283" i="55"/>
  <c r="DO283" i="55" s="1"/>
  <c r="DY283" i="55"/>
  <c r="HQ283" i="55" s="1"/>
  <c r="Y20" i="42"/>
  <c r="AA29" i="42"/>
  <c r="GU36" i="55" l="1"/>
  <c r="GV35" i="55"/>
  <c r="GW35" i="55" s="1"/>
  <c r="FU150" i="55"/>
  <c r="L150" i="55" s="1"/>
  <c r="FV150" i="55" s="1"/>
  <c r="FW150" i="55" s="1"/>
  <c r="FU143" i="55"/>
  <c r="L143" i="55" s="1"/>
  <c r="FV143" i="55" s="1"/>
  <c r="FW143" i="55" s="1"/>
  <c r="FU151" i="55"/>
  <c r="L151" i="55" s="1"/>
  <c r="FV151" i="55" s="1"/>
  <c r="FW151" i="55" s="1"/>
  <c r="FU133" i="55"/>
  <c r="L133" i="55" s="1"/>
  <c r="FV133" i="55" s="1"/>
  <c r="FW133" i="55" s="1"/>
  <c r="FU132" i="55"/>
  <c r="L132" i="55" s="1"/>
  <c r="FV132" i="55" s="1"/>
  <c r="FU139" i="55"/>
  <c r="L139" i="55" s="1"/>
  <c r="FV139" i="55" s="1"/>
  <c r="FW139" i="55" s="1"/>
  <c r="FU153" i="55"/>
  <c r="L153" i="55" s="1"/>
  <c r="FV153" i="55" s="1"/>
  <c r="FW153" i="55" s="1"/>
  <c r="FU131" i="55"/>
  <c r="FU147" i="55"/>
  <c r="FU142" i="55"/>
  <c r="L142" i="55" s="1"/>
  <c r="FV142" i="55" s="1"/>
  <c r="FW142" i="55" s="1"/>
  <c r="FU135" i="55"/>
  <c r="FU149" i="55"/>
  <c r="L149" i="55" s="1"/>
  <c r="FV149" i="55" s="1"/>
  <c r="FW149" i="55" s="1"/>
  <c r="FU141" i="55"/>
  <c r="FU152" i="55"/>
  <c r="L152" i="55" s="1"/>
  <c r="FV152" i="55" s="1"/>
  <c r="FW152" i="55" s="1"/>
  <c r="FU137" i="55"/>
  <c r="L137" i="55" s="1"/>
  <c r="FV137" i="55" s="1"/>
  <c r="FW137" i="55" s="1"/>
  <c r="FU146" i="55"/>
  <c r="L146" i="55" s="1"/>
  <c r="FV146" i="55" s="1"/>
  <c r="FW146" i="55" s="1"/>
  <c r="FU138" i="55"/>
  <c r="FU134" i="55"/>
  <c r="FU145" i="55"/>
  <c r="L145" i="55" s="1"/>
  <c r="FV145" i="55" s="1"/>
  <c r="FW145" i="55" s="1"/>
  <c r="FU148" i="55"/>
  <c r="L148" i="55" s="1"/>
  <c r="FV148" i="55" s="1"/>
  <c r="FW148" i="55" s="1"/>
  <c r="FU136" i="55"/>
  <c r="L136" i="55" s="1"/>
  <c r="FV136" i="55" s="1"/>
  <c r="FW136" i="55" s="1"/>
  <c r="FU144" i="55"/>
  <c r="FU140" i="55"/>
  <c r="L140" i="55" s="1"/>
  <c r="FV140" i="55" s="1"/>
  <c r="FW140" i="55" s="1"/>
  <c r="IX4" i="55" a="1"/>
  <c r="IX4" i="55" s="1"/>
  <c r="IY4" i="55" s="1"/>
  <c r="IP4" i="55" a="1"/>
  <c r="IP4" i="55" s="1"/>
  <c r="IQ4" i="55" s="1"/>
  <c r="IV4" i="55" a="1"/>
  <c r="IV4" i="55" s="1"/>
  <c r="IW4" i="55" s="1"/>
  <c r="IN4" i="55" a="1"/>
  <c r="IN4" i="55" s="1"/>
  <c r="IO4" i="55" s="1"/>
  <c r="IR4" i="55" a="1"/>
  <c r="IR4" i="55" s="1"/>
  <c r="IS4" i="55" s="1"/>
  <c r="IT4" i="55" a="1"/>
  <c r="IT4" i="55" s="1"/>
  <c r="IU4" i="55" s="1"/>
  <c r="GM16" i="55"/>
  <c r="CI16" i="55"/>
  <c r="EV16" i="55"/>
  <c r="EW16" i="55" s="1"/>
  <c r="EQ152" i="55"/>
  <c r="EP152" i="55" a="1"/>
  <c r="EP152" i="55" s="1"/>
  <c r="FU343" i="55"/>
  <c r="FU349" i="55"/>
  <c r="FU348" i="55"/>
  <c r="FU346" i="55"/>
  <c r="FU345" i="55"/>
  <c r="FU342" i="55"/>
  <c r="FU352" i="55"/>
  <c r="L352" i="55" s="1"/>
  <c r="FV352" i="55" s="1"/>
  <c r="FW352" i="55" s="1"/>
  <c r="FU347" i="55"/>
  <c r="FU350" i="55"/>
  <c r="FU344" i="55"/>
  <c r="FU351" i="55"/>
  <c r="L351" i="55" s="1"/>
  <c r="FV351" i="55" s="1"/>
  <c r="EQ210" i="55"/>
  <c r="EP210" i="55" a="1"/>
  <c r="EP210" i="55" s="1"/>
  <c r="FU111" i="55"/>
  <c r="L111" i="55" s="1"/>
  <c r="FV111" i="55" s="1"/>
  <c r="FW111" i="55" s="1"/>
  <c r="FU103" i="55"/>
  <c r="L103" i="55" s="1"/>
  <c r="FV103" i="55" s="1"/>
  <c r="FU119" i="55"/>
  <c r="L119" i="55" s="1"/>
  <c r="FV119" i="55" s="1"/>
  <c r="FW119" i="55" s="1"/>
  <c r="FU126" i="55"/>
  <c r="L126" i="55" s="1"/>
  <c r="FV126" i="55" s="1"/>
  <c r="FW126" i="55" s="1"/>
  <c r="FU129" i="55"/>
  <c r="L129" i="55" s="1"/>
  <c r="FV129" i="55" s="1"/>
  <c r="FW129" i="55" s="1"/>
  <c r="FU125" i="55"/>
  <c r="L125" i="55" s="1"/>
  <c r="FV125" i="55" s="1"/>
  <c r="FW125" i="55" s="1"/>
  <c r="FU116" i="55"/>
  <c r="L116" i="55" s="1"/>
  <c r="FV116" i="55" s="1"/>
  <c r="FW116" i="55" s="1"/>
  <c r="FU105" i="55"/>
  <c r="FU112" i="55"/>
  <c r="L112" i="55" s="1"/>
  <c r="FV112" i="55" s="1"/>
  <c r="FW112" i="55" s="1"/>
  <c r="FU117" i="55"/>
  <c r="L117" i="55" s="1"/>
  <c r="FV117" i="55" s="1"/>
  <c r="FW117" i="55" s="1"/>
  <c r="FU121" i="55"/>
  <c r="L121" i="55" s="1"/>
  <c r="FV121" i="55" s="1"/>
  <c r="FW121" i="55" s="1"/>
  <c r="FU123" i="55"/>
  <c r="L123" i="55" s="1"/>
  <c r="FV123" i="55" s="1"/>
  <c r="FW123" i="55" s="1"/>
  <c r="FU108" i="55"/>
  <c r="L108" i="55" s="1"/>
  <c r="FV108" i="55" s="1"/>
  <c r="FW108" i="55" s="1"/>
  <c r="FU120" i="55"/>
  <c r="L120" i="55" s="1"/>
  <c r="FV120" i="55" s="1"/>
  <c r="FW120" i="55" s="1"/>
  <c r="FU109" i="55"/>
  <c r="L109" i="55" s="1"/>
  <c r="FV109" i="55" s="1"/>
  <c r="FW109" i="55" s="1"/>
  <c r="FU128" i="55"/>
  <c r="L128" i="55" s="1"/>
  <c r="FV128" i="55" s="1"/>
  <c r="FW128" i="55" s="1"/>
  <c r="FU127" i="55"/>
  <c r="L127" i="55" s="1"/>
  <c r="FV127" i="55" s="1"/>
  <c r="FW127" i="55" s="1"/>
  <c r="FU115" i="55"/>
  <c r="L115" i="55" s="1"/>
  <c r="FV115" i="55" s="1"/>
  <c r="FW115" i="55" s="1"/>
  <c r="FU110" i="55"/>
  <c r="L110" i="55" s="1"/>
  <c r="FV110" i="55" s="1"/>
  <c r="FW110" i="55" s="1"/>
  <c r="FU106" i="55"/>
  <c r="L106" i="55" s="1"/>
  <c r="FV106" i="55" s="1"/>
  <c r="FW106" i="55" s="1"/>
  <c r="FU124" i="55"/>
  <c r="L124" i="55" s="1"/>
  <c r="FV124" i="55" s="1"/>
  <c r="FW124" i="55" s="1"/>
  <c r="FU122" i="55"/>
  <c r="L122" i="55" s="1"/>
  <c r="FV122" i="55" s="1"/>
  <c r="FW122" i="55" s="1"/>
  <c r="FU118" i="55"/>
  <c r="L118" i="55" s="1"/>
  <c r="FV118" i="55" s="1"/>
  <c r="FW118" i="55" s="1"/>
  <c r="FU114" i="55"/>
  <c r="L114" i="55" s="1"/>
  <c r="FV114" i="55" s="1"/>
  <c r="FW114" i="55" s="1"/>
  <c r="FU107" i="55"/>
  <c r="L107" i="55" s="1"/>
  <c r="FV107" i="55" s="1"/>
  <c r="FW107" i="55" s="1"/>
  <c r="FU113" i="55"/>
  <c r="L113" i="55" s="1"/>
  <c r="FV113" i="55" s="1"/>
  <c r="FW113" i="55" s="1"/>
  <c r="BF28" i="54" a="1"/>
  <c r="BF28" i="54" s="1"/>
  <c r="EZ19" i="55"/>
  <c r="GM313" i="55"/>
  <c r="CI313" i="55"/>
  <c r="EV313" i="55"/>
  <c r="EW313" i="55" s="1"/>
  <c r="EQ186" i="55"/>
  <c r="EP186" i="55" a="1"/>
  <c r="EP186" i="55" s="1"/>
  <c r="EQ249" i="55"/>
  <c r="EP249" i="55" a="1"/>
  <c r="EP249" i="55" s="1"/>
  <c r="EQ146" i="55"/>
  <c r="EP146" i="55" a="1"/>
  <c r="EP146" i="55" s="1"/>
  <c r="EQ208" i="55"/>
  <c r="EP208" i="55" a="1"/>
  <c r="EP208" i="55" s="1"/>
  <c r="FU244" i="55"/>
  <c r="L244" i="55" s="1"/>
  <c r="FV244" i="55" s="1"/>
  <c r="FW244" i="55" s="1"/>
  <c r="FU272" i="55"/>
  <c r="L272" i="55" s="1"/>
  <c r="FV272" i="55" s="1"/>
  <c r="FW272" i="55" s="1"/>
  <c r="FU229" i="55"/>
  <c r="L229" i="55" s="1"/>
  <c r="FV229" i="55" s="1"/>
  <c r="FW229" i="55" s="1"/>
  <c r="FU265" i="55"/>
  <c r="L265" i="55" s="1"/>
  <c r="FV265" i="55" s="1"/>
  <c r="FW265" i="55" s="1"/>
  <c r="FU276" i="55"/>
  <c r="L276" i="55" s="1"/>
  <c r="FV276" i="55" s="1"/>
  <c r="FW276" i="55" s="1"/>
  <c r="FU245" i="55"/>
  <c r="L245" i="55" s="1"/>
  <c r="FV245" i="55" s="1"/>
  <c r="FW245" i="55" s="1"/>
  <c r="FU230" i="55"/>
  <c r="L230" i="55" s="1"/>
  <c r="FV230" i="55" s="1"/>
  <c r="FW230" i="55" s="1"/>
  <c r="FU252" i="55"/>
  <c r="FU235" i="55"/>
  <c r="FU231" i="55"/>
  <c r="L231" i="55" s="1"/>
  <c r="FV231" i="55" s="1"/>
  <c r="FW231" i="55" s="1"/>
  <c r="FU277" i="55"/>
  <c r="L277" i="55" s="1"/>
  <c r="FV277" i="55" s="1"/>
  <c r="FW277" i="55" s="1"/>
  <c r="FU259" i="55"/>
  <c r="L259" i="55" s="1"/>
  <c r="FV259" i="55" s="1"/>
  <c r="FW259" i="55" s="1"/>
  <c r="FU269" i="55"/>
  <c r="L269" i="55" s="1"/>
  <c r="FV269" i="55" s="1"/>
  <c r="FW269" i="55" s="1"/>
  <c r="FU273" i="55"/>
  <c r="L273" i="55" s="1"/>
  <c r="FV273" i="55" s="1"/>
  <c r="FW273" i="55" s="1"/>
  <c r="FU225" i="55"/>
  <c r="FU263" i="55"/>
  <c r="L263" i="55" s="1"/>
  <c r="FV263" i="55" s="1"/>
  <c r="FW263" i="55" s="1"/>
  <c r="FU271" i="55"/>
  <c r="L271" i="55" s="1"/>
  <c r="FV271" i="55" s="1"/>
  <c r="FW271" i="55" s="1"/>
  <c r="FU226" i="55"/>
  <c r="L226" i="55" s="1"/>
  <c r="FV226" i="55" s="1"/>
  <c r="FU261" i="55"/>
  <c r="FU266" i="55"/>
  <c r="L266" i="55" s="1"/>
  <c r="FV266" i="55" s="1"/>
  <c r="FW266" i="55" s="1"/>
  <c r="FU251" i="55"/>
  <c r="L251" i="55" s="1"/>
  <c r="FV251" i="55" s="1"/>
  <c r="FW251" i="55" s="1"/>
  <c r="FU227" i="55"/>
  <c r="L227" i="55" s="1"/>
  <c r="FV227" i="55" s="1"/>
  <c r="FW227" i="55" s="1"/>
  <c r="FU228" i="55"/>
  <c r="FU247" i="55"/>
  <c r="L247" i="55" s="1"/>
  <c r="FV247" i="55" s="1"/>
  <c r="FW247" i="55" s="1"/>
  <c r="FU233" i="55"/>
  <c r="L233" i="55" s="1"/>
  <c r="FV233" i="55" s="1"/>
  <c r="FW233" i="55" s="1"/>
  <c r="FU236" i="55"/>
  <c r="L236" i="55" s="1"/>
  <c r="FV236" i="55" s="1"/>
  <c r="FW236" i="55" s="1"/>
  <c r="FU255" i="55"/>
  <c r="L255" i="55" s="1"/>
  <c r="FV255" i="55" s="1"/>
  <c r="FW255" i="55" s="1"/>
  <c r="FU264" i="55"/>
  <c r="L264" i="55" s="1"/>
  <c r="FV264" i="55" s="1"/>
  <c r="FW264" i="55" s="1"/>
  <c r="FU243" i="55"/>
  <c r="L243" i="55" s="1"/>
  <c r="FV243" i="55" s="1"/>
  <c r="FW243" i="55" s="1"/>
  <c r="FU248" i="55"/>
  <c r="L248" i="55" s="1"/>
  <c r="FV248" i="55" s="1"/>
  <c r="FW248" i="55" s="1"/>
  <c r="FU240" i="55"/>
  <c r="L240" i="55" s="1"/>
  <c r="FV240" i="55" s="1"/>
  <c r="FW240" i="55" s="1"/>
  <c r="FU242" i="55"/>
  <c r="FU281" i="55"/>
  <c r="L281" i="55" s="1"/>
  <c r="FV281" i="55" s="1"/>
  <c r="FW281" i="55" s="1"/>
  <c r="FU241" i="55"/>
  <c r="L241" i="55" s="1"/>
  <c r="FV241" i="55" s="1"/>
  <c r="FW241" i="55" s="1"/>
  <c r="FU260" i="55"/>
  <c r="L260" i="55" s="1"/>
  <c r="FV260" i="55" s="1"/>
  <c r="FW260" i="55" s="1"/>
  <c r="FU232" i="55"/>
  <c r="L232" i="55" s="1"/>
  <c r="FV232" i="55" s="1"/>
  <c r="FW232" i="55" s="1"/>
  <c r="FU262" i="55"/>
  <c r="L262" i="55" s="1"/>
  <c r="FV262" i="55" s="1"/>
  <c r="FW262" i="55" s="1"/>
  <c r="FU268" i="55"/>
  <c r="L268" i="55" s="1"/>
  <c r="FV268" i="55" s="1"/>
  <c r="FW268" i="55" s="1"/>
  <c r="FU279" i="55"/>
  <c r="L279" i="55" s="1"/>
  <c r="FV279" i="55" s="1"/>
  <c r="FW279" i="55" s="1"/>
  <c r="FU282" i="55"/>
  <c r="L282" i="55" s="1"/>
  <c r="FV282" i="55" s="1"/>
  <c r="FW282" i="55" s="1"/>
  <c r="FU270" i="55"/>
  <c r="L270" i="55" s="1"/>
  <c r="FV270" i="55" s="1"/>
  <c r="FW270" i="55" s="1"/>
  <c r="FU239" i="55"/>
  <c r="L239" i="55" s="1"/>
  <c r="FV239" i="55" s="1"/>
  <c r="FW239" i="55" s="1"/>
  <c r="FU234" i="55"/>
  <c r="L234" i="55" s="1"/>
  <c r="FV234" i="55" s="1"/>
  <c r="FW234" i="55" s="1"/>
  <c r="FU249" i="55"/>
  <c r="FU238" i="55"/>
  <c r="L238" i="55" s="1"/>
  <c r="FV238" i="55" s="1"/>
  <c r="FW238" i="55" s="1"/>
  <c r="FU246" i="55"/>
  <c r="L246" i="55" s="1"/>
  <c r="FV246" i="55" s="1"/>
  <c r="FW246" i="55" s="1"/>
  <c r="FU256" i="55"/>
  <c r="L256" i="55" s="1"/>
  <c r="FV256" i="55" s="1"/>
  <c r="FW256" i="55" s="1"/>
  <c r="FU237" i="55"/>
  <c r="L237" i="55" s="1"/>
  <c r="FV237" i="55" s="1"/>
  <c r="FW237" i="55" s="1"/>
  <c r="FU250" i="55"/>
  <c r="L250" i="55" s="1"/>
  <c r="FV250" i="55" s="1"/>
  <c r="FW250" i="55" s="1"/>
  <c r="FU254" i="55"/>
  <c r="L254" i="55" s="1"/>
  <c r="FV254" i="55" s="1"/>
  <c r="FW254" i="55" s="1"/>
  <c r="FU278" i="55"/>
  <c r="L278" i="55" s="1"/>
  <c r="FV278" i="55" s="1"/>
  <c r="FW278" i="55" s="1"/>
  <c r="FU253" i="55"/>
  <c r="L253" i="55" s="1"/>
  <c r="FV253" i="55" s="1"/>
  <c r="FW253" i="55" s="1"/>
  <c r="FU258" i="55"/>
  <c r="FU275" i="55"/>
  <c r="L275" i="55" s="1"/>
  <c r="FV275" i="55" s="1"/>
  <c r="FW275" i="55" s="1"/>
  <c r="FU257" i="55"/>
  <c r="L257" i="55" s="1"/>
  <c r="FV257" i="55" s="1"/>
  <c r="FW257" i="55" s="1"/>
  <c r="FU280" i="55"/>
  <c r="L280" i="55" s="1"/>
  <c r="FV280" i="55" s="1"/>
  <c r="FW280" i="55" s="1"/>
  <c r="FU267" i="55"/>
  <c r="L267" i="55" s="1"/>
  <c r="FV267" i="55" s="1"/>
  <c r="FW267" i="55" s="1"/>
  <c r="DK330" i="55"/>
  <c r="DO330" i="55" s="1"/>
  <c r="DY330" i="55"/>
  <c r="HQ330" i="55" s="1"/>
  <c r="EQ241" i="55"/>
  <c r="EP241" i="55" a="1"/>
  <c r="EP241" i="55" s="1"/>
  <c r="EQ194" i="55"/>
  <c r="EP194" i="55" a="1"/>
  <c r="EP194" i="55" s="1"/>
  <c r="FU28" i="55"/>
  <c r="L28" i="55" s="1"/>
  <c r="FV28" i="55" s="1"/>
  <c r="FW28" i="55" s="1"/>
  <c r="FU27" i="55"/>
  <c r="L27" i="55" s="1"/>
  <c r="FV27" i="55" s="1"/>
  <c r="EQ267" i="55"/>
  <c r="EP267" i="55" a="1"/>
  <c r="EP267" i="55" s="1"/>
  <c r="EQ215" i="55"/>
  <c r="EP215" i="55" a="1"/>
  <c r="EP215" i="55" s="1"/>
  <c r="DK12" i="55"/>
  <c r="DO12" i="55" s="1"/>
  <c r="DY12" i="55"/>
  <c r="HQ12" i="55" s="1"/>
  <c r="EQ250" i="55"/>
  <c r="EP250" i="55" a="1"/>
  <c r="EP250" i="55" s="1"/>
  <c r="FU326" i="55"/>
  <c r="FU325" i="55"/>
  <c r="L325" i="55" s="1"/>
  <c r="FV325" i="55" s="1"/>
  <c r="FU327" i="55"/>
  <c r="FU328" i="55"/>
  <c r="FU329" i="55"/>
  <c r="FU39" i="55"/>
  <c r="L39" i="55" s="1"/>
  <c r="FV39" i="55" s="1"/>
  <c r="FW39" i="55" s="1"/>
  <c r="FU47" i="55"/>
  <c r="L47" i="55" s="1"/>
  <c r="FV47" i="55" s="1"/>
  <c r="FW47" i="55" s="1"/>
  <c r="FU37" i="55"/>
  <c r="L37" i="55" s="1"/>
  <c r="FV37" i="55" s="1"/>
  <c r="FW37" i="55" s="1"/>
  <c r="FU48" i="55"/>
  <c r="L48" i="55" s="1"/>
  <c r="FV48" i="55" s="1"/>
  <c r="FW48" i="55" s="1"/>
  <c r="FU36" i="55"/>
  <c r="L36" i="55" s="1"/>
  <c r="FV36" i="55" s="1"/>
  <c r="FW36" i="55" s="1"/>
  <c r="FU41" i="55"/>
  <c r="L41" i="55" s="1"/>
  <c r="FV41" i="55" s="1"/>
  <c r="FW41" i="55" s="1"/>
  <c r="FU40" i="55"/>
  <c r="L40" i="55" s="1"/>
  <c r="FV40" i="55" s="1"/>
  <c r="FW40" i="55" s="1"/>
  <c r="FU34" i="55"/>
  <c r="L34" i="55" s="1"/>
  <c r="FV34" i="55" s="1"/>
  <c r="FW34" i="55" s="1"/>
  <c r="FU52" i="55"/>
  <c r="L52" i="55" s="1"/>
  <c r="FV52" i="55" s="1"/>
  <c r="FW52" i="55" s="1"/>
  <c r="FU51" i="55"/>
  <c r="L51" i="55" s="1"/>
  <c r="FV51" i="55" s="1"/>
  <c r="FW51" i="55" s="1"/>
  <c r="FU50" i="55"/>
  <c r="L50" i="55" s="1"/>
  <c r="FV50" i="55" s="1"/>
  <c r="FW50" i="55" s="1"/>
  <c r="FU35" i="55"/>
  <c r="L35" i="55" s="1"/>
  <c r="FV35" i="55" s="1"/>
  <c r="FW35" i="55" s="1"/>
  <c r="FU38" i="55"/>
  <c r="L38" i="55" s="1"/>
  <c r="FV38" i="55" s="1"/>
  <c r="FW38" i="55" s="1"/>
  <c r="FU49" i="55"/>
  <c r="L49" i="55" s="1"/>
  <c r="FV49" i="55" s="1"/>
  <c r="FW49" i="55" s="1"/>
  <c r="FU32" i="55"/>
  <c r="L32" i="55" s="1"/>
  <c r="FV32" i="55" s="1"/>
  <c r="FU44" i="55"/>
  <c r="L44" i="55" s="1"/>
  <c r="FV44" i="55" s="1"/>
  <c r="FW44" i="55" s="1"/>
  <c r="FU42" i="55"/>
  <c r="L42" i="55" s="1"/>
  <c r="FV42" i="55" s="1"/>
  <c r="FW42" i="55" s="1"/>
  <c r="FU33" i="55"/>
  <c r="L33" i="55" s="1"/>
  <c r="FV33" i="55" s="1"/>
  <c r="FW33" i="55" s="1"/>
  <c r="FU46" i="55"/>
  <c r="L46" i="55" s="1"/>
  <c r="FV46" i="55" s="1"/>
  <c r="FW46" i="55" s="1"/>
  <c r="FU45" i="55"/>
  <c r="L45" i="55" s="1"/>
  <c r="FV45" i="55" s="1"/>
  <c r="FW45" i="55" s="1"/>
  <c r="FU43" i="55"/>
  <c r="L43" i="55" s="1"/>
  <c r="FV43" i="55" s="1"/>
  <c r="FW43" i="55" s="1"/>
  <c r="EP16" i="55" a="1"/>
  <c r="EP16" i="55" s="1"/>
  <c r="BR25" i="54" s="1" a="1"/>
  <c r="BR25" i="54" s="1"/>
  <c r="IF3" i="55"/>
  <c r="IG3" i="55" s="1"/>
  <c r="JR3" i="55"/>
  <c r="DY19" i="55"/>
  <c r="HQ19" i="55" s="1"/>
  <c r="DK19" i="55"/>
  <c r="DO19" i="55" s="1"/>
  <c r="EQ140" i="55"/>
  <c r="EP140" i="55" a="1"/>
  <c r="EP140" i="55" s="1"/>
  <c r="BF21" i="54" a="1"/>
  <c r="BF21" i="54" s="1"/>
  <c r="EZ12" i="55"/>
  <c r="EQ200" i="55"/>
  <c r="EP200" i="55" a="1"/>
  <c r="EP200" i="55" s="1"/>
  <c r="FU318" i="55"/>
  <c r="FU324" i="55"/>
  <c r="FU317" i="55"/>
  <c r="L317" i="55" s="1"/>
  <c r="FV317" i="55" s="1"/>
  <c r="FU319" i="55"/>
  <c r="FU323" i="55"/>
  <c r="FU322" i="55"/>
  <c r="FU320" i="55"/>
  <c r="FU321" i="55"/>
  <c r="EQ280" i="55"/>
  <c r="EP280" i="55" a="1"/>
  <c r="EP280" i="55" s="1"/>
  <c r="HD9" i="55"/>
  <c r="HB9" i="55"/>
  <c r="HC9" i="55" s="1"/>
  <c r="HA10" i="55"/>
  <c r="EQ234" i="55"/>
  <c r="EP234" i="55" a="1"/>
  <c r="EP234" i="55" s="1"/>
  <c r="JA4" i="55"/>
  <c r="HP4" i="55"/>
  <c r="IZ4" i="55" s="1"/>
  <c r="HO4" i="55"/>
  <c r="HR4" i="55"/>
  <c r="FU192" i="55"/>
  <c r="FU212" i="55"/>
  <c r="FU193" i="55"/>
  <c r="FU199" i="55"/>
  <c r="FU201" i="55"/>
  <c r="FU191" i="55"/>
  <c r="FU198" i="55"/>
  <c r="FU214" i="55"/>
  <c r="FU202" i="55"/>
  <c r="FU205" i="55"/>
  <c r="FU206" i="55"/>
  <c r="FU216" i="55"/>
  <c r="FU197" i="55"/>
  <c r="FU213" i="55"/>
  <c r="FU196" i="55"/>
  <c r="FU217" i="55"/>
  <c r="FU211" i="55"/>
  <c r="FU195" i="55"/>
  <c r="FU187" i="55"/>
  <c r="FU204" i="55"/>
  <c r="FU219" i="55"/>
  <c r="FU221" i="55"/>
  <c r="FU220" i="55"/>
  <c r="FU194" i="55"/>
  <c r="FU208" i="55"/>
  <c r="FU203" i="55"/>
  <c r="FU207" i="55"/>
  <c r="FU209" i="55"/>
  <c r="FU188" i="55"/>
  <c r="FU215" i="55"/>
  <c r="FU186" i="55"/>
  <c r="FU185" i="55"/>
  <c r="FU210" i="55"/>
  <c r="FU190" i="55"/>
  <c r="FU189" i="55"/>
  <c r="FU200" i="55"/>
  <c r="FU218" i="55"/>
  <c r="FU222" i="55"/>
  <c r="FU223" i="55"/>
  <c r="EQ278" i="55"/>
  <c r="EP278" i="55" a="1"/>
  <c r="EP278" i="55" s="1"/>
  <c r="EQ232" i="55"/>
  <c r="EP232" i="55" a="1"/>
  <c r="EP232" i="55" s="1"/>
  <c r="JA3" i="55"/>
  <c r="HO3" i="55"/>
  <c r="HR3" i="55"/>
  <c r="HP3" i="55"/>
  <c r="HK3" i="55"/>
  <c r="EQ275" i="55"/>
  <c r="EP275" i="55" a="1"/>
  <c r="EP275" i="55" s="1"/>
  <c r="FU337" i="55"/>
  <c r="L337" i="55" s="1"/>
  <c r="FV337" i="55" s="1"/>
  <c r="FU338" i="55"/>
  <c r="L338" i="55" s="1"/>
  <c r="FV338" i="55" s="1"/>
  <c r="FW338" i="55" s="1"/>
  <c r="FU339" i="55"/>
  <c r="L339" i="55" s="1"/>
  <c r="FV339" i="55" s="1"/>
  <c r="FW339" i="55" s="1"/>
  <c r="FU340" i="55"/>
  <c r="L340" i="55" s="1"/>
  <c r="FV340" i="55" s="1"/>
  <c r="FW340" i="55" s="1"/>
  <c r="JQ6" i="55"/>
  <c r="EQ260" i="55"/>
  <c r="EP260" i="55" a="1"/>
  <c r="EP260" i="55" s="1"/>
  <c r="HL15" i="55"/>
  <c r="GK15" i="55"/>
  <c r="HF7" i="55"/>
  <c r="HG7" i="55" s="1"/>
  <c r="AK8" i="55"/>
  <c r="HE8" i="55"/>
  <c r="EQ188" i="55"/>
  <c r="EP188" i="55" a="1"/>
  <c r="EP188" i="55" s="1"/>
  <c r="IF4" i="55"/>
  <c r="IG4" i="55" s="1"/>
  <c r="JR4" i="55"/>
  <c r="EQ190" i="55"/>
  <c r="EP190" i="55" a="1"/>
  <c r="EP190" i="55" s="1"/>
  <c r="EQ145" i="55"/>
  <c r="EP145" i="55" a="1"/>
  <c r="EP145" i="55" s="1"/>
  <c r="JQ5" i="55"/>
  <c r="HH5" i="55"/>
  <c r="DK154" i="55"/>
  <c r="DO154" i="55" s="1"/>
  <c r="DY154" i="55"/>
  <c r="HQ154" i="55" s="1"/>
  <c r="EZ330" i="55"/>
  <c r="GK330" i="55" s="1"/>
  <c r="FU333" i="55"/>
  <c r="FU331" i="55"/>
  <c r="FU332" i="55"/>
  <c r="FU334" i="55"/>
  <c r="JP3" i="55"/>
  <c r="EQ32" i="55"/>
  <c r="EP32" i="55" a="1"/>
  <c r="EP32" i="55" s="1"/>
  <c r="EQ256" i="55"/>
  <c r="EP256" i="55" a="1"/>
  <c r="EP256" i="55" s="1"/>
  <c r="FU6" i="55"/>
  <c r="L6" i="55" s="1"/>
  <c r="FV6" i="55" s="1"/>
  <c r="FW6" i="55" s="1"/>
  <c r="FU19" i="55"/>
  <c r="L19" i="55" s="1"/>
  <c r="FV19" i="55" s="1"/>
  <c r="FW19" i="55" s="1"/>
  <c r="FU5" i="55"/>
  <c r="L5" i="55" s="1"/>
  <c r="FV5" i="55" s="1"/>
  <c r="FU23" i="55"/>
  <c r="L23" i="55" s="1"/>
  <c r="FV23" i="55" s="1"/>
  <c r="FW23" i="55" s="1"/>
  <c r="FU17" i="55"/>
  <c r="L17" i="55" s="1"/>
  <c r="FV17" i="55" s="1"/>
  <c r="FW17" i="55" s="1"/>
  <c r="FU24" i="55"/>
  <c r="L24" i="55" s="1"/>
  <c r="FV24" i="55" s="1"/>
  <c r="FW24" i="55" s="1"/>
  <c r="FU18" i="55"/>
  <c r="L18" i="55" s="1"/>
  <c r="FV18" i="55" s="1"/>
  <c r="FW18" i="55" s="1"/>
  <c r="IL3" i="55"/>
  <c r="IM3" i="55" s="1"/>
  <c r="H9" i="56" a="1"/>
  <c r="H9" i="56" s="1"/>
  <c r="C9" i="56" a="1"/>
  <c r="C9" i="56" s="1"/>
  <c r="C31" i="56" a="1"/>
  <c r="C31" i="56" s="1"/>
  <c r="EQ45" i="55"/>
  <c r="EP45" i="55" a="1"/>
  <c r="EP45" i="55" s="1"/>
  <c r="FU174" i="55"/>
  <c r="FU166" i="55"/>
  <c r="FU169" i="55"/>
  <c r="FU163" i="55"/>
  <c r="FU157" i="55"/>
  <c r="FU175" i="55"/>
  <c r="FU155" i="55"/>
  <c r="FU183" i="55"/>
  <c r="FU177" i="55"/>
  <c r="FU176" i="55"/>
  <c r="FU164" i="55"/>
  <c r="FU181" i="55"/>
  <c r="FU180" i="55"/>
  <c r="FU156" i="55"/>
  <c r="FU162" i="55"/>
  <c r="FU165" i="55"/>
  <c r="FU173" i="55"/>
  <c r="FU160" i="55"/>
  <c r="FU170" i="55"/>
  <c r="FU179" i="55"/>
  <c r="FU159" i="55"/>
  <c r="FU172" i="55"/>
  <c r="FU167" i="55"/>
  <c r="FU171" i="55"/>
  <c r="FU168" i="55"/>
  <c r="FU182" i="55"/>
  <c r="FU178" i="55"/>
  <c r="FU158" i="55"/>
  <c r="FU161" i="55"/>
  <c r="EZ13" i="55"/>
  <c r="BF22" i="54" a="1"/>
  <c r="BF22" i="54" s="1"/>
  <c r="EQ8" i="55"/>
  <c r="BT17" i="54" s="1" a="1"/>
  <c r="BT17" i="54" s="1"/>
  <c r="EQ257" i="55"/>
  <c r="EP257" i="55" a="1"/>
  <c r="EP257" i="55" s="1"/>
  <c r="EQ237" i="55"/>
  <c r="EP237" i="55" a="1"/>
  <c r="EP237" i="55" s="1"/>
  <c r="EQ134" i="55"/>
  <c r="EP134" i="55" a="1"/>
  <c r="EP134" i="55" s="1"/>
  <c r="EQ268" i="55"/>
  <c r="EP268" i="55" a="1"/>
  <c r="EP268" i="55" s="1"/>
  <c r="FU99" i="55"/>
  <c r="FU89" i="55"/>
  <c r="FU100" i="55"/>
  <c r="FU93" i="55"/>
  <c r="FU98" i="55"/>
  <c r="FU101" i="55"/>
  <c r="FU92" i="55"/>
  <c r="L92" i="55" s="1"/>
  <c r="FV92" i="55" s="1"/>
  <c r="FU91" i="55"/>
  <c r="FU96" i="55"/>
  <c r="FU95" i="55"/>
  <c r="FU90" i="55"/>
  <c r="FU97" i="55"/>
  <c r="FU94" i="55"/>
  <c r="DK13" i="55"/>
  <c r="DO13" i="55" s="1"/>
  <c r="DY13" i="55"/>
  <c r="HQ13" i="55" s="1"/>
  <c r="EQ270" i="55"/>
  <c r="EP270" i="55" a="1"/>
  <c r="EP270" i="55" s="1"/>
  <c r="EQ209" i="55"/>
  <c r="EP209" i="55" a="1"/>
  <c r="EP209" i="55" s="1"/>
  <c r="FU70" i="55"/>
  <c r="L70" i="55" s="1"/>
  <c r="FV70" i="55" s="1"/>
  <c r="FW70" i="55" s="1"/>
  <c r="FU62" i="55"/>
  <c r="L62" i="55" s="1"/>
  <c r="FV62" i="55" s="1"/>
  <c r="FW62" i="55" s="1"/>
  <c r="FU69" i="55"/>
  <c r="L69" i="55" s="1"/>
  <c r="FV69" i="55" s="1"/>
  <c r="FW69" i="55" s="1"/>
  <c r="FU58" i="55"/>
  <c r="L58" i="55" s="1"/>
  <c r="FV58" i="55" s="1"/>
  <c r="FW58" i="55" s="1"/>
  <c r="FU71" i="55"/>
  <c r="L71" i="55" s="1"/>
  <c r="FV71" i="55" s="1"/>
  <c r="FW71" i="55" s="1"/>
  <c r="FU66" i="55"/>
  <c r="L66" i="55" s="1"/>
  <c r="FV66" i="55" s="1"/>
  <c r="FW66" i="55" s="1"/>
  <c r="FU60" i="55"/>
  <c r="L60" i="55" s="1"/>
  <c r="FV60" i="55" s="1"/>
  <c r="FW60" i="55" s="1"/>
  <c r="FU73" i="55"/>
  <c r="L73" i="55" s="1"/>
  <c r="FV73" i="55" s="1"/>
  <c r="FW73" i="55" s="1"/>
  <c r="FU63" i="55"/>
  <c r="L63" i="55" s="1"/>
  <c r="FV63" i="55" s="1"/>
  <c r="FW63" i="55" s="1"/>
  <c r="FU72" i="55"/>
  <c r="L72" i="55" s="1"/>
  <c r="FV72" i="55" s="1"/>
  <c r="FW72" i="55" s="1"/>
  <c r="FU79" i="55"/>
  <c r="L79" i="55" s="1"/>
  <c r="FV79" i="55" s="1"/>
  <c r="FW79" i="55" s="1"/>
  <c r="FU78" i="55"/>
  <c r="L78" i="55" s="1"/>
  <c r="FV78" i="55" s="1"/>
  <c r="FW78" i="55" s="1"/>
  <c r="FU55" i="55"/>
  <c r="L55" i="55" s="1"/>
  <c r="FV55" i="55" s="1"/>
  <c r="FW55" i="55" s="1"/>
  <c r="FU76" i="55"/>
  <c r="L76" i="55" s="1"/>
  <c r="FV76" i="55" s="1"/>
  <c r="FW76" i="55" s="1"/>
  <c r="FU75" i="55"/>
  <c r="L75" i="55" s="1"/>
  <c r="FV75" i="55" s="1"/>
  <c r="FW75" i="55" s="1"/>
  <c r="FU64" i="55"/>
  <c r="L64" i="55" s="1"/>
  <c r="FV64" i="55" s="1"/>
  <c r="FW64" i="55" s="1"/>
  <c r="FU61" i="55"/>
  <c r="L61" i="55" s="1"/>
  <c r="FV61" i="55" s="1"/>
  <c r="FW61" i="55" s="1"/>
  <c r="FU59" i="55"/>
  <c r="L59" i="55" s="1"/>
  <c r="FV59" i="55" s="1"/>
  <c r="FW59" i="55" s="1"/>
  <c r="FU57" i="55"/>
  <c r="L57" i="55" s="1"/>
  <c r="FV57" i="55" s="1"/>
  <c r="FW57" i="55" s="1"/>
  <c r="FU65" i="55"/>
  <c r="L65" i="55" s="1"/>
  <c r="FV65" i="55" s="1"/>
  <c r="FW65" i="55" s="1"/>
  <c r="FU56" i="55"/>
  <c r="L56" i="55" s="1"/>
  <c r="FV56" i="55" s="1"/>
  <c r="FW56" i="55" s="1"/>
  <c r="FU77" i="55"/>
  <c r="L77" i="55" s="1"/>
  <c r="FV77" i="55" s="1"/>
  <c r="FW77" i="55" s="1"/>
  <c r="FU74" i="55"/>
  <c r="L74" i="55" s="1"/>
  <c r="FV74" i="55" s="1"/>
  <c r="FW74" i="55" s="1"/>
  <c r="FU54" i="55"/>
  <c r="L54" i="55" s="1"/>
  <c r="FV54" i="55" s="1"/>
  <c r="FU68" i="55"/>
  <c r="L68" i="55" s="1"/>
  <c r="FV68" i="55" s="1"/>
  <c r="FW68" i="55" s="1"/>
  <c r="FU67" i="55"/>
  <c r="L67" i="55" s="1"/>
  <c r="FV67" i="55" s="1"/>
  <c r="FW67" i="55" s="1"/>
  <c r="EP313" i="55" a="1"/>
  <c r="EP313" i="55" s="1"/>
  <c r="EQ185" i="55"/>
  <c r="EP185" i="55" a="1"/>
  <c r="EP185" i="55" s="1"/>
  <c r="FU311" i="55"/>
  <c r="FU303" i="55"/>
  <c r="FU295" i="55"/>
  <c r="FU308" i="55"/>
  <c r="FU294" i="55"/>
  <c r="FU292" i="55"/>
  <c r="FU304" i="55"/>
  <c r="FU312" i="55"/>
  <c r="FU299" i="55"/>
  <c r="FU291" i="55"/>
  <c r="FU307" i="55"/>
  <c r="FU290" i="55"/>
  <c r="FU285" i="55"/>
  <c r="FU284" i="55"/>
  <c r="FU309" i="55"/>
  <c r="FU296" i="55"/>
  <c r="FU302" i="55"/>
  <c r="FU298" i="55"/>
  <c r="FU289" i="55"/>
  <c r="FU300" i="55"/>
  <c r="FU287" i="55"/>
  <c r="FU293" i="55"/>
  <c r="FU310" i="55"/>
  <c r="FU288" i="55"/>
  <c r="FU301" i="55"/>
  <c r="FU286" i="55"/>
  <c r="FU306" i="55"/>
  <c r="FU305" i="55"/>
  <c r="FU297" i="55"/>
  <c r="DK184" i="55"/>
  <c r="DO184" i="55" s="1"/>
  <c r="DY184" i="55"/>
  <c r="HQ184" i="55" s="1"/>
  <c r="EQ218" i="55"/>
  <c r="EP218" i="55" a="1"/>
  <c r="EP218" i="55" s="1"/>
  <c r="C20" i="56" a="1"/>
  <c r="C20" i="56" s="1"/>
  <c r="AA30" i="42"/>
  <c r="AA31" i="42" s="1"/>
  <c r="AA32" i="42" s="1"/>
  <c r="AB128" i="42"/>
  <c r="Y21" i="42"/>
  <c r="Z105" i="42" s="1"/>
  <c r="GV36" i="55" l="1"/>
  <c r="GW36" i="55" s="1"/>
  <c r="GU37" i="55"/>
  <c r="HL19" i="55"/>
  <c r="GK19" i="55"/>
  <c r="HD10" i="55"/>
  <c r="HB10" i="55"/>
  <c r="HC10" i="55" s="1"/>
  <c r="HA11" i="55"/>
  <c r="FW27" i="55"/>
  <c r="BE15" i="54"/>
  <c r="BC15" i="54"/>
  <c r="BD15" i="54"/>
  <c r="FW337" i="55"/>
  <c r="BC29" i="54"/>
  <c r="BD29" i="54"/>
  <c r="BE29" i="54"/>
  <c r="HF8" i="55"/>
  <c r="HG8" i="55" s="1"/>
  <c r="FW351" i="55"/>
  <c r="BD30" i="54"/>
  <c r="BE30" i="54"/>
  <c r="BC30" i="54"/>
  <c r="Y30" i="54" s="1"/>
  <c r="FW226" i="55"/>
  <c r="BC23" i="54"/>
  <c r="BD23" i="54"/>
  <c r="BE23" i="54"/>
  <c r="HL13" i="55"/>
  <c r="GK13" i="55"/>
  <c r="IZ3" i="55"/>
  <c r="BC27" i="54"/>
  <c r="BD27" i="54"/>
  <c r="BE27" i="54"/>
  <c r="FW325" i="55"/>
  <c r="FW132" i="55"/>
  <c r="BE20" i="54"/>
  <c r="BD20" i="54"/>
  <c r="BC20" i="54"/>
  <c r="IX3" i="55" a="1"/>
  <c r="IX3" i="55" s="1"/>
  <c r="IY3" i="55" s="1"/>
  <c r="IV3" i="55" a="1"/>
  <c r="IV3" i="55" s="1"/>
  <c r="IW3" i="55" s="1"/>
  <c r="IP3" i="55" a="1"/>
  <c r="IP3" i="55" s="1"/>
  <c r="IQ3" i="55" s="1"/>
  <c r="IR3" i="55" a="1"/>
  <c r="IR3" i="55" s="1"/>
  <c r="IS3" i="55" s="1"/>
  <c r="IN3" i="55" a="1"/>
  <c r="IN3" i="55" s="1"/>
  <c r="IT3" i="55" a="1"/>
  <c r="IT3" i="55" s="1"/>
  <c r="IU3" i="55" s="1"/>
  <c r="FW92" i="55"/>
  <c r="BE18" i="54"/>
  <c r="BD18" i="54"/>
  <c r="BC18" i="54"/>
  <c r="Y18" i="54" s="1"/>
  <c r="FW103" i="55"/>
  <c r="BD19" i="54"/>
  <c r="BE19" i="54"/>
  <c r="BC19" i="54"/>
  <c r="DY313" i="55"/>
  <c r="HQ313" i="55" s="1"/>
  <c r="DK313" i="55"/>
  <c r="DO313" i="55" s="1"/>
  <c r="DK16" i="55"/>
  <c r="DO16" i="55" s="1"/>
  <c r="DY16" i="55"/>
  <c r="HQ16" i="55" s="1"/>
  <c r="GK12" i="55"/>
  <c r="HL12" i="55"/>
  <c r="FW54" i="55"/>
  <c r="BE17" i="54"/>
  <c r="BD17" i="54"/>
  <c r="BC17" i="54"/>
  <c r="Y17" i="54" s="1"/>
  <c r="JQ7" i="55"/>
  <c r="AK9" i="55"/>
  <c r="HE9" i="55"/>
  <c r="JO15" i="55"/>
  <c r="BD26" i="54"/>
  <c r="BC26" i="54"/>
  <c r="BE26" i="54"/>
  <c r="FW317" i="55"/>
  <c r="BF25" i="54" a="1"/>
  <c r="BF25" i="54" s="1"/>
  <c r="EZ16" i="55"/>
  <c r="FW5" i="55"/>
  <c r="BE14" i="54"/>
  <c r="BC14" i="54"/>
  <c r="BD14" i="54"/>
  <c r="V3" i="40" a="1"/>
  <c r="V3" i="40" s="1"/>
  <c r="M6" i="59" a="1"/>
  <c r="M6" i="59" s="1"/>
  <c r="HI5" i="55"/>
  <c r="HJ5" i="55"/>
  <c r="HH6" i="55"/>
  <c r="FW32" i="55"/>
  <c r="BE16" i="54"/>
  <c r="BD16" i="54"/>
  <c r="BC16" i="54"/>
  <c r="Y16" i="54" s="1"/>
  <c r="HK4" i="55"/>
  <c r="EZ313" i="55"/>
  <c r="GK313" i="55" s="1"/>
  <c r="Z35" i="42"/>
  <c r="Z27" i="42"/>
  <c r="Z87" i="42"/>
  <c r="Z130" i="42"/>
  <c r="Z496" i="42"/>
  <c r="Z96" i="42"/>
  <c r="Z286" i="42"/>
  <c r="Z436" i="42"/>
  <c r="Z250" i="42"/>
  <c r="AB226" i="42"/>
  <c r="AB446" i="42"/>
  <c r="AB26" i="42"/>
  <c r="AB296" i="42"/>
  <c r="AB202" i="42"/>
  <c r="AB176" i="42"/>
  <c r="AB88" i="42"/>
  <c r="AB354" i="42"/>
  <c r="AB23" i="42"/>
  <c r="AB70" i="42"/>
  <c r="AB225" i="42"/>
  <c r="AB494" i="42"/>
  <c r="AB280" i="42"/>
  <c r="AB196" i="42"/>
  <c r="AB183" i="42"/>
  <c r="AB93" i="42"/>
  <c r="AB241" i="42"/>
  <c r="AB382" i="42"/>
  <c r="AB20" i="42"/>
  <c r="AB257" i="42"/>
  <c r="AB52" i="42"/>
  <c r="AB395" i="42"/>
  <c r="AB420" i="42"/>
  <c r="AB227" i="42"/>
  <c r="AB165" i="42"/>
  <c r="AB499" i="42"/>
  <c r="AB447" i="42"/>
  <c r="AB398" i="42"/>
  <c r="AB358" i="42"/>
  <c r="AB46" i="42"/>
  <c r="AB348" i="42"/>
  <c r="AB189" i="42"/>
  <c r="AB393" i="42"/>
  <c r="AB61" i="42"/>
  <c r="AB243" i="42"/>
  <c r="AB448" i="42"/>
  <c r="AB324" i="42"/>
  <c r="AB229" i="42"/>
  <c r="AB80" i="42"/>
  <c r="AB40" i="42"/>
  <c r="AB450" i="42"/>
  <c r="AB188" i="42"/>
  <c r="AB94" i="42"/>
  <c r="AB491" i="42"/>
  <c r="AB271" i="42"/>
  <c r="AB78" i="42"/>
  <c r="AB92" i="42"/>
  <c r="AB115" i="42"/>
  <c r="AB41" i="42"/>
  <c r="AB360" i="42"/>
  <c r="AB486" i="42"/>
  <c r="AB98" i="42"/>
  <c r="AB154" i="42"/>
  <c r="AB99" i="42"/>
  <c r="AB325" i="42"/>
  <c r="AB414" i="42"/>
  <c r="AB105" i="42"/>
  <c r="AB467" i="42"/>
  <c r="AB349" i="42"/>
  <c r="AB25" i="42"/>
  <c r="AB336" i="42"/>
  <c r="AB240" i="42"/>
  <c r="AB37" i="42"/>
  <c r="AB180" i="42"/>
  <c r="AB55" i="42"/>
  <c r="AB428" i="42"/>
  <c r="AB102" i="42"/>
  <c r="AB399" i="42"/>
  <c r="AB164" i="42"/>
  <c r="AB435" i="42"/>
  <c r="AB42" i="42"/>
  <c r="AB253" i="42"/>
  <c r="AB27" i="42"/>
  <c r="AB134" i="42"/>
  <c r="AB495" i="42"/>
  <c r="AB456" i="42"/>
  <c r="AB100" i="42"/>
  <c r="AB367" i="42"/>
  <c r="AB252" i="42"/>
  <c r="AB282" i="42"/>
  <c r="AB276" i="42"/>
  <c r="AB274" i="42"/>
  <c r="AB161" i="42"/>
  <c r="AB378" i="42"/>
  <c r="AB480" i="42"/>
  <c r="AB142" i="42"/>
  <c r="AB347" i="42"/>
  <c r="AB242" i="42"/>
  <c r="AB412" i="42"/>
  <c r="AB361" i="42"/>
  <c r="AB249" i="42"/>
  <c r="AB140" i="42"/>
  <c r="AB13" i="42"/>
  <c r="AB133" i="42"/>
  <c r="AB82" i="42"/>
  <c r="AB265" i="42"/>
  <c r="AB455" i="42"/>
  <c r="AB357" i="42"/>
  <c r="AB11" i="42"/>
  <c r="AB417" i="42"/>
  <c r="AB344" i="42"/>
  <c r="AB286" i="42"/>
  <c r="AB247" i="42"/>
  <c r="AB170" i="42"/>
  <c r="AB205" i="42"/>
  <c r="AB77" i="42"/>
  <c r="AB86" i="42"/>
  <c r="AB419" i="42"/>
  <c r="AB238" i="42"/>
  <c r="AB492" i="42"/>
  <c r="AB440" i="42"/>
  <c r="AB470" i="42"/>
  <c r="AB69" i="42"/>
  <c r="AB380" i="42"/>
  <c r="AB130" i="42"/>
  <c r="AB220" i="42"/>
  <c r="AB136" i="42"/>
  <c r="AB231" i="42"/>
  <c r="AB234" i="42"/>
  <c r="AB408" i="42"/>
  <c r="AB89" i="42"/>
  <c r="AB343" i="42"/>
  <c r="AB36" i="42"/>
  <c r="AB191" i="42"/>
  <c r="AB281" i="42"/>
  <c r="AB433" i="42"/>
  <c r="AB63" i="42"/>
  <c r="AB106" i="42"/>
  <c r="AB68" i="42"/>
  <c r="AB476" i="42"/>
  <c r="AB251" i="42"/>
  <c r="AB318" i="42"/>
  <c r="AB129" i="42"/>
  <c r="AB434" i="42"/>
  <c r="AB248" i="42"/>
  <c r="AB194" i="42"/>
  <c r="AB497" i="42"/>
  <c r="AB407" i="42"/>
  <c r="AB350" i="42"/>
  <c r="AB166" i="42"/>
  <c r="AB118" i="42"/>
  <c r="AB123" i="42"/>
  <c r="AB35" i="42"/>
  <c r="AB210" i="42"/>
  <c r="AB409" i="42"/>
  <c r="AB149" i="42"/>
  <c r="AB338" i="42"/>
  <c r="AB424" i="42"/>
  <c r="AB132" i="42"/>
  <c r="AB473" i="42"/>
  <c r="AB469" i="42"/>
  <c r="AB192" i="42"/>
  <c r="AB415" i="42"/>
  <c r="AB216" i="42"/>
  <c r="AB359" i="42"/>
  <c r="AB397" i="42"/>
  <c r="AB173" i="42"/>
  <c r="AB51" i="42"/>
  <c r="AB445" i="42"/>
  <c r="AB293" i="42"/>
  <c r="AB16" i="42"/>
  <c r="AB64" i="42"/>
  <c r="AB65" i="42"/>
  <c r="AB116" i="42"/>
  <c r="AB125" i="42"/>
  <c r="AB425" i="42"/>
  <c r="AB256" i="42"/>
  <c r="AB264" i="42"/>
  <c r="AB219" i="42"/>
  <c r="AB337" i="42"/>
  <c r="AB146" i="42"/>
  <c r="AB416" i="42"/>
  <c r="AB228" i="42"/>
  <c r="AB95" i="42"/>
  <c r="AB410" i="42"/>
  <c r="AB308" i="42"/>
  <c r="AB213" i="42"/>
  <c r="AB195" i="42"/>
  <c r="AB319" i="42"/>
  <c r="AB356" i="42"/>
  <c r="AB458" i="42"/>
  <c r="AB206" i="42"/>
  <c r="AB331" i="42"/>
  <c r="AB426" i="42"/>
  <c r="AB268" i="42"/>
  <c r="AB365" i="42"/>
  <c r="AB53" i="42"/>
  <c r="AB263" i="42"/>
  <c r="AB71" i="42"/>
  <c r="AB79" i="42"/>
  <c r="AB366" i="42"/>
  <c r="AB235" i="42"/>
  <c r="AB392" i="42"/>
  <c r="AB459" i="42"/>
  <c r="AB301" i="42"/>
  <c r="AB156" i="42"/>
  <c r="AB21" i="42"/>
  <c r="AB246" i="42"/>
  <c r="AB487" i="42"/>
  <c r="AB479" i="42"/>
  <c r="AB44" i="42"/>
  <c r="AB292" i="42"/>
  <c r="AB493" i="42"/>
  <c r="AB81" i="42"/>
  <c r="AB443" i="42"/>
  <c r="AB362" i="42"/>
  <c r="AB126" i="42"/>
  <c r="AB91" i="42"/>
  <c r="AB84" i="42"/>
  <c r="AB168" i="42"/>
  <c r="AB141" i="42"/>
  <c r="AB352" i="42"/>
  <c r="AB314" i="42"/>
  <c r="AB302" i="42"/>
  <c r="AB178" i="42"/>
  <c r="AB239" i="42"/>
  <c r="AB48" i="42"/>
  <c r="AB87" i="42"/>
  <c r="AB39" i="42"/>
  <c r="AB117" i="42"/>
  <c r="AB372" i="42"/>
  <c r="AB474" i="42"/>
  <c r="AB418" i="42"/>
  <c r="AB135" i="42"/>
  <c r="AB422" i="42"/>
  <c r="AB411" i="42"/>
  <c r="AB484" i="42"/>
  <c r="AB396" i="42"/>
  <c r="AB404" i="42"/>
  <c r="AB402" i="42"/>
  <c r="AB90" i="42"/>
  <c r="AB300" i="42"/>
  <c r="AB175" i="42"/>
  <c r="AB472" i="42"/>
  <c r="AB155" i="42"/>
  <c r="AB464" i="42"/>
  <c r="AB230" i="42"/>
  <c r="AB437" i="42"/>
  <c r="AB76" i="42"/>
  <c r="AB482" i="42"/>
  <c r="AB151" i="42"/>
  <c r="AB304" i="42"/>
  <c r="AB58" i="42"/>
  <c r="AB485" i="42"/>
  <c r="AB483" i="42"/>
  <c r="AB471" i="42"/>
  <c r="AB18" i="42"/>
  <c r="AB436" i="42"/>
  <c r="AB317" i="42"/>
  <c r="AB224" i="42"/>
  <c r="AB30" i="42"/>
  <c r="AB181" i="42"/>
  <c r="AB14" i="42"/>
  <c r="AB150" i="42"/>
  <c r="AB172" i="42"/>
  <c r="AB460" i="42"/>
  <c r="AB321" i="42"/>
  <c r="AB386" i="42"/>
  <c r="AB279" i="42"/>
  <c r="AB255" i="42"/>
  <c r="AB144" i="42"/>
  <c r="AB137" i="42"/>
  <c r="AB67" i="42"/>
  <c r="AB403" i="42"/>
  <c r="AB283" i="42"/>
  <c r="AB452" i="42"/>
  <c r="AB275" i="42"/>
  <c r="AB489" i="42"/>
  <c r="AB186" i="42"/>
  <c r="AB185" i="42"/>
  <c r="AB400" i="42"/>
  <c r="AB451" i="42"/>
  <c r="AB285" i="42"/>
  <c r="AB147" i="42"/>
  <c r="AB273" i="42"/>
  <c r="AB56" i="42"/>
  <c r="AB342" i="42"/>
  <c r="AB461" i="42"/>
  <c r="AB96" i="42"/>
  <c r="AB290" i="42"/>
  <c r="AB259" i="42"/>
  <c r="AB43" i="42"/>
  <c r="AB311" i="42"/>
  <c r="AB261" i="42"/>
  <c r="AB167" i="42"/>
  <c r="AB177" i="42"/>
  <c r="AB299" i="42"/>
  <c r="AB159" i="42"/>
  <c r="AB218" i="42"/>
  <c r="AB335" i="42"/>
  <c r="AB289" i="42"/>
  <c r="AB169" i="42"/>
  <c r="AB316" i="42"/>
  <c r="AB143" i="42"/>
  <c r="AB120" i="42"/>
  <c r="AB121" i="42"/>
  <c r="AB272" i="42"/>
  <c r="AB439" i="42"/>
  <c r="AB449" i="42"/>
  <c r="AB233" i="42"/>
  <c r="AB326" i="42"/>
  <c r="AB327" i="42"/>
  <c r="AB377" i="42"/>
  <c r="AB384" i="42"/>
  <c r="AB307" i="42"/>
  <c r="AB306" i="42"/>
  <c r="AB500" i="42"/>
  <c r="AB49" i="42"/>
  <c r="AB187" i="42"/>
  <c r="AB108" i="42"/>
  <c r="AB401" i="42"/>
  <c r="AB163" i="42"/>
  <c r="AB430" i="42"/>
  <c r="AB237" i="42"/>
  <c r="AB162" i="42"/>
  <c r="AB429" i="42"/>
  <c r="AB122" i="42"/>
  <c r="AB244" i="42"/>
  <c r="AB203" i="42"/>
  <c r="AB373" i="42"/>
  <c r="AB34" i="42"/>
  <c r="AB297" i="42"/>
  <c r="AB332" i="42"/>
  <c r="AB29" i="42"/>
  <c r="AB131" i="42"/>
  <c r="AB364" i="42"/>
  <c r="AB215" i="42"/>
  <c r="AB104" i="42"/>
  <c r="AB32" i="42"/>
  <c r="AB124" i="42"/>
  <c r="AB258" i="42"/>
  <c r="AB127" i="42"/>
  <c r="AB355" i="42"/>
  <c r="AB277" i="42"/>
  <c r="AB199" i="42"/>
  <c r="AB370" i="42"/>
  <c r="AB10" i="42"/>
  <c r="AB174" i="42"/>
  <c r="AB287" i="42"/>
  <c r="AB391" i="42"/>
  <c r="AB498" i="42"/>
  <c r="AB345" i="42"/>
  <c r="AB208" i="42"/>
  <c r="AB309" i="42"/>
  <c r="AB465" i="42"/>
  <c r="AB260" i="42"/>
  <c r="AB267" i="42"/>
  <c r="AB158" i="42"/>
  <c r="AB232" i="42"/>
  <c r="AB114" i="42"/>
  <c r="AB363" i="42"/>
  <c r="AB24" i="42"/>
  <c r="AB245" i="42"/>
  <c r="AB12" i="42"/>
  <c r="AB320" i="42"/>
  <c r="AB47" i="42"/>
  <c r="AB394" i="42"/>
  <c r="AB390" i="42"/>
  <c r="AB119" i="42"/>
  <c r="AB368" i="42"/>
  <c r="AB374" i="42"/>
  <c r="AB310" i="42"/>
  <c r="AB112" i="42"/>
  <c r="AB103" i="42"/>
  <c r="AB160" i="42"/>
  <c r="AB250" i="42"/>
  <c r="AB266" i="42"/>
  <c r="AB454" i="42"/>
  <c r="AB75" i="42"/>
  <c r="AB478" i="42"/>
  <c r="AB466" i="42"/>
  <c r="AB72" i="42"/>
  <c r="AB204" i="42"/>
  <c r="AB298" i="42"/>
  <c r="AB211" i="42"/>
  <c r="AB214" i="42"/>
  <c r="AB488" i="42"/>
  <c r="AB207" i="42"/>
  <c r="AB457" i="42"/>
  <c r="AB45" i="42"/>
  <c r="AB381" i="42"/>
  <c r="AB351" i="42"/>
  <c r="AB294" i="42"/>
  <c r="AB198" i="42"/>
  <c r="AB17" i="42"/>
  <c r="AB340" i="42"/>
  <c r="AB28" i="42"/>
  <c r="AB328" i="42"/>
  <c r="AB413" i="42"/>
  <c r="AB138" i="42"/>
  <c r="AB22" i="42"/>
  <c r="AB463" i="42"/>
  <c r="AB97" i="42"/>
  <c r="AB375" i="42"/>
  <c r="AB284" i="42"/>
  <c r="AB74" i="42"/>
  <c r="AB193" i="42"/>
  <c r="AB423" i="42"/>
  <c r="AB222" i="42"/>
  <c r="AB405" i="42"/>
  <c r="AB369" i="42"/>
  <c r="AB432" i="42"/>
  <c r="AB262" i="42"/>
  <c r="AB221" i="42"/>
  <c r="AB54" i="42"/>
  <c r="AB148" i="42"/>
  <c r="AB19" i="42"/>
  <c r="AB209" i="42"/>
  <c r="AB83" i="42"/>
  <c r="AB50" i="42"/>
  <c r="AB66" i="42"/>
  <c r="AB197" i="42"/>
  <c r="AB107" i="42"/>
  <c r="AB223" i="42"/>
  <c r="AB346" i="42"/>
  <c r="AB379" i="42"/>
  <c r="AB496" i="42"/>
  <c r="AB171" i="42"/>
  <c r="AB462" i="42"/>
  <c r="AB421" i="42"/>
  <c r="AB254" i="42"/>
  <c r="AB444" i="42"/>
  <c r="AB73" i="42"/>
  <c r="AB383" i="42"/>
  <c r="AB438" i="42"/>
  <c r="AB236" i="42"/>
  <c r="AB57" i="42"/>
  <c r="AB376" i="42"/>
  <c r="AB406" i="42"/>
  <c r="AB212" i="42"/>
  <c r="AB322" i="42"/>
  <c r="AB38" i="42"/>
  <c r="AB113" i="42"/>
  <c r="AB269" i="42"/>
  <c r="AB153" i="42"/>
  <c r="AB341" i="42"/>
  <c r="AB101" i="42"/>
  <c r="AB291" i="42"/>
  <c r="AB295" i="42"/>
  <c r="AB303" i="42"/>
  <c r="AB388" i="42"/>
  <c r="AB33" i="42"/>
  <c r="AB333" i="42"/>
  <c r="AB330" i="42"/>
  <c r="AB152" i="42"/>
  <c r="AB62" i="42"/>
  <c r="AB145" i="42"/>
  <c r="AB441" i="42"/>
  <c r="AB201" i="42"/>
  <c r="AB385" i="42"/>
  <c r="AB278" i="42"/>
  <c r="AB217" i="42"/>
  <c r="AB490" i="42"/>
  <c r="AB179" i="42"/>
  <c r="AB468" i="42"/>
  <c r="AB157" i="42"/>
  <c r="AB15" i="42"/>
  <c r="AB109" i="42"/>
  <c r="AB371" i="42"/>
  <c r="AB387" i="42"/>
  <c r="AB85" i="42"/>
  <c r="AB323" i="42"/>
  <c r="AB442" i="42"/>
  <c r="AB389" i="42"/>
  <c r="AB110" i="42"/>
  <c r="AB59" i="42"/>
  <c r="AB305" i="42"/>
  <c r="AB139" i="42"/>
  <c r="AB427" i="42"/>
  <c r="AB270" i="42"/>
  <c r="AB60" i="42"/>
  <c r="AB353" i="42"/>
  <c r="AB339" i="42"/>
  <c r="AB190" i="42"/>
  <c r="AB477" i="42"/>
  <c r="AB481" i="42"/>
  <c r="AB182" i="42"/>
  <c r="AB453" i="42"/>
  <c r="AB475" i="42"/>
  <c r="AB184" i="42"/>
  <c r="AB431" i="42"/>
  <c r="AB111" i="42"/>
  <c r="AB31" i="42"/>
  <c r="AB334" i="42"/>
  <c r="AB313" i="42"/>
  <c r="AB288" i="42"/>
  <c r="AB200" i="42"/>
  <c r="AB329" i="42"/>
  <c r="AB315" i="42"/>
  <c r="AB312" i="42"/>
  <c r="Z268" i="42"/>
  <c r="Z132" i="42"/>
  <c r="Z305" i="42"/>
  <c r="Z111" i="42"/>
  <c r="Z36" i="42"/>
  <c r="Z196" i="42"/>
  <c r="Z424" i="42"/>
  <c r="Z81" i="42"/>
  <c r="Z340" i="42"/>
  <c r="Z331" i="42"/>
  <c r="Z281" i="42"/>
  <c r="Z262" i="42"/>
  <c r="Z266" i="42"/>
  <c r="Z176" i="42"/>
  <c r="Z303" i="42"/>
  <c r="Z294" i="42"/>
  <c r="Z455" i="42"/>
  <c r="Z314" i="42"/>
  <c r="Z461" i="42"/>
  <c r="Z298" i="42"/>
  <c r="Z371" i="42"/>
  <c r="Z463" i="42"/>
  <c r="Z308" i="42"/>
  <c r="Z408" i="42"/>
  <c r="Z162" i="42"/>
  <c r="Z229" i="42"/>
  <c r="Z356" i="42"/>
  <c r="Z347" i="42"/>
  <c r="Z133" i="42"/>
  <c r="Z25" i="42"/>
  <c r="Z216" i="42"/>
  <c r="Z339" i="42"/>
  <c r="Z258" i="42"/>
  <c r="Z425" i="42"/>
  <c r="Z192" i="42"/>
  <c r="Z34" i="42"/>
  <c r="Z248" i="42"/>
  <c r="Z202" i="42"/>
  <c r="Z135" i="42"/>
  <c r="Z74" i="42"/>
  <c r="Z169" i="42"/>
  <c r="Z267" i="42"/>
  <c r="Z136" i="42"/>
  <c r="Z102" i="42"/>
  <c r="Z18" i="42"/>
  <c r="Z73" i="42"/>
  <c r="Z37" i="42"/>
  <c r="Z381" i="42"/>
  <c r="Z279" i="42"/>
  <c r="Z40" i="42"/>
  <c r="Z153" i="42"/>
  <c r="Z80" i="42"/>
  <c r="Z494" i="42"/>
  <c r="Z234" i="42"/>
  <c r="Z313" i="42"/>
  <c r="Z101" i="42"/>
  <c r="Z209" i="42"/>
  <c r="Z145" i="42"/>
  <c r="Z370" i="42"/>
  <c r="Z22" i="42"/>
  <c r="Z97" i="42"/>
  <c r="Z413" i="42"/>
  <c r="Z211" i="42"/>
  <c r="Z360" i="42"/>
  <c r="Z168" i="42"/>
  <c r="Z300" i="42"/>
  <c r="Z348" i="42"/>
  <c r="Z411" i="42"/>
  <c r="Z470" i="42"/>
  <c r="Z151" i="42"/>
  <c r="Z388" i="42"/>
  <c r="Z321" i="42"/>
  <c r="Z206" i="42"/>
  <c r="Z194" i="42"/>
  <c r="Z325" i="42"/>
  <c r="Z148" i="42"/>
  <c r="Z16" i="42"/>
  <c r="Z226" i="42"/>
  <c r="Z415" i="42"/>
  <c r="Z351" i="42"/>
  <c r="Z198" i="42"/>
  <c r="Z429" i="42"/>
  <c r="Z75" i="42"/>
  <c r="Z379" i="42"/>
  <c r="Z78" i="42"/>
  <c r="Z179" i="42"/>
  <c r="Z290" i="42"/>
  <c r="Z345" i="42"/>
  <c r="Z350" i="42"/>
  <c r="Z277" i="42"/>
  <c r="Z123" i="42"/>
  <c r="Z435" i="42"/>
  <c r="Z51" i="42"/>
  <c r="Z94" i="42"/>
  <c r="Z456" i="42"/>
  <c r="Z116" i="42"/>
  <c r="Z95" i="42"/>
  <c r="Z218" i="42"/>
  <c r="Z334" i="42"/>
  <c r="Z10" i="42"/>
  <c r="Z128" i="42"/>
  <c r="Z421" i="42"/>
  <c r="Z444" i="42"/>
  <c r="Z126" i="42"/>
  <c r="Z237" i="42"/>
  <c r="Z187" i="42"/>
  <c r="Z182" i="42"/>
  <c r="Z329" i="42"/>
  <c r="Z44" i="42"/>
  <c r="Z190" i="42"/>
  <c r="Z409" i="42"/>
  <c r="Z79" i="42"/>
  <c r="Z254" i="42"/>
  <c r="Z312" i="42"/>
  <c r="Z231" i="42"/>
  <c r="Z469" i="42"/>
  <c r="Z85" i="42"/>
  <c r="Z120" i="42"/>
  <c r="Z205" i="42"/>
  <c r="Z454" i="42"/>
  <c r="Z472" i="42"/>
  <c r="Z484" i="42"/>
  <c r="Z17" i="42"/>
  <c r="Z493" i="42"/>
  <c r="Z366" i="42"/>
  <c r="Z445" i="42"/>
  <c r="Z201" i="42"/>
  <c r="Z483" i="42"/>
  <c r="Z480" i="42"/>
  <c r="Z12" i="42"/>
  <c r="Z324" i="42"/>
  <c r="Z89" i="42"/>
  <c r="Z232" i="42"/>
  <c r="Z336" i="42"/>
  <c r="Z447" i="42"/>
  <c r="Z282" i="42"/>
  <c r="Z495" i="42"/>
  <c r="Z309" i="42"/>
  <c r="Z197" i="42"/>
  <c r="Z207" i="42"/>
  <c r="Z221" i="42"/>
  <c r="Z306" i="42"/>
  <c r="Z362" i="42"/>
  <c r="Z183" i="42"/>
  <c r="Z56" i="42"/>
  <c r="Z465" i="42"/>
  <c r="Z459" i="42"/>
  <c r="Z39" i="42"/>
  <c r="Z328" i="42"/>
  <c r="Z316" i="42"/>
  <c r="Z188" i="42"/>
  <c r="Z287" i="42"/>
  <c r="Z396" i="42"/>
  <c r="Z295" i="42"/>
  <c r="Z332" i="42"/>
  <c r="Z144" i="42"/>
  <c r="Z451" i="42"/>
  <c r="Z263" i="42"/>
  <c r="Z212" i="42"/>
  <c r="Z53" i="42"/>
  <c r="Z492" i="42"/>
  <c r="Z134" i="42"/>
  <c r="Z114" i="42"/>
  <c r="Z150" i="42"/>
  <c r="Z236" i="42"/>
  <c r="Z310" i="42"/>
  <c r="Z215" i="42"/>
  <c r="Z164" i="42"/>
  <c r="Z342" i="42"/>
  <c r="Z322" i="42"/>
  <c r="Z307" i="42"/>
  <c r="Z222" i="42"/>
  <c r="Z91" i="42"/>
  <c r="Z220" i="42"/>
  <c r="Z66" i="42"/>
  <c r="Z438" i="42"/>
  <c r="Z283" i="42"/>
  <c r="Z68" i="42"/>
  <c r="Z368" i="42"/>
  <c r="Z143" i="42"/>
  <c r="Z422" i="42"/>
  <c r="Z317" i="42"/>
  <c r="Z482" i="42"/>
  <c r="Z233" i="42"/>
  <c r="Z468" i="42"/>
  <c r="Z374" i="42"/>
  <c r="Z457" i="42"/>
  <c r="Z291" i="42"/>
  <c r="Z275" i="42"/>
  <c r="Z181" i="42"/>
  <c r="Z77" i="42"/>
  <c r="Z191" i="42"/>
  <c r="Z124" i="42"/>
  <c r="Z467" i="42"/>
  <c r="Z65" i="42"/>
  <c r="Z335" i="42"/>
  <c r="Z217" i="42"/>
  <c r="Z54" i="42"/>
  <c r="Z208" i="42"/>
  <c r="Z71" i="42"/>
  <c r="Z354" i="42"/>
  <c r="Z452" i="42"/>
  <c r="Z172" i="42"/>
  <c r="Z323" i="42"/>
  <c r="Z296" i="42"/>
  <c r="Z59" i="42"/>
  <c r="Z82" i="42"/>
  <c r="Z103" i="42"/>
  <c r="Z26" i="42"/>
  <c r="Z419" i="42"/>
  <c r="Z108" i="42"/>
  <c r="Z186" i="42"/>
  <c r="Z200" i="42"/>
  <c r="Z403" i="42"/>
  <c r="Z460" i="42"/>
  <c r="Z165" i="42"/>
  <c r="Z293" i="42"/>
  <c r="Z28" i="42"/>
  <c r="Z225" i="42"/>
  <c r="Z184" i="42"/>
  <c r="Z404" i="42"/>
  <c r="Z131" i="42"/>
  <c r="Z357" i="42"/>
  <c r="Z383" i="42"/>
  <c r="Z173" i="42"/>
  <c r="Z378" i="42"/>
  <c r="Z203" i="42"/>
  <c r="Z269" i="42"/>
  <c r="Z327" i="42"/>
  <c r="Z365" i="42"/>
  <c r="Z450" i="42"/>
  <c r="Z433" i="42"/>
  <c r="Z49" i="42"/>
  <c r="Z276" i="42"/>
  <c r="Z487" i="42"/>
  <c r="Z121" i="42"/>
  <c r="Z272" i="42"/>
  <c r="Z48" i="42"/>
  <c r="Z477" i="42"/>
  <c r="Z259" i="42"/>
  <c r="Z349" i="42"/>
  <c r="Z180" i="42"/>
  <c r="Z500" i="42"/>
  <c r="Z230" i="42"/>
  <c r="Z62" i="42"/>
  <c r="Z141" i="42"/>
  <c r="Z178" i="42"/>
  <c r="Z193" i="42"/>
  <c r="Z29" i="42"/>
  <c r="Z60" i="42"/>
  <c r="Z405" i="42"/>
  <c r="Z359" i="42"/>
  <c r="Z481" i="42"/>
  <c r="Z70" i="42"/>
  <c r="Z72" i="42"/>
  <c r="Z38" i="42"/>
  <c r="Z333" i="42"/>
  <c r="Z497" i="42"/>
  <c r="Z247" i="42"/>
  <c r="Z119" i="42"/>
  <c r="Z127" i="42"/>
  <c r="Z358" i="42"/>
  <c r="Z390" i="42"/>
  <c r="Z318" i="42"/>
  <c r="Z167" i="42"/>
  <c r="Z24" i="42"/>
  <c r="Z149" i="42"/>
  <c r="Z241" i="42"/>
  <c r="Z284" i="42"/>
  <c r="Z498" i="42"/>
  <c r="Z376" i="42"/>
  <c r="Z46" i="42"/>
  <c r="Z400" i="42"/>
  <c r="Z278" i="42"/>
  <c r="Z448" i="42"/>
  <c r="Z13" i="42"/>
  <c r="Z274" i="42"/>
  <c r="Z280" i="42"/>
  <c r="Z107" i="42"/>
  <c r="Z257" i="42"/>
  <c r="Z245" i="42"/>
  <c r="Z137" i="42"/>
  <c r="Z363" i="42"/>
  <c r="Z161" i="42"/>
  <c r="Z393" i="42"/>
  <c r="Z170" i="42"/>
  <c r="Z156" i="42"/>
  <c r="Z486" i="42"/>
  <c r="Z224" i="42"/>
  <c r="Z154" i="42"/>
  <c r="Z31" i="42"/>
  <c r="Z464" i="42"/>
  <c r="Z271" i="42"/>
  <c r="Z118" i="42"/>
  <c r="Z14" i="42"/>
  <c r="Z491" i="42"/>
  <c r="Z442" i="42"/>
  <c r="Z412" i="42"/>
  <c r="Z69" i="42"/>
  <c r="Z449" i="42"/>
  <c r="Z344" i="42"/>
  <c r="Z246" i="42"/>
  <c r="Z489" i="42"/>
  <c r="Z213" i="42"/>
  <c r="Z92" i="42"/>
  <c r="Z64" i="42"/>
  <c r="Z242" i="42"/>
  <c r="Z441" i="42"/>
  <c r="Z353" i="42"/>
  <c r="Z319" i="42"/>
  <c r="Z474" i="42"/>
  <c r="Z106" i="42"/>
  <c r="Z385" i="42"/>
  <c r="Z352" i="42"/>
  <c r="Z41" i="42"/>
  <c r="Z210" i="42"/>
  <c r="Z84" i="42"/>
  <c r="Z289" i="42"/>
  <c r="Z177" i="42"/>
  <c r="Z99" i="42"/>
  <c r="Z243" i="42"/>
  <c r="Z361" i="42"/>
  <c r="Z163" i="42"/>
  <c r="Z420" i="42"/>
  <c r="Z83" i="42"/>
  <c r="Z235" i="42"/>
  <c r="Z155" i="42"/>
  <c r="Z440" i="42"/>
  <c r="Z240" i="42"/>
  <c r="Z239" i="42"/>
  <c r="Z302" i="42"/>
  <c r="Z343" i="42"/>
  <c r="Z372" i="42"/>
  <c r="Z426" i="42"/>
  <c r="Z285" i="42"/>
  <c r="Z110" i="42"/>
  <c r="Z431" i="42"/>
  <c r="Z204" i="42"/>
  <c r="Z265" i="42"/>
  <c r="Z147" i="42"/>
  <c r="Z301" i="42"/>
  <c r="Z427" i="42"/>
  <c r="Z171" i="42"/>
  <c r="Z292" i="42"/>
  <c r="Z488" i="42"/>
  <c r="Z479" i="42"/>
  <c r="Z227" i="42"/>
  <c r="Z490" i="42"/>
  <c r="Z86" i="42"/>
  <c r="Z439" i="42"/>
  <c r="Z367" i="42"/>
  <c r="Z189" i="42"/>
  <c r="Z57" i="42"/>
  <c r="Z395" i="42"/>
  <c r="Z458" i="42"/>
  <c r="Z219" i="42"/>
  <c r="Z146" i="42"/>
  <c r="Z394" i="42"/>
  <c r="Z104" i="42"/>
  <c r="Z338" i="42"/>
  <c r="Z166" i="42"/>
  <c r="Z380" i="42"/>
  <c r="Z255" i="42"/>
  <c r="Z125" i="42"/>
  <c r="Z320" i="42"/>
  <c r="Z159" i="42"/>
  <c r="Z384" i="42"/>
  <c r="Z406" i="42"/>
  <c r="Z437" i="42"/>
  <c r="Z185" i="42"/>
  <c r="Z109" i="42"/>
  <c r="Z256" i="42"/>
  <c r="Z228" i="42"/>
  <c r="Z297" i="42"/>
  <c r="Z214" i="42"/>
  <c r="Z129" i="42"/>
  <c r="Z223" i="42"/>
  <c r="Z288" i="42"/>
  <c r="Z417" i="42"/>
  <c r="Z251" i="42"/>
  <c r="Z434" i="42"/>
  <c r="Z261" i="42"/>
  <c r="Z113" i="42"/>
  <c r="Z93" i="42"/>
  <c r="Z462" i="42"/>
  <c r="Z157" i="42"/>
  <c r="Z304" i="42"/>
  <c r="Z397" i="42"/>
  <c r="Z418" i="42"/>
  <c r="Z100" i="42"/>
  <c r="Z20" i="42"/>
  <c r="Z160" i="42"/>
  <c r="Z175" i="42"/>
  <c r="Z423" i="42"/>
  <c r="Z382" i="42"/>
  <c r="Z264" i="42"/>
  <c r="Z152" i="42"/>
  <c r="Z410" i="42"/>
  <c r="Z61" i="42"/>
  <c r="Z414" i="42"/>
  <c r="Z341" i="42"/>
  <c r="Z299" i="42"/>
  <c r="Z98" i="42"/>
  <c r="Z158" i="42"/>
  <c r="Z375" i="42"/>
  <c r="Z88" i="42"/>
  <c r="Z42" i="42"/>
  <c r="Z117" i="42"/>
  <c r="Z112" i="42"/>
  <c r="Z19" i="42"/>
  <c r="Z499" i="42"/>
  <c r="Z174" i="42"/>
  <c r="Z446" i="42"/>
  <c r="Z402" i="42"/>
  <c r="Z364" i="42"/>
  <c r="Z115" i="42"/>
  <c r="Z401" i="42"/>
  <c r="Z315" i="42"/>
  <c r="Z478" i="42"/>
  <c r="Z392" i="42"/>
  <c r="Z50" i="42"/>
  <c r="Z311" i="42"/>
  <c r="Z244" i="42"/>
  <c r="Z398" i="42"/>
  <c r="Z195" i="42"/>
  <c r="Z76" i="42"/>
  <c r="Z387" i="42"/>
  <c r="Z253" i="42"/>
  <c r="Z138" i="42"/>
  <c r="Z428" i="42"/>
  <c r="Z273" i="42"/>
  <c r="Z43" i="42"/>
  <c r="Z47" i="42"/>
  <c r="Z21" i="42"/>
  <c r="Z140" i="42"/>
  <c r="Z55" i="42"/>
  <c r="Z142" i="42"/>
  <c r="Z252" i="42"/>
  <c r="Z475" i="42"/>
  <c r="Z90" i="42"/>
  <c r="Z471" i="42"/>
  <c r="Z326" i="42"/>
  <c r="Z373" i="42"/>
  <c r="Z369" i="42"/>
  <c r="Z63" i="42"/>
  <c r="Z430" i="42"/>
  <c r="Z386" i="42"/>
  <c r="Z260" i="42"/>
  <c r="Z15" i="42"/>
  <c r="Z23" i="42"/>
  <c r="Z30" i="42"/>
  <c r="Z407" i="42"/>
  <c r="Z139" i="42"/>
  <c r="Z355" i="42"/>
  <c r="Z58" i="42"/>
  <c r="Z45" i="42"/>
  <c r="Z33" i="42"/>
  <c r="Z416" i="42"/>
  <c r="Z453" i="42"/>
  <c r="Z67" i="42"/>
  <c r="Z476" i="42"/>
  <c r="Z346" i="42"/>
  <c r="Z32" i="42"/>
  <c r="Z122" i="42"/>
  <c r="Z443" i="42"/>
  <c r="Z377" i="42"/>
  <c r="Z389" i="42"/>
  <c r="Z473" i="42"/>
  <c r="Z466" i="42"/>
  <c r="Z337" i="42"/>
  <c r="Z485" i="42"/>
  <c r="Z249" i="42"/>
  <c r="Z238" i="42"/>
  <c r="Z199" i="42"/>
  <c r="Z399" i="42"/>
  <c r="Z330" i="42"/>
  <c r="Z52" i="42"/>
  <c r="Z270" i="42"/>
  <c r="Z432" i="42"/>
  <c r="Z391" i="42"/>
  <c r="GV37" i="55" l="1"/>
  <c r="GW37" i="55" s="1"/>
  <c r="GU38" i="55"/>
  <c r="Y19" i="54"/>
  <c r="O7" i="55" s="1" a="1"/>
  <c r="O7" i="55" s="1"/>
  <c r="Y20" i="54"/>
  <c r="HI6" i="55"/>
  <c r="HJ6" i="55"/>
  <c r="HH7" i="55"/>
  <c r="HR5" i="55"/>
  <c r="HK5" i="55"/>
  <c r="HP5" i="55"/>
  <c r="JU12" i="55"/>
  <c r="JV12" i="55" s="1"/>
  <c r="JO12" i="55"/>
  <c r="IF5" i="55"/>
  <c r="IG5" i="55" s="1"/>
  <c r="JR5" i="55"/>
  <c r="O10" i="55" a="1"/>
  <c r="O10" i="55" s="1"/>
  <c r="O130" i="55" a="1"/>
  <c r="O130" i="55" s="1"/>
  <c r="Y23" i="54"/>
  <c r="HD11" i="55"/>
  <c r="HB11" i="55"/>
  <c r="HC11" i="55" s="1"/>
  <c r="HA12" i="55"/>
  <c r="Y15" i="54"/>
  <c r="HF9" i="55"/>
  <c r="HG9" i="55" s="1"/>
  <c r="O8" i="55" a="1"/>
  <c r="O8" i="55" s="1"/>
  <c r="O53" i="55" a="1"/>
  <c r="O53" i="55" s="1"/>
  <c r="O9" i="55" a="1"/>
  <c r="O9" i="55" s="1"/>
  <c r="O88" i="55" a="1"/>
  <c r="O88" i="55" s="1"/>
  <c r="O20" i="55" a="1"/>
  <c r="O20" i="55" s="1"/>
  <c r="O341" i="55" a="1"/>
  <c r="O341" i="55" s="1"/>
  <c r="AK10" i="55"/>
  <c r="HE10" i="55"/>
  <c r="JQ8" i="55"/>
  <c r="Y27" i="54"/>
  <c r="Y14" i="54"/>
  <c r="JO13" i="55"/>
  <c r="JU13" i="55"/>
  <c r="GK16" i="55"/>
  <c r="HL16" i="55"/>
  <c r="Y29" i="54"/>
  <c r="JU15" i="55"/>
  <c r="JV15" i="55" s="1"/>
  <c r="IO3" i="55"/>
  <c r="O29" i="55" a="1"/>
  <c r="O29" i="55" s="1"/>
  <c r="O31" i="55" a="1"/>
  <c r="O31" i="55" s="1"/>
  <c r="Y26" i="54"/>
  <c r="JU19" i="55"/>
  <c r="JO19" i="55"/>
  <c r="GV38" i="55" l="1"/>
  <c r="GW38" i="55" s="1"/>
  <c r="GU39" i="55"/>
  <c r="O102" i="55" a="1"/>
  <c r="O102" i="55" s="1"/>
  <c r="GM8" i="55"/>
  <c r="CI8" i="55"/>
  <c r="EV8" i="55"/>
  <c r="EW8" i="55" s="1"/>
  <c r="EP8" i="55" a="1"/>
  <c r="EP8" i="55" s="1"/>
  <c r="BR17" i="54" s="1" a="1"/>
  <c r="BR17" i="54" s="1"/>
  <c r="GM102" i="55"/>
  <c r="CI102" i="55"/>
  <c r="EP102" i="55" a="1"/>
  <c r="EP102" i="55" s="1"/>
  <c r="EV102" i="55"/>
  <c r="EW102" i="55" s="1"/>
  <c r="GM7" i="55"/>
  <c r="CI7" i="55"/>
  <c r="EV7" i="55"/>
  <c r="EW7" i="55" s="1"/>
  <c r="EP7" i="55" a="1"/>
  <c r="EP7" i="55" s="1"/>
  <c r="BR19" i="54" s="1" a="1"/>
  <c r="BR19" i="54" s="1"/>
  <c r="HD12" i="55"/>
  <c r="HB12" i="55"/>
  <c r="HC12" i="55" s="1"/>
  <c r="HA13" i="55"/>
  <c r="HF10" i="55"/>
  <c r="HG10" i="55" s="1"/>
  <c r="O14" i="55" a="1"/>
  <c r="O14" i="55" s="1"/>
  <c r="O224" i="55" a="1"/>
  <c r="O224" i="55" s="1"/>
  <c r="HI7" i="55"/>
  <c r="HJ7" i="55"/>
  <c r="IL7" i="55"/>
  <c r="IM7" i="55" s="1"/>
  <c r="HH8" i="55"/>
  <c r="GM88" i="55"/>
  <c r="CI88" i="55"/>
  <c r="EV88" i="55"/>
  <c r="EW88" i="55" s="1"/>
  <c r="EP88" i="55" a="1"/>
  <c r="EP88" i="55" s="1"/>
  <c r="GM9" i="55"/>
  <c r="CI9" i="55"/>
  <c r="EV9" i="55"/>
  <c r="EW9" i="55" s="1"/>
  <c r="EP9" i="55" a="1"/>
  <c r="EP9" i="55" s="1"/>
  <c r="BR18" i="54" s="1" a="1"/>
  <c r="BR18" i="54" s="1"/>
  <c r="GM53" i="55"/>
  <c r="CI53" i="55"/>
  <c r="EP53" i="55" a="1"/>
  <c r="EP53" i="55" s="1"/>
  <c r="EV53" i="55"/>
  <c r="EW53" i="55" s="1"/>
  <c r="O17" i="55" a="1"/>
  <c r="O17" i="55" s="1"/>
  <c r="O317" i="55" a="1"/>
  <c r="O317" i="55" s="1"/>
  <c r="JQ9" i="55"/>
  <c r="O3" i="55" a="1"/>
  <c r="O3" i="55" s="1"/>
  <c r="O4" i="55" a="1"/>
  <c r="O4" i="55" s="1"/>
  <c r="O18" i="55" a="1"/>
  <c r="O18" i="55" s="1"/>
  <c r="O325" i="55" a="1"/>
  <c r="O325" i="55" s="1"/>
  <c r="IZ5" i="55"/>
  <c r="GM31" i="55"/>
  <c r="CI31" i="55"/>
  <c r="EV31" i="55"/>
  <c r="EW31" i="55" s="1"/>
  <c r="Q31" i="55" s="1"/>
  <c r="EM31" i="55" a="1"/>
  <c r="EM31" i="55" s="1"/>
  <c r="EP31" i="55" a="1"/>
  <c r="EP31" i="55" s="1"/>
  <c r="AK11" i="55"/>
  <c r="HE11" i="55"/>
  <c r="O5" i="55" a="1"/>
  <c r="O5" i="55" s="1"/>
  <c r="O335" i="55" a="1"/>
  <c r="O335" i="55" s="1"/>
  <c r="O336" i="55" a="1"/>
  <c r="O336" i="55" s="1"/>
  <c r="GM341" i="55"/>
  <c r="CI341" i="55"/>
  <c r="EP341" i="55" a="1"/>
  <c r="EP341" i="55" s="1"/>
  <c r="EV341" i="55"/>
  <c r="EW341" i="55" s="1"/>
  <c r="GM130" i="55"/>
  <c r="CI130" i="55"/>
  <c r="EP130" i="55" a="1"/>
  <c r="EP130" i="55" s="1"/>
  <c r="EV130" i="55"/>
  <c r="EW130" i="55" s="1"/>
  <c r="HR6" i="55"/>
  <c r="HO6" i="55"/>
  <c r="HK6" i="55"/>
  <c r="HP6" i="55"/>
  <c r="IZ6" i="55" s="1"/>
  <c r="JV19" i="55"/>
  <c r="JV13" i="55"/>
  <c r="O25" i="55" a="1"/>
  <c r="O25" i="55" s="1"/>
  <c r="O26" i="55" a="1"/>
  <c r="O26" i="55" s="1"/>
  <c r="GM29" i="55"/>
  <c r="CI29" i="55"/>
  <c r="EV29" i="55"/>
  <c r="EW29" i="55" s="1"/>
  <c r="JU16" i="55"/>
  <c r="JO16" i="55"/>
  <c r="GM20" i="55"/>
  <c r="CI20" i="55"/>
  <c r="EP20" i="55" a="1"/>
  <c r="EP20" i="55" s="1"/>
  <c r="BR30" i="54" s="1" a="1"/>
  <c r="BR30" i="54" s="1"/>
  <c r="EV20" i="55"/>
  <c r="EW20" i="55" s="1"/>
  <c r="GM10" i="55"/>
  <c r="CI10" i="55"/>
  <c r="EV10" i="55"/>
  <c r="EW10" i="55" s="1"/>
  <c r="EP10" i="55" a="1"/>
  <c r="EP10" i="55" s="1"/>
  <c r="BR20" i="54" s="1" a="1"/>
  <c r="BR20" i="54" s="1"/>
  <c r="IF6" i="55"/>
  <c r="IG6" i="55" s="1"/>
  <c r="JR6" i="55"/>
  <c r="GV39" i="55" l="1"/>
  <c r="GW39" i="55" s="1"/>
  <c r="GU40" i="55"/>
  <c r="JV16" i="55"/>
  <c r="HF11" i="55"/>
  <c r="HG11" i="55" s="1"/>
  <c r="BF16" i="54" a="1"/>
  <c r="BF16" i="54" s="1"/>
  <c r="EZ29" i="55"/>
  <c r="EZ130" i="55"/>
  <c r="GK130" i="55" s="1"/>
  <c r="EZ53" i="55"/>
  <c r="GK53" i="55" s="1"/>
  <c r="HJ8" i="55"/>
  <c r="HI8" i="55"/>
  <c r="HH9" i="55"/>
  <c r="DK29" i="55"/>
  <c r="DO29" i="55" s="1"/>
  <c r="G29" i="55" s="1"/>
  <c r="DP29" i="55" s="1"/>
  <c r="DQ29" i="55" s="1"/>
  <c r="DY29" i="55"/>
  <c r="DK31" i="55"/>
  <c r="DO31" i="55" s="1"/>
  <c r="DY31" i="55"/>
  <c r="HQ31" i="55" s="1"/>
  <c r="DK53" i="55"/>
  <c r="DO53" i="55" s="1"/>
  <c r="DY53" i="55"/>
  <c r="HQ53" i="55" s="1"/>
  <c r="IF7" i="55"/>
  <c r="IG7" i="55" s="1"/>
  <c r="JR7" i="55"/>
  <c r="BF20" i="54" a="1"/>
  <c r="BF20" i="54" s="1"/>
  <c r="EZ10" i="55"/>
  <c r="GM224" i="55"/>
  <c r="CI224" i="55"/>
  <c r="EM224" i="55" a="1"/>
  <c r="EM224" i="55" s="1"/>
  <c r="EV224" i="55"/>
  <c r="EW224" i="55" s="1"/>
  <c r="Q224" i="55" s="1"/>
  <c r="EP224" i="55" a="1"/>
  <c r="EP224" i="55" s="1"/>
  <c r="DK10" i="55"/>
  <c r="DO10" i="55" s="1"/>
  <c r="DY10" i="55"/>
  <c r="HQ10" i="55" s="1"/>
  <c r="BF18" i="54" a="1"/>
  <c r="BF18" i="54" s="1"/>
  <c r="EZ9" i="55"/>
  <c r="GM317" i="55"/>
  <c r="CI317" i="55"/>
  <c r="EV317" i="55"/>
  <c r="EW317" i="55" s="1"/>
  <c r="EP317" i="55" a="1"/>
  <c r="EP317" i="55" s="1"/>
  <c r="BF19" i="54" a="1"/>
  <c r="BF19" i="54" s="1"/>
  <c r="EZ7" i="55"/>
  <c r="GM17" i="55"/>
  <c r="CI17" i="55"/>
  <c r="EV17" i="55"/>
  <c r="EW17" i="55" s="1"/>
  <c r="EP17" i="55" a="1"/>
  <c r="EP17" i="55" s="1"/>
  <c r="BR26" i="54" s="1" a="1"/>
  <c r="BR26" i="54" s="1"/>
  <c r="DK88" i="55"/>
  <c r="DO88" i="55" s="1"/>
  <c r="DY88" i="55"/>
  <c r="HQ88" i="55" s="1"/>
  <c r="DK7" i="55"/>
  <c r="DO7" i="55" s="1"/>
  <c r="DY7" i="55"/>
  <c r="HQ7" i="55" s="1"/>
  <c r="DK130" i="55"/>
  <c r="DO130" i="55" s="1"/>
  <c r="DY130" i="55"/>
  <c r="HQ130" i="55" s="1"/>
  <c r="JA7" i="55"/>
  <c r="HR7" i="55"/>
  <c r="HK7" i="55"/>
  <c r="HP7" i="55"/>
  <c r="GM25" i="55"/>
  <c r="CI25" i="55"/>
  <c r="EZ341" i="55"/>
  <c r="GK341" i="55" s="1"/>
  <c r="EZ20" i="55"/>
  <c r="BF30" i="54" a="1"/>
  <c r="BF30" i="54" s="1"/>
  <c r="DK341" i="55"/>
  <c r="DO341" i="55" s="1"/>
  <c r="DY341" i="55"/>
  <c r="HQ341" i="55" s="1"/>
  <c r="GM325" i="55"/>
  <c r="CI325" i="55"/>
  <c r="EV325" i="55"/>
  <c r="EW325" i="55" s="1"/>
  <c r="EP325" i="55" a="1"/>
  <c r="EP325" i="55" s="1"/>
  <c r="GM336" i="55"/>
  <c r="CI336" i="55"/>
  <c r="EP336" i="55" a="1"/>
  <c r="EP336" i="55" s="1"/>
  <c r="EV336" i="55"/>
  <c r="EW336" i="55" s="1"/>
  <c r="BF17" i="54" a="1"/>
  <c r="BF17" i="54" s="1"/>
  <c r="EZ8" i="55"/>
  <c r="DY20" i="55"/>
  <c r="HQ20" i="55" s="1"/>
  <c r="DK20" i="55"/>
  <c r="DO20" i="55" s="1"/>
  <c r="GM335" i="55"/>
  <c r="CI335" i="55"/>
  <c r="EV335" i="55"/>
  <c r="EW335" i="55" s="1"/>
  <c r="EP335" i="55" a="1"/>
  <c r="EP335" i="55" s="1"/>
  <c r="GM3" i="55"/>
  <c r="CI3" i="55"/>
  <c r="EV3" i="55"/>
  <c r="EW3" i="55" s="1"/>
  <c r="Q3" i="55" s="1"/>
  <c r="EP3" i="55" a="1"/>
  <c r="EP3" i="55" s="1"/>
  <c r="AK12" i="55"/>
  <c r="HE12" i="55"/>
  <c r="DK8" i="55"/>
  <c r="DO8" i="55" s="1"/>
  <c r="DY8" i="55"/>
  <c r="HQ8" i="55" s="1"/>
  <c r="EZ88" i="55"/>
  <c r="GK88" i="55" s="1"/>
  <c r="IX7" i="55" a="1"/>
  <c r="IX7" i="55" s="1"/>
  <c r="IY7" i="55" s="1"/>
  <c r="IT7" i="55" a="1"/>
  <c r="IT7" i="55" s="1"/>
  <c r="IU7" i="55" s="1"/>
  <c r="IN7" i="55" a="1"/>
  <c r="IN7" i="55" s="1"/>
  <c r="IO7" i="55" s="1"/>
  <c r="IV7" i="55" a="1"/>
  <c r="IV7" i="55" s="1"/>
  <c r="IW7" i="55" s="1"/>
  <c r="IP7" i="55" a="1"/>
  <c r="IP7" i="55" s="1"/>
  <c r="IQ7" i="55" s="1"/>
  <c r="IR7" i="55" a="1"/>
  <c r="IR7" i="55" s="1"/>
  <c r="IS7" i="55" s="1"/>
  <c r="EZ102" i="55"/>
  <c r="GK102" i="55" s="1"/>
  <c r="CI26" i="55"/>
  <c r="GM26" i="55"/>
  <c r="EV26" i="55"/>
  <c r="EW26" i="55" s="1"/>
  <c r="EP26" i="55" a="1"/>
  <c r="EP26" i="55" s="1"/>
  <c r="GM14" i="55"/>
  <c r="CI14" i="55"/>
  <c r="EP14" i="55" a="1"/>
  <c r="EP14" i="55" s="1"/>
  <c r="BR23" i="54" s="1" a="1"/>
  <c r="BR23" i="54" s="1"/>
  <c r="EV14" i="55"/>
  <c r="EW14" i="55" s="1"/>
  <c r="DK102" i="55"/>
  <c r="DO102" i="55" s="1"/>
  <c r="DY102" i="55"/>
  <c r="HQ102" i="55" s="1"/>
  <c r="JQ10" i="55"/>
  <c r="GM18" i="55"/>
  <c r="CI18" i="55"/>
  <c r="EV18" i="55"/>
  <c r="EW18" i="55" s="1"/>
  <c r="EP18" i="55" a="1"/>
  <c r="EP18" i="55" s="1"/>
  <c r="BR27" i="54" s="1" a="1"/>
  <c r="BR27" i="54" s="1"/>
  <c r="HD13" i="55"/>
  <c r="HB13" i="55"/>
  <c r="HC13" i="55" s="1"/>
  <c r="HA14" i="55"/>
  <c r="GM4" i="55"/>
  <c r="CI4" i="55"/>
  <c r="EP4" i="55" a="1"/>
  <c r="EP4" i="55" s="1"/>
  <c r="EV4" i="55"/>
  <c r="EW4" i="55" s="1"/>
  <c r="Q4" i="55" s="1"/>
  <c r="DK9" i="55"/>
  <c r="DO9" i="55" s="1"/>
  <c r="DY9" i="55"/>
  <c r="HQ9" i="55" s="1"/>
  <c r="GM5" i="55"/>
  <c r="CI5" i="55"/>
  <c r="EP5" i="55" a="1"/>
  <c r="EP5" i="55" s="1"/>
  <c r="BR29" i="54" s="1" a="1"/>
  <c r="BR29" i="54" s="1"/>
  <c r="EV5" i="55"/>
  <c r="EW5" i="55" s="1"/>
  <c r="BF16" i="10"/>
  <c r="GV40" i="55" l="1"/>
  <c r="GW40" i="55" s="1"/>
  <c r="GU41" i="55"/>
  <c r="DK18" i="55"/>
  <c r="DO18" i="55" s="1"/>
  <c r="DY18" i="55"/>
  <c r="HQ18" i="55" s="1"/>
  <c r="DK336" i="55"/>
  <c r="DO336" i="55" s="1"/>
  <c r="DY336" i="55"/>
  <c r="HQ336" i="55" s="1"/>
  <c r="HJ9" i="55"/>
  <c r="HI9" i="55"/>
  <c r="IL9" i="55"/>
  <c r="IM9" i="55" s="1"/>
  <c r="HH10" i="55"/>
  <c r="EZ325" i="55"/>
  <c r="GK325" i="55" s="1"/>
  <c r="HK8" i="55"/>
  <c r="HR8" i="55"/>
  <c r="HP8" i="55"/>
  <c r="IZ8" i="55" s="1"/>
  <c r="HO8" i="55"/>
  <c r="DK335" i="55"/>
  <c r="DO335" i="55" s="1"/>
  <c r="DY335" i="55"/>
  <c r="HQ335" i="55" s="1"/>
  <c r="EZ317" i="55"/>
  <c r="GK317" i="55" s="1"/>
  <c r="EZ14" i="55"/>
  <c r="BF23" i="54" a="1"/>
  <c r="BF23" i="54" s="1"/>
  <c r="DK317" i="55"/>
  <c r="DO317" i="55" s="1"/>
  <c r="DY317" i="55"/>
  <c r="HQ317" i="55" s="1"/>
  <c r="DK4" i="55"/>
  <c r="DO4" i="55" s="1"/>
  <c r="G4" i="55" s="1"/>
  <c r="DP4" i="55" s="1"/>
  <c r="DQ4" i="55" s="1"/>
  <c r="DY4" i="55"/>
  <c r="HL8" i="55"/>
  <c r="GK8" i="55"/>
  <c r="AK13" i="55"/>
  <c r="HE13" i="55"/>
  <c r="DK14" i="55"/>
  <c r="DO14" i="55" s="1"/>
  <c r="DY14" i="55"/>
  <c r="HQ14" i="55" s="1"/>
  <c r="HL9" i="55"/>
  <c r="GK9" i="55"/>
  <c r="EZ26" i="55"/>
  <c r="GK26" i="55" s="1"/>
  <c r="HF12" i="55"/>
  <c r="HG12" i="55" s="1"/>
  <c r="EZ336" i="55"/>
  <c r="GK336" i="55" s="1"/>
  <c r="DK25" i="55"/>
  <c r="DO25" i="55" s="1"/>
  <c r="G25" i="55" s="1"/>
  <c r="DP25" i="55" s="1"/>
  <c r="DQ25" i="55" s="1"/>
  <c r="DY25" i="55"/>
  <c r="BF26" i="54" a="1"/>
  <c r="BF26" i="54" s="1"/>
  <c r="EZ17" i="55"/>
  <c r="JQ11" i="55"/>
  <c r="DK3" i="55"/>
  <c r="DY3" i="55"/>
  <c r="IZ7" i="55"/>
  <c r="HL7" i="55"/>
  <c r="GK7" i="55"/>
  <c r="DY5" i="55"/>
  <c r="HQ5" i="55" s="1"/>
  <c r="DK5" i="55"/>
  <c r="DO5" i="55" s="1"/>
  <c r="U3" i="40" a="1"/>
  <c r="U3" i="40" s="1"/>
  <c r="DK224" i="55"/>
  <c r="DO224" i="55" s="1"/>
  <c r="DY224" i="55"/>
  <c r="HQ224" i="55" s="1"/>
  <c r="HL10" i="55"/>
  <c r="GK10" i="55"/>
  <c r="IF8" i="55"/>
  <c r="IG8" i="55" s="1"/>
  <c r="JR8" i="55"/>
  <c r="EZ335" i="55"/>
  <c r="GK335" i="55" s="1"/>
  <c r="DK325" i="55"/>
  <c r="DO325" i="55" s="1"/>
  <c r="DY325" i="55"/>
  <c r="HQ325" i="55" s="1"/>
  <c r="HB14" i="55"/>
  <c r="HC14" i="55" s="1"/>
  <c r="HD14" i="55"/>
  <c r="HA15" i="55"/>
  <c r="HL20" i="55"/>
  <c r="GK20" i="55"/>
  <c r="GK29" i="55"/>
  <c r="HL29" i="55"/>
  <c r="BF29" i="54" a="1"/>
  <c r="BF29" i="54" s="1"/>
  <c r="EZ5" i="55"/>
  <c r="BF27" i="54" a="1"/>
  <c r="BF27" i="54" s="1"/>
  <c r="EZ18" i="55"/>
  <c r="DK26" i="55"/>
  <c r="DO26" i="55" s="1"/>
  <c r="DY26" i="55"/>
  <c r="HQ26" i="55" s="1"/>
  <c r="DK17" i="55"/>
  <c r="DO17" i="55" s="1"/>
  <c r="DY17" i="55"/>
  <c r="HQ17" i="55" s="1"/>
  <c r="DR29" i="55" a="1"/>
  <c r="DR29" i="55" s="1"/>
  <c r="DT29" i="55" s="1"/>
  <c r="DU29" i="55"/>
  <c r="HT29" i="55" s="1"/>
  <c r="II29" i="55"/>
  <c r="IJ29" i="55" s="1"/>
  <c r="GV41" i="55" l="1"/>
  <c r="GW41" i="55" s="1"/>
  <c r="GU42" i="55"/>
  <c r="HQ29" i="55"/>
  <c r="JU8" i="55"/>
  <c r="JO8" i="55"/>
  <c r="JO20" i="55"/>
  <c r="EO29" i="55" a="1"/>
  <c r="EO29" i="55" s="1"/>
  <c r="W29" i="55"/>
  <c r="IX9" i="55" a="1"/>
  <c r="IX9" i="55" s="1"/>
  <c r="IY9" i="55" s="1"/>
  <c r="IV9" i="55" a="1"/>
  <c r="IV9" i="55" s="1"/>
  <c r="IW9" i="55" s="1"/>
  <c r="IN9" i="55" a="1"/>
  <c r="IN9" i="55" s="1"/>
  <c r="IO9" i="55" s="1"/>
  <c r="IP9" i="55" a="1"/>
  <c r="IP9" i="55" s="1"/>
  <c r="IQ9" i="55" s="1"/>
  <c r="IR9" i="55" a="1"/>
  <c r="IR9" i="55" s="1"/>
  <c r="IS9" i="55" s="1"/>
  <c r="IT9" i="55" a="1"/>
  <c r="IT9" i="55" s="1"/>
  <c r="IU9" i="55" s="1"/>
  <c r="IF9" i="55"/>
  <c r="IG9" i="55" s="1"/>
  <c r="JR9" i="55"/>
  <c r="HL18" i="55"/>
  <c r="GK18" i="55"/>
  <c r="GK5" i="55"/>
  <c r="HL5" i="55"/>
  <c r="JU10" i="55"/>
  <c r="JV10" i="55" s="1"/>
  <c r="JO10" i="55"/>
  <c r="HM10" i="55"/>
  <c r="HF13" i="55"/>
  <c r="HG13" i="55" s="1"/>
  <c r="GK17" i="55"/>
  <c r="HL17" i="55"/>
  <c r="JU29" i="55"/>
  <c r="JV29" i="55" s="1"/>
  <c r="JO29" i="55"/>
  <c r="HM29" i="55"/>
  <c r="M29" i="55" s="1"/>
  <c r="HN29" i="55" s="1"/>
  <c r="HM30" i="55"/>
  <c r="M30" i="55" s="1"/>
  <c r="HN30" i="55" s="1"/>
  <c r="JK4" i="55"/>
  <c r="DR4" i="55" a="1"/>
  <c r="DR4" i="55" s="1"/>
  <c r="DT4" i="55" s="1"/>
  <c r="W4" i="55" s="1"/>
  <c r="DU4" i="55"/>
  <c r="HT4" i="55" s="1"/>
  <c r="II4" i="55"/>
  <c r="IJ4" i="55" s="1"/>
  <c r="AK14" i="55"/>
  <c r="HE14" i="55"/>
  <c r="JQ12" i="55"/>
  <c r="Z3" i="40" a="1"/>
  <c r="Z3" i="40" s="1"/>
  <c r="JU9" i="55"/>
  <c r="JO9" i="55"/>
  <c r="JK25" i="55"/>
  <c r="DR25" i="55" a="1"/>
  <c r="DR25" i="55" s="1"/>
  <c r="DT25" i="55" s="1"/>
  <c r="II25" i="55"/>
  <c r="IJ25" i="55" s="1"/>
  <c r="DU25" i="55"/>
  <c r="HT25" i="55" s="1"/>
  <c r="HB15" i="55"/>
  <c r="HC15" i="55" s="1"/>
  <c r="HD15" i="55"/>
  <c r="HA16" i="55"/>
  <c r="HJ10" i="55"/>
  <c r="HI10" i="55"/>
  <c r="IL10" i="55"/>
  <c r="IM10" i="55" s="1"/>
  <c r="HH11" i="55"/>
  <c r="GK14" i="55"/>
  <c r="HL14" i="55"/>
  <c r="JA9" i="55"/>
  <c r="HK9" i="55"/>
  <c r="HP9" i="55"/>
  <c r="IZ9" i="55" s="1"/>
  <c r="HO9" i="55"/>
  <c r="HR9" i="55"/>
  <c r="JU7" i="55"/>
  <c r="JO7" i="55"/>
  <c r="HM7" i="55"/>
  <c r="HO7" i="55"/>
  <c r="AA3" i="40" a="1"/>
  <c r="AA3" i="40" s="1"/>
  <c r="AO3" i="40" a="1"/>
  <c r="AO3" i="40" s="1"/>
  <c r="DO3" i="55"/>
  <c r="G3" i="55" s="1"/>
  <c r="DP3" i="55" s="1"/>
  <c r="DQ3" i="55" s="1"/>
  <c r="GU43" i="55" l="1"/>
  <c r="GV42" i="55"/>
  <c r="GW42" i="55" s="1"/>
  <c r="HQ4" i="55"/>
  <c r="IF10" i="55"/>
  <c r="IG10" i="55" s="1"/>
  <c r="JR10" i="55"/>
  <c r="JA10" i="55"/>
  <c r="HR10" i="55"/>
  <c r="HK10" i="55"/>
  <c r="HP10" i="55"/>
  <c r="IZ10" i="55" s="1"/>
  <c r="HO10" i="55"/>
  <c r="HF14" i="55"/>
  <c r="HG14" i="55" s="1"/>
  <c r="JQ13" i="55"/>
  <c r="JO5" i="55"/>
  <c r="JP10" i="55" s="1"/>
  <c r="HM5" i="55"/>
  <c r="M5" i="55" s="1"/>
  <c r="HN5" i="55" s="1"/>
  <c r="AY3" i="40" a="1"/>
  <c r="AY3" i="40" s="1"/>
  <c r="HM22" i="55"/>
  <c r="M22" i="55" s="1"/>
  <c r="HN22" i="55" s="1"/>
  <c r="HM24" i="55"/>
  <c r="HM23" i="55"/>
  <c r="M23" i="55" s="1"/>
  <c r="HN23" i="55" s="1"/>
  <c r="HM21" i="55"/>
  <c r="HM6" i="55"/>
  <c r="M6" i="55" s="1"/>
  <c r="HN6" i="55" s="1"/>
  <c r="HM15" i="55"/>
  <c r="HO5" i="55"/>
  <c r="HM12" i="55"/>
  <c r="HM13" i="55"/>
  <c r="HM19" i="55"/>
  <c r="HM16" i="55"/>
  <c r="EM25" i="55" a="1"/>
  <c r="EM25" i="55" s="1"/>
  <c r="J25" i="55" s="1"/>
  <c r="EN25" i="55" s="1"/>
  <c r="EO25" i="55" a="1"/>
  <c r="EO25" i="55" s="1"/>
  <c r="Q3" i="40" a="1"/>
  <c r="Q3" i="40" s="1"/>
  <c r="JU20" i="55"/>
  <c r="JV20" i="55" s="1"/>
  <c r="JO14" i="55"/>
  <c r="JU14" i="55"/>
  <c r="HM14" i="55"/>
  <c r="HM9" i="55"/>
  <c r="JO18" i="55"/>
  <c r="HM18" i="55"/>
  <c r="HM8" i="55"/>
  <c r="M8" i="55" s="1"/>
  <c r="HN8" i="55" s="1"/>
  <c r="JK3" i="55"/>
  <c r="DR3" i="55" a="1"/>
  <c r="DR3" i="55" s="1"/>
  <c r="H3" i="40" a="1"/>
  <c r="H3" i="40" s="1"/>
  <c r="II3" i="55"/>
  <c r="IJ3" i="55" s="1"/>
  <c r="DU3" i="55"/>
  <c r="HT3" i="55" s="1"/>
  <c r="JK303" i="55"/>
  <c r="JK130" i="55"/>
  <c r="JK175" i="55"/>
  <c r="JK73" i="55"/>
  <c r="JK181" i="55"/>
  <c r="JK100" i="55"/>
  <c r="JK169" i="55"/>
  <c r="JK75" i="55"/>
  <c r="JK119" i="55"/>
  <c r="JK325" i="55"/>
  <c r="JK76" i="55"/>
  <c r="JK111" i="55"/>
  <c r="JK12" i="55"/>
  <c r="JK176" i="55"/>
  <c r="JK318" i="55"/>
  <c r="JK304" i="55"/>
  <c r="JK287" i="55"/>
  <c r="JK165" i="55"/>
  <c r="JK22" i="55"/>
  <c r="JK299" i="55"/>
  <c r="JK71" i="55"/>
  <c r="JK80" i="55"/>
  <c r="JK19" i="55"/>
  <c r="JK62" i="55"/>
  <c r="JK265" i="55"/>
  <c r="JK116" i="55"/>
  <c r="JK156" i="55"/>
  <c r="JK112" i="55"/>
  <c r="JK307" i="55"/>
  <c r="JK164" i="55"/>
  <c r="JK174" i="55"/>
  <c r="JK86" i="55"/>
  <c r="JK162" i="55"/>
  <c r="JK39" i="55"/>
  <c r="JK327" i="55"/>
  <c r="JK341" i="55"/>
  <c r="JK103" i="55"/>
  <c r="JK308" i="55"/>
  <c r="JK295" i="55"/>
  <c r="JK78" i="55"/>
  <c r="JK346" i="55"/>
  <c r="JK311" i="55"/>
  <c r="JK70" i="55"/>
  <c r="JK121" i="55"/>
  <c r="JK66" i="55"/>
  <c r="JK85" i="55"/>
  <c r="JK105" i="55"/>
  <c r="JK245" i="55"/>
  <c r="JK69" i="55"/>
  <c r="JK102" i="55"/>
  <c r="JK183" i="55"/>
  <c r="JK294" i="55"/>
  <c r="JK6" i="55"/>
  <c r="JK336" i="55"/>
  <c r="JK48" i="55"/>
  <c r="JK126" i="55"/>
  <c r="JK330" i="55"/>
  <c r="JK292" i="55"/>
  <c r="JK332" i="55"/>
  <c r="JK326" i="55"/>
  <c r="JK309" i="55"/>
  <c r="JK166" i="55"/>
  <c r="JK5" i="55"/>
  <c r="JK72" i="55"/>
  <c r="JK259" i="55"/>
  <c r="JK79" i="55"/>
  <c r="JK247" i="55"/>
  <c r="JK276" i="55"/>
  <c r="JK195" i="55"/>
  <c r="JK163" i="55"/>
  <c r="JK55" i="55"/>
  <c r="JK251" i="55"/>
  <c r="JK193" i="55"/>
  <c r="JK89" i="55"/>
  <c r="JK228" i="55"/>
  <c r="JK38" i="55"/>
  <c r="JK231" i="55"/>
  <c r="JK331" i="55"/>
  <c r="JK285" i="55"/>
  <c r="JK211" i="55"/>
  <c r="JK132" i="55"/>
  <c r="JK264" i="55"/>
  <c r="JK129" i="55"/>
  <c r="JK283" i="55"/>
  <c r="JK277" i="55"/>
  <c r="JK300" i="55"/>
  <c r="JK205" i="55"/>
  <c r="JK225" i="55"/>
  <c r="JK60" i="55"/>
  <c r="JK198" i="55"/>
  <c r="JK157" i="55"/>
  <c r="JK226" i="55"/>
  <c r="JK154" i="55"/>
  <c r="JK99" i="55"/>
  <c r="JK240" i="55"/>
  <c r="JK123" i="55"/>
  <c r="JK242" i="55"/>
  <c r="JK348" i="55"/>
  <c r="JK101" i="55"/>
  <c r="JK298" i="55"/>
  <c r="JK263" i="55"/>
  <c r="JK133" i="55"/>
  <c r="JK284" i="55"/>
  <c r="JK180" i="55"/>
  <c r="JK333" i="55"/>
  <c r="JK49" i="55"/>
  <c r="JK117" i="55"/>
  <c r="JK229" i="55"/>
  <c r="JK317" i="55"/>
  <c r="JK236" i="55"/>
  <c r="JK143" i="55"/>
  <c r="JK196" i="55"/>
  <c r="JK139" i="55"/>
  <c r="JK248" i="55"/>
  <c r="JK289" i="55"/>
  <c r="JK221" i="55"/>
  <c r="JK37" i="55"/>
  <c r="JK150" i="55"/>
  <c r="JK197" i="55"/>
  <c r="JK206" i="55"/>
  <c r="JK34" i="55"/>
  <c r="JK88" i="55"/>
  <c r="JK131" i="55"/>
  <c r="JK41" i="55"/>
  <c r="JK63" i="55"/>
  <c r="JK52" i="55"/>
  <c r="JK149" i="55"/>
  <c r="JK255" i="55"/>
  <c r="JK345" i="55"/>
  <c r="JK92" i="55"/>
  <c r="JK220" i="55"/>
  <c r="JK28" i="55"/>
  <c r="JK173" i="55"/>
  <c r="JK324" i="55"/>
  <c r="JK315" i="55"/>
  <c r="JK349" i="55"/>
  <c r="JK290" i="55"/>
  <c r="JK233" i="55"/>
  <c r="JK213" i="55"/>
  <c r="JK35" i="55"/>
  <c r="JK125" i="55"/>
  <c r="JK84" i="55"/>
  <c r="JK302" i="55"/>
  <c r="JK192" i="55"/>
  <c r="JK147" i="55"/>
  <c r="JK312" i="55"/>
  <c r="JK177" i="55"/>
  <c r="JK83" i="55"/>
  <c r="JK296" i="55"/>
  <c r="JK98" i="55"/>
  <c r="JK58" i="55"/>
  <c r="JK261" i="55"/>
  <c r="JK93" i="55"/>
  <c r="JK291" i="55"/>
  <c r="JK243" i="55"/>
  <c r="JK337" i="55"/>
  <c r="JK26" i="55"/>
  <c r="JK153" i="55"/>
  <c r="JK288" i="55"/>
  <c r="JK151" i="55"/>
  <c r="JK319" i="55"/>
  <c r="JK122" i="55"/>
  <c r="JK340" i="55"/>
  <c r="JK316" i="55"/>
  <c r="JK128" i="55"/>
  <c r="JK279" i="55"/>
  <c r="JK323" i="55"/>
  <c r="JK343" i="55"/>
  <c r="JK352" i="55"/>
  <c r="JK50" i="55"/>
  <c r="JK67" i="55"/>
  <c r="JK59" i="55"/>
  <c r="JK350" i="55"/>
  <c r="JK107" i="55"/>
  <c r="JK339" i="55"/>
  <c r="JK314" i="55"/>
  <c r="JK321" i="55"/>
  <c r="JK202" i="55"/>
  <c r="JK223" i="55"/>
  <c r="JK244" i="55"/>
  <c r="JK293" i="55"/>
  <c r="JK36" i="55"/>
  <c r="JK230" i="55"/>
  <c r="JK90" i="55"/>
  <c r="JK82" i="55"/>
  <c r="JK184" i="55"/>
  <c r="JK95" i="55"/>
  <c r="JK178" i="55"/>
  <c r="JK224" i="55"/>
  <c r="JK148" i="55"/>
  <c r="JK138" i="55"/>
  <c r="JK207" i="55"/>
  <c r="JK168" i="55"/>
  <c r="JK329" i="55"/>
  <c r="JK16" i="55"/>
  <c r="JK43" i="55"/>
  <c r="JK108" i="55"/>
  <c r="JK253" i="55"/>
  <c r="JK136" i="55"/>
  <c r="JK106" i="55"/>
  <c r="JK141" i="55"/>
  <c r="JK104" i="55"/>
  <c r="JK27" i="55"/>
  <c r="JK297" i="55"/>
  <c r="JK64" i="55"/>
  <c r="JK212" i="55"/>
  <c r="JK335" i="55"/>
  <c r="JK56" i="55"/>
  <c r="JK170" i="55"/>
  <c r="JK239" i="55"/>
  <c r="JK171" i="55"/>
  <c r="JK222" i="55"/>
  <c r="JK310" i="55"/>
  <c r="JK15" i="55"/>
  <c r="JK281" i="55"/>
  <c r="JK110" i="55"/>
  <c r="JK189" i="55"/>
  <c r="JK306" i="55"/>
  <c r="JK342" i="55"/>
  <c r="JK347" i="55"/>
  <c r="JK77" i="55"/>
  <c r="JK322" i="55"/>
  <c r="JK109" i="55"/>
  <c r="JK87" i="55"/>
  <c r="JK227" i="55"/>
  <c r="JK135" i="55"/>
  <c r="JK33" i="55"/>
  <c r="JK61" i="55"/>
  <c r="JK96" i="55"/>
  <c r="JK74" i="55"/>
  <c r="JK191" i="55"/>
  <c r="JK344" i="55"/>
  <c r="JK97" i="55"/>
  <c r="JK120" i="55"/>
  <c r="JK144" i="55"/>
  <c r="JK301" i="55"/>
  <c r="JK199" i="55"/>
  <c r="JK203" i="55"/>
  <c r="JK94" i="55"/>
  <c r="JK216" i="55"/>
  <c r="JK159" i="55"/>
  <c r="JK114" i="55"/>
  <c r="JK320" i="55"/>
  <c r="JK272" i="55"/>
  <c r="JK254" i="55"/>
  <c r="JK142" i="55"/>
  <c r="JK161" i="55"/>
  <c r="JK46" i="55"/>
  <c r="JK271" i="55"/>
  <c r="JK68" i="55"/>
  <c r="JK182" i="55"/>
  <c r="JK282" i="55"/>
  <c r="JK187" i="55"/>
  <c r="JK81" i="55"/>
  <c r="JK57" i="55"/>
  <c r="JK40" i="55"/>
  <c r="JK217" i="55"/>
  <c r="JK273" i="55"/>
  <c r="JK118" i="55"/>
  <c r="JK328" i="55"/>
  <c r="JK124" i="55"/>
  <c r="JK91" i="55"/>
  <c r="JK115" i="55"/>
  <c r="JK258" i="55"/>
  <c r="JK286" i="55"/>
  <c r="JK44" i="55"/>
  <c r="JK47" i="55"/>
  <c r="JK30" i="55"/>
  <c r="JK113" i="55"/>
  <c r="JK201" i="55"/>
  <c r="JK269" i="55"/>
  <c r="JK137" i="55"/>
  <c r="JK313" i="55"/>
  <c r="JK42" i="55"/>
  <c r="JK334" i="55"/>
  <c r="JK246" i="55"/>
  <c r="JK127" i="55"/>
  <c r="JK252" i="55"/>
  <c r="JK167" i="55"/>
  <c r="JK266" i="55"/>
  <c r="JK238" i="55"/>
  <c r="JK235" i="55"/>
  <c r="JK172" i="55"/>
  <c r="JK65" i="55"/>
  <c r="JK51" i="55"/>
  <c r="JK262" i="55"/>
  <c r="JK31" i="55"/>
  <c r="JK351" i="55"/>
  <c r="JK338" i="55"/>
  <c r="JK204" i="55"/>
  <c r="JK214" i="55"/>
  <c r="JK54" i="55"/>
  <c r="JK158" i="55"/>
  <c r="JK179" i="55"/>
  <c r="JK219" i="55"/>
  <c r="JK160" i="55"/>
  <c r="JK305" i="55"/>
  <c r="JK134" i="55"/>
  <c r="JK275" i="55"/>
  <c r="JK145" i="55"/>
  <c r="JK280" i="55"/>
  <c r="JK249" i="55"/>
  <c r="JK186" i="55"/>
  <c r="JK268" i="55"/>
  <c r="JK200" i="55"/>
  <c r="JK237" i="55"/>
  <c r="JK146" i="55"/>
  <c r="JK250" i="55"/>
  <c r="JK152" i="55"/>
  <c r="JK241" i="55"/>
  <c r="JK218" i="55"/>
  <c r="JK232" i="55"/>
  <c r="JK194" i="55"/>
  <c r="JK45" i="55"/>
  <c r="JK188" i="55"/>
  <c r="JK190" i="55"/>
  <c r="JK270" i="55"/>
  <c r="JK210" i="55"/>
  <c r="JK257" i="55"/>
  <c r="JK185" i="55"/>
  <c r="JK267" i="55"/>
  <c r="JK32" i="55"/>
  <c r="JK140" i="55"/>
  <c r="JK260" i="55"/>
  <c r="JK256" i="55"/>
  <c r="JK278" i="55"/>
  <c r="JK209" i="55"/>
  <c r="JK215" i="55"/>
  <c r="JK208" i="55"/>
  <c r="JK29" i="55"/>
  <c r="JV9" i="55"/>
  <c r="EQ29" i="55"/>
  <c r="BT16" i="54" s="1" a="1"/>
  <c r="BT16" i="54" s="1"/>
  <c r="EP29" i="55" a="1"/>
  <c r="EP29" i="55" s="1"/>
  <c r="BR16" i="54" s="1" a="1"/>
  <c r="BR16" i="54" s="1"/>
  <c r="HM20" i="55"/>
  <c r="JV8" i="55"/>
  <c r="IR10" i="55" a="1"/>
  <c r="IR10" i="55" s="1"/>
  <c r="IS10" i="55" s="1"/>
  <c r="IT10" i="55" a="1"/>
  <c r="IT10" i="55" s="1"/>
  <c r="IU10" i="55" s="1"/>
  <c r="IV10" i="55" a="1"/>
  <c r="IV10" i="55" s="1"/>
  <c r="IW10" i="55" s="1"/>
  <c r="IN10" i="55" a="1"/>
  <c r="IN10" i="55" s="1"/>
  <c r="IO10" i="55" s="1"/>
  <c r="IX10" i="55" a="1"/>
  <c r="IX10" i="55" s="1"/>
  <c r="IY10" i="55" s="1"/>
  <c r="IP10" i="55" a="1"/>
  <c r="IP10" i="55" s="1"/>
  <c r="IQ10" i="55" s="1"/>
  <c r="JV7" i="55"/>
  <c r="HB16" i="55"/>
  <c r="HC16" i="55" s="1"/>
  <c r="HD16" i="55"/>
  <c r="HA17" i="55"/>
  <c r="AK15" i="55"/>
  <c r="HE15" i="55"/>
  <c r="HJ11" i="55"/>
  <c r="HI11" i="55"/>
  <c r="IL11" i="55"/>
  <c r="IM11" i="55" s="1"/>
  <c r="HH12" i="55"/>
  <c r="JO17" i="55"/>
  <c r="HM17" i="55"/>
  <c r="GU44" i="55" l="1"/>
  <c r="GV43" i="55"/>
  <c r="GW43" i="55" s="1"/>
  <c r="JU5" i="55"/>
  <c r="JP18" i="55"/>
  <c r="ER25" i="55"/>
  <c r="ES25" i="55"/>
  <c r="FB25" i="55"/>
  <c r="BP15" i="54" s="1" a="1"/>
  <c r="BP15" i="54" s="1"/>
  <c r="FA25" i="55"/>
  <c r="BL15" i="54" s="1" a="1"/>
  <c r="BL15" i="54" s="1"/>
  <c r="FC25" i="55"/>
  <c r="FD25" i="55" s="1"/>
  <c r="HS25" i="55" s="1"/>
  <c r="HU25" i="55" s="1"/>
  <c r="W25" i="55"/>
  <c r="EY25" i="55"/>
  <c r="R25" i="55"/>
  <c r="GS25" i="55"/>
  <c r="HQ25" i="55" s="1"/>
  <c r="EZ25" i="55"/>
  <c r="BW3" i="40" a="1"/>
  <c r="BW3" i="40" s="1"/>
  <c r="HI12" i="55"/>
  <c r="HJ12" i="55"/>
  <c r="IL12" i="55"/>
  <c r="IM12" i="55" s="1"/>
  <c r="HH13" i="55"/>
  <c r="IF11" i="55"/>
  <c r="IG11" i="55" s="1"/>
  <c r="JR11" i="55"/>
  <c r="JU18" i="55"/>
  <c r="JV18" i="55" s="1"/>
  <c r="JA11" i="55"/>
  <c r="HR11" i="55"/>
  <c r="HK11" i="55"/>
  <c r="HP11" i="55"/>
  <c r="IZ11" i="55" s="1"/>
  <c r="HO11" i="55"/>
  <c r="JP20" i="55"/>
  <c r="IX11" i="55" a="1"/>
  <c r="IX11" i="55" s="1"/>
  <c r="IY11" i="55" s="1"/>
  <c r="IT11" i="55" a="1"/>
  <c r="IT11" i="55" s="1"/>
  <c r="IU11" i="55" s="1"/>
  <c r="IP11" i="55" a="1"/>
  <c r="IP11" i="55" s="1"/>
  <c r="IQ11" i="55" s="1"/>
  <c r="IR11" i="55" a="1"/>
  <c r="IR11" i="55" s="1"/>
  <c r="IS11" i="55" s="1"/>
  <c r="IV11" i="55" a="1"/>
  <c r="IV11" i="55" s="1"/>
  <c r="IW11" i="55" s="1"/>
  <c r="IN11" i="55" a="1"/>
  <c r="IN11" i="55" s="1"/>
  <c r="IO11" i="55" s="1"/>
  <c r="JQ14" i="55"/>
  <c r="HF15" i="55"/>
  <c r="HG15" i="55" s="1"/>
  <c r="HB17" i="55"/>
  <c r="HC17" i="55" s="1"/>
  <c r="HD17" i="55"/>
  <c r="HA18" i="55"/>
  <c r="AU3" i="40" a="1"/>
  <c r="AU3" i="40" s="1"/>
  <c r="AQ3" i="40" a="1"/>
  <c r="AQ3" i="40" s="1"/>
  <c r="DT3" i="55"/>
  <c r="B7" i="59" a="1"/>
  <c r="B7" i="59" s="1"/>
  <c r="IL5" i="55"/>
  <c r="IM5" i="55" s="1"/>
  <c r="P3" i="40" a="1"/>
  <c r="P3" i="40" s="1"/>
  <c r="JA5" i="55"/>
  <c r="HH14" i="55"/>
  <c r="AK16" i="55"/>
  <c r="HE16" i="55"/>
  <c r="JK7" i="55"/>
  <c r="M61" i="16"/>
  <c r="BF10" i="10"/>
  <c r="JP5" i="55"/>
  <c r="BQ3" i="40" a="1"/>
  <c r="BQ3" i="40" s="1"/>
  <c r="JP24" i="55"/>
  <c r="JP22" i="55"/>
  <c r="JP6" i="55"/>
  <c r="JP15" i="55"/>
  <c r="JP12" i="55"/>
  <c r="JP19" i="55"/>
  <c r="JP16" i="55"/>
  <c r="IL6" i="55"/>
  <c r="IM6" i="55" s="1"/>
  <c r="JA6" i="55"/>
  <c r="JV14" i="55"/>
  <c r="M24" i="16"/>
  <c r="N4" i="42"/>
  <c r="P4" i="42" s="1"/>
  <c r="AE4" i="42" s="1"/>
  <c r="N5" i="42"/>
  <c r="P5" i="42" s="1"/>
  <c r="AE5" i="42" s="1"/>
  <c r="N7" i="42"/>
  <c r="P7" i="42" s="1"/>
  <c r="AE7" i="42" s="1"/>
  <c r="AF7" i="42" s="1"/>
  <c r="N6" i="42"/>
  <c r="P6" i="42" s="1"/>
  <c r="AE6" i="42" s="1"/>
  <c r="N8" i="42"/>
  <c r="P8" i="42" s="1"/>
  <c r="AE8" i="42" s="1"/>
  <c r="AF8" i="42" s="1"/>
  <c r="N9" i="42"/>
  <c r="P9" i="42" s="1"/>
  <c r="AE9" i="42" s="1"/>
  <c r="N10" i="42"/>
  <c r="P10" i="42" s="1"/>
  <c r="AE10" i="42" s="1"/>
  <c r="N11" i="42"/>
  <c r="P11" i="42" s="1"/>
  <c r="AE11" i="42" s="1"/>
  <c r="AF11" i="42" s="1"/>
  <c r="JU17" i="55"/>
  <c r="JV17" i="55" s="1"/>
  <c r="IL8" i="55"/>
  <c r="IM8" i="55" s="1"/>
  <c r="JA8" i="55"/>
  <c r="EQ25" i="55"/>
  <c r="BT15" i="54" s="1" a="1"/>
  <c r="BT15" i="54" s="1"/>
  <c r="EP25" i="55" a="1"/>
  <c r="EP25" i="55" s="1"/>
  <c r="BR15" i="54" s="1" a="1"/>
  <c r="BR15" i="54" s="1"/>
  <c r="JV5" i="55"/>
  <c r="GU45" i="55" l="1"/>
  <c r="GV44" i="55"/>
  <c r="GW44" i="55" s="1"/>
  <c r="HD18" i="55"/>
  <c r="HB18" i="55"/>
  <c r="HC18" i="55" s="1"/>
  <c r="HA19" i="55"/>
  <c r="IX8" i="55" a="1"/>
  <c r="IX8" i="55" s="1"/>
  <c r="IY8" i="55" s="1"/>
  <c r="IV8" i="55" a="1"/>
  <c r="IV8" i="55" s="1"/>
  <c r="IW8" i="55" s="1"/>
  <c r="IN8" i="55" a="1"/>
  <c r="IN8" i="55" s="1"/>
  <c r="IO8" i="55" s="1"/>
  <c r="IR8" i="55" a="1"/>
  <c r="IR8" i="55" s="1"/>
  <c r="IS8" i="55" s="1"/>
  <c r="IP8" i="55" a="1"/>
  <c r="IP8" i="55" s="1"/>
  <c r="IQ8" i="55" s="1"/>
  <c r="IT8" i="55" a="1"/>
  <c r="IT8" i="55" s="1"/>
  <c r="IU8" i="55" s="1"/>
  <c r="HJ14" i="55"/>
  <c r="HI14" i="55"/>
  <c r="IL14" i="55"/>
  <c r="IM14" i="55" s="1"/>
  <c r="AK17" i="55"/>
  <c r="HE17" i="55"/>
  <c r="IX6" i="55" a="1"/>
  <c r="IX6" i="55" s="1"/>
  <c r="IY6" i="55" s="1"/>
  <c r="IT6" i="55" a="1"/>
  <c r="IT6" i="55" s="1"/>
  <c r="IU6" i="55" s="1"/>
  <c r="IN6" i="55" a="1"/>
  <c r="IN6" i="55" s="1"/>
  <c r="IO6" i="55" s="1"/>
  <c r="IP6" i="55" a="1"/>
  <c r="IP6" i="55" s="1"/>
  <c r="IQ6" i="55" s="1"/>
  <c r="IV6" i="55" a="1"/>
  <c r="IV6" i="55" s="1"/>
  <c r="IW6" i="55" s="1"/>
  <c r="IR6" i="55" a="1"/>
  <c r="IR6" i="55" s="1"/>
  <c r="IS6" i="55" s="1"/>
  <c r="JQ15" i="55"/>
  <c r="IV5" i="55" a="1"/>
  <c r="IV5" i="55" s="1"/>
  <c r="IW5" i="55" s="1"/>
  <c r="IR5" i="55" a="1"/>
  <c r="IR5" i="55" s="1"/>
  <c r="IS5" i="55" s="1"/>
  <c r="IT5" i="55" a="1"/>
  <c r="IT5" i="55" s="1"/>
  <c r="IU5" i="55" s="1"/>
  <c r="IN5" i="55" a="1"/>
  <c r="IN5" i="55" s="1"/>
  <c r="IP5" i="55" a="1"/>
  <c r="IP5" i="55" s="1"/>
  <c r="IQ5" i="55" s="1"/>
  <c r="IX5" i="55" a="1"/>
  <c r="IX5" i="55" s="1"/>
  <c r="IY5" i="55" s="1"/>
  <c r="W3" i="55"/>
  <c r="HQ3" i="55"/>
  <c r="W3" i="40" s="1" a="1"/>
  <c r="W3" i="40" s="1"/>
  <c r="FE25" i="55"/>
  <c r="HJ13" i="55"/>
  <c r="HI13" i="55"/>
  <c r="IL13" i="55"/>
  <c r="IM13" i="55" s="1"/>
  <c r="JK8" i="55"/>
  <c r="IF12" i="55"/>
  <c r="IG12" i="55" s="1"/>
  <c r="JR12" i="55"/>
  <c r="HF16" i="55"/>
  <c r="HG16" i="55" s="1"/>
  <c r="V5" i="58" a="1"/>
  <c r="V5" i="58" s="1"/>
  <c r="A5" i="58" a="1"/>
  <c r="A5" i="58" s="1"/>
  <c r="AA5" i="58" a="1"/>
  <c r="AA5" i="58" s="1"/>
  <c r="AJ5" i="58" a="1"/>
  <c r="AJ5" i="58" s="1"/>
  <c r="JP7" i="55"/>
  <c r="JP8" i="55"/>
  <c r="JP9" i="55"/>
  <c r="JP13" i="55" s="1"/>
  <c r="BX3" i="40" a="1"/>
  <c r="BX3" i="40" s="1"/>
  <c r="IV12" i="55" a="1"/>
  <c r="IV12" i="55" s="1"/>
  <c r="IW12" i="55" s="1"/>
  <c r="IT12" i="55" a="1"/>
  <c r="IT12" i="55" s="1"/>
  <c r="IU12" i="55" s="1"/>
  <c r="IP12" i="55" a="1"/>
  <c r="IP12" i="55" s="1"/>
  <c r="IQ12" i="55" s="1"/>
  <c r="IR12" i="55" a="1"/>
  <c r="IR12" i="55" s="1"/>
  <c r="IS12" i="55" s="1"/>
  <c r="IX12" i="55" a="1"/>
  <c r="IX12" i="55" s="1"/>
  <c r="IY12" i="55" s="1"/>
  <c r="IN12" i="55" a="1"/>
  <c r="IN12" i="55" s="1"/>
  <c r="IO12" i="55" s="1"/>
  <c r="N33" i="42"/>
  <c r="P33" i="42" s="1"/>
  <c r="AE33" i="42" s="1"/>
  <c r="M62" i="16"/>
  <c r="BF11" i="10"/>
  <c r="HL25" i="55"/>
  <c r="GK25" i="55"/>
  <c r="HH15" i="55"/>
  <c r="HH16" i="55" s="1"/>
  <c r="EV25" i="55"/>
  <c r="EW25" i="55" s="1"/>
  <c r="BS26" i="54" a="1"/>
  <c r="BS26" i="54" s="1"/>
  <c r="BS29" i="54" a="1"/>
  <c r="BS29" i="54" s="1"/>
  <c r="BS25" i="54" a="1"/>
  <c r="BS25" i="54" s="1"/>
  <c r="BS28" i="54" a="1"/>
  <c r="BS28" i="54" s="1"/>
  <c r="BS20" i="54" a="1"/>
  <c r="BS20" i="54" s="1"/>
  <c r="BS14" i="54" a="1"/>
  <c r="BS14" i="54" s="1"/>
  <c r="BS24" i="54" a="1"/>
  <c r="BS24" i="54" s="1"/>
  <c r="BS15" i="54" a="1"/>
  <c r="BS15" i="54" s="1"/>
  <c r="BS30" i="54" a="1"/>
  <c r="BS30" i="54" s="1"/>
  <c r="BS27" i="54" a="1"/>
  <c r="BS27" i="54" s="1"/>
  <c r="BS17" i="54" a="1"/>
  <c r="BS17" i="54" s="1"/>
  <c r="BS21" i="54" a="1"/>
  <c r="BS21" i="54" s="1"/>
  <c r="BS18" i="54" a="1"/>
  <c r="BS18" i="54" s="1"/>
  <c r="BS19" i="54" a="1"/>
  <c r="BS19" i="54" s="1"/>
  <c r="BS16" i="54" a="1"/>
  <c r="BS16" i="54" s="1"/>
  <c r="BS22" i="54" a="1"/>
  <c r="BS22" i="54" s="1"/>
  <c r="BS23" i="54" a="1"/>
  <c r="BS23" i="54" s="1"/>
  <c r="JA12" i="55"/>
  <c r="HR12" i="55"/>
  <c r="HK12" i="55"/>
  <c r="HO12" i="55"/>
  <c r="HP12" i="55"/>
  <c r="IZ12" i="55" s="1"/>
  <c r="GU46" i="55" l="1"/>
  <c r="GV45" i="55"/>
  <c r="GW45" i="55" s="1"/>
  <c r="EF325" i="55"/>
  <c r="EM325" i="55" s="1" a="1"/>
  <c r="EM325" i="55" s="1"/>
  <c r="EF326" i="55"/>
  <c r="EM326" i="55" s="1" a="1"/>
  <c r="EM326" i="55" s="1"/>
  <c r="EF327" i="55"/>
  <c r="EM327" i="55" s="1" a="1"/>
  <c r="EM327" i="55" s="1"/>
  <c r="EF328" i="55"/>
  <c r="EM328" i="55" s="1" a="1"/>
  <c r="EM328" i="55" s="1"/>
  <c r="EF329" i="55"/>
  <c r="EM329" i="55" s="1" a="1"/>
  <c r="EM329" i="55" s="1"/>
  <c r="IO5" i="55"/>
  <c r="JO25" i="55"/>
  <c r="HM25" i="55"/>
  <c r="M25" i="55" s="1"/>
  <c r="HN25" i="55" s="1"/>
  <c r="IX14" i="55" a="1"/>
  <c r="IX14" i="55" s="1"/>
  <c r="IY14" i="55" s="1"/>
  <c r="IV14" i="55" a="1"/>
  <c r="IV14" i="55" s="1"/>
  <c r="IW14" i="55" s="1"/>
  <c r="IN14" i="55" a="1"/>
  <c r="IN14" i="55" s="1"/>
  <c r="IO14" i="55" s="1"/>
  <c r="IT14" i="55" a="1"/>
  <c r="IT14" i="55" s="1"/>
  <c r="IU14" i="55" s="1"/>
  <c r="IP14" i="55" a="1"/>
  <c r="IP14" i="55" s="1"/>
  <c r="IQ14" i="55" s="1"/>
  <c r="IR14" i="55" a="1"/>
  <c r="IR14" i="55" s="1"/>
  <c r="IS14" i="55" s="1"/>
  <c r="EF352" i="55"/>
  <c r="EM352" i="55" s="1" a="1"/>
  <c r="EM352" i="55" s="1"/>
  <c r="EF345" i="55"/>
  <c r="EM345" i="55" s="1" a="1"/>
  <c r="EM345" i="55" s="1"/>
  <c r="EF346" i="55"/>
  <c r="EM346" i="55" s="1" a="1"/>
  <c r="EM346" i="55" s="1"/>
  <c r="EF347" i="55"/>
  <c r="EM347" i="55" s="1" a="1"/>
  <c r="EM347" i="55" s="1"/>
  <c r="EF348" i="55"/>
  <c r="EM348" i="55" s="1" a="1"/>
  <c r="EM348" i="55" s="1"/>
  <c r="EF341" i="55"/>
  <c r="EM341" i="55" s="1" a="1"/>
  <c r="EM341" i="55" s="1"/>
  <c r="EF343" i="55"/>
  <c r="EM343" i="55" s="1" a="1"/>
  <c r="EM343" i="55" s="1"/>
  <c r="EF350" i="55"/>
  <c r="EM350" i="55" s="1" a="1"/>
  <c r="EM350" i="55" s="1"/>
  <c r="EF351" i="55"/>
  <c r="EM351" i="55" s="1" a="1"/>
  <c r="EM351" i="55" s="1"/>
  <c r="EF342" i="55"/>
  <c r="EM342" i="55" s="1" a="1"/>
  <c r="EM342" i="55" s="1"/>
  <c r="EF344" i="55"/>
  <c r="EM344" i="55" s="1" a="1"/>
  <c r="EM344" i="55" s="1"/>
  <c r="EF349" i="55"/>
  <c r="EM349" i="55" s="1" a="1"/>
  <c r="EM349" i="55" s="1"/>
  <c r="EF26" i="55"/>
  <c r="EM26" i="55" s="1" a="1"/>
  <c r="EM26" i="55" s="1"/>
  <c r="EF27" i="55"/>
  <c r="EF28" i="55"/>
  <c r="EF29" i="55"/>
  <c r="EM29" i="55" s="1" a="1"/>
  <c r="EM29" i="55" s="1"/>
  <c r="EF30" i="55"/>
  <c r="EM30" i="55" s="1" a="1"/>
  <c r="EM30" i="55" s="1"/>
  <c r="IF14" i="55"/>
  <c r="IG14" i="55" s="1"/>
  <c r="JR14" i="55"/>
  <c r="EF288" i="55"/>
  <c r="EM288" i="55" s="1" a="1"/>
  <c r="EM288" i="55" s="1"/>
  <c r="EF304" i="55"/>
  <c r="EM304" i="55" s="1" a="1"/>
  <c r="EM304" i="55" s="1"/>
  <c r="EF289" i="55"/>
  <c r="EM289" i="55" s="1" a="1"/>
  <c r="EM289" i="55" s="1"/>
  <c r="EF305" i="55"/>
  <c r="EM305" i="55" s="1" a="1"/>
  <c r="EM305" i="55" s="1"/>
  <c r="EF290" i="55"/>
  <c r="EM290" i="55" s="1" a="1"/>
  <c r="EM290" i="55" s="1"/>
  <c r="EF306" i="55"/>
  <c r="EM306" i="55" s="1" a="1"/>
  <c r="EM306" i="55" s="1"/>
  <c r="EF292" i="55"/>
  <c r="EM292" i="55" s="1" a="1"/>
  <c r="EM292" i="55" s="1"/>
  <c r="EF308" i="55"/>
  <c r="EM308" i="55" s="1" a="1"/>
  <c r="EM308" i="55" s="1"/>
  <c r="EF301" i="55"/>
  <c r="EM301" i="55" s="1" a="1"/>
  <c r="EM301" i="55" s="1"/>
  <c r="EF302" i="55"/>
  <c r="EM302" i="55" s="1" a="1"/>
  <c r="EM302" i="55" s="1"/>
  <c r="EF283" i="55"/>
  <c r="EF303" i="55"/>
  <c r="EM303" i="55" s="1" a="1"/>
  <c r="EM303" i="55" s="1"/>
  <c r="EF284" i="55"/>
  <c r="EM284" i="55" s="1" a="1"/>
  <c r="EM284" i="55" s="1"/>
  <c r="EF307" i="55"/>
  <c r="EM307" i="55" s="1" a="1"/>
  <c r="EM307" i="55" s="1"/>
  <c r="EF300" i="55"/>
  <c r="EM300" i="55" s="1" a="1"/>
  <c r="EM300" i="55" s="1"/>
  <c r="EF310" i="55"/>
  <c r="EM310" i="55" s="1" a="1"/>
  <c r="EM310" i="55" s="1"/>
  <c r="EF311" i="55"/>
  <c r="EM311" i="55" s="1" a="1"/>
  <c r="EM311" i="55" s="1"/>
  <c r="EF298" i="55"/>
  <c r="EM298" i="55" s="1" a="1"/>
  <c r="EM298" i="55" s="1"/>
  <c r="EF295" i="55"/>
  <c r="EM295" i="55" s="1" a="1"/>
  <c r="EM295" i="55" s="1"/>
  <c r="EF296" i="55"/>
  <c r="EM296" i="55" s="1" a="1"/>
  <c r="EM296" i="55" s="1"/>
  <c r="EF297" i="55"/>
  <c r="EM297" i="55" s="1" a="1"/>
  <c r="EM297" i="55" s="1"/>
  <c r="EF309" i="55"/>
  <c r="EM309" i="55" s="1" a="1"/>
  <c r="EM309" i="55" s="1"/>
  <c r="EF294" i="55"/>
  <c r="EM294" i="55" s="1" a="1"/>
  <c r="EM294" i="55" s="1"/>
  <c r="EF299" i="55"/>
  <c r="EM299" i="55" s="1" a="1"/>
  <c r="EM299" i="55" s="1"/>
  <c r="EF312" i="55"/>
  <c r="EM312" i="55" s="1" a="1"/>
  <c r="EM312" i="55" s="1"/>
  <c r="EF293" i="55"/>
  <c r="EM293" i="55" s="1" a="1"/>
  <c r="EM293" i="55" s="1"/>
  <c r="EF291" i="55"/>
  <c r="EM291" i="55" s="1" a="1"/>
  <c r="EM291" i="55" s="1"/>
  <c r="EF285" i="55"/>
  <c r="EM285" i="55" s="1" a="1"/>
  <c r="EM285" i="55" s="1"/>
  <c r="EF287" i="55"/>
  <c r="EM287" i="55" s="1" a="1"/>
  <c r="EM287" i="55" s="1"/>
  <c r="EF286" i="55"/>
  <c r="EM286" i="55" s="1" a="1"/>
  <c r="EM286" i="55" s="1"/>
  <c r="JA14" i="55"/>
  <c r="HP14" i="55"/>
  <c r="IZ14" i="55" s="1"/>
  <c r="HO14" i="55"/>
  <c r="HR14" i="55"/>
  <c r="EF16" i="55"/>
  <c r="EM16" i="55" s="1" a="1"/>
  <c r="EM16" i="55" s="1"/>
  <c r="EF17" i="55"/>
  <c r="EM17" i="55" s="1" a="1"/>
  <c r="EM17" i="55" s="1"/>
  <c r="EF18" i="55"/>
  <c r="EM18" i="55" s="1" a="1"/>
  <c r="EM18" i="55" s="1"/>
  <c r="EF4" i="55"/>
  <c r="EF20" i="55"/>
  <c r="EM20" i="55" s="1" a="1"/>
  <c r="EM20" i="55" s="1"/>
  <c r="EF5" i="55"/>
  <c r="EM5" i="55" s="1" a="1"/>
  <c r="EM5" i="55" s="1"/>
  <c r="EF25" i="55"/>
  <c r="EF6" i="55"/>
  <c r="EM6" i="55" s="1" a="1"/>
  <c r="EM6" i="55" s="1"/>
  <c r="EF7" i="55"/>
  <c r="EM7" i="55" s="1" a="1"/>
  <c r="EM7" i="55" s="1"/>
  <c r="EF8" i="55"/>
  <c r="EM8" i="55" s="1" a="1"/>
  <c r="EM8" i="55" s="1"/>
  <c r="EF19" i="55"/>
  <c r="EM19" i="55" s="1" a="1"/>
  <c r="EM19" i="55" s="1"/>
  <c r="EF22" i="55"/>
  <c r="EM22" i="55" s="1" a="1"/>
  <c r="EM22" i="55" s="1"/>
  <c r="EF23" i="55"/>
  <c r="EM23" i="55" s="1" a="1"/>
  <c r="EM23" i="55" s="1"/>
  <c r="EF14" i="55"/>
  <c r="EM14" i="55" s="1" a="1"/>
  <c r="EM14" i="55" s="1"/>
  <c r="EF3" i="55"/>
  <c r="EF9" i="55"/>
  <c r="EM9" i="55" s="1" a="1"/>
  <c r="EM9" i="55" s="1"/>
  <c r="EF10" i="55"/>
  <c r="EM10" i="55" s="1" a="1"/>
  <c r="EM10" i="55" s="1"/>
  <c r="EF24" i="55"/>
  <c r="EM24" i="55" s="1" a="1"/>
  <c r="EM24" i="55" s="1"/>
  <c r="EF11" i="55"/>
  <c r="EF12" i="55"/>
  <c r="EM12" i="55" s="1" a="1"/>
  <c r="EM12" i="55" s="1"/>
  <c r="EF13" i="55"/>
  <c r="EM13" i="55" s="1" a="1"/>
  <c r="EM13" i="55" s="1"/>
  <c r="EF15" i="55"/>
  <c r="EM15" i="55" s="1" a="1"/>
  <c r="EM15" i="55" s="1"/>
  <c r="EF21" i="55"/>
  <c r="EM21" i="55" s="1" a="1"/>
  <c r="EM21" i="55" s="1"/>
  <c r="EF144" i="55"/>
  <c r="EM144" i="55" s="1" a="1"/>
  <c r="EM144" i="55" s="1"/>
  <c r="EF145" i="55"/>
  <c r="EM145" i="55" s="1" a="1"/>
  <c r="EM145" i="55" s="1"/>
  <c r="EF130" i="55"/>
  <c r="EM130" i="55" s="1" a="1"/>
  <c r="EM130" i="55" s="1"/>
  <c r="EF146" i="55"/>
  <c r="EM146" i="55" s="1" a="1"/>
  <c r="EM146" i="55" s="1"/>
  <c r="EF132" i="55"/>
  <c r="EM132" i="55" s="1" a="1"/>
  <c r="EM132" i="55" s="1"/>
  <c r="EF148" i="55"/>
  <c r="EM148" i="55" s="1" a="1"/>
  <c r="EM148" i="55" s="1"/>
  <c r="EF133" i="55"/>
  <c r="EM133" i="55" s="1" a="1"/>
  <c r="EM133" i="55" s="1"/>
  <c r="EF153" i="55"/>
  <c r="EM153" i="55" s="1" a="1"/>
  <c r="EM153" i="55" s="1"/>
  <c r="EF134" i="55"/>
  <c r="EM134" i="55" s="1" a="1"/>
  <c r="EM134" i="55" s="1"/>
  <c r="EF135" i="55"/>
  <c r="EM135" i="55" s="1" a="1"/>
  <c r="EM135" i="55" s="1"/>
  <c r="EF136" i="55"/>
  <c r="EM136" i="55" s="1" a="1"/>
  <c r="EM136" i="55" s="1"/>
  <c r="EF131" i="55"/>
  <c r="EM131" i="55" s="1" a="1"/>
  <c r="EM131" i="55" s="1"/>
  <c r="EF138" i="55"/>
  <c r="EM138" i="55" s="1" a="1"/>
  <c r="EM138" i="55" s="1"/>
  <c r="EF139" i="55"/>
  <c r="EM139" i="55" s="1" a="1"/>
  <c r="EM139" i="55" s="1"/>
  <c r="EF143" i="55"/>
  <c r="EM143" i="55" s="1" a="1"/>
  <c r="EM143" i="55" s="1"/>
  <c r="EF147" i="55"/>
  <c r="EM147" i="55" s="1" a="1"/>
  <c r="EM147" i="55" s="1"/>
  <c r="EF149" i="55"/>
  <c r="EM149" i="55" s="1" a="1"/>
  <c r="EM149" i="55" s="1"/>
  <c r="EF151" i="55"/>
  <c r="EM151" i="55" s="1" a="1"/>
  <c r="EM151" i="55" s="1"/>
  <c r="EF142" i="55"/>
  <c r="EM142" i="55" s="1" a="1"/>
  <c r="EM142" i="55" s="1"/>
  <c r="EF150" i="55"/>
  <c r="EM150" i="55" s="1" a="1"/>
  <c r="EM150" i="55" s="1"/>
  <c r="EF152" i="55"/>
  <c r="EM152" i="55" s="1" a="1"/>
  <c r="EM152" i="55" s="1"/>
  <c r="EF137" i="55"/>
  <c r="EM137" i="55" s="1" a="1"/>
  <c r="EM137" i="55" s="1"/>
  <c r="EF141" i="55"/>
  <c r="EM141" i="55" s="1" a="1"/>
  <c r="EM141" i="55" s="1"/>
  <c r="EF140" i="55"/>
  <c r="EM140" i="55" s="1" a="1"/>
  <c r="EM140" i="55" s="1"/>
  <c r="EF332" i="55"/>
  <c r="EM332" i="55" s="1" a="1"/>
  <c r="EM332" i="55" s="1"/>
  <c r="EF334" i="55"/>
  <c r="EM334" i="55" s="1" a="1"/>
  <c r="EM334" i="55" s="1"/>
  <c r="EF330" i="55"/>
  <c r="EM330" i="55" s="1" a="1"/>
  <c r="EM330" i="55" s="1"/>
  <c r="EF333" i="55"/>
  <c r="EM333" i="55" s="1" a="1"/>
  <c r="EM333" i="55" s="1"/>
  <c r="EF331" i="55"/>
  <c r="EM331" i="55" s="1" a="1"/>
  <c r="EM331" i="55" s="1"/>
  <c r="IR13" i="55" a="1"/>
  <c r="IR13" i="55" s="1"/>
  <c r="IS13" i="55" s="1"/>
  <c r="IV13" i="55" a="1"/>
  <c r="IV13" i="55" s="1"/>
  <c r="IW13" i="55" s="1"/>
  <c r="IN13" i="55" a="1"/>
  <c r="IN13" i="55" s="1"/>
  <c r="IO13" i="55" s="1"/>
  <c r="IT13" i="55" a="1"/>
  <c r="IT13" i="55" s="1"/>
  <c r="IU13" i="55" s="1"/>
  <c r="IX13" i="55" a="1"/>
  <c r="IX13" i="55" s="1"/>
  <c r="IY13" i="55" s="1"/>
  <c r="IP13" i="55" a="1"/>
  <c r="IP13" i="55" s="1"/>
  <c r="IQ13" i="55" s="1"/>
  <c r="JP14" i="55"/>
  <c r="JP17" i="55" s="1"/>
  <c r="JP21" i="55" s="1"/>
  <c r="JP23" i="55" s="1"/>
  <c r="EF313" i="55"/>
  <c r="EM313" i="55" s="1" a="1"/>
  <c r="EM313" i="55" s="1"/>
  <c r="EF314" i="55"/>
  <c r="EM314" i="55" s="1" a="1"/>
  <c r="EM314" i="55" s="1"/>
  <c r="EF315" i="55"/>
  <c r="EM315" i="55" s="1" a="1"/>
  <c r="EM315" i="55" s="1"/>
  <c r="EF316" i="55"/>
  <c r="EM316" i="55" s="1" a="1"/>
  <c r="EM316" i="55" s="1"/>
  <c r="EF320" i="55"/>
  <c r="EM320" i="55" s="1" a="1"/>
  <c r="EM320" i="55" s="1"/>
  <c r="EF321" i="55"/>
  <c r="EM321" i="55" s="1" a="1"/>
  <c r="EM321" i="55" s="1"/>
  <c r="EF322" i="55"/>
  <c r="EM322" i="55" s="1" a="1"/>
  <c r="EM322" i="55" s="1"/>
  <c r="EF324" i="55"/>
  <c r="EM324" i="55" s="1" a="1"/>
  <c r="EM324" i="55" s="1"/>
  <c r="EF319" i="55"/>
  <c r="EM319" i="55" s="1" a="1"/>
  <c r="EM319" i="55" s="1"/>
  <c r="EF317" i="55"/>
  <c r="EM317" i="55" s="1" a="1"/>
  <c r="EM317" i="55" s="1"/>
  <c r="EF318" i="55"/>
  <c r="EM318" i="55" s="1" a="1"/>
  <c r="EM318" i="55" s="1"/>
  <c r="EF323" i="55"/>
  <c r="EM323" i="55" s="1" a="1"/>
  <c r="EM323" i="55" s="1"/>
  <c r="AK18" i="55"/>
  <c r="HE18" i="55"/>
  <c r="EF96" i="55"/>
  <c r="EM96" i="55" s="1" a="1"/>
  <c r="EM96" i="55" s="1"/>
  <c r="EF97" i="55"/>
  <c r="EM97" i="55" s="1" a="1"/>
  <c r="EM97" i="55" s="1"/>
  <c r="EF98" i="55"/>
  <c r="EM98" i="55" s="1" a="1"/>
  <c r="EM98" i="55" s="1"/>
  <c r="EF100" i="55"/>
  <c r="EM100" i="55" s="1" a="1"/>
  <c r="EM100" i="55" s="1"/>
  <c r="EF89" i="55"/>
  <c r="EM89" i="55" s="1" a="1"/>
  <c r="EM89" i="55" s="1"/>
  <c r="EF90" i="55"/>
  <c r="EM90" i="55" s="1" a="1"/>
  <c r="EM90" i="55" s="1"/>
  <c r="EF91" i="55"/>
  <c r="EM91" i="55" s="1" a="1"/>
  <c r="EM91" i="55" s="1"/>
  <c r="EF92" i="55"/>
  <c r="EM92" i="55" s="1" a="1"/>
  <c r="EM92" i="55" s="1"/>
  <c r="EF94" i="55"/>
  <c r="EM94" i="55" s="1" a="1"/>
  <c r="EM94" i="55" s="1"/>
  <c r="EF95" i="55"/>
  <c r="EM95" i="55" s="1" a="1"/>
  <c r="EM95" i="55" s="1"/>
  <c r="EF99" i="55"/>
  <c r="EM99" i="55" s="1" a="1"/>
  <c r="EM99" i="55" s="1"/>
  <c r="EF101" i="55"/>
  <c r="EM101" i="55" s="1" a="1"/>
  <c r="EM101" i="55" s="1"/>
  <c r="EF93" i="55"/>
  <c r="EM93" i="55" s="1" a="1"/>
  <c r="EM93" i="55" s="1"/>
  <c r="EF88" i="55"/>
  <c r="EM88" i="55" s="1" a="1"/>
  <c r="EM88" i="55" s="1"/>
  <c r="JQ16" i="55"/>
  <c r="JR16" i="55"/>
  <c r="IF13" i="55"/>
  <c r="IG13" i="55" s="1"/>
  <c r="JR13" i="55"/>
  <c r="EF336" i="55"/>
  <c r="EM336" i="55" s="1" a="1"/>
  <c r="EM336" i="55" s="1"/>
  <c r="EF337" i="55"/>
  <c r="EM337" i="55" s="1" a="1"/>
  <c r="EM337" i="55" s="1"/>
  <c r="EF338" i="55"/>
  <c r="EM338" i="55" s="1" a="1"/>
  <c r="EM338" i="55" s="1"/>
  <c r="EF340" i="55"/>
  <c r="EM340" i="55" s="1" a="1"/>
  <c r="EM340" i="55" s="1"/>
  <c r="EF335" i="55"/>
  <c r="EM335" i="55" s="1" a="1"/>
  <c r="EM335" i="55" s="1"/>
  <c r="EF339" i="55"/>
  <c r="EM339" i="55" s="1" a="1"/>
  <c r="EM339" i="55" s="1"/>
  <c r="JA13" i="55"/>
  <c r="HR13" i="55"/>
  <c r="HO13" i="55"/>
  <c r="HK13" i="55"/>
  <c r="HK14" i="55" s="1"/>
  <c r="HP13" i="55"/>
  <c r="IZ13" i="55" s="1"/>
  <c r="EF224" i="55"/>
  <c r="EF240" i="55"/>
  <c r="EM240" i="55" s="1" a="1"/>
  <c r="EM240" i="55" s="1"/>
  <c r="EF256" i="55"/>
  <c r="EM256" i="55" s="1" a="1"/>
  <c r="EM256" i="55" s="1"/>
  <c r="EF272" i="55"/>
  <c r="EM272" i="55" s="1" a="1"/>
  <c r="EM272" i="55" s="1"/>
  <c r="EF225" i="55"/>
  <c r="EM225" i="55" s="1" a="1"/>
  <c r="EM225" i="55" s="1"/>
  <c r="EF241" i="55"/>
  <c r="EM241" i="55" s="1" a="1"/>
  <c r="EM241" i="55" s="1"/>
  <c r="EF257" i="55"/>
  <c r="EM257" i="55" s="1" a="1"/>
  <c r="EM257" i="55" s="1"/>
  <c r="EF273" i="55"/>
  <c r="EM273" i="55" s="1" a="1"/>
  <c r="EM273" i="55" s="1"/>
  <c r="EF226" i="55"/>
  <c r="EM226" i="55" s="1" a="1"/>
  <c r="EM226" i="55" s="1"/>
  <c r="EF242" i="55"/>
  <c r="EM242" i="55" s="1" a="1"/>
  <c r="EM242" i="55" s="1"/>
  <c r="EF258" i="55"/>
  <c r="EM258" i="55" s="1" a="1"/>
  <c r="EM258" i="55" s="1"/>
  <c r="EF274" i="55"/>
  <c r="EM274" i="55" s="1" a="1"/>
  <c r="EM274" i="55" s="1"/>
  <c r="EF228" i="55"/>
  <c r="EM228" i="55" s="1" a="1"/>
  <c r="EM228" i="55" s="1"/>
  <c r="EF244" i="55"/>
  <c r="EM244" i="55" s="1" a="1"/>
  <c r="EM244" i="55" s="1"/>
  <c r="EF260" i="55"/>
  <c r="EM260" i="55" s="1" a="1"/>
  <c r="EM260" i="55" s="1"/>
  <c r="EF276" i="55"/>
  <c r="EM276" i="55" s="1" a="1"/>
  <c r="EM276" i="55" s="1"/>
  <c r="EF237" i="55"/>
  <c r="EM237" i="55" s="1" a="1"/>
  <c r="EM237" i="55" s="1"/>
  <c r="EF261" i="55"/>
  <c r="EM261" i="55" s="1" a="1"/>
  <c r="EM261" i="55" s="1"/>
  <c r="EF281" i="55"/>
  <c r="EM281" i="55" s="1" a="1"/>
  <c r="EM281" i="55" s="1"/>
  <c r="EF238" i="55"/>
  <c r="EM238" i="55" s="1" a="1"/>
  <c r="EM238" i="55" s="1"/>
  <c r="EF262" i="55"/>
  <c r="EM262" i="55" s="1" a="1"/>
  <c r="EM262" i="55" s="1"/>
  <c r="EF282" i="55"/>
  <c r="EM282" i="55" s="1" a="1"/>
  <c r="EM282" i="55" s="1"/>
  <c r="EF239" i="55"/>
  <c r="EM239" i="55" s="1" a="1"/>
  <c r="EM239" i="55" s="1"/>
  <c r="EF263" i="55"/>
  <c r="EM263" i="55" s="1" a="1"/>
  <c r="EM263" i="55" s="1"/>
  <c r="EF243" i="55"/>
  <c r="EM243" i="55" s="1" a="1"/>
  <c r="EM243" i="55" s="1"/>
  <c r="EF264" i="55"/>
  <c r="EM264" i="55" s="1" a="1"/>
  <c r="EM264" i="55" s="1"/>
  <c r="EF248" i="55"/>
  <c r="EM248" i="55" s="1" a="1"/>
  <c r="EM248" i="55" s="1"/>
  <c r="EF275" i="55"/>
  <c r="EM275" i="55" s="1" a="1"/>
  <c r="EM275" i="55" s="1"/>
  <c r="EF250" i="55"/>
  <c r="EM250" i="55" s="1" a="1"/>
  <c r="EM250" i="55" s="1"/>
  <c r="EF278" i="55"/>
  <c r="EM278" i="55" s="1" a="1"/>
  <c r="EM278" i="55" s="1"/>
  <c r="EF251" i="55"/>
  <c r="EM251" i="55" s="1" a="1"/>
  <c r="EM251" i="55" s="1"/>
  <c r="EF279" i="55"/>
  <c r="EM279" i="55" s="1" a="1"/>
  <c r="EM279" i="55" s="1"/>
  <c r="EF246" i="55"/>
  <c r="EM246" i="55" s="1" a="1"/>
  <c r="EM246" i="55" s="1"/>
  <c r="EF270" i="55"/>
  <c r="EM270" i="55" s="1" a="1"/>
  <c r="EM270" i="55" s="1"/>
  <c r="EF255" i="55"/>
  <c r="EM255" i="55" s="1" a="1"/>
  <c r="EM255" i="55" s="1"/>
  <c r="EF227" i="55"/>
  <c r="EM227" i="55" s="1" a="1"/>
  <c r="EM227" i="55" s="1"/>
  <c r="EF259" i="55"/>
  <c r="EM259" i="55" s="1" a="1"/>
  <c r="EM259" i="55" s="1"/>
  <c r="EF229" i="55"/>
  <c r="EM229" i="55" s="1" a="1"/>
  <c r="EM229" i="55" s="1"/>
  <c r="EF265" i="55"/>
  <c r="EM265" i="55" s="1" a="1"/>
  <c r="EM265" i="55" s="1"/>
  <c r="EF231" i="55"/>
  <c r="EM231" i="55" s="1" a="1"/>
  <c r="EM231" i="55" s="1"/>
  <c r="EF267" i="55"/>
  <c r="EM267" i="55" s="1" a="1"/>
  <c r="EM267" i="55" s="1"/>
  <c r="EF247" i="55"/>
  <c r="EM247" i="55" s="1" a="1"/>
  <c r="EM247" i="55" s="1"/>
  <c r="EF249" i="55"/>
  <c r="EM249" i="55" s="1" a="1"/>
  <c r="EM249" i="55" s="1"/>
  <c r="EF252" i="55"/>
  <c r="EM252" i="55" s="1" a="1"/>
  <c r="EM252" i="55" s="1"/>
  <c r="EF253" i="55"/>
  <c r="EM253" i="55" s="1" a="1"/>
  <c r="EM253" i="55" s="1"/>
  <c r="EF266" i="55"/>
  <c r="EM266" i="55" s="1" a="1"/>
  <c r="EM266" i="55" s="1"/>
  <c r="EF269" i="55"/>
  <c r="EM269" i="55" s="1" a="1"/>
  <c r="EM269" i="55" s="1"/>
  <c r="EF271" i="55"/>
  <c r="EM271" i="55" s="1" a="1"/>
  <c r="EM271" i="55" s="1"/>
  <c r="EF245" i="55"/>
  <c r="EM245" i="55" s="1" a="1"/>
  <c r="EM245" i="55" s="1"/>
  <c r="EF230" i="55"/>
  <c r="EM230" i="55" s="1" a="1"/>
  <c r="EM230" i="55" s="1"/>
  <c r="EF233" i="55"/>
  <c r="EM233" i="55" s="1" a="1"/>
  <c r="EM233" i="55" s="1"/>
  <c r="EF234" i="55"/>
  <c r="EM234" i="55" s="1" a="1"/>
  <c r="EM234" i="55" s="1"/>
  <c r="EF235" i="55"/>
  <c r="EM235" i="55" s="1" a="1"/>
  <c r="EM235" i="55" s="1"/>
  <c r="EF236" i="55"/>
  <c r="EM236" i="55" s="1" a="1"/>
  <c r="EM236" i="55" s="1"/>
  <c r="EF232" i="55"/>
  <c r="EM232" i="55" s="1" a="1"/>
  <c r="EM232" i="55" s="1"/>
  <c r="EF254" i="55"/>
  <c r="EM254" i="55" s="1" a="1"/>
  <c r="EM254" i="55" s="1"/>
  <c r="EF268" i="55"/>
  <c r="EM268" i="55" s="1" a="1"/>
  <c r="EM268" i="55" s="1"/>
  <c r="EF277" i="55"/>
  <c r="EM277" i="55" s="1" a="1"/>
  <c r="EM277" i="55" s="1"/>
  <c r="EF280" i="55"/>
  <c r="EM280" i="55" s="1" a="1"/>
  <c r="EM280" i="55" s="1"/>
  <c r="EF192" i="55"/>
  <c r="EM192" i="55" s="1" a="1"/>
  <c r="EM192" i="55" s="1"/>
  <c r="EF208" i="55"/>
  <c r="EM208" i="55" s="1" a="1"/>
  <c r="EM208" i="55" s="1"/>
  <c r="EF193" i="55"/>
  <c r="EM193" i="55" s="1" a="1"/>
  <c r="EM193" i="55" s="1"/>
  <c r="EF209" i="55"/>
  <c r="EM209" i="55" s="1" a="1"/>
  <c r="EM209" i="55" s="1"/>
  <c r="EF194" i="55"/>
  <c r="EM194" i="55" s="1" a="1"/>
  <c r="EM194" i="55" s="1"/>
  <c r="EF210" i="55"/>
  <c r="EM210" i="55" s="1" a="1"/>
  <c r="EM210" i="55" s="1"/>
  <c r="EF196" i="55"/>
  <c r="EM196" i="55" s="1" a="1"/>
  <c r="EM196" i="55" s="1"/>
  <c r="EF212" i="55"/>
  <c r="EM212" i="55" s="1" a="1"/>
  <c r="EM212" i="55" s="1"/>
  <c r="EF197" i="55"/>
  <c r="EM197" i="55" s="1" a="1"/>
  <c r="EM197" i="55" s="1"/>
  <c r="EF217" i="55"/>
  <c r="EM217" i="55" s="1" a="1"/>
  <c r="EM217" i="55" s="1"/>
  <c r="EF198" i="55"/>
  <c r="EM198" i="55" s="1" a="1"/>
  <c r="EM198" i="55" s="1"/>
  <c r="EF218" i="55"/>
  <c r="EM218" i="55" s="1" a="1"/>
  <c r="EM218" i="55" s="1"/>
  <c r="EF199" i="55"/>
  <c r="EM199" i="55" s="1" a="1"/>
  <c r="EM199" i="55" s="1"/>
  <c r="EF219" i="55"/>
  <c r="EM219" i="55" s="1" a="1"/>
  <c r="EM219" i="55" s="1"/>
  <c r="EF200" i="55"/>
  <c r="EM200" i="55" s="1" a="1"/>
  <c r="EM200" i="55" s="1"/>
  <c r="EF220" i="55"/>
  <c r="EM220" i="55" s="1" a="1"/>
  <c r="EM220" i="55" s="1"/>
  <c r="EF188" i="55"/>
  <c r="EM188" i="55" s="1" a="1"/>
  <c r="EM188" i="55" s="1"/>
  <c r="EF216" i="55"/>
  <c r="EM216" i="55" s="1" a="1"/>
  <c r="EM216" i="55" s="1"/>
  <c r="EF190" i="55"/>
  <c r="EM190" i="55" s="1" a="1"/>
  <c r="EM190" i="55" s="1"/>
  <c r="EF222" i="55"/>
  <c r="EM222" i="55" s="1" a="1"/>
  <c r="EM222" i="55" s="1"/>
  <c r="EF191" i="55"/>
  <c r="EM191" i="55" s="1" a="1"/>
  <c r="EM191" i="55" s="1"/>
  <c r="EF223" i="55"/>
  <c r="EM223" i="55" s="1" a="1"/>
  <c r="EM223" i="55" s="1"/>
  <c r="EF186" i="55"/>
  <c r="EM186" i="55" s="1" a="1"/>
  <c r="EM186" i="55" s="1"/>
  <c r="EF214" i="55"/>
  <c r="EM214" i="55" s="1" a="1"/>
  <c r="EM214" i="55" s="1"/>
  <c r="EF221" i="55"/>
  <c r="EM221" i="55" s="1" a="1"/>
  <c r="EM221" i="55" s="1"/>
  <c r="EF184" i="55"/>
  <c r="EF185" i="55"/>
  <c r="EM185" i="55" s="1" a="1"/>
  <c r="EM185" i="55" s="1"/>
  <c r="EF189" i="55"/>
  <c r="EM189" i="55" s="1" a="1"/>
  <c r="EM189" i="55" s="1"/>
  <c r="EF202" i="55"/>
  <c r="EM202" i="55" s="1" a="1"/>
  <c r="EM202" i="55" s="1"/>
  <c r="EF203" i="55"/>
  <c r="EM203" i="55" s="1" a="1"/>
  <c r="EM203" i="55" s="1"/>
  <c r="EF204" i="55"/>
  <c r="EM204" i="55" s="1" a="1"/>
  <c r="EM204" i="55" s="1"/>
  <c r="EF205" i="55"/>
  <c r="EM205" i="55" s="1" a="1"/>
  <c r="EM205" i="55" s="1"/>
  <c r="EF187" i="55"/>
  <c r="EM187" i="55" s="1" a="1"/>
  <c r="EM187" i="55" s="1"/>
  <c r="EF201" i="55"/>
  <c r="EM201" i="55" s="1" a="1"/>
  <c r="EM201" i="55" s="1"/>
  <c r="EF206" i="55"/>
  <c r="EM206" i="55" s="1" a="1"/>
  <c r="EM206" i="55" s="1"/>
  <c r="EF213" i="55"/>
  <c r="EM213" i="55" s="1" a="1"/>
  <c r="EM213" i="55" s="1"/>
  <c r="EF215" i="55"/>
  <c r="EM215" i="55" s="1" a="1"/>
  <c r="EM215" i="55" s="1"/>
  <c r="EF211" i="55"/>
  <c r="EM211" i="55" s="1" a="1"/>
  <c r="EM211" i="55" s="1"/>
  <c r="EF195" i="55"/>
  <c r="EM195" i="55" s="1" a="1"/>
  <c r="EM195" i="55" s="1"/>
  <c r="EF207" i="55"/>
  <c r="EM207" i="55" s="1" a="1"/>
  <c r="EM207" i="55" s="1"/>
  <c r="HD19" i="55"/>
  <c r="HB19" i="55"/>
  <c r="HC19" i="55" s="1"/>
  <c r="HA20" i="55"/>
  <c r="Q25" i="55"/>
  <c r="BF15" i="54" a="1"/>
  <c r="BF15" i="54" s="1"/>
  <c r="N34" i="42"/>
  <c r="P34" i="42" s="1"/>
  <c r="AE34" i="42" s="1"/>
  <c r="BF12" i="10"/>
  <c r="M63" i="16"/>
  <c r="HI16" i="55"/>
  <c r="HJ16" i="55"/>
  <c r="IL16" i="55"/>
  <c r="IM16" i="55" s="1"/>
  <c r="EF160" i="55"/>
  <c r="EM160" i="55" s="1" a="1"/>
  <c r="EM160" i="55" s="1"/>
  <c r="EF176" i="55"/>
  <c r="EM176" i="55" s="1" a="1"/>
  <c r="EM176" i="55" s="1"/>
  <c r="EF161" i="55"/>
  <c r="EM161" i="55" s="1" a="1"/>
  <c r="EM161" i="55" s="1"/>
  <c r="EF177" i="55"/>
  <c r="EM177" i="55" s="1" a="1"/>
  <c r="EM177" i="55" s="1"/>
  <c r="EF162" i="55"/>
  <c r="EM162" i="55" s="1" a="1"/>
  <c r="EM162" i="55" s="1"/>
  <c r="EF178" i="55"/>
  <c r="EM178" i="55" s="1" a="1"/>
  <c r="EM178" i="55" s="1"/>
  <c r="EF164" i="55"/>
  <c r="EM164" i="55" s="1" a="1"/>
  <c r="EM164" i="55" s="1"/>
  <c r="EF180" i="55"/>
  <c r="EM180" i="55" s="1" a="1"/>
  <c r="EM180" i="55" s="1"/>
  <c r="EF173" i="55"/>
  <c r="EM173" i="55" s="1" a="1"/>
  <c r="EM173" i="55" s="1"/>
  <c r="EF154" i="55"/>
  <c r="EF174" i="55"/>
  <c r="EM174" i="55" s="1" a="1"/>
  <c r="EM174" i="55" s="1"/>
  <c r="EF155" i="55"/>
  <c r="EM155" i="55" s="1" a="1"/>
  <c r="EM155" i="55" s="1"/>
  <c r="EF175" i="55"/>
  <c r="EM175" i="55" s="1" a="1"/>
  <c r="EM175" i="55" s="1"/>
  <c r="EF156" i="55"/>
  <c r="EM156" i="55" s="1" a="1"/>
  <c r="EM156" i="55" s="1"/>
  <c r="EF179" i="55"/>
  <c r="EM179" i="55" s="1" a="1"/>
  <c r="EM179" i="55" s="1"/>
  <c r="EF163" i="55"/>
  <c r="EM163" i="55" s="1" a="1"/>
  <c r="EM163" i="55" s="1"/>
  <c r="EF166" i="55"/>
  <c r="EM166" i="55" s="1" a="1"/>
  <c r="EM166" i="55" s="1"/>
  <c r="EF167" i="55"/>
  <c r="EM167" i="55" s="1" a="1"/>
  <c r="EM167" i="55" s="1"/>
  <c r="EF158" i="55"/>
  <c r="EM158" i="55" s="1" a="1"/>
  <c r="EM158" i="55" s="1"/>
  <c r="EF183" i="55"/>
  <c r="EM183" i="55" s="1" a="1"/>
  <c r="EM183" i="55" s="1"/>
  <c r="EF157" i="55"/>
  <c r="EM157" i="55" s="1" a="1"/>
  <c r="EM157" i="55" s="1"/>
  <c r="EF181" i="55"/>
  <c r="EM181" i="55" s="1" a="1"/>
  <c r="EM181" i="55" s="1"/>
  <c r="EF159" i="55"/>
  <c r="EM159" i="55" s="1" a="1"/>
  <c r="EM159" i="55" s="1"/>
  <c r="EF165" i="55"/>
  <c r="EM165" i="55" s="1" a="1"/>
  <c r="EM165" i="55" s="1"/>
  <c r="EF168" i="55"/>
  <c r="EM168" i="55" s="1" a="1"/>
  <c r="EM168" i="55" s="1"/>
  <c r="EF170" i="55"/>
  <c r="EM170" i="55" s="1" a="1"/>
  <c r="EM170" i="55" s="1"/>
  <c r="EF171" i="55"/>
  <c r="EM171" i="55" s="1" a="1"/>
  <c r="EM171" i="55" s="1"/>
  <c r="EF172" i="55"/>
  <c r="EM172" i="55" s="1" a="1"/>
  <c r="EM172" i="55" s="1"/>
  <c r="EF182" i="55"/>
  <c r="EM182" i="55" s="1" a="1"/>
  <c r="EM182" i="55" s="1"/>
  <c r="EF169" i="55"/>
  <c r="EM169" i="55" s="1" a="1"/>
  <c r="EM169" i="55" s="1"/>
  <c r="HI15" i="55"/>
  <c r="HJ15" i="55"/>
  <c r="IL15" i="55"/>
  <c r="IM15" i="55" s="1"/>
  <c r="JK9" i="55"/>
  <c r="JK10" i="55"/>
  <c r="JK11" i="55" s="1"/>
  <c r="EF32" i="55"/>
  <c r="EM32" i="55" s="1" a="1"/>
  <c r="EM32" i="55" s="1"/>
  <c r="EF48" i="55"/>
  <c r="EM48" i="55" s="1" a="1"/>
  <c r="EM48" i="55" s="1"/>
  <c r="EF33" i="55"/>
  <c r="EM33" i="55" s="1" a="1"/>
  <c r="EM33" i="55" s="1"/>
  <c r="EF49" i="55"/>
  <c r="EM49" i="55" s="1" a="1"/>
  <c r="EM49" i="55" s="1"/>
  <c r="EF34" i="55"/>
  <c r="EM34" i="55" s="1" a="1"/>
  <c r="EM34" i="55" s="1"/>
  <c r="EF50" i="55"/>
  <c r="EF36" i="55"/>
  <c r="EM36" i="55" s="1" a="1"/>
  <c r="EM36" i="55" s="1"/>
  <c r="EF52" i="55"/>
  <c r="EM52" i="55" s="1" a="1"/>
  <c r="EM52" i="55" s="1"/>
  <c r="EF45" i="55"/>
  <c r="EM45" i="55" s="1" a="1"/>
  <c r="EM45" i="55" s="1"/>
  <c r="EF46" i="55"/>
  <c r="EM46" i="55" s="1" a="1"/>
  <c r="EM46" i="55" s="1"/>
  <c r="EF47" i="55"/>
  <c r="EM47" i="55" s="1" a="1"/>
  <c r="EM47" i="55" s="1"/>
  <c r="EF51" i="55"/>
  <c r="EM51" i="55" s="1" a="1"/>
  <c r="EM51" i="55" s="1"/>
  <c r="EF44" i="55"/>
  <c r="EM44" i="55" s="1" a="1"/>
  <c r="EM44" i="55" s="1"/>
  <c r="EF42" i="55"/>
  <c r="EM42" i="55" s="1" a="1"/>
  <c r="EM42" i="55" s="1"/>
  <c r="EF31" i="55"/>
  <c r="EF35" i="55"/>
  <c r="EM35" i="55" s="1" a="1"/>
  <c r="EM35" i="55" s="1"/>
  <c r="EF37" i="55"/>
  <c r="EM37" i="55" s="1" a="1"/>
  <c r="EM37" i="55" s="1"/>
  <c r="EF39" i="55"/>
  <c r="EM39" i="55" s="1" a="1"/>
  <c r="EM39" i="55" s="1"/>
  <c r="EF43" i="55"/>
  <c r="EM43" i="55" s="1" a="1"/>
  <c r="EM43" i="55" s="1"/>
  <c r="EF41" i="55"/>
  <c r="EM41" i="55" s="1" a="1"/>
  <c r="EM41" i="55" s="1"/>
  <c r="EF38" i="55"/>
  <c r="EM38" i="55" s="1" a="1"/>
  <c r="EM38" i="55" s="1"/>
  <c r="EF40" i="55"/>
  <c r="EM40" i="55" s="1" a="1"/>
  <c r="EM40" i="55" s="1"/>
  <c r="EF112" i="55"/>
  <c r="EM112" i="55" s="1" a="1"/>
  <c r="EM112" i="55" s="1"/>
  <c r="EF128" i="55"/>
  <c r="EM128" i="55" s="1" a="1"/>
  <c r="EM128" i="55" s="1"/>
  <c r="EF113" i="55"/>
  <c r="EM113" i="55" s="1" a="1"/>
  <c r="EM113" i="55" s="1"/>
  <c r="EF129" i="55"/>
  <c r="EM129" i="55" s="1" a="1"/>
  <c r="EM129" i="55" s="1"/>
  <c r="EF114" i="55"/>
  <c r="EM114" i="55" s="1" a="1"/>
  <c r="EM114" i="55" s="1"/>
  <c r="EF116" i="55"/>
  <c r="EM116" i="55" s="1" a="1"/>
  <c r="EM116" i="55" s="1"/>
  <c r="EF109" i="55"/>
  <c r="EM109" i="55" s="1" a="1"/>
  <c r="EM109" i="55" s="1"/>
  <c r="EF110" i="55"/>
  <c r="EM110" i="55" s="1" a="1"/>
  <c r="EM110" i="55" s="1"/>
  <c r="EF111" i="55"/>
  <c r="EM111" i="55" s="1" a="1"/>
  <c r="EM111" i="55" s="1"/>
  <c r="EF115" i="55"/>
  <c r="EM115" i="55" s="1" a="1"/>
  <c r="EM115" i="55" s="1"/>
  <c r="EF104" i="55"/>
  <c r="EM104" i="55" s="1" a="1"/>
  <c r="EM104" i="55" s="1"/>
  <c r="EF106" i="55"/>
  <c r="EM106" i="55" s="1" a="1"/>
  <c r="EM106" i="55" s="1"/>
  <c r="EF107" i="55"/>
  <c r="EM107" i="55" s="1" a="1"/>
  <c r="EM107" i="55" s="1"/>
  <c r="EF102" i="55"/>
  <c r="EM102" i="55" s="1" a="1"/>
  <c r="EM102" i="55" s="1"/>
  <c r="EF126" i="55"/>
  <c r="EM126" i="55" s="1" a="1"/>
  <c r="EM126" i="55" s="1"/>
  <c r="EF105" i="55"/>
  <c r="EM105" i="55" s="1" a="1"/>
  <c r="EM105" i="55" s="1"/>
  <c r="EF108" i="55"/>
  <c r="EM108" i="55" s="1" a="1"/>
  <c r="EM108" i="55" s="1"/>
  <c r="EF117" i="55"/>
  <c r="EM117" i="55" s="1" a="1"/>
  <c r="EM117" i="55" s="1"/>
  <c r="EF119" i="55"/>
  <c r="EM119" i="55" s="1" a="1"/>
  <c r="EM119" i="55" s="1"/>
  <c r="EF123" i="55"/>
  <c r="EM123" i="55" s="1" a="1"/>
  <c r="EM123" i="55" s="1"/>
  <c r="EF125" i="55"/>
  <c r="EM125" i="55" s="1" a="1"/>
  <c r="EM125" i="55" s="1"/>
  <c r="EF127" i="55"/>
  <c r="EM127" i="55" s="1" a="1"/>
  <c r="EM127" i="55" s="1"/>
  <c r="EF121" i="55"/>
  <c r="EM121" i="55" s="1" a="1"/>
  <c r="EM121" i="55" s="1"/>
  <c r="EF122" i="55"/>
  <c r="EM122" i="55" s="1" a="1"/>
  <c r="EM122" i="55" s="1"/>
  <c r="EF124" i="55"/>
  <c r="EM124" i="55" s="1" a="1"/>
  <c r="EM124" i="55" s="1"/>
  <c r="EF120" i="55"/>
  <c r="EM120" i="55" s="1" a="1"/>
  <c r="EM120" i="55" s="1"/>
  <c r="EF103" i="55"/>
  <c r="EM103" i="55" s="1" a="1"/>
  <c r="EM103" i="55" s="1"/>
  <c r="EF118" i="55"/>
  <c r="EM118" i="55" s="1" a="1"/>
  <c r="EM118" i="55" s="1"/>
  <c r="EF64" i="55"/>
  <c r="EM64" i="55" s="1" a="1"/>
  <c r="EM64" i="55" s="1"/>
  <c r="EF80" i="55"/>
  <c r="EM80" i="55" s="1" a="1"/>
  <c r="EM80" i="55" s="1"/>
  <c r="EF65" i="55"/>
  <c r="EM65" i="55" s="1" a="1"/>
  <c r="EM65" i="55" s="1"/>
  <c r="EF81" i="55"/>
  <c r="EM81" i="55" s="1" a="1"/>
  <c r="EM81" i="55" s="1"/>
  <c r="EF66" i="55"/>
  <c r="EM66" i="55" s="1" a="1"/>
  <c r="EM66" i="55" s="1"/>
  <c r="EF82" i="55"/>
  <c r="EM82" i="55" s="1" a="1"/>
  <c r="EM82" i="55" s="1"/>
  <c r="EF68" i="55"/>
  <c r="EM68" i="55" s="1" a="1"/>
  <c r="EM68" i="55" s="1"/>
  <c r="EF84" i="55"/>
  <c r="EM84" i="55" s="1" a="1"/>
  <c r="EM84" i="55" s="1"/>
  <c r="EF69" i="55"/>
  <c r="EM69" i="55" s="1" a="1"/>
  <c r="EM69" i="55" s="1"/>
  <c r="EF70" i="55"/>
  <c r="EM70" i="55" s="1" a="1"/>
  <c r="EM70" i="55" s="1"/>
  <c r="EF71" i="55"/>
  <c r="EM71" i="55" s="1" a="1"/>
  <c r="EM71" i="55" s="1"/>
  <c r="EF72" i="55"/>
  <c r="EM72" i="55" s="1" a="1"/>
  <c r="EM72" i="55" s="1"/>
  <c r="EF76" i="55"/>
  <c r="EM76" i="55" s="1" a="1"/>
  <c r="EM76" i="55" s="1"/>
  <c r="EF54" i="55"/>
  <c r="EM54" i="55" s="1" a="1"/>
  <c r="EM54" i="55" s="1"/>
  <c r="EF78" i="55"/>
  <c r="EM78" i="55" s="1" a="1"/>
  <c r="EM78" i="55" s="1"/>
  <c r="EF55" i="55"/>
  <c r="EM55" i="55" s="1" a="1"/>
  <c r="EM55" i="55" s="1"/>
  <c r="EF79" i="55"/>
  <c r="EM79" i="55" s="1" a="1"/>
  <c r="EM79" i="55" s="1"/>
  <c r="EF74" i="55"/>
  <c r="EM74" i="55" s="1" a="1"/>
  <c r="EM74" i="55" s="1"/>
  <c r="EF63" i="55"/>
  <c r="EM63" i="55" s="1" a="1"/>
  <c r="EM63" i="55" s="1"/>
  <c r="EF67" i="55"/>
  <c r="EM67" i="55" s="1" a="1"/>
  <c r="EM67" i="55" s="1"/>
  <c r="EF73" i="55"/>
  <c r="EM73" i="55" s="1" a="1"/>
  <c r="EM73" i="55" s="1"/>
  <c r="EF77" i="55"/>
  <c r="EM77" i="55" s="1" a="1"/>
  <c r="EM77" i="55" s="1"/>
  <c r="EF53" i="55"/>
  <c r="EM53" i="55" s="1" a="1"/>
  <c r="EM53" i="55" s="1"/>
  <c r="EF56" i="55"/>
  <c r="EM56" i="55" s="1" a="1"/>
  <c r="EM56" i="55" s="1"/>
  <c r="EF57" i="55"/>
  <c r="EM57" i="55" s="1" a="1"/>
  <c r="EM57" i="55" s="1"/>
  <c r="EF59" i="55"/>
  <c r="EM59" i="55" s="1" a="1"/>
  <c r="EM59" i="55" s="1"/>
  <c r="EF61" i="55"/>
  <c r="EM61" i="55" s="1" a="1"/>
  <c r="EM61" i="55" s="1"/>
  <c r="EF62" i="55"/>
  <c r="EM62" i="55" s="1" a="1"/>
  <c r="EM62" i="55" s="1"/>
  <c r="EF58" i="55"/>
  <c r="EM58" i="55" s="1" a="1"/>
  <c r="EM58" i="55" s="1"/>
  <c r="EF60" i="55"/>
  <c r="EM60" i="55" s="1" a="1"/>
  <c r="EM60" i="55" s="1"/>
  <c r="EF75" i="55"/>
  <c r="EM75" i="55" s="1" a="1"/>
  <c r="EM75" i="55" s="1"/>
  <c r="EF83" i="55"/>
  <c r="EM83" i="55" s="1" a="1"/>
  <c r="EM83" i="55" s="1"/>
  <c r="EF85" i="55"/>
  <c r="EM85" i="55" s="1" a="1"/>
  <c r="EM85" i="55" s="1"/>
  <c r="EF86" i="55"/>
  <c r="EM86" i="55" s="1" a="1"/>
  <c r="EM86" i="55" s="1"/>
  <c r="EF87" i="55"/>
  <c r="EM87" i="55" s="1" a="1"/>
  <c r="EM87" i="55" s="1"/>
  <c r="HF17" i="55"/>
  <c r="HG17" i="55" s="1"/>
  <c r="GV46" i="55" l="1"/>
  <c r="GW46" i="55" s="1"/>
  <c r="GU47" i="55"/>
  <c r="HD20" i="55"/>
  <c r="HB20" i="55"/>
  <c r="HC20" i="55" s="1"/>
  <c r="HA21" i="55"/>
  <c r="AK19" i="55"/>
  <c r="HE19" i="55"/>
  <c r="IL25" i="55"/>
  <c r="IM25" i="55" s="1"/>
  <c r="IH4" i="55"/>
  <c r="IH3" i="55"/>
  <c r="IH11" i="55"/>
  <c r="JK13" i="55"/>
  <c r="JK14" i="55" s="1"/>
  <c r="JK17" i="55"/>
  <c r="JK18" i="55" s="1"/>
  <c r="JK20" i="55" s="1"/>
  <c r="JK21" i="55" s="1"/>
  <c r="JP25" i="55"/>
  <c r="JP282" i="55"/>
  <c r="JP243" i="55"/>
  <c r="JP70" i="55"/>
  <c r="JP171" i="55"/>
  <c r="JP318" i="55"/>
  <c r="JP110" i="55"/>
  <c r="JP323" i="55"/>
  <c r="JP196" i="55"/>
  <c r="JP233" i="55"/>
  <c r="JP315" i="55"/>
  <c r="JP251" i="55"/>
  <c r="JP269" i="55"/>
  <c r="JP153" i="55"/>
  <c r="JP207" i="55"/>
  <c r="JP257" i="55"/>
  <c r="JP286" i="55"/>
  <c r="JP209" i="55"/>
  <c r="JP71" i="55"/>
  <c r="JP131" i="55"/>
  <c r="JP247" i="55"/>
  <c r="JP167" i="55"/>
  <c r="JP311" i="55"/>
  <c r="JP146" i="55"/>
  <c r="JP144" i="55"/>
  <c r="JP63" i="55"/>
  <c r="JP348" i="55"/>
  <c r="JP190" i="55"/>
  <c r="JP122" i="55"/>
  <c r="JP192" i="55"/>
  <c r="JP326" i="55"/>
  <c r="JP271" i="55"/>
  <c r="JP156" i="55"/>
  <c r="JP117" i="55"/>
  <c r="JP111" i="55"/>
  <c r="JP345" i="55"/>
  <c r="JP74" i="55"/>
  <c r="JP52" i="55"/>
  <c r="JP185" i="55"/>
  <c r="JP116" i="55"/>
  <c r="JP51" i="55"/>
  <c r="JP152" i="55"/>
  <c r="JP273" i="55"/>
  <c r="JP178" i="55"/>
  <c r="JP320" i="55"/>
  <c r="JP91" i="55"/>
  <c r="JP263" i="55"/>
  <c r="JP41" i="55"/>
  <c r="JP308" i="55"/>
  <c r="JP226" i="55"/>
  <c r="JP77" i="55"/>
  <c r="JP237" i="55"/>
  <c r="JP56" i="55"/>
  <c r="JP121" i="55"/>
  <c r="JP249" i="55"/>
  <c r="JP107" i="55"/>
  <c r="JP64" i="55"/>
  <c r="JP215" i="55"/>
  <c r="JP202" i="55"/>
  <c r="JP86" i="55"/>
  <c r="JP170" i="55"/>
  <c r="JP316" i="55"/>
  <c r="JP158" i="55"/>
  <c r="JP203" i="55"/>
  <c r="JP201" i="55"/>
  <c r="JP47" i="55"/>
  <c r="JP327" i="55"/>
  <c r="JP66" i="55"/>
  <c r="JP139" i="55"/>
  <c r="JP137" i="55"/>
  <c r="JP350" i="55"/>
  <c r="JP229" i="55"/>
  <c r="JP148" i="55"/>
  <c r="JP60" i="55"/>
  <c r="JP256" i="55"/>
  <c r="JP339" i="55"/>
  <c r="JP95" i="55"/>
  <c r="JP199" i="55"/>
  <c r="JP101" i="55"/>
  <c r="JP205" i="55"/>
  <c r="JP61" i="55"/>
  <c r="JP347" i="55"/>
  <c r="JP285" i="55"/>
  <c r="JP334" i="55"/>
  <c r="JP211" i="55"/>
  <c r="JP128" i="55"/>
  <c r="JP266" i="55"/>
  <c r="JP232" i="55"/>
  <c r="JP252" i="55"/>
  <c r="JP322" i="55"/>
  <c r="JP206" i="55"/>
  <c r="JP49" i="55"/>
  <c r="JP223" i="55"/>
  <c r="JP42" i="55"/>
  <c r="JP305" i="55"/>
  <c r="JP67" i="55"/>
  <c r="JP58" i="55"/>
  <c r="JP331" i="55"/>
  <c r="JP216" i="55"/>
  <c r="JP254" i="55"/>
  <c r="JP180" i="55"/>
  <c r="JP333" i="55"/>
  <c r="JP265" i="55"/>
  <c r="JP248" i="55"/>
  <c r="JP278" i="55"/>
  <c r="JP90" i="55"/>
  <c r="JP299" i="55"/>
  <c r="JP293" i="55"/>
  <c r="JP197" i="55"/>
  <c r="JP69" i="55"/>
  <c r="JP59" i="55"/>
  <c r="JP289" i="55"/>
  <c r="JP329" i="55"/>
  <c r="JP352" i="55"/>
  <c r="JP72" i="55"/>
  <c r="JP240" i="55"/>
  <c r="JP302" i="55"/>
  <c r="JP57" i="55"/>
  <c r="JP214" i="55"/>
  <c r="JP274" i="55"/>
  <c r="JP105" i="55"/>
  <c r="JP164" i="55"/>
  <c r="JP244" i="55"/>
  <c r="JP351" i="55"/>
  <c r="JP29" i="55"/>
  <c r="JP168" i="55"/>
  <c r="JP210" i="55"/>
  <c r="JP298" i="55"/>
  <c r="JP304" i="55"/>
  <c r="JP118" i="55"/>
  <c r="JP147" i="55"/>
  <c r="JP277" i="55"/>
  <c r="JP319" i="55"/>
  <c r="JP314" i="55"/>
  <c r="JP295" i="55"/>
  <c r="JP48" i="55"/>
  <c r="JP138" i="55"/>
  <c r="JP120" i="55"/>
  <c r="JP307" i="55"/>
  <c r="JP82" i="55"/>
  <c r="JP262" i="55"/>
  <c r="JP143" i="55"/>
  <c r="JP100" i="55"/>
  <c r="JP85" i="55"/>
  <c r="JP141" i="55"/>
  <c r="JP200" i="55"/>
  <c r="JP133" i="55"/>
  <c r="JP222" i="55"/>
  <c r="JP246" i="55"/>
  <c r="JP84" i="55"/>
  <c r="JP332" i="55"/>
  <c r="JP142" i="55"/>
  <c r="JP270" i="55"/>
  <c r="JP198" i="55"/>
  <c r="JP73" i="55"/>
  <c r="JP284" i="55"/>
  <c r="JP287" i="55"/>
  <c r="JP194" i="55"/>
  <c r="JP188" i="55"/>
  <c r="JP145" i="55"/>
  <c r="JP276" i="55"/>
  <c r="JP310" i="55"/>
  <c r="JP83" i="55"/>
  <c r="JP140" i="55"/>
  <c r="JP343" i="55"/>
  <c r="JP39" i="55"/>
  <c r="JP349" i="55"/>
  <c r="JP165" i="55"/>
  <c r="JP182" i="55"/>
  <c r="JP160" i="55"/>
  <c r="JP114" i="55"/>
  <c r="JP267" i="55"/>
  <c r="JP136" i="55"/>
  <c r="JP268" i="55"/>
  <c r="JP260" i="55"/>
  <c r="JP44" i="55"/>
  <c r="JP292" i="55"/>
  <c r="JP78" i="55"/>
  <c r="JP75" i="55"/>
  <c r="JP242" i="55"/>
  <c r="JP300" i="55"/>
  <c r="JP296" i="55"/>
  <c r="JP195" i="55"/>
  <c r="JP221" i="55"/>
  <c r="JP87" i="55"/>
  <c r="JP112" i="55"/>
  <c r="JP312" i="55"/>
  <c r="JP55" i="55"/>
  <c r="JP288" i="55"/>
  <c r="JP189" i="55"/>
  <c r="JP303" i="55"/>
  <c r="JP103" i="55"/>
  <c r="JP30" i="55"/>
  <c r="JP32" i="55" s="1"/>
  <c r="JP259" i="55"/>
  <c r="JP40" i="55"/>
  <c r="JP346" i="55"/>
  <c r="JP230" i="55"/>
  <c r="JP99" i="55"/>
  <c r="JP235" i="55"/>
  <c r="JP127" i="55"/>
  <c r="JP34" i="55"/>
  <c r="JP37" i="55"/>
  <c r="JP290" i="55"/>
  <c r="JP43" i="55"/>
  <c r="JP234" i="55"/>
  <c r="JP151" i="55"/>
  <c r="JP173" i="55"/>
  <c r="JP109" i="55"/>
  <c r="JP76" i="55"/>
  <c r="JP239" i="55"/>
  <c r="JP115" i="55"/>
  <c r="JP309" i="55"/>
  <c r="JP93" i="55"/>
  <c r="JP108" i="55"/>
  <c r="JP81" i="55"/>
  <c r="JP89" i="55"/>
  <c r="JP97" i="55"/>
  <c r="JP324" i="55"/>
  <c r="JP113" i="55"/>
  <c r="JP135" i="55"/>
  <c r="JP106" i="55"/>
  <c r="JP261" i="55"/>
  <c r="JP321" i="55"/>
  <c r="JP225" i="55"/>
  <c r="JP174" i="55"/>
  <c r="JP217" i="55"/>
  <c r="JP328" i="55"/>
  <c r="JP46" i="55"/>
  <c r="JP218" i="55"/>
  <c r="JP281" i="55"/>
  <c r="JP38" i="55"/>
  <c r="JP98" i="55"/>
  <c r="JP338" i="55"/>
  <c r="JP228" i="55"/>
  <c r="JP301" i="55"/>
  <c r="JP236" i="55"/>
  <c r="JP176" i="55"/>
  <c r="JP161" i="55"/>
  <c r="JP79" i="55"/>
  <c r="JP264" i="55"/>
  <c r="JP125" i="55"/>
  <c r="JP155" i="55"/>
  <c r="JP258" i="55"/>
  <c r="JP149" i="55"/>
  <c r="JP35" i="55"/>
  <c r="JP191" i="55"/>
  <c r="JP181" i="55"/>
  <c r="JP159" i="55"/>
  <c r="JP250" i="55"/>
  <c r="JP245" i="55"/>
  <c r="JP162" i="55"/>
  <c r="JP96" i="55"/>
  <c r="JP179" i="55"/>
  <c r="JP129" i="55"/>
  <c r="JP306" i="55"/>
  <c r="JP255" i="55"/>
  <c r="JP134" i="55"/>
  <c r="JP62" i="55"/>
  <c r="JP294" i="55"/>
  <c r="JP65" i="55"/>
  <c r="JP186" i="55"/>
  <c r="JP68" i="55"/>
  <c r="JP175" i="55"/>
  <c r="JP157" i="55"/>
  <c r="JP220" i="55"/>
  <c r="JP150" i="55"/>
  <c r="JP193" i="55"/>
  <c r="JP177" i="55"/>
  <c r="JP166" i="55"/>
  <c r="JP132" i="55"/>
  <c r="JP238" i="55"/>
  <c r="JP231" i="55"/>
  <c r="JP253" i="55"/>
  <c r="JP45" i="55"/>
  <c r="JP227" i="55"/>
  <c r="JP119" i="55"/>
  <c r="JP33" i="55"/>
  <c r="JP279" i="55"/>
  <c r="JP169" i="55"/>
  <c r="JP204" i="55"/>
  <c r="JP219" i="55"/>
  <c r="JP344" i="55"/>
  <c r="JP297" i="55"/>
  <c r="JP124" i="55"/>
  <c r="JP54" i="55"/>
  <c r="JP187" i="55"/>
  <c r="JP172" i="55"/>
  <c r="JP126" i="55"/>
  <c r="JP213" i="55"/>
  <c r="JP272" i="55"/>
  <c r="JP337" i="55"/>
  <c r="JP280" i="55"/>
  <c r="JP241" i="55"/>
  <c r="JP340" i="55"/>
  <c r="JP275" i="55"/>
  <c r="JP92" i="55"/>
  <c r="JP123" i="55"/>
  <c r="JP163" i="55"/>
  <c r="JP291" i="55"/>
  <c r="JP212" i="55"/>
  <c r="JP208" i="55"/>
  <c r="JP183" i="55"/>
  <c r="JP36" i="55"/>
  <c r="JP94" i="55"/>
  <c r="JV25" i="55"/>
  <c r="HF18" i="55"/>
  <c r="HG18" i="55" s="1"/>
  <c r="IF15" i="55"/>
  <c r="IG15" i="55" s="1"/>
  <c r="JR15" i="55"/>
  <c r="JA16" i="55"/>
  <c r="HO16" i="55"/>
  <c r="HR16" i="55"/>
  <c r="HP16" i="55"/>
  <c r="IZ16" i="55" s="1"/>
  <c r="HK16" i="55"/>
  <c r="JU25" i="55"/>
  <c r="IV15" i="55" a="1"/>
  <c r="IV15" i="55" s="1"/>
  <c r="IW15" i="55" s="1"/>
  <c r="IT15" i="55" a="1"/>
  <c r="IT15" i="55" s="1"/>
  <c r="IU15" i="55" s="1"/>
  <c r="IN15" i="55" a="1"/>
  <c r="IN15" i="55" s="1"/>
  <c r="IO15" i="55" s="1"/>
  <c r="IP15" i="55" a="1"/>
  <c r="IP15" i="55" s="1"/>
  <c r="IQ15" i="55" s="1"/>
  <c r="IR15" i="55" a="1"/>
  <c r="IR15" i="55" s="1"/>
  <c r="IS15" i="55" s="1"/>
  <c r="IX15" i="55" a="1"/>
  <c r="IX15" i="55" s="1"/>
  <c r="IY15" i="55" s="1"/>
  <c r="JA15" i="55"/>
  <c r="HP15" i="55"/>
  <c r="IZ15" i="55" s="1"/>
  <c r="HR15" i="55"/>
  <c r="HO15" i="55"/>
  <c r="HK15" i="55"/>
  <c r="IX16" i="55" a="1"/>
  <c r="IX16" i="55" s="1"/>
  <c r="IY16" i="55" s="1"/>
  <c r="IT16" i="55" a="1"/>
  <c r="IT16" i="55" s="1"/>
  <c r="IU16" i="55" s="1"/>
  <c r="IR16" i="55" a="1"/>
  <c r="IR16" i="55" s="1"/>
  <c r="IS16" i="55" s="1"/>
  <c r="IP16" i="55" a="1"/>
  <c r="IP16" i="55" s="1"/>
  <c r="IQ16" i="55" s="1"/>
  <c r="IN16" i="55" a="1"/>
  <c r="IN16" i="55" s="1"/>
  <c r="IO16" i="55" s="1"/>
  <c r="IV16" i="55" a="1"/>
  <c r="IV16" i="55" s="1"/>
  <c r="IW16" i="55" s="1"/>
  <c r="JQ17" i="55"/>
  <c r="IF16" i="55"/>
  <c r="IG16" i="55" s="1"/>
  <c r="HH17" i="55"/>
  <c r="AA25" i="54" a="1"/>
  <c r="AA25" i="54" s="1"/>
  <c r="AA18" i="54" a="1"/>
  <c r="AA18" i="54" s="1"/>
  <c r="AA22" i="54" a="1"/>
  <c r="AA22" i="54" s="1"/>
  <c r="AA17" i="54" a="1"/>
  <c r="AA17" i="54" s="1"/>
  <c r="AA16" i="54" a="1"/>
  <c r="AA16" i="54" s="1"/>
  <c r="AA26" i="54" a="1"/>
  <c r="AA26" i="54" s="1"/>
  <c r="AA28" i="54" a="1"/>
  <c r="AA28" i="54" s="1"/>
  <c r="AA29" i="54" a="1"/>
  <c r="AA29" i="54" s="1"/>
  <c r="AA20" i="54" a="1"/>
  <c r="AA20" i="54" s="1"/>
  <c r="AA15" i="54" a="1"/>
  <c r="AA15" i="54" s="1"/>
  <c r="AA24" i="54" a="1"/>
  <c r="AA24" i="54" s="1"/>
  <c r="AA30" i="54" a="1"/>
  <c r="AA30" i="54" s="1"/>
  <c r="AA14" i="54" a="1"/>
  <c r="AA14" i="54" s="1"/>
  <c r="AA23" i="54" a="1"/>
  <c r="AA23" i="54" s="1"/>
  <c r="AA27" i="54" a="1"/>
  <c r="AA27" i="54" s="1"/>
  <c r="AA21" i="54" a="1"/>
  <c r="AA21" i="54" s="1"/>
  <c r="AA19" i="54" a="1"/>
  <c r="AA19" i="54" s="1"/>
  <c r="GU48" i="55" l="1"/>
  <c r="GV47" i="55"/>
  <c r="GW47" i="55" s="1"/>
  <c r="JP80" i="55"/>
  <c r="ED314" i="55"/>
  <c r="Q314" i="55" s="1"/>
  <c r="ED316" i="55"/>
  <c r="Q316" i="55" s="1"/>
  <c r="ED315" i="55"/>
  <c r="Q315" i="55" s="1"/>
  <c r="ED313" i="55"/>
  <c r="Q313" i="55" s="1"/>
  <c r="U25" i="54"/>
  <c r="ED115" i="55"/>
  <c r="Q115" i="55" s="1"/>
  <c r="ED116" i="55"/>
  <c r="Q116" i="55" s="1"/>
  <c r="ED117" i="55"/>
  <c r="Q117" i="55" s="1"/>
  <c r="ED102" i="55"/>
  <c r="Q102" i="55" s="1"/>
  <c r="ED118" i="55"/>
  <c r="Q118" i="55" s="1"/>
  <c r="ED122" i="55"/>
  <c r="Q122" i="55" s="1"/>
  <c r="ED104" i="55"/>
  <c r="Q104" i="55" s="1"/>
  <c r="ED124" i="55"/>
  <c r="Q124" i="55" s="1"/>
  <c r="ED105" i="55"/>
  <c r="Q105" i="55" s="1"/>
  <c r="ED125" i="55"/>
  <c r="Q125" i="55" s="1"/>
  <c r="ED120" i="55"/>
  <c r="Q120" i="55" s="1"/>
  <c r="ED103" i="55"/>
  <c r="Q103" i="55" s="1"/>
  <c r="ED129" i="55"/>
  <c r="Q129" i="55" s="1"/>
  <c r="ED106" i="55"/>
  <c r="Q106" i="55" s="1"/>
  <c r="ED107" i="55"/>
  <c r="Q107" i="55" s="1"/>
  <c r="ED109" i="55"/>
  <c r="Q109" i="55" s="1"/>
  <c r="ED108" i="55"/>
  <c r="Q108" i="55" s="1"/>
  <c r="ED110" i="55"/>
  <c r="Q110" i="55" s="1"/>
  <c r="ED111" i="55"/>
  <c r="Q111" i="55" s="1"/>
  <c r="ED123" i="55"/>
  <c r="Q123" i="55" s="1"/>
  <c r="ED127" i="55"/>
  <c r="Q127" i="55" s="1"/>
  <c r="ED128" i="55"/>
  <c r="Q128" i="55" s="1"/>
  <c r="ED119" i="55"/>
  <c r="Q119" i="55" s="1"/>
  <c r="ED121" i="55"/>
  <c r="Q121" i="55" s="1"/>
  <c r="ED126" i="55"/>
  <c r="Q126" i="55" s="1"/>
  <c r="ED114" i="55"/>
  <c r="Q114" i="55" s="1"/>
  <c r="ED112" i="55"/>
  <c r="Q112" i="55" s="1"/>
  <c r="ED113" i="55"/>
  <c r="Q113" i="55" s="1"/>
  <c r="U19" i="54"/>
  <c r="JQ18" i="55"/>
  <c r="ED163" i="55"/>
  <c r="Q163" i="55" s="1"/>
  <c r="ED179" i="55"/>
  <c r="Q179" i="55" s="1"/>
  <c r="ED164" i="55"/>
  <c r="Q164" i="55" s="1"/>
  <c r="ED180" i="55"/>
  <c r="Q180" i="55" s="1"/>
  <c r="ED165" i="55"/>
  <c r="Q165" i="55" s="1"/>
  <c r="ED181" i="55"/>
  <c r="Q181" i="55" s="1"/>
  <c r="ED166" i="55"/>
  <c r="Q166" i="55" s="1"/>
  <c r="ED182" i="55"/>
  <c r="Q182" i="55" s="1"/>
  <c r="ED162" i="55"/>
  <c r="Q162" i="55" s="1"/>
  <c r="ED168" i="55"/>
  <c r="Q168" i="55" s="1"/>
  <c r="ED169" i="55"/>
  <c r="Q169" i="55" s="1"/>
  <c r="ED160" i="55"/>
  <c r="Q160" i="55" s="1"/>
  <c r="ED157" i="55"/>
  <c r="Q157" i="55" s="1"/>
  <c r="ED158" i="55"/>
  <c r="Q158" i="55" s="1"/>
  <c r="ED159" i="55"/>
  <c r="Q159" i="55" s="1"/>
  <c r="ED167" i="55"/>
  <c r="Q167" i="55" s="1"/>
  <c r="ED176" i="55"/>
  <c r="Q176" i="55" s="1"/>
  <c r="ED177" i="55"/>
  <c r="Q177" i="55" s="1"/>
  <c r="ED178" i="55"/>
  <c r="Q178" i="55" s="1"/>
  <c r="ED183" i="55"/>
  <c r="Q183" i="55" s="1"/>
  <c r="ED173" i="55"/>
  <c r="Q173" i="55" s="1"/>
  <c r="ED175" i="55"/>
  <c r="Q175" i="55" s="1"/>
  <c r="ED171" i="55"/>
  <c r="Q171" i="55" s="1"/>
  <c r="ED154" i="55"/>
  <c r="ED172" i="55"/>
  <c r="Q172" i="55" s="1"/>
  <c r="ED155" i="55"/>
  <c r="Q155" i="55" s="1"/>
  <c r="ED156" i="55"/>
  <c r="Q156" i="55" s="1"/>
  <c r="ED170" i="55"/>
  <c r="Q170" i="55" s="1"/>
  <c r="ED161" i="55"/>
  <c r="Q161" i="55" s="1"/>
  <c r="ED174" i="55"/>
  <c r="Q174" i="55" s="1"/>
  <c r="U21" i="54"/>
  <c r="ED341" i="55"/>
  <c r="Q341" i="55" s="1"/>
  <c r="ED342" i="55"/>
  <c r="Q342" i="55" s="1"/>
  <c r="ED352" i="55"/>
  <c r="Q352" i="55" s="1"/>
  <c r="ED343" i="55"/>
  <c r="Q343" i="55" s="1"/>
  <c r="ED344" i="55"/>
  <c r="Q344" i="55" s="1"/>
  <c r="ED345" i="55"/>
  <c r="Q345" i="55" s="1"/>
  <c r="ED347" i="55"/>
  <c r="Q347" i="55" s="1"/>
  <c r="ED348" i="55"/>
  <c r="Q348" i="55" s="1"/>
  <c r="ED349" i="55"/>
  <c r="Q349" i="55" s="1"/>
  <c r="ED346" i="55"/>
  <c r="Q346" i="55" s="1"/>
  <c r="ED351" i="55"/>
  <c r="Q351" i="55" s="1"/>
  <c r="ED350" i="55"/>
  <c r="Q350" i="55" s="1"/>
  <c r="U30" i="54"/>
  <c r="ED99" i="55"/>
  <c r="Q99" i="55" s="1"/>
  <c r="ED100" i="55"/>
  <c r="Q100" i="55" s="1"/>
  <c r="ED101" i="55"/>
  <c r="Q101" i="55" s="1"/>
  <c r="ED98" i="55"/>
  <c r="Q98" i="55" s="1"/>
  <c r="ED96" i="55"/>
  <c r="Q96" i="55" s="1"/>
  <c r="ED97" i="55"/>
  <c r="Q97" i="55" s="1"/>
  <c r="ED88" i="55"/>
  <c r="Q88" i="55" s="1"/>
  <c r="ED89" i="55"/>
  <c r="Q89" i="55" s="1"/>
  <c r="ED90" i="55"/>
  <c r="Q90" i="55" s="1"/>
  <c r="ED92" i="55"/>
  <c r="Q92" i="55" s="1"/>
  <c r="ED93" i="55"/>
  <c r="Q93" i="55" s="1"/>
  <c r="ED94" i="55"/>
  <c r="Q94" i="55" s="1"/>
  <c r="ED95" i="55"/>
  <c r="Q95" i="55" s="1"/>
  <c r="ED91" i="55"/>
  <c r="Q91" i="55" s="1"/>
  <c r="U18" i="54"/>
  <c r="JS3" i="55"/>
  <c r="N3" i="55"/>
  <c r="ED131" i="55"/>
  <c r="Q131" i="55" s="1"/>
  <c r="ED147" i="55"/>
  <c r="Q147" i="55" s="1"/>
  <c r="ED132" i="55"/>
  <c r="Q132" i="55" s="1"/>
  <c r="ED148" i="55"/>
  <c r="Q148" i="55" s="1"/>
  <c r="ED133" i="55"/>
  <c r="Q133" i="55" s="1"/>
  <c r="ED149" i="55"/>
  <c r="Q149" i="55" s="1"/>
  <c r="ED134" i="55"/>
  <c r="Q134" i="55" s="1"/>
  <c r="ED150" i="55"/>
  <c r="Q150" i="55" s="1"/>
  <c r="ED142" i="55"/>
  <c r="Q142" i="55" s="1"/>
  <c r="ED144" i="55"/>
  <c r="Q144" i="55" s="1"/>
  <c r="ED145" i="55"/>
  <c r="Q145" i="55" s="1"/>
  <c r="ED140" i="55"/>
  <c r="Q140" i="55" s="1"/>
  <c r="ED130" i="55"/>
  <c r="Q130" i="55" s="1"/>
  <c r="ED135" i="55"/>
  <c r="Q135" i="55" s="1"/>
  <c r="ED137" i="55"/>
  <c r="Q137" i="55" s="1"/>
  <c r="ED141" i="55"/>
  <c r="Q141" i="55" s="1"/>
  <c r="ED143" i="55"/>
  <c r="Q143" i="55" s="1"/>
  <c r="ED146" i="55"/>
  <c r="Q146" i="55" s="1"/>
  <c r="ED151" i="55"/>
  <c r="Q151" i="55" s="1"/>
  <c r="ED136" i="55"/>
  <c r="Q136" i="55" s="1"/>
  <c r="ED139" i="55"/>
  <c r="Q139" i="55" s="1"/>
  <c r="ED152" i="55"/>
  <c r="Q152" i="55" s="1"/>
  <c r="ED153" i="55"/>
  <c r="Q153" i="55" s="1"/>
  <c r="ED138" i="55"/>
  <c r="Q138" i="55" s="1"/>
  <c r="U20" i="54"/>
  <c r="ED339" i="55"/>
  <c r="Q339" i="55" s="1"/>
  <c r="ED340" i="55"/>
  <c r="Q340" i="55" s="1"/>
  <c r="ED336" i="55"/>
  <c r="Q336" i="55" s="1"/>
  <c r="ED337" i="55"/>
  <c r="Q337" i="55" s="1"/>
  <c r="ED335" i="55"/>
  <c r="Q335" i="55" s="1"/>
  <c r="ED338" i="55"/>
  <c r="Q338" i="55" s="1"/>
  <c r="U29" i="54"/>
  <c r="ED227" i="55"/>
  <c r="Q227" i="55" s="1"/>
  <c r="ED243" i="55"/>
  <c r="Q243" i="55" s="1"/>
  <c r="ED259" i="55"/>
  <c r="Q259" i="55" s="1"/>
  <c r="ED275" i="55"/>
  <c r="Q275" i="55" s="1"/>
  <c r="ED228" i="55"/>
  <c r="Q228" i="55" s="1"/>
  <c r="ED244" i="55"/>
  <c r="Q244" i="55" s="1"/>
  <c r="ED260" i="55"/>
  <c r="Q260" i="55" s="1"/>
  <c r="ED276" i="55"/>
  <c r="Q276" i="55" s="1"/>
  <c r="ED229" i="55"/>
  <c r="Q229" i="55" s="1"/>
  <c r="ED245" i="55"/>
  <c r="Q245" i="55" s="1"/>
  <c r="ED261" i="55"/>
  <c r="Q261" i="55" s="1"/>
  <c r="ED277" i="55"/>
  <c r="Q277" i="55" s="1"/>
  <c r="ED230" i="55"/>
  <c r="Q230" i="55" s="1"/>
  <c r="ED246" i="55"/>
  <c r="Q246" i="55" s="1"/>
  <c r="ED262" i="55"/>
  <c r="Q262" i="55" s="1"/>
  <c r="ED278" i="55"/>
  <c r="Q278" i="55" s="1"/>
  <c r="ED226" i="55"/>
  <c r="Q226" i="55" s="1"/>
  <c r="ED250" i="55"/>
  <c r="Q250" i="55" s="1"/>
  <c r="ED270" i="55"/>
  <c r="Q270" i="55" s="1"/>
  <c r="ED232" i="55"/>
  <c r="Q232" i="55" s="1"/>
  <c r="ED252" i="55"/>
  <c r="Q252" i="55" s="1"/>
  <c r="ED272" i="55"/>
  <c r="Q272" i="55" s="1"/>
  <c r="ED233" i="55"/>
  <c r="Q233" i="55" s="1"/>
  <c r="ED253" i="55"/>
  <c r="Q253" i="55" s="1"/>
  <c r="ED273" i="55"/>
  <c r="Q273" i="55" s="1"/>
  <c r="ED224" i="55"/>
  <c r="ED248" i="55"/>
  <c r="Q248" i="55" s="1"/>
  <c r="ED268" i="55"/>
  <c r="Q268" i="55" s="1"/>
  <c r="ED241" i="55"/>
  <c r="Q241" i="55" s="1"/>
  <c r="ED271" i="55"/>
  <c r="Q271" i="55" s="1"/>
  <c r="ED242" i="55"/>
  <c r="Q242" i="55" s="1"/>
  <c r="ED274" i="55"/>
  <c r="Q274" i="55" s="1"/>
  <c r="ED247" i="55"/>
  <c r="Q247" i="55" s="1"/>
  <c r="ED279" i="55"/>
  <c r="Q279" i="55" s="1"/>
  <c r="ED251" i="55"/>
  <c r="Q251" i="55" s="1"/>
  <c r="ED281" i="55"/>
  <c r="Q281" i="55" s="1"/>
  <c r="ED256" i="55"/>
  <c r="Q256" i="55" s="1"/>
  <c r="ED257" i="55"/>
  <c r="Q257" i="55" s="1"/>
  <c r="ED258" i="55"/>
  <c r="Q258" i="55" s="1"/>
  <c r="ED263" i="55"/>
  <c r="Q263" i="55" s="1"/>
  <c r="ED231" i="55"/>
  <c r="Q231" i="55" s="1"/>
  <c r="ED280" i="55"/>
  <c r="Q280" i="55" s="1"/>
  <c r="ED235" i="55"/>
  <c r="Q235" i="55" s="1"/>
  <c r="ED236" i="55"/>
  <c r="Q236" i="55" s="1"/>
  <c r="ED267" i="55"/>
  <c r="Q267" i="55" s="1"/>
  <c r="ED255" i="55"/>
  <c r="Q255" i="55" s="1"/>
  <c r="ED264" i="55"/>
  <c r="Q264" i="55" s="1"/>
  <c r="ED265" i="55"/>
  <c r="Q265" i="55" s="1"/>
  <c r="ED269" i="55"/>
  <c r="Q269" i="55" s="1"/>
  <c r="ED282" i="55"/>
  <c r="Q282" i="55" s="1"/>
  <c r="ED254" i="55"/>
  <c r="Q254" i="55" s="1"/>
  <c r="ED234" i="55"/>
  <c r="Q234" i="55" s="1"/>
  <c r="ED237" i="55"/>
  <c r="Q237" i="55" s="1"/>
  <c r="ED238" i="55"/>
  <c r="Q238" i="55" s="1"/>
  <c r="ED239" i="55"/>
  <c r="Q239" i="55" s="1"/>
  <c r="ED240" i="55"/>
  <c r="Q240" i="55" s="1"/>
  <c r="ED225" i="55"/>
  <c r="Q225" i="55" s="1"/>
  <c r="ED249" i="55"/>
  <c r="Q249" i="55" s="1"/>
  <c r="ED266" i="55"/>
  <c r="Q266" i="55" s="1"/>
  <c r="U23" i="54"/>
  <c r="ED28" i="55"/>
  <c r="ED29" i="55"/>
  <c r="Q29" i="55" s="1"/>
  <c r="ED30" i="55"/>
  <c r="Q30" i="55" s="1"/>
  <c r="ED27" i="55"/>
  <c r="ED26" i="55"/>
  <c r="Q26" i="55" s="1"/>
  <c r="U15" i="54"/>
  <c r="ED35" i="55"/>
  <c r="Q35" i="55" s="1"/>
  <c r="ED51" i="55"/>
  <c r="Q51" i="55" s="1"/>
  <c r="ED36" i="55"/>
  <c r="Q36" i="55" s="1"/>
  <c r="ED52" i="55"/>
  <c r="Q52" i="55" s="1"/>
  <c r="ED37" i="55"/>
  <c r="Q37" i="55" s="1"/>
  <c r="ED38" i="55"/>
  <c r="Q38" i="55" s="1"/>
  <c r="ED34" i="55"/>
  <c r="Q34" i="55" s="1"/>
  <c r="ED40" i="55"/>
  <c r="Q40" i="55" s="1"/>
  <c r="ED41" i="55"/>
  <c r="Q41" i="55" s="1"/>
  <c r="ED32" i="55"/>
  <c r="Q32" i="55" s="1"/>
  <c r="ED45" i="55"/>
  <c r="Q45" i="55" s="1"/>
  <c r="ED46" i="55"/>
  <c r="Q46" i="55" s="1"/>
  <c r="ED47" i="55"/>
  <c r="Q47" i="55" s="1"/>
  <c r="ED49" i="55"/>
  <c r="Q49" i="55" s="1"/>
  <c r="ED31" i="55"/>
  <c r="ED33" i="55"/>
  <c r="Q33" i="55" s="1"/>
  <c r="ED50" i="55"/>
  <c r="ED43" i="55"/>
  <c r="Q43" i="55" s="1"/>
  <c r="ED48" i="55"/>
  <c r="Q48" i="55" s="1"/>
  <c r="ED39" i="55"/>
  <c r="Q39" i="55" s="1"/>
  <c r="ED42" i="55"/>
  <c r="Q42" i="55" s="1"/>
  <c r="ED44" i="55"/>
  <c r="Q44" i="55" s="1"/>
  <c r="U16" i="54"/>
  <c r="JK23" i="55"/>
  <c r="JK24" i="55" s="1"/>
  <c r="JK53" i="55" s="1"/>
  <c r="JK155" i="55" s="1"/>
  <c r="JK234" i="55" s="1"/>
  <c r="JK274" i="55" s="1"/>
  <c r="BM3" i="40" s="1" a="1"/>
  <c r="BM3" i="40" s="1"/>
  <c r="HD21" i="55"/>
  <c r="HB21" i="55"/>
  <c r="HC21" i="55" s="1"/>
  <c r="HA22" i="55"/>
  <c r="ED291" i="55"/>
  <c r="Q291" i="55" s="1"/>
  <c r="ED307" i="55"/>
  <c r="Q307" i="55" s="1"/>
  <c r="ED292" i="55"/>
  <c r="Q292" i="55" s="1"/>
  <c r="ED308" i="55"/>
  <c r="Q308" i="55" s="1"/>
  <c r="ED293" i="55"/>
  <c r="Q293" i="55" s="1"/>
  <c r="ED309" i="55"/>
  <c r="Q309" i="55" s="1"/>
  <c r="ED294" i="55"/>
  <c r="Q294" i="55" s="1"/>
  <c r="ED310" i="55"/>
  <c r="Q310" i="55" s="1"/>
  <c r="ED290" i="55"/>
  <c r="Q290" i="55" s="1"/>
  <c r="ED296" i="55"/>
  <c r="Q296" i="55" s="1"/>
  <c r="ED297" i="55"/>
  <c r="Q297" i="55" s="1"/>
  <c r="ED288" i="55"/>
  <c r="Q288" i="55" s="1"/>
  <c r="ED312" i="55"/>
  <c r="Q312" i="55" s="1"/>
  <c r="ED301" i="55"/>
  <c r="Q301" i="55" s="1"/>
  <c r="ED302" i="55"/>
  <c r="Q302" i="55" s="1"/>
  <c r="ED303" i="55"/>
  <c r="Q303" i="55" s="1"/>
  <c r="ED305" i="55"/>
  <c r="Q305" i="55" s="1"/>
  <c r="ED289" i="55"/>
  <c r="Q289" i="55" s="1"/>
  <c r="ED295" i="55"/>
  <c r="Q295" i="55" s="1"/>
  <c r="ED298" i="55"/>
  <c r="Q298" i="55" s="1"/>
  <c r="ED299" i="55"/>
  <c r="Q299" i="55" s="1"/>
  <c r="ED283" i="55"/>
  <c r="ED284" i="55"/>
  <c r="Q284" i="55" s="1"/>
  <c r="ED285" i="55"/>
  <c r="Q285" i="55" s="1"/>
  <c r="ED286" i="55"/>
  <c r="Q286" i="55" s="1"/>
  <c r="ED311" i="55"/>
  <c r="Q311" i="55" s="1"/>
  <c r="ED287" i="55"/>
  <c r="Q287" i="55" s="1"/>
  <c r="ED300" i="55"/>
  <c r="Q300" i="55" s="1"/>
  <c r="ED304" i="55"/>
  <c r="Q304" i="55" s="1"/>
  <c r="ED306" i="55"/>
  <c r="Q306" i="55" s="1"/>
  <c r="U24" i="54"/>
  <c r="IV25" i="55" a="1"/>
  <c r="IV25" i="55" s="1"/>
  <c r="IW25" i="55" s="1"/>
  <c r="IN25" i="55" a="1"/>
  <c r="IN25" i="55" s="1"/>
  <c r="IO25" i="55" s="1"/>
  <c r="IX25" i="55" a="1"/>
  <c r="IX25" i="55" s="1"/>
  <c r="IY25" i="55" s="1"/>
  <c r="IR25" i="55" a="1"/>
  <c r="IR25" i="55" s="1"/>
  <c r="IS25" i="55" s="1"/>
  <c r="IT25" i="55" a="1"/>
  <c r="IT25" i="55" s="1"/>
  <c r="IU25" i="55" s="1"/>
  <c r="IP25" i="55" a="1"/>
  <c r="IP25" i="55" s="1"/>
  <c r="IQ25" i="55" s="1"/>
  <c r="ED323" i="55"/>
  <c r="Q323" i="55" s="1"/>
  <c r="ED324" i="55"/>
  <c r="Q324" i="55" s="1"/>
  <c r="ED317" i="55"/>
  <c r="Q317" i="55" s="1"/>
  <c r="ED321" i="55"/>
  <c r="Q321" i="55" s="1"/>
  <c r="ED319" i="55"/>
  <c r="Q319" i="55" s="1"/>
  <c r="ED320" i="55"/>
  <c r="Q320" i="55" s="1"/>
  <c r="ED322" i="55"/>
  <c r="Q322" i="55" s="1"/>
  <c r="ED318" i="55"/>
  <c r="Q318" i="55" s="1"/>
  <c r="U26" i="54"/>
  <c r="ED67" i="55"/>
  <c r="Q67" i="55" s="1"/>
  <c r="ED83" i="55"/>
  <c r="Q83" i="55" s="1"/>
  <c r="ED68" i="55"/>
  <c r="Q68" i="55" s="1"/>
  <c r="ED84" i="55"/>
  <c r="Q84" i="55" s="1"/>
  <c r="ED53" i="55"/>
  <c r="Q53" i="55" s="1"/>
  <c r="ED69" i="55"/>
  <c r="Q69" i="55" s="1"/>
  <c r="ED85" i="55"/>
  <c r="Q85" i="55" s="1"/>
  <c r="ED54" i="55"/>
  <c r="Q54" i="55" s="1"/>
  <c r="ED70" i="55"/>
  <c r="Q70" i="55" s="1"/>
  <c r="ED86" i="55"/>
  <c r="Q86" i="55" s="1"/>
  <c r="ED58" i="55"/>
  <c r="Q58" i="55" s="1"/>
  <c r="ED78" i="55"/>
  <c r="Q78" i="55" s="1"/>
  <c r="ED60" i="55"/>
  <c r="Q60" i="55" s="1"/>
  <c r="ED80" i="55"/>
  <c r="Q80" i="55" s="1"/>
  <c r="ED61" i="55"/>
  <c r="Q61" i="55" s="1"/>
  <c r="ED81" i="55"/>
  <c r="Q81" i="55" s="1"/>
  <c r="ED56" i="55"/>
  <c r="Q56" i="55" s="1"/>
  <c r="ED76" i="55"/>
  <c r="Q76" i="55" s="1"/>
  <c r="ED73" i="55"/>
  <c r="Q73" i="55" s="1"/>
  <c r="ED74" i="55"/>
  <c r="Q74" i="55" s="1"/>
  <c r="ED75" i="55"/>
  <c r="Q75" i="55" s="1"/>
  <c r="ED79" i="55"/>
  <c r="Q79" i="55" s="1"/>
  <c r="ED64" i="55"/>
  <c r="Q64" i="55" s="1"/>
  <c r="ED65" i="55"/>
  <c r="Q65" i="55" s="1"/>
  <c r="ED66" i="55"/>
  <c r="Q66" i="55" s="1"/>
  <c r="ED71" i="55"/>
  <c r="Q71" i="55" s="1"/>
  <c r="ED77" i="55"/>
  <c r="Q77" i="55" s="1"/>
  <c r="ED87" i="55"/>
  <c r="Q87" i="55" s="1"/>
  <c r="ED63" i="55"/>
  <c r="Q63" i="55" s="1"/>
  <c r="ED55" i="55"/>
  <c r="Q55" i="55" s="1"/>
  <c r="ED57" i="55"/>
  <c r="Q57" i="55" s="1"/>
  <c r="ED59" i="55"/>
  <c r="Q59" i="55" s="1"/>
  <c r="ED72" i="55"/>
  <c r="Q72" i="55" s="1"/>
  <c r="ED82" i="55"/>
  <c r="Q82" i="55" s="1"/>
  <c r="ED62" i="55"/>
  <c r="Q62" i="55" s="1"/>
  <c r="U17" i="54"/>
  <c r="ED325" i="55"/>
  <c r="Q325" i="55" s="1"/>
  <c r="ED326" i="55"/>
  <c r="Q326" i="55" s="1"/>
  <c r="ED329" i="55"/>
  <c r="Q329" i="55" s="1"/>
  <c r="ED328" i="55"/>
  <c r="Q328" i="55" s="1"/>
  <c r="ED327" i="55"/>
  <c r="Q327" i="55" s="1"/>
  <c r="U27" i="54"/>
  <c r="HI17" i="55"/>
  <c r="HJ17" i="55"/>
  <c r="IL17" i="55"/>
  <c r="IM17" i="55" s="1"/>
  <c r="HH18" i="55"/>
  <c r="G10" i="57"/>
  <c r="ED3" i="55"/>
  <c r="ED19" i="55"/>
  <c r="Q19" i="55" s="1"/>
  <c r="ED4" i="55"/>
  <c r="ED20" i="55"/>
  <c r="Q20" i="55" s="1"/>
  <c r="ED5" i="55"/>
  <c r="Q5" i="55" s="1"/>
  <c r="IH5" i="55" s="1"/>
  <c r="ED21" i="55"/>
  <c r="Q21" i="55" s="1"/>
  <c r="ED6" i="55"/>
  <c r="Q6" i="55" s="1"/>
  <c r="IH6" i="55" s="1"/>
  <c r="ED22" i="55"/>
  <c r="Q22" i="55" s="1"/>
  <c r="ED14" i="55"/>
  <c r="Q14" i="55" s="1"/>
  <c r="IH14" i="55" s="1"/>
  <c r="ED16" i="55"/>
  <c r="Q16" i="55" s="1"/>
  <c r="IH16" i="55" s="1"/>
  <c r="ED17" i="55"/>
  <c r="Q17" i="55" s="1"/>
  <c r="ED12" i="55"/>
  <c r="Q12" i="55" s="1"/>
  <c r="IH12" i="55" s="1"/>
  <c r="ED15" i="55"/>
  <c r="Q15" i="55" s="1"/>
  <c r="IH15" i="55" s="1"/>
  <c r="ED18" i="55"/>
  <c r="Q18" i="55" s="1"/>
  <c r="ED23" i="55"/>
  <c r="Q23" i="55" s="1"/>
  <c r="ED25" i="55"/>
  <c r="ED24" i="55"/>
  <c r="Q24" i="55" s="1"/>
  <c r="ED11" i="55"/>
  <c r="ED7" i="55"/>
  <c r="Q7" i="55" s="1"/>
  <c r="IH7" i="55" s="1"/>
  <c r="ED8" i="55"/>
  <c r="Q8" i="55" s="1"/>
  <c r="IH8" i="55" s="1"/>
  <c r="ED9" i="55"/>
  <c r="Q9" i="55" s="1"/>
  <c r="IH9" i="55" s="1"/>
  <c r="ED10" i="55"/>
  <c r="Q10" i="55" s="1"/>
  <c r="IH10" i="55" s="1"/>
  <c r="ED13" i="55"/>
  <c r="Q13" i="55" s="1"/>
  <c r="IH13" i="55" s="1"/>
  <c r="U14" i="54"/>
  <c r="JS4" i="55"/>
  <c r="N4" i="55"/>
  <c r="HF19" i="55"/>
  <c r="HG19" i="55" s="1"/>
  <c r="ED334" i="55"/>
  <c r="Q334" i="55" s="1"/>
  <c r="ED332" i="55"/>
  <c r="Q332" i="55" s="1"/>
  <c r="ED330" i="55"/>
  <c r="Q330" i="55" s="1"/>
  <c r="ED331" i="55"/>
  <c r="Q331" i="55" s="1"/>
  <c r="ED333" i="55"/>
  <c r="Q333" i="55" s="1"/>
  <c r="U28" i="54"/>
  <c r="ED195" i="55"/>
  <c r="Q195" i="55" s="1"/>
  <c r="ED211" i="55"/>
  <c r="Q211" i="55" s="1"/>
  <c r="ED196" i="55"/>
  <c r="Q196" i="55" s="1"/>
  <c r="ED212" i="55"/>
  <c r="Q212" i="55" s="1"/>
  <c r="ED197" i="55"/>
  <c r="Q197" i="55" s="1"/>
  <c r="ED213" i="55"/>
  <c r="Q213" i="55" s="1"/>
  <c r="ED198" i="55"/>
  <c r="Q198" i="55" s="1"/>
  <c r="ED214" i="55"/>
  <c r="Q214" i="55" s="1"/>
  <c r="ED186" i="55"/>
  <c r="Q186" i="55" s="1"/>
  <c r="ED206" i="55"/>
  <c r="Q206" i="55" s="1"/>
  <c r="ED188" i="55"/>
  <c r="Q188" i="55" s="1"/>
  <c r="ED208" i="55"/>
  <c r="Q208" i="55" s="1"/>
  <c r="ED189" i="55"/>
  <c r="Q189" i="55" s="1"/>
  <c r="ED209" i="55"/>
  <c r="Q209" i="55" s="1"/>
  <c r="ED184" i="55"/>
  <c r="ED204" i="55"/>
  <c r="Q204" i="55" s="1"/>
  <c r="ED187" i="55"/>
  <c r="Q187" i="55" s="1"/>
  <c r="ED217" i="55"/>
  <c r="Q217" i="55" s="1"/>
  <c r="ED190" i="55"/>
  <c r="Q190" i="55" s="1"/>
  <c r="ED218" i="55"/>
  <c r="Q218" i="55" s="1"/>
  <c r="ED191" i="55"/>
  <c r="Q191" i="55" s="1"/>
  <c r="ED219" i="55"/>
  <c r="Q219" i="55" s="1"/>
  <c r="ED193" i="55"/>
  <c r="Q193" i="55" s="1"/>
  <c r="ED221" i="55"/>
  <c r="Q221" i="55" s="1"/>
  <c r="ED216" i="55"/>
  <c r="Q216" i="55" s="1"/>
  <c r="ED220" i="55"/>
  <c r="Q220" i="55" s="1"/>
  <c r="ED222" i="55"/>
  <c r="Q222" i="55" s="1"/>
  <c r="ED223" i="55"/>
  <c r="Q223" i="55" s="1"/>
  <c r="ED185" i="55"/>
  <c r="Q185" i="55" s="1"/>
  <c r="ED215" i="55"/>
  <c r="Q215" i="55" s="1"/>
  <c r="ED199" i="55"/>
  <c r="Q199" i="55" s="1"/>
  <c r="ED200" i="55"/>
  <c r="Q200" i="55" s="1"/>
  <c r="ED201" i="55"/>
  <c r="Q201" i="55" s="1"/>
  <c r="ED203" i="55"/>
  <c r="Q203" i="55" s="1"/>
  <c r="ED205" i="55"/>
  <c r="Q205" i="55" s="1"/>
  <c r="ED207" i="55"/>
  <c r="Q207" i="55" s="1"/>
  <c r="ED210" i="55"/>
  <c r="Q210" i="55" s="1"/>
  <c r="ED194" i="55"/>
  <c r="Q194" i="55" s="1"/>
  <c r="ED192" i="55"/>
  <c r="Q192" i="55" s="1"/>
  <c r="ED202" i="55"/>
  <c r="Q202" i="55" s="1"/>
  <c r="U22" i="54"/>
  <c r="JS11" i="55"/>
  <c r="N11" i="55"/>
  <c r="AK20" i="55"/>
  <c r="HE20" i="55"/>
  <c r="GV48" i="55" l="1"/>
  <c r="GW48" i="55" s="1"/>
  <c r="GU49" i="55"/>
  <c r="JP104" i="55"/>
  <c r="JP342" i="55" s="1"/>
  <c r="BR3" i="40" s="1" a="1"/>
  <c r="BR3" i="40" s="1"/>
  <c r="L52" i="16" s="1"/>
  <c r="JS16" i="55"/>
  <c r="N16" i="55"/>
  <c r="JS12" i="55"/>
  <c r="N12" i="55"/>
  <c r="JS14" i="55"/>
  <c r="N14" i="55"/>
  <c r="JS6" i="55"/>
  <c r="N6" i="55"/>
  <c r="JS5" i="55"/>
  <c r="N5" i="55"/>
  <c r="JS7" i="55"/>
  <c r="N7" i="55"/>
  <c r="HD22" i="55"/>
  <c r="HB22" i="55"/>
  <c r="HC22" i="55" s="1"/>
  <c r="HA23" i="55"/>
  <c r="JS15" i="55"/>
  <c r="N15" i="55"/>
  <c r="JQ19" i="55"/>
  <c r="A5" i="60" a="1"/>
  <c r="A5" i="60" s="1"/>
  <c r="JS8" i="55"/>
  <c r="N8" i="55"/>
  <c r="IX17" i="55" a="1"/>
  <c r="IX17" i="55" s="1"/>
  <c r="IY17" i="55" s="1"/>
  <c r="IR17" i="55" a="1"/>
  <c r="IR17" i="55" s="1"/>
  <c r="IS17" i="55" s="1"/>
  <c r="IP17" i="55" a="1"/>
  <c r="IP17" i="55" s="1"/>
  <c r="IQ17" i="55" s="1"/>
  <c r="IT17" i="55" a="1"/>
  <c r="IT17" i="55" s="1"/>
  <c r="IU17" i="55" s="1"/>
  <c r="IV17" i="55" a="1"/>
  <c r="IV17" i="55" s="1"/>
  <c r="IW17" i="55" s="1"/>
  <c r="IN17" i="55" a="1"/>
  <c r="IN17" i="55" s="1"/>
  <c r="JS13" i="55"/>
  <c r="N13" i="55"/>
  <c r="JS9" i="55"/>
  <c r="N9" i="55"/>
  <c r="HF20" i="55"/>
  <c r="HG20" i="55" s="1"/>
  <c r="HH20" i="55" s="1"/>
  <c r="AK21" i="55"/>
  <c r="HE21" i="55"/>
  <c r="HO17" i="55"/>
  <c r="HP17" i="55"/>
  <c r="IZ17" i="55" s="1"/>
  <c r="JA17" i="55"/>
  <c r="HR17" i="55"/>
  <c r="HK17" i="55"/>
  <c r="HH19" i="55"/>
  <c r="IF17" i="55"/>
  <c r="IG17" i="55" s="1"/>
  <c r="JR17" i="55"/>
  <c r="JS10" i="55"/>
  <c r="N10" i="55"/>
  <c r="HI18" i="55"/>
  <c r="HJ18" i="55"/>
  <c r="IL18" i="55"/>
  <c r="IM18" i="55" s="1"/>
  <c r="L10" i="16"/>
  <c r="L22" i="16"/>
  <c r="L21" i="16"/>
  <c r="L13" i="16"/>
  <c r="L19" i="16"/>
  <c r="L6" i="16"/>
  <c r="L7" i="16"/>
  <c r="L23" i="16"/>
  <c r="L12" i="16"/>
  <c r="L17" i="16"/>
  <c r="L18" i="16"/>
  <c r="L8" i="16"/>
  <c r="L4" i="16"/>
  <c r="L5" i="16"/>
  <c r="L9" i="16"/>
  <c r="L16" i="16"/>
  <c r="L15" i="16"/>
  <c r="L14" i="16"/>
  <c r="L11" i="16"/>
  <c r="L20" i="16"/>
  <c r="GU50" i="55" l="1"/>
  <c r="GV49" i="55"/>
  <c r="GW49" i="55" s="1"/>
  <c r="L58" i="16"/>
  <c r="L57" i="16"/>
  <c r="L60" i="16"/>
  <c r="L59" i="16"/>
  <c r="M59" i="16" s="1"/>
  <c r="L56" i="16"/>
  <c r="N56" i="16" s="1"/>
  <c r="L51" i="16"/>
  <c r="L55" i="16"/>
  <c r="L53" i="16"/>
  <c r="L54" i="16"/>
  <c r="N54" i="16" s="1"/>
  <c r="HI20" i="55"/>
  <c r="JR20" i="55" s="1"/>
  <c r="HJ20" i="55"/>
  <c r="IL20" i="55"/>
  <c r="IM20" i="55" s="1"/>
  <c r="M11" i="16"/>
  <c r="AG11" i="42"/>
  <c r="HF21" i="55"/>
  <c r="HG21" i="55" s="1"/>
  <c r="M14" i="16"/>
  <c r="AG14" i="42"/>
  <c r="AH14" i="42" s="1"/>
  <c r="M15" i="16"/>
  <c r="AG15" i="42"/>
  <c r="IX18" i="55" a="1"/>
  <c r="IX18" i="55" s="1"/>
  <c r="IY18" i="55" s="1"/>
  <c r="IT18" i="55" a="1"/>
  <c r="IT18" i="55" s="1"/>
  <c r="IU18" i="55" s="1"/>
  <c r="IR18" i="55" a="1"/>
  <c r="IR18" i="55" s="1"/>
  <c r="IS18" i="55" s="1"/>
  <c r="IP18" i="55" a="1"/>
  <c r="IP18" i="55" s="1"/>
  <c r="IQ18" i="55" s="1"/>
  <c r="IN18" i="55" a="1"/>
  <c r="IN18" i="55" s="1"/>
  <c r="IO18" i="55" s="1"/>
  <c r="IV18" i="55" a="1"/>
  <c r="IV18" i="55" s="1"/>
  <c r="IW18" i="55" s="1"/>
  <c r="M51" i="16"/>
  <c r="N51" i="16"/>
  <c r="O51" i="16"/>
  <c r="M18" i="16"/>
  <c r="AG18" i="42"/>
  <c r="HB23" i="55"/>
  <c r="HC23" i="55" s="1"/>
  <c r="HD23" i="55"/>
  <c r="HA24" i="55"/>
  <c r="O56" i="16"/>
  <c r="M56" i="16"/>
  <c r="M19" i="16"/>
  <c r="AG19" i="42"/>
  <c r="O60" i="16"/>
  <c r="N60" i="16"/>
  <c r="M60" i="16"/>
  <c r="M20" i="16"/>
  <c r="AG20" i="42"/>
  <c r="AH20" i="42" s="1"/>
  <c r="M13" i="16"/>
  <c r="AG13" i="42"/>
  <c r="M21" i="16"/>
  <c r="AG21" i="42"/>
  <c r="AH21" i="42" s="1"/>
  <c r="M22" i="16"/>
  <c r="AG22" i="42"/>
  <c r="M10" i="16"/>
  <c r="AG10" i="42"/>
  <c r="M16" i="16"/>
  <c r="AG16" i="42"/>
  <c r="JA18" i="55"/>
  <c r="HP18" i="55"/>
  <c r="IZ18" i="55" s="1"/>
  <c r="HR18" i="55"/>
  <c r="HO18" i="55"/>
  <c r="IH18" i="55" s="1"/>
  <c r="HK18" i="55"/>
  <c r="M4" i="16"/>
  <c r="AG4" i="42"/>
  <c r="AH4" i="42" s="1"/>
  <c r="M8" i="16"/>
  <c r="AG8" i="42"/>
  <c r="IO17" i="55"/>
  <c r="M17" i="16"/>
  <c r="AG17" i="42"/>
  <c r="M12" i="16"/>
  <c r="AG12" i="42"/>
  <c r="HI19" i="55"/>
  <c r="HJ19" i="55"/>
  <c r="IL19" i="55"/>
  <c r="IM19" i="55" s="1"/>
  <c r="M23" i="16"/>
  <c r="AG23" i="42"/>
  <c r="AH23" i="42" s="1"/>
  <c r="M58" i="16"/>
  <c r="N58" i="16"/>
  <c r="O58" i="16"/>
  <c r="M7" i="16"/>
  <c r="AG7" i="42"/>
  <c r="AK22" i="55"/>
  <c r="HE22" i="55"/>
  <c r="O57" i="16"/>
  <c r="N57" i="16"/>
  <c r="M57" i="16"/>
  <c r="M6" i="16"/>
  <c r="AG6" i="42"/>
  <c r="IH17" i="55"/>
  <c r="N55" i="16"/>
  <c r="M55" i="16"/>
  <c r="O55" i="16"/>
  <c r="N53" i="16"/>
  <c r="O53" i="16"/>
  <c r="M53" i="16"/>
  <c r="O54" i="16"/>
  <c r="JQ20" i="55"/>
  <c r="O52" i="16"/>
  <c r="M52" i="16"/>
  <c r="N52" i="16"/>
  <c r="AG9" i="42"/>
  <c r="AH9" i="42" s="1"/>
  <c r="M9" i="16"/>
  <c r="M5" i="16"/>
  <c r="AG5" i="42"/>
  <c r="AH5" i="42" s="1"/>
  <c r="IF18" i="55"/>
  <c r="IG18" i="55" s="1"/>
  <c r="JR18" i="55"/>
  <c r="O59" i="16" l="1"/>
  <c r="N59" i="16"/>
  <c r="M54" i="16"/>
  <c r="AH7" i="42"/>
  <c r="GV50" i="55"/>
  <c r="GW50" i="55" s="1"/>
  <c r="GU51" i="55"/>
  <c r="AH15" i="42"/>
  <c r="AH8" i="42"/>
  <c r="JS18" i="55"/>
  <c r="N18" i="55"/>
  <c r="AH19" i="42"/>
  <c r="AH6" i="42"/>
  <c r="R30" i="42" s="1"/>
  <c r="IF19" i="55"/>
  <c r="IG19" i="55" s="1"/>
  <c r="JR19" i="55"/>
  <c r="AH22" i="42"/>
  <c r="HF22" i="55"/>
  <c r="HG22" i="55" s="1"/>
  <c r="R28" i="42"/>
  <c r="HB24" i="55"/>
  <c r="HC24" i="55" s="1"/>
  <c r="HD24" i="55"/>
  <c r="HA25" i="55"/>
  <c r="AH13" i="42"/>
  <c r="AK23" i="55"/>
  <c r="HE23" i="55"/>
  <c r="JQ21" i="55"/>
  <c r="AH18" i="42"/>
  <c r="HH21" i="55"/>
  <c r="AH11" i="42"/>
  <c r="IX19" i="55" a="1"/>
  <c r="IX19" i="55" s="1"/>
  <c r="IY19" i="55" s="1"/>
  <c r="IR19" i="55" a="1"/>
  <c r="IR19" i="55" s="1"/>
  <c r="IS19" i="55" s="1"/>
  <c r="IP19" i="55" a="1"/>
  <c r="IP19" i="55" s="1"/>
  <c r="IQ19" i="55" s="1"/>
  <c r="IT19" i="55" a="1"/>
  <c r="IT19" i="55" s="1"/>
  <c r="IU19" i="55" s="1"/>
  <c r="IN19" i="55" a="1"/>
  <c r="IN19" i="55" s="1"/>
  <c r="IV19" i="55" a="1"/>
  <c r="IV19" i="55" s="1"/>
  <c r="IW19" i="55" s="1"/>
  <c r="AH12" i="42"/>
  <c r="IX20" i="55" a="1"/>
  <c r="IX20" i="55" s="1"/>
  <c r="IY20" i="55" s="1"/>
  <c r="IR20" i="55" a="1"/>
  <c r="IR20" i="55" s="1"/>
  <c r="IS20" i="55" s="1"/>
  <c r="IP20" i="55" a="1"/>
  <c r="IP20" i="55" s="1"/>
  <c r="IQ20" i="55" s="1"/>
  <c r="IT20" i="55" a="1"/>
  <c r="IT20" i="55" s="1"/>
  <c r="IU20" i="55" s="1"/>
  <c r="IN20" i="55" a="1"/>
  <c r="IN20" i="55" s="1"/>
  <c r="IO20" i="55" s="1"/>
  <c r="IV20" i="55" a="1"/>
  <c r="IV20" i="55" s="1"/>
  <c r="IW20" i="55" s="1"/>
  <c r="AH16" i="42"/>
  <c r="AH10" i="42"/>
  <c r="JA20" i="55"/>
  <c r="HP20" i="55"/>
  <c r="IZ20" i="55" s="1"/>
  <c r="HR20" i="55"/>
  <c r="HO20" i="55"/>
  <c r="IH20" i="55" s="1"/>
  <c r="JS17" i="55"/>
  <c r="N17" i="55"/>
  <c r="HO19" i="55"/>
  <c r="IH19" i="55" s="1"/>
  <c r="JA19" i="55"/>
  <c r="HP19" i="55"/>
  <c r="IZ19" i="55" s="1"/>
  <c r="HK19" i="55"/>
  <c r="HK20" i="55" s="1"/>
  <c r="HR19" i="55"/>
  <c r="AH17" i="42"/>
  <c r="IF20" i="55"/>
  <c r="IG20" i="55" s="1"/>
  <c r="R35" i="42" l="1"/>
  <c r="R29" i="42"/>
  <c r="GV51" i="55"/>
  <c r="GW51" i="55" s="1"/>
  <c r="GU52" i="55"/>
  <c r="GV52" i="55" s="1"/>
  <c r="GW52" i="55" s="1"/>
  <c r="R34" i="42"/>
  <c r="R37" i="42"/>
  <c r="R31" i="42"/>
  <c r="HI21" i="55"/>
  <c r="HJ21" i="55"/>
  <c r="IL21" i="55"/>
  <c r="IM21" i="55" s="1"/>
  <c r="R33" i="42"/>
  <c r="JS19" i="55"/>
  <c r="N19" i="55"/>
  <c r="HB25" i="55"/>
  <c r="HC25" i="55" s="1"/>
  <c r="HD25" i="55"/>
  <c r="HA26" i="55"/>
  <c r="AK24" i="55"/>
  <c r="HE24" i="55"/>
  <c r="IO19" i="55"/>
  <c r="R32" i="42"/>
  <c r="R36" i="42"/>
  <c r="HF23" i="55"/>
  <c r="HG23" i="55" s="1"/>
  <c r="HH22" i="55"/>
  <c r="JQ22" i="55"/>
  <c r="JS20" i="55"/>
  <c r="N20" i="55"/>
  <c r="C1" i="16"/>
  <c r="HD26" i="55" l="1"/>
  <c r="HB26" i="55"/>
  <c r="HC26" i="55" s="1"/>
  <c r="HA27" i="55"/>
  <c r="IF21" i="55"/>
  <c r="IG21" i="55" s="1"/>
  <c r="JR21" i="55"/>
  <c r="HF24" i="55"/>
  <c r="HG24" i="55" s="1"/>
  <c r="AK25" i="55"/>
  <c r="HE25" i="55"/>
  <c r="HI22" i="55"/>
  <c r="HJ22" i="55"/>
  <c r="IL22" i="55"/>
  <c r="IM22" i="55" s="1"/>
  <c r="JQ23" i="55"/>
  <c r="HH23" i="55"/>
  <c r="IX21" i="55" a="1"/>
  <c r="IX21" i="55" s="1"/>
  <c r="IY21" i="55" s="1"/>
  <c r="IV21" i="55" a="1"/>
  <c r="IV21" i="55" s="1"/>
  <c r="IW21" i="55" s="1"/>
  <c r="IR21" i="55" a="1"/>
  <c r="IR21" i="55" s="1"/>
  <c r="IS21" i="55" s="1"/>
  <c r="IT21" i="55" a="1"/>
  <c r="IT21" i="55" s="1"/>
  <c r="IU21" i="55" s="1"/>
  <c r="IP21" i="55" a="1"/>
  <c r="IP21" i="55" s="1"/>
  <c r="IQ21" i="55" s="1"/>
  <c r="IN21" i="55" a="1"/>
  <c r="IN21" i="55" s="1"/>
  <c r="IO21" i="55" s="1"/>
  <c r="JA21" i="55"/>
  <c r="HP21" i="55"/>
  <c r="IZ21" i="55" s="1"/>
  <c r="HK21" i="55"/>
  <c r="HO21" i="55"/>
  <c r="IH21" i="55" s="1"/>
  <c r="HR21" i="55"/>
  <c r="HI23" i="55" l="1"/>
  <c r="HJ23" i="55"/>
  <c r="IL23" i="55"/>
  <c r="IM23" i="55" s="1"/>
  <c r="JQ24" i="55"/>
  <c r="JA22" i="55"/>
  <c r="HO22" i="55"/>
  <c r="IH22" i="55" s="1"/>
  <c r="HP22" i="55"/>
  <c r="IZ22" i="55" s="1"/>
  <c r="HR22" i="55"/>
  <c r="HK22" i="55"/>
  <c r="IF22" i="55"/>
  <c r="IG22" i="55" s="1"/>
  <c r="JR22" i="55"/>
  <c r="HF25" i="55"/>
  <c r="HG25" i="55" s="1"/>
  <c r="HB27" i="55"/>
  <c r="HC27" i="55" s="1"/>
  <c r="HD27" i="55"/>
  <c r="HA28" i="55"/>
  <c r="JS21" i="55"/>
  <c r="N21" i="55"/>
  <c r="IX22" i="55" a="1"/>
  <c r="IX22" i="55" s="1"/>
  <c r="IY22" i="55" s="1"/>
  <c r="IN22" i="55" a="1"/>
  <c r="IN22" i="55" s="1"/>
  <c r="IO22" i="55" s="1"/>
  <c r="IT22" i="55" a="1"/>
  <c r="IT22" i="55" s="1"/>
  <c r="IU22" i="55" s="1"/>
  <c r="IV22" i="55" a="1"/>
  <c r="IV22" i="55" s="1"/>
  <c r="IW22" i="55" s="1"/>
  <c r="IR22" i="55" a="1"/>
  <c r="IR22" i="55" s="1"/>
  <c r="IS22" i="55" s="1"/>
  <c r="IP22" i="55" a="1"/>
  <c r="IP22" i="55" s="1"/>
  <c r="IQ22" i="55" s="1"/>
  <c r="HH24" i="55"/>
  <c r="AK26" i="55"/>
  <c r="HE26" i="55"/>
  <c r="AK27" i="55" l="1"/>
  <c r="HE27" i="55"/>
  <c r="JQ25" i="55"/>
  <c r="IV23" i="55" a="1"/>
  <c r="IV23" i="55" s="1"/>
  <c r="IW23" i="55" s="1"/>
  <c r="IX23" i="55" a="1"/>
  <c r="IX23" i="55" s="1"/>
  <c r="IY23" i="55" s="1"/>
  <c r="IN23" i="55" a="1"/>
  <c r="IN23" i="55" s="1"/>
  <c r="IO23" i="55" s="1"/>
  <c r="IP23" i="55" a="1"/>
  <c r="IP23" i="55" s="1"/>
  <c r="IQ23" i="55" s="1"/>
  <c r="IT23" i="55" a="1"/>
  <c r="IT23" i="55" s="1"/>
  <c r="IU23" i="55" s="1"/>
  <c r="IR23" i="55" a="1"/>
  <c r="IR23" i="55" s="1"/>
  <c r="IS23" i="55" s="1"/>
  <c r="JS22" i="55"/>
  <c r="N22" i="55"/>
  <c r="JA23" i="55"/>
  <c r="HR23" i="55"/>
  <c r="HK23" i="55"/>
  <c r="HP23" i="55"/>
  <c r="IZ23" i="55" s="1"/>
  <c r="HO23" i="55"/>
  <c r="IH23" i="55" s="1"/>
  <c r="HH25" i="55"/>
  <c r="HF26" i="55"/>
  <c r="HG26" i="55" s="1"/>
  <c r="HH26" i="55" s="1"/>
  <c r="HI24" i="55"/>
  <c r="HJ24" i="55"/>
  <c r="IL24" i="55"/>
  <c r="IM24" i="55" s="1"/>
  <c r="HB28" i="55"/>
  <c r="HC28" i="55" s="1"/>
  <c r="HD28" i="55"/>
  <c r="HA29" i="55"/>
  <c r="IF23" i="55"/>
  <c r="IG23" i="55" s="1"/>
  <c r="JR23" i="55"/>
  <c r="HD29" i="55" l="1"/>
  <c r="HB29" i="55"/>
  <c r="HC29" i="55" s="1"/>
  <c r="HA30" i="55"/>
  <c r="AK28" i="55"/>
  <c r="HE28" i="55"/>
  <c r="IF24" i="55"/>
  <c r="IG24" i="55" s="1"/>
  <c r="JR24" i="55"/>
  <c r="HJ26" i="55"/>
  <c r="HI26" i="55"/>
  <c r="IF26" i="55" s="1"/>
  <c r="IG26" i="55" s="1"/>
  <c r="HI25" i="55"/>
  <c r="HJ25" i="55"/>
  <c r="JS23" i="55"/>
  <c r="N23" i="55"/>
  <c r="IT24" i="55" a="1"/>
  <c r="IT24" i="55" s="1"/>
  <c r="IU24" i="55" s="1"/>
  <c r="IV24" i="55" a="1"/>
  <c r="IV24" i="55" s="1"/>
  <c r="IW24" i="55" s="1"/>
  <c r="IX24" i="55" a="1"/>
  <c r="IX24" i="55" s="1"/>
  <c r="IY24" i="55" s="1"/>
  <c r="IN24" i="55" a="1"/>
  <c r="IN24" i="55" s="1"/>
  <c r="IO24" i="55" s="1"/>
  <c r="IR24" i="55" a="1"/>
  <c r="IR24" i="55" s="1"/>
  <c r="IS24" i="55" s="1"/>
  <c r="IP24" i="55" a="1"/>
  <c r="IP24" i="55" s="1"/>
  <c r="IQ24" i="55" s="1"/>
  <c r="JA24" i="55"/>
  <c r="HK24" i="55"/>
  <c r="HO24" i="55"/>
  <c r="IH24" i="55" s="1"/>
  <c r="HR24" i="55"/>
  <c r="HP24" i="55"/>
  <c r="IZ24" i="55" s="1"/>
  <c r="JQ26" i="55"/>
  <c r="JR26" i="55"/>
  <c r="HF27" i="55"/>
  <c r="HG27" i="55" s="1"/>
  <c r="HH27" i="55"/>
  <c r="HJ27" i="55" l="1"/>
  <c r="HI27" i="55"/>
  <c r="IF27" i="55" s="1"/>
  <c r="IG27" i="55" s="1"/>
  <c r="IL27" i="55"/>
  <c r="IM27" i="55" s="1"/>
  <c r="JA25" i="55"/>
  <c r="HR25" i="55"/>
  <c r="HO25" i="55"/>
  <c r="IH25" i="55" s="1"/>
  <c r="HK25" i="55"/>
  <c r="HP25" i="55"/>
  <c r="IZ25" i="55" s="1"/>
  <c r="JS24" i="55"/>
  <c r="N24" i="55"/>
  <c r="HB30" i="55"/>
  <c r="HC30" i="55" s="1"/>
  <c r="HD30" i="55"/>
  <c r="HA31" i="55"/>
  <c r="JR27" i="55"/>
  <c r="JQ27" i="55"/>
  <c r="JA26" i="55"/>
  <c r="HR26" i="55"/>
  <c r="HK26" i="55"/>
  <c r="HO26" i="55"/>
  <c r="IH26" i="55" s="1"/>
  <c r="HP26" i="55"/>
  <c r="IZ26" i="55" s="1"/>
  <c r="HF28" i="55"/>
  <c r="HG28" i="55" s="1"/>
  <c r="HH28" i="55"/>
  <c r="IF25" i="55"/>
  <c r="IG25" i="55" s="1"/>
  <c r="JR25" i="55"/>
  <c r="AK29" i="55"/>
  <c r="HE29" i="55"/>
  <c r="HB31" i="55" l="1"/>
  <c r="HC31" i="55" s="1"/>
  <c r="HD31" i="55"/>
  <c r="HA32" i="55"/>
  <c r="JS26" i="55"/>
  <c r="N26" i="55"/>
  <c r="IX27" i="55" a="1"/>
  <c r="IX27" i="55" s="1"/>
  <c r="IY27" i="55" s="1"/>
  <c r="IR27" i="55" a="1"/>
  <c r="IR27" i="55" s="1"/>
  <c r="IS27" i="55" s="1"/>
  <c r="IP27" i="55" a="1"/>
  <c r="IP27" i="55" s="1"/>
  <c r="IQ27" i="55" s="1"/>
  <c r="IV27" i="55" a="1"/>
  <c r="IV27" i="55" s="1"/>
  <c r="IW27" i="55" s="1"/>
  <c r="IN27" i="55" a="1"/>
  <c r="IN27" i="55" s="1"/>
  <c r="IO27" i="55" s="1"/>
  <c r="IT27" i="55" a="1"/>
  <c r="IT27" i="55" s="1"/>
  <c r="IU27" i="55" s="1"/>
  <c r="JS25" i="55"/>
  <c r="N25" i="55"/>
  <c r="AK30" i="55"/>
  <c r="HE30" i="55"/>
  <c r="HF29" i="55"/>
  <c r="HG29" i="55" s="1"/>
  <c r="HI28" i="55"/>
  <c r="JR28" i="55" s="1"/>
  <c r="HJ28" i="55"/>
  <c r="IL28" i="55"/>
  <c r="IM28" i="55" s="1"/>
  <c r="JQ28" i="55"/>
  <c r="JA27" i="55"/>
  <c r="HR27" i="55"/>
  <c r="HO27" i="55"/>
  <c r="IH27" i="55" s="1"/>
  <c r="HP27" i="55"/>
  <c r="IZ27" i="55" s="1"/>
  <c r="HK27" i="55"/>
  <c r="JQ29" i="55" l="1"/>
  <c r="HB32" i="55"/>
  <c r="HC32" i="55" s="1"/>
  <c r="HD32" i="55"/>
  <c r="HA33" i="55"/>
  <c r="HF30" i="55"/>
  <c r="HG30" i="55" s="1"/>
  <c r="IX28" i="55" a="1"/>
  <c r="IX28" i="55" s="1"/>
  <c r="IY28" i="55" s="1"/>
  <c r="IR28" i="55" a="1"/>
  <c r="IR28" i="55" s="1"/>
  <c r="IS28" i="55" s="1"/>
  <c r="IV28" i="55" a="1"/>
  <c r="IV28" i="55" s="1"/>
  <c r="IW28" i="55" s="1"/>
  <c r="IP28" i="55" a="1"/>
  <c r="IP28" i="55" s="1"/>
  <c r="IQ28" i="55" s="1"/>
  <c r="IN28" i="55" a="1"/>
  <c r="IN28" i="55" s="1"/>
  <c r="IO28" i="55" s="1"/>
  <c r="IT28" i="55" a="1"/>
  <c r="IT28" i="55" s="1"/>
  <c r="IU28" i="55" s="1"/>
  <c r="JA28" i="55"/>
  <c r="HR28" i="55"/>
  <c r="HK28" i="55"/>
  <c r="HP28" i="55"/>
  <c r="IZ28" i="55" s="1"/>
  <c r="HO28" i="55"/>
  <c r="IH28" i="55" s="1"/>
  <c r="IF28" i="55"/>
  <c r="IG28" i="55" s="1"/>
  <c r="AK31" i="55"/>
  <c r="HE31" i="55"/>
  <c r="JS27" i="55"/>
  <c r="N27" i="55"/>
  <c r="HH29" i="55"/>
  <c r="HH30" i="55" l="1"/>
  <c r="HJ30" i="55"/>
  <c r="HI30" i="55"/>
  <c r="IF30" i="55" s="1"/>
  <c r="IG30" i="55" s="1"/>
  <c r="IL30" i="55"/>
  <c r="IM30" i="55" s="1"/>
  <c r="JR30" i="55"/>
  <c r="JQ30" i="55"/>
  <c r="HF31" i="55"/>
  <c r="HG31" i="55" s="1"/>
  <c r="AK32" i="55"/>
  <c r="HE32" i="55"/>
  <c r="HJ29" i="55"/>
  <c r="HI29" i="55"/>
  <c r="IL29" i="55"/>
  <c r="IM29" i="55" s="1"/>
  <c r="HB33" i="55"/>
  <c r="HC33" i="55" s="1"/>
  <c r="HD33" i="55"/>
  <c r="HA34" i="55"/>
  <c r="JS28" i="55"/>
  <c r="N28" i="55"/>
  <c r="AK33" i="55" l="1"/>
  <c r="HE33" i="55"/>
  <c r="IF29" i="55"/>
  <c r="IG29" i="55" s="1"/>
  <c r="JR29" i="55"/>
  <c r="JQ31" i="55"/>
  <c r="IV30" i="55" a="1"/>
  <c r="IV30" i="55" s="1"/>
  <c r="IW30" i="55" s="1"/>
  <c r="IX30" i="55" a="1"/>
  <c r="IX30" i="55" s="1"/>
  <c r="IY30" i="55" s="1"/>
  <c r="IN30" i="55" a="1"/>
  <c r="IN30" i="55" s="1"/>
  <c r="IO30" i="55" s="1"/>
  <c r="IR30" i="55" a="1"/>
  <c r="IR30" i="55" s="1"/>
  <c r="IS30" i="55" s="1"/>
  <c r="IT30" i="55" a="1"/>
  <c r="IT30" i="55" s="1"/>
  <c r="IU30" i="55" s="1"/>
  <c r="IP30" i="55" a="1"/>
  <c r="IP30" i="55" s="1"/>
  <c r="IQ30" i="55" s="1"/>
  <c r="IX29" i="55" a="1"/>
  <c r="IX29" i="55" s="1"/>
  <c r="IY29" i="55" s="1"/>
  <c r="IR29" i="55" a="1"/>
  <c r="IR29" i="55" s="1"/>
  <c r="IS29" i="55" s="1"/>
  <c r="IP29" i="55" a="1"/>
  <c r="IP29" i="55" s="1"/>
  <c r="IQ29" i="55" s="1"/>
  <c r="IT29" i="55" a="1"/>
  <c r="IT29" i="55" s="1"/>
  <c r="IU29" i="55" s="1"/>
  <c r="IV29" i="55" a="1"/>
  <c r="IV29" i="55" s="1"/>
  <c r="IW29" i="55" s="1"/>
  <c r="IN29" i="55" a="1"/>
  <c r="IN29" i="55" s="1"/>
  <c r="IO29" i="55" s="1"/>
  <c r="HF32" i="55"/>
  <c r="HG32" i="55" s="1"/>
  <c r="HH31" i="55"/>
  <c r="HH32" i="55" s="1"/>
  <c r="HD34" i="55"/>
  <c r="HB34" i="55"/>
  <c r="HC34" i="55" s="1"/>
  <c r="HA35" i="55"/>
  <c r="JA29" i="55"/>
  <c r="HR29" i="55"/>
  <c r="HP29" i="55"/>
  <c r="IZ29" i="55" s="1"/>
  <c r="HK29" i="55"/>
  <c r="HK30" i="55" s="1"/>
  <c r="HO29" i="55"/>
  <c r="IH29" i="55" s="1"/>
  <c r="JA30" i="55"/>
  <c r="HP30" i="55"/>
  <c r="IZ30" i="55" s="1"/>
  <c r="HR30" i="55"/>
  <c r="HO30" i="55"/>
  <c r="IH30" i="55" s="1"/>
  <c r="HI32" i="55" l="1"/>
  <c r="HJ32" i="55"/>
  <c r="HD35" i="55"/>
  <c r="HB35" i="55"/>
  <c r="HC35" i="55" s="1"/>
  <c r="HA36" i="55"/>
  <c r="JQ32" i="55"/>
  <c r="JR32" i="55"/>
  <c r="JS29" i="55"/>
  <c r="N29" i="55"/>
  <c r="AK34" i="55"/>
  <c r="HE34" i="55"/>
  <c r="HJ31" i="55"/>
  <c r="HI31" i="55"/>
  <c r="HF33" i="55"/>
  <c r="HG33" i="55" s="1"/>
  <c r="JS30" i="55"/>
  <c r="N30" i="55"/>
  <c r="IF32" i="55" l="1"/>
  <c r="IG32" i="55" s="1"/>
  <c r="JQ33" i="55"/>
  <c r="JA31" i="55"/>
  <c r="HP31" i="55"/>
  <c r="IZ31" i="55" s="1"/>
  <c r="HR31" i="55"/>
  <c r="HO31" i="55"/>
  <c r="IH31" i="55" s="1"/>
  <c r="HK31" i="55"/>
  <c r="HK32" i="55" s="1"/>
  <c r="HF34" i="55"/>
  <c r="HG34" i="55" s="1"/>
  <c r="HD36" i="55"/>
  <c r="HB36" i="55"/>
  <c r="HC36" i="55" s="1"/>
  <c r="HA37" i="55"/>
  <c r="HH33" i="55"/>
  <c r="IF31" i="55"/>
  <c r="IG31" i="55" s="1"/>
  <c r="JR31" i="55"/>
  <c r="AK35" i="55"/>
  <c r="HE35" i="55"/>
  <c r="JA32" i="55"/>
  <c r="HO32" i="55"/>
  <c r="IH32" i="55" s="1"/>
  <c r="HP32" i="55"/>
  <c r="IZ32" i="55" s="1"/>
  <c r="HR32" i="55"/>
  <c r="HH34" i="55" l="1"/>
  <c r="HI34" i="55" s="1"/>
  <c r="HD37" i="55"/>
  <c r="HB37" i="55"/>
  <c r="HC37" i="55" s="1"/>
  <c r="HA38" i="55"/>
  <c r="HJ33" i="55"/>
  <c r="HI33" i="55"/>
  <c r="AK36" i="55"/>
  <c r="HE36" i="55"/>
  <c r="JQ34" i="55"/>
  <c r="JS32" i="55"/>
  <c r="N32" i="55"/>
  <c r="JS31" i="55"/>
  <c r="N31" i="55"/>
  <c r="HF35" i="55"/>
  <c r="HG35" i="55" s="1"/>
  <c r="JR34" i="55" l="1"/>
  <c r="HJ34" i="55"/>
  <c r="IF34" i="55" s="1"/>
  <c r="IG34" i="55" s="1"/>
  <c r="JQ35" i="55"/>
  <c r="HF36" i="55"/>
  <c r="HG36" i="55" s="1"/>
  <c r="IF33" i="55"/>
  <c r="IG33" i="55" s="1"/>
  <c r="JR33" i="55"/>
  <c r="JA33" i="55"/>
  <c r="HO33" i="55"/>
  <c r="IH33" i="55" s="1"/>
  <c r="HP33" i="55"/>
  <c r="IZ33" i="55" s="1"/>
  <c r="HR33" i="55"/>
  <c r="HK33" i="55"/>
  <c r="HK34" i="55" s="1"/>
  <c r="AK37" i="55"/>
  <c r="HE37" i="55"/>
  <c r="HD38" i="55"/>
  <c r="HB38" i="55"/>
  <c r="HC38" i="55" s="1"/>
  <c r="HA39" i="55"/>
  <c r="HP34" i="55"/>
  <c r="IZ34" i="55" s="1"/>
  <c r="HR34" i="55"/>
  <c r="HO34" i="55"/>
  <c r="HH35" i="55"/>
  <c r="IH34" i="55" l="1"/>
  <c r="JS34" i="55" s="1"/>
  <c r="JA34" i="55"/>
  <c r="AK38" i="55"/>
  <c r="HE38" i="55"/>
  <c r="HF37" i="55"/>
  <c r="HG37" i="55" s="1"/>
  <c r="HD39" i="55"/>
  <c r="HB39" i="55"/>
  <c r="HC39" i="55" s="1"/>
  <c r="HA40" i="55"/>
  <c r="JS33" i="55"/>
  <c r="N33" i="55"/>
  <c r="HI35" i="55"/>
  <c r="HJ35" i="55"/>
  <c r="JQ36" i="55"/>
  <c r="HH36" i="55"/>
  <c r="N34" i="55" l="1"/>
  <c r="IF35" i="55"/>
  <c r="IG35" i="55" s="1"/>
  <c r="JR35" i="55"/>
  <c r="HD40" i="55"/>
  <c r="HB40" i="55"/>
  <c r="HC40" i="55" s="1"/>
  <c r="HA41" i="55"/>
  <c r="JQ37" i="55"/>
  <c r="HJ36" i="55"/>
  <c r="HI36" i="55"/>
  <c r="JA35" i="55"/>
  <c r="HO35" i="55"/>
  <c r="IH35" i="55" s="1"/>
  <c r="HK35" i="55"/>
  <c r="HR35" i="55"/>
  <c r="HP35" i="55"/>
  <c r="IZ35" i="55" s="1"/>
  <c r="AK39" i="55"/>
  <c r="HE39" i="55"/>
  <c r="HH37" i="55"/>
  <c r="HF38" i="55"/>
  <c r="HG38" i="55" s="1"/>
  <c r="HH38" i="55"/>
  <c r="HF39" i="55" l="1"/>
  <c r="HG39" i="55" s="1"/>
  <c r="HJ38" i="55"/>
  <c r="HI38" i="55"/>
  <c r="IF38" i="55" s="1"/>
  <c r="IG38" i="55" s="1"/>
  <c r="IF36" i="55"/>
  <c r="IG36" i="55" s="1"/>
  <c r="JR36" i="55"/>
  <c r="JA36" i="55"/>
  <c r="HR36" i="55"/>
  <c r="HK36" i="55"/>
  <c r="HP36" i="55"/>
  <c r="IZ36" i="55" s="1"/>
  <c r="HO36" i="55"/>
  <c r="IH36" i="55" s="1"/>
  <c r="AK40" i="55"/>
  <c r="HE40" i="55"/>
  <c r="JQ38" i="55"/>
  <c r="JR38" i="55"/>
  <c r="JS35" i="55"/>
  <c r="N35" i="55"/>
  <c r="HD41" i="55"/>
  <c r="HB41" i="55"/>
  <c r="HC41" i="55" s="1"/>
  <c r="HA42" i="55"/>
  <c r="HJ37" i="55"/>
  <c r="HI37" i="55"/>
  <c r="HF40" i="55" l="1"/>
  <c r="HG40" i="55" s="1"/>
  <c r="IF37" i="55"/>
  <c r="IG37" i="55" s="1"/>
  <c r="JR37" i="55"/>
  <c r="JA37" i="55"/>
  <c r="HP37" i="55"/>
  <c r="IZ37" i="55" s="1"/>
  <c r="HK37" i="55"/>
  <c r="HR37" i="55"/>
  <c r="HO37" i="55"/>
  <c r="IH37" i="55" s="1"/>
  <c r="JA38" i="55"/>
  <c r="HK38" i="55"/>
  <c r="HR38" i="55"/>
  <c r="HP38" i="55"/>
  <c r="IZ38" i="55" s="1"/>
  <c r="HO38" i="55"/>
  <c r="IH38" i="55" s="1"/>
  <c r="AK41" i="55"/>
  <c r="HE41" i="55"/>
  <c r="JQ39" i="55"/>
  <c r="JS36" i="55"/>
  <c r="N36" i="55"/>
  <c r="HD42" i="55"/>
  <c r="HB42" i="55"/>
  <c r="HC42" i="55" s="1"/>
  <c r="HA43" i="55"/>
  <c r="HH39" i="55"/>
  <c r="JS38" i="55" l="1"/>
  <c r="N38" i="55"/>
  <c r="HI39" i="55"/>
  <c r="HJ39" i="55"/>
  <c r="HF41" i="55"/>
  <c r="HG41" i="55" s="1"/>
  <c r="JS37" i="55"/>
  <c r="N37" i="55"/>
  <c r="AK42" i="55"/>
  <c r="HE42" i="55"/>
  <c r="HD43" i="55"/>
  <c r="HB43" i="55"/>
  <c r="HC43" i="55" s="1"/>
  <c r="HA44" i="55"/>
  <c r="JQ40" i="55"/>
  <c r="HH40" i="55"/>
  <c r="HI40" i="55" l="1"/>
  <c r="HJ40" i="55"/>
  <c r="AK43" i="55"/>
  <c r="HE43" i="55"/>
  <c r="HF42" i="55"/>
  <c r="HG42" i="55" s="1"/>
  <c r="JQ41" i="55"/>
  <c r="JA39" i="55"/>
  <c r="HP39" i="55"/>
  <c r="IZ39" i="55" s="1"/>
  <c r="HO39" i="55"/>
  <c r="IH39" i="55" s="1"/>
  <c r="HR39" i="55"/>
  <c r="HK39" i="55"/>
  <c r="IF39" i="55"/>
  <c r="IG39" i="55" s="1"/>
  <c r="JR39" i="55"/>
  <c r="HH41" i="55"/>
  <c r="HD44" i="55"/>
  <c r="HB44" i="55"/>
  <c r="HC44" i="55" s="1"/>
  <c r="HA45" i="55"/>
  <c r="HF43" i="55" l="1"/>
  <c r="HG43" i="55" s="1"/>
  <c r="JS39" i="55"/>
  <c r="N39" i="55"/>
  <c r="JQ42" i="55"/>
  <c r="HH42" i="55"/>
  <c r="HK40" i="55"/>
  <c r="HP40" i="55"/>
  <c r="IZ40" i="55" s="1"/>
  <c r="JA40" i="55"/>
  <c r="HR40" i="55"/>
  <c r="HO40" i="55"/>
  <c r="IH40" i="55" s="1"/>
  <c r="HI41" i="55"/>
  <c r="HJ41" i="55"/>
  <c r="HD45" i="55"/>
  <c r="HB45" i="55"/>
  <c r="HC45" i="55" s="1"/>
  <c r="HA46" i="55"/>
  <c r="AK44" i="55"/>
  <c r="HE44" i="55"/>
  <c r="IF40" i="55"/>
  <c r="IG40" i="55" s="1"/>
  <c r="JR40" i="55"/>
  <c r="HH43" i="55" l="1"/>
  <c r="HI43" i="55" s="1"/>
  <c r="JR43" i="55" s="1"/>
  <c r="HJ43" i="55"/>
  <c r="AK45" i="55"/>
  <c r="HE45" i="55"/>
  <c r="IF41" i="55"/>
  <c r="IG41" i="55" s="1"/>
  <c r="JR41" i="55"/>
  <c r="HF44" i="55"/>
  <c r="HG44" i="55" s="1"/>
  <c r="HH44" i="55" s="1"/>
  <c r="JA41" i="55"/>
  <c r="HO41" i="55"/>
  <c r="IH41" i="55" s="1"/>
  <c r="HP41" i="55"/>
  <c r="IZ41" i="55" s="1"/>
  <c r="HR41" i="55"/>
  <c r="HK41" i="55"/>
  <c r="HJ42" i="55"/>
  <c r="HI42" i="55"/>
  <c r="JS40" i="55"/>
  <c r="N40" i="55"/>
  <c r="HD46" i="55"/>
  <c r="HB46" i="55"/>
  <c r="HC46" i="55" s="1"/>
  <c r="HA47" i="55"/>
  <c r="JQ43" i="55"/>
  <c r="HI44" i="55" l="1"/>
  <c r="HJ44" i="55"/>
  <c r="JA42" i="55"/>
  <c r="HR42" i="55"/>
  <c r="HK42" i="55"/>
  <c r="HO42" i="55"/>
  <c r="IH42" i="55" s="1"/>
  <c r="HP42" i="55"/>
  <c r="IZ42" i="55" s="1"/>
  <c r="JS41" i="55"/>
  <c r="N41" i="55"/>
  <c r="IF42" i="55"/>
  <c r="IG42" i="55" s="1"/>
  <c r="JR42" i="55"/>
  <c r="JQ44" i="55"/>
  <c r="JR44" i="55"/>
  <c r="HF45" i="55"/>
  <c r="HG45" i="55" s="1"/>
  <c r="HH45" i="55" s="1"/>
  <c r="AK46" i="55"/>
  <c r="HE46" i="55"/>
  <c r="JA43" i="55"/>
  <c r="HR43" i="55"/>
  <c r="HO43" i="55"/>
  <c r="IH43" i="55" s="1"/>
  <c r="HP43" i="55"/>
  <c r="IZ43" i="55" s="1"/>
  <c r="HK43" i="55"/>
  <c r="HD47" i="55"/>
  <c r="HB47" i="55"/>
  <c r="HC47" i="55" s="1"/>
  <c r="HA48" i="55"/>
  <c r="IF43" i="55"/>
  <c r="IG43" i="55" s="1"/>
  <c r="HJ45" i="55" l="1"/>
  <c r="HI45" i="55"/>
  <c r="JS42" i="55"/>
  <c r="N42" i="55"/>
  <c r="JS43" i="55"/>
  <c r="N43" i="55"/>
  <c r="JR45" i="55"/>
  <c r="JQ45" i="55"/>
  <c r="HD48" i="55"/>
  <c r="HB48" i="55"/>
  <c r="HC48" i="55" s="1"/>
  <c r="HA49" i="55"/>
  <c r="AK47" i="55"/>
  <c r="HE47" i="55"/>
  <c r="JA44" i="55"/>
  <c r="HR44" i="55"/>
  <c r="HO44" i="55"/>
  <c r="IH44" i="55" s="1"/>
  <c r="HK44" i="55"/>
  <c r="HP44" i="55"/>
  <c r="IZ44" i="55" s="1"/>
  <c r="HF46" i="55"/>
  <c r="HG46" i="55" s="1"/>
  <c r="IF44" i="55"/>
  <c r="IG44" i="55" s="1"/>
  <c r="JS44" i="55" l="1"/>
  <c r="N44" i="55"/>
  <c r="HF47" i="55"/>
  <c r="HG47" i="55" s="1"/>
  <c r="AK48" i="55"/>
  <c r="HE48" i="55"/>
  <c r="HD49" i="55"/>
  <c r="HB49" i="55"/>
  <c r="HC49" i="55" s="1"/>
  <c r="HA50" i="55"/>
  <c r="JQ46" i="55"/>
  <c r="HH46" i="55"/>
  <c r="IF45" i="55"/>
  <c r="IG45" i="55" s="1"/>
  <c r="JA45" i="55"/>
  <c r="HR45" i="55"/>
  <c r="HO45" i="55"/>
  <c r="IH45" i="55" s="1"/>
  <c r="HK45" i="55"/>
  <c r="HP45" i="55"/>
  <c r="IZ45" i="55" s="1"/>
  <c r="HH47" i="55" l="1"/>
  <c r="HI47" i="55" s="1"/>
  <c r="JR47" i="55" s="1"/>
  <c r="AK49" i="55"/>
  <c r="HE49" i="55"/>
  <c r="HF48" i="55"/>
  <c r="HG48" i="55" s="1"/>
  <c r="HB50" i="55"/>
  <c r="HC50" i="55" s="1"/>
  <c r="HD50" i="55"/>
  <c r="HA51" i="55"/>
  <c r="JQ47" i="55"/>
  <c r="JS45" i="55"/>
  <c r="N45" i="55"/>
  <c r="HJ46" i="55"/>
  <c r="HI46" i="55"/>
  <c r="HJ47" i="55" l="1"/>
  <c r="HB51" i="55"/>
  <c r="HC51" i="55" s="1"/>
  <c r="HD51" i="55"/>
  <c r="HA52" i="55"/>
  <c r="JQ48" i="55"/>
  <c r="HF49" i="55"/>
  <c r="HG49" i="55" s="1"/>
  <c r="JA47" i="55"/>
  <c r="HP47" i="55"/>
  <c r="IZ47" i="55" s="1"/>
  <c r="HR47" i="55"/>
  <c r="HO47" i="55"/>
  <c r="IH47" i="55" s="1"/>
  <c r="IF46" i="55"/>
  <c r="IG46" i="55" s="1"/>
  <c r="JR46" i="55"/>
  <c r="JA46" i="55"/>
  <c r="HP46" i="55"/>
  <c r="IZ46" i="55" s="1"/>
  <c r="HK46" i="55"/>
  <c r="HK47" i="55" s="1"/>
  <c r="HR46" i="55"/>
  <c r="HO46" i="55"/>
  <c r="IH46" i="55" s="1"/>
  <c r="AK50" i="55"/>
  <c r="HE50" i="55"/>
  <c r="HH48" i="55"/>
  <c r="IF47" i="55"/>
  <c r="IG47" i="55" s="1"/>
  <c r="JQ49" i="55" l="1"/>
  <c r="JS46" i="55"/>
  <c r="N46" i="55"/>
  <c r="HB52" i="55"/>
  <c r="HC52" i="55" s="1"/>
  <c r="HD52" i="55"/>
  <c r="HA53" i="55"/>
  <c r="HH49" i="55"/>
  <c r="HF50" i="55"/>
  <c r="HG50" i="55" s="1"/>
  <c r="AK51" i="55"/>
  <c r="HE51" i="55"/>
  <c r="JS47" i="55"/>
  <c r="N47" i="55"/>
  <c r="HI48" i="55"/>
  <c r="HJ48" i="55"/>
  <c r="HJ49" i="55" l="1"/>
  <c r="HI49" i="55"/>
  <c r="JA48" i="55"/>
  <c r="HO48" i="55"/>
  <c r="IH48" i="55" s="1"/>
  <c r="HR48" i="55"/>
  <c r="HK48" i="55"/>
  <c r="HP48" i="55"/>
  <c r="IZ48" i="55" s="1"/>
  <c r="HB53" i="55"/>
  <c r="HC53" i="55" s="1"/>
  <c r="HD53" i="55"/>
  <c r="HA54" i="55"/>
  <c r="JQ50" i="55"/>
  <c r="HH50" i="55"/>
  <c r="AK52" i="55"/>
  <c r="HE52" i="55"/>
  <c r="IF48" i="55"/>
  <c r="IG48" i="55" s="1"/>
  <c r="JR48" i="55"/>
  <c r="HF51" i="55"/>
  <c r="HG51" i="55" s="1"/>
  <c r="HJ50" i="55" l="1"/>
  <c r="HI50" i="55"/>
  <c r="HF52" i="55"/>
  <c r="HG52" i="55" s="1"/>
  <c r="AK53" i="55"/>
  <c r="HE53" i="55"/>
  <c r="HD54" i="55"/>
  <c r="HB54" i="55"/>
  <c r="HC54" i="55" s="1"/>
  <c r="HA55" i="55"/>
  <c r="JQ51" i="55"/>
  <c r="IF49" i="55"/>
  <c r="IG49" i="55" s="1"/>
  <c r="JR49" i="55"/>
  <c r="JS48" i="55"/>
  <c r="N48" i="55"/>
  <c r="HH51" i="55"/>
  <c r="HO49" i="55"/>
  <c r="IH49" i="55" s="1"/>
  <c r="HP49" i="55"/>
  <c r="IZ49" i="55" s="1"/>
  <c r="JA49" i="55"/>
  <c r="HR49" i="55"/>
  <c r="HK49" i="55"/>
  <c r="HJ51" i="55" l="1"/>
  <c r="HI51" i="55"/>
  <c r="HD55" i="55"/>
  <c r="HB55" i="55"/>
  <c r="HC55" i="55" s="1"/>
  <c r="HA56" i="55"/>
  <c r="JQ52" i="55"/>
  <c r="AK54" i="55"/>
  <c r="HE54" i="55"/>
  <c r="HF53" i="55"/>
  <c r="HG53" i="55" s="1"/>
  <c r="HH53" i="55" s="1"/>
  <c r="HH52" i="55"/>
  <c r="IF50" i="55"/>
  <c r="IG50" i="55" s="1"/>
  <c r="JR50" i="55"/>
  <c r="JS49" i="55"/>
  <c r="N49" i="55"/>
  <c r="JA50" i="55"/>
  <c r="HR50" i="55"/>
  <c r="HO50" i="55"/>
  <c r="IH50" i="55" s="1"/>
  <c r="HK50" i="55"/>
  <c r="HP50" i="55"/>
  <c r="IZ50" i="55" s="1"/>
  <c r="HJ53" i="55" l="1"/>
  <c r="HI53" i="55"/>
  <c r="JS50" i="55"/>
  <c r="N50" i="55"/>
  <c r="HJ52" i="55"/>
  <c r="HI52" i="55"/>
  <c r="HD56" i="55"/>
  <c r="HB56" i="55"/>
  <c r="HC56" i="55" s="1"/>
  <c r="HA57" i="55"/>
  <c r="AK55" i="55"/>
  <c r="HE55" i="55"/>
  <c r="IF51" i="55"/>
  <c r="IG51" i="55" s="1"/>
  <c r="JR51" i="55"/>
  <c r="JQ53" i="55"/>
  <c r="JR53" i="55"/>
  <c r="HF54" i="55"/>
  <c r="HG54" i="55" s="1"/>
  <c r="JA51" i="55"/>
  <c r="HO51" i="55"/>
  <c r="IH51" i="55" s="1"/>
  <c r="HR51" i="55"/>
  <c r="HK51" i="55"/>
  <c r="HP51" i="55"/>
  <c r="IZ51" i="55" s="1"/>
  <c r="HD57" i="55" l="1"/>
  <c r="HB57" i="55"/>
  <c r="HC57" i="55" s="1"/>
  <c r="HA58" i="55"/>
  <c r="JQ54" i="55"/>
  <c r="HF55" i="55"/>
  <c r="HG55" i="55" s="1"/>
  <c r="HH55" i="55" s="1"/>
  <c r="JS51" i="55"/>
  <c r="N51" i="55"/>
  <c r="IF53" i="55"/>
  <c r="IG53" i="55" s="1"/>
  <c r="AK56" i="55"/>
  <c r="HE56" i="55"/>
  <c r="IF52" i="55"/>
  <c r="IG52" i="55" s="1"/>
  <c r="JR52" i="55"/>
  <c r="JA52" i="55"/>
  <c r="HO52" i="55"/>
  <c r="IH52" i="55" s="1"/>
  <c r="HK52" i="55"/>
  <c r="HR52" i="55"/>
  <c r="HP52" i="55"/>
  <c r="IZ52" i="55" s="1"/>
  <c r="HH54" i="55"/>
  <c r="JA53" i="55"/>
  <c r="HO53" i="55"/>
  <c r="IH53" i="55" s="1"/>
  <c r="HP53" i="55"/>
  <c r="IZ53" i="55" s="1"/>
  <c r="HK53" i="55"/>
  <c r="HR53" i="55"/>
  <c r="HI55" i="55" l="1"/>
  <c r="HJ55" i="55"/>
  <c r="IL55" i="55"/>
  <c r="IM55" i="55" s="1"/>
  <c r="JS52" i="55"/>
  <c r="N52" i="55"/>
  <c r="HF56" i="55"/>
  <c r="HG56" i="55" s="1"/>
  <c r="HH56" i="55" s="1"/>
  <c r="HD58" i="55"/>
  <c r="HB58" i="55"/>
  <c r="HC58" i="55" s="1"/>
  <c r="HA59" i="55"/>
  <c r="JS53" i="55"/>
  <c r="N53" i="55"/>
  <c r="HI54" i="55"/>
  <c r="HJ54" i="55"/>
  <c r="IL54" i="55"/>
  <c r="IM54" i="55" s="1"/>
  <c r="JR55" i="55"/>
  <c r="JQ55" i="55"/>
  <c r="AK57" i="55"/>
  <c r="HE57" i="55"/>
  <c r="HI56" i="55" l="1"/>
  <c r="HJ56" i="55"/>
  <c r="IL56" i="55"/>
  <c r="IM56" i="55" s="1"/>
  <c r="IX55" i="55" a="1"/>
  <c r="IX55" i="55" s="1"/>
  <c r="IY55" i="55" s="1"/>
  <c r="IN55" i="55" a="1"/>
  <c r="IN55" i="55" s="1"/>
  <c r="IO55" i="55" s="1"/>
  <c r="IV55" i="55" a="1"/>
  <c r="IV55" i="55" s="1"/>
  <c r="IW55" i="55" s="1"/>
  <c r="IT55" i="55" a="1"/>
  <c r="IT55" i="55" s="1"/>
  <c r="IU55" i="55" s="1"/>
  <c r="IR55" i="55" a="1"/>
  <c r="IR55" i="55" s="1"/>
  <c r="IS55" i="55" s="1"/>
  <c r="IP55" i="55" a="1"/>
  <c r="IP55" i="55" s="1"/>
  <c r="IQ55" i="55" s="1"/>
  <c r="IX54" i="55" a="1"/>
  <c r="IX54" i="55" s="1"/>
  <c r="IY54" i="55" s="1"/>
  <c r="IN54" i="55" a="1"/>
  <c r="IN54" i="55" s="1"/>
  <c r="IO54" i="55" s="1"/>
  <c r="IT54" i="55" a="1"/>
  <c r="IT54" i="55" s="1"/>
  <c r="IU54" i="55" s="1"/>
  <c r="IR54" i="55" a="1"/>
  <c r="IR54" i="55" s="1"/>
  <c r="IS54" i="55" s="1"/>
  <c r="IV54" i="55" a="1"/>
  <c r="IV54" i="55" s="1"/>
  <c r="IW54" i="55" s="1"/>
  <c r="IP54" i="55" a="1"/>
  <c r="IP54" i="55" s="1"/>
  <c r="IQ54" i="55" s="1"/>
  <c r="JA54" i="55"/>
  <c r="HP54" i="55"/>
  <c r="IZ54" i="55" s="1"/>
  <c r="HO54" i="55"/>
  <c r="IH54" i="55" s="1"/>
  <c r="HK54" i="55"/>
  <c r="HR54" i="55"/>
  <c r="IF54" i="55"/>
  <c r="IG54" i="55" s="1"/>
  <c r="JR54" i="55"/>
  <c r="AK58" i="55"/>
  <c r="HE58" i="55"/>
  <c r="JA55" i="55"/>
  <c r="HP55" i="55"/>
  <c r="IZ55" i="55" s="1"/>
  <c r="HO55" i="55"/>
  <c r="IH55" i="55" s="1"/>
  <c r="HK55" i="55"/>
  <c r="HR55" i="55"/>
  <c r="HB59" i="55"/>
  <c r="HC59" i="55" s="1"/>
  <c r="HD59" i="55"/>
  <c r="HA60" i="55"/>
  <c r="JR56" i="55"/>
  <c r="JQ56" i="55"/>
  <c r="HF57" i="55"/>
  <c r="HG57" i="55" s="1"/>
  <c r="IF55" i="55"/>
  <c r="IG55" i="55" s="1"/>
  <c r="IF56" i="55" l="1"/>
  <c r="IG56" i="55" s="1"/>
  <c r="HF58" i="55"/>
  <c r="HG58" i="55" s="1"/>
  <c r="HB60" i="55"/>
  <c r="HC60" i="55" s="1"/>
  <c r="HD60" i="55"/>
  <c r="HA61" i="55"/>
  <c r="JS55" i="55"/>
  <c r="N55" i="55"/>
  <c r="JQ57" i="55"/>
  <c r="IV56" i="55" a="1"/>
  <c r="IV56" i="55" s="1"/>
  <c r="IW56" i="55" s="1"/>
  <c r="IX56" i="55" a="1"/>
  <c r="IX56" i="55" s="1"/>
  <c r="IY56" i="55" s="1"/>
  <c r="IP56" i="55" a="1"/>
  <c r="IP56" i="55" s="1"/>
  <c r="IQ56" i="55" s="1"/>
  <c r="IT56" i="55" a="1"/>
  <c r="IT56" i="55" s="1"/>
  <c r="IU56" i="55" s="1"/>
  <c r="IR56" i="55" a="1"/>
  <c r="IR56" i="55" s="1"/>
  <c r="IS56" i="55" s="1"/>
  <c r="IN56" i="55" a="1"/>
  <c r="IN56" i="55" s="1"/>
  <c r="IO56" i="55" s="1"/>
  <c r="JS54" i="55"/>
  <c r="N54" i="55"/>
  <c r="HP56" i="55"/>
  <c r="IZ56" i="55" s="1"/>
  <c r="HK56" i="55"/>
  <c r="JA56" i="55"/>
  <c r="HR56" i="55"/>
  <c r="HO56" i="55"/>
  <c r="IH56" i="55" s="1"/>
  <c r="AK59" i="55"/>
  <c r="HE59" i="55"/>
  <c r="HH57" i="55"/>
  <c r="JS56" i="55" l="1"/>
  <c r="N56" i="55"/>
  <c r="AK60" i="55"/>
  <c r="HE60" i="55"/>
  <c r="HI57" i="55"/>
  <c r="HJ57" i="55"/>
  <c r="IL57" i="55"/>
  <c r="IM57" i="55" s="1"/>
  <c r="HB61" i="55"/>
  <c r="HC61" i="55" s="1"/>
  <c r="HD61" i="55"/>
  <c r="HA62" i="55"/>
  <c r="JQ58" i="55"/>
  <c r="HF59" i="55"/>
  <c r="HG59" i="55" s="1"/>
  <c r="HH58" i="55"/>
  <c r="HH59" i="55" l="1"/>
  <c r="HI59" i="55" s="1"/>
  <c r="HJ59" i="55"/>
  <c r="IL59" i="55"/>
  <c r="IM59" i="55" s="1"/>
  <c r="AK61" i="55"/>
  <c r="HE61" i="55"/>
  <c r="HF60" i="55"/>
  <c r="HG60" i="55" s="1"/>
  <c r="HJ58" i="55"/>
  <c r="HI58" i="55"/>
  <c r="IL58" i="55"/>
  <c r="IM58" i="55" s="1"/>
  <c r="IV57" i="55" a="1"/>
  <c r="IV57" i="55" s="1"/>
  <c r="IW57" i="55" s="1"/>
  <c r="IN57" i="55" a="1"/>
  <c r="IN57" i="55" s="1"/>
  <c r="IO57" i="55" s="1"/>
  <c r="IX57" i="55" a="1"/>
  <c r="IX57" i="55" s="1"/>
  <c r="IY57" i="55" s="1"/>
  <c r="IP57" i="55" a="1"/>
  <c r="IP57" i="55" s="1"/>
  <c r="IQ57" i="55" s="1"/>
  <c r="IT57" i="55" a="1"/>
  <c r="IT57" i="55" s="1"/>
  <c r="IU57" i="55" s="1"/>
  <c r="IR57" i="55" a="1"/>
  <c r="IR57" i="55" s="1"/>
  <c r="IS57" i="55" s="1"/>
  <c r="JA57" i="55"/>
  <c r="HP57" i="55"/>
  <c r="IZ57" i="55" s="1"/>
  <c r="HO57" i="55"/>
  <c r="IH57" i="55" s="1"/>
  <c r="HR57" i="55"/>
  <c r="HK57" i="55"/>
  <c r="IF57" i="55"/>
  <c r="IG57" i="55" s="1"/>
  <c r="JR57" i="55"/>
  <c r="HB62" i="55"/>
  <c r="HC62" i="55" s="1"/>
  <c r="HD62" i="55"/>
  <c r="HA63" i="55"/>
  <c r="JQ59" i="55"/>
  <c r="IF59" i="55" l="1"/>
  <c r="IG59" i="55" s="1"/>
  <c r="JR59" i="55"/>
  <c r="HD63" i="55"/>
  <c r="HB63" i="55"/>
  <c r="HC63" i="55" s="1"/>
  <c r="HA64" i="55"/>
  <c r="IP58" i="55" a="1"/>
  <c r="IP58" i="55" s="1"/>
  <c r="IQ58" i="55" s="1"/>
  <c r="IV58" i="55" a="1"/>
  <c r="IV58" i="55" s="1"/>
  <c r="IW58" i="55" s="1"/>
  <c r="IN58" i="55" a="1"/>
  <c r="IN58" i="55" s="1"/>
  <c r="IO58" i="55" s="1"/>
  <c r="IX58" i="55" a="1"/>
  <c r="IX58" i="55" s="1"/>
  <c r="IY58" i="55" s="1"/>
  <c r="IR58" i="55" a="1"/>
  <c r="IR58" i="55" s="1"/>
  <c r="IS58" i="55" s="1"/>
  <c r="IT58" i="55" a="1"/>
  <c r="IT58" i="55" s="1"/>
  <c r="IU58" i="55" s="1"/>
  <c r="IF58" i="55"/>
  <c r="IG58" i="55" s="1"/>
  <c r="JR58" i="55"/>
  <c r="JQ60" i="55"/>
  <c r="HH60" i="55"/>
  <c r="HF61" i="55"/>
  <c r="HG61" i="55" s="1"/>
  <c r="HH61" i="55" s="1"/>
  <c r="IX59" i="55" a="1"/>
  <c r="IX59" i="55" s="1"/>
  <c r="IY59" i="55" s="1"/>
  <c r="IV59" i="55" a="1"/>
  <c r="IV59" i="55" s="1"/>
  <c r="IW59" i="55" s="1"/>
  <c r="IP59" i="55" a="1"/>
  <c r="IP59" i="55" s="1"/>
  <c r="IQ59" i="55" s="1"/>
  <c r="IT59" i="55" a="1"/>
  <c r="IT59" i="55" s="1"/>
  <c r="IU59" i="55" s="1"/>
  <c r="IR59" i="55" a="1"/>
  <c r="IR59" i="55" s="1"/>
  <c r="IS59" i="55" s="1"/>
  <c r="IN59" i="55" a="1"/>
  <c r="IN59" i="55" s="1"/>
  <c r="IO59" i="55" s="1"/>
  <c r="JS57" i="55"/>
  <c r="N57" i="55"/>
  <c r="JA59" i="55"/>
  <c r="HR59" i="55"/>
  <c r="HP59" i="55"/>
  <c r="IZ59" i="55" s="1"/>
  <c r="HO59" i="55"/>
  <c r="IH59" i="55" s="1"/>
  <c r="HK59" i="55"/>
  <c r="AK62" i="55"/>
  <c r="HE62" i="55"/>
  <c r="JA58" i="55"/>
  <c r="HR58" i="55"/>
  <c r="HP58" i="55"/>
  <c r="IZ58" i="55" s="1"/>
  <c r="HK58" i="55"/>
  <c r="HO58" i="55"/>
  <c r="IH58" i="55" s="1"/>
  <c r="HI61" i="55" l="1"/>
  <c r="HJ61" i="55"/>
  <c r="IL61" i="55"/>
  <c r="IM61" i="55" s="1"/>
  <c r="JS59" i="55"/>
  <c r="N59" i="55"/>
  <c r="HF62" i="55"/>
  <c r="HG62" i="55" s="1"/>
  <c r="JR61" i="55"/>
  <c r="JQ61" i="55"/>
  <c r="HD64" i="55"/>
  <c r="HB64" i="55"/>
  <c r="HC64" i="55" s="1"/>
  <c r="HA65" i="55"/>
  <c r="JS58" i="55"/>
  <c r="N58" i="55"/>
  <c r="HI60" i="55"/>
  <c r="HJ60" i="55"/>
  <c r="IL60" i="55"/>
  <c r="IM60" i="55" s="1"/>
  <c r="AK63" i="55"/>
  <c r="HE63" i="55"/>
  <c r="JA60" i="55" l="1"/>
  <c r="HR60" i="55"/>
  <c r="HO60" i="55"/>
  <c r="IH60" i="55" s="1"/>
  <c r="HP60" i="55"/>
  <c r="IZ60" i="55" s="1"/>
  <c r="HK60" i="55"/>
  <c r="IF60" i="55"/>
  <c r="IG60" i="55" s="1"/>
  <c r="JR60" i="55"/>
  <c r="AK64" i="55"/>
  <c r="HE64" i="55"/>
  <c r="JQ62" i="55"/>
  <c r="IX61" i="55" a="1"/>
  <c r="IX61" i="55" s="1"/>
  <c r="IY61" i="55" s="1"/>
  <c r="IT61" i="55" a="1"/>
  <c r="IT61" i="55" s="1"/>
  <c r="IU61" i="55" s="1"/>
  <c r="IR61" i="55" a="1"/>
  <c r="IR61" i="55" s="1"/>
  <c r="IS61" i="55" s="1"/>
  <c r="IP61" i="55" a="1"/>
  <c r="IP61" i="55" s="1"/>
  <c r="IQ61" i="55" s="1"/>
  <c r="IN61" i="55" a="1"/>
  <c r="IN61" i="55" s="1"/>
  <c r="IO61" i="55" s="1"/>
  <c r="IV61" i="55" a="1"/>
  <c r="IV61" i="55" s="1"/>
  <c r="IW61" i="55" s="1"/>
  <c r="HH62" i="55"/>
  <c r="JA61" i="55"/>
  <c r="HR61" i="55"/>
  <c r="HP61" i="55"/>
  <c r="IZ61" i="55" s="1"/>
  <c r="HO61" i="55"/>
  <c r="IH61" i="55" s="1"/>
  <c r="HK61" i="55"/>
  <c r="HD65" i="55"/>
  <c r="HB65" i="55"/>
  <c r="HC65" i="55" s="1"/>
  <c r="HA66" i="55"/>
  <c r="HF63" i="55"/>
  <c r="HG63" i="55" s="1"/>
  <c r="HH63" i="55"/>
  <c r="IV60" i="55" a="1"/>
  <c r="IV60" i="55" s="1"/>
  <c r="IW60" i="55" s="1"/>
  <c r="IP60" i="55" a="1"/>
  <c r="IP60" i="55" s="1"/>
  <c r="IQ60" i="55" s="1"/>
  <c r="IX60" i="55" a="1"/>
  <c r="IX60" i="55" s="1"/>
  <c r="IY60" i="55" s="1"/>
  <c r="IT60" i="55" a="1"/>
  <c r="IT60" i="55" s="1"/>
  <c r="IU60" i="55" s="1"/>
  <c r="IR60" i="55" a="1"/>
  <c r="IR60" i="55" s="1"/>
  <c r="IS60" i="55" s="1"/>
  <c r="IN60" i="55" a="1"/>
  <c r="IN60" i="55" s="1"/>
  <c r="IO60" i="55" s="1"/>
  <c r="IF61" i="55"/>
  <c r="IG61" i="55" s="1"/>
  <c r="JQ63" i="55" l="1"/>
  <c r="AK65" i="55"/>
  <c r="HE65" i="55"/>
  <c r="JS60" i="55"/>
  <c r="N60" i="55"/>
  <c r="HJ63" i="55"/>
  <c r="HI63" i="55"/>
  <c r="IF63" i="55" s="1"/>
  <c r="IG63" i="55" s="1"/>
  <c r="IL63" i="55"/>
  <c r="IM63" i="55" s="1"/>
  <c r="HD66" i="55"/>
  <c r="HB66" i="55"/>
  <c r="HC66" i="55" s="1"/>
  <c r="HA67" i="55"/>
  <c r="HF64" i="55"/>
  <c r="HG64" i="55" s="1"/>
  <c r="HH64" i="55" s="1"/>
  <c r="HJ62" i="55"/>
  <c r="HI62" i="55"/>
  <c r="IL62" i="55"/>
  <c r="IM62" i="55" s="1"/>
  <c r="JS61" i="55"/>
  <c r="N61" i="55"/>
  <c r="HI64" i="55" l="1"/>
  <c r="HJ64" i="55"/>
  <c r="IL64" i="55"/>
  <c r="IM64" i="55" s="1"/>
  <c r="IF62" i="55"/>
  <c r="IG62" i="55" s="1"/>
  <c r="JR62" i="55"/>
  <c r="JA62" i="55"/>
  <c r="HP62" i="55"/>
  <c r="IZ62" i="55" s="1"/>
  <c r="HO62" i="55"/>
  <c r="IH62" i="55" s="1"/>
  <c r="HK62" i="55"/>
  <c r="HK63" i="55" s="1"/>
  <c r="HR62" i="55"/>
  <c r="IX63" i="55" a="1"/>
  <c r="IX63" i="55" s="1"/>
  <c r="IY63" i="55" s="1"/>
  <c r="IV63" i="55" a="1"/>
  <c r="IV63" i="55" s="1"/>
  <c r="IW63" i="55" s="1"/>
  <c r="IT63" i="55" a="1"/>
  <c r="IT63" i="55" s="1"/>
  <c r="IU63" i="55" s="1"/>
  <c r="IR63" i="55" a="1"/>
  <c r="IR63" i="55" s="1"/>
  <c r="IS63" i="55" s="1"/>
  <c r="IN63" i="55" a="1"/>
  <c r="IN63" i="55" s="1"/>
  <c r="IO63" i="55" s="1"/>
  <c r="IP63" i="55" a="1"/>
  <c r="IP63" i="55" s="1"/>
  <c r="IQ63" i="55" s="1"/>
  <c r="JA63" i="55"/>
  <c r="HP63" i="55"/>
  <c r="IZ63" i="55" s="1"/>
  <c r="HO63" i="55"/>
  <c r="IH63" i="55" s="1"/>
  <c r="HR63" i="55"/>
  <c r="HF65" i="55"/>
  <c r="HG65" i="55" s="1"/>
  <c r="HH65" i="55" s="1"/>
  <c r="HD67" i="55"/>
  <c r="HB67" i="55"/>
  <c r="HC67" i="55" s="1"/>
  <c r="HA68" i="55"/>
  <c r="JR64" i="55"/>
  <c r="JQ64" i="55"/>
  <c r="AK66" i="55"/>
  <c r="HE66" i="55"/>
  <c r="IX62" i="55" a="1"/>
  <c r="IX62" i="55" s="1"/>
  <c r="IY62" i="55" s="1"/>
  <c r="IT62" i="55" a="1"/>
  <c r="IT62" i="55" s="1"/>
  <c r="IU62" i="55" s="1"/>
  <c r="IR62" i="55" a="1"/>
  <c r="IR62" i="55" s="1"/>
  <c r="IS62" i="55" s="1"/>
  <c r="IN62" i="55" a="1"/>
  <c r="IN62" i="55" s="1"/>
  <c r="IO62" i="55" s="1"/>
  <c r="IP62" i="55" a="1"/>
  <c r="IP62" i="55" s="1"/>
  <c r="IQ62" i="55" s="1"/>
  <c r="IV62" i="55" a="1"/>
  <c r="IV62" i="55" s="1"/>
  <c r="IW62" i="55" s="1"/>
  <c r="JR63" i="55"/>
  <c r="IF64" i="55" l="1"/>
  <c r="IG64" i="55" s="1"/>
  <c r="JS62" i="55"/>
  <c r="N62" i="55"/>
  <c r="JS63" i="55"/>
  <c r="N63" i="55"/>
  <c r="IX64" i="55" a="1"/>
  <c r="IX64" i="55" s="1"/>
  <c r="IY64" i="55" s="1"/>
  <c r="IV64" i="55" a="1"/>
  <c r="IV64" i="55" s="1"/>
  <c r="IW64" i="55" s="1"/>
  <c r="IT64" i="55" a="1"/>
  <c r="IT64" i="55" s="1"/>
  <c r="IU64" i="55" s="1"/>
  <c r="IR64" i="55" a="1"/>
  <c r="IR64" i="55" s="1"/>
  <c r="IS64" i="55" s="1"/>
  <c r="IN64" i="55" a="1"/>
  <c r="IN64" i="55" s="1"/>
  <c r="IO64" i="55" s="1"/>
  <c r="IP64" i="55" a="1"/>
  <c r="IP64" i="55" s="1"/>
  <c r="IQ64" i="55" s="1"/>
  <c r="AK67" i="55"/>
  <c r="HE67" i="55"/>
  <c r="JQ65" i="55"/>
  <c r="JR65" i="55"/>
  <c r="JA64" i="55"/>
  <c r="HO64" i="55"/>
  <c r="IH64" i="55" s="1"/>
  <c r="HR64" i="55"/>
  <c r="HK64" i="55"/>
  <c r="HP64" i="55"/>
  <c r="IZ64" i="55" s="1"/>
  <c r="HF66" i="55"/>
  <c r="HG66" i="55" s="1"/>
  <c r="HH66" i="55" s="1"/>
  <c r="HB68" i="55"/>
  <c r="HC68" i="55" s="1"/>
  <c r="HD68" i="55"/>
  <c r="HA69" i="55"/>
  <c r="HJ65" i="55"/>
  <c r="HI65" i="55"/>
  <c r="IF65" i="55" s="1"/>
  <c r="IG65" i="55" s="1"/>
  <c r="IL65" i="55"/>
  <c r="IM65" i="55" s="1"/>
  <c r="HJ66" i="55" l="1"/>
  <c r="HI66" i="55"/>
  <c r="IL66" i="55"/>
  <c r="IM66" i="55" s="1"/>
  <c r="JS64" i="55"/>
  <c r="N64" i="55"/>
  <c r="AK68" i="55"/>
  <c r="HE68" i="55"/>
  <c r="HF67" i="55"/>
  <c r="HG67" i="55" s="1"/>
  <c r="HH67" i="55" s="1"/>
  <c r="HO65" i="55"/>
  <c r="IH65" i="55" s="1"/>
  <c r="HP65" i="55"/>
  <c r="IZ65" i="55" s="1"/>
  <c r="JA65" i="55"/>
  <c r="HK65" i="55"/>
  <c r="HR65" i="55"/>
  <c r="IX65" i="55" a="1"/>
  <c r="IX65" i="55" s="1"/>
  <c r="IY65" i="55" s="1"/>
  <c r="IT65" i="55" a="1"/>
  <c r="IT65" i="55" s="1"/>
  <c r="IU65" i="55" s="1"/>
  <c r="IR65" i="55" a="1"/>
  <c r="IR65" i="55" s="1"/>
  <c r="IS65" i="55" s="1"/>
  <c r="IN65" i="55" a="1"/>
  <c r="IN65" i="55" s="1"/>
  <c r="IO65" i="55" s="1"/>
  <c r="IV65" i="55" a="1"/>
  <c r="IV65" i="55" s="1"/>
  <c r="IW65" i="55" s="1"/>
  <c r="IP65" i="55" a="1"/>
  <c r="IP65" i="55" s="1"/>
  <c r="IQ65" i="55" s="1"/>
  <c r="HD69" i="55"/>
  <c r="HB69" i="55"/>
  <c r="HC69" i="55" s="1"/>
  <c r="HA70" i="55"/>
  <c r="JR66" i="55"/>
  <c r="JQ66" i="55"/>
  <c r="IF66" i="55" l="1"/>
  <c r="IG66" i="55" s="1"/>
  <c r="HJ67" i="55"/>
  <c r="HI67" i="55"/>
  <c r="IL67" i="55"/>
  <c r="IM67" i="55" s="1"/>
  <c r="HB70" i="55"/>
  <c r="HC70" i="55" s="1"/>
  <c r="HD70" i="55"/>
  <c r="HA71" i="55"/>
  <c r="IR66" i="55" a="1"/>
  <c r="IR66" i="55" s="1"/>
  <c r="IS66" i="55" s="1"/>
  <c r="IV66" i="55" a="1"/>
  <c r="IV66" i="55" s="1"/>
  <c r="IW66" i="55" s="1"/>
  <c r="IT66" i="55" a="1"/>
  <c r="IT66" i="55" s="1"/>
  <c r="IU66" i="55" s="1"/>
  <c r="IN66" i="55" a="1"/>
  <c r="IN66" i="55" s="1"/>
  <c r="IO66" i="55" s="1"/>
  <c r="IX66" i="55" a="1"/>
  <c r="IX66" i="55" s="1"/>
  <c r="IY66" i="55" s="1"/>
  <c r="IP66" i="55" a="1"/>
  <c r="IP66" i="55" s="1"/>
  <c r="IQ66" i="55" s="1"/>
  <c r="JS65" i="55"/>
  <c r="N65" i="55"/>
  <c r="HH68" i="55"/>
  <c r="HF68" i="55"/>
  <c r="HG68" i="55" s="1"/>
  <c r="JQ67" i="55"/>
  <c r="JR67" i="55"/>
  <c r="AK69" i="55"/>
  <c r="HE69" i="55"/>
  <c r="HO66" i="55"/>
  <c r="IH66" i="55" s="1"/>
  <c r="JA66" i="55"/>
  <c r="HK66" i="55"/>
  <c r="HR66" i="55"/>
  <c r="HP66" i="55"/>
  <c r="IZ66" i="55" s="1"/>
  <c r="JQ68" i="55" l="1"/>
  <c r="JS66" i="55"/>
  <c r="N66" i="55"/>
  <c r="HJ68" i="55"/>
  <c r="HI68" i="55"/>
  <c r="IF68" i="55" s="1"/>
  <c r="IG68" i="55" s="1"/>
  <c r="IL68" i="55"/>
  <c r="IM68" i="55" s="1"/>
  <c r="HB71" i="55"/>
  <c r="HC71" i="55" s="1"/>
  <c r="HD71" i="55"/>
  <c r="HA72" i="55"/>
  <c r="IX67" i="55" a="1"/>
  <c r="IX67" i="55" s="1"/>
  <c r="IY67" i="55" s="1"/>
  <c r="IV67" i="55" a="1"/>
  <c r="IV67" i="55" s="1"/>
  <c r="IW67" i="55" s="1"/>
  <c r="IP67" i="55" a="1"/>
  <c r="IP67" i="55" s="1"/>
  <c r="IQ67" i="55" s="1"/>
  <c r="IN67" i="55" a="1"/>
  <c r="IN67" i="55" s="1"/>
  <c r="IO67" i="55" s="1"/>
  <c r="IR67" i="55" a="1"/>
  <c r="IR67" i="55" s="1"/>
  <c r="IS67" i="55" s="1"/>
  <c r="IT67" i="55" a="1"/>
  <c r="IT67" i="55" s="1"/>
  <c r="IU67" i="55" s="1"/>
  <c r="IF67" i="55"/>
  <c r="IG67" i="55" s="1"/>
  <c r="AK70" i="55"/>
  <c r="HE70" i="55"/>
  <c r="HF69" i="55"/>
  <c r="HG69" i="55" s="1"/>
  <c r="HH69" i="55"/>
  <c r="JA67" i="55"/>
  <c r="HO67" i="55"/>
  <c r="IH67" i="55" s="1"/>
  <c r="HR67" i="55"/>
  <c r="HK67" i="55"/>
  <c r="HP67" i="55"/>
  <c r="IZ67" i="55" s="1"/>
  <c r="JS67" i="55" l="1"/>
  <c r="N67" i="55"/>
  <c r="HF70" i="55"/>
  <c r="HG70" i="55" s="1"/>
  <c r="HH70" i="55"/>
  <c r="HB72" i="55"/>
  <c r="HC72" i="55" s="1"/>
  <c r="HD72" i="55"/>
  <c r="HA73" i="55"/>
  <c r="AK71" i="55"/>
  <c r="HE71" i="55"/>
  <c r="HJ69" i="55"/>
  <c r="HI69" i="55"/>
  <c r="IF69" i="55" s="1"/>
  <c r="IG69" i="55" s="1"/>
  <c r="IL69" i="55"/>
  <c r="IM69" i="55" s="1"/>
  <c r="JA68" i="55"/>
  <c r="HO68" i="55"/>
  <c r="IH68" i="55" s="1"/>
  <c r="HR68" i="55"/>
  <c r="HK68" i="55"/>
  <c r="HP68" i="55"/>
  <c r="IZ68" i="55" s="1"/>
  <c r="IV68" i="55" a="1"/>
  <c r="IV68" i="55" s="1"/>
  <c r="IW68" i="55" s="1"/>
  <c r="IX68" i="55" a="1"/>
  <c r="IX68" i="55" s="1"/>
  <c r="IY68" i="55" s="1"/>
  <c r="IP68" i="55" a="1"/>
  <c r="IP68" i="55" s="1"/>
  <c r="IQ68" i="55" s="1"/>
  <c r="IN68" i="55" a="1"/>
  <c r="IN68" i="55" s="1"/>
  <c r="IO68" i="55" s="1"/>
  <c r="IT68" i="55" a="1"/>
  <c r="IT68" i="55" s="1"/>
  <c r="IU68" i="55" s="1"/>
  <c r="IR68" i="55" a="1"/>
  <c r="IR68" i="55" s="1"/>
  <c r="IS68" i="55" s="1"/>
  <c r="JQ69" i="55"/>
  <c r="JR68" i="55"/>
  <c r="JS68" i="55" l="1"/>
  <c r="N68" i="55"/>
  <c r="IV69" i="55" a="1"/>
  <c r="IV69" i="55" s="1"/>
  <c r="IW69" i="55" s="1"/>
  <c r="IR69" i="55" a="1"/>
  <c r="IR69" i="55" s="1"/>
  <c r="IS69" i="55" s="1"/>
  <c r="IT69" i="55" a="1"/>
  <c r="IT69" i="55" s="1"/>
  <c r="IU69" i="55" s="1"/>
  <c r="IN69" i="55" a="1"/>
  <c r="IN69" i="55" s="1"/>
  <c r="IO69" i="55" s="1"/>
  <c r="IX69" i="55" a="1"/>
  <c r="IX69" i="55" s="1"/>
  <c r="IY69" i="55" s="1"/>
  <c r="IP69" i="55" a="1"/>
  <c r="IP69" i="55" s="1"/>
  <c r="IQ69" i="55" s="1"/>
  <c r="HF71" i="55"/>
  <c r="HG71" i="55" s="1"/>
  <c r="JR69" i="55"/>
  <c r="HB73" i="55"/>
  <c r="HC73" i="55" s="1"/>
  <c r="HD73" i="55"/>
  <c r="HA74" i="55"/>
  <c r="AK72" i="55"/>
  <c r="HE72" i="55"/>
  <c r="HJ70" i="55"/>
  <c r="HI70" i="55"/>
  <c r="IL70" i="55"/>
  <c r="IM70" i="55" s="1"/>
  <c r="JA69" i="55"/>
  <c r="HR69" i="55"/>
  <c r="HO69" i="55"/>
  <c r="IH69" i="55" s="1"/>
  <c r="HP69" i="55"/>
  <c r="IZ69" i="55" s="1"/>
  <c r="HK69" i="55"/>
  <c r="JQ70" i="55"/>
  <c r="JR70" i="55"/>
  <c r="IF70" i="55" l="1"/>
  <c r="IG70" i="55" s="1"/>
  <c r="HD74" i="55"/>
  <c r="HB74" i="55"/>
  <c r="HC74" i="55" s="1"/>
  <c r="HA75" i="55"/>
  <c r="HF72" i="55"/>
  <c r="HG72" i="55" s="1"/>
  <c r="AK73" i="55"/>
  <c r="HE73" i="55"/>
  <c r="JQ71" i="55"/>
  <c r="HH71" i="55"/>
  <c r="IT70" i="55" a="1"/>
  <c r="IT70" i="55" s="1"/>
  <c r="IU70" i="55" s="1"/>
  <c r="IR70" i="55" a="1"/>
  <c r="IR70" i="55" s="1"/>
  <c r="IS70" i="55" s="1"/>
  <c r="IN70" i="55" a="1"/>
  <c r="IN70" i="55" s="1"/>
  <c r="IO70" i="55" s="1"/>
  <c r="IP70" i="55" a="1"/>
  <c r="IP70" i="55" s="1"/>
  <c r="IQ70" i="55" s="1"/>
  <c r="IV70" i="55" a="1"/>
  <c r="IV70" i="55" s="1"/>
  <c r="IW70" i="55" s="1"/>
  <c r="IX70" i="55" a="1"/>
  <c r="IX70" i="55" s="1"/>
  <c r="IY70" i="55" s="1"/>
  <c r="JS69" i="55"/>
  <c r="N69" i="55"/>
  <c r="JA70" i="55"/>
  <c r="HR70" i="55"/>
  <c r="HO70" i="55"/>
  <c r="IH70" i="55" s="1"/>
  <c r="HK70" i="55"/>
  <c r="HP70" i="55"/>
  <c r="IZ70" i="55" s="1"/>
  <c r="HF73" i="55" l="1"/>
  <c r="HG73" i="55" s="1"/>
  <c r="HD75" i="55"/>
  <c r="HB75" i="55"/>
  <c r="HC75" i="55" s="1"/>
  <c r="HA76" i="55"/>
  <c r="JS70" i="55"/>
  <c r="N70" i="55"/>
  <c r="JQ72" i="55"/>
  <c r="HJ71" i="55"/>
  <c r="HI71" i="55"/>
  <c r="IL71" i="55"/>
  <c r="IM71" i="55" s="1"/>
  <c r="HH72" i="55"/>
  <c r="AK74" i="55"/>
  <c r="HE74" i="55"/>
  <c r="HH73" i="55" l="1"/>
  <c r="HJ73" i="55" s="1"/>
  <c r="HF74" i="55"/>
  <c r="HG74" i="55" s="1"/>
  <c r="HR71" i="55"/>
  <c r="JA71" i="55"/>
  <c r="HO71" i="55"/>
  <c r="IH71" i="55" s="1"/>
  <c r="HK71" i="55"/>
  <c r="HP71" i="55"/>
  <c r="IZ71" i="55" s="1"/>
  <c r="IX71" i="55" a="1"/>
  <c r="IX71" i="55" s="1"/>
  <c r="IY71" i="55" s="1"/>
  <c r="IT71" i="55" a="1"/>
  <c r="IT71" i="55" s="1"/>
  <c r="IU71" i="55" s="1"/>
  <c r="IR71" i="55" a="1"/>
  <c r="IR71" i="55" s="1"/>
  <c r="IS71" i="55" s="1"/>
  <c r="IN71" i="55" a="1"/>
  <c r="IN71" i="55" s="1"/>
  <c r="IO71" i="55" s="1"/>
  <c r="IP71" i="55" a="1"/>
  <c r="IP71" i="55" s="1"/>
  <c r="IQ71" i="55" s="1"/>
  <c r="IV71" i="55" a="1"/>
  <c r="IV71" i="55" s="1"/>
  <c r="IW71" i="55" s="1"/>
  <c r="AK75" i="55"/>
  <c r="HE75" i="55"/>
  <c r="HI72" i="55"/>
  <c r="HJ72" i="55"/>
  <c r="IL72" i="55"/>
  <c r="IM72" i="55" s="1"/>
  <c r="IF71" i="55"/>
  <c r="IG71" i="55" s="1"/>
  <c r="JR71" i="55"/>
  <c r="HD76" i="55"/>
  <c r="HB76" i="55"/>
  <c r="HC76" i="55" s="1"/>
  <c r="HA77" i="55"/>
  <c r="JQ73" i="55"/>
  <c r="IL73" i="55" l="1"/>
  <c r="IM73" i="55" s="1"/>
  <c r="HI73" i="55"/>
  <c r="JR73" i="55" s="1"/>
  <c r="HD77" i="55"/>
  <c r="HB77" i="55"/>
  <c r="HC77" i="55" s="1"/>
  <c r="HA78" i="55"/>
  <c r="IX73" i="55" a="1"/>
  <c r="IX73" i="55" s="1"/>
  <c r="IY73" i="55" s="1"/>
  <c r="IT73" i="55" a="1"/>
  <c r="IT73" i="55" s="1"/>
  <c r="IU73" i="55" s="1"/>
  <c r="IV73" i="55" a="1"/>
  <c r="IV73" i="55" s="1"/>
  <c r="IW73" i="55" s="1"/>
  <c r="IN73" i="55" a="1"/>
  <c r="IN73" i="55" s="1"/>
  <c r="IO73" i="55" s="1"/>
  <c r="IP73" i="55" a="1"/>
  <c r="IP73" i="55" s="1"/>
  <c r="IQ73" i="55" s="1"/>
  <c r="IR73" i="55" a="1"/>
  <c r="IR73" i="55" s="1"/>
  <c r="IS73" i="55" s="1"/>
  <c r="JS71" i="55"/>
  <c r="N71" i="55"/>
  <c r="IX72" i="55" a="1"/>
  <c r="IX72" i="55" s="1"/>
  <c r="IY72" i="55" s="1"/>
  <c r="IV72" i="55" a="1"/>
  <c r="IV72" i="55" s="1"/>
  <c r="IW72" i="55" s="1"/>
  <c r="IN72" i="55" a="1"/>
  <c r="IN72" i="55" s="1"/>
  <c r="IO72" i="55" s="1"/>
  <c r="IT72" i="55" a="1"/>
  <c r="IT72" i="55" s="1"/>
  <c r="IU72" i="55" s="1"/>
  <c r="IP72" i="55" a="1"/>
  <c r="IP72" i="55" s="1"/>
  <c r="IQ72" i="55" s="1"/>
  <c r="IR72" i="55" a="1"/>
  <c r="IR72" i="55" s="1"/>
  <c r="IS72" i="55" s="1"/>
  <c r="JQ74" i="55"/>
  <c r="HK72" i="55"/>
  <c r="HO72" i="55"/>
  <c r="IH72" i="55" s="1"/>
  <c r="JA72" i="55"/>
  <c r="HR72" i="55"/>
  <c r="HP72" i="55"/>
  <c r="IZ72" i="55" s="1"/>
  <c r="HH74" i="55"/>
  <c r="IF72" i="55"/>
  <c r="IG72" i="55" s="1"/>
  <c r="JR72" i="55"/>
  <c r="HF75" i="55"/>
  <c r="HG75" i="55" s="1"/>
  <c r="HH75" i="55" s="1"/>
  <c r="IF73" i="55"/>
  <c r="IG73" i="55" s="1"/>
  <c r="AK76" i="55"/>
  <c r="HE76" i="55"/>
  <c r="HR73" i="55"/>
  <c r="HO73" i="55"/>
  <c r="IH73" i="55" s="1"/>
  <c r="HP73" i="55"/>
  <c r="IZ73" i="55" s="1"/>
  <c r="JA73" i="55"/>
  <c r="HK73" i="55"/>
  <c r="HJ75" i="55" l="1"/>
  <c r="HI75" i="55"/>
  <c r="IL75" i="55"/>
  <c r="IM75" i="55" s="1"/>
  <c r="HJ74" i="55"/>
  <c r="HI74" i="55"/>
  <c r="IL74" i="55"/>
  <c r="IM74" i="55" s="1"/>
  <c r="HF76" i="55"/>
  <c r="HG76" i="55" s="1"/>
  <c r="JS72" i="55"/>
  <c r="N72" i="55"/>
  <c r="HB78" i="55"/>
  <c r="HC78" i="55" s="1"/>
  <c r="HD78" i="55"/>
  <c r="HA79" i="55"/>
  <c r="JS73" i="55"/>
  <c r="N73" i="55"/>
  <c r="JR75" i="55"/>
  <c r="JQ75" i="55"/>
  <c r="AK77" i="55"/>
  <c r="HE77" i="55"/>
  <c r="JQ76" i="55" l="1"/>
  <c r="JA74" i="55"/>
  <c r="HR74" i="55"/>
  <c r="HK74" i="55"/>
  <c r="HK75" i="55" s="1"/>
  <c r="HO74" i="55"/>
  <c r="IH74" i="55" s="1"/>
  <c r="HP74" i="55"/>
  <c r="IZ74" i="55" s="1"/>
  <c r="HB79" i="55"/>
  <c r="HC79" i="55" s="1"/>
  <c r="HD79" i="55"/>
  <c r="HA80" i="55"/>
  <c r="HH76" i="55"/>
  <c r="AK78" i="55"/>
  <c r="HE78" i="55"/>
  <c r="IX74" i="55" a="1"/>
  <c r="IX74" i="55" s="1"/>
  <c r="IY74" i="55" s="1"/>
  <c r="IT74" i="55" a="1"/>
  <c r="IT74" i="55" s="1"/>
  <c r="IU74" i="55" s="1"/>
  <c r="IR74" i="55" a="1"/>
  <c r="IR74" i="55" s="1"/>
  <c r="IS74" i="55" s="1"/>
  <c r="IV74" i="55" a="1"/>
  <c r="IV74" i="55" s="1"/>
  <c r="IW74" i="55" s="1"/>
  <c r="IP74" i="55" a="1"/>
  <c r="IP74" i="55" s="1"/>
  <c r="IQ74" i="55" s="1"/>
  <c r="IN74" i="55" a="1"/>
  <c r="IN74" i="55" s="1"/>
  <c r="IO74" i="55" s="1"/>
  <c r="IF74" i="55"/>
  <c r="IG74" i="55" s="1"/>
  <c r="JR74" i="55"/>
  <c r="HF77" i="55"/>
  <c r="HG77" i="55" s="1"/>
  <c r="IF75" i="55"/>
  <c r="IG75" i="55" s="1"/>
  <c r="IX75" i="55" a="1"/>
  <c r="IX75" i="55" s="1"/>
  <c r="IY75" i="55" s="1"/>
  <c r="IP75" i="55" a="1"/>
  <c r="IP75" i="55" s="1"/>
  <c r="IQ75" i="55" s="1"/>
  <c r="IT75" i="55" a="1"/>
  <c r="IT75" i="55" s="1"/>
  <c r="IU75" i="55" s="1"/>
  <c r="IR75" i="55" a="1"/>
  <c r="IR75" i="55" s="1"/>
  <c r="IS75" i="55" s="1"/>
  <c r="IV75" i="55" a="1"/>
  <c r="IV75" i="55" s="1"/>
  <c r="IW75" i="55" s="1"/>
  <c r="IN75" i="55" a="1"/>
  <c r="IN75" i="55" s="1"/>
  <c r="IO75" i="55" s="1"/>
  <c r="JA75" i="55"/>
  <c r="HR75" i="55"/>
  <c r="HP75" i="55"/>
  <c r="IZ75" i="55" s="1"/>
  <c r="HO75" i="55"/>
  <c r="IH75" i="55" s="1"/>
  <c r="HF78" i="55" l="1"/>
  <c r="HG78" i="55" s="1"/>
  <c r="HI76" i="55"/>
  <c r="HJ76" i="55"/>
  <c r="IL76" i="55"/>
  <c r="IM76" i="55" s="1"/>
  <c r="HD80" i="55"/>
  <c r="HB80" i="55"/>
  <c r="HC80" i="55" s="1"/>
  <c r="HA81" i="55"/>
  <c r="AK79" i="55"/>
  <c r="HE79" i="55"/>
  <c r="JQ77" i="55"/>
  <c r="HH77" i="55"/>
  <c r="JS74" i="55"/>
  <c r="N74" i="55"/>
  <c r="JS75" i="55"/>
  <c r="N75" i="55"/>
  <c r="HI77" i="55" l="1"/>
  <c r="HJ77" i="55"/>
  <c r="IL77" i="55"/>
  <c r="IM77" i="55" s="1"/>
  <c r="HF79" i="55"/>
  <c r="HG79" i="55" s="1"/>
  <c r="IV76" i="55" a="1"/>
  <c r="IV76" i="55" s="1"/>
  <c r="IW76" i="55" s="1"/>
  <c r="IP76" i="55" a="1"/>
  <c r="IP76" i="55" s="1"/>
  <c r="IQ76" i="55" s="1"/>
  <c r="IT76" i="55" a="1"/>
  <c r="IT76" i="55" s="1"/>
  <c r="IU76" i="55" s="1"/>
  <c r="IN76" i="55" a="1"/>
  <c r="IN76" i="55" s="1"/>
  <c r="IO76" i="55" s="1"/>
  <c r="IX76" i="55" a="1"/>
  <c r="IX76" i="55" s="1"/>
  <c r="IY76" i="55" s="1"/>
  <c r="IR76" i="55" a="1"/>
  <c r="IR76" i="55" s="1"/>
  <c r="IS76" i="55" s="1"/>
  <c r="JA76" i="55"/>
  <c r="HR76" i="55"/>
  <c r="HK76" i="55"/>
  <c r="HO76" i="55"/>
  <c r="IH76" i="55" s="1"/>
  <c r="HP76" i="55"/>
  <c r="IZ76" i="55" s="1"/>
  <c r="IF76" i="55"/>
  <c r="IG76" i="55" s="1"/>
  <c r="JR76" i="55"/>
  <c r="JQ78" i="55"/>
  <c r="HD81" i="55"/>
  <c r="HB81" i="55"/>
  <c r="HC81" i="55" s="1"/>
  <c r="HA82" i="55"/>
  <c r="AK80" i="55"/>
  <c r="HE80" i="55"/>
  <c r="HH78" i="55"/>
  <c r="JS76" i="55" l="1"/>
  <c r="N76" i="55"/>
  <c r="JQ79" i="55"/>
  <c r="IR77" i="55" a="1"/>
  <c r="IR77" i="55" s="1"/>
  <c r="IS77" i="55" s="1"/>
  <c r="IV77" i="55" a="1"/>
  <c r="IV77" i="55" s="1"/>
  <c r="IW77" i="55" s="1"/>
  <c r="IN77" i="55" a="1"/>
  <c r="IN77" i="55" s="1"/>
  <c r="IO77" i="55" s="1"/>
  <c r="IX77" i="55" a="1"/>
  <c r="IX77" i="55" s="1"/>
  <c r="IY77" i="55" s="1"/>
  <c r="IP77" i="55" a="1"/>
  <c r="IP77" i="55" s="1"/>
  <c r="IQ77" i="55" s="1"/>
  <c r="IT77" i="55" a="1"/>
  <c r="IT77" i="55" s="1"/>
  <c r="IU77" i="55" s="1"/>
  <c r="HJ78" i="55"/>
  <c r="HI78" i="55"/>
  <c r="IL78" i="55"/>
  <c r="IM78" i="55" s="1"/>
  <c r="HF80" i="55"/>
  <c r="HG80" i="55" s="1"/>
  <c r="HH80" i="55" s="1"/>
  <c r="HD82" i="55"/>
  <c r="HB82" i="55"/>
  <c r="HC82" i="55" s="1"/>
  <c r="HA83" i="55"/>
  <c r="JA77" i="55"/>
  <c r="HR77" i="55"/>
  <c r="HP77" i="55"/>
  <c r="IZ77" i="55" s="1"/>
  <c r="HK77" i="55"/>
  <c r="HO77" i="55"/>
  <c r="IH77" i="55" s="1"/>
  <c r="AK81" i="55"/>
  <c r="HE81" i="55"/>
  <c r="HH79" i="55"/>
  <c r="IF77" i="55"/>
  <c r="IG77" i="55" s="1"/>
  <c r="JR77" i="55"/>
  <c r="HI80" i="55" l="1"/>
  <c r="HJ80" i="55"/>
  <c r="IL80" i="55"/>
  <c r="IM80" i="55" s="1"/>
  <c r="AK82" i="55"/>
  <c r="HE82" i="55"/>
  <c r="JS77" i="55"/>
  <c r="N77" i="55"/>
  <c r="IV78" i="55" a="1"/>
  <c r="IV78" i="55" s="1"/>
  <c r="IW78" i="55" s="1"/>
  <c r="IN78" i="55" a="1"/>
  <c r="IN78" i="55" s="1"/>
  <c r="IO78" i="55" s="1"/>
  <c r="IR78" i="55" a="1"/>
  <c r="IR78" i="55" s="1"/>
  <c r="IS78" i="55" s="1"/>
  <c r="IX78" i="55" a="1"/>
  <c r="IX78" i="55" s="1"/>
  <c r="IY78" i="55" s="1"/>
  <c r="IP78" i="55" a="1"/>
  <c r="IP78" i="55" s="1"/>
  <c r="IQ78" i="55" s="1"/>
  <c r="IT78" i="55" a="1"/>
  <c r="IT78" i="55" s="1"/>
  <c r="IU78" i="55" s="1"/>
  <c r="IF78" i="55"/>
  <c r="IG78" i="55" s="1"/>
  <c r="JR78" i="55"/>
  <c r="HF81" i="55"/>
  <c r="HG81" i="55" s="1"/>
  <c r="JR80" i="55"/>
  <c r="JQ80" i="55"/>
  <c r="JA78" i="55"/>
  <c r="HP78" i="55"/>
  <c r="IZ78" i="55" s="1"/>
  <c r="HR78" i="55"/>
  <c r="HK78" i="55"/>
  <c r="HO78" i="55"/>
  <c r="IH78" i="55" s="1"/>
  <c r="HI79" i="55"/>
  <c r="HJ79" i="55"/>
  <c r="IL79" i="55"/>
  <c r="IM79" i="55" s="1"/>
  <c r="HD83" i="55"/>
  <c r="HB83" i="55"/>
  <c r="HC83" i="55" s="1"/>
  <c r="HA84" i="55"/>
  <c r="JQ81" i="55" l="1"/>
  <c r="JS78" i="55"/>
  <c r="N78" i="55"/>
  <c r="HF82" i="55"/>
  <c r="HG82" i="55" s="1"/>
  <c r="IX80" i="55" a="1"/>
  <c r="IX80" i="55" s="1"/>
  <c r="IY80" i="55" s="1"/>
  <c r="IR80" i="55" a="1"/>
  <c r="IR80" i="55" s="1"/>
  <c r="IS80" i="55" s="1"/>
  <c r="IP80" i="55" a="1"/>
  <c r="IP80" i="55" s="1"/>
  <c r="IQ80" i="55" s="1"/>
  <c r="IN80" i="55" a="1"/>
  <c r="IN80" i="55" s="1"/>
  <c r="IO80" i="55" s="1"/>
  <c r="IV80" i="55" a="1"/>
  <c r="IV80" i="55" s="1"/>
  <c r="IW80" i="55" s="1"/>
  <c r="IT80" i="55" a="1"/>
  <c r="IT80" i="55" s="1"/>
  <c r="IU80" i="55" s="1"/>
  <c r="HB84" i="55"/>
  <c r="HC84" i="55" s="1"/>
  <c r="HD84" i="55"/>
  <c r="HA85" i="55"/>
  <c r="AK83" i="55"/>
  <c r="HE83" i="55"/>
  <c r="JA79" i="55"/>
  <c r="HP79" i="55"/>
  <c r="IZ79" i="55" s="1"/>
  <c r="HO79" i="55"/>
  <c r="IH79" i="55" s="1"/>
  <c r="HR79" i="55"/>
  <c r="HK79" i="55"/>
  <c r="JA80" i="55"/>
  <c r="HO80" i="55"/>
  <c r="IH80" i="55" s="1"/>
  <c r="HP80" i="55"/>
  <c r="IZ80" i="55" s="1"/>
  <c r="HR80" i="55"/>
  <c r="HK80" i="55"/>
  <c r="IR79" i="55" a="1"/>
  <c r="IR79" i="55" s="1"/>
  <c r="IS79" i="55" s="1"/>
  <c r="IV79" i="55" a="1"/>
  <c r="IV79" i="55" s="1"/>
  <c r="IW79" i="55" s="1"/>
  <c r="IN79" i="55" a="1"/>
  <c r="IN79" i="55" s="1"/>
  <c r="IO79" i="55" s="1"/>
  <c r="IX79" i="55" a="1"/>
  <c r="IX79" i="55" s="1"/>
  <c r="IY79" i="55" s="1"/>
  <c r="IP79" i="55" a="1"/>
  <c r="IP79" i="55" s="1"/>
  <c r="IQ79" i="55" s="1"/>
  <c r="IT79" i="55" a="1"/>
  <c r="IT79" i="55" s="1"/>
  <c r="IU79" i="55" s="1"/>
  <c r="IF79" i="55"/>
  <c r="IG79" i="55" s="1"/>
  <c r="JR79" i="55"/>
  <c r="HH81" i="55"/>
  <c r="IF80" i="55"/>
  <c r="IG80" i="55" s="1"/>
  <c r="HB85" i="55" l="1"/>
  <c r="HC85" i="55" s="1"/>
  <c r="HD85" i="55"/>
  <c r="HA86" i="55"/>
  <c r="AK84" i="55"/>
  <c r="HE84" i="55"/>
  <c r="HI81" i="55"/>
  <c r="HJ81" i="55"/>
  <c r="IL81" i="55"/>
  <c r="IM81" i="55" s="1"/>
  <c r="JS79" i="55"/>
  <c r="N79" i="55"/>
  <c r="JS80" i="55"/>
  <c r="N80" i="55"/>
  <c r="JQ82" i="55"/>
  <c r="HH82" i="55"/>
  <c r="HF83" i="55"/>
  <c r="HG83" i="55" s="1"/>
  <c r="JQ83" i="55" l="1"/>
  <c r="HB86" i="55"/>
  <c r="HC86" i="55" s="1"/>
  <c r="HD86" i="55"/>
  <c r="HA87" i="55"/>
  <c r="HI82" i="55"/>
  <c r="HJ82" i="55"/>
  <c r="IL82" i="55"/>
  <c r="IM82" i="55" s="1"/>
  <c r="AK85" i="55"/>
  <c r="HE85" i="55"/>
  <c r="IX81" i="55" a="1"/>
  <c r="IX81" i="55" s="1"/>
  <c r="IY81" i="55" s="1"/>
  <c r="IP81" i="55" a="1"/>
  <c r="IP81" i="55" s="1"/>
  <c r="IQ81" i="55" s="1"/>
  <c r="IR81" i="55" a="1"/>
  <c r="IR81" i="55" s="1"/>
  <c r="IS81" i="55" s="1"/>
  <c r="IV81" i="55" a="1"/>
  <c r="IV81" i="55" s="1"/>
  <c r="IW81" i="55" s="1"/>
  <c r="IT81" i="55" a="1"/>
  <c r="IT81" i="55" s="1"/>
  <c r="IU81" i="55" s="1"/>
  <c r="IN81" i="55" a="1"/>
  <c r="IN81" i="55" s="1"/>
  <c r="IO81" i="55" s="1"/>
  <c r="JA81" i="55"/>
  <c r="HO81" i="55"/>
  <c r="IH81" i="55" s="1"/>
  <c r="HP81" i="55"/>
  <c r="IZ81" i="55" s="1"/>
  <c r="HR81" i="55"/>
  <c r="HK81" i="55"/>
  <c r="IF81" i="55"/>
  <c r="IG81" i="55" s="1"/>
  <c r="JR81" i="55"/>
  <c r="HF84" i="55"/>
  <c r="HG84" i="55" s="1"/>
  <c r="HH83" i="55"/>
  <c r="HI83" i="55" l="1"/>
  <c r="HJ83" i="55"/>
  <c r="IL83" i="55"/>
  <c r="IM83" i="55" s="1"/>
  <c r="JQ84" i="55"/>
  <c r="HH84" i="55"/>
  <c r="JS81" i="55"/>
  <c r="N81" i="55"/>
  <c r="HF85" i="55"/>
  <c r="HG85" i="55" s="1"/>
  <c r="IX82" i="55" a="1"/>
  <c r="IX82" i="55" s="1"/>
  <c r="IY82" i="55" s="1"/>
  <c r="IT82" i="55" a="1"/>
  <c r="IT82" i="55" s="1"/>
  <c r="IU82" i="55" s="1"/>
  <c r="IR82" i="55" a="1"/>
  <c r="IR82" i="55" s="1"/>
  <c r="IS82" i="55" s="1"/>
  <c r="IV82" i="55" a="1"/>
  <c r="IV82" i="55" s="1"/>
  <c r="IW82" i="55" s="1"/>
  <c r="IN82" i="55" a="1"/>
  <c r="IN82" i="55" s="1"/>
  <c r="IO82" i="55" s="1"/>
  <c r="IP82" i="55" a="1"/>
  <c r="IP82" i="55" s="1"/>
  <c r="IQ82" i="55" s="1"/>
  <c r="JA82" i="55"/>
  <c r="HP82" i="55"/>
  <c r="IZ82" i="55" s="1"/>
  <c r="HR82" i="55"/>
  <c r="HK82" i="55"/>
  <c r="HO82" i="55"/>
  <c r="IH82" i="55" s="1"/>
  <c r="IF82" i="55"/>
  <c r="IG82" i="55" s="1"/>
  <c r="JR82" i="55"/>
  <c r="HB87" i="55"/>
  <c r="HC87" i="55" s="1"/>
  <c r="HD87" i="55"/>
  <c r="HA88" i="55"/>
  <c r="AK86" i="55"/>
  <c r="HE86" i="55"/>
  <c r="HF86" i="55" l="1"/>
  <c r="HG86" i="55" s="1"/>
  <c r="HB88" i="55"/>
  <c r="HC88" i="55" s="1"/>
  <c r="HD88" i="55"/>
  <c r="HA89" i="55"/>
  <c r="JQ85" i="55"/>
  <c r="AK87" i="55"/>
  <c r="HE87" i="55"/>
  <c r="HH85" i="55"/>
  <c r="HI84" i="55"/>
  <c r="HJ84" i="55"/>
  <c r="IL84" i="55"/>
  <c r="IM84" i="55" s="1"/>
  <c r="IX83" i="55" a="1"/>
  <c r="IX83" i="55" s="1"/>
  <c r="IY83" i="55" s="1"/>
  <c r="IT83" i="55" a="1"/>
  <c r="IT83" i="55" s="1"/>
  <c r="IU83" i="55" s="1"/>
  <c r="IP83" i="55" a="1"/>
  <c r="IP83" i="55" s="1"/>
  <c r="IQ83" i="55" s="1"/>
  <c r="IR83" i="55" a="1"/>
  <c r="IR83" i="55" s="1"/>
  <c r="IS83" i="55" s="1"/>
  <c r="IN83" i="55" a="1"/>
  <c r="IN83" i="55" s="1"/>
  <c r="IO83" i="55" s="1"/>
  <c r="IV83" i="55" a="1"/>
  <c r="IV83" i="55" s="1"/>
  <c r="IW83" i="55" s="1"/>
  <c r="JA83" i="55"/>
  <c r="HO83" i="55"/>
  <c r="IH83" i="55" s="1"/>
  <c r="HK83" i="55"/>
  <c r="HP83" i="55"/>
  <c r="IZ83" i="55" s="1"/>
  <c r="HR83" i="55"/>
  <c r="JS82" i="55"/>
  <c r="N82" i="55"/>
  <c r="IF83" i="55"/>
  <c r="IG83" i="55" s="1"/>
  <c r="JR83" i="55"/>
  <c r="IF84" i="55" l="1"/>
  <c r="IG84" i="55" s="1"/>
  <c r="JR84" i="55"/>
  <c r="HI85" i="55"/>
  <c r="HJ85" i="55"/>
  <c r="IL85" i="55"/>
  <c r="IM85" i="55" s="1"/>
  <c r="HF87" i="55"/>
  <c r="HG87" i="55" s="1"/>
  <c r="HH87" i="55"/>
  <c r="HB89" i="55"/>
  <c r="HC89" i="55" s="1"/>
  <c r="HD89" i="55"/>
  <c r="HA90" i="55"/>
  <c r="IX84" i="55" a="1"/>
  <c r="IX84" i="55" s="1"/>
  <c r="IY84" i="55" s="1"/>
  <c r="IT84" i="55" a="1"/>
  <c r="IT84" i="55" s="1"/>
  <c r="IU84" i="55" s="1"/>
  <c r="IP84" i="55" a="1"/>
  <c r="IP84" i="55" s="1"/>
  <c r="IQ84" i="55" s="1"/>
  <c r="IR84" i="55" a="1"/>
  <c r="IR84" i="55" s="1"/>
  <c r="IS84" i="55" s="1"/>
  <c r="IN84" i="55" a="1"/>
  <c r="IN84" i="55" s="1"/>
  <c r="IO84" i="55" s="1"/>
  <c r="IV84" i="55" a="1"/>
  <c r="IV84" i="55" s="1"/>
  <c r="IW84" i="55" s="1"/>
  <c r="JA84" i="55"/>
  <c r="HO84" i="55"/>
  <c r="IH84" i="55" s="1"/>
  <c r="HK84" i="55"/>
  <c r="HR84" i="55"/>
  <c r="HP84" i="55"/>
  <c r="IZ84" i="55" s="1"/>
  <c r="HH86" i="55"/>
  <c r="JS83" i="55"/>
  <c r="N83" i="55"/>
  <c r="AK88" i="55"/>
  <c r="HE88" i="55"/>
  <c r="JQ86" i="55"/>
  <c r="HD90" i="55" l="1"/>
  <c r="HB90" i="55"/>
  <c r="HC90" i="55" s="1"/>
  <c r="HA91" i="55"/>
  <c r="HJ87" i="55"/>
  <c r="HI87" i="55"/>
  <c r="IF87" i="55" s="1"/>
  <c r="IG87" i="55" s="1"/>
  <c r="IL87" i="55"/>
  <c r="IM87" i="55" s="1"/>
  <c r="IV85" i="55" a="1"/>
  <c r="IV85" i="55" s="1"/>
  <c r="IW85" i="55" s="1"/>
  <c r="IX85" i="55" a="1"/>
  <c r="IX85" i="55" s="1"/>
  <c r="IY85" i="55" s="1"/>
  <c r="IR85" i="55" a="1"/>
  <c r="IR85" i="55" s="1"/>
  <c r="IS85" i="55" s="1"/>
  <c r="IT85" i="55" a="1"/>
  <c r="IT85" i="55" s="1"/>
  <c r="IU85" i="55" s="1"/>
  <c r="IP85" i="55" a="1"/>
  <c r="IP85" i="55" s="1"/>
  <c r="IQ85" i="55" s="1"/>
  <c r="IN85" i="55" a="1"/>
  <c r="IN85" i="55" s="1"/>
  <c r="IO85" i="55" s="1"/>
  <c r="IF85" i="55"/>
  <c r="IG85" i="55" s="1"/>
  <c r="JR85" i="55"/>
  <c r="HF88" i="55"/>
  <c r="HG88" i="55" s="1"/>
  <c r="HH88" i="55" s="1"/>
  <c r="AK89" i="55"/>
  <c r="HE89" i="55"/>
  <c r="HI86" i="55"/>
  <c r="HJ86" i="55"/>
  <c r="IL86" i="55"/>
  <c r="IM86" i="55" s="1"/>
  <c r="JR87" i="55"/>
  <c r="JQ87" i="55"/>
  <c r="JA85" i="55"/>
  <c r="HO85" i="55"/>
  <c r="IH85" i="55" s="1"/>
  <c r="HP85" i="55"/>
  <c r="IZ85" i="55" s="1"/>
  <c r="HK85" i="55"/>
  <c r="HR85" i="55"/>
  <c r="JS84" i="55"/>
  <c r="N84" i="55"/>
  <c r="JQ88" i="55" l="1"/>
  <c r="HJ88" i="55"/>
  <c r="HI88" i="55"/>
  <c r="HB91" i="55"/>
  <c r="HC91" i="55" s="1"/>
  <c r="HD91" i="55"/>
  <c r="HA92" i="55"/>
  <c r="JS85" i="55"/>
  <c r="N85" i="55"/>
  <c r="IV87" i="55" a="1"/>
  <c r="IV87" i="55" s="1"/>
  <c r="IW87" i="55" s="1"/>
  <c r="IT87" i="55" a="1"/>
  <c r="IT87" i="55" s="1"/>
  <c r="IU87" i="55" s="1"/>
  <c r="IR87" i="55" a="1"/>
  <c r="IR87" i="55" s="1"/>
  <c r="IS87" i="55" s="1"/>
  <c r="IN87" i="55" a="1"/>
  <c r="IN87" i="55" s="1"/>
  <c r="IO87" i="55" s="1"/>
  <c r="IX87" i="55" a="1"/>
  <c r="IX87" i="55" s="1"/>
  <c r="IY87" i="55" s="1"/>
  <c r="IP87" i="55" a="1"/>
  <c r="IP87" i="55" s="1"/>
  <c r="IQ87" i="55" s="1"/>
  <c r="JA87" i="55"/>
  <c r="HR87" i="55"/>
  <c r="HP87" i="55"/>
  <c r="IZ87" i="55" s="1"/>
  <c r="HO87" i="55"/>
  <c r="IH87" i="55" s="1"/>
  <c r="IF86" i="55"/>
  <c r="IG86" i="55" s="1"/>
  <c r="JR86" i="55"/>
  <c r="HF89" i="55"/>
  <c r="HG89" i="55" s="1"/>
  <c r="HH89" i="55"/>
  <c r="IX86" i="55" a="1"/>
  <c r="IX86" i="55" s="1"/>
  <c r="IY86" i="55" s="1"/>
  <c r="IN86" i="55" a="1"/>
  <c r="IN86" i="55" s="1"/>
  <c r="IO86" i="55" s="1"/>
  <c r="IR86" i="55" a="1"/>
  <c r="IR86" i="55" s="1"/>
  <c r="IS86" i="55" s="1"/>
  <c r="IT86" i="55" a="1"/>
  <c r="IT86" i="55" s="1"/>
  <c r="IU86" i="55" s="1"/>
  <c r="IP86" i="55" a="1"/>
  <c r="IP86" i="55" s="1"/>
  <c r="IQ86" i="55" s="1"/>
  <c r="IV86" i="55" a="1"/>
  <c r="IV86" i="55" s="1"/>
  <c r="IW86" i="55" s="1"/>
  <c r="JA86" i="55"/>
  <c r="HO86" i="55"/>
  <c r="IH86" i="55" s="1"/>
  <c r="HP86" i="55"/>
  <c r="IZ86" i="55" s="1"/>
  <c r="HK86" i="55"/>
  <c r="HK87" i="55" s="1"/>
  <c r="HR86" i="55"/>
  <c r="AK90" i="55"/>
  <c r="HE90" i="55"/>
  <c r="IF88" i="55" l="1"/>
  <c r="IG88" i="55" s="1"/>
  <c r="JS86" i="55"/>
  <c r="N86" i="55"/>
  <c r="HJ89" i="55"/>
  <c r="HI89" i="55"/>
  <c r="IL89" i="55"/>
  <c r="IM89" i="55" s="1"/>
  <c r="JQ89" i="55"/>
  <c r="JR89" i="55"/>
  <c r="AK91" i="55"/>
  <c r="HE91" i="55"/>
  <c r="HF90" i="55"/>
  <c r="HG90" i="55" s="1"/>
  <c r="HH90" i="55" s="1"/>
  <c r="JA88" i="55"/>
  <c r="HK88" i="55"/>
  <c r="HP88" i="55"/>
  <c r="IZ88" i="55" s="1"/>
  <c r="HO88" i="55"/>
  <c r="IH88" i="55" s="1"/>
  <c r="HR88" i="55"/>
  <c r="JS87" i="55"/>
  <c r="N87" i="55"/>
  <c r="HB92" i="55"/>
  <c r="HC92" i="55" s="1"/>
  <c r="HD92" i="55"/>
  <c r="HA93" i="55"/>
  <c r="JR88" i="55"/>
  <c r="HJ90" i="55" l="1"/>
  <c r="HI90" i="55"/>
  <c r="IL90" i="55"/>
  <c r="IM90" i="55" s="1"/>
  <c r="HF91" i="55"/>
  <c r="HG91" i="55" s="1"/>
  <c r="JS88" i="55"/>
  <c r="N88" i="55"/>
  <c r="JQ90" i="55"/>
  <c r="JR90" i="55"/>
  <c r="IX89" i="55" a="1"/>
  <c r="IX89" i="55" s="1"/>
  <c r="IY89" i="55" s="1"/>
  <c r="IV89" i="55" a="1"/>
  <c r="IV89" i="55" s="1"/>
  <c r="IW89" i="55" s="1"/>
  <c r="IN89" i="55" a="1"/>
  <c r="IN89" i="55" s="1"/>
  <c r="IO89" i="55" s="1"/>
  <c r="IT89" i="55" a="1"/>
  <c r="IT89" i="55" s="1"/>
  <c r="IU89" i="55" s="1"/>
  <c r="IP89" i="55" a="1"/>
  <c r="IP89" i="55" s="1"/>
  <c r="IQ89" i="55" s="1"/>
  <c r="IR89" i="55" a="1"/>
  <c r="IR89" i="55" s="1"/>
  <c r="IS89" i="55" s="1"/>
  <c r="AK92" i="55"/>
  <c r="HE92" i="55"/>
  <c r="IF89" i="55"/>
  <c r="IG89" i="55" s="1"/>
  <c r="HB93" i="55"/>
  <c r="HC93" i="55" s="1"/>
  <c r="HD93" i="55"/>
  <c r="HA94" i="55"/>
  <c r="JA89" i="55"/>
  <c r="HR89" i="55"/>
  <c r="HP89" i="55"/>
  <c r="IZ89" i="55" s="1"/>
  <c r="HK89" i="55"/>
  <c r="HO89" i="55"/>
  <c r="IH89" i="55" s="1"/>
  <c r="IF90" i="55" l="1"/>
  <c r="IG90" i="55" s="1"/>
  <c r="JQ91" i="55"/>
  <c r="IV90" i="55" a="1"/>
  <c r="IV90" i="55" s="1"/>
  <c r="IW90" i="55" s="1"/>
  <c r="IP90" i="55" a="1"/>
  <c r="IP90" i="55" s="1"/>
  <c r="IQ90" i="55" s="1"/>
  <c r="IN90" i="55" a="1"/>
  <c r="IN90" i="55" s="1"/>
  <c r="IO90" i="55" s="1"/>
  <c r="IR90" i="55" a="1"/>
  <c r="IR90" i="55" s="1"/>
  <c r="IS90" i="55" s="1"/>
  <c r="IX90" i="55" a="1"/>
  <c r="IX90" i="55" s="1"/>
  <c r="IY90" i="55" s="1"/>
  <c r="IT90" i="55" a="1"/>
  <c r="IT90" i="55" s="1"/>
  <c r="IU90" i="55" s="1"/>
  <c r="JS89" i="55"/>
  <c r="N89" i="55"/>
  <c r="AK93" i="55"/>
  <c r="HE93" i="55"/>
  <c r="HB94" i="55"/>
  <c r="HC94" i="55" s="1"/>
  <c r="HD94" i="55"/>
  <c r="HA95" i="55"/>
  <c r="HH91" i="55"/>
  <c r="HF92" i="55"/>
  <c r="HG92" i="55" s="1"/>
  <c r="JA90" i="55"/>
  <c r="HR90" i="55"/>
  <c r="HK90" i="55"/>
  <c r="HO90" i="55"/>
  <c r="IH90" i="55" s="1"/>
  <c r="HP90" i="55"/>
  <c r="IZ90" i="55" s="1"/>
  <c r="HJ91" i="55" l="1"/>
  <c r="HI91" i="55"/>
  <c r="IL91" i="55"/>
  <c r="IM91" i="55" s="1"/>
  <c r="HB95" i="55"/>
  <c r="HC95" i="55" s="1"/>
  <c r="HD95" i="55"/>
  <c r="HA96" i="55"/>
  <c r="AK94" i="55"/>
  <c r="HE94" i="55"/>
  <c r="HF93" i="55"/>
  <c r="HG93" i="55" s="1"/>
  <c r="JQ92" i="55"/>
  <c r="JS90" i="55"/>
  <c r="N90" i="55"/>
  <c r="HH92" i="55"/>
  <c r="HH93" i="55" l="1"/>
  <c r="HI93" i="55" s="1"/>
  <c r="HJ93" i="55"/>
  <c r="IL93" i="55"/>
  <c r="IM93" i="55" s="1"/>
  <c r="HB96" i="55"/>
  <c r="HC96" i="55" s="1"/>
  <c r="HD96" i="55"/>
  <c r="HA97" i="55"/>
  <c r="AK95" i="55"/>
  <c r="HE95" i="55"/>
  <c r="HI92" i="55"/>
  <c r="HJ92" i="55"/>
  <c r="IL92" i="55"/>
  <c r="IM92" i="55" s="1"/>
  <c r="IX91" i="55" a="1"/>
  <c r="IX91" i="55" s="1"/>
  <c r="IY91" i="55" s="1"/>
  <c r="IV91" i="55" a="1"/>
  <c r="IV91" i="55" s="1"/>
  <c r="IW91" i="55" s="1"/>
  <c r="IP91" i="55" a="1"/>
  <c r="IP91" i="55" s="1"/>
  <c r="IQ91" i="55" s="1"/>
  <c r="IN91" i="55" a="1"/>
  <c r="IN91" i="55" s="1"/>
  <c r="IO91" i="55" s="1"/>
  <c r="IT91" i="55" a="1"/>
  <c r="IT91" i="55" s="1"/>
  <c r="IU91" i="55" s="1"/>
  <c r="IR91" i="55" a="1"/>
  <c r="IR91" i="55" s="1"/>
  <c r="IS91" i="55" s="1"/>
  <c r="IF91" i="55"/>
  <c r="IG91" i="55" s="1"/>
  <c r="JR91" i="55"/>
  <c r="JQ93" i="55"/>
  <c r="HF94" i="55"/>
  <c r="HG94" i="55" s="1"/>
  <c r="JA91" i="55"/>
  <c r="HR91" i="55"/>
  <c r="HK91" i="55"/>
  <c r="HP91" i="55"/>
  <c r="IZ91" i="55" s="1"/>
  <c r="HO91" i="55"/>
  <c r="IH91" i="55" s="1"/>
  <c r="IF93" i="55" l="1"/>
  <c r="IG93" i="55" s="1"/>
  <c r="JR93" i="55"/>
  <c r="IF92" i="55"/>
  <c r="IG92" i="55" s="1"/>
  <c r="JR92" i="55"/>
  <c r="HD97" i="55"/>
  <c r="HB97" i="55"/>
  <c r="HC97" i="55" s="1"/>
  <c r="HA98" i="55"/>
  <c r="IR93" i="55" a="1"/>
  <c r="IR93" i="55" s="1"/>
  <c r="IS93" i="55" s="1"/>
  <c r="IT93" i="55" a="1"/>
  <c r="IT93" i="55" s="1"/>
  <c r="IU93" i="55" s="1"/>
  <c r="IV93" i="55" a="1"/>
  <c r="IV93" i="55" s="1"/>
  <c r="IW93" i="55" s="1"/>
  <c r="IP93" i="55" a="1"/>
  <c r="IP93" i="55" s="1"/>
  <c r="IQ93" i="55" s="1"/>
  <c r="IN93" i="55" a="1"/>
  <c r="IN93" i="55" s="1"/>
  <c r="IO93" i="55" s="1"/>
  <c r="IX93" i="55" a="1"/>
  <c r="IX93" i="55" s="1"/>
  <c r="IY93" i="55" s="1"/>
  <c r="IX92" i="55" a="1"/>
  <c r="IX92" i="55" s="1"/>
  <c r="IY92" i="55" s="1"/>
  <c r="IV92" i="55" a="1"/>
  <c r="IV92" i="55" s="1"/>
  <c r="IW92" i="55" s="1"/>
  <c r="IP92" i="55" a="1"/>
  <c r="IP92" i="55" s="1"/>
  <c r="IQ92" i="55" s="1"/>
  <c r="IN92" i="55" a="1"/>
  <c r="IN92" i="55" s="1"/>
  <c r="IO92" i="55" s="1"/>
  <c r="IR92" i="55" a="1"/>
  <c r="IR92" i="55" s="1"/>
  <c r="IS92" i="55" s="1"/>
  <c r="IT92" i="55" a="1"/>
  <c r="IT92" i="55" s="1"/>
  <c r="IU92" i="55" s="1"/>
  <c r="JA92" i="55"/>
  <c r="HR92" i="55"/>
  <c r="HK92" i="55"/>
  <c r="HP92" i="55"/>
  <c r="IZ92" i="55" s="1"/>
  <c r="HO92" i="55"/>
  <c r="IH92" i="55" s="1"/>
  <c r="HF95" i="55"/>
  <c r="HG95" i="55" s="1"/>
  <c r="JQ94" i="55"/>
  <c r="HH94" i="55"/>
  <c r="AK96" i="55"/>
  <c r="HE96" i="55"/>
  <c r="JA93" i="55"/>
  <c r="HR93" i="55"/>
  <c r="HK93" i="55"/>
  <c r="HP93" i="55"/>
  <c r="IZ93" i="55" s="1"/>
  <c r="HO93" i="55"/>
  <c r="IH93" i="55" s="1"/>
  <c r="JS91" i="55"/>
  <c r="N91" i="55"/>
  <c r="HF96" i="55" l="1"/>
  <c r="HG96" i="55" s="1"/>
  <c r="JS92" i="55"/>
  <c r="N92" i="55"/>
  <c r="HD98" i="55"/>
  <c r="HB98" i="55"/>
  <c r="HC98" i="55" s="1"/>
  <c r="HA99" i="55"/>
  <c r="AK97" i="55"/>
  <c r="HE97" i="55"/>
  <c r="JS93" i="55"/>
  <c r="N93" i="55"/>
  <c r="HJ94" i="55"/>
  <c r="HI94" i="55"/>
  <c r="IL94" i="55"/>
  <c r="IM94" i="55" s="1"/>
  <c r="JQ95" i="55"/>
  <c r="HH95" i="55"/>
  <c r="JA94" i="55" l="1"/>
  <c r="HP94" i="55"/>
  <c r="IZ94" i="55" s="1"/>
  <c r="HR94" i="55"/>
  <c r="HO94" i="55"/>
  <c r="IH94" i="55" s="1"/>
  <c r="HK94" i="55"/>
  <c r="HF97" i="55"/>
  <c r="HG97" i="55" s="1"/>
  <c r="AK98" i="55"/>
  <c r="HE98" i="55"/>
  <c r="JQ96" i="55"/>
  <c r="IV94" i="55" a="1"/>
  <c r="IV94" i="55" s="1"/>
  <c r="IW94" i="55" s="1"/>
  <c r="IX94" i="55" a="1"/>
  <c r="IX94" i="55" s="1"/>
  <c r="IY94" i="55" s="1"/>
  <c r="IN94" i="55" a="1"/>
  <c r="IN94" i="55" s="1"/>
  <c r="IO94" i="55" s="1"/>
  <c r="IT94" i="55" a="1"/>
  <c r="IT94" i="55" s="1"/>
  <c r="IU94" i="55" s="1"/>
  <c r="IR94" i="55" a="1"/>
  <c r="IR94" i="55" s="1"/>
  <c r="IS94" i="55" s="1"/>
  <c r="IP94" i="55" a="1"/>
  <c r="IP94" i="55" s="1"/>
  <c r="IQ94" i="55" s="1"/>
  <c r="IF94" i="55"/>
  <c r="IG94" i="55" s="1"/>
  <c r="JR94" i="55"/>
  <c r="HD99" i="55"/>
  <c r="HB99" i="55"/>
  <c r="HC99" i="55" s="1"/>
  <c r="HA100" i="55"/>
  <c r="HI95" i="55"/>
  <c r="HJ95" i="55"/>
  <c r="IL95" i="55"/>
  <c r="IM95" i="55" s="1"/>
  <c r="HH96" i="55"/>
  <c r="HI96" i="55" l="1"/>
  <c r="HJ96" i="55"/>
  <c r="IL96" i="55"/>
  <c r="IM96" i="55" s="1"/>
  <c r="IX95" i="55" a="1"/>
  <c r="IX95" i="55" s="1"/>
  <c r="IY95" i="55" s="1"/>
  <c r="IN95" i="55" a="1"/>
  <c r="IN95" i="55" s="1"/>
  <c r="IO95" i="55" s="1"/>
  <c r="IR95" i="55" a="1"/>
  <c r="IR95" i="55" s="1"/>
  <c r="IS95" i="55" s="1"/>
  <c r="IV95" i="55" a="1"/>
  <c r="IV95" i="55" s="1"/>
  <c r="IW95" i="55" s="1"/>
  <c r="IP95" i="55" a="1"/>
  <c r="IP95" i="55" s="1"/>
  <c r="IQ95" i="55" s="1"/>
  <c r="IT95" i="55" a="1"/>
  <c r="IT95" i="55" s="1"/>
  <c r="IU95" i="55" s="1"/>
  <c r="HF98" i="55"/>
  <c r="HG98" i="55" s="1"/>
  <c r="HH98" i="55" s="1"/>
  <c r="JA95" i="55"/>
  <c r="HP95" i="55"/>
  <c r="IZ95" i="55" s="1"/>
  <c r="HR95" i="55"/>
  <c r="HO95" i="55"/>
  <c r="IH95" i="55" s="1"/>
  <c r="HK95" i="55"/>
  <c r="IF95" i="55"/>
  <c r="IG95" i="55" s="1"/>
  <c r="JR95" i="55"/>
  <c r="HH97" i="55"/>
  <c r="HD100" i="55"/>
  <c r="HB100" i="55"/>
  <c r="HC100" i="55" s="1"/>
  <c r="HA101" i="55"/>
  <c r="JQ97" i="55"/>
  <c r="AK99" i="55"/>
  <c r="HE99" i="55"/>
  <c r="JS94" i="55"/>
  <c r="N94" i="55"/>
  <c r="HI98" i="55" l="1"/>
  <c r="HJ98" i="55"/>
  <c r="IL98" i="55"/>
  <c r="IM98" i="55" s="1"/>
  <c r="HF99" i="55"/>
  <c r="HG99" i="55" s="1"/>
  <c r="HH99" i="55"/>
  <c r="IV96" i="55" a="1"/>
  <c r="IV96" i="55" s="1"/>
  <c r="IW96" i="55" s="1"/>
  <c r="IX96" i="55" a="1"/>
  <c r="IX96" i="55" s="1"/>
  <c r="IY96" i="55" s="1"/>
  <c r="IR96" i="55" a="1"/>
  <c r="IR96" i="55" s="1"/>
  <c r="IS96" i="55" s="1"/>
  <c r="IP96" i="55" a="1"/>
  <c r="IP96" i="55" s="1"/>
  <c r="IQ96" i="55" s="1"/>
  <c r="IN96" i="55" a="1"/>
  <c r="IN96" i="55" s="1"/>
  <c r="IO96" i="55" s="1"/>
  <c r="IT96" i="55" a="1"/>
  <c r="IT96" i="55" s="1"/>
  <c r="IU96" i="55" s="1"/>
  <c r="JR98" i="55"/>
  <c r="JQ98" i="55"/>
  <c r="HI97" i="55"/>
  <c r="HJ97" i="55"/>
  <c r="IL97" i="55"/>
  <c r="IM97" i="55" s="1"/>
  <c r="HO96" i="55"/>
  <c r="IH96" i="55" s="1"/>
  <c r="JA96" i="55"/>
  <c r="HP96" i="55"/>
  <c r="IZ96" i="55" s="1"/>
  <c r="HR96" i="55"/>
  <c r="HK96" i="55"/>
  <c r="JS95" i="55"/>
  <c r="N95" i="55"/>
  <c r="HD101" i="55"/>
  <c r="HB101" i="55"/>
  <c r="HC101" i="55" s="1"/>
  <c r="HA102" i="55"/>
  <c r="AK100" i="55"/>
  <c r="HE100" i="55"/>
  <c r="IF96" i="55"/>
  <c r="IG96" i="55" s="1"/>
  <c r="JR96" i="55"/>
  <c r="IX97" i="55" l="1" a="1"/>
  <c r="IX97" i="55" s="1"/>
  <c r="IY97" i="55" s="1"/>
  <c r="IR97" i="55" a="1"/>
  <c r="IR97" i="55" s="1"/>
  <c r="IS97" i="55" s="1"/>
  <c r="IV97" i="55" a="1"/>
  <c r="IV97" i="55" s="1"/>
  <c r="IW97" i="55" s="1"/>
  <c r="IP97" i="55" a="1"/>
  <c r="IP97" i="55" s="1"/>
  <c r="IQ97" i="55" s="1"/>
  <c r="IN97" i="55" a="1"/>
  <c r="IN97" i="55" s="1"/>
  <c r="IO97" i="55" s="1"/>
  <c r="IT97" i="55" a="1"/>
  <c r="IT97" i="55" s="1"/>
  <c r="IU97" i="55" s="1"/>
  <c r="HF100" i="55"/>
  <c r="HG100" i="55" s="1"/>
  <c r="HH100" i="55"/>
  <c r="HD102" i="55"/>
  <c r="HB102" i="55"/>
  <c r="HC102" i="55" s="1"/>
  <c r="HA103" i="55"/>
  <c r="HI99" i="55"/>
  <c r="HJ99" i="55"/>
  <c r="IL99" i="55"/>
  <c r="IM99" i="55" s="1"/>
  <c r="IX98" i="55" a="1"/>
  <c r="IX98" i="55" s="1"/>
  <c r="IY98" i="55" s="1"/>
  <c r="IR98" i="55" a="1"/>
  <c r="IR98" i="55" s="1"/>
  <c r="IS98" i="55" s="1"/>
  <c r="IV98" i="55" a="1"/>
  <c r="IV98" i="55" s="1"/>
  <c r="IW98" i="55" s="1"/>
  <c r="IN98" i="55" a="1"/>
  <c r="IN98" i="55" s="1"/>
  <c r="IO98" i="55" s="1"/>
  <c r="IP98" i="55" a="1"/>
  <c r="IP98" i="55" s="1"/>
  <c r="IQ98" i="55" s="1"/>
  <c r="IT98" i="55" a="1"/>
  <c r="IT98" i="55" s="1"/>
  <c r="IU98" i="55" s="1"/>
  <c r="HO97" i="55"/>
  <c r="IH97" i="55" s="1"/>
  <c r="JA97" i="55"/>
  <c r="HP97" i="55"/>
  <c r="IZ97" i="55" s="1"/>
  <c r="HR97" i="55"/>
  <c r="HK97" i="55"/>
  <c r="HK98" i="55" s="1"/>
  <c r="IF97" i="55"/>
  <c r="IG97" i="55" s="1"/>
  <c r="JR97" i="55"/>
  <c r="AK101" i="55"/>
  <c r="HE101" i="55"/>
  <c r="JR99" i="55"/>
  <c r="JQ99" i="55"/>
  <c r="JA98" i="55"/>
  <c r="HO98" i="55"/>
  <c r="IH98" i="55" s="1"/>
  <c r="HP98" i="55"/>
  <c r="IZ98" i="55" s="1"/>
  <c r="HR98" i="55"/>
  <c r="JS96" i="55"/>
  <c r="N96" i="55"/>
  <c r="IF98" i="55"/>
  <c r="IG98" i="55" s="1"/>
  <c r="IX99" i="55" l="1" a="1"/>
  <c r="IX99" i="55" s="1"/>
  <c r="IY99" i="55" s="1"/>
  <c r="IV99" i="55" a="1"/>
  <c r="IV99" i="55" s="1"/>
  <c r="IW99" i="55" s="1"/>
  <c r="IP99" i="55" a="1"/>
  <c r="IP99" i="55" s="1"/>
  <c r="IQ99" i="55" s="1"/>
  <c r="IN99" i="55" a="1"/>
  <c r="IN99" i="55" s="1"/>
  <c r="IO99" i="55" s="1"/>
  <c r="IR99" i="55" a="1"/>
  <c r="IR99" i="55" s="1"/>
  <c r="IS99" i="55" s="1"/>
  <c r="IT99" i="55" a="1"/>
  <c r="IT99" i="55" s="1"/>
  <c r="IU99" i="55" s="1"/>
  <c r="HF101" i="55"/>
  <c r="HG101" i="55" s="1"/>
  <c r="HD103" i="55"/>
  <c r="HB103" i="55"/>
  <c r="HC103" i="55" s="1"/>
  <c r="HA104" i="55"/>
  <c r="AK102" i="55"/>
  <c r="HE102" i="55"/>
  <c r="JQ100" i="55"/>
  <c r="JR100" i="55"/>
  <c r="JA99" i="55"/>
  <c r="HO99" i="55"/>
  <c r="IH99" i="55" s="1"/>
  <c r="HP99" i="55"/>
  <c r="IZ99" i="55" s="1"/>
  <c r="HR99" i="55"/>
  <c r="HK99" i="55"/>
  <c r="IF99" i="55"/>
  <c r="IG99" i="55" s="1"/>
  <c r="HJ100" i="55"/>
  <c r="HI100" i="55"/>
  <c r="IF100" i="55" s="1"/>
  <c r="IG100" i="55" s="1"/>
  <c r="IL100" i="55"/>
  <c r="IM100" i="55" s="1"/>
  <c r="JS97" i="55"/>
  <c r="N97" i="55"/>
  <c r="JS98" i="55"/>
  <c r="N98" i="55"/>
  <c r="HD104" i="55" l="1"/>
  <c r="HB104" i="55"/>
  <c r="HC104" i="55" s="1"/>
  <c r="HA105" i="55"/>
  <c r="AK103" i="55"/>
  <c r="HE103" i="55"/>
  <c r="JA100" i="55"/>
  <c r="HP100" i="55"/>
  <c r="IZ100" i="55" s="1"/>
  <c r="HO100" i="55"/>
  <c r="IH100" i="55" s="1"/>
  <c r="HK100" i="55"/>
  <c r="HR100" i="55"/>
  <c r="IP100" i="55" a="1"/>
  <c r="IP100" i="55" s="1"/>
  <c r="IQ100" i="55" s="1"/>
  <c r="IT100" i="55" a="1"/>
  <c r="IT100" i="55" s="1"/>
  <c r="IU100" i="55" s="1"/>
  <c r="IN100" i="55" a="1"/>
  <c r="IN100" i="55" s="1"/>
  <c r="IO100" i="55" s="1"/>
  <c r="IV100" i="55" a="1"/>
  <c r="IV100" i="55" s="1"/>
  <c r="IW100" i="55" s="1"/>
  <c r="IR100" i="55" a="1"/>
  <c r="IR100" i="55" s="1"/>
  <c r="IS100" i="55" s="1"/>
  <c r="IX100" i="55" a="1"/>
  <c r="IX100" i="55" s="1"/>
  <c r="IY100" i="55" s="1"/>
  <c r="HF102" i="55"/>
  <c r="HG102" i="55" s="1"/>
  <c r="HH102" i="55" s="1"/>
  <c r="JQ101" i="55"/>
  <c r="HH101" i="55"/>
  <c r="JS99" i="55"/>
  <c r="N99" i="55"/>
  <c r="HB105" i="55" l="1"/>
  <c r="HC105" i="55" s="1"/>
  <c r="HD105" i="55"/>
  <c r="HA106" i="55"/>
  <c r="JS100" i="55"/>
  <c r="N100" i="55"/>
  <c r="HJ101" i="55"/>
  <c r="HI101" i="55"/>
  <c r="IL101" i="55"/>
  <c r="IM101" i="55" s="1"/>
  <c r="HF103" i="55"/>
  <c r="HG103" i="55" s="1"/>
  <c r="HJ102" i="55"/>
  <c r="HI102" i="55"/>
  <c r="IF102" i="55" s="1"/>
  <c r="IG102" i="55" s="1"/>
  <c r="JQ102" i="55"/>
  <c r="JR102" i="55"/>
  <c r="AK104" i="55"/>
  <c r="HE104" i="55"/>
  <c r="HF104" i="55" l="1"/>
  <c r="HG104" i="55" s="1"/>
  <c r="JA102" i="55"/>
  <c r="HR102" i="55"/>
  <c r="HK102" i="55"/>
  <c r="HO102" i="55"/>
  <c r="IH102" i="55" s="1"/>
  <c r="HP102" i="55"/>
  <c r="IZ102" i="55" s="1"/>
  <c r="JQ103" i="55"/>
  <c r="HD106" i="55"/>
  <c r="HB106" i="55"/>
  <c r="HC106" i="55" s="1"/>
  <c r="HA107" i="55"/>
  <c r="HH103" i="55"/>
  <c r="IR101" i="55" a="1"/>
  <c r="IR101" i="55" s="1"/>
  <c r="IS101" i="55" s="1"/>
  <c r="IT101" i="55" a="1"/>
  <c r="IT101" i="55" s="1"/>
  <c r="IU101" i="55" s="1"/>
  <c r="IV101" i="55" a="1"/>
  <c r="IV101" i="55" s="1"/>
  <c r="IW101" i="55" s="1"/>
  <c r="IN101" i="55" a="1"/>
  <c r="IN101" i="55" s="1"/>
  <c r="IO101" i="55" s="1"/>
  <c r="IP101" i="55" a="1"/>
  <c r="IP101" i="55" s="1"/>
  <c r="IQ101" i="55" s="1"/>
  <c r="IX101" i="55" a="1"/>
  <c r="IX101" i="55" s="1"/>
  <c r="IY101" i="55" s="1"/>
  <c r="IF101" i="55"/>
  <c r="IG101" i="55" s="1"/>
  <c r="JR101" i="55"/>
  <c r="JA101" i="55"/>
  <c r="HO101" i="55"/>
  <c r="IH101" i="55" s="1"/>
  <c r="HP101" i="55"/>
  <c r="IZ101" i="55" s="1"/>
  <c r="HR101" i="55"/>
  <c r="HK101" i="55"/>
  <c r="AK105" i="55"/>
  <c r="HE105" i="55"/>
  <c r="HH104" i="55" l="1"/>
  <c r="HI104" i="55" s="1"/>
  <c r="IF104" i="55" s="1"/>
  <c r="IG104" i="55" s="1"/>
  <c r="HJ104" i="55"/>
  <c r="IL104" i="55"/>
  <c r="IM104" i="55" s="1"/>
  <c r="HJ103" i="55"/>
  <c r="HI103" i="55"/>
  <c r="IL103" i="55"/>
  <c r="IM103" i="55" s="1"/>
  <c r="HF105" i="55"/>
  <c r="HG105" i="55" s="1"/>
  <c r="HH105" i="55"/>
  <c r="AK106" i="55"/>
  <c r="HE106" i="55"/>
  <c r="JS101" i="55"/>
  <c r="N101" i="55"/>
  <c r="HB107" i="55"/>
  <c r="HC107" i="55" s="1"/>
  <c r="HD107" i="55"/>
  <c r="HA108" i="55"/>
  <c r="JS102" i="55"/>
  <c r="N102" i="55"/>
  <c r="JQ104" i="55"/>
  <c r="HB108" i="55" l="1"/>
  <c r="HC108" i="55" s="1"/>
  <c r="HD108" i="55"/>
  <c r="HA109" i="55"/>
  <c r="IV103" i="55" a="1"/>
  <c r="IV103" i="55" s="1"/>
  <c r="IW103" i="55" s="1"/>
  <c r="IT103" i="55" a="1"/>
  <c r="IT103" i="55" s="1"/>
  <c r="IU103" i="55" s="1"/>
  <c r="IN103" i="55" a="1"/>
  <c r="IN103" i="55" s="1"/>
  <c r="IO103" i="55" s="1"/>
  <c r="IX103" i="55" a="1"/>
  <c r="IX103" i="55" s="1"/>
  <c r="IY103" i="55" s="1"/>
  <c r="IP103" i="55" a="1"/>
  <c r="IP103" i="55" s="1"/>
  <c r="IQ103" i="55" s="1"/>
  <c r="IR103" i="55" a="1"/>
  <c r="IR103" i="55" s="1"/>
  <c r="IS103" i="55" s="1"/>
  <c r="IF103" i="55"/>
  <c r="IG103" i="55" s="1"/>
  <c r="JR103" i="55"/>
  <c r="JA103" i="55"/>
  <c r="HO103" i="55"/>
  <c r="IH103" i="55" s="1"/>
  <c r="HR103" i="55"/>
  <c r="HK103" i="55"/>
  <c r="HK104" i="55" s="1"/>
  <c r="HP103" i="55"/>
  <c r="IZ103" i="55" s="1"/>
  <c r="AK107" i="55"/>
  <c r="HE107" i="55"/>
  <c r="IT104" i="55" a="1"/>
  <c r="IT104" i="55" s="1"/>
  <c r="IU104" i="55" s="1"/>
  <c r="IR104" i="55" a="1"/>
  <c r="IR104" i="55" s="1"/>
  <c r="IS104" i="55" s="1"/>
  <c r="IV104" i="55" a="1"/>
  <c r="IV104" i="55" s="1"/>
  <c r="IW104" i="55" s="1"/>
  <c r="IX104" i="55" a="1"/>
  <c r="IX104" i="55" s="1"/>
  <c r="IY104" i="55" s="1"/>
  <c r="IP104" i="55" a="1"/>
  <c r="IP104" i="55" s="1"/>
  <c r="IQ104" i="55" s="1"/>
  <c r="IN104" i="55" a="1"/>
  <c r="IN104" i="55" s="1"/>
  <c r="IO104" i="55" s="1"/>
  <c r="HF106" i="55"/>
  <c r="HG106" i="55" s="1"/>
  <c r="HI105" i="55"/>
  <c r="HJ105" i="55"/>
  <c r="IL105" i="55"/>
  <c r="IM105" i="55" s="1"/>
  <c r="JR105" i="55"/>
  <c r="JQ105" i="55"/>
  <c r="JR104" i="55"/>
  <c r="JA104" i="55"/>
  <c r="HO104" i="55"/>
  <c r="IH104" i="55" s="1"/>
  <c r="HR104" i="55"/>
  <c r="HP104" i="55"/>
  <c r="IZ104" i="55" s="1"/>
  <c r="IX105" i="55" l="1" a="1"/>
  <c r="IX105" i="55" s="1"/>
  <c r="IY105" i="55" s="1"/>
  <c r="IV105" i="55" a="1"/>
  <c r="IV105" i="55" s="1"/>
  <c r="IW105" i="55" s="1"/>
  <c r="IT105" i="55" a="1"/>
  <c r="IT105" i="55" s="1"/>
  <c r="IU105" i="55" s="1"/>
  <c r="IR105" i="55" a="1"/>
  <c r="IR105" i="55" s="1"/>
  <c r="IS105" i="55" s="1"/>
  <c r="IN105" i="55" a="1"/>
  <c r="IN105" i="55" s="1"/>
  <c r="IO105" i="55" s="1"/>
  <c r="IP105" i="55" a="1"/>
  <c r="IP105" i="55" s="1"/>
  <c r="IQ105" i="55" s="1"/>
  <c r="JA105" i="55"/>
  <c r="HO105" i="55"/>
  <c r="IH105" i="55" s="1"/>
  <c r="HK105" i="55"/>
  <c r="HR105" i="55"/>
  <c r="HP105" i="55"/>
  <c r="IZ105" i="55" s="1"/>
  <c r="JQ106" i="55"/>
  <c r="HB109" i="55"/>
  <c r="HC109" i="55" s="1"/>
  <c r="HD109" i="55"/>
  <c r="HA110" i="55"/>
  <c r="JS104" i="55"/>
  <c r="N104" i="55"/>
  <c r="HF107" i="55"/>
  <c r="HG107" i="55" s="1"/>
  <c r="AK108" i="55"/>
  <c r="HE108" i="55"/>
  <c r="JS103" i="55"/>
  <c r="N103" i="55"/>
  <c r="IF105" i="55"/>
  <c r="IG105" i="55" s="1"/>
  <c r="HH106" i="55"/>
  <c r="HB110" i="55" l="1"/>
  <c r="HC110" i="55" s="1"/>
  <c r="HD110" i="55"/>
  <c r="HA111" i="55"/>
  <c r="AK109" i="55"/>
  <c r="HE109" i="55"/>
  <c r="JQ107" i="55"/>
  <c r="JS105" i="55"/>
  <c r="N105" i="55"/>
  <c r="HF108" i="55"/>
  <c r="HG108" i="55" s="1"/>
  <c r="HJ106" i="55"/>
  <c r="HI106" i="55"/>
  <c r="IL106" i="55"/>
  <c r="IM106" i="55" s="1"/>
  <c r="HH107" i="55"/>
  <c r="HH108" i="55" l="1"/>
  <c r="HI108" i="55" s="1"/>
  <c r="JR108" i="55" s="1"/>
  <c r="HJ108" i="55"/>
  <c r="IL108" i="55"/>
  <c r="IM108" i="55" s="1"/>
  <c r="HJ107" i="55"/>
  <c r="HI107" i="55"/>
  <c r="IL107" i="55"/>
  <c r="IM107" i="55" s="1"/>
  <c r="JA106" i="55"/>
  <c r="HR106" i="55"/>
  <c r="HK106" i="55"/>
  <c r="HO106" i="55"/>
  <c r="IH106" i="55" s="1"/>
  <c r="HP106" i="55"/>
  <c r="IZ106" i="55" s="1"/>
  <c r="IF106" i="55"/>
  <c r="IG106" i="55" s="1"/>
  <c r="JR106" i="55"/>
  <c r="HF109" i="55"/>
  <c r="HG109" i="55" s="1"/>
  <c r="HH109" i="55" s="1"/>
  <c r="AK110" i="55"/>
  <c r="HE110" i="55"/>
  <c r="IX106" i="55" a="1"/>
  <c r="IX106" i="55" s="1"/>
  <c r="IY106" i="55" s="1"/>
  <c r="IN106" i="55" a="1"/>
  <c r="IN106" i="55" s="1"/>
  <c r="IO106" i="55" s="1"/>
  <c r="IT106" i="55" a="1"/>
  <c r="IT106" i="55" s="1"/>
  <c r="IU106" i="55" s="1"/>
  <c r="IR106" i="55" a="1"/>
  <c r="IR106" i="55" s="1"/>
  <c r="IS106" i="55" s="1"/>
  <c r="IV106" i="55" a="1"/>
  <c r="IV106" i="55" s="1"/>
  <c r="IW106" i="55" s="1"/>
  <c r="IP106" i="55" a="1"/>
  <c r="IP106" i="55" s="1"/>
  <c r="IQ106" i="55" s="1"/>
  <c r="JQ108" i="55"/>
  <c r="HB111" i="55"/>
  <c r="HC111" i="55" s="1"/>
  <c r="HD111" i="55"/>
  <c r="HA112" i="55"/>
  <c r="HJ109" i="55" l="1"/>
  <c r="HI109" i="55"/>
  <c r="IL109" i="55"/>
  <c r="IM109" i="55" s="1"/>
  <c r="JS106" i="55"/>
  <c r="N106" i="55"/>
  <c r="IX107" i="55" a="1"/>
  <c r="IX107" i="55" s="1"/>
  <c r="IY107" i="55" s="1"/>
  <c r="IP107" i="55" a="1"/>
  <c r="IP107" i="55" s="1"/>
  <c r="IQ107" i="55" s="1"/>
  <c r="IV107" i="55" a="1"/>
  <c r="IV107" i="55" s="1"/>
  <c r="IW107" i="55" s="1"/>
  <c r="IN107" i="55" a="1"/>
  <c r="IN107" i="55" s="1"/>
  <c r="IO107" i="55" s="1"/>
  <c r="IT107" i="55" a="1"/>
  <c r="IT107" i="55" s="1"/>
  <c r="IU107" i="55" s="1"/>
  <c r="IR107" i="55" a="1"/>
  <c r="IR107" i="55" s="1"/>
  <c r="IS107" i="55" s="1"/>
  <c r="HB112" i="55"/>
  <c r="HC112" i="55" s="1"/>
  <c r="HD112" i="55"/>
  <c r="HA113" i="55"/>
  <c r="IX108" i="55" a="1"/>
  <c r="IX108" i="55" s="1"/>
  <c r="IY108" i="55" s="1"/>
  <c r="IP108" i="55" a="1"/>
  <c r="IP108" i="55" s="1"/>
  <c r="IQ108" i="55" s="1"/>
  <c r="IV108" i="55" a="1"/>
  <c r="IV108" i="55" s="1"/>
  <c r="IW108" i="55" s="1"/>
  <c r="IR108" i="55" a="1"/>
  <c r="IR108" i="55" s="1"/>
  <c r="IS108" i="55" s="1"/>
  <c r="IT108" i="55" a="1"/>
  <c r="IT108" i="55" s="1"/>
  <c r="IU108" i="55" s="1"/>
  <c r="IN108" i="55" a="1"/>
  <c r="IN108" i="55" s="1"/>
  <c r="IO108" i="55" s="1"/>
  <c r="JA107" i="55"/>
  <c r="HR107" i="55"/>
  <c r="HK107" i="55"/>
  <c r="HO107" i="55"/>
  <c r="IH107" i="55" s="1"/>
  <c r="HP107" i="55"/>
  <c r="IZ107" i="55" s="1"/>
  <c r="JA108" i="55"/>
  <c r="HR108" i="55"/>
  <c r="HK108" i="55"/>
  <c r="HP108" i="55"/>
  <c r="IZ108" i="55" s="1"/>
  <c r="HO108" i="55"/>
  <c r="IH108" i="55" s="1"/>
  <c r="JQ109" i="55"/>
  <c r="JR109" i="55"/>
  <c r="AK111" i="55"/>
  <c r="HE111" i="55"/>
  <c r="IF107" i="55"/>
  <c r="IG107" i="55" s="1"/>
  <c r="JR107" i="55"/>
  <c r="HF110" i="55"/>
  <c r="HG110" i="55" s="1"/>
  <c r="HH110" i="55" s="1"/>
  <c r="IF108" i="55"/>
  <c r="IG108" i="55" s="1"/>
  <c r="HJ110" i="55" l="1"/>
  <c r="HI110" i="55"/>
  <c r="IL110" i="55"/>
  <c r="IM110" i="55" s="1"/>
  <c r="JS108" i="55"/>
  <c r="N108" i="55"/>
  <c r="AK112" i="55"/>
  <c r="HE112" i="55"/>
  <c r="IV109" i="55" a="1"/>
  <c r="IV109" i="55" s="1"/>
  <c r="IW109" i="55" s="1"/>
  <c r="IR109" i="55" a="1"/>
  <c r="IR109" i="55" s="1"/>
  <c r="IS109" i="55" s="1"/>
  <c r="IN109" i="55" a="1"/>
  <c r="IN109" i="55" s="1"/>
  <c r="IO109" i="55" s="1"/>
  <c r="IX109" i="55" a="1"/>
  <c r="IX109" i="55" s="1"/>
  <c r="IY109" i="55" s="1"/>
  <c r="IT109" i="55" a="1"/>
  <c r="IT109" i="55" s="1"/>
  <c r="IU109" i="55" s="1"/>
  <c r="IP109" i="55" a="1"/>
  <c r="IP109" i="55" s="1"/>
  <c r="IQ109" i="55" s="1"/>
  <c r="HB113" i="55"/>
  <c r="HC113" i="55" s="1"/>
  <c r="HD113" i="55"/>
  <c r="HA114" i="55"/>
  <c r="JQ110" i="55"/>
  <c r="JR110" i="55"/>
  <c r="HF111" i="55"/>
  <c r="HG111" i="55" s="1"/>
  <c r="IF109" i="55"/>
  <c r="IG109" i="55" s="1"/>
  <c r="JS107" i="55"/>
  <c r="N107" i="55"/>
  <c r="HR109" i="55"/>
  <c r="JA109" i="55"/>
  <c r="HP109" i="55"/>
  <c r="IZ109" i="55" s="1"/>
  <c r="HO109" i="55"/>
  <c r="IH109" i="55" s="1"/>
  <c r="HK109" i="55"/>
  <c r="JS109" i="55" l="1"/>
  <c r="N109" i="55"/>
  <c r="HF112" i="55"/>
  <c r="HG112" i="55" s="1"/>
  <c r="JQ111" i="55"/>
  <c r="AK113" i="55"/>
  <c r="HE113" i="55"/>
  <c r="IN110" i="55" a="1"/>
  <c r="IN110" i="55" s="1"/>
  <c r="IO110" i="55" s="1"/>
  <c r="IV110" i="55" a="1"/>
  <c r="IV110" i="55" s="1"/>
  <c r="IW110" i="55" s="1"/>
  <c r="IR110" i="55" a="1"/>
  <c r="IR110" i="55" s="1"/>
  <c r="IS110" i="55" s="1"/>
  <c r="IT110" i="55" a="1"/>
  <c r="IT110" i="55" s="1"/>
  <c r="IU110" i="55" s="1"/>
  <c r="IP110" i="55" a="1"/>
  <c r="IP110" i="55" s="1"/>
  <c r="IQ110" i="55" s="1"/>
  <c r="IX110" i="55" a="1"/>
  <c r="IX110" i="55" s="1"/>
  <c r="IY110" i="55" s="1"/>
  <c r="HD114" i="55"/>
  <c r="HB114" i="55"/>
  <c r="HC114" i="55" s="1"/>
  <c r="HA115" i="55"/>
  <c r="HH111" i="55"/>
  <c r="HH112" i="55" s="1"/>
  <c r="IF110" i="55"/>
  <c r="IG110" i="55" s="1"/>
  <c r="HP110" i="55"/>
  <c r="IZ110" i="55" s="1"/>
  <c r="JA110" i="55"/>
  <c r="HR110" i="55"/>
  <c r="HO110" i="55"/>
  <c r="IH110" i="55" s="1"/>
  <c r="HK110" i="55"/>
  <c r="HI112" i="55" l="1"/>
  <c r="HJ112" i="55"/>
  <c r="IL112" i="55"/>
  <c r="IM112" i="55" s="1"/>
  <c r="AK114" i="55"/>
  <c r="HE114" i="55"/>
  <c r="HF113" i="55"/>
  <c r="HG113" i="55" s="1"/>
  <c r="HH113" i="55" s="1"/>
  <c r="JQ112" i="55"/>
  <c r="JR112" i="55"/>
  <c r="HJ111" i="55"/>
  <c r="HI111" i="55"/>
  <c r="IL111" i="55"/>
  <c r="IM111" i="55" s="1"/>
  <c r="JS110" i="55"/>
  <c r="N110" i="55"/>
  <c r="HD115" i="55"/>
  <c r="HB115" i="55"/>
  <c r="HC115" i="55" s="1"/>
  <c r="HA116" i="55"/>
  <c r="HJ113" i="55" l="1"/>
  <c r="HI113" i="55"/>
  <c r="IL113" i="55"/>
  <c r="IM113" i="55" s="1"/>
  <c r="IX111" i="55" a="1"/>
  <c r="IX111" i="55" s="1"/>
  <c r="IY111" i="55" s="1"/>
  <c r="IN111" i="55" a="1"/>
  <c r="IN111" i="55" s="1"/>
  <c r="IO111" i="55" s="1"/>
  <c r="IT111" i="55" a="1"/>
  <c r="IT111" i="55" s="1"/>
  <c r="IU111" i="55" s="1"/>
  <c r="IR111" i="55" a="1"/>
  <c r="IR111" i="55" s="1"/>
  <c r="IS111" i="55" s="1"/>
  <c r="IV111" i="55" a="1"/>
  <c r="IV111" i="55" s="1"/>
  <c r="IW111" i="55" s="1"/>
  <c r="IP111" i="55" a="1"/>
  <c r="IP111" i="55" s="1"/>
  <c r="IQ111" i="55" s="1"/>
  <c r="HF114" i="55"/>
  <c r="HG114" i="55" s="1"/>
  <c r="IV112" i="55" a="1"/>
  <c r="IV112" i="55" s="1"/>
  <c r="IW112" i="55" s="1"/>
  <c r="IT112" i="55" a="1"/>
  <c r="IT112" i="55" s="1"/>
  <c r="IU112" i="55" s="1"/>
  <c r="IX112" i="55" a="1"/>
  <c r="IX112" i="55" s="1"/>
  <c r="IY112" i="55" s="1"/>
  <c r="IP112" i="55" a="1"/>
  <c r="IP112" i="55" s="1"/>
  <c r="IQ112" i="55" s="1"/>
  <c r="IN112" i="55" a="1"/>
  <c r="IN112" i="55" s="1"/>
  <c r="IO112" i="55" s="1"/>
  <c r="IR112" i="55" a="1"/>
  <c r="IR112" i="55" s="1"/>
  <c r="IS112" i="55" s="1"/>
  <c r="JA111" i="55"/>
  <c r="HP111" i="55"/>
  <c r="IZ111" i="55" s="1"/>
  <c r="HR111" i="55"/>
  <c r="HO111" i="55"/>
  <c r="IH111" i="55" s="1"/>
  <c r="HK111" i="55"/>
  <c r="JA112" i="55"/>
  <c r="HO112" i="55"/>
  <c r="IH112" i="55" s="1"/>
  <c r="HP112" i="55"/>
  <c r="IZ112" i="55" s="1"/>
  <c r="HR112" i="55"/>
  <c r="HK112" i="55"/>
  <c r="AK115" i="55"/>
  <c r="HE115" i="55"/>
  <c r="IF111" i="55"/>
  <c r="IG111" i="55" s="1"/>
  <c r="JR111" i="55"/>
  <c r="JR113" i="55"/>
  <c r="JQ113" i="55"/>
  <c r="HD116" i="55"/>
  <c r="HB116" i="55"/>
  <c r="HC116" i="55" s="1"/>
  <c r="HA117" i="55"/>
  <c r="IF112" i="55"/>
  <c r="IG112" i="55" s="1"/>
  <c r="IF113" i="55" l="1"/>
  <c r="IG113" i="55" s="1"/>
  <c r="JS112" i="55"/>
  <c r="N112" i="55"/>
  <c r="JS111" i="55"/>
  <c r="N111" i="55"/>
  <c r="IX113" i="55" a="1"/>
  <c r="IX113" i="55" s="1"/>
  <c r="IY113" i="55" s="1"/>
  <c r="IR113" i="55" a="1"/>
  <c r="IR113" i="55" s="1"/>
  <c r="IS113" i="55" s="1"/>
  <c r="IT113" i="55" a="1"/>
  <c r="IT113" i="55" s="1"/>
  <c r="IU113" i="55" s="1"/>
  <c r="IP113" i="55" a="1"/>
  <c r="IP113" i="55" s="1"/>
  <c r="IQ113" i="55" s="1"/>
  <c r="IV113" i="55" a="1"/>
  <c r="IV113" i="55" s="1"/>
  <c r="IW113" i="55" s="1"/>
  <c r="IN113" i="55" a="1"/>
  <c r="IN113" i="55" s="1"/>
  <c r="IO113" i="55" s="1"/>
  <c r="AK116" i="55"/>
  <c r="HE116" i="55"/>
  <c r="HF115" i="55"/>
  <c r="HG115" i="55" s="1"/>
  <c r="JQ114" i="55"/>
  <c r="HH114" i="55"/>
  <c r="HD117" i="55"/>
  <c r="HB117" i="55"/>
  <c r="HC117" i="55" s="1"/>
  <c r="HA118" i="55"/>
  <c r="JA113" i="55"/>
  <c r="HO113" i="55"/>
  <c r="IH113" i="55" s="1"/>
  <c r="HP113" i="55"/>
  <c r="IZ113" i="55" s="1"/>
  <c r="HR113" i="55"/>
  <c r="HK113" i="55"/>
  <c r="HH115" i="55" l="1"/>
  <c r="HI115" i="55" s="1"/>
  <c r="JR115" i="55" s="1"/>
  <c r="IL115" i="55"/>
  <c r="IM115" i="55" s="1"/>
  <c r="HB118" i="55"/>
  <c r="HC118" i="55" s="1"/>
  <c r="HD118" i="55"/>
  <c r="HA119" i="55"/>
  <c r="JS113" i="55"/>
  <c r="N113" i="55"/>
  <c r="AK117" i="55"/>
  <c r="HE117" i="55"/>
  <c r="JQ115" i="55"/>
  <c r="HF116" i="55"/>
  <c r="HG116" i="55" s="1"/>
  <c r="HI114" i="55"/>
  <c r="HJ114" i="55"/>
  <c r="IL114" i="55"/>
  <c r="IM114" i="55" s="1"/>
  <c r="HJ115" i="55" l="1"/>
  <c r="JQ116" i="55"/>
  <c r="JA114" i="55"/>
  <c r="HR114" i="55"/>
  <c r="HP114" i="55"/>
  <c r="IZ114" i="55" s="1"/>
  <c r="HK114" i="55"/>
  <c r="HO114" i="55"/>
  <c r="IH114" i="55" s="1"/>
  <c r="HD119" i="55"/>
  <c r="HB119" i="55"/>
  <c r="HC119" i="55" s="1"/>
  <c r="HA120" i="55"/>
  <c r="IX115" i="55" a="1"/>
  <c r="IX115" i="55" s="1"/>
  <c r="IY115" i="55" s="1"/>
  <c r="IV115" i="55" a="1"/>
  <c r="IV115" i="55" s="1"/>
  <c r="IW115" i="55" s="1"/>
  <c r="IP115" i="55" a="1"/>
  <c r="IP115" i="55" s="1"/>
  <c r="IQ115" i="55" s="1"/>
  <c r="IT115" i="55" a="1"/>
  <c r="IT115" i="55" s="1"/>
  <c r="IU115" i="55" s="1"/>
  <c r="IR115" i="55" a="1"/>
  <c r="IR115" i="55" s="1"/>
  <c r="IS115" i="55" s="1"/>
  <c r="IN115" i="55" a="1"/>
  <c r="IN115" i="55" s="1"/>
  <c r="IO115" i="55" s="1"/>
  <c r="IF114" i="55"/>
  <c r="IG114" i="55" s="1"/>
  <c r="JR114" i="55"/>
  <c r="AK118" i="55"/>
  <c r="HE118" i="55"/>
  <c r="JA115" i="55"/>
  <c r="HO115" i="55"/>
  <c r="IH115" i="55" s="1"/>
  <c r="HR115" i="55"/>
  <c r="HP115" i="55"/>
  <c r="IZ115" i="55" s="1"/>
  <c r="HK115" i="55"/>
  <c r="HH116" i="55"/>
  <c r="HF117" i="55"/>
  <c r="HG117" i="55" s="1"/>
  <c r="HH117" i="55"/>
  <c r="IT114" i="55" a="1"/>
  <c r="IT114" i="55" s="1"/>
  <c r="IU114" i="55" s="1"/>
  <c r="IR114" i="55" a="1"/>
  <c r="IR114" i="55" s="1"/>
  <c r="IS114" i="55" s="1"/>
  <c r="IP114" i="55" a="1"/>
  <c r="IP114" i="55" s="1"/>
  <c r="IQ114" i="55" s="1"/>
  <c r="IV114" i="55" a="1"/>
  <c r="IV114" i="55" s="1"/>
  <c r="IW114" i="55" s="1"/>
  <c r="IN114" i="55" a="1"/>
  <c r="IN114" i="55" s="1"/>
  <c r="IO114" i="55" s="1"/>
  <c r="IX114" i="55" a="1"/>
  <c r="IX114" i="55" s="1"/>
  <c r="IY114" i="55" s="1"/>
  <c r="IF115" i="55"/>
  <c r="IG115" i="55" s="1"/>
  <c r="HI117" i="55" l="1"/>
  <c r="HJ117" i="55"/>
  <c r="IL117" i="55"/>
  <c r="IM117" i="55" s="1"/>
  <c r="HI116" i="55"/>
  <c r="HJ116" i="55"/>
  <c r="IL116" i="55"/>
  <c r="IM116" i="55" s="1"/>
  <c r="JS115" i="55"/>
  <c r="N115" i="55"/>
  <c r="HF118" i="55"/>
  <c r="HG118" i="55" s="1"/>
  <c r="HH118" i="55" s="1"/>
  <c r="JR117" i="55"/>
  <c r="JQ117" i="55"/>
  <c r="HB120" i="55"/>
  <c r="HC120" i="55" s="1"/>
  <c r="HD120" i="55"/>
  <c r="HA121" i="55"/>
  <c r="AK119" i="55"/>
  <c r="HE119" i="55"/>
  <c r="JS114" i="55"/>
  <c r="N114" i="55"/>
  <c r="AK120" i="55" l="1"/>
  <c r="HE120" i="55"/>
  <c r="IR117" i="55" a="1"/>
  <c r="IR117" i="55" s="1"/>
  <c r="IS117" i="55" s="1"/>
  <c r="IV117" i="55" a="1"/>
  <c r="IV117" i="55" s="1"/>
  <c r="IW117" i="55" s="1"/>
  <c r="IN117" i="55" a="1"/>
  <c r="IN117" i="55" s="1"/>
  <c r="IO117" i="55" s="1"/>
  <c r="IP117" i="55" a="1"/>
  <c r="IP117" i="55" s="1"/>
  <c r="IQ117" i="55" s="1"/>
  <c r="IT117" i="55" a="1"/>
  <c r="IT117" i="55" s="1"/>
  <c r="IU117" i="55" s="1"/>
  <c r="IX117" i="55" a="1"/>
  <c r="IX117" i="55" s="1"/>
  <c r="IY117" i="55" s="1"/>
  <c r="IV116" i="55" a="1"/>
  <c r="IV116" i="55" s="1"/>
  <c r="IW116" i="55" s="1"/>
  <c r="IP116" i="55" a="1"/>
  <c r="IP116" i="55" s="1"/>
  <c r="IQ116" i="55" s="1"/>
  <c r="IT116" i="55" a="1"/>
  <c r="IT116" i="55" s="1"/>
  <c r="IU116" i="55" s="1"/>
  <c r="IR116" i="55" a="1"/>
  <c r="IR116" i="55" s="1"/>
  <c r="IS116" i="55" s="1"/>
  <c r="IX116" i="55" a="1"/>
  <c r="IX116" i="55" s="1"/>
  <c r="IY116" i="55" s="1"/>
  <c r="IN116" i="55" a="1"/>
  <c r="IN116" i="55" s="1"/>
  <c r="IO116" i="55" s="1"/>
  <c r="IF116" i="55"/>
  <c r="IG116" i="55" s="1"/>
  <c r="JR116" i="55"/>
  <c r="JA117" i="55"/>
  <c r="HP117" i="55"/>
  <c r="IZ117" i="55" s="1"/>
  <c r="HO117" i="55"/>
  <c r="IH117" i="55" s="1"/>
  <c r="HK117" i="55"/>
  <c r="HR117" i="55"/>
  <c r="HB121" i="55"/>
  <c r="HC121" i="55" s="1"/>
  <c r="HD121" i="55"/>
  <c r="HA122" i="55"/>
  <c r="HI118" i="55"/>
  <c r="HJ118" i="55"/>
  <c r="IL118" i="55"/>
  <c r="IM118" i="55" s="1"/>
  <c r="JR118" i="55"/>
  <c r="JQ118" i="55"/>
  <c r="JA116" i="55"/>
  <c r="HP116" i="55"/>
  <c r="IZ116" i="55" s="1"/>
  <c r="HR116" i="55"/>
  <c r="HK116" i="55"/>
  <c r="HO116" i="55"/>
  <c r="IH116" i="55" s="1"/>
  <c r="HF119" i="55"/>
  <c r="HG119" i="55" s="1"/>
  <c r="HH119" i="55"/>
  <c r="IF117" i="55"/>
  <c r="IG117" i="55" s="1"/>
  <c r="JA118" i="55" l="1"/>
  <c r="HP118" i="55"/>
  <c r="IZ118" i="55" s="1"/>
  <c r="HO118" i="55"/>
  <c r="IH118" i="55" s="1"/>
  <c r="HR118" i="55"/>
  <c r="HK118" i="55"/>
  <c r="AK121" i="55"/>
  <c r="HE121" i="55"/>
  <c r="JR119" i="55"/>
  <c r="JQ119" i="55"/>
  <c r="IX118" i="55" a="1"/>
  <c r="IX118" i="55" s="1"/>
  <c r="IY118" i="55" s="1"/>
  <c r="IN118" i="55" a="1"/>
  <c r="IN118" i="55" s="1"/>
  <c r="IO118" i="55" s="1"/>
  <c r="IP118" i="55" a="1"/>
  <c r="IP118" i="55" s="1"/>
  <c r="IQ118" i="55" s="1"/>
  <c r="IT118" i="55" a="1"/>
  <c r="IT118" i="55" s="1"/>
  <c r="IU118" i="55" s="1"/>
  <c r="IR118" i="55" a="1"/>
  <c r="IR118" i="55" s="1"/>
  <c r="IS118" i="55" s="1"/>
  <c r="IV118" i="55" a="1"/>
  <c r="IV118" i="55" s="1"/>
  <c r="IW118" i="55" s="1"/>
  <c r="IF118" i="55"/>
  <c r="IG118" i="55" s="1"/>
  <c r="HD122" i="55"/>
  <c r="HB122" i="55"/>
  <c r="HC122" i="55" s="1"/>
  <c r="HA123" i="55"/>
  <c r="HI119" i="55"/>
  <c r="HJ119" i="55"/>
  <c r="IL119" i="55"/>
  <c r="IM119" i="55" s="1"/>
  <c r="JS116" i="55"/>
  <c r="N116" i="55"/>
  <c r="HF120" i="55"/>
  <c r="HG120" i="55" s="1"/>
  <c r="JS117" i="55"/>
  <c r="N117" i="55"/>
  <c r="JQ120" i="55" l="1"/>
  <c r="JS118" i="55"/>
  <c r="N118" i="55"/>
  <c r="HH120" i="55"/>
  <c r="HF121" i="55"/>
  <c r="HG121" i="55" s="1"/>
  <c r="HH121" i="55" s="1"/>
  <c r="JA119" i="55"/>
  <c r="HP119" i="55"/>
  <c r="IZ119" i="55" s="1"/>
  <c r="HK119" i="55"/>
  <c r="HO119" i="55"/>
  <c r="IH119" i="55" s="1"/>
  <c r="HR119" i="55"/>
  <c r="IF119" i="55"/>
  <c r="IG119" i="55" s="1"/>
  <c r="HD123" i="55"/>
  <c r="HB123" i="55"/>
  <c r="HC123" i="55" s="1"/>
  <c r="HA124" i="55"/>
  <c r="IV119" i="55" a="1"/>
  <c r="IV119" i="55" s="1"/>
  <c r="IW119" i="55" s="1"/>
  <c r="IX119" i="55" a="1"/>
  <c r="IX119" i="55" s="1"/>
  <c r="IY119" i="55" s="1"/>
  <c r="IN119" i="55" a="1"/>
  <c r="IN119" i="55" s="1"/>
  <c r="IO119" i="55" s="1"/>
  <c r="IR119" i="55" a="1"/>
  <c r="IR119" i="55" s="1"/>
  <c r="IS119" i="55" s="1"/>
  <c r="IT119" i="55" a="1"/>
  <c r="IT119" i="55" s="1"/>
  <c r="IU119" i="55" s="1"/>
  <c r="IP119" i="55" a="1"/>
  <c r="IP119" i="55" s="1"/>
  <c r="IQ119" i="55" s="1"/>
  <c r="AK122" i="55"/>
  <c r="HE122" i="55"/>
  <c r="HI121" i="55" l="1"/>
  <c r="HJ121" i="55"/>
  <c r="IL121" i="55"/>
  <c r="IM121" i="55" s="1"/>
  <c r="HD124" i="55"/>
  <c r="HB124" i="55"/>
  <c r="HC124" i="55" s="1"/>
  <c r="HA125" i="55"/>
  <c r="JS119" i="55"/>
  <c r="N119" i="55"/>
  <c r="HF122" i="55"/>
  <c r="HG122" i="55" s="1"/>
  <c r="AK123" i="55"/>
  <c r="HE123" i="55"/>
  <c r="JQ121" i="55"/>
  <c r="JR121" i="55"/>
  <c r="HI120" i="55"/>
  <c r="HJ120" i="55"/>
  <c r="IL120" i="55"/>
  <c r="IM120" i="55" s="1"/>
  <c r="IF120" i="55" l="1"/>
  <c r="IG120" i="55" s="1"/>
  <c r="JR120" i="55"/>
  <c r="HF123" i="55"/>
  <c r="HG123" i="55" s="1"/>
  <c r="HD125" i="55"/>
  <c r="HB125" i="55"/>
  <c r="HC125" i="55" s="1"/>
  <c r="HA126" i="55"/>
  <c r="AK124" i="55"/>
  <c r="HE124" i="55"/>
  <c r="IV121" i="55" a="1"/>
  <c r="IV121" i="55" s="1"/>
  <c r="IW121" i="55" s="1"/>
  <c r="IT121" i="55" a="1"/>
  <c r="IT121" i="55" s="1"/>
  <c r="IU121" i="55" s="1"/>
  <c r="IR121" i="55" a="1"/>
  <c r="IR121" i="55" s="1"/>
  <c r="IS121" i="55" s="1"/>
  <c r="IX121" i="55" a="1"/>
  <c r="IX121" i="55" s="1"/>
  <c r="IY121" i="55" s="1"/>
  <c r="IN121" i="55" a="1"/>
  <c r="IN121" i="55" s="1"/>
  <c r="IO121" i="55" s="1"/>
  <c r="IP121" i="55" a="1"/>
  <c r="IP121" i="55" s="1"/>
  <c r="IQ121" i="55" s="1"/>
  <c r="JA121" i="55"/>
  <c r="HP121" i="55"/>
  <c r="IZ121" i="55" s="1"/>
  <c r="HR121" i="55"/>
  <c r="HO121" i="55"/>
  <c r="IH121" i="55" s="1"/>
  <c r="JA120" i="55"/>
  <c r="HO120" i="55"/>
  <c r="IH120" i="55" s="1"/>
  <c r="HK120" i="55"/>
  <c r="HK121" i="55" s="1"/>
  <c r="HP120" i="55"/>
  <c r="IZ120" i="55" s="1"/>
  <c r="HR120" i="55"/>
  <c r="JQ122" i="55"/>
  <c r="HH122" i="55"/>
  <c r="IR120" i="55" a="1"/>
  <c r="IR120" i="55" s="1"/>
  <c r="IS120" i="55" s="1"/>
  <c r="IV120" i="55" a="1"/>
  <c r="IV120" i="55" s="1"/>
  <c r="IW120" i="55" s="1"/>
  <c r="IN120" i="55" a="1"/>
  <c r="IN120" i="55" s="1"/>
  <c r="IO120" i="55" s="1"/>
  <c r="IT120" i="55" a="1"/>
  <c r="IT120" i="55" s="1"/>
  <c r="IU120" i="55" s="1"/>
  <c r="IX120" i="55" a="1"/>
  <c r="IX120" i="55" s="1"/>
  <c r="IY120" i="55" s="1"/>
  <c r="IP120" i="55" a="1"/>
  <c r="IP120" i="55" s="1"/>
  <c r="IQ120" i="55" s="1"/>
  <c r="IF121" i="55"/>
  <c r="IG121" i="55" s="1"/>
  <c r="HF124" i="55" l="1"/>
  <c r="HG124" i="55" s="1"/>
  <c r="JS121" i="55"/>
  <c r="N121" i="55"/>
  <c r="JQ123" i="55"/>
  <c r="HH123" i="55"/>
  <c r="HJ122" i="55"/>
  <c r="HI122" i="55"/>
  <c r="IL122" i="55"/>
  <c r="IM122" i="55" s="1"/>
  <c r="HB126" i="55"/>
  <c r="HC126" i="55" s="1"/>
  <c r="HD126" i="55"/>
  <c r="HA127" i="55"/>
  <c r="AK125" i="55"/>
  <c r="HE125" i="55"/>
  <c r="JS120" i="55"/>
  <c r="N120" i="55"/>
  <c r="HF125" i="55" l="1"/>
  <c r="HG125" i="55" s="1"/>
  <c r="IX122" i="55" a="1"/>
  <c r="IX122" i="55" s="1"/>
  <c r="IY122" i="55" s="1"/>
  <c r="IT122" i="55" a="1"/>
  <c r="IT122" i="55" s="1"/>
  <c r="IU122" i="55" s="1"/>
  <c r="IR122" i="55" a="1"/>
  <c r="IR122" i="55" s="1"/>
  <c r="IS122" i="55" s="1"/>
  <c r="IP122" i="55" a="1"/>
  <c r="IP122" i="55" s="1"/>
  <c r="IQ122" i="55" s="1"/>
  <c r="IN122" i="55" a="1"/>
  <c r="IN122" i="55" s="1"/>
  <c r="IO122" i="55" s="1"/>
  <c r="IV122" i="55" a="1"/>
  <c r="IV122" i="55" s="1"/>
  <c r="IW122" i="55" s="1"/>
  <c r="JA122" i="55"/>
  <c r="HR122" i="55"/>
  <c r="HO122" i="55"/>
  <c r="IH122" i="55" s="1"/>
  <c r="HK122" i="55"/>
  <c r="HP122" i="55"/>
  <c r="IZ122" i="55" s="1"/>
  <c r="HB127" i="55"/>
  <c r="HC127" i="55" s="1"/>
  <c r="HD127" i="55"/>
  <c r="HA128" i="55"/>
  <c r="HJ123" i="55"/>
  <c r="HI123" i="55"/>
  <c r="IL123" i="55"/>
  <c r="IM123" i="55" s="1"/>
  <c r="JQ124" i="55"/>
  <c r="AK126" i="55"/>
  <c r="HE126" i="55"/>
  <c r="IF122" i="55"/>
  <c r="IG122" i="55" s="1"/>
  <c r="JR122" i="55"/>
  <c r="HH124" i="55"/>
  <c r="HB128" i="55" l="1"/>
  <c r="HC128" i="55" s="1"/>
  <c r="HD128" i="55"/>
  <c r="HA129" i="55"/>
  <c r="HI124" i="55"/>
  <c r="HJ124" i="55"/>
  <c r="IL124" i="55"/>
  <c r="IM124" i="55" s="1"/>
  <c r="JS122" i="55"/>
  <c r="N122" i="55"/>
  <c r="HF126" i="55"/>
  <c r="HG126" i="55" s="1"/>
  <c r="IF123" i="55"/>
  <c r="IG123" i="55" s="1"/>
  <c r="JR123" i="55"/>
  <c r="AK127" i="55"/>
  <c r="HE127" i="55"/>
  <c r="IX123" i="55" a="1"/>
  <c r="IX123" i="55" s="1"/>
  <c r="IY123" i="55" s="1"/>
  <c r="IT123" i="55" a="1"/>
  <c r="IT123" i="55" s="1"/>
  <c r="IU123" i="55" s="1"/>
  <c r="IP123" i="55" a="1"/>
  <c r="IP123" i="55" s="1"/>
  <c r="IQ123" i="55" s="1"/>
  <c r="IV123" i="55" a="1"/>
  <c r="IV123" i="55" s="1"/>
  <c r="IW123" i="55" s="1"/>
  <c r="IN123" i="55" a="1"/>
  <c r="IN123" i="55" s="1"/>
  <c r="IO123" i="55" s="1"/>
  <c r="IR123" i="55" a="1"/>
  <c r="IR123" i="55" s="1"/>
  <c r="IS123" i="55" s="1"/>
  <c r="HH125" i="55"/>
  <c r="JA123" i="55"/>
  <c r="HR123" i="55"/>
  <c r="HO123" i="55"/>
  <c r="IH123" i="55" s="1"/>
  <c r="HK123" i="55"/>
  <c r="HP123" i="55"/>
  <c r="IZ123" i="55" s="1"/>
  <c r="JQ125" i="55"/>
  <c r="JQ126" i="55" l="1"/>
  <c r="HH126" i="55"/>
  <c r="HJ125" i="55"/>
  <c r="HI125" i="55"/>
  <c r="IL125" i="55"/>
  <c r="IM125" i="55" s="1"/>
  <c r="HB129" i="55"/>
  <c r="HC129" i="55" s="1"/>
  <c r="HD129" i="55"/>
  <c r="HA130" i="55"/>
  <c r="JS123" i="55"/>
  <c r="N123" i="55"/>
  <c r="IF124" i="55"/>
  <c r="IG124" i="55" s="1"/>
  <c r="JR124" i="55"/>
  <c r="AK128" i="55"/>
  <c r="HE128" i="55"/>
  <c r="HF127" i="55"/>
  <c r="HG127" i="55" s="1"/>
  <c r="IX124" i="55" a="1"/>
  <c r="IX124" i="55" s="1"/>
  <c r="IY124" i="55" s="1"/>
  <c r="IV124" i="55" a="1"/>
  <c r="IV124" i="55" s="1"/>
  <c r="IW124" i="55" s="1"/>
  <c r="IT124" i="55" a="1"/>
  <c r="IT124" i="55" s="1"/>
  <c r="IU124" i="55" s="1"/>
  <c r="IP124" i="55" a="1"/>
  <c r="IP124" i="55" s="1"/>
  <c r="IQ124" i="55" s="1"/>
  <c r="IN124" i="55" a="1"/>
  <c r="IN124" i="55" s="1"/>
  <c r="IO124" i="55" s="1"/>
  <c r="IR124" i="55" a="1"/>
  <c r="IR124" i="55" s="1"/>
  <c r="IS124" i="55" s="1"/>
  <c r="HR124" i="55"/>
  <c r="JA124" i="55"/>
  <c r="HO124" i="55"/>
  <c r="IH124" i="55" s="1"/>
  <c r="HK124" i="55"/>
  <c r="HP124" i="55"/>
  <c r="IZ124" i="55" s="1"/>
  <c r="HF128" i="55" l="1"/>
  <c r="HG128" i="55" s="1"/>
  <c r="JA125" i="55"/>
  <c r="HR125" i="55"/>
  <c r="HK125" i="55"/>
  <c r="HP125" i="55"/>
  <c r="IZ125" i="55" s="1"/>
  <c r="HO125" i="55"/>
  <c r="IH125" i="55" s="1"/>
  <c r="JS124" i="55"/>
  <c r="N124" i="55"/>
  <c r="AK129" i="55"/>
  <c r="HE129" i="55"/>
  <c r="IF125" i="55"/>
  <c r="IG125" i="55" s="1"/>
  <c r="JR125" i="55"/>
  <c r="HJ126" i="55"/>
  <c r="HI126" i="55"/>
  <c r="IL126" i="55"/>
  <c r="IM126" i="55" s="1"/>
  <c r="JQ127" i="55"/>
  <c r="HD130" i="55"/>
  <c r="HB130" i="55"/>
  <c r="HC130" i="55" s="1"/>
  <c r="HA131" i="55"/>
  <c r="IR125" i="55" a="1"/>
  <c r="IR125" i="55" s="1"/>
  <c r="IS125" i="55" s="1"/>
  <c r="IV125" i="55" a="1"/>
  <c r="IV125" i="55" s="1"/>
  <c r="IW125" i="55" s="1"/>
  <c r="IP125" i="55" a="1"/>
  <c r="IP125" i="55" s="1"/>
  <c r="IQ125" i="55" s="1"/>
  <c r="IX125" i="55" a="1"/>
  <c r="IX125" i="55" s="1"/>
  <c r="IY125" i="55" s="1"/>
  <c r="IT125" i="55" a="1"/>
  <c r="IT125" i="55" s="1"/>
  <c r="IU125" i="55" s="1"/>
  <c r="IN125" i="55" a="1"/>
  <c r="IN125" i="55" s="1"/>
  <c r="IO125" i="55" s="1"/>
  <c r="HH127" i="55"/>
  <c r="IX126" i="55" l="1" a="1"/>
  <c r="IX126" i="55" s="1"/>
  <c r="IY126" i="55" s="1"/>
  <c r="IN126" i="55" a="1"/>
  <c r="IN126" i="55" s="1"/>
  <c r="IO126" i="55" s="1"/>
  <c r="IT126" i="55" a="1"/>
  <c r="IT126" i="55" s="1"/>
  <c r="IU126" i="55" s="1"/>
  <c r="IV126" i="55" a="1"/>
  <c r="IV126" i="55" s="1"/>
  <c r="IW126" i="55" s="1"/>
  <c r="IR126" i="55" a="1"/>
  <c r="IR126" i="55" s="1"/>
  <c r="IS126" i="55" s="1"/>
  <c r="IP126" i="55" a="1"/>
  <c r="IP126" i="55" s="1"/>
  <c r="IQ126" i="55" s="1"/>
  <c r="IF126" i="55"/>
  <c r="IG126" i="55" s="1"/>
  <c r="JR126" i="55"/>
  <c r="HI127" i="55"/>
  <c r="HJ127" i="55"/>
  <c r="IL127" i="55"/>
  <c r="IM127" i="55" s="1"/>
  <c r="JS125" i="55"/>
  <c r="N125" i="55"/>
  <c r="HD131" i="55"/>
  <c r="HB131" i="55"/>
  <c r="HC131" i="55" s="1"/>
  <c r="HA132" i="55"/>
  <c r="AK130" i="55"/>
  <c r="HE130" i="55"/>
  <c r="JQ128" i="55"/>
  <c r="JA126" i="55"/>
  <c r="HP126" i="55"/>
  <c r="IZ126" i="55" s="1"/>
  <c r="HO126" i="55"/>
  <c r="IH126" i="55" s="1"/>
  <c r="HK126" i="55"/>
  <c r="HR126" i="55"/>
  <c r="HF129" i="55"/>
  <c r="HG129" i="55" s="1"/>
  <c r="HH129" i="55" s="1"/>
  <c r="HH128" i="55"/>
  <c r="HJ129" i="55" l="1"/>
  <c r="HI129" i="55"/>
  <c r="AK131" i="55"/>
  <c r="HE131" i="55"/>
  <c r="HI128" i="55"/>
  <c r="HJ128" i="55"/>
  <c r="IL128" i="55"/>
  <c r="IM128" i="55" s="1"/>
  <c r="HD132" i="55"/>
  <c r="HB132" i="55"/>
  <c r="HC132" i="55" s="1"/>
  <c r="HA133" i="55"/>
  <c r="IV127" i="55" a="1"/>
  <c r="IV127" i="55" s="1"/>
  <c r="IW127" i="55" s="1"/>
  <c r="IX127" i="55" a="1"/>
  <c r="IX127" i="55" s="1"/>
  <c r="IY127" i="55" s="1"/>
  <c r="IN127" i="55" a="1"/>
  <c r="IN127" i="55" s="1"/>
  <c r="IO127" i="55" s="1"/>
  <c r="IT127" i="55" a="1"/>
  <c r="IT127" i="55" s="1"/>
  <c r="IU127" i="55" s="1"/>
  <c r="IP127" i="55" a="1"/>
  <c r="IP127" i="55" s="1"/>
  <c r="IQ127" i="55" s="1"/>
  <c r="IR127" i="55" a="1"/>
  <c r="IR127" i="55" s="1"/>
  <c r="IS127" i="55" s="1"/>
  <c r="JQ129" i="55"/>
  <c r="HP127" i="55"/>
  <c r="IZ127" i="55" s="1"/>
  <c r="JA127" i="55"/>
  <c r="HO127" i="55"/>
  <c r="IH127" i="55" s="1"/>
  <c r="HK127" i="55"/>
  <c r="HR127" i="55"/>
  <c r="IF127" i="55"/>
  <c r="IG127" i="55" s="1"/>
  <c r="JR127" i="55"/>
  <c r="JS126" i="55"/>
  <c r="N126" i="55"/>
  <c r="HF130" i="55"/>
  <c r="HG130" i="55" s="1"/>
  <c r="IF129" i="55" l="1"/>
  <c r="IG129" i="55" s="1"/>
  <c r="JQ130" i="55"/>
  <c r="HH130" i="55"/>
  <c r="HD133" i="55"/>
  <c r="HB133" i="55"/>
  <c r="HC133" i="55" s="1"/>
  <c r="HA134" i="55"/>
  <c r="AK132" i="55"/>
  <c r="HE132" i="55"/>
  <c r="JA128" i="55"/>
  <c r="HO128" i="55"/>
  <c r="IH128" i="55" s="1"/>
  <c r="HR128" i="55"/>
  <c r="HK128" i="55"/>
  <c r="HP128" i="55"/>
  <c r="IZ128" i="55" s="1"/>
  <c r="IF128" i="55"/>
  <c r="IG128" i="55" s="1"/>
  <c r="JR128" i="55"/>
  <c r="IX128" i="55" a="1"/>
  <c r="IX128" i="55" s="1"/>
  <c r="IY128" i="55" s="1"/>
  <c r="IV128" i="55" a="1"/>
  <c r="IV128" i="55" s="1"/>
  <c r="IW128" i="55" s="1"/>
  <c r="IP128" i="55" a="1"/>
  <c r="IP128" i="55" s="1"/>
  <c r="IQ128" i="55" s="1"/>
  <c r="IR128" i="55" a="1"/>
  <c r="IR128" i="55" s="1"/>
  <c r="IS128" i="55" s="1"/>
  <c r="IT128" i="55" a="1"/>
  <c r="IT128" i="55" s="1"/>
  <c r="IU128" i="55" s="1"/>
  <c r="IN128" i="55" a="1"/>
  <c r="IN128" i="55" s="1"/>
  <c r="IO128" i="55" s="1"/>
  <c r="JS127" i="55"/>
  <c r="N127" i="55"/>
  <c r="HF131" i="55"/>
  <c r="HG131" i="55" s="1"/>
  <c r="HH131" i="55"/>
  <c r="JR129" i="55"/>
  <c r="JA129" i="55"/>
  <c r="HO129" i="55"/>
  <c r="IH129" i="55" s="1"/>
  <c r="HP129" i="55"/>
  <c r="IZ129" i="55" s="1"/>
  <c r="HR129" i="55"/>
  <c r="HK129" i="55"/>
  <c r="HF132" i="55" l="1"/>
  <c r="HG132" i="55" s="1"/>
  <c r="HH132" i="55" s="1"/>
  <c r="JS128" i="55"/>
  <c r="N128" i="55"/>
  <c r="JQ131" i="55"/>
  <c r="HJ130" i="55"/>
  <c r="HI130" i="55"/>
  <c r="JS129" i="55"/>
  <c r="N129" i="55"/>
  <c r="HJ131" i="55"/>
  <c r="HI131" i="55"/>
  <c r="IL131" i="55"/>
  <c r="IM131" i="55" s="1"/>
  <c r="HD134" i="55"/>
  <c r="HB134" i="55"/>
  <c r="HC134" i="55" s="1"/>
  <c r="HA135" i="55"/>
  <c r="AK133" i="55"/>
  <c r="HE133" i="55"/>
  <c r="IF131" i="55" l="1"/>
  <c r="IG131" i="55" s="1"/>
  <c r="HI132" i="55"/>
  <c r="HJ132" i="55"/>
  <c r="IL132" i="55"/>
  <c r="IM132" i="55" s="1"/>
  <c r="HB135" i="55"/>
  <c r="HC135" i="55" s="1"/>
  <c r="HD135" i="55"/>
  <c r="HA136" i="55"/>
  <c r="JA131" i="55"/>
  <c r="HO131" i="55"/>
  <c r="IH131" i="55" s="1"/>
  <c r="HR131" i="55"/>
  <c r="HP131" i="55"/>
  <c r="IZ131" i="55" s="1"/>
  <c r="HK131" i="55"/>
  <c r="IF130" i="55"/>
  <c r="IG130" i="55" s="1"/>
  <c r="JR130" i="55"/>
  <c r="JA130" i="55"/>
  <c r="HO130" i="55"/>
  <c r="IH130" i="55" s="1"/>
  <c r="HR130" i="55"/>
  <c r="HK130" i="55"/>
  <c r="HP130" i="55"/>
  <c r="IZ130" i="55" s="1"/>
  <c r="JR131" i="55"/>
  <c r="AK134" i="55"/>
  <c r="HE134" i="55"/>
  <c r="HF133" i="55"/>
  <c r="HG133" i="55" s="1"/>
  <c r="HH133" i="55"/>
  <c r="IX131" i="55" a="1"/>
  <c r="IX131" i="55" s="1"/>
  <c r="IY131" i="55" s="1"/>
  <c r="IV131" i="55" a="1"/>
  <c r="IV131" i="55" s="1"/>
  <c r="IW131" i="55" s="1"/>
  <c r="IT131" i="55" a="1"/>
  <c r="IT131" i="55" s="1"/>
  <c r="IU131" i="55" s="1"/>
  <c r="IP131" i="55" a="1"/>
  <c r="IP131" i="55" s="1"/>
  <c r="IQ131" i="55" s="1"/>
  <c r="IR131" i="55" a="1"/>
  <c r="IR131" i="55" s="1"/>
  <c r="IS131" i="55" s="1"/>
  <c r="IN131" i="55" a="1"/>
  <c r="IN131" i="55" s="1"/>
  <c r="IO131" i="55" s="1"/>
  <c r="JQ132" i="55"/>
  <c r="JR132" i="55"/>
  <c r="HI133" i="55" l="1"/>
  <c r="HJ133" i="55"/>
  <c r="IL133" i="55"/>
  <c r="IM133" i="55" s="1"/>
  <c r="JS130" i="55"/>
  <c r="N130" i="55"/>
  <c r="JQ133" i="55"/>
  <c r="JR133" i="55"/>
  <c r="HF134" i="55"/>
  <c r="HG134" i="55" s="1"/>
  <c r="HH134" i="55"/>
  <c r="IX132" i="55" a="1"/>
  <c r="IX132" i="55" s="1"/>
  <c r="IY132" i="55" s="1"/>
  <c r="IV132" i="55" a="1"/>
  <c r="IV132" i="55" s="1"/>
  <c r="IW132" i="55" s="1"/>
  <c r="IT132" i="55" a="1"/>
  <c r="IT132" i="55" s="1"/>
  <c r="IU132" i="55" s="1"/>
  <c r="IP132" i="55" a="1"/>
  <c r="IP132" i="55" s="1"/>
  <c r="IQ132" i="55" s="1"/>
  <c r="IR132" i="55" a="1"/>
  <c r="IR132" i="55" s="1"/>
  <c r="IS132" i="55" s="1"/>
  <c r="IN132" i="55" a="1"/>
  <c r="IN132" i="55" s="1"/>
  <c r="IO132" i="55" s="1"/>
  <c r="JS131" i="55"/>
  <c r="N131" i="55"/>
  <c r="AK135" i="55"/>
  <c r="HE135" i="55"/>
  <c r="JA132" i="55"/>
  <c r="HO132" i="55"/>
  <c r="IH132" i="55" s="1"/>
  <c r="HR132" i="55"/>
  <c r="HK132" i="55"/>
  <c r="HP132" i="55"/>
  <c r="IZ132" i="55" s="1"/>
  <c r="HB136" i="55"/>
  <c r="HC136" i="55" s="1"/>
  <c r="HD136" i="55"/>
  <c r="HA137" i="55"/>
  <c r="IF132" i="55"/>
  <c r="IG132" i="55" s="1"/>
  <c r="IF133" i="55" l="1"/>
  <c r="IG133" i="55" s="1"/>
  <c r="HB137" i="55"/>
  <c r="HC137" i="55" s="1"/>
  <c r="HD137" i="55"/>
  <c r="HA138" i="55"/>
  <c r="AK136" i="55"/>
  <c r="HE136" i="55"/>
  <c r="JQ134" i="55"/>
  <c r="JR134" i="55"/>
  <c r="JS132" i="55"/>
  <c r="N132" i="55"/>
  <c r="HF135" i="55"/>
  <c r="HG135" i="55" s="1"/>
  <c r="HH135" i="55" s="1"/>
  <c r="IV133" i="55" a="1"/>
  <c r="IV133" i="55" s="1"/>
  <c r="IW133" i="55" s="1"/>
  <c r="IR133" i="55" a="1"/>
  <c r="IR133" i="55" s="1"/>
  <c r="IS133" i="55" s="1"/>
  <c r="IT133" i="55" a="1"/>
  <c r="IT133" i="55" s="1"/>
  <c r="IU133" i="55" s="1"/>
  <c r="IX133" i="55" a="1"/>
  <c r="IX133" i="55" s="1"/>
  <c r="IY133" i="55" s="1"/>
  <c r="IN133" i="55" a="1"/>
  <c r="IN133" i="55" s="1"/>
  <c r="IO133" i="55" s="1"/>
  <c r="IP133" i="55" a="1"/>
  <c r="IP133" i="55" s="1"/>
  <c r="IQ133" i="55" s="1"/>
  <c r="HI134" i="55"/>
  <c r="HJ134" i="55"/>
  <c r="IL134" i="55"/>
  <c r="IM134" i="55" s="1"/>
  <c r="JA133" i="55"/>
  <c r="HR133" i="55"/>
  <c r="HO133" i="55"/>
  <c r="IH133" i="55" s="1"/>
  <c r="HP133" i="55"/>
  <c r="IZ133" i="55" s="1"/>
  <c r="HK133" i="55"/>
  <c r="IF134" i="55" l="1"/>
  <c r="IG134" i="55" s="1"/>
  <c r="JS133" i="55"/>
  <c r="N133" i="55"/>
  <c r="IN134" i="55" a="1"/>
  <c r="IN134" i="55" s="1"/>
  <c r="IO134" i="55" s="1"/>
  <c r="IP134" i="55" a="1"/>
  <c r="IP134" i="55" s="1"/>
  <c r="IQ134" i="55" s="1"/>
  <c r="IX134" i="55" a="1"/>
  <c r="IX134" i="55" s="1"/>
  <c r="IY134" i="55" s="1"/>
  <c r="IT134" i="55" a="1"/>
  <c r="IT134" i="55" s="1"/>
  <c r="IU134" i="55" s="1"/>
  <c r="IV134" i="55" a="1"/>
  <c r="IV134" i="55" s="1"/>
  <c r="IW134" i="55" s="1"/>
  <c r="IR134" i="55" a="1"/>
  <c r="IR134" i="55" s="1"/>
  <c r="IS134" i="55" s="1"/>
  <c r="HR134" i="55"/>
  <c r="JA134" i="55"/>
  <c r="HK134" i="55"/>
  <c r="HP134" i="55"/>
  <c r="IZ134" i="55" s="1"/>
  <c r="HO134" i="55"/>
  <c r="IH134" i="55" s="1"/>
  <c r="HD138" i="55"/>
  <c r="HB138" i="55"/>
  <c r="HC138" i="55" s="1"/>
  <c r="HA139" i="55"/>
  <c r="JQ135" i="55"/>
  <c r="AK137" i="55"/>
  <c r="HE137" i="55"/>
  <c r="HI135" i="55"/>
  <c r="HJ135" i="55"/>
  <c r="IL135" i="55"/>
  <c r="IM135" i="55" s="1"/>
  <c r="HF136" i="55"/>
  <c r="HG136" i="55" s="1"/>
  <c r="HH136" i="55"/>
  <c r="HB139" i="55" l="1"/>
  <c r="HC139" i="55" s="1"/>
  <c r="HD139" i="55"/>
  <c r="HA140" i="55"/>
  <c r="JS134" i="55"/>
  <c r="N134" i="55"/>
  <c r="IN135" i="55" a="1"/>
  <c r="IN135" i="55" s="1"/>
  <c r="IO135" i="55" s="1"/>
  <c r="IP135" i="55" a="1"/>
  <c r="IP135" i="55" s="1"/>
  <c r="IQ135" i="55" s="1"/>
  <c r="IX135" i="55" a="1"/>
  <c r="IX135" i="55" s="1"/>
  <c r="IY135" i="55" s="1"/>
  <c r="IR135" i="55" a="1"/>
  <c r="IR135" i="55" s="1"/>
  <c r="IS135" i="55" s="1"/>
  <c r="IV135" i="55" a="1"/>
  <c r="IV135" i="55" s="1"/>
  <c r="IW135" i="55" s="1"/>
  <c r="IT135" i="55" a="1"/>
  <c r="IT135" i="55" s="1"/>
  <c r="IU135" i="55" s="1"/>
  <c r="IF135" i="55"/>
  <c r="IG135" i="55" s="1"/>
  <c r="AK138" i="55"/>
  <c r="HE138" i="55"/>
  <c r="HJ136" i="55"/>
  <c r="HI136" i="55"/>
  <c r="IL136" i="55"/>
  <c r="IM136" i="55" s="1"/>
  <c r="JQ136" i="55"/>
  <c r="HP135" i="55"/>
  <c r="IZ135" i="55" s="1"/>
  <c r="HR135" i="55"/>
  <c r="JA135" i="55"/>
  <c r="HK135" i="55"/>
  <c r="HO135" i="55"/>
  <c r="IH135" i="55" s="1"/>
  <c r="HF137" i="55"/>
  <c r="HG137" i="55" s="1"/>
  <c r="JR135" i="55"/>
  <c r="IF136" i="55" l="1"/>
  <c r="IG136" i="55" s="1"/>
  <c r="HF138" i="55"/>
  <c r="HG138" i="55" s="1"/>
  <c r="JQ137" i="55"/>
  <c r="HH137" i="55"/>
  <c r="HH138" i="55" s="1"/>
  <c r="HB140" i="55"/>
  <c r="HC140" i="55" s="1"/>
  <c r="HD140" i="55"/>
  <c r="HA141" i="55"/>
  <c r="JS135" i="55"/>
  <c r="N135" i="55"/>
  <c r="JR136" i="55"/>
  <c r="AK139" i="55"/>
  <c r="HE139" i="55"/>
  <c r="JA136" i="55"/>
  <c r="HK136" i="55"/>
  <c r="HR136" i="55"/>
  <c r="HP136" i="55"/>
  <c r="IZ136" i="55" s="1"/>
  <c r="HO136" i="55"/>
  <c r="IH136" i="55" s="1"/>
  <c r="IT136" i="55" a="1"/>
  <c r="IT136" i="55" s="1"/>
  <c r="IU136" i="55" s="1"/>
  <c r="IN136" i="55" a="1"/>
  <c r="IN136" i="55" s="1"/>
  <c r="IO136" i="55" s="1"/>
  <c r="IP136" i="55" a="1"/>
  <c r="IP136" i="55" s="1"/>
  <c r="IQ136" i="55" s="1"/>
  <c r="IR136" i="55" a="1"/>
  <c r="IR136" i="55" s="1"/>
  <c r="IS136" i="55" s="1"/>
  <c r="IV136" i="55" a="1"/>
  <c r="IV136" i="55" s="1"/>
  <c r="IW136" i="55" s="1"/>
  <c r="IX136" i="55" a="1"/>
  <c r="IX136" i="55" s="1"/>
  <c r="IY136" i="55" s="1"/>
  <c r="HJ138" i="55" l="1"/>
  <c r="HI138" i="55"/>
  <c r="IL138" i="55"/>
  <c r="IM138" i="55" s="1"/>
  <c r="HF139" i="55"/>
  <c r="HG139" i="55" s="1"/>
  <c r="HH139" i="55"/>
  <c r="HB141" i="55"/>
  <c r="HC141" i="55" s="1"/>
  <c r="HD141" i="55"/>
  <c r="HA142" i="55"/>
  <c r="AK140" i="55"/>
  <c r="HE140" i="55"/>
  <c r="HI137" i="55"/>
  <c r="HJ137" i="55"/>
  <c r="IL137" i="55"/>
  <c r="IM137" i="55" s="1"/>
  <c r="JQ138" i="55"/>
  <c r="JR138" i="55"/>
  <c r="JS136" i="55"/>
  <c r="N136" i="55"/>
  <c r="IF138" i="55" l="1"/>
  <c r="IG138" i="55" s="1"/>
  <c r="IT137" i="55" a="1"/>
  <c r="IT137" i="55" s="1"/>
  <c r="IU137" i="55" s="1"/>
  <c r="IP137" i="55" a="1"/>
  <c r="IP137" i="55" s="1"/>
  <c r="IQ137" i="55" s="1"/>
  <c r="IV137" i="55" a="1"/>
  <c r="IV137" i="55" s="1"/>
  <c r="IW137" i="55" s="1"/>
  <c r="IR137" i="55" a="1"/>
  <c r="IR137" i="55" s="1"/>
  <c r="IS137" i="55" s="1"/>
  <c r="IN137" i="55" a="1"/>
  <c r="IN137" i="55" s="1"/>
  <c r="IO137" i="55" s="1"/>
  <c r="IX137" i="55" a="1"/>
  <c r="IX137" i="55" s="1"/>
  <c r="IY137" i="55" s="1"/>
  <c r="IT138" i="55" a="1"/>
  <c r="IT138" i="55" s="1"/>
  <c r="IU138" i="55" s="1"/>
  <c r="IX138" i="55" a="1"/>
  <c r="IX138" i="55" s="1"/>
  <c r="IY138" i="55" s="1"/>
  <c r="IR138" i="55" a="1"/>
  <c r="IR138" i="55" s="1"/>
  <c r="IS138" i="55" s="1"/>
  <c r="IV138" i="55" a="1"/>
  <c r="IV138" i="55" s="1"/>
  <c r="IW138" i="55" s="1"/>
  <c r="IN138" i="55" a="1"/>
  <c r="IN138" i="55" s="1"/>
  <c r="IO138" i="55" s="1"/>
  <c r="IP138" i="55" a="1"/>
  <c r="IP138" i="55" s="1"/>
  <c r="IQ138" i="55" s="1"/>
  <c r="JA137" i="55"/>
  <c r="HP137" i="55"/>
  <c r="IZ137" i="55" s="1"/>
  <c r="HR137" i="55"/>
  <c r="HO137" i="55"/>
  <c r="IH137" i="55" s="1"/>
  <c r="HK137" i="55"/>
  <c r="HK138" i="55" s="1"/>
  <c r="IF137" i="55"/>
  <c r="IG137" i="55" s="1"/>
  <c r="JR137" i="55"/>
  <c r="HF140" i="55"/>
  <c r="HG140" i="55" s="1"/>
  <c r="HH140" i="55"/>
  <c r="AK141" i="55"/>
  <c r="HE141" i="55"/>
  <c r="JQ139" i="55"/>
  <c r="HB142" i="55"/>
  <c r="HC142" i="55" s="1"/>
  <c r="HD142" i="55"/>
  <c r="HA143" i="55"/>
  <c r="HJ139" i="55"/>
  <c r="HI139" i="55"/>
  <c r="IF139" i="55" s="1"/>
  <c r="IG139" i="55" s="1"/>
  <c r="IL139" i="55"/>
  <c r="IM139" i="55" s="1"/>
  <c r="JA138" i="55"/>
  <c r="HR138" i="55"/>
  <c r="HP138" i="55"/>
  <c r="IZ138" i="55" s="1"/>
  <c r="HO138" i="55"/>
  <c r="IH138" i="55" s="1"/>
  <c r="JS137" i="55" l="1"/>
  <c r="N137" i="55"/>
  <c r="HB143" i="55"/>
  <c r="HC143" i="55" s="1"/>
  <c r="HD143" i="55"/>
  <c r="HA144" i="55"/>
  <c r="JR139" i="55"/>
  <c r="JS138" i="55"/>
  <c r="N138" i="55"/>
  <c r="JQ140" i="55"/>
  <c r="IX139" i="55" a="1"/>
  <c r="IX139" i="55" s="1"/>
  <c r="IY139" i="55" s="1"/>
  <c r="IP139" i="55" a="1"/>
  <c r="IP139" i="55" s="1"/>
  <c r="IQ139" i="55" s="1"/>
  <c r="IR139" i="55" a="1"/>
  <c r="IR139" i="55" s="1"/>
  <c r="IS139" i="55" s="1"/>
  <c r="IV139" i="55" a="1"/>
  <c r="IV139" i="55" s="1"/>
  <c r="IW139" i="55" s="1"/>
  <c r="IT139" i="55" a="1"/>
  <c r="IT139" i="55" s="1"/>
  <c r="IU139" i="55" s="1"/>
  <c r="IN139" i="55" a="1"/>
  <c r="IN139" i="55" s="1"/>
  <c r="IO139" i="55" s="1"/>
  <c r="JA139" i="55"/>
  <c r="HR139" i="55"/>
  <c r="HO139" i="55"/>
  <c r="IH139" i="55" s="1"/>
  <c r="HP139" i="55"/>
  <c r="IZ139" i="55" s="1"/>
  <c r="HK139" i="55"/>
  <c r="AK142" i="55"/>
  <c r="HE142" i="55"/>
  <c r="HF141" i="55"/>
  <c r="HG141" i="55" s="1"/>
  <c r="HH141" i="55"/>
  <c r="HI140" i="55"/>
  <c r="HJ140" i="55"/>
  <c r="IL140" i="55"/>
  <c r="IM140" i="55" s="1"/>
  <c r="JS139" i="55" l="1"/>
  <c r="N139" i="55"/>
  <c r="IV140" i="55" a="1"/>
  <c r="IV140" i="55" s="1"/>
  <c r="IW140" i="55" s="1"/>
  <c r="IX140" i="55" a="1"/>
  <c r="IX140" i="55" s="1"/>
  <c r="IY140" i="55" s="1"/>
  <c r="IP140" i="55" a="1"/>
  <c r="IP140" i="55" s="1"/>
  <c r="IQ140" i="55" s="1"/>
  <c r="IT140" i="55" a="1"/>
  <c r="IT140" i="55" s="1"/>
  <c r="IU140" i="55" s="1"/>
  <c r="IR140" i="55" a="1"/>
  <c r="IR140" i="55" s="1"/>
  <c r="IS140" i="55" s="1"/>
  <c r="IN140" i="55" a="1"/>
  <c r="IN140" i="55" s="1"/>
  <c r="IO140" i="55" s="1"/>
  <c r="JA140" i="55"/>
  <c r="HR140" i="55"/>
  <c r="HK140" i="55"/>
  <c r="HP140" i="55"/>
  <c r="IZ140" i="55" s="1"/>
  <c r="HO140" i="55"/>
  <c r="IH140" i="55" s="1"/>
  <c r="IF140" i="55"/>
  <c r="IG140" i="55" s="1"/>
  <c r="JR140" i="55"/>
  <c r="JR141" i="55"/>
  <c r="JQ141" i="55"/>
  <c r="AK143" i="55"/>
  <c r="HE143" i="55"/>
  <c r="HJ141" i="55"/>
  <c r="HI141" i="55"/>
  <c r="IF141" i="55" s="1"/>
  <c r="IG141" i="55" s="1"/>
  <c r="IL141" i="55"/>
  <c r="IM141" i="55" s="1"/>
  <c r="HF142" i="55"/>
  <c r="HG142" i="55" s="1"/>
  <c r="HH142" i="55" s="1"/>
  <c r="HB144" i="55"/>
  <c r="HC144" i="55" s="1"/>
  <c r="HD144" i="55"/>
  <c r="HA145" i="55"/>
  <c r="HJ142" i="55" l="1"/>
  <c r="HI142" i="55"/>
  <c r="IL142" i="55"/>
  <c r="IM142" i="55" s="1"/>
  <c r="AK144" i="55"/>
  <c r="HE144" i="55"/>
  <c r="HF143" i="55"/>
  <c r="HG143" i="55" s="1"/>
  <c r="HB145" i="55"/>
  <c r="HC145" i="55" s="1"/>
  <c r="HD145" i="55"/>
  <c r="HA146" i="55"/>
  <c r="IX141" i="55" a="1"/>
  <c r="IX141" i="55" s="1"/>
  <c r="IY141" i="55" s="1"/>
  <c r="IV141" i="55" a="1"/>
  <c r="IV141" i="55" s="1"/>
  <c r="IW141" i="55" s="1"/>
  <c r="IR141" i="55" a="1"/>
  <c r="IR141" i="55" s="1"/>
  <c r="IS141" i="55" s="1"/>
  <c r="IN141" i="55" a="1"/>
  <c r="IN141" i="55" s="1"/>
  <c r="IO141" i="55" s="1"/>
  <c r="IT141" i="55" a="1"/>
  <c r="IT141" i="55" s="1"/>
  <c r="IU141" i="55" s="1"/>
  <c r="IP141" i="55" a="1"/>
  <c r="IP141" i="55" s="1"/>
  <c r="IQ141" i="55" s="1"/>
  <c r="JS140" i="55"/>
  <c r="N140" i="55"/>
  <c r="JR142" i="55"/>
  <c r="JQ142" i="55"/>
  <c r="JA141" i="55"/>
  <c r="HR141" i="55"/>
  <c r="HO141" i="55"/>
  <c r="IH141" i="55" s="1"/>
  <c r="HP141" i="55"/>
  <c r="IZ141" i="55" s="1"/>
  <c r="HK141" i="55"/>
  <c r="IV142" i="55" l="1" a="1"/>
  <c r="IV142" i="55" s="1"/>
  <c r="IW142" i="55" s="1"/>
  <c r="IX142" i="55" a="1"/>
  <c r="IX142" i="55" s="1"/>
  <c r="IY142" i="55" s="1"/>
  <c r="IT142" i="55" a="1"/>
  <c r="IT142" i="55" s="1"/>
  <c r="IU142" i="55" s="1"/>
  <c r="IN142" i="55" a="1"/>
  <c r="IN142" i="55" s="1"/>
  <c r="IO142" i="55" s="1"/>
  <c r="IR142" i="55" a="1"/>
  <c r="IR142" i="55" s="1"/>
  <c r="IS142" i="55" s="1"/>
  <c r="IP142" i="55" a="1"/>
  <c r="IP142" i="55" s="1"/>
  <c r="IQ142" i="55" s="1"/>
  <c r="JS141" i="55"/>
  <c r="N141" i="55"/>
  <c r="JQ143" i="55"/>
  <c r="HH143" i="55"/>
  <c r="HF144" i="55"/>
  <c r="HG144" i="55" s="1"/>
  <c r="IF142" i="55"/>
  <c r="IG142" i="55" s="1"/>
  <c r="HD146" i="55"/>
  <c r="HB146" i="55"/>
  <c r="HC146" i="55" s="1"/>
  <c r="HA147" i="55"/>
  <c r="AK145" i="55"/>
  <c r="HE145" i="55"/>
  <c r="HP142" i="55"/>
  <c r="IZ142" i="55" s="1"/>
  <c r="HO142" i="55"/>
  <c r="IH142" i="55" s="1"/>
  <c r="HR142" i="55"/>
  <c r="HK142" i="55"/>
  <c r="JA142" i="55"/>
  <c r="AK146" i="55" l="1"/>
  <c r="HE146" i="55"/>
  <c r="JQ144" i="55"/>
  <c r="HI143" i="55"/>
  <c r="HJ143" i="55"/>
  <c r="IL143" i="55"/>
  <c r="IM143" i="55" s="1"/>
  <c r="HH144" i="55"/>
  <c r="HF145" i="55"/>
  <c r="HG145" i="55" s="1"/>
  <c r="JS142" i="55"/>
  <c r="N142" i="55"/>
  <c r="HD147" i="55"/>
  <c r="HB147" i="55"/>
  <c r="HC147" i="55" s="1"/>
  <c r="HA148" i="55"/>
  <c r="IX143" i="55" l="1" a="1"/>
  <c r="IX143" i="55" s="1"/>
  <c r="IY143" i="55" s="1"/>
  <c r="IV143" i="55" a="1"/>
  <c r="IV143" i="55" s="1"/>
  <c r="IW143" i="55" s="1"/>
  <c r="IT143" i="55" a="1"/>
  <c r="IT143" i="55" s="1"/>
  <c r="IU143" i="55" s="1"/>
  <c r="IN143" i="55" a="1"/>
  <c r="IN143" i="55" s="1"/>
  <c r="IO143" i="55" s="1"/>
  <c r="IR143" i="55" a="1"/>
  <c r="IR143" i="55" s="1"/>
  <c r="IS143" i="55" s="1"/>
  <c r="IP143" i="55" a="1"/>
  <c r="IP143" i="55" s="1"/>
  <c r="IQ143" i="55" s="1"/>
  <c r="AK147" i="55"/>
  <c r="HE147" i="55"/>
  <c r="JQ145" i="55"/>
  <c r="HH145" i="55"/>
  <c r="HD148" i="55"/>
  <c r="HB148" i="55"/>
  <c r="HC148" i="55" s="1"/>
  <c r="HA149" i="55"/>
  <c r="HI144" i="55"/>
  <c r="HJ144" i="55"/>
  <c r="IL144" i="55"/>
  <c r="IM144" i="55" s="1"/>
  <c r="JA143" i="55"/>
  <c r="HP143" i="55"/>
  <c r="IZ143" i="55" s="1"/>
  <c r="HO143" i="55"/>
  <c r="IH143" i="55" s="1"/>
  <c r="HK143" i="55"/>
  <c r="HR143" i="55"/>
  <c r="IF143" i="55"/>
  <c r="IG143" i="55" s="1"/>
  <c r="JR143" i="55"/>
  <c r="HF146" i="55"/>
  <c r="HG146" i="55" s="1"/>
  <c r="JS143" i="55" l="1"/>
  <c r="N143" i="55"/>
  <c r="JA144" i="55"/>
  <c r="HO144" i="55"/>
  <c r="IH144" i="55" s="1"/>
  <c r="HP144" i="55"/>
  <c r="IZ144" i="55" s="1"/>
  <c r="HK144" i="55"/>
  <c r="HR144" i="55"/>
  <c r="IF144" i="55"/>
  <c r="IG144" i="55" s="1"/>
  <c r="JR144" i="55"/>
  <c r="HJ145" i="55"/>
  <c r="HI145" i="55"/>
  <c r="IL145" i="55"/>
  <c r="IM145" i="55" s="1"/>
  <c r="HF147" i="55"/>
  <c r="HG147" i="55" s="1"/>
  <c r="HD149" i="55"/>
  <c r="HB149" i="55"/>
  <c r="HC149" i="55" s="1"/>
  <c r="HA150" i="55"/>
  <c r="AK148" i="55"/>
  <c r="HE148" i="55"/>
  <c r="JQ146" i="55"/>
  <c r="HH146" i="55"/>
  <c r="IX144" i="55" a="1"/>
  <c r="IX144" i="55" s="1"/>
  <c r="IY144" i="55" s="1"/>
  <c r="IP144" i="55" a="1"/>
  <c r="IP144" i="55" s="1"/>
  <c r="IQ144" i="55" s="1"/>
  <c r="IV144" i="55" a="1"/>
  <c r="IV144" i="55" s="1"/>
  <c r="IW144" i="55" s="1"/>
  <c r="IN144" i="55" a="1"/>
  <c r="IN144" i="55" s="1"/>
  <c r="IO144" i="55" s="1"/>
  <c r="IR144" i="55" a="1"/>
  <c r="IR144" i="55" s="1"/>
  <c r="IS144" i="55" s="1"/>
  <c r="IT144" i="55" a="1"/>
  <c r="IT144" i="55" s="1"/>
  <c r="IU144" i="55" s="1"/>
  <c r="JQ147" i="55" l="1"/>
  <c r="HO145" i="55"/>
  <c r="IH145" i="55" s="1"/>
  <c r="HP145" i="55"/>
  <c r="IZ145" i="55" s="1"/>
  <c r="HK145" i="55"/>
  <c r="JA145" i="55"/>
  <c r="HR145" i="55"/>
  <c r="AK149" i="55"/>
  <c r="HE149" i="55"/>
  <c r="HH147" i="55"/>
  <c r="IX145" i="55" a="1"/>
  <c r="IX145" i="55" s="1"/>
  <c r="IY145" i="55" s="1"/>
  <c r="IP145" i="55" a="1"/>
  <c r="IP145" i="55" s="1"/>
  <c r="IQ145" i="55" s="1"/>
  <c r="IV145" i="55" a="1"/>
  <c r="IV145" i="55" s="1"/>
  <c r="IW145" i="55" s="1"/>
  <c r="IR145" i="55" a="1"/>
  <c r="IR145" i="55" s="1"/>
  <c r="IS145" i="55" s="1"/>
  <c r="IN145" i="55" a="1"/>
  <c r="IN145" i="55" s="1"/>
  <c r="IO145" i="55" s="1"/>
  <c r="IT145" i="55" a="1"/>
  <c r="IT145" i="55" s="1"/>
  <c r="IU145" i="55" s="1"/>
  <c r="IF145" i="55"/>
  <c r="IG145" i="55" s="1"/>
  <c r="JR145" i="55"/>
  <c r="HI146" i="55"/>
  <c r="HJ146" i="55"/>
  <c r="IL146" i="55"/>
  <c r="IM146" i="55" s="1"/>
  <c r="JS144" i="55"/>
  <c r="N144" i="55"/>
  <c r="HF148" i="55"/>
  <c r="HG148" i="55" s="1"/>
  <c r="HD150" i="55"/>
  <c r="HB150" i="55"/>
  <c r="HC150" i="55" s="1"/>
  <c r="HA151" i="55"/>
  <c r="JS145" i="55" l="1"/>
  <c r="N145" i="55"/>
  <c r="HJ147" i="55"/>
  <c r="HI147" i="55"/>
  <c r="IL147" i="55"/>
  <c r="IM147" i="55" s="1"/>
  <c r="HF149" i="55"/>
  <c r="HG149" i="55" s="1"/>
  <c r="IV146" i="55" a="1"/>
  <c r="IV146" i="55" s="1"/>
  <c r="IW146" i="55" s="1"/>
  <c r="IP146" i="55" a="1"/>
  <c r="IP146" i="55" s="1"/>
  <c r="IQ146" i="55" s="1"/>
  <c r="IN146" i="55" a="1"/>
  <c r="IN146" i="55" s="1"/>
  <c r="IO146" i="55" s="1"/>
  <c r="IR146" i="55" a="1"/>
  <c r="IR146" i="55" s="1"/>
  <c r="IS146" i="55" s="1"/>
  <c r="IX146" i="55" a="1"/>
  <c r="IX146" i="55" s="1"/>
  <c r="IY146" i="55" s="1"/>
  <c r="IT146" i="55" a="1"/>
  <c r="IT146" i="55" s="1"/>
  <c r="IU146" i="55" s="1"/>
  <c r="JA146" i="55"/>
  <c r="HP146" i="55"/>
  <c r="IZ146" i="55" s="1"/>
  <c r="HK146" i="55"/>
  <c r="HR146" i="55"/>
  <c r="HO146" i="55"/>
  <c r="IH146" i="55" s="1"/>
  <c r="IF146" i="55"/>
  <c r="IG146" i="55" s="1"/>
  <c r="JR146" i="55"/>
  <c r="HD151" i="55"/>
  <c r="HB151" i="55"/>
  <c r="HC151" i="55" s="1"/>
  <c r="HA152" i="55"/>
  <c r="AK150" i="55"/>
  <c r="HE150" i="55"/>
  <c r="JQ148" i="55"/>
  <c r="HH148" i="55"/>
  <c r="HF150" i="55" l="1"/>
  <c r="HG150" i="55" s="1"/>
  <c r="JQ149" i="55"/>
  <c r="IX147" i="55" a="1"/>
  <c r="IX147" i="55" s="1"/>
  <c r="IY147" i="55" s="1"/>
  <c r="IT147" i="55" a="1"/>
  <c r="IT147" i="55" s="1"/>
  <c r="IU147" i="55" s="1"/>
  <c r="IR147" i="55" a="1"/>
  <c r="IR147" i="55" s="1"/>
  <c r="IS147" i="55" s="1"/>
  <c r="IP147" i="55" a="1"/>
  <c r="IP147" i="55" s="1"/>
  <c r="IQ147" i="55" s="1"/>
  <c r="IN147" i="55" a="1"/>
  <c r="IN147" i="55" s="1"/>
  <c r="IO147" i="55" s="1"/>
  <c r="IV147" i="55" a="1"/>
  <c r="IV147" i="55" s="1"/>
  <c r="IW147" i="55" s="1"/>
  <c r="IF147" i="55"/>
  <c r="IG147" i="55" s="1"/>
  <c r="JR147" i="55"/>
  <c r="JA147" i="55"/>
  <c r="HP147" i="55"/>
  <c r="IZ147" i="55" s="1"/>
  <c r="HR147" i="55"/>
  <c r="HO147" i="55"/>
  <c r="IH147" i="55" s="1"/>
  <c r="HK147" i="55"/>
  <c r="JS146" i="55"/>
  <c r="N146" i="55"/>
  <c r="HJ148" i="55"/>
  <c r="HI148" i="55"/>
  <c r="IL148" i="55"/>
  <c r="IM148" i="55" s="1"/>
  <c r="HB152" i="55"/>
  <c r="HC152" i="55" s="1"/>
  <c r="HD152" i="55"/>
  <c r="HA153" i="55"/>
  <c r="HH149" i="55"/>
  <c r="AK151" i="55"/>
  <c r="HE151" i="55"/>
  <c r="HH150" i="55" l="1"/>
  <c r="HI150" i="55" s="1"/>
  <c r="JR150" i="55" s="1"/>
  <c r="HJ150" i="55"/>
  <c r="IL150" i="55"/>
  <c r="IM150" i="55" s="1"/>
  <c r="HJ149" i="55"/>
  <c r="HI149" i="55"/>
  <c r="IL149" i="55"/>
  <c r="IM149" i="55" s="1"/>
  <c r="JS147" i="55"/>
  <c r="N147" i="55"/>
  <c r="HD153" i="55"/>
  <c r="HB153" i="55"/>
  <c r="HC153" i="55" s="1"/>
  <c r="HA154" i="55"/>
  <c r="AK152" i="55"/>
  <c r="HE152" i="55"/>
  <c r="IX148" i="55" a="1"/>
  <c r="IX148" i="55" s="1"/>
  <c r="IY148" i="55" s="1"/>
  <c r="IT148" i="55" a="1"/>
  <c r="IT148" i="55" s="1"/>
  <c r="IU148" i="55" s="1"/>
  <c r="IR148" i="55" a="1"/>
  <c r="IR148" i="55" s="1"/>
  <c r="IS148" i="55" s="1"/>
  <c r="IP148" i="55" a="1"/>
  <c r="IP148" i="55" s="1"/>
  <c r="IQ148" i="55" s="1"/>
  <c r="IN148" i="55" a="1"/>
  <c r="IN148" i="55" s="1"/>
  <c r="IO148" i="55" s="1"/>
  <c r="IV148" i="55" a="1"/>
  <c r="IV148" i="55" s="1"/>
  <c r="IW148" i="55" s="1"/>
  <c r="HF151" i="55"/>
  <c r="HG151" i="55" s="1"/>
  <c r="HH151" i="55" s="1"/>
  <c r="IF148" i="55"/>
  <c r="IG148" i="55" s="1"/>
  <c r="JR148" i="55"/>
  <c r="JA148" i="55"/>
  <c r="HR148" i="55"/>
  <c r="HK148" i="55"/>
  <c r="HO148" i="55"/>
  <c r="IH148" i="55" s="1"/>
  <c r="HP148" i="55"/>
  <c r="IZ148" i="55" s="1"/>
  <c r="JQ150" i="55"/>
  <c r="HI151" i="55" l="1"/>
  <c r="HJ151" i="55"/>
  <c r="IL151" i="55"/>
  <c r="IM151" i="55" s="1"/>
  <c r="JS148" i="55"/>
  <c r="N148" i="55"/>
  <c r="AK153" i="55"/>
  <c r="HE153" i="55"/>
  <c r="IF149" i="55"/>
  <c r="IG149" i="55" s="1"/>
  <c r="JR149" i="55"/>
  <c r="IN150" i="55" a="1"/>
  <c r="IN150" i="55" s="1"/>
  <c r="IO150" i="55" s="1"/>
  <c r="IT150" i="55" a="1"/>
  <c r="IT150" i="55" s="1"/>
  <c r="IU150" i="55" s="1"/>
  <c r="IX150" i="55" a="1"/>
  <c r="IX150" i="55" s="1"/>
  <c r="IY150" i="55" s="1"/>
  <c r="IR150" i="55" a="1"/>
  <c r="IR150" i="55" s="1"/>
  <c r="IS150" i="55" s="1"/>
  <c r="IP150" i="55" a="1"/>
  <c r="IP150" i="55" s="1"/>
  <c r="IQ150" i="55" s="1"/>
  <c r="IV150" i="55" a="1"/>
  <c r="IV150" i="55" s="1"/>
  <c r="IW150" i="55" s="1"/>
  <c r="HD154" i="55"/>
  <c r="HB154" i="55"/>
  <c r="HC154" i="55" s="1"/>
  <c r="HA155" i="55"/>
  <c r="JA150" i="55"/>
  <c r="HR150" i="55"/>
  <c r="HP150" i="55"/>
  <c r="IZ150" i="55" s="1"/>
  <c r="HO150" i="55"/>
  <c r="IH150" i="55" s="1"/>
  <c r="HF152" i="55"/>
  <c r="HG152" i="55" s="1"/>
  <c r="HH152" i="55"/>
  <c r="IX149" i="55" a="1"/>
  <c r="IX149" i="55" s="1"/>
  <c r="IY149" i="55" s="1"/>
  <c r="IV149" i="55" a="1"/>
  <c r="IV149" i="55" s="1"/>
  <c r="IW149" i="55" s="1"/>
  <c r="IR149" i="55" a="1"/>
  <c r="IR149" i="55" s="1"/>
  <c r="IS149" i="55" s="1"/>
  <c r="IP149" i="55" a="1"/>
  <c r="IP149" i="55" s="1"/>
  <c r="IQ149" i="55" s="1"/>
  <c r="IT149" i="55" a="1"/>
  <c r="IT149" i="55" s="1"/>
  <c r="IU149" i="55" s="1"/>
  <c r="IN149" i="55" a="1"/>
  <c r="IN149" i="55" s="1"/>
  <c r="IO149" i="55" s="1"/>
  <c r="JR151" i="55"/>
  <c r="JQ151" i="55"/>
  <c r="JA149" i="55"/>
  <c r="HR149" i="55"/>
  <c r="HP149" i="55"/>
  <c r="IZ149" i="55" s="1"/>
  <c r="HO149" i="55"/>
  <c r="IH149" i="55" s="1"/>
  <c r="HK149" i="55"/>
  <c r="HK150" i="55" s="1"/>
  <c r="IF150" i="55"/>
  <c r="IG150" i="55" s="1"/>
  <c r="IF151" i="55" l="1"/>
  <c r="IG151" i="55" s="1"/>
  <c r="AK154" i="55"/>
  <c r="HE154" i="55"/>
  <c r="HI152" i="55"/>
  <c r="HJ152" i="55"/>
  <c r="IL152" i="55"/>
  <c r="IM152" i="55" s="1"/>
  <c r="JR152" i="55"/>
  <c r="JQ152" i="55"/>
  <c r="HF153" i="55"/>
  <c r="HG153" i="55" s="1"/>
  <c r="HH153" i="55" s="1"/>
  <c r="IV151" i="55" a="1"/>
  <c r="IV151" i="55" s="1"/>
  <c r="IW151" i="55" s="1"/>
  <c r="IX151" i="55" a="1"/>
  <c r="IX151" i="55" s="1"/>
  <c r="IY151" i="55" s="1"/>
  <c r="IT151" i="55" a="1"/>
  <c r="IT151" i="55" s="1"/>
  <c r="IU151" i="55" s="1"/>
  <c r="IN151" i="55" a="1"/>
  <c r="IN151" i="55" s="1"/>
  <c r="IO151" i="55" s="1"/>
  <c r="IR151" i="55" a="1"/>
  <c r="IR151" i="55" s="1"/>
  <c r="IS151" i="55" s="1"/>
  <c r="IP151" i="55" a="1"/>
  <c r="IP151" i="55" s="1"/>
  <c r="IQ151" i="55" s="1"/>
  <c r="JS150" i="55"/>
  <c r="N150" i="55"/>
  <c r="HB155" i="55"/>
  <c r="HC155" i="55" s="1"/>
  <c r="HD155" i="55"/>
  <c r="HA156" i="55"/>
  <c r="JA151" i="55"/>
  <c r="HR151" i="55"/>
  <c r="HP151" i="55"/>
  <c r="IZ151" i="55" s="1"/>
  <c r="HO151" i="55"/>
  <c r="IH151" i="55" s="1"/>
  <c r="HK151" i="55"/>
  <c r="JS149" i="55"/>
  <c r="N149" i="55"/>
  <c r="HI153" i="55" l="1"/>
  <c r="HJ153" i="55"/>
  <c r="IL153" i="55"/>
  <c r="IM153" i="55" s="1"/>
  <c r="IX152" i="55" a="1"/>
  <c r="IX152" i="55" s="1"/>
  <c r="IY152" i="55" s="1"/>
  <c r="IT152" i="55" a="1"/>
  <c r="IT152" i="55" s="1"/>
  <c r="IU152" i="55" s="1"/>
  <c r="IP152" i="55" a="1"/>
  <c r="IP152" i="55" s="1"/>
  <c r="IQ152" i="55" s="1"/>
  <c r="IV152" i="55" a="1"/>
  <c r="IV152" i="55" s="1"/>
  <c r="IW152" i="55" s="1"/>
  <c r="IR152" i="55" a="1"/>
  <c r="IR152" i="55" s="1"/>
  <c r="IS152" i="55" s="1"/>
  <c r="IN152" i="55" a="1"/>
  <c r="IN152" i="55" s="1"/>
  <c r="IO152" i="55" s="1"/>
  <c r="AK155" i="55"/>
  <c r="HE155" i="55"/>
  <c r="JS151" i="55"/>
  <c r="N151" i="55"/>
  <c r="HB156" i="55"/>
  <c r="HC156" i="55" s="1"/>
  <c r="HD156" i="55"/>
  <c r="HA157" i="55"/>
  <c r="JA152" i="55"/>
  <c r="HK152" i="55"/>
  <c r="HO152" i="55"/>
  <c r="IH152" i="55" s="1"/>
  <c r="HP152" i="55"/>
  <c r="IZ152" i="55" s="1"/>
  <c r="HR152" i="55"/>
  <c r="IF152" i="55"/>
  <c r="IG152" i="55" s="1"/>
  <c r="HF154" i="55"/>
  <c r="HG154" i="55" s="1"/>
  <c r="HH154" i="55" s="1"/>
  <c r="JQ153" i="55"/>
  <c r="JR153" i="55"/>
  <c r="IF153" i="55" l="1"/>
  <c r="IG153" i="55" s="1"/>
  <c r="HJ154" i="55"/>
  <c r="HI154" i="55"/>
  <c r="AK156" i="55"/>
  <c r="HE156" i="55"/>
  <c r="HF155" i="55"/>
  <c r="HG155" i="55" s="1"/>
  <c r="HH155" i="55"/>
  <c r="IX153" i="55" a="1"/>
  <c r="IX153" i="55" s="1"/>
  <c r="IY153" i="55" s="1"/>
  <c r="IN153" i="55" a="1"/>
  <c r="IN153" i="55" s="1"/>
  <c r="IO153" i="55" s="1"/>
  <c r="IT153" i="55" a="1"/>
  <c r="IT153" i="55" s="1"/>
  <c r="IU153" i="55" s="1"/>
  <c r="IR153" i="55" a="1"/>
  <c r="IR153" i="55" s="1"/>
  <c r="IS153" i="55" s="1"/>
  <c r="IP153" i="55" a="1"/>
  <c r="IP153" i="55" s="1"/>
  <c r="IQ153" i="55" s="1"/>
  <c r="IV153" i="55" a="1"/>
  <c r="IV153" i="55" s="1"/>
  <c r="IW153" i="55" s="1"/>
  <c r="JS152" i="55"/>
  <c r="N152" i="55"/>
  <c r="JA153" i="55"/>
  <c r="HR153" i="55"/>
  <c r="HO153" i="55"/>
  <c r="IH153" i="55" s="1"/>
  <c r="HP153" i="55"/>
  <c r="IZ153" i="55" s="1"/>
  <c r="HK153" i="55"/>
  <c r="HB157" i="55"/>
  <c r="HC157" i="55" s="1"/>
  <c r="HD157" i="55"/>
  <c r="HA158" i="55"/>
  <c r="JQ154" i="55"/>
  <c r="JR154" i="55"/>
  <c r="AK157" i="55" l="1"/>
  <c r="HE157" i="55"/>
  <c r="HF156" i="55"/>
  <c r="HG156" i="55" s="1"/>
  <c r="HB158" i="55"/>
  <c r="HC158" i="55" s="1"/>
  <c r="HD158" i="55"/>
  <c r="HA159" i="55"/>
  <c r="HI155" i="55"/>
  <c r="HJ155" i="55"/>
  <c r="IL155" i="55"/>
  <c r="IM155" i="55" s="1"/>
  <c r="JR155" i="55"/>
  <c r="JQ155" i="55"/>
  <c r="IF154" i="55"/>
  <c r="IG154" i="55" s="1"/>
  <c r="JS153" i="55"/>
  <c r="N153" i="55"/>
  <c r="HR154" i="55"/>
  <c r="JA154" i="55"/>
  <c r="HP154" i="55"/>
  <c r="IZ154" i="55" s="1"/>
  <c r="HK154" i="55"/>
  <c r="HO154" i="55"/>
  <c r="IH154" i="55" s="1"/>
  <c r="IX155" i="55" l="1" a="1"/>
  <c r="IX155" i="55" s="1"/>
  <c r="IY155" i="55" s="1"/>
  <c r="IR155" i="55" a="1"/>
  <c r="IR155" i="55" s="1"/>
  <c r="IS155" i="55" s="1"/>
  <c r="IV155" i="55" a="1"/>
  <c r="IV155" i="55" s="1"/>
  <c r="IW155" i="55" s="1"/>
  <c r="IP155" i="55" a="1"/>
  <c r="IP155" i="55" s="1"/>
  <c r="IQ155" i="55" s="1"/>
  <c r="IT155" i="55" a="1"/>
  <c r="IT155" i="55" s="1"/>
  <c r="IU155" i="55" s="1"/>
  <c r="IN155" i="55" a="1"/>
  <c r="IN155" i="55" s="1"/>
  <c r="IO155" i="55" s="1"/>
  <c r="JA155" i="55"/>
  <c r="HR155" i="55"/>
  <c r="HO155" i="55"/>
  <c r="IH155" i="55" s="1"/>
  <c r="HP155" i="55"/>
  <c r="IZ155" i="55" s="1"/>
  <c r="HK155" i="55"/>
  <c r="IF155" i="55"/>
  <c r="IG155" i="55" s="1"/>
  <c r="HB159" i="55"/>
  <c r="HC159" i="55" s="1"/>
  <c r="HD159" i="55"/>
  <c r="HA160" i="55"/>
  <c r="AK158" i="55"/>
  <c r="HE158" i="55"/>
  <c r="JQ156" i="55"/>
  <c r="HH156" i="55"/>
  <c r="JS154" i="55"/>
  <c r="N154" i="55"/>
  <c r="HF157" i="55"/>
  <c r="HG157" i="55" s="1"/>
  <c r="HH157" i="55"/>
  <c r="JS155" i="55" l="1"/>
  <c r="N155" i="55"/>
  <c r="JQ157" i="55"/>
  <c r="HI156" i="55"/>
  <c r="HJ156" i="55"/>
  <c r="IL156" i="55"/>
  <c r="IM156" i="55" s="1"/>
  <c r="AK159" i="55"/>
  <c r="HE159" i="55"/>
  <c r="HJ157" i="55"/>
  <c r="HI157" i="55"/>
  <c r="IF157" i="55" s="1"/>
  <c r="IG157" i="55" s="1"/>
  <c r="IL157" i="55"/>
  <c r="IM157" i="55" s="1"/>
  <c r="HB160" i="55"/>
  <c r="HC160" i="55" s="1"/>
  <c r="HD160" i="55"/>
  <c r="HA161" i="55"/>
  <c r="HF158" i="55"/>
  <c r="HG158" i="55" s="1"/>
  <c r="HB161" i="55" l="1"/>
  <c r="HC161" i="55" s="1"/>
  <c r="HD161" i="55"/>
  <c r="HA162" i="55"/>
  <c r="IR157" i="55" a="1"/>
  <c r="IR157" i="55" s="1"/>
  <c r="IS157" i="55" s="1"/>
  <c r="IX157" i="55" a="1"/>
  <c r="IX157" i="55" s="1"/>
  <c r="IY157" i="55" s="1"/>
  <c r="IP157" i="55" a="1"/>
  <c r="IP157" i="55" s="1"/>
  <c r="IQ157" i="55" s="1"/>
  <c r="IT157" i="55" a="1"/>
  <c r="IT157" i="55" s="1"/>
  <c r="IU157" i="55" s="1"/>
  <c r="IV157" i="55" a="1"/>
  <c r="IV157" i="55" s="1"/>
  <c r="IW157" i="55" s="1"/>
  <c r="IN157" i="55" a="1"/>
  <c r="IN157" i="55" s="1"/>
  <c r="IO157" i="55" s="1"/>
  <c r="IX156" i="55" a="1"/>
  <c r="IX156" i="55" s="1"/>
  <c r="IY156" i="55" s="1"/>
  <c r="IR156" i="55" a="1"/>
  <c r="IR156" i="55" s="1"/>
  <c r="IS156" i="55" s="1"/>
  <c r="IV156" i="55" a="1"/>
  <c r="IV156" i="55" s="1"/>
  <c r="IW156" i="55" s="1"/>
  <c r="IP156" i="55" a="1"/>
  <c r="IP156" i="55" s="1"/>
  <c r="IQ156" i="55" s="1"/>
  <c r="IT156" i="55" a="1"/>
  <c r="IT156" i="55" s="1"/>
  <c r="IU156" i="55" s="1"/>
  <c r="IN156" i="55" a="1"/>
  <c r="IN156" i="55" s="1"/>
  <c r="IO156" i="55" s="1"/>
  <c r="JA156" i="55"/>
  <c r="HR156" i="55"/>
  <c r="HP156" i="55"/>
  <c r="IZ156" i="55" s="1"/>
  <c r="HK156" i="55"/>
  <c r="HO156" i="55"/>
  <c r="IH156" i="55" s="1"/>
  <c r="IF156" i="55"/>
  <c r="IG156" i="55" s="1"/>
  <c r="JR156" i="55"/>
  <c r="JR157" i="55"/>
  <c r="JQ158" i="55"/>
  <c r="HH158" i="55"/>
  <c r="AK160" i="55"/>
  <c r="HE160" i="55"/>
  <c r="JA157" i="55"/>
  <c r="HR157" i="55"/>
  <c r="HO157" i="55"/>
  <c r="IH157" i="55" s="1"/>
  <c r="HP157" i="55"/>
  <c r="IZ157" i="55" s="1"/>
  <c r="HK157" i="55"/>
  <c r="HF159" i="55"/>
  <c r="HG159" i="55" s="1"/>
  <c r="JS157" i="55" l="1"/>
  <c r="N157" i="55"/>
  <c r="HF160" i="55"/>
  <c r="HG160" i="55" s="1"/>
  <c r="JQ159" i="55"/>
  <c r="HD162" i="55"/>
  <c r="HB162" i="55"/>
  <c r="HC162" i="55" s="1"/>
  <c r="HA163" i="55"/>
  <c r="HJ158" i="55"/>
  <c r="HI158" i="55"/>
  <c r="IL158" i="55"/>
  <c r="IM158" i="55" s="1"/>
  <c r="AK161" i="55"/>
  <c r="HE161" i="55"/>
  <c r="JS156" i="55"/>
  <c r="N156" i="55"/>
  <c r="HH159" i="55"/>
  <c r="IF158" i="55" l="1"/>
  <c r="IG158" i="55" s="1"/>
  <c r="JR158" i="55"/>
  <c r="IV158" i="55" a="1"/>
  <c r="IV158" i="55" s="1"/>
  <c r="IW158" i="55" s="1"/>
  <c r="IN158" i="55" a="1"/>
  <c r="IN158" i="55" s="1"/>
  <c r="IO158" i="55" s="1"/>
  <c r="IX158" i="55" a="1"/>
  <c r="IX158" i="55" s="1"/>
  <c r="IY158" i="55" s="1"/>
  <c r="IR158" i="55" a="1"/>
  <c r="IR158" i="55" s="1"/>
  <c r="IS158" i="55" s="1"/>
  <c r="IT158" i="55" a="1"/>
  <c r="IT158" i="55" s="1"/>
  <c r="IU158" i="55" s="1"/>
  <c r="IP158" i="55" a="1"/>
  <c r="IP158" i="55" s="1"/>
  <c r="IQ158" i="55" s="1"/>
  <c r="HP158" i="55"/>
  <c r="IZ158" i="55" s="1"/>
  <c r="HR158" i="55"/>
  <c r="JA158" i="55"/>
  <c r="HK158" i="55"/>
  <c r="HO158" i="55"/>
  <c r="IH158" i="55" s="1"/>
  <c r="AK162" i="55"/>
  <c r="HE162" i="55"/>
  <c r="JQ160" i="55"/>
  <c r="HH160" i="55"/>
  <c r="HF161" i="55"/>
  <c r="HG161" i="55" s="1"/>
  <c r="HH161" i="55"/>
  <c r="HD163" i="55"/>
  <c r="HB163" i="55"/>
  <c r="HC163" i="55" s="1"/>
  <c r="HA164" i="55"/>
  <c r="HJ159" i="55"/>
  <c r="HI159" i="55"/>
  <c r="IL159" i="55"/>
  <c r="IM159" i="55" s="1"/>
  <c r="HB164" i="55" l="1"/>
  <c r="HC164" i="55" s="1"/>
  <c r="HD164" i="55"/>
  <c r="HA165" i="55"/>
  <c r="HF162" i="55"/>
  <c r="HG162" i="55" s="1"/>
  <c r="HH162" i="55" s="1"/>
  <c r="IN159" i="55" a="1"/>
  <c r="IN159" i="55" s="1"/>
  <c r="IO159" i="55" s="1"/>
  <c r="IV159" i="55" a="1"/>
  <c r="IV159" i="55" s="1"/>
  <c r="IW159" i="55" s="1"/>
  <c r="IX159" i="55" a="1"/>
  <c r="IX159" i="55" s="1"/>
  <c r="IY159" i="55" s="1"/>
  <c r="IT159" i="55" a="1"/>
  <c r="IT159" i="55" s="1"/>
  <c r="IU159" i="55" s="1"/>
  <c r="IP159" i="55" a="1"/>
  <c r="IP159" i="55" s="1"/>
  <c r="IQ159" i="55" s="1"/>
  <c r="IR159" i="55" a="1"/>
  <c r="IR159" i="55" s="1"/>
  <c r="IS159" i="55" s="1"/>
  <c r="IF159" i="55"/>
  <c r="IG159" i="55" s="1"/>
  <c r="JR159" i="55"/>
  <c r="JA159" i="55"/>
  <c r="HP159" i="55"/>
  <c r="IZ159" i="55" s="1"/>
  <c r="HO159" i="55"/>
  <c r="IH159" i="55" s="1"/>
  <c r="HR159" i="55"/>
  <c r="HK159" i="55"/>
  <c r="AK163" i="55"/>
  <c r="HE163" i="55"/>
  <c r="JQ161" i="55"/>
  <c r="HI160" i="55"/>
  <c r="HJ160" i="55"/>
  <c r="IL160" i="55"/>
  <c r="IM160" i="55" s="1"/>
  <c r="JS158" i="55"/>
  <c r="N158" i="55"/>
  <c r="HJ161" i="55"/>
  <c r="HI161" i="55"/>
  <c r="IF161" i="55" s="1"/>
  <c r="IG161" i="55" s="1"/>
  <c r="IL161" i="55"/>
  <c r="IM161" i="55" s="1"/>
  <c r="HI162" i="55" l="1"/>
  <c r="HJ162" i="55"/>
  <c r="IL162" i="55"/>
  <c r="IM162" i="55" s="1"/>
  <c r="HD165" i="55"/>
  <c r="HB165" i="55"/>
  <c r="HC165" i="55" s="1"/>
  <c r="HA166" i="55"/>
  <c r="IV161" i="55" a="1"/>
  <c r="IV161" i="55" s="1"/>
  <c r="IW161" i="55" s="1"/>
  <c r="IT161" i="55" a="1"/>
  <c r="IT161" i="55" s="1"/>
  <c r="IU161" i="55" s="1"/>
  <c r="IX161" i="55" a="1"/>
  <c r="IX161" i="55" s="1"/>
  <c r="IY161" i="55" s="1"/>
  <c r="IN161" i="55" a="1"/>
  <c r="IN161" i="55" s="1"/>
  <c r="IO161" i="55" s="1"/>
  <c r="IP161" i="55" a="1"/>
  <c r="IP161" i="55" s="1"/>
  <c r="IQ161" i="55" s="1"/>
  <c r="IR161" i="55" a="1"/>
  <c r="IR161" i="55" s="1"/>
  <c r="IS161" i="55" s="1"/>
  <c r="JA161" i="55"/>
  <c r="HO161" i="55"/>
  <c r="IH161" i="55" s="1"/>
  <c r="HP161" i="55"/>
  <c r="IZ161" i="55" s="1"/>
  <c r="HR161" i="55"/>
  <c r="IF160" i="55"/>
  <c r="IG160" i="55" s="1"/>
  <c r="JR160" i="55"/>
  <c r="JQ162" i="55"/>
  <c r="JR162" i="55"/>
  <c r="JS159" i="55"/>
  <c r="N159" i="55"/>
  <c r="IX160" i="55" a="1"/>
  <c r="IX160" i="55" s="1"/>
  <c r="IY160" i="55" s="1"/>
  <c r="IV160" i="55" a="1"/>
  <c r="IV160" i="55" s="1"/>
  <c r="IW160" i="55" s="1"/>
  <c r="IP160" i="55" a="1"/>
  <c r="IP160" i="55" s="1"/>
  <c r="IQ160" i="55" s="1"/>
  <c r="IN160" i="55" a="1"/>
  <c r="IN160" i="55" s="1"/>
  <c r="IO160" i="55" s="1"/>
  <c r="IR160" i="55" a="1"/>
  <c r="IR160" i="55" s="1"/>
  <c r="IS160" i="55" s="1"/>
  <c r="IT160" i="55" a="1"/>
  <c r="IT160" i="55" s="1"/>
  <c r="IU160" i="55" s="1"/>
  <c r="HO160" i="55"/>
  <c r="IH160" i="55" s="1"/>
  <c r="HP160" i="55"/>
  <c r="IZ160" i="55" s="1"/>
  <c r="HK160" i="55"/>
  <c r="HK161" i="55" s="1"/>
  <c r="JA160" i="55"/>
  <c r="HR160" i="55"/>
  <c r="JR161" i="55"/>
  <c r="HF163" i="55"/>
  <c r="HG163" i="55" s="1"/>
  <c r="HH163" i="55"/>
  <c r="AK164" i="55"/>
  <c r="HE164" i="55"/>
  <c r="JS161" i="55" l="1"/>
  <c r="N161" i="55"/>
  <c r="JQ163" i="55"/>
  <c r="AK165" i="55"/>
  <c r="HE165" i="55"/>
  <c r="JS160" i="55"/>
  <c r="N160" i="55"/>
  <c r="IX162" i="55" a="1"/>
  <c r="IX162" i="55" s="1"/>
  <c r="IY162" i="55" s="1"/>
  <c r="IV162" i="55" a="1"/>
  <c r="IV162" i="55" s="1"/>
  <c r="IW162" i="55" s="1"/>
  <c r="IT162" i="55" a="1"/>
  <c r="IT162" i="55" s="1"/>
  <c r="IU162" i="55" s="1"/>
  <c r="IN162" i="55" a="1"/>
  <c r="IN162" i="55" s="1"/>
  <c r="IO162" i="55" s="1"/>
  <c r="IR162" i="55" a="1"/>
  <c r="IR162" i="55" s="1"/>
  <c r="IS162" i="55" s="1"/>
  <c r="IP162" i="55" a="1"/>
  <c r="IP162" i="55" s="1"/>
  <c r="IQ162" i="55" s="1"/>
  <c r="HF164" i="55"/>
  <c r="HG164" i="55" s="1"/>
  <c r="HH164" i="55" s="1"/>
  <c r="HD166" i="55"/>
  <c r="HB166" i="55"/>
  <c r="HC166" i="55" s="1"/>
  <c r="HA167" i="55"/>
  <c r="JA162" i="55"/>
  <c r="HO162" i="55"/>
  <c r="IH162" i="55" s="1"/>
  <c r="HK162" i="55"/>
  <c r="HP162" i="55"/>
  <c r="IZ162" i="55" s="1"/>
  <c r="HR162" i="55"/>
  <c r="HJ163" i="55"/>
  <c r="HI163" i="55"/>
  <c r="IF163" i="55" s="1"/>
  <c r="IG163" i="55" s="1"/>
  <c r="IL163" i="55"/>
  <c r="IM163" i="55" s="1"/>
  <c r="IF162" i="55"/>
  <c r="IG162" i="55" s="1"/>
  <c r="HJ164" i="55" l="1"/>
  <c r="HI164" i="55"/>
  <c r="IL164" i="55"/>
  <c r="IM164" i="55" s="1"/>
  <c r="IX163" i="55" a="1"/>
  <c r="IX163" i="55" s="1"/>
  <c r="IY163" i="55" s="1"/>
  <c r="IP163" i="55" a="1"/>
  <c r="IP163" i="55" s="1"/>
  <c r="IQ163" i="55" s="1"/>
  <c r="IR163" i="55" a="1"/>
  <c r="IR163" i="55" s="1"/>
  <c r="IS163" i="55" s="1"/>
  <c r="IN163" i="55" a="1"/>
  <c r="IN163" i="55" s="1"/>
  <c r="IO163" i="55" s="1"/>
  <c r="IT163" i="55" a="1"/>
  <c r="IT163" i="55" s="1"/>
  <c r="IU163" i="55" s="1"/>
  <c r="IV163" i="55" a="1"/>
  <c r="IV163" i="55" s="1"/>
  <c r="IW163" i="55" s="1"/>
  <c r="JA163" i="55"/>
  <c r="HO163" i="55"/>
  <c r="IH163" i="55" s="1"/>
  <c r="HK163" i="55"/>
  <c r="HP163" i="55"/>
  <c r="IZ163" i="55" s="1"/>
  <c r="HR163" i="55"/>
  <c r="HD167" i="55"/>
  <c r="HB167" i="55"/>
  <c r="HC167" i="55" s="1"/>
  <c r="HA168" i="55"/>
  <c r="JR163" i="55"/>
  <c r="JS162" i="55"/>
  <c r="N162" i="55"/>
  <c r="JR164" i="55"/>
  <c r="JQ164" i="55"/>
  <c r="HF165" i="55"/>
  <c r="HG165" i="55" s="1"/>
  <c r="HH165" i="55"/>
  <c r="AK166" i="55"/>
  <c r="HE166" i="55"/>
  <c r="JS163" i="55" l="1"/>
  <c r="N163" i="55"/>
  <c r="IT164" i="55" a="1"/>
  <c r="IT164" i="55" s="1"/>
  <c r="IU164" i="55" s="1"/>
  <c r="IX164" i="55" a="1"/>
  <c r="IX164" i="55" s="1"/>
  <c r="IY164" i="55" s="1"/>
  <c r="IR164" i="55" a="1"/>
  <c r="IR164" i="55" s="1"/>
  <c r="IS164" i="55" s="1"/>
  <c r="IP164" i="55" a="1"/>
  <c r="IP164" i="55" s="1"/>
  <c r="IQ164" i="55" s="1"/>
  <c r="IN164" i="55" a="1"/>
  <c r="IN164" i="55" s="1"/>
  <c r="IO164" i="55" s="1"/>
  <c r="IV164" i="55" a="1"/>
  <c r="IV164" i="55" s="1"/>
  <c r="IW164" i="55" s="1"/>
  <c r="HF166" i="55"/>
  <c r="HG166" i="55" s="1"/>
  <c r="HJ165" i="55"/>
  <c r="HI165" i="55"/>
  <c r="IF165" i="55" s="1"/>
  <c r="IG165" i="55" s="1"/>
  <c r="IL165" i="55"/>
  <c r="IM165" i="55" s="1"/>
  <c r="IF164" i="55"/>
  <c r="IG164" i="55" s="1"/>
  <c r="AK167" i="55"/>
  <c r="HE167" i="55"/>
  <c r="JQ165" i="55"/>
  <c r="HD168" i="55"/>
  <c r="HB168" i="55"/>
  <c r="HC168" i="55" s="1"/>
  <c r="HA169" i="55"/>
  <c r="JA164" i="55"/>
  <c r="HR164" i="55"/>
  <c r="HK164" i="55"/>
  <c r="HP164" i="55"/>
  <c r="IZ164" i="55" s="1"/>
  <c r="HO164" i="55"/>
  <c r="IH164" i="55" s="1"/>
  <c r="JS164" i="55" l="1"/>
  <c r="N164" i="55"/>
  <c r="HF167" i="55"/>
  <c r="HG167" i="55" s="1"/>
  <c r="JA165" i="55"/>
  <c r="HR165" i="55"/>
  <c r="HK165" i="55"/>
  <c r="HO165" i="55"/>
  <c r="IH165" i="55" s="1"/>
  <c r="HP165" i="55"/>
  <c r="IZ165" i="55" s="1"/>
  <c r="JQ166" i="55"/>
  <c r="HD169" i="55"/>
  <c r="HB169" i="55"/>
  <c r="HC169" i="55" s="1"/>
  <c r="HA170" i="55"/>
  <c r="HH166" i="55"/>
  <c r="HH167" i="55" s="1"/>
  <c r="JR165" i="55"/>
  <c r="IX165" i="55" a="1"/>
  <c r="IX165" i="55" s="1"/>
  <c r="IY165" i="55" s="1"/>
  <c r="IT165" i="55" a="1"/>
  <c r="IT165" i="55" s="1"/>
  <c r="IU165" i="55" s="1"/>
  <c r="IR165" i="55" a="1"/>
  <c r="IR165" i="55" s="1"/>
  <c r="IS165" i="55" s="1"/>
  <c r="IN165" i="55" a="1"/>
  <c r="IN165" i="55" s="1"/>
  <c r="IO165" i="55" s="1"/>
  <c r="IP165" i="55" a="1"/>
  <c r="IP165" i="55" s="1"/>
  <c r="IQ165" i="55" s="1"/>
  <c r="IV165" i="55" a="1"/>
  <c r="IV165" i="55" s="1"/>
  <c r="IW165" i="55" s="1"/>
  <c r="AK168" i="55"/>
  <c r="HE168" i="55"/>
  <c r="HJ167" i="55" l="1"/>
  <c r="HI167" i="55"/>
  <c r="IL167" i="55"/>
  <c r="IM167" i="55" s="1"/>
  <c r="HD170" i="55"/>
  <c r="HB170" i="55"/>
  <c r="HC170" i="55" s="1"/>
  <c r="HA171" i="55"/>
  <c r="HF168" i="55"/>
  <c r="HG168" i="55" s="1"/>
  <c r="JR167" i="55"/>
  <c r="JQ167" i="55"/>
  <c r="JS165" i="55"/>
  <c r="N165" i="55"/>
  <c r="HJ166" i="55"/>
  <c r="HI166" i="55"/>
  <c r="IL166" i="55"/>
  <c r="IM166" i="55" s="1"/>
  <c r="AK169" i="55"/>
  <c r="HE169" i="55"/>
  <c r="IF166" i="55" l="1"/>
  <c r="IG166" i="55" s="1"/>
  <c r="JR166" i="55"/>
  <c r="HD171" i="55"/>
  <c r="HB171" i="55"/>
  <c r="HC171" i="55" s="1"/>
  <c r="HA172" i="55"/>
  <c r="IV167" i="55" a="1"/>
  <c r="IV167" i="55" s="1"/>
  <c r="IW167" i="55" s="1"/>
  <c r="IN167" i="55" a="1"/>
  <c r="IN167" i="55" s="1"/>
  <c r="IO167" i="55" s="1"/>
  <c r="IP167" i="55" a="1"/>
  <c r="IP167" i="55" s="1"/>
  <c r="IQ167" i="55" s="1"/>
  <c r="IT167" i="55" a="1"/>
  <c r="IT167" i="55" s="1"/>
  <c r="IU167" i="55" s="1"/>
  <c r="IR167" i="55" a="1"/>
  <c r="IR167" i="55" s="1"/>
  <c r="IS167" i="55" s="1"/>
  <c r="IX167" i="55" a="1"/>
  <c r="IX167" i="55" s="1"/>
  <c r="IY167" i="55" s="1"/>
  <c r="JQ168" i="55"/>
  <c r="IF167" i="55"/>
  <c r="IG167" i="55" s="1"/>
  <c r="IX166" i="55" a="1"/>
  <c r="IX166" i="55" s="1"/>
  <c r="IY166" i="55" s="1"/>
  <c r="IV166" i="55" a="1"/>
  <c r="IV166" i="55" s="1"/>
  <c r="IW166" i="55" s="1"/>
  <c r="IN166" i="55" a="1"/>
  <c r="IN166" i="55" s="1"/>
  <c r="IO166" i="55" s="1"/>
  <c r="IP166" i="55" a="1"/>
  <c r="IP166" i="55" s="1"/>
  <c r="IQ166" i="55" s="1"/>
  <c r="IT166" i="55" a="1"/>
  <c r="IT166" i="55" s="1"/>
  <c r="IU166" i="55" s="1"/>
  <c r="IR166" i="55" a="1"/>
  <c r="IR166" i="55" s="1"/>
  <c r="IS166" i="55" s="1"/>
  <c r="JA166" i="55"/>
  <c r="HP166" i="55"/>
  <c r="IZ166" i="55" s="1"/>
  <c r="HR166" i="55"/>
  <c r="HK166" i="55"/>
  <c r="HK167" i="55" s="1"/>
  <c r="HO166" i="55"/>
  <c r="IH166" i="55" s="1"/>
  <c r="HH168" i="55"/>
  <c r="AK170" i="55"/>
  <c r="HE170" i="55"/>
  <c r="HF169" i="55"/>
  <c r="HG169" i="55" s="1"/>
  <c r="JA167" i="55"/>
  <c r="HR167" i="55"/>
  <c r="HP167" i="55"/>
  <c r="IZ167" i="55" s="1"/>
  <c r="HO167" i="55"/>
  <c r="IH167" i="55" s="1"/>
  <c r="JS166" i="55" l="1"/>
  <c r="N166" i="55"/>
  <c r="HI168" i="55"/>
  <c r="HJ168" i="55"/>
  <c r="IL168" i="55"/>
  <c r="IM168" i="55" s="1"/>
  <c r="AK171" i="55"/>
  <c r="HE171" i="55"/>
  <c r="JS167" i="55"/>
  <c r="N167" i="55"/>
  <c r="JQ169" i="55"/>
  <c r="HH169" i="55"/>
  <c r="HF170" i="55"/>
  <c r="HG170" i="55" s="1"/>
  <c r="HH170" i="55" s="1"/>
  <c r="HD172" i="55"/>
  <c r="HB172" i="55"/>
  <c r="HC172" i="55" s="1"/>
  <c r="HA173" i="55"/>
  <c r="HJ170" i="55" l="1"/>
  <c r="HI170" i="55"/>
  <c r="IL170" i="55"/>
  <c r="IM170" i="55" s="1"/>
  <c r="AK172" i="55"/>
  <c r="HE172" i="55"/>
  <c r="JA168" i="55"/>
  <c r="HK168" i="55"/>
  <c r="HP168" i="55"/>
  <c r="IZ168" i="55" s="1"/>
  <c r="HO168" i="55"/>
  <c r="IH168" i="55" s="1"/>
  <c r="HR168" i="55"/>
  <c r="IF168" i="55"/>
  <c r="IG168" i="55" s="1"/>
  <c r="JR168" i="55"/>
  <c r="IV168" i="55" a="1"/>
  <c r="IV168" i="55" s="1"/>
  <c r="IW168" i="55" s="1"/>
  <c r="IR168" i="55" a="1"/>
  <c r="IR168" i="55" s="1"/>
  <c r="IS168" i="55" s="1"/>
  <c r="IX168" i="55" a="1"/>
  <c r="IX168" i="55" s="1"/>
  <c r="IY168" i="55" s="1"/>
  <c r="IN168" i="55" a="1"/>
  <c r="IN168" i="55" s="1"/>
  <c r="IO168" i="55" s="1"/>
  <c r="IT168" i="55" a="1"/>
  <c r="IT168" i="55" s="1"/>
  <c r="IU168" i="55" s="1"/>
  <c r="IP168" i="55" a="1"/>
  <c r="IP168" i="55" s="1"/>
  <c r="IQ168" i="55" s="1"/>
  <c r="JQ170" i="55"/>
  <c r="JR170" i="55"/>
  <c r="HI169" i="55"/>
  <c r="HJ169" i="55"/>
  <c r="IL169" i="55"/>
  <c r="IM169" i="55" s="1"/>
  <c r="HF171" i="55"/>
  <c r="HG171" i="55" s="1"/>
  <c r="HD173" i="55"/>
  <c r="HB173" i="55"/>
  <c r="HC173" i="55" s="1"/>
  <c r="HA174" i="55"/>
  <c r="JS168" i="55" l="1"/>
  <c r="N168" i="55"/>
  <c r="IV169" i="55" a="1"/>
  <c r="IV169" i="55" s="1"/>
  <c r="IW169" i="55" s="1"/>
  <c r="IX169" i="55" a="1"/>
  <c r="IX169" i="55" s="1"/>
  <c r="IY169" i="55" s="1"/>
  <c r="IN169" i="55" a="1"/>
  <c r="IN169" i="55" s="1"/>
  <c r="IO169" i="55" s="1"/>
  <c r="IP169" i="55" a="1"/>
  <c r="IP169" i="55" s="1"/>
  <c r="IQ169" i="55" s="1"/>
  <c r="IT169" i="55" a="1"/>
  <c r="IT169" i="55" s="1"/>
  <c r="IU169" i="55" s="1"/>
  <c r="IR169" i="55" a="1"/>
  <c r="IR169" i="55" s="1"/>
  <c r="IS169" i="55" s="1"/>
  <c r="HP169" i="55"/>
  <c r="IZ169" i="55" s="1"/>
  <c r="HK169" i="55"/>
  <c r="HK170" i="55" s="1"/>
  <c r="HO169" i="55"/>
  <c r="IH169" i="55" s="1"/>
  <c r="JA169" i="55"/>
  <c r="HR169" i="55"/>
  <c r="IF169" i="55"/>
  <c r="IG169" i="55" s="1"/>
  <c r="JR169" i="55"/>
  <c r="HF172" i="55"/>
  <c r="HG172" i="55" s="1"/>
  <c r="IT170" i="55" a="1"/>
  <c r="IT170" i="55" s="1"/>
  <c r="IU170" i="55" s="1"/>
  <c r="IX170" i="55" a="1"/>
  <c r="IX170" i="55" s="1"/>
  <c r="IY170" i="55" s="1"/>
  <c r="IR170" i="55" a="1"/>
  <c r="IR170" i="55" s="1"/>
  <c r="IS170" i="55" s="1"/>
  <c r="IV170" i="55" a="1"/>
  <c r="IV170" i="55" s="1"/>
  <c r="IW170" i="55" s="1"/>
  <c r="IP170" i="55" a="1"/>
  <c r="IP170" i="55" s="1"/>
  <c r="IQ170" i="55" s="1"/>
  <c r="IN170" i="55" a="1"/>
  <c r="IN170" i="55" s="1"/>
  <c r="IO170" i="55" s="1"/>
  <c r="AK173" i="55"/>
  <c r="HE173" i="55"/>
  <c r="IF170" i="55"/>
  <c r="IG170" i="55" s="1"/>
  <c r="HB174" i="55"/>
  <c r="HC174" i="55" s="1"/>
  <c r="HD174" i="55"/>
  <c r="HA175" i="55"/>
  <c r="JQ171" i="55"/>
  <c r="HH171" i="55"/>
  <c r="HR170" i="55"/>
  <c r="HP170" i="55"/>
  <c r="IZ170" i="55" s="1"/>
  <c r="HO170" i="55"/>
  <c r="IH170" i="55" s="1"/>
  <c r="JA170" i="55"/>
  <c r="HB175" i="55" l="1"/>
  <c r="HC175" i="55" s="1"/>
  <c r="HD175" i="55"/>
  <c r="HA176" i="55"/>
  <c r="HF173" i="55"/>
  <c r="HG173" i="55" s="1"/>
  <c r="HI171" i="55"/>
  <c r="HJ171" i="55"/>
  <c r="IL171" i="55"/>
  <c r="IM171" i="55" s="1"/>
  <c r="HH172" i="55"/>
  <c r="JS170" i="55"/>
  <c r="N170" i="55"/>
  <c r="AK174" i="55"/>
  <c r="HE174" i="55"/>
  <c r="JS169" i="55"/>
  <c r="N169" i="55"/>
  <c r="JQ172" i="55"/>
  <c r="HB176" i="55" l="1"/>
  <c r="HC176" i="55" s="1"/>
  <c r="HD176" i="55"/>
  <c r="HA177" i="55"/>
  <c r="HI172" i="55"/>
  <c r="HJ172" i="55"/>
  <c r="IL172" i="55"/>
  <c r="IM172" i="55" s="1"/>
  <c r="JQ173" i="55"/>
  <c r="HF174" i="55"/>
  <c r="HG174" i="55" s="1"/>
  <c r="IX171" i="55" a="1"/>
  <c r="IX171" i="55" s="1"/>
  <c r="IY171" i="55" s="1"/>
  <c r="IT171" i="55" a="1"/>
  <c r="IT171" i="55" s="1"/>
  <c r="IU171" i="55" s="1"/>
  <c r="IP171" i="55" a="1"/>
  <c r="IP171" i="55" s="1"/>
  <c r="IQ171" i="55" s="1"/>
  <c r="IV171" i="55" a="1"/>
  <c r="IV171" i="55" s="1"/>
  <c r="IW171" i="55" s="1"/>
  <c r="IR171" i="55" a="1"/>
  <c r="IR171" i="55" s="1"/>
  <c r="IS171" i="55" s="1"/>
  <c r="IN171" i="55" a="1"/>
  <c r="IN171" i="55" s="1"/>
  <c r="IO171" i="55" s="1"/>
  <c r="JA171" i="55"/>
  <c r="HR171" i="55"/>
  <c r="HP171" i="55"/>
  <c r="IZ171" i="55" s="1"/>
  <c r="HO171" i="55"/>
  <c r="IH171" i="55" s="1"/>
  <c r="HK171" i="55"/>
  <c r="IF171" i="55"/>
  <c r="IG171" i="55" s="1"/>
  <c r="JR171" i="55"/>
  <c r="HH173" i="55"/>
  <c r="AK175" i="55"/>
  <c r="HE175" i="55"/>
  <c r="IX172" i="55" l="1" a="1"/>
  <c r="IX172" i="55" s="1"/>
  <c r="IY172" i="55" s="1"/>
  <c r="IV172" i="55" a="1"/>
  <c r="IV172" i="55" s="1"/>
  <c r="IW172" i="55" s="1"/>
  <c r="IR172" i="55" a="1"/>
  <c r="IR172" i="55" s="1"/>
  <c r="IS172" i="55" s="1"/>
  <c r="IT172" i="55" a="1"/>
  <c r="IT172" i="55" s="1"/>
  <c r="IU172" i="55" s="1"/>
  <c r="IP172" i="55" a="1"/>
  <c r="IP172" i="55" s="1"/>
  <c r="IQ172" i="55" s="1"/>
  <c r="IN172" i="55" a="1"/>
  <c r="IN172" i="55" s="1"/>
  <c r="IO172" i="55" s="1"/>
  <c r="JA172" i="55"/>
  <c r="HR172" i="55"/>
  <c r="HK172" i="55"/>
  <c r="HO172" i="55"/>
  <c r="IH172" i="55" s="1"/>
  <c r="HP172" i="55"/>
  <c r="IZ172" i="55" s="1"/>
  <c r="HB177" i="55"/>
  <c r="HC177" i="55" s="1"/>
  <c r="HD177" i="55"/>
  <c r="HA178" i="55"/>
  <c r="HF175" i="55"/>
  <c r="HG175" i="55" s="1"/>
  <c r="JQ174" i="55"/>
  <c r="HH174" i="55"/>
  <c r="HI173" i="55"/>
  <c r="HJ173" i="55"/>
  <c r="IL173" i="55"/>
  <c r="IM173" i="55" s="1"/>
  <c r="AK176" i="55"/>
  <c r="HE176" i="55"/>
  <c r="JS171" i="55"/>
  <c r="N171" i="55"/>
  <c r="IF172" i="55"/>
  <c r="IG172" i="55" s="1"/>
  <c r="JR172" i="55"/>
  <c r="JQ175" i="55" l="1"/>
  <c r="IX173" i="55" a="1"/>
  <c r="IX173" i="55" s="1"/>
  <c r="IY173" i="55" s="1"/>
  <c r="IR173" i="55" a="1"/>
  <c r="IR173" i="55" s="1"/>
  <c r="IS173" i="55" s="1"/>
  <c r="IN173" i="55" a="1"/>
  <c r="IN173" i="55" s="1"/>
  <c r="IO173" i="55" s="1"/>
  <c r="IT173" i="55" a="1"/>
  <c r="IT173" i="55" s="1"/>
  <c r="IU173" i="55" s="1"/>
  <c r="IP173" i="55" a="1"/>
  <c r="IP173" i="55" s="1"/>
  <c r="IQ173" i="55" s="1"/>
  <c r="IV173" i="55" a="1"/>
  <c r="IV173" i="55" s="1"/>
  <c r="IW173" i="55" s="1"/>
  <c r="IF173" i="55"/>
  <c r="IG173" i="55" s="1"/>
  <c r="JR173" i="55"/>
  <c r="HH175" i="55"/>
  <c r="HB178" i="55"/>
  <c r="HC178" i="55" s="1"/>
  <c r="HD178" i="55"/>
  <c r="HA179" i="55"/>
  <c r="HJ174" i="55"/>
  <c r="HI174" i="55"/>
  <c r="IL174" i="55"/>
  <c r="IM174" i="55" s="1"/>
  <c r="AK177" i="55"/>
  <c r="HE177" i="55"/>
  <c r="JS172" i="55"/>
  <c r="N172" i="55"/>
  <c r="HF176" i="55"/>
  <c r="HG176" i="55" s="1"/>
  <c r="JA173" i="55"/>
  <c r="HR173" i="55"/>
  <c r="HP173" i="55"/>
  <c r="IZ173" i="55" s="1"/>
  <c r="HO173" i="55"/>
  <c r="IH173" i="55" s="1"/>
  <c r="HK173" i="55"/>
  <c r="HB179" i="55" l="1"/>
  <c r="HC179" i="55" s="1"/>
  <c r="HD179" i="55"/>
  <c r="HA180" i="55"/>
  <c r="JS173" i="55"/>
  <c r="N173" i="55"/>
  <c r="HF177" i="55"/>
  <c r="HG177" i="55" s="1"/>
  <c r="HH177" i="55"/>
  <c r="IF174" i="55"/>
  <c r="IG174" i="55" s="1"/>
  <c r="JR174" i="55"/>
  <c r="JA174" i="55"/>
  <c r="HP174" i="55"/>
  <c r="IZ174" i="55" s="1"/>
  <c r="HO174" i="55"/>
  <c r="IH174" i="55" s="1"/>
  <c r="HK174" i="55"/>
  <c r="HR174" i="55"/>
  <c r="AK178" i="55"/>
  <c r="HE178" i="55"/>
  <c r="HJ175" i="55"/>
  <c r="HI175" i="55"/>
  <c r="IL175" i="55"/>
  <c r="IM175" i="55" s="1"/>
  <c r="HH176" i="55"/>
  <c r="JQ176" i="55"/>
  <c r="IX174" i="55" a="1"/>
  <c r="IX174" i="55" s="1"/>
  <c r="IY174" i="55" s="1"/>
  <c r="IN174" i="55" a="1"/>
  <c r="IN174" i="55" s="1"/>
  <c r="IO174" i="55" s="1"/>
  <c r="IR174" i="55" a="1"/>
  <c r="IR174" i="55" s="1"/>
  <c r="IS174" i="55" s="1"/>
  <c r="IP174" i="55" a="1"/>
  <c r="IP174" i="55" s="1"/>
  <c r="IQ174" i="55" s="1"/>
  <c r="IT174" i="55" a="1"/>
  <c r="IT174" i="55" s="1"/>
  <c r="IU174" i="55" s="1"/>
  <c r="IV174" i="55" a="1"/>
  <c r="IV174" i="55" s="1"/>
  <c r="IW174" i="55" s="1"/>
  <c r="JS174" i="55" l="1"/>
  <c r="N174" i="55"/>
  <c r="HF178" i="55"/>
  <c r="HG178" i="55" s="1"/>
  <c r="HH178" i="55" s="1"/>
  <c r="HI177" i="55"/>
  <c r="HJ177" i="55"/>
  <c r="IL177" i="55"/>
  <c r="IM177" i="55" s="1"/>
  <c r="HB180" i="55"/>
  <c r="HC180" i="55" s="1"/>
  <c r="HD180" i="55"/>
  <c r="HA181" i="55"/>
  <c r="IX175" i="55" a="1"/>
  <c r="IX175" i="55" s="1"/>
  <c r="IY175" i="55" s="1"/>
  <c r="IN175" i="55" a="1"/>
  <c r="IN175" i="55" s="1"/>
  <c r="IO175" i="55" s="1"/>
  <c r="IV175" i="55" a="1"/>
  <c r="IV175" i="55" s="1"/>
  <c r="IW175" i="55" s="1"/>
  <c r="IP175" i="55" a="1"/>
  <c r="IP175" i="55" s="1"/>
  <c r="IQ175" i="55" s="1"/>
  <c r="IR175" i="55" a="1"/>
  <c r="IR175" i="55" s="1"/>
  <c r="IS175" i="55" s="1"/>
  <c r="IT175" i="55" a="1"/>
  <c r="IT175" i="55" s="1"/>
  <c r="IU175" i="55" s="1"/>
  <c r="IF175" i="55"/>
  <c r="IG175" i="55" s="1"/>
  <c r="JR175" i="55"/>
  <c r="AK179" i="55"/>
  <c r="HE179" i="55"/>
  <c r="JQ177" i="55"/>
  <c r="JR177" i="55"/>
  <c r="HI176" i="55"/>
  <c r="HJ176" i="55"/>
  <c r="IL176" i="55"/>
  <c r="IM176" i="55" s="1"/>
  <c r="JA175" i="55"/>
  <c r="HP175" i="55"/>
  <c r="IZ175" i="55" s="1"/>
  <c r="HR175" i="55"/>
  <c r="HO175" i="55"/>
  <c r="IH175" i="55" s="1"/>
  <c r="HK175" i="55"/>
  <c r="HI178" i="55" l="1"/>
  <c r="HJ178" i="55"/>
  <c r="IL178" i="55"/>
  <c r="IM178" i="55" s="1"/>
  <c r="JS175" i="55"/>
  <c r="N175" i="55"/>
  <c r="AK180" i="55"/>
  <c r="HE180" i="55"/>
  <c r="JA176" i="55"/>
  <c r="HO176" i="55"/>
  <c r="IH176" i="55" s="1"/>
  <c r="HK176" i="55"/>
  <c r="HK177" i="55" s="1"/>
  <c r="HR176" i="55"/>
  <c r="HP176" i="55"/>
  <c r="IZ176" i="55" s="1"/>
  <c r="JA177" i="55"/>
  <c r="HO177" i="55"/>
  <c r="IH177" i="55" s="1"/>
  <c r="HP177" i="55"/>
  <c r="IZ177" i="55" s="1"/>
  <c r="HR177" i="55"/>
  <c r="IV176" i="55" a="1"/>
  <c r="IV176" i="55" s="1"/>
  <c r="IW176" i="55" s="1"/>
  <c r="IR176" i="55" a="1"/>
  <c r="IR176" i="55" s="1"/>
  <c r="IS176" i="55" s="1"/>
  <c r="IP176" i="55" a="1"/>
  <c r="IP176" i="55" s="1"/>
  <c r="IQ176" i="55" s="1"/>
  <c r="IN176" i="55" a="1"/>
  <c r="IN176" i="55" s="1"/>
  <c r="IO176" i="55" s="1"/>
  <c r="IX176" i="55" a="1"/>
  <c r="IX176" i="55" s="1"/>
  <c r="IY176" i="55" s="1"/>
  <c r="IT176" i="55" a="1"/>
  <c r="IT176" i="55" s="1"/>
  <c r="IU176" i="55" s="1"/>
  <c r="IF176" i="55"/>
  <c r="IG176" i="55" s="1"/>
  <c r="JR176" i="55"/>
  <c r="HF179" i="55"/>
  <c r="HG179" i="55" s="1"/>
  <c r="HH179" i="55"/>
  <c r="HB181" i="55"/>
  <c r="HC181" i="55" s="1"/>
  <c r="HD181" i="55"/>
  <c r="HA182" i="55"/>
  <c r="IT177" i="55" a="1"/>
  <c r="IT177" i="55" s="1"/>
  <c r="IU177" i="55" s="1"/>
  <c r="IR177" i="55" a="1"/>
  <c r="IR177" i="55" s="1"/>
  <c r="IS177" i="55" s="1"/>
  <c r="IP177" i="55" a="1"/>
  <c r="IP177" i="55" s="1"/>
  <c r="IQ177" i="55" s="1"/>
  <c r="IV177" i="55" a="1"/>
  <c r="IV177" i="55" s="1"/>
  <c r="IW177" i="55" s="1"/>
  <c r="IN177" i="55" a="1"/>
  <c r="IN177" i="55" s="1"/>
  <c r="IO177" i="55" s="1"/>
  <c r="IX177" i="55" a="1"/>
  <c r="IX177" i="55" s="1"/>
  <c r="IY177" i="55" s="1"/>
  <c r="IF177" i="55"/>
  <c r="IG177" i="55" s="1"/>
  <c r="JR178" i="55"/>
  <c r="JQ178" i="55"/>
  <c r="IF178" i="55" l="1"/>
  <c r="IG178" i="55" s="1"/>
  <c r="HD182" i="55"/>
  <c r="HB182" i="55"/>
  <c r="HC182" i="55" s="1"/>
  <c r="HA183" i="55"/>
  <c r="JS176" i="55"/>
  <c r="N176" i="55"/>
  <c r="IT178" i="55" a="1"/>
  <c r="IT178" i="55" s="1"/>
  <c r="IU178" i="55" s="1"/>
  <c r="IN178" i="55" a="1"/>
  <c r="IN178" i="55" s="1"/>
  <c r="IO178" i="55" s="1"/>
  <c r="IP178" i="55" a="1"/>
  <c r="IP178" i="55" s="1"/>
  <c r="IQ178" i="55" s="1"/>
  <c r="IV178" i="55" a="1"/>
  <c r="IV178" i="55" s="1"/>
  <c r="IW178" i="55" s="1"/>
  <c r="IX178" i="55" a="1"/>
  <c r="IX178" i="55" s="1"/>
  <c r="IY178" i="55" s="1"/>
  <c r="IR178" i="55" a="1"/>
  <c r="IR178" i="55" s="1"/>
  <c r="IS178" i="55" s="1"/>
  <c r="AK181" i="55"/>
  <c r="HE181" i="55"/>
  <c r="JQ179" i="55"/>
  <c r="JR179" i="55"/>
  <c r="JA178" i="55"/>
  <c r="HP178" i="55"/>
  <c r="IZ178" i="55" s="1"/>
  <c r="HR178" i="55"/>
  <c r="HO178" i="55"/>
  <c r="IH178" i="55" s="1"/>
  <c r="HK178" i="55"/>
  <c r="JS177" i="55"/>
  <c r="N177" i="55"/>
  <c r="HI179" i="55"/>
  <c r="HJ179" i="55"/>
  <c r="IL179" i="55"/>
  <c r="IM179" i="55" s="1"/>
  <c r="HF180" i="55"/>
  <c r="HG180" i="55" s="1"/>
  <c r="HH180" i="55"/>
  <c r="HF181" i="55" l="1"/>
  <c r="HG181" i="55" s="1"/>
  <c r="HH181" i="55" s="1"/>
  <c r="HI180" i="55"/>
  <c r="HJ180" i="55"/>
  <c r="IL180" i="55"/>
  <c r="IM180" i="55" s="1"/>
  <c r="IF179" i="55"/>
  <c r="IG179" i="55" s="1"/>
  <c r="JQ180" i="55"/>
  <c r="JR180" i="55"/>
  <c r="HD183" i="55"/>
  <c r="HB183" i="55"/>
  <c r="HC183" i="55" s="1"/>
  <c r="HA184" i="55"/>
  <c r="JS178" i="55"/>
  <c r="N178" i="55"/>
  <c r="IX179" i="55" a="1"/>
  <c r="IX179" i="55" s="1"/>
  <c r="IY179" i="55" s="1"/>
  <c r="IV179" i="55" a="1"/>
  <c r="IV179" i="55" s="1"/>
  <c r="IW179" i="55" s="1"/>
  <c r="IP179" i="55" a="1"/>
  <c r="IP179" i="55" s="1"/>
  <c r="IQ179" i="55" s="1"/>
  <c r="IT179" i="55" a="1"/>
  <c r="IT179" i="55" s="1"/>
  <c r="IU179" i="55" s="1"/>
  <c r="IN179" i="55" a="1"/>
  <c r="IN179" i="55" s="1"/>
  <c r="IO179" i="55" s="1"/>
  <c r="IR179" i="55" a="1"/>
  <c r="IR179" i="55" s="1"/>
  <c r="IS179" i="55" s="1"/>
  <c r="JA179" i="55"/>
  <c r="HO179" i="55"/>
  <c r="IH179" i="55" s="1"/>
  <c r="HP179" i="55"/>
  <c r="IZ179" i="55" s="1"/>
  <c r="HR179" i="55"/>
  <c r="HK179" i="55"/>
  <c r="AK182" i="55"/>
  <c r="HE182" i="55"/>
  <c r="HF182" i="55" l="1"/>
  <c r="HG182" i="55" s="1"/>
  <c r="HH182" i="55" s="1"/>
  <c r="AK183" i="55"/>
  <c r="HE183" i="55"/>
  <c r="IT180" i="55" a="1"/>
  <c r="IT180" i="55" s="1"/>
  <c r="IU180" i="55" s="1"/>
  <c r="IV180" i="55" a="1"/>
  <c r="IV180" i="55" s="1"/>
  <c r="IW180" i="55" s="1"/>
  <c r="IP180" i="55" a="1"/>
  <c r="IP180" i="55" s="1"/>
  <c r="IQ180" i="55" s="1"/>
  <c r="IX180" i="55" a="1"/>
  <c r="IX180" i="55" s="1"/>
  <c r="IY180" i="55" s="1"/>
  <c r="IN180" i="55" a="1"/>
  <c r="IN180" i="55" s="1"/>
  <c r="IO180" i="55" s="1"/>
  <c r="IR180" i="55" a="1"/>
  <c r="IR180" i="55" s="1"/>
  <c r="IS180" i="55" s="1"/>
  <c r="IF180" i="55"/>
  <c r="IG180" i="55" s="1"/>
  <c r="HD184" i="55"/>
  <c r="HB184" i="55"/>
  <c r="HC184" i="55" s="1"/>
  <c r="HA185" i="55"/>
  <c r="JA180" i="55"/>
  <c r="HO180" i="55"/>
  <c r="IH180" i="55" s="1"/>
  <c r="HP180" i="55"/>
  <c r="IZ180" i="55" s="1"/>
  <c r="HR180" i="55"/>
  <c r="HK180" i="55"/>
  <c r="JQ181" i="55"/>
  <c r="JS179" i="55"/>
  <c r="N179" i="55"/>
  <c r="HJ181" i="55"/>
  <c r="HI181" i="55"/>
  <c r="IF181" i="55" s="1"/>
  <c r="IG181" i="55" s="1"/>
  <c r="IL181" i="55"/>
  <c r="IM181" i="55" s="1"/>
  <c r="HJ182" i="55" l="1"/>
  <c r="HI182" i="55"/>
  <c r="IL182" i="55"/>
  <c r="IM182" i="55" s="1"/>
  <c r="JS180" i="55"/>
  <c r="N180" i="55"/>
  <c r="IT181" i="55" a="1"/>
  <c r="IT181" i="55" s="1"/>
  <c r="IU181" i="55" s="1"/>
  <c r="IR181" i="55" a="1"/>
  <c r="IR181" i="55" s="1"/>
  <c r="IS181" i="55" s="1"/>
  <c r="IV181" i="55" a="1"/>
  <c r="IV181" i="55" s="1"/>
  <c r="IW181" i="55" s="1"/>
  <c r="IX181" i="55" a="1"/>
  <c r="IX181" i="55" s="1"/>
  <c r="IY181" i="55" s="1"/>
  <c r="IN181" i="55" a="1"/>
  <c r="IN181" i="55" s="1"/>
  <c r="IO181" i="55" s="1"/>
  <c r="IP181" i="55" a="1"/>
  <c r="IP181" i="55" s="1"/>
  <c r="IQ181" i="55" s="1"/>
  <c r="HD185" i="55"/>
  <c r="HB185" i="55"/>
  <c r="HC185" i="55" s="1"/>
  <c r="HA186" i="55"/>
  <c r="HF183" i="55"/>
  <c r="HG183" i="55" s="1"/>
  <c r="HH183" i="55" s="1"/>
  <c r="AK184" i="55"/>
  <c r="HE184" i="55"/>
  <c r="JA181" i="55"/>
  <c r="HO181" i="55"/>
  <c r="IH181" i="55" s="1"/>
  <c r="HK181" i="55"/>
  <c r="HP181" i="55"/>
  <c r="IZ181" i="55" s="1"/>
  <c r="HR181" i="55"/>
  <c r="JR181" i="55"/>
  <c r="JR182" i="55"/>
  <c r="JQ182" i="55"/>
  <c r="HJ183" i="55" l="1"/>
  <c r="HI183" i="55"/>
  <c r="IL183" i="55"/>
  <c r="IM183" i="55" s="1"/>
  <c r="HD186" i="55"/>
  <c r="HB186" i="55"/>
  <c r="HC186" i="55" s="1"/>
  <c r="HA187" i="55"/>
  <c r="AK185" i="55"/>
  <c r="HE185" i="55"/>
  <c r="IX182" i="55" a="1"/>
  <c r="IX182" i="55" s="1"/>
  <c r="IY182" i="55" s="1"/>
  <c r="IV182" i="55" a="1"/>
  <c r="IV182" i="55" s="1"/>
  <c r="IW182" i="55" s="1"/>
  <c r="IT182" i="55" a="1"/>
  <c r="IT182" i="55" s="1"/>
  <c r="IU182" i="55" s="1"/>
  <c r="IN182" i="55" a="1"/>
  <c r="IN182" i="55" s="1"/>
  <c r="IO182" i="55" s="1"/>
  <c r="IR182" i="55" a="1"/>
  <c r="IR182" i="55" s="1"/>
  <c r="IS182" i="55" s="1"/>
  <c r="IP182" i="55" a="1"/>
  <c r="IP182" i="55" s="1"/>
  <c r="IQ182" i="55" s="1"/>
  <c r="JR183" i="55"/>
  <c r="JQ183" i="55"/>
  <c r="HF184" i="55"/>
  <c r="HG184" i="55" s="1"/>
  <c r="HH184" i="55" s="1"/>
  <c r="IF182" i="55"/>
  <c r="IG182" i="55" s="1"/>
  <c r="JS181" i="55"/>
  <c r="N181" i="55"/>
  <c r="JA182" i="55"/>
  <c r="HO182" i="55"/>
  <c r="IH182" i="55" s="1"/>
  <c r="HK182" i="55"/>
  <c r="HR182" i="55"/>
  <c r="HP182" i="55"/>
  <c r="IZ182" i="55" s="1"/>
  <c r="HF185" i="55" l="1"/>
  <c r="HG185" i="55" s="1"/>
  <c r="HD187" i="55"/>
  <c r="HB187" i="55"/>
  <c r="HC187" i="55" s="1"/>
  <c r="HA188" i="55"/>
  <c r="JS182" i="55"/>
  <c r="N182" i="55"/>
  <c r="IX183" i="55" a="1"/>
  <c r="IX183" i="55" s="1"/>
  <c r="IY183" i="55" s="1"/>
  <c r="IN183" i="55" a="1"/>
  <c r="IN183" i="55" s="1"/>
  <c r="IO183" i="55" s="1"/>
  <c r="IV183" i="55" a="1"/>
  <c r="IV183" i="55" s="1"/>
  <c r="IW183" i="55" s="1"/>
  <c r="IR183" i="55" a="1"/>
  <c r="IR183" i="55" s="1"/>
  <c r="IS183" i="55" s="1"/>
  <c r="IP183" i="55" a="1"/>
  <c r="IP183" i="55" s="1"/>
  <c r="IQ183" i="55" s="1"/>
  <c r="IT183" i="55" a="1"/>
  <c r="IT183" i="55" s="1"/>
  <c r="IU183" i="55" s="1"/>
  <c r="JR184" i="55"/>
  <c r="JQ184" i="55"/>
  <c r="IF183" i="55"/>
  <c r="IG183" i="55" s="1"/>
  <c r="AK186" i="55"/>
  <c r="HE186" i="55"/>
  <c r="HJ184" i="55"/>
  <c r="HI184" i="55"/>
  <c r="IF184" i="55" s="1"/>
  <c r="IG184" i="55" s="1"/>
  <c r="JA183" i="55"/>
  <c r="HO183" i="55"/>
  <c r="IH183" i="55" s="1"/>
  <c r="HK183" i="55"/>
  <c r="HP183" i="55"/>
  <c r="IZ183" i="55" s="1"/>
  <c r="HR183" i="55"/>
  <c r="JS183" i="55" l="1"/>
  <c r="N183" i="55"/>
  <c r="JA184" i="55"/>
  <c r="HK184" i="55"/>
  <c r="HO184" i="55"/>
  <c r="IH184" i="55" s="1"/>
  <c r="HR184" i="55"/>
  <c r="HP184" i="55"/>
  <c r="IZ184" i="55" s="1"/>
  <c r="AK187" i="55"/>
  <c r="HE187" i="55"/>
  <c r="HB188" i="55"/>
  <c r="HC188" i="55" s="1"/>
  <c r="HD188" i="55"/>
  <c r="HA189" i="55"/>
  <c r="HF186" i="55"/>
  <c r="HG186" i="55" s="1"/>
  <c r="JQ185" i="55"/>
  <c r="HH185" i="55"/>
  <c r="JQ186" i="55" l="1"/>
  <c r="HH186" i="55"/>
  <c r="AK188" i="55"/>
  <c r="HE188" i="55"/>
  <c r="HF187" i="55"/>
  <c r="HG187" i="55" s="1"/>
  <c r="JS184" i="55"/>
  <c r="N184" i="55"/>
  <c r="HD189" i="55"/>
  <c r="HB189" i="55"/>
  <c r="HC189" i="55" s="1"/>
  <c r="HA190" i="55"/>
  <c r="HJ185" i="55"/>
  <c r="HI185" i="55"/>
  <c r="IL185" i="55"/>
  <c r="IM185" i="55" s="1"/>
  <c r="HB190" i="55" l="1"/>
  <c r="HC190" i="55" s="1"/>
  <c r="HD190" i="55"/>
  <c r="HA191" i="55"/>
  <c r="JQ187" i="55"/>
  <c r="HF188" i="55"/>
  <c r="HG188" i="55" s="1"/>
  <c r="AK189" i="55"/>
  <c r="HE189" i="55"/>
  <c r="JA185" i="55"/>
  <c r="HO185" i="55"/>
  <c r="IH185" i="55" s="1"/>
  <c r="HK185" i="55"/>
  <c r="HR185" i="55"/>
  <c r="HP185" i="55"/>
  <c r="IZ185" i="55" s="1"/>
  <c r="HH187" i="55"/>
  <c r="HH188" i="55" s="1"/>
  <c r="IV185" i="55" a="1"/>
  <c r="IV185" i="55" s="1"/>
  <c r="IW185" i="55" s="1"/>
  <c r="IX185" i="55" a="1"/>
  <c r="IX185" i="55" s="1"/>
  <c r="IY185" i="55" s="1"/>
  <c r="IN185" i="55" a="1"/>
  <c r="IN185" i="55" s="1"/>
  <c r="IO185" i="55" s="1"/>
  <c r="IR185" i="55" a="1"/>
  <c r="IR185" i="55" s="1"/>
  <c r="IS185" i="55" s="1"/>
  <c r="IT185" i="55" a="1"/>
  <c r="IT185" i="55" s="1"/>
  <c r="IU185" i="55" s="1"/>
  <c r="IP185" i="55" a="1"/>
  <c r="IP185" i="55" s="1"/>
  <c r="IQ185" i="55" s="1"/>
  <c r="IF185" i="55"/>
  <c r="IG185" i="55" s="1"/>
  <c r="JR185" i="55"/>
  <c r="HJ186" i="55"/>
  <c r="HI186" i="55"/>
  <c r="IL186" i="55"/>
  <c r="IM186" i="55" s="1"/>
  <c r="HI188" i="55" l="1"/>
  <c r="HJ188" i="55"/>
  <c r="IL188" i="55"/>
  <c r="IM188" i="55" s="1"/>
  <c r="JS185" i="55"/>
  <c r="N185" i="55"/>
  <c r="IF186" i="55"/>
  <c r="IG186" i="55" s="1"/>
  <c r="JR186" i="55"/>
  <c r="JQ188" i="55"/>
  <c r="JR188" i="55"/>
  <c r="HB191" i="55"/>
  <c r="HC191" i="55" s="1"/>
  <c r="HD191" i="55"/>
  <c r="HA192" i="55"/>
  <c r="IX186" i="55" a="1"/>
  <c r="IX186" i="55" s="1"/>
  <c r="IY186" i="55" s="1"/>
  <c r="IP186" i="55" a="1"/>
  <c r="IP186" i="55" s="1"/>
  <c r="IQ186" i="55" s="1"/>
  <c r="IN186" i="55" a="1"/>
  <c r="IN186" i="55" s="1"/>
  <c r="IO186" i="55" s="1"/>
  <c r="IR186" i="55" a="1"/>
  <c r="IR186" i="55" s="1"/>
  <c r="IS186" i="55" s="1"/>
  <c r="IT186" i="55" a="1"/>
  <c r="IT186" i="55" s="1"/>
  <c r="IU186" i="55" s="1"/>
  <c r="IV186" i="55" a="1"/>
  <c r="IV186" i="55" s="1"/>
  <c r="IW186" i="55" s="1"/>
  <c r="HF189" i="55"/>
  <c r="HG189" i="55" s="1"/>
  <c r="HH189" i="55" s="1"/>
  <c r="AK190" i="55"/>
  <c r="HE190" i="55"/>
  <c r="HJ187" i="55"/>
  <c r="HI187" i="55"/>
  <c r="IL187" i="55"/>
  <c r="IM187" i="55" s="1"/>
  <c r="HR186" i="55"/>
  <c r="HK186" i="55"/>
  <c r="JA186" i="55"/>
  <c r="HP186" i="55"/>
  <c r="IZ186" i="55" s="1"/>
  <c r="HO186" i="55"/>
  <c r="IH186" i="55" s="1"/>
  <c r="IF187" i="55" l="1"/>
  <c r="IG187" i="55" s="1"/>
  <c r="JR187" i="55"/>
  <c r="IV188" i="55" a="1"/>
  <c r="IV188" i="55" s="1"/>
  <c r="IW188" i="55" s="1"/>
  <c r="IX188" i="55" a="1"/>
  <c r="IX188" i="55" s="1"/>
  <c r="IY188" i="55" s="1"/>
  <c r="IP188" i="55" a="1"/>
  <c r="IP188" i="55" s="1"/>
  <c r="IQ188" i="55" s="1"/>
  <c r="IR188" i="55" a="1"/>
  <c r="IR188" i="55" s="1"/>
  <c r="IS188" i="55" s="1"/>
  <c r="IT188" i="55" a="1"/>
  <c r="IT188" i="55" s="1"/>
  <c r="IU188" i="55" s="1"/>
  <c r="IN188" i="55" a="1"/>
  <c r="IN188" i="55" s="1"/>
  <c r="IO188" i="55" s="1"/>
  <c r="JS186" i="55"/>
  <c r="N186" i="55"/>
  <c r="HB192" i="55"/>
  <c r="HC192" i="55" s="1"/>
  <c r="HD192" i="55"/>
  <c r="HA193" i="55"/>
  <c r="AK191" i="55"/>
  <c r="HE191" i="55"/>
  <c r="JA187" i="55"/>
  <c r="HR187" i="55"/>
  <c r="HP187" i="55"/>
  <c r="IZ187" i="55" s="1"/>
  <c r="HO187" i="55"/>
  <c r="IH187" i="55" s="1"/>
  <c r="HK187" i="55"/>
  <c r="HF190" i="55"/>
  <c r="HG190" i="55" s="1"/>
  <c r="HJ189" i="55"/>
  <c r="HI189" i="55"/>
  <c r="IF189" i="55" s="1"/>
  <c r="IG189" i="55" s="1"/>
  <c r="IL189" i="55"/>
  <c r="IM189" i="55" s="1"/>
  <c r="JA188" i="55"/>
  <c r="HR188" i="55"/>
  <c r="HK188" i="55"/>
  <c r="HP188" i="55"/>
  <c r="IZ188" i="55" s="1"/>
  <c r="HO188" i="55"/>
  <c r="IH188" i="55" s="1"/>
  <c r="IX187" i="55" a="1"/>
  <c r="IX187" i="55" s="1"/>
  <c r="IY187" i="55" s="1"/>
  <c r="IP187" i="55" a="1"/>
  <c r="IP187" i="55" s="1"/>
  <c r="IQ187" i="55" s="1"/>
  <c r="IR187" i="55" a="1"/>
  <c r="IR187" i="55" s="1"/>
  <c r="IS187" i="55" s="1"/>
  <c r="IT187" i="55" a="1"/>
  <c r="IT187" i="55" s="1"/>
  <c r="IU187" i="55" s="1"/>
  <c r="IV187" i="55" a="1"/>
  <c r="IV187" i="55" s="1"/>
  <c r="IW187" i="55" s="1"/>
  <c r="IN187" i="55" a="1"/>
  <c r="IN187" i="55" s="1"/>
  <c r="IO187" i="55" s="1"/>
  <c r="JQ189" i="55"/>
  <c r="IF188" i="55"/>
  <c r="IG188" i="55" s="1"/>
  <c r="HB193" i="55" l="1"/>
  <c r="HC193" i="55" s="1"/>
  <c r="HD193" i="55"/>
  <c r="HA194" i="55"/>
  <c r="JR189" i="55"/>
  <c r="HF191" i="55"/>
  <c r="HG191" i="55" s="1"/>
  <c r="JA189" i="55"/>
  <c r="HR189" i="55"/>
  <c r="HP189" i="55"/>
  <c r="IZ189" i="55" s="1"/>
  <c r="HO189" i="55"/>
  <c r="IH189" i="55" s="1"/>
  <c r="HK189" i="55"/>
  <c r="JQ190" i="55"/>
  <c r="HH190" i="55"/>
  <c r="JS187" i="55"/>
  <c r="N187" i="55"/>
  <c r="JS188" i="55"/>
  <c r="N188" i="55"/>
  <c r="AK192" i="55"/>
  <c r="HE192" i="55"/>
  <c r="IX189" i="55" a="1"/>
  <c r="IX189" i="55" s="1"/>
  <c r="IY189" i="55" s="1"/>
  <c r="IR189" i="55" a="1"/>
  <c r="IR189" i="55" s="1"/>
  <c r="IS189" i="55" s="1"/>
  <c r="IT189" i="55" a="1"/>
  <c r="IT189" i="55" s="1"/>
  <c r="IU189" i="55" s="1"/>
  <c r="IP189" i="55" a="1"/>
  <c r="IP189" i="55" s="1"/>
  <c r="IQ189" i="55" s="1"/>
  <c r="IN189" i="55" a="1"/>
  <c r="IN189" i="55" s="1"/>
  <c r="IO189" i="55" s="1"/>
  <c r="IV189" i="55" a="1"/>
  <c r="IV189" i="55" s="1"/>
  <c r="IW189" i="55" s="1"/>
  <c r="JS189" i="55" l="1"/>
  <c r="N189" i="55"/>
  <c r="HD194" i="55"/>
  <c r="HB194" i="55"/>
  <c r="HC194" i="55" s="1"/>
  <c r="HA195" i="55"/>
  <c r="HJ190" i="55"/>
  <c r="HI190" i="55"/>
  <c r="IL190" i="55"/>
  <c r="IM190" i="55" s="1"/>
  <c r="HH191" i="55"/>
  <c r="JQ191" i="55"/>
  <c r="HF192" i="55"/>
  <c r="HG192" i="55" s="1"/>
  <c r="HH192" i="55" s="1"/>
  <c r="AK193" i="55"/>
  <c r="HE193" i="55"/>
  <c r="HI192" i="55" l="1"/>
  <c r="HJ192" i="55"/>
  <c r="IL192" i="55"/>
  <c r="IM192" i="55" s="1"/>
  <c r="IT190" i="55" a="1"/>
  <c r="IT190" i="55" s="1"/>
  <c r="IU190" i="55" s="1"/>
  <c r="IR190" i="55" a="1"/>
  <c r="IR190" i="55" s="1"/>
  <c r="IS190" i="55" s="1"/>
  <c r="IN190" i="55" a="1"/>
  <c r="IN190" i="55" s="1"/>
  <c r="IO190" i="55" s="1"/>
  <c r="IP190" i="55" a="1"/>
  <c r="IP190" i="55" s="1"/>
  <c r="IQ190" i="55" s="1"/>
  <c r="IX190" i="55" a="1"/>
  <c r="IX190" i="55" s="1"/>
  <c r="IY190" i="55" s="1"/>
  <c r="IV190" i="55" a="1"/>
  <c r="IV190" i="55" s="1"/>
  <c r="IW190" i="55" s="1"/>
  <c r="AK194" i="55"/>
  <c r="HE194" i="55"/>
  <c r="HF193" i="55"/>
  <c r="HG193" i="55" s="1"/>
  <c r="HJ191" i="55"/>
  <c r="HI191" i="55"/>
  <c r="IL191" i="55"/>
  <c r="IM191" i="55" s="1"/>
  <c r="IF190" i="55"/>
  <c r="IG190" i="55" s="1"/>
  <c r="JR190" i="55"/>
  <c r="JA190" i="55"/>
  <c r="HP190" i="55"/>
  <c r="IZ190" i="55" s="1"/>
  <c r="HR190" i="55"/>
  <c r="HO190" i="55"/>
  <c r="IH190" i="55" s="1"/>
  <c r="HK190" i="55"/>
  <c r="JQ192" i="55"/>
  <c r="JR192" i="55"/>
  <c r="HB195" i="55"/>
  <c r="HC195" i="55" s="1"/>
  <c r="HD195" i="55"/>
  <c r="HA196" i="55"/>
  <c r="IV191" i="55" l="1" a="1"/>
  <c r="IV191" i="55" s="1"/>
  <c r="IW191" i="55" s="1"/>
  <c r="IT191" i="55" a="1"/>
  <c r="IT191" i="55" s="1"/>
  <c r="IU191" i="55" s="1"/>
  <c r="IR191" i="55" a="1"/>
  <c r="IR191" i="55" s="1"/>
  <c r="IS191" i="55" s="1"/>
  <c r="IN191" i="55" a="1"/>
  <c r="IN191" i="55" s="1"/>
  <c r="IO191" i="55" s="1"/>
  <c r="IP191" i="55" a="1"/>
  <c r="IP191" i="55" s="1"/>
  <c r="IQ191" i="55" s="1"/>
  <c r="IX191" i="55" a="1"/>
  <c r="IX191" i="55" s="1"/>
  <c r="IY191" i="55" s="1"/>
  <c r="JA191" i="55"/>
  <c r="HP191" i="55"/>
  <c r="IZ191" i="55" s="1"/>
  <c r="HR191" i="55"/>
  <c r="HO191" i="55"/>
  <c r="IH191" i="55" s="1"/>
  <c r="HK191" i="55"/>
  <c r="AK195" i="55"/>
  <c r="HE195" i="55"/>
  <c r="HF194" i="55"/>
  <c r="HG194" i="55" s="1"/>
  <c r="IF191" i="55"/>
  <c r="IG191" i="55" s="1"/>
  <c r="JR191" i="55"/>
  <c r="JQ193" i="55"/>
  <c r="HH193" i="55"/>
  <c r="IX192" i="55" a="1"/>
  <c r="IX192" i="55" s="1"/>
  <c r="IY192" i="55" s="1"/>
  <c r="IV192" i="55" a="1"/>
  <c r="IV192" i="55" s="1"/>
  <c r="IW192" i="55" s="1"/>
  <c r="IT192" i="55" a="1"/>
  <c r="IT192" i="55" s="1"/>
  <c r="IU192" i="55" s="1"/>
  <c r="IN192" i="55" a="1"/>
  <c r="IN192" i="55" s="1"/>
  <c r="IO192" i="55" s="1"/>
  <c r="IP192" i="55" a="1"/>
  <c r="IP192" i="55" s="1"/>
  <c r="IQ192" i="55" s="1"/>
  <c r="IR192" i="55" a="1"/>
  <c r="IR192" i="55" s="1"/>
  <c r="IS192" i="55" s="1"/>
  <c r="JS190" i="55"/>
  <c r="N190" i="55"/>
  <c r="JA192" i="55"/>
  <c r="HO192" i="55"/>
  <c r="IH192" i="55" s="1"/>
  <c r="HK192" i="55"/>
  <c r="HP192" i="55"/>
  <c r="IZ192" i="55" s="1"/>
  <c r="HR192" i="55"/>
  <c r="HB196" i="55"/>
  <c r="HC196" i="55" s="1"/>
  <c r="HD196" i="55"/>
  <c r="HA197" i="55"/>
  <c r="IF192" i="55"/>
  <c r="IG192" i="55" s="1"/>
  <c r="JS191" i="55" l="1"/>
  <c r="N191" i="55"/>
  <c r="JQ194" i="55"/>
  <c r="HJ193" i="55"/>
  <c r="HI193" i="55"/>
  <c r="IL193" i="55"/>
  <c r="IM193" i="55" s="1"/>
  <c r="AK196" i="55"/>
  <c r="HE196" i="55"/>
  <c r="JS192" i="55"/>
  <c r="N192" i="55"/>
  <c r="HH194" i="55"/>
  <c r="HF195" i="55"/>
  <c r="HG195" i="55" s="1"/>
  <c r="HD197" i="55"/>
  <c r="HB197" i="55"/>
  <c r="HC197" i="55" s="1"/>
  <c r="HA198" i="55"/>
  <c r="HF196" i="55" l="1"/>
  <c r="HG196" i="55" s="1"/>
  <c r="HO193" i="55"/>
  <c r="IH193" i="55" s="1"/>
  <c r="HP193" i="55"/>
  <c r="IZ193" i="55" s="1"/>
  <c r="JA193" i="55"/>
  <c r="HR193" i="55"/>
  <c r="HK193" i="55"/>
  <c r="JQ195" i="55"/>
  <c r="HJ194" i="55"/>
  <c r="HI194" i="55"/>
  <c r="IL194" i="55"/>
  <c r="IM194" i="55" s="1"/>
  <c r="IV193" i="55" a="1"/>
  <c r="IV193" i="55" s="1"/>
  <c r="IW193" i="55" s="1"/>
  <c r="IT193" i="55" a="1"/>
  <c r="IT193" i="55" s="1"/>
  <c r="IU193" i="55" s="1"/>
  <c r="IX193" i="55" a="1"/>
  <c r="IX193" i="55" s="1"/>
  <c r="IY193" i="55" s="1"/>
  <c r="IP193" i="55" a="1"/>
  <c r="IP193" i="55" s="1"/>
  <c r="IQ193" i="55" s="1"/>
  <c r="IN193" i="55" a="1"/>
  <c r="IN193" i="55" s="1"/>
  <c r="IO193" i="55" s="1"/>
  <c r="IR193" i="55" a="1"/>
  <c r="IR193" i="55" s="1"/>
  <c r="IS193" i="55" s="1"/>
  <c r="IF193" i="55"/>
  <c r="IG193" i="55" s="1"/>
  <c r="JR193" i="55"/>
  <c r="AK197" i="55"/>
  <c r="HE197" i="55"/>
  <c r="HH195" i="55"/>
  <c r="HB198" i="55"/>
  <c r="HC198" i="55" s="1"/>
  <c r="HD198" i="55"/>
  <c r="HA199" i="55"/>
  <c r="IV194" i="55" l="1" a="1"/>
  <c r="IV194" i="55" s="1"/>
  <c r="IW194" i="55" s="1"/>
  <c r="IT194" i="55" a="1"/>
  <c r="IT194" i="55" s="1"/>
  <c r="IU194" i="55" s="1"/>
  <c r="IX194" i="55" a="1"/>
  <c r="IX194" i="55" s="1"/>
  <c r="IY194" i="55" s="1"/>
  <c r="IR194" i="55" a="1"/>
  <c r="IR194" i="55" s="1"/>
  <c r="IS194" i="55" s="1"/>
  <c r="IN194" i="55" a="1"/>
  <c r="IN194" i="55" s="1"/>
  <c r="IO194" i="55" s="1"/>
  <c r="IP194" i="55" a="1"/>
  <c r="IP194" i="55" s="1"/>
  <c r="IQ194" i="55" s="1"/>
  <c r="IF194" i="55"/>
  <c r="IG194" i="55" s="1"/>
  <c r="JR194" i="55"/>
  <c r="AK198" i="55"/>
  <c r="HE198" i="55"/>
  <c r="HJ195" i="55"/>
  <c r="HI195" i="55"/>
  <c r="IL195" i="55"/>
  <c r="IM195" i="55" s="1"/>
  <c r="JS193" i="55"/>
  <c r="N193" i="55"/>
  <c r="HD199" i="55"/>
  <c r="HB199" i="55"/>
  <c r="HC199" i="55" s="1"/>
  <c r="HA200" i="55"/>
  <c r="JQ196" i="55"/>
  <c r="JA194" i="55"/>
  <c r="HR194" i="55"/>
  <c r="HK194" i="55"/>
  <c r="HP194" i="55"/>
  <c r="IZ194" i="55" s="1"/>
  <c r="HO194" i="55"/>
  <c r="IH194" i="55" s="1"/>
  <c r="HF197" i="55"/>
  <c r="HG197" i="55" s="1"/>
  <c r="HH196" i="55"/>
  <c r="JQ197" i="55" l="1"/>
  <c r="HF198" i="55"/>
  <c r="HG198" i="55" s="1"/>
  <c r="AK199" i="55"/>
  <c r="HE199" i="55"/>
  <c r="HJ196" i="55"/>
  <c r="HI196" i="55"/>
  <c r="IL196" i="55"/>
  <c r="IM196" i="55" s="1"/>
  <c r="JA195" i="55"/>
  <c r="HR195" i="55"/>
  <c r="HP195" i="55"/>
  <c r="IZ195" i="55" s="1"/>
  <c r="HO195" i="55"/>
  <c r="IH195" i="55" s="1"/>
  <c r="HK195" i="55"/>
  <c r="JS194" i="55"/>
  <c r="N194" i="55"/>
  <c r="HD200" i="55"/>
  <c r="HB200" i="55"/>
  <c r="HC200" i="55" s="1"/>
  <c r="HA201" i="55"/>
  <c r="IV195" i="55" a="1"/>
  <c r="IV195" i="55" s="1"/>
  <c r="IW195" i="55" s="1"/>
  <c r="IX195" i="55" a="1"/>
  <c r="IX195" i="55" s="1"/>
  <c r="IY195" i="55" s="1"/>
  <c r="IP195" i="55" a="1"/>
  <c r="IP195" i="55" s="1"/>
  <c r="IQ195" i="55" s="1"/>
  <c r="IN195" i="55" a="1"/>
  <c r="IN195" i="55" s="1"/>
  <c r="IO195" i="55" s="1"/>
  <c r="IT195" i="55" a="1"/>
  <c r="IT195" i="55" s="1"/>
  <c r="IU195" i="55" s="1"/>
  <c r="IR195" i="55" a="1"/>
  <c r="IR195" i="55" s="1"/>
  <c r="IS195" i="55" s="1"/>
  <c r="IF195" i="55"/>
  <c r="IG195" i="55" s="1"/>
  <c r="JR195" i="55"/>
  <c r="HH197" i="55"/>
  <c r="HH198" i="55" l="1"/>
  <c r="HJ198" i="55" s="1"/>
  <c r="HI198" i="55"/>
  <c r="JR198" i="55" s="1"/>
  <c r="IL198" i="55"/>
  <c r="IM198" i="55" s="1"/>
  <c r="IX196" i="55" a="1"/>
  <c r="IX196" i="55" s="1"/>
  <c r="IY196" i="55" s="1"/>
  <c r="IP196" i="55" a="1"/>
  <c r="IP196" i="55" s="1"/>
  <c r="IQ196" i="55" s="1"/>
  <c r="IV196" i="55" a="1"/>
  <c r="IV196" i="55" s="1"/>
  <c r="IW196" i="55" s="1"/>
  <c r="IN196" i="55" a="1"/>
  <c r="IN196" i="55" s="1"/>
  <c r="IO196" i="55" s="1"/>
  <c r="IT196" i="55" a="1"/>
  <c r="IT196" i="55" s="1"/>
  <c r="IU196" i="55" s="1"/>
  <c r="IR196" i="55" a="1"/>
  <c r="IR196" i="55" s="1"/>
  <c r="IS196" i="55" s="1"/>
  <c r="IF196" i="55"/>
  <c r="IG196" i="55" s="1"/>
  <c r="JR196" i="55"/>
  <c r="HD201" i="55"/>
  <c r="HB201" i="55"/>
  <c r="HC201" i="55" s="1"/>
  <c r="HA202" i="55"/>
  <c r="JQ198" i="55"/>
  <c r="HJ197" i="55"/>
  <c r="HI197" i="55"/>
  <c r="IL197" i="55"/>
  <c r="IM197" i="55" s="1"/>
  <c r="JS195" i="55"/>
  <c r="N195" i="55"/>
  <c r="JA196" i="55"/>
  <c r="HP196" i="55"/>
  <c r="IZ196" i="55" s="1"/>
  <c r="HR196" i="55"/>
  <c r="HO196" i="55"/>
  <c r="IH196" i="55" s="1"/>
  <c r="HK196" i="55"/>
  <c r="HF199" i="55"/>
  <c r="HG199" i="55" s="1"/>
  <c r="AK200" i="55"/>
  <c r="HE200" i="55"/>
  <c r="JS196" i="55" l="1"/>
  <c r="N196" i="55"/>
  <c r="HD202" i="55"/>
  <c r="HB202" i="55"/>
  <c r="HC202" i="55" s="1"/>
  <c r="HA203" i="55"/>
  <c r="JQ199" i="55"/>
  <c r="HH199" i="55"/>
  <c r="AK201" i="55"/>
  <c r="HE201" i="55"/>
  <c r="IX198" i="55" a="1"/>
  <c r="IX198" i="55" s="1"/>
  <c r="IY198" i="55" s="1"/>
  <c r="IT198" i="55" a="1"/>
  <c r="IT198" i="55" s="1"/>
  <c r="IU198" i="55" s="1"/>
  <c r="IR198" i="55" a="1"/>
  <c r="IR198" i="55" s="1"/>
  <c r="IS198" i="55" s="1"/>
  <c r="IN198" i="55" a="1"/>
  <c r="IN198" i="55" s="1"/>
  <c r="IO198" i="55" s="1"/>
  <c r="IP198" i="55" a="1"/>
  <c r="IP198" i="55" s="1"/>
  <c r="IQ198" i="55" s="1"/>
  <c r="IV198" i="55" a="1"/>
  <c r="IV198" i="55" s="1"/>
  <c r="IW198" i="55" s="1"/>
  <c r="IF197" i="55"/>
  <c r="IG197" i="55" s="1"/>
  <c r="JR197" i="55"/>
  <c r="IF198" i="55"/>
  <c r="IG198" i="55" s="1"/>
  <c r="HF200" i="55"/>
  <c r="HG200" i="55" s="1"/>
  <c r="IV197" i="55" a="1"/>
  <c r="IV197" i="55" s="1"/>
  <c r="IW197" i="55" s="1"/>
  <c r="IR197" i="55" a="1"/>
  <c r="IR197" i="55" s="1"/>
  <c r="IS197" i="55" s="1"/>
  <c r="IN197" i="55" a="1"/>
  <c r="IN197" i="55" s="1"/>
  <c r="IO197" i="55" s="1"/>
  <c r="IT197" i="55" a="1"/>
  <c r="IT197" i="55" s="1"/>
  <c r="IU197" i="55" s="1"/>
  <c r="IX197" i="55" a="1"/>
  <c r="IX197" i="55" s="1"/>
  <c r="IY197" i="55" s="1"/>
  <c r="IP197" i="55" a="1"/>
  <c r="IP197" i="55" s="1"/>
  <c r="IQ197" i="55" s="1"/>
  <c r="JA197" i="55"/>
  <c r="HR197" i="55"/>
  <c r="HP197" i="55"/>
  <c r="IZ197" i="55" s="1"/>
  <c r="HO197" i="55"/>
  <c r="IH197" i="55" s="1"/>
  <c r="HK197" i="55"/>
  <c r="HK198" i="55" s="1"/>
  <c r="JA198" i="55"/>
  <c r="HR198" i="55"/>
  <c r="HP198" i="55"/>
  <c r="IZ198" i="55" s="1"/>
  <c r="HO198" i="55"/>
  <c r="IH198" i="55" s="1"/>
  <c r="JS197" i="55" l="1"/>
  <c r="N197" i="55"/>
  <c r="HF201" i="55"/>
  <c r="HG201" i="55" s="1"/>
  <c r="HJ199" i="55"/>
  <c r="HI199" i="55"/>
  <c r="IL199" i="55"/>
  <c r="IM199" i="55" s="1"/>
  <c r="HH200" i="55"/>
  <c r="HH201" i="55" s="1"/>
  <c r="JQ200" i="55"/>
  <c r="AK202" i="55"/>
  <c r="HE202" i="55"/>
  <c r="JS198" i="55"/>
  <c r="N198" i="55"/>
  <c r="HD203" i="55"/>
  <c r="HB203" i="55"/>
  <c r="HC203" i="55" s="1"/>
  <c r="HA204" i="55"/>
  <c r="HI201" i="55" l="1"/>
  <c r="HJ201" i="55"/>
  <c r="IL201" i="55"/>
  <c r="IM201" i="55" s="1"/>
  <c r="JR201" i="55"/>
  <c r="JQ201" i="55"/>
  <c r="IT199" i="55" a="1"/>
  <c r="IT199" i="55" s="1"/>
  <c r="IU199" i="55" s="1"/>
  <c r="IR199" i="55" a="1"/>
  <c r="IR199" i="55" s="1"/>
  <c r="IS199" i="55" s="1"/>
  <c r="IN199" i="55" a="1"/>
  <c r="IN199" i="55" s="1"/>
  <c r="IO199" i="55" s="1"/>
  <c r="IX199" i="55" a="1"/>
  <c r="IX199" i="55" s="1"/>
  <c r="IY199" i="55" s="1"/>
  <c r="IP199" i="55" a="1"/>
  <c r="IP199" i="55" s="1"/>
  <c r="IQ199" i="55" s="1"/>
  <c r="IV199" i="55" a="1"/>
  <c r="IV199" i="55" s="1"/>
  <c r="IW199" i="55" s="1"/>
  <c r="IF199" i="55"/>
  <c r="IG199" i="55" s="1"/>
  <c r="JR199" i="55"/>
  <c r="HR199" i="55"/>
  <c r="HP199" i="55"/>
  <c r="IZ199" i="55" s="1"/>
  <c r="HO199" i="55"/>
  <c r="IH199" i="55" s="1"/>
  <c r="JA199" i="55"/>
  <c r="HK199" i="55"/>
  <c r="AK203" i="55"/>
  <c r="HE203" i="55"/>
  <c r="HF202" i="55"/>
  <c r="HG202" i="55" s="1"/>
  <c r="HH202" i="55" s="1"/>
  <c r="HI200" i="55"/>
  <c r="HJ200" i="55"/>
  <c r="IL200" i="55"/>
  <c r="IM200" i="55" s="1"/>
  <c r="HB204" i="55"/>
  <c r="HC204" i="55" s="1"/>
  <c r="HD204" i="55"/>
  <c r="HA205" i="55"/>
  <c r="HJ202" i="55" l="1"/>
  <c r="HI202" i="55"/>
  <c r="IL202" i="55"/>
  <c r="IM202" i="55" s="1"/>
  <c r="HB205" i="55"/>
  <c r="HC205" i="55" s="1"/>
  <c r="HD205" i="55"/>
  <c r="HA206" i="55"/>
  <c r="IX200" i="55" a="1"/>
  <c r="IX200" i="55" s="1"/>
  <c r="IY200" i="55" s="1"/>
  <c r="IT200" i="55" a="1"/>
  <c r="IT200" i="55" s="1"/>
  <c r="IU200" i="55" s="1"/>
  <c r="IR200" i="55" a="1"/>
  <c r="IR200" i="55" s="1"/>
  <c r="IS200" i="55" s="1"/>
  <c r="IN200" i="55" a="1"/>
  <c r="IN200" i="55" s="1"/>
  <c r="IO200" i="55" s="1"/>
  <c r="IP200" i="55" a="1"/>
  <c r="IP200" i="55" s="1"/>
  <c r="IQ200" i="55" s="1"/>
  <c r="IV200" i="55" a="1"/>
  <c r="IV200" i="55" s="1"/>
  <c r="IW200" i="55" s="1"/>
  <c r="HF203" i="55"/>
  <c r="HG203" i="55" s="1"/>
  <c r="IX201" i="55" a="1"/>
  <c r="IX201" i="55" s="1"/>
  <c r="IY201" i="55" s="1"/>
  <c r="IT201" i="55" a="1"/>
  <c r="IT201" i="55" s="1"/>
  <c r="IU201" i="55" s="1"/>
  <c r="IR201" i="55" a="1"/>
  <c r="IR201" i="55" s="1"/>
  <c r="IS201" i="55" s="1"/>
  <c r="IP201" i="55" a="1"/>
  <c r="IP201" i="55" s="1"/>
  <c r="IQ201" i="55" s="1"/>
  <c r="IV201" i="55" a="1"/>
  <c r="IV201" i="55" s="1"/>
  <c r="IW201" i="55" s="1"/>
  <c r="IN201" i="55" a="1"/>
  <c r="IN201" i="55" s="1"/>
  <c r="IO201" i="55" s="1"/>
  <c r="JA200" i="55"/>
  <c r="HK200" i="55"/>
  <c r="HP200" i="55"/>
  <c r="IZ200" i="55" s="1"/>
  <c r="HR200" i="55"/>
  <c r="HO200" i="55"/>
  <c r="IH200" i="55" s="1"/>
  <c r="JA201" i="55"/>
  <c r="HK201" i="55"/>
  <c r="HP201" i="55"/>
  <c r="IZ201" i="55" s="1"/>
  <c r="HO201" i="55"/>
  <c r="IH201" i="55" s="1"/>
  <c r="HR201" i="55"/>
  <c r="JS199" i="55"/>
  <c r="N199" i="55"/>
  <c r="AK204" i="55"/>
  <c r="HE204" i="55"/>
  <c r="IF200" i="55"/>
  <c r="IG200" i="55" s="1"/>
  <c r="JR200" i="55"/>
  <c r="JQ202" i="55"/>
  <c r="JR202" i="55"/>
  <c r="IF201" i="55"/>
  <c r="IG201" i="55" s="1"/>
  <c r="IF202" i="55" l="1"/>
  <c r="IG202" i="55" s="1"/>
  <c r="JQ203" i="55"/>
  <c r="HH203" i="55"/>
  <c r="IX202" i="55" a="1"/>
  <c r="IX202" i="55" s="1"/>
  <c r="IY202" i="55" s="1"/>
  <c r="IP202" i="55" a="1"/>
  <c r="IP202" i="55" s="1"/>
  <c r="IQ202" i="55" s="1"/>
  <c r="IR202" i="55" a="1"/>
  <c r="IR202" i="55" s="1"/>
  <c r="IS202" i="55" s="1"/>
  <c r="IV202" i="55" a="1"/>
  <c r="IV202" i="55" s="1"/>
  <c r="IW202" i="55" s="1"/>
  <c r="IT202" i="55" a="1"/>
  <c r="IT202" i="55" s="1"/>
  <c r="IU202" i="55" s="1"/>
  <c r="IN202" i="55" a="1"/>
  <c r="IN202" i="55" s="1"/>
  <c r="IO202" i="55" s="1"/>
  <c r="JS201" i="55"/>
  <c r="N201" i="55"/>
  <c r="HB206" i="55"/>
  <c r="HC206" i="55" s="1"/>
  <c r="HD206" i="55"/>
  <c r="HA207" i="55"/>
  <c r="JS200" i="55"/>
  <c r="N200" i="55"/>
  <c r="AK205" i="55"/>
  <c r="HE205" i="55"/>
  <c r="HF204" i="55"/>
  <c r="HG204" i="55" s="1"/>
  <c r="HR202" i="55"/>
  <c r="HK202" i="55"/>
  <c r="JA202" i="55"/>
  <c r="HP202" i="55"/>
  <c r="IZ202" i="55" s="1"/>
  <c r="HO202" i="55"/>
  <c r="IH202" i="55" s="1"/>
  <c r="HB207" i="55" l="1"/>
  <c r="HC207" i="55" s="1"/>
  <c r="HD207" i="55"/>
  <c r="HA208" i="55"/>
  <c r="HI203" i="55"/>
  <c r="HJ203" i="55"/>
  <c r="IL203" i="55"/>
  <c r="IM203" i="55" s="1"/>
  <c r="JS202" i="55"/>
  <c r="N202" i="55"/>
  <c r="HF205" i="55"/>
  <c r="HG205" i="55" s="1"/>
  <c r="AK206" i="55"/>
  <c r="HE206" i="55"/>
  <c r="JQ204" i="55"/>
  <c r="HH204" i="55"/>
  <c r="HI204" i="55" l="1"/>
  <c r="HJ204" i="55"/>
  <c r="IL204" i="55"/>
  <c r="IM204" i="55" s="1"/>
  <c r="HF206" i="55"/>
  <c r="HG206" i="55" s="1"/>
  <c r="HB208" i="55"/>
  <c r="HC208" i="55" s="1"/>
  <c r="HD208" i="55"/>
  <c r="HA209" i="55"/>
  <c r="JQ205" i="55"/>
  <c r="HH205" i="55"/>
  <c r="IV203" i="55" a="1"/>
  <c r="IV203" i="55" s="1"/>
  <c r="IW203" i="55" s="1"/>
  <c r="IP203" i="55" a="1"/>
  <c r="IP203" i="55" s="1"/>
  <c r="IQ203" i="55" s="1"/>
  <c r="IX203" i="55" a="1"/>
  <c r="IX203" i="55" s="1"/>
  <c r="IY203" i="55" s="1"/>
  <c r="IN203" i="55" a="1"/>
  <c r="IN203" i="55" s="1"/>
  <c r="IO203" i="55" s="1"/>
  <c r="IR203" i="55" a="1"/>
  <c r="IR203" i="55" s="1"/>
  <c r="IS203" i="55" s="1"/>
  <c r="IT203" i="55" a="1"/>
  <c r="IT203" i="55" s="1"/>
  <c r="IU203" i="55" s="1"/>
  <c r="JA203" i="55"/>
  <c r="HR203" i="55"/>
  <c r="HK203" i="55"/>
  <c r="HO203" i="55"/>
  <c r="IH203" i="55" s="1"/>
  <c r="HP203" i="55"/>
  <c r="IZ203" i="55" s="1"/>
  <c r="IF203" i="55"/>
  <c r="IG203" i="55" s="1"/>
  <c r="JR203" i="55"/>
  <c r="AK207" i="55"/>
  <c r="HE207" i="55"/>
  <c r="HI205" i="55" l="1"/>
  <c r="HJ205" i="55"/>
  <c r="IL205" i="55"/>
  <c r="IM205" i="55" s="1"/>
  <c r="JQ206" i="55"/>
  <c r="HF207" i="55"/>
  <c r="HG207" i="55" s="1"/>
  <c r="HB209" i="55"/>
  <c r="HC209" i="55" s="1"/>
  <c r="HD209" i="55"/>
  <c r="HA210" i="55"/>
  <c r="AK208" i="55"/>
  <c r="HE208" i="55"/>
  <c r="HH206" i="55"/>
  <c r="IV204" i="55" a="1"/>
  <c r="IV204" i="55" s="1"/>
  <c r="IW204" i="55" s="1"/>
  <c r="IP204" i="55" a="1"/>
  <c r="IP204" i="55" s="1"/>
  <c r="IQ204" i="55" s="1"/>
  <c r="IT204" i="55" a="1"/>
  <c r="IT204" i="55" s="1"/>
  <c r="IU204" i="55" s="1"/>
  <c r="IN204" i="55" a="1"/>
  <c r="IN204" i="55" s="1"/>
  <c r="IO204" i="55" s="1"/>
  <c r="IR204" i="55" a="1"/>
  <c r="IR204" i="55" s="1"/>
  <c r="IS204" i="55" s="1"/>
  <c r="IX204" i="55" a="1"/>
  <c r="IX204" i="55" s="1"/>
  <c r="IY204" i="55" s="1"/>
  <c r="HR204" i="55"/>
  <c r="JA204" i="55"/>
  <c r="HK204" i="55"/>
  <c r="HO204" i="55"/>
  <c r="IH204" i="55" s="1"/>
  <c r="HP204" i="55"/>
  <c r="IZ204" i="55" s="1"/>
  <c r="JS203" i="55"/>
  <c r="N203" i="55"/>
  <c r="IF204" i="55"/>
  <c r="IG204" i="55" s="1"/>
  <c r="JR204" i="55"/>
  <c r="HJ206" i="55" l="1"/>
  <c r="HI206" i="55"/>
  <c r="IL206" i="55"/>
  <c r="IM206" i="55" s="1"/>
  <c r="AK209" i="55"/>
  <c r="HE209" i="55"/>
  <c r="JQ207" i="55"/>
  <c r="HF208" i="55"/>
  <c r="HG208" i="55" s="1"/>
  <c r="HH208" i="55"/>
  <c r="IX205" i="55" a="1"/>
  <c r="IX205" i="55" s="1"/>
  <c r="IY205" i="55" s="1"/>
  <c r="IV205" i="55" a="1"/>
  <c r="IV205" i="55" s="1"/>
  <c r="IW205" i="55" s="1"/>
  <c r="IR205" i="55" a="1"/>
  <c r="IR205" i="55" s="1"/>
  <c r="IS205" i="55" s="1"/>
  <c r="IN205" i="55" a="1"/>
  <c r="IN205" i="55" s="1"/>
  <c r="IO205" i="55" s="1"/>
  <c r="IT205" i="55" a="1"/>
  <c r="IT205" i="55" s="1"/>
  <c r="IU205" i="55" s="1"/>
  <c r="IP205" i="55" a="1"/>
  <c r="IP205" i="55" s="1"/>
  <c r="IQ205" i="55" s="1"/>
  <c r="HD210" i="55"/>
  <c r="HB210" i="55"/>
  <c r="HC210" i="55" s="1"/>
  <c r="HA211" i="55"/>
  <c r="HH207" i="55"/>
  <c r="JA205" i="55"/>
  <c r="HR205" i="55"/>
  <c r="HO205" i="55"/>
  <c r="IH205" i="55" s="1"/>
  <c r="HK205" i="55"/>
  <c r="HP205" i="55"/>
  <c r="IZ205" i="55" s="1"/>
  <c r="JS204" i="55"/>
  <c r="N204" i="55"/>
  <c r="IF205" i="55"/>
  <c r="IG205" i="55" s="1"/>
  <c r="JR205" i="55"/>
  <c r="AK210" i="55" l="1"/>
  <c r="HE210" i="55"/>
  <c r="JS205" i="55"/>
  <c r="N205" i="55"/>
  <c r="IV206" i="55" a="1"/>
  <c r="IV206" i="55" s="1"/>
  <c r="IW206" i="55" s="1"/>
  <c r="IX206" i="55" a="1"/>
  <c r="IX206" i="55" s="1"/>
  <c r="IY206" i="55" s="1"/>
  <c r="IN206" i="55" a="1"/>
  <c r="IN206" i="55" s="1"/>
  <c r="IO206" i="55" s="1"/>
  <c r="IT206" i="55" a="1"/>
  <c r="IT206" i="55" s="1"/>
  <c r="IU206" i="55" s="1"/>
  <c r="IP206" i="55" a="1"/>
  <c r="IP206" i="55" s="1"/>
  <c r="IQ206" i="55" s="1"/>
  <c r="IR206" i="55" a="1"/>
  <c r="IR206" i="55" s="1"/>
  <c r="IS206" i="55" s="1"/>
  <c r="HI208" i="55"/>
  <c r="HJ208" i="55"/>
  <c r="IL208" i="55"/>
  <c r="IM208" i="55" s="1"/>
  <c r="JR208" i="55"/>
  <c r="JQ208" i="55"/>
  <c r="HF209" i="55"/>
  <c r="HG209" i="55" s="1"/>
  <c r="HJ207" i="55"/>
  <c r="HI207" i="55"/>
  <c r="IL207" i="55"/>
  <c r="IM207" i="55" s="1"/>
  <c r="IF206" i="55"/>
  <c r="IG206" i="55" s="1"/>
  <c r="JR206" i="55"/>
  <c r="HB211" i="55"/>
  <c r="HC211" i="55" s="1"/>
  <c r="HD211" i="55"/>
  <c r="HA212" i="55"/>
  <c r="HP206" i="55"/>
  <c r="IZ206" i="55" s="1"/>
  <c r="JA206" i="55"/>
  <c r="HO206" i="55"/>
  <c r="IH206" i="55" s="1"/>
  <c r="HK206" i="55"/>
  <c r="HR206" i="55"/>
  <c r="HD212" i="55" l="1"/>
  <c r="HB212" i="55"/>
  <c r="HC212" i="55" s="1"/>
  <c r="HA213" i="55"/>
  <c r="JQ209" i="55"/>
  <c r="IX208" i="55" a="1"/>
  <c r="IX208" i="55" s="1"/>
  <c r="IY208" i="55" s="1"/>
  <c r="IR208" i="55" a="1"/>
  <c r="IR208" i="55" s="1"/>
  <c r="IS208" i="55" s="1"/>
  <c r="IP208" i="55" a="1"/>
  <c r="IP208" i="55" s="1"/>
  <c r="IQ208" i="55" s="1"/>
  <c r="IN208" i="55" a="1"/>
  <c r="IN208" i="55" s="1"/>
  <c r="IO208" i="55" s="1"/>
  <c r="IT208" i="55" a="1"/>
  <c r="IT208" i="55" s="1"/>
  <c r="IU208" i="55" s="1"/>
  <c r="IV208" i="55" a="1"/>
  <c r="IV208" i="55" s="1"/>
  <c r="IW208" i="55" s="1"/>
  <c r="HO208" i="55"/>
  <c r="IH208" i="55" s="1"/>
  <c r="JA208" i="55"/>
  <c r="HR208" i="55"/>
  <c r="HP208" i="55"/>
  <c r="IZ208" i="55" s="1"/>
  <c r="IX207" i="55" a="1"/>
  <c r="IX207" i="55" s="1"/>
  <c r="IY207" i="55" s="1"/>
  <c r="IR207" i="55" a="1"/>
  <c r="IR207" i="55" s="1"/>
  <c r="IS207" i="55" s="1"/>
  <c r="IV207" i="55" a="1"/>
  <c r="IV207" i="55" s="1"/>
  <c r="IW207" i="55" s="1"/>
  <c r="IN207" i="55" a="1"/>
  <c r="IN207" i="55" s="1"/>
  <c r="IO207" i="55" s="1"/>
  <c r="IT207" i="55" a="1"/>
  <c r="IT207" i="55" s="1"/>
  <c r="IU207" i="55" s="1"/>
  <c r="IP207" i="55" a="1"/>
  <c r="IP207" i="55" s="1"/>
  <c r="IQ207" i="55" s="1"/>
  <c r="IF208" i="55"/>
  <c r="IG208" i="55" s="1"/>
  <c r="AK211" i="55"/>
  <c r="HE211" i="55"/>
  <c r="IF207" i="55"/>
  <c r="IG207" i="55" s="1"/>
  <c r="JR207" i="55"/>
  <c r="HP207" i="55"/>
  <c r="IZ207" i="55" s="1"/>
  <c r="JA207" i="55"/>
  <c r="HO207" i="55"/>
  <c r="IH207" i="55" s="1"/>
  <c r="HK207" i="55"/>
  <c r="HK208" i="55" s="1"/>
  <c r="HR207" i="55"/>
  <c r="HF210" i="55"/>
  <c r="HG210" i="55" s="1"/>
  <c r="JS206" i="55"/>
  <c r="N206" i="55"/>
  <c r="HH209" i="55"/>
  <c r="JS207" i="55" l="1"/>
  <c r="N207" i="55"/>
  <c r="HD213" i="55"/>
  <c r="HB213" i="55"/>
  <c r="HC213" i="55" s="1"/>
  <c r="HA214" i="55"/>
  <c r="HF211" i="55"/>
  <c r="HG211" i="55" s="1"/>
  <c r="JS208" i="55"/>
  <c r="N208" i="55"/>
  <c r="HJ209" i="55"/>
  <c r="HI209" i="55"/>
  <c r="IL209" i="55"/>
  <c r="IM209" i="55" s="1"/>
  <c r="JQ210" i="55"/>
  <c r="HH210" i="55"/>
  <c r="AK212" i="55"/>
  <c r="HE212" i="55"/>
  <c r="HJ210" i="55" l="1"/>
  <c r="HI210" i="55"/>
  <c r="IL210" i="55"/>
  <c r="IM210" i="55" s="1"/>
  <c r="JA209" i="55"/>
  <c r="HO209" i="55"/>
  <c r="IH209" i="55" s="1"/>
  <c r="HP209" i="55"/>
  <c r="IZ209" i="55" s="1"/>
  <c r="HK209" i="55"/>
  <c r="HR209" i="55"/>
  <c r="HH211" i="55"/>
  <c r="JQ211" i="55"/>
  <c r="AK213" i="55"/>
  <c r="HE213" i="55"/>
  <c r="IP209" i="55" a="1"/>
  <c r="IP209" i="55" s="1"/>
  <c r="IQ209" i="55" s="1"/>
  <c r="IV209" i="55" a="1"/>
  <c r="IV209" i="55" s="1"/>
  <c r="IW209" i="55" s="1"/>
  <c r="IT209" i="55" a="1"/>
  <c r="IT209" i="55" s="1"/>
  <c r="IU209" i="55" s="1"/>
  <c r="IX209" i="55" a="1"/>
  <c r="IX209" i="55" s="1"/>
  <c r="IY209" i="55" s="1"/>
  <c r="IR209" i="55" a="1"/>
  <c r="IR209" i="55" s="1"/>
  <c r="IS209" i="55" s="1"/>
  <c r="IN209" i="55" a="1"/>
  <c r="IN209" i="55" s="1"/>
  <c r="IO209" i="55" s="1"/>
  <c r="IF209" i="55"/>
  <c r="IG209" i="55" s="1"/>
  <c r="JR209" i="55"/>
  <c r="HD214" i="55"/>
  <c r="HB214" i="55"/>
  <c r="HC214" i="55" s="1"/>
  <c r="HA215" i="55"/>
  <c r="HF212" i="55"/>
  <c r="HG212" i="55" s="1"/>
  <c r="HH212" i="55" s="1"/>
  <c r="JS209" i="55" l="1"/>
  <c r="N209" i="55"/>
  <c r="HF213" i="55"/>
  <c r="HG213" i="55" s="1"/>
  <c r="HH213" i="55"/>
  <c r="HJ211" i="55"/>
  <c r="HI211" i="55"/>
  <c r="IL211" i="55"/>
  <c r="IM211" i="55" s="1"/>
  <c r="IX210" i="55" a="1"/>
  <c r="IX210" i="55" s="1"/>
  <c r="IY210" i="55" s="1"/>
  <c r="IT210" i="55" a="1"/>
  <c r="IT210" i="55" s="1"/>
  <c r="IU210" i="55" s="1"/>
  <c r="IV210" i="55" a="1"/>
  <c r="IV210" i="55" s="1"/>
  <c r="IW210" i="55" s="1"/>
  <c r="IR210" i="55" a="1"/>
  <c r="IR210" i="55" s="1"/>
  <c r="IS210" i="55" s="1"/>
  <c r="IP210" i="55" a="1"/>
  <c r="IP210" i="55" s="1"/>
  <c r="IQ210" i="55" s="1"/>
  <c r="IN210" i="55" a="1"/>
  <c r="IN210" i="55" s="1"/>
  <c r="IO210" i="55" s="1"/>
  <c r="HD215" i="55"/>
  <c r="HB215" i="55"/>
  <c r="HC215" i="55" s="1"/>
  <c r="HA216" i="55"/>
  <c r="AK214" i="55"/>
  <c r="HE214" i="55"/>
  <c r="IF210" i="55"/>
  <c r="IG210" i="55" s="1"/>
  <c r="JR210" i="55"/>
  <c r="HJ212" i="55"/>
  <c r="HI212" i="55"/>
  <c r="IF212" i="55" s="1"/>
  <c r="IG212" i="55" s="1"/>
  <c r="IL212" i="55"/>
  <c r="IM212" i="55" s="1"/>
  <c r="JR212" i="55"/>
  <c r="JQ212" i="55"/>
  <c r="JA210" i="55"/>
  <c r="HO210" i="55"/>
  <c r="IH210" i="55" s="1"/>
  <c r="HK210" i="55"/>
  <c r="HR210" i="55"/>
  <c r="HP210" i="55"/>
  <c r="IZ210" i="55" s="1"/>
  <c r="AK215" i="55" l="1"/>
  <c r="HE215" i="55"/>
  <c r="HD216" i="55"/>
  <c r="HB216" i="55"/>
  <c r="HC216" i="55" s="1"/>
  <c r="HA217" i="55"/>
  <c r="IP211" i="55" a="1"/>
  <c r="IP211" i="55" s="1"/>
  <c r="IQ211" i="55" s="1"/>
  <c r="IT211" i="55" a="1"/>
  <c r="IT211" i="55" s="1"/>
  <c r="IU211" i="55" s="1"/>
  <c r="IV211" i="55" a="1"/>
  <c r="IV211" i="55" s="1"/>
  <c r="IW211" i="55" s="1"/>
  <c r="IR211" i="55" a="1"/>
  <c r="IR211" i="55" s="1"/>
  <c r="IS211" i="55" s="1"/>
  <c r="IX211" i="55" a="1"/>
  <c r="IX211" i="55" s="1"/>
  <c r="IY211" i="55" s="1"/>
  <c r="IN211" i="55" a="1"/>
  <c r="IN211" i="55" s="1"/>
  <c r="IO211" i="55" s="1"/>
  <c r="IF211" i="55"/>
  <c r="IG211" i="55" s="1"/>
  <c r="JR211" i="55"/>
  <c r="JA211" i="55"/>
  <c r="HO211" i="55"/>
  <c r="IH211" i="55" s="1"/>
  <c r="HP211" i="55"/>
  <c r="IZ211" i="55" s="1"/>
  <c r="HR211" i="55"/>
  <c r="HK211" i="55"/>
  <c r="JQ213" i="55"/>
  <c r="IP212" i="55" a="1"/>
  <c r="IP212" i="55" s="1"/>
  <c r="IQ212" i="55" s="1"/>
  <c r="IV212" i="55" a="1"/>
  <c r="IV212" i="55" s="1"/>
  <c r="IW212" i="55" s="1"/>
  <c r="IT212" i="55" a="1"/>
  <c r="IT212" i="55" s="1"/>
  <c r="IU212" i="55" s="1"/>
  <c r="IX212" i="55" a="1"/>
  <c r="IX212" i="55" s="1"/>
  <c r="IY212" i="55" s="1"/>
  <c r="IN212" i="55" a="1"/>
  <c r="IN212" i="55" s="1"/>
  <c r="IO212" i="55" s="1"/>
  <c r="IR212" i="55" a="1"/>
  <c r="IR212" i="55" s="1"/>
  <c r="IS212" i="55" s="1"/>
  <c r="HJ213" i="55"/>
  <c r="HI213" i="55"/>
  <c r="IF213" i="55" s="1"/>
  <c r="IG213" i="55" s="1"/>
  <c r="IL213" i="55"/>
  <c r="IM213" i="55" s="1"/>
  <c r="JS210" i="55"/>
  <c r="N210" i="55"/>
  <c r="JA212" i="55"/>
  <c r="HO212" i="55"/>
  <c r="IH212" i="55" s="1"/>
  <c r="HR212" i="55"/>
  <c r="HP212" i="55"/>
  <c r="IZ212" i="55" s="1"/>
  <c r="HK212" i="55"/>
  <c r="HF214" i="55"/>
  <c r="HG214" i="55" s="1"/>
  <c r="HH214" i="55"/>
  <c r="IV213" i="55" l="1" a="1"/>
  <c r="IV213" i="55" s="1"/>
  <c r="IW213" i="55" s="1"/>
  <c r="IR213" i="55" a="1"/>
  <c r="IR213" i="55" s="1"/>
  <c r="IS213" i="55" s="1"/>
  <c r="IX213" i="55" a="1"/>
  <c r="IX213" i="55" s="1"/>
  <c r="IY213" i="55" s="1"/>
  <c r="IP213" i="55" a="1"/>
  <c r="IP213" i="55" s="1"/>
  <c r="IQ213" i="55" s="1"/>
  <c r="IN213" i="55" a="1"/>
  <c r="IN213" i="55" s="1"/>
  <c r="IO213" i="55" s="1"/>
  <c r="IT213" i="55" a="1"/>
  <c r="IT213" i="55" s="1"/>
  <c r="IU213" i="55" s="1"/>
  <c r="JA213" i="55"/>
  <c r="HO213" i="55"/>
  <c r="IH213" i="55" s="1"/>
  <c r="HP213" i="55"/>
  <c r="IZ213" i="55" s="1"/>
  <c r="HK213" i="55"/>
  <c r="HR213" i="55"/>
  <c r="JS211" i="55"/>
  <c r="N211" i="55"/>
  <c r="JR214" i="55"/>
  <c r="JQ214" i="55"/>
  <c r="HD217" i="55"/>
  <c r="HB217" i="55"/>
  <c r="HC217" i="55" s="1"/>
  <c r="HA218" i="55"/>
  <c r="JR213" i="55"/>
  <c r="AK216" i="55"/>
  <c r="HE216" i="55"/>
  <c r="HJ214" i="55"/>
  <c r="HI214" i="55"/>
  <c r="IF214" i="55" s="1"/>
  <c r="IG214" i="55" s="1"/>
  <c r="IL214" i="55"/>
  <c r="IM214" i="55" s="1"/>
  <c r="HF215" i="55"/>
  <c r="HG215" i="55" s="1"/>
  <c r="HH215" i="55"/>
  <c r="JS212" i="55"/>
  <c r="N212" i="55"/>
  <c r="JS213" i="55" l="1"/>
  <c r="N213" i="55"/>
  <c r="AK217" i="55"/>
  <c r="HE217" i="55"/>
  <c r="JQ215" i="55"/>
  <c r="HF216" i="55"/>
  <c r="HG216" i="55" s="1"/>
  <c r="HJ215" i="55"/>
  <c r="HI215" i="55"/>
  <c r="IF215" i="55" s="1"/>
  <c r="IG215" i="55" s="1"/>
  <c r="IL215" i="55"/>
  <c r="IM215" i="55" s="1"/>
  <c r="IV214" i="55" a="1"/>
  <c r="IV214" i="55" s="1"/>
  <c r="IW214" i="55" s="1"/>
  <c r="IN214" i="55" a="1"/>
  <c r="IN214" i="55" s="1"/>
  <c r="IO214" i="55" s="1"/>
  <c r="IX214" i="55" a="1"/>
  <c r="IX214" i="55" s="1"/>
  <c r="IY214" i="55" s="1"/>
  <c r="IR214" i="55" a="1"/>
  <c r="IR214" i="55" s="1"/>
  <c r="IS214" i="55" s="1"/>
  <c r="IT214" i="55" a="1"/>
  <c r="IT214" i="55" s="1"/>
  <c r="IU214" i="55" s="1"/>
  <c r="IP214" i="55" a="1"/>
  <c r="IP214" i="55" s="1"/>
  <c r="IQ214" i="55" s="1"/>
  <c r="JA214" i="55"/>
  <c r="HP214" i="55"/>
  <c r="IZ214" i="55" s="1"/>
  <c r="HO214" i="55"/>
  <c r="IH214" i="55" s="1"/>
  <c r="HK214" i="55"/>
  <c r="HR214" i="55"/>
  <c r="HD218" i="55"/>
  <c r="HB218" i="55"/>
  <c r="HC218" i="55" s="1"/>
  <c r="HA219" i="55"/>
  <c r="JS214" i="55" l="1"/>
  <c r="N214" i="55"/>
  <c r="HF217" i="55"/>
  <c r="HG217" i="55" s="1"/>
  <c r="HD219" i="55"/>
  <c r="HB219" i="55"/>
  <c r="HC219" i="55" s="1"/>
  <c r="HA220" i="55"/>
  <c r="AK218" i="55"/>
  <c r="HE218" i="55"/>
  <c r="JR215" i="55"/>
  <c r="JA215" i="55"/>
  <c r="HR215" i="55"/>
  <c r="HO215" i="55"/>
  <c r="IH215" i="55" s="1"/>
  <c r="HK215" i="55"/>
  <c r="HP215" i="55"/>
  <c r="IZ215" i="55" s="1"/>
  <c r="JQ216" i="55"/>
  <c r="HH216" i="55"/>
  <c r="IV215" i="55" a="1"/>
  <c r="IV215" i="55" s="1"/>
  <c r="IW215" i="55" s="1"/>
  <c r="IT215" i="55" a="1"/>
  <c r="IT215" i="55" s="1"/>
  <c r="IU215" i="55" s="1"/>
  <c r="IR215" i="55" a="1"/>
  <c r="IR215" i="55" s="1"/>
  <c r="IS215" i="55" s="1"/>
  <c r="IN215" i="55" a="1"/>
  <c r="IN215" i="55" s="1"/>
  <c r="IO215" i="55" s="1"/>
  <c r="IX215" i="55" a="1"/>
  <c r="IX215" i="55" s="1"/>
  <c r="IY215" i="55" s="1"/>
  <c r="IP215" i="55" a="1"/>
  <c r="IP215" i="55" s="1"/>
  <c r="IQ215" i="55" s="1"/>
  <c r="HH217" i="55" l="1"/>
  <c r="HI217" i="55" s="1"/>
  <c r="JR217" i="55" s="1"/>
  <c r="IL217" i="55"/>
  <c r="IM217" i="55" s="1"/>
  <c r="JS215" i="55"/>
  <c r="N215" i="55"/>
  <c r="JQ217" i="55"/>
  <c r="HF218" i="55"/>
  <c r="HG218" i="55" s="1"/>
  <c r="HH218" i="55" s="1"/>
  <c r="HD220" i="55"/>
  <c r="HB220" i="55"/>
  <c r="HC220" i="55" s="1"/>
  <c r="HA221" i="55"/>
  <c r="AK219" i="55"/>
  <c r="HE219" i="55"/>
  <c r="HI216" i="55"/>
  <c r="HJ216" i="55"/>
  <c r="IL216" i="55"/>
  <c r="IM216" i="55" s="1"/>
  <c r="HJ217" i="55" l="1"/>
  <c r="HJ218" i="55"/>
  <c r="HI218" i="55"/>
  <c r="IF218" i="55" s="1"/>
  <c r="IG218" i="55" s="1"/>
  <c r="IL218" i="55"/>
  <c r="IM218" i="55" s="1"/>
  <c r="JA216" i="55"/>
  <c r="HK216" i="55"/>
  <c r="HP216" i="55"/>
  <c r="IZ216" i="55" s="1"/>
  <c r="HO216" i="55"/>
  <c r="IH216" i="55" s="1"/>
  <c r="HR216" i="55"/>
  <c r="HF219" i="55"/>
  <c r="HG219" i="55" s="1"/>
  <c r="HH219" i="55"/>
  <c r="AK220" i="55"/>
  <c r="HE220" i="55"/>
  <c r="IX217" i="55" a="1"/>
  <c r="IX217" i="55" s="1"/>
  <c r="IY217" i="55" s="1"/>
  <c r="IN217" i="55" a="1"/>
  <c r="IN217" i="55" s="1"/>
  <c r="IO217" i="55" s="1"/>
  <c r="IT217" i="55" a="1"/>
  <c r="IT217" i="55" s="1"/>
  <c r="IU217" i="55" s="1"/>
  <c r="IR217" i="55" a="1"/>
  <c r="IR217" i="55" s="1"/>
  <c r="IS217" i="55" s="1"/>
  <c r="IP217" i="55" a="1"/>
  <c r="IP217" i="55" s="1"/>
  <c r="IQ217" i="55" s="1"/>
  <c r="IV217" i="55" a="1"/>
  <c r="IV217" i="55" s="1"/>
  <c r="IW217" i="55" s="1"/>
  <c r="IF216" i="55"/>
  <c r="IG216" i="55" s="1"/>
  <c r="JR216" i="55"/>
  <c r="JA217" i="55"/>
  <c r="HR217" i="55"/>
  <c r="HP217" i="55"/>
  <c r="IZ217" i="55" s="1"/>
  <c r="HO217" i="55"/>
  <c r="IH217" i="55" s="1"/>
  <c r="HK217" i="55"/>
  <c r="HB221" i="55"/>
  <c r="HC221" i="55" s="1"/>
  <c r="HD221" i="55"/>
  <c r="HA222" i="55"/>
  <c r="JQ218" i="55"/>
  <c r="JR218" i="55"/>
  <c r="IX216" i="55" a="1"/>
  <c r="IX216" i="55" s="1"/>
  <c r="IY216" i="55" s="1"/>
  <c r="IT216" i="55" a="1"/>
  <c r="IT216" i="55" s="1"/>
  <c r="IU216" i="55" s="1"/>
  <c r="IR216" i="55" a="1"/>
  <c r="IR216" i="55" s="1"/>
  <c r="IS216" i="55" s="1"/>
  <c r="IP216" i="55" a="1"/>
  <c r="IP216" i="55" s="1"/>
  <c r="IQ216" i="55" s="1"/>
  <c r="IV216" i="55" a="1"/>
  <c r="IV216" i="55" s="1"/>
  <c r="IW216" i="55" s="1"/>
  <c r="IN216" i="55" a="1"/>
  <c r="IN216" i="55" s="1"/>
  <c r="IO216" i="55" s="1"/>
  <c r="IF217" i="55"/>
  <c r="IG217" i="55" s="1"/>
  <c r="JS217" i="55" l="1"/>
  <c r="N217" i="55"/>
  <c r="HF220" i="55"/>
  <c r="HG220" i="55" s="1"/>
  <c r="HH220" i="55" s="1"/>
  <c r="HI219" i="55"/>
  <c r="HJ219" i="55"/>
  <c r="IL219" i="55"/>
  <c r="IM219" i="55" s="1"/>
  <c r="JR219" i="55"/>
  <c r="JQ219" i="55"/>
  <c r="IX218" i="55" a="1"/>
  <c r="IX218" i="55" s="1"/>
  <c r="IY218" i="55" s="1"/>
  <c r="IV218" i="55" a="1"/>
  <c r="IV218" i="55" s="1"/>
  <c r="IW218" i="55" s="1"/>
  <c r="IP218" i="55" a="1"/>
  <c r="IP218" i="55" s="1"/>
  <c r="IQ218" i="55" s="1"/>
  <c r="IN218" i="55" a="1"/>
  <c r="IN218" i="55" s="1"/>
  <c r="IO218" i="55" s="1"/>
  <c r="IT218" i="55" a="1"/>
  <c r="IT218" i="55" s="1"/>
  <c r="IU218" i="55" s="1"/>
  <c r="IR218" i="55" a="1"/>
  <c r="IR218" i="55" s="1"/>
  <c r="IS218" i="55" s="1"/>
  <c r="HB222" i="55"/>
  <c r="HC222" i="55" s="1"/>
  <c r="HD222" i="55"/>
  <c r="HA223" i="55"/>
  <c r="AK221" i="55"/>
  <c r="HE221" i="55"/>
  <c r="JS216" i="55"/>
  <c r="N216" i="55"/>
  <c r="JA218" i="55"/>
  <c r="HR218" i="55"/>
  <c r="HK218" i="55"/>
  <c r="HP218" i="55"/>
  <c r="IZ218" i="55" s="1"/>
  <c r="HO218" i="55"/>
  <c r="IH218" i="55" s="1"/>
  <c r="HI220" i="55" l="1"/>
  <c r="HJ220" i="55"/>
  <c r="IL220" i="55"/>
  <c r="IM220" i="55" s="1"/>
  <c r="JS218" i="55"/>
  <c r="N218" i="55"/>
  <c r="JA219" i="55"/>
  <c r="HR219" i="55"/>
  <c r="HP219" i="55"/>
  <c r="IZ219" i="55" s="1"/>
  <c r="HK219" i="55"/>
  <c r="HO219" i="55"/>
  <c r="IH219" i="55" s="1"/>
  <c r="HF221" i="55"/>
  <c r="HG221" i="55" s="1"/>
  <c r="IX219" i="55" a="1"/>
  <c r="IX219" i="55" s="1"/>
  <c r="IY219" i="55" s="1"/>
  <c r="IV219" i="55" a="1"/>
  <c r="IV219" i="55" s="1"/>
  <c r="IW219" i="55" s="1"/>
  <c r="IP219" i="55" a="1"/>
  <c r="IP219" i="55" s="1"/>
  <c r="IQ219" i="55" s="1"/>
  <c r="IN219" i="55" a="1"/>
  <c r="IN219" i="55" s="1"/>
  <c r="IO219" i="55" s="1"/>
  <c r="IT219" i="55" a="1"/>
  <c r="IT219" i="55" s="1"/>
  <c r="IU219" i="55" s="1"/>
  <c r="IR219" i="55" a="1"/>
  <c r="IR219" i="55" s="1"/>
  <c r="IS219" i="55" s="1"/>
  <c r="HB223" i="55"/>
  <c r="HC223" i="55" s="1"/>
  <c r="HD223" i="55"/>
  <c r="HA224" i="55"/>
  <c r="IF219" i="55"/>
  <c r="IG219" i="55" s="1"/>
  <c r="JQ220" i="55"/>
  <c r="JR220" i="55"/>
  <c r="AK222" i="55"/>
  <c r="HE222" i="55"/>
  <c r="JS219" i="55" l="1"/>
  <c r="N219" i="55"/>
  <c r="HB224" i="55"/>
  <c r="HC224" i="55" s="1"/>
  <c r="HD224" i="55"/>
  <c r="HA225" i="55"/>
  <c r="AK223" i="55"/>
  <c r="HE223" i="55"/>
  <c r="JQ221" i="55"/>
  <c r="IT220" i="55" a="1"/>
  <c r="IT220" i="55" s="1"/>
  <c r="IU220" i="55" s="1"/>
  <c r="IV220" i="55" a="1"/>
  <c r="IV220" i="55" s="1"/>
  <c r="IW220" i="55" s="1"/>
  <c r="IP220" i="55" a="1"/>
  <c r="IP220" i="55" s="1"/>
  <c r="IQ220" i="55" s="1"/>
  <c r="IX220" i="55" a="1"/>
  <c r="IX220" i="55" s="1"/>
  <c r="IY220" i="55" s="1"/>
  <c r="IN220" i="55" a="1"/>
  <c r="IN220" i="55" s="1"/>
  <c r="IO220" i="55" s="1"/>
  <c r="IR220" i="55" a="1"/>
  <c r="IR220" i="55" s="1"/>
  <c r="IS220" i="55" s="1"/>
  <c r="JA220" i="55"/>
  <c r="HR220" i="55"/>
  <c r="HK220" i="55"/>
  <c r="HP220" i="55"/>
  <c r="IZ220" i="55" s="1"/>
  <c r="HO220" i="55"/>
  <c r="IH220" i="55" s="1"/>
  <c r="HH221" i="55"/>
  <c r="HF222" i="55"/>
  <c r="HG222" i="55" s="1"/>
  <c r="IF220" i="55"/>
  <c r="IG220" i="55" s="1"/>
  <c r="JS220" i="55" l="1"/>
  <c r="N220" i="55"/>
  <c r="AK224" i="55"/>
  <c r="HE224" i="55"/>
  <c r="JQ222" i="55"/>
  <c r="HF223" i="55"/>
  <c r="HG223" i="55" s="1"/>
  <c r="HJ221" i="55"/>
  <c r="HI221" i="55"/>
  <c r="IL221" i="55"/>
  <c r="IM221" i="55" s="1"/>
  <c r="HH222" i="55"/>
  <c r="HB225" i="55"/>
  <c r="HC225" i="55" s="1"/>
  <c r="HD225" i="55"/>
  <c r="HA226" i="55"/>
  <c r="HB226" i="55" l="1"/>
  <c r="HC226" i="55" s="1"/>
  <c r="HD226" i="55"/>
  <c r="HA227" i="55"/>
  <c r="JQ223" i="55"/>
  <c r="HH223" i="55"/>
  <c r="HF224" i="55"/>
  <c r="HG224" i="55" s="1"/>
  <c r="HH224" i="55" s="1"/>
  <c r="AK225" i="55"/>
  <c r="HE225" i="55"/>
  <c r="IR221" i="55" a="1"/>
  <c r="IR221" i="55" s="1"/>
  <c r="IS221" i="55" s="1"/>
  <c r="IT221" i="55" a="1"/>
  <c r="IT221" i="55" s="1"/>
  <c r="IU221" i="55" s="1"/>
  <c r="IX221" i="55" a="1"/>
  <c r="IX221" i="55" s="1"/>
  <c r="IY221" i="55" s="1"/>
  <c r="IP221" i="55" a="1"/>
  <c r="IP221" i="55" s="1"/>
  <c r="IQ221" i="55" s="1"/>
  <c r="IV221" i="55" a="1"/>
  <c r="IV221" i="55" s="1"/>
  <c r="IW221" i="55" s="1"/>
  <c r="IN221" i="55" a="1"/>
  <c r="IN221" i="55" s="1"/>
  <c r="IO221" i="55" s="1"/>
  <c r="IF221" i="55"/>
  <c r="IG221" i="55" s="1"/>
  <c r="JR221" i="55"/>
  <c r="HJ222" i="55"/>
  <c r="HI222" i="55"/>
  <c r="IL222" i="55"/>
  <c r="IM222" i="55" s="1"/>
  <c r="JA221" i="55"/>
  <c r="HR221" i="55"/>
  <c r="HK221" i="55"/>
  <c r="HP221" i="55"/>
  <c r="IZ221" i="55" s="1"/>
  <c r="HO221" i="55"/>
  <c r="IH221" i="55" s="1"/>
  <c r="HI224" i="55" l="1"/>
  <c r="IF224" i="55" s="1"/>
  <c r="IG224" i="55" s="1"/>
  <c r="HJ224" i="55"/>
  <c r="IV222" i="55" a="1"/>
  <c r="IV222" i="55" s="1"/>
  <c r="IW222" i="55" s="1"/>
  <c r="IN222" i="55" a="1"/>
  <c r="IN222" i="55" s="1"/>
  <c r="IO222" i="55" s="1"/>
  <c r="IR222" i="55" a="1"/>
  <c r="IR222" i="55" s="1"/>
  <c r="IS222" i="55" s="1"/>
  <c r="IX222" i="55" a="1"/>
  <c r="IX222" i="55" s="1"/>
  <c r="IY222" i="55" s="1"/>
  <c r="IT222" i="55" a="1"/>
  <c r="IT222" i="55" s="1"/>
  <c r="IU222" i="55" s="1"/>
  <c r="IP222" i="55" a="1"/>
  <c r="IP222" i="55" s="1"/>
  <c r="IQ222" i="55" s="1"/>
  <c r="IF222" i="55"/>
  <c r="IG222" i="55" s="1"/>
  <c r="JR222" i="55"/>
  <c r="HF225" i="55"/>
  <c r="HG225" i="55" s="1"/>
  <c r="JR224" i="55"/>
  <c r="JQ224" i="55"/>
  <c r="HI223" i="55"/>
  <c r="HJ223" i="55"/>
  <c r="IL223" i="55"/>
  <c r="IM223" i="55" s="1"/>
  <c r="JA222" i="55"/>
  <c r="HP222" i="55"/>
  <c r="IZ222" i="55" s="1"/>
  <c r="HR222" i="55"/>
  <c r="HK222" i="55"/>
  <c r="HO222" i="55"/>
  <c r="IH222" i="55" s="1"/>
  <c r="AK226" i="55"/>
  <c r="HE226" i="55"/>
  <c r="JS221" i="55"/>
  <c r="N221" i="55"/>
  <c r="HD227" i="55"/>
  <c r="HB227" i="55"/>
  <c r="HC227" i="55" s="1"/>
  <c r="HA228" i="55"/>
  <c r="HB228" i="55" l="1"/>
  <c r="HC228" i="55" s="1"/>
  <c r="HD228" i="55"/>
  <c r="HA229" i="55"/>
  <c r="JQ225" i="55"/>
  <c r="HH225" i="55"/>
  <c r="HF226" i="55"/>
  <c r="HG226" i="55" s="1"/>
  <c r="JA223" i="55"/>
  <c r="HP223" i="55"/>
  <c r="IZ223" i="55" s="1"/>
  <c r="HR223" i="55"/>
  <c r="HK223" i="55"/>
  <c r="HO223" i="55"/>
  <c r="IH223" i="55" s="1"/>
  <c r="JS222" i="55"/>
  <c r="N222" i="55"/>
  <c r="JA224" i="55"/>
  <c r="HO224" i="55"/>
  <c r="IH224" i="55" s="1"/>
  <c r="HK224" i="55"/>
  <c r="HP224" i="55"/>
  <c r="IZ224" i="55" s="1"/>
  <c r="HR224" i="55"/>
  <c r="IF223" i="55"/>
  <c r="IG223" i="55" s="1"/>
  <c r="JR223" i="55"/>
  <c r="AK227" i="55"/>
  <c r="HE227" i="55"/>
  <c r="IN223" i="55" a="1"/>
  <c r="IN223" i="55" s="1"/>
  <c r="IO223" i="55" s="1"/>
  <c r="IT223" i="55" a="1"/>
  <c r="IT223" i="55" s="1"/>
  <c r="IU223" i="55" s="1"/>
  <c r="IV223" i="55" a="1"/>
  <c r="IV223" i="55" s="1"/>
  <c r="IW223" i="55" s="1"/>
  <c r="IR223" i="55" a="1"/>
  <c r="IR223" i="55" s="1"/>
  <c r="IS223" i="55" s="1"/>
  <c r="IP223" i="55" a="1"/>
  <c r="IP223" i="55" s="1"/>
  <c r="IQ223" i="55" s="1"/>
  <c r="IX223" i="55" a="1"/>
  <c r="IX223" i="55" s="1"/>
  <c r="IY223" i="55" s="1"/>
  <c r="JS223" i="55" l="1"/>
  <c r="N223" i="55"/>
  <c r="JQ226" i="55"/>
  <c r="HH226" i="55"/>
  <c r="HB229" i="55"/>
  <c r="HC229" i="55" s="1"/>
  <c r="HD229" i="55"/>
  <c r="HA230" i="55"/>
  <c r="HF227" i="55"/>
  <c r="HG227" i="55" s="1"/>
  <c r="HI225" i="55"/>
  <c r="HJ225" i="55"/>
  <c r="IL225" i="55"/>
  <c r="IM225" i="55" s="1"/>
  <c r="AK228" i="55"/>
  <c r="HE228" i="55"/>
  <c r="JS224" i="55"/>
  <c r="N224" i="55"/>
  <c r="HF228" i="55" l="1"/>
  <c r="HG228" i="55" s="1"/>
  <c r="HB230" i="55"/>
  <c r="HC230" i="55" s="1"/>
  <c r="HD230" i="55"/>
  <c r="HA231" i="55"/>
  <c r="HJ226" i="55"/>
  <c r="HI226" i="55"/>
  <c r="IL226" i="55"/>
  <c r="IM226" i="55" s="1"/>
  <c r="JA225" i="55"/>
  <c r="HO225" i="55"/>
  <c r="IH225" i="55" s="1"/>
  <c r="HP225" i="55"/>
  <c r="IZ225" i="55" s="1"/>
  <c r="HK225" i="55"/>
  <c r="HR225" i="55"/>
  <c r="JQ227" i="55"/>
  <c r="IR225" i="55" a="1"/>
  <c r="IR225" i="55" s="1"/>
  <c r="IS225" i="55" s="1"/>
  <c r="IT225" i="55" a="1"/>
  <c r="IT225" i="55" s="1"/>
  <c r="IU225" i="55" s="1"/>
  <c r="IP225" i="55" a="1"/>
  <c r="IP225" i="55" s="1"/>
  <c r="IQ225" i="55" s="1"/>
  <c r="IX225" i="55" a="1"/>
  <c r="IX225" i="55" s="1"/>
  <c r="IY225" i="55" s="1"/>
  <c r="IN225" i="55" a="1"/>
  <c r="IN225" i="55" s="1"/>
  <c r="IO225" i="55" s="1"/>
  <c r="IV225" i="55" a="1"/>
  <c r="IV225" i="55" s="1"/>
  <c r="IW225" i="55" s="1"/>
  <c r="IF225" i="55"/>
  <c r="IG225" i="55" s="1"/>
  <c r="JR225" i="55"/>
  <c r="HH227" i="55"/>
  <c r="AK229" i="55"/>
  <c r="HE229" i="55"/>
  <c r="HF229" i="55" l="1"/>
  <c r="HG229" i="55" s="1"/>
  <c r="JS225" i="55"/>
  <c r="N225" i="55"/>
  <c r="HJ227" i="55"/>
  <c r="HI227" i="55"/>
  <c r="IL227" i="55"/>
  <c r="IM227" i="55" s="1"/>
  <c r="AK230" i="55"/>
  <c r="HE230" i="55"/>
  <c r="IX226" i="55" a="1"/>
  <c r="IX226" i="55" s="1"/>
  <c r="IY226" i="55" s="1"/>
  <c r="IV226" i="55" a="1"/>
  <c r="IV226" i="55" s="1"/>
  <c r="IW226" i="55" s="1"/>
  <c r="IR226" i="55" a="1"/>
  <c r="IR226" i="55" s="1"/>
  <c r="IS226" i="55" s="1"/>
  <c r="IT226" i="55" a="1"/>
  <c r="IT226" i="55" s="1"/>
  <c r="IU226" i="55" s="1"/>
  <c r="IP226" i="55" a="1"/>
  <c r="IP226" i="55" s="1"/>
  <c r="IQ226" i="55" s="1"/>
  <c r="IN226" i="55" a="1"/>
  <c r="IN226" i="55" s="1"/>
  <c r="IO226" i="55" s="1"/>
  <c r="IF226" i="55"/>
  <c r="IG226" i="55" s="1"/>
  <c r="JR226" i="55"/>
  <c r="HD231" i="55"/>
  <c r="HB231" i="55"/>
  <c r="HC231" i="55" s="1"/>
  <c r="HA232" i="55"/>
  <c r="JQ228" i="55"/>
  <c r="JA226" i="55"/>
  <c r="HR226" i="55"/>
  <c r="HP226" i="55"/>
  <c r="IZ226" i="55" s="1"/>
  <c r="HK226" i="55"/>
  <c r="HO226" i="55"/>
  <c r="IH226" i="55" s="1"/>
  <c r="HH228" i="55"/>
  <c r="HH229" i="55" l="1"/>
  <c r="HJ229" i="55" s="1"/>
  <c r="HI229" i="55"/>
  <c r="IL229" i="55"/>
  <c r="IM229" i="55" s="1"/>
  <c r="HJ228" i="55"/>
  <c r="HI228" i="55"/>
  <c r="IL228" i="55"/>
  <c r="IM228" i="55" s="1"/>
  <c r="JA227" i="55"/>
  <c r="HR227" i="55"/>
  <c r="HP227" i="55"/>
  <c r="IZ227" i="55" s="1"/>
  <c r="HO227" i="55"/>
  <c r="IH227" i="55" s="1"/>
  <c r="HK227" i="55"/>
  <c r="JS226" i="55"/>
  <c r="N226" i="55"/>
  <c r="HF230" i="55"/>
  <c r="HG230" i="55" s="1"/>
  <c r="HB232" i="55"/>
  <c r="HC232" i="55" s="1"/>
  <c r="HD232" i="55"/>
  <c r="HA233" i="55"/>
  <c r="AK231" i="55"/>
  <c r="HE231" i="55"/>
  <c r="IX227" i="55" a="1"/>
  <c r="IX227" i="55" s="1"/>
  <c r="IY227" i="55" s="1"/>
  <c r="IP227" i="55" a="1"/>
  <c r="IP227" i="55" s="1"/>
  <c r="IQ227" i="55" s="1"/>
  <c r="IN227" i="55" a="1"/>
  <c r="IN227" i="55" s="1"/>
  <c r="IO227" i="55" s="1"/>
  <c r="IT227" i="55" a="1"/>
  <c r="IT227" i="55" s="1"/>
  <c r="IU227" i="55" s="1"/>
  <c r="IV227" i="55" a="1"/>
  <c r="IV227" i="55" s="1"/>
  <c r="IW227" i="55" s="1"/>
  <c r="IR227" i="55" a="1"/>
  <c r="IR227" i="55" s="1"/>
  <c r="IS227" i="55" s="1"/>
  <c r="IF227" i="55"/>
  <c r="IG227" i="55" s="1"/>
  <c r="JR227" i="55"/>
  <c r="JQ229" i="55"/>
  <c r="JR229" i="55"/>
  <c r="JQ230" i="55" l="1"/>
  <c r="JA228" i="55"/>
  <c r="HO228" i="55"/>
  <c r="IH228" i="55" s="1"/>
  <c r="HR228" i="55"/>
  <c r="HP228" i="55"/>
  <c r="IZ228" i="55" s="1"/>
  <c r="HK228" i="55"/>
  <c r="HK229" i="55" s="1"/>
  <c r="IT229" i="55" a="1"/>
  <c r="IT229" i="55" s="1"/>
  <c r="IU229" i="55" s="1"/>
  <c r="IX229" i="55" a="1"/>
  <c r="IX229" i="55" s="1"/>
  <c r="IY229" i="55" s="1"/>
  <c r="IV229" i="55" a="1"/>
  <c r="IV229" i="55" s="1"/>
  <c r="IW229" i="55" s="1"/>
  <c r="IR229" i="55" a="1"/>
  <c r="IR229" i="55" s="1"/>
  <c r="IS229" i="55" s="1"/>
  <c r="IP229" i="55" a="1"/>
  <c r="IP229" i="55" s="1"/>
  <c r="IQ229" i="55" s="1"/>
  <c r="IN229" i="55" a="1"/>
  <c r="IN229" i="55" s="1"/>
  <c r="IO229" i="55" s="1"/>
  <c r="JS227" i="55"/>
  <c r="N227" i="55"/>
  <c r="HD233" i="55"/>
  <c r="HB233" i="55"/>
  <c r="HC233" i="55" s="1"/>
  <c r="HA234" i="55"/>
  <c r="IF229" i="55"/>
  <c r="IG229" i="55" s="1"/>
  <c r="HH230" i="55"/>
  <c r="IX228" i="55" a="1"/>
  <c r="IX228" i="55" s="1"/>
  <c r="IY228" i="55" s="1"/>
  <c r="IP228" i="55" a="1"/>
  <c r="IP228" i="55" s="1"/>
  <c r="IQ228" i="55" s="1"/>
  <c r="IV228" i="55" a="1"/>
  <c r="IV228" i="55" s="1"/>
  <c r="IW228" i="55" s="1"/>
  <c r="IN228" i="55" a="1"/>
  <c r="IN228" i="55" s="1"/>
  <c r="IO228" i="55" s="1"/>
  <c r="IT228" i="55" a="1"/>
  <c r="IT228" i="55" s="1"/>
  <c r="IU228" i="55" s="1"/>
  <c r="IR228" i="55" a="1"/>
  <c r="IR228" i="55" s="1"/>
  <c r="IS228" i="55" s="1"/>
  <c r="IF228" i="55"/>
  <c r="IG228" i="55" s="1"/>
  <c r="JR228" i="55"/>
  <c r="HF231" i="55"/>
  <c r="HG231" i="55" s="1"/>
  <c r="HH231" i="55"/>
  <c r="AK232" i="55"/>
  <c r="HE232" i="55"/>
  <c r="JA229" i="55"/>
  <c r="HR229" i="55"/>
  <c r="HP229" i="55"/>
  <c r="IZ229" i="55" s="1"/>
  <c r="HO229" i="55"/>
  <c r="IH229" i="55" s="1"/>
  <c r="HI231" i="55" l="1"/>
  <c r="HJ231" i="55"/>
  <c r="IL231" i="55"/>
  <c r="IM231" i="55" s="1"/>
  <c r="HF232" i="55"/>
  <c r="HG232" i="55" s="1"/>
  <c r="HH232" i="55" s="1"/>
  <c r="AK233" i="55"/>
  <c r="HE233" i="55"/>
  <c r="JS229" i="55"/>
  <c r="N229" i="55"/>
  <c r="JR231" i="55"/>
  <c r="JQ231" i="55"/>
  <c r="HI230" i="55"/>
  <c r="HJ230" i="55"/>
  <c r="IL230" i="55"/>
  <c r="IM230" i="55" s="1"/>
  <c r="HD234" i="55"/>
  <c r="HB234" i="55"/>
  <c r="HC234" i="55" s="1"/>
  <c r="HA235" i="55"/>
  <c r="JS228" i="55"/>
  <c r="N228" i="55"/>
  <c r="HJ232" i="55" l="1"/>
  <c r="HI232" i="55"/>
  <c r="IL232" i="55"/>
  <c r="IM232" i="55" s="1"/>
  <c r="AK234" i="55"/>
  <c r="HE234" i="55"/>
  <c r="JA230" i="55"/>
  <c r="HO230" i="55"/>
  <c r="IH230" i="55" s="1"/>
  <c r="HR230" i="55"/>
  <c r="HP230" i="55"/>
  <c r="IZ230" i="55" s="1"/>
  <c r="HK230" i="55"/>
  <c r="IF230" i="55"/>
  <c r="IG230" i="55" s="1"/>
  <c r="JR230" i="55"/>
  <c r="IV231" i="55" a="1"/>
  <c r="IV231" i="55" s="1"/>
  <c r="IW231" i="55" s="1"/>
  <c r="IN231" i="55" a="1"/>
  <c r="IN231" i="55" s="1"/>
  <c r="IO231" i="55" s="1"/>
  <c r="IR231" i="55" a="1"/>
  <c r="IR231" i="55" s="1"/>
  <c r="IS231" i="55" s="1"/>
  <c r="IT231" i="55" a="1"/>
  <c r="IT231" i="55" s="1"/>
  <c r="IU231" i="55" s="1"/>
  <c r="IP231" i="55" a="1"/>
  <c r="IP231" i="55" s="1"/>
  <c r="IQ231" i="55" s="1"/>
  <c r="IX231" i="55" a="1"/>
  <c r="IX231" i="55" s="1"/>
  <c r="IY231" i="55" s="1"/>
  <c r="IV230" i="55" a="1"/>
  <c r="IV230" i="55" s="1"/>
  <c r="IW230" i="55" s="1"/>
  <c r="IN230" i="55" a="1"/>
  <c r="IN230" i="55" s="1"/>
  <c r="IO230" i="55" s="1"/>
  <c r="IT230" i="55" a="1"/>
  <c r="IT230" i="55" s="1"/>
  <c r="IU230" i="55" s="1"/>
  <c r="IX230" i="55" a="1"/>
  <c r="IX230" i="55" s="1"/>
  <c r="IY230" i="55" s="1"/>
  <c r="IP230" i="55" a="1"/>
  <c r="IP230" i="55" s="1"/>
  <c r="IQ230" i="55" s="1"/>
  <c r="IR230" i="55" a="1"/>
  <c r="IR230" i="55" s="1"/>
  <c r="IS230" i="55" s="1"/>
  <c r="HF233" i="55"/>
  <c r="HG233" i="55" s="1"/>
  <c r="HH233" i="55"/>
  <c r="JA231" i="55"/>
  <c r="HO231" i="55"/>
  <c r="IH231" i="55" s="1"/>
  <c r="HR231" i="55"/>
  <c r="HP231" i="55"/>
  <c r="IZ231" i="55" s="1"/>
  <c r="HK231" i="55"/>
  <c r="JR232" i="55"/>
  <c r="JQ232" i="55"/>
  <c r="HD235" i="55"/>
  <c r="HB235" i="55"/>
  <c r="HC235" i="55" s="1"/>
  <c r="HA236" i="55"/>
  <c r="IF231" i="55"/>
  <c r="IG231" i="55" s="1"/>
  <c r="JS231" i="55" l="1"/>
  <c r="N231" i="55"/>
  <c r="HJ233" i="55"/>
  <c r="HI233" i="55"/>
  <c r="IF233" i="55" s="1"/>
  <c r="IG233" i="55" s="1"/>
  <c r="IL233" i="55"/>
  <c r="IM233" i="55" s="1"/>
  <c r="JR233" i="55"/>
  <c r="JQ233" i="55"/>
  <c r="HF234" i="55"/>
  <c r="HG234" i="55" s="1"/>
  <c r="HH234" i="55"/>
  <c r="IT232" i="55" a="1"/>
  <c r="IT232" i="55" s="1"/>
  <c r="IU232" i="55" s="1"/>
  <c r="IR232" i="55" a="1"/>
  <c r="IR232" i="55" s="1"/>
  <c r="IS232" i="55" s="1"/>
  <c r="IV232" i="55" a="1"/>
  <c r="IV232" i="55" s="1"/>
  <c r="IW232" i="55" s="1"/>
  <c r="IP232" i="55" a="1"/>
  <c r="IP232" i="55" s="1"/>
  <c r="IQ232" i="55" s="1"/>
  <c r="IN232" i="55" a="1"/>
  <c r="IN232" i="55" s="1"/>
  <c r="IO232" i="55" s="1"/>
  <c r="IX232" i="55" a="1"/>
  <c r="IX232" i="55" s="1"/>
  <c r="IY232" i="55" s="1"/>
  <c r="AK235" i="55"/>
  <c r="HE235" i="55"/>
  <c r="IF232" i="55"/>
  <c r="IG232" i="55" s="1"/>
  <c r="JS230" i="55"/>
  <c r="N230" i="55"/>
  <c r="HD236" i="55"/>
  <c r="HB236" i="55"/>
  <c r="HC236" i="55" s="1"/>
  <c r="HA237" i="55"/>
  <c r="HK232" i="55"/>
  <c r="JA232" i="55"/>
  <c r="HR232" i="55"/>
  <c r="HO232" i="55"/>
  <c r="IH232" i="55" s="1"/>
  <c r="HP232" i="55"/>
  <c r="IZ232" i="55" s="1"/>
  <c r="JS232" i="55" l="1"/>
  <c r="N232" i="55"/>
  <c r="HJ234" i="55"/>
  <c r="HI234" i="55"/>
  <c r="IF234" i="55" s="1"/>
  <c r="IG234" i="55" s="1"/>
  <c r="IL234" i="55"/>
  <c r="IM234" i="55" s="1"/>
  <c r="JQ234" i="55"/>
  <c r="JR234" i="55"/>
  <c r="AK236" i="55"/>
  <c r="HE236" i="55"/>
  <c r="JA233" i="55"/>
  <c r="HP233" i="55"/>
  <c r="IZ233" i="55" s="1"/>
  <c r="HO233" i="55"/>
  <c r="IH233" i="55" s="1"/>
  <c r="HR233" i="55"/>
  <c r="HK233" i="55"/>
  <c r="IV233" i="55" a="1"/>
  <c r="IV233" i="55" s="1"/>
  <c r="IW233" i="55" s="1"/>
  <c r="IT233" i="55" a="1"/>
  <c r="IT233" i="55" s="1"/>
  <c r="IU233" i="55" s="1"/>
  <c r="IR233" i="55" a="1"/>
  <c r="IR233" i="55" s="1"/>
  <c r="IS233" i="55" s="1"/>
  <c r="IX233" i="55" a="1"/>
  <c r="IX233" i="55" s="1"/>
  <c r="IY233" i="55" s="1"/>
  <c r="IN233" i="55" a="1"/>
  <c r="IN233" i="55" s="1"/>
  <c r="IO233" i="55" s="1"/>
  <c r="IP233" i="55" a="1"/>
  <c r="IP233" i="55" s="1"/>
  <c r="IQ233" i="55" s="1"/>
  <c r="HD237" i="55"/>
  <c r="HB237" i="55"/>
  <c r="HC237" i="55" s="1"/>
  <c r="HA238" i="55"/>
  <c r="HF235" i="55"/>
  <c r="HG235" i="55" s="1"/>
  <c r="JS233" i="55" l="1"/>
  <c r="N233" i="55"/>
  <c r="JQ235" i="55"/>
  <c r="JA234" i="55"/>
  <c r="HR234" i="55"/>
  <c r="HK234" i="55"/>
  <c r="HO234" i="55"/>
  <c r="IH234" i="55" s="1"/>
  <c r="HP234" i="55"/>
  <c r="IZ234" i="55" s="1"/>
  <c r="HH235" i="55"/>
  <c r="HF236" i="55"/>
  <c r="HG236" i="55" s="1"/>
  <c r="HH236" i="55" s="1"/>
  <c r="AK237" i="55"/>
  <c r="HE237" i="55"/>
  <c r="HB238" i="55"/>
  <c r="HC238" i="55" s="1"/>
  <c r="HD238" i="55"/>
  <c r="HA239" i="55"/>
  <c r="IR234" i="55" a="1"/>
  <c r="IR234" i="55" s="1"/>
  <c r="IS234" i="55" s="1"/>
  <c r="IX234" i="55" a="1"/>
  <c r="IX234" i="55" s="1"/>
  <c r="IY234" i="55" s="1"/>
  <c r="IN234" i="55" a="1"/>
  <c r="IN234" i="55" s="1"/>
  <c r="IO234" i="55" s="1"/>
  <c r="IT234" i="55" a="1"/>
  <c r="IT234" i="55" s="1"/>
  <c r="IU234" i="55" s="1"/>
  <c r="IP234" i="55" a="1"/>
  <c r="IP234" i="55" s="1"/>
  <c r="IQ234" i="55" s="1"/>
  <c r="IV234" i="55" a="1"/>
  <c r="IV234" i="55" s="1"/>
  <c r="IW234" i="55" s="1"/>
  <c r="HI236" i="55" l="1"/>
  <c r="HJ236" i="55"/>
  <c r="IL236" i="55"/>
  <c r="IM236" i="55" s="1"/>
  <c r="JS234" i="55"/>
  <c r="N234" i="55"/>
  <c r="AK238" i="55"/>
  <c r="HE238" i="55"/>
  <c r="HJ235" i="55"/>
  <c r="HI235" i="55"/>
  <c r="IL235" i="55"/>
  <c r="IM235" i="55" s="1"/>
  <c r="HF237" i="55"/>
  <c r="HG237" i="55" s="1"/>
  <c r="HH237" i="55" s="1"/>
  <c r="JQ236" i="55"/>
  <c r="JR236" i="55"/>
  <c r="HB239" i="55"/>
  <c r="HC239" i="55" s="1"/>
  <c r="HD239" i="55"/>
  <c r="HA240" i="55"/>
  <c r="HJ237" i="55" l="1"/>
  <c r="HI237" i="55"/>
  <c r="IF237" i="55" s="1"/>
  <c r="IG237" i="55" s="1"/>
  <c r="IL237" i="55"/>
  <c r="IM237" i="55" s="1"/>
  <c r="AK239" i="55"/>
  <c r="HE239" i="55"/>
  <c r="IP236" i="55" a="1"/>
  <c r="IP236" i="55" s="1"/>
  <c r="IQ236" i="55" s="1"/>
  <c r="IX236" i="55" a="1"/>
  <c r="IX236" i="55" s="1"/>
  <c r="IY236" i="55" s="1"/>
  <c r="IN236" i="55" a="1"/>
  <c r="IN236" i="55" s="1"/>
  <c r="IO236" i="55" s="1"/>
  <c r="IR236" i="55" a="1"/>
  <c r="IR236" i="55" s="1"/>
  <c r="IS236" i="55" s="1"/>
  <c r="IV236" i="55" a="1"/>
  <c r="IV236" i="55" s="1"/>
  <c r="IW236" i="55" s="1"/>
  <c r="IT236" i="55" a="1"/>
  <c r="IT236" i="55" s="1"/>
  <c r="IU236" i="55" s="1"/>
  <c r="JQ237" i="55"/>
  <c r="JR237" i="55"/>
  <c r="JA235" i="55"/>
  <c r="HR235" i="55"/>
  <c r="HP235" i="55"/>
  <c r="IZ235" i="55" s="1"/>
  <c r="HO235" i="55"/>
  <c r="IH235" i="55" s="1"/>
  <c r="HK235" i="55"/>
  <c r="JA236" i="55"/>
  <c r="HR236" i="55"/>
  <c r="HP236" i="55"/>
  <c r="IZ236" i="55" s="1"/>
  <c r="HK236" i="55"/>
  <c r="HO236" i="55"/>
  <c r="IH236" i="55" s="1"/>
  <c r="IX235" i="55" a="1"/>
  <c r="IX235" i="55" s="1"/>
  <c r="IY235" i="55" s="1"/>
  <c r="IV235" i="55" a="1"/>
  <c r="IV235" i="55" s="1"/>
  <c r="IW235" i="55" s="1"/>
  <c r="IP235" i="55" a="1"/>
  <c r="IP235" i="55" s="1"/>
  <c r="IQ235" i="55" s="1"/>
  <c r="IN235" i="55" a="1"/>
  <c r="IN235" i="55" s="1"/>
  <c r="IO235" i="55" s="1"/>
  <c r="IT235" i="55" a="1"/>
  <c r="IT235" i="55" s="1"/>
  <c r="IU235" i="55" s="1"/>
  <c r="IR235" i="55" a="1"/>
  <c r="IR235" i="55" s="1"/>
  <c r="IS235" i="55" s="1"/>
  <c r="IF235" i="55"/>
  <c r="IG235" i="55" s="1"/>
  <c r="JR235" i="55"/>
  <c r="HF238" i="55"/>
  <c r="HG238" i="55" s="1"/>
  <c r="HH238" i="55" s="1"/>
  <c r="HB240" i="55"/>
  <c r="HC240" i="55" s="1"/>
  <c r="HD240" i="55"/>
  <c r="HA241" i="55"/>
  <c r="IF236" i="55"/>
  <c r="IG236" i="55" s="1"/>
  <c r="HJ238" i="55" l="1"/>
  <c r="HI238" i="55"/>
  <c r="IF238" i="55" s="1"/>
  <c r="IG238" i="55" s="1"/>
  <c r="IL238" i="55"/>
  <c r="IM238" i="55" s="1"/>
  <c r="JS236" i="55"/>
  <c r="N236" i="55"/>
  <c r="HB241" i="55"/>
  <c r="HC241" i="55" s="1"/>
  <c r="HD241" i="55"/>
  <c r="HA242" i="55"/>
  <c r="HF239" i="55"/>
  <c r="HG239" i="55" s="1"/>
  <c r="IX237" i="55" a="1"/>
  <c r="IX237" i="55" s="1"/>
  <c r="IY237" i="55" s="1"/>
  <c r="IN237" i="55" a="1"/>
  <c r="IN237" i="55" s="1"/>
  <c r="IO237" i="55" s="1"/>
  <c r="IV237" i="55" a="1"/>
  <c r="IV237" i="55" s="1"/>
  <c r="IW237" i="55" s="1"/>
  <c r="IR237" i="55" a="1"/>
  <c r="IR237" i="55" s="1"/>
  <c r="IS237" i="55" s="1"/>
  <c r="IT237" i="55" a="1"/>
  <c r="IT237" i="55" s="1"/>
  <c r="IU237" i="55" s="1"/>
  <c r="IP237" i="55" a="1"/>
  <c r="IP237" i="55" s="1"/>
  <c r="IQ237" i="55" s="1"/>
  <c r="JR238" i="55"/>
  <c r="JQ238" i="55"/>
  <c r="AK240" i="55"/>
  <c r="HE240" i="55"/>
  <c r="JS235" i="55"/>
  <c r="N235" i="55"/>
  <c r="JA237" i="55"/>
  <c r="HR237" i="55"/>
  <c r="HP237" i="55"/>
  <c r="IZ237" i="55" s="1"/>
  <c r="HO237" i="55"/>
  <c r="IH237" i="55" s="1"/>
  <c r="HK237" i="55"/>
  <c r="JS237" i="55" l="1"/>
  <c r="N237" i="55"/>
  <c r="JQ239" i="55"/>
  <c r="HH239" i="55"/>
  <c r="AK241" i="55"/>
  <c r="HE241" i="55"/>
  <c r="HF240" i="55"/>
  <c r="HG240" i="55" s="1"/>
  <c r="HB242" i="55"/>
  <c r="HC242" i="55" s="1"/>
  <c r="HD242" i="55"/>
  <c r="HA243" i="55"/>
  <c r="IX238" i="55" a="1"/>
  <c r="IX238" i="55" s="1"/>
  <c r="IY238" i="55" s="1"/>
  <c r="IN238" i="55" a="1"/>
  <c r="IN238" i="55" s="1"/>
  <c r="IO238" i="55" s="1"/>
  <c r="IT238" i="55" a="1"/>
  <c r="IT238" i="55" s="1"/>
  <c r="IU238" i="55" s="1"/>
  <c r="IV238" i="55" a="1"/>
  <c r="IV238" i="55" s="1"/>
  <c r="IW238" i="55" s="1"/>
  <c r="IR238" i="55" a="1"/>
  <c r="IR238" i="55" s="1"/>
  <c r="IS238" i="55" s="1"/>
  <c r="IP238" i="55" a="1"/>
  <c r="IP238" i="55" s="1"/>
  <c r="IQ238" i="55" s="1"/>
  <c r="HP238" i="55"/>
  <c r="IZ238" i="55" s="1"/>
  <c r="JA238" i="55"/>
  <c r="HR238" i="55"/>
  <c r="HO238" i="55"/>
  <c r="IH238" i="55" s="1"/>
  <c r="HK238" i="55"/>
  <c r="JS238" i="55" l="1"/>
  <c r="N238" i="55"/>
  <c r="AK242" i="55"/>
  <c r="HE242" i="55"/>
  <c r="JQ240" i="55"/>
  <c r="HJ239" i="55"/>
  <c r="HI239" i="55"/>
  <c r="IL239" i="55"/>
  <c r="IM239" i="55" s="1"/>
  <c r="HB243" i="55"/>
  <c r="HC243" i="55" s="1"/>
  <c r="HD243" i="55"/>
  <c r="HA244" i="55"/>
  <c r="HH240" i="55"/>
  <c r="HF241" i="55"/>
  <c r="HG241" i="55" s="1"/>
  <c r="HH241" i="55" s="1"/>
  <c r="HJ241" i="55" l="1"/>
  <c r="HI241" i="55"/>
  <c r="IF241" i="55" s="1"/>
  <c r="IG241" i="55" s="1"/>
  <c r="IL241" i="55"/>
  <c r="IM241" i="55" s="1"/>
  <c r="AK243" i="55"/>
  <c r="HE243" i="55"/>
  <c r="JR241" i="55"/>
  <c r="JQ241" i="55"/>
  <c r="HI240" i="55"/>
  <c r="HJ240" i="55"/>
  <c r="IL240" i="55"/>
  <c r="IM240" i="55" s="1"/>
  <c r="IX239" i="55" a="1"/>
  <c r="IX239" i="55" s="1"/>
  <c r="IY239" i="55" s="1"/>
  <c r="IT239" i="55" a="1"/>
  <c r="IT239" i="55" s="1"/>
  <c r="IU239" i="55" s="1"/>
  <c r="IN239" i="55" a="1"/>
  <c r="IN239" i="55" s="1"/>
  <c r="IO239" i="55" s="1"/>
  <c r="IR239" i="55" a="1"/>
  <c r="IR239" i="55" s="1"/>
  <c r="IS239" i="55" s="1"/>
  <c r="IV239" i="55" a="1"/>
  <c r="IV239" i="55" s="1"/>
  <c r="IW239" i="55" s="1"/>
  <c r="IP239" i="55" a="1"/>
  <c r="IP239" i="55" s="1"/>
  <c r="IQ239" i="55" s="1"/>
  <c r="HP239" i="55"/>
  <c r="IZ239" i="55" s="1"/>
  <c r="HR239" i="55"/>
  <c r="JA239" i="55"/>
  <c r="HK239" i="55"/>
  <c r="HO239" i="55"/>
  <c r="IH239" i="55" s="1"/>
  <c r="HB244" i="55"/>
  <c r="HC244" i="55" s="1"/>
  <c r="HD244" i="55"/>
  <c r="HA245" i="55"/>
  <c r="IF239" i="55"/>
  <c r="IG239" i="55" s="1"/>
  <c r="JR239" i="55"/>
  <c r="HF242" i="55"/>
  <c r="HG242" i="55" s="1"/>
  <c r="HH242" i="55" s="1"/>
  <c r="HI242" i="55" l="1"/>
  <c r="HJ242" i="55"/>
  <c r="IL242" i="55"/>
  <c r="IM242" i="55" s="1"/>
  <c r="HB245" i="55"/>
  <c r="HC245" i="55" s="1"/>
  <c r="HD245" i="55"/>
  <c r="HA246" i="55"/>
  <c r="IF240" i="55"/>
  <c r="IG240" i="55" s="1"/>
  <c r="JR240" i="55"/>
  <c r="IR241" i="55" a="1"/>
  <c r="IR241" i="55" s="1"/>
  <c r="IS241" i="55" s="1"/>
  <c r="IP241" i="55" a="1"/>
  <c r="IP241" i="55" s="1"/>
  <c r="IQ241" i="55" s="1"/>
  <c r="IT241" i="55" a="1"/>
  <c r="IT241" i="55" s="1"/>
  <c r="IU241" i="55" s="1"/>
  <c r="IN241" i="55" a="1"/>
  <c r="IN241" i="55" s="1"/>
  <c r="IO241" i="55" s="1"/>
  <c r="IX241" i="55" a="1"/>
  <c r="IX241" i="55" s="1"/>
  <c r="IY241" i="55" s="1"/>
  <c r="IV241" i="55" a="1"/>
  <c r="IV241" i="55" s="1"/>
  <c r="IW241" i="55" s="1"/>
  <c r="JS239" i="55"/>
  <c r="N239" i="55"/>
  <c r="JR242" i="55"/>
  <c r="JQ242" i="55"/>
  <c r="IV240" i="55" a="1"/>
  <c r="IV240" i="55" s="1"/>
  <c r="IW240" i="55" s="1"/>
  <c r="IR240" i="55" a="1"/>
  <c r="IR240" i="55" s="1"/>
  <c r="IS240" i="55" s="1"/>
  <c r="IT240" i="55" a="1"/>
  <c r="IT240" i="55" s="1"/>
  <c r="IU240" i="55" s="1"/>
  <c r="IP240" i="55" a="1"/>
  <c r="IP240" i="55" s="1"/>
  <c r="IQ240" i="55" s="1"/>
  <c r="IX240" i="55" a="1"/>
  <c r="IX240" i="55" s="1"/>
  <c r="IY240" i="55" s="1"/>
  <c r="IN240" i="55" a="1"/>
  <c r="IN240" i="55" s="1"/>
  <c r="IO240" i="55" s="1"/>
  <c r="JA240" i="55"/>
  <c r="HO240" i="55"/>
  <c r="IH240" i="55" s="1"/>
  <c r="HK240" i="55"/>
  <c r="HK241" i="55" s="1"/>
  <c r="HR240" i="55"/>
  <c r="HP240" i="55"/>
  <c r="IZ240" i="55" s="1"/>
  <c r="AK244" i="55"/>
  <c r="HE244" i="55"/>
  <c r="HH243" i="55"/>
  <c r="HF243" i="55"/>
  <c r="HG243" i="55" s="1"/>
  <c r="JA241" i="55"/>
  <c r="HO241" i="55"/>
  <c r="IH241" i="55" s="1"/>
  <c r="HP241" i="55"/>
  <c r="IZ241" i="55" s="1"/>
  <c r="HR241" i="55"/>
  <c r="IF242" i="55" l="1"/>
  <c r="IG242" i="55" s="1"/>
  <c r="JS240" i="55"/>
  <c r="N240" i="55"/>
  <c r="HD246" i="55"/>
  <c r="HB246" i="55"/>
  <c r="HC246" i="55" s="1"/>
  <c r="HA247" i="55"/>
  <c r="HI243" i="55"/>
  <c r="HJ243" i="55"/>
  <c r="IL243" i="55"/>
  <c r="IM243" i="55" s="1"/>
  <c r="AK245" i="55"/>
  <c r="HE245" i="55"/>
  <c r="IX242" i="55" a="1"/>
  <c r="IX242" i="55" s="1"/>
  <c r="IY242" i="55" s="1"/>
  <c r="IV242" i="55" a="1"/>
  <c r="IV242" i="55" s="1"/>
  <c r="IW242" i="55" s="1"/>
  <c r="IT242" i="55" a="1"/>
  <c r="IT242" i="55" s="1"/>
  <c r="IU242" i="55" s="1"/>
  <c r="IR242" i="55" a="1"/>
  <c r="IR242" i="55" s="1"/>
  <c r="IS242" i="55" s="1"/>
  <c r="IN242" i="55" a="1"/>
  <c r="IN242" i="55" s="1"/>
  <c r="IO242" i="55" s="1"/>
  <c r="IP242" i="55" a="1"/>
  <c r="IP242" i="55" s="1"/>
  <c r="IQ242" i="55" s="1"/>
  <c r="JS241" i="55"/>
  <c r="N241" i="55"/>
  <c r="JA242" i="55"/>
  <c r="HR242" i="55"/>
  <c r="HK242" i="55"/>
  <c r="HO242" i="55"/>
  <c r="IH242" i="55" s="1"/>
  <c r="HP242" i="55"/>
  <c r="IZ242" i="55" s="1"/>
  <c r="HF244" i="55"/>
  <c r="HG244" i="55" s="1"/>
  <c r="JR243" i="55"/>
  <c r="JQ243" i="55"/>
  <c r="IV243" i="55" l="1" a="1"/>
  <c r="IV243" i="55" s="1"/>
  <c r="IW243" i="55" s="1"/>
  <c r="IP243" i="55" a="1"/>
  <c r="IP243" i="55" s="1"/>
  <c r="IQ243" i="55" s="1"/>
  <c r="IX243" i="55" a="1"/>
  <c r="IX243" i="55" s="1"/>
  <c r="IY243" i="55" s="1"/>
  <c r="IR243" i="55" a="1"/>
  <c r="IR243" i="55" s="1"/>
  <c r="IS243" i="55" s="1"/>
  <c r="IT243" i="55" a="1"/>
  <c r="IT243" i="55" s="1"/>
  <c r="IU243" i="55" s="1"/>
  <c r="IN243" i="55" a="1"/>
  <c r="IN243" i="55" s="1"/>
  <c r="IO243" i="55" s="1"/>
  <c r="JA243" i="55"/>
  <c r="HR243" i="55"/>
  <c r="HK243" i="55"/>
  <c r="HO243" i="55"/>
  <c r="IH243" i="55" s="1"/>
  <c r="HP243" i="55"/>
  <c r="IZ243" i="55" s="1"/>
  <c r="AK246" i="55"/>
  <c r="HE246" i="55"/>
  <c r="JS242" i="55"/>
  <c r="N242" i="55"/>
  <c r="IF243" i="55"/>
  <c r="IG243" i="55" s="1"/>
  <c r="HF245" i="55"/>
  <c r="HG245" i="55" s="1"/>
  <c r="JQ244" i="55"/>
  <c r="HH244" i="55"/>
  <c r="HB247" i="55"/>
  <c r="HC247" i="55" s="1"/>
  <c r="HD247" i="55"/>
  <c r="HA248" i="55"/>
  <c r="JS243" i="55" l="1"/>
  <c r="N243" i="55"/>
  <c r="HJ244" i="55"/>
  <c r="HI244" i="55"/>
  <c r="IL244" i="55"/>
  <c r="IM244" i="55" s="1"/>
  <c r="HF246" i="55"/>
  <c r="HG246" i="55" s="1"/>
  <c r="HD248" i="55"/>
  <c r="HB248" i="55"/>
  <c r="HC248" i="55" s="1"/>
  <c r="HA249" i="55"/>
  <c r="AK247" i="55"/>
  <c r="HE247" i="55"/>
  <c r="JQ245" i="55"/>
  <c r="HH245" i="55"/>
  <c r="HH246" i="55" l="1"/>
  <c r="HJ246" i="55" s="1"/>
  <c r="HI246" i="55"/>
  <c r="IL246" i="55"/>
  <c r="IM246" i="55" s="1"/>
  <c r="HF247" i="55"/>
  <c r="HG247" i="55" s="1"/>
  <c r="HJ245" i="55"/>
  <c r="HI245" i="55"/>
  <c r="IL245" i="55"/>
  <c r="IM245" i="55" s="1"/>
  <c r="AK248" i="55"/>
  <c r="HE248" i="55"/>
  <c r="JA244" i="55"/>
  <c r="HK244" i="55"/>
  <c r="HO244" i="55"/>
  <c r="IH244" i="55" s="1"/>
  <c r="HR244" i="55"/>
  <c r="HP244" i="55"/>
  <c r="IZ244" i="55" s="1"/>
  <c r="HD249" i="55"/>
  <c r="HB249" i="55"/>
  <c r="HC249" i="55" s="1"/>
  <c r="HA250" i="55"/>
  <c r="JQ246" i="55"/>
  <c r="JR246" i="55"/>
  <c r="IF244" i="55"/>
  <c r="IG244" i="55" s="1"/>
  <c r="JR244" i="55"/>
  <c r="IX244" i="55" a="1"/>
  <c r="IX244" i="55" s="1"/>
  <c r="IY244" i="55" s="1"/>
  <c r="IV244" i="55" a="1"/>
  <c r="IV244" i="55" s="1"/>
  <c r="IW244" i="55" s="1"/>
  <c r="IP244" i="55" a="1"/>
  <c r="IP244" i="55" s="1"/>
  <c r="IQ244" i="55" s="1"/>
  <c r="IT244" i="55" a="1"/>
  <c r="IT244" i="55" s="1"/>
  <c r="IU244" i="55" s="1"/>
  <c r="IR244" i="55" a="1"/>
  <c r="IR244" i="55" s="1"/>
  <c r="IS244" i="55" s="1"/>
  <c r="IN244" i="55" a="1"/>
  <c r="IN244" i="55" s="1"/>
  <c r="IO244" i="55" s="1"/>
  <c r="JS244" i="55" l="1"/>
  <c r="N244" i="55"/>
  <c r="AK249" i="55"/>
  <c r="HE249" i="55"/>
  <c r="IX246" i="55" a="1"/>
  <c r="IX246" i="55" s="1"/>
  <c r="IY246" i="55" s="1"/>
  <c r="IN246" i="55" a="1"/>
  <c r="IN246" i="55" s="1"/>
  <c r="IO246" i="55" s="1"/>
  <c r="IV246" i="55" a="1"/>
  <c r="IV246" i="55" s="1"/>
  <c r="IW246" i="55" s="1"/>
  <c r="IP246" i="55" a="1"/>
  <c r="IP246" i="55" s="1"/>
  <c r="IQ246" i="55" s="1"/>
  <c r="IR246" i="55" a="1"/>
  <c r="IR246" i="55" s="1"/>
  <c r="IS246" i="55" s="1"/>
  <c r="IT246" i="55" a="1"/>
  <c r="IT246" i="55" s="1"/>
  <c r="IU246" i="55" s="1"/>
  <c r="HF248" i="55"/>
  <c r="HG248" i="55" s="1"/>
  <c r="IV245" i="55" a="1"/>
  <c r="IV245" i="55" s="1"/>
  <c r="IW245" i="55" s="1"/>
  <c r="IT245" i="55" a="1"/>
  <c r="IT245" i="55" s="1"/>
  <c r="IU245" i="55" s="1"/>
  <c r="IR245" i="55" a="1"/>
  <c r="IR245" i="55" s="1"/>
  <c r="IS245" i="55" s="1"/>
  <c r="IN245" i="55" a="1"/>
  <c r="IN245" i="55" s="1"/>
  <c r="IO245" i="55" s="1"/>
  <c r="IP245" i="55" a="1"/>
  <c r="IP245" i="55" s="1"/>
  <c r="IQ245" i="55" s="1"/>
  <c r="IX245" i="55" a="1"/>
  <c r="IX245" i="55" s="1"/>
  <c r="IY245" i="55" s="1"/>
  <c r="IF245" i="55"/>
  <c r="IG245" i="55" s="1"/>
  <c r="JR245" i="55"/>
  <c r="JA245" i="55"/>
  <c r="HP245" i="55"/>
  <c r="IZ245" i="55" s="1"/>
  <c r="HK245" i="55"/>
  <c r="HK246" i="55" s="1"/>
  <c r="HO245" i="55"/>
  <c r="IH245" i="55" s="1"/>
  <c r="HR245" i="55"/>
  <c r="JQ247" i="55"/>
  <c r="HD250" i="55"/>
  <c r="HB250" i="55"/>
  <c r="HC250" i="55" s="1"/>
  <c r="HA251" i="55"/>
  <c r="IF246" i="55"/>
  <c r="IG246" i="55" s="1"/>
  <c r="HH247" i="55"/>
  <c r="HH248" i="55" s="1"/>
  <c r="JA246" i="55"/>
  <c r="HO246" i="55"/>
  <c r="IH246" i="55" s="1"/>
  <c r="HR246" i="55"/>
  <c r="HP246" i="55"/>
  <c r="IZ246" i="55" s="1"/>
  <c r="HD251" i="55" l="1"/>
  <c r="HB251" i="55"/>
  <c r="HC251" i="55" s="1"/>
  <c r="HA252" i="55"/>
  <c r="HI248" i="55"/>
  <c r="HJ248" i="55"/>
  <c r="IL248" i="55"/>
  <c r="IM248" i="55" s="1"/>
  <c r="HJ247" i="55"/>
  <c r="HI247" i="55"/>
  <c r="IL247" i="55"/>
  <c r="IM247" i="55" s="1"/>
  <c r="JS245" i="55"/>
  <c r="N245" i="55"/>
  <c r="HF249" i="55"/>
  <c r="HG249" i="55" s="1"/>
  <c r="HH249" i="55" s="1"/>
  <c r="AK250" i="55"/>
  <c r="HE250" i="55"/>
  <c r="JR248" i="55"/>
  <c r="JQ248" i="55"/>
  <c r="JS246" i="55"/>
  <c r="N246" i="55"/>
  <c r="HI249" i="55" l="1"/>
  <c r="HJ249" i="55"/>
  <c r="IL249" i="55"/>
  <c r="IM249" i="55" s="1"/>
  <c r="IX248" i="55" a="1"/>
  <c r="IX248" i="55" s="1"/>
  <c r="IY248" i="55" s="1"/>
  <c r="IT248" i="55" a="1"/>
  <c r="IT248" i="55" s="1"/>
  <c r="IU248" i="55" s="1"/>
  <c r="IR248" i="55" a="1"/>
  <c r="IR248" i="55" s="1"/>
  <c r="IS248" i="55" s="1"/>
  <c r="IN248" i="55" a="1"/>
  <c r="IN248" i="55" s="1"/>
  <c r="IO248" i="55" s="1"/>
  <c r="IV248" i="55" a="1"/>
  <c r="IV248" i="55" s="1"/>
  <c r="IW248" i="55" s="1"/>
  <c r="IP248" i="55" a="1"/>
  <c r="IP248" i="55" s="1"/>
  <c r="IQ248" i="55" s="1"/>
  <c r="HD252" i="55"/>
  <c r="HB252" i="55"/>
  <c r="HC252" i="55" s="1"/>
  <c r="HA253" i="55"/>
  <c r="HF250" i="55"/>
  <c r="HG250" i="55" s="1"/>
  <c r="HH250" i="55"/>
  <c r="IN247" i="55" a="1"/>
  <c r="IN247" i="55" s="1"/>
  <c r="IO247" i="55" s="1"/>
  <c r="IV247" i="55" a="1"/>
  <c r="IV247" i="55" s="1"/>
  <c r="IW247" i="55" s="1"/>
  <c r="IP247" i="55" a="1"/>
  <c r="IP247" i="55" s="1"/>
  <c r="IQ247" i="55" s="1"/>
  <c r="IX247" i="55" a="1"/>
  <c r="IX247" i="55" s="1"/>
  <c r="IY247" i="55" s="1"/>
  <c r="IT247" i="55" a="1"/>
  <c r="IT247" i="55" s="1"/>
  <c r="IU247" i="55" s="1"/>
  <c r="IR247" i="55" a="1"/>
  <c r="IR247" i="55" s="1"/>
  <c r="IS247" i="55" s="1"/>
  <c r="JA247" i="55"/>
  <c r="HK247" i="55"/>
  <c r="HR247" i="55"/>
  <c r="HO247" i="55"/>
  <c r="IH247" i="55" s="1"/>
  <c r="HP247" i="55"/>
  <c r="IZ247" i="55" s="1"/>
  <c r="JA248" i="55"/>
  <c r="HK248" i="55"/>
  <c r="HO248" i="55"/>
  <c r="IH248" i="55" s="1"/>
  <c r="HP248" i="55"/>
  <c r="IZ248" i="55" s="1"/>
  <c r="HR248" i="55"/>
  <c r="JQ249" i="55"/>
  <c r="JR249" i="55"/>
  <c r="IF247" i="55"/>
  <c r="IG247" i="55" s="1"/>
  <c r="JR247" i="55"/>
  <c r="IF248" i="55"/>
  <c r="IG248" i="55" s="1"/>
  <c r="AK251" i="55"/>
  <c r="HE251" i="55"/>
  <c r="JS248" i="55" l="1"/>
  <c r="N248" i="55"/>
  <c r="HF251" i="55"/>
  <c r="HG251" i="55" s="1"/>
  <c r="HH251" i="55"/>
  <c r="JS247" i="55"/>
  <c r="N247" i="55"/>
  <c r="IV249" i="55" a="1"/>
  <c r="IV249" i="55" s="1"/>
  <c r="IW249" i="55" s="1"/>
  <c r="IT249" i="55" a="1"/>
  <c r="IT249" i="55" s="1"/>
  <c r="IU249" i="55" s="1"/>
  <c r="IR249" i="55" a="1"/>
  <c r="IR249" i="55" s="1"/>
  <c r="IS249" i="55" s="1"/>
  <c r="IN249" i="55" a="1"/>
  <c r="IN249" i="55" s="1"/>
  <c r="IO249" i="55" s="1"/>
  <c r="IP249" i="55" a="1"/>
  <c r="IP249" i="55" s="1"/>
  <c r="IQ249" i="55" s="1"/>
  <c r="IX249" i="55" a="1"/>
  <c r="IX249" i="55" s="1"/>
  <c r="IY249" i="55" s="1"/>
  <c r="HJ250" i="55"/>
  <c r="HI250" i="55"/>
  <c r="IF250" i="55" s="1"/>
  <c r="IG250" i="55" s="1"/>
  <c r="IL250" i="55"/>
  <c r="IM250" i="55" s="1"/>
  <c r="JQ250" i="55"/>
  <c r="AK252" i="55"/>
  <c r="HE252" i="55"/>
  <c r="JA249" i="55"/>
  <c r="HO249" i="55"/>
  <c r="IH249" i="55" s="1"/>
  <c r="HK249" i="55"/>
  <c r="HP249" i="55"/>
  <c r="IZ249" i="55" s="1"/>
  <c r="HR249" i="55"/>
  <c r="HD253" i="55"/>
  <c r="HB253" i="55"/>
  <c r="HC253" i="55" s="1"/>
  <c r="HA254" i="55"/>
  <c r="IF249" i="55"/>
  <c r="IG249" i="55" s="1"/>
  <c r="HB254" i="55" l="1"/>
  <c r="HC254" i="55" s="1"/>
  <c r="HD254" i="55"/>
  <c r="HA255" i="55"/>
  <c r="JS249" i="55"/>
  <c r="N249" i="55"/>
  <c r="HF252" i="55"/>
  <c r="HG252" i="55" s="1"/>
  <c r="HH252" i="55" s="1"/>
  <c r="JQ251" i="55"/>
  <c r="JA250" i="55"/>
  <c r="HR250" i="55"/>
  <c r="HK250" i="55"/>
  <c r="HP250" i="55"/>
  <c r="IZ250" i="55" s="1"/>
  <c r="HO250" i="55"/>
  <c r="IH250" i="55" s="1"/>
  <c r="HI251" i="55"/>
  <c r="IF251" i="55" s="1"/>
  <c r="IG251" i="55" s="1"/>
  <c r="HJ251" i="55"/>
  <c r="IL251" i="55"/>
  <c r="IM251" i="55" s="1"/>
  <c r="IT250" i="55" a="1"/>
  <c r="IT250" i="55" s="1"/>
  <c r="IU250" i="55" s="1"/>
  <c r="IP250" i="55" a="1"/>
  <c r="IP250" i="55" s="1"/>
  <c r="IQ250" i="55" s="1"/>
  <c r="IN250" i="55" a="1"/>
  <c r="IN250" i="55" s="1"/>
  <c r="IO250" i="55" s="1"/>
  <c r="IV250" i="55" a="1"/>
  <c r="IV250" i="55" s="1"/>
  <c r="IW250" i="55" s="1"/>
  <c r="IX250" i="55" a="1"/>
  <c r="IX250" i="55" s="1"/>
  <c r="IY250" i="55" s="1"/>
  <c r="IR250" i="55" a="1"/>
  <c r="IR250" i="55" s="1"/>
  <c r="IS250" i="55" s="1"/>
  <c r="AK253" i="55"/>
  <c r="HE253" i="55"/>
  <c r="JR250" i="55"/>
  <c r="HF253" i="55" l="1"/>
  <c r="HG253" i="55" s="1"/>
  <c r="HH253" i="55" s="1"/>
  <c r="JA251" i="55"/>
  <c r="HR251" i="55"/>
  <c r="HO251" i="55"/>
  <c r="IH251" i="55" s="1"/>
  <c r="HP251" i="55"/>
  <c r="IZ251" i="55" s="1"/>
  <c r="HK251" i="55"/>
  <c r="HI252" i="55"/>
  <c r="HJ252" i="55"/>
  <c r="IL252" i="55"/>
  <c r="IM252" i="55" s="1"/>
  <c r="JQ252" i="55"/>
  <c r="JR252" i="55"/>
  <c r="HB255" i="55"/>
  <c r="HC255" i="55" s="1"/>
  <c r="HD255" i="55"/>
  <c r="HA256" i="55"/>
  <c r="AK254" i="55"/>
  <c r="HE254" i="55"/>
  <c r="JS250" i="55"/>
  <c r="N250" i="55"/>
  <c r="JR251" i="55"/>
  <c r="IP251" i="55" a="1"/>
  <c r="IP251" i="55" s="1"/>
  <c r="IQ251" i="55" s="1"/>
  <c r="IT251" i="55" a="1"/>
  <c r="IT251" i="55" s="1"/>
  <c r="IU251" i="55" s="1"/>
  <c r="IX251" i="55" a="1"/>
  <c r="IX251" i="55" s="1"/>
  <c r="IY251" i="55" s="1"/>
  <c r="IR251" i="55" a="1"/>
  <c r="IR251" i="55" s="1"/>
  <c r="IS251" i="55" s="1"/>
  <c r="IV251" i="55" a="1"/>
  <c r="IV251" i="55" s="1"/>
  <c r="IW251" i="55" s="1"/>
  <c r="IN251" i="55" a="1"/>
  <c r="IN251" i="55" s="1"/>
  <c r="IO251" i="55" s="1"/>
  <c r="HI253" i="55" l="1"/>
  <c r="HJ253" i="55"/>
  <c r="IL253" i="55"/>
  <c r="IM253" i="55" s="1"/>
  <c r="HB256" i="55"/>
  <c r="HC256" i="55" s="1"/>
  <c r="HD256" i="55"/>
  <c r="HA257" i="55"/>
  <c r="JS251" i="55"/>
  <c r="N251" i="55"/>
  <c r="IV252" i="55" a="1"/>
  <c r="IV252" i="55" s="1"/>
  <c r="IW252" i="55" s="1"/>
  <c r="IP252" i="55" a="1"/>
  <c r="IP252" i="55" s="1"/>
  <c r="IQ252" i="55" s="1"/>
  <c r="IT252" i="55" a="1"/>
  <c r="IT252" i="55" s="1"/>
  <c r="IU252" i="55" s="1"/>
  <c r="IX252" i="55" a="1"/>
  <c r="IX252" i="55" s="1"/>
  <c r="IY252" i="55" s="1"/>
  <c r="IR252" i="55" a="1"/>
  <c r="IR252" i="55" s="1"/>
  <c r="IS252" i="55" s="1"/>
  <c r="IN252" i="55" a="1"/>
  <c r="IN252" i="55" s="1"/>
  <c r="IO252" i="55" s="1"/>
  <c r="JA252" i="55"/>
  <c r="HR252" i="55"/>
  <c r="HP252" i="55"/>
  <c r="IZ252" i="55" s="1"/>
  <c r="HO252" i="55"/>
  <c r="IH252" i="55" s="1"/>
  <c r="HK252" i="55"/>
  <c r="AK255" i="55"/>
  <c r="HE255" i="55"/>
  <c r="IF252" i="55"/>
  <c r="IG252" i="55" s="1"/>
  <c r="HF254" i="55"/>
  <c r="HG254" i="55" s="1"/>
  <c r="JQ253" i="55"/>
  <c r="IF253" i="55" l="1"/>
  <c r="IG253" i="55" s="1"/>
  <c r="HB257" i="55"/>
  <c r="HC257" i="55" s="1"/>
  <c r="HD257" i="55"/>
  <c r="HA258" i="55"/>
  <c r="JR253" i="55"/>
  <c r="JQ254" i="55"/>
  <c r="HH254" i="55"/>
  <c r="HF255" i="55"/>
  <c r="HG255" i="55" s="1"/>
  <c r="HH255" i="55"/>
  <c r="AK256" i="55"/>
  <c r="HE256" i="55"/>
  <c r="IX253" i="55" a="1"/>
  <c r="IX253" i="55" s="1"/>
  <c r="IY253" i="55" s="1"/>
  <c r="IR253" i="55" a="1"/>
  <c r="IR253" i="55" s="1"/>
  <c r="IS253" i="55" s="1"/>
  <c r="IP253" i="55" a="1"/>
  <c r="IP253" i="55" s="1"/>
  <c r="IQ253" i="55" s="1"/>
  <c r="IN253" i="55" a="1"/>
  <c r="IN253" i="55" s="1"/>
  <c r="IO253" i="55" s="1"/>
  <c r="IV253" i="55" a="1"/>
  <c r="IV253" i="55" s="1"/>
  <c r="IW253" i="55" s="1"/>
  <c r="IT253" i="55" a="1"/>
  <c r="IT253" i="55" s="1"/>
  <c r="IU253" i="55" s="1"/>
  <c r="JS252" i="55"/>
  <c r="N252" i="55"/>
  <c r="JA253" i="55"/>
  <c r="HR253" i="55"/>
  <c r="HO253" i="55"/>
  <c r="IH253" i="55" s="1"/>
  <c r="HP253" i="55"/>
  <c r="IZ253" i="55" s="1"/>
  <c r="HK253" i="55"/>
  <c r="HF256" i="55" l="1"/>
  <c r="HG256" i="55" s="1"/>
  <c r="HH256" i="55" s="1"/>
  <c r="JQ255" i="55"/>
  <c r="HJ254" i="55"/>
  <c r="HI254" i="55"/>
  <c r="IL254" i="55"/>
  <c r="IM254" i="55" s="1"/>
  <c r="HD258" i="55"/>
  <c r="HB258" i="55"/>
  <c r="HC258" i="55" s="1"/>
  <c r="HA259" i="55"/>
  <c r="HJ255" i="55"/>
  <c r="HI255" i="55"/>
  <c r="IF255" i="55" s="1"/>
  <c r="IG255" i="55" s="1"/>
  <c r="IL255" i="55"/>
  <c r="IM255" i="55" s="1"/>
  <c r="AK257" i="55"/>
  <c r="HE257" i="55"/>
  <c r="JS253" i="55"/>
  <c r="N253" i="55"/>
  <c r="IV255" i="55" l="1" a="1"/>
  <c r="IV255" i="55" s="1"/>
  <c r="IW255" i="55" s="1"/>
  <c r="IX255" i="55" a="1"/>
  <c r="IX255" i="55" s="1"/>
  <c r="IY255" i="55" s="1"/>
  <c r="IN255" i="55" a="1"/>
  <c r="IN255" i="55" s="1"/>
  <c r="IO255" i="55" s="1"/>
  <c r="IT255" i="55" a="1"/>
  <c r="IT255" i="55" s="1"/>
  <c r="IU255" i="55" s="1"/>
  <c r="IR255" i="55" a="1"/>
  <c r="IR255" i="55" s="1"/>
  <c r="IS255" i="55" s="1"/>
  <c r="IP255" i="55" a="1"/>
  <c r="IP255" i="55" s="1"/>
  <c r="IQ255" i="55" s="1"/>
  <c r="JA255" i="55"/>
  <c r="HP255" i="55"/>
  <c r="IZ255" i="55" s="1"/>
  <c r="HR255" i="55"/>
  <c r="HK255" i="55"/>
  <c r="HO255" i="55"/>
  <c r="IH255" i="55" s="1"/>
  <c r="IX254" i="55" a="1"/>
  <c r="IX254" i="55" s="1"/>
  <c r="IY254" i="55" s="1"/>
  <c r="IN254" i="55" a="1"/>
  <c r="IN254" i="55" s="1"/>
  <c r="IO254" i="55" s="1"/>
  <c r="IR254" i="55" a="1"/>
  <c r="IR254" i="55" s="1"/>
  <c r="IS254" i="55" s="1"/>
  <c r="IV254" i="55" a="1"/>
  <c r="IV254" i="55" s="1"/>
  <c r="IW254" i="55" s="1"/>
  <c r="IT254" i="55" a="1"/>
  <c r="IT254" i="55" s="1"/>
  <c r="IU254" i="55" s="1"/>
  <c r="IP254" i="55" a="1"/>
  <c r="IP254" i="55" s="1"/>
  <c r="IQ254" i="55" s="1"/>
  <c r="IF254" i="55"/>
  <c r="IG254" i="55" s="1"/>
  <c r="JR254" i="55"/>
  <c r="JA254" i="55"/>
  <c r="HP254" i="55"/>
  <c r="IZ254" i="55" s="1"/>
  <c r="HO254" i="55"/>
  <c r="IH254" i="55" s="1"/>
  <c r="HK254" i="55"/>
  <c r="HR254" i="55"/>
  <c r="JR255" i="55"/>
  <c r="HD259" i="55"/>
  <c r="HB259" i="55"/>
  <c r="HC259" i="55" s="1"/>
  <c r="HA260" i="55"/>
  <c r="HI256" i="55"/>
  <c r="HJ256" i="55"/>
  <c r="IL256" i="55"/>
  <c r="IM256" i="55" s="1"/>
  <c r="HH257" i="55"/>
  <c r="HF257" i="55"/>
  <c r="HG257" i="55" s="1"/>
  <c r="AK258" i="55"/>
  <c r="HE258" i="55"/>
  <c r="JQ256" i="55"/>
  <c r="HI257" i="55" l="1"/>
  <c r="IF257" i="55" s="1"/>
  <c r="IG257" i="55" s="1"/>
  <c r="HJ257" i="55"/>
  <c r="IL257" i="55"/>
  <c r="IM257" i="55" s="1"/>
  <c r="JA256" i="55"/>
  <c r="HO256" i="55"/>
  <c r="IH256" i="55" s="1"/>
  <c r="HP256" i="55"/>
  <c r="IZ256" i="55" s="1"/>
  <c r="HR256" i="55"/>
  <c r="HK256" i="55"/>
  <c r="IF256" i="55"/>
  <c r="IG256" i="55" s="1"/>
  <c r="HD260" i="55"/>
  <c r="HB260" i="55"/>
  <c r="HC260" i="55" s="1"/>
  <c r="HA261" i="55"/>
  <c r="AK259" i="55"/>
  <c r="HE259" i="55"/>
  <c r="IX256" i="55" a="1"/>
  <c r="IX256" i="55" s="1"/>
  <c r="IY256" i="55" s="1"/>
  <c r="IR256" i="55" a="1"/>
  <c r="IR256" i="55" s="1"/>
  <c r="IS256" i="55" s="1"/>
  <c r="IV256" i="55" a="1"/>
  <c r="IV256" i="55" s="1"/>
  <c r="IW256" i="55" s="1"/>
  <c r="IT256" i="55" a="1"/>
  <c r="IT256" i="55" s="1"/>
  <c r="IU256" i="55" s="1"/>
  <c r="IN256" i="55" a="1"/>
  <c r="IN256" i="55" s="1"/>
  <c r="IO256" i="55" s="1"/>
  <c r="IP256" i="55" a="1"/>
  <c r="IP256" i="55" s="1"/>
  <c r="IQ256" i="55" s="1"/>
  <c r="JS254" i="55"/>
  <c r="N254" i="55"/>
  <c r="HF258" i="55"/>
  <c r="HG258" i="55" s="1"/>
  <c r="JS255" i="55"/>
  <c r="N255" i="55"/>
  <c r="JR256" i="55"/>
  <c r="JQ257" i="55"/>
  <c r="HD261" i="55" l="1"/>
  <c r="HB261" i="55"/>
  <c r="HC261" i="55" s="1"/>
  <c r="HA262" i="55"/>
  <c r="AK260" i="55"/>
  <c r="HE260" i="55"/>
  <c r="JQ258" i="55"/>
  <c r="HH258" i="55"/>
  <c r="HF259" i="55"/>
  <c r="HG259" i="55" s="1"/>
  <c r="JR257" i="55"/>
  <c r="IV257" i="55" a="1"/>
  <c r="IV257" i="55" s="1"/>
  <c r="IW257" i="55" s="1"/>
  <c r="IR257" i="55" a="1"/>
  <c r="IR257" i="55" s="1"/>
  <c r="IS257" i="55" s="1"/>
  <c r="IX257" i="55" a="1"/>
  <c r="IX257" i="55" s="1"/>
  <c r="IY257" i="55" s="1"/>
  <c r="IT257" i="55" a="1"/>
  <c r="IT257" i="55" s="1"/>
  <c r="IU257" i="55" s="1"/>
  <c r="IN257" i="55" a="1"/>
  <c r="IN257" i="55" s="1"/>
  <c r="IO257" i="55" s="1"/>
  <c r="IP257" i="55" a="1"/>
  <c r="IP257" i="55" s="1"/>
  <c r="IQ257" i="55" s="1"/>
  <c r="JS256" i="55"/>
  <c r="N256" i="55"/>
  <c r="HO257" i="55"/>
  <c r="IH257" i="55" s="1"/>
  <c r="HP257" i="55"/>
  <c r="IZ257" i="55" s="1"/>
  <c r="JA257" i="55"/>
  <c r="HR257" i="55"/>
  <c r="HK257" i="55"/>
  <c r="AK261" i="55" l="1"/>
  <c r="HE261" i="55"/>
  <c r="JQ259" i="55"/>
  <c r="HH259" i="55"/>
  <c r="HJ258" i="55"/>
  <c r="HI258" i="55"/>
  <c r="IL258" i="55"/>
  <c r="IM258" i="55" s="1"/>
  <c r="HF260" i="55"/>
  <c r="HG260" i="55" s="1"/>
  <c r="HB262" i="55"/>
  <c r="HC262" i="55" s="1"/>
  <c r="HD262" i="55"/>
  <c r="HA263" i="55"/>
  <c r="JS257" i="55"/>
  <c r="N257" i="55"/>
  <c r="AK262" i="55" l="1"/>
  <c r="HE262" i="55"/>
  <c r="JQ260" i="55"/>
  <c r="HH260" i="55"/>
  <c r="JA258" i="55"/>
  <c r="HP258" i="55"/>
  <c r="IZ258" i="55" s="1"/>
  <c r="HR258" i="55"/>
  <c r="HO258" i="55"/>
  <c r="IH258" i="55" s="1"/>
  <c r="HK258" i="55"/>
  <c r="HB263" i="55"/>
  <c r="HC263" i="55" s="1"/>
  <c r="HD263" i="55"/>
  <c r="HA264" i="55"/>
  <c r="IX258" i="55" a="1"/>
  <c r="IX258" i="55" s="1"/>
  <c r="IY258" i="55" s="1"/>
  <c r="IT258" i="55" a="1"/>
  <c r="IT258" i="55" s="1"/>
  <c r="IU258" i="55" s="1"/>
  <c r="IP258" i="55" a="1"/>
  <c r="IP258" i="55" s="1"/>
  <c r="IQ258" i="55" s="1"/>
  <c r="IV258" i="55" a="1"/>
  <c r="IV258" i="55" s="1"/>
  <c r="IW258" i="55" s="1"/>
  <c r="IN258" i="55" a="1"/>
  <c r="IN258" i="55" s="1"/>
  <c r="IO258" i="55" s="1"/>
  <c r="IR258" i="55" a="1"/>
  <c r="IR258" i="55" s="1"/>
  <c r="IS258" i="55" s="1"/>
  <c r="IF258" i="55"/>
  <c r="IG258" i="55" s="1"/>
  <c r="JR258" i="55"/>
  <c r="HJ259" i="55"/>
  <c r="HI259" i="55"/>
  <c r="IL259" i="55"/>
  <c r="IM259" i="55" s="1"/>
  <c r="HF261" i="55"/>
  <c r="HG261" i="55" s="1"/>
  <c r="AK263" i="55" l="1"/>
  <c r="HE263" i="55"/>
  <c r="JQ261" i="55"/>
  <c r="JS258" i="55"/>
  <c r="N258" i="55"/>
  <c r="HB264" i="55"/>
  <c r="HC264" i="55" s="1"/>
  <c r="HD264" i="55"/>
  <c r="HA265" i="55"/>
  <c r="HH261" i="55"/>
  <c r="HI260" i="55"/>
  <c r="HJ260" i="55"/>
  <c r="IL260" i="55"/>
  <c r="IM260" i="55" s="1"/>
  <c r="HF262" i="55"/>
  <c r="HG262" i="55" s="1"/>
  <c r="HH262" i="55"/>
  <c r="IV259" i="55" a="1"/>
  <c r="IV259" i="55" s="1"/>
  <c r="IW259" i="55" s="1"/>
  <c r="IT259" i="55" a="1"/>
  <c r="IT259" i="55" s="1"/>
  <c r="IU259" i="55" s="1"/>
  <c r="IP259" i="55" a="1"/>
  <c r="IP259" i="55" s="1"/>
  <c r="IQ259" i="55" s="1"/>
  <c r="IN259" i="55" a="1"/>
  <c r="IN259" i="55" s="1"/>
  <c r="IO259" i="55" s="1"/>
  <c r="IX259" i="55" a="1"/>
  <c r="IX259" i="55" s="1"/>
  <c r="IY259" i="55" s="1"/>
  <c r="IR259" i="55" a="1"/>
  <c r="IR259" i="55" s="1"/>
  <c r="IS259" i="55" s="1"/>
  <c r="IF259" i="55"/>
  <c r="IG259" i="55" s="1"/>
  <c r="JR259" i="55"/>
  <c r="JA259" i="55"/>
  <c r="HR259" i="55"/>
  <c r="HP259" i="55"/>
  <c r="IZ259" i="55" s="1"/>
  <c r="HO259" i="55"/>
  <c r="IH259" i="55" s="1"/>
  <c r="HK259" i="55"/>
  <c r="IT260" i="55" l="1" a="1"/>
  <c r="IT260" i="55" s="1"/>
  <c r="IU260" i="55" s="1"/>
  <c r="IP260" i="55" a="1"/>
  <c r="IP260" i="55" s="1"/>
  <c r="IQ260" i="55" s="1"/>
  <c r="IN260" i="55" a="1"/>
  <c r="IN260" i="55" s="1"/>
  <c r="IO260" i="55" s="1"/>
  <c r="IX260" i="55" a="1"/>
  <c r="IX260" i="55" s="1"/>
  <c r="IY260" i="55" s="1"/>
  <c r="IR260" i="55" a="1"/>
  <c r="IR260" i="55" s="1"/>
  <c r="IS260" i="55" s="1"/>
  <c r="IV260" i="55" a="1"/>
  <c r="IV260" i="55" s="1"/>
  <c r="IW260" i="55" s="1"/>
  <c r="HB265" i="55"/>
  <c r="HC265" i="55" s="1"/>
  <c r="HD265" i="55"/>
  <c r="HA266" i="55"/>
  <c r="HJ262" i="55"/>
  <c r="HI262" i="55"/>
  <c r="IF262" i="55" s="1"/>
  <c r="IG262" i="55" s="1"/>
  <c r="IL262" i="55"/>
  <c r="IM262" i="55" s="1"/>
  <c r="JR262" i="55"/>
  <c r="JQ262" i="55"/>
  <c r="HK260" i="55"/>
  <c r="JA260" i="55"/>
  <c r="HO260" i="55"/>
  <c r="IH260" i="55" s="1"/>
  <c r="HP260" i="55"/>
  <c r="IZ260" i="55" s="1"/>
  <c r="HR260" i="55"/>
  <c r="JS259" i="55"/>
  <c r="N259" i="55"/>
  <c r="IF260" i="55"/>
  <c r="IG260" i="55" s="1"/>
  <c r="JR260" i="55"/>
  <c r="HI261" i="55"/>
  <c r="HJ261" i="55"/>
  <c r="IL261" i="55"/>
  <c r="IM261" i="55" s="1"/>
  <c r="AK264" i="55"/>
  <c r="HE264" i="55"/>
  <c r="HF263" i="55"/>
  <c r="HG263" i="55" s="1"/>
  <c r="IX262" i="55" l="1" a="1"/>
  <c r="IX262" i="55" s="1"/>
  <c r="IY262" i="55" s="1"/>
  <c r="IN262" i="55" a="1"/>
  <c r="IN262" i="55" s="1"/>
  <c r="IO262" i="55" s="1"/>
  <c r="IP262" i="55" a="1"/>
  <c r="IP262" i="55" s="1"/>
  <c r="IQ262" i="55" s="1"/>
  <c r="IV262" i="55" a="1"/>
  <c r="IV262" i="55" s="1"/>
  <c r="IW262" i="55" s="1"/>
  <c r="IT262" i="55" a="1"/>
  <c r="IT262" i="55" s="1"/>
  <c r="IU262" i="55" s="1"/>
  <c r="IR262" i="55" a="1"/>
  <c r="IR262" i="55" s="1"/>
  <c r="IS262" i="55" s="1"/>
  <c r="HD266" i="55"/>
  <c r="HB266" i="55"/>
  <c r="HC266" i="55" s="1"/>
  <c r="HA267" i="55"/>
  <c r="JQ263" i="55"/>
  <c r="HF264" i="55"/>
  <c r="HG264" i="55" s="1"/>
  <c r="IV261" i="55" a="1"/>
  <c r="IV261" i="55" s="1"/>
  <c r="IW261" i="55" s="1"/>
  <c r="IN261" i="55" a="1"/>
  <c r="IN261" i="55" s="1"/>
  <c r="IO261" i="55" s="1"/>
  <c r="IT261" i="55" a="1"/>
  <c r="IT261" i="55" s="1"/>
  <c r="IU261" i="55" s="1"/>
  <c r="IX261" i="55" a="1"/>
  <c r="IX261" i="55" s="1"/>
  <c r="IY261" i="55" s="1"/>
  <c r="IP261" i="55" a="1"/>
  <c r="IP261" i="55" s="1"/>
  <c r="IQ261" i="55" s="1"/>
  <c r="IR261" i="55" a="1"/>
  <c r="IR261" i="55" s="1"/>
  <c r="IS261" i="55" s="1"/>
  <c r="JA262" i="55"/>
  <c r="HR262" i="55"/>
  <c r="HO262" i="55"/>
  <c r="IH262" i="55" s="1"/>
  <c r="HP262" i="55"/>
  <c r="IZ262" i="55" s="1"/>
  <c r="JA261" i="55"/>
  <c r="HR261" i="55"/>
  <c r="HK261" i="55"/>
  <c r="HK262" i="55" s="1"/>
  <c r="HO261" i="55"/>
  <c r="IH261" i="55" s="1"/>
  <c r="HP261" i="55"/>
  <c r="IZ261" i="55" s="1"/>
  <c r="IF261" i="55"/>
  <c r="IG261" i="55" s="1"/>
  <c r="JR261" i="55"/>
  <c r="HH263" i="55"/>
  <c r="AK265" i="55"/>
  <c r="HE265" i="55"/>
  <c r="JS260" i="55"/>
  <c r="N260" i="55"/>
  <c r="JQ264" i="55" l="1"/>
  <c r="HD267" i="55"/>
  <c r="HB267" i="55"/>
  <c r="HC267" i="55" s="1"/>
  <c r="HA268" i="55"/>
  <c r="HJ263" i="55"/>
  <c r="HI263" i="55"/>
  <c r="IL263" i="55"/>
  <c r="IM263" i="55" s="1"/>
  <c r="JS261" i="55"/>
  <c r="N261" i="55"/>
  <c r="HH264" i="55"/>
  <c r="AK266" i="55"/>
  <c r="HE266" i="55"/>
  <c r="HF265" i="55"/>
  <c r="HG265" i="55" s="1"/>
  <c r="JS262" i="55"/>
  <c r="N262" i="55"/>
  <c r="HF266" i="55" l="1"/>
  <c r="HG266" i="55" s="1"/>
  <c r="IN263" i="55" a="1"/>
  <c r="IN263" i="55" s="1"/>
  <c r="IO263" i="55" s="1"/>
  <c r="IR263" i="55" a="1"/>
  <c r="IR263" i="55" s="1"/>
  <c r="IS263" i="55" s="1"/>
  <c r="IP263" i="55" a="1"/>
  <c r="IP263" i="55" s="1"/>
  <c r="IQ263" i="55" s="1"/>
  <c r="IT263" i="55" a="1"/>
  <c r="IT263" i="55" s="1"/>
  <c r="IU263" i="55" s="1"/>
  <c r="IX263" i="55" a="1"/>
  <c r="IX263" i="55" s="1"/>
  <c r="IY263" i="55" s="1"/>
  <c r="IV263" i="55" a="1"/>
  <c r="IV263" i="55" s="1"/>
  <c r="IW263" i="55" s="1"/>
  <c r="IF263" i="55"/>
  <c r="IG263" i="55" s="1"/>
  <c r="JR263" i="55"/>
  <c r="JA263" i="55"/>
  <c r="HR263" i="55"/>
  <c r="HK263" i="55"/>
  <c r="HO263" i="55"/>
  <c r="IH263" i="55" s="1"/>
  <c r="HP263" i="55"/>
  <c r="IZ263" i="55" s="1"/>
  <c r="AK267" i="55"/>
  <c r="HE267" i="55"/>
  <c r="JQ265" i="55"/>
  <c r="HD268" i="55"/>
  <c r="HB268" i="55"/>
  <c r="HC268" i="55" s="1"/>
  <c r="HA269" i="55"/>
  <c r="HH265" i="55"/>
  <c r="HJ264" i="55"/>
  <c r="HI264" i="55"/>
  <c r="IL264" i="55"/>
  <c r="IM264" i="55" s="1"/>
  <c r="JS263" i="55" l="1"/>
  <c r="N263" i="55"/>
  <c r="HD269" i="55"/>
  <c r="HB269" i="55"/>
  <c r="HC269" i="55" s="1"/>
  <c r="HA270" i="55"/>
  <c r="IF264" i="55"/>
  <c r="IG264" i="55" s="1"/>
  <c r="JR264" i="55"/>
  <c r="IR264" i="55" a="1"/>
  <c r="IR264" i="55" s="1"/>
  <c r="IS264" i="55" s="1"/>
  <c r="IN264" i="55" a="1"/>
  <c r="IN264" i="55" s="1"/>
  <c r="IO264" i="55" s="1"/>
  <c r="IX264" i="55" a="1"/>
  <c r="IX264" i="55" s="1"/>
  <c r="IY264" i="55" s="1"/>
  <c r="IV264" i="55" a="1"/>
  <c r="IV264" i="55" s="1"/>
  <c r="IW264" i="55" s="1"/>
  <c r="IP264" i="55" a="1"/>
  <c r="IP264" i="55" s="1"/>
  <c r="IQ264" i="55" s="1"/>
  <c r="IT264" i="55" a="1"/>
  <c r="IT264" i="55" s="1"/>
  <c r="IU264" i="55" s="1"/>
  <c r="AK268" i="55"/>
  <c r="HE268" i="55"/>
  <c r="JQ266" i="55"/>
  <c r="JA264" i="55"/>
  <c r="HK264" i="55"/>
  <c r="HR264" i="55"/>
  <c r="HP264" i="55"/>
  <c r="IZ264" i="55" s="1"/>
  <c r="HO264" i="55"/>
  <c r="IH264" i="55" s="1"/>
  <c r="HJ265" i="55"/>
  <c r="HI265" i="55"/>
  <c r="IL265" i="55"/>
  <c r="IM265" i="55" s="1"/>
  <c r="HF267" i="55"/>
  <c r="HG267" i="55" s="1"/>
  <c r="HH266" i="55"/>
  <c r="HH267" i="55" l="1"/>
  <c r="HJ267" i="55" s="1"/>
  <c r="HI267" i="55"/>
  <c r="IL267" i="55"/>
  <c r="IM267" i="55" s="1"/>
  <c r="IX265" i="55" a="1"/>
  <c r="IX265" i="55" s="1"/>
  <c r="IY265" i="55" s="1"/>
  <c r="IR265" i="55" a="1"/>
  <c r="IR265" i="55" s="1"/>
  <c r="IS265" i="55" s="1"/>
  <c r="IN265" i="55" a="1"/>
  <c r="IN265" i="55" s="1"/>
  <c r="IO265" i="55" s="1"/>
  <c r="IT265" i="55" a="1"/>
  <c r="IT265" i="55" s="1"/>
  <c r="IU265" i="55" s="1"/>
  <c r="IP265" i="55" a="1"/>
  <c r="IP265" i="55" s="1"/>
  <c r="IQ265" i="55" s="1"/>
  <c r="IV265" i="55" a="1"/>
  <c r="IV265" i="55" s="1"/>
  <c r="IW265" i="55" s="1"/>
  <c r="HF268" i="55"/>
  <c r="HG268" i="55" s="1"/>
  <c r="HH268" i="55" s="1"/>
  <c r="HJ266" i="55"/>
  <c r="HI266" i="55"/>
  <c r="IL266" i="55"/>
  <c r="IM266" i="55" s="1"/>
  <c r="JA265" i="55"/>
  <c r="HP265" i="55"/>
  <c r="IZ265" i="55" s="1"/>
  <c r="HK265" i="55"/>
  <c r="HO265" i="55"/>
  <c r="IH265" i="55" s="1"/>
  <c r="HR265" i="55"/>
  <c r="AK269" i="55"/>
  <c r="HE269" i="55"/>
  <c r="JS264" i="55"/>
  <c r="N264" i="55"/>
  <c r="JR267" i="55"/>
  <c r="JQ267" i="55"/>
  <c r="IF265" i="55"/>
  <c r="IG265" i="55" s="1"/>
  <c r="JR265" i="55"/>
  <c r="HB270" i="55"/>
  <c r="HC270" i="55" s="1"/>
  <c r="HD270" i="55"/>
  <c r="HA271" i="55"/>
  <c r="IV266" i="55" l="1" a="1"/>
  <c r="IV266" i="55" s="1"/>
  <c r="IW266" i="55" s="1"/>
  <c r="IT266" i="55" a="1"/>
  <c r="IT266" i="55" s="1"/>
  <c r="IU266" i="55" s="1"/>
  <c r="IR266" i="55" a="1"/>
  <c r="IR266" i="55" s="1"/>
  <c r="IS266" i="55" s="1"/>
  <c r="IP266" i="55" a="1"/>
  <c r="IP266" i="55" s="1"/>
  <c r="IQ266" i="55" s="1"/>
  <c r="IN266" i="55" a="1"/>
  <c r="IN266" i="55" s="1"/>
  <c r="IO266" i="55" s="1"/>
  <c r="IX266" i="55" a="1"/>
  <c r="IX266" i="55" s="1"/>
  <c r="IY266" i="55" s="1"/>
  <c r="IF266" i="55"/>
  <c r="IG266" i="55" s="1"/>
  <c r="JR266" i="55"/>
  <c r="HB271" i="55"/>
  <c r="HC271" i="55" s="1"/>
  <c r="HD271" i="55"/>
  <c r="HA272" i="55"/>
  <c r="JA266" i="55"/>
  <c r="HR266" i="55"/>
  <c r="HK266" i="55"/>
  <c r="HK267" i="55" s="1"/>
  <c r="HP266" i="55"/>
  <c r="IZ266" i="55" s="1"/>
  <c r="HO266" i="55"/>
  <c r="IH266" i="55" s="1"/>
  <c r="IV267" i="55" a="1"/>
  <c r="IV267" i="55" s="1"/>
  <c r="IW267" i="55" s="1"/>
  <c r="IX267" i="55" a="1"/>
  <c r="IX267" i="55" s="1"/>
  <c r="IY267" i="55" s="1"/>
  <c r="IP267" i="55" a="1"/>
  <c r="IP267" i="55" s="1"/>
  <c r="IQ267" i="55" s="1"/>
  <c r="IN267" i="55" a="1"/>
  <c r="IN267" i="55" s="1"/>
  <c r="IO267" i="55" s="1"/>
  <c r="IR267" i="55" a="1"/>
  <c r="IR267" i="55" s="1"/>
  <c r="IS267" i="55" s="1"/>
  <c r="IT267" i="55" a="1"/>
  <c r="IT267" i="55" s="1"/>
  <c r="IU267" i="55" s="1"/>
  <c r="JS265" i="55"/>
  <c r="N265" i="55"/>
  <c r="IF267" i="55"/>
  <c r="IG267" i="55" s="1"/>
  <c r="AK270" i="55"/>
  <c r="HE270" i="55"/>
  <c r="HI268" i="55"/>
  <c r="HJ268" i="55"/>
  <c r="IL268" i="55"/>
  <c r="IM268" i="55" s="1"/>
  <c r="JQ268" i="55"/>
  <c r="JR268" i="55"/>
  <c r="HF269" i="55"/>
  <c r="HG269" i="55" s="1"/>
  <c r="HH269" i="55" s="1"/>
  <c r="JA267" i="55"/>
  <c r="HR267" i="55"/>
  <c r="HO267" i="55"/>
  <c r="IH267" i="55" s="1"/>
  <c r="HP267" i="55"/>
  <c r="IZ267" i="55" s="1"/>
  <c r="JS266" i="55" l="1"/>
  <c r="N266" i="55"/>
  <c r="IF268" i="55"/>
  <c r="IG268" i="55" s="1"/>
  <c r="HF270" i="55"/>
  <c r="HG270" i="55" s="1"/>
  <c r="JS267" i="55"/>
  <c r="N267" i="55"/>
  <c r="HB272" i="55"/>
  <c r="HC272" i="55" s="1"/>
  <c r="HD272" i="55"/>
  <c r="HA273" i="55"/>
  <c r="HJ269" i="55"/>
  <c r="HI269" i="55"/>
  <c r="IF269" i="55" s="1"/>
  <c r="IG269" i="55" s="1"/>
  <c r="IL269" i="55"/>
  <c r="IM269" i="55" s="1"/>
  <c r="IV268" i="55" a="1"/>
  <c r="IV268" i="55" s="1"/>
  <c r="IW268" i="55" s="1"/>
  <c r="IX268" i="55" a="1"/>
  <c r="IX268" i="55" s="1"/>
  <c r="IY268" i="55" s="1"/>
  <c r="IP268" i="55" a="1"/>
  <c r="IP268" i="55" s="1"/>
  <c r="IQ268" i="55" s="1"/>
  <c r="IT268" i="55" a="1"/>
  <c r="IT268" i="55" s="1"/>
  <c r="IU268" i="55" s="1"/>
  <c r="IN268" i="55" a="1"/>
  <c r="IN268" i="55" s="1"/>
  <c r="IO268" i="55" s="1"/>
  <c r="IR268" i="55" a="1"/>
  <c r="IR268" i="55" s="1"/>
  <c r="IS268" i="55" s="1"/>
  <c r="JA268" i="55"/>
  <c r="HR268" i="55"/>
  <c r="HK268" i="55"/>
  <c r="HP268" i="55"/>
  <c r="IZ268" i="55" s="1"/>
  <c r="HO268" i="55"/>
  <c r="IH268" i="55" s="1"/>
  <c r="AK271" i="55"/>
  <c r="HE271" i="55"/>
  <c r="JQ269" i="55"/>
  <c r="IT269" i="55" l="1" a="1"/>
  <c r="IT269" i="55" s="1"/>
  <c r="IU269" i="55" s="1"/>
  <c r="IV269" i="55" a="1"/>
  <c r="IV269" i="55" s="1"/>
  <c r="IW269" i="55" s="1"/>
  <c r="IX269" i="55" a="1"/>
  <c r="IX269" i="55" s="1"/>
  <c r="IY269" i="55" s="1"/>
  <c r="IN269" i="55" a="1"/>
  <c r="IN269" i="55" s="1"/>
  <c r="IO269" i="55" s="1"/>
  <c r="IP269" i="55" a="1"/>
  <c r="IP269" i="55" s="1"/>
  <c r="IQ269" i="55" s="1"/>
  <c r="IR269" i="55" a="1"/>
  <c r="IR269" i="55" s="1"/>
  <c r="IS269" i="55" s="1"/>
  <c r="JR269" i="55"/>
  <c r="JA269" i="55"/>
  <c r="HR269" i="55"/>
  <c r="HO269" i="55"/>
  <c r="IH269" i="55" s="1"/>
  <c r="HP269" i="55"/>
  <c r="IZ269" i="55" s="1"/>
  <c r="HK269" i="55"/>
  <c r="HF271" i="55"/>
  <c r="HG271" i="55" s="1"/>
  <c r="JS268" i="55"/>
  <c r="N268" i="55"/>
  <c r="JQ270" i="55"/>
  <c r="HH270" i="55"/>
  <c r="HB273" i="55"/>
  <c r="HC273" i="55" s="1"/>
  <c r="HD273" i="55"/>
  <c r="HA274" i="55"/>
  <c r="AK272" i="55"/>
  <c r="HE272" i="55"/>
  <c r="JQ271" i="55" l="1"/>
  <c r="HH271" i="55"/>
  <c r="JS269" i="55"/>
  <c r="N269" i="55"/>
  <c r="HF272" i="55"/>
  <c r="HG272" i="55" s="1"/>
  <c r="HD274" i="55"/>
  <c r="HB274" i="55"/>
  <c r="HC274" i="55" s="1"/>
  <c r="HA275" i="55"/>
  <c r="AK273" i="55"/>
  <c r="HE273" i="55"/>
  <c r="HJ270" i="55"/>
  <c r="HI270" i="55"/>
  <c r="IL270" i="55"/>
  <c r="IM270" i="55" s="1"/>
  <c r="HF273" i="55" l="1"/>
  <c r="HG273" i="55" s="1"/>
  <c r="HD275" i="55"/>
  <c r="HB275" i="55"/>
  <c r="HC275" i="55" s="1"/>
  <c r="HA276" i="55"/>
  <c r="JQ272" i="55"/>
  <c r="HH272" i="55"/>
  <c r="IV270" i="55" a="1"/>
  <c r="IV270" i="55" s="1"/>
  <c r="IW270" i="55" s="1"/>
  <c r="IN270" i="55" a="1"/>
  <c r="IN270" i="55" s="1"/>
  <c r="IO270" i="55" s="1"/>
  <c r="IT270" i="55" a="1"/>
  <c r="IT270" i="55" s="1"/>
  <c r="IU270" i="55" s="1"/>
  <c r="IR270" i="55" a="1"/>
  <c r="IR270" i="55" s="1"/>
  <c r="IS270" i="55" s="1"/>
  <c r="IP270" i="55" a="1"/>
  <c r="IP270" i="55" s="1"/>
  <c r="IQ270" i="55" s="1"/>
  <c r="IX270" i="55" a="1"/>
  <c r="IX270" i="55" s="1"/>
  <c r="IY270" i="55" s="1"/>
  <c r="IF270" i="55"/>
  <c r="IG270" i="55" s="1"/>
  <c r="JR270" i="55"/>
  <c r="JA270" i="55"/>
  <c r="HP270" i="55"/>
  <c r="IZ270" i="55" s="1"/>
  <c r="HO270" i="55"/>
  <c r="IH270" i="55" s="1"/>
  <c r="HK270" i="55"/>
  <c r="HR270" i="55"/>
  <c r="AK274" i="55"/>
  <c r="HE274" i="55"/>
  <c r="HI271" i="55"/>
  <c r="HJ271" i="55"/>
  <c r="IL271" i="55"/>
  <c r="IM271" i="55" s="1"/>
  <c r="IN271" i="55" l="1" a="1"/>
  <c r="IN271" i="55" s="1"/>
  <c r="IO271" i="55" s="1"/>
  <c r="IT271" i="55" a="1"/>
  <c r="IT271" i="55" s="1"/>
  <c r="IU271" i="55" s="1"/>
  <c r="IR271" i="55" a="1"/>
  <c r="IR271" i="55" s="1"/>
  <c r="IS271" i="55" s="1"/>
  <c r="IP271" i="55" a="1"/>
  <c r="IP271" i="55" s="1"/>
  <c r="IQ271" i="55" s="1"/>
  <c r="IV271" i="55" a="1"/>
  <c r="IV271" i="55" s="1"/>
  <c r="IW271" i="55" s="1"/>
  <c r="IX271" i="55" a="1"/>
  <c r="IX271" i="55" s="1"/>
  <c r="IY271" i="55" s="1"/>
  <c r="HI272" i="55"/>
  <c r="HJ272" i="55"/>
  <c r="IL272" i="55"/>
  <c r="IM272" i="55" s="1"/>
  <c r="JS270" i="55"/>
  <c r="N270" i="55"/>
  <c r="AK275" i="55"/>
  <c r="HE275" i="55"/>
  <c r="HD276" i="55"/>
  <c r="HB276" i="55"/>
  <c r="HC276" i="55" s="1"/>
  <c r="HA277" i="55"/>
  <c r="JQ273" i="55"/>
  <c r="JA271" i="55"/>
  <c r="HP271" i="55"/>
  <c r="IZ271" i="55" s="1"/>
  <c r="HO271" i="55"/>
  <c r="IH271" i="55" s="1"/>
  <c r="HR271" i="55"/>
  <c r="HK271" i="55"/>
  <c r="IF271" i="55"/>
  <c r="IG271" i="55" s="1"/>
  <c r="JR271" i="55"/>
  <c r="HF274" i="55"/>
  <c r="HG274" i="55" s="1"/>
  <c r="HH273" i="55"/>
  <c r="IF272" i="55" l="1"/>
  <c r="IG272" i="55" s="1"/>
  <c r="JR272" i="55"/>
  <c r="JS271" i="55"/>
  <c r="N271" i="55"/>
  <c r="AK276" i="55"/>
  <c r="HE276" i="55"/>
  <c r="HF275" i="55"/>
  <c r="HG275" i="55" s="1"/>
  <c r="IX272" i="55" a="1"/>
  <c r="IX272" i="55" s="1"/>
  <c r="IY272" i="55" s="1"/>
  <c r="IR272" i="55" a="1"/>
  <c r="IR272" i="55" s="1"/>
  <c r="IS272" i="55" s="1"/>
  <c r="IP272" i="55" a="1"/>
  <c r="IP272" i="55" s="1"/>
  <c r="IQ272" i="55" s="1"/>
  <c r="IN272" i="55" a="1"/>
  <c r="IN272" i="55" s="1"/>
  <c r="IO272" i="55" s="1"/>
  <c r="IV272" i="55" a="1"/>
  <c r="IV272" i="55" s="1"/>
  <c r="IW272" i="55" s="1"/>
  <c r="IT272" i="55" a="1"/>
  <c r="IT272" i="55" s="1"/>
  <c r="IU272" i="55" s="1"/>
  <c r="JA272" i="55"/>
  <c r="HO272" i="55"/>
  <c r="IH272" i="55" s="1"/>
  <c r="HR272" i="55"/>
  <c r="HK272" i="55"/>
  <c r="HP272" i="55"/>
  <c r="IZ272" i="55" s="1"/>
  <c r="HD277" i="55"/>
  <c r="HB277" i="55"/>
  <c r="HC277" i="55" s="1"/>
  <c r="HA278" i="55"/>
  <c r="HI273" i="55"/>
  <c r="HJ273" i="55"/>
  <c r="IL273" i="55"/>
  <c r="IM273" i="55" s="1"/>
  <c r="JQ274" i="55"/>
  <c r="HH274" i="55"/>
  <c r="HH275" i="55" l="1"/>
  <c r="HI275" i="55" s="1"/>
  <c r="JR275" i="55" s="1"/>
  <c r="HJ275" i="55"/>
  <c r="IL275" i="55"/>
  <c r="IM275" i="55" s="1"/>
  <c r="HI274" i="55"/>
  <c r="HJ274" i="55"/>
  <c r="IL274" i="55"/>
  <c r="IM274" i="55" s="1"/>
  <c r="IF273" i="55"/>
  <c r="IG273" i="55" s="1"/>
  <c r="JR273" i="55"/>
  <c r="HF276" i="55"/>
  <c r="HG276" i="55" s="1"/>
  <c r="HD278" i="55"/>
  <c r="HB278" i="55"/>
  <c r="HC278" i="55" s="1"/>
  <c r="HA279" i="55"/>
  <c r="JS272" i="55"/>
  <c r="N272" i="55"/>
  <c r="JA273" i="55"/>
  <c r="HO273" i="55"/>
  <c r="IH273" i="55" s="1"/>
  <c r="HP273" i="55"/>
  <c r="IZ273" i="55" s="1"/>
  <c r="HR273" i="55"/>
  <c r="HK273" i="55"/>
  <c r="AK277" i="55"/>
  <c r="HE277" i="55"/>
  <c r="IR273" i="55" a="1"/>
  <c r="IR273" i="55" s="1"/>
  <c r="IS273" i="55" s="1"/>
  <c r="IX273" i="55" a="1"/>
  <c r="IX273" i="55" s="1"/>
  <c r="IY273" i="55" s="1"/>
  <c r="IP273" i="55" a="1"/>
  <c r="IP273" i="55" s="1"/>
  <c r="IQ273" i="55" s="1"/>
  <c r="IV273" i="55" a="1"/>
  <c r="IV273" i="55" s="1"/>
  <c r="IW273" i="55" s="1"/>
  <c r="IT273" i="55" a="1"/>
  <c r="IT273" i="55" s="1"/>
  <c r="IU273" i="55" s="1"/>
  <c r="IN273" i="55" a="1"/>
  <c r="IN273" i="55" s="1"/>
  <c r="IO273" i="55" s="1"/>
  <c r="JQ275" i="55"/>
  <c r="HD279" i="55" l="1"/>
  <c r="HB279" i="55"/>
  <c r="HC279" i="55" s="1"/>
  <c r="HA280" i="55"/>
  <c r="JQ276" i="55"/>
  <c r="HF277" i="55"/>
  <c r="HG277" i="55" s="1"/>
  <c r="AK278" i="55"/>
  <c r="HE278" i="55"/>
  <c r="HH276" i="55"/>
  <c r="IX274" i="55" a="1"/>
  <c r="IX274" i="55" s="1"/>
  <c r="IY274" i="55" s="1"/>
  <c r="IT274" i="55" a="1"/>
  <c r="IT274" i="55" s="1"/>
  <c r="IU274" i="55" s="1"/>
  <c r="IP274" i="55" a="1"/>
  <c r="IP274" i="55" s="1"/>
  <c r="IQ274" i="55" s="1"/>
  <c r="IR274" i="55" a="1"/>
  <c r="IR274" i="55" s="1"/>
  <c r="IS274" i="55" s="1"/>
  <c r="IN274" i="55" a="1"/>
  <c r="IN274" i="55" s="1"/>
  <c r="IO274" i="55" s="1"/>
  <c r="IV274" i="55" a="1"/>
  <c r="IV274" i="55" s="1"/>
  <c r="IW274" i="55" s="1"/>
  <c r="JA274" i="55"/>
  <c r="HP274" i="55"/>
  <c r="IZ274" i="55" s="1"/>
  <c r="HR274" i="55"/>
  <c r="HK274" i="55"/>
  <c r="HO274" i="55"/>
  <c r="IH274" i="55" s="1"/>
  <c r="IF274" i="55"/>
  <c r="IG274" i="55" s="1"/>
  <c r="JR274" i="55"/>
  <c r="IT275" i="55" a="1"/>
  <c r="IT275" i="55" s="1"/>
  <c r="IU275" i="55" s="1"/>
  <c r="IP275" i="55" a="1"/>
  <c r="IP275" i="55" s="1"/>
  <c r="IQ275" i="55" s="1"/>
  <c r="IV275" i="55" a="1"/>
  <c r="IV275" i="55" s="1"/>
  <c r="IW275" i="55" s="1"/>
  <c r="IR275" i="55" a="1"/>
  <c r="IR275" i="55" s="1"/>
  <c r="IS275" i="55" s="1"/>
  <c r="IX275" i="55" a="1"/>
  <c r="IX275" i="55" s="1"/>
  <c r="IY275" i="55" s="1"/>
  <c r="IN275" i="55" a="1"/>
  <c r="IN275" i="55" s="1"/>
  <c r="IO275" i="55" s="1"/>
  <c r="JA275" i="55"/>
  <c r="HK275" i="55"/>
  <c r="HR275" i="55"/>
  <c r="HP275" i="55"/>
  <c r="IZ275" i="55" s="1"/>
  <c r="HO275" i="55"/>
  <c r="JS273" i="55"/>
  <c r="N273" i="55"/>
  <c r="IF275" i="55"/>
  <c r="IG275" i="55" s="1"/>
  <c r="JS274" i="55" l="1"/>
  <c r="N274" i="55"/>
  <c r="HI276" i="55"/>
  <c r="HJ276" i="55"/>
  <c r="IL276" i="55"/>
  <c r="IM276" i="55" s="1"/>
  <c r="HF278" i="55"/>
  <c r="HG278" i="55" s="1"/>
  <c r="JQ277" i="55"/>
  <c r="HH277" i="55"/>
  <c r="HD280" i="55"/>
  <c r="HB280" i="55"/>
  <c r="HC280" i="55" s="1"/>
  <c r="HA281" i="55"/>
  <c r="AK279" i="55"/>
  <c r="HE279" i="55"/>
  <c r="IH275" i="55"/>
  <c r="HD281" i="55" l="1"/>
  <c r="HB281" i="55"/>
  <c r="HC281" i="55" s="1"/>
  <c r="HA282" i="55"/>
  <c r="HI277" i="55"/>
  <c r="HJ277" i="55"/>
  <c r="IL277" i="55"/>
  <c r="IM277" i="55" s="1"/>
  <c r="JQ278" i="55"/>
  <c r="IF276" i="55"/>
  <c r="IG276" i="55" s="1"/>
  <c r="JR276" i="55"/>
  <c r="JS275" i="55"/>
  <c r="N275" i="55"/>
  <c r="HF279" i="55"/>
  <c r="HG279" i="55" s="1"/>
  <c r="AK280" i="55"/>
  <c r="HE280" i="55"/>
  <c r="HH278" i="55"/>
  <c r="IT276" i="55" a="1"/>
  <c r="IT276" i="55" s="1"/>
  <c r="IU276" i="55" s="1"/>
  <c r="IP276" i="55" a="1"/>
  <c r="IP276" i="55" s="1"/>
  <c r="IQ276" i="55" s="1"/>
  <c r="IV276" i="55" a="1"/>
  <c r="IV276" i="55" s="1"/>
  <c r="IW276" i="55" s="1"/>
  <c r="IR276" i="55" a="1"/>
  <c r="IR276" i="55" s="1"/>
  <c r="IS276" i="55" s="1"/>
  <c r="IN276" i="55" a="1"/>
  <c r="IN276" i="55" s="1"/>
  <c r="IO276" i="55" s="1"/>
  <c r="IX276" i="55" a="1"/>
  <c r="IX276" i="55" s="1"/>
  <c r="IY276" i="55" s="1"/>
  <c r="JA276" i="55"/>
  <c r="HP276" i="55"/>
  <c r="IZ276" i="55" s="1"/>
  <c r="HO276" i="55"/>
  <c r="IH276" i="55" s="1"/>
  <c r="HR276" i="55"/>
  <c r="HK276" i="55"/>
  <c r="HF280" i="55" l="1"/>
  <c r="HG280" i="55" s="1"/>
  <c r="IF277" i="55"/>
  <c r="IG277" i="55" s="1"/>
  <c r="JR277" i="55"/>
  <c r="HD282" i="55"/>
  <c r="HB282" i="55"/>
  <c r="HC282" i="55" s="1"/>
  <c r="HA283" i="55"/>
  <c r="JS276" i="55"/>
  <c r="N276" i="55"/>
  <c r="IV277" i="55" a="1"/>
  <c r="IV277" i="55" s="1"/>
  <c r="IW277" i="55" s="1"/>
  <c r="IP277" i="55" a="1"/>
  <c r="IP277" i="55" s="1"/>
  <c r="IQ277" i="55" s="1"/>
  <c r="IT277" i="55" a="1"/>
  <c r="IT277" i="55" s="1"/>
  <c r="IU277" i="55" s="1"/>
  <c r="IX277" i="55" a="1"/>
  <c r="IX277" i="55" s="1"/>
  <c r="IY277" i="55" s="1"/>
  <c r="IR277" i="55" a="1"/>
  <c r="IR277" i="55" s="1"/>
  <c r="IS277" i="55" s="1"/>
  <c r="IN277" i="55" a="1"/>
  <c r="IN277" i="55" s="1"/>
  <c r="IO277" i="55" s="1"/>
  <c r="JA277" i="55"/>
  <c r="HP277" i="55"/>
  <c r="IZ277" i="55" s="1"/>
  <c r="HO277" i="55"/>
  <c r="IH277" i="55" s="1"/>
  <c r="HK277" i="55"/>
  <c r="HR277" i="55"/>
  <c r="JQ279" i="55"/>
  <c r="HH279" i="55"/>
  <c r="HI278" i="55"/>
  <c r="HJ278" i="55"/>
  <c r="IL278" i="55"/>
  <c r="IM278" i="55" s="1"/>
  <c r="AK281" i="55"/>
  <c r="HE281" i="55"/>
  <c r="IX278" i="55" l="1" a="1"/>
  <c r="IX278" i="55" s="1"/>
  <c r="IY278" i="55" s="1"/>
  <c r="IV278" i="55" a="1"/>
  <c r="IV278" i="55" s="1"/>
  <c r="IW278" i="55" s="1"/>
  <c r="IT278" i="55" a="1"/>
  <c r="IT278" i="55" s="1"/>
  <c r="IU278" i="55" s="1"/>
  <c r="IN278" i="55" a="1"/>
  <c r="IN278" i="55" s="1"/>
  <c r="IO278" i="55" s="1"/>
  <c r="IP278" i="55" a="1"/>
  <c r="IP278" i="55" s="1"/>
  <c r="IQ278" i="55" s="1"/>
  <c r="IR278" i="55" a="1"/>
  <c r="IR278" i="55" s="1"/>
  <c r="IS278" i="55" s="1"/>
  <c r="IF278" i="55"/>
  <c r="IG278" i="55" s="1"/>
  <c r="JR278" i="55"/>
  <c r="HI279" i="55"/>
  <c r="HJ279" i="55"/>
  <c r="IL279" i="55"/>
  <c r="IM279" i="55" s="1"/>
  <c r="AK282" i="55"/>
  <c r="HE282" i="55"/>
  <c r="HF281" i="55"/>
  <c r="HG281" i="55" s="1"/>
  <c r="JA278" i="55"/>
  <c r="HP278" i="55"/>
  <c r="IZ278" i="55" s="1"/>
  <c r="HO278" i="55"/>
  <c r="IH278" i="55" s="1"/>
  <c r="HK278" i="55"/>
  <c r="HR278" i="55"/>
  <c r="HD283" i="55"/>
  <c r="HB283" i="55"/>
  <c r="HC283" i="55" s="1"/>
  <c r="HA284" i="55"/>
  <c r="HH280" i="55"/>
  <c r="JS277" i="55"/>
  <c r="N277" i="55"/>
  <c r="JQ280" i="55"/>
  <c r="JQ281" i="55" l="1"/>
  <c r="HF282" i="55"/>
  <c r="HG282" i="55" s="1"/>
  <c r="HJ280" i="55"/>
  <c r="HI280" i="55"/>
  <c r="IL280" i="55"/>
  <c r="IM280" i="55" s="1"/>
  <c r="AK283" i="55"/>
  <c r="HE283" i="55"/>
  <c r="HH281" i="55"/>
  <c r="HD284" i="55"/>
  <c r="HB284" i="55"/>
  <c r="HC284" i="55" s="1"/>
  <c r="HA285" i="55"/>
  <c r="IV279" i="55" a="1"/>
  <c r="IV279" i="55" s="1"/>
  <c r="IW279" i="55" s="1"/>
  <c r="IX279" i="55" a="1"/>
  <c r="IX279" i="55" s="1"/>
  <c r="IY279" i="55" s="1"/>
  <c r="IT279" i="55" a="1"/>
  <c r="IT279" i="55" s="1"/>
  <c r="IU279" i="55" s="1"/>
  <c r="IN279" i="55" a="1"/>
  <c r="IN279" i="55" s="1"/>
  <c r="IO279" i="55" s="1"/>
  <c r="IR279" i="55" a="1"/>
  <c r="IR279" i="55" s="1"/>
  <c r="IS279" i="55" s="1"/>
  <c r="IP279" i="55" a="1"/>
  <c r="IP279" i="55" s="1"/>
  <c r="IQ279" i="55" s="1"/>
  <c r="JA279" i="55"/>
  <c r="HR279" i="55"/>
  <c r="HK279" i="55"/>
  <c r="HO279" i="55"/>
  <c r="IH279" i="55" s="1"/>
  <c r="HP279" i="55"/>
  <c r="IZ279" i="55" s="1"/>
  <c r="IF279" i="55"/>
  <c r="IG279" i="55" s="1"/>
  <c r="JR279" i="55"/>
  <c r="JS278" i="55"/>
  <c r="N278" i="55"/>
  <c r="HH282" i="55" l="1"/>
  <c r="HI282" i="55" s="1"/>
  <c r="HJ282" i="55"/>
  <c r="IL282" i="55"/>
  <c r="IM282" i="55" s="1"/>
  <c r="IX280" i="55" a="1"/>
  <c r="IX280" i="55" s="1"/>
  <c r="IY280" i="55" s="1"/>
  <c r="IV280" i="55" a="1"/>
  <c r="IV280" i="55" s="1"/>
  <c r="IW280" i="55" s="1"/>
  <c r="IR280" i="55" a="1"/>
  <c r="IR280" i="55" s="1"/>
  <c r="IS280" i="55" s="1"/>
  <c r="IT280" i="55" a="1"/>
  <c r="IT280" i="55" s="1"/>
  <c r="IU280" i="55" s="1"/>
  <c r="IP280" i="55" a="1"/>
  <c r="IP280" i="55" s="1"/>
  <c r="IQ280" i="55" s="1"/>
  <c r="IN280" i="55" a="1"/>
  <c r="IN280" i="55" s="1"/>
  <c r="IO280" i="55" s="1"/>
  <c r="JS279" i="55"/>
  <c r="N279" i="55"/>
  <c r="AK284" i="55"/>
  <c r="HE284" i="55"/>
  <c r="HF283" i="55"/>
  <c r="HG283" i="55" s="1"/>
  <c r="HD285" i="55"/>
  <c r="HB285" i="55"/>
  <c r="HC285" i="55" s="1"/>
  <c r="HA286" i="55"/>
  <c r="HJ281" i="55"/>
  <c r="HI281" i="55"/>
  <c r="IL281" i="55"/>
  <c r="IM281" i="55" s="1"/>
  <c r="IF280" i="55"/>
  <c r="IG280" i="55" s="1"/>
  <c r="JR280" i="55"/>
  <c r="HK280" i="55"/>
  <c r="JA280" i="55"/>
  <c r="HO280" i="55"/>
  <c r="IH280" i="55" s="1"/>
  <c r="HR280" i="55"/>
  <c r="HP280" i="55"/>
  <c r="IZ280" i="55" s="1"/>
  <c r="JQ282" i="55"/>
  <c r="IF282" i="55" l="1"/>
  <c r="IG282" i="55" s="1"/>
  <c r="JR282" i="55"/>
  <c r="JS280" i="55"/>
  <c r="N280" i="55"/>
  <c r="JQ283" i="55"/>
  <c r="IF281" i="55"/>
  <c r="IG281" i="55" s="1"/>
  <c r="JR281" i="55"/>
  <c r="JA281" i="55"/>
  <c r="HR281" i="55"/>
  <c r="HP281" i="55"/>
  <c r="IZ281" i="55" s="1"/>
  <c r="HK281" i="55"/>
  <c r="HK282" i="55" s="1"/>
  <c r="HO281" i="55"/>
  <c r="IH281" i="55" s="1"/>
  <c r="HH283" i="55"/>
  <c r="IX282" i="55" a="1"/>
  <c r="IX282" i="55" s="1"/>
  <c r="IY282" i="55" s="1"/>
  <c r="IP282" i="55" a="1"/>
  <c r="IP282" i="55" s="1"/>
  <c r="IQ282" i="55" s="1"/>
  <c r="IT282" i="55" a="1"/>
  <c r="IT282" i="55" s="1"/>
  <c r="IU282" i="55" s="1"/>
  <c r="IN282" i="55" a="1"/>
  <c r="IN282" i="55" s="1"/>
  <c r="IO282" i="55" s="1"/>
  <c r="IV282" i="55" a="1"/>
  <c r="IV282" i="55" s="1"/>
  <c r="IW282" i="55" s="1"/>
  <c r="IR282" i="55" a="1"/>
  <c r="IR282" i="55" s="1"/>
  <c r="IS282" i="55" s="1"/>
  <c r="AK285" i="55"/>
  <c r="HE285" i="55"/>
  <c r="HF284" i="55"/>
  <c r="HG284" i="55" s="1"/>
  <c r="IX281" i="55" a="1"/>
  <c r="IX281" i="55" s="1"/>
  <c r="IY281" i="55" s="1"/>
  <c r="IV281" i="55" a="1"/>
  <c r="IV281" i="55" s="1"/>
  <c r="IW281" i="55" s="1"/>
  <c r="IR281" i="55" a="1"/>
  <c r="IR281" i="55" s="1"/>
  <c r="IS281" i="55" s="1"/>
  <c r="IN281" i="55" a="1"/>
  <c r="IN281" i="55" s="1"/>
  <c r="IO281" i="55" s="1"/>
  <c r="IT281" i="55" a="1"/>
  <c r="IT281" i="55" s="1"/>
  <c r="IU281" i="55" s="1"/>
  <c r="IP281" i="55" a="1"/>
  <c r="IP281" i="55" s="1"/>
  <c r="IQ281" i="55" s="1"/>
  <c r="HB286" i="55"/>
  <c r="HC286" i="55" s="1"/>
  <c r="HD286" i="55"/>
  <c r="HA287" i="55"/>
  <c r="JA282" i="55"/>
  <c r="HR282" i="55"/>
  <c r="HO282" i="55"/>
  <c r="IH282" i="55" s="1"/>
  <c r="HP282" i="55"/>
  <c r="IZ282" i="55" s="1"/>
  <c r="AK286" i="55" l="1"/>
  <c r="HE286" i="55"/>
  <c r="HF285" i="55"/>
  <c r="HG285" i="55" s="1"/>
  <c r="JS282" i="55"/>
  <c r="N282" i="55"/>
  <c r="JS281" i="55"/>
  <c r="N281" i="55"/>
  <c r="HB287" i="55"/>
  <c r="HC287" i="55" s="1"/>
  <c r="HD287" i="55"/>
  <c r="HA288" i="55"/>
  <c r="HJ283" i="55"/>
  <c r="HI283" i="55"/>
  <c r="JQ284" i="55"/>
  <c r="HH284" i="55"/>
  <c r="HB288" i="55" l="1"/>
  <c r="HC288" i="55" s="1"/>
  <c r="HD288" i="55"/>
  <c r="HA289" i="55"/>
  <c r="AK287" i="55"/>
  <c r="HE287" i="55"/>
  <c r="JQ285" i="55"/>
  <c r="JA283" i="55"/>
  <c r="HR283" i="55"/>
  <c r="HO283" i="55"/>
  <c r="IH283" i="55" s="1"/>
  <c r="HP283" i="55"/>
  <c r="IZ283" i="55" s="1"/>
  <c r="HK283" i="55"/>
  <c r="HF286" i="55"/>
  <c r="HG286" i="55" s="1"/>
  <c r="HI284" i="55"/>
  <c r="HJ284" i="55"/>
  <c r="IL284" i="55"/>
  <c r="IM284" i="55" s="1"/>
  <c r="IF283" i="55"/>
  <c r="IG283" i="55" s="1"/>
  <c r="JR283" i="55"/>
  <c r="HH285" i="55"/>
  <c r="JS283" i="55" l="1"/>
  <c r="N283" i="55"/>
  <c r="JA284" i="55"/>
  <c r="HR284" i="55"/>
  <c r="HK284" i="55"/>
  <c r="HO284" i="55"/>
  <c r="IH284" i="55" s="1"/>
  <c r="HP284" i="55"/>
  <c r="IZ284" i="55" s="1"/>
  <c r="IF284" i="55"/>
  <c r="IG284" i="55" s="1"/>
  <c r="JR284" i="55"/>
  <c r="HF287" i="55"/>
  <c r="HG287" i="55" s="1"/>
  <c r="HB289" i="55"/>
  <c r="HC289" i="55" s="1"/>
  <c r="HD289" i="55"/>
  <c r="HA290" i="55"/>
  <c r="IP284" i="55" a="1"/>
  <c r="IP284" i="55" s="1"/>
  <c r="IQ284" i="55" s="1"/>
  <c r="IT284" i="55" a="1"/>
  <c r="IT284" i="55" s="1"/>
  <c r="IU284" i="55" s="1"/>
  <c r="IX284" i="55" a="1"/>
  <c r="IX284" i="55" s="1"/>
  <c r="IY284" i="55" s="1"/>
  <c r="IN284" i="55" a="1"/>
  <c r="IN284" i="55" s="1"/>
  <c r="IO284" i="55" s="1"/>
  <c r="IR284" i="55" a="1"/>
  <c r="IR284" i="55" s="1"/>
  <c r="IS284" i="55" s="1"/>
  <c r="IV284" i="55" a="1"/>
  <c r="IV284" i="55" s="1"/>
  <c r="IW284" i="55" s="1"/>
  <c r="JQ286" i="55"/>
  <c r="HH286" i="55"/>
  <c r="HJ285" i="55"/>
  <c r="HI285" i="55"/>
  <c r="IL285" i="55"/>
  <c r="IM285" i="55" s="1"/>
  <c r="AK288" i="55"/>
  <c r="HE288" i="55"/>
  <c r="HB290" i="55" l="1"/>
  <c r="HC290" i="55" s="1"/>
  <c r="HD290" i="55"/>
  <c r="HA291" i="55"/>
  <c r="HF288" i="55"/>
  <c r="HG288" i="55" s="1"/>
  <c r="JQ287" i="55"/>
  <c r="IR285" i="55" a="1"/>
  <c r="IR285" i="55" s="1"/>
  <c r="IS285" i="55" s="1"/>
  <c r="IP285" i="55" a="1"/>
  <c r="IP285" i="55" s="1"/>
  <c r="IQ285" i="55" s="1"/>
  <c r="IX285" i="55" a="1"/>
  <c r="IX285" i="55" s="1"/>
  <c r="IY285" i="55" s="1"/>
  <c r="IV285" i="55" a="1"/>
  <c r="IV285" i="55" s="1"/>
  <c r="IW285" i="55" s="1"/>
  <c r="IT285" i="55" a="1"/>
  <c r="IT285" i="55" s="1"/>
  <c r="IU285" i="55" s="1"/>
  <c r="IN285" i="55" a="1"/>
  <c r="IN285" i="55" s="1"/>
  <c r="IO285" i="55" s="1"/>
  <c r="IF285" i="55"/>
  <c r="IG285" i="55" s="1"/>
  <c r="JR285" i="55"/>
  <c r="JA285" i="55"/>
  <c r="HR285" i="55"/>
  <c r="HO285" i="55"/>
  <c r="IH285" i="55" s="1"/>
  <c r="HK285" i="55"/>
  <c r="HP285" i="55"/>
  <c r="IZ285" i="55" s="1"/>
  <c r="JS284" i="55"/>
  <c r="N284" i="55"/>
  <c r="AK289" i="55"/>
  <c r="HE289" i="55"/>
  <c r="HH287" i="55"/>
  <c r="HJ286" i="55"/>
  <c r="HI286" i="55"/>
  <c r="IL286" i="55"/>
  <c r="IM286" i="55" s="1"/>
  <c r="IV286" i="55" l="1" a="1"/>
  <c r="IV286" i="55" s="1"/>
  <c r="IW286" i="55" s="1"/>
  <c r="IN286" i="55" a="1"/>
  <c r="IN286" i="55" s="1"/>
  <c r="IO286" i="55" s="1"/>
  <c r="IR286" i="55" a="1"/>
  <c r="IR286" i="55" s="1"/>
  <c r="IS286" i="55" s="1"/>
  <c r="IX286" i="55" a="1"/>
  <c r="IX286" i="55" s="1"/>
  <c r="IY286" i="55" s="1"/>
  <c r="IP286" i="55" a="1"/>
  <c r="IP286" i="55" s="1"/>
  <c r="IQ286" i="55" s="1"/>
  <c r="IT286" i="55" a="1"/>
  <c r="IT286" i="55" s="1"/>
  <c r="IU286" i="55" s="1"/>
  <c r="JA286" i="55"/>
  <c r="HP286" i="55"/>
  <c r="IZ286" i="55" s="1"/>
  <c r="HR286" i="55"/>
  <c r="HO286" i="55"/>
  <c r="IH286" i="55" s="1"/>
  <c r="HK286" i="55"/>
  <c r="HJ287" i="55"/>
  <c r="HI287" i="55"/>
  <c r="IL287" i="55"/>
  <c r="IM287" i="55" s="1"/>
  <c r="HF289" i="55"/>
  <c r="HG289" i="55" s="1"/>
  <c r="JS285" i="55"/>
  <c r="N285" i="55"/>
  <c r="AK290" i="55"/>
  <c r="HE290" i="55"/>
  <c r="IF286" i="55"/>
  <c r="IG286" i="55" s="1"/>
  <c r="JR286" i="55"/>
  <c r="HH288" i="55"/>
  <c r="JQ288" i="55"/>
  <c r="HB291" i="55"/>
  <c r="HC291" i="55" s="1"/>
  <c r="HD291" i="55"/>
  <c r="HA292" i="55"/>
  <c r="HB292" i="55" l="1"/>
  <c r="HC292" i="55" s="1"/>
  <c r="HD292" i="55"/>
  <c r="HA293" i="55"/>
  <c r="JA287" i="55"/>
  <c r="HP287" i="55"/>
  <c r="IZ287" i="55" s="1"/>
  <c r="HO287" i="55"/>
  <c r="IH287" i="55" s="1"/>
  <c r="HR287" i="55"/>
  <c r="HK287" i="55"/>
  <c r="JS286" i="55"/>
  <c r="N286" i="55"/>
  <c r="HI288" i="55"/>
  <c r="HJ288" i="55"/>
  <c r="IL288" i="55"/>
  <c r="IM288" i="55" s="1"/>
  <c r="HF290" i="55"/>
  <c r="HG290" i="55" s="1"/>
  <c r="IV287" i="55" a="1"/>
  <c r="IV287" i="55" s="1"/>
  <c r="IW287" i="55" s="1"/>
  <c r="IN287" i="55" a="1"/>
  <c r="IN287" i="55" s="1"/>
  <c r="IO287" i="55" s="1"/>
  <c r="IR287" i="55" a="1"/>
  <c r="IR287" i="55" s="1"/>
  <c r="IS287" i="55" s="1"/>
  <c r="IP287" i="55" a="1"/>
  <c r="IP287" i="55" s="1"/>
  <c r="IQ287" i="55" s="1"/>
  <c r="IX287" i="55" a="1"/>
  <c r="IX287" i="55" s="1"/>
  <c r="IY287" i="55" s="1"/>
  <c r="IT287" i="55" a="1"/>
  <c r="IT287" i="55" s="1"/>
  <c r="IU287" i="55" s="1"/>
  <c r="JQ289" i="55"/>
  <c r="HH289" i="55"/>
  <c r="IF287" i="55"/>
  <c r="IG287" i="55" s="1"/>
  <c r="JR287" i="55"/>
  <c r="AK291" i="55"/>
  <c r="HE291" i="55"/>
  <c r="JS287" i="55" l="1"/>
  <c r="N287" i="55"/>
  <c r="JQ290" i="55"/>
  <c r="HF291" i="55"/>
  <c r="HG291" i="55" s="1"/>
  <c r="HJ289" i="55"/>
  <c r="HI289" i="55"/>
  <c r="IL289" i="55"/>
  <c r="IM289" i="55" s="1"/>
  <c r="HB293" i="55"/>
  <c r="HC293" i="55" s="1"/>
  <c r="HD293" i="55"/>
  <c r="HA294" i="55"/>
  <c r="IV288" i="55" a="1"/>
  <c r="IV288" i="55" s="1"/>
  <c r="IW288" i="55" s="1"/>
  <c r="IT288" i="55" a="1"/>
  <c r="IT288" i="55" s="1"/>
  <c r="IU288" i="55" s="1"/>
  <c r="IR288" i="55" a="1"/>
  <c r="IR288" i="55" s="1"/>
  <c r="IS288" i="55" s="1"/>
  <c r="IX288" i="55" a="1"/>
  <c r="IX288" i="55" s="1"/>
  <c r="IY288" i="55" s="1"/>
  <c r="IP288" i="55" a="1"/>
  <c r="IP288" i="55" s="1"/>
  <c r="IQ288" i="55" s="1"/>
  <c r="IN288" i="55" a="1"/>
  <c r="IN288" i="55" s="1"/>
  <c r="IO288" i="55" s="1"/>
  <c r="JA288" i="55"/>
  <c r="HO288" i="55"/>
  <c r="IH288" i="55" s="1"/>
  <c r="HR288" i="55"/>
  <c r="HP288" i="55"/>
  <c r="IZ288" i="55" s="1"/>
  <c r="HK288" i="55"/>
  <c r="IF288" i="55"/>
  <c r="IG288" i="55" s="1"/>
  <c r="JR288" i="55"/>
  <c r="AK292" i="55"/>
  <c r="HE292" i="55"/>
  <c r="HH290" i="55"/>
  <c r="HJ290" i="55" l="1"/>
  <c r="HI290" i="55"/>
  <c r="IL290" i="55"/>
  <c r="IM290" i="55" s="1"/>
  <c r="AK293" i="55"/>
  <c r="HE293" i="55"/>
  <c r="JS288" i="55"/>
  <c r="N288" i="55"/>
  <c r="IX289" i="55" a="1"/>
  <c r="IX289" i="55" s="1"/>
  <c r="IY289" i="55" s="1"/>
  <c r="IT289" i="55" a="1"/>
  <c r="IT289" i="55" s="1"/>
  <c r="IU289" i="55" s="1"/>
  <c r="IR289" i="55" a="1"/>
  <c r="IR289" i="55" s="1"/>
  <c r="IS289" i="55" s="1"/>
  <c r="IN289" i="55" a="1"/>
  <c r="IN289" i="55" s="1"/>
  <c r="IO289" i="55" s="1"/>
  <c r="IP289" i="55" a="1"/>
  <c r="IP289" i="55" s="1"/>
  <c r="IQ289" i="55" s="1"/>
  <c r="IV289" i="55" a="1"/>
  <c r="IV289" i="55" s="1"/>
  <c r="IW289" i="55" s="1"/>
  <c r="IF289" i="55"/>
  <c r="IG289" i="55" s="1"/>
  <c r="JR289" i="55"/>
  <c r="HB294" i="55"/>
  <c r="HC294" i="55" s="1"/>
  <c r="HD294" i="55"/>
  <c r="HA295" i="55"/>
  <c r="HF292" i="55"/>
  <c r="HG292" i="55" s="1"/>
  <c r="JA289" i="55"/>
  <c r="HO289" i="55"/>
  <c r="IH289" i="55" s="1"/>
  <c r="HP289" i="55"/>
  <c r="IZ289" i="55" s="1"/>
  <c r="HR289" i="55"/>
  <c r="HK289" i="55"/>
  <c r="JQ291" i="55"/>
  <c r="HH291" i="55"/>
  <c r="HH292" i="55" l="1"/>
  <c r="HJ292" i="55" s="1"/>
  <c r="HI292" i="55"/>
  <c r="IL292" i="55"/>
  <c r="IM292" i="55" s="1"/>
  <c r="HJ291" i="55"/>
  <c r="HI291" i="55"/>
  <c r="IL291" i="55"/>
  <c r="IM291" i="55" s="1"/>
  <c r="IX290" i="55" a="1"/>
  <c r="IX290" i="55" s="1"/>
  <c r="IY290" i="55" s="1"/>
  <c r="IR290" i="55" a="1"/>
  <c r="IR290" i="55" s="1"/>
  <c r="IS290" i="55" s="1"/>
  <c r="IN290" i="55" a="1"/>
  <c r="IN290" i="55" s="1"/>
  <c r="IO290" i="55" s="1"/>
  <c r="IV290" i="55" a="1"/>
  <c r="IV290" i="55" s="1"/>
  <c r="IW290" i="55" s="1"/>
  <c r="IP290" i="55" a="1"/>
  <c r="IP290" i="55" s="1"/>
  <c r="IQ290" i="55" s="1"/>
  <c r="IT290" i="55" a="1"/>
  <c r="IT290" i="55" s="1"/>
  <c r="IU290" i="55" s="1"/>
  <c r="JS289" i="55"/>
  <c r="N289" i="55"/>
  <c r="HF293" i="55"/>
  <c r="HG293" i="55" s="1"/>
  <c r="HD295" i="55"/>
  <c r="HB295" i="55"/>
  <c r="HC295" i="55" s="1"/>
  <c r="HA296" i="55"/>
  <c r="IF290" i="55"/>
  <c r="IG290" i="55" s="1"/>
  <c r="JR290" i="55"/>
  <c r="JQ292" i="55"/>
  <c r="JR292" i="55"/>
  <c r="AK294" i="55"/>
  <c r="HE294" i="55"/>
  <c r="JA290" i="55"/>
  <c r="HO290" i="55"/>
  <c r="IH290" i="55" s="1"/>
  <c r="HR290" i="55"/>
  <c r="HP290" i="55"/>
  <c r="IZ290" i="55" s="1"/>
  <c r="HK290" i="55"/>
  <c r="IF292" i="55" l="1"/>
  <c r="IG292" i="55" s="1"/>
  <c r="JS290" i="55"/>
  <c r="N290" i="55"/>
  <c r="HF294" i="55"/>
  <c r="HG294" i="55" s="1"/>
  <c r="IX291" i="55" a="1"/>
  <c r="IX291" i="55" s="1"/>
  <c r="IY291" i="55" s="1"/>
  <c r="IP291" i="55" a="1"/>
  <c r="IP291" i="55" s="1"/>
  <c r="IQ291" i="55" s="1"/>
  <c r="IV291" i="55" a="1"/>
  <c r="IV291" i="55" s="1"/>
  <c r="IW291" i="55" s="1"/>
  <c r="IN291" i="55" a="1"/>
  <c r="IN291" i="55" s="1"/>
  <c r="IO291" i="55" s="1"/>
  <c r="IT291" i="55" a="1"/>
  <c r="IT291" i="55" s="1"/>
  <c r="IU291" i="55" s="1"/>
  <c r="IR291" i="55" a="1"/>
  <c r="IR291" i="55" s="1"/>
  <c r="IS291" i="55" s="1"/>
  <c r="HD296" i="55"/>
  <c r="HB296" i="55"/>
  <c r="HC296" i="55" s="1"/>
  <c r="HA297" i="55"/>
  <c r="IX292" i="55" a="1"/>
  <c r="IX292" i="55" s="1"/>
  <c r="IY292" i="55" s="1"/>
  <c r="IT292" i="55" a="1"/>
  <c r="IT292" i="55" s="1"/>
  <c r="IU292" i="55" s="1"/>
  <c r="IV292" i="55" a="1"/>
  <c r="IV292" i="55" s="1"/>
  <c r="IW292" i="55" s="1"/>
  <c r="IP292" i="55" a="1"/>
  <c r="IP292" i="55" s="1"/>
  <c r="IQ292" i="55" s="1"/>
  <c r="IN292" i="55" a="1"/>
  <c r="IN292" i="55" s="1"/>
  <c r="IO292" i="55" s="1"/>
  <c r="IR292" i="55" a="1"/>
  <c r="IR292" i="55" s="1"/>
  <c r="IS292" i="55" s="1"/>
  <c r="JQ293" i="55"/>
  <c r="HH293" i="55"/>
  <c r="IF291" i="55"/>
  <c r="IG291" i="55" s="1"/>
  <c r="JR291" i="55"/>
  <c r="JA291" i="55"/>
  <c r="HO291" i="55"/>
  <c r="IH291" i="55" s="1"/>
  <c r="HR291" i="55"/>
  <c r="HK291" i="55"/>
  <c r="HK292" i="55" s="1"/>
  <c r="HP291" i="55"/>
  <c r="IZ291" i="55" s="1"/>
  <c r="AK295" i="55"/>
  <c r="HE295" i="55"/>
  <c r="JA292" i="55"/>
  <c r="HR292" i="55"/>
  <c r="HO292" i="55"/>
  <c r="IH292" i="55" s="1"/>
  <c r="HP292" i="55"/>
  <c r="IZ292" i="55" s="1"/>
  <c r="HF295" i="55" l="1"/>
  <c r="HG295" i="55" s="1"/>
  <c r="HI293" i="55"/>
  <c r="HJ293" i="55"/>
  <c r="IL293" i="55"/>
  <c r="IM293" i="55" s="1"/>
  <c r="JS291" i="55"/>
  <c r="N291" i="55"/>
  <c r="JQ294" i="55"/>
  <c r="HB297" i="55"/>
  <c r="HC297" i="55" s="1"/>
  <c r="HD297" i="55"/>
  <c r="HA298" i="55"/>
  <c r="AK296" i="55"/>
  <c r="HE296" i="55"/>
  <c r="HH294" i="55"/>
  <c r="JS292" i="55"/>
  <c r="N292" i="55"/>
  <c r="HI294" i="55" l="1"/>
  <c r="HJ294" i="55"/>
  <c r="IL294" i="55"/>
  <c r="IM294" i="55" s="1"/>
  <c r="HF296" i="55"/>
  <c r="HG296" i="55" s="1"/>
  <c r="HD298" i="55"/>
  <c r="HB298" i="55"/>
  <c r="HC298" i="55" s="1"/>
  <c r="HA299" i="55"/>
  <c r="IT293" i="55" a="1"/>
  <c r="IT293" i="55" s="1"/>
  <c r="IU293" i="55" s="1"/>
  <c r="IX293" i="55" a="1"/>
  <c r="IX293" i="55" s="1"/>
  <c r="IY293" i="55" s="1"/>
  <c r="IV293" i="55" a="1"/>
  <c r="IV293" i="55" s="1"/>
  <c r="IW293" i="55" s="1"/>
  <c r="IN293" i="55" a="1"/>
  <c r="IN293" i="55" s="1"/>
  <c r="IO293" i="55" s="1"/>
  <c r="IP293" i="55" a="1"/>
  <c r="IP293" i="55" s="1"/>
  <c r="IQ293" i="55" s="1"/>
  <c r="IR293" i="55" a="1"/>
  <c r="IR293" i="55" s="1"/>
  <c r="IS293" i="55" s="1"/>
  <c r="JA293" i="55"/>
  <c r="HP293" i="55"/>
  <c r="IZ293" i="55" s="1"/>
  <c r="HR293" i="55"/>
  <c r="HK293" i="55"/>
  <c r="HO293" i="55"/>
  <c r="IH293" i="55" s="1"/>
  <c r="IF293" i="55"/>
  <c r="IG293" i="55" s="1"/>
  <c r="JR293" i="55"/>
  <c r="JQ295" i="55"/>
  <c r="AK297" i="55"/>
  <c r="HE297" i="55"/>
  <c r="HH295" i="55"/>
  <c r="HJ295" i="55" l="1"/>
  <c r="HI295" i="55"/>
  <c r="IL295" i="55"/>
  <c r="IM295" i="55" s="1"/>
  <c r="IN294" i="55" a="1"/>
  <c r="IN294" i="55" s="1"/>
  <c r="IO294" i="55" s="1"/>
  <c r="IX294" i="55" a="1"/>
  <c r="IX294" i="55" s="1"/>
  <c r="IY294" i="55" s="1"/>
  <c r="IP294" i="55" a="1"/>
  <c r="IP294" i="55" s="1"/>
  <c r="IQ294" i="55" s="1"/>
  <c r="IV294" i="55" a="1"/>
  <c r="IV294" i="55" s="1"/>
  <c r="IW294" i="55" s="1"/>
  <c r="IT294" i="55" a="1"/>
  <c r="IT294" i="55" s="1"/>
  <c r="IU294" i="55" s="1"/>
  <c r="IR294" i="55" a="1"/>
  <c r="IR294" i="55" s="1"/>
  <c r="IS294" i="55" s="1"/>
  <c r="JS293" i="55"/>
  <c r="N293" i="55"/>
  <c r="JA294" i="55"/>
  <c r="HK294" i="55"/>
  <c r="HR294" i="55"/>
  <c r="HO294" i="55"/>
  <c r="IH294" i="55" s="1"/>
  <c r="HP294" i="55"/>
  <c r="IZ294" i="55" s="1"/>
  <c r="HF297" i="55"/>
  <c r="HG297" i="55" s="1"/>
  <c r="HD299" i="55"/>
  <c r="HB299" i="55"/>
  <c r="HC299" i="55" s="1"/>
  <c r="HA300" i="55"/>
  <c r="AK298" i="55"/>
  <c r="HE298" i="55"/>
  <c r="JQ296" i="55"/>
  <c r="HH296" i="55"/>
  <c r="IF294" i="55"/>
  <c r="IG294" i="55" s="1"/>
  <c r="JR294" i="55"/>
  <c r="HF298" i="55" l="1"/>
  <c r="HG298" i="55" s="1"/>
  <c r="JS294" i="55"/>
  <c r="N294" i="55"/>
  <c r="HI296" i="55"/>
  <c r="HJ296" i="55"/>
  <c r="IL296" i="55"/>
  <c r="IM296" i="55" s="1"/>
  <c r="HD300" i="55"/>
  <c r="HB300" i="55"/>
  <c r="HC300" i="55" s="1"/>
  <c r="HA301" i="55"/>
  <c r="AK299" i="55"/>
  <c r="HE299" i="55"/>
  <c r="IF295" i="55"/>
  <c r="IG295" i="55" s="1"/>
  <c r="JR295" i="55"/>
  <c r="IV295" i="55" a="1"/>
  <c r="IV295" i="55" s="1"/>
  <c r="IW295" i="55" s="1"/>
  <c r="IX295" i="55" a="1"/>
  <c r="IX295" i="55" s="1"/>
  <c r="IY295" i="55" s="1"/>
  <c r="IN295" i="55" a="1"/>
  <c r="IN295" i="55" s="1"/>
  <c r="IO295" i="55" s="1"/>
  <c r="IR295" i="55" a="1"/>
  <c r="IR295" i="55" s="1"/>
  <c r="IS295" i="55" s="1"/>
  <c r="IT295" i="55" a="1"/>
  <c r="IT295" i="55" s="1"/>
  <c r="IU295" i="55" s="1"/>
  <c r="IP295" i="55" a="1"/>
  <c r="IP295" i="55" s="1"/>
  <c r="IQ295" i="55" s="1"/>
  <c r="JQ297" i="55"/>
  <c r="HH297" i="55"/>
  <c r="JA295" i="55"/>
  <c r="HP295" i="55"/>
  <c r="IZ295" i="55" s="1"/>
  <c r="HK295" i="55"/>
  <c r="HO295" i="55"/>
  <c r="IH295" i="55" s="1"/>
  <c r="HR295" i="55"/>
  <c r="IF296" i="55" l="1"/>
  <c r="IG296" i="55" s="1"/>
  <c r="JR296" i="55"/>
  <c r="JS295" i="55"/>
  <c r="N295" i="55"/>
  <c r="HI297" i="55"/>
  <c r="HJ297" i="55"/>
  <c r="IL297" i="55"/>
  <c r="IM297" i="55" s="1"/>
  <c r="HK296" i="55"/>
  <c r="HP296" i="55"/>
  <c r="IZ296" i="55" s="1"/>
  <c r="JA296" i="55"/>
  <c r="HR296" i="55"/>
  <c r="HO296" i="55"/>
  <c r="IH296" i="55" s="1"/>
  <c r="HD301" i="55"/>
  <c r="HB301" i="55"/>
  <c r="HC301" i="55" s="1"/>
  <c r="HA302" i="55"/>
  <c r="AK300" i="55"/>
  <c r="HE300" i="55"/>
  <c r="HH298" i="55"/>
  <c r="HF299" i="55"/>
  <c r="HG299" i="55" s="1"/>
  <c r="HH299" i="55"/>
  <c r="IR296" i="55" a="1"/>
  <c r="IR296" i="55" s="1"/>
  <c r="IS296" i="55" s="1"/>
  <c r="IT296" i="55" a="1"/>
  <c r="IT296" i="55" s="1"/>
  <c r="IU296" i="55" s="1"/>
  <c r="IN296" i="55" a="1"/>
  <c r="IN296" i="55" s="1"/>
  <c r="IO296" i="55" s="1"/>
  <c r="IX296" i="55" a="1"/>
  <c r="IX296" i="55" s="1"/>
  <c r="IY296" i="55" s="1"/>
  <c r="IV296" i="55" a="1"/>
  <c r="IV296" i="55" s="1"/>
  <c r="IW296" i="55" s="1"/>
  <c r="IP296" i="55" a="1"/>
  <c r="IP296" i="55" s="1"/>
  <c r="IQ296" i="55" s="1"/>
  <c r="JQ298" i="55"/>
  <c r="AK301" i="55" l="1"/>
  <c r="HE301" i="55"/>
  <c r="IV297" i="55" a="1"/>
  <c r="IV297" i="55" s="1"/>
  <c r="IW297" i="55" s="1"/>
  <c r="IT297" i="55" a="1"/>
  <c r="IT297" i="55" s="1"/>
  <c r="IU297" i="55" s="1"/>
  <c r="IR297" i="55" a="1"/>
  <c r="IR297" i="55" s="1"/>
  <c r="IS297" i="55" s="1"/>
  <c r="IP297" i="55" a="1"/>
  <c r="IP297" i="55" s="1"/>
  <c r="IQ297" i="55" s="1"/>
  <c r="IX297" i="55" a="1"/>
  <c r="IX297" i="55" s="1"/>
  <c r="IY297" i="55" s="1"/>
  <c r="IN297" i="55" a="1"/>
  <c r="IN297" i="55" s="1"/>
  <c r="IO297" i="55" s="1"/>
  <c r="HP297" i="55"/>
  <c r="IZ297" i="55" s="1"/>
  <c r="JA297" i="55"/>
  <c r="HK297" i="55"/>
  <c r="HO297" i="55"/>
  <c r="IH297" i="55" s="1"/>
  <c r="HR297" i="55"/>
  <c r="IF297" i="55"/>
  <c r="IG297" i="55" s="1"/>
  <c r="JR297" i="55"/>
  <c r="HJ299" i="55"/>
  <c r="HI299" i="55"/>
  <c r="IL299" i="55"/>
  <c r="IM299" i="55" s="1"/>
  <c r="JR299" i="55"/>
  <c r="JQ299" i="55"/>
  <c r="HB302" i="55"/>
  <c r="HC302" i="55" s="1"/>
  <c r="HD302" i="55"/>
  <c r="HA303" i="55"/>
  <c r="HJ298" i="55"/>
  <c r="HI298" i="55"/>
  <c r="IL298" i="55"/>
  <c r="IM298" i="55" s="1"/>
  <c r="JS296" i="55"/>
  <c r="N296" i="55"/>
  <c r="HF300" i="55"/>
  <c r="HG300" i="55" s="1"/>
  <c r="HH300" i="55"/>
  <c r="IF298" i="55" l="1"/>
  <c r="IG298" i="55" s="1"/>
  <c r="JR298" i="55"/>
  <c r="JA299" i="55"/>
  <c r="HR299" i="55"/>
  <c r="HK299" i="55"/>
  <c r="HO299" i="55"/>
  <c r="IH299" i="55" s="1"/>
  <c r="HP299" i="55"/>
  <c r="IZ299" i="55" s="1"/>
  <c r="JS297" i="55"/>
  <c r="N297" i="55"/>
  <c r="IV298" i="55" a="1"/>
  <c r="IV298" i="55" s="1"/>
  <c r="IW298" i="55" s="1"/>
  <c r="IT298" i="55" a="1"/>
  <c r="IT298" i="55" s="1"/>
  <c r="IU298" i="55" s="1"/>
  <c r="IR298" i="55" a="1"/>
  <c r="IR298" i="55" s="1"/>
  <c r="IS298" i="55" s="1"/>
  <c r="IN298" i="55" a="1"/>
  <c r="IN298" i="55" s="1"/>
  <c r="IO298" i="55" s="1"/>
  <c r="IX298" i="55" a="1"/>
  <c r="IX298" i="55" s="1"/>
  <c r="IY298" i="55" s="1"/>
  <c r="IP298" i="55" a="1"/>
  <c r="IP298" i="55" s="1"/>
  <c r="IQ298" i="55" s="1"/>
  <c r="HB303" i="55"/>
  <c r="HC303" i="55" s="1"/>
  <c r="HD303" i="55"/>
  <c r="HA304" i="55"/>
  <c r="AK302" i="55"/>
  <c r="HE302" i="55"/>
  <c r="IX299" i="55" a="1"/>
  <c r="IX299" i="55" s="1"/>
  <c r="IY299" i="55" s="1"/>
  <c r="IP299" i="55" a="1"/>
  <c r="IP299" i="55" s="1"/>
  <c r="IQ299" i="55" s="1"/>
  <c r="IT299" i="55" a="1"/>
  <c r="IT299" i="55" s="1"/>
  <c r="IU299" i="55" s="1"/>
  <c r="IR299" i="55" a="1"/>
  <c r="IR299" i="55" s="1"/>
  <c r="IS299" i="55" s="1"/>
  <c r="IN299" i="55" a="1"/>
  <c r="IN299" i="55" s="1"/>
  <c r="IO299" i="55" s="1"/>
  <c r="IV299" i="55" a="1"/>
  <c r="IV299" i="55" s="1"/>
  <c r="IW299" i="55" s="1"/>
  <c r="HF301" i="55"/>
  <c r="HG301" i="55" s="1"/>
  <c r="HH301" i="55"/>
  <c r="HI300" i="55"/>
  <c r="HJ300" i="55"/>
  <c r="IL300" i="55"/>
  <c r="IM300" i="55" s="1"/>
  <c r="JQ300" i="55"/>
  <c r="HR298" i="55"/>
  <c r="HK298" i="55"/>
  <c r="HP298" i="55"/>
  <c r="IZ298" i="55" s="1"/>
  <c r="JA298" i="55"/>
  <c r="HO298" i="55"/>
  <c r="IH298" i="55" s="1"/>
  <c r="IF299" i="55"/>
  <c r="IG299" i="55" s="1"/>
  <c r="IF300" i="55" l="1"/>
  <c r="IG300" i="55" s="1"/>
  <c r="JS299" i="55"/>
  <c r="N299" i="55"/>
  <c r="HF302" i="55"/>
  <c r="HG302" i="55" s="1"/>
  <c r="HH302" i="55" s="1"/>
  <c r="IX300" i="55" a="1"/>
  <c r="IX300" i="55" s="1"/>
  <c r="IY300" i="55" s="1"/>
  <c r="IP300" i="55" a="1"/>
  <c r="IP300" i="55" s="1"/>
  <c r="IQ300" i="55" s="1"/>
  <c r="IV300" i="55" a="1"/>
  <c r="IV300" i="55" s="1"/>
  <c r="IW300" i="55" s="1"/>
  <c r="IT300" i="55" a="1"/>
  <c r="IT300" i="55" s="1"/>
  <c r="IU300" i="55" s="1"/>
  <c r="IR300" i="55" a="1"/>
  <c r="IR300" i="55" s="1"/>
  <c r="IS300" i="55" s="1"/>
  <c r="IN300" i="55" a="1"/>
  <c r="IN300" i="55" s="1"/>
  <c r="IO300" i="55" s="1"/>
  <c r="HR300" i="55"/>
  <c r="HK300" i="55"/>
  <c r="HO300" i="55"/>
  <c r="IH300" i="55" s="1"/>
  <c r="HP300" i="55"/>
  <c r="IZ300" i="55" s="1"/>
  <c r="JA300" i="55"/>
  <c r="HJ301" i="55"/>
  <c r="HI301" i="55"/>
  <c r="IL301" i="55"/>
  <c r="IM301" i="55" s="1"/>
  <c r="JR301" i="55"/>
  <c r="JQ301" i="55"/>
  <c r="HB304" i="55"/>
  <c r="HC304" i="55" s="1"/>
  <c r="HD304" i="55"/>
  <c r="HA305" i="55"/>
  <c r="JS298" i="55"/>
  <c r="N298" i="55"/>
  <c r="JR300" i="55"/>
  <c r="AK303" i="55"/>
  <c r="HE303" i="55"/>
  <c r="IF301" i="55" l="1"/>
  <c r="IG301" i="55" s="1"/>
  <c r="HJ302" i="55"/>
  <c r="HI302" i="55"/>
  <c r="IF302" i="55" s="1"/>
  <c r="IG302" i="55" s="1"/>
  <c r="IL302" i="55"/>
  <c r="IM302" i="55" s="1"/>
  <c r="JS300" i="55"/>
  <c r="N300" i="55"/>
  <c r="AK304" i="55"/>
  <c r="HE304" i="55"/>
  <c r="IX301" i="55" a="1"/>
  <c r="IX301" i="55" s="1"/>
  <c r="IY301" i="55" s="1"/>
  <c r="IN301" i="55" a="1"/>
  <c r="IN301" i="55" s="1"/>
  <c r="IO301" i="55" s="1"/>
  <c r="IR301" i="55" a="1"/>
  <c r="IR301" i="55" s="1"/>
  <c r="IS301" i="55" s="1"/>
  <c r="IV301" i="55" a="1"/>
  <c r="IV301" i="55" s="1"/>
  <c r="IW301" i="55" s="1"/>
  <c r="IT301" i="55" a="1"/>
  <c r="IT301" i="55" s="1"/>
  <c r="IU301" i="55" s="1"/>
  <c r="IP301" i="55" a="1"/>
  <c r="IP301" i="55" s="1"/>
  <c r="IQ301" i="55" s="1"/>
  <c r="HF303" i="55"/>
  <c r="HG303" i="55" s="1"/>
  <c r="HH303" i="55"/>
  <c r="HB305" i="55"/>
  <c r="HC305" i="55" s="1"/>
  <c r="HD305" i="55"/>
  <c r="HA306" i="55"/>
  <c r="JQ302" i="55"/>
  <c r="JR302" i="55"/>
  <c r="JA301" i="55"/>
  <c r="HR301" i="55"/>
  <c r="HK301" i="55"/>
  <c r="HP301" i="55"/>
  <c r="IZ301" i="55" s="1"/>
  <c r="HO301" i="55"/>
  <c r="IH301" i="55" s="1"/>
  <c r="HF304" i="55" l="1"/>
  <c r="HG304" i="55" s="1"/>
  <c r="HH304" i="55" s="1"/>
  <c r="IN302" i="55" a="1"/>
  <c r="IN302" i="55" s="1"/>
  <c r="IO302" i="55" s="1"/>
  <c r="IX302" i="55" a="1"/>
  <c r="IX302" i="55" s="1"/>
  <c r="IY302" i="55" s="1"/>
  <c r="IP302" i="55" a="1"/>
  <c r="IP302" i="55" s="1"/>
  <c r="IQ302" i="55" s="1"/>
  <c r="IR302" i="55" a="1"/>
  <c r="IR302" i="55" s="1"/>
  <c r="IS302" i="55" s="1"/>
  <c r="IV302" i="55" a="1"/>
  <c r="IV302" i="55" s="1"/>
  <c r="IW302" i="55" s="1"/>
  <c r="IT302" i="55" a="1"/>
  <c r="IT302" i="55" s="1"/>
  <c r="IU302" i="55" s="1"/>
  <c r="JS301" i="55"/>
  <c r="N301" i="55"/>
  <c r="HB306" i="55"/>
  <c r="HC306" i="55" s="1"/>
  <c r="HD306" i="55"/>
  <c r="HA307" i="55"/>
  <c r="HJ303" i="55"/>
  <c r="HI303" i="55"/>
  <c r="IF303" i="55" s="1"/>
  <c r="IG303" i="55" s="1"/>
  <c r="IL303" i="55"/>
  <c r="IM303" i="55" s="1"/>
  <c r="JQ303" i="55"/>
  <c r="AK305" i="55"/>
  <c r="HE305" i="55"/>
  <c r="HP302" i="55"/>
  <c r="IZ302" i="55" s="1"/>
  <c r="JA302" i="55"/>
  <c r="HK302" i="55"/>
  <c r="HO302" i="55"/>
  <c r="IH302" i="55" s="1"/>
  <c r="HR302" i="55"/>
  <c r="HI304" i="55" l="1"/>
  <c r="HJ304" i="55"/>
  <c r="IL304" i="55"/>
  <c r="IM304" i="55" s="1"/>
  <c r="AK306" i="55"/>
  <c r="HE306" i="55"/>
  <c r="JS302" i="55"/>
  <c r="N302" i="55"/>
  <c r="HB307" i="55"/>
  <c r="HC307" i="55" s="1"/>
  <c r="HD307" i="55"/>
  <c r="HA308" i="55"/>
  <c r="IV303" i="55" a="1"/>
  <c r="IV303" i="55" s="1"/>
  <c r="IW303" i="55" s="1"/>
  <c r="IN303" i="55" a="1"/>
  <c r="IN303" i="55" s="1"/>
  <c r="IO303" i="55" s="1"/>
  <c r="IX303" i="55" a="1"/>
  <c r="IX303" i="55" s="1"/>
  <c r="IY303" i="55" s="1"/>
  <c r="IP303" i="55" a="1"/>
  <c r="IP303" i="55" s="1"/>
  <c r="IQ303" i="55" s="1"/>
  <c r="IT303" i="55" a="1"/>
  <c r="IT303" i="55" s="1"/>
  <c r="IU303" i="55" s="1"/>
  <c r="IR303" i="55" a="1"/>
  <c r="IR303" i="55" s="1"/>
  <c r="IS303" i="55" s="1"/>
  <c r="JA303" i="55"/>
  <c r="HP303" i="55"/>
  <c r="IZ303" i="55" s="1"/>
  <c r="HR303" i="55"/>
  <c r="HO303" i="55"/>
  <c r="IH303" i="55" s="1"/>
  <c r="HK303" i="55"/>
  <c r="HF305" i="55"/>
  <c r="HG305" i="55" s="1"/>
  <c r="HH305" i="55"/>
  <c r="JR303" i="55"/>
  <c r="JQ304" i="55"/>
  <c r="JR304" i="55"/>
  <c r="IF304" i="55" l="1"/>
  <c r="IG304" i="55" s="1"/>
  <c r="JS303" i="55"/>
  <c r="N303" i="55"/>
  <c r="HB308" i="55"/>
  <c r="HC308" i="55" s="1"/>
  <c r="HD308" i="55"/>
  <c r="HA309" i="55"/>
  <c r="JQ305" i="55"/>
  <c r="IV304" i="55" a="1"/>
  <c r="IV304" i="55" s="1"/>
  <c r="IW304" i="55" s="1"/>
  <c r="IR304" i="55" a="1"/>
  <c r="IR304" i="55" s="1"/>
  <c r="IS304" i="55" s="1"/>
  <c r="IP304" i="55" a="1"/>
  <c r="IP304" i="55" s="1"/>
  <c r="IQ304" i="55" s="1"/>
  <c r="IN304" i="55" a="1"/>
  <c r="IN304" i="55" s="1"/>
  <c r="IO304" i="55" s="1"/>
  <c r="IX304" i="55" a="1"/>
  <c r="IX304" i="55" s="1"/>
  <c r="IY304" i="55" s="1"/>
  <c r="IT304" i="55" a="1"/>
  <c r="IT304" i="55" s="1"/>
  <c r="IU304" i="55" s="1"/>
  <c r="HI305" i="55"/>
  <c r="JR305" i="55" s="1"/>
  <c r="HJ305" i="55"/>
  <c r="IL305" i="55"/>
  <c r="IM305" i="55" s="1"/>
  <c r="HF306" i="55"/>
  <c r="HG306" i="55" s="1"/>
  <c r="HO304" i="55"/>
  <c r="IH304" i="55" s="1"/>
  <c r="HK304" i="55"/>
  <c r="JA304" i="55"/>
  <c r="HP304" i="55"/>
  <c r="IZ304" i="55" s="1"/>
  <c r="HR304" i="55"/>
  <c r="AK307" i="55"/>
  <c r="HE307" i="55"/>
  <c r="HB309" i="55" l="1"/>
  <c r="HC309" i="55" s="1"/>
  <c r="HD309" i="55"/>
  <c r="HA310" i="55"/>
  <c r="AK308" i="55"/>
  <c r="HE308" i="55"/>
  <c r="JS304" i="55"/>
  <c r="N304" i="55"/>
  <c r="IR305" i="55" a="1"/>
  <c r="IR305" i="55" s="1"/>
  <c r="IS305" i="55" s="1"/>
  <c r="IX305" i="55" a="1"/>
  <c r="IX305" i="55" s="1"/>
  <c r="IY305" i="55" s="1"/>
  <c r="IP305" i="55" a="1"/>
  <c r="IP305" i="55" s="1"/>
  <c r="IQ305" i="55" s="1"/>
  <c r="IN305" i="55" a="1"/>
  <c r="IN305" i="55" s="1"/>
  <c r="IO305" i="55" s="1"/>
  <c r="IT305" i="55" a="1"/>
  <c r="IT305" i="55" s="1"/>
  <c r="IU305" i="55" s="1"/>
  <c r="IV305" i="55" a="1"/>
  <c r="IV305" i="55" s="1"/>
  <c r="IW305" i="55" s="1"/>
  <c r="IF305" i="55"/>
  <c r="IG305" i="55" s="1"/>
  <c r="HF307" i="55"/>
  <c r="HG307" i="55" s="1"/>
  <c r="JA305" i="55"/>
  <c r="HP305" i="55"/>
  <c r="IZ305" i="55" s="1"/>
  <c r="HR305" i="55"/>
  <c r="HK305" i="55"/>
  <c r="HO305" i="55"/>
  <c r="IH305" i="55" s="1"/>
  <c r="JQ306" i="55"/>
  <c r="HH306" i="55"/>
  <c r="JS305" i="55" l="1"/>
  <c r="N305" i="55"/>
  <c r="HF308" i="55"/>
  <c r="HG308" i="55" s="1"/>
  <c r="HD310" i="55"/>
  <c r="HB310" i="55"/>
  <c r="HC310" i="55" s="1"/>
  <c r="HA311" i="55"/>
  <c r="HJ306" i="55"/>
  <c r="HI306" i="55"/>
  <c r="IL306" i="55"/>
  <c r="IM306" i="55" s="1"/>
  <c r="AK309" i="55"/>
  <c r="HE309" i="55"/>
  <c r="JQ307" i="55"/>
  <c r="HH307" i="55"/>
  <c r="HF309" i="55" l="1"/>
  <c r="HG309" i="55" s="1"/>
  <c r="HD311" i="55"/>
  <c r="HB311" i="55"/>
  <c r="HC311" i="55" s="1"/>
  <c r="HA312" i="55"/>
  <c r="JQ308" i="55"/>
  <c r="HJ307" i="55"/>
  <c r="HI307" i="55"/>
  <c r="IL307" i="55"/>
  <c r="IM307" i="55" s="1"/>
  <c r="IF306" i="55"/>
  <c r="IG306" i="55" s="1"/>
  <c r="JR306" i="55"/>
  <c r="JA306" i="55"/>
  <c r="HO306" i="55"/>
  <c r="IH306" i="55" s="1"/>
  <c r="HR306" i="55"/>
  <c r="HP306" i="55"/>
  <c r="IZ306" i="55" s="1"/>
  <c r="HK306" i="55"/>
  <c r="AK310" i="55"/>
  <c r="HE310" i="55"/>
  <c r="HH308" i="55"/>
  <c r="IX306" i="55" a="1"/>
  <c r="IX306" i="55" s="1"/>
  <c r="IY306" i="55" s="1"/>
  <c r="IT306" i="55" a="1"/>
  <c r="IT306" i="55" s="1"/>
  <c r="IU306" i="55" s="1"/>
  <c r="IN306" i="55" a="1"/>
  <c r="IN306" i="55" s="1"/>
  <c r="IO306" i="55" s="1"/>
  <c r="IV306" i="55" a="1"/>
  <c r="IV306" i="55" s="1"/>
  <c r="IW306" i="55" s="1"/>
  <c r="IP306" i="55" a="1"/>
  <c r="IP306" i="55" s="1"/>
  <c r="IQ306" i="55" s="1"/>
  <c r="IR306" i="55" a="1"/>
  <c r="IR306" i="55" s="1"/>
  <c r="IS306" i="55" s="1"/>
  <c r="IF307" i="55" l="1"/>
  <c r="IG307" i="55" s="1"/>
  <c r="JR307" i="55"/>
  <c r="AK311" i="55"/>
  <c r="HE311" i="55"/>
  <c r="IV307" i="55" a="1"/>
  <c r="IV307" i="55" s="1"/>
  <c r="IW307" i="55" s="1"/>
  <c r="IT307" i="55" a="1"/>
  <c r="IT307" i="55" s="1"/>
  <c r="IU307" i="55" s="1"/>
  <c r="IP307" i="55" a="1"/>
  <c r="IP307" i="55" s="1"/>
  <c r="IQ307" i="55" s="1"/>
  <c r="IX307" i="55" a="1"/>
  <c r="IX307" i="55" s="1"/>
  <c r="IY307" i="55" s="1"/>
  <c r="IR307" i="55" a="1"/>
  <c r="IR307" i="55" s="1"/>
  <c r="IS307" i="55" s="1"/>
  <c r="IN307" i="55" a="1"/>
  <c r="IN307" i="55" s="1"/>
  <c r="IO307" i="55" s="1"/>
  <c r="HJ308" i="55"/>
  <c r="HI308" i="55"/>
  <c r="IL308" i="55"/>
  <c r="IM308" i="55" s="1"/>
  <c r="HF310" i="55"/>
  <c r="HG310" i="55" s="1"/>
  <c r="HH310" i="55"/>
  <c r="JQ309" i="55"/>
  <c r="JS306" i="55"/>
  <c r="N306" i="55"/>
  <c r="JA307" i="55"/>
  <c r="HO307" i="55"/>
  <c r="IH307" i="55" s="1"/>
  <c r="HR307" i="55"/>
  <c r="HP307" i="55"/>
  <c r="IZ307" i="55" s="1"/>
  <c r="HK307" i="55"/>
  <c r="HB312" i="55"/>
  <c r="HC312" i="55" s="1"/>
  <c r="HD312" i="55"/>
  <c r="HA313" i="55"/>
  <c r="HH309" i="55"/>
  <c r="HJ310" i="55" l="1"/>
  <c r="HI310" i="55"/>
  <c r="IL310" i="55"/>
  <c r="IM310" i="55" s="1"/>
  <c r="JQ310" i="55"/>
  <c r="JR310" i="55"/>
  <c r="HJ309" i="55"/>
  <c r="HI309" i="55"/>
  <c r="IL309" i="55"/>
  <c r="IM309" i="55" s="1"/>
  <c r="IF308" i="55"/>
  <c r="IG308" i="55" s="1"/>
  <c r="JR308" i="55"/>
  <c r="AK312" i="55"/>
  <c r="HE312" i="55"/>
  <c r="HD313" i="55"/>
  <c r="HB313" i="55"/>
  <c r="HC313" i="55" s="1"/>
  <c r="HA314" i="55"/>
  <c r="JA308" i="55"/>
  <c r="HO308" i="55"/>
  <c r="IH308" i="55" s="1"/>
  <c r="HP308" i="55"/>
  <c r="IZ308" i="55" s="1"/>
  <c r="HR308" i="55"/>
  <c r="HK308" i="55"/>
  <c r="IX308" i="55" a="1"/>
  <c r="IX308" i="55" s="1"/>
  <c r="IY308" i="55" s="1"/>
  <c r="IT308" i="55" a="1"/>
  <c r="IT308" i="55" s="1"/>
  <c r="IU308" i="55" s="1"/>
  <c r="IP308" i="55" a="1"/>
  <c r="IP308" i="55" s="1"/>
  <c r="IQ308" i="55" s="1"/>
  <c r="IV308" i="55" a="1"/>
  <c r="IV308" i="55" s="1"/>
  <c r="IW308" i="55" s="1"/>
  <c r="IR308" i="55" a="1"/>
  <c r="IR308" i="55" s="1"/>
  <c r="IS308" i="55" s="1"/>
  <c r="IN308" i="55" a="1"/>
  <c r="IN308" i="55" s="1"/>
  <c r="IO308" i="55" s="1"/>
  <c r="JS307" i="55"/>
  <c r="N307" i="55"/>
  <c r="HF311" i="55"/>
  <c r="HG311" i="55" s="1"/>
  <c r="HH311" i="55"/>
  <c r="HD314" i="55" l="1"/>
  <c r="HB314" i="55"/>
  <c r="HC314" i="55" s="1"/>
  <c r="HA315" i="55"/>
  <c r="IF309" i="55"/>
  <c r="IG309" i="55" s="1"/>
  <c r="JR309" i="55"/>
  <c r="AK313" i="55"/>
  <c r="HE313" i="55"/>
  <c r="HF312" i="55"/>
  <c r="HG312" i="55" s="1"/>
  <c r="JA309" i="55"/>
  <c r="HP309" i="55"/>
  <c r="IZ309" i="55" s="1"/>
  <c r="HO309" i="55"/>
  <c r="IH309" i="55" s="1"/>
  <c r="HR309" i="55"/>
  <c r="HK309" i="55"/>
  <c r="HK310" i="55" s="1"/>
  <c r="HJ311" i="55"/>
  <c r="HI311" i="55"/>
  <c r="IF311" i="55" s="1"/>
  <c r="IG311" i="55" s="1"/>
  <c r="IL311" i="55"/>
  <c r="IM311" i="55" s="1"/>
  <c r="JQ311" i="55"/>
  <c r="IT309" i="55" a="1"/>
  <c r="IT309" i="55" s="1"/>
  <c r="IU309" i="55" s="1"/>
  <c r="IV309" i="55" a="1"/>
  <c r="IV309" i="55" s="1"/>
  <c r="IW309" i="55" s="1"/>
  <c r="IX309" i="55" a="1"/>
  <c r="IX309" i="55" s="1"/>
  <c r="IY309" i="55" s="1"/>
  <c r="IP309" i="55" a="1"/>
  <c r="IP309" i="55" s="1"/>
  <c r="IQ309" i="55" s="1"/>
  <c r="IN309" i="55" a="1"/>
  <c r="IN309" i="55" s="1"/>
  <c r="IO309" i="55" s="1"/>
  <c r="IR309" i="55" a="1"/>
  <c r="IR309" i="55" s="1"/>
  <c r="IS309" i="55" s="1"/>
  <c r="IX310" i="55" a="1"/>
  <c r="IX310" i="55" s="1"/>
  <c r="IY310" i="55" s="1"/>
  <c r="IT310" i="55" a="1"/>
  <c r="IT310" i="55" s="1"/>
  <c r="IU310" i="55" s="1"/>
  <c r="IN310" i="55" a="1"/>
  <c r="IN310" i="55" s="1"/>
  <c r="IO310" i="55" s="1"/>
  <c r="IV310" i="55" a="1"/>
  <c r="IV310" i="55" s="1"/>
  <c r="IW310" i="55" s="1"/>
  <c r="IR310" i="55" a="1"/>
  <c r="IR310" i="55" s="1"/>
  <c r="IS310" i="55" s="1"/>
  <c r="IP310" i="55" a="1"/>
  <c r="IP310" i="55" s="1"/>
  <c r="IQ310" i="55" s="1"/>
  <c r="IF310" i="55"/>
  <c r="IG310" i="55" s="1"/>
  <c r="JS308" i="55"/>
  <c r="N308" i="55"/>
  <c r="JA310" i="55"/>
  <c r="HO310" i="55"/>
  <c r="IH310" i="55" s="1"/>
  <c r="HP310" i="55"/>
  <c r="IZ310" i="55" s="1"/>
  <c r="HR310" i="55"/>
  <c r="JS310" i="55" l="1"/>
  <c r="N310" i="55"/>
  <c r="JA311" i="55"/>
  <c r="HO311" i="55"/>
  <c r="IH311" i="55" s="1"/>
  <c r="HP311" i="55"/>
  <c r="IZ311" i="55" s="1"/>
  <c r="HR311" i="55"/>
  <c r="HK311" i="55"/>
  <c r="JQ312" i="55"/>
  <c r="HH312" i="55"/>
  <c r="HF313" i="55"/>
  <c r="HG313" i="55" s="1"/>
  <c r="HH313" i="55" s="1"/>
  <c r="HD315" i="55"/>
  <c r="HB315" i="55"/>
  <c r="HC315" i="55" s="1"/>
  <c r="HA316" i="55"/>
  <c r="JR311" i="55"/>
  <c r="JS309" i="55"/>
  <c r="N309" i="55"/>
  <c r="IX311" i="55" a="1"/>
  <c r="IX311" i="55" s="1"/>
  <c r="IY311" i="55" s="1"/>
  <c r="IN311" i="55" a="1"/>
  <c r="IN311" i="55" s="1"/>
  <c r="IO311" i="55" s="1"/>
  <c r="IT311" i="55" a="1"/>
  <c r="IT311" i="55" s="1"/>
  <c r="IU311" i="55" s="1"/>
  <c r="IR311" i="55" a="1"/>
  <c r="IR311" i="55" s="1"/>
  <c r="IS311" i="55" s="1"/>
  <c r="IV311" i="55" a="1"/>
  <c r="IV311" i="55" s="1"/>
  <c r="IW311" i="55" s="1"/>
  <c r="IP311" i="55" a="1"/>
  <c r="IP311" i="55" s="1"/>
  <c r="IQ311" i="55" s="1"/>
  <c r="AK314" i="55"/>
  <c r="HE314" i="55"/>
  <c r="HI313" i="55" l="1"/>
  <c r="IF313" i="55" s="1"/>
  <c r="IG313" i="55" s="1"/>
  <c r="HJ313" i="55"/>
  <c r="AK315" i="55"/>
  <c r="HE315" i="55"/>
  <c r="HD316" i="55"/>
  <c r="HB316" i="55"/>
  <c r="HC316" i="55" s="1"/>
  <c r="HA317" i="55"/>
  <c r="JQ313" i="55"/>
  <c r="JR313" i="55"/>
  <c r="HF314" i="55"/>
  <c r="HG314" i="55" s="1"/>
  <c r="JS311" i="55"/>
  <c r="N311" i="55"/>
  <c r="HI312" i="55"/>
  <c r="HJ312" i="55"/>
  <c r="IL312" i="55"/>
  <c r="IM312" i="55" s="1"/>
  <c r="IR312" i="55" l="1" a="1"/>
  <c r="IR312" i="55" s="1"/>
  <c r="IS312" i="55" s="1"/>
  <c r="IT312" i="55" a="1"/>
  <c r="IT312" i="55" s="1"/>
  <c r="IU312" i="55" s="1"/>
  <c r="IN312" i="55" a="1"/>
  <c r="IN312" i="55" s="1"/>
  <c r="IO312" i="55" s="1"/>
  <c r="IP312" i="55" a="1"/>
  <c r="IP312" i="55" s="1"/>
  <c r="IQ312" i="55" s="1"/>
  <c r="IX312" i="55" a="1"/>
  <c r="IX312" i="55" s="1"/>
  <c r="IY312" i="55" s="1"/>
  <c r="IV312" i="55" a="1"/>
  <c r="IV312" i="55" s="1"/>
  <c r="IW312" i="55" s="1"/>
  <c r="JA312" i="55"/>
  <c r="HP312" i="55"/>
  <c r="IZ312" i="55" s="1"/>
  <c r="HK312" i="55"/>
  <c r="HO312" i="55"/>
  <c r="IH312" i="55" s="1"/>
  <c r="HR312" i="55"/>
  <c r="IF312" i="55"/>
  <c r="IG312" i="55" s="1"/>
  <c r="JR312" i="55"/>
  <c r="HD317" i="55"/>
  <c r="HB317" i="55"/>
  <c r="HC317" i="55" s="1"/>
  <c r="HA318" i="55"/>
  <c r="JQ314" i="55"/>
  <c r="AK316" i="55"/>
  <c r="HE316" i="55"/>
  <c r="HF315" i="55"/>
  <c r="HG315" i="55" s="1"/>
  <c r="JA313" i="55"/>
  <c r="HR313" i="55"/>
  <c r="HO313" i="55"/>
  <c r="IH313" i="55" s="1"/>
  <c r="HK313" i="55"/>
  <c r="HP313" i="55"/>
  <c r="IZ313" i="55" s="1"/>
  <c r="HH314" i="55"/>
  <c r="HB318" i="55" l="1"/>
  <c r="HC318" i="55" s="1"/>
  <c r="HD318" i="55"/>
  <c r="HA319" i="55"/>
  <c r="AK317" i="55"/>
  <c r="HE317" i="55"/>
  <c r="HJ314" i="55"/>
  <c r="HI314" i="55"/>
  <c r="IL314" i="55"/>
  <c r="IM314" i="55" s="1"/>
  <c r="JS313" i="55"/>
  <c r="N313" i="55"/>
  <c r="JQ315" i="55"/>
  <c r="HF316" i="55"/>
  <c r="HG316" i="55" s="1"/>
  <c r="JS312" i="55"/>
  <c r="N312" i="55"/>
  <c r="HH315" i="55"/>
  <c r="JQ316" i="55" l="1"/>
  <c r="HB319" i="55"/>
  <c r="HC319" i="55" s="1"/>
  <c r="HD319" i="55"/>
  <c r="HA320" i="55"/>
  <c r="HH316" i="55"/>
  <c r="JA314" i="55"/>
  <c r="HR314" i="55"/>
  <c r="HP314" i="55"/>
  <c r="IZ314" i="55" s="1"/>
  <c r="HK314" i="55"/>
  <c r="HO314" i="55"/>
  <c r="IH314" i="55" s="1"/>
  <c r="HF317" i="55"/>
  <c r="HG317" i="55" s="1"/>
  <c r="HH317" i="55" s="1"/>
  <c r="AK318" i="55"/>
  <c r="HE318" i="55"/>
  <c r="IP314" i="55" a="1"/>
  <c r="IP314" i="55" s="1"/>
  <c r="IQ314" i="55" s="1"/>
  <c r="IN314" i="55" a="1"/>
  <c r="IN314" i="55" s="1"/>
  <c r="IO314" i="55" s="1"/>
  <c r="IR314" i="55" a="1"/>
  <c r="IR314" i="55" s="1"/>
  <c r="IS314" i="55" s="1"/>
  <c r="IV314" i="55" a="1"/>
  <c r="IV314" i="55" s="1"/>
  <c r="IW314" i="55" s="1"/>
  <c r="IT314" i="55" a="1"/>
  <c r="IT314" i="55" s="1"/>
  <c r="IU314" i="55" s="1"/>
  <c r="IX314" i="55" a="1"/>
  <c r="IX314" i="55" s="1"/>
  <c r="IY314" i="55" s="1"/>
  <c r="IF314" i="55"/>
  <c r="IG314" i="55" s="1"/>
  <c r="JR314" i="55"/>
  <c r="HI315" i="55"/>
  <c r="HJ315" i="55"/>
  <c r="IL315" i="55"/>
  <c r="IM315" i="55" s="1"/>
  <c r="HJ317" i="55" l="1"/>
  <c r="HI317" i="55"/>
  <c r="IF315" i="55"/>
  <c r="IG315" i="55" s="1"/>
  <c r="JR315" i="55"/>
  <c r="HI316" i="55"/>
  <c r="HJ316" i="55"/>
  <c r="IL316" i="55"/>
  <c r="IM316" i="55" s="1"/>
  <c r="AK319" i="55"/>
  <c r="HE319" i="55"/>
  <c r="JS314" i="55"/>
  <c r="N314" i="55"/>
  <c r="JA315" i="55"/>
  <c r="HR315" i="55"/>
  <c r="HP315" i="55"/>
  <c r="IZ315" i="55" s="1"/>
  <c r="HO315" i="55"/>
  <c r="IH315" i="55" s="1"/>
  <c r="HK315" i="55"/>
  <c r="HF318" i="55"/>
  <c r="HG318" i="55" s="1"/>
  <c r="HH318" i="55" s="1"/>
  <c r="JR317" i="55"/>
  <c r="JQ317" i="55"/>
  <c r="HB320" i="55"/>
  <c r="HC320" i="55" s="1"/>
  <c r="HD320" i="55"/>
  <c r="HA321" i="55"/>
  <c r="IV315" i="55" a="1"/>
  <c r="IV315" i="55" s="1"/>
  <c r="IW315" i="55" s="1"/>
  <c r="IP315" i="55" a="1"/>
  <c r="IP315" i="55" s="1"/>
  <c r="IQ315" i="55" s="1"/>
  <c r="IR315" i="55" a="1"/>
  <c r="IR315" i="55" s="1"/>
  <c r="IS315" i="55" s="1"/>
  <c r="IT315" i="55" a="1"/>
  <c r="IT315" i="55" s="1"/>
  <c r="IU315" i="55" s="1"/>
  <c r="IX315" i="55" a="1"/>
  <c r="IX315" i="55" s="1"/>
  <c r="IY315" i="55" s="1"/>
  <c r="IN315" i="55" a="1"/>
  <c r="IN315" i="55" s="1"/>
  <c r="IO315" i="55" s="1"/>
  <c r="JS315" i="55" l="1"/>
  <c r="N315" i="55"/>
  <c r="HB321" i="55"/>
  <c r="HC321" i="55" s="1"/>
  <c r="HD321" i="55"/>
  <c r="HA322" i="55"/>
  <c r="HF319" i="55"/>
  <c r="HG319" i="55" s="1"/>
  <c r="HH319" i="55"/>
  <c r="IV316" i="55" a="1"/>
  <c r="IV316" i="55" s="1"/>
  <c r="IW316" i="55" s="1"/>
  <c r="IP316" i="55" a="1"/>
  <c r="IP316" i="55" s="1"/>
  <c r="IQ316" i="55" s="1"/>
  <c r="IR316" i="55" a="1"/>
  <c r="IR316" i="55" s="1"/>
  <c r="IS316" i="55" s="1"/>
  <c r="IT316" i="55" a="1"/>
  <c r="IT316" i="55" s="1"/>
  <c r="IU316" i="55" s="1"/>
  <c r="IN316" i="55" a="1"/>
  <c r="IN316" i="55" s="1"/>
  <c r="IO316" i="55" s="1"/>
  <c r="IX316" i="55" a="1"/>
  <c r="IX316" i="55" s="1"/>
  <c r="IY316" i="55" s="1"/>
  <c r="AK320" i="55"/>
  <c r="HE320" i="55"/>
  <c r="JA316" i="55"/>
  <c r="HR316" i="55"/>
  <c r="HP316" i="55"/>
  <c r="IZ316" i="55" s="1"/>
  <c r="HK316" i="55"/>
  <c r="HO316" i="55"/>
  <c r="IH316" i="55" s="1"/>
  <c r="IF316" i="55"/>
  <c r="IG316" i="55" s="1"/>
  <c r="JR316" i="55"/>
  <c r="JQ318" i="55"/>
  <c r="IF317" i="55"/>
  <c r="IG317" i="55" s="1"/>
  <c r="HJ318" i="55"/>
  <c r="HI318" i="55"/>
  <c r="IF318" i="55" s="1"/>
  <c r="IG318" i="55" s="1"/>
  <c r="IL318" i="55"/>
  <c r="IM318" i="55" s="1"/>
  <c r="JA317" i="55"/>
  <c r="HR317" i="55"/>
  <c r="HP317" i="55"/>
  <c r="IZ317" i="55" s="1"/>
  <c r="HO317" i="55"/>
  <c r="IH317" i="55" s="1"/>
  <c r="HK317" i="55"/>
  <c r="JA318" i="55" l="1"/>
  <c r="HP318" i="55"/>
  <c r="IZ318" i="55" s="1"/>
  <c r="HR318" i="55"/>
  <c r="HK318" i="55"/>
  <c r="HO318" i="55"/>
  <c r="IH318" i="55" s="1"/>
  <c r="JR318" i="55"/>
  <c r="HF320" i="55"/>
  <c r="HG320" i="55" s="1"/>
  <c r="HH320" i="55"/>
  <c r="JS317" i="55"/>
  <c r="N317" i="55"/>
  <c r="IX318" i="55" a="1"/>
  <c r="IX318" i="55" s="1"/>
  <c r="IY318" i="55" s="1"/>
  <c r="IN318" i="55" a="1"/>
  <c r="IN318" i="55" s="1"/>
  <c r="IO318" i="55" s="1"/>
  <c r="IT318" i="55" a="1"/>
  <c r="IT318" i="55" s="1"/>
  <c r="IU318" i="55" s="1"/>
  <c r="IR318" i="55" a="1"/>
  <c r="IR318" i="55" s="1"/>
  <c r="IS318" i="55" s="1"/>
  <c r="IP318" i="55" a="1"/>
  <c r="IP318" i="55" s="1"/>
  <c r="IQ318" i="55" s="1"/>
  <c r="IV318" i="55" a="1"/>
  <c r="IV318" i="55" s="1"/>
  <c r="IW318" i="55" s="1"/>
  <c r="HJ319" i="55"/>
  <c r="HI319" i="55"/>
  <c r="IL319" i="55"/>
  <c r="IM319" i="55" s="1"/>
  <c r="JR319" i="55"/>
  <c r="JQ319" i="55"/>
  <c r="HD322" i="55"/>
  <c r="HB322" i="55"/>
  <c r="HC322" i="55" s="1"/>
  <c r="HA323" i="55"/>
  <c r="AK321" i="55"/>
  <c r="HE321" i="55"/>
  <c r="JS316" i="55"/>
  <c r="N316" i="55"/>
  <c r="IF319" i="55" l="1"/>
  <c r="IG319" i="55" s="1"/>
  <c r="HF321" i="55"/>
  <c r="HG321" i="55" s="1"/>
  <c r="HH321" i="55" s="1"/>
  <c r="HD323" i="55"/>
  <c r="HB323" i="55"/>
  <c r="HC323" i="55" s="1"/>
  <c r="HA324" i="55"/>
  <c r="JQ320" i="55"/>
  <c r="HI320" i="55"/>
  <c r="HJ320" i="55"/>
  <c r="IL320" i="55"/>
  <c r="IM320" i="55" s="1"/>
  <c r="AK322" i="55"/>
  <c r="HE322" i="55"/>
  <c r="JS318" i="55"/>
  <c r="N318" i="55"/>
  <c r="IX319" i="55" a="1"/>
  <c r="IX319" i="55" s="1"/>
  <c r="IY319" i="55" s="1"/>
  <c r="IT319" i="55" a="1"/>
  <c r="IT319" i="55" s="1"/>
  <c r="IU319" i="55" s="1"/>
  <c r="IN319" i="55" a="1"/>
  <c r="IN319" i="55" s="1"/>
  <c r="IO319" i="55" s="1"/>
  <c r="IP319" i="55" a="1"/>
  <c r="IP319" i="55" s="1"/>
  <c r="IQ319" i="55" s="1"/>
  <c r="IR319" i="55" a="1"/>
  <c r="IR319" i="55" s="1"/>
  <c r="IS319" i="55" s="1"/>
  <c r="IV319" i="55" a="1"/>
  <c r="IV319" i="55" s="1"/>
  <c r="IW319" i="55" s="1"/>
  <c r="JA319" i="55"/>
  <c r="HP319" i="55"/>
  <c r="IZ319" i="55" s="1"/>
  <c r="HR319" i="55"/>
  <c r="HO319" i="55"/>
  <c r="IH319" i="55" s="1"/>
  <c r="HK319" i="55"/>
  <c r="IF320" i="55" l="1"/>
  <c r="IG320" i="55" s="1"/>
  <c r="JA320" i="55"/>
  <c r="HO320" i="55"/>
  <c r="IH320" i="55" s="1"/>
  <c r="HR320" i="55"/>
  <c r="HK320" i="55"/>
  <c r="HP320" i="55"/>
  <c r="IZ320" i="55" s="1"/>
  <c r="IX320" i="55" a="1"/>
  <c r="IX320" i="55" s="1"/>
  <c r="IY320" i="55" s="1"/>
  <c r="IR320" i="55" a="1"/>
  <c r="IR320" i="55" s="1"/>
  <c r="IS320" i="55" s="1"/>
  <c r="IV320" i="55" a="1"/>
  <c r="IV320" i="55" s="1"/>
  <c r="IW320" i="55" s="1"/>
  <c r="IN320" i="55" a="1"/>
  <c r="IN320" i="55" s="1"/>
  <c r="IO320" i="55" s="1"/>
  <c r="IT320" i="55" a="1"/>
  <c r="IT320" i="55" s="1"/>
  <c r="IU320" i="55" s="1"/>
  <c r="IP320" i="55" a="1"/>
  <c r="IP320" i="55" s="1"/>
  <c r="IQ320" i="55" s="1"/>
  <c r="AK323" i="55"/>
  <c r="HE323" i="55"/>
  <c r="HF322" i="55"/>
  <c r="HG322" i="55" s="1"/>
  <c r="HD324" i="55"/>
  <c r="HB324" i="55"/>
  <c r="HC324" i="55" s="1"/>
  <c r="HA325" i="55"/>
  <c r="HJ321" i="55"/>
  <c r="HI321" i="55"/>
  <c r="IF321" i="55" s="1"/>
  <c r="IG321" i="55" s="1"/>
  <c r="IL321" i="55"/>
  <c r="IM321" i="55" s="1"/>
  <c r="JS319" i="55"/>
  <c r="N319" i="55"/>
  <c r="JR320" i="55"/>
  <c r="JQ321" i="55"/>
  <c r="JR321" i="55"/>
  <c r="AK324" i="55" l="1"/>
  <c r="HE324" i="55"/>
  <c r="HF323" i="55"/>
  <c r="HG323" i="55" s="1"/>
  <c r="JS320" i="55"/>
  <c r="N320" i="55"/>
  <c r="JQ322" i="55"/>
  <c r="HH322" i="55"/>
  <c r="IX321" i="55" a="1"/>
  <c r="IX321" i="55" s="1"/>
  <c r="IY321" i="55" s="1"/>
  <c r="IR321" i="55" a="1"/>
  <c r="IR321" i="55" s="1"/>
  <c r="IS321" i="55" s="1"/>
  <c r="IT321" i="55" a="1"/>
  <c r="IT321" i="55" s="1"/>
  <c r="IU321" i="55" s="1"/>
  <c r="IV321" i="55" a="1"/>
  <c r="IV321" i="55" s="1"/>
  <c r="IW321" i="55" s="1"/>
  <c r="IP321" i="55" a="1"/>
  <c r="IP321" i="55" s="1"/>
  <c r="IQ321" i="55" s="1"/>
  <c r="IN321" i="55" a="1"/>
  <c r="IN321" i="55" s="1"/>
  <c r="IO321" i="55" s="1"/>
  <c r="JA321" i="55"/>
  <c r="HP321" i="55"/>
  <c r="IZ321" i="55" s="1"/>
  <c r="HK321" i="55"/>
  <c r="HR321" i="55"/>
  <c r="HO321" i="55"/>
  <c r="IH321" i="55" s="1"/>
  <c r="HD325" i="55"/>
  <c r="HB325" i="55"/>
  <c r="HC325" i="55" s="1"/>
  <c r="HA326" i="55"/>
  <c r="HI322" i="55" l="1"/>
  <c r="HJ322" i="55"/>
  <c r="IL322" i="55"/>
  <c r="IM322" i="55" s="1"/>
  <c r="JQ323" i="55"/>
  <c r="HB326" i="55"/>
  <c r="HC326" i="55" s="1"/>
  <c r="HD326" i="55"/>
  <c r="HA327" i="55"/>
  <c r="AK325" i="55"/>
  <c r="HE325" i="55"/>
  <c r="HF324" i="55"/>
  <c r="HG324" i="55" s="1"/>
  <c r="JS321" i="55"/>
  <c r="N321" i="55"/>
  <c r="HH323" i="55"/>
  <c r="HH324" i="55" l="1"/>
  <c r="HI324" i="55" s="1"/>
  <c r="HJ324" i="55"/>
  <c r="IL324" i="55"/>
  <c r="IM324" i="55" s="1"/>
  <c r="HB327" i="55"/>
  <c r="HC327" i="55" s="1"/>
  <c r="HD327" i="55"/>
  <c r="HA328" i="55"/>
  <c r="HI323" i="55"/>
  <c r="HJ323" i="55"/>
  <c r="IL323" i="55"/>
  <c r="IM323" i="55" s="1"/>
  <c r="AK326" i="55"/>
  <c r="HE326" i="55"/>
  <c r="JA322" i="55"/>
  <c r="HO322" i="55"/>
  <c r="IH322" i="55" s="1"/>
  <c r="HK322" i="55"/>
  <c r="HP322" i="55"/>
  <c r="IZ322" i="55" s="1"/>
  <c r="HR322" i="55"/>
  <c r="JQ324" i="55"/>
  <c r="HF325" i="55"/>
  <c r="HG325" i="55" s="1"/>
  <c r="HH325" i="55"/>
  <c r="IT322" i="55" a="1"/>
  <c r="IT322" i="55" s="1"/>
  <c r="IU322" i="55" s="1"/>
  <c r="IV322" i="55" a="1"/>
  <c r="IV322" i="55" s="1"/>
  <c r="IW322" i="55" s="1"/>
  <c r="IR322" i="55" a="1"/>
  <c r="IR322" i="55" s="1"/>
  <c r="IS322" i="55" s="1"/>
  <c r="IX322" i="55" a="1"/>
  <c r="IX322" i="55" s="1"/>
  <c r="IY322" i="55" s="1"/>
  <c r="IP322" i="55" a="1"/>
  <c r="IP322" i="55" s="1"/>
  <c r="IQ322" i="55" s="1"/>
  <c r="IN322" i="55" a="1"/>
  <c r="IN322" i="55" s="1"/>
  <c r="IO322" i="55" s="1"/>
  <c r="IF322" i="55"/>
  <c r="IG322" i="55" s="1"/>
  <c r="JR322" i="55"/>
  <c r="IF324" i="55" l="1"/>
  <c r="IG324" i="55" s="1"/>
  <c r="JR324" i="55"/>
  <c r="JS322" i="55"/>
  <c r="N322" i="55"/>
  <c r="HF326" i="55"/>
  <c r="HG326" i="55" s="1"/>
  <c r="HH326" i="55"/>
  <c r="IP324" i="55" a="1"/>
  <c r="IP324" i="55" s="1"/>
  <c r="IQ324" i="55" s="1"/>
  <c r="IX324" i="55" a="1"/>
  <c r="IX324" i="55" s="1"/>
  <c r="IY324" i="55" s="1"/>
  <c r="IV324" i="55" a="1"/>
  <c r="IV324" i="55" s="1"/>
  <c r="IW324" i="55" s="1"/>
  <c r="IN324" i="55" a="1"/>
  <c r="IN324" i="55" s="1"/>
  <c r="IO324" i="55" s="1"/>
  <c r="IT324" i="55" a="1"/>
  <c r="IT324" i="55" s="1"/>
  <c r="IU324" i="55" s="1"/>
  <c r="IR324" i="55" a="1"/>
  <c r="IR324" i="55" s="1"/>
  <c r="IS324" i="55" s="1"/>
  <c r="IF323" i="55"/>
  <c r="IG323" i="55" s="1"/>
  <c r="JR323" i="55"/>
  <c r="HI325" i="55"/>
  <c r="JR325" i="55" s="1"/>
  <c r="HJ325" i="55"/>
  <c r="JQ325" i="55"/>
  <c r="JA324" i="55"/>
  <c r="HO324" i="55"/>
  <c r="IH324" i="55" s="1"/>
  <c r="HP324" i="55"/>
  <c r="IZ324" i="55" s="1"/>
  <c r="HR324" i="55"/>
  <c r="IV323" i="55" a="1"/>
  <c r="IV323" i="55" s="1"/>
  <c r="IW323" i="55" s="1"/>
  <c r="IP323" i="55" a="1"/>
  <c r="IP323" i="55" s="1"/>
  <c r="IQ323" i="55" s="1"/>
  <c r="IN323" i="55" a="1"/>
  <c r="IN323" i="55" s="1"/>
  <c r="IO323" i="55" s="1"/>
  <c r="IT323" i="55" a="1"/>
  <c r="IT323" i="55" s="1"/>
  <c r="IU323" i="55" s="1"/>
  <c r="IX323" i="55" a="1"/>
  <c r="IX323" i="55" s="1"/>
  <c r="IY323" i="55" s="1"/>
  <c r="IR323" i="55" a="1"/>
  <c r="IR323" i="55" s="1"/>
  <c r="IS323" i="55" s="1"/>
  <c r="JA323" i="55"/>
  <c r="HR323" i="55"/>
  <c r="HO323" i="55"/>
  <c r="IH323" i="55" s="1"/>
  <c r="HK323" i="55"/>
  <c r="HK324" i="55" s="1"/>
  <c r="HP323" i="55"/>
  <c r="IZ323" i="55" s="1"/>
  <c r="HB328" i="55"/>
  <c r="HC328" i="55" s="1"/>
  <c r="HD328" i="55"/>
  <c r="HA329" i="55"/>
  <c r="AK327" i="55"/>
  <c r="HE327" i="55"/>
  <c r="JA325" i="55" l="1"/>
  <c r="HR325" i="55"/>
  <c r="HO325" i="55"/>
  <c r="IH325" i="55" s="1"/>
  <c r="HK325" i="55"/>
  <c r="HP325" i="55"/>
  <c r="IZ325" i="55" s="1"/>
  <c r="HF327" i="55"/>
  <c r="HG327" i="55" s="1"/>
  <c r="HH327" i="55"/>
  <c r="HI326" i="55"/>
  <c r="HJ326" i="55"/>
  <c r="IL326" i="55"/>
  <c r="IM326" i="55" s="1"/>
  <c r="JQ326" i="55"/>
  <c r="JS323" i="55"/>
  <c r="N323" i="55"/>
  <c r="IF325" i="55"/>
  <c r="IG325" i="55" s="1"/>
  <c r="HB329" i="55"/>
  <c r="HC329" i="55" s="1"/>
  <c r="HD329" i="55"/>
  <c r="HA330" i="55"/>
  <c r="AK328" i="55"/>
  <c r="HE328" i="55"/>
  <c r="JS324" i="55"/>
  <c r="N324" i="55"/>
  <c r="IF326" i="55" l="1"/>
  <c r="IG326" i="55" s="1"/>
  <c r="JR326" i="55"/>
  <c r="JA326" i="55"/>
  <c r="HR326" i="55"/>
  <c r="HK326" i="55"/>
  <c r="HO326" i="55"/>
  <c r="IH326" i="55" s="1"/>
  <c r="HP326" i="55"/>
  <c r="IZ326" i="55" s="1"/>
  <c r="IX326" i="55" a="1"/>
  <c r="IX326" i="55" s="1"/>
  <c r="IY326" i="55" s="1"/>
  <c r="IT326" i="55" a="1"/>
  <c r="IT326" i="55" s="1"/>
  <c r="IU326" i="55" s="1"/>
  <c r="IN326" i="55" a="1"/>
  <c r="IN326" i="55" s="1"/>
  <c r="IO326" i="55" s="1"/>
  <c r="IP326" i="55" a="1"/>
  <c r="IP326" i="55" s="1"/>
  <c r="IQ326" i="55" s="1"/>
  <c r="IV326" i="55" a="1"/>
  <c r="IV326" i="55" s="1"/>
  <c r="IW326" i="55" s="1"/>
  <c r="IR326" i="55" a="1"/>
  <c r="IR326" i="55" s="1"/>
  <c r="IS326" i="55" s="1"/>
  <c r="HI327" i="55"/>
  <c r="HJ327" i="55"/>
  <c r="IL327" i="55"/>
  <c r="IM327" i="55" s="1"/>
  <c r="JQ327" i="55"/>
  <c r="HF328" i="55"/>
  <c r="HG328" i="55" s="1"/>
  <c r="HH328" i="55" s="1"/>
  <c r="HD330" i="55"/>
  <c r="HB330" i="55"/>
  <c r="HC330" i="55" s="1"/>
  <c r="HA331" i="55"/>
  <c r="JS325" i="55"/>
  <c r="N325" i="55"/>
  <c r="AK329" i="55"/>
  <c r="HE329" i="55"/>
  <c r="IT327" i="55" l="1" a="1"/>
  <c r="IT327" i="55" s="1"/>
  <c r="IU327" i="55" s="1"/>
  <c r="IV327" i="55" a="1"/>
  <c r="IV327" i="55" s="1"/>
  <c r="IW327" i="55" s="1"/>
  <c r="IN327" i="55" a="1"/>
  <c r="IN327" i="55" s="1"/>
  <c r="IO327" i="55" s="1"/>
  <c r="IR327" i="55" a="1"/>
  <c r="IR327" i="55" s="1"/>
  <c r="IS327" i="55" s="1"/>
  <c r="IP327" i="55" a="1"/>
  <c r="IP327" i="55" s="1"/>
  <c r="IQ327" i="55" s="1"/>
  <c r="IX327" i="55" a="1"/>
  <c r="IX327" i="55" s="1"/>
  <c r="IY327" i="55" s="1"/>
  <c r="JA327" i="55"/>
  <c r="HR327" i="55"/>
  <c r="HK327" i="55"/>
  <c r="HP327" i="55"/>
  <c r="IZ327" i="55" s="1"/>
  <c r="HO327" i="55"/>
  <c r="IH327" i="55" s="1"/>
  <c r="IF327" i="55"/>
  <c r="IG327" i="55" s="1"/>
  <c r="JR327" i="55"/>
  <c r="JS326" i="55"/>
  <c r="N326" i="55"/>
  <c r="AK330" i="55"/>
  <c r="HE330" i="55"/>
  <c r="JQ328" i="55"/>
  <c r="HF329" i="55"/>
  <c r="HG329" i="55" s="1"/>
  <c r="HH329" i="55"/>
  <c r="HD331" i="55"/>
  <c r="HB331" i="55"/>
  <c r="HC331" i="55" s="1"/>
  <c r="HA332" i="55"/>
  <c r="HJ328" i="55"/>
  <c r="HI328" i="55"/>
  <c r="IF328" i="55" s="1"/>
  <c r="IG328" i="55" s="1"/>
  <c r="IL328" i="55"/>
  <c r="IM328" i="55" s="1"/>
  <c r="IR328" i="55" l="1" a="1"/>
  <c r="IR328" i="55" s="1"/>
  <c r="IS328" i="55" s="1"/>
  <c r="IT328" i="55" a="1"/>
  <c r="IT328" i="55" s="1"/>
  <c r="IU328" i="55" s="1"/>
  <c r="IV328" i="55" a="1"/>
  <c r="IV328" i="55" s="1"/>
  <c r="IW328" i="55" s="1"/>
  <c r="IX328" i="55" a="1"/>
  <c r="IX328" i="55" s="1"/>
  <c r="IY328" i="55" s="1"/>
  <c r="IN328" i="55" a="1"/>
  <c r="IN328" i="55" s="1"/>
  <c r="IO328" i="55" s="1"/>
  <c r="IP328" i="55" a="1"/>
  <c r="IP328" i="55" s="1"/>
  <c r="IQ328" i="55" s="1"/>
  <c r="HK328" i="55"/>
  <c r="JA328" i="55"/>
  <c r="HP328" i="55"/>
  <c r="IZ328" i="55" s="1"/>
  <c r="HO328" i="55"/>
  <c r="IH328" i="55" s="1"/>
  <c r="HR328" i="55"/>
  <c r="AK331" i="55"/>
  <c r="HE331" i="55"/>
  <c r="HJ329" i="55"/>
  <c r="HI329" i="55"/>
  <c r="IF329" i="55" s="1"/>
  <c r="IG329" i="55" s="1"/>
  <c r="IL329" i="55"/>
  <c r="IM329" i="55" s="1"/>
  <c r="JQ329" i="55"/>
  <c r="HD332" i="55"/>
  <c r="HB332" i="55"/>
  <c r="HC332" i="55" s="1"/>
  <c r="HA333" i="55"/>
  <c r="JS327" i="55"/>
  <c r="N327" i="55"/>
  <c r="JR328" i="55"/>
  <c r="HF330" i="55"/>
  <c r="HG330" i="55" s="1"/>
  <c r="HH330" i="55" s="1"/>
  <c r="HJ330" i="55" l="1"/>
  <c r="HI330" i="55"/>
  <c r="IF330" i="55" s="1"/>
  <c r="IG330" i="55" s="1"/>
  <c r="JA329" i="55"/>
  <c r="HP329" i="55"/>
  <c r="IZ329" i="55" s="1"/>
  <c r="HO329" i="55"/>
  <c r="IH329" i="55" s="1"/>
  <c r="HR329" i="55"/>
  <c r="HK329" i="55"/>
  <c r="IX329" i="55" a="1"/>
  <c r="IX329" i="55" s="1"/>
  <c r="IY329" i="55" s="1"/>
  <c r="IR329" i="55" a="1"/>
  <c r="IR329" i="55" s="1"/>
  <c r="IS329" i="55" s="1"/>
  <c r="IT329" i="55" a="1"/>
  <c r="IT329" i="55" s="1"/>
  <c r="IU329" i="55" s="1"/>
  <c r="IN329" i="55" a="1"/>
  <c r="IN329" i="55" s="1"/>
  <c r="IO329" i="55" s="1"/>
  <c r="IV329" i="55" a="1"/>
  <c r="IV329" i="55" s="1"/>
  <c r="IW329" i="55" s="1"/>
  <c r="IP329" i="55" a="1"/>
  <c r="IP329" i="55" s="1"/>
  <c r="IQ329" i="55" s="1"/>
  <c r="HF331" i="55"/>
  <c r="HG331" i="55" s="1"/>
  <c r="JQ330" i="55"/>
  <c r="HD333" i="55"/>
  <c r="HB333" i="55"/>
  <c r="HC333" i="55" s="1"/>
  <c r="HA334" i="55"/>
  <c r="JS328" i="55"/>
  <c r="N328" i="55"/>
  <c r="AK332" i="55"/>
  <c r="HE332" i="55"/>
  <c r="JR329" i="55"/>
  <c r="JQ331" i="55" l="1"/>
  <c r="HH331" i="55"/>
  <c r="HB334" i="55"/>
  <c r="HC334" i="55" s="1"/>
  <c r="HD334" i="55"/>
  <c r="HA335" i="55"/>
  <c r="HF332" i="55"/>
  <c r="HG332" i="55" s="1"/>
  <c r="AK333" i="55"/>
  <c r="HE333" i="55"/>
  <c r="JS329" i="55"/>
  <c r="N329" i="55"/>
  <c r="JR330" i="55"/>
  <c r="JA330" i="55"/>
  <c r="HR330" i="55"/>
  <c r="HK330" i="55"/>
  <c r="HO330" i="55"/>
  <c r="IH330" i="55" s="1"/>
  <c r="HP330" i="55"/>
  <c r="IZ330" i="55" s="1"/>
  <c r="HF333" i="55" l="1"/>
  <c r="HG333" i="55" s="1"/>
  <c r="HB335" i="55"/>
  <c r="HC335" i="55" s="1"/>
  <c r="HD335" i="55"/>
  <c r="HA336" i="55"/>
  <c r="HJ331" i="55"/>
  <c r="HI331" i="55"/>
  <c r="IL331" i="55"/>
  <c r="IM331" i="55" s="1"/>
  <c r="JQ332" i="55"/>
  <c r="HH332" i="55"/>
  <c r="AK334" i="55"/>
  <c r="HE334" i="55"/>
  <c r="JS330" i="55"/>
  <c r="N330" i="55"/>
  <c r="JA331" i="55" l="1"/>
  <c r="HR331" i="55"/>
  <c r="HP331" i="55"/>
  <c r="IZ331" i="55" s="1"/>
  <c r="HO331" i="55"/>
  <c r="IH331" i="55" s="1"/>
  <c r="HK331" i="55"/>
  <c r="HF334" i="55"/>
  <c r="HG334" i="55" s="1"/>
  <c r="HI332" i="55"/>
  <c r="HJ332" i="55"/>
  <c r="IL332" i="55"/>
  <c r="IM332" i="55" s="1"/>
  <c r="HB336" i="55"/>
  <c r="HC336" i="55" s="1"/>
  <c r="HD336" i="55"/>
  <c r="HA337" i="55"/>
  <c r="IX331" i="55" a="1"/>
  <c r="IX331" i="55" s="1"/>
  <c r="IY331" i="55" s="1"/>
  <c r="IP331" i="55" a="1"/>
  <c r="IP331" i="55" s="1"/>
  <c r="IQ331" i="55" s="1"/>
  <c r="IR331" i="55" a="1"/>
  <c r="IR331" i="55" s="1"/>
  <c r="IS331" i="55" s="1"/>
  <c r="IN331" i="55" a="1"/>
  <c r="IN331" i="55" s="1"/>
  <c r="IO331" i="55" s="1"/>
  <c r="IV331" i="55" a="1"/>
  <c r="IV331" i="55" s="1"/>
  <c r="IW331" i="55" s="1"/>
  <c r="IT331" i="55" a="1"/>
  <c r="IT331" i="55" s="1"/>
  <c r="IU331" i="55" s="1"/>
  <c r="IF331" i="55"/>
  <c r="IG331" i="55" s="1"/>
  <c r="JR331" i="55"/>
  <c r="AK335" i="55"/>
  <c r="HE335" i="55"/>
  <c r="JQ333" i="55"/>
  <c r="HH333" i="55"/>
  <c r="HB337" i="55" l="1"/>
  <c r="HC337" i="55" s="1"/>
  <c r="HD337" i="55"/>
  <c r="HA338" i="55"/>
  <c r="HI333" i="55"/>
  <c r="HJ333" i="55"/>
  <c r="IL333" i="55"/>
  <c r="IM333" i="55" s="1"/>
  <c r="HF335" i="55"/>
  <c r="HG335" i="55" s="1"/>
  <c r="HH335" i="55"/>
  <c r="JS331" i="55"/>
  <c r="N331" i="55"/>
  <c r="IV332" i="55" a="1"/>
  <c r="IV332" i="55" s="1"/>
  <c r="IW332" i="55" s="1"/>
  <c r="IX332" i="55" a="1"/>
  <c r="IX332" i="55" s="1"/>
  <c r="IY332" i="55" s="1"/>
  <c r="IP332" i="55" a="1"/>
  <c r="IP332" i="55" s="1"/>
  <c r="IQ332" i="55" s="1"/>
  <c r="IR332" i="55" a="1"/>
  <c r="IR332" i="55" s="1"/>
  <c r="IS332" i="55" s="1"/>
  <c r="IN332" i="55" a="1"/>
  <c r="IN332" i="55" s="1"/>
  <c r="IO332" i="55" s="1"/>
  <c r="IT332" i="55" a="1"/>
  <c r="IT332" i="55" s="1"/>
  <c r="IU332" i="55" s="1"/>
  <c r="JQ334" i="55"/>
  <c r="AK336" i="55"/>
  <c r="HE336" i="55"/>
  <c r="HR332" i="55"/>
  <c r="HK332" i="55"/>
  <c r="HO332" i="55"/>
  <c r="IH332" i="55" s="1"/>
  <c r="HP332" i="55"/>
  <c r="IZ332" i="55" s="1"/>
  <c r="JA332" i="55"/>
  <c r="IF332" i="55"/>
  <c r="IG332" i="55" s="1"/>
  <c r="JR332" i="55"/>
  <c r="HH334" i="55"/>
  <c r="HJ334" i="55" l="1"/>
  <c r="HI334" i="55"/>
  <c r="IL334" i="55"/>
  <c r="IM334" i="55" s="1"/>
  <c r="HI335" i="55"/>
  <c r="HJ335" i="55"/>
  <c r="JQ335" i="55"/>
  <c r="JR335" i="55"/>
  <c r="IF333" i="55"/>
  <c r="IG333" i="55" s="1"/>
  <c r="JR333" i="55"/>
  <c r="JS332" i="55"/>
  <c r="N332" i="55"/>
  <c r="HF336" i="55"/>
  <c r="HG336" i="55" s="1"/>
  <c r="HH336" i="55"/>
  <c r="AK337" i="55"/>
  <c r="HE337" i="55"/>
  <c r="IX333" i="55" a="1"/>
  <c r="IX333" i="55" s="1"/>
  <c r="IY333" i="55" s="1"/>
  <c r="IT333" i="55" a="1"/>
  <c r="IT333" i="55" s="1"/>
  <c r="IU333" i="55" s="1"/>
  <c r="IN333" i="55" a="1"/>
  <c r="IN333" i="55" s="1"/>
  <c r="IO333" i="55" s="1"/>
  <c r="IP333" i="55" a="1"/>
  <c r="IP333" i="55" s="1"/>
  <c r="IQ333" i="55" s="1"/>
  <c r="IR333" i="55" a="1"/>
  <c r="IR333" i="55" s="1"/>
  <c r="IS333" i="55" s="1"/>
  <c r="IV333" i="55" a="1"/>
  <c r="IV333" i="55" s="1"/>
  <c r="IW333" i="55" s="1"/>
  <c r="JA333" i="55"/>
  <c r="HR333" i="55"/>
  <c r="HP333" i="55"/>
  <c r="IZ333" i="55" s="1"/>
  <c r="HO333" i="55"/>
  <c r="IH333" i="55" s="1"/>
  <c r="HK333" i="55"/>
  <c r="HB338" i="55"/>
  <c r="HC338" i="55" s="1"/>
  <c r="HD338" i="55"/>
  <c r="HA339" i="55"/>
  <c r="AK338" i="55" l="1"/>
  <c r="HE338" i="55"/>
  <c r="JQ336" i="55"/>
  <c r="HB339" i="55"/>
  <c r="HC339" i="55" s="1"/>
  <c r="HD339" i="55"/>
  <c r="HA340" i="55"/>
  <c r="IV334" i="55" a="1"/>
  <c r="IV334" i="55" s="1"/>
  <c r="IW334" i="55" s="1"/>
  <c r="IN334" i="55" a="1"/>
  <c r="IN334" i="55" s="1"/>
  <c r="IO334" i="55" s="1"/>
  <c r="IT334" i="55" a="1"/>
  <c r="IT334" i="55" s="1"/>
  <c r="IU334" i="55" s="1"/>
  <c r="IX334" i="55" a="1"/>
  <c r="IX334" i="55" s="1"/>
  <c r="IY334" i="55" s="1"/>
  <c r="IP334" i="55" a="1"/>
  <c r="IP334" i="55" s="1"/>
  <c r="IQ334" i="55" s="1"/>
  <c r="IR334" i="55" a="1"/>
  <c r="IR334" i="55" s="1"/>
  <c r="IS334" i="55" s="1"/>
  <c r="JS333" i="55"/>
  <c r="N333" i="55"/>
  <c r="IF335" i="55"/>
  <c r="IG335" i="55" s="1"/>
  <c r="IF334" i="55"/>
  <c r="IG334" i="55" s="1"/>
  <c r="JR334" i="55"/>
  <c r="HF337" i="55"/>
  <c r="HG337" i="55" s="1"/>
  <c r="HH337" i="55"/>
  <c r="HI336" i="55"/>
  <c r="HJ336" i="55"/>
  <c r="HP335" i="55"/>
  <c r="IZ335" i="55" s="1"/>
  <c r="JA335" i="55"/>
  <c r="HO335" i="55"/>
  <c r="IH335" i="55" s="1"/>
  <c r="HR335" i="55"/>
  <c r="HK335" i="55"/>
  <c r="HP334" i="55"/>
  <c r="IZ334" i="55" s="1"/>
  <c r="JA334" i="55"/>
  <c r="HO334" i="55"/>
  <c r="IH334" i="55" s="1"/>
  <c r="HR334" i="55"/>
  <c r="HK334" i="55"/>
  <c r="JS334" i="55" l="1"/>
  <c r="N334" i="55"/>
  <c r="JS335" i="55"/>
  <c r="N335" i="55"/>
  <c r="JA336" i="55"/>
  <c r="HO336" i="55"/>
  <c r="IH336" i="55" s="1"/>
  <c r="HP336" i="55"/>
  <c r="IZ336" i="55" s="1"/>
  <c r="HK336" i="55"/>
  <c r="HR336" i="55"/>
  <c r="IF336" i="55"/>
  <c r="IG336" i="55" s="1"/>
  <c r="HF338" i="55"/>
  <c r="HG338" i="55" s="1"/>
  <c r="HB340" i="55"/>
  <c r="HC340" i="55" s="1"/>
  <c r="HD340" i="55"/>
  <c r="HA341" i="55"/>
  <c r="AK339" i="55"/>
  <c r="HE339" i="55"/>
  <c r="HJ337" i="55"/>
  <c r="HI337" i="55"/>
  <c r="IL337" i="55"/>
  <c r="IM337" i="55" s="1"/>
  <c r="JQ337" i="55"/>
  <c r="JR337" i="55"/>
  <c r="JR336" i="55"/>
  <c r="IF337" i="55" l="1"/>
  <c r="IG337" i="55" s="1"/>
  <c r="HB341" i="55"/>
  <c r="HC341" i="55" s="1"/>
  <c r="HD341" i="55"/>
  <c r="HA342" i="55"/>
  <c r="AK340" i="55"/>
  <c r="HE340" i="55"/>
  <c r="JQ338" i="55"/>
  <c r="HH338" i="55"/>
  <c r="IT337" i="55" a="1"/>
  <c r="IT337" i="55" s="1"/>
  <c r="IU337" i="55" s="1"/>
  <c r="IR337" i="55" a="1"/>
  <c r="IR337" i="55" s="1"/>
  <c r="IS337" i="55" s="1"/>
  <c r="IV337" i="55" a="1"/>
  <c r="IV337" i="55" s="1"/>
  <c r="IW337" i="55" s="1"/>
  <c r="IP337" i="55" a="1"/>
  <c r="IP337" i="55" s="1"/>
  <c r="IQ337" i="55" s="1"/>
  <c r="IN337" i="55" a="1"/>
  <c r="IN337" i="55" s="1"/>
  <c r="IO337" i="55" s="1"/>
  <c r="IX337" i="55" a="1"/>
  <c r="IX337" i="55" s="1"/>
  <c r="IY337" i="55" s="1"/>
  <c r="JA337" i="55"/>
  <c r="HP337" i="55"/>
  <c r="IZ337" i="55" s="1"/>
  <c r="HO337" i="55"/>
  <c r="IH337" i="55" s="1"/>
  <c r="HR337" i="55"/>
  <c r="HK337" i="55"/>
  <c r="JS336" i="55"/>
  <c r="N336" i="55"/>
  <c r="HF339" i="55"/>
  <c r="HG339" i="55" s="1"/>
  <c r="HJ338" i="55" l="1"/>
  <c r="HI338" i="55"/>
  <c r="IL338" i="55"/>
  <c r="IM338" i="55" s="1"/>
  <c r="HD342" i="55"/>
  <c r="HB342" i="55"/>
  <c r="HC342" i="55" s="1"/>
  <c r="HA343" i="55"/>
  <c r="HH339" i="55"/>
  <c r="JQ339" i="55"/>
  <c r="HF340" i="55"/>
  <c r="HG340" i="55" s="1"/>
  <c r="HH340" i="55" s="1"/>
  <c r="AK341" i="55"/>
  <c r="HE341" i="55"/>
  <c r="JS337" i="55"/>
  <c r="N337" i="55"/>
  <c r="HJ340" i="55" l="1"/>
  <c r="HI340" i="55"/>
  <c r="IF340" i="55" s="1"/>
  <c r="IG340" i="55" s="1"/>
  <c r="IL340" i="55"/>
  <c r="IM340" i="55" s="1"/>
  <c r="AK342" i="55"/>
  <c r="HE342" i="55"/>
  <c r="HF341" i="55"/>
  <c r="HG341" i="55" s="1"/>
  <c r="HD343" i="55"/>
  <c r="HB343" i="55"/>
  <c r="HC343" i="55" s="1"/>
  <c r="HA344" i="55"/>
  <c r="JR340" i="55"/>
  <c r="JQ340" i="55"/>
  <c r="HJ339" i="55"/>
  <c r="HI339" i="55"/>
  <c r="IL339" i="55"/>
  <c r="IM339" i="55" s="1"/>
  <c r="IX338" i="55" a="1"/>
  <c r="IX338" i="55" s="1"/>
  <c r="IY338" i="55" s="1"/>
  <c r="IV338" i="55" a="1"/>
  <c r="IV338" i="55" s="1"/>
  <c r="IW338" i="55" s="1"/>
  <c r="IT338" i="55" a="1"/>
  <c r="IT338" i="55" s="1"/>
  <c r="IU338" i="55" s="1"/>
  <c r="IR338" i="55" a="1"/>
  <c r="IR338" i="55" s="1"/>
  <c r="IS338" i="55" s="1"/>
  <c r="IN338" i="55" a="1"/>
  <c r="IN338" i="55" s="1"/>
  <c r="IO338" i="55" s="1"/>
  <c r="IP338" i="55" a="1"/>
  <c r="IP338" i="55" s="1"/>
  <c r="IQ338" i="55" s="1"/>
  <c r="IF338" i="55"/>
  <c r="IG338" i="55" s="1"/>
  <c r="JR338" i="55"/>
  <c r="JA338" i="55"/>
  <c r="HO338" i="55"/>
  <c r="IH338" i="55" s="1"/>
  <c r="HP338" i="55"/>
  <c r="IZ338" i="55" s="1"/>
  <c r="HR338" i="55"/>
  <c r="HK338" i="55"/>
  <c r="JS338" i="55" l="1"/>
  <c r="N338" i="55"/>
  <c r="HD344" i="55"/>
  <c r="HB344" i="55"/>
  <c r="HC344" i="55" s="1"/>
  <c r="HA345" i="55"/>
  <c r="JQ341" i="55"/>
  <c r="HH341" i="55"/>
  <c r="IV340" i="55" a="1"/>
  <c r="IV340" i="55" s="1"/>
  <c r="IW340" i="55" s="1"/>
  <c r="IP340" i="55" a="1"/>
  <c r="IP340" i="55" s="1"/>
  <c r="IQ340" i="55" s="1"/>
  <c r="IX340" i="55" a="1"/>
  <c r="IX340" i="55" s="1"/>
  <c r="IY340" i="55" s="1"/>
  <c r="IR340" i="55" a="1"/>
  <c r="IR340" i="55" s="1"/>
  <c r="IS340" i="55" s="1"/>
  <c r="IT340" i="55" a="1"/>
  <c r="IT340" i="55" s="1"/>
  <c r="IU340" i="55" s="1"/>
  <c r="IN340" i="55" a="1"/>
  <c r="IN340" i="55" s="1"/>
  <c r="IO340" i="55" s="1"/>
  <c r="IF339" i="55"/>
  <c r="IG339" i="55" s="1"/>
  <c r="JR339" i="55"/>
  <c r="HO339" i="55"/>
  <c r="IH339" i="55" s="1"/>
  <c r="JA339" i="55"/>
  <c r="HP339" i="55"/>
  <c r="IZ339" i="55" s="1"/>
  <c r="HK339" i="55"/>
  <c r="HK340" i="55" s="1"/>
  <c r="HR339" i="55"/>
  <c r="IV339" i="55" a="1"/>
  <c r="IV339" i="55" s="1"/>
  <c r="IW339" i="55" s="1"/>
  <c r="IP339" i="55" a="1"/>
  <c r="IP339" i="55" s="1"/>
  <c r="IQ339" i="55" s="1"/>
  <c r="IR339" i="55" a="1"/>
  <c r="IR339" i="55" s="1"/>
  <c r="IS339" i="55" s="1"/>
  <c r="IT339" i="55" a="1"/>
  <c r="IT339" i="55" s="1"/>
  <c r="IU339" i="55" s="1"/>
  <c r="IN339" i="55" a="1"/>
  <c r="IN339" i="55" s="1"/>
  <c r="IO339" i="55" s="1"/>
  <c r="IX339" i="55" a="1"/>
  <c r="IX339" i="55" s="1"/>
  <c r="IY339" i="55" s="1"/>
  <c r="AK343" i="55"/>
  <c r="HE343" i="55"/>
  <c r="HF342" i="55"/>
  <c r="HG342" i="55" s="1"/>
  <c r="HH342" i="55"/>
  <c r="JA340" i="55"/>
  <c r="HO340" i="55"/>
  <c r="IH340" i="55" s="1"/>
  <c r="HP340" i="55"/>
  <c r="IZ340" i="55" s="1"/>
  <c r="HR340" i="55"/>
  <c r="JS340" i="55" l="1"/>
  <c r="N340" i="55"/>
  <c r="JQ342" i="55"/>
  <c r="HF343" i="55"/>
  <c r="HG343" i="55" s="1"/>
  <c r="HH343" i="55" s="1"/>
  <c r="HD345" i="55"/>
  <c r="HB345" i="55"/>
  <c r="HC345" i="55" s="1"/>
  <c r="HA346" i="55"/>
  <c r="AK344" i="55"/>
  <c r="HE344" i="55"/>
  <c r="HI342" i="55"/>
  <c r="HJ342" i="55"/>
  <c r="IL342" i="55"/>
  <c r="IM342" i="55" s="1"/>
  <c r="HI341" i="55"/>
  <c r="HJ341" i="55"/>
  <c r="JS339" i="55"/>
  <c r="N339" i="55"/>
  <c r="HJ343" i="55" l="1"/>
  <c r="HI343" i="55"/>
  <c r="IL343" i="55"/>
  <c r="IM343" i="55" s="1"/>
  <c r="IN342" i="55" a="1"/>
  <c r="IN342" i="55" s="1"/>
  <c r="IO342" i="55" s="1"/>
  <c r="IV342" i="55" a="1"/>
  <c r="IV342" i="55" s="1"/>
  <c r="IW342" i="55" s="1"/>
  <c r="IX342" i="55" a="1"/>
  <c r="IX342" i="55" s="1"/>
  <c r="IY342" i="55" s="1"/>
  <c r="IP342" i="55" a="1"/>
  <c r="IP342" i="55" s="1"/>
  <c r="IQ342" i="55" s="1"/>
  <c r="IT342" i="55" a="1"/>
  <c r="IT342" i="55" s="1"/>
  <c r="IU342" i="55" s="1"/>
  <c r="IR342" i="55" a="1"/>
  <c r="IR342" i="55" s="1"/>
  <c r="IS342" i="55" s="1"/>
  <c r="IF342" i="55"/>
  <c r="IG342" i="55" s="1"/>
  <c r="AK345" i="55"/>
  <c r="HE345" i="55"/>
  <c r="JR342" i="55"/>
  <c r="IF341" i="55"/>
  <c r="IG341" i="55" s="1"/>
  <c r="JR341" i="55"/>
  <c r="JA342" i="55"/>
  <c r="HR342" i="55"/>
  <c r="HP342" i="55"/>
  <c r="IZ342" i="55" s="1"/>
  <c r="HO342" i="55"/>
  <c r="IH342" i="55" s="1"/>
  <c r="HF344" i="55"/>
  <c r="HG344" i="55" s="1"/>
  <c r="HH344" i="55"/>
  <c r="JA341" i="55"/>
  <c r="HP341" i="55"/>
  <c r="IZ341" i="55" s="1"/>
  <c r="HK341" i="55"/>
  <c r="HK342" i="55" s="1"/>
  <c r="HR341" i="55"/>
  <c r="HO341" i="55"/>
  <c r="IH341" i="55" s="1"/>
  <c r="HD346" i="55"/>
  <c r="HB346" i="55"/>
  <c r="HC346" i="55" s="1"/>
  <c r="HA347" i="55"/>
  <c r="JR343" i="55"/>
  <c r="JQ343" i="55"/>
  <c r="IF343" i="55" l="1"/>
  <c r="IG343" i="55" s="1"/>
  <c r="HD347" i="55"/>
  <c r="HB347" i="55"/>
  <c r="HC347" i="55" s="1"/>
  <c r="HA348" i="55"/>
  <c r="JS342" i="55"/>
  <c r="N342" i="55"/>
  <c r="JS341" i="55"/>
  <c r="N341" i="55"/>
  <c r="HI344" i="55"/>
  <c r="HJ344" i="55"/>
  <c r="IL344" i="55"/>
  <c r="IM344" i="55" s="1"/>
  <c r="AK346" i="55"/>
  <c r="HE346" i="55"/>
  <c r="HF345" i="55"/>
  <c r="HG345" i="55" s="1"/>
  <c r="HH345" i="55"/>
  <c r="JR344" i="55"/>
  <c r="JQ344" i="55"/>
  <c r="IV343" i="55" a="1"/>
  <c r="IV343" i="55" s="1"/>
  <c r="IW343" i="55" s="1"/>
  <c r="IX343" i="55" a="1"/>
  <c r="IX343" i="55" s="1"/>
  <c r="IY343" i="55" s="1"/>
  <c r="IN343" i="55" a="1"/>
  <c r="IN343" i="55" s="1"/>
  <c r="IO343" i="55" s="1"/>
  <c r="IR343" i="55" a="1"/>
  <c r="IR343" i="55" s="1"/>
  <c r="IS343" i="55" s="1"/>
  <c r="IT343" i="55" a="1"/>
  <c r="IT343" i="55" s="1"/>
  <c r="IU343" i="55" s="1"/>
  <c r="IP343" i="55" a="1"/>
  <c r="IP343" i="55" s="1"/>
  <c r="IQ343" i="55" s="1"/>
  <c r="JA343" i="55"/>
  <c r="HR343" i="55"/>
  <c r="HP343" i="55"/>
  <c r="IZ343" i="55" s="1"/>
  <c r="HO343" i="55"/>
  <c r="IH343" i="55" s="1"/>
  <c r="HK343" i="55"/>
  <c r="JS343" i="55" l="1"/>
  <c r="N343" i="55"/>
  <c r="JA344" i="55"/>
  <c r="HK344" i="55"/>
  <c r="HR344" i="55"/>
  <c r="HP344" i="55"/>
  <c r="IZ344" i="55" s="1"/>
  <c r="HO344" i="55"/>
  <c r="IH344" i="55" s="1"/>
  <c r="IF344" i="55"/>
  <c r="IG344" i="55" s="1"/>
  <c r="HI345" i="55"/>
  <c r="HJ345" i="55"/>
  <c r="IL345" i="55"/>
  <c r="IM345" i="55" s="1"/>
  <c r="JR345" i="55"/>
  <c r="JQ345" i="55"/>
  <c r="HF346" i="55"/>
  <c r="HG346" i="55" s="1"/>
  <c r="HH346" i="55" s="1"/>
  <c r="IT344" i="55" a="1"/>
  <c r="IT344" i="55" s="1"/>
  <c r="IU344" i="55" s="1"/>
  <c r="IR344" i="55" a="1"/>
  <c r="IR344" i="55" s="1"/>
  <c r="IS344" i="55" s="1"/>
  <c r="IV344" i="55" a="1"/>
  <c r="IV344" i="55" s="1"/>
  <c r="IW344" i="55" s="1"/>
  <c r="IP344" i="55" a="1"/>
  <c r="IP344" i="55" s="1"/>
  <c r="IQ344" i="55" s="1"/>
  <c r="IX344" i="55" a="1"/>
  <c r="IX344" i="55" s="1"/>
  <c r="IY344" i="55" s="1"/>
  <c r="IN344" i="55" a="1"/>
  <c r="IN344" i="55" s="1"/>
  <c r="IO344" i="55" s="1"/>
  <c r="HD348" i="55"/>
  <c r="HB348" i="55"/>
  <c r="HC348" i="55" s="1"/>
  <c r="HA349" i="55"/>
  <c r="AK347" i="55"/>
  <c r="HE347" i="55"/>
  <c r="HJ346" i="55" l="1"/>
  <c r="HI346" i="55"/>
  <c r="IL346" i="55"/>
  <c r="IM346" i="55" s="1"/>
  <c r="HD349" i="55"/>
  <c r="HB349" i="55"/>
  <c r="HC349" i="55" s="1"/>
  <c r="HA350" i="55"/>
  <c r="IX345" i="55" a="1"/>
  <c r="IX345" i="55" s="1"/>
  <c r="IY345" i="55" s="1"/>
  <c r="IR345" i="55" a="1"/>
  <c r="IR345" i="55" s="1"/>
  <c r="IS345" i="55" s="1"/>
  <c r="IT345" i="55" a="1"/>
  <c r="IT345" i="55" s="1"/>
  <c r="IU345" i="55" s="1"/>
  <c r="IN345" i="55" a="1"/>
  <c r="IN345" i="55" s="1"/>
  <c r="IO345" i="55" s="1"/>
  <c r="IV345" i="55" a="1"/>
  <c r="IV345" i="55" s="1"/>
  <c r="IW345" i="55" s="1"/>
  <c r="IP345" i="55" a="1"/>
  <c r="IP345" i="55" s="1"/>
  <c r="IQ345" i="55" s="1"/>
  <c r="JA345" i="55"/>
  <c r="HR345" i="55"/>
  <c r="HO345" i="55"/>
  <c r="IH345" i="55" s="1"/>
  <c r="HP345" i="55"/>
  <c r="IZ345" i="55" s="1"/>
  <c r="HK345" i="55"/>
  <c r="IF345" i="55"/>
  <c r="IG345" i="55" s="1"/>
  <c r="AK348" i="55"/>
  <c r="HE348" i="55"/>
  <c r="JS344" i="55"/>
  <c r="N344" i="55"/>
  <c r="JQ346" i="55"/>
  <c r="JR346" i="55"/>
  <c r="HF347" i="55"/>
  <c r="HG347" i="55" s="1"/>
  <c r="HH347" i="55" s="1"/>
  <c r="IF346" i="55" l="1"/>
  <c r="IG346" i="55" s="1"/>
  <c r="HI347" i="55"/>
  <c r="HJ347" i="55"/>
  <c r="IL347" i="55"/>
  <c r="IM347" i="55" s="1"/>
  <c r="HB350" i="55"/>
  <c r="HC350" i="55" s="1"/>
  <c r="HD350" i="55"/>
  <c r="HA351" i="55"/>
  <c r="AK349" i="55"/>
  <c r="HE349" i="55"/>
  <c r="JS345" i="55"/>
  <c r="N345" i="55"/>
  <c r="HF348" i="55"/>
  <c r="HG348" i="55" s="1"/>
  <c r="JQ347" i="55"/>
  <c r="JR347" i="55"/>
  <c r="IT346" i="55" a="1"/>
  <c r="IT346" i="55" s="1"/>
  <c r="IU346" i="55" s="1"/>
  <c r="IX346" i="55" a="1"/>
  <c r="IX346" i="55" s="1"/>
  <c r="IY346" i="55" s="1"/>
  <c r="IP346" i="55" a="1"/>
  <c r="IP346" i="55" s="1"/>
  <c r="IQ346" i="55" s="1"/>
  <c r="IN346" i="55" a="1"/>
  <c r="IN346" i="55" s="1"/>
  <c r="IO346" i="55" s="1"/>
  <c r="IR346" i="55" a="1"/>
  <c r="IR346" i="55" s="1"/>
  <c r="IS346" i="55" s="1"/>
  <c r="IV346" i="55" a="1"/>
  <c r="IV346" i="55" s="1"/>
  <c r="IW346" i="55" s="1"/>
  <c r="JA346" i="55"/>
  <c r="HR346" i="55"/>
  <c r="HK346" i="55"/>
  <c r="HO346" i="55"/>
  <c r="IH346" i="55" s="1"/>
  <c r="HP346" i="55"/>
  <c r="IZ346" i="55" s="1"/>
  <c r="HB351" i="55" l="1"/>
  <c r="HC351" i="55" s="1"/>
  <c r="HD351" i="55"/>
  <c r="HA352" i="55"/>
  <c r="AK350" i="55"/>
  <c r="HE350" i="55"/>
  <c r="JQ348" i="55"/>
  <c r="HH348" i="55"/>
  <c r="IX347" i="55" a="1"/>
  <c r="IX347" i="55" s="1"/>
  <c r="IY347" i="55" s="1"/>
  <c r="IP347" i="55" a="1"/>
  <c r="IP347" i="55" s="1"/>
  <c r="IQ347" i="55" s="1"/>
  <c r="IT347" i="55" a="1"/>
  <c r="IT347" i="55" s="1"/>
  <c r="IU347" i="55" s="1"/>
  <c r="IN347" i="55" a="1"/>
  <c r="IN347" i="55" s="1"/>
  <c r="IO347" i="55" s="1"/>
  <c r="IR347" i="55" a="1"/>
  <c r="IR347" i="55" s="1"/>
  <c r="IS347" i="55" s="1"/>
  <c r="IV347" i="55" a="1"/>
  <c r="IV347" i="55" s="1"/>
  <c r="IW347" i="55" s="1"/>
  <c r="HF349" i="55"/>
  <c r="HG349" i="55" s="1"/>
  <c r="JA347" i="55"/>
  <c r="HR347" i="55"/>
  <c r="HP347" i="55"/>
  <c r="IZ347" i="55" s="1"/>
  <c r="HO347" i="55"/>
  <c r="IH347" i="55" s="1"/>
  <c r="HK347" i="55"/>
  <c r="JS346" i="55"/>
  <c r="N346" i="55"/>
  <c r="IF347" i="55"/>
  <c r="IG347" i="55" s="1"/>
  <c r="JS347" i="55" l="1"/>
  <c r="N347" i="55"/>
  <c r="AK351" i="55"/>
  <c r="HE351" i="55"/>
  <c r="JQ349" i="55"/>
  <c r="HH349" i="55"/>
  <c r="HI348" i="55"/>
  <c r="HJ348" i="55"/>
  <c r="IL348" i="55"/>
  <c r="IM348" i="55" s="1"/>
  <c r="HF350" i="55"/>
  <c r="HG350" i="55" s="1"/>
  <c r="HB352" i="55"/>
  <c r="HC352" i="55" s="1"/>
  <c r="HD352" i="55"/>
  <c r="AK352" i="55" l="1"/>
  <c r="L3" i="40" s="1" a="1"/>
  <c r="L3" i="40" s="1"/>
  <c r="HE352" i="55"/>
  <c r="JQ350" i="55"/>
  <c r="HI349" i="55"/>
  <c r="HJ349" i="55"/>
  <c r="IL349" i="55"/>
  <c r="IM349" i="55" s="1"/>
  <c r="IP348" i="55" a="1"/>
  <c r="IP348" i="55" s="1"/>
  <c r="IQ348" i="55" s="1"/>
  <c r="IT348" i="55" a="1"/>
  <c r="IT348" i="55" s="1"/>
  <c r="IU348" i="55" s="1"/>
  <c r="IN348" i="55" a="1"/>
  <c r="IN348" i="55" s="1"/>
  <c r="IO348" i="55" s="1"/>
  <c r="IX348" i="55" a="1"/>
  <c r="IX348" i="55" s="1"/>
  <c r="IY348" i="55" s="1"/>
  <c r="IV348" i="55" a="1"/>
  <c r="IV348" i="55" s="1"/>
  <c r="IW348" i="55" s="1"/>
  <c r="IR348" i="55" a="1"/>
  <c r="IR348" i="55" s="1"/>
  <c r="IS348" i="55" s="1"/>
  <c r="JA348" i="55"/>
  <c r="HR348" i="55"/>
  <c r="HK348" i="55"/>
  <c r="HO348" i="55"/>
  <c r="IH348" i="55" s="1"/>
  <c r="HP348" i="55"/>
  <c r="IZ348" i="55" s="1"/>
  <c r="IF348" i="55"/>
  <c r="IG348" i="55" s="1"/>
  <c r="JR348" i="55"/>
  <c r="HF351" i="55"/>
  <c r="HG351" i="55" s="1"/>
  <c r="HH350" i="55"/>
  <c r="JS348" i="55" l="1"/>
  <c r="N348" i="55"/>
  <c r="HJ350" i="55"/>
  <c r="HI350" i="55"/>
  <c r="IL350" i="55"/>
  <c r="IM350" i="55" s="1"/>
  <c r="JQ351" i="55"/>
  <c r="IR349" i="55" a="1"/>
  <c r="IR349" i="55" s="1"/>
  <c r="IS349" i="55" s="1"/>
  <c r="IP349" i="55" a="1"/>
  <c r="IP349" i="55" s="1"/>
  <c r="IQ349" i="55" s="1"/>
  <c r="IT349" i="55" a="1"/>
  <c r="IT349" i="55" s="1"/>
  <c r="IU349" i="55" s="1"/>
  <c r="IX349" i="55" a="1"/>
  <c r="IX349" i="55" s="1"/>
  <c r="IY349" i="55" s="1"/>
  <c r="IN349" i="55" a="1"/>
  <c r="IN349" i="55" s="1"/>
  <c r="IO349" i="55" s="1"/>
  <c r="IV349" i="55" a="1"/>
  <c r="IV349" i="55" s="1"/>
  <c r="IW349" i="55" s="1"/>
  <c r="HR349" i="55"/>
  <c r="JA349" i="55"/>
  <c r="HK349" i="55"/>
  <c r="HP349" i="55"/>
  <c r="IZ349" i="55" s="1"/>
  <c r="HO349" i="55"/>
  <c r="IH349" i="55" s="1"/>
  <c r="HH351" i="55"/>
  <c r="IF349" i="55"/>
  <c r="IG349" i="55" s="1"/>
  <c r="JR349" i="55"/>
  <c r="HF352" i="55"/>
  <c r="HI351" i="55" l="1"/>
  <c r="HJ351" i="55"/>
  <c r="IL351" i="55"/>
  <c r="IM351" i="55" s="1"/>
  <c r="HG352" i="55"/>
  <c r="AV3" i="40" a="1"/>
  <c r="AV3" i="40" s="1"/>
  <c r="IV350" i="55" a="1"/>
  <c r="IV350" i="55" s="1"/>
  <c r="IW350" i="55" s="1"/>
  <c r="IN350" i="55" a="1"/>
  <c r="IN350" i="55" s="1"/>
  <c r="IO350" i="55" s="1"/>
  <c r="IR350" i="55" a="1"/>
  <c r="IR350" i="55" s="1"/>
  <c r="IS350" i="55" s="1"/>
  <c r="IX350" i="55" a="1"/>
  <c r="IX350" i="55" s="1"/>
  <c r="IY350" i="55" s="1"/>
  <c r="IT350" i="55" a="1"/>
  <c r="IT350" i="55" s="1"/>
  <c r="IU350" i="55" s="1"/>
  <c r="IP350" i="55" a="1"/>
  <c r="IP350" i="55" s="1"/>
  <c r="IQ350" i="55" s="1"/>
  <c r="IF350" i="55"/>
  <c r="IG350" i="55" s="1"/>
  <c r="JR350" i="55"/>
  <c r="HP350" i="55"/>
  <c r="IZ350" i="55" s="1"/>
  <c r="HR350" i="55"/>
  <c r="JA350" i="55"/>
  <c r="HK350" i="55"/>
  <c r="HO350" i="55"/>
  <c r="IH350" i="55" s="1"/>
  <c r="JS349" i="55"/>
  <c r="N349" i="55"/>
  <c r="JQ352" i="55" l="1"/>
  <c r="BS3" i="40" s="1" a="1"/>
  <c r="BS3" i="40" s="1"/>
  <c r="AW3" i="40" a="1"/>
  <c r="AW3" i="40" s="1"/>
  <c r="HH352" i="55"/>
  <c r="IV351" i="55" a="1"/>
  <c r="IV351" i="55" s="1"/>
  <c r="IW351" i="55" s="1"/>
  <c r="IN351" i="55" a="1"/>
  <c r="IN351" i="55" s="1"/>
  <c r="IO351" i="55" s="1"/>
  <c r="IX351" i="55" a="1"/>
  <c r="IX351" i="55" s="1"/>
  <c r="IY351" i="55" s="1"/>
  <c r="IR351" i="55" a="1"/>
  <c r="IR351" i="55" s="1"/>
  <c r="IS351" i="55" s="1"/>
  <c r="IP351" i="55" a="1"/>
  <c r="IP351" i="55" s="1"/>
  <c r="IQ351" i="55" s="1"/>
  <c r="IT351" i="55" a="1"/>
  <c r="IT351" i="55" s="1"/>
  <c r="IU351" i="55" s="1"/>
  <c r="JA351" i="55"/>
  <c r="HP351" i="55"/>
  <c r="IZ351" i="55" s="1"/>
  <c r="HR351" i="55"/>
  <c r="HK351" i="55"/>
  <c r="HO351" i="55"/>
  <c r="IH351" i="55" s="1"/>
  <c r="JS350" i="55"/>
  <c r="N350" i="55"/>
  <c r="IF351" i="55"/>
  <c r="IG351" i="55" s="1"/>
  <c r="JR351" i="55"/>
  <c r="HI352" i="55" l="1"/>
  <c r="HJ352" i="55"/>
  <c r="IL352" i="55"/>
  <c r="IM352" i="55" s="1"/>
  <c r="AH3" i="40" a="1"/>
  <c r="AH3" i="40" s="1"/>
  <c r="N23" i="42"/>
  <c r="P23" i="42" s="1"/>
  <c r="AE23" i="42" s="1"/>
  <c r="AF23" i="42" s="1"/>
  <c r="N24" i="42"/>
  <c r="P24" i="42" s="1"/>
  <c r="AE24" i="42" s="1"/>
  <c r="AF24" i="42" s="1"/>
  <c r="N25" i="42"/>
  <c r="P25" i="42" s="1"/>
  <c r="AE25" i="42" s="1"/>
  <c r="AF25" i="42" s="1"/>
  <c r="N26" i="42"/>
  <c r="P26" i="42" s="1"/>
  <c r="AE26" i="42" s="1"/>
  <c r="AF26" i="42" s="1"/>
  <c r="N27" i="42"/>
  <c r="P27" i="42" s="1"/>
  <c r="AE27" i="42" s="1"/>
  <c r="AF27" i="42" s="1"/>
  <c r="N28" i="42"/>
  <c r="P28" i="42" s="1"/>
  <c r="AE28" i="42" s="1"/>
  <c r="AF28" i="42" s="1"/>
  <c r="N29" i="42"/>
  <c r="P29" i="42" s="1"/>
  <c r="AE29" i="42" s="1"/>
  <c r="AF29" i="42" s="1"/>
  <c r="N30" i="42"/>
  <c r="P30" i="42" s="1"/>
  <c r="AE30" i="42" s="1"/>
  <c r="AF30" i="42" s="1"/>
  <c r="N31" i="42"/>
  <c r="P31" i="42" s="1"/>
  <c r="AE31" i="42" s="1"/>
  <c r="AF31" i="42" s="1"/>
  <c r="N32" i="42"/>
  <c r="P32" i="42" s="1"/>
  <c r="AE32" i="42" s="1"/>
  <c r="AF32" i="42" s="1"/>
  <c r="N22" i="42"/>
  <c r="P22" i="42" s="1"/>
  <c r="AE22" i="42" s="1"/>
  <c r="BF13" i="10"/>
  <c r="BI20" i="10"/>
  <c r="BH25" i="10"/>
  <c r="BI30" i="10"/>
  <c r="BH19" i="10"/>
  <c r="BH15" i="10"/>
  <c r="BI31" i="10"/>
  <c r="BH9" i="10"/>
  <c r="BH21" i="10"/>
  <c r="BH5" i="10"/>
  <c r="BH17" i="10"/>
  <c r="BI32" i="10"/>
  <c r="BH39" i="10"/>
  <c r="BI17" i="10"/>
  <c r="BH27" i="10"/>
  <c r="BI11" i="10"/>
  <c r="BH35" i="10"/>
  <c r="BH24" i="10"/>
  <c r="BI22" i="10"/>
  <c r="BI19" i="10"/>
  <c r="BI9" i="10"/>
  <c r="BH37" i="10"/>
  <c r="BH26" i="10"/>
  <c r="BI38" i="10"/>
  <c r="BH34" i="10"/>
  <c r="BI28" i="10"/>
  <c r="BI7" i="10"/>
  <c r="BI25" i="10"/>
  <c r="BH14" i="10"/>
  <c r="BI12" i="10"/>
  <c r="BI18" i="10"/>
  <c r="BH28" i="10"/>
  <c r="BH10" i="10"/>
  <c r="BI33" i="10"/>
  <c r="BH38" i="10"/>
  <c r="BH20" i="10"/>
  <c r="BH22" i="10"/>
  <c r="BI5" i="10"/>
  <c r="BI27" i="10"/>
  <c r="BI26" i="10"/>
  <c r="BH23" i="10"/>
  <c r="BH11" i="10"/>
  <c r="BI15" i="10"/>
  <c r="BH13" i="10"/>
  <c r="BI36" i="10"/>
  <c r="BH18" i="10"/>
  <c r="BI37" i="10"/>
  <c r="BI39" i="10"/>
  <c r="BI6" i="10"/>
  <c r="BI16" i="10"/>
  <c r="BI10" i="10"/>
  <c r="BH7" i="10"/>
  <c r="BH30" i="10"/>
  <c r="BI8" i="10"/>
  <c r="BH8" i="10"/>
  <c r="BH33" i="10"/>
  <c r="BI29" i="10"/>
  <c r="BI21" i="10"/>
  <c r="BH29" i="10"/>
  <c r="BH32" i="10"/>
  <c r="BI14" i="10"/>
  <c r="BI13" i="10"/>
  <c r="BH12" i="10"/>
  <c r="BI23" i="10"/>
  <c r="BH6" i="10"/>
  <c r="BH36" i="10"/>
  <c r="BI34" i="10"/>
  <c r="BH16" i="10"/>
  <c r="BI35" i="10"/>
  <c r="BI24" i="10"/>
  <c r="BH31" i="10"/>
  <c r="JS351" i="55"/>
  <c r="N351" i="55"/>
  <c r="BL25" i="10" l="1"/>
  <c r="BK25" i="10"/>
  <c r="BN25" i="10" s="1"/>
  <c r="BM25" i="10"/>
  <c r="BJ25" i="10"/>
  <c r="BJ32" i="10"/>
  <c r="BM32" i="10"/>
  <c r="BL32" i="10"/>
  <c r="BK32" i="10"/>
  <c r="BN32" i="10" s="1"/>
  <c r="BL7" i="10"/>
  <c r="BM7" i="10"/>
  <c r="BK7" i="10"/>
  <c r="BN7" i="10" s="1"/>
  <c r="BJ7" i="10"/>
  <c r="BK26" i="10"/>
  <c r="BN26" i="10" s="1"/>
  <c r="BM26" i="10"/>
  <c r="BL26" i="10"/>
  <c r="BJ26" i="10"/>
  <c r="BL38" i="10"/>
  <c r="BM38" i="10"/>
  <c r="BJ38" i="10"/>
  <c r="BK38" i="10"/>
  <c r="BN38" i="10" s="1"/>
  <c r="BL8" i="10"/>
  <c r="BK8" i="10"/>
  <c r="BN8" i="10" s="1"/>
  <c r="BJ8" i="10"/>
  <c r="BM8" i="10"/>
  <c r="BK6" i="10"/>
  <c r="BN6" i="10" s="1"/>
  <c r="BJ6" i="10"/>
  <c r="BM6" i="10"/>
  <c r="BL6" i="10"/>
  <c r="BK36" i="10"/>
  <c r="BN36" i="10" s="1"/>
  <c r="BJ36" i="10"/>
  <c r="BL36" i="10"/>
  <c r="BM36" i="10"/>
  <c r="BK15" i="10"/>
  <c r="BN15" i="10" s="1"/>
  <c r="BL15" i="10"/>
  <c r="BM15" i="10"/>
  <c r="BJ15" i="10"/>
  <c r="BL21" i="10"/>
  <c r="BK21" i="10"/>
  <c r="BN21" i="10" s="1"/>
  <c r="BJ21" i="10"/>
  <c r="BM21" i="10"/>
  <c r="BM28" i="10"/>
  <c r="BL28" i="10"/>
  <c r="BJ28" i="10"/>
  <c r="BK28" i="10"/>
  <c r="BN28" i="10" s="1"/>
  <c r="BM19" i="10"/>
  <c r="BJ19" i="10"/>
  <c r="BL19" i="10"/>
  <c r="BK19" i="10"/>
  <c r="BN19" i="10" s="1"/>
  <c r="BM30" i="10"/>
  <c r="BK30" i="10"/>
  <c r="BN30" i="10" s="1"/>
  <c r="BJ30" i="10"/>
  <c r="BL30" i="10"/>
  <c r="IV352" i="55" a="1"/>
  <c r="IV352" i="55" s="1"/>
  <c r="IW352" i="55" s="1"/>
  <c r="IX352" i="55" a="1"/>
  <c r="IX352" i="55" s="1"/>
  <c r="IY352" i="55" s="1"/>
  <c r="IR352" i="55" a="1"/>
  <c r="IR352" i="55" s="1"/>
  <c r="IS352" i="55" s="1"/>
  <c r="IN352" i="55" a="1"/>
  <c r="IN352" i="55" s="1"/>
  <c r="IP352" i="55" a="1"/>
  <c r="IP352" i="55" s="1"/>
  <c r="IQ352" i="55" s="1"/>
  <c r="IT352" i="55" a="1"/>
  <c r="IT352" i="55" s="1"/>
  <c r="IU352" i="55" s="1"/>
  <c r="BM23" i="10"/>
  <c r="BK23" i="10"/>
  <c r="BN23" i="10" s="1"/>
  <c r="BJ23" i="10"/>
  <c r="BL23" i="10"/>
  <c r="BJ39" i="10"/>
  <c r="BM39" i="10"/>
  <c r="BL39" i="10"/>
  <c r="BK39" i="10"/>
  <c r="BN39" i="10" s="1"/>
  <c r="AF22" i="42"/>
  <c r="AF9" i="42"/>
  <c r="AF5" i="42"/>
  <c r="AF6" i="42"/>
  <c r="AF4" i="42"/>
  <c r="AF10" i="42"/>
  <c r="AF33" i="42"/>
  <c r="AF34" i="42"/>
  <c r="BL18" i="10"/>
  <c r="BK18" i="10"/>
  <c r="BN18" i="10" s="1"/>
  <c r="BM18" i="10"/>
  <c r="BJ18" i="10"/>
  <c r="BL13" i="10"/>
  <c r="BK13" i="10"/>
  <c r="BN13" i="10" s="1"/>
  <c r="BJ13" i="10"/>
  <c r="BM13" i="10"/>
  <c r="BK27" i="10"/>
  <c r="BN27" i="10" s="1"/>
  <c r="BM27" i="10"/>
  <c r="BJ27" i="10"/>
  <c r="BL27" i="10"/>
  <c r="BM31" i="10"/>
  <c r="BK31" i="10"/>
  <c r="BN31" i="10" s="1"/>
  <c r="BL31" i="10"/>
  <c r="BJ31" i="10"/>
  <c r="BJ24" i="10"/>
  <c r="BM24" i="10"/>
  <c r="BK24" i="10"/>
  <c r="BN24" i="10" s="1"/>
  <c r="BL24" i="10"/>
  <c r="BK5" i="10"/>
  <c r="BN5" i="10" s="1"/>
  <c r="BM5" i="10"/>
  <c r="BL5" i="10"/>
  <c r="BJ5" i="10"/>
  <c r="BM35" i="10"/>
  <c r="BL35" i="10"/>
  <c r="BJ35" i="10"/>
  <c r="BK35" i="10"/>
  <c r="BN35" i="10" s="1"/>
  <c r="BM9" i="10"/>
  <c r="BJ9" i="10"/>
  <c r="BK9" i="10"/>
  <c r="BN9" i="10" s="1"/>
  <c r="BL9" i="10"/>
  <c r="BL34" i="10"/>
  <c r="BK34" i="10"/>
  <c r="BN34" i="10" s="1"/>
  <c r="BM34" i="10"/>
  <c r="BJ34" i="10"/>
  <c r="BK10" i="10"/>
  <c r="BN10" i="10" s="1"/>
  <c r="BL10" i="10"/>
  <c r="BM10" i="10"/>
  <c r="BJ10" i="10"/>
  <c r="BM22" i="10"/>
  <c r="BK22" i="10"/>
  <c r="BN22" i="10" s="1"/>
  <c r="BJ22" i="10"/>
  <c r="BL22" i="10"/>
  <c r="JA352" i="55"/>
  <c r="AD3" i="40" s="1" a="1"/>
  <c r="AD3" i="40" s="1"/>
  <c r="HP352" i="55"/>
  <c r="HO352" i="55"/>
  <c r="HR352" i="55"/>
  <c r="X3" i="40" s="1" a="1"/>
  <c r="X3" i="40" s="1"/>
  <c r="HK352" i="55"/>
  <c r="AX3" i="40" s="1" a="1"/>
  <c r="AX3" i="40" s="1"/>
  <c r="O3" i="40" a="1"/>
  <c r="O3" i="40" s="1"/>
  <c r="BJ11" i="10"/>
  <c r="BM11" i="10"/>
  <c r="BL11" i="10"/>
  <c r="BK11" i="10"/>
  <c r="BN11" i="10" s="1"/>
  <c r="BL37" i="10"/>
  <c r="BK37" i="10"/>
  <c r="BN37" i="10" s="1"/>
  <c r="BJ37" i="10"/>
  <c r="BM37" i="10"/>
  <c r="BK12" i="10"/>
  <c r="BN12" i="10" s="1"/>
  <c r="BM12" i="10"/>
  <c r="BJ12" i="10"/>
  <c r="BL12" i="10"/>
  <c r="BJ17" i="10"/>
  <c r="BK17" i="10"/>
  <c r="BN17" i="10" s="1"/>
  <c r="BL17" i="10"/>
  <c r="BM17" i="10"/>
  <c r="BL14" i="10"/>
  <c r="BK14" i="10"/>
  <c r="BN14" i="10" s="1"/>
  <c r="BJ14" i="10"/>
  <c r="BM14" i="10"/>
  <c r="BM29" i="10"/>
  <c r="BL29" i="10"/>
  <c r="BK29" i="10"/>
  <c r="BN29" i="10" s="1"/>
  <c r="BJ29" i="10"/>
  <c r="BM16" i="10"/>
  <c r="BK16" i="10"/>
  <c r="BN16" i="10" s="1"/>
  <c r="BJ16" i="10"/>
  <c r="BL16" i="10"/>
  <c r="BL33" i="10"/>
  <c r="BJ33" i="10"/>
  <c r="BM33" i="10"/>
  <c r="BK33" i="10"/>
  <c r="BN33" i="10" s="1"/>
  <c r="BL20" i="10"/>
  <c r="BK20" i="10"/>
  <c r="BN20" i="10" s="1"/>
  <c r="BJ20" i="10"/>
  <c r="BM20" i="10"/>
  <c r="IF352" i="55"/>
  <c r="IG352" i="55" s="1"/>
  <c r="AI3" i="40" a="1"/>
  <c r="AI3" i="40" s="1"/>
  <c r="JR352" i="55"/>
  <c r="BT3" i="40" s="1" a="1"/>
  <c r="BT3" i="40" s="1"/>
  <c r="IH352" i="55" l="1"/>
  <c r="G3" i="40" a="1"/>
  <c r="G3" i="40" s="1"/>
  <c r="IZ352" i="55"/>
  <c r="AC3" i="40" s="1" a="1"/>
  <c r="AC3" i="40" s="1"/>
  <c r="M3" i="40" a="1"/>
  <c r="M3" i="40" s="1"/>
  <c r="IO352" i="55"/>
  <c r="A4" i="43" a="1"/>
  <c r="A4" i="43" s="1"/>
  <c r="A9" i="16"/>
  <c r="A35" i="16"/>
  <c r="A86" i="16"/>
  <c r="A49" i="16"/>
  <c r="A153" i="16"/>
  <c r="A105" i="16"/>
  <c r="A106" i="16"/>
  <c r="A145" i="16"/>
  <c r="A34" i="16"/>
  <c r="A114" i="16"/>
  <c r="A135" i="16"/>
  <c r="A44" i="16"/>
  <c r="A151" i="16"/>
  <c r="A67" i="16"/>
  <c r="A113" i="16"/>
  <c r="A79" i="16"/>
  <c r="A17" i="16"/>
  <c r="A160" i="16"/>
  <c r="A91" i="16"/>
  <c r="A96" i="16"/>
  <c r="A119" i="16"/>
  <c r="A5" i="16"/>
  <c r="A69" i="16"/>
  <c r="A54" i="16"/>
  <c r="A139" i="16"/>
  <c r="A53" i="16"/>
  <c r="A8" i="16"/>
  <c r="A95" i="16"/>
  <c r="A28" i="16"/>
  <c r="A110" i="16"/>
  <c r="A76" i="16"/>
  <c r="A122" i="16"/>
  <c r="A118" i="16"/>
  <c r="A21" i="16"/>
  <c r="A123" i="16"/>
  <c r="A125" i="16"/>
  <c r="A94" i="16"/>
  <c r="A138" i="16"/>
  <c r="A116" i="16"/>
  <c r="A55" i="16"/>
  <c r="A43" i="16"/>
  <c r="A121" i="16"/>
  <c r="A7" i="16"/>
  <c r="A155" i="16"/>
  <c r="A26" i="16"/>
  <c r="A13" i="16"/>
  <c r="A22" i="16"/>
  <c r="A89" i="16"/>
  <c r="A68" i="16"/>
  <c r="A38" i="16"/>
  <c r="A142" i="16"/>
  <c r="A88" i="16"/>
  <c r="A154" i="16"/>
  <c r="A20" i="16"/>
  <c r="A56" i="16"/>
  <c r="A33" i="16"/>
  <c r="A60" i="16"/>
  <c r="A100" i="16"/>
  <c r="A63" i="16"/>
  <c r="A23" i="16"/>
  <c r="A24" i="16"/>
  <c r="A75" i="16"/>
  <c r="A152" i="16"/>
  <c r="A117" i="16"/>
  <c r="A39" i="16"/>
  <c r="A112" i="16"/>
  <c r="A84" i="16"/>
  <c r="A126" i="16"/>
  <c r="A144" i="16"/>
  <c r="A58" i="16"/>
  <c r="A61" i="16"/>
  <c r="A47" i="16"/>
  <c r="A10" i="16"/>
  <c r="A16" i="16"/>
  <c r="A57" i="16"/>
  <c r="A72" i="16"/>
  <c r="A92" i="16"/>
  <c r="A40" i="16"/>
  <c r="A14" i="16"/>
  <c r="A129" i="16"/>
  <c r="A136" i="16"/>
  <c r="A120" i="16"/>
  <c r="A64" i="16"/>
  <c r="A107" i="16"/>
  <c r="A102" i="16"/>
  <c r="A74" i="16"/>
  <c r="A37" i="16"/>
  <c r="A134" i="16"/>
  <c r="A143" i="16"/>
  <c r="A146" i="16"/>
  <c r="A148" i="16"/>
  <c r="A25" i="16"/>
  <c r="A36" i="16"/>
  <c r="A80" i="16"/>
  <c r="A141" i="16"/>
  <c r="A137" i="16"/>
  <c r="A103" i="16"/>
  <c r="A99" i="16"/>
  <c r="A128" i="16"/>
  <c r="A65" i="16"/>
  <c r="A83" i="16"/>
  <c r="A85" i="16"/>
  <c r="A70" i="16"/>
  <c r="A157" i="16"/>
  <c r="A30" i="16"/>
  <c r="A27" i="16"/>
  <c r="A124" i="16"/>
  <c r="A149" i="16"/>
  <c r="A158" i="16"/>
  <c r="A32" i="16"/>
  <c r="A90" i="16"/>
  <c r="A130" i="16"/>
  <c r="A59" i="16"/>
  <c r="A93" i="16"/>
  <c r="A81" i="16"/>
  <c r="A45" i="16"/>
  <c r="A51" i="16"/>
  <c r="A62" i="16"/>
  <c r="A133" i="16"/>
  <c r="A109" i="16"/>
  <c r="A82" i="16"/>
  <c r="A127" i="16"/>
  <c r="A104" i="16"/>
  <c r="A71" i="16"/>
  <c r="A15" i="16"/>
  <c r="A150" i="16"/>
  <c r="A101" i="16"/>
  <c r="A131" i="16"/>
  <c r="A4" i="16"/>
  <c r="A48" i="16"/>
  <c r="A6" i="16"/>
  <c r="A18" i="16"/>
  <c r="A42" i="16"/>
  <c r="A159" i="16"/>
  <c r="A132" i="16"/>
  <c r="A73" i="16"/>
  <c r="A147" i="16"/>
  <c r="A66" i="16"/>
  <c r="A29" i="16"/>
  <c r="A52" i="16"/>
  <c r="A156" i="16"/>
  <c r="A140" i="16"/>
  <c r="A97" i="16"/>
  <c r="A50" i="16"/>
  <c r="A12" i="16"/>
  <c r="A46" i="16"/>
  <c r="A41" i="16"/>
  <c r="A31" i="16"/>
  <c r="A108" i="16"/>
  <c r="A11" i="16"/>
  <c r="A87" i="16"/>
  <c r="A115" i="16"/>
  <c r="A111" i="16"/>
  <c r="A98" i="16"/>
  <c r="A77" i="16"/>
  <c r="A19" i="16"/>
  <c r="A78" i="16"/>
  <c r="L40" i="16"/>
  <c r="L41" i="16"/>
  <c r="L47" i="16"/>
  <c r="L39" i="16"/>
  <c r="L44" i="16"/>
  <c r="L45" i="16"/>
  <c r="L42" i="16"/>
  <c r="L46" i="16"/>
  <c r="L48" i="16"/>
  <c r="L43" i="16"/>
  <c r="BN41" i="10"/>
  <c r="F147" i="16" l="1"/>
  <c r="E147" i="16"/>
  <c r="G147" i="16"/>
  <c r="B147" i="16"/>
  <c r="C147" i="16"/>
  <c r="H147" i="16"/>
  <c r="F30" i="16"/>
  <c r="E30" i="16"/>
  <c r="C30" i="16"/>
  <c r="B30" i="16"/>
  <c r="G30" i="16"/>
  <c r="H30" i="16"/>
  <c r="H10" i="16"/>
  <c r="G10" i="16"/>
  <c r="B10" i="16"/>
  <c r="F10" i="16"/>
  <c r="E10" i="16"/>
  <c r="C10" i="16"/>
  <c r="B139" i="16"/>
  <c r="H139" i="16"/>
  <c r="E139" i="16"/>
  <c r="G139" i="16"/>
  <c r="C139" i="16"/>
  <c r="F139" i="16"/>
  <c r="B109" i="16"/>
  <c r="E109" i="16"/>
  <c r="H109" i="16"/>
  <c r="C109" i="16"/>
  <c r="G109" i="16"/>
  <c r="F109" i="16"/>
  <c r="G47" i="16"/>
  <c r="C47" i="16"/>
  <c r="F47" i="16"/>
  <c r="E47" i="16"/>
  <c r="H47" i="16"/>
  <c r="B47" i="16"/>
  <c r="E54" i="16"/>
  <c r="G54" i="16"/>
  <c r="F54" i="16"/>
  <c r="H54" i="16"/>
  <c r="B54" i="16"/>
  <c r="C54" i="16"/>
  <c r="F87" i="16"/>
  <c r="H87" i="16"/>
  <c r="G87" i="16"/>
  <c r="C87" i="16"/>
  <c r="E87" i="16"/>
  <c r="B87" i="16"/>
  <c r="F70" i="16"/>
  <c r="G70" i="16"/>
  <c r="E70" i="16"/>
  <c r="C70" i="16"/>
  <c r="H70" i="16"/>
  <c r="B70" i="16"/>
  <c r="B56" i="16"/>
  <c r="C56" i="16"/>
  <c r="G56" i="16"/>
  <c r="E56" i="16"/>
  <c r="H56" i="16"/>
  <c r="F56" i="16"/>
  <c r="E69" i="16"/>
  <c r="G69" i="16"/>
  <c r="H69" i="16"/>
  <c r="C69" i="16"/>
  <c r="B69" i="16"/>
  <c r="F69" i="16"/>
  <c r="H159" i="16"/>
  <c r="G159" i="16"/>
  <c r="F159" i="16"/>
  <c r="E159" i="16"/>
  <c r="C159" i="16"/>
  <c r="B159" i="16"/>
  <c r="G74" i="16"/>
  <c r="B74" i="16"/>
  <c r="C74" i="16"/>
  <c r="H74" i="16"/>
  <c r="E74" i="16"/>
  <c r="F74" i="16"/>
  <c r="F138" i="16"/>
  <c r="G138" i="16"/>
  <c r="C138" i="16"/>
  <c r="B138" i="16"/>
  <c r="H138" i="16"/>
  <c r="E138" i="16"/>
  <c r="F5" i="16"/>
  <c r="E5" i="16"/>
  <c r="C5" i="16"/>
  <c r="B5" i="16"/>
  <c r="G5" i="16"/>
  <c r="H5" i="16"/>
  <c r="G108" i="16"/>
  <c r="C108" i="16"/>
  <c r="E108" i="16"/>
  <c r="H108" i="16"/>
  <c r="B108" i="16"/>
  <c r="F108" i="16"/>
  <c r="H51" i="16"/>
  <c r="F51" i="16"/>
  <c r="E51" i="16"/>
  <c r="G51" i="16"/>
  <c r="B51" i="16"/>
  <c r="C51" i="16"/>
  <c r="H144" i="16"/>
  <c r="C144" i="16"/>
  <c r="G144" i="16"/>
  <c r="E144" i="16"/>
  <c r="B144" i="16"/>
  <c r="F144" i="16"/>
  <c r="F119" i="16"/>
  <c r="E119" i="16"/>
  <c r="H119" i="16"/>
  <c r="B119" i="16"/>
  <c r="G119" i="16"/>
  <c r="C119" i="16"/>
  <c r="H31" i="16"/>
  <c r="G31" i="16"/>
  <c r="B31" i="16"/>
  <c r="F31" i="16"/>
  <c r="E31" i="16"/>
  <c r="C31" i="16"/>
  <c r="E65" i="16"/>
  <c r="H65" i="16"/>
  <c r="F65" i="16"/>
  <c r="C65" i="16"/>
  <c r="G65" i="16"/>
  <c r="B65" i="16"/>
  <c r="F88" i="16"/>
  <c r="C88" i="16"/>
  <c r="G88" i="16"/>
  <c r="E88" i="16"/>
  <c r="B88" i="16"/>
  <c r="H88" i="16"/>
  <c r="M45" i="16"/>
  <c r="AG40" i="42"/>
  <c r="AH40" i="42" s="1"/>
  <c r="C6" i="16"/>
  <c r="F6" i="16"/>
  <c r="H6" i="16"/>
  <c r="G6" i="16"/>
  <c r="B6" i="16"/>
  <c r="E6" i="16"/>
  <c r="C64" i="16"/>
  <c r="G64" i="16"/>
  <c r="B64" i="16"/>
  <c r="H64" i="16"/>
  <c r="F64" i="16"/>
  <c r="E64" i="16"/>
  <c r="H123" i="16"/>
  <c r="G123" i="16"/>
  <c r="F123" i="16"/>
  <c r="C123" i="16"/>
  <c r="E123" i="16"/>
  <c r="B123" i="16"/>
  <c r="E86" i="16"/>
  <c r="G86" i="16"/>
  <c r="B86" i="16"/>
  <c r="H86" i="16"/>
  <c r="C86" i="16"/>
  <c r="F86" i="16"/>
  <c r="G48" i="16"/>
  <c r="H48" i="16"/>
  <c r="C48" i="16"/>
  <c r="E48" i="16"/>
  <c r="B48" i="16"/>
  <c r="F48" i="16"/>
  <c r="C120" i="16"/>
  <c r="B120" i="16"/>
  <c r="H120" i="16"/>
  <c r="E120" i="16"/>
  <c r="F120" i="16"/>
  <c r="G120" i="16"/>
  <c r="B21" i="16"/>
  <c r="F21" i="16"/>
  <c r="E21" i="16"/>
  <c r="H21" i="16"/>
  <c r="C21" i="16"/>
  <c r="G21" i="16"/>
  <c r="E35" i="16"/>
  <c r="B35" i="16"/>
  <c r="H35" i="16"/>
  <c r="F35" i="16"/>
  <c r="G35" i="16"/>
  <c r="C35" i="16"/>
  <c r="G59" i="16"/>
  <c r="E59" i="16"/>
  <c r="B59" i="16"/>
  <c r="H59" i="16"/>
  <c r="F59" i="16"/>
  <c r="C59" i="16"/>
  <c r="C136" i="16"/>
  <c r="H136" i="16"/>
  <c r="G136" i="16"/>
  <c r="B136" i="16"/>
  <c r="F136" i="16"/>
  <c r="E136" i="16"/>
  <c r="B68" i="16"/>
  <c r="E68" i="16"/>
  <c r="H68" i="16"/>
  <c r="F68" i="16"/>
  <c r="G68" i="16"/>
  <c r="C68" i="16"/>
  <c r="M47" i="16"/>
  <c r="AG42" i="42"/>
  <c r="AH42" i="42" s="1"/>
  <c r="B131" i="16"/>
  <c r="E131" i="16"/>
  <c r="G131" i="16"/>
  <c r="H131" i="16"/>
  <c r="C131" i="16"/>
  <c r="F131" i="16"/>
  <c r="G137" i="16"/>
  <c r="C137" i="16"/>
  <c r="B137" i="16"/>
  <c r="H137" i="16"/>
  <c r="E137" i="16"/>
  <c r="F137" i="16"/>
  <c r="H117" i="16"/>
  <c r="F117" i="16"/>
  <c r="G117" i="16"/>
  <c r="E117" i="16"/>
  <c r="C117" i="16"/>
  <c r="B117" i="16"/>
  <c r="B122" i="16"/>
  <c r="C122" i="16"/>
  <c r="H122" i="16"/>
  <c r="E122" i="16"/>
  <c r="G122" i="16"/>
  <c r="F122" i="16"/>
  <c r="G79" i="16"/>
  <c r="F79" i="16"/>
  <c r="E79" i="16"/>
  <c r="B79" i="16"/>
  <c r="H79" i="16"/>
  <c r="C79" i="16"/>
  <c r="G97" i="16"/>
  <c r="F97" i="16"/>
  <c r="B97" i="16"/>
  <c r="E97" i="16"/>
  <c r="H97" i="16"/>
  <c r="C97" i="16"/>
  <c r="E141" i="16"/>
  <c r="H141" i="16"/>
  <c r="G141" i="16"/>
  <c r="C141" i="16"/>
  <c r="F141" i="16"/>
  <c r="B141" i="16"/>
  <c r="B152" i="16"/>
  <c r="E152" i="16"/>
  <c r="F152" i="16"/>
  <c r="C152" i="16"/>
  <c r="H152" i="16"/>
  <c r="G152" i="16"/>
  <c r="C76" i="16"/>
  <c r="F76" i="16"/>
  <c r="H76" i="16"/>
  <c r="E76" i="16"/>
  <c r="G76" i="16"/>
  <c r="B76" i="16"/>
  <c r="F150" i="16"/>
  <c r="B150" i="16"/>
  <c r="C150" i="16"/>
  <c r="G150" i="16"/>
  <c r="H150" i="16"/>
  <c r="E150" i="16"/>
  <c r="H156" i="16"/>
  <c r="F156" i="16"/>
  <c r="C156" i="16"/>
  <c r="G156" i="16"/>
  <c r="E156" i="16"/>
  <c r="B156" i="16"/>
  <c r="F158" i="16"/>
  <c r="C158" i="16"/>
  <c r="G158" i="16"/>
  <c r="B158" i="16"/>
  <c r="E158" i="16"/>
  <c r="H158" i="16"/>
  <c r="E36" i="16"/>
  <c r="B36" i="16"/>
  <c r="C36" i="16"/>
  <c r="G36" i="16"/>
  <c r="H36" i="16"/>
  <c r="F36" i="16"/>
  <c r="G24" i="16"/>
  <c r="E24" i="16"/>
  <c r="B24" i="16"/>
  <c r="C24" i="16"/>
  <c r="H24" i="16"/>
  <c r="F24" i="16"/>
  <c r="G26" i="16"/>
  <c r="B26" i="16"/>
  <c r="H26" i="16"/>
  <c r="F26" i="16"/>
  <c r="E26" i="16"/>
  <c r="C26" i="16"/>
  <c r="H28" i="16"/>
  <c r="F28" i="16"/>
  <c r="C28" i="16"/>
  <c r="E28" i="16"/>
  <c r="B28" i="16"/>
  <c r="G28" i="16"/>
  <c r="C151" i="16"/>
  <c r="H151" i="16"/>
  <c r="B151" i="16"/>
  <c r="G151" i="16"/>
  <c r="F151" i="16"/>
  <c r="E151" i="16"/>
  <c r="H19" i="16"/>
  <c r="G19" i="16"/>
  <c r="F19" i="16"/>
  <c r="C19" i="16"/>
  <c r="B19" i="16"/>
  <c r="E19" i="16"/>
  <c r="H71" i="16"/>
  <c r="G71" i="16"/>
  <c r="F71" i="16"/>
  <c r="E71" i="16"/>
  <c r="C71" i="16"/>
  <c r="B71" i="16"/>
  <c r="G25" i="16"/>
  <c r="B25" i="16"/>
  <c r="C25" i="16"/>
  <c r="F25" i="16"/>
  <c r="E25" i="16"/>
  <c r="H25" i="16"/>
  <c r="F23" i="16"/>
  <c r="C23" i="16"/>
  <c r="B23" i="16"/>
  <c r="E23" i="16"/>
  <c r="H23" i="16"/>
  <c r="G23" i="16"/>
  <c r="G95" i="16"/>
  <c r="E95" i="16"/>
  <c r="F95" i="16"/>
  <c r="C95" i="16"/>
  <c r="H95" i="16"/>
  <c r="B95" i="16"/>
  <c r="E77" i="16"/>
  <c r="H77" i="16"/>
  <c r="B77" i="16"/>
  <c r="C77" i="16"/>
  <c r="F77" i="16"/>
  <c r="G77" i="16"/>
  <c r="H104" i="16"/>
  <c r="F104" i="16"/>
  <c r="G104" i="16"/>
  <c r="E104" i="16"/>
  <c r="C104" i="16"/>
  <c r="B104" i="16"/>
  <c r="G98" i="16"/>
  <c r="E98" i="16"/>
  <c r="C98" i="16"/>
  <c r="B98" i="16"/>
  <c r="F98" i="16"/>
  <c r="H98" i="16"/>
  <c r="E66" i="16"/>
  <c r="C66" i="16"/>
  <c r="F66" i="16"/>
  <c r="B66" i="16"/>
  <c r="G66" i="16"/>
  <c r="H66" i="16"/>
  <c r="E127" i="16"/>
  <c r="C127" i="16"/>
  <c r="G127" i="16"/>
  <c r="B127" i="16"/>
  <c r="H127" i="16"/>
  <c r="F127" i="16"/>
  <c r="C27" i="16"/>
  <c r="H27" i="16"/>
  <c r="B27" i="16"/>
  <c r="G27" i="16"/>
  <c r="F27" i="16"/>
  <c r="E27" i="16"/>
  <c r="G146" i="16"/>
  <c r="C146" i="16"/>
  <c r="E146" i="16"/>
  <c r="H146" i="16"/>
  <c r="F146" i="16"/>
  <c r="B146" i="16"/>
  <c r="F16" i="16"/>
  <c r="G16" i="16"/>
  <c r="E16" i="16"/>
  <c r="H16" i="16"/>
  <c r="C16" i="16"/>
  <c r="B16" i="16"/>
  <c r="B100" i="16"/>
  <c r="E100" i="16"/>
  <c r="F100" i="16"/>
  <c r="C100" i="16"/>
  <c r="G100" i="16"/>
  <c r="H100" i="16"/>
  <c r="E121" i="16"/>
  <c r="H121" i="16"/>
  <c r="B121" i="16"/>
  <c r="C121" i="16"/>
  <c r="G121" i="16"/>
  <c r="F121" i="16"/>
  <c r="F53" i="16"/>
  <c r="E53" i="16"/>
  <c r="B53" i="16"/>
  <c r="H53" i="16"/>
  <c r="C53" i="16"/>
  <c r="G53" i="16"/>
  <c r="F114" i="16"/>
  <c r="G114" i="16"/>
  <c r="E114" i="16"/>
  <c r="B114" i="16"/>
  <c r="H114" i="16"/>
  <c r="C114" i="16"/>
  <c r="G82" i="16"/>
  <c r="F82" i="16"/>
  <c r="E82" i="16"/>
  <c r="H82" i="16"/>
  <c r="B82" i="16"/>
  <c r="C82" i="16"/>
  <c r="E60" i="16"/>
  <c r="B60" i="16"/>
  <c r="H60" i="16"/>
  <c r="G60" i="16"/>
  <c r="F60" i="16"/>
  <c r="C60" i="16"/>
  <c r="B34" i="16"/>
  <c r="G34" i="16"/>
  <c r="H34" i="16"/>
  <c r="C34" i="16"/>
  <c r="F34" i="16"/>
  <c r="E34" i="16"/>
  <c r="E73" i="16"/>
  <c r="H73" i="16"/>
  <c r="F73" i="16"/>
  <c r="B73" i="16"/>
  <c r="G73" i="16"/>
  <c r="C73" i="16"/>
  <c r="H134" i="16"/>
  <c r="G134" i="16"/>
  <c r="B134" i="16"/>
  <c r="F134" i="16"/>
  <c r="C134" i="16"/>
  <c r="E134" i="16"/>
  <c r="C55" i="16"/>
  <c r="F55" i="16"/>
  <c r="E55" i="16"/>
  <c r="B55" i="16"/>
  <c r="H55" i="16"/>
  <c r="G55" i="16"/>
  <c r="E145" i="16"/>
  <c r="B145" i="16"/>
  <c r="G145" i="16"/>
  <c r="C145" i="16"/>
  <c r="F145" i="16"/>
  <c r="H145" i="16"/>
  <c r="H132" i="16"/>
  <c r="B132" i="16"/>
  <c r="F132" i="16"/>
  <c r="C132" i="16"/>
  <c r="G132" i="16"/>
  <c r="E132" i="16"/>
  <c r="H37" i="16"/>
  <c r="G37" i="16"/>
  <c r="B37" i="16"/>
  <c r="C37" i="16"/>
  <c r="F37" i="16"/>
  <c r="E37" i="16"/>
  <c r="H116" i="16"/>
  <c r="G116" i="16"/>
  <c r="B116" i="16"/>
  <c r="C116" i="16"/>
  <c r="E116" i="16"/>
  <c r="F116" i="16"/>
  <c r="M48" i="16"/>
  <c r="AG43" i="42"/>
  <c r="AH43" i="42" s="1"/>
  <c r="E62" i="16"/>
  <c r="H62" i="16"/>
  <c r="B62" i="16"/>
  <c r="G62" i="16"/>
  <c r="C62" i="16"/>
  <c r="F62" i="16"/>
  <c r="B58" i="16"/>
  <c r="C58" i="16"/>
  <c r="F58" i="16"/>
  <c r="E58" i="16"/>
  <c r="H58" i="16"/>
  <c r="G58" i="16"/>
  <c r="M46" i="16"/>
  <c r="AG41" i="42"/>
  <c r="AH41" i="42" s="1"/>
  <c r="F83" i="16"/>
  <c r="C83" i="16"/>
  <c r="H83" i="16"/>
  <c r="E83" i="16"/>
  <c r="B83" i="16"/>
  <c r="G83" i="16"/>
  <c r="C154" i="16"/>
  <c r="E154" i="16"/>
  <c r="H154" i="16"/>
  <c r="B154" i="16"/>
  <c r="G154" i="16"/>
  <c r="F154" i="16"/>
  <c r="AG37" i="42"/>
  <c r="AH37" i="42" s="1"/>
  <c r="M42" i="16"/>
  <c r="B45" i="16"/>
  <c r="F45" i="16"/>
  <c r="H45" i="16"/>
  <c r="E45" i="16"/>
  <c r="C45" i="16"/>
  <c r="G45" i="16"/>
  <c r="C126" i="16"/>
  <c r="H126" i="16"/>
  <c r="F126" i="16"/>
  <c r="E126" i="16"/>
  <c r="G126" i="16"/>
  <c r="B126" i="16"/>
  <c r="F96" i="16"/>
  <c r="G96" i="16"/>
  <c r="B96" i="16"/>
  <c r="H96" i="16"/>
  <c r="E96" i="16"/>
  <c r="C96" i="16"/>
  <c r="B41" i="16"/>
  <c r="E41" i="16"/>
  <c r="F41" i="16"/>
  <c r="H41" i="16"/>
  <c r="G41" i="16"/>
  <c r="C41" i="16"/>
  <c r="G128" i="16"/>
  <c r="B128" i="16"/>
  <c r="H128" i="16"/>
  <c r="E128" i="16"/>
  <c r="F128" i="16"/>
  <c r="C128" i="16"/>
  <c r="F142" i="16"/>
  <c r="C142" i="16"/>
  <c r="B142" i="16"/>
  <c r="E142" i="16"/>
  <c r="G142" i="16"/>
  <c r="H142" i="16"/>
  <c r="B91" i="16"/>
  <c r="G91" i="16"/>
  <c r="H91" i="16"/>
  <c r="E91" i="16"/>
  <c r="F91" i="16"/>
  <c r="C91" i="16"/>
  <c r="G46" i="16"/>
  <c r="F46" i="16"/>
  <c r="C46" i="16"/>
  <c r="B46" i="16"/>
  <c r="H46" i="16"/>
  <c r="E46" i="16"/>
  <c r="E99" i="16"/>
  <c r="B99" i="16"/>
  <c r="H99" i="16"/>
  <c r="F99" i="16"/>
  <c r="G99" i="16"/>
  <c r="C99" i="16"/>
  <c r="E38" i="16"/>
  <c r="G38" i="16"/>
  <c r="H38" i="16"/>
  <c r="B38" i="16"/>
  <c r="F38" i="16"/>
  <c r="C38" i="16"/>
  <c r="M39" i="16"/>
  <c r="AG34" i="42"/>
  <c r="AH34" i="42" s="1"/>
  <c r="E103" i="16"/>
  <c r="C103" i="16"/>
  <c r="H103" i="16"/>
  <c r="F103" i="16"/>
  <c r="B103" i="16"/>
  <c r="G103" i="16"/>
  <c r="G39" i="16"/>
  <c r="H39" i="16"/>
  <c r="F39" i="16"/>
  <c r="C39" i="16"/>
  <c r="B39" i="16"/>
  <c r="E39" i="16"/>
  <c r="B118" i="16"/>
  <c r="F118" i="16"/>
  <c r="G118" i="16"/>
  <c r="E118" i="16"/>
  <c r="C118" i="16"/>
  <c r="H118" i="16"/>
  <c r="C17" i="16"/>
  <c r="H17" i="16"/>
  <c r="B17" i="16"/>
  <c r="F17" i="16"/>
  <c r="E17" i="16"/>
  <c r="G17" i="16"/>
  <c r="B9" i="16"/>
  <c r="G9" i="16"/>
  <c r="E9" i="16"/>
  <c r="H9" i="16"/>
  <c r="F9" i="16"/>
  <c r="C9" i="16"/>
  <c r="E50" i="16"/>
  <c r="C50" i="16"/>
  <c r="H50" i="16"/>
  <c r="G50" i="16"/>
  <c r="F50" i="16"/>
  <c r="B50" i="16"/>
  <c r="C130" i="16"/>
  <c r="B130" i="16"/>
  <c r="H130" i="16"/>
  <c r="F130" i="16"/>
  <c r="E130" i="16"/>
  <c r="G130" i="16"/>
  <c r="F129" i="16"/>
  <c r="B129" i="16"/>
  <c r="C129" i="16"/>
  <c r="H129" i="16"/>
  <c r="G129" i="16"/>
  <c r="E129" i="16"/>
  <c r="E89" i="16"/>
  <c r="G89" i="16"/>
  <c r="B89" i="16"/>
  <c r="C89" i="16"/>
  <c r="H89" i="16"/>
  <c r="F89" i="16"/>
  <c r="M41" i="16"/>
  <c r="AG36" i="42"/>
  <c r="AH36" i="42" s="1"/>
  <c r="B90" i="16"/>
  <c r="E90" i="16"/>
  <c r="H90" i="16"/>
  <c r="F90" i="16"/>
  <c r="G90" i="16"/>
  <c r="C90" i="16"/>
  <c r="F22" i="16"/>
  <c r="B22" i="16"/>
  <c r="G22" i="16"/>
  <c r="C22" i="16"/>
  <c r="E22" i="16"/>
  <c r="H22" i="16"/>
  <c r="B113" i="16"/>
  <c r="C113" i="16"/>
  <c r="H113" i="16"/>
  <c r="F113" i="16"/>
  <c r="G113" i="16"/>
  <c r="E113" i="16"/>
  <c r="G140" i="16"/>
  <c r="F140" i="16"/>
  <c r="E140" i="16"/>
  <c r="C140" i="16"/>
  <c r="B140" i="16"/>
  <c r="H140" i="16"/>
  <c r="H32" i="16"/>
  <c r="B32" i="16"/>
  <c r="G32" i="16"/>
  <c r="C32" i="16"/>
  <c r="F32" i="16"/>
  <c r="E32" i="16"/>
  <c r="F80" i="16"/>
  <c r="B80" i="16"/>
  <c r="H80" i="16"/>
  <c r="E80" i="16"/>
  <c r="C80" i="16"/>
  <c r="G80" i="16"/>
  <c r="G40" i="16"/>
  <c r="H40" i="16"/>
  <c r="C40" i="16"/>
  <c r="F40" i="16"/>
  <c r="B40" i="16"/>
  <c r="E40" i="16"/>
  <c r="E75" i="16"/>
  <c r="C75" i="16"/>
  <c r="H75" i="16"/>
  <c r="B75" i="16"/>
  <c r="G75" i="16"/>
  <c r="F75" i="16"/>
  <c r="B13" i="16"/>
  <c r="G13" i="16"/>
  <c r="F13" i="16"/>
  <c r="C13" i="16"/>
  <c r="H13" i="16"/>
  <c r="E13" i="16"/>
  <c r="H110" i="16"/>
  <c r="C110" i="16"/>
  <c r="F110" i="16"/>
  <c r="G110" i="16"/>
  <c r="B110" i="16"/>
  <c r="E110" i="16"/>
  <c r="C67" i="16"/>
  <c r="G67" i="16"/>
  <c r="E67" i="16"/>
  <c r="B67" i="16"/>
  <c r="H67" i="16"/>
  <c r="F67" i="16"/>
  <c r="F101" i="16"/>
  <c r="E101" i="16"/>
  <c r="B101" i="16"/>
  <c r="G101" i="16"/>
  <c r="H101" i="16"/>
  <c r="C101" i="16"/>
  <c r="H14" i="16"/>
  <c r="E14" i="16"/>
  <c r="C14" i="16"/>
  <c r="G14" i="16"/>
  <c r="B14" i="16"/>
  <c r="F14" i="16"/>
  <c r="M40" i="16"/>
  <c r="AG35" i="42"/>
  <c r="AH35" i="42" s="1"/>
  <c r="C78" i="16"/>
  <c r="B78" i="16"/>
  <c r="F78" i="16"/>
  <c r="H78" i="16"/>
  <c r="G78" i="16"/>
  <c r="E78" i="16"/>
  <c r="H15" i="16"/>
  <c r="G15" i="16"/>
  <c r="F15" i="16"/>
  <c r="E15" i="16"/>
  <c r="C15" i="16"/>
  <c r="B15" i="16"/>
  <c r="E92" i="16"/>
  <c r="B92" i="16"/>
  <c r="C92" i="16"/>
  <c r="G92" i="16"/>
  <c r="H92" i="16"/>
  <c r="F92" i="16"/>
  <c r="H111" i="16"/>
  <c r="G111" i="16"/>
  <c r="C111" i="16"/>
  <c r="E111" i="16"/>
  <c r="F111" i="16"/>
  <c r="B111" i="16"/>
  <c r="F143" i="16"/>
  <c r="C143" i="16"/>
  <c r="B143" i="16"/>
  <c r="E143" i="16"/>
  <c r="H143" i="16"/>
  <c r="G143" i="16"/>
  <c r="E43" i="16"/>
  <c r="G43" i="16"/>
  <c r="F43" i="16"/>
  <c r="C43" i="16"/>
  <c r="B43" i="16"/>
  <c r="H43" i="16"/>
  <c r="H115" i="16"/>
  <c r="F115" i="16"/>
  <c r="E115" i="16"/>
  <c r="G115" i="16"/>
  <c r="C115" i="16"/>
  <c r="B115" i="16"/>
  <c r="F157" i="16"/>
  <c r="E157" i="16"/>
  <c r="C157" i="16"/>
  <c r="B157" i="16"/>
  <c r="H157" i="16"/>
  <c r="G157" i="16"/>
  <c r="G33" i="16"/>
  <c r="F33" i="16"/>
  <c r="E33" i="16"/>
  <c r="H33" i="16"/>
  <c r="B33" i="16"/>
  <c r="C33" i="16"/>
  <c r="M43" i="16"/>
  <c r="AG38" i="42"/>
  <c r="AH38" i="42" s="1"/>
  <c r="E133" i="16"/>
  <c r="G133" i="16"/>
  <c r="H133" i="16"/>
  <c r="F133" i="16"/>
  <c r="C133" i="16"/>
  <c r="B133" i="16"/>
  <c r="F61" i="16"/>
  <c r="H61" i="16"/>
  <c r="G61" i="16"/>
  <c r="C61" i="16"/>
  <c r="B61" i="16"/>
  <c r="E61" i="16"/>
  <c r="G106" i="16"/>
  <c r="H106" i="16"/>
  <c r="B106" i="16"/>
  <c r="C106" i="16"/>
  <c r="F106" i="16"/>
  <c r="E106" i="16"/>
  <c r="G11" i="16"/>
  <c r="E11" i="16"/>
  <c r="B11" i="16"/>
  <c r="F11" i="16"/>
  <c r="H11" i="16"/>
  <c r="C11" i="16"/>
  <c r="B85" i="16"/>
  <c r="G85" i="16"/>
  <c r="E85" i="16"/>
  <c r="H85" i="16"/>
  <c r="F85" i="16"/>
  <c r="C85" i="16"/>
  <c r="H20" i="16"/>
  <c r="G20" i="16"/>
  <c r="F20" i="16"/>
  <c r="E20" i="16"/>
  <c r="B20" i="16"/>
  <c r="C20" i="16"/>
  <c r="H105" i="16"/>
  <c r="C105" i="16"/>
  <c r="G105" i="16"/>
  <c r="E105" i="16"/>
  <c r="F105" i="16"/>
  <c r="B105" i="16"/>
  <c r="G42" i="16"/>
  <c r="H42" i="16"/>
  <c r="E42" i="16"/>
  <c r="B42" i="16"/>
  <c r="F42" i="16"/>
  <c r="C42" i="16"/>
  <c r="G102" i="16"/>
  <c r="B102" i="16"/>
  <c r="F102" i="16"/>
  <c r="E102" i="16"/>
  <c r="C102" i="16"/>
  <c r="H102" i="16"/>
  <c r="E94" i="16"/>
  <c r="B94" i="16"/>
  <c r="H94" i="16"/>
  <c r="G94" i="16"/>
  <c r="F94" i="16"/>
  <c r="C94" i="16"/>
  <c r="H153" i="16"/>
  <c r="C153" i="16"/>
  <c r="F153" i="16"/>
  <c r="B153" i="16"/>
  <c r="G153" i="16"/>
  <c r="E153" i="16"/>
  <c r="C18" i="16"/>
  <c r="F18" i="16"/>
  <c r="E18" i="16"/>
  <c r="G18" i="16"/>
  <c r="H18" i="16"/>
  <c r="B18" i="16"/>
  <c r="E107" i="16"/>
  <c r="C107" i="16"/>
  <c r="B107" i="16"/>
  <c r="H107" i="16"/>
  <c r="G107" i="16"/>
  <c r="F107" i="16"/>
  <c r="E125" i="16"/>
  <c r="C125" i="16"/>
  <c r="F125" i="16"/>
  <c r="H125" i="16"/>
  <c r="B125" i="16"/>
  <c r="G125" i="16"/>
  <c r="F49" i="16"/>
  <c r="E49" i="16"/>
  <c r="B49" i="16"/>
  <c r="G49" i="16"/>
  <c r="H49" i="16"/>
  <c r="C49" i="16"/>
  <c r="C81" i="16"/>
  <c r="B81" i="16"/>
  <c r="H81" i="16"/>
  <c r="E81" i="16"/>
  <c r="G81" i="16"/>
  <c r="F81" i="16"/>
  <c r="C84" i="16"/>
  <c r="B84" i="16"/>
  <c r="H84" i="16"/>
  <c r="E84" i="16"/>
  <c r="G84" i="16"/>
  <c r="F84" i="16"/>
  <c r="M44" i="16"/>
  <c r="AG39" i="42"/>
  <c r="AH39" i="42" s="1"/>
  <c r="G93" i="16"/>
  <c r="F93" i="16"/>
  <c r="E93" i="16"/>
  <c r="C93" i="16"/>
  <c r="B93" i="16"/>
  <c r="H93" i="16"/>
  <c r="G112" i="16"/>
  <c r="B112" i="16"/>
  <c r="H112" i="16"/>
  <c r="F112" i="16"/>
  <c r="C112" i="16"/>
  <c r="E112" i="16"/>
  <c r="H160" i="16"/>
  <c r="C160" i="16"/>
  <c r="G160" i="16"/>
  <c r="B160" i="16"/>
  <c r="F160" i="16"/>
  <c r="E160" i="16"/>
  <c r="F12" i="16"/>
  <c r="H12" i="16"/>
  <c r="E12" i="16"/>
  <c r="C12" i="16"/>
  <c r="B12" i="16"/>
  <c r="G12" i="16"/>
  <c r="G4" i="16"/>
  <c r="F4" i="16"/>
  <c r="E4" i="16"/>
  <c r="H4" i="16"/>
  <c r="B4" i="16"/>
  <c r="C4" i="16"/>
  <c r="B52" i="16"/>
  <c r="C52" i="16"/>
  <c r="H52" i="16"/>
  <c r="G52" i="16"/>
  <c r="E52" i="16"/>
  <c r="F52" i="16"/>
  <c r="H149" i="16"/>
  <c r="F149" i="16"/>
  <c r="E149" i="16"/>
  <c r="B149" i="16"/>
  <c r="G149" i="16"/>
  <c r="C149" i="16"/>
  <c r="C72" i="16"/>
  <c r="H72" i="16"/>
  <c r="G72" i="16"/>
  <c r="F72" i="16"/>
  <c r="B72" i="16"/>
  <c r="E72" i="16"/>
  <c r="B155" i="16"/>
  <c r="F155" i="16"/>
  <c r="C155" i="16"/>
  <c r="E155" i="16"/>
  <c r="H155" i="16"/>
  <c r="G155" i="16"/>
  <c r="G44" i="16"/>
  <c r="F44" i="16"/>
  <c r="B44" i="16"/>
  <c r="E44" i="16"/>
  <c r="C44" i="16"/>
  <c r="H44" i="16"/>
  <c r="C29" i="16"/>
  <c r="F29" i="16"/>
  <c r="H29" i="16"/>
  <c r="E29" i="16"/>
  <c r="G29" i="16"/>
  <c r="B29" i="16"/>
  <c r="H124" i="16"/>
  <c r="E124" i="16"/>
  <c r="G124" i="16"/>
  <c r="C124" i="16"/>
  <c r="B124" i="16"/>
  <c r="F124" i="16"/>
  <c r="B148" i="16"/>
  <c r="C148" i="16"/>
  <c r="H148" i="16"/>
  <c r="F148" i="16"/>
  <c r="E148" i="16"/>
  <c r="G148" i="16"/>
  <c r="G57" i="16"/>
  <c r="H57" i="16"/>
  <c r="C57" i="16"/>
  <c r="B57" i="16"/>
  <c r="F57" i="16"/>
  <c r="E57" i="16"/>
  <c r="F63" i="16"/>
  <c r="H63" i="16"/>
  <c r="B63" i="16"/>
  <c r="C63" i="16"/>
  <c r="E63" i="16"/>
  <c r="G63" i="16"/>
  <c r="B7" i="16"/>
  <c r="G7" i="16"/>
  <c r="F7" i="16"/>
  <c r="E7" i="16"/>
  <c r="H7" i="16"/>
  <c r="C7" i="16"/>
  <c r="B8" i="16"/>
  <c r="C8" i="16"/>
  <c r="E8" i="16"/>
  <c r="H8" i="16"/>
  <c r="F8" i="16"/>
  <c r="G8" i="16"/>
  <c r="H135" i="16"/>
  <c r="B135" i="16"/>
  <c r="C135" i="16"/>
  <c r="F135" i="16"/>
  <c r="G135" i="16"/>
  <c r="E135" i="16"/>
  <c r="JS352" i="55"/>
  <c r="BU3" i="40" s="1" a="1"/>
  <c r="BU3" i="40" s="1"/>
  <c r="N352" i="55"/>
  <c r="AE3" i="40" a="1"/>
  <c r="AE3" i="40" s="1"/>
  <c r="B3" i="44" l="1" a="1"/>
  <c r="B3" i="44" s="1"/>
  <c r="D5" i="60" a="1"/>
  <c r="D5" i="60" s="1"/>
  <c r="E3" i="59" a="1"/>
  <c r="E3" i="59" s="1"/>
  <c r="A2" i="60"/>
  <c r="A1" i="55" a="1"/>
  <c r="A1" i="55" s="1"/>
  <c r="AE1" i="40"/>
  <c r="BF15" i="10"/>
  <c r="BF1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K2" authorId="0" shapeId="0" xr:uid="{8AB335CF-5021-4ED8-884C-51F4DC1E751C}">
      <text>
        <r>
          <rPr>
            <b/>
            <sz val="9"/>
            <color indexed="81"/>
            <rFont val="Tahoma"/>
            <family val="2"/>
            <charset val="204"/>
          </rPr>
          <t>0 — линии не занимают каналы (DALI: группы на одной шине шлюза); 2 — шторы (вверх / вниз). Пусто в «Модели» — модуль не подставляется.</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A13" authorId="0" shapeId="0" xr:uid="{3661F32F-67DF-4443-B886-A82CEEDD4349}">
      <text>
        <r>
          <rPr>
            <b/>
            <sz val="9"/>
            <color indexed="81"/>
            <rFont val="Tahoma"/>
            <family val="2"/>
            <charset val="204"/>
          </rPr>
          <t>Имя щита (как в «Линии» столбец «Щит»).</t>
        </r>
      </text>
    </comment>
    <comment ref="B13" authorId="0" shapeId="0" xr:uid="{3823D7B3-3314-4C71-9713-5643AAD495E9}">
      <text>
        <r>
          <rPr>
            <b/>
            <sz val="9"/>
            <color indexed="81"/>
            <rFont val="Tahoma"/>
            <family val="2"/>
            <charset val="204"/>
          </rPr>
          <t>Серое — по линии-фидеру в «Линиях» (номер линии = имя щита или столбец «Питает щит»). Своё — впишите, если фидера в книге нет. У ВРУ / ГРЩ — пусто.</t>
        </r>
      </text>
    </comment>
    <comment ref="C13" authorId="0" shapeId="0" xr:uid="{4E855E25-8C4A-4680-A984-0DD49F851335}">
      <text>
        <r>
          <rPr>
            <b/>
            <sz val="9"/>
            <color indexed="81"/>
            <rFont val="Tahoma"/>
            <family val="2"/>
            <charset val="204"/>
          </rPr>
          <t>Число вводов 1 / 2 / 3.</t>
        </r>
      </text>
    </comment>
    <comment ref="D13" authorId="0" shapeId="0" xr:uid="{BD3C0CAB-CBFB-4122-8CFB-A09467B4A8BD}">
      <text>
        <r>
          <rPr>
            <b/>
            <sz val="9"/>
            <color indexed="81"/>
            <rFont val="Tahoma"/>
            <family val="2"/>
            <charset val="204"/>
          </rPr>
          <t>да / нет</t>
        </r>
      </text>
    </comment>
    <comment ref="E13" authorId="0" shapeId="0" xr:uid="{8996A87D-DD62-448B-A16F-819AF759C5EF}">
      <text>
        <r>
          <rPr>
            <b/>
            <sz val="9"/>
            <color indexed="81"/>
            <rFont val="Tahoma"/>
            <family val="2"/>
            <charset val="204"/>
          </rPr>
          <t>Ввод 1 / 2 / 3 — от какого ввода питается ИБП (ЩГП).</t>
        </r>
      </text>
    </comment>
    <comment ref="F13" authorId="0" shapeId="0" xr:uid="{513683CE-8FF8-4936-90D0-6FFC0143D359}">
      <text>
        <r>
          <rPr>
            <b/>
            <sz val="9"/>
            <color indexed="81"/>
            <rFont val="Tahoma"/>
            <family val="2"/>
            <charset val="204"/>
          </rPr>
          <t>Сколько первых мест схемы (шаг 20 мм) занимает вводной узел — вводы, АВР, ИБП, байпас, учёт; его рисуете сами. Пусто — 17 (весь первый лист A3); 11 — узел на части листа, линии на том же листе; 34 — два листа. Строки узла на схеме не рисуются (режим «рисовать» — нарисовать).</t>
        </r>
      </text>
    </comment>
    <comment ref="G13" authorId="0" shapeId="0" xr:uid="{59F28245-16CD-41C2-8580-1154A430316D}">
      <text>
        <r>
          <rPr>
            <b/>
            <sz val="9"/>
            <color indexed="81"/>
            <rFont val="Tahoma"/>
            <family val="2"/>
            <charset val="204"/>
          </rPr>
          <t>Только для ВРУ / ГРЩ: «ТП» — щит питается от своего трансформатора; иначе — от сети (введите Iкз).</t>
        </r>
      </text>
    </comment>
    <comment ref="I13" authorId="0" shapeId="0" xr:uid="{1049FA51-E45C-4ACF-871B-158DADF61937}">
      <text>
        <r>
          <rPr>
            <b/>
            <sz val="9"/>
            <color indexed="81"/>
            <rFont val="Tahoma"/>
            <family val="2"/>
            <charset val="204"/>
          </rPr>
          <t>Iкз min (1ф) на вводе — от сетевой организации.</t>
        </r>
      </text>
    </comment>
    <comment ref="J13" authorId="0" shapeId="0" xr:uid="{91281D9B-962D-44F5-870D-E59149DC3AE6}">
      <text>
        <r>
          <rPr>
            <b/>
            <sz val="9"/>
            <color indexed="81"/>
            <rFont val="Tahoma"/>
            <family val="2"/>
            <charset val="204"/>
          </rPr>
          <t>Iкз max (3ф) на вводе — от сетевой организации.</t>
        </r>
      </text>
    </comment>
    <comment ref="L13" authorId="0" shapeId="0" xr:uid="{36E3F945-B0DB-4B4D-B871-07DC744698BC}">
      <text>
        <r>
          <rPr>
            <b/>
            <sz val="9"/>
            <color indexed="81"/>
            <rFont val="Tahoma"/>
            <family val="2"/>
            <charset val="204"/>
          </rPr>
          <t>Д/Yн или Y/Yн</t>
        </r>
      </text>
    </comment>
    <comment ref="Q13" authorId="0" shapeId="0" xr:uid="{C1C59926-DA89-487A-9549-257C3295BFC1}">
      <text>
        <r>
          <rPr>
            <b/>
            <sz val="9"/>
            <color indexed="81"/>
            <rFont val="Tahoma"/>
            <family val="2"/>
            <charset val="204"/>
          </rPr>
          <t>медь / алюминий</t>
        </r>
      </text>
    </comment>
    <comment ref="S13" authorId="0" shapeId="0" xr:uid="{6D1899C2-A608-4663-8278-3F2137E16861}">
      <text>
        <r>
          <rPr>
            <b/>
            <sz val="9"/>
            <color indexed="81"/>
            <rFont val="Tahoma"/>
            <family val="2"/>
            <charset val="204"/>
          </rPr>
          <t>B / C / D</t>
        </r>
      </text>
    </comment>
    <comment ref="T13" authorId="0" shapeId="0" xr:uid="{2ED153C1-CB0F-4BA4-9564-C75645391C55}">
      <text>
        <r>
          <rPr>
            <b/>
            <sz val="9"/>
            <color indexed="81"/>
            <rFont val="Tahoma"/>
            <family val="2"/>
            <charset val="204"/>
          </rPr>
          <t>Для щита без вышестоящего в книге: какую категорию даёт питающая линия. Пусто — по своей схеме.</t>
        </r>
      </text>
    </comment>
    <comment ref="W13" authorId="0" shapeId="0" xr:uid="{71C4D0C7-D193-45C0-807C-6E9B2C3989A7}">
      <text>
        <r>
          <rPr>
            <b/>
            <sz val="9"/>
            <color indexed="81"/>
            <rFont val="Tahoma"/>
            <family val="2"/>
            <charset val="204"/>
          </rPr>
          <t>Сумма установленной мощности щита и всех нижестоящих (без группы «Нет»).</t>
        </r>
      </text>
    </comment>
    <comment ref="X13" authorId="0" shapeId="0" xr:uid="{A6D8578D-9444-4A9F-924D-9183E7A06A45}">
      <text>
        <r>
          <rPr>
            <b/>
            <sz val="9"/>
            <color indexed="81"/>
            <rFont val="Tahoma"/>
            <family val="2"/>
            <charset val="204"/>
          </rPr>
          <t>Рр = kп.к·Руст быт·Кс + Ко·Рр сил + Руст пост + Р отоп + 0,7·Р ВНГ (СП 256 п. 7.1.10, Изм. 9).</t>
        </r>
      </text>
    </comment>
    <comment ref="Y13" authorId="0" shapeId="0" xr:uid="{284B645A-6E00-4E5A-A100-FE120271B991}">
      <text>
        <r>
          <rPr>
            <b/>
            <sz val="9"/>
            <color indexed="81"/>
            <rFont val="Tahoma"/>
            <family val="2"/>
            <charset val="204"/>
          </rPr>
          <t>По наиболее нагруженной фазе.</t>
        </r>
      </text>
    </comment>
    <comment ref="AA13" authorId="0" shapeId="0" xr:uid="{F0F66E9E-101B-4FE1-9C07-D035FA112AFE}">
      <text>
        <r>
          <rPr>
            <b/>
            <sz val="9"/>
            <color indexed="81"/>
            <rFont val="Tahoma"/>
            <family val="2"/>
            <charset val="204"/>
          </rPr>
          <t>ΔU от ВРУ до шин щита = ΔU источника + Σ ΔU фидеров на пути.</t>
        </r>
      </text>
    </comment>
    <comment ref="AD13" authorId="0" shapeId="0" xr:uid="{42E5ABF1-7FC4-48C8-BB82-EA6BDBE9B856}">
      <text>
        <r>
          <rPr>
            <b/>
            <sz val="9"/>
            <color indexed="81"/>
            <rFont val="Tahoma"/>
            <family val="2"/>
            <charset val="204"/>
          </rPr>
          <t>1 ввод — III (или II, если питающая линия I/II: один кабель не даёт I, ПУЭ 1.2.19); 2+ ввода без АВР — II; с АВР — I.</t>
        </r>
      </text>
    </comment>
    <comment ref="AE13" authorId="0" shapeId="0" xr:uid="{8290C862-985A-4CBE-90B5-4A349DBDBECC}">
      <text>
        <r>
          <rPr>
            <b/>
            <sz val="9"/>
            <color indexed="81"/>
            <rFont val="Tahoma"/>
            <family val="2"/>
            <charset val="204"/>
          </rPr>
          <t>Цепочка щитов от ГРЩ до этого щита.</t>
        </r>
      </text>
    </comment>
    <comment ref="AG13" authorId="0" shapeId="0" xr:uid="{395B6A0C-3C8A-4BF8-AD76-9B189985092C}">
      <text>
        <r>
          <rPr>
            <b/>
            <sz val="9"/>
            <color indexed="81"/>
            <rFont val="Tahoma"/>
            <family val="2"/>
            <charset val="204"/>
          </rPr>
          <t>Вышестоящий щит: вручную или по линии-фидеру.</t>
        </r>
      </text>
    </comment>
    <comment ref="AT13" authorId="0" shapeId="0" xr:uid="{08A9C1AA-1C8C-4DD0-B0A6-6B095EED7A33}">
      <text>
        <r>
          <rPr>
            <b/>
            <sz val="9"/>
            <color indexed="81"/>
            <rFont val="Tahoma"/>
            <family val="2"/>
            <charset val="204"/>
          </rPr>
          <t>СП 256 табл. 7.2 по сумме Руст быт щита, линейная интерполяция.</t>
        </r>
      </text>
    </comment>
    <comment ref="AU13" authorId="0" shapeId="0" xr:uid="{F7FAAB42-0A36-4FC7-800E-3C1FBA9C9D32}">
      <text>
        <r>
          <rPr>
            <b/>
            <sz val="9"/>
            <color indexed="81"/>
            <rFont val="Tahoma"/>
            <family val="2"/>
            <charset val="204"/>
          </rPr>
          <t>Σ P·Кс силовых линий.</t>
        </r>
      </text>
    </comment>
    <comment ref="AW13" authorId="0" shapeId="0" xr:uid="{8796BD74-9E0D-4940-B373-E6D0B47AD4AF}">
      <text>
        <r>
          <rPr>
            <b/>
            <sz val="9"/>
            <color indexed="81"/>
            <rFont val="Tahoma"/>
            <family val="2"/>
            <charset val="204"/>
          </rPr>
          <t>Электроотопление, Кс = 1 (СП 256, Изм. 9).</t>
        </r>
      </text>
    </comment>
    <comment ref="AX13" authorId="0" shapeId="0" xr:uid="{F228FFDB-DDE9-4820-B97F-DD55962DBBB5}">
      <text>
        <r>
          <rPr>
            <b/>
            <sz val="9"/>
            <color indexed="81"/>
            <rFont val="Tahoma"/>
            <family val="2"/>
            <charset val="204"/>
          </rPr>
          <t>Водонагреватели × 0,7 (СП 256, Изм. 9).</t>
        </r>
      </text>
    </comment>
    <comment ref="AZ13" authorId="0" shapeId="0" xr:uid="{F03D1975-2BD5-454A-BAF7-EE0F44E7E4E8}">
      <text>
        <r>
          <rPr>
            <b/>
            <sz val="9"/>
            <color indexed="81"/>
            <rFont val="Tahoma"/>
            <family val="2"/>
            <charset val="204"/>
          </rPr>
          <t>СП 256 табл. 7.5 по числу силовых линий щита (доля сантехники 100–85 %; таблица — лист «Объект»). Применяется в режиме «нормы 2026», если Кс линии не задан.</t>
        </r>
      </text>
    </comment>
    <comment ref="BA13" authorId="0" shapeId="0" xr:uid="{9525D63E-12A2-4285-A0D6-D7697E0848E5}">
      <text>
        <r>
          <rPr>
            <b/>
            <sz val="9"/>
            <color indexed="81"/>
            <rFont val="Tahoma"/>
            <family val="2"/>
            <charset val="204"/>
          </rPr>
          <t>0,9 — совмещение бытовой и силовой нагрузки (СП 256 формула 6). В режиме «нормы 2026» — только если на щите есть обе.</t>
        </r>
      </text>
    </comment>
    <comment ref="BM13" authorId="0" shapeId="0" xr:uid="{0130CB6B-21D2-4BBB-B443-15429F86D0C6}">
      <text>
        <r>
          <rPr>
            <b/>
            <sz val="9"/>
            <color indexed="81"/>
            <rFont val="Tahoma"/>
            <family val="2"/>
            <charset val="204"/>
          </rPr>
          <t>Zшин = Zсети + Σ(петля фидеров + Rпер) на пути (ГОСТ 28249).</t>
        </r>
      </text>
    </comment>
    <comment ref="BY13" authorId="0" shapeId="0" xr:uid="{697249C5-A871-4C95-88CA-583E924AE957}">
      <text>
        <r>
          <rPr>
            <b/>
            <sz val="9"/>
            <color indexed="81"/>
            <rFont val="Tahoma"/>
            <family val="2"/>
            <charset val="204"/>
          </rPr>
          <t>Расклад фаз автоматов без ручной фазы (крупные первыми).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A2" authorId="0" shapeId="0" xr:uid="{76E9D4DD-BF02-44DE-B499-2D592380EB0A}">
      <text>
        <r>
          <rPr>
            <b/>
            <sz val="9"/>
            <color indexed="81"/>
            <rFont val="Tahoma"/>
            <family val="2"/>
            <charset val="204"/>
          </rPr>
          <t>Имя щита (как на листе «Щиты»). Строки щита — подряд, в порядке мест на схеме. Кнопки щитов над таблицей показывают один щит.</t>
        </r>
      </text>
    </comment>
    <comment ref="B2" authorId="0" shapeId="0" xr:uid="{5815F0C8-27EF-4395-A962-6634E7BB18BF}">
      <text>
        <r>
          <rPr>
            <b/>
            <sz val="9"/>
            <color indexed="81"/>
            <rFont val="Tahoma"/>
            <family val="2"/>
            <charset val="204"/>
          </rPr>
          <t>Код.Этаж.Помещение.Группа (пример: R.1.05.3). Код — лист «Коды». Номер приходит из чертежа (DLN).</t>
        </r>
      </text>
    </comment>
    <comment ref="C2" authorId="0" shapeId="0" xr:uid="{8A2D9F87-215A-45FA-8FE3-FC806DBD4EEB}">
      <text>
        <r>
          <rPr>
            <b/>
            <sz val="9"/>
            <color indexed="81"/>
            <rFont val="Tahoma"/>
            <family val="2"/>
            <charset val="204"/>
          </rPr>
          <t>Серое — по коду и помещению (как собирать — лист «Объект»). Впишите своё — станет синим. Сотрёте — вернётся серое.</t>
        </r>
      </text>
    </comment>
    <comment ref="D2" authorId="0" shapeId="0" xr:uid="{FCA8F409-2EB2-4D55-8F21-CEB88B7C4E81}">
      <text>
        <r>
          <rPr>
            <b/>
            <sz val="9"/>
            <color indexed="81"/>
            <rFont val="Tahoma"/>
            <family val="2"/>
            <charset val="204"/>
          </rPr>
          <t>Число розеток, светильников… Приходит из DLN. Нужно для мощности (кВт на шт по коду) и для длины опусков.</t>
        </r>
      </text>
    </comment>
    <comment ref="E2" authorId="0" shapeId="0" xr:uid="{0EE33B72-E228-497D-BC6F-E60246841BA9}">
      <text>
        <r>
          <rPr>
            <b/>
            <sz val="9"/>
            <color indexed="81"/>
            <rFont val="Tahoma"/>
            <family val="2"/>
            <charset val="204"/>
          </rPr>
          <t>Серое — кВт на шт по коду × кол-во (розетки 0,06 кВт на шт). Фидер — Руст нижнего щита. Известную мощность впишите сами.</t>
        </r>
      </text>
    </comment>
    <comment ref="F2" authorId="0" shapeId="0" xr:uid="{309E338E-FA9D-4539-9A7B-0073FDF6FF57}">
      <text>
        <r>
          <rPr>
            <b/>
            <sz val="9"/>
            <color indexed="81"/>
            <rFont val="Tahoma"/>
            <family val="2"/>
            <charset val="204"/>
          </rPr>
          <t>Пусто — у линии свой автомат. «гр» — линия на автомате строки выше (несколько линий на одном автомате). «узо» — линия со своим автоматом на шине УЗО: выше строка «УЗО.1» с «УЗО 2P 40А 30мА» в «Аппаратах». Строки группы и блока УЗО — подряд.</t>
        </r>
      </text>
    </comment>
    <comment ref="G2" authorId="0" shapeId="0" xr:uid="{ED0E2853-40C6-4CAF-B9DF-16BB134670DE}">
      <text>
        <r>
          <rPr>
            <b/>
            <sz val="9"/>
            <color indexed="81"/>
            <rFont val="Tahoma"/>
            <family val="2"/>
            <charset val="204"/>
          </rPr>
          <t>Серое — подбор: полюса, характеристика, номинал по току группы и минимуму кода, ток утечки. В строке «гр» — «↑» и автомат группы. Свой автомат: 25, C25 или 2P C25А 30мА — таблица проверит.</t>
        </r>
      </text>
    </comment>
    <comment ref="H2" authorId="0" shapeId="0" xr:uid="{99F2AC30-3B24-4EBD-9AD5-18F332A0464F}">
      <text>
        <r>
          <rPr>
            <b/>
            <sz val="9"/>
            <color indexed="81"/>
            <rFont val="Tahoma"/>
            <family val="2"/>
            <charset val="204"/>
          </rPr>
          <t>Серое — по пометке в выноске (Relay, DIM, DALI) или по коду. Пусто — без модуля. Раскладка по модулям — следующий этап.</t>
        </r>
      </text>
    </comment>
    <comment ref="I2" authorId="0" shapeId="0" xr:uid="{7F5DF2E9-2184-4173-AE6D-B90C80F6BBE5}">
      <text>
        <r>
          <rPr>
            <b/>
            <sz val="9"/>
            <color indexed="81"/>
            <rFont val="Tahoma"/>
            <family val="2"/>
            <charset val="204"/>
          </rPr>
          <t>Аппараты после автомата через «;»: БП, КМ, МК, Т. Пример: КМ NCH8-40/40; БП 24V 75W. Серое — по коду.</t>
        </r>
      </text>
    </comment>
    <comment ref="J2" authorId="0" shapeId="0" xr:uid="{850E8439-A891-49AA-8F63-E568533EB72D}">
      <text>
        <r>
          <rPr>
            <b/>
            <sz val="9"/>
            <color indexed="81"/>
            <rFont val="Tahoma"/>
            <family val="2"/>
            <charset val="204"/>
          </rPr>
          <t>Серое — подбор: наименьшее сечение не меньше минимума кода, при котором Iдоп·К ≥ In автомата (ПУЭ 1.3.10), ΔU от ВРУ в норме (СП 256 п. 8.23) и Iкз в конце отключает автомат за 0,4 с (ПУЭ 1.7.79). Своё — синим, таблица проверит.</t>
        </r>
      </text>
    </comment>
    <comment ref="K2" authorId="0" shapeId="0" xr:uid="{94EF39E6-41CD-4C5F-89AA-42F8CD33FFF1}">
      <text>
        <r>
          <rPr>
            <b/>
            <sz val="9"/>
            <color indexed="81"/>
            <rFont val="Tahoma"/>
            <family val="2"/>
            <charset val="204"/>
          </rPr>
          <t>Серое — длина из чертежа (DLN: ПВХ + ПНД). Своя — синим. Итог с опусками и подъёмом — столбец «Длина, м».</t>
        </r>
      </text>
    </comment>
    <comment ref="L2" authorId="0" shapeId="0" xr:uid="{68D5FE5F-3BC8-4557-A3DF-8D10A4EACAE3}">
      <text>
        <r>
          <rPr>
            <b/>
            <sz val="9"/>
            <color indexed="81"/>
            <rFont val="Tahoma"/>
            <family val="2"/>
            <charset val="204"/>
          </rPr>
          <t>Серое — автобалансировка: каждому автомату (группе) — наименее загруженная фаза. Линии группы — на фазе своего автомата. Своя: 1, 2, 3 или 1,2,3.</t>
        </r>
      </text>
    </comment>
    <comment ref="M2" authorId="0" shapeId="0" xr:uid="{10C22BA5-5DC7-4CA5-B5A0-06CDFB6C38E2}">
      <text>
        <r>
          <rPr>
            <b/>
            <sz val="9"/>
            <color indexed="81"/>
            <rFont val="Tahoma"/>
            <family val="2"/>
            <charset val="204"/>
          </rPr>
          <t>Серое — следующая XT по порядку. Своя — синим. «нет» — клемма без номера.</t>
        </r>
      </text>
    </comment>
    <comment ref="N2" authorId="0" shapeId="0" xr:uid="{FCFDDC04-6BA7-4660-B660-2C93C7671C14}">
      <text>
        <r>
          <rPr>
            <b/>
            <sz val="9"/>
            <color indexed="81"/>
            <rFont val="Tahoma"/>
            <family val="2"/>
            <charset val="204"/>
          </rPr>
          <t>Что не так в строке. Пусто — в норме. Сводка по объекту — лист «Проверка».</t>
        </r>
      </text>
    </comment>
    <comment ref="O2" authorId="0" shapeId="0" xr:uid="{B44A2B47-5F63-42E9-AC18-67D2BCD2D588}">
      <text>
        <r>
          <rPr>
            <b/>
            <sz val="9"/>
            <color indexed="81"/>
            <rFont val="Tahoma"/>
            <family val="2"/>
            <charset val="204"/>
          </rPr>
          <t>1ф: P/(Uф·cos φ); 3ф: P/(√3·Uн·cos φ); до 50 В (LED 24 В) — постоянный ток P/U. Фидер — Iр нижнего щита.</t>
        </r>
      </text>
    </comment>
    <comment ref="P2" authorId="0" shapeId="0" xr:uid="{6E1BA972-3604-4384-9551-F5D5C3BB33BF}">
      <text>
        <r>
          <rPr>
            <b/>
            <sz val="9"/>
            <color indexed="81"/>
            <rFont val="Tahoma"/>
            <family val="2"/>
            <charset val="204"/>
          </rPr>
          <t>Опуск·(2n−1) + длина по плану + подъём на этаж; n пусто — 1.</t>
        </r>
      </text>
    </comment>
    <comment ref="Q2" authorId="0" shapeId="0" xr:uid="{31AEBFA7-ECF2-46F7-AF09-A42D725C6C52}">
      <text>
        <r>
          <rPr>
            <b/>
            <sz val="9"/>
            <color indexed="81"/>
            <rFont val="Tahoma"/>
            <family val="2"/>
            <charset val="204"/>
          </rPr>
          <t>Потери линии + потери до шин щита. Норма — СП 256 п. 8.23: до светильников 3 %, до прочих 4 % (+0,005 %/м сверх 100 м). Линии до 50 В (LED 24 В) — потери от БП, допустимо — «Объект» (по умолчанию 5 %).</t>
        </r>
      </text>
    </comment>
    <comment ref="S2" authorId="0" shapeId="0" xr:uid="{A020592A-C2DC-40DB-B5E2-C8754E1D2111}">
      <text>
        <r>
          <rPr>
            <b/>
            <sz val="9"/>
            <color indexed="81"/>
            <rFont val="Tahoma"/>
            <family val="2"/>
            <charset val="204"/>
          </rPr>
          <t>Лист схемы A3 и место на нём. «узел» — вводной узел щита (рисуете сами).</t>
        </r>
      </text>
    </comment>
    <comment ref="T2" authorId="0" shapeId="0" xr:uid="{FE707A16-839B-4AE8-8AF6-02D666723B13}">
      <text>
        <r>
          <rPr>
            <b/>
            <sz val="9"/>
            <color indexed="81"/>
            <rFont val="Tahoma"/>
            <family val="2"/>
            <charset val="204"/>
          </rPr>
          <t>ПУЭ 7.1.83: 0,4 мА на 1 А тока нагрузки + 10 мкА на 1 м линии; у группы — сумма по линиям. С дифзащитой должно быть не больше 1/3 уставки (30 мА → 10 мА), иначе — замечание.</t>
        </r>
      </text>
    </comment>
    <comment ref="U2" authorId="0" shapeId="0" xr:uid="{F7D0F812-D478-4EC8-9D6B-1A2A8FE9F236}">
      <text>
        <r>
          <rPr>
            <b/>
            <sz val="9"/>
            <color indexed="81"/>
            <rFont val="Tahoma"/>
            <family val="2"/>
            <charset val="204"/>
          </rPr>
          <t>Строка автомата группы с линиями до 50 В: мощность БП, которая нужна = запас («Объект», 1,3) × Σ (Uвых·I) по линиям группы. Сравнивается с мощностью из «Аппаратов» (БП 24V 480W).</t>
        </r>
      </text>
    </comment>
    <comment ref="V2" authorId="0" shapeId="0" xr:uid="{C0977ACF-673C-4E61-96A9-7D478B2B95A0}">
      <text>
        <r>
          <rPr>
            <b/>
            <sz val="9"/>
            <color indexed="81"/>
            <rFont val="Tahoma"/>
            <family val="2"/>
            <charset val="204"/>
          </rPr>
          <t>Напряжение на выходе БП, при котором у самой нагруженной линии в конце остаётся номинал (U + потери). Если больше, чем даёт БП, — увеличьте сечение.</t>
        </r>
      </text>
    </comment>
    <comment ref="W2" authorId="0" shapeId="0" xr:uid="{49D73C93-FD8F-4D75-883D-5C5B9580AC26}">
      <text>
        <r>
          <rPr>
            <b/>
            <sz val="9"/>
            <color indexed="81"/>
            <rFont val="Tahoma"/>
            <family val="2"/>
            <charset val="204"/>
          </rPr>
          <t>Наибольшая длина линии при этом сечении и автомате, когда Iкз в конце ещё отключает автомат за 0,4 с (Iкз ≥ кратность·In, ПУЭ 1.7.79). Сравните с «Длина, м»: видно, какой запас.</t>
        </r>
      </text>
    </comment>
    <comment ref="X2" authorId="0" shapeId="0" xr:uid="{F5771697-7E73-49A0-996F-EFC909CD1ADA}">
      <text>
        <r>
          <rPr>
            <b/>
            <sz val="9"/>
            <color indexed="81"/>
            <rFont val="Tahoma"/>
            <family val="2"/>
            <charset val="204"/>
          </rPr>
          <t>Обычно пусто: если номер линии = имя щита, фидер определяется сам. Пример, когда нужно: линия ЩСПЗ.1 питает щит ЩСПЗ.</t>
        </r>
      </text>
    </comment>
    <comment ref="Y2" authorId="0" shapeId="0" xr:uid="{3E1A6FD2-DAF4-4319-8858-EB790D79C02D}">
      <text>
        <r>
          <rPr>
            <b/>
            <sz val="9"/>
            <color indexed="81"/>
            <rFont val="Tahoma"/>
            <family val="2"/>
            <charset val="204"/>
          </rPr>
          <t>Серое — по коду (лист «Коды»). Своё: 10, 30, 100, 300 или «нет». В группе берётся самая строгая уставка. Вид аппарата (дифавтомат / УЗО на группу) — в «Кодах».</t>
        </r>
      </text>
    </comment>
    <comment ref="Z2" authorId="0" shapeId="0" xr:uid="{5B2098B3-0933-4A00-B2B0-546A90B50F55}">
      <text>
        <r>
          <rPr>
            <b/>
            <sz val="9"/>
            <color indexed="81"/>
            <rFont val="Tahoma"/>
            <family val="2"/>
            <charset val="204"/>
          </rPr>
          <t>1 или 3. Серое — по коду (фидер — 3).</t>
        </r>
      </text>
    </comment>
    <comment ref="AA2" authorId="0" shapeId="0" xr:uid="{BCA0D04A-97D5-43CA-BB7B-F4C308EFA030}">
      <text>
        <r>
          <rPr>
            <b/>
            <sz val="9"/>
            <color indexed="81"/>
            <rFont val="Tahoma"/>
            <family val="2"/>
            <charset val="204"/>
          </rPr>
          <t>230 или 400. Серое — по коду.</t>
        </r>
      </text>
    </comment>
    <comment ref="AB2" authorId="0" shapeId="0" xr:uid="{800F4233-9DF5-476C-94F9-9F82067915DB}">
      <text>
        <r>
          <rPr>
            <b/>
            <sz val="9"/>
            <color indexed="81"/>
            <rFont val="Tahoma"/>
            <family val="2"/>
            <charset val="204"/>
          </rPr>
          <t>Быт — табл. 7.2 по сумме; Сил — Кс линии или табл. 7.5; Пост — 1; Отоп — 1; ВНГ — 0,7 (СП 256, Изм. 9); Нет — не учитывается. Серое — по коду.</t>
        </r>
      </text>
    </comment>
    <comment ref="AC2" authorId="0" shapeId="0" xr:uid="{5F2E0AE3-5053-4260-9500-FBFCBA40368F}">
      <text>
        <r>
          <rPr>
            <b/>
            <sz val="9"/>
            <color indexed="81"/>
            <rFont val="Tahoma"/>
            <family val="2"/>
            <charset val="204"/>
          </rPr>
          <t>Кс силовой линии (СП 256 табл. 7.5). Пусто — по таблице 7.5 (режим «нормы 2026») или 1.</t>
        </r>
      </text>
    </comment>
    <comment ref="AD2" authorId="0" shapeId="0" xr:uid="{74076C17-4CD9-488F-BEDA-84E43F0C0D2D}">
      <text>
        <r>
          <rPr>
            <b/>
            <sz val="9"/>
            <color indexed="81"/>
            <rFont val="Tahoma"/>
            <family val="2"/>
            <charset val="204"/>
          </rPr>
          <t>Пусто — 0,95; двигатели — по таблице; силовые в режиме «нормы 2026» — 0,8.</t>
        </r>
      </text>
    </comment>
    <comment ref="AE2" authorId="0" shapeId="0" xr:uid="{7DE947ED-82DB-47BB-8727-C154B6FA1247}">
      <text>
        <r>
          <rPr>
            <b/>
            <sz val="9"/>
            <color indexed="81"/>
            <rFont val="Tahoma"/>
            <family val="2"/>
            <charset val="204"/>
          </rPr>
          <t>Секция шин щита. Пусто — 1.</t>
        </r>
      </text>
    </comment>
    <comment ref="AF2" authorId="0" shapeId="0" xr:uid="{5143F275-E727-4D18-B992-D9345BE3CFC7}">
      <text>
        <r>
          <rPr>
            <b/>
            <sz val="9"/>
            <color indexed="81"/>
            <rFont val="Tahoma"/>
            <family val="2"/>
            <charset val="204"/>
          </rPr>
          <t>Пусто — основная шина. Пишется в строке с автоматом. Имя с «ИБП» или «ДГУ» — шина этого источника.</t>
        </r>
      </text>
    </comment>
    <comment ref="AG2" authorId="0" shapeId="0" xr:uid="{C167E97E-065B-4D44-94BB-662BA3BF39B1}">
      <text>
        <r>
          <rPr>
            <b/>
            <sz val="9"/>
            <color indexed="81"/>
            <rFont val="Tahoma"/>
            <family val="2"/>
            <charset val="204"/>
          </rPr>
          <t>Только для строк «Ввод»: I особая / I / II / III. Пусто — по схеме щита (вводы, АВР) и шине (ИБП, ДГУ — I особая).</t>
        </r>
      </text>
    </comment>
    <comment ref="AH2" authorId="0" shapeId="0" xr:uid="{B5D704A9-DA05-453A-98F7-D49F41CA2C3E}">
      <text>
        <r>
          <rPr>
            <b/>
            <sz val="9"/>
            <color indexed="81"/>
            <rFont val="Tahoma"/>
            <family val="2"/>
            <charset val="204"/>
          </rPr>
          <t>Пусто — по коду. Пожарные линии — кабель FRLS, в расчётный максимум не входят.</t>
        </r>
      </text>
    </comment>
    <comment ref="AI2" authorId="0" shapeId="0" xr:uid="{F8F36351-4342-4FC8-A575-5B70DD35238D}">
      <text>
        <r>
          <rPr>
            <b/>
            <sz val="9"/>
            <color indexed="81"/>
            <rFont val="Tahoma"/>
            <family val="2"/>
            <charset val="204"/>
          </rPr>
          <t>Строка таблицы нагрузок для пояснительной записки. Пусто — по коду.</t>
        </r>
      </text>
    </comment>
    <comment ref="AJ2" authorId="0" shapeId="0" xr:uid="{2D4C08FE-764B-4AE9-A8F5-785D069BDE3B}">
      <text>
        <r>
          <rPr>
            <b/>
            <sz val="9"/>
            <color indexed="81"/>
            <rFont val="Tahoma"/>
            <family val="2"/>
            <charset val="204"/>
          </rPr>
          <t>Пусто — как обычно. «вручную» — строка только в таблице, в схеме не рисуется. «рисовать» — нарисовать строку вводного узла.</t>
        </r>
      </text>
    </comment>
    <comment ref="AK2" authorId="0" shapeId="0" xr:uid="{F89A8CE9-EC34-4CF7-8C83-80ABD627F17E}">
      <text>
        <r>
          <rPr>
            <b/>
            <sz val="9"/>
            <color indexed="81"/>
            <rFont val="Tahoma"/>
            <family val="2"/>
            <charset val="204"/>
          </rPr>
          <t>Серое — модуль по умолчанию для управления строки («Объект», таблица «Модули_умолч»): подряд идущие линии с одним управлением идут на каналы одного модуля, новый — когда каналы кончились; «-» — модуль закончился. Своё: модель в первой строке модуля (следующие строки — на его каналы), «-» — конец модуля.</t>
        </r>
      </text>
    </comment>
    <comment ref="AL2" authorId="0" shapeId="0" xr:uid="{D44A874E-FB59-48A5-9846-E5EB29CF4485}">
      <text>
        <r>
          <rPr>
            <b/>
            <sz val="9"/>
            <color indexed="81"/>
            <rFont val="Tahoma"/>
            <family val="2"/>
            <charset val="204"/>
          </rPr>
          <t>Пусто — авто; № вручную; = параллельно; + в тот же кабель; р — резерв; б/к — без клеммы.</t>
        </r>
      </text>
    </comment>
    <comment ref="AM2" authorId="0" shapeId="0" xr:uid="{FACC4751-3C7D-47F8-9703-13BC30A76A77}">
      <text>
        <r>
          <rPr>
            <b/>
            <sz val="9"/>
            <color indexed="81"/>
            <rFont val="Tahoma"/>
            <family val="2"/>
            <charset val="204"/>
          </rPr>
          <t>Пусто — следующее место после вводного узла. Число — своё место (пропуск = пустая колонка). «-» — строки нет на схеме.</t>
        </r>
      </text>
    </comment>
    <comment ref="AN2" authorId="0" shapeId="0" xr:uid="{E73B4BF4-4003-4526-A95A-4AB2A579AF32}">
      <text>
        <r>
          <rPr>
            <b/>
            <sz val="9"/>
            <color indexed="81"/>
            <rFont val="Tahoma"/>
            <family val="2"/>
            <charset val="204"/>
          </rPr>
          <t>Обозначение марки (лист «Коды», таблица «Кабели»): мс, мфр… Серое — по коду; пожарная линия — марка для пожарных (лист «Объект»).</t>
        </r>
      </text>
    </comment>
    <comment ref="AO2" authorId="0" shapeId="0" xr:uid="{5B1DD9DD-E970-4D4C-A8C6-3600A7BE129C}">
      <text>
        <r>
          <rPr>
            <b/>
            <sz val="9"/>
            <color indexed="81"/>
            <rFont val="Tahoma"/>
            <family val="2"/>
            <charset val="204"/>
          </rPr>
          <t>Серое — по коду, иначе 1ф — 3, 3ф — 5.</t>
        </r>
      </text>
    </comment>
    <comment ref="AP2" authorId="0" shapeId="0" xr:uid="{E07F66AD-3C44-4E3D-95C6-EE84373AC0F6}">
      <text>
        <r>
          <rPr>
            <b/>
            <sz val="9"/>
            <color indexed="81"/>
            <rFont val="Tahoma"/>
            <family val="2"/>
            <charset val="204"/>
          </rPr>
          <t>Поправочный коэффициент прокладки. Пусто — общий (лист «Таблицы_норм»).</t>
        </r>
      </text>
    </comment>
    <comment ref="AQ2" authorId="0" shapeId="0" xr:uid="{ACFDC57F-8569-43FF-897A-A25447AF05B1}">
      <text>
        <r>
          <rPr>
            <b/>
            <sz val="9"/>
            <color indexed="81"/>
            <rFont val="Tahoma"/>
            <family val="2"/>
            <charset val="204"/>
          </rPr>
          <t>Длина по лотку, м.</t>
        </r>
      </text>
    </comment>
    <comment ref="AR2" authorId="0" shapeId="0" xr:uid="{C30BACD3-8AB0-46A4-88D0-17C0D053E085}">
      <text>
        <r>
          <rPr>
            <b/>
            <sz val="9"/>
            <color indexed="81"/>
            <rFont val="Tahoma"/>
            <family val="2"/>
            <charset val="204"/>
          </rPr>
          <t>Длина в гофре ПВХ, м. Пусто — из чертежа.</t>
        </r>
      </text>
    </comment>
    <comment ref="AS2" authorId="0" shapeId="0" xr:uid="{82BD96D4-5728-4A76-84D9-F793B2411513}">
      <text>
        <r>
          <rPr>
            <b/>
            <sz val="9"/>
            <color indexed="81"/>
            <rFont val="Tahoma"/>
            <family val="2"/>
            <charset val="204"/>
          </rPr>
          <t>Длина в гофре ПНД, м. Пусто — из чертежа.</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AH3" authorId="0" shapeId="0" xr:uid="{48DBA07B-AE71-4982-8542-E58E67770657}">
      <text>
        <r>
          <rPr>
            <b/>
            <sz val="9"/>
            <color indexed="81"/>
            <rFont val="Tahoma"/>
            <family val="2"/>
            <charset val="204"/>
          </rPr>
          <t>Экспликация (по желанию): этаж и помещение — как в номере линии (R.1.05.3 → этаж 1, помещение 05). Включается на «Объекте»: «Наименование линии» = «по экспликации».</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Q3" authorId="0" shapeId="0" xr:uid="{EE60C8EE-F9F3-43A3-AF60-D58D00585661}">
      <text>
        <r>
          <rPr>
            <b/>
            <sz val="9"/>
            <color indexed="81"/>
            <rFont val="Tahoma"/>
            <family val="2"/>
            <charset val="204"/>
          </rPr>
          <t>Модуль, к каналам которого подключены линии до 50 В (LED 24 В): допустимый ток канала. Пусто — не проверяется. Линии на одном канале («=») суммируются.</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<sst xmlns="http://schemas.openxmlformats.org/spreadsheetml/2006/main" count="6899" uniqueCount="2750">
  <si>
    <t>Номер линии</t>
  </si>
  <si>
    <t>Мощность, кВт</t>
  </si>
  <si>
    <t>Кол-во фаз</t>
  </si>
  <si>
    <t>Сечение</t>
  </si>
  <si>
    <t>Щит</t>
  </si>
  <si>
    <t>Ток</t>
  </si>
  <si>
    <t>Наименование</t>
  </si>
  <si>
    <t>Автомат</t>
  </si>
  <si>
    <t>Не исп</t>
  </si>
  <si>
    <t>Кабель</t>
  </si>
  <si>
    <t>Обознач</t>
  </si>
  <si>
    <t>мс</t>
  </si>
  <si>
    <t>ВВГнг(А)-LS</t>
  </si>
  <si>
    <t>мфр</t>
  </si>
  <si>
    <t>Кол-во жил</t>
  </si>
  <si>
    <t>Индуктивное, Ом/км</t>
  </si>
  <si>
    <t>Маркировка кабеля</t>
  </si>
  <si>
    <t>Трасса</t>
  </si>
  <si>
    <t>Испытания</t>
  </si>
  <si>
    <t>Начало</t>
  </si>
  <si>
    <t>Конец</t>
  </si>
  <si>
    <t>По проекту</t>
  </si>
  <si>
    <t>Проложено</t>
  </si>
  <si>
    <t>Длина трассы, м</t>
  </si>
  <si>
    <t>Марка</t>
  </si>
  <si>
    <t>Длина, м</t>
  </si>
  <si>
    <t>Дата прокладки</t>
  </si>
  <si>
    <t>R</t>
  </si>
  <si>
    <t>Розеточная группа</t>
  </si>
  <si>
    <t>L</t>
  </si>
  <si>
    <t>Этаж</t>
  </si>
  <si>
    <t>Третий этаж</t>
  </si>
  <si>
    <t>Цокольный этаж</t>
  </si>
  <si>
    <t>0</t>
  </si>
  <si>
    <t>1</t>
  </si>
  <si>
    <t>2</t>
  </si>
  <si>
    <t>3</t>
  </si>
  <si>
    <t>1 - этаж/2 - шлейф</t>
  </si>
  <si>
    <t>Длина линии (по плану)</t>
  </si>
  <si>
    <t>ютп</t>
  </si>
  <si>
    <t>Поз</t>
  </si>
  <si>
    <t>Наименование и техническая характеристика</t>
  </si>
  <si>
    <t>Тип, марка, обозначение документа</t>
  </si>
  <si>
    <t>Код оборудования, изделия, материала</t>
  </si>
  <si>
    <t>Завод изготовитель</t>
  </si>
  <si>
    <t>Кол-во</t>
  </si>
  <si>
    <t>Масса</t>
  </si>
  <si>
    <t>Примечание</t>
  </si>
  <si>
    <t>Ед. измерения</t>
  </si>
  <si>
    <t>Заполнить!!!</t>
  </si>
  <si>
    <t>Помещение</t>
  </si>
  <si>
    <t>Этаж/Шлейф</t>
  </si>
  <si>
    <t>Ввод</t>
  </si>
  <si>
    <t>Вытяжной вентилятор</t>
  </si>
  <si>
    <t>ре</t>
  </si>
  <si>
    <t>ПУГВ</t>
  </si>
  <si>
    <t>Потолок - 1/Пол - 2</t>
  </si>
  <si>
    <t>ПТО</t>
  </si>
  <si>
    <t>Артикул</t>
  </si>
  <si>
    <t>МСК001</t>
  </si>
  <si>
    <t>МСК002</t>
  </si>
  <si>
    <t>МСК003</t>
  </si>
  <si>
    <t>МСК004</t>
  </si>
  <si>
    <t>МСК005</t>
  </si>
  <si>
    <t>МСК006</t>
  </si>
  <si>
    <t>МСК007</t>
  </si>
  <si>
    <t>МСК008</t>
  </si>
  <si>
    <t>МСК009</t>
  </si>
  <si>
    <t>МСК010</t>
  </si>
  <si>
    <t>МСК011</t>
  </si>
  <si>
    <t>МСК012</t>
  </si>
  <si>
    <t>МСК013</t>
  </si>
  <si>
    <t>МСК014</t>
  </si>
  <si>
    <t>МСК015</t>
  </si>
  <si>
    <t>МСК016</t>
  </si>
  <si>
    <t>МСК017</t>
  </si>
  <si>
    <t>МСК018</t>
  </si>
  <si>
    <t>МСК019</t>
  </si>
  <si>
    <t>МСК020</t>
  </si>
  <si>
    <t>МСК021</t>
  </si>
  <si>
    <t>МСК022</t>
  </si>
  <si>
    <t>МСК023</t>
  </si>
  <si>
    <t>МСК024</t>
  </si>
  <si>
    <t>МСК025</t>
  </si>
  <si>
    <t>МСК026</t>
  </si>
  <si>
    <t>МСК027</t>
  </si>
  <si>
    <t>МСК028</t>
  </si>
  <si>
    <t>МСК029</t>
  </si>
  <si>
    <t>МСК030</t>
  </si>
  <si>
    <t>МСК031</t>
  </si>
  <si>
    <t>МСК032</t>
  </si>
  <si>
    <t>МСК033</t>
  </si>
  <si>
    <t>МСК034</t>
  </si>
  <si>
    <t>МСК035</t>
  </si>
  <si>
    <t>МСК036</t>
  </si>
  <si>
    <t>МСК037</t>
  </si>
  <si>
    <t>МСК038</t>
  </si>
  <si>
    <t>МСК041</t>
  </si>
  <si>
    <t>МСК042</t>
  </si>
  <si>
    <t>МСК043</t>
  </si>
  <si>
    <t>МСК044</t>
  </si>
  <si>
    <t>МСК045</t>
  </si>
  <si>
    <t>МСК046</t>
  </si>
  <si>
    <t>МСК047</t>
  </si>
  <si>
    <t>МСК048</t>
  </si>
  <si>
    <t>МСК049</t>
  </si>
  <si>
    <t>МСК050</t>
  </si>
  <si>
    <t>МСК051</t>
  </si>
  <si>
    <t>МСК052</t>
  </si>
  <si>
    <t>МСК053</t>
  </si>
  <si>
    <t>МСК054</t>
  </si>
  <si>
    <t>МСК055</t>
  </si>
  <si>
    <t>МСК056</t>
  </si>
  <si>
    <t>МСК057</t>
  </si>
  <si>
    <t>МСК058</t>
  </si>
  <si>
    <t>МСК059</t>
  </si>
  <si>
    <t>МСК060</t>
  </si>
  <si>
    <t>МСК061</t>
  </si>
  <si>
    <t>МСК062</t>
  </si>
  <si>
    <t>МСК063</t>
  </si>
  <si>
    <t>МСК064</t>
  </si>
  <si>
    <t>МСК065</t>
  </si>
  <si>
    <t>МСК066</t>
  </si>
  <si>
    <t>МСК067</t>
  </si>
  <si>
    <t>МСК068</t>
  </si>
  <si>
    <t>МСК069</t>
  </si>
  <si>
    <t>МСК070</t>
  </si>
  <si>
    <t>МСК071</t>
  </si>
  <si>
    <t>МСК072</t>
  </si>
  <si>
    <t>МСК073</t>
  </si>
  <si>
    <t>МСК074</t>
  </si>
  <si>
    <t>МСК075</t>
  </si>
  <si>
    <t>мб</t>
  </si>
  <si>
    <t>ВБШвнг(А)-LS</t>
  </si>
  <si>
    <t>МСК040</t>
  </si>
  <si>
    <t>КГВВнг(А)-LS</t>
  </si>
  <si>
    <t>кмб</t>
  </si>
  <si>
    <t>кмс</t>
  </si>
  <si>
    <t>КВБбШвнг(А)-LS 14x2.5</t>
  </si>
  <si>
    <t>ППГнг(А)-FRHF</t>
  </si>
  <si>
    <t>мшф</t>
  </si>
  <si>
    <t>ППГнг(А)-HF</t>
  </si>
  <si>
    <t>Артикул ПТО</t>
  </si>
  <si>
    <t>Тип кабеля</t>
  </si>
  <si>
    <t>Пол/Потолок</t>
  </si>
  <si>
    <t>ВВГнг(А)-FRLS</t>
  </si>
  <si>
    <t>ВБШВнг(А)-LS</t>
  </si>
  <si>
    <t>КВБбШвнг(А)-LS</t>
  </si>
  <si>
    <t>ТП</t>
  </si>
  <si>
    <t>ВРУ</t>
  </si>
  <si>
    <t>Наименование линии</t>
  </si>
  <si>
    <t>В</t>
  </si>
  <si>
    <t>Д</t>
  </si>
  <si>
    <t>КПД</t>
  </si>
  <si>
    <t>Cos(ф) 3ф</t>
  </si>
  <si>
    <t>Cos(ф) 1ф</t>
  </si>
  <si>
    <t>Двигатели</t>
  </si>
  <si>
    <t>Светодиоды</t>
  </si>
  <si>
    <t>Iп/Iн, 1ф</t>
  </si>
  <si>
    <t>Iп/Iн, 3ф</t>
  </si>
  <si>
    <t>Iп, А</t>
  </si>
  <si>
    <t>Iн 220, А</t>
  </si>
  <si>
    <t>Iн 380</t>
  </si>
  <si>
    <t>Iп 380</t>
  </si>
  <si>
    <t>Iн 220</t>
  </si>
  <si>
    <t>Iп 220</t>
  </si>
  <si>
    <t>КРМ</t>
  </si>
  <si>
    <t>Кабель_диаметр</t>
  </si>
  <si>
    <t>кол-во жил</t>
  </si>
  <si>
    <t>наружный диаметр</t>
  </si>
  <si>
    <t>ПуГВ</t>
  </si>
  <si>
    <t>Дн</t>
  </si>
  <si>
    <t>Дв</t>
  </si>
  <si>
    <t>гофра_ПНД</t>
  </si>
  <si>
    <t>гофра_ПВХ</t>
  </si>
  <si>
    <t>(Серая)</t>
  </si>
  <si>
    <t>(Черная)</t>
  </si>
  <si>
    <t>Расшифровка</t>
  </si>
  <si>
    <t>тпв</t>
  </si>
  <si>
    <t>тпн</t>
  </si>
  <si>
    <t>Труба жесткая ПВХ</t>
  </si>
  <si>
    <t>Труба жесткая ПНД</t>
  </si>
  <si>
    <t>гпв</t>
  </si>
  <si>
    <t>Труба гофрированная ПВХ</t>
  </si>
  <si>
    <t>гпн</t>
  </si>
  <si>
    <t>Труба гофрированная ПНД</t>
  </si>
  <si>
    <t>Напряжение</t>
  </si>
  <si>
    <t>Мин.диам. Трубы</t>
  </si>
  <si>
    <t>Лоток</t>
  </si>
  <si>
    <t>КПСнг?</t>
  </si>
  <si>
    <t>DAXX</t>
  </si>
  <si>
    <t>КСПВГ 4х0.35</t>
  </si>
  <si>
    <t>REXANT (акустика)</t>
  </si>
  <si>
    <t>МКЭШ 2х0.35</t>
  </si>
  <si>
    <t>МКЭШ 4х0.35</t>
  </si>
  <si>
    <t>Гофра ПНД</t>
  </si>
  <si>
    <t>Гофра ПВХ</t>
  </si>
  <si>
    <t>ПВХ</t>
  </si>
  <si>
    <t>ПНД</t>
  </si>
  <si>
    <t>не исп</t>
  </si>
  <si>
    <t>АСУ</t>
  </si>
  <si>
    <t>кн</t>
  </si>
  <si>
    <t>SH</t>
  </si>
  <si>
    <t>J-Y(St)Y 2х2х0.8</t>
  </si>
  <si>
    <t>кф</t>
  </si>
  <si>
    <t>КИПЭВ 2х2х0.6</t>
  </si>
  <si>
    <t>кс</t>
  </si>
  <si>
    <t>На ИБП</t>
  </si>
  <si>
    <t>От ИБП</t>
  </si>
  <si>
    <t>Питание на ИБП</t>
  </si>
  <si>
    <t>Питание от ИБП</t>
  </si>
  <si>
    <t>LED</t>
  </si>
  <si>
    <t>Светодиодное освещение</t>
  </si>
  <si>
    <t>R.ШТК</t>
  </si>
  <si>
    <t>Шкаф слаботочных систем</t>
  </si>
  <si>
    <t>R.ЩОПС</t>
  </si>
  <si>
    <t>Щит охранно-пожарной сигнализации</t>
  </si>
  <si>
    <t>Питание системы автоматизации</t>
  </si>
  <si>
    <t>PS-KNX</t>
  </si>
  <si>
    <t>Блок питания шины KNX</t>
  </si>
  <si>
    <t>Шаровый электрокран</t>
  </si>
  <si>
    <t xml:space="preserve">Управление сервоприводом отопления </t>
  </si>
  <si>
    <t>FTP-Cat.6-4х2х0.52</t>
  </si>
  <si>
    <t>КГВВнг(А)-LS (5х1)</t>
  </si>
  <si>
    <t>кмс1</t>
  </si>
  <si>
    <t>DALI</t>
  </si>
  <si>
    <t>Контролер DALI</t>
  </si>
  <si>
    <t>АПС</t>
  </si>
  <si>
    <t>Реле АПС</t>
  </si>
  <si>
    <t>ПВ</t>
  </si>
  <si>
    <t>Приточно-вытяжная установка</t>
  </si>
  <si>
    <t>УВ</t>
  </si>
  <si>
    <t>Увлажнитель</t>
  </si>
  <si>
    <t>ПН</t>
  </si>
  <si>
    <t>Проточный водонагреватель</t>
  </si>
  <si>
    <t>WD</t>
  </si>
  <si>
    <t>Датчик протечки</t>
  </si>
  <si>
    <t>VK</t>
  </si>
  <si>
    <t>КУП</t>
  </si>
  <si>
    <t>Коробка уравнивания потенциалов</t>
  </si>
  <si>
    <t>R.GSM</t>
  </si>
  <si>
    <t>Щит усиления соловой связи</t>
  </si>
  <si>
    <t>Теплый пол</t>
  </si>
  <si>
    <t>Управление сервоприводом теплого пола</t>
  </si>
  <si>
    <t>TE-ТП</t>
  </si>
  <si>
    <t>TE-O</t>
  </si>
  <si>
    <t>ЭK</t>
  </si>
  <si>
    <t>K</t>
  </si>
  <si>
    <t>ПУ</t>
  </si>
  <si>
    <t>Приточная установка</t>
  </si>
  <si>
    <t>PE</t>
  </si>
  <si>
    <t>Вводнораспределительное оборудование ЩР</t>
  </si>
  <si>
    <t>Крыша и основание RAL9005 с направляющими для корпусов CQE N, ШхГ 800х400 мм, комплект RAM block</t>
  </si>
  <si>
    <t>Стойки вертикальные RAL7035 для корпусов CQE N, В=1800 мм, комплект - 4 шт. RAM block</t>
  </si>
  <si>
    <t>Панель задняя для корпусов CQE N, ВхШ 1800х800 мм RAM block</t>
  </si>
  <si>
    <t>Углы цоколя с пластиковыми заглушками для корпусов CQE &amp; CQE N, В=200 мм, RAL9005, комплект - 4 шт. RAM block</t>
  </si>
  <si>
    <t>Панели цоколя для корпусов CQE &amp; CQE N, ШхГ 800 мм, В=200 мм, RAL9005, комплект - 2 шт. RAM block</t>
  </si>
  <si>
    <t>Фиксатор панели цоколя R5NFP, R5NFPB для корпусов CQE &amp; CQE N, комплект - 4 шт. RAM block</t>
  </si>
  <si>
    <t>Комплект</t>
  </si>
  <si>
    <t>Рейка широкая поперечная для корпусов CQE &amp; CQE N, Ш=800 мм, упаковка - 4 шт. RAM block</t>
  </si>
  <si>
    <t>Рейка для фиксации кабеля для корпусов CQE N, Ш=800 мм, упаковка - 2 шт. RAM block</t>
  </si>
  <si>
    <t>Комплект кабелей заземления CQE RAM block</t>
  </si>
  <si>
    <t>П-образный профиль для защиты кромок, для дверей и панелей RAM block</t>
  </si>
  <si>
    <t>Упаковка</t>
  </si>
  <si>
    <t>Метр</t>
  </si>
  <si>
    <t>Рейки широкие вертикальные для корпусов CQE N, В=1800 мм, упаковка - 2 шт. RAM block</t>
  </si>
  <si>
    <t>R5NPDV18</t>
  </si>
  <si>
    <t>R5NKTB84</t>
  </si>
  <si>
    <t>R5NKMN18</t>
  </si>
  <si>
    <t>R5NCRE1880</t>
  </si>
  <si>
    <t>R5NBP02B</t>
  </si>
  <si>
    <t>R5NFPB82</t>
  </si>
  <si>
    <t>R5NKFP02</t>
  </si>
  <si>
    <t>R5NPDF800</t>
  </si>
  <si>
    <t>R5NPAC800</t>
  </si>
  <si>
    <t>R5ES01</t>
  </si>
  <si>
    <t>R5PP01</t>
  </si>
  <si>
    <t>DKC</t>
  </si>
  <si>
    <t>Концевой выключатель с двумя контактами, нормально открытый + нормально закрытый (NO+NC). С поворотным регулируемым рычажным роликом</t>
  </si>
  <si>
    <t>R5MC131</t>
  </si>
  <si>
    <t>шт.</t>
  </si>
  <si>
    <t>Светодиодная лента COB-X480-4mm 24V Day4000 (4 W/m, IP20, CSP, 5m) (Arlight, -) 042031</t>
  </si>
  <si>
    <t>042031</t>
  </si>
  <si>
    <t>arlight</t>
  </si>
  <si>
    <t>Chint</t>
  </si>
  <si>
    <t>EKF</t>
  </si>
  <si>
    <t>256101</t>
  </si>
  <si>
    <t>643001</t>
  </si>
  <si>
    <t>179616</t>
  </si>
  <si>
    <t>179614</t>
  </si>
  <si>
    <t>982114</t>
  </si>
  <si>
    <t>203019</t>
  </si>
  <si>
    <t>256099</t>
  </si>
  <si>
    <t>Arlight</t>
  </si>
  <si>
    <t>028422</t>
  </si>
  <si>
    <t>Модуль защиты контактов MK-5-1</t>
  </si>
  <si>
    <t>EA06.002.001</t>
  </si>
  <si>
    <t>Россия</t>
  </si>
  <si>
    <t>5</t>
  </si>
  <si>
    <t>ZPSU640</t>
  </si>
  <si>
    <t>Zennio</t>
  </si>
  <si>
    <t>Многофункциональный актуатор KNX</t>
  </si>
  <si>
    <t>ZIOMB24V2</t>
  </si>
  <si>
    <t>ZDINDX4</t>
  </si>
  <si>
    <t>Интерфейс KNX-DALI</t>
  </si>
  <si>
    <t>ZDID64X2</t>
  </si>
  <si>
    <t>Модуль входов с 8 аналогово-цифровыми входами</t>
  </si>
  <si>
    <t>ZIO-RQUAD8</t>
  </si>
  <si>
    <t>VPR-4-GY</t>
  </si>
  <si>
    <t>Клемма проходная, зажим push-in, 2 точки подключения, 4 кв.мм, синяя</t>
  </si>
  <si>
    <t>VPR-4-BU</t>
  </si>
  <si>
    <t>Клемма заземления, зажим push-in, 2 точки подключения, 4 кв.мм</t>
  </si>
  <si>
    <t>VPR-4-PE-YG</t>
  </si>
  <si>
    <t>Изолятор торцевой для клеммы VPR-4</t>
  </si>
  <si>
    <t>D-VPR-4</t>
  </si>
  <si>
    <t>VPR-2.5-3L-GY</t>
  </si>
  <si>
    <t>Изолятор торцевой для клеммы VPR-2.5-3L</t>
  </si>
  <si>
    <t>D-VPR-2.5-3L</t>
  </si>
  <si>
    <t>Перемычка вставная, для клемм на 2.5 кв.мм, 10-и полюсная</t>
  </si>
  <si>
    <t>SBF-10-5</t>
  </si>
  <si>
    <t>Торцевой фиксатор на рейку 35мм, ширина 9,5 мм</t>
  </si>
  <si>
    <t>UK-E</t>
  </si>
  <si>
    <t xml:space="preserve">Провод ПуГВ 1,5 кв. мм красный, многопроволочный </t>
  </si>
  <si>
    <t>ПуГВ 1.5</t>
  </si>
  <si>
    <t>РЭК</t>
  </si>
  <si>
    <t>м.</t>
  </si>
  <si>
    <t>Провод ПуГВ 1,5 кв. мм белый, многопроволочный</t>
  </si>
  <si>
    <t xml:space="preserve">Провод ПуГВ 1,5 кв. мм черный, многопроволочный </t>
  </si>
  <si>
    <t xml:space="preserve">Провод ПуГВ 1,5 кв. мм синий, многопроволочный </t>
  </si>
  <si>
    <t xml:space="preserve">Провод ПуГВ 2,5 кв. мм красный, многопроволочный </t>
  </si>
  <si>
    <t>ПуГВ 2.5</t>
  </si>
  <si>
    <t>Провод ПуГВ 2,5 кв. мм белый, многопроволочный</t>
  </si>
  <si>
    <t xml:space="preserve">Провод ПуГВ 2,5 кв. мм черный, многопроволочный </t>
  </si>
  <si>
    <t xml:space="preserve">Провод ПуГВ 2,5 кв. мм синий, многопроволочный </t>
  </si>
  <si>
    <t xml:space="preserve">Провод ПуГВ 4 кв. мм красный, многопроволочный </t>
  </si>
  <si>
    <t>ПуГВ 4</t>
  </si>
  <si>
    <t>Провод ПуГВ 4 кв. мм белый, многопроволочный</t>
  </si>
  <si>
    <t xml:space="preserve">Провод ПуГВ 4 кв. мм черный, многопроволочный </t>
  </si>
  <si>
    <t xml:space="preserve">Провод ПуГВ 4 кв. мм синий, многопроволочный </t>
  </si>
  <si>
    <t>Наконечник НШВИ 1.5-12 (100шт)</t>
  </si>
  <si>
    <t>79441</t>
  </si>
  <si>
    <t>КВТ</t>
  </si>
  <si>
    <t>упак.</t>
  </si>
  <si>
    <t>Наконечник НШВИ(2) 1.5-12 (100шт)</t>
  </si>
  <si>
    <t>Наконечник НШВИ 2.5-12 (100шт)</t>
  </si>
  <si>
    <t>Наконечник НШВИ(2) 2.5-13 (100шт)</t>
  </si>
  <si>
    <t>79469</t>
  </si>
  <si>
    <t>Наконечник НШВИ 4.0–12 (100шт)</t>
  </si>
  <si>
    <t>79447</t>
  </si>
  <si>
    <t>Наконечник НШВИ(2) 4.0-12 (100шт)</t>
  </si>
  <si>
    <t>79470</t>
  </si>
  <si>
    <t>Огнетушитель порошковый самосрабатывающий</t>
  </si>
  <si>
    <t>ОСП-1</t>
  </si>
  <si>
    <t>Термостат модульный с регулируемым диапазоном температуры -10…+80°C, NO-контакт</t>
  </si>
  <si>
    <t>R5MTHNO</t>
  </si>
  <si>
    <t>Вентилятор с фильтром RV 44/46 м3/ч, 230 В, 150x150 мм, IP54</t>
  </si>
  <si>
    <t>R5RV12230</t>
  </si>
  <si>
    <t>Вентиляционная решетка с фильтром RF 150x150 мм, IP54</t>
  </si>
  <si>
    <t>R5RF12</t>
  </si>
  <si>
    <t xml:space="preserve">Расходные материалы (наконечники для кабелей ПуГВ, бирки, термоусадка 4-х цветов (Б,Ч,К,С)стяжки, изолента и т. д.) </t>
  </si>
  <si>
    <t>комп.</t>
  </si>
  <si>
    <t>040231</t>
  </si>
  <si>
    <t>Реле контроля напряжения и тока NJVA1-100 3P+N 100А</t>
  </si>
  <si>
    <t>508572</t>
  </si>
  <si>
    <t>LD</t>
  </si>
  <si>
    <t>816139</t>
  </si>
  <si>
    <t>Шина нулевая в корпусе (4x15)</t>
  </si>
  <si>
    <t>sn0-4x15</t>
  </si>
  <si>
    <t>Шина нулевая в корпусе (4x7)</t>
  </si>
  <si>
    <t>sn0-4x7</t>
  </si>
  <si>
    <t xml:space="preserve">Провод ПуГВ 1,5 кв. мм Ж/З, многопроволочный </t>
  </si>
  <si>
    <t xml:space="preserve">Провод ПуГВ 2,5 кв. мм Ж/З, многопроволочный </t>
  </si>
  <si>
    <t xml:space="preserve">Провод ПуГВ 4 кв. мм Ж/З, многопроволочный </t>
  </si>
  <si>
    <t xml:space="preserve">Провод ПуГВ 16 кв. мм красный, многопроволочный </t>
  </si>
  <si>
    <t>Провод ПуГВ 16 кв. мм белый, многопроволочный</t>
  </si>
  <si>
    <t xml:space="preserve">Провод ПуГВ 16 кв. мм черный, многопроволочный </t>
  </si>
  <si>
    <t xml:space="preserve">Провод ПуГВ 16 кв. мм синий, многопроволочный </t>
  </si>
  <si>
    <t xml:space="preserve">Провод ПуГВ 16 кв. мм Ж/З, многопроволочный </t>
  </si>
  <si>
    <t>ПуГВ 16</t>
  </si>
  <si>
    <t>Наконечник НШВИ 16–12 (100шт)</t>
  </si>
  <si>
    <t>Наконечник НШВИ(2) 16–14 (100шт)</t>
  </si>
  <si>
    <t>203296</t>
  </si>
  <si>
    <t>VPR-6-GY</t>
  </si>
  <si>
    <t>Клемма проходная, зажим push-in, 2 точки подключения, 6 кв.мм, синяя</t>
  </si>
  <si>
    <t>VPR-6-BU</t>
  </si>
  <si>
    <t>Клемма заземления, зажим push-in, 2 точки подключения, 6 кв.мм</t>
  </si>
  <si>
    <t>VPR-6-PE-YG</t>
  </si>
  <si>
    <t>Изолятор торцевой для клеммы VPR-6</t>
  </si>
  <si>
    <t>D-VPR-6</t>
  </si>
  <si>
    <t>VPR-16-GY</t>
  </si>
  <si>
    <t>Клемма проходная, зажим push-in, 2 точки подключения, 16 кв.мм, синяя</t>
  </si>
  <si>
    <t>VPR-16-BU</t>
  </si>
  <si>
    <t>Клемма заземления, зажим push-in, 2 точки подключения, 16 кв.мм</t>
  </si>
  <si>
    <t>VPR-16-PE-YG</t>
  </si>
  <si>
    <t>Изолятор торцевой для клемм VPR-16</t>
  </si>
  <si>
    <t>D-VPR-16</t>
  </si>
  <si>
    <t>VPR-2.5-QUATTRO-GY</t>
  </si>
  <si>
    <t>Дверь стеклянная для корпусов CQE N, ВхШ 1800x800 мм RAM block</t>
  </si>
  <si>
    <t>R5NCPTE1880</t>
  </si>
  <si>
    <t>Профиль: Arlight MIC-M-2000 ANOD, алюминий, накладной, 2 м</t>
  </si>
  <si>
    <t>Рассеиватель: Arlight Экран матовый для PDS, MIC, 2 м</t>
  </si>
  <si>
    <t>044541</t>
  </si>
  <si>
    <t>012037</t>
  </si>
  <si>
    <t>Блок питания ARV-DRP75-24 (24V, 3.15A, 75W)</t>
  </si>
  <si>
    <t>040232</t>
  </si>
  <si>
    <t>Блок питания ARV-DR135-12 (12V, 11.3A, 135W)</t>
  </si>
  <si>
    <t>035699</t>
  </si>
  <si>
    <t>Блок питания ARV-DR15-12 (12V, 1.25A, 15W)</t>
  </si>
  <si>
    <t>034670</t>
  </si>
  <si>
    <t>КМН</t>
  </si>
  <si>
    <t>Электрокамин</t>
  </si>
  <si>
    <t>МЕСТО</t>
  </si>
  <si>
    <t>ШИНА</t>
  </si>
  <si>
    <t>АВТОМАТ</t>
  </si>
  <si>
    <t>АППАРАТЫ (по порядку после автомата)</t>
  </si>
  <si>
    <t>МОДУЛЬ / КАНАЛ</t>
  </si>
  <si>
    <t>КЛЕММА</t>
  </si>
  <si>
    <t>КАБЕЛЬ</t>
  </si>
  <si>
    <t>ОТХОДЯЩАЯ ЛИНИЯ</t>
  </si>
  <si>
    <t>ПРОВЕРКИ</t>
  </si>
  <si>
    <t>СЛУЖЕБНОЕ — сюда можно не смотреть</t>
  </si>
  <si>
    <t>расчётные (скрыты, «+» над столбцами)</t>
  </si>
  <si>
    <t>SX_DATA</t>
  </si>
  <si>
    <t>№
места</t>
  </si>
  <si>
    <t>Лист
схемы</t>
  </si>
  <si>
    <t>Шина
(пусто =
основная)</t>
  </si>
  <si>
    <t>Автомат
«авто» или текст
(1-я строка группы)</t>
  </si>
  <si>
    <t>QF</t>
  </si>
  <si>
    <t>Аппарат 1
(МК-5-1, КМ,
T 24V 100W, БП…)</t>
  </si>
  <si>
    <t>Аппарат 2</t>
  </si>
  <si>
    <t>Аппарат 3</t>
  </si>
  <si>
    <t>Модуль
(модель в начале,
«-» = конец)</t>
  </si>
  <si>
    <t>Модуль</t>
  </si>
  <si>
    <t>Канал
(пусто = авто,
№, + = р б/к)</t>
  </si>
  <si>
    <t>Канал</t>
  </si>
  <si>
    <t>Клемма</t>
  </si>
  <si>
    <t>Линия</t>
  </si>
  <si>
    <t>Р, кВт</t>
  </si>
  <si>
    <t>Ток, А</t>
  </si>
  <si>
    <t>Фаза</t>
  </si>
  <si>
    <t>Режим
(«вручную» —
не рисовать)</t>
  </si>
  <si>
    <t>Ток
группы, А</t>
  </si>
  <si>
    <t>Номинал
по току, А</t>
  </si>
  <si>
    <t>Модель
модуля</t>
  </si>
  <si>
    <t>Цепь одной строкой</t>
  </si>
  <si>
    <t>гр.</t>
  </si>
  <si>
    <t>QF гр.</t>
  </si>
  <si>
    <t>модуль гр.</t>
  </si>
  <si>
    <t>модель гр.</t>
  </si>
  <si>
    <t>QF нач.</t>
  </si>
  <si>
    <t>фаз</t>
  </si>
  <si>
    <t>код</t>
  </si>
  <si>
    <t>30мА лин.</t>
  </si>
  <si>
    <t>в кабель выше</t>
  </si>
  <si>
    <t>по току</t>
  </si>
  <si>
    <t>мин. по кабелям</t>
  </si>
  <si>
    <t>номинал</t>
  </si>
  <si>
    <t>фаз гр.</t>
  </si>
  <si>
    <t>30мА гр.</t>
  </si>
  <si>
    <t>полюса</t>
  </si>
  <si>
    <t>номинал итог</t>
  </si>
  <si>
    <t>префикс</t>
  </si>
  <si>
    <t>модуль нач.</t>
  </si>
  <si>
    <t>посл. канал</t>
  </si>
  <si>
    <t>клемма</t>
  </si>
  <si>
    <t>аппараты гр.</t>
  </si>
  <si>
    <t>БП/тр-р</t>
  </si>
  <si>
    <t>draw</t>
  </si>
  <si>
    <t>bus2</t>
  </si>
  <si>
    <t>rcd</t>
  </si>
  <si>
    <t>chtype</t>
  </si>
  <si>
    <t>dev1</t>
  </si>
  <si>
    <t>dev2</t>
  </si>
  <si>
    <t>dev3</t>
  </si>
  <si>
    <t>sym</t>
  </si>
  <si>
    <t>hasline</t>
  </si>
  <si>
    <t>ZIO-MB24</t>
  </si>
  <si>
    <t>ZIOMB8V3</t>
  </si>
  <si>
    <t>уточнить-Z</t>
  </si>
  <si>
    <t>уточнить-R</t>
  </si>
  <si>
    <t>Модель</t>
  </si>
  <si>
    <t>Каналов</t>
  </si>
  <si>
    <t>УГО</t>
  </si>
  <si>
    <t>SOCKET</t>
  </si>
  <si>
    <t>нет</t>
  </si>
  <si>
    <t>Мин. автомат перед БП / трансформатором, А</t>
  </si>
  <si>
    <t>ZIOMB16V3</t>
  </si>
  <si>
    <t>реле</t>
  </si>
  <si>
    <t>да</t>
  </si>
  <si>
    <t>Автоматов всего</t>
  </si>
  <si>
    <t>ZCL-8HT230</t>
  </si>
  <si>
    <t>клапаны 230В</t>
  </si>
  <si>
    <t>LAMP</t>
  </si>
  <si>
    <t xml:space="preserve">  из них с 30 мА (QFD)</t>
  </si>
  <si>
    <t>Di</t>
  </si>
  <si>
    <t>диммер</t>
  </si>
  <si>
    <t>DA</t>
  </si>
  <si>
    <t>Z</t>
  </si>
  <si>
    <t>MOTOR</t>
  </si>
  <si>
    <t>Модулей всего</t>
  </si>
  <si>
    <t>К</t>
  </si>
  <si>
    <t>HEAT</t>
  </si>
  <si>
    <t>1. Ток группы = сумма токов линий группы (линия в нескольких строках считается один раз).</t>
  </si>
  <si>
    <t>VALVE</t>
  </si>
  <si>
    <t>ЭК</t>
  </si>
  <si>
    <t>TE</t>
  </si>
  <si>
    <t>SERVO</t>
  </si>
  <si>
    <t>ТЕ</t>
  </si>
  <si>
    <t>BOX</t>
  </si>
  <si>
    <t>DWG: гофра ПВХ по плану, м</t>
  </si>
  <si>
    <t>DWG: гофра ПНД по плану, м</t>
  </si>
  <si>
    <t>DWG: хэндлы полилиний</t>
  </si>
  <si>
    <t>DWG: примечание</t>
  </si>
  <si>
    <t>авто</t>
  </si>
  <si>
    <t>Доп информация из выноски</t>
  </si>
  <si>
    <t>Relay</t>
  </si>
  <si>
    <t>Марка кабеля</t>
  </si>
  <si>
    <t>Макс. автомат
по кабелю, А</t>
  </si>
  <si>
    <t>мин. по типу</t>
  </si>
  <si>
    <t>Мин. автомат, А</t>
  </si>
  <si>
    <t>Способ управления</t>
  </si>
  <si>
    <t>Ключ в выноске</t>
  </si>
  <si>
    <t>Цвет номера группы</t>
  </si>
  <si>
    <t>Реле</t>
  </si>
  <si>
    <t>кнопк</t>
  </si>
  <si>
    <t>С кнопки</t>
  </si>
  <si>
    <t>Ключ из AQ ищется в AY. Цвет AS — образец для номера в D.</t>
  </si>
  <si>
    <t>-</t>
  </si>
  <si>
    <t>МК-5-1</t>
  </si>
  <si>
    <t>Кс</t>
  </si>
  <si>
    <t>ЗНАЧКИ УГО ДЛЯ ОДНОЛИНЕЙКИ</t>
  </si>
  <si>
    <t>НАСТРОЙКИ ОДНОЛИНЕЙКИ И СВОДКА (перенесено с листа «Справочник_схемы»)</t>
  </si>
  <si>
    <t>КОЭФФИЦИЕНТ СПРОСА (СП 256.1325800.2016, расчётные нагрузки)</t>
  </si>
  <si>
    <t>ДОПУСТИМЫЙ ДЛИТЕЛЬНЫЙ ТОК, А (ПУЭ табл. 1.3.6, медь, в воздухе)</t>
  </si>
  <si>
    <t>ρ при рабочей t° (ГОСТ Р 50571.5.52 прил. G), Ом·мм²/м</t>
  </si>
  <si>
    <t>Группа Кс</t>
  </si>
  <si>
    <t>УГО (выбирается в AV)</t>
  </si>
  <si>
    <t>Блок AutoCAD (из 02_Однолинейка.dwg)</t>
  </si>
  <si>
    <t>Код программы (не менять)</t>
  </si>
  <si>
    <t>НАСТРОЙКИ (жёлтые — можно менять)</t>
  </si>
  <si>
    <t>МОДУЛИ В ПРОЕКТЕ — СВОБОДНЫЕ КАНАЛЫ</t>
  </si>
  <si>
    <t>Руст быт, кВт</t>
  </si>
  <si>
    <t>Квартиры/дома повышенной комфортности (СП 31-110-2003 табл. 6.2, те же значения в СП 256). Между точками — линейная интерполяция.</t>
  </si>
  <si>
    <t>Сечение, мм²</t>
  </si>
  <si>
    <t>Одножильные</t>
  </si>
  <si>
    <t>Двухжильные (1ф: L+N, PE не нагружен)</t>
  </si>
  <si>
    <t>Трёхжильные (3ф); 4–5 жил ×0,92</t>
  </si>
  <si>
    <t>Нет</t>
  </si>
  <si>
    <t>Розетка</t>
  </si>
  <si>
    <t>Розетка1</t>
  </si>
  <si>
    <t>Мест (столбцов схемы) на лист A3</t>
  </si>
  <si>
    <t>Занято (посл. №)</t>
  </si>
  <si>
    <t>Резерв «р»</t>
  </si>
  <si>
    <t>Свободно</t>
  </si>
  <si>
    <t>до 14 кВт — 0,8 (строка 0 кВт нужна для интерполяции)</t>
  </si>
  <si>
    <t>Рабочее освещение</t>
  </si>
  <si>
    <t>Светильник</t>
  </si>
  <si>
    <t>$RECOVER_230831092053-0</t>
  </si>
  <si>
    <t>Сервопривод</t>
  </si>
  <si>
    <t>Сервопривод-1</t>
  </si>
  <si>
    <t>Наружное и фасадное освещение</t>
  </si>
  <si>
    <t>Розеточная сеть и бытовые приборы</t>
  </si>
  <si>
    <t>Быт</t>
  </si>
  <si>
    <t>Клапан</t>
  </si>
  <si>
    <t>EK.1</t>
  </si>
  <si>
    <t>ИТОГИ ПО ОДНОЛИНЕЙКЕ</t>
  </si>
  <si>
    <t>Привод (двигатель)</t>
  </si>
  <si>
    <t>Привод</t>
  </si>
  <si>
    <t>Электрический тёплый пол</t>
  </si>
  <si>
    <t>Нагреватель</t>
  </si>
  <si>
    <t>(условный значок программы)</t>
  </si>
  <si>
    <t>Электроотопление (конвекторы, камины)</t>
  </si>
  <si>
    <t>Слаботочные системы, автоматизация, KNX</t>
  </si>
  <si>
    <t>Пост</t>
  </si>
  <si>
    <t>Прочее (прямоуг. с подписью)</t>
  </si>
  <si>
    <t>Клемм XT (номеров)</t>
  </si>
  <si>
    <t>Кондиционирование и увлажнение</t>
  </si>
  <si>
    <t>Системы безопасности и связи</t>
  </si>
  <si>
    <t xml:space="preserve">  трёхуровневых блоков</t>
  </si>
  <si>
    <t>70 кВт и более — 0,45</t>
  </si>
  <si>
    <t>Вентиляция</t>
  </si>
  <si>
    <t xml:space="preserve">  доп. проходных</t>
  </si>
  <si>
    <t>Водонагреватели</t>
  </si>
  <si>
    <t>НАСТРОЙКИ</t>
  </si>
  <si>
    <t>Приводы (шторы, ворота, краны)</t>
  </si>
  <si>
    <t>Строк с ошибками (красные в AE)</t>
  </si>
  <si>
    <t>Ко сил.</t>
  </si>
  <si>
    <t>Коэффициент участия силовой нагрузки в максимуме: Рр = Рр.быт + 0,9·Рр.сил (СП 256, расчёт жилого дома)</t>
  </si>
  <si>
    <t>Строк с предупреждениями (жёлтые в AE)</t>
  </si>
  <si>
    <t>ГРУППЫ</t>
  </si>
  <si>
    <t>«Исходные данные»: AZ — группа (пусто = по коду, столбец AZ этой страницы), BA — Кс для «Сил», BB — секция (1/2)</t>
  </si>
  <si>
    <t>Системы противопожарной защиты</t>
  </si>
  <si>
    <t>pe</t>
  </si>
  <si>
    <t>Бытовая нагрузка дома/квартиры: розетки, свет, тёплый пол, кондиционеры, бытовые щиты ЩР. Кс — по таблице выше по СУММЕ Руст быт щита (не перемножать с Кс нижних щитов).</t>
  </si>
  <si>
    <t>Технология пищеприготовления</t>
  </si>
  <si>
    <t>фтп</t>
  </si>
  <si>
    <t>FTP 5e 4x2x0.51</t>
  </si>
  <si>
    <t>КАК ПОДБИРАЕТСЯ АВТОМАТ («авто»)</t>
  </si>
  <si>
    <t>Сил</t>
  </si>
  <si>
    <t>Силовая: вентиляция, насосы, пищеблок, бассейн, хаммам… Кс — свой у каждой линии («Исходные данные» BA; пусто = 1). Вентиляция и насосы — по табл. СП 256 для сантехнического и вентиляционного оборудования (по числу двигателей, резервные не учитывать); пищеблок — по табл. для теплового оборудования.</t>
  </si>
  <si>
    <t>Бассейн, SPA, хаммам</t>
  </si>
  <si>
    <t>эк</t>
  </si>
  <si>
    <t>МКЭШнг(A)-LS</t>
  </si>
  <si>
    <t>Постоянная, Кс = 1 и без Ко: обогрев кровли/воронок, слаботочные шкафы, АСУ, питание KNX, СПЗ.</t>
  </si>
  <si>
    <t>Насосы (водоснабжение, дренаж)</t>
  </si>
  <si>
    <t>5pe</t>
  </si>
  <si>
    <t>5ПуГВ</t>
  </si>
  <si>
    <t>2. Номинал по току — по таблице «Автомат_номиналы» (эта страница, F:G).</t>
  </si>
  <si>
    <t>Не учитывается в Руст и Рр: вводы, резервные линии и двигатели, транзит.</t>
  </si>
  <si>
    <t>Обогрев водостоков и кровли</t>
  </si>
  <si>
    <t>Сечение подбирается как наименьшее, у которого Iдоп·k ≥ In автомата (ГОСТ Р 50571.4.43: Ib ≤ In ≤ Iz); k = 0,92 для 4–5-жильных в 3ф (ПУЭ 1.3.10) × «К прокл.». 240 мм² — только одножильные (в табл. 1.3.6 для многожильных нет).</t>
  </si>
  <si>
    <t>5мс</t>
  </si>
  <si>
    <t xml:space="preserve">5хВВГнг(А)-LS </t>
  </si>
  <si>
    <t>3. Итог = наибольший из: по току, «Мин. автомат» по коду (AX: розетки 16 А, свет 10 А) и ручного автомата из «Исходных данных».</t>
  </si>
  <si>
    <t>5мс2</t>
  </si>
  <si>
    <t>4. «Макс. автомат по кабелю» — по сечению (I:J). Если итог больше — «КАБЕЛЬ НЕ ЗАЩИЩЁН».</t>
  </si>
  <si>
    <t>ФОРМУЛА</t>
  </si>
  <si>
    <t>Распределительные щиты жилой части</t>
  </si>
  <si>
    <t>5. Если после автомата БП/трансформатор — берётся ток и мин. номинал BF5.</t>
  </si>
  <si>
    <t>Рр = Руст.быт · Кс(табл.) + Ко · Σ(Pсил · Кс) + Σ Pпост;   Кс итоговый = Рр / Руст — он идёт в «Нагрузка_щитов» V9 и в «В Акад».</t>
  </si>
  <si>
    <t>Прочее</t>
  </si>
  <si>
    <t>6. Полюса: 3 фазы → 3P (4P с 30 мА), 1 фаза → 1P (2P с 30 мА).</t>
  </si>
  <si>
    <t>Iр — по наиболее нагруженной фазе: Iр = Pф.max · Кс итог / (0,22 · cos φ), но не меньше симметричного Рр / (√3 · 0,38 · cos φ).</t>
  </si>
  <si>
    <t>7. 30 мА: столбец F «Однолинейки» или по коду (AW).</t>
  </si>
  <si>
    <t>Секции: «Весь щит» = аварийный режим (все линии на одном вводе) — по нему выбирать вводные аппараты при АВР/секционном; «Секция 1» и «Секция 2» — нормальный режим.</t>
  </si>
  <si>
    <t>8. Свой текст в «Автомат» (например «2P С20А 30мА») — используется как есть и проверяется.</t>
  </si>
  <si>
    <t>Многоуровневое питание: в ВРУ/ГРЩ линия к бытовому ЩР — группа «Быт» с Руст этого щита; Кс считается заново по сумме, Кс нижних щитов не перемножается.</t>
  </si>
  <si>
    <t>НАСТРОЙКИ СЕТИ</t>
  </si>
  <si>
    <t>Uн, кВ</t>
  </si>
  <si>
    <t>Номинальное линейное напряжение (ГОСТ 29322-2014: 230/400 В). Фазное = Uн/√3. Для 380 В впишите 0,38.</t>
  </si>
  <si>
    <t>К прокл.</t>
  </si>
  <si>
    <t>Общий коэффициент снижения допустимого тока (пучок, многослойно в лотке/коробе — ПУЭ табл. 1.3.12, температура). В воздухе/лотке однорядно — 1.</t>
  </si>
  <si>
    <t>ΔU до шин щита теперь считается на листе «Питание_щита».</t>
  </si>
  <si>
    <t>Свой значок: впишите название в BA и точное имя блока в BB (код оставьте пустым) — блок возьмётся из библиотеки DWG.</t>
  </si>
  <si>
    <t>Свободных каналов всего</t>
  </si>
  <si>
    <t>Доп. коды (нет в списке P — латиница/кириллица и т.п.)</t>
  </si>
  <si>
    <t>КАТАЛОГ ОБОРУДОВАНИЯ. Спецификация собирается отсюда: N — посчитано по однолинейке, O — впишите вручную (корпус, провод, запас). Добавляйте строки вниз.</t>
  </si>
  <si>
    <t>список автоматов</t>
  </si>
  <si>
    <t>список аппаратов</t>
  </si>
  <si>
    <t>список модулей</t>
  </si>
  <si>
    <t>список произв.</t>
  </si>
  <si>
    <t>Категория (раздел)</t>
  </si>
  <si>
    <t>Производитель</t>
  </si>
  <si>
    <t>Модель (как в таблице)</t>
  </si>
  <si>
    <t>Префикс модуля</t>
  </si>
  <si>
    <t>Тип каналов</t>
  </si>
  <si>
    <t>Наименование для спецификации</t>
  </si>
  <si>
    <t>Полюса</t>
  </si>
  <si>
    <t>Номинал, А</t>
  </si>
  <si>
    <t>Ширина, мод. DIN</t>
  </si>
  <si>
    <t>Ед.</t>
  </si>
  <si>
    <t>Вручную / запас (+)</t>
  </si>
  <si>
    <t>ИТОГО в спецификацию</t>
  </si>
  <si>
    <t>Значение</t>
  </si>
  <si>
    <t>обозначение</t>
  </si>
  <si>
    <t>ключ</t>
  </si>
  <si>
    <t>№ авт.</t>
  </si>
  <si>
    <t>№ апп.</t>
  </si>
  <si>
    <t>№ мод.</t>
  </si>
  <si>
    <t>№ произв.</t>
  </si>
  <si>
    <t>(все)</t>
  </si>
  <si>
    <t>ключ сортировки</t>
  </si>
  <si>
    <t>№ в спецификации</t>
  </si>
  <si>
    <t>нет в каталоге</t>
  </si>
  <si>
    <t>№</t>
  </si>
  <si>
    <t>NB1-63 1P C10</t>
  </si>
  <si>
    <t>Автоматический выключатель NB1-63 1P 10А 6кА х-ка C (DB)</t>
  </si>
  <si>
    <t>1P</t>
  </si>
  <si>
    <t>Производитель автоматов</t>
  </si>
  <si>
    <t>NB1-63 1P C16</t>
  </si>
  <si>
    <t>Автоматический выключатель NB1-63 1P 16А 6кА х-ка C (DB)</t>
  </si>
  <si>
    <t>Производитель аппаратов</t>
  </si>
  <si>
    <t>NB1-63 3P C20</t>
  </si>
  <si>
    <t>Автоматический выключатель NB1-63 3P 20А 6кА х-ка C (DB)</t>
  </si>
  <si>
    <t>179702</t>
  </si>
  <si>
    <t>3P</t>
  </si>
  <si>
    <t>Производитель модулей</t>
  </si>
  <si>
    <t>NB1-63 4P C50</t>
  </si>
  <si>
    <t>Автоматический выключатель NB1-63 4P 50А 6кА х-ка C (DB)</t>
  </si>
  <si>
    <t>179750</t>
  </si>
  <si>
    <t>4P</t>
  </si>
  <si>
    <t>Клемма трёхуровневая (модель)</t>
  </si>
  <si>
    <t>NXB-125 3P C80</t>
  </si>
  <si>
    <t>Автоматический выключатель NXB-125 3P C80 10кА х-ка C</t>
  </si>
  <si>
    <t>Клемма проходная доп. (модель)</t>
  </si>
  <si>
    <t>Дифавтомат</t>
  </si>
  <si>
    <t>NB1L 1P+N C16 30мА</t>
  </si>
  <si>
    <t>Дифавтомат (АВДТ) NB1L 1P+N C16 30мА тип A 6кА</t>
  </si>
  <si>
    <t>2P</t>
  </si>
  <si>
    <t>Трёхуровневых на 4–5-жильную линию, если по коду не задано</t>
  </si>
  <si>
    <t>NB1L 1P+N C20 30мА</t>
  </si>
  <si>
    <t>Дифавтомат (АВДТ) NB1L 1P+N C20 30мА тип A 6кА</t>
  </si>
  <si>
    <t>NB1L 1P+N C32 30мА</t>
  </si>
  <si>
    <t>Дифавтомат (АВДТ) NB1L 1P+N C32 30мА тип A 6кА</t>
  </si>
  <si>
    <t>ПОРЯДОК РАЗДЕЛОВ СПЕЦИФИКАЦИИ (можно менять и дописывать)</t>
  </si>
  <si>
    <t>Аппарат</t>
  </si>
  <si>
    <t>Корпус</t>
  </si>
  <si>
    <t>КМ NCH8-63/40</t>
  </si>
  <si>
    <t>Контактор модульный NCH8-63/40 63А 4НО AC220/230В</t>
  </si>
  <si>
    <t>КМ NCH8-40/40</t>
  </si>
  <si>
    <t>Контактор модульный NCH8-40/40 40А 4НО AC220/230В</t>
  </si>
  <si>
    <t>NJVA1-100</t>
  </si>
  <si>
    <t>NZK1-32 2P</t>
  </si>
  <si>
    <t>Модульный переключатель NZK1-32 2P 32А 3 положения</t>
  </si>
  <si>
    <t>БП 24V 480W</t>
  </si>
  <si>
    <t>Блок питания ARV-DRP480-PFC-24 (24V, 20A, 480W)</t>
  </si>
  <si>
    <t>Шины</t>
  </si>
  <si>
    <t>БП 24V 75W</t>
  </si>
  <si>
    <t>БП 12V 135W</t>
  </si>
  <si>
    <t>Провод</t>
  </si>
  <si>
    <t>БП 12V 15W</t>
  </si>
  <si>
    <t>Универсальный источник питания KNX</t>
  </si>
  <si>
    <t>Актуатор клапанов отопления 230В</t>
  </si>
  <si>
    <t>Универсальный 4-канальный диммер 220V</t>
  </si>
  <si>
    <t>ЕСТЬ В ОДНОЛИНЕЙКЕ, НО НЕТ В КАТАЛОГЕ — добавьте строку:</t>
  </si>
  <si>
    <t>IN</t>
  </si>
  <si>
    <t>входы</t>
  </si>
  <si>
    <t>SMART-DALI-104</t>
  </si>
  <si>
    <t>диммер DALI</t>
  </si>
  <si>
    <t>Диммер SMART-DALI-104-62-ADDR-DIM-DT6-DIN White (12-24V, 4x5A)</t>
  </si>
  <si>
    <t>—</t>
  </si>
  <si>
    <t>Модель уточнить</t>
  </si>
  <si>
    <t>датчики</t>
  </si>
  <si>
    <t>Клемма трёхуровневая push-in, 6 точек, 2.5 кв.мм</t>
  </si>
  <si>
    <t>Клемма проходная push-in, 4 точки, 2.5 кв.мм, серая</t>
  </si>
  <si>
    <t>Клемма проходная push-in, 2 точки, 4 кв.мм, серая</t>
  </si>
  <si>
    <t>Клемма проходная push-in, 2 точки, 6 кв.мм, серая</t>
  </si>
  <si>
    <t>Клемма проходная push-in, 2 точки, 16 кв.мм, серая</t>
  </si>
  <si>
    <t>79467</t>
  </si>
  <si>
    <t>79444</t>
  </si>
  <si>
    <t>79452</t>
  </si>
  <si>
    <t>79473</t>
  </si>
  <si>
    <t>Расходные материалы (наконечни</t>
  </si>
  <si>
    <t>Кс (для Сил)</t>
  </si>
  <si>
    <t>Группа Кс (итог)</t>
  </si>
  <si>
    <t>ΔU от ВРУ, %</t>
  </si>
  <si>
    <t>Iкз min в конце линии, А</t>
  </si>
  <si>
    <t>Iкз / In</t>
  </si>
  <si>
    <t>Zпетли в конце, Ом</t>
  </si>
  <si>
    <t>Iкз max в конце, кА</t>
  </si>
  <si>
    <t>Основной ввод в дом №1</t>
  </si>
  <si>
    <t>Ввод.1</t>
  </si>
  <si>
    <t>Основной ввод в дом №2</t>
  </si>
  <si>
    <t>Ввод.2</t>
  </si>
  <si>
    <t>Щит вентиляции ЩОВ-01 Цокольный этаж этаж Пом. №0.001Тб</t>
  </si>
  <si>
    <t>ЩОВ-01</t>
  </si>
  <si>
    <t>Щит вентиляции ЩОВ-001 Подвальный этаж этаж Пом. №00.006Т</t>
  </si>
  <si>
    <t>ЩОВ-001</t>
  </si>
  <si>
    <t>Щит вентиляции ЩОВ-002 Подвальный этаж этаж Пом. №00.003Т</t>
  </si>
  <si>
    <t>ЩОВ-002</t>
  </si>
  <si>
    <t>Щит вентиляции ЩОВ-2 Техэтаж этаж Пом. №3.001Т</t>
  </si>
  <si>
    <t>ЩОВ-2</t>
  </si>
  <si>
    <t>Щит распределительный ЩР-001 Подвальный этаж этаж Пом. №00.004Т</t>
  </si>
  <si>
    <t>ЩР-001</t>
  </si>
  <si>
    <t>Щит распределительный ЩР-01 Цокольный этаж этаж Пом. №0.001Т</t>
  </si>
  <si>
    <t>ЩР-01</t>
  </si>
  <si>
    <t>Щит распределительный ЩР-1 Первый этаж этаж Пом. №1.003Б</t>
  </si>
  <si>
    <t>ЩР-1</t>
  </si>
  <si>
    <t>Щит распределительный ЩР-2 Техэтаж этаж Пом. №3.001Т</t>
  </si>
  <si>
    <t>ЩР-2</t>
  </si>
  <si>
    <t>Щит бассейна ЩС-Б Подвальный этаж этаж Пом. №00.002Тб</t>
  </si>
  <si>
    <t>ЩС-Б</t>
  </si>
  <si>
    <t>Щит дренажных насосов ЩС-ВК.001 Подвальный этаж этаж Пом. 00.002Т</t>
  </si>
  <si>
    <t>ЩС-ВК.001</t>
  </si>
  <si>
    <t>Щит насосов ЩС-ВК.002 Подвальный этаж этаж Пом. №00.002Тб</t>
  </si>
  <si>
    <t>ЩС-ВК.002</t>
  </si>
  <si>
    <t>Щит насосов ЩС-ВК.003 Подвальный этаж этаж Пом. №00.006Т</t>
  </si>
  <si>
    <t>ЩС-ВК.003</t>
  </si>
  <si>
    <t>Щит управления обогрева воронок ЩУОВ Тех. этаж этаж Пом. №3.001</t>
  </si>
  <si>
    <t>ЩУОВ</t>
  </si>
  <si>
    <t>Щит профкухни ЩС-ПК Цокольный этаж этаж Пом. №0.0014Б</t>
  </si>
  <si>
    <t>ЩР-ПК</t>
  </si>
  <si>
    <t>Щит освещения ЩО-2 Тех. этаж этаж Пом. №3.001</t>
  </si>
  <si>
    <t>ЩО-2</t>
  </si>
  <si>
    <t>Щит Хаммам РЩ-1  Подвальный этаж этаж Пом. №00.001Тб</t>
  </si>
  <si>
    <t>РЩ-1</t>
  </si>
  <si>
    <t>Э.4</t>
  </si>
  <si>
    <t>SEC1-21</t>
  </si>
  <si>
    <t>Щит системы противопожарной защиты Цокольный этаж этаж Пом. №001Т Ввод.1</t>
  </si>
  <si>
    <t>ЩСПЗ-ЖД.1</t>
  </si>
  <si>
    <t>Щит системы противопожарной защиты Цокольный этаж этаж Пом. №001Т Ввод.2</t>
  </si>
  <si>
    <t>ЩСПЗ-ЖД.2</t>
  </si>
  <si>
    <t>ЩГП</t>
  </si>
  <si>
    <t>ГРЩ-ЖД</t>
  </si>
  <si>
    <t>Статус строки
(что проверить)</t>
  </si>
  <si>
    <t>тип автомата №</t>
  </si>
  <si>
    <t>аппарат 1 №</t>
  </si>
  <si>
    <t>аппарат 2 №</t>
  </si>
  <si>
    <t>аппарат 3 №</t>
  </si>
  <si>
    <t>кабель клеммы</t>
  </si>
  <si>
    <t>вид клеммы №</t>
  </si>
  <si>
    <t>модуль №</t>
  </si>
  <si>
    <t>модель №</t>
  </si>
  <si>
    <t>уровень</t>
  </si>
  <si>
    <t>№ линии</t>
  </si>
  <si>
    <t>3L клемм</t>
  </si>
  <si>
    <t>доп. проходных</t>
  </si>
  <si>
    <t>УГО (рус)</t>
  </si>
  <si>
    <t>Кабелей параллельно</t>
  </si>
  <si>
    <t>м</t>
  </si>
  <si>
    <t>Показатель</t>
  </si>
  <si>
    <t>cos φ</t>
  </si>
  <si>
    <t>ΔU питающей линии</t>
  </si>
  <si>
    <t>Руст, кВт</t>
  </si>
  <si>
    <t>Руст пост, кВт</t>
  </si>
  <si>
    <t>Iр, А</t>
  </si>
  <si>
    <t>≈ 1,5·ρ20</t>
  </si>
  <si>
    <t>Рр сил, кВт</t>
  </si>
  <si>
    <t>Секция</t>
  </si>
  <si>
    <t>Объект:</t>
  </si>
  <si>
    <t>II</t>
  </si>
  <si>
    <t>Режим:</t>
  </si>
  <si>
    <t>tg φ</t>
  </si>
  <si>
    <t>Категория</t>
  </si>
  <si>
    <t>Напряжение сети</t>
  </si>
  <si>
    <t>Система заземления</t>
  </si>
  <si>
    <t>TN-C-S</t>
  </si>
  <si>
    <t>Категория надёжности электроснабжения</t>
  </si>
  <si>
    <t>Установленная мощность Руст, кВт</t>
  </si>
  <si>
    <t>Расчётная мощность Рр, кВт / Sр, кВА / cos φ</t>
  </si>
  <si>
    <t>Расчётный ток Iр, А</t>
  </si>
  <si>
    <t>Компенсация реактивной мощности</t>
  </si>
  <si>
    <t>ПОДСЧЁТ ПО ЛИСТУ «ОДНОЛИНЕЙКА» (считается сам)</t>
  </si>
  <si>
    <t>Трёхуровн.</t>
  </si>
  <si>
    <t>Доп. проходных</t>
  </si>
  <si>
    <t>Автоматы и дифавтоматы (полюса, номинал, 30 мА)</t>
  </si>
  <si>
    <t xml:space="preserve">  всего автоматов</t>
  </si>
  <si>
    <t>Аппараты после автоматов (трансформаторы, БП, МК, КМ)</t>
  </si>
  <si>
    <t>Модули умного дома (по модели)</t>
  </si>
  <si>
    <t>Клеммы XT по кабелю линии (жилы × сечение)</t>
  </si>
  <si>
    <t xml:space="preserve">  всего клемм XT</t>
  </si>
  <si>
    <t>Клемма трёхуровневая (по настройке Каталога)</t>
  </si>
  <si>
    <t>Клемма проходная доп. (по настройке Каталога)</t>
  </si>
  <si>
    <t>Трёхуровневая = L/N/PE одной линии; у 5-жильных ещё 2 проходные на доп. жилы.</t>
  </si>
  <si>
    <t>Линий с необеспеченной категорией (v3.12)</t>
  </si>
  <si>
    <t>Ввод 1</t>
  </si>
  <si>
    <t>Тип шины</t>
  </si>
  <si>
    <t>Пожарная (итог)</t>
  </si>
  <si>
    <t>Источник для режимов</t>
  </si>
  <si>
    <t>Пожарная</t>
  </si>
  <si>
    <t>Кс быт</t>
  </si>
  <si>
    <t>Рр, кВт</t>
  </si>
  <si>
    <t>Qр, квар</t>
  </si>
  <si>
    <t>Sр, кВА</t>
  </si>
  <si>
    <t>Ввод 2</t>
  </si>
  <si>
    <t>Ввод 3</t>
  </si>
  <si>
    <t>ИБП</t>
  </si>
  <si>
    <t>ДГУ</t>
  </si>
  <si>
    <t>Итого</t>
  </si>
  <si>
    <t>I особая</t>
  </si>
  <si>
    <t>I</t>
  </si>
  <si>
    <t>III</t>
  </si>
  <si>
    <t>Шина</t>
  </si>
  <si>
    <t>Допустимая загрузка ИБП</t>
  </si>
  <si>
    <t>Проверка</t>
  </si>
  <si>
    <t>мин</t>
  </si>
  <si>
    <t>КПД инвертора</t>
  </si>
  <si>
    <t>Место</t>
  </si>
  <si>
    <t>Группа</t>
  </si>
  <si>
    <t>4</t>
  </si>
  <si>
    <t>6</t>
  </si>
  <si>
    <t>7</t>
  </si>
  <si>
    <t>8</t>
  </si>
  <si>
    <t>9</t>
  </si>
  <si>
    <t>10</t>
  </si>
  <si>
    <t>Схема</t>
  </si>
  <si>
    <t>1 ввод, питающая линия пусто или III</t>
  </si>
  <si>
    <t>2–3 ввода без АВР</t>
  </si>
  <si>
    <t>2–3 ввода с АВР</t>
  </si>
  <si>
    <t>Лист</t>
  </si>
  <si>
    <t>Бирки</t>
  </si>
  <si>
    <t>Спецификация</t>
  </si>
  <si>
    <t>ОБЪЕКТ: настройки</t>
  </si>
  <si>
    <t>Объект</t>
  </si>
  <si>
    <t>название и адрес</t>
  </si>
  <si>
    <t>ρ меди для Iкз min, Ом·мм²/м</t>
  </si>
  <si>
    <t>≈ 1,5·ρ20 (ГОСТ 28249 п. 2.4.2)</t>
  </si>
  <si>
    <t>ρ алюминия для Iкз min, Ом·мм²/м</t>
  </si>
  <si>
    <t>Переходные сопротивления на щит, Ом</t>
  </si>
  <si>
    <t>контакты и аппараты на каждый щит</t>
  </si>
  <si>
    <t>c_min для Iкз min</t>
  </si>
  <si>
    <t>МЭК 60909-0</t>
  </si>
  <si>
    <t>Методика расчёта</t>
  </si>
  <si>
    <t>нормы 2026</t>
  </si>
  <si>
    <t>v3.12 — как старая книга (для сверки); нормы 2026 — СП 256 с Изм. 9 (см. «Методика»)</t>
  </si>
  <si>
    <t>kп.к — региональный коэффициент</t>
  </si>
  <si>
    <t>СП 256 табл. 7.5а (ЦФО 0,81, СЗФО 0,91…); для частного дома по умолчанию 1</t>
  </si>
  <si>
    <t>по коду и № помещения</t>
  </si>
  <si>
    <t>«по коду и № помещения» — «Розеточная группа, пом. 105»; «по экспликации» — название из листа «Экспликация»</t>
  </si>
  <si>
    <t>Писать «пом.» в наименовании</t>
  </si>
  <si>
    <t>да — «…, пом. 105»; нет — «… 105»</t>
  </si>
  <si>
    <t>Марка кабеля для пожарных линий</t>
  </si>
  <si>
    <t>обозначение из «Коды» → «Кабели» (мфр = ВВГнг(А)-FRLS)</t>
  </si>
  <si>
    <t>Запас мощности БП</t>
  </si>
  <si>
    <t>линии до 50 В: мощность БП ≥ запас × Σ (Uвых·I) — как в листе «Расчет_БП» v1.05</t>
  </si>
  <si>
    <t>Допустимо ΔU в линиях до 50 В, %</t>
  </si>
  <si>
    <t>от выхода БП до конца линии (LED 24 В, 12 В)</t>
  </si>
  <si>
    <t>МОДУЛИ ПО УМОЛЧАНИЮ (для «Управления» линии; модель — из «Каталога»)</t>
  </si>
  <si>
    <t>Управление</t>
  </si>
  <si>
    <t>Каналов на линию</t>
  </si>
  <si>
    <t>DIM</t>
  </si>
  <si>
    <t>шторы</t>
  </si>
  <si>
    <t>клапан</t>
  </si>
  <si>
    <t>Число силовых ЭП</t>
  </si>
  <si>
    <t>Кс (СП 256 табл. 7.5)</t>
  </si>
  <si>
    <t>КОДЫ = ТИПОВЫЕ ПОТРЕБИТЕЛИ (одна строка на код: марка, жилы, мин. сечение, кВт на шт, характеристика, утечка, управление, аппараты, УГО, мин. автомат). Справа — этажи, кабели, экспликация (по желанию). Новая строка — сразу под таблицей.</t>
  </si>
  <si>
    <t>Код</t>
  </si>
  <si>
    <t>Опуск, м</t>
  </si>
  <si>
    <t>Пуск: 1 нет/2 двигатель/3 свет</t>
  </si>
  <si>
    <t>Жил</t>
  </si>
  <si>
    <t>Фаз</t>
  </si>
  <si>
    <t>Вид нагрузки</t>
  </si>
  <si>
    <t>кВт на шт</t>
  </si>
  <si>
    <t>Характеристика (B/C/D)</t>
  </si>
  <si>
    <t>Вид аппарата утечки</t>
  </si>
  <si>
    <t>Аппараты</t>
  </si>
  <si>
    <t>Дифзащита, мА (да = 30)</t>
  </si>
  <si>
    <t>3L клемм на линию</t>
  </si>
  <si>
    <t>Вводной кабель</t>
  </si>
  <si>
    <t>Осветительная группа</t>
  </si>
  <si>
    <t>Вытяжная установка</t>
  </si>
  <si>
    <t>Привод штор</t>
  </si>
  <si>
    <t>Внутренний блок кондиционирования</t>
  </si>
  <si>
    <t>Выключатель кнопочный/сухой контакт</t>
  </si>
  <si>
    <t>Точка заземления</t>
  </si>
  <si>
    <t>LED-подсветка</t>
  </si>
  <si>
    <t>FR</t>
  </si>
  <si>
    <t>Фасадные розетки</t>
  </si>
  <si>
    <t>FL</t>
  </si>
  <si>
    <t>Фасадное освещение</t>
  </si>
  <si>
    <t>LT</t>
  </si>
  <si>
    <t>Трековое освещение</t>
  </si>
  <si>
    <t>Шина DALI</t>
  </si>
  <si>
    <t>ЭОК</t>
  </si>
  <si>
    <t>Электрообогрев кровли и водостоков</t>
  </si>
  <si>
    <t>V</t>
  </si>
  <si>
    <t>П</t>
  </si>
  <si>
    <t>НБ</t>
  </si>
  <si>
    <t>Наружный блок кондиционирования</t>
  </si>
  <si>
    <t>У</t>
  </si>
  <si>
    <t>КЛ</t>
  </si>
  <si>
    <t>Привод клапана вентиляции</t>
  </si>
  <si>
    <t>FLD</t>
  </si>
  <si>
    <t>Фасадная подсветка</t>
  </si>
  <si>
    <t>Кабель от ВРУ</t>
  </si>
  <si>
    <t>ТЕ-О</t>
  </si>
  <si>
    <t>Сервопривод отопления</t>
  </si>
  <si>
    <t>ТЕ-П</t>
  </si>
  <si>
    <t>Сервопривод тёплого пола</t>
  </si>
  <si>
    <t>Кран с электроприводом</t>
  </si>
  <si>
    <t>ЩС-Х</t>
  </si>
  <si>
    <t>Щит хаммама</t>
  </si>
  <si>
    <t>ЩС-РП</t>
  </si>
  <si>
    <t>Щит русской парной</t>
  </si>
  <si>
    <t>ЩС-ФС</t>
  </si>
  <si>
    <t>Щит финской сауны</t>
  </si>
  <si>
    <t>ЩС-КС</t>
  </si>
  <si>
    <t>Щит криосауны</t>
  </si>
  <si>
    <t>ЩС-КЗ</t>
  </si>
  <si>
    <t>Щит кинотеатра</t>
  </si>
  <si>
    <t>ЩС-К</t>
  </si>
  <si>
    <t>Щит проф.кухни</t>
  </si>
  <si>
    <t>ЩС-П</t>
  </si>
  <si>
    <t>Щит прачечной</t>
  </si>
  <si>
    <t>РМ</t>
  </si>
  <si>
    <t>Контакты реле РМ в щите ЩОПС</t>
  </si>
  <si>
    <t>KNX</t>
  </si>
  <si>
    <t>Шина оборудования KNX</t>
  </si>
  <si>
    <t>EIB</t>
  </si>
  <si>
    <t>Шина датчиков присутствия KNX</t>
  </si>
  <si>
    <t>Н</t>
  </si>
  <si>
    <t>Насос в ИТП</t>
  </si>
  <si>
    <t>СПД</t>
  </si>
  <si>
    <t>Станция повышения давления</t>
  </si>
  <si>
    <t>CR</t>
  </si>
  <si>
    <t>Управляемая розетка</t>
  </si>
  <si>
    <t>ШТК-ЛВС</t>
  </si>
  <si>
    <t>Шкаф телекоммуникационный ЛВС</t>
  </si>
  <si>
    <t>ШТК-СОТ</t>
  </si>
  <si>
    <t>Шкаф телекоммуникационный СОТ</t>
  </si>
  <si>
    <t>ШТК-РУМ</t>
  </si>
  <si>
    <t>Шкаф телекоммуникационный РУМ</t>
  </si>
  <si>
    <t>ЩКД</t>
  </si>
  <si>
    <t>Щит контроля доступа</t>
  </si>
  <si>
    <t>ЩС</t>
  </si>
  <si>
    <t>Щит силовой</t>
  </si>
  <si>
    <t>ЩКД-01</t>
  </si>
  <si>
    <t>Щит контроля доступа первого этажа</t>
  </si>
  <si>
    <t>НВК</t>
  </si>
  <si>
    <t>Насос дренажный</t>
  </si>
  <si>
    <t>Э</t>
  </si>
  <si>
    <t>Управляющий электрощит бассейна</t>
  </si>
  <si>
    <t>РЕ</t>
  </si>
  <si>
    <t>ЩС-ГМ</t>
  </si>
  <si>
    <t>Щит гидромассажной ванны</t>
  </si>
  <si>
    <t>ЩС-ГК</t>
  </si>
  <si>
    <t>Щит горячей купели</t>
  </si>
  <si>
    <t>ЩС-ХК</t>
  </si>
  <si>
    <t>Щит холодной купели</t>
  </si>
  <si>
    <t>Щит бассейна</t>
  </si>
  <si>
    <t>ЩКД.001</t>
  </si>
  <si>
    <t>ЩР</t>
  </si>
  <si>
    <t>Щит распределительный</t>
  </si>
  <si>
    <t>БКН</t>
  </si>
  <si>
    <t>Бойлер косвенного нагрева</t>
  </si>
  <si>
    <t>ЖУ</t>
  </si>
  <si>
    <t>Жироулавливатель</t>
  </si>
  <si>
    <t>ЩБП</t>
  </si>
  <si>
    <t>Щит с блоками питания подсветок</t>
  </si>
  <si>
    <t>ЩПК</t>
  </si>
  <si>
    <t>Щит профессиональной кухни</t>
  </si>
  <si>
    <t>ШТК</t>
  </si>
  <si>
    <t>Шкаф телекоммуникационный</t>
  </si>
  <si>
    <t>На СТБ</t>
  </si>
  <si>
    <t>Кабель на стабилизатор</t>
  </si>
  <si>
    <t>От СТБ</t>
  </si>
  <si>
    <t>Кабель от стабилизатора</t>
  </si>
  <si>
    <t>П2</t>
  </si>
  <si>
    <t>Парогенератор</t>
  </si>
  <si>
    <t>П1/В1</t>
  </si>
  <si>
    <t>Вентустановка</t>
  </si>
  <si>
    <t>П2/В2</t>
  </si>
  <si>
    <t>П3/В3</t>
  </si>
  <si>
    <t>FCP21</t>
  </si>
  <si>
    <t>шкаф пожарной сигнализации</t>
  </si>
  <si>
    <t>ENC211</t>
  </si>
  <si>
    <t>шкаф системы оповещения и управления эвакуацией</t>
  </si>
  <si>
    <t>Вводной кабель №2</t>
  </si>
  <si>
    <t>Вводной кабель №1</t>
  </si>
  <si>
    <t>УЗО</t>
  </si>
  <si>
    <t>Шина УЗО (линии со своими автоматами, «узо» в «Группе»)</t>
  </si>
  <si>
    <t>УЗО 2P 40А 30мА</t>
  </si>
  <si>
    <t>Название этажа</t>
  </si>
  <si>
    <t>Подъём, м</t>
  </si>
  <si>
    <t>По другим этажам, м</t>
  </si>
  <si>
    <t>Первый этаж</t>
  </si>
  <si>
    <t>Второй этаж</t>
  </si>
  <si>
    <t>00</t>
  </si>
  <si>
    <t>Подвальный этаж</t>
  </si>
  <si>
    <t>Кровля</t>
  </si>
  <si>
    <t>Обозначение</t>
  </si>
  <si>
    <t>Сечение в марке (1 да / 2 нет)</t>
  </si>
  <si>
    <t>5ВВГнг(А)-LS</t>
  </si>
  <si>
    <t>Название</t>
  </si>
  <si>
    <t>Питается от</t>
  </si>
  <si>
    <t>Вводов</t>
  </si>
  <si>
    <t>АВР</t>
  </si>
  <si>
    <t>ИБП от</t>
  </si>
  <si>
    <t>Мест под вводной узел</t>
  </si>
  <si>
    <t>Питание: от (ТП / сеть)</t>
  </si>
  <si>
    <t>ΔU до питающего, %</t>
  </si>
  <si>
    <t>Iкз min от сети, А</t>
  </si>
  <si>
    <t>Iкз max от сети, кА</t>
  </si>
  <si>
    <t>Sтр, кВА</t>
  </si>
  <si>
    <t>Схема тр-ра</t>
  </si>
  <si>
    <t>Питающий кабель: S, мм²</t>
  </si>
  <si>
    <t>Материал</t>
  </si>
  <si>
    <t>In питающего аппарата, А</t>
  </si>
  <si>
    <t>Хар-ка аппарата</t>
  </si>
  <si>
    <t>Кат. питающей линии (ручн.)</t>
  </si>
  <si>
    <t>Замечания щита</t>
  </si>
  <si>
    <t>Линия фидера</t>
  </si>
  <si>
    <t>ΔU до шин, %</t>
  </si>
  <si>
    <t>Iкз min на шинах, А</t>
  </si>
  <si>
    <t>Iкз max на шинах, кА</t>
  </si>
  <si>
    <t>Категория шины «Ввод»</t>
  </si>
  <si>
    <t>Путь</t>
  </si>
  <si>
    <t>Корень</t>
  </si>
  <si>
    <t>Питается от (итог)</t>
  </si>
  <si>
    <t>Уровень</t>
  </si>
  <si>
    <t>_строка фидера</t>
  </si>
  <si>
    <t>_авто питается от</t>
  </si>
  <si>
    <t>_Руст собств</t>
  </si>
  <si>
    <t>_быт собств</t>
  </si>
  <si>
    <t>_сил собств</t>
  </si>
  <si>
    <t>_пост собств</t>
  </si>
  <si>
    <t>_P собств</t>
  </si>
  <si>
    <t>_Pcos собств</t>
  </si>
  <si>
    <t>_отоп собств</t>
  </si>
  <si>
    <t>_внг собств</t>
  </si>
  <si>
    <t>Р отопления, кВт</t>
  </si>
  <si>
    <t>Рр ВНГ, кВт</t>
  </si>
  <si>
    <t>_n силовых</t>
  </si>
  <si>
    <t>Кс силовых (табл. 7.5)</t>
  </si>
  <si>
    <t>Ко</t>
  </si>
  <si>
    <t>Кс итог</t>
  </si>
  <si>
    <t>P L1, кВт</t>
  </si>
  <si>
    <t>P L2, кВт</t>
  </si>
  <si>
    <t>P L3, кВт</t>
  </si>
  <si>
    <t>_ΔU фидера</t>
  </si>
  <si>
    <t>_ΔU пит. линии</t>
  </si>
  <si>
    <t>_ΔU источника</t>
  </si>
  <si>
    <t>_петля пит. кабеля</t>
  </si>
  <si>
    <t>_Zсети</t>
  </si>
  <si>
    <t>_Zисточника</t>
  </si>
  <si>
    <t>_Zфидера</t>
  </si>
  <si>
    <t>Zпетли на шинах, Ом</t>
  </si>
  <si>
    <t>_Zmax сети</t>
  </si>
  <si>
    <t>_Zmax источника</t>
  </si>
  <si>
    <t>_Zmax фидера</t>
  </si>
  <si>
    <t>Zmax на шинах, Ом</t>
  </si>
  <si>
    <t>_ΔU фидера (подбор)</t>
  </si>
  <si>
    <t>ΔU до шин (подбор), %</t>
  </si>
  <si>
    <t>_Zфидера (подбор)</t>
  </si>
  <si>
    <t>Zпетли на шинах (подбор), Ом</t>
  </si>
  <si>
    <t>Iпуск max, А</t>
  </si>
  <si>
    <t>Источник фидера</t>
  </si>
  <si>
    <t>Пожарный фидер</t>
  </si>
  <si>
    <t>_фазы авто</t>
  </si>
  <si>
    <t>ЩО-001</t>
  </si>
  <si>
    <t>ЩСПЗ-ЖД</t>
  </si>
  <si>
    <t>ШИНЫ — только если тип шины не определяется по имени (ИБП, ДГУ) или по секции</t>
  </si>
  <si>
    <t>Тип</t>
  </si>
  <si>
    <t>Кол-во потребителей, шт</t>
  </si>
  <si>
    <t>Длина линии (по плану), м</t>
  </si>
  <si>
    <t>Замечания</t>
  </si>
  <si>
    <t>Лист / место</t>
  </si>
  <si>
    <t>Ток утечки, мА</t>
  </si>
  <si>
    <t>БП: нужно, Вт</t>
  </si>
  <si>
    <t>Uвых БП, В</t>
  </si>
  <si>
    <t>Lмакс по КЗ, м</t>
  </si>
  <si>
    <t>Питает щит</t>
  </si>
  <si>
    <t>Утечка, мА</t>
  </si>
  <si>
    <t>cos φ (ручн.)</t>
  </si>
  <si>
    <t>Секция (1/2/3)</t>
  </si>
  <si>
    <t>Категория ввода (строки «Ввод»)</t>
  </si>
  <si>
    <t>Пожарная (да / нет)</t>
  </si>
  <si>
    <t>Режим</t>
  </si>
  <si>
    <t>№ места</t>
  </si>
  <si>
    <t>К прокл. линии</t>
  </si>
  <si>
    <t>_n</t>
  </si>
  <si>
    <t>_ключ упорядочивания</t>
  </si>
  <si>
    <t>_часть1</t>
  </si>
  <si>
    <t>_часть2</t>
  </si>
  <si>
    <t>_фидер</t>
  </si>
  <si>
    <t>_авто наименование</t>
  </si>
  <si>
    <t>Наименование (итог)</t>
  </si>
  <si>
    <t>_№ щита</t>
  </si>
  <si>
    <t>_мест узла</t>
  </si>
  <si>
    <t>_№ места (итог)</t>
  </si>
  <si>
    <t>_зона</t>
  </si>
  <si>
    <t>_кВт на шт</t>
  </si>
  <si>
    <t>_ввод щита</t>
  </si>
  <si>
    <t>_авто Р</t>
  </si>
  <si>
    <t>_Р (ввод итог)</t>
  </si>
  <si>
    <t>_Р линии, кВт</t>
  </si>
  <si>
    <t>_авто U</t>
  </si>
  <si>
    <t>U, В</t>
  </si>
  <si>
    <t>_до 50 В</t>
  </si>
  <si>
    <t>_авто фаз</t>
  </si>
  <si>
    <t>_авто марка</t>
  </si>
  <si>
    <t>Марка (итог)</t>
  </si>
  <si>
    <t>_авто жил</t>
  </si>
  <si>
    <t>_мин. сечение кода</t>
  </si>
  <si>
    <t>_тип пуска</t>
  </si>
  <si>
    <t>_гр (на автомате выше)</t>
  </si>
  <si>
    <t>_свой автомат</t>
  </si>
  <si>
    <t>_на шине УЗО</t>
  </si>
  <si>
    <t>_ток на 230 В</t>
  </si>
  <si>
    <t>_ток ниже в группе</t>
  </si>
  <si>
    <t>_Р ниже в группе</t>
  </si>
  <si>
    <t>_фаз ниже в группе</t>
  </si>
  <si>
    <t>_мин. номинал ниже</t>
  </si>
  <si>
    <t>_мА ниже в группе</t>
  </si>
  <si>
    <t>_дифзащита по коду, мА</t>
  </si>
  <si>
    <t>_авто утечка</t>
  </si>
  <si>
    <t>_вид аппарата утечки</t>
  </si>
  <si>
    <t>_УЗО строки</t>
  </si>
  <si>
    <t>_блок УЗО</t>
  </si>
  <si>
    <t>_УЗО, А</t>
  </si>
  <si>
    <t>_УЗО, мА</t>
  </si>
  <si>
    <t>_мА блока УЗО</t>
  </si>
  <si>
    <t>_блок УЗО на 1 фазе</t>
  </si>
  <si>
    <t>_ток блока УЗО</t>
  </si>
  <si>
    <t>_утечка блока УЗО</t>
  </si>
  <si>
    <t>_мА линии</t>
  </si>
  <si>
    <t>_мА группы</t>
  </si>
  <si>
    <t>_мин. по типу</t>
  </si>
  <si>
    <t>_авто аппараты</t>
  </si>
  <si>
    <t>_аппараты (итог)</t>
  </si>
  <si>
    <t>Аппарат 1</t>
  </si>
  <si>
    <t>_БП после автомата</t>
  </si>
  <si>
    <t>_авто управление</t>
  </si>
  <si>
    <t>_управление (итог)</t>
  </si>
  <si>
    <t>_авто номинал</t>
  </si>
  <si>
    <t>_фаз группы</t>
  </si>
  <si>
    <t>_полюса</t>
  </si>
  <si>
    <t>_характеристика</t>
  </si>
  <si>
    <t>_авто автомат</t>
  </si>
  <si>
    <t>_автомат (итог ввода)</t>
  </si>
  <si>
    <t>Автомат (схема)</t>
  </si>
  <si>
    <t>_номинал итог</t>
  </si>
  <si>
    <t>_группа от</t>
  </si>
  <si>
    <t>_In гр.</t>
  </si>
  <si>
    <t>_автомат гр.</t>
  </si>
  <si>
    <t>_мА гр. (строки)</t>
  </si>
  <si>
    <t>_дифзащита гр. (строки)</t>
  </si>
  <si>
    <t>_БП в группе</t>
  </si>
  <si>
    <t>_ток группы</t>
  </si>
  <si>
    <t>_k жил</t>
  </si>
  <si>
    <t>_К прокл</t>
  </si>
  <si>
    <t>_столбец Iдоп</t>
  </si>
  <si>
    <t>_сечение в марке</t>
  </si>
  <si>
    <t>_ΔU до шин</t>
  </si>
  <si>
    <t>_Zпетли шин</t>
  </si>
  <si>
    <t>_ΔU до шин (подбор)</t>
  </si>
  <si>
    <t>_Zпетли шин (подбор)</t>
  </si>
  <si>
    <t>_авто длина по плану</t>
  </si>
  <si>
    <t>_Lплан</t>
  </si>
  <si>
    <t>_b</t>
  </si>
  <si>
    <t>_sin</t>
  </si>
  <si>
    <t>Допустимо ΔU, %</t>
  </si>
  <si>
    <t>_авто сечение</t>
  </si>
  <si>
    <t>_сечение по току</t>
  </si>
  <si>
    <t>_ΔU по току, %</t>
  </si>
  <si>
    <t>_Zкабеля по току</t>
  </si>
  <si>
    <t>_ρ</t>
  </si>
  <si>
    <t>_x</t>
  </si>
  <si>
    <t>_гофра ПВХ</t>
  </si>
  <si>
    <t>_гофра ПНД</t>
  </si>
  <si>
    <t>_ΔU, В</t>
  </si>
  <si>
    <t>ΔU, %</t>
  </si>
  <si>
    <t>_кабель</t>
  </si>
  <si>
    <t>_кабель с сечением</t>
  </si>
  <si>
    <t>_кабель полный</t>
  </si>
  <si>
    <t>_Zкабеля</t>
  </si>
  <si>
    <t>_Zmax кабеля</t>
  </si>
  <si>
    <t>_авто группа Кс</t>
  </si>
  <si>
    <t>_Руст (без Нет)</t>
  </si>
  <si>
    <t>_Руст быт</t>
  </si>
  <si>
    <t>_Рр сил</t>
  </si>
  <si>
    <t>_Руст пост</t>
  </si>
  <si>
    <t>_Р отопления</t>
  </si>
  <si>
    <t>_Рр ВНГ</t>
  </si>
  <si>
    <t>_Р для вводов</t>
  </si>
  <si>
    <t>_P для cos</t>
  </si>
  <si>
    <t>_P·cos</t>
  </si>
  <si>
    <t>_Р группы</t>
  </si>
  <si>
    <t>_фаза вручную</t>
  </si>
  <si>
    <t>_авто фаза</t>
  </si>
  <si>
    <t>_фаза итог</t>
  </si>
  <si>
    <t>_фаза группы</t>
  </si>
  <si>
    <t>_Iпуск двиг.</t>
  </si>
  <si>
    <t>_Iпуск LED</t>
  </si>
  <si>
    <t>Iпуск, А</t>
  </si>
  <si>
    <t>_шина группы</t>
  </si>
  <si>
    <t>Шина (итог)</t>
  </si>
  <si>
    <t>_секция №</t>
  </si>
  <si>
    <t>Категория ввода (итог)</t>
  </si>
  <si>
    <t>_путь щита</t>
  </si>
  <si>
    <t>Вид нагрузки (итог)</t>
  </si>
  <si>
    <t>Лист схемы</t>
  </si>
  <si>
    <t>Кабель (строкой)</t>
  </si>
  <si>
    <t>_Р схемы</t>
  </si>
  <si>
    <t>_Ток схемы</t>
  </si>
  <si>
    <t>_фаз</t>
  </si>
  <si>
    <t>_в кабель выше</t>
  </si>
  <si>
    <t>_draw</t>
  </si>
  <si>
    <t>_гр.</t>
  </si>
  <si>
    <t>_гр. (перенос)</t>
  </si>
  <si>
    <t>_макс. автомат по кабелю</t>
  </si>
  <si>
    <t>_QF нач.</t>
  </si>
  <si>
    <t>_QF гр.</t>
  </si>
  <si>
    <t>_аппараты гр.</t>
  </si>
  <si>
    <t>_БП/тр-р</t>
  </si>
  <si>
    <t>_модуль по умолч.</t>
  </si>
  <si>
    <t>_каналов на линию</t>
  </si>
  <si>
    <t>_модуль вручную</t>
  </si>
  <si>
    <t>_блок модуля</t>
  </si>
  <si>
    <t>_модель авто-блока</t>
  </si>
  <si>
    <t>_каналов модели</t>
  </si>
  <si>
    <t>_авто модуль</t>
  </si>
  <si>
    <t>_модуль (итог)</t>
  </si>
  <si>
    <t>_префикс</t>
  </si>
  <si>
    <t>_модуль нач.</t>
  </si>
  <si>
    <t>_модуль гр.</t>
  </si>
  <si>
    <t>_модель гр.</t>
  </si>
  <si>
    <t>Канал (итог)</t>
  </si>
  <si>
    <t>_посл. канал</t>
  </si>
  <si>
    <t>_клемма</t>
  </si>
  <si>
    <t>_авто клемма</t>
  </si>
  <si>
    <t>Клемма (итог)</t>
  </si>
  <si>
    <t>_Модуль (схема)</t>
  </si>
  <si>
    <t>Проверка автомата</t>
  </si>
  <si>
    <t>Проверка канала</t>
  </si>
  <si>
    <t>_кратность</t>
  </si>
  <si>
    <t>Отключение ≤ 0,4 с</t>
  </si>
  <si>
    <t>_ток утечки линии, мА</t>
  </si>
  <si>
    <t>_утечка ниже в группе</t>
  </si>
  <si>
    <t>_Uвых БП для линии, В</t>
  </si>
  <si>
    <t>_мощность от БП, Вт</t>
  </si>
  <si>
    <t>_мощность от БП ниже</t>
  </si>
  <si>
    <t>_Uвых ниже</t>
  </si>
  <si>
    <t>_линий до 50 В ниже</t>
  </si>
  <si>
    <t>_БП группы</t>
  </si>
  <si>
    <t>_БП, Вт</t>
  </si>
  <si>
    <t>_БП, В</t>
  </si>
  <si>
    <t>_ток канала модуля, А</t>
  </si>
  <si>
    <t>_ток канала, А</t>
  </si>
  <si>
    <t>_статус</t>
  </si>
  <si>
    <t>Icu автомата, кА</t>
  </si>
  <si>
    <t>Проверка Icu</t>
  </si>
  <si>
    <t>_целость</t>
  </si>
  <si>
    <t>_цепь для бирок</t>
  </si>
  <si>
    <t>_цепь с кабелем</t>
  </si>
  <si>
    <t>_бирка 1</t>
  </si>
  <si>
    <t>_бирка 1 линия</t>
  </si>
  <si>
    <t>_бирка 2</t>
  </si>
  <si>
    <t>_бирка 2 линия</t>
  </si>
  <si>
    <t>_бирка 3</t>
  </si>
  <si>
    <t>_бирка 3 линия</t>
  </si>
  <si>
    <t>_бирка 4</t>
  </si>
  <si>
    <t>_бирка 4 линия</t>
  </si>
  <si>
    <t>_бирка 5</t>
  </si>
  <si>
    <t>_бирка 5 линия</t>
  </si>
  <si>
    <t>_бирка 6</t>
  </si>
  <si>
    <t>_бирка 6 линия</t>
  </si>
  <si>
    <t>_модель (схема)</t>
  </si>
  <si>
    <t>_цепь</t>
  </si>
  <si>
    <t>_bus2</t>
  </si>
  <si>
    <t>_rcd</t>
  </si>
  <si>
    <t>_chtype</t>
  </si>
  <si>
    <t>_dev1</t>
  </si>
  <si>
    <t>_dev2</t>
  </si>
  <si>
    <t>_dev3</t>
  </si>
  <si>
    <t>_УГО (рус)</t>
  </si>
  <si>
    <t>_sym</t>
  </si>
  <si>
    <t>_hasline</t>
  </si>
  <si>
    <t>_тип автомата №</t>
  </si>
  <si>
    <t>_аппарат 1 №</t>
  </si>
  <si>
    <t>_аппарат 2 №</t>
  </si>
  <si>
    <t>_аппарат 3 №</t>
  </si>
  <si>
    <t>_кабель клеммы</t>
  </si>
  <si>
    <t>_вид клеммы №</t>
  </si>
  <si>
    <t>_модуль №</t>
  </si>
  <si>
    <t>_модель №</t>
  </si>
  <si>
    <t>_уровень</t>
  </si>
  <si>
    <t>_№ линии</t>
  </si>
  <si>
    <t>_3L клемм</t>
  </si>
  <si>
    <t>_доп. проходных</t>
  </si>
  <si>
    <t>_автомат для схемы</t>
  </si>
  <si>
    <t>_мА для схемы</t>
  </si>
  <si>
    <t>_дифзащита гр. (0/1)</t>
  </si>
  <si>
    <t>_видна</t>
  </si>
  <si>
    <t>вручную</t>
  </si>
  <si>
    <t>ЩО-01</t>
  </si>
  <si>
    <t>L.00.001T.1</t>
  </si>
  <si>
    <t>L.00.001Б.2</t>
  </si>
  <si>
    <t>L.00.001Б.3</t>
  </si>
  <si>
    <t>L.00.001Т.1</t>
  </si>
  <si>
    <t>L.00.002Б.1</t>
  </si>
  <si>
    <t>L.00.002Т.1</t>
  </si>
  <si>
    <t>L.00.003Б.1</t>
  </si>
  <si>
    <t>L.00.003Tб.1</t>
  </si>
  <si>
    <t>L.00.004Б.1</t>
  </si>
  <si>
    <t>L.00.004Т.1</t>
  </si>
  <si>
    <t>L.00.005Б.1</t>
  </si>
  <si>
    <t>L.00.005Т.1</t>
  </si>
  <si>
    <t>L.00.006Б.1</t>
  </si>
  <si>
    <t>L.00.006Т.1</t>
  </si>
  <si>
    <t>L.00.007Б.1</t>
  </si>
  <si>
    <t>L.00.007Т.1</t>
  </si>
  <si>
    <t>L.00.008T.1</t>
  </si>
  <si>
    <t>L.00.009Б.1</t>
  </si>
  <si>
    <t>L.00.008Б.1</t>
  </si>
  <si>
    <t>L.00.010Б.1</t>
  </si>
  <si>
    <t>L.00.003T.1</t>
  </si>
  <si>
    <t>В.3</t>
  </si>
  <si>
    <t>В.9</t>
  </si>
  <si>
    <t>В.11</t>
  </si>
  <si>
    <t>В.12</t>
  </si>
  <si>
    <t>В.13</t>
  </si>
  <si>
    <t>В.17</t>
  </si>
  <si>
    <t>В.18</t>
  </si>
  <si>
    <t>П.1</t>
  </si>
  <si>
    <t>П.2</t>
  </si>
  <si>
    <t>П.4</t>
  </si>
  <si>
    <t>ПВ.2</t>
  </si>
  <si>
    <t>ПВ.3</t>
  </si>
  <si>
    <t>ПВ.4</t>
  </si>
  <si>
    <t>К.1.017А.1</t>
  </si>
  <si>
    <t>К.1.021А.1</t>
  </si>
  <si>
    <t>K.1</t>
  </si>
  <si>
    <t>K.2</t>
  </si>
  <si>
    <t>K.3</t>
  </si>
  <si>
    <t>K.4</t>
  </si>
  <si>
    <t>K.5</t>
  </si>
  <si>
    <t>K.6</t>
  </si>
  <si>
    <t>K.7</t>
  </si>
  <si>
    <t>K.8</t>
  </si>
  <si>
    <t>K.9</t>
  </si>
  <si>
    <t>K.10</t>
  </si>
  <si>
    <t>K.11</t>
  </si>
  <si>
    <t>ККБ-1</t>
  </si>
  <si>
    <t>ККБ-2</t>
  </si>
  <si>
    <t>НБ-1</t>
  </si>
  <si>
    <t>ККБ-3</t>
  </si>
  <si>
    <t>ККБ-4</t>
  </si>
  <si>
    <t>НБ-2</t>
  </si>
  <si>
    <t>НБ-3</t>
  </si>
  <si>
    <t>НБ-4</t>
  </si>
  <si>
    <t>В.7</t>
  </si>
  <si>
    <t>ПВ.1</t>
  </si>
  <si>
    <t>ПВ.К</t>
  </si>
  <si>
    <t>ПВ.10</t>
  </si>
  <si>
    <t>K.0.002A</t>
  </si>
  <si>
    <t>K.0.006A</t>
  </si>
  <si>
    <t>K.00.001A</t>
  </si>
  <si>
    <t>K.00.004A</t>
  </si>
  <si>
    <t>K.00.004T.1</t>
  </si>
  <si>
    <t>K.00.004T.2</t>
  </si>
  <si>
    <t>K.00.007A</t>
  </si>
  <si>
    <t>K.00.007T.1</t>
  </si>
  <si>
    <t>K.00.007T.2</t>
  </si>
  <si>
    <t>П.6</t>
  </si>
  <si>
    <t>ПВ.6</t>
  </si>
  <si>
    <t>ПВ.9</t>
  </si>
  <si>
    <t>В.2</t>
  </si>
  <si>
    <t>В.10</t>
  </si>
  <si>
    <t>В.24</t>
  </si>
  <si>
    <t>В.25</t>
  </si>
  <si>
    <t>K.0.001T.1</t>
  </si>
  <si>
    <t>K.0.001T.2</t>
  </si>
  <si>
    <t>K.0.002T.1</t>
  </si>
  <si>
    <t>K.0.002T.2</t>
  </si>
  <si>
    <t>K.0.004A-K.0.005A</t>
  </si>
  <si>
    <t>K.0.005Б.1</t>
  </si>
  <si>
    <t>K.0.005Б.2</t>
  </si>
  <si>
    <t>K.0.008A</t>
  </si>
  <si>
    <t>K.0.012Б</t>
  </si>
  <si>
    <t>K.1.002AБ.1</t>
  </si>
  <si>
    <t>K.1.002AБ.2</t>
  </si>
  <si>
    <t>K.1.006A</t>
  </si>
  <si>
    <t>K.1.002Б</t>
  </si>
  <si>
    <t>K.1.007A</t>
  </si>
  <si>
    <t>K.1.010A</t>
  </si>
  <si>
    <t>K.1.011A</t>
  </si>
  <si>
    <t>K.1.014A</t>
  </si>
  <si>
    <t>K.1.015A</t>
  </si>
  <si>
    <t>K.0.009А.1</t>
  </si>
  <si>
    <t>K.1.001A.1</t>
  </si>
  <si>
    <t>K.1.001A.2</t>
  </si>
  <si>
    <t>K.1.003A</t>
  </si>
  <si>
    <t>K.1.005A</t>
  </si>
  <si>
    <t>K.2.004A</t>
  </si>
  <si>
    <t>K.2.005A</t>
  </si>
  <si>
    <t>K.2.008A</t>
  </si>
  <si>
    <t>K.2.009A</t>
  </si>
  <si>
    <t>K.2.014A</t>
  </si>
  <si>
    <t>K.2.016A</t>
  </si>
  <si>
    <t>K.2.019A</t>
  </si>
  <si>
    <t>K.3.002Б</t>
  </si>
  <si>
    <t>K.3.004T.1</t>
  </si>
  <si>
    <t>K.3.004T.2</t>
  </si>
  <si>
    <t>В.1</t>
  </si>
  <si>
    <t>В.22</t>
  </si>
  <si>
    <t>В.23</t>
  </si>
  <si>
    <t>В.8</t>
  </si>
  <si>
    <t>П.3</t>
  </si>
  <si>
    <t>П.5</t>
  </si>
  <si>
    <t>ПВ.5</t>
  </si>
  <si>
    <t>ПВ.7</t>
  </si>
  <si>
    <t>ПВ.8</t>
  </si>
  <si>
    <t>R.00.001Б.1</t>
  </si>
  <si>
    <t>R.00.003Т.1</t>
  </si>
  <si>
    <t>R.00.004Т.1</t>
  </si>
  <si>
    <t>R.00.001Тб.1</t>
  </si>
  <si>
    <t>R.00.001Б.2</t>
  </si>
  <si>
    <t>R.00.005Т.1</t>
  </si>
  <si>
    <t>R.00.002Т.1</t>
  </si>
  <si>
    <t>R.00.001А.1</t>
  </si>
  <si>
    <t>R.00.005А.1</t>
  </si>
  <si>
    <t>R.00.004А.1</t>
  </si>
  <si>
    <t>R.00.001А.2</t>
  </si>
  <si>
    <t>R.00.002.1А.1</t>
  </si>
  <si>
    <t>R.00.006T.1</t>
  </si>
  <si>
    <t>R.00.007Т.1</t>
  </si>
  <si>
    <t>R.00.008T.1</t>
  </si>
  <si>
    <t>R.00.002Tб.1</t>
  </si>
  <si>
    <t>R.00.007Б.1</t>
  </si>
  <si>
    <t>R.00.004Б.1</t>
  </si>
  <si>
    <t>R.00.005Б.1</t>
  </si>
  <si>
    <t>R.00.009Б.1</t>
  </si>
  <si>
    <t>R.00.006Б.1</t>
  </si>
  <si>
    <t>R.00.007А.1</t>
  </si>
  <si>
    <t>R.00.008А.1</t>
  </si>
  <si>
    <t>R.00.002Б.1</t>
  </si>
  <si>
    <t>ШТК-0</t>
  </si>
  <si>
    <t>ШТК-ЛВС.00</t>
  </si>
  <si>
    <t>ШТК-СОТ.00</t>
  </si>
  <si>
    <t>ЩКД-6</t>
  </si>
  <si>
    <t>ЩКД-001</t>
  </si>
  <si>
    <t>R.0.002A.1</t>
  </si>
  <si>
    <t>R.0.002A.2</t>
  </si>
  <si>
    <t>R.0.002A.3</t>
  </si>
  <si>
    <t>R.0.002T.1</t>
  </si>
  <si>
    <t>R.0.002Б.1</t>
  </si>
  <si>
    <t>R.0.002Б.2</t>
  </si>
  <si>
    <t>R.0.003A.1</t>
  </si>
  <si>
    <t>R.0.003A.3</t>
  </si>
  <si>
    <t>R.0.003Б.1</t>
  </si>
  <si>
    <t>R.0.004Б.1</t>
  </si>
  <si>
    <t>R.0.004Б.2</t>
  </si>
  <si>
    <t>R.0.004Б.3</t>
  </si>
  <si>
    <t>R.0.006A.1</t>
  </si>
  <si>
    <t>R.0.007A.1</t>
  </si>
  <si>
    <t>R.0.008A.1</t>
  </si>
  <si>
    <t>R.0.008A.2</t>
  </si>
  <si>
    <t>R.0.009A.1</t>
  </si>
  <si>
    <t>R.0.009A.2</t>
  </si>
  <si>
    <t>R.0.010A.1</t>
  </si>
  <si>
    <t>R.0.011.1A</t>
  </si>
  <si>
    <t>R.0.011Б.1</t>
  </si>
  <si>
    <t>R.0.012A.1</t>
  </si>
  <si>
    <t>R.0.013A.1</t>
  </si>
  <si>
    <t>R.0.013Б.1</t>
  </si>
  <si>
    <t>R.0.013Б.2</t>
  </si>
  <si>
    <t>R.0.013Б.3</t>
  </si>
  <si>
    <t>R.0.013Б.4</t>
  </si>
  <si>
    <t>R.0.015A.1</t>
  </si>
  <si>
    <t>R.0.017A.1</t>
  </si>
  <si>
    <t>R.0.018A.1</t>
  </si>
  <si>
    <t>R.0.018Б.1</t>
  </si>
  <si>
    <t>R.0.021A.1</t>
  </si>
  <si>
    <t>R.0.022.1</t>
  </si>
  <si>
    <t>R.0.012A.2</t>
  </si>
  <si>
    <t>R.0.020A.1</t>
  </si>
  <si>
    <t>ШТК-1</t>
  </si>
  <si>
    <t>ШТК-СОТ.0</t>
  </si>
  <si>
    <t>ШТК-ЛВС.0</t>
  </si>
  <si>
    <t>ЩДК-01</t>
  </si>
  <si>
    <t>R.1.001A.1</t>
  </si>
  <si>
    <t>R.1.001Aб.1</t>
  </si>
  <si>
    <t>R.1.001Г.1</t>
  </si>
  <si>
    <t>R.1.002A.1</t>
  </si>
  <si>
    <t>R.1.002Aб.1</t>
  </si>
  <si>
    <t>R.1.002Б.1</t>
  </si>
  <si>
    <t>R.1.002Б.2</t>
  </si>
  <si>
    <t>R.1.002Б.3</t>
  </si>
  <si>
    <t>R.1.002Б.4</t>
  </si>
  <si>
    <t>R.1.002Б.5</t>
  </si>
  <si>
    <t>R.1.002Б.6</t>
  </si>
  <si>
    <t>R.1.002Б.7</t>
  </si>
  <si>
    <t>R.1.002Б.8</t>
  </si>
  <si>
    <t>R.1.002Г.1</t>
  </si>
  <si>
    <t>R.1.003A.1</t>
  </si>
  <si>
    <t>R.1.003A.2</t>
  </si>
  <si>
    <t>R.1.003A.3</t>
  </si>
  <si>
    <t>R.1.003A2</t>
  </si>
  <si>
    <t>R.1.003Aб.1</t>
  </si>
  <si>
    <t>R.1.003Б.1</t>
  </si>
  <si>
    <t>R.1.003Б.2</t>
  </si>
  <si>
    <t>R.1.003Г.1</t>
  </si>
  <si>
    <t>R.1.004Aб.1</t>
  </si>
  <si>
    <t>R.1.005A.1</t>
  </si>
  <si>
    <t>R.1.006A.1</t>
  </si>
  <si>
    <t>R.1.006Aб.1</t>
  </si>
  <si>
    <t>R.1.006Aб.2</t>
  </si>
  <si>
    <t>R.1.007A.1</t>
  </si>
  <si>
    <t>R.1.008A.1</t>
  </si>
  <si>
    <t>R.1.009A.1</t>
  </si>
  <si>
    <t>R.1.010A.1</t>
  </si>
  <si>
    <t>R.1.011A.1</t>
  </si>
  <si>
    <t>R.1.012.1A.1</t>
  </si>
  <si>
    <t>R.1.013A.1</t>
  </si>
  <si>
    <t>R.1.014A.1</t>
  </si>
  <si>
    <t>R.1.015A.1</t>
  </si>
  <si>
    <t>R.1.016A.1</t>
  </si>
  <si>
    <t>R.1.017A.1</t>
  </si>
  <si>
    <t>R.1.017A.2</t>
  </si>
  <si>
    <t>R.1.018A.1</t>
  </si>
  <si>
    <t>R.1.019A.1</t>
  </si>
  <si>
    <t>R.1.020A.2</t>
  </si>
  <si>
    <t>R.1.021A.1</t>
  </si>
  <si>
    <t>R.1.021A.10</t>
  </si>
  <si>
    <t>R.1.021A.11</t>
  </si>
  <si>
    <t>R.1.021A.2</t>
  </si>
  <si>
    <t>R.1.021A.3</t>
  </si>
  <si>
    <t>R.1.021A.4</t>
  </si>
  <si>
    <t>R.1.021A.6</t>
  </si>
  <si>
    <t>R.1.021A.7</t>
  </si>
  <si>
    <t>R.1.021A.8</t>
  </si>
  <si>
    <t>R.1.021A.9</t>
  </si>
  <si>
    <t>R.1.002Б.9</t>
  </si>
  <si>
    <t>R.1.002Б.10</t>
  </si>
  <si>
    <t>R.1.021A.5</t>
  </si>
  <si>
    <t>R.1.020A.1</t>
  </si>
  <si>
    <t>R.1.022A.1</t>
  </si>
  <si>
    <t>ЩКД.1</t>
  </si>
  <si>
    <t>R.2.002А.1</t>
  </si>
  <si>
    <t>R.2.003А.1</t>
  </si>
  <si>
    <t>R.2.005А.1</t>
  </si>
  <si>
    <t>R.2.005А.2</t>
  </si>
  <si>
    <t>R.2.006А.1</t>
  </si>
  <si>
    <t>R.2.009А.1</t>
  </si>
  <si>
    <t>R.2.009А.2</t>
  </si>
  <si>
    <t>R.2.010А.1</t>
  </si>
  <si>
    <t>R.2.002Г.1</t>
  </si>
  <si>
    <t>R.2.013А.1</t>
  </si>
  <si>
    <t>R.2.014А.1</t>
  </si>
  <si>
    <t>R.2.014А.2</t>
  </si>
  <si>
    <t>R.2.015А.1</t>
  </si>
  <si>
    <t>R.2.016А.1</t>
  </si>
  <si>
    <t>R.2.017А.1</t>
  </si>
  <si>
    <t>R.2.019А.1</t>
  </si>
  <si>
    <t>R.2.019А.2</t>
  </si>
  <si>
    <t>R.2.020А.1</t>
  </si>
  <si>
    <t>R.2.022Б.1</t>
  </si>
  <si>
    <t>R.2.001.1</t>
  </si>
  <si>
    <t>R.2.003Г.1</t>
  </si>
  <si>
    <t>R.2.005А.3</t>
  </si>
  <si>
    <t>R.2.009А.3</t>
  </si>
  <si>
    <t>R.2.020А.2</t>
  </si>
  <si>
    <t>R.3.001T.1</t>
  </si>
  <si>
    <t>R.3.001Б.1</t>
  </si>
  <si>
    <t>ШТК-2</t>
  </si>
  <si>
    <t>ШТК-ЛВС.3</t>
  </si>
  <si>
    <t>ШКД.3</t>
  </si>
  <si>
    <t>Э.1</t>
  </si>
  <si>
    <t>Э.2</t>
  </si>
  <si>
    <t>Э.3</t>
  </si>
  <si>
    <t>НВК.00.003Т.2</t>
  </si>
  <si>
    <t>НВК.00.003Т.1</t>
  </si>
  <si>
    <t>НВК.00.005Т.4</t>
  </si>
  <si>
    <t>НВК.00.005Т.3</t>
  </si>
  <si>
    <t>НВК.00.005Т.1</t>
  </si>
  <si>
    <t>НВК.00.005Т.2</t>
  </si>
  <si>
    <t>НВК.00.002Т.1</t>
  </si>
  <si>
    <t>НВК.00.002Тб.3</t>
  </si>
  <si>
    <t>НВК.00.002Тб.4</t>
  </si>
  <si>
    <t>НВК.00.002Тб.2</t>
  </si>
  <si>
    <t>НВК.00.002Тб.1</t>
  </si>
  <si>
    <t>НВК.00.006Т.2</t>
  </si>
  <si>
    <t>НВК.00.006Т.1</t>
  </si>
  <si>
    <t>ЖУ.1</t>
  </si>
  <si>
    <t>R.00.002Б.3</t>
  </si>
  <si>
    <t>FCP1-2</t>
  </si>
  <si>
    <t>ENC1-11</t>
  </si>
  <si>
    <t>FCP1-1</t>
  </si>
  <si>
    <t>FCP13</t>
  </si>
  <si>
    <t>DW.1</t>
  </si>
  <si>
    <t>DT.1</t>
  </si>
  <si>
    <t>OV.2.002Г.1</t>
  </si>
  <si>
    <t>OV.2.003Г.1</t>
  </si>
  <si>
    <t>OV.2.1.1</t>
  </si>
  <si>
    <t>OV.2.1.2</t>
  </si>
  <si>
    <t>OV.2.1.3</t>
  </si>
  <si>
    <t>OV.4.1.1</t>
  </si>
  <si>
    <t>OV.4.1.2</t>
  </si>
  <si>
    <t>OV.4.1.3</t>
  </si>
  <si>
    <t>OV.4.1.4</t>
  </si>
  <si>
    <t>Флоатинг. Цокольный этаж этаж Пом. №023A</t>
  </si>
  <si>
    <t>Щит охранной сигнализации Подвальный этаж этаж Пом. №007Т</t>
  </si>
  <si>
    <t>Щит освещения ЩО-2 Подвальный этаж этаж Пом. №3.001</t>
  </si>
  <si>
    <t>Щит освещения ЩО-2 Цокольный этаж этаж Пом. №001Т</t>
  </si>
  <si>
    <t>Вытяжная установка Пом №006T</t>
  </si>
  <si>
    <t>Вытяжная установка Подвальный этаж Пом №006T</t>
  </si>
  <si>
    <t>Приточная установка Пом №006Т</t>
  </si>
  <si>
    <t>Приточно-вытяжная установка Подвальный этаж Пом. №006Т</t>
  </si>
  <si>
    <t>Внутренний блок кондиционера Подвальный этаж Пом. №006Т</t>
  </si>
  <si>
    <t>Внешний блок кондиционирования Пом. Венткиосок</t>
  </si>
  <si>
    <t>Вытяжная установка Шлейф Подвальный этаж Пом. №003Т</t>
  </si>
  <si>
    <t>Приточно-вытяжная установка Подвальный этаж Пом. №003Т</t>
  </si>
  <si>
    <t>Приточно-вытяжная установка Подвальный этаж Пом. №005Т</t>
  </si>
  <si>
    <t>Внутренний блок кондиционирования Подвальный этаж Пом. №005Т</t>
  </si>
  <si>
    <t>Внутренний блок кондиционирования Подвальный этаж Пом. №002Б</t>
  </si>
  <si>
    <t>Внутренний блок кондиционирования Подвальный этаж Пом. №004Т</t>
  </si>
  <si>
    <t>Внутренний блок кондиционирования Подвальный этаж Пом. №007Т</t>
  </si>
  <si>
    <t>Приточная установка Цокольный этаж Пом №001Тб</t>
  </si>
  <si>
    <t>Приточно-вытяжная установка цокольный этаж Пом №001Тб</t>
  </si>
  <si>
    <t>Вытяжная установка Пом. №003Б</t>
  </si>
  <si>
    <t>Вытяжная установка Пом. №019Б</t>
  </si>
  <si>
    <t>Внутренний блок кондиционирования подвальный этаж Пом. №0001Тб</t>
  </si>
  <si>
    <t>Внутренний блок кондиционирования подвальный этаж Пом. №01Тб</t>
  </si>
  <si>
    <t>Внутренний блок кондиционирования цокольный этаж Пом. №001Т</t>
  </si>
  <si>
    <t>Внутренний блок кондиционирования цокольный этаж Пом. №002Т</t>
  </si>
  <si>
    <t>Внутренний блок кондиционирования цокольный этаж Пом. №013.1Б</t>
  </si>
  <si>
    <t>Внутренний блок кондиционирования цокольный этаж Пом. №005Б</t>
  </si>
  <si>
    <t>Внутренний блок кондиционирования цокольный этаж Пом. №014Б</t>
  </si>
  <si>
    <t>Внутренний блок кондиционирования цокольный этаж Пом. №012Б</t>
  </si>
  <si>
    <t>Внутренний блок кондиционирования подвальный этаж Пом. №001Т</t>
  </si>
  <si>
    <t>Внутренний блок кондиционирования первый этаж Пом. №002Б</t>
  </si>
  <si>
    <t>Внутренний блок кондиционирования первый этаж Пом. №003Б</t>
  </si>
  <si>
    <t>Внутренний блок кондиционирования цокольный этаж Пом. №0.002Т</t>
  </si>
  <si>
    <t>Внутренний блок кондиционирования Технический этаж Пом. №001Т</t>
  </si>
  <si>
    <t>Внутренний блок кондиционирования Технический этаж Пом. №002Т</t>
  </si>
  <si>
    <t>Внутренний блок кондиционирования Технический этаж Пом. №001Б</t>
  </si>
  <si>
    <t>Внутренний блок кондиционирования Технический этаж Пом. №003Т</t>
  </si>
  <si>
    <t>Внутренний блок кондиционирования Технический этаж Пом. №004Т</t>
  </si>
  <si>
    <t>Вытяжная установка Технический этаж Пом. №001Т</t>
  </si>
  <si>
    <t>Приточная установка Технический этаж Пом. №001Т</t>
  </si>
  <si>
    <t>Приточно-вытяжная установка Технический этаж Пом. №001Т</t>
  </si>
  <si>
    <t>Шкаф телекоммуникационный ШТК-0 Подвальный этаж Пом. №007Т</t>
  </si>
  <si>
    <t>Шкаф телекоммуникационный ШТК-ЛВС.00  Подвальный этаж Пом. №007Т</t>
  </si>
  <si>
    <t>Шкаф телекоммуникационный ШТК-СОТ.00  Подвальный этаж Пом. №007Т</t>
  </si>
  <si>
    <t>Щит контроля доступа ШДК-06. Пом. Венткиосок</t>
  </si>
  <si>
    <t>Щит контроля доступа ШДК-001 Подвальный этаж Пом. №004Т</t>
  </si>
  <si>
    <t>Розеточная группа Цокольный этаж Пом. №004Б Сушильная машина</t>
  </si>
  <si>
    <t>Розеточная группа Цокольный этаж Пом. №004Б Стиральная машина</t>
  </si>
  <si>
    <t>Розеточная группа Цокольный этаж Пом. №008A Душ виши</t>
  </si>
  <si>
    <t>Розеточная группа Цокольный этаж Пом. №013Б Полотенцесушитель</t>
  </si>
  <si>
    <t>Розеточная группа Цокольный этаж Пом. №013Б Сушильная машина</t>
  </si>
  <si>
    <t>Шкаф телекоммуникационный ШТК-2 Цокольный этаж Пом. №002Т</t>
  </si>
  <si>
    <t>Шкаф телекоммуникационный ШТК-СОТ.0 Цокольный этаж Пом. №002Т</t>
  </si>
  <si>
    <t>Шкаф телекоммуникационный ШТК-ЛВС.0 Цокольный этаж Пом. №002Т</t>
  </si>
  <si>
    <t>Щит контроля доступа ШДК-01 Цокольный этаж Пом. №001Т</t>
  </si>
  <si>
    <t>Розеточная группа Первый этаж Пом. №001Aб, 002Аб</t>
  </si>
  <si>
    <t>Розеточная группа Первый этаж Пом. №002A, 023А</t>
  </si>
  <si>
    <t>Розеточная группа Первый этаж Пом. №002Б Ледогенератор</t>
  </si>
  <si>
    <t>Розеточная группа Первый этаж Пом. №002Б Фартук</t>
  </si>
  <si>
    <t>Розеточная группа Первый этаж Пом. №002Б ПММ</t>
  </si>
  <si>
    <t>Розеточная группа Первый этаж Пом. №002Б Стаканомоечная машина</t>
  </si>
  <si>
    <t>Розеточная группа Первый этаж Пом. №019A Полотенцесушитель</t>
  </si>
  <si>
    <t>Розеточная группа Первый этаж Пом. №021A Кофемашина</t>
  </si>
  <si>
    <t>Розеточная группа Первый этаж Пом. №021A ПММ</t>
  </si>
  <si>
    <t>Розеточная группа Первый этаж Пом. №021A Духовой шкаф</t>
  </si>
  <si>
    <t>Розеточная группа Первый этаж Пом. №021A Микроволновая печь</t>
  </si>
  <si>
    <t>Розеточная группа Первый этаж Пом. №021A Холодильник, морозильная камера</t>
  </si>
  <si>
    <t>Розеточная группа Первый этаж Пом. №021A Вывод для вытяжки</t>
  </si>
  <si>
    <t>Розеточная группа Первый этаж Пом. №021A Вывод на варочную панель</t>
  </si>
  <si>
    <t>Розеточная группа Первый этаж Пом. №021A Подогреватель пищи и посуды</t>
  </si>
  <si>
    <t>Розеточная группа Первый этаж Пом. №002Б Холодильник</t>
  </si>
  <si>
    <t>Розеточная группа Первый этаж Пом. №020A Холодильник, морозильная камера</t>
  </si>
  <si>
    <t>Щит контроля доступа ЩКД-1 Первый этаж Пом. №002Б</t>
  </si>
  <si>
    <t>Розеточная группа Второй этаж Пом. №013А, 012А</t>
  </si>
  <si>
    <t>Шкаф телекоммуникационный ШТК-2  Тех. Этаж Пом №004T</t>
  </si>
  <si>
    <t>Щит контроля доступа ЩКД-2  Тех. Этаж Пом №001T</t>
  </si>
  <si>
    <t>Управляющий электрощит бассейна Подвальный этаж Пом. 002Тб</t>
  </si>
  <si>
    <t>Горячая купель Подвальный этаж Пом. 002Тб</t>
  </si>
  <si>
    <t>Холодная купель Подвальный этаж Пом. 002Тб</t>
  </si>
  <si>
    <t>циркуляционный насос Подвальный этаж Пом. №002Т</t>
  </si>
  <si>
    <t>Жироулавливатель Подвальный этаж Пом. №006Т</t>
  </si>
  <si>
    <t>Сололифт Подвальный этаж Пом. №002Б</t>
  </si>
  <si>
    <t>шкаф пожарной сигнализации  Подвальный этаж Пом. №007Т</t>
  </si>
  <si>
    <t>шкаф системы оповещения и управления эвакуацией Цокольный этаж Пом. №002Т</t>
  </si>
  <si>
    <t>шкаф пожарной сигнализации Цокольный этаж Пом. №002Т</t>
  </si>
  <si>
    <t>шкаф пожарной сигнализации Тех. этаж Пом. №004Т</t>
  </si>
  <si>
    <t>Обогревл ливнестоков Кровля бассейна</t>
  </si>
  <si>
    <t>Обогревл ливнестоков Второй этаж</t>
  </si>
  <si>
    <t>Обогревл ливнестоков Кровля</t>
  </si>
  <si>
    <t>ИБП (для щитов с шиной ИБП)</t>
  </si>
  <si>
    <t>cos φ на выходе ИБП</t>
  </si>
  <si>
    <t>Автономия, мин</t>
  </si>
  <si>
    <t>Напряжение АКБ, В</t>
  </si>
  <si>
    <t>Коэффициент разряда / старения АКБ</t>
  </si>
  <si>
    <t>Заряд АКБ, доля мощности</t>
  </si>
  <si>
    <t>cos φ на входе ИБП</t>
  </si>
  <si>
    <t>Ряд типоразмеров ИБП, кВА</t>
  </si>
  <si>
    <t>РЕЖИМЫ: нагрузка выбранного щита (вместе со всеми нижестоящими) по вводам в разных режимах</t>
  </si>
  <si>
    <t>Как читать: столбцы — источники (Ввод 1/2/3, ИБП, ДГУ), блоки — режимы. На «Нормальный» и «Аварийный» проверяются вводы, аппараты и кабели (берётся больший). Пожарные — отдельно, в максимум не входят. Итоги по каждому вводу щита — лист «Щит».</t>
  </si>
  <si>
    <t>Щит:</t>
  </si>
  <si>
    <t>в составе</t>
  </si>
  <si>
    <t>нижний щит</t>
  </si>
  <si>
    <t>источник</t>
  </si>
  <si>
    <t>пожарная</t>
  </si>
  <si>
    <t>Вход ИБП, кВт / квар:</t>
  </si>
  <si>
    <t>1. НОРМАЛЬНЫЙ РЕЖИМ (секционный выключатель отключён, пожарные не входят; ИБП — нагрузка на выходе, справочно)</t>
  </si>
  <si>
    <t>Итого (вводы)</t>
  </si>
  <si>
    <t>Кс (Рр / Руст)</t>
  </si>
  <si>
    <t>2. АВАРИЙНЫЙ: потерян Ввод 1 (его нагрузка и вход ИБП — на Ввод 2)</t>
  </si>
  <si>
    <t>3. АВАРИЙНЫЙ: потерян Ввод 2 (его нагрузка и вход ИБП — на Ввод 1)</t>
  </si>
  <si>
    <t>4. ПОТЕРЯНЫ ВСЕ ВВОДЫ: работают только ИБП и ДГУ</t>
  </si>
  <si>
    <t>5. ПОЖАР: пожарные нагрузки (в расчётный максимум не входят, СП 256 п. 7.1.9; Кс пожарных = 1)</t>
  </si>
  <si>
    <t>6. НОРМАЛЬНЫЙ + ПОЖАРНЫЕ (проверка вводов при пожаре)</t>
  </si>
  <si>
    <t>7. ИБП ВЫБРАННОГО ЩИТА (нагрузка шин ИБП, без пожарных)</t>
  </si>
  <si>
    <t>P на выходе, кВт</t>
  </si>
  <si>
    <t>Требуемая S по загрузке, кВА</t>
  </si>
  <si>
    <t>Типоразмер ИБП, кВА</t>
  </si>
  <si>
    <t>Загрузка принятого ИБП</t>
  </si>
  <si>
    <t>Ёмкость АКБ, А·ч</t>
  </si>
  <si>
    <t>Вход ИБП, кВт (на ввод)</t>
  </si>
  <si>
    <t>ТАБЛИЦА НАГРУЗОК ДЛЯ ПОЯСНИТЕЛЬНОЙ ЗАПИСКИ</t>
  </si>
  <si>
    <t>(название и адрес объекта)</t>
  </si>
  <si>
    <t>Щит (ВРУ):</t>
  </si>
  <si>
    <t>Весь щит</t>
  </si>
  <si>
    <t>ОСНОВНЫЕ ПОКАЗАТЕЛИ</t>
  </si>
  <si>
    <t>ΔU от ВРУ до шин щита, %</t>
  </si>
  <si>
    <t>Iкз min (1ф) / Iкз max (3ф) на шинах</t>
  </si>
  <si>
    <t>Наименование электроприёмника (вид нагрузки)</t>
  </si>
  <si>
    <t>Итого (сумма строк)</t>
  </si>
  <si>
    <t>Расчётная нагрузка щита: Рр = kп.к·Руст быт·Кс + Ко·Рр сил + Руст пост + Р отоп + 0,7·Р ВНГ (СП 256)</t>
  </si>
  <si>
    <t>Как считается: строка = вид нагрузки (столбец «Вид нагрузки» в «Линиях», пусто — по коду). Кс бытовой нагрузки — по таблице СП 256 по сумме Руст быт ВСЕГО щита, поэтому строки складываются в «Итого». Строка «Расчётная нагрузка» учитывает Ко = 0,9 и kп.к. Пожарные нагрузки не входят (СП 256 п. 7.1.9). Для записки: выберите щит и режим, скопируйте A14:J… и вставьте как значения.</t>
  </si>
  <si>
    <t>↓ добавлено v5: крупные сечения, FRLS, ВБШв, МКЭШ, слаботочка — диаметры ориентировочные, уточните по производителю</t>
  </si>
  <si>
    <t>КАБЕЛЬНЫЙ ЖУРНАЛ</t>
  </si>
  <si>
    <t>все</t>
  </si>
  <si>
    <t>все — весь объект. Для AutoCAD — кнопка «Выгрузить для AutoCAD» на листе «Щит».</t>
  </si>
  <si>
    <t>Запас длины:</t>
  </si>
  <si>
    <t>Для подсчёта (числа)</t>
  </si>
  <si>
    <t>Количество кабелей и сечение</t>
  </si>
  <si>
    <t>Потолок / пол</t>
  </si>
  <si>
    <t>1 / 2</t>
  </si>
  <si>
    <t>Ø</t>
  </si>
  <si>
    <t>СВОДКА ПО ЖУРНАЛУ (выбранный щит; запас — L1)</t>
  </si>
  <si>
    <t>Кабель (марка, сечение)</t>
  </si>
  <si>
    <t>С запасом, м</t>
  </si>
  <si>
    <t>В спецификацию, м (вверх до 10)</t>
  </si>
  <si>
    <t>Гофра</t>
  </si>
  <si>
    <t>В спецификацию, м (по бухтам)</t>
  </si>
  <si>
    <t>Лоток, м</t>
  </si>
  <si>
    <t>ГОФРА (бухты — «Спецификация», таблица «Гофра_изделия»)</t>
  </si>
  <si>
    <t>СВОДКА ПТО (кабель + потолок / пол → артикул ПТО, «Таблицы_норм» AJ:AK)</t>
  </si>
  <si>
    <t>Спецификация для щита (все — весь объект):</t>
  </si>
  <si>
    <t>По однолинейке (авто; щит — «Спецификация» D1)</t>
  </si>
  <si>
    <t>все — весь объект. Корпус и комплект щита — таблица справа; нормы крепежа и бухты гофры — там же.</t>
  </si>
  <si>
    <t>КОРПУС И КОМПЛЕКТ ЩИТА — вручную: строка на позицию; «Щит» — для какого щита; раздел 2 — прочие кабельные изделия</t>
  </si>
  <si>
    <t>Раздел (1/2)</t>
  </si>
  <si>
    <t>Тип, марка</t>
  </si>
  <si>
    <t>Завод</t>
  </si>
  <si>
    <t>НОРМЫ РАСХОДА: количество = база (м, после округления) × на 1 м, вверх до кратности</t>
  </si>
  <si>
    <t>База</t>
  </si>
  <si>
    <t>На 1 м</t>
  </si>
  <si>
    <t>Кратность</t>
  </si>
  <si>
    <t>Держатель-клипса для монтажного пистолета, д.20мм, серый</t>
  </si>
  <si>
    <t>51020M</t>
  </si>
  <si>
    <t>ПВХ Ø20</t>
  </si>
  <si>
    <t>Держатель с защелкой, д.25мм</t>
  </si>
  <si>
    <t>ПВХ Ø25</t>
  </si>
  <si>
    <t>Держатель с защелкой, д.32мм</t>
  </si>
  <si>
    <t>ПВХ Ø32</t>
  </si>
  <si>
    <t>Гвозди кассетные для гвоздезабивного пистолета 3,05х32 мм, упак. 1000 шт.</t>
  </si>
  <si>
    <t>30532stepEG</t>
  </si>
  <si>
    <t>TOUA</t>
  </si>
  <si>
    <t>ПВХ все</t>
  </si>
  <si>
    <t>Баллон газовый на 1000 гвоздей</t>
  </si>
  <si>
    <t>toua-fcg</t>
  </si>
  <si>
    <t>Лента монтажная перфорированная, 25х0,8</t>
  </si>
  <si>
    <t>CM610050</t>
  </si>
  <si>
    <t>ПНД все</t>
  </si>
  <si>
    <t>ГОФРА: изделия и бухты (количество в спецификации — вверх до целой бухты)</t>
  </si>
  <si>
    <t>Бухта, м</t>
  </si>
  <si>
    <t>Труба ПВХ гибкая гофр. д.16мм, тяжёлая с протяжкой, 100м, цвет серый</t>
  </si>
  <si>
    <t>Труба ПВХ гибкая гофр. д.20мм, тяжёлая с протяжкой, 100м, цвет серый</t>
  </si>
  <si>
    <t>Труба ПВХ гибкая гофр. д.25мм, тяжёлая с протяжкой, 50м, цвет серый</t>
  </si>
  <si>
    <t>Труба ПВХ гибкая гофр. д.32мм, тяжёлая с протяжкой, 25м, цвет серый</t>
  </si>
  <si>
    <t>Труба ПВХ гибкая гофр. д.40мм, тяжёлая с протяжкой, 15м, цвет серый</t>
  </si>
  <si>
    <t>Труба ПВХ гибкая гофр. д.50мм, тяжёлая с протяжкой, 15м, цвет серый</t>
  </si>
  <si>
    <t>Труба ПНД гибкая гофр. д.16мм, тяжёлая с протяжкой, 100м, цвет оранжевый</t>
  </si>
  <si>
    <t>Труба ПНД гибкая гофр. д.20мм, тяжёлая с протяжкой, 100м, цвет оранжевый</t>
  </si>
  <si>
    <t>Труба ПНД гибкая гофр. д.25мм, тяжёлая с протяжкой, 50м, цвет оранжевый</t>
  </si>
  <si>
    <t>Труба ПНД гибкая гофр. д.32мм, тяжёлая с протяжкой, 25м, цвет оранжевый</t>
  </si>
  <si>
    <t>Труба ПНД гибкая гофр. д.40мм, тяжёлая с протяжкой, 15м, цвет оранжевый</t>
  </si>
  <si>
    <t>Труба ПНД гибкая гофр. д.50мм, тяжёлая с протяжкой, 15м, цвет оранжевый</t>
  </si>
  <si>
    <t>Ток канала, А (модули: диммер, DALI)</t>
  </si>
  <si>
    <t>ЩИТ: данные под однолинейку — таблица под схемой и итоги по каждому вводу (то, что уходит в AutoCAD)</t>
  </si>
  <si>
    <t>ввод в щите</t>
  </si>
  <si>
    <t>ТАБЛИЦА ПОД СХЕМОЙ (строка = место на схеме, шаг 20 мм; в AutoCAD таблица поворачивается)</t>
  </si>
  <si>
    <t>Обозначение на плане</t>
  </si>
  <si>
    <t>Рн, кВт</t>
  </si>
  <si>
    <t>Iн, А</t>
  </si>
  <si>
    <t>Наименование электроприёмника</t>
  </si>
  <si>
    <t>ИТОГИ ПО ВВОДАМ (под схемой)</t>
  </si>
  <si>
    <t>L1р, кВт</t>
  </si>
  <si>
    <t>L2р, кВт</t>
  </si>
  <si>
    <t>L3р, кВт</t>
  </si>
  <si>
    <t>Ввод = строки с кодом «Ввод» этого щита. Линии ввода — по шине и секции (столбцы «Шина», «Секция» в «Линиях»); нижние щиты — по своему фидеру; шина ИБП — к вводу из «ИБП от» на листе «Щиты» (если у щита нет отдельного ввода с шины ИБП). Итоги — нормальный режим. При АВР у строки «Ввод» в таблице слева — вся нагрузка щита (один ввод тянет всё): по ней подобраны автомат и кабель ввода. Категория — у строки «Ввод» (столбец «Категория ввода» в «Ещё») или по схеме щита.</t>
  </si>
  <si>
    <t>БИРКИ: строка на каждый провод — от автомата до устройства, от устройства до клеммы, от клеммы — кабель к потребителю</t>
  </si>
  <si>
    <t>Откуда</t>
  </si>
  <si>
    <t>Куда</t>
  </si>
  <si>
    <t>Дифзащита, мА</t>
  </si>
  <si>
    <t>ПРОВЕРКА ОБЪЕКТА</t>
  </si>
  <si>
    <t>Перейти</t>
  </si>
  <si>
    <t>Изменение</t>
  </si>
  <si>
    <t>Дата</t>
  </si>
  <si>
    <t>история выдач (№ | дата | линий)</t>
  </si>
  <si>
    <t>ИЗМЕНЕНИЯ ПОСЛЕ ВЫДАЧИ</t>
  </si>
  <si>
    <t>Выдача №</t>
  </si>
  <si>
    <t>от</t>
  </si>
  <si>
    <t>Снимок — кнопка «Зафиксировать выдачу» (над «Линиями»). После неё здесь видно, что изменилось; в «Линиях» изменённые ячейки — оранжевые, новые линии — зелёные.</t>
  </si>
  <si>
    <t>Что</t>
  </si>
  <si>
    <t>Было</t>
  </si>
  <si>
    <t>Стало</t>
  </si>
  <si>
    <t>Листы схемы (для таблицы изменений)</t>
  </si>
  <si>
    <t>Изменений</t>
  </si>
  <si>
    <t>НАКЛЕЙКИ — кнопка «Наклейки (A4)» на листе «Щит» (щит в ячейке C3)</t>
  </si>
  <si>
    <t>Модулей на рейку:</t>
  </si>
  <si>
    <t>Ячейка = 1 модуль DIN, 18 мм на бумаге (ширина подгоняется под принтер при каждом нажатии кнопки). Печать: A4 альбомная, масштаб 100 %, нарезать по линиям; длинная рейка — несколькими полосами. Ширина аппарата — «Каталог», столбец L.</t>
  </si>
  <si>
    <t>Столбец</t>
  </si>
  <si>
    <t>Формула (R1C1)</t>
  </si>
  <si>
    <t>Вид</t>
  </si>
  <si>
    <t>Серое из</t>
  </si>
  <si>
    <t>=Линии[@[_авто наименование]]</t>
  </si>
  <si>
    <t>a</t>
  </si>
  <si>
    <t>=Линии[@[_авто Р]]</t>
  </si>
  <si>
    <t>=Линии[@[_авто автомат]]</t>
  </si>
  <si>
    <t>=Линии[@[_авто управление]]</t>
  </si>
  <si>
    <t>=Линии[@[_авто аппараты]]</t>
  </si>
  <si>
    <t>=Линии[@[_авто сечение]]</t>
  </si>
  <si>
    <t>=Линии[@[_авто длина по плану]]</t>
  </si>
  <si>
    <t>=Линии[@[_авто фаза]]</t>
  </si>
  <si>
    <t>=Линии[@[_авто клемма]]</t>
  </si>
  <si>
    <t>=TEXTJOIN("; ",TRUE,RC[231],RC[228],IF(LEFT(RC[230],3)="Icu",RC[230],""),IF(AND(RC[-12]&lt;&gt;"",RC[130]="не подобрано"),"сечение не подобрано: проверьте длину и автомат или впишите сечение",""))</t>
  </si>
  <si>
    <t>c</t>
  </si>
  <si>
    <t>=IF(RC[-13]="","",IF(RC[45]&lt;&gt;"",IFERROR(XLOOKUP(RC[45],Щиты[Щит],Щиты[Iр, А]),""),IF(RC[53]=1,IF(OR(N(XLOOKUP(RC[-14],Щиты[Щит],Щиты[Вводов],1))&lt;=1,LOWER(TRIM(XLOOKUP(RC[-14],Щиты[Щит],Щиты[АВР],"")&amp;""))="да"),IFERROR(XLOOKUP(RC[-14],Щиты[Щит],Щиты[Iр, А]),""),IFERROR(N(RC[56])*XLOOKUP(RC[-14],Щиты[Щит],Щиты[Кс итог])/(SQRT(3)*Uн_лин*XLOOKUP(RC[-14],Щиты[Щит],Щиты[cos φ])),"")),IF(RC[59]=1,IFERROR(RC[56]*1000/RC[58],""),IFERROR(IFS(RC[61]=1,RC[56]/((Uн_лин/SQRT(3))*RC[68]),RC[61]=3,RC[56]/(SQRT(3)*Uн_лин*RC[68])),"")))))</t>
  </si>
  <si>
    <t>=IF(RC[-14]="","",IFERROR(IF(VLOOKUP(RC[39],Потребители_обозначение,4,FALSE)=1,VLOOKUP(RC[39],Потребители_обозначение,3,FALSE)*(MAX(1,N(RC[-12]))*2-1)+RC[123]+VLOOKUP(RC[41],Этаж_обозначение,3,FALSE)+VLOOKUP(RC[41],Этаж_обозначение,4,FALSE),VLOOKUP(RC[39],Потребители_обозначение,3,FALSE)*(MAX(1,N(RC[-12]))*2-1)+RC[123]),RC[123]))</t>
  </si>
  <si>
    <t>=IF(ISNUMBER(RC[136]),RC[136]+IF(RC[57]=1,0,RC[117]),"")</t>
  </si>
  <si>
    <t>=IF(OR(RC[-16]="",RC[136]=""),"",IF(RC[126]="не подобрано",RC[136]&amp;" — сечение не подобрано",RC[137]))</t>
  </si>
  <si>
    <t>=IF(RC[46]="","",IF(RC[47]="вводной узел","узел ","")&amp;"л."&amp;(INT((RC[46]-1)/Столбцов_на_лист)+1)&amp;" / "&amp;(MOD(RC[46]-1,Столбцов_на_лист)+1))</t>
  </si>
  <si>
    <t>=IF(OR(RC[65]=0,RC[40]&lt;&gt;"",RC[48]=1),"",IF(AND(RC[77]&lt;&gt;"",RC[77]=RC[33]),ROUND(N(RC[83]),1),ROUND(N(RC[210])+N(RC[211]),1)))</t>
  </si>
  <si>
    <t>=IF(OR(RC[64]=0,N(RC[53])+N(RC[215])=0),"",ROUNDUP(Запас_БП*(N(RC[212])+N(RC[213])),0))</t>
  </si>
  <si>
    <t>=IF(OR(RC[63]=0,N(RC[52])+N(RC[214])=0),"",ROUND(MAX(N(RC[210]),N(RC[213])),1))</t>
  </si>
  <si>
    <t>=IFERROR(IF(OR(RC[-21]="",RC[45]=1,RC[51]=1,NOT(ISNUMBER(RC[121])),N(RC[101])=0),"",MAX(0,ROUNDDOWN((c_min*(Uн_лин*1000/SQRT(3))/(RC[205]*N(RC[101]))-XLOOKUP(RC[-22],Щиты[Щит],Щиты[Zпетли на шинах, Ом]))*RC[121]/(2*ρкз_Cu),0))),"")</t>
  </si>
  <si>
    <t>=Линии[@[_авто утечка]]</t>
  </si>
  <si>
    <t>xa</t>
  </si>
  <si>
    <t>=Линии[@[_авто фаз]]</t>
  </si>
  <si>
    <t>=Линии[@[_авто U]]</t>
  </si>
  <si>
    <t>=Линии[@[_авто группа Кс]]</t>
  </si>
  <si>
    <t>=Линии[@[_авто модуль]]</t>
  </si>
  <si>
    <t>=Линии[@[_авто марка]]</t>
  </si>
  <si>
    <t>=Линии[@[_авто жил]]</t>
  </si>
  <si>
    <t>=ROW()-ROW(Линии[#Headers])</t>
  </si>
  <si>
    <t>h</t>
  </si>
  <si>
    <t>=IF(RC[-53]="","",IFERROR(LEFT(RC[-53],SEARCH(".",RC[-53])-1),RC[-53]))</t>
  </si>
  <si>
    <t>=IFERROR(RIGHT(RC[-54],LEN(RC[-54])-SEARCH(".",RC[-54])),"")</t>
  </si>
  <si>
    <t>=IFERROR(LEFT(RC[-1],SEARCH(".",RC[-1])-1),RC[-1])</t>
  </si>
  <si>
    <t>=IFERROR(RIGHT(RC[-2],LEN(RC[-2])-SEARCH(".",RC[-2])),"")</t>
  </si>
  <si>
    <t>=IF(RC[-36]&lt;&gt;"",RC[-36],IF(AND(RC[-58]&lt;&gt;"",RC[-58]&lt;&gt;RC[-59],ISNUMBER(XMATCH(RC[-58],Щиты[Щит]))),RC[-58],""))</t>
  </si>
  <si>
    <t>=IF(RC[-59]="","",IF(RC[-1]&lt;&gt;"","Щит "&amp;RC[-1],LET(nm,IFERROR(XLOOKUP(RC[-6],Коды_код,Коды_имя)&amp;"",""),md,IFERROR(N(XLOOKUP(RC[-6],Коды_код,Коды_режим)),1),ex,IF(Имя_режим="по экспликации",IFERROR(XLOOKUP(RC[-4]&amp;"|"&amp;RC[-2],Экспликация[Этаж]&amp;"|"&amp;Экспликация[Помещение],Экспликация[Название])&amp;"",""),""),rm,IF(RC[-2]="","",IF(ex&lt;&gt;"",". "&amp;ex&amp;IF(Имя_пом="нет"," ("&amp;RC[-2]&amp;")"," (пом. "&amp;RC[-2]&amp;")"),IF(Имя_пом="нет"," ",", пом. ")&amp;RC[-2])),IF(nm="","",IF(md=2,nm&amp;" шлейф "&amp;RC[-4],nm&amp;rm)))))</t>
  </si>
  <si>
    <t>=IF(TRIM(RC[-59]&amp;"")="",RC[-1],RC[-59])</t>
  </si>
  <si>
    <t>=IFERROR(XMATCH(RC[-62],Щиты[Щит]),0)</t>
  </si>
  <si>
    <t>=LET(k,IFERROR(XLOOKUP(RC[-63],Щиты[Щит],Щиты[Мест под вводной узел]),""),IF(k="",Столбцов_на_лист,N(k)))</t>
  </si>
  <si>
    <t>=IF(RC[-26]="-","",IF(ISNUMBER(RC[-26]),RC[-26],LET(prev,IF(OR(RC[-12]=1,RC[-64]&lt;&gt;R[-1]C[-64]),0,N(IF(RC[-12]=1,"",R[-1]C))),nx,prev+1,IF(AND(RC[-29]&lt;&gt;"вручную",nx&lt;=RC[-1]),RC[-1]+1,nx))))</t>
  </si>
  <si>
    <t>=IF(RC[-1]="","",IF(RC[-1]&lt;=RC[-2],"вводной узел","линии"))</t>
  </si>
  <si>
    <t>=IFERROR(N(XLOOKUP(RC[-12],Коды_код,Коды_квт)),0)</t>
  </si>
  <si>
    <t>=IF(AND(RC[-66]&lt;&gt;"",RC[-13]="Ввод"),1,0)</t>
  </si>
  <si>
    <t>=IF(RC[-67]="","",IF(RC[-9]&lt;&gt;"",IFERROR(XLOOKUP(RC[-9],Щиты[Щит],Щиты[Руст, кВт]),0),IF(RC[-1]=1,IF(OR(N(XLOOKUP(RC[-68],Щиты[Щит],Щиты[Вводов],1))&lt;=1,LOWER(TRIM(XLOOKUP(RC[-68],Щиты[Щит],Щиты[АВР],"")&amp;""))="да"),IFERROR(XLOOKUP(RC[-68],Щиты[Щит],Щиты[Руст, кВт]),0),SUMIFS([_Р для вводов],[Щит],RC[-68],[Источник для режимов],RC[119])),IF(RC[-2]&gt;0,ROUND(RC[-2]*MAX(1,N(RC[-65])),3),""))))</t>
  </si>
  <si>
    <t>=IF(TRIM(RC[-65]&amp;"")="",RC[-1],RC[-65])</t>
  </si>
  <si>
    <t>=IF(RC[-69]="","",IF(RC[-11]&lt;&gt;"",IFERROR(XLOOKUP(RC[-11],Щиты[Щит],Щиты[Руст, кВт]),0),N(RC[-1])))</t>
  </si>
  <si>
    <t>=IF(RC[-70]="","",IFERROR(IF(VLOOKUP(RC[-17],Потребители_обозначение,8,FALSE)=0,"",VLOOKUP(RC[-17],Потребители_обозначение,8,FALSE)),""))</t>
  </si>
  <si>
    <t>=IF(TRIM(RC[-46]&amp;"")="",RC[-1],RC[-46])</t>
  </si>
  <si>
    <t>=IF(RC[-72]="",0,IF(AND(N(RC[-1])&gt;0,N(RC[-1])&lt;=50),1,0))</t>
  </si>
  <si>
    <t>=IF(RC[-73]="","",IF(RC[-15]&lt;&gt;"",3,IFERROR(IF(N(VLOOKUP(RC[-20],Потребители_обозначение,9,FALSE))=0,1,VLOOKUP(RC[-20],Потребители_обозначение,9,FALSE)),1)))</t>
  </si>
  <si>
    <t>=IF(RC[-74]="","",IF(TRIM(RC[-50]&amp;"")="",RC[-1],N(RC[-50])))</t>
  </si>
  <si>
    <t>=IF(RC[-75]="","",LET(bc,IFERROR(IF(VLOOKUP(RC[-22],Потребители_обозначение,6,FALSE)=0,"",VLOOKUP(RC[-22],Потребители_обозначение,6,FALSE)&amp;""),""),IF(AND(RC[106]="да",OR(bc="",bc="мс")),Марка_пож,IF(AND(bc="",RC[-17]&lt;&gt;""),"мс",bc))))</t>
  </si>
  <si>
    <t>=IF(TRIM(RC[-38]&amp;"")="",RC[-1],RC[-38])</t>
  </si>
  <si>
    <t>=IF(RC[-77]="","",LET(cc,IFERROR(N(VLOOKUP(RC[-24],Потребители_обозначение,7,FALSE)),0),IF(cc&gt;0,cc,IF(RC[-1]="","",IF(RC[-5]=1,2,IF(N(RC[-3])=3,5,3))))))</t>
  </si>
  <si>
    <t>=IF(TRIM(RC[-39]&amp;"")="",RC[-1],RC[-39])</t>
  </si>
  <si>
    <t>=IFERROR(N(VLOOKUP(RC[-26],Потребители_обозначение,10,FALSE)),0)</t>
  </si>
  <si>
    <t>=IFERROR(VLOOKUP(RC[-27],Потребители_обозначение,5,FALSE),0)</t>
  </si>
  <si>
    <t>=IF(RC[-81]="","",IF(RC[-23]&lt;&gt;"",IFERROR(XLOOKUP(RC[-23],Щиты[Щит],Щиты[cos φ]),0.95),IF(RC[-15]=1,IFERROR(XLOOKUP(RC[-82],Щиты[Щит],Щиты[cos φ]),0.95),IF(ISNUMBER(RC[-53]),RC[-53],IFERROR(IF(RC[-1]=2,IFS(RC[-7]=3,VLOOKUP(RC[-12],Справочная_двигатели,8,FALSE),RC[-7]=1,VLOOKUP(RC[-12],Справочная_двигатели,10,TRUE)),IF(AND(Методика="нормы 2026",RC[80]="Сил"),0.8,0.95)),0.95)))))</t>
  </si>
  <si>
    <t>=IF(OR(TRIM(RC[-78]&amp;"")="гр",TRIM(RC[-78]&amp;"")="=",TRIM(RC[-78]&amp;"")="^",TRIM(RC[-78]&amp;"")="↑"),1,0)</t>
  </si>
  <si>
    <t>=IF(AND(RC[-83]&lt;&gt;"",RC[-1]=0),1,0)</t>
  </si>
  <si>
    <t>=IF(RC[-84]="",0,IF(TRIM(RC[-80]&amp;"")="узо",1,0))</t>
  </si>
  <si>
    <t>=IF(RC[-85]="","",IF(RC[-13]=1,IFERROR(RC[-16]/((Uн_лин/SQRT(3))*MAX(0.5,N(RC[-4]))),0),N(RC[-72])))</t>
  </si>
  <si>
    <t>=IF(AND(R[1]C[-87]=RC[-87],R[1]C[-52]&lt;&gt;"вручную",OR(R[1]C[-86]="",R[1]C[-4]=1)),IF(R[1]C[-86]="",0,N(R[1]C[-1]))+N(R[1]C),0)</t>
  </si>
  <si>
    <t>=IF(AND(R[1]C[-88]=RC[-88],R[1]C[-53]&lt;&gt;"вручную",OR(R[1]C[-87]="",R[1]C[-5]=1)),IF(R[1]C[-87]="",0,N(R[1]C[-18]))+N(R[1]C),0)</t>
  </si>
  <si>
    <t>=IF(AND(R[1]C[-89]=RC[-89],R[1]C[-54]&lt;&gt;"вручную",OR(R[1]C[-88]="",R[1]C[-6]=1)),MAX(IF(R[1]C[-88]="",0,N(R[1]C[-14])),N(R[1]C)),0)</t>
  </si>
  <si>
    <t>=IF(AND(R[1]C[-90]=RC[-90],R[1]C[-55]&lt;&gt;"вручную",OR(R[1]C[-89]="",R[1]C[-7]=1)),MAX(IF(R[1]C[-89]="",0,N(R[1]C[15])),N(R[1]C)),0)</t>
  </si>
  <si>
    <t>=IF(AND(R[1]C[-91]=RC[-91],R[1]C[-56]&lt;&gt;"вручную",OR(R[1]C[-90]="",R[1]C[-8]=1)),LET(a_,IF(R[1]C[-90]="",0,N(R[1]C[12])),b_,N(R[1]C),IF(a_=0,b_,IF(b_=0,a_,MIN(a_,b_)))),0)</t>
  </si>
  <si>
    <t>=IF(RC[-38]="",0,LET(v,IFERROR(XLOOKUP(RC[-91],Коды_код,Коды_мА),IFERROR(XLOOKUP(RC[-38],Коды_код,Коды_мА),IFERROR(XLOOKUP(LEFT(RC[-38],2),Коды_код,Коды_мА),""))),IF(v="да",30,IF(ISNUMBER(v),v,0))))</t>
  </si>
  <si>
    <t>=IF(RC[-92]="","",IF(N(RC[-1])&gt;0,RC[-1],""))</t>
  </si>
  <si>
    <t>=LET(k,IFERROR(XLOOKUP(RC[-40],Коды_код,Коды_утечка)&amp;"",""),IF(k="","дифавтомат",k))</t>
  </si>
  <si>
    <t>=IF(RC[-11]=0,"",LET(sg,TRIM(TEXTSPLIT(RC[12]&amp;"",";")),f_,FILTER(sg,LEFT(sg,3)="УЗО",""),IFERROR(INDEX(f_,1)&amp;"","")))</t>
  </si>
  <si>
    <t>=IF(RC[-95]="",IF(OR(OR(RC[-44]=1,RC[-96]&lt;&gt;R[-1]C[-96]),RC[-61]="вручную"),"",IF(RC[-44]=1,"",R[-1]C)),IF(RC[-12]=1,IF(RC[-11]=1,IF(OR(RC[-44]=1,RC[-96]&lt;&gt;R[-1]C[-96]),"",IF(RC[-44]=1,"",R[-1]C)),IF(RC[-1]&lt;&gt;"",RC[-44],"")),IF(AND(NOT(OR(RC[-44]=1,RC[-96]&lt;&gt;R[-1]C[-96])),RC[-61]&lt;&gt;"вручную",IF(RC[-44]=1,"",R[-1]C[26])="ok"),IF(RC[-44]=1,"",R[-1]C),"")))</t>
  </si>
  <si>
    <t>=IF(RC[-2]="","",LET(tk,TEXTSPLIT(UPPER(RC[-2])," ",,TRUE),a_,FILTER(tk,ISNUMBER(--LEFT(tk,1))*((ISNUMBER(SEARCH("А",tk))+ISNUMBER(SEARCH("A",tk)))&gt;0)*NOT(ISNUMBER(SEARCH("МА",tk)))*NOT(ISNUMBER(SEARCH("MA",tk))),""),IFERROR(--SUBSTITUTE(SUBSTITUTE(INDEX(a_,1),"А",""),"A",""),"")))</t>
  </si>
  <si>
    <t>=IF(RC[-3]="","",LET(tk,TEXTSPLIT(UPPER(RC[-3])," ",,TRUE),a_,FILTER(tk,ISNUMBER(--LEFT(tk,1))*((ISNUMBER(SEARCH("МА",tk))+ISNUMBER(SEARCH("MA",tk)))&gt;0),""),IFERROR(--SUBSTITUTE(SUBSTITUTE(INDEX(a_,1),"МА",""),"MA",""),30)))</t>
  </si>
  <si>
    <t>=IF(RC[-3]="","",IFERROR(XLOOKUP(RC[-3],[_n],[_УЗО, мА]),30))</t>
  </si>
  <si>
    <t>=IF(RC[-4]="",0,IF(ISNUMBER(SEARCH("4P",IFERROR(XLOOKUP(RC[-4],[_n],[_УЗО строки])&amp;"",""))),0,1))</t>
  </si>
  <si>
    <t>=IF(AND(RC[-5]&lt;&gt;"",RC[-5]=RC[-49]),SUMIFS([_ток на 230 В],[_блок УЗО],RC[-49],[Щит],RC[-101]),"")</t>
  </si>
  <si>
    <t>=IF(AND(RC[-6]&lt;&gt;"",RC[-6]=RC[-50]),SUMIFS([_ток утечки линии, мА],[_блок УЗО],RC[-50],[Щит],RC[-102]),"")</t>
  </si>
  <si>
    <t>=IF(RC[-102]="",0,LET(v,IF(TRIM(RC[-79]&amp;"")="",RC[-10],RC[-79]),nm,IF(v&amp;""="нет",0,IF(v&amp;""="да",30,IFERROR(--v,0))),IF(OR(RC[-9]="УЗО на группу",RC[-7]&lt;&gt;""),0,nm)))</t>
  </si>
  <si>
    <t>=IF(RC[-20]=0,"",LET(a_,N(RC[-1]),b_,IF(RC[-69]="вручную",0,N(RC[-13])),IF(a_=0,b_,IF(b_=0,a_,MIN(a_,b_)))))</t>
  </si>
  <si>
    <t>=IF(RC[-104]="",0,IFERROR(--XLOOKUP(RC[-104],Коды_код,Коды_минавт),IFERROR(--XLOOKUP(RC[-51],Коды_код,Коды_минавт),IFERROR(--XLOOKUP(LEFT(RC[-51],2),Коды_код,Коды_минавт),0))))</t>
  </si>
  <si>
    <t>=IF(RC[-105]="","",IFERROR(XLOOKUP(RC[-52],Коды_код,Коды_апп)&amp;"",""))</t>
  </si>
  <si>
    <t>=IF(TRIM(RC[-99]&amp;"")="",RC[-1],RC[-99])</t>
  </si>
  <si>
    <t>=IF(TRIM(RC[-1]&amp;"")="","",IFERROR(TRIM(INDEX(TEXTSPLIT(RC[-1]&amp;";;;",";"),1)),""))</t>
  </si>
  <si>
    <t>=IF(TRIM(RC[-2]&amp;"")="","",IFERROR(TRIM(INDEX(TEXTSPLIT(RC[-2]&amp;";;;",";"),2)),""))</t>
  </si>
  <si>
    <t>=IF(TRIM(RC[-3]&amp;"")="","",IFERROR(TRIM(INDEX(TEXTSPLIT(RC[-3]&amp;";;;",";"),3)),""))</t>
  </si>
  <si>
    <t>=IF(RC[-4]="",0,IF(OR(LEFT(RC[-3],2)="T ",LEFT(RC[-3],2)="Т ",ISNUMBER(SEARCH("БП",RC[-4])),ISNUMBER(SEARCH("; T ",RC[-4])),ISNUMBER(SEARCH("; Т ",RC[-4]))),1,0))</t>
  </si>
  <si>
    <t>=IF(RC[-111]="","",LET(t,LOWER(RC[-61]&amp;""),IF(ISNUMBER(SEARCH("dim",t)),"DIM",IF(ISNUMBER(SEARCH("dali",t)),"DALI",IF(OR(ISNUMBER(SEARCH("relay",t)),ISNUMBER(SEARCH("реле",t))),"Relay",IF(ISNUMBER(SEARCH("кнопк",t)),"",IFERROR(XLOOKUP(RC[-58],Коды_код,Коды_упр)&amp;"","")))))))</t>
  </si>
  <si>
    <t>=IF(TRIM(RC[-106]&amp;"")="",RC[-1],RC[-106])</t>
  </si>
  <si>
    <t>=IF(RC[-113]="","",LET(ig,IF(N(RC[-13])&gt;0,N(RC[-13]),N(RC[-28])+IF(RC[-79]="вручную",0,N(RC[-27]))),n0,IFERROR(VLOOKUP(ig,Автомат_номиналы,2,TRUE),0),mn,MAX(RC[-9],IF(RC[-79]="вручную",0,N(RC[-24]))),MAX(n0,mn,IF(RC[-3]=1,Мин_автомат_БП,0))))</t>
  </si>
  <si>
    <t>=IF(RC[-114]="","",MAX(N(RC[-40]),IF(RC[-80]="вручную",0,N(RC[-26]))))</t>
  </si>
  <si>
    <t>=IF(RC[-115]="","",IF(N(RC[-1])&gt;=3,IF(N(RC[-12])&gt;0,"4P","3P"),IF(N(RC[-12])&gt;0,"2P","1P")))</t>
  </si>
  <si>
    <t>=LET(cc,UPPER(TRIM(IFERROR(XLOOKUP(RC[-63],Коды_код,Коды_хар)&amp;"",""))),IF(OR(cc="B",cc="В"),"B",IF(cc="D","D","С")))</t>
  </si>
  <si>
    <t>=IF(RC[-117]="","",IF(RC[-34]=0,IF(AND(AND(NOT(OR(RC[-66]=1,RC[-118]&lt;&gt;R[-1]C[-118])),RC[-83]&lt;&gt;"вручную",IF(RC[-66]=1,"",R[-1]C[4])="ok"),IF(RC[-66]=1,"",R[-1]C[6])&lt;&gt;""),"↑ "&amp;IF(RC[-66]=1,"",R[-1]C[6]),""),IF(N(RC[-4])=0,"",RC[-2]&amp;" "&amp;RC[-1]&amp;RC[-4]&amp;"А"&amp;IF(N(RC[-14])&gt;0," "&amp;RC[-14]&amp;"мА",""))))</t>
  </si>
  <si>
    <t>=IF(TRIM(RC[-113]&amp;"")="",RC[-1],RC[-113])</t>
  </si>
  <si>
    <t>=IF(RC[-36]=0,"",LET(v,TRIM(RC[-1]&amp;""),IF(v="","",IF(ISNUMBER(--v),RC[-4]&amp;" "&amp;RC[-3]&amp;(--v)&amp;"А"&amp;IF(N(RC[-16])&gt;0," "&amp;RC[-16]&amp;"мА",""),IF(ISNUMBER(SEARCH("P",UPPER(v))),v,RC[-4]&amp;" "&amp;v)))))</t>
  </si>
  <si>
    <t>=IF(RC[-1]="","",LET(t,SUBSTITUTE(SUBSTITUTE(SUBSTITUTE(UPPER(RC[-1]),"С","C"),"А","A"),"В","B"),tk,TEXTSPLIT(t," "),f,FILTER(tk,ISNUMBER(--MID(tk,2,1))*ISNUMBER(SEARCH(LEFT(tk,1)&amp;"#","B#C#D#"))*(LEN(tk)&gt;1),""),x,INDEX(f,1),IFERROR(--SUBSTITUTE(MID(x,2,9),"A",""),IFERROR(--SUBSTITUTE(INDEX(FILTER(tk,ISNUMBER(--SUBSTITUTE(tk,"A","")),""),1),"A",""),""))))</t>
  </si>
  <si>
    <t>=IF(RC[-38]=1,IF(RC[-87]="вручную","узел","ok"),IF(OR(OR(RC[-70]=1,RC[-122]&lt;&gt;R[-1]C[-122]),RC[-87]="вручную"),"",IF(RC[-70]=1,"",R[-1]C)))</t>
  </si>
  <si>
    <t>=IF(RC[-39]=1,RC[-2],IF(AND(NOT(OR(RC[-71]=1,RC[-123]&lt;&gt;R[-1]C[-123])),RC[-88]&lt;&gt;"вручную",IF(RC[-71]=1,"",R[-1]C[-1])="ok"),IF(RC[-71]=1,"",R[-1]C),""))</t>
  </si>
  <si>
    <t>=IF(RC[-40]=1,RC[-4],IF(AND(NOT(OR(RC[-72]=1,RC[-124]&lt;&gt;R[-1]C[-124])),RC[-89]&lt;&gt;"вручную",IF(RC[-72]=1,"",R[-1]C[-2])="ok"),IF(RC[-72]=1,"",R[-1]C),""))</t>
  </si>
  <si>
    <t>=IF(RC[-41]=1,RC[-21],IF(AND(NOT(OR(RC[-73]=1,RC[-125]&lt;&gt;R[-1]C[-125])),RC[-90]&lt;&gt;"вручную",IF(RC[-73]=1,"",R[-1]C[-3])="ok"),IF(RC[-73]=1,"",R[-1]C),""))</t>
  </si>
  <si>
    <t>=IF(OR(N(RC[-1])&gt;0,RC[-30]&lt;&gt;""),1,0)</t>
  </si>
  <si>
    <t>=IF(RC[-43]=1,RC[-16],IF(AND(NOT(OR(RC[-75]=1,RC[-127]&lt;&gt;R[-1]C[-127])),RC[-92]&lt;&gt;"вручную",IF(RC[-75]=1,"",R[-1]C[-5])="ok"),N(IF(RC[-75]=1,"",R[-1]C)),0))</t>
  </si>
  <si>
    <t>=IF(RC[-44]=1,IF(N(RC[-27])&gt;0,N(RC[-27]),N(RC[-42])+IF(RC[-93]="вручную",0,N(RC[-41]))),"")</t>
  </si>
  <si>
    <t>=IF(N(RC[-50])=1,1,IF(RC[-54]=1,1,IF(N(RC[-50])&gt;=4,0.92,1)))</t>
  </si>
  <si>
    <t>=IF(ISNUMBER(RC[-89]),RC[-89],К_прокл)</t>
  </si>
  <si>
    <t>=IF(N(RC[-52])=1,1,IF(RC[-56]=1,2,3))</t>
  </si>
  <si>
    <t>=IFERROR(N(VLOOKUP(RC[-55],Кабель_обозначение,3,FALSE)),1)</t>
  </si>
  <si>
    <t>=IFERROR(N(XLOOKUP(RC[-133],Щиты[Щит],Щиты[ΔU до шин, %])),0)</t>
  </si>
  <si>
    <t>=IFERROR(XLOOKUP(RC[-134],Щиты[Щит],Щиты[Zпетли на шинах, Ом]),"")</t>
  </si>
  <si>
    <t>=IFERROR(N(XLOOKUP(RC[-135],Щиты[Щит],Щиты[ΔU до шин (подбор), %])),0)</t>
  </si>
  <si>
    <t>=IFERROR(XLOOKUP(RC[-136],Щиты[Щит],Щиты[Zпетли на шинах (подбор), Ом]),"")</t>
  </si>
  <si>
    <t>=IF(COUNT(RC[-90],RC[-89])=0,"",ROUNDUP(SUM(RC[-90],RC[-89]),0))</t>
  </si>
  <si>
    <t>=IF(TRIM(RC[-128]&amp;"")="",RC[-1],RC[-128])</t>
  </si>
  <si>
    <t>=IF(RC[-64]=1,2,IF(RC[-64]=3,1,""))</t>
  </si>
  <si>
    <t>=IFERROR(ROUND(SIN(ACOS(RC[-58])),2),"")</t>
  </si>
  <si>
    <t>=IF(RC[-140]="","",IF(RC[-68]=1,dU_LED,IF(IFERROR(XLOOKUP(RC[-87],Коды_код,Коды_уго),"")="Светильник",3,4)+IF(Методика="нормы 2026",MIN(0.5,MAX(0,N(RC[-126])-100)*0.005),0)))</t>
  </si>
  <si>
    <t>=IF(OR(RC[-141]="",RC[-65]="",RC[-10]&lt;&gt;1),"",LET(sz,Iдоп_S,t_,CHOOSE(RC[-11],Iдоп_1ж,Iдоп_2ж,Iдоп_3ж)*RC[-13]*RC[-12],dcx,RC[-69]=1,inn,IF(dcx,N(RC[-128]),N(RC[-19])),smin,MAX(1.5,RC[-62]),L_,N(RC[-127]),rho,XLOOKUP(sz,INDEX(Кабель_сопротивление,0,1),INDEX(Кабель_сопротивление,0,3),""),xx,XLOOKUP(sz,INDEX(Кабель_сопротивление,0,1),INDEX(Кабель_сопротивление,0,2),""),du_,IF(dcx,IFERROR(2*rho*L_/sz*N(RC[-128])/N(RC[-70])*100,999),IFERROR(N(RC[-3])*(rho*L_/sz*N(RC[-60])+xx*L_*N(RC[-2])/1000)*N(RC[-128])/((Uн_лин/SQRT(3))*1000)*100,999)),kz,IF(OR(dcx,RC[-16]=1,NOT(ISNUMBER(RC[-6])),L_=0,inn=0),1,IFERROR(--(c_min*(Uн_лин*1000/SQRT(3))/(RC[-6]+2*ρкз_Cu*L_/sz)&gt;=RC[85]*inn),0)),ok,IFERROR((sz&gt;=smin)*(t_&gt;=inn)*IF(L_&gt;0,(du_+IF(dcx,0,RC[-7])&lt;=RC[-1]+0.00001),1)*kz,0),r_,FILTER(sz,ok,"не подобрано"),INDEX(r_,1)))</t>
  </si>
  <si>
    <t>=IF(RC[-142]="","",IF(TRIM(RC[-134]&amp;"")="",RC[-1],RC[-134]))</t>
  </si>
  <si>
    <t>=IF(OR(RC[-143]="",RC[-67]="",RC[-12]&lt;&gt;1),"",LET(sz,Iдоп_S,t_,CHOOSE(RC[-13],Iдоп_1ж,Iдоп_2ж,Iдоп_3ж)*RC[-15]*RC[-14],ok,IFERROR((sz&gt;=MAX(1.5,RC[-64]))*(t_&gt;=N(RC[-21])),0),r_,FILTER(sz,ok,""),INDEX(r_,1)))</t>
  </si>
  <si>
    <t>=IFERROR(ROUNDUP(N(RC[-6])*(XLOOKUP(RC[-1],INDEX(Кабель_сопротивление,0,1),INDEX(Кабель_сопротивление,0,3))*N(RC[-130])/RC[-1]*N(RC[-63])+XLOOKUP(RC[-1],INDEX(Кабель_сопротивление,0,1),INDEX(Кабель_сопротивление,0,2))*N(RC[-130])*N(RC[-5])/1000)*N(RC[-131])/((Uн_лин/SQRT(3))*1000)*100,2),"")</t>
  </si>
  <si>
    <t>=IFERROR(2*ρкз_Cu*N(RC[-131])/RC[-2],"")</t>
  </si>
  <si>
    <t>=IFERROR(VLOOKUP(RC[-4],Кабель_сопротивление,3,FALSE),"")</t>
  </si>
  <si>
    <t>=IFERROR(VLOOKUP(RC[-5],Кабель_сопротивление,2,FALSE),"")</t>
  </si>
  <si>
    <t>=IF(RC[-106]&lt;&gt;"",RC[-106],IF(OR(RC[-11]="",RC[-104]=""),"",IF(RC[-104]=1,MAX(0,RC[-134]-ROUNDUP(N(RC[-101]),0)-4),ROUNDUP(N(RC[-102]),0))))</t>
  </si>
  <si>
    <t>=IF(RC[-106]&lt;&gt;"",RC[-106],IF(OR(RC[-12]="",RC[-105]=""),"",IF(RC[-105]=2,MAX(0,RC[-135]-ROUNDUP(N(RC[-103]),0)-4),ROUNDUP(N(RC[-102]),0))))</t>
  </si>
  <si>
    <t>=IFERROR(IF(RC[-78]=1,2*RC[-4]*RC[-136]/RC[-8]*RC[-137],RC[-12]*(RC[-4]*RC[-136]/RC[-8]*RC[-69]+RC[-3]*RC[-136]*RC[-11]/1000)*RC[-137]),"")</t>
  </si>
  <si>
    <t>=IFERROR(ROUNDUP(RC[-1]/IF(RC[-79]=1,RC[-80],(Uн_лин/SQRT(3))*1000)*100,2),"")</t>
  </si>
  <si>
    <t>=IFERROR(VLOOKUP(RC[-76],Кабель_обозначение,2,FALSE),"")</t>
  </si>
  <si>
    <t>=IFERROR(IF(RC[-22]=1,IF(ISNUMBER(RC[-11]),RC[-1]&amp;" ("&amp;RC[-75]&amp;"х"&amp;RC[-11]&amp;")",RC[-1]),RC[-1]),"")</t>
  </si>
  <si>
    <t>=IF(OR(RC[-154]="",RC[-2]="",AND(RC[-86]&lt;&gt;"",NOT(ISNUMBER(RC[-86])))),"",IF(N(RC[-12])=0,RC[-2],RC[-1]&amp;IF(N(RC[-140])=0,"",CHAR(10)&amp;"L="&amp;RC[-140]&amp;"-"&amp;RC[-3]&amp;"%")))</t>
  </si>
  <si>
    <t>=IFERROR(2*ρкз_Cu*RC[-141]/RC[-13],"")</t>
  </si>
  <si>
    <t>=IFERROR(0.0175*N(RC[-142])/RC[-14],"")</t>
  </si>
  <si>
    <t>=IFERROR(IF(OR(RC[-157]="",RC[-85]=1,NOT(ISNUMBER(RC[-15])),N(RC[-143])=0),"",XLOOKUP(RC[-158],Щиты[Щит],Щиты[Zпетли на шинах, Ом])+RC[-2]),"")</t>
  </si>
  <si>
    <t>=IF(ISNUMBER(RC[-1]),c_min*(Uн_лин*1000/SQRT(3))/RC[-1],"")</t>
  </si>
  <si>
    <t>=IFERROR(IF(OR(RC[-159]="",NOT(ISNUMBER(RC[-17]))),"",1.05*(Uн_лин*1000/SQRT(3))/(XLOOKUP(RC[-160],Щиты[Щит],Щиты[Zmax на шинах, Ом])+RC[-3])/1000),"")</t>
  </si>
  <si>
    <t>=IF(RC[-160]="","",IF(ISNUMBER(RC[-133]),"Сил",IF(IFERROR(XLOOKUP(RC[-107],Коды_код,Коды_группа)&amp;"","")="","Быт",XLOOKUP(RC[-107],Коды_код,Коды_группа)&amp;"")))</t>
  </si>
  <si>
    <t>=IF(RC[-161]="","",IF(RC[-103]&lt;&gt;"","Щит",IF(TRIM(RC[-135]&amp;"")="",RC[-1],RC[-135])))</t>
  </si>
  <si>
    <t>=IF(RC[-1]="Щит","щит",IF(RC[-1]="","",IF(RC[-1]="Быт",IFERROR(XLOOKUP(RC[-163],Щиты[Щит],Щиты[Кс быт]),1),IF(RC[-1]="Сил",IF(ISNUMBER(RC[-135]),RC[-135],IF(Методика="нормы 2026",IFERROR(XLOOKUP(RC[-163],Щиты[Щит],Щиты[Кс силовых (табл. 7.5)]),1),1)),IF(OR(RC[-1]="Пост",RC[-1]="Отоп"),1,IF(RC[-1]="ВНГ",0.7,0))))))</t>
  </si>
  <si>
    <t>=IF(RC[-2]="","",IF(AND(RC[-97]=1,TRIM(RC[-134]&amp;"")=""),IF(COUNTIFS([Щит],RC[-164],[Секция (1/2/3)],"&gt;=2")&gt;0,MIN(3,MAX(1,IFERROR(--RC[-109],1))),1),IFERROR(MIN(3,MAX(1,INT(--RC[-134]))),1)))</t>
  </si>
  <si>
    <t>=IF(OR(RC[-3]="",RC[-3]="Нет",RC[-3]="Щит"),0,N(RC[-95]))</t>
  </si>
  <si>
    <t>=IF(RC[-4]="Быт",N(RC[-96]),0)</t>
  </si>
  <si>
    <t>=IF(RC[-5]="Сил",N(RC[-97])*N(RC[-4]),0)</t>
  </si>
  <si>
    <t>=IF(RC[-6]="Пост",N(RC[-98]),0)</t>
  </si>
  <si>
    <t>=IF(RC[-7]="Отоп",N(RC[-99]),0)</t>
  </si>
  <si>
    <t>=IF(RC[-8]="ВНГ",N(RC[-100])*0.7,0)</t>
  </si>
  <si>
    <t>=IF(OR(RC[-170]="",RC[-9]="Нет"),0,N(RC[-101]))</t>
  </si>
  <si>
    <t>=IF(OR(RC[-171]="",RC[-10]="Щит",RC[-10]="Нет"),0,N(RC[-102]))</t>
  </si>
  <si>
    <t>=IF(OR(RC[-172]="",RC[-11]="Щит",RC[-11]="Нет"),0,N(RC[-103])*N(RC[-91]))</t>
  </si>
  <si>
    <t>=IF(RC[-90]=1,IF(AND(RC[-89]=1,RC[-74]=1),0,IF(AND(RC[-78]&lt;&gt;"",RC[-78]=RC[-122],RC[-74]=1),SUMIFS([_Р линии, кВт],[_блок УЗО],RC[-122],[Щит],RC[-174]),N(RC[-104])+IF(RC[-139]="вручную",0,N(RC[-86])))),0)</t>
  </si>
  <si>
    <t>=IF(RC[-174]="","",IF(ISFORMULA(RC[-164]),"",LET(v,UPPER(SUBSTITUTE(TRIM(RC[-164]&amp;"")," ","")),IF(v="","",IF(OR(v="1,2,3",v="L1,L2,L3",v="123",v="3Ф"),"L1,L2,L3",IF(OR(v="1",v="2",v="3"),"L"&amp;v,IF(OR(v="L1",v="L2",v="L3"),v,"")))))))</t>
  </si>
  <si>
    <t>=IF(RC[-175]="","",IF(RC[-92]=0,IF(RC[-124]=1,"",R[-1]C[2]),IF(AND(RC[-91]=1,RC[-76]=1,RC[-80]&lt;&gt;""),IFERROR(XLOOKUP(RC[-80],[_n],[_фаза итог]),"L1"),IF(OR(N(RC[-61])&gt;=3,N(RC[-101])&gt;=3),"L1,L2,L3",IFERROR(TEXTBEFORE(TEXTAFTER(XLOOKUP(RC[-176],Щиты[Щит],Щиты[_фазы авто]),";"&amp;RC[-124]&amp;":"),";"),"L1")))))</t>
  </si>
  <si>
    <t>=IF(RC[-176]="","",LET(v,UPPER(SUBSTITUTE(TRIM(RC[-166]&amp;"")," ","")),IF(v="",RC[-1],IF(OR(v="1,2,3",v="L1,L2,L3",v="123",v="3Ф"),"L1,L2,L3",IF(OR(v="1",v="2",v="3"),"L"&amp;v,IF(OR(v="L1",v="L2",v="L3"),v,IF(v="УПР","",v)))))))</t>
  </si>
  <si>
    <t>=IF(RC[-94]=1,RC[-1],IF(AND(NOT(OR(RC[-126]=1,RC[-178]&lt;&gt;R[-1]C[-178])),RC[-143]&lt;&gt;"вручную",IF(RC[-126]=1,"",R[-1]C[-56])="ok"),IF(RC[-126]=1,"",R[-1]C),""))</t>
  </si>
  <si>
    <t>=IFERROR(IF(RC[-98]=2,IFS(RC[-104]=3,VLOOKUP(RC[-109],Справочная_двигатели,3,FALSE),RC[-104]=1,VLOOKUP(RC[-109],Справочная_двигатели,5,TRUE)),0),0)</t>
  </si>
  <si>
    <t>=IFERROR(IF(RC[-99]=3,VLOOKUP(RC[-110],Справочная_ЛЭД,2,TRUE),0),0)</t>
  </si>
  <si>
    <t>=IF(RC[-180]="","",IF(RC[-2]=0,RC[-1],RC[-2]))</t>
  </si>
  <si>
    <t>=IF(RC[-181]="","",IF(TRIM(RC[-149]&amp;"")&lt;&gt;"",IF(LOWER(TRIM(RC[-149]&amp;""))="да","да","нет"),IF(IFERROR(XLOOKUP(RC[-128],Коды_код,Коды_пожарная),"")="да","да","нет")))</t>
  </si>
  <si>
    <t>=IF(RC[-152]&lt;&gt;"",RC[-152],IF(RC[-99]=1,"",IF(RC[19]="","",IF(RC[-131]=1,"",R[-1]C))))</t>
  </si>
  <si>
    <t>=IF(RC[-183]="","",IF(RC[-1]="","основная",RC[-1]))</t>
  </si>
  <si>
    <t>=IF(AND(RC[-118]=1,TRIM(RC[-155]&amp;"")=""),IF(COUNTIFS([Щит],RC[-185],[Секция (1/2/3)],"&gt;=2")&gt;0,MIN(3,MAX(1,IFERROR(--RC[-130],1))),1),IFERROR(MIN(3,MAX(1,INT(--RC[-155]))),1))</t>
  </si>
  <si>
    <t>=IF(RC[-185]="","",LET(t,IFERROR(XLOOKUP(1,(Шины[Шина]=RC[-2])*(((Шины[Щит]=RC[-186])+(Шины[Щит]=""))&gt;0),Шины[Тип]),"")&amp;"",IF(t&lt;&gt;"",t,IF(ISNUMBER(SEARCH("ИБП",RC[-2])),"ИБП",IF(ISNUMBER(SEARCH("ДГУ",RC[-2])),"ДГУ","Ввод "&amp;RC[-1])))))</t>
  </si>
  <si>
    <t>=IF(RC[-186]="","",IF(OR(RC[-1]="ИБП",RC[-1]="ДГУ"),RC[-1],IF(LEFT(RC[-1],5)="Ввод ",RC[-1],"Ввод "&amp;RC[-2])))</t>
  </si>
  <si>
    <t>=IF(RC[-121]=0,"",IF(TRIM(RC[-156]&amp;"")&lt;&gt;"",TRIM(RC[-156]&amp;""),IF(OR(RC[-2]="ИБП",RC[-2]="ДГУ"),"I особая",XLOOKUP(RC[-188],Щиты[Щит],Щиты[Категория шины «Ввод»],"III"))))</t>
  </si>
  <si>
    <t>=IF(RC[-189]="","",XLOOKUP(RC[-189],Щиты[Щит],Щиты[Путь],""))</t>
  </si>
  <si>
    <t>=IF(RC[-189]="","",IF(RC[-156]&lt;&gt;"",RC[-156],IF(IFERROR(XLOOKUP(RC[-136],Коды_код,Коды_вид)&amp;"","")="","Прочее",XLOOKUP(RC[-136],Коды_код,Коды_вид)&amp;"")))</t>
  </si>
  <si>
    <t>=IF(RC[-127]="","",INT((RC[-127]-1)/Столбцов_на_лист)+1)</t>
  </si>
  <si>
    <t>=IF(RC[-191]="","",SUBSTITUTE(RC[-37],CHAR(10)," "))</t>
  </si>
  <si>
    <t>=IF(RC[-192]="","",IFERROR(--RC[-123],""))</t>
  </si>
  <si>
    <t>=IF(RC[-193]="","",IFERROR(ROUNDUP(RC[-180],2),""))</t>
  </si>
  <si>
    <t>=IF(RC[-194]="","",IFERROR(--RC[-120],1))</t>
  </si>
  <si>
    <t>=IF(OR(RC[-159]="+",AND(RC[-195]&lt;&gt;"",RC[-195]=IF(RC[-144]=1,"",R[-1]C[-195]))),1,0)</t>
  </si>
  <si>
    <t>=IF(OR(RC[-133]="",RC[-162]="вручную",AND(RC[-132]="вводной узел",RC[-162]&lt;&gt;"рисовать")),0,1)</t>
  </si>
  <si>
    <t>=IF(RC[-134]="","",IF(AND(RC[-114]=1,RC[-1]=1),COUNTIFS(R3C[-198]:RC[-198],RC[-198],R3C[-114]:RC[-114],1,R3C[-1]:RC[-1],1),IF(OR(OR(RC[-146]=1,RC[-198]&lt;&gt;R[-1]C[-198]),RC[-163]="вручную",RC[-1]=0),"",IF(RC[-146]=1,"",R[-1]C[1]))))</t>
  </si>
  <si>
    <t>=IF(RC[-135]="",IF(OR(RC[-147]=1,RC[-199]&lt;&gt;R[-1]C[-199]),"",IF(RC[-147]=1,"",R[-1]C)),RC[-1])</t>
  </si>
  <si>
    <t>=IF(RC[-199]="","",IFERROR(LOOKUP(INDEX(CHOOSE(RC[-69],Iдоп_1ж,Iдоп_2ж,Iдоп_3ж),MATCH(RC[-57],Iдоп_S,0))*RC[-71]*RC[-70],{6,10,16,20,25,32,40,50,63,80,100,125,160,200,250,315,400,500,630}),""))</t>
  </si>
  <si>
    <t>=IF(AND(RC[-117]=1,RC[-4]=1,RC[-3]&lt;&gt;""),IF(N(RC[-97])&gt;0,"QFD","QF")&amp;RC[-3],"")</t>
  </si>
  <si>
    <t>=IF(RC[-1]&lt;&gt;"",RC[-1],IF(OR(OR(RC[-150]=1,RC[-202]&lt;&gt;R[-1]C[-202]),RC[-167]="вручную"),"",IF(RC[-150]=1,"",R[-1]C)))</t>
  </si>
  <si>
    <t>=IF(RC[-2]&lt;&gt;"",TEXTJOIN(" → ",TRUE,RC[-95],RC[-94],RC[-93]),IF(RC[-1]="","",IF(RC[-151]=1,"",R[-1]C)))</t>
  </si>
  <si>
    <t>=IF(RC[-1]="",0,IF(OR(LEFT(RC[-1],2)="T ",LEFT(RC[-1],2)="Т ",ISNUMBER(SEARCH("→ T ",RC[-1])),ISNUMBER(SEARCH("→ Т ",RC[-1])),ISNUMBER(SEARCH("БП",RC[-1]))),1,0))</t>
  </si>
  <si>
    <t>=IF(OR(RC[-204]="",RC[-92]=""),"",IFERROR(XLOOKUP(RC[-92],Модули_умолч[Управление],Модули_умолч[Модель])&amp;"",""))</t>
  </si>
  <si>
    <t>=IF(RC[-93]="",1,IFERROR(MAX(0,N(XLOOKUP(RC[-93],Модули_умолч[Управление],Модули_умолч[Каналов на линию]))),1))</t>
  </si>
  <si>
    <t>=IF(ISFORMULA(RC[-171]),"",TRIM(RC[-171]&amp;""))</t>
  </si>
  <si>
    <t>=IF(RC[-1]="-","",IF(RC[-1]&lt;&gt;"","M",IF(AND(NOT(OR(RC[-156]=1,RC[-208]&lt;&gt;R[-1]C[-208])),IF(RC[-156]=1,"",R[-1]C)="M"),"M",IF(RC[-3]&lt;&gt;"","A",IF(AND(NOT(OR(RC[-156]=1,RC[-208]&lt;&gt;R[-1]C[-208])),IF(RC[-156]=1,"",R[-1]C)="A",RC[-207]="",OR(RC[-171]="р",RC[-171]="+",RC[-171]="=")),"A","")))))</t>
  </si>
  <si>
    <t>=IF(RC[-1]="A",IF(RC[-4]&lt;&gt;"",RC[-4],IF(RC[-157]=1,"",R[-1]C)),"")</t>
  </si>
  <si>
    <t>=IF(RC[-1]="",0,IFERROR(N(VLOOKUP(RC[-1],Модули_спр,3,FALSE)),0))</t>
  </si>
  <si>
    <t>=IF(RC[-3]="A",IF(OR(OR(RC[-159]=1,RC[-211]&lt;&gt;R[-1]C[-211]),IF(RC[-159]=1,"",R[-1]C[-3])&lt;&gt;"A",IF(RC[-159]=1,"",R[-1]C[-2])&lt;&gt;RC[-2],AND(RC[-1]&gt;0,RC[-5]&gt;0,N(IF(RC[-159]=1,"",R[-1]C[7]))+RC[-5]&gt;RC[-1])),RC[-2],""),IF(AND(RC[-3]="",NOT(OR(RC[-159]=1,RC[-211]&lt;&gt;R[-1]C[-211])),IF(RC[-159]=1,"",R[-1]C[-3])="A",RC[-4]=""),"-",""))</t>
  </si>
  <si>
    <t>=IF(RC[-5]&lt;&gt;"",RC[-5],RC[-1])</t>
  </si>
  <si>
    <t>=IF(OR(RC[-1]="",RC[-1]="-"),"",IFERROR(VLOOKUP(RC[-1],Модули_спр,2,FALSE),"R"))</t>
  </si>
  <si>
    <t>=IF(RC[-1]="","",RC[-1]&amp;"."&amp;COUNTIFS(R3C[-214]:RC[-214],RC[-214],R3C[-1]:RC[-1],RC[-1]))</t>
  </si>
  <si>
    <t>=IF(RC[-3]="-","",IF(RC[-1]&lt;&gt;"",RC[-1],IF(OR(RC[-163]=1,RC[-215]&lt;&gt;R[-1]C[-215]),"",IF(RC[-163]=1,"",R[-1]C))))</t>
  </si>
  <si>
    <t>=IF(RC[-1]="","",IF(AND(RC[-4]&lt;&gt;"",RC[-4]&lt;&gt;"-"),RC[-4],IF(RC[-164]=1,"",R[-1]C)))</t>
  </si>
  <si>
    <t>=IF(RC[-180]="=",IF(RC[-165]=1,"",R[-1]C[1]),IF(ISNUMBER(RC[-180]),RC[-180],IF(RC[-2]="","",IF(OR(RC[-216]&lt;&gt;"",RC[-180]="+",RC[-180]="р"),IF(OR(RC[-3]&lt;&gt;"",IF(RC[-165]=1,"",R[-1]C[1])=""),1,IF(RC[-165]=1,"",R[-1]C[1])+IF(RC[-11]=0,0,1)),""))))</t>
  </si>
  <si>
    <t>=IF(RC[-1]&lt;&gt;"",MAX(RC[-1],RC[-1]+RC[-12]-1),IF(OR(OR(RC[-166]=1,RC[-218]&lt;&gt;R[-1]C[-218]),RC[-6]="-",RC[-4]&lt;&gt;""),"",IF(RC[-166]=1,"",R[-1]C)))</t>
  </si>
  <si>
    <t>=IF(OR(RC[-182]="б/к",RC[-184]="вручную"),0,IF(OR(RC[-64]&lt;&gt;"",RC[-182]="+",RC[-182]="="),1,0))</t>
  </si>
  <si>
    <t>=IF(RC[-1]=1,"XT"&amp;COUNTIFS(R3C[-220]:RC[-220],RC[-220],R3C[-1]:RC[-1],1),"")</t>
  </si>
  <si>
    <t>=LET(v,TRIM(RC[-209]&amp;""),IF(v="нет","",IF(v="",RC[-1],v)))</t>
  </si>
  <si>
    <t>=IF(OR(RC[-221]&lt;&gt;"",RC[-5]&lt;&gt;"",RC[-3]=1),RC[-20],"")</t>
  </si>
  <si>
    <t>=IF(OR(RC[-6]&lt;&gt;"",AND(RC[-11]&lt;&gt;"",RC[-11]&lt;&gt;"-")),RC[-8],"")</t>
  </si>
  <si>
    <t>=IF(RC[-223]="","",IF(AND(RC[-140]=1,RC[-104]&lt;&gt;"",RC[-103]=""),"номинал автомата не распознан",IF(RC[-101]="",IF(RC[-141]=1,"«гр»: нет автомата выше",""),IF(AND(RC[-140]=1,N(RC[-96])&gt;N(RC[-101])),"ПЕРЕГРУЗ",IF(AND(N(RC[-97])=0,ISNUMBER(RC[-24]),N(RC[-24])&lt;N(RC[-101])),"КАБЕЛЬ НЕ ЗАЩИЩЁН","ok")))))</t>
  </si>
  <si>
    <t>=IF(OR(RC[-8]="",RC[-10]=""),"",IF(RC[-8]+MAX(0,RC[-19]-1)&gt;IFERROR(VLOOKUP(RC[-9],Модули_спр,3,FALSE),99),"ЛИШНИЙ КАНАЛ",IF(AND(RC[-188]&lt;&gt;"=",RC[-19]&gt;0,COUNTIFS([_модуль гр.],RC[-10],[Канал (итог)],RC[-8],[Канал],"&lt;&gt;=",[Щит],RC[-225])&gt;1),"ДУБЛЬ КАНАЛА","")))</t>
  </si>
  <si>
    <t>=IFERROR(IF(ISNUMBER(RC[-67]),RC[-67]/N(RC[-103]),""),"")</t>
  </si>
  <si>
    <t>=IF(OR(ISNUMBER(SEARCH(" B"," "&amp;RC[-103])),ISNUMBER(SEARCH(" В"," "&amp;RC[-103]))),5,IF(ISNUMBER(SEARCH(" D"," "&amp;RC[-103])),20,10))</t>
  </si>
  <si>
    <t>=IF(NOT(ISNUMBER(RC[-2])),"",IF(RC[-2]&gt;=RC[-1],"ok",IF(N(RC[-102])=1,"ok (дифзащита "&amp;IF(RC[-132]&lt;&gt;"",RC[-129],RC[-103])&amp;" мА)","мало: Iкз &lt; "&amp;RC[-1]&amp;"·In")))</t>
  </si>
  <si>
    <t>=IF(OR(RC[-228]="",RC[-170]&lt;&gt;"",RC[-162]=1),0,0.4*N(RC[-143])+IF(RC[-156]=1,0,0.01*N(RC[-214])))</t>
  </si>
  <si>
    <t>=IF(AND(R[1]C[-230]=RC[-230],R[1]C[-195]&lt;&gt;"вручную",OR(R[1]C[-229]="",R[1]C[-147]=1)),IF(R[1]C[-229]="",0,N(R[1]C[-1]))+N(R[1]C),0)</t>
  </si>
  <si>
    <t>=IF(RC[-158]=1,N(RC[-159])+N(RC[-80]),0)</t>
  </si>
  <si>
    <t>=IF(RC[-159]=1,(N(RC[-160])+N(RC[-81]))*N(RC[-218]),0)</t>
  </si>
  <si>
    <t>=IF(AND(R[1]C[-233]=RC[-233],R[1]C[-198]&lt;&gt;"вручную",OR(R[1]C[-232]="",R[1]C[-150]=1)),IF(R[1]C[-232]="",0,N(R[1]C[-1]))+N(R[1]C),0)</t>
  </si>
  <si>
    <t>=IF(AND(R[1]C[-234]=RC[-234],R[1]C[-199]&lt;&gt;"вручную",OR(R[1]C[-233]="",R[1]C[-151]=1)),MAX(IF(R[1]C[-233]="",0,N(R[1]C[-3])),N(R[1]C)),0)</t>
  </si>
  <si>
    <t>=IF(AND(R[1]C[-235]=RC[-235],R[1]C[-200]&lt;&gt;"вручную",OR(R[1]C[-234]="",R[1]C[-152]=1)),IF(R[1]C[-234]="",0,N(R[1]C[-162]))+N(R[1]C),0)</t>
  </si>
  <si>
    <t>=IF(RC[-152]=0,"",IFERROR(TRIM(MID(RC[-129],SEARCH("БП",RC[-129]),40)),""))</t>
  </si>
  <si>
    <t>=IF(RC[-1]="","",LET(tk,TEXTSPLIT(SUBSTITUTE(SUBSTITUTE(RC[-1],";"," "),"→"," ")," ",,TRUE),w_,FILTER(tk,ISNUMBER(--LEFT(tk,1))*((ISNUMBER(SEARCH("W",tk))+ISNUMBER(SEARCH("Вт",tk)))&gt;0),""),IFERROR(--SUBSTITUTE(SUBSTITUTE(UPPER(INDEX(w_,1)),"W",""),"ВТ",""),"")))</t>
  </si>
  <si>
    <t>=IF(RC[-2]="","",LET(tk,TEXTSPLIT(SUBSTITUTE(SUBSTITUTE(RC[-2],";"," "),"→"," ")," ",,TRUE),v_,FILTER(tk,ISNUMBER(--LEFT(tk,1))*((ISNUMBER(SEARCH("V",tk))+(RIGHT(UPPER(tk))="В"))&gt;0),""),IFERROR(--SUBSTITUTE(SUBSTITUTE(UPPER(INDEX(v_,1)),"V",""),"В",""),"")))</t>
  </si>
  <si>
    <t>=IF(OR(RC[-166]=0,RC[-23]="",RC[-22]=""),"",IFERROR(N(XLOOKUP(RC[-23],Каталог!R4C3:R500C3,Каталог!R4C17:R500C17)),""))</t>
  </si>
  <si>
    <t>=IF(N(RC[-1])=0,"",SUMIFS([Iр, А],[Щит],RC[-240],[_модуль гр.],RC[-25],[Канал (итог)],RC[-23]))</t>
  </si>
  <si>
    <t>=IF(AND(RC[-240]="",RC[-19]=""),"",TEXTJOIN("; ",TRUE,IF(AND(RC[-240]&lt;&gt;"",RC[-64]=""),"нет фазы",""),IF(AND(RC[-240]&lt;&gt;"",N(RC[-48])=0,RC[-79]&lt;&gt;"Нет"),"нет мощности",""),IF(AND(RC[-20]&lt;&gt;"",COUNTIFS([Щит],RC[-241],[Клемма (итог)],RC[-20])&gt;1),"дубль клеммы "&amp;RC[-20],""),IF(AND(RC[-17]&lt;&gt;"",RC[-17]&lt;&gt;"ok"),RC[-17],""),IF(RC[-16]&lt;&gt;"",RC[-16],""),IF(AND(N(RC[-162])&gt;=4,N(RC[-166])=1),RC[-162]&amp;" жил на 1 фазе",""),IF(AND(RC[-187]="R",RC[-157]=1,IF(RC[-145]&lt;&gt;"",N(RC[-142])&gt;30,OR(N(RC[-137])=0,N(RC[-137])&gt;30))),"розетка без дифзащиты до 30 мА",""),IF(AND(RC[-157]=1,N(RC[-137])&gt;0,ISNUMBER(RC[-222])),IF(RC[-222]&gt;N(RC[-137])/3,"ток утечки "&amp;FIXED(RC[-222],1)&amp;" мА &gt; 1/3 уставки ("&amp;RC[-137]&amp;" мА)",""),""),IF(AND(RC[-156]=1,RC[-145]=""),"«узо»: нет строки с УЗО выше (УЗО 2P 40А 30мА в «Аппаратах»)",""),IF(AND(RC[-145]&lt;&gt;"",RC[-145]=RC[-189]),IF(RC[-144]="","впишите номинал УЗО (УЗО 2P 40А 30мА)",IF(N(RC[-144])&lt;N(RC[-118]),"УЗО "&amp;RC[-144]&amp;" А &lt; автомата "&amp;RC[-118]&amp;" А перед ним",IF(N(RC[-144])&lt;N(RC[-140]),"УЗО "&amp;RC[-144]&amp;" А &lt; тока блока "&amp;FIXED(RC[-140],1)&amp;" А",""))),""),IF(AND(RC[-145]&lt;&gt;"",RC[-145]=RC[-189],ISNUMBER(RC[-139])),IF(RC[-139]&gt;N(RC[-142])/3,"ток утечки блока УЗО "&amp;FIXED(RC[-139],1)&amp;" мА &gt; 1/3 уставки ("&amp;RC[-142]&amp;" мА)",""),""),IF(AND(RC[-157]=1,N(RC[-168])+N(RC[-6])&gt;0,RC[-5]=""),"линии до 50 В без БП: впишите в «Аппараты» (БП 24V 480W)",""),IF(AND(RC[-157]=1,ISNUMBER(RC[-4]),ISNUMBER(RC[-221])),IF(RC[-221]&gt;RC[-4],"БП "&amp;RC[-4]&amp;" Вт &lt; нужно "&amp;RC[-221]&amp;" Вт (×"&amp;Запас_БП&amp;")",""),""),IF(AND(RC[-157]=1,ISNUMBER(RC[-3]),N(RC[-168])=1),IF(RC[-3]&lt;&gt;N(RC[-169]),"БП на "&amp;RC[-3]&amp;" В, линия "&amp;RC[-169]&amp;" В",""),""),IF(AND(N(RC[-2])&gt;0,N(RC[-1])&gt;N(RC[-2])),RC[-26]&amp;" канал "&amp;RC[-24]&amp;": "&amp;FIXED(RC[-1],1)&amp;" А &gt; "&amp;RC[-2]&amp;" А",""),IFERROR(IF(AND(ISNUMBER(RC[-225]),RC[-225]&gt;RC[-100]),"потери "&amp;FIXED(RC[-225],1)&amp;" % &gt; "&amp;RC[-100]&amp;" %",""),""),IFERROR(IF(LEFT(RC[-13],4)="мало","Iкз мало — отключение &gt; 0,4 с",""),""),IF(AND(RC[-240]&lt;&gt;"",RC[-177]=""),"не на схеме",""),IF(AND(RC[-157]=0,RC[-240]&lt;&gt;"",RC[-64]&lt;&gt;"",IF(RC[-189]=1,"",R[-1]C[-63])&lt;&gt;"",RC[-64]&lt;&gt;IF(RC[-189]=1,"",R[-1]C[-63])),"фаза не как у автомата группы ("&amp;IF(RC[-189]=1,"",R[-1]C[-63])&amp;")","")))</t>
  </si>
  <si>
    <t>=IF(OR(RC[-158]=0,RC[-122]=""),"",LET(t,IFERROR(XLOOKUP(RC[-122],Каталог!R4C21:R500C21,Каталог!R4C7:R500C7),""),k,SEARCH("кА",t),IFERROR(--TRIM(RIGHT(SUBSTITUTE(MID(t,MAX(1,k-4),k-MAX(1,k-4))," ",REPT(" ",9)),5)),"")))</t>
  </si>
  <si>
    <t>=IF(OR(RC[-1]="",RC[-159]=0),"",IF(XLOOKUP(RC[-243],Щиты[Щит],Щиты[Iкз max на шинах, кА],"")="","",IF(RC[-1]&lt;XLOOKUP(RC[-243],Щиты[Щит],Щиты[Iкз max на шинах, кА]),"Icu "&amp;RC[-1]&amp;" кА &lt; Iкз max","ok")))</t>
  </si>
  <si>
    <t>=IF(OR(AND(RC[-192]&gt;1,N(R[-1]C[-192])&lt;&gt;RC[-192]-1),AND(R[1]C[-192]&lt;&gt;"",N(R[1]C[-192])&lt;&gt;RC[-192]+1)),"строки сдвинуты (вставка или удаление) — нажмите «Починить формулы»","")</t>
  </si>
  <si>
    <t>=IF(OR(RC[-210]="вручную",RC[-181]="",AND(RC[-244]="",RC[-24]="")),"",TEXTJOIN("|",TRUE,RC[-43],SUBSTITUTE(RC[-42]," → ","|"),IF(RC[-30]&lt;&gt;"",RC[-30]&amp;IF(RC[-28]&lt;&gt;""," к."&amp;RC[-28],""),""),RC[-24]))</t>
  </si>
  <si>
    <t>=IF(RC[-1]="","",RC[-1]&amp;IF(RC[-245]&lt;&gt;"","|кабель "&amp;RC[-92]&amp;" → "&amp;RC[-185],""))</t>
  </si>
  <si>
    <t>=IF(RC[-1]="","",LET(nd,TEXTSPLIT(RC[-1],"|"),IF(COLUMNS(nd)&gt;1,RC[-247]&amp;"¦"&amp;INDEX(nd,1)&amp;"¦"&amp;INDEX(nd,2),"")))</t>
  </si>
  <si>
    <t>=IF(RC[-1]="","",RC[-247]&amp;"¦"&amp;RC[-187])</t>
  </si>
  <si>
    <t>=IF(RC[-3]="","",LET(nd,TEXTSPLIT(RC[-3],"|"),IF(COLUMNS(nd)&gt;2,RC[-249]&amp;"¦"&amp;INDEX(nd,2)&amp;"¦"&amp;INDEX(nd,3),"")))</t>
  </si>
  <si>
    <t>=IF(RC[-1]="","",RC[-249]&amp;"¦"&amp;RC[-189])</t>
  </si>
  <si>
    <t>=IF(RC[-5]="","",LET(nd,TEXTSPLIT(RC[-5],"|"),IF(COLUMNS(nd)&gt;3,RC[-251]&amp;"¦"&amp;INDEX(nd,3)&amp;"¦"&amp;INDEX(nd,4),"")))</t>
  </si>
  <si>
    <t>=IF(RC[-1]="","",RC[-251]&amp;"¦"&amp;RC[-191])</t>
  </si>
  <si>
    <t>=IF(RC[-7]="","",LET(nd,TEXTSPLIT(RC[-7],"|"),IF(COLUMNS(nd)&gt;4,RC[-253]&amp;"¦"&amp;INDEX(nd,4)&amp;"¦"&amp;INDEX(nd,5),"")))</t>
  </si>
  <si>
    <t>=IF(RC[-1]="","",RC[-253]&amp;"¦"&amp;RC[-193])</t>
  </si>
  <si>
    <t>=IF(RC[-9]="","",LET(nd,TEXTSPLIT(RC[-9],"|"),IF(COLUMNS(nd)&gt;5,RC[-255]&amp;"¦"&amp;INDEX(nd,5)&amp;"¦"&amp;INDEX(nd,6),"")))</t>
  </si>
  <si>
    <t>=IF(RC[-1]="","",RC[-255]&amp;"¦"&amp;RC[-195])</t>
  </si>
  <si>
    <t>=IF(RC[-11]="","",LET(nd,TEXTSPLIT(RC[-11],"|"),IF(COLUMNS(nd)&gt;6,RC[-257]&amp;"¦"&amp;INDEX(nd,6)&amp;"¦"&amp;INDEX(nd,7),"")))</t>
  </si>
  <si>
    <t>=IF(RC[-1]="","",RC[-257]&amp;"¦"&amp;RC[-197])</t>
  </si>
  <si>
    <t>=IF(RC[-36]="","",RC[-43])</t>
  </si>
  <si>
    <t>=IF(AND(RC[-259]="",RC[-43]="",RC[-39]=""),"",TEXTJOIN(" → ",TRUE,RC[-58],RC[-57],IF(RC[-45]&lt;&gt;"",RC[-45]&amp;IF(RC[-43]&lt;&gt;""," к."&amp;RC[-43],""),IF(RC[-43]&lt;&gt;"","к."&amp;RC[-43],"")),RC[-39],IF(RC[-64]=1,"(в кабель выше)","")))</t>
  </si>
  <si>
    <t>=IF(RC[-230]="",0,1)</t>
  </si>
  <si>
    <t>=IF(RC[-61]="",0,IF(LEFT(RC[-61],3)="QFD",1,0))</t>
  </si>
  <si>
    <t>=IF(RC[-226]="=","=",IF(RC[-226]="+","+",IF(RC[-226]="р","R","")))</t>
  </si>
  <si>
    <t>=IF(RC[-156]="","",IF(OR(LEFT(RC[-156],1)="T",LEFT(RC[-156],1)="Т"),"T",IF(LEFT(UPPER(RC[-156]),2)="БП","PS",IF(OR(LEFT(UPPER(RC[-156]),2)="МК",LEFT(UPPER(RC[-156]),2)="MK"),"MK",IF(OR(LEFT(UPPER(RC[-156]),2)="КМ",LEFT(UPPER(RC[-156]),2)="KM"),"KM","X")))))</t>
  </si>
  <si>
    <t>=IF(RC[-266]="","",IFERROR(XLOOKUP(RC[-266],Коды_код,Коды_уго),IFERROR(XLOOKUP(RC[-213],Коды_код,Коды_уго),IFERROR(XLOOKUP(LEFT(RC[-213],2),Коды_код,Коды_уго),""))))</t>
  </si>
  <si>
    <t>=IF(RC[-267]="","",IF(OR(RC[-1]="",RC[-1]=0),"BOX",IFERROR(IF(VLOOKUP(RC[-1],УГО_блоки,3,FALSE)&amp;""&lt;&gt;"",VLOOKUP(RC[-1],УГО_блоки,3,FALSE),VLOOKUP(RC[-1],УГО_блоки,2,FALSE)),RC[-1])))</t>
  </si>
  <si>
    <t>=IF(RC[-268]="",0,1)</t>
  </si>
  <si>
    <t>=IF(RC[-150]="","",IF(COUNTIF(R3C[-150]:RC[-150],RC[-150])=1,MAX(R2C:R[-1]C)+1,""))</t>
  </si>
  <si>
    <t>=IF(RC[-163]="","",IF(COUNTIF(R3C[-163]:RC[-163],RC[-163])+COUNTIF(R2C[-162]:R[-1]C[-162],RC[-163])+COUNTIF(R2C[-161]:R[-1]C[-161],RC[-163])=1,MAX(R2C:R[-1]C[2])+1,""))</t>
  </si>
  <si>
    <t>=IF(RC[-163]="","",IF(COUNTIF(R3C[-164]:RC[-164],RC[-163])+COUNTIF(R3C[-163]:RC[-163],RC[-163])+COUNTIF(R2C[-162]:R[-1]C[-162],RC[-163])=1,MAX(R2C[-1]:R[-1]C[1],RC[-1])+1,""))</t>
  </si>
  <si>
    <t>=IF(RC[-163]="","",IF(COUNTIF(R3C[-165]:RC[-165],RC[-163])+COUNTIF(R3C[-164]:RC[-164],RC[-163])+COUNTIF(R3C[-163]:RC[-163],RC[-163])=1,MAX(R2C[-2]:R[-1]C,RC[-2],RC[-1])+1,""))</t>
  </si>
  <si>
    <t>=IF(RC[-55]=1,IFERROR(MID(RC[-82],FIND(" (",RC[-82])+2,FIND(")",RC[-82],FIND(" (",RC[-82]))-FIND(" (",RC[-82])-2),"?"),"")</t>
  </si>
  <si>
    <t>=IF(RC[-1]="","",IF(COUNTIF(R3C[-1]:RC[-1],RC[-1])=1,MAX(R2C:R[-1]C)+1,""))</t>
  </si>
  <si>
    <t>=IF(RC[-62]="","",COUNTIF(R3C[-62]:RC[-62],"?*"))</t>
  </si>
  <si>
    <t>=IF(OR(RC[-63]="",RC[-61]=""),"",IF(COUNTIFS(R3C[-63]:RC[-63],"?*",R3C[-61]:RC[-61],RC[-61])=1,MAX(R2C:R[-1]C)+1,""))</t>
  </si>
  <si>
    <t>=IF(RC[-37]="",0,IF(OR(ISNUMBER(SEARCH("дубль",RC[-37])),ISNUMBER(SEARCH("ПЕРЕГРУЗ",RC[-37])),ISNUMBER(SEARCH("ЗАЩИЩ",RC[-37])),ISNUMBER(SEARCH("КАНАЛ",RC[-37])),ISNUMBER(SEARCH("без диф",RC[-37]))),2,1))</t>
  </si>
  <si>
    <t>=IF(RC[-278]="","",COUNTIF(R3C[-278]:RC[-278],"?*"))</t>
  </si>
  <si>
    <t>=IF(RC[-61]&lt;&gt;1,0,LET(k,MAX(IFERROR(--XLOOKUP(RC[-279],Коды_код,Коды_3L),0),IFERROR(--XLOOKUP(RC[-226],Коды_код,Коды_3L),0),IFERROR(--XLOOKUP(LEFT(RC[-226],2),Коды_код,Коды_3L),0)),IF(k&gt;0,k,IF(IFERROR(--LEFT(SUBSTITUTE(RC[-6],"x","х"),FIND("х",SUBSTITUTE(RC[-6],"x","х"))-1),3)&gt;3,Каталог!R9C19,1))))</t>
  </si>
  <si>
    <t>=IF(RC[-62]&lt;&gt;1,0,MAX(0,IFERROR(--LEFT(SUBSTITUTE(RC[-7],"x","х"),FIND("х",SUBSTITUTE(RC[-7],"x","х"))-1),3)-3*RC[-1]))</t>
  </si>
  <si>
    <t>=IF(RC[-198]=1,"авто","")</t>
  </si>
  <si>
    <t>=IF(RC[-199]=1,IF(N(RC[-179])&gt;0,RC[-179],""),"")</t>
  </si>
  <si>
    <t>=IF(RC[-200]=1,IF(N(RC[-180])&gt;0,1,0),"")</t>
  </si>
  <si>
    <t>=SUBTOTAL(103,RC[-285])</t>
  </si>
  <si>
    <t>ГАЙД ПО ОДНОЛИНЕЙКЕ v5 (бета)</t>
  </si>
  <si>
    <t>Одна книга — один объект: все щиты, все линии, все расчёты. После DLN строка почти готова: таблица сама подбирает наименование, мощность, автомат, сечение, фазу и клемму. Вы проверяете и правите только то, что нужно.</t>
  </si>
  <si>
    <t>ОСТОРОЖНО: Включите макросы (кнопка «Включить содержимое» при открытии). Без макросов книга считает правильно, но серые значения не возвращаются после стирания, а после вставки строк нужно нажать «Починить формулы».</t>
  </si>
  <si>
    <t>1. ГЛАВНОЕ ПРАВИЛО: СЕРОЕ И СИНЕЕ</t>
  </si>
  <si>
    <t>Что видите</t>
  </si>
  <si>
    <t>Что это значит</t>
  </si>
  <si>
    <t>Серый курсив</t>
  </si>
  <si>
    <t>Значение выбрала таблица (по коду, по расчёту, по чертежу). Его можно не трогать.</t>
  </si>
  <si>
    <t>Синий жирный</t>
  </si>
  <si>
    <t>Значение вписали вы. Таблица его не меняет и проверяет.</t>
  </si>
  <si>
    <t>Стёрли синее</t>
  </si>
  <si>
    <t>Вернулось серое (выбор таблицы).</t>
  </si>
  <si>
    <t>Жёлтая шапка</t>
  </si>
  <si>
    <t>Столбец для ввода. Курсив в шапке — в столбце есть серые значения.</t>
  </si>
  <si>
    <t>Серая шапка</t>
  </si>
  <si>
    <t>Результат. Вводить не нужно.</t>
  </si>
  <si>
    <t>Красная ячейка «Замечания»</t>
  </si>
  <si>
    <t>В строке есть ошибка. Текст говорит, что исправить.</t>
  </si>
  <si>
    <t>2. ЛИСТЫ КНИГИ</t>
  </si>
  <si>
    <t>Что на нём</t>
  </si>
  <si>
    <t>Ввод. Название, методика расчёта, как собирать наименования, марки кабелей.</t>
  </si>
  <si>
    <t>Щиты</t>
  </si>
  <si>
    <t>Ввод. Строка на щит: вводы, АВР, ИБП, место под вводной узел. Справа — таблица «Шины» (обычно пустая).</t>
  </si>
  <si>
    <t>Линии</t>
  </si>
  <si>
    <t>Ввод. Все линии всех щитов. Кнопки щитов показывают один щит.</t>
  </si>
  <si>
    <t>Коды</t>
  </si>
  <si>
    <t>Ввод. Типовые потребители (коды и УГО одной таблицей), этажи, кабели, экспликация. Стандарт отдела — правьте под объект.</t>
  </si>
  <si>
    <t>Результат. Все замечания книги.</t>
  </si>
  <si>
    <t>Результат. Выбранный щит: таблица под схемой и итоги по каждому вводу.</t>
  </si>
  <si>
    <t>Кабельный_журнал, Спецификация</t>
  </si>
  <si>
    <t>Результат. По выбранному щиту или по всему объекту (выбор вверху листа).</t>
  </si>
  <si>
    <t>Результат. Строка на провод — для сборки щита.</t>
  </si>
  <si>
    <t>Изменения</t>
  </si>
  <si>
    <t>Результат. Что изменилось после «Зафиксировать выдачу»: было → стало и листы схемы для таблицы изменений.</t>
  </si>
  <si>
    <t>Наклейки</t>
  </si>
  <si>
    <t>Результат. Лента под аппаратами на A4 (кнопка на листе «Щит»).</t>
  </si>
  <si>
    <t>Гайд, Каталог, Методика, Таблицы_норм</t>
  </si>
  <si>
    <t>Справка.</t>
  </si>
  <si>
    <t>Режимы, Расчёт_нагрузок</t>
  </si>
  <si>
    <t>В конце книги, нужны не всегда: режимы вводов (АВР, ИБП, пожар) и таблица нагрузок для пояснительной записки.</t>
  </si>
  <si>
    <t>3. ПОРЯДОК РАБОТЫ</t>
  </si>
  <si>
    <t>Лист «Объект»: название, методика, как собирать наименования (по номеру помещения или по экспликации).</t>
  </si>
  <si>
    <t>Объект!C3</t>
  </si>
  <si>
    <t>Лист «Щиты»: строка на щит. Вводов, АВР, ИБП от, «Мест под вводной узел» (пусто — 17, весь первый лист; 11 — узел на части листа). «Питается от» книга находит сама (серое). Для ВРУ — данные сети.</t>
  </si>
  <si>
    <t>Щиты!A13</t>
  </si>
  <si>
    <t>AutoCAD, DLN: номера линий, длины, число потребителей, пометки выносок (Relay, DIM, DALI) приходят в «Линии».</t>
  </si>
  <si>
    <t>Лист «Линии»: проверьте серое. Впишите то, что знаете точно (мощность оборудования, свой автомат). Отметьте группы: «гр».</t>
  </si>
  <si>
    <t>Линии!B3</t>
  </si>
  <si>
    <t>Столбец «Замечания» и лист «Проверка»: исправьте ошибки.</t>
  </si>
  <si>
    <t>Проверка!A1</t>
  </si>
  <si>
    <t>Лист «Щит»: выберите щит. Проверьте таблицу под схемой и итоги по вводам — они идут на схему.</t>
  </si>
  <si>
    <t>Щит!C3</t>
  </si>
  <si>
    <t>SXDRAW рисует схему по скрытому листу «Однолинейка». Вводной узел (места под узел) рисуете сами.</t>
  </si>
  <si>
    <t>Спецификация: корпус и комплект щита впишите в таблицу справа (один раз на щит). Остальное книга считает сама.</t>
  </si>
  <si>
    <t>Спецификация!M2</t>
  </si>
  <si>
    <t>Лист «Щит», кнопка «Выгрузить для AutoCAD»: лёгкий файл рядом с книгой для Data Link (схема, итоги, журнал, спецификация по каждому щиту).</t>
  </si>
  <si>
    <t>Щит!L1</t>
  </si>
  <si>
    <t>Перед выдачей: «Упорядочить щит» (по желанию) и «Зафиксировать выдачу» (заодно закрепить фазы). После правок — лист «Изменения».</t>
  </si>
  <si>
    <t>Изменения!B4</t>
  </si>
  <si>
    <t>4. ЛИСТ «ЛИНИИ»: СТОЛБЦЫ</t>
  </si>
  <si>
    <t>Что делает таблица / что вводите вы</t>
  </si>
  <si>
    <t>Имя щита. Строки щита — подряд, в порядке мест на схеме.</t>
  </si>
  <si>
    <t>Код.Этаж.Помещение.Группа (R.1.05.3). Приходит из DLN. Строка с кодом «Ввод» — ввод щита.</t>
  </si>
  <si>
    <t>Серое: название кода + помещение. Своё — впишите.</t>
  </si>
  <si>
    <t>Кол-во потребителей</t>
  </si>
  <si>
    <t>Из DLN. Нужно для мощности и опусков.</t>
  </si>
  <si>
    <t>Серое: кВт на шт по коду × кол-во (розетки 0,06 кВт). Фидер — Руст нижнего щита. Ввод — нагрузка щита.</t>
  </si>
  <si>
    <t>Пусто — свой автомат. «гр» — линия на автомате строки выше. «узо» — свой автомат на шине УЗО (выше строка «УЗО.1»).</t>
  </si>
  <si>
    <t>Серое: полюса, характеристика, номинал, ток утечки. В строке «гр» — «↑» и автомат группы. Свой: 25, C25 или 2P C25А 30мА.</t>
  </si>
  <si>
    <t>Серое: по пометке выноски (Relay, DIM, DALI) или коду. По управлению подставляется модуль («Ещё» → «Модуль»).</t>
  </si>
  <si>
    <t>Аппараты после автомата через «;» (КМ, МК, Т, БП 24V 480W — мощность и напряжение БП читаются из названия).</t>
  </si>
  <si>
    <t>Серое: подбор (см. раздел 11). Своё — впишите, таблица проверит.</t>
  </si>
  <si>
    <t>Серое: из чертежа (DLN). Итог с опусками — «Длина, м».</t>
  </si>
  <si>
    <t>Серое: автобалансировка по автоматам. Своя: 1, 2, 3 или 1,2,3.</t>
  </si>
  <si>
    <t>Серое: следующая XT. «нет» — без номера.</t>
  </si>
  <si>
    <t>Замечания, Iр, Длина, ΔU, Кабель, Лист / место</t>
  </si>
  <si>
    <t>Результаты строки.</t>
  </si>
  <si>
    <t>5. КНОПКИ ЩИТОВ, КАРТОЧКА И «ЕЩЁ»</t>
  </si>
  <si>
    <t>Над таблицей — кнопки щитов. Нажмите кнопку — видны только строки этого щита. Слева вверху — карточка щита: откуда питается, Руст, Рр, Iр, cos φ, ΔU до шин, сколько листов схемы, сколько замечаний. Чтобы снова видеть все щиты — нажмите значок «очистить фильтр» на кнопках.</t>
  </si>
  <si>
    <t>Редкие столбцы свёрнуты в «Ещё» (кнопка «+» над столбцом «Лист / место»): «Питает щит», утечка (мА), фазы, напряжение, группа Кс, Кс, cos φ, секция, шина, категория ввода, пожарная, вид нагрузки, режим строки, модуль, канал, № места, марка, жилы, К прокладки, лоток и гофра, примечание, столбцы DLN. Первые два столбца «Ещё» — результаты: «Ток утечки, мА» и «Lмакс по КЗ, м».</t>
  </si>
  <si>
    <t>6. ЛИСТ «ЩИТ»: ТО, ЧТО ИДЁТ НА СХЕМУ</t>
  </si>
  <si>
    <t>Выберите щит в ячейке C3. Слева — таблица под схемой: строка на место (шаг 20 мм), лист схемы, обозначение, фаза, Рн, Iн, наименование, кабель, автомат. Справа — итоги по каждому вводу: категория, Руст, Рр, Iр, cos φ, Кс, нагрузка фаз.</t>
  </si>
  <si>
    <t>Какие линии в каком вводе</t>
  </si>
  <si>
    <t>Линии щита — по шине и секции («Шина», «Секция» в «Ещё»). Нижние щиты — по своему фидеру. Шина ИБП — к вводу из «ИБП от» на листе «Щиты».</t>
  </si>
  <si>
    <t>Щит с АВР</t>
  </si>
  <si>
    <t>Итоги — нормальный режим. В строке «Ввод» — вся нагрузка щита (один ввод тянет всё): по ней подобраны автомат и кабель ввода.</t>
  </si>
  <si>
    <t>7. ЖУРНАЛ, СПЕЦИФИКАЦИЯ, ВЫГРУЗКА</t>
  </si>
  <si>
    <t>Кабельный журнал</t>
  </si>
  <si>
    <t>Раскладка отдела: линия, откуда — куда, кабель, лоток, гофра «Ø20 L=…», длина. Справа — числа для подсчёта и сводки: кабели с запасом (L1, по умолчанию 20 %) и вверх до 10 м, гофра по диаметрам (вверх до бухты), лоток, сводка ПТО (кабель + потолок / пол → артикул).</t>
  </si>
  <si>
    <t>Раздел 1 — корпус и комплект (вручную, таблица справа) + аппараты по схеме из «Каталога»; чего нет в «Каталоге» — строкой с пометкой «впишите артикул». Раздел 2 — кабели (по марке, от крупных к мелким), гофра, крепёж по нормам расхода (таблица справа).</t>
  </si>
  <si>
    <t>Нормы расхода</t>
  </si>
  <si>
    <t>Крепёж = база × «на 1 м», вверх до кратности. База — метры гофры (по диаметру, «ПВХ все», «ПНД все») или кабеля после округления. По умолчанию — как в проекте «Жуковка»: клипсы 2 шт/м, гвозди и баллоны — 1 упаковка на 1000 клипс.</t>
  </si>
  <si>
    <t>Выгрузка для AutoCAD</t>
  </si>
  <si>
    <t>Файл «&lt;книга&gt;_AutoCAD.xlsx» рядом с книгой: на каждый щит листы «&lt;щит&gt; схема», «итоги», «журнал», «спец». Имена постоянные — Data Link в AutoCAD после новой выгрузки только обновите.</t>
  </si>
  <si>
    <t>8. LED 24 В: ЛИНИИ ПОСЛЕ БЛОКА ПИТАНИЯ</t>
  </si>
  <si>
    <t>Строка автомата: в «Аппаратах» — «МК-5-1; БП 24V 480W»; диммер — в «Модуле» («Ещё»).</t>
  </si>
  <si>
    <t>Ниже — линии 24 В с «гр» в «Группе». Напряжение 24 — по коду или в «Ещё» → «Напряжение».</t>
  </si>
  <si>
    <t>Таблица считает постоянный ток (I = P/U), потери от БП (допустимо 5 %, «Объект» C14) и подбирает сечение; автомат — по стороне 230 В.</t>
  </si>
  <si>
    <t>Проверяет БП: нужно = 1,3 × Σ (Uвых·I) («Объект» C13) — столбцы «БП: нужно, Вт» и «Uвых БП, В» в «Ещё»; ток канала диммера — если в «Каталоге» вписан «Ток канала, А».</t>
  </si>
  <si>
    <t>9. МОДУЛИ, УЗО НА ГРУППУ, ПОРЯДОК, ВЫДАЧА, НАКЛЕЙКИ</t>
  </si>
  <si>
    <t>Модули</t>
  </si>
  <si>
    <t>Серое в «Модуле»: модель по управлению («Объект», таблица «Модули_умолч»: Relay и шторы — ZIOMB24V2, шторы — 2 выхода на линию; DIM — ZDINDX4; DALI — ZDID64X2, линии на одной шине; клапаны — ZCL-8HT230). Подряд идущие линии с одним управлением — на каналы одного модуля, новый — когда каналы кончились. Своя модель — синим, «-» — конец модуля.</t>
  </si>
  <si>
    <t>УЗО на группу</t>
  </si>
  <si>
    <t>Строка «УЗО.1» (код УЗО, в «Аппаратах» «УЗО 2P 40А 30мА»), ниже линии со своими автоматами и «узо» в «Группе». Автомат строки УЗО — по току блока, линии — обычные автоматы. Проверки: номинал УЗО ≥ автомата перед ним и тока блока, ток утечки блока ≤ 1/3 уставки. Шину УЗО на схеме пока рисуете сами.</t>
  </si>
  <si>
    <t>Упорядочить щит</t>
  </si>
  <si>
    <t>Кнопка над «Линиями» — для щита активной ячейки: вводной узел на месте, дальше по управлению (Relay, DIM, DALI, шторы, клапаны, без управления), коду и помещению. Группы «гр», блоки УЗО и свои модули не разрываются.</t>
  </si>
  <si>
    <t>Закрепить фазы</t>
  </si>
  <si>
    <t>Серые фазы щита становятся синими — правки больше не переставят фазы.</t>
  </si>
  <si>
    <t>Зафиксировать выдачу</t>
  </si>
  <si>
    <t>Снимок с номером изменения (предлагает закрепить фазы). «Изменения»: добавлено / удалено / было → стало по щитам и листы схемы для таблицы изменений; в «Линиях» изменённое — оранжевым, новые линии — зелёным.</t>
  </si>
  <si>
    <t>Лист «Щит», кнопка «Наклейки (A4)» → лист «Наклейки»: ячейка = 1 модуль DIN (18 мм), под каждым аппаратом — обозначение, линия, наименование. Модулей на рейку — C2; рейка длиннее листа — несколькими полосами (над каждой — «Рейка N»). Печать A4, масштаб 100 %: ширина ячейки подгоняется под текущий принтер при нажатии кнопки.</t>
  </si>
  <si>
    <t>10. КАТЕГОРИИ НАДЁЖНОСТИ — ТОЛЬКО У ВВОДОВ</t>
  </si>
  <si>
    <t>У линий категории нет. Категория ввода берётся по схеме щита (столбец «Категория шины «Ввод»» на «Щитах»; шины ИБП и ДГУ — I особая). Своя категория — в строке «Ввод», столбец «Категория ввода» в «Ещё». Категория идёт в итоги по вводам на листе «Щит».</t>
  </si>
  <si>
    <t>11. КАК ТАБЛИЦА ПОДБИРАЕТ И ПРОВЕРЯЕТ</t>
  </si>
  <si>
    <t>Номинал — наименьший из ряда, не меньше тока группы (Iр ≤ 0,9·In) и минимума кода (свет 10 А, розетки 16 А); перед БП — не меньше 10 А. Полюса: 1ф — 1P, 3ф — 3P, с утечкой — 2P / 4P (дифавтомат). Характеристика — по коду (C).</t>
  </si>
  <si>
    <t>Наименьшее сечение, не меньше минимума кода, при котором: Iдоп·К ≥ In автомата (ПУЭ 1.3.10); потери от ВРУ не больше 3 % до светильников и 4 % до прочих (СП 256 п. 8.23); Iкз в конце линии отключает автомат за 0,4 с (ПУЭ 1.7.79).</t>
  </si>
  <si>
    <t>Автоматы щита от крупных к мелким: каждому — фаза с наименьшей нагрузкой. Линии группы — на фазе своего автомата. Ручная фаза не меняется. Перед выдачей можно вписать фазы вручную, чтобы они не менялись при правках.</t>
  </si>
  <si>
    <t>Ввод щита</t>
  </si>
  <si>
    <t>Нагрузка щита. Щит с АВР или с одним вводом — вся нагрузка; два ввода без АВР — нагрузка своей секции.</t>
  </si>
  <si>
    <t>Линии 24 В</t>
  </si>
  <si>
    <t>Постоянный ток: I = P/U, потери 2·ρ·L·I/S от выхода БП, не больше 5 %. Сечение — по току линии и потерям, без проверки Iкз (кабель защищает БП). Жил по умолчанию 2.</t>
  </si>
  <si>
    <t>Ток утечки</t>
  </si>
  <si>
    <t>ПУЭ 7.1.83: 0,4 мА на 1 А тока + 10 мкА на 1 м линии, у группы — сумма. С дифзащитой — не больше 1/3 уставки (30 мА → 10 мА, 10 мА → 3,3 мА), иначе замечание.</t>
  </si>
  <si>
    <t>Lмакс по КЗ</t>
  </si>
  <si>
    <t>Наибольшая длина линии, при которой Iкз в конце ещё отключает автомат за 0,4 с. Если «Длина, м» близка к Lмакс — увеличьте сечение.</t>
  </si>
  <si>
    <t>Название кода + «, пом. 105» (или «по экспликации» — название помещения).</t>
  </si>
  <si>
    <t>ПРИМЕЧАНИЕ: Подробно — лист «Методика».</t>
  </si>
  <si>
    <t>12. ВСТАВКА И УДАЛЕНИЕ СТРОК</t>
  </si>
  <si>
    <t>Строки вставляйте внутри таблицы (правая кнопка → Вставить → Строки таблицы выше). Макрос сам чинит формулы. Если в «Замечаниях» видно «строки сдвинуты» — нажмите кнопку «Починить формулы» над таблицей.</t>
  </si>
  <si>
    <t>ВНИМАНИЕ: Не сортируйте таблицу кнопками Excel: порядок строк — это порядок мест на схеме.</t>
  </si>
  <si>
    <t>13. ЧТО ЕЩЁ БУДЕТ</t>
  </si>
  <si>
    <t>AutoCAD: SXDRAW — с места после вводного узла, шина УЗО вниз-вправо, типовые вводные узлы по «Типу вводного узла», обновление готовой схемы по номеру линии, DLN для v5.</t>
  </si>
  <si>
    <t>Методика расчёта однолинейки и проверка по нормам РФ</t>
  </si>
  <si>
    <t>Версия книги: v3.12 → v4. Дата проверки: 03.10.2026, дополнено 04.10.2026.</t>
  </si>
  <si>
    <t>Пояснительная записка (ПЗ) — текстовая часть проекта; в книге v4 сокращение «ПЗ» не используется.</t>
  </si>
  <si>
    <t>Документ описывает каждый расчёт книги: формулу, исходные данные, место в книге, норму и вердикт. Он же — техническое задание на v4: раздел «В v4» у каждого расчёта говорит, что исправить.</t>
  </si>
  <si>
    <t>Как читать вердикт у каждого расчёта:</t>
  </si>
  <si>
    <t>•  ✅ соответствует — книга считает так, как требует норма. Ничего делать не нужно.</t>
  </si>
  <si>
    <t>•  ⚠️ упрощение / уточнить — расчёт допустим, но упрощён (например, не учтено сопротивление дуги) или зависит от решения инженера (например, какой Кс принять). Что именно упрощено — в столбце «Суть», что сделано или надо сделать — в столбце «В v4». Результат пользоваться можно, но прочитайте пояснение.</t>
  </si>
  <si>
    <t>•  ❌ расхождение — книга v3.12 могла дать результат не по норме. В v4 это исправлено или вынесено в проверку (лист «Проверка»).</t>
  </si>
  <si>
    <t>Нормы и редакции, по которым проверено:</t>
  </si>
  <si>
    <t>Документ</t>
  </si>
  <si>
    <t>Редакция</t>
  </si>
  <si>
    <t>Что из него берём</t>
  </si>
  <si>
    <t>ПУЭ, 7-е изд.</t>
  </si>
  <si>
    <t>гл. 1.2, 1.3, 1.7</t>
  </si>
  <si>
    <t>категории, допустимые токи, автоматическое отключение</t>
  </si>
  <si>
    <t>СП 256.1325800.2016</t>
  </si>
  <si>
    <t>ред. 01.03.2022 (изм. 1–5) + Изменение № 6 (2023) + Изменение № 9 (введено 26.01.2026)</t>
  </si>
  <si>
    <t>расчётные нагрузки, потери напряжения, КРМ, схемы</t>
  </si>
  <si>
    <t>ГОСТ Р 50571.4.43-2012</t>
  </si>
  <si>
    <t>защита от сверхтока: Iр ≤ In ≤ Iдоп, термическая стойкость</t>
  </si>
  <si>
    <t>ГОСТ Р 50571.5.52-2011</t>
  </si>
  <si>
    <t>потери напряжения (прил. G), способы прокладки, поправочные коэффициенты</t>
  </si>
  <si>
    <t>ГОСТ 31996-2012</t>
  </si>
  <si>
    <t>допустимые токи кабелей с ПВХ-изоляцией (ВВГнг и т. п.)</t>
  </si>
  <si>
    <t>ГОСТ 28249-93</t>
  </si>
  <si>
    <t>токи КЗ в установках до 1 кВ</t>
  </si>
  <si>
    <t>ГОСТ IEC 60898-1</t>
  </si>
  <si>
    <t>зоны мгновенного расцепления B / C / D</t>
  </si>
  <si>
    <t>СП 6.13130.2021</t>
  </si>
  <si>
    <t>электроснабжение систем противопожарной защиты</t>
  </si>
  <si>
    <t>ВНИМАНИЕ: формулировки Изменения № 9 к СП 256 проверены по пересказу официального текста. Перед внедрением в v4 сверьте табл. 7.2 и подраздел 7.5 с официальной публикацией.</t>
  </si>
  <si>
    <t>---</t>
  </si>
  <si>
    <t>1. Сводка проверки</t>
  </si>
  <si>
    <t>Расчёт</t>
  </si>
  <si>
    <t>Вердикт</t>
  </si>
  <si>
    <t>Суть</t>
  </si>
  <si>
    <t>В v4</t>
  </si>
  <si>
    <t>Ток линии</t>
  </si>
  <si>
    <t>✅</t>
  </si>
  <si>
    <t>I = P / (U·cos φ)</t>
  </si>
  <si>
    <t>без изменений</t>
  </si>
  <si>
    <t>cos φ линии</t>
  </si>
  <si>
    <t>⚠️</t>
  </si>
  <si>
    <t>по умолчанию 0,95 для всех, кроме кодов «двигатель»</t>
  </si>
  <si>
    <t>cos φ по типу нагрузки (СП 256 п. 7.1.12: насосы и вентиляция 0,8)</t>
  </si>
  <si>
    <t>Автомат линии по току</t>
  </si>
  <si>
    <t>ближайший стандартный с Iр ≤ 0,9·In (запас 10 %)</t>
  </si>
  <si>
    <t>без изменений, запас вынести в настройку</t>
  </si>
  <si>
    <t>Сечение кабеля</t>
  </si>
  <si>
    <t>ПУЭ табл. 1.3.7 (подписано «1.3.6»), один общий К прокладки</t>
  </si>
  <si>
    <t>ГОСТ 31996 / паспорт производителя, способ прокладки и коэффициенты по ГОСТ Р 50571.5.52</t>
  </si>
  <si>
    <t>Согласование автомат ↔ кабель</t>
  </si>
  <si>
    <t>In ≤ Iдоп·k, проверка «кабель не защищён»</t>
  </si>
  <si>
    <t>Длина линии</t>
  </si>
  <si>
    <t>✅ (проектный приём)</t>
  </si>
  <si>
    <t>план + опуски + подъём на этаж</t>
  </si>
  <si>
    <t>Потери напряжения</t>
  </si>
  <si>
    <t>формула ГОСТ Р 50571.5.52 прил. G, пределы 3 % / 4 % СП 256 п. 8.23</t>
  </si>
  <si>
    <t>добавить +0,005 %/м после 100 м и проверку 7,5 % от ТП</t>
  </si>
  <si>
    <t>Iкз min, отключение 0,4 с</t>
  </si>
  <si>
    <t>без сопротивления дуги, PE = фазе, только медь</t>
  </si>
  <si>
    <t>дуга по ГОСТ 28249, сечение PE, алюминий</t>
  </si>
  <si>
    <t>Iкз max, отключающая способность</t>
  </si>
  <si>
    <t>❌</t>
  </si>
  <si>
    <t>Iкз max считается, но с Icu аппарата не сравнивается</t>
  </si>
  <si>
    <t>автоматическая проверка Icu ≥ Iкз max</t>
  </si>
  <si>
    <t>Кс бытовой нагрузки</t>
  </si>
  <si>
    <t>⚠️ / ❌</t>
  </si>
  <si>
    <t>табл. 7.2 верна, но отопление и тёплые полы снижаются Кс (по Изм. 9 — отдельно, Кс 1 и 0,7)</t>
  </si>
  <si>
    <t>группы «Отопление» и «ВНГ / тёплый пол»</t>
  </si>
  <si>
    <t>Кс силовой нагрузки</t>
  </si>
  <si>
    <t>вводится вручную (в объекте ЖД везде 0,5)</t>
  </si>
  <si>
    <t>автоматически по табл. 7.5 по числу электроприёмников</t>
  </si>
  <si>
    <t>Ко = 0,9</t>
  </si>
  <si>
    <t>применяется к любому щиту, в т. ч. чисто силовому</t>
  </si>
  <si>
    <t>только там, где сходятся квартиры и силовая нагрузка (ВРУ дома)</t>
  </si>
  <si>
    <t>kп.к (региональный)</t>
  </si>
  <si>
    <t>отсутствует (СП 256 формула 6, табл. 7.5а: ЦФО 0,81)</t>
  </si>
  <si>
    <t>настройка объекта + решение о применимости</t>
  </si>
  <si>
    <t>Пожарные нагрузки</t>
  </si>
  <si>
    <t>не входят в расчётный максимум (СП 256 п. 7.1.9)</t>
  </si>
  <si>
    <t>исправить ссылку (в книге — СП 31-110)</t>
  </si>
  <si>
    <t>cos φ и Iр щита</t>
  </si>
  <si>
    <t>cos φ щита — средневзвешенный по P, а не через Q</t>
  </si>
  <si>
    <t>Q = Σ P·tg φ, cos φ = P / S</t>
  </si>
  <si>
    <t>СП 256 п. 7.3.1–7.3.2: не требуется при ≤ 50 квар на ввод</t>
  </si>
  <si>
    <t>Категории надёжности</t>
  </si>
  <si>
    <t>ПУЭ 1.2.17–1.2.21, СП 256 табл. 6.1, п. 6.13, 8.10</t>
  </si>
  <si>
    <t>Питающая линия щита</t>
  </si>
  <si>
    <t>uк трансформатора 5,5 % константой, Y/Yн — «×3»</t>
  </si>
  <si>
    <t>uк и Zт(1) из паспорта трансформатора</t>
  </si>
  <si>
    <t>Лист «ТКЗ»</t>
  </si>
  <si>
    <t>старый расчёт (220 / Z, без коэффициентов), в основной не входит</t>
  </si>
  <si>
    <t>удалить, всё считает «Питание_щита»</t>
  </si>
  <si>
    <t>Запас кабеля 20 % в журнале</t>
  </si>
  <si>
    <t>не норма, проектный приём</t>
  </si>
  <si>
    <t>настройка объекта</t>
  </si>
  <si>
    <t>2. Исходные данные линии и значения «по коду»</t>
  </si>
  <si>
    <t>Одна линия = одна строка «Исходных данных». Номер линии имеет вид Код.Помещение.№ (пример: K.1.002A.1).</t>
  </si>
  <si>
    <t>Код (часть до первой точки) ищется в «Справочной» P4:P51. Из строки кода берутся значения по умолчанию:</t>
  </si>
  <si>
    <t>Столбец кода в «Справочной»</t>
  </si>
  <si>
    <t>Куда идёт</t>
  </si>
  <si>
    <t>Q</t>
  </si>
  <si>
    <t>«Исходные данные» B</t>
  </si>
  <si>
    <t>длина линии</t>
  </si>
  <si>
    <t>Этаж / шлейф</t>
  </si>
  <si>
    <t>S</t>
  </si>
  <si>
    <t>способ подписи и подъём на этаж</t>
  </si>
  <si>
    <t>Тип пускового тока: 1 — нет, 2 — двигатель, 3 — светодиоды</t>
  </si>
  <si>
    <t>T</t>
  </si>
  <si>
    <t>cos φ и Iпуск</t>
  </si>
  <si>
    <t>Марка кабеля, жилы, напряжение, фазы, сечение</t>
  </si>
  <si>
    <t>U, V, W, X, Y</t>
  </si>
  <si>
    <t>N, O, F, H, Q</t>
  </si>
  <si>
    <t>Вид нагрузки (строка таблицы для пояснительной записки)</t>
  </si>
  <si>
    <t>«Исходные данные» BE</t>
  </si>
  <si>
    <t>AZ</t>
  </si>
  <si>
    <t>«Исходные данные» BC</t>
  </si>
  <si>
    <t>BD</t>
  </si>
  <si>
    <t>«Исходные данные» BQ</t>
  </si>
  <si>
    <t>УГО, 30 мА, мин. автомат, клемм 3L</t>
  </si>
  <si>
    <t>AV, AW, AX, AY</t>
  </si>
  <si>
    <t>«Однолинейка»</t>
  </si>
  <si>
    <t>Ручной ввод в «Исходных данных» всегда важнее значения по коду.</t>
  </si>
  <si>
    <t>3. Ток линии</t>
  </si>
  <si>
    <t>Формула ('Исходные данные'!T):</t>
  </si>
  <si>
    <t>•  однофазная линия: I = P / (Uф · cos φ), где Uф = Uн / √3 = 0,4 / 1,732 = 0,231 кВ;</t>
  </si>
  <si>
    <t>•  трёхфазная линия: I = P / (√3 · Uн · cos φ), Uн = 0,4 кВ.</t>
  </si>
  <si>
    <t>P — кВт, U — кВ, I — А. Uн берётся из «Справочной» BQ29.</t>
  </si>
  <si>
    <t>Для линии, которая питает нижестоящий щит, ток берётся из файла этого щита («Нижестоящие_щиты» J).</t>
  </si>
  <si>
    <t>Норма: закон Ома для активной мощности, без особых требований. Вердикт: ✅.</t>
  </si>
  <si>
    <t>cos φ линии ('Исходные данные'!P)</t>
  </si>
  <si>
    <t>•  код с типом «двигатель» (T = 2): cos φ по мощности из «Справочная_потребители» B:K (3ф — столбец I, 1ф — столбец K);</t>
  </si>
  <si>
    <t>•  все остальные: 0,95;</t>
  </si>
  <si>
    <t>•  фидер нижестоящего щита: cos φ из его файла.</t>
  </si>
  <si>
    <t>Норма: СП 256 п. 7.1.12 даёт коэффициенты мощности питающих линий: квартиры с электроплитами 0,98 (с кондиционерами 0,93), с газовыми плитами 0,96 (0,92), хозяйственные насосы, вентиляционные установки и другие сантехнические устройства — 0,8.</t>
  </si>
  <si>
    <t>Вердикт: ⚠️. Вентиляция, ККБ и насосы с кодом не «двигатель» получают 0,95. Ток таких линий занижен до 16 % (0,95 / 0,8 = 1,19).</t>
  </si>
  <si>
    <t>В v4: cos φ по типу нагрузки из справочника кодов; значение 0,8 для вентиляции и насосов по умолчанию.</t>
  </si>
  <si>
    <t>4. Аппарат защиты</t>
  </si>
  <si>
    <t>4.1 Номинал по току линии ('Исходные данные'!U)</t>
  </si>
  <si>
    <t>In = наименьший номинал ряда, для которого Iр ≤ 0,9 · In.</t>
  </si>
  <si>
    <t>Таблица «Справочная» F4:G23: пороги тока = 0,9 × предыдущего номинала (6 А до 5,4 А; 10 А до 9 А; 16 А до 14,4 А …).</t>
  </si>
  <si>
    <t>Если введён автомат вручную (R), берётся он.</t>
  </si>
  <si>
    <t>Норма: ГОСТ Р 50571.4.43, п. 433.1: Iр ≤ In ≤ Iдоп. Запас 10 % нормой не требуется, это проектный запас.</t>
  </si>
  <si>
    <t>Вердикт: ✅ (в запас).</t>
  </si>
  <si>
    <t>4.2 Групповой автомат (Однолинейка!Z:AU)</t>
  </si>
  <si>
    <t>Если на один автомат подключено несколько линий (группа), номинал считается так:</t>
  </si>
  <si>
    <t>1. Ток группы Z = сумма токов линий группы (линии «в тот же кабель» не суммируются).</t>
  </si>
  <si>
    <t>2. Номинал по току AA — по той же таблице с запасом 10 %.</t>
  </si>
  <si>
    <t>3. Минимальный номинал по типу BB = больший из: автомат вручную («Исходные данные» R) и минимальный автомат кода («Справочная» AX).</t>
  </si>
  <si>
    <t>4. Номинал AO = max(AA, max BB по группе).</t>
  </si>
  <si>
    <t>5. Если в группе есть блок питания или трансформатор — не меньше «Справочная» BF5.</t>
  </si>
  <si>
    <t>6. Итог AU берётся из текста автомата (H), например «1P С16А» → 16.</t>
  </si>
  <si>
    <t>Проверки (Однолинейка!W):</t>
  </si>
  <si>
    <t>•  «ПЕРЕГРУЗ», если ток группы &gt; In;</t>
  </si>
  <si>
    <t>•  «КАБЕЛЬ НЕ ЗАЩИЩЁН», если In &gt; наименьшего «максимального автомата по кабелю» среди линий группы (AB, AP). Проверка не делается за БП / трансформатором.</t>
  </si>
  <si>
    <t>Вердикт: ✅. Требование Iр ≤ In ≤ Iдоп (ГОСТ Р 50571.4.43, п. 433.1) выполнено. Условие I2 ≤ 1,45·Iдоп для модульных автоматов по ГОСТ IEC 60898-1 выполняется автоматически (I2 = 1,45·In).</t>
  </si>
  <si>
    <t>ПРИМЕЧАНИЕ: сечение линии подбирается по её собственному автомату (4.1), а не по групповому. Если групповой автомат больше, сработает проверка «КАБЕЛЬ НЕ ЗАЩИЩЁН». Это правильно, но в v4 сечение лучше подбирать сразу по групповому автомату.</t>
  </si>
  <si>
    <t>4.3 Полюса и 30 мА (Однолинейка!AR:AT)</t>
  </si>
  <si>
    <t>•  30 мА: текст автомата содержит «мА», или F = «да», или хотя бы у одной линии группы код требует 30 мА («Справочная» AW); F = «нет» отменяет.</t>
  </si>
  <si>
    <t>•  Полюса: 3ф — 3P (с 30 мА 4P), 1ф — 1P (с 30 мА 2P).</t>
  </si>
  <si>
    <t>•  Предупреждение «розетка без 30 мА» для кода R.</t>
  </si>
  <si>
    <t>Норма: ПУЭ 7.1.79 и СП 256 (применение ВДТ для розеточных сетей). Вердикт: ✅.</t>
  </si>
  <si>
    <t>5. Сечение кабеля ('Исходные данные'!V)</t>
  </si>
  <si>
    <t>Алгоритм:</t>
  </si>
  <si>
    <t>1. Требуемый допустимый ток: Iтреб = In / (k_жил · К_прокл).</t>
  </si>
  <si>
    <t>•  k_жил = 0,92 для 3ф кабеля с 4–5 жилами, иначе 1;</t>
  </si>
  <si>
    <t>•  К_прокл — из «Исходные данные» BH, иначе общий («Справочная» BQ30, сейчас 1).</t>
  </si>
  <si>
    <t>2. Столбец таблицы: одножильные (O = 1), двухжильные (1ф, нагружены L и N), трёхжильные (3ф).</t>
  </si>
  <si>
    <t>3. Берётся наименьшее сечение с Iдоп ≥ Iтреб. Больше 240 мм² — «Не исп».</t>
  </si>
  <si>
    <t>4. Сечение вручную (Q) важнее расчёта.</t>
  </si>
  <si>
    <t>Таблица («Справочная» BX:CA) — медь, прокладка в воздухе. Значения совпадают с ПУЭ табл. 1.3.7 (кабели с медными жилами в ПВХ / резиновой оболочке): 1,5 мм² — 23 / 19 / 19 А; 2,5 — 30 / 27 / 25 А; 25 — 140 / 115 / 95 А и т. д. В книге таблица подписана «ПУЭ табл. 1.3.6» — это ошибка подписи. Коэффициент 0,92 для четырёхжильных кабелей — ПУЭ п. 1.3.10.</t>
  </si>
  <si>
    <t>Норма: ГОСТ Р 50571.4.43 (In ≤ Iдоп); допустимые токи кабелей с ПВХ-изоляцией по ГОСТ 31996-2012 или по документации изготовителя; поправки на способ прокладки, группу и температуру — ГОСТ Р 50571.5.52.</t>
  </si>
  <si>
    <t>Вердикт: ⚠️.</t>
  </si>
  <si>
    <t>•  Таблица ПУЭ 1.3.7 исторически для резиновой изоляции. Для ВВГнг и ППГнг первичны данные изготовителя, затем ГОСТ 31996-2012, затем ГОСТ Р 50571.5.52.</t>
  </si>
  <si>
    <t>•  Поправочные коэффициенты на совместную прокладку (группу) и температуру не учитываются: только один общий К прокладки на линию. При пучке кабелей в лотке результат может быть завышен.</t>
  </si>
  <si>
    <t>•  Алюминиевые жилы не поддерживаются.</t>
  </si>
  <si>
    <t>В v4: таблица допустимых токов по ГОСТ 31996 (медь и алюминий, воздух и земля); способ прокладки на линию; коэффициент группы и температуры по ГОСТ Р 50571.5.52; подпись источника в заголовке.</t>
  </si>
  <si>
    <t>6. Длина линии ('Исходные данные'!M)</t>
  </si>
  <si>
    <t>L = Опуск · (2·n − 1) + Lплан + Подъём_этажа + По_другим_этажам</t>
  </si>
  <si>
    <t>•  Опуск — «Справочная» R по коду (м), n — число потребителей G: к каждому потребителю кабель опускается и поднимается, кроме последнего;</t>
  </si>
  <si>
    <t>•  Lплан — «Исходные данные» I (заполняет DLN.lsp из чертежа);</t>
  </si>
  <si>
    <t>•  подъём — «Справочная» AF:AG по этажу (только для кодов «этаж»).</t>
  </si>
  <si>
    <t>Разбивка по способу прокладки: лоток J, гофра ПВХ K, гофра ПНД L (K, L — из чертежа минус 4 м на опуски).</t>
  </si>
  <si>
    <t>Норма: не нормируется, проектный приём. Вердикт: ✅.</t>
  </si>
  <si>
    <t>7. Потери напряжения ('Исходные данные'!AA:AB, BG)</t>
  </si>
  <si>
    <t>Формула (ГОСТ Р 50571.5.52, прил. G):</t>
  </si>
  <si>
    <t>ΔU = b · (ρ · L / S · cos φ + x · L · sin φ / 1000) · I, В</t>
  </si>
  <si>
    <t>•  b = 2 для однофазной линии (фаза + нейтраль), 1 для трёхфазной;</t>
  </si>
  <si>
    <t>•  ρ = 0,0225 Ом·мм²/м — медь при рабочей температуре (1,25·ρ20), «Справочная» D;</t>
  </si>
  <si>
    <t>•  x — индуктивное сопротивление, Ом/км, по сечению («Справочная» C, 0,13…0,059);</t>
  </si>
  <si>
    <t>•  L — м, S — мм², I — А.</t>
  </si>
  <si>
    <t>ΔU% = ΔU / Uф · 100 (Uф = 231 В). Для трёхфазной линии это равно отношению линейных величин.</t>
  </si>
  <si>
    <t>Итог от ВРУ (BG) = ΔU линии + ΔU от ВРУ до шин щита («Питание_щита» стр. 33).</t>
  </si>
  <si>
    <t>Пределы (BF): светильники — 3 %, прочие — 4 %.</t>
  </si>
  <si>
    <t>Норма: СП 256 п. 8.23: потери от ВРУ здания до наиболее удалённых светильников не более 3 %, до прочих потребителей не более 4 %. При длине более 100 м допускается +0,005 % на каждый метр сверх 100, но не более +0,5 %. Суммарно от шин 0,4 кВ ТП до наиболее удалённого светильника — не более 7,5 %. (ГОСТ Р 50571.5.52 табл. G.52.1 даёт 3 % / 5 % — СП 256 строже, книга берёт СП 256.)</t>
  </si>
  <si>
    <t>Вердикт: ✅ формула и пределы. Не реализованы: надбавка за длину &gt; 100 м (в запас) и проверка 7,5 % от ТП.</t>
  </si>
  <si>
    <t>В v4: надбавка 0,005 %/м; ΔU внешней сети (от ТП до ВРУ) как исходное данное объекта и проверка 7,5 %.</t>
  </si>
  <si>
    <t>8. Токи КЗ и автоматическое отключение</t>
  </si>
  <si>
    <t>8.1 Сопротивление петли на шинах щита (Питание_щита!C34)</t>
  </si>
  <si>
    <t>•  если щит связан с вышестоящим: Zшин = Zшин вышестоящего (по связи) + Rпер;</t>
  </si>
  <si>
    <t>•  если щит — ВРУ от ТП: Zт = uк · Uн² / Sт (uк = 5,5 %, для Y/Yн ×3) + петля питающего кабеля + Rпер;</t>
  </si>
  <si>
    <t>•  если известен Iкз min от сетевой организации: Z = c_min · Uф / Iкз min.</t>
  </si>
  <si>
    <t>Петля питающего кабеля: 2 · ρкз · L / (S · n), ρкз(Cu) = 0,0263, ρкз(Al) = 0,042 Ом·мм²/м (≈1,5·ρ20).</t>
  </si>
  <si>
    <t>Rпер = 0,015 Ом на каждый щит («Питание_щита» C53).</t>
  </si>
  <si>
    <t>8.2 Iкз min в конце линии ('Исходные данные'!BL, BI)</t>
  </si>
  <si>
    <t>Zпетли = Zшин + 2 · ρкз(Cu) · L / S</t>
  </si>
  <si>
    <t>Iкз min = c_min · Uф / Zпетли, c_min = 0,95.</t>
  </si>
  <si>
    <t>8.3 Проверка отключения ('Исходные данные'!BJ, BK)</t>
  </si>
  <si>
    <t>Iкз min / In ≥ 5 (характеристика B), ≥ 10 (C), ≥ 20 (D) → «ok». Иначе «ok (УЗО 30 мА)», если у группы есть 30 мА, или «мало».</t>
  </si>
  <si>
    <t>Нормы:</t>
  </si>
  <si>
    <t>•  ПУЭ п. 1.7.79, табл. 1.7.1: время автоматического отключения в системе TN при Uф = 220 В — не более 0,4 с для групповых цепей; для распределительных цепей — не более 5 с;</t>
  </si>
  <si>
    <t>•  ГОСТ IEC 60898-1: зона мгновенного расцепления B — 3…5·In, C — 5…10·In, D — 10…20·In. Книга берёт верхнюю границу (в запас);</t>
  </si>
  <si>
    <t>•  ГОСТ 28249-93: п. 2.4.2 — нагрев проводников при КЗ, коэффициент 1,5 допускается при приближённых расчётах (совпадает с ρкз); п. 1.5 — рекомендуется учитывать сопротивление дуги и нагрев; п. 2.6 — переходные сопротивления контактов: 0,1 мОм на кабельное соединение, 1,0 мОм на коммутационный аппарат.</t>
  </si>
  <si>
    <t>•  Сопротивление дуги не учитывается: расчётный Iкз min получается выше реального. Это не в запас.</t>
  </si>
  <si>
    <t>•  Rпер 15 мОм на щит взят из справочной практики, а не из ГОСТ 28249. Частично компенсирует отсутствие дуги.</t>
  </si>
  <si>
    <t>•  Сечение PE принимается равным сечению фазы. Для кабелей с уменьшенным PE (например, 4×95+1×50) петля занижена.</t>
  </si>
  <si>
    <t>•  Индуктивное сопротивление линий не учитывается (существенно только от 50–70 мм²).</t>
  </si>
  <si>
    <t>•  В линиях только медь.</t>
  </si>
  <si>
    <t>•  c_min = 0,95 взят из МЭК 60909-0 (коэффициент напряжения для минимального тока КЗ в сетях до 1 кВ), в ГОСТ 28249 такого коэффициента нет. Допустимо.</t>
  </si>
  <si>
    <t>В v4: сопротивление дуги по ГОСТ 28249; сечение PE отдельно; материал жил; x линии от 35 мм².</t>
  </si>
  <si>
    <t>8.4 Iкз max и отключающая способность ('Исходные данные'!BM, Питание_щита!C36)</t>
  </si>
  <si>
    <t>Iкз max = 1,05 · Uф / (Zшин(3ф) + ρ20 · L / S), ρ20 = 0,0175.</t>
  </si>
  <si>
    <t>Норма: ГОСТ Р 50571.4.43 и СП 256 (в линиях I категории аппараты проверяются по режиму КЗ, ГОСТ IEC 60898-2 п. 8.8): отключающая способность аппарата ≥ Iкз max в месте установки.</t>
  </si>
  <si>
    <t>Вердикт: ❌. Iкз max считается, но с отключающей способностью (Icu, например 6 кА) не сравнивается. Сравнение оставлено инженеру (подсказка на «Питание_щита» стр. 36).</t>
  </si>
  <si>
    <t>В v4: Icu аппарата в «Каталоге»; автоматическая проверка Icu ≥ Iкз max на шинах.</t>
  </si>
  <si>
    <t>8.5 Данные для ТКЗ в объекте ЖД</t>
  </si>
  <si>
    <t>ВНИМАНИЕ: в объекте ЖД ТКЗ не считаются ни в одном щите. В ГРЩ‑ЖД на «Питание_щита» не введены Iкз от сетевой организации или данные трансформатора. Поэтому Zшин пусты, и столбцы BI:BM (Iкз, отключение 0,4 с) у всех нижних щитов пустые. Запросите у сетевой организации Iкз min / max на вводе и введите их в ГРЩ, раздел 2.</t>
  </si>
  <si>
    <t>9. Расчётная нагрузка щита (Нагрузка_щитов!AE:AH)</t>
  </si>
  <si>
    <t>9.1 Группы нагрузки</t>
  </si>
  <si>
    <t>Что относится</t>
  </si>
  <si>
    <t>Как считается</t>
  </si>
  <si>
    <t>розетки, свет, кондиционеры, тёплый пол, бытовые щиты</t>
  </si>
  <si>
    <t>Кс по табл. СП 256 по сумме Руст быт щита</t>
  </si>
  <si>
    <t>вентиляция, насосы, пищеблок, бассейн, хаммам</t>
  </si>
  <si>
    <t>Кс своей линии («Исходные данные» BA; пусто = 1), затем × Ко</t>
  </si>
  <si>
    <t>обогрев кровли, слаботочные шкафы, АСУ, СПЗ</t>
  </si>
  <si>
    <t>Кс = 1, без Ко</t>
  </si>
  <si>
    <t>вводы, резерв, транзит</t>
  </si>
  <si>
    <t>не учитывается</t>
  </si>
  <si>
    <t>фидер нижестоящего щита</t>
  </si>
  <si>
    <t>составляющие берутся из файла щита</t>
  </si>
  <si>
    <t>9.2 Формула</t>
  </si>
  <si>
    <t>Рр = Руст.быт · Кс.быт + Ко · Σ(Pсил · Кс) + Руст.пост, Ко = 0,9 («Справочная» BQ14).</t>
  </si>
  <si>
    <t>Кс быт — линейная интерполяция по таблице «Справочная» BP4:BQ11:</t>
  </si>
  <si>
    <t>≤14</t>
  </si>
  <si>
    <t>0,8</t>
  </si>
  <si>
    <t>0,65</t>
  </si>
  <si>
    <t>0,6</t>
  </si>
  <si>
    <t>0,55</t>
  </si>
  <si>
    <t>Считается для всего щита (аварийный режим) и по секциям 1 и 2. «Кс итоговый» = Рр / Руст.</t>
  </si>
  <si>
    <t>•  СП 256 табл. 7.2 (Кс для квартир повышенной комфортности по заявленной мощности) — значения совпадают ✅;</t>
  </si>
  <si>
    <t>•  СП 256 табл. 7.1, прим. 4 и 11: квартиры повышенной комфортности — по заданию или по заявленной мощности с Кс (табл. 7.2) и Ко (табл. 7.3); одноквартирный дом 55–300 м² — по удельным нагрузкам табл. 7.1;</t>
  </si>
  <si>
    <t>•  СП 256 п. 7.1.10, формула (6): Рр.ж.д = kп.к · Ркв + 0,9 · Рс; kп.к — табл. 7.5а (ЦФО 0,81, СЗФО 0,91 …);</t>
  </si>
  <si>
    <t>•  СП 256 п. 7.1.8, табл. 7.5: Кс для сантехнического оборудования и холодильных машин по числу электроприёмников (доля 100–85 %: 2 — 1,0; 3 — 0,9; 5 — 0,8; 8 — 0,75; 10 — 0,7; 15–20 — 0,65; 30 — 0,6; 50–100 — 0,55; 200 — 0,5; резервные не учитываются);</t>
  </si>
  <si>
    <t>•  Изменение № 9 к СП 256 (с 26.01.2026): к нагрузке квартир (домов) повышенной комфортности электроотопление прибавляется отдельно с Кс = 1, электроводонагреватели (и, по пересказу, тёплые полы) — с коэффициентом 0,7. Новый подраздел 7.5 — расчёт для ОИЖС (формула 17, табл. 7.19: 1 дом — 12 кВт с газовой плитой, 16,2 кВт с электроплитой + отопление, ВНГ, обогрев кровли отдельными слагаемыми).</t>
  </si>
  <si>
    <t>Вердикт:</t>
  </si>
  <si>
    <t>•  Кс быт по табл. 7.2 — ✅;</t>
  </si>
  <si>
    <t>•  отопление и тёплые полы в группе «Быт» снижаются табличным Кс — ❌ по Изм. 9 (должны идти отдельно с 1 и 0,7);</t>
  </si>
  <si>
    <t>•  Кс силовой нагрузки вводится вручную — ⚠️ (в объекте ЖД у всех линий ЩОВ‑001 стоит 0,5; по табл. 7.5 для 34 электроприёмников ≈ 0,59);</t>
  </si>
  <si>
    <t>•  Ко = 0,9 применяется на любом щите — ⚠️: по формуле (6) это коэффициент совмещения квартирной и силовой нагрузки на вводе дома. На чисто силовом щите (ЩОВ) он занижает Рр на 10 %;</t>
  </si>
  <si>
    <t>•  kп.к отсутствует — ⚠️ (нужно решение: применим ли он к дому повышенной комфортности; для многоквартирных домов обязателен).</t>
  </si>
  <si>
    <t>В v4:</t>
  </si>
  <si>
    <t>•  выбор метода на объект: «квартира / дом повышенной комфортности (табл. 7.2 + 7.3)», «ОИЖС (п. 7.5)», «многоквартирный дом (табл. 7.1 + kп.к)», «общественное здание»;</t>
  </si>
  <si>
    <t>•  группы «Отопление» (Кс 1) и «ВНГ / тёплый пол» (0,7);</t>
  </si>
  <si>
    <t>•  Кс сантехники и вентиляции — автоматически по табл. 7.5 по числу работающих электроприёмников и доле;</t>
  </si>
  <si>
    <t>•  Ко только на щите, где есть и бытовая, и силовая нагрузка (флажок «ВРУ дома»).</t>
  </si>
  <si>
    <t>9.3 Ток щита, cos φ, фазы</t>
  </si>
  <si>
    <t>•  Фаза линии назначается по кругу L1 → L2 → L3 для однофазных линий, трёхфазные — на все фазы («Разбивка_по_щитам» S:T). Вручную — «Нагрузка_щитов» E.</t>
  </si>
  <si>
    <t>•  Мощность фазы = Σ однофазных этой фазы + Σ трёхфазных / 3.</t>
  </si>
  <si>
    <t>•  Iр = max( Pфазы.max · Кс.итог / (Uф · cos φ) ; Рр / (√3 · Uн · cos φ) ) — по наиболее нагруженной фазе.</t>
  </si>
  <si>
    <t>•  cos φ щита = Σ(P · cos φ) / ΣP.</t>
  </si>
  <si>
    <t>Вердикт: ⚠️. Ток по наиболее нагруженной фазе — правильный инженерный приём. cos φ щита правильнее считать через реактивную мощность: Q = Σ P·tg φ, cos φ = P / √(P² + Q²). При смеси 0,95 и 0,8 ошибка — 1–2 %.</t>
  </si>
  <si>
    <t>9.4 Пожарные нагрузки</t>
  </si>
  <si>
    <t>Пожарные линии (BO = «да» или код с признаком «пожарная») идут отдельным режимом «Пожар» и в расчётный максимум не входят.</t>
  </si>
  <si>
    <t>Норма: СП 256 п. 7.1.9: мощность электроприёмников противопожарных устройств и резервных двигателей при расчёте нагрузок питающих линий и вводов не учитывается, кроме случаев, когда она определяет выбор аппаратов и сечений; для линий одновременно работающих противопожарных устройств Кс = 1.</t>
  </si>
  <si>
    <t>Вердикт: ✅. В книге ссылка на «СП 31-110-2003 п. 6.9» — заменить на СП 256 п. 7.1.9.</t>
  </si>
  <si>
    <t>10. Питающая линия и шины щита (Питание_щита, раздел 3)</t>
  </si>
  <si>
    <t>Строка</t>
  </si>
  <si>
    <t>Величина</t>
  </si>
  <si>
    <t>Формула</t>
  </si>
  <si>
    <t>Норма</t>
  </si>
  <si>
    <t>29–31</t>
  </si>
  <si>
    <t>Рр, Iр, cos φ щита</t>
  </si>
  <si>
    <t>из «Нагрузка_щитов»</t>
  </si>
  <si>
    <t>см. разд. 9</t>
  </si>
  <si>
    <t>(ρ·L/(S·n)·cos φ + 0,08·L/n·sin φ /1000)·Iр / Uф·100, ρ = 0,0225 (Cu) / 0,036 (Al)</t>
  </si>
  <si>
    <t>ГОСТ Р 50571.5.52 прил. G (x = 0,08 мОм/м)</t>
  </si>
  <si>
    <t>ΔU от ВРУ до шин</t>
  </si>
  <si>
    <t>ΔU вышестоящего + ΔU питающей; для ВРУ = 0</t>
  </si>
  <si>
    <t>СП 256 п. 8.23</t>
  </si>
  <si>
    <t>34–36</t>
  </si>
  <si>
    <t>Zпетли, Iкз min, Iкз max на шинах</t>
  </si>
  <si>
    <t>см. разд. 8</t>
  </si>
  <si>
    <t>ГОСТ 28249</t>
  </si>
  <si>
    <t>Iдоп питающего кабеля</t>
  </si>
  <si>
    <t>ПУЭ 1.3.7 × 0,92 (4–5 жил) × n × К прокл; для Al — «ПУЭ 1.3.7» вручную</t>
  </si>
  <si>
    <t>ГОСТ 31996</t>
  </si>
  <si>
    <t>Iр ≤ In ≤ Iдоп</t>
  </si>
  <si>
    <t>ГОСТ Р 50571.4.43 п. 433.1</t>
  </si>
  <si>
    <t>Отключение КЗ на шинах</t>
  </si>
  <si>
    <t>Iкз min ≥ 5 / 10 / 20 · In</t>
  </si>
  <si>
    <t>ПУЭ 1.7.79 (распред. цепи ≤ 5 с)</t>
  </si>
  <si>
    <t>Термическая стойкость кабеля</t>
  </si>
  <si>
    <t>t = (k·S / Iкз max)², k = 115 (Cu, ПВХ) / 76 (Al); если t &lt; 0,1 с — проверить по I²t аппарата</t>
  </si>
  <si>
    <t>ГОСТ Р 50571.4.43 п. 434.5.2</t>
  </si>
  <si>
    <t>Селективность</t>
  </si>
  <si>
    <t>In ≥ 1,6 · max In отходящих</t>
  </si>
  <si>
    <t>ориентир; подтверждать картами селективности изготовителя</t>
  </si>
  <si>
    <t>Трансформатор: Zт = uк · Uн² / Sт, uк = 5,5 % константой; для Y/Yн сопротивление петли ×3.</t>
  </si>
  <si>
    <t>Вердикт: ⚠️. ГОСТ 28249 требует сопротивления нулевой последовательности по данным изготовителя. Множитель 3 — грубая оценка.</t>
  </si>
  <si>
    <t>В v4: uк, Sт и схема из паспорта; Zт(1) / 3 по таблице изготовителя.</t>
  </si>
  <si>
    <t>11. Категории надёжности, режимы, ИБП</t>
  </si>
  <si>
    <t>Обеспечиваемая категория шины:</t>
  </si>
  <si>
    <t>1 ввод, питающая линия I особая / I / II</t>
  </si>
  <si>
    <t>шина ИБП или ДГУ</t>
  </si>
  <si>
    <t>•  ПУЭ 1.2.17–1.2.21: категория определяется последствиями перерыва питания; I — два независимых взаимно резервирующих источника, перерыв только на время автоматического восстановления (1.2.19); II — допускается перерыв на время ручного переключения (1.2.20);</t>
  </si>
  <si>
    <t>•  СП 256 табл. 6.1 — категории электроприёмников жилых и общественных зданий; п. 6.13 и 8.10 — АВР на вводе или самостоятельный щит с АВР у электроприёмников I категории;</t>
  </si>
  <si>
    <t>•  СП 6.13130.2021 — системы противопожарной защиты по I категории.</t>
  </si>
  <si>
    <t>Вердикт: ✅. Ограничение «один кабель — не выше II» соответствует ПУЭ 1.2.19 и СП 256 п. 8.10.</t>
  </si>
  <si>
    <t>Режимы («Режимы»): нормальный (СВ отключён), аварийный (потеря ввода 1 или 2), максимум аварийного, потеряны все вводы (только ИБП и ДГУ), пожар (вне максимума), нормальный + пожарные. Рр каждого набора линий считается по формуле разд. 9.2 заново (Кс быт — по сумме своего набора).</t>
  </si>
  <si>
    <t>Вердикт: ✅ (методика СП 256 п. 7.1.9 и разд. 9.2).</t>
  </si>
  <si>
    <t>ИБП («ИБП»):</t>
  </si>
  <si>
    <t>•  требуемая S = P / cos φ вых / допустимая загрузка (0,75);</t>
  </si>
  <si>
    <t>•  ёмкость АКБ, А·ч = P · 1000 · t / 60 / (U · КПД · k), k = 0,8 (разряд и старение);</t>
  </si>
  <si>
    <t>•  вход ИБП: P вх = P / КПД · (1 + заряд АКБ 10 %).</t>
  </si>
  <si>
    <t>Норма: не нормируется; время автономии для систем противопожарной защиты — по СП 6.13130 и СП 484.1311500. Вердикт: ⚠️ (инженерная методика, автономию задаёт проектировщик по нормам на конкретную систему).</t>
  </si>
  <si>
    <t>12. Таблица нагрузок для пояснительной записки и компенсация</t>
  </si>
  <si>
    <t>«Расчёт_нагрузок»: строки по видам нагрузки («Справочная» BT:BV, в v4 — столбец «Вид нагрузки»), для каждой — Руст, Кс = Рр / Руст, cos φ (средневзвешенный или из «Справочной» BU), tg φ, Рр, Qр = Рр·tg φ, Sр, Iр = Sр / (√3·Uн). Итог щита — с Ко = 0,9.</t>
  </si>
  <si>
    <t>Компенсация: Qку = Рр · (tg φ − 0,35); если &lt; 50 квар — «не требуется».</t>
  </si>
  <si>
    <t>Норма: СП 256 п. 7.3.1: для жилых и общественных зданий КРМ, как правило, не требуется; п. 7.3.2: для тепловых пунктов, насосных и т. п. — не требуется, если мощность КУ на рабочем вводе ≤ 50 квар (≈ 250 кВт нагрузки). Целевой tg φ = 0,35 — из приказа Минэнерго № 380 (предельные значения для потребителей), в СП 256 не задан.</t>
  </si>
  <si>
    <t>Вердикт: ✅.</t>
  </si>
  <si>
    <t>13. Кабельный журнал и спецификация</t>
  </si>
  <si>
    <t>•  Длина кабеля в журнале = длина трассы × (1 + запас 20 %) («Кабельный_журнал» D3). Запас — проектный приём, не норма. ⚠️ Вынести в настройку объекта.</t>
  </si>
  <si>
    <t>•  Спецификация считает автоматы, аппараты, модули, клеммы по «Однолинейке» (Каталог N) + ручной запас (O). Расчётом не является.</t>
  </si>
  <si>
    <t>14. Лист «ТКЗ»</t>
  </si>
  <si>
    <t>Старый ручной расчёт по участкам: Iкз = 220 / Zпетли, без c_min, без нагрева, свой справочник автоматов. В основной расчёт не входит (v1.04: «для тестирования»).</t>
  </si>
  <si>
    <t>Вердикт: ❌ (дублирует и противоречит «Питание_щита»). В v4: удалить.</t>
  </si>
  <si>
    <t>15. Пример: линия ККБ‑1 щита ЩОВ‑001 (объект ЖД)</t>
  </si>
  <si>
    <t>Исходные данные: P = 28 кВт, 3ф, 400 В, кабель ВВГнг(А)-LS 5×25 (сечение задано вручную), L = 34 м, автомат вручную 63 А, cos φ = 0,95, группа «Сил», Кс = 0,5.</t>
  </si>
  <si>
    <t>Шаг</t>
  </si>
  <si>
    <t>Результат</t>
  </si>
  <si>
    <t>В книге</t>
  </si>
  <si>
    <t>28 / (1,732 · 0,4 · 0,95)</t>
  </si>
  <si>
    <t>42,54 А</t>
  </si>
  <si>
    <t>T = 42,54 ✅</t>
  </si>
  <si>
    <t>Номинал по току</t>
  </si>
  <si>
    <t>42,54 &gt; 36 и ≤ 45 → 50 А (Iр ≤ 0,9·In)</t>
  </si>
  <si>
    <t>50 А</t>
  </si>
  <si>
    <t>«Однолинейка» AA = 50 ✅</t>
  </si>
  <si>
    <t>Номинал итог</t>
  </si>
  <si>
    <t>max(50; ручной 63)</t>
  </si>
  <si>
    <t>63 А</t>
  </si>
  <si>
    <t>AU = 63 ✅</t>
  </si>
  <si>
    <t>Iдоп кабеля</t>
  </si>
  <si>
    <t>ПУЭ 1.3.7, 3-жил., 25 мм² = 95 А × 0,92</t>
  </si>
  <si>
    <t>87,4 А ≥ 63 А</t>
  </si>
  <si>
    <t>«Однолинейка» AB = 80 (ближайший номинал ≤ 87,4) ✅</t>
  </si>
  <si>
    <t>ΔU</t>
  </si>
  <si>
    <t>1 · (0,0225·34/25·0,95 + 0,0662·34·0,31/1000) · 42,54 = 1,27 В</t>
  </si>
  <si>
    <t>0,55 %</t>
  </si>
  <si>
    <t>AB = 0,55 ✅</t>
  </si>
  <si>
    <t>ΔU от ВРУ</t>
  </si>
  <si>
    <t>0,55 + 0,5 (до шин ЩОВ‑001)</t>
  </si>
  <si>
    <t>1,05 % ≤ 4 %</t>
  </si>
  <si>
    <t>BG = 1,05 ✅</t>
  </si>
  <si>
    <t>Iкз, 0,4 с</t>
  </si>
  <si>
    <t>нет данных сети в ГРЩ</t>
  </si>
  <si>
    <t>пусто ⚠️ (разд. 8.5)</t>
  </si>
  <si>
    <t>Что даст проверка по нормам для этой линии:</t>
  </si>
  <si>
    <t>•  cos φ ККБ по СП 256 п. 7.1.12 — 0,8 → I = 28 / (1,732·0,4·0,8) = 50,5 А. Номинал по току с запасом 10 % → 63 А (совпадает с ручным), Iдоп 87,4 А — сечение достаточно.</t>
  </si>
  <si>
    <t>Щит ЩОВ‑001 целиком: Руст = 211,22 кВт (вся нагрузка «Сил»), Σ P·Кс = 105,61 кВт, Рр = 0,9 · 105,61 = 95,05 кВт, Iр = 146,4 А (по наиболее нагруженной фазе 71,36 кВт).</t>
  </si>
  <si>
    <t>По нормам: Кс по табл. 7.5 для 34 электроприёмников ≈ 0,59 (вместо 0,5), без Ко (щит чисто силовой), cos φ 0,8 → Рр ≈ 211,22 · 0,59 ≈ 125 кВт (+31 %), Iр ≈ 125 / (1,732·0,4·0,8) ≈ 225 А (+54 %).</t>
  </si>
  <si>
    <t>ВНИМАНИЕ: это оценка для иллюстрации. Точный Кс зависит от числа одновременно работающих электроприёмников без резервных (табл. 7.5, прим. 3) и доли сантехнической нагрузки. Решение — за инженером. Питающая линия ЩОВ‑001 защищена аппаратом 400 А, поэтому вывод по аппарату не меняется, но расчётная нагрузка объекта для ТУ вырастет.</t>
  </si>
  <si>
    <t>16. Что решить инженеру до v4</t>
  </si>
  <si>
    <t>1. Метод расчёта бытовой нагрузки объекта ЖД: дом повышенной комфортности (табл. 7.2) или ОИЖС (п. 7.5, Изм. 9).</t>
  </si>
  <si>
    <t>2. kп.к: применять ли региональный коэффициент к отдельному дому.</t>
  </si>
  <si>
    <t>3. Таблица допустимых токов: ГОСТ 31996 или данные конкретного изготовителя кабеля.</t>
  </si>
  <si>
    <t>4. cos φ вентиляции и насосов: 0,8 по СП 256 или паспортные значения.</t>
  </si>
  <si>
    <t>5. Кс силовой нагрузки: автоматически по табл. 7.5 или вручную по заданию технологов.</t>
  </si>
  <si>
    <t>6. Данные сети для ТКЗ: запросить у сетевой организации Iкз min / max на вводе ГРЩ.</t>
  </si>
  <si>
    <t>17. Что реализовано в v4</t>
  </si>
  <si>
    <t>Книга v4 — один файл на объект. Методика выбирается на листе «Объект» (C8): «v3.12» — формулы как в старой книге (для сверки), «нормы 2026» — с исправлениями ниже. Расчёт в обоих режимах одинаков, кроме перечисленного.</t>
  </si>
  <si>
    <t>v3.12</t>
  </si>
  <si>
    <t>нормы 2026 (v4)</t>
  </si>
  <si>
    <t>cos φ силовых линий без ручного значения</t>
  </si>
  <si>
    <t>0,95</t>
  </si>
  <si>
    <t>0,8 (СП 256 п. 7.1.12)</t>
  </si>
  <si>
    <t>Кс силовых линий без ручного значения</t>
  </si>
  <si>
    <t>по табл. 7.5 СП 256 по числу силовых линий щита (таблица на листе «Объект»)</t>
  </si>
  <si>
    <t>на любом щите</t>
  </si>
  <si>
    <t>только если на щите есть и бытовая, и силовая нагрузка (формула 6)</t>
  </si>
  <si>
    <t>Электроотопление</t>
  </si>
  <si>
    <t>в группе «Быт» (снижается Кс)</t>
  </si>
  <si>
    <t>группа «Отоп», Кс = 1, отдельным слагаемым (Изм. 9)</t>
  </si>
  <si>
    <t>Водонагреватели (тёплые полы)</t>
  </si>
  <si>
    <t>в группе «Быт»</t>
  </si>
  <si>
    <t>группа «ВНГ», × 0,7 отдельным слагаемым (Изм. 9)</t>
  </si>
  <si>
    <t>kп.к</t>
  </si>
  <si>
    <t>настройка объекта (C9), по умолчанию 1</t>
  </si>
  <si>
    <t>Допустимая ΔU</t>
  </si>
  <si>
    <t>3 % / 4 %</t>
  </si>
  <si>
    <t>3 % / 4 % + 0,005 %/м после 100 м, не более +0,5 % (СП 256 п. 8.23)</t>
  </si>
  <si>
    <t>Отключающая способность</t>
  </si>
  <si>
    <t>не проверялась</t>
  </si>
  <si>
    <t>Icu автомата (из «Каталога») ≥ Iкз max на шинах — замечание в «Проверке»</t>
  </si>
  <si>
    <t>Сборка нагрузки по щитам. Для каждого щита вычисляется путь от ВРУ (лист «Щиты», столбец «Путь»). Нагрузка щита = составляющие всех линий щита и нижестоящих щитов (Руст быт, Σ P·Кс силовых, Руст пост, Р отоп, 0,7·Р ВНГ, Σ P·cos φ); Кс быт и Ко применяются к сумме. ΔU до шин и Zпетли нижнего щита = ΔU / петля источника + Σ по фидерам на пути (+ Rпер на каждый щит).</t>
  </si>
  <si>
    <t>Режимы (лист «Нагрузки»): линии нижних щитов относятся к источнику своего фидера в выбранном щите; линия на шине ИБП/ДГУ нижнего щита в текущей версии относится к источнику фидера (подстановка входа ИБП нижнего щита — в следующей версии). Пожарная линия-фидер делает пожарной всю нагрузку нижнего щита.</t>
  </si>
  <si>
    <t>Сверка v4 с v3.12 на объекте ЖД (режим «v3.12»): автоматы 348/349, сечения 346/350, cos φ 350/350, длины 331/350, 12 щитов из 17 — полностью. Остальные расхождения — исправления v3.12: ошибка шаблона в формуле фаз (строки 29–127 листа «Нагрузка_щитов» брали фазу соседней строки), подключение ЩГП и ЩО‑001, учёт линии вне схемы, объединение справочников кодов.</t>
  </si>
  <si>
    <t>18. Что меняется в v5 (бета): автоподбор, фазы, категории и итоги по вводам</t>
  </si>
  <si>
    <t>В v5 таблица сама предлагает значения (серым) и проверяет ручные (синим). Расчётные формулы разделов 1–17 те же; ниже — как выбираются значения, которые раньше вводились вручную.</t>
  </si>
  <si>
    <t>Мощность линии. Если мощность не вписана: Р = «кВт на шт» кода (лист «Коды») × число потребителей из DLN. Для розеток в шаблоне 0,06 кВт на розетку (правило отдела; пункт СП сверить при выпуске). Фидер — Руст нижнего щита. Ввод щита (код «Ввод»): щит с одним вводом или с АВР — Руст, Iр и cos φ всего щита (при потере ввода оставшийся тянет всё — по этому режиму подбираются автомат и кабель ввода); два–три ввода без АВР — сумма линий своей секции (тот же источник, раздел 11).</t>
  </si>
  <si>
    <t>Группа. «гр» в столбце «Группа» — линия на автомате строки выше. Ток группы = сумма токов линий группы. Полюса, ток утечки и минимальный номинал берутся по всем линиям группы (ток утечки — самый строгий). Строки без номера линии (резерв канала, «+») относятся к группе выше; строка «вручную» группу прерывает.</t>
  </si>
  <si>
    <t>Автомат. In = наименьший номинал ряда с Iр.гр ≤ 0,9·In (ГОСТ Р 50571.4.43 п. 433.1, запас 10 %), но не меньше минимума кода (свет 10 А, розетки 16 А — таблица «Коды», столбец «Мин. автомат, А») и не меньше 10 А перед БП и трансформатором. Полюса: 1ф — 1P, 3ф — 3P; с дифзащитой (вид аппарата кода «дифавтомат») — 2P / 4P и «… 30мА». Характеристика — по коду (по умолчанию C). Ручное значение: число (номинал), «C25» или полная запись «2P C25А 30мА».</t>
  </si>
  <si>
    <t>Сечение. Наименьшее сечение из ряда, не меньше минимума кода и 1,5 мм², при котором одновременно:</t>
  </si>
  <si>
    <t>1. Iдоп·Kж·Kпрокл ≥ In автомата группы (ПУЭ табл. 1.3.4–1.3.7, п. 1.3.10; ГОСТ Р 50571.4.43 п. 433.1). Линии группы подбираются по автомату группы, а не по своему току (в v3.12 и v4 — по своему току);</t>
  </si>
  <si>
    <t>2. ΔU от ВРУ ≤ 3 % до светильников и 4 % до прочих (+0,005 %/м после 100 м, СП 256 п. 8.23);</t>
  </si>
  <si>
    <t>3. Iкз min в конце линии ≥ 5·In (B), 10·In (C), 20·In (D) — отключение за 0,4 с (ПУЭ 1.7.79, ГОСТ IEC 60898-1). Если в группе есть дифзащита, условие считается выполненным.</t>
  </si>
  <si>
    <t>Для условий 2 и 3 потери и сопротивление петли до шин щита берутся по сечениям питающих фидеров, подобранным по току (иначе подбор зациклится: сечение фидера → ΔU щита → сечение фидера). Точная проверка по фактическим сечениям — в столбце «Замечания» и на листе «Проверка».</t>
  </si>
  <si>
    <t>Фазы. Автоматы щита без ручной фазы раскладываются так: сначала учитываются заданные нагрузки (ручные фазы, трёхфазные линии — по 1/3 на фазу), затем группы по убыванию мощности, каждая — на наименее нагруженную фазу. Линии группы получают фазу своего автомата. Ручная фаза не меняется; если линия группы стоит на другой фазе — замечание. Iр щита по-прежнему считается по наиболее нагруженной фазе.</t>
  </si>
  <si>
    <t>Категории. У линий категории нет — категория есть только у вводов (шин) щита. Категория ввода: своя (строка «Ввод», столбец «Категория ввода» в «Ещё»), иначе по шине — ИБП и ДГУ дают I особую, остальные — «Категория шины «Ввод»» щита по таблице раздела 11. Проверка v4 «категория линии не выше категории шины» убрана: какие нагрузки какой категории, инженер решает по заданию (СП 256 табл. 6.1) и выбирает для них ввод.</t>
  </si>
  <si>
    <t>Итоги по вводам (лист «Щит», под схемой). Набор линий каждого ввода: линии щита с источником этого ввода (столбцы «Шина», «Секция»), нижние щиты — по источнику своего фидера, шина ИБП — к вводу из «ИБП от» (если у щита нет отдельного ввода с шины ИБП). Руст, Рр, Iр, cos φ, Кс считаются по набору формулой раздела 9.2 заново (Кс быт — по сумме своего набора). Нагрузка фаз L1–L3 — Рр ввода, разнесённая пропорционально Р линий по фазам. Итоги — нормальный режим; у щита с АВР строка «Ввод» в таблице под схемой показывает всю нагрузку щита (аварийный режим).</t>
  </si>
  <si>
    <t>Сверка v5 (режим «v3.12»): ЖК «Остров» — мощность, ток, сечение, длина, ΔU, группа Кс, cos φ 52/52. Объект ЖД: cos φ 350/350, сечения 344/350, мощность 333/350; разница по токам щитов — из-за ручных фаз (в v3.12 их сдвигала ошибка шаблона) и автобалансировки, по автоматам — из-за подбора на группу.</t>
  </si>
  <si>
    <t>19. Документы и проверки v5 (пункт 2): ток утечки, Lмакс, журнал, спецификация</t>
  </si>
  <si>
    <t>Ток утечки (столбец «Ток утечки, мА» в «Ещё»). ПУЭ 7.1.83: суммарный ток утечки сети с электроприёмниками в нормальном режиме — не больше 1/3 номинального тока УЗО; без данных ток утечки электроприёмников — 0,4 мА на 1 А тока нагрузки, сети — 10 мкА на 1 м длины фазного проводника. В книге: Iут = 0,4·Iр + 0,01·L, мА; у группы на одном автомате — сумма по линиям группы. Если у группы дифзащита IΔn и Iут &gt; IΔn/3 — замечание. Фидеры и вводы не считаются.</t>
  </si>
  <si>
    <t>Вердикт: ✅ по формуле ПУЭ. ⚠️ Для трёхфазных линий берётся длина линии, а не сумма длин трёх фазных проводников (токи утечки фаз в УЗО частично компенсируются) — при сомнении считать по паспортным токам утечки оборудования.</t>
  </si>
  <si>
    <t>Lмакс по КЗ (столбец «Lмакс по КЗ, м»). Из формулы Iкз min раздела 10: L = (c_min·Uф / (k·In) − Zпетли на шинах)·S / (2·ρкз), k — кратность (B 5, C 10, D 20), ρкз = 1,5·ρ20; для линии группы — In автомата группы. Нет данных сети на шинах — пусто. Если «Длина, м» близка к Lмакс — запаса нет: больше сечение или другая характеристика.</t>
  </si>
  <si>
    <t>Вердикт: ✅ (ПУЭ 1.7.79, ГОСТ 28249; та же модель, что у проверки «Отключение ≤ 0,4 с»).</t>
  </si>
  <si>
    <t>Кабельный журнал. Строки — линии с кабелем выбранного щита или всего объекта (ячейка E1). Ввод щита в журнал не попадает, если фидер щита есть в книге (иначе кабель учтётся дважды). Размер гофры — справочник «Кабель_диаметр» (лист «Справочная_потребители»): мин. внутренний диаметр трубы = max(14 мм; 1,2·Dнаруж), ближайший размер гофры ПВХ или ПНД по таблицам внутренних диаметров (как в v1.05 и v3.12). В v5 справочник дополнен сечениями от 10 мм², FRLS, ВБШв, МКЭШ и слаботочными кабелями — диаметры ориентировочные (каталоги производителей), уточняйте в столбце U. «Ø?» — кабеля нет в справочнике.</t>
  </si>
  <si>
    <t>Сводки справа: кабели — сумма длин трассы, «с запасом» = вверх до 1 м от L·(1 + запас), «в спецификацию» — вверх до 10 м; гофра — по типу и диаметру, «в спецификацию» — вверх до целой бухты (таблица «Гофра_изделия»); лоток; сводка ПТО — ключ «кабель + потолок/пол (1/2)» → артикул ПТО по таблице «Таблицы_норм» AJ:AK. Запас по умолчанию 20 % (ячейка L1).</t>
  </si>
  <si>
    <t>Спецификация. Раздел 1: корпус и комплект — вручную (таблица «Спец_вручную», строка на позицию, столбец «Щит»); аппараты — из «Каталога» по схеме (как в v3.12, через «Спецификация_авто»); автоматы и аппараты, которых нет в «Каталоге», — отдельными строками с пометкой «впишите артикул» (в v3.12 и v4 они терялись). Раздел 2: кабели по марке и сечению (линия «5хВВГнг… (1х185)» — пять кабелей × длина), количество — вверх до 10 м от L·(1 + запас); гофра — вверх до бухты; крепёж — нормы расхода: количество = вверх до кратности от (база × норма на 1 м), база — метры гофры (по диаметру, «ПВХ все», «ПНД все») или кабеля после округления.</t>
  </si>
  <si>
    <t>Нормы по умолчанию — по спецификации ЩР-1.1 проекта «Жуковка»: клипсы и держатели — 2 шт. на 1 м гофры ПВХ; гвозди и газовые баллоны — 1 упаковку на 1000 клипс; лента перфорированная — 1 на ~330 м гофры ПНД.</t>
  </si>
  <si>
    <t>Вердикт: ⚠️ нормы крепежа — практика отдела, не норматив; правьте в таблице «Нормы_расхода» под объект.</t>
  </si>
  <si>
    <t>Выгрузка для AutoCAD (кнопка на листе «Щит»): значения без формул в файл «&lt;книга&gt;_AutoCAD.xlsx» рядом с книгой; на каждый щит — листы «&lt;щит&gt; схема», «&lt;щит&gt; итоги», «&lt;щит&gt; журнал», «&lt;щит&gt; спец». Имена листов постоянные, поэтому Data Link в AutoCAD после новой выгрузки достаточно обновить.</t>
  </si>
  <si>
    <t>20. Линии до 50 В (LED 24 В, 12 В) — пункт 3</t>
  </si>
  <si>
    <t>Признак: напряжение линии ≤ 50 В (столбец «Напряжение» в «Ещё» или «Напряжение» кода). Это линии после блока питания: в таблице — группа «автомат → МК → БП (→ диммер)», линии 24 В идут с «гр» под строкой автомата.</t>
  </si>
  <si>
    <t>Ток и потери. I = P/U (постоянный ток). ΔU = 2·ρ·L·I / S (два провода), в % — от U линии. Допустимо — «Объект» C14, по умолчанию 5 %; считается от выхода БП (потери до шин щита не прибавляются: БП стабилизирует выход). Раньше (таблицы 1.05, проект «Жуковка») в основной таблице потери 24 В считались как для 230 В — ошибка исправлена.</t>
  </si>
  <si>
    <t>Сечение. Наименьшее из ряда, не меньше минимума кода и 1,5 мм², при котором Iдоп·К ≥ I линии и ΔU ≤ допустимого. Проверка Iкз и «Отключение ≤ 0,4 с» для таких линий не выполняется: кабель после БП, ток ограничивает БП, автомат стоит на стороне 230 В. Жил по умолчанию 2.</t>
  </si>
  <si>
    <t>Автомат группы — по току на стороне 230 В: I = P / (Uф·cos φ), не меньше «минимального автомата перед БП».</t>
  </si>
  <si>
    <t>Блок питания. Мощность и напряжение — из «Аппаратов» строки автомата («БП 24V 480W»). Нужно = запас («Объект» C13, 1,3) × Σ (U + ΔU)·I по линиям группы — как в листе «Расчет_БП» v1.05. «Uвых БП» = max (U + ΔU) — напряжение на выходе, при котором у самой нагруженной линии в конце остаётся номинал. Замечания: БП меньше нужного; напряжение БП не совпадает с линией; линии до 50 В без БП в «Аппаратах».</t>
  </si>
  <si>
    <t>Ток канала модуля (диммер, DALI): «Каталог», столбец Q «Ток канала, А»; линии на одном канале («=») суммируются.</t>
  </si>
  <si>
    <t>Вердикт: ⚠️ допуск 5 % — практика (производители LED-лент обычно допускают 5–10 %), СП и ПУЭ для таких сетей потерь не нормируют; запас 1,3 — правило отдела.</t>
  </si>
  <si>
    <t>Длина линии (поправка v5): если «Кол-во потребителей» пусто, число опусков считается за 1 (раньше один опуск вычитался).</t>
  </si>
  <si>
    <t>21. Модули, УЗО на группу, порядок щита, выдача и изменения — пункт 4</t>
  </si>
  <si>
    <t>Модули по умолчанию. «Объект», таблица «Модули_умолч»: управление → модель («Каталог») и каналов на линию. По умолчанию — как в проекте «Жуковка»: Relay и шторы — ZIOMB24V2 (шторы — 2 выхода: вверх/вниз), DIM — ZDINDX4, DALI — ZDID64X2 (0 каналов: группы на одной шине шлюза), клапаны — ZCL-8HT230. Подряд идущие линии с одним управлением (или одной моделью) идут на каналы одного модуля; новый модуль — когда каналы кончились. Свой модуль (модель в строке) — блок до «-», как в v3.12.</t>
  </si>
  <si>
    <t>УЗО на группу автоматов. Строка «УЗО.1» (код «УЗО», без кабеля и нагрузки), в «Аппаратах» — «УЗО 2P 40А 30мА»; ниже — линии со своими автоматами и «узо» в «Группе». Номинал и уставка УЗО читаются из текста. Автомат строки УЗО подбирается по сумме токов блока; линии блока — обычные автоматы (дифзащиту даёт УЗО), «Отключение ≤ 0,4 с» и «розетка без дифзащиты» учитывают уставку УЗО. Проверки: номинал УЗО ≥ номинала автомата перед ним и ≥ тока блока; ток утечки блока (ПУЭ 7.1.83, сумма по линиям) ≤ 1/3 уставки. Блок с УЗО 2P — на одной фазе (в расклад фаз идёт строкой УЗО с мощностью блока); с 4P — линии раскладываются как обычно.</t>
  </si>
  <si>
    <t>Вердикт: ✅ (ПУЭ 7.1.83; согласование номиналов — практика проектирования). Шина УЗО на схеме — пункт 5 (SXDRAW).</t>
  </si>
  <si>
    <t>«Упорядочить щит» (макрос): вводной узел (строки «вручную» и места узла) остаётся на месте; остальное — блоками (автомат с «гр», блок УЗО, свой модуль) по управлению (Relay, DIM, DALI, шторы, клапаны, без управления), коду, помещению, номеру линии. Формулы соседних строк после сортировки остаются верными (ссылки «строка выше» относительные), затем макрос чинит формулы.</t>
  </si>
  <si>
    <t>«Зафиксировать выдачу» и «Изменения». Снимок ключевых полей каждой линии (наименование, Р, автомат, сечение, длина, фаза, кабель, модуль, канал, клемма, место, лист схемы) — на скрытый лист «_выдача» с номером изменения и датой. «Изменения»: добавленные, удалённые и изменённые линии (было → стало) по щитам; по каждому щиту — листы схемы с изменениями (для таблицы изменений в основной надписи). В «Линиях» изменённые ячейки подсвечены. Автофазы после правок могут переставиться — поэтому перед выдачей их закрепляют.</t>
  </si>
  <si>
    <t>Источники</t>
  </si>
  <si>
    <t>•  СП 256.1325800.2016, ред. 01.03.2022 — полный текст (КонсультантПлюс, опубликован на сайте ГУ МЧС): https://22.mchs.gov.ru/uploads/resource/2023-03-02/8cd1efa9150e03022668bf3a9b3922e2.docx</t>
  </si>
  <si>
    <t>•  Изменение № 9 к СП 256.1325800.2016 (приказ Минстроя от 25.12.2025 № 846/пр): https://meganorm.ru/mega_doc/norm_update_01032026/prikaz/0/izmenenie_N_9_k_sp_256_1325800_2016_elektroustanovki_zhilykh.html</t>
  </si>
  <si>
    <t>•  Изменение № 6 к СП 256.1325800.2016: https://meganorm.ru/mega_doc/norm/prikaz/13/izmenenie_N_6_k_sp_256_1325800_2016_elektroustanovki_zhilykh.html</t>
  </si>
  <si>
    <t>•  ГОСТ 28249-93: https://dnaop.com/html/65618/doc-%D0%93%D0%9E%D0%A1%D0%A2_28249-93</t>
  </si>
  <si>
    <t>•  ГОСТ Р 50571.5.52-2011, прил. G: https://www.normacs.info/answers/5995, https://meganorm.ru/Data2/1/4293792/4293792410.htm</t>
  </si>
  <si>
    <t>•  Выбор допустимых токов кабелей (изготовитель → ГОСТ 31996 → ГОСТ Р 50571.5.52), ответ эксперта NormaCS: https://www.normacs.info/answers/6099</t>
  </si>
  <si>
    <t>•  ПУЭ 7-е изд. (табл. 1.3.7, п. 1.3.10, п. 1.7.79, п. 1.2.17–1.2.21, п. 7.1.83 — ток утечки), ГОСТ Р 50571.4.43-2012, ГОСТ IEC 60898-1 — по тексту норм, номера пунктов сверить при выпуске v4.</t>
  </si>
  <si>
    <t>КАК НАСТРАИВАТЬ ЛИСТ «ОБЪЕКТ»</t>
  </si>
  <si>
    <t>Лист задаёт настройки ВСЕГО объекта. Обычно меняют только C3 (название), C8 (методика), C9 (kп.к) и C10–C12 (наименования, марка для пожарных линий).</t>
  </si>
  <si>
    <t>C10 Наименование линии: «по коду и № помещения» — «Розеточная группа, пом. 105»; «по экспликации» — название помещения из таблицы «Экспликация» (лист «Коды»). C11 — писать ли «пом.». C12 — марка кабеля для пожарных линий (обозначение из «Коды» → «Кабели»). C13–C14 — линии до 50 В (LED 24 В): запас мощности БП (1,3) и допустимые потери от БП (5 %).</t>
  </si>
  <si>
    <t>C3 Объект — название и адрес. Идёт в таблицу для пояснительной записки.</t>
  </si>
  <si>
    <t>C4–C7 Ток КЗ: ρ меди/алюминия при нагреве, переходные сопротивления на каждый щит, c_min. Влияют на Iкз min в конце линий и проверку отключения ≤ 0,4 с. Значения по ГОСТ 28249 — не меняйте без причины.</t>
  </si>
  <si>
    <t>C8 Методика: «нормы 2026» — расчёт по СП 256 с Изм. 9 (cos φ силовых 0,8, Кс силовых по табл. 7.5, Ко только при бытовой + силовой нагрузке, отопление и ВНГ отдельно). «v3.12» — как старая книга, только для сверки.</t>
  </si>
  <si>
    <t>C9 kп.к — региональный коэффициент к бытовой нагрузке (СП 256 табл. 7.5а). Частный дом — 1. Многоквартирный дом — значение региона (ЦФО 0,81).</t>
  </si>
  <si>
    <t>F2:G14 Кс силовых по числу электроприёмников (СП 256 табл. 7.5, доля сантехники 100–85 %). Применяется к силовым линиям без ручного Кс в режиме «нормы 2026».</t>
  </si>
  <si>
    <t>B15:C22 ИБП — допустимая загрузка, cos φ, автономия, напряжение АКБ, КПД, разряд, заряд. Влияют на подбор ИБП и на нагрузку входа ИБП на вводе (лист «Режимы»).</t>
  </si>
  <si>
    <t>Где ещё настройки: Uн, общий К прокладки, таблица Кс быт, мест на лист схемы — лист «Таблицы_норм» (BF4, BQ29, BQ30, BP4:BQ11).</t>
  </si>
  <si>
    <t>КАК ЗАПОЛНЯТЬ ЛИСТ «ЩИТЫ» (и таблицу «Шины» справа)</t>
  </si>
  <si>
    <t>ЩИТЫ: одна строка — один щит объекта. Жёлтые столбцы — ввод, серые — результат. Серый курсив во вводе — выбор книги, синее — ваше. Свёрнутые столбцы (кнопка «+») — подробности расчёта.</t>
  </si>
  <si>
    <t>Для КАЖДОГО щита: Щит (имя, как в «Линиях»), Вводов (1/2/3), АВР (да/нет), ИБП от (Ввод 1/2/3), Мест под вводной узел (17 — весь первый лист, 11 — узел на части листа).</t>
  </si>
  <si>
    <t>«Питается от» серым книга находит сама по линии-фидеру в «Линиях» (номер линии = имя щита, или столбец «Питает щит»). Вписывайте, только если фидера в книге нет.</t>
  </si>
  <si>
    <t>Только для ВРУ / ГРЩ (щит без вышестоящего): данные сети — Iкз min и Iкз max от сетевой организации, или «ТП» и мощность трансформатора; питающий кабель и аппарат. Без них ток КЗ не считается ни в одном щите.</t>
  </si>
  <si>
    <t>Результат: Руст, Рр, Iр, cos φ — щит вместе со всеми нижестоящими; ΔU до шин и Iкз — от ВРУ по фидерам; «Категория шины «Ввод»» — какую категорию дают вводы щита; «Замечания щита» — что исправить. Итоги по каждому вводу — лист «Щит».</t>
  </si>
  <si>
    <t>ТАБЛИЦА «ШИНЫ» (справа от таблицы щитов): нужна, только если тип шины НЕ определяется сам. Обычно пустая.</t>
  </si>
  <si>
    <t>Как определяется сам: в «Линиях» в столбце «Шина» (в строке с автоматом) пишется имя шины. Имя содержит «ИБП» → шина ИБП (категория I особая); «ДГУ» → шина ДГУ; иначе — основная шина секции линии (Ввод 1/2/3 по столбцу «Секция»).</t>
  </si>
  <si>
    <t>Когда заполнять: имя шины не говорит о её типе. Пример: шина «ЩГП» питается от ИБП → строка: Шина = ЩГП, Щит = ЩР-1 (или пусто — для всех щитов), Тип = ИБП. Пример: «Шина вентиляции» без резерва → Тип = Одиночная (категория III).</t>
  </si>
  <si>
    <t>Типы: Ввод 1 / Ввод 2 / Ввод 3 — источник по секции; ИБП, ДГУ — отдельный источник (I особая); Одиночная — без резерва (III). Тип влияет на категорию ввода и на режимы (лист «Режимы»).</t>
  </si>
  <si>
    <t>ТАБЛИЦЫ НОРМ: допустимые токи кабелей (BX:CA), сопротивления (B:D), номиналы автоматов (F:G), Кс быт (BP:BQ), настройки сети (BQ29:BQ31), мест на лист схемы (BF4), УГО → блоки AutoCAD (BA:BC). Коды потребителей, УГО, этажи, кабели — на листе «Коды».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</si>
</sst>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6"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sz val="8"/>
      <name val="Calibri"/>
      <family val="2"/>
      <scheme val="minor"/>
    </font>
    <font>
      <sz val="11"/>
      <color theme="1"/>
      <name val="GOST 2.304 type A"/>
      <family val="2"/>
      <charset val="204"/>
    </font>
    <font>
      <sz val="11"/>
      <color theme="1"/>
      <name val="Calibri"/>
      <family val="2"/>
      <scheme val="minor"/>
    </font>
    <font>
      <sz val="11"/>
      <color rgb="FF9C6500"/>
      <name val="Calibri"/>
      <family val="2"/>
      <charset val="204"/>
      <scheme val="minor"/>
    </font>
    <font>
      <sz val="10"/>
      <color theme="1"/>
      <name val="Arial"/>
      <family val="2"/>
      <charset val="204"/>
    </font>
    <font>
      <b/>
      <sz val="11"/>
      <color theme="1"/>
      <name val="GOST 2.304 type A"/>
      <family val="2"/>
      <charset val="204"/>
    </font>
    <font>
      <sz val="10"/>
      <color theme="1"/>
      <name val="Calibri"/>
      <family val="2"/>
      <charset val="204"/>
      <scheme val="minor"/>
    </font>
    <font>
      <b/>
      <sz val="10"/>
      <color theme="1"/>
      <name val="Calibri"/>
      <family val="2"/>
      <charset val="204"/>
      <scheme val="minor"/>
    </font>
    <font>
      <b/>
      <sz val="11"/>
      <color theme="1"/>
      <name val="Calibri"/>
      <family val="2"/>
      <charset val="204"/>
      <scheme val="minor"/>
    </font>
    <font>
      <sz val="9"/>
      <color rgb="FF7F7F7F"/>
      <name val="Calibri"/>
      <family val="2"/>
      <charset val="204"/>
      <scheme val="minor"/>
    </font>
    <font>
      <sz val="11"/>
      <color theme="1"/>
      <name val="Calibri"/>
      <scheme val="minor"/>
    </font>
    <font>
      <b/>
      <sz val="11"/>
      <color rgb="FFFFFFFF"/>
      <name val="Calibri"/>
      <family val="2"/>
      <scheme val="minor"/>
    </font>
    <font>
      <sz val="11"/>
      <color rgb="FF0000FF"/>
      <name val="Calibri"/>
      <family val="2"/>
      <scheme val="minor"/>
    </font>
    <font>
      <i/>
      <sz val="9"/>
      <color rgb="FF0000FF"/>
      <name val="Calibri"/>
      <family val="2"/>
      <scheme val="minor"/>
    </font>
    <font>
      <i/>
      <sz val="9"/>
      <color rgb="FF666666"/>
      <name val="Calibri"/>
      <family val="2"/>
      <scheme val="minor"/>
    </font>
    <font>
      <sz val="8"/>
      <color rgb="FF808080"/>
      <name val="Calibri"/>
      <family val="2"/>
      <scheme val="minor"/>
    </font>
    <font>
      <b/>
      <sz val="10"/>
      <color theme="1"/>
      <name val="Arial"/>
      <family val="2"/>
      <charset val="204"/>
    </font>
    <font>
      <sz val="11"/>
      <color rgb="FF808080"/>
      <name val="Calibri"/>
      <family val="2"/>
      <scheme val="minor"/>
    </font>
    <font>
      <sz val="9"/>
      <color rgb="FF808080"/>
      <name val="Calibri"/>
      <family val="2"/>
      <scheme val="minor"/>
    </font>
    <font>
      <b/>
      <sz val="12"/>
      <color theme="1"/>
      <name val="Arial"/>
      <family val="2"/>
      <charset val="204"/>
    </font>
    <font>
      <b/>
      <sz val="11"/>
      <color theme="1"/>
      <name val="Arial"/>
      <family val="2"/>
      <charset val="204"/>
    </font>
    <font>
      <b/>
      <sz val="16"/>
      <color rgb="FF002060"/>
      <name val="Arial"/>
      <family val="2"/>
      <charset val="204"/>
    </font>
    <font>
      <u/>
      <sz val="11"/>
      <color theme="10"/>
      <name val="Calibri"/>
      <family val="2"/>
      <scheme val="minor"/>
    </font>
    <font>
      <u/>
      <sz val="9"/>
      <color theme="10"/>
      <name val="Calibri"/>
      <family val="2"/>
      <scheme val="minor"/>
    </font>
    <font>
      <i/>
      <sz val="10"/>
      <color theme="1"/>
      <name val="Arial"/>
      <family val="2"/>
      <charset val="204"/>
    </font>
    <font>
      <b/>
      <sz val="14"/>
      <color theme="1"/>
      <name val="Calibri"/>
      <family val="2"/>
      <charset val="204"/>
      <scheme val="minor"/>
    </font>
    <font>
      <b/>
      <sz val="9"/>
      <color indexed="81"/>
      <name val="Tahoma"/>
      <family val="2"/>
      <charset val="204"/>
    </font>
    <font>
      <i/>
      <sz val="11"/>
      <color theme="1"/>
      <name val="Calibri"/>
      <family val="2"/>
      <charset val="204"/>
      <scheme val="minor"/>
    </font>
    <font>
      <sz val="11"/>
      <color rgb="FFFFFFFF"/>
      <name val="Calibri"/>
      <family val="2"/>
      <scheme val="minor"/>
    </font>
    <font>
      <sz val="10"/>
      <color theme="1"/>
      <name val="Calibri"/>
      <family val="2"/>
      <scheme val="minor"/>
    </font>
    <font>
      <b/>
      <sz val="16"/>
      <color theme="1"/>
      <name val="Arial"/>
      <family val="2"/>
      <charset val="204"/>
    </font>
    <font>
      <b/>
      <sz val="12"/>
      <color theme="1"/>
      <name val="Calibri"/>
      <family val="2"/>
      <charset val="204"/>
      <scheme val="minor"/>
    </font>
    <font>
      <b/>
      <sz val="11"/>
      <color rgb="FFFF0000"/>
      <name val="Calibri"/>
      <family val="2"/>
      <charset val="204"/>
      <scheme val="minor"/>
    </font>
  </fonts>
  <fills count="27">
    <fill>
      <patternFill patternType="none"/>
    </fill>
    <fill>
      <patternFill patternType="gray125"/>
    </fill>
    <fill>
      <patternFill patternType="solid">
        <fgColor rgb="FFFFC000"/>
        <bgColor indexed="64"/>
      </patternFill>
    </fill>
    <fill>
      <patternFill patternType="solid">
        <fgColor rgb="FF00B050"/>
        <bgColor indexed="64"/>
      </patternFill>
    </fill>
    <fill>
      <patternFill patternType="solid">
        <fgColor rgb="FF0070C0"/>
        <bgColor indexed="64"/>
      </patternFill>
    </fill>
    <fill>
      <patternFill patternType="solid">
        <fgColor rgb="FFFFEB9C"/>
      </patternFill>
    </fill>
    <fill>
      <patternFill patternType="solid">
        <fgColor rgb="FFFFF2CC"/>
        <bgColor indexed="64"/>
      </patternFill>
    </fill>
    <fill>
      <patternFill patternType="solid">
        <fgColor rgb="FFDDEBF7"/>
        <bgColor indexed="64"/>
      </patternFill>
    </fill>
    <fill>
      <patternFill patternType="solid">
        <fgColor rgb="FFFAFAFA"/>
        <bgColor indexed="64"/>
      </patternFill>
    </fill>
    <fill>
      <patternFill patternType="solid">
        <fgColor rgb="FFF2F2F2"/>
        <bgColor indexed="64"/>
      </patternFill>
    </fill>
    <fill>
      <patternFill patternType="solid">
        <fgColor rgb="FFFCE4D6"/>
        <bgColor indexed="64"/>
      </patternFill>
    </fill>
    <fill>
      <patternFill patternType="solid">
        <fgColor rgb="FFDDEBF7"/>
        <bgColor indexed="64"/>
      </patternFill>
    </fill>
    <fill>
      <patternFill patternType="solid">
        <fgColor rgb="FFEDE7F6"/>
        <bgColor indexed="64"/>
      </patternFill>
    </fill>
    <fill>
      <patternFill patternType="solid">
        <fgColor rgb="FFE2EFDA"/>
        <bgColor indexed="64"/>
      </patternFill>
    </fill>
    <fill>
      <patternFill patternType="solid">
        <fgColor rgb="FFFFF2CC"/>
        <bgColor indexed="64"/>
      </patternFill>
    </fill>
    <fill>
      <patternFill patternType="solid">
        <fgColor rgb="FFF7F7F7"/>
        <bgColor indexed="64"/>
      </patternFill>
    </fill>
    <fill>
      <patternFill patternType="solid">
        <fgColor rgb="FFF4B183"/>
        <bgColor indexed="64"/>
      </patternFill>
    </fill>
    <fill>
      <patternFill patternType="solid">
        <fgColor rgb="FF2F5496"/>
        <bgColor indexed="64"/>
      </patternFill>
    </fill>
    <fill>
      <patternFill patternType="solid">
        <fgColor rgb="FFE6F0FA"/>
        <bgColor indexed="64"/>
      </patternFill>
    </fill>
    <fill>
      <patternFill patternType="solid">
        <fgColor rgb="FF9DC3E6"/>
        <bgColor indexed="64"/>
      </patternFill>
    </fill>
    <fill>
      <patternFill patternType="solid">
        <fgColor rgb="FFC6EFCE"/>
        <bgColor indexed="64"/>
      </patternFill>
    </fill>
    <fill>
      <patternFill patternType="solid">
        <fgColor rgb="FFD9D9D9"/>
        <bgColor indexed="64"/>
      </patternFill>
    </fill>
    <fill>
      <patternFill patternType="solid">
        <fgColor rgb="FFFFF2CC"/>
        <bgColor indexed="64"/>
      </patternFill>
    </fill>
    <fill>
      <patternFill patternType="solid">
        <fgColor rgb="FF8DB4E2"/>
        <bgColor indexed="64"/>
      </patternFill>
    </fill>
    <fill>
      <patternFill patternType="solid">
        <fgColor rgb="FFFFC7CE"/>
        <bgColor indexed="64"/>
      </patternFill>
    </fill>
    <fill>
      <patternFill patternType="solid">
        <fgColor rgb="FFFFEB9C"/>
        <bgColor indexed="64"/>
      </patternFill>
    </fill>
    <fill>
      <patternFill patternType="solid">
        <fgColor rgb="FFE6E6E6"/>
        <bgColor indexed="64"/>
      </patternFill>
    </fill>
  </fills>
  <borders count="13">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rgb="FFD9D9D9"/>
      </left>
      <right style="thin">
        <color rgb="FFD9D9D9"/>
      </right>
      <top style="thin">
        <color rgb="FFD9D9D9"/>
      </top>
      <bottom style="thin">
        <color rgb="FFD9D9D9"/>
      </bottom>
      <diagonal/>
    </border>
    <border>
      <left style="medium">
        <color rgb="FF7F7F7F"/>
      </left>
      <right style="thin">
        <color rgb="FFD9D9D9"/>
      </right>
      <top style="thin">
        <color rgb="FFD9D9D9"/>
      </top>
      <bottom style="thin">
        <color rgb="FFD9D9D9"/>
      </bottom>
      <diagonal/>
    </border>
    <border>
      <left style="thin">
        <color auto="1"/>
      </left>
      <right style="thin">
        <color auto="1"/>
      </right>
      <top style="thin">
        <color auto="1"/>
      </top>
      <bottom style="thin">
        <color auto="1"/>
      </bottom>
      <diagonal/>
    </border>
  </borders>
  <cellStyleXfs count="6">
    <xf numFmtId="0" fontId="0" fillId="0" borderId="0"/>
    <xf numFmtId="0" fontId="2" fillId="0" borderId="0"/>
    <xf numFmtId="0" fontId="6" fillId="5" borderId="0" applyNumberFormat="0" applyBorder="0" applyAlignment="0" applyProtection="0"/>
    <xf numFmtId="0" fontId="5" fillId="0" borderId="0"/>
    <xf numFmtId="0" fontId="1" fillId="0" borderId="0"/>
    <xf numFmtId="0" fontId="25" fillId="0" borderId="0" applyNumberFormat="0" applyFill="0" applyBorder="0" applyAlignment="0" applyProtection="0"/>
  </cellStyleXfs>
  <cellXfs count="153">
    <xf numFmtId="0" fontId="0" fillId="0" borderId="0" xfId="0"/>
    <xf numFmtId="0" fontId="0" fillId="0" borderId="2" xfId="0" applyBorder="1" applyAlignment="1">
      <alignment horizontal="center" vertical="center" wrapText="1"/>
    </xf>
    <xf numFmtId="0" fontId="0" fillId="2" borderId="3" xfId="0" applyFill="1" applyBorder="1"/>
    <xf numFmtId="0" fontId="0" fillId="0" borderId="3" xfId="0" applyBorder="1" applyAlignment="1">
      <alignment horizontal="center" vertical="center"/>
    </xf>
    <xf numFmtId="0" fontId="0" fillId="0" borderId="0" xfId="0" applyAlignment="1">
      <alignment wrapText="1"/>
    </xf>
    <xf numFmtId="0" fontId="0" fillId="0" borderId="3" xfId="0" applyBorder="1"/>
    <xf numFmtId="2" fontId="0" fillId="0" borderId="0" xfId="0" applyNumberFormat="1"/>
    <xf numFmtId="1" fontId="0" fillId="0" borderId="0" xfId="0" applyNumberFormat="1"/>
    <xf numFmtId="0" fontId="0" fillId="0" borderId="4" xfId="0" applyBorder="1"/>
    <xf numFmtId="2" fontId="0" fillId="0" borderId="1" xfId="0" applyNumberFormat="1" applyBorder="1" applyAlignment="1">
      <alignment horizontal="center" vertical="center" wrapText="1"/>
    </xf>
    <xf numFmtId="0" fontId="0" fillId="0" borderId="5" xfId="0" applyBorder="1" applyAlignment="1">
      <alignment horizontal="center" vertical="center" wrapText="1"/>
    </xf>
    <xf numFmtId="0" fontId="0" fillId="2" borderId="4" xfId="0" applyFill="1" applyBorder="1"/>
    <xf numFmtId="0" fontId="0" fillId="2" borderId="4" xfId="0" applyFill="1" applyBorder="1" applyAlignment="1">
      <alignment wrapText="1"/>
    </xf>
    <xf numFmtId="0" fontId="0" fillId="4" borderId="3" xfId="0" applyFill="1" applyBorder="1" applyAlignment="1">
      <alignment horizontal="left" vertical="center"/>
    </xf>
    <xf numFmtId="0" fontId="0" fillId="4" borderId="3" xfId="0" applyFill="1" applyBorder="1" applyAlignment="1">
      <alignment horizontal="center" vertical="center"/>
    </xf>
    <xf numFmtId="0" fontId="0" fillId="4" borderId="3" xfId="0" applyFill="1" applyBorder="1"/>
    <xf numFmtId="0" fontId="0" fillId="0" borderId="3" xfId="0" applyBorder="1" applyAlignment="1" applyProtection="1">
      <alignment horizontal="center" vertical="center"/>
      <protection locked="0"/>
    </xf>
    <xf numFmtId="0" fontId="0" fillId="0" borderId="0" xfId="0" applyProtection="1">
      <protection locked="0"/>
    </xf>
    <xf numFmtId="49" fontId="0" fillId="0" borderId="3" xfId="0" applyNumberFormat="1"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0" xfId="0" applyAlignment="1">
      <alignment horizontal="center" vertical="center"/>
    </xf>
    <xf numFmtId="0" fontId="0" fillId="0" borderId="3" xfId="0" applyBorder="1" applyAlignment="1">
      <alignment horizontal="left" vertical="center"/>
    </xf>
    <xf numFmtId="0" fontId="0" fillId="0" borderId="0" xfId="0" applyAlignment="1">
      <alignment horizontal="left" vertical="center"/>
    </xf>
    <xf numFmtId="0" fontId="0" fillId="0" borderId="0" xfId="0" applyAlignment="1" applyProtection="1">
      <alignment horizontal="center" vertical="center"/>
      <protection locked="0"/>
    </xf>
    <xf numFmtId="0" fontId="0" fillId="2" borderId="4" xfId="0"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pplyProtection="1">
      <alignment horizontal="center" vertical="center"/>
      <protection locked="0"/>
    </xf>
    <xf numFmtId="0" fontId="8" fillId="0" borderId="4" xfId="0" applyFont="1" applyBorder="1" applyAlignment="1">
      <alignment horizontal="center" vertical="center" wrapText="1"/>
    </xf>
    <xf numFmtId="49" fontId="8" fillId="0" borderId="4" xfId="0" applyNumberFormat="1" applyFont="1" applyBorder="1" applyAlignment="1">
      <alignment horizontal="center" vertical="center"/>
    </xf>
    <xf numFmtId="49" fontId="4" fillId="0" borderId="3" xfId="0" applyNumberFormat="1" applyFont="1" applyBorder="1" applyAlignment="1">
      <alignment horizontal="center" vertical="center"/>
    </xf>
    <xf numFmtId="0" fontId="4" fillId="0" borderId="3" xfId="0" applyFont="1" applyFill="1" applyBorder="1" applyAlignment="1">
      <alignment horizontal="left" vertical="center" wrapText="1"/>
    </xf>
    <xf numFmtId="49" fontId="4" fillId="0" borderId="4" xfId="0" applyNumberFormat="1" applyFont="1" applyFill="1" applyBorder="1" applyAlignment="1">
      <alignment horizontal="center" vertical="center"/>
    </xf>
    <xf numFmtId="49" fontId="4" fillId="0" borderId="3" xfId="0" applyNumberFormat="1" applyFont="1" applyFill="1" applyBorder="1" applyAlignment="1">
      <alignment horizontal="center" vertical="center"/>
    </xf>
    <xf numFmtId="0" fontId="0" fillId="0" borderId="3" xfId="0" applyFill="1" applyBorder="1"/>
    <xf numFmtId="0" fontId="12" fillId="8" borderId="10" xfId="0" applyNumberFormat="1" applyFont="1" applyFill="1" applyBorder="1" applyAlignment="1">
      <alignment horizontal="center" vertical="center"/>
    </xf>
    <xf numFmtId="0" fontId="10" fillId="7" borderId="10" xfId="0" applyNumberFormat="1" applyFont="1" applyFill="1" applyBorder="1" applyAlignment="1">
      <alignment horizontal="center" vertical="center" wrapText="1"/>
    </xf>
    <xf numFmtId="0" fontId="11" fillId="0" borderId="0" xfId="0" applyFont="1"/>
    <xf numFmtId="0" fontId="9" fillId="0" borderId="10" xfId="0" applyNumberFormat="1" applyFont="1" applyFill="1" applyBorder="1" applyAlignment="1">
      <alignment vertical="center"/>
    </xf>
    <xf numFmtId="0" fontId="9" fillId="6" borderId="10" xfId="0" applyNumberFormat="1" applyFont="1" applyFill="1" applyBorder="1" applyAlignment="1">
      <alignment vertical="center"/>
    </xf>
    <xf numFmtId="0" fontId="9" fillId="9" borderId="11" xfId="0" applyNumberFormat="1" applyFont="1" applyFill="1" applyBorder="1" applyAlignment="1">
      <alignment horizontal="center" vertical="center"/>
    </xf>
    <xf numFmtId="0" fontId="10" fillId="9" borderId="11" xfId="0" applyNumberFormat="1" applyFont="1" applyFill="1" applyBorder="1" applyAlignment="1">
      <alignment horizontal="center" vertical="center" wrapText="1"/>
    </xf>
    <xf numFmtId="0" fontId="11" fillId="9" borderId="11" xfId="0" applyNumberFormat="1" applyFont="1" applyFill="1" applyBorder="1" applyAlignment="1">
      <alignment horizontal="center" vertical="center"/>
    </xf>
    <xf numFmtId="0" fontId="9" fillId="9" borderId="10" xfId="0" applyNumberFormat="1" applyFont="1" applyFill="1" applyBorder="1" applyAlignment="1">
      <alignment horizontal="center" vertical="center"/>
    </xf>
    <xf numFmtId="0" fontId="10" fillId="9" borderId="10" xfId="0" applyNumberFormat="1" applyFont="1" applyFill="1" applyBorder="1" applyAlignment="1">
      <alignment horizontal="center" vertical="center" wrapText="1"/>
    </xf>
    <xf numFmtId="0" fontId="10" fillId="6" borderId="11" xfId="0" applyNumberFormat="1" applyFont="1" applyFill="1" applyBorder="1" applyAlignment="1">
      <alignment horizontal="center" vertical="center" wrapText="1"/>
    </xf>
    <xf numFmtId="0" fontId="11" fillId="10" borderId="11" xfId="0" applyNumberFormat="1" applyFont="1" applyFill="1" applyBorder="1" applyAlignment="1">
      <alignment horizontal="center" vertical="center"/>
    </xf>
    <xf numFmtId="0" fontId="10" fillId="6" borderId="10" xfId="0" applyNumberFormat="1" applyFont="1" applyFill="1" applyBorder="1" applyAlignment="1">
      <alignment horizontal="center" vertical="center" wrapText="1"/>
    </xf>
    <xf numFmtId="0" fontId="10" fillId="11" borderId="10" xfId="0" applyNumberFormat="1" applyFont="1" applyFill="1" applyBorder="1" applyAlignment="1">
      <alignment horizontal="center" vertical="center"/>
    </xf>
    <xf numFmtId="0" fontId="10" fillId="11" borderId="10" xfId="0" applyNumberFormat="1" applyFont="1" applyFill="1" applyBorder="1" applyAlignment="1">
      <alignment horizontal="center" vertical="center" wrapText="1"/>
    </xf>
    <xf numFmtId="0" fontId="9" fillId="13" borderId="10" xfId="0" applyNumberFormat="1" applyFont="1" applyFill="1" applyBorder="1" applyAlignment="1">
      <alignment horizontal="center" vertical="center"/>
    </xf>
    <xf numFmtId="0" fontId="10" fillId="13" borderId="10" xfId="0" applyNumberFormat="1" applyFont="1" applyFill="1" applyBorder="1" applyAlignment="1">
      <alignment horizontal="center" vertical="center" wrapText="1"/>
    </xf>
    <xf numFmtId="0" fontId="10" fillId="14" borderId="11" xfId="0" applyNumberFormat="1" applyFont="1" applyFill="1" applyBorder="1" applyAlignment="1">
      <alignment horizontal="center" vertical="center" wrapText="1"/>
    </xf>
    <xf numFmtId="0" fontId="11" fillId="14" borderId="11" xfId="0" applyNumberFormat="1" applyFont="1" applyFill="1" applyBorder="1" applyAlignment="1">
      <alignment horizontal="center" vertical="center"/>
    </xf>
    <xf numFmtId="0" fontId="9" fillId="9" borderId="11" xfId="0" applyNumberFormat="1" applyFont="1" applyFill="1" applyBorder="1" applyAlignment="1">
      <alignment vertical="center"/>
    </xf>
    <xf numFmtId="0" fontId="10" fillId="9" borderId="11" xfId="0" applyNumberFormat="1" applyFont="1" applyFill="1" applyBorder="1" applyAlignment="1">
      <alignment horizontal="center" vertical="center"/>
    </xf>
    <xf numFmtId="0" fontId="9" fillId="9" borderId="10" xfId="0" applyNumberFormat="1" applyFont="1" applyFill="1" applyBorder="1" applyAlignment="1">
      <alignment vertical="center"/>
    </xf>
    <xf numFmtId="2" fontId="9" fillId="9" borderId="10" xfId="0" applyNumberFormat="1" applyFont="1" applyFill="1" applyBorder="1" applyAlignment="1">
      <alignment horizontal="center" vertical="center"/>
    </xf>
    <xf numFmtId="0" fontId="9" fillId="0" borderId="11" xfId="0" applyNumberFormat="1" applyFont="1" applyFill="1" applyBorder="1" applyAlignment="1">
      <alignment horizontal="center" vertical="center"/>
    </xf>
    <xf numFmtId="0" fontId="9" fillId="0" borderId="10" xfId="0" applyNumberFormat="1" applyFont="1" applyFill="1" applyBorder="1" applyAlignment="1">
      <alignment horizontal="center" vertical="center"/>
    </xf>
    <xf numFmtId="2" fontId="9" fillId="15" borderId="10" xfId="0" applyNumberFormat="1" applyFont="1" applyFill="1" applyBorder="1" applyAlignment="1">
      <alignment horizontal="center" vertical="center"/>
    </xf>
    <xf numFmtId="0" fontId="10" fillId="15" borderId="10" xfId="0" applyNumberFormat="1" applyFont="1" applyFill="1" applyBorder="1" applyAlignment="1">
      <alignment horizontal="center" vertical="center" wrapText="1"/>
    </xf>
    <xf numFmtId="0" fontId="9" fillId="15" borderId="10" xfId="0" applyNumberFormat="1" applyFont="1" applyFill="1" applyBorder="1" applyAlignment="1">
      <alignment horizontal="center" vertical="center"/>
    </xf>
    <xf numFmtId="0" fontId="9" fillId="15" borderId="10" xfId="0" applyNumberFormat="1" applyFont="1" applyFill="1" applyBorder="1" applyAlignment="1">
      <alignment vertical="center"/>
    </xf>
    <xf numFmtId="0" fontId="13" fillId="2" borderId="0" xfId="0" applyFont="1" applyFill="1" applyBorder="1" applyAlignment="1">
      <alignment horizontal="center" wrapText="1"/>
    </xf>
    <xf numFmtId="0" fontId="0" fillId="2" borderId="9" xfId="0" applyFill="1" applyBorder="1"/>
    <xf numFmtId="0" fontId="0" fillId="2" borderId="9" xfId="0" applyFill="1" applyBorder="1" applyAlignment="1">
      <alignment wrapText="1"/>
    </xf>
    <xf numFmtId="0" fontId="11" fillId="15" borderId="11" xfId="0" applyNumberFormat="1" applyFont="1" applyFill="1" applyBorder="1" applyAlignment="1">
      <alignment horizontal="center" vertical="center"/>
    </xf>
    <xf numFmtId="0" fontId="14" fillId="17" borderId="0" xfId="0" applyFont="1" applyFill="1" applyAlignment="1">
      <alignment horizontal="center" wrapText="1"/>
    </xf>
    <xf numFmtId="0" fontId="15" fillId="18" borderId="0" xfId="0" applyFont="1" applyFill="1" applyAlignment="1">
      <alignment horizontal="center"/>
    </xf>
    <xf numFmtId="0" fontId="0" fillId="16" borderId="0" xfId="0" applyFill="1" applyAlignment="1">
      <alignment horizontal="center"/>
    </xf>
    <xf numFmtId="0" fontId="0" fillId="19" borderId="0" xfId="0" applyFill="1" applyAlignment="1">
      <alignment horizontal="center"/>
    </xf>
    <xf numFmtId="0" fontId="0" fillId="20" borderId="0" xfId="0" applyFill="1" applyAlignment="1">
      <alignment horizontal="center"/>
    </xf>
    <xf numFmtId="0" fontId="16" fillId="18" borderId="0" xfId="0" applyFont="1" applyFill="1" applyAlignment="1">
      <alignment horizontal="center" wrapText="1"/>
    </xf>
    <xf numFmtId="0" fontId="14" fillId="17" borderId="0" xfId="0" applyFont="1" applyFill="1" applyAlignment="1">
      <alignment horizontal="center"/>
    </xf>
    <xf numFmtId="0" fontId="9" fillId="6" borderId="10" xfId="0" applyNumberFormat="1" applyFont="1" applyFill="1" applyBorder="1" applyAlignment="1" applyProtection="1">
      <alignment vertical="center"/>
      <protection locked="0"/>
    </xf>
    <xf numFmtId="0" fontId="9" fillId="6" borderId="11" xfId="0" applyNumberFormat="1" applyFont="1" applyFill="1" applyBorder="1" applyAlignment="1" applyProtection="1">
      <alignment horizontal="center" vertical="center"/>
      <protection locked="0"/>
    </xf>
    <xf numFmtId="0" fontId="9" fillId="6" borderId="10" xfId="0" applyNumberFormat="1" applyFont="1" applyFill="1" applyBorder="1" applyAlignment="1" applyProtection="1">
      <alignment horizontal="center" vertical="center"/>
      <protection locked="0"/>
    </xf>
    <xf numFmtId="0" fontId="9" fillId="14" borderId="11" xfId="0" applyNumberFormat="1" applyFont="1" applyFill="1" applyBorder="1" applyAlignment="1" applyProtection="1">
      <alignment horizontal="center" vertical="center"/>
      <protection locked="0"/>
    </xf>
    <xf numFmtId="0" fontId="11" fillId="11" borderId="0" xfId="0" applyFont="1" applyFill="1" applyAlignment="1">
      <alignment horizontal="center" wrapText="1"/>
    </xf>
    <xf numFmtId="0" fontId="0" fillId="22" borderId="0" xfId="0" applyFill="1" applyAlignment="1" applyProtection="1">
      <alignment horizontal="center"/>
      <protection locked="0"/>
    </xf>
    <xf numFmtId="0" fontId="18" fillId="0" borderId="0" xfId="0" applyFont="1"/>
    <xf numFmtId="0" fontId="0" fillId="0" borderId="0" xfId="0"/>
    <xf numFmtId="0" fontId="7" fillId="0" borderId="0" xfId="0" applyFont="1" applyAlignment="1">
      <alignment vertical="top"/>
    </xf>
    <xf numFmtId="0" fontId="24" fillId="0" borderId="0" xfId="0" applyFont="1" applyAlignment="1">
      <alignment vertical="top"/>
    </xf>
    <xf numFmtId="0" fontId="7" fillId="0" borderId="0" xfId="0" applyFont="1" applyAlignment="1">
      <alignment vertical="top" wrapText="1"/>
    </xf>
    <xf numFmtId="0" fontId="7" fillId="23" borderId="0" xfId="0" applyFont="1" applyFill="1" applyAlignment="1">
      <alignment vertical="top"/>
    </xf>
    <xf numFmtId="0" fontId="22" fillId="23" borderId="0" xfId="0" applyFont="1" applyFill="1" applyAlignment="1">
      <alignment vertical="top"/>
    </xf>
    <xf numFmtId="0" fontId="19" fillId="21" borderId="12" xfId="0" applyFont="1" applyFill="1" applyBorder="1" applyAlignment="1">
      <alignment vertical="top" wrapText="1"/>
    </xf>
    <xf numFmtId="0" fontId="19" fillId="21" borderId="12" xfId="0" applyFont="1" applyFill="1" applyBorder="1" applyAlignment="1">
      <alignment vertical="top"/>
    </xf>
    <xf numFmtId="0" fontId="7" fillId="0" borderId="12" xfId="0" applyFont="1" applyBorder="1" applyAlignment="1">
      <alignment vertical="top" wrapText="1"/>
    </xf>
    <xf numFmtId="0" fontId="7" fillId="0" borderId="12" xfId="0" applyFont="1" applyBorder="1" applyAlignment="1">
      <alignment vertical="top"/>
    </xf>
    <xf numFmtId="0" fontId="19" fillId="0" borderId="0" xfId="0" quotePrefix="1" applyFont="1" applyAlignment="1">
      <alignment vertical="top"/>
    </xf>
    <xf numFmtId="0" fontId="26" fillId="0" borderId="0" xfId="5" applyFont="1" applyAlignment="1">
      <alignment vertical="top"/>
    </xf>
    <xf numFmtId="0" fontId="7" fillId="0" borderId="0" xfId="0" applyFont="1" applyAlignment="1">
      <alignment vertical="top" wrapText="1"/>
    </xf>
    <xf numFmtId="0" fontId="19" fillId="24" borderId="0" xfId="0" applyFont="1" applyFill="1" applyAlignment="1">
      <alignment vertical="top" wrapText="1"/>
    </xf>
    <xf numFmtId="0" fontId="7" fillId="25" borderId="0" xfId="0" applyFont="1" applyFill="1" applyAlignment="1">
      <alignment vertical="top" wrapText="1"/>
    </xf>
    <xf numFmtId="0" fontId="27" fillId="9" borderId="0" xfId="0" applyFont="1" applyFill="1" applyAlignment="1">
      <alignment vertical="top" wrapText="1"/>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14" fillId="17" borderId="0" xfId="0" applyFont="1" applyFill="1" applyAlignment="1">
      <alignment horizontal="center"/>
    </xf>
    <xf numFmtId="0" fontId="17" fillId="0" borderId="0" xfId="0" applyFont="1" applyFill="1" applyAlignment="1">
      <alignment horizontal="left" wrapText="1"/>
    </xf>
    <xf numFmtId="0" fontId="11" fillId="9" borderId="11" xfId="0" applyNumberFormat="1" applyFont="1" applyFill="1" applyBorder="1" applyAlignment="1">
      <alignment horizontal="center" vertical="center"/>
    </xf>
    <xf numFmtId="0" fontId="11" fillId="9" borderId="10" xfId="0" applyNumberFormat="1" applyFont="1" applyFill="1" applyBorder="1" applyAlignment="1">
      <alignment horizontal="center" vertical="center"/>
    </xf>
    <xf numFmtId="0" fontId="11" fillId="15" borderId="11" xfId="0" applyNumberFormat="1" applyFont="1" applyFill="1" applyBorder="1" applyAlignment="1">
      <alignment horizontal="center" vertical="center"/>
    </xf>
    <xf numFmtId="0" fontId="11" fillId="15" borderId="10" xfId="0" applyNumberFormat="1" applyFont="1" applyFill="1" applyBorder="1" applyAlignment="1">
      <alignment horizontal="center" vertical="center"/>
    </xf>
    <xf numFmtId="0" fontId="11" fillId="11" borderId="11" xfId="0" applyNumberFormat="1" applyFont="1" applyFill="1" applyBorder="1" applyAlignment="1">
      <alignment horizontal="center" vertical="center"/>
    </xf>
    <xf numFmtId="0" fontId="11" fillId="11" borderId="10" xfId="0" applyNumberFormat="1" applyFont="1" applyFill="1" applyBorder="1" applyAlignment="1">
      <alignment horizontal="center" vertical="center"/>
    </xf>
    <xf numFmtId="0" fontId="11" fillId="12" borderId="11" xfId="0" applyNumberFormat="1" applyFont="1" applyFill="1" applyBorder="1" applyAlignment="1">
      <alignment horizontal="center" vertical="center"/>
    </xf>
    <xf numFmtId="0" fontId="11" fillId="12" borderId="10" xfId="0" applyNumberFormat="1" applyFont="1" applyFill="1" applyBorder="1" applyAlignment="1">
      <alignment horizontal="center" vertical="center"/>
    </xf>
    <xf numFmtId="0" fontId="11" fillId="13" borderId="11" xfId="0" applyNumberFormat="1" applyFont="1" applyFill="1" applyBorder="1" applyAlignment="1">
      <alignment horizontal="center" vertical="center"/>
    </xf>
    <xf numFmtId="0" fontId="11" fillId="13" borderId="10" xfId="0" applyNumberFormat="1" applyFont="1" applyFill="1" applyBorder="1" applyAlignment="1">
      <alignment horizontal="center" vertical="center"/>
    </xf>
    <xf numFmtId="0" fontId="28" fillId="0" borderId="0" xfId="0" applyFont="1"/>
    <xf numFmtId="0" fontId="0" fillId="22" borderId="0" xfId="0" applyFill="1"/>
    <xf numFmtId="0" fontId="0" fillId="0" borderId="0" xfId="0" quotePrefix="1"/>
    <xf numFmtId="0" fontId="0" fillId="22" borderId="0" xfId="0" applyFill="1" applyAlignment="1">
      <alignment wrapText="1"/>
    </xf>
    <xf numFmtId="0" fontId="30" fillId="22" borderId="0" xfId="0" applyFont="1" applyFill="1" applyAlignment="1">
      <alignment wrapText="1"/>
    </xf>
    <xf numFmtId="0" fontId="0" fillId="26" borderId="0" xfId="0" applyFill="1" applyAlignment="1">
      <alignment wrapText="1"/>
    </xf>
    <xf numFmtId="0" fontId="0" fillId="9" borderId="0" xfId="0" applyFill="1" applyAlignment="1">
      <alignment wrapText="1"/>
    </xf>
    <xf numFmtId="164" fontId="0" fillId="0" borderId="0" xfId="0" applyNumberFormat="1"/>
    <xf numFmtId="0" fontId="20" fillId="0" borderId="0" xfId="0" applyFont="1"/>
    <xf numFmtId="0" fontId="11" fillId="21" borderId="0" xfId="0" applyFont="1" applyFill="1"/>
    <xf numFmtId="0" fontId="11" fillId="21" borderId="0" xfId="0" applyFont="1" applyFill="1" applyAlignment="1">
      <alignment horizontal="right"/>
    </xf>
    <xf numFmtId="0" fontId="11" fillId="21" borderId="0" xfId="0" applyFont="1" applyFill="1" applyAlignment="1">
      <alignment wrapText="1"/>
    </xf>
    <xf numFmtId="0" fontId="11" fillId="0" borderId="0" xfId="0" applyFont="1" applyAlignment="1">
      <alignment wrapText="1"/>
    </xf>
    <xf numFmtId="2" fontId="11" fillId="0" borderId="0" xfId="0" applyNumberFormat="1" applyFont="1"/>
    <xf numFmtId="1" fontId="11" fillId="0" borderId="0" xfId="0" applyNumberFormat="1" applyFont="1"/>
    <xf numFmtId="0" fontId="11" fillId="0" borderId="0" xfId="0" applyFont="1" applyAlignment="1">
      <alignment horizontal="right"/>
    </xf>
    <xf numFmtId="0" fontId="11" fillId="22" borderId="0" xfId="0" applyFont="1" applyFill="1"/>
    <xf numFmtId="0" fontId="0" fillId="0" borderId="0" xfId="0" applyAlignment="1">
      <alignment horizontal="right"/>
    </xf>
    <xf numFmtId="9" fontId="0" fillId="22" borderId="0" xfId="0" applyNumberFormat="1" applyFill="1"/>
    <xf numFmtId="0" fontId="11" fillId="0" borderId="0" xfId="0" applyFont="1" applyAlignment="1">
      <alignment horizontal="center" vertical="center" wrapText="1"/>
    </xf>
    <xf numFmtId="0" fontId="11" fillId="21" borderId="12" xfId="0" applyFont="1" applyFill="1" applyBorder="1" applyAlignment="1">
      <alignment horizontal="center" vertical="center" wrapText="1"/>
    </xf>
    <xf numFmtId="0" fontId="11" fillId="21" borderId="12" xfId="0" applyFont="1" applyFill="1" applyBorder="1" applyAlignment="1">
      <alignment horizontal="center" vertical="center" wrapText="1"/>
    </xf>
    <xf numFmtId="0" fontId="11" fillId="26" borderId="12" xfId="0" applyFont="1" applyFill="1" applyBorder="1" applyAlignment="1">
      <alignment horizontal="center" vertical="center" wrapText="1"/>
    </xf>
    <xf numFmtId="0" fontId="11" fillId="26" borderId="12" xfId="0" applyFont="1" applyFill="1" applyBorder="1" applyAlignment="1">
      <alignment horizontal="center" vertical="center" wrapText="1"/>
    </xf>
    <xf numFmtId="49" fontId="11" fillId="26" borderId="12" xfId="0" applyNumberFormat="1" applyFont="1" applyFill="1" applyBorder="1" applyAlignment="1">
      <alignment horizontal="center" vertical="center" wrapText="1"/>
    </xf>
    <xf numFmtId="0" fontId="31" fillId="0" borderId="0" xfId="0" applyFont="1"/>
    <xf numFmtId="0" fontId="0" fillId="0" borderId="0" xfId="0" applyAlignment="1">
      <alignment vertical="top" wrapText="1"/>
    </xf>
    <xf numFmtId="0" fontId="21" fillId="0" borderId="0" xfId="0" applyFont="1" applyAlignment="1">
      <alignment vertical="top" wrapText="1"/>
    </xf>
    <xf numFmtId="14" fontId="0" fillId="0" borderId="0" xfId="0" applyNumberFormat="1"/>
    <xf numFmtId="0" fontId="32" fillId="0" borderId="0" xfId="0" applyFont="1" applyAlignment="1">
      <alignment horizontal="right"/>
    </xf>
    <xf numFmtId="0" fontId="0" fillId="0" borderId="0" xfId="0" applyAlignment="1">
      <alignment vertical="center" wrapText="1"/>
    </xf>
    <xf numFmtId="0" fontId="18" fillId="0" borderId="0" xfId="0" applyFont="1" applyAlignment="1">
      <alignment vertical="center" wrapText="1"/>
    </xf>
    <xf numFmtId="0" fontId="32" fillId="9" borderId="0" xfId="0" applyFont="1" applyFill="1" applyAlignment="1">
      <alignment vertical="center" wrapText="1"/>
    </xf>
    <xf numFmtId="0" fontId="0" fillId="9" borderId="0" xfId="0" applyFill="1" applyAlignment="1">
      <alignment vertical="center" wrapText="1"/>
    </xf>
    <xf numFmtId="0" fontId="7" fillId="9" borderId="0" xfId="0" applyFont="1" applyFill="1" applyAlignment="1">
      <alignment vertical="top" wrapText="1"/>
    </xf>
    <xf numFmtId="0" fontId="33" fillId="0" borderId="0" xfId="0" applyFont="1" applyAlignment="1">
      <alignment vertical="top" wrapText="1"/>
    </xf>
    <xf numFmtId="0" fontId="22" fillId="23" borderId="0" xfId="0" applyFont="1" applyFill="1" applyAlignment="1">
      <alignment vertical="top"/>
    </xf>
    <xf numFmtId="0" fontId="23" fillId="0" borderId="0" xfId="0" applyFont="1" applyAlignment="1">
      <alignment vertical="top" wrapText="1"/>
    </xf>
    <xf numFmtId="0" fontId="34" fillId="23" borderId="0" xfId="0" applyFont="1" applyFill="1"/>
    <xf numFmtId="0" fontId="0" fillId="23" borderId="0" xfId="0" applyFill="1"/>
    <xf numFmtId="0" fontId="35" fillId="0" borderId="0" xfId="0" applyFont="1"/>
  </cellXfs>
  <cellStyles count="6">
    <cellStyle name="Гиперссылка" xfId="5" builtinId="8"/>
    <cellStyle name="Нейтральный 2" xfId="2" xr:uid="{35B9662B-4EF6-455F-A153-998AF8988465}"/>
    <cellStyle name="Обычный" xfId="0" builtinId="0"/>
    <cellStyle name="Обычный 2" xfId="3" xr:uid="{E2F4D3BA-771E-461C-AB7D-7903C0A10092}"/>
    <cellStyle name="Обычный 3" xfId="1" xr:uid="{2CCFBF6A-55A0-40CD-AD47-3F0AAF8CDCFB}"/>
    <cellStyle name="Обычный 3 2" xfId="4" xr:uid="{BF7B6DDC-276E-4454-9BAA-41291326E95A}"/>
  </cellStyles>
  <dxfs count="151">
    <dxf>
      <font>
        <b/>
        <color rgb="FF9C0006"/>
      </font>
      <fill>
        <patternFill>
          <bgColor rgb="FFFFC7CE"/>
        </patternFill>
      </fill>
    </dxf>
    <dxf>
      <border>
        <top style="thin">
          <color rgb="FF000000"/>
        </top>
      </border>
    </dxf>
    <dxf>
      <fill>
        <patternFill>
          <bgColor rgb="FFF2F2F2"/>
        </patternFill>
      </fill>
    </dxf>
    <dxf>
      <fill>
        <patternFill>
          <bgColor rgb="FFDDEBF7"/>
        </patternFill>
      </fill>
    </dxf>
    <dxf>
      <font>
        <b/>
        <color rgb="FF9C0006"/>
      </font>
      <fill>
        <patternFill>
          <bgColor rgb="FFFFC7CE"/>
        </patternFill>
      </fill>
    </dxf>
    <dxf>
      <font>
        <color rgb="FF006100"/>
      </font>
    </dxf>
    <dxf>
      <font>
        <b/>
        <color rgb="FF9C0006"/>
      </font>
      <fill>
        <patternFill>
          <bgColor rgb="FFFFC7CE"/>
        </patternFill>
      </fill>
    </dxf>
    <dxf>
      <fill>
        <patternFill>
          <bgColor rgb="FFEAF2FB"/>
        </patternFill>
      </fill>
    </dxf>
    <dxf>
      <font>
        <b/>
      </font>
      <border>
        <top style="medium">
          <color rgb="FF2F5597"/>
        </top>
      </border>
    </dxf>
    <dxf>
      <font>
        <i/>
        <color rgb="FF808080"/>
      </font>
    </dxf>
    <dxf>
      <font>
        <color rgb="FF006100"/>
      </font>
      <fill>
        <patternFill>
          <bgColor rgb="FFC6EFCE"/>
        </patternFill>
      </fill>
    </dxf>
    <dxf>
      <font>
        <color rgb="FF7F6000"/>
      </font>
      <fill>
        <patternFill>
          <bgColor rgb="FFFFEB9C"/>
        </patternFill>
      </fill>
    </dxf>
    <dxf>
      <font>
        <b/>
        <color rgb="FF9C0006"/>
      </font>
      <fill>
        <patternFill>
          <bgColor rgb="FFFFC7CE"/>
        </patternFill>
      </fill>
    </dxf>
    <dxf>
      <font>
        <b/>
        <color rgb="FF9C0006"/>
      </font>
      <fill>
        <patternFill>
          <bgColor rgb="FFFFC7CE"/>
        </patternFill>
      </fill>
    </dxf>
    <dxf>
      <font>
        <color rgb="FF7F6000"/>
      </font>
      <fill>
        <patternFill>
          <bgColor rgb="FFFFEB9C"/>
        </patternFill>
      </fill>
    </dxf>
    <dxf>
      <font>
        <b/>
        <color rgb="FF9C0006"/>
      </font>
      <fill>
        <patternFill>
          <bgColor rgb="FFFFC7CE"/>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theme="3" tint="0.39994506668294322"/>
        </patternFill>
      </fill>
    </dxf>
    <dxf>
      <fill>
        <patternFill>
          <bgColor rgb="FFFF0000"/>
        </patternFill>
      </fill>
    </dxf>
    <dxf>
      <font>
        <b/>
        <i val="0"/>
        <color rgb="FF0070C0"/>
      </font>
    </dxf>
    <dxf>
      <font>
        <b val="0"/>
        <i/>
        <color rgb="FF808080"/>
      </font>
    </dxf>
    <dxf>
      <fill>
        <patternFill>
          <bgColor rgb="FFE2EFDA"/>
        </patternFill>
      </fill>
    </dxf>
    <dxf>
      <fill>
        <patternFill>
          <bgColor rgb="FFFCE4D6"/>
        </patternFill>
      </fill>
    </dxf>
    <dxf>
      <fill>
        <patternFill>
          <bgColor rgb="FFFCE4D6"/>
        </patternFill>
      </fill>
    </dxf>
    <dxf>
      <fill>
        <patternFill>
          <bgColor rgb="FFFCE4D6"/>
        </patternFill>
      </fill>
    </dxf>
    <dxf>
      <fill>
        <patternFill>
          <bgColor rgb="FFFCE4D6"/>
        </patternFill>
      </fill>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ill>
        <patternFill>
          <bgColor rgb="FFFFCCCC"/>
        </patternFill>
      </fill>
    </dxf>
    <dxf>
      <font>
        <b/>
        <i val="0"/>
        <color rgb="FF0070C0"/>
      </font>
    </dxf>
    <dxf>
      <font>
        <b val="0"/>
        <i/>
        <color rgb="FF808080"/>
      </font>
    </dxf>
    <dxf>
      <font>
        <b/>
        <i val="0"/>
        <color rgb="FF0070C0"/>
      </font>
    </dxf>
    <dxf>
      <font>
        <b val="0"/>
        <i/>
        <color rgb="FF808080"/>
      </font>
    </dxf>
    <dxf>
      <fill>
        <patternFill>
          <bgColor rgb="FFFCE4D6"/>
        </patternFill>
      </fill>
    </dxf>
    <dxf>
      <font>
        <b/>
        <i val="0"/>
        <color rgb="FF0070C0"/>
      </font>
    </dxf>
    <dxf>
      <font>
        <b val="0"/>
        <i/>
        <color rgb="FF808080"/>
      </font>
    </dxf>
    <dxf>
      <font>
        <b/>
        <i val="0"/>
        <color rgb="FF0070C0"/>
      </font>
    </dxf>
    <dxf>
      <font>
        <b val="0"/>
        <i/>
        <color rgb="FF808080"/>
      </font>
    </dxf>
    <dxf>
      <fill>
        <patternFill>
          <bgColor rgb="FFFCE4D6"/>
        </patternFill>
      </fill>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ill>
        <patternFill>
          <bgColor rgb="FFFCE4D6"/>
        </patternFill>
      </fill>
    </dxf>
    <dxf>
      <font>
        <b/>
        <i val="0"/>
        <color rgb="FF0070C0"/>
      </font>
    </dxf>
    <dxf>
      <font>
        <b/>
        <i val="0"/>
        <color rgb="FF0070C0"/>
      </font>
    </dxf>
    <dxf>
      <font>
        <b val="0"/>
        <i/>
        <color rgb="FF808080"/>
      </font>
    </dxf>
    <dxf>
      <fill>
        <patternFill>
          <bgColor rgb="FFFCE4D6"/>
        </patternFill>
      </fill>
    </dxf>
    <dxf>
      <font>
        <b/>
        <i val="0"/>
        <color rgb="FF0070C0"/>
      </font>
    </dxf>
    <dxf>
      <font>
        <b val="0"/>
        <i/>
        <color rgb="FF808080"/>
      </font>
    </dxf>
    <dxf>
      <fill>
        <patternFill>
          <bgColor rgb="FFFCE4D6"/>
        </patternFill>
      </fill>
    </dxf>
    <dxf>
      <border>
        <top style="dashed">
          <color rgb="FF808080"/>
        </top>
      </border>
    </dxf>
    <dxf>
      <border>
        <top style="thin">
          <color rgb="FF000000"/>
        </top>
      </border>
    </dxf>
    <dxf>
      <fill>
        <patternFill>
          <bgColor rgb="FFF2F2F2"/>
        </patternFill>
      </fill>
    </dxf>
    <dxf>
      <fill>
        <patternFill>
          <bgColor rgb="FFDDEBF7"/>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0.0"/>
    </dxf>
    <dxf>
      <numFmt numFmtId="1" formatCode="0"/>
    </dxf>
    <dxf>
      <numFmt numFmtId="1" formatCode="0"/>
    </dxf>
    <dxf>
      <numFmt numFmtId="164" formatCode="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601980</xdr:colOff>
          <xdr:row>0</xdr:row>
          <xdr:rowOff>45720</xdr:rowOff>
        </xdr:from>
        <xdr:to>
          <xdr:col>4</xdr:col>
          <xdr:colOff>769620</xdr:colOff>
          <xdr:row>1</xdr:row>
          <xdr:rowOff>99060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D4984CF1-C5C6-1409-285C-809A38AEEDF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Починить формулы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xdr:col>
      <xdr:colOff>38099</xdr:colOff>
      <xdr:row>0</xdr:row>
      <xdr:rowOff>25400</xdr:rowOff>
    </xdr:from>
    <xdr:to>
      <xdr:col>16</xdr:col>
      <xdr:colOff>146695</xdr:colOff>
      <xdr:row>0</xdr:row>
      <xdr:rowOff>609600</xdr:rowOff>
    </xdr:to>
    <mc:AlternateContent xmlns:mc="http://schemas.openxmlformats.org/markup-compatibility/2006">
      <mc:Choice xmlns:sle15="http://schemas.microsoft.com/office/drawing/2012/slicer" Requires="sle15">
        <xdr:graphicFrame macro="">
          <xdr:nvGraphicFramePr>
            <xdr:cNvPr id="2" name="Щит">
              <a:extLst>
                <a:ext uri="{FF2B5EF4-FFF2-40B4-BE49-F238E27FC236}">
                  <a16:creationId xmlns:a16="http://schemas.microsoft.com/office/drawing/2014/main" id="{1AB6B007-B7A6-1D91-8C01-71924312252F}"/>
                </a:ext>
              </a:extLst>
            </xdr:cNvPr>
            <xdr:cNvGraphicFramePr/>
          </xdr:nvGraphicFramePr>
          <xdr:xfrm>
            <a:off x="0" y="0"/>
            <a:ext cx="0" cy="0"/>
          </xdr:xfrm>
          <a:graphic>
            <a:graphicData uri="http://schemas.microsoft.com/office/drawing/2010/slicer">
              <sle:slicer xmlns:sle="http://schemas.microsoft.com/office/drawing/2010/slicer" name="Щит"/>
            </a:graphicData>
          </a:graphic>
        </xdr:graphicFrame>
      </mc:Choice>
      <mc:Fallback>
        <xdr:sp macro="" textlink="">
          <xdr:nvSpPr>
            <xdr:cNvPr id="0" name=""/>
            <xdr:cNvSpPr>
              <a:spLocks noTextEdit="1"/>
            </xdr:cNvSpPr>
          </xdr:nvSpPr>
          <xdr:spPr>
            <a:xfrm>
              <a:off x="3764279" y="25400"/>
              <a:ext cx="11363336" cy="5842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16</xdr:col>
          <xdr:colOff>243840</xdr:colOff>
          <xdr:row>0</xdr:row>
          <xdr:rowOff>45720</xdr:rowOff>
        </xdr:from>
        <xdr:to>
          <xdr:col>17</xdr:col>
          <xdr:colOff>1165860</xdr:colOff>
          <xdr:row>0</xdr:row>
          <xdr:rowOff>327660</xdr:rowOff>
        </xdr:to>
        <xdr:sp macro="" textlink="">
          <xdr:nvSpPr>
            <xdr:cNvPr id="4141" name="Button 45" hidden="1">
              <a:extLst>
                <a:ext uri="{63B3BB69-23CF-44E3-9099-C40C66FF867C}">
                  <a14:compatExt spid="_x0000_s4141"/>
                </a:ext>
                <a:ext uri="{FF2B5EF4-FFF2-40B4-BE49-F238E27FC236}">
                  <a16:creationId xmlns:a16="http://schemas.microsoft.com/office/drawing/2014/main" id="{1BA7D9B1-CD76-9784-A3DE-D6CF7C9BDB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Починить формулы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1226820</xdr:colOff>
          <xdr:row>0</xdr:row>
          <xdr:rowOff>45720</xdr:rowOff>
        </xdr:from>
        <xdr:to>
          <xdr:col>286</xdr:col>
          <xdr:colOff>449580</xdr:colOff>
          <xdr:row>0</xdr:row>
          <xdr:rowOff>327660</xdr:rowOff>
        </xdr:to>
        <xdr:sp macro="" textlink="">
          <xdr:nvSpPr>
            <xdr:cNvPr id="4142" name="Button 46" hidden="1">
              <a:extLst>
                <a:ext uri="{63B3BB69-23CF-44E3-9099-C40C66FF867C}">
                  <a14:compatExt spid="_x0000_s4142"/>
                </a:ext>
                <a:ext uri="{FF2B5EF4-FFF2-40B4-BE49-F238E27FC236}">
                  <a16:creationId xmlns:a16="http://schemas.microsoft.com/office/drawing/2014/main" id="{26191A82-298D-3D72-1C69-F1CB476B7CC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Упорядочить щит</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286</xdr:col>
          <xdr:colOff>518160</xdr:colOff>
          <xdr:row>0</xdr:row>
          <xdr:rowOff>45720</xdr:rowOff>
        </xdr:from>
        <xdr:to>
          <xdr:col>288</xdr:col>
          <xdr:colOff>495300</xdr:colOff>
          <xdr:row>0</xdr:row>
          <xdr:rowOff>327660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B7B6292C-96FE-145F-5AE2-618A9BF3C4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Закрепить фазы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288</xdr:col>
          <xdr:colOff>563880</xdr:colOff>
          <xdr:row>0</xdr:row>
          <xdr:rowOff>45720</xdr:rowOff>
        </xdr:from>
        <xdr:to>
          <xdr:col>291</xdr:col>
          <xdr:colOff>251460</xdr:colOff>
          <xdr:row>0</xdr:row>
          <xdr:rowOff>327660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FB8BFD0E-8492-7BF3-66B1-0B9193B277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Зафиксировать выдачу</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243840</xdr:colOff>
          <xdr:row>0</xdr:row>
          <xdr:rowOff>45720</xdr:rowOff>
        </xdr:from>
        <xdr:to>
          <xdr:col>13</xdr:col>
          <xdr:colOff>304800</xdr:colOff>
          <xdr:row>1</xdr:row>
          <xdr:rowOff>121920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4240CD14-5C4B-1243-ED99-3CBD587B7E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Выгрузить для AutoCAD (все щиты)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434340</xdr:colOff>
          <xdr:row>0</xdr:row>
          <xdr:rowOff>45720</xdr:rowOff>
        </xdr:from>
        <xdr:to>
          <xdr:col>14</xdr:col>
          <xdr:colOff>876300</xdr:colOff>
          <xdr:row>1</xdr:row>
          <xdr:rowOff>121920</xdr:rowOff>
        </xdr:to>
        <xdr:sp macro="" textlink="">
          <xdr:nvSpPr>
            <xdr:cNvPr id="9218" name="Button 2" hidden="1">
              <a:extLst>
                <a:ext uri="{63B3BB69-23CF-44E3-9099-C40C66FF867C}">
                  <a14:compatExt spid="_x0000_s9218"/>
                </a:ext>
                <a:ext uri="{FF2B5EF4-FFF2-40B4-BE49-F238E27FC236}">
                  <a16:creationId xmlns:a16="http://schemas.microsoft.com/office/drawing/2014/main" id="{F9790641-65C4-80E5-A08D-60853D480BB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Наклейки (A4)</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0</xdr:row>
          <xdr:rowOff>45720</xdr:rowOff>
        </xdr:from>
        <xdr:to>
          <xdr:col>10</xdr:col>
          <xdr:colOff>1028700</xdr:colOff>
          <xdr:row>1</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B32F26CA-87A5-3D91-DF06-ED06EBF19D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Зафиксировать выдачу</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Срез_Щит" xr10:uid="{E077C61F-B16E-4B75-A31B-C1317C08FC67}" sourceName="Щит">
  <extLst>
    <x:ext xmlns:x15="http://schemas.microsoft.com/office/spreadsheetml/2010/11/main" uri="{2F2917AC-EB37-4324-AD4E-5DD8C200BD13}">
      <x15:tableSlicerCache tableId="8"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Щит" xr10:uid="{7EB26404-8728-47FD-9321-2E3C56A1986A}" cache="Срез_Щит" caption="Щит" columnCount="12" showCaption="0" style="SlicerStyleLight6" rowHeight="2286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E5B936-D0D8-417A-BF3B-FC3A3670553E}" name="Модули_умолч" displayName="Модули_умолч" ref="I2:K7" totalsRowShown="0">
  <autoFilter ref="I2:K7" xr:uid="{3DE5B936-D0D8-417A-BF3B-FC3A3670553E}"/>
  <tableColumns count="3">
    <tableColumn id="1" xr3:uid="{6BEF88EA-94BD-4F5E-AA5B-6EA2A427B01E}" name="Управление"/>
    <tableColumn id="2" xr3:uid="{7D9D59B5-4C8E-4558-A0DE-56089A69F977}" name="Модель"/>
    <tableColumn id="3" xr3:uid="{90D1A3C9-D65F-457A-8024-55EA42FD545A}" name="Каналов на линию"/>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F4B387E-F38F-413B-B80D-FBEA2900FF59}" name="Щиты" displayName="Щиты" ref="A13:BY30" totalsRowShown="0">
  <autoFilter ref="A13:BY30" xr:uid="{3F4B387E-F38F-413B-B80D-FBEA2900FF59}"/>
  <tableColumns count="77">
    <tableColumn id="1" xr3:uid="{62B1D748-9DF1-4797-BBD5-7B6ADC117974}" name="Щит"/>
    <tableColumn id="2" xr3:uid="{E8533560-E6FB-4E26-99D6-77798065C0ED}" name="Питается от">
      <calculatedColumnFormula>Щиты[[#This Row],[_авто питается от]]</calculatedColumnFormula>
    </tableColumn>
    <tableColumn id="3" xr3:uid="{55392303-3E1C-4259-98C6-51C62605C03D}" name="Вводов"/>
    <tableColumn id="4" xr3:uid="{D7488283-8A35-4DA5-8866-CC1ABD1BBE14}" name="АВР"/>
    <tableColumn id="5" xr3:uid="{B2CA3DFD-3E40-4F02-B9BA-703FCD851617}" name="ИБП от"/>
    <tableColumn id="6" xr3:uid="{84CBEF14-8CF8-4DBE-BD7A-0BE6783B15B5}" name="Мест под вводной узел"/>
    <tableColumn id="7" xr3:uid="{DD60AE1F-C251-4B67-B400-051E04658C04}" name="Питание: от (ТП / сеть)"/>
    <tableColumn id="8" xr3:uid="{69932232-CB02-4BFF-A680-A2152E2D37CF}" name="ΔU до питающего, %"/>
    <tableColumn id="9" xr3:uid="{1BC91DF4-80E5-4AD2-8D20-AA2FFA87497B}" name="Iкз min от сети, А"/>
    <tableColumn id="10" xr3:uid="{CD699122-C226-4C8D-AECC-C55A5A2A683D}" name="Iкз max от сети, кА"/>
    <tableColumn id="11" xr3:uid="{BFF9B539-9B0F-4EA3-8A47-A03BF930FA84}" name="Sтр, кВА"/>
    <tableColumn id="12" xr3:uid="{37F1295B-E312-4C23-912E-E2B1C8CA0F76}" name="Схема тр-ра"/>
    <tableColumn id="13" xr3:uid="{E22F84D5-97C0-4A32-B234-72CB4DF57C92}" name="Питающий кабель: S, мм²"/>
    <tableColumn id="14" xr3:uid="{E05760FF-DBE0-4739-BEF8-C83482610812}" name="Жил"/>
    <tableColumn id="15" xr3:uid="{538A2C7F-8861-4D7A-8503-05D6205CE537}" name="Кабелей параллельно"/>
    <tableColumn id="16" xr3:uid="{601A0B9D-36C1-4FAE-88AF-F97856A35E2A}" name="Длина, м"/>
    <tableColumn id="17" xr3:uid="{935437D4-B2DB-4E76-9918-45AEAFD8758F}" name="Материал"/>
    <tableColumn id="18" xr3:uid="{500D140A-26CB-48A4-B5E1-9DB3668B100C}" name="In питающего аппарата, А"/>
    <tableColumn id="19" xr3:uid="{DDA53D75-3DC3-4E27-995D-1A90436E0F72}" name="Хар-ка аппарата"/>
    <tableColumn id="20" xr3:uid="{8067A20A-660B-44F3-ADAD-CB78F83AA647}" name="Кат. питающей линии (ручн.)"/>
    <tableColumn id="21" xr3:uid="{F6AB5C2D-E02C-4A39-B9CB-ABDF31EBB26D}" name="Замечания щита">
      <calculatedColumnFormula>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calculatedColumnFormula>
    </tableColumn>
    <tableColumn id="22" xr3:uid="{B90A1D7E-31E4-4688-A09B-E69FB07D79C4}" name="Линия фидера">
      <calculatedColumnFormula array="1">IF(Щиты[[#This Row],[_строка фидера]]="","",INDEX(Линии[Номер линии],Щиты[[#This Row],[_строка фидера]]))</calculatedColumnFormula>
    </tableColumn>
    <tableColumn id="23" xr3:uid="{97214D85-8760-4493-AB7E-898D108AF23C}" name="Руст, кВт" dataDxfId="146">
      <calculatedColumnFormula>SUMIFS(Щиты[_Руст собств],Щиты[Путь],"*|"&amp;Щиты[[#This Row],[Щит]]&amp;"|*")</calculatedColumnFormula>
    </tableColumn>
    <tableColumn id="24" xr3:uid="{63A6173B-DF7F-4445-8E7F-F12FD22E7985}" name="Рр, кВт" dataDxfId="145">
      <calculatedColumnFormula>k_пк*Щиты[[#This Row],[Руст быт, кВт]]*Щиты[[#This Row],[Кс быт]]+Щиты[[#This Row],[Ко]]*Щиты[[#This Row],[Рр сил, кВт]]+Щиты[[#This Row],[Руст пост, кВт]]+Щиты[[#This Row],[Р отопления, кВт]]+Щиты[[#This Row],[Рр ВНГ, кВт]]</calculatedColumnFormula>
    </tableColumn>
    <tableColumn id="25" xr3:uid="{24808CB7-D98D-430F-98E0-A2D3D260D60B}" name="Iр, А" dataDxfId="144">
      <calculatedColumnFormula>IFERROR(MAX(MAX(Щиты[[#This Row],[P L1, кВт]],Щиты[[#This Row],[P L2, кВт]],Щиты[[#This Row],[P L3, кВт]])*Щиты[[#This Row],[Кс итог]]/((Uн_лин*1000/SQRT(3))/1000*Щиты[[#This Row],[cos φ]]),Щиты[[#This Row],[Рр, кВт]]/(SQRT(3)*Uн_лин*Щиты[[#This Row],[cos φ]])),0)</calculatedColumnFormula>
    </tableColumn>
    <tableColumn id="26" xr3:uid="{EA9F0E1D-6E02-4F3A-A920-A02F462D9313}" name="cos φ" dataDxfId="143">
      <calculatedColumnFormula>IFERROR(SUMIFS(Щиты[_Pcos собств],Щиты[Путь],"*|"&amp;Щиты[[#This Row],[Щит]]&amp;"|*")/SUMIFS(Щиты[_P собств],Щиты[Путь],"*|"&amp;Щиты[[#This Row],[Щит]]&amp;"|*"),0.95)</calculatedColumnFormula>
    </tableColumn>
    <tableColumn id="27" xr3:uid="{C05CFC09-AB12-4A05-AB36-041207C9E3DF}" name="ΔU до шин, %" dataDxfId="142">
      <calculatedColumnFormula array="1">SUMPRODUCT(--ISNUMBER(SEARCH("|"&amp;Щиты[Щит]&amp;"|",Щиты[[#This Row],[Путь]])),IFERROR(--Щиты[_ΔU фидера],0)+IFERROR(--Щиты[_ΔU источника],0))</calculatedColumnFormula>
    </tableColumn>
    <tableColumn id="28" xr3:uid="{21C689F8-754F-4447-B402-6D0DA3EF7A41}" name="Iкз min на шинах, А" dataDxfId="141">
      <calculatedColumnFormula>IF(ISNUMBER(Щиты[[#This Row],[Zпетли на шинах, Ом]]),c_min*(Uн_лин*1000/SQRT(3))/Щиты[[#This Row],[Zпетли на шинах, Ом]],"")</calculatedColumnFormula>
    </tableColumn>
    <tableColumn id="29" xr3:uid="{F4C6B35C-08C2-4853-88D1-6C7478EA526D}" name="Iкз max на шинах, кА" dataDxfId="140">
      <calculatedColumnFormula>IF(ISNUMBER(Щиты[[#This Row],[Zmax на шинах, Ом]]),1.05*(Uн_лин*1000/SQRT(3))/Щиты[[#This Row],[Zmax на шинах, Ом]]/1000,"")</calculatedColumnFormula>
    </tableColumn>
    <tableColumn id="30" xr3:uid="{F49C627A-4A61-46E9-A00C-A5A0C2FB730B}" name="Категория шины «Ввод»">
      <calculatedColumnFormula array="1">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calculatedColumnFormula>
    </tableColumn>
    <tableColumn id="31" xr3:uid="{159AC775-BB8D-4800-B435-7C323749207C}" name="Путь">
      <calculatedColumnFormula array="1">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calculatedColumnFormula>
    </tableColumn>
    <tableColumn id="32" xr3:uid="{DC31F4CA-D53B-4FF7-A82C-A23BFEA5A631}" name="Корень" dataDxfId="139">
      <calculatedColumnFormula>_xlfn.TEXTBEFORE(MID(Щиты[[#This Row],[Путь]],2,999),"|")</calculatedColumnFormula>
    </tableColumn>
    <tableColumn id="33" xr3:uid="{B482425E-AC02-4EBA-83F4-841D75685952}" name="Питается от (итог)">
      <calculatedColumnFormula>IF(TRIM(Щиты[[#This Row],[Питается от]]&amp;"")="",Щиты[[#This Row],[_авто питается от]],Щиты[[#This Row],[Питается от]])</calculatedColumnFormula>
    </tableColumn>
    <tableColumn id="34" xr3:uid="{DBBD68A6-3E68-4EED-B082-27901A5815D6}" name="Уровень">
      <calculatedColumnFormula>LEN(Щиты[[#This Row],[Путь]])-LEN(SUBSTITUTE(Щиты[[#This Row],[Путь]],"|",""))-2</calculatedColumnFormula>
    </tableColumn>
    <tableColumn id="35" xr3:uid="{D85A6A7A-7102-4B64-9C00-E8EFCB6A4C94}" name="_строка фидера">
      <calculatedColumnFormula>IFERROR(_xlfn.XMATCH(Щиты[[#This Row],[Щит]],Линии[_фидер]),"")</calculatedColumnFormula>
    </tableColumn>
    <tableColumn id="36" xr3:uid="{F2DB9F05-B210-450C-8281-B03CC8C8B4CA}" name="_авто питается от">
      <calculatedColumnFormula array="1">IFERROR(INDEX(Линии[Щит],Щиты[[#This Row],[_строка фидера]]),"")</calculatedColumnFormula>
    </tableColumn>
    <tableColumn id="37" xr3:uid="{C0C430FD-4469-40AA-865A-A920882CA2AE}" name="_Руст собств">
      <calculatedColumnFormula>SUMIFS(Линии[_Руст (без Нет)],Линии[Щит],Щиты[[#This Row],[Щит]])</calculatedColumnFormula>
    </tableColumn>
    <tableColumn id="38" xr3:uid="{9E038DA0-A1D2-4C1F-9D7D-0F718F6790B3}" name="_быт собств">
      <calculatedColumnFormula>SUMIFS(Линии[_Руст быт],Линии[Щит],Щиты[[#This Row],[Щит]])</calculatedColumnFormula>
    </tableColumn>
    <tableColumn id="39" xr3:uid="{C79277C5-C4A3-4368-9EEB-A5342717F778}" name="_сил собств">
      <calculatedColumnFormula>SUMIFS(Линии[_Рр сил],Линии[Щит],Щиты[[#This Row],[Щит]])</calculatedColumnFormula>
    </tableColumn>
    <tableColumn id="40" xr3:uid="{23C8A7C0-A35C-40DC-93A4-A0F3FE2CE749}" name="_пост собств">
      <calculatedColumnFormula>SUMIFS(Линии[_Руст пост],Линии[Щит],Щиты[[#This Row],[Щит]])</calculatedColumnFormula>
    </tableColumn>
    <tableColumn id="41" xr3:uid="{D7AEB21F-9584-4109-8969-AEAC0A0DD8AC}" name="_P собств">
      <calculatedColumnFormula>SUMIFS(Линии[_P для cos],Линии[Щит],Щиты[[#This Row],[Щит]])</calculatedColumnFormula>
    </tableColumn>
    <tableColumn id="42" xr3:uid="{82516328-1DAF-4E8C-B1E1-201A3A90FBD1}" name="_Pcos собств">
      <calculatedColumnFormula>SUMIFS(Линии[_P·cos],Линии[Щит],Щиты[[#This Row],[Щит]])</calculatedColumnFormula>
    </tableColumn>
    <tableColumn id="43" xr3:uid="{4493CE5A-3DC0-4696-84F3-D8487FF79B5D}" name="_отоп собств">
      <calculatedColumnFormula>SUMIFS(Линии[_Р отопления],Линии[Щит],Щиты[[#This Row],[Щит]])</calculatedColumnFormula>
    </tableColumn>
    <tableColumn id="44" xr3:uid="{1E926E87-0378-4273-A6CF-809816C2902C}" name="_внг собств">
      <calculatedColumnFormula>SUMIFS(Линии[_Рр ВНГ],Линии[Щит],Щиты[[#This Row],[Щит]])</calculatedColumnFormula>
    </tableColumn>
    <tableColumn id="45" xr3:uid="{C09802D7-8830-47F5-9A44-265533F963C8}" name="Руст быт, кВт" dataDxfId="138">
      <calculatedColumnFormula>SUMIFS(Щиты[_быт собств],Щиты[Путь],"*|"&amp;Щиты[[#This Row],[Щит]]&amp;"|*")</calculatedColumnFormula>
    </tableColumn>
    <tableColumn id="46" xr3:uid="{4B57B140-EEE8-42CA-9DCB-D4C4CD36E929}" name="Кс быт" dataDxfId="137">
      <calculatedColumnFormula array="1">_xlfn.LET(_xlpm.x,Щиты[[#This Row],[Руст быт, кВт]],_xlpm.m,MATCH(_xlpm.x,Кс_Р,1),IF(_xlpm.x&gt;=INDEX(Кс_Р,ROWS(Кс_Р)),INDEX(Кс_К,ROWS(Кс_К)),INDEX(Кс_К,_xlpm.m)+(_xlpm.x-INDEX(Кс_Р,_xlpm.m))*(INDEX(Кс_К,_xlpm.m+1)-INDEX(Кс_К,_xlpm.m))/(INDEX(Кс_Р,_xlpm.m+1)-INDEX(Кс_Р,_xlpm.m))))</calculatedColumnFormula>
    </tableColumn>
    <tableColumn id="47" xr3:uid="{040F29CB-72F3-490B-AF2B-4E5D50641170}" name="Рр сил, кВт" dataDxfId="136">
      <calculatedColumnFormula>SUMIFS(Щиты[_сил собств],Щиты[Путь],"*|"&amp;Щиты[[#This Row],[Щит]]&amp;"|*")</calculatedColumnFormula>
    </tableColumn>
    <tableColumn id="48" xr3:uid="{C831106B-6238-4B08-A69A-93D393C8AABC}" name="Руст пост, кВт" dataDxfId="135">
      <calculatedColumnFormula>SUMIFS(Щиты[_пост собств],Щиты[Путь],"*|"&amp;Щиты[[#This Row],[Щит]]&amp;"|*")</calculatedColumnFormula>
    </tableColumn>
    <tableColumn id="49" xr3:uid="{70922487-DB7B-4DB6-8930-811059EC87B0}" name="Р отопления, кВт" dataDxfId="134">
      <calculatedColumnFormula>SUMIFS(Щиты[_отоп собств],Щиты[Путь],"*|"&amp;Щиты[[#This Row],[Щит]]&amp;"|*")</calculatedColumnFormula>
    </tableColumn>
    <tableColumn id="50" xr3:uid="{9D7C6DD1-BA6B-4CE9-AB3F-79C17009DC7D}" name="Рр ВНГ, кВт" dataDxfId="133">
      <calculatedColumnFormula>SUMIFS(Щиты[_внг собств],Щиты[Путь],"*|"&amp;Щиты[[#This Row],[Щит]]&amp;"|*")</calculatedColumnFormula>
    </tableColumn>
    <tableColumn id="51" xr3:uid="{077B0B65-C6F4-4AFA-AB61-710810808A8F}" name="_n силовых">
      <calculatedColumnFormula>COUNTIFS(Линии[Щит],Щиты[[#This Row],[Щит]],Линии[Группа Кс (итог)],"Сил")</calculatedColumnFormula>
    </tableColumn>
    <tableColumn id="52" xr3:uid="{B77D14B3-EFCE-4ECC-9B07-A079A9A5EF29}" name="Кс силовых (табл. 7.5)" dataDxfId="132">
      <calculatedColumnFormula array="1">_xlfn.LET(_xlpm.n,Щиты[[#This Row],[_n силовых]],IF(_xlpm.n&lt;=1,1,IF(_xlpm.n&gt;=MAX(Кс75_n),INDEX(Кс75_k,ROWS(Кс75_k)),_xlfn.LET(_xlpm.m,MATCH(_xlpm.n,Кс75_n,1),INDEX(Кс75_k,_xlpm.m)+(_xlpm.n-INDEX(Кс75_n,_xlpm.m))*(INDEX(Кс75_k,_xlpm.m+1)-INDEX(Кс75_k,_xlpm.m))/(INDEX(Кс75_n,_xlpm.m+1)-INDEX(Кс75_n,_xlpm.m))))))</calculatedColumnFormula>
    </tableColumn>
    <tableColumn id="53" xr3:uid="{25AFF98D-F8D4-4642-B7A1-6C9373158B12}" name="Ко" dataDxfId="131">
      <calculatedColumnFormula>IF(Методика="нормы 2026",IF(AND(Щиты[[#This Row],[Руст быт, кВт]]&gt;0,Щиты[[#This Row],[Рр сил, кВт]]&gt;0),Ко_сил,1),Ко_сил)</calculatedColumnFormula>
    </tableColumn>
    <tableColumn id="54" xr3:uid="{D2A993F5-76CE-4A6A-B66C-F2398ACC6134}" name="Кс итог" dataDxfId="130">
      <calculatedColumnFormula>IF(Щиты[[#This Row],[Руст, кВт]]=0,0,Щиты[[#This Row],[Рр, кВт]]/Щиты[[#This Row],[Руст, кВт]])</calculatedColumnFormula>
    </tableColumn>
    <tableColumn id="55" xr3:uid="{D6F4B65D-C54E-4624-A57D-D306C2B05498}" name="P L1, кВт" dataDxfId="129">
      <calculatedColumnFormula>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calculatedColumnFormula>
    </tableColumn>
    <tableColumn id="56" xr3:uid="{0ECA526D-64AF-4AAD-988A-18EAAF26D644}" name="P L2, кВт" dataDxfId="128">
      <calculatedColumnFormula>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calculatedColumnFormula>
    </tableColumn>
    <tableColumn id="57" xr3:uid="{F6CABAD3-FD13-4AF3-9EBF-2304D12F39AF}" name="P L3, кВт" dataDxfId="127">
      <calculatedColumnFormula>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calculatedColumnFormula>
    </tableColumn>
    <tableColumn id="58" xr3:uid="{32A82615-E59D-4FB6-8AD7-D99060FF4D45}" name="_ΔU фидера">
      <calculatedColumnFormula array="1">IF(Щиты[[#This Row],[_строка фидера]]="","",INDEX(Линии[ΔU, %],Щиты[[#This Row],[_строка фидера]]))</calculatedColumnFormula>
    </tableColumn>
    <tableColumn id="59" xr3:uid="{5E138222-14F0-442F-9A51-BAE840AB3103}" name="_ΔU пит. линии">
      <calculatedColumnFormula>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calculatedColumnFormula>
    </tableColumn>
    <tableColumn id="60" xr3:uid="{30F4665D-9223-442E-86BE-4FF29413285A}" name="_ΔU источника">
      <calculatedColumnFormula>IF(Щиты[[#This Row],[Питается от (итог)]]&lt;&gt;"",0,IF(LEFT(UPPER(TRIM(Щиты[[#This Row],[Питание: от (ТП / сеть)]])),2)="ТП",0,N(Щиты[[#This Row],[ΔU до питающего, %]])+Щиты[[#This Row],[_ΔU пит. линии]]))</calculatedColumnFormula>
    </tableColumn>
    <tableColumn id="61" xr3:uid="{0FFA3827-2BD3-486A-9C7B-4E59BB4B583F}" name="_петля пит. кабеля">
      <calculatedColumnFormula>IF(N(Щиты[[#This Row],[Питающий кабель: S, мм²]])&gt;0,2*IF(Щиты[[#This Row],[Материал]]="алюминий",ρкз_Al,ρкз_Cu)*N(Щиты[[#This Row],[Длина, м]])/(N(Щиты[[#This Row],[Питающий кабель: S, мм²]])*MAX(1,N(Щиты[[#This Row],[Кабелей параллельно]]))),0)</calculatedColumnFormula>
    </tableColumn>
    <tableColumn id="62" xr3:uid="{C90FC537-1FFD-4145-B476-CB23AA9EE567}" name="_Zсети">
      <calculatedColumnFormula>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calculatedColumnFormula>
    </tableColumn>
    <tableColumn id="63" xr3:uid="{CC00E830-158D-49E3-8CD7-294835756746}" name="_Zисточника">
      <calculatedColumnFormula>IF(Щиты[[#This Row],[_Zсети]]="","",Щиты[[#This Row],[_Zсети]]+Щиты[[#This Row],[_петля пит. кабеля]])</calculatedColumnFormula>
    </tableColumn>
    <tableColumn id="64" xr3:uid="{C1589328-6F2A-461F-88F0-E51BE10A2D89}" name="_Zфидера">
      <calculatedColumnFormula array="1">IF(Щиты[[#This Row],[_строка фидера]]="","",INDEX(Линии[_Zкабеля],Щиты[[#This Row],[_строка фидера]]))</calculatedColumnFormula>
    </tableColumn>
    <tableColumn id="65" xr3:uid="{3375DB09-548F-4B7E-8598-F20D7D6C3276}" name="Zпетли на шинах, Ом" dataDxfId="126">
      <calculatedColumnFormula array="1">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calculatedColumnFormula>
    </tableColumn>
    <tableColumn id="66" xr3:uid="{FC274119-F0DC-4181-B9BC-B5162574FC5B}" name="_Zmax сети">
      <calculatedColumnFormula>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calculatedColumnFormula>
    </tableColumn>
    <tableColumn id="67" xr3:uid="{18FA0DD4-7BC0-45A4-B1A5-09F75F446EDF}" name="_Zmax источника">
      <calculatedColumnFormula>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calculatedColumnFormula>
    </tableColumn>
    <tableColumn id="68" xr3:uid="{4543B79C-F12E-471D-A43C-38B18247DF06}" name="_Zmax фидера">
      <calculatedColumnFormula array="1">IF(Щиты[[#This Row],[_строка фидера]]="","",INDEX(Линии[_Zmax кабеля],Щиты[[#This Row],[_строка фидера]]))</calculatedColumnFormula>
    </tableColumn>
    <tableColumn id="69" xr3:uid="{EFD42F2E-1A3A-4D04-A012-CB836AF90175}" name="Zmax на шинах, Ом" dataDxfId="125">
      <calculatedColumnFormula array="1">IF(_xlfn.XLOOKUP(Щиты[[#This Row],[Корень]],Щиты[Щит],Щиты[_Zmax источника],"")="","",SUMPRODUCT(--ISNUMBER(SEARCH("|"&amp;Щиты[Щит]&amp;"|",Щиты[[#This Row],[Путь]])),IFERROR(--Щиты[_Zmax источника],0)+IFERROR(--Щиты[_Zmax фидера],0)))</calculatedColumnFormula>
    </tableColumn>
    <tableColumn id="70" xr3:uid="{D14700AA-4DDF-454A-8024-9705ED6C2471}" name="_ΔU фидера (подбор)">
      <calculatedColumnFormula array="1">IF(Щиты[[#This Row],[_строка фидера]]="","",INDEX(Линии[_ΔU по току, %],Щиты[[#This Row],[_строка фидера]]))</calculatedColumnFormula>
    </tableColumn>
    <tableColumn id="71" xr3:uid="{80EB6B61-03FA-4D33-8D44-5E304BE44FA7}" name="ΔU до шин (подбор), %" dataDxfId="124">
      <calculatedColumnFormula array="1">SUMPRODUCT(--ISNUMBER(SEARCH("|"&amp;Щиты[Щит]&amp;"|",Щиты[[#This Row],[Путь]])),IFERROR(--Щиты[_ΔU фидера (подбор)],0)+IFERROR(--Щиты[_ΔU источника],0))</calculatedColumnFormula>
    </tableColumn>
    <tableColumn id="72" xr3:uid="{34F3F7E7-079D-4168-AE7E-15ED11804335}" name="_Zфидера (подбор)">
      <calculatedColumnFormula array="1">IF(Щиты[[#This Row],[_строка фидера]]="","",INDEX(Линии[_Zкабеля по току],Щиты[[#This Row],[_строка фидера]]))</calculatedColumnFormula>
    </tableColumn>
    <tableColumn id="73" xr3:uid="{94D94E40-FC74-490F-9EB4-F53BC8374577}" name="Zпетли на шинах (подбор), Ом" dataDxfId="123">
      <calculatedColumnFormula array="1">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calculatedColumnFormula>
    </tableColumn>
    <tableColumn id="74" xr3:uid="{EBE7BE4D-BB5A-4AD4-AA54-0C1581058FAD}" name="Iпуск max, А" dataDxfId="122">
      <calculatedColumnFormula>_xlfn.MAXIFS(Линии[Iпуск, А],Линии[Щит],Щиты[[#This Row],[Щит]])</calculatedColumnFormula>
    </tableColumn>
    <tableColumn id="75" xr3:uid="{89E6CB7F-B996-4DD4-B0E1-004B799D5542}" name="Источник фидера">
      <calculatedColumnFormula array="1">IF(Щиты[[#This Row],[_строка фидера]]="","",INDEX(Линии[Источник для режимов],Щиты[[#This Row],[_строка фидера]]))</calculatedColumnFormula>
    </tableColumn>
    <tableColumn id="76" xr3:uid="{2E04A8B6-243F-4F51-BB7D-CC742C7DEA0E}" name="Пожарный фидер">
      <calculatedColumnFormula array="1">IF(Щиты[[#This Row],[_строка фидера]]="","",INDEX(Линии[Пожарная (итог)],Щиты[[#This Row],[_строка фидера]]))</calculatedColumnFormula>
    </tableColumn>
    <tableColumn id="77" xr3:uid="{5CA364F9-FC16-414D-914C-2146E0FCC970}" name="_фазы авто">
      <calculatedColumnFormula array="1">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5EE87E-7E65-4D5B-9F5A-24508AE029D1}" name="Шины" displayName="Шины" ref="CA13:CC14" totalsRowShown="0">
  <autoFilter ref="CA13:CC14" xr:uid="{7A5EE87E-7E65-4D5B-9F5A-24508AE029D1}"/>
  <tableColumns count="3">
    <tableColumn id="1" xr3:uid="{5B20C298-4830-4081-AB4D-46F73B40D4BB}" name="Шина"/>
    <tableColumn id="2" xr3:uid="{45932F0C-6550-4D84-BEAB-3BA2B0C1BC72}" name="Щит"/>
    <tableColumn id="3" xr3:uid="{4F9C5CB8-7DA0-4FED-A334-812312162DCA}" name="Тип"/>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C9D936B-79BE-49DD-9533-6F4FF7E5C5E0}" name="Линии" displayName="Линии" ref="A2:JZ352" totalsRowShown="0">
  <autoFilter ref="A2:JZ352" xr:uid="{DC9D936B-79BE-49DD-9533-6F4FF7E5C5E0}"/>
  <tableColumns count="286">
    <tableColumn id="1" xr3:uid="{8B95FE6B-8890-419F-ABBD-09B46198929F}" name="Щит"/>
    <tableColumn id="2" xr3:uid="{2F3F39E1-EC3B-4513-9495-AD03729BE292}" name="Номер линии"/>
    <tableColumn id="3" xr3:uid="{2F5EA675-CF4C-4F9B-895A-63ED8D866BFB}" name="Наименование">
      <calculatedColumnFormula>Линии[[#This Row],[_авто наименование]]</calculatedColumnFormula>
    </tableColumn>
    <tableColumn id="4" xr3:uid="{592D1BC9-F4E5-43AD-8A7F-58AF767B635C}" name="Кол-во потребителей, шт"/>
    <tableColumn id="5" xr3:uid="{FF45A67D-22EA-4755-A1E2-E4D470EE2771}" name="Р, кВт">
      <calculatedColumnFormula>Линии[[#This Row],[_авто Р]]</calculatedColumnFormula>
    </tableColumn>
    <tableColumn id="6" xr3:uid="{1E237D36-1D1D-4BDE-810F-6AFB4847264B}" name="Группа"/>
    <tableColumn id="7" xr3:uid="{DDDB34EC-3C78-4335-BD54-310AC92825A2}" name="Автомат">
      <calculatedColumnFormula>Линии[[#This Row],[_авто автомат]]</calculatedColumnFormula>
    </tableColumn>
    <tableColumn id="8" xr3:uid="{675AAF87-D01F-4D06-BC81-F275DB452A1C}" name="Управление">
      <calculatedColumnFormula>Линии[[#This Row],[_авто управление]]</calculatedColumnFormula>
    </tableColumn>
    <tableColumn id="9" xr3:uid="{1018D95F-E688-495B-BDCE-C301CB22EBDD}" name="Аппараты">
      <calculatedColumnFormula>Линии[[#This Row],[_авто аппараты]]</calculatedColumnFormula>
    </tableColumn>
    <tableColumn id="10" xr3:uid="{3BDDD029-2766-403D-B52E-4E59147263E0}" name="Сечение, мм²">
      <calculatedColumnFormula>Линии[[#This Row],[_авто сечение]]</calculatedColumnFormula>
    </tableColumn>
    <tableColumn id="11" xr3:uid="{35544D82-FF6E-4E41-9FC1-06C974FCA1F0}" name="Длина линии (по плану), м">
      <calculatedColumnFormula>Линии[[#This Row],[_авто длина по плану]]</calculatedColumnFormula>
    </tableColumn>
    <tableColumn id="12" xr3:uid="{01D52A6C-56EE-4460-8C05-04CBB4B6C22E}" name="Фаза">
      <calculatedColumnFormula>Линии[[#This Row],[_авто фаза]]</calculatedColumnFormula>
    </tableColumn>
    <tableColumn id="13" xr3:uid="{D97E86F1-3DE0-43CC-A6CF-670028FE829A}" name="Клемма">
      <calculatedColumnFormula>Линии[[#This Row],[_авто клемма]]</calculatedColumnFormula>
    </tableColumn>
    <tableColumn id="14" xr3:uid="{10D01918-13E7-46EC-B84D-E6EBB43AE063}" name="Замечания">
      <calculatedColumnFormula>_xlfn.TEXTJOIN("; ",TRUE,IK3,IH3,IF(LEFT(IJ3,3)="Icu",IJ3,""),IF(AND(B3&lt;&gt;"",EN3="не подобрано"),"сечение не подобрано: проверьте длину и автомат или впишите сечение",""))</calculatedColumnFormula>
    </tableColumn>
    <tableColumn id="15" xr3:uid="{A05D4321-F951-4FE6-A4E3-D23A2A481F77}" name="Iр, А" dataDxfId="102">
      <calculatedColumnFormula array="1">IF(B3="","",IF(BH3&lt;&gt;"",IFERROR(_xlfn.XLOOKUP(BH3,Щиты[Щит],Щиты[Iр, А]),""),IF(BP3=1,IF(OR(N(_xlfn.XLOOKUP(A3,Щиты[Щит],Щиты[Вводов],1))&lt;=1,LOWER(TRIM(_xlfn.XLOOKUP(A3,Щиты[Щит],Щиты[АВР],"")&amp;""))="да"),IFERROR(_xlfn.XLOOKUP(A3,Щиты[Щит],Щиты[Iр, А]),""),IFERROR(N(BS3)*_xlfn.XLOOKUP(A3,Щиты[Щит],Щиты[Кс итог])/(SQRT(3)*Uн_лин*_xlfn.XLOOKUP(A3,Щиты[Щит],Щиты[cos φ])),"")),IF(BV3=1,IFERROR(BS3*1000/BU3,""),IFERROR(_xlfn.IFS(BX3=1,BS3/((Uн_лин/SQRT(3))*CE3),BX3=3,BS3/(SQRT(3)*Uн_лин*CE3)),"")))))</calculatedColumnFormula>
    </tableColumn>
    <tableColumn id="16" xr3:uid="{7D705FCC-D418-4611-8A5F-BCA0F28242CE}" name="Длина, м" dataDxfId="100">
      <calculatedColumnFormula>IF(B3="","",IFERROR(IF(VLOOKUP(BC3,Потребители_обозначение,4,FALSE)=1,VLOOKUP(BC3,Потребители_обозначение,3,FALSE)*(MAX(1,N(D3))*2-1)+EI3+VLOOKUP(BE3,Этаж_обозначение,3,FALSE)+VLOOKUP(BE3,Этаж_обозначение,4,FALSE),VLOOKUP(BC3,Потребители_обозначение,3,FALSE)*(MAX(1,N(D3))*2-1)+EI3),EI3))</calculatedColumnFormula>
    </tableColumn>
    <tableColumn id="17" xr3:uid="{8888FEB1-8528-437F-8F4B-DC275997A1AE}" name="ΔU от ВРУ, %" dataDxfId="101">
      <calculatedColumnFormula>IF(ISNUMBER(EW3),EW3+IF(BV3=1,0,ED3),"")</calculatedColumnFormula>
    </tableColumn>
    <tableColumn id="18" xr3:uid="{DF8ECA15-6F67-4190-A133-F6B2A13FAC16}" name="Кабель">
      <calculatedColumnFormula>IF(OR(B3="",EX3=""),"",IF(EN3="не подобрано",EX3&amp;" — сечение не подобрано",EY3))</calculatedColumnFormula>
    </tableColumn>
    <tableColumn id="19" xr3:uid="{8D47AD61-B3A8-4979-84B6-1411BC7A9A2D}" name="Лист / место">
      <calculatedColumnFormula>IF(BM3="","",IF(BN3="вводной узел","узел ","")&amp;"л."&amp;(INT((BM3-1)/Столбцов_на_лист)+1)&amp;" / "&amp;(MOD(BM3-1,Столбцов_на_лист)+1))</calculatedColumnFormula>
    </tableColumn>
    <tableColumn id="20" xr3:uid="{47A143F8-9C48-4DBD-A65A-046C764AF175}" name="Ток утечки, мА" dataDxfId="99">
      <calculatedColumnFormula>IF(OR(CG3=0,BH3&lt;&gt;"",BP3=1),"",IF(AND(CS3&lt;&gt;"",CS3=BA3),ROUND(N(CY3),1),ROUND(N(HV3)+N(HW3),1)))</calculatedColumnFormula>
    </tableColumn>
    <tableColumn id="21" xr3:uid="{75DFCBD4-2BC5-45EB-9A52-2CC73993884B}" name="БП: нужно, Вт" dataDxfId="98">
      <calculatedColumnFormula>IF(OR(CG3=0,N(BV3)+N(IB3)=0),"",ROUNDUP(Запас_БП*(N(HY3)+N(HZ3)),0))</calculatedColumnFormula>
    </tableColumn>
    <tableColumn id="22" xr3:uid="{A439DA6C-CE7F-4D07-A8BF-7E4F1D63C5A1}" name="Uвых БП, В" dataDxfId="96">
      <calculatedColumnFormula>IF(OR(CG3=0,N(BV3)+N(IB3)=0),"",ROUND(MAX(N(HX3),N(IA3)),1))</calculatedColumnFormula>
    </tableColumn>
    <tableColumn id="23" xr3:uid="{BDC0E54F-CD98-4A85-8FAE-98984B199E5F}" name="Lмакс по КЗ, м" dataDxfId="97">
      <calculatedColumnFormula>IFERROR(IF(OR(B3="",BP3=1,BV3=1,NOT(ISNUMBER(EN3)),N(DT3)=0),"",MAX(0,ROUNDDOWN((c_min*(Uн_лин*1000/SQRT(3))/(HT3*N(DT3))-_xlfn.XLOOKUP(A3,Щиты[Щит],Щиты[Zпетли на шинах, Ом]))*EN3/(2*ρкз_Cu),0))),"")</calculatedColumnFormula>
    </tableColumn>
    <tableColumn id="24" xr3:uid="{E848AA95-ECBB-4DF4-80C9-0EBDD5851948}" name="Питает щит"/>
    <tableColumn id="25" xr3:uid="{37EC1EEE-8E16-4089-BCE3-214E5E6C0D77}" name="Утечка, мА">
      <calculatedColumnFormula>Линии[[#This Row],[_авто утечка]]</calculatedColumnFormula>
    </tableColumn>
    <tableColumn id="26" xr3:uid="{149108E9-2304-4AC5-BC68-B19E5C7BDB35}" name="Кол-во фаз">
      <calculatedColumnFormula>Линии[[#This Row],[_авто фаз]]</calculatedColumnFormula>
    </tableColumn>
    <tableColumn id="27" xr3:uid="{8256079C-7051-4EF8-87E0-97A6CA8A8D71}" name="Напряжение">
      <calculatedColumnFormula>Линии[[#This Row],[_авто U]]</calculatedColumnFormula>
    </tableColumn>
    <tableColumn id="28" xr3:uid="{B2C29400-7E52-4ED5-AA3F-D004E246397D}" name="Группа Кс">
      <calculatedColumnFormula>Линии[[#This Row],[_авто группа Кс]]</calculatedColumnFormula>
    </tableColumn>
    <tableColumn id="29" xr3:uid="{9896DB14-48FB-4771-BA74-FF5D7881FFB9}" name="Кс (для Сил)"/>
    <tableColumn id="30" xr3:uid="{325F0FAD-09A9-4BB5-93D4-0547D2B81855}" name="cos φ (ручн.)"/>
    <tableColumn id="31" xr3:uid="{65C4FDDE-E123-4A7A-A24E-B51890A1462C}" name="Секция (1/2/3)"/>
    <tableColumn id="32" xr3:uid="{E167D51E-CAD3-4A6E-92BE-A466EC89E66C}" name="Шина"/>
    <tableColumn id="33" xr3:uid="{3B9171FF-502C-495C-BD66-D8D9F889D36D}" name="Категория ввода (строки «Ввод»)"/>
    <tableColumn id="34" xr3:uid="{5863632B-9BC1-4ABB-BBA9-99AA56C4DE32}" name="Пожарная (да / нет)"/>
    <tableColumn id="35" xr3:uid="{5CE223F0-8255-453B-9A8C-DFC44360B395}" name="Вид нагрузки"/>
    <tableColumn id="36" xr3:uid="{B1984987-25D6-402C-BB19-9CEB2E9F46E2}" name="Режим"/>
    <tableColumn id="37" xr3:uid="{266A601D-0DAB-4E33-99C2-8B7E0512C003}" name="Модуль">
      <calculatedColumnFormula>Линии[[#This Row],[_авто модуль]]</calculatedColumnFormula>
    </tableColumn>
    <tableColumn id="38" xr3:uid="{63DA3C10-7863-4CEE-B087-BE03D5DEE5DE}" name="Канал"/>
    <tableColumn id="39" xr3:uid="{2FEA0533-F976-4391-BFEC-634378BE59A7}" name="№ места"/>
    <tableColumn id="40" xr3:uid="{D18EFDE0-CBF8-4FE5-9F45-05092EC01304}" name="Марка кабеля">
      <calculatedColumnFormula>Линии[[#This Row],[_авто марка]]</calculatedColumnFormula>
    </tableColumn>
    <tableColumn id="41" xr3:uid="{E8A38052-9599-45C6-AF3C-DEABF00E4070}" name="Кол-во жил">
      <calculatedColumnFormula>Линии[[#This Row],[_авто жил]]</calculatedColumnFormula>
    </tableColumn>
    <tableColumn id="42" xr3:uid="{226685D9-81AE-4169-91E9-9882300452FA}" name="К прокл. линии"/>
    <tableColumn id="43" xr3:uid="{6AE9BD8A-BEDF-4676-A2AC-42A7AC8206CF}" name="Лоток"/>
    <tableColumn id="44" xr3:uid="{2A5DA28B-8D0E-480F-B4B1-1D3A9954566B}" name="Гофра ПВХ"/>
    <tableColumn id="45" xr3:uid="{DF129564-1304-4FBA-8762-6FB515F12FA6}" name="Гофра ПНД"/>
    <tableColumn id="46" xr3:uid="{39C3928C-33D6-450E-BA4D-4A7D91F4366C}" name="Потолок - 1/Пол - 2"/>
    <tableColumn id="47" xr3:uid="{757E92F3-82DD-4D7E-8E17-698B3BFCB5E5}" name="Примечание"/>
    <tableColumn id="48" xr3:uid="{85C7D505-3DB1-493C-8744-09D028E80869}" name="DWG: гофра ПВХ по плану, м"/>
    <tableColumn id="49" xr3:uid="{99BC4185-1AC2-477C-9965-F144352586F3}" name="DWG: гофра ПНД по плану, м"/>
    <tableColumn id="50" xr3:uid="{3B8B933A-80BC-4149-9CD0-0D0391470410}" name="DWG: хэндлы полилиний"/>
    <tableColumn id="51" xr3:uid="{277A13B8-AC82-4651-88E7-D7C2B7ED79D7}" name="DWG: примечание"/>
    <tableColumn id="52" xr3:uid="{7F3E81A0-9DD2-486D-9243-ECE93217E574}" name="Доп информация из выноски"/>
    <tableColumn id="53" xr3:uid="{D49278C3-2412-4B70-85D7-715C55A197E7}" name="_n">
      <calculatedColumnFormula array="1">ROW()-ROW(Линии[#Headers])</calculatedColumnFormula>
    </tableColumn>
    <tableColumn id="54" xr3:uid="{5ABBD15B-0743-4213-9E4C-E2326EF1387B}" name="_ключ упорядочивания"/>
    <tableColumn id="55" xr3:uid="{FFDF282C-D7A2-4CCF-9595-4E8C05AD31B0}" name="Код" dataDxfId="121">
      <calculatedColumnFormula>IF(B3="","",IFERROR(LEFT(B3,SEARCH(".",B3)-1),B3))</calculatedColumnFormula>
    </tableColumn>
    <tableColumn id="56" xr3:uid="{1997347F-65B9-4735-B83A-087CFD830480}" name="_часть1">
      <calculatedColumnFormula>IFERROR(RIGHT(B3,LEN(B3)-SEARCH(".",B3)),"")</calculatedColumnFormula>
    </tableColumn>
    <tableColumn id="57" xr3:uid="{6794D403-A713-44BF-AD89-4AFF8ED32F03}" name="Этаж/Шлейф">
      <calculatedColumnFormula>IFERROR(LEFT(BD3,SEARCH(".",BD3)-1),BD3)</calculatedColumnFormula>
    </tableColumn>
    <tableColumn id="58" xr3:uid="{7DE4F32B-E726-40B3-B93A-5C89C89B3F00}" name="_часть2">
      <calculatedColumnFormula>IFERROR(RIGHT(BD3,LEN(BD3)-SEARCH(".",BD3)),"")</calculatedColumnFormula>
    </tableColumn>
    <tableColumn id="59" xr3:uid="{46F70D44-C596-4C28-A535-32E94409D1B0}" name="Помещение">
      <calculatedColumnFormula>IFERROR(LEFT(BF3,SEARCH(".",BF3)-1),BF3)</calculatedColumnFormula>
    </tableColumn>
    <tableColumn id="60" xr3:uid="{FB2F14BD-96A0-4DA9-87C8-50B1DDAC4F1C}" name="_фидер">
      <calculatedColumnFormula>IF(X3&lt;&gt;"",X3,IF(AND(B3&lt;&gt;"",B3&lt;&gt;A3,ISNUMBER(_xlfn.XMATCH(B3,Щиты[Щит]))),B3,""))</calculatedColumnFormula>
    </tableColumn>
    <tableColumn id="61" xr3:uid="{1F8A7F55-5EC9-4BFD-9353-5E1FF5599741}" name="_авто наименование">
      <calculatedColumnFormula array="1">IF(B3="","",IF(BH3&lt;&gt;"","Щит "&amp;BH3,_xlfn.LET(_xlpm.nm,IFERROR(_xlfn.XLOOKUP(BC3,Коды_код,Коды_имя)&amp;"",""),_xlpm.md,IFERROR(N(_xlfn.XLOOKUP(BC3,Коды_код,Коды_режим)),1),_xlpm.ex,IF(Имя_режим="по экспликации",IFERROR(_xlfn.XLOOKUP(BE3&amp;"|"&amp;BG3,Экспликация[Этаж]&amp;"|"&amp;Экспликация[Помещение],Экспликация[Название])&amp;"",""),""),_xlpm.rm,IF(BG3="","",IF(_xlpm.ex&lt;&gt;"",". "&amp;_xlpm.ex&amp;IF(Имя_пом="нет"," ("&amp;BG3&amp;")"," (пом. "&amp;BG3&amp;")"),IF(Имя_пом="нет"," ",", пом. ")&amp;BG3)),IF(_xlpm.nm="","",IF(_xlpm.md=2,_xlpm.nm&amp;" шлейф "&amp;BE3,_xlpm.nm&amp;_xlpm.rm)))))</calculatedColumnFormula>
    </tableColumn>
    <tableColumn id="62" xr3:uid="{AE0877E7-4410-4967-9D9D-5B23C94375EC}" name="Наименование (итог)">
      <calculatedColumnFormula>IF(TRIM(C3&amp;"")="",BI3,C3)</calculatedColumnFormula>
    </tableColumn>
    <tableColumn id="63" xr3:uid="{9E81601D-4CDD-40C5-B8E2-EA027D6AEB3E}" name="_№ щита">
      <calculatedColumnFormula>IFERROR(_xlfn.XMATCH(A3,Щиты[Щит]),0)</calculatedColumnFormula>
    </tableColumn>
    <tableColumn id="64" xr3:uid="{694F6180-60C5-4131-A764-05F6EFA0A9AA}" name="_мест узла">
      <calculatedColumnFormula>_xlfn.LET(_xlpm.k,IFERROR(_xlfn.XLOOKUP(A3,Щиты[Щит],Щиты[Мест под вводной узел]),""),IF(_xlpm.k="",Столбцов_на_лист,N(_xlpm.k)))</calculatedColumnFormula>
    </tableColumn>
    <tableColumn id="65" xr3:uid="{A0027475-0818-431D-8330-3EFF03E027CF}" name="_№ места (итог)">
      <calculatedColumnFormula>IF(AM3="-","",IF(ISNUMBER(AM3),AM3,_xlfn.LET(_xlpm.prev,IF(OR(BA3=1,A3&lt;&gt;A2),0,N(IF(BA3=1,"",BM2))),_xlpm.nx,_xlpm.prev+1,IF(AND(AJ3&lt;&gt;"вручную",_xlpm.nx&lt;=BL3),BL3+1,_xlpm.nx))))</calculatedColumnFormula>
    </tableColumn>
    <tableColumn id="66" xr3:uid="{3249ED0A-832B-4EEB-9E42-7E9F6D3B8A5A}" name="_зона">
      <calculatedColumnFormula>IF(BM3="","",IF(BM3&lt;=BL3,"вводной узел","линии"))</calculatedColumnFormula>
    </tableColumn>
    <tableColumn id="67" xr3:uid="{BCDF30FE-74D8-4951-BE61-BDD9F8E1E611}" name="_кВт на шт" dataDxfId="120">
      <calculatedColumnFormula>IFERROR(N(_xlfn.XLOOKUP(BC3,Коды_код,Коды_квт)),0)</calculatedColumnFormula>
    </tableColumn>
    <tableColumn id="68" xr3:uid="{B667E58F-2115-437D-B8EC-4349655CFF0C}" name="_ввод щита">
      <calculatedColumnFormula>IF(AND(B3&lt;&gt;"",BC3="Ввод"),1,0)</calculatedColumnFormula>
    </tableColumn>
    <tableColumn id="69" xr3:uid="{31B8059D-60DC-4AEB-ADF6-18166625E1E9}" name="_авто Р">
      <calculatedColumnFormula>IF(B3="","",IF(BH3&lt;&gt;"",IFERROR(_xlfn.XLOOKUP(BH3,Щиты[Щит],Щиты[Руст, кВт]),0),IF(BP3=1,IF(OR(N(_xlfn.XLOOKUP(A3,Щиты[Щит],Щиты[Вводов],1))&lt;=1,LOWER(TRIM(_xlfn.XLOOKUP(A3,Щиты[Щит],Щиты[АВР],"")&amp;""))="да"),IFERROR(_xlfn.XLOOKUP(A3,Щиты[Щит],Щиты[Руст, кВт]),0),SUMIFS(Линии[_Р для вводов],Линии[Щит],A3,Линии[Источник для режимов],GF3)),IF(BO3&gt;0,ROUND(BO3*MAX(1,N(D3)),3),""))))</calculatedColumnFormula>
    </tableColumn>
    <tableColumn id="70" xr3:uid="{8ED34863-2ED8-4203-AB7F-CD0224DAB297}" name="_Р (ввод итог)">
      <calculatedColumnFormula>IF(TRIM(E3&amp;"")="",BQ3,E3)</calculatedColumnFormula>
    </tableColumn>
    <tableColumn id="71" xr3:uid="{E179A842-6906-42B7-BB6E-FCFB929CED01}" name="_Р линии, кВт" dataDxfId="119">
      <calculatedColumnFormula>IF(B3="","",IF(BH3&lt;&gt;"",IFERROR(_xlfn.XLOOKUP(BH3,Щиты[Щит],Щиты[Руст, кВт]),0),N(BR3)))</calculatedColumnFormula>
    </tableColumn>
    <tableColumn id="72" xr3:uid="{614AADDE-2F3F-4DA8-87BA-A403FB46949F}" name="_авто U">
      <calculatedColumnFormula>IF(B3="","",IFERROR(IF(VLOOKUP(BC3,Потребители_обозначение,8,FALSE)=0,"",VLOOKUP(BC3,Потребители_обозначение,8,FALSE)),""))</calculatedColumnFormula>
    </tableColumn>
    <tableColumn id="73" xr3:uid="{03F240C3-69CB-437B-A811-A6CEED889DBD}" name="U, В">
      <calculatedColumnFormula>IF(TRIM(AA3&amp;"")="",BT3,AA3)</calculatedColumnFormula>
    </tableColumn>
    <tableColumn id="74" xr3:uid="{6EEBD0AF-0286-4DAD-8A6F-4913D787D395}" name="_до 50 В">
      <calculatedColumnFormula>IF(B3="",0,IF(AND(N(BU3)&gt;0,N(BU3)&lt;=50),1,0))</calculatedColumnFormula>
    </tableColumn>
    <tableColumn id="75" xr3:uid="{807D2BD1-91CC-429C-A8FF-CF7B21697A03}" name="_авто фаз">
      <calculatedColumnFormula>IF(B3="","",IF(BH3&lt;&gt;"",3,IFERROR(IF(N(VLOOKUP(BC3,Потребители_обозначение,9,FALSE))=0,1,VLOOKUP(BC3,Потребители_обозначение,9,FALSE)),1)))</calculatedColumnFormula>
    </tableColumn>
    <tableColumn id="76" xr3:uid="{0A2936AA-3C65-4462-92C8-909187E7943C}" name="Фаз">
      <calculatedColumnFormula>IF(B3="","",IF(TRIM(Z3&amp;"")="",BW3,N(Z3)))</calculatedColumnFormula>
    </tableColumn>
    <tableColumn id="77" xr3:uid="{B5544496-9CD6-4C41-8956-DBBE48B314F6}" name="_авто марка">
      <calculatedColumnFormula>IF(B3="","",_xlfn.LET(_xlpm.bc,IFERROR(IF(VLOOKUP(BC3,Потребители_обозначение,6,FALSE)=0,"",VLOOKUP(BC3,Потребители_обозначение,6,FALSE)&amp;""),""),IF(AND(GA3="да",OR(_xlpm.bc="",_xlpm.bc="мс")),Марка_пож,IF(AND(_xlpm.bc="",BH3&lt;&gt;""),"мс",_xlpm.bc))))</calculatedColumnFormula>
    </tableColumn>
    <tableColumn id="78" xr3:uid="{EF181DE5-3358-4D21-8D6E-43D3FFEE6847}" name="Марка (итог)">
      <calculatedColumnFormula>IF(TRIM(AN3&amp;"")="",BY3,AN3)</calculatedColumnFormula>
    </tableColumn>
    <tableColumn id="79" xr3:uid="{1CCF3241-BD7F-4E00-BF02-791E866D7536}" name="_авто жил">
      <calculatedColumnFormula>IF(B3="","",_xlfn.LET(_xlpm.cc,IFERROR(N(VLOOKUP(BC3,Потребители_обозначение,7,FALSE)),0),IF(_xlpm.cc&gt;0,_xlpm.cc,IF(BZ3="","",IF(BV3=1,2,IF(N(BX3)=3,5,3))))))</calculatedColumnFormula>
    </tableColumn>
    <tableColumn id="80" xr3:uid="{2E3705D2-8339-4475-9EF3-2C1023A2C159}" name="Жил">
      <calculatedColumnFormula>IF(TRIM(AO3&amp;"")="",CA3,AO3)</calculatedColumnFormula>
    </tableColumn>
    <tableColumn id="81" xr3:uid="{96F6932F-86C6-4C6C-AA7E-F96A36CB77E2}" name="_мин. сечение кода">
      <calculatedColumnFormula>IFERROR(N(VLOOKUP(BC3,Потребители_обозначение,10,FALSE)),0)</calculatedColumnFormula>
    </tableColumn>
    <tableColumn id="82" xr3:uid="{55B941D1-2F7B-4FAE-A713-46D8438C0679}" name="_тип пуска">
      <calculatedColumnFormula>IFERROR(VLOOKUP(BC3,Потребители_обозначение,5,FALSE),0)</calculatedColumnFormula>
    </tableColumn>
    <tableColumn id="83" xr3:uid="{A978F8C7-5073-4724-A310-C4D0333C93A3}" name="cos φ" dataDxfId="118">
      <calculatedColumnFormula array="1">IF(B3="","",IF(BH3&lt;&gt;"",IFERROR(_xlfn.XLOOKUP(BH3,Щиты[Щит],Щиты[cos φ]),0.95),IF(BP3=1,IFERROR(_xlfn.XLOOKUP(A3,Щиты[Щит],Щиты[cos φ]),0.95),IF(ISNUMBER(AD3),AD3,IFERROR(IF(CD3=2,_xlfn.IFS(BX3=3,VLOOKUP(BS3,Справочная_двигатели,8,FALSE),BX3=1,VLOOKUP(BS3,Справочная_двигатели,10,TRUE)),IF(AND(Методика="нормы 2026",FG3="Сил"),0.8,0.95)),0.95)))))</calculatedColumnFormula>
    </tableColumn>
    <tableColumn id="84" xr3:uid="{B375DBB3-8700-4FE7-9265-60766AB75220}" name="_гр (на автомате выше)">
      <calculatedColumnFormula>IF(OR(TRIM(F3&amp;"")="гр",TRIM(F3&amp;"")="=",TRIM(F3&amp;"")="^",TRIM(F3&amp;"")="↑"),1,0)</calculatedColumnFormula>
    </tableColumn>
    <tableColumn id="85" xr3:uid="{7698D6FB-D48D-452C-83BC-0822943B6242}" name="_свой автомат">
      <calculatedColumnFormula>IF(AND(B3&lt;&gt;"",CF3=0),1,0)</calculatedColumnFormula>
    </tableColumn>
    <tableColumn id="86" xr3:uid="{966CE7F6-AA02-41C6-B2CD-4CD97F6CC676}" name="_на шине УЗО">
      <calculatedColumnFormula>IF(B3="",0,IF(TRIM(F3&amp;"")="узо",1,0))</calculatedColumnFormula>
    </tableColumn>
    <tableColumn id="87" xr3:uid="{4A950815-0EE5-4F20-82CD-141F8AD598D7}" name="_ток на 230 В">
      <calculatedColumnFormula>IF(B3="","",IF(BV3=1,IFERROR(BS3/((Uн_лин/SQRT(3))*MAX(0.5,N(CE3))),0),N(O3)))</calculatedColumnFormula>
    </tableColumn>
    <tableColumn id="88" xr3:uid="{092F2707-80AB-45C5-B808-1D7B8212D7D5}" name="_ток ниже в группе">
      <calculatedColumnFormula>IF(AND(A4=A3,AJ4&lt;&gt;"вручную",OR(B4="",CF4=1)),IF(B4="",0,N(CI4))+N(CJ4),0)</calculatedColumnFormula>
    </tableColumn>
    <tableColumn id="89" xr3:uid="{B5BE52EF-51F1-4160-913E-97690C1326A8}" name="_Р ниже в группе">
      <calculatedColumnFormula>IF(AND(A4=A3,AJ4&lt;&gt;"вручную",OR(B4="",CF4=1)),IF(B4="",0,N(BS4))+N(CK4),0)</calculatedColumnFormula>
    </tableColumn>
    <tableColumn id="90" xr3:uid="{84001F4B-C4C1-4128-9DB8-B1DAF12E28C7}" name="_фаз ниже в группе">
      <calculatedColumnFormula>IF(AND(A4=A3,AJ4&lt;&gt;"вручную",OR(B4="",CF4=1)),MAX(IF(B4="",0,N(BX4)),N(CL4)),0)</calculatedColumnFormula>
    </tableColumn>
    <tableColumn id="91" xr3:uid="{A75E2707-FE2A-4A55-99DB-BD7E058E60BF}" name="_мин. номинал ниже">
      <calculatedColumnFormula>IF(AND(A4=A3,AJ4&lt;&gt;"вручную",OR(B4="",CF4=1)),MAX(IF(B4="",0,N(DB4)),N(CM4)),0)</calculatedColumnFormula>
    </tableColumn>
    <tableColumn id="92" xr3:uid="{09E8562C-14DC-4ECF-B54F-3925CAFA4035}" name="_мА ниже в группе">
      <calculatedColumnFormula>IF(AND(A4=A3,AJ4&lt;&gt;"вручную",OR(B4="",CF4=1)),_xlfn.LET(_xlpm.a_,IF(B4="",0,N(CZ4)),_xlpm.b_,N(CN4),IF(_xlpm.a_=0,_xlpm.b_,IF(_xlpm.b_=0,_xlpm.a_,MIN(_xlpm.a_,_xlpm.b_)))),0)</calculatedColumnFormula>
    </tableColumn>
    <tableColumn id="93" xr3:uid="{A8AF357A-F9F9-4B2F-A5C7-E6D2734C0A36}" name="_дифзащита по коду, мА">
      <calculatedColumnFormula>IF(BC3="",0,_xlfn.LET(_xlpm.v,IFERROR(_xlfn.XLOOKUP(B3,Коды_код,Коды_мА),IFERROR(_xlfn.XLOOKUP(BC3,Коды_код,Коды_мА),IFERROR(_xlfn.XLOOKUP(LEFT(BC3,2),Коды_код,Коды_мА),""))),IF(_xlpm.v="да",30,IF(ISNUMBER(_xlpm.v),_xlpm.v,0))))</calculatedColumnFormula>
    </tableColumn>
    <tableColumn id="94" xr3:uid="{6B8CC949-115F-42A0-8C1C-A110147B7651}" name="_авто утечка">
      <calculatedColumnFormula>IF(B3="","",IF(N(CO3)&gt;0,CO3,""))</calculatedColumnFormula>
    </tableColumn>
    <tableColumn id="95" xr3:uid="{1A2B4001-8C35-42E1-8B5C-136540B0F10B}" name="_вид аппарата утечки">
      <calculatedColumnFormula>_xlfn.LET(_xlpm.k,IFERROR(_xlfn.XLOOKUP(BC3,Коды_код,Коды_утечка)&amp;"",""),IF(_xlpm.k="","дифавтомат",_xlpm.k))</calculatedColumnFormula>
    </tableColumn>
    <tableColumn id="96" xr3:uid="{7941CE51-9502-4F04-90E2-C231CBDABA14}" name="_УЗО строки">
      <calculatedColumnFormula array="1">IF(CG3=0,"",_xlfn.LET(_xlpm.sg,TRIM(_xlfn.TEXTSPLIT(DD3&amp;"",";")),_xlpm.f_,_xlfn._xlws.FILTER(_xlpm.sg,LEFT(_xlpm.sg,3)="УЗО",""),IFERROR(INDEX(_xlpm.f_,1)&amp;"","")))</calculatedColumnFormula>
    </tableColumn>
    <tableColumn id="97" xr3:uid="{E86B0CC3-2BD9-480F-9868-DE3B4E2D661D}" name="_блок УЗО">
      <calculatedColumnFormula>IF(B3="",IF(OR(OR(BA3=1,A3&lt;&gt;A2),AJ3="вручную"),"",IF(BA3=1,"",CS2)),IF(CG3=1,IF(CH3=1,IF(OR(BA3=1,A3&lt;&gt;A2),"",IF(BA3=1,"",CS2)),IF(CR3&lt;&gt;"",BA3,"")),IF(AND(NOT(OR(BA3=1,A3&lt;&gt;A2)),AJ3&lt;&gt;"вручную",IF(BA3=1,"",DS2)="ok"),IF(BA3=1,"",CS2),"")))</calculatedColumnFormula>
    </tableColumn>
    <tableColumn id="98" xr3:uid="{024FB3A8-697A-443E-914F-C3D4B38A9C99}" name="_УЗО, А" dataDxfId="117">
      <calculatedColumnFormula array="1">IF(CR3="","",_xlfn.LET(_xlpm.tk,_xlfn.TEXTSPLIT(UPPER(CR3)," ",,TRUE),_xlpm.a_,_xlfn._xlws.FILTER(_xlpm.tk,ISNUMBER(--LEFT(_xlpm.tk,1))*((ISNUMBER(SEARCH("А",_xlpm.tk))+ISNUMBER(SEARCH("A",_xlpm.tk)))&gt;0)*NOT(ISNUMBER(SEARCH("МА",_xlpm.tk)))*NOT(ISNUMBER(SEARCH("MA",_xlpm.tk))),""),IFERROR(--SUBSTITUTE(SUBSTITUTE(INDEX(_xlpm.a_,1),"А",""),"A",""),"")))</calculatedColumnFormula>
    </tableColumn>
    <tableColumn id="99" xr3:uid="{0EFBBD53-5C21-489B-9473-49D55F8C0FC6}" name="_УЗО, мА">
      <calculatedColumnFormula array="1">IF(CR3="","",_xlfn.LET(_xlpm.tk,_xlfn.TEXTSPLIT(UPPER(CR3)," ",,TRUE),_xlpm.a_,_xlfn._xlws.FILTER(_xlpm.tk,ISNUMBER(--LEFT(_xlpm.tk,1))*((ISNUMBER(SEARCH("МА",_xlpm.tk))+ISNUMBER(SEARCH("MA",_xlpm.tk)))&gt;0),""),IFERROR(--SUBSTITUTE(SUBSTITUTE(INDEX(_xlpm.a_,1),"МА",""),"MA",""),30)))</calculatedColumnFormula>
    </tableColumn>
    <tableColumn id="100" xr3:uid="{9D649E37-75D5-479B-93F5-35692E739E79}" name="_мА блока УЗО">
      <calculatedColumnFormula>IF(CS3="","",IFERROR(_xlfn.XLOOKUP(CS3,Линии[_n],Линии[_УЗО, мА]),30))</calculatedColumnFormula>
    </tableColumn>
    <tableColumn id="101" xr3:uid="{B40E89E0-9E22-41AD-9F24-DE74457CF1A4}" name="_блок УЗО на 1 фазе">
      <calculatedColumnFormula>IF(CS3="",0,IF(ISNUMBER(SEARCH("4P",IFERROR(_xlfn.XLOOKUP(CS3,Линии[_n],Линии[_УЗО строки])&amp;"",""))),0,1))</calculatedColumnFormula>
    </tableColumn>
    <tableColumn id="102" xr3:uid="{00692B8D-5E5D-4668-B724-D14D9EB665AC}" name="_ток блока УЗО">
      <calculatedColumnFormula>IF(AND(CS3&lt;&gt;"",CS3=BA3),SUMIFS(Линии[_ток на 230 В],Линии[_блок УЗО],BA3,Линии[Щит],A3),"")</calculatedColumnFormula>
    </tableColumn>
    <tableColumn id="103" xr3:uid="{21E24467-3DD2-43D7-807E-90B516917FC7}" name="_утечка блока УЗО">
      <calculatedColumnFormula>IF(AND(CS3&lt;&gt;"",CS3=BA3),SUMIFS(Линии[_ток утечки линии, мА],Линии[_блок УЗО],BA3,Линии[Щит],A3),"")</calculatedColumnFormula>
    </tableColumn>
    <tableColumn id="104" xr3:uid="{2BE1C490-A6DE-411E-9C4C-8B7472A0488E}" name="_мА линии">
      <calculatedColumnFormula>IF(B3="",0,_xlfn.LET(_xlpm.v,IF(TRIM(Y3&amp;"")="",CP3,Y3),_xlpm.nm,IF(_xlpm.v&amp;""="нет",0,IF(_xlpm.v&amp;""="да",30,IFERROR(--_xlpm.v,0))),IF(OR(CQ3="УЗО на группу",CS3&lt;&gt;""),0,_xlpm.nm)))</calculatedColumnFormula>
    </tableColumn>
    <tableColumn id="105" xr3:uid="{AD55308A-2264-432F-AFAE-691803445B7A}" name="_мА группы">
      <calculatedColumnFormula>IF(CG3=0,"",_xlfn.LET(_xlpm.a_,N(CZ3),_xlpm.b_,IF(AJ3="вручную",0,N(CN3)),IF(_xlpm.a_=0,_xlpm.b_,IF(_xlpm.b_=0,_xlpm.a_,MIN(_xlpm.a_,_xlpm.b_)))))</calculatedColumnFormula>
    </tableColumn>
    <tableColumn id="106" xr3:uid="{3E687DFC-9FF4-4426-96F9-9FA7CC8425FF}" name="_мин. по типу">
      <calculatedColumnFormula>IF(B3="",0,IFERROR(--_xlfn.XLOOKUP(B3,Коды_код,Коды_минавт),IFERROR(--_xlfn.XLOOKUP(BC3,Коды_код,Коды_минавт),IFERROR(--_xlfn.XLOOKUP(LEFT(BC3,2),Коды_код,Коды_минавт),0))))</calculatedColumnFormula>
    </tableColumn>
    <tableColumn id="107" xr3:uid="{D04614FA-E3D5-4B16-AF33-3B4AB7F5439B}" name="_авто аппараты">
      <calculatedColumnFormula>IF(B3="","",IFERROR(_xlfn.XLOOKUP(BC3,Коды_код,Коды_апп)&amp;"",""))</calculatedColumnFormula>
    </tableColumn>
    <tableColumn id="108" xr3:uid="{5E70D004-2073-456B-8025-A1CAC0A942B2}" name="_аппараты (итог)">
      <calculatedColumnFormula>IF(TRIM(I3&amp;"")="",DC3,I3)</calculatedColumnFormula>
    </tableColumn>
    <tableColumn id="109" xr3:uid="{BE65A8FB-2315-4019-9809-FEDCF1EC0027}" name="Аппарат 1">
      <calculatedColumnFormula array="1">IF(TRIM(DD3&amp;"")="","",IFERROR(TRIM(INDEX(_xlfn.TEXTSPLIT(DD3&amp;";;;",";"),1)),""))</calculatedColumnFormula>
    </tableColumn>
    <tableColumn id="110" xr3:uid="{925675BA-7422-4430-8DA0-4AD3B2CB54DD}" name="Аппарат 2">
      <calculatedColumnFormula array="1">IF(TRIM(DD3&amp;"")="","",IFERROR(TRIM(INDEX(_xlfn.TEXTSPLIT(DD3&amp;";;;",";"),2)),""))</calculatedColumnFormula>
    </tableColumn>
    <tableColumn id="111" xr3:uid="{0774BB1A-8521-44D2-83E4-B0C2DEBABD05}" name="Аппарат 3">
      <calculatedColumnFormula array="1">IF(TRIM(DD3&amp;"")="","",IFERROR(TRIM(INDEX(_xlfn.TEXTSPLIT(DD3&amp;";;;",";"),3)),""))</calculatedColumnFormula>
    </tableColumn>
    <tableColumn id="112" xr3:uid="{29A2A851-2FAC-48B5-99C3-A4DF2B794EAB}" name="_БП после автомата">
      <calculatedColumnFormula>IF(DD3="",0,IF(OR(LEFT(DE3,2)="T ",LEFT(DE3,2)="Т ",ISNUMBER(SEARCH("БП",DD3)),ISNUMBER(SEARCH("; T ",DD3)),ISNUMBER(SEARCH("; Т ",DD3))),1,0))</calculatedColumnFormula>
    </tableColumn>
    <tableColumn id="113" xr3:uid="{FDFDA4AD-24AE-42F8-B8A8-1174BCDFAF8A}" name="_авто управление">
      <calculatedColumnFormula>IF(B3="","",_xlfn.LET(_xlpm.t,LOWER(AZ3&amp;""),IF(ISNUMBER(SEARCH("dim",_xlpm.t)),"DIM",IF(ISNUMBER(SEARCH("dali",_xlpm.t)),"DALI",IF(OR(ISNUMBER(SEARCH("relay",_xlpm.t)),ISNUMBER(SEARCH("реле",_xlpm.t))),"Relay",IF(ISNUMBER(SEARCH("кнопк",_xlpm.t)),"",IFERROR(_xlfn.XLOOKUP(BC3,Коды_код,Коды_упр)&amp;"","")))))))</calculatedColumnFormula>
    </tableColumn>
    <tableColumn id="114" xr3:uid="{912CF771-58C0-495D-B173-7E808AD97086}" name="_управление (итог)">
      <calculatedColumnFormula>IF(TRIM(H3&amp;"")="",DI3,H3)</calculatedColumnFormula>
    </tableColumn>
    <tableColumn id="115" xr3:uid="{54CD7D63-A0CD-4B88-BFFC-B3D503EC2DA6}" name="_авто номинал">
      <calculatedColumnFormula>IF(B3="","",_xlfn.LET(_xlpm.ig,IF(N(CX3)&gt;0,N(CX3),N(CI3)+IF(AJ3="вручную",0,N(CJ3))),_xlpm.n0,IFERROR(VLOOKUP(_xlpm.ig,Автомат_номиналы,2,TRUE),0),_xlpm.mn,MAX(DB3,IF(AJ3="вручную",0,N(CM3))),MAX(_xlpm.n0,_xlpm.mn,IF(DH3=1,Мин_автомат_БП,0))))</calculatedColumnFormula>
    </tableColumn>
    <tableColumn id="116" xr3:uid="{57897F5C-D708-48FB-B957-806310B6A140}" name="_фаз группы">
      <calculatedColumnFormula>IF(B3="","",MAX(N(BX3),IF(AJ3="вручную",0,N(CL3))))</calculatedColumnFormula>
    </tableColumn>
    <tableColumn id="117" xr3:uid="{35020182-C830-4772-B5F2-61FDE9D2EB7A}" name="_полюса">
      <calculatedColumnFormula>IF(B3="","",IF(N(DL3)&gt;=3,IF(N(DA3)&gt;0,"4P","3P"),IF(N(DA3)&gt;0,"2P","1P")))</calculatedColumnFormula>
    </tableColumn>
    <tableColumn id="118" xr3:uid="{239D5056-CEE8-4F7B-AB8D-3625F2390799}" name="_характеристика">
      <calculatedColumnFormula>_xlfn.LET(_xlpm.cc,UPPER(TRIM(IFERROR(_xlfn.XLOOKUP(BC3,Коды_код,Коды_хар)&amp;"",""))),IF(OR(_xlpm.cc="B",_xlpm.cc="В"),"B",IF(_xlpm.cc="D","D","С")))</calculatedColumnFormula>
    </tableColumn>
    <tableColumn id="119" xr3:uid="{7878FCE7-F035-4090-B21D-86A6F273E045}" name="_авто автомат">
      <calculatedColumnFormula>IF(B3="","",IF(CG3=0,IF(AND(AND(NOT(OR(BA3=1,A3&lt;&gt;A2)),AJ3&lt;&gt;"вручную",IF(BA3=1,"",DS2)="ok"),IF(BA3=1,"",DU2)&lt;&gt;""),"↑ "&amp;IF(BA3=1,"",DU2),""),IF(N(DK3)=0,"",DM3&amp;" "&amp;DN3&amp;DK3&amp;"А"&amp;IF(N(DA3)&gt;0," "&amp;DA3&amp;"мА",""))))</calculatedColumnFormula>
    </tableColumn>
    <tableColumn id="120" xr3:uid="{AA03CA53-1023-4C9F-B213-237EC83EB35A}" name="_автомат (итог ввода)">
      <calculatedColumnFormula>IF(TRIM(G3&amp;"")="",DO3,G3)</calculatedColumnFormula>
    </tableColumn>
    <tableColumn id="121" xr3:uid="{8FD2089C-F33F-4996-9FD6-BE5805EDD350}" name="Автомат (схема)">
      <calculatedColumnFormula>IF(CG3=0,"",_xlfn.LET(_xlpm.v,TRIM(DP3&amp;""),IF(_xlpm.v="","",IF(ISNUMBER(--_xlpm.v),DM3&amp;" "&amp;DN3&amp;(--_xlpm.v)&amp;"А"&amp;IF(N(DA3)&gt;0," "&amp;DA3&amp;"мА",""),IF(ISNUMBER(SEARCH("P",UPPER(_xlpm.v))),_xlpm.v,DM3&amp;" "&amp;_xlpm.v)))))</calculatedColumnFormula>
    </tableColumn>
    <tableColumn id="122" xr3:uid="{80FDC260-C545-4409-BC8A-EA4818471A53}" name="_номинал итог">
      <calculatedColumnFormula array="1">IF(DQ3="","",_xlfn.LET(_xlpm.t,SUBSTITUTE(SUBSTITUTE(SUBSTITUTE(UPPER(DQ3),"С","C"),"А","A"),"В","B"),_xlpm.tk,_xlfn.TEXTSPLIT(_xlpm.t," "),_xlpm.f,_xlfn._xlws.FILTER(_xlpm.tk,ISNUMBER(--MID(_xlpm.tk,2,1))*ISNUMBER(SEARCH(LEFT(_xlpm.tk,1)&amp;"#","B#C#D#"))*(LEN(_xlpm.tk)&gt;1),""),_xlpm.x,INDEX(_xlpm.f,1),IFERROR(--SUBSTITUTE(MID(_xlpm.x,2,9),"A",""),IFERROR(--SUBSTITUTE(INDEX(_xlfn._xlws.FILTER(_xlpm.tk,ISNUMBER(--SUBSTITUTE(_xlpm.tk,"A","")),""),1),"A",""),""))))</calculatedColumnFormula>
    </tableColumn>
    <tableColumn id="123" xr3:uid="{BA2DF332-32CF-46BD-A1FC-6F1E7C984629}" name="_группа от">
      <calculatedColumnFormula>IF(CG3=1,IF(AJ3="вручную","узел","ok"),IF(OR(OR(BA3=1,A3&lt;&gt;A2),AJ3="вручную"),"",IF(BA3=1,"",DS2)))</calculatedColumnFormula>
    </tableColumn>
    <tableColumn id="124" xr3:uid="{AD9B1BE6-E7B3-4827-B163-91C0161AD2AC}" name="_In гр.">
      <calculatedColumnFormula>IF(CG3=1,DR3,IF(AND(NOT(OR(BA3=1,A3&lt;&gt;A2)),AJ3&lt;&gt;"вручную",IF(BA3=1,"",DS2)="ok"),IF(BA3=1,"",DT2),""))</calculatedColumnFormula>
    </tableColumn>
    <tableColumn id="125" xr3:uid="{85F0897A-F160-424A-B331-B2BA34AA9F82}" name="_автомат гр.">
      <calculatedColumnFormula>IF(CG3=1,DQ3,IF(AND(NOT(OR(BA3=1,A3&lt;&gt;A2)),AJ3&lt;&gt;"вручную",IF(BA3=1,"",DS2)="ok"),IF(BA3=1,"",DU2),""))</calculatedColumnFormula>
    </tableColumn>
    <tableColumn id="126" xr3:uid="{D9AB3041-0261-41D2-8158-0924B0822443}" name="_мА гр. (строки)">
      <calculatedColumnFormula>IF(CG3=1,DA3,IF(AND(NOT(OR(BA3=1,A3&lt;&gt;A2)),AJ3&lt;&gt;"вручную",IF(BA3=1,"",DS2)="ok"),IF(BA3=1,"",DV2),""))</calculatedColumnFormula>
    </tableColumn>
    <tableColumn id="127" xr3:uid="{CE550B6A-0001-431E-B146-670291E6161E}" name="_дифзащита гр. (строки)">
      <calculatedColumnFormula>IF(OR(N(DV3)&gt;0,CS3&lt;&gt;""),1,0)</calculatedColumnFormula>
    </tableColumn>
    <tableColumn id="128" xr3:uid="{FF0FD30B-67B1-4090-9FB5-DE1BB60CF4D4}" name="_БП в группе">
      <calculatedColumnFormula>IF(CG3=1,DH3,IF(AND(NOT(OR(BA3=1,A3&lt;&gt;A2)),AJ3&lt;&gt;"вручную",IF(BA3=1,"",DS2)="ok"),N(IF(BA3=1,"",DX2)),0))</calculatedColumnFormula>
    </tableColumn>
    <tableColumn id="129" xr3:uid="{CE471460-E94C-4B41-9B0C-2BD39429426C}" name="_ток группы">
      <calculatedColumnFormula>IF(CG3=1,IF(N(CX3)&gt;0,N(CX3),N(CI3)+IF(AJ3="вручную",0,N(CJ3))),"")</calculatedColumnFormula>
    </tableColumn>
    <tableColumn id="130" xr3:uid="{356B8455-9836-4471-B21D-577E55776116}" name="_k жил">
      <calculatedColumnFormula>IF(N(CB3)=1,1,IF(BX3=1,1,IF(N(CB3)&gt;=4,0.92,1)))</calculatedColumnFormula>
    </tableColumn>
    <tableColumn id="131" xr3:uid="{6DCEAADF-B0AA-4167-996A-ED09294ADD42}" name="_К прокл">
      <calculatedColumnFormula>IF(ISNUMBER(AP3),AP3,К_прокл)</calculatedColumnFormula>
    </tableColumn>
    <tableColumn id="132" xr3:uid="{A55370D5-30F0-4E96-8765-3E71277A02C1}" name="_столбец Iдоп">
      <calculatedColumnFormula>IF(N(CB3)=1,1,IF(BX3=1,2,3))</calculatedColumnFormula>
    </tableColumn>
    <tableColumn id="133" xr3:uid="{B508D977-403F-4975-A760-FEA1AAAB36A7}" name="_сечение в марке">
      <calculatedColumnFormula>IFERROR(N(VLOOKUP(BZ3,Кабель_обозначение,3,FALSE)),1)</calculatedColumnFormula>
    </tableColumn>
    <tableColumn id="134" xr3:uid="{2FFF699E-FE00-469E-9AE7-5D131E8AB5F2}" name="_ΔU до шин">
      <calculatedColumnFormula>IFERROR(N(_xlfn.XLOOKUP(A3,Щиты[Щит],Щиты[ΔU до шин, %])),0)</calculatedColumnFormula>
    </tableColumn>
    <tableColumn id="135" xr3:uid="{B1B85D19-D8E0-43C0-965D-D2CD3FFFF4C1}" name="_Zпетли шин">
      <calculatedColumnFormula>IFERROR(_xlfn.XLOOKUP(A3,Щиты[Щит],Щиты[Zпетли на шинах, Ом]),"")</calculatedColumnFormula>
    </tableColumn>
    <tableColumn id="136" xr3:uid="{014501DA-EE26-475B-A9BF-9158ACFF78C2}" name="_ΔU до шин (подбор)">
      <calculatedColumnFormula>IFERROR(N(_xlfn.XLOOKUP(A3,Щиты[Щит],Щиты[ΔU до шин (подбор), %])),0)</calculatedColumnFormula>
    </tableColumn>
    <tableColumn id="137" xr3:uid="{5E6D0A94-2E52-4823-82DE-35DD04ABC7E0}" name="_Zпетли шин (подбор)">
      <calculatedColumnFormula>IFERROR(_xlfn.XLOOKUP(A3,Щиты[Щит],Щиты[Zпетли на шинах (подбор), Ом]),"")</calculatedColumnFormula>
    </tableColumn>
    <tableColumn id="138" xr3:uid="{9FC5B253-2767-42A4-A25A-E6B17BC31202}" name="_авто длина по плану">
      <calculatedColumnFormula>IF(COUNT(AV3,AW3)=0,"",ROUNDUP(SUM(AV3,AW3),0))</calculatedColumnFormula>
    </tableColumn>
    <tableColumn id="139" xr3:uid="{025D3937-9DB4-43D0-96BA-44E7C41E34D2}" name="_Lплан">
      <calculatedColumnFormula>IF(TRIM(K3&amp;"")="",EH3,K3)</calculatedColumnFormula>
    </tableColumn>
    <tableColumn id="140" xr3:uid="{6361D3E9-8E34-4FF4-9156-F19A7CFB8074}" name="_b">
      <calculatedColumnFormula>IF(BX3=1,2,IF(BX3=3,1,""))</calculatedColumnFormula>
    </tableColumn>
    <tableColumn id="141" xr3:uid="{7ABE4444-D8C8-4A36-AD6E-C0A8622DB257}" name="_sin">
      <calculatedColumnFormula>IFERROR(ROUND(SIN(ACOS(CE3)),2),"")</calculatedColumnFormula>
    </tableColumn>
    <tableColumn id="142" xr3:uid="{204CA9D4-F580-4F88-BDBB-5DB67E1967B4}" name="Допустимо ΔU, %" dataDxfId="116">
      <calculatedColumnFormula>IF(B3="","",IF(BV3=1,dU_LED,IF(IFERROR(_xlfn.XLOOKUP(BC3,Коды_код,Коды_уго),"")="Светильник",3,4)+IF(Методика="нормы 2026",MIN(0.5,MAX(0,N(P3)-100)*0.005),0)))</calculatedColumnFormula>
    </tableColumn>
    <tableColumn id="143" xr3:uid="{397D56F1-923A-4756-AA5D-F10C2F1537C2}" name="_авто сечение">
      <calculatedColumnFormula array="1">IF(OR(B3="",BZ3="",EC3&lt;&gt;1),"",_xlfn.LET(_xlpm.sz,Iдоп_S,_xlpm.t_,CHOOSE(EB3,Iдоп_1ж,Iдоп_2ж,Iдоп_3ж)*DZ3*EA3,_xlpm.dcx,BV3=1,_xlpm.inn,IF(_xlpm.dcx,N(O3),N(DT3)),_xlpm.smin,MAX(1.5,CC3),_xlpm.L_,N(P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N(BU3)*100,999),IFERROR(N(EJ3)*(_xlpm.rho*_xlpm.L_/_xlpm.sz*N(CE3)+_xlpm.xx*_xlpm.L_*N(EK3)/1000)*N(O3)/((Uн_лин/SQRT(3))*1000)*100,999)),_xlpm.kz,IF(OR(_xlpm.dcx,DW3=1,NOT(ISNUMBER(EG3)),_xlpm.L_=0,_xlpm.inn=0),1,IFERROR(--(c_min*(Uн_лин*1000/SQRT(3))/(EG3+2*ρкз_Cu*_xlpm.L_/_xlpm.sz)&gt;=HT3*_xlpm.inn),0)),_xlpm.ok,IFERROR((_xlpm.sz&gt;=_xlpm.smin)*(_xlpm.t_&gt;=_xlpm.inn)*IF(_xlpm.L_&gt;0,(_xlpm.du_+IF(_xlpm.dcx,0,EF3)&lt;=EL3+0.00001),1)*_xlpm.kz,0),_xlpm.r_,_xlfn._xlws.FILTER(_xlpm.sz,_xlpm.ok,"не подобрано"),INDEX(_xlpm.r_,1)))</calculatedColumnFormula>
    </tableColumn>
    <tableColumn id="144" xr3:uid="{4C1A7D63-4056-4C4F-9F8C-73B917D81239}" name="Сечение">
      <calculatedColumnFormula>IF(B3="","",IF(TRIM(J3&amp;"")="",EM3,J3))</calculatedColumnFormula>
    </tableColumn>
    <tableColumn id="145" xr3:uid="{A1109E0A-7A67-4AA8-8618-A61AEF7CAB6F}" name="_сечение по току">
      <calculatedColumnFormula array="1">IF(OR(B3="",BZ3="",EC3&lt;&gt;1),"",_xlfn.LET(_xlpm.sz,Iдоп_S,_xlpm.t_,CHOOSE(EB3,Iдоп_1ж,Iдоп_2ж,Iдоп_3ж)*DZ3*EA3,_xlpm.ok,IFERROR((_xlpm.sz&gt;=MAX(1.5,CC3))*(_xlpm.t_&gt;=N(DT3)),0),_xlpm.r_,_xlfn._xlws.FILTER(_xlpm.sz,_xlpm.ok,""),INDEX(_xlpm.r_,1)))</calculatedColumnFormula>
    </tableColumn>
    <tableColumn id="146" xr3:uid="{CF64E8C6-F326-47D8-BFB4-EC76C5014B5B}" name="_ΔU по току, %" dataDxfId="115">
      <calculatedColumnFormula array="1">IFERROR(ROUNDUP(N(EJ3)*(_xlfn.XLOOKUP(EO3,INDEX(Кабель_сопротивление,0,1),INDEX(Кабель_сопротивление,0,3))*N(P3)/EO3*N(CE3)+_xlfn.XLOOKUP(EO3,INDEX(Кабель_сопротивление,0,1),INDEX(Кабель_сопротивление,0,2))*N(P3)*N(EK3)/1000)*N(O3)/((Uн_лин/SQRT(3))*1000)*100,2),"")</calculatedColumnFormula>
    </tableColumn>
    <tableColumn id="147" xr3:uid="{A198827B-C1D0-4C14-9CAA-322FA274986B}" name="_Zкабеля по току">
      <calculatedColumnFormula>IFERROR(2*ρкз_Cu*N(P3)/EO3,"")</calculatedColumnFormula>
    </tableColumn>
    <tableColumn id="148" xr3:uid="{FF57EAB2-C777-4D04-9CED-D8184EDB4784}" name="_ρ">
      <calculatedColumnFormula>IFERROR(VLOOKUP(EN3,Кабель_сопротивление,3,FALSE),"")</calculatedColumnFormula>
    </tableColumn>
    <tableColumn id="149" xr3:uid="{035D7D7B-0987-48CE-8DEC-DAF20A3B14BC}" name="_x">
      <calculatedColumnFormula>IFERROR(VLOOKUP(EN3,Кабель_сопротивление,2,FALSE),"")</calculatedColumnFormula>
    </tableColumn>
    <tableColumn id="150" xr3:uid="{36CD1A88-2663-4D21-8029-2F40D876E5DC}" name="_гофра ПВХ">
      <calculatedColumnFormula>IF(AR3&lt;&gt;"",AR3,IF(OR(EI3="",AT3=""),"",IF(AT3=1,MAX(0,P3-ROUNDUP(N(AW3),0)-4),ROUNDUP(N(AV3),0))))</calculatedColumnFormula>
    </tableColumn>
    <tableColumn id="151" xr3:uid="{E3E4E3CA-7F73-4052-91E2-54AE55E89F3E}" name="_гофра ПНД">
      <calculatedColumnFormula>IF(AS3&lt;&gt;"",AS3,IF(OR(EI3="",AT3=""),"",IF(AT3=2,MAX(0,P3-ROUNDUP(N(AV3),0)-4),ROUNDUP(N(AW3),0))))</calculatedColumnFormula>
    </tableColumn>
    <tableColumn id="152" xr3:uid="{85EDD961-65E9-43D7-B435-2628C60F22E5}" name="_ΔU, В">
      <calculatedColumnFormula>IFERROR(IF(BV3=1,2*ER3*P3/EN3*O3,EJ3*(ER3*P3/EN3*CE3+ES3*P3*EK3/1000)*O3),"")</calculatedColumnFormula>
    </tableColumn>
    <tableColumn id="153" xr3:uid="{261CB5F3-6FE1-416A-87E1-47994EBF01D4}" name="ΔU, %" dataDxfId="114">
      <calculatedColumnFormula>IFERROR(ROUNDUP(EV3/IF(BV3=1,BU3,(Uн_лин/SQRT(3))*1000)*100,2),"")</calculatedColumnFormula>
    </tableColumn>
    <tableColumn id="154" xr3:uid="{11AC956C-A11F-4FDD-B0CA-71C835B3211C}" name="_кабель">
      <calculatedColumnFormula>IFERROR(VLOOKUP(BZ3,Кабель_обозначение,2,FALSE),"")</calculatedColumnFormula>
    </tableColumn>
    <tableColumn id="155" xr3:uid="{AD3FE5E2-C3ED-4209-83F1-3BD094512985}" name="_кабель с сечением">
      <calculatedColumnFormula>IFERROR(IF(EC3=1,IF(ISNUMBER(EN3),EX3&amp;" ("&amp;CB3&amp;"х"&amp;EN3&amp;")",EX3),EX3),"")</calculatedColumnFormula>
    </tableColumn>
    <tableColumn id="156" xr3:uid="{FE4BB0C4-0BBC-40A2-8B4A-0A519F1521D4}" name="_кабель полный">
      <calculatedColumnFormula>IF(OR(B3="",EX3="",AND(BR3&lt;&gt;"",NOT(ISNUMBER(BR3)))),"",IF(N(EN3)=0,EX3,EY3&amp;IF(N(P3)=0,"",CHAR(10)&amp;"L="&amp;P3&amp;"-"&amp;EW3&amp;"%")))</calculatedColumnFormula>
    </tableColumn>
    <tableColumn id="157" xr3:uid="{481C26CA-1F8B-46C6-8489-DA64C16F3443}" name="_Zкабеля">
      <calculatedColumnFormula>IFERROR(2*ρкз_Cu*P3/EN3,"")</calculatedColumnFormula>
    </tableColumn>
    <tableColumn id="158" xr3:uid="{C350FC27-4E06-439E-865A-299BEC7E195B}" name="_Zmax кабеля">
      <calculatedColumnFormula>IFERROR(0.0175*N(P3)/EN3,"")</calculatedColumnFormula>
    </tableColumn>
    <tableColumn id="159" xr3:uid="{7CDF3EA4-4E49-49C4-8201-2001E5D78B86}" name="Zпетли в конце, Ом" dataDxfId="113">
      <calculatedColumnFormula>IFERROR(IF(OR(B3="",BV3=1,NOT(ISNUMBER(EN3)),N(P3)=0),"",_xlfn.XLOOKUP(A3,Щиты[Щит],Щиты[Zпетли на шинах, Ом])+FA3),"")</calculatedColumnFormula>
    </tableColumn>
    <tableColumn id="160" xr3:uid="{C4E26060-FE68-4FFC-8711-96948B0B52CE}" name="Iкз min в конце линии, А" dataDxfId="112">
      <calculatedColumnFormula>IF(ISNUMBER(FC3),c_min*(Uн_лин*1000/SQRT(3))/FC3,"")</calculatedColumnFormula>
    </tableColumn>
    <tableColumn id="161" xr3:uid="{82925B0F-1DD5-48E3-B287-DC2DD26E1008}" name="Iкз max в конце, кА" dataDxfId="111">
      <calculatedColumnFormula>IFERROR(IF(OR(B3="",NOT(ISNUMBER(EN3))),"",1.05*(Uн_лин*1000/SQRT(3))/(_xlfn.XLOOKUP(A3,Щиты[Щит],Щиты[Zmax на шинах, Ом])+FB3)/1000),"")</calculatedColumnFormula>
    </tableColumn>
    <tableColumn id="162" xr3:uid="{862C9141-A96F-4E1F-B348-F8994835C9B6}" name="_авто группа Кс" dataDxfId="110">
      <calculatedColumnFormula>IF(B3="","",IF(ISNUMBER(AC3),"Сил",IF(IFERROR(_xlfn.XLOOKUP(BC3,Коды_код,Коды_группа)&amp;"","")="","Быт",_xlfn.XLOOKUP(BC3,Коды_код,Коды_группа)&amp;"")))</calculatedColumnFormula>
    </tableColumn>
    <tableColumn id="163" xr3:uid="{31D2A987-F009-4574-8B3F-077B95153784}" name="Группа Кс (итог)" dataDxfId="109">
      <calculatedColumnFormula>IF(B3="","",IF(BH3&lt;&gt;"","Щит",IF(TRIM(AB3&amp;"")="",FF3,AB3)))</calculatedColumnFormula>
    </tableColumn>
    <tableColumn id="164" xr3:uid="{1F674B79-CACA-492F-94FE-F7D1CCCD0D09}" name="Кс" dataDxfId="108">
      <calculatedColumnFormula>IF(FG3="Щит","щит",IF(FG3="","",IF(FG3="Быт",IFERROR(_xlfn.XLOOKUP(A3,Щиты[Щит],Щиты[Кс быт]),1),IF(FG3="Сил",IF(ISNUMBER(AC3),AC3,IF(Методика="нормы 2026",IFERROR(_xlfn.XLOOKUP(A3,Щиты[Щит],Щиты[Кс силовых (табл. 7.5)]),1),1)),IF(OR(FG3="Пост",FG3="Отоп"),1,IF(FG3="ВНГ",0.7,0))))))</calculatedColumnFormula>
    </tableColumn>
    <tableColumn id="165" xr3:uid="{3FD10D52-3314-4991-9A9C-00E32EA9364F}" name="Секция">
      <calculatedColumnFormula>IF(FG3="","",IF(AND(BP3=1,TRIM(AE3&amp;"")=""),IF(COUNTIFS(Линии[Щит],A3,Линии[Секция (1/2/3)],"&gt;=2")&gt;0,MIN(3,MAX(1,IFERROR(--BD3,1))),1),IFERROR(MIN(3,MAX(1,INT(--AE3))),1)))</calculatedColumnFormula>
    </tableColumn>
    <tableColumn id="166" xr3:uid="{80B58F2F-1FE8-47DD-AA6B-7E5A2753AF94}" name="_Руст (без Нет)">
      <calculatedColumnFormula>IF(OR(FG3="",FG3="Нет",FG3="Щит"),0,N(BS3))</calculatedColumnFormula>
    </tableColumn>
    <tableColumn id="167" xr3:uid="{6EDD68DB-6291-4134-A1E4-19A0268FD872}" name="_Руст быт">
      <calculatedColumnFormula>IF(FG3="Быт",N(BS3),0)</calculatedColumnFormula>
    </tableColumn>
    <tableColumn id="168" xr3:uid="{79C723EA-552E-427A-A85A-C5E6E9E2192F}" name="_Рр сил">
      <calculatedColumnFormula>IF(FG3="Сил",N(BS3)*N(FH3),0)</calculatedColumnFormula>
    </tableColumn>
    <tableColumn id="169" xr3:uid="{E03E9993-76FD-42DB-ADA2-1A0287F1C81A}" name="_Руст пост">
      <calculatedColumnFormula>IF(FG3="Пост",N(BS3),0)</calculatedColumnFormula>
    </tableColumn>
    <tableColumn id="170" xr3:uid="{AB5158E0-9F60-4027-8E88-B1F4DDD9D937}" name="_Р отопления">
      <calculatedColumnFormula>IF(FG3="Отоп",N(BS3),0)</calculatedColumnFormula>
    </tableColumn>
    <tableColumn id="171" xr3:uid="{5C336165-B6B0-417A-835A-EC137E196B03}" name="_Рр ВНГ">
      <calculatedColumnFormula>IF(FG3="ВНГ",N(BS3)*0.7,0)</calculatedColumnFormula>
    </tableColumn>
    <tableColumn id="172" xr3:uid="{B3CBDD2B-92F4-4E0D-A0F0-B06241456066}" name="_Р для вводов">
      <calculatedColumnFormula>IF(OR(B3="",FG3="Нет"),0,N(BS3))</calculatedColumnFormula>
    </tableColumn>
    <tableColumn id="173" xr3:uid="{8E5F6782-AB3D-4CE1-A06C-B7BFD78B15F9}" name="_P для cos">
      <calculatedColumnFormula>IF(OR(B3="",FG3="Щит",FG3="Нет"),0,N(BS3))</calculatedColumnFormula>
    </tableColumn>
    <tableColumn id="174" xr3:uid="{DAFEEC90-F76F-4DA9-AEE9-9AB393E9A5B2}" name="_P·cos">
      <calculatedColumnFormula>IF(OR(B3="",FG3="Щит",FG3="Нет"),0,N(BS3)*N(CE3))</calculatedColumnFormula>
    </tableColumn>
    <tableColumn id="175" xr3:uid="{860091E4-2906-41C1-9288-392CF2834E23}" name="_Р группы">
      <calculatedColumnFormula>IF(CG3=1,IF(AND(CH3=1,CW3=1),0,IF(AND(CS3&lt;&gt;"",CS3=BA3,CW3=1),SUMIFS(Линии[_Р линии, кВт],Линии[_блок УЗО],BA3,Линии[Щит],A3),N(BS3)+IF(AJ3="вручную",0,N(CK3)))),0)</calculatedColumnFormula>
    </tableColumn>
    <tableColumn id="176" xr3:uid="{049A6C0B-66F5-4402-B2D5-0E0A399DA8BE}" name="_фаза вручную">
      <calculatedColumnFormula>IF(B3="","",IF(_xlfn.ISFORMULA(L3),"",_xlfn.LET(_xlpm.v,UPPER(SUBSTITUTE(TRIM(L3&amp;"")," ","")),IF(_xlpm.v="","",IF(OR(_xlpm.v="1,2,3",_xlpm.v="L1,L2,L3",_xlpm.v="123",_xlpm.v="3Ф"),"L1,L2,L3",IF(OR(_xlpm.v="1",_xlpm.v="2",_xlpm.v="3"),"L"&amp;_xlpm.v,IF(OR(_xlpm.v="L1",_xlpm.v="L2",_xlpm.v="L3"),_xlpm.v,"")))))))</calculatedColumnFormula>
    </tableColumn>
    <tableColumn id="177" xr3:uid="{36B5C389-78F7-4789-803D-E54AE88A5E89}" name="_авто фаза">
      <calculatedColumnFormula>IF(B3="","",IF(CG3=0,IF(BA3=1,"",FW2),IF(AND(CH3=1,CW3=1,CS3&lt;&gt;""),IFERROR(_xlfn.XLOOKUP(CS3,Линии[_n],Линии[_фаза итог]),"L1"),IF(OR(N(DL3)&gt;=3,N(BX3)&gt;=3),"L1,L2,L3",IFERROR(_xlfn.TEXTBEFORE(_xlfn.TEXTAFTER(_xlfn.XLOOKUP(A3,Щиты[Щит],Щиты[_фазы авто]),";"&amp;BA3&amp;":"),";"),"L1")))))</calculatedColumnFormula>
    </tableColumn>
    <tableColumn id="178" xr3:uid="{86D5D9FB-7AD5-41B7-8EB7-4BC2B743A006}" name="_фаза итог">
      <calculatedColumnFormula>IF(B3="","",_xlfn.LET(_xlpm.v,UPPER(SUBSTITUTE(TRIM(L3&amp;"")," ","")),IF(_xlpm.v="",FU3,IF(OR(_xlpm.v="1,2,3",_xlpm.v="L1,L2,L3",_xlpm.v="123",_xlpm.v="3Ф"),"L1,L2,L3",IF(OR(_xlpm.v="1",_xlpm.v="2",_xlpm.v="3"),"L"&amp;_xlpm.v,IF(OR(_xlpm.v="L1",_xlpm.v="L2",_xlpm.v="L3"),_xlpm.v,IF(_xlpm.v="УПР","",_xlpm.v)))))))</calculatedColumnFormula>
    </tableColumn>
    <tableColumn id="179" xr3:uid="{70DF1F8B-8338-4BF5-A91C-5C2836406FCD}" name="_фаза группы">
      <calculatedColumnFormula>IF(CG3=1,FV3,IF(AND(NOT(OR(BA3=1,A3&lt;&gt;A2)),AJ3&lt;&gt;"вручную",IF(BA3=1,"",DS2)="ok"),IF(BA3=1,"",FW2),""))</calculatedColumnFormula>
    </tableColumn>
    <tableColumn id="180" xr3:uid="{537F20BA-53D9-4EB2-BB8F-2E3A0CA92BBC}" name="_Iпуск двиг.">
      <calculatedColumnFormula array="1">IFERROR(IF(CD3=2,_xlfn.IFS(BX3=3,VLOOKUP(BS3,Справочная_двигатели,3,FALSE),BX3=1,VLOOKUP(BS3,Справочная_двигатели,5,TRUE)),0),0)</calculatedColumnFormula>
    </tableColumn>
    <tableColumn id="181" xr3:uid="{1A10A58A-76E6-4153-9691-EC66F445F390}" name="_Iпуск LED">
      <calculatedColumnFormula>IFERROR(IF(CD3=3,VLOOKUP(BS3,Справочная_ЛЭД,2,TRUE),0),0)</calculatedColumnFormula>
    </tableColumn>
    <tableColumn id="182" xr3:uid="{33F14A93-DBD0-4696-BAA0-2FC69A1273E2}" name="Iпуск, А" dataDxfId="107">
      <calculatedColumnFormula>IF(B3="","",IF(FX3=0,FY3,FX3))</calculatedColumnFormula>
    </tableColumn>
    <tableColumn id="183" xr3:uid="{607070D6-9E94-439B-9E77-9B910CE87F19}" name="Пожарная (итог)">
      <calculatedColumnFormula>IF(B3="","",IF(TRIM(AH3&amp;"")&lt;&gt;"",IF(LOWER(TRIM(AH3&amp;""))="да","да","нет"),IF(IFERROR(_xlfn.XLOOKUP(BC3,Коды_код,Коды_пожарная),"")="да","да","нет")))</calculatedColumnFormula>
    </tableColumn>
    <tableColumn id="184" xr3:uid="{E1484808-D537-479C-8B6E-E8DE5D1737E1}" name="_шина группы">
      <calculatedColumnFormula>IF(AF3&lt;&gt;"",AF3,IF(CG3=1,"",IF(GU3="","",IF(BA3=1,"",GB2))))</calculatedColumnFormula>
    </tableColumn>
    <tableColumn id="185" xr3:uid="{8A34EF22-5525-4DA6-9861-026FBC52B232}" name="Шина (итог)">
      <calculatedColumnFormula>IF(B3="","",IF(GB3="","основная",GB3))</calculatedColumnFormula>
    </tableColumn>
    <tableColumn id="186" xr3:uid="{3AF1B9A5-02D3-41D5-8682-816E8E4B81FA}" name="_секция №">
      <calculatedColumnFormula>IF(AND(BP3=1,TRIM(AE3&amp;"")=""),IF(COUNTIFS(Линии[Щит],A3,Линии[Секция (1/2/3)],"&gt;=2")&gt;0,MIN(3,MAX(1,IFERROR(--BD3,1))),1),IFERROR(MIN(3,MAX(1,INT(--AE3))),1))</calculatedColumnFormula>
    </tableColumn>
    <tableColumn id="187" xr3:uid="{22342A01-6824-4673-B24A-B8C592E7C327}" name="Тип шины">
      <calculatedColumnFormula array="1">IF(B3="","",_xlfn.LET(_xlpm.t,IFERROR(_xlfn.XLOOKUP(1,(Шины[Шина]=GC3)*(((Шины[Щит]=A3)+(Шины[Щит]=""))&gt;0),Шины[Тип]),"")&amp;"",IF(_xlpm.t&lt;&gt;"",_xlpm.t,IF(ISNUMBER(SEARCH("ИБП",GC3)),"ИБП",IF(ISNUMBER(SEARCH("ДГУ",GC3)),"ДГУ","Ввод "&amp;GD3)))))</calculatedColumnFormula>
    </tableColumn>
    <tableColumn id="188" xr3:uid="{630C62AC-2C70-4321-9126-FD10E5BBA22F}" name="Источник для режимов">
      <calculatedColumnFormula>IF(B3="","",IF(OR(GE3="ИБП",GE3="ДГУ"),GE3,IF(LEFT(GE3,5)="Ввод ",GE3,"Ввод "&amp;GD3)))</calculatedColumnFormula>
    </tableColumn>
    <tableColumn id="189" xr3:uid="{77E9D15D-064D-4595-A444-B493A0E68DE9}" name="Категория ввода (итог)">
      <calculatedColumnFormula>IF(BP3=0,"",IF(TRIM(AG3&amp;"")&lt;&gt;"",TRIM(AG3&amp;""),IF(OR(GE3="ИБП",GE3="ДГУ"),"I особая",_xlfn.XLOOKUP(A3,Щиты[Щит],Щиты[Категория шины «Ввод»],"III"))))</calculatedColumnFormula>
    </tableColumn>
    <tableColumn id="190" xr3:uid="{CA74CA27-756D-4D77-B214-F4E21FA62C7D}" name="_путь щита">
      <calculatedColumnFormula>IF(A3="","",_xlfn.XLOOKUP(A3,Щиты[Щит],Щиты[Путь],""))</calculatedColumnFormula>
    </tableColumn>
    <tableColumn id="191" xr3:uid="{817F8238-6B4E-4E42-B7C4-37CEC1F2FE56}" name="Вид нагрузки (итог)">
      <calculatedColumnFormula>IF(B3="","",IF(AI3&lt;&gt;"",AI3,IF(IFERROR(_xlfn.XLOOKUP(BC3,Коды_код,Коды_вид)&amp;"","")="","Прочее",_xlfn.XLOOKUP(BC3,Коды_код,Коды_вид)&amp;"")))</calculatedColumnFormula>
    </tableColumn>
    <tableColumn id="192" xr3:uid="{5EE9D65A-1288-4267-A0EF-A4030E0AD116}" name="Лист схемы">
      <calculatedColumnFormula>IF(BM3="","",INT((BM3-1)/Столбцов_на_лист)+1)</calculatedColumnFormula>
    </tableColumn>
    <tableColumn id="193" xr3:uid="{16815625-F95D-4322-B753-93AB22EF73CC}" name="Кабель (строкой)">
      <calculatedColumnFormula>IF(B3="","",SUBSTITUTE(EZ3,CHAR(10)," "))</calculatedColumnFormula>
    </tableColumn>
    <tableColumn id="194" xr3:uid="{A0C05733-B3F4-4F82-A5E0-1D4450DC8A8E}" name="_Р схемы">
      <calculatedColumnFormula>IF(B3="","",IFERROR(--BS3,""))</calculatedColumnFormula>
    </tableColumn>
    <tableColumn id="195" xr3:uid="{0871D430-361E-469A-8B02-31295A05B4E8}" name="_Ток схемы">
      <calculatedColumnFormula>IF(B3="","",IFERROR(ROUNDUP(O3,2),""))</calculatedColumnFormula>
    </tableColumn>
    <tableColumn id="196" xr3:uid="{6D9071EE-0DB1-4258-A6F4-283C9F801116}" name="_фаз">
      <calculatedColumnFormula>IF(B3="","",IFERROR(--BX3,1))</calculatedColumnFormula>
    </tableColumn>
    <tableColumn id="197" xr3:uid="{71CD56B7-AE7B-4A44-92DC-A326519CE99D}" name="_в кабель выше">
      <calculatedColumnFormula>IF(OR(AL3="+",AND(B3&lt;&gt;"",B3=IF(BA3=1,"",B2))),1,0)</calculatedColumnFormula>
    </tableColumn>
    <tableColumn id="198" xr3:uid="{198A9BA1-84F9-4DF4-9FA3-7BAB7DF77530}" name="_draw">
      <calculatedColumnFormula>IF(OR(BM3="",AJ3="вручную",AND(BN3="вводной узел",AJ3&lt;&gt;"рисовать")),0,1)</calculatedColumnFormula>
    </tableColumn>
    <tableColumn id="199" xr3:uid="{958AA2AF-F5F8-4D59-B807-1BDC9F126AAD}" name="_гр.">
      <calculatedColumnFormula>IF(BM3="","",IF(AND(CG3=1,GP3=1),COUNTIFS(A$3:A3,A3,CG$3:CG3,1,GP$3:GP3,1),IF(OR(OR(BA3=1,A3&lt;&gt;A2),AJ3="вручную",GP3=0),"",IF(BA3=1,"",GR2))))</calculatedColumnFormula>
    </tableColumn>
    <tableColumn id="200" xr3:uid="{48686F5F-AAD4-4F30-8D3B-F208FB20174B}" name="_гр. (перенос)">
      <calculatedColumnFormula>IF(BM3="",IF(OR(BA3=1,A3&lt;&gt;A2),"",IF(BA3=1,"",GR2)),GQ3)</calculatedColumnFormula>
    </tableColumn>
    <tableColumn id="201" xr3:uid="{F5B235F5-BCB4-4C71-94CD-21C78B01A002}" name="_макс. автомат по кабелю">
      <calculatedColumnFormula>IF(B3="","",IFERROR(LOOKUP(INDEX(CHOOSE(EB3,Iдоп_1ж,Iдоп_2ж,Iдоп_3ж),MATCH(EN3,Iдоп_S,0))*DZ3*EA3,{6,10,16,20,25,32,40,50,63,80,100,125,160,200,250,315,400,500,630}),""))</calculatedColumnFormula>
    </tableColumn>
    <tableColumn id="202" xr3:uid="{AE26A1FC-DF9A-48B2-913C-795403E63EAF}" name="_QF нач.">
      <calculatedColumnFormula>IF(AND(CG3=1,GP3=1,GQ3&lt;&gt;""),IF(N(DA3)&gt;0,"QFD","QF")&amp;GQ3,"")</calculatedColumnFormula>
    </tableColumn>
    <tableColumn id="203" xr3:uid="{3AA6F2EE-D9FB-4E26-8A4F-A59F9AFE2DA3}" name="_QF гр.">
      <calculatedColumnFormula>IF(GT3&lt;&gt;"",GT3,IF(OR(OR(BA3=1,A3&lt;&gt;A2),AJ3="вручную"),"",IF(BA3=1,"",GU2)))</calculatedColumnFormula>
    </tableColumn>
    <tableColumn id="204" xr3:uid="{CCDF64C8-ECDB-46E4-9F8C-E9AF575B0527}" name="_аппараты гр.">
      <calculatedColumnFormula>IF(GT3&lt;&gt;"",_xlfn.TEXTJOIN(" → ",TRUE,DE3,DF3,DG3),IF(GU3="","",IF(BA3=1,"",GV2)))</calculatedColumnFormula>
    </tableColumn>
    <tableColumn id="205" xr3:uid="{751EA142-12C8-417D-A346-4C714115B151}" name="_БП/тр-р">
      <calculatedColumnFormula>IF(GV3="",0,IF(OR(LEFT(GV3,2)="T ",LEFT(GV3,2)="Т ",ISNUMBER(SEARCH("→ T ",GV3)),ISNUMBER(SEARCH("→ Т ",GV3)),ISNUMBER(SEARCH("БП",GV3))),1,0))</calculatedColumnFormula>
    </tableColumn>
    <tableColumn id="206" xr3:uid="{7B6E873D-16EA-42F5-AF20-5DDFABC77F78}" name="_модуль по умолч.">
      <calculatedColumnFormula>IF(OR(B3="",DJ3=""),"",IFERROR(_xlfn.XLOOKUP(DJ3,Модули_умолч[Управление],Модули_умолч[Модель])&amp;"",""))</calculatedColumnFormula>
    </tableColumn>
    <tableColumn id="207" xr3:uid="{31B97398-9EAF-46D0-9530-0E9920E3BE7C}" name="_каналов на линию">
      <calculatedColumnFormula>IF(DJ3="",1,IFERROR(MAX(0,N(_xlfn.XLOOKUP(DJ3,Модули_умолч[Управление],Модули_умолч[Каналов на линию]))),1))</calculatedColumnFormula>
    </tableColumn>
    <tableColumn id="208" xr3:uid="{66894827-D74C-42E5-9FAF-FC7A97E3EDF8}" name="_модуль вручную">
      <calculatedColumnFormula>IF(_xlfn.ISFORMULA(AK3),"",TRIM(AK3&amp;""))</calculatedColumnFormula>
    </tableColumn>
    <tableColumn id="209" xr3:uid="{8299FE39-4B68-4195-882E-686DDDB3820C}" name="_блок модуля">
      <calculatedColumnFormula>IF(GZ3="-","",IF(GZ3&lt;&gt;"","M",IF(AND(NOT(OR(BA3=1,A3&lt;&gt;A2)),IF(BA3=1,"",HA2)="M"),"M",IF(GX3&lt;&gt;"","A",IF(AND(NOT(OR(BA3=1,A3&lt;&gt;A2)),IF(BA3=1,"",HA2)="A",B3="",OR(AL3="р",AL3="+",AL3="=")),"A","")))))</calculatedColumnFormula>
    </tableColumn>
    <tableColumn id="210" xr3:uid="{634E6E67-06D9-479A-BCAE-E34820935843}" name="_модель авто-блока">
      <calculatedColumnFormula>IF(HA3="A",IF(GX3&lt;&gt;"",GX3,IF(BA3=1,"",HB2)),"")</calculatedColumnFormula>
    </tableColumn>
    <tableColumn id="211" xr3:uid="{99D39940-EAA3-478A-8B05-56AF1461CC06}" name="_каналов модели">
      <calculatedColumnFormula>IF(HB3="",0,IFERROR(N(VLOOKUP(HB3,Модули_спр,3,FALSE)),0))</calculatedColumnFormula>
    </tableColumn>
    <tableColumn id="212" xr3:uid="{296E9414-2897-4513-A9E9-6C9B401FFCB0}" name="_авто модуль">
      <calculatedColumnFormula>IF(HA3="A",IF(OR(OR(BA3=1,A3&lt;&gt;A2),IF(BA3=1,"",HA2)&lt;&gt;"A",IF(BA3=1,"",HB2)&lt;&gt;HB3,AND(HC3&gt;0,GY3&gt;0,N(IF(BA3=1,"",HK2))+GY3&gt;HC3)),HB3,""),IF(AND(HA3="",NOT(OR(BA3=1,A3&lt;&gt;A2)),IF(BA3=1,"",HA2)="A",GZ3=""),"-",""))</calculatedColumnFormula>
    </tableColumn>
    <tableColumn id="213" xr3:uid="{B2CF2759-C114-47E0-AAC6-7F122A5E3474}" name="_модуль (итог)">
      <calculatedColumnFormula>IF(GZ3&lt;&gt;"",GZ3,HD3)</calculatedColumnFormula>
    </tableColumn>
    <tableColumn id="214" xr3:uid="{8E0851B9-26F6-4B6F-9EE9-46899A6F4BA3}" name="_префикс">
      <calculatedColumnFormula>IF(OR(HE3="",HE3="-"),"",IFERROR(VLOOKUP(HE3,Модули_спр,2,FALSE),"R"))</calculatedColumnFormula>
    </tableColumn>
    <tableColumn id="215" xr3:uid="{75373B1C-34AA-44BE-B9C1-08FA58DC641A}" name="_модуль нач.">
      <calculatedColumnFormula>IF(HF3="","",HF3&amp;"."&amp;COUNTIFS(A$3:A3,A3,HF$3:HF3,HF3))</calculatedColumnFormula>
    </tableColumn>
    <tableColumn id="216" xr3:uid="{27B44E31-5A09-4D8E-85F5-0ED3DF01C5F5}" name="_модуль гр.">
      <calculatedColumnFormula>IF(HE3="-","",IF(HG3&lt;&gt;"",HG3,IF(OR(BA3=1,A3&lt;&gt;A2),"",IF(BA3=1,"",HH2))))</calculatedColumnFormula>
    </tableColumn>
    <tableColumn id="217" xr3:uid="{55700E7F-5CE2-46B8-970E-E31342117BB9}" name="_модель гр.">
      <calculatedColumnFormula>IF(HH3="","",IF(AND(HE3&lt;&gt;"",HE3&lt;&gt;"-"),HE3,IF(BA3=1,"",HI2)))</calculatedColumnFormula>
    </tableColumn>
    <tableColumn id="218" xr3:uid="{EF2B009C-28BD-45E0-9C28-9293D9C4D732}" name="Канал (итог)">
      <calculatedColumnFormula>IF(AL3="=",IF(BA3=1,"",HK2),IF(ISNUMBER(AL3),AL3,IF(HH3="","",IF(OR(B3&lt;&gt;"",AL3="+",AL3="р"),IF(OR(HG3&lt;&gt;"",IF(BA3=1,"",HK2)=""),1,IF(BA3=1,"",HK2)+IF(GY3=0,0,1)),""))))</calculatedColumnFormula>
    </tableColumn>
    <tableColumn id="219" xr3:uid="{57C8615A-C184-40C2-951F-C3C1A4FC6394}" name="_посл. канал">
      <calculatedColumnFormula>IF(HJ3&lt;&gt;"",MAX(HJ3,HJ3+GY3-1),IF(OR(OR(BA3=1,A3&lt;&gt;A2),HE3="-",HG3&lt;&gt;""),"",IF(BA3=1,"",HK2)))</calculatedColumnFormula>
    </tableColumn>
    <tableColumn id="220" xr3:uid="{9BFA4E1B-2AFE-4AF4-AE7A-CDD4D4A529B2}" name="_клемма">
      <calculatedColumnFormula>IF(OR(AL3="б/к",AJ3="вручную"),0,IF(OR(EZ3&lt;&gt;"",AL3="+",AL3="="),1,0))</calculatedColumnFormula>
    </tableColumn>
    <tableColumn id="221" xr3:uid="{BB5D9964-4268-40D8-9DFD-74BD3F35CBFD}" name="_авто клемма">
      <calculatedColumnFormula>IF(HL3=1,"XT"&amp;COUNTIFS(A$3:A3,A3,HL$3:HL3,1),"")</calculatedColumnFormula>
    </tableColumn>
    <tableColumn id="222" xr3:uid="{7E98FDAE-B655-43B2-BFCF-1662967F5B6C}" name="Клемма (итог)">
      <calculatedColumnFormula>_xlfn.LET(_xlpm.v,TRIM(M3&amp;""),IF(_xlpm.v="нет","",IF(_xlpm.v="",HM3,_xlpm.v)))</calculatedColumnFormula>
    </tableColumn>
    <tableColumn id="223" xr3:uid="{4AE0D7BF-C625-4D24-9108-622497AAB104}" name="QF">
      <calculatedColumnFormula>IF(OR(B3&lt;&gt;"",HJ3&lt;&gt;"",HL3=1),GU3,"")</calculatedColumnFormula>
    </tableColumn>
    <tableColumn id="224" xr3:uid="{FFA3AEB9-3A59-4691-BC9A-DA2CB9C863B9}" name="_Модуль (схема)">
      <calculatedColumnFormula>IF(OR(HJ3&lt;&gt;"",AND(HE3&lt;&gt;"",HE3&lt;&gt;"-")),HH3,"")</calculatedColumnFormula>
    </tableColumn>
    <tableColumn id="225" xr3:uid="{70E270BF-530E-43D6-8727-2DBB9DC94D3F}" name="Проверка автомата">
      <calculatedColumnFormula>IF(B3="","",IF(AND(CG3=1,DQ3&lt;&gt;"",DR3=""),"номинал автомата не распознан",IF(DT3="",IF(CF3=1,"«гр»: нет автомата выше",""),IF(AND(CG3=1,N(DY3)&gt;N(DT3)),"ПЕРЕГРУЗ",IF(AND(N(DX3)=0,ISNUMBER(GS3),N(GS3)&lt;N(DT3)),"КАБЕЛЬ НЕ ЗАЩИЩЁН","ok")))))</calculatedColumnFormula>
    </tableColumn>
    <tableColumn id="226" xr3:uid="{C8D0549E-ECE2-4EF4-B79A-7A1DD38B1FAB}" name="Проверка канала">
      <calculatedColumnFormula>IF(OR(HJ3="",HH3=""),"",IF(HJ3+MAX(0,GY3-1)&gt;IFERROR(VLOOKUP(HI3,Модули_спр,3,FALSE),99),"ЛИШНИЙ КАНАЛ",IF(AND(AL3&lt;&gt;"=",GY3&gt;0,COUNTIFS(Линии[_модуль гр.],HH3,Линии[Канал (итог)],HJ3,Линии[Канал],"&lt;&gt;=",Линии[Щит],A3)&gt;1),"ДУБЛЬ КАНАЛА","")))</calculatedColumnFormula>
    </tableColumn>
    <tableColumn id="227" xr3:uid="{542375FC-17CF-41E3-A43E-5AEEC5166660}" name="Iкз / In" dataDxfId="106">
      <calculatedColumnFormula>IFERROR(IF(ISNUMBER(FD3),FD3/N(DT3),""),"")</calculatedColumnFormula>
    </tableColumn>
    <tableColumn id="228" xr3:uid="{460B7C55-3F3E-41AE-965B-9C8C8001587D}" name="_кратность">
      <calculatedColumnFormula>IF(OR(ISNUMBER(SEARCH(" B"," "&amp;DU3)),ISNUMBER(SEARCH(" В"," "&amp;DU3))),5,IF(ISNUMBER(SEARCH(" D"," "&amp;DU3)),20,10))</calculatedColumnFormula>
    </tableColumn>
    <tableColumn id="229" xr3:uid="{558D63CD-72CE-434A-9C7D-6E15E32D3772}" name="Отключение ≤ 0,4 с">
      <calculatedColumnFormula>IF(NOT(ISNUMBER(HS3)),"",IF(HS3&gt;=HT3,"ok",IF(N(DW3)=1,"ok (дифзащита "&amp;IF(CS3&lt;&gt;"",CV3,DV3)&amp;" мА)","мало: Iкз &lt; "&amp;HT3&amp;"·In")))</calculatedColumnFormula>
    </tableColumn>
    <tableColumn id="230" xr3:uid="{613E2DCD-0CB0-47B9-B873-232D84EAAAC7}" name="_ток утечки линии, мА">
      <calculatedColumnFormula>IF(OR(B3="",BH3&lt;&gt;"",BP3=1),0,0.4*N(CI3)+IF(BV3=1,0,0.01*N(P3)))</calculatedColumnFormula>
    </tableColumn>
    <tableColumn id="231" xr3:uid="{CB7B6770-752C-4BB8-B46A-D5F01D1D0829}" name="_утечка ниже в группе">
      <calculatedColumnFormula>IF(AND(A4=A3,AJ4&lt;&gt;"вручную",OR(B4="",CF4=1)),IF(B4="",0,N(HV4))+N(HW4),0)</calculatedColumnFormula>
    </tableColumn>
    <tableColumn id="232" xr3:uid="{D99259F3-2B19-4152-AE65-2B5623AE5C4E}" name="_Uвых БП для линии, В">
      <calculatedColumnFormula>IF(BV3=1,N(BU3)+N(EV3),0)</calculatedColumnFormula>
    </tableColumn>
    <tableColumn id="233" xr3:uid="{396CF0FF-A05F-451D-9056-F34CA1AD1C90}" name="_мощность от БП, Вт">
      <calculatedColumnFormula>IF(BV3=1,(N(BU3)+N(EV3))*N(O3),0)</calculatedColumnFormula>
    </tableColumn>
    <tableColumn id="234" xr3:uid="{9FA8EE4B-1E0C-4B67-B95A-3E9F604CDC5F}" name="_мощность от БП ниже">
      <calculatedColumnFormula>IF(AND(A4=A3,AJ4&lt;&gt;"вручную",OR(B4="",CF4=1)),IF(B4="",0,N(HY4))+N(HZ4),0)</calculatedColumnFormula>
    </tableColumn>
    <tableColumn id="235" xr3:uid="{1155BDA9-A1EB-42C9-90E0-162E5F795D89}" name="_Uвых ниже">
      <calculatedColumnFormula>IF(AND(A4=A3,AJ4&lt;&gt;"вручную",OR(B4="",CF4=1)),MAX(IF(B4="",0,N(HX4)),N(IA4)),0)</calculatedColumnFormula>
    </tableColumn>
    <tableColumn id="236" xr3:uid="{31EF0C8C-4BAD-4E4C-A239-6E3453B04E90}" name="_линий до 50 В ниже">
      <calculatedColumnFormula>IF(AND(A4=A3,AJ4&lt;&gt;"вручную",OR(B4="",CF4=1)),IF(B4="",0,N(BV4))+N(IB4),0)</calculatedColumnFormula>
    </tableColumn>
    <tableColumn id="237" xr3:uid="{C3D26B99-DD50-49C8-8275-9E8C9D9D87A5}" name="_БП группы">
      <calculatedColumnFormula>IF(CG3=0,"",IFERROR(TRIM(MID(DD3,SEARCH("БП",DD3),40)),""))</calculatedColumnFormula>
    </tableColumn>
    <tableColumn id="238" xr3:uid="{F5123B3B-56A8-4BC8-B23F-20B0181BD262}" name="_БП, Вт">
      <calculatedColumnFormula array="1">IF(IC3="","",_xlfn.LET(_xlpm.tk,_xlfn.TEXTSPLIT(SUBSTITUTE(SUBSTITUTE(IC3,";"," "),"→"," ")," ",,TRUE),_xlpm.w_,_xlfn._xlws.FILTER(_xlpm.tk,ISNUMBER(--LEFT(_xlpm.tk,1))*((ISNUMBER(SEARCH("W",_xlpm.tk))+ISNUMBER(SEARCH("Вт",_xlpm.tk)))&gt;0),""),IFERROR(--SUBSTITUTE(SUBSTITUTE(UPPER(INDEX(_xlpm.w_,1)),"W",""),"ВТ",""),"")))</calculatedColumnFormula>
    </tableColumn>
    <tableColumn id="239" xr3:uid="{B67551C9-A2CF-40B1-9591-23E6909C8B38}" name="_БП, В">
      <calculatedColumnFormula array="1">IF(IC3="","",_xlfn.LET(_xlpm.tk,_xlfn.TEXTSPLIT(SUBSTITUTE(SUBSTITUTE(IC3,";"," "),"→"," ")," ",,TRUE),_xlpm.v_,_xlfn._xlws.FILTER(_xlpm.tk,ISNUMBER(--LEFT(_xlpm.tk,1))*((ISNUMBER(SEARCH("V",_xlpm.tk))+(RIGHT(UPPER(_xlpm.tk))="В"))&gt;0),""),IFERROR(--SUBSTITUTE(SUBSTITUTE(UPPER(INDEX(_xlpm.v_,1)),"V",""),"В",""),"")))</calculatedColumnFormula>
    </tableColumn>
    <tableColumn id="240" xr3:uid="{AC118786-A733-4D7F-BBDF-48BE040DD238}" name="_ток канала модуля, А" dataDxfId="105">
      <calculatedColumnFormula>IF(OR(BV3=0,HI3="",HJ3=""),"",IFERROR(N(_xlfn.XLOOKUP(HI3,Каталог!$C$4:$C$500,Каталог!$Q$4:$Q$500)),""))</calculatedColumnFormula>
    </tableColumn>
    <tableColumn id="241" xr3:uid="{4587F924-48AD-4292-9B8A-3F9AA3384498}" name="_ток канала, А" dataDxfId="104">
      <calculatedColumnFormula>IF(N(IF3)=0,"",SUMIFS(Линии[Iр, А],Линии[Щит],A3,Линии[_модуль гр.],HH3,Линии[Канал (итог)],HJ3))</calculatedColumnFormula>
    </tableColumn>
    <tableColumn id="242" xr3:uid="{6C8D4F00-F602-4A4E-883E-D56B8201B203}" name="_статус">
      <calculatedColumnFormula>IF(AND(B3="",HO3=""),"",_xlfn.TEXTJOIN("; ",TRUE,IF(AND(B3&lt;&gt;"",FV3=""),"нет фазы",""),IF(AND(B3&lt;&gt;"",N(GL3)=0,FG3&lt;&gt;"Нет"),"нет мощности",""),IF(AND(HN3&lt;&gt;"",COUNTIFS(Линии[Щит],A3,Линии[Клемма (итог)],HN3)&gt;1),"дубль клеммы "&amp;HN3,""),IF(AND(HQ3&lt;&gt;"",HQ3&lt;&gt;"ok"),HQ3,""),IF(HR3&lt;&gt;"",HR3,""),IF(AND(N(CB3)&gt;=4,N(BX3)=1),CB3&amp;" жил на 1 фазе",""),IF(AND(BC3="R",CG3=1,IF(CS3&lt;&gt;"",N(CV3)&gt;30,OR(N(DA3)=0,N(DA3)&gt;30))),"розетка без дифзащиты до 30 мА",""),IF(AND(CG3=1,N(DA3)&gt;0,ISNUMBER(T3)),IF(T3&gt;N(DA3)/3,"ток утечки "&amp;FIXED(T3,1)&amp;" мА &gt; 1/3 уставки ("&amp;DA3&amp;" мА)",""),""),IF(AND(CH3=1,CS3=""),"«узо»: нет строки с УЗО выше (УЗО 2P 40А 30мА в «Аппаратах»)",""),IF(AND(CS3&lt;&gt;"",CS3=BA3),IF(CT3="","впишите номинал УЗО (УЗО 2P 40А 30мА)",IF(N(CT3)&lt;N(DT3),"УЗО "&amp;CT3&amp;" А &lt; автомата "&amp;DT3&amp;" А перед ним",IF(N(CT3)&lt;N(CX3),"УЗО "&amp;CT3&amp;" А &lt; тока блока "&amp;FIXED(CX3,1)&amp;" А",""))),""),IF(AND(CS3&lt;&gt;"",CS3=BA3,ISNUMBER(CY3)),IF(CY3&gt;N(CV3)/3,"ток утечки блока УЗО "&amp;FIXED(CY3,1)&amp;" мА &gt; 1/3 уставки ("&amp;CV3&amp;" мА)",""),""),IF(AND(CG3=1,N(BV3)+N(IB3)&gt;0,IC3=""),"линии до 50 В без БП: впишите в «Аппараты» (БП 24V 480W)",""),IF(AND(CG3=1,ISNUMBER(ID3),ISNUMBER(U3)),IF(U3&gt;ID3,"БП "&amp;ID3&amp;" Вт &lt; нужно "&amp;U3&amp;" Вт (×"&amp;Запас_БП&amp;")",""),""),IF(AND(CG3=1,ISNUMBER(IE3),N(BV3)=1),IF(IE3&lt;&gt;N(BU3),"БП на "&amp;IE3&amp;" В, линия "&amp;BU3&amp;" В",""),""),IF(AND(N(IF3)&gt;0,N(IG3)&gt;N(IF3)),HH3&amp;" канал "&amp;HJ3&amp;": "&amp;FIXED(IG3,1)&amp;" А &gt; "&amp;IF3&amp;" А",""),IFERROR(IF(AND(ISNUMBER(Q3),Q3&gt;EL3),"потери "&amp;FIXED(Q3,1)&amp;" % &gt; "&amp;EL3&amp;" %",""),""),IFERROR(IF(LEFT(HU3,4)="мало","Iкз мало — отключение &gt; 0,4 с",""),""),IF(AND(B3&lt;&gt;"",BM3=""),"не на схеме",""),IF(AND(CG3=0,B3&lt;&gt;"",FV3&lt;&gt;"",IF(BA3=1,"",FW2)&lt;&gt;"",FV3&lt;&gt;IF(BA3=1,"",FW2)),"фаза не как у автомата группы ("&amp;IF(BA3=1,"",FW2)&amp;")","")))</calculatedColumnFormula>
    </tableColumn>
    <tableColumn id="243" xr3:uid="{2CC8EA09-8079-45AB-9B2E-64388A9D84E2}" name="Icu автомата, кА" dataDxfId="103">
      <calculatedColumnFormula>IF(OR(CG3=0,DQ3=""),"",_xlfn.LET(_xlpm.t,IFERROR(_xlfn.XLOOKUP(DQ3,Каталог!$U$4:$U$500,Каталог!$G$4:$G$500),""),_xlpm.k,SEARCH("кА",_xlpm.t),IFERROR(--TRIM(RIGHT(SUBSTITUTE(MID(_xlpm.t,MAX(1,_xlpm.k-4),_xlpm.k-MAX(1,_xlpm.k-4))," ",REPT(" ",9)),5)),"")))</calculatedColumnFormula>
    </tableColumn>
    <tableColumn id="244" xr3:uid="{5AF191C4-FCD5-4B6A-AAB2-808F46D2FA8A}" name="Проверка Icu">
      <calculatedColumnFormula>IF(OR(II3="",CG3=0),"",IF(_xlfn.XLOOKUP(A3,Щиты[Щит],Щиты[Iкз max на шинах, кА],"")="","",IF(II3&lt;_xlfn.XLOOKUP(A3,Щиты[Щит],Щиты[Iкз max на шинах, кА]),"Icu "&amp;II3&amp;" кА &lt; Iкз max","ok")))</calculatedColumnFormula>
    </tableColumn>
    <tableColumn id="245" xr3:uid="{5EFAB822-8C97-4856-A792-437D07B5ECE4}" name="_целость">
      <calculatedColumnFormula>IF(OR(AND(BA3&gt;1,N(BA2)&lt;&gt;BA3-1),AND(BA4&lt;&gt;"",N(BA4)&lt;&gt;BA3+1)),"строки сдвинуты (вставка или удаление) — нажмите «Починить формулы»","")</calculatedColumnFormula>
    </tableColumn>
    <tableColumn id="246" xr3:uid="{B6DB16E5-C0BE-4917-822D-7C3E9905BFC1}" name="_цепь для бирок">
      <calculatedColumnFormula>IF(OR(AJ3="вручную",BM3="",AND(B3="",HN3="")),"",_xlfn.TEXTJOIN("|",TRUE,GU3,SUBSTITUTE(GV3," → ","|"),IF(HH3&lt;&gt;"",HH3&amp;IF(HJ3&lt;&gt;""," к."&amp;HJ3,""),""),HN3))</calculatedColumnFormula>
    </tableColumn>
    <tableColumn id="247" xr3:uid="{1EBABF46-BCF8-44C2-939A-D91B681C6868}" name="_цепь с кабелем">
      <calculatedColumnFormula>IF(IL3="","",IL3&amp;IF(B3&lt;&gt;"","|кабель "&amp;EY3&amp;" → "&amp;BJ3,""))</calculatedColumnFormula>
    </tableColumn>
    <tableColumn id="248" xr3:uid="{25FCE026-127D-4203-A64A-4AC8E9122497}" name="_бирка 1">
      <calculatedColumnFormula array="1">IF(IM3="","",_xlfn.LET(_xlpm.nd,_xlfn.TEXTSPLIT(IM3,"|"),IF(COLUMNS(_xlpm.nd)&gt;1,A3&amp;"¦"&amp;INDEX(_xlpm.nd,1)&amp;"¦"&amp;INDEX(_xlpm.nd,2),"")))</calculatedColumnFormula>
    </tableColumn>
    <tableColumn id="249" xr3:uid="{41FDF65D-4F31-4E2E-A01E-CC67F292A19D}" name="_бирка 1 линия">
      <calculatedColumnFormula>IF(IN3="","",B3&amp;"¦"&amp;BJ3)</calculatedColumnFormula>
    </tableColumn>
    <tableColumn id="250" xr3:uid="{4B753FF1-BF0D-4B5D-97E8-D07BD5ADAC02}" name="_бирка 2">
      <calculatedColumnFormula array="1">IF(IM3="","",_xlfn.LET(_xlpm.nd,_xlfn.TEXTSPLIT(IM3,"|"),IF(COLUMNS(_xlpm.nd)&gt;2,A3&amp;"¦"&amp;INDEX(_xlpm.nd,2)&amp;"¦"&amp;INDEX(_xlpm.nd,3),"")))</calculatedColumnFormula>
    </tableColumn>
    <tableColumn id="251" xr3:uid="{40594628-85B0-42D5-BB0E-084DF19F2945}" name="_бирка 2 линия">
      <calculatedColumnFormula>IF(IP3="","",B3&amp;"¦"&amp;BJ3)</calculatedColumnFormula>
    </tableColumn>
    <tableColumn id="252" xr3:uid="{32825372-DE85-4A92-B46E-2C1A7ECE9D59}" name="_бирка 3">
      <calculatedColumnFormula array="1">IF(IM3="","",_xlfn.LET(_xlpm.nd,_xlfn.TEXTSPLIT(IM3,"|"),IF(COLUMNS(_xlpm.nd)&gt;3,A3&amp;"¦"&amp;INDEX(_xlpm.nd,3)&amp;"¦"&amp;INDEX(_xlpm.nd,4),"")))</calculatedColumnFormula>
    </tableColumn>
    <tableColumn id="253" xr3:uid="{A5F8BC5F-7EB7-4EAA-9D9A-5676B653EE4A}" name="_бирка 3 линия">
      <calculatedColumnFormula>IF(IR3="","",B3&amp;"¦"&amp;BJ3)</calculatedColumnFormula>
    </tableColumn>
    <tableColumn id="254" xr3:uid="{91EE2935-097B-4F2A-9671-F0ED7C089570}" name="_бирка 4">
      <calculatedColumnFormula array="1">IF(IM3="","",_xlfn.LET(_xlpm.nd,_xlfn.TEXTSPLIT(IM3,"|"),IF(COLUMNS(_xlpm.nd)&gt;4,A3&amp;"¦"&amp;INDEX(_xlpm.nd,4)&amp;"¦"&amp;INDEX(_xlpm.nd,5),"")))</calculatedColumnFormula>
    </tableColumn>
    <tableColumn id="255" xr3:uid="{DB61EF15-74B5-4576-8C6E-FD78427B0CD1}" name="_бирка 4 линия">
      <calculatedColumnFormula>IF(IT3="","",B3&amp;"¦"&amp;BJ3)</calculatedColumnFormula>
    </tableColumn>
    <tableColumn id="256" xr3:uid="{410ADC5B-2D3A-4B65-9A97-C26462B97CC6}" name="_бирка 5">
      <calculatedColumnFormula array="1">IF(IM3="","",_xlfn.LET(_xlpm.nd,_xlfn.TEXTSPLIT(IM3,"|"),IF(COLUMNS(_xlpm.nd)&gt;5,A3&amp;"¦"&amp;INDEX(_xlpm.nd,5)&amp;"¦"&amp;INDEX(_xlpm.nd,6),"")))</calculatedColumnFormula>
    </tableColumn>
    <tableColumn id="257" xr3:uid="{D4EEA833-A378-4098-B655-03481B5D5126}" name="_бирка 5 линия">
      <calculatedColumnFormula>IF(IV3="","",B3&amp;"¦"&amp;BJ3)</calculatedColumnFormula>
    </tableColumn>
    <tableColumn id="258" xr3:uid="{CE4F8BCF-02E4-4F48-9AF8-1A5A088B0CDB}" name="_бирка 6">
      <calculatedColumnFormula array="1">IF(IM3="","",_xlfn.LET(_xlpm.nd,_xlfn.TEXTSPLIT(IM3,"|"),IF(COLUMNS(_xlpm.nd)&gt;6,A3&amp;"¦"&amp;INDEX(_xlpm.nd,6)&amp;"¦"&amp;INDEX(_xlpm.nd,7),"")))</calculatedColumnFormula>
    </tableColumn>
    <tableColumn id="259" xr3:uid="{63487FE4-3549-4144-921A-C48F6C5598B3}" name="_бирка 6 линия">
      <calculatedColumnFormula>IF(IX3="","",B3&amp;"¦"&amp;BJ3)</calculatedColumnFormula>
    </tableColumn>
    <tableColumn id="260" xr3:uid="{909A4867-0A6C-4E7C-A74C-091F0296178F}" name="_модель (схема)">
      <calculatedColumnFormula>IF(HP3="","",HI3)</calculatedColumnFormula>
    </tableColumn>
    <tableColumn id="261" xr3:uid="{1D92F08F-D6EC-4E04-98C9-C32373974CAF}" name="_цепь">
      <calculatedColumnFormula>IF(AND(B3="",HJ3="",HN3=""),"",_xlfn.TEXTJOIN(" → ",TRUE,GU3,GV3,IF(HH3&lt;&gt;"",HH3&amp;IF(HJ3&lt;&gt;""," к."&amp;HJ3,""),IF(HJ3&lt;&gt;"","к."&amp;HJ3,"")),HN3,IF(GO3=1,"(в кабель выше)","")))</calculatedColumnFormula>
    </tableColumn>
    <tableColumn id="262" xr3:uid="{1E47646F-89E2-4F73-A75F-E006AB15923D}" name="_bus2">
      <calculatedColumnFormula>IF(AF3="",0,1)</calculatedColumnFormula>
    </tableColumn>
    <tableColumn id="263" xr3:uid="{06288F9A-A7F0-47C9-9E8D-CE7B8883A9E2}" name="_rcd">
      <calculatedColumnFormula>IF(GT3="",0,IF(LEFT(GT3,3)="QFD",1,0))</calculatedColumnFormula>
    </tableColumn>
    <tableColumn id="264" xr3:uid="{1B0E71C4-AC6D-462C-B879-0406027B03C3}" name="_chtype">
      <calculatedColumnFormula>IF(AL3="=","=",IF(AL3="+","+",IF(AL3="р","R","")))</calculatedColumnFormula>
    </tableColumn>
    <tableColumn id="265" xr3:uid="{695B42B0-4BF1-4034-8793-B12D56DC86FD}" name="_dev1">
      <calculatedColumnFormula>IF(DE3="","",IF(OR(LEFT(DE3,1)="T",LEFT(DE3,1)="Т"),"T",IF(LEFT(UPPER(DE3),2)="БП","PS",IF(OR(LEFT(UPPER(DE3),2)="МК",LEFT(UPPER(DE3),2)="MK"),"MK",IF(OR(LEFT(UPPER(DE3),2)="КМ",LEFT(UPPER(DE3),2)="KM"),"KM","X")))))</calculatedColumnFormula>
    </tableColumn>
    <tableColumn id="266" xr3:uid="{24DB5293-8BF9-45E5-B261-6F8D0F3EBEF8}" name="_dev2">
      <calculatedColumnFormula>IF(DF3="","",IF(OR(LEFT(DF3,1)="T",LEFT(DF3,1)="Т"),"T",IF(LEFT(UPPER(DF3),2)="БП","PS",IF(OR(LEFT(UPPER(DF3),2)="МК",LEFT(UPPER(DF3),2)="MK"),"MK",IF(OR(LEFT(UPPER(DF3),2)="КМ",LEFT(UPPER(DF3),2)="KM"),"KM","X")))))</calculatedColumnFormula>
    </tableColumn>
    <tableColumn id="267" xr3:uid="{EAA9A1ED-06C7-4915-B195-737DAAC8FCD0}" name="_dev3">
      <calculatedColumnFormula>IF(DG3="","",IF(OR(LEFT(DG3,1)="T",LEFT(DG3,1)="Т"),"T",IF(LEFT(UPPER(DG3),2)="БП","PS",IF(OR(LEFT(UPPER(DG3),2)="МК",LEFT(UPPER(DG3),2)="MK"),"MK",IF(OR(LEFT(UPPER(DG3),2)="КМ",LEFT(UPPER(DG3),2)="KM"),"KM","X")))))</calculatedColumnFormula>
    </tableColumn>
    <tableColumn id="268" xr3:uid="{75A62172-A477-4A51-9E6F-BB86538D8BEE}" name="_УГО (рус)">
      <calculatedColumnFormula>IF(B3="","",IFERROR(_xlfn.XLOOKUP(B3,Коды_код,Коды_уго),IFERROR(_xlfn.XLOOKUP(BC3,Коды_код,Коды_уго),IFERROR(_xlfn.XLOOKUP(LEFT(BC3,2),Коды_код,Коды_уго),""))))</calculatedColumnFormula>
    </tableColumn>
    <tableColumn id="269" xr3:uid="{6818E4D6-1803-41DD-AA22-1D79795E8414}" name="_sym">
      <calculatedColumnFormula>IF(B3="","",IF(OR(JH3="",JH3=0),"BOX",IFERROR(IF(VLOOKUP(JH3,УГО_блоки,3,FALSE)&amp;""&lt;&gt;"",VLOOKUP(JH3,УГО_блоки,3,FALSE),VLOOKUP(JH3,УГО_блоки,2,FALSE)),JH3)))</calculatedColumnFormula>
    </tableColumn>
    <tableColumn id="270" xr3:uid="{41EA97A3-E837-406B-885A-870FAE6861FA}" name="_hasline">
      <calculatedColumnFormula>IF(B3="",0,1)</calculatedColumnFormula>
    </tableColumn>
    <tableColumn id="271" xr3:uid="{24FEFB75-48DB-4ACE-9BA4-DD0AC8F57870}" name="_тип автомата №">
      <calculatedColumnFormula>IF(DQ3="","",IF(COUNTIF(DQ$3:DQ3,DQ3)=1,MAX(JK$2:JK2)+1,""))</calculatedColumnFormula>
    </tableColumn>
    <tableColumn id="272" xr3:uid="{3408D52A-0013-46F5-948F-80A360684367}" name="_аппарат 1 №">
      <calculatedColumnFormula>IF(DE3="","",IF(COUNTIF(DE$3:DE3,DE3)+COUNTIF(DF$2:DF2,DE3)+COUNTIF(DG$2:DG2,DE3)=1,MAX(JL$2:JN2)+1,""))</calculatedColumnFormula>
    </tableColumn>
    <tableColumn id="273" xr3:uid="{A90A651B-F89D-411A-B310-3E4460055242}" name="_аппарат 2 №">
      <calculatedColumnFormula>IF(DF3="","",IF(COUNTIF(DE$3:DE3,DF3)+COUNTIF(DF$3:DF3,DF3)+COUNTIF(DG$2:DG2,DF3)=1,MAX(JL$2:JN2,JL3)+1,""))</calculatedColumnFormula>
    </tableColumn>
    <tableColumn id="274" xr3:uid="{5FA12C5F-9127-4CF2-BA12-E5F4C7DBD7AC}" name="_аппарат 3 №">
      <calculatedColumnFormula>IF(DG3="","",IF(COUNTIF(DE$3:DE3,DG3)+COUNTIF(DF$3:DF3,DG3)+COUNTIF(DG$3:DG3,DG3)=1,MAX(JL$2:JN2,JL3,JM3)+1,""))</calculatedColumnFormula>
    </tableColumn>
    <tableColumn id="275" xr3:uid="{AD8AC90C-101A-48FB-86A7-3408AA755774}" name="_кабель клеммы">
      <calculatedColumnFormula>IF(HL3=1,IFERROR(MID(GK3,FIND(" (",GK3)+2,FIND(")",GK3,FIND(" (",GK3))-FIND(" (",GK3)-2),"?"),"")</calculatedColumnFormula>
    </tableColumn>
    <tableColumn id="276" xr3:uid="{4F887606-ED78-4983-81E1-55CFA08D2DA6}" name="_вид клеммы №">
      <calculatedColumnFormula>IF(JO3="","",IF(COUNTIF(JO$3:JO3,JO3)=1,MAX(JP$2:JP2)+1,""))</calculatedColumnFormula>
    </tableColumn>
    <tableColumn id="277" xr3:uid="{485501C9-40C0-448C-AE6B-9B04B03747BD}" name="_модуль №">
      <calculatedColumnFormula>IF(HG3="","",COUNTIF(HG$3:HG3,"?*"))</calculatedColumnFormula>
    </tableColumn>
    <tableColumn id="278" xr3:uid="{14DDB8B0-4BA7-4248-B4C2-E966CE33E383}" name="_модель №">
      <calculatedColumnFormula>IF(OR(HG3="",HI3=""),"",IF(COUNTIFS(HG$3:HG3,"?*",HI$3:HI3,HI3)=1,MAX(JR$2:JR2)+1,""))</calculatedColumnFormula>
    </tableColumn>
    <tableColumn id="279" xr3:uid="{38DE4D05-D391-4042-8896-BDEC64EC7F58}" name="_уровень">
      <calculatedColumnFormula>IF(IH3="",0,IF(OR(ISNUMBER(SEARCH("дубль",IH3)),ISNUMBER(SEARCH("ПЕРЕГРУЗ",IH3)),ISNUMBER(SEARCH("ЗАЩИЩ",IH3)),ISNUMBER(SEARCH("КАНАЛ",IH3)),ISNUMBER(SEARCH("без диф",IH3))),2,1))</calculatedColumnFormula>
    </tableColumn>
    <tableColumn id="280" xr3:uid="{AE3053B0-F2AA-4AD6-97A6-084EDB8C30EA}" name="_№ линии">
      <calculatedColumnFormula>IF(B3="","",COUNTIF(B$3:B3,"?*"))</calculatedColumnFormula>
    </tableColumn>
    <tableColumn id="281" xr3:uid="{3343412D-FC5B-45AF-A79D-F3443B13B132}" name="_3L клемм">
      <calculatedColumnFormula>IF(HL3&lt;&gt;1,0,_xlfn.LET(_xlpm.k,MAX(IFERROR(--_xlfn.XLOOKUP(B3,Коды_код,Коды_3L),0),IFERROR(--_xlfn.XLOOKUP(BC3,Коды_код,Коды_3L),0),IFERROR(--_xlfn.XLOOKUP(LEFT(BC3,2),Коды_код,Коды_3L),0)),IF(_xlpm.k&gt;0,_xlpm.k,IF(IFERROR(--LEFT(SUBSTITUTE(JO3,"x","х"),FIND("х",SUBSTITUTE(JO3,"x","х"))-1),3)&gt;3,Каталог!$S$9,1))))</calculatedColumnFormula>
    </tableColumn>
    <tableColumn id="282" xr3:uid="{71CECF9D-496B-4A02-9933-2010486E80B8}" name="_доп. проходных">
      <calculatedColumnFormula>IF(HL3&lt;&gt;1,0,MAX(0,IFERROR(--LEFT(SUBSTITUTE(JO3,"x","х"),FIND("х",SUBSTITUTE(JO3,"x","х"))-1),3)-3*JU3))</calculatedColumnFormula>
    </tableColumn>
    <tableColumn id="283" xr3:uid="{2E177B4C-14C0-4980-B9B1-86E1973F7167}" name="_автомат для схемы">
      <calculatedColumnFormula>IF(CG3=1,"авто","")</calculatedColumnFormula>
    </tableColumn>
    <tableColumn id="284" xr3:uid="{92508729-AE94-4A3C-9C98-14459F28E627}" name="_мА для схемы">
      <calculatedColumnFormula>IF(CG3=1,IF(N(DA3)&gt;0,DA3,""),"")</calculatedColumnFormula>
    </tableColumn>
    <tableColumn id="285" xr3:uid="{259D5407-66F7-4438-B539-60D7A6AB20FD}" name="_дифзащита гр. (0/1)">
      <calculatedColumnFormula>IF(CG3=1,IF(N(DA3)&gt;0,1,0),"")</calculatedColumnFormula>
    </tableColumn>
    <tableColumn id="286" xr3:uid="{AB33398C-A00E-4BBB-8813-B22BA9D6292B}" name="_видна">
      <calculatedColumnFormula>SUBTOTAL(103,A3)</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404F1D-BF64-4A8D-BAB9-2BE3ED08AD4D}" name="Коды" displayName="Коды" ref="A3:V96" totalsRowShown="0" headerRowDxfId="150">
  <autoFilter ref="A3:V96" xr:uid="{69404F1D-BF64-4A8D-BAB9-2BE3ED08AD4D}"/>
  <tableColumns count="22">
    <tableColumn id="1" xr3:uid="{42D859FF-DCFF-46D1-830F-AE443C99B15D}" name="Код"/>
    <tableColumn id="2" xr3:uid="{81C06161-6223-4287-84B5-08E263EAF227}" name="Наименование"/>
    <tableColumn id="3" xr3:uid="{677BF171-4265-4AF2-82A3-23901961DE7C}" name="Опуск, м"/>
    <tableColumn id="4" xr3:uid="{635ECFA0-B235-4582-BB31-D36D2D16D813}" name="1 - этаж/2 - шлейф"/>
    <tableColumn id="5" xr3:uid="{0ED549E1-118E-4901-AB8C-806AA89E6F7D}" name="Пуск: 1 нет/2 двигатель/3 свет"/>
    <tableColumn id="6" xr3:uid="{D8A0BD9C-5CEE-4780-9C16-61ADC138B088}" name="Марка кабеля"/>
    <tableColumn id="7" xr3:uid="{2DE17D3D-6F8D-4C2D-8E57-EF8AE87245F7}" name="Жил"/>
    <tableColumn id="8" xr3:uid="{65CDBED9-64F0-4C21-8861-703AA11350A8}" name="Напряжение"/>
    <tableColumn id="9" xr3:uid="{C84427B9-0D14-4CF5-BCF2-6FA3F3B718A2}" name="Фаз"/>
    <tableColumn id="10" xr3:uid="{28C653BB-A2B0-4BD8-A09D-07B57E589B09}" name="Сечение"/>
    <tableColumn id="11" xr3:uid="{5C0B4BE9-9156-4CEC-B6B5-ADB6F23E0367}" name="Вид нагрузки"/>
    <tableColumn id="12" xr3:uid="{D36C5CDD-5C13-4763-B657-80D5F989B0DC}" name="Группа Кс"/>
    <tableColumn id="13" xr3:uid="{B7B23C4B-3667-4747-8DC4-2407F15BC74F}" name="Пожарная"/>
    <tableColumn id="14" xr3:uid="{3B22D9B6-530E-479B-86E2-A28A4E39E45B}" name="кВт на шт"/>
    <tableColumn id="15" xr3:uid="{ABB30C3E-D224-4451-A4DA-F37DD791C03A}" name="Характеристика (B/C/D)"/>
    <tableColumn id="16" xr3:uid="{BAA98EEE-3E71-4A5F-8F09-91F12DA87742}" name="Вид аппарата утечки"/>
    <tableColumn id="17" xr3:uid="{3459B316-C3D5-4C22-A925-C9DF0E3B3688}" name="Управление"/>
    <tableColumn id="18" xr3:uid="{50B28556-0669-45A1-A96B-84FA94D67050}" name="Аппараты"/>
    <tableColumn id="19" xr3:uid="{126AEC69-28CF-4485-995B-F7A46C8E1DA8}" name="УГО"/>
    <tableColumn id="20" xr3:uid="{95A5D938-5C2A-44AE-9CE0-497F7FA4A0AE}" name="Дифзащита, мА (да = 30)"/>
    <tableColumn id="21" xr3:uid="{000AD779-CEDE-49C9-A53C-C0989E1EB9AD}" name="Мин. автомат, А"/>
    <tableColumn id="22" xr3:uid="{75F13303-14B4-459A-8F63-30FE02720D7E}" name="3L клемм на линию"/>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ECBCAE1-44EF-4D52-92D3-962E05858561}" name="Этажи" displayName="Этажи" ref="Y3:AB9" totalsRowShown="0" headerRowDxfId="149">
  <autoFilter ref="Y3:AB9" xr:uid="{1ECBCAE1-44EF-4D52-92D3-962E05858561}"/>
  <tableColumns count="4">
    <tableColumn id="1" xr3:uid="{6DBBA60C-1D06-4868-83E0-6FF59DEF32D3}" name="Этаж"/>
    <tableColumn id="2" xr3:uid="{46FF3DAE-1A10-4922-9D52-5907FB8A19F5}" name="Название этажа"/>
    <tableColumn id="3" xr3:uid="{8402CC21-E394-46E8-BBD9-D2C8E0CD9CBA}" name="Подъём, м"/>
    <tableColumn id="4" xr3:uid="{BC164BB1-A9FF-4A83-9E61-EC5F4C3222AE}" name="По другим этажам, м"/>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6AB9D2-B7CF-40E5-B356-3D5812E07C58}" name="Кабели" displayName="Кабели" ref="AD3:AF21" totalsRowShown="0" headerRowDxfId="148">
  <autoFilter ref="AD3:AF21" xr:uid="{216AB9D2-B7CF-40E5-B356-3D5812E07C58}"/>
  <tableColumns count="3">
    <tableColumn id="1" xr3:uid="{EB40CD91-0EF5-4A96-8C13-FC301392D827}" name="Обозначение"/>
    <tableColumn id="2" xr3:uid="{12F35B9A-3979-46DC-87EE-7C777144D652}" name="Кабель"/>
    <tableColumn id="3" xr3:uid="{13C4871F-214B-456A-A20E-D626F3D096BD}" name="Сечение в марке (1 да / 2 нет)"/>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F2BD136-4AC2-4C4A-8638-4384D053CA78}" name="Экспликация" displayName="Экспликация" ref="AH3:AJ4" totalsRowShown="0" headerRowDxfId="147">
  <autoFilter ref="AH3:AJ4" xr:uid="{9F2BD136-4AC2-4C4A-8638-4384D053CA78}"/>
  <tableColumns count="3">
    <tableColumn id="1" xr3:uid="{F6A6F148-0AD7-4494-A068-0085724AED3D}" name="Этаж"/>
    <tableColumn id="2" xr3:uid="{0BC5291E-612C-41AD-A58C-BCE9788FD8C7}" name="Помещение"/>
    <tableColumn id="3" xr3:uid="{EEF14C12-0994-4881-A449-553FDE9A4DA9}" name="Название"/>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C093F97-5917-4B8D-8E45-EA82AF9C2AD4}" name="Спец_вручную" displayName="Спец_вручную" ref="M2:U3" totalsRowShown="0" headerRowDxfId="95">
  <autoFilter ref="M2:U3" xr:uid="{BC093F97-5917-4B8D-8E45-EA82AF9C2AD4}"/>
  <tableColumns count="9">
    <tableColumn id="1" xr3:uid="{DDEA5BC7-A13A-4E19-85EC-2533D50095F6}" name="Щит"/>
    <tableColumn id="2" xr3:uid="{3A5561EB-B05B-4082-8AB0-6CF1F8BBD4C2}" name="Раздел (1/2)"/>
    <tableColumn id="3" xr3:uid="{62DC8318-CCF7-4383-9E7F-9FC8F3E4C7E9}" name="Наименование и техническая характеристика"/>
    <tableColumn id="4" xr3:uid="{915F65A4-0032-499A-9F1E-C60E2371E6BB}" name="Тип, марка"/>
    <tableColumn id="5" xr3:uid="{D00B2B30-4653-4302-AF58-4767EA9AD76D}" name="Код"/>
    <tableColumn id="6" xr3:uid="{BFFA0216-3BCC-4C8B-80CD-3CA710115669}" name="Завод"/>
    <tableColumn id="7" xr3:uid="{92BC64BE-A00F-469F-9663-F824160265F8}" name="Ед."/>
    <tableColumn id="8" xr3:uid="{89F5C3D7-B0A8-47E8-87CC-82A29AAB30D0}" name="Кол-во"/>
    <tableColumn id="9" xr3:uid="{A0E7F456-5019-4673-926F-14F7E163C53C}" name="Примечание"/>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472129-0460-4E45-893D-916413D22A5B}" name="Нормы_расхода" displayName="Нормы_расхода" ref="W2:AD8" totalsRowShown="0" headerRowDxfId="94">
  <autoFilter ref="W2:AD8" xr:uid="{CD472129-0460-4E45-893D-916413D22A5B}"/>
  <tableColumns count="8">
    <tableColumn id="1" xr3:uid="{5A8E0BA1-F688-4911-8CA1-3A02B257954A}" name="Наименование и техническая характеристика"/>
    <tableColumn id="2" xr3:uid="{8B89A9B3-0BC2-44B1-B130-FB83976FD0CE}" name="Тип, марка"/>
    <tableColumn id="3" xr3:uid="{DE422121-843A-4CDB-9368-CD8050093E06}" name="Код"/>
    <tableColumn id="4" xr3:uid="{28EA415A-15EF-4E00-B156-41608AC69708}" name="Завод"/>
    <tableColumn id="5" xr3:uid="{95B8D76F-E159-4BA1-BD52-C4ECCE934872}" name="Ед."/>
    <tableColumn id="6" xr3:uid="{81754EA7-5C6C-441C-AA2E-CF27846C95A7}" name="База"/>
    <tableColumn id="7" xr3:uid="{62F9AFF1-6CA6-4A13-BD80-950205641AF1}" name="На 1 м"/>
    <tableColumn id="8" xr3:uid="{21D2CA85-EA1E-414A-975A-033CBBFD7184}" name="Кратность"/>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4C4EDFF-5362-4076-9A04-996A3BB4509E}" name="Гофра_изделия" displayName="Гофра_изделия" ref="AF2:AK14" totalsRowShown="0" headerRowDxfId="93">
  <autoFilter ref="AF2:AK14" xr:uid="{C4C4EDFF-5362-4076-9A04-996A3BB4509E}"/>
  <tableColumns count="6">
    <tableColumn id="1" xr3:uid="{9FD08677-997D-4FCA-8185-1A68772F73AA}" name="Тип"/>
    <tableColumn id="2" xr3:uid="{A2778C31-ACE7-42F8-8AD0-54215701EADA}" name="Ø"/>
    <tableColumn id="3" xr3:uid="{00D07546-0B39-45AC-ACA5-B529ACA08160}" name="Наименование"/>
    <tableColumn id="4" xr3:uid="{3912DDFC-7F52-4E8A-8214-4422EE2C727E}" name="Код"/>
    <tableColumn id="5" xr3:uid="{0948BEA7-40D1-448E-BC17-0655DB87A8DB}" name="Завод"/>
    <tableColumn id="6" xr3:uid="{BB252070-E07D-43A3-B420-12A0FD97724C}" name="Бухта, м"/>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3">
    <wetp:webextensionref xmlns:r="http://schemas.openxmlformats.org/officeDocument/2006/relationships" r:id="rId2"/>
  </wetp:taskpane>
</wetp:taskpanes>
</file>

<file path=xl/webextensions/webextension1.xml><?xml version="1.0" encoding="utf-8"?>
<we:webextension xmlns:we="http://schemas.microsoft.com/office/webextensions/webextension/2010/11" id="{FC8D8BBB-A61B-4833-8A81-CF3C57B8DBE8}">
  <we:reference id="wa200010215" version="1.0.0.0" store="ru-RU" storeType="OMEX"/>
  <we:alternateReferences>
    <we:reference id="WA200010215" version="1.0.0.0" store="WA200010215"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37647E81-A4C7-4E54-8491-8428F71A8707}">
  <we:reference id="wa200011214" version="1.0.0.1" store="ru-RU" storeType="OMEX"/>
  <we:alternateReferences>
    <we:reference id="wa200011214" version="1.0.0.1" store="WA200011214" storeType="OMEX"/>
  </we:alternateReferences>
  <we:properties>
    <we:property name="grokConversationBinding" value="{&quot;responseId&quot;:&quot;1ff32469-886e-495e-8399-4d0ef0c9e676&quot;,&quot;title&quot;:&quot;Relay vs Dali управление&quot;,&quot;transport&quot;:&quot;gateway&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3.v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ctrlProp" Target="../ctrlProps/ctrlProp2.xml"/><Relationship Id="rId7"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vmlDrawing" Target="../drawings/vmlDrawing5.vml"/><Relationship Id="rId6" Type="http://schemas.openxmlformats.org/officeDocument/2006/relationships/comments" Target="../comments4.xml"/><Relationship Id="rId5" Type="http://schemas.openxmlformats.org/officeDocument/2006/relationships/table" Target="../tables/table8.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3.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33345-7DA5-4C69-B3C7-A49F2505105E}">
  <sheetPr codeName="Лист1">
    <tabColor rgb="FF00B050"/>
    <pageSetUpPr fitToPage="1"/>
  </sheetPr>
  <dimension ref="A1:D106"/>
  <sheetViews>
    <sheetView showGridLines="0" workbookViewId="0"/>
  </sheetViews>
  <sheetFormatPr defaultRowHeight="13.2" x14ac:dyDescent="0.3"/>
  <cols>
    <col min="1" max="1" width="8.77734375" style="82" customWidth="1"/>
    <col min="2" max="2" width="34.77734375" style="82" customWidth="1"/>
    <col min="3" max="3" width="80.77734375" style="82" customWidth="1"/>
    <col min="4" max="4" width="24.77734375" style="82" customWidth="1"/>
    <col min="5" max="16384" width="8.88671875" style="82"/>
  </cols>
  <sheetData>
    <row r="1" spans="1:4" ht="24" customHeight="1" x14ac:dyDescent="0.3">
      <c r="A1" s="83" t="s">
        <v>2140</v>
      </c>
    </row>
    <row r="2" spans="1:4" ht="13.5" customHeight="1" x14ac:dyDescent="0.3">
      <c r="A2" s="93" t="s">
        <v>2141</v>
      </c>
      <c r="B2" s="93"/>
      <c r="C2" s="93"/>
      <c r="D2" s="93"/>
    </row>
    <row r="3" spans="1:4" ht="13.5" customHeight="1" x14ac:dyDescent="0.3">
      <c r="A3" s="94" t="s">
        <v>2142</v>
      </c>
      <c r="B3" s="94"/>
      <c r="C3" s="94"/>
      <c r="D3" s="94"/>
    </row>
    <row r="5" spans="1:4" ht="15.6" x14ac:dyDescent="0.3">
      <c r="A5" s="86" t="s">
        <v>2143</v>
      </c>
      <c r="B5" s="85"/>
      <c r="C5" s="85"/>
      <c r="D5" s="85"/>
    </row>
    <row r="6" spans="1:4" x14ac:dyDescent="0.3">
      <c r="B6" s="87" t="s">
        <v>2144</v>
      </c>
      <c r="C6" s="87" t="s">
        <v>2145</v>
      </c>
      <c r="D6" s="88"/>
    </row>
    <row r="7" spans="1:4" ht="27" customHeight="1" x14ac:dyDescent="0.3">
      <c r="B7" s="89" t="s">
        <v>2146</v>
      </c>
      <c r="C7" s="89" t="s">
        <v>2147</v>
      </c>
      <c r="D7" s="90"/>
    </row>
    <row r="8" spans="1:4" ht="13.5" customHeight="1" x14ac:dyDescent="0.3">
      <c r="B8" s="89" t="s">
        <v>2148</v>
      </c>
      <c r="C8" s="89" t="s">
        <v>2149</v>
      </c>
      <c r="D8" s="90"/>
    </row>
    <row r="9" spans="1:4" ht="13.5" customHeight="1" x14ac:dyDescent="0.3">
      <c r="B9" s="89" t="s">
        <v>2150</v>
      </c>
      <c r="C9" s="89" t="s">
        <v>2151</v>
      </c>
      <c r="D9" s="90"/>
    </row>
    <row r="10" spans="1:4" ht="13.5" customHeight="1" x14ac:dyDescent="0.3">
      <c r="B10" s="89" t="s">
        <v>2152</v>
      </c>
      <c r="C10" s="89" t="s">
        <v>2153</v>
      </c>
      <c r="D10" s="90"/>
    </row>
    <row r="11" spans="1:4" ht="13.5" customHeight="1" x14ac:dyDescent="0.3">
      <c r="B11" s="89" t="s">
        <v>2154</v>
      </c>
      <c r="C11" s="89" t="s">
        <v>2155</v>
      </c>
      <c r="D11" s="90"/>
    </row>
    <row r="12" spans="1:4" ht="13.5" customHeight="1" x14ac:dyDescent="0.3">
      <c r="B12" s="89" t="s">
        <v>2156</v>
      </c>
      <c r="C12" s="89" t="s">
        <v>2157</v>
      </c>
      <c r="D12" s="90"/>
    </row>
    <row r="14" spans="1:4" ht="15.6" x14ac:dyDescent="0.3">
      <c r="A14" s="86" t="s">
        <v>2158</v>
      </c>
      <c r="B14" s="85"/>
      <c r="C14" s="85"/>
      <c r="D14" s="85"/>
    </row>
    <row r="15" spans="1:4" x14ac:dyDescent="0.3">
      <c r="B15" s="87" t="s">
        <v>869</v>
      </c>
      <c r="C15" s="87" t="s">
        <v>2159</v>
      </c>
      <c r="D15" s="88"/>
    </row>
    <row r="16" spans="1:4" ht="13.5" customHeight="1" x14ac:dyDescent="0.3">
      <c r="B16" s="89" t="s">
        <v>873</v>
      </c>
      <c r="C16" s="89" t="s">
        <v>2160</v>
      </c>
      <c r="D16" s="90"/>
    </row>
    <row r="17" spans="1:4" ht="27" customHeight="1" x14ac:dyDescent="0.3">
      <c r="B17" s="89" t="s">
        <v>2161</v>
      </c>
      <c r="C17" s="89" t="s">
        <v>2162</v>
      </c>
      <c r="D17" s="90"/>
    </row>
    <row r="18" spans="1:4" ht="13.5" customHeight="1" x14ac:dyDescent="0.3">
      <c r="B18" s="89" t="s">
        <v>2163</v>
      </c>
      <c r="C18" s="89" t="s">
        <v>2164</v>
      </c>
      <c r="D18" s="90"/>
    </row>
    <row r="19" spans="1:4" ht="27" customHeight="1" x14ac:dyDescent="0.3">
      <c r="B19" s="89" t="s">
        <v>2165</v>
      </c>
      <c r="C19" s="89" t="s">
        <v>2166</v>
      </c>
      <c r="D19" s="90"/>
    </row>
    <row r="20" spans="1:4" ht="13.5" customHeight="1" x14ac:dyDescent="0.3">
      <c r="B20" s="89" t="s">
        <v>854</v>
      </c>
      <c r="C20" s="89" t="s">
        <v>2167</v>
      </c>
      <c r="D20" s="90"/>
    </row>
    <row r="21" spans="1:4" ht="13.5" customHeight="1" x14ac:dyDescent="0.3">
      <c r="B21" s="89" t="s">
        <v>4</v>
      </c>
      <c r="C21" s="89" t="s">
        <v>2168</v>
      </c>
      <c r="D21" s="90"/>
    </row>
    <row r="22" spans="1:4" ht="13.5" customHeight="1" x14ac:dyDescent="0.3">
      <c r="B22" s="89" t="s">
        <v>2169</v>
      </c>
      <c r="C22" s="89" t="s">
        <v>2170</v>
      </c>
      <c r="D22" s="90"/>
    </row>
    <row r="23" spans="1:4" ht="13.5" customHeight="1" x14ac:dyDescent="0.3">
      <c r="B23" s="89" t="s">
        <v>870</v>
      </c>
      <c r="C23" s="89" t="s">
        <v>2171</v>
      </c>
      <c r="D23" s="90"/>
    </row>
    <row r="24" spans="1:4" ht="27" customHeight="1" x14ac:dyDescent="0.3">
      <c r="B24" s="89" t="s">
        <v>2172</v>
      </c>
      <c r="C24" s="89" t="s">
        <v>2173</v>
      </c>
      <c r="D24" s="90"/>
    </row>
    <row r="25" spans="1:4" ht="13.5" customHeight="1" x14ac:dyDescent="0.3">
      <c r="B25" s="89" t="s">
        <v>2174</v>
      </c>
      <c r="C25" s="89" t="s">
        <v>2175</v>
      </c>
      <c r="D25" s="90"/>
    </row>
    <row r="26" spans="1:4" ht="27" customHeight="1" x14ac:dyDescent="0.3">
      <c r="B26" s="89" t="s">
        <v>2176</v>
      </c>
      <c r="C26" s="89" t="s">
        <v>2177</v>
      </c>
      <c r="D26" s="90"/>
    </row>
    <row r="27" spans="1:4" ht="27" customHeight="1" x14ac:dyDescent="0.3">
      <c r="B27" s="89" t="s">
        <v>2178</v>
      </c>
      <c r="C27" s="89" t="s">
        <v>2179</v>
      </c>
      <c r="D27" s="90"/>
    </row>
    <row r="29" spans="1:4" ht="15.6" x14ac:dyDescent="0.3">
      <c r="A29" s="86" t="s">
        <v>2180</v>
      </c>
      <c r="B29" s="85"/>
      <c r="C29" s="85"/>
      <c r="D29" s="85"/>
    </row>
    <row r="30" spans="1:4" ht="13.5" customHeight="1" x14ac:dyDescent="0.3">
      <c r="A30" s="91" t="s">
        <v>34</v>
      </c>
      <c r="B30" s="93" t="s">
        <v>2181</v>
      </c>
      <c r="C30" s="93"/>
      <c r="D30" s="92" t="s">
        <v>2182</v>
      </c>
    </row>
    <row r="31" spans="1:4" ht="27" customHeight="1" x14ac:dyDescent="0.3">
      <c r="A31" s="91" t="s">
        <v>35</v>
      </c>
      <c r="B31" s="93" t="s">
        <v>2183</v>
      </c>
      <c r="C31" s="93"/>
      <c r="D31" s="92" t="s">
        <v>2184</v>
      </c>
    </row>
    <row r="32" spans="1:4" ht="27" customHeight="1" x14ac:dyDescent="0.3">
      <c r="A32" s="91" t="s">
        <v>36</v>
      </c>
      <c r="B32" s="93" t="s">
        <v>2185</v>
      </c>
      <c r="C32" s="93"/>
    </row>
    <row r="33" spans="1:4" ht="27" customHeight="1" x14ac:dyDescent="0.3">
      <c r="A33" s="91" t="s">
        <v>859</v>
      </c>
      <c r="B33" s="93" t="s">
        <v>2186</v>
      </c>
      <c r="C33" s="93"/>
      <c r="D33" s="92" t="s">
        <v>2187</v>
      </c>
    </row>
    <row r="34" spans="1:4" ht="13.5" customHeight="1" x14ac:dyDescent="0.3">
      <c r="A34" s="91" t="s">
        <v>298</v>
      </c>
      <c r="B34" s="93" t="s">
        <v>2188</v>
      </c>
      <c r="C34" s="93"/>
      <c r="D34" s="92" t="s">
        <v>2189</v>
      </c>
    </row>
    <row r="35" spans="1:4" ht="13.5" customHeight="1" x14ac:dyDescent="0.3">
      <c r="A35" s="91" t="s">
        <v>860</v>
      </c>
      <c r="B35" s="93" t="s">
        <v>2190</v>
      </c>
      <c r="C35" s="93"/>
      <c r="D35" s="92" t="s">
        <v>2191</v>
      </c>
    </row>
    <row r="36" spans="1:4" ht="13.5" customHeight="1" x14ac:dyDescent="0.3">
      <c r="A36" s="91" t="s">
        <v>861</v>
      </c>
      <c r="B36" s="93" t="s">
        <v>2192</v>
      </c>
      <c r="C36" s="93"/>
    </row>
    <row r="37" spans="1:4" ht="27" customHeight="1" x14ac:dyDescent="0.3">
      <c r="A37" s="91" t="s">
        <v>862</v>
      </c>
      <c r="B37" s="93" t="s">
        <v>2193</v>
      </c>
      <c r="C37" s="93"/>
      <c r="D37" s="92" t="s">
        <v>2194</v>
      </c>
    </row>
    <row r="38" spans="1:4" ht="27" customHeight="1" x14ac:dyDescent="0.3">
      <c r="A38" s="91" t="s">
        <v>863</v>
      </c>
      <c r="B38" s="93" t="s">
        <v>2195</v>
      </c>
      <c r="C38" s="93"/>
      <c r="D38" s="92" t="s">
        <v>2196</v>
      </c>
    </row>
    <row r="39" spans="1:4" ht="27" customHeight="1" x14ac:dyDescent="0.3">
      <c r="A39" s="91" t="s">
        <v>864</v>
      </c>
      <c r="B39" s="93" t="s">
        <v>2197</v>
      </c>
      <c r="C39" s="93"/>
      <c r="D39" s="92" t="s">
        <v>2198</v>
      </c>
    </row>
    <row r="41" spans="1:4" ht="15.6" x14ac:dyDescent="0.3">
      <c r="A41" s="86" t="s">
        <v>2199</v>
      </c>
      <c r="B41" s="85"/>
      <c r="C41" s="85"/>
      <c r="D41" s="85"/>
    </row>
    <row r="42" spans="1:4" x14ac:dyDescent="0.3">
      <c r="B42" s="87" t="s">
        <v>1876</v>
      </c>
      <c r="C42" s="87" t="s">
        <v>2200</v>
      </c>
      <c r="D42" s="88"/>
    </row>
    <row r="43" spans="1:4" ht="13.5" customHeight="1" x14ac:dyDescent="0.3">
      <c r="B43" s="89" t="s">
        <v>4</v>
      </c>
      <c r="C43" s="89" t="s">
        <v>2201</v>
      </c>
      <c r="D43" s="90"/>
    </row>
    <row r="44" spans="1:4" ht="27" customHeight="1" x14ac:dyDescent="0.3">
      <c r="B44" s="89" t="s">
        <v>0</v>
      </c>
      <c r="C44" s="89" t="s">
        <v>2202</v>
      </c>
      <c r="D44" s="90"/>
    </row>
    <row r="45" spans="1:4" ht="13.5" customHeight="1" x14ac:dyDescent="0.3">
      <c r="B45" s="89" t="s">
        <v>6</v>
      </c>
      <c r="C45" s="89" t="s">
        <v>2203</v>
      </c>
      <c r="D45" s="90"/>
    </row>
    <row r="46" spans="1:4" ht="13.5" customHeight="1" x14ac:dyDescent="0.3">
      <c r="B46" s="89" t="s">
        <v>2204</v>
      </c>
      <c r="C46" s="89" t="s">
        <v>2205</v>
      </c>
      <c r="D46" s="90"/>
    </row>
    <row r="47" spans="1:4" ht="27" customHeight="1" x14ac:dyDescent="0.3">
      <c r="B47" s="89" t="s">
        <v>437</v>
      </c>
      <c r="C47" s="89" t="s">
        <v>2206</v>
      </c>
      <c r="D47" s="90"/>
    </row>
    <row r="48" spans="1:4" ht="27" customHeight="1" x14ac:dyDescent="0.3">
      <c r="B48" s="89" t="s">
        <v>858</v>
      </c>
      <c r="C48" s="89" t="s">
        <v>2207</v>
      </c>
      <c r="D48" s="90"/>
    </row>
    <row r="49" spans="1:4" ht="27" customHeight="1" x14ac:dyDescent="0.3">
      <c r="B49" s="89" t="s">
        <v>7</v>
      </c>
      <c r="C49" s="89" t="s">
        <v>2208</v>
      </c>
      <c r="D49" s="90"/>
    </row>
    <row r="50" spans="1:4" ht="27" customHeight="1" x14ac:dyDescent="0.3">
      <c r="B50" s="89" t="s">
        <v>898</v>
      </c>
      <c r="C50" s="89" t="s">
        <v>2209</v>
      </c>
      <c r="D50" s="90"/>
    </row>
    <row r="51" spans="1:4" ht="27" customHeight="1" x14ac:dyDescent="0.3">
      <c r="B51" s="89" t="s">
        <v>915</v>
      </c>
      <c r="C51" s="89" t="s">
        <v>2210</v>
      </c>
      <c r="D51" s="90"/>
    </row>
    <row r="52" spans="1:4" ht="13.5" customHeight="1" x14ac:dyDescent="0.3">
      <c r="B52" s="89" t="s">
        <v>543</v>
      </c>
      <c r="C52" s="89" t="s">
        <v>2211</v>
      </c>
      <c r="D52" s="90"/>
    </row>
    <row r="53" spans="1:4" ht="13.5" customHeight="1" x14ac:dyDescent="0.3">
      <c r="B53" s="89" t="s">
        <v>38</v>
      </c>
      <c r="C53" s="89" t="s">
        <v>2212</v>
      </c>
      <c r="D53" s="90"/>
    </row>
    <row r="54" spans="1:4" ht="13.5" customHeight="1" x14ac:dyDescent="0.3">
      <c r="B54" s="89" t="s">
        <v>439</v>
      </c>
      <c r="C54" s="89" t="s">
        <v>2213</v>
      </c>
      <c r="D54" s="90"/>
    </row>
    <row r="55" spans="1:4" ht="13.5" customHeight="1" x14ac:dyDescent="0.3">
      <c r="B55" s="89" t="s">
        <v>435</v>
      </c>
      <c r="C55" s="89" t="s">
        <v>2214</v>
      </c>
      <c r="D55" s="90"/>
    </row>
    <row r="56" spans="1:4" ht="27" customHeight="1" x14ac:dyDescent="0.3">
      <c r="B56" s="89" t="s">
        <v>2215</v>
      </c>
      <c r="C56" s="89" t="s">
        <v>2216</v>
      </c>
      <c r="D56" s="90"/>
    </row>
    <row r="58" spans="1:4" ht="15.6" x14ac:dyDescent="0.3">
      <c r="A58" s="86" t="s">
        <v>2217</v>
      </c>
      <c r="B58" s="85"/>
      <c r="C58" s="85"/>
      <c r="D58" s="85"/>
    </row>
    <row r="59" spans="1:4" ht="13.5" customHeight="1" x14ac:dyDescent="0.3">
      <c r="A59" s="93" t="s">
        <v>2218</v>
      </c>
      <c r="B59" s="93"/>
      <c r="C59" s="93"/>
      <c r="D59" s="93"/>
    </row>
    <row r="60" spans="1:4" ht="13.5" customHeight="1" x14ac:dyDescent="0.3">
      <c r="A60" s="93" t="s">
        <v>2219</v>
      </c>
      <c r="B60" s="93"/>
      <c r="C60" s="93"/>
      <c r="D60" s="93"/>
    </row>
    <row r="62" spans="1:4" ht="15.6" x14ac:dyDescent="0.3">
      <c r="A62" s="86" t="s">
        <v>2220</v>
      </c>
      <c r="B62" s="85"/>
      <c r="C62" s="85"/>
      <c r="D62" s="85"/>
    </row>
    <row r="63" spans="1:4" ht="13.5" customHeight="1" x14ac:dyDescent="0.3">
      <c r="A63" s="93" t="s">
        <v>2221</v>
      </c>
      <c r="B63" s="93"/>
      <c r="C63" s="93"/>
      <c r="D63" s="93"/>
    </row>
    <row r="64" spans="1:4" ht="27" customHeight="1" x14ac:dyDescent="0.3">
      <c r="B64" s="89" t="s">
        <v>2222</v>
      </c>
      <c r="C64" s="89" t="s">
        <v>2223</v>
      </c>
      <c r="D64" s="90"/>
    </row>
    <row r="65" spans="1:4" ht="27" customHeight="1" x14ac:dyDescent="0.3">
      <c r="B65" s="89" t="s">
        <v>2224</v>
      </c>
      <c r="C65" s="89" t="s">
        <v>2225</v>
      </c>
      <c r="D65" s="90"/>
    </row>
    <row r="67" spans="1:4" ht="15.6" x14ac:dyDescent="0.3">
      <c r="A67" s="86" t="s">
        <v>2226</v>
      </c>
      <c r="B67" s="85"/>
      <c r="C67" s="85"/>
      <c r="D67" s="85"/>
    </row>
    <row r="68" spans="1:4" ht="54" customHeight="1" x14ac:dyDescent="0.3">
      <c r="B68" s="89" t="s">
        <v>2227</v>
      </c>
      <c r="C68" s="89" t="s">
        <v>2228</v>
      </c>
      <c r="D68" s="90"/>
    </row>
    <row r="69" spans="1:4" ht="54" customHeight="1" x14ac:dyDescent="0.3">
      <c r="B69" s="89" t="s">
        <v>871</v>
      </c>
      <c r="C69" s="89" t="s">
        <v>2229</v>
      </c>
      <c r="D69" s="90"/>
    </row>
    <row r="70" spans="1:4" ht="40.5" customHeight="1" x14ac:dyDescent="0.3">
      <c r="B70" s="89" t="s">
        <v>2230</v>
      </c>
      <c r="C70" s="89" t="s">
        <v>2231</v>
      </c>
      <c r="D70" s="90"/>
    </row>
    <row r="71" spans="1:4" ht="40.5" customHeight="1" x14ac:dyDescent="0.3">
      <c r="B71" s="89" t="s">
        <v>2232</v>
      </c>
      <c r="C71" s="89" t="s">
        <v>2233</v>
      </c>
      <c r="D71" s="90"/>
    </row>
    <row r="73" spans="1:4" ht="15.6" x14ac:dyDescent="0.3">
      <c r="A73" s="86" t="s">
        <v>2234</v>
      </c>
      <c r="B73" s="85"/>
      <c r="C73" s="85"/>
      <c r="D73" s="85"/>
    </row>
    <row r="74" spans="1:4" ht="13.5" customHeight="1" x14ac:dyDescent="0.3">
      <c r="A74" s="91" t="s">
        <v>34</v>
      </c>
      <c r="B74" s="93" t="s">
        <v>2235</v>
      </c>
      <c r="C74" s="93"/>
    </row>
    <row r="75" spans="1:4" ht="13.5" customHeight="1" x14ac:dyDescent="0.3">
      <c r="A75" s="91" t="s">
        <v>35</v>
      </c>
      <c r="B75" s="93" t="s">
        <v>2236</v>
      </c>
      <c r="C75" s="93"/>
    </row>
    <row r="76" spans="1:4" ht="27" customHeight="1" x14ac:dyDescent="0.3">
      <c r="A76" s="91" t="s">
        <v>36</v>
      </c>
      <c r="B76" s="93" t="s">
        <v>2237</v>
      </c>
      <c r="C76" s="93"/>
    </row>
    <row r="77" spans="1:4" ht="27" customHeight="1" x14ac:dyDescent="0.3">
      <c r="A77" s="91" t="s">
        <v>859</v>
      </c>
      <c r="B77" s="93" t="s">
        <v>2238</v>
      </c>
      <c r="C77" s="93"/>
    </row>
    <row r="79" spans="1:4" ht="15.6" x14ac:dyDescent="0.3">
      <c r="A79" s="86" t="s">
        <v>2239</v>
      </c>
      <c r="B79" s="85"/>
      <c r="C79" s="85"/>
      <c r="D79" s="85"/>
    </row>
    <row r="80" spans="1:4" ht="67.5" customHeight="1" x14ac:dyDescent="0.3">
      <c r="B80" s="89" t="s">
        <v>2240</v>
      </c>
      <c r="C80" s="89" t="s">
        <v>2241</v>
      </c>
      <c r="D80" s="90"/>
    </row>
    <row r="81" spans="1:4" ht="54" customHeight="1" x14ac:dyDescent="0.3">
      <c r="B81" s="89" t="s">
        <v>2242</v>
      </c>
      <c r="C81" s="89" t="s">
        <v>2243</v>
      </c>
      <c r="D81" s="90"/>
    </row>
    <row r="82" spans="1:4" ht="40.5" customHeight="1" x14ac:dyDescent="0.3">
      <c r="B82" s="89" t="s">
        <v>2244</v>
      </c>
      <c r="C82" s="89" t="s">
        <v>2245</v>
      </c>
      <c r="D82" s="90"/>
    </row>
    <row r="83" spans="1:4" ht="13.5" customHeight="1" x14ac:dyDescent="0.3">
      <c r="B83" s="89" t="s">
        <v>2246</v>
      </c>
      <c r="C83" s="89" t="s">
        <v>2247</v>
      </c>
      <c r="D83" s="90"/>
    </row>
    <row r="84" spans="1:4" ht="40.5" customHeight="1" x14ac:dyDescent="0.3">
      <c r="B84" s="89" t="s">
        <v>2248</v>
      </c>
      <c r="C84" s="89" t="s">
        <v>2249</v>
      </c>
      <c r="D84" s="90"/>
    </row>
    <row r="85" spans="1:4" ht="67.5" customHeight="1" x14ac:dyDescent="0.3">
      <c r="B85" s="89" t="s">
        <v>2174</v>
      </c>
      <c r="C85" s="89" t="s">
        <v>2250</v>
      </c>
      <c r="D85" s="90"/>
    </row>
    <row r="87" spans="1:4" ht="15.6" x14ac:dyDescent="0.3">
      <c r="A87" s="86" t="s">
        <v>2251</v>
      </c>
      <c r="B87" s="85"/>
      <c r="C87" s="85"/>
      <c r="D87" s="85"/>
    </row>
    <row r="88" spans="1:4" ht="13.5" customHeight="1" x14ac:dyDescent="0.3">
      <c r="A88" s="93" t="s">
        <v>2252</v>
      </c>
      <c r="B88" s="93"/>
      <c r="C88" s="93"/>
      <c r="D88" s="93"/>
    </row>
    <row r="90" spans="1:4" ht="15.6" x14ac:dyDescent="0.3">
      <c r="A90" s="86" t="s">
        <v>2253</v>
      </c>
      <c r="B90" s="85"/>
      <c r="C90" s="85"/>
      <c r="D90" s="85"/>
    </row>
    <row r="91" spans="1:4" ht="40.5" customHeight="1" x14ac:dyDescent="0.3">
      <c r="B91" s="89" t="s">
        <v>7</v>
      </c>
      <c r="C91" s="89" t="s">
        <v>2254</v>
      </c>
      <c r="D91" s="90"/>
    </row>
    <row r="92" spans="1:4" ht="40.5" customHeight="1" x14ac:dyDescent="0.3">
      <c r="B92" s="89" t="s">
        <v>3</v>
      </c>
      <c r="C92" s="89" t="s">
        <v>2255</v>
      </c>
      <c r="D92" s="90"/>
    </row>
    <row r="93" spans="1:4" ht="40.5" customHeight="1" x14ac:dyDescent="0.3">
      <c r="B93" s="89" t="s">
        <v>439</v>
      </c>
      <c r="C93" s="89" t="s">
        <v>2256</v>
      </c>
      <c r="D93" s="90"/>
    </row>
    <row r="94" spans="1:4" ht="27" customHeight="1" x14ac:dyDescent="0.3">
      <c r="B94" s="89" t="s">
        <v>2257</v>
      </c>
      <c r="C94" s="89" t="s">
        <v>2258</v>
      </c>
      <c r="D94" s="90"/>
    </row>
    <row r="95" spans="1:4" ht="40.5" customHeight="1" x14ac:dyDescent="0.3">
      <c r="B95" s="89" t="s">
        <v>2259</v>
      </c>
      <c r="C95" s="89" t="s">
        <v>2260</v>
      </c>
      <c r="D95" s="90"/>
    </row>
    <row r="96" spans="1:4" ht="27" customHeight="1" x14ac:dyDescent="0.3">
      <c r="B96" s="89" t="s">
        <v>2261</v>
      </c>
      <c r="C96" s="89" t="s">
        <v>2262</v>
      </c>
      <c r="D96" s="90"/>
    </row>
    <row r="97" spans="1:4" ht="27" customHeight="1" x14ac:dyDescent="0.3">
      <c r="B97" s="89" t="s">
        <v>2263</v>
      </c>
      <c r="C97" s="89" t="s">
        <v>2264</v>
      </c>
      <c r="D97" s="90"/>
    </row>
    <row r="98" spans="1:4" ht="13.5" customHeight="1" x14ac:dyDescent="0.3">
      <c r="B98" s="89" t="s">
        <v>6</v>
      </c>
      <c r="C98" s="89" t="s">
        <v>2265</v>
      </c>
      <c r="D98" s="90"/>
    </row>
    <row r="99" spans="1:4" ht="13.5" customHeight="1" x14ac:dyDescent="0.3">
      <c r="A99" s="96" t="s">
        <v>2266</v>
      </c>
      <c r="B99" s="96"/>
      <c r="C99" s="96"/>
      <c r="D99" s="96"/>
    </row>
    <row r="101" spans="1:4" ht="15.6" x14ac:dyDescent="0.3">
      <c r="A101" s="86" t="s">
        <v>2267</v>
      </c>
      <c r="B101" s="85"/>
      <c r="C101" s="85"/>
      <c r="D101" s="85"/>
    </row>
    <row r="102" spans="1:4" ht="13.5" customHeight="1" x14ac:dyDescent="0.3">
      <c r="A102" s="93" t="s">
        <v>2268</v>
      </c>
      <c r="B102" s="93"/>
      <c r="C102" s="93"/>
      <c r="D102" s="93"/>
    </row>
    <row r="103" spans="1:4" ht="13.5" customHeight="1" x14ac:dyDescent="0.3">
      <c r="A103" s="95" t="s">
        <v>2269</v>
      </c>
      <c r="B103" s="95"/>
      <c r="C103" s="95"/>
      <c r="D103" s="95"/>
    </row>
    <row r="105" spans="1:4" ht="15.6" x14ac:dyDescent="0.3">
      <c r="A105" s="86" t="s">
        <v>2270</v>
      </c>
      <c r="B105" s="85"/>
      <c r="C105" s="85"/>
      <c r="D105" s="85"/>
    </row>
    <row r="106" spans="1:4" ht="13.5" customHeight="1" x14ac:dyDescent="0.3">
      <c r="A106" s="93" t="s">
        <v>2271</v>
      </c>
      <c r="B106" s="93"/>
      <c r="C106" s="93"/>
      <c r="D106" s="93"/>
    </row>
  </sheetData>
  <mergeCells count="24">
    <mergeCell ref="B77:C77"/>
    <mergeCell ref="A88:D88"/>
    <mergeCell ref="A99:D99"/>
    <mergeCell ref="A102:D102"/>
    <mergeCell ref="A103:D103"/>
    <mergeCell ref="A106:D106"/>
    <mergeCell ref="A59:D59"/>
    <mergeCell ref="A60:D60"/>
    <mergeCell ref="A63:D63"/>
    <mergeCell ref="B74:C74"/>
    <mergeCell ref="B75:C75"/>
    <mergeCell ref="B76:C76"/>
    <mergeCell ref="B34:C34"/>
    <mergeCell ref="B35:C35"/>
    <mergeCell ref="B36:C36"/>
    <mergeCell ref="B37:C37"/>
    <mergeCell ref="B38:C38"/>
    <mergeCell ref="B39:C39"/>
    <mergeCell ref="A2:D2"/>
    <mergeCell ref="A3:D3"/>
    <mergeCell ref="B30:C30"/>
    <mergeCell ref="B31:C31"/>
    <mergeCell ref="B32:C32"/>
    <mergeCell ref="B33:C33"/>
  </mergeCells>
  <hyperlinks>
    <hyperlink ref="D30" location="Объект!C3" display="Объект!C3" xr:uid="{8E1480E1-58B1-4CE3-83E8-01047280F8C0}"/>
    <hyperlink ref="D31" location="Щиты!A13" display="Щиты!A13" xr:uid="{3B8BFBF0-7C73-423C-B13E-64EF711AEC24}"/>
    <hyperlink ref="D33" location="Линии!B3" display="Линии!B3" xr:uid="{24AB6095-8635-45E9-A51D-EB1D75190884}"/>
    <hyperlink ref="D34" location="Проверка!A1" display="Проверка!A1" xr:uid="{4FBC1DA0-D7EC-4988-9872-9CF3F41BEDB8}"/>
    <hyperlink ref="D35" location="Щит!C3" display="Щит!C3" xr:uid="{E1D560FD-53FC-4C4C-87F0-36EB58793729}"/>
    <hyperlink ref="D37" location="Спецификация!M2" display="Спецификация!M2" xr:uid="{BEA04CB6-C03E-4A47-8C84-CFA76E0E68CA}"/>
    <hyperlink ref="D38" location="Щит!L1" display="Щит!L1" xr:uid="{5ED8D4C2-E45D-494E-9670-07E531FA4A66}"/>
    <hyperlink ref="D39" location="Изменения!B4" display="Изменения!B4" xr:uid="{24A88A93-99BA-416B-948C-220694073AF5}"/>
  </hyperlinks>
  <pageMargins left="0.7" right="0.7" top="0.75" bottom="0.75" header="0.3" footer="0.3"/>
  <pageSetup paperSize="9" fitToHeight="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0AB8A-C439-4E46-9998-180804508F7A}">
  <sheetPr codeName="Лист2">
    <tabColor rgb="FFFF0000"/>
  </sheetPr>
  <dimension ref="A1:H58"/>
  <sheetViews>
    <sheetView workbookViewId="0"/>
  </sheetViews>
  <sheetFormatPr defaultRowHeight="14.4" x14ac:dyDescent="0.3"/>
  <cols>
    <col min="1" max="1" width="12.77734375" customWidth="1"/>
    <col min="2" max="2" width="70.77734375" style="4" customWidth="1"/>
    <col min="4" max="4" width="12.77734375" customWidth="1"/>
    <col min="5" max="5" width="16.77734375" customWidth="1"/>
    <col min="6" max="6" width="40.77734375" customWidth="1"/>
    <col min="7" max="7" width="70.77734375" style="4" customWidth="1"/>
    <col min="8" max="8" width="8.77734375" customWidth="1"/>
  </cols>
  <sheetData>
    <row r="1" spans="1:8" ht="18" x14ac:dyDescent="0.35">
      <c r="A1" s="112" t="s">
        <v>1859</v>
      </c>
    </row>
    <row r="2" spans="1:8" x14ac:dyDescent="0.3">
      <c r="A2" t="str">
        <f>"Замечаний: щиты — "&amp;COUNTIF(Щиты[Замечания щита],"?*")&amp;", линии — "&amp;COUNTIF(Линии[Замечания],"?*")&amp;". Методика: "&amp;Методика</f>
        <v>Замечаний: щиты — 1, линии — 54. Методика: нормы 2026</v>
      </c>
    </row>
    <row r="4" spans="1:8" x14ac:dyDescent="0.3">
      <c r="A4" s="121" t="s">
        <v>4</v>
      </c>
      <c r="B4" s="123" t="s">
        <v>1060</v>
      </c>
      <c r="D4" s="121" t="s">
        <v>4</v>
      </c>
      <c r="E4" s="121" t="s">
        <v>0</v>
      </c>
      <c r="F4" s="121" t="s">
        <v>6</v>
      </c>
      <c r="G4" s="123" t="s">
        <v>1115</v>
      </c>
      <c r="H4" s="121" t="s">
        <v>1860</v>
      </c>
    </row>
    <row r="5" spans="1:8" ht="28.8" x14ac:dyDescent="0.3">
      <c r="A5" t="str" cm="1">
        <f t="array" ref="A5:B5">_xlfn._xlws.FILTER(_xlfn.HSTACK(Щиты[Щит],Щиты[Замечания щита]),Щиты[Замечания щита]&lt;&gt;"","замечаний нет")</f>
        <v>ГРЩ-ЖД</v>
      </c>
      <c r="B5" s="4" t="str">
        <v>нет данных сети для ТКЗ: введите Iкз от сетевой организации или трансформатор</v>
      </c>
      <c r="D5" t="str" cm="1">
        <f t="array" ref="D5:H58">_xlfn._xlws.FILTER(_xlfn.HSTACK(Линии[Щит],Линии[Номер линии],Линии[Наименование (итог)],Линии[Замечания],HYPERLINK("#'Линии'!B"&amp;(Линии[_n]+2),"→")),Линии[Замечания]&lt;&gt;"","замечаний нет")</f>
        <v>ГРЩ-ЖД</v>
      </c>
      <c r="E5" t="str">
        <v>ЩСПЗ-ЖД.2</v>
      </c>
      <c r="F5" t="str">
        <v>Щит системы противопожарной защиты Цокольный этаж этаж Пом. №001Т Ввод.2</v>
      </c>
      <c r="G5" s="4" t="str">
        <v>нет мощности</v>
      </c>
      <c r="H5" t="str">
        <v>→</v>
      </c>
    </row>
    <row r="6" spans="1:8" ht="28.8" x14ac:dyDescent="0.3">
      <c r="D6" t="str">
        <v>ГРЩ-ЖД</v>
      </c>
      <c r="E6" t="str">
        <v>ЩО-2</v>
      </c>
      <c r="F6" t="str">
        <v>Щит освещения ЩО-2 Тех. этаж этаж Пом. №3.001</v>
      </c>
      <c r="G6" s="4" t="str">
        <v>нет мощности</v>
      </c>
      <c r="H6" t="str">
        <v>→</v>
      </c>
    </row>
    <row r="7" spans="1:8" ht="28.8" x14ac:dyDescent="0.3">
      <c r="D7" t="str">
        <v>ГРЩ-ЖД</v>
      </c>
      <c r="E7" t="str">
        <v>РЩ-1</v>
      </c>
      <c r="F7" t="str">
        <v>Щит Хаммам РЩ-1  Подвальный этаж этаж Пом. №00.001Тб</v>
      </c>
      <c r="G7" s="4" t="str">
        <v>ПЕРЕГРУЗ</v>
      </c>
      <c r="H7" t="str">
        <v>→</v>
      </c>
    </row>
    <row r="8" spans="1:8" ht="28.8" x14ac:dyDescent="0.3">
      <c r="D8" t="str">
        <v>ГРЩ-ЖД</v>
      </c>
      <c r="E8" t="str">
        <v>Э.4</v>
      </c>
      <c r="F8" t="str">
        <v>Флоатинг. Цокольный этаж этаж Пом. №023A</v>
      </c>
      <c r="G8" s="4" t="str">
        <v>ПЕРЕГРУЗ; потери 4,5 % &gt; 4 %</v>
      </c>
      <c r="H8" t="str">
        <v>→</v>
      </c>
    </row>
    <row r="9" spans="1:8" ht="28.8" x14ac:dyDescent="0.3">
      <c r="D9" t="str">
        <v>ГРЩ-ЖД</v>
      </c>
      <c r="E9" t="str">
        <v>ЩГП</v>
      </c>
      <c r="F9" t="str">
        <v>Щит ЩГП</v>
      </c>
      <c r="G9" s="4" t="str">
        <v>не на схеме</v>
      </c>
      <c r="H9" t="str">
        <v>→</v>
      </c>
    </row>
    <row r="10" spans="1:8" ht="28.8" x14ac:dyDescent="0.3">
      <c r="D10" t="str">
        <v>ЩГП</v>
      </c>
      <c r="E10" t="str">
        <v>ЩО-01</v>
      </c>
      <c r="F10" t="str">
        <v>Щит освещения ЩО-2 Цокольный этаж этаж Пом. №001Т</v>
      </c>
      <c r="G10" s="4" t="str">
        <v>нет мощности</v>
      </c>
      <c r="H10" t="str">
        <v>→</v>
      </c>
    </row>
    <row r="11" spans="1:8" ht="28.8" x14ac:dyDescent="0.3">
      <c r="D11" t="str">
        <v>ЩО-001</v>
      </c>
      <c r="E11" t="str">
        <v>L.00.001T.1</v>
      </c>
      <c r="F11" t="str">
        <v>Осветительная группа, пом. 001T</v>
      </c>
      <c r="G11" s="4" t="str">
        <v>не на схеме</v>
      </c>
      <c r="H11" t="str">
        <v>→</v>
      </c>
    </row>
    <row r="12" spans="1:8" ht="28.8" x14ac:dyDescent="0.3">
      <c r="D12" t="str">
        <v>ЩО-001</v>
      </c>
      <c r="E12" t="str">
        <v>L.00.001Б.2</v>
      </c>
      <c r="F12" t="str">
        <v>Осветительная группа, пом. 001Б</v>
      </c>
      <c r="G12" s="4" t="str">
        <v>не на схеме</v>
      </c>
      <c r="H12" t="str">
        <v>→</v>
      </c>
    </row>
    <row r="13" spans="1:8" ht="28.8" x14ac:dyDescent="0.3">
      <c r="D13" t="str">
        <v>ЩО-001</v>
      </c>
      <c r="E13" t="str">
        <v>L.00.001Б.3</v>
      </c>
      <c r="F13" t="str">
        <v>Осветительная группа, пом. 001Б</v>
      </c>
      <c r="G13" s="4" t="str">
        <v>не на схеме</v>
      </c>
      <c r="H13" t="str">
        <v>→</v>
      </c>
    </row>
    <row r="14" spans="1:8" ht="28.8" x14ac:dyDescent="0.3">
      <c r="D14" t="str">
        <v>ЩО-001</v>
      </c>
      <c r="E14" t="str">
        <v>L.00.001Т.1</v>
      </c>
      <c r="F14" t="str">
        <v>Осветительная группа, пом. 001Т</v>
      </c>
      <c r="G14" s="4" t="str">
        <v>не на схеме</v>
      </c>
      <c r="H14" t="str">
        <v>→</v>
      </c>
    </row>
    <row r="15" spans="1:8" ht="28.8" x14ac:dyDescent="0.3">
      <c r="D15" t="str">
        <v>ЩО-001</v>
      </c>
      <c r="E15" t="str">
        <v>L.00.002Б.1</v>
      </c>
      <c r="F15" t="str">
        <v>Осветительная группа, пом. 002Б</v>
      </c>
      <c r="G15" s="4" t="str">
        <v>не на схеме</v>
      </c>
      <c r="H15" t="str">
        <v>→</v>
      </c>
    </row>
    <row r="16" spans="1:8" ht="28.8" x14ac:dyDescent="0.3">
      <c r="D16" t="str">
        <v>ЩО-001</v>
      </c>
      <c r="E16" t="str">
        <v>L.00.002Т.1</v>
      </c>
      <c r="F16" t="str">
        <v>Осветительная группа, пом. 002Т</v>
      </c>
      <c r="G16" s="4" t="str">
        <v>не на схеме</v>
      </c>
      <c r="H16" t="str">
        <v>→</v>
      </c>
    </row>
    <row r="17" spans="4:8" ht="28.8" x14ac:dyDescent="0.3">
      <c r="D17" t="str">
        <v>ЩО-001</v>
      </c>
      <c r="E17" t="str">
        <v>L.00.003Б.1</v>
      </c>
      <c r="F17" t="str">
        <v>Осветительная группа, пом. 003Б</v>
      </c>
      <c r="G17" s="4" t="str">
        <v>не на схеме</v>
      </c>
      <c r="H17" t="str">
        <v>→</v>
      </c>
    </row>
    <row r="18" spans="4:8" ht="28.8" x14ac:dyDescent="0.3">
      <c r="D18" t="str">
        <v>ЩО-001</v>
      </c>
      <c r="E18" t="str">
        <v>L.00.003Tб.1</v>
      </c>
      <c r="F18" t="str">
        <v>Осветительная группа, пом. 003Tб</v>
      </c>
      <c r="G18" s="4" t="str">
        <v>не на схеме</v>
      </c>
      <c r="H18" t="str">
        <v>→</v>
      </c>
    </row>
    <row r="19" spans="4:8" ht="28.8" x14ac:dyDescent="0.3">
      <c r="D19" t="str">
        <v>ЩО-001</v>
      </c>
      <c r="E19" t="str">
        <v>L.00.004Б.1</v>
      </c>
      <c r="F19" t="str">
        <v>Осветительная группа, пом. 004Б</v>
      </c>
      <c r="G19" s="4" t="str">
        <v>не на схеме</v>
      </c>
      <c r="H19" t="str">
        <v>→</v>
      </c>
    </row>
    <row r="20" spans="4:8" ht="28.8" x14ac:dyDescent="0.3">
      <c r="D20" t="str">
        <v>ЩО-001</v>
      </c>
      <c r="E20" t="str">
        <v>L.00.004Т.1</v>
      </c>
      <c r="F20" t="str">
        <v>Осветительная группа, пом. 004Т</v>
      </c>
      <c r="G20" s="4" t="str">
        <v>не на схеме</v>
      </c>
      <c r="H20" t="str">
        <v>→</v>
      </c>
    </row>
    <row r="21" spans="4:8" ht="28.8" x14ac:dyDescent="0.3">
      <c r="D21" t="str">
        <v>ЩО-001</v>
      </c>
      <c r="E21" t="str">
        <v>L.00.005Б.1</v>
      </c>
      <c r="F21" t="str">
        <v>Осветительная группа, пом. 005Б</v>
      </c>
      <c r="G21" s="4" t="str">
        <v>не на схеме</v>
      </c>
      <c r="H21" t="str">
        <v>→</v>
      </c>
    </row>
    <row r="22" spans="4:8" x14ac:dyDescent="0.3">
      <c r="D22" t="str">
        <v>ЩО-001</v>
      </c>
      <c r="E22" t="str">
        <v>L.00.005Т.1</v>
      </c>
      <c r="F22" t="str">
        <v>Осветительная группа, пом. 005Т</v>
      </c>
      <c r="G22" s="4" t="str">
        <v>не на схеме</v>
      </c>
      <c r="H22" t="str">
        <v>→</v>
      </c>
    </row>
    <row r="23" spans="4:8" x14ac:dyDescent="0.3">
      <c r="D23" t="str">
        <v>ЩО-001</v>
      </c>
      <c r="E23" t="str">
        <v>L.00.006Б.1</v>
      </c>
      <c r="F23" t="str">
        <v>Осветительная группа, пом. 006Б</v>
      </c>
      <c r="G23" s="4" t="str">
        <v>не на схеме</v>
      </c>
      <c r="H23" t="str">
        <v>→</v>
      </c>
    </row>
    <row r="24" spans="4:8" x14ac:dyDescent="0.3">
      <c r="D24" t="str">
        <v>ЩО-001</v>
      </c>
      <c r="E24" t="str">
        <v>L.00.006Т.1</v>
      </c>
      <c r="F24" t="str">
        <v>Осветительная группа, пом. 006Т</v>
      </c>
      <c r="G24" s="4" t="str">
        <v>не на схеме</v>
      </c>
      <c r="H24" t="str">
        <v>→</v>
      </c>
    </row>
    <row r="25" spans="4:8" x14ac:dyDescent="0.3">
      <c r="D25" t="str">
        <v>ЩО-001</v>
      </c>
      <c r="E25" t="str">
        <v>L.00.007Б.1</v>
      </c>
      <c r="F25" t="str">
        <v>Осветительная группа, пом. 007Б</v>
      </c>
      <c r="G25" s="4" t="str">
        <v>не на схеме</v>
      </c>
      <c r="H25" t="str">
        <v>→</v>
      </c>
    </row>
    <row r="26" spans="4:8" x14ac:dyDescent="0.3">
      <c r="D26" t="str">
        <v>ЩО-001</v>
      </c>
      <c r="E26" t="str">
        <v>L.00.007Т.1</v>
      </c>
      <c r="F26" t="str">
        <v>Осветительная группа, пом. 007Т</v>
      </c>
      <c r="G26" s="4" t="str">
        <v>не на схеме</v>
      </c>
      <c r="H26" t="str">
        <v>→</v>
      </c>
    </row>
    <row r="27" spans="4:8" x14ac:dyDescent="0.3">
      <c r="D27" t="str">
        <v>ЩО-001</v>
      </c>
      <c r="E27" t="str">
        <v>L.00.008T.1</v>
      </c>
      <c r="F27" t="str">
        <v>Осветительная группа, пом. 008T</v>
      </c>
      <c r="G27" s="4" t="str">
        <v>не на схеме</v>
      </c>
      <c r="H27" t="str">
        <v>→</v>
      </c>
    </row>
    <row r="28" spans="4:8" x14ac:dyDescent="0.3">
      <c r="D28" t="str">
        <v>ЩО-001</v>
      </c>
      <c r="E28" t="str">
        <v>L.00.009Б.1</v>
      </c>
      <c r="F28" t="str">
        <v>Осветительная группа, пом. 009Б</v>
      </c>
      <c r="G28" s="4" t="str">
        <v>не на схеме</v>
      </c>
      <c r="H28" t="str">
        <v>→</v>
      </c>
    </row>
    <row r="29" spans="4:8" x14ac:dyDescent="0.3">
      <c r="D29" t="str">
        <v>ЩО-001</v>
      </c>
      <c r="E29" t="str">
        <v>L.00.008Б.1</v>
      </c>
      <c r="F29" t="str">
        <v>Осветительная группа, пом. 008Б</v>
      </c>
      <c r="G29" s="4" t="str">
        <v>нет мощности; не на схеме</v>
      </c>
      <c r="H29" t="str">
        <v>→</v>
      </c>
    </row>
    <row r="30" spans="4:8" x14ac:dyDescent="0.3">
      <c r="D30" t="str">
        <v>ЩО-001</v>
      </c>
      <c r="E30" t="str">
        <v>L.00.010Б.1</v>
      </c>
      <c r="F30" t="str">
        <v>Осветительная группа, пом. 010Б</v>
      </c>
      <c r="G30" s="4" t="str">
        <v>нет мощности; не на схеме</v>
      </c>
      <c r="H30" t="str">
        <v>→</v>
      </c>
    </row>
    <row r="31" spans="4:8" x14ac:dyDescent="0.3">
      <c r="D31" t="str">
        <v>ЩО-001</v>
      </c>
      <c r="E31" t="str">
        <v>L.00.003T.1</v>
      </c>
      <c r="F31" t="str">
        <v>Осветительная группа, пом. 003T</v>
      </c>
      <c r="G31" s="4" t="str">
        <v>не на схеме</v>
      </c>
      <c r="H31" t="str">
        <v>→</v>
      </c>
    </row>
    <row r="32" spans="4:8" x14ac:dyDescent="0.3">
      <c r="D32" t="str">
        <v>ЩОВ-001</v>
      </c>
      <c r="E32" t="str">
        <v>Ввод.1</v>
      </c>
      <c r="F32" t="str">
        <v>Ввод</v>
      </c>
      <c r="G32" s="4" t="str">
        <v>КАБЕЛЬ НЕ ЗАЩИЩЁН</v>
      </c>
      <c r="H32" t="str">
        <v>→</v>
      </c>
    </row>
    <row r="33" spans="4:8" x14ac:dyDescent="0.3">
      <c r="D33" t="str">
        <v>ЩОВ-002</v>
      </c>
      <c r="E33" t="str">
        <v>ПВ.10</v>
      </c>
      <c r="F33" t="str">
        <v>Приточно-вытяжная установка Подвальный этаж Пом. №005Т</v>
      </c>
      <c r="G33" s="4" t="str">
        <v>ПЕРЕГРУЗ</v>
      </c>
      <c r="H33" t="str">
        <v>→</v>
      </c>
    </row>
    <row r="34" spans="4:8" x14ac:dyDescent="0.3">
      <c r="D34" t="str">
        <v>ЩОВ-01</v>
      </c>
      <c r="E34" t="str">
        <v>K.0.009А.1</v>
      </c>
      <c r="F34" t="str">
        <v>Внутренний блок кондиционирования цокольный этаж Пом. №0.002Т</v>
      </c>
      <c r="G34" s="4" t="str">
        <v>не на схеме</v>
      </c>
      <c r="H34" t="str">
        <v>→</v>
      </c>
    </row>
    <row r="35" spans="4:8" x14ac:dyDescent="0.3">
      <c r="D35" t="str">
        <v>ЩР-001</v>
      </c>
      <c r="E35" t="str">
        <v>R.00.001Б.1</v>
      </c>
      <c r="F35" t="str">
        <v>Розеточная группа, пом. 001Б</v>
      </c>
      <c r="G35" s="4" t="str">
        <v>потери 4,4 % &gt; 4,13 %</v>
      </c>
      <c r="H35" t="str">
        <v>→</v>
      </c>
    </row>
    <row r="36" spans="4:8" x14ac:dyDescent="0.3">
      <c r="D36" t="str">
        <v>ЩР-001</v>
      </c>
      <c r="E36" t="str">
        <v>ШТК-ЛВС.00</v>
      </c>
      <c r="F36" t="str">
        <v>Шкаф телекоммуникационный ШТК-ЛВС.00  Подвальный этаж Пом. №007Т</v>
      </c>
      <c r="G36" s="4" t="str">
        <v>потери 5,1 % &gt; 4 %</v>
      </c>
      <c r="H36" t="str">
        <v>→</v>
      </c>
    </row>
    <row r="37" spans="4:8" x14ac:dyDescent="0.3">
      <c r="D37" t="str">
        <v>ЩР-001</v>
      </c>
      <c r="E37" t="str">
        <v>ШТК-СОТ.00</v>
      </c>
      <c r="F37" t="str">
        <v>Шкаф телекоммуникационный ШТК-СОТ.00  Подвальный этаж Пом. №007Т</v>
      </c>
      <c r="G37" s="4" t="str">
        <v>потери 4,2 % &gt; 4 %</v>
      </c>
      <c r="H37" t="str">
        <v>→</v>
      </c>
    </row>
    <row r="38" spans="4:8" x14ac:dyDescent="0.3">
      <c r="D38" t="str">
        <v>ЩР-01</v>
      </c>
      <c r="E38" t="str">
        <v>R.0.008A.2</v>
      </c>
      <c r="F38" t="str">
        <v>Розеточная группа Цокольный этаж Пом. №008A Душ виши</v>
      </c>
      <c r="G38" s="4" t="str">
        <v>потери 5,2 % &gt; 4 %</v>
      </c>
      <c r="H38" t="str">
        <v>→</v>
      </c>
    </row>
    <row r="39" spans="4:8" x14ac:dyDescent="0.3">
      <c r="D39" t="str">
        <v>ЩР-01</v>
      </c>
      <c r="E39" t="str">
        <v>R.0.013Б.4</v>
      </c>
      <c r="F39" t="str">
        <v>Розеточная группа Цокольный этаж Пом. №013Б Сушильная машина</v>
      </c>
      <c r="G39" s="4" t="str">
        <v>потери 4,8 % &gt; 4 %</v>
      </c>
      <c r="H39" t="str">
        <v>→</v>
      </c>
    </row>
    <row r="40" spans="4:8" x14ac:dyDescent="0.3">
      <c r="D40" t="str">
        <v>ЩР-1</v>
      </c>
      <c r="E40" t="str">
        <v>R.1.021A.10</v>
      </c>
      <c r="F40" t="str">
        <v>Розеточная группа Первый этаж Пом. №021A ПММ</v>
      </c>
      <c r="G40" s="4" t="str">
        <v>потери 4,0 % &gt; 4 %</v>
      </c>
      <c r="H40" t="str">
        <v>→</v>
      </c>
    </row>
    <row r="41" spans="4:8" x14ac:dyDescent="0.3">
      <c r="D41" t="str">
        <v>ЩР-1</v>
      </c>
      <c r="E41" t="str">
        <v>R.1.021A.2</v>
      </c>
      <c r="F41" t="str">
        <v>Розеточная группа Первый этаж Пом. №021A Духовой шкаф</v>
      </c>
      <c r="G41" s="4" t="str">
        <v>потери 4,3 % &gt; 4 %</v>
      </c>
      <c r="H41" t="str">
        <v>→</v>
      </c>
    </row>
    <row r="42" spans="4:8" x14ac:dyDescent="0.3">
      <c r="D42" t="str">
        <v>ЩР-1</v>
      </c>
      <c r="E42" t="str">
        <v>R.1.020A.1</v>
      </c>
      <c r="F42" t="str">
        <v>Розеточная группа Первый этаж Пом. №020A Холодильник, морозильная камера</v>
      </c>
      <c r="G42" s="4" t="str">
        <v>нет мощности</v>
      </c>
      <c r="H42" t="str">
        <v>→</v>
      </c>
    </row>
    <row r="43" spans="4:8" x14ac:dyDescent="0.3">
      <c r="D43" t="str">
        <v>ЩР-2</v>
      </c>
      <c r="E43" t="str">
        <v>ШТК-ЛВС.3</v>
      </c>
      <c r="F43" t="str">
        <v>Шкаф телекоммуникационный ШТК-2  Тех. Этаж Пом №004T</v>
      </c>
      <c r="G43" s="4" t="str">
        <v>потери 5,4 % &gt; 4 %</v>
      </c>
      <c r="H43" t="str">
        <v>→</v>
      </c>
    </row>
    <row r="44" spans="4:8" x14ac:dyDescent="0.3">
      <c r="D44" t="str">
        <v>ЩС-Б</v>
      </c>
      <c r="E44" t="str">
        <v>Э.1</v>
      </c>
      <c r="F44" t="str">
        <v>Управляющий электрощит бассейна Подвальный этаж Пом. 002Тб</v>
      </c>
      <c r="G44" s="4" t="str">
        <v>ПЕРЕГРУЗ</v>
      </c>
      <c r="H44" t="str">
        <v>→</v>
      </c>
    </row>
    <row r="45" spans="4:8" x14ac:dyDescent="0.3">
      <c r="D45" t="str">
        <v>ЩС-ВК.001</v>
      </c>
      <c r="E45" t="str">
        <v>Ввод.1</v>
      </c>
      <c r="F45" t="str">
        <v>Вводной кабель шлейф 1</v>
      </c>
      <c r="G45" s="4" t="str">
        <v>потери 4,2 % &gt; 4 %</v>
      </c>
      <c r="H45" t="str">
        <v>→</v>
      </c>
    </row>
    <row r="46" spans="4:8" x14ac:dyDescent="0.3">
      <c r="D46" t="str">
        <v>ЩС-ВК.003</v>
      </c>
      <c r="E46" t="str">
        <v>Ввод.1</v>
      </c>
      <c r="F46" t="str">
        <v>Вводной кабель шлейф 1</v>
      </c>
      <c r="G46" s="4" t="str">
        <v>потери 5,2 % &gt; 4 %</v>
      </c>
      <c r="H46" t="str">
        <v>→</v>
      </c>
    </row>
    <row r="47" spans="4:8" x14ac:dyDescent="0.3">
      <c r="D47" t="str">
        <v>ЩС-ВК.003</v>
      </c>
      <c r="E47" t="str">
        <v>ЖУ.1</v>
      </c>
      <c r="F47" t="str">
        <v>Жироулавливатель Подвальный этаж Пом. №006Т</v>
      </c>
      <c r="G47" s="4" t="str">
        <v>потери 4,5 % &gt; 4 %</v>
      </c>
      <c r="H47" t="str">
        <v>→</v>
      </c>
    </row>
    <row r="48" spans="4:8" x14ac:dyDescent="0.3">
      <c r="D48" t="str">
        <v>ЩС-ВК.003</v>
      </c>
      <c r="E48" t="str">
        <v>R.00.002Б.3</v>
      </c>
      <c r="F48" t="str">
        <v>Сололифт Подвальный этаж Пом. №002Б</v>
      </c>
      <c r="G48" s="4" t="str">
        <v>потери 4,1 % &gt; 4 %</v>
      </c>
      <c r="H48" t="str">
        <v>→</v>
      </c>
    </row>
    <row r="49" spans="4:8" x14ac:dyDescent="0.3">
      <c r="D49" t="str">
        <v>ЩУОВ</v>
      </c>
      <c r="E49" t="str">
        <v>Ввод.1</v>
      </c>
      <c r="F49" t="str">
        <v>Вводной кабель шлейф 1</v>
      </c>
      <c r="G49" s="4" t="str">
        <v>потери 4,9 % &gt; 4 %</v>
      </c>
      <c r="H49" t="str">
        <v>→</v>
      </c>
    </row>
    <row r="50" spans="4:8" x14ac:dyDescent="0.3">
      <c r="D50" t="str">
        <v>ЩУОВ</v>
      </c>
      <c r="E50" t="str">
        <v>DW.1</v>
      </c>
      <c r="F50" t="str">
        <v/>
      </c>
      <c r="G50" s="4" t="str">
        <v>нет мощности</v>
      </c>
      <c r="H50" t="str">
        <v>→</v>
      </c>
    </row>
    <row r="51" spans="4:8" x14ac:dyDescent="0.3">
      <c r="D51" t="str">
        <v>ЩУОВ</v>
      </c>
      <c r="E51" t="str">
        <v>DT.1</v>
      </c>
      <c r="F51" t="str">
        <v/>
      </c>
      <c r="G51" s="4" t="str">
        <v>нет мощности</v>
      </c>
      <c r="H51" t="str">
        <v>→</v>
      </c>
    </row>
    <row r="52" spans="4:8" x14ac:dyDescent="0.3">
      <c r="D52" t="str">
        <v>ЩУОВ</v>
      </c>
      <c r="E52" t="str">
        <v>OV.2.002Г.1</v>
      </c>
      <c r="F52" t="str">
        <v/>
      </c>
      <c r="G52" s="4" t="str">
        <v>потери 7,3 % &gt; 4 %</v>
      </c>
      <c r="H52" t="str">
        <v>→</v>
      </c>
    </row>
    <row r="53" spans="4:8" x14ac:dyDescent="0.3">
      <c r="D53" t="str">
        <v>ЩУОВ</v>
      </c>
      <c r="E53" t="str">
        <v>OV.2.1.1</v>
      </c>
      <c r="F53" t="str">
        <v>Обогревл ливнестоков Кровля бассейна</v>
      </c>
      <c r="G53" s="4" t="str">
        <v>потери 6,0 % &gt; 4 %</v>
      </c>
      <c r="H53" t="str">
        <v>→</v>
      </c>
    </row>
    <row r="54" spans="4:8" x14ac:dyDescent="0.3">
      <c r="D54" t="str">
        <v>ЩУОВ</v>
      </c>
      <c r="E54" t="str">
        <v>OV.2.1.2</v>
      </c>
      <c r="F54" t="str">
        <v>Обогревл ливнестоков Второй этаж</v>
      </c>
      <c r="G54" s="4" t="str">
        <v>потери 6,1 % &gt; 4 %</v>
      </c>
      <c r="H54" t="str">
        <v>→</v>
      </c>
    </row>
    <row r="55" spans="4:8" x14ac:dyDescent="0.3">
      <c r="D55" t="str">
        <v>ЩУОВ</v>
      </c>
      <c r="E55" t="str">
        <v>OV.4.1.1</v>
      </c>
      <c r="F55" t="str">
        <v>Обогревл ливнестоков Кровля</v>
      </c>
      <c r="G55" s="4" t="str">
        <v>потери 5,1 % &gt; 4 %</v>
      </c>
      <c r="H55" t="str">
        <v>→</v>
      </c>
    </row>
    <row r="56" spans="4:8" x14ac:dyDescent="0.3">
      <c r="D56" t="str">
        <v>ЩУОВ</v>
      </c>
      <c r="E56" t="str">
        <v>OV.4.1.2</v>
      </c>
      <c r="F56" t="str">
        <v>Обогревл ливнестоков Кровля</v>
      </c>
      <c r="G56" s="4" t="str">
        <v>потери 5,6 % &gt; 4 %</v>
      </c>
      <c r="H56" t="str">
        <v>→</v>
      </c>
    </row>
    <row r="57" spans="4:8" x14ac:dyDescent="0.3">
      <c r="D57" t="str">
        <v>ЩУОВ</v>
      </c>
      <c r="E57" t="str">
        <v>OV.4.1.3</v>
      </c>
      <c r="F57" t="str">
        <v>Обогревл ливнестоков Кровля</v>
      </c>
      <c r="G57" s="4" t="str">
        <v>потери 5,9 % &gt; 4 %</v>
      </c>
      <c r="H57" t="str">
        <v>→</v>
      </c>
    </row>
    <row r="58" spans="4:8" x14ac:dyDescent="0.3">
      <c r="D58" t="str">
        <v>ЩУОВ</v>
      </c>
      <c r="E58" t="str">
        <v>OV.4.1.4</v>
      </c>
      <c r="F58" t="str">
        <v>Обогревл ливнестоков Кровля</v>
      </c>
      <c r="G58" s="4" t="str">
        <v>потери 7,3 % &gt; 4 %</v>
      </c>
      <c r="H58" t="str">
        <v>→</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SX_RepairFormulas">
                <anchor>
                  <from>
                    <xdr:col>2</xdr:col>
                    <xdr:colOff>601980</xdr:colOff>
                    <xdr:row>0</xdr:row>
                    <xdr:rowOff>45720</xdr:rowOff>
                  </from>
                  <to>
                    <xdr:col>4</xdr:col>
                    <xdr:colOff>769620</xdr:colOff>
                    <xdr:row>1</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7D87B-F7B6-4296-BDB1-2EF81CBD4B5D}">
  <sheetPr codeName="Лист3">
    <tabColor rgb="FFFFF2CC"/>
  </sheetPr>
  <dimension ref="B1:N37"/>
  <sheetViews>
    <sheetView workbookViewId="0"/>
  </sheetViews>
  <sheetFormatPr defaultRowHeight="14.4" x14ac:dyDescent="0.3"/>
  <cols>
    <col min="2" max="2" width="42.77734375" customWidth="1"/>
    <col min="3" max="3" width="22.77734375" customWidth="1"/>
    <col min="4" max="4" width="60.77734375" customWidth="1"/>
    <col min="6" max="6" width="16.77734375" customWidth="1"/>
    <col min="7" max="7" width="20.77734375" customWidth="1"/>
    <col min="9" max="9" width="14.77734375" customWidth="1"/>
    <col min="10" max="10" width="16.77734375" customWidth="1"/>
    <col min="11" max="11" width="18.77734375" customWidth="1"/>
  </cols>
  <sheetData>
    <row r="1" spans="2:11" ht="18" x14ac:dyDescent="0.35">
      <c r="B1" s="112" t="s">
        <v>872</v>
      </c>
      <c r="I1" s="36" t="s">
        <v>897</v>
      </c>
    </row>
    <row r="2" spans="2:11" x14ac:dyDescent="0.3">
      <c r="F2" s="36" t="s">
        <v>903</v>
      </c>
      <c r="G2" s="36" t="s">
        <v>904</v>
      </c>
      <c r="I2" t="s">
        <v>898</v>
      </c>
      <c r="J2" t="s">
        <v>480</v>
      </c>
      <c r="K2" t="s">
        <v>899</v>
      </c>
    </row>
    <row r="3" spans="2:11" x14ac:dyDescent="0.3">
      <c r="B3" t="s">
        <v>873</v>
      </c>
      <c r="C3" s="113"/>
      <c r="D3" t="s">
        <v>874</v>
      </c>
      <c r="F3" s="113">
        <v>1</v>
      </c>
      <c r="G3" s="113">
        <v>1</v>
      </c>
      <c r="I3" t="s">
        <v>515</v>
      </c>
      <c r="J3" t="s">
        <v>302</v>
      </c>
      <c r="K3">
        <v>1</v>
      </c>
    </row>
    <row r="4" spans="2:11" x14ac:dyDescent="0.3">
      <c r="B4" t="s">
        <v>875</v>
      </c>
      <c r="C4" s="113">
        <v>2.63E-2</v>
      </c>
      <c r="D4" t="s">
        <v>876</v>
      </c>
      <c r="F4" s="113">
        <v>2</v>
      </c>
      <c r="G4" s="113">
        <v>1</v>
      </c>
      <c r="I4" t="s">
        <v>900</v>
      </c>
      <c r="J4" t="s">
        <v>303</v>
      </c>
      <c r="K4">
        <v>1</v>
      </c>
    </row>
    <row r="5" spans="2:11" x14ac:dyDescent="0.3">
      <c r="B5" t="s">
        <v>877</v>
      </c>
      <c r="C5" s="113">
        <v>4.2000000000000003E-2</v>
      </c>
      <c r="D5" t="s">
        <v>806</v>
      </c>
      <c r="F5" s="113">
        <v>3</v>
      </c>
      <c r="G5" s="113">
        <v>0.9</v>
      </c>
      <c r="I5" t="s">
        <v>225</v>
      </c>
      <c r="J5" t="s">
        <v>305</v>
      </c>
      <c r="K5">
        <v>0</v>
      </c>
    </row>
    <row r="6" spans="2:11" x14ac:dyDescent="0.3">
      <c r="B6" t="s">
        <v>878</v>
      </c>
      <c r="C6" s="113">
        <v>1.4999999999999999E-2</v>
      </c>
      <c r="D6" t="s">
        <v>879</v>
      </c>
      <c r="F6" s="113">
        <v>5</v>
      </c>
      <c r="G6" s="113">
        <v>0.8</v>
      </c>
      <c r="I6" t="s">
        <v>901</v>
      </c>
      <c r="J6" t="s">
        <v>302</v>
      </c>
      <c r="K6">
        <v>2</v>
      </c>
    </row>
    <row r="7" spans="2:11" x14ac:dyDescent="0.3">
      <c r="B7" t="s">
        <v>880</v>
      </c>
      <c r="C7" s="113">
        <v>0.95</v>
      </c>
      <c r="D7" t="s">
        <v>881</v>
      </c>
      <c r="F7" s="113">
        <v>8</v>
      </c>
      <c r="G7" s="113">
        <v>0.75</v>
      </c>
      <c r="I7" t="s">
        <v>902</v>
      </c>
      <c r="J7" t="s">
        <v>490</v>
      </c>
      <c r="K7">
        <v>1</v>
      </c>
    </row>
    <row r="8" spans="2:11" x14ac:dyDescent="0.3">
      <c r="B8" t="s">
        <v>882</v>
      </c>
      <c r="C8" s="113" t="s">
        <v>883</v>
      </c>
      <c r="D8" t="s">
        <v>884</v>
      </c>
      <c r="F8" s="113">
        <v>10</v>
      </c>
      <c r="G8" s="113">
        <v>0.7</v>
      </c>
    </row>
    <row r="9" spans="2:11" x14ac:dyDescent="0.3">
      <c r="B9" t="s">
        <v>885</v>
      </c>
      <c r="C9" s="113">
        <v>1</v>
      </c>
      <c r="D9" t="s">
        <v>886</v>
      </c>
      <c r="F9" s="113">
        <v>15</v>
      </c>
      <c r="G9" s="113">
        <v>0.65</v>
      </c>
    </row>
    <row r="10" spans="2:11" x14ac:dyDescent="0.3">
      <c r="B10" t="s">
        <v>150</v>
      </c>
      <c r="C10" s="113" t="s">
        <v>887</v>
      </c>
      <c r="D10" t="s">
        <v>888</v>
      </c>
      <c r="F10" s="113">
        <v>20</v>
      </c>
      <c r="G10" s="113">
        <v>0.65</v>
      </c>
    </row>
    <row r="11" spans="2:11" x14ac:dyDescent="0.3">
      <c r="B11" t="s">
        <v>889</v>
      </c>
      <c r="C11" s="113" t="s">
        <v>488</v>
      </c>
      <c r="D11" t="s">
        <v>890</v>
      </c>
      <c r="F11" s="113">
        <v>30</v>
      </c>
      <c r="G11" s="113">
        <v>0.6</v>
      </c>
    </row>
    <row r="12" spans="2:11" x14ac:dyDescent="0.3">
      <c r="B12" t="s">
        <v>891</v>
      </c>
      <c r="C12" s="113" t="s">
        <v>13</v>
      </c>
      <c r="D12" t="s">
        <v>892</v>
      </c>
      <c r="F12" s="113">
        <v>50</v>
      </c>
      <c r="G12" s="113">
        <v>0.55000000000000004</v>
      </c>
    </row>
    <row r="13" spans="2:11" x14ac:dyDescent="0.3">
      <c r="B13" t="s">
        <v>893</v>
      </c>
      <c r="C13" s="113">
        <v>1.3</v>
      </c>
      <c r="D13" t="s">
        <v>894</v>
      </c>
      <c r="F13" s="113">
        <v>100</v>
      </c>
      <c r="G13" s="113">
        <v>0.55000000000000004</v>
      </c>
    </row>
    <row r="14" spans="2:11" x14ac:dyDescent="0.3">
      <c r="B14" t="s">
        <v>895</v>
      </c>
      <c r="C14" s="113">
        <v>5</v>
      </c>
      <c r="D14" t="s">
        <v>896</v>
      </c>
      <c r="F14" s="113">
        <v>200</v>
      </c>
      <c r="G14" s="113">
        <v>0.5</v>
      </c>
    </row>
    <row r="16" spans="2:11" x14ac:dyDescent="0.3">
      <c r="B16" s="36" t="s">
        <v>1740</v>
      </c>
    </row>
    <row r="17" spans="2:14" x14ac:dyDescent="0.3">
      <c r="B17" t="s">
        <v>853</v>
      </c>
      <c r="C17" s="113">
        <v>0.75</v>
      </c>
    </row>
    <row r="18" spans="2:14" x14ac:dyDescent="0.3">
      <c r="B18" t="s">
        <v>1741</v>
      </c>
      <c r="C18" s="113">
        <v>0.9</v>
      </c>
    </row>
    <row r="19" spans="2:14" x14ac:dyDescent="0.3">
      <c r="B19" t="s">
        <v>1742</v>
      </c>
      <c r="C19" s="113">
        <v>15</v>
      </c>
      <c r="D19" t="s">
        <v>855</v>
      </c>
    </row>
    <row r="20" spans="2:14" x14ac:dyDescent="0.3">
      <c r="B20" t="s">
        <v>1743</v>
      </c>
      <c r="C20" s="113">
        <v>240</v>
      </c>
      <c r="D20" t="s">
        <v>151</v>
      </c>
    </row>
    <row r="21" spans="2:14" x14ac:dyDescent="0.3">
      <c r="B21" t="s">
        <v>856</v>
      </c>
      <c r="C21" s="113">
        <v>0.95</v>
      </c>
    </row>
    <row r="22" spans="2:14" x14ac:dyDescent="0.3">
      <c r="B22" t="s">
        <v>1744</v>
      </c>
      <c r="C22" s="113">
        <v>0.8</v>
      </c>
    </row>
    <row r="23" spans="2:14" x14ac:dyDescent="0.3">
      <c r="B23" t="s">
        <v>1745</v>
      </c>
      <c r="C23" s="113">
        <v>0.1</v>
      </c>
    </row>
    <row r="24" spans="2:14" x14ac:dyDescent="0.3">
      <c r="B24" t="s">
        <v>1746</v>
      </c>
      <c r="C24" s="113">
        <v>0.95</v>
      </c>
    </row>
    <row r="26" spans="2:14" x14ac:dyDescent="0.3">
      <c r="B26" t="s">
        <v>1747</v>
      </c>
      <c r="C26" s="113">
        <v>6</v>
      </c>
      <c r="D26" s="113">
        <v>10</v>
      </c>
      <c r="E26" s="113">
        <v>15</v>
      </c>
      <c r="F26" s="113">
        <v>20</v>
      </c>
      <c r="G26" s="113">
        <v>30</v>
      </c>
      <c r="H26" s="113">
        <v>40</v>
      </c>
      <c r="I26" s="113">
        <v>60</v>
      </c>
      <c r="J26" s="113">
        <v>80</v>
      </c>
      <c r="K26" s="113">
        <v>100</v>
      </c>
      <c r="L26" s="113">
        <v>120</v>
      </c>
      <c r="M26" s="113">
        <v>160</v>
      </c>
      <c r="N26" s="113">
        <v>200</v>
      </c>
    </row>
    <row r="28" spans="2:14" ht="15.6" x14ac:dyDescent="0.3">
      <c r="B28" s="150" t="s">
        <v>2729</v>
      </c>
      <c r="C28" s="151"/>
      <c r="D28" s="151"/>
    </row>
    <row r="29" spans="2:14" ht="15" customHeight="1" x14ac:dyDescent="0.3">
      <c r="B29" s="138" t="s">
        <v>2730</v>
      </c>
      <c r="C29" s="138"/>
      <c r="D29" s="138"/>
    </row>
    <row r="30" spans="2:14" ht="45" customHeight="1" x14ac:dyDescent="0.3">
      <c r="B30" s="138" t="s">
        <v>2731</v>
      </c>
      <c r="C30" s="138"/>
      <c r="D30" s="138"/>
    </row>
    <row r="31" spans="2:14" ht="15" customHeight="1" x14ac:dyDescent="0.3">
      <c r="B31" s="138" t="s">
        <v>2732</v>
      </c>
      <c r="C31" s="138"/>
      <c r="D31" s="138"/>
    </row>
    <row r="32" spans="2:14" ht="30" customHeight="1" x14ac:dyDescent="0.3">
      <c r="B32" s="138" t="s">
        <v>2733</v>
      </c>
      <c r="C32" s="138"/>
      <c r="D32" s="138"/>
    </row>
    <row r="33" spans="2:4" ht="30" customHeight="1" x14ac:dyDescent="0.3">
      <c r="B33" s="138" t="s">
        <v>2734</v>
      </c>
      <c r="C33" s="138"/>
      <c r="D33" s="138"/>
    </row>
    <row r="34" spans="2:4" ht="15" customHeight="1" x14ac:dyDescent="0.3">
      <c r="B34" s="138" t="s">
        <v>2735</v>
      </c>
      <c r="C34" s="138"/>
      <c r="D34" s="138"/>
    </row>
    <row r="35" spans="2:4" ht="30" customHeight="1" x14ac:dyDescent="0.3">
      <c r="B35" s="138" t="s">
        <v>2736</v>
      </c>
      <c r="C35" s="138"/>
      <c r="D35" s="138"/>
    </row>
    <row r="36" spans="2:4" ht="30" customHeight="1" x14ac:dyDescent="0.3">
      <c r="B36" s="138" t="s">
        <v>2737</v>
      </c>
      <c r="C36" s="138"/>
      <c r="D36" s="138"/>
    </row>
    <row r="37" spans="2:4" ht="15" customHeight="1" x14ac:dyDescent="0.3">
      <c r="B37" s="138" t="s">
        <v>2738</v>
      </c>
      <c r="C37" s="138"/>
      <c r="D37" s="138"/>
    </row>
  </sheetData>
  <mergeCells count="9">
    <mergeCell ref="B35:D35"/>
    <mergeCell ref="B36:D36"/>
    <mergeCell ref="B37:D37"/>
    <mergeCell ref="B29:D29"/>
    <mergeCell ref="B30:D30"/>
    <mergeCell ref="B31:D31"/>
    <mergeCell ref="B32:D32"/>
    <mergeCell ref="B33:D33"/>
    <mergeCell ref="B34:D34"/>
  </mergeCells>
  <dataValidations count="3">
    <dataValidation type="list" allowBlank="1" showInputMessage="1" sqref="C8" xr:uid="{02F7F53C-9A72-44A6-8F55-58F6456D7E34}">
      <formula1>"v3.12,нормы 2026"</formula1>
    </dataValidation>
    <dataValidation type="list" allowBlank="1" showInputMessage="1" sqref="C10" xr:uid="{1DBEE9FB-2FE9-44D7-B2A1-18B95700FE58}">
      <formula1>"по коду и № помещения,по экспликации"</formula1>
    </dataValidation>
    <dataValidation type="list" allowBlank="1" showInputMessage="1" sqref="C11" xr:uid="{BB169625-F1C7-44F0-9D05-16EF990620E8}">
      <formula1>"да,нет"</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xr:uid="{08AE7E99-B4FF-4E2F-A3B9-9585D5F11D6B}">
          <x14:formula1>
            <xm:f>Каталог!$AB$4:$AB$100</xm:f>
          </x14:formula1>
          <xm:sqref>J3:J7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59412-A42C-4F6C-B08E-C5385F22D22F}">
  <sheetPr codeName="Лист4">
    <tabColor rgb="FFFFF2CC"/>
  </sheetPr>
  <dimension ref="A1:CC30"/>
  <sheetViews>
    <sheetView workbookViewId="0"/>
  </sheetViews>
  <sheetFormatPr defaultColWidth="11.77734375" defaultRowHeight="14.4" outlineLevelCol="1" x14ac:dyDescent="0.3"/>
  <cols>
    <col min="31" max="77" width="0" hidden="1" customWidth="1" outlineLevel="1"/>
    <col min="78" max="78" width="11.77734375" collapsed="1"/>
  </cols>
  <sheetData>
    <row r="1" spans="1:81" s="81" customFormat="1" ht="15.6" x14ac:dyDescent="0.3">
      <c r="B1" s="150" t="s">
        <v>2739</v>
      </c>
      <c r="C1" s="151"/>
      <c r="D1" s="151"/>
      <c r="E1" s="151"/>
      <c r="F1" s="151"/>
      <c r="G1" s="151"/>
      <c r="H1" s="151"/>
      <c r="I1" s="151"/>
      <c r="J1" s="151"/>
      <c r="K1" s="151"/>
      <c r="L1" s="151"/>
      <c r="M1" s="151"/>
    </row>
    <row r="2" spans="1:81" s="81" customFormat="1" ht="30" customHeight="1" x14ac:dyDescent="0.3">
      <c r="B2" s="138" t="s">
        <v>2740</v>
      </c>
      <c r="C2" s="138"/>
      <c r="D2" s="138"/>
      <c r="E2" s="138"/>
      <c r="F2" s="138"/>
      <c r="G2" s="138"/>
      <c r="H2" s="138"/>
      <c r="I2" s="138"/>
      <c r="J2" s="138"/>
      <c r="K2" s="138"/>
      <c r="L2" s="138"/>
      <c r="M2" s="138"/>
    </row>
    <row r="3" spans="1:81" s="81" customFormat="1" ht="30" customHeight="1" x14ac:dyDescent="0.3">
      <c r="B3" s="138" t="s">
        <v>2741</v>
      </c>
      <c r="C3" s="138"/>
      <c r="D3" s="138"/>
      <c r="E3" s="138"/>
      <c r="F3" s="138"/>
      <c r="G3" s="138"/>
      <c r="H3" s="138"/>
      <c r="I3" s="138"/>
      <c r="J3" s="138"/>
      <c r="K3" s="138"/>
      <c r="L3" s="138"/>
      <c r="M3" s="138"/>
    </row>
    <row r="4" spans="1:81" s="81" customFormat="1" ht="30" customHeight="1" x14ac:dyDescent="0.3">
      <c r="B4" s="138" t="s">
        <v>2742</v>
      </c>
      <c r="C4" s="138"/>
      <c r="D4" s="138"/>
      <c r="E4" s="138"/>
      <c r="F4" s="138"/>
      <c r="G4" s="138"/>
      <c r="H4" s="138"/>
      <c r="I4" s="138"/>
      <c r="J4" s="138"/>
      <c r="K4" s="138"/>
      <c r="L4" s="138"/>
      <c r="M4" s="138"/>
    </row>
    <row r="5" spans="1:81" s="81" customFormat="1" ht="30" customHeight="1" x14ac:dyDescent="0.3">
      <c r="B5" s="138" t="s">
        <v>2743</v>
      </c>
      <c r="C5" s="138"/>
      <c r="D5" s="138"/>
      <c r="E5" s="138"/>
      <c r="F5" s="138"/>
      <c r="G5" s="138"/>
      <c r="H5" s="138"/>
      <c r="I5" s="138"/>
      <c r="J5" s="138"/>
      <c r="K5" s="138"/>
      <c r="L5" s="138"/>
      <c r="M5" s="138"/>
    </row>
    <row r="6" spans="1:81" s="81" customFormat="1" ht="30" customHeight="1" x14ac:dyDescent="0.3">
      <c r="B6" s="138" t="s">
        <v>2744</v>
      </c>
      <c r="C6" s="138"/>
      <c r="D6" s="138"/>
      <c r="E6" s="138"/>
      <c r="F6" s="138"/>
      <c r="G6" s="138"/>
      <c r="H6" s="138"/>
      <c r="I6" s="138"/>
      <c r="J6" s="138"/>
      <c r="K6" s="138"/>
      <c r="L6" s="138"/>
      <c r="M6" s="138"/>
    </row>
    <row r="7" spans="1:81" s="81" customFormat="1" ht="15" customHeight="1" x14ac:dyDescent="0.3">
      <c r="B7" s="138" t="s">
        <v>2745</v>
      </c>
      <c r="C7" s="138"/>
      <c r="D7" s="138"/>
      <c r="E7" s="138"/>
      <c r="F7" s="138"/>
      <c r="G7" s="138"/>
      <c r="H7" s="138"/>
      <c r="I7" s="138"/>
      <c r="J7" s="138"/>
      <c r="K7" s="138"/>
      <c r="L7" s="138"/>
      <c r="M7" s="138"/>
    </row>
    <row r="8" spans="1:81" s="81" customFormat="1" ht="30" customHeight="1" x14ac:dyDescent="0.3">
      <c r="B8" s="138" t="s">
        <v>2746</v>
      </c>
      <c r="C8" s="138"/>
      <c r="D8" s="138"/>
      <c r="E8" s="138"/>
      <c r="F8" s="138"/>
      <c r="G8" s="138"/>
      <c r="H8" s="138"/>
      <c r="I8" s="138"/>
      <c r="J8" s="138"/>
      <c r="K8" s="138"/>
      <c r="L8" s="138"/>
      <c r="M8" s="138"/>
    </row>
    <row r="9" spans="1:81" s="81" customFormat="1" ht="30" customHeight="1" x14ac:dyDescent="0.3">
      <c r="B9" s="138" t="s">
        <v>2747</v>
      </c>
      <c r="C9" s="138"/>
      <c r="D9" s="138"/>
      <c r="E9" s="138"/>
      <c r="F9" s="138"/>
      <c r="G9" s="138"/>
      <c r="H9" s="138"/>
      <c r="I9" s="138"/>
      <c r="J9" s="138"/>
      <c r="K9" s="138"/>
      <c r="L9" s="138"/>
      <c r="M9" s="138"/>
    </row>
    <row r="10" spans="1:81" s="81" customFormat="1" ht="30" customHeight="1" x14ac:dyDescent="0.3">
      <c r="B10" s="138" t="s">
        <v>2748</v>
      </c>
      <c r="C10" s="138"/>
      <c r="D10" s="138"/>
      <c r="E10" s="138"/>
      <c r="F10" s="138"/>
      <c r="G10" s="138"/>
      <c r="H10" s="138"/>
      <c r="I10" s="138"/>
      <c r="J10" s="138"/>
      <c r="K10" s="138"/>
      <c r="L10" s="138"/>
      <c r="M10" s="138"/>
    </row>
    <row r="11" spans="1:81" s="81" customFormat="1" x14ac:dyDescent="0.3"/>
    <row r="12" spans="1:81" x14ac:dyDescent="0.3">
      <c r="CA12" s="36" t="s">
        <v>1111</v>
      </c>
    </row>
    <row r="13" spans="1:81" ht="60" customHeight="1" x14ac:dyDescent="0.3">
      <c r="A13" s="115" t="s">
        <v>4</v>
      </c>
      <c r="B13" s="116" t="s">
        <v>1044</v>
      </c>
      <c r="C13" s="115" t="s">
        <v>1045</v>
      </c>
      <c r="D13" s="115" t="s">
        <v>1046</v>
      </c>
      <c r="E13" s="115" t="s">
        <v>1047</v>
      </c>
      <c r="F13" s="115" t="s">
        <v>1048</v>
      </c>
      <c r="G13" s="115" t="s">
        <v>1049</v>
      </c>
      <c r="H13" s="115" t="s">
        <v>1050</v>
      </c>
      <c r="I13" s="115" t="s">
        <v>1051</v>
      </c>
      <c r="J13" s="115" t="s">
        <v>1052</v>
      </c>
      <c r="K13" s="115" t="s">
        <v>1053</v>
      </c>
      <c r="L13" s="115" t="s">
        <v>1054</v>
      </c>
      <c r="M13" s="115" t="s">
        <v>1055</v>
      </c>
      <c r="N13" s="115" t="s">
        <v>909</v>
      </c>
      <c r="O13" s="115" t="s">
        <v>798</v>
      </c>
      <c r="P13" s="115" t="s">
        <v>25</v>
      </c>
      <c r="Q13" s="115" t="s">
        <v>1056</v>
      </c>
      <c r="R13" s="115" t="s">
        <v>1057</v>
      </c>
      <c r="S13" s="115" t="s">
        <v>1058</v>
      </c>
      <c r="T13" s="115" t="s">
        <v>1059</v>
      </c>
      <c r="U13" s="118" t="s">
        <v>1060</v>
      </c>
      <c r="V13" s="118" t="s">
        <v>1061</v>
      </c>
      <c r="W13" s="118" t="s">
        <v>803</v>
      </c>
      <c r="X13" s="118" t="s">
        <v>841</v>
      </c>
      <c r="Y13" s="118" t="s">
        <v>805</v>
      </c>
      <c r="Z13" s="118" t="s">
        <v>801</v>
      </c>
      <c r="AA13" s="118" t="s">
        <v>1062</v>
      </c>
      <c r="AB13" s="118" t="s">
        <v>1063</v>
      </c>
      <c r="AC13" s="118" t="s">
        <v>1064</v>
      </c>
      <c r="AD13" s="118" t="s">
        <v>1065</v>
      </c>
      <c r="AE13" s="118" t="s">
        <v>1066</v>
      </c>
      <c r="AF13" s="118" t="s">
        <v>1067</v>
      </c>
      <c r="AG13" s="118" t="s">
        <v>1068</v>
      </c>
      <c r="AH13" s="118" t="s">
        <v>1069</v>
      </c>
      <c r="AI13" s="118" t="s">
        <v>1070</v>
      </c>
      <c r="AJ13" s="118" t="s">
        <v>1071</v>
      </c>
      <c r="AK13" s="118" t="s">
        <v>1072</v>
      </c>
      <c r="AL13" s="118" t="s">
        <v>1073</v>
      </c>
      <c r="AM13" s="118" t="s">
        <v>1074</v>
      </c>
      <c r="AN13" s="118" t="s">
        <v>1075</v>
      </c>
      <c r="AO13" s="118" t="s">
        <v>1076</v>
      </c>
      <c r="AP13" s="118" t="s">
        <v>1077</v>
      </c>
      <c r="AQ13" s="118" t="s">
        <v>1078</v>
      </c>
      <c r="AR13" s="118" t="s">
        <v>1079</v>
      </c>
      <c r="AS13" s="118" t="s">
        <v>541</v>
      </c>
      <c r="AT13" s="118" t="s">
        <v>840</v>
      </c>
      <c r="AU13" s="118" t="s">
        <v>807</v>
      </c>
      <c r="AV13" s="118" t="s">
        <v>804</v>
      </c>
      <c r="AW13" s="118" t="s">
        <v>1080</v>
      </c>
      <c r="AX13" s="118" t="s">
        <v>1081</v>
      </c>
      <c r="AY13" s="118" t="s">
        <v>1082</v>
      </c>
      <c r="AZ13" s="118" t="s">
        <v>1083</v>
      </c>
      <c r="BA13" s="118" t="s">
        <v>1084</v>
      </c>
      <c r="BB13" s="118" t="s">
        <v>1085</v>
      </c>
      <c r="BC13" s="118" t="s">
        <v>1086</v>
      </c>
      <c r="BD13" s="118" t="s">
        <v>1087</v>
      </c>
      <c r="BE13" s="118" t="s">
        <v>1088</v>
      </c>
      <c r="BF13" s="118" t="s">
        <v>1089</v>
      </c>
      <c r="BG13" s="118" t="s">
        <v>1090</v>
      </c>
      <c r="BH13" s="118" t="s">
        <v>1091</v>
      </c>
      <c r="BI13" s="118" t="s">
        <v>1092</v>
      </c>
      <c r="BJ13" s="118" t="s">
        <v>1093</v>
      </c>
      <c r="BK13" s="118" t="s">
        <v>1094</v>
      </c>
      <c r="BL13" s="118" t="s">
        <v>1095</v>
      </c>
      <c r="BM13" s="118" t="s">
        <v>1096</v>
      </c>
      <c r="BN13" s="118" t="s">
        <v>1097</v>
      </c>
      <c r="BO13" s="118" t="s">
        <v>1098</v>
      </c>
      <c r="BP13" s="118" t="s">
        <v>1099</v>
      </c>
      <c r="BQ13" s="118" t="s">
        <v>1100</v>
      </c>
      <c r="BR13" s="118" t="s">
        <v>1101</v>
      </c>
      <c r="BS13" s="118" t="s">
        <v>1102</v>
      </c>
      <c r="BT13" s="118" t="s">
        <v>1103</v>
      </c>
      <c r="BU13" s="118" t="s">
        <v>1104</v>
      </c>
      <c r="BV13" s="118" t="s">
        <v>1105</v>
      </c>
      <c r="BW13" s="118" t="s">
        <v>1106</v>
      </c>
      <c r="BX13" s="118" t="s">
        <v>1107</v>
      </c>
      <c r="BY13" s="118" t="s">
        <v>1108</v>
      </c>
      <c r="CA13" t="s">
        <v>852</v>
      </c>
      <c r="CB13" t="s">
        <v>4</v>
      </c>
      <c r="CC13" t="s">
        <v>1112</v>
      </c>
    </row>
    <row r="14" spans="1:81" x14ac:dyDescent="0.3">
      <c r="A14" t="s">
        <v>783</v>
      </c>
      <c r="B14" t="str">
        <f>Щиты[[#This Row],[_авто питается от]]</f>
        <v/>
      </c>
      <c r="C14">
        <v>2</v>
      </c>
      <c r="D14" t="s">
        <v>488</v>
      </c>
      <c r="E14" t="s">
        <v>835</v>
      </c>
      <c r="F14">
        <v>6</v>
      </c>
      <c r="U14"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нет данных сети для ТКЗ: введите Iкз от сетевой организации или трансформатор</v>
      </c>
      <c r="V14" t="str" cm="1">
        <f t="array" ref="V14">IF(Щиты[[#This Row],[_строка фидера]]="","",INDEX(Линии[Номер линии],Щиты[[#This Row],[_строка фидера]]))</f>
        <v/>
      </c>
      <c r="W14" s="6">
        <f>SUMIFS(Щиты[_Руст собств],Щиты[Путь],"*|"&amp;Щиты[[#This Row],[Щит]]&amp;"|*")</f>
        <v>526.28100000000018</v>
      </c>
      <c r="X14" s="6">
        <f>k_пк*Щиты[[#This Row],[Руст быт, кВт]]*Щиты[[#This Row],[Кс быт]]+Щиты[[#This Row],[Ко]]*Щиты[[#This Row],[Рр сил, кВт]]+Щиты[[#This Row],[Руст пост, кВт]]+Щиты[[#This Row],[Р отопления, кВт]]+Щиты[[#This Row],[Рр ВНГ, кВт]]</f>
        <v>276.45185120000008</v>
      </c>
      <c r="Y14" s="6">
        <f>IFERROR(MAX(MAX(Щиты[[#This Row],[P L1, кВт]],Щиты[[#This Row],[P L2, кВт]],Щиты[[#This Row],[P L3, кВт]])*Щиты[[#This Row],[Кс итог]]/((Uн_лин*1000/SQRT(3))/1000*Щиты[[#This Row],[cos φ]]),Щиты[[#This Row],[Рр, кВт]]/(SQRT(3)*Uн_лин*Щиты[[#This Row],[cos φ]])),0)</f>
        <v>482.46261025528872</v>
      </c>
      <c r="Z14" s="6">
        <f>IFERROR(SUMIFS(Щиты[_Pcos собств],Щиты[Путь],"*|"&amp;Щиты[[#This Row],[Щит]]&amp;"|*")/SUMIFS(Щиты[_P собств],Щиты[Путь],"*|"&amp;Щиты[[#This Row],[Щит]]&amp;"|*"),0.95)</f>
        <v>0.82887953393719294</v>
      </c>
      <c r="AA14" s="6" cm="1">
        <f t="array" ref="AA14">SUMPRODUCT(--ISNUMBER(SEARCH("|"&amp;Щиты[Щит]&amp;"|",Щиты[[#This Row],[Путь]])),IFERROR(--Щиты[_ΔU фидера],0)+IFERROR(--Щиты[_ΔU источника],0))</f>
        <v>0</v>
      </c>
      <c r="AB14" s="6" t="str">
        <f>IF(ISNUMBER(Щиты[[#This Row],[Zпетли на шинах, Ом]]),c_min*(Uн_лин*1000/SQRT(3))/Щиты[[#This Row],[Zпетли на шинах, Ом]],"")</f>
        <v/>
      </c>
      <c r="AC14" s="6" t="str">
        <f>IF(ISNUMBER(Щиты[[#This Row],[Zmax на шинах, Ом]]),1.05*(Uн_лин*1000/SQRT(3))/Щиты[[#This Row],[Zmax на шинах, Ом]]/1000,"")</f>
        <v/>
      </c>
      <c r="AD14" t="str" cm="1">
        <f t="array" ref="AD14">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v>
      </c>
      <c r="AE14" t="str" cm="1">
        <f t="array" ref="AE14">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v>
      </c>
      <c r="AF14" s="6" t="str">
        <f>_xlfn.TEXTBEFORE(MID(Щиты[[#This Row],[Путь]],2,999),"|")</f>
        <v>ГРЩ-ЖД</v>
      </c>
      <c r="AG14" t="str">
        <f>IF(TRIM(Щиты[[#This Row],[Питается от]]&amp;"")="",Щиты[[#This Row],[_авто питается от]],Щиты[[#This Row],[Питается от]])</f>
        <v/>
      </c>
      <c r="AH14">
        <f>LEN(Щиты[[#This Row],[Путь]])-LEN(SUBSTITUTE(Щиты[[#This Row],[Путь]],"|",""))-2</f>
        <v>0</v>
      </c>
      <c r="AI14" t="str">
        <f>IFERROR(_xlfn.XMATCH(Щиты[[#This Row],[Щит]],Линии[_фидер]),"")</f>
        <v/>
      </c>
      <c r="AJ14" t="str" cm="1">
        <f t="array" ref="AJ14">IFERROR(INDEX(Линии[Щит],Щиты[[#This Row],[_строка фидера]]),"")</f>
        <v/>
      </c>
      <c r="AK14">
        <f>SUMIFS(Линии[_Руст (без Нет)],Линии[Щит],Щиты[[#This Row],[Щит]])</f>
        <v>147.25</v>
      </c>
      <c r="AL14">
        <f>SUMIFS(Линии[_Руст быт],Линии[Щит],Щиты[[#This Row],[Щит]])</f>
        <v>0</v>
      </c>
      <c r="AM14">
        <f>SUMIFS(Линии[_Рр сил],Линии[Щит],Щиты[[#This Row],[Щит]])</f>
        <v>89.965000000000003</v>
      </c>
      <c r="AN14">
        <f>SUMIFS(Линии[_Руст пост],Линии[Щит],Щиты[[#This Row],[Щит]])</f>
        <v>0.3</v>
      </c>
      <c r="AO14">
        <f>SUMIFS(Линии[_P для cos],Линии[Щит],Щиты[[#This Row],[Щит]])</f>
        <v>147.25</v>
      </c>
      <c r="AP14">
        <f>SUMIFS(Линии[_P·cos],Линии[Щит],Щиты[[#This Row],[Щит]])</f>
        <v>117.84500000000001</v>
      </c>
      <c r="AQ14">
        <f>SUMIFS(Линии[_Р отопления],Линии[Щит],Щиты[[#This Row],[Щит]])</f>
        <v>0</v>
      </c>
      <c r="AR14">
        <f>SUMIFS(Линии[_Рр ВНГ],Линии[Щит],Щиты[[#This Row],[Щит]])</f>
        <v>0</v>
      </c>
      <c r="AS14" s="6">
        <f>SUMIFS(Щиты[_быт собств],Щиты[Путь],"*|"&amp;Щиты[[#This Row],[Щит]]&amp;"|*")</f>
        <v>61.360000000000014</v>
      </c>
      <c r="AT14" s="6" cm="1">
        <f t="array" ref="AT14">_xlfn.LET(_xlpm.x,Щиты[[#This Row],[Руст быт, кВт]],_xlpm.m,MATCH(_xlpm.x,Кс_Р,1),IF(_xlpm.x&gt;=INDEX(Кс_Р,ROWS(Кс_Р)),INDEX(Кс_К,ROWS(Кс_К)),INDEX(Кс_К,_xlpm.m)+(_xlpm.x-INDEX(Кс_Р,_xlpm.m))*(INDEX(Кс_К,_xlpm.m+1)-INDEX(Кс_К,_xlpm.m))/(INDEX(Кс_Р,_xlpm.m+1)-INDEX(Кс_Р,_xlpm.m))))</f>
        <v>0.47591999999999995</v>
      </c>
      <c r="AU14" s="6">
        <f>SUMIFS(Щиты[_сил собств],Щиты[Путь],"*|"&amp;Щиты[[#This Row],[Щит]]&amp;"|*")</f>
        <v>230.31600000000003</v>
      </c>
      <c r="AV14" s="6">
        <f>SUMIFS(Щиты[_пост собств],Щиты[Путь],"*|"&amp;Щиты[[#This Row],[Щит]]&amp;"|*")</f>
        <v>39.965000000000003</v>
      </c>
      <c r="AW14" s="6">
        <f>SUMIFS(Щиты[_отоп собств],Щиты[Путь],"*|"&amp;Щиты[[#This Row],[Щит]]&amp;"|*")</f>
        <v>0</v>
      </c>
      <c r="AX14" s="6">
        <f>SUMIFS(Щиты[_внг собств],Щиты[Путь],"*|"&amp;Щиты[[#This Row],[Щит]]&amp;"|*")</f>
        <v>0</v>
      </c>
      <c r="AY14">
        <f>COUNTIFS(Линии[Щит],Щиты[[#This Row],[Щит]],Линии[Группа Кс (итог)],"Сил")</f>
        <v>3</v>
      </c>
      <c r="AZ14" s="6" cm="1">
        <f t="array" ref="AZ14">_xlfn.LET(_xlpm.n,Щиты[[#This Row],[_n силовых]],IF(_xlpm.n&lt;=1,1,IF(_xlpm.n&gt;=MAX(Кс75_n),INDEX(Кс75_k,ROWS(Кс75_k)),_xlfn.LET(_xlpm.m,MATCH(_xlpm.n,Кс75_n,1),INDEX(Кс75_k,_xlpm.m)+(_xlpm.n-INDEX(Кс75_n,_xlpm.m))*(INDEX(Кс75_k,_xlpm.m+1)-INDEX(Кс75_k,_xlpm.m))/(INDEX(Кс75_n,_xlpm.m+1)-INDEX(Кс75_n,_xlpm.m))))))</f>
        <v>0.9</v>
      </c>
      <c r="BA14" s="6">
        <f>IF(Методика="нормы 2026",IF(AND(Щиты[[#This Row],[Руст быт, кВт]]&gt;0,Щиты[[#This Row],[Рр сил, кВт]]&gt;0),Ко_сил,1),Ко_сил)</f>
        <v>0.9</v>
      </c>
      <c r="BB14" s="6">
        <f>IF(Щиты[[#This Row],[Руст, кВт]]=0,0,Щиты[[#This Row],[Рр, кВт]]/Щиты[[#This Row],[Руст, кВт]])</f>
        <v>0.52529323916310866</v>
      </c>
      <c r="BC14"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174.91366666666667</v>
      </c>
      <c r="BD14"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175.55366666666666</v>
      </c>
      <c r="BE14"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175.81366666666665</v>
      </c>
      <c r="BF14" t="str" cm="1">
        <f t="array" ref="BF14">IF(Щиты[[#This Row],[_строка фидера]]="","",INDEX(Линии[ΔU, %],Щиты[[#This Row],[_строка фидера]]))</f>
        <v/>
      </c>
      <c r="BG14">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14">
        <f>IF(Щиты[[#This Row],[Питается от (итог)]]&lt;&gt;"",0,IF(LEFT(UPPER(TRIM(Щиты[[#This Row],[Питание: от (ТП / сеть)]])),2)="ТП",0,N(Щиты[[#This Row],[ΔU до питающего, %]])+Щиты[[#This Row],[_ΔU пит. линии]]))</f>
        <v>0</v>
      </c>
      <c r="BI14">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14"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14" t="str">
        <f>IF(Щиты[[#This Row],[_Zсети]]="","",Щиты[[#This Row],[_Zсети]]+Щиты[[#This Row],[_петля пит. кабеля]])</f>
        <v/>
      </c>
      <c r="BL14" t="str" cm="1">
        <f t="array" ref="BL14">IF(Щиты[[#This Row],[_строка фидера]]="","",INDEX(Линии[_Zкабеля],Щиты[[#This Row],[_строка фидера]]))</f>
        <v/>
      </c>
      <c r="BM14" s="6" t="str" cm="1">
        <f t="array" ref="BM14">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14"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14"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14" t="str" cm="1">
        <f t="array" ref="BP14">IF(Щиты[[#This Row],[_строка фидера]]="","",INDEX(Линии[_Zmax кабеля],Щиты[[#This Row],[_строка фидера]]))</f>
        <v/>
      </c>
      <c r="BQ14" s="6" t="str" cm="1">
        <f t="array" ref="BQ14">IF(_xlfn.XLOOKUP(Щиты[[#This Row],[Корень]],Щиты[Щит],Щиты[_Zmax источника],"")="","",SUMPRODUCT(--ISNUMBER(SEARCH("|"&amp;Щиты[Щит]&amp;"|",Щиты[[#This Row],[Путь]])),IFERROR(--Щиты[_Zmax источника],0)+IFERROR(--Щиты[_Zmax фидера],0)))</f>
        <v/>
      </c>
      <c r="BR14" t="str" cm="1">
        <f t="array" ref="BR14">IF(Щиты[[#This Row],[_строка фидера]]="","",INDEX(Линии[_ΔU по току, %],Щиты[[#This Row],[_строка фидера]]))</f>
        <v/>
      </c>
      <c r="BS14" s="6" cm="1">
        <f t="array" ref="BS14">SUMPRODUCT(--ISNUMBER(SEARCH("|"&amp;Щиты[Щит]&amp;"|",Щиты[[#This Row],[Путь]])),IFERROR(--Щиты[_ΔU фидера (подбор)],0)+IFERROR(--Щиты[_ΔU источника],0))</f>
        <v>0</v>
      </c>
      <c r="BT14" t="str" cm="1">
        <f t="array" ref="BT14">IF(Щиты[[#This Row],[_строка фидера]]="","",INDEX(Линии[_Zкабеля по току],Щиты[[#This Row],[_строка фидера]]))</f>
        <v/>
      </c>
      <c r="BU14" s="6" t="str" cm="1">
        <f t="array" ref="BU14">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14" s="6">
        <f>_xlfn.MAXIFS(Линии[Iпуск, А],Линии[Щит],Щиты[[#This Row],[Щит]])</f>
        <v>0</v>
      </c>
      <c r="BW14" t="str" cm="1">
        <f t="array" ref="BW14">IF(Щиты[[#This Row],[_строка фидера]]="","",INDEX(Линии[Источник для режимов],Щиты[[#This Row],[_строка фидера]]))</f>
        <v/>
      </c>
      <c r="BX14" t="str" cm="1">
        <f t="array" ref="BX14">IF(Щиты[[#This Row],[_строка фидера]]="","",INDEX(Линии[Пожарная (итог)],Щиты[[#This Row],[_строка фидера]]))</f>
        <v/>
      </c>
      <c r="BY14" t="str" cm="1">
        <f t="array" ref="BY14">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;21:L1;17:L2;15:L3;16:L3;3:L2;22:L1;4:L1;</v>
      </c>
    </row>
    <row r="15" spans="1:81" x14ac:dyDescent="0.3">
      <c r="A15" t="s">
        <v>782</v>
      </c>
      <c r="B15" t="str">
        <f>Щиты[[#This Row],[_авто питается от]]</f>
        <v>ГРЩ-ЖД</v>
      </c>
      <c r="C15">
        <v>1</v>
      </c>
      <c r="D15" t="s">
        <v>484</v>
      </c>
      <c r="E15" t="s">
        <v>835</v>
      </c>
      <c r="F15">
        <v>13</v>
      </c>
      <c r="U15"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15" t="str" cm="1">
        <f t="array" ref="V15">IF(Щиты[[#This Row],[_строка фидера]]="","",INDEX(Линии[Номер линии],Щиты[[#This Row],[_строка фидера]]))</f>
        <v>ЩГП</v>
      </c>
      <c r="W15" s="6">
        <f>SUMIFS(Щиты[_Руст собств],Щиты[Путь],"*|"&amp;Щиты[[#This Row],[Щит]]&amp;"|*")</f>
        <v>1.9000000000000006</v>
      </c>
      <c r="X15" s="6">
        <f>k_пк*Щиты[[#This Row],[Руст быт, кВт]]*Щиты[[#This Row],[Кс быт]]+Щиты[[#This Row],[Ко]]*Щиты[[#This Row],[Рр сил, кВт]]+Щиты[[#This Row],[Руст пост, кВт]]+Щиты[[#This Row],[Р отопления, кВт]]+Щиты[[#This Row],[Рр ВНГ, кВт]]</f>
        <v>1.5200000000000005</v>
      </c>
      <c r="Y15" s="6">
        <f>IFERROR(MAX(MAX(Щиты[[#This Row],[P L1, кВт]],Щиты[[#This Row],[P L2, кВт]],Щиты[[#This Row],[P L3, кВт]])*Щиты[[#This Row],[Кс итог]]/((Uн_лин*1000/SQRT(3))/1000*Щиты[[#This Row],[cos φ]]),Щиты[[#This Row],[Рр, кВт]]/(SQRT(3)*Uн_лин*Щиты[[#This Row],[cos φ]])),0)</f>
        <v>2.3094010767585051</v>
      </c>
      <c r="Z15" s="6">
        <f>IFERROR(SUMIFS(Щиты[_Pcos собств],Щиты[Путь],"*|"&amp;Щиты[[#This Row],[Щит]]&amp;"|*")/SUMIFS(Щиты[_P собств],Щиты[Путь],"*|"&amp;Щиты[[#This Row],[Щит]]&amp;"|*"),0.95)</f>
        <v>0.94999999999999951</v>
      </c>
      <c r="AA15" s="6" cm="1">
        <f t="array" ref="AA15">SUMPRODUCT(--ISNUMBER(SEARCH("|"&amp;Щиты[Щит]&amp;"|",Щиты[[#This Row],[Путь]])),IFERROR(--Щиты[_ΔU фидера],0)+IFERROR(--Щиты[_ΔU источника],0))</f>
        <v>0</v>
      </c>
      <c r="AB15" s="6" t="str">
        <f>IF(ISNUMBER(Щиты[[#This Row],[Zпетли на шинах, Ом]]),c_min*(Uн_лин*1000/SQRT(3))/Щиты[[#This Row],[Zпетли на шинах, Ом]],"")</f>
        <v/>
      </c>
      <c r="AC15" s="6" t="str">
        <f>IF(ISNUMBER(Щиты[[#This Row],[Zmax на шинах, Ом]]),1.05*(Uн_лин*1000/SQRT(3))/Щиты[[#This Row],[Zmax на шинах, Ом]]/1000,"")</f>
        <v/>
      </c>
      <c r="AD15" t="str" cm="1">
        <f t="array" ref="AD15">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15" t="str" cm="1">
        <f t="array" ref="AE15">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|ГРЩ-ЖД|ЩГП|</v>
      </c>
      <c r="AF15" s="6" t="str">
        <f>_xlfn.TEXTBEFORE(MID(Щиты[[#This Row],[Путь]],2,999),"|")</f>
        <v>ГРЩ-ЖД</v>
      </c>
      <c r="AG15" t="str">
        <f>IF(TRIM(Щиты[[#This Row],[Питается от]]&amp;"")="",Щиты[[#This Row],[_авто питается от]],Щиты[[#This Row],[Питается от]])</f>
        <v>ГРЩ-ЖД</v>
      </c>
      <c r="AH15">
        <f>LEN(Щиты[[#This Row],[Путь]])-LEN(SUBSTITUTE(Щиты[[#This Row],[Путь]],"|",""))-2</f>
        <v>1</v>
      </c>
      <c r="AI15">
        <f>IFERROR(_xlfn.XMATCH(Щиты[[#This Row],[Щит]],Линии[_фидер]),"")</f>
        <v>23</v>
      </c>
      <c r="AJ15" t="str" cm="1">
        <f t="array" ref="AJ15">IFERROR(INDEX(Линии[Щит],Щиты[[#This Row],[_строка фидера]]),"")</f>
        <v>ГРЩ-ЖД</v>
      </c>
      <c r="AK15">
        <f>SUMIFS(Линии[_Руст (без Нет)],Линии[Щит],Щиты[[#This Row],[Щит]])</f>
        <v>0</v>
      </c>
      <c r="AL15">
        <f>SUMIFS(Линии[_Руст быт],Линии[Щит],Щиты[[#This Row],[Щит]])</f>
        <v>0</v>
      </c>
      <c r="AM15">
        <f>SUMIFS(Линии[_Рр сил],Линии[Щит],Щиты[[#This Row],[Щит]])</f>
        <v>0</v>
      </c>
      <c r="AN15">
        <f>SUMIFS(Линии[_Руст пост],Линии[Щит],Щиты[[#This Row],[Щит]])</f>
        <v>0</v>
      </c>
      <c r="AO15">
        <f>SUMIFS(Линии[_P для cos],Линии[Щит],Щиты[[#This Row],[Щит]])</f>
        <v>0</v>
      </c>
      <c r="AP15">
        <f>SUMIFS(Линии[_P·cos],Линии[Щит],Щиты[[#This Row],[Щит]])</f>
        <v>0</v>
      </c>
      <c r="AQ15">
        <f>SUMIFS(Линии[_Р отопления],Линии[Щит],Щиты[[#This Row],[Щит]])</f>
        <v>0</v>
      </c>
      <c r="AR15">
        <f>SUMIFS(Линии[_Рр ВНГ],Линии[Щит],Щиты[[#This Row],[Щит]])</f>
        <v>0</v>
      </c>
      <c r="AS15" s="6">
        <f>SUMIFS(Щиты[_быт собств],Щиты[Путь],"*|"&amp;Щиты[[#This Row],[Щит]]&amp;"|*")</f>
        <v>1.9000000000000006</v>
      </c>
      <c r="AT15" s="6" cm="1">
        <f t="array" ref="AT15">_xlfn.LET(_xlpm.x,Щиты[[#This Row],[Руст быт, кВт]],_xlpm.m,MATCH(_xlpm.x,Кс_Р,1),IF(_xlpm.x&gt;=INDEX(Кс_Р,ROWS(Кс_Р)),INDEX(Кс_К,ROWS(Кс_К)),INDEX(Кс_К,_xlpm.m)+(_xlpm.x-INDEX(Кс_Р,_xlpm.m))*(INDEX(Кс_К,_xlpm.m+1)-INDEX(Кс_К,_xlpm.m))/(INDEX(Кс_Р,_xlpm.m+1)-INDEX(Кс_Р,_xlpm.m))))</f>
        <v>0.8</v>
      </c>
      <c r="AU15" s="6">
        <f>SUMIFS(Щиты[_сил собств],Щиты[Путь],"*|"&amp;Щиты[[#This Row],[Щит]]&amp;"|*")</f>
        <v>0</v>
      </c>
      <c r="AV15" s="6">
        <f>SUMIFS(Щиты[_пост собств],Щиты[Путь],"*|"&amp;Щиты[[#This Row],[Щит]]&amp;"|*")</f>
        <v>0</v>
      </c>
      <c r="AW15" s="6">
        <f>SUMIFS(Щиты[_отоп собств],Щиты[Путь],"*|"&amp;Щиты[[#This Row],[Щит]]&amp;"|*")</f>
        <v>0</v>
      </c>
      <c r="AX15" s="6">
        <f>SUMIFS(Щиты[_внг собств],Щиты[Путь],"*|"&amp;Щиты[[#This Row],[Щит]]&amp;"|*")</f>
        <v>0</v>
      </c>
      <c r="AY15">
        <f>COUNTIFS(Линии[Щит],Щиты[[#This Row],[Щит]],Линии[Группа Кс (итог)],"Сил")</f>
        <v>0</v>
      </c>
      <c r="AZ15" s="6" cm="1">
        <f t="array" ref="AZ15">_xlfn.LET(_xlpm.n,Щиты[[#This Row],[_n силовых]],IF(_xlpm.n&lt;=1,1,IF(_xlpm.n&gt;=MAX(Кс75_n),INDEX(Кс75_k,ROWS(Кс75_k)),_xlfn.LET(_xlpm.m,MATCH(_xlpm.n,Кс75_n,1),INDEX(Кс75_k,_xlpm.m)+(_xlpm.n-INDEX(Кс75_n,_xlpm.m))*(INDEX(Кс75_k,_xlpm.m+1)-INDEX(Кс75_k,_xlpm.m))/(INDEX(Кс75_n,_xlpm.m+1)-INDEX(Кс75_n,_xlpm.m))))))</f>
        <v>1</v>
      </c>
      <c r="BA15" s="6">
        <f>IF(Методика="нормы 2026",IF(AND(Щиты[[#This Row],[Руст быт, кВт]]&gt;0,Щиты[[#This Row],[Рр сил, кВт]]&gt;0),Ко_сил,1),Ко_сил)</f>
        <v>1</v>
      </c>
      <c r="BB15" s="6">
        <f>IF(Щиты[[#This Row],[Руст, кВт]]=0,0,Щиты[[#This Row],[Рр, кВт]]/Щиты[[#This Row],[Руст, кВт]])</f>
        <v>0.8</v>
      </c>
      <c r="BC15"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0.63333333333333353</v>
      </c>
      <c r="BD15"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0.63333333333333353</v>
      </c>
      <c r="BE15"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0.63333333333333353</v>
      </c>
      <c r="BF15" t="str" cm="1">
        <f t="array" ref="BF15">IF(Щиты[[#This Row],[_строка фидера]]="","",INDEX(Линии[ΔU, %],Щиты[[#This Row],[_строка фидера]]))</f>
        <v/>
      </c>
      <c r="BG15">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15">
        <f>IF(Щиты[[#This Row],[Питается от (итог)]]&lt;&gt;"",0,IF(LEFT(UPPER(TRIM(Щиты[[#This Row],[Питание: от (ТП / сеть)]])),2)="ТП",0,N(Щиты[[#This Row],[ΔU до питающего, %]])+Щиты[[#This Row],[_ΔU пит. линии]]))</f>
        <v>0</v>
      </c>
      <c r="BI15">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15"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15" t="str">
        <f>IF(Щиты[[#This Row],[_Zсети]]="","",Щиты[[#This Row],[_Zсети]]+Щиты[[#This Row],[_петля пит. кабеля]])</f>
        <v/>
      </c>
      <c r="BL15" t="str" cm="1">
        <f t="array" ref="BL15">IF(Щиты[[#This Row],[_строка фидера]]="","",INDEX(Линии[_Zкабеля],Щиты[[#This Row],[_строка фидера]]))</f>
        <v/>
      </c>
      <c r="BM15" s="6" t="str" cm="1">
        <f t="array" ref="BM15">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15"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15"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15" cm="1">
        <f t="array" ref="BP15">IF(Щиты[[#This Row],[_строка фидера]]="","",INDEX(Линии[_Zmax кабеля],Щиты[[#This Row],[_строка фидера]]))</f>
        <v>0</v>
      </c>
      <c r="BQ15" s="6" t="str" cm="1">
        <f t="array" ref="BQ15">IF(_xlfn.XLOOKUP(Щиты[[#This Row],[Корень]],Щиты[Щит],Щиты[_Zmax источника],"")="","",SUMPRODUCT(--ISNUMBER(SEARCH("|"&amp;Щиты[Щит]&amp;"|",Щиты[[#This Row],[Путь]])),IFERROR(--Щиты[_Zmax источника],0)+IFERROR(--Щиты[_Zmax фидера],0)))</f>
        <v/>
      </c>
      <c r="BR15" cm="1">
        <f t="array" ref="BR15">IF(Щиты[[#This Row],[_строка фидера]]="","",INDEX(Линии[_ΔU по току, %],Щиты[[#This Row],[_строка фидера]]))</f>
        <v>0</v>
      </c>
      <c r="BS15" s="6" cm="1">
        <f t="array" ref="BS15">SUMPRODUCT(--ISNUMBER(SEARCH("|"&amp;Щиты[Щит]&amp;"|",Щиты[[#This Row],[Путь]])),IFERROR(--Щиты[_ΔU фидера (подбор)],0)+IFERROR(--Щиты[_ΔU источника],0))</f>
        <v>0</v>
      </c>
      <c r="BT15" cm="1">
        <f t="array" ref="BT15">IF(Щиты[[#This Row],[_строка фидера]]="","",INDEX(Линии[_Zкабеля по току],Щиты[[#This Row],[_строка фидера]]))</f>
        <v>0</v>
      </c>
      <c r="BU15" s="6" t="str" cm="1">
        <f t="array" ref="BU15">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15" s="6">
        <f>_xlfn.MAXIFS(Линии[Iпуск, А],Линии[Щит],Щиты[[#This Row],[Щит]])</f>
        <v>0</v>
      </c>
      <c r="BW15" t="str" cm="1">
        <f t="array" ref="BW15">IF(Щиты[[#This Row],[_строка фидера]]="","",INDEX(Линии[Источник для режимов],Щиты[[#This Row],[_строка фидера]]))</f>
        <v>Ввод 1</v>
      </c>
      <c r="BX15" t="str" cm="1">
        <f t="array" ref="BX15">IF(Щиты[[#This Row],[_строка фидера]]="","",INDEX(Линии[Пожарная (итог)],Щиты[[#This Row],[_строка фидера]]))</f>
        <v>нет</v>
      </c>
      <c r="BY15" t="str" cm="1">
        <f t="array" ref="BY15">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;25:L1;26:L1;</v>
      </c>
    </row>
    <row r="16" spans="1:81" x14ac:dyDescent="0.3">
      <c r="A16" t="s">
        <v>1109</v>
      </c>
      <c r="B16" t="str">
        <f>Щиты[[#This Row],[_авто питается от]]</f>
        <v>ЩГП</v>
      </c>
      <c r="C16">
        <v>1</v>
      </c>
      <c r="D16" t="s">
        <v>484</v>
      </c>
      <c r="E16" t="s">
        <v>835</v>
      </c>
      <c r="F16">
        <v>17</v>
      </c>
      <c r="U16"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16" t="str" cm="1">
        <f t="array" ref="V16">IF(Щиты[[#This Row],[_строка фидера]]="","",INDEX(Линии[Номер линии],Щиты[[#This Row],[_строка фидера]]))</f>
        <v>ЩО-001</v>
      </c>
      <c r="W16" s="6">
        <f>SUMIFS(Щиты[_Руст собств],Щиты[Путь],"*|"&amp;Щиты[[#This Row],[Щит]]&amp;"|*")</f>
        <v>1.9000000000000006</v>
      </c>
      <c r="X16" s="6">
        <f>k_пк*Щиты[[#This Row],[Руст быт, кВт]]*Щиты[[#This Row],[Кс быт]]+Щиты[[#This Row],[Ко]]*Щиты[[#This Row],[Рр сил, кВт]]+Щиты[[#This Row],[Руст пост, кВт]]+Щиты[[#This Row],[Р отопления, кВт]]+Щиты[[#This Row],[Рр ВНГ, кВт]]</f>
        <v>1.5200000000000005</v>
      </c>
      <c r="Y16" s="6">
        <f>IFERROR(MAX(MAX(Щиты[[#This Row],[P L1, кВт]],Щиты[[#This Row],[P L2, кВт]],Щиты[[#This Row],[P L3, кВт]])*Щиты[[#This Row],[Кс итог]]/((Uн_лин*1000/SQRT(3))/1000*Щиты[[#This Row],[cos φ]]),Щиты[[#This Row],[Рр, кВт]]/(SQRT(3)*Uн_лин*Щиты[[#This Row],[cos φ]])),0)</f>
        <v>2.5524959269436094</v>
      </c>
      <c r="Z16" s="6">
        <f>IFERROR(SUMIFS(Щиты[_Pcos собств],Щиты[Путь],"*|"&amp;Щиты[[#This Row],[Щит]]&amp;"|*")/SUMIFS(Щиты[_P собств],Щиты[Путь],"*|"&amp;Щиты[[#This Row],[Щит]]&amp;"|*"),0.95)</f>
        <v>0.94999999999999951</v>
      </c>
      <c r="AA16" s="6" cm="1">
        <f t="array" ref="AA16">SUMPRODUCT(--ISNUMBER(SEARCH("|"&amp;Щиты[Щит]&amp;"|",Щиты[[#This Row],[Путь]])),IFERROR(--Щиты[_ΔU фидера],0)+IFERROR(--Щиты[_ΔU источника],0))</f>
        <v>0.17</v>
      </c>
      <c r="AB16" s="6" t="str">
        <f>IF(ISNUMBER(Щиты[[#This Row],[Zпетли на шинах, Ом]]),c_min*(Uн_лин*1000/SQRT(3))/Щиты[[#This Row],[Zпетли на шинах, Ом]],"")</f>
        <v/>
      </c>
      <c r="AC16" s="6" t="str">
        <f>IF(ISNUMBER(Щиты[[#This Row],[Zmax на шинах, Ом]]),1.05*(Uн_лин*1000/SQRT(3))/Щиты[[#This Row],[Zmax на шинах, Ом]]/1000,"")</f>
        <v/>
      </c>
      <c r="AD16" t="str" cm="1">
        <f t="array" ref="AD16">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16" t="str" cm="1">
        <f t="array" ref="AE16">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|ГРЩ-ЖД|ЩГП|ЩО-001|</v>
      </c>
      <c r="AF16" s="6" t="str">
        <f>_xlfn.TEXTBEFORE(MID(Щиты[[#This Row],[Путь]],2,999),"|")</f>
        <v>ГРЩ-ЖД</v>
      </c>
      <c r="AG16" t="str">
        <f>IF(TRIM(Щиты[[#This Row],[Питается от]]&amp;"")="",Щиты[[#This Row],[_авто питается от]],Щиты[[#This Row],[Питается от]])</f>
        <v>ЩГП</v>
      </c>
      <c r="AH16">
        <f>LEN(Щиты[[#This Row],[Путь]])-LEN(SUBSTITUTE(Щиты[[#This Row],[Путь]],"|",""))-2</f>
        <v>2</v>
      </c>
      <c r="AI16">
        <f>IFERROR(_xlfn.XMATCH(Щиты[[#This Row],[Щит]],Линии[_фидер]),"")</f>
        <v>27</v>
      </c>
      <c r="AJ16" t="str" cm="1">
        <f t="array" ref="AJ16">IFERROR(INDEX(Линии[Щит],Щиты[[#This Row],[_строка фидера]]),"")</f>
        <v>ЩГП</v>
      </c>
      <c r="AK16">
        <f>SUMIFS(Линии[_Руст (без Нет)],Линии[Щит],Щиты[[#This Row],[Щит]])</f>
        <v>1.9000000000000006</v>
      </c>
      <c r="AL16">
        <f>SUMIFS(Линии[_Руст быт],Линии[Щит],Щиты[[#This Row],[Щит]])</f>
        <v>1.9000000000000006</v>
      </c>
      <c r="AM16">
        <f>SUMIFS(Линии[_Рр сил],Линии[Щит],Щиты[[#This Row],[Щит]])</f>
        <v>0</v>
      </c>
      <c r="AN16">
        <f>SUMIFS(Линии[_Руст пост],Линии[Щит],Щиты[[#This Row],[Щит]])</f>
        <v>0</v>
      </c>
      <c r="AO16">
        <f>SUMIFS(Линии[_P для cos],Линии[Щит],Щиты[[#This Row],[Щит]])</f>
        <v>1.9000000000000006</v>
      </c>
      <c r="AP16">
        <f>SUMIFS(Линии[_P·cos],Линии[Щит],Щиты[[#This Row],[Щит]])</f>
        <v>1.8049999999999997</v>
      </c>
      <c r="AQ16">
        <f>SUMIFS(Линии[_Р отопления],Линии[Щит],Щиты[[#This Row],[Щит]])</f>
        <v>0</v>
      </c>
      <c r="AR16">
        <f>SUMIFS(Линии[_Рр ВНГ],Линии[Щит],Щиты[[#This Row],[Щит]])</f>
        <v>0</v>
      </c>
      <c r="AS16" s="6">
        <f>SUMIFS(Щиты[_быт собств],Щиты[Путь],"*|"&amp;Щиты[[#This Row],[Щит]]&amp;"|*")</f>
        <v>1.9000000000000006</v>
      </c>
      <c r="AT16" s="6" cm="1">
        <f t="array" ref="AT16">_xlfn.LET(_xlpm.x,Щиты[[#This Row],[Руст быт, кВт]],_xlpm.m,MATCH(_xlpm.x,Кс_Р,1),IF(_xlpm.x&gt;=INDEX(Кс_Р,ROWS(Кс_Р)),INDEX(Кс_К,ROWS(Кс_К)),INDEX(Кс_К,_xlpm.m)+(_xlpm.x-INDEX(Кс_Р,_xlpm.m))*(INDEX(Кс_К,_xlpm.m+1)-INDEX(Кс_К,_xlpm.m))/(INDEX(Кс_Р,_xlpm.m+1)-INDEX(Кс_Р,_xlpm.m))))</f>
        <v>0.8</v>
      </c>
      <c r="AU16" s="6">
        <f>SUMIFS(Щиты[_сил собств],Щиты[Путь],"*|"&amp;Щиты[[#This Row],[Щит]]&amp;"|*")</f>
        <v>0</v>
      </c>
      <c r="AV16" s="6">
        <f>SUMIFS(Щиты[_пост собств],Щиты[Путь],"*|"&amp;Щиты[[#This Row],[Щит]]&amp;"|*")</f>
        <v>0</v>
      </c>
      <c r="AW16" s="6">
        <f>SUMIFS(Щиты[_отоп собств],Щиты[Путь],"*|"&amp;Щиты[[#This Row],[Щит]]&amp;"|*")</f>
        <v>0</v>
      </c>
      <c r="AX16" s="6">
        <f>SUMIFS(Щиты[_внг собств],Щиты[Путь],"*|"&amp;Щиты[[#This Row],[Щит]]&amp;"|*")</f>
        <v>0</v>
      </c>
      <c r="AY16">
        <f>COUNTIFS(Линии[Щит],Щиты[[#This Row],[Щит]],Линии[Группа Кс (итог)],"Сил")</f>
        <v>0</v>
      </c>
      <c r="AZ16" s="6" cm="1">
        <f t="array" ref="AZ16">_xlfn.LET(_xlpm.n,Щиты[[#This Row],[_n силовых]],IF(_xlpm.n&lt;=1,1,IF(_xlpm.n&gt;=MAX(Кс75_n),INDEX(Кс75_k,ROWS(Кс75_k)),_xlfn.LET(_xlpm.m,MATCH(_xlpm.n,Кс75_n,1),INDEX(Кс75_k,_xlpm.m)+(_xlpm.n-INDEX(Кс75_n,_xlpm.m))*(INDEX(Кс75_k,_xlpm.m+1)-INDEX(Кс75_k,_xlpm.m))/(INDEX(Кс75_n,_xlpm.m+1)-INDEX(Кс75_n,_xlpm.m))))))</f>
        <v>1</v>
      </c>
      <c r="BA16" s="6">
        <f>IF(Методика="нормы 2026",IF(AND(Щиты[[#This Row],[Руст быт, кВт]]&gt;0,Щиты[[#This Row],[Рр сил, кВт]]&gt;0),Ко_сил,1),Ко_сил)</f>
        <v>1</v>
      </c>
      <c r="BB16" s="6">
        <f>IF(Щиты[[#This Row],[Руст, кВт]]=0,0,Щиты[[#This Row],[Рр, кВт]]/Щиты[[#This Row],[Руст, кВт]])</f>
        <v>0.8</v>
      </c>
      <c r="BC16"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0.7</v>
      </c>
      <c r="BD16"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0.6</v>
      </c>
      <c r="BE16"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0.6</v>
      </c>
      <c r="BF16" cm="1">
        <f t="array" ref="BF16">IF(Щиты[[#This Row],[_строка фидера]]="","",INDEX(Линии[ΔU, %],Щиты[[#This Row],[_строка фидера]]))</f>
        <v>0.17</v>
      </c>
      <c r="BG16">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16">
        <f>IF(Щиты[[#This Row],[Питается от (итог)]]&lt;&gt;"",0,IF(LEFT(UPPER(TRIM(Щиты[[#This Row],[Питание: от (ТП / сеть)]])),2)="ТП",0,N(Щиты[[#This Row],[ΔU до питающего, %]])+Щиты[[#This Row],[_ΔU пит. линии]]))</f>
        <v>0</v>
      </c>
      <c r="BI16">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16"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16" t="str">
        <f>IF(Щиты[[#This Row],[_Zсети]]="","",Щиты[[#This Row],[_Zсети]]+Щиты[[#This Row],[_петля пит. кабеля]])</f>
        <v/>
      </c>
      <c r="BL16" cm="1">
        <f t="array" ref="BL16">IF(Щиты[[#This Row],[_строка фидера]]="","",INDEX(Линии[_Zкабеля],Щиты[[#This Row],[_строка фидера]]))</f>
        <v>0.35943333333333333</v>
      </c>
      <c r="BM16" s="6" t="str" cm="1">
        <f t="array" ref="BM16">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16"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16"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16" cm="1">
        <f t="array" ref="BP16">IF(Щиты[[#This Row],[_строка фидера]]="","",INDEX(Линии[_Zmax кабеля],Щиты[[#This Row],[_строка фидера]]))</f>
        <v>0.11958333333333333</v>
      </c>
      <c r="BQ16" s="6" t="str" cm="1">
        <f t="array" ref="BQ16">IF(_xlfn.XLOOKUP(Щиты[[#This Row],[Корень]],Щиты[Щит],Щиты[_Zmax источника],"")="","",SUMPRODUCT(--ISNUMBER(SEARCH("|"&amp;Щиты[Щит]&amp;"|",Щиты[[#This Row],[Путь]])),IFERROR(--Щиты[_Zmax источника],0)+IFERROR(--Щиты[_Zmax фидера],0)))</f>
        <v/>
      </c>
      <c r="BR16" cm="1">
        <f t="array" ref="BR16">IF(Щиты[[#This Row],[_строка фидера]]="","",INDEX(Линии[_ΔU по току, %],Щиты[[#This Row],[_строка фидера]]))</f>
        <v>0.65</v>
      </c>
      <c r="BS16" s="6" cm="1">
        <f t="array" ref="BS16">SUMPRODUCT(--ISNUMBER(SEARCH("|"&amp;Щиты[Щит]&amp;"|",Щиты[[#This Row],[Путь]])),IFERROR(--Щиты[_ΔU фидера (подбор)],0)+IFERROR(--Щиты[_ΔU источника],0))</f>
        <v>0.65</v>
      </c>
      <c r="BT16" cm="1">
        <f t="array" ref="BT16">IF(Щиты[[#This Row],[_строка фидера]]="","",INDEX(Линии[_Zкабеля по току],Щиты[[#This Row],[_строка фидера]]))</f>
        <v>1.4377333333333333</v>
      </c>
      <c r="BU16" s="6" t="str" cm="1">
        <f t="array" ref="BU16">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16" s="6">
        <f>_xlfn.MAXIFS(Линии[Iпуск, А],Линии[Щит],Щиты[[#This Row],[Щит]])</f>
        <v>50</v>
      </c>
      <c r="BW16" t="str" cm="1">
        <f t="array" ref="BW16">IF(Щиты[[#This Row],[_строка фидера]]="","",INDEX(Линии[Источник для режимов],Щиты[[#This Row],[_строка фидера]]))</f>
        <v>ИБП</v>
      </c>
      <c r="BX16" t="str" cm="1">
        <f t="array" ref="BX16">IF(Щиты[[#This Row],[_строка фидера]]="","",INDEX(Линии[Пожарная (итог)],Щиты[[#This Row],[_строка фидера]]))</f>
        <v>нет</v>
      </c>
      <c r="BY16" t="str" cm="1">
        <f t="array" ref="BY16">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;30:L1;31:L2;32:L3;33:L1;34:L2;35:L3;36:L1;37:L2;38:L3;39:L1;40:L2;41:L3;42:L1;43:L2;44:L3;45:L1;46:L2;47:L3;50:L1;48:L2;49:L2;</v>
      </c>
    </row>
    <row r="17" spans="1:77" x14ac:dyDescent="0.3">
      <c r="A17" t="s">
        <v>747</v>
      </c>
      <c r="B17" t="str">
        <f>Щиты[[#This Row],[_авто питается от]]</f>
        <v>ГРЩ-ЖД</v>
      </c>
      <c r="C17">
        <v>1</v>
      </c>
      <c r="D17" t="s">
        <v>484</v>
      </c>
      <c r="E17" t="s">
        <v>835</v>
      </c>
      <c r="F17">
        <v>13</v>
      </c>
      <c r="U17"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17" t="str" cm="1">
        <f t="array" ref="V17">IF(Щиты[[#This Row],[_строка фидера]]="","",INDEX(Линии[Номер линии],Щиты[[#This Row],[_строка фидера]]))</f>
        <v>ЩОВ-001</v>
      </c>
      <c r="W17" s="6">
        <f>SUMIFS(Щиты[_Руст собств],Щиты[Путь],"*|"&amp;Щиты[[#This Row],[Щит]]&amp;"|*")</f>
        <v>211.22</v>
      </c>
      <c r="X17" s="6">
        <f>k_пк*Щиты[[#This Row],[Руст быт, кВт]]*Щиты[[#This Row],[Кс быт]]+Щиты[[#This Row],[Ко]]*Щиты[[#This Row],[Рр сил, кВт]]+Щиты[[#This Row],[Руст пост, кВт]]+Щиты[[#This Row],[Р отопления, кВт]]+Щиты[[#This Row],[Рр ВНГ, кВт]]</f>
        <v>105.61</v>
      </c>
      <c r="Y17" s="6">
        <f>IFERROR(MAX(MAX(Щиты[[#This Row],[P L1, кВт]],Щиты[[#This Row],[P L2, кВт]],Щиты[[#This Row],[P L3, кВт]])*Щиты[[#This Row],[Кс итог]]/((Uн_лин*1000/SQRT(3))/1000*Щиты[[#This Row],[cos φ]]),Щиты[[#This Row],[Рр, кВт]]/(SQRT(3)*Uн_лин*Щиты[[#This Row],[cos φ]])),0)</f>
        <v>190.59775761622515</v>
      </c>
      <c r="Z17" s="6">
        <f>IFERROR(SUMIFS(Щиты[_Pcos собств],Щиты[Путь],"*|"&amp;Щиты[[#This Row],[Щит]]&amp;"|*")/SUMIFS(Щиты[_P собств],Щиты[Путь],"*|"&amp;Щиты[[#This Row],[Щит]]&amp;"|*"),0.95)</f>
        <v>0.8</v>
      </c>
      <c r="AA17" s="6" cm="1">
        <f t="array" ref="AA17">SUMPRODUCT(--ISNUMBER(SEARCH("|"&amp;Щиты[Щит]&amp;"|",Щиты[[#This Row],[Путь]])),IFERROR(--Щиты[_ΔU фидера],0)+IFERROR(--Щиты[_ΔU источника],0))</f>
        <v>0.64</v>
      </c>
      <c r="AB17" s="6" t="str">
        <f>IF(ISNUMBER(Щиты[[#This Row],[Zпетли на шинах, Ом]]),c_min*(Uн_лин*1000/SQRT(3))/Щиты[[#This Row],[Zпетли на шинах, Ом]],"")</f>
        <v/>
      </c>
      <c r="AC17" s="6" t="str">
        <f>IF(ISNUMBER(Щиты[[#This Row],[Zmax на шинах, Ом]]),1.05*(Uн_лин*1000/SQRT(3))/Щиты[[#This Row],[Zmax на шинах, Ом]]/1000,"")</f>
        <v/>
      </c>
      <c r="AD17" t="str" cm="1">
        <f t="array" ref="AD17">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17" t="str" cm="1">
        <f t="array" ref="AE17">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|ГРЩ-ЖД|ЩОВ-001|</v>
      </c>
      <c r="AF17" s="6" t="str">
        <f>_xlfn.TEXTBEFORE(MID(Щиты[[#This Row],[Путь]],2,999),"|")</f>
        <v>ГРЩ-ЖД</v>
      </c>
      <c r="AG17" t="str">
        <f>IF(TRIM(Щиты[[#This Row],[Питается от]]&amp;"")="",Щиты[[#This Row],[_авто питается от]],Щиты[[#This Row],[Питается от]])</f>
        <v>ГРЩ-ЖД</v>
      </c>
      <c r="AH17">
        <f>LEN(Щиты[[#This Row],[Путь]])-LEN(SUBSTITUTE(Щиты[[#This Row],[Путь]],"|",""))-2</f>
        <v>1</v>
      </c>
      <c r="AI17">
        <f>IFERROR(_xlfn.XMATCH(Щиты[[#This Row],[Щит]],Линии[_фидер]),"")</f>
        <v>6</v>
      </c>
      <c r="AJ17" t="str" cm="1">
        <f t="array" ref="AJ17">IFERROR(INDEX(Линии[Щит],Щиты[[#This Row],[_строка фидера]]),"")</f>
        <v>ГРЩ-ЖД</v>
      </c>
      <c r="AK17">
        <f>SUMIFS(Линии[_Руст (без Нет)],Линии[Щит],Щиты[[#This Row],[Щит]])</f>
        <v>211.22</v>
      </c>
      <c r="AL17">
        <f>SUMIFS(Линии[_Руст быт],Линии[Щит],Щиты[[#This Row],[Щит]])</f>
        <v>0</v>
      </c>
      <c r="AM17">
        <f>SUMIFS(Линии[_Рр сил],Линии[Щит],Щиты[[#This Row],[Щит]])</f>
        <v>105.61</v>
      </c>
      <c r="AN17">
        <f>SUMIFS(Линии[_Руст пост],Линии[Щит],Щиты[[#This Row],[Щит]])</f>
        <v>0</v>
      </c>
      <c r="AO17">
        <f>SUMIFS(Линии[_P для cos],Линии[Щит],Щиты[[#This Row],[Щит]])</f>
        <v>211.22</v>
      </c>
      <c r="AP17">
        <f>SUMIFS(Линии[_P·cos],Линии[Щит],Щиты[[#This Row],[Щит]])</f>
        <v>168.976</v>
      </c>
      <c r="AQ17">
        <f>SUMIFS(Линии[_Р отопления],Линии[Щит],Щиты[[#This Row],[Щит]])</f>
        <v>0</v>
      </c>
      <c r="AR17">
        <f>SUMIFS(Линии[_Рр ВНГ],Линии[Щит],Щиты[[#This Row],[Щит]])</f>
        <v>0</v>
      </c>
      <c r="AS17" s="6">
        <f>SUMIFS(Щиты[_быт собств],Щиты[Путь],"*|"&amp;Щиты[[#This Row],[Щит]]&amp;"|*")</f>
        <v>0</v>
      </c>
      <c r="AT17" s="6" cm="1">
        <f t="array" ref="AT17">_xlfn.LET(_xlpm.x,Щиты[[#This Row],[Руст быт, кВт]],_xlpm.m,MATCH(_xlpm.x,Кс_Р,1),IF(_xlpm.x&gt;=INDEX(Кс_Р,ROWS(Кс_Р)),INDEX(Кс_К,ROWS(Кс_К)),INDEX(Кс_К,_xlpm.m)+(_xlpm.x-INDEX(Кс_Р,_xlpm.m))*(INDEX(Кс_К,_xlpm.m+1)-INDEX(Кс_К,_xlpm.m))/(INDEX(Кс_Р,_xlpm.m+1)-INDEX(Кс_Р,_xlpm.m))))</f>
        <v>0.8</v>
      </c>
      <c r="AU17" s="6">
        <f>SUMIFS(Щиты[_сил собств],Щиты[Путь],"*|"&amp;Щиты[[#This Row],[Щит]]&amp;"|*")</f>
        <v>105.61</v>
      </c>
      <c r="AV17" s="6">
        <f>SUMIFS(Щиты[_пост собств],Щиты[Путь],"*|"&amp;Щиты[[#This Row],[Щит]]&amp;"|*")</f>
        <v>0</v>
      </c>
      <c r="AW17" s="6">
        <f>SUMIFS(Щиты[_отоп собств],Щиты[Путь],"*|"&amp;Щиты[[#This Row],[Щит]]&amp;"|*")</f>
        <v>0</v>
      </c>
      <c r="AX17" s="6">
        <f>SUMIFS(Щиты[_внг собств],Щиты[Путь],"*|"&amp;Щиты[[#This Row],[Щит]]&amp;"|*")</f>
        <v>0</v>
      </c>
      <c r="AY17">
        <f>COUNTIFS(Линии[Щит],Щиты[[#This Row],[Щит]],Линии[Группа Кс (итог)],"Сил")</f>
        <v>34</v>
      </c>
      <c r="AZ17" s="6" cm="1">
        <f t="array" ref="AZ17">_xlfn.LET(_xlpm.n,Щиты[[#This Row],[_n силовых]],IF(_xlpm.n&lt;=1,1,IF(_xlpm.n&gt;=MAX(Кс75_n),INDEX(Кс75_k,ROWS(Кс75_k)),_xlfn.LET(_xlpm.m,MATCH(_xlpm.n,Кс75_n,1),INDEX(Кс75_k,_xlpm.m)+(_xlpm.n-INDEX(Кс75_n,_xlpm.m))*(INDEX(Кс75_k,_xlpm.m+1)-INDEX(Кс75_k,_xlpm.m))/(INDEX(Кс75_n,_xlpm.m+1)-INDEX(Кс75_n,_xlpm.m))))))</f>
        <v>0.59</v>
      </c>
      <c r="BA17" s="6">
        <f>IF(Методика="нормы 2026",IF(AND(Щиты[[#This Row],[Руст быт, кВт]]&gt;0,Щиты[[#This Row],[Рр сил, кВт]]&gt;0),Ко_сил,1),Ко_сил)</f>
        <v>1</v>
      </c>
      <c r="BB17" s="6">
        <f>IF(Щиты[[#This Row],[Руст, кВт]]=0,0,Щиты[[#This Row],[Рр, кВт]]/Щиты[[#This Row],[Руст, кВт]])</f>
        <v>0.5</v>
      </c>
      <c r="BC17"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70.416666666666657</v>
      </c>
      <c r="BD17"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70.376666666666665</v>
      </c>
      <c r="BE17"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70.426666666666662</v>
      </c>
      <c r="BF17" cm="1">
        <f t="array" ref="BF17">IF(Щиты[[#This Row],[_строка фидера]]="","",INDEX(Линии[ΔU, %],Щиты[[#This Row],[_строка фидера]]))</f>
        <v>0.64</v>
      </c>
      <c r="BG17">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17">
        <f>IF(Щиты[[#This Row],[Питается от (итог)]]&lt;&gt;"",0,IF(LEFT(UPPER(TRIM(Щиты[[#This Row],[Питание: от (ТП / сеть)]])),2)="ТП",0,N(Щиты[[#This Row],[ΔU до питающего, %]])+Щиты[[#This Row],[_ΔU пит. линии]]))</f>
        <v>0</v>
      </c>
      <c r="BI17">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17"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17" t="str">
        <f>IF(Щиты[[#This Row],[_Zсети]]="","",Щиты[[#This Row],[_Zсети]]+Щиты[[#This Row],[_петля пит. кабеля]])</f>
        <v/>
      </c>
      <c r="BL17" cm="1">
        <f t="array" ref="BL17">IF(Щиты[[#This Row],[_строка фидера]]="","",INDEX(Линии[_Zкабеля],Щиты[[#This Row],[_строка фидера]]))</f>
        <v>1.6490810810810812E-2</v>
      </c>
      <c r="BM17" s="6" t="str" cm="1">
        <f t="array" ref="BM17">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17"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17"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17" cm="1">
        <f t="array" ref="BP17">IF(Щиты[[#This Row],[_строка фидера]]="","",INDEX(Линии[_Zmax кабеля],Щиты[[#This Row],[_строка фидера]]))</f>
        <v>5.486486486486487E-3</v>
      </c>
      <c r="BQ17" s="6" t="str" cm="1">
        <f t="array" ref="BQ17">IF(_xlfn.XLOOKUP(Щиты[[#This Row],[Корень]],Щиты[Щит],Щиты[_Zmax источника],"")="","",SUMPRODUCT(--ISNUMBER(SEARCH("|"&amp;Щиты[Щит]&amp;"|",Щиты[[#This Row],[Путь]])),IFERROR(--Щиты[_Zmax источника],0)+IFERROR(--Щиты[_Zmax фидера],0)))</f>
        <v/>
      </c>
      <c r="BR17" cm="1">
        <f t="array" ref="BR17">IF(Щиты[[#This Row],[_строка фидера]]="","",INDEX(Линии[_ΔU по току, %],Щиты[[#This Row],[_строка фидера]]))</f>
        <v>0.75</v>
      </c>
      <c r="BS17" s="6" cm="1">
        <f t="array" ref="BS17">SUMPRODUCT(--ISNUMBER(SEARCH("|"&amp;Щиты[Щит]&amp;"|",Щиты[[#This Row],[Путь]])),IFERROR(--Щиты[_ΔU фидера (подбор)],0)+IFERROR(--Щиты[_ΔU источника],0))</f>
        <v>0.75</v>
      </c>
      <c r="BT17" cm="1">
        <f t="array" ref="BT17">IF(Щиты[[#This Row],[_строка фидера]]="","",INDEX(Линии[_Zкабеля по току],Щиты[[#This Row],[_строка фидера]]))</f>
        <v>2.0338666666666668E-2</v>
      </c>
      <c r="BU17" s="6" t="str" cm="1">
        <f t="array" ref="BU17">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17" s="6">
        <f>_xlfn.MAXIFS(Линии[Iпуск, А],Линии[Щит],Щиты[[#This Row],[Щит]])</f>
        <v>0</v>
      </c>
      <c r="BW17" t="str" cm="1">
        <f t="array" ref="BW17">IF(Щиты[[#This Row],[_строка фидера]]="","",INDEX(Линии[Источник для режимов],Щиты[[#This Row],[_строка фидера]]))</f>
        <v>Ввод 2</v>
      </c>
      <c r="BX17" t="str" cm="1">
        <f t="array" ref="BX17">IF(Щиты[[#This Row],[_строка фидера]]="","",INDEX(Линии[Пожарная (итог)],Щиты[[#This Row],[_строка фидера]]))</f>
        <v>нет</v>
      </c>
      <c r="BY17" t="str" cm="1">
        <f t="array" ref="BY17">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;62:L1;67:L2;68:L3;69:L2;70:L3;71:L1;72:L2;73:L3;74:L1;75:L2;76:L3;77:L1;64:L2;61:L3;63:L1;65:L1;66:L1;59:L3;60:L2;52:L1;53:L2;54:L1;55:L3;56:L2;57:L1;58:L3;</v>
      </c>
    </row>
    <row r="18" spans="1:77" x14ac:dyDescent="0.3">
      <c r="A18" t="s">
        <v>749</v>
      </c>
      <c r="B18" t="str">
        <f>Щиты[[#This Row],[_авто питается от]]</f>
        <v>ГРЩ-ЖД</v>
      </c>
      <c r="C18">
        <v>1</v>
      </c>
      <c r="D18" t="s">
        <v>484</v>
      </c>
      <c r="E18" t="s">
        <v>835</v>
      </c>
      <c r="F18">
        <v>18</v>
      </c>
      <c r="U18"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18" t="str" cm="1">
        <f t="array" ref="V18">IF(Щиты[[#This Row],[_строка фидера]]="","",INDEX(Линии[Номер линии],Щиты[[#This Row],[_строка фидера]]))</f>
        <v>ЩОВ-002</v>
      </c>
      <c r="W18" s="6">
        <f>SUMIFS(Щиты[_Руст собств],Щиты[Путь],"*|"&amp;Щиты[[#This Row],[Щит]]&amp;"|*")</f>
        <v>6.99</v>
      </c>
      <c r="X18" s="6">
        <f>k_пк*Щиты[[#This Row],[Руст быт, кВт]]*Щиты[[#This Row],[Кс быт]]+Щиты[[#This Row],[Ко]]*Щиты[[#This Row],[Рр сил, кВт]]+Щиты[[#This Row],[Руст пост, кВт]]+Щиты[[#This Row],[Р отопления, кВт]]+Щиты[[#This Row],[Рр ВНГ, кВт]]</f>
        <v>3.4950000000000001</v>
      </c>
      <c r="Y18" s="6">
        <f>IFERROR(MAX(MAX(Щиты[[#This Row],[P L1, кВт]],Щиты[[#This Row],[P L2, кВт]],Щиты[[#This Row],[P L3, кВт]])*Щиты[[#This Row],[Кс итог]]/((Uн_лин*1000/SQRT(3))/1000*Щиты[[#This Row],[cos φ]]),Щиты[[#This Row],[Рр, кВт]]/(SQRT(3)*Uн_лин*Щиты[[#This Row],[cos φ]])),0)</f>
        <v>8.1189881604791125</v>
      </c>
      <c r="Z18" s="6">
        <f>IFERROR(SUMIFS(Щиты[_Pcos собств],Щиты[Путь],"*|"&amp;Щиты[[#This Row],[Щит]]&amp;"|*")/SUMIFS(Щиты[_P собств],Щиты[Путь],"*|"&amp;Щиты[[#This Row],[Щит]]&amp;"|*"),0.95)</f>
        <v>0.79999999999999982</v>
      </c>
      <c r="AA18" s="6" cm="1">
        <f t="array" ref="AA18">SUMPRODUCT(--ISNUMBER(SEARCH("|"&amp;Щиты[Щит]&amp;"|",Щиты[[#This Row],[Путь]])),IFERROR(--Щиты[_ΔU фидера],0)+IFERROR(--Щиты[_ΔU источника],0))</f>
        <v>0.74</v>
      </c>
      <c r="AB18" s="6" t="str">
        <f>IF(ISNUMBER(Щиты[[#This Row],[Zпетли на шинах, Ом]]),c_min*(Uн_лин*1000/SQRT(3))/Щиты[[#This Row],[Zпетли на шинах, Ом]],"")</f>
        <v/>
      </c>
      <c r="AC18" s="6" t="str">
        <f>IF(ISNUMBER(Щиты[[#This Row],[Zmax на шинах, Ом]]),1.05*(Uн_лин*1000/SQRT(3))/Щиты[[#This Row],[Zmax на шинах, Ом]]/1000,"")</f>
        <v/>
      </c>
      <c r="AD18" t="str" cm="1">
        <f t="array" ref="AD18">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18" t="str" cm="1">
        <f t="array" ref="AE18">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|ГРЩ-ЖД|ЩОВ-002|</v>
      </c>
      <c r="AF18" s="6" t="str">
        <f>_xlfn.TEXTBEFORE(MID(Щиты[[#This Row],[Путь]],2,999),"|")</f>
        <v>ГРЩ-ЖД</v>
      </c>
      <c r="AG18" t="str">
        <f>IF(TRIM(Щиты[[#This Row],[Питается от]]&amp;"")="",Щиты[[#This Row],[_авто питается от]],Щиты[[#This Row],[Питается от]])</f>
        <v>ГРЩ-ЖД</v>
      </c>
      <c r="AH18">
        <f>LEN(Щиты[[#This Row],[Путь]])-LEN(SUBSTITUTE(Щиты[[#This Row],[Путь]],"|",""))-2</f>
        <v>1</v>
      </c>
      <c r="AI18">
        <f>IFERROR(_xlfn.XMATCH(Щиты[[#This Row],[Щит]],Линии[_фидер]),"")</f>
        <v>7</v>
      </c>
      <c r="AJ18" t="str" cm="1">
        <f t="array" ref="AJ18">IFERROR(INDEX(Линии[Щит],Щиты[[#This Row],[_строка фидера]]),"")</f>
        <v>ГРЩ-ЖД</v>
      </c>
      <c r="AK18">
        <f>SUMIFS(Линии[_Руст (без Нет)],Линии[Щит],Щиты[[#This Row],[Щит]])</f>
        <v>6.99</v>
      </c>
      <c r="AL18">
        <f>SUMIFS(Линии[_Руст быт],Линии[Щит],Щиты[[#This Row],[Щит]])</f>
        <v>0</v>
      </c>
      <c r="AM18">
        <f>SUMIFS(Линии[_Рр сил],Линии[Щит],Щиты[[#This Row],[Щит]])</f>
        <v>3.4950000000000001</v>
      </c>
      <c r="AN18">
        <f>SUMIFS(Линии[_Руст пост],Линии[Щит],Щиты[[#This Row],[Щит]])</f>
        <v>0</v>
      </c>
      <c r="AO18">
        <f>SUMIFS(Линии[_P для cos],Линии[Щит],Щиты[[#This Row],[Щит]])</f>
        <v>6.99</v>
      </c>
      <c r="AP18">
        <f>SUMIFS(Линии[_P·cos],Линии[Щит],Щиты[[#This Row],[Щит]])</f>
        <v>5.5919999999999987</v>
      </c>
      <c r="AQ18">
        <f>SUMIFS(Линии[_Р отопления],Линии[Щит],Щиты[[#This Row],[Щит]])</f>
        <v>0</v>
      </c>
      <c r="AR18">
        <f>SUMIFS(Линии[_Рр ВНГ],Линии[Щит],Щиты[[#This Row],[Щит]])</f>
        <v>0</v>
      </c>
      <c r="AS18" s="6">
        <f>SUMIFS(Щиты[_быт собств],Щиты[Путь],"*|"&amp;Щиты[[#This Row],[Щит]]&amp;"|*")</f>
        <v>0</v>
      </c>
      <c r="AT18" s="6" cm="1">
        <f t="array" ref="AT18">_xlfn.LET(_xlpm.x,Щиты[[#This Row],[Руст быт, кВт]],_xlpm.m,MATCH(_xlpm.x,Кс_Р,1),IF(_xlpm.x&gt;=INDEX(Кс_Р,ROWS(Кс_Р)),INDEX(Кс_К,ROWS(Кс_К)),INDEX(Кс_К,_xlpm.m)+(_xlpm.x-INDEX(Кс_Р,_xlpm.m))*(INDEX(Кс_К,_xlpm.m+1)-INDEX(Кс_К,_xlpm.m))/(INDEX(Кс_Р,_xlpm.m+1)-INDEX(Кс_Р,_xlpm.m))))</f>
        <v>0.8</v>
      </c>
      <c r="AU18" s="6">
        <f>SUMIFS(Щиты[_сил собств],Щиты[Путь],"*|"&amp;Щиты[[#This Row],[Щит]]&amp;"|*")</f>
        <v>3.4950000000000001</v>
      </c>
      <c r="AV18" s="6">
        <f>SUMIFS(Щиты[_пост собств],Щиты[Путь],"*|"&amp;Щиты[[#This Row],[Щит]]&amp;"|*")</f>
        <v>0</v>
      </c>
      <c r="AW18" s="6">
        <f>SUMIFS(Щиты[_отоп собств],Щиты[Путь],"*|"&amp;Щиты[[#This Row],[Щит]]&amp;"|*")</f>
        <v>0</v>
      </c>
      <c r="AX18" s="6">
        <f>SUMIFS(Щиты[_внг собств],Щиты[Путь],"*|"&amp;Щиты[[#This Row],[Щит]]&amp;"|*")</f>
        <v>0</v>
      </c>
      <c r="AY18">
        <f>COUNTIFS(Линии[Щит],Щиты[[#This Row],[Щит]],Линии[Группа Кс (итог)],"Сил")</f>
        <v>13</v>
      </c>
      <c r="AZ18" s="6" cm="1">
        <f t="array" ref="AZ18">_xlfn.LET(_xlpm.n,Щиты[[#This Row],[_n силовых]],IF(_xlpm.n&lt;=1,1,IF(_xlpm.n&gt;=MAX(Кс75_n),INDEX(Кс75_k,ROWS(Кс75_k)),_xlfn.LET(_xlpm.m,MATCH(_xlpm.n,Кс75_n,1),INDEX(Кс75_k,_xlpm.m)+(_xlpm.n-INDEX(Кс75_n,_xlpm.m))*(INDEX(Кс75_k,_xlpm.m+1)-INDEX(Кс75_k,_xlpm.m))/(INDEX(Кс75_n,_xlpm.m+1)-INDEX(Кс75_n,_xlpm.m))))))</f>
        <v>0.67</v>
      </c>
      <c r="BA18" s="6">
        <f>IF(Методика="нормы 2026",IF(AND(Щиты[[#This Row],[Руст быт, кВт]]&gt;0,Щиты[[#This Row],[Рр сил, кВт]]&gt;0),Ко_сил,1),Ко_сил)</f>
        <v>1</v>
      </c>
      <c r="BB18" s="6">
        <f>IF(Щиты[[#This Row],[Руст, кВт]]=0,0,Щиты[[#This Row],[Рр, кВт]]/Щиты[[#This Row],[Руст, кВт]])</f>
        <v>0.5</v>
      </c>
      <c r="BC18"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1.8900000000000006</v>
      </c>
      <c r="BD18"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2.1</v>
      </c>
      <c r="BE18"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3</v>
      </c>
      <c r="BF18" cm="1">
        <f t="array" ref="BF18">IF(Щиты[[#This Row],[_строка фидера]]="","",INDEX(Линии[ΔU, %],Щиты[[#This Row],[_строка фидера]]))</f>
        <v>0.74</v>
      </c>
      <c r="BG18">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18">
        <f>IF(Щиты[[#This Row],[Питается от (итог)]]&lt;&gt;"",0,IF(LEFT(UPPER(TRIM(Щиты[[#This Row],[Питание: от (ТП / сеть)]])),2)="ТП",0,N(Щиты[[#This Row],[ΔU до питающего, %]])+Щиты[[#This Row],[_ΔU пит. линии]]))</f>
        <v>0</v>
      </c>
      <c r="BI18">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18"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18" t="str">
        <f>IF(Щиты[[#This Row],[_Zсети]]="","",Щиты[[#This Row],[_Zсети]]+Щиты[[#This Row],[_петля пит. кабеля]])</f>
        <v/>
      </c>
      <c r="BL18" cm="1">
        <f t="array" ref="BL18">IF(Щиты[[#This Row],[_строка фидера]]="","",INDEX(Линии[_Zкабеля],Щиты[[#This Row],[_строка фидера]]))</f>
        <v>0.60489999999999999</v>
      </c>
      <c r="BM18" s="6" t="str" cm="1">
        <f t="array" ref="BM18">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18"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18"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18" cm="1">
        <f t="array" ref="BP18">IF(Щиты[[#This Row],[_строка фидера]]="","",INDEX(Линии[_Zmax кабеля],Щиты[[#This Row],[_строка фидера]]))</f>
        <v>0.20125000000000001</v>
      </c>
      <c r="BQ18" s="6" t="str" cm="1">
        <f t="array" ref="BQ18">IF(_xlfn.XLOOKUP(Щиты[[#This Row],[Корень]],Щиты[Щит],Щиты[_Zmax источника],"")="","",SUMPRODUCT(--ISNUMBER(SEARCH("|"&amp;Щиты[Щит]&amp;"|",Щиты[[#This Row],[Путь]])),IFERROR(--Щиты[_Zmax источника],0)+IFERROR(--Щиты[_Zmax фидера],0)))</f>
        <v/>
      </c>
      <c r="BR18" cm="1">
        <f t="array" ref="BR18">IF(Щиты[[#This Row],[_строка фидера]]="","",INDEX(Линии[_ΔU по току, %],Щиты[[#This Row],[_строка фидера]]))</f>
        <v>1.96</v>
      </c>
      <c r="BS18" s="6" cm="1">
        <f t="array" ref="BS18">SUMPRODUCT(--ISNUMBER(SEARCH("|"&amp;Щиты[Щит]&amp;"|",Щиты[[#This Row],[Путь]])),IFERROR(--Щиты[_ΔU фидера (подбор)],0)+IFERROR(--Щиты[_ΔU источника],0))</f>
        <v>1.96</v>
      </c>
      <c r="BT18" cm="1">
        <f t="array" ref="BT18">IF(Щиты[[#This Row],[_строка фидера]]="","",INDEX(Линии[_Zкабеля по току],Щиты[[#This Row],[_строка фидера]]))</f>
        <v>1.6130666666666666</v>
      </c>
      <c r="BU18" s="6" t="str" cm="1">
        <f t="array" ref="BU18">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18" s="6">
        <f>_xlfn.MAXIFS(Линии[Iпуск, А],Линии[Щит],Щиты[[#This Row],[Щит]])</f>
        <v>0</v>
      </c>
      <c r="BW18" t="str" cm="1">
        <f t="array" ref="BW18">IF(Щиты[[#This Row],[_строка фидера]]="","",INDEX(Линии[Источник для режимов],Щиты[[#This Row],[_строка фидера]]))</f>
        <v>Ввод 1</v>
      </c>
      <c r="BX18" t="str" cm="1">
        <f t="array" ref="BX18">IF(Щиты[[#This Row],[_строка фидера]]="","",INDEX(Линии[Пожарная (итог)],Щиты[[#This Row],[_строка фидера]]))</f>
        <v>нет</v>
      </c>
      <c r="BY18" t="str" cm="1">
        <f t="array" ref="BY18">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;90:L3;</v>
      </c>
    </row>
    <row r="19" spans="1:77" x14ac:dyDescent="0.3">
      <c r="A19" t="s">
        <v>745</v>
      </c>
      <c r="B19" t="str">
        <f>Щиты[[#This Row],[_авто питается от]]</f>
        <v>ГРЩ-ЖД</v>
      </c>
      <c r="C19">
        <v>1</v>
      </c>
      <c r="D19" t="s">
        <v>484</v>
      </c>
      <c r="E19" t="s">
        <v>835</v>
      </c>
      <c r="F19">
        <v>12</v>
      </c>
      <c r="U19"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19" t="str" cm="1">
        <f t="array" ref="V19">IF(Щиты[[#This Row],[_строка фидера]]="","",INDEX(Линии[Номер линии],Щиты[[#This Row],[_строка фидера]]))</f>
        <v>ЩОВ-01</v>
      </c>
      <c r="W19" s="6">
        <f>SUMIFS(Щиты[_Руст собств],Щиты[Путь],"*|"&amp;Щиты[[#This Row],[Щит]]&amp;"|*")</f>
        <v>13.172999999999996</v>
      </c>
      <c r="X19" s="6">
        <f>k_пк*Щиты[[#This Row],[Руст быт, кВт]]*Щиты[[#This Row],[Кс быт]]+Щиты[[#This Row],[Ко]]*Щиты[[#This Row],[Рр сил, кВт]]+Щиты[[#This Row],[Руст пост, кВт]]+Щиты[[#This Row],[Р отопления, кВт]]+Щиты[[#This Row],[Рр ВНГ, кВт]]</f>
        <v>6.5864999999999982</v>
      </c>
      <c r="Y19" s="6">
        <f>IFERROR(MAX(MAX(Щиты[[#This Row],[P L1, кВт]],Щиты[[#This Row],[P L2, кВт]],Щиты[[#This Row],[P L3, кВт]])*Щиты[[#This Row],[Кс итог]]/((Uн_лин*1000/SQRT(3))/1000*Щиты[[#This Row],[cos φ]]),Щиты[[#This Row],[Рр, кВт]]/(SQRT(3)*Uн_лин*Щиты[[#This Row],[cos φ]])),0)</f>
        <v>11.927695717539414</v>
      </c>
      <c r="Z19" s="6">
        <f>IFERROR(SUMIFS(Щиты[_Pcos собств],Щиты[Путь],"*|"&amp;Щиты[[#This Row],[Щит]]&amp;"|*")/SUMIFS(Щиты[_P собств],Щиты[Путь],"*|"&amp;Щиты[[#This Row],[Щит]]&amp;"|*"),0.95)</f>
        <v>0.80000000000000071</v>
      </c>
      <c r="AA19" s="6" cm="1">
        <f t="array" ref="AA19">SUMPRODUCT(--ISNUMBER(SEARCH("|"&amp;Щиты[Щит]&amp;"|",Щиты[[#This Row],[Путь]])),IFERROR(--Щиты[_ΔU фидера],0)+IFERROR(--Щиты[_ΔU источника],0))</f>
        <v>0.24000000000000002</v>
      </c>
      <c r="AB19" s="6" t="str">
        <f>IF(ISNUMBER(Щиты[[#This Row],[Zпетли на шинах, Ом]]),c_min*(Uн_лин*1000/SQRT(3))/Щиты[[#This Row],[Zпетли на шинах, Ом]],"")</f>
        <v/>
      </c>
      <c r="AC19" s="6" t="str">
        <f>IF(ISNUMBER(Щиты[[#This Row],[Zmax на шинах, Ом]]),1.05*(Uн_лин*1000/SQRT(3))/Щиты[[#This Row],[Zmax на шинах, Ом]]/1000,"")</f>
        <v/>
      </c>
      <c r="AD19" t="str" cm="1">
        <f t="array" ref="AD19">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19" t="str" cm="1">
        <f t="array" ref="AE19">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|ГРЩ-ЖД|ЩОВ-01|</v>
      </c>
      <c r="AF19" s="6" t="str">
        <f>_xlfn.TEXTBEFORE(MID(Щиты[[#This Row],[Путь]],2,999),"|")</f>
        <v>ГРЩ-ЖД</v>
      </c>
      <c r="AG19" t="str">
        <f>IF(TRIM(Щиты[[#This Row],[Питается от]]&amp;"")="",Щиты[[#This Row],[_авто питается от]],Щиты[[#This Row],[Питается от]])</f>
        <v>ГРЩ-ЖД</v>
      </c>
      <c r="AH19">
        <f>LEN(Щиты[[#This Row],[Путь]])-LEN(SUBSTITUTE(Щиты[[#This Row],[Путь]],"|",""))-2</f>
        <v>1</v>
      </c>
      <c r="AI19">
        <f>IFERROR(_xlfn.XMATCH(Щиты[[#This Row],[Щит]],Линии[_фидер]),"")</f>
        <v>5</v>
      </c>
      <c r="AJ19" t="str" cm="1">
        <f t="array" ref="AJ19">IFERROR(INDEX(Линии[Щит],Щиты[[#This Row],[_строка фидера]]),"")</f>
        <v>ГРЩ-ЖД</v>
      </c>
      <c r="AK19">
        <f>SUMIFS(Линии[_Руст (без Нет)],Линии[Щит],Щиты[[#This Row],[Щит]])</f>
        <v>13.172999999999996</v>
      </c>
      <c r="AL19">
        <f>SUMIFS(Линии[_Руст быт],Линии[Щит],Щиты[[#This Row],[Щит]])</f>
        <v>0</v>
      </c>
      <c r="AM19">
        <f>SUMIFS(Линии[_Рр сил],Линии[Щит],Щиты[[#This Row],[Щит]])</f>
        <v>6.5864999999999982</v>
      </c>
      <c r="AN19">
        <f>SUMIFS(Линии[_Руст пост],Линии[Щит],Щиты[[#This Row],[Щит]])</f>
        <v>0</v>
      </c>
      <c r="AO19">
        <f>SUMIFS(Линии[_P для cos],Линии[Щит],Щиты[[#This Row],[Щит]])</f>
        <v>13.172999999999996</v>
      </c>
      <c r="AP19">
        <f>SUMIFS(Линии[_P·cos],Линии[Щит],Щиты[[#This Row],[Щит]])</f>
        <v>10.538400000000006</v>
      </c>
      <c r="AQ19">
        <f>SUMIFS(Линии[_Р отопления],Линии[Щит],Щиты[[#This Row],[Щит]])</f>
        <v>0</v>
      </c>
      <c r="AR19">
        <f>SUMIFS(Линии[_Рр ВНГ],Линии[Щит],Щиты[[#This Row],[Щит]])</f>
        <v>0</v>
      </c>
      <c r="AS19" s="6">
        <f>SUMIFS(Щиты[_быт собств],Щиты[Путь],"*|"&amp;Щиты[[#This Row],[Щит]]&amp;"|*")</f>
        <v>0</v>
      </c>
      <c r="AT19" s="6" cm="1">
        <f t="array" ref="AT19">_xlfn.LET(_xlpm.x,Щиты[[#This Row],[Руст быт, кВт]],_xlpm.m,MATCH(_xlpm.x,Кс_Р,1),IF(_xlpm.x&gt;=INDEX(Кс_Р,ROWS(Кс_Р)),INDEX(Кс_К,ROWS(Кс_К)),INDEX(Кс_К,_xlpm.m)+(_xlpm.x-INDEX(Кс_Р,_xlpm.m))*(INDEX(Кс_К,_xlpm.m+1)-INDEX(Кс_К,_xlpm.m))/(INDEX(Кс_Р,_xlpm.m+1)-INDEX(Кс_Р,_xlpm.m))))</f>
        <v>0.8</v>
      </c>
      <c r="AU19" s="6">
        <f>SUMIFS(Щиты[_сил собств],Щиты[Путь],"*|"&amp;Щиты[[#This Row],[Щит]]&amp;"|*")</f>
        <v>6.5864999999999982</v>
      </c>
      <c r="AV19" s="6">
        <f>SUMIFS(Щиты[_пост собств],Щиты[Путь],"*|"&amp;Щиты[[#This Row],[Щит]]&amp;"|*")</f>
        <v>0</v>
      </c>
      <c r="AW19" s="6">
        <f>SUMIFS(Щиты[_отоп собств],Щиты[Путь],"*|"&amp;Щиты[[#This Row],[Щит]]&amp;"|*")</f>
        <v>0</v>
      </c>
      <c r="AX19" s="6">
        <f>SUMIFS(Щиты[_внг собств],Щиты[Путь],"*|"&amp;Щиты[[#This Row],[Щит]]&amp;"|*")</f>
        <v>0</v>
      </c>
      <c r="AY19">
        <f>COUNTIFS(Линии[Щит],Щиты[[#This Row],[Щит]],Линии[Группа Кс (итог)],"Сил")</f>
        <v>27</v>
      </c>
      <c r="AZ19" s="6" cm="1">
        <f t="array" ref="AZ19">_xlfn.LET(_xlpm.n,Щиты[[#This Row],[_n силовых]],IF(_xlpm.n&lt;=1,1,IF(_xlpm.n&gt;=MAX(Кс75_n),INDEX(Кс75_k,ROWS(Кс75_k)),_xlfn.LET(_xlpm.m,MATCH(_xlpm.n,Кс75_n,1),INDEX(Кс75_k,_xlpm.m)+(_xlpm.n-INDEX(Кс75_n,_xlpm.m))*(INDEX(Кс75_k,_xlpm.m+1)-INDEX(Кс75_k,_xlpm.m))/(INDEX(Кс75_n,_xlpm.m+1)-INDEX(Кс75_n,_xlpm.m))))))</f>
        <v>0.61499999999999999</v>
      </c>
      <c r="BA19" s="6">
        <f>IF(Методика="нормы 2026",IF(AND(Щиты[[#This Row],[Руст быт, кВт]]&gt;0,Щиты[[#This Row],[Рр сил, кВт]]&gt;0),Ко_сил,1),Ко_сил)</f>
        <v>1</v>
      </c>
      <c r="BB19" s="6">
        <f>IF(Щиты[[#This Row],[Руст, кВт]]=0,0,Щиты[[#This Row],[Рр, кВт]]/Щиты[[#This Row],[Руст, кВт]])</f>
        <v>0.5</v>
      </c>
      <c r="BC19"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4.4073333333333338</v>
      </c>
      <c r="BD19"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4.3883333333333336</v>
      </c>
      <c r="BE19"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4.3773333333333335</v>
      </c>
      <c r="BF19" cm="1">
        <f t="array" ref="BF19">IF(Щиты[[#This Row],[_строка фидера]]="","",INDEX(Линии[ΔU, %],Щиты[[#This Row],[_строка фидера]]))</f>
        <v>0.24000000000000002</v>
      </c>
      <c r="BG19">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19">
        <f>IF(Щиты[[#This Row],[Питается от (итог)]]&lt;&gt;"",0,IF(LEFT(UPPER(TRIM(Щиты[[#This Row],[Питание: от (ТП / сеть)]])),2)="ТП",0,N(Щиты[[#This Row],[ΔU до питающего, %]])+Щиты[[#This Row],[_ΔU пит. линии]]))</f>
        <v>0</v>
      </c>
      <c r="BI19">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19"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19" t="str">
        <f>IF(Щиты[[#This Row],[_Zсети]]="","",Щиты[[#This Row],[_Zсети]]+Щиты[[#This Row],[_петля пит. кабеля]])</f>
        <v/>
      </c>
      <c r="BL19" cm="1">
        <f t="array" ref="BL19">IF(Щиты[[#This Row],[_строка фидера]]="","",INDEX(Линии[_Zкабеля],Щиты[[#This Row],[_строка фидера]]))</f>
        <v>0.13150000000000001</v>
      </c>
      <c r="BM19" s="6" t="str" cm="1">
        <f t="array" ref="BM19">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19"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19"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19" cm="1">
        <f t="array" ref="BP19">IF(Щиты[[#This Row],[_строка фидера]]="","",INDEX(Линии[_Zmax кабеля],Щиты[[#This Row],[_строка фидера]]))</f>
        <v>4.3750000000000004E-2</v>
      </c>
      <c r="BQ19" s="6" t="str" cm="1">
        <f t="array" ref="BQ19">IF(_xlfn.XLOOKUP(Щиты[[#This Row],[Корень]],Щиты[Щит],Щиты[_Zmax источника],"")="","",SUMPRODUCT(--ISNUMBER(SEARCH("|"&amp;Щиты[Щит]&amp;"|",Щиты[[#This Row],[Путь]])),IFERROR(--Щиты[_Zmax источника],0)+IFERROR(--Щиты[_Zmax фидера],0)))</f>
        <v/>
      </c>
      <c r="BR19" cm="1">
        <f t="array" ref="BR19">IF(Щиты[[#This Row],[_строка фидера]]="","",INDEX(Линии[_ΔU по току, %],Щиты[[#This Row],[_строка фидера]]))</f>
        <v>0.36</v>
      </c>
      <c r="BS19" s="6" cm="1">
        <f t="array" ref="BS19">SUMPRODUCT(--ISNUMBER(SEARCH("|"&amp;Щиты[Щит]&amp;"|",Щиты[[#This Row],[Путь]])),IFERROR(--Щиты[_ΔU фидера (подбор)],0)+IFERROR(--Щиты[_ΔU источника],0))</f>
        <v>0.36</v>
      </c>
      <c r="BT19" cm="1">
        <f t="array" ref="BT19">IF(Щиты[[#This Row],[_строка фидера]]="","",INDEX(Линии[_Zкабеля по току],Щиты[[#This Row],[_строка фидера]]))</f>
        <v>0.19725000000000001</v>
      </c>
      <c r="BU19" s="6" t="str" cm="1">
        <f t="array" ref="BU19">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19" s="6">
        <f>_xlfn.MAXIFS(Линии[Iпуск, А],Линии[Щит],Щиты[[#This Row],[Щит]])</f>
        <v>0</v>
      </c>
      <c r="BW19" t="str" cm="1">
        <f t="array" ref="BW19">IF(Щиты[[#This Row],[_строка фидера]]="","",INDEX(Линии[Источник для режимов],Щиты[[#This Row],[_строка фидера]]))</f>
        <v>Ввод 1</v>
      </c>
      <c r="BX19" t="str" cm="1">
        <f t="array" ref="BX19">IF(Щиты[[#This Row],[_строка фидера]]="","",INDEX(Линии[Пожарная (итог)],Щиты[[#This Row],[_строка фидера]]))</f>
        <v>нет</v>
      </c>
      <c r="BY19" t="str" cm="1">
        <f t="array" ref="BY19">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;118:L1;119:L3;121:L1;126:L3;125:L1;101:L3;104:L2;105:L2;106:L3;107:L1;120:L2;122:L3;123:L1;124:L2;112:L3;113:L1;114:L2;110:L3;111:L1;115:L3;117:L2;127:L1;108:L3;109:L2;116:L1;</v>
      </c>
    </row>
    <row r="20" spans="1:77" x14ac:dyDescent="0.3">
      <c r="A20" t="s">
        <v>751</v>
      </c>
      <c r="B20" t="str">
        <f>Щиты[[#This Row],[_авто питается от]]</f>
        <v>ГРЩ-ЖД</v>
      </c>
      <c r="C20">
        <v>1</v>
      </c>
      <c r="D20" t="s">
        <v>484</v>
      </c>
      <c r="E20" t="s">
        <v>835</v>
      </c>
      <c r="F20">
        <v>12</v>
      </c>
      <c r="U20"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20" t="str" cm="1">
        <f t="array" ref="V20">IF(Щиты[[#This Row],[_строка фидера]]="","",INDEX(Линии[Номер линии],Щиты[[#This Row],[_строка фидера]]))</f>
        <v>ЩОВ-2</v>
      </c>
      <c r="W20" s="6">
        <f>SUMIFS(Щиты[_Руст собств],Щиты[Путь],"*|"&amp;Щиты[[#This Row],[Щит]]&amp;"|*")</f>
        <v>11.093000000000002</v>
      </c>
      <c r="X20" s="6">
        <f>k_пк*Щиты[[#This Row],[Руст быт, кВт]]*Щиты[[#This Row],[Кс быт]]+Щиты[[#This Row],[Ко]]*Щиты[[#This Row],[Рр сил, кВт]]+Щиты[[#This Row],[Руст пост, кВт]]+Щиты[[#This Row],[Р отопления, кВт]]+Щиты[[#This Row],[Рр ВНГ, кВт]]</f>
        <v>5.5465000000000009</v>
      </c>
      <c r="Y20" s="6">
        <f>IFERROR(MAX(MAX(Щиты[[#This Row],[P L1, кВт]],Щиты[[#This Row],[P L2, кВт]],Щиты[[#This Row],[P L3, кВт]])*Щиты[[#This Row],[Кс итог]]/((Uн_лин*1000/SQRT(3))/1000*Щиты[[#This Row],[cos φ]]),Щиты[[#This Row],[Рр, кВт]]/(SQRT(3)*Uн_лин*Щиты[[#This Row],[cos φ]])),0)</f>
        <v>10.284051669940206</v>
      </c>
      <c r="Z20" s="6">
        <f>IFERROR(SUMIFS(Щиты[_Pcos собств],Щиты[Путь],"*|"&amp;Щиты[[#This Row],[Щит]]&amp;"|*")/SUMIFS(Щиты[_P собств],Щиты[Путь],"*|"&amp;Щиты[[#This Row],[Щит]]&amp;"|*"),0.95)</f>
        <v>0.8</v>
      </c>
      <c r="AA20" s="6" cm="1">
        <f t="array" ref="AA20">SUMPRODUCT(--ISNUMBER(SEARCH("|"&amp;Щиты[Щит]&amp;"|",Щиты[[#This Row],[Путь]])),IFERROR(--Щиты[_ΔU фидера],0)+IFERROR(--Щиты[_ΔU источника],0))</f>
        <v>1.1399999999999999</v>
      </c>
      <c r="AB20" s="6" t="str">
        <f>IF(ISNUMBER(Щиты[[#This Row],[Zпетли на шинах, Ом]]),c_min*(Uн_лин*1000/SQRT(3))/Щиты[[#This Row],[Zпетли на шинах, Ом]],"")</f>
        <v/>
      </c>
      <c r="AC20" s="6" t="str">
        <f>IF(ISNUMBER(Щиты[[#This Row],[Zmax на шинах, Ом]]),1.05*(Uн_лин*1000/SQRT(3))/Щиты[[#This Row],[Zmax на шинах, Ом]]/1000,"")</f>
        <v/>
      </c>
      <c r="AD20" t="str" cm="1">
        <f t="array" ref="AD20">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20" t="str" cm="1">
        <f t="array" ref="AE20">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|ГРЩ-ЖД|ЩОВ-2|</v>
      </c>
      <c r="AF20" s="6" t="str">
        <f>_xlfn.TEXTBEFORE(MID(Щиты[[#This Row],[Путь]],2,999),"|")</f>
        <v>ГРЩ-ЖД</v>
      </c>
      <c r="AG20" t="str">
        <f>IF(TRIM(Щиты[[#This Row],[Питается от]]&amp;"")="",Щиты[[#This Row],[_авто питается от]],Щиты[[#This Row],[Питается от]])</f>
        <v>ГРЩ-ЖД</v>
      </c>
      <c r="AH20">
        <f>LEN(Щиты[[#This Row],[Путь]])-LEN(SUBSTITUTE(Щиты[[#This Row],[Путь]],"|",""))-2</f>
        <v>1</v>
      </c>
      <c r="AI20">
        <f>IFERROR(_xlfn.XMATCH(Щиты[[#This Row],[Щит]],Линии[_фидер]),"")</f>
        <v>8</v>
      </c>
      <c r="AJ20" t="str" cm="1">
        <f t="array" ref="AJ20">IFERROR(INDEX(Линии[Щит],Щиты[[#This Row],[_строка фидера]]),"")</f>
        <v>ГРЩ-ЖД</v>
      </c>
      <c r="AK20">
        <f>SUMIFS(Линии[_Руст (без Нет)],Линии[Щит],Щиты[[#This Row],[Щит]])</f>
        <v>11.093000000000002</v>
      </c>
      <c r="AL20">
        <f>SUMIFS(Линии[_Руст быт],Линии[Щит],Щиты[[#This Row],[Щит]])</f>
        <v>0</v>
      </c>
      <c r="AM20">
        <f>SUMIFS(Линии[_Рр сил],Линии[Щит],Щиты[[#This Row],[Щит]])</f>
        <v>5.5465000000000009</v>
      </c>
      <c r="AN20">
        <f>SUMIFS(Линии[_Руст пост],Линии[Щит],Щиты[[#This Row],[Щит]])</f>
        <v>0</v>
      </c>
      <c r="AO20">
        <f>SUMIFS(Линии[_P для cos],Линии[Щит],Щиты[[#This Row],[Щит]])</f>
        <v>11.093000000000002</v>
      </c>
      <c r="AP20">
        <f>SUMIFS(Линии[_P·cos],Линии[Щит],Щиты[[#This Row],[Щит]])</f>
        <v>8.8744000000000014</v>
      </c>
      <c r="AQ20">
        <f>SUMIFS(Линии[_Р отопления],Линии[Щит],Щиты[[#This Row],[Щит]])</f>
        <v>0</v>
      </c>
      <c r="AR20">
        <f>SUMIFS(Линии[_Рр ВНГ],Линии[Щит],Щиты[[#This Row],[Щит]])</f>
        <v>0</v>
      </c>
      <c r="AS20" s="6">
        <f>SUMIFS(Щиты[_быт собств],Щиты[Путь],"*|"&amp;Щиты[[#This Row],[Щит]]&amp;"|*")</f>
        <v>0</v>
      </c>
      <c r="AT20" s="6" cm="1">
        <f t="array" ref="AT20">_xlfn.LET(_xlpm.x,Щиты[[#This Row],[Руст быт, кВт]],_xlpm.m,MATCH(_xlpm.x,Кс_Р,1),IF(_xlpm.x&gt;=INDEX(Кс_Р,ROWS(Кс_Р)),INDEX(Кс_К,ROWS(Кс_К)),INDEX(Кс_К,_xlpm.m)+(_xlpm.x-INDEX(Кс_Р,_xlpm.m))*(INDEX(Кс_К,_xlpm.m+1)-INDEX(Кс_К,_xlpm.m))/(INDEX(Кс_Р,_xlpm.m+1)-INDEX(Кс_Р,_xlpm.m))))</f>
        <v>0.8</v>
      </c>
      <c r="AU20" s="6">
        <f>SUMIFS(Щиты[_сил собств],Щиты[Путь],"*|"&amp;Щиты[[#This Row],[Щит]]&amp;"|*")</f>
        <v>5.5465000000000009</v>
      </c>
      <c r="AV20" s="6">
        <f>SUMIFS(Щиты[_пост собств],Щиты[Путь],"*|"&amp;Щиты[[#This Row],[Щит]]&amp;"|*")</f>
        <v>0</v>
      </c>
      <c r="AW20" s="6">
        <f>SUMIFS(Щиты[_отоп собств],Щиты[Путь],"*|"&amp;Щиты[[#This Row],[Щит]]&amp;"|*")</f>
        <v>0</v>
      </c>
      <c r="AX20" s="6">
        <f>SUMIFS(Щиты[_внг собств],Щиты[Путь],"*|"&amp;Щиты[[#This Row],[Щит]]&amp;"|*")</f>
        <v>0</v>
      </c>
      <c r="AY20">
        <f>COUNTIFS(Линии[Щит],Щиты[[#This Row],[Щит]],Линии[Группа Кс (итог)],"Сил")</f>
        <v>23</v>
      </c>
      <c r="AZ20" s="6" cm="1">
        <f t="array" ref="AZ20">_xlfn.LET(_xlpm.n,Щиты[[#This Row],[_n силовых]],IF(_xlpm.n&lt;=1,1,IF(_xlpm.n&gt;=MAX(Кс75_n),INDEX(Кс75_k,ROWS(Кс75_k)),_xlfn.LET(_xlpm.m,MATCH(_xlpm.n,Кс75_n,1),INDEX(Кс75_k,_xlpm.m)+(_xlpm.n-INDEX(Кс75_n,_xlpm.m))*(INDEX(Кс75_k,_xlpm.m+1)-INDEX(Кс75_k,_xlpm.m))/(INDEX(Кс75_n,_xlpm.m+1)-INDEX(Кс75_n,_xlpm.m))))))</f>
        <v>0.63500000000000001</v>
      </c>
      <c r="BA20" s="6">
        <f>IF(Методика="нормы 2026",IF(AND(Щиты[[#This Row],[Руст быт, кВт]]&gt;0,Щиты[[#This Row],[Рр сил, кВт]]&gt;0),Ко_сил,1),Ко_сил)</f>
        <v>1</v>
      </c>
      <c r="BB20" s="6">
        <f>IF(Щиты[[#This Row],[Руст, кВт]]=0,0,Щиты[[#This Row],[Рр, кВт]]/Щиты[[#This Row],[Руст, кВт]])</f>
        <v>0.5</v>
      </c>
      <c r="BC20"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3.6630000000000003</v>
      </c>
      <c r="BD20"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3.63</v>
      </c>
      <c r="BE20"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3.8</v>
      </c>
      <c r="BF20" cm="1">
        <f t="array" ref="BF20">IF(Щиты[[#This Row],[_строка фидера]]="","",INDEX(Линии[ΔU, %],Щиты[[#This Row],[_строка фидера]]))</f>
        <v>1.1399999999999999</v>
      </c>
      <c r="BG20">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20">
        <f>IF(Щиты[[#This Row],[Питается от (итог)]]&lt;&gt;"",0,IF(LEFT(UPPER(TRIM(Щиты[[#This Row],[Питание: от (ТП / сеть)]])),2)="ТП",0,N(Щиты[[#This Row],[ΔU до питающего, %]])+Щиты[[#This Row],[_ΔU пит. линии]]))</f>
        <v>0</v>
      </c>
      <c r="BI20">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20"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20" t="str">
        <f>IF(Щиты[[#This Row],[_Zсети]]="","",Щиты[[#This Row],[_Zсети]]+Щиты[[#This Row],[_петля пит. кабеля]])</f>
        <v/>
      </c>
      <c r="BL20" cm="1">
        <f t="array" ref="BL20">IF(Щиты[[#This Row],[_строка фидера]]="","",INDEX(Линии[_Zкабеля],Щиты[[#This Row],[_строка фидера]]))</f>
        <v>0.73640000000000005</v>
      </c>
      <c r="BM20" s="6" t="str" cm="1">
        <f t="array" ref="BM20">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20"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20"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20" cm="1">
        <f t="array" ref="BP20">IF(Щиты[[#This Row],[_строка фидера]]="","",INDEX(Линии[_Zmax кабеля],Щиты[[#This Row],[_строка фидера]]))</f>
        <v>0.24500000000000002</v>
      </c>
      <c r="BQ20" s="6" t="str" cm="1">
        <f t="array" ref="BQ20">IF(_xlfn.XLOOKUP(Щиты[[#This Row],[Корень]],Щиты[Щит],Щиты[_Zmax источника],"")="","",SUMPRODUCT(--ISNUMBER(SEARCH("|"&amp;Щиты[Щит]&amp;"|",Щиты[[#This Row],[Путь]])),IFERROR(--Щиты[_Zmax источника],0)+IFERROR(--Щиты[_Zmax фидера],0)))</f>
        <v/>
      </c>
      <c r="BR20" cm="1">
        <f t="array" ref="BR20">IF(Щиты[[#This Row],[_строка фидера]]="","",INDEX(Линии[_ΔU по току, %],Щиты[[#This Row],[_строка фидера]]))</f>
        <v>1.82</v>
      </c>
      <c r="BS20" s="6" cm="1">
        <f t="array" ref="BS20">SUMPRODUCT(--ISNUMBER(SEARCH("|"&amp;Щиты[Щит]&amp;"|",Щиты[[#This Row],[Путь]])),IFERROR(--Щиты[_ΔU фидера (подбор)],0)+IFERROR(--Щиты[_ΔU источника],0))</f>
        <v>1.82</v>
      </c>
      <c r="BT20" cm="1">
        <f t="array" ref="BT20">IF(Щиты[[#This Row],[_строка фидера]]="","",INDEX(Линии[_Zкабеля по току],Щиты[[#This Row],[_строка фидера]]))</f>
        <v>1.1782400000000002</v>
      </c>
      <c r="BU20" s="6" t="str" cm="1">
        <f t="array" ref="BU20">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20" s="6">
        <f>_xlfn.MAXIFS(Линии[Iпуск, А],Линии[Щит],Щиты[[#This Row],[Щит]])</f>
        <v>0</v>
      </c>
      <c r="BW20" t="str" cm="1">
        <f t="array" ref="BW20">IF(Щиты[[#This Row],[_строка фидера]]="","",INDEX(Линии[Источник для режимов],Щиты[[#This Row],[_строка фидера]]))</f>
        <v>Ввод 1</v>
      </c>
      <c r="BX20" t="str" cm="1">
        <f t="array" ref="BX20">IF(Щиты[[#This Row],[_строка фидера]]="","",INDEX(Линии[Пожарная (итог)],Щиты[[#This Row],[_строка фидера]]))</f>
        <v>нет</v>
      </c>
      <c r="BY20" t="str" cm="1">
        <f t="array" ref="BY20">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;149:L3;151:L2;150:L1;130:L1;131:L2;143:L1;144:L2;146:L1;148:L2;137:L1;134:L2;147:L2;135:L1;138:L1;141:L2;140:L2;</v>
      </c>
    </row>
    <row r="21" spans="1:77" x14ac:dyDescent="0.3">
      <c r="A21" t="s">
        <v>753</v>
      </c>
      <c r="B21" t="str">
        <f>Щиты[[#This Row],[_авто питается от]]</f>
        <v>ГРЩ-ЖД</v>
      </c>
      <c r="C21">
        <v>1</v>
      </c>
      <c r="D21" t="s">
        <v>484</v>
      </c>
      <c r="E21" t="s">
        <v>835</v>
      </c>
      <c r="F21">
        <v>7</v>
      </c>
      <c r="U21"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21" t="str" cm="1">
        <f t="array" ref="V21">IF(Щиты[[#This Row],[_строка фидера]]="","",INDEX(Линии[Номер линии],Щиты[[#This Row],[_строка фидера]]))</f>
        <v>ЩР-001</v>
      </c>
      <c r="W21" s="6">
        <f>SUMIFS(Щиты[_Руст собств],Щиты[Путь],"*|"&amp;Щиты[[#This Row],[Щит]]&amp;"|*")</f>
        <v>11.860000000000001</v>
      </c>
      <c r="X21" s="6">
        <f>k_пк*Щиты[[#This Row],[Руст быт, кВт]]*Щиты[[#This Row],[Кс быт]]+Щиты[[#This Row],[Ко]]*Щиты[[#This Row],[Рр сил, кВт]]+Щиты[[#This Row],[Руст пост, кВт]]+Щиты[[#This Row],[Р отопления, кВт]]+Щиты[[#This Row],[Рр ВНГ, кВт]]</f>
        <v>10.708000000000002</v>
      </c>
      <c r="Y21" s="6">
        <f>IFERROR(MAX(MAX(Щиты[[#This Row],[P L1, кВт]],Щиты[[#This Row],[P L2, кВт]],Щиты[[#This Row],[P L3, кВт]])*Щиты[[#This Row],[Кс итог]]/((Uн_лин*1000/SQRT(3))/1000*Щиты[[#This Row],[cos φ]]),Щиты[[#This Row],[Рр, кВт]]/(SQRT(3)*Uн_лин*Щиты[[#This Row],[cos φ]])),0)</f>
        <v>16.378863980838116</v>
      </c>
      <c r="Z21" s="6">
        <f>IFERROR(SUMIFS(Щиты[_Pcos собств],Щиты[Путь],"*|"&amp;Щиты[[#This Row],[Щит]]&amp;"|*")/SUMIFS(Щиты[_P собств],Щиты[Путь],"*|"&amp;Щиты[[#This Row],[Щит]]&amp;"|*"),0.95)</f>
        <v>0.94999999999999984</v>
      </c>
      <c r="AA21" s="6" cm="1">
        <f t="array" ref="AA21">SUMPRODUCT(--ISNUMBER(SEARCH("|"&amp;Щиты[Щит]&amp;"|",Щиты[[#This Row],[Путь]])),IFERROR(--Щиты[_ΔU фидера],0)+IFERROR(--Щиты[_ΔU источника],0))</f>
        <v>1.57</v>
      </c>
      <c r="AB21" s="6" t="str">
        <f>IF(ISNUMBER(Щиты[[#This Row],[Zпетли на шинах, Ом]]),c_min*(Uн_лин*1000/SQRT(3))/Щиты[[#This Row],[Zпетли на шинах, Ом]],"")</f>
        <v/>
      </c>
      <c r="AC21" s="6" t="str">
        <f>IF(ISNUMBER(Щиты[[#This Row],[Zmax на шинах, Ом]]),1.05*(Uн_лин*1000/SQRT(3))/Щиты[[#This Row],[Zmax на шинах, Ом]]/1000,"")</f>
        <v/>
      </c>
      <c r="AD21" t="str" cm="1">
        <f t="array" ref="AD21">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21" t="str" cm="1">
        <f t="array" ref="AE21">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|ГРЩ-ЖД|ЩР-001|</v>
      </c>
      <c r="AF21" s="6" t="str">
        <f>_xlfn.TEXTBEFORE(MID(Щиты[[#This Row],[Путь]],2,999),"|")</f>
        <v>ГРЩ-ЖД</v>
      </c>
      <c r="AG21" t="str">
        <f>IF(TRIM(Щиты[[#This Row],[Питается от]]&amp;"")="",Щиты[[#This Row],[_авто питается от]],Щиты[[#This Row],[Питается от]])</f>
        <v>ГРЩ-ЖД</v>
      </c>
      <c r="AH21">
        <f>LEN(Щиты[[#This Row],[Путь]])-LEN(SUBSTITUTE(Щиты[[#This Row],[Путь]],"|",""))-2</f>
        <v>1</v>
      </c>
      <c r="AI21">
        <f>IFERROR(_xlfn.XMATCH(Щиты[[#This Row],[Щит]],Линии[_фидер]),"")</f>
        <v>10</v>
      </c>
      <c r="AJ21" t="str" cm="1">
        <f t="array" ref="AJ21">IFERROR(INDEX(Линии[Щит],Щиты[[#This Row],[_строка фидера]]),"")</f>
        <v>ГРЩ-ЖД</v>
      </c>
      <c r="AK21">
        <f>SUMIFS(Линии[_Руст (без Нет)],Линии[Щит],Щиты[[#This Row],[Щит]])</f>
        <v>11.860000000000001</v>
      </c>
      <c r="AL21">
        <f>SUMIFS(Линии[_Руст быт],Линии[Щит],Щиты[[#This Row],[Щит]])</f>
        <v>5.7600000000000007</v>
      </c>
      <c r="AM21">
        <f>SUMIFS(Линии[_Рр сил],Линии[Щит],Щиты[[#This Row],[Щит]])</f>
        <v>0</v>
      </c>
      <c r="AN21">
        <f>SUMIFS(Линии[_Руст пост],Линии[Щит],Щиты[[#This Row],[Щит]])</f>
        <v>6.1000000000000005</v>
      </c>
      <c r="AO21">
        <f>SUMIFS(Линии[_P для cos],Линии[Щит],Щиты[[#This Row],[Щит]])</f>
        <v>11.860000000000001</v>
      </c>
      <c r="AP21">
        <f>SUMIFS(Линии[_P·cos],Линии[Щит],Щиты[[#This Row],[Щит]])</f>
        <v>11.266999999999999</v>
      </c>
      <c r="AQ21">
        <f>SUMIFS(Линии[_Р отопления],Линии[Щит],Щиты[[#This Row],[Щит]])</f>
        <v>0</v>
      </c>
      <c r="AR21">
        <f>SUMIFS(Линии[_Рр ВНГ],Линии[Щит],Щиты[[#This Row],[Щит]])</f>
        <v>0</v>
      </c>
      <c r="AS21" s="6">
        <f>SUMIFS(Щиты[_быт собств],Щиты[Путь],"*|"&amp;Щиты[[#This Row],[Щит]]&amp;"|*")</f>
        <v>5.7600000000000007</v>
      </c>
      <c r="AT21" s="6" cm="1">
        <f t="array" ref="AT21">_xlfn.LET(_xlpm.x,Щиты[[#This Row],[Руст быт, кВт]],_xlpm.m,MATCH(_xlpm.x,Кс_Р,1),IF(_xlpm.x&gt;=INDEX(Кс_Р,ROWS(Кс_Р)),INDEX(Кс_К,ROWS(Кс_К)),INDEX(Кс_К,_xlpm.m)+(_xlpm.x-INDEX(Кс_Р,_xlpm.m))*(INDEX(Кс_К,_xlpm.m+1)-INDEX(Кс_К,_xlpm.m))/(INDEX(Кс_Р,_xlpm.m+1)-INDEX(Кс_Р,_xlpm.m))))</f>
        <v>0.8</v>
      </c>
      <c r="AU21" s="6">
        <f>SUMIFS(Щиты[_сил собств],Щиты[Путь],"*|"&amp;Щиты[[#This Row],[Щит]]&amp;"|*")</f>
        <v>0</v>
      </c>
      <c r="AV21" s="6">
        <f>SUMIFS(Щиты[_пост собств],Щиты[Путь],"*|"&amp;Щиты[[#This Row],[Щит]]&amp;"|*")</f>
        <v>6.1000000000000005</v>
      </c>
      <c r="AW21" s="6">
        <f>SUMIFS(Щиты[_отоп собств],Щиты[Путь],"*|"&amp;Щиты[[#This Row],[Щит]]&amp;"|*")</f>
        <v>0</v>
      </c>
      <c r="AX21" s="6">
        <f>SUMIFS(Щиты[_внг собств],Щиты[Путь],"*|"&amp;Щиты[[#This Row],[Щит]]&amp;"|*")</f>
        <v>0</v>
      </c>
      <c r="AY21">
        <f>COUNTIFS(Линии[Щит],Щиты[[#This Row],[Щит]],Линии[Группа Кс (итог)],"Сил")</f>
        <v>0</v>
      </c>
      <c r="AZ21" s="6" cm="1">
        <f t="array" ref="AZ21">_xlfn.LET(_xlpm.n,Щиты[[#This Row],[_n силовых]],IF(_xlpm.n&lt;=1,1,IF(_xlpm.n&gt;=MAX(Кс75_n),INDEX(Кс75_k,ROWS(Кс75_k)),_xlfn.LET(_xlpm.m,MATCH(_xlpm.n,Кс75_n,1),INDEX(Кс75_k,_xlpm.m)+(_xlpm.n-INDEX(Кс75_n,_xlpm.m))*(INDEX(Кс75_k,_xlpm.m+1)-INDEX(Кс75_k,_xlpm.m))/(INDEX(Кс75_n,_xlpm.m+1)-INDEX(Кс75_n,_xlpm.m))))))</f>
        <v>1</v>
      </c>
      <c r="BA21" s="6">
        <f>IF(Методика="нормы 2026",IF(AND(Щиты[[#This Row],[Руст быт, кВт]]&gt;0,Щиты[[#This Row],[Рр сил, кВт]]&gt;0),Ко_сил,1),Ко_сил)</f>
        <v>1</v>
      </c>
      <c r="BB21" s="6">
        <f>IF(Щиты[[#This Row],[Руст, кВт]]=0,0,Щиты[[#This Row],[Рр, кВт]]/Щиты[[#This Row],[Руст, кВт]])</f>
        <v>0.90286677908937618</v>
      </c>
      <c r="BC21"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3.9600000000000004</v>
      </c>
      <c r="BD21"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3.92</v>
      </c>
      <c r="BE21"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3.98</v>
      </c>
      <c r="BF21" cm="1">
        <f t="array" ref="BF21">IF(Щиты[[#This Row],[_строка фидера]]="","",INDEX(Линии[ΔU, %],Щиты[[#This Row],[_строка фидера]]))</f>
        <v>1.57</v>
      </c>
      <c r="BG21">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21">
        <f>IF(Щиты[[#This Row],[Питается от (итог)]]&lt;&gt;"",0,IF(LEFT(UPPER(TRIM(Щиты[[#This Row],[Питание: от (ТП / сеть)]])),2)="ТП",0,N(Щиты[[#This Row],[ΔU до питающего, %]])+Щиты[[#This Row],[_ΔU пит. линии]]))</f>
        <v>0</v>
      </c>
      <c r="BI21">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21"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21" t="str">
        <f>IF(Щиты[[#This Row],[_Zсети]]="","",Щиты[[#This Row],[_Zсети]]+Щиты[[#This Row],[_петля пит. кабеля]])</f>
        <v/>
      </c>
      <c r="BL21" cm="1">
        <f t="array" ref="BL21">IF(Щиты[[#This Row],[_строка фидера]]="","",INDEX(Линии[_Zкабеля],Щиты[[#This Row],[_строка фидера]]))</f>
        <v>0.53915000000000002</v>
      </c>
      <c r="BM21" s="6" t="str" cm="1">
        <f t="array" ref="BM21">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21"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21"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21" cm="1">
        <f t="array" ref="BP21">IF(Щиты[[#This Row],[_строка фидера]]="","",INDEX(Линии[_Zmax кабеля],Щиты[[#This Row],[_строка фидера]]))</f>
        <v>0.17937500000000001</v>
      </c>
      <c r="BQ21" s="6" t="str" cm="1">
        <f t="array" ref="BQ21">IF(_xlfn.XLOOKUP(Щиты[[#This Row],[Корень]],Щиты[Щит],Щиты[_Zmax источника],"")="","",SUMPRODUCT(--ISNUMBER(SEARCH("|"&amp;Щиты[Щит]&amp;"|",Щиты[[#This Row],[Путь]])),IFERROR(--Щиты[_Zmax источника],0)+IFERROR(--Щиты[_Zmax фидера],0)))</f>
        <v/>
      </c>
      <c r="BR21" cm="1">
        <f t="array" ref="BR21">IF(Щиты[[#This Row],[_строка фидера]]="","",INDEX(Линии[_ΔU по току, %],Щиты[[#This Row],[_строка фидера]]))</f>
        <v>2.5</v>
      </c>
      <c r="BS21" s="6" cm="1">
        <f t="array" ref="BS21">SUMPRODUCT(--ISNUMBER(SEARCH("|"&amp;Щиты[Щит]&amp;"|",Щиты[[#This Row],[Путь]])),IFERROR(--Щиты[_ΔU фидера (подбор)],0)+IFERROR(--Щиты[_ΔU источника],0))</f>
        <v>2.5</v>
      </c>
      <c r="BT21" cm="1">
        <f t="array" ref="BT21">IF(Щиты[[#This Row],[_строка фидера]]="","",INDEX(Линии[_Zкабеля по току],Щиты[[#This Row],[_строка фидера]]))</f>
        <v>0.86264000000000007</v>
      </c>
      <c r="BU21" s="6" t="str" cm="1">
        <f t="array" ref="BU21">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21" s="6">
        <f>_xlfn.MAXIFS(Линии[Iпуск, А],Линии[Щит],Щиты[[#This Row],[Щит]])</f>
        <v>0</v>
      </c>
      <c r="BW21" t="str" cm="1">
        <f t="array" ref="BW21">IF(Щиты[[#This Row],[_строка фидера]]="","",INDEX(Линии[Источник для режимов],Щиты[[#This Row],[_строка фидера]]))</f>
        <v>Ввод 1</v>
      </c>
      <c r="BX21" t="str" cm="1">
        <f t="array" ref="BX21">IF(Щиты[[#This Row],[_строка фидера]]="","",INDEX(Линии[Пожарная (итог)],Щиты[[#This Row],[_строка фидера]]))</f>
        <v>нет</v>
      </c>
      <c r="BY21" t="str" cm="1">
        <f t="array" ref="BY21">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
      </c>
    </row>
    <row r="22" spans="1:77" x14ac:dyDescent="0.3">
      <c r="A22" t="s">
        <v>755</v>
      </c>
      <c r="B22" t="str">
        <f>Щиты[[#This Row],[_авто питается от]]</f>
        <v>ГРЩ-ЖД</v>
      </c>
      <c r="C22">
        <v>1</v>
      </c>
      <c r="D22" t="s">
        <v>484</v>
      </c>
      <c r="E22" t="s">
        <v>835</v>
      </c>
      <c r="F22">
        <v>8</v>
      </c>
      <c r="U22"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22" t="str" cm="1">
        <f t="array" ref="V22">IF(Щиты[[#This Row],[_строка фидера]]="","",INDEX(Линии[Номер линии],Щиты[[#This Row],[_строка фидера]]))</f>
        <v>ЩР-01</v>
      </c>
      <c r="W22" s="6">
        <f>SUMIFS(Щиты[_Руст собств],Щиты[Путь],"*|"&amp;Щиты[[#This Row],[Щит]]&amp;"|*")</f>
        <v>24.405000000000005</v>
      </c>
      <c r="X22" s="6">
        <f>k_пк*Щиты[[#This Row],[Руст быт, кВт]]*Щиты[[#This Row],[Кс быт]]+Щиты[[#This Row],[Ко]]*Щиты[[#This Row],[Рр сил, кВт]]+Щиты[[#This Row],[Руст пост, кВт]]+Щиты[[#This Row],[Р отопления, кВт]]+Щиты[[#This Row],[Рр ВНГ, кВт]]</f>
        <v>21.560840000000002</v>
      </c>
      <c r="Y22" s="6">
        <f>IFERROR(MAX(MAX(Щиты[[#This Row],[P L1, кВт]],Щиты[[#This Row],[P L2, кВт]],Щиты[[#This Row],[P L3, кВт]])*Щиты[[#This Row],[Кс итог]]/((Uн_лин*1000/SQRT(3))/1000*Щиты[[#This Row],[cos φ]]),Щиты[[#This Row],[Рр, кВт]]/(SQRT(3)*Uн_лин*Щиты[[#This Row],[cos φ]])),0)</f>
        <v>32.798575666043085</v>
      </c>
      <c r="Z22" s="6">
        <f>IFERROR(SUMIFS(Щиты[_Pcos собств],Щиты[Путь],"*|"&amp;Щиты[[#This Row],[Щит]]&amp;"|*")/SUMIFS(Щиты[_P собств],Щиты[Путь],"*|"&amp;Щиты[[#This Row],[Щит]]&amp;"|*"),0.95)</f>
        <v>0.95000000000000018</v>
      </c>
      <c r="AA22" s="6" cm="1">
        <f t="array" ref="AA22">SUMPRODUCT(--ISNUMBER(SEARCH("|"&amp;Щиты[Щит]&amp;"|",Щиты[[#This Row],[Путь]])),IFERROR(--Щиты[_ΔU фидера],0)+IFERROR(--Щиты[_ΔU источника],0))</f>
        <v>0.43</v>
      </c>
      <c r="AB22" s="6" t="str">
        <f>IF(ISNUMBER(Щиты[[#This Row],[Zпетли на шинах, Ом]]),c_min*(Uн_лин*1000/SQRT(3))/Щиты[[#This Row],[Zпетли на шинах, Ом]],"")</f>
        <v/>
      </c>
      <c r="AC22" s="6" t="str">
        <f>IF(ISNUMBER(Щиты[[#This Row],[Zmax на шинах, Ом]]),1.05*(Uн_лин*1000/SQRT(3))/Щиты[[#This Row],[Zmax на шинах, Ом]]/1000,"")</f>
        <v/>
      </c>
      <c r="AD22" t="str" cm="1">
        <f t="array" ref="AD22">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22" t="str" cm="1">
        <f t="array" ref="AE22">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|ГРЩ-ЖД|ЩР-01|</v>
      </c>
      <c r="AF22" s="6" t="str">
        <f>_xlfn.TEXTBEFORE(MID(Щиты[[#This Row],[Путь]],2,999),"|")</f>
        <v>ГРЩ-ЖД</v>
      </c>
      <c r="AG22" t="str">
        <f>IF(TRIM(Щиты[[#This Row],[Питается от]]&amp;"")="",Щиты[[#This Row],[_авто питается от]],Щиты[[#This Row],[Питается от]])</f>
        <v>ГРЩ-ЖД</v>
      </c>
      <c r="AH22">
        <f>LEN(Щиты[[#This Row],[Путь]])-LEN(SUBSTITUTE(Щиты[[#This Row],[Путь]],"|",""))-2</f>
        <v>1</v>
      </c>
      <c r="AI22">
        <f>IFERROR(_xlfn.XMATCH(Щиты[[#This Row],[Щит]],Линии[_фидер]),"")</f>
        <v>11</v>
      </c>
      <c r="AJ22" t="str" cm="1">
        <f t="array" ref="AJ22">IFERROR(INDEX(Линии[Щит],Щиты[[#This Row],[_строка фидера]]),"")</f>
        <v>ГРЩ-ЖД</v>
      </c>
      <c r="AK22">
        <f>SUMIFS(Линии[_Руст (без Нет)],Линии[Щит],Щиты[[#This Row],[Щит]])</f>
        <v>24.405000000000005</v>
      </c>
      <c r="AL22">
        <f>SUMIFS(Линии[_Руст быт],Линии[Щит],Щиты[[#This Row],[Щит]])</f>
        <v>14.080000000000004</v>
      </c>
      <c r="AM22">
        <f>SUMIFS(Линии[_Рр сил],Линии[Щит],Щиты[[#This Row],[Щит]])</f>
        <v>0</v>
      </c>
      <c r="AN22">
        <f>SUMIFS(Линии[_Руст пост],Линии[Щит],Щиты[[#This Row],[Щит]])</f>
        <v>10.325000000000001</v>
      </c>
      <c r="AO22">
        <f>SUMIFS(Линии[_P для cos],Линии[Щит],Щиты[[#This Row],[Щит]])</f>
        <v>24.405000000000005</v>
      </c>
      <c r="AP22">
        <f>SUMIFS(Линии[_P·cos],Линии[Щит],Щиты[[#This Row],[Щит]])</f>
        <v>23.184750000000008</v>
      </c>
      <c r="AQ22">
        <f>SUMIFS(Линии[_Р отопления],Линии[Щит],Щиты[[#This Row],[Щит]])</f>
        <v>0</v>
      </c>
      <c r="AR22">
        <f>SUMIFS(Линии[_Рр ВНГ],Линии[Щит],Щиты[[#This Row],[Щит]])</f>
        <v>0</v>
      </c>
      <c r="AS22" s="6">
        <f>SUMIFS(Щиты[_быт собств],Щиты[Путь],"*|"&amp;Щиты[[#This Row],[Щит]]&amp;"|*")</f>
        <v>14.080000000000004</v>
      </c>
      <c r="AT22" s="6" cm="1">
        <f t="array" ref="AT22">_xlfn.LET(_xlpm.x,Щиты[[#This Row],[Руст быт, кВт]],_xlpm.m,MATCH(_xlpm.x,Кс_Р,1),IF(_xlpm.x&gt;=INDEX(Кс_Р,ROWS(Кс_Р)),INDEX(Кс_К,ROWS(Кс_К)),INDEX(Кс_К,_xlpm.m)+(_xlpm.x-INDEX(Кс_Р,_xlpm.m))*(INDEX(Кс_К,_xlpm.m+1)-INDEX(Кс_К,_xlpm.m))/(INDEX(Кс_Р,_xlpm.m+1)-INDEX(Кс_Р,_xlpm.m))))</f>
        <v>0.79799999999999993</v>
      </c>
      <c r="AU22" s="6">
        <f>SUMIFS(Щиты[_сил собств],Щиты[Путь],"*|"&amp;Щиты[[#This Row],[Щит]]&amp;"|*")</f>
        <v>0</v>
      </c>
      <c r="AV22" s="6">
        <f>SUMIFS(Щиты[_пост собств],Щиты[Путь],"*|"&amp;Щиты[[#This Row],[Щит]]&amp;"|*")</f>
        <v>10.325000000000001</v>
      </c>
      <c r="AW22" s="6">
        <f>SUMIFS(Щиты[_отоп собств],Щиты[Путь],"*|"&amp;Щиты[[#This Row],[Щит]]&amp;"|*")</f>
        <v>0</v>
      </c>
      <c r="AX22" s="6">
        <f>SUMIFS(Щиты[_внг собств],Щиты[Путь],"*|"&amp;Щиты[[#This Row],[Щит]]&amp;"|*")</f>
        <v>0</v>
      </c>
      <c r="AY22">
        <f>COUNTIFS(Линии[Щит],Щиты[[#This Row],[Щит]],Линии[Группа Кс (итог)],"Сил")</f>
        <v>0</v>
      </c>
      <c r="AZ22" s="6" cm="1">
        <f t="array" ref="AZ22">_xlfn.LET(_xlpm.n,Щиты[[#This Row],[_n силовых]],IF(_xlpm.n&lt;=1,1,IF(_xlpm.n&gt;=MAX(Кс75_n),INDEX(Кс75_k,ROWS(Кс75_k)),_xlfn.LET(_xlpm.m,MATCH(_xlpm.n,Кс75_n,1),INDEX(Кс75_k,_xlpm.m)+(_xlpm.n-INDEX(Кс75_n,_xlpm.m))*(INDEX(Кс75_k,_xlpm.m+1)-INDEX(Кс75_k,_xlpm.m))/(INDEX(Кс75_n,_xlpm.m+1)-INDEX(Кс75_n,_xlpm.m))))))</f>
        <v>1</v>
      </c>
      <c r="BA22" s="6">
        <f>IF(Методика="нормы 2026",IF(AND(Щиты[[#This Row],[Руст быт, кВт]]&gt;0,Щиты[[#This Row],[Рр сил, кВт]]&gt;0),Ко_сил,1),Ко_сил)</f>
        <v>1</v>
      </c>
      <c r="BB22" s="6">
        <f>IF(Щиты[[#This Row],[Руст, кВт]]=0,0,Щиты[[#This Row],[Рр, кВт]]/Щиты[[#This Row],[Руст, кВт]])</f>
        <v>0.88345994673222694</v>
      </c>
      <c r="BC22"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8.1450000000000014</v>
      </c>
      <c r="BD22"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8.120000000000001</v>
      </c>
      <c r="BE22"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8.14</v>
      </c>
      <c r="BF22" cm="1">
        <f t="array" ref="BF22">IF(Щиты[[#This Row],[_строка фидера]]="","",INDEX(Линии[ΔU, %],Щиты[[#This Row],[_строка фидера]]))</f>
        <v>0.43</v>
      </c>
      <c r="BG22">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22">
        <f>IF(Щиты[[#This Row],[Питается от (итог)]]&lt;&gt;"",0,IF(LEFT(UPPER(TRIM(Щиты[[#This Row],[Питание: от (ТП / сеть)]])),2)="ТП",0,N(Щиты[[#This Row],[ΔU до питающего, %]])+Щиты[[#This Row],[_ΔU пит. линии]]))</f>
        <v>0</v>
      </c>
      <c r="BI22">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22"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22" t="str">
        <f>IF(Щиты[[#This Row],[_Zсети]]="","",Щиты[[#This Row],[_Zсети]]+Щиты[[#This Row],[_петля пит. кабеля]])</f>
        <v/>
      </c>
      <c r="BL22" cm="1">
        <f t="array" ref="BL22">IF(Щиты[[#This Row],[_строка фидера]]="","",INDEX(Линии[_Zкабеля],Щиты[[#This Row],[_строка фидера]]))</f>
        <v>7.3640000000000011E-2</v>
      </c>
      <c r="BM22" s="6" t="str" cm="1">
        <f t="array" ref="BM22">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22"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22"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22" cm="1">
        <f t="array" ref="BP22">IF(Щиты[[#This Row],[_строка фидера]]="","",INDEX(Линии[_Zmax кабеля],Щиты[[#This Row],[_строка фидера]]))</f>
        <v>2.4500000000000001E-2</v>
      </c>
      <c r="BQ22" s="6" t="str" cm="1">
        <f t="array" ref="BQ22">IF(_xlfn.XLOOKUP(Щиты[[#This Row],[Корень]],Щиты[Щит],Щиты[_Zmax источника],"")="","",SUMPRODUCT(--ISNUMBER(SEARCH("|"&amp;Щиты[Щит]&amp;"|",Щиты[[#This Row],[Путь]])),IFERROR(--Щиты[_Zmax источника],0)+IFERROR(--Щиты[_Zmax фидера],0)))</f>
        <v/>
      </c>
      <c r="BR22" cm="1">
        <f t="array" ref="BR22">IF(Щиты[[#This Row],[_строка фидера]]="","",INDEX(Линии[_ΔU по току, %],Щиты[[#This Row],[_строка фидера]]))</f>
        <v>0.43</v>
      </c>
      <c r="BS22" s="6" cm="1">
        <f t="array" ref="BS22">SUMPRODUCT(--ISNUMBER(SEARCH("|"&amp;Щиты[Щит]&amp;"|",Щиты[[#This Row],[Путь]])),IFERROR(--Щиты[_ΔU фидера (подбор)],0)+IFERROR(--Щиты[_ΔU источника],0))</f>
        <v>0.43</v>
      </c>
      <c r="BT22" cm="1">
        <f t="array" ref="BT22">IF(Щиты[[#This Row],[_строка фидера]]="","",INDEX(Линии[_Zкабеля по току],Щиты[[#This Row],[_строка фидера]]))</f>
        <v>7.3640000000000011E-2</v>
      </c>
      <c r="BU22" s="6" t="str" cm="1">
        <f t="array" ref="BU22">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22" s="6">
        <f>_xlfn.MAXIFS(Линии[Iпуск, А],Линии[Щит],Щиты[[#This Row],[Щит]])</f>
        <v>0</v>
      </c>
      <c r="BW22" t="str" cm="1">
        <f t="array" ref="BW22">IF(Щиты[[#This Row],[_строка фидера]]="","",INDEX(Линии[Источник для режимов],Щиты[[#This Row],[_строка фидера]]))</f>
        <v>Ввод 1</v>
      </c>
      <c r="BX22" t="str" cm="1">
        <f t="array" ref="BX22">IF(Щиты[[#This Row],[_строка фидера]]="","",INDEX(Линии[Пожарная (итог)],Щиты[[#This Row],[_строка фидера]]))</f>
        <v>нет</v>
      </c>
      <c r="BY22" t="str" cm="1">
        <f t="array" ref="BY22">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
      </c>
    </row>
    <row r="23" spans="1:77" x14ac:dyDescent="0.3">
      <c r="A23" t="s">
        <v>757</v>
      </c>
      <c r="B23" t="str">
        <f>Щиты[[#This Row],[_авто питается от]]</f>
        <v>ГРЩ-ЖД</v>
      </c>
      <c r="C23">
        <v>1</v>
      </c>
      <c r="D23" t="s">
        <v>484</v>
      </c>
      <c r="E23" t="s">
        <v>835</v>
      </c>
      <c r="F23">
        <v>8</v>
      </c>
      <c r="U23"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23" t="str" cm="1">
        <f t="array" ref="V23">IF(Щиты[[#This Row],[_строка фидера]]="","",INDEX(Линии[Номер линии],Щиты[[#This Row],[_строка фидера]]))</f>
        <v>ЩР-1</v>
      </c>
      <c r="W23" s="6">
        <f>SUMIFS(Щиты[_Руст собств],Щиты[Путь],"*|"&amp;Щиты[[#This Row],[Щит]]&amp;"|*")</f>
        <v>34.840000000000003</v>
      </c>
      <c r="X23" s="6">
        <f>k_пк*Щиты[[#This Row],[Руст быт, кВт]]*Щиты[[#This Row],[Кс быт]]+Щиты[[#This Row],[Ко]]*Щиты[[#This Row],[Рр сил, кВт]]+Щиты[[#This Row],[Руст пост, кВт]]+Щиты[[#This Row],[Р отопления, кВт]]+Щиты[[#This Row],[Рр ВНГ, кВт]]</f>
        <v>20.358822000000004</v>
      </c>
      <c r="Y23" s="6">
        <f>IFERROR(MAX(MAX(Щиты[[#This Row],[P L1, кВт]],Щиты[[#This Row],[P L2, кВт]],Щиты[[#This Row],[P L3, кВт]])*Щиты[[#This Row],[Кс итог]]/((Uн_лин*1000/SQRT(3))/1000*Щиты[[#This Row],[cos φ]]),Щиты[[#This Row],[Рр, кВт]]/(SQRT(3)*Uн_лин*Щиты[[#This Row],[cos φ]])),0)</f>
        <v>30.958664828377682</v>
      </c>
      <c r="Z23" s="6">
        <f>IFERROR(SUMIFS(Щиты[_Pcos собств],Щиты[Путь],"*|"&amp;Щиты[[#This Row],[Щит]]&amp;"|*")/SUMIFS(Щиты[_P собств],Щиты[Путь],"*|"&amp;Щиты[[#This Row],[Щит]]&amp;"|*"),0.95)</f>
        <v>0.94999999999999984</v>
      </c>
      <c r="AA23" s="6" cm="1">
        <f t="array" ref="AA23">SUMPRODUCT(--ISNUMBER(SEARCH("|"&amp;Щиты[Щит]&amp;"|",Щиты[[#This Row],[Путь]])),IFERROR(--Щиты[_ΔU фидера],0)+IFERROR(--Щиты[_ΔU источника],0))</f>
        <v>1.19</v>
      </c>
      <c r="AB23" s="6" t="str">
        <f>IF(ISNUMBER(Щиты[[#This Row],[Zпетли на шинах, Ом]]),c_min*(Uн_лин*1000/SQRT(3))/Щиты[[#This Row],[Zпетли на шинах, Ом]],"")</f>
        <v/>
      </c>
      <c r="AC23" s="6" t="str">
        <f>IF(ISNUMBER(Щиты[[#This Row],[Zmax на шинах, Ом]]),1.05*(Uн_лин*1000/SQRT(3))/Щиты[[#This Row],[Zmax на шинах, Ом]]/1000,"")</f>
        <v/>
      </c>
      <c r="AD23" t="str" cm="1">
        <f t="array" ref="AD23">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23" t="str" cm="1">
        <f t="array" ref="AE23">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|ГРЩ-ЖД|ЩР-1|</v>
      </c>
      <c r="AF23" s="6" t="str">
        <f>_xlfn.TEXTBEFORE(MID(Щиты[[#This Row],[Путь]],2,999),"|")</f>
        <v>ГРЩ-ЖД</v>
      </c>
      <c r="AG23" t="str">
        <f>IF(TRIM(Щиты[[#This Row],[Питается от]]&amp;"")="",Щиты[[#This Row],[_авто питается от]],Щиты[[#This Row],[Питается от]])</f>
        <v>ГРЩ-ЖД</v>
      </c>
      <c r="AH23">
        <f>LEN(Щиты[[#This Row],[Путь]])-LEN(SUBSTITUTE(Щиты[[#This Row],[Путь]],"|",""))-2</f>
        <v>1</v>
      </c>
      <c r="AI23">
        <f>IFERROR(_xlfn.XMATCH(Щиты[[#This Row],[Щит]],Линии[_фидер]),"")</f>
        <v>12</v>
      </c>
      <c r="AJ23" t="str" cm="1">
        <f t="array" ref="AJ23">IFERROR(INDEX(Линии[Щит],Щиты[[#This Row],[_строка фидера]]),"")</f>
        <v>ГРЩ-ЖД</v>
      </c>
      <c r="AK23">
        <f>SUMIFS(Линии[_Руст (без Нет)],Линии[Щит],Щиты[[#This Row],[Щит]])</f>
        <v>34.840000000000003</v>
      </c>
      <c r="AL23">
        <f>SUMIFS(Линии[_Руст быт],Линии[Щит],Щиты[[#This Row],[Щит]])</f>
        <v>34.340000000000003</v>
      </c>
      <c r="AM23">
        <f>SUMIFS(Линии[_Рр сил],Линии[Щит],Щиты[[#This Row],[Щит]])</f>
        <v>0</v>
      </c>
      <c r="AN23">
        <f>SUMIFS(Линии[_Руст пост],Линии[Щит],Щиты[[#This Row],[Щит]])</f>
        <v>0.5</v>
      </c>
      <c r="AO23">
        <f>SUMIFS(Линии[_P для cos],Линии[Щит],Щиты[[#This Row],[Щит]])</f>
        <v>34.840000000000003</v>
      </c>
      <c r="AP23">
        <f>SUMIFS(Линии[_P·cos],Линии[Щит],Щиты[[#This Row],[Щит]])</f>
        <v>33.097999999999999</v>
      </c>
      <c r="AQ23">
        <f>SUMIFS(Линии[_Р отопления],Линии[Щит],Щиты[[#This Row],[Щит]])</f>
        <v>0</v>
      </c>
      <c r="AR23">
        <f>SUMIFS(Линии[_Рр ВНГ],Линии[Щит],Щиты[[#This Row],[Щит]])</f>
        <v>0</v>
      </c>
      <c r="AS23" s="6">
        <f>SUMIFS(Щиты[_быт собств],Щиты[Путь],"*|"&amp;Щиты[[#This Row],[Щит]]&amp;"|*")</f>
        <v>34.340000000000003</v>
      </c>
      <c r="AT23" s="6" cm="1">
        <f t="array" ref="AT23">_xlfn.LET(_xlpm.x,Щиты[[#This Row],[Руст быт, кВт]],_xlpm.m,MATCH(_xlpm.x,Кс_Р,1),IF(_xlpm.x&gt;=INDEX(Кс_Р,ROWS(Кс_Р)),INDEX(Кс_К,ROWS(Кс_К)),INDEX(Кс_К,_xlpm.m)+(_xlpm.x-INDEX(Кс_Р,_xlpm.m))*(INDEX(Кс_К,_xlpm.m+1)-INDEX(Кс_К,_xlpm.m))/(INDEX(Кс_Р,_xlpm.m+1)-INDEX(Кс_Р,_xlpm.m))))</f>
        <v>0.57830000000000004</v>
      </c>
      <c r="AU23" s="6">
        <f>SUMIFS(Щиты[_сил собств],Щиты[Путь],"*|"&amp;Щиты[[#This Row],[Щит]]&amp;"|*")</f>
        <v>0</v>
      </c>
      <c r="AV23" s="6">
        <f>SUMIFS(Щиты[_пост собств],Щиты[Путь],"*|"&amp;Щиты[[#This Row],[Щит]]&amp;"|*")</f>
        <v>0.5</v>
      </c>
      <c r="AW23" s="6">
        <f>SUMIFS(Щиты[_отоп собств],Щиты[Путь],"*|"&amp;Щиты[[#This Row],[Щит]]&amp;"|*")</f>
        <v>0</v>
      </c>
      <c r="AX23" s="6">
        <f>SUMIFS(Щиты[_внг собств],Щиты[Путь],"*|"&amp;Щиты[[#This Row],[Щит]]&amp;"|*")</f>
        <v>0</v>
      </c>
      <c r="AY23">
        <f>COUNTIFS(Линии[Щит],Щиты[[#This Row],[Щит]],Линии[Группа Кс (итог)],"Сил")</f>
        <v>0</v>
      </c>
      <c r="AZ23" s="6" cm="1">
        <f t="array" ref="AZ23">_xlfn.LET(_xlpm.n,Щиты[[#This Row],[_n силовых]],IF(_xlpm.n&lt;=1,1,IF(_xlpm.n&gt;=MAX(Кс75_n),INDEX(Кс75_k,ROWS(Кс75_k)),_xlfn.LET(_xlpm.m,MATCH(_xlpm.n,Кс75_n,1),INDEX(Кс75_k,_xlpm.m)+(_xlpm.n-INDEX(Кс75_n,_xlpm.m))*(INDEX(Кс75_k,_xlpm.m+1)-INDEX(Кс75_k,_xlpm.m))/(INDEX(Кс75_n,_xlpm.m+1)-INDEX(Кс75_n,_xlpm.m))))))</f>
        <v>1</v>
      </c>
      <c r="BA23" s="6">
        <f>IF(Методика="нормы 2026",IF(AND(Щиты[[#This Row],[Руст быт, кВт]]&gt;0,Щиты[[#This Row],[Рр сил, кВт]]&gt;0),Ко_сил,1),Ко_сил)</f>
        <v>1</v>
      </c>
      <c r="BB23" s="6">
        <f>IF(Щиты[[#This Row],[Руст, кВт]]=0,0,Щиты[[#This Row],[Рр, кВт]]/Щиты[[#This Row],[Руст, кВт]])</f>
        <v>0.58435195177956378</v>
      </c>
      <c r="BC23"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11.613333333333332</v>
      </c>
      <c r="BD23"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11.623333333333333</v>
      </c>
      <c r="BE23"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11.603333333333332</v>
      </c>
      <c r="BF23" cm="1">
        <f t="array" ref="BF23">IF(Щиты[[#This Row],[_строка фидера]]="","",INDEX(Линии[ΔU, %],Щиты[[#This Row],[_строка фидера]]))</f>
        <v>1.19</v>
      </c>
      <c r="BG23">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23">
        <f>IF(Щиты[[#This Row],[Питается от (итог)]]&lt;&gt;"",0,IF(LEFT(UPPER(TRIM(Щиты[[#This Row],[Питание: от (ТП / сеть)]])),2)="ТП",0,N(Щиты[[#This Row],[ΔU до питающего, %]])+Щиты[[#This Row],[_ΔU пит. линии]]))</f>
        <v>0</v>
      </c>
      <c r="BI23">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23"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23" t="str">
        <f>IF(Щиты[[#This Row],[_Zсети]]="","",Щиты[[#This Row],[_Zсети]]+Щиты[[#This Row],[_петля пит. кабеля]])</f>
        <v/>
      </c>
      <c r="BL23" cm="1">
        <f t="array" ref="BL23">IF(Щиты[[#This Row],[_строка фидера]]="","",INDEX(Линии[_Zкабеля],Щиты[[#This Row],[_строка фидера]]))</f>
        <v>0.2136875</v>
      </c>
      <c r="BM23" s="6" t="str" cm="1">
        <f t="array" ref="BM23">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23"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23"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23" cm="1">
        <f t="array" ref="BP23">IF(Щиты[[#This Row],[_строка фидера]]="","",INDEX(Линии[_Zmax кабеля],Щиты[[#This Row],[_строка фидера]]))</f>
        <v>7.1093750000000011E-2</v>
      </c>
      <c r="BQ23" s="6" t="str" cm="1">
        <f t="array" ref="BQ23">IF(_xlfn.XLOOKUP(Щиты[[#This Row],[Корень]],Щиты[Щит],Щиты[_Zmax источника],"")="","",SUMPRODUCT(--ISNUMBER(SEARCH("|"&amp;Щиты[Щит]&amp;"|",Щиты[[#This Row],[Путь]])),IFERROR(--Щиты[_Zmax источника],0)+IFERROR(--Щиты[_Zmax фидера],0)))</f>
        <v/>
      </c>
      <c r="BR23" cm="1">
        <f t="array" ref="BR23">IF(Щиты[[#This Row],[_строка фидера]]="","",INDEX(Линии[_ΔU по току, %],Щиты[[#This Row],[_строка фидера]]))</f>
        <v>1.19</v>
      </c>
      <c r="BS23" s="6" cm="1">
        <f t="array" ref="BS23">SUMPRODUCT(--ISNUMBER(SEARCH("|"&amp;Щиты[Щит]&amp;"|",Щиты[[#This Row],[Путь]])),IFERROR(--Щиты[_ΔU фидера (подбор)],0)+IFERROR(--Щиты[_ΔU источника],0))</f>
        <v>1.19</v>
      </c>
      <c r="BT23" cm="1">
        <f t="array" ref="BT23">IF(Щиты[[#This Row],[_строка фидера]]="","",INDEX(Линии[_Zкабеля по току],Щиты[[#This Row],[_строка фидера]]))</f>
        <v>0.2136875</v>
      </c>
      <c r="BU23" s="6" t="str" cm="1">
        <f t="array" ref="BU23">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23" s="6">
        <f>_xlfn.MAXIFS(Линии[Iпуск, А],Линии[Щит],Щиты[[#This Row],[Щит]])</f>
        <v>0</v>
      </c>
      <c r="BW23" t="str" cm="1">
        <f t="array" ref="BW23">IF(Щиты[[#This Row],[_строка фидера]]="","",INDEX(Линии[Источник для режимов],Щиты[[#This Row],[_строка фидера]]))</f>
        <v>Ввод 2</v>
      </c>
      <c r="BX23" t="str" cm="1">
        <f t="array" ref="BX23">IF(Щиты[[#This Row],[_строка фидера]]="","",INDEX(Линии[Пожарная (итог)],Щиты[[#This Row],[_строка фидера]]))</f>
        <v>нет</v>
      </c>
      <c r="BY23" t="str" cm="1">
        <f t="array" ref="BY23">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232:L1;268:L2;266:L3;269:L1;265:L2;274:L1;270:L2;280:L3;254:L1;230:L3;237:L2;239:L1;238:L3;249:L2;235:L1;236:L3;241:L2;242:L1;245:L3;248:L2;253:L1;258:L3;260:L2;261:L1;228:L3;275:L2;227:L1;229:L3;231:L2;252:L1;267:L3;273:L2;277:L1;279:L3;224:L2;225:L1;243:L2;251:L3;257:L1;262:L2;264:L3;276:L1;271:L2;234:L3;244:L2;246:L3;255:L1;263:L2;278:L3;</v>
      </c>
    </row>
    <row r="24" spans="1:77" x14ac:dyDescent="0.3">
      <c r="A24" t="s">
        <v>759</v>
      </c>
      <c r="B24" t="str">
        <f>Щиты[[#This Row],[_авто питается от]]</f>
        <v>ГРЩ-ЖД</v>
      </c>
      <c r="C24">
        <v>1</v>
      </c>
      <c r="D24" t="s">
        <v>484</v>
      </c>
      <c r="E24" t="s">
        <v>835</v>
      </c>
      <c r="F24">
        <v>8</v>
      </c>
      <c r="U24"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24" t="str" cm="1">
        <f t="array" ref="V24">IF(Щиты[[#This Row],[_строка фидера]]="","",INDEX(Линии[Номер линии],Щиты[[#This Row],[_строка фидера]]))</f>
        <v>ЩР-2</v>
      </c>
      <c r="W24" s="6">
        <f>SUMIFS(Щиты[_Руст собств],Щиты[Путь],"*|"&amp;Щиты[[#This Row],[Щит]]&amp;"|*")</f>
        <v>9.98</v>
      </c>
      <c r="X24" s="6">
        <f>k_пк*Щиты[[#This Row],[Руст быт, кВт]]*Щиты[[#This Row],[Кс быт]]+Щиты[[#This Row],[Ко]]*Щиты[[#This Row],[Рр сил, кВт]]+Щиты[[#This Row],[Руст пост, кВт]]+Щиты[[#This Row],[Р отопления, кВт]]+Щиты[[#This Row],[Рр ВНГ, кВт]]</f>
        <v>8.9239999999999995</v>
      </c>
      <c r="Y24" s="6">
        <f>IFERROR(MAX(MAX(Щиты[[#This Row],[P L1, кВт]],Щиты[[#This Row],[P L2, кВт]],Щиты[[#This Row],[P L3, кВт]])*Щиты[[#This Row],[Кс итог]]/((Uн_лин*1000/SQRT(3))/1000*Щиты[[#This Row],[cos φ]]),Щиты[[#This Row],[Рр, кВт]]/(SQRT(3)*Uн_лин*Щиты[[#This Row],[cos φ]])),0)</f>
        <v>13.694473137501861</v>
      </c>
      <c r="Z24" s="6">
        <f>IFERROR(SUMIFS(Щиты[_Pcos собств],Щиты[Путь],"*|"&amp;Щиты[[#This Row],[Щит]]&amp;"|*")/SUMIFS(Щиты[_P собств],Щиты[Путь],"*|"&amp;Щиты[[#This Row],[Щит]]&amp;"|*"),0.95)</f>
        <v>0.95</v>
      </c>
      <c r="AA24" s="6" cm="1">
        <f t="array" ref="AA24">SUMPRODUCT(--ISNUMBER(SEARCH("|"&amp;Щиты[Щит]&amp;"|",Щиты[[#This Row],[Путь]])),IFERROR(--Щиты[_ΔU фидера],0)+IFERROR(--Щиты[_ΔU источника],0))</f>
        <v>1.79</v>
      </c>
      <c r="AB24" s="6" t="str">
        <f>IF(ISNUMBER(Щиты[[#This Row],[Zпетли на шинах, Ом]]),c_min*(Uн_лин*1000/SQRT(3))/Щиты[[#This Row],[Zпетли на шинах, Ом]],"")</f>
        <v/>
      </c>
      <c r="AC24" s="6" t="str">
        <f>IF(ISNUMBER(Щиты[[#This Row],[Zmax на шинах, Ом]]),1.05*(Uн_лин*1000/SQRT(3))/Щиты[[#This Row],[Zmax на шинах, Ом]]/1000,"")</f>
        <v/>
      </c>
      <c r="AD24" t="str" cm="1">
        <f t="array" ref="AD24">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24" t="str" cm="1">
        <f t="array" ref="AE24">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|ГРЩ-ЖД|ЩР-2|</v>
      </c>
      <c r="AF24" s="6" t="str">
        <f>_xlfn.TEXTBEFORE(MID(Щиты[[#This Row],[Путь]],2,999),"|")</f>
        <v>ГРЩ-ЖД</v>
      </c>
      <c r="AG24" t="str">
        <f>IF(TRIM(Щиты[[#This Row],[Питается от]]&amp;"")="",Щиты[[#This Row],[_авто питается от]],Щиты[[#This Row],[Питается от]])</f>
        <v>ГРЩ-ЖД</v>
      </c>
      <c r="AH24">
        <f>LEN(Щиты[[#This Row],[Путь]])-LEN(SUBSTITUTE(Щиты[[#This Row],[Путь]],"|",""))-2</f>
        <v>1</v>
      </c>
      <c r="AI24">
        <f>IFERROR(_xlfn.XMATCH(Щиты[[#This Row],[Щит]],Линии[_фидер]),"")</f>
        <v>13</v>
      </c>
      <c r="AJ24" t="str" cm="1">
        <f t="array" ref="AJ24">IFERROR(INDEX(Линии[Щит],Щиты[[#This Row],[_строка фидера]]),"")</f>
        <v>ГРЩ-ЖД</v>
      </c>
      <c r="AK24">
        <f>SUMIFS(Линии[_Руст (без Нет)],Линии[Щит],Щиты[[#This Row],[Щит]])</f>
        <v>9.98</v>
      </c>
      <c r="AL24">
        <f>SUMIFS(Линии[_Руст быт],Линии[Щит],Щиты[[#This Row],[Щит]])</f>
        <v>5.2799999999999994</v>
      </c>
      <c r="AM24">
        <f>SUMIFS(Линии[_Рр сил],Линии[Щит],Щиты[[#This Row],[Щит]])</f>
        <v>0</v>
      </c>
      <c r="AN24">
        <f>SUMIFS(Линии[_Руст пост],Линии[Щит],Щиты[[#This Row],[Щит]])</f>
        <v>4.7</v>
      </c>
      <c r="AO24">
        <f>SUMIFS(Линии[_P для cos],Линии[Щит],Щиты[[#This Row],[Щит]])</f>
        <v>9.98</v>
      </c>
      <c r="AP24">
        <f>SUMIFS(Линии[_P·cos],Линии[Щит],Щиты[[#This Row],[Щит]])</f>
        <v>9.4809999999999999</v>
      </c>
      <c r="AQ24">
        <f>SUMIFS(Линии[_Р отопления],Линии[Щит],Щиты[[#This Row],[Щит]])</f>
        <v>0</v>
      </c>
      <c r="AR24">
        <f>SUMIFS(Линии[_Рр ВНГ],Линии[Щит],Щиты[[#This Row],[Щит]])</f>
        <v>0</v>
      </c>
      <c r="AS24" s="6">
        <f>SUMIFS(Щиты[_быт собств],Щиты[Путь],"*|"&amp;Щиты[[#This Row],[Щит]]&amp;"|*")</f>
        <v>5.2799999999999994</v>
      </c>
      <c r="AT24" s="6" cm="1">
        <f t="array" ref="AT24">_xlfn.LET(_xlpm.x,Щиты[[#This Row],[Руст быт, кВт]],_xlpm.m,MATCH(_xlpm.x,Кс_Р,1),IF(_xlpm.x&gt;=INDEX(Кс_Р,ROWS(Кс_Р)),INDEX(Кс_К,ROWS(Кс_К)),INDEX(Кс_К,_xlpm.m)+(_xlpm.x-INDEX(Кс_Р,_xlpm.m))*(INDEX(Кс_К,_xlpm.m+1)-INDEX(Кс_К,_xlpm.m))/(INDEX(Кс_Р,_xlpm.m+1)-INDEX(Кс_Р,_xlpm.m))))</f>
        <v>0.8</v>
      </c>
      <c r="AU24" s="6">
        <f>SUMIFS(Щиты[_сил собств],Щиты[Путь],"*|"&amp;Щиты[[#This Row],[Щит]]&amp;"|*")</f>
        <v>0</v>
      </c>
      <c r="AV24" s="6">
        <f>SUMIFS(Щиты[_пост собств],Щиты[Путь],"*|"&amp;Щиты[[#This Row],[Щит]]&amp;"|*")</f>
        <v>4.7</v>
      </c>
      <c r="AW24" s="6">
        <f>SUMIFS(Щиты[_отоп собств],Щиты[Путь],"*|"&amp;Щиты[[#This Row],[Щит]]&amp;"|*")</f>
        <v>0</v>
      </c>
      <c r="AX24" s="6">
        <f>SUMIFS(Щиты[_внг собств],Щиты[Путь],"*|"&amp;Щиты[[#This Row],[Щит]]&amp;"|*")</f>
        <v>0</v>
      </c>
      <c r="AY24">
        <f>COUNTIFS(Линии[Щит],Щиты[[#This Row],[Щит]],Линии[Группа Кс (итог)],"Сил")</f>
        <v>0</v>
      </c>
      <c r="AZ24" s="6" cm="1">
        <f t="array" ref="AZ24">_xlfn.LET(_xlpm.n,Щиты[[#This Row],[_n силовых]],IF(_xlpm.n&lt;=1,1,IF(_xlpm.n&gt;=MAX(Кс75_n),INDEX(Кс75_k,ROWS(Кс75_k)),_xlfn.LET(_xlpm.m,MATCH(_xlpm.n,Кс75_n,1),INDEX(Кс75_k,_xlpm.m)+(_xlpm.n-INDEX(Кс75_n,_xlpm.m))*(INDEX(Кс75_k,_xlpm.m+1)-INDEX(Кс75_k,_xlpm.m))/(INDEX(Кс75_n,_xlpm.m+1)-INDEX(Кс75_n,_xlpm.m))))))</f>
        <v>1</v>
      </c>
      <c r="BA24" s="6">
        <f>IF(Методика="нормы 2026",IF(AND(Щиты[[#This Row],[Руст быт, кВт]]&gt;0,Щиты[[#This Row],[Рр сил, кВт]]&gt;0),Ко_сил,1),Ко_сил)</f>
        <v>1</v>
      </c>
      <c r="BB24" s="6">
        <f>IF(Щиты[[#This Row],[Руст, кВт]]=0,0,Щиты[[#This Row],[Рр, кВт]]/Щиты[[#This Row],[Руст, кВт]])</f>
        <v>0.89418837675350693</v>
      </c>
      <c r="BC24"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3.3600000000000003</v>
      </c>
      <c r="BD24"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3.3</v>
      </c>
      <c r="BE24"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3.3200000000000003</v>
      </c>
      <c r="BF24" cm="1">
        <f t="array" ref="BF24">IF(Щиты[[#This Row],[_строка фидера]]="","",INDEX(Линии[ΔU, %],Щиты[[#This Row],[_строка фидера]]))</f>
        <v>1.79</v>
      </c>
      <c r="BG24">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24">
        <f>IF(Щиты[[#This Row],[Питается от (итог)]]&lt;&gt;"",0,IF(LEFT(UPPER(TRIM(Щиты[[#This Row],[Питание: от (ТП / сеть)]])),2)="ТП",0,N(Щиты[[#This Row],[ΔU до питающего, %]])+Щиты[[#This Row],[_ΔU пит. линии]]))</f>
        <v>0</v>
      </c>
      <c r="BI24">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24"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24" t="str">
        <f>IF(Щиты[[#This Row],[_Zсети]]="","",Щиты[[#This Row],[_Zсети]]+Щиты[[#This Row],[_петля пит. кабеля]])</f>
        <v/>
      </c>
      <c r="BL24" cm="1">
        <f t="array" ref="BL24">IF(Щиты[[#This Row],[_строка фидера]]="","",INDEX(Линии[_Zкабеля],Щиты[[#This Row],[_строка фидера]]))</f>
        <v>0.73640000000000005</v>
      </c>
      <c r="BM24" s="6" t="str" cm="1">
        <f t="array" ref="BM24">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24"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24"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24" cm="1">
        <f t="array" ref="BP24">IF(Щиты[[#This Row],[_строка фидера]]="","",INDEX(Линии[_Zmax кабеля],Щиты[[#This Row],[_строка фидера]]))</f>
        <v>0.24500000000000002</v>
      </c>
      <c r="BQ24" s="6" t="str" cm="1">
        <f t="array" ref="BQ24">IF(_xlfn.XLOOKUP(Щиты[[#This Row],[Корень]],Щиты[Щит],Щиты[_Zmax источника],"")="","",SUMPRODUCT(--ISNUMBER(SEARCH("|"&amp;Щиты[Щит]&amp;"|",Щиты[[#This Row],[Путь]])),IFERROR(--Щиты[_Zmax источника],0)+IFERROR(--Щиты[_Zmax фидера],0)))</f>
        <v/>
      </c>
      <c r="BR24" cm="1">
        <f t="array" ref="BR24">IF(Щиты[[#This Row],[_строка фидера]]="","",INDEX(Линии[_ΔU по току, %],Щиты[[#This Row],[_строка фидера]]))</f>
        <v>4.75</v>
      </c>
      <c r="BS24" s="6" cm="1">
        <f t="array" ref="BS24">SUMPRODUCT(--ISNUMBER(SEARCH("|"&amp;Щиты[Щит]&amp;"|",Щиты[[#This Row],[Путь]])),IFERROR(--Щиты[_ΔU фидера (подбор)],0)+IFERROR(--Щиты[_ΔU источника],0))</f>
        <v>4.75</v>
      </c>
      <c r="BT24" cm="1">
        <f t="array" ref="BT24">IF(Щиты[[#This Row],[_строка фидера]]="","",INDEX(Линии[_Zкабеля по току],Щиты[[#This Row],[_строка фидера]]))</f>
        <v>1.9637333333333336</v>
      </c>
      <c r="BU24" s="6" t="str" cm="1">
        <f t="array" ref="BU24">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24" s="6">
        <f>_xlfn.MAXIFS(Линии[Iпуск, А],Линии[Щит],Щиты[[#This Row],[Щит]])</f>
        <v>0</v>
      </c>
      <c r="BW24" t="str" cm="1">
        <f t="array" ref="BW24">IF(Щиты[[#This Row],[_строка фидера]]="","",INDEX(Линии[Источник для режимов],Щиты[[#This Row],[_строка фидера]]))</f>
        <v>Ввод 1</v>
      </c>
      <c r="BX24" t="str" cm="1">
        <f t="array" ref="BX24">IF(Щиты[[#This Row],[_строка фидера]]="","",INDEX(Линии[Пожарная (итог)],Щиты[[#This Row],[_строка фидера]]))</f>
        <v>нет</v>
      </c>
      <c r="BY24" t="str" cm="1">
        <f t="array" ref="BY24">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
      </c>
    </row>
    <row r="25" spans="1:77" x14ac:dyDescent="0.3">
      <c r="A25" t="s">
        <v>761</v>
      </c>
      <c r="B25" t="str">
        <f>Щиты[[#This Row],[_авто питается от]]</f>
        <v>ГРЩ-ЖД</v>
      </c>
      <c r="C25">
        <v>1</v>
      </c>
      <c r="D25" t="s">
        <v>484</v>
      </c>
      <c r="E25" t="s">
        <v>835</v>
      </c>
      <c r="F25">
        <v>11</v>
      </c>
      <c r="U25"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25" t="str" cm="1">
        <f t="array" ref="V25">IF(Щиты[[#This Row],[_строка фидера]]="","",INDEX(Линии[Номер линии],Щиты[[#This Row],[_строка фидера]]))</f>
        <v>ЩС-Б</v>
      </c>
      <c r="W25" s="6">
        <f>SUMIFS(Щиты[_Руст собств],Щиты[Путь],"*|"&amp;Щиты[[#This Row],[Щит]]&amp;"|*")</f>
        <v>24.990000000000002</v>
      </c>
      <c r="X25" s="6">
        <f>k_пк*Щиты[[#This Row],[Руст быт, кВт]]*Щиты[[#This Row],[Кс быт]]+Щиты[[#This Row],[Ко]]*Щиты[[#This Row],[Рр сил, кВт]]+Щиты[[#This Row],[Руст пост, кВт]]+Щиты[[#This Row],[Р отопления, кВт]]+Щиты[[#This Row],[Рр ВНГ, кВт]]</f>
        <v>12.495000000000001</v>
      </c>
      <c r="Y25" s="6">
        <f>IFERROR(MAX(MAX(Щиты[[#This Row],[P L1, кВт]],Щиты[[#This Row],[P L2, кВт]],Щиты[[#This Row],[P L3, кВт]])*Щиты[[#This Row],[Кс итог]]/((Uн_лин*1000/SQRT(3))/1000*Щиты[[#This Row],[cos φ]]),Щиты[[#This Row],[Рр, кВт]]/(SQRT(3)*Uн_лин*Щиты[[#This Row],[cos φ]])),0)</f>
        <v>22.54372379226367</v>
      </c>
      <c r="Z25" s="6">
        <f>IFERROR(SUMIFS(Щиты[_Pcos собств],Щиты[Путь],"*|"&amp;Щиты[[#This Row],[Щит]]&amp;"|*")/SUMIFS(Щиты[_P собств],Щиты[Путь],"*|"&amp;Щиты[[#This Row],[Щит]]&amp;"|*"),0.95)</f>
        <v>0.79999999999999993</v>
      </c>
      <c r="AA25" s="6" cm="1">
        <f t="array" ref="AA25">SUMPRODUCT(--ISNUMBER(SEARCH("|"&amp;Щиты[Щит]&amp;"|",Щиты[[#This Row],[Путь]])),IFERROR(--Щиты[_ΔU фидера],0)+IFERROR(--Щиты[_ΔU источника],0))</f>
        <v>0.96</v>
      </c>
      <c r="AB25" s="6" t="str">
        <f>IF(ISNUMBER(Щиты[[#This Row],[Zпетли на шинах, Ом]]),c_min*(Uн_лин*1000/SQRT(3))/Щиты[[#This Row],[Zпетли на шинах, Ом]],"")</f>
        <v/>
      </c>
      <c r="AC25" s="6" t="str">
        <f>IF(ISNUMBER(Щиты[[#This Row],[Zmax на шинах, Ом]]),1.05*(Uн_лин*1000/SQRT(3))/Щиты[[#This Row],[Zmax на шинах, Ом]]/1000,"")</f>
        <v/>
      </c>
      <c r="AD25" t="str" cm="1">
        <f t="array" ref="AD25">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25" t="str" cm="1">
        <f t="array" ref="AE25">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|ГРЩ-ЖД|ЩС-Б|</v>
      </c>
      <c r="AF25" s="6" t="str">
        <f>_xlfn.TEXTBEFORE(MID(Щиты[[#This Row],[Путь]],2,999),"|")</f>
        <v>ГРЩ-ЖД</v>
      </c>
      <c r="AG25" t="str">
        <f>IF(TRIM(Щиты[[#This Row],[Питается от]]&amp;"")="",Щиты[[#This Row],[_авто питается от]],Щиты[[#This Row],[Питается от]])</f>
        <v>ГРЩ-ЖД</v>
      </c>
      <c r="AH25">
        <f>LEN(Щиты[[#This Row],[Путь]])-LEN(SUBSTITUTE(Щиты[[#This Row],[Путь]],"|",""))-2</f>
        <v>1</v>
      </c>
      <c r="AI25">
        <f>IFERROR(_xlfn.XMATCH(Щиты[[#This Row],[Щит]],Линии[_фидер]),"")</f>
        <v>14</v>
      </c>
      <c r="AJ25" t="str" cm="1">
        <f t="array" ref="AJ25">IFERROR(INDEX(Линии[Щит],Щиты[[#This Row],[_строка фидера]]),"")</f>
        <v>ГРЩ-ЖД</v>
      </c>
      <c r="AK25">
        <f>SUMIFS(Линии[_Руст (без Нет)],Линии[Щит],Щиты[[#This Row],[Щит]])</f>
        <v>24.990000000000002</v>
      </c>
      <c r="AL25">
        <f>SUMIFS(Линии[_Руст быт],Линии[Щит],Щиты[[#This Row],[Щит]])</f>
        <v>0</v>
      </c>
      <c r="AM25">
        <f>SUMIFS(Линии[_Рр сил],Линии[Щит],Щиты[[#This Row],[Щит]])</f>
        <v>12.495000000000001</v>
      </c>
      <c r="AN25">
        <f>SUMIFS(Линии[_Руст пост],Линии[Щит],Щиты[[#This Row],[Щит]])</f>
        <v>0</v>
      </c>
      <c r="AO25">
        <f>SUMIFS(Линии[_P для cos],Линии[Щит],Щиты[[#This Row],[Щит]])</f>
        <v>24.990000000000002</v>
      </c>
      <c r="AP25">
        <f>SUMIFS(Линии[_P·cos],Линии[Щит],Щиты[[#This Row],[Щит]])</f>
        <v>19.992000000000001</v>
      </c>
      <c r="AQ25">
        <f>SUMIFS(Линии[_Р отопления],Линии[Щит],Щиты[[#This Row],[Щит]])</f>
        <v>0</v>
      </c>
      <c r="AR25">
        <f>SUMIFS(Линии[_Рр ВНГ],Линии[Щит],Щиты[[#This Row],[Щит]])</f>
        <v>0</v>
      </c>
      <c r="AS25" s="6">
        <f>SUMIFS(Щиты[_быт собств],Щиты[Путь],"*|"&amp;Щиты[[#This Row],[Щит]]&amp;"|*")</f>
        <v>0</v>
      </c>
      <c r="AT25" s="6" cm="1">
        <f t="array" ref="AT25">_xlfn.LET(_xlpm.x,Щиты[[#This Row],[Руст быт, кВт]],_xlpm.m,MATCH(_xlpm.x,Кс_Р,1),IF(_xlpm.x&gt;=INDEX(Кс_Р,ROWS(Кс_Р)),INDEX(Кс_К,ROWS(Кс_К)),INDEX(Кс_К,_xlpm.m)+(_xlpm.x-INDEX(Кс_Р,_xlpm.m))*(INDEX(Кс_К,_xlpm.m+1)-INDEX(Кс_К,_xlpm.m))/(INDEX(Кс_Р,_xlpm.m+1)-INDEX(Кс_Р,_xlpm.m))))</f>
        <v>0.8</v>
      </c>
      <c r="AU25" s="6">
        <f>SUMIFS(Щиты[_сил собств],Щиты[Путь],"*|"&amp;Щиты[[#This Row],[Щит]]&amp;"|*")</f>
        <v>12.495000000000001</v>
      </c>
      <c r="AV25" s="6">
        <f>SUMIFS(Щиты[_пост собств],Щиты[Путь],"*|"&amp;Щиты[[#This Row],[Щит]]&amp;"|*")</f>
        <v>0</v>
      </c>
      <c r="AW25" s="6">
        <f>SUMIFS(Щиты[_отоп собств],Щиты[Путь],"*|"&amp;Щиты[[#This Row],[Щит]]&amp;"|*")</f>
        <v>0</v>
      </c>
      <c r="AX25" s="6">
        <f>SUMIFS(Щиты[_внг собств],Щиты[Путь],"*|"&amp;Щиты[[#This Row],[Щит]]&amp;"|*")</f>
        <v>0</v>
      </c>
      <c r="AY25">
        <f>COUNTIFS(Линии[Щит],Щиты[[#This Row],[Щит]],Линии[Группа Кс (итог)],"Сил")</f>
        <v>3</v>
      </c>
      <c r="AZ25" s="6" cm="1">
        <f t="array" ref="AZ25">_xlfn.LET(_xlpm.n,Щиты[[#This Row],[_n силовых]],IF(_xlpm.n&lt;=1,1,IF(_xlpm.n&gt;=MAX(Кс75_n),INDEX(Кс75_k,ROWS(Кс75_k)),_xlfn.LET(_xlpm.m,MATCH(_xlpm.n,Кс75_n,1),INDEX(Кс75_k,_xlpm.m)+(_xlpm.n-INDEX(Кс75_n,_xlpm.m))*(INDEX(Кс75_k,_xlpm.m+1)-INDEX(Кс75_k,_xlpm.m))/(INDEX(Кс75_n,_xlpm.m+1)-INDEX(Кс75_n,_xlpm.m))))))</f>
        <v>0.9</v>
      </c>
      <c r="BA25" s="6">
        <f>IF(Методика="нормы 2026",IF(AND(Щиты[[#This Row],[Руст быт, кВт]]&gt;0,Щиты[[#This Row],[Рр сил, кВт]]&gt;0),Ко_сил,1),Ко_сил)</f>
        <v>1</v>
      </c>
      <c r="BB25" s="6">
        <f>IF(Щиты[[#This Row],[Руст, кВт]]=0,0,Щиты[[#This Row],[Рр, кВт]]/Щиты[[#This Row],[Руст, кВт]])</f>
        <v>0.5</v>
      </c>
      <c r="BC25"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8.33</v>
      </c>
      <c r="BD25"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8.33</v>
      </c>
      <c r="BE25"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8.33</v>
      </c>
      <c r="BF25" cm="1">
        <f t="array" ref="BF25">IF(Щиты[[#This Row],[_строка фидера]]="","",INDEX(Линии[ΔU, %],Щиты[[#This Row],[_строка фидера]]))</f>
        <v>0.96</v>
      </c>
      <c r="BG25">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25">
        <f>IF(Щиты[[#This Row],[Питается от (итог)]]&lt;&gt;"",0,IF(LEFT(UPPER(TRIM(Щиты[[#This Row],[Питание: от (ТП / сеть)]])),2)="ТП",0,N(Щиты[[#This Row],[ΔU до питающего, %]])+Щиты[[#This Row],[_ΔU пит. линии]]))</f>
        <v>0</v>
      </c>
      <c r="BI25">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25"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25" t="str">
        <f>IF(Щиты[[#This Row],[_Zсети]]="","",Щиты[[#This Row],[_Zсети]]+Щиты[[#This Row],[_петля пит. кабеля]])</f>
        <v/>
      </c>
      <c r="BL25" cm="1">
        <f t="array" ref="BL25">IF(Щиты[[#This Row],[_строка фидера]]="","",INDEX(Линии[_Zкабеля],Щиты[[#This Row],[_строка фидера]]))</f>
        <v>0.27877999999999997</v>
      </c>
      <c r="BM25" s="6" t="str" cm="1">
        <f t="array" ref="BM25">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25"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25"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25" cm="1">
        <f t="array" ref="BP25">IF(Щиты[[#This Row],[_строка фидера]]="","",INDEX(Линии[_Zmax кабеля],Щиты[[#This Row],[_строка фидера]]))</f>
        <v>9.2750000000000013E-2</v>
      </c>
      <c r="BQ25" s="6" t="str" cm="1">
        <f t="array" ref="BQ25">IF(_xlfn.XLOOKUP(Щиты[[#This Row],[Корень]],Щиты[Щит],Щиты[_Zmax источника],"")="","",SUMPRODUCT(--ISNUMBER(SEARCH("|"&amp;Щиты[Щит]&amp;"|",Щиты[[#This Row],[Путь]])),IFERROR(--Щиты[_Zmax источника],0)+IFERROR(--Щиты[_Zmax фидера],0)))</f>
        <v/>
      </c>
      <c r="BR25" cm="1">
        <f t="array" ref="BR25">IF(Щиты[[#This Row],[_строка фидера]]="","",INDEX(Линии[_ΔU по току, %],Щиты[[#This Row],[_строка фидера]]))</f>
        <v>0.96</v>
      </c>
      <c r="BS25" s="6" cm="1">
        <f t="array" ref="BS25">SUMPRODUCT(--ISNUMBER(SEARCH("|"&amp;Щиты[Щит]&amp;"|",Щиты[[#This Row],[Путь]])),IFERROR(--Щиты[_ΔU фидера (подбор)],0)+IFERROR(--Щиты[_ΔU источника],0))</f>
        <v>0.96</v>
      </c>
      <c r="BT25" cm="1">
        <f t="array" ref="BT25">IF(Щиты[[#This Row],[_строка фидера]]="","",INDEX(Линии[_Zкабеля по току],Щиты[[#This Row],[_строка фидера]]))</f>
        <v>0.27877999999999997</v>
      </c>
      <c r="BU25" s="6" t="str" cm="1">
        <f t="array" ref="BU25">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25" s="6">
        <f>_xlfn.MAXIFS(Линии[Iпуск, А],Линии[Щит],Щиты[[#This Row],[Щит]])</f>
        <v>0</v>
      </c>
      <c r="BW25" t="str" cm="1">
        <f t="array" ref="BW25">IF(Щиты[[#This Row],[_строка фидера]]="","",INDEX(Линии[Источник для режимов],Щиты[[#This Row],[_строка фидера]]))</f>
        <v>Ввод 1</v>
      </c>
      <c r="BX25" t="str" cm="1">
        <f t="array" ref="BX25">IF(Щиты[[#This Row],[_строка фидера]]="","",INDEX(Линии[Пожарная (итог)],Щиты[[#This Row],[_строка фидера]]))</f>
        <v>нет</v>
      </c>
      <c r="BY25" t="str" cm="1">
        <f t="array" ref="BY25">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
      </c>
    </row>
    <row r="26" spans="1:77" x14ac:dyDescent="0.3">
      <c r="A26" t="s">
        <v>763</v>
      </c>
      <c r="B26" t="str">
        <f>Щиты[[#This Row],[_авто питается от]]</f>
        <v>ГРЩ-ЖД</v>
      </c>
      <c r="C26">
        <v>1</v>
      </c>
      <c r="D26" t="s">
        <v>484</v>
      </c>
      <c r="E26" t="s">
        <v>835</v>
      </c>
      <c r="F26">
        <v>9</v>
      </c>
      <c r="U26"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26" t="str" cm="1">
        <f t="array" ref="V26">IF(Щиты[[#This Row],[_строка фидера]]="","",INDEX(Линии[Номер линии],Щиты[[#This Row],[_строка фидера]]))</f>
        <v>ЩС-ВК.001</v>
      </c>
      <c r="W26" s="6">
        <f>SUMIFS(Щиты[_Руст собств],Щиты[Путь],"*|"&amp;Щиты[[#This Row],[Щит]]&amp;"|*")</f>
        <v>3.8000000000000003</v>
      </c>
      <c r="X26" s="6">
        <f>k_пк*Щиты[[#This Row],[Руст быт, кВт]]*Щиты[[#This Row],[Кс быт]]+Щиты[[#This Row],[Ко]]*Щиты[[#This Row],[Рр сил, кВт]]+Щиты[[#This Row],[Руст пост, кВт]]+Щиты[[#This Row],[Р отопления, кВт]]+Щиты[[#This Row],[Рр ВНГ, кВт]]</f>
        <v>1.9000000000000001</v>
      </c>
      <c r="Y26" s="6">
        <f>IFERROR(MAX(MAX(Щиты[[#This Row],[P L1, кВт]],Щиты[[#This Row],[P L2, кВт]],Щиты[[#This Row],[P L3, кВт]])*Щиты[[#This Row],[Кс итог]]/((Uн_лин*1000/SQRT(3))/1000*Щиты[[#This Row],[cos φ]]),Щиты[[#This Row],[Рр, кВт]]/(SQRT(3)*Uн_лин*Щиты[[#This Row],[cos φ]])),0)</f>
        <v>10.28405166994021</v>
      </c>
      <c r="Z26" s="6">
        <f>IFERROR(SUMIFS(Щиты[_Pcos собств],Щиты[Путь],"*|"&amp;Щиты[[#This Row],[Щит]]&amp;"|*")/SUMIFS(Щиты[_P собств],Щиты[Путь],"*|"&amp;Щиты[[#This Row],[Щит]]&amp;"|*"),0.95)</f>
        <v>0.79999999999999993</v>
      </c>
      <c r="AA26" s="6" cm="1">
        <f t="array" ref="AA26">SUMPRODUCT(--ISNUMBER(SEARCH("|"&amp;Щиты[Щит]&amp;"|",Щиты[[#This Row],[Путь]])),IFERROR(--Щиты[_ΔU фидера],0)+IFERROR(--Щиты[_ΔU источника],0))</f>
        <v>2.1199999999999997</v>
      </c>
      <c r="AB26" s="6" t="str">
        <f>IF(ISNUMBER(Щиты[[#This Row],[Zпетли на шинах, Ом]]),c_min*(Uн_лин*1000/SQRT(3))/Щиты[[#This Row],[Zпетли на шинах, Ом]],"")</f>
        <v/>
      </c>
      <c r="AC26" s="6" t="str">
        <f>IF(ISNUMBER(Щиты[[#This Row],[Zmax на шинах, Ом]]),1.05*(Uн_лин*1000/SQRT(3))/Щиты[[#This Row],[Zmax на шинах, Ом]]/1000,"")</f>
        <v/>
      </c>
      <c r="AD26" t="str" cm="1">
        <f t="array" ref="AD26">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26" t="str" cm="1">
        <f t="array" ref="AE26">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|ГРЩ-ЖД|ЩС-ВК.001|</v>
      </c>
      <c r="AF26" s="6" t="str">
        <f>_xlfn.TEXTBEFORE(MID(Щиты[[#This Row],[Путь]],2,999),"|")</f>
        <v>ГРЩ-ЖД</v>
      </c>
      <c r="AG26" t="str">
        <f>IF(TRIM(Щиты[[#This Row],[Питается от]]&amp;"")="",Щиты[[#This Row],[_авто питается от]],Щиты[[#This Row],[Питается от]])</f>
        <v>ГРЩ-ЖД</v>
      </c>
      <c r="AH26">
        <f>LEN(Щиты[[#This Row],[Путь]])-LEN(SUBSTITUTE(Щиты[[#This Row],[Путь]],"|",""))-2</f>
        <v>1</v>
      </c>
      <c r="AI26">
        <f>IFERROR(_xlfn.XMATCH(Щиты[[#This Row],[Щит]],Линии[_фидер]),"")</f>
        <v>15</v>
      </c>
      <c r="AJ26" t="str" cm="1">
        <f t="array" ref="AJ26">IFERROR(INDEX(Линии[Щит],Щиты[[#This Row],[_строка фидера]]),"")</f>
        <v>ГРЩ-ЖД</v>
      </c>
      <c r="AK26">
        <f>SUMIFS(Линии[_Руст (без Нет)],Линии[Щит],Щиты[[#This Row],[Щит]])</f>
        <v>3.8000000000000003</v>
      </c>
      <c r="AL26">
        <f>SUMIFS(Линии[_Руст быт],Линии[Щит],Щиты[[#This Row],[Щит]])</f>
        <v>0</v>
      </c>
      <c r="AM26">
        <f>SUMIFS(Линии[_Рр сил],Линии[Щит],Щиты[[#This Row],[Щит]])</f>
        <v>1.9000000000000001</v>
      </c>
      <c r="AN26">
        <f>SUMIFS(Линии[_Руст пост],Линии[Щит],Щиты[[#This Row],[Щит]])</f>
        <v>0</v>
      </c>
      <c r="AO26">
        <f>SUMIFS(Линии[_P для cos],Линии[Щит],Щиты[[#This Row],[Щит]])</f>
        <v>3.8000000000000003</v>
      </c>
      <c r="AP26">
        <f>SUMIFS(Линии[_P·cos],Линии[Щит],Щиты[[#This Row],[Щит]])</f>
        <v>3.04</v>
      </c>
      <c r="AQ26">
        <f>SUMIFS(Линии[_Р отопления],Линии[Щит],Щиты[[#This Row],[Щит]])</f>
        <v>0</v>
      </c>
      <c r="AR26">
        <f>SUMIFS(Линии[_Рр ВНГ],Линии[Щит],Щиты[[#This Row],[Щит]])</f>
        <v>0</v>
      </c>
      <c r="AS26" s="6">
        <f>SUMIFS(Щиты[_быт собств],Щиты[Путь],"*|"&amp;Щиты[[#This Row],[Щит]]&amp;"|*")</f>
        <v>0</v>
      </c>
      <c r="AT26" s="6" cm="1">
        <f t="array" ref="AT26">_xlfn.LET(_xlpm.x,Щиты[[#This Row],[Руст быт, кВт]],_xlpm.m,MATCH(_xlpm.x,Кс_Р,1),IF(_xlpm.x&gt;=INDEX(Кс_Р,ROWS(Кс_Р)),INDEX(Кс_К,ROWS(Кс_К)),INDEX(Кс_К,_xlpm.m)+(_xlpm.x-INDEX(Кс_Р,_xlpm.m))*(INDEX(Кс_К,_xlpm.m+1)-INDEX(Кс_К,_xlpm.m))/(INDEX(Кс_Р,_xlpm.m+1)-INDEX(Кс_Р,_xlpm.m))))</f>
        <v>0.8</v>
      </c>
      <c r="AU26" s="6">
        <f>SUMIFS(Щиты[_сил собств],Щиты[Путь],"*|"&amp;Щиты[[#This Row],[Щит]]&amp;"|*")</f>
        <v>1.9000000000000001</v>
      </c>
      <c r="AV26" s="6">
        <f>SUMIFS(Щиты[_пост собств],Щиты[Путь],"*|"&amp;Щиты[[#This Row],[Щит]]&amp;"|*")</f>
        <v>0</v>
      </c>
      <c r="AW26" s="6">
        <f>SUMIFS(Щиты[_отоп собств],Щиты[Путь],"*|"&amp;Щиты[[#This Row],[Щит]]&amp;"|*")</f>
        <v>0</v>
      </c>
      <c r="AX26" s="6">
        <f>SUMIFS(Щиты[_внг собств],Щиты[Путь],"*|"&amp;Щиты[[#This Row],[Щит]]&amp;"|*")</f>
        <v>0</v>
      </c>
      <c r="AY26">
        <f>COUNTIFS(Линии[Щит],Щиты[[#This Row],[Щит]],Линии[Группа Кс (итог)],"Сил")</f>
        <v>7</v>
      </c>
      <c r="AZ26" s="6" cm="1">
        <f t="array" ref="AZ26">_xlfn.LET(_xlpm.n,Щиты[[#This Row],[_n силовых]],IF(_xlpm.n&lt;=1,1,IF(_xlpm.n&gt;=MAX(Кс75_n),INDEX(Кс75_k,ROWS(Кс75_k)),_xlfn.LET(_xlpm.m,MATCH(_xlpm.n,Кс75_n,1),INDEX(Кс75_k,_xlpm.m)+(_xlpm.n-INDEX(Кс75_n,_xlpm.m))*(INDEX(Кс75_k,_xlpm.m+1)-INDEX(Кс75_k,_xlpm.m))/(INDEX(Кс75_n,_xlpm.m+1)-INDEX(Кс75_n,_xlpm.m))))))</f>
        <v>0.76666666666666672</v>
      </c>
      <c r="BA26" s="6">
        <f>IF(Методика="нормы 2026",IF(AND(Щиты[[#This Row],[Руст быт, кВт]]&gt;0,Щиты[[#This Row],[Рр сил, кВт]]&gt;0),Ко_сил,1),Ко_сил)</f>
        <v>1</v>
      </c>
      <c r="BB26" s="6">
        <f>IF(Щиты[[#This Row],[Руст, кВт]]=0,0,Щиты[[#This Row],[Рр, кВт]]/Щиты[[#This Row],[Руст, кВт]])</f>
        <v>0.5</v>
      </c>
      <c r="BC26"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3.8000000000000003</v>
      </c>
      <c r="BD26"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0</v>
      </c>
      <c r="BE26"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0</v>
      </c>
      <c r="BF26" cm="1">
        <f t="array" ref="BF26">IF(Щиты[[#This Row],[_строка фидера]]="","",INDEX(Линии[ΔU, %],Щиты[[#This Row],[_строка фидера]]))</f>
        <v>2.1199999999999997</v>
      </c>
      <c r="BG26">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26">
        <f>IF(Щиты[[#This Row],[Питается от (итог)]]&lt;&gt;"",0,IF(LEFT(UPPER(TRIM(Щиты[[#This Row],[Питание: от (ТП / сеть)]])),2)="ТП",0,N(Щиты[[#This Row],[ΔU до питающего, %]])+Щиты[[#This Row],[_ΔU пит. линии]]))</f>
        <v>0</v>
      </c>
      <c r="BI26">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26"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26" t="str">
        <f>IF(Щиты[[#This Row],[_Zсети]]="","",Щиты[[#This Row],[_Zсети]]+Щиты[[#This Row],[_петля пит. кабеля]])</f>
        <v/>
      </c>
      <c r="BL26" cm="1">
        <f t="array" ref="BL26">IF(Щиты[[#This Row],[_строка фидера]]="","",INDEX(Линии[_Zкабеля],Щиты[[#This Row],[_строка фидера]]))</f>
        <v>0.68379999999999996</v>
      </c>
      <c r="BM26" s="6" t="str" cm="1">
        <f t="array" ref="BM26">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26"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26"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26" cm="1">
        <f t="array" ref="BP26">IF(Щиты[[#This Row],[_строка фидера]]="","",INDEX(Линии[_Zmax кабеля],Щиты[[#This Row],[_строка фидера]]))</f>
        <v>0.22750000000000004</v>
      </c>
      <c r="BQ26" s="6" t="str" cm="1">
        <f t="array" ref="BQ26">IF(_xlfn.XLOOKUP(Щиты[[#This Row],[Корень]],Щиты[Щит],Щиты[_Zmax источника],"")="","",SUMPRODUCT(--ISNUMBER(SEARCH("|"&amp;Щиты[Щит]&amp;"|",Щиты[[#This Row],[Путь]])),IFERROR(--Щиты[_Zmax источника],0)+IFERROR(--Щиты[_Zmax фидера],0)))</f>
        <v/>
      </c>
      <c r="BR26" cm="1">
        <f t="array" ref="BR26">IF(Щиты[[#This Row],[_строка фидера]]="","",INDEX(Линии[_ΔU по току, %],Щиты[[#This Row],[_строка фидера]]))</f>
        <v>3.3699999999999997</v>
      </c>
      <c r="BS26" s="6" cm="1">
        <f t="array" ref="BS26">SUMPRODUCT(--ISNUMBER(SEARCH("|"&amp;Щиты[Щит]&amp;"|",Щиты[[#This Row],[Путь]])),IFERROR(--Щиты[_ΔU фидера (подбор)],0)+IFERROR(--Щиты[_ΔU источника],0))</f>
        <v>3.3699999999999997</v>
      </c>
      <c r="BT26" cm="1">
        <f t="array" ref="BT26">IF(Щиты[[#This Row],[_строка фидера]]="","",INDEX(Линии[_Zкабеля по току],Щиты[[#This Row],[_строка фидера]]))</f>
        <v>1.0940799999999999</v>
      </c>
      <c r="BU26" s="6" t="str" cm="1">
        <f t="array" ref="BU26">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26" s="6">
        <f>_xlfn.MAXIFS(Линии[Iпуск, А],Линии[Щит],Щиты[[#This Row],[Щит]])</f>
        <v>0</v>
      </c>
      <c r="BW26" t="str" cm="1">
        <f t="array" ref="BW26">IF(Щиты[[#This Row],[_строка фидера]]="","",INDEX(Линии[Источник для режимов],Щиты[[#This Row],[_строка фидера]]))</f>
        <v>Ввод 2</v>
      </c>
      <c r="BX26" t="str" cm="1">
        <f t="array" ref="BX26">IF(Щиты[[#This Row],[_строка фидера]]="","",INDEX(Линии[Пожарная (итог)],Щиты[[#This Row],[_строка фидера]]))</f>
        <v>нет</v>
      </c>
      <c r="BY26" t="str" cm="1">
        <f t="array" ref="BY26">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;315:L2;</v>
      </c>
    </row>
    <row r="27" spans="1:77" x14ac:dyDescent="0.3">
      <c r="A27" t="s">
        <v>765</v>
      </c>
      <c r="B27" t="str">
        <f>Щиты[[#This Row],[_авто питается от]]</f>
        <v>ГРЩ-ЖД</v>
      </c>
      <c r="C27">
        <v>1</v>
      </c>
      <c r="D27" t="s">
        <v>484</v>
      </c>
      <c r="E27" t="s">
        <v>835</v>
      </c>
      <c r="F27">
        <v>11</v>
      </c>
      <c r="U27"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27" t="str" cm="1">
        <f t="array" ref="V27">IF(Щиты[[#This Row],[_строка фидера]]="","",INDEX(Линии[Номер линии],Щиты[[#This Row],[_строка фидера]]))</f>
        <v>ЩС-ВК.002</v>
      </c>
      <c r="W27" s="6">
        <f>SUMIFS(Щиты[_Руст собств],Щиты[Путь],"*|"&amp;Щиты[[#This Row],[Щит]]&amp;"|*")</f>
        <v>2.4</v>
      </c>
      <c r="X27" s="6">
        <f>k_пк*Щиты[[#This Row],[Руст быт, кВт]]*Щиты[[#This Row],[Кс быт]]+Щиты[[#This Row],[Ко]]*Щиты[[#This Row],[Рр сил, кВт]]+Щиты[[#This Row],[Руст пост, кВт]]+Щиты[[#This Row],[Р отопления, кВт]]+Щиты[[#This Row],[Рр ВНГ, кВт]]</f>
        <v>1.68</v>
      </c>
      <c r="Y27" s="6">
        <f>IFERROR(MAX(MAX(Щиты[[#This Row],[P L1, кВт]],Щиты[[#This Row],[P L2, кВт]],Щиты[[#This Row],[P L3, кВт]])*Щиты[[#This Row],[Кс итог]]/((Uн_лин*1000/SQRT(3))/1000*Щиты[[#This Row],[cos φ]]),Щиты[[#This Row],[Рр, кВт]]/(SQRT(3)*Uн_лин*Щиты[[#This Row],[cos φ]])),0)</f>
        <v>9.0932667397366043</v>
      </c>
      <c r="Z27" s="6">
        <f>IFERROR(SUMIFS(Щиты[_Pcos собств],Щиты[Путь],"*|"&amp;Щиты[[#This Row],[Щит]]&amp;"|*")/SUMIFS(Щиты[_P собств],Щиты[Путь],"*|"&amp;Щиты[[#This Row],[Щит]]&amp;"|*"),0.95)</f>
        <v>0.8</v>
      </c>
      <c r="AA27" s="6" cm="1">
        <f t="array" ref="AA27">SUMPRODUCT(--ISNUMBER(SEARCH("|"&amp;Щиты[Щит]&amp;"|",Щиты[[#This Row],[Путь]])),IFERROR(--Щиты[_ΔU фидера],0)+IFERROR(--Щиты[_ΔU источника],0))</f>
        <v>1.84</v>
      </c>
      <c r="AB27" s="6" t="str">
        <f>IF(ISNUMBER(Щиты[[#This Row],[Zпетли на шинах, Ом]]),c_min*(Uн_лин*1000/SQRT(3))/Щиты[[#This Row],[Zпетли на шинах, Ом]],"")</f>
        <v/>
      </c>
      <c r="AC27" s="6" t="str">
        <f>IF(ISNUMBER(Щиты[[#This Row],[Zmax на шинах, Ом]]),1.05*(Uн_лин*1000/SQRT(3))/Щиты[[#This Row],[Zmax на шинах, Ом]]/1000,"")</f>
        <v/>
      </c>
      <c r="AD27" t="str" cm="1">
        <f t="array" ref="AD27">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27" t="str" cm="1">
        <f t="array" ref="AE27">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|ГРЩ-ЖД|ЩС-ВК.002|</v>
      </c>
      <c r="AF27" s="6" t="str">
        <f>_xlfn.TEXTBEFORE(MID(Щиты[[#This Row],[Путь]],2,999),"|")</f>
        <v>ГРЩ-ЖД</v>
      </c>
      <c r="AG27" t="str">
        <f>IF(TRIM(Щиты[[#This Row],[Питается от]]&amp;"")="",Щиты[[#This Row],[_авто питается от]],Щиты[[#This Row],[Питается от]])</f>
        <v>ГРЩ-ЖД</v>
      </c>
      <c r="AH27">
        <f>LEN(Щиты[[#This Row],[Путь]])-LEN(SUBSTITUTE(Щиты[[#This Row],[Путь]],"|",""))-2</f>
        <v>1</v>
      </c>
      <c r="AI27">
        <f>IFERROR(_xlfn.XMATCH(Щиты[[#This Row],[Щит]],Линии[_фидер]),"")</f>
        <v>16</v>
      </c>
      <c r="AJ27" t="str" cm="1">
        <f t="array" ref="AJ27">IFERROR(INDEX(Линии[Щит],Щиты[[#This Row],[_строка фидера]]),"")</f>
        <v>ГРЩ-ЖД</v>
      </c>
      <c r="AK27">
        <f>SUMIFS(Линии[_Руст (без Нет)],Линии[Щит],Щиты[[#This Row],[Щит]])</f>
        <v>2.4</v>
      </c>
      <c r="AL27">
        <f>SUMIFS(Линии[_Руст быт],Линии[Щит],Щиты[[#This Row],[Щит]])</f>
        <v>0</v>
      </c>
      <c r="AM27">
        <f>SUMIFS(Линии[_Рр сил],Линии[Щит],Щиты[[#This Row],[Щит]])</f>
        <v>1.68</v>
      </c>
      <c r="AN27">
        <f>SUMIFS(Линии[_Руст пост],Линии[Щит],Щиты[[#This Row],[Щит]])</f>
        <v>0</v>
      </c>
      <c r="AO27">
        <f>SUMIFS(Линии[_P для cos],Линии[Щит],Щиты[[#This Row],[Щит]])</f>
        <v>2.4</v>
      </c>
      <c r="AP27">
        <f>SUMIFS(Линии[_P·cos],Линии[Щит],Щиты[[#This Row],[Щит]])</f>
        <v>1.92</v>
      </c>
      <c r="AQ27">
        <f>SUMIFS(Линии[_Р отопления],Линии[Щит],Щиты[[#This Row],[Щит]])</f>
        <v>0</v>
      </c>
      <c r="AR27">
        <f>SUMIFS(Линии[_Рр ВНГ],Линии[Щит],Щиты[[#This Row],[Щит]])</f>
        <v>0</v>
      </c>
      <c r="AS27" s="6">
        <f>SUMIFS(Щиты[_быт собств],Щиты[Путь],"*|"&amp;Щиты[[#This Row],[Щит]]&amp;"|*")</f>
        <v>0</v>
      </c>
      <c r="AT27" s="6" cm="1">
        <f t="array" ref="AT27">_xlfn.LET(_xlpm.x,Щиты[[#This Row],[Руст быт, кВт]],_xlpm.m,MATCH(_xlpm.x,Кс_Р,1),IF(_xlpm.x&gt;=INDEX(Кс_Р,ROWS(Кс_Р)),INDEX(Кс_К,ROWS(Кс_К)),INDEX(Кс_К,_xlpm.m)+(_xlpm.x-INDEX(Кс_Р,_xlpm.m))*(INDEX(Кс_К,_xlpm.m+1)-INDEX(Кс_К,_xlpm.m))/(INDEX(Кс_Р,_xlpm.m+1)-INDEX(Кс_Р,_xlpm.m))))</f>
        <v>0.8</v>
      </c>
      <c r="AU27" s="6">
        <f>SUMIFS(Щиты[_сил собств],Щиты[Путь],"*|"&amp;Щиты[[#This Row],[Щит]]&amp;"|*")</f>
        <v>1.68</v>
      </c>
      <c r="AV27" s="6">
        <f>SUMIFS(Щиты[_пост собств],Щиты[Путь],"*|"&amp;Щиты[[#This Row],[Щит]]&amp;"|*")</f>
        <v>0</v>
      </c>
      <c r="AW27" s="6">
        <f>SUMIFS(Щиты[_отоп собств],Щиты[Путь],"*|"&amp;Щиты[[#This Row],[Щит]]&amp;"|*")</f>
        <v>0</v>
      </c>
      <c r="AX27" s="6">
        <f>SUMIFS(Щиты[_внг собств],Щиты[Путь],"*|"&amp;Щиты[[#This Row],[Щит]]&amp;"|*")</f>
        <v>0</v>
      </c>
      <c r="AY27">
        <f>COUNTIFS(Линии[Щит],Щиты[[#This Row],[Щит]],Линии[Группа Кс (итог)],"Сил")</f>
        <v>4</v>
      </c>
      <c r="AZ27" s="6" cm="1">
        <f t="array" ref="AZ27">_xlfn.LET(_xlpm.n,Щиты[[#This Row],[_n силовых]],IF(_xlpm.n&lt;=1,1,IF(_xlpm.n&gt;=MAX(Кс75_n),INDEX(Кс75_k,ROWS(Кс75_k)),_xlfn.LET(_xlpm.m,MATCH(_xlpm.n,Кс75_n,1),INDEX(Кс75_k,_xlpm.m)+(_xlpm.n-INDEX(Кс75_n,_xlpm.m))*(INDEX(Кс75_k,_xlpm.m+1)-INDEX(Кс75_k,_xlpm.m))/(INDEX(Кс75_n,_xlpm.m+1)-INDEX(Кс75_n,_xlpm.m))))))</f>
        <v>0.85000000000000009</v>
      </c>
      <c r="BA27" s="6">
        <f>IF(Методика="нормы 2026",IF(AND(Щиты[[#This Row],[Руст быт, кВт]]&gt;0,Щиты[[#This Row],[Рр сил, кВт]]&gt;0),Ко_сил,1),Ко_сил)</f>
        <v>1</v>
      </c>
      <c r="BB27" s="6">
        <f>IF(Щиты[[#This Row],[Руст, кВт]]=0,0,Щиты[[#This Row],[Рр, кВт]]/Щиты[[#This Row],[Руст, кВт]])</f>
        <v>0.7</v>
      </c>
      <c r="BC27"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2.4</v>
      </c>
      <c r="BD27"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0</v>
      </c>
      <c r="BE27"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0</v>
      </c>
      <c r="BF27" cm="1">
        <f t="array" ref="BF27">IF(Щиты[[#This Row],[_строка фидера]]="","",INDEX(Линии[ΔU, %],Щиты[[#This Row],[_строка фидера]]))</f>
        <v>1.84</v>
      </c>
      <c r="BG27">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27">
        <f>IF(Щиты[[#This Row],[Питается от (итог)]]&lt;&gt;"",0,IF(LEFT(UPPER(TRIM(Щиты[[#This Row],[Питание: от (ТП / сеть)]])),2)="ТП",0,N(Щиты[[#This Row],[ΔU до питающего, %]])+Щиты[[#This Row],[_ΔU пит. линии]]))</f>
        <v>0</v>
      </c>
      <c r="BI27">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27"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27" t="str">
        <f>IF(Щиты[[#This Row],[_Zсети]]="","",Щиты[[#This Row],[_Zсети]]+Щиты[[#This Row],[_петля пит. кабеля]])</f>
        <v/>
      </c>
      <c r="BL27" cm="1">
        <f t="array" ref="BL27">IF(Щиты[[#This Row],[_строка фидера]]="","",INDEX(Линии[_Zкабеля],Щиты[[#This Row],[_строка фидера]]))</f>
        <v>0.67064999999999997</v>
      </c>
      <c r="BM27" s="6" t="str" cm="1">
        <f t="array" ref="BM27">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27"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27"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27" cm="1">
        <f t="array" ref="BP27">IF(Щиты[[#This Row],[_строка фидера]]="","",INDEX(Линии[_Zmax кабеля],Щиты[[#This Row],[_строка фидера]]))</f>
        <v>0.22312500000000002</v>
      </c>
      <c r="BQ27" s="6" t="str" cm="1">
        <f t="array" ref="BQ27">IF(_xlfn.XLOOKUP(Щиты[[#This Row],[Корень]],Щиты[Щит],Щиты[_Zmax источника],"")="","",SUMPRODUCT(--ISNUMBER(SEARCH("|"&amp;Щиты[Щит]&amp;"|",Щиты[[#This Row],[Путь]])),IFERROR(--Щиты[_Zmax источника],0)+IFERROR(--Щиты[_Zmax фидера],0)))</f>
        <v/>
      </c>
      <c r="BR27" cm="1">
        <f t="array" ref="BR27">IF(Щиты[[#This Row],[_строка фидера]]="","",INDEX(Линии[_ΔU по току, %],Щиты[[#This Row],[_строка фидера]]))</f>
        <v>4.8499999999999996</v>
      </c>
      <c r="BS27" s="6" cm="1">
        <f t="array" ref="BS27">SUMPRODUCT(--ISNUMBER(SEARCH("|"&amp;Щиты[Щит]&amp;"|",Щиты[[#This Row],[Путь]])),IFERROR(--Щиты[_ΔU фидера (подбор)],0)+IFERROR(--Щиты[_ΔU источника],0))</f>
        <v>4.8499999999999996</v>
      </c>
      <c r="BT27" cm="1">
        <f t="array" ref="BT27">IF(Щиты[[#This Row],[_строка фидера]]="","",INDEX(Линии[_Zкабеля по току],Щиты[[#This Row],[_строка фидера]]))</f>
        <v>1.7884</v>
      </c>
      <c r="BU27" s="6" t="str" cm="1">
        <f t="array" ref="BU27">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27" s="6">
        <f>_xlfn.MAXIFS(Линии[Iпуск, А],Линии[Щит],Щиты[[#This Row],[Щит]])</f>
        <v>0</v>
      </c>
      <c r="BW27" t="str" cm="1">
        <f t="array" ref="BW27">IF(Щиты[[#This Row],[_строка фидера]]="","",INDEX(Линии[Источник для режимов],Щиты[[#This Row],[_строка фидера]]))</f>
        <v>Ввод 2</v>
      </c>
      <c r="BX27" t="str" cm="1">
        <f t="array" ref="BX27">IF(Щиты[[#This Row],[_строка фидера]]="","",INDEX(Линии[Пожарная (итог)],Щиты[[#This Row],[_строка фидера]]))</f>
        <v>нет</v>
      </c>
      <c r="BY27" t="str" cm="1">
        <f t="array" ref="BY27">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;323:L2;</v>
      </c>
    </row>
    <row r="28" spans="1:77" x14ac:dyDescent="0.3">
      <c r="A28" t="s">
        <v>767</v>
      </c>
      <c r="B28" t="str">
        <f>Щиты[[#This Row],[_авто питается от]]</f>
        <v>ГРЩ-ЖД</v>
      </c>
      <c r="C28">
        <v>1</v>
      </c>
      <c r="D28" t="s">
        <v>484</v>
      </c>
      <c r="E28" t="s">
        <v>835</v>
      </c>
      <c r="F28">
        <v>11</v>
      </c>
      <c r="U28"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28" t="str" cm="1">
        <f t="array" ref="V28">IF(Щиты[[#This Row],[_строка фидера]]="","",INDEX(Линии[Номер линии],Щиты[[#This Row],[_строка фидера]]))</f>
        <v>ЩС-ВК.003</v>
      </c>
      <c r="W28" s="6">
        <f>SUMIFS(Щиты[_Руст собств],Щиты[Путь],"*|"&amp;Щиты[[#This Row],[Щит]]&amp;"|*")</f>
        <v>4.34</v>
      </c>
      <c r="X28" s="6">
        <f>k_пк*Щиты[[#This Row],[Руст быт, кВт]]*Щиты[[#This Row],[Кс быт]]+Щиты[[#This Row],[Ко]]*Щиты[[#This Row],[Рр сил, кВт]]+Щиты[[#This Row],[Руст пост, кВт]]+Щиты[[#This Row],[Р отопления, кВт]]+Щиты[[#This Row],[Рр ВНГ, кВт]]</f>
        <v>3.0379999999999998</v>
      </c>
      <c r="Y28" s="6">
        <f>IFERROR(MAX(MAX(Щиты[[#This Row],[P L1, кВт]],Щиты[[#This Row],[P L2, кВт]],Щиты[[#This Row],[P L3, кВт]])*Щиты[[#This Row],[Кс итог]]/((Uн_лин*1000/SQRT(3))/1000*Щиты[[#This Row],[cos φ]]),Щиты[[#This Row],[Рр, кВт]]/(SQRT(3)*Uн_лин*Щиты[[#This Row],[cos φ]])),0)</f>
        <v>16.443657354357025</v>
      </c>
      <c r="Z28" s="6">
        <f>IFERROR(SUMIFS(Щиты[_Pcos собств],Щиты[Путь],"*|"&amp;Щиты[[#This Row],[Щит]]&amp;"|*")/SUMIFS(Щиты[_P собств],Щиты[Путь],"*|"&amp;Щиты[[#This Row],[Щит]]&amp;"|*"),0.95)</f>
        <v>0.8</v>
      </c>
      <c r="AA28" s="6" cm="1">
        <f t="array" ref="AA28">SUMPRODUCT(--ISNUMBER(SEARCH("|"&amp;Щиты[Щит]&amp;"|",Щиты[[#This Row],[Путь]])),IFERROR(--Щиты[_ΔU фидера],0)+IFERROR(--Щиты[_ΔU источника],0))</f>
        <v>3.44</v>
      </c>
      <c r="AB28" s="6" t="str">
        <f>IF(ISNUMBER(Щиты[[#This Row],[Zпетли на шинах, Ом]]),c_min*(Uн_лин*1000/SQRT(3))/Щиты[[#This Row],[Zпетли на шинах, Ом]],"")</f>
        <v/>
      </c>
      <c r="AC28" s="6" t="str">
        <f>IF(ISNUMBER(Щиты[[#This Row],[Zmax на шинах, Ом]]),1.05*(Uн_лин*1000/SQRT(3))/Щиты[[#This Row],[Zmax на шинах, Ом]]/1000,"")</f>
        <v/>
      </c>
      <c r="AD28" t="str" cm="1">
        <f t="array" ref="AD28">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28" t="str" cm="1">
        <f t="array" ref="AE28">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|ГРЩ-ЖД|ЩС-ВК.003|</v>
      </c>
      <c r="AF28" s="6" t="str">
        <f>_xlfn.TEXTBEFORE(MID(Щиты[[#This Row],[Путь]],2,999),"|")</f>
        <v>ГРЩ-ЖД</v>
      </c>
      <c r="AG28" t="str">
        <f>IF(TRIM(Щиты[[#This Row],[Питается от]]&amp;"")="",Щиты[[#This Row],[_авто питается от]],Щиты[[#This Row],[Питается от]])</f>
        <v>ГРЩ-ЖД</v>
      </c>
      <c r="AH28">
        <f>LEN(Щиты[[#This Row],[Путь]])-LEN(SUBSTITUTE(Щиты[[#This Row],[Путь]],"|",""))-2</f>
        <v>1</v>
      </c>
      <c r="AI28">
        <f>IFERROR(_xlfn.XMATCH(Щиты[[#This Row],[Щит]],Линии[_фидер]),"")</f>
        <v>17</v>
      </c>
      <c r="AJ28" t="str" cm="1">
        <f t="array" ref="AJ28">IFERROR(INDEX(Линии[Щит],Щиты[[#This Row],[_строка фидера]]),"")</f>
        <v>ГРЩ-ЖД</v>
      </c>
      <c r="AK28">
        <f>SUMIFS(Линии[_Руст (без Нет)],Линии[Щит],Щиты[[#This Row],[Щит]])</f>
        <v>4.34</v>
      </c>
      <c r="AL28">
        <f>SUMIFS(Линии[_Руст быт],Линии[Щит],Щиты[[#This Row],[Щит]])</f>
        <v>0</v>
      </c>
      <c r="AM28">
        <f>SUMIFS(Линии[_Рр сил],Линии[Щит],Щиты[[#This Row],[Щит]])</f>
        <v>3.0379999999999998</v>
      </c>
      <c r="AN28">
        <f>SUMIFS(Линии[_Руст пост],Линии[Щит],Щиты[[#This Row],[Щит]])</f>
        <v>0</v>
      </c>
      <c r="AO28">
        <f>SUMIFS(Линии[_P для cos],Линии[Щит],Щиты[[#This Row],[Щит]])</f>
        <v>4.34</v>
      </c>
      <c r="AP28">
        <f>SUMIFS(Линии[_P·cos],Линии[Щит],Щиты[[#This Row],[Щит]])</f>
        <v>3.472</v>
      </c>
      <c r="AQ28">
        <f>SUMIFS(Линии[_Р отопления],Линии[Щит],Щиты[[#This Row],[Щит]])</f>
        <v>0</v>
      </c>
      <c r="AR28">
        <f>SUMIFS(Линии[_Рр ВНГ],Линии[Щит],Щиты[[#This Row],[Щит]])</f>
        <v>0</v>
      </c>
      <c r="AS28" s="6">
        <f>SUMIFS(Щиты[_быт собств],Щиты[Путь],"*|"&amp;Щиты[[#This Row],[Щит]]&amp;"|*")</f>
        <v>0</v>
      </c>
      <c r="AT28" s="6" cm="1">
        <f t="array" ref="AT28">_xlfn.LET(_xlpm.x,Щиты[[#This Row],[Руст быт, кВт]],_xlpm.m,MATCH(_xlpm.x,Кс_Р,1),IF(_xlpm.x&gt;=INDEX(Кс_Р,ROWS(Кс_Р)),INDEX(Кс_К,ROWS(Кс_К)),INDEX(Кс_К,_xlpm.m)+(_xlpm.x-INDEX(Кс_Р,_xlpm.m))*(INDEX(Кс_К,_xlpm.m+1)-INDEX(Кс_К,_xlpm.m))/(INDEX(Кс_Р,_xlpm.m+1)-INDEX(Кс_Р,_xlpm.m))))</f>
        <v>0.8</v>
      </c>
      <c r="AU28" s="6">
        <f>SUMIFS(Щиты[_сил собств],Щиты[Путь],"*|"&amp;Щиты[[#This Row],[Щит]]&amp;"|*")</f>
        <v>3.0379999999999998</v>
      </c>
      <c r="AV28" s="6">
        <f>SUMIFS(Щиты[_пост собств],Щиты[Путь],"*|"&amp;Щиты[[#This Row],[Щит]]&amp;"|*")</f>
        <v>0</v>
      </c>
      <c r="AW28" s="6">
        <f>SUMIFS(Щиты[_отоп собств],Щиты[Путь],"*|"&amp;Щиты[[#This Row],[Щит]]&amp;"|*")</f>
        <v>0</v>
      </c>
      <c r="AX28" s="6">
        <f>SUMIFS(Щиты[_внг собств],Щиты[Путь],"*|"&amp;Щиты[[#This Row],[Щит]]&amp;"|*")</f>
        <v>0</v>
      </c>
      <c r="AY28">
        <f>COUNTIFS(Линии[Щит],Щиты[[#This Row],[Щит]],Линии[Группа Кс (итог)],"Сил")</f>
        <v>4</v>
      </c>
      <c r="AZ28" s="6" cm="1">
        <f t="array" ref="AZ28">_xlfn.LET(_xlpm.n,Щиты[[#This Row],[_n силовых]],IF(_xlpm.n&lt;=1,1,IF(_xlpm.n&gt;=MAX(Кс75_n),INDEX(Кс75_k,ROWS(Кс75_k)),_xlfn.LET(_xlpm.m,MATCH(_xlpm.n,Кс75_n,1),INDEX(Кс75_k,_xlpm.m)+(_xlpm.n-INDEX(Кс75_n,_xlpm.m))*(INDEX(Кс75_k,_xlpm.m+1)-INDEX(Кс75_k,_xlpm.m))/(INDEX(Кс75_n,_xlpm.m+1)-INDEX(Кс75_n,_xlpm.m))))))</f>
        <v>0.85000000000000009</v>
      </c>
      <c r="BA28" s="6">
        <f>IF(Методика="нормы 2026",IF(AND(Щиты[[#This Row],[Руст быт, кВт]]&gt;0,Щиты[[#This Row],[Рр сил, кВт]]&gt;0),Ко_сил,1),Ко_сил)</f>
        <v>1</v>
      </c>
      <c r="BB28" s="6">
        <f>IF(Щиты[[#This Row],[Руст, кВт]]=0,0,Щиты[[#This Row],[Рр, кВт]]/Щиты[[#This Row],[Руст, кВт]])</f>
        <v>0.7</v>
      </c>
      <c r="BC28"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0</v>
      </c>
      <c r="BD28"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0</v>
      </c>
      <c r="BE28"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4.34</v>
      </c>
      <c r="BF28" cm="1">
        <f t="array" ref="BF28">IF(Щиты[[#This Row],[_строка фидера]]="","",INDEX(Линии[ΔU, %],Щиты[[#This Row],[_строка фидера]]))</f>
        <v>3.44</v>
      </c>
      <c r="BG28">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28">
        <f>IF(Щиты[[#This Row],[Питается от (итог)]]&lt;&gt;"",0,IF(LEFT(UPPER(TRIM(Щиты[[#This Row],[Питание: от (ТП / сеть)]])),2)="ТП",0,N(Щиты[[#This Row],[ΔU до питающего, %]])+Щиты[[#This Row],[_ΔU пит. линии]]))</f>
        <v>0</v>
      </c>
      <c r="BI28">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28"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28" t="str">
        <f>IF(Щиты[[#This Row],[_Zсети]]="","",Щиты[[#This Row],[_Zсети]]+Щиты[[#This Row],[_петля пит. кабеля]])</f>
        <v/>
      </c>
      <c r="BL28" cm="1">
        <f t="array" ref="BL28">IF(Щиты[[#This Row],[_строка фидера]]="","",INDEX(Линии[_Zкабеля],Щиты[[#This Row],[_строка фидера]]))</f>
        <v>0.69694999999999996</v>
      </c>
      <c r="BM28" s="6" t="str" cm="1">
        <f t="array" ref="BM28">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28"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28"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28" cm="1">
        <f t="array" ref="BP28">IF(Щиты[[#This Row],[_строка фидера]]="","",INDEX(Линии[_Zmax кабеля],Щиты[[#This Row],[_строка фидера]]))</f>
        <v>0.23187500000000003</v>
      </c>
      <c r="BQ28" s="6" t="str" cm="1">
        <f t="array" ref="BQ28">IF(_xlfn.XLOOKUP(Щиты[[#This Row],[Корень]],Щиты[Щит],Щиты[_Zmax источника],"")="","",SUMPRODUCT(--ISNUMBER(SEARCH("|"&amp;Щиты[Щит]&amp;"|",Щиты[[#This Row],[Путь]])),IFERROR(--Щиты[_Zmax источника],0)+IFERROR(--Щиты[_Zmax фидера],0)))</f>
        <v/>
      </c>
      <c r="BR28" cm="1">
        <f t="array" ref="BR28">IF(Щиты[[#This Row],[_строка фидера]]="","",INDEX(Линии[_ΔU по току, %],Щиты[[#This Row],[_строка фидера]]))</f>
        <v>5.4799999999999995</v>
      </c>
      <c r="BS28" s="6" cm="1">
        <f t="array" ref="BS28">SUMPRODUCT(--ISNUMBER(SEARCH("|"&amp;Щиты[Щит]&amp;"|",Щиты[[#This Row],[Путь]])),IFERROR(--Щиты[_ΔU фидера (подбор)],0)+IFERROR(--Щиты[_ΔU источника],0))</f>
        <v>5.4799999999999995</v>
      </c>
      <c r="BT28" cm="1">
        <f t="array" ref="BT28">IF(Щиты[[#This Row],[_строка фидера]]="","",INDEX(Линии[_Zкабеля по току],Щиты[[#This Row],[_строка фидера]]))</f>
        <v>1.1151199999999999</v>
      </c>
      <c r="BU28" s="6" t="str" cm="1">
        <f t="array" ref="BU28">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28" s="6">
        <f>_xlfn.MAXIFS(Линии[Iпуск, А],Линии[Щит],Щиты[[#This Row],[Щит]])</f>
        <v>0</v>
      </c>
      <c r="BW28" t="str" cm="1">
        <f t="array" ref="BW28">IF(Щиты[[#This Row],[_строка фидера]]="","",INDEX(Линии[Источник для режимов],Щиты[[#This Row],[_строка фидера]]))</f>
        <v>Ввод 2</v>
      </c>
      <c r="BX28" t="str" cm="1">
        <f t="array" ref="BX28">IF(Щиты[[#This Row],[_строка фидера]]="","",INDEX(Линии[Пожарная (итог)],Щиты[[#This Row],[_строка фидера]]))</f>
        <v>нет</v>
      </c>
      <c r="BY28" t="str" cm="1">
        <f t="array" ref="BY28">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
      </c>
    </row>
    <row r="29" spans="1:77" x14ac:dyDescent="0.3">
      <c r="A29" t="s">
        <v>1110</v>
      </c>
      <c r="B29" t="str">
        <f>Щиты[[#This Row],[_авто питается от]]</f>
        <v>ГРЩ-ЖД</v>
      </c>
      <c r="C29">
        <v>2</v>
      </c>
      <c r="D29" t="s">
        <v>488</v>
      </c>
      <c r="E29" t="s">
        <v>835</v>
      </c>
      <c r="F29">
        <v>12</v>
      </c>
      <c r="U29"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29" t="str" cm="1">
        <f t="array" ref="V29">IF(Щиты[[#This Row],[_строка фидера]]="","",INDEX(Линии[Номер линии],Щиты[[#This Row],[_строка фидера]]))</f>
        <v>ЩСПЗ-ЖД.1</v>
      </c>
      <c r="W29" s="6">
        <f>SUMIFS(Щиты[_Руст собств],Щиты[Путь],"*|"&amp;Щиты[[#This Row],[Щит]]&amp;"|*")</f>
        <v>1.6</v>
      </c>
      <c r="X29" s="6">
        <f>k_пк*Щиты[[#This Row],[Руст быт, кВт]]*Щиты[[#This Row],[Кс быт]]+Щиты[[#This Row],[Ко]]*Щиты[[#This Row],[Рр сил, кВт]]+Щиты[[#This Row],[Руст пост, кВт]]+Щиты[[#This Row],[Р отопления, кВт]]+Щиты[[#This Row],[Рр ВНГ, кВт]]</f>
        <v>1.6</v>
      </c>
      <c r="Y29" s="6">
        <f>IFERROR(MAX(MAX(Щиты[[#This Row],[P L1, кВт]],Щиты[[#This Row],[P L2, кВт]],Щиты[[#This Row],[P L3, кВт]])*Щиты[[#This Row],[Кс итог]]/((Uн_лин*1000/SQRT(3))/1000*Щиты[[#This Row],[cos φ]]),Щиты[[#This Row],[Рр, кВт]]/(SQRT(3)*Uн_лин*Щиты[[#This Row],[cos φ]])),0)</f>
        <v>3.646422752776584</v>
      </c>
      <c r="Z29" s="6">
        <f>IFERROR(SUMIFS(Щиты[_Pcos собств],Щиты[Путь],"*|"&amp;Щиты[[#This Row],[Щит]]&amp;"|*")/SUMIFS(Щиты[_P собств],Щиты[Путь],"*|"&amp;Щиты[[#This Row],[Щит]]&amp;"|*"),0.95)</f>
        <v>0.95</v>
      </c>
      <c r="AA29" s="6" cm="1">
        <f t="array" ref="AA29">SUMPRODUCT(--ISNUMBER(SEARCH("|"&amp;Щиты[Щит]&amp;"|",Щиты[[#This Row],[Путь]])),IFERROR(--Щиты[_ΔU фидера],0)+IFERROR(--Щиты[_ΔU источника],0))</f>
        <v>0.41000000000000003</v>
      </c>
      <c r="AB29" s="6" t="str">
        <f>IF(ISNUMBER(Щиты[[#This Row],[Zпетли на шинах, Ом]]),c_min*(Uн_лин*1000/SQRT(3))/Щиты[[#This Row],[Zпетли на шинах, Ом]],"")</f>
        <v/>
      </c>
      <c r="AC29" s="6" t="str">
        <f>IF(ISNUMBER(Щиты[[#This Row],[Zmax на шинах, Ом]]),1.05*(Uн_лин*1000/SQRT(3))/Щиты[[#This Row],[Zmax на шинах, Ом]]/1000,"")</f>
        <v/>
      </c>
      <c r="AD29" t="str" cm="1">
        <f t="array" ref="AD29">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v>
      </c>
      <c r="AE29" t="str" cm="1">
        <f t="array" ref="AE29">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|ГРЩ-ЖД|ЩСПЗ-ЖД|</v>
      </c>
      <c r="AF29" s="6" t="str">
        <f>_xlfn.TEXTBEFORE(MID(Щиты[[#This Row],[Путь]],2,999),"|")</f>
        <v>ГРЩ-ЖД</v>
      </c>
      <c r="AG29" t="str">
        <f>IF(TRIM(Щиты[[#This Row],[Питается от]]&amp;"")="",Щиты[[#This Row],[_авто питается от]],Щиты[[#This Row],[Питается от]])</f>
        <v>ГРЩ-ЖД</v>
      </c>
      <c r="AH29">
        <f>LEN(Щиты[[#This Row],[Путь]])-LEN(SUBSTITUTE(Щиты[[#This Row],[Путь]],"|",""))-2</f>
        <v>1</v>
      </c>
      <c r="AI29">
        <f>IFERROR(_xlfn.XMATCH(Щиты[[#This Row],[Щит]],Линии[_фидер]),"")</f>
        <v>3</v>
      </c>
      <c r="AJ29" t="str" cm="1">
        <f t="array" ref="AJ29">IFERROR(INDEX(Линии[Щит],Щиты[[#This Row],[_строка фидера]]),"")</f>
        <v>ГРЩ-ЖД</v>
      </c>
      <c r="AK29">
        <f>SUMIFS(Линии[_Руст (без Нет)],Линии[Щит],Щиты[[#This Row],[Щит]])</f>
        <v>1.6</v>
      </c>
      <c r="AL29">
        <f>SUMIFS(Линии[_Руст быт],Линии[Щит],Щиты[[#This Row],[Щит]])</f>
        <v>0</v>
      </c>
      <c r="AM29">
        <f>SUMIFS(Линии[_Рр сил],Линии[Щит],Щиты[[#This Row],[Щит]])</f>
        <v>0</v>
      </c>
      <c r="AN29">
        <f>SUMIFS(Линии[_Руст пост],Линии[Щит],Щиты[[#This Row],[Щит]])</f>
        <v>1.6</v>
      </c>
      <c r="AO29">
        <f>SUMIFS(Линии[_P для cos],Линии[Щит],Щиты[[#This Row],[Щит]])</f>
        <v>1.6</v>
      </c>
      <c r="AP29">
        <f>SUMIFS(Линии[_P·cos],Линии[Щит],Щиты[[#This Row],[Щит]])</f>
        <v>1.52</v>
      </c>
      <c r="AQ29">
        <f>SUMIFS(Линии[_Р отопления],Линии[Щит],Щиты[[#This Row],[Щит]])</f>
        <v>0</v>
      </c>
      <c r="AR29">
        <f>SUMIFS(Линии[_Рр ВНГ],Линии[Щит],Щиты[[#This Row],[Щит]])</f>
        <v>0</v>
      </c>
      <c r="AS29" s="6">
        <f>SUMIFS(Щиты[_быт собств],Щиты[Путь],"*|"&amp;Щиты[[#This Row],[Щит]]&amp;"|*")</f>
        <v>0</v>
      </c>
      <c r="AT29" s="6" cm="1">
        <f t="array" ref="AT29">_xlfn.LET(_xlpm.x,Щиты[[#This Row],[Руст быт, кВт]],_xlpm.m,MATCH(_xlpm.x,Кс_Р,1),IF(_xlpm.x&gt;=INDEX(Кс_Р,ROWS(Кс_Р)),INDEX(Кс_К,ROWS(Кс_К)),INDEX(Кс_К,_xlpm.m)+(_xlpm.x-INDEX(Кс_Р,_xlpm.m))*(INDEX(Кс_К,_xlpm.m+1)-INDEX(Кс_К,_xlpm.m))/(INDEX(Кс_Р,_xlpm.m+1)-INDEX(Кс_Р,_xlpm.m))))</f>
        <v>0.8</v>
      </c>
      <c r="AU29" s="6">
        <f>SUMIFS(Щиты[_сил собств],Щиты[Путь],"*|"&amp;Щиты[[#This Row],[Щит]]&amp;"|*")</f>
        <v>0</v>
      </c>
      <c r="AV29" s="6">
        <f>SUMIFS(Щиты[_пост собств],Щиты[Путь],"*|"&amp;Щиты[[#This Row],[Щит]]&amp;"|*")</f>
        <v>1.6</v>
      </c>
      <c r="AW29" s="6">
        <f>SUMIFS(Щиты[_отоп собств],Щиты[Путь],"*|"&amp;Щиты[[#This Row],[Щит]]&amp;"|*")</f>
        <v>0</v>
      </c>
      <c r="AX29" s="6">
        <f>SUMIFS(Щиты[_внг собств],Щиты[Путь],"*|"&amp;Щиты[[#This Row],[Щит]]&amp;"|*")</f>
        <v>0</v>
      </c>
      <c r="AY29">
        <f>COUNTIFS(Линии[Щит],Щиты[[#This Row],[Щит]],Линии[Группа Кс (итог)],"Сил")</f>
        <v>0</v>
      </c>
      <c r="AZ29" s="6" cm="1">
        <f t="array" ref="AZ29">_xlfn.LET(_xlpm.n,Щиты[[#This Row],[_n силовых]],IF(_xlpm.n&lt;=1,1,IF(_xlpm.n&gt;=MAX(Кс75_n),INDEX(Кс75_k,ROWS(Кс75_k)),_xlfn.LET(_xlpm.m,MATCH(_xlpm.n,Кс75_n,1),INDEX(Кс75_k,_xlpm.m)+(_xlpm.n-INDEX(Кс75_n,_xlpm.m))*(INDEX(Кс75_k,_xlpm.m+1)-INDEX(Кс75_k,_xlpm.m))/(INDEX(Кс75_n,_xlpm.m+1)-INDEX(Кс75_n,_xlpm.m))))))</f>
        <v>1</v>
      </c>
      <c r="BA29" s="6">
        <f>IF(Методика="нормы 2026",IF(AND(Щиты[[#This Row],[Руст быт, кВт]]&gt;0,Щиты[[#This Row],[Рр сил, кВт]]&gt;0),Ко_сил,1),Ко_сил)</f>
        <v>1</v>
      </c>
      <c r="BB29" s="6">
        <f>IF(Щиты[[#This Row],[Руст, кВт]]=0,0,Щиты[[#This Row],[Рр, кВт]]/Щиты[[#This Row],[Руст, кВт]])</f>
        <v>1</v>
      </c>
      <c r="BC29"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0.8</v>
      </c>
      <c r="BD29"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0.4</v>
      </c>
      <c r="BE29"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0.4</v>
      </c>
      <c r="BF29" cm="1">
        <f t="array" ref="BF29">IF(Щиты[[#This Row],[_строка фидера]]="","",INDEX(Линии[ΔU, %],Щиты[[#This Row],[_строка фидера]]))</f>
        <v>0.41000000000000003</v>
      </c>
      <c r="BG29">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29">
        <f>IF(Щиты[[#This Row],[Питается от (итог)]]&lt;&gt;"",0,IF(LEFT(UPPER(TRIM(Щиты[[#This Row],[Питание: от (ТП / сеть)]])),2)="ТП",0,N(Щиты[[#This Row],[ΔU до питающего, %]])+Щиты[[#This Row],[_ΔU пит. линии]]))</f>
        <v>0</v>
      </c>
      <c r="BI29">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29"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29" t="str">
        <f>IF(Щиты[[#This Row],[_Zсети]]="","",Щиты[[#This Row],[_Zсети]]+Щиты[[#This Row],[_петля пит. кабеля]])</f>
        <v/>
      </c>
      <c r="BL29" cm="1">
        <f t="array" ref="BL29">IF(Щиты[[#This Row],[_строка фидера]]="","",INDEX(Линии[_Zкабеля],Щиты[[#This Row],[_строка фидера]]))</f>
        <v>0.31559999999999999</v>
      </c>
      <c r="BM29" s="6" t="str" cm="1">
        <f t="array" ref="BM29">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29"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29"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29" cm="1">
        <f t="array" ref="BP29">IF(Щиты[[#This Row],[_строка фидера]]="","",INDEX(Линии[_Zmax кабеля],Щиты[[#This Row],[_строка фидера]]))</f>
        <v>0.10500000000000001</v>
      </c>
      <c r="BQ29" s="6" t="str" cm="1">
        <f t="array" ref="BQ29">IF(_xlfn.XLOOKUP(Щиты[[#This Row],[Корень]],Щиты[Щит],Щиты[_Zmax источника],"")="","",SUMPRODUCT(--ISNUMBER(SEARCH("|"&amp;Щиты[Щит]&amp;"|",Щиты[[#This Row],[Путь]])),IFERROR(--Щиты[_Zmax источника],0)+IFERROR(--Щиты[_Zmax фидера],0)))</f>
        <v/>
      </c>
      <c r="BR29" cm="1">
        <f t="array" ref="BR29">IF(Щиты[[#This Row],[_строка фидера]]="","",INDEX(Линии[_ΔU по току, %],Щиты[[#This Row],[_строка фидера]]))</f>
        <v>0.68</v>
      </c>
      <c r="BS29" s="6" cm="1">
        <f t="array" ref="BS29">SUMPRODUCT(--ISNUMBER(SEARCH("|"&amp;Щиты[Щит]&amp;"|",Щиты[[#This Row],[Путь]])),IFERROR(--Щиты[_ΔU фидера (подбор)],0)+IFERROR(--Щиты[_ΔU источника],0))</f>
        <v>0.68</v>
      </c>
      <c r="BT29" cm="1">
        <f t="array" ref="BT29">IF(Щиты[[#This Row],[_строка фидера]]="","",INDEX(Линии[_Zкабеля по току],Щиты[[#This Row],[_строка фидера]]))</f>
        <v>0.52600000000000002</v>
      </c>
      <c r="BU29" s="6" t="str" cm="1">
        <f t="array" ref="BU29">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29" s="6">
        <f>_xlfn.MAXIFS(Линии[Iпуск, А],Линии[Щит],Щиты[[#This Row],[Щит]])</f>
        <v>0</v>
      </c>
      <c r="BW29" t="str" cm="1">
        <f t="array" ref="BW29">IF(Щиты[[#This Row],[_строка фидера]]="","",INDEX(Линии[Источник для режимов],Щиты[[#This Row],[_строка фидера]]))</f>
        <v>Ввод 1</v>
      </c>
      <c r="BX29" t="str" cm="1">
        <f t="array" ref="BX29">IF(Щиты[[#This Row],[_строка фидера]]="","",INDEX(Линии[Пожарная (итог)],Щиты[[#This Row],[_строка фидера]]))</f>
        <v>да</v>
      </c>
      <c r="BY29" t="str" cm="1">
        <f t="array" ref="BY29">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;335:L1;336:L2;337:L3;338:L1;</v>
      </c>
    </row>
    <row r="30" spans="1:77" x14ac:dyDescent="0.3">
      <c r="A30" t="s">
        <v>769</v>
      </c>
      <c r="B30" t="str">
        <f>Щиты[[#This Row],[_авто питается от]]</f>
        <v>ГРЩ-ЖД</v>
      </c>
      <c r="C30">
        <v>1</v>
      </c>
      <c r="D30" t="s">
        <v>484</v>
      </c>
      <c r="E30" t="s">
        <v>835</v>
      </c>
      <c r="F30">
        <v>10</v>
      </c>
      <c r="U30"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30" t="str" cm="1">
        <f t="array" ref="V30">IF(Щиты[[#This Row],[_строка фидера]]="","",INDEX(Линии[Номер линии],Щиты[[#This Row],[_строка фидера]]))</f>
        <v>ЩУОВ</v>
      </c>
      <c r="W30" s="6">
        <f>SUMIFS(Щиты[_Руст собств],Щиты[Путь],"*|"&amp;Щиты[[#This Row],[Щит]]&amp;"|*")</f>
        <v>16.439999999999998</v>
      </c>
      <c r="X30" s="6">
        <f>k_пк*Щиты[[#This Row],[Руст быт, кВт]]*Щиты[[#This Row],[Кс быт]]+Щиты[[#This Row],[Ко]]*Щиты[[#This Row],[Рр сил, кВт]]+Щиты[[#This Row],[Руст пост, кВт]]+Щиты[[#This Row],[Р отопления, кВт]]+Щиты[[#This Row],[Рр ВНГ, кВт]]</f>
        <v>16.439999999999998</v>
      </c>
      <c r="Y30" s="6">
        <f>IFERROR(MAX(MAX(Щиты[[#This Row],[P L1, кВт]],Щиты[[#This Row],[P L2, кВт]],Щиты[[#This Row],[P L3, кВт]])*Щиты[[#This Row],[Кс итог]]/((Uн_лин*1000/SQRT(3))/1000*Щиты[[#This Row],[cos φ]]),Щиты[[#This Row],[Рр, кВт]]/(SQRT(3)*Uн_лин*Щиты[[#This Row],[cos φ]])),0)</f>
        <v>30.766691976552419</v>
      </c>
      <c r="Z30" s="6">
        <f>IFERROR(SUMIFS(Щиты[_Pcos собств],Щиты[Путь],"*|"&amp;Щиты[[#This Row],[Щит]]&amp;"|*")/SUMIFS(Щиты[_P собств],Щиты[Путь],"*|"&amp;Щиты[[#This Row],[Щит]]&amp;"|*"),0.95)</f>
        <v>0.95000000000000007</v>
      </c>
      <c r="AA30" s="6" cm="1">
        <f t="array" ref="AA30">SUMPRODUCT(--ISNUMBER(SEARCH("|"&amp;Щиты[Щит]&amp;"|",Щиты[[#This Row],[Путь]])),IFERROR(--Щиты[_ΔU фидера],0)+IFERROR(--Щиты[_ΔU источника],0))</f>
        <v>2.4899999999999998</v>
      </c>
      <c r="AB30" s="6" t="str">
        <f>IF(ISNUMBER(Щиты[[#This Row],[Zпетли на шинах, Ом]]),c_min*(Uн_лин*1000/SQRT(3))/Щиты[[#This Row],[Zпетли на шинах, Ом]],"")</f>
        <v/>
      </c>
      <c r="AC30" s="6" t="str">
        <f>IF(ISNUMBER(Щиты[[#This Row],[Zmax на шинах, Ом]]),1.05*(Uн_лин*1000/SQRT(3))/Щиты[[#This Row],[Zmax на шинах, Ом]]/1000,"")</f>
        <v/>
      </c>
      <c r="AD30" t="str" cm="1">
        <f t="array" ref="AD30">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30" t="str" cm="1">
        <f t="array" ref="AE30">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|ГРЩ-ЖД|ЩУОВ|</v>
      </c>
      <c r="AF30" s="6" t="str">
        <f>_xlfn.TEXTBEFORE(MID(Щиты[[#This Row],[Путь]],2,999),"|")</f>
        <v>ГРЩ-ЖД</v>
      </c>
      <c r="AG30" t="str">
        <f>IF(TRIM(Щиты[[#This Row],[Питается от]]&amp;"")="",Щиты[[#This Row],[_авто питается от]],Щиты[[#This Row],[Питается от]])</f>
        <v>ГРЩ-ЖД</v>
      </c>
      <c r="AH30">
        <f>LEN(Щиты[[#This Row],[Путь]])-LEN(SUBSTITUTE(Щиты[[#This Row],[Путь]],"|",""))-2</f>
        <v>1</v>
      </c>
      <c r="AI30">
        <f>IFERROR(_xlfn.XMATCH(Щиты[[#This Row],[Щит]],Линии[_фидер]),"")</f>
        <v>18</v>
      </c>
      <c r="AJ30" t="str" cm="1">
        <f t="array" ref="AJ30">IFERROR(INDEX(Линии[Щит],Щиты[[#This Row],[_строка фидера]]),"")</f>
        <v>ГРЩ-ЖД</v>
      </c>
      <c r="AK30">
        <f>SUMIFS(Линии[_Руст (без Нет)],Линии[Щит],Щиты[[#This Row],[Щит]])</f>
        <v>16.439999999999998</v>
      </c>
      <c r="AL30">
        <f>SUMIFS(Линии[_Руст быт],Линии[Щит],Щиты[[#This Row],[Щит]])</f>
        <v>0</v>
      </c>
      <c r="AM30">
        <f>SUMIFS(Линии[_Рр сил],Линии[Щит],Щиты[[#This Row],[Щит]])</f>
        <v>0</v>
      </c>
      <c r="AN30">
        <f>SUMIFS(Линии[_Руст пост],Линии[Щит],Щиты[[#This Row],[Щит]])</f>
        <v>16.439999999999998</v>
      </c>
      <c r="AO30">
        <f>SUMIFS(Линии[_P для cos],Линии[Щит],Щиты[[#This Row],[Щит]])</f>
        <v>16.439999999999998</v>
      </c>
      <c r="AP30">
        <f>SUMIFS(Линии[_P·cos],Линии[Щит],Щиты[[#This Row],[Щит]])</f>
        <v>15.617999999999999</v>
      </c>
      <c r="AQ30">
        <f>SUMIFS(Линии[_Р отопления],Линии[Щит],Щиты[[#This Row],[Щит]])</f>
        <v>0</v>
      </c>
      <c r="AR30">
        <f>SUMIFS(Линии[_Рр ВНГ],Линии[Щит],Щиты[[#This Row],[Щит]])</f>
        <v>0</v>
      </c>
      <c r="AS30" s="6">
        <f>SUMIFS(Щиты[_быт собств],Щиты[Путь],"*|"&amp;Щиты[[#This Row],[Щит]]&amp;"|*")</f>
        <v>0</v>
      </c>
      <c r="AT30" s="6" cm="1">
        <f t="array" ref="AT30">_xlfn.LET(_xlpm.x,Щиты[[#This Row],[Руст быт, кВт]],_xlpm.m,MATCH(_xlpm.x,Кс_Р,1),IF(_xlpm.x&gt;=INDEX(Кс_Р,ROWS(Кс_Р)),INDEX(Кс_К,ROWS(Кс_К)),INDEX(Кс_К,_xlpm.m)+(_xlpm.x-INDEX(Кс_Р,_xlpm.m))*(INDEX(Кс_К,_xlpm.m+1)-INDEX(Кс_К,_xlpm.m))/(INDEX(Кс_Р,_xlpm.m+1)-INDEX(Кс_Р,_xlpm.m))))</f>
        <v>0.8</v>
      </c>
      <c r="AU30" s="6">
        <f>SUMIFS(Щиты[_сил собств],Щиты[Путь],"*|"&amp;Щиты[[#This Row],[Щит]]&amp;"|*")</f>
        <v>0</v>
      </c>
      <c r="AV30" s="6">
        <f>SUMIFS(Щиты[_пост собств],Щиты[Путь],"*|"&amp;Щиты[[#This Row],[Щит]]&amp;"|*")</f>
        <v>16.439999999999998</v>
      </c>
      <c r="AW30" s="6">
        <f>SUMIFS(Щиты[_отоп собств],Щиты[Путь],"*|"&amp;Щиты[[#This Row],[Щит]]&amp;"|*")</f>
        <v>0</v>
      </c>
      <c r="AX30" s="6">
        <f>SUMIFS(Щиты[_внг собств],Щиты[Путь],"*|"&amp;Щиты[[#This Row],[Щит]]&amp;"|*")</f>
        <v>0</v>
      </c>
      <c r="AY30">
        <f>COUNTIFS(Линии[Щит],Щиты[[#This Row],[Щит]],Линии[Группа Кс (итог)],"Сил")</f>
        <v>0</v>
      </c>
      <c r="AZ30" s="6" cm="1">
        <f t="array" ref="AZ30">_xlfn.LET(_xlpm.n,Щиты[[#This Row],[_n силовых]],IF(_xlpm.n&lt;=1,1,IF(_xlpm.n&gt;=MAX(Кс75_n),INDEX(Кс75_k,ROWS(Кс75_k)),_xlfn.LET(_xlpm.m,MATCH(_xlpm.n,Кс75_n,1),INDEX(Кс75_k,_xlpm.m)+(_xlpm.n-INDEX(Кс75_n,_xlpm.m))*(INDEX(Кс75_k,_xlpm.m+1)-INDEX(Кс75_k,_xlpm.m))/(INDEX(Кс75_n,_xlpm.m+1)-INDEX(Кс75_n,_xlpm.m))))))</f>
        <v>1</v>
      </c>
      <c r="BA30" s="6">
        <f>IF(Методика="нормы 2026",IF(AND(Щиты[[#This Row],[Руст быт, кВт]]&gt;0,Щиты[[#This Row],[Рр сил, кВт]]&gt;0),Ко_сил,1),Ко_сил)</f>
        <v>1</v>
      </c>
      <c r="BB30" s="6">
        <f>IF(Щиты[[#This Row],[Руст, кВт]]=0,0,Щиты[[#This Row],[Рр, кВт]]/Щиты[[#This Row],[Руст, кВт]])</f>
        <v>1</v>
      </c>
      <c r="BC30"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6.75</v>
      </c>
      <c r="BD30"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5.07</v>
      </c>
      <c r="BE30"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4.62</v>
      </c>
      <c r="BF30" cm="1">
        <f t="array" ref="BF30">IF(Щиты[[#This Row],[_строка фидера]]="","",INDEX(Линии[ΔU, %],Щиты[[#This Row],[_строка фидера]]))</f>
        <v>2.4899999999999998</v>
      </c>
      <c r="BG30">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30">
        <f>IF(Щиты[[#This Row],[Питается от (итог)]]&lt;&gt;"",0,IF(LEFT(UPPER(TRIM(Щиты[[#This Row],[Питание: от (ТП / сеть)]])),2)="ТП",0,N(Щиты[[#This Row],[ΔU до питающего, %]])+Щиты[[#This Row],[_ΔU пит. линии]]))</f>
        <v>0</v>
      </c>
      <c r="BI30">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30"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30" t="str">
        <f>IF(Щиты[[#This Row],[_Zсети]]="","",Щиты[[#This Row],[_Zсети]]+Щиты[[#This Row],[_петля пит. кабеля]])</f>
        <v/>
      </c>
      <c r="BL30" cm="1">
        <f t="array" ref="BL30">IF(Щиты[[#This Row],[_строка фидера]]="","",INDEX(Линии[_Zкабеля],Щиты[[#This Row],[_строка фидера]]))</f>
        <v>0.45586666666666664</v>
      </c>
      <c r="BM30" s="6" t="str" cm="1">
        <f t="array" ref="BM30">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30"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30"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30" cm="1">
        <f t="array" ref="BP30">IF(Щиты[[#This Row],[_строка фидера]]="","",INDEX(Линии[_Zmax кабеля],Щиты[[#This Row],[_строка фидера]]))</f>
        <v>0.1516666666666667</v>
      </c>
      <c r="BQ30" s="6" t="str" cm="1">
        <f t="array" ref="BQ30">IF(_xlfn.XLOOKUP(Щиты[[#This Row],[Корень]],Щиты[Щит],Щиты[_Zmax источника],"")="","",SUMPRODUCT(--ISNUMBER(SEARCH("|"&amp;Щиты[Щит]&amp;"|",Щиты[[#This Row],[Путь]])),IFERROR(--Щиты[_Zmax источника],0)+IFERROR(--Щиты[_Zmax фидера],0)))</f>
        <v/>
      </c>
      <c r="BR30" cm="1">
        <f t="array" ref="BR30">IF(Щиты[[#This Row],[_строка фидера]]="","",INDEX(Линии[_ΔU по току, %],Щиты[[#This Row],[_строка фидера]]))</f>
        <v>3.73</v>
      </c>
      <c r="BS30" s="6" cm="1">
        <f t="array" ref="BS30">SUMPRODUCT(--ISNUMBER(SEARCH("|"&amp;Щиты[Щит]&amp;"|",Щиты[[#This Row],[Путь]])),IFERROR(--Щиты[_ΔU фидера (подбор)],0)+IFERROR(--Щиты[_ΔU источника],0))</f>
        <v>3.73</v>
      </c>
      <c r="BT30" cm="1">
        <f t="array" ref="BT30">IF(Щиты[[#This Row],[_строка фидера]]="","",INDEX(Линии[_Zкабеля по току],Щиты[[#This Row],[_строка фидера]]))</f>
        <v>0.68379999999999996</v>
      </c>
      <c r="BU30" s="6" t="str" cm="1">
        <f t="array" ref="BU30">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30" s="6">
        <f>_xlfn.MAXIFS(Линии[Iпуск, А],Линии[Щит],Щиты[[#This Row],[Щит]])</f>
        <v>0</v>
      </c>
      <c r="BW30" t="str" cm="1">
        <f t="array" ref="BW30">IF(Щиты[[#This Row],[_строка фидера]]="","",INDEX(Линии[Источник для режимов],Щиты[[#This Row],[_строка фидера]]))</f>
        <v>Ввод 1</v>
      </c>
      <c r="BX30" t="str" cm="1">
        <f t="array" ref="BX30">IF(Щиты[[#This Row],[_строка фидера]]="","",INDEX(Линии[Пожарная (итог)],Щиты[[#This Row],[_строка фидера]]))</f>
        <v>нет</v>
      </c>
      <c r="BY30" t="str" cm="1">
        <f t="array" ref="BY30">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;350:L2;349:L2;</v>
      </c>
    </row>
  </sheetData>
  <mergeCells count="9">
    <mergeCell ref="B8:M8"/>
    <mergeCell ref="B9:M9"/>
    <mergeCell ref="B10:M10"/>
    <mergeCell ref="B2:M2"/>
    <mergeCell ref="B3:M3"/>
    <mergeCell ref="B4:M4"/>
    <mergeCell ref="B5:M5"/>
    <mergeCell ref="B6:M6"/>
    <mergeCell ref="B7:M7"/>
  </mergeCells>
  <conditionalFormatting sqref="B14:B131">
    <cfRule type="expression" dxfId="44" priority="1" stopIfTrue="1">
      <formula>_xlfn.ISFORMULA(B14)</formula>
    </cfRule>
    <cfRule type="expression" dxfId="43" priority="2" stopIfTrue="1">
      <formula>AND(NOT(_xlfn.ISFORMULA(B14)),B14&lt;&gt;"")</formula>
    </cfRule>
  </conditionalFormatting>
  <dataValidations count="1">
    <dataValidation type="list" allowBlank="1" showInputMessage="1" sqref="CC14" xr:uid="{DF777E26-8AEA-4EDE-9D96-F47E85F64E5E}">
      <formula1>"Ввод 1,Ввод 2,Ввод 3,ИБП,ДГУ,Одиночная"</formula1>
    </dataValidation>
  </dataValidations>
  <pageMargins left="0.7" right="0.7" top="0.75" bottom="0.75" header="0.3" footer="0.3"/>
  <legacy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C6D29-3580-4CC2-91D1-F0EAA4994AF0}">
  <sheetPr codeName="Лист5">
    <tabColor rgb="FFFFF2CC"/>
    <outlinePr summaryRight="0"/>
  </sheetPr>
  <dimension ref="A1:JZ352"/>
  <sheetViews>
    <sheetView tabSelected="1" workbookViewId="0">
      <pane xSplit="3" ySplit="2" topLeftCell="D3" activePane="bottomRight" state="frozenSplit"/>
      <selection pane="bottomLeft" activeCell="A3" sqref="A3"/>
      <selection pane="topRight" activeCell="D1" sqref="D1"/>
      <selection pane="bottomRight" activeCell="D3" sqref="D3"/>
    </sheetView>
  </sheetViews>
  <sheetFormatPr defaultColWidth="10.77734375" defaultRowHeight="14.4" outlineLevelCol="1" x14ac:dyDescent="0.3"/>
  <cols>
    <col min="1" max="1" width="9.77734375" customWidth="1"/>
    <col min="2" max="2" width="13.77734375" customWidth="1"/>
    <col min="3" max="3" width="30.77734375" customWidth="1"/>
    <col min="4" max="4" width="9.77734375" customWidth="1"/>
    <col min="5" max="5" width="8.77734375" customWidth="1"/>
    <col min="6" max="6" width="7.77734375" customWidth="1"/>
    <col min="7" max="7" width="16.77734375" customWidth="1"/>
    <col min="8" max="8" width="12.77734375" customWidth="1"/>
    <col min="9" max="9" width="14.77734375" customWidth="1"/>
    <col min="10" max="10" width="8.77734375" customWidth="1"/>
    <col min="11" max="12" width="9.77734375" customWidth="1"/>
    <col min="13" max="13" width="8.77734375" customWidth="1"/>
    <col min="14" max="14" width="38.77734375" customWidth="1"/>
    <col min="15" max="17" width="8.77734375" customWidth="1"/>
    <col min="18" max="18" width="22.77734375" customWidth="1"/>
    <col min="19" max="19" width="10.77734375" collapsed="1"/>
    <col min="20" max="24" width="0" hidden="1" customWidth="1" outlineLevel="1"/>
    <col min="25" max="25" width="8.77734375" hidden="1" customWidth="1" outlineLevel="1"/>
    <col min="26" max="26" width="0" hidden="1" customWidth="1" outlineLevel="1"/>
    <col min="27" max="27" width="12.77734375" hidden="1" customWidth="1" outlineLevel="1"/>
    <col min="28" max="52" width="0" hidden="1" customWidth="1" outlineLevel="1"/>
    <col min="53" max="286" width="0" hidden="1" customWidth="1"/>
  </cols>
  <sheetData>
    <row r="1" spans="1:286" ht="49.95" customHeight="1" x14ac:dyDescent="0.3">
      <c r="A1" s="144" t="str" cm="1">
        <f t="array" ref="A1">_xlfn.LET(_xlpm.v,_xlfn._xlws.FILTER(Линии[Щит],(Линии[_видна]=1)*(Линии[Щит]&lt;&gt;""),""),_xlpm.u,_xlfn.UNIQUE(_xlpm.v),IF(OR(ROWS(_xlpm.u)&lt;&gt;1,INDEX(_xlpm.u,1)=""),"Объект: щитов "&amp;ROWS(Щиты[Щит])&amp;", линий "&amp;SUM(--(Линии[Номер линии]&lt;&gt;""))&amp;", замечаний "&amp;COUNTIF(Линии[Замечания],"?*")&amp;CHAR(10)&amp;"Кнопка щита справа — показать один щит и его итоги",_xlfn.LET(_xlpm.щ,INDEX(_xlpm.u,1),_xlpm.X,_xlfn.LAMBDA(_xlpm.h,_xlfn.XLOOKUP(_xlpm.щ,Щиты[Щит],_xlpm.h,"")),_xlpm.щ&amp;IF(_xlpm.X(Щиты[Питается от (итог)])&lt;&gt;"","  ← от "&amp;_xlpm.X(Щиты[Питается от (итог)]),"")&amp;"   ·   листов схемы: "&amp;_xlfn.MAXIFS(Линии[Лист схемы],Линии[Щит],_xlpm.щ)&amp;"   ·   замечаний: "&amp;COUNTIFS(Линии[Щит],_xlpm.щ,Линии[Замечания],"?*")&amp;CHAR(10)&amp;"Руст "&amp;FIXED(_xlpm.X(Щиты[Руст, кВт]),1)&amp;" · Рр "&amp;FIXED(_xlpm.X(Щиты[Рр, кВт]),1)&amp;" кВт · Iр "&amp;FIXED(_xlpm.X(Щиты[Iр, А]),1)&amp;" А · cos φ "&amp;FIXED(_xlpm.X(Щиты[cos φ]),2)&amp;" · ΔU до шин "&amp;IFERROR(FIXED(_xlpm.X(Щиты[ΔU до шин, %]),2),"—")&amp;" %")))</f>
        <v>Объект: щитов 17, линий 350, замечаний 54
Кнопка щита справа — показать один щит и его итоги</v>
      </c>
      <c r="B1" s="145"/>
      <c r="C1" s="145"/>
    </row>
    <row r="2" spans="1:286" ht="48" customHeight="1" x14ac:dyDescent="0.3">
      <c r="A2" s="115" t="s">
        <v>4</v>
      </c>
      <c r="B2" s="115" t="s">
        <v>0</v>
      </c>
      <c r="C2" s="116" t="s">
        <v>6</v>
      </c>
      <c r="D2" s="115" t="s">
        <v>1113</v>
      </c>
      <c r="E2" s="116" t="s">
        <v>437</v>
      </c>
      <c r="F2" s="115" t="s">
        <v>858</v>
      </c>
      <c r="G2" s="116" t="s">
        <v>7</v>
      </c>
      <c r="H2" s="116" t="s">
        <v>898</v>
      </c>
      <c r="I2" s="116" t="s">
        <v>915</v>
      </c>
      <c r="J2" s="116" t="s">
        <v>543</v>
      </c>
      <c r="K2" s="116" t="s">
        <v>1114</v>
      </c>
      <c r="L2" s="116" t="s">
        <v>439</v>
      </c>
      <c r="M2" s="116" t="s">
        <v>435</v>
      </c>
      <c r="N2" s="117" t="s">
        <v>1115</v>
      </c>
      <c r="O2" s="117" t="s">
        <v>805</v>
      </c>
      <c r="P2" s="117" t="s">
        <v>25</v>
      </c>
      <c r="Q2" s="117" t="s">
        <v>735</v>
      </c>
      <c r="R2" s="117" t="s">
        <v>9</v>
      </c>
      <c r="S2" s="117" t="s">
        <v>1116</v>
      </c>
      <c r="T2" s="117" t="s">
        <v>1117</v>
      </c>
      <c r="U2" s="117" t="s">
        <v>1118</v>
      </c>
      <c r="V2" s="117" t="s">
        <v>1119</v>
      </c>
      <c r="W2" s="117" t="s">
        <v>1120</v>
      </c>
      <c r="X2" s="115" t="s">
        <v>1121</v>
      </c>
      <c r="Y2" s="116" t="s">
        <v>1122</v>
      </c>
      <c r="Z2" s="116" t="s">
        <v>2</v>
      </c>
      <c r="AA2" s="116" t="s">
        <v>186</v>
      </c>
      <c r="AB2" s="116" t="s">
        <v>535</v>
      </c>
      <c r="AC2" s="115" t="s">
        <v>733</v>
      </c>
      <c r="AD2" s="115" t="s">
        <v>1123</v>
      </c>
      <c r="AE2" s="115" t="s">
        <v>1124</v>
      </c>
      <c r="AF2" s="115" t="s">
        <v>852</v>
      </c>
      <c r="AG2" s="115" t="s">
        <v>1125</v>
      </c>
      <c r="AH2" s="115" t="s">
        <v>1126</v>
      </c>
      <c r="AI2" s="115" t="s">
        <v>911</v>
      </c>
      <c r="AJ2" s="115" t="s">
        <v>1127</v>
      </c>
      <c r="AK2" s="116" t="s">
        <v>432</v>
      </c>
      <c r="AL2" s="115" t="s">
        <v>434</v>
      </c>
      <c r="AM2" s="115" t="s">
        <v>1128</v>
      </c>
      <c r="AN2" s="116" t="s">
        <v>516</v>
      </c>
      <c r="AO2" s="116" t="s">
        <v>14</v>
      </c>
      <c r="AP2" s="115" t="s">
        <v>1129</v>
      </c>
      <c r="AQ2" s="115" t="s">
        <v>188</v>
      </c>
      <c r="AR2" s="115" t="s">
        <v>196</v>
      </c>
      <c r="AS2" s="115" t="s">
        <v>195</v>
      </c>
      <c r="AT2" s="115" t="s">
        <v>56</v>
      </c>
      <c r="AU2" s="115" t="s">
        <v>47</v>
      </c>
      <c r="AV2" s="115" t="s">
        <v>509</v>
      </c>
      <c r="AW2" s="115" t="s">
        <v>510</v>
      </c>
      <c r="AX2" s="115" t="s">
        <v>511</v>
      </c>
      <c r="AY2" s="115" t="s">
        <v>512</v>
      </c>
      <c r="AZ2" s="115" t="s">
        <v>514</v>
      </c>
      <c r="BA2" s="117" t="s">
        <v>1130</v>
      </c>
      <c r="BB2" s="117" t="s">
        <v>1131</v>
      </c>
      <c r="BC2" s="117" t="s">
        <v>906</v>
      </c>
      <c r="BD2" s="117" t="s">
        <v>1132</v>
      </c>
      <c r="BE2" s="117" t="s">
        <v>51</v>
      </c>
      <c r="BF2" s="117" t="s">
        <v>1133</v>
      </c>
      <c r="BG2" s="117" t="s">
        <v>50</v>
      </c>
      <c r="BH2" s="117" t="s">
        <v>1134</v>
      </c>
      <c r="BI2" s="117" t="s">
        <v>1135</v>
      </c>
      <c r="BJ2" s="117" t="s">
        <v>1136</v>
      </c>
      <c r="BK2" s="117" t="s">
        <v>1137</v>
      </c>
      <c r="BL2" s="117" t="s">
        <v>1138</v>
      </c>
      <c r="BM2" s="117" t="s">
        <v>1139</v>
      </c>
      <c r="BN2" s="117" t="s">
        <v>1140</v>
      </c>
      <c r="BO2" s="117" t="s">
        <v>1141</v>
      </c>
      <c r="BP2" s="117" t="s">
        <v>1142</v>
      </c>
      <c r="BQ2" s="117" t="s">
        <v>1143</v>
      </c>
      <c r="BR2" s="117" t="s">
        <v>1144</v>
      </c>
      <c r="BS2" s="117" t="s">
        <v>1145</v>
      </c>
      <c r="BT2" s="117" t="s">
        <v>1146</v>
      </c>
      <c r="BU2" s="117" t="s">
        <v>1147</v>
      </c>
      <c r="BV2" s="117" t="s">
        <v>1148</v>
      </c>
      <c r="BW2" s="117" t="s">
        <v>1149</v>
      </c>
      <c r="BX2" s="117" t="s">
        <v>910</v>
      </c>
      <c r="BY2" s="117" t="s">
        <v>1150</v>
      </c>
      <c r="BZ2" s="117" t="s">
        <v>1151</v>
      </c>
      <c r="CA2" s="117" t="s">
        <v>1152</v>
      </c>
      <c r="CB2" s="117" t="s">
        <v>909</v>
      </c>
      <c r="CC2" s="117" t="s">
        <v>1153</v>
      </c>
      <c r="CD2" s="117" t="s">
        <v>1154</v>
      </c>
      <c r="CE2" s="117" t="s">
        <v>801</v>
      </c>
      <c r="CF2" s="117" t="s">
        <v>1155</v>
      </c>
      <c r="CG2" s="117" t="s">
        <v>1156</v>
      </c>
      <c r="CH2" s="117" t="s">
        <v>1157</v>
      </c>
      <c r="CI2" s="117" t="s">
        <v>1158</v>
      </c>
      <c r="CJ2" s="117" t="s">
        <v>1159</v>
      </c>
      <c r="CK2" s="117" t="s">
        <v>1160</v>
      </c>
      <c r="CL2" s="117" t="s">
        <v>1161</v>
      </c>
      <c r="CM2" s="117" t="s">
        <v>1162</v>
      </c>
      <c r="CN2" s="117" t="s">
        <v>1163</v>
      </c>
      <c r="CO2" s="117" t="s">
        <v>1164</v>
      </c>
      <c r="CP2" s="117" t="s">
        <v>1165</v>
      </c>
      <c r="CQ2" s="117" t="s">
        <v>1166</v>
      </c>
      <c r="CR2" s="117" t="s">
        <v>1167</v>
      </c>
      <c r="CS2" s="117" t="s">
        <v>1168</v>
      </c>
      <c r="CT2" s="117" t="s">
        <v>1169</v>
      </c>
      <c r="CU2" s="117" t="s">
        <v>1170</v>
      </c>
      <c r="CV2" s="117" t="s">
        <v>1171</v>
      </c>
      <c r="CW2" s="117" t="s">
        <v>1172</v>
      </c>
      <c r="CX2" s="117" t="s">
        <v>1173</v>
      </c>
      <c r="CY2" s="117" t="s">
        <v>1174</v>
      </c>
      <c r="CZ2" s="117" t="s">
        <v>1175</v>
      </c>
      <c r="DA2" s="117" t="s">
        <v>1176</v>
      </c>
      <c r="DB2" s="117" t="s">
        <v>1177</v>
      </c>
      <c r="DC2" s="117" t="s">
        <v>1178</v>
      </c>
      <c r="DD2" s="117" t="s">
        <v>1179</v>
      </c>
      <c r="DE2" s="117" t="s">
        <v>1180</v>
      </c>
      <c r="DF2" s="117" t="s">
        <v>429</v>
      </c>
      <c r="DG2" s="117" t="s">
        <v>430</v>
      </c>
      <c r="DH2" s="117" t="s">
        <v>1181</v>
      </c>
      <c r="DI2" s="117" t="s">
        <v>1182</v>
      </c>
      <c r="DJ2" s="117" t="s">
        <v>1183</v>
      </c>
      <c r="DK2" s="117" t="s">
        <v>1184</v>
      </c>
      <c r="DL2" s="117" t="s">
        <v>1185</v>
      </c>
      <c r="DM2" s="117" t="s">
        <v>1186</v>
      </c>
      <c r="DN2" s="117" t="s">
        <v>1187</v>
      </c>
      <c r="DO2" s="117" t="s">
        <v>1188</v>
      </c>
      <c r="DP2" s="117" t="s">
        <v>1189</v>
      </c>
      <c r="DQ2" s="117" t="s">
        <v>1190</v>
      </c>
      <c r="DR2" s="117" t="s">
        <v>1191</v>
      </c>
      <c r="DS2" s="117" t="s">
        <v>1192</v>
      </c>
      <c r="DT2" s="117" t="s">
        <v>1193</v>
      </c>
      <c r="DU2" s="117" t="s">
        <v>1194</v>
      </c>
      <c r="DV2" s="117" t="s">
        <v>1195</v>
      </c>
      <c r="DW2" s="117" t="s">
        <v>1196</v>
      </c>
      <c r="DX2" s="117" t="s">
        <v>1197</v>
      </c>
      <c r="DY2" s="117" t="s">
        <v>1198</v>
      </c>
      <c r="DZ2" s="117" t="s">
        <v>1199</v>
      </c>
      <c r="EA2" s="117" t="s">
        <v>1200</v>
      </c>
      <c r="EB2" s="117" t="s">
        <v>1201</v>
      </c>
      <c r="EC2" s="117" t="s">
        <v>1202</v>
      </c>
      <c r="ED2" s="117" t="s">
        <v>1203</v>
      </c>
      <c r="EE2" s="117" t="s">
        <v>1204</v>
      </c>
      <c r="EF2" s="117" t="s">
        <v>1205</v>
      </c>
      <c r="EG2" s="117" t="s">
        <v>1206</v>
      </c>
      <c r="EH2" s="117" t="s">
        <v>1207</v>
      </c>
      <c r="EI2" s="117" t="s">
        <v>1208</v>
      </c>
      <c r="EJ2" s="117" t="s">
        <v>1209</v>
      </c>
      <c r="EK2" s="117" t="s">
        <v>1210</v>
      </c>
      <c r="EL2" s="117" t="s">
        <v>1211</v>
      </c>
      <c r="EM2" s="117" t="s">
        <v>1212</v>
      </c>
      <c r="EN2" s="117" t="s">
        <v>3</v>
      </c>
      <c r="EO2" s="117" t="s">
        <v>1213</v>
      </c>
      <c r="EP2" s="117" t="s">
        <v>1214</v>
      </c>
      <c r="EQ2" s="117" t="s">
        <v>1215</v>
      </c>
      <c r="ER2" s="117" t="s">
        <v>1216</v>
      </c>
      <c r="ES2" s="117" t="s">
        <v>1217</v>
      </c>
      <c r="ET2" s="117" t="s">
        <v>1218</v>
      </c>
      <c r="EU2" s="117" t="s">
        <v>1219</v>
      </c>
      <c r="EV2" s="117" t="s">
        <v>1220</v>
      </c>
      <c r="EW2" s="117" t="s">
        <v>1221</v>
      </c>
      <c r="EX2" s="117" t="s">
        <v>1222</v>
      </c>
      <c r="EY2" s="117" t="s">
        <v>1223</v>
      </c>
      <c r="EZ2" s="117" t="s">
        <v>1224</v>
      </c>
      <c r="FA2" s="117" t="s">
        <v>1225</v>
      </c>
      <c r="FB2" s="117" t="s">
        <v>1226</v>
      </c>
      <c r="FC2" s="117" t="s">
        <v>738</v>
      </c>
      <c r="FD2" s="117" t="s">
        <v>736</v>
      </c>
      <c r="FE2" s="117" t="s">
        <v>739</v>
      </c>
      <c r="FF2" s="117" t="s">
        <v>1227</v>
      </c>
      <c r="FG2" s="117" t="s">
        <v>734</v>
      </c>
      <c r="FH2" s="117" t="s">
        <v>529</v>
      </c>
      <c r="FI2" s="117" t="s">
        <v>808</v>
      </c>
      <c r="FJ2" s="117" t="s">
        <v>1228</v>
      </c>
      <c r="FK2" s="117" t="s">
        <v>1229</v>
      </c>
      <c r="FL2" s="117" t="s">
        <v>1230</v>
      </c>
      <c r="FM2" s="117" t="s">
        <v>1231</v>
      </c>
      <c r="FN2" s="117" t="s">
        <v>1232</v>
      </c>
      <c r="FO2" s="117" t="s">
        <v>1233</v>
      </c>
      <c r="FP2" s="117" t="s">
        <v>1234</v>
      </c>
      <c r="FQ2" s="117" t="s">
        <v>1235</v>
      </c>
      <c r="FR2" s="117" t="s">
        <v>1236</v>
      </c>
      <c r="FS2" s="117" t="s">
        <v>1237</v>
      </c>
      <c r="FT2" s="117" t="s">
        <v>1238</v>
      </c>
      <c r="FU2" s="117" t="s">
        <v>1239</v>
      </c>
      <c r="FV2" s="117" t="s">
        <v>1240</v>
      </c>
      <c r="FW2" s="117" t="s">
        <v>1241</v>
      </c>
      <c r="FX2" s="117" t="s">
        <v>1242</v>
      </c>
      <c r="FY2" s="117" t="s">
        <v>1243</v>
      </c>
      <c r="FZ2" s="117" t="s">
        <v>1244</v>
      </c>
      <c r="GA2" s="117" t="s">
        <v>837</v>
      </c>
      <c r="GB2" s="117" t="s">
        <v>1245</v>
      </c>
      <c r="GC2" s="117" t="s">
        <v>1246</v>
      </c>
      <c r="GD2" s="117" t="s">
        <v>1247</v>
      </c>
      <c r="GE2" s="117" t="s">
        <v>836</v>
      </c>
      <c r="GF2" s="117" t="s">
        <v>838</v>
      </c>
      <c r="GG2" s="117" t="s">
        <v>1248</v>
      </c>
      <c r="GH2" s="117" t="s">
        <v>1249</v>
      </c>
      <c r="GI2" s="117" t="s">
        <v>1250</v>
      </c>
      <c r="GJ2" s="117" t="s">
        <v>1251</v>
      </c>
      <c r="GK2" s="117" t="s">
        <v>1252</v>
      </c>
      <c r="GL2" s="117" t="s">
        <v>1253</v>
      </c>
      <c r="GM2" s="117" t="s">
        <v>1254</v>
      </c>
      <c r="GN2" s="117" t="s">
        <v>1255</v>
      </c>
      <c r="GO2" s="117" t="s">
        <v>1256</v>
      </c>
      <c r="GP2" s="117" t="s">
        <v>1257</v>
      </c>
      <c r="GQ2" s="117" t="s">
        <v>1258</v>
      </c>
      <c r="GR2" s="117" t="s">
        <v>1259</v>
      </c>
      <c r="GS2" s="117" t="s">
        <v>1260</v>
      </c>
      <c r="GT2" s="117" t="s">
        <v>1261</v>
      </c>
      <c r="GU2" s="117" t="s">
        <v>1262</v>
      </c>
      <c r="GV2" s="117" t="s">
        <v>1263</v>
      </c>
      <c r="GW2" s="117" t="s">
        <v>1264</v>
      </c>
      <c r="GX2" s="117" t="s">
        <v>1265</v>
      </c>
      <c r="GY2" s="117" t="s">
        <v>1266</v>
      </c>
      <c r="GZ2" s="117" t="s">
        <v>1267</v>
      </c>
      <c r="HA2" s="117" t="s">
        <v>1268</v>
      </c>
      <c r="HB2" s="117" t="s">
        <v>1269</v>
      </c>
      <c r="HC2" s="117" t="s">
        <v>1270</v>
      </c>
      <c r="HD2" s="117" t="s">
        <v>1271</v>
      </c>
      <c r="HE2" s="117" t="s">
        <v>1272</v>
      </c>
      <c r="HF2" s="117" t="s">
        <v>1273</v>
      </c>
      <c r="HG2" s="117" t="s">
        <v>1274</v>
      </c>
      <c r="HH2" s="117" t="s">
        <v>1275</v>
      </c>
      <c r="HI2" s="117" t="s">
        <v>1276</v>
      </c>
      <c r="HJ2" s="117" t="s">
        <v>1277</v>
      </c>
      <c r="HK2" s="117" t="s">
        <v>1278</v>
      </c>
      <c r="HL2" s="117" t="s">
        <v>1279</v>
      </c>
      <c r="HM2" s="117" t="s">
        <v>1280</v>
      </c>
      <c r="HN2" s="117" t="s">
        <v>1281</v>
      </c>
      <c r="HO2" s="117" t="s">
        <v>427</v>
      </c>
      <c r="HP2" s="117" t="s">
        <v>1282</v>
      </c>
      <c r="HQ2" s="117" t="s">
        <v>1283</v>
      </c>
      <c r="HR2" s="117" t="s">
        <v>1284</v>
      </c>
      <c r="HS2" s="117" t="s">
        <v>737</v>
      </c>
      <c r="HT2" s="117" t="s">
        <v>1285</v>
      </c>
      <c r="HU2" s="117" t="s">
        <v>1286</v>
      </c>
      <c r="HV2" s="117" t="s">
        <v>1287</v>
      </c>
      <c r="HW2" s="117" t="s">
        <v>1288</v>
      </c>
      <c r="HX2" s="117" t="s">
        <v>1289</v>
      </c>
      <c r="HY2" s="117" t="s">
        <v>1290</v>
      </c>
      <c r="HZ2" s="117" t="s">
        <v>1291</v>
      </c>
      <c r="IA2" s="117" t="s">
        <v>1292</v>
      </c>
      <c r="IB2" s="117" t="s">
        <v>1293</v>
      </c>
      <c r="IC2" s="117" t="s">
        <v>1294</v>
      </c>
      <c r="ID2" s="117" t="s">
        <v>1295</v>
      </c>
      <c r="IE2" s="117" t="s">
        <v>1296</v>
      </c>
      <c r="IF2" s="117" t="s">
        <v>1297</v>
      </c>
      <c r="IG2" s="117" t="s">
        <v>1298</v>
      </c>
      <c r="IH2" s="117" t="s">
        <v>1299</v>
      </c>
      <c r="II2" s="117" t="s">
        <v>1300</v>
      </c>
      <c r="IJ2" s="117" t="s">
        <v>1301</v>
      </c>
      <c r="IK2" s="117" t="s">
        <v>1302</v>
      </c>
      <c r="IL2" s="117" t="s">
        <v>1303</v>
      </c>
      <c r="IM2" s="117" t="s">
        <v>1304</v>
      </c>
      <c r="IN2" s="117" t="s">
        <v>1305</v>
      </c>
      <c r="IO2" s="117" t="s">
        <v>1306</v>
      </c>
      <c r="IP2" s="117" t="s">
        <v>1307</v>
      </c>
      <c r="IQ2" s="117" t="s">
        <v>1308</v>
      </c>
      <c r="IR2" s="117" t="s">
        <v>1309</v>
      </c>
      <c r="IS2" s="117" t="s">
        <v>1310</v>
      </c>
      <c r="IT2" s="117" t="s">
        <v>1311</v>
      </c>
      <c r="IU2" s="117" t="s">
        <v>1312</v>
      </c>
      <c r="IV2" s="117" t="s">
        <v>1313</v>
      </c>
      <c r="IW2" s="117" t="s">
        <v>1314</v>
      </c>
      <c r="IX2" s="117" t="s">
        <v>1315</v>
      </c>
      <c r="IY2" s="117" t="s">
        <v>1316</v>
      </c>
      <c r="IZ2" s="117" t="s">
        <v>1317</v>
      </c>
      <c r="JA2" s="117" t="s">
        <v>1318</v>
      </c>
      <c r="JB2" s="117" t="s">
        <v>1319</v>
      </c>
      <c r="JC2" s="117" t="s">
        <v>1320</v>
      </c>
      <c r="JD2" s="117" t="s">
        <v>1321</v>
      </c>
      <c r="JE2" s="117" t="s">
        <v>1322</v>
      </c>
      <c r="JF2" s="117" t="s">
        <v>1323</v>
      </c>
      <c r="JG2" s="117" t="s">
        <v>1324</v>
      </c>
      <c r="JH2" s="117" t="s">
        <v>1325</v>
      </c>
      <c r="JI2" s="117" t="s">
        <v>1326</v>
      </c>
      <c r="JJ2" s="117" t="s">
        <v>1327</v>
      </c>
      <c r="JK2" s="117" t="s">
        <v>1328</v>
      </c>
      <c r="JL2" s="117" t="s">
        <v>1329</v>
      </c>
      <c r="JM2" s="117" t="s">
        <v>1330</v>
      </c>
      <c r="JN2" s="117" t="s">
        <v>1331</v>
      </c>
      <c r="JO2" s="117" t="s">
        <v>1332</v>
      </c>
      <c r="JP2" s="117" t="s">
        <v>1333</v>
      </c>
      <c r="JQ2" s="117" t="s">
        <v>1334</v>
      </c>
      <c r="JR2" s="117" t="s">
        <v>1335</v>
      </c>
      <c r="JS2" s="117" t="s">
        <v>1336</v>
      </c>
      <c r="JT2" s="117" t="s">
        <v>1337</v>
      </c>
      <c r="JU2" s="117" t="s">
        <v>1338</v>
      </c>
      <c r="JV2" s="117" t="s">
        <v>1339</v>
      </c>
      <c r="JW2" s="117" t="s">
        <v>1340</v>
      </c>
      <c r="JX2" s="117" t="s">
        <v>1341</v>
      </c>
      <c r="JY2" s="117" t="s">
        <v>1342</v>
      </c>
      <c r="JZ2" s="117" t="s">
        <v>1343</v>
      </c>
    </row>
    <row r="3" spans="1:286" x14ac:dyDescent="0.3">
      <c r="A3" t="s">
        <v>783</v>
      </c>
      <c r="B3" t="s">
        <v>741</v>
      </c>
      <c r="C3" t="s">
        <v>740</v>
      </c>
      <c r="D3">
        <v>1</v>
      </c>
      <c r="E3">
        <f>Линии[[#This Row],[_авто Р]]</f>
        <v>526.28100000000018</v>
      </c>
      <c r="G3" t="str">
        <f>Линии[[#This Row],[_авто автомат]]</f>
        <v>3P С630А</v>
      </c>
      <c r="H3" t="str">
        <f>Линии[[#This Row],[_авто управление]]</f>
        <v/>
      </c>
      <c r="I3" t="str">
        <f>Линии[[#This Row],[_авто аппараты]]</f>
        <v/>
      </c>
      <c r="J3" t="str">
        <f>Линии[[#This Row],[_авто сечение]]</f>
        <v/>
      </c>
      <c r="K3" t="str">
        <f>Линии[[#This Row],[_авто длина по плану]]</f>
        <v/>
      </c>
      <c r="L3" t="str">
        <f>Линии[[#This Row],[_авто фаза]]</f>
        <v>L1,L2,L3</v>
      </c>
      <c r="M3" t="str">
        <f>Линии[[#This Row],[_авто клемма]]</f>
        <v/>
      </c>
      <c r="N3" t="str">
        <f t="shared" ref="N3:N66" si="0">_xlfn.TEXTJOIN("; ",TRUE,IK3,IH3,IF(LEFT(IJ3,3)="Icu",IJ3,""),IF(AND(B3&lt;&gt;"",EN3="не подобрано"),"сечение не подобрано: проверьте длину и автомат или впишите сечение",""))</f>
        <v/>
      </c>
      <c r="O3" s="6" cm="1">
        <f t="array" ref="O3">IF(B3="","",IF(BH3&lt;&gt;"",IFERROR(_xlfn.XLOOKUP(BH3,Щиты[Щит],Щиты[Iр, А]),""),IF(BP3=1,IF(OR(N(_xlfn.XLOOKUP(A3,Щиты[Щит],Щиты[Вводов],1))&lt;=1,LOWER(TRIM(_xlfn.XLOOKUP(A3,Щиты[Щит],Щиты[АВР],"")&amp;""))="да"),IFERROR(_xlfn.XLOOKUP(A3,Щиты[Щит],Щиты[Iр, А]),""),IFERROR(N(BS3)*_xlfn.XLOOKUP(A3,Щиты[Щит],Щиты[Кс итог])/(SQRT(3)*Uн_лин*_xlfn.XLOOKUP(A3,Щиты[Щит],Щиты[cos φ])),"")),IF(BV3=1,IFERROR(BS3*1000/BU3,""),IFERROR(_xlfn.IFS(BX3=1,BS3/((Uн_лин/SQRT(3))*CE3),BX3=3,BS3/(SQRT(3)*Uн_лин*CE3)),"")))))</f>
        <v>482.46261025528872</v>
      </c>
      <c r="P3" s="7" t="str">
        <f>IF(B3="","",IFERROR(IF(VLOOKUP(BC3,Потребители_обозначение,4,FALSE)=1,VLOOKUP(BC3,Потребители_обозначение,3,FALSE)*(MAX(1,N(D3))*2-1)+EI3+VLOOKUP(BE3,Этаж_обозначение,3,FALSE)+VLOOKUP(BE3,Этаж_обозначение,4,FALSE),VLOOKUP(BC3,Потребители_обозначение,3,FALSE)*(MAX(1,N(D3))*2-1)+EI3),EI3))</f>
        <v/>
      </c>
      <c r="Q3" s="6" t="str">
        <f t="shared" ref="Q3:Q66" si="1">IF(ISNUMBER(EW3),EW3+IF(BV3=1,0,ED3),"")</f>
        <v/>
      </c>
      <c r="R3" t="str">
        <f t="shared" ref="R3:R66" si="2">IF(OR(B3="",EX3=""),"",IF(EN3="не подобрано",EX3&amp;" — сечение не подобрано",EY3))</f>
        <v/>
      </c>
      <c r="S3" t="str">
        <f>IF(BM3="","",IF(BN3="вводной узел","узел ","")&amp;"л."&amp;(INT((BM3-1)/Столбцов_на_лист)+1)&amp;" / "&amp;(MOD(BM3-1,Столбцов_на_лист)+1))</f>
        <v>узел л.1 / 2</v>
      </c>
      <c r="T3" s="119" t="str">
        <f t="shared" ref="T3:T66" si="3">IF(OR(CG3=0,BH3&lt;&gt;"",BP3=1),"",IF(AND(CS3&lt;&gt;"",CS3=BA3),ROUND(N(CY3),1),ROUND(N(HV3)+N(HW3),1)))</f>
        <v/>
      </c>
      <c r="U3" s="7" t="str">
        <f>IF(OR(CG3=0,N(BV3)+N(IB3)=0),"",ROUNDUP(Запас_БП*(N(HY3)+N(HZ3)),0))</f>
        <v/>
      </c>
      <c r="V3" s="119" t="str">
        <f t="shared" ref="V3:V66" si="4">IF(OR(CG3=0,N(BV3)+N(IB3)=0),"",ROUND(MAX(N(HX3),N(IA3)),1))</f>
        <v/>
      </c>
      <c r="W3" s="7" t="str">
        <f>IFERROR(IF(OR(B3="",BP3=1,BV3=1,NOT(ISNUMBER(EN3)),N(DT3)=0),"",MAX(0,ROUNDDOWN((c_min*(Uн_лин*1000/SQRT(3))/(HT3*N(DT3))-_xlfn.XLOOKUP(A3,Щиты[Щит],Щиты[Zпетли на шинах, Ом]))*EN3/(2*ρкз_Cu),0))),"")</f>
        <v/>
      </c>
      <c r="Y3" t="str">
        <f>Линии[[#This Row],[_авто утечка]]</f>
        <v/>
      </c>
      <c r="Z3">
        <v>3</v>
      </c>
      <c r="AA3">
        <v>400</v>
      </c>
      <c r="AB3" t="s">
        <v>547</v>
      </c>
      <c r="AK3" t="str">
        <f>Линии[[#This Row],[_авто модуль]]</f>
        <v/>
      </c>
      <c r="AM3">
        <v>2</v>
      </c>
      <c r="AN3" t="str">
        <f>Линии[[#This Row],[_авто марка]]</f>
        <v/>
      </c>
      <c r="AO3" t="str">
        <f>Линии[[#This Row],[_авто жил]]</f>
        <v/>
      </c>
      <c r="BA3" cm="1">
        <f t="array" ref="BA3">ROW()-ROW(Линии[#Headers])</f>
        <v>1</v>
      </c>
      <c r="BC3" s="6" t="str">
        <f t="shared" ref="BC3:BC66" si="5">IF(B3="","",IFERROR(LEFT(B3,SEARCH(".",B3)-1),B3))</f>
        <v>Ввод</v>
      </c>
      <c r="BD3" t="str">
        <f t="shared" ref="BD3:BD66" si="6">IFERROR(RIGHT(B3,LEN(B3)-SEARCH(".",B3)),"")</f>
        <v>1</v>
      </c>
      <c r="BE3" t="str">
        <f t="shared" ref="BE3:BE66" si="7">IFERROR(LEFT(BD3,SEARCH(".",BD3)-1),BD3)</f>
        <v>1</v>
      </c>
      <c r="BF3" t="str">
        <f t="shared" ref="BF3:BF66" si="8">IFERROR(RIGHT(BD3,LEN(BD3)-SEARCH(".",BD3)),"")</f>
        <v/>
      </c>
      <c r="BG3" t="str">
        <f t="shared" ref="BG3:BG66" si="9">IFERROR(LEFT(BF3,SEARCH(".",BF3)-1),BF3)</f>
        <v/>
      </c>
      <c r="BH3" t="str">
        <f>IF(X3&lt;&gt;"",X3,IF(AND(B3&lt;&gt;"",B3&lt;&gt;A3,ISNUMBER(_xlfn.XMATCH(B3,Щиты[Щит]))),B3,""))</f>
        <v/>
      </c>
      <c r="BI3" t="str" cm="1">
        <f t="array" ref="BI3">IF(B3="","",IF(BH3&lt;&gt;"","Щит "&amp;BH3,_xlfn.LET(_xlpm.nm,IFERROR(_xlfn.XLOOKUP(BC3,Коды_код,Коды_имя)&amp;"",""),_xlpm.md,IFERROR(N(_xlfn.XLOOKUP(BC3,Коды_код,Коды_режим)),1),_xlpm.ex,IF(Имя_режим="по экспликации",IFERROR(_xlfn.XLOOKUP(BE3&amp;"|"&amp;BG3,Экспликация[Этаж]&amp;"|"&amp;Экспликация[Помещение],Экспликация[Название])&amp;"",""),""),_xlpm.rm,IF(BG3="","",IF(_xlpm.ex&lt;&gt;"",". "&amp;_xlpm.ex&amp;IF(Имя_пом="нет"," ("&amp;BG3&amp;")"," (пом. "&amp;BG3&amp;")"),IF(Имя_пом="нет"," ",", пом. ")&amp;BG3)),IF(_xlpm.nm="","",IF(_xlpm.md=2,_xlpm.nm&amp;" шлейф "&amp;BE3,_xlpm.nm&amp;_xlpm.rm)))))</f>
        <v>Вводной кабель шлейф 1</v>
      </c>
      <c r="BJ3" t="str">
        <f t="shared" ref="BJ3:BJ66" si="10">IF(TRIM(C3&amp;"")="",BI3,C3)</f>
        <v>Основной ввод в дом №1</v>
      </c>
      <c r="BK3">
        <f>IFERROR(_xlfn.XMATCH(A3,Щиты[Щит]),0)</f>
        <v>1</v>
      </c>
      <c r="BL3">
        <f>_xlfn.LET(_xlpm.k,IFERROR(_xlfn.XLOOKUP(A3,Щиты[Щит],Щиты[Мест под вводной узел]),""),IF(_xlpm.k="",Столбцов_на_лист,N(_xlpm.k)))</f>
        <v>6</v>
      </c>
      <c r="BM3">
        <f t="shared" ref="BM3:BM66" si="11">IF(AM3="-","",IF(ISNUMBER(AM3),AM3,_xlfn.LET(_xlpm.prev,IF(OR(BA3=1,A3&lt;&gt;A2),0,N(IF(BA3=1,"",BM2))),_xlpm.nx,_xlpm.prev+1,IF(AND(AJ3&lt;&gt;"вручную",_xlpm.nx&lt;=BL3),BL3+1,_xlpm.nx))))</f>
        <v>2</v>
      </c>
      <c r="BN3" t="str">
        <f t="shared" ref="BN3:BN66" si="12">IF(BM3="","",IF(BM3&lt;=BL3,"вводной узел","линии"))</f>
        <v>вводной узел</v>
      </c>
      <c r="BO3" s="6">
        <f>IFERROR(N(_xlfn.XLOOKUP(BC3,Коды_код,Коды_квт)),0)</f>
        <v>0</v>
      </c>
      <c r="BP3">
        <f t="shared" ref="BP3:BP66" si="13">IF(AND(B3&lt;&gt;"",BC3="Ввод"),1,0)</f>
        <v>1</v>
      </c>
      <c r="BQ3">
        <f>IF(B3="","",IF(BH3&lt;&gt;"",IFERROR(_xlfn.XLOOKUP(BH3,Щиты[Щит],Щиты[Руст, кВт]),0),IF(BP3=1,IF(OR(N(_xlfn.XLOOKUP(A3,Щиты[Щит],Щиты[Вводов],1))&lt;=1,LOWER(TRIM(_xlfn.XLOOKUP(A3,Щиты[Щит],Щиты[АВР],"")&amp;""))="да"),IFERROR(_xlfn.XLOOKUP(A3,Щиты[Щит],Щиты[Руст, кВт]),0),SUMIFS(Линии[_Р для вводов],Линии[Щит],A3,Линии[Источник для режимов],GF3)),IF(BO3&gt;0,ROUND(BO3*MAX(1,N(D3)),3),""))))</f>
        <v>526.28100000000018</v>
      </c>
      <c r="BR3">
        <f t="shared" ref="BR3:BR66" si="14">IF(TRIM(E3&amp;"")="",BQ3,E3)</f>
        <v>526.28100000000018</v>
      </c>
      <c r="BS3" s="6">
        <f>IF(B3="","",IF(BH3&lt;&gt;"",IFERROR(_xlfn.XLOOKUP(BH3,Щиты[Щит],Щиты[Руст, кВт]),0),N(BR3)))</f>
        <v>526.28100000000018</v>
      </c>
      <c r="BT3" t="str">
        <f>IF(B3="","",IFERROR(IF(VLOOKUP(BC3,Потребители_обозначение,8,FALSE)=0,"",VLOOKUP(BC3,Потребители_обозначение,8,FALSE)),""))</f>
        <v/>
      </c>
      <c r="BU3">
        <f t="shared" ref="BU3:BU66" si="15">IF(TRIM(AA3&amp;"")="",BT3,AA3)</f>
        <v>400</v>
      </c>
      <c r="BV3">
        <f t="shared" ref="BV3:BV66" si="16">IF(B3="",0,IF(AND(N(BU3)&gt;0,N(BU3)&lt;=50),1,0))</f>
        <v>0</v>
      </c>
      <c r="BW3">
        <f>IF(B3="","",IF(BH3&lt;&gt;"",3,IFERROR(IF(N(VLOOKUP(BC3,Потребители_обозначение,9,FALSE))=0,1,VLOOKUP(BC3,Потребители_обозначение,9,FALSE)),1)))</f>
        <v>1</v>
      </c>
      <c r="BX3">
        <f t="shared" ref="BX3:BX66" si="17">IF(B3="","",IF(TRIM(Z3&amp;"")="",BW3,N(Z3)))</f>
        <v>3</v>
      </c>
      <c r="BY3" t="str">
        <f>IF(B3="","",_xlfn.LET(_xlpm.bc,IFERROR(IF(VLOOKUP(BC3,Потребители_обозначение,6,FALSE)=0,"",VLOOKUP(BC3,Потребители_обозначение,6,FALSE)&amp;""),""),IF(AND(GA3="да",OR(_xlpm.bc="",_xlpm.bc="мс")),Марка_пож,IF(AND(_xlpm.bc="",BH3&lt;&gt;""),"мс",_xlpm.bc))))</f>
        <v/>
      </c>
      <c r="BZ3" t="str">
        <f t="shared" ref="BZ3:BZ66" si="18">IF(TRIM(AN3&amp;"")="",BY3,AN3)</f>
        <v/>
      </c>
      <c r="CA3" t="str">
        <f>IF(B3="","",_xlfn.LET(_xlpm.cc,IFERROR(N(VLOOKUP(BC3,Потребители_обозначение,7,FALSE)),0),IF(_xlpm.cc&gt;0,_xlpm.cc,IF(BZ3="","",IF(BV3=1,2,IF(N(BX3)=3,5,3))))))</f>
        <v/>
      </c>
      <c r="CB3" t="str">
        <f t="shared" ref="CB3:CB66" si="19">IF(TRIM(AO3&amp;"")="",CA3,AO3)</f>
        <v/>
      </c>
      <c r="CC3">
        <f>IFERROR(N(VLOOKUP(BC3,Потребители_обозначение,10,FALSE)),0)</f>
        <v>0</v>
      </c>
      <c r="CD3">
        <f>IFERROR(VLOOKUP(BC3,Потребители_обозначение,5,FALSE),0)</f>
        <v>1</v>
      </c>
      <c r="CE3" s="6" cm="1">
        <f t="array" ref="CE3">IF(B3="","",IF(BH3&lt;&gt;"",IFERROR(_xlfn.XLOOKUP(BH3,Щиты[Щит],Щиты[cos φ]),0.95),IF(BP3=1,IFERROR(_xlfn.XLOOKUP(A3,Щиты[Щит],Щиты[cos φ]),0.95),IF(ISNUMBER(AD3),AD3,IFERROR(IF(CD3=2,_xlfn.IFS(BX3=3,VLOOKUP(BS3,Справочная_двигатели,8,FALSE),BX3=1,VLOOKUP(BS3,Справочная_двигатели,10,TRUE)),IF(AND(Методика="нормы 2026",FG3="Сил"),0.8,0.95)),0.95)))))</f>
        <v>0.82887953393719294</v>
      </c>
      <c r="CF3">
        <f t="shared" ref="CF3:CF66" si="20">IF(OR(TRIM(F3&amp;"")="гр",TRIM(F3&amp;"")="=",TRIM(F3&amp;"")="^",TRIM(F3&amp;"")="↑"),1,0)</f>
        <v>0</v>
      </c>
      <c r="CG3">
        <f t="shared" ref="CG3:CG66" si="21">IF(AND(B3&lt;&gt;"",CF3=0),1,0)</f>
        <v>1</v>
      </c>
      <c r="CH3">
        <f t="shared" ref="CH3:CH66" si="22">IF(B3="",0,IF(TRIM(F3&amp;"")="узо",1,0))</f>
        <v>0</v>
      </c>
      <c r="CI3">
        <f>IF(B3="","",IF(BV3=1,IFERROR(BS3/((Uн_лин/SQRT(3))*MAX(0.5,N(CE3))),0),N(O3)))</f>
        <v>482.46261025528872</v>
      </c>
      <c r="CJ3">
        <f t="shared" ref="CJ3:CJ66" si="23">IF(AND(A4=A3,AJ4&lt;&gt;"вручную",OR(B4="",CF4=1)),IF(B4="",0,N(CI4))+N(CJ4),0)</f>
        <v>0</v>
      </c>
      <c r="CK3">
        <f t="shared" ref="CK3:CK66" si="24">IF(AND(A4=A3,AJ4&lt;&gt;"вручную",OR(B4="",CF4=1)),IF(B4="",0,N(BS4))+N(CK4),0)</f>
        <v>0</v>
      </c>
      <c r="CL3">
        <f t="shared" ref="CL3:CL66" si="25">IF(AND(A4=A3,AJ4&lt;&gt;"вручную",OR(B4="",CF4=1)),MAX(IF(B4="",0,N(BX4)),N(CL4)),0)</f>
        <v>0</v>
      </c>
      <c r="CM3">
        <f t="shared" ref="CM3:CM66" si="26">IF(AND(A4=A3,AJ4&lt;&gt;"вручную",OR(B4="",CF4=1)),MAX(IF(B4="",0,N(DB4)),N(CM4)),0)</f>
        <v>0</v>
      </c>
      <c r="CN3">
        <f t="shared" ref="CN3:CN66" si="27">IF(AND(A4=A3,AJ4&lt;&gt;"вручную",OR(B4="",CF4=1)),_xlfn.LET(_xlpm.a_,IF(B4="",0,N(CZ4)),_xlpm.b_,N(CN4),IF(_xlpm.a_=0,_xlpm.b_,IF(_xlpm.b_=0,_xlpm.a_,MIN(_xlpm.a_,_xlpm.b_)))),0)</f>
        <v>0</v>
      </c>
      <c r="CO3">
        <f>IF(BC3="",0,_xlfn.LET(_xlpm.v,IFERROR(_xlfn.XLOOKUP(B3,Коды_код,Коды_мА),IFERROR(_xlfn.XLOOKUP(BC3,Коды_код,Коды_мА),IFERROR(_xlfn.XLOOKUP(LEFT(BC3,2),Коды_код,Коды_мА),""))),IF(_xlpm.v="да",30,IF(ISNUMBER(_xlpm.v),_xlpm.v,0))))</f>
        <v>0</v>
      </c>
      <c r="CP3" t="str">
        <f t="shared" ref="CP3:CP66" si="28">IF(B3="","",IF(N(CO3)&gt;0,CO3,""))</f>
        <v/>
      </c>
      <c r="CQ3" t="str">
        <f>_xlfn.LET(_xlpm.k,IFERROR(_xlfn.XLOOKUP(BC3,Коды_код,Коды_утечка)&amp;"",""),IF(_xlpm.k="","дифавтомат",_xlpm.k))</f>
        <v>дифавтомат</v>
      </c>
      <c r="CR3" t="str" cm="1">
        <f t="array" ref="CR3">IF(CG3=0,"",_xlfn.LET(_xlpm.sg,TRIM(_xlfn.TEXTSPLIT(DD3&amp;"",";")),_xlpm.f_,_xlfn._xlws.FILTER(_xlpm.sg,LEFT(_xlpm.sg,3)="УЗО",""),IFERROR(INDEX(_xlpm.f_,1)&amp;"","")))</f>
        <v/>
      </c>
      <c r="CS3" t="str">
        <f t="shared" ref="CS3:CS66" si="29">IF(B3="",IF(OR(OR(BA3=1,A3&lt;&gt;A2),AJ3="вручную"),"",IF(BA3=1,"",CS2)),IF(CG3=1,IF(CH3=1,IF(OR(BA3=1,A3&lt;&gt;A2),"",IF(BA3=1,"",CS2)),IF(CR3&lt;&gt;"",BA3,"")),IF(AND(NOT(OR(BA3=1,A3&lt;&gt;A2)),AJ3&lt;&gt;"вручную",IF(BA3=1,"",DS2)="ok"),IF(BA3=1,"",CS2),"")))</f>
        <v/>
      </c>
      <c r="CT3" s="6" t="str" cm="1">
        <f t="array" ref="CT3">IF(CR3="","",_xlfn.LET(_xlpm.tk,_xlfn.TEXTSPLIT(UPPER(CR3)," ",,TRUE),_xlpm.a_,_xlfn._xlws.FILTER(_xlpm.tk,ISNUMBER(--LEFT(_xlpm.tk,1))*((ISNUMBER(SEARCH("А",_xlpm.tk))+ISNUMBER(SEARCH("A",_xlpm.tk)))&gt;0)*NOT(ISNUMBER(SEARCH("МА",_xlpm.tk)))*NOT(ISNUMBER(SEARCH("MA",_xlpm.tk))),""),IFERROR(--SUBSTITUTE(SUBSTITUTE(INDEX(_xlpm.a_,1),"А",""),"A",""),"")))</f>
        <v/>
      </c>
      <c r="CU3" t="str" cm="1">
        <f t="array" ref="CU3">IF(CR3="","",_xlfn.LET(_xlpm.tk,_xlfn.TEXTSPLIT(UPPER(CR3)," ",,TRUE),_xlpm.a_,_xlfn._xlws.FILTER(_xlpm.tk,ISNUMBER(--LEFT(_xlpm.tk,1))*((ISNUMBER(SEARCH("МА",_xlpm.tk))+ISNUMBER(SEARCH("MA",_xlpm.tk)))&gt;0),""),IFERROR(--SUBSTITUTE(SUBSTITUTE(INDEX(_xlpm.a_,1),"МА",""),"MA",""),30)))</f>
        <v/>
      </c>
      <c r="CV3" t="str">
        <f>IF(CS3="","",IFERROR(_xlfn.XLOOKUP(CS3,Линии[_n],Линии[_УЗО, мА]),30))</f>
        <v/>
      </c>
      <c r="CW3">
        <f>IF(CS3="",0,IF(ISNUMBER(SEARCH("4P",IFERROR(_xlfn.XLOOKUP(CS3,Линии[_n],Линии[_УЗО строки])&amp;"",""))),0,1))</f>
        <v>0</v>
      </c>
      <c r="CX3" t="str">
        <f>IF(AND(CS3&lt;&gt;"",CS3=BA3),SUMIFS(Линии[_ток на 230 В],Линии[_блок УЗО],BA3,Линии[Щит],A3),"")</f>
        <v/>
      </c>
      <c r="CY3" t="str">
        <f>IF(AND(CS3&lt;&gt;"",CS3=BA3),SUMIFS(Линии[_ток утечки линии, мА],Линии[_блок УЗО],BA3,Линии[Щит],A3),"")</f>
        <v/>
      </c>
      <c r="CZ3">
        <f t="shared" ref="CZ3:CZ66" si="30">IF(B3="",0,_xlfn.LET(_xlpm.v,IF(TRIM(Y3&amp;"")="",CP3,Y3),_xlpm.nm,IF(_xlpm.v&amp;""="нет",0,IF(_xlpm.v&amp;""="да",30,IFERROR(--_xlpm.v,0))),IF(OR(CQ3="УЗО на группу",CS3&lt;&gt;""),0,_xlpm.nm)))</f>
        <v>0</v>
      </c>
      <c r="DA3">
        <f t="shared" ref="DA3:DA66" si="31">IF(CG3=0,"",_xlfn.LET(_xlpm.a_,N(CZ3),_xlpm.b_,IF(AJ3="вручную",0,N(CN3)),IF(_xlpm.a_=0,_xlpm.b_,IF(_xlpm.b_=0,_xlpm.a_,MIN(_xlpm.a_,_xlpm.b_)))))</f>
        <v>0</v>
      </c>
      <c r="DB3">
        <f>IF(B3="",0,IFERROR(--_xlfn.XLOOKUP(B3,Коды_код,Коды_минавт),IFERROR(--_xlfn.XLOOKUP(BC3,Коды_код,Коды_минавт),IFERROR(--_xlfn.XLOOKUP(LEFT(BC3,2),Коды_код,Коды_минавт),0))))</f>
        <v>0</v>
      </c>
      <c r="DC3" t="str">
        <f>IF(B3="","",IFERROR(_xlfn.XLOOKUP(BC3,Коды_код,Коды_апп)&amp;"",""))</f>
        <v/>
      </c>
      <c r="DD3" t="str">
        <f t="shared" ref="DD3:DD66" si="32">IF(TRIM(I3&amp;"")="",DC3,I3)</f>
        <v/>
      </c>
      <c r="DE3" t="str" cm="1">
        <f t="array" ref="DE3">IF(TRIM(DD3&amp;"")="","",IFERROR(TRIM(INDEX(_xlfn.TEXTSPLIT(DD3&amp;";;;",";"),1)),""))</f>
        <v/>
      </c>
      <c r="DF3" t="str" cm="1">
        <f t="array" ref="DF3">IF(TRIM(DD3&amp;"")="","",IFERROR(TRIM(INDEX(_xlfn.TEXTSPLIT(DD3&amp;";;;",";"),2)),""))</f>
        <v/>
      </c>
      <c r="DG3" t="str" cm="1">
        <f t="array" ref="DG3">IF(TRIM(DD3&amp;"")="","",IFERROR(TRIM(INDEX(_xlfn.TEXTSPLIT(DD3&amp;";;;",";"),3)),""))</f>
        <v/>
      </c>
      <c r="DH3">
        <f t="shared" ref="DH3:DH66" si="33">IF(DD3="",0,IF(OR(LEFT(DE3,2)="T ",LEFT(DE3,2)="Т ",ISNUMBER(SEARCH("БП",DD3)),ISNUMBER(SEARCH("; T ",DD3)),ISNUMBER(SEARCH("; Т ",DD3))),1,0))</f>
        <v>0</v>
      </c>
      <c r="DI3" t="str">
        <f>IF(B3="","",_xlfn.LET(_xlpm.t,LOWER(AZ3&amp;""),IF(ISNUMBER(SEARCH("dim",_xlpm.t)),"DIM",IF(ISNUMBER(SEARCH("dali",_xlpm.t)),"DALI",IF(OR(ISNUMBER(SEARCH("relay",_xlpm.t)),ISNUMBER(SEARCH("реле",_xlpm.t))),"Relay",IF(ISNUMBER(SEARCH("кнопк",_xlpm.t)),"",IFERROR(_xlfn.XLOOKUP(BC3,Коды_код,Коды_упр)&amp;"","")))))))</f>
        <v/>
      </c>
      <c r="DJ3" t="str">
        <f t="shared" ref="DJ3:DJ66" si="34">IF(TRIM(H3&amp;"")="",DI3,H3)</f>
        <v/>
      </c>
      <c r="DK3">
        <f>IF(B3="","",_xlfn.LET(_xlpm.ig,IF(N(CX3)&gt;0,N(CX3),N(CI3)+IF(AJ3="вручную",0,N(CJ3))),_xlpm.n0,IFERROR(VLOOKUP(_xlpm.ig,Автомат_номиналы,2,TRUE),0),_xlpm.mn,MAX(DB3,IF(AJ3="вручную",0,N(CM3))),MAX(_xlpm.n0,_xlpm.mn,IF(DH3=1,Мин_автомат_БП,0))))</f>
        <v>630</v>
      </c>
      <c r="DL3">
        <f t="shared" ref="DL3:DL66" si="35">IF(B3="","",MAX(N(BX3),IF(AJ3="вручную",0,N(CL3))))</f>
        <v>3</v>
      </c>
      <c r="DM3" t="str">
        <f t="shared" ref="DM3:DM66" si="36">IF(B3="","",IF(N(DL3)&gt;=3,IF(N(DA3)&gt;0,"4P","3P"),IF(N(DA3)&gt;0,"2P","1P")))</f>
        <v>3P</v>
      </c>
      <c r="DN3" t="str">
        <f>_xlfn.LET(_xlpm.cc,UPPER(TRIM(IFERROR(_xlfn.XLOOKUP(BC3,Коды_код,Коды_хар)&amp;"",""))),IF(OR(_xlpm.cc="B",_xlpm.cc="В"),"B",IF(_xlpm.cc="D","D","С")))</f>
        <v>С</v>
      </c>
      <c r="DO3" t="str">
        <f t="shared" ref="DO3:DO66" si="37">IF(B3="","",IF(CG3=0,IF(AND(AND(NOT(OR(BA3=1,A3&lt;&gt;A2)),AJ3&lt;&gt;"вручную",IF(BA3=1,"",DS2)="ok"),IF(BA3=1,"",DU2)&lt;&gt;""),"↑ "&amp;IF(BA3=1,"",DU2),""),IF(N(DK3)=0,"",DM3&amp;" "&amp;DN3&amp;DK3&amp;"А"&amp;IF(N(DA3)&gt;0," "&amp;DA3&amp;"мА",""))))</f>
        <v>3P С630А</v>
      </c>
      <c r="DP3" t="str">
        <f t="shared" ref="DP3:DP66" si="38">IF(TRIM(G3&amp;"")="",DO3,G3)</f>
        <v>3P С630А</v>
      </c>
      <c r="DQ3" t="str">
        <f t="shared" ref="DQ3:DQ66" si="39">IF(CG3=0,"",_xlfn.LET(_xlpm.v,TRIM(DP3&amp;""),IF(_xlpm.v="","",IF(ISNUMBER(--_xlpm.v),DM3&amp;" "&amp;DN3&amp;(--_xlpm.v)&amp;"А"&amp;IF(N(DA3)&gt;0," "&amp;DA3&amp;"мА",""),IF(ISNUMBER(SEARCH("P",UPPER(_xlpm.v))),_xlpm.v,DM3&amp;" "&amp;_xlpm.v)))))</f>
        <v>3P С630А</v>
      </c>
      <c r="DR3" cm="1">
        <f t="array" ref="DR3">IF(DQ3="","",_xlfn.LET(_xlpm.t,SUBSTITUTE(SUBSTITUTE(SUBSTITUTE(UPPER(DQ3),"С","C"),"А","A"),"В","B"),_xlpm.tk,_xlfn.TEXTSPLIT(_xlpm.t," "),_xlpm.f,_xlfn._xlws.FILTER(_xlpm.tk,ISNUMBER(--MID(_xlpm.tk,2,1))*ISNUMBER(SEARCH(LEFT(_xlpm.tk,1)&amp;"#","B#C#D#"))*(LEN(_xlpm.tk)&gt;1),""),_xlpm.x,INDEX(_xlpm.f,1),IFERROR(--SUBSTITUTE(MID(_xlpm.x,2,9),"A",""),IFERROR(--SUBSTITUTE(INDEX(_xlfn._xlws.FILTER(_xlpm.tk,ISNUMBER(--SUBSTITUTE(_xlpm.tk,"A","")),""),1),"A",""),""))))</f>
        <v>630</v>
      </c>
      <c r="DS3" t="str">
        <f t="shared" ref="DS3:DS66" si="40">IF(CG3=1,IF(AJ3="вручную","узел","ok"),IF(OR(OR(BA3=1,A3&lt;&gt;A2),AJ3="вручную"),"",IF(BA3=1,"",DS2)))</f>
        <v>ok</v>
      </c>
      <c r="DT3">
        <f t="shared" ref="DT3:DT66" si="41">IF(CG3=1,DR3,IF(AND(NOT(OR(BA3=1,A3&lt;&gt;A2)),AJ3&lt;&gt;"вручную",IF(BA3=1,"",DS2)="ok"),IF(BA3=1,"",DT2),""))</f>
        <v>630</v>
      </c>
      <c r="DU3" t="str">
        <f t="shared" ref="DU3:DU66" si="42">IF(CG3=1,DQ3,IF(AND(NOT(OR(BA3=1,A3&lt;&gt;A2)),AJ3&lt;&gt;"вручную",IF(BA3=1,"",DS2)="ok"),IF(BA3=1,"",DU2),""))</f>
        <v>3P С630А</v>
      </c>
      <c r="DV3">
        <f t="shared" ref="DV3:DV66" si="43">IF(CG3=1,DA3,IF(AND(NOT(OR(BA3=1,A3&lt;&gt;A2)),AJ3&lt;&gt;"вручную",IF(BA3=1,"",DS2)="ok"),IF(BA3=1,"",DV2),""))</f>
        <v>0</v>
      </c>
      <c r="DW3">
        <f t="shared" ref="DW3:DW66" si="44">IF(OR(N(DV3)&gt;0,CS3&lt;&gt;""),1,0)</f>
        <v>0</v>
      </c>
      <c r="DX3">
        <f t="shared" ref="DX3:DX66" si="45">IF(CG3=1,DH3,IF(AND(NOT(OR(BA3=1,A3&lt;&gt;A2)),AJ3&lt;&gt;"вручную",IF(BA3=1,"",DS2)="ok"),N(IF(BA3=1,"",DX2)),0))</f>
        <v>0</v>
      </c>
      <c r="DY3">
        <f t="shared" ref="DY3:DY66" si="46">IF(CG3=1,IF(N(CX3)&gt;0,N(CX3),N(CI3)+IF(AJ3="вручную",0,N(CJ3))),"")</f>
        <v>482.46261025528872</v>
      </c>
      <c r="DZ3">
        <f t="shared" ref="DZ3:DZ66" si="47">IF(N(CB3)=1,1,IF(BX3=1,1,IF(N(CB3)&gt;=4,0.92,1)))</f>
        <v>1</v>
      </c>
      <c r="EA3">
        <f>IF(ISNUMBER(AP3),AP3,К_прокл)</f>
        <v>1</v>
      </c>
      <c r="EB3">
        <f t="shared" ref="EB3:EB66" si="48">IF(N(CB3)=1,1,IF(BX3=1,2,3))</f>
        <v>3</v>
      </c>
      <c r="EC3">
        <f>IFERROR(N(VLOOKUP(BZ3,Кабель_обозначение,3,FALSE)),1)</f>
        <v>1</v>
      </c>
      <c r="ED3">
        <f>IFERROR(N(_xlfn.XLOOKUP(A3,Щиты[Щит],Щиты[ΔU до шин, %])),0)</f>
        <v>0</v>
      </c>
      <c r="EE3" t="str">
        <f>IFERROR(_xlfn.XLOOKUP(A3,Щиты[Щит],Щиты[Zпетли на шинах, Ом]),"")</f>
        <v/>
      </c>
      <c r="EF3">
        <f>IFERROR(N(_xlfn.XLOOKUP(A3,Щиты[Щит],Щиты[ΔU до шин (подбор), %])),0)</f>
        <v>0</v>
      </c>
      <c r="EG3" t="str">
        <f>IFERROR(_xlfn.XLOOKUP(A3,Щиты[Щит],Щиты[Zпетли на шинах (подбор), Ом]),"")</f>
        <v/>
      </c>
      <c r="EH3" t="str">
        <f t="shared" ref="EH3:EH66" si="49">IF(COUNT(AV3,AW3)=0,"",ROUNDUP(SUM(AV3,AW3),0))</f>
        <v/>
      </c>
      <c r="EI3" t="str">
        <f t="shared" ref="EI3:EI66" si="50">IF(TRIM(K3&amp;"")="",EH3,K3)</f>
        <v/>
      </c>
      <c r="EJ3">
        <f t="shared" ref="EJ3:EJ66" si="51">IF(BX3=1,2,IF(BX3=3,1,""))</f>
        <v>1</v>
      </c>
      <c r="EK3">
        <f t="shared" ref="EK3:EK66" si="52">IFERROR(ROUND(SIN(ACOS(CE3)),2),"")</f>
        <v>0.56000000000000005</v>
      </c>
      <c r="EL3" s="6">
        <f>IF(B3="","",IF(BV3=1,dU_LED,IF(IFERROR(_xlfn.XLOOKUP(BC3,Коды_код,Коды_уго),"")="Светильник",3,4)+IF(Методика="нормы 2026",MIN(0.5,MAX(0,N(P3)-100)*0.005),0)))</f>
        <v>4</v>
      </c>
      <c r="EM3" t="str" cm="1">
        <f t="array" ref="EM3">IF(OR(B3="",BZ3="",EC3&lt;&gt;1),"",_xlfn.LET(_xlpm.sz,Iдоп_S,_xlpm.t_,CHOOSE(EB3,Iдоп_1ж,Iдоп_2ж,Iдоп_3ж)*DZ3*EA3,_xlpm.dcx,BV3=1,_xlpm.inn,IF(_xlpm.dcx,N(O3),N(DT3)),_xlpm.smin,MAX(1.5,CC3),_xlpm.L_,N(P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N(BU3)*100,999),IFERROR(N(EJ3)*(_xlpm.rho*_xlpm.L_/_xlpm.sz*N(CE3)+_xlpm.xx*_xlpm.L_*N(EK3)/1000)*N(O3)/((Uн_лин/SQRT(3))*1000)*100,999)),_xlpm.kz,IF(OR(_xlpm.dcx,DW3=1,NOT(ISNUMBER(EG3)),_xlpm.L_=0,_xlpm.inn=0),1,IFERROR(--(c_min*(Uн_лин*1000/SQRT(3))/(EG3+2*ρкз_Cu*_xlpm.L_/_xlpm.sz)&gt;=HT3*_xlpm.inn),0)),_xlpm.ok,IFERROR((_xlpm.sz&gt;=_xlpm.smin)*(_xlpm.t_&gt;=_xlpm.inn)*IF(_xlpm.L_&gt;0,(_xlpm.du_+IF(_xlpm.dcx,0,EF3)&lt;=EL3+0.00001),1)*_xlpm.kz,0),_xlpm.r_,_xlfn._xlws.FILTER(_xlpm.sz,_xlpm.ok,"не подобрано"),INDEX(_xlpm.r_,1)))</f>
        <v/>
      </c>
      <c r="EN3" t="str">
        <f t="shared" ref="EN3:EN66" si="53">IF(B3="","",IF(TRIM(J3&amp;"")="",EM3,J3))</f>
        <v/>
      </c>
      <c r="EO3" t="str" cm="1">
        <f t="array" ref="EO3">IF(OR(B3="",BZ3="",EC3&lt;&gt;1),"",_xlfn.LET(_xlpm.sz,Iдоп_S,_xlpm.t_,CHOOSE(EB3,Iдоп_1ж,Iдоп_2ж,Iдоп_3ж)*DZ3*EA3,_xlpm.ok,IFERROR((_xlpm.sz&gt;=MAX(1.5,CC3))*(_xlpm.t_&gt;=N(DT3)),0),_xlpm.r_,_xlfn._xlws.FILTER(_xlpm.sz,_xlpm.ok,""),INDEX(_xlpm.r_,1)))</f>
        <v/>
      </c>
      <c r="EP3" s="6" t="str" cm="1">
        <f t="array" ref="EP3">IFERROR(ROUNDUP(N(EJ3)*(_xlfn.XLOOKUP(EO3,INDEX(Кабель_сопротивление,0,1),INDEX(Кабель_сопротивление,0,3))*N(P3)/EO3*N(CE3)+_xlfn.XLOOKUP(EO3,INDEX(Кабель_сопротивление,0,1),INDEX(Кабель_сопротивление,0,2))*N(P3)*N(EK3)/1000)*N(O3)/((Uн_лин/SQRT(3))*1000)*100,2),"")</f>
        <v/>
      </c>
      <c r="EQ3" t="str">
        <f>IFERROR(2*ρкз_Cu*N(P3)/EO3,"")</f>
        <v/>
      </c>
      <c r="ER3" t="str">
        <f>IFERROR(VLOOKUP(EN3,Кабель_сопротивление,3,FALSE),"")</f>
        <v/>
      </c>
      <c r="ES3" t="str">
        <f>IFERROR(VLOOKUP(EN3,Кабель_сопротивление,2,FALSE),"")</f>
        <v/>
      </c>
      <c r="ET3" t="str">
        <f t="shared" ref="ET3:ET66" si="54">IF(AR3&lt;&gt;"",AR3,IF(OR(EI3="",AT3=""),"",IF(AT3=1,MAX(0,P3-ROUNDUP(N(AW3),0)-4),ROUNDUP(N(AV3),0))))</f>
        <v/>
      </c>
      <c r="EU3" t="str">
        <f t="shared" ref="EU3:EU66" si="55">IF(AS3&lt;&gt;"",AS3,IF(OR(EI3="",AT3=""),"",IF(AT3=2,MAX(0,P3-ROUNDUP(N(AV3),0)-4),ROUNDUP(N(AW3),0))))</f>
        <v/>
      </c>
      <c r="EV3" t="str">
        <f t="shared" ref="EV3:EV66" si="56">IFERROR(IF(BV3=1,2*ER3*P3/EN3*O3,EJ3*(ER3*P3/EN3*CE3+ES3*P3*EK3/1000)*O3),"")</f>
        <v/>
      </c>
      <c r="EW3" s="6" t="str">
        <f>IFERROR(ROUNDUP(EV3/IF(BV3=1,BU3,(Uн_лин/SQRT(3))*1000)*100,2),"")</f>
        <v/>
      </c>
      <c r="EX3" t="str">
        <f>IFERROR(VLOOKUP(BZ3,Кабель_обозначение,2,FALSE),"")</f>
        <v/>
      </c>
      <c r="EY3" t="str">
        <f t="shared" ref="EY3:EY66" si="57">IFERROR(IF(EC3=1,IF(ISNUMBER(EN3),EX3&amp;" ("&amp;CB3&amp;"х"&amp;EN3&amp;")",EX3),EX3),"")</f>
        <v/>
      </c>
      <c r="EZ3" t="str">
        <f t="shared" ref="EZ3:EZ66" si="58">IF(OR(B3="",EX3="",AND(BR3&lt;&gt;"",NOT(ISNUMBER(BR3)))),"",IF(N(EN3)=0,EX3,EY3&amp;IF(N(P3)=0,"",CHAR(10)&amp;"L="&amp;P3&amp;"-"&amp;EW3&amp;"%")))</f>
        <v/>
      </c>
      <c r="FA3" t="str">
        <f>IFERROR(2*ρкз_Cu*P3/EN3,"")</f>
        <v/>
      </c>
      <c r="FB3" t="str">
        <f t="shared" ref="FB3:FB66" si="59">IFERROR(0.0175*N(P3)/EN3,"")</f>
        <v/>
      </c>
      <c r="FC3" s="6" t="str">
        <f>IFERROR(IF(OR(B3="",BV3=1,NOT(ISNUMBER(EN3)),N(P3)=0),"",_xlfn.XLOOKUP(A3,Щиты[Щит],Щиты[Zпетли на шинах, Ом])+FA3),"")</f>
        <v/>
      </c>
      <c r="FD3" s="6" t="str">
        <f>IF(ISNUMBER(FC3),c_min*(Uн_лин*1000/SQRT(3))/FC3,"")</f>
        <v/>
      </c>
      <c r="FE3" s="6" t="str">
        <f>IFERROR(IF(OR(B3="",NOT(ISNUMBER(EN3))),"",1.05*(Uн_лин*1000/SQRT(3))/(_xlfn.XLOOKUP(A3,Щиты[Щит],Щиты[Zmax на шинах, Ом])+FB3)/1000),"")</f>
        <v/>
      </c>
      <c r="FF3" s="6" t="str">
        <f>IF(B3="","",IF(ISNUMBER(AC3),"Сил",IF(IFERROR(_xlfn.XLOOKUP(BC3,Коды_код,Коды_группа)&amp;"","")="","Быт",_xlfn.XLOOKUP(BC3,Коды_код,Коды_группа)&amp;"")))</f>
        <v>Быт</v>
      </c>
      <c r="FG3" s="6" t="str">
        <f t="shared" ref="FG3:FG66" si="60">IF(B3="","",IF(BH3&lt;&gt;"","Щит",IF(TRIM(AB3&amp;"")="",FF3,AB3)))</f>
        <v>Нет</v>
      </c>
      <c r="FH3" s="6">
        <f>IF(FG3="Щит","щит",IF(FG3="","",IF(FG3="Быт",IFERROR(_xlfn.XLOOKUP(A3,Щиты[Щит],Щиты[Кс быт]),1),IF(FG3="Сил",IF(ISNUMBER(AC3),AC3,IF(Методика="нормы 2026",IFERROR(_xlfn.XLOOKUP(A3,Щиты[Щит],Щиты[Кс силовых (табл. 7.5)]),1),1)),IF(OR(FG3="Пост",FG3="Отоп"),1,IF(FG3="ВНГ",0.7,0))))))</f>
        <v>0</v>
      </c>
      <c r="FI3">
        <f>IF(FG3="","",IF(AND(BP3=1,TRIM(AE3&amp;"")=""),IF(COUNTIFS(Линии[Щит],A3,Линии[Секция (1/2/3)],"&gt;=2")&gt;0,MIN(3,MAX(1,IFERROR(--BD3,1))),1),IFERROR(MIN(3,MAX(1,INT(--AE3))),1)))</f>
        <v>1</v>
      </c>
      <c r="FJ3">
        <f t="shared" ref="FJ3:FJ66" si="61">IF(OR(FG3="",FG3="Нет",FG3="Щит"),0,N(BS3))</f>
        <v>0</v>
      </c>
      <c r="FK3">
        <f t="shared" ref="FK3:FK66" si="62">IF(FG3="Быт",N(BS3),0)</f>
        <v>0</v>
      </c>
      <c r="FL3">
        <f t="shared" ref="FL3:FL66" si="63">IF(FG3="Сил",N(BS3)*N(FH3),0)</f>
        <v>0</v>
      </c>
      <c r="FM3">
        <f t="shared" ref="FM3:FM66" si="64">IF(FG3="Пост",N(BS3),0)</f>
        <v>0</v>
      </c>
      <c r="FN3">
        <f t="shared" ref="FN3:FN66" si="65">IF(FG3="Отоп",N(BS3),0)</f>
        <v>0</v>
      </c>
      <c r="FO3">
        <f t="shared" ref="FO3:FO66" si="66">IF(FG3="ВНГ",N(BS3)*0.7,0)</f>
        <v>0</v>
      </c>
      <c r="FP3">
        <f t="shared" ref="FP3:FP66" si="67">IF(OR(B3="",FG3="Нет"),0,N(BS3))</f>
        <v>0</v>
      </c>
      <c r="FQ3">
        <f t="shared" ref="FQ3:FQ66" si="68">IF(OR(B3="",FG3="Щит",FG3="Нет"),0,N(BS3))</f>
        <v>0</v>
      </c>
      <c r="FR3">
        <f t="shared" ref="FR3:FR66" si="69">IF(OR(B3="",FG3="Щит",FG3="Нет"),0,N(BS3)*N(CE3))</f>
        <v>0</v>
      </c>
      <c r="FS3">
        <f>IF(CG3=1,IF(AND(CH3=1,CW3=1),0,IF(AND(CS3&lt;&gt;"",CS3=BA3,CW3=1),SUMIFS(Линии[_Р линии, кВт],Линии[_блок УЗО],BA3,Линии[Щит],A3),N(BS3)+IF(AJ3="вручную",0,N(CK3)))),0)</f>
        <v>526.28100000000018</v>
      </c>
      <c r="FT3" t="str">
        <f t="shared" ref="FT3:FT66" si="70">IF(B3="","",IF(_xlfn.ISFORMULA(L3),"",_xlfn.LET(_xlpm.v,UPPER(SUBSTITUTE(TRIM(L3&amp;"")," ","")),IF(_xlpm.v="","",IF(OR(_xlpm.v="1,2,3",_xlpm.v="L1,L2,L3",_xlpm.v="123",_xlpm.v="3Ф"),"L1,L2,L3",IF(OR(_xlpm.v="1",_xlpm.v="2",_xlpm.v="3"),"L"&amp;_xlpm.v,IF(OR(_xlpm.v="L1",_xlpm.v="L2",_xlpm.v="L3"),_xlpm.v,"")))))))</f>
        <v/>
      </c>
      <c r="FU3" t="str">
        <f>IF(B3="","",IF(CG3=0,IF(BA3=1,"",FW2),IF(AND(CH3=1,CW3=1,CS3&lt;&gt;""),IFERROR(_xlfn.XLOOKUP(CS3,Линии[_n],Линии[_фаза итог]),"L1"),IF(OR(N(DL3)&gt;=3,N(BX3)&gt;=3),"L1,L2,L3",IFERROR(_xlfn.TEXTBEFORE(_xlfn.TEXTAFTER(_xlfn.XLOOKUP(A3,Щиты[Щит],Щиты[_фазы авто]),";"&amp;BA3&amp;":"),";"),"L1")))))</f>
        <v>L1,L2,L3</v>
      </c>
      <c r="FV3" t="str">
        <f t="shared" ref="FV3:FV66" si="71">IF(B3="","",_xlfn.LET(_xlpm.v,UPPER(SUBSTITUTE(TRIM(L3&amp;"")," ","")),IF(_xlpm.v="",FU3,IF(OR(_xlpm.v="1,2,3",_xlpm.v="L1,L2,L3",_xlpm.v="123",_xlpm.v="3Ф"),"L1,L2,L3",IF(OR(_xlpm.v="1",_xlpm.v="2",_xlpm.v="3"),"L"&amp;_xlpm.v,IF(OR(_xlpm.v="L1",_xlpm.v="L2",_xlpm.v="L3"),_xlpm.v,IF(_xlpm.v="УПР","",_xlpm.v)))))))</f>
        <v>L1,L2,L3</v>
      </c>
      <c r="FW3" t="str">
        <f t="shared" ref="FW3:FW66" si="72">IF(CG3=1,FV3,IF(AND(NOT(OR(BA3=1,A3&lt;&gt;A2)),AJ3&lt;&gt;"вручную",IF(BA3=1,"",DS2)="ok"),IF(BA3=1,"",FW2),""))</f>
        <v>L1,L2,L3</v>
      </c>
      <c r="FX3" cm="1">
        <f t="array" ref="FX3">IFERROR(IF(CD3=2,_xlfn.IFS(BX3=3,VLOOKUP(BS3,Справочная_двигатели,3,FALSE),BX3=1,VLOOKUP(BS3,Справочная_двигатели,5,TRUE)),0),0)</f>
        <v>0</v>
      </c>
      <c r="FY3">
        <f>IFERROR(IF(CD3=3,VLOOKUP(BS3,Справочная_ЛЭД,2,TRUE),0),0)</f>
        <v>0</v>
      </c>
      <c r="FZ3" s="6">
        <f t="shared" ref="FZ3:FZ66" si="73">IF(B3="","",IF(FX3=0,FY3,FX3))</f>
        <v>0</v>
      </c>
      <c r="GA3" t="str">
        <f>IF(B3="","",IF(TRIM(AH3&amp;"")&lt;&gt;"",IF(LOWER(TRIM(AH3&amp;""))="да","да","нет"),IF(IFERROR(_xlfn.XLOOKUP(BC3,Коды_код,Коды_пожарная),"")="да","да","нет")))</f>
        <v>нет</v>
      </c>
      <c r="GB3" t="str">
        <f t="shared" ref="GB3:GB66" si="74">IF(AF3&lt;&gt;"",AF3,IF(CG3=1,"",IF(GU3="","",IF(BA3=1,"",GB2))))</f>
        <v/>
      </c>
      <c r="GC3" t="str">
        <f t="shared" ref="GC3:GC66" si="75">IF(B3="","",IF(GB3="","основная",GB3))</f>
        <v>основная</v>
      </c>
      <c r="GD3">
        <f>IF(AND(BP3=1,TRIM(AE3&amp;"")=""),IF(COUNTIFS(Линии[Щит],A3,Линии[Секция (1/2/3)],"&gt;=2")&gt;0,MIN(3,MAX(1,IFERROR(--BD3,1))),1),IFERROR(MIN(3,MAX(1,INT(--AE3))),1))</f>
        <v>1</v>
      </c>
      <c r="GE3" t="str" cm="1">
        <f t="array" ref="GE3">IF(B3="","",_xlfn.LET(_xlpm.t,IFERROR(_xlfn.XLOOKUP(1,(Шины[Шина]=GC3)*(((Шины[Щит]=A3)+(Шины[Щит]=""))&gt;0),Шины[Тип]),"")&amp;"",IF(_xlpm.t&lt;&gt;"",_xlpm.t,IF(ISNUMBER(SEARCH("ИБП",GC3)),"ИБП",IF(ISNUMBER(SEARCH("ДГУ",GC3)),"ДГУ","Ввод "&amp;GD3)))))</f>
        <v>Ввод 1</v>
      </c>
      <c r="GF3" t="str">
        <f t="shared" ref="GF3:GF66" si="76">IF(B3="","",IF(OR(GE3="ИБП",GE3="ДГУ"),GE3,IF(LEFT(GE3,5)="Ввод ",GE3,"Ввод "&amp;GD3)))</f>
        <v>Ввод 1</v>
      </c>
      <c r="GG3" t="str">
        <f>IF(BP3=0,"",IF(TRIM(AG3&amp;"")&lt;&gt;"",TRIM(AG3&amp;""),IF(OR(GE3="ИБП",GE3="ДГУ"),"I особая",_xlfn.XLOOKUP(A3,Щиты[Щит],Щиты[Категория шины «Ввод»],"III"))))</f>
        <v>I</v>
      </c>
      <c r="GH3" t="str">
        <f>IF(A3="","",_xlfn.XLOOKUP(A3,Щиты[Щит],Щиты[Путь],""))</f>
        <v>|ГРЩ-ЖД|</v>
      </c>
      <c r="GI3" t="str">
        <f>IF(B3="","",IF(AI3&lt;&gt;"",AI3,IF(IFERROR(_xlfn.XLOOKUP(BC3,Коды_код,Коды_вид)&amp;"","")="","Прочее",_xlfn.XLOOKUP(BC3,Коды_код,Коды_вид)&amp;"")))</f>
        <v>Прочее</v>
      </c>
      <c r="GJ3">
        <f>IF(BM3="","",INT((BM3-1)/Столбцов_на_лист)+1)</f>
        <v>1</v>
      </c>
      <c r="GK3" t="str">
        <f t="shared" ref="GK3:GK66" si="77">IF(B3="","",SUBSTITUTE(EZ3,CHAR(10)," "))</f>
        <v/>
      </c>
      <c r="GL3">
        <f t="shared" ref="GL3:GL66" si="78">IF(B3="","",IFERROR(--BS3,""))</f>
        <v>526.28100000000018</v>
      </c>
      <c r="GM3">
        <f t="shared" ref="GM3:GM66" si="79">IF(B3="","",IFERROR(ROUNDUP(O3,2),""))</f>
        <v>482.46999999999997</v>
      </c>
      <c r="GN3">
        <f t="shared" ref="GN3:GN66" si="80">IF(B3="","",IFERROR(--BX3,1))</f>
        <v>3</v>
      </c>
      <c r="GO3">
        <f t="shared" ref="GO3:GO66" si="81">IF(OR(AL3="+",AND(B3&lt;&gt;"",B3=IF(BA3=1,"",B2))),1,0)</f>
        <v>0</v>
      </c>
      <c r="GP3">
        <f t="shared" ref="GP3:GP66" si="82">IF(OR(BM3="",AJ3="вручную",AND(BN3="вводной узел",AJ3&lt;&gt;"рисовать")),0,1)</f>
        <v>0</v>
      </c>
      <c r="GQ3" t="str">
        <f>IF(BM3="","",IF(AND(CG3=1,GP3=1),COUNTIFS(A$3:A3,A3,CG$3:CG3,1,GP$3:GP3,1),IF(OR(OR(BA3=1,A3&lt;&gt;A2),AJ3="вручную",GP3=0),"",IF(BA3=1,"",GR2))))</f>
        <v/>
      </c>
      <c r="GR3" t="str">
        <f t="shared" ref="GR3:GR66" si="83">IF(BM3="",IF(OR(BA3=1,A3&lt;&gt;A2),"",IF(BA3=1,"",GR2)),GQ3)</f>
        <v/>
      </c>
      <c r="GS3" t="str">
        <f>IF(B3="","",IFERROR(LOOKUP(INDEX(CHOOSE(EB3,Iдоп_1ж,Iдоп_2ж,Iдоп_3ж),MATCH(EN3,Iдоп_S,0))*DZ3*EA3,{6,10,16,20,25,32,40,50,63,80,100,125,160,200,250,315,400,500,630}),""))</f>
        <v/>
      </c>
      <c r="GT3" t="str">
        <f t="shared" ref="GT3:GT66" si="84">IF(AND(CG3=1,GP3=1,GQ3&lt;&gt;""),IF(N(DA3)&gt;0,"QFD","QF")&amp;GQ3,"")</f>
        <v/>
      </c>
      <c r="GU3" t="str">
        <f t="shared" ref="GU3:GU66" si="85">IF(GT3&lt;&gt;"",GT3,IF(OR(OR(BA3=1,A3&lt;&gt;A2),AJ3="вручную"),"",IF(BA3=1,"",GU2)))</f>
        <v/>
      </c>
      <c r="GV3" t="str">
        <f t="shared" ref="GV3:GV66" si="86">IF(GT3&lt;&gt;"",_xlfn.TEXTJOIN(" → ",TRUE,DE3,DF3,DG3),IF(GU3="","",IF(BA3=1,"",GV2)))</f>
        <v/>
      </c>
      <c r="GW3">
        <f t="shared" ref="GW3:GW66" si="87">IF(GV3="",0,IF(OR(LEFT(GV3,2)="T ",LEFT(GV3,2)="Т ",ISNUMBER(SEARCH("→ T ",GV3)),ISNUMBER(SEARCH("→ Т ",GV3)),ISNUMBER(SEARCH("БП",GV3))),1,0))</f>
        <v>0</v>
      </c>
      <c r="GX3" t="str">
        <f>IF(OR(B3="",DJ3=""),"",IFERROR(_xlfn.XLOOKUP(DJ3,Модули_умолч[Управление],Модули_умолч[Модель])&amp;"",""))</f>
        <v/>
      </c>
      <c r="GY3">
        <f>IF(DJ3="",1,IFERROR(MAX(0,N(_xlfn.XLOOKUP(DJ3,Модули_умолч[Управление],Модули_умолч[Каналов на линию]))),1))</f>
        <v>1</v>
      </c>
      <c r="GZ3" t="str">
        <f t="shared" ref="GZ3:GZ66" si="88">IF(_xlfn.ISFORMULA(AK3),"",TRIM(AK3&amp;""))</f>
        <v/>
      </c>
      <c r="HA3" t="str">
        <f t="shared" ref="HA3:HA66" si="89">IF(GZ3="-","",IF(GZ3&lt;&gt;"","M",IF(AND(NOT(OR(BA3=1,A3&lt;&gt;A2)),IF(BA3=1,"",HA2)="M"),"M",IF(GX3&lt;&gt;"","A",IF(AND(NOT(OR(BA3=1,A3&lt;&gt;A2)),IF(BA3=1,"",HA2)="A",B3="",OR(AL3="р",AL3="+",AL3="=")),"A","")))))</f>
        <v/>
      </c>
      <c r="HB3" t="str">
        <f t="shared" ref="HB3:HB66" si="90">IF(HA3="A",IF(GX3&lt;&gt;"",GX3,IF(BA3=1,"",HB2)),"")</f>
        <v/>
      </c>
      <c r="HC3">
        <f>IF(HB3="",0,IFERROR(N(VLOOKUP(HB3,Модули_спр,3,FALSE)),0))</f>
        <v>0</v>
      </c>
      <c r="HD3" t="str">
        <f t="shared" ref="HD3:HD66" si="91">IF(HA3="A",IF(OR(OR(BA3=1,A3&lt;&gt;A2),IF(BA3=1,"",HA2)&lt;&gt;"A",IF(BA3=1,"",HB2)&lt;&gt;HB3,AND(HC3&gt;0,GY3&gt;0,N(IF(BA3=1,"",HK2))+GY3&gt;HC3)),HB3,""),IF(AND(HA3="",NOT(OR(BA3=1,A3&lt;&gt;A2)),IF(BA3=1,"",HA2)="A",GZ3=""),"-",""))</f>
        <v/>
      </c>
      <c r="HE3" t="str">
        <f t="shared" ref="HE3:HE66" si="92">IF(GZ3&lt;&gt;"",GZ3,HD3)</f>
        <v/>
      </c>
      <c r="HF3" t="str">
        <f>IF(OR(HE3="",HE3="-"),"",IFERROR(VLOOKUP(HE3,Модули_спр,2,FALSE),"R"))</f>
        <v/>
      </c>
      <c r="HG3" t="str">
        <f>IF(HF3="","",HF3&amp;"."&amp;COUNTIFS(A$3:A3,A3,HF$3:HF3,HF3))</f>
        <v/>
      </c>
      <c r="HH3" t="str">
        <f t="shared" ref="HH3:HH66" si="93">IF(HE3="-","",IF(HG3&lt;&gt;"",HG3,IF(OR(BA3=1,A3&lt;&gt;A2),"",IF(BA3=1,"",HH2))))</f>
        <v/>
      </c>
      <c r="HI3" t="str">
        <f t="shared" ref="HI3:HI66" si="94">IF(HH3="","",IF(AND(HE3&lt;&gt;"",HE3&lt;&gt;"-"),HE3,IF(BA3=1,"",HI2)))</f>
        <v/>
      </c>
      <c r="HJ3" t="str">
        <f t="shared" ref="HJ3:HJ66" si="95">IF(AL3="=",IF(BA3=1,"",HK2),IF(ISNUMBER(AL3),AL3,IF(HH3="","",IF(OR(B3&lt;&gt;"",AL3="+",AL3="р"),IF(OR(HG3&lt;&gt;"",IF(BA3=1,"",HK2)=""),1,IF(BA3=1,"",HK2)+IF(GY3=0,0,1)),""))))</f>
        <v/>
      </c>
      <c r="HK3" t="str">
        <f t="shared" ref="HK3:HK66" si="96">IF(HJ3&lt;&gt;"",MAX(HJ3,HJ3+GY3-1),IF(OR(OR(BA3=1,A3&lt;&gt;A2),HE3="-",HG3&lt;&gt;""),"",IF(BA3=1,"",HK2)))</f>
        <v/>
      </c>
      <c r="HL3">
        <f t="shared" ref="HL3:HL66" si="97">IF(OR(AL3="б/к",AJ3="вручную"),0,IF(OR(EZ3&lt;&gt;"",AL3="+",AL3="="),1,0))</f>
        <v>0</v>
      </c>
      <c r="HM3" t="str">
        <f>IF(HL3=1,"XT"&amp;COUNTIFS(A$3:A3,A3,HL$3:HL3,1),"")</f>
        <v/>
      </c>
      <c r="HN3" t="str">
        <f t="shared" ref="HN3:HN66" si="98">_xlfn.LET(_xlpm.v,TRIM(M3&amp;""),IF(_xlpm.v="нет","",IF(_xlpm.v="",HM3,_xlpm.v)))</f>
        <v/>
      </c>
      <c r="HO3" t="str">
        <f t="shared" ref="HO3:HO66" si="99">IF(OR(B3&lt;&gt;"",HJ3&lt;&gt;"",HL3=1),GU3,"")</f>
        <v/>
      </c>
      <c r="HP3" t="str">
        <f t="shared" ref="HP3:HP66" si="100">IF(OR(HJ3&lt;&gt;"",AND(HE3&lt;&gt;"",HE3&lt;&gt;"-")),HH3,"")</f>
        <v/>
      </c>
      <c r="HQ3" t="str">
        <f t="shared" ref="HQ3:HQ66" si="101">IF(B3="","",IF(AND(CG3=1,DQ3&lt;&gt;"",DR3=""),"номинал автомата не распознан",IF(DT3="",IF(CF3=1,"«гр»: нет автомата выше",""),IF(AND(CG3=1,N(DY3)&gt;N(DT3)),"ПЕРЕГРУЗ",IF(AND(N(DX3)=0,ISNUMBER(GS3),N(GS3)&lt;N(DT3)),"КАБЕЛЬ НЕ ЗАЩИЩЁН","ok")))))</f>
        <v>ok</v>
      </c>
      <c r="HR3" t="str">
        <f>IF(OR(HJ3="",HH3=""),"",IF(HJ3+MAX(0,GY3-1)&gt;IFERROR(VLOOKUP(HI3,Модули_спр,3,FALSE),99),"ЛИШНИЙ КАНАЛ",IF(AND(AL3&lt;&gt;"=",GY3&gt;0,COUNTIFS(Линии[_модуль гр.],HH3,Линии[Канал (итог)],HJ3,Линии[Канал],"&lt;&gt;=",Линии[Щит],A3)&gt;1),"ДУБЛЬ КАНАЛА","")))</f>
        <v/>
      </c>
      <c r="HS3" s="6" t="str">
        <f t="shared" ref="HS3:HS66" si="102">IFERROR(IF(ISNUMBER(FD3),FD3/N(DT3),""),"")</f>
        <v/>
      </c>
      <c r="HT3">
        <f t="shared" ref="HT3:HT66" si="103">IF(OR(ISNUMBER(SEARCH(" B"," "&amp;DU3)),ISNUMBER(SEARCH(" В"," "&amp;DU3))),5,IF(ISNUMBER(SEARCH(" D"," "&amp;DU3)),20,10))</f>
        <v>10</v>
      </c>
      <c r="HU3" t="str">
        <f t="shared" ref="HU3:HU66" si="104">IF(NOT(ISNUMBER(HS3)),"",IF(HS3&gt;=HT3,"ok",IF(N(DW3)=1,"ok (дифзащита "&amp;IF(CS3&lt;&gt;"",CV3,DV3)&amp;" мА)","мало: Iкз &lt; "&amp;HT3&amp;"·In")))</f>
        <v/>
      </c>
      <c r="HV3">
        <f t="shared" ref="HV3:HV66" si="105">IF(OR(B3="",BH3&lt;&gt;"",BP3=1),0,0.4*N(CI3)+IF(BV3=1,0,0.01*N(P3)))</f>
        <v>0</v>
      </c>
      <c r="HW3">
        <f t="shared" ref="HW3:HW66" si="106">IF(AND(A4=A3,AJ4&lt;&gt;"вручную",OR(B4="",CF4=1)),IF(B4="",0,N(HV4))+N(HW4),0)</f>
        <v>0</v>
      </c>
      <c r="HX3">
        <f t="shared" ref="HX3:HX66" si="107">IF(BV3=1,N(BU3)+N(EV3),0)</f>
        <v>0</v>
      </c>
      <c r="HY3">
        <f t="shared" ref="HY3:HY66" si="108">IF(BV3=1,(N(BU3)+N(EV3))*N(O3),0)</f>
        <v>0</v>
      </c>
      <c r="HZ3">
        <f t="shared" ref="HZ3:HZ66" si="109">IF(AND(A4=A3,AJ4&lt;&gt;"вручную",OR(B4="",CF4=1)),IF(B4="",0,N(HY4))+N(HZ4),0)</f>
        <v>0</v>
      </c>
      <c r="IA3">
        <f t="shared" ref="IA3:IA66" si="110">IF(AND(A4=A3,AJ4&lt;&gt;"вручную",OR(B4="",CF4=1)),MAX(IF(B4="",0,N(HX4)),N(IA4)),0)</f>
        <v>0</v>
      </c>
      <c r="IB3">
        <f t="shared" ref="IB3:IB66" si="111">IF(AND(A4=A3,AJ4&lt;&gt;"вручную",OR(B4="",CF4=1)),IF(B4="",0,N(BV4))+N(IB4),0)</f>
        <v>0</v>
      </c>
      <c r="IC3" t="str">
        <f t="shared" ref="IC3:IC66" si="112">IF(CG3=0,"",IFERROR(TRIM(MID(DD3,SEARCH("БП",DD3),40)),""))</f>
        <v/>
      </c>
      <c r="ID3" t="str" cm="1">
        <f t="array" ref="ID3">IF(IC3="","",_xlfn.LET(_xlpm.tk,_xlfn.TEXTSPLIT(SUBSTITUTE(SUBSTITUTE(IC3,";"," "),"→"," ")," ",,TRUE),_xlpm.w_,_xlfn._xlws.FILTER(_xlpm.tk,ISNUMBER(--LEFT(_xlpm.tk,1))*((ISNUMBER(SEARCH("W",_xlpm.tk))+ISNUMBER(SEARCH("Вт",_xlpm.tk)))&gt;0),""),IFERROR(--SUBSTITUTE(SUBSTITUTE(UPPER(INDEX(_xlpm.w_,1)),"W",""),"ВТ",""),"")))</f>
        <v/>
      </c>
      <c r="IE3" t="str" cm="1">
        <f t="array" ref="IE3">IF(IC3="","",_xlfn.LET(_xlpm.tk,_xlfn.TEXTSPLIT(SUBSTITUTE(SUBSTITUTE(IC3,";"," "),"→"," ")," ",,TRUE),_xlpm.v_,_xlfn._xlws.FILTER(_xlpm.tk,ISNUMBER(--LEFT(_xlpm.tk,1))*((ISNUMBER(SEARCH("V",_xlpm.tk))+(RIGHT(UPPER(_xlpm.tk))="В"))&gt;0),""),IFERROR(--SUBSTITUTE(SUBSTITUTE(UPPER(INDEX(_xlpm.v_,1)),"V",""),"В",""),"")))</f>
        <v/>
      </c>
      <c r="IF3" s="6" t="str">
        <f>IF(OR(BV3=0,HI3="",HJ3=""),"",IFERROR(N(_xlfn.XLOOKUP(HI3,Каталог!$C$4:$C$500,Каталог!$Q$4:$Q$500)),""))</f>
        <v/>
      </c>
      <c r="IG3" s="6" t="str">
        <f>IF(N(IF3)=0,"",SUMIFS(Линии[Iр, А],Линии[Щит],A3,Линии[_модуль гр.],HH3,Линии[Канал (итог)],HJ3))</f>
        <v/>
      </c>
      <c r="IH3" t="str">
        <f>IF(AND(B3="",HO3=""),"",_xlfn.TEXTJOIN("; ",TRUE,IF(AND(B3&lt;&gt;"",FV3=""),"нет фазы",""),IF(AND(B3&lt;&gt;"",N(GL3)=0,FG3&lt;&gt;"Нет"),"нет мощности",""),IF(AND(HN3&lt;&gt;"",COUNTIFS(Линии[Щит],A3,Линии[Клемма (итог)],HN3)&gt;1),"дубль клеммы "&amp;HN3,""),IF(AND(HQ3&lt;&gt;"",HQ3&lt;&gt;"ok"),HQ3,""),IF(HR3&lt;&gt;"",HR3,""),IF(AND(N(CB3)&gt;=4,N(BX3)=1),CB3&amp;" жил на 1 фазе",""),IF(AND(BC3="R",CG3=1,IF(CS3&lt;&gt;"",N(CV3)&gt;30,OR(N(DA3)=0,N(DA3)&gt;30))),"розетка без дифзащиты до 30 мА",""),IF(AND(CG3=1,N(DA3)&gt;0,ISNUMBER(T3)),IF(T3&gt;N(DA3)/3,"ток утечки "&amp;FIXED(T3,1)&amp;" мА &gt; 1/3 уставки ("&amp;DA3&amp;" мА)",""),""),IF(AND(CH3=1,CS3=""),"«узо»: нет строки с УЗО выше (УЗО 2P 40А 30мА в «Аппаратах»)",""),IF(AND(CS3&lt;&gt;"",CS3=BA3),IF(CT3="","впишите номинал УЗО (УЗО 2P 40А 30мА)",IF(N(CT3)&lt;N(DT3),"УЗО "&amp;CT3&amp;" А &lt; автомата "&amp;DT3&amp;" А перед ним",IF(N(CT3)&lt;N(CX3),"УЗО "&amp;CT3&amp;" А &lt; тока блока "&amp;FIXED(CX3,1)&amp;" А",""))),""),IF(AND(CS3&lt;&gt;"",CS3=BA3,ISNUMBER(CY3)),IF(CY3&gt;N(CV3)/3,"ток утечки блока УЗО "&amp;FIXED(CY3,1)&amp;" мА &gt; 1/3 уставки ("&amp;CV3&amp;" мА)",""),""),IF(AND(CG3=1,N(BV3)+N(IB3)&gt;0,IC3=""),"линии до 50 В без БП: впишите в «Аппараты» (БП 24V 480W)",""),IF(AND(CG3=1,ISNUMBER(ID3),ISNUMBER(U3)),IF(U3&gt;ID3,"БП "&amp;ID3&amp;" Вт &lt; нужно "&amp;U3&amp;" Вт (×"&amp;Запас_БП&amp;")",""),""),IF(AND(CG3=1,ISNUMBER(IE3),N(BV3)=1),IF(IE3&lt;&gt;N(BU3),"БП на "&amp;IE3&amp;" В, линия "&amp;BU3&amp;" В",""),""),IF(AND(N(IF3)&gt;0,N(IG3)&gt;N(IF3)),HH3&amp;" канал "&amp;HJ3&amp;": "&amp;FIXED(IG3,1)&amp;" А &gt; "&amp;IF3&amp;" А",""),IFERROR(IF(AND(ISNUMBER(Q3),Q3&gt;EL3),"потери "&amp;FIXED(Q3,1)&amp;" % &gt; "&amp;EL3&amp;" %",""),""),IFERROR(IF(LEFT(HU3,4)="мало","Iкз мало — отключение &gt; 0,4 с",""),""),IF(AND(B3&lt;&gt;"",BM3=""),"не на схеме",""),IF(AND(CG3=0,B3&lt;&gt;"",FV3&lt;&gt;"",IF(BA3=1,"",FW2)&lt;&gt;"",FV3&lt;&gt;IF(BA3=1,"",FW2)),"фаза не как у автомата группы ("&amp;IF(BA3=1,"",FW2)&amp;")","")))</f>
        <v/>
      </c>
      <c r="II3" s="6" t="str">
        <f>IF(OR(CG3=0,DQ3=""),"",_xlfn.LET(_xlpm.t,IFERROR(_xlfn.XLOOKUP(DQ3,Каталог!$U$4:$U$500,Каталог!$G$4:$G$500),""),_xlpm.k,SEARCH("кА",_xlpm.t),IFERROR(--TRIM(RIGHT(SUBSTITUTE(MID(_xlpm.t,MAX(1,_xlpm.k-4),_xlpm.k-MAX(1,_xlpm.k-4))," ",REPT(" ",9)),5)),"")))</f>
        <v/>
      </c>
      <c r="IJ3" t="str">
        <f>IF(OR(II3="",CG3=0),"",IF(_xlfn.XLOOKUP(A3,Щиты[Щит],Щиты[Iкз max на шинах, кА],"")="","",IF(II3&lt;_xlfn.XLOOKUP(A3,Щиты[Щит],Щиты[Iкз max на шинах, кА]),"Icu "&amp;II3&amp;" кА &lt; Iкз max","ok")))</f>
        <v/>
      </c>
      <c r="IK3" t="str">
        <f t="shared" ref="IK3:IK66" si="113">IF(OR(AND(BA3&gt;1,N(BA2)&lt;&gt;BA3-1),AND(BA4&lt;&gt;"",N(BA4)&lt;&gt;BA3+1)),"строки сдвинуты (вставка или удаление) — нажмите «Починить формулы»","")</f>
        <v/>
      </c>
      <c r="IL3" t="str">
        <f t="shared" ref="IL3:IL66" si="114">IF(OR(AJ3="вручную",BM3="",AND(B3="",HN3="")),"",_xlfn.TEXTJOIN("|",TRUE,GU3,SUBSTITUTE(GV3," → ","|"),IF(HH3&lt;&gt;"",HH3&amp;IF(HJ3&lt;&gt;""," к."&amp;HJ3,""),""),HN3))</f>
        <v/>
      </c>
      <c r="IM3" t="str">
        <f t="shared" ref="IM3:IM66" si="115">IF(IL3="","",IL3&amp;IF(B3&lt;&gt;"","|кабель "&amp;EY3&amp;" → "&amp;BJ3,""))</f>
        <v/>
      </c>
      <c r="IN3" t="str" cm="1">
        <f t="array" ref="IN3">IF(IM3="","",_xlfn.LET(_xlpm.nd,_xlfn.TEXTSPLIT(IM3,"|"),IF(COLUMNS(_xlpm.nd)&gt;1,A3&amp;"¦"&amp;INDEX(_xlpm.nd,1)&amp;"¦"&amp;INDEX(_xlpm.nd,2),"")))</f>
        <v/>
      </c>
      <c r="IO3" t="str">
        <f t="shared" ref="IO3:IO66" si="116">IF(IN3="","",B3&amp;"¦"&amp;BJ3)</f>
        <v/>
      </c>
      <c r="IP3" t="str" cm="1">
        <f t="array" ref="IP3">IF(IM3="","",_xlfn.LET(_xlpm.nd,_xlfn.TEXTSPLIT(IM3,"|"),IF(COLUMNS(_xlpm.nd)&gt;2,A3&amp;"¦"&amp;INDEX(_xlpm.nd,2)&amp;"¦"&amp;INDEX(_xlpm.nd,3),"")))</f>
        <v/>
      </c>
      <c r="IQ3" t="str">
        <f t="shared" ref="IQ3:IQ66" si="117">IF(IP3="","",B3&amp;"¦"&amp;BJ3)</f>
        <v/>
      </c>
      <c r="IR3" t="str" cm="1">
        <f t="array" ref="IR3">IF(IM3="","",_xlfn.LET(_xlpm.nd,_xlfn.TEXTSPLIT(IM3,"|"),IF(COLUMNS(_xlpm.nd)&gt;3,A3&amp;"¦"&amp;INDEX(_xlpm.nd,3)&amp;"¦"&amp;INDEX(_xlpm.nd,4),"")))</f>
        <v/>
      </c>
      <c r="IS3" t="str">
        <f t="shared" ref="IS3:IS66" si="118">IF(IR3="","",B3&amp;"¦"&amp;BJ3)</f>
        <v/>
      </c>
      <c r="IT3" t="str" cm="1">
        <f t="array" ref="IT3">IF(IM3="","",_xlfn.LET(_xlpm.nd,_xlfn.TEXTSPLIT(IM3,"|"),IF(COLUMNS(_xlpm.nd)&gt;4,A3&amp;"¦"&amp;INDEX(_xlpm.nd,4)&amp;"¦"&amp;INDEX(_xlpm.nd,5),"")))</f>
        <v/>
      </c>
      <c r="IU3" t="str">
        <f t="shared" ref="IU3:IU66" si="119">IF(IT3="","",B3&amp;"¦"&amp;BJ3)</f>
        <v/>
      </c>
      <c r="IV3" t="str" cm="1">
        <f t="array" ref="IV3">IF(IM3="","",_xlfn.LET(_xlpm.nd,_xlfn.TEXTSPLIT(IM3,"|"),IF(COLUMNS(_xlpm.nd)&gt;5,A3&amp;"¦"&amp;INDEX(_xlpm.nd,5)&amp;"¦"&amp;INDEX(_xlpm.nd,6),"")))</f>
        <v/>
      </c>
      <c r="IW3" t="str">
        <f t="shared" ref="IW3:IW66" si="120">IF(IV3="","",B3&amp;"¦"&amp;BJ3)</f>
        <v/>
      </c>
      <c r="IX3" t="str" cm="1">
        <f t="array" ref="IX3">IF(IM3="","",_xlfn.LET(_xlpm.nd,_xlfn.TEXTSPLIT(IM3,"|"),IF(COLUMNS(_xlpm.nd)&gt;6,A3&amp;"¦"&amp;INDEX(_xlpm.nd,6)&amp;"¦"&amp;INDEX(_xlpm.nd,7),"")))</f>
        <v/>
      </c>
      <c r="IY3" t="str">
        <f t="shared" ref="IY3:IY66" si="121">IF(IX3="","",B3&amp;"¦"&amp;BJ3)</f>
        <v/>
      </c>
      <c r="IZ3" t="str">
        <f t="shared" ref="IZ3:IZ66" si="122">IF(HP3="","",HI3)</f>
        <v/>
      </c>
      <c r="JA3" t="str">
        <f t="shared" ref="JA3:JA66" si="123">IF(AND(B3="",HJ3="",HN3=""),"",_xlfn.TEXTJOIN(" → ",TRUE,GU3,GV3,IF(HH3&lt;&gt;"",HH3&amp;IF(HJ3&lt;&gt;""," к."&amp;HJ3,""),IF(HJ3&lt;&gt;"","к."&amp;HJ3,"")),HN3,IF(GO3=1,"(в кабель выше)","")))</f>
        <v/>
      </c>
      <c r="JB3">
        <f t="shared" ref="JB3:JB66" si="124">IF(AF3="",0,1)</f>
        <v>0</v>
      </c>
      <c r="JC3">
        <f t="shared" ref="JC3:JC66" si="125">IF(GT3="",0,IF(LEFT(GT3,3)="QFD",1,0))</f>
        <v>0</v>
      </c>
      <c r="JD3" t="str">
        <f t="shared" ref="JD3:JD66" si="126">IF(AL3="=","=",IF(AL3="+","+",IF(AL3="р","R","")))</f>
        <v/>
      </c>
      <c r="JE3" t="str">
        <f t="shared" ref="JE3:JE66" si="127">IF(DE3="","",IF(OR(LEFT(DE3,1)="T",LEFT(DE3,1)="Т"),"T",IF(LEFT(UPPER(DE3),2)="БП","PS",IF(OR(LEFT(UPPER(DE3),2)="МК",LEFT(UPPER(DE3),2)="MK"),"MK",IF(OR(LEFT(UPPER(DE3),2)="КМ",LEFT(UPPER(DE3),2)="KM"),"KM","X")))))</f>
        <v/>
      </c>
      <c r="JF3" t="str">
        <f t="shared" ref="JF3:JF66" si="128">IF(DF3="","",IF(OR(LEFT(DF3,1)="T",LEFT(DF3,1)="Т"),"T",IF(LEFT(UPPER(DF3),2)="БП","PS",IF(OR(LEFT(UPPER(DF3),2)="МК",LEFT(UPPER(DF3),2)="MK"),"MK",IF(OR(LEFT(UPPER(DF3),2)="КМ",LEFT(UPPER(DF3),2)="KM"),"KM","X")))))</f>
        <v/>
      </c>
      <c r="JG3" t="str">
        <f t="shared" ref="JG3:JG66" si="129">IF(DG3="","",IF(OR(LEFT(DG3,1)="T",LEFT(DG3,1)="Т"),"T",IF(LEFT(UPPER(DG3),2)="БП","PS",IF(OR(LEFT(UPPER(DG3),2)="МК",LEFT(UPPER(DG3),2)="MK"),"MK",IF(OR(LEFT(UPPER(DG3),2)="КМ",LEFT(UPPER(DG3),2)="KM"),"KM","X")))))</f>
        <v/>
      </c>
      <c r="JH3">
        <f>IF(B3="","",IFERROR(_xlfn.XLOOKUP(B3,Коды_код,Коды_уго),IFERROR(_xlfn.XLOOKUP(BC3,Коды_код,Коды_уго),IFERROR(_xlfn.XLOOKUP(LEFT(BC3,2),Коды_код,Коды_уго),""))))</f>
        <v>0</v>
      </c>
      <c r="JI3" t="str">
        <f>IF(B3="","",IF(OR(JH3="",JH3=0),"BOX",IFERROR(IF(VLOOKUP(JH3,УГО_блоки,3,FALSE)&amp;""&lt;&gt;"",VLOOKUP(JH3,УГО_блоки,3,FALSE),VLOOKUP(JH3,УГО_блоки,2,FALSE)),JH3)))</f>
        <v>BOX</v>
      </c>
      <c r="JJ3">
        <f t="shared" ref="JJ3:JJ66" si="130">IF(B3="",0,1)</f>
        <v>1</v>
      </c>
      <c r="JK3">
        <f>IF(DQ3="","",IF(COUNTIF(DQ$3:DQ3,DQ3)=1,MAX(JK$2:JK2)+1,""))</f>
        <v>1</v>
      </c>
      <c r="JL3" t="str">
        <f>IF(DE3="","",IF(COUNTIF(DE$3:DE3,DE3)+COUNTIF(DF$2:DF2,DE3)+COUNTIF(DG$2:DG2,DE3)=1,MAX(JL$2:JN2)+1,""))</f>
        <v/>
      </c>
      <c r="JM3" t="str">
        <f>IF(DF3="","",IF(COUNTIF(DE$3:DE3,DF3)+COUNTIF(DF$3:DF3,DF3)+COUNTIF(DG$2:DG2,DF3)=1,MAX(JL$2:JN2,JL3)+1,""))</f>
        <v/>
      </c>
      <c r="JN3" t="str">
        <f>IF(DG3="","",IF(COUNTIF(DE$3:DE3,DG3)+COUNTIF(DF$3:DF3,DG3)+COUNTIF(DG$3:DG3,DG3)=1,MAX(JL$2:JN2,JL3,JM3)+1,""))</f>
        <v/>
      </c>
      <c r="JO3" t="str">
        <f t="shared" ref="JO3:JO66" si="131">IF(HL3=1,IFERROR(MID(GK3,FIND(" (",GK3)+2,FIND(")",GK3,FIND(" (",GK3))-FIND(" (",GK3)-2),"?"),"")</f>
        <v/>
      </c>
      <c r="JP3" t="str">
        <f>IF(JO3="","",IF(COUNTIF(JO$3:JO3,JO3)=1,MAX(JP$2:JP2)+1,""))</f>
        <v/>
      </c>
      <c r="JQ3" t="str">
        <f>IF(HG3="","",COUNTIF(HG$3:HG3,"?*"))</f>
        <v/>
      </c>
      <c r="JR3" t="str">
        <f>IF(OR(HG3="",HI3=""),"",IF(COUNTIFS(HG$3:HG3,"?*",HI$3:HI3,HI3)=1,MAX(JR$2:JR2)+1,""))</f>
        <v/>
      </c>
      <c r="JS3">
        <f t="shared" ref="JS3:JS66" si="132">IF(IH3="",0,IF(OR(ISNUMBER(SEARCH("дубль",IH3)),ISNUMBER(SEARCH("ПЕРЕГРУЗ",IH3)),ISNUMBER(SEARCH("ЗАЩИЩ",IH3)),ISNUMBER(SEARCH("КАНАЛ",IH3)),ISNUMBER(SEARCH("без диф",IH3))),2,1))</f>
        <v>0</v>
      </c>
      <c r="JT3">
        <f>IF(B3="","",COUNTIF(B$3:B3,"?*"))</f>
        <v>1</v>
      </c>
      <c r="JU3">
        <f>IF(HL3&lt;&gt;1,0,_xlfn.LET(_xlpm.k,MAX(IFERROR(--_xlfn.XLOOKUP(B3,Коды_код,Коды_3L),0),IFERROR(--_xlfn.XLOOKUP(BC3,Коды_код,Коды_3L),0),IFERROR(--_xlfn.XLOOKUP(LEFT(BC3,2),Коды_код,Коды_3L),0)),IF(_xlpm.k&gt;0,_xlpm.k,IF(IFERROR(--LEFT(SUBSTITUTE(JO3,"x","х"),FIND("х",SUBSTITUTE(JO3,"x","х"))-1),3)&gt;3,Каталог!$S$9,1))))</f>
        <v>0</v>
      </c>
      <c r="JV3">
        <f t="shared" ref="JV3:JV66" si="133">IF(HL3&lt;&gt;1,0,MAX(0,IFERROR(--LEFT(SUBSTITUTE(JO3,"x","х"),FIND("х",SUBSTITUTE(JO3,"x","х"))-1),3)-3*JU3))</f>
        <v>0</v>
      </c>
      <c r="JW3" t="str">
        <f t="shared" ref="JW3:JW66" si="134">IF(CG3=1,"авто","")</f>
        <v>авто</v>
      </c>
      <c r="JX3" t="str">
        <f t="shared" ref="JX3:JX66" si="135">IF(CG3=1,IF(N(DA3)&gt;0,DA3,""),"")</f>
        <v/>
      </c>
      <c r="JY3">
        <f t="shared" ref="JY3:JY66" si="136">IF(CG3=1,IF(N(DA3)&gt;0,1,0),"")</f>
        <v>0</v>
      </c>
      <c r="JZ3">
        <f t="shared" ref="JZ3:JZ66" si="137">SUBTOTAL(103,A3)</f>
        <v>1</v>
      </c>
    </row>
    <row r="4" spans="1:286" x14ac:dyDescent="0.3">
      <c r="A4" t="s">
        <v>783</v>
      </c>
      <c r="B4" t="s">
        <v>743</v>
      </c>
      <c r="C4" t="s">
        <v>742</v>
      </c>
      <c r="D4">
        <v>1</v>
      </c>
      <c r="E4">
        <f>Линии[[#This Row],[_авто Р]]</f>
        <v>526.28100000000018</v>
      </c>
      <c r="G4" t="str">
        <f>Линии[[#This Row],[_авто автомат]]</f>
        <v>3P С630А</v>
      </c>
      <c r="H4" t="str">
        <f>Линии[[#This Row],[_авто управление]]</f>
        <v/>
      </c>
      <c r="I4" t="str">
        <f>Линии[[#This Row],[_авто аппараты]]</f>
        <v/>
      </c>
      <c r="J4" t="str">
        <f>Линии[[#This Row],[_авто сечение]]</f>
        <v/>
      </c>
      <c r="K4" t="str">
        <f>Линии[[#This Row],[_авто длина по плану]]</f>
        <v/>
      </c>
      <c r="L4" t="str">
        <f>Линии[[#This Row],[_авто фаза]]</f>
        <v>L1,L2,L3</v>
      </c>
      <c r="M4" t="str">
        <f>Линии[[#This Row],[_авто клемма]]</f>
        <v/>
      </c>
      <c r="N4" t="str">
        <f t="shared" si="0"/>
        <v/>
      </c>
      <c r="O4" s="6" cm="1">
        <f t="array" ref="O4">IF(B4="","",IF(BH4&lt;&gt;"",IFERROR(_xlfn.XLOOKUP(BH4,Щиты[Щит],Щиты[Iр, А]),""),IF(BP4=1,IF(OR(N(_xlfn.XLOOKUP(A4,Щиты[Щит],Щиты[Вводов],1))&lt;=1,LOWER(TRIM(_xlfn.XLOOKUP(A4,Щиты[Щит],Щиты[АВР],"")&amp;""))="да"),IFERROR(_xlfn.XLOOKUP(A4,Щиты[Щит],Щиты[Iр, А]),""),IFERROR(N(BS4)*_xlfn.XLOOKUP(A4,Щиты[Щит],Щиты[Кс итог])/(SQRT(3)*Uн_лин*_xlfn.XLOOKUP(A4,Щиты[Щит],Щиты[cos φ])),"")),IF(BV4=1,IFERROR(BS4*1000/BU4,""),IFERROR(_xlfn.IFS(BX4=1,BS4/((Uн_лин/SQRT(3))*CE4),BX4=3,BS4/(SQRT(3)*Uн_лин*CE4)),"")))))</f>
        <v>482.46261025528872</v>
      </c>
      <c r="P4" s="7" t="str">
        <f>IF(B4="","",IFERROR(IF(VLOOKUP(BC4,Потребители_обозначение,4,FALSE)=1,VLOOKUP(BC4,Потребители_обозначение,3,FALSE)*(MAX(1,N(D4))*2-1)+EI4+VLOOKUP(BE4,Этаж_обозначение,3,FALSE)+VLOOKUP(BE4,Этаж_обозначение,4,FALSE),VLOOKUP(BC4,Потребители_обозначение,3,FALSE)*(MAX(1,N(D4))*2-1)+EI4),EI4))</f>
        <v/>
      </c>
      <c r="Q4" s="6" t="str">
        <f t="shared" si="1"/>
        <v/>
      </c>
      <c r="R4" t="str">
        <f t="shared" si="2"/>
        <v/>
      </c>
      <c r="S4" t="str">
        <f>IF(BM4="","",IF(BN4="вводной узел","узел ","")&amp;"л."&amp;(INT((BM4-1)/Столбцов_на_лист)+1)&amp;" / "&amp;(MOD(BM4-1,Столбцов_на_лист)+1))</f>
        <v>узел л.1 / 4</v>
      </c>
      <c r="T4" s="119" t="str">
        <f t="shared" si="3"/>
        <v/>
      </c>
      <c r="U4" s="7" t="str">
        <f>IF(OR(CG4=0,N(BV4)+N(IB4)=0),"",ROUNDUP(Запас_БП*(N(HY4)+N(HZ4)),0))</f>
        <v/>
      </c>
      <c r="V4" s="119" t="str">
        <f t="shared" si="4"/>
        <v/>
      </c>
      <c r="W4" s="7" t="str">
        <f>IFERROR(IF(OR(B4="",BP4=1,BV4=1,NOT(ISNUMBER(EN4)),N(DT4)=0),"",MAX(0,ROUNDDOWN((c_min*(Uн_лин*1000/SQRT(3))/(HT4*N(DT4))-_xlfn.XLOOKUP(A4,Щиты[Щит],Щиты[Zпетли на шинах, Ом]))*EN4/(2*ρкз_Cu),0))),"")</f>
        <v/>
      </c>
      <c r="Y4" t="str">
        <f>Линии[[#This Row],[_авто утечка]]</f>
        <v/>
      </c>
      <c r="Z4">
        <v>3</v>
      </c>
      <c r="AA4">
        <v>400</v>
      </c>
      <c r="AB4" t="s">
        <v>547</v>
      </c>
      <c r="AK4" t="str">
        <f>Линии[[#This Row],[_авто модуль]]</f>
        <v/>
      </c>
      <c r="AM4">
        <v>4</v>
      </c>
      <c r="AN4" t="str">
        <f>Линии[[#This Row],[_авто марка]]</f>
        <v/>
      </c>
      <c r="AO4" t="str">
        <f>Линии[[#This Row],[_авто жил]]</f>
        <v/>
      </c>
      <c r="BA4" cm="1">
        <f t="array" ref="BA4">ROW()-ROW(Линии[#Headers])</f>
        <v>2</v>
      </c>
      <c r="BC4" s="6" t="str">
        <f t="shared" si="5"/>
        <v>Ввод</v>
      </c>
      <c r="BD4" t="str">
        <f t="shared" si="6"/>
        <v>2</v>
      </c>
      <c r="BE4" t="str">
        <f t="shared" si="7"/>
        <v>2</v>
      </c>
      <c r="BF4" t="str">
        <f t="shared" si="8"/>
        <v/>
      </c>
      <c r="BG4" t="str">
        <f t="shared" si="9"/>
        <v/>
      </c>
      <c r="BH4" t="str">
        <f>IF(X4&lt;&gt;"",X4,IF(AND(B4&lt;&gt;"",B4&lt;&gt;A4,ISNUMBER(_xlfn.XMATCH(B4,Щиты[Щит]))),B4,""))</f>
        <v/>
      </c>
      <c r="BI4" t="str" cm="1">
        <f t="array" ref="BI4">IF(B4="","",IF(BH4&lt;&gt;"","Щит "&amp;BH4,_xlfn.LET(_xlpm.nm,IFERROR(_xlfn.XLOOKUP(BC4,Коды_код,Коды_имя)&amp;"",""),_xlpm.md,IFERROR(N(_xlfn.XLOOKUP(BC4,Коды_код,Коды_режим)),1),_xlpm.ex,IF(Имя_режим="по экспликации",IFERROR(_xlfn.XLOOKUP(BE4&amp;"|"&amp;BG4,Экспликация[Этаж]&amp;"|"&amp;Экспликация[Помещение],Экспликация[Название])&amp;"",""),""),_xlpm.rm,IF(BG4="","",IF(_xlpm.ex&lt;&gt;"",". "&amp;_xlpm.ex&amp;IF(Имя_пом="нет"," ("&amp;BG4&amp;")"," (пом. "&amp;BG4&amp;")"),IF(Имя_пом="нет"," ",", пом. ")&amp;BG4)),IF(_xlpm.nm="","",IF(_xlpm.md=2,_xlpm.nm&amp;" шлейф "&amp;BE4,_xlpm.nm&amp;_xlpm.rm)))))</f>
        <v>Вводной кабель шлейф 2</v>
      </c>
      <c r="BJ4" t="str">
        <f t="shared" si="10"/>
        <v>Основной ввод в дом №2</v>
      </c>
      <c r="BK4">
        <f>IFERROR(_xlfn.XMATCH(A4,Щиты[Щит]),0)</f>
        <v>1</v>
      </c>
      <c r="BL4">
        <f>_xlfn.LET(_xlpm.k,IFERROR(_xlfn.XLOOKUP(A4,Щиты[Щит],Щиты[Мест под вводной узел]),""),IF(_xlpm.k="",Столбцов_на_лист,N(_xlpm.k)))</f>
        <v>6</v>
      </c>
      <c r="BM4">
        <f t="shared" si="11"/>
        <v>4</v>
      </c>
      <c r="BN4" t="str">
        <f t="shared" si="12"/>
        <v>вводной узел</v>
      </c>
      <c r="BO4" s="6">
        <f>IFERROR(N(_xlfn.XLOOKUP(BC4,Коды_код,Коды_квт)),0)</f>
        <v>0</v>
      </c>
      <c r="BP4">
        <f t="shared" si="13"/>
        <v>1</v>
      </c>
      <c r="BQ4">
        <f>IF(B4="","",IF(BH4&lt;&gt;"",IFERROR(_xlfn.XLOOKUP(BH4,Щиты[Щит],Щиты[Руст, кВт]),0),IF(BP4=1,IF(OR(N(_xlfn.XLOOKUP(A4,Щиты[Щит],Щиты[Вводов],1))&lt;=1,LOWER(TRIM(_xlfn.XLOOKUP(A4,Щиты[Щит],Щиты[АВР],"")&amp;""))="да"),IFERROR(_xlfn.XLOOKUP(A4,Щиты[Щит],Щиты[Руст, кВт]),0),SUMIFS(Линии[_Р для вводов],Линии[Щит],A4,Линии[Источник для режимов],GF4)),IF(BO4&gt;0,ROUND(BO4*MAX(1,N(D4)),3),""))))</f>
        <v>526.28100000000018</v>
      </c>
      <c r="BR4">
        <f t="shared" si="14"/>
        <v>526.28100000000018</v>
      </c>
      <c r="BS4" s="6">
        <f>IF(B4="","",IF(BH4&lt;&gt;"",IFERROR(_xlfn.XLOOKUP(BH4,Щиты[Щит],Щиты[Руст, кВт]),0),N(BR4)))</f>
        <v>526.28100000000018</v>
      </c>
      <c r="BT4" t="str">
        <f>IF(B4="","",IFERROR(IF(VLOOKUP(BC4,Потребители_обозначение,8,FALSE)=0,"",VLOOKUP(BC4,Потребители_обозначение,8,FALSE)),""))</f>
        <v/>
      </c>
      <c r="BU4">
        <f t="shared" si="15"/>
        <v>400</v>
      </c>
      <c r="BV4">
        <f t="shared" si="16"/>
        <v>0</v>
      </c>
      <c r="BW4">
        <f>IF(B4="","",IF(BH4&lt;&gt;"",3,IFERROR(IF(N(VLOOKUP(BC4,Потребители_обозначение,9,FALSE))=0,1,VLOOKUP(BC4,Потребители_обозначение,9,FALSE)),1)))</f>
        <v>1</v>
      </c>
      <c r="BX4">
        <f t="shared" si="17"/>
        <v>3</v>
      </c>
      <c r="BY4" t="str">
        <f>IF(B4="","",_xlfn.LET(_xlpm.bc,IFERROR(IF(VLOOKUP(BC4,Потребители_обозначение,6,FALSE)=0,"",VLOOKUP(BC4,Потребители_обозначение,6,FALSE)&amp;""),""),IF(AND(GA4="да",OR(_xlpm.bc="",_xlpm.bc="мс")),Марка_пож,IF(AND(_xlpm.bc="",BH4&lt;&gt;""),"мс",_xlpm.bc))))</f>
        <v/>
      </c>
      <c r="BZ4" t="str">
        <f t="shared" si="18"/>
        <v/>
      </c>
      <c r="CA4" t="str">
        <f>IF(B4="","",_xlfn.LET(_xlpm.cc,IFERROR(N(VLOOKUP(BC4,Потребители_обозначение,7,FALSE)),0),IF(_xlpm.cc&gt;0,_xlpm.cc,IF(BZ4="","",IF(BV4=1,2,IF(N(BX4)=3,5,3))))))</f>
        <v/>
      </c>
      <c r="CB4" t="str">
        <f t="shared" si="19"/>
        <v/>
      </c>
      <c r="CC4">
        <f>IFERROR(N(VLOOKUP(BC4,Потребители_обозначение,10,FALSE)),0)</f>
        <v>0</v>
      </c>
      <c r="CD4">
        <f>IFERROR(VLOOKUP(BC4,Потребители_обозначение,5,FALSE),0)</f>
        <v>1</v>
      </c>
      <c r="CE4" s="6" cm="1">
        <f t="array" ref="CE4">IF(B4="","",IF(BH4&lt;&gt;"",IFERROR(_xlfn.XLOOKUP(BH4,Щиты[Щит],Щиты[cos φ]),0.95),IF(BP4=1,IFERROR(_xlfn.XLOOKUP(A4,Щиты[Щит],Щиты[cos φ]),0.95),IF(ISNUMBER(AD4),AD4,IFERROR(IF(CD4=2,_xlfn.IFS(BX4=3,VLOOKUP(BS4,Справочная_двигатели,8,FALSE),BX4=1,VLOOKUP(BS4,Справочная_двигатели,10,TRUE)),IF(AND(Методика="нормы 2026",FG4="Сил"),0.8,0.95)),0.95)))))</f>
        <v>0.82887953393719294</v>
      </c>
      <c r="CF4">
        <f t="shared" si="20"/>
        <v>0</v>
      </c>
      <c r="CG4">
        <f t="shared" si="21"/>
        <v>1</v>
      </c>
      <c r="CH4">
        <f t="shared" si="22"/>
        <v>0</v>
      </c>
      <c r="CI4">
        <f>IF(B4="","",IF(BV4=1,IFERROR(BS4/((Uн_лин/SQRT(3))*MAX(0.5,N(CE4))),0),N(O4)))</f>
        <v>482.46261025528872</v>
      </c>
      <c r="CJ4">
        <f t="shared" si="23"/>
        <v>0</v>
      </c>
      <c r="CK4">
        <f t="shared" si="24"/>
        <v>0</v>
      </c>
      <c r="CL4">
        <f t="shared" si="25"/>
        <v>0</v>
      </c>
      <c r="CM4">
        <f t="shared" si="26"/>
        <v>0</v>
      </c>
      <c r="CN4">
        <f t="shared" si="27"/>
        <v>0</v>
      </c>
      <c r="CO4">
        <f>IF(BC4="",0,_xlfn.LET(_xlpm.v,IFERROR(_xlfn.XLOOKUP(B4,Коды_код,Коды_мА),IFERROR(_xlfn.XLOOKUP(BC4,Коды_код,Коды_мА),IFERROR(_xlfn.XLOOKUP(LEFT(BC4,2),Коды_код,Коды_мА),""))),IF(_xlpm.v="да",30,IF(ISNUMBER(_xlpm.v),_xlpm.v,0))))</f>
        <v>0</v>
      </c>
      <c r="CP4" t="str">
        <f t="shared" si="28"/>
        <v/>
      </c>
      <c r="CQ4" t="str">
        <f>_xlfn.LET(_xlpm.k,IFERROR(_xlfn.XLOOKUP(BC4,Коды_код,Коды_утечка)&amp;"",""),IF(_xlpm.k="","дифавтомат",_xlpm.k))</f>
        <v>дифавтомат</v>
      </c>
      <c r="CR4" t="str" cm="1">
        <f t="array" ref="CR4">IF(CG4=0,"",_xlfn.LET(_xlpm.sg,TRIM(_xlfn.TEXTSPLIT(DD4&amp;"",";")),_xlpm.f_,_xlfn._xlws.FILTER(_xlpm.sg,LEFT(_xlpm.sg,3)="УЗО",""),IFERROR(INDEX(_xlpm.f_,1)&amp;"","")))</f>
        <v/>
      </c>
      <c r="CS4" t="str">
        <f t="shared" si="29"/>
        <v/>
      </c>
      <c r="CT4" s="6" t="str" cm="1">
        <f t="array" ref="CT4">IF(CR4="","",_xlfn.LET(_xlpm.tk,_xlfn.TEXTSPLIT(UPPER(CR4)," ",,TRUE),_xlpm.a_,_xlfn._xlws.FILTER(_xlpm.tk,ISNUMBER(--LEFT(_xlpm.tk,1))*((ISNUMBER(SEARCH("А",_xlpm.tk))+ISNUMBER(SEARCH("A",_xlpm.tk)))&gt;0)*NOT(ISNUMBER(SEARCH("МА",_xlpm.tk)))*NOT(ISNUMBER(SEARCH("MA",_xlpm.tk))),""),IFERROR(--SUBSTITUTE(SUBSTITUTE(INDEX(_xlpm.a_,1),"А",""),"A",""),"")))</f>
        <v/>
      </c>
      <c r="CU4" t="str" cm="1">
        <f t="array" ref="CU4">IF(CR4="","",_xlfn.LET(_xlpm.tk,_xlfn.TEXTSPLIT(UPPER(CR4)," ",,TRUE),_xlpm.a_,_xlfn._xlws.FILTER(_xlpm.tk,ISNUMBER(--LEFT(_xlpm.tk,1))*((ISNUMBER(SEARCH("МА",_xlpm.tk))+ISNUMBER(SEARCH("MA",_xlpm.tk)))&gt;0),""),IFERROR(--SUBSTITUTE(SUBSTITUTE(INDEX(_xlpm.a_,1),"МА",""),"MA",""),30)))</f>
        <v/>
      </c>
      <c r="CV4" t="str">
        <f>IF(CS4="","",IFERROR(_xlfn.XLOOKUP(CS4,Линии[_n],Линии[_УЗО, мА]),30))</f>
        <v/>
      </c>
      <c r="CW4">
        <f>IF(CS4="",0,IF(ISNUMBER(SEARCH("4P",IFERROR(_xlfn.XLOOKUP(CS4,Линии[_n],Линии[_УЗО строки])&amp;"",""))),0,1))</f>
        <v>0</v>
      </c>
      <c r="CX4" t="str">
        <f>IF(AND(CS4&lt;&gt;"",CS4=BA4),SUMIFS(Линии[_ток на 230 В],Линии[_блок УЗО],BA4,Линии[Щит],A4),"")</f>
        <v/>
      </c>
      <c r="CY4" t="str">
        <f>IF(AND(CS4&lt;&gt;"",CS4=BA4),SUMIFS(Линии[_ток утечки линии, мА],Линии[_блок УЗО],BA4,Линии[Щит],A4),"")</f>
        <v/>
      </c>
      <c r="CZ4">
        <f t="shared" si="30"/>
        <v>0</v>
      </c>
      <c r="DA4">
        <f t="shared" si="31"/>
        <v>0</v>
      </c>
      <c r="DB4">
        <f>IF(B4="",0,IFERROR(--_xlfn.XLOOKUP(B4,Коды_код,Коды_минавт),IFERROR(--_xlfn.XLOOKUP(BC4,Коды_код,Коды_минавт),IFERROR(--_xlfn.XLOOKUP(LEFT(BC4,2),Коды_код,Коды_минавт),0))))</f>
        <v>0</v>
      </c>
      <c r="DC4" t="str">
        <f>IF(B4="","",IFERROR(_xlfn.XLOOKUP(BC4,Коды_код,Коды_апп)&amp;"",""))</f>
        <v/>
      </c>
      <c r="DD4" t="str">
        <f t="shared" si="32"/>
        <v/>
      </c>
      <c r="DE4" t="str" cm="1">
        <f t="array" ref="DE4">IF(TRIM(DD4&amp;"")="","",IFERROR(TRIM(INDEX(_xlfn.TEXTSPLIT(DD4&amp;";;;",";"),1)),""))</f>
        <v/>
      </c>
      <c r="DF4" t="str" cm="1">
        <f t="array" ref="DF4">IF(TRIM(DD4&amp;"")="","",IFERROR(TRIM(INDEX(_xlfn.TEXTSPLIT(DD4&amp;";;;",";"),2)),""))</f>
        <v/>
      </c>
      <c r="DG4" t="str" cm="1">
        <f t="array" ref="DG4">IF(TRIM(DD4&amp;"")="","",IFERROR(TRIM(INDEX(_xlfn.TEXTSPLIT(DD4&amp;";;;",";"),3)),""))</f>
        <v/>
      </c>
      <c r="DH4">
        <f t="shared" si="33"/>
        <v>0</v>
      </c>
      <c r="DI4" t="str">
        <f>IF(B4="","",_xlfn.LET(_xlpm.t,LOWER(AZ4&amp;""),IF(ISNUMBER(SEARCH("dim",_xlpm.t)),"DIM",IF(ISNUMBER(SEARCH("dali",_xlpm.t)),"DALI",IF(OR(ISNUMBER(SEARCH("relay",_xlpm.t)),ISNUMBER(SEARCH("реле",_xlpm.t))),"Relay",IF(ISNUMBER(SEARCH("кнопк",_xlpm.t)),"",IFERROR(_xlfn.XLOOKUP(BC4,Коды_код,Коды_упр)&amp;"","")))))))</f>
        <v/>
      </c>
      <c r="DJ4" t="str">
        <f t="shared" si="34"/>
        <v/>
      </c>
      <c r="DK4">
        <f>IF(B4="","",_xlfn.LET(_xlpm.ig,IF(N(CX4)&gt;0,N(CX4),N(CI4)+IF(AJ4="вручную",0,N(CJ4))),_xlpm.n0,IFERROR(VLOOKUP(_xlpm.ig,Автомат_номиналы,2,TRUE),0),_xlpm.mn,MAX(DB4,IF(AJ4="вручную",0,N(CM4))),MAX(_xlpm.n0,_xlpm.mn,IF(DH4=1,Мин_автомат_БП,0))))</f>
        <v>630</v>
      </c>
      <c r="DL4">
        <f t="shared" si="35"/>
        <v>3</v>
      </c>
      <c r="DM4" t="str">
        <f t="shared" si="36"/>
        <v>3P</v>
      </c>
      <c r="DN4" t="str">
        <f>_xlfn.LET(_xlpm.cc,UPPER(TRIM(IFERROR(_xlfn.XLOOKUP(BC4,Коды_код,Коды_хар)&amp;"",""))),IF(OR(_xlpm.cc="B",_xlpm.cc="В"),"B",IF(_xlpm.cc="D","D","С")))</f>
        <v>С</v>
      </c>
      <c r="DO4" t="str">
        <f t="shared" si="37"/>
        <v>3P С630А</v>
      </c>
      <c r="DP4" t="str">
        <f t="shared" si="38"/>
        <v>3P С630А</v>
      </c>
      <c r="DQ4" t="str">
        <f t="shared" si="39"/>
        <v>3P С630А</v>
      </c>
      <c r="DR4" cm="1">
        <f t="array" ref="DR4">IF(DQ4="","",_xlfn.LET(_xlpm.t,SUBSTITUTE(SUBSTITUTE(SUBSTITUTE(UPPER(DQ4),"С","C"),"А","A"),"В","B"),_xlpm.tk,_xlfn.TEXTSPLIT(_xlpm.t," "),_xlpm.f,_xlfn._xlws.FILTER(_xlpm.tk,ISNUMBER(--MID(_xlpm.tk,2,1))*ISNUMBER(SEARCH(LEFT(_xlpm.tk,1)&amp;"#","B#C#D#"))*(LEN(_xlpm.tk)&gt;1),""),_xlpm.x,INDEX(_xlpm.f,1),IFERROR(--SUBSTITUTE(MID(_xlpm.x,2,9),"A",""),IFERROR(--SUBSTITUTE(INDEX(_xlfn._xlws.FILTER(_xlpm.tk,ISNUMBER(--SUBSTITUTE(_xlpm.tk,"A","")),""),1),"A",""),""))))</f>
        <v>630</v>
      </c>
      <c r="DS4" t="str">
        <f t="shared" si="40"/>
        <v>ok</v>
      </c>
      <c r="DT4">
        <f t="shared" si="41"/>
        <v>630</v>
      </c>
      <c r="DU4" t="str">
        <f t="shared" si="42"/>
        <v>3P С630А</v>
      </c>
      <c r="DV4">
        <f t="shared" si="43"/>
        <v>0</v>
      </c>
      <c r="DW4">
        <f t="shared" si="44"/>
        <v>0</v>
      </c>
      <c r="DX4">
        <f t="shared" si="45"/>
        <v>0</v>
      </c>
      <c r="DY4">
        <f t="shared" si="46"/>
        <v>482.46261025528872</v>
      </c>
      <c r="DZ4">
        <f t="shared" si="47"/>
        <v>1</v>
      </c>
      <c r="EA4">
        <f>IF(ISNUMBER(AP4),AP4,К_прокл)</f>
        <v>1</v>
      </c>
      <c r="EB4">
        <f t="shared" si="48"/>
        <v>3</v>
      </c>
      <c r="EC4">
        <f>IFERROR(N(VLOOKUP(BZ4,Кабель_обозначение,3,FALSE)),1)</f>
        <v>1</v>
      </c>
      <c r="ED4">
        <f>IFERROR(N(_xlfn.XLOOKUP(A4,Щиты[Щит],Щиты[ΔU до шин, %])),0)</f>
        <v>0</v>
      </c>
      <c r="EE4" t="str">
        <f>IFERROR(_xlfn.XLOOKUP(A4,Щиты[Щит],Щиты[Zпетли на шинах, Ом]),"")</f>
        <v/>
      </c>
      <c r="EF4">
        <f>IFERROR(N(_xlfn.XLOOKUP(A4,Щиты[Щит],Щиты[ΔU до шин (подбор), %])),0)</f>
        <v>0</v>
      </c>
      <c r="EG4" t="str">
        <f>IFERROR(_xlfn.XLOOKUP(A4,Щиты[Щит],Щиты[Zпетли на шинах (подбор), Ом]),"")</f>
        <v/>
      </c>
      <c r="EH4" t="str">
        <f t="shared" si="49"/>
        <v/>
      </c>
      <c r="EI4" t="str">
        <f t="shared" si="50"/>
        <v/>
      </c>
      <c r="EJ4">
        <f t="shared" si="51"/>
        <v>1</v>
      </c>
      <c r="EK4">
        <f t="shared" si="52"/>
        <v>0.56000000000000005</v>
      </c>
      <c r="EL4" s="6">
        <f>IF(B4="","",IF(BV4=1,dU_LED,IF(IFERROR(_xlfn.XLOOKUP(BC4,Коды_код,Коды_уго),"")="Светильник",3,4)+IF(Методика="нормы 2026",MIN(0.5,MAX(0,N(P4)-100)*0.005),0)))</f>
        <v>4</v>
      </c>
      <c r="EM4" t="str" cm="1">
        <f t="array" ref="EM4">IF(OR(B4="",BZ4="",EC4&lt;&gt;1),"",_xlfn.LET(_xlpm.sz,Iдоп_S,_xlpm.t_,CHOOSE(EB4,Iдоп_1ж,Iдоп_2ж,Iдоп_3ж)*DZ4*EA4,_xlpm.dcx,BV4=1,_xlpm.inn,IF(_xlpm.dcx,N(O4),N(DT4)),_xlpm.smin,MAX(1.5,CC4),_xlpm.L_,N(P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N(BU4)*100,999),IFERROR(N(EJ4)*(_xlpm.rho*_xlpm.L_/_xlpm.sz*N(CE4)+_xlpm.xx*_xlpm.L_*N(EK4)/1000)*N(O4)/((Uн_лин/SQRT(3))*1000)*100,999)),_xlpm.kz,IF(OR(_xlpm.dcx,DW4=1,NOT(ISNUMBER(EG4)),_xlpm.L_=0,_xlpm.inn=0),1,IFERROR(--(c_min*(Uн_лин*1000/SQRT(3))/(EG4+2*ρкз_Cu*_xlpm.L_/_xlpm.sz)&gt;=HT4*_xlpm.inn),0)),_xlpm.ok,IFERROR((_xlpm.sz&gt;=_xlpm.smin)*(_xlpm.t_&gt;=_xlpm.inn)*IF(_xlpm.L_&gt;0,(_xlpm.du_+IF(_xlpm.dcx,0,EF4)&lt;=EL4+0.00001),1)*_xlpm.kz,0),_xlpm.r_,_xlfn._xlws.FILTER(_xlpm.sz,_xlpm.ok,"не подобрано"),INDEX(_xlpm.r_,1)))</f>
        <v/>
      </c>
      <c r="EN4" t="str">
        <f t="shared" si="53"/>
        <v/>
      </c>
      <c r="EO4" t="str" cm="1">
        <f t="array" ref="EO4">IF(OR(B4="",BZ4="",EC4&lt;&gt;1),"",_xlfn.LET(_xlpm.sz,Iдоп_S,_xlpm.t_,CHOOSE(EB4,Iдоп_1ж,Iдоп_2ж,Iдоп_3ж)*DZ4*EA4,_xlpm.ok,IFERROR((_xlpm.sz&gt;=MAX(1.5,CC4))*(_xlpm.t_&gt;=N(DT4)),0),_xlpm.r_,_xlfn._xlws.FILTER(_xlpm.sz,_xlpm.ok,""),INDEX(_xlpm.r_,1)))</f>
        <v/>
      </c>
      <c r="EP4" s="6" t="str" cm="1">
        <f t="array" ref="EP4">IFERROR(ROUNDUP(N(EJ4)*(_xlfn.XLOOKUP(EO4,INDEX(Кабель_сопротивление,0,1),INDEX(Кабель_сопротивление,0,3))*N(P4)/EO4*N(CE4)+_xlfn.XLOOKUP(EO4,INDEX(Кабель_сопротивление,0,1),INDEX(Кабель_сопротивление,0,2))*N(P4)*N(EK4)/1000)*N(O4)/((Uн_лин/SQRT(3))*1000)*100,2),"")</f>
        <v/>
      </c>
      <c r="EQ4" t="str">
        <f>IFERROR(2*ρкз_Cu*N(P4)/EO4,"")</f>
        <v/>
      </c>
      <c r="ER4" t="str">
        <f>IFERROR(VLOOKUP(EN4,Кабель_сопротивление,3,FALSE),"")</f>
        <v/>
      </c>
      <c r="ES4" t="str">
        <f>IFERROR(VLOOKUP(EN4,Кабель_сопротивление,2,FALSE),"")</f>
        <v/>
      </c>
      <c r="ET4" t="str">
        <f t="shared" si="54"/>
        <v/>
      </c>
      <c r="EU4" t="str">
        <f t="shared" si="55"/>
        <v/>
      </c>
      <c r="EV4" t="str">
        <f t="shared" si="56"/>
        <v/>
      </c>
      <c r="EW4" s="6" t="str">
        <f>IFERROR(ROUNDUP(EV4/IF(BV4=1,BU4,(Uн_лин/SQRT(3))*1000)*100,2),"")</f>
        <v/>
      </c>
      <c r="EX4" t="str">
        <f>IFERROR(VLOOKUP(BZ4,Кабель_обозначение,2,FALSE),"")</f>
        <v/>
      </c>
      <c r="EY4" t="str">
        <f t="shared" si="57"/>
        <v/>
      </c>
      <c r="EZ4" t="str">
        <f t="shared" si="58"/>
        <v/>
      </c>
      <c r="FA4" t="str">
        <f>IFERROR(2*ρкз_Cu*P4/EN4,"")</f>
        <v/>
      </c>
      <c r="FB4" t="str">
        <f t="shared" si="59"/>
        <v/>
      </c>
      <c r="FC4" s="6" t="str">
        <f>IFERROR(IF(OR(B4="",BV4=1,NOT(ISNUMBER(EN4)),N(P4)=0),"",_xlfn.XLOOKUP(A4,Щиты[Щит],Щиты[Zпетли на шинах, Ом])+FA4),"")</f>
        <v/>
      </c>
      <c r="FD4" s="6" t="str">
        <f>IF(ISNUMBER(FC4),c_min*(Uн_лин*1000/SQRT(3))/FC4,"")</f>
        <v/>
      </c>
      <c r="FE4" s="6" t="str">
        <f>IFERROR(IF(OR(B4="",NOT(ISNUMBER(EN4))),"",1.05*(Uн_лин*1000/SQRT(3))/(_xlfn.XLOOKUP(A4,Щиты[Щит],Щиты[Zmax на шинах, Ом])+FB4)/1000),"")</f>
        <v/>
      </c>
      <c r="FF4" s="6" t="str">
        <f>IF(B4="","",IF(ISNUMBER(AC4),"Сил",IF(IFERROR(_xlfn.XLOOKUP(BC4,Коды_код,Коды_группа)&amp;"","")="","Быт",_xlfn.XLOOKUP(BC4,Коды_код,Коды_группа)&amp;"")))</f>
        <v>Быт</v>
      </c>
      <c r="FG4" s="6" t="str">
        <f t="shared" si="60"/>
        <v>Нет</v>
      </c>
      <c r="FH4" s="6">
        <f>IF(FG4="Щит","щит",IF(FG4="","",IF(FG4="Быт",IFERROR(_xlfn.XLOOKUP(A4,Щиты[Щит],Щиты[Кс быт]),1),IF(FG4="Сил",IF(ISNUMBER(AC4),AC4,IF(Методика="нормы 2026",IFERROR(_xlfn.XLOOKUP(A4,Щиты[Щит],Щиты[Кс силовых (табл. 7.5)]),1),1)),IF(OR(FG4="Пост",FG4="Отоп"),1,IF(FG4="ВНГ",0.7,0))))))</f>
        <v>0</v>
      </c>
      <c r="FI4">
        <f>IF(FG4="","",IF(AND(BP4=1,TRIM(AE4&amp;"")=""),IF(COUNTIFS(Линии[Щит],A4,Линии[Секция (1/2/3)],"&gt;=2")&gt;0,MIN(3,MAX(1,IFERROR(--BD4,1))),1),IFERROR(MIN(3,MAX(1,INT(--AE4))),1)))</f>
        <v>2</v>
      </c>
      <c r="FJ4">
        <f t="shared" si="61"/>
        <v>0</v>
      </c>
      <c r="FK4">
        <f t="shared" si="62"/>
        <v>0</v>
      </c>
      <c r="FL4">
        <f t="shared" si="63"/>
        <v>0</v>
      </c>
      <c r="FM4">
        <f t="shared" si="64"/>
        <v>0</v>
      </c>
      <c r="FN4">
        <f t="shared" si="65"/>
        <v>0</v>
      </c>
      <c r="FO4">
        <f t="shared" si="66"/>
        <v>0</v>
      </c>
      <c r="FP4">
        <f t="shared" si="67"/>
        <v>0</v>
      </c>
      <c r="FQ4">
        <f t="shared" si="68"/>
        <v>0</v>
      </c>
      <c r="FR4">
        <f t="shared" si="69"/>
        <v>0</v>
      </c>
      <c r="FS4">
        <f>IF(CG4=1,IF(AND(CH4=1,CW4=1),0,IF(AND(CS4&lt;&gt;"",CS4=BA4,CW4=1),SUMIFS(Линии[_Р линии, кВт],Линии[_блок УЗО],BA4,Линии[Щит],A4),N(BS4)+IF(AJ4="вручную",0,N(CK4)))),0)</f>
        <v>526.28100000000018</v>
      </c>
      <c r="FT4" t="str">
        <f t="shared" si="70"/>
        <v/>
      </c>
      <c r="FU4" t="str">
        <f>IF(B4="","",IF(CG4=0,IF(BA4=1,"",FW3),IF(AND(CH4=1,CW4=1,CS4&lt;&gt;""),IFERROR(_xlfn.XLOOKUP(CS4,Линии[_n],Линии[_фаза итог]),"L1"),IF(OR(N(DL4)&gt;=3,N(BX4)&gt;=3),"L1,L2,L3",IFERROR(_xlfn.TEXTBEFORE(_xlfn.TEXTAFTER(_xlfn.XLOOKUP(A4,Щиты[Щит],Щиты[_фазы авто]),";"&amp;BA4&amp;":"),";"),"L1")))))</f>
        <v>L1,L2,L3</v>
      </c>
      <c r="FV4" t="str">
        <f t="shared" si="71"/>
        <v>L1,L2,L3</v>
      </c>
      <c r="FW4" t="str">
        <f t="shared" si="72"/>
        <v>L1,L2,L3</v>
      </c>
      <c r="FX4" cm="1">
        <f t="array" ref="FX4">IFERROR(IF(CD4=2,_xlfn.IFS(BX4=3,VLOOKUP(BS4,Справочная_двигатели,3,FALSE),BX4=1,VLOOKUP(BS4,Справочная_двигатели,5,TRUE)),0),0)</f>
        <v>0</v>
      </c>
      <c r="FY4">
        <f>IFERROR(IF(CD4=3,VLOOKUP(BS4,Справочная_ЛЭД,2,TRUE),0),0)</f>
        <v>0</v>
      </c>
      <c r="FZ4" s="6">
        <f t="shared" si="73"/>
        <v>0</v>
      </c>
      <c r="GA4" t="str">
        <f>IF(B4="","",IF(TRIM(AH4&amp;"")&lt;&gt;"",IF(LOWER(TRIM(AH4&amp;""))="да","да","нет"),IF(IFERROR(_xlfn.XLOOKUP(BC4,Коды_код,Коды_пожарная),"")="да","да","нет")))</f>
        <v>нет</v>
      </c>
      <c r="GB4" t="str">
        <f t="shared" si="74"/>
        <v/>
      </c>
      <c r="GC4" t="str">
        <f t="shared" si="75"/>
        <v>основная</v>
      </c>
      <c r="GD4">
        <f>IF(AND(BP4=1,TRIM(AE4&amp;"")=""),IF(COUNTIFS(Линии[Щит],A4,Линии[Секция (1/2/3)],"&gt;=2")&gt;0,MIN(3,MAX(1,IFERROR(--BD4,1))),1),IFERROR(MIN(3,MAX(1,INT(--AE4))),1))</f>
        <v>2</v>
      </c>
      <c r="GE4" t="str" cm="1">
        <f t="array" ref="GE4">IF(B4="","",_xlfn.LET(_xlpm.t,IFERROR(_xlfn.XLOOKUP(1,(Шины[Шина]=GC4)*(((Шины[Щит]=A4)+(Шины[Щит]=""))&gt;0),Шины[Тип]),"")&amp;"",IF(_xlpm.t&lt;&gt;"",_xlpm.t,IF(ISNUMBER(SEARCH("ИБП",GC4)),"ИБП",IF(ISNUMBER(SEARCH("ДГУ",GC4)),"ДГУ","Ввод "&amp;GD4)))))</f>
        <v>Ввод 2</v>
      </c>
      <c r="GF4" t="str">
        <f t="shared" si="76"/>
        <v>Ввод 2</v>
      </c>
      <c r="GG4" t="str">
        <f>IF(BP4=0,"",IF(TRIM(AG4&amp;"")&lt;&gt;"",TRIM(AG4&amp;""),IF(OR(GE4="ИБП",GE4="ДГУ"),"I особая",_xlfn.XLOOKUP(A4,Щиты[Щит],Щиты[Категория шины «Ввод»],"III"))))</f>
        <v>I</v>
      </c>
      <c r="GH4" t="str">
        <f>IF(A4="","",_xlfn.XLOOKUP(A4,Щиты[Щит],Щиты[Путь],""))</f>
        <v>|ГРЩ-ЖД|</v>
      </c>
      <c r="GI4" t="str">
        <f>IF(B4="","",IF(AI4&lt;&gt;"",AI4,IF(IFERROR(_xlfn.XLOOKUP(BC4,Коды_код,Коды_вид)&amp;"","")="","Прочее",_xlfn.XLOOKUP(BC4,Коды_код,Коды_вид)&amp;"")))</f>
        <v>Прочее</v>
      </c>
      <c r="GJ4">
        <f>IF(BM4="","",INT((BM4-1)/Столбцов_на_лист)+1)</f>
        <v>1</v>
      </c>
      <c r="GK4" t="str">
        <f t="shared" si="77"/>
        <v/>
      </c>
      <c r="GL4">
        <f t="shared" si="78"/>
        <v>526.28100000000018</v>
      </c>
      <c r="GM4">
        <f t="shared" si="79"/>
        <v>482.46999999999997</v>
      </c>
      <c r="GN4">
        <f t="shared" si="80"/>
        <v>3</v>
      </c>
      <c r="GO4">
        <f t="shared" si="81"/>
        <v>0</v>
      </c>
      <c r="GP4">
        <f t="shared" si="82"/>
        <v>0</v>
      </c>
      <c r="GQ4" t="str">
        <f>IF(BM4="","",IF(AND(CG4=1,GP4=1),COUNTIFS(A$3:A4,A4,CG$3:CG4,1,GP$3:GP4,1),IF(OR(OR(BA4=1,A4&lt;&gt;A3),AJ4="вручную",GP4=0),"",IF(BA4=1,"",GR3))))</f>
        <v/>
      </c>
      <c r="GR4" t="str">
        <f t="shared" si="83"/>
        <v/>
      </c>
      <c r="GS4" t="str">
        <f>IF(B4="","",IFERROR(LOOKUP(INDEX(CHOOSE(EB4,Iдоп_1ж,Iдоп_2ж,Iдоп_3ж),MATCH(EN4,Iдоп_S,0))*DZ4*EA4,{6,10,16,20,25,32,40,50,63,80,100,125,160,200,250,315,400,500,630}),""))</f>
        <v/>
      </c>
      <c r="GT4" t="str">
        <f t="shared" si="84"/>
        <v/>
      </c>
      <c r="GU4" t="str">
        <f t="shared" si="85"/>
        <v/>
      </c>
      <c r="GV4" t="str">
        <f t="shared" si="86"/>
        <v/>
      </c>
      <c r="GW4">
        <f t="shared" si="87"/>
        <v>0</v>
      </c>
      <c r="GX4" t="str">
        <f>IF(OR(B4="",DJ4=""),"",IFERROR(_xlfn.XLOOKUP(DJ4,Модули_умолч[Управление],Модули_умолч[Модель])&amp;"",""))</f>
        <v/>
      </c>
      <c r="GY4">
        <f>IF(DJ4="",1,IFERROR(MAX(0,N(_xlfn.XLOOKUP(DJ4,Модули_умолч[Управление],Модули_умолч[Каналов на линию]))),1))</f>
        <v>1</v>
      </c>
      <c r="GZ4" t="str">
        <f t="shared" si="88"/>
        <v/>
      </c>
      <c r="HA4" t="str">
        <f t="shared" si="89"/>
        <v/>
      </c>
      <c r="HB4" t="str">
        <f t="shared" si="90"/>
        <v/>
      </c>
      <c r="HC4">
        <f>IF(HB4="",0,IFERROR(N(VLOOKUP(HB4,Модули_спр,3,FALSE)),0))</f>
        <v>0</v>
      </c>
      <c r="HD4" t="str">
        <f t="shared" si="91"/>
        <v/>
      </c>
      <c r="HE4" t="str">
        <f t="shared" si="92"/>
        <v/>
      </c>
      <c r="HF4" t="str">
        <f>IF(OR(HE4="",HE4="-"),"",IFERROR(VLOOKUP(HE4,Модули_спр,2,FALSE),"R"))</f>
        <v/>
      </c>
      <c r="HG4" t="str">
        <f>IF(HF4="","",HF4&amp;"."&amp;COUNTIFS(A$3:A4,A4,HF$3:HF4,HF4))</f>
        <v/>
      </c>
      <c r="HH4" t="str">
        <f t="shared" si="93"/>
        <v/>
      </c>
      <c r="HI4" t="str">
        <f t="shared" si="94"/>
        <v/>
      </c>
      <c r="HJ4" t="str">
        <f t="shared" si="95"/>
        <v/>
      </c>
      <c r="HK4" t="str">
        <f t="shared" si="96"/>
        <v/>
      </c>
      <c r="HL4">
        <f t="shared" si="97"/>
        <v>0</v>
      </c>
      <c r="HM4" t="str">
        <f>IF(HL4=1,"XT"&amp;COUNTIFS(A$3:A4,A4,HL$3:HL4,1),"")</f>
        <v/>
      </c>
      <c r="HN4" t="str">
        <f t="shared" si="98"/>
        <v/>
      </c>
      <c r="HO4" t="str">
        <f t="shared" si="99"/>
        <v/>
      </c>
      <c r="HP4" t="str">
        <f t="shared" si="100"/>
        <v/>
      </c>
      <c r="HQ4" t="str">
        <f t="shared" si="101"/>
        <v>ok</v>
      </c>
      <c r="HR4" t="str">
        <f>IF(OR(HJ4="",HH4=""),"",IF(HJ4+MAX(0,GY4-1)&gt;IFERROR(VLOOKUP(HI4,Модули_спр,3,FALSE),99),"ЛИШНИЙ КАНАЛ",IF(AND(AL4&lt;&gt;"=",GY4&gt;0,COUNTIFS(Линии[_модуль гр.],HH4,Линии[Канал (итог)],HJ4,Линии[Канал],"&lt;&gt;=",Линии[Щит],A4)&gt;1),"ДУБЛЬ КАНАЛА","")))</f>
        <v/>
      </c>
      <c r="HS4" s="6" t="str">
        <f t="shared" si="102"/>
        <v/>
      </c>
      <c r="HT4">
        <f t="shared" si="103"/>
        <v>10</v>
      </c>
      <c r="HU4" t="str">
        <f t="shared" si="104"/>
        <v/>
      </c>
      <c r="HV4">
        <f t="shared" si="105"/>
        <v>0</v>
      </c>
      <c r="HW4">
        <f t="shared" si="106"/>
        <v>0</v>
      </c>
      <c r="HX4">
        <f t="shared" si="107"/>
        <v>0</v>
      </c>
      <c r="HY4">
        <f t="shared" si="108"/>
        <v>0</v>
      </c>
      <c r="HZ4">
        <f t="shared" si="109"/>
        <v>0</v>
      </c>
      <c r="IA4">
        <f t="shared" si="110"/>
        <v>0</v>
      </c>
      <c r="IB4">
        <f t="shared" si="111"/>
        <v>0</v>
      </c>
      <c r="IC4" t="str">
        <f t="shared" si="112"/>
        <v/>
      </c>
      <c r="ID4" t="str" cm="1">
        <f t="array" ref="ID4">IF(IC4="","",_xlfn.LET(_xlpm.tk,_xlfn.TEXTSPLIT(SUBSTITUTE(SUBSTITUTE(IC4,";"," "),"→"," ")," ",,TRUE),_xlpm.w_,_xlfn._xlws.FILTER(_xlpm.tk,ISNUMBER(--LEFT(_xlpm.tk,1))*((ISNUMBER(SEARCH("W",_xlpm.tk))+ISNUMBER(SEARCH("Вт",_xlpm.tk)))&gt;0),""),IFERROR(--SUBSTITUTE(SUBSTITUTE(UPPER(INDEX(_xlpm.w_,1)),"W",""),"ВТ",""),"")))</f>
        <v/>
      </c>
      <c r="IE4" t="str" cm="1">
        <f t="array" ref="IE4">IF(IC4="","",_xlfn.LET(_xlpm.tk,_xlfn.TEXTSPLIT(SUBSTITUTE(SUBSTITUTE(IC4,";"," "),"→"," ")," ",,TRUE),_xlpm.v_,_xlfn._xlws.FILTER(_xlpm.tk,ISNUMBER(--LEFT(_xlpm.tk,1))*((ISNUMBER(SEARCH("V",_xlpm.tk))+(RIGHT(UPPER(_xlpm.tk))="В"))&gt;0),""),IFERROR(--SUBSTITUTE(SUBSTITUTE(UPPER(INDEX(_xlpm.v_,1)),"V",""),"В",""),"")))</f>
        <v/>
      </c>
      <c r="IF4" s="6" t="str">
        <f>IF(OR(BV4=0,HI4="",HJ4=""),"",IFERROR(N(_xlfn.XLOOKUP(HI4,Каталог!$C$4:$C$500,Каталог!$Q$4:$Q$500)),""))</f>
        <v/>
      </c>
      <c r="IG4" s="6" t="str">
        <f>IF(N(IF4)=0,"",SUMIFS(Линии[Iр, А],Линии[Щит],A4,Линии[_модуль гр.],HH4,Линии[Канал (итог)],HJ4))</f>
        <v/>
      </c>
      <c r="IH4" t="str">
        <f>IF(AND(B4="",HO4=""),"",_xlfn.TEXTJOIN("; ",TRUE,IF(AND(B4&lt;&gt;"",FV4=""),"нет фазы",""),IF(AND(B4&lt;&gt;"",N(GL4)=0,FG4&lt;&gt;"Нет"),"нет мощности",""),IF(AND(HN4&lt;&gt;"",COUNTIFS(Линии[Щит],A4,Линии[Клемма (итог)],HN4)&gt;1),"дубль клеммы "&amp;HN4,""),IF(AND(HQ4&lt;&gt;"",HQ4&lt;&gt;"ok"),HQ4,""),IF(HR4&lt;&gt;"",HR4,""),IF(AND(N(CB4)&gt;=4,N(BX4)=1),CB4&amp;" жил на 1 фазе",""),IF(AND(BC4="R",CG4=1,IF(CS4&lt;&gt;"",N(CV4)&gt;30,OR(N(DA4)=0,N(DA4)&gt;30))),"розетка без дифзащиты до 30 мА",""),IF(AND(CG4=1,N(DA4)&gt;0,ISNUMBER(T4)),IF(T4&gt;N(DA4)/3,"ток утечки "&amp;FIXED(T4,1)&amp;" мА &gt; 1/3 уставки ("&amp;DA4&amp;" мА)",""),""),IF(AND(CH4=1,CS4=""),"«узо»: нет строки с УЗО выше (УЗО 2P 40А 30мА в «Аппаратах»)",""),IF(AND(CS4&lt;&gt;"",CS4=BA4),IF(CT4="","впишите номинал УЗО (УЗО 2P 40А 30мА)",IF(N(CT4)&lt;N(DT4),"УЗО "&amp;CT4&amp;" А &lt; автомата "&amp;DT4&amp;" А перед ним",IF(N(CT4)&lt;N(CX4),"УЗО "&amp;CT4&amp;" А &lt; тока блока "&amp;FIXED(CX4,1)&amp;" А",""))),""),IF(AND(CS4&lt;&gt;"",CS4=BA4,ISNUMBER(CY4)),IF(CY4&gt;N(CV4)/3,"ток утечки блока УЗО "&amp;FIXED(CY4,1)&amp;" мА &gt; 1/3 уставки ("&amp;CV4&amp;" мА)",""),""),IF(AND(CG4=1,N(BV4)+N(IB4)&gt;0,IC4=""),"линии до 50 В без БП: впишите в «Аппараты» (БП 24V 480W)",""),IF(AND(CG4=1,ISNUMBER(ID4),ISNUMBER(U4)),IF(U4&gt;ID4,"БП "&amp;ID4&amp;" Вт &lt; нужно "&amp;U4&amp;" Вт (×"&amp;Запас_БП&amp;")",""),""),IF(AND(CG4=1,ISNUMBER(IE4),N(BV4)=1),IF(IE4&lt;&gt;N(BU4),"БП на "&amp;IE4&amp;" В, линия "&amp;BU4&amp;" В",""),""),IF(AND(N(IF4)&gt;0,N(IG4)&gt;N(IF4)),HH4&amp;" канал "&amp;HJ4&amp;": "&amp;FIXED(IG4,1)&amp;" А &gt; "&amp;IF4&amp;" А",""),IFERROR(IF(AND(ISNUMBER(Q4),Q4&gt;EL4),"потери "&amp;FIXED(Q4,1)&amp;" % &gt; "&amp;EL4&amp;" %",""),""),IFERROR(IF(LEFT(HU4,4)="мало","Iкз мало — отключение &gt; 0,4 с",""),""),IF(AND(B4&lt;&gt;"",BM4=""),"не на схеме",""),IF(AND(CG4=0,B4&lt;&gt;"",FV4&lt;&gt;"",IF(BA4=1,"",FW3)&lt;&gt;"",FV4&lt;&gt;IF(BA4=1,"",FW3)),"фаза не как у автомата группы ("&amp;IF(BA4=1,"",FW3)&amp;")","")))</f>
        <v/>
      </c>
      <c r="II4" s="6" t="str">
        <f>IF(OR(CG4=0,DQ4=""),"",_xlfn.LET(_xlpm.t,IFERROR(_xlfn.XLOOKUP(DQ4,Каталог!$U$4:$U$500,Каталог!$G$4:$G$500),""),_xlpm.k,SEARCH("кА",_xlpm.t),IFERROR(--TRIM(RIGHT(SUBSTITUTE(MID(_xlpm.t,MAX(1,_xlpm.k-4),_xlpm.k-MAX(1,_xlpm.k-4))," ",REPT(" ",9)),5)),"")))</f>
        <v/>
      </c>
      <c r="IJ4" t="str">
        <f>IF(OR(II4="",CG4=0),"",IF(_xlfn.XLOOKUP(A4,Щиты[Щит],Щиты[Iкз max на шинах, кА],"")="","",IF(II4&lt;_xlfn.XLOOKUP(A4,Щиты[Щит],Щиты[Iкз max на шинах, кА]),"Icu "&amp;II4&amp;" кА &lt; Iкз max","ok")))</f>
        <v/>
      </c>
      <c r="IK4" t="str">
        <f t="shared" si="113"/>
        <v/>
      </c>
      <c r="IL4" t="str">
        <f t="shared" si="114"/>
        <v/>
      </c>
      <c r="IM4" t="str">
        <f t="shared" si="115"/>
        <v/>
      </c>
      <c r="IN4" t="str" cm="1">
        <f t="array" ref="IN4">IF(IM4="","",_xlfn.LET(_xlpm.nd,_xlfn.TEXTSPLIT(IM4,"|"),IF(COLUMNS(_xlpm.nd)&gt;1,A4&amp;"¦"&amp;INDEX(_xlpm.nd,1)&amp;"¦"&amp;INDEX(_xlpm.nd,2),"")))</f>
        <v/>
      </c>
      <c r="IO4" t="str">
        <f t="shared" si="116"/>
        <v/>
      </c>
      <c r="IP4" t="str" cm="1">
        <f t="array" ref="IP4">IF(IM4="","",_xlfn.LET(_xlpm.nd,_xlfn.TEXTSPLIT(IM4,"|"),IF(COLUMNS(_xlpm.nd)&gt;2,A4&amp;"¦"&amp;INDEX(_xlpm.nd,2)&amp;"¦"&amp;INDEX(_xlpm.nd,3),"")))</f>
        <v/>
      </c>
      <c r="IQ4" t="str">
        <f t="shared" si="117"/>
        <v/>
      </c>
      <c r="IR4" t="str" cm="1">
        <f t="array" ref="IR4">IF(IM4="","",_xlfn.LET(_xlpm.nd,_xlfn.TEXTSPLIT(IM4,"|"),IF(COLUMNS(_xlpm.nd)&gt;3,A4&amp;"¦"&amp;INDEX(_xlpm.nd,3)&amp;"¦"&amp;INDEX(_xlpm.nd,4),"")))</f>
        <v/>
      </c>
      <c r="IS4" t="str">
        <f t="shared" si="118"/>
        <v/>
      </c>
      <c r="IT4" t="str" cm="1">
        <f t="array" ref="IT4">IF(IM4="","",_xlfn.LET(_xlpm.nd,_xlfn.TEXTSPLIT(IM4,"|"),IF(COLUMNS(_xlpm.nd)&gt;4,A4&amp;"¦"&amp;INDEX(_xlpm.nd,4)&amp;"¦"&amp;INDEX(_xlpm.nd,5),"")))</f>
        <v/>
      </c>
      <c r="IU4" t="str">
        <f t="shared" si="119"/>
        <v/>
      </c>
      <c r="IV4" t="str" cm="1">
        <f t="array" ref="IV4">IF(IM4="","",_xlfn.LET(_xlpm.nd,_xlfn.TEXTSPLIT(IM4,"|"),IF(COLUMNS(_xlpm.nd)&gt;5,A4&amp;"¦"&amp;INDEX(_xlpm.nd,5)&amp;"¦"&amp;INDEX(_xlpm.nd,6),"")))</f>
        <v/>
      </c>
      <c r="IW4" t="str">
        <f t="shared" si="120"/>
        <v/>
      </c>
      <c r="IX4" t="str" cm="1">
        <f t="array" ref="IX4">IF(IM4="","",_xlfn.LET(_xlpm.nd,_xlfn.TEXTSPLIT(IM4,"|"),IF(COLUMNS(_xlpm.nd)&gt;6,A4&amp;"¦"&amp;INDEX(_xlpm.nd,6)&amp;"¦"&amp;INDEX(_xlpm.nd,7),"")))</f>
        <v/>
      </c>
      <c r="IY4" t="str">
        <f t="shared" si="121"/>
        <v/>
      </c>
      <c r="IZ4" t="str">
        <f t="shared" si="122"/>
        <v/>
      </c>
      <c r="JA4" t="str">
        <f t="shared" si="123"/>
        <v/>
      </c>
      <c r="JB4">
        <f t="shared" si="124"/>
        <v>0</v>
      </c>
      <c r="JC4">
        <f t="shared" si="125"/>
        <v>0</v>
      </c>
      <c r="JD4" t="str">
        <f t="shared" si="126"/>
        <v/>
      </c>
      <c r="JE4" t="str">
        <f t="shared" si="127"/>
        <v/>
      </c>
      <c r="JF4" t="str">
        <f t="shared" si="128"/>
        <v/>
      </c>
      <c r="JG4" t="str">
        <f t="shared" si="129"/>
        <v/>
      </c>
      <c r="JH4">
        <f>IF(B4="","",IFERROR(_xlfn.XLOOKUP(B4,Коды_код,Коды_уго),IFERROR(_xlfn.XLOOKUP(BC4,Коды_код,Коды_уго),IFERROR(_xlfn.XLOOKUP(LEFT(BC4,2),Коды_код,Коды_уго),""))))</f>
        <v>0</v>
      </c>
      <c r="JI4" t="str">
        <f>IF(B4="","",IF(OR(JH4="",JH4=0),"BOX",IFERROR(IF(VLOOKUP(JH4,УГО_блоки,3,FALSE)&amp;""&lt;&gt;"",VLOOKUP(JH4,УГО_блоки,3,FALSE),VLOOKUP(JH4,УГО_блоки,2,FALSE)),JH4)))</f>
        <v>BOX</v>
      </c>
      <c r="JJ4">
        <f t="shared" si="130"/>
        <v>1</v>
      </c>
      <c r="JK4" t="str">
        <f>IF(DQ4="","",IF(COUNTIF(DQ$3:DQ4,DQ4)=1,MAX(JK$2:JK3)+1,""))</f>
        <v/>
      </c>
      <c r="JL4" t="str">
        <f>IF(DE4="","",IF(COUNTIF(DE$3:DE4,DE4)+COUNTIF(DF$2:DF3,DE4)+COUNTIF(DG$2:DG3,DE4)=1,MAX(JL$2:JN3)+1,""))</f>
        <v/>
      </c>
      <c r="JM4" t="str">
        <f>IF(DF4="","",IF(COUNTIF(DE$3:DE4,DF4)+COUNTIF(DF$3:DF4,DF4)+COUNTIF(DG$2:DG3,DF4)=1,MAX(JL$2:JN3,JL4)+1,""))</f>
        <v/>
      </c>
      <c r="JN4" t="str">
        <f>IF(DG4="","",IF(COUNTIF(DE$3:DE4,DG4)+COUNTIF(DF$3:DF4,DG4)+COUNTIF(DG$3:DG4,DG4)=1,MAX(JL$2:JN3,JL4,JM4)+1,""))</f>
        <v/>
      </c>
      <c r="JO4" t="str">
        <f t="shared" si="131"/>
        <v/>
      </c>
      <c r="JP4" t="str">
        <f>IF(JO4="","",IF(COUNTIF(JO$3:JO4,JO4)=1,MAX(JP$2:JP3)+1,""))</f>
        <v/>
      </c>
      <c r="JQ4" t="str">
        <f>IF(HG4="","",COUNTIF(HG$3:HG4,"?*"))</f>
        <v/>
      </c>
      <c r="JR4" t="str">
        <f>IF(OR(HG4="",HI4=""),"",IF(COUNTIFS(HG$3:HG4,"?*",HI$3:HI4,HI4)=1,MAX(JR$2:JR3)+1,""))</f>
        <v/>
      </c>
      <c r="JS4">
        <f t="shared" si="132"/>
        <v>0</v>
      </c>
      <c r="JT4">
        <f>IF(B4="","",COUNTIF(B$3:B4,"?*"))</f>
        <v>2</v>
      </c>
      <c r="JU4">
        <f>IF(HL4&lt;&gt;1,0,_xlfn.LET(_xlpm.k,MAX(IFERROR(--_xlfn.XLOOKUP(B4,Коды_код,Коды_3L),0),IFERROR(--_xlfn.XLOOKUP(BC4,Коды_код,Коды_3L),0),IFERROR(--_xlfn.XLOOKUP(LEFT(BC4,2),Коды_код,Коды_3L),0)),IF(_xlpm.k&gt;0,_xlpm.k,IF(IFERROR(--LEFT(SUBSTITUTE(JO4,"x","х"),FIND("х",SUBSTITUTE(JO4,"x","х"))-1),3)&gt;3,Каталог!$S$9,1))))</f>
        <v>0</v>
      </c>
      <c r="JV4">
        <f t="shared" si="133"/>
        <v>0</v>
      </c>
      <c r="JW4" t="str">
        <f t="shared" si="134"/>
        <v>авто</v>
      </c>
      <c r="JX4" t="str">
        <f t="shared" si="135"/>
        <v/>
      </c>
      <c r="JY4">
        <f t="shared" si="136"/>
        <v>0</v>
      </c>
      <c r="JZ4">
        <f t="shared" si="137"/>
        <v>1</v>
      </c>
    </row>
    <row r="5" spans="1:286" x14ac:dyDescent="0.3">
      <c r="A5" t="s">
        <v>783</v>
      </c>
      <c r="B5" t="s">
        <v>779</v>
      </c>
      <c r="C5" t="s">
        <v>778</v>
      </c>
      <c r="D5">
        <v>1</v>
      </c>
      <c r="E5">
        <v>1.6</v>
      </c>
      <c r="G5">
        <v>10</v>
      </c>
      <c r="H5" t="str">
        <f>Линии[[#This Row],[_авто управление]]</f>
        <v/>
      </c>
      <c r="I5" t="str">
        <f>Линии[[#This Row],[_авто аппараты]]</f>
        <v/>
      </c>
      <c r="J5">
        <v>2.5</v>
      </c>
      <c r="K5">
        <v>15</v>
      </c>
      <c r="L5" t="str">
        <f>Линии[[#This Row],[_авто фаза]]</f>
        <v>L2</v>
      </c>
      <c r="M5" t="str">
        <f>Линии[[#This Row],[_авто клемма]]</f>
        <v>XT1</v>
      </c>
      <c r="N5" t="str">
        <f t="shared" si="0"/>
        <v/>
      </c>
      <c r="O5" s="6" cm="1">
        <f t="array" ref="O5">IF(B5="","",IF(BH5&lt;&gt;"",IFERROR(_xlfn.XLOOKUP(BH5,Щиты[Щит],Щиты[Iр, А]),""),IF(BP5=1,IF(OR(N(_xlfn.XLOOKUP(A5,Щиты[Щит],Щиты[Вводов],1))&lt;=1,LOWER(TRIM(_xlfn.XLOOKUP(A5,Щиты[Щит],Щиты[АВР],"")&amp;""))="да"),IFERROR(_xlfn.XLOOKUP(A5,Щиты[Щит],Щиты[Iр, А]),""),IFERROR(N(BS5)*_xlfn.XLOOKUP(A5,Щиты[Щит],Щиты[Кс итог])/(SQRT(3)*Uн_лин*_xlfn.XLOOKUP(A5,Щиты[Щит],Щиты[cos φ])),"")),IF(BV5=1,IFERROR(BS5*1000/BU5,""),IFERROR(_xlfn.IFS(BX5=1,BS5/((Uн_лин/SQRT(3))*CE5),BX5=3,BS5/(SQRT(3)*Uн_лин*CE5)),"")))))</f>
        <v>3.646422752776584</v>
      </c>
      <c r="P5" s="7">
        <f>IF(B5="","",IFERROR(IF(VLOOKUP(BC5,Потребители_обозначение,4,FALSE)=1,VLOOKUP(BC5,Потребители_обозначение,3,FALSE)*(MAX(1,N(D5))*2-1)+EI5+VLOOKUP(BE5,Этаж_обозначение,3,FALSE)+VLOOKUP(BE5,Этаж_обозначение,4,FALSE),VLOOKUP(BC5,Потребители_обозначение,3,FALSE)*(MAX(1,N(D5))*2-1)+EI5),EI5))</f>
        <v>15</v>
      </c>
      <c r="Q5" s="6">
        <f t="shared" si="1"/>
        <v>0.41000000000000003</v>
      </c>
      <c r="R5" t="str">
        <f t="shared" si="2"/>
        <v>ВВГнг(А)-FRLS (3х2,5)</v>
      </c>
      <c r="S5" t="str">
        <f>IF(BM5="","",IF(BN5="вводной узел","узел ","")&amp;"л."&amp;(INT((BM5-1)/Столбцов_на_лист)+1)&amp;" / "&amp;(MOD(BM5-1,Столбцов_на_лист)+1))</f>
        <v>л.1 / 7</v>
      </c>
      <c r="T5" s="119" t="str">
        <f t="shared" si="3"/>
        <v/>
      </c>
      <c r="U5" s="7" t="str">
        <f>IF(OR(CG5=0,N(BV5)+N(IB5)=0),"",ROUNDUP(Запас_БП*(N(HY5)+N(HZ5)),0))</f>
        <v/>
      </c>
      <c r="V5" s="119" t="str">
        <f t="shared" si="4"/>
        <v/>
      </c>
      <c r="W5" s="7" t="str">
        <f>IFERROR(IF(OR(B5="",BP5=1,BV5=1,NOT(ISNUMBER(EN5)),N(DT5)=0),"",MAX(0,ROUNDDOWN((c_min*(Uн_лин*1000/SQRT(3))/(HT5*N(DT5))-_xlfn.XLOOKUP(A5,Щиты[Щит],Щиты[Zпетли на шинах, Ом]))*EN5/(2*ρкз_Cu),0))),"")</f>
        <v/>
      </c>
      <c r="X5" t="s">
        <v>1110</v>
      </c>
      <c r="Y5" t="str">
        <f>Линии[[#This Row],[_авто утечка]]</f>
        <v/>
      </c>
      <c r="Z5">
        <v>1</v>
      </c>
      <c r="AA5">
        <v>230</v>
      </c>
      <c r="AB5" t="s">
        <v>573</v>
      </c>
      <c r="AG5" t="s">
        <v>850</v>
      </c>
      <c r="AH5" t="s">
        <v>488</v>
      </c>
      <c r="AI5" t="s">
        <v>591</v>
      </c>
      <c r="AK5" t="str">
        <f>Линии[[#This Row],[_авто модуль]]</f>
        <v/>
      </c>
      <c r="AM5">
        <v>7</v>
      </c>
      <c r="AN5" t="s">
        <v>13</v>
      </c>
      <c r="AO5">
        <v>3</v>
      </c>
      <c r="AR5">
        <v>15</v>
      </c>
      <c r="BA5" cm="1">
        <f t="array" ref="BA5">ROW()-ROW(Линии[#Headers])</f>
        <v>3</v>
      </c>
      <c r="BC5" s="6" t="str">
        <f t="shared" si="5"/>
        <v>ЩСПЗ-ЖД</v>
      </c>
      <c r="BD5" t="str">
        <f t="shared" si="6"/>
        <v>1</v>
      </c>
      <c r="BE5" t="str">
        <f t="shared" si="7"/>
        <v>1</v>
      </c>
      <c r="BF5" t="str">
        <f t="shared" si="8"/>
        <v/>
      </c>
      <c r="BG5" t="str">
        <f t="shared" si="9"/>
        <v/>
      </c>
      <c r="BH5" t="str">
        <f>IF(X5&lt;&gt;"",X5,IF(AND(B5&lt;&gt;"",B5&lt;&gt;A5,ISNUMBER(_xlfn.XMATCH(B5,Щиты[Щит]))),B5,""))</f>
        <v>ЩСПЗ-ЖД</v>
      </c>
      <c r="BI5" t="str" cm="1">
        <f t="array" ref="BI5">IF(B5="","",IF(BH5&lt;&gt;"","Щит "&amp;BH5,_xlfn.LET(_xlpm.nm,IFERROR(_xlfn.XLOOKUP(BC5,Коды_код,Коды_имя)&amp;"",""),_xlpm.md,IFERROR(N(_xlfn.XLOOKUP(BC5,Коды_код,Коды_режим)),1),_xlpm.ex,IF(Имя_режим="по экспликации",IFERROR(_xlfn.XLOOKUP(BE5&amp;"|"&amp;BG5,Экспликация[Этаж]&amp;"|"&amp;Экспликация[Помещение],Экспликация[Название])&amp;"",""),""),_xlpm.rm,IF(BG5="","",IF(_xlpm.ex&lt;&gt;"",". "&amp;_xlpm.ex&amp;IF(Имя_пом="нет"," ("&amp;BG5&amp;")"," (пом. "&amp;BG5&amp;")"),IF(Имя_пом="нет"," ",", пом. ")&amp;BG5)),IF(_xlpm.nm="","",IF(_xlpm.md=2,_xlpm.nm&amp;" шлейф "&amp;BE5,_xlpm.nm&amp;_xlpm.rm)))))</f>
        <v>Щит ЩСПЗ-ЖД</v>
      </c>
      <c r="BJ5" t="str">
        <f t="shared" si="10"/>
        <v>Щит системы противопожарной защиты Цокольный этаж этаж Пом. №001Т Ввод.1</v>
      </c>
      <c r="BK5">
        <f>IFERROR(_xlfn.XMATCH(A5,Щиты[Щит]),0)</f>
        <v>1</v>
      </c>
      <c r="BL5">
        <f>_xlfn.LET(_xlpm.k,IFERROR(_xlfn.XLOOKUP(A5,Щиты[Щит],Щиты[Мест под вводной узел]),""),IF(_xlpm.k="",Столбцов_на_лист,N(_xlpm.k)))</f>
        <v>6</v>
      </c>
      <c r="BM5">
        <f t="shared" si="11"/>
        <v>7</v>
      </c>
      <c r="BN5" t="str">
        <f t="shared" si="12"/>
        <v>линии</v>
      </c>
      <c r="BO5" s="6">
        <f>IFERROR(N(_xlfn.XLOOKUP(BC5,Коды_код,Коды_квт)),0)</f>
        <v>0</v>
      </c>
      <c r="BP5">
        <f t="shared" si="13"/>
        <v>0</v>
      </c>
      <c r="BQ5">
        <f>IF(B5="","",IF(BH5&lt;&gt;"",IFERROR(_xlfn.XLOOKUP(BH5,Щиты[Щит],Щиты[Руст, кВт]),0),IF(BP5=1,IF(OR(N(_xlfn.XLOOKUP(A5,Щиты[Щит],Щиты[Вводов],1))&lt;=1,LOWER(TRIM(_xlfn.XLOOKUP(A5,Щиты[Щит],Щиты[АВР],"")&amp;""))="да"),IFERROR(_xlfn.XLOOKUP(A5,Щиты[Щит],Щиты[Руст, кВт]),0),SUMIFS(Линии[_Р для вводов],Линии[Щит],A5,Линии[Источник для режимов],GF5)),IF(BO5&gt;0,ROUND(BO5*MAX(1,N(D5)),3),""))))</f>
        <v>1.6</v>
      </c>
      <c r="BR5">
        <f t="shared" si="14"/>
        <v>1.6</v>
      </c>
      <c r="BS5" s="6">
        <f>IF(B5="","",IF(BH5&lt;&gt;"",IFERROR(_xlfn.XLOOKUP(BH5,Щиты[Щит],Щиты[Руст, кВт]),0),N(BR5)))</f>
        <v>1.6</v>
      </c>
      <c r="BT5" t="str">
        <f>IF(B5="","",IFERROR(IF(VLOOKUP(BC5,Потребители_обозначение,8,FALSE)=0,"",VLOOKUP(BC5,Потребители_обозначение,8,FALSE)),""))</f>
        <v/>
      </c>
      <c r="BU5">
        <f t="shared" si="15"/>
        <v>230</v>
      </c>
      <c r="BV5">
        <f t="shared" si="16"/>
        <v>0</v>
      </c>
      <c r="BW5">
        <f>IF(B5="","",IF(BH5&lt;&gt;"",3,IFERROR(IF(N(VLOOKUP(BC5,Потребители_обозначение,9,FALSE))=0,1,VLOOKUP(BC5,Потребители_обозначение,9,FALSE)),1)))</f>
        <v>3</v>
      </c>
      <c r="BX5">
        <f t="shared" si="17"/>
        <v>1</v>
      </c>
      <c r="BY5" t="str">
        <f>IF(B5="","",_xlfn.LET(_xlpm.bc,IFERROR(IF(VLOOKUP(BC5,Потребители_обозначение,6,FALSE)=0,"",VLOOKUP(BC5,Потребители_обозначение,6,FALSE)&amp;""),""),IF(AND(GA5="да",OR(_xlpm.bc="",_xlpm.bc="мс")),Марка_пож,IF(AND(_xlpm.bc="",BH5&lt;&gt;""),"мс",_xlpm.bc))))</f>
        <v>мфр</v>
      </c>
      <c r="BZ5" t="str">
        <f t="shared" si="18"/>
        <v>мфр</v>
      </c>
      <c r="CA5">
        <f>IF(B5="","",_xlfn.LET(_xlpm.cc,IFERROR(N(VLOOKUP(BC5,Потребители_обозначение,7,FALSE)),0),IF(_xlpm.cc&gt;0,_xlpm.cc,IF(BZ5="","",IF(BV5=1,2,IF(N(BX5)=3,5,3))))))</f>
        <v>3</v>
      </c>
      <c r="CB5">
        <f t="shared" si="19"/>
        <v>3</v>
      </c>
      <c r="CC5">
        <f>IFERROR(N(VLOOKUP(BC5,Потребители_обозначение,10,FALSE)),0)</f>
        <v>0</v>
      </c>
      <c r="CD5">
        <f>IFERROR(VLOOKUP(BC5,Потребители_обозначение,5,FALSE),0)</f>
        <v>0</v>
      </c>
      <c r="CE5" s="6" cm="1">
        <f t="array" ref="CE5">IF(B5="","",IF(BH5&lt;&gt;"",IFERROR(_xlfn.XLOOKUP(BH5,Щиты[Щит],Щиты[cos φ]),0.95),IF(BP5=1,IFERROR(_xlfn.XLOOKUP(A5,Щиты[Щит],Щиты[cos φ]),0.95),IF(ISNUMBER(AD5),AD5,IFERROR(IF(CD5=2,_xlfn.IFS(BX5=3,VLOOKUP(BS5,Справочная_двигатели,8,FALSE),BX5=1,VLOOKUP(BS5,Справочная_двигатели,10,TRUE)),IF(AND(Методика="нормы 2026",FG5="Сил"),0.8,0.95)),0.95)))))</f>
        <v>0.95</v>
      </c>
      <c r="CF5">
        <f t="shared" si="20"/>
        <v>0</v>
      </c>
      <c r="CG5">
        <f t="shared" si="21"/>
        <v>1</v>
      </c>
      <c r="CH5">
        <f t="shared" si="22"/>
        <v>0</v>
      </c>
      <c r="CI5">
        <f>IF(B5="","",IF(BV5=1,IFERROR(BS5/((Uн_лин/SQRT(3))*MAX(0.5,N(CE5))),0),N(O5)))</f>
        <v>3.646422752776584</v>
      </c>
      <c r="CJ5">
        <f t="shared" si="23"/>
        <v>0</v>
      </c>
      <c r="CK5">
        <f t="shared" si="24"/>
        <v>0</v>
      </c>
      <c r="CL5">
        <f t="shared" si="25"/>
        <v>0</v>
      </c>
      <c r="CM5">
        <f t="shared" si="26"/>
        <v>0</v>
      </c>
      <c r="CN5">
        <f t="shared" si="27"/>
        <v>0</v>
      </c>
      <c r="CO5">
        <f>IF(BC5="",0,_xlfn.LET(_xlpm.v,IFERROR(_xlfn.XLOOKUP(B5,Коды_код,Коды_мА),IFERROR(_xlfn.XLOOKUP(BC5,Коды_код,Коды_мА),IFERROR(_xlfn.XLOOKUP(LEFT(BC5,2),Коды_код,Коды_мА),""))),IF(_xlpm.v="да",30,IF(ISNUMBER(_xlpm.v),_xlpm.v,0))))</f>
        <v>0</v>
      </c>
      <c r="CP5" t="str">
        <f t="shared" si="28"/>
        <v/>
      </c>
      <c r="CQ5" t="str">
        <f>_xlfn.LET(_xlpm.k,IFERROR(_xlfn.XLOOKUP(BC5,Коды_код,Коды_утечка)&amp;"",""),IF(_xlpm.k="","дифавтомат",_xlpm.k))</f>
        <v>дифавтомат</v>
      </c>
      <c r="CR5" t="str" cm="1">
        <f t="array" ref="CR5">IF(CG5=0,"",_xlfn.LET(_xlpm.sg,TRIM(_xlfn.TEXTSPLIT(DD5&amp;"",";")),_xlpm.f_,_xlfn._xlws.FILTER(_xlpm.sg,LEFT(_xlpm.sg,3)="УЗО",""),IFERROR(INDEX(_xlpm.f_,1)&amp;"","")))</f>
        <v/>
      </c>
      <c r="CS5" t="str">
        <f t="shared" si="29"/>
        <v/>
      </c>
      <c r="CT5" s="6" t="str" cm="1">
        <f t="array" ref="CT5">IF(CR5="","",_xlfn.LET(_xlpm.tk,_xlfn.TEXTSPLIT(UPPER(CR5)," ",,TRUE),_xlpm.a_,_xlfn._xlws.FILTER(_xlpm.tk,ISNUMBER(--LEFT(_xlpm.tk,1))*((ISNUMBER(SEARCH("А",_xlpm.tk))+ISNUMBER(SEARCH("A",_xlpm.tk)))&gt;0)*NOT(ISNUMBER(SEARCH("МА",_xlpm.tk)))*NOT(ISNUMBER(SEARCH("MA",_xlpm.tk))),""),IFERROR(--SUBSTITUTE(SUBSTITUTE(INDEX(_xlpm.a_,1),"А",""),"A",""),"")))</f>
        <v/>
      </c>
      <c r="CU5" t="str" cm="1">
        <f t="array" ref="CU5">IF(CR5="","",_xlfn.LET(_xlpm.tk,_xlfn.TEXTSPLIT(UPPER(CR5)," ",,TRUE),_xlpm.a_,_xlfn._xlws.FILTER(_xlpm.tk,ISNUMBER(--LEFT(_xlpm.tk,1))*((ISNUMBER(SEARCH("МА",_xlpm.tk))+ISNUMBER(SEARCH("MA",_xlpm.tk)))&gt;0),""),IFERROR(--SUBSTITUTE(SUBSTITUTE(INDEX(_xlpm.a_,1),"МА",""),"MA",""),30)))</f>
        <v/>
      </c>
      <c r="CV5" t="str">
        <f>IF(CS5="","",IFERROR(_xlfn.XLOOKUP(CS5,Линии[_n],Линии[_УЗО, мА]),30))</f>
        <v/>
      </c>
      <c r="CW5">
        <f>IF(CS5="",0,IF(ISNUMBER(SEARCH("4P",IFERROR(_xlfn.XLOOKUP(CS5,Линии[_n],Линии[_УЗО строки])&amp;"",""))),0,1))</f>
        <v>0</v>
      </c>
      <c r="CX5" t="str">
        <f>IF(AND(CS5&lt;&gt;"",CS5=BA5),SUMIFS(Линии[_ток на 230 В],Линии[_блок УЗО],BA5,Линии[Щит],A5),"")</f>
        <v/>
      </c>
      <c r="CY5" t="str">
        <f>IF(AND(CS5&lt;&gt;"",CS5=BA5),SUMIFS(Линии[_ток утечки линии, мА],Линии[_блок УЗО],BA5,Линии[Щит],A5),"")</f>
        <v/>
      </c>
      <c r="CZ5">
        <f t="shared" si="30"/>
        <v>0</v>
      </c>
      <c r="DA5">
        <f t="shared" si="31"/>
        <v>0</v>
      </c>
      <c r="DB5">
        <f>IF(B5="",0,IFERROR(--_xlfn.XLOOKUP(B5,Коды_код,Коды_минавт),IFERROR(--_xlfn.XLOOKUP(BC5,Коды_код,Коды_минавт),IFERROR(--_xlfn.XLOOKUP(LEFT(BC5,2),Коды_код,Коды_минавт),0))))</f>
        <v>0</v>
      </c>
      <c r="DC5" t="str">
        <f>IF(B5="","",IFERROR(_xlfn.XLOOKUP(BC5,Коды_код,Коды_апп)&amp;"",""))</f>
        <v/>
      </c>
      <c r="DD5" t="str">
        <f t="shared" si="32"/>
        <v/>
      </c>
      <c r="DE5" t="str" cm="1">
        <f t="array" ref="DE5">IF(TRIM(DD5&amp;"")="","",IFERROR(TRIM(INDEX(_xlfn.TEXTSPLIT(DD5&amp;";;;",";"),1)),""))</f>
        <v/>
      </c>
      <c r="DF5" t="str" cm="1">
        <f t="array" ref="DF5">IF(TRIM(DD5&amp;"")="","",IFERROR(TRIM(INDEX(_xlfn.TEXTSPLIT(DD5&amp;";;;",";"),2)),""))</f>
        <v/>
      </c>
      <c r="DG5" t="str" cm="1">
        <f t="array" ref="DG5">IF(TRIM(DD5&amp;"")="","",IFERROR(TRIM(INDEX(_xlfn.TEXTSPLIT(DD5&amp;";;;",";"),3)),""))</f>
        <v/>
      </c>
      <c r="DH5">
        <f t="shared" si="33"/>
        <v>0</v>
      </c>
      <c r="DI5" t="str">
        <f>IF(B5="","",_xlfn.LET(_xlpm.t,LOWER(AZ5&amp;""),IF(ISNUMBER(SEARCH("dim",_xlpm.t)),"DIM",IF(ISNUMBER(SEARCH("dali",_xlpm.t)),"DALI",IF(OR(ISNUMBER(SEARCH("relay",_xlpm.t)),ISNUMBER(SEARCH("реле",_xlpm.t))),"Relay",IF(ISNUMBER(SEARCH("кнопк",_xlpm.t)),"",IFERROR(_xlfn.XLOOKUP(BC5,Коды_код,Коды_упр)&amp;"","")))))))</f>
        <v/>
      </c>
      <c r="DJ5" t="str">
        <f t="shared" si="34"/>
        <v/>
      </c>
      <c r="DK5">
        <f>IF(B5="","",_xlfn.LET(_xlpm.ig,IF(N(CX5)&gt;0,N(CX5),N(CI5)+IF(AJ5="вручную",0,N(CJ5))),_xlpm.n0,IFERROR(VLOOKUP(_xlpm.ig,Автомат_номиналы,2,TRUE),0),_xlpm.mn,MAX(DB5,IF(AJ5="вручную",0,N(CM5))),MAX(_xlpm.n0,_xlpm.mn,IF(DH5=1,Мин_автомат_БП,0))))</f>
        <v>6</v>
      </c>
      <c r="DL5">
        <f t="shared" si="35"/>
        <v>1</v>
      </c>
      <c r="DM5" t="str">
        <f t="shared" si="36"/>
        <v>1P</v>
      </c>
      <c r="DN5" t="str">
        <f>_xlfn.LET(_xlpm.cc,UPPER(TRIM(IFERROR(_xlfn.XLOOKUP(BC5,Коды_код,Коды_хар)&amp;"",""))),IF(OR(_xlpm.cc="B",_xlpm.cc="В"),"B",IF(_xlpm.cc="D","D","С")))</f>
        <v>С</v>
      </c>
      <c r="DO5" t="str">
        <f t="shared" si="37"/>
        <v>1P С6А</v>
      </c>
      <c r="DP5">
        <f t="shared" si="38"/>
        <v>10</v>
      </c>
      <c r="DQ5" t="str">
        <f t="shared" si="39"/>
        <v>1P С10А</v>
      </c>
      <c r="DR5" cm="1">
        <f t="array" ref="DR5">IF(DQ5="","",_xlfn.LET(_xlpm.t,SUBSTITUTE(SUBSTITUTE(SUBSTITUTE(UPPER(DQ5),"С","C"),"А","A"),"В","B"),_xlpm.tk,_xlfn.TEXTSPLIT(_xlpm.t," "),_xlpm.f,_xlfn._xlws.FILTER(_xlpm.tk,ISNUMBER(--MID(_xlpm.tk,2,1))*ISNUMBER(SEARCH(LEFT(_xlpm.tk,1)&amp;"#","B#C#D#"))*(LEN(_xlpm.tk)&gt;1),""),_xlpm.x,INDEX(_xlpm.f,1),IFERROR(--SUBSTITUTE(MID(_xlpm.x,2,9),"A",""),IFERROR(--SUBSTITUTE(INDEX(_xlfn._xlws.FILTER(_xlpm.tk,ISNUMBER(--SUBSTITUTE(_xlpm.tk,"A","")),""),1),"A",""),""))))</f>
        <v>10</v>
      </c>
      <c r="DS5" t="str">
        <f t="shared" si="40"/>
        <v>ok</v>
      </c>
      <c r="DT5">
        <f t="shared" si="41"/>
        <v>10</v>
      </c>
      <c r="DU5" t="str">
        <f t="shared" si="42"/>
        <v>1P С10А</v>
      </c>
      <c r="DV5">
        <f t="shared" si="43"/>
        <v>0</v>
      </c>
      <c r="DW5">
        <f t="shared" si="44"/>
        <v>0</v>
      </c>
      <c r="DX5">
        <f t="shared" si="45"/>
        <v>0</v>
      </c>
      <c r="DY5">
        <f t="shared" si="46"/>
        <v>3.646422752776584</v>
      </c>
      <c r="DZ5">
        <f t="shared" si="47"/>
        <v>1</v>
      </c>
      <c r="EA5">
        <f>IF(ISNUMBER(AP5),AP5,К_прокл)</f>
        <v>1</v>
      </c>
      <c r="EB5">
        <f t="shared" si="48"/>
        <v>2</v>
      </c>
      <c r="EC5">
        <f>IFERROR(N(VLOOKUP(BZ5,Кабель_обозначение,3,FALSE)),1)</f>
        <v>1</v>
      </c>
      <c r="ED5">
        <f>IFERROR(N(_xlfn.XLOOKUP(A5,Щиты[Щит],Щиты[ΔU до шин, %])),0)</f>
        <v>0</v>
      </c>
      <c r="EE5" t="str">
        <f>IFERROR(_xlfn.XLOOKUP(A5,Щиты[Щит],Щиты[Zпетли на шинах, Ом]),"")</f>
        <v/>
      </c>
      <c r="EF5">
        <f>IFERROR(N(_xlfn.XLOOKUP(A5,Щиты[Щит],Щиты[ΔU до шин (подбор), %])),0)</f>
        <v>0</v>
      </c>
      <c r="EG5" t="str">
        <f>IFERROR(_xlfn.XLOOKUP(A5,Щиты[Щит],Щиты[Zпетли на шинах (подбор), Ом]),"")</f>
        <v/>
      </c>
      <c r="EH5" t="str">
        <f t="shared" si="49"/>
        <v/>
      </c>
      <c r="EI5">
        <f t="shared" si="50"/>
        <v>15</v>
      </c>
      <c r="EJ5">
        <f t="shared" si="51"/>
        <v>2</v>
      </c>
      <c r="EK5">
        <f t="shared" si="52"/>
        <v>0.31</v>
      </c>
      <c r="EL5" s="6">
        <f>IF(B5="","",IF(BV5=1,dU_LED,IF(IFERROR(_xlfn.XLOOKUP(BC5,Коды_код,Коды_уго),"")="Светильник",3,4)+IF(Методика="нормы 2026",MIN(0.5,MAX(0,N(P5)-100)*0.005),0)))</f>
        <v>4</v>
      </c>
      <c r="EM5" cm="1">
        <f t="array" ref="EM5">IF(OR(B5="",BZ5="",EC5&lt;&gt;1),"",_xlfn.LET(_xlpm.sz,Iдоп_S,_xlpm.t_,CHOOSE(EB5,Iдоп_1ж,Iдоп_2ж,Iдоп_3ж)*DZ5*EA5,_xlpm.dcx,BV5=1,_xlpm.inn,IF(_xlpm.dcx,N(O5),N(DT5)),_xlpm.smin,MAX(1.5,CC5),_xlpm.L_,N(P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N(BU5)*100,999),IFERROR(N(EJ5)*(_xlpm.rho*_xlpm.L_/_xlpm.sz*N(CE5)+_xlpm.xx*_xlpm.L_*N(EK5)/1000)*N(O5)/((Uн_лин/SQRT(3))*1000)*100,999)),_xlpm.kz,IF(OR(_xlpm.dcx,DW5=1,NOT(ISNUMBER(EG5)),_xlpm.L_=0,_xlpm.inn=0),1,IFERROR(--(c_min*(Uн_лин*1000/SQRT(3))/(EG5+2*ρкз_Cu*_xlpm.L_/_xlpm.sz)&gt;=HT5*_xlpm.inn),0)),_xlpm.ok,IFERROR((_xlpm.sz&gt;=_xlpm.smin)*(_xlpm.t_&gt;=_xlpm.inn)*IF(_xlpm.L_&gt;0,(_xlpm.du_+IF(_xlpm.dcx,0,EF5)&lt;=EL5+0.00001),1)*_xlpm.kz,0),_xlpm.r_,_xlfn._xlws.FILTER(_xlpm.sz,_xlpm.ok,"не подобрано"),INDEX(_xlpm.r_,1)))</f>
        <v>1.5</v>
      </c>
      <c r="EN5">
        <f t="shared" si="53"/>
        <v>2.5</v>
      </c>
      <c r="EO5" cm="1">
        <f t="array" ref="EO5">IF(OR(B5="",BZ5="",EC5&lt;&gt;1),"",_xlfn.LET(_xlpm.sz,Iдоп_S,_xlpm.t_,CHOOSE(EB5,Iдоп_1ж,Iдоп_2ж,Iдоп_3ж)*DZ5*EA5,_xlpm.ok,IFERROR((_xlpm.sz&gt;=MAX(1.5,CC5))*(_xlpm.t_&gt;=N(DT5)),0),_xlpm.r_,_xlfn._xlws.FILTER(_xlpm.sz,_xlpm.ok,""),INDEX(_xlpm.r_,1)))</f>
        <v>1.5</v>
      </c>
      <c r="EP5" s="6" cm="1">
        <f t="array" ref="EP5">IFERROR(ROUNDUP(N(EJ5)*(_xlfn.XLOOKUP(EO5,INDEX(Кабель_сопротивление,0,1),INDEX(Кабель_сопротивление,0,3))*N(P5)/EO5*N(CE5)+_xlfn.XLOOKUP(EO5,INDEX(Кабель_сопротивление,0,1),INDEX(Кабель_сопротивление,0,2))*N(P5)*N(EK5)/1000)*N(O5)/((Uн_лин/SQRT(3))*1000)*100,2),"")</f>
        <v>0.68</v>
      </c>
      <c r="EQ5">
        <f>IFERROR(2*ρкз_Cu*N(P5)/EO5,"")</f>
        <v>0.52600000000000002</v>
      </c>
      <c r="ER5">
        <f>IFERROR(VLOOKUP(EN5,Кабель_сопротивление,3,FALSE),"")</f>
        <v>2.2499999999999999E-2</v>
      </c>
      <c r="ES5">
        <f>IFERROR(VLOOKUP(EN5,Кабель_сопротивление,2,FALSE),"")</f>
        <v>0.1</v>
      </c>
      <c r="ET5">
        <f t="shared" si="54"/>
        <v>15</v>
      </c>
      <c r="EU5" t="str">
        <f t="shared" si="55"/>
        <v/>
      </c>
      <c r="EV5">
        <f t="shared" si="56"/>
        <v>0.93869860924727577</v>
      </c>
      <c r="EW5" s="6">
        <f>IFERROR(ROUNDUP(EV5/IF(BV5=1,BU5,(Uн_лин/SQRT(3))*1000)*100,2),"")</f>
        <v>0.41000000000000003</v>
      </c>
      <c r="EX5" t="str">
        <f>IFERROR(VLOOKUP(BZ5,Кабель_обозначение,2,FALSE),"")</f>
        <v>ВВГнг(А)-FRLS</v>
      </c>
      <c r="EY5" t="str">
        <f t="shared" si="57"/>
        <v>ВВГнг(А)-FRLS (3х2,5)</v>
      </c>
      <c r="EZ5" t="str">
        <f t="shared" si="58"/>
        <v>ВВГнг(А)-FRLS (3х2,5)
L=15-0,41%</v>
      </c>
      <c r="FA5">
        <f>IFERROR(2*ρкз_Cu*P5/EN5,"")</f>
        <v>0.31559999999999999</v>
      </c>
      <c r="FB5">
        <f t="shared" si="59"/>
        <v>0.10500000000000001</v>
      </c>
      <c r="FC5" s="6" t="str">
        <f>IFERROR(IF(OR(B5="",BV5=1,NOT(ISNUMBER(EN5)),N(P5)=0),"",_xlfn.XLOOKUP(A5,Щиты[Щит],Щиты[Zпетли на шинах, Ом])+FA5),"")</f>
        <v/>
      </c>
      <c r="FD5" s="6" t="str">
        <f>IF(ISNUMBER(FC5),c_min*(Uн_лин*1000/SQRT(3))/FC5,"")</f>
        <v/>
      </c>
      <c r="FE5" s="6" t="str">
        <f>IFERROR(IF(OR(B5="",NOT(ISNUMBER(EN5))),"",1.05*(Uн_лин*1000/SQRT(3))/(_xlfn.XLOOKUP(A5,Щиты[Щит],Щиты[Zmax на шинах, Ом])+FB5)/1000),"")</f>
        <v/>
      </c>
      <c r="FF5" s="6" t="str">
        <f>IF(B5="","",IF(ISNUMBER(AC5),"Сил",IF(IFERROR(_xlfn.XLOOKUP(BC5,Коды_код,Коды_группа)&amp;"","")="","Быт",_xlfn.XLOOKUP(BC5,Коды_код,Коды_группа)&amp;"")))</f>
        <v>Быт</v>
      </c>
      <c r="FG5" s="6" t="str">
        <f t="shared" si="60"/>
        <v>Щит</v>
      </c>
      <c r="FH5" s="6" t="str">
        <f>IF(FG5="Щит","щит",IF(FG5="","",IF(FG5="Быт",IFERROR(_xlfn.XLOOKUP(A5,Щиты[Щит],Щиты[Кс быт]),1),IF(FG5="Сил",IF(ISNUMBER(AC5),AC5,IF(Методика="нормы 2026",IFERROR(_xlfn.XLOOKUP(A5,Щиты[Щит],Щиты[Кс силовых (табл. 7.5)]),1),1)),IF(OR(FG5="Пост",FG5="Отоп"),1,IF(FG5="ВНГ",0.7,0))))))</f>
        <v>щит</v>
      </c>
      <c r="FI5">
        <f>IF(FG5="","",IF(AND(BP5=1,TRIM(AE5&amp;"")=""),IF(COUNTIFS(Линии[Щит],A5,Линии[Секция (1/2/3)],"&gt;=2")&gt;0,MIN(3,MAX(1,IFERROR(--BD5,1))),1),IFERROR(MIN(3,MAX(1,INT(--AE5))),1)))</f>
        <v>1</v>
      </c>
      <c r="FJ5">
        <f t="shared" si="61"/>
        <v>0</v>
      </c>
      <c r="FK5">
        <f t="shared" si="62"/>
        <v>0</v>
      </c>
      <c r="FL5">
        <f t="shared" si="63"/>
        <v>0</v>
      </c>
      <c r="FM5">
        <f t="shared" si="64"/>
        <v>0</v>
      </c>
      <c r="FN5">
        <f t="shared" si="65"/>
        <v>0</v>
      </c>
      <c r="FO5">
        <f t="shared" si="66"/>
        <v>0</v>
      </c>
      <c r="FP5">
        <f t="shared" si="67"/>
        <v>1.6</v>
      </c>
      <c r="FQ5">
        <f t="shared" si="68"/>
        <v>0</v>
      </c>
      <c r="FR5">
        <f t="shared" si="69"/>
        <v>0</v>
      </c>
      <c r="FS5">
        <f>IF(CG5=1,IF(AND(CH5=1,CW5=1),0,IF(AND(CS5&lt;&gt;"",CS5=BA5,CW5=1),SUMIFS(Линии[_Р линии, кВт],Линии[_блок УЗО],BA5,Линии[Щит],A5),N(BS5)+IF(AJ5="вручную",0,N(CK5)))),0)</f>
        <v>1.6</v>
      </c>
      <c r="FT5" t="str">
        <f t="shared" si="70"/>
        <v/>
      </c>
      <c r="FU5" t="str">
        <f>IF(B5="","",IF(CG5=0,IF(BA5=1,"",FW4),IF(AND(CH5=1,CW5=1,CS5&lt;&gt;""),IFERROR(_xlfn.XLOOKUP(CS5,Линии[_n],Линии[_фаза итог]),"L1"),IF(OR(N(DL5)&gt;=3,N(BX5)&gt;=3),"L1,L2,L3",IFERROR(_xlfn.TEXTBEFORE(_xlfn.TEXTAFTER(_xlfn.XLOOKUP(A5,Щиты[Щит],Щиты[_фазы авто]),";"&amp;BA5&amp;":"),";"),"L1")))))</f>
        <v>L2</v>
      </c>
      <c r="FV5" t="str">
        <f t="shared" si="71"/>
        <v>L2</v>
      </c>
      <c r="FW5" t="str">
        <f t="shared" si="72"/>
        <v>L2</v>
      </c>
      <c r="FX5" cm="1">
        <f t="array" ref="FX5">IFERROR(IF(CD5=2,_xlfn.IFS(BX5=3,VLOOKUP(BS5,Справочная_двигатели,3,FALSE),BX5=1,VLOOKUP(BS5,Справочная_двигатели,5,TRUE)),0),0)</f>
        <v>0</v>
      </c>
      <c r="FY5">
        <f>IFERROR(IF(CD5=3,VLOOKUP(BS5,Справочная_ЛЭД,2,TRUE),0),0)</f>
        <v>0</v>
      </c>
      <c r="FZ5" s="6">
        <f t="shared" si="73"/>
        <v>0</v>
      </c>
      <c r="GA5" t="str">
        <f>IF(B5="","",IF(TRIM(AH5&amp;"")&lt;&gt;"",IF(LOWER(TRIM(AH5&amp;""))="да","да","нет"),IF(IFERROR(_xlfn.XLOOKUP(BC5,Коды_код,Коды_пожарная),"")="да","да","нет")))</f>
        <v>да</v>
      </c>
      <c r="GB5" t="str">
        <f t="shared" si="74"/>
        <v/>
      </c>
      <c r="GC5" t="str">
        <f t="shared" si="75"/>
        <v>основная</v>
      </c>
      <c r="GD5">
        <f>IF(AND(BP5=1,TRIM(AE5&amp;"")=""),IF(COUNTIFS(Линии[Щит],A5,Линии[Секция (1/2/3)],"&gt;=2")&gt;0,MIN(3,MAX(1,IFERROR(--BD5,1))),1),IFERROR(MIN(3,MAX(1,INT(--AE5))),1))</f>
        <v>1</v>
      </c>
      <c r="GE5" t="str" cm="1">
        <f t="array" ref="GE5">IF(B5="","",_xlfn.LET(_xlpm.t,IFERROR(_xlfn.XLOOKUP(1,(Шины[Шина]=GC5)*(((Шины[Щит]=A5)+(Шины[Щит]=""))&gt;0),Шины[Тип]),"")&amp;"",IF(_xlpm.t&lt;&gt;"",_xlpm.t,IF(ISNUMBER(SEARCH("ИБП",GC5)),"ИБП",IF(ISNUMBER(SEARCH("ДГУ",GC5)),"ДГУ","Ввод "&amp;GD5)))))</f>
        <v>Ввод 1</v>
      </c>
      <c r="GF5" t="str">
        <f t="shared" si="76"/>
        <v>Ввод 1</v>
      </c>
      <c r="GG5" t="str">
        <f>IF(BP5=0,"",IF(TRIM(AG5&amp;"")&lt;&gt;"",TRIM(AG5&amp;""),IF(OR(GE5="ИБП",GE5="ДГУ"),"I особая",_xlfn.XLOOKUP(A5,Щиты[Щит],Щиты[Категория шины «Ввод»],"III"))))</f>
        <v/>
      </c>
      <c r="GH5" t="str">
        <f>IF(A5="","",_xlfn.XLOOKUP(A5,Щиты[Щит],Щиты[Путь],""))</f>
        <v>|ГРЩ-ЖД|</v>
      </c>
      <c r="GI5" t="str">
        <f>IF(B5="","",IF(AI5&lt;&gt;"",AI5,IF(IFERROR(_xlfn.XLOOKUP(BC5,Коды_код,Коды_вид)&amp;"","")="","Прочее",_xlfn.XLOOKUP(BC5,Коды_код,Коды_вид)&amp;"")))</f>
        <v>Системы противопожарной защиты</v>
      </c>
      <c r="GJ5">
        <f>IF(BM5="","",INT((BM5-1)/Столбцов_на_лист)+1)</f>
        <v>1</v>
      </c>
      <c r="GK5" t="str">
        <f t="shared" si="77"/>
        <v>ВВГнг(А)-FRLS (3х2,5) L=15-0,41%</v>
      </c>
      <c r="GL5">
        <f t="shared" si="78"/>
        <v>1.6</v>
      </c>
      <c r="GM5">
        <f t="shared" si="79"/>
        <v>3.65</v>
      </c>
      <c r="GN5">
        <f t="shared" si="80"/>
        <v>1</v>
      </c>
      <c r="GO5">
        <f t="shared" si="81"/>
        <v>0</v>
      </c>
      <c r="GP5">
        <f t="shared" si="82"/>
        <v>1</v>
      </c>
      <c r="GQ5">
        <f>IF(BM5="","",IF(AND(CG5=1,GP5=1),COUNTIFS(A$3:A5,A5,CG$3:CG5,1,GP$3:GP5,1),IF(OR(OR(BA5=1,A5&lt;&gt;A4),AJ5="вручную",GP5=0),"",IF(BA5=1,"",GR4))))</f>
        <v>1</v>
      </c>
      <c r="GR5">
        <f t="shared" si="83"/>
        <v>1</v>
      </c>
      <c r="GS5">
        <f>IF(B5="","",IFERROR(LOOKUP(INDEX(CHOOSE(EB5,Iдоп_1ж,Iдоп_2ж,Iдоп_3ж),MATCH(EN5,Iдоп_S,0))*DZ5*EA5,{6,10,16,20,25,32,40,50,63,80,100,125,160,200,250,315,400,500,630}),""))</f>
        <v>25</v>
      </c>
      <c r="GT5" t="str">
        <f t="shared" si="84"/>
        <v>QF1</v>
      </c>
      <c r="GU5" t="str">
        <f t="shared" si="85"/>
        <v>QF1</v>
      </c>
      <c r="GV5" t="str">
        <f t="shared" si="86"/>
        <v/>
      </c>
      <c r="GW5">
        <f t="shared" si="87"/>
        <v>0</v>
      </c>
      <c r="GX5" t="str">
        <f>IF(OR(B5="",DJ5=""),"",IFERROR(_xlfn.XLOOKUP(DJ5,Модули_умолч[Управление],Модули_умолч[Модель])&amp;"",""))</f>
        <v/>
      </c>
      <c r="GY5">
        <f>IF(DJ5="",1,IFERROR(MAX(0,N(_xlfn.XLOOKUP(DJ5,Модули_умолч[Управление],Модули_умолч[Каналов на линию]))),1))</f>
        <v>1</v>
      </c>
      <c r="GZ5" t="str">
        <f t="shared" si="88"/>
        <v/>
      </c>
      <c r="HA5" t="str">
        <f t="shared" si="89"/>
        <v/>
      </c>
      <c r="HB5" t="str">
        <f t="shared" si="90"/>
        <v/>
      </c>
      <c r="HC5">
        <f>IF(HB5="",0,IFERROR(N(VLOOKUP(HB5,Модули_спр,3,FALSE)),0))</f>
        <v>0</v>
      </c>
      <c r="HD5" t="str">
        <f t="shared" si="91"/>
        <v/>
      </c>
      <c r="HE5" t="str">
        <f t="shared" si="92"/>
        <v/>
      </c>
      <c r="HF5" t="str">
        <f>IF(OR(HE5="",HE5="-"),"",IFERROR(VLOOKUP(HE5,Модули_спр,2,FALSE),"R"))</f>
        <v/>
      </c>
      <c r="HG5" t="str">
        <f>IF(HF5="","",HF5&amp;"."&amp;COUNTIFS(A$3:A5,A5,HF$3:HF5,HF5))</f>
        <v/>
      </c>
      <c r="HH5" t="str">
        <f t="shared" si="93"/>
        <v/>
      </c>
      <c r="HI5" t="str">
        <f t="shared" si="94"/>
        <v/>
      </c>
      <c r="HJ5" t="str">
        <f t="shared" si="95"/>
        <v/>
      </c>
      <c r="HK5" t="str">
        <f t="shared" si="96"/>
        <v/>
      </c>
      <c r="HL5">
        <f t="shared" si="97"/>
        <v>1</v>
      </c>
      <c r="HM5" t="str">
        <f>IF(HL5=1,"XT"&amp;COUNTIFS(A$3:A5,A5,HL$3:HL5,1),"")</f>
        <v>XT1</v>
      </c>
      <c r="HN5" t="str">
        <f t="shared" si="98"/>
        <v>XT1</v>
      </c>
      <c r="HO5" t="str">
        <f t="shared" si="99"/>
        <v>QF1</v>
      </c>
      <c r="HP5" t="str">
        <f t="shared" si="100"/>
        <v/>
      </c>
      <c r="HQ5" t="str">
        <f t="shared" si="101"/>
        <v>ok</v>
      </c>
      <c r="HR5" t="str">
        <f>IF(OR(HJ5="",HH5=""),"",IF(HJ5+MAX(0,GY5-1)&gt;IFERROR(VLOOKUP(HI5,Модули_спр,3,FALSE),99),"ЛИШНИЙ КАНАЛ",IF(AND(AL5&lt;&gt;"=",GY5&gt;0,COUNTIFS(Линии[_модуль гр.],HH5,Линии[Канал (итог)],HJ5,Линии[Канал],"&lt;&gt;=",Линии[Щит],A5)&gt;1),"ДУБЛЬ КАНАЛА","")))</f>
        <v/>
      </c>
      <c r="HS5" s="6" t="str">
        <f t="shared" si="102"/>
        <v/>
      </c>
      <c r="HT5">
        <f t="shared" si="103"/>
        <v>10</v>
      </c>
      <c r="HU5" t="str">
        <f t="shared" si="104"/>
        <v/>
      </c>
      <c r="HV5">
        <f t="shared" si="105"/>
        <v>0</v>
      </c>
      <c r="HW5">
        <f t="shared" si="106"/>
        <v>0</v>
      </c>
      <c r="HX5">
        <f t="shared" si="107"/>
        <v>0</v>
      </c>
      <c r="HY5">
        <f t="shared" si="108"/>
        <v>0</v>
      </c>
      <c r="HZ5">
        <f t="shared" si="109"/>
        <v>0</v>
      </c>
      <c r="IA5">
        <f t="shared" si="110"/>
        <v>0</v>
      </c>
      <c r="IB5">
        <f t="shared" si="111"/>
        <v>0</v>
      </c>
      <c r="IC5" t="str">
        <f t="shared" si="112"/>
        <v/>
      </c>
      <c r="ID5" t="str" cm="1">
        <f t="array" ref="ID5">IF(IC5="","",_xlfn.LET(_xlpm.tk,_xlfn.TEXTSPLIT(SUBSTITUTE(SUBSTITUTE(IC5,";"," "),"→"," ")," ",,TRUE),_xlpm.w_,_xlfn._xlws.FILTER(_xlpm.tk,ISNUMBER(--LEFT(_xlpm.tk,1))*((ISNUMBER(SEARCH("W",_xlpm.tk))+ISNUMBER(SEARCH("Вт",_xlpm.tk)))&gt;0),""),IFERROR(--SUBSTITUTE(SUBSTITUTE(UPPER(INDEX(_xlpm.w_,1)),"W",""),"ВТ",""),"")))</f>
        <v/>
      </c>
      <c r="IE5" t="str" cm="1">
        <f t="array" ref="IE5">IF(IC5="","",_xlfn.LET(_xlpm.tk,_xlfn.TEXTSPLIT(SUBSTITUTE(SUBSTITUTE(IC5,";"," "),"→"," ")," ",,TRUE),_xlpm.v_,_xlfn._xlws.FILTER(_xlpm.tk,ISNUMBER(--LEFT(_xlpm.tk,1))*((ISNUMBER(SEARCH("V",_xlpm.tk))+(RIGHT(UPPER(_xlpm.tk))="В"))&gt;0),""),IFERROR(--SUBSTITUTE(SUBSTITUTE(UPPER(INDEX(_xlpm.v_,1)),"V",""),"В",""),"")))</f>
        <v/>
      </c>
      <c r="IF5" s="6" t="str">
        <f>IF(OR(BV5=0,HI5="",HJ5=""),"",IFERROR(N(_xlfn.XLOOKUP(HI5,Каталог!$C$4:$C$500,Каталог!$Q$4:$Q$500)),""))</f>
        <v/>
      </c>
      <c r="IG5" s="6" t="str">
        <f>IF(N(IF5)=0,"",SUMIFS(Линии[Iр, А],Линии[Щит],A5,Линии[_модуль гр.],HH5,Линии[Канал (итог)],HJ5))</f>
        <v/>
      </c>
      <c r="IH5" t="str">
        <f>IF(AND(B5="",HO5=""),"",_xlfn.TEXTJOIN("; ",TRUE,IF(AND(B5&lt;&gt;"",FV5=""),"нет фазы",""),IF(AND(B5&lt;&gt;"",N(GL5)=0,FG5&lt;&gt;"Нет"),"нет мощности",""),IF(AND(HN5&lt;&gt;"",COUNTIFS(Линии[Щит],A5,Линии[Клемма (итог)],HN5)&gt;1),"дубль клеммы "&amp;HN5,""),IF(AND(HQ5&lt;&gt;"",HQ5&lt;&gt;"ok"),HQ5,""),IF(HR5&lt;&gt;"",HR5,""),IF(AND(N(CB5)&gt;=4,N(BX5)=1),CB5&amp;" жил на 1 фазе",""),IF(AND(BC5="R",CG5=1,IF(CS5&lt;&gt;"",N(CV5)&gt;30,OR(N(DA5)=0,N(DA5)&gt;30))),"розетка без дифзащиты до 30 мА",""),IF(AND(CG5=1,N(DA5)&gt;0,ISNUMBER(T5)),IF(T5&gt;N(DA5)/3,"ток утечки "&amp;FIXED(T5,1)&amp;" мА &gt; 1/3 уставки ("&amp;DA5&amp;" мА)",""),""),IF(AND(CH5=1,CS5=""),"«узо»: нет строки с УЗО выше (УЗО 2P 40А 30мА в «Аппаратах»)",""),IF(AND(CS5&lt;&gt;"",CS5=BA5),IF(CT5="","впишите номинал УЗО (УЗО 2P 40А 30мА)",IF(N(CT5)&lt;N(DT5),"УЗО "&amp;CT5&amp;" А &lt; автомата "&amp;DT5&amp;" А перед ним",IF(N(CT5)&lt;N(CX5),"УЗО "&amp;CT5&amp;" А &lt; тока блока "&amp;FIXED(CX5,1)&amp;" А",""))),""),IF(AND(CS5&lt;&gt;"",CS5=BA5,ISNUMBER(CY5)),IF(CY5&gt;N(CV5)/3,"ток утечки блока УЗО "&amp;FIXED(CY5,1)&amp;" мА &gt; 1/3 уставки ("&amp;CV5&amp;" мА)",""),""),IF(AND(CG5=1,N(BV5)+N(IB5)&gt;0,IC5=""),"линии до 50 В без БП: впишите в «Аппараты» (БП 24V 480W)",""),IF(AND(CG5=1,ISNUMBER(ID5),ISNUMBER(U5)),IF(U5&gt;ID5,"БП "&amp;ID5&amp;" Вт &lt; нужно "&amp;U5&amp;" Вт (×"&amp;Запас_БП&amp;")",""),""),IF(AND(CG5=1,ISNUMBER(IE5),N(BV5)=1),IF(IE5&lt;&gt;N(BU5),"БП на "&amp;IE5&amp;" В, линия "&amp;BU5&amp;" В",""),""),IF(AND(N(IF5)&gt;0,N(IG5)&gt;N(IF5)),HH5&amp;" канал "&amp;HJ5&amp;": "&amp;FIXED(IG5,1)&amp;" А &gt; "&amp;IF5&amp;" А",""),IFERROR(IF(AND(ISNUMBER(Q5),Q5&gt;EL5),"потери "&amp;FIXED(Q5,1)&amp;" % &gt; "&amp;EL5&amp;" %",""),""),IFERROR(IF(LEFT(HU5,4)="мало","Iкз мало — отключение &gt; 0,4 с",""),""),IF(AND(B5&lt;&gt;"",BM5=""),"не на схеме",""),IF(AND(CG5=0,B5&lt;&gt;"",FV5&lt;&gt;"",IF(BA5=1,"",FW4)&lt;&gt;"",FV5&lt;&gt;IF(BA5=1,"",FW4)),"фаза не как у автомата группы ("&amp;IF(BA5=1,"",FW4)&amp;")","")))</f>
        <v/>
      </c>
      <c r="II5" s="6">
        <f>IF(OR(CG5=0,DQ5=""),"",_xlfn.LET(_xlpm.t,IFERROR(_xlfn.XLOOKUP(DQ5,Каталог!$U$4:$U$500,Каталог!$G$4:$G$500),""),_xlpm.k,SEARCH("кА",_xlpm.t),IFERROR(--TRIM(RIGHT(SUBSTITUTE(MID(_xlpm.t,MAX(1,_xlpm.k-4),_xlpm.k-MAX(1,_xlpm.k-4))," ",REPT(" ",9)),5)),"")))</f>
        <v>6</v>
      </c>
      <c r="IJ5" t="str">
        <f>IF(OR(II5="",CG5=0),"",IF(_xlfn.XLOOKUP(A5,Щиты[Щит],Щиты[Iкз max на шинах, кА],"")="","",IF(II5&lt;_xlfn.XLOOKUP(A5,Щиты[Щит],Щиты[Iкз max на шинах, кА]),"Icu "&amp;II5&amp;" кА &lt; Iкз max","ok")))</f>
        <v/>
      </c>
      <c r="IK5" t="str">
        <f t="shared" si="113"/>
        <v/>
      </c>
      <c r="IL5" t="str">
        <f t="shared" si="114"/>
        <v>QF1|XT1</v>
      </c>
      <c r="IM5" t="str">
        <f t="shared" si="115"/>
        <v>QF1|XT1|кабель ВВГнг(А)-FRLS (3х2,5) → Щит системы противопожарной защиты Цокольный этаж этаж Пом. №001Т Ввод.1</v>
      </c>
      <c r="IN5" t="str" cm="1">
        <f t="array" ref="IN5">IF(IM5="","",_xlfn.LET(_xlpm.nd,_xlfn.TEXTSPLIT(IM5,"|"),IF(COLUMNS(_xlpm.nd)&gt;1,A5&amp;"¦"&amp;INDEX(_xlpm.nd,1)&amp;"¦"&amp;INDEX(_xlpm.nd,2),"")))</f>
        <v>ГРЩ-ЖД¦QF1¦XT1</v>
      </c>
      <c r="IO5" t="str">
        <f t="shared" si="116"/>
        <v>ЩСПЗ-ЖД.1¦Щит системы противопожарной защиты Цокольный этаж этаж Пом. №001Т Ввод.1</v>
      </c>
      <c r="IP5" t="str" cm="1">
        <f t="array" ref="IP5">IF(IM5="","",_xlfn.LET(_xlpm.nd,_xlfn.TEXTSPLIT(IM5,"|"),IF(COLUMNS(_xlpm.nd)&gt;2,A5&amp;"¦"&amp;INDEX(_xlpm.nd,2)&amp;"¦"&amp;INDEX(_xlpm.nd,3),"")))</f>
        <v>ГРЩ-ЖД¦XT1¦кабель ВВГнг(А)-FRLS (3х2,5) → Щит системы противопожарной защиты Цокольный этаж этаж Пом. №001Т Ввод.1</v>
      </c>
      <c r="IQ5" t="str">
        <f t="shared" si="117"/>
        <v>ЩСПЗ-ЖД.1¦Щит системы противопожарной защиты Цокольный этаж этаж Пом. №001Т Ввод.1</v>
      </c>
      <c r="IR5" t="str" cm="1">
        <f t="array" ref="IR5">IF(IM5="","",_xlfn.LET(_xlpm.nd,_xlfn.TEXTSPLIT(IM5,"|"),IF(COLUMNS(_xlpm.nd)&gt;3,A5&amp;"¦"&amp;INDEX(_xlpm.nd,3)&amp;"¦"&amp;INDEX(_xlpm.nd,4),"")))</f>
        <v/>
      </c>
      <c r="IS5" t="str">
        <f t="shared" si="118"/>
        <v/>
      </c>
      <c r="IT5" t="str" cm="1">
        <f t="array" ref="IT5">IF(IM5="","",_xlfn.LET(_xlpm.nd,_xlfn.TEXTSPLIT(IM5,"|"),IF(COLUMNS(_xlpm.nd)&gt;4,A5&amp;"¦"&amp;INDEX(_xlpm.nd,4)&amp;"¦"&amp;INDEX(_xlpm.nd,5),"")))</f>
        <v/>
      </c>
      <c r="IU5" t="str">
        <f t="shared" si="119"/>
        <v/>
      </c>
      <c r="IV5" t="str" cm="1">
        <f t="array" ref="IV5">IF(IM5="","",_xlfn.LET(_xlpm.nd,_xlfn.TEXTSPLIT(IM5,"|"),IF(COLUMNS(_xlpm.nd)&gt;5,A5&amp;"¦"&amp;INDEX(_xlpm.nd,5)&amp;"¦"&amp;INDEX(_xlpm.nd,6),"")))</f>
        <v/>
      </c>
      <c r="IW5" t="str">
        <f t="shared" si="120"/>
        <v/>
      </c>
      <c r="IX5" t="str" cm="1">
        <f t="array" ref="IX5">IF(IM5="","",_xlfn.LET(_xlpm.nd,_xlfn.TEXTSPLIT(IM5,"|"),IF(COLUMNS(_xlpm.nd)&gt;6,A5&amp;"¦"&amp;INDEX(_xlpm.nd,6)&amp;"¦"&amp;INDEX(_xlpm.nd,7),"")))</f>
        <v/>
      </c>
      <c r="IY5" t="str">
        <f t="shared" si="121"/>
        <v/>
      </c>
      <c r="IZ5" t="str">
        <f t="shared" si="122"/>
        <v/>
      </c>
      <c r="JA5" t="str">
        <f t="shared" si="123"/>
        <v>QF1 → XT1</v>
      </c>
      <c r="JB5">
        <f t="shared" si="124"/>
        <v>0</v>
      </c>
      <c r="JC5">
        <f t="shared" si="125"/>
        <v>0</v>
      </c>
      <c r="JD5" t="str">
        <f t="shared" si="126"/>
        <v/>
      </c>
      <c r="JE5" t="str">
        <f t="shared" si="127"/>
        <v/>
      </c>
      <c r="JF5" t="str">
        <f t="shared" si="128"/>
        <v/>
      </c>
      <c r="JG5" t="str">
        <f t="shared" si="129"/>
        <v/>
      </c>
      <c r="JH5">
        <f>IF(B5="","",IFERROR(_xlfn.XLOOKUP(B5,Коды_код,Коды_уго),IFERROR(_xlfn.XLOOKUP(BC5,Коды_код,Коды_уго),IFERROR(_xlfn.XLOOKUP(LEFT(BC5,2),Коды_код,Коды_уго),""))))</f>
        <v>0</v>
      </c>
      <c r="JI5" t="str">
        <f>IF(B5="","",IF(OR(JH5="",JH5=0),"BOX",IFERROR(IF(VLOOKUP(JH5,УГО_блоки,3,FALSE)&amp;""&lt;&gt;"",VLOOKUP(JH5,УГО_блоки,3,FALSE),VLOOKUP(JH5,УГО_блоки,2,FALSE)),JH5)))</f>
        <v>BOX</v>
      </c>
      <c r="JJ5">
        <f t="shared" si="130"/>
        <v>1</v>
      </c>
      <c r="JK5">
        <f>IF(DQ5="","",IF(COUNTIF(DQ$3:DQ5,DQ5)=1,MAX(JK$2:JK4)+1,""))</f>
        <v>2</v>
      </c>
      <c r="JL5" t="str">
        <f>IF(DE5="","",IF(COUNTIF(DE$3:DE5,DE5)+COUNTIF(DF$2:DF4,DE5)+COUNTIF(DG$2:DG4,DE5)=1,MAX(JL$2:JN4)+1,""))</f>
        <v/>
      </c>
      <c r="JM5" t="str">
        <f>IF(DF5="","",IF(COUNTIF(DE$3:DE5,DF5)+COUNTIF(DF$3:DF5,DF5)+COUNTIF(DG$2:DG4,DF5)=1,MAX(JL$2:JN4,JL5)+1,""))</f>
        <v/>
      </c>
      <c r="JN5" t="str">
        <f>IF(DG5="","",IF(COUNTIF(DE$3:DE5,DG5)+COUNTIF(DF$3:DF5,DG5)+COUNTIF(DG$3:DG5,DG5)=1,MAX(JL$2:JN4,JL5,JM5)+1,""))</f>
        <v/>
      </c>
      <c r="JO5" t="str">
        <f t="shared" si="131"/>
        <v>3х2,5</v>
      </c>
      <c r="JP5">
        <f>IF(JO5="","",IF(COUNTIF(JO$3:JO5,JO5)=1,MAX(JP$2:JP4)+1,""))</f>
        <v>1</v>
      </c>
      <c r="JQ5" t="str">
        <f>IF(HG5="","",COUNTIF(HG$3:HG5,"?*"))</f>
        <v/>
      </c>
      <c r="JR5" t="str">
        <f>IF(OR(HG5="",HI5=""),"",IF(COUNTIFS(HG$3:HG5,"?*",HI$3:HI5,HI5)=1,MAX(JR$2:JR4)+1,""))</f>
        <v/>
      </c>
      <c r="JS5">
        <f t="shared" si="132"/>
        <v>0</v>
      </c>
      <c r="JT5">
        <f>IF(B5="","",COUNTIF(B$3:B5,"?*"))</f>
        <v>3</v>
      </c>
      <c r="JU5">
        <f>IF(HL5&lt;&gt;1,0,_xlfn.LET(_xlpm.k,MAX(IFERROR(--_xlfn.XLOOKUP(B5,Коды_код,Коды_3L),0),IFERROR(--_xlfn.XLOOKUP(BC5,Коды_код,Коды_3L),0),IFERROR(--_xlfn.XLOOKUP(LEFT(BC5,2),Коды_код,Коды_3L),0)),IF(_xlpm.k&gt;0,_xlpm.k,IF(IFERROR(--LEFT(SUBSTITUTE(JO5,"x","х"),FIND("х",SUBSTITUTE(JO5,"x","х"))-1),3)&gt;3,Каталог!$S$9,1))))</f>
        <v>1</v>
      </c>
      <c r="JV5">
        <f t="shared" si="133"/>
        <v>0</v>
      </c>
      <c r="JW5" t="str">
        <f t="shared" si="134"/>
        <v>авто</v>
      </c>
      <c r="JX5" t="str">
        <f t="shared" si="135"/>
        <v/>
      </c>
      <c r="JY5">
        <f t="shared" si="136"/>
        <v>0</v>
      </c>
      <c r="JZ5">
        <f t="shared" si="137"/>
        <v>1</v>
      </c>
    </row>
    <row r="6" spans="1:286" x14ac:dyDescent="0.3">
      <c r="A6" t="s">
        <v>783</v>
      </c>
      <c r="B6" t="s">
        <v>781</v>
      </c>
      <c r="C6" t="s">
        <v>780</v>
      </c>
      <c r="D6">
        <v>1</v>
      </c>
      <c r="E6">
        <v>0</v>
      </c>
      <c r="G6">
        <v>10</v>
      </c>
      <c r="H6" t="str">
        <f>Линии[[#This Row],[_авто управление]]</f>
        <v/>
      </c>
      <c r="I6" t="str">
        <f>Линии[[#This Row],[_авто аппараты]]</f>
        <v/>
      </c>
      <c r="J6">
        <v>2.5</v>
      </c>
      <c r="K6">
        <v>15</v>
      </c>
      <c r="L6" t="str">
        <f>Линии[[#This Row],[_авто фаза]]</f>
        <v>L1</v>
      </c>
      <c r="M6" t="str">
        <f>Линии[[#This Row],[_авто клемма]]</f>
        <v>XT2</v>
      </c>
      <c r="N6" t="str">
        <f t="shared" si="0"/>
        <v>нет мощности</v>
      </c>
      <c r="O6" s="6" cm="1">
        <f t="array" ref="O6">IF(B6="","",IF(BH6&lt;&gt;"",IFERROR(_xlfn.XLOOKUP(BH6,Щиты[Щит],Щиты[Iр, А]),""),IF(BP6=1,IF(OR(N(_xlfn.XLOOKUP(A6,Щиты[Щит],Щиты[Вводов],1))&lt;=1,LOWER(TRIM(_xlfn.XLOOKUP(A6,Щиты[Щит],Щиты[АВР],"")&amp;""))="да"),IFERROR(_xlfn.XLOOKUP(A6,Щиты[Щит],Щиты[Iр, А]),""),IFERROR(N(BS6)*_xlfn.XLOOKUP(A6,Щиты[Щит],Щиты[Кс итог])/(SQRT(3)*Uн_лин*_xlfn.XLOOKUP(A6,Щиты[Щит],Щиты[cos φ])),"")),IF(BV6=1,IFERROR(BS6*1000/BU6,""),IFERROR(_xlfn.IFS(BX6=1,BS6/((Uн_лин/SQRT(3))*CE6),BX6=3,BS6/(SQRT(3)*Uн_лин*CE6)),"")))))</f>
        <v>0</v>
      </c>
      <c r="P6" s="7">
        <f>IF(B6="","",IFERROR(IF(VLOOKUP(BC6,Потребители_обозначение,4,FALSE)=1,VLOOKUP(BC6,Потребители_обозначение,3,FALSE)*(MAX(1,N(D6))*2-1)+EI6+VLOOKUP(BE6,Этаж_обозначение,3,FALSE)+VLOOKUP(BE6,Этаж_обозначение,4,FALSE),VLOOKUP(BC6,Потребители_обозначение,3,FALSE)*(MAX(1,N(D6))*2-1)+EI6),EI6))</f>
        <v>15</v>
      </c>
      <c r="Q6" s="6">
        <f t="shared" si="1"/>
        <v>0</v>
      </c>
      <c r="R6" t="str">
        <f t="shared" si="2"/>
        <v>ВВГнг(А)-FRLS (3х2,5)</v>
      </c>
      <c r="S6" t="str">
        <f>IF(BM6="","",IF(BN6="вводной узел","узел ","")&amp;"л."&amp;(INT((BM6-1)/Столбцов_на_лист)+1)&amp;" / "&amp;(MOD(BM6-1,Столбцов_на_лист)+1))</f>
        <v>л.1 / 8</v>
      </c>
      <c r="T6" s="119">
        <f t="shared" si="3"/>
        <v>0.2</v>
      </c>
      <c r="U6" s="7" t="str">
        <f>IF(OR(CG6=0,N(BV6)+N(IB6)=0),"",ROUNDUP(Запас_БП*(N(HY6)+N(HZ6)),0))</f>
        <v/>
      </c>
      <c r="V6" s="119" t="str">
        <f t="shared" si="4"/>
        <v/>
      </c>
      <c r="W6" s="7" t="str">
        <f>IFERROR(IF(OR(B6="",BP6=1,BV6=1,NOT(ISNUMBER(EN6)),N(DT6)=0),"",MAX(0,ROUNDDOWN((c_min*(Uн_лин*1000/SQRT(3))/(HT6*N(DT6))-_xlfn.XLOOKUP(A6,Щиты[Щит],Щиты[Zпетли на шинах, Ом]))*EN6/(2*ρкз_Cu),0))),"")</f>
        <v/>
      </c>
      <c r="Y6" t="str">
        <f>Линии[[#This Row],[_авто утечка]]</f>
        <v/>
      </c>
      <c r="Z6">
        <v>1</v>
      </c>
      <c r="AA6">
        <v>230</v>
      </c>
      <c r="AB6" t="s">
        <v>573</v>
      </c>
      <c r="AE6">
        <v>2</v>
      </c>
      <c r="AG6" t="s">
        <v>850</v>
      </c>
      <c r="AH6" t="s">
        <v>488</v>
      </c>
      <c r="AI6" t="s">
        <v>591</v>
      </c>
      <c r="AK6" t="str">
        <f>Линии[[#This Row],[_авто модуль]]</f>
        <v/>
      </c>
      <c r="AM6">
        <v>8</v>
      </c>
      <c r="AN6" t="s">
        <v>13</v>
      </c>
      <c r="AO6">
        <v>3</v>
      </c>
      <c r="AR6">
        <v>15</v>
      </c>
      <c r="BA6" cm="1">
        <f t="array" ref="BA6">ROW()-ROW(Линии[#Headers])</f>
        <v>4</v>
      </c>
      <c r="BC6" s="6" t="str">
        <f t="shared" si="5"/>
        <v>ЩСПЗ-ЖД</v>
      </c>
      <c r="BD6" t="str">
        <f t="shared" si="6"/>
        <v>2</v>
      </c>
      <c r="BE6" t="str">
        <f t="shared" si="7"/>
        <v>2</v>
      </c>
      <c r="BF6" t="str">
        <f t="shared" si="8"/>
        <v/>
      </c>
      <c r="BG6" t="str">
        <f t="shared" si="9"/>
        <v/>
      </c>
      <c r="BH6" t="str">
        <f>IF(X6&lt;&gt;"",X6,IF(AND(B6&lt;&gt;"",B6&lt;&gt;A6,ISNUMBER(_xlfn.XMATCH(B6,Щиты[Щит]))),B6,""))</f>
        <v/>
      </c>
      <c r="BI6" t="str" cm="1">
        <f t="array" ref="BI6">IF(B6="","",IF(BH6&lt;&gt;"","Щит "&amp;BH6,_xlfn.LET(_xlpm.nm,IFERROR(_xlfn.XLOOKUP(BC6,Коды_код,Коды_имя)&amp;"",""),_xlpm.md,IFERROR(N(_xlfn.XLOOKUP(BC6,Коды_код,Коды_режим)),1),_xlpm.ex,IF(Имя_режим="по экспликации",IFERROR(_xlfn.XLOOKUP(BE6&amp;"|"&amp;BG6,Экспликация[Этаж]&amp;"|"&amp;Экспликация[Помещение],Экспликация[Название])&amp;"",""),""),_xlpm.rm,IF(BG6="","",IF(_xlpm.ex&lt;&gt;"",". "&amp;_xlpm.ex&amp;IF(Имя_пом="нет"," ("&amp;BG6&amp;")"," (пом. "&amp;BG6&amp;")"),IF(Имя_пом="нет"," ",", пом. ")&amp;BG6)),IF(_xlpm.nm="","",IF(_xlpm.md=2,_xlpm.nm&amp;" шлейф "&amp;BE6,_xlpm.nm&amp;_xlpm.rm)))))</f>
        <v/>
      </c>
      <c r="BJ6" t="str">
        <f t="shared" si="10"/>
        <v>Щит системы противопожарной защиты Цокольный этаж этаж Пом. №001Т Ввод.2</v>
      </c>
      <c r="BK6">
        <f>IFERROR(_xlfn.XMATCH(A6,Щиты[Щит]),0)</f>
        <v>1</v>
      </c>
      <c r="BL6">
        <f>_xlfn.LET(_xlpm.k,IFERROR(_xlfn.XLOOKUP(A6,Щиты[Щит],Щиты[Мест под вводной узел]),""),IF(_xlpm.k="",Столбцов_на_лист,N(_xlpm.k)))</f>
        <v>6</v>
      </c>
      <c r="BM6">
        <f t="shared" si="11"/>
        <v>8</v>
      </c>
      <c r="BN6" t="str">
        <f t="shared" si="12"/>
        <v>линии</v>
      </c>
      <c r="BO6" s="6">
        <f>IFERROR(N(_xlfn.XLOOKUP(BC6,Коды_код,Коды_квт)),0)</f>
        <v>0</v>
      </c>
      <c r="BP6">
        <f t="shared" si="13"/>
        <v>0</v>
      </c>
      <c r="BQ6" t="str">
        <f>IF(B6="","",IF(BH6&lt;&gt;"",IFERROR(_xlfn.XLOOKUP(BH6,Щиты[Щит],Щиты[Руст, кВт]),0),IF(BP6=1,IF(OR(N(_xlfn.XLOOKUP(A6,Щиты[Щит],Щиты[Вводов],1))&lt;=1,LOWER(TRIM(_xlfn.XLOOKUP(A6,Щиты[Щит],Щиты[АВР],"")&amp;""))="да"),IFERROR(_xlfn.XLOOKUP(A6,Щиты[Щит],Щиты[Руст, кВт]),0),SUMIFS(Линии[_Р для вводов],Линии[Щит],A6,Линии[Источник для режимов],GF6)),IF(BO6&gt;0,ROUND(BO6*MAX(1,N(D6)),3),""))))</f>
        <v/>
      </c>
      <c r="BR6">
        <f t="shared" si="14"/>
        <v>0</v>
      </c>
      <c r="BS6" s="6">
        <f>IF(B6="","",IF(BH6&lt;&gt;"",IFERROR(_xlfn.XLOOKUP(BH6,Щиты[Щит],Щиты[Руст, кВт]),0),N(BR6)))</f>
        <v>0</v>
      </c>
      <c r="BT6" t="str">
        <f>IF(B6="","",IFERROR(IF(VLOOKUP(BC6,Потребители_обозначение,8,FALSE)=0,"",VLOOKUP(BC6,Потребители_обозначение,8,FALSE)),""))</f>
        <v/>
      </c>
      <c r="BU6">
        <f t="shared" si="15"/>
        <v>230</v>
      </c>
      <c r="BV6">
        <f t="shared" si="16"/>
        <v>0</v>
      </c>
      <c r="BW6">
        <f>IF(B6="","",IF(BH6&lt;&gt;"",3,IFERROR(IF(N(VLOOKUP(BC6,Потребители_обозначение,9,FALSE))=0,1,VLOOKUP(BC6,Потребители_обозначение,9,FALSE)),1)))</f>
        <v>1</v>
      </c>
      <c r="BX6">
        <f t="shared" si="17"/>
        <v>1</v>
      </c>
      <c r="BY6" t="str">
        <f>IF(B6="","",_xlfn.LET(_xlpm.bc,IFERROR(IF(VLOOKUP(BC6,Потребители_обозначение,6,FALSE)=0,"",VLOOKUP(BC6,Потребители_обозначение,6,FALSE)&amp;""),""),IF(AND(GA6="да",OR(_xlpm.bc="",_xlpm.bc="мс")),Марка_пож,IF(AND(_xlpm.bc="",BH6&lt;&gt;""),"мс",_xlpm.bc))))</f>
        <v>мфр</v>
      </c>
      <c r="BZ6" t="str">
        <f t="shared" si="18"/>
        <v>мфр</v>
      </c>
      <c r="CA6">
        <f>IF(B6="","",_xlfn.LET(_xlpm.cc,IFERROR(N(VLOOKUP(BC6,Потребители_обозначение,7,FALSE)),0),IF(_xlpm.cc&gt;0,_xlpm.cc,IF(BZ6="","",IF(BV6=1,2,IF(N(BX6)=3,5,3))))))</f>
        <v>3</v>
      </c>
      <c r="CB6">
        <f t="shared" si="19"/>
        <v>3</v>
      </c>
      <c r="CC6">
        <f>IFERROR(N(VLOOKUP(BC6,Потребители_обозначение,10,FALSE)),0)</f>
        <v>0</v>
      </c>
      <c r="CD6">
        <f>IFERROR(VLOOKUP(BC6,Потребители_обозначение,5,FALSE),0)</f>
        <v>0</v>
      </c>
      <c r="CE6" s="6" cm="1">
        <f t="array" ref="CE6">IF(B6="","",IF(BH6&lt;&gt;"",IFERROR(_xlfn.XLOOKUP(BH6,Щиты[Щит],Щиты[cos φ]),0.95),IF(BP6=1,IFERROR(_xlfn.XLOOKUP(A6,Щиты[Щит],Щиты[cos φ]),0.95),IF(ISNUMBER(AD6),AD6,IFERROR(IF(CD6=2,_xlfn.IFS(BX6=3,VLOOKUP(BS6,Справочная_двигатели,8,FALSE),BX6=1,VLOOKUP(BS6,Справочная_двигатели,10,TRUE)),IF(AND(Методика="нормы 2026",FG6="Сил"),0.8,0.95)),0.95)))))</f>
        <v>0.95</v>
      </c>
      <c r="CF6">
        <f t="shared" si="20"/>
        <v>0</v>
      </c>
      <c r="CG6">
        <f t="shared" si="21"/>
        <v>1</v>
      </c>
      <c r="CH6">
        <f t="shared" si="22"/>
        <v>0</v>
      </c>
      <c r="CI6">
        <f>IF(B6="","",IF(BV6=1,IFERROR(BS6/((Uн_лин/SQRT(3))*MAX(0.5,N(CE6))),0),N(O6)))</f>
        <v>0</v>
      </c>
      <c r="CJ6">
        <f t="shared" si="23"/>
        <v>0</v>
      </c>
      <c r="CK6">
        <f t="shared" si="24"/>
        <v>0</v>
      </c>
      <c r="CL6">
        <f t="shared" si="25"/>
        <v>0</v>
      </c>
      <c r="CM6">
        <f t="shared" si="26"/>
        <v>0</v>
      </c>
      <c r="CN6">
        <f t="shared" si="27"/>
        <v>0</v>
      </c>
      <c r="CO6">
        <f>IF(BC6="",0,_xlfn.LET(_xlpm.v,IFERROR(_xlfn.XLOOKUP(B6,Коды_код,Коды_мА),IFERROR(_xlfn.XLOOKUP(BC6,Коды_код,Коды_мА),IFERROR(_xlfn.XLOOKUP(LEFT(BC6,2),Коды_код,Коды_мА),""))),IF(_xlpm.v="да",30,IF(ISNUMBER(_xlpm.v),_xlpm.v,0))))</f>
        <v>0</v>
      </c>
      <c r="CP6" t="str">
        <f t="shared" si="28"/>
        <v/>
      </c>
      <c r="CQ6" t="str">
        <f>_xlfn.LET(_xlpm.k,IFERROR(_xlfn.XLOOKUP(BC6,Коды_код,Коды_утечка)&amp;"",""),IF(_xlpm.k="","дифавтомат",_xlpm.k))</f>
        <v>дифавтомат</v>
      </c>
      <c r="CR6" t="str" cm="1">
        <f t="array" ref="CR6">IF(CG6=0,"",_xlfn.LET(_xlpm.sg,TRIM(_xlfn.TEXTSPLIT(DD6&amp;"",";")),_xlpm.f_,_xlfn._xlws.FILTER(_xlpm.sg,LEFT(_xlpm.sg,3)="УЗО",""),IFERROR(INDEX(_xlpm.f_,1)&amp;"","")))</f>
        <v/>
      </c>
      <c r="CS6" t="str">
        <f t="shared" si="29"/>
        <v/>
      </c>
      <c r="CT6" s="6" t="str" cm="1">
        <f t="array" ref="CT6">IF(CR6="","",_xlfn.LET(_xlpm.tk,_xlfn.TEXTSPLIT(UPPER(CR6)," ",,TRUE),_xlpm.a_,_xlfn._xlws.FILTER(_xlpm.tk,ISNUMBER(--LEFT(_xlpm.tk,1))*((ISNUMBER(SEARCH("А",_xlpm.tk))+ISNUMBER(SEARCH("A",_xlpm.tk)))&gt;0)*NOT(ISNUMBER(SEARCH("МА",_xlpm.tk)))*NOT(ISNUMBER(SEARCH("MA",_xlpm.tk))),""),IFERROR(--SUBSTITUTE(SUBSTITUTE(INDEX(_xlpm.a_,1),"А",""),"A",""),"")))</f>
        <v/>
      </c>
      <c r="CU6" t="str" cm="1">
        <f t="array" ref="CU6">IF(CR6="","",_xlfn.LET(_xlpm.tk,_xlfn.TEXTSPLIT(UPPER(CR6)," ",,TRUE),_xlpm.a_,_xlfn._xlws.FILTER(_xlpm.tk,ISNUMBER(--LEFT(_xlpm.tk,1))*((ISNUMBER(SEARCH("МА",_xlpm.tk))+ISNUMBER(SEARCH("MA",_xlpm.tk)))&gt;0),""),IFERROR(--SUBSTITUTE(SUBSTITUTE(INDEX(_xlpm.a_,1),"МА",""),"MA",""),30)))</f>
        <v/>
      </c>
      <c r="CV6" t="str">
        <f>IF(CS6="","",IFERROR(_xlfn.XLOOKUP(CS6,Линии[_n],Линии[_УЗО, мА]),30))</f>
        <v/>
      </c>
      <c r="CW6">
        <f>IF(CS6="",0,IF(ISNUMBER(SEARCH("4P",IFERROR(_xlfn.XLOOKUP(CS6,Линии[_n],Линии[_УЗО строки])&amp;"",""))),0,1))</f>
        <v>0</v>
      </c>
      <c r="CX6" t="str">
        <f>IF(AND(CS6&lt;&gt;"",CS6=BA6),SUMIFS(Линии[_ток на 230 В],Линии[_блок УЗО],BA6,Линии[Щит],A6),"")</f>
        <v/>
      </c>
      <c r="CY6" t="str">
        <f>IF(AND(CS6&lt;&gt;"",CS6=BA6),SUMIFS(Линии[_ток утечки линии, мА],Линии[_блок УЗО],BA6,Линии[Щит],A6),"")</f>
        <v/>
      </c>
      <c r="CZ6">
        <f t="shared" si="30"/>
        <v>0</v>
      </c>
      <c r="DA6">
        <f t="shared" si="31"/>
        <v>0</v>
      </c>
      <c r="DB6">
        <f>IF(B6="",0,IFERROR(--_xlfn.XLOOKUP(B6,Коды_код,Коды_минавт),IFERROR(--_xlfn.XLOOKUP(BC6,Коды_код,Коды_минавт),IFERROR(--_xlfn.XLOOKUP(LEFT(BC6,2),Коды_код,Коды_минавт),0))))</f>
        <v>0</v>
      </c>
      <c r="DC6" t="str">
        <f>IF(B6="","",IFERROR(_xlfn.XLOOKUP(BC6,Коды_код,Коды_апп)&amp;"",""))</f>
        <v/>
      </c>
      <c r="DD6" t="str">
        <f t="shared" si="32"/>
        <v/>
      </c>
      <c r="DE6" t="str" cm="1">
        <f t="array" ref="DE6">IF(TRIM(DD6&amp;"")="","",IFERROR(TRIM(INDEX(_xlfn.TEXTSPLIT(DD6&amp;";;;",";"),1)),""))</f>
        <v/>
      </c>
      <c r="DF6" t="str" cm="1">
        <f t="array" ref="DF6">IF(TRIM(DD6&amp;"")="","",IFERROR(TRIM(INDEX(_xlfn.TEXTSPLIT(DD6&amp;";;;",";"),2)),""))</f>
        <v/>
      </c>
      <c r="DG6" t="str" cm="1">
        <f t="array" ref="DG6">IF(TRIM(DD6&amp;"")="","",IFERROR(TRIM(INDEX(_xlfn.TEXTSPLIT(DD6&amp;";;;",";"),3)),""))</f>
        <v/>
      </c>
      <c r="DH6">
        <f t="shared" si="33"/>
        <v>0</v>
      </c>
      <c r="DI6" t="str">
        <f>IF(B6="","",_xlfn.LET(_xlpm.t,LOWER(AZ6&amp;""),IF(ISNUMBER(SEARCH("dim",_xlpm.t)),"DIM",IF(ISNUMBER(SEARCH("dali",_xlpm.t)),"DALI",IF(OR(ISNUMBER(SEARCH("relay",_xlpm.t)),ISNUMBER(SEARCH("реле",_xlpm.t))),"Relay",IF(ISNUMBER(SEARCH("кнопк",_xlpm.t)),"",IFERROR(_xlfn.XLOOKUP(BC6,Коды_код,Коды_упр)&amp;"","")))))))</f>
        <v/>
      </c>
      <c r="DJ6" t="str">
        <f t="shared" si="34"/>
        <v/>
      </c>
      <c r="DK6">
        <f>IF(B6="","",_xlfn.LET(_xlpm.ig,IF(N(CX6)&gt;0,N(CX6),N(CI6)+IF(AJ6="вручную",0,N(CJ6))),_xlpm.n0,IFERROR(VLOOKUP(_xlpm.ig,Автомат_номиналы,2,TRUE),0),_xlpm.mn,MAX(DB6,IF(AJ6="вручную",0,N(CM6))),MAX(_xlpm.n0,_xlpm.mn,IF(DH6=1,Мин_автомат_БП,0))))</f>
        <v>6</v>
      </c>
      <c r="DL6">
        <f t="shared" si="35"/>
        <v>1</v>
      </c>
      <c r="DM6" t="str">
        <f t="shared" si="36"/>
        <v>1P</v>
      </c>
      <c r="DN6" t="str">
        <f>_xlfn.LET(_xlpm.cc,UPPER(TRIM(IFERROR(_xlfn.XLOOKUP(BC6,Коды_код,Коды_хар)&amp;"",""))),IF(OR(_xlpm.cc="B",_xlpm.cc="В"),"B",IF(_xlpm.cc="D","D","С")))</f>
        <v>С</v>
      </c>
      <c r="DO6" t="str">
        <f t="shared" si="37"/>
        <v>1P С6А</v>
      </c>
      <c r="DP6">
        <f t="shared" si="38"/>
        <v>10</v>
      </c>
      <c r="DQ6" t="str">
        <f t="shared" si="39"/>
        <v>1P С10А</v>
      </c>
      <c r="DR6" cm="1">
        <f t="array" ref="DR6">IF(DQ6="","",_xlfn.LET(_xlpm.t,SUBSTITUTE(SUBSTITUTE(SUBSTITUTE(UPPER(DQ6),"С","C"),"А","A"),"В","B"),_xlpm.tk,_xlfn.TEXTSPLIT(_xlpm.t," "),_xlpm.f,_xlfn._xlws.FILTER(_xlpm.tk,ISNUMBER(--MID(_xlpm.tk,2,1))*ISNUMBER(SEARCH(LEFT(_xlpm.tk,1)&amp;"#","B#C#D#"))*(LEN(_xlpm.tk)&gt;1),""),_xlpm.x,INDEX(_xlpm.f,1),IFERROR(--SUBSTITUTE(MID(_xlpm.x,2,9),"A",""),IFERROR(--SUBSTITUTE(INDEX(_xlfn._xlws.FILTER(_xlpm.tk,ISNUMBER(--SUBSTITUTE(_xlpm.tk,"A","")),""),1),"A",""),""))))</f>
        <v>10</v>
      </c>
      <c r="DS6" t="str">
        <f t="shared" si="40"/>
        <v>ok</v>
      </c>
      <c r="DT6">
        <f t="shared" si="41"/>
        <v>10</v>
      </c>
      <c r="DU6" t="str">
        <f t="shared" si="42"/>
        <v>1P С10А</v>
      </c>
      <c r="DV6">
        <f t="shared" si="43"/>
        <v>0</v>
      </c>
      <c r="DW6">
        <f t="shared" si="44"/>
        <v>0</v>
      </c>
      <c r="DX6">
        <f t="shared" si="45"/>
        <v>0</v>
      </c>
      <c r="DY6">
        <f t="shared" si="46"/>
        <v>0</v>
      </c>
      <c r="DZ6">
        <f t="shared" si="47"/>
        <v>1</v>
      </c>
      <c r="EA6">
        <f>IF(ISNUMBER(AP6),AP6,К_прокл)</f>
        <v>1</v>
      </c>
      <c r="EB6">
        <f t="shared" si="48"/>
        <v>2</v>
      </c>
      <c r="EC6">
        <f>IFERROR(N(VLOOKUP(BZ6,Кабель_обозначение,3,FALSE)),1)</f>
        <v>1</v>
      </c>
      <c r="ED6">
        <f>IFERROR(N(_xlfn.XLOOKUP(A6,Щиты[Щит],Щиты[ΔU до шин, %])),0)</f>
        <v>0</v>
      </c>
      <c r="EE6" t="str">
        <f>IFERROR(_xlfn.XLOOKUP(A6,Щиты[Щит],Щиты[Zпетли на шинах, Ом]),"")</f>
        <v/>
      </c>
      <c r="EF6">
        <f>IFERROR(N(_xlfn.XLOOKUP(A6,Щиты[Щит],Щиты[ΔU до шин (подбор), %])),0)</f>
        <v>0</v>
      </c>
      <c r="EG6" t="str">
        <f>IFERROR(_xlfn.XLOOKUP(A6,Щиты[Щит],Щиты[Zпетли на шинах (подбор), Ом]),"")</f>
        <v/>
      </c>
      <c r="EH6" t="str">
        <f t="shared" si="49"/>
        <v/>
      </c>
      <c r="EI6">
        <f t="shared" si="50"/>
        <v>15</v>
      </c>
      <c r="EJ6">
        <f t="shared" si="51"/>
        <v>2</v>
      </c>
      <c r="EK6">
        <f t="shared" si="52"/>
        <v>0.31</v>
      </c>
      <c r="EL6" s="6">
        <f>IF(B6="","",IF(BV6=1,dU_LED,IF(IFERROR(_xlfn.XLOOKUP(BC6,Коды_код,Коды_уго),"")="Светильник",3,4)+IF(Методика="нормы 2026",MIN(0.5,MAX(0,N(P6)-100)*0.005),0)))</f>
        <v>4</v>
      </c>
      <c r="EM6" cm="1">
        <f t="array" ref="EM6">IF(OR(B6="",BZ6="",EC6&lt;&gt;1),"",_xlfn.LET(_xlpm.sz,Iдоп_S,_xlpm.t_,CHOOSE(EB6,Iдоп_1ж,Iдоп_2ж,Iдоп_3ж)*DZ6*EA6,_xlpm.dcx,BV6=1,_xlpm.inn,IF(_xlpm.dcx,N(O6),N(DT6)),_xlpm.smin,MAX(1.5,CC6),_xlpm.L_,N(P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N(BU6)*100,999),IFERROR(N(EJ6)*(_xlpm.rho*_xlpm.L_/_xlpm.sz*N(CE6)+_xlpm.xx*_xlpm.L_*N(EK6)/1000)*N(O6)/((Uн_лин/SQRT(3))*1000)*100,999)),_xlpm.kz,IF(OR(_xlpm.dcx,DW6=1,NOT(ISNUMBER(EG6)),_xlpm.L_=0,_xlpm.inn=0),1,IFERROR(--(c_min*(Uн_лин*1000/SQRT(3))/(EG6+2*ρкз_Cu*_xlpm.L_/_xlpm.sz)&gt;=HT6*_xlpm.inn),0)),_xlpm.ok,IFERROR((_xlpm.sz&gt;=_xlpm.smin)*(_xlpm.t_&gt;=_xlpm.inn)*IF(_xlpm.L_&gt;0,(_xlpm.du_+IF(_xlpm.dcx,0,EF6)&lt;=EL6+0.00001),1)*_xlpm.kz,0),_xlpm.r_,_xlfn._xlws.FILTER(_xlpm.sz,_xlpm.ok,"не подобрано"),INDEX(_xlpm.r_,1)))</f>
        <v>1.5</v>
      </c>
      <c r="EN6">
        <f t="shared" si="53"/>
        <v>2.5</v>
      </c>
      <c r="EO6" cm="1">
        <f t="array" ref="EO6">IF(OR(B6="",BZ6="",EC6&lt;&gt;1),"",_xlfn.LET(_xlpm.sz,Iдоп_S,_xlpm.t_,CHOOSE(EB6,Iдоп_1ж,Iдоп_2ж,Iдоп_3ж)*DZ6*EA6,_xlpm.ok,IFERROR((_xlpm.sz&gt;=MAX(1.5,CC6))*(_xlpm.t_&gt;=N(DT6)),0),_xlpm.r_,_xlfn._xlws.FILTER(_xlpm.sz,_xlpm.ok,""),INDEX(_xlpm.r_,1)))</f>
        <v>1.5</v>
      </c>
      <c r="EP6" s="6" cm="1">
        <f t="array" ref="EP6">IFERROR(ROUNDUP(N(EJ6)*(_xlfn.XLOOKUP(EO6,INDEX(Кабель_сопротивление,0,1),INDEX(Кабель_сопротивление,0,3))*N(P6)/EO6*N(CE6)+_xlfn.XLOOKUP(EO6,INDEX(Кабель_сопротивление,0,1),INDEX(Кабель_сопротивление,0,2))*N(P6)*N(EK6)/1000)*N(O6)/((Uн_лин/SQRT(3))*1000)*100,2),"")</f>
        <v>0</v>
      </c>
      <c r="EQ6">
        <f>IFERROR(2*ρкз_Cu*N(P6)/EO6,"")</f>
        <v>0.52600000000000002</v>
      </c>
      <c r="ER6">
        <f>IFERROR(VLOOKUP(EN6,Кабель_сопротивление,3,FALSE),"")</f>
        <v>2.2499999999999999E-2</v>
      </c>
      <c r="ES6">
        <f>IFERROR(VLOOKUP(EN6,Кабель_сопротивление,2,FALSE),"")</f>
        <v>0.1</v>
      </c>
      <c r="ET6">
        <f t="shared" si="54"/>
        <v>15</v>
      </c>
      <c r="EU6" t="str">
        <f t="shared" si="55"/>
        <v/>
      </c>
      <c r="EV6">
        <f t="shared" si="56"/>
        <v>0</v>
      </c>
      <c r="EW6" s="6">
        <f>IFERROR(ROUNDUP(EV6/IF(BV6=1,BU6,(Uн_лин/SQRT(3))*1000)*100,2),"")</f>
        <v>0</v>
      </c>
      <c r="EX6" t="str">
        <f>IFERROR(VLOOKUP(BZ6,Кабель_обозначение,2,FALSE),"")</f>
        <v>ВВГнг(А)-FRLS</v>
      </c>
      <c r="EY6" t="str">
        <f t="shared" si="57"/>
        <v>ВВГнг(А)-FRLS (3х2,5)</v>
      </c>
      <c r="EZ6" t="str">
        <f t="shared" si="58"/>
        <v>ВВГнг(А)-FRLS (3х2,5)
L=15-0%</v>
      </c>
      <c r="FA6">
        <f>IFERROR(2*ρкз_Cu*P6/EN6,"")</f>
        <v>0.31559999999999999</v>
      </c>
      <c r="FB6">
        <f t="shared" si="59"/>
        <v>0.10500000000000001</v>
      </c>
      <c r="FC6" s="6" t="str">
        <f>IFERROR(IF(OR(B6="",BV6=1,NOT(ISNUMBER(EN6)),N(P6)=0),"",_xlfn.XLOOKUP(A6,Щиты[Щит],Щиты[Zпетли на шинах, Ом])+FA6),"")</f>
        <v/>
      </c>
      <c r="FD6" s="6" t="str">
        <f>IF(ISNUMBER(FC6),c_min*(Uн_лин*1000/SQRT(3))/FC6,"")</f>
        <v/>
      </c>
      <c r="FE6" s="6" t="str">
        <f>IFERROR(IF(OR(B6="",NOT(ISNUMBER(EN6))),"",1.05*(Uн_лин*1000/SQRT(3))/(_xlfn.XLOOKUP(A6,Щиты[Щит],Щиты[Zmax на шинах, Ом])+FB6)/1000),"")</f>
        <v/>
      </c>
      <c r="FF6" s="6" t="str">
        <f>IF(B6="","",IF(ISNUMBER(AC6),"Сил",IF(IFERROR(_xlfn.XLOOKUP(BC6,Коды_код,Коды_группа)&amp;"","")="","Быт",_xlfn.XLOOKUP(BC6,Коды_код,Коды_группа)&amp;"")))</f>
        <v>Быт</v>
      </c>
      <c r="FG6" s="6" t="str">
        <f t="shared" si="60"/>
        <v>Пост</v>
      </c>
      <c r="FH6" s="6">
        <f>IF(FG6="Щит","щит",IF(FG6="","",IF(FG6="Быт",IFERROR(_xlfn.XLOOKUP(A6,Щиты[Щит],Щиты[Кс быт]),1),IF(FG6="Сил",IF(ISNUMBER(AC6),AC6,IF(Методика="нормы 2026",IFERROR(_xlfn.XLOOKUP(A6,Щиты[Щит],Щиты[Кс силовых (табл. 7.5)]),1),1)),IF(OR(FG6="Пост",FG6="Отоп"),1,IF(FG6="ВНГ",0.7,0))))))</f>
        <v>1</v>
      </c>
      <c r="FI6">
        <f>IF(FG6="","",IF(AND(BP6=1,TRIM(AE6&amp;"")=""),IF(COUNTIFS(Линии[Щит],A6,Линии[Секция (1/2/3)],"&gt;=2")&gt;0,MIN(3,MAX(1,IFERROR(--BD6,1))),1),IFERROR(MIN(3,MAX(1,INT(--AE6))),1)))</f>
        <v>2</v>
      </c>
      <c r="FJ6">
        <f t="shared" si="61"/>
        <v>0</v>
      </c>
      <c r="FK6">
        <f t="shared" si="62"/>
        <v>0</v>
      </c>
      <c r="FL6">
        <f t="shared" si="63"/>
        <v>0</v>
      </c>
      <c r="FM6">
        <f t="shared" si="64"/>
        <v>0</v>
      </c>
      <c r="FN6">
        <f t="shared" si="65"/>
        <v>0</v>
      </c>
      <c r="FO6">
        <f t="shared" si="66"/>
        <v>0</v>
      </c>
      <c r="FP6">
        <f t="shared" si="67"/>
        <v>0</v>
      </c>
      <c r="FQ6">
        <f t="shared" si="68"/>
        <v>0</v>
      </c>
      <c r="FR6">
        <f t="shared" si="69"/>
        <v>0</v>
      </c>
      <c r="FS6">
        <f>IF(CG6=1,IF(AND(CH6=1,CW6=1),0,IF(AND(CS6&lt;&gt;"",CS6=BA6,CW6=1),SUMIFS(Линии[_Р линии, кВт],Линии[_блок УЗО],BA6,Линии[Щит],A6),N(BS6)+IF(AJ6="вручную",0,N(CK6)))),0)</f>
        <v>0</v>
      </c>
      <c r="FT6" t="str">
        <f t="shared" si="70"/>
        <v/>
      </c>
      <c r="FU6" t="str">
        <f>IF(B6="","",IF(CG6=0,IF(BA6=1,"",FW5),IF(AND(CH6=1,CW6=1,CS6&lt;&gt;""),IFERROR(_xlfn.XLOOKUP(CS6,Линии[_n],Линии[_фаза итог]),"L1"),IF(OR(N(DL6)&gt;=3,N(BX6)&gt;=3),"L1,L2,L3",IFERROR(_xlfn.TEXTBEFORE(_xlfn.TEXTAFTER(_xlfn.XLOOKUP(A6,Щиты[Щит],Щиты[_фазы авто]),";"&amp;BA6&amp;":"),";"),"L1")))))</f>
        <v>L1</v>
      </c>
      <c r="FV6" t="str">
        <f t="shared" si="71"/>
        <v>L1</v>
      </c>
      <c r="FW6" t="str">
        <f t="shared" si="72"/>
        <v>L1</v>
      </c>
      <c r="FX6" cm="1">
        <f t="array" ref="FX6">IFERROR(IF(CD6=2,_xlfn.IFS(BX6=3,VLOOKUP(BS6,Справочная_двигатели,3,FALSE),BX6=1,VLOOKUP(BS6,Справочная_двигатели,5,TRUE)),0),0)</f>
        <v>0</v>
      </c>
      <c r="FY6">
        <f>IFERROR(IF(CD6=3,VLOOKUP(BS6,Справочная_ЛЭД,2,TRUE),0),0)</f>
        <v>0</v>
      </c>
      <c r="FZ6" s="6">
        <f t="shared" si="73"/>
        <v>0</v>
      </c>
      <c r="GA6" t="str">
        <f>IF(B6="","",IF(TRIM(AH6&amp;"")&lt;&gt;"",IF(LOWER(TRIM(AH6&amp;""))="да","да","нет"),IF(IFERROR(_xlfn.XLOOKUP(BC6,Коды_код,Коды_пожарная),"")="да","да","нет")))</f>
        <v>да</v>
      </c>
      <c r="GB6" t="str">
        <f t="shared" si="74"/>
        <v/>
      </c>
      <c r="GC6" t="str">
        <f t="shared" si="75"/>
        <v>основная</v>
      </c>
      <c r="GD6">
        <f>IF(AND(BP6=1,TRIM(AE6&amp;"")=""),IF(COUNTIFS(Линии[Щит],A6,Линии[Секция (1/2/3)],"&gt;=2")&gt;0,MIN(3,MAX(1,IFERROR(--BD6,1))),1),IFERROR(MIN(3,MAX(1,INT(--AE6))),1))</f>
        <v>2</v>
      </c>
      <c r="GE6" t="str" cm="1">
        <f t="array" ref="GE6">IF(B6="","",_xlfn.LET(_xlpm.t,IFERROR(_xlfn.XLOOKUP(1,(Шины[Шина]=GC6)*(((Шины[Щит]=A6)+(Шины[Щит]=""))&gt;0),Шины[Тип]),"")&amp;"",IF(_xlpm.t&lt;&gt;"",_xlpm.t,IF(ISNUMBER(SEARCH("ИБП",GC6)),"ИБП",IF(ISNUMBER(SEARCH("ДГУ",GC6)),"ДГУ","Ввод "&amp;GD6)))))</f>
        <v>Ввод 2</v>
      </c>
      <c r="GF6" t="str">
        <f t="shared" si="76"/>
        <v>Ввод 2</v>
      </c>
      <c r="GG6" t="str">
        <f>IF(BP6=0,"",IF(TRIM(AG6&amp;"")&lt;&gt;"",TRIM(AG6&amp;""),IF(OR(GE6="ИБП",GE6="ДГУ"),"I особая",_xlfn.XLOOKUP(A6,Щиты[Щит],Щиты[Категория шины «Ввод»],"III"))))</f>
        <v/>
      </c>
      <c r="GH6" t="str">
        <f>IF(A6="","",_xlfn.XLOOKUP(A6,Щиты[Щит],Щиты[Путь],""))</f>
        <v>|ГРЩ-ЖД|</v>
      </c>
      <c r="GI6" t="str">
        <f>IF(B6="","",IF(AI6&lt;&gt;"",AI6,IF(IFERROR(_xlfn.XLOOKUP(BC6,Коды_код,Коды_вид)&amp;"","")="","Прочее",_xlfn.XLOOKUP(BC6,Коды_код,Коды_вид)&amp;"")))</f>
        <v>Системы противопожарной защиты</v>
      </c>
      <c r="GJ6">
        <f>IF(BM6="","",INT((BM6-1)/Столбцов_на_лист)+1)</f>
        <v>1</v>
      </c>
      <c r="GK6" t="str">
        <f t="shared" si="77"/>
        <v>ВВГнг(А)-FRLS (3х2,5) L=15-0%</v>
      </c>
      <c r="GL6">
        <f t="shared" si="78"/>
        <v>0</v>
      </c>
      <c r="GM6">
        <f t="shared" si="79"/>
        <v>0</v>
      </c>
      <c r="GN6">
        <f t="shared" si="80"/>
        <v>1</v>
      </c>
      <c r="GO6">
        <f t="shared" si="81"/>
        <v>0</v>
      </c>
      <c r="GP6">
        <f t="shared" si="82"/>
        <v>1</v>
      </c>
      <c r="GQ6">
        <f>IF(BM6="","",IF(AND(CG6=1,GP6=1),COUNTIFS(A$3:A6,A6,CG$3:CG6,1,GP$3:GP6,1),IF(OR(OR(BA6=1,A6&lt;&gt;A5),AJ6="вручную",GP6=0),"",IF(BA6=1,"",GR5))))</f>
        <v>2</v>
      </c>
      <c r="GR6">
        <f t="shared" si="83"/>
        <v>2</v>
      </c>
      <c r="GS6">
        <f>IF(B6="","",IFERROR(LOOKUP(INDEX(CHOOSE(EB6,Iдоп_1ж,Iдоп_2ж,Iдоп_3ж),MATCH(EN6,Iдоп_S,0))*DZ6*EA6,{6,10,16,20,25,32,40,50,63,80,100,125,160,200,250,315,400,500,630}),""))</f>
        <v>25</v>
      </c>
      <c r="GT6" t="str">
        <f t="shared" si="84"/>
        <v>QF2</v>
      </c>
      <c r="GU6" t="str">
        <f t="shared" si="85"/>
        <v>QF2</v>
      </c>
      <c r="GV6" t="str">
        <f t="shared" si="86"/>
        <v/>
      </c>
      <c r="GW6">
        <f t="shared" si="87"/>
        <v>0</v>
      </c>
      <c r="GX6" t="str">
        <f>IF(OR(B6="",DJ6=""),"",IFERROR(_xlfn.XLOOKUP(DJ6,Модули_умолч[Управление],Модули_умолч[Модель])&amp;"",""))</f>
        <v/>
      </c>
      <c r="GY6">
        <f>IF(DJ6="",1,IFERROR(MAX(0,N(_xlfn.XLOOKUP(DJ6,Модули_умолч[Управление],Модули_умолч[Каналов на линию]))),1))</f>
        <v>1</v>
      </c>
      <c r="GZ6" t="str">
        <f t="shared" si="88"/>
        <v/>
      </c>
      <c r="HA6" t="str">
        <f t="shared" si="89"/>
        <v/>
      </c>
      <c r="HB6" t="str">
        <f t="shared" si="90"/>
        <v/>
      </c>
      <c r="HC6">
        <f>IF(HB6="",0,IFERROR(N(VLOOKUP(HB6,Модули_спр,3,FALSE)),0))</f>
        <v>0</v>
      </c>
      <c r="HD6" t="str">
        <f t="shared" si="91"/>
        <v/>
      </c>
      <c r="HE6" t="str">
        <f t="shared" si="92"/>
        <v/>
      </c>
      <c r="HF6" t="str">
        <f>IF(OR(HE6="",HE6="-"),"",IFERROR(VLOOKUP(HE6,Модули_спр,2,FALSE),"R"))</f>
        <v/>
      </c>
      <c r="HG6" t="str">
        <f>IF(HF6="","",HF6&amp;"."&amp;COUNTIFS(A$3:A6,A6,HF$3:HF6,HF6))</f>
        <v/>
      </c>
      <c r="HH6" t="str">
        <f t="shared" si="93"/>
        <v/>
      </c>
      <c r="HI6" t="str">
        <f t="shared" si="94"/>
        <v/>
      </c>
      <c r="HJ6" t="str">
        <f t="shared" si="95"/>
        <v/>
      </c>
      <c r="HK6" t="str">
        <f t="shared" si="96"/>
        <v/>
      </c>
      <c r="HL6">
        <f t="shared" si="97"/>
        <v>1</v>
      </c>
      <c r="HM6" t="str">
        <f>IF(HL6=1,"XT"&amp;COUNTIFS(A$3:A6,A6,HL$3:HL6,1),"")</f>
        <v>XT2</v>
      </c>
      <c r="HN6" t="str">
        <f t="shared" si="98"/>
        <v>XT2</v>
      </c>
      <c r="HO6" t="str">
        <f t="shared" si="99"/>
        <v>QF2</v>
      </c>
      <c r="HP6" t="str">
        <f t="shared" si="100"/>
        <v/>
      </c>
      <c r="HQ6" t="str">
        <f t="shared" si="101"/>
        <v>ok</v>
      </c>
      <c r="HR6" t="str">
        <f>IF(OR(HJ6="",HH6=""),"",IF(HJ6+MAX(0,GY6-1)&gt;IFERROR(VLOOKUP(HI6,Модули_спр,3,FALSE),99),"ЛИШНИЙ КАНАЛ",IF(AND(AL6&lt;&gt;"=",GY6&gt;0,COUNTIFS(Линии[_модуль гр.],HH6,Линии[Канал (итог)],HJ6,Линии[Канал],"&lt;&gt;=",Линии[Щит],A6)&gt;1),"ДУБЛЬ КАНАЛА","")))</f>
        <v/>
      </c>
      <c r="HS6" s="6" t="str">
        <f t="shared" si="102"/>
        <v/>
      </c>
      <c r="HT6">
        <f t="shared" si="103"/>
        <v>10</v>
      </c>
      <c r="HU6" t="str">
        <f t="shared" si="104"/>
        <v/>
      </c>
      <c r="HV6">
        <f t="shared" si="105"/>
        <v>0.15</v>
      </c>
      <c r="HW6">
        <f t="shared" si="106"/>
        <v>0</v>
      </c>
      <c r="HX6">
        <f t="shared" si="107"/>
        <v>0</v>
      </c>
      <c r="HY6">
        <f t="shared" si="108"/>
        <v>0</v>
      </c>
      <c r="HZ6">
        <f t="shared" si="109"/>
        <v>0</v>
      </c>
      <c r="IA6">
        <f t="shared" si="110"/>
        <v>0</v>
      </c>
      <c r="IB6">
        <f t="shared" si="111"/>
        <v>0</v>
      </c>
      <c r="IC6" t="str">
        <f t="shared" si="112"/>
        <v/>
      </c>
      <c r="ID6" t="str" cm="1">
        <f t="array" ref="ID6">IF(IC6="","",_xlfn.LET(_xlpm.tk,_xlfn.TEXTSPLIT(SUBSTITUTE(SUBSTITUTE(IC6,";"," "),"→"," ")," ",,TRUE),_xlpm.w_,_xlfn._xlws.FILTER(_xlpm.tk,ISNUMBER(--LEFT(_xlpm.tk,1))*((ISNUMBER(SEARCH("W",_xlpm.tk))+ISNUMBER(SEARCH("Вт",_xlpm.tk)))&gt;0),""),IFERROR(--SUBSTITUTE(SUBSTITUTE(UPPER(INDEX(_xlpm.w_,1)),"W",""),"ВТ",""),"")))</f>
        <v/>
      </c>
      <c r="IE6" t="str" cm="1">
        <f t="array" ref="IE6">IF(IC6="","",_xlfn.LET(_xlpm.tk,_xlfn.TEXTSPLIT(SUBSTITUTE(SUBSTITUTE(IC6,";"," "),"→"," ")," ",,TRUE),_xlpm.v_,_xlfn._xlws.FILTER(_xlpm.tk,ISNUMBER(--LEFT(_xlpm.tk,1))*((ISNUMBER(SEARCH("V",_xlpm.tk))+(RIGHT(UPPER(_xlpm.tk))="В"))&gt;0),""),IFERROR(--SUBSTITUTE(SUBSTITUTE(UPPER(INDEX(_xlpm.v_,1)),"V",""),"В",""),"")))</f>
        <v/>
      </c>
      <c r="IF6" s="6" t="str">
        <f>IF(OR(BV6=0,HI6="",HJ6=""),"",IFERROR(N(_xlfn.XLOOKUP(HI6,Каталог!$C$4:$C$500,Каталог!$Q$4:$Q$500)),""))</f>
        <v/>
      </c>
      <c r="IG6" s="6" t="str">
        <f>IF(N(IF6)=0,"",SUMIFS(Линии[Iр, А],Линии[Щит],A6,Линии[_модуль гр.],HH6,Линии[Канал (итог)],HJ6))</f>
        <v/>
      </c>
      <c r="IH6" t="str">
        <f>IF(AND(B6="",HO6=""),"",_xlfn.TEXTJOIN("; ",TRUE,IF(AND(B6&lt;&gt;"",FV6=""),"нет фазы",""),IF(AND(B6&lt;&gt;"",N(GL6)=0,FG6&lt;&gt;"Нет"),"нет мощности",""),IF(AND(HN6&lt;&gt;"",COUNTIFS(Линии[Щит],A6,Линии[Клемма (итог)],HN6)&gt;1),"дубль клеммы "&amp;HN6,""),IF(AND(HQ6&lt;&gt;"",HQ6&lt;&gt;"ok"),HQ6,""),IF(HR6&lt;&gt;"",HR6,""),IF(AND(N(CB6)&gt;=4,N(BX6)=1),CB6&amp;" жил на 1 фазе",""),IF(AND(BC6="R",CG6=1,IF(CS6&lt;&gt;"",N(CV6)&gt;30,OR(N(DA6)=0,N(DA6)&gt;30))),"розетка без дифзащиты до 30 мА",""),IF(AND(CG6=1,N(DA6)&gt;0,ISNUMBER(T6)),IF(T6&gt;N(DA6)/3,"ток утечки "&amp;FIXED(T6,1)&amp;" мА &gt; 1/3 уставки ("&amp;DA6&amp;" мА)",""),""),IF(AND(CH6=1,CS6=""),"«узо»: нет строки с УЗО выше (УЗО 2P 40А 30мА в «Аппаратах»)",""),IF(AND(CS6&lt;&gt;"",CS6=BA6),IF(CT6="","впишите номинал УЗО (УЗО 2P 40А 30мА)",IF(N(CT6)&lt;N(DT6),"УЗО "&amp;CT6&amp;" А &lt; автомата "&amp;DT6&amp;" А перед ним",IF(N(CT6)&lt;N(CX6),"УЗО "&amp;CT6&amp;" А &lt; тока блока "&amp;FIXED(CX6,1)&amp;" А",""))),""),IF(AND(CS6&lt;&gt;"",CS6=BA6,ISNUMBER(CY6)),IF(CY6&gt;N(CV6)/3,"ток утечки блока УЗО "&amp;FIXED(CY6,1)&amp;" мА &gt; 1/3 уставки ("&amp;CV6&amp;" мА)",""),""),IF(AND(CG6=1,N(BV6)+N(IB6)&gt;0,IC6=""),"линии до 50 В без БП: впишите в «Аппараты» (БП 24V 480W)",""),IF(AND(CG6=1,ISNUMBER(ID6),ISNUMBER(U6)),IF(U6&gt;ID6,"БП "&amp;ID6&amp;" Вт &lt; нужно "&amp;U6&amp;" Вт (×"&amp;Запас_БП&amp;")",""),""),IF(AND(CG6=1,ISNUMBER(IE6),N(BV6)=1),IF(IE6&lt;&gt;N(BU6),"БП на "&amp;IE6&amp;" В, линия "&amp;BU6&amp;" В",""),""),IF(AND(N(IF6)&gt;0,N(IG6)&gt;N(IF6)),HH6&amp;" канал "&amp;HJ6&amp;": "&amp;FIXED(IG6,1)&amp;" А &gt; "&amp;IF6&amp;" А",""),IFERROR(IF(AND(ISNUMBER(Q6),Q6&gt;EL6),"потери "&amp;FIXED(Q6,1)&amp;" % &gt; "&amp;EL6&amp;" %",""),""),IFERROR(IF(LEFT(HU6,4)="мало","Iкз мало — отключение &gt; 0,4 с",""),""),IF(AND(B6&lt;&gt;"",BM6=""),"не на схеме",""),IF(AND(CG6=0,B6&lt;&gt;"",FV6&lt;&gt;"",IF(BA6=1,"",FW5)&lt;&gt;"",FV6&lt;&gt;IF(BA6=1,"",FW5)),"фаза не как у автомата группы ("&amp;IF(BA6=1,"",FW5)&amp;")","")))</f>
        <v>нет мощности</v>
      </c>
      <c r="II6" s="6">
        <f>IF(OR(CG6=0,DQ6=""),"",_xlfn.LET(_xlpm.t,IFERROR(_xlfn.XLOOKUP(DQ6,Каталог!$U$4:$U$500,Каталог!$G$4:$G$500),""),_xlpm.k,SEARCH("кА",_xlpm.t),IFERROR(--TRIM(RIGHT(SUBSTITUTE(MID(_xlpm.t,MAX(1,_xlpm.k-4),_xlpm.k-MAX(1,_xlpm.k-4))," ",REPT(" ",9)),5)),"")))</f>
        <v>6</v>
      </c>
      <c r="IJ6" t="str">
        <f>IF(OR(II6="",CG6=0),"",IF(_xlfn.XLOOKUP(A6,Щиты[Щит],Щиты[Iкз max на шинах, кА],"")="","",IF(II6&lt;_xlfn.XLOOKUP(A6,Щиты[Щит],Щиты[Iкз max на шинах, кА]),"Icu "&amp;II6&amp;" кА &lt; Iкз max","ok")))</f>
        <v/>
      </c>
      <c r="IK6" t="str">
        <f t="shared" si="113"/>
        <v/>
      </c>
      <c r="IL6" t="str">
        <f t="shared" si="114"/>
        <v>QF2|XT2</v>
      </c>
      <c r="IM6" t="str">
        <f t="shared" si="115"/>
        <v>QF2|XT2|кабель ВВГнг(А)-FRLS (3х2,5) → Щит системы противопожарной защиты Цокольный этаж этаж Пом. №001Т Ввод.2</v>
      </c>
      <c r="IN6" t="str" cm="1">
        <f t="array" ref="IN6">IF(IM6="","",_xlfn.LET(_xlpm.nd,_xlfn.TEXTSPLIT(IM6,"|"),IF(COLUMNS(_xlpm.nd)&gt;1,A6&amp;"¦"&amp;INDEX(_xlpm.nd,1)&amp;"¦"&amp;INDEX(_xlpm.nd,2),"")))</f>
        <v>ГРЩ-ЖД¦QF2¦XT2</v>
      </c>
      <c r="IO6" t="str">
        <f t="shared" si="116"/>
        <v>ЩСПЗ-ЖД.2¦Щит системы противопожарной защиты Цокольный этаж этаж Пом. №001Т Ввод.2</v>
      </c>
      <c r="IP6" t="str" cm="1">
        <f t="array" ref="IP6">IF(IM6="","",_xlfn.LET(_xlpm.nd,_xlfn.TEXTSPLIT(IM6,"|"),IF(COLUMNS(_xlpm.nd)&gt;2,A6&amp;"¦"&amp;INDEX(_xlpm.nd,2)&amp;"¦"&amp;INDEX(_xlpm.nd,3),"")))</f>
        <v>ГРЩ-ЖД¦XT2¦кабель ВВГнг(А)-FRLS (3х2,5) → Щит системы противопожарной защиты Цокольный этаж этаж Пом. №001Т Ввод.2</v>
      </c>
      <c r="IQ6" t="str">
        <f t="shared" si="117"/>
        <v>ЩСПЗ-ЖД.2¦Щит системы противопожарной защиты Цокольный этаж этаж Пом. №001Т Ввод.2</v>
      </c>
      <c r="IR6" t="str" cm="1">
        <f t="array" ref="IR6">IF(IM6="","",_xlfn.LET(_xlpm.nd,_xlfn.TEXTSPLIT(IM6,"|"),IF(COLUMNS(_xlpm.nd)&gt;3,A6&amp;"¦"&amp;INDEX(_xlpm.nd,3)&amp;"¦"&amp;INDEX(_xlpm.nd,4),"")))</f>
        <v/>
      </c>
      <c r="IS6" t="str">
        <f t="shared" si="118"/>
        <v/>
      </c>
      <c r="IT6" t="str" cm="1">
        <f t="array" ref="IT6">IF(IM6="","",_xlfn.LET(_xlpm.nd,_xlfn.TEXTSPLIT(IM6,"|"),IF(COLUMNS(_xlpm.nd)&gt;4,A6&amp;"¦"&amp;INDEX(_xlpm.nd,4)&amp;"¦"&amp;INDEX(_xlpm.nd,5),"")))</f>
        <v/>
      </c>
      <c r="IU6" t="str">
        <f t="shared" si="119"/>
        <v/>
      </c>
      <c r="IV6" t="str" cm="1">
        <f t="array" ref="IV6">IF(IM6="","",_xlfn.LET(_xlpm.nd,_xlfn.TEXTSPLIT(IM6,"|"),IF(COLUMNS(_xlpm.nd)&gt;5,A6&amp;"¦"&amp;INDEX(_xlpm.nd,5)&amp;"¦"&amp;INDEX(_xlpm.nd,6),"")))</f>
        <v/>
      </c>
      <c r="IW6" t="str">
        <f t="shared" si="120"/>
        <v/>
      </c>
      <c r="IX6" t="str" cm="1">
        <f t="array" ref="IX6">IF(IM6="","",_xlfn.LET(_xlpm.nd,_xlfn.TEXTSPLIT(IM6,"|"),IF(COLUMNS(_xlpm.nd)&gt;6,A6&amp;"¦"&amp;INDEX(_xlpm.nd,6)&amp;"¦"&amp;INDEX(_xlpm.nd,7),"")))</f>
        <v/>
      </c>
      <c r="IY6" t="str">
        <f t="shared" si="121"/>
        <v/>
      </c>
      <c r="IZ6" t="str">
        <f t="shared" si="122"/>
        <v/>
      </c>
      <c r="JA6" t="str">
        <f t="shared" si="123"/>
        <v>QF2 → XT2</v>
      </c>
      <c r="JB6">
        <f t="shared" si="124"/>
        <v>0</v>
      </c>
      <c r="JC6">
        <f t="shared" si="125"/>
        <v>0</v>
      </c>
      <c r="JD6" t="str">
        <f t="shared" si="126"/>
        <v/>
      </c>
      <c r="JE6" t="str">
        <f t="shared" si="127"/>
        <v/>
      </c>
      <c r="JF6" t="str">
        <f t="shared" si="128"/>
        <v/>
      </c>
      <c r="JG6" t="str">
        <f t="shared" si="129"/>
        <v/>
      </c>
      <c r="JH6">
        <f>IF(B6="","",IFERROR(_xlfn.XLOOKUP(B6,Коды_код,Коды_уго),IFERROR(_xlfn.XLOOKUP(BC6,Коды_код,Коды_уго),IFERROR(_xlfn.XLOOKUP(LEFT(BC6,2),Коды_код,Коды_уго),""))))</f>
        <v>0</v>
      </c>
      <c r="JI6" t="str">
        <f>IF(B6="","",IF(OR(JH6="",JH6=0),"BOX",IFERROR(IF(VLOOKUP(JH6,УГО_блоки,3,FALSE)&amp;""&lt;&gt;"",VLOOKUP(JH6,УГО_блоки,3,FALSE),VLOOKUP(JH6,УГО_блоки,2,FALSE)),JH6)))</f>
        <v>BOX</v>
      </c>
      <c r="JJ6">
        <f t="shared" si="130"/>
        <v>1</v>
      </c>
      <c r="JK6" t="str">
        <f>IF(DQ6="","",IF(COUNTIF(DQ$3:DQ6,DQ6)=1,MAX(JK$2:JK5)+1,""))</f>
        <v/>
      </c>
      <c r="JL6" t="str">
        <f>IF(DE6="","",IF(COUNTIF(DE$3:DE6,DE6)+COUNTIF(DF$2:DF5,DE6)+COUNTIF(DG$2:DG5,DE6)=1,MAX(JL$2:JN5)+1,""))</f>
        <v/>
      </c>
      <c r="JM6" t="str">
        <f>IF(DF6="","",IF(COUNTIF(DE$3:DE6,DF6)+COUNTIF(DF$3:DF6,DF6)+COUNTIF(DG$2:DG5,DF6)=1,MAX(JL$2:JN5,JL6)+1,""))</f>
        <v/>
      </c>
      <c r="JN6" t="str">
        <f>IF(DG6="","",IF(COUNTIF(DE$3:DE6,DG6)+COUNTIF(DF$3:DF6,DG6)+COUNTIF(DG$3:DG6,DG6)=1,MAX(JL$2:JN5,JL6,JM6)+1,""))</f>
        <v/>
      </c>
      <c r="JO6" t="str">
        <f t="shared" si="131"/>
        <v>3х2,5</v>
      </c>
      <c r="JP6" t="str">
        <f>IF(JO6="","",IF(COUNTIF(JO$3:JO6,JO6)=1,MAX(JP$2:JP5)+1,""))</f>
        <v/>
      </c>
      <c r="JQ6" t="str">
        <f>IF(HG6="","",COUNTIF(HG$3:HG6,"?*"))</f>
        <v/>
      </c>
      <c r="JR6" t="str">
        <f>IF(OR(HG6="",HI6=""),"",IF(COUNTIFS(HG$3:HG6,"?*",HI$3:HI6,HI6)=1,MAX(JR$2:JR5)+1,""))</f>
        <v/>
      </c>
      <c r="JS6">
        <f t="shared" si="132"/>
        <v>1</v>
      </c>
      <c r="JT6">
        <f>IF(B6="","",COUNTIF(B$3:B6,"?*"))</f>
        <v>4</v>
      </c>
      <c r="JU6">
        <f>IF(HL6&lt;&gt;1,0,_xlfn.LET(_xlpm.k,MAX(IFERROR(--_xlfn.XLOOKUP(B6,Коды_код,Коды_3L),0),IFERROR(--_xlfn.XLOOKUP(BC6,Коды_код,Коды_3L),0),IFERROR(--_xlfn.XLOOKUP(LEFT(BC6,2),Коды_код,Коды_3L),0)),IF(_xlpm.k&gt;0,_xlpm.k,IF(IFERROR(--LEFT(SUBSTITUTE(JO6,"x","х"),FIND("х",SUBSTITUTE(JO6,"x","х"))-1),3)&gt;3,Каталог!$S$9,1))))</f>
        <v>1</v>
      </c>
      <c r="JV6">
        <f t="shared" si="133"/>
        <v>0</v>
      </c>
      <c r="JW6" t="str">
        <f t="shared" si="134"/>
        <v>авто</v>
      </c>
      <c r="JX6" t="str">
        <f t="shared" si="135"/>
        <v/>
      </c>
      <c r="JY6">
        <f t="shared" si="136"/>
        <v>0</v>
      </c>
      <c r="JZ6">
        <f t="shared" si="137"/>
        <v>1</v>
      </c>
    </row>
    <row r="7" spans="1:286" x14ac:dyDescent="0.3">
      <c r="A7" t="s">
        <v>783</v>
      </c>
      <c r="B7" t="s">
        <v>745</v>
      </c>
      <c r="C7" t="s">
        <v>744</v>
      </c>
      <c r="D7">
        <v>1</v>
      </c>
      <c r="E7">
        <v>13.06</v>
      </c>
      <c r="G7">
        <v>25</v>
      </c>
      <c r="H7" t="str">
        <f>Линии[[#This Row],[_авто управление]]</f>
        <v/>
      </c>
      <c r="I7" t="str">
        <f>Линии[[#This Row],[_авто аппараты]]</f>
        <v/>
      </c>
      <c r="J7">
        <v>6</v>
      </c>
      <c r="K7">
        <v>15</v>
      </c>
      <c r="L7" t="str">
        <f>Линии[[#This Row],[_авто фаза]]</f>
        <v>L1,L2,L3</v>
      </c>
      <c r="M7" t="s">
        <v>484</v>
      </c>
      <c r="N7" t="str">
        <f t="shared" si="0"/>
        <v/>
      </c>
      <c r="O7" s="6" cm="1">
        <f t="array" ref="O7">IF(B7="","",IF(BH7&lt;&gt;"",IFERROR(_xlfn.XLOOKUP(BH7,Щиты[Щит],Щиты[Iр, А]),""),IF(BP7=1,IF(OR(N(_xlfn.XLOOKUP(A7,Щиты[Щит],Щиты[Вводов],1))&lt;=1,LOWER(TRIM(_xlfn.XLOOKUP(A7,Щиты[Щит],Щиты[АВР],"")&amp;""))="да"),IFERROR(_xlfn.XLOOKUP(A7,Щиты[Щит],Щиты[Iр, А]),""),IFERROR(N(BS7)*_xlfn.XLOOKUP(A7,Щиты[Щит],Щиты[Кс итог])/(SQRT(3)*Uн_лин*_xlfn.XLOOKUP(A7,Щиты[Щит],Щиты[cos φ])),"")),IF(BV7=1,IFERROR(BS7*1000/BU7,""),IFERROR(_xlfn.IFS(BX7=1,BS7/((Uн_лин/SQRT(3))*CE7),BX7=3,BS7/(SQRT(3)*Uн_лин*CE7)),"")))))</f>
        <v>11.927695717539414</v>
      </c>
      <c r="P7" s="7">
        <f>IF(B7="","",IFERROR(IF(VLOOKUP(BC7,Потребители_обозначение,4,FALSE)=1,VLOOKUP(BC7,Потребители_обозначение,3,FALSE)*(MAX(1,N(D7))*2-1)+EI7+VLOOKUP(BE7,Этаж_обозначение,3,FALSE)+VLOOKUP(BE7,Этаж_обозначение,4,FALSE),VLOOKUP(BC7,Потребители_обозначение,3,FALSE)*(MAX(1,N(D7))*2-1)+EI7),EI7))</f>
        <v>15</v>
      </c>
      <c r="Q7" s="6">
        <f t="shared" si="1"/>
        <v>0.24000000000000002</v>
      </c>
      <c r="R7" t="str">
        <f t="shared" si="2"/>
        <v>ВВГнг(А)-LS (5х6)</v>
      </c>
      <c r="S7" t="str">
        <f>IF(BM7="","",IF(BN7="вводной узел","узел ","")&amp;"л."&amp;(INT((BM7-1)/Столбцов_на_лист)+1)&amp;" / "&amp;(MOD(BM7-1,Столбцов_на_лист)+1))</f>
        <v>л.2 / 2</v>
      </c>
      <c r="T7" s="119" t="str">
        <f t="shared" si="3"/>
        <v/>
      </c>
      <c r="U7" s="7" t="str">
        <f>IF(OR(CG7=0,N(BV7)+N(IB7)=0),"",ROUNDUP(Запас_БП*(N(HY7)+N(HZ7)),0))</f>
        <v/>
      </c>
      <c r="V7" s="119" t="str">
        <f t="shared" si="4"/>
        <v/>
      </c>
      <c r="W7" s="7" t="str">
        <f>IFERROR(IF(OR(B7="",BP7=1,BV7=1,NOT(ISNUMBER(EN7)),N(DT7)=0),"",MAX(0,ROUNDDOWN((c_min*(Uн_лин*1000/SQRT(3))/(HT7*N(DT7))-_xlfn.XLOOKUP(A7,Щиты[Щит],Щиты[Zпетли на шинах, Ом]))*EN7/(2*ρкз_Cu),0))),"")</f>
        <v/>
      </c>
      <c r="Y7" t="str">
        <f>Линии[[#This Row],[_авто утечка]]</f>
        <v/>
      </c>
      <c r="Z7">
        <v>3</v>
      </c>
      <c r="AA7">
        <v>400</v>
      </c>
      <c r="AB7" t="s">
        <v>598</v>
      </c>
      <c r="AC7">
        <v>0.5</v>
      </c>
      <c r="AE7">
        <v>1</v>
      </c>
      <c r="AG7" t="s">
        <v>810</v>
      </c>
      <c r="AI7" t="s">
        <v>580</v>
      </c>
      <c r="AK7" t="str">
        <f>Линии[[#This Row],[_авто модуль]]</f>
        <v/>
      </c>
      <c r="AM7">
        <v>19</v>
      </c>
      <c r="AN7" t="s">
        <v>11</v>
      </c>
      <c r="AO7">
        <v>5</v>
      </c>
      <c r="AQ7">
        <v>0</v>
      </c>
      <c r="AR7">
        <v>15</v>
      </c>
      <c r="AS7">
        <v>0</v>
      </c>
      <c r="BA7" cm="1">
        <f t="array" ref="BA7">ROW()-ROW(Линии[#Headers])</f>
        <v>5</v>
      </c>
      <c r="BC7" s="6" t="str">
        <f t="shared" si="5"/>
        <v>ЩОВ-01</v>
      </c>
      <c r="BD7" t="str">
        <f t="shared" si="6"/>
        <v/>
      </c>
      <c r="BE7" t="str">
        <f t="shared" si="7"/>
        <v/>
      </c>
      <c r="BF7" t="str">
        <f t="shared" si="8"/>
        <v/>
      </c>
      <c r="BG7" t="str">
        <f t="shared" si="9"/>
        <v/>
      </c>
      <c r="BH7" t="str">
        <f>IF(X7&lt;&gt;"",X7,IF(AND(B7&lt;&gt;"",B7&lt;&gt;A7,ISNUMBER(_xlfn.XMATCH(B7,Щиты[Щит]))),B7,""))</f>
        <v>ЩОВ-01</v>
      </c>
      <c r="BI7" t="str" cm="1">
        <f t="array" ref="BI7">IF(B7="","",IF(BH7&lt;&gt;"","Щит "&amp;BH7,_xlfn.LET(_xlpm.nm,IFERROR(_xlfn.XLOOKUP(BC7,Коды_код,Коды_имя)&amp;"",""),_xlpm.md,IFERROR(N(_xlfn.XLOOKUP(BC7,Коды_код,Коды_режим)),1),_xlpm.ex,IF(Имя_режим="по экспликации",IFERROR(_xlfn.XLOOKUP(BE7&amp;"|"&amp;BG7,Экспликация[Этаж]&amp;"|"&amp;Экспликация[Помещение],Экспликация[Название])&amp;"",""),""),_xlpm.rm,IF(BG7="","",IF(_xlpm.ex&lt;&gt;"",". "&amp;_xlpm.ex&amp;IF(Имя_пом="нет"," ("&amp;BG7&amp;")"," (пом. "&amp;BG7&amp;")"),IF(Имя_пом="нет"," ",", пом. ")&amp;BG7)),IF(_xlpm.nm="","",IF(_xlpm.md=2,_xlpm.nm&amp;" шлейф "&amp;BE7,_xlpm.nm&amp;_xlpm.rm)))))</f>
        <v>Щит ЩОВ-01</v>
      </c>
      <c r="BJ7" t="str">
        <f t="shared" si="10"/>
        <v>Щит вентиляции ЩОВ-01 Цокольный этаж этаж Пом. №0.001Тб</v>
      </c>
      <c r="BK7">
        <f>IFERROR(_xlfn.XMATCH(A7,Щиты[Щит]),0)</f>
        <v>1</v>
      </c>
      <c r="BL7">
        <f>_xlfn.LET(_xlpm.k,IFERROR(_xlfn.XLOOKUP(A7,Щиты[Щит],Щиты[Мест под вводной узел]),""),IF(_xlpm.k="",Столбцов_на_лист,N(_xlpm.k)))</f>
        <v>6</v>
      </c>
      <c r="BM7">
        <f t="shared" si="11"/>
        <v>19</v>
      </c>
      <c r="BN7" t="str">
        <f t="shared" si="12"/>
        <v>линии</v>
      </c>
      <c r="BO7" s="6">
        <f>IFERROR(N(_xlfn.XLOOKUP(BC7,Коды_код,Коды_квт)),0)</f>
        <v>0</v>
      </c>
      <c r="BP7">
        <f t="shared" si="13"/>
        <v>0</v>
      </c>
      <c r="BQ7">
        <f>IF(B7="","",IF(BH7&lt;&gt;"",IFERROR(_xlfn.XLOOKUP(BH7,Щиты[Щит],Щиты[Руст, кВт]),0),IF(BP7=1,IF(OR(N(_xlfn.XLOOKUP(A7,Щиты[Щит],Щиты[Вводов],1))&lt;=1,LOWER(TRIM(_xlfn.XLOOKUP(A7,Щиты[Щит],Щиты[АВР],"")&amp;""))="да"),IFERROR(_xlfn.XLOOKUP(A7,Щиты[Щит],Щиты[Руст, кВт]),0),SUMIFS(Линии[_Р для вводов],Линии[Щит],A7,Линии[Источник для режимов],GF7)),IF(BO7&gt;0,ROUND(BO7*MAX(1,N(D7)),3),""))))</f>
        <v>13.172999999999996</v>
      </c>
      <c r="BR7">
        <f t="shared" si="14"/>
        <v>13.06</v>
      </c>
      <c r="BS7" s="6">
        <f>IF(B7="","",IF(BH7&lt;&gt;"",IFERROR(_xlfn.XLOOKUP(BH7,Щиты[Щит],Щиты[Руст, кВт]),0),N(BR7)))</f>
        <v>13.172999999999996</v>
      </c>
      <c r="BT7" t="str">
        <f>IF(B7="","",IFERROR(IF(VLOOKUP(BC7,Потребители_обозначение,8,FALSE)=0,"",VLOOKUP(BC7,Потребители_обозначение,8,FALSE)),""))</f>
        <v/>
      </c>
      <c r="BU7">
        <f t="shared" si="15"/>
        <v>400</v>
      </c>
      <c r="BV7">
        <f t="shared" si="16"/>
        <v>0</v>
      </c>
      <c r="BW7">
        <f>IF(B7="","",IF(BH7&lt;&gt;"",3,IFERROR(IF(N(VLOOKUP(BC7,Потребители_обозначение,9,FALSE))=0,1,VLOOKUP(BC7,Потребители_обозначение,9,FALSE)),1)))</f>
        <v>3</v>
      </c>
      <c r="BX7">
        <f t="shared" si="17"/>
        <v>3</v>
      </c>
      <c r="BY7" t="str">
        <f>IF(B7="","",_xlfn.LET(_xlpm.bc,IFERROR(IF(VLOOKUP(BC7,Потребители_обозначение,6,FALSE)=0,"",VLOOKUP(BC7,Потребители_обозначение,6,FALSE)&amp;""),""),IF(AND(GA7="да",OR(_xlpm.bc="",_xlpm.bc="мс")),Марка_пож,IF(AND(_xlpm.bc="",BH7&lt;&gt;""),"мс",_xlpm.bc))))</f>
        <v>мс</v>
      </c>
      <c r="BZ7" t="str">
        <f t="shared" si="18"/>
        <v>мс</v>
      </c>
      <c r="CA7">
        <f>IF(B7="","",_xlfn.LET(_xlpm.cc,IFERROR(N(VLOOKUP(BC7,Потребители_обозначение,7,FALSE)),0),IF(_xlpm.cc&gt;0,_xlpm.cc,IF(BZ7="","",IF(BV7=1,2,IF(N(BX7)=3,5,3))))))</f>
        <v>5</v>
      </c>
      <c r="CB7">
        <f t="shared" si="19"/>
        <v>5</v>
      </c>
      <c r="CC7">
        <f>IFERROR(N(VLOOKUP(BC7,Потребители_обозначение,10,FALSE)),0)</f>
        <v>0</v>
      </c>
      <c r="CD7">
        <f>IFERROR(VLOOKUP(BC7,Потребители_обозначение,5,FALSE),0)</f>
        <v>0</v>
      </c>
      <c r="CE7" s="6" cm="1">
        <f t="array" ref="CE7">IF(B7="","",IF(BH7&lt;&gt;"",IFERROR(_xlfn.XLOOKUP(BH7,Щиты[Щит],Щиты[cos φ]),0.95),IF(BP7=1,IFERROR(_xlfn.XLOOKUP(A7,Щиты[Щит],Щиты[cos φ]),0.95),IF(ISNUMBER(AD7),AD7,IFERROR(IF(CD7=2,_xlfn.IFS(BX7=3,VLOOKUP(BS7,Справочная_двигатели,8,FALSE),BX7=1,VLOOKUP(BS7,Справочная_двигатели,10,TRUE)),IF(AND(Методика="нормы 2026",FG7="Сил"),0.8,0.95)),0.95)))))</f>
        <v>0.80000000000000071</v>
      </c>
      <c r="CF7">
        <f t="shared" si="20"/>
        <v>0</v>
      </c>
      <c r="CG7">
        <f t="shared" si="21"/>
        <v>1</v>
      </c>
      <c r="CH7">
        <f t="shared" si="22"/>
        <v>0</v>
      </c>
      <c r="CI7">
        <f>IF(B7="","",IF(BV7=1,IFERROR(BS7/((Uн_лин/SQRT(3))*MAX(0.5,N(CE7))),0),N(O7)))</f>
        <v>11.927695717539414</v>
      </c>
      <c r="CJ7">
        <f t="shared" si="23"/>
        <v>0</v>
      </c>
      <c r="CK7">
        <f t="shared" si="24"/>
        <v>0</v>
      </c>
      <c r="CL7">
        <f t="shared" si="25"/>
        <v>0</v>
      </c>
      <c r="CM7">
        <f t="shared" si="26"/>
        <v>0</v>
      </c>
      <c r="CN7">
        <f t="shared" si="27"/>
        <v>0</v>
      </c>
      <c r="CO7">
        <f>IF(BC7="",0,_xlfn.LET(_xlpm.v,IFERROR(_xlfn.XLOOKUP(B7,Коды_код,Коды_мА),IFERROR(_xlfn.XLOOKUP(BC7,Коды_код,Коды_мА),IFERROR(_xlfn.XLOOKUP(LEFT(BC7,2),Коды_код,Коды_мА),""))),IF(_xlpm.v="да",30,IF(ISNUMBER(_xlpm.v),_xlpm.v,0))))</f>
        <v>0</v>
      </c>
      <c r="CP7" t="str">
        <f t="shared" si="28"/>
        <v/>
      </c>
      <c r="CQ7" t="str">
        <f>_xlfn.LET(_xlpm.k,IFERROR(_xlfn.XLOOKUP(BC7,Коды_код,Коды_утечка)&amp;"",""),IF(_xlpm.k="","дифавтомат",_xlpm.k))</f>
        <v>дифавтомат</v>
      </c>
      <c r="CR7" t="str" cm="1">
        <f t="array" ref="CR7">IF(CG7=0,"",_xlfn.LET(_xlpm.sg,TRIM(_xlfn.TEXTSPLIT(DD7&amp;"",";")),_xlpm.f_,_xlfn._xlws.FILTER(_xlpm.sg,LEFT(_xlpm.sg,3)="УЗО",""),IFERROR(INDEX(_xlpm.f_,1)&amp;"","")))</f>
        <v/>
      </c>
      <c r="CS7" t="str">
        <f t="shared" si="29"/>
        <v/>
      </c>
      <c r="CT7" s="6" t="str" cm="1">
        <f t="array" ref="CT7">IF(CR7="","",_xlfn.LET(_xlpm.tk,_xlfn.TEXTSPLIT(UPPER(CR7)," ",,TRUE),_xlpm.a_,_xlfn._xlws.FILTER(_xlpm.tk,ISNUMBER(--LEFT(_xlpm.tk,1))*((ISNUMBER(SEARCH("А",_xlpm.tk))+ISNUMBER(SEARCH("A",_xlpm.tk)))&gt;0)*NOT(ISNUMBER(SEARCH("МА",_xlpm.tk)))*NOT(ISNUMBER(SEARCH("MA",_xlpm.tk))),""),IFERROR(--SUBSTITUTE(SUBSTITUTE(INDEX(_xlpm.a_,1),"А",""),"A",""),"")))</f>
        <v/>
      </c>
      <c r="CU7" t="str" cm="1">
        <f t="array" ref="CU7">IF(CR7="","",_xlfn.LET(_xlpm.tk,_xlfn.TEXTSPLIT(UPPER(CR7)," ",,TRUE),_xlpm.a_,_xlfn._xlws.FILTER(_xlpm.tk,ISNUMBER(--LEFT(_xlpm.tk,1))*((ISNUMBER(SEARCH("МА",_xlpm.tk))+ISNUMBER(SEARCH("MA",_xlpm.tk)))&gt;0),""),IFERROR(--SUBSTITUTE(SUBSTITUTE(INDEX(_xlpm.a_,1),"МА",""),"MA",""),30)))</f>
        <v/>
      </c>
      <c r="CV7" t="str">
        <f>IF(CS7="","",IFERROR(_xlfn.XLOOKUP(CS7,Линии[_n],Линии[_УЗО, мА]),30))</f>
        <v/>
      </c>
      <c r="CW7">
        <f>IF(CS7="",0,IF(ISNUMBER(SEARCH("4P",IFERROR(_xlfn.XLOOKUP(CS7,Линии[_n],Линии[_УЗО строки])&amp;"",""))),0,1))</f>
        <v>0</v>
      </c>
      <c r="CX7" t="str">
        <f>IF(AND(CS7&lt;&gt;"",CS7=BA7),SUMIFS(Линии[_ток на 230 В],Линии[_блок УЗО],BA7,Линии[Щит],A7),"")</f>
        <v/>
      </c>
      <c r="CY7" t="str">
        <f>IF(AND(CS7&lt;&gt;"",CS7=BA7),SUMIFS(Линии[_ток утечки линии, мА],Линии[_блок УЗО],BA7,Линии[Щит],A7),"")</f>
        <v/>
      </c>
      <c r="CZ7">
        <f t="shared" si="30"/>
        <v>0</v>
      </c>
      <c r="DA7">
        <f t="shared" si="31"/>
        <v>0</v>
      </c>
      <c r="DB7">
        <f>IF(B7="",0,IFERROR(--_xlfn.XLOOKUP(B7,Коды_код,Коды_минавт),IFERROR(--_xlfn.XLOOKUP(BC7,Коды_код,Коды_минавт),IFERROR(--_xlfn.XLOOKUP(LEFT(BC7,2),Коды_код,Коды_минавт),0))))</f>
        <v>0</v>
      </c>
      <c r="DC7" t="str">
        <f>IF(B7="","",IFERROR(_xlfn.XLOOKUP(BC7,Коды_код,Коды_апп)&amp;"",""))</f>
        <v/>
      </c>
      <c r="DD7" t="str">
        <f t="shared" si="32"/>
        <v/>
      </c>
      <c r="DE7" t="str" cm="1">
        <f t="array" ref="DE7">IF(TRIM(DD7&amp;"")="","",IFERROR(TRIM(INDEX(_xlfn.TEXTSPLIT(DD7&amp;";;;",";"),1)),""))</f>
        <v/>
      </c>
      <c r="DF7" t="str" cm="1">
        <f t="array" ref="DF7">IF(TRIM(DD7&amp;"")="","",IFERROR(TRIM(INDEX(_xlfn.TEXTSPLIT(DD7&amp;";;;",";"),2)),""))</f>
        <v/>
      </c>
      <c r="DG7" t="str" cm="1">
        <f t="array" ref="DG7">IF(TRIM(DD7&amp;"")="","",IFERROR(TRIM(INDEX(_xlfn.TEXTSPLIT(DD7&amp;";;;",";"),3)),""))</f>
        <v/>
      </c>
      <c r="DH7">
        <f t="shared" si="33"/>
        <v>0</v>
      </c>
      <c r="DI7" t="str">
        <f>IF(B7="","",_xlfn.LET(_xlpm.t,LOWER(AZ7&amp;""),IF(ISNUMBER(SEARCH("dim",_xlpm.t)),"DIM",IF(ISNUMBER(SEARCH("dali",_xlpm.t)),"DALI",IF(OR(ISNUMBER(SEARCH("relay",_xlpm.t)),ISNUMBER(SEARCH("реле",_xlpm.t))),"Relay",IF(ISNUMBER(SEARCH("кнопк",_xlpm.t)),"",IFERROR(_xlfn.XLOOKUP(BC7,Коды_код,Коды_упр)&amp;"","")))))))</f>
        <v/>
      </c>
      <c r="DJ7" t="str">
        <f t="shared" si="34"/>
        <v/>
      </c>
      <c r="DK7">
        <f>IF(B7="","",_xlfn.LET(_xlpm.ig,IF(N(CX7)&gt;0,N(CX7),N(CI7)+IF(AJ7="вручную",0,N(CJ7))),_xlpm.n0,IFERROR(VLOOKUP(_xlpm.ig,Автомат_номиналы,2,TRUE),0),_xlpm.mn,MAX(DB7,IF(AJ7="вручную",0,N(CM7))),MAX(_xlpm.n0,_xlpm.mn,IF(DH7=1,Мин_автомат_БП,0))))</f>
        <v>16</v>
      </c>
      <c r="DL7">
        <f t="shared" si="35"/>
        <v>3</v>
      </c>
      <c r="DM7" t="str">
        <f t="shared" si="36"/>
        <v>3P</v>
      </c>
      <c r="DN7" t="str">
        <f>_xlfn.LET(_xlpm.cc,UPPER(TRIM(IFERROR(_xlfn.XLOOKUP(BC7,Коды_код,Коды_хар)&amp;"",""))),IF(OR(_xlpm.cc="B",_xlpm.cc="В"),"B",IF(_xlpm.cc="D","D","С")))</f>
        <v>С</v>
      </c>
      <c r="DO7" t="str">
        <f t="shared" si="37"/>
        <v>3P С16А</v>
      </c>
      <c r="DP7">
        <f t="shared" si="38"/>
        <v>25</v>
      </c>
      <c r="DQ7" t="str">
        <f t="shared" si="39"/>
        <v>3P С25А</v>
      </c>
      <c r="DR7" cm="1">
        <f t="array" ref="DR7">IF(DQ7="","",_xlfn.LET(_xlpm.t,SUBSTITUTE(SUBSTITUTE(SUBSTITUTE(UPPER(DQ7),"С","C"),"А","A"),"В","B"),_xlpm.tk,_xlfn.TEXTSPLIT(_xlpm.t," "),_xlpm.f,_xlfn._xlws.FILTER(_xlpm.tk,ISNUMBER(--MID(_xlpm.tk,2,1))*ISNUMBER(SEARCH(LEFT(_xlpm.tk,1)&amp;"#","B#C#D#"))*(LEN(_xlpm.tk)&gt;1),""),_xlpm.x,INDEX(_xlpm.f,1),IFERROR(--SUBSTITUTE(MID(_xlpm.x,2,9),"A",""),IFERROR(--SUBSTITUTE(INDEX(_xlfn._xlws.FILTER(_xlpm.tk,ISNUMBER(--SUBSTITUTE(_xlpm.tk,"A","")),""),1),"A",""),""))))</f>
        <v>25</v>
      </c>
      <c r="DS7" t="str">
        <f t="shared" si="40"/>
        <v>ok</v>
      </c>
      <c r="DT7">
        <f t="shared" si="41"/>
        <v>25</v>
      </c>
      <c r="DU7" t="str">
        <f t="shared" si="42"/>
        <v>3P С25А</v>
      </c>
      <c r="DV7">
        <f t="shared" si="43"/>
        <v>0</v>
      </c>
      <c r="DW7">
        <f t="shared" si="44"/>
        <v>0</v>
      </c>
      <c r="DX7">
        <f t="shared" si="45"/>
        <v>0</v>
      </c>
      <c r="DY7">
        <f t="shared" si="46"/>
        <v>11.927695717539414</v>
      </c>
      <c r="DZ7">
        <f t="shared" si="47"/>
        <v>0.92</v>
      </c>
      <c r="EA7">
        <f>IF(ISNUMBER(AP7),AP7,К_прокл)</f>
        <v>1</v>
      </c>
      <c r="EB7">
        <f t="shared" si="48"/>
        <v>3</v>
      </c>
      <c r="EC7">
        <f>IFERROR(N(VLOOKUP(BZ7,Кабель_обозначение,3,FALSE)),1)</f>
        <v>1</v>
      </c>
      <c r="ED7">
        <f>IFERROR(N(_xlfn.XLOOKUP(A7,Щиты[Щит],Щиты[ΔU до шин, %])),0)</f>
        <v>0</v>
      </c>
      <c r="EE7" t="str">
        <f>IFERROR(_xlfn.XLOOKUP(A7,Щиты[Щит],Щиты[Zпетли на шинах, Ом]),"")</f>
        <v/>
      </c>
      <c r="EF7">
        <f>IFERROR(N(_xlfn.XLOOKUP(A7,Щиты[Щит],Щиты[ΔU до шин (подбор), %])),0)</f>
        <v>0</v>
      </c>
      <c r="EG7" t="str">
        <f>IFERROR(_xlfn.XLOOKUP(A7,Щиты[Щит],Щиты[Zпетли на шинах (подбор), Ом]),"")</f>
        <v/>
      </c>
      <c r="EH7" t="str">
        <f t="shared" si="49"/>
        <v/>
      </c>
      <c r="EI7">
        <f t="shared" si="50"/>
        <v>15</v>
      </c>
      <c r="EJ7">
        <f t="shared" si="51"/>
        <v>1</v>
      </c>
      <c r="EK7">
        <f t="shared" si="52"/>
        <v>0.6</v>
      </c>
      <c r="EL7" s="6">
        <f>IF(B7="","",IF(BV7=1,dU_LED,IF(IFERROR(_xlfn.XLOOKUP(BC7,Коды_код,Коды_уго),"")="Светильник",3,4)+IF(Методика="нормы 2026",MIN(0.5,MAX(0,N(P7)-100)*0.005),0)))</f>
        <v>4</v>
      </c>
      <c r="EM7" cm="1">
        <f t="array" ref="EM7">IF(OR(B7="",BZ7="",EC7&lt;&gt;1),"",_xlfn.LET(_xlpm.sz,Iдоп_S,_xlpm.t_,CHOOSE(EB7,Iдоп_1ж,Iдоп_2ж,Iдоп_3ж)*DZ7*EA7,_xlpm.dcx,BV7=1,_xlpm.inn,IF(_xlpm.dcx,N(O7),N(DT7)),_xlpm.smin,MAX(1.5,CC7),_xlpm.L_,N(P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N(BU7)*100,999),IFERROR(N(EJ7)*(_xlpm.rho*_xlpm.L_/_xlpm.sz*N(CE7)+_xlpm.xx*_xlpm.L_*N(EK7)/1000)*N(O7)/((Uн_лин/SQRT(3))*1000)*100,999)),_xlpm.kz,IF(OR(_xlpm.dcx,DW7=1,NOT(ISNUMBER(EG7)),_xlpm.L_=0,_xlpm.inn=0),1,IFERROR(--(c_min*(Uн_лин*1000/SQRT(3))/(EG7+2*ρкз_Cu*_xlpm.L_/_xlpm.sz)&gt;=HT7*_xlpm.inn),0)),_xlpm.ok,IFERROR((_xlpm.sz&gt;=_xlpm.smin)*(_xlpm.t_&gt;=_xlpm.inn)*IF(_xlpm.L_&gt;0,(_xlpm.du_+IF(_xlpm.dcx,0,EF7)&lt;=EL7+0.00001),1)*_xlpm.kz,0),_xlpm.r_,_xlfn._xlws.FILTER(_xlpm.sz,_xlpm.ok,"не подобрано"),INDEX(_xlpm.r_,1)))</f>
        <v>4</v>
      </c>
      <c r="EN7">
        <f t="shared" si="53"/>
        <v>6</v>
      </c>
      <c r="EO7" cm="1">
        <f t="array" ref="EO7">IF(OR(B7="",BZ7="",EC7&lt;&gt;1),"",_xlfn.LET(_xlpm.sz,Iдоп_S,_xlpm.t_,CHOOSE(EB7,Iдоп_1ж,Iдоп_2ж,Iдоп_3ж)*DZ7*EA7,_xlpm.ok,IFERROR((_xlpm.sz&gt;=MAX(1.5,CC7))*(_xlpm.t_&gt;=N(DT7)),0),_xlpm.r_,_xlfn._xlws.FILTER(_xlpm.sz,_xlpm.ok,""),INDEX(_xlpm.r_,1)))</f>
        <v>4</v>
      </c>
      <c r="EP7" s="6" cm="1">
        <f t="array" ref="EP7">IFERROR(ROUNDUP(N(EJ7)*(_xlfn.XLOOKUP(EO7,INDEX(Кабель_сопротивление,0,1),INDEX(Кабель_сопротивление,0,3))*N(P7)/EO7*N(CE7)+_xlfn.XLOOKUP(EO7,INDEX(Кабель_сопротивление,0,1),INDEX(Кабель_сопротивление,0,2))*N(P7)*N(EK7)/1000)*N(O7)/((Uн_лин/SQRT(3))*1000)*100,2),"")</f>
        <v>0.36</v>
      </c>
      <c r="EQ7">
        <f>IFERROR(2*ρкз_Cu*N(P7)/EO7,"")</f>
        <v>0.19725000000000001</v>
      </c>
      <c r="ER7">
        <f>IFERROR(VLOOKUP(EN7,Кабель_сопротивление,3,FALSE),"")</f>
        <v>2.2499999999999999E-2</v>
      </c>
      <c r="ES7">
        <f>IFERROR(VLOOKUP(EN7,Кабель_сопротивление,2,FALSE),"")</f>
        <v>0.09</v>
      </c>
      <c r="ET7">
        <f t="shared" si="54"/>
        <v>15</v>
      </c>
      <c r="EU7">
        <f t="shared" si="55"/>
        <v>0</v>
      </c>
      <c r="EV7">
        <f t="shared" si="56"/>
        <v>0.54640774082048094</v>
      </c>
      <c r="EW7" s="6">
        <f>IFERROR(ROUNDUP(EV7/IF(BV7=1,BU7,(Uн_лин/SQRT(3))*1000)*100,2),"")</f>
        <v>0.24000000000000002</v>
      </c>
      <c r="EX7" t="str">
        <f>IFERROR(VLOOKUP(BZ7,Кабель_обозначение,2,FALSE),"")</f>
        <v>ВВГнг(А)-LS</v>
      </c>
      <c r="EY7" t="str">
        <f t="shared" si="57"/>
        <v>ВВГнг(А)-LS (5х6)</v>
      </c>
      <c r="EZ7" t="str">
        <f t="shared" si="58"/>
        <v>ВВГнг(А)-LS (5х6)
L=15-0,24%</v>
      </c>
      <c r="FA7">
        <f>IFERROR(2*ρкз_Cu*P7/EN7,"")</f>
        <v>0.13150000000000001</v>
      </c>
      <c r="FB7">
        <f t="shared" si="59"/>
        <v>4.3750000000000004E-2</v>
      </c>
      <c r="FC7" s="6" t="str">
        <f>IFERROR(IF(OR(B7="",BV7=1,NOT(ISNUMBER(EN7)),N(P7)=0),"",_xlfn.XLOOKUP(A7,Щиты[Щит],Щиты[Zпетли на шинах, Ом])+FA7),"")</f>
        <v/>
      </c>
      <c r="FD7" s="6" t="str">
        <f>IF(ISNUMBER(FC7),c_min*(Uн_лин*1000/SQRT(3))/FC7,"")</f>
        <v/>
      </c>
      <c r="FE7" s="6" t="str">
        <f>IFERROR(IF(OR(B7="",NOT(ISNUMBER(EN7))),"",1.05*(Uн_лин*1000/SQRT(3))/(_xlfn.XLOOKUP(A7,Щиты[Щит],Щиты[Zmax на шинах, Ом])+FB7)/1000),"")</f>
        <v/>
      </c>
      <c r="FF7" s="6" t="str">
        <f>IF(B7="","",IF(ISNUMBER(AC7),"Сил",IF(IFERROR(_xlfn.XLOOKUP(BC7,Коды_код,Коды_группа)&amp;"","")="","Быт",_xlfn.XLOOKUP(BC7,Коды_код,Коды_группа)&amp;"")))</f>
        <v>Сил</v>
      </c>
      <c r="FG7" s="6" t="str">
        <f t="shared" si="60"/>
        <v>Щит</v>
      </c>
      <c r="FH7" s="6" t="str">
        <f>IF(FG7="Щит","щит",IF(FG7="","",IF(FG7="Быт",IFERROR(_xlfn.XLOOKUP(A7,Щиты[Щит],Щиты[Кс быт]),1),IF(FG7="Сил",IF(ISNUMBER(AC7),AC7,IF(Методика="нормы 2026",IFERROR(_xlfn.XLOOKUP(A7,Щиты[Щит],Щиты[Кс силовых (табл. 7.5)]),1),1)),IF(OR(FG7="Пост",FG7="Отоп"),1,IF(FG7="ВНГ",0.7,0))))))</f>
        <v>щит</v>
      </c>
      <c r="FI7">
        <f>IF(FG7="","",IF(AND(BP7=1,TRIM(AE7&amp;"")=""),IF(COUNTIFS(Линии[Щит],A7,Линии[Секция (1/2/3)],"&gt;=2")&gt;0,MIN(3,MAX(1,IFERROR(--BD7,1))),1),IFERROR(MIN(3,MAX(1,INT(--AE7))),1)))</f>
        <v>1</v>
      </c>
      <c r="FJ7">
        <f t="shared" si="61"/>
        <v>0</v>
      </c>
      <c r="FK7">
        <f t="shared" si="62"/>
        <v>0</v>
      </c>
      <c r="FL7">
        <f t="shared" si="63"/>
        <v>0</v>
      </c>
      <c r="FM7">
        <f t="shared" si="64"/>
        <v>0</v>
      </c>
      <c r="FN7">
        <f t="shared" si="65"/>
        <v>0</v>
      </c>
      <c r="FO7">
        <f t="shared" si="66"/>
        <v>0</v>
      </c>
      <c r="FP7">
        <f t="shared" si="67"/>
        <v>13.172999999999996</v>
      </c>
      <c r="FQ7">
        <f t="shared" si="68"/>
        <v>0</v>
      </c>
      <c r="FR7">
        <f t="shared" si="69"/>
        <v>0</v>
      </c>
      <c r="FS7">
        <f>IF(CG7=1,IF(AND(CH7=1,CW7=1),0,IF(AND(CS7&lt;&gt;"",CS7=BA7,CW7=1),SUMIFS(Линии[_Р линии, кВт],Линии[_блок УЗО],BA7,Линии[Щит],A7),N(BS7)+IF(AJ7="вручную",0,N(CK7)))),0)</f>
        <v>13.172999999999996</v>
      </c>
      <c r="FT7" t="str">
        <f t="shared" si="70"/>
        <v/>
      </c>
      <c r="FU7" t="str">
        <f>IF(B7="","",IF(CG7=0,IF(BA7=1,"",FW6),IF(AND(CH7=1,CW7=1,CS7&lt;&gt;""),IFERROR(_xlfn.XLOOKUP(CS7,Линии[_n],Линии[_фаза итог]),"L1"),IF(OR(N(DL7)&gt;=3,N(BX7)&gt;=3),"L1,L2,L3",IFERROR(_xlfn.TEXTBEFORE(_xlfn.TEXTAFTER(_xlfn.XLOOKUP(A7,Щиты[Щит],Щиты[_фазы авто]),";"&amp;BA7&amp;":"),";"),"L1")))))</f>
        <v>L1,L2,L3</v>
      </c>
      <c r="FV7" t="str">
        <f t="shared" si="71"/>
        <v>L1,L2,L3</v>
      </c>
      <c r="FW7" t="str">
        <f t="shared" si="72"/>
        <v>L1,L2,L3</v>
      </c>
      <c r="FX7" cm="1">
        <f t="array" ref="FX7">IFERROR(IF(CD7=2,_xlfn.IFS(BX7=3,VLOOKUP(BS7,Справочная_двигатели,3,FALSE),BX7=1,VLOOKUP(BS7,Справочная_двигатели,5,TRUE)),0),0)</f>
        <v>0</v>
      </c>
      <c r="FY7">
        <f>IFERROR(IF(CD7=3,VLOOKUP(BS7,Справочная_ЛЭД,2,TRUE),0),0)</f>
        <v>0</v>
      </c>
      <c r="FZ7" s="6">
        <f t="shared" si="73"/>
        <v>0</v>
      </c>
      <c r="GA7" t="str">
        <f>IF(B7="","",IF(TRIM(AH7&amp;"")&lt;&gt;"",IF(LOWER(TRIM(AH7&amp;""))="да","да","нет"),IF(IFERROR(_xlfn.XLOOKUP(BC7,Коды_код,Коды_пожарная),"")="да","да","нет")))</f>
        <v>нет</v>
      </c>
      <c r="GB7" t="str">
        <f t="shared" si="74"/>
        <v/>
      </c>
      <c r="GC7" t="str">
        <f t="shared" si="75"/>
        <v>основная</v>
      </c>
      <c r="GD7">
        <f>IF(AND(BP7=1,TRIM(AE7&amp;"")=""),IF(COUNTIFS(Линии[Щит],A7,Линии[Секция (1/2/3)],"&gt;=2")&gt;0,MIN(3,MAX(1,IFERROR(--BD7,1))),1),IFERROR(MIN(3,MAX(1,INT(--AE7))),1))</f>
        <v>1</v>
      </c>
      <c r="GE7" t="str" cm="1">
        <f t="array" ref="GE7">IF(B7="","",_xlfn.LET(_xlpm.t,IFERROR(_xlfn.XLOOKUP(1,(Шины[Шина]=GC7)*(((Шины[Щит]=A7)+(Шины[Щит]=""))&gt;0),Шины[Тип]),"")&amp;"",IF(_xlpm.t&lt;&gt;"",_xlpm.t,IF(ISNUMBER(SEARCH("ИБП",GC7)),"ИБП",IF(ISNUMBER(SEARCH("ДГУ",GC7)),"ДГУ","Ввод "&amp;GD7)))))</f>
        <v>Ввод 1</v>
      </c>
      <c r="GF7" t="str">
        <f t="shared" si="76"/>
        <v>Ввод 1</v>
      </c>
      <c r="GG7" t="str">
        <f>IF(BP7=0,"",IF(TRIM(AG7&amp;"")&lt;&gt;"",TRIM(AG7&amp;""),IF(OR(GE7="ИБП",GE7="ДГУ"),"I особая",_xlfn.XLOOKUP(A7,Щиты[Щит],Щиты[Категория шины «Ввод»],"III"))))</f>
        <v/>
      </c>
      <c r="GH7" t="str">
        <f>IF(A7="","",_xlfn.XLOOKUP(A7,Щиты[Щит],Щиты[Путь],""))</f>
        <v>|ГРЩ-ЖД|</v>
      </c>
      <c r="GI7" t="str">
        <f>IF(B7="","",IF(AI7&lt;&gt;"",AI7,IF(IFERROR(_xlfn.XLOOKUP(BC7,Коды_код,Коды_вид)&amp;"","")="","Прочее",_xlfn.XLOOKUP(BC7,Коды_код,Коды_вид)&amp;"")))</f>
        <v>Вентиляция</v>
      </c>
      <c r="GJ7">
        <f>IF(BM7="","",INT((BM7-1)/Столбцов_на_лист)+1)</f>
        <v>2</v>
      </c>
      <c r="GK7" t="str">
        <f t="shared" si="77"/>
        <v>ВВГнг(А)-LS (5х6) L=15-0,24%</v>
      </c>
      <c r="GL7">
        <f t="shared" si="78"/>
        <v>13.172999999999996</v>
      </c>
      <c r="GM7">
        <f t="shared" si="79"/>
        <v>11.93</v>
      </c>
      <c r="GN7">
        <f t="shared" si="80"/>
        <v>3</v>
      </c>
      <c r="GO7">
        <f t="shared" si="81"/>
        <v>0</v>
      </c>
      <c r="GP7">
        <f t="shared" si="82"/>
        <v>1</v>
      </c>
      <c r="GQ7">
        <f>IF(BM7="","",IF(AND(CG7=1,GP7=1),COUNTIFS(A$3:A7,A7,CG$3:CG7,1,GP$3:GP7,1),IF(OR(OR(BA7=1,A7&lt;&gt;A6),AJ7="вручную",GP7=0),"",IF(BA7=1,"",GR6))))</f>
        <v>3</v>
      </c>
      <c r="GR7">
        <f t="shared" si="83"/>
        <v>3</v>
      </c>
      <c r="GS7">
        <f>IF(B7="","",IFERROR(LOOKUP(INDEX(CHOOSE(EB7,Iдоп_1ж,Iдоп_2ж,Iдоп_3ж),MATCH(EN7,Iдоп_S,0))*DZ7*EA7,{6,10,16,20,25,32,40,50,63,80,100,125,160,200,250,315,400,500,630}),""))</f>
        <v>32</v>
      </c>
      <c r="GT7" t="str">
        <f t="shared" si="84"/>
        <v>QF3</v>
      </c>
      <c r="GU7" t="str">
        <f t="shared" si="85"/>
        <v>QF3</v>
      </c>
      <c r="GV7" t="str">
        <f t="shared" si="86"/>
        <v/>
      </c>
      <c r="GW7">
        <f t="shared" si="87"/>
        <v>0</v>
      </c>
      <c r="GX7" t="str">
        <f>IF(OR(B7="",DJ7=""),"",IFERROR(_xlfn.XLOOKUP(DJ7,Модули_умолч[Управление],Модули_умолч[Модель])&amp;"",""))</f>
        <v/>
      </c>
      <c r="GY7">
        <f>IF(DJ7="",1,IFERROR(MAX(0,N(_xlfn.XLOOKUP(DJ7,Модули_умолч[Управление],Модули_умолч[Каналов на линию]))),1))</f>
        <v>1</v>
      </c>
      <c r="GZ7" t="str">
        <f t="shared" si="88"/>
        <v/>
      </c>
      <c r="HA7" t="str">
        <f t="shared" si="89"/>
        <v/>
      </c>
      <c r="HB7" t="str">
        <f t="shared" si="90"/>
        <v/>
      </c>
      <c r="HC7">
        <f>IF(HB7="",0,IFERROR(N(VLOOKUP(HB7,Модули_спр,3,FALSE)),0))</f>
        <v>0</v>
      </c>
      <c r="HD7" t="str">
        <f t="shared" si="91"/>
        <v/>
      </c>
      <c r="HE7" t="str">
        <f t="shared" si="92"/>
        <v/>
      </c>
      <c r="HF7" t="str">
        <f>IF(OR(HE7="",HE7="-"),"",IFERROR(VLOOKUP(HE7,Модули_спр,2,FALSE),"R"))</f>
        <v/>
      </c>
      <c r="HG7" t="str">
        <f>IF(HF7="","",HF7&amp;"."&amp;COUNTIFS(A$3:A7,A7,HF$3:HF7,HF7))</f>
        <v/>
      </c>
      <c r="HH7" t="str">
        <f t="shared" si="93"/>
        <v/>
      </c>
      <c r="HI7" t="str">
        <f t="shared" si="94"/>
        <v/>
      </c>
      <c r="HJ7" t="str">
        <f t="shared" si="95"/>
        <v/>
      </c>
      <c r="HK7" t="str">
        <f t="shared" si="96"/>
        <v/>
      </c>
      <c r="HL7">
        <f t="shared" si="97"/>
        <v>1</v>
      </c>
      <c r="HM7" t="str">
        <f>IF(HL7=1,"XT"&amp;COUNTIFS(A$3:A7,A7,HL$3:HL7,1),"")</f>
        <v>XT3</v>
      </c>
      <c r="HN7" t="str">
        <f t="shared" si="98"/>
        <v/>
      </c>
      <c r="HO7" t="str">
        <f t="shared" si="99"/>
        <v>QF3</v>
      </c>
      <c r="HP7" t="str">
        <f t="shared" si="100"/>
        <v/>
      </c>
      <c r="HQ7" t="str">
        <f t="shared" si="101"/>
        <v>ok</v>
      </c>
      <c r="HR7" t="str">
        <f>IF(OR(HJ7="",HH7=""),"",IF(HJ7+MAX(0,GY7-1)&gt;IFERROR(VLOOKUP(HI7,Модули_спр,3,FALSE),99),"ЛИШНИЙ КАНАЛ",IF(AND(AL7&lt;&gt;"=",GY7&gt;0,COUNTIFS(Линии[_модуль гр.],HH7,Линии[Канал (итог)],HJ7,Линии[Канал],"&lt;&gt;=",Линии[Щит],A7)&gt;1),"ДУБЛЬ КАНАЛА","")))</f>
        <v/>
      </c>
      <c r="HS7" s="6" t="str">
        <f t="shared" si="102"/>
        <v/>
      </c>
      <c r="HT7">
        <f t="shared" si="103"/>
        <v>10</v>
      </c>
      <c r="HU7" t="str">
        <f t="shared" si="104"/>
        <v/>
      </c>
      <c r="HV7">
        <f t="shared" si="105"/>
        <v>0</v>
      </c>
      <c r="HW7">
        <f t="shared" si="106"/>
        <v>0</v>
      </c>
      <c r="HX7">
        <f t="shared" si="107"/>
        <v>0</v>
      </c>
      <c r="HY7">
        <f t="shared" si="108"/>
        <v>0</v>
      </c>
      <c r="HZ7">
        <f t="shared" si="109"/>
        <v>0</v>
      </c>
      <c r="IA7">
        <f t="shared" si="110"/>
        <v>0</v>
      </c>
      <c r="IB7">
        <f t="shared" si="111"/>
        <v>0</v>
      </c>
      <c r="IC7" t="str">
        <f t="shared" si="112"/>
        <v/>
      </c>
      <c r="ID7" t="str" cm="1">
        <f t="array" ref="ID7">IF(IC7="","",_xlfn.LET(_xlpm.tk,_xlfn.TEXTSPLIT(SUBSTITUTE(SUBSTITUTE(IC7,";"," "),"→"," ")," ",,TRUE),_xlpm.w_,_xlfn._xlws.FILTER(_xlpm.tk,ISNUMBER(--LEFT(_xlpm.tk,1))*((ISNUMBER(SEARCH("W",_xlpm.tk))+ISNUMBER(SEARCH("Вт",_xlpm.tk)))&gt;0),""),IFERROR(--SUBSTITUTE(SUBSTITUTE(UPPER(INDEX(_xlpm.w_,1)),"W",""),"ВТ",""),"")))</f>
        <v/>
      </c>
      <c r="IE7" t="str" cm="1">
        <f t="array" ref="IE7">IF(IC7="","",_xlfn.LET(_xlpm.tk,_xlfn.TEXTSPLIT(SUBSTITUTE(SUBSTITUTE(IC7,";"," "),"→"," ")," ",,TRUE),_xlpm.v_,_xlfn._xlws.FILTER(_xlpm.tk,ISNUMBER(--LEFT(_xlpm.tk,1))*((ISNUMBER(SEARCH("V",_xlpm.tk))+(RIGHT(UPPER(_xlpm.tk))="В"))&gt;0),""),IFERROR(--SUBSTITUTE(SUBSTITUTE(UPPER(INDEX(_xlpm.v_,1)),"V",""),"В",""),"")))</f>
        <v/>
      </c>
      <c r="IF7" s="6" t="str">
        <f>IF(OR(BV7=0,HI7="",HJ7=""),"",IFERROR(N(_xlfn.XLOOKUP(HI7,Каталог!$C$4:$C$500,Каталог!$Q$4:$Q$500)),""))</f>
        <v/>
      </c>
      <c r="IG7" s="6" t="str">
        <f>IF(N(IF7)=0,"",SUMIFS(Линии[Iр, А],Линии[Щит],A7,Линии[_модуль гр.],HH7,Линии[Канал (итог)],HJ7))</f>
        <v/>
      </c>
      <c r="IH7" t="str">
        <f>IF(AND(B7="",HO7=""),"",_xlfn.TEXTJOIN("; ",TRUE,IF(AND(B7&lt;&gt;"",FV7=""),"нет фазы",""),IF(AND(B7&lt;&gt;"",N(GL7)=0,FG7&lt;&gt;"Нет"),"нет мощности",""),IF(AND(HN7&lt;&gt;"",COUNTIFS(Линии[Щит],A7,Линии[Клемма (итог)],HN7)&gt;1),"дубль клеммы "&amp;HN7,""),IF(AND(HQ7&lt;&gt;"",HQ7&lt;&gt;"ok"),HQ7,""),IF(HR7&lt;&gt;"",HR7,""),IF(AND(N(CB7)&gt;=4,N(BX7)=1),CB7&amp;" жил на 1 фазе",""),IF(AND(BC7="R",CG7=1,IF(CS7&lt;&gt;"",N(CV7)&gt;30,OR(N(DA7)=0,N(DA7)&gt;30))),"розетка без дифзащиты до 30 мА",""),IF(AND(CG7=1,N(DA7)&gt;0,ISNUMBER(T7)),IF(T7&gt;N(DA7)/3,"ток утечки "&amp;FIXED(T7,1)&amp;" мА &gt; 1/3 уставки ("&amp;DA7&amp;" мА)",""),""),IF(AND(CH7=1,CS7=""),"«узо»: нет строки с УЗО выше (УЗО 2P 40А 30мА в «Аппаратах»)",""),IF(AND(CS7&lt;&gt;"",CS7=BA7),IF(CT7="","впишите номинал УЗО (УЗО 2P 40А 30мА)",IF(N(CT7)&lt;N(DT7),"УЗО "&amp;CT7&amp;" А &lt; автомата "&amp;DT7&amp;" А перед ним",IF(N(CT7)&lt;N(CX7),"УЗО "&amp;CT7&amp;" А &lt; тока блока "&amp;FIXED(CX7,1)&amp;" А",""))),""),IF(AND(CS7&lt;&gt;"",CS7=BA7,ISNUMBER(CY7)),IF(CY7&gt;N(CV7)/3,"ток утечки блока УЗО "&amp;FIXED(CY7,1)&amp;" мА &gt; 1/3 уставки ("&amp;CV7&amp;" мА)",""),""),IF(AND(CG7=1,N(BV7)+N(IB7)&gt;0,IC7=""),"линии до 50 В без БП: впишите в «Аппараты» (БП 24V 480W)",""),IF(AND(CG7=1,ISNUMBER(ID7),ISNUMBER(U7)),IF(U7&gt;ID7,"БП "&amp;ID7&amp;" Вт &lt; нужно "&amp;U7&amp;" Вт (×"&amp;Запас_БП&amp;")",""),""),IF(AND(CG7=1,ISNUMBER(IE7),N(BV7)=1),IF(IE7&lt;&gt;N(BU7),"БП на "&amp;IE7&amp;" В, линия "&amp;BU7&amp;" В",""),""),IF(AND(N(IF7)&gt;0,N(IG7)&gt;N(IF7)),HH7&amp;" канал "&amp;HJ7&amp;": "&amp;FIXED(IG7,1)&amp;" А &gt; "&amp;IF7&amp;" А",""),IFERROR(IF(AND(ISNUMBER(Q7),Q7&gt;EL7),"потери "&amp;FIXED(Q7,1)&amp;" % &gt; "&amp;EL7&amp;" %",""),""),IFERROR(IF(LEFT(HU7,4)="мало","Iкз мало — отключение &gt; 0,4 с",""),""),IF(AND(B7&lt;&gt;"",BM7=""),"не на схеме",""),IF(AND(CG7=0,B7&lt;&gt;"",FV7&lt;&gt;"",IF(BA7=1,"",FW6)&lt;&gt;"",FV7&lt;&gt;IF(BA7=1,"",FW6)),"фаза не как у автомата группы ("&amp;IF(BA7=1,"",FW6)&amp;")","")))</f>
        <v/>
      </c>
      <c r="II7" s="6" t="str">
        <f>IF(OR(CG7=0,DQ7=""),"",_xlfn.LET(_xlpm.t,IFERROR(_xlfn.XLOOKUP(DQ7,Каталог!$U$4:$U$500,Каталог!$G$4:$G$500),""),_xlpm.k,SEARCH("кА",_xlpm.t),IFERROR(--TRIM(RIGHT(SUBSTITUTE(MID(_xlpm.t,MAX(1,_xlpm.k-4),_xlpm.k-MAX(1,_xlpm.k-4))," ",REPT(" ",9)),5)),"")))</f>
        <v/>
      </c>
      <c r="IJ7" t="str">
        <f>IF(OR(II7="",CG7=0),"",IF(_xlfn.XLOOKUP(A7,Щиты[Щит],Щиты[Iкз max на шинах, кА],"")="","",IF(II7&lt;_xlfn.XLOOKUP(A7,Щиты[Щит],Щиты[Iкз max на шинах, кА]),"Icu "&amp;II7&amp;" кА &lt; Iкз max","ok")))</f>
        <v/>
      </c>
      <c r="IK7" t="str">
        <f t="shared" si="113"/>
        <v/>
      </c>
      <c r="IL7" t="str">
        <f t="shared" si="114"/>
        <v>QF3</v>
      </c>
      <c r="IM7" t="str">
        <f t="shared" si="115"/>
        <v>QF3|кабель ВВГнг(А)-LS (5х6) → Щит вентиляции ЩОВ-01 Цокольный этаж этаж Пом. №0.001Тб</v>
      </c>
      <c r="IN7" t="str" cm="1">
        <f t="array" ref="IN7">IF(IM7="","",_xlfn.LET(_xlpm.nd,_xlfn.TEXTSPLIT(IM7,"|"),IF(COLUMNS(_xlpm.nd)&gt;1,A7&amp;"¦"&amp;INDEX(_xlpm.nd,1)&amp;"¦"&amp;INDEX(_xlpm.nd,2),"")))</f>
        <v>ГРЩ-ЖД¦QF3¦кабель ВВГнг(А)-LS (5х6) → Щит вентиляции ЩОВ-01 Цокольный этаж этаж Пом. №0.001Тб</v>
      </c>
      <c r="IO7" t="str">
        <f t="shared" si="116"/>
        <v>ЩОВ-01¦Щит вентиляции ЩОВ-01 Цокольный этаж этаж Пом. №0.001Тб</v>
      </c>
      <c r="IP7" t="str" cm="1">
        <f t="array" ref="IP7">IF(IM7="","",_xlfn.LET(_xlpm.nd,_xlfn.TEXTSPLIT(IM7,"|"),IF(COLUMNS(_xlpm.nd)&gt;2,A7&amp;"¦"&amp;INDEX(_xlpm.nd,2)&amp;"¦"&amp;INDEX(_xlpm.nd,3),"")))</f>
        <v/>
      </c>
      <c r="IQ7" t="str">
        <f t="shared" si="117"/>
        <v/>
      </c>
      <c r="IR7" t="str" cm="1">
        <f t="array" ref="IR7">IF(IM7="","",_xlfn.LET(_xlpm.nd,_xlfn.TEXTSPLIT(IM7,"|"),IF(COLUMNS(_xlpm.nd)&gt;3,A7&amp;"¦"&amp;INDEX(_xlpm.nd,3)&amp;"¦"&amp;INDEX(_xlpm.nd,4),"")))</f>
        <v/>
      </c>
      <c r="IS7" t="str">
        <f t="shared" si="118"/>
        <v/>
      </c>
      <c r="IT7" t="str" cm="1">
        <f t="array" ref="IT7">IF(IM7="","",_xlfn.LET(_xlpm.nd,_xlfn.TEXTSPLIT(IM7,"|"),IF(COLUMNS(_xlpm.nd)&gt;4,A7&amp;"¦"&amp;INDEX(_xlpm.nd,4)&amp;"¦"&amp;INDEX(_xlpm.nd,5),"")))</f>
        <v/>
      </c>
      <c r="IU7" t="str">
        <f t="shared" si="119"/>
        <v/>
      </c>
      <c r="IV7" t="str" cm="1">
        <f t="array" ref="IV7">IF(IM7="","",_xlfn.LET(_xlpm.nd,_xlfn.TEXTSPLIT(IM7,"|"),IF(COLUMNS(_xlpm.nd)&gt;5,A7&amp;"¦"&amp;INDEX(_xlpm.nd,5)&amp;"¦"&amp;INDEX(_xlpm.nd,6),"")))</f>
        <v/>
      </c>
      <c r="IW7" t="str">
        <f t="shared" si="120"/>
        <v/>
      </c>
      <c r="IX7" t="str" cm="1">
        <f t="array" ref="IX7">IF(IM7="","",_xlfn.LET(_xlpm.nd,_xlfn.TEXTSPLIT(IM7,"|"),IF(COLUMNS(_xlpm.nd)&gt;6,A7&amp;"¦"&amp;INDEX(_xlpm.nd,6)&amp;"¦"&amp;INDEX(_xlpm.nd,7),"")))</f>
        <v/>
      </c>
      <c r="IY7" t="str">
        <f t="shared" si="121"/>
        <v/>
      </c>
      <c r="IZ7" t="str">
        <f t="shared" si="122"/>
        <v/>
      </c>
      <c r="JA7" t="str">
        <f t="shared" si="123"/>
        <v>QF3</v>
      </c>
      <c r="JB7">
        <f t="shared" si="124"/>
        <v>0</v>
      </c>
      <c r="JC7">
        <f t="shared" si="125"/>
        <v>0</v>
      </c>
      <c r="JD7" t="str">
        <f t="shared" si="126"/>
        <v/>
      </c>
      <c r="JE7" t="str">
        <f t="shared" si="127"/>
        <v/>
      </c>
      <c r="JF7" t="str">
        <f t="shared" si="128"/>
        <v/>
      </c>
      <c r="JG7" t="str">
        <f t="shared" si="129"/>
        <v/>
      </c>
      <c r="JH7" t="str">
        <f>IF(B7="","",IFERROR(_xlfn.XLOOKUP(B7,Коды_код,Коды_уго),IFERROR(_xlfn.XLOOKUP(BC7,Коды_код,Коды_уго),IFERROR(_xlfn.XLOOKUP(LEFT(BC7,2),Коды_код,Коды_уго),""))))</f>
        <v/>
      </c>
      <c r="JI7" t="str">
        <f>IF(B7="","",IF(OR(JH7="",JH7=0),"BOX",IFERROR(IF(VLOOKUP(JH7,УГО_блоки,3,FALSE)&amp;""&lt;&gt;"",VLOOKUP(JH7,УГО_блоки,3,FALSE),VLOOKUP(JH7,УГО_блоки,2,FALSE)),JH7)))</f>
        <v>BOX</v>
      </c>
      <c r="JJ7">
        <f t="shared" si="130"/>
        <v>1</v>
      </c>
      <c r="JK7">
        <f>IF(DQ7="","",IF(COUNTIF(DQ$3:DQ7,DQ7)=1,MAX(JK$2:JK6)+1,""))</f>
        <v>3</v>
      </c>
      <c r="JL7" t="str">
        <f>IF(DE7="","",IF(COUNTIF(DE$3:DE7,DE7)+COUNTIF(DF$2:DF6,DE7)+COUNTIF(DG$2:DG6,DE7)=1,MAX(JL$2:JN6)+1,""))</f>
        <v/>
      </c>
      <c r="JM7" t="str">
        <f>IF(DF7="","",IF(COUNTIF(DE$3:DE7,DF7)+COUNTIF(DF$3:DF7,DF7)+COUNTIF(DG$2:DG6,DF7)=1,MAX(JL$2:JN6,JL7)+1,""))</f>
        <v/>
      </c>
      <c r="JN7" t="str">
        <f>IF(DG7="","",IF(COUNTIF(DE$3:DE7,DG7)+COUNTIF(DF$3:DF7,DG7)+COUNTIF(DG$3:DG7,DG7)=1,MAX(JL$2:JN6,JL7,JM7)+1,""))</f>
        <v/>
      </c>
      <c r="JO7" t="str">
        <f t="shared" si="131"/>
        <v>5х6</v>
      </c>
      <c r="JP7">
        <f>IF(JO7="","",IF(COUNTIF(JO$3:JO7,JO7)=1,MAX(JP$2:JP6)+1,""))</f>
        <v>2</v>
      </c>
      <c r="JQ7" t="str">
        <f>IF(HG7="","",COUNTIF(HG$3:HG7,"?*"))</f>
        <v/>
      </c>
      <c r="JR7" t="str">
        <f>IF(OR(HG7="",HI7=""),"",IF(COUNTIFS(HG$3:HG7,"?*",HI$3:HI7,HI7)=1,MAX(JR$2:JR6)+1,""))</f>
        <v/>
      </c>
      <c r="JS7">
        <f t="shared" si="132"/>
        <v>0</v>
      </c>
      <c r="JT7">
        <f>IF(B7="","",COUNTIF(B$3:B7,"?*"))</f>
        <v>5</v>
      </c>
      <c r="JU7">
        <f>IF(HL7&lt;&gt;1,0,_xlfn.LET(_xlpm.k,MAX(IFERROR(--_xlfn.XLOOKUP(B7,Коды_код,Коды_3L),0),IFERROR(--_xlfn.XLOOKUP(BC7,Коды_код,Коды_3L),0),IFERROR(--_xlfn.XLOOKUP(LEFT(BC7,2),Коды_код,Коды_3L),0)),IF(_xlpm.k&gt;0,_xlpm.k,IF(IFERROR(--LEFT(SUBSTITUTE(JO7,"x","х"),FIND("х",SUBSTITUTE(JO7,"x","х"))-1),3)&gt;3,Каталог!$S$9,1))))</f>
        <v>1</v>
      </c>
      <c r="JV7">
        <f t="shared" si="133"/>
        <v>2</v>
      </c>
      <c r="JW7" t="str">
        <f t="shared" si="134"/>
        <v>авто</v>
      </c>
      <c r="JX7" t="str">
        <f t="shared" si="135"/>
        <v/>
      </c>
      <c r="JY7">
        <f t="shared" si="136"/>
        <v>0</v>
      </c>
      <c r="JZ7">
        <f t="shared" si="137"/>
        <v>1</v>
      </c>
    </row>
    <row r="8" spans="1:286" x14ac:dyDescent="0.3">
      <c r="A8" t="s">
        <v>783</v>
      </c>
      <c r="B8" t="s">
        <v>747</v>
      </c>
      <c r="C8" t="s">
        <v>746</v>
      </c>
      <c r="D8">
        <v>1</v>
      </c>
      <c r="E8">
        <v>211.22</v>
      </c>
      <c r="G8">
        <v>400</v>
      </c>
      <c r="H8" t="str">
        <f>Линии[[#This Row],[_авто управление]]</f>
        <v/>
      </c>
      <c r="I8" t="str">
        <f>Линии[[#This Row],[_авто аппараты]]</f>
        <v/>
      </c>
      <c r="J8">
        <v>185</v>
      </c>
      <c r="K8">
        <v>58</v>
      </c>
      <c r="L8" t="str">
        <f>Линии[[#This Row],[_авто фаза]]</f>
        <v>L1,L2,L3</v>
      </c>
      <c r="M8" t="str">
        <f>Линии[[#This Row],[_авто клемма]]</f>
        <v>XT4</v>
      </c>
      <c r="N8" t="str">
        <f t="shared" si="0"/>
        <v/>
      </c>
      <c r="O8" s="6" cm="1">
        <f t="array" ref="O8">IF(B8="","",IF(BH8&lt;&gt;"",IFERROR(_xlfn.XLOOKUP(BH8,Щиты[Щит],Щиты[Iр, А]),""),IF(BP8=1,IF(OR(N(_xlfn.XLOOKUP(A8,Щиты[Щит],Щиты[Вводов],1))&lt;=1,LOWER(TRIM(_xlfn.XLOOKUP(A8,Щиты[Щит],Щиты[АВР],"")&amp;""))="да"),IFERROR(_xlfn.XLOOKUP(A8,Щиты[Щит],Щиты[Iр, А]),""),IFERROR(N(BS8)*_xlfn.XLOOKUP(A8,Щиты[Щит],Щиты[Кс итог])/(SQRT(3)*Uн_лин*_xlfn.XLOOKUP(A8,Щиты[Щит],Щиты[cos φ])),"")),IF(BV8=1,IFERROR(BS8*1000/BU8,""),IFERROR(_xlfn.IFS(BX8=1,BS8/((Uн_лин/SQRT(3))*CE8),BX8=3,BS8/(SQRT(3)*Uн_лин*CE8)),"")))))</f>
        <v>190.59775761622515</v>
      </c>
      <c r="P8" s="7">
        <f>IF(B8="","",IFERROR(IF(VLOOKUP(BC8,Потребители_обозначение,4,FALSE)=1,VLOOKUP(BC8,Потребители_обозначение,3,FALSE)*(MAX(1,N(D8))*2-1)+EI8+VLOOKUP(BE8,Этаж_обозначение,3,FALSE)+VLOOKUP(BE8,Этаж_обозначение,4,FALSE),VLOOKUP(BC8,Потребители_обозначение,3,FALSE)*(MAX(1,N(D8))*2-1)+EI8),EI8))</f>
        <v>58</v>
      </c>
      <c r="Q8" s="6">
        <f t="shared" si="1"/>
        <v>0.64</v>
      </c>
      <c r="R8" t="str">
        <f t="shared" si="2"/>
        <v>5хВВГнг(А)-LS  (1х185)</v>
      </c>
      <c r="S8" t="str">
        <f>IF(BM8="","",IF(BN8="вводной узел","узел ","")&amp;"л."&amp;(INT((BM8-1)/Столбцов_на_лист)+1)&amp;" / "&amp;(MOD(BM8-1,Столбцов_на_лист)+1))</f>
        <v>л.2 / 3</v>
      </c>
      <c r="T8" s="119" t="str">
        <f t="shared" si="3"/>
        <v/>
      </c>
      <c r="U8" s="7" t="str">
        <f>IF(OR(CG8=0,N(BV8)+N(IB8)=0),"",ROUNDUP(Запас_БП*(N(HY8)+N(HZ8)),0))</f>
        <v/>
      </c>
      <c r="V8" s="119" t="str">
        <f t="shared" si="4"/>
        <v/>
      </c>
      <c r="W8" s="7" t="str">
        <f>IFERROR(IF(OR(B8="",BP8=1,BV8=1,NOT(ISNUMBER(EN8)),N(DT8)=0),"",MAX(0,ROUNDDOWN((c_min*(Uн_лин*1000/SQRT(3))/(HT8*N(DT8))-_xlfn.XLOOKUP(A8,Щиты[Щит],Щиты[Zпетли на шинах, Ом]))*EN8/(2*ρкз_Cu),0))),"")</f>
        <v/>
      </c>
      <c r="Y8" t="str">
        <f>Линии[[#This Row],[_авто утечка]]</f>
        <v/>
      </c>
      <c r="Z8">
        <v>3</v>
      </c>
      <c r="AA8">
        <v>400</v>
      </c>
      <c r="AB8" t="s">
        <v>598</v>
      </c>
      <c r="AC8">
        <v>0.5</v>
      </c>
      <c r="AE8">
        <v>2</v>
      </c>
      <c r="AG8" t="s">
        <v>810</v>
      </c>
      <c r="AI8" t="s">
        <v>580</v>
      </c>
      <c r="AK8" t="str">
        <f>Линии[[#This Row],[_авто модуль]]</f>
        <v/>
      </c>
      <c r="AM8">
        <v>20</v>
      </c>
      <c r="AN8" t="s">
        <v>614</v>
      </c>
      <c r="AO8">
        <v>1</v>
      </c>
      <c r="AQ8">
        <v>39</v>
      </c>
      <c r="AR8">
        <v>11</v>
      </c>
      <c r="AS8">
        <v>0</v>
      </c>
      <c r="BA8" cm="1">
        <f t="array" ref="BA8">ROW()-ROW(Линии[#Headers])</f>
        <v>6</v>
      </c>
      <c r="BC8" s="6" t="str">
        <f t="shared" si="5"/>
        <v>ЩОВ-001</v>
      </c>
      <c r="BD8" t="str">
        <f t="shared" si="6"/>
        <v/>
      </c>
      <c r="BE8" t="str">
        <f t="shared" si="7"/>
        <v/>
      </c>
      <c r="BF8" t="str">
        <f t="shared" si="8"/>
        <v/>
      </c>
      <c r="BG8" t="str">
        <f t="shared" si="9"/>
        <v/>
      </c>
      <c r="BH8" t="str">
        <f>IF(X8&lt;&gt;"",X8,IF(AND(B8&lt;&gt;"",B8&lt;&gt;A8,ISNUMBER(_xlfn.XMATCH(B8,Щиты[Щит]))),B8,""))</f>
        <v>ЩОВ-001</v>
      </c>
      <c r="BI8" t="str" cm="1">
        <f t="array" ref="BI8">IF(B8="","",IF(BH8&lt;&gt;"","Щит "&amp;BH8,_xlfn.LET(_xlpm.nm,IFERROR(_xlfn.XLOOKUP(BC8,Коды_код,Коды_имя)&amp;"",""),_xlpm.md,IFERROR(N(_xlfn.XLOOKUP(BC8,Коды_код,Коды_режим)),1),_xlpm.ex,IF(Имя_режим="по экспликации",IFERROR(_xlfn.XLOOKUP(BE8&amp;"|"&amp;BG8,Экспликация[Этаж]&amp;"|"&amp;Экспликация[Помещение],Экспликация[Название])&amp;"",""),""),_xlpm.rm,IF(BG8="","",IF(_xlpm.ex&lt;&gt;"",". "&amp;_xlpm.ex&amp;IF(Имя_пом="нет"," ("&amp;BG8&amp;")"," (пом. "&amp;BG8&amp;")"),IF(Имя_пом="нет"," ",", пом. ")&amp;BG8)),IF(_xlpm.nm="","",IF(_xlpm.md=2,_xlpm.nm&amp;" шлейф "&amp;BE8,_xlpm.nm&amp;_xlpm.rm)))))</f>
        <v>Щит ЩОВ-001</v>
      </c>
      <c r="BJ8" t="str">
        <f t="shared" si="10"/>
        <v>Щит вентиляции ЩОВ-001 Подвальный этаж этаж Пом. №00.006Т</v>
      </c>
      <c r="BK8">
        <f>IFERROR(_xlfn.XMATCH(A8,Щиты[Щит]),0)</f>
        <v>1</v>
      </c>
      <c r="BL8">
        <f>_xlfn.LET(_xlpm.k,IFERROR(_xlfn.XLOOKUP(A8,Щиты[Щит],Щиты[Мест под вводной узел]),""),IF(_xlpm.k="",Столбцов_на_лист,N(_xlpm.k)))</f>
        <v>6</v>
      </c>
      <c r="BM8">
        <f t="shared" si="11"/>
        <v>20</v>
      </c>
      <c r="BN8" t="str">
        <f t="shared" si="12"/>
        <v>линии</v>
      </c>
      <c r="BO8" s="6">
        <f>IFERROR(N(_xlfn.XLOOKUP(BC8,Коды_код,Коды_квт)),0)</f>
        <v>0</v>
      </c>
      <c r="BP8">
        <f t="shared" si="13"/>
        <v>0</v>
      </c>
      <c r="BQ8">
        <f>IF(B8="","",IF(BH8&lt;&gt;"",IFERROR(_xlfn.XLOOKUP(BH8,Щиты[Щит],Щиты[Руст, кВт]),0),IF(BP8=1,IF(OR(N(_xlfn.XLOOKUP(A8,Щиты[Щит],Щиты[Вводов],1))&lt;=1,LOWER(TRIM(_xlfn.XLOOKUP(A8,Щиты[Щит],Щиты[АВР],"")&amp;""))="да"),IFERROR(_xlfn.XLOOKUP(A8,Щиты[Щит],Щиты[Руст, кВт]),0),SUMIFS(Линии[_Р для вводов],Линии[Щит],A8,Линии[Источник для режимов],GF8)),IF(BO8&gt;0,ROUND(BO8*MAX(1,N(D8)),3),""))))</f>
        <v>211.22</v>
      </c>
      <c r="BR8">
        <f t="shared" si="14"/>
        <v>211.22</v>
      </c>
      <c r="BS8" s="6">
        <f>IF(B8="","",IF(BH8&lt;&gt;"",IFERROR(_xlfn.XLOOKUP(BH8,Щиты[Щит],Щиты[Руст, кВт]),0),N(BR8)))</f>
        <v>211.22</v>
      </c>
      <c r="BT8" t="str">
        <f>IF(B8="","",IFERROR(IF(VLOOKUP(BC8,Потребители_обозначение,8,FALSE)=0,"",VLOOKUP(BC8,Потребители_обозначение,8,FALSE)),""))</f>
        <v/>
      </c>
      <c r="BU8">
        <f t="shared" si="15"/>
        <v>400</v>
      </c>
      <c r="BV8">
        <f t="shared" si="16"/>
        <v>0</v>
      </c>
      <c r="BW8">
        <f>IF(B8="","",IF(BH8&lt;&gt;"",3,IFERROR(IF(N(VLOOKUP(BC8,Потребители_обозначение,9,FALSE))=0,1,VLOOKUP(BC8,Потребители_обозначение,9,FALSE)),1)))</f>
        <v>3</v>
      </c>
      <c r="BX8">
        <f t="shared" si="17"/>
        <v>3</v>
      </c>
      <c r="BY8" t="str">
        <f>IF(B8="","",_xlfn.LET(_xlpm.bc,IFERROR(IF(VLOOKUP(BC8,Потребители_обозначение,6,FALSE)=0,"",VLOOKUP(BC8,Потребители_обозначение,6,FALSE)&amp;""),""),IF(AND(GA8="да",OR(_xlpm.bc="",_xlpm.bc="мс")),Марка_пож,IF(AND(_xlpm.bc="",BH8&lt;&gt;""),"мс",_xlpm.bc))))</f>
        <v>мс</v>
      </c>
      <c r="BZ8" t="str">
        <f t="shared" si="18"/>
        <v>5мс2</v>
      </c>
      <c r="CA8">
        <f>IF(B8="","",_xlfn.LET(_xlpm.cc,IFERROR(N(VLOOKUP(BC8,Потребители_обозначение,7,FALSE)),0),IF(_xlpm.cc&gt;0,_xlpm.cc,IF(BZ8="","",IF(BV8=1,2,IF(N(BX8)=3,5,3))))))</f>
        <v>5</v>
      </c>
      <c r="CB8">
        <f t="shared" si="19"/>
        <v>1</v>
      </c>
      <c r="CC8">
        <f>IFERROR(N(VLOOKUP(BC8,Потребители_обозначение,10,FALSE)),0)</f>
        <v>0</v>
      </c>
      <c r="CD8">
        <f>IFERROR(VLOOKUP(BC8,Потребители_обозначение,5,FALSE),0)</f>
        <v>0</v>
      </c>
      <c r="CE8" s="6" cm="1">
        <f t="array" ref="CE8">IF(B8="","",IF(BH8&lt;&gt;"",IFERROR(_xlfn.XLOOKUP(BH8,Щиты[Щит],Щиты[cos φ]),0.95),IF(BP8=1,IFERROR(_xlfn.XLOOKUP(A8,Щиты[Щит],Щиты[cos φ]),0.95),IF(ISNUMBER(AD8),AD8,IFERROR(IF(CD8=2,_xlfn.IFS(BX8=3,VLOOKUP(BS8,Справочная_двигатели,8,FALSE),BX8=1,VLOOKUP(BS8,Справочная_двигатели,10,TRUE)),IF(AND(Методика="нормы 2026",FG8="Сил"),0.8,0.95)),0.95)))))</f>
        <v>0.8</v>
      </c>
      <c r="CF8">
        <f t="shared" si="20"/>
        <v>0</v>
      </c>
      <c r="CG8">
        <f t="shared" si="21"/>
        <v>1</v>
      </c>
      <c r="CH8">
        <f t="shared" si="22"/>
        <v>0</v>
      </c>
      <c r="CI8">
        <f>IF(B8="","",IF(BV8=1,IFERROR(BS8/((Uн_лин/SQRT(3))*MAX(0.5,N(CE8))),0),N(O8)))</f>
        <v>190.59775761622515</v>
      </c>
      <c r="CJ8">
        <f t="shared" si="23"/>
        <v>0</v>
      </c>
      <c r="CK8">
        <f t="shared" si="24"/>
        <v>0</v>
      </c>
      <c r="CL8">
        <f t="shared" si="25"/>
        <v>0</v>
      </c>
      <c r="CM8">
        <f t="shared" si="26"/>
        <v>0</v>
      </c>
      <c r="CN8">
        <f t="shared" si="27"/>
        <v>0</v>
      </c>
      <c r="CO8">
        <f>IF(BC8="",0,_xlfn.LET(_xlpm.v,IFERROR(_xlfn.XLOOKUP(B8,Коды_код,Коды_мА),IFERROR(_xlfn.XLOOKUP(BC8,Коды_код,Коды_мА),IFERROR(_xlfn.XLOOKUP(LEFT(BC8,2),Коды_код,Коды_мА),""))),IF(_xlpm.v="да",30,IF(ISNUMBER(_xlpm.v),_xlpm.v,0))))</f>
        <v>0</v>
      </c>
      <c r="CP8" t="str">
        <f t="shared" si="28"/>
        <v/>
      </c>
      <c r="CQ8" t="str">
        <f>_xlfn.LET(_xlpm.k,IFERROR(_xlfn.XLOOKUP(BC8,Коды_код,Коды_утечка)&amp;"",""),IF(_xlpm.k="","дифавтомат",_xlpm.k))</f>
        <v>дифавтомат</v>
      </c>
      <c r="CR8" t="str" cm="1">
        <f t="array" ref="CR8">IF(CG8=0,"",_xlfn.LET(_xlpm.sg,TRIM(_xlfn.TEXTSPLIT(DD8&amp;"",";")),_xlpm.f_,_xlfn._xlws.FILTER(_xlpm.sg,LEFT(_xlpm.sg,3)="УЗО",""),IFERROR(INDEX(_xlpm.f_,1)&amp;"","")))</f>
        <v/>
      </c>
      <c r="CS8" t="str">
        <f t="shared" si="29"/>
        <v/>
      </c>
      <c r="CT8" s="6" t="str" cm="1">
        <f t="array" ref="CT8">IF(CR8="","",_xlfn.LET(_xlpm.tk,_xlfn.TEXTSPLIT(UPPER(CR8)," ",,TRUE),_xlpm.a_,_xlfn._xlws.FILTER(_xlpm.tk,ISNUMBER(--LEFT(_xlpm.tk,1))*((ISNUMBER(SEARCH("А",_xlpm.tk))+ISNUMBER(SEARCH("A",_xlpm.tk)))&gt;0)*NOT(ISNUMBER(SEARCH("МА",_xlpm.tk)))*NOT(ISNUMBER(SEARCH("MA",_xlpm.tk))),""),IFERROR(--SUBSTITUTE(SUBSTITUTE(INDEX(_xlpm.a_,1),"А",""),"A",""),"")))</f>
        <v/>
      </c>
      <c r="CU8" t="str" cm="1">
        <f t="array" ref="CU8">IF(CR8="","",_xlfn.LET(_xlpm.tk,_xlfn.TEXTSPLIT(UPPER(CR8)," ",,TRUE),_xlpm.a_,_xlfn._xlws.FILTER(_xlpm.tk,ISNUMBER(--LEFT(_xlpm.tk,1))*((ISNUMBER(SEARCH("МА",_xlpm.tk))+ISNUMBER(SEARCH("MA",_xlpm.tk)))&gt;0),""),IFERROR(--SUBSTITUTE(SUBSTITUTE(INDEX(_xlpm.a_,1),"МА",""),"MA",""),30)))</f>
        <v/>
      </c>
      <c r="CV8" t="str">
        <f>IF(CS8="","",IFERROR(_xlfn.XLOOKUP(CS8,Линии[_n],Линии[_УЗО, мА]),30))</f>
        <v/>
      </c>
      <c r="CW8">
        <f>IF(CS8="",0,IF(ISNUMBER(SEARCH("4P",IFERROR(_xlfn.XLOOKUP(CS8,Линии[_n],Линии[_УЗО строки])&amp;"",""))),0,1))</f>
        <v>0</v>
      </c>
      <c r="CX8" t="str">
        <f>IF(AND(CS8&lt;&gt;"",CS8=BA8),SUMIFS(Линии[_ток на 230 В],Линии[_блок УЗО],BA8,Линии[Щит],A8),"")</f>
        <v/>
      </c>
      <c r="CY8" t="str">
        <f>IF(AND(CS8&lt;&gt;"",CS8=BA8),SUMIFS(Линии[_ток утечки линии, мА],Линии[_блок УЗО],BA8,Линии[Щит],A8),"")</f>
        <v/>
      </c>
      <c r="CZ8">
        <f t="shared" si="30"/>
        <v>0</v>
      </c>
      <c r="DA8">
        <f t="shared" si="31"/>
        <v>0</v>
      </c>
      <c r="DB8">
        <f>IF(B8="",0,IFERROR(--_xlfn.XLOOKUP(B8,Коды_код,Коды_минавт),IFERROR(--_xlfn.XLOOKUP(BC8,Коды_код,Коды_минавт),IFERROR(--_xlfn.XLOOKUP(LEFT(BC8,2),Коды_код,Коды_минавт),0))))</f>
        <v>0</v>
      </c>
      <c r="DC8" t="str">
        <f>IF(B8="","",IFERROR(_xlfn.XLOOKUP(BC8,Коды_код,Коды_апп)&amp;"",""))</f>
        <v/>
      </c>
      <c r="DD8" t="str">
        <f t="shared" si="32"/>
        <v/>
      </c>
      <c r="DE8" t="str" cm="1">
        <f t="array" ref="DE8">IF(TRIM(DD8&amp;"")="","",IFERROR(TRIM(INDEX(_xlfn.TEXTSPLIT(DD8&amp;";;;",";"),1)),""))</f>
        <v/>
      </c>
      <c r="DF8" t="str" cm="1">
        <f t="array" ref="DF8">IF(TRIM(DD8&amp;"")="","",IFERROR(TRIM(INDEX(_xlfn.TEXTSPLIT(DD8&amp;";;;",";"),2)),""))</f>
        <v/>
      </c>
      <c r="DG8" t="str" cm="1">
        <f t="array" ref="DG8">IF(TRIM(DD8&amp;"")="","",IFERROR(TRIM(INDEX(_xlfn.TEXTSPLIT(DD8&amp;";;;",";"),3)),""))</f>
        <v/>
      </c>
      <c r="DH8">
        <f t="shared" si="33"/>
        <v>0</v>
      </c>
      <c r="DI8" t="str">
        <f>IF(B8="","",_xlfn.LET(_xlpm.t,LOWER(AZ8&amp;""),IF(ISNUMBER(SEARCH("dim",_xlpm.t)),"DIM",IF(ISNUMBER(SEARCH("dali",_xlpm.t)),"DALI",IF(OR(ISNUMBER(SEARCH("relay",_xlpm.t)),ISNUMBER(SEARCH("реле",_xlpm.t))),"Relay",IF(ISNUMBER(SEARCH("кнопк",_xlpm.t)),"",IFERROR(_xlfn.XLOOKUP(BC8,Коды_код,Коды_упр)&amp;"","")))))))</f>
        <v/>
      </c>
      <c r="DJ8" t="str">
        <f t="shared" si="34"/>
        <v/>
      </c>
      <c r="DK8">
        <f>IF(B8="","",_xlfn.LET(_xlpm.ig,IF(N(CX8)&gt;0,N(CX8),N(CI8)+IF(AJ8="вручную",0,N(CJ8))),_xlpm.n0,IFERROR(VLOOKUP(_xlpm.ig,Автомат_номиналы,2,TRUE),0),_xlpm.mn,MAX(DB8,IF(AJ8="вручную",0,N(CM8))),MAX(_xlpm.n0,_xlpm.mn,IF(DH8=1,Мин_автомат_БП,0))))</f>
        <v>250</v>
      </c>
      <c r="DL8">
        <f t="shared" si="35"/>
        <v>3</v>
      </c>
      <c r="DM8" t="str">
        <f t="shared" si="36"/>
        <v>3P</v>
      </c>
      <c r="DN8" t="str">
        <f>_xlfn.LET(_xlpm.cc,UPPER(TRIM(IFERROR(_xlfn.XLOOKUP(BC8,Коды_код,Коды_хар)&amp;"",""))),IF(OR(_xlpm.cc="B",_xlpm.cc="В"),"B",IF(_xlpm.cc="D","D","С")))</f>
        <v>С</v>
      </c>
      <c r="DO8" t="str">
        <f t="shared" si="37"/>
        <v>3P С250А</v>
      </c>
      <c r="DP8">
        <f t="shared" si="38"/>
        <v>400</v>
      </c>
      <c r="DQ8" t="str">
        <f t="shared" si="39"/>
        <v>3P С400А</v>
      </c>
      <c r="DR8" cm="1">
        <f t="array" ref="DR8">IF(DQ8="","",_xlfn.LET(_xlpm.t,SUBSTITUTE(SUBSTITUTE(SUBSTITUTE(UPPER(DQ8),"С","C"),"А","A"),"В","B"),_xlpm.tk,_xlfn.TEXTSPLIT(_xlpm.t," "),_xlpm.f,_xlfn._xlws.FILTER(_xlpm.tk,ISNUMBER(--MID(_xlpm.tk,2,1))*ISNUMBER(SEARCH(LEFT(_xlpm.tk,1)&amp;"#","B#C#D#"))*(LEN(_xlpm.tk)&gt;1),""),_xlpm.x,INDEX(_xlpm.f,1),IFERROR(--SUBSTITUTE(MID(_xlpm.x,2,9),"A",""),IFERROR(--SUBSTITUTE(INDEX(_xlfn._xlws.FILTER(_xlpm.tk,ISNUMBER(--SUBSTITUTE(_xlpm.tk,"A","")),""),1),"A",""),""))))</f>
        <v>400</v>
      </c>
      <c r="DS8" t="str">
        <f t="shared" si="40"/>
        <v>ok</v>
      </c>
      <c r="DT8">
        <f t="shared" si="41"/>
        <v>400</v>
      </c>
      <c r="DU8" t="str">
        <f t="shared" si="42"/>
        <v>3P С400А</v>
      </c>
      <c r="DV8">
        <f t="shared" si="43"/>
        <v>0</v>
      </c>
      <c r="DW8">
        <f t="shared" si="44"/>
        <v>0</v>
      </c>
      <c r="DX8">
        <f t="shared" si="45"/>
        <v>0</v>
      </c>
      <c r="DY8">
        <f t="shared" si="46"/>
        <v>190.59775761622515</v>
      </c>
      <c r="DZ8">
        <f t="shared" si="47"/>
        <v>1</v>
      </c>
      <c r="EA8">
        <f>IF(ISNUMBER(AP8),AP8,К_прокл)</f>
        <v>1</v>
      </c>
      <c r="EB8">
        <f t="shared" si="48"/>
        <v>1</v>
      </c>
      <c r="EC8">
        <f>IFERROR(N(VLOOKUP(BZ8,Кабель_обозначение,3,FALSE)),1)</f>
        <v>1</v>
      </c>
      <c r="ED8">
        <f>IFERROR(N(_xlfn.XLOOKUP(A8,Щиты[Щит],Щиты[ΔU до шин, %])),0)</f>
        <v>0</v>
      </c>
      <c r="EE8" t="str">
        <f>IFERROR(_xlfn.XLOOKUP(A8,Щиты[Щит],Щиты[Zпетли на шинах, Ом]),"")</f>
        <v/>
      </c>
      <c r="EF8">
        <f>IFERROR(N(_xlfn.XLOOKUP(A8,Щиты[Щит],Щиты[ΔU до шин (подбор), %])),0)</f>
        <v>0</v>
      </c>
      <c r="EG8" t="str">
        <f>IFERROR(_xlfn.XLOOKUP(A8,Щиты[Щит],Щиты[Zпетли на шинах (подбор), Ом]),"")</f>
        <v/>
      </c>
      <c r="EH8" t="str">
        <f t="shared" si="49"/>
        <v/>
      </c>
      <c r="EI8">
        <f t="shared" si="50"/>
        <v>58</v>
      </c>
      <c r="EJ8">
        <f t="shared" si="51"/>
        <v>1</v>
      </c>
      <c r="EK8">
        <f t="shared" si="52"/>
        <v>0.6</v>
      </c>
      <c r="EL8" s="6">
        <f>IF(B8="","",IF(BV8=1,dU_LED,IF(IFERROR(_xlfn.XLOOKUP(BC8,Коды_код,Коды_уго),"")="Светильник",3,4)+IF(Методика="нормы 2026",MIN(0.5,MAX(0,N(P8)-100)*0.005),0)))</f>
        <v>4</v>
      </c>
      <c r="EM8" cm="1">
        <f t="array" ref="EM8">IF(OR(B8="",BZ8="",EC8&lt;&gt;1),"",_xlfn.LET(_xlpm.sz,Iдоп_S,_xlpm.t_,CHOOSE(EB8,Iдоп_1ж,Iдоп_2ж,Iдоп_3ж)*DZ8*EA8,_xlpm.dcx,BV8=1,_xlpm.inn,IF(_xlpm.dcx,N(O8),N(DT8)),_xlpm.smin,MAX(1.5,CC8),_xlpm.L_,N(P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8)/N(BU8)*100,999),IFERROR(N(EJ8)*(_xlpm.rho*_xlpm.L_/_xlpm.sz*N(CE8)+_xlpm.xx*_xlpm.L_*N(EK8)/1000)*N(O8)/((Uн_лин/SQRT(3))*1000)*100,999)),_xlpm.kz,IF(OR(_xlpm.dcx,DW8=1,NOT(ISNUMBER(EG8)),_xlpm.L_=0,_xlpm.inn=0),1,IFERROR(--(c_min*(Uн_лин*1000/SQRT(3))/(EG8+2*ρкз_Cu*_xlpm.L_/_xlpm.sz)&gt;=HT8*_xlpm.inn),0)),_xlpm.ok,IFERROR((_xlpm.sz&gt;=_xlpm.smin)*(_xlpm.t_&gt;=_xlpm.inn)*IF(_xlpm.L_&gt;0,(_xlpm.du_+IF(_xlpm.dcx,0,EF8)&lt;=EL8+0.00001),1)*_xlpm.kz,0),_xlpm.r_,_xlfn._xlws.FILTER(_xlpm.sz,_xlpm.ok,"не подобрано"),INDEX(_xlpm.r_,1)))</f>
        <v>150</v>
      </c>
      <c r="EN8">
        <f t="shared" si="53"/>
        <v>185</v>
      </c>
      <c r="EO8" cm="1">
        <f t="array" ref="EO8">IF(OR(B8="",BZ8="",EC8&lt;&gt;1),"",_xlfn.LET(_xlpm.sz,Iдоп_S,_xlpm.t_,CHOOSE(EB8,Iдоп_1ж,Iдоп_2ж,Iдоп_3ж)*DZ8*EA8,_xlpm.ok,IFERROR((_xlpm.sz&gt;=MAX(1.5,CC8))*(_xlpm.t_&gt;=N(DT8)),0),_xlpm.r_,_xlfn._xlws.FILTER(_xlpm.sz,_xlpm.ok,""),INDEX(_xlpm.r_,1)))</f>
        <v>150</v>
      </c>
      <c r="EP8" s="6" cm="1">
        <f t="array" ref="EP8">IFERROR(ROUNDUP(N(EJ8)*(_xlfn.XLOOKUP(EO8,INDEX(Кабель_сопротивление,0,1),INDEX(Кабель_сопротивление,0,3))*N(P8)/EO8*N(CE8)+_xlfn.XLOOKUP(EO8,INDEX(Кабель_сопротивление,0,1),INDEX(Кабель_сопротивление,0,2))*N(P8)*N(EK8)/1000)*N(O8)/((Uн_лин/SQRT(3))*1000)*100,2),"")</f>
        <v>0.75</v>
      </c>
      <c r="EQ8">
        <f>IFERROR(2*ρкз_Cu*N(P8)/EO8,"")</f>
        <v>2.0338666666666668E-2</v>
      </c>
      <c r="ER8">
        <f>IFERROR(VLOOKUP(EN8,Кабель_сопротивление,3,FALSE),"")</f>
        <v>2.2499999999999999E-2</v>
      </c>
      <c r="ES8">
        <f>IFERROR(VLOOKUP(EN8,Кабель_сопротивление,2,FALSE),"")</f>
        <v>5.96E-2</v>
      </c>
      <c r="ET8">
        <f t="shared" si="54"/>
        <v>11</v>
      </c>
      <c r="EU8">
        <f t="shared" si="55"/>
        <v>0</v>
      </c>
      <c r="EV8">
        <f t="shared" si="56"/>
        <v>1.4709045049617362</v>
      </c>
      <c r="EW8" s="6">
        <f>IFERROR(ROUNDUP(EV8/IF(BV8=1,BU8,(Uн_лин/SQRT(3))*1000)*100,2),"")</f>
        <v>0.64</v>
      </c>
      <c r="EX8" t="str">
        <f>IFERROR(VLOOKUP(BZ8,Кабель_обозначение,2,FALSE),"")</f>
        <v xml:space="preserve">5хВВГнг(А)-LS </v>
      </c>
      <c r="EY8" t="str">
        <f t="shared" si="57"/>
        <v>5хВВГнг(А)-LS  (1х185)</v>
      </c>
      <c r="EZ8" t="str">
        <f t="shared" si="58"/>
        <v>5хВВГнг(А)-LS  (1х185)
L=58-0,64%</v>
      </c>
      <c r="FA8">
        <f>IFERROR(2*ρкз_Cu*P8/EN8,"")</f>
        <v>1.6490810810810812E-2</v>
      </c>
      <c r="FB8">
        <f t="shared" si="59"/>
        <v>5.486486486486487E-3</v>
      </c>
      <c r="FC8" s="6" t="str">
        <f>IFERROR(IF(OR(B8="",BV8=1,NOT(ISNUMBER(EN8)),N(P8)=0),"",_xlfn.XLOOKUP(A8,Щиты[Щит],Щиты[Zпетли на шинах, Ом])+FA8),"")</f>
        <v/>
      </c>
      <c r="FD8" s="6" t="str">
        <f>IF(ISNUMBER(FC8),c_min*(Uн_лин*1000/SQRT(3))/FC8,"")</f>
        <v/>
      </c>
      <c r="FE8" s="6" t="str">
        <f>IFERROR(IF(OR(B8="",NOT(ISNUMBER(EN8))),"",1.05*(Uн_лин*1000/SQRT(3))/(_xlfn.XLOOKUP(A8,Щиты[Щит],Щиты[Zmax на шинах, Ом])+FB8)/1000),"")</f>
        <v/>
      </c>
      <c r="FF8" s="6" t="str">
        <f>IF(B8="","",IF(ISNUMBER(AC8),"Сил",IF(IFERROR(_xlfn.XLOOKUP(BC8,Коды_код,Коды_группа)&amp;"","")="","Быт",_xlfn.XLOOKUP(BC8,Коды_код,Коды_группа)&amp;"")))</f>
        <v>Сил</v>
      </c>
      <c r="FG8" s="6" t="str">
        <f t="shared" si="60"/>
        <v>Щит</v>
      </c>
      <c r="FH8" s="6" t="str">
        <f>IF(FG8="Щит","щит",IF(FG8="","",IF(FG8="Быт",IFERROR(_xlfn.XLOOKUP(A8,Щиты[Щит],Щиты[Кс быт]),1),IF(FG8="Сил",IF(ISNUMBER(AC8),AC8,IF(Методика="нормы 2026",IFERROR(_xlfn.XLOOKUP(A8,Щиты[Щит],Щиты[Кс силовых (табл. 7.5)]),1),1)),IF(OR(FG8="Пост",FG8="Отоп"),1,IF(FG8="ВНГ",0.7,0))))))</f>
        <v>щит</v>
      </c>
      <c r="FI8">
        <f>IF(FG8="","",IF(AND(BP8=1,TRIM(AE8&amp;"")=""),IF(COUNTIFS(Линии[Щит],A8,Линии[Секция (1/2/3)],"&gt;=2")&gt;0,MIN(3,MAX(1,IFERROR(--BD8,1))),1),IFERROR(MIN(3,MAX(1,INT(--AE8))),1)))</f>
        <v>2</v>
      </c>
      <c r="FJ8">
        <f t="shared" si="61"/>
        <v>0</v>
      </c>
      <c r="FK8">
        <f t="shared" si="62"/>
        <v>0</v>
      </c>
      <c r="FL8">
        <f t="shared" si="63"/>
        <v>0</v>
      </c>
      <c r="FM8">
        <f t="shared" si="64"/>
        <v>0</v>
      </c>
      <c r="FN8">
        <f t="shared" si="65"/>
        <v>0</v>
      </c>
      <c r="FO8">
        <f t="shared" si="66"/>
        <v>0</v>
      </c>
      <c r="FP8">
        <f t="shared" si="67"/>
        <v>211.22</v>
      </c>
      <c r="FQ8">
        <f t="shared" si="68"/>
        <v>0</v>
      </c>
      <c r="FR8">
        <f t="shared" si="69"/>
        <v>0</v>
      </c>
      <c r="FS8">
        <f>IF(CG8=1,IF(AND(CH8=1,CW8=1),0,IF(AND(CS8&lt;&gt;"",CS8=BA8,CW8=1),SUMIFS(Линии[_Р линии, кВт],Линии[_блок УЗО],BA8,Линии[Щит],A8),N(BS8)+IF(AJ8="вручную",0,N(CK8)))),0)</f>
        <v>211.22</v>
      </c>
      <c r="FT8" t="str">
        <f t="shared" si="70"/>
        <v/>
      </c>
      <c r="FU8" t="str">
        <f>IF(B8="","",IF(CG8=0,IF(BA8=1,"",FW7),IF(AND(CH8=1,CW8=1,CS8&lt;&gt;""),IFERROR(_xlfn.XLOOKUP(CS8,Линии[_n],Линии[_фаза итог]),"L1"),IF(OR(N(DL8)&gt;=3,N(BX8)&gt;=3),"L1,L2,L3",IFERROR(_xlfn.TEXTBEFORE(_xlfn.TEXTAFTER(_xlfn.XLOOKUP(A8,Щиты[Щит],Щиты[_фазы авто]),";"&amp;BA8&amp;":"),";"),"L1")))))</f>
        <v>L1,L2,L3</v>
      </c>
      <c r="FV8" t="str">
        <f t="shared" si="71"/>
        <v>L1,L2,L3</v>
      </c>
      <c r="FW8" t="str">
        <f t="shared" si="72"/>
        <v>L1,L2,L3</v>
      </c>
      <c r="FX8" cm="1">
        <f t="array" ref="FX8">IFERROR(IF(CD8=2,_xlfn.IFS(BX8=3,VLOOKUP(BS8,Справочная_двигатели,3,FALSE),BX8=1,VLOOKUP(BS8,Справочная_двигатели,5,TRUE)),0),0)</f>
        <v>0</v>
      </c>
      <c r="FY8">
        <f>IFERROR(IF(CD8=3,VLOOKUP(BS8,Справочная_ЛЭД,2,TRUE),0),0)</f>
        <v>0</v>
      </c>
      <c r="FZ8" s="6">
        <f t="shared" si="73"/>
        <v>0</v>
      </c>
      <c r="GA8" t="str">
        <f>IF(B8="","",IF(TRIM(AH8&amp;"")&lt;&gt;"",IF(LOWER(TRIM(AH8&amp;""))="да","да","нет"),IF(IFERROR(_xlfn.XLOOKUP(BC8,Коды_код,Коды_пожарная),"")="да","да","нет")))</f>
        <v>нет</v>
      </c>
      <c r="GB8" t="str">
        <f t="shared" si="74"/>
        <v/>
      </c>
      <c r="GC8" t="str">
        <f t="shared" si="75"/>
        <v>основная</v>
      </c>
      <c r="GD8">
        <f>IF(AND(BP8=1,TRIM(AE8&amp;"")=""),IF(COUNTIFS(Линии[Щит],A8,Линии[Секция (1/2/3)],"&gt;=2")&gt;0,MIN(3,MAX(1,IFERROR(--BD8,1))),1),IFERROR(MIN(3,MAX(1,INT(--AE8))),1))</f>
        <v>2</v>
      </c>
      <c r="GE8" t="str" cm="1">
        <f t="array" ref="GE8">IF(B8="","",_xlfn.LET(_xlpm.t,IFERROR(_xlfn.XLOOKUP(1,(Шины[Шина]=GC8)*(((Шины[Щит]=A8)+(Шины[Щит]=""))&gt;0),Шины[Тип]),"")&amp;"",IF(_xlpm.t&lt;&gt;"",_xlpm.t,IF(ISNUMBER(SEARCH("ИБП",GC8)),"ИБП",IF(ISNUMBER(SEARCH("ДГУ",GC8)),"ДГУ","Ввод "&amp;GD8)))))</f>
        <v>Ввод 2</v>
      </c>
      <c r="GF8" t="str">
        <f t="shared" si="76"/>
        <v>Ввод 2</v>
      </c>
      <c r="GG8" t="str">
        <f>IF(BP8=0,"",IF(TRIM(AG8&amp;"")&lt;&gt;"",TRIM(AG8&amp;""),IF(OR(GE8="ИБП",GE8="ДГУ"),"I особая",_xlfn.XLOOKUP(A8,Щиты[Щит],Щиты[Категория шины «Ввод»],"III"))))</f>
        <v/>
      </c>
      <c r="GH8" t="str">
        <f>IF(A8="","",_xlfn.XLOOKUP(A8,Щиты[Щит],Щиты[Путь],""))</f>
        <v>|ГРЩ-ЖД|</v>
      </c>
      <c r="GI8" t="str">
        <f>IF(B8="","",IF(AI8&lt;&gt;"",AI8,IF(IFERROR(_xlfn.XLOOKUP(BC8,Коды_код,Коды_вид)&amp;"","")="","Прочее",_xlfn.XLOOKUP(BC8,Коды_код,Коды_вид)&amp;"")))</f>
        <v>Вентиляция</v>
      </c>
      <c r="GJ8">
        <f>IF(BM8="","",INT((BM8-1)/Столбцов_на_лист)+1)</f>
        <v>2</v>
      </c>
      <c r="GK8" t="str">
        <f t="shared" si="77"/>
        <v>5хВВГнг(А)-LS  (1х185) L=58-0,64%</v>
      </c>
      <c r="GL8">
        <f t="shared" si="78"/>
        <v>211.22</v>
      </c>
      <c r="GM8">
        <f t="shared" si="79"/>
        <v>190.6</v>
      </c>
      <c r="GN8">
        <f t="shared" si="80"/>
        <v>3</v>
      </c>
      <c r="GO8">
        <f t="shared" si="81"/>
        <v>0</v>
      </c>
      <c r="GP8">
        <f t="shared" si="82"/>
        <v>1</v>
      </c>
      <c r="GQ8">
        <f>IF(BM8="","",IF(AND(CG8=1,GP8=1),COUNTIFS(A$3:A8,A8,CG$3:CG8,1,GP$3:GP8,1),IF(OR(OR(BA8=1,A8&lt;&gt;A7),AJ8="вручную",GP8=0),"",IF(BA8=1,"",GR7))))</f>
        <v>4</v>
      </c>
      <c r="GR8">
        <f t="shared" si="83"/>
        <v>4</v>
      </c>
      <c r="GS8">
        <f>IF(B8="","",IFERROR(LOOKUP(INDEX(CHOOSE(EB8,Iдоп_1ж,Iдоп_2ж,Iдоп_3ж),MATCH(EN8,Iдоп_S,0))*DZ8*EA8,{6,10,16,20,25,32,40,50,63,80,100,125,160,200,250,315,400,500,630}),""))</f>
        <v>500</v>
      </c>
      <c r="GT8" t="str">
        <f t="shared" si="84"/>
        <v>QF4</v>
      </c>
      <c r="GU8" t="str">
        <f t="shared" si="85"/>
        <v>QF4</v>
      </c>
      <c r="GV8" t="str">
        <f t="shared" si="86"/>
        <v/>
      </c>
      <c r="GW8">
        <f t="shared" si="87"/>
        <v>0</v>
      </c>
      <c r="GX8" t="str">
        <f>IF(OR(B8="",DJ8=""),"",IFERROR(_xlfn.XLOOKUP(DJ8,Модули_умолч[Управление],Модули_умолч[Модель])&amp;"",""))</f>
        <v/>
      </c>
      <c r="GY8">
        <f>IF(DJ8="",1,IFERROR(MAX(0,N(_xlfn.XLOOKUP(DJ8,Модули_умолч[Управление],Модули_умолч[Каналов на линию]))),1))</f>
        <v>1</v>
      </c>
      <c r="GZ8" t="str">
        <f t="shared" si="88"/>
        <v/>
      </c>
      <c r="HA8" t="str">
        <f t="shared" si="89"/>
        <v/>
      </c>
      <c r="HB8" t="str">
        <f t="shared" si="90"/>
        <v/>
      </c>
      <c r="HC8">
        <f>IF(HB8="",0,IFERROR(N(VLOOKUP(HB8,Модули_спр,3,FALSE)),0))</f>
        <v>0</v>
      </c>
      <c r="HD8" t="str">
        <f t="shared" si="91"/>
        <v/>
      </c>
      <c r="HE8" t="str">
        <f t="shared" si="92"/>
        <v/>
      </c>
      <c r="HF8" t="str">
        <f>IF(OR(HE8="",HE8="-"),"",IFERROR(VLOOKUP(HE8,Модули_спр,2,FALSE),"R"))</f>
        <v/>
      </c>
      <c r="HG8" t="str">
        <f>IF(HF8="","",HF8&amp;"."&amp;COUNTIFS(A$3:A8,A8,HF$3:HF8,HF8))</f>
        <v/>
      </c>
      <c r="HH8" t="str">
        <f t="shared" si="93"/>
        <v/>
      </c>
      <c r="HI8" t="str">
        <f t="shared" si="94"/>
        <v/>
      </c>
      <c r="HJ8" t="str">
        <f t="shared" si="95"/>
        <v/>
      </c>
      <c r="HK8" t="str">
        <f t="shared" si="96"/>
        <v/>
      </c>
      <c r="HL8">
        <f t="shared" si="97"/>
        <v>1</v>
      </c>
      <c r="HM8" t="str">
        <f>IF(HL8=1,"XT"&amp;COUNTIFS(A$3:A8,A8,HL$3:HL8,1),"")</f>
        <v>XT4</v>
      </c>
      <c r="HN8" t="str">
        <f t="shared" si="98"/>
        <v>XT4</v>
      </c>
      <c r="HO8" t="str">
        <f t="shared" si="99"/>
        <v>QF4</v>
      </c>
      <c r="HP8" t="str">
        <f t="shared" si="100"/>
        <v/>
      </c>
      <c r="HQ8" t="str">
        <f t="shared" si="101"/>
        <v>ok</v>
      </c>
      <c r="HR8" t="str">
        <f>IF(OR(HJ8="",HH8=""),"",IF(HJ8+MAX(0,GY8-1)&gt;IFERROR(VLOOKUP(HI8,Модули_спр,3,FALSE),99),"ЛИШНИЙ КАНАЛ",IF(AND(AL8&lt;&gt;"=",GY8&gt;0,COUNTIFS(Линии[_модуль гр.],HH8,Линии[Канал (итог)],HJ8,Линии[Канал],"&lt;&gt;=",Линии[Щит],A8)&gt;1),"ДУБЛЬ КАНАЛА","")))</f>
        <v/>
      </c>
      <c r="HS8" s="6" t="str">
        <f t="shared" si="102"/>
        <v/>
      </c>
      <c r="HT8">
        <f t="shared" si="103"/>
        <v>10</v>
      </c>
      <c r="HU8" t="str">
        <f t="shared" si="104"/>
        <v/>
      </c>
      <c r="HV8">
        <f t="shared" si="105"/>
        <v>0</v>
      </c>
      <c r="HW8">
        <f t="shared" si="106"/>
        <v>0</v>
      </c>
      <c r="HX8">
        <f t="shared" si="107"/>
        <v>0</v>
      </c>
      <c r="HY8">
        <f t="shared" si="108"/>
        <v>0</v>
      </c>
      <c r="HZ8">
        <f t="shared" si="109"/>
        <v>0</v>
      </c>
      <c r="IA8">
        <f t="shared" si="110"/>
        <v>0</v>
      </c>
      <c r="IB8">
        <f t="shared" si="111"/>
        <v>0</v>
      </c>
      <c r="IC8" t="str">
        <f t="shared" si="112"/>
        <v/>
      </c>
      <c r="ID8" t="str" cm="1">
        <f t="array" ref="ID8">IF(IC8="","",_xlfn.LET(_xlpm.tk,_xlfn.TEXTSPLIT(SUBSTITUTE(SUBSTITUTE(IC8,";"," "),"→"," ")," ",,TRUE),_xlpm.w_,_xlfn._xlws.FILTER(_xlpm.tk,ISNUMBER(--LEFT(_xlpm.tk,1))*((ISNUMBER(SEARCH("W",_xlpm.tk))+ISNUMBER(SEARCH("Вт",_xlpm.tk)))&gt;0),""),IFERROR(--SUBSTITUTE(SUBSTITUTE(UPPER(INDEX(_xlpm.w_,1)),"W",""),"ВТ",""),"")))</f>
        <v/>
      </c>
      <c r="IE8" t="str" cm="1">
        <f t="array" ref="IE8">IF(IC8="","",_xlfn.LET(_xlpm.tk,_xlfn.TEXTSPLIT(SUBSTITUTE(SUBSTITUTE(IC8,";"," "),"→"," ")," ",,TRUE),_xlpm.v_,_xlfn._xlws.FILTER(_xlpm.tk,ISNUMBER(--LEFT(_xlpm.tk,1))*((ISNUMBER(SEARCH("V",_xlpm.tk))+(RIGHT(UPPER(_xlpm.tk))="В"))&gt;0),""),IFERROR(--SUBSTITUTE(SUBSTITUTE(UPPER(INDEX(_xlpm.v_,1)),"V",""),"В",""),"")))</f>
        <v/>
      </c>
      <c r="IF8" s="6" t="str">
        <f>IF(OR(BV8=0,HI8="",HJ8=""),"",IFERROR(N(_xlfn.XLOOKUP(HI8,Каталог!$C$4:$C$500,Каталог!$Q$4:$Q$500)),""))</f>
        <v/>
      </c>
      <c r="IG8" s="6" t="str">
        <f>IF(N(IF8)=0,"",SUMIFS(Линии[Iр, А],Линии[Щит],A8,Линии[_модуль гр.],HH8,Линии[Канал (итог)],HJ8))</f>
        <v/>
      </c>
      <c r="IH8" t="str">
        <f>IF(AND(B8="",HO8=""),"",_xlfn.TEXTJOIN("; ",TRUE,IF(AND(B8&lt;&gt;"",FV8=""),"нет фазы",""),IF(AND(B8&lt;&gt;"",N(GL8)=0,FG8&lt;&gt;"Нет"),"нет мощности",""),IF(AND(HN8&lt;&gt;"",COUNTIFS(Линии[Щит],A8,Линии[Клемма (итог)],HN8)&gt;1),"дубль клеммы "&amp;HN8,""),IF(AND(HQ8&lt;&gt;"",HQ8&lt;&gt;"ok"),HQ8,""),IF(HR8&lt;&gt;"",HR8,""),IF(AND(N(CB8)&gt;=4,N(BX8)=1),CB8&amp;" жил на 1 фазе",""),IF(AND(BC8="R",CG8=1,IF(CS8&lt;&gt;"",N(CV8)&gt;30,OR(N(DA8)=0,N(DA8)&gt;30))),"розетка без дифзащиты до 30 мА",""),IF(AND(CG8=1,N(DA8)&gt;0,ISNUMBER(T8)),IF(T8&gt;N(DA8)/3,"ток утечки "&amp;FIXED(T8,1)&amp;" мА &gt; 1/3 уставки ("&amp;DA8&amp;" мА)",""),""),IF(AND(CH8=1,CS8=""),"«узо»: нет строки с УЗО выше (УЗО 2P 40А 30мА в «Аппаратах»)",""),IF(AND(CS8&lt;&gt;"",CS8=BA8),IF(CT8="","впишите номинал УЗО (УЗО 2P 40А 30мА)",IF(N(CT8)&lt;N(DT8),"УЗО "&amp;CT8&amp;" А &lt; автомата "&amp;DT8&amp;" А перед ним",IF(N(CT8)&lt;N(CX8),"УЗО "&amp;CT8&amp;" А &lt; тока блока "&amp;FIXED(CX8,1)&amp;" А",""))),""),IF(AND(CS8&lt;&gt;"",CS8=BA8,ISNUMBER(CY8)),IF(CY8&gt;N(CV8)/3,"ток утечки блока УЗО "&amp;FIXED(CY8,1)&amp;" мА &gt; 1/3 уставки ("&amp;CV8&amp;" мА)",""),""),IF(AND(CG8=1,N(BV8)+N(IB8)&gt;0,IC8=""),"линии до 50 В без БП: впишите в «Аппараты» (БП 24V 480W)",""),IF(AND(CG8=1,ISNUMBER(ID8),ISNUMBER(U8)),IF(U8&gt;ID8,"БП "&amp;ID8&amp;" Вт &lt; нужно "&amp;U8&amp;" Вт (×"&amp;Запас_БП&amp;")",""),""),IF(AND(CG8=1,ISNUMBER(IE8),N(BV8)=1),IF(IE8&lt;&gt;N(BU8),"БП на "&amp;IE8&amp;" В, линия "&amp;BU8&amp;" В",""),""),IF(AND(N(IF8)&gt;0,N(IG8)&gt;N(IF8)),HH8&amp;" канал "&amp;HJ8&amp;": "&amp;FIXED(IG8,1)&amp;" А &gt; "&amp;IF8&amp;" А",""),IFERROR(IF(AND(ISNUMBER(Q8),Q8&gt;EL8),"потери "&amp;FIXED(Q8,1)&amp;" % &gt; "&amp;EL8&amp;" %",""),""),IFERROR(IF(LEFT(HU8,4)="мало","Iкз мало — отключение &gt; 0,4 с",""),""),IF(AND(B8&lt;&gt;"",BM8=""),"не на схеме",""),IF(AND(CG8=0,B8&lt;&gt;"",FV8&lt;&gt;"",IF(BA8=1,"",FW7)&lt;&gt;"",FV8&lt;&gt;IF(BA8=1,"",FW7)),"фаза не как у автомата группы ("&amp;IF(BA8=1,"",FW7)&amp;")","")))</f>
        <v/>
      </c>
      <c r="II8" s="6" t="str">
        <f>IF(OR(CG8=0,DQ8=""),"",_xlfn.LET(_xlpm.t,IFERROR(_xlfn.XLOOKUP(DQ8,Каталог!$U$4:$U$500,Каталог!$G$4:$G$500),""),_xlpm.k,SEARCH("кА",_xlpm.t),IFERROR(--TRIM(RIGHT(SUBSTITUTE(MID(_xlpm.t,MAX(1,_xlpm.k-4),_xlpm.k-MAX(1,_xlpm.k-4))," ",REPT(" ",9)),5)),"")))</f>
        <v/>
      </c>
      <c r="IJ8" t="str">
        <f>IF(OR(II8="",CG8=0),"",IF(_xlfn.XLOOKUP(A8,Щиты[Щит],Щиты[Iкз max на шинах, кА],"")="","",IF(II8&lt;_xlfn.XLOOKUP(A8,Щиты[Щит],Щиты[Iкз max на шинах, кА]),"Icu "&amp;II8&amp;" кА &lt; Iкз max","ok")))</f>
        <v/>
      </c>
      <c r="IK8" t="str">
        <f t="shared" si="113"/>
        <v/>
      </c>
      <c r="IL8" t="str">
        <f t="shared" si="114"/>
        <v>QF4|XT4</v>
      </c>
      <c r="IM8" t="str">
        <f t="shared" si="115"/>
        <v>QF4|XT4|кабель 5хВВГнг(А)-LS  (1х185) → Щит вентиляции ЩОВ-001 Подвальный этаж этаж Пом. №00.006Т</v>
      </c>
      <c r="IN8" t="str" cm="1">
        <f t="array" ref="IN8">IF(IM8="","",_xlfn.LET(_xlpm.nd,_xlfn.TEXTSPLIT(IM8,"|"),IF(COLUMNS(_xlpm.nd)&gt;1,A8&amp;"¦"&amp;INDEX(_xlpm.nd,1)&amp;"¦"&amp;INDEX(_xlpm.nd,2),"")))</f>
        <v>ГРЩ-ЖД¦QF4¦XT4</v>
      </c>
      <c r="IO8" t="str">
        <f t="shared" si="116"/>
        <v>ЩОВ-001¦Щит вентиляции ЩОВ-001 Подвальный этаж этаж Пом. №00.006Т</v>
      </c>
      <c r="IP8" t="str" cm="1">
        <f t="array" ref="IP8">IF(IM8="","",_xlfn.LET(_xlpm.nd,_xlfn.TEXTSPLIT(IM8,"|"),IF(COLUMNS(_xlpm.nd)&gt;2,A8&amp;"¦"&amp;INDEX(_xlpm.nd,2)&amp;"¦"&amp;INDEX(_xlpm.nd,3),"")))</f>
        <v>ГРЩ-ЖД¦XT4¦кабель 5хВВГнг(А)-LS  (1х185) → Щит вентиляции ЩОВ-001 Подвальный этаж этаж Пом. №00.006Т</v>
      </c>
      <c r="IQ8" t="str">
        <f t="shared" si="117"/>
        <v>ЩОВ-001¦Щит вентиляции ЩОВ-001 Подвальный этаж этаж Пом. №00.006Т</v>
      </c>
      <c r="IR8" t="str" cm="1">
        <f t="array" ref="IR8">IF(IM8="","",_xlfn.LET(_xlpm.nd,_xlfn.TEXTSPLIT(IM8,"|"),IF(COLUMNS(_xlpm.nd)&gt;3,A8&amp;"¦"&amp;INDEX(_xlpm.nd,3)&amp;"¦"&amp;INDEX(_xlpm.nd,4),"")))</f>
        <v/>
      </c>
      <c r="IS8" t="str">
        <f t="shared" si="118"/>
        <v/>
      </c>
      <c r="IT8" t="str" cm="1">
        <f t="array" ref="IT8">IF(IM8="","",_xlfn.LET(_xlpm.nd,_xlfn.TEXTSPLIT(IM8,"|"),IF(COLUMNS(_xlpm.nd)&gt;4,A8&amp;"¦"&amp;INDEX(_xlpm.nd,4)&amp;"¦"&amp;INDEX(_xlpm.nd,5),"")))</f>
        <v/>
      </c>
      <c r="IU8" t="str">
        <f t="shared" si="119"/>
        <v/>
      </c>
      <c r="IV8" t="str" cm="1">
        <f t="array" ref="IV8">IF(IM8="","",_xlfn.LET(_xlpm.nd,_xlfn.TEXTSPLIT(IM8,"|"),IF(COLUMNS(_xlpm.nd)&gt;5,A8&amp;"¦"&amp;INDEX(_xlpm.nd,5)&amp;"¦"&amp;INDEX(_xlpm.nd,6),"")))</f>
        <v/>
      </c>
      <c r="IW8" t="str">
        <f t="shared" si="120"/>
        <v/>
      </c>
      <c r="IX8" t="str" cm="1">
        <f t="array" ref="IX8">IF(IM8="","",_xlfn.LET(_xlpm.nd,_xlfn.TEXTSPLIT(IM8,"|"),IF(COLUMNS(_xlpm.nd)&gt;6,A8&amp;"¦"&amp;INDEX(_xlpm.nd,6)&amp;"¦"&amp;INDEX(_xlpm.nd,7),"")))</f>
        <v/>
      </c>
      <c r="IY8" t="str">
        <f t="shared" si="121"/>
        <v/>
      </c>
      <c r="IZ8" t="str">
        <f t="shared" si="122"/>
        <v/>
      </c>
      <c r="JA8" t="str">
        <f t="shared" si="123"/>
        <v>QF4 → XT4</v>
      </c>
      <c r="JB8">
        <f t="shared" si="124"/>
        <v>0</v>
      </c>
      <c r="JC8">
        <f t="shared" si="125"/>
        <v>0</v>
      </c>
      <c r="JD8" t="str">
        <f t="shared" si="126"/>
        <v/>
      </c>
      <c r="JE8" t="str">
        <f t="shared" si="127"/>
        <v/>
      </c>
      <c r="JF8" t="str">
        <f t="shared" si="128"/>
        <v/>
      </c>
      <c r="JG8" t="str">
        <f t="shared" si="129"/>
        <v/>
      </c>
      <c r="JH8" t="str">
        <f>IF(B8="","",IFERROR(_xlfn.XLOOKUP(B8,Коды_код,Коды_уго),IFERROR(_xlfn.XLOOKUP(BC8,Коды_код,Коды_уго),IFERROR(_xlfn.XLOOKUP(LEFT(BC8,2),Коды_код,Коды_уго),""))))</f>
        <v/>
      </c>
      <c r="JI8" t="str">
        <f>IF(B8="","",IF(OR(JH8="",JH8=0),"BOX",IFERROR(IF(VLOOKUP(JH8,УГО_блоки,3,FALSE)&amp;""&lt;&gt;"",VLOOKUP(JH8,УГО_блоки,3,FALSE),VLOOKUP(JH8,УГО_блоки,2,FALSE)),JH8)))</f>
        <v>BOX</v>
      </c>
      <c r="JJ8">
        <f t="shared" si="130"/>
        <v>1</v>
      </c>
      <c r="JK8">
        <f>IF(DQ8="","",IF(COUNTIF(DQ$3:DQ8,DQ8)=1,MAX(JK$2:JK7)+1,""))</f>
        <v>4</v>
      </c>
      <c r="JL8" t="str">
        <f>IF(DE8="","",IF(COUNTIF(DE$3:DE8,DE8)+COUNTIF(DF$2:DF7,DE8)+COUNTIF(DG$2:DG7,DE8)=1,MAX(JL$2:JN7)+1,""))</f>
        <v/>
      </c>
      <c r="JM8" t="str">
        <f>IF(DF8="","",IF(COUNTIF(DE$3:DE8,DF8)+COUNTIF(DF$3:DF8,DF8)+COUNTIF(DG$2:DG7,DF8)=1,MAX(JL$2:JN7,JL8)+1,""))</f>
        <v/>
      </c>
      <c r="JN8" t="str">
        <f>IF(DG8="","",IF(COUNTIF(DE$3:DE8,DG8)+COUNTIF(DF$3:DF8,DG8)+COUNTIF(DG$3:DG8,DG8)=1,MAX(JL$2:JN7,JL8,JM8)+1,""))</f>
        <v/>
      </c>
      <c r="JO8" t="str">
        <f t="shared" si="131"/>
        <v>1х185</v>
      </c>
      <c r="JP8">
        <f>IF(JO8="","",IF(COUNTIF(JO$3:JO8,JO8)=1,MAX(JP$2:JP7)+1,""))</f>
        <v>3</v>
      </c>
      <c r="JQ8" t="str">
        <f>IF(HG8="","",COUNTIF(HG$3:HG8,"?*"))</f>
        <v/>
      </c>
      <c r="JR8" t="str">
        <f>IF(OR(HG8="",HI8=""),"",IF(COUNTIFS(HG$3:HG8,"?*",HI$3:HI8,HI8)=1,MAX(JR$2:JR7)+1,""))</f>
        <v/>
      </c>
      <c r="JS8">
        <f t="shared" si="132"/>
        <v>0</v>
      </c>
      <c r="JT8">
        <f>IF(B8="","",COUNTIF(B$3:B8,"?*"))</f>
        <v>6</v>
      </c>
      <c r="JU8">
        <f>IF(HL8&lt;&gt;1,0,_xlfn.LET(_xlpm.k,MAX(IFERROR(--_xlfn.XLOOKUP(B8,Коды_код,Коды_3L),0),IFERROR(--_xlfn.XLOOKUP(BC8,Коды_код,Коды_3L),0),IFERROR(--_xlfn.XLOOKUP(LEFT(BC8,2),Коды_код,Коды_3L),0)),IF(_xlpm.k&gt;0,_xlpm.k,IF(IFERROR(--LEFT(SUBSTITUTE(JO8,"x","х"),FIND("х",SUBSTITUTE(JO8,"x","х"))-1),3)&gt;3,Каталог!$S$9,1))))</f>
        <v>1</v>
      </c>
      <c r="JV8">
        <f t="shared" si="133"/>
        <v>0</v>
      </c>
      <c r="JW8" t="str">
        <f t="shared" si="134"/>
        <v>авто</v>
      </c>
      <c r="JX8" t="str">
        <f t="shared" si="135"/>
        <v/>
      </c>
      <c r="JY8">
        <f t="shared" si="136"/>
        <v>0</v>
      </c>
      <c r="JZ8">
        <f t="shared" si="137"/>
        <v>1</v>
      </c>
    </row>
    <row r="9" spans="1:286" x14ac:dyDescent="0.3">
      <c r="A9" t="s">
        <v>783</v>
      </c>
      <c r="B9" t="s">
        <v>749</v>
      </c>
      <c r="C9" t="s">
        <v>748</v>
      </c>
      <c r="D9">
        <v>1</v>
      </c>
      <c r="E9">
        <v>6.99</v>
      </c>
      <c r="G9">
        <v>16</v>
      </c>
      <c r="H9" t="str">
        <f>Линии[[#This Row],[_авто управление]]</f>
        <v/>
      </c>
      <c r="I9" t="str">
        <f>Линии[[#This Row],[_авто аппараты]]</f>
        <v/>
      </c>
      <c r="J9">
        <v>4</v>
      </c>
      <c r="K9">
        <v>46</v>
      </c>
      <c r="L9" t="str">
        <f>Линии[[#This Row],[_авто фаза]]</f>
        <v>L1,L2,L3</v>
      </c>
      <c r="M9" t="s">
        <v>484</v>
      </c>
      <c r="N9" t="str">
        <f t="shared" si="0"/>
        <v/>
      </c>
      <c r="O9" s="6" cm="1">
        <f t="array" ref="O9">IF(B9="","",IF(BH9&lt;&gt;"",IFERROR(_xlfn.XLOOKUP(BH9,Щиты[Щит],Щиты[Iр, А]),""),IF(BP9=1,IF(OR(N(_xlfn.XLOOKUP(A9,Щиты[Щит],Щиты[Вводов],1))&lt;=1,LOWER(TRIM(_xlfn.XLOOKUP(A9,Щиты[Щит],Щиты[АВР],"")&amp;""))="да"),IFERROR(_xlfn.XLOOKUP(A9,Щиты[Щит],Щиты[Iр, А]),""),IFERROR(N(BS9)*_xlfn.XLOOKUP(A9,Щиты[Щит],Щиты[Кс итог])/(SQRT(3)*Uн_лин*_xlfn.XLOOKUP(A9,Щиты[Щит],Щиты[cos φ])),"")),IF(BV9=1,IFERROR(BS9*1000/BU9,""),IFERROR(_xlfn.IFS(BX9=1,BS9/((Uн_лин/SQRT(3))*CE9),BX9=3,BS9/(SQRT(3)*Uн_лин*CE9)),"")))))</f>
        <v>8.1189881604791125</v>
      </c>
      <c r="P9" s="7">
        <f>IF(B9="","",IFERROR(IF(VLOOKUP(BC9,Потребители_обозначение,4,FALSE)=1,VLOOKUP(BC9,Потребители_обозначение,3,FALSE)*(MAX(1,N(D9))*2-1)+EI9+VLOOKUP(BE9,Этаж_обозначение,3,FALSE)+VLOOKUP(BE9,Этаж_обозначение,4,FALSE),VLOOKUP(BC9,Потребители_обозначение,3,FALSE)*(MAX(1,N(D9))*2-1)+EI9),EI9))</f>
        <v>46</v>
      </c>
      <c r="Q9" s="6">
        <f t="shared" si="1"/>
        <v>0.74</v>
      </c>
      <c r="R9" t="str">
        <f t="shared" si="2"/>
        <v>ВВГнг(А)-LS (5х4)</v>
      </c>
      <c r="S9" t="str">
        <f>IF(BM9="","",IF(BN9="вводной узел","узел ","")&amp;"л."&amp;(INT((BM9-1)/Столбцов_на_лист)+1)&amp;" / "&amp;(MOD(BM9-1,Столбцов_на_лист)+1))</f>
        <v>л.2 / 4</v>
      </c>
      <c r="T9" s="119" t="str">
        <f t="shared" si="3"/>
        <v/>
      </c>
      <c r="U9" s="7" t="str">
        <f>IF(OR(CG9=0,N(BV9)+N(IB9)=0),"",ROUNDUP(Запас_БП*(N(HY9)+N(HZ9)),0))</f>
        <v/>
      </c>
      <c r="V9" s="119" t="str">
        <f t="shared" si="4"/>
        <v/>
      </c>
      <c r="W9" s="7" t="str">
        <f>IFERROR(IF(OR(B9="",BP9=1,BV9=1,NOT(ISNUMBER(EN9)),N(DT9)=0),"",MAX(0,ROUNDDOWN((c_min*(Uн_лин*1000/SQRT(3))/(HT9*N(DT9))-_xlfn.XLOOKUP(A9,Щиты[Щит],Щиты[Zпетли на шинах, Ом]))*EN9/(2*ρкз_Cu),0))),"")</f>
        <v/>
      </c>
      <c r="Y9" t="str">
        <f>Линии[[#This Row],[_авто утечка]]</f>
        <v/>
      </c>
      <c r="Z9">
        <v>3</v>
      </c>
      <c r="AA9">
        <v>400</v>
      </c>
      <c r="AB9" t="s">
        <v>598</v>
      </c>
      <c r="AC9">
        <v>0.5</v>
      </c>
      <c r="AE9">
        <v>1</v>
      </c>
      <c r="AG9" t="s">
        <v>810</v>
      </c>
      <c r="AI9" t="s">
        <v>580</v>
      </c>
      <c r="AK9" t="str">
        <f>Линии[[#This Row],[_авто модуль]]</f>
        <v/>
      </c>
      <c r="AM9">
        <v>21</v>
      </c>
      <c r="AN9" t="s">
        <v>11</v>
      </c>
      <c r="AO9">
        <v>5</v>
      </c>
      <c r="AQ9">
        <v>29</v>
      </c>
      <c r="AR9">
        <v>12</v>
      </c>
      <c r="AS9">
        <v>0</v>
      </c>
      <c r="BA9" cm="1">
        <f t="array" ref="BA9">ROW()-ROW(Линии[#Headers])</f>
        <v>7</v>
      </c>
      <c r="BC9" s="6" t="str">
        <f t="shared" si="5"/>
        <v>ЩОВ-002</v>
      </c>
      <c r="BD9" t="str">
        <f t="shared" si="6"/>
        <v/>
      </c>
      <c r="BE9" t="str">
        <f t="shared" si="7"/>
        <v/>
      </c>
      <c r="BF9" t="str">
        <f t="shared" si="8"/>
        <v/>
      </c>
      <c r="BG9" t="str">
        <f t="shared" si="9"/>
        <v/>
      </c>
      <c r="BH9" t="str">
        <f>IF(X9&lt;&gt;"",X9,IF(AND(B9&lt;&gt;"",B9&lt;&gt;A9,ISNUMBER(_xlfn.XMATCH(B9,Щиты[Щит]))),B9,""))</f>
        <v>ЩОВ-002</v>
      </c>
      <c r="BI9" t="str" cm="1">
        <f t="array" ref="BI9">IF(B9="","",IF(BH9&lt;&gt;"","Щит "&amp;BH9,_xlfn.LET(_xlpm.nm,IFERROR(_xlfn.XLOOKUP(BC9,Коды_код,Коды_имя)&amp;"",""),_xlpm.md,IFERROR(N(_xlfn.XLOOKUP(BC9,Коды_код,Коды_режим)),1),_xlpm.ex,IF(Имя_режим="по экспликации",IFERROR(_xlfn.XLOOKUP(BE9&amp;"|"&amp;BG9,Экспликация[Этаж]&amp;"|"&amp;Экспликация[Помещение],Экспликация[Название])&amp;"",""),""),_xlpm.rm,IF(BG9="","",IF(_xlpm.ex&lt;&gt;"",". "&amp;_xlpm.ex&amp;IF(Имя_пом="нет"," ("&amp;BG9&amp;")"," (пом. "&amp;BG9&amp;")"),IF(Имя_пом="нет"," ",", пом. ")&amp;BG9)),IF(_xlpm.nm="","",IF(_xlpm.md=2,_xlpm.nm&amp;" шлейф "&amp;BE9,_xlpm.nm&amp;_xlpm.rm)))))</f>
        <v>Щит ЩОВ-002</v>
      </c>
      <c r="BJ9" t="str">
        <f t="shared" si="10"/>
        <v>Щит вентиляции ЩОВ-002 Подвальный этаж этаж Пом. №00.003Т</v>
      </c>
      <c r="BK9">
        <f>IFERROR(_xlfn.XMATCH(A9,Щиты[Щит]),0)</f>
        <v>1</v>
      </c>
      <c r="BL9">
        <f>_xlfn.LET(_xlpm.k,IFERROR(_xlfn.XLOOKUP(A9,Щиты[Щит],Щиты[Мест под вводной узел]),""),IF(_xlpm.k="",Столбцов_на_лист,N(_xlpm.k)))</f>
        <v>6</v>
      </c>
      <c r="BM9">
        <f t="shared" si="11"/>
        <v>21</v>
      </c>
      <c r="BN9" t="str">
        <f t="shared" si="12"/>
        <v>линии</v>
      </c>
      <c r="BO9" s="6">
        <f>IFERROR(N(_xlfn.XLOOKUP(BC9,Коды_код,Коды_квт)),0)</f>
        <v>0</v>
      </c>
      <c r="BP9">
        <f t="shared" si="13"/>
        <v>0</v>
      </c>
      <c r="BQ9">
        <f>IF(B9="","",IF(BH9&lt;&gt;"",IFERROR(_xlfn.XLOOKUP(BH9,Щиты[Щит],Щиты[Руст, кВт]),0),IF(BP9=1,IF(OR(N(_xlfn.XLOOKUP(A9,Щиты[Щит],Щиты[Вводов],1))&lt;=1,LOWER(TRIM(_xlfn.XLOOKUP(A9,Щиты[Щит],Щиты[АВР],"")&amp;""))="да"),IFERROR(_xlfn.XLOOKUP(A9,Щиты[Щит],Щиты[Руст, кВт]),0),SUMIFS(Линии[_Р для вводов],Линии[Щит],A9,Линии[Источник для режимов],GF9)),IF(BO9&gt;0,ROUND(BO9*MAX(1,N(D9)),3),""))))</f>
        <v>6.99</v>
      </c>
      <c r="BR9">
        <f t="shared" si="14"/>
        <v>6.99</v>
      </c>
      <c r="BS9" s="6">
        <f>IF(B9="","",IF(BH9&lt;&gt;"",IFERROR(_xlfn.XLOOKUP(BH9,Щиты[Щит],Щиты[Руст, кВт]),0),N(BR9)))</f>
        <v>6.99</v>
      </c>
      <c r="BT9" t="str">
        <f>IF(B9="","",IFERROR(IF(VLOOKUP(BC9,Потребители_обозначение,8,FALSE)=0,"",VLOOKUP(BC9,Потребители_обозначение,8,FALSE)),""))</f>
        <v/>
      </c>
      <c r="BU9">
        <f t="shared" si="15"/>
        <v>400</v>
      </c>
      <c r="BV9">
        <f t="shared" si="16"/>
        <v>0</v>
      </c>
      <c r="BW9">
        <f>IF(B9="","",IF(BH9&lt;&gt;"",3,IFERROR(IF(N(VLOOKUP(BC9,Потребители_обозначение,9,FALSE))=0,1,VLOOKUP(BC9,Потребители_обозначение,9,FALSE)),1)))</f>
        <v>3</v>
      </c>
      <c r="BX9">
        <f t="shared" si="17"/>
        <v>3</v>
      </c>
      <c r="BY9" t="str">
        <f>IF(B9="","",_xlfn.LET(_xlpm.bc,IFERROR(IF(VLOOKUP(BC9,Потребители_обозначение,6,FALSE)=0,"",VLOOKUP(BC9,Потребители_обозначение,6,FALSE)&amp;""),""),IF(AND(GA9="да",OR(_xlpm.bc="",_xlpm.bc="мс")),Марка_пож,IF(AND(_xlpm.bc="",BH9&lt;&gt;""),"мс",_xlpm.bc))))</f>
        <v>мс</v>
      </c>
      <c r="BZ9" t="str">
        <f t="shared" si="18"/>
        <v>мс</v>
      </c>
      <c r="CA9">
        <f>IF(B9="","",_xlfn.LET(_xlpm.cc,IFERROR(N(VLOOKUP(BC9,Потребители_обозначение,7,FALSE)),0),IF(_xlpm.cc&gt;0,_xlpm.cc,IF(BZ9="","",IF(BV9=1,2,IF(N(BX9)=3,5,3))))))</f>
        <v>5</v>
      </c>
      <c r="CB9">
        <f t="shared" si="19"/>
        <v>5</v>
      </c>
      <c r="CC9">
        <f>IFERROR(N(VLOOKUP(BC9,Потребители_обозначение,10,FALSE)),0)</f>
        <v>0</v>
      </c>
      <c r="CD9">
        <f>IFERROR(VLOOKUP(BC9,Потребители_обозначение,5,FALSE),0)</f>
        <v>0</v>
      </c>
      <c r="CE9" s="6" cm="1">
        <f t="array" ref="CE9">IF(B9="","",IF(BH9&lt;&gt;"",IFERROR(_xlfn.XLOOKUP(BH9,Щиты[Щит],Щиты[cos φ]),0.95),IF(BP9=1,IFERROR(_xlfn.XLOOKUP(A9,Щиты[Щит],Щиты[cos φ]),0.95),IF(ISNUMBER(AD9),AD9,IFERROR(IF(CD9=2,_xlfn.IFS(BX9=3,VLOOKUP(BS9,Справочная_двигатели,8,FALSE),BX9=1,VLOOKUP(BS9,Справочная_двигатели,10,TRUE)),IF(AND(Методика="нормы 2026",FG9="Сил"),0.8,0.95)),0.95)))))</f>
        <v>0.79999999999999982</v>
      </c>
      <c r="CF9">
        <f t="shared" si="20"/>
        <v>0</v>
      </c>
      <c r="CG9">
        <f t="shared" si="21"/>
        <v>1</v>
      </c>
      <c r="CH9">
        <f t="shared" si="22"/>
        <v>0</v>
      </c>
      <c r="CI9">
        <f>IF(B9="","",IF(BV9=1,IFERROR(BS9/((Uн_лин/SQRT(3))*MAX(0.5,N(CE9))),0),N(O9)))</f>
        <v>8.1189881604791125</v>
      </c>
      <c r="CJ9">
        <f t="shared" si="23"/>
        <v>0</v>
      </c>
      <c r="CK9">
        <f t="shared" si="24"/>
        <v>0</v>
      </c>
      <c r="CL9">
        <f t="shared" si="25"/>
        <v>0</v>
      </c>
      <c r="CM9">
        <f t="shared" si="26"/>
        <v>0</v>
      </c>
      <c r="CN9">
        <f t="shared" si="27"/>
        <v>0</v>
      </c>
      <c r="CO9">
        <f>IF(BC9="",0,_xlfn.LET(_xlpm.v,IFERROR(_xlfn.XLOOKUP(B9,Коды_код,Коды_мА),IFERROR(_xlfn.XLOOKUP(BC9,Коды_код,Коды_мА),IFERROR(_xlfn.XLOOKUP(LEFT(BC9,2),Коды_код,Коды_мА),""))),IF(_xlpm.v="да",30,IF(ISNUMBER(_xlpm.v),_xlpm.v,0))))</f>
        <v>0</v>
      </c>
      <c r="CP9" t="str">
        <f t="shared" si="28"/>
        <v/>
      </c>
      <c r="CQ9" t="str">
        <f>_xlfn.LET(_xlpm.k,IFERROR(_xlfn.XLOOKUP(BC9,Коды_код,Коды_утечка)&amp;"",""),IF(_xlpm.k="","дифавтомат",_xlpm.k))</f>
        <v>дифавтомат</v>
      </c>
      <c r="CR9" t="str" cm="1">
        <f t="array" ref="CR9">IF(CG9=0,"",_xlfn.LET(_xlpm.sg,TRIM(_xlfn.TEXTSPLIT(DD9&amp;"",";")),_xlpm.f_,_xlfn._xlws.FILTER(_xlpm.sg,LEFT(_xlpm.sg,3)="УЗО",""),IFERROR(INDEX(_xlpm.f_,1)&amp;"","")))</f>
        <v/>
      </c>
      <c r="CS9" t="str">
        <f t="shared" si="29"/>
        <v/>
      </c>
      <c r="CT9" s="6" t="str" cm="1">
        <f t="array" ref="CT9">IF(CR9="","",_xlfn.LET(_xlpm.tk,_xlfn.TEXTSPLIT(UPPER(CR9)," ",,TRUE),_xlpm.a_,_xlfn._xlws.FILTER(_xlpm.tk,ISNUMBER(--LEFT(_xlpm.tk,1))*((ISNUMBER(SEARCH("А",_xlpm.tk))+ISNUMBER(SEARCH("A",_xlpm.tk)))&gt;0)*NOT(ISNUMBER(SEARCH("МА",_xlpm.tk)))*NOT(ISNUMBER(SEARCH("MA",_xlpm.tk))),""),IFERROR(--SUBSTITUTE(SUBSTITUTE(INDEX(_xlpm.a_,1),"А",""),"A",""),"")))</f>
        <v/>
      </c>
      <c r="CU9" t="str" cm="1">
        <f t="array" ref="CU9">IF(CR9="","",_xlfn.LET(_xlpm.tk,_xlfn.TEXTSPLIT(UPPER(CR9)," ",,TRUE),_xlpm.a_,_xlfn._xlws.FILTER(_xlpm.tk,ISNUMBER(--LEFT(_xlpm.tk,1))*((ISNUMBER(SEARCH("МА",_xlpm.tk))+ISNUMBER(SEARCH("MA",_xlpm.tk)))&gt;0),""),IFERROR(--SUBSTITUTE(SUBSTITUTE(INDEX(_xlpm.a_,1),"МА",""),"MA",""),30)))</f>
        <v/>
      </c>
      <c r="CV9" t="str">
        <f>IF(CS9="","",IFERROR(_xlfn.XLOOKUP(CS9,Линии[_n],Линии[_УЗО, мА]),30))</f>
        <v/>
      </c>
      <c r="CW9">
        <f>IF(CS9="",0,IF(ISNUMBER(SEARCH("4P",IFERROR(_xlfn.XLOOKUP(CS9,Линии[_n],Линии[_УЗО строки])&amp;"",""))),0,1))</f>
        <v>0</v>
      </c>
      <c r="CX9" t="str">
        <f>IF(AND(CS9&lt;&gt;"",CS9=BA9),SUMIFS(Линии[_ток на 230 В],Линии[_блок УЗО],BA9,Линии[Щит],A9),"")</f>
        <v/>
      </c>
      <c r="CY9" t="str">
        <f>IF(AND(CS9&lt;&gt;"",CS9=BA9),SUMIFS(Линии[_ток утечки линии, мА],Линии[_блок УЗО],BA9,Линии[Щит],A9),"")</f>
        <v/>
      </c>
      <c r="CZ9">
        <f t="shared" si="30"/>
        <v>0</v>
      </c>
      <c r="DA9">
        <f t="shared" si="31"/>
        <v>0</v>
      </c>
      <c r="DB9">
        <f>IF(B9="",0,IFERROR(--_xlfn.XLOOKUP(B9,Коды_код,Коды_минавт),IFERROR(--_xlfn.XLOOKUP(BC9,Коды_код,Коды_минавт),IFERROR(--_xlfn.XLOOKUP(LEFT(BC9,2),Коды_код,Коды_минавт),0))))</f>
        <v>0</v>
      </c>
      <c r="DC9" t="str">
        <f>IF(B9="","",IFERROR(_xlfn.XLOOKUP(BC9,Коды_код,Коды_апп)&amp;"",""))</f>
        <v/>
      </c>
      <c r="DD9" t="str">
        <f t="shared" si="32"/>
        <v/>
      </c>
      <c r="DE9" t="str" cm="1">
        <f t="array" ref="DE9">IF(TRIM(DD9&amp;"")="","",IFERROR(TRIM(INDEX(_xlfn.TEXTSPLIT(DD9&amp;";;;",";"),1)),""))</f>
        <v/>
      </c>
      <c r="DF9" t="str" cm="1">
        <f t="array" ref="DF9">IF(TRIM(DD9&amp;"")="","",IFERROR(TRIM(INDEX(_xlfn.TEXTSPLIT(DD9&amp;";;;",";"),2)),""))</f>
        <v/>
      </c>
      <c r="DG9" t="str" cm="1">
        <f t="array" ref="DG9">IF(TRIM(DD9&amp;"")="","",IFERROR(TRIM(INDEX(_xlfn.TEXTSPLIT(DD9&amp;";;;",";"),3)),""))</f>
        <v/>
      </c>
      <c r="DH9">
        <f t="shared" si="33"/>
        <v>0</v>
      </c>
      <c r="DI9" t="str">
        <f>IF(B9="","",_xlfn.LET(_xlpm.t,LOWER(AZ9&amp;""),IF(ISNUMBER(SEARCH("dim",_xlpm.t)),"DIM",IF(ISNUMBER(SEARCH("dali",_xlpm.t)),"DALI",IF(OR(ISNUMBER(SEARCH("relay",_xlpm.t)),ISNUMBER(SEARCH("реле",_xlpm.t))),"Relay",IF(ISNUMBER(SEARCH("кнопк",_xlpm.t)),"",IFERROR(_xlfn.XLOOKUP(BC9,Коды_код,Коды_упр)&amp;"","")))))))</f>
        <v/>
      </c>
      <c r="DJ9" t="str">
        <f t="shared" si="34"/>
        <v/>
      </c>
      <c r="DK9">
        <f>IF(B9="","",_xlfn.LET(_xlpm.ig,IF(N(CX9)&gt;0,N(CX9),N(CI9)+IF(AJ9="вручную",0,N(CJ9))),_xlpm.n0,IFERROR(VLOOKUP(_xlpm.ig,Автомат_номиналы,2,TRUE),0),_xlpm.mn,MAX(DB9,IF(AJ9="вручную",0,N(CM9))),MAX(_xlpm.n0,_xlpm.mn,IF(DH9=1,Мин_автомат_БП,0))))</f>
        <v>10</v>
      </c>
      <c r="DL9">
        <f t="shared" si="35"/>
        <v>3</v>
      </c>
      <c r="DM9" t="str">
        <f t="shared" si="36"/>
        <v>3P</v>
      </c>
      <c r="DN9" t="str">
        <f>_xlfn.LET(_xlpm.cc,UPPER(TRIM(IFERROR(_xlfn.XLOOKUP(BC9,Коды_код,Коды_хар)&amp;"",""))),IF(OR(_xlpm.cc="B",_xlpm.cc="В"),"B",IF(_xlpm.cc="D","D","С")))</f>
        <v>С</v>
      </c>
      <c r="DO9" t="str">
        <f t="shared" si="37"/>
        <v>3P С10А</v>
      </c>
      <c r="DP9">
        <f t="shared" si="38"/>
        <v>16</v>
      </c>
      <c r="DQ9" t="str">
        <f t="shared" si="39"/>
        <v>3P С16А</v>
      </c>
      <c r="DR9" cm="1">
        <f t="array" ref="DR9">IF(DQ9="","",_xlfn.LET(_xlpm.t,SUBSTITUTE(SUBSTITUTE(SUBSTITUTE(UPPER(DQ9),"С","C"),"А","A"),"В","B"),_xlpm.tk,_xlfn.TEXTSPLIT(_xlpm.t," "),_xlpm.f,_xlfn._xlws.FILTER(_xlpm.tk,ISNUMBER(--MID(_xlpm.tk,2,1))*ISNUMBER(SEARCH(LEFT(_xlpm.tk,1)&amp;"#","B#C#D#"))*(LEN(_xlpm.tk)&gt;1),""),_xlpm.x,INDEX(_xlpm.f,1),IFERROR(--SUBSTITUTE(MID(_xlpm.x,2,9),"A",""),IFERROR(--SUBSTITUTE(INDEX(_xlfn._xlws.FILTER(_xlpm.tk,ISNUMBER(--SUBSTITUTE(_xlpm.tk,"A","")),""),1),"A",""),""))))</f>
        <v>16</v>
      </c>
      <c r="DS9" t="str">
        <f t="shared" si="40"/>
        <v>ok</v>
      </c>
      <c r="DT9">
        <f t="shared" si="41"/>
        <v>16</v>
      </c>
      <c r="DU9" t="str">
        <f t="shared" si="42"/>
        <v>3P С16А</v>
      </c>
      <c r="DV9">
        <f t="shared" si="43"/>
        <v>0</v>
      </c>
      <c r="DW9">
        <f t="shared" si="44"/>
        <v>0</v>
      </c>
      <c r="DX9">
        <f t="shared" si="45"/>
        <v>0</v>
      </c>
      <c r="DY9">
        <f t="shared" si="46"/>
        <v>8.1189881604791125</v>
      </c>
      <c r="DZ9">
        <f t="shared" si="47"/>
        <v>0.92</v>
      </c>
      <c r="EA9">
        <f>IF(ISNUMBER(AP9),AP9,К_прокл)</f>
        <v>1</v>
      </c>
      <c r="EB9">
        <f t="shared" si="48"/>
        <v>3</v>
      </c>
      <c r="EC9">
        <f>IFERROR(N(VLOOKUP(BZ9,Кабель_обозначение,3,FALSE)),1)</f>
        <v>1</v>
      </c>
      <c r="ED9">
        <f>IFERROR(N(_xlfn.XLOOKUP(A9,Щиты[Щит],Щиты[ΔU до шин, %])),0)</f>
        <v>0</v>
      </c>
      <c r="EE9" t="str">
        <f>IFERROR(_xlfn.XLOOKUP(A9,Щиты[Щит],Щиты[Zпетли на шинах, Ом]),"")</f>
        <v/>
      </c>
      <c r="EF9">
        <f>IFERROR(N(_xlfn.XLOOKUP(A9,Щиты[Щит],Щиты[ΔU до шин (подбор), %])),0)</f>
        <v>0</v>
      </c>
      <c r="EG9" t="str">
        <f>IFERROR(_xlfn.XLOOKUP(A9,Щиты[Щит],Щиты[Zпетли на шинах (подбор), Ом]),"")</f>
        <v/>
      </c>
      <c r="EH9" t="str">
        <f t="shared" si="49"/>
        <v/>
      </c>
      <c r="EI9">
        <f t="shared" si="50"/>
        <v>46</v>
      </c>
      <c r="EJ9">
        <f t="shared" si="51"/>
        <v>1</v>
      </c>
      <c r="EK9">
        <f t="shared" si="52"/>
        <v>0.6</v>
      </c>
      <c r="EL9" s="6">
        <f>IF(B9="","",IF(BV9=1,dU_LED,IF(IFERROR(_xlfn.XLOOKUP(BC9,Коды_код,Коды_уго),"")="Светильник",3,4)+IF(Методика="нормы 2026",MIN(0.5,MAX(0,N(P9)-100)*0.005),0)))</f>
        <v>4</v>
      </c>
      <c r="EM9" cm="1">
        <f t="array" ref="EM9">IF(OR(B9="",BZ9="",EC9&lt;&gt;1),"",_xlfn.LET(_xlpm.sz,Iдоп_S,_xlpm.t_,CHOOSE(EB9,Iдоп_1ж,Iдоп_2ж,Iдоп_3ж)*DZ9*EA9,_xlpm.dcx,BV9=1,_xlpm.inn,IF(_xlpm.dcx,N(O9),N(DT9)),_xlpm.smin,MAX(1.5,CC9),_xlpm.L_,N(P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9)/N(BU9)*100,999),IFERROR(N(EJ9)*(_xlpm.rho*_xlpm.L_/_xlpm.sz*N(CE9)+_xlpm.xx*_xlpm.L_*N(EK9)/1000)*N(O9)/((Uн_лин/SQRT(3))*1000)*100,999)),_xlpm.kz,IF(OR(_xlpm.dcx,DW9=1,NOT(ISNUMBER(EG9)),_xlpm.L_=0,_xlpm.inn=0),1,IFERROR(--(c_min*(Uн_лин*1000/SQRT(3))/(EG9+2*ρкз_Cu*_xlpm.L_/_xlpm.sz)&gt;=HT9*_xlpm.inn),0)),_xlpm.ok,IFERROR((_xlpm.sz&gt;=_xlpm.smin)*(_xlpm.t_&gt;=_xlpm.inn)*IF(_xlpm.L_&gt;0,(_xlpm.du_+IF(_xlpm.dcx,0,EF9)&lt;=EL9+0.00001),1)*_xlpm.kz,0),_xlpm.r_,_xlfn._xlws.FILTER(_xlpm.sz,_xlpm.ok,"не подобрано"),INDEX(_xlpm.r_,1)))</f>
        <v>1.5</v>
      </c>
      <c r="EN9">
        <f t="shared" si="53"/>
        <v>4</v>
      </c>
      <c r="EO9" cm="1">
        <f t="array" ref="EO9">IF(OR(B9="",BZ9="",EC9&lt;&gt;1),"",_xlfn.LET(_xlpm.sz,Iдоп_S,_xlpm.t_,CHOOSE(EB9,Iдоп_1ж,Iдоп_2ж,Iдоп_3ж)*DZ9*EA9,_xlpm.ok,IFERROR((_xlpm.sz&gt;=MAX(1.5,CC9))*(_xlpm.t_&gt;=N(DT9)),0),_xlpm.r_,_xlfn._xlws.FILTER(_xlpm.sz,_xlpm.ok,""),INDEX(_xlpm.r_,1)))</f>
        <v>1.5</v>
      </c>
      <c r="EP9" s="6" cm="1">
        <f t="array" ref="EP9">IFERROR(ROUNDUP(N(EJ9)*(_xlfn.XLOOKUP(EO9,INDEX(Кабель_сопротивление,0,1),INDEX(Кабель_сопротивление,0,3))*N(P9)/EO9*N(CE9)+_xlfn.XLOOKUP(EO9,INDEX(Кабель_сопротивление,0,1),INDEX(Кабель_сопротивление,0,2))*N(P9)*N(EK9)/1000)*N(O9)/((Uн_лин/SQRT(3))*1000)*100,2),"")</f>
        <v>1.96</v>
      </c>
      <c r="EQ9">
        <f>IFERROR(2*ρкз_Cu*N(P9)/EO9,"")</f>
        <v>1.6130666666666666</v>
      </c>
      <c r="ER9">
        <f>IFERROR(VLOOKUP(EN9,Кабель_сопротивление,3,FALSE),"")</f>
        <v>2.2499999999999999E-2</v>
      </c>
      <c r="ES9">
        <f>IFERROR(VLOOKUP(EN9,Кабель_сопротивление,2,FALSE),"")</f>
        <v>9.5000000000000001E-2</v>
      </c>
      <c r="ET9">
        <f t="shared" si="54"/>
        <v>12</v>
      </c>
      <c r="EU9">
        <f t="shared" si="55"/>
        <v>0</v>
      </c>
      <c r="EV9">
        <f t="shared" si="56"/>
        <v>1.7019185361759521</v>
      </c>
      <c r="EW9" s="6">
        <f>IFERROR(ROUNDUP(EV9/IF(BV9=1,BU9,(Uн_лин/SQRT(3))*1000)*100,2),"")</f>
        <v>0.74</v>
      </c>
      <c r="EX9" t="str">
        <f>IFERROR(VLOOKUP(BZ9,Кабель_обозначение,2,FALSE),"")</f>
        <v>ВВГнг(А)-LS</v>
      </c>
      <c r="EY9" t="str">
        <f t="shared" si="57"/>
        <v>ВВГнг(А)-LS (5х4)</v>
      </c>
      <c r="EZ9" t="str">
        <f t="shared" si="58"/>
        <v>ВВГнг(А)-LS (5х4)
L=46-0,74%</v>
      </c>
      <c r="FA9">
        <f>IFERROR(2*ρкз_Cu*P9/EN9,"")</f>
        <v>0.60489999999999999</v>
      </c>
      <c r="FB9">
        <f t="shared" si="59"/>
        <v>0.20125000000000001</v>
      </c>
      <c r="FC9" s="6" t="str">
        <f>IFERROR(IF(OR(B9="",BV9=1,NOT(ISNUMBER(EN9)),N(P9)=0),"",_xlfn.XLOOKUP(A9,Щиты[Щит],Щиты[Zпетли на шинах, Ом])+FA9),"")</f>
        <v/>
      </c>
      <c r="FD9" s="6" t="str">
        <f>IF(ISNUMBER(FC9),c_min*(Uн_лин*1000/SQRT(3))/FC9,"")</f>
        <v/>
      </c>
      <c r="FE9" s="6" t="str">
        <f>IFERROR(IF(OR(B9="",NOT(ISNUMBER(EN9))),"",1.05*(Uн_лин*1000/SQRT(3))/(_xlfn.XLOOKUP(A9,Щиты[Щит],Щиты[Zmax на шинах, Ом])+FB9)/1000),"")</f>
        <v/>
      </c>
      <c r="FF9" s="6" t="str">
        <f>IF(B9="","",IF(ISNUMBER(AC9),"Сил",IF(IFERROR(_xlfn.XLOOKUP(BC9,Коды_код,Коды_группа)&amp;"","")="","Быт",_xlfn.XLOOKUP(BC9,Коды_код,Коды_группа)&amp;"")))</f>
        <v>Сил</v>
      </c>
      <c r="FG9" s="6" t="str">
        <f t="shared" si="60"/>
        <v>Щит</v>
      </c>
      <c r="FH9" s="6" t="str">
        <f>IF(FG9="Щит","щит",IF(FG9="","",IF(FG9="Быт",IFERROR(_xlfn.XLOOKUP(A9,Щиты[Щит],Щиты[Кс быт]),1),IF(FG9="Сил",IF(ISNUMBER(AC9),AC9,IF(Методика="нормы 2026",IFERROR(_xlfn.XLOOKUP(A9,Щиты[Щит],Щиты[Кс силовых (табл. 7.5)]),1),1)),IF(OR(FG9="Пост",FG9="Отоп"),1,IF(FG9="ВНГ",0.7,0))))))</f>
        <v>щит</v>
      </c>
      <c r="FI9">
        <f>IF(FG9="","",IF(AND(BP9=1,TRIM(AE9&amp;"")=""),IF(COUNTIFS(Линии[Щит],A9,Линии[Секция (1/2/3)],"&gt;=2")&gt;0,MIN(3,MAX(1,IFERROR(--BD9,1))),1),IFERROR(MIN(3,MAX(1,INT(--AE9))),1)))</f>
        <v>1</v>
      </c>
      <c r="FJ9">
        <f t="shared" si="61"/>
        <v>0</v>
      </c>
      <c r="FK9">
        <f t="shared" si="62"/>
        <v>0</v>
      </c>
      <c r="FL9">
        <f t="shared" si="63"/>
        <v>0</v>
      </c>
      <c r="FM9">
        <f t="shared" si="64"/>
        <v>0</v>
      </c>
      <c r="FN9">
        <f t="shared" si="65"/>
        <v>0</v>
      </c>
      <c r="FO9">
        <f t="shared" si="66"/>
        <v>0</v>
      </c>
      <c r="FP9">
        <f t="shared" si="67"/>
        <v>6.99</v>
      </c>
      <c r="FQ9">
        <f t="shared" si="68"/>
        <v>0</v>
      </c>
      <c r="FR9">
        <f t="shared" si="69"/>
        <v>0</v>
      </c>
      <c r="FS9">
        <f>IF(CG9=1,IF(AND(CH9=1,CW9=1),0,IF(AND(CS9&lt;&gt;"",CS9=BA9,CW9=1),SUMIFS(Линии[_Р линии, кВт],Линии[_блок УЗО],BA9,Линии[Щит],A9),N(BS9)+IF(AJ9="вручную",0,N(CK9)))),0)</f>
        <v>6.99</v>
      </c>
      <c r="FT9" t="str">
        <f t="shared" si="70"/>
        <v/>
      </c>
      <c r="FU9" t="str">
        <f>IF(B9="","",IF(CG9=0,IF(BA9=1,"",FW8),IF(AND(CH9=1,CW9=1,CS9&lt;&gt;""),IFERROR(_xlfn.XLOOKUP(CS9,Линии[_n],Линии[_фаза итог]),"L1"),IF(OR(N(DL9)&gt;=3,N(BX9)&gt;=3),"L1,L2,L3",IFERROR(_xlfn.TEXTBEFORE(_xlfn.TEXTAFTER(_xlfn.XLOOKUP(A9,Щиты[Щит],Щиты[_фазы авто]),";"&amp;BA9&amp;":"),";"),"L1")))))</f>
        <v>L1,L2,L3</v>
      </c>
      <c r="FV9" t="str">
        <f t="shared" si="71"/>
        <v>L1,L2,L3</v>
      </c>
      <c r="FW9" t="str">
        <f t="shared" si="72"/>
        <v>L1,L2,L3</v>
      </c>
      <c r="FX9" cm="1">
        <f t="array" ref="FX9">IFERROR(IF(CD9=2,_xlfn.IFS(BX9=3,VLOOKUP(BS9,Справочная_двигатели,3,FALSE),BX9=1,VLOOKUP(BS9,Справочная_двигатели,5,TRUE)),0),0)</f>
        <v>0</v>
      </c>
      <c r="FY9">
        <f>IFERROR(IF(CD9=3,VLOOKUP(BS9,Справочная_ЛЭД,2,TRUE),0),0)</f>
        <v>0</v>
      </c>
      <c r="FZ9" s="6">
        <f t="shared" si="73"/>
        <v>0</v>
      </c>
      <c r="GA9" t="str">
        <f>IF(B9="","",IF(TRIM(AH9&amp;"")&lt;&gt;"",IF(LOWER(TRIM(AH9&amp;""))="да","да","нет"),IF(IFERROR(_xlfn.XLOOKUP(BC9,Коды_код,Коды_пожарная),"")="да","да","нет")))</f>
        <v>нет</v>
      </c>
      <c r="GB9" t="str">
        <f t="shared" si="74"/>
        <v/>
      </c>
      <c r="GC9" t="str">
        <f t="shared" si="75"/>
        <v>основная</v>
      </c>
      <c r="GD9">
        <f>IF(AND(BP9=1,TRIM(AE9&amp;"")=""),IF(COUNTIFS(Линии[Щит],A9,Линии[Секция (1/2/3)],"&gt;=2")&gt;0,MIN(3,MAX(1,IFERROR(--BD9,1))),1),IFERROR(MIN(3,MAX(1,INT(--AE9))),1))</f>
        <v>1</v>
      </c>
      <c r="GE9" t="str" cm="1">
        <f t="array" ref="GE9">IF(B9="","",_xlfn.LET(_xlpm.t,IFERROR(_xlfn.XLOOKUP(1,(Шины[Шина]=GC9)*(((Шины[Щит]=A9)+(Шины[Щит]=""))&gt;0),Шины[Тип]),"")&amp;"",IF(_xlpm.t&lt;&gt;"",_xlpm.t,IF(ISNUMBER(SEARCH("ИБП",GC9)),"ИБП",IF(ISNUMBER(SEARCH("ДГУ",GC9)),"ДГУ","Ввод "&amp;GD9)))))</f>
        <v>Ввод 1</v>
      </c>
      <c r="GF9" t="str">
        <f t="shared" si="76"/>
        <v>Ввод 1</v>
      </c>
      <c r="GG9" t="str">
        <f>IF(BP9=0,"",IF(TRIM(AG9&amp;"")&lt;&gt;"",TRIM(AG9&amp;""),IF(OR(GE9="ИБП",GE9="ДГУ"),"I особая",_xlfn.XLOOKUP(A9,Щиты[Щит],Щиты[Категория шины «Ввод»],"III"))))</f>
        <v/>
      </c>
      <c r="GH9" t="str">
        <f>IF(A9="","",_xlfn.XLOOKUP(A9,Щиты[Щит],Щиты[Путь],""))</f>
        <v>|ГРЩ-ЖД|</v>
      </c>
      <c r="GI9" t="str">
        <f>IF(B9="","",IF(AI9&lt;&gt;"",AI9,IF(IFERROR(_xlfn.XLOOKUP(BC9,Коды_код,Коды_вид)&amp;"","")="","Прочее",_xlfn.XLOOKUP(BC9,Коды_код,Коды_вид)&amp;"")))</f>
        <v>Вентиляция</v>
      </c>
      <c r="GJ9">
        <f>IF(BM9="","",INT((BM9-1)/Столбцов_на_лист)+1)</f>
        <v>2</v>
      </c>
      <c r="GK9" t="str">
        <f t="shared" si="77"/>
        <v>ВВГнг(А)-LS (5х4) L=46-0,74%</v>
      </c>
      <c r="GL9">
        <f t="shared" si="78"/>
        <v>6.99</v>
      </c>
      <c r="GM9">
        <f t="shared" si="79"/>
        <v>8.1199999999999992</v>
      </c>
      <c r="GN9">
        <f t="shared" si="80"/>
        <v>3</v>
      </c>
      <c r="GO9">
        <f t="shared" si="81"/>
        <v>0</v>
      </c>
      <c r="GP9">
        <f t="shared" si="82"/>
        <v>1</v>
      </c>
      <c r="GQ9">
        <f>IF(BM9="","",IF(AND(CG9=1,GP9=1),COUNTIFS(A$3:A9,A9,CG$3:CG9,1,GP$3:GP9,1),IF(OR(OR(BA9=1,A9&lt;&gt;A8),AJ9="вручную",GP9=0),"",IF(BA9=1,"",GR8))))</f>
        <v>5</v>
      </c>
      <c r="GR9">
        <f t="shared" si="83"/>
        <v>5</v>
      </c>
      <c r="GS9">
        <f>IF(B9="","",IFERROR(LOOKUP(INDEX(CHOOSE(EB9,Iдоп_1ж,Iдоп_2ж,Iдоп_3ж),MATCH(EN9,Iдоп_S,0))*DZ9*EA9,{6,10,16,20,25,32,40,50,63,80,100,125,160,200,250,315,400,500,630}),""))</f>
        <v>32</v>
      </c>
      <c r="GT9" t="str">
        <f t="shared" si="84"/>
        <v>QF5</v>
      </c>
      <c r="GU9" t="str">
        <f t="shared" si="85"/>
        <v>QF5</v>
      </c>
      <c r="GV9" t="str">
        <f t="shared" si="86"/>
        <v/>
      </c>
      <c r="GW9">
        <f t="shared" si="87"/>
        <v>0</v>
      </c>
      <c r="GX9" t="str">
        <f>IF(OR(B9="",DJ9=""),"",IFERROR(_xlfn.XLOOKUP(DJ9,Модули_умолч[Управление],Модули_умолч[Модель])&amp;"",""))</f>
        <v/>
      </c>
      <c r="GY9">
        <f>IF(DJ9="",1,IFERROR(MAX(0,N(_xlfn.XLOOKUP(DJ9,Модули_умолч[Управление],Модули_умолч[Каналов на линию]))),1))</f>
        <v>1</v>
      </c>
      <c r="GZ9" t="str">
        <f t="shared" si="88"/>
        <v/>
      </c>
      <c r="HA9" t="str">
        <f t="shared" si="89"/>
        <v/>
      </c>
      <c r="HB9" t="str">
        <f t="shared" si="90"/>
        <v/>
      </c>
      <c r="HC9">
        <f>IF(HB9="",0,IFERROR(N(VLOOKUP(HB9,Модули_спр,3,FALSE)),0))</f>
        <v>0</v>
      </c>
      <c r="HD9" t="str">
        <f t="shared" si="91"/>
        <v/>
      </c>
      <c r="HE9" t="str">
        <f t="shared" si="92"/>
        <v/>
      </c>
      <c r="HF9" t="str">
        <f>IF(OR(HE9="",HE9="-"),"",IFERROR(VLOOKUP(HE9,Модули_спр,2,FALSE),"R"))</f>
        <v/>
      </c>
      <c r="HG9" t="str">
        <f>IF(HF9="","",HF9&amp;"."&amp;COUNTIFS(A$3:A9,A9,HF$3:HF9,HF9))</f>
        <v/>
      </c>
      <c r="HH9" t="str">
        <f t="shared" si="93"/>
        <v/>
      </c>
      <c r="HI9" t="str">
        <f t="shared" si="94"/>
        <v/>
      </c>
      <c r="HJ9" t="str">
        <f t="shared" si="95"/>
        <v/>
      </c>
      <c r="HK9" t="str">
        <f t="shared" si="96"/>
        <v/>
      </c>
      <c r="HL9">
        <f t="shared" si="97"/>
        <v>1</v>
      </c>
      <c r="HM9" t="str">
        <f>IF(HL9=1,"XT"&amp;COUNTIFS(A$3:A9,A9,HL$3:HL9,1),"")</f>
        <v>XT5</v>
      </c>
      <c r="HN9" t="str">
        <f t="shared" si="98"/>
        <v/>
      </c>
      <c r="HO9" t="str">
        <f t="shared" si="99"/>
        <v>QF5</v>
      </c>
      <c r="HP9" t="str">
        <f t="shared" si="100"/>
        <v/>
      </c>
      <c r="HQ9" t="str">
        <f t="shared" si="101"/>
        <v>ok</v>
      </c>
      <c r="HR9" t="str">
        <f>IF(OR(HJ9="",HH9=""),"",IF(HJ9+MAX(0,GY9-1)&gt;IFERROR(VLOOKUP(HI9,Модули_спр,3,FALSE),99),"ЛИШНИЙ КАНАЛ",IF(AND(AL9&lt;&gt;"=",GY9&gt;0,COUNTIFS(Линии[_модуль гр.],HH9,Линии[Канал (итог)],HJ9,Линии[Канал],"&lt;&gt;=",Линии[Щит],A9)&gt;1),"ДУБЛЬ КАНАЛА","")))</f>
        <v/>
      </c>
      <c r="HS9" s="6" t="str">
        <f t="shared" si="102"/>
        <v/>
      </c>
      <c r="HT9">
        <f t="shared" si="103"/>
        <v>10</v>
      </c>
      <c r="HU9" t="str">
        <f t="shared" si="104"/>
        <v/>
      </c>
      <c r="HV9">
        <f t="shared" si="105"/>
        <v>0</v>
      </c>
      <c r="HW9">
        <f t="shared" si="106"/>
        <v>0</v>
      </c>
      <c r="HX9">
        <f t="shared" si="107"/>
        <v>0</v>
      </c>
      <c r="HY9">
        <f t="shared" si="108"/>
        <v>0</v>
      </c>
      <c r="HZ9">
        <f t="shared" si="109"/>
        <v>0</v>
      </c>
      <c r="IA9">
        <f t="shared" si="110"/>
        <v>0</v>
      </c>
      <c r="IB9">
        <f t="shared" si="111"/>
        <v>0</v>
      </c>
      <c r="IC9" t="str">
        <f t="shared" si="112"/>
        <v/>
      </c>
      <c r="ID9" t="str" cm="1">
        <f t="array" ref="ID9">IF(IC9="","",_xlfn.LET(_xlpm.tk,_xlfn.TEXTSPLIT(SUBSTITUTE(SUBSTITUTE(IC9,";"," "),"→"," ")," ",,TRUE),_xlpm.w_,_xlfn._xlws.FILTER(_xlpm.tk,ISNUMBER(--LEFT(_xlpm.tk,1))*((ISNUMBER(SEARCH("W",_xlpm.tk))+ISNUMBER(SEARCH("Вт",_xlpm.tk)))&gt;0),""),IFERROR(--SUBSTITUTE(SUBSTITUTE(UPPER(INDEX(_xlpm.w_,1)),"W",""),"ВТ",""),"")))</f>
        <v/>
      </c>
      <c r="IE9" t="str" cm="1">
        <f t="array" ref="IE9">IF(IC9="","",_xlfn.LET(_xlpm.tk,_xlfn.TEXTSPLIT(SUBSTITUTE(SUBSTITUTE(IC9,";"," "),"→"," ")," ",,TRUE),_xlpm.v_,_xlfn._xlws.FILTER(_xlpm.tk,ISNUMBER(--LEFT(_xlpm.tk,1))*((ISNUMBER(SEARCH("V",_xlpm.tk))+(RIGHT(UPPER(_xlpm.tk))="В"))&gt;0),""),IFERROR(--SUBSTITUTE(SUBSTITUTE(UPPER(INDEX(_xlpm.v_,1)),"V",""),"В",""),"")))</f>
        <v/>
      </c>
      <c r="IF9" s="6" t="str">
        <f>IF(OR(BV9=0,HI9="",HJ9=""),"",IFERROR(N(_xlfn.XLOOKUP(HI9,Каталог!$C$4:$C$500,Каталог!$Q$4:$Q$500)),""))</f>
        <v/>
      </c>
      <c r="IG9" s="6" t="str">
        <f>IF(N(IF9)=0,"",SUMIFS(Линии[Iр, А],Линии[Щит],A9,Линии[_модуль гр.],HH9,Линии[Канал (итог)],HJ9))</f>
        <v/>
      </c>
      <c r="IH9" t="str">
        <f>IF(AND(B9="",HO9=""),"",_xlfn.TEXTJOIN("; ",TRUE,IF(AND(B9&lt;&gt;"",FV9=""),"нет фазы",""),IF(AND(B9&lt;&gt;"",N(GL9)=0,FG9&lt;&gt;"Нет"),"нет мощности",""),IF(AND(HN9&lt;&gt;"",COUNTIFS(Линии[Щит],A9,Линии[Клемма (итог)],HN9)&gt;1),"дубль клеммы "&amp;HN9,""),IF(AND(HQ9&lt;&gt;"",HQ9&lt;&gt;"ok"),HQ9,""),IF(HR9&lt;&gt;"",HR9,""),IF(AND(N(CB9)&gt;=4,N(BX9)=1),CB9&amp;" жил на 1 фазе",""),IF(AND(BC9="R",CG9=1,IF(CS9&lt;&gt;"",N(CV9)&gt;30,OR(N(DA9)=0,N(DA9)&gt;30))),"розетка без дифзащиты до 30 мА",""),IF(AND(CG9=1,N(DA9)&gt;0,ISNUMBER(T9)),IF(T9&gt;N(DA9)/3,"ток утечки "&amp;FIXED(T9,1)&amp;" мА &gt; 1/3 уставки ("&amp;DA9&amp;" мА)",""),""),IF(AND(CH9=1,CS9=""),"«узо»: нет строки с УЗО выше (УЗО 2P 40А 30мА в «Аппаратах»)",""),IF(AND(CS9&lt;&gt;"",CS9=BA9),IF(CT9="","впишите номинал УЗО (УЗО 2P 40А 30мА)",IF(N(CT9)&lt;N(DT9),"УЗО "&amp;CT9&amp;" А &lt; автомата "&amp;DT9&amp;" А перед ним",IF(N(CT9)&lt;N(CX9),"УЗО "&amp;CT9&amp;" А &lt; тока блока "&amp;FIXED(CX9,1)&amp;" А",""))),""),IF(AND(CS9&lt;&gt;"",CS9=BA9,ISNUMBER(CY9)),IF(CY9&gt;N(CV9)/3,"ток утечки блока УЗО "&amp;FIXED(CY9,1)&amp;" мА &gt; 1/3 уставки ("&amp;CV9&amp;" мА)",""),""),IF(AND(CG9=1,N(BV9)+N(IB9)&gt;0,IC9=""),"линии до 50 В без БП: впишите в «Аппараты» (БП 24V 480W)",""),IF(AND(CG9=1,ISNUMBER(ID9),ISNUMBER(U9)),IF(U9&gt;ID9,"БП "&amp;ID9&amp;" Вт &lt; нужно "&amp;U9&amp;" Вт (×"&amp;Запас_БП&amp;")",""),""),IF(AND(CG9=1,ISNUMBER(IE9),N(BV9)=1),IF(IE9&lt;&gt;N(BU9),"БП на "&amp;IE9&amp;" В, линия "&amp;BU9&amp;" В",""),""),IF(AND(N(IF9)&gt;0,N(IG9)&gt;N(IF9)),HH9&amp;" канал "&amp;HJ9&amp;": "&amp;FIXED(IG9,1)&amp;" А &gt; "&amp;IF9&amp;" А",""),IFERROR(IF(AND(ISNUMBER(Q9),Q9&gt;EL9),"потери "&amp;FIXED(Q9,1)&amp;" % &gt; "&amp;EL9&amp;" %",""),""),IFERROR(IF(LEFT(HU9,4)="мало","Iкз мало — отключение &gt; 0,4 с",""),""),IF(AND(B9&lt;&gt;"",BM9=""),"не на схеме",""),IF(AND(CG9=0,B9&lt;&gt;"",FV9&lt;&gt;"",IF(BA9=1,"",FW8)&lt;&gt;"",FV9&lt;&gt;IF(BA9=1,"",FW8)),"фаза не как у автомата группы ("&amp;IF(BA9=1,"",FW8)&amp;")","")))</f>
        <v/>
      </c>
      <c r="II9" s="6" t="str">
        <f>IF(OR(CG9=0,DQ9=""),"",_xlfn.LET(_xlpm.t,IFERROR(_xlfn.XLOOKUP(DQ9,Каталог!$U$4:$U$500,Каталог!$G$4:$G$500),""),_xlpm.k,SEARCH("кА",_xlpm.t),IFERROR(--TRIM(RIGHT(SUBSTITUTE(MID(_xlpm.t,MAX(1,_xlpm.k-4),_xlpm.k-MAX(1,_xlpm.k-4))," ",REPT(" ",9)),5)),"")))</f>
        <v/>
      </c>
      <c r="IJ9" t="str">
        <f>IF(OR(II9="",CG9=0),"",IF(_xlfn.XLOOKUP(A9,Щиты[Щит],Щиты[Iкз max на шинах, кА],"")="","",IF(II9&lt;_xlfn.XLOOKUP(A9,Щиты[Щит],Щиты[Iкз max на шинах, кА]),"Icu "&amp;II9&amp;" кА &lt; Iкз max","ok")))</f>
        <v/>
      </c>
      <c r="IK9" t="str">
        <f t="shared" si="113"/>
        <v/>
      </c>
      <c r="IL9" t="str">
        <f t="shared" si="114"/>
        <v>QF5</v>
      </c>
      <c r="IM9" t="str">
        <f t="shared" si="115"/>
        <v>QF5|кабель ВВГнг(А)-LS (5х4) → Щит вентиляции ЩОВ-002 Подвальный этаж этаж Пом. №00.003Т</v>
      </c>
      <c r="IN9" t="str" cm="1">
        <f t="array" ref="IN9">IF(IM9="","",_xlfn.LET(_xlpm.nd,_xlfn.TEXTSPLIT(IM9,"|"),IF(COLUMNS(_xlpm.nd)&gt;1,A9&amp;"¦"&amp;INDEX(_xlpm.nd,1)&amp;"¦"&amp;INDEX(_xlpm.nd,2),"")))</f>
        <v>ГРЩ-ЖД¦QF5¦кабель ВВГнг(А)-LS (5х4) → Щит вентиляции ЩОВ-002 Подвальный этаж этаж Пом. №00.003Т</v>
      </c>
      <c r="IO9" t="str">
        <f t="shared" si="116"/>
        <v>ЩОВ-002¦Щит вентиляции ЩОВ-002 Подвальный этаж этаж Пом. №00.003Т</v>
      </c>
      <c r="IP9" t="str" cm="1">
        <f t="array" ref="IP9">IF(IM9="","",_xlfn.LET(_xlpm.nd,_xlfn.TEXTSPLIT(IM9,"|"),IF(COLUMNS(_xlpm.nd)&gt;2,A9&amp;"¦"&amp;INDEX(_xlpm.nd,2)&amp;"¦"&amp;INDEX(_xlpm.nd,3),"")))</f>
        <v/>
      </c>
      <c r="IQ9" t="str">
        <f t="shared" si="117"/>
        <v/>
      </c>
      <c r="IR9" t="str" cm="1">
        <f t="array" ref="IR9">IF(IM9="","",_xlfn.LET(_xlpm.nd,_xlfn.TEXTSPLIT(IM9,"|"),IF(COLUMNS(_xlpm.nd)&gt;3,A9&amp;"¦"&amp;INDEX(_xlpm.nd,3)&amp;"¦"&amp;INDEX(_xlpm.nd,4),"")))</f>
        <v/>
      </c>
      <c r="IS9" t="str">
        <f t="shared" si="118"/>
        <v/>
      </c>
      <c r="IT9" t="str" cm="1">
        <f t="array" ref="IT9">IF(IM9="","",_xlfn.LET(_xlpm.nd,_xlfn.TEXTSPLIT(IM9,"|"),IF(COLUMNS(_xlpm.nd)&gt;4,A9&amp;"¦"&amp;INDEX(_xlpm.nd,4)&amp;"¦"&amp;INDEX(_xlpm.nd,5),"")))</f>
        <v/>
      </c>
      <c r="IU9" t="str">
        <f t="shared" si="119"/>
        <v/>
      </c>
      <c r="IV9" t="str" cm="1">
        <f t="array" ref="IV9">IF(IM9="","",_xlfn.LET(_xlpm.nd,_xlfn.TEXTSPLIT(IM9,"|"),IF(COLUMNS(_xlpm.nd)&gt;5,A9&amp;"¦"&amp;INDEX(_xlpm.nd,5)&amp;"¦"&amp;INDEX(_xlpm.nd,6),"")))</f>
        <v/>
      </c>
      <c r="IW9" t="str">
        <f t="shared" si="120"/>
        <v/>
      </c>
      <c r="IX9" t="str" cm="1">
        <f t="array" ref="IX9">IF(IM9="","",_xlfn.LET(_xlpm.nd,_xlfn.TEXTSPLIT(IM9,"|"),IF(COLUMNS(_xlpm.nd)&gt;6,A9&amp;"¦"&amp;INDEX(_xlpm.nd,6)&amp;"¦"&amp;INDEX(_xlpm.nd,7),"")))</f>
        <v/>
      </c>
      <c r="IY9" t="str">
        <f t="shared" si="121"/>
        <v/>
      </c>
      <c r="IZ9" t="str">
        <f t="shared" si="122"/>
        <v/>
      </c>
      <c r="JA9" t="str">
        <f t="shared" si="123"/>
        <v>QF5</v>
      </c>
      <c r="JB9">
        <f t="shared" si="124"/>
        <v>0</v>
      </c>
      <c r="JC9">
        <f t="shared" si="125"/>
        <v>0</v>
      </c>
      <c r="JD9" t="str">
        <f t="shared" si="126"/>
        <v/>
      </c>
      <c r="JE9" t="str">
        <f t="shared" si="127"/>
        <v/>
      </c>
      <c r="JF9" t="str">
        <f t="shared" si="128"/>
        <v/>
      </c>
      <c r="JG9" t="str">
        <f t="shared" si="129"/>
        <v/>
      </c>
      <c r="JH9" t="str">
        <f>IF(B9="","",IFERROR(_xlfn.XLOOKUP(B9,Коды_код,Коды_уго),IFERROR(_xlfn.XLOOKUP(BC9,Коды_код,Коды_уго),IFERROR(_xlfn.XLOOKUP(LEFT(BC9,2),Коды_код,Коды_уго),""))))</f>
        <v/>
      </c>
      <c r="JI9" t="str">
        <f>IF(B9="","",IF(OR(JH9="",JH9=0),"BOX",IFERROR(IF(VLOOKUP(JH9,УГО_блоки,3,FALSE)&amp;""&lt;&gt;"",VLOOKUP(JH9,УГО_блоки,3,FALSE),VLOOKUP(JH9,УГО_блоки,2,FALSE)),JH9)))</f>
        <v>BOX</v>
      </c>
      <c r="JJ9">
        <f t="shared" si="130"/>
        <v>1</v>
      </c>
      <c r="JK9">
        <f>IF(DQ9="","",IF(COUNTIF(DQ$3:DQ9,DQ9)=1,MAX(JK$2:JK8)+1,""))</f>
        <v>5</v>
      </c>
      <c r="JL9" t="str">
        <f>IF(DE9="","",IF(COUNTIF(DE$3:DE9,DE9)+COUNTIF(DF$2:DF8,DE9)+COUNTIF(DG$2:DG8,DE9)=1,MAX(JL$2:JN8)+1,""))</f>
        <v/>
      </c>
      <c r="JM9" t="str">
        <f>IF(DF9="","",IF(COUNTIF(DE$3:DE9,DF9)+COUNTIF(DF$3:DF9,DF9)+COUNTIF(DG$2:DG8,DF9)=1,MAX(JL$2:JN8,JL9)+1,""))</f>
        <v/>
      </c>
      <c r="JN9" t="str">
        <f>IF(DG9="","",IF(COUNTIF(DE$3:DE9,DG9)+COUNTIF(DF$3:DF9,DG9)+COUNTIF(DG$3:DG9,DG9)=1,MAX(JL$2:JN8,JL9,JM9)+1,""))</f>
        <v/>
      </c>
      <c r="JO9" t="str">
        <f t="shared" si="131"/>
        <v>5х4</v>
      </c>
      <c r="JP9">
        <f>IF(JO9="","",IF(COUNTIF(JO$3:JO9,JO9)=1,MAX(JP$2:JP8)+1,""))</f>
        <v>4</v>
      </c>
      <c r="JQ9" t="str">
        <f>IF(HG9="","",COUNTIF(HG$3:HG9,"?*"))</f>
        <v/>
      </c>
      <c r="JR9" t="str">
        <f>IF(OR(HG9="",HI9=""),"",IF(COUNTIFS(HG$3:HG9,"?*",HI$3:HI9,HI9)=1,MAX(JR$2:JR8)+1,""))</f>
        <v/>
      </c>
      <c r="JS9">
        <f t="shared" si="132"/>
        <v>0</v>
      </c>
      <c r="JT9">
        <f>IF(B9="","",COUNTIF(B$3:B9,"?*"))</f>
        <v>7</v>
      </c>
      <c r="JU9">
        <f>IF(HL9&lt;&gt;1,0,_xlfn.LET(_xlpm.k,MAX(IFERROR(--_xlfn.XLOOKUP(B9,Коды_код,Коды_3L),0),IFERROR(--_xlfn.XLOOKUP(BC9,Коды_код,Коды_3L),0),IFERROR(--_xlfn.XLOOKUP(LEFT(BC9,2),Коды_код,Коды_3L),0)),IF(_xlpm.k&gt;0,_xlpm.k,IF(IFERROR(--LEFT(SUBSTITUTE(JO9,"x","х"),FIND("х",SUBSTITUTE(JO9,"x","х"))-1),3)&gt;3,Каталог!$S$9,1))))</f>
        <v>1</v>
      </c>
      <c r="JV9">
        <f t="shared" si="133"/>
        <v>2</v>
      </c>
      <c r="JW9" t="str">
        <f t="shared" si="134"/>
        <v>авто</v>
      </c>
      <c r="JX9" t="str">
        <f t="shared" si="135"/>
        <v/>
      </c>
      <c r="JY9">
        <f t="shared" si="136"/>
        <v>0</v>
      </c>
      <c r="JZ9">
        <f t="shared" si="137"/>
        <v>1</v>
      </c>
    </row>
    <row r="10" spans="1:286" x14ac:dyDescent="0.3">
      <c r="A10" t="s">
        <v>783</v>
      </c>
      <c r="B10" t="s">
        <v>751</v>
      </c>
      <c r="C10" t="s">
        <v>750</v>
      </c>
      <c r="D10">
        <v>1</v>
      </c>
      <c r="E10">
        <v>11.09</v>
      </c>
      <c r="G10">
        <v>20</v>
      </c>
      <c r="H10" t="str">
        <f>Линии[[#This Row],[_авто управление]]</f>
        <v/>
      </c>
      <c r="I10" t="str">
        <f>Линии[[#This Row],[_авто аппараты]]</f>
        <v/>
      </c>
      <c r="J10">
        <v>4</v>
      </c>
      <c r="K10">
        <v>56</v>
      </c>
      <c r="L10" t="str">
        <f>Линии[[#This Row],[_авто фаза]]</f>
        <v>L1,L2,L3</v>
      </c>
      <c r="M10" t="s">
        <v>484</v>
      </c>
      <c r="N10" t="str">
        <f t="shared" si="0"/>
        <v/>
      </c>
      <c r="O10" s="6" cm="1">
        <f t="array" ref="O10">IF(B10="","",IF(BH10&lt;&gt;"",IFERROR(_xlfn.XLOOKUP(BH10,Щиты[Щит],Щиты[Iр, А]),""),IF(BP10=1,IF(OR(N(_xlfn.XLOOKUP(A10,Щиты[Щит],Щиты[Вводов],1))&lt;=1,LOWER(TRIM(_xlfn.XLOOKUP(A10,Щиты[Щит],Щиты[АВР],"")&amp;""))="да"),IFERROR(_xlfn.XLOOKUP(A10,Щиты[Щит],Щиты[Iр, А]),""),IFERROR(N(BS10)*_xlfn.XLOOKUP(A10,Щиты[Щит],Щиты[Кс итог])/(SQRT(3)*Uн_лин*_xlfn.XLOOKUP(A10,Щиты[Щит],Щиты[cos φ])),"")),IF(BV10=1,IFERROR(BS10*1000/BU10,""),IFERROR(_xlfn.IFS(BX10=1,BS10/((Uн_лин/SQRT(3))*CE10),BX10=3,BS10/(SQRT(3)*Uн_лин*CE10)),"")))))</f>
        <v>10.284051669940206</v>
      </c>
      <c r="P10" s="7">
        <f>IF(B10="","",IFERROR(IF(VLOOKUP(BC10,Потребители_обозначение,4,FALSE)=1,VLOOKUP(BC10,Потребители_обозначение,3,FALSE)*(MAX(1,N(D10))*2-1)+EI10+VLOOKUP(BE10,Этаж_обозначение,3,FALSE)+VLOOKUP(BE10,Этаж_обозначение,4,FALSE),VLOOKUP(BC10,Потребители_обозначение,3,FALSE)*(MAX(1,N(D10))*2-1)+EI10),EI10))</f>
        <v>56</v>
      </c>
      <c r="Q10" s="6">
        <f t="shared" si="1"/>
        <v>1.1399999999999999</v>
      </c>
      <c r="R10" t="str">
        <f t="shared" si="2"/>
        <v>ВВГнг(А)-LS (5х4)</v>
      </c>
      <c r="S10" t="str">
        <f>IF(BM10="","",IF(BN10="вводной узел","узел ","")&amp;"л."&amp;(INT((BM10-1)/Столбцов_на_лист)+1)&amp;" / "&amp;(MOD(BM10-1,Столбцов_на_лист)+1))</f>
        <v>л.2 / 5</v>
      </c>
      <c r="T10" s="119" t="str">
        <f t="shared" si="3"/>
        <v/>
      </c>
      <c r="U10" s="7" t="str">
        <f>IF(OR(CG10=0,N(BV10)+N(IB10)=0),"",ROUNDUP(Запас_БП*(N(HY10)+N(HZ10)),0))</f>
        <v/>
      </c>
      <c r="V10" s="119" t="str">
        <f t="shared" si="4"/>
        <v/>
      </c>
      <c r="W10" s="7" t="str">
        <f>IFERROR(IF(OR(B10="",BP10=1,BV10=1,NOT(ISNUMBER(EN10)),N(DT10)=0),"",MAX(0,ROUNDDOWN((c_min*(Uн_лин*1000/SQRT(3))/(HT10*N(DT10))-_xlfn.XLOOKUP(A10,Щиты[Щит],Щиты[Zпетли на шинах, Ом]))*EN10/(2*ρкз_Cu),0))),"")</f>
        <v/>
      </c>
      <c r="Y10" t="str">
        <f>Линии[[#This Row],[_авто утечка]]</f>
        <v/>
      </c>
      <c r="Z10">
        <v>3</v>
      </c>
      <c r="AA10">
        <v>400</v>
      </c>
      <c r="AB10" t="s">
        <v>598</v>
      </c>
      <c r="AC10">
        <v>0.5</v>
      </c>
      <c r="AE10">
        <v>1</v>
      </c>
      <c r="AG10" t="s">
        <v>810</v>
      </c>
      <c r="AI10" t="s">
        <v>580</v>
      </c>
      <c r="AK10" t="str">
        <f>Линии[[#This Row],[_авто модуль]]</f>
        <v/>
      </c>
      <c r="AM10">
        <v>22</v>
      </c>
      <c r="AN10" t="s">
        <v>11</v>
      </c>
      <c r="AO10">
        <v>5</v>
      </c>
      <c r="AQ10">
        <v>40</v>
      </c>
      <c r="AR10">
        <v>11</v>
      </c>
      <c r="AS10">
        <v>0</v>
      </c>
      <c r="BA10" cm="1">
        <f t="array" ref="BA10">ROW()-ROW(Линии[#Headers])</f>
        <v>8</v>
      </c>
      <c r="BC10" s="6" t="str">
        <f t="shared" si="5"/>
        <v>ЩОВ-2</v>
      </c>
      <c r="BD10" t="str">
        <f t="shared" si="6"/>
        <v/>
      </c>
      <c r="BE10" t="str">
        <f t="shared" si="7"/>
        <v/>
      </c>
      <c r="BF10" t="str">
        <f t="shared" si="8"/>
        <v/>
      </c>
      <c r="BG10" t="str">
        <f t="shared" si="9"/>
        <v/>
      </c>
      <c r="BH10" t="str">
        <f>IF(X10&lt;&gt;"",X10,IF(AND(B10&lt;&gt;"",B10&lt;&gt;A10,ISNUMBER(_xlfn.XMATCH(B10,Щиты[Щит]))),B10,""))</f>
        <v>ЩОВ-2</v>
      </c>
      <c r="BI10" t="str" cm="1">
        <f t="array" ref="BI10">IF(B10="","",IF(BH10&lt;&gt;"","Щит "&amp;BH10,_xlfn.LET(_xlpm.nm,IFERROR(_xlfn.XLOOKUP(BC10,Коды_код,Коды_имя)&amp;"",""),_xlpm.md,IFERROR(N(_xlfn.XLOOKUP(BC10,Коды_код,Коды_режим)),1),_xlpm.ex,IF(Имя_режим="по экспликации",IFERROR(_xlfn.XLOOKUP(BE10&amp;"|"&amp;BG10,Экспликация[Этаж]&amp;"|"&amp;Экспликация[Помещение],Экспликация[Название])&amp;"",""),""),_xlpm.rm,IF(BG10="","",IF(_xlpm.ex&lt;&gt;"",". "&amp;_xlpm.ex&amp;IF(Имя_пом="нет"," ("&amp;BG10&amp;")"," (пом. "&amp;BG10&amp;")"),IF(Имя_пом="нет"," ",", пом. ")&amp;BG10)),IF(_xlpm.nm="","",IF(_xlpm.md=2,_xlpm.nm&amp;" шлейф "&amp;BE10,_xlpm.nm&amp;_xlpm.rm)))))</f>
        <v>Щит ЩОВ-2</v>
      </c>
      <c r="BJ10" t="str">
        <f t="shared" si="10"/>
        <v>Щит вентиляции ЩОВ-2 Техэтаж этаж Пом. №3.001Т</v>
      </c>
      <c r="BK10">
        <f>IFERROR(_xlfn.XMATCH(A10,Щиты[Щит]),0)</f>
        <v>1</v>
      </c>
      <c r="BL10">
        <f>_xlfn.LET(_xlpm.k,IFERROR(_xlfn.XLOOKUP(A10,Щиты[Щит],Щиты[Мест под вводной узел]),""),IF(_xlpm.k="",Столбцов_на_лист,N(_xlpm.k)))</f>
        <v>6</v>
      </c>
      <c r="BM10">
        <f t="shared" si="11"/>
        <v>22</v>
      </c>
      <c r="BN10" t="str">
        <f t="shared" si="12"/>
        <v>линии</v>
      </c>
      <c r="BO10" s="6">
        <f>IFERROR(N(_xlfn.XLOOKUP(BC10,Коды_код,Коды_квт)),0)</f>
        <v>0</v>
      </c>
      <c r="BP10">
        <f t="shared" si="13"/>
        <v>0</v>
      </c>
      <c r="BQ10">
        <f>IF(B10="","",IF(BH10&lt;&gt;"",IFERROR(_xlfn.XLOOKUP(BH10,Щиты[Щит],Щиты[Руст, кВт]),0),IF(BP10=1,IF(OR(N(_xlfn.XLOOKUP(A10,Щиты[Щит],Щиты[Вводов],1))&lt;=1,LOWER(TRIM(_xlfn.XLOOKUP(A10,Щиты[Щит],Щиты[АВР],"")&amp;""))="да"),IFERROR(_xlfn.XLOOKUP(A10,Щиты[Щит],Щиты[Руст, кВт]),0),SUMIFS(Линии[_Р для вводов],Линии[Щит],A10,Линии[Источник для режимов],GF10)),IF(BO10&gt;0,ROUND(BO10*MAX(1,N(D10)),3),""))))</f>
        <v>11.093000000000002</v>
      </c>
      <c r="BR10">
        <f t="shared" si="14"/>
        <v>11.09</v>
      </c>
      <c r="BS10" s="6">
        <f>IF(B10="","",IF(BH10&lt;&gt;"",IFERROR(_xlfn.XLOOKUP(BH10,Щиты[Щит],Щиты[Руст, кВт]),0),N(BR10)))</f>
        <v>11.093000000000002</v>
      </c>
      <c r="BT10" t="str">
        <f>IF(B10="","",IFERROR(IF(VLOOKUP(BC10,Потребители_обозначение,8,FALSE)=0,"",VLOOKUP(BC10,Потребители_обозначение,8,FALSE)),""))</f>
        <v/>
      </c>
      <c r="BU10">
        <f t="shared" si="15"/>
        <v>400</v>
      </c>
      <c r="BV10">
        <f t="shared" si="16"/>
        <v>0</v>
      </c>
      <c r="BW10">
        <f>IF(B10="","",IF(BH10&lt;&gt;"",3,IFERROR(IF(N(VLOOKUP(BC10,Потребители_обозначение,9,FALSE))=0,1,VLOOKUP(BC10,Потребители_обозначение,9,FALSE)),1)))</f>
        <v>3</v>
      </c>
      <c r="BX10">
        <f t="shared" si="17"/>
        <v>3</v>
      </c>
      <c r="BY10" t="str">
        <f>IF(B10="","",_xlfn.LET(_xlpm.bc,IFERROR(IF(VLOOKUP(BC10,Потребители_обозначение,6,FALSE)=0,"",VLOOKUP(BC10,Потребители_обозначение,6,FALSE)&amp;""),""),IF(AND(GA10="да",OR(_xlpm.bc="",_xlpm.bc="мс")),Марка_пож,IF(AND(_xlpm.bc="",BH10&lt;&gt;""),"мс",_xlpm.bc))))</f>
        <v>мс</v>
      </c>
      <c r="BZ10" t="str">
        <f t="shared" si="18"/>
        <v>мс</v>
      </c>
      <c r="CA10">
        <f>IF(B10="","",_xlfn.LET(_xlpm.cc,IFERROR(N(VLOOKUP(BC10,Потребители_обозначение,7,FALSE)),0),IF(_xlpm.cc&gt;0,_xlpm.cc,IF(BZ10="","",IF(BV10=1,2,IF(N(BX10)=3,5,3))))))</f>
        <v>5</v>
      </c>
      <c r="CB10">
        <f t="shared" si="19"/>
        <v>5</v>
      </c>
      <c r="CC10">
        <f>IFERROR(N(VLOOKUP(BC10,Потребители_обозначение,10,FALSE)),0)</f>
        <v>0</v>
      </c>
      <c r="CD10">
        <f>IFERROR(VLOOKUP(BC10,Потребители_обозначение,5,FALSE),0)</f>
        <v>0</v>
      </c>
      <c r="CE10" s="6" cm="1">
        <f t="array" ref="CE10">IF(B10="","",IF(BH10&lt;&gt;"",IFERROR(_xlfn.XLOOKUP(BH10,Щиты[Щит],Щиты[cos φ]),0.95),IF(BP10=1,IFERROR(_xlfn.XLOOKUP(A10,Щиты[Щит],Щиты[cos φ]),0.95),IF(ISNUMBER(AD10),AD10,IFERROR(IF(CD10=2,_xlfn.IFS(BX10=3,VLOOKUP(BS10,Справочная_двигатели,8,FALSE),BX10=1,VLOOKUP(BS10,Справочная_двигатели,10,TRUE)),IF(AND(Методика="нормы 2026",FG10="Сил"),0.8,0.95)),0.95)))))</f>
        <v>0.8</v>
      </c>
      <c r="CF10">
        <f t="shared" si="20"/>
        <v>0</v>
      </c>
      <c r="CG10">
        <f t="shared" si="21"/>
        <v>1</v>
      </c>
      <c r="CH10">
        <f t="shared" si="22"/>
        <v>0</v>
      </c>
      <c r="CI10">
        <f>IF(B10="","",IF(BV10=1,IFERROR(BS10/((Uн_лин/SQRT(3))*MAX(0.5,N(CE10))),0),N(O10)))</f>
        <v>10.284051669940206</v>
      </c>
      <c r="CJ10">
        <f t="shared" si="23"/>
        <v>0</v>
      </c>
      <c r="CK10">
        <f t="shared" si="24"/>
        <v>0</v>
      </c>
      <c r="CL10">
        <f t="shared" si="25"/>
        <v>0</v>
      </c>
      <c r="CM10">
        <f t="shared" si="26"/>
        <v>0</v>
      </c>
      <c r="CN10">
        <f t="shared" si="27"/>
        <v>0</v>
      </c>
      <c r="CO10">
        <f>IF(BC10="",0,_xlfn.LET(_xlpm.v,IFERROR(_xlfn.XLOOKUP(B10,Коды_код,Коды_мА),IFERROR(_xlfn.XLOOKUP(BC10,Коды_код,Коды_мА),IFERROR(_xlfn.XLOOKUP(LEFT(BC10,2),Коды_код,Коды_мА),""))),IF(_xlpm.v="да",30,IF(ISNUMBER(_xlpm.v),_xlpm.v,0))))</f>
        <v>0</v>
      </c>
      <c r="CP10" t="str">
        <f t="shared" si="28"/>
        <v/>
      </c>
      <c r="CQ10" t="str">
        <f>_xlfn.LET(_xlpm.k,IFERROR(_xlfn.XLOOKUP(BC10,Коды_код,Коды_утечка)&amp;"",""),IF(_xlpm.k="","дифавтомат",_xlpm.k))</f>
        <v>дифавтомат</v>
      </c>
      <c r="CR10" t="str" cm="1">
        <f t="array" ref="CR10">IF(CG10=0,"",_xlfn.LET(_xlpm.sg,TRIM(_xlfn.TEXTSPLIT(DD10&amp;"",";")),_xlpm.f_,_xlfn._xlws.FILTER(_xlpm.sg,LEFT(_xlpm.sg,3)="УЗО",""),IFERROR(INDEX(_xlpm.f_,1)&amp;"","")))</f>
        <v/>
      </c>
      <c r="CS10" t="str">
        <f t="shared" si="29"/>
        <v/>
      </c>
      <c r="CT10" s="6" t="str" cm="1">
        <f t="array" ref="CT10">IF(CR10="","",_xlfn.LET(_xlpm.tk,_xlfn.TEXTSPLIT(UPPER(CR10)," ",,TRUE),_xlpm.a_,_xlfn._xlws.FILTER(_xlpm.tk,ISNUMBER(--LEFT(_xlpm.tk,1))*((ISNUMBER(SEARCH("А",_xlpm.tk))+ISNUMBER(SEARCH("A",_xlpm.tk)))&gt;0)*NOT(ISNUMBER(SEARCH("МА",_xlpm.tk)))*NOT(ISNUMBER(SEARCH("MA",_xlpm.tk))),""),IFERROR(--SUBSTITUTE(SUBSTITUTE(INDEX(_xlpm.a_,1),"А",""),"A",""),"")))</f>
        <v/>
      </c>
      <c r="CU10" t="str" cm="1">
        <f t="array" ref="CU10">IF(CR10="","",_xlfn.LET(_xlpm.tk,_xlfn.TEXTSPLIT(UPPER(CR10)," ",,TRUE),_xlpm.a_,_xlfn._xlws.FILTER(_xlpm.tk,ISNUMBER(--LEFT(_xlpm.tk,1))*((ISNUMBER(SEARCH("МА",_xlpm.tk))+ISNUMBER(SEARCH("MA",_xlpm.tk)))&gt;0),""),IFERROR(--SUBSTITUTE(SUBSTITUTE(INDEX(_xlpm.a_,1),"МА",""),"MA",""),30)))</f>
        <v/>
      </c>
      <c r="CV10" t="str">
        <f>IF(CS10="","",IFERROR(_xlfn.XLOOKUP(CS10,Линии[_n],Линии[_УЗО, мА]),30))</f>
        <v/>
      </c>
      <c r="CW10">
        <f>IF(CS10="",0,IF(ISNUMBER(SEARCH("4P",IFERROR(_xlfn.XLOOKUP(CS10,Линии[_n],Линии[_УЗО строки])&amp;"",""))),0,1))</f>
        <v>0</v>
      </c>
      <c r="CX10" t="str">
        <f>IF(AND(CS10&lt;&gt;"",CS10=BA10),SUMIFS(Линии[_ток на 230 В],Линии[_блок УЗО],BA10,Линии[Щит],A10),"")</f>
        <v/>
      </c>
      <c r="CY10" t="str">
        <f>IF(AND(CS10&lt;&gt;"",CS10=BA10),SUMIFS(Линии[_ток утечки линии, мА],Линии[_блок УЗО],BA10,Линии[Щит],A10),"")</f>
        <v/>
      </c>
      <c r="CZ10">
        <f t="shared" si="30"/>
        <v>0</v>
      </c>
      <c r="DA10">
        <f t="shared" si="31"/>
        <v>0</v>
      </c>
      <c r="DB10">
        <f>IF(B10="",0,IFERROR(--_xlfn.XLOOKUP(B10,Коды_код,Коды_минавт),IFERROR(--_xlfn.XLOOKUP(BC10,Коды_код,Коды_минавт),IFERROR(--_xlfn.XLOOKUP(LEFT(BC10,2),Коды_код,Коды_минавт),0))))</f>
        <v>0</v>
      </c>
      <c r="DC10" t="str">
        <f>IF(B10="","",IFERROR(_xlfn.XLOOKUP(BC10,Коды_код,Коды_апп)&amp;"",""))</f>
        <v/>
      </c>
      <c r="DD10" t="str">
        <f t="shared" si="32"/>
        <v/>
      </c>
      <c r="DE10" t="str" cm="1">
        <f t="array" ref="DE10">IF(TRIM(DD10&amp;"")="","",IFERROR(TRIM(INDEX(_xlfn.TEXTSPLIT(DD10&amp;";;;",";"),1)),""))</f>
        <v/>
      </c>
      <c r="DF10" t="str" cm="1">
        <f t="array" ref="DF10">IF(TRIM(DD10&amp;"")="","",IFERROR(TRIM(INDEX(_xlfn.TEXTSPLIT(DD10&amp;";;;",";"),2)),""))</f>
        <v/>
      </c>
      <c r="DG10" t="str" cm="1">
        <f t="array" ref="DG10">IF(TRIM(DD10&amp;"")="","",IFERROR(TRIM(INDEX(_xlfn.TEXTSPLIT(DD10&amp;";;;",";"),3)),""))</f>
        <v/>
      </c>
      <c r="DH10">
        <f t="shared" si="33"/>
        <v>0</v>
      </c>
      <c r="DI10" t="str">
        <f>IF(B10="","",_xlfn.LET(_xlpm.t,LOWER(AZ10&amp;""),IF(ISNUMBER(SEARCH("dim",_xlpm.t)),"DIM",IF(ISNUMBER(SEARCH("dali",_xlpm.t)),"DALI",IF(OR(ISNUMBER(SEARCH("relay",_xlpm.t)),ISNUMBER(SEARCH("реле",_xlpm.t))),"Relay",IF(ISNUMBER(SEARCH("кнопк",_xlpm.t)),"",IFERROR(_xlfn.XLOOKUP(BC10,Коды_код,Коды_упр)&amp;"","")))))))</f>
        <v/>
      </c>
      <c r="DJ10" t="str">
        <f t="shared" si="34"/>
        <v/>
      </c>
      <c r="DK10">
        <f>IF(B10="","",_xlfn.LET(_xlpm.ig,IF(N(CX10)&gt;0,N(CX10),N(CI10)+IF(AJ10="вручную",0,N(CJ10))),_xlpm.n0,IFERROR(VLOOKUP(_xlpm.ig,Автомат_номиналы,2,TRUE),0),_xlpm.mn,MAX(DB10,IF(AJ10="вручную",0,N(CM10))),MAX(_xlpm.n0,_xlpm.mn,IF(DH10=1,Мин_автомат_БП,0))))</f>
        <v>16</v>
      </c>
      <c r="DL10">
        <f t="shared" si="35"/>
        <v>3</v>
      </c>
      <c r="DM10" t="str">
        <f t="shared" si="36"/>
        <v>3P</v>
      </c>
      <c r="DN10" t="str">
        <f>_xlfn.LET(_xlpm.cc,UPPER(TRIM(IFERROR(_xlfn.XLOOKUP(BC10,Коды_код,Коды_хар)&amp;"",""))),IF(OR(_xlpm.cc="B",_xlpm.cc="В"),"B",IF(_xlpm.cc="D","D","С")))</f>
        <v>С</v>
      </c>
      <c r="DO10" t="str">
        <f t="shared" si="37"/>
        <v>3P С16А</v>
      </c>
      <c r="DP10">
        <f t="shared" si="38"/>
        <v>20</v>
      </c>
      <c r="DQ10" t="str">
        <f t="shared" si="39"/>
        <v>3P С20А</v>
      </c>
      <c r="DR10" cm="1">
        <f t="array" ref="DR10">IF(DQ10="","",_xlfn.LET(_xlpm.t,SUBSTITUTE(SUBSTITUTE(SUBSTITUTE(UPPER(DQ10),"С","C"),"А","A"),"В","B"),_xlpm.tk,_xlfn.TEXTSPLIT(_xlpm.t," "),_xlpm.f,_xlfn._xlws.FILTER(_xlpm.tk,ISNUMBER(--MID(_xlpm.tk,2,1))*ISNUMBER(SEARCH(LEFT(_xlpm.tk,1)&amp;"#","B#C#D#"))*(LEN(_xlpm.tk)&gt;1),""),_xlpm.x,INDEX(_xlpm.f,1),IFERROR(--SUBSTITUTE(MID(_xlpm.x,2,9),"A",""),IFERROR(--SUBSTITUTE(INDEX(_xlfn._xlws.FILTER(_xlpm.tk,ISNUMBER(--SUBSTITUTE(_xlpm.tk,"A","")),""),1),"A",""),""))))</f>
        <v>20</v>
      </c>
      <c r="DS10" t="str">
        <f t="shared" si="40"/>
        <v>ok</v>
      </c>
      <c r="DT10">
        <f t="shared" si="41"/>
        <v>20</v>
      </c>
      <c r="DU10" t="str">
        <f t="shared" si="42"/>
        <v>3P С20А</v>
      </c>
      <c r="DV10">
        <f t="shared" si="43"/>
        <v>0</v>
      </c>
      <c r="DW10">
        <f t="shared" si="44"/>
        <v>0</v>
      </c>
      <c r="DX10">
        <f t="shared" si="45"/>
        <v>0</v>
      </c>
      <c r="DY10">
        <f t="shared" si="46"/>
        <v>10.284051669940206</v>
      </c>
      <c r="DZ10">
        <f t="shared" si="47"/>
        <v>0.92</v>
      </c>
      <c r="EA10">
        <f>IF(ISNUMBER(AP10),AP10,К_прокл)</f>
        <v>1</v>
      </c>
      <c r="EB10">
        <f t="shared" si="48"/>
        <v>3</v>
      </c>
      <c r="EC10">
        <f>IFERROR(N(VLOOKUP(BZ10,Кабель_обозначение,3,FALSE)),1)</f>
        <v>1</v>
      </c>
      <c r="ED10">
        <f>IFERROR(N(_xlfn.XLOOKUP(A10,Щиты[Щит],Щиты[ΔU до шин, %])),0)</f>
        <v>0</v>
      </c>
      <c r="EE10" t="str">
        <f>IFERROR(_xlfn.XLOOKUP(A10,Щиты[Щит],Щиты[Zпетли на шинах, Ом]),"")</f>
        <v/>
      </c>
      <c r="EF10">
        <f>IFERROR(N(_xlfn.XLOOKUP(A10,Щиты[Щит],Щиты[ΔU до шин (подбор), %])),0)</f>
        <v>0</v>
      </c>
      <c r="EG10" t="str">
        <f>IFERROR(_xlfn.XLOOKUP(A10,Щиты[Щит],Щиты[Zпетли на шинах (подбор), Ом]),"")</f>
        <v/>
      </c>
      <c r="EH10" t="str">
        <f t="shared" si="49"/>
        <v/>
      </c>
      <c r="EI10">
        <f t="shared" si="50"/>
        <v>56</v>
      </c>
      <c r="EJ10">
        <f t="shared" si="51"/>
        <v>1</v>
      </c>
      <c r="EK10">
        <f t="shared" si="52"/>
        <v>0.6</v>
      </c>
      <c r="EL10" s="6">
        <f>IF(B10="","",IF(BV10=1,dU_LED,IF(IFERROR(_xlfn.XLOOKUP(BC10,Коды_код,Коды_уго),"")="Светильник",3,4)+IF(Методика="нормы 2026",MIN(0.5,MAX(0,N(P10)-100)*0.005),0)))</f>
        <v>4</v>
      </c>
      <c r="EM10" cm="1">
        <f t="array" ref="EM10">IF(OR(B10="",BZ10="",EC10&lt;&gt;1),"",_xlfn.LET(_xlpm.sz,Iдоп_S,_xlpm.t_,CHOOSE(EB10,Iдоп_1ж,Iдоп_2ж,Iдоп_3ж)*DZ10*EA10,_xlpm.dcx,BV10=1,_xlpm.inn,IF(_xlpm.dcx,N(O10),N(DT10)),_xlpm.smin,MAX(1.5,CC10),_xlpm.L_,N(P10)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10)/N(BU10)*100,999),IFERROR(N(EJ10)*(_xlpm.rho*_xlpm.L_/_xlpm.sz*N(CE10)+_xlpm.xx*_xlpm.L_*N(EK10)/1000)*N(O10)/((Uн_лин/SQRT(3))*1000)*100,999)),_xlpm.kz,IF(OR(_xlpm.dcx,DW10=1,NOT(ISNUMBER(EG10)),_xlpm.L_=0,_xlpm.inn=0),1,IFERROR(--(c_min*(Uн_лин*1000/SQRT(3))/(EG10+2*ρкз_Cu*_xlpm.L_/_xlpm.sz)&gt;=HT10*_xlpm.inn),0)),_xlpm.ok,IFERROR((_xlpm.sz&gt;=_xlpm.smin)*(_xlpm.t_&gt;=_xlpm.inn)*IF(_xlpm.L_&gt;0,(_xlpm.du_+IF(_xlpm.dcx,0,EF10)&lt;=EL10+0.00001),1)*_xlpm.kz,0),_xlpm.r_,_xlfn._xlws.FILTER(_xlpm.sz,_xlpm.ok,"не подобрано"),INDEX(_xlpm.r_,1)))</f>
        <v>2.5</v>
      </c>
      <c r="EN10">
        <f t="shared" si="53"/>
        <v>4</v>
      </c>
      <c r="EO10" cm="1">
        <f t="array" ref="EO10">IF(OR(B10="",BZ10="",EC10&lt;&gt;1),"",_xlfn.LET(_xlpm.sz,Iдоп_S,_xlpm.t_,CHOOSE(EB10,Iдоп_1ж,Iдоп_2ж,Iдоп_3ж)*DZ10*EA10,_xlpm.ok,IFERROR((_xlpm.sz&gt;=MAX(1.5,CC10))*(_xlpm.t_&gt;=N(DT10)),0),_xlpm.r_,_xlfn._xlws.FILTER(_xlpm.sz,_xlpm.ok,""),INDEX(_xlpm.r_,1)))</f>
        <v>2.5</v>
      </c>
      <c r="EP10" s="6" cm="1">
        <f t="array" ref="EP10">IFERROR(ROUNDUP(N(EJ10)*(_xlfn.XLOOKUP(EO10,INDEX(Кабель_сопротивление,0,1),INDEX(Кабель_сопротивление,0,3))*N(P10)/EO10*N(CE10)+_xlfn.XLOOKUP(EO10,INDEX(Кабель_сопротивление,0,1),INDEX(Кабель_сопротивление,0,2))*N(P10)*N(EK10)/1000)*N(O10)/((Uн_лин/SQRT(3))*1000)*100,2),"")</f>
        <v>1.82</v>
      </c>
      <c r="EQ10">
        <f>IFERROR(2*ρкз_Cu*N(P10)/EO10,"")</f>
        <v>1.1782400000000002</v>
      </c>
      <c r="ER10">
        <f>IFERROR(VLOOKUP(EN10,Кабель_сопротивление,3,FALSE),"")</f>
        <v>2.2499999999999999E-2</v>
      </c>
      <c r="ES10">
        <f>IFERROR(VLOOKUP(EN10,Кабель_сопротивление,2,FALSE),"")</f>
        <v>9.5000000000000001E-2</v>
      </c>
      <c r="ET10">
        <f t="shared" si="54"/>
        <v>11</v>
      </c>
      <c r="EU10">
        <f t="shared" si="55"/>
        <v>0</v>
      </c>
      <c r="EV10">
        <f t="shared" si="56"/>
        <v>2.6244077137553807</v>
      </c>
      <c r="EW10" s="6">
        <f>IFERROR(ROUNDUP(EV10/IF(BV10=1,BU10,(Uн_лин/SQRT(3))*1000)*100,2),"")</f>
        <v>1.1399999999999999</v>
      </c>
      <c r="EX10" t="str">
        <f>IFERROR(VLOOKUP(BZ10,Кабель_обозначение,2,FALSE),"")</f>
        <v>ВВГнг(А)-LS</v>
      </c>
      <c r="EY10" t="str">
        <f t="shared" si="57"/>
        <v>ВВГнг(А)-LS (5х4)</v>
      </c>
      <c r="EZ10" t="str">
        <f t="shared" si="58"/>
        <v>ВВГнг(А)-LS (5х4)
L=56-1,14%</v>
      </c>
      <c r="FA10">
        <f>IFERROR(2*ρкз_Cu*P10/EN10,"")</f>
        <v>0.73640000000000005</v>
      </c>
      <c r="FB10">
        <f t="shared" si="59"/>
        <v>0.24500000000000002</v>
      </c>
      <c r="FC10" s="6" t="str">
        <f>IFERROR(IF(OR(B10="",BV10=1,NOT(ISNUMBER(EN10)),N(P10)=0),"",_xlfn.XLOOKUP(A10,Щиты[Щит],Щиты[Zпетли на шинах, Ом])+FA10),"")</f>
        <v/>
      </c>
      <c r="FD10" s="6" t="str">
        <f>IF(ISNUMBER(FC10),c_min*(Uн_лин*1000/SQRT(3))/FC10,"")</f>
        <v/>
      </c>
      <c r="FE10" s="6" t="str">
        <f>IFERROR(IF(OR(B10="",NOT(ISNUMBER(EN10))),"",1.05*(Uн_лин*1000/SQRT(3))/(_xlfn.XLOOKUP(A10,Щиты[Щит],Щиты[Zmax на шинах, Ом])+FB10)/1000),"")</f>
        <v/>
      </c>
      <c r="FF10" s="6" t="str">
        <f>IF(B10="","",IF(ISNUMBER(AC10),"Сил",IF(IFERROR(_xlfn.XLOOKUP(BC10,Коды_код,Коды_группа)&amp;"","")="","Быт",_xlfn.XLOOKUP(BC10,Коды_код,Коды_группа)&amp;"")))</f>
        <v>Сил</v>
      </c>
      <c r="FG10" s="6" t="str">
        <f t="shared" si="60"/>
        <v>Щит</v>
      </c>
      <c r="FH10" s="6" t="str">
        <f>IF(FG10="Щит","щит",IF(FG10="","",IF(FG10="Быт",IFERROR(_xlfn.XLOOKUP(A10,Щиты[Щит],Щиты[Кс быт]),1),IF(FG10="Сил",IF(ISNUMBER(AC10),AC10,IF(Методика="нормы 2026",IFERROR(_xlfn.XLOOKUP(A10,Щиты[Щит],Щиты[Кс силовых (табл. 7.5)]),1),1)),IF(OR(FG10="Пост",FG10="Отоп"),1,IF(FG10="ВНГ",0.7,0))))))</f>
        <v>щит</v>
      </c>
      <c r="FI10">
        <f>IF(FG10="","",IF(AND(BP10=1,TRIM(AE10&amp;"")=""),IF(COUNTIFS(Линии[Щит],A10,Линии[Секция (1/2/3)],"&gt;=2")&gt;0,MIN(3,MAX(1,IFERROR(--BD10,1))),1),IFERROR(MIN(3,MAX(1,INT(--AE10))),1)))</f>
        <v>1</v>
      </c>
      <c r="FJ10">
        <f t="shared" si="61"/>
        <v>0</v>
      </c>
      <c r="FK10">
        <f t="shared" si="62"/>
        <v>0</v>
      </c>
      <c r="FL10">
        <f t="shared" si="63"/>
        <v>0</v>
      </c>
      <c r="FM10">
        <f t="shared" si="64"/>
        <v>0</v>
      </c>
      <c r="FN10">
        <f t="shared" si="65"/>
        <v>0</v>
      </c>
      <c r="FO10">
        <f t="shared" si="66"/>
        <v>0</v>
      </c>
      <c r="FP10">
        <f t="shared" si="67"/>
        <v>11.093000000000002</v>
      </c>
      <c r="FQ10">
        <f t="shared" si="68"/>
        <v>0</v>
      </c>
      <c r="FR10">
        <f t="shared" si="69"/>
        <v>0</v>
      </c>
      <c r="FS10">
        <f>IF(CG10=1,IF(AND(CH10=1,CW10=1),0,IF(AND(CS10&lt;&gt;"",CS10=BA10,CW10=1),SUMIFS(Линии[_Р линии, кВт],Линии[_блок УЗО],BA10,Линии[Щит],A10),N(BS10)+IF(AJ10="вручную",0,N(CK10)))),0)</f>
        <v>11.093000000000002</v>
      </c>
      <c r="FT10" t="str">
        <f t="shared" si="70"/>
        <v/>
      </c>
      <c r="FU10" t="str">
        <f>IF(B10="","",IF(CG10=0,IF(BA10=1,"",FW9),IF(AND(CH10=1,CW10=1,CS10&lt;&gt;""),IFERROR(_xlfn.XLOOKUP(CS10,Линии[_n],Линии[_фаза итог]),"L1"),IF(OR(N(DL10)&gt;=3,N(BX10)&gt;=3),"L1,L2,L3",IFERROR(_xlfn.TEXTBEFORE(_xlfn.TEXTAFTER(_xlfn.XLOOKUP(A10,Щиты[Щит],Щиты[_фазы авто]),";"&amp;BA10&amp;":"),";"),"L1")))))</f>
        <v>L1,L2,L3</v>
      </c>
      <c r="FV10" t="str">
        <f t="shared" si="71"/>
        <v>L1,L2,L3</v>
      </c>
      <c r="FW10" t="str">
        <f t="shared" si="72"/>
        <v>L1,L2,L3</v>
      </c>
      <c r="FX10" cm="1">
        <f t="array" ref="FX10">IFERROR(IF(CD10=2,_xlfn.IFS(BX10=3,VLOOKUP(BS10,Справочная_двигатели,3,FALSE),BX10=1,VLOOKUP(BS10,Справочная_двигатели,5,TRUE)),0),0)</f>
        <v>0</v>
      </c>
      <c r="FY10">
        <f>IFERROR(IF(CD10=3,VLOOKUP(BS10,Справочная_ЛЭД,2,TRUE),0),0)</f>
        <v>0</v>
      </c>
      <c r="FZ10" s="6">
        <f t="shared" si="73"/>
        <v>0</v>
      </c>
      <c r="GA10" t="str">
        <f>IF(B10="","",IF(TRIM(AH10&amp;"")&lt;&gt;"",IF(LOWER(TRIM(AH10&amp;""))="да","да","нет"),IF(IFERROR(_xlfn.XLOOKUP(BC10,Коды_код,Коды_пожарная),"")="да","да","нет")))</f>
        <v>нет</v>
      </c>
      <c r="GB10" t="str">
        <f t="shared" si="74"/>
        <v/>
      </c>
      <c r="GC10" t="str">
        <f t="shared" si="75"/>
        <v>основная</v>
      </c>
      <c r="GD10">
        <f>IF(AND(BP10=1,TRIM(AE10&amp;"")=""),IF(COUNTIFS(Линии[Щит],A10,Линии[Секция (1/2/3)],"&gt;=2")&gt;0,MIN(3,MAX(1,IFERROR(--BD10,1))),1),IFERROR(MIN(3,MAX(1,INT(--AE10))),1))</f>
        <v>1</v>
      </c>
      <c r="GE10" t="str" cm="1">
        <f t="array" ref="GE10">IF(B10="","",_xlfn.LET(_xlpm.t,IFERROR(_xlfn.XLOOKUP(1,(Шины[Шина]=GC10)*(((Шины[Щит]=A10)+(Шины[Щит]=""))&gt;0),Шины[Тип]),"")&amp;"",IF(_xlpm.t&lt;&gt;"",_xlpm.t,IF(ISNUMBER(SEARCH("ИБП",GC10)),"ИБП",IF(ISNUMBER(SEARCH("ДГУ",GC10)),"ДГУ","Ввод "&amp;GD10)))))</f>
        <v>Ввод 1</v>
      </c>
      <c r="GF10" t="str">
        <f t="shared" si="76"/>
        <v>Ввод 1</v>
      </c>
      <c r="GG10" t="str">
        <f>IF(BP10=0,"",IF(TRIM(AG10&amp;"")&lt;&gt;"",TRIM(AG10&amp;""),IF(OR(GE10="ИБП",GE10="ДГУ"),"I особая",_xlfn.XLOOKUP(A10,Щиты[Щит],Щиты[Категория шины «Ввод»],"III"))))</f>
        <v/>
      </c>
      <c r="GH10" t="str">
        <f>IF(A10="","",_xlfn.XLOOKUP(A10,Щиты[Щит],Щиты[Путь],""))</f>
        <v>|ГРЩ-ЖД|</v>
      </c>
      <c r="GI10" t="str">
        <f>IF(B10="","",IF(AI10&lt;&gt;"",AI10,IF(IFERROR(_xlfn.XLOOKUP(BC10,Коды_код,Коды_вид)&amp;"","")="","Прочее",_xlfn.XLOOKUP(BC10,Коды_код,Коды_вид)&amp;"")))</f>
        <v>Вентиляция</v>
      </c>
      <c r="GJ10">
        <f>IF(BM10="","",INT((BM10-1)/Столбцов_на_лист)+1)</f>
        <v>2</v>
      </c>
      <c r="GK10" t="str">
        <f t="shared" si="77"/>
        <v>ВВГнг(А)-LS (5х4) L=56-1,14%</v>
      </c>
      <c r="GL10">
        <f t="shared" si="78"/>
        <v>11.093000000000002</v>
      </c>
      <c r="GM10">
        <f t="shared" si="79"/>
        <v>10.29</v>
      </c>
      <c r="GN10">
        <f t="shared" si="80"/>
        <v>3</v>
      </c>
      <c r="GO10">
        <f t="shared" si="81"/>
        <v>0</v>
      </c>
      <c r="GP10">
        <f t="shared" si="82"/>
        <v>1</v>
      </c>
      <c r="GQ10">
        <f>IF(BM10="","",IF(AND(CG10=1,GP10=1),COUNTIFS(A$3:A10,A10,CG$3:CG10,1,GP$3:GP10,1),IF(OR(OR(BA10=1,A10&lt;&gt;A9),AJ10="вручную",GP10=0),"",IF(BA10=1,"",GR9))))</f>
        <v>6</v>
      </c>
      <c r="GR10">
        <f t="shared" si="83"/>
        <v>6</v>
      </c>
      <c r="GS10">
        <f>IF(B10="","",IFERROR(LOOKUP(INDEX(CHOOSE(EB10,Iдоп_1ж,Iдоп_2ж,Iдоп_3ж),MATCH(EN10,Iдоп_S,0))*DZ10*EA10,{6,10,16,20,25,32,40,50,63,80,100,125,160,200,250,315,400,500,630}),""))</f>
        <v>32</v>
      </c>
      <c r="GT10" t="str">
        <f t="shared" si="84"/>
        <v>QF6</v>
      </c>
      <c r="GU10" t="str">
        <f t="shared" si="85"/>
        <v>QF6</v>
      </c>
      <c r="GV10" t="str">
        <f t="shared" si="86"/>
        <v/>
      </c>
      <c r="GW10">
        <f t="shared" si="87"/>
        <v>0</v>
      </c>
      <c r="GX10" t="str">
        <f>IF(OR(B10="",DJ10=""),"",IFERROR(_xlfn.XLOOKUP(DJ10,Модули_умолч[Управление],Модули_умолч[Модель])&amp;"",""))</f>
        <v/>
      </c>
      <c r="GY10">
        <f>IF(DJ10="",1,IFERROR(MAX(0,N(_xlfn.XLOOKUP(DJ10,Модули_умолч[Управление],Модули_умолч[Каналов на линию]))),1))</f>
        <v>1</v>
      </c>
      <c r="GZ10" t="str">
        <f t="shared" si="88"/>
        <v/>
      </c>
      <c r="HA10" t="str">
        <f t="shared" si="89"/>
        <v/>
      </c>
      <c r="HB10" t="str">
        <f t="shared" si="90"/>
        <v/>
      </c>
      <c r="HC10">
        <f>IF(HB10="",0,IFERROR(N(VLOOKUP(HB10,Модули_спр,3,FALSE)),0))</f>
        <v>0</v>
      </c>
      <c r="HD10" t="str">
        <f t="shared" si="91"/>
        <v/>
      </c>
      <c r="HE10" t="str">
        <f t="shared" si="92"/>
        <v/>
      </c>
      <c r="HF10" t="str">
        <f>IF(OR(HE10="",HE10="-"),"",IFERROR(VLOOKUP(HE10,Модули_спр,2,FALSE),"R"))</f>
        <v/>
      </c>
      <c r="HG10" t="str">
        <f>IF(HF10="","",HF10&amp;"."&amp;COUNTIFS(A$3:A10,A10,HF$3:HF10,HF10))</f>
        <v/>
      </c>
      <c r="HH10" t="str">
        <f t="shared" si="93"/>
        <v/>
      </c>
      <c r="HI10" t="str">
        <f t="shared" si="94"/>
        <v/>
      </c>
      <c r="HJ10" t="str">
        <f t="shared" si="95"/>
        <v/>
      </c>
      <c r="HK10" t="str">
        <f t="shared" si="96"/>
        <v/>
      </c>
      <c r="HL10">
        <f t="shared" si="97"/>
        <v>1</v>
      </c>
      <c r="HM10" t="str">
        <f>IF(HL10=1,"XT"&amp;COUNTIFS(A$3:A10,A10,HL$3:HL10,1),"")</f>
        <v>XT6</v>
      </c>
      <c r="HN10" t="str">
        <f t="shared" si="98"/>
        <v/>
      </c>
      <c r="HO10" t="str">
        <f t="shared" si="99"/>
        <v>QF6</v>
      </c>
      <c r="HP10" t="str">
        <f t="shared" si="100"/>
        <v/>
      </c>
      <c r="HQ10" t="str">
        <f t="shared" si="101"/>
        <v>ok</v>
      </c>
      <c r="HR10" t="str">
        <f>IF(OR(HJ10="",HH10=""),"",IF(HJ10+MAX(0,GY10-1)&gt;IFERROR(VLOOKUP(HI10,Модули_спр,3,FALSE),99),"ЛИШНИЙ КАНАЛ",IF(AND(AL10&lt;&gt;"=",GY10&gt;0,COUNTIFS(Линии[_модуль гр.],HH10,Линии[Канал (итог)],HJ10,Линии[Канал],"&lt;&gt;=",Линии[Щит],A10)&gt;1),"ДУБЛЬ КАНАЛА","")))</f>
        <v/>
      </c>
      <c r="HS10" s="6" t="str">
        <f t="shared" si="102"/>
        <v/>
      </c>
      <c r="HT10">
        <f t="shared" si="103"/>
        <v>10</v>
      </c>
      <c r="HU10" t="str">
        <f t="shared" si="104"/>
        <v/>
      </c>
      <c r="HV10">
        <f t="shared" si="105"/>
        <v>0</v>
      </c>
      <c r="HW10">
        <f t="shared" si="106"/>
        <v>0</v>
      </c>
      <c r="HX10">
        <f t="shared" si="107"/>
        <v>0</v>
      </c>
      <c r="HY10">
        <f t="shared" si="108"/>
        <v>0</v>
      </c>
      <c r="HZ10">
        <f t="shared" si="109"/>
        <v>0</v>
      </c>
      <c r="IA10">
        <f t="shared" si="110"/>
        <v>0</v>
      </c>
      <c r="IB10">
        <f t="shared" si="111"/>
        <v>0</v>
      </c>
      <c r="IC10" t="str">
        <f t="shared" si="112"/>
        <v/>
      </c>
      <c r="ID10" t="str" cm="1">
        <f t="array" ref="ID10">IF(IC10="","",_xlfn.LET(_xlpm.tk,_xlfn.TEXTSPLIT(SUBSTITUTE(SUBSTITUTE(IC10,";"," "),"→"," ")," ",,TRUE),_xlpm.w_,_xlfn._xlws.FILTER(_xlpm.tk,ISNUMBER(--LEFT(_xlpm.tk,1))*((ISNUMBER(SEARCH("W",_xlpm.tk))+ISNUMBER(SEARCH("Вт",_xlpm.tk)))&gt;0),""),IFERROR(--SUBSTITUTE(SUBSTITUTE(UPPER(INDEX(_xlpm.w_,1)),"W",""),"ВТ",""),"")))</f>
        <v/>
      </c>
      <c r="IE10" t="str" cm="1">
        <f t="array" ref="IE10">IF(IC10="","",_xlfn.LET(_xlpm.tk,_xlfn.TEXTSPLIT(SUBSTITUTE(SUBSTITUTE(IC10,";"," "),"→"," ")," ",,TRUE),_xlpm.v_,_xlfn._xlws.FILTER(_xlpm.tk,ISNUMBER(--LEFT(_xlpm.tk,1))*((ISNUMBER(SEARCH("V",_xlpm.tk))+(RIGHT(UPPER(_xlpm.tk))="В"))&gt;0),""),IFERROR(--SUBSTITUTE(SUBSTITUTE(UPPER(INDEX(_xlpm.v_,1)),"V",""),"В",""),"")))</f>
        <v/>
      </c>
      <c r="IF10" s="6" t="str">
        <f>IF(OR(BV10=0,HI10="",HJ10=""),"",IFERROR(N(_xlfn.XLOOKUP(HI10,Каталог!$C$4:$C$500,Каталог!$Q$4:$Q$500)),""))</f>
        <v/>
      </c>
      <c r="IG10" s="6" t="str">
        <f>IF(N(IF10)=0,"",SUMIFS(Линии[Iр, А],Линии[Щит],A10,Линии[_модуль гр.],HH10,Линии[Канал (итог)],HJ10))</f>
        <v/>
      </c>
      <c r="IH10" t="str">
        <f>IF(AND(B10="",HO10=""),"",_xlfn.TEXTJOIN("; ",TRUE,IF(AND(B10&lt;&gt;"",FV10=""),"нет фазы",""),IF(AND(B10&lt;&gt;"",N(GL10)=0,FG10&lt;&gt;"Нет"),"нет мощности",""),IF(AND(HN10&lt;&gt;"",COUNTIFS(Линии[Щит],A10,Линии[Клемма (итог)],HN10)&gt;1),"дубль клеммы "&amp;HN10,""),IF(AND(HQ10&lt;&gt;"",HQ10&lt;&gt;"ok"),HQ10,""),IF(HR10&lt;&gt;"",HR10,""),IF(AND(N(CB10)&gt;=4,N(BX10)=1),CB10&amp;" жил на 1 фазе",""),IF(AND(BC10="R",CG10=1,IF(CS10&lt;&gt;"",N(CV10)&gt;30,OR(N(DA10)=0,N(DA10)&gt;30))),"розетка без дифзащиты до 30 мА",""),IF(AND(CG10=1,N(DA10)&gt;0,ISNUMBER(T10)),IF(T10&gt;N(DA10)/3,"ток утечки "&amp;FIXED(T10,1)&amp;" мА &gt; 1/3 уставки ("&amp;DA10&amp;" мА)",""),""),IF(AND(CH10=1,CS10=""),"«узо»: нет строки с УЗО выше (УЗО 2P 40А 30мА в «Аппаратах»)",""),IF(AND(CS10&lt;&gt;"",CS10=BA10),IF(CT10="","впишите номинал УЗО (УЗО 2P 40А 30мА)",IF(N(CT10)&lt;N(DT10),"УЗО "&amp;CT10&amp;" А &lt; автомата "&amp;DT10&amp;" А перед ним",IF(N(CT10)&lt;N(CX10),"УЗО "&amp;CT10&amp;" А &lt; тока блока "&amp;FIXED(CX10,1)&amp;" А",""))),""),IF(AND(CS10&lt;&gt;"",CS10=BA10,ISNUMBER(CY10)),IF(CY10&gt;N(CV10)/3,"ток утечки блока УЗО "&amp;FIXED(CY10,1)&amp;" мА &gt; 1/3 уставки ("&amp;CV10&amp;" мА)",""),""),IF(AND(CG10=1,N(BV10)+N(IB10)&gt;0,IC10=""),"линии до 50 В без БП: впишите в «Аппараты» (БП 24V 480W)",""),IF(AND(CG10=1,ISNUMBER(ID10),ISNUMBER(U10)),IF(U10&gt;ID10,"БП "&amp;ID10&amp;" Вт &lt; нужно "&amp;U10&amp;" Вт (×"&amp;Запас_БП&amp;")",""),""),IF(AND(CG10=1,ISNUMBER(IE10),N(BV10)=1),IF(IE10&lt;&gt;N(BU10),"БП на "&amp;IE10&amp;" В, линия "&amp;BU10&amp;" В",""),""),IF(AND(N(IF10)&gt;0,N(IG10)&gt;N(IF10)),HH10&amp;" канал "&amp;HJ10&amp;": "&amp;FIXED(IG10,1)&amp;" А &gt; "&amp;IF10&amp;" А",""),IFERROR(IF(AND(ISNUMBER(Q10),Q10&gt;EL10),"потери "&amp;FIXED(Q10,1)&amp;" % &gt; "&amp;EL10&amp;" %",""),""),IFERROR(IF(LEFT(HU10,4)="мало","Iкз мало — отключение &gt; 0,4 с",""),""),IF(AND(B10&lt;&gt;"",BM10=""),"не на схеме",""),IF(AND(CG10=0,B10&lt;&gt;"",FV10&lt;&gt;"",IF(BA10=1,"",FW9)&lt;&gt;"",FV10&lt;&gt;IF(BA10=1,"",FW9)),"фаза не как у автомата группы ("&amp;IF(BA10=1,"",FW9)&amp;")","")))</f>
        <v/>
      </c>
      <c r="II10" s="6">
        <f>IF(OR(CG10=0,DQ10=""),"",_xlfn.LET(_xlpm.t,IFERROR(_xlfn.XLOOKUP(DQ10,Каталог!$U$4:$U$500,Каталог!$G$4:$G$500),""),_xlpm.k,SEARCH("кА",_xlpm.t),IFERROR(--TRIM(RIGHT(SUBSTITUTE(MID(_xlpm.t,MAX(1,_xlpm.k-4),_xlpm.k-MAX(1,_xlpm.k-4))," ",REPT(" ",9)),5)),"")))</f>
        <v>6</v>
      </c>
      <c r="IJ10" t="str">
        <f>IF(OR(II10="",CG10=0),"",IF(_xlfn.XLOOKUP(A10,Щиты[Щит],Щиты[Iкз max на шинах, кА],"")="","",IF(II10&lt;_xlfn.XLOOKUP(A10,Щиты[Щит],Щиты[Iкз max на шинах, кА]),"Icu "&amp;II10&amp;" кА &lt; Iкз max","ok")))</f>
        <v/>
      </c>
      <c r="IK10" t="str">
        <f t="shared" si="113"/>
        <v/>
      </c>
      <c r="IL10" t="str">
        <f t="shared" si="114"/>
        <v>QF6</v>
      </c>
      <c r="IM10" t="str">
        <f t="shared" si="115"/>
        <v>QF6|кабель ВВГнг(А)-LS (5х4) → Щит вентиляции ЩОВ-2 Техэтаж этаж Пом. №3.001Т</v>
      </c>
      <c r="IN10" t="str" cm="1">
        <f t="array" ref="IN10">IF(IM10="","",_xlfn.LET(_xlpm.nd,_xlfn.TEXTSPLIT(IM10,"|"),IF(COLUMNS(_xlpm.nd)&gt;1,A10&amp;"¦"&amp;INDEX(_xlpm.nd,1)&amp;"¦"&amp;INDEX(_xlpm.nd,2),"")))</f>
        <v>ГРЩ-ЖД¦QF6¦кабель ВВГнг(А)-LS (5х4) → Щит вентиляции ЩОВ-2 Техэтаж этаж Пом. №3.001Т</v>
      </c>
      <c r="IO10" t="str">
        <f t="shared" si="116"/>
        <v>ЩОВ-2¦Щит вентиляции ЩОВ-2 Техэтаж этаж Пом. №3.001Т</v>
      </c>
      <c r="IP10" t="str" cm="1">
        <f t="array" ref="IP10">IF(IM10="","",_xlfn.LET(_xlpm.nd,_xlfn.TEXTSPLIT(IM10,"|"),IF(COLUMNS(_xlpm.nd)&gt;2,A10&amp;"¦"&amp;INDEX(_xlpm.nd,2)&amp;"¦"&amp;INDEX(_xlpm.nd,3),"")))</f>
        <v/>
      </c>
      <c r="IQ10" t="str">
        <f t="shared" si="117"/>
        <v/>
      </c>
      <c r="IR10" t="str" cm="1">
        <f t="array" ref="IR10">IF(IM10="","",_xlfn.LET(_xlpm.nd,_xlfn.TEXTSPLIT(IM10,"|"),IF(COLUMNS(_xlpm.nd)&gt;3,A10&amp;"¦"&amp;INDEX(_xlpm.nd,3)&amp;"¦"&amp;INDEX(_xlpm.nd,4),"")))</f>
        <v/>
      </c>
      <c r="IS10" t="str">
        <f t="shared" si="118"/>
        <v/>
      </c>
      <c r="IT10" t="str" cm="1">
        <f t="array" ref="IT10">IF(IM10="","",_xlfn.LET(_xlpm.nd,_xlfn.TEXTSPLIT(IM10,"|"),IF(COLUMNS(_xlpm.nd)&gt;4,A10&amp;"¦"&amp;INDEX(_xlpm.nd,4)&amp;"¦"&amp;INDEX(_xlpm.nd,5),"")))</f>
        <v/>
      </c>
      <c r="IU10" t="str">
        <f t="shared" si="119"/>
        <v/>
      </c>
      <c r="IV10" t="str" cm="1">
        <f t="array" ref="IV10">IF(IM10="","",_xlfn.LET(_xlpm.nd,_xlfn.TEXTSPLIT(IM10,"|"),IF(COLUMNS(_xlpm.nd)&gt;5,A10&amp;"¦"&amp;INDEX(_xlpm.nd,5)&amp;"¦"&amp;INDEX(_xlpm.nd,6),"")))</f>
        <v/>
      </c>
      <c r="IW10" t="str">
        <f t="shared" si="120"/>
        <v/>
      </c>
      <c r="IX10" t="str" cm="1">
        <f t="array" ref="IX10">IF(IM10="","",_xlfn.LET(_xlpm.nd,_xlfn.TEXTSPLIT(IM10,"|"),IF(COLUMNS(_xlpm.nd)&gt;6,A10&amp;"¦"&amp;INDEX(_xlpm.nd,6)&amp;"¦"&amp;INDEX(_xlpm.nd,7),"")))</f>
        <v/>
      </c>
      <c r="IY10" t="str">
        <f t="shared" si="121"/>
        <v/>
      </c>
      <c r="IZ10" t="str">
        <f t="shared" si="122"/>
        <v/>
      </c>
      <c r="JA10" t="str">
        <f t="shared" si="123"/>
        <v>QF6</v>
      </c>
      <c r="JB10">
        <f t="shared" si="124"/>
        <v>0</v>
      </c>
      <c r="JC10">
        <f t="shared" si="125"/>
        <v>0</v>
      </c>
      <c r="JD10" t="str">
        <f t="shared" si="126"/>
        <v/>
      </c>
      <c r="JE10" t="str">
        <f t="shared" si="127"/>
        <v/>
      </c>
      <c r="JF10" t="str">
        <f t="shared" si="128"/>
        <v/>
      </c>
      <c r="JG10" t="str">
        <f t="shared" si="129"/>
        <v/>
      </c>
      <c r="JH10" t="str">
        <f>IF(B10="","",IFERROR(_xlfn.XLOOKUP(B10,Коды_код,Коды_уго),IFERROR(_xlfn.XLOOKUP(BC10,Коды_код,Коды_уго),IFERROR(_xlfn.XLOOKUP(LEFT(BC10,2),Коды_код,Коды_уго),""))))</f>
        <v/>
      </c>
      <c r="JI10" t="str">
        <f>IF(B10="","",IF(OR(JH10="",JH10=0),"BOX",IFERROR(IF(VLOOKUP(JH10,УГО_блоки,3,FALSE)&amp;""&lt;&gt;"",VLOOKUP(JH10,УГО_блоки,3,FALSE),VLOOKUP(JH10,УГО_блоки,2,FALSE)),JH10)))</f>
        <v>BOX</v>
      </c>
      <c r="JJ10">
        <f t="shared" si="130"/>
        <v>1</v>
      </c>
      <c r="JK10">
        <f>IF(DQ10="","",IF(COUNTIF(DQ$3:DQ10,DQ10)=1,MAX(JK$2:JK9)+1,""))</f>
        <v>6</v>
      </c>
      <c r="JL10" t="str">
        <f>IF(DE10="","",IF(COUNTIF(DE$3:DE10,DE10)+COUNTIF(DF$2:DF9,DE10)+COUNTIF(DG$2:DG9,DE10)=1,MAX(JL$2:JN9)+1,""))</f>
        <v/>
      </c>
      <c r="JM10" t="str">
        <f>IF(DF10="","",IF(COUNTIF(DE$3:DE10,DF10)+COUNTIF(DF$3:DF10,DF10)+COUNTIF(DG$2:DG9,DF10)=1,MAX(JL$2:JN9,JL10)+1,""))</f>
        <v/>
      </c>
      <c r="JN10" t="str">
        <f>IF(DG10="","",IF(COUNTIF(DE$3:DE10,DG10)+COUNTIF(DF$3:DF10,DG10)+COUNTIF(DG$3:DG10,DG10)=1,MAX(JL$2:JN9,JL10,JM10)+1,""))</f>
        <v/>
      </c>
      <c r="JO10" t="str">
        <f t="shared" si="131"/>
        <v>5х4</v>
      </c>
      <c r="JP10" t="str">
        <f>IF(JO10="","",IF(COUNTIF(JO$3:JO10,JO10)=1,MAX(JP$2:JP9)+1,""))</f>
        <v/>
      </c>
      <c r="JQ10" t="str">
        <f>IF(HG10="","",COUNTIF(HG$3:HG10,"?*"))</f>
        <v/>
      </c>
      <c r="JR10" t="str">
        <f>IF(OR(HG10="",HI10=""),"",IF(COUNTIFS(HG$3:HG10,"?*",HI$3:HI10,HI10)=1,MAX(JR$2:JR9)+1,""))</f>
        <v/>
      </c>
      <c r="JS10">
        <f t="shared" si="132"/>
        <v>0</v>
      </c>
      <c r="JT10">
        <f>IF(B10="","",COUNTIF(B$3:B10,"?*"))</f>
        <v>8</v>
      </c>
      <c r="JU10">
        <f>IF(HL10&lt;&gt;1,0,_xlfn.LET(_xlpm.k,MAX(IFERROR(--_xlfn.XLOOKUP(B10,Коды_код,Коды_3L),0),IFERROR(--_xlfn.XLOOKUP(BC10,Коды_код,Коды_3L),0),IFERROR(--_xlfn.XLOOKUP(LEFT(BC10,2),Коды_код,Коды_3L),0)),IF(_xlpm.k&gt;0,_xlpm.k,IF(IFERROR(--LEFT(SUBSTITUTE(JO10,"x","х"),FIND("х",SUBSTITUTE(JO10,"x","х"))-1),3)&gt;3,Каталог!$S$9,1))))</f>
        <v>1</v>
      </c>
      <c r="JV10">
        <f t="shared" si="133"/>
        <v>2</v>
      </c>
      <c r="JW10" t="str">
        <f t="shared" si="134"/>
        <v>авто</v>
      </c>
      <c r="JX10" t="str">
        <f t="shared" si="135"/>
        <v/>
      </c>
      <c r="JY10">
        <f t="shared" si="136"/>
        <v>0</v>
      </c>
      <c r="JZ10">
        <f t="shared" si="137"/>
        <v>1</v>
      </c>
    </row>
    <row r="11" spans="1:286" x14ac:dyDescent="0.3">
      <c r="A11" t="s">
        <v>783</v>
      </c>
      <c r="B11" t="s">
        <v>773</v>
      </c>
      <c r="C11" t="s">
        <v>772</v>
      </c>
      <c r="D11">
        <v>1</v>
      </c>
      <c r="E11" t="str">
        <f>Линии[[#This Row],[_авто Р]]</f>
        <v/>
      </c>
      <c r="G11" t="str">
        <f>Линии[[#This Row],[_авто автомат]]</f>
        <v>3P С6А</v>
      </c>
      <c r="H11" t="str">
        <f>Линии[[#This Row],[_авто управление]]</f>
        <v/>
      </c>
      <c r="I11" t="str">
        <f>Линии[[#This Row],[_авто аппараты]]</f>
        <v/>
      </c>
      <c r="J11" t="str">
        <f>Линии[[#This Row],[_авто сечение]]</f>
        <v/>
      </c>
      <c r="K11">
        <v>52</v>
      </c>
      <c r="L11" t="str">
        <f>Линии[[#This Row],[_авто фаза]]</f>
        <v>L1,L2,L3</v>
      </c>
      <c r="M11" t="s">
        <v>484</v>
      </c>
      <c r="N11" t="str">
        <f t="shared" si="0"/>
        <v>нет мощности</v>
      </c>
      <c r="O11" s="6" cm="1">
        <f t="array" ref="O11">IF(B11="","",IF(BH11&lt;&gt;"",IFERROR(_xlfn.XLOOKUP(BH11,Щиты[Щит],Щиты[Iр, А]),""),IF(BP11=1,IF(OR(N(_xlfn.XLOOKUP(A11,Щиты[Щит],Щиты[Вводов],1))&lt;=1,LOWER(TRIM(_xlfn.XLOOKUP(A11,Щиты[Щит],Щиты[АВР],"")&amp;""))="да"),IFERROR(_xlfn.XLOOKUP(A11,Щиты[Щит],Щиты[Iр, А]),""),IFERROR(N(BS11)*_xlfn.XLOOKUP(A11,Щиты[Щит],Щиты[Кс итог])/(SQRT(3)*Uн_лин*_xlfn.XLOOKUP(A11,Щиты[Щит],Щиты[cos φ])),"")),IF(BV11=1,IFERROR(BS11*1000/BU11,""),IFERROR(_xlfn.IFS(BX11=1,BS11/((Uн_лин/SQRT(3))*CE11),BX11=3,BS11/(SQRT(3)*Uн_лин*CE11)),"")))))</f>
        <v>0</v>
      </c>
      <c r="P11" s="7">
        <f>IF(B11="","",IFERROR(IF(VLOOKUP(BC11,Потребители_обозначение,4,FALSE)=1,VLOOKUP(BC11,Потребители_обозначение,3,FALSE)*(MAX(1,N(D11))*2-1)+EI11+VLOOKUP(BE11,Этаж_обозначение,3,FALSE)+VLOOKUP(BE11,Этаж_обозначение,4,FALSE),VLOOKUP(BC11,Потребители_обозначение,3,FALSE)*(MAX(1,N(D11))*2-1)+EI11),EI11))</f>
        <v>52</v>
      </c>
      <c r="Q11" s="6" t="str">
        <f t="shared" si="1"/>
        <v/>
      </c>
      <c r="R11" t="str">
        <f t="shared" si="2"/>
        <v/>
      </c>
      <c r="S11" t="str">
        <f>IF(BM11="","",IF(BN11="вводной узел","узел ","")&amp;"л."&amp;(INT((BM11-1)/Столбцов_на_лист)+1)&amp;" / "&amp;(MOD(BM11-1,Столбцов_на_лист)+1))</f>
        <v>л.2 / 6</v>
      </c>
      <c r="T11" s="119">
        <f t="shared" si="3"/>
        <v>0.5</v>
      </c>
      <c r="U11" s="7" t="str">
        <f>IF(OR(CG11=0,N(BV11)+N(IB11)=0),"",ROUNDUP(Запас_БП*(N(HY11)+N(HZ11)),0))</f>
        <v/>
      </c>
      <c r="V11" s="119" t="str">
        <f t="shared" si="4"/>
        <v/>
      </c>
      <c r="W11" s="7" t="str">
        <f>IFERROR(IF(OR(B11="",BP11=1,BV11=1,NOT(ISNUMBER(EN11)),N(DT11)=0),"",MAX(0,ROUNDDOWN((c_min*(Uн_лин*1000/SQRT(3))/(HT11*N(DT11))-_xlfn.XLOOKUP(A11,Щиты[Щит],Щиты[Zпетли на шинах, Ом]))*EN11/(2*ρкз_Cu),0))),"")</f>
        <v/>
      </c>
      <c r="Y11" t="str">
        <f>Линии[[#This Row],[_авто утечка]]</f>
        <v/>
      </c>
      <c r="Z11">
        <v>3</v>
      </c>
      <c r="AA11">
        <v>400</v>
      </c>
      <c r="AB11" t="s">
        <v>562</v>
      </c>
      <c r="AE11">
        <v>2</v>
      </c>
      <c r="AG11" t="s">
        <v>810</v>
      </c>
      <c r="AI11" t="s">
        <v>617</v>
      </c>
      <c r="AK11" t="str">
        <f>Линии[[#This Row],[_авто модуль]]</f>
        <v/>
      </c>
      <c r="AM11">
        <v>23</v>
      </c>
      <c r="AN11" t="str">
        <f>Линии[[#This Row],[_авто марка]]</f>
        <v/>
      </c>
      <c r="AO11" t="str">
        <f>Линии[[#This Row],[_авто жил]]</f>
        <v/>
      </c>
      <c r="AQ11">
        <v>39</v>
      </c>
      <c r="AR11">
        <v>8</v>
      </c>
      <c r="AS11">
        <v>0</v>
      </c>
      <c r="BA11" cm="1">
        <f t="array" ref="BA11">ROW()-ROW(Линии[#Headers])</f>
        <v>9</v>
      </c>
      <c r="BC11" s="6" t="str">
        <f t="shared" si="5"/>
        <v>ЩО-2</v>
      </c>
      <c r="BD11" t="str">
        <f t="shared" si="6"/>
        <v/>
      </c>
      <c r="BE11" t="str">
        <f t="shared" si="7"/>
        <v/>
      </c>
      <c r="BF11" t="str">
        <f t="shared" si="8"/>
        <v/>
      </c>
      <c r="BG11" t="str">
        <f t="shared" si="9"/>
        <v/>
      </c>
      <c r="BH11" t="str">
        <f>IF(X11&lt;&gt;"",X11,IF(AND(B11&lt;&gt;"",B11&lt;&gt;A11,ISNUMBER(_xlfn.XMATCH(B11,Щиты[Щит]))),B11,""))</f>
        <v/>
      </c>
      <c r="BI11" t="str" cm="1">
        <f t="array" ref="BI11">IF(B11="","",IF(BH11&lt;&gt;"","Щит "&amp;BH11,_xlfn.LET(_xlpm.nm,IFERROR(_xlfn.XLOOKUP(BC11,Коды_код,Коды_имя)&amp;"",""),_xlpm.md,IFERROR(N(_xlfn.XLOOKUP(BC11,Коды_код,Коды_режим)),1),_xlpm.ex,IF(Имя_режим="по экспликации",IFERROR(_xlfn.XLOOKUP(BE11&amp;"|"&amp;BG11,Экспликация[Этаж]&amp;"|"&amp;Экспликация[Помещение],Экспликация[Название])&amp;"",""),""),_xlpm.rm,IF(BG11="","",IF(_xlpm.ex&lt;&gt;"",". "&amp;_xlpm.ex&amp;IF(Имя_пом="нет"," ("&amp;BG11&amp;")"," (пом. "&amp;BG11&amp;")"),IF(Имя_пом="нет"," ",", пом. ")&amp;BG11)),IF(_xlpm.nm="","",IF(_xlpm.md=2,_xlpm.nm&amp;" шлейф "&amp;BE11,_xlpm.nm&amp;_xlpm.rm)))))</f>
        <v/>
      </c>
      <c r="BJ11" t="str">
        <f t="shared" si="10"/>
        <v>Щит освещения ЩО-2 Тех. этаж этаж Пом. №3.001</v>
      </c>
      <c r="BK11">
        <f>IFERROR(_xlfn.XMATCH(A11,Щиты[Щит]),0)</f>
        <v>1</v>
      </c>
      <c r="BL11">
        <f>_xlfn.LET(_xlpm.k,IFERROR(_xlfn.XLOOKUP(A11,Щиты[Щит],Щиты[Мест под вводной узел]),""),IF(_xlpm.k="",Столбцов_на_лист,N(_xlpm.k)))</f>
        <v>6</v>
      </c>
      <c r="BM11">
        <f t="shared" si="11"/>
        <v>23</v>
      </c>
      <c r="BN11" t="str">
        <f t="shared" si="12"/>
        <v>линии</v>
      </c>
      <c r="BO11" s="6">
        <f>IFERROR(N(_xlfn.XLOOKUP(BC11,Коды_код,Коды_квт)),0)</f>
        <v>0</v>
      </c>
      <c r="BP11">
        <f t="shared" si="13"/>
        <v>0</v>
      </c>
      <c r="BQ11" t="str">
        <f>IF(B11="","",IF(BH11&lt;&gt;"",IFERROR(_xlfn.XLOOKUP(BH11,Щиты[Щит],Щиты[Руст, кВт]),0),IF(BP11=1,IF(OR(N(_xlfn.XLOOKUP(A11,Щиты[Щит],Щиты[Вводов],1))&lt;=1,LOWER(TRIM(_xlfn.XLOOKUP(A11,Щиты[Щит],Щиты[АВР],"")&amp;""))="да"),IFERROR(_xlfn.XLOOKUP(A11,Щиты[Щит],Щиты[Руст, кВт]),0),SUMIFS(Линии[_Р для вводов],Линии[Щит],A11,Линии[Источник для режимов],GF11)),IF(BO11&gt;0,ROUND(BO11*MAX(1,N(D11)),3),""))))</f>
        <v/>
      </c>
      <c r="BR11" t="str">
        <f t="shared" si="14"/>
        <v/>
      </c>
      <c r="BS11" s="6">
        <f>IF(B11="","",IF(BH11&lt;&gt;"",IFERROR(_xlfn.XLOOKUP(BH11,Щиты[Щит],Щиты[Руст, кВт]),0),N(BR11)))</f>
        <v>0</v>
      </c>
      <c r="BT11" t="str">
        <f>IF(B11="","",IFERROR(IF(VLOOKUP(BC11,Потребители_обозначение,8,FALSE)=0,"",VLOOKUP(BC11,Потребители_обозначение,8,FALSE)),""))</f>
        <v/>
      </c>
      <c r="BU11">
        <f t="shared" si="15"/>
        <v>400</v>
      </c>
      <c r="BV11">
        <f t="shared" si="16"/>
        <v>0</v>
      </c>
      <c r="BW11">
        <f>IF(B11="","",IF(BH11&lt;&gt;"",3,IFERROR(IF(N(VLOOKUP(BC11,Потребители_обозначение,9,FALSE))=0,1,VLOOKUP(BC11,Потребители_обозначение,9,FALSE)),1)))</f>
        <v>1</v>
      </c>
      <c r="BX11">
        <f t="shared" si="17"/>
        <v>3</v>
      </c>
      <c r="BY11" t="str">
        <f>IF(B11="","",_xlfn.LET(_xlpm.bc,IFERROR(IF(VLOOKUP(BC11,Потребители_обозначение,6,FALSE)=0,"",VLOOKUP(BC11,Потребители_обозначение,6,FALSE)&amp;""),""),IF(AND(GA11="да",OR(_xlpm.bc="",_xlpm.bc="мс")),Марка_пож,IF(AND(_xlpm.bc="",BH11&lt;&gt;""),"мс",_xlpm.bc))))</f>
        <v/>
      </c>
      <c r="BZ11" t="str">
        <f t="shared" si="18"/>
        <v/>
      </c>
      <c r="CA11" t="str">
        <f>IF(B11="","",_xlfn.LET(_xlpm.cc,IFERROR(N(VLOOKUP(BC11,Потребители_обозначение,7,FALSE)),0),IF(_xlpm.cc&gt;0,_xlpm.cc,IF(BZ11="","",IF(BV11=1,2,IF(N(BX11)=3,5,3))))))</f>
        <v/>
      </c>
      <c r="CB11" t="str">
        <f t="shared" si="19"/>
        <v/>
      </c>
      <c r="CC11">
        <f>IFERROR(N(VLOOKUP(BC11,Потребители_обозначение,10,FALSE)),0)</f>
        <v>0</v>
      </c>
      <c r="CD11">
        <f>IFERROR(VLOOKUP(BC11,Потребители_обозначение,5,FALSE),0)</f>
        <v>0</v>
      </c>
      <c r="CE11" s="6" cm="1">
        <f t="array" ref="CE11">IF(B11="","",IF(BH11&lt;&gt;"",IFERROR(_xlfn.XLOOKUP(BH11,Щиты[Щит],Щиты[cos φ]),0.95),IF(BP11=1,IFERROR(_xlfn.XLOOKUP(A11,Щиты[Щит],Щиты[cos φ]),0.95),IF(ISNUMBER(AD11),AD11,IFERROR(IF(CD11=2,_xlfn.IFS(BX11=3,VLOOKUP(BS11,Справочная_двигатели,8,FALSE),BX11=1,VLOOKUP(BS11,Справочная_двигатели,10,TRUE)),IF(AND(Методика="нормы 2026",FG11="Сил"),0.8,0.95)),0.95)))))</f>
        <v>0.95</v>
      </c>
      <c r="CF11">
        <f t="shared" si="20"/>
        <v>0</v>
      </c>
      <c r="CG11">
        <f t="shared" si="21"/>
        <v>1</v>
      </c>
      <c r="CH11">
        <f t="shared" si="22"/>
        <v>0</v>
      </c>
      <c r="CI11">
        <f>IF(B11="","",IF(BV11=1,IFERROR(BS11/((Uн_лин/SQRT(3))*MAX(0.5,N(CE11))),0),N(O11)))</f>
        <v>0</v>
      </c>
      <c r="CJ11">
        <f t="shared" si="23"/>
        <v>0</v>
      </c>
      <c r="CK11">
        <f t="shared" si="24"/>
        <v>0</v>
      </c>
      <c r="CL11">
        <f t="shared" si="25"/>
        <v>0</v>
      </c>
      <c r="CM11">
        <f t="shared" si="26"/>
        <v>0</v>
      </c>
      <c r="CN11">
        <f t="shared" si="27"/>
        <v>0</v>
      </c>
      <c r="CO11">
        <f>IF(BC11="",0,_xlfn.LET(_xlpm.v,IFERROR(_xlfn.XLOOKUP(B11,Коды_код,Коды_мА),IFERROR(_xlfn.XLOOKUP(BC11,Коды_код,Коды_мА),IFERROR(_xlfn.XLOOKUP(LEFT(BC11,2),Коды_код,Коды_мА),""))),IF(_xlpm.v="да",30,IF(ISNUMBER(_xlpm.v),_xlpm.v,0))))</f>
        <v>0</v>
      </c>
      <c r="CP11" t="str">
        <f t="shared" si="28"/>
        <v/>
      </c>
      <c r="CQ11" t="str">
        <f>_xlfn.LET(_xlpm.k,IFERROR(_xlfn.XLOOKUP(BC11,Коды_код,Коды_утечка)&amp;"",""),IF(_xlpm.k="","дифавтомат",_xlpm.k))</f>
        <v>дифавтомат</v>
      </c>
      <c r="CR11" t="str" cm="1">
        <f t="array" ref="CR11">IF(CG11=0,"",_xlfn.LET(_xlpm.sg,TRIM(_xlfn.TEXTSPLIT(DD11&amp;"",";")),_xlpm.f_,_xlfn._xlws.FILTER(_xlpm.sg,LEFT(_xlpm.sg,3)="УЗО",""),IFERROR(INDEX(_xlpm.f_,1)&amp;"","")))</f>
        <v/>
      </c>
      <c r="CS11" t="str">
        <f t="shared" si="29"/>
        <v/>
      </c>
      <c r="CT11" s="6" t="str" cm="1">
        <f t="array" ref="CT11">IF(CR11="","",_xlfn.LET(_xlpm.tk,_xlfn.TEXTSPLIT(UPPER(CR11)," ",,TRUE),_xlpm.a_,_xlfn._xlws.FILTER(_xlpm.tk,ISNUMBER(--LEFT(_xlpm.tk,1))*((ISNUMBER(SEARCH("А",_xlpm.tk))+ISNUMBER(SEARCH("A",_xlpm.tk)))&gt;0)*NOT(ISNUMBER(SEARCH("МА",_xlpm.tk)))*NOT(ISNUMBER(SEARCH("MA",_xlpm.tk))),""),IFERROR(--SUBSTITUTE(SUBSTITUTE(INDEX(_xlpm.a_,1),"А",""),"A",""),"")))</f>
        <v/>
      </c>
      <c r="CU11" t="str" cm="1">
        <f t="array" ref="CU11">IF(CR11="","",_xlfn.LET(_xlpm.tk,_xlfn.TEXTSPLIT(UPPER(CR11)," ",,TRUE),_xlpm.a_,_xlfn._xlws.FILTER(_xlpm.tk,ISNUMBER(--LEFT(_xlpm.tk,1))*((ISNUMBER(SEARCH("МА",_xlpm.tk))+ISNUMBER(SEARCH("MA",_xlpm.tk)))&gt;0),""),IFERROR(--SUBSTITUTE(SUBSTITUTE(INDEX(_xlpm.a_,1),"МА",""),"MA",""),30)))</f>
        <v/>
      </c>
      <c r="CV11" t="str">
        <f>IF(CS11="","",IFERROR(_xlfn.XLOOKUP(CS11,Линии[_n],Линии[_УЗО, мА]),30))</f>
        <v/>
      </c>
      <c r="CW11">
        <f>IF(CS11="",0,IF(ISNUMBER(SEARCH("4P",IFERROR(_xlfn.XLOOKUP(CS11,Линии[_n],Линии[_УЗО строки])&amp;"",""))),0,1))</f>
        <v>0</v>
      </c>
      <c r="CX11" t="str">
        <f>IF(AND(CS11&lt;&gt;"",CS11=BA11),SUMIFS(Линии[_ток на 230 В],Линии[_блок УЗО],BA11,Линии[Щит],A11),"")</f>
        <v/>
      </c>
      <c r="CY11" t="str">
        <f>IF(AND(CS11&lt;&gt;"",CS11=BA11),SUMIFS(Линии[_ток утечки линии, мА],Линии[_блок УЗО],BA11,Линии[Щит],A11),"")</f>
        <v/>
      </c>
      <c r="CZ11">
        <f t="shared" si="30"/>
        <v>0</v>
      </c>
      <c r="DA11">
        <f t="shared" si="31"/>
        <v>0</v>
      </c>
      <c r="DB11">
        <f>IF(B11="",0,IFERROR(--_xlfn.XLOOKUP(B11,Коды_код,Коды_минавт),IFERROR(--_xlfn.XLOOKUP(BC11,Коды_код,Коды_минавт),IFERROR(--_xlfn.XLOOKUP(LEFT(BC11,2),Коды_код,Коды_минавт),0))))</f>
        <v>0</v>
      </c>
      <c r="DC11" t="str">
        <f>IF(B11="","",IFERROR(_xlfn.XLOOKUP(BC11,Коды_код,Коды_апп)&amp;"",""))</f>
        <v/>
      </c>
      <c r="DD11" t="str">
        <f t="shared" si="32"/>
        <v/>
      </c>
      <c r="DE11" t="str" cm="1">
        <f t="array" ref="DE11">IF(TRIM(DD11&amp;"")="","",IFERROR(TRIM(INDEX(_xlfn.TEXTSPLIT(DD11&amp;";;;",";"),1)),""))</f>
        <v/>
      </c>
      <c r="DF11" t="str" cm="1">
        <f t="array" ref="DF11">IF(TRIM(DD11&amp;"")="","",IFERROR(TRIM(INDEX(_xlfn.TEXTSPLIT(DD11&amp;";;;",";"),2)),""))</f>
        <v/>
      </c>
      <c r="DG11" t="str" cm="1">
        <f t="array" ref="DG11">IF(TRIM(DD11&amp;"")="","",IFERROR(TRIM(INDEX(_xlfn.TEXTSPLIT(DD11&amp;";;;",";"),3)),""))</f>
        <v/>
      </c>
      <c r="DH11">
        <f t="shared" si="33"/>
        <v>0</v>
      </c>
      <c r="DI11" t="str">
        <f>IF(B11="","",_xlfn.LET(_xlpm.t,LOWER(AZ11&amp;""),IF(ISNUMBER(SEARCH("dim",_xlpm.t)),"DIM",IF(ISNUMBER(SEARCH("dali",_xlpm.t)),"DALI",IF(OR(ISNUMBER(SEARCH("relay",_xlpm.t)),ISNUMBER(SEARCH("реле",_xlpm.t))),"Relay",IF(ISNUMBER(SEARCH("кнопк",_xlpm.t)),"",IFERROR(_xlfn.XLOOKUP(BC11,Коды_код,Коды_упр)&amp;"","")))))))</f>
        <v/>
      </c>
      <c r="DJ11" t="str">
        <f t="shared" si="34"/>
        <v/>
      </c>
      <c r="DK11">
        <f>IF(B11="","",_xlfn.LET(_xlpm.ig,IF(N(CX11)&gt;0,N(CX11),N(CI11)+IF(AJ11="вручную",0,N(CJ11))),_xlpm.n0,IFERROR(VLOOKUP(_xlpm.ig,Автомат_номиналы,2,TRUE),0),_xlpm.mn,MAX(DB11,IF(AJ11="вручную",0,N(CM11))),MAX(_xlpm.n0,_xlpm.mn,IF(DH11=1,Мин_автомат_БП,0))))</f>
        <v>6</v>
      </c>
      <c r="DL11">
        <f t="shared" si="35"/>
        <v>3</v>
      </c>
      <c r="DM11" t="str">
        <f t="shared" si="36"/>
        <v>3P</v>
      </c>
      <c r="DN11" t="str">
        <f>_xlfn.LET(_xlpm.cc,UPPER(TRIM(IFERROR(_xlfn.XLOOKUP(BC11,Коды_код,Коды_хар)&amp;"",""))),IF(OR(_xlpm.cc="B",_xlpm.cc="В"),"B",IF(_xlpm.cc="D","D","С")))</f>
        <v>С</v>
      </c>
      <c r="DO11" t="str">
        <f t="shared" si="37"/>
        <v>3P С6А</v>
      </c>
      <c r="DP11" t="str">
        <f t="shared" si="38"/>
        <v>3P С6А</v>
      </c>
      <c r="DQ11" t="str">
        <f t="shared" si="39"/>
        <v>3P С6А</v>
      </c>
      <c r="DR11" cm="1">
        <f t="array" ref="DR11">IF(DQ11="","",_xlfn.LET(_xlpm.t,SUBSTITUTE(SUBSTITUTE(SUBSTITUTE(UPPER(DQ11),"С","C"),"А","A"),"В","B"),_xlpm.tk,_xlfn.TEXTSPLIT(_xlpm.t," "),_xlpm.f,_xlfn._xlws.FILTER(_xlpm.tk,ISNUMBER(--MID(_xlpm.tk,2,1))*ISNUMBER(SEARCH(LEFT(_xlpm.tk,1)&amp;"#","B#C#D#"))*(LEN(_xlpm.tk)&gt;1),""),_xlpm.x,INDEX(_xlpm.f,1),IFERROR(--SUBSTITUTE(MID(_xlpm.x,2,9),"A",""),IFERROR(--SUBSTITUTE(INDEX(_xlfn._xlws.FILTER(_xlpm.tk,ISNUMBER(--SUBSTITUTE(_xlpm.tk,"A","")),""),1),"A",""),""))))</f>
        <v>6</v>
      </c>
      <c r="DS11" t="str">
        <f t="shared" si="40"/>
        <v>ok</v>
      </c>
      <c r="DT11">
        <f t="shared" si="41"/>
        <v>6</v>
      </c>
      <c r="DU11" t="str">
        <f t="shared" si="42"/>
        <v>3P С6А</v>
      </c>
      <c r="DV11">
        <f t="shared" si="43"/>
        <v>0</v>
      </c>
      <c r="DW11">
        <f t="shared" si="44"/>
        <v>0</v>
      </c>
      <c r="DX11">
        <f t="shared" si="45"/>
        <v>0</v>
      </c>
      <c r="DY11">
        <f t="shared" si="46"/>
        <v>0</v>
      </c>
      <c r="DZ11">
        <f t="shared" si="47"/>
        <v>1</v>
      </c>
      <c r="EA11">
        <f>IF(ISNUMBER(AP11),AP11,К_прокл)</f>
        <v>1</v>
      </c>
      <c r="EB11">
        <f t="shared" si="48"/>
        <v>3</v>
      </c>
      <c r="EC11">
        <f>IFERROR(N(VLOOKUP(BZ11,Кабель_обозначение,3,FALSE)),1)</f>
        <v>1</v>
      </c>
      <c r="ED11">
        <f>IFERROR(N(_xlfn.XLOOKUP(A11,Щиты[Щит],Щиты[ΔU до шин, %])),0)</f>
        <v>0</v>
      </c>
      <c r="EE11" t="str">
        <f>IFERROR(_xlfn.XLOOKUP(A11,Щиты[Щит],Щиты[Zпетли на шинах, Ом]),"")</f>
        <v/>
      </c>
      <c r="EF11">
        <f>IFERROR(N(_xlfn.XLOOKUP(A11,Щиты[Щит],Щиты[ΔU до шин (подбор), %])),0)</f>
        <v>0</v>
      </c>
      <c r="EG11" t="str">
        <f>IFERROR(_xlfn.XLOOKUP(A11,Щиты[Щит],Щиты[Zпетли на шинах (подбор), Ом]),"")</f>
        <v/>
      </c>
      <c r="EH11" t="str">
        <f t="shared" si="49"/>
        <v/>
      </c>
      <c r="EI11">
        <f t="shared" si="50"/>
        <v>52</v>
      </c>
      <c r="EJ11">
        <f t="shared" si="51"/>
        <v>1</v>
      </c>
      <c r="EK11">
        <f t="shared" si="52"/>
        <v>0.31</v>
      </c>
      <c r="EL11" s="6">
        <f>IF(B11="","",IF(BV11=1,dU_LED,IF(IFERROR(_xlfn.XLOOKUP(BC11,Коды_код,Коды_уго),"")="Светильник",3,4)+IF(Методика="нормы 2026",MIN(0.5,MAX(0,N(P11)-100)*0.005),0)))</f>
        <v>4</v>
      </c>
      <c r="EM11" t="str" cm="1">
        <f t="array" ref="EM11">IF(OR(B11="",BZ11="",EC11&lt;&gt;1),"",_xlfn.LET(_xlpm.sz,Iдоп_S,_xlpm.t_,CHOOSE(EB11,Iдоп_1ж,Iдоп_2ж,Iдоп_3ж)*DZ11*EA11,_xlpm.dcx,BV11=1,_xlpm.inn,IF(_xlpm.dcx,N(O11),N(DT11)),_xlpm.smin,MAX(1.5,CC11),_xlpm.L_,N(P11)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11)/N(BU11)*100,999),IFERROR(N(EJ11)*(_xlpm.rho*_xlpm.L_/_xlpm.sz*N(CE11)+_xlpm.xx*_xlpm.L_*N(EK11)/1000)*N(O11)/((Uн_лин/SQRT(3))*1000)*100,999)),_xlpm.kz,IF(OR(_xlpm.dcx,DW11=1,NOT(ISNUMBER(EG11)),_xlpm.L_=0,_xlpm.inn=0),1,IFERROR(--(c_min*(Uн_лин*1000/SQRT(3))/(EG11+2*ρкз_Cu*_xlpm.L_/_xlpm.sz)&gt;=HT11*_xlpm.inn),0)),_xlpm.ok,IFERROR((_xlpm.sz&gt;=_xlpm.smin)*(_xlpm.t_&gt;=_xlpm.inn)*IF(_xlpm.L_&gt;0,(_xlpm.du_+IF(_xlpm.dcx,0,EF11)&lt;=EL11+0.00001),1)*_xlpm.kz,0),_xlpm.r_,_xlfn._xlws.FILTER(_xlpm.sz,_xlpm.ok,"не подобрано"),INDEX(_xlpm.r_,1)))</f>
        <v/>
      </c>
      <c r="EN11" t="str">
        <f t="shared" si="53"/>
        <v/>
      </c>
      <c r="EO11" t="str" cm="1">
        <f t="array" ref="EO11">IF(OR(B11="",BZ11="",EC11&lt;&gt;1),"",_xlfn.LET(_xlpm.sz,Iдоп_S,_xlpm.t_,CHOOSE(EB11,Iдоп_1ж,Iдоп_2ж,Iдоп_3ж)*DZ11*EA11,_xlpm.ok,IFERROR((_xlpm.sz&gt;=MAX(1.5,CC11))*(_xlpm.t_&gt;=N(DT11)),0),_xlpm.r_,_xlfn._xlws.FILTER(_xlpm.sz,_xlpm.ok,""),INDEX(_xlpm.r_,1)))</f>
        <v/>
      </c>
      <c r="EP11" s="6" t="str" cm="1">
        <f t="array" ref="EP11">IFERROR(ROUNDUP(N(EJ11)*(_xlfn.XLOOKUP(EO11,INDEX(Кабель_сопротивление,0,1),INDEX(Кабель_сопротивление,0,3))*N(P11)/EO11*N(CE11)+_xlfn.XLOOKUP(EO11,INDEX(Кабель_сопротивление,0,1),INDEX(Кабель_сопротивление,0,2))*N(P11)*N(EK11)/1000)*N(O11)/((Uн_лин/SQRT(3))*1000)*100,2),"")</f>
        <v/>
      </c>
      <c r="EQ11" t="str">
        <f>IFERROR(2*ρкз_Cu*N(P11)/EO11,"")</f>
        <v/>
      </c>
      <c r="ER11" t="str">
        <f>IFERROR(VLOOKUP(EN11,Кабель_сопротивление,3,FALSE),"")</f>
        <v/>
      </c>
      <c r="ES11" t="str">
        <f>IFERROR(VLOOKUP(EN11,Кабель_сопротивление,2,FALSE),"")</f>
        <v/>
      </c>
      <c r="ET11">
        <f t="shared" si="54"/>
        <v>8</v>
      </c>
      <c r="EU11">
        <f t="shared" si="55"/>
        <v>0</v>
      </c>
      <c r="EV11" t="str">
        <f t="shared" si="56"/>
        <v/>
      </c>
      <c r="EW11" s="6" t="str">
        <f>IFERROR(ROUNDUP(EV11/IF(BV11=1,BU11,(Uн_лин/SQRT(3))*1000)*100,2),"")</f>
        <v/>
      </c>
      <c r="EX11" t="str">
        <f>IFERROR(VLOOKUP(BZ11,Кабель_обозначение,2,FALSE),"")</f>
        <v/>
      </c>
      <c r="EY11" t="str">
        <f t="shared" si="57"/>
        <v/>
      </c>
      <c r="EZ11" t="str">
        <f t="shared" si="58"/>
        <v/>
      </c>
      <c r="FA11" t="str">
        <f>IFERROR(2*ρкз_Cu*P11/EN11,"")</f>
        <v/>
      </c>
      <c r="FB11" t="str">
        <f t="shared" si="59"/>
        <v/>
      </c>
      <c r="FC11" s="6" t="str">
        <f>IFERROR(IF(OR(B11="",BV11=1,NOT(ISNUMBER(EN11)),N(P11)=0),"",_xlfn.XLOOKUP(A11,Щиты[Щит],Щиты[Zпетли на шинах, Ом])+FA11),"")</f>
        <v/>
      </c>
      <c r="FD11" s="6" t="str">
        <f>IF(ISNUMBER(FC11),c_min*(Uн_лин*1000/SQRT(3))/FC11,"")</f>
        <v/>
      </c>
      <c r="FE11" s="6" t="str">
        <f>IFERROR(IF(OR(B11="",NOT(ISNUMBER(EN11))),"",1.05*(Uн_лин*1000/SQRT(3))/(_xlfn.XLOOKUP(A11,Щиты[Щит],Щиты[Zmax на шинах, Ом])+FB11)/1000),"")</f>
        <v/>
      </c>
      <c r="FF11" s="6" t="str">
        <f>IF(B11="","",IF(ISNUMBER(AC11),"Сил",IF(IFERROR(_xlfn.XLOOKUP(BC11,Коды_код,Коды_группа)&amp;"","")="","Быт",_xlfn.XLOOKUP(BC11,Коды_код,Коды_группа)&amp;"")))</f>
        <v>Быт</v>
      </c>
      <c r="FG11" s="6" t="str">
        <f t="shared" si="60"/>
        <v>Быт</v>
      </c>
      <c r="FH11" s="6">
        <f>IF(FG11="Щит","щит",IF(FG11="","",IF(FG11="Быт",IFERROR(_xlfn.XLOOKUP(A11,Щиты[Щит],Щиты[Кс быт]),1),IF(FG11="Сил",IF(ISNUMBER(AC11),AC11,IF(Методика="нормы 2026",IFERROR(_xlfn.XLOOKUP(A11,Щиты[Щит],Щиты[Кс силовых (табл. 7.5)]),1),1)),IF(OR(FG11="Пост",FG11="Отоп"),1,IF(FG11="ВНГ",0.7,0))))))</f>
        <v>0.47591999999999995</v>
      </c>
      <c r="FI11">
        <f>IF(FG11="","",IF(AND(BP11=1,TRIM(AE11&amp;"")=""),IF(COUNTIFS(Линии[Щит],A11,Линии[Секция (1/2/3)],"&gt;=2")&gt;0,MIN(3,MAX(1,IFERROR(--BD11,1))),1),IFERROR(MIN(3,MAX(1,INT(--AE11))),1)))</f>
        <v>2</v>
      </c>
      <c r="FJ11">
        <f t="shared" si="61"/>
        <v>0</v>
      </c>
      <c r="FK11">
        <f t="shared" si="62"/>
        <v>0</v>
      </c>
      <c r="FL11">
        <f t="shared" si="63"/>
        <v>0</v>
      </c>
      <c r="FM11">
        <f t="shared" si="64"/>
        <v>0</v>
      </c>
      <c r="FN11">
        <f t="shared" si="65"/>
        <v>0</v>
      </c>
      <c r="FO11">
        <f t="shared" si="66"/>
        <v>0</v>
      </c>
      <c r="FP11">
        <f t="shared" si="67"/>
        <v>0</v>
      </c>
      <c r="FQ11">
        <f t="shared" si="68"/>
        <v>0</v>
      </c>
      <c r="FR11">
        <f t="shared" si="69"/>
        <v>0</v>
      </c>
      <c r="FS11">
        <f>IF(CG11=1,IF(AND(CH11=1,CW11=1),0,IF(AND(CS11&lt;&gt;"",CS11=BA11,CW11=1),SUMIFS(Линии[_Р линии, кВт],Линии[_блок УЗО],BA11,Линии[Щит],A11),N(BS11)+IF(AJ11="вручную",0,N(CK11)))),0)</f>
        <v>0</v>
      </c>
      <c r="FT11" t="str">
        <f t="shared" si="70"/>
        <v/>
      </c>
      <c r="FU11" t="str">
        <f>IF(B11="","",IF(CG11=0,IF(BA11=1,"",FW10),IF(AND(CH11=1,CW11=1,CS11&lt;&gt;""),IFERROR(_xlfn.XLOOKUP(CS11,Линии[_n],Линии[_фаза итог]),"L1"),IF(OR(N(DL11)&gt;=3,N(BX11)&gt;=3),"L1,L2,L3",IFERROR(_xlfn.TEXTBEFORE(_xlfn.TEXTAFTER(_xlfn.XLOOKUP(A11,Щиты[Щит],Щиты[_фазы авто]),";"&amp;BA11&amp;":"),";"),"L1")))))</f>
        <v>L1,L2,L3</v>
      </c>
      <c r="FV11" t="str">
        <f t="shared" si="71"/>
        <v>L1,L2,L3</v>
      </c>
      <c r="FW11" t="str">
        <f t="shared" si="72"/>
        <v>L1,L2,L3</v>
      </c>
      <c r="FX11" cm="1">
        <f t="array" ref="FX11">IFERROR(IF(CD11=2,_xlfn.IFS(BX11=3,VLOOKUP(BS11,Справочная_двигатели,3,FALSE),BX11=1,VLOOKUP(BS11,Справочная_двигатели,5,TRUE)),0),0)</f>
        <v>0</v>
      </c>
      <c r="FY11">
        <f>IFERROR(IF(CD11=3,VLOOKUP(BS11,Справочная_ЛЭД,2,TRUE),0),0)</f>
        <v>0</v>
      </c>
      <c r="FZ11" s="6">
        <f t="shared" si="73"/>
        <v>0</v>
      </c>
      <c r="GA11" t="str">
        <f>IF(B11="","",IF(TRIM(AH11&amp;"")&lt;&gt;"",IF(LOWER(TRIM(AH11&amp;""))="да","да","нет"),IF(IFERROR(_xlfn.XLOOKUP(BC11,Коды_код,Коды_пожарная),"")="да","да","нет")))</f>
        <v>нет</v>
      </c>
      <c r="GB11" t="str">
        <f t="shared" si="74"/>
        <v/>
      </c>
      <c r="GC11" t="str">
        <f t="shared" si="75"/>
        <v>основная</v>
      </c>
      <c r="GD11">
        <f>IF(AND(BP11=1,TRIM(AE11&amp;"")=""),IF(COUNTIFS(Линии[Щит],A11,Линии[Секция (1/2/3)],"&gt;=2")&gt;0,MIN(3,MAX(1,IFERROR(--BD11,1))),1),IFERROR(MIN(3,MAX(1,INT(--AE11))),1))</f>
        <v>2</v>
      </c>
      <c r="GE11" t="str" cm="1">
        <f t="array" ref="GE11">IF(B11="","",_xlfn.LET(_xlpm.t,IFERROR(_xlfn.XLOOKUP(1,(Шины[Шина]=GC11)*(((Шины[Щит]=A11)+(Шины[Щит]=""))&gt;0),Шины[Тип]),"")&amp;"",IF(_xlpm.t&lt;&gt;"",_xlpm.t,IF(ISNUMBER(SEARCH("ИБП",GC11)),"ИБП",IF(ISNUMBER(SEARCH("ДГУ",GC11)),"ДГУ","Ввод "&amp;GD11)))))</f>
        <v>Ввод 2</v>
      </c>
      <c r="GF11" t="str">
        <f t="shared" si="76"/>
        <v>Ввод 2</v>
      </c>
      <c r="GG11" t="str">
        <f>IF(BP11=0,"",IF(TRIM(AG11&amp;"")&lt;&gt;"",TRIM(AG11&amp;""),IF(OR(GE11="ИБП",GE11="ДГУ"),"I особая",_xlfn.XLOOKUP(A11,Щиты[Щит],Щиты[Категория шины «Ввод»],"III"))))</f>
        <v/>
      </c>
      <c r="GH11" t="str">
        <f>IF(A11="","",_xlfn.XLOOKUP(A11,Щиты[Щит],Щиты[Путь],""))</f>
        <v>|ГРЩ-ЖД|</v>
      </c>
      <c r="GI11" t="str">
        <f>IF(B11="","",IF(AI11&lt;&gt;"",AI11,IF(IFERROR(_xlfn.XLOOKUP(BC11,Коды_код,Коды_вид)&amp;"","")="","Прочее",_xlfn.XLOOKUP(BC11,Коды_код,Коды_вид)&amp;"")))</f>
        <v>Распределительные щиты жилой части</v>
      </c>
      <c r="GJ11">
        <f>IF(BM11="","",INT((BM11-1)/Столбцов_на_лист)+1)</f>
        <v>2</v>
      </c>
      <c r="GK11" t="str">
        <f t="shared" si="77"/>
        <v/>
      </c>
      <c r="GL11">
        <f t="shared" si="78"/>
        <v>0</v>
      </c>
      <c r="GM11">
        <f t="shared" si="79"/>
        <v>0</v>
      </c>
      <c r="GN11">
        <f t="shared" si="80"/>
        <v>3</v>
      </c>
      <c r="GO11">
        <f t="shared" si="81"/>
        <v>0</v>
      </c>
      <c r="GP11">
        <f t="shared" si="82"/>
        <v>1</v>
      </c>
      <c r="GQ11">
        <f>IF(BM11="","",IF(AND(CG11=1,GP11=1),COUNTIFS(A$3:A11,A11,CG$3:CG11,1,GP$3:GP11,1),IF(OR(OR(BA11=1,A11&lt;&gt;A10),AJ11="вручную",GP11=0),"",IF(BA11=1,"",GR10))))</f>
        <v>7</v>
      </c>
      <c r="GR11">
        <f t="shared" si="83"/>
        <v>7</v>
      </c>
      <c r="GS11" t="str">
        <f>IF(B11="","",IFERROR(LOOKUP(INDEX(CHOOSE(EB11,Iдоп_1ж,Iдоп_2ж,Iдоп_3ж),MATCH(EN11,Iдоп_S,0))*DZ11*EA11,{6,10,16,20,25,32,40,50,63,80,100,125,160,200,250,315,400,500,630}),""))</f>
        <v/>
      </c>
      <c r="GT11" t="str">
        <f t="shared" si="84"/>
        <v>QF7</v>
      </c>
      <c r="GU11" t="str">
        <f t="shared" si="85"/>
        <v>QF7</v>
      </c>
      <c r="GV11" t="str">
        <f t="shared" si="86"/>
        <v/>
      </c>
      <c r="GW11">
        <f t="shared" si="87"/>
        <v>0</v>
      </c>
      <c r="GX11" t="str">
        <f>IF(OR(B11="",DJ11=""),"",IFERROR(_xlfn.XLOOKUP(DJ11,Модули_умолч[Управление],Модули_умолч[Модель])&amp;"",""))</f>
        <v/>
      </c>
      <c r="GY11">
        <f>IF(DJ11="",1,IFERROR(MAX(0,N(_xlfn.XLOOKUP(DJ11,Модули_умолч[Управление],Модули_умолч[Каналов на линию]))),1))</f>
        <v>1</v>
      </c>
      <c r="GZ11" t="str">
        <f t="shared" si="88"/>
        <v/>
      </c>
      <c r="HA11" t="str">
        <f t="shared" si="89"/>
        <v/>
      </c>
      <c r="HB11" t="str">
        <f t="shared" si="90"/>
        <v/>
      </c>
      <c r="HC11">
        <f>IF(HB11="",0,IFERROR(N(VLOOKUP(HB11,Модули_спр,3,FALSE)),0))</f>
        <v>0</v>
      </c>
      <c r="HD11" t="str">
        <f t="shared" si="91"/>
        <v/>
      </c>
      <c r="HE11" t="str">
        <f t="shared" si="92"/>
        <v/>
      </c>
      <c r="HF11" t="str">
        <f>IF(OR(HE11="",HE11="-"),"",IFERROR(VLOOKUP(HE11,Модули_спр,2,FALSE),"R"))</f>
        <v/>
      </c>
      <c r="HG11" t="str">
        <f>IF(HF11="","",HF11&amp;"."&amp;COUNTIFS(A$3:A11,A11,HF$3:HF11,HF11))</f>
        <v/>
      </c>
      <c r="HH11" t="str">
        <f t="shared" si="93"/>
        <v/>
      </c>
      <c r="HI11" t="str">
        <f t="shared" si="94"/>
        <v/>
      </c>
      <c r="HJ11" t="str">
        <f t="shared" si="95"/>
        <v/>
      </c>
      <c r="HK11" t="str">
        <f t="shared" si="96"/>
        <v/>
      </c>
      <c r="HL11">
        <f t="shared" si="97"/>
        <v>0</v>
      </c>
      <c r="HM11" t="str">
        <f>IF(HL11=1,"XT"&amp;COUNTIFS(A$3:A11,A11,HL$3:HL11,1),"")</f>
        <v/>
      </c>
      <c r="HN11" t="str">
        <f t="shared" si="98"/>
        <v/>
      </c>
      <c r="HO11" t="str">
        <f t="shared" si="99"/>
        <v>QF7</v>
      </c>
      <c r="HP11" t="str">
        <f t="shared" si="100"/>
        <v/>
      </c>
      <c r="HQ11" t="str">
        <f t="shared" si="101"/>
        <v>ok</v>
      </c>
      <c r="HR11" t="str">
        <f>IF(OR(HJ11="",HH11=""),"",IF(HJ11+MAX(0,GY11-1)&gt;IFERROR(VLOOKUP(HI11,Модули_спр,3,FALSE),99),"ЛИШНИЙ КАНАЛ",IF(AND(AL11&lt;&gt;"=",GY11&gt;0,COUNTIFS(Линии[_модуль гр.],HH11,Линии[Канал (итог)],HJ11,Линии[Канал],"&lt;&gt;=",Линии[Щит],A11)&gt;1),"ДУБЛЬ КАНАЛА","")))</f>
        <v/>
      </c>
      <c r="HS11" s="6" t="str">
        <f t="shared" si="102"/>
        <v/>
      </c>
      <c r="HT11">
        <f t="shared" si="103"/>
        <v>10</v>
      </c>
      <c r="HU11" t="str">
        <f t="shared" si="104"/>
        <v/>
      </c>
      <c r="HV11">
        <f t="shared" si="105"/>
        <v>0.52</v>
      </c>
      <c r="HW11">
        <f t="shared" si="106"/>
        <v>0</v>
      </c>
      <c r="HX11">
        <f t="shared" si="107"/>
        <v>0</v>
      </c>
      <c r="HY11">
        <f t="shared" si="108"/>
        <v>0</v>
      </c>
      <c r="HZ11">
        <f t="shared" si="109"/>
        <v>0</v>
      </c>
      <c r="IA11">
        <f t="shared" si="110"/>
        <v>0</v>
      </c>
      <c r="IB11">
        <f t="shared" si="111"/>
        <v>0</v>
      </c>
      <c r="IC11" t="str">
        <f t="shared" si="112"/>
        <v/>
      </c>
      <c r="ID11" t="str" cm="1">
        <f t="array" ref="ID11">IF(IC11="","",_xlfn.LET(_xlpm.tk,_xlfn.TEXTSPLIT(SUBSTITUTE(SUBSTITUTE(IC11,";"," "),"→"," ")," ",,TRUE),_xlpm.w_,_xlfn._xlws.FILTER(_xlpm.tk,ISNUMBER(--LEFT(_xlpm.tk,1))*((ISNUMBER(SEARCH("W",_xlpm.tk))+ISNUMBER(SEARCH("Вт",_xlpm.tk)))&gt;0),""),IFERROR(--SUBSTITUTE(SUBSTITUTE(UPPER(INDEX(_xlpm.w_,1)),"W",""),"ВТ",""),"")))</f>
        <v/>
      </c>
      <c r="IE11" t="str" cm="1">
        <f t="array" ref="IE11">IF(IC11="","",_xlfn.LET(_xlpm.tk,_xlfn.TEXTSPLIT(SUBSTITUTE(SUBSTITUTE(IC11,";"," "),"→"," ")," ",,TRUE),_xlpm.v_,_xlfn._xlws.FILTER(_xlpm.tk,ISNUMBER(--LEFT(_xlpm.tk,1))*((ISNUMBER(SEARCH("V",_xlpm.tk))+(RIGHT(UPPER(_xlpm.tk))="В"))&gt;0),""),IFERROR(--SUBSTITUTE(SUBSTITUTE(UPPER(INDEX(_xlpm.v_,1)),"V",""),"В",""),"")))</f>
        <v/>
      </c>
      <c r="IF11" s="6" t="str">
        <f>IF(OR(BV11=0,HI11="",HJ11=""),"",IFERROR(N(_xlfn.XLOOKUP(HI11,Каталог!$C$4:$C$500,Каталог!$Q$4:$Q$500)),""))</f>
        <v/>
      </c>
      <c r="IG11" s="6" t="str">
        <f>IF(N(IF11)=0,"",SUMIFS(Линии[Iр, А],Линии[Щит],A11,Линии[_модуль гр.],HH11,Линии[Канал (итог)],HJ11))</f>
        <v/>
      </c>
      <c r="IH11" t="str">
        <f>IF(AND(B11="",HO11=""),"",_xlfn.TEXTJOIN("; ",TRUE,IF(AND(B11&lt;&gt;"",FV11=""),"нет фазы",""),IF(AND(B11&lt;&gt;"",N(GL11)=0,FG11&lt;&gt;"Нет"),"нет мощности",""),IF(AND(HN11&lt;&gt;"",COUNTIFS(Линии[Щит],A11,Линии[Клемма (итог)],HN11)&gt;1),"дубль клеммы "&amp;HN11,""),IF(AND(HQ11&lt;&gt;"",HQ11&lt;&gt;"ok"),HQ11,""),IF(HR11&lt;&gt;"",HR11,""),IF(AND(N(CB11)&gt;=4,N(BX11)=1),CB11&amp;" жил на 1 фазе",""),IF(AND(BC11="R",CG11=1,IF(CS11&lt;&gt;"",N(CV11)&gt;30,OR(N(DA11)=0,N(DA11)&gt;30))),"розетка без дифзащиты до 30 мА",""),IF(AND(CG11=1,N(DA11)&gt;0,ISNUMBER(T11)),IF(T11&gt;N(DA11)/3,"ток утечки "&amp;FIXED(T11,1)&amp;" мА &gt; 1/3 уставки ("&amp;DA11&amp;" мА)",""),""),IF(AND(CH11=1,CS11=""),"«узо»: нет строки с УЗО выше (УЗО 2P 40А 30мА в «Аппаратах»)",""),IF(AND(CS11&lt;&gt;"",CS11=BA11),IF(CT11="","впишите номинал УЗО (УЗО 2P 40А 30мА)",IF(N(CT11)&lt;N(DT11),"УЗО "&amp;CT11&amp;" А &lt; автомата "&amp;DT11&amp;" А перед ним",IF(N(CT11)&lt;N(CX11),"УЗО "&amp;CT11&amp;" А &lt; тока блока "&amp;FIXED(CX11,1)&amp;" А",""))),""),IF(AND(CS11&lt;&gt;"",CS11=BA11,ISNUMBER(CY11)),IF(CY11&gt;N(CV11)/3,"ток утечки блока УЗО "&amp;FIXED(CY11,1)&amp;" мА &gt; 1/3 уставки ("&amp;CV11&amp;" мА)",""),""),IF(AND(CG11=1,N(BV11)+N(IB11)&gt;0,IC11=""),"линии до 50 В без БП: впишите в «Аппараты» (БП 24V 480W)",""),IF(AND(CG11=1,ISNUMBER(ID11),ISNUMBER(U11)),IF(U11&gt;ID11,"БП "&amp;ID11&amp;" Вт &lt; нужно "&amp;U11&amp;" Вт (×"&amp;Запас_БП&amp;")",""),""),IF(AND(CG11=1,ISNUMBER(IE11),N(BV11)=1),IF(IE11&lt;&gt;N(BU11),"БП на "&amp;IE11&amp;" В, линия "&amp;BU11&amp;" В",""),""),IF(AND(N(IF11)&gt;0,N(IG11)&gt;N(IF11)),HH11&amp;" канал "&amp;HJ11&amp;": "&amp;FIXED(IG11,1)&amp;" А &gt; "&amp;IF11&amp;" А",""),IFERROR(IF(AND(ISNUMBER(Q11),Q11&gt;EL11),"потери "&amp;FIXED(Q11,1)&amp;" % &gt; "&amp;EL11&amp;" %",""),""),IFERROR(IF(LEFT(HU11,4)="мало","Iкз мало — отключение &gt; 0,4 с",""),""),IF(AND(B11&lt;&gt;"",BM11=""),"не на схеме",""),IF(AND(CG11=0,B11&lt;&gt;"",FV11&lt;&gt;"",IF(BA11=1,"",FW10)&lt;&gt;"",FV11&lt;&gt;IF(BA11=1,"",FW10)),"фаза не как у автомата группы ("&amp;IF(BA11=1,"",FW10)&amp;")","")))</f>
        <v>нет мощности</v>
      </c>
      <c r="II11" s="6" t="str">
        <f>IF(OR(CG11=0,DQ11=""),"",_xlfn.LET(_xlpm.t,IFERROR(_xlfn.XLOOKUP(DQ11,Каталог!$U$4:$U$500,Каталог!$G$4:$G$500),""),_xlpm.k,SEARCH("кА",_xlpm.t),IFERROR(--TRIM(RIGHT(SUBSTITUTE(MID(_xlpm.t,MAX(1,_xlpm.k-4),_xlpm.k-MAX(1,_xlpm.k-4))," ",REPT(" ",9)),5)),"")))</f>
        <v/>
      </c>
      <c r="IJ11" t="str">
        <f>IF(OR(II11="",CG11=0),"",IF(_xlfn.XLOOKUP(A11,Щиты[Щит],Щиты[Iкз max на шинах, кА],"")="","",IF(II11&lt;_xlfn.XLOOKUP(A11,Щиты[Щит],Щиты[Iкз max на шинах, кА]),"Icu "&amp;II11&amp;" кА &lt; Iкз max","ok")))</f>
        <v/>
      </c>
      <c r="IK11" t="str">
        <f t="shared" si="113"/>
        <v/>
      </c>
      <c r="IL11" t="str">
        <f t="shared" si="114"/>
        <v>QF7</v>
      </c>
      <c r="IM11" t="str">
        <f t="shared" si="115"/>
        <v>QF7|кабель  → Щит освещения ЩО-2 Тех. этаж этаж Пом. №3.001</v>
      </c>
      <c r="IN11" t="str" cm="1">
        <f t="array" ref="IN11">IF(IM11="","",_xlfn.LET(_xlpm.nd,_xlfn.TEXTSPLIT(IM11,"|"),IF(COLUMNS(_xlpm.nd)&gt;1,A11&amp;"¦"&amp;INDEX(_xlpm.nd,1)&amp;"¦"&amp;INDEX(_xlpm.nd,2),"")))</f>
        <v>ГРЩ-ЖД¦QF7¦кабель  → Щит освещения ЩО-2 Тех. этаж этаж Пом. №3.001</v>
      </c>
      <c r="IO11" t="str">
        <f t="shared" si="116"/>
        <v>ЩО-2¦Щит освещения ЩО-2 Тех. этаж этаж Пом. №3.001</v>
      </c>
      <c r="IP11" t="str" cm="1">
        <f t="array" ref="IP11">IF(IM11="","",_xlfn.LET(_xlpm.nd,_xlfn.TEXTSPLIT(IM11,"|"),IF(COLUMNS(_xlpm.nd)&gt;2,A11&amp;"¦"&amp;INDEX(_xlpm.nd,2)&amp;"¦"&amp;INDEX(_xlpm.nd,3),"")))</f>
        <v/>
      </c>
      <c r="IQ11" t="str">
        <f t="shared" si="117"/>
        <v/>
      </c>
      <c r="IR11" t="str" cm="1">
        <f t="array" ref="IR11">IF(IM11="","",_xlfn.LET(_xlpm.nd,_xlfn.TEXTSPLIT(IM11,"|"),IF(COLUMNS(_xlpm.nd)&gt;3,A11&amp;"¦"&amp;INDEX(_xlpm.nd,3)&amp;"¦"&amp;INDEX(_xlpm.nd,4),"")))</f>
        <v/>
      </c>
      <c r="IS11" t="str">
        <f t="shared" si="118"/>
        <v/>
      </c>
      <c r="IT11" t="str" cm="1">
        <f t="array" ref="IT11">IF(IM11="","",_xlfn.LET(_xlpm.nd,_xlfn.TEXTSPLIT(IM11,"|"),IF(COLUMNS(_xlpm.nd)&gt;4,A11&amp;"¦"&amp;INDEX(_xlpm.nd,4)&amp;"¦"&amp;INDEX(_xlpm.nd,5),"")))</f>
        <v/>
      </c>
      <c r="IU11" t="str">
        <f t="shared" si="119"/>
        <v/>
      </c>
      <c r="IV11" t="str" cm="1">
        <f t="array" ref="IV11">IF(IM11="","",_xlfn.LET(_xlpm.nd,_xlfn.TEXTSPLIT(IM11,"|"),IF(COLUMNS(_xlpm.nd)&gt;5,A11&amp;"¦"&amp;INDEX(_xlpm.nd,5)&amp;"¦"&amp;INDEX(_xlpm.nd,6),"")))</f>
        <v/>
      </c>
      <c r="IW11" t="str">
        <f t="shared" si="120"/>
        <v/>
      </c>
      <c r="IX11" t="str" cm="1">
        <f t="array" ref="IX11">IF(IM11="","",_xlfn.LET(_xlpm.nd,_xlfn.TEXTSPLIT(IM11,"|"),IF(COLUMNS(_xlpm.nd)&gt;6,A11&amp;"¦"&amp;INDEX(_xlpm.nd,6)&amp;"¦"&amp;INDEX(_xlpm.nd,7),"")))</f>
        <v/>
      </c>
      <c r="IY11" t="str">
        <f t="shared" si="121"/>
        <v/>
      </c>
      <c r="IZ11" t="str">
        <f t="shared" si="122"/>
        <v/>
      </c>
      <c r="JA11" t="str">
        <f t="shared" si="123"/>
        <v>QF7</v>
      </c>
      <c r="JB11">
        <f t="shared" si="124"/>
        <v>0</v>
      </c>
      <c r="JC11">
        <f t="shared" si="125"/>
        <v>0</v>
      </c>
      <c r="JD11" t="str">
        <f t="shared" si="126"/>
        <v/>
      </c>
      <c r="JE11" t="str">
        <f t="shared" si="127"/>
        <v/>
      </c>
      <c r="JF11" t="str">
        <f t="shared" si="128"/>
        <v/>
      </c>
      <c r="JG11" t="str">
        <f t="shared" si="129"/>
        <v/>
      </c>
      <c r="JH11" t="str">
        <f>IF(B11="","",IFERROR(_xlfn.XLOOKUP(B11,Коды_код,Коды_уго),IFERROR(_xlfn.XLOOKUP(BC11,Коды_код,Коды_уго),IFERROR(_xlfn.XLOOKUP(LEFT(BC11,2),Коды_код,Коды_уго),""))))</f>
        <v/>
      </c>
      <c r="JI11" t="str">
        <f>IF(B11="","",IF(OR(JH11="",JH11=0),"BOX",IFERROR(IF(VLOOKUP(JH11,УГО_блоки,3,FALSE)&amp;""&lt;&gt;"",VLOOKUP(JH11,УГО_блоки,3,FALSE),VLOOKUP(JH11,УГО_блоки,2,FALSE)),JH11)))</f>
        <v>BOX</v>
      </c>
      <c r="JJ11">
        <f t="shared" si="130"/>
        <v>1</v>
      </c>
      <c r="JK11">
        <f>IF(DQ11="","",IF(COUNTIF(DQ$3:DQ11,DQ11)=1,MAX(JK$2:JK10)+1,""))</f>
        <v>7</v>
      </c>
      <c r="JL11" t="str">
        <f>IF(DE11="","",IF(COUNTIF(DE$3:DE11,DE11)+COUNTIF(DF$2:DF10,DE11)+COUNTIF(DG$2:DG10,DE11)=1,MAX(JL$2:JN10)+1,""))</f>
        <v/>
      </c>
      <c r="JM11" t="str">
        <f>IF(DF11="","",IF(COUNTIF(DE$3:DE11,DF11)+COUNTIF(DF$3:DF11,DF11)+COUNTIF(DG$2:DG10,DF11)=1,MAX(JL$2:JN10,JL11)+1,""))</f>
        <v/>
      </c>
      <c r="JN11" t="str">
        <f>IF(DG11="","",IF(COUNTIF(DE$3:DE11,DG11)+COUNTIF(DF$3:DF11,DG11)+COUNTIF(DG$3:DG11,DG11)=1,MAX(JL$2:JN10,JL11,JM11)+1,""))</f>
        <v/>
      </c>
      <c r="JO11" t="str">
        <f t="shared" si="131"/>
        <v/>
      </c>
      <c r="JP11" t="str">
        <f>IF(JO11="","",IF(COUNTIF(JO$3:JO11,JO11)=1,MAX(JP$2:JP10)+1,""))</f>
        <v/>
      </c>
      <c r="JQ11" t="str">
        <f>IF(HG11="","",COUNTIF(HG$3:HG11,"?*"))</f>
        <v/>
      </c>
      <c r="JR11" t="str">
        <f>IF(OR(HG11="",HI11=""),"",IF(COUNTIFS(HG$3:HG11,"?*",HI$3:HI11,HI11)=1,MAX(JR$2:JR10)+1,""))</f>
        <v/>
      </c>
      <c r="JS11">
        <f t="shared" si="132"/>
        <v>1</v>
      </c>
      <c r="JT11">
        <f>IF(B11="","",COUNTIF(B$3:B11,"?*"))</f>
        <v>9</v>
      </c>
      <c r="JU11">
        <f>IF(HL11&lt;&gt;1,0,_xlfn.LET(_xlpm.k,MAX(IFERROR(--_xlfn.XLOOKUP(B11,Коды_код,Коды_3L),0),IFERROR(--_xlfn.XLOOKUP(BC11,Коды_код,Коды_3L),0),IFERROR(--_xlfn.XLOOKUP(LEFT(BC11,2),Коды_код,Коды_3L),0)),IF(_xlpm.k&gt;0,_xlpm.k,IF(IFERROR(--LEFT(SUBSTITUTE(JO11,"x","х"),FIND("х",SUBSTITUTE(JO11,"x","х"))-1),3)&gt;3,Каталог!$S$9,1))))</f>
        <v>0</v>
      </c>
      <c r="JV11">
        <f t="shared" si="133"/>
        <v>0</v>
      </c>
      <c r="JW11" t="str">
        <f t="shared" si="134"/>
        <v>авто</v>
      </c>
      <c r="JX11" t="str">
        <f t="shared" si="135"/>
        <v/>
      </c>
      <c r="JY11">
        <f t="shared" si="136"/>
        <v>0</v>
      </c>
      <c r="JZ11">
        <f t="shared" si="137"/>
        <v>1</v>
      </c>
    </row>
    <row r="12" spans="1:286" x14ac:dyDescent="0.3">
      <c r="A12" t="s">
        <v>783</v>
      </c>
      <c r="B12" t="s">
        <v>753</v>
      </c>
      <c r="C12" t="s">
        <v>752</v>
      </c>
      <c r="D12">
        <v>1</v>
      </c>
      <c r="E12">
        <v>11.86</v>
      </c>
      <c r="G12">
        <v>20</v>
      </c>
      <c r="H12" t="str">
        <f>Линии[[#This Row],[_авто управление]]</f>
        <v/>
      </c>
      <c r="I12" t="str">
        <f>Линии[[#This Row],[_авто аппараты]]</f>
        <v/>
      </c>
      <c r="J12">
        <v>4</v>
      </c>
      <c r="K12">
        <v>41</v>
      </c>
      <c r="L12" t="str">
        <f>Линии[[#This Row],[_авто фаза]]</f>
        <v>L1,L2,L3</v>
      </c>
      <c r="M12" t="s">
        <v>484</v>
      </c>
      <c r="N12" t="str">
        <f t="shared" si="0"/>
        <v/>
      </c>
      <c r="O12" s="6" cm="1">
        <f t="array" ref="O12">IF(B12="","",IF(BH12&lt;&gt;"",IFERROR(_xlfn.XLOOKUP(BH12,Щиты[Щит],Щиты[Iр, А]),""),IF(BP12=1,IF(OR(N(_xlfn.XLOOKUP(A12,Щиты[Щит],Щиты[Вводов],1))&lt;=1,LOWER(TRIM(_xlfn.XLOOKUP(A12,Щиты[Щит],Щиты[АВР],"")&amp;""))="да"),IFERROR(_xlfn.XLOOKUP(A12,Щиты[Щит],Щиты[Iр, А]),""),IFERROR(N(BS12)*_xlfn.XLOOKUP(A12,Щиты[Щит],Щиты[Кс итог])/(SQRT(3)*Uн_лин*_xlfn.XLOOKUP(A12,Щиты[Щит],Щиты[cos φ])),"")),IF(BV12=1,IFERROR(BS12*1000/BU12,""),IFERROR(_xlfn.IFS(BX12=1,BS12/((Uн_лин/SQRT(3))*CE12),BX12=3,BS12/(SQRT(3)*Uн_лин*CE12)),"")))))</f>
        <v>16.378863980838116</v>
      </c>
      <c r="P12" s="7">
        <f>IF(B12="","",IFERROR(IF(VLOOKUP(BC12,Потребители_обозначение,4,FALSE)=1,VLOOKUP(BC12,Потребители_обозначение,3,FALSE)*(MAX(1,N(D12))*2-1)+EI12+VLOOKUP(BE12,Этаж_обозначение,3,FALSE)+VLOOKUP(BE12,Этаж_обозначение,4,FALSE),VLOOKUP(BC12,Потребители_обозначение,3,FALSE)*(MAX(1,N(D12))*2-1)+EI12),EI12))</f>
        <v>41</v>
      </c>
      <c r="Q12" s="6">
        <f t="shared" si="1"/>
        <v>1.57</v>
      </c>
      <c r="R12" t="str">
        <f t="shared" si="2"/>
        <v>ВВГнг(А)-LS (5х4)</v>
      </c>
      <c r="S12" t="str">
        <f>IF(BM12="","",IF(BN12="вводной узел","узел ","")&amp;"л."&amp;(INT((BM12-1)/Столбцов_на_лист)+1)&amp;" / "&amp;(MOD(BM12-1,Столбцов_на_лист)+1))</f>
        <v>л.2 / 7</v>
      </c>
      <c r="T12" s="119" t="str">
        <f t="shared" si="3"/>
        <v/>
      </c>
      <c r="U12" s="7" t="str">
        <f>IF(OR(CG12=0,N(BV12)+N(IB12)=0),"",ROUNDUP(Запас_БП*(N(HY12)+N(HZ12)),0))</f>
        <v/>
      </c>
      <c r="V12" s="119" t="str">
        <f t="shared" si="4"/>
        <v/>
      </c>
      <c r="W12" s="7" t="str">
        <f>IFERROR(IF(OR(B12="",BP12=1,BV12=1,NOT(ISNUMBER(EN12)),N(DT12)=0),"",MAX(0,ROUNDDOWN((c_min*(Uн_лин*1000/SQRT(3))/(HT12*N(DT12))-_xlfn.XLOOKUP(A12,Щиты[Щит],Щиты[Zпетли на шинах, Ом]))*EN12/(2*ρкз_Cu),0))),"")</f>
        <v/>
      </c>
      <c r="Y12" t="str">
        <f>Линии[[#This Row],[_авто утечка]]</f>
        <v/>
      </c>
      <c r="Z12">
        <v>3</v>
      </c>
      <c r="AA12">
        <v>400</v>
      </c>
      <c r="AB12" t="s">
        <v>562</v>
      </c>
      <c r="AE12">
        <v>1</v>
      </c>
      <c r="AG12" t="s">
        <v>810</v>
      </c>
      <c r="AI12" t="s">
        <v>617</v>
      </c>
      <c r="AK12" t="str">
        <f>Линии[[#This Row],[_авто модуль]]</f>
        <v/>
      </c>
      <c r="AM12">
        <v>24</v>
      </c>
      <c r="AN12" t="s">
        <v>11</v>
      </c>
      <c r="AO12">
        <v>5</v>
      </c>
      <c r="AQ12">
        <v>25</v>
      </c>
      <c r="AR12">
        <v>11</v>
      </c>
      <c r="AS12">
        <v>0</v>
      </c>
      <c r="BA12" cm="1">
        <f t="array" ref="BA12">ROW()-ROW(Линии[#Headers])</f>
        <v>10</v>
      </c>
      <c r="BC12" s="6" t="str">
        <f t="shared" si="5"/>
        <v>ЩР-001</v>
      </c>
      <c r="BD12" t="str">
        <f t="shared" si="6"/>
        <v/>
      </c>
      <c r="BE12" t="str">
        <f t="shared" si="7"/>
        <v/>
      </c>
      <c r="BF12" t="str">
        <f t="shared" si="8"/>
        <v/>
      </c>
      <c r="BG12" t="str">
        <f t="shared" si="9"/>
        <v/>
      </c>
      <c r="BH12" t="str">
        <f>IF(X12&lt;&gt;"",X12,IF(AND(B12&lt;&gt;"",B12&lt;&gt;A12,ISNUMBER(_xlfn.XMATCH(B12,Щиты[Щит]))),B12,""))</f>
        <v>ЩР-001</v>
      </c>
      <c r="BI12" t="str" cm="1">
        <f t="array" ref="BI12">IF(B12="","",IF(BH12&lt;&gt;"","Щит "&amp;BH12,_xlfn.LET(_xlpm.nm,IFERROR(_xlfn.XLOOKUP(BC12,Коды_код,Коды_имя)&amp;"",""),_xlpm.md,IFERROR(N(_xlfn.XLOOKUP(BC12,Коды_код,Коды_режим)),1),_xlpm.ex,IF(Имя_режим="по экспликации",IFERROR(_xlfn.XLOOKUP(BE12&amp;"|"&amp;BG12,Экспликация[Этаж]&amp;"|"&amp;Экспликация[Помещение],Экспликация[Название])&amp;"",""),""),_xlpm.rm,IF(BG12="","",IF(_xlpm.ex&lt;&gt;"",". "&amp;_xlpm.ex&amp;IF(Имя_пом="нет"," ("&amp;BG12&amp;")"," (пом. "&amp;BG12&amp;")"),IF(Имя_пом="нет"," ",", пом. ")&amp;BG12)),IF(_xlpm.nm="","",IF(_xlpm.md=2,_xlpm.nm&amp;" шлейф "&amp;BE12,_xlpm.nm&amp;_xlpm.rm)))))</f>
        <v>Щит ЩР-001</v>
      </c>
      <c r="BJ12" t="str">
        <f t="shared" si="10"/>
        <v>Щит распределительный ЩР-001 Подвальный этаж этаж Пом. №00.004Т</v>
      </c>
      <c r="BK12">
        <f>IFERROR(_xlfn.XMATCH(A12,Щиты[Щит]),0)</f>
        <v>1</v>
      </c>
      <c r="BL12">
        <f>_xlfn.LET(_xlpm.k,IFERROR(_xlfn.XLOOKUP(A12,Щиты[Щит],Щиты[Мест под вводной узел]),""),IF(_xlpm.k="",Столбцов_на_лист,N(_xlpm.k)))</f>
        <v>6</v>
      </c>
      <c r="BM12">
        <f t="shared" si="11"/>
        <v>24</v>
      </c>
      <c r="BN12" t="str">
        <f t="shared" si="12"/>
        <v>линии</v>
      </c>
      <c r="BO12" s="6">
        <f>IFERROR(N(_xlfn.XLOOKUP(BC12,Коды_код,Коды_квт)),0)</f>
        <v>0</v>
      </c>
      <c r="BP12">
        <f t="shared" si="13"/>
        <v>0</v>
      </c>
      <c r="BQ12">
        <f>IF(B12="","",IF(BH12&lt;&gt;"",IFERROR(_xlfn.XLOOKUP(BH12,Щиты[Щит],Щиты[Руст, кВт]),0),IF(BP12=1,IF(OR(N(_xlfn.XLOOKUP(A12,Щиты[Щит],Щиты[Вводов],1))&lt;=1,LOWER(TRIM(_xlfn.XLOOKUP(A12,Щиты[Щит],Щиты[АВР],"")&amp;""))="да"),IFERROR(_xlfn.XLOOKUP(A12,Щиты[Щит],Щиты[Руст, кВт]),0),SUMIFS(Линии[_Р для вводов],Линии[Щит],A12,Линии[Источник для режимов],GF12)),IF(BO12&gt;0,ROUND(BO12*MAX(1,N(D12)),3),""))))</f>
        <v>11.860000000000001</v>
      </c>
      <c r="BR12">
        <f t="shared" si="14"/>
        <v>11.86</v>
      </c>
      <c r="BS12" s="6">
        <f>IF(B12="","",IF(BH12&lt;&gt;"",IFERROR(_xlfn.XLOOKUP(BH12,Щиты[Щит],Щиты[Руст, кВт]),0),N(BR12)))</f>
        <v>11.860000000000001</v>
      </c>
      <c r="BT12" t="str">
        <f>IF(B12="","",IFERROR(IF(VLOOKUP(BC12,Потребители_обозначение,8,FALSE)=0,"",VLOOKUP(BC12,Потребители_обозначение,8,FALSE)),""))</f>
        <v/>
      </c>
      <c r="BU12">
        <f t="shared" si="15"/>
        <v>400</v>
      </c>
      <c r="BV12">
        <f t="shared" si="16"/>
        <v>0</v>
      </c>
      <c r="BW12">
        <f>IF(B12="","",IF(BH12&lt;&gt;"",3,IFERROR(IF(N(VLOOKUP(BC12,Потребители_обозначение,9,FALSE))=0,1,VLOOKUP(BC12,Потребители_обозначение,9,FALSE)),1)))</f>
        <v>3</v>
      </c>
      <c r="BX12">
        <f t="shared" si="17"/>
        <v>3</v>
      </c>
      <c r="BY12" t="str">
        <f>IF(B12="","",_xlfn.LET(_xlpm.bc,IFERROR(IF(VLOOKUP(BC12,Потребители_обозначение,6,FALSE)=0,"",VLOOKUP(BC12,Потребители_обозначение,6,FALSE)&amp;""),""),IF(AND(GA12="да",OR(_xlpm.bc="",_xlpm.bc="мс")),Марка_пож,IF(AND(_xlpm.bc="",BH12&lt;&gt;""),"мс",_xlpm.bc))))</f>
        <v>мс</v>
      </c>
      <c r="BZ12" t="str">
        <f t="shared" si="18"/>
        <v>мс</v>
      </c>
      <c r="CA12">
        <f>IF(B12="","",_xlfn.LET(_xlpm.cc,IFERROR(N(VLOOKUP(BC12,Потребители_обозначение,7,FALSE)),0),IF(_xlpm.cc&gt;0,_xlpm.cc,IF(BZ12="","",IF(BV12=1,2,IF(N(BX12)=3,5,3))))))</f>
        <v>5</v>
      </c>
      <c r="CB12">
        <f t="shared" si="19"/>
        <v>5</v>
      </c>
      <c r="CC12">
        <f>IFERROR(N(VLOOKUP(BC12,Потребители_обозначение,10,FALSE)),0)</f>
        <v>0</v>
      </c>
      <c r="CD12">
        <f>IFERROR(VLOOKUP(BC12,Потребители_обозначение,5,FALSE),0)</f>
        <v>0</v>
      </c>
      <c r="CE12" s="6" cm="1">
        <f t="array" ref="CE12">IF(B12="","",IF(BH12&lt;&gt;"",IFERROR(_xlfn.XLOOKUP(BH12,Щиты[Щит],Щиты[cos φ]),0.95),IF(BP12=1,IFERROR(_xlfn.XLOOKUP(A12,Щиты[Щит],Щиты[cos φ]),0.95),IF(ISNUMBER(AD12),AD12,IFERROR(IF(CD12=2,_xlfn.IFS(BX12=3,VLOOKUP(BS12,Справочная_двигатели,8,FALSE),BX12=1,VLOOKUP(BS12,Справочная_двигатели,10,TRUE)),IF(AND(Методика="нормы 2026",FG12="Сил"),0.8,0.95)),0.95)))))</f>
        <v>0.94999999999999984</v>
      </c>
      <c r="CF12">
        <f t="shared" si="20"/>
        <v>0</v>
      </c>
      <c r="CG12">
        <f t="shared" si="21"/>
        <v>1</v>
      </c>
      <c r="CH12">
        <f t="shared" si="22"/>
        <v>0</v>
      </c>
      <c r="CI12">
        <f>IF(B12="","",IF(BV12=1,IFERROR(BS12/((Uн_лин/SQRT(3))*MAX(0.5,N(CE12))),0),N(O12)))</f>
        <v>16.378863980838116</v>
      </c>
      <c r="CJ12">
        <f t="shared" si="23"/>
        <v>0</v>
      </c>
      <c r="CK12">
        <f t="shared" si="24"/>
        <v>0</v>
      </c>
      <c r="CL12">
        <f t="shared" si="25"/>
        <v>0</v>
      </c>
      <c r="CM12">
        <f t="shared" si="26"/>
        <v>0</v>
      </c>
      <c r="CN12">
        <f t="shared" si="27"/>
        <v>0</v>
      </c>
      <c r="CO12">
        <f>IF(BC12="",0,_xlfn.LET(_xlpm.v,IFERROR(_xlfn.XLOOKUP(B12,Коды_код,Коды_мА),IFERROR(_xlfn.XLOOKUP(BC12,Коды_код,Коды_мА),IFERROR(_xlfn.XLOOKUP(LEFT(BC12,2),Коды_код,Коды_мА),""))),IF(_xlpm.v="да",30,IF(ISNUMBER(_xlpm.v),_xlpm.v,0))))</f>
        <v>0</v>
      </c>
      <c r="CP12" t="str">
        <f t="shared" si="28"/>
        <v/>
      </c>
      <c r="CQ12" t="str">
        <f>_xlfn.LET(_xlpm.k,IFERROR(_xlfn.XLOOKUP(BC12,Коды_код,Коды_утечка)&amp;"",""),IF(_xlpm.k="","дифавтомат",_xlpm.k))</f>
        <v>дифавтомат</v>
      </c>
      <c r="CR12" t="str" cm="1">
        <f t="array" ref="CR12">IF(CG12=0,"",_xlfn.LET(_xlpm.sg,TRIM(_xlfn.TEXTSPLIT(DD12&amp;"",";")),_xlpm.f_,_xlfn._xlws.FILTER(_xlpm.sg,LEFT(_xlpm.sg,3)="УЗО",""),IFERROR(INDEX(_xlpm.f_,1)&amp;"","")))</f>
        <v/>
      </c>
      <c r="CS12" t="str">
        <f t="shared" si="29"/>
        <v/>
      </c>
      <c r="CT12" s="6" t="str" cm="1">
        <f t="array" ref="CT12">IF(CR12="","",_xlfn.LET(_xlpm.tk,_xlfn.TEXTSPLIT(UPPER(CR12)," ",,TRUE),_xlpm.a_,_xlfn._xlws.FILTER(_xlpm.tk,ISNUMBER(--LEFT(_xlpm.tk,1))*((ISNUMBER(SEARCH("А",_xlpm.tk))+ISNUMBER(SEARCH("A",_xlpm.tk)))&gt;0)*NOT(ISNUMBER(SEARCH("МА",_xlpm.tk)))*NOT(ISNUMBER(SEARCH("MA",_xlpm.tk))),""),IFERROR(--SUBSTITUTE(SUBSTITUTE(INDEX(_xlpm.a_,1),"А",""),"A",""),"")))</f>
        <v/>
      </c>
      <c r="CU12" t="str" cm="1">
        <f t="array" ref="CU12">IF(CR12="","",_xlfn.LET(_xlpm.tk,_xlfn.TEXTSPLIT(UPPER(CR12)," ",,TRUE),_xlpm.a_,_xlfn._xlws.FILTER(_xlpm.tk,ISNUMBER(--LEFT(_xlpm.tk,1))*((ISNUMBER(SEARCH("МА",_xlpm.tk))+ISNUMBER(SEARCH("MA",_xlpm.tk)))&gt;0),""),IFERROR(--SUBSTITUTE(SUBSTITUTE(INDEX(_xlpm.a_,1),"МА",""),"MA",""),30)))</f>
        <v/>
      </c>
      <c r="CV12" t="str">
        <f>IF(CS12="","",IFERROR(_xlfn.XLOOKUP(CS12,Линии[_n],Линии[_УЗО, мА]),30))</f>
        <v/>
      </c>
      <c r="CW12">
        <f>IF(CS12="",0,IF(ISNUMBER(SEARCH("4P",IFERROR(_xlfn.XLOOKUP(CS12,Линии[_n],Линии[_УЗО строки])&amp;"",""))),0,1))</f>
        <v>0</v>
      </c>
      <c r="CX12" t="str">
        <f>IF(AND(CS12&lt;&gt;"",CS12=BA12),SUMIFS(Линии[_ток на 230 В],Линии[_блок УЗО],BA12,Линии[Щит],A12),"")</f>
        <v/>
      </c>
      <c r="CY12" t="str">
        <f>IF(AND(CS12&lt;&gt;"",CS12=BA12),SUMIFS(Линии[_ток утечки линии, мА],Линии[_блок УЗО],BA12,Линии[Щит],A12),"")</f>
        <v/>
      </c>
      <c r="CZ12">
        <f t="shared" si="30"/>
        <v>0</v>
      </c>
      <c r="DA12">
        <f t="shared" si="31"/>
        <v>0</v>
      </c>
      <c r="DB12">
        <f>IF(B12="",0,IFERROR(--_xlfn.XLOOKUP(B12,Коды_код,Коды_минавт),IFERROR(--_xlfn.XLOOKUP(BC12,Коды_код,Коды_минавт),IFERROR(--_xlfn.XLOOKUP(LEFT(BC12,2),Коды_код,Коды_минавт),0))))</f>
        <v>0</v>
      </c>
      <c r="DC12" t="str">
        <f>IF(B12="","",IFERROR(_xlfn.XLOOKUP(BC12,Коды_код,Коды_апп)&amp;"",""))</f>
        <v/>
      </c>
      <c r="DD12" t="str">
        <f t="shared" si="32"/>
        <v/>
      </c>
      <c r="DE12" t="str" cm="1">
        <f t="array" ref="DE12">IF(TRIM(DD12&amp;"")="","",IFERROR(TRIM(INDEX(_xlfn.TEXTSPLIT(DD12&amp;";;;",";"),1)),""))</f>
        <v/>
      </c>
      <c r="DF12" t="str" cm="1">
        <f t="array" ref="DF12">IF(TRIM(DD12&amp;"")="","",IFERROR(TRIM(INDEX(_xlfn.TEXTSPLIT(DD12&amp;";;;",";"),2)),""))</f>
        <v/>
      </c>
      <c r="DG12" t="str" cm="1">
        <f t="array" ref="DG12">IF(TRIM(DD12&amp;"")="","",IFERROR(TRIM(INDEX(_xlfn.TEXTSPLIT(DD12&amp;";;;",";"),3)),""))</f>
        <v/>
      </c>
      <c r="DH12">
        <f t="shared" si="33"/>
        <v>0</v>
      </c>
      <c r="DI12" t="str">
        <f>IF(B12="","",_xlfn.LET(_xlpm.t,LOWER(AZ12&amp;""),IF(ISNUMBER(SEARCH("dim",_xlpm.t)),"DIM",IF(ISNUMBER(SEARCH("dali",_xlpm.t)),"DALI",IF(OR(ISNUMBER(SEARCH("relay",_xlpm.t)),ISNUMBER(SEARCH("реле",_xlpm.t))),"Relay",IF(ISNUMBER(SEARCH("кнопк",_xlpm.t)),"",IFERROR(_xlfn.XLOOKUP(BC12,Коды_код,Коды_упр)&amp;"","")))))))</f>
        <v/>
      </c>
      <c r="DJ12" t="str">
        <f t="shared" si="34"/>
        <v/>
      </c>
      <c r="DK12">
        <f>IF(B12="","",_xlfn.LET(_xlpm.ig,IF(N(CX12)&gt;0,N(CX12),N(CI12)+IF(AJ12="вручную",0,N(CJ12))),_xlpm.n0,IFERROR(VLOOKUP(_xlpm.ig,Автомат_номиналы,2,TRUE),0),_xlpm.mn,MAX(DB12,IF(AJ12="вручную",0,N(CM12))),MAX(_xlpm.n0,_xlpm.mn,IF(DH12=1,Мин_автомат_БП,0))))</f>
        <v>20</v>
      </c>
      <c r="DL12">
        <f t="shared" si="35"/>
        <v>3</v>
      </c>
      <c r="DM12" t="str">
        <f t="shared" si="36"/>
        <v>3P</v>
      </c>
      <c r="DN12" t="str">
        <f>_xlfn.LET(_xlpm.cc,UPPER(TRIM(IFERROR(_xlfn.XLOOKUP(BC12,Коды_код,Коды_хар)&amp;"",""))),IF(OR(_xlpm.cc="B",_xlpm.cc="В"),"B",IF(_xlpm.cc="D","D","С")))</f>
        <v>С</v>
      </c>
      <c r="DO12" t="str">
        <f t="shared" si="37"/>
        <v>3P С20А</v>
      </c>
      <c r="DP12">
        <f t="shared" si="38"/>
        <v>20</v>
      </c>
      <c r="DQ12" t="str">
        <f t="shared" si="39"/>
        <v>3P С20А</v>
      </c>
      <c r="DR12" cm="1">
        <f t="array" ref="DR12">IF(DQ12="","",_xlfn.LET(_xlpm.t,SUBSTITUTE(SUBSTITUTE(SUBSTITUTE(UPPER(DQ12),"С","C"),"А","A"),"В","B"),_xlpm.tk,_xlfn.TEXTSPLIT(_xlpm.t," "),_xlpm.f,_xlfn._xlws.FILTER(_xlpm.tk,ISNUMBER(--MID(_xlpm.tk,2,1))*ISNUMBER(SEARCH(LEFT(_xlpm.tk,1)&amp;"#","B#C#D#"))*(LEN(_xlpm.tk)&gt;1),""),_xlpm.x,INDEX(_xlpm.f,1),IFERROR(--SUBSTITUTE(MID(_xlpm.x,2,9),"A",""),IFERROR(--SUBSTITUTE(INDEX(_xlfn._xlws.FILTER(_xlpm.tk,ISNUMBER(--SUBSTITUTE(_xlpm.tk,"A","")),""),1),"A",""),""))))</f>
        <v>20</v>
      </c>
      <c r="DS12" t="str">
        <f t="shared" si="40"/>
        <v>ok</v>
      </c>
      <c r="DT12">
        <f t="shared" si="41"/>
        <v>20</v>
      </c>
      <c r="DU12" t="str">
        <f t="shared" si="42"/>
        <v>3P С20А</v>
      </c>
      <c r="DV12">
        <f t="shared" si="43"/>
        <v>0</v>
      </c>
      <c r="DW12">
        <f t="shared" si="44"/>
        <v>0</v>
      </c>
      <c r="DX12">
        <f t="shared" si="45"/>
        <v>0</v>
      </c>
      <c r="DY12">
        <f t="shared" si="46"/>
        <v>16.378863980838116</v>
      </c>
      <c r="DZ12">
        <f t="shared" si="47"/>
        <v>0.92</v>
      </c>
      <c r="EA12">
        <f>IF(ISNUMBER(AP12),AP12,К_прокл)</f>
        <v>1</v>
      </c>
      <c r="EB12">
        <f t="shared" si="48"/>
        <v>3</v>
      </c>
      <c r="EC12">
        <f>IFERROR(N(VLOOKUP(BZ12,Кабель_обозначение,3,FALSE)),1)</f>
        <v>1</v>
      </c>
      <c r="ED12">
        <f>IFERROR(N(_xlfn.XLOOKUP(A12,Щиты[Щит],Щиты[ΔU до шин, %])),0)</f>
        <v>0</v>
      </c>
      <c r="EE12" t="str">
        <f>IFERROR(_xlfn.XLOOKUP(A12,Щиты[Щит],Щиты[Zпетли на шинах, Ом]),"")</f>
        <v/>
      </c>
      <c r="EF12">
        <f>IFERROR(N(_xlfn.XLOOKUP(A12,Щиты[Щит],Щиты[ΔU до шин (подбор), %])),0)</f>
        <v>0</v>
      </c>
      <c r="EG12" t="str">
        <f>IFERROR(_xlfn.XLOOKUP(A12,Щиты[Щит],Щиты[Zпетли на шинах (подбор), Ом]),"")</f>
        <v/>
      </c>
      <c r="EH12" t="str">
        <f t="shared" si="49"/>
        <v/>
      </c>
      <c r="EI12">
        <f t="shared" si="50"/>
        <v>41</v>
      </c>
      <c r="EJ12">
        <f t="shared" si="51"/>
        <v>1</v>
      </c>
      <c r="EK12">
        <f t="shared" si="52"/>
        <v>0.31</v>
      </c>
      <c r="EL12" s="6">
        <f>IF(B12="","",IF(BV12=1,dU_LED,IF(IFERROR(_xlfn.XLOOKUP(BC12,Коды_код,Коды_уго),"")="Светильник",3,4)+IF(Методика="нормы 2026",MIN(0.5,MAX(0,N(P12)-100)*0.005),0)))</f>
        <v>4</v>
      </c>
      <c r="EM12" cm="1">
        <f t="array" ref="EM12">IF(OR(B12="",BZ12="",EC12&lt;&gt;1),"",_xlfn.LET(_xlpm.sz,Iдоп_S,_xlpm.t_,CHOOSE(EB12,Iдоп_1ж,Iдоп_2ж,Iдоп_3ж)*DZ12*EA12,_xlpm.dcx,BV12=1,_xlpm.inn,IF(_xlpm.dcx,N(O12),N(DT12)),_xlpm.smin,MAX(1.5,CC12),_xlpm.L_,N(P12)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12)/N(BU12)*100,999),IFERROR(N(EJ12)*(_xlpm.rho*_xlpm.L_/_xlpm.sz*N(CE12)+_xlpm.xx*_xlpm.L_*N(EK12)/1000)*N(O12)/((Uн_лин/SQRT(3))*1000)*100,999)),_xlpm.kz,IF(OR(_xlpm.dcx,DW12=1,NOT(ISNUMBER(EG12)),_xlpm.L_=0,_xlpm.inn=0),1,IFERROR(--(c_min*(Uн_лин*1000/SQRT(3))/(EG12+2*ρкз_Cu*_xlpm.L_/_xlpm.sz)&gt;=HT12*_xlpm.inn),0)),_xlpm.ok,IFERROR((_xlpm.sz&gt;=_xlpm.smin)*(_xlpm.t_&gt;=_xlpm.inn)*IF(_xlpm.L_&gt;0,(_xlpm.du_+IF(_xlpm.dcx,0,EF12)&lt;=EL12+0.00001),1)*_xlpm.kz,0),_xlpm.r_,_xlfn._xlws.FILTER(_xlpm.sz,_xlpm.ok,"не подобрано"),INDEX(_xlpm.r_,1)))</f>
        <v>2.5</v>
      </c>
      <c r="EN12">
        <f t="shared" si="53"/>
        <v>4</v>
      </c>
      <c r="EO12" cm="1">
        <f t="array" ref="EO12">IF(OR(B12="",BZ12="",EC12&lt;&gt;1),"",_xlfn.LET(_xlpm.sz,Iдоп_S,_xlpm.t_,CHOOSE(EB12,Iдоп_1ж,Iдоп_2ж,Iдоп_3ж)*DZ12*EA12,_xlpm.ok,IFERROR((_xlpm.sz&gt;=MAX(1.5,CC12))*(_xlpm.t_&gt;=N(DT12)),0),_xlpm.r_,_xlfn._xlws.FILTER(_xlpm.sz,_xlpm.ok,""),INDEX(_xlpm.r_,1)))</f>
        <v>2.5</v>
      </c>
      <c r="EP12" s="6" cm="1">
        <f t="array" ref="EP12">IFERROR(ROUNDUP(N(EJ12)*(_xlfn.XLOOKUP(EO12,INDEX(Кабель_сопротивление,0,1),INDEX(Кабель_сопротивление,0,3))*N(P12)/EO12*N(CE12)+_xlfn.XLOOKUP(EO12,INDEX(Кабель_сопротивление,0,1),INDEX(Кабель_сопротивление,0,2))*N(P12)*N(EK12)/1000)*N(O12)/((Uн_лин/SQRT(3))*1000)*100,2),"")</f>
        <v>2.5</v>
      </c>
      <c r="EQ12">
        <f>IFERROR(2*ρкз_Cu*N(P12)/EO12,"")</f>
        <v>0.86264000000000007</v>
      </c>
      <c r="ER12">
        <f>IFERROR(VLOOKUP(EN12,Кабель_сопротивление,3,FALSE),"")</f>
        <v>2.2499999999999999E-2</v>
      </c>
      <c r="ES12">
        <f>IFERROR(VLOOKUP(EN12,Кабель_сопротивление,2,FALSE),"")</f>
        <v>9.5000000000000001E-2</v>
      </c>
      <c r="ET12">
        <f t="shared" si="54"/>
        <v>11</v>
      </c>
      <c r="EU12">
        <f t="shared" si="55"/>
        <v>0</v>
      </c>
      <c r="EV12">
        <f t="shared" si="56"/>
        <v>3.608283389615413</v>
      </c>
      <c r="EW12" s="6">
        <f>IFERROR(ROUNDUP(EV12/IF(BV12=1,BU12,(Uн_лин/SQRT(3))*1000)*100,2),"")</f>
        <v>1.57</v>
      </c>
      <c r="EX12" t="str">
        <f>IFERROR(VLOOKUP(BZ12,Кабель_обозначение,2,FALSE),"")</f>
        <v>ВВГнг(А)-LS</v>
      </c>
      <c r="EY12" t="str">
        <f t="shared" si="57"/>
        <v>ВВГнг(А)-LS (5х4)</v>
      </c>
      <c r="EZ12" t="str">
        <f t="shared" si="58"/>
        <v>ВВГнг(А)-LS (5х4)
L=41-1,57%</v>
      </c>
      <c r="FA12">
        <f>IFERROR(2*ρкз_Cu*P12/EN12,"")</f>
        <v>0.53915000000000002</v>
      </c>
      <c r="FB12">
        <f t="shared" si="59"/>
        <v>0.17937500000000001</v>
      </c>
      <c r="FC12" s="6" t="str">
        <f>IFERROR(IF(OR(B12="",BV12=1,NOT(ISNUMBER(EN12)),N(P12)=0),"",_xlfn.XLOOKUP(A12,Щиты[Щит],Щиты[Zпетли на шинах, Ом])+FA12),"")</f>
        <v/>
      </c>
      <c r="FD12" s="6" t="str">
        <f>IF(ISNUMBER(FC12),c_min*(Uн_лин*1000/SQRT(3))/FC12,"")</f>
        <v/>
      </c>
      <c r="FE12" s="6" t="str">
        <f>IFERROR(IF(OR(B12="",NOT(ISNUMBER(EN12))),"",1.05*(Uн_лин*1000/SQRT(3))/(_xlfn.XLOOKUP(A12,Щиты[Щит],Щиты[Zmax на шинах, Ом])+FB12)/1000),"")</f>
        <v/>
      </c>
      <c r="FF12" s="6" t="str">
        <f>IF(B12="","",IF(ISNUMBER(AC12),"Сил",IF(IFERROR(_xlfn.XLOOKUP(BC12,Коды_код,Коды_группа)&amp;"","")="","Быт",_xlfn.XLOOKUP(BC12,Коды_код,Коды_группа)&amp;"")))</f>
        <v>Быт</v>
      </c>
      <c r="FG12" s="6" t="str">
        <f t="shared" si="60"/>
        <v>Щит</v>
      </c>
      <c r="FH12" s="6" t="str">
        <f>IF(FG12="Щит","щит",IF(FG12="","",IF(FG12="Быт",IFERROR(_xlfn.XLOOKUP(A12,Щиты[Щит],Щиты[Кс быт]),1),IF(FG12="Сил",IF(ISNUMBER(AC12),AC12,IF(Методика="нормы 2026",IFERROR(_xlfn.XLOOKUP(A12,Щиты[Щит],Щиты[Кс силовых (табл. 7.5)]),1),1)),IF(OR(FG12="Пост",FG12="Отоп"),1,IF(FG12="ВНГ",0.7,0))))))</f>
        <v>щит</v>
      </c>
      <c r="FI12">
        <f>IF(FG12="","",IF(AND(BP12=1,TRIM(AE12&amp;"")=""),IF(COUNTIFS(Линии[Щит],A12,Линии[Секция (1/2/3)],"&gt;=2")&gt;0,MIN(3,MAX(1,IFERROR(--BD12,1))),1),IFERROR(MIN(3,MAX(1,INT(--AE12))),1)))</f>
        <v>1</v>
      </c>
      <c r="FJ12">
        <f t="shared" si="61"/>
        <v>0</v>
      </c>
      <c r="FK12">
        <f t="shared" si="62"/>
        <v>0</v>
      </c>
      <c r="FL12">
        <f t="shared" si="63"/>
        <v>0</v>
      </c>
      <c r="FM12">
        <f t="shared" si="64"/>
        <v>0</v>
      </c>
      <c r="FN12">
        <f t="shared" si="65"/>
        <v>0</v>
      </c>
      <c r="FO12">
        <f t="shared" si="66"/>
        <v>0</v>
      </c>
      <c r="FP12">
        <f t="shared" si="67"/>
        <v>11.860000000000001</v>
      </c>
      <c r="FQ12">
        <f t="shared" si="68"/>
        <v>0</v>
      </c>
      <c r="FR12">
        <f t="shared" si="69"/>
        <v>0</v>
      </c>
      <c r="FS12">
        <f>IF(CG12=1,IF(AND(CH12=1,CW12=1),0,IF(AND(CS12&lt;&gt;"",CS12=BA12,CW12=1),SUMIFS(Линии[_Р линии, кВт],Линии[_блок УЗО],BA12,Линии[Щит],A12),N(BS12)+IF(AJ12="вручную",0,N(CK12)))),0)</f>
        <v>11.860000000000001</v>
      </c>
      <c r="FT12" t="str">
        <f t="shared" si="70"/>
        <v/>
      </c>
      <c r="FU12" t="str">
        <f>IF(B12="","",IF(CG12=0,IF(BA12=1,"",FW11),IF(AND(CH12=1,CW12=1,CS12&lt;&gt;""),IFERROR(_xlfn.XLOOKUP(CS12,Линии[_n],Линии[_фаза итог]),"L1"),IF(OR(N(DL12)&gt;=3,N(BX12)&gt;=3),"L1,L2,L3",IFERROR(_xlfn.TEXTBEFORE(_xlfn.TEXTAFTER(_xlfn.XLOOKUP(A12,Щиты[Щит],Щиты[_фазы авто]),";"&amp;BA12&amp;":"),";"),"L1")))))</f>
        <v>L1,L2,L3</v>
      </c>
      <c r="FV12" t="str">
        <f t="shared" si="71"/>
        <v>L1,L2,L3</v>
      </c>
      <c r="FW12" t="str">
        <f t="shared" si="72"/>
        <v>L1,L2,L3</v>
      </c>
      <c r="FX12" cm="1">
        <f t="array" ref="FX12">IFERROR(IF(CD12=2,_xlfn.IFS(BX12=3,VLOOKUP(BS12,Справочная_двигатели,3,FALSE),BX12=1,VLOOKUP(BS12,Справочная_двигатели,5,TRUE)),0),0)</f>
        <v>0</v>
      </c>
      <c r="FY12">
        <f>IFERROR(IF(CD12=3,VLOOKUP(BS12,Справочная_ЛЭД,2,TRUE),0),0)</f>
        <v>0</v>
      </c>
      <c r="FZ12" s="6">
        <f t="shared" si="73"/>
        <v>0</v>
      </c>
      <c r="GA12" t="str">
        <f>IF(B12="","",IF(TRIM(AH12&amp;"")&lt;&gt;"",IF(LOWER(TRIM(AH12&amp;""))="да","да","нет"),IF(IFERROR(_xlfn.XLOOKUP(BC12,Коды_код,Коды_пожарная),"")="да","да","нет")))</f>
        <v>нет</v>
      </c>
      <c r="GB12" t="str">
        <f t="shared" si="74"/>
        <v/>
      </c>
      <c r="GC12" t="str">
        <f t="shared" si="75"/>
        <v>основная</v>
      </c>
      <c r="GD12">
        <f>IF(AND(BP12=1,TRIM(AE12&amp;"")=""),IF(COUNTIFS(Линии[Щит],A12,Линии[Секция (1/2/3)],"&gt;=2")&gt;0,MIN(3,MAX(1,IFERROR(--BD12,1))),1),IFERROR(MIN(3,MAX(1,INT(--AE12))),1))</f>
        <v>1</v>
      </c>
      <c r="GE12" t="str" cm="1">
        <f t="array" ref="GE12">IF(B12="","",_xlfn.LET(_xlpm.t,IFERROR(_xlfn.XLOOKUP(1,(Шины[Шина]=GC12)*(((Шины[Щит]=A12)+(Шины[Щит]=""))&gt;0),Шины[Тип]),"")&amp;"",IF(_xlpm.t&lt;&gt;"",_xlpm.t,IF(ISNUMBER(SEARCH("ИБП",GC12)),"ИБП",IF(ISNUMBER(SEARCH("ДГУ",GC12)),"ДГУ","Ввод "&amp;GD12)))))</f>
        <v>Ввод 1</v>
      </c>
      <c r="GF12" t="str">
        <f t="shared" si="76"/>
        <v>Ввод 1</v>
      </c>
      <c r="GG12" t="str">
        <f>IF(BP12=0,"",IF(TRIM(AG12&amp;"")&lt;&gt;"",TRIM(AG12&amp;""),IF(OR(GE12="ИБП",GE12="ДГУ"),"I особая",_xlfn.XLOOKUP(A12,Щиты[Щит],Щиты[Категория шины «Ввод»],"III"))))</f>
        <v/>
      </c>
      <c r="GH12" t="str">
        <f>IF(A12="","",_xlfn.XLOOKUP(A12,Щиты[Щит],Щиты[Путь],""))</f>
        <v>|ГРЩ-ЖД|</v>
      </c>
      <c r="GI12" t="str">
        <f>IF(B12="","",IF(AI12&lt;&gt;"",AI12,IF(IFERROR(_xlfn.XLOOKUP(BC12,Коды_код,Коды_вид)&amp;"","")="","Прочее",_xlfn.XLOOKUP(BC12,Коды_код,Коды_вид)&amp;"")))</f>
        <v>Распределительные щиты жилой части</v>
      </c>
      <c r="GJ12">
        <f>IF(BM12="","",INT((BM12-1)/Столбцов_на_лист)+1)</f>
        <v>2</v>
      </c>
      <c r="GK12" t="str">
        <f t="shared" si="77"/>
        <v>ВВГнг(А)-LS (5х4) L=41-1,57%</v>
      </c>
      <c r="GL12">
        <f t="shared" si="78"/>
        <v>11.860000000000001</v>
      </c>
      <c r="GM12">
        <f t="shared" si="79"/>
        <v>16.380000000000003</v>
      </c>
      <c r="GN12">
        <f t="shared" si="80"/>
        <v>3</v>
      </c>
      <c r="GO12">
        <f t="shared" si="81"/>
        <v>0</v>
      </c>
      <c r="GP12">
        <f t="shared" si="82"/>
        <v>1</v>
      </c>
      <c r="GQ12">
        <f>IF(BM12="","",IF(AND(CG12=1,GP12=1),COUNTIFS(A$3:A12,A12,CG$3:CG12,1,GP$3:GP12,1),IF(OR(OR(BA12=1,A12&lt;&gt;A11),AJ12="вручную",GP12=0),"",IF(BA12=1,"",GR11))))</f>
        <v>8</v>
      </c>
      <c r="GR12">
        <f t="shared" si="83"/>
        <v>8</v>
      </c>
      <c r="GS12">
        <f>IF(B12="","",IFERROR(LOOKUP(INDEX(CHOOSE(EB12,Iдоп_1ж,Iдоп_2ж,Iдоп_3ж),MATCH(EN12,Iдоп_S,0))*DZ12*EA12,{6,10,16,20,25,32,40,50,63,80,100,125,160,200,250,315,400,500,630}),""))</f>
        <v>32</v>
      </c>
      <c r="GT12" t="str">
        <f t="shared" si="84"/>
        <v>QF8</v>
      </c>
      <c r="GU12" t="str">
        <f t="shared" si="85"/>
        <v>QF8</v>
      </c>
      <c r="GV12" t="str">
        <f t="shared" si="86"/>
        <v/>
      </c>
      <c r="GW12">
        <f t="shared" si="87"/>
        <v>0</v>
      </c>
      <c r="GX12" t="str">
        <f>IF(OR(B12="",DJ12=""),"",IFERROR(_xlfn.XLOOKUP(DJ12,Модули_умолч[Управление],Модули_умолч[Модель])&amp;"",""))</f>
        <v/>
      </c>
      <c r="GY12">
        <f>IF(DJ12="",1,IFERROR(MAX(0,N(_xlfn.XLOOKUP(DJ12,Модули_умолч[Управление],Модули_умолч[Каналов на линию]))),1))</f>
        <v>1</v>
      </c>
      <c r="GZ12" t="str">
        <f t="shared" si="88"/>
        <v/>
      </c>
      <c r="HA12" t="str">
        <f t="shared" si="89"/>
        <v/>
      </c>
      <c r="HB12" t="str">
        <f t="shared" si="90"/>
        <v/>
      </c>
      <c r="HC12">
        <f>IF(HB12="",0,IFERROR(N(VLOOKUP(HB12,Модули_спр,3,FALSE)),0))</f>
        <v>0</v>
      </c>
      <c r="HD12" t="str">
        <f t="shared" si="91"/>
        <v/>
      </c>
      <c r="HE12" t="str">
        <f t="shared" si="92"/>
        <v/>
      </c>
      <c r="HF12" t="str">
        <f>IF(OR(HE12="",HE12="-"),"",IFERROR(VLOOKUP(HE12,Модули_спр,2,FALSE),"R"))</f>
        <v/>
      </c>
      <c r="HG12" t="str">
        <f>IF(HF12="","",HF12&amp;"."&amp;COUNTIFS(A$3:A12,A12,HF$3:HF12,HF12))</f>
        <v/>
      </c>
      <c r="HH12" t="str">
        <f t="shared" si="93"/>
        <v/>
      </c>
      <c r="HI12" t="str">
        <f t="shared" si="94"/>
        <v/>
      </c>
      <c r="HJ12" t="str">
        <f t="shared" si="95"/>
        <v/>
      </c>
      <c r="HK12" t="str">
        <f t="shared" si="96"/>
        <v/>
      </c>
      <c r="HL12">
        <f t="shared" si="97"/>
        <v>1</v>
      </c>
      <c r="HM12" t="str">
        <f>IF(HL12=1,"XT"&amp;COUNTIFS(A$3:A12,A12,HL$3:HL12,1),"")</f>
        <v>XT7</v>
      </c>
      <c r="HN12" t="str">
        <f t="shared" si="98"/>
        <v/>
      </c>
      <c r="HO12" t="str">
        <f t="shared" si="99"/>
        <v>QF8</v>
      </c>
      <c r="HP12" t="str">
        <f t="shared" si="100"/>
        <v/>
      </c>
      <c r="HQ12" t="str">
        <f t="shared" si="101"/>
        <v>ok</v>
      </c>
      <c r="HR12" t="str">
        <f>IF(OR(HJ12="",HH12=""),"",IF(HJ12+MAX(0,GY12-1)&gt;IFERROR(VLOOKUP(HI12,Модули_спр,3,FALSE),99),"ЛИШНИЙ КАНАЛ",IF(AND(AL12&lt;&gt;"=",GY12&gt;0,COUNTIFS(Линии[_модуль гр.],HH12,Линии[Канал (итог)],HJ12,Линии[Канал],"&lt;&gt;=",Линии[Щит],A12)&gt;1),"ДУБЛЬ КАНАЛА","")))</f>
        <v/>
      </c>
      <c r="HS12" s="6" t="str">
        <f t="shared" si="102"/>
        <v/>
      </c>
      <c r="HT12">
        <f t="shared" si="103"/>
        <v>10</v>
      </c>
      <c r="HU12" t="str">
        <f t="shared" si="104"/>
        <v/>
      </c>
      <c r="HV12">
        <f t="shared" si="105"/>
        <v>0</v>
      </c>
      <c r="HW12">
        <f t="shared" si="106"/>
        <v>0</v>
      </c>
      <c r="HX12">
        <f t="shared" si="107"/>
        <v>0</v>
      </c>
      <c r="HY12">
        <f t="shared" si="108"/>
        <v>0</v>
      </c>
      <c r="HZ12">
        <f t="shared" si="109"/>
        <v>0</v>
      </c>
      <c r="IA12">
        <f t="shared" si="110"/>
        <v>0</v>
      </c>
      <c r="IB12">
        <f t="shared" si="111"/>
        <v>0</v>
      </c>
      <c r="IC12" t="str">
        <f t="shared" si="112"/>
        <v/>
      </c>
      <c r="ID12" t="str" cm="1">
        <f t="array" ref="ID12">IF(IC12="","",_xlfn.LET(_xlpm.tk,_xlfn.TEXTSPLIT(SUBSTITUTE(SUBSTITUTE(IC12,";"," "),"→"," ")," ",,TRUE),_xlpm.w_,_xlfn._xlws.FILTER(_xlpm.tk,ISNUMBER(--LEFT(_xlpm.tk,1))*((ISNUMBER(SEARCH("W",_xlpm.tk))+ISNUMBER(SEARCH("Вт",_xlpm.tk)))&gt;0),""),IFERROR(--SUBSTITUTE(SUBSTITUTE(UPPER(INDEX(_xlpm.w_,1)),"W",""),"ВТ",""),"")))</f>
        <v/>
      </c>
      <c r="IE12" t="str" cm="1">
        <f t="array" ref="IE12">IF(IC12="","",_xlfn.LET(_xlpm.tk,_xlfn.TEXTSPLIT(SUBSTITUTE(SUBSTITUTE(IC12,";"," "),"→"," ")," ",,TRUE),_xlpm.v_,_xlfn._xlws.FILTER(_xlpm.tk,ISNUMBER(--LEFT(_xlpm.tk,1))*((ISNUMBER(SEARCH("V",_xlpm.tk))+(RIGHT(UPPER(_xlpm.tk))="В"))&gt;0),""),IFERROR(--SUBSTITUTE(SUBSTITUTE(UPPER(INDEX(_xlpm.v_,1)),"V",""),"В",""),"")))</f>
        <v/>
      </c>
      <c r="IF12" s="6" t="str">
        <f>IF(OR(BV12=0,HI12="",HJ12=""),"",IFERROR(N(_xlfn.XLOOKUP(HI12,Каталог!$C$4:$C$500,Каталог!$Q$4:$Q$500)),""))</f>
        <v/>
      </c>
      <c r="IG12" s="6" t="str">
        <f>IF(N(IF12)=0,"",SUMIFS(Линии[Iр, А],Линии[Щит],A12,Линии[_модуль гр.],HH12,Линии[Канал (итог)],HJ12))</f>
        <v/>
      </c>
      <c r="IH12" t="str">
        <f>IF(AND(B12="",HO12=""),"",_xlfn.TEXTJOIN("; ",TRUE,IF(AND(B12&lt;&gt;"",FV12=""),"нет фазы",""),IF(AND(B12&lt;&gt;"",N(GL12)=0,FG12&lt;&gt;"Нет"),"нет мощности",""),IF(AND(HN12&lt;&gt;"",COUNTIFS(Линии[Щит],A12,Линии[Клемма (итог)],HN12)&gt;1),"дубль клеммы "&amp;HN12,""),IF(AND(HQ12&lt;&gt;"",HQ12&lt;&gt;"ok"),HQ12,""),IF(HR12&lt;&gt;"",HR12,""),IF(AND(N(CB12)&gt;=4,N(BX12)=1),CB12&amp;" жил на 1 фазе",""),IF(AND(BC12="R",CG12=1,IF(CS12&lt;&gt;"",N(CV12)&gt;30,OR(N(DA12)=0,N(DA12)&gt;30))),"розетка без дифзащиты до 30 мА",""),IF(AND(CG12=1,N(DA12)&gt;0,ISNUMBER(T12)),IF(T12&gt;N(DA12)/3,"ток утечки "&amp;FIXED(T12,1)&amp;" мА &gt; 1/3 уставки ("&amp;DA12&amp;" мА)",""),""),IF(AND(CH12=1,CS12=""),"«узо»: нет строки с УЗО выше (УЗО 2P 40А 30мА в «Аппаратах»)",""),IF(AND(CS12&lt;&gt;"",CS12=BA12),IF(CT12="","впишите номинал УЗО (УЗО 2P 40А 30мА)",IF(N(CT12)&lt;N(DT12),"УЗО "&amp;CT12&amp;" А &lt; автомата "&amp;DT12&amp;" А перед ним",IF(N(CT12)&lt;N(CX12),"УЗО "&amp;CT12&amp;" А &lt; тока блока "&amp;FIXED(CX12,1)&amp;" А",""))),""),IF(AND(CS12&lt;&gt;"",CS12=BA12,ISNUMBER(CY12)),IF(CY12&gt;N(CV12)/3,"ток утечки блока УЗО "&amp;FIXED(CY12,1)&amp;" мА &gt; 1/3 уставки ("&amp;CV12&amp;" мА)",""),""),IF(AND(CG12=1,N(BV12)+N(IB12)&gt;0,IC12=""),"линии до 50 В без БП: впишите в «Аппараты» (БП 24V 480W)",""),IF(AND(CG12=1,ISNUMBER(ID12),ISNUMBER(U12)),IF(U12&gt;ID12,"БП "&amp;ID12&amp;" Вт &lt; нужно "&amp;U12&amp;" Вт (×"&amp;Запас_БП&amp;")",""),""),IF(AND(CG12=1,ISNUMBER(IE12),N(BV12)=1),IF(IE12&lt;&gt;N(BU12),"БП на "&amp;IE12&amp;" В, линия "&amp;BU12&amp;" В",""),""),IF(AND(N(IF12)&gt;0,N(IG12)&gt;N(IF12)),HH12&amp;" канал "&amp;HJ12&amp;": "&amp;FIXED(IG12,1)&amp;" А &gt; "&amp;IF12&amp;" А",""),IFERROR(IF(AND(ISNUMBER(Q12),Q12&gt;EL12),"потери "&amp;FIXED(Q12,1)&amp;" % &gt; "&amp;EL12&amp;" %",""),""),IFERROR(IF(LEFT(HU12,4)="мало","Iкз мало — отключение &gt; 0,4 с",""),""),IF(AND(B12&lt;&gt;"",BM12=""),"не на схеме",""),IF(AND(CG12=0,B12&lt;&gt;"",FV12&lt;&gt;"",IF(BA12=1,"",FW11)&lt;&gt;"",FV12&lt;&gt;IF(BA12=1,"",FW11)),"фаза не как у автомата группы ("&amp;IF(BA12=1,"",FW11)&amp;")","")))</f>
        <v/>
      </c>
      <c r="II12" s="6">
        <f>IF(OR(CG12=0,DQ12=""),"",_xlfn.LET(_xlpm.t,IFERROR(_xlfn.XLOOKUP(DQ12,Каталог!$U$4:$U$500,Каталог!$G$4:$G$500),""),_xlpm.k,SEARCH("кА",_xlpm.t),IFERROR(--TRIM(RIGHT(SUBSTITUTE(MID(_xlpm.t,MAX(1,_xlpm.k-4),_xlpm.k-MAX(1,_xlpm.k-4))," ",REPT(" ",9)),5)),"")))</f>
        <v>6</v>
      </c>
      <c r="IJ12" t="str">
        <f>IF(OR(II12="",CG12=0),"",IF(_xlfn.XLOOKUP(A12,Щиты[Щит],Щиты[Iкз max на шинах, кА],"")="","",IF(II12&lt;_xlfn.XLOOKUP(A12,Щиты[Щит],Щиты[Iкз max на шинах, кА]),"Icu "&amp;II12&amp;" кА &lt; Iкз max","ok")))</f>
        <v/>
      </c>
      <c r="IK12" t="str">
        <f t="shared" si="113"/>
        <v/>
      </c>
      <c r="IL12" t="str">
        <f t="shared" si="114"/>
        <v>QF8</v>
      </c>
      <c r="IM12" t="str">
        <f t="shared" si="115"/>
        <v>QF8|кабель ВВГнг(А)-LS (5х4) → Щит распределительный ЩР-001 Подвальный этаж этаж Пом. №00.004Т</v>
      </c>
      <c r="IN12" t="str" cm="1">
        <f t="array" ref="IN12">IF(IM12="","",_xlfn.LET(_xlpm.nd,_xlfn.TEXTSPLIT(IM12,"|"),IF(COLUMNS(_xlpm.nd)&gt;1,A12&amp;"¦"&amp;INDEX(_xlpm.nd,1)&amp;"¦"&amp;INDEX(_xlpm.nd,2),"")))</f>
        <v>ГРЩ-ЖД¦QF8¦кабель ВВГнг(А)-LS (5х4) → Щит распределительный ЩР-001 Подвальный этаж этаж Пом. №00.004Т</v>
      </c>
      <c r="IO12" t="str">
        <f t="shared" si="116"/>
        <v>ЩР-001¦Щит распределительный ЩР-001 Подвальный этаж этаж Пом. №00.004Т</v>
      </c>
      <c r="IP12" t="str" cm="1">
        <f t="array" ref="IP12">IF(IM12="","",_xlfn.LET(_xlpm.nd,_xlfn.TEXTSPLIT(IM12,"|"),IF(COLUMNS(_xlpm.nd)&gt;2,A12&amp;"¦"&amp;INDEX(_xlpm.nd,2)&amp;"¦"&amp;INDEX(_xlpm.nd,3),"")))</f>
        <v/>
      </c>
      <c r="IQ12" t="str">
        <f t="shared" si="117"/>
        <v/>
      </c>
      <c r="IR12" t="str" cm="1">
        <f t="array" ref="IR12">IF(IM12="","",_xlfn.LET(_xlpm.nd,_xlfn.TEXTSPLIT(IM12,"|"),IF(COLUMNS(_xlpm.nd)&gt;3,A12&amp;"¦"&amp;INDEX(_xlpm.nd,3)&amp;"¦"&amp;INDEX(_xlpm.nd,4),"")))</f>
        <v/>
      </c>
      <c r="IS12" t="str">
        <f t="shared" si="118"/>
        <v/>
      </c>
      <c r="IT12" t="str" cm="1">
        <f t="array" ref="IT12">IF(IM12="","",_xlfn.LET(_xlpm.nd,_xlfn.TEXTSPLIT(IM12,"|"),IF(COLUMNS(_xlpm.nd)&gt;4,A12&amp;"¦"&amp;INDEX(_xlpm.nd,4)&amp;"¦"&amp;INDEX(_xlpm.nd,5),"")))</f>
        <v/>
      </c>
      <c r="IU12" t="str">
        <f t="shared" si="119"/>
        <v/>
      </c>
      <c r="IV12" t="str" cm="1">
        <f t="array" ref="IV12">IF(IM12="","",_xlfn.LET(_xlpm.nd,_xlfn.TEXTSPLIT(IM12,"|"),IF(COLUMNS(_xlpm.nd)&gt;5,A12&amp;"¦"&amp;INDEX(_xlpm.nd,5)&amp;"¦"&amp;INDEX(_xlpm.nd,6),"")))</f>
        <v/>
      </c>
      <c r="IW12" t="str">
        <f t="shared" si="120"/>
        <v/>
      </c>
      <c r="IX12" t="str" cm="1">
        <f t="array" ref="IX12">IF(IM12="","",_xlfn.LET(_xlpm.nd,_xlfn.TEXTSPLIT(IM12,"|"),IF(COLUMNS(_xlpm.nd)&gt;6,A12&amp;"¦"&amp;INDEX(_xlpm.nd,6)&amp;"¦"&amp;INDEX(_xlpm.nd,7),"")))</f>
        <v/>
      </c>
      <c r="IY12" t="str">
        <f t="shared" si="121"/>
        <v/>
      </c>
      <c r="IZ12" t="str">
        <f t="shared" si="122"/>
        <v/>
      </c>
      <c r="JA12" t="str">
        <f t="shared" si="123"/>
        <v>QF8</v>
      </c>
      <c r="JB12">
        <f t="shared" si="124"/>
        <v>0</v>
      </c>
      <c r="JC12">
        <f t="shared" si="125"/>
        <v>0</v>
      </c>
      <c r="JD12" t="str">
        <f t="shared" si="126"/>
        <v/>
      </c>
      <c r="JE12" t="str">
        <f t="shared" si="127"/>
        <v/>
      </c>
      <c r="JF12" t="str">
        <f t="shared" si="128"/>
        <v/>
      </c>
      <c r="JG12" t="str">
        <f t="shared" si="129"/>
        <v/>
      </c>
      <c r="JH12">
        <f>IF(B12="","",IFERROR(_xlfn.XLOOKUP(B12,Коды_код,Коды_уго),IFERROR(_xlfn.XLOOKUP(BC12,Коды_код,Коды_уго),IFERROR(_xlfn.XLOOKUP(LEFT(BC12,2),Коды_код,Коды_уго),""))))</f>
        <v>0</v>
      </c>
      <c r="JI12" t="str">
        <f>IF(B12="","",IF(OR(JH12="",JH12=0),"BOX",IFERROR(IF(VLOOKUP(JH12,УГО_блоки,3,FALSE)&amp;""&lt;&gt;"",VLOOKUP(JH12,УГО_блоки,3,FALSE),VLOOKUP(JH12,УГО_блоки,2,FALSE)),JH12)))</f>
        <v>BOX</v>
      </c>
      <c r="JJ12">
        <f t="shared" si="130"/>
        <v>1</v>
      </c>
      <c r="JK12" t="str">
        <f>IF(DQ12="","",IF(COUNTIF(DQ$3:DQ12,DQ12)=1,MAX(JK$2:JK11)+1,""))</f>
        <v/>
      </c>
      <c r="JL12" t="str">
        <f>IF(DE12="","",IF(COUNTIF(DE$3:DE12,DE12)+COUNTIF(DF$2:DF11,DE12)+COUNTIF(DG$2:DG11,DE12)=1,MAX(JL$2:JN11)+1,""))</f>
        <v/>
      </c>
      <c r="JM12" t="str">
        <f>IF(DF12="","",IF(COUNTIF(DE$3:DE12,DF12)+COUNTIF(DF$3:DF12,DF12)+COUNTIF(DG$2:DG11,DF12)=1,MAX(JL$2:JN11,JL12)+1,""))</f>
        <v/>
      </c>
      <c r="JN12" t="str">
        <f>IF(DG12="","",IF(COUNTIF(DE$3:DE12,DG12)+COUNTIF(DF$3:DF12,DG12)+COUNTIF(DG$3:DG12,DG12)=1,MAX(JL$2:JN11,JL12,JM12)+1,""))</f>
        <v/>
      </c>
      <c r="JO12" t="str">
        <f t="shared" si="131"/>
        <v>5х4</v>
      </c>
      <c r="JP12" t="str">
        <f>IF(JO12="","",IF(COUNTIF(JO$3:JO12,JO12)=1,MAX(JP$2:JP11)+1,""))</f>
        <v/>
      </c>
      <c r="JQ12" t="str">
        <f>IF(HG12="","",COUNTIF(HG$3:HG12,"?*"))</f>
        <v/>
      </c>
      <c r="JR12" t="str">
        <f>IF(OR(HG12="",HI12=""),"",IF(COUNTIFS(HG$3:HG12,"?*",HI$3:HI12,HI12)=1,MAX(JR$2:JR11)+1,""))</f>
        <v/>
      </c>
      <c r="JS12">
        <f t="shared" si="132"/>
        <v>0</v>
      </c>
      <c r="JT12">
        <f>IF(B12="","",COUNTIF(B$3:B12,"?*"))</f>
        <v>10</v>
      </c>
      <c r="JU12">
        <f>IF(HL12&lt;&gt;1,0,_xlfn.LET(_xlpm.k,MAX(IFERROR(--_xlfn.XLOOKUP(B12,Коды_код,Коды_3L),0),IFERROR(--_xlfn.XLOOKUP(BC12,Коды_код,Коды_3L),0),IFERROR(--_xlfn.XLOOKUP(LEFT(BC12,2),Коды_код,Коды_3L),0)),IF(_xlpm.k&gt;0,_xlpm.k,IF(IFERROR(--LEFT(SUBSTITUTE(JO12,"x","х"),FIND("х",SUBSTITUTE(JO12,"x","х"))-1),3)&gt;3,Каталог!$S$9,1))))</f>
        <v>1</v>
      </c>
      <c r="JV12">
        <f t="shared" si="133"/>
        <v>2</v>
      </c>
      <c r="JW12" t="str">
        <f t="shared" si="134"/>
        <v>авто</v>
      </c>
      <c r="JX12" t="str">
        <f t="shared" si="135"/>
        <v/>
      </c>
      <c r="JY12">
        <f t="shared" si="136"/>
        <v>0</v>
      </c>
      <c r="JZ12">
        <f t="shared" si="137"/>
        <v>1</v>
      </c>
    </row>
    <row r="13" spans="1:286" x14ac:dyDescent="0.3">
      <c r="A13" t="s">
        <v>783</v>
      </c>
      <c r="B13" t="s">
        <v>755</v>
      </c>
      <c r="C13" t="s">
        <v>754</v>
      </c>
      <c r="D13">
        <v>1</v>
      </c>
      <c r="E13">
        <v>24.41</v>
      </c>
      <c r="G13">
        <v>40</v>
      </c>
      <c r="H13" t="str">
        <f>Линии[[#This Row],[_авто управление]]</f>
        <v/>
      </c>
      <c r="I13" t="str">
        <f>Линии[[#This Row],[_авто аппараты]]</f>
        <v/>
      </c>
      <c r="J13">
        <v>10</v>
      </c>
      <c r="K13">
        <v>14</v>
      </c>
      <c r="L13" t="str">
        <f>Линии[[#This Row],[_авто фаза]]</f>
        <v>L1,L2,L3</v>
      </c>
      <c r="M13" t="s">
        <v>484</v>
      </c>
      <c r="N13" t="str">
        <f t="shared" si="0"/>
        <v/>
      </c>
      <c r="O13" s="6" cm="1">
        <f t="array" ref="O13">IF(B13="","",IF(BH13&lt;&gt;"",IFERROR(_xlfn.XLOOKUP(BH13,Щиты[Щит],Щиты[Iр, А]),""),IF(BP13=1,IF(OR(N(_xlfn.XLOOKUP(A13,Щиты[Щит],Щиты[Вводов],1))&lt;=1,LOWER(TRIM(_xlfn.XLOOKUP(A13,Щиты[Щит],Щиты[АВР],"")&amp;""))="да"),IFERROR(_xlfn.XLOOKUP(A13,Щиты[Щит],Щиты[Iр, А]),""),IFERROR(N(BS13)*_xlfn.XLOOKUP(A13,Щиты[Щит],Щиты[Кс итог])/(SQRT(3)*Uн_лин*_xlfn.XLOOKUP(A13,Щиты[Щит],Щиты[cos φ])),"")),IF(BV13=1,IFERROR(BS13*1000/BU13,""),IFERROR(_xlfn.IFS(BX13=1,BS13/((Uн_лин/SQRT(3))*CE13),BX13=3,BS13/(SQRT(3)*Uн_лин*CE13)),"")))))</f>
        <v>32.798575666043085</v>
      </c>
      <c r="P13" s="7">
        <f>IF(B13="","",IFERROR(IF(VLOOKUP(BC13,Потребители_обозначение,4,FALSE)=1,VLOOKUP(BC13,Потребители_обозначение,3,FALSE)*(MAX(1,N(D13))*2-1)+EI13+VLOOKUP(BE13,Этаж_обозначение,3,FALSE)+VLOOKUP(BE13,Этаж_обозначение,4,FALSE),VLOOKUP(BC13,Потребители_обозначение,3,FALSE)*(MAX(1,N(D13))*2-1)+EI13),EI13))</f>
        <v>14</v>
      </c>
      <c r="Q13" s="6">
        <f t="shared" si="1"/>
        <v>0.43</v>
      </c>
      <c r="R13" t="str">
        <f t="shared" si="2"/>
        <v>ВВГнг(А)-LS (5х10)</v>
      </c>
      <c r="S13" t="str">
        <f>IF(BM13="","",IF(BN13="вводной узел","узел ","")&amp;"л."&amp;(INT((BM13-1)/Столбцов_на_лист)+1)&amp;" / "&amp;(MOD(BM13-1,Столбцов_на_лист)+1))</f>
        <v>л.2 / 8</v>
      </c>
      <c r="T13" s="119" t="str">
        <f t="shared" si="3"/>
        <v/>
      </c>
      <c r="U13" s="7" t="str">
        <f>IF(OR(CG13=0,N(BV13)+N(IB13)=0),"",ROUNDUP(Запас_БП*(N(HY13)+N(HZ13)),0))</f>
        <v/>
      </c>
      <c r="V13" s="119" t="str">
        <f t="shared" si="4"/>
        <v/>
      </c>
      <c r="W13" s="7" t="str">
        <f>IFERROR(IF(OR(B13="",BP13=1,BV13=1,NOT(ISNUMBER(EN13)),N(DT13)=0),"",MAX(0,ROUNDDOWN((c_min*(Uн_лин*1000/SQRT(3))/(HT13*N(DT13))-_xlfn.XLOOKUP(A13,Щиты[Щит],Щиты[Zпетли на шинах, Ом]))*EN13/(2*ρкз_Cu),0))),"")</f>
        <v/>
      </c>
      <c r="Y13" t="str">
        <f>Линии[[#This Row],[_авто утечка]]</f>
        <v/>
      </c>
      <c r="Z13">
        <v>3</v>
      </c>
      <c r="AA13">
        <v>400</v>
      </c>
      <c r="AB13" t="s">
        <v>562</v>
      </c>
      <c r="AE13">
        <v>1</v>
      </c>
      <c r="AG13" t="s">
        <v>810</v>
      </c>
      <c r="AI13" t="s">
        <v>617</v>
      </c>
      <c r="AK13" t="str">
        <f>Линии[[#This Row],[_авто модуль]]</f>
        <v/>
      </c>
      <c r="AM13">
        <v>25</v>
      </c>
      <c r="AN13" t="s">
        <v>11</v>
      </c>
      <c r="AO13">
        <v>5</v>
      </c>
      <c r="AQ13">
        <v>0</v>
      </c>
      <c r="AR13">
        <v>14</v>
      </c>
      <c r="AS13">
        <v>0</v>
      </c>
      <c r="BA13" cm="1">
        <f t="array" ref="BA13">ROW()-ROW(Линии[#Headers])</f>
        <v>11</v>
      </c>
      <c r="BC13" s="6" t="str">
        <f t="shared" si="5"/>
        <v>ЩР-01</v>
      </c>
      <c r="BD13" t="str">
        <f t="shared" si="6"/>
        <v/>
      </c>
      <c r="BE13" t="str">
        <f t="shared" si="7"/>
        <v/>
      </c>
      <c r="BF13" t="str">
        <f t="shared" si="8"/>
        <v/>
      </c>
      <c r="BG13" t="str">
        <f t="shared" si="9"/>
        <v/>
      </c>
      <c r="BH13" t="str">
        <f>IF(X13&lt;&gt;"",X13,IF(AND(B13&lt;&gt;"",B13&lt;&gt;A13,ISNUMBER(_xlfn.XMATCH(B13,Щиты[Щит]))),B13,""))</f>
        <v>ЩР-01</v>
      </c>
      <c r="BI13" t="str" cm="1">
        <f t="array" ref="BI13">IF(B13="","",IF(BH13&lt;&gt;"","Щит "&amp;BH13,_xlfn.LET(_xlpm.nm,IFERROR(_xlfn.XLOOKUP(BC13,Коды_код,Коды_имя)&amp;"",""),_xlpm.md,IFERROR(N(_xlfn.XLOOKUP(BC13,Коды_код,Коды_режим)),1),_xlpm.ex,IF(Имя_режим="по экспликации",IFERROR(_xlfn.XLOOKUP(BE13&amp;"|"&amp;BG13,Экспликация[Этаж]&amp;"|"&amp;Экспликация[Помещение],Экспликация[Название])&amp;"",""),""),_xlpm.rm,IF(BG13="","",IF(_xlpm.ex&lt;&gt;"",". "&amp;_xlpm.ex&amp;IF(Имя_пом="нет"," ("&amp;BG13&amp;")"," (пом. "&amp;BG13&amp;")"),IF(Имя_пом="нет"," ",", пом. ")&amp;BG13)),IF(_xlpm.nm="","",IF(_xlpm.md=2,_xlpm.nm&amp;" шлейф "&amp;BE13,_xlpm.nm&amp;_xlpm.rm)))))</f>
        <v>Щит ЩР-01</v>
      </c>
      <c r="BJ13" t="str">
        <f t="shared" si="10"/>
        <v>Щит распределительный ЩР-01 Цокольный этаж этаж Пом. №0.001Т</v>
      </c>
      <c r="BK13">
        <f>IFERROR(_xlfn.XMATCH(A13,Щиты[Щит]),0)</f>
        <v>1</v>
      </c>
      <c r="BL13">
        <f>_xlfn.LET(_xlpm.k,IFERROR(_xlfn.XLOOKUP(A13,Щиты[Щит],Щиты[Мест под вводной узел]),""),IF(_xlpm.k="",Столбцов_на_лист,N(_xlpm.k)))</f>
        <v>6</v>
      </c>
      <c r="BM13">
        <f t="shared" si="11"/>
        <v>25</v>
      </c>
      <c r="BN13" t="str">
        <f t="shared" si="12"/>
        <v>линии</v>
      </c>
      <c r="BO13" s="6">
        <f>IFERROR(N(_xlfn.XLOOKUP(BC13,Коды_код,Коды_квт)),0)</f>
        <v>0</v>
      </c>
      <c r="BP13">
        <f t="shared" si="13"/>
        <v>0</v>
      </c>
      <c r="BQ13">
        <f>IF(B13="","",IF(BH13&lt;&gt;"",IFERROR(_xlfn.XLOOKUP(BH13,Щиты[Щит],Щиты[Руст, кВт]),0),IF(BP13=1,IF(OR(N(_xlfn.XLOOKUP(A13,Щиты[Щит],Щиты[Вводов],1))&lt;=1,LOWER(TRIM(_xlfn.XLOOKUP(A13,Щиты[Щит],Щиты[АВР],"")&amp;""))="да"),IFERROR(_xlfn.XLOOKUP(A13,Щиты[Щит],Щиты[Руст, кВт]),0),SUMIFS(Линии[_Р для вводов],Линии[Щит],A13,Линии[Источник для режимов],GF13)),IF(BO13&gt;0,ROUND(BO13*MAX(1,N(D13)),3),""))))</f>
        <v>24.405000000000005</v>
      </c>
      <c r="BR13">
        <f t="shared" si="14"/>
        <v>24.41</v>
      </c>
      <c r="BS13" s="6">
        <f>IF(B13="","",IF(BH13&lt;&gt;"",IFERROR(_xlfn.XLOOKUP(BH13,Щиты[Щит],Щиты[Руст, кВт]),0),N(BR13)))</f>
        <v>24.405000000000005</v>
      </c>
      <c r="BT13" t="str">
        <f>IF(B13="","",IFERROR(IF(VLOOKUP(BC13,Потребители_обозначение,8,FALSE)=0,"",VLOOKUP(BC13,Потребители_обозначение,8,FALSE)),""))</f>
        <v/>
      </c>
      <c r="BU13">
        <f t="shared" si="15"/>
        <v>400</v>
      </c>
      <c r="BV13">
        <f t="shared" si="16"/>
        <v>0</v>
      </c>
      <c r="BW13">
        <f>IF(B13="","",IF(BH13&lt;&gt;"",3,IFERROR(IF(N(VLOOKUP(BC13,Потребители_обозначение,9,FALSE))=0,1,VLOOKUP(BC13,Потребители_обозначение,9,FALSE)),1)))</f>
        <v>3</v>
      </c>
      <c r="BX13">
        <f t="shared" si="17"/>
        <v>3</v>
      </c>
      <c r="BY13" t="str">
        <f>IF(B13="","",_xlfn.LET(_xlpm.bc,IFERROR(IF(VLOOKUP(BC13,Потребители_обозначение,6,FALSE)=0,"",VLOOKUP(BC13,Потребители_обозначение,6,FALSE)&amp;""),""),IF(AND(GA13="да",OR(_xlpm.bc="",_xlpm.bc="мс")),Марка_пож,IF(AND(_xlpm.bc="",BH13&lt;&gt;""),"мс",_xlpm.bc))))</f>
        <v>мс</v>
      </c>
      <c r="BZ13" t="str">
        <f t="shared" si="18"/>
        <v>мс</v>
      </c>
      <c r="CA13">
        <f>IF(B13="","",_xlfn.LET(_xlpm.cc,IFERROR(N(VLOOKUP(BC13,Потребители_обозначение,7,FALSE)),0),IF(_xlpm.cc&gt;0,_xlpm.cc,IF(BZ13="","",IF(BV13=1,2,IF(N(BX13)=3,5,3))))))</f>
        <v>5</v>
      </c>
      <c r="CB13">
        <f t="shared" si="19"/>
        <v>5</v>
      </c>
      <c r="CC13">
        <f>IFERROR(N(VLOOKUP(BC13,Потребители_обозначение,10,FALSE)),0)</f>
        <v>0</v>
      </c>
      <c r="CD13">
        <f>IFERROR(VLOOKUP(BC13,Потребители_обозначение,5,FALSE),0)</f>
        <v>0</v>
      </c>
      <c r="CE13" s="6" cm="1">
        <f t="array" ref="CE13">IF(B13="","",IF(BH13&lt;&gt;"",IFERROR(_xlfn.XLOOKUP(BH13,Щиты[Щит],Щиты[cos φ]),0.95),IF(BP13=1,IFERROR(_xlfn.XLOOKUP(A13,Щиты[Щит],Щиты[cos φ]),0.95),IF(ISNUMBER(AD13),AD13,IFERROR(IF(CD13=2,_xlfn.IFS(BX13=3,VLOOKUP(BS13,Справочная_двигатели,8,FALSE),BX13=1,VLOOKUP(BS13,Справочная_двигатели,10,TRUE)),IF(AND(Методика="нормы 2026",FG13="Сил"),0.8,0.95)),0.95)))))</f>
        <v>0.95000000000000018</v>
      </c>
      <c r="CF13">
        <f t="shared" si="20"/>
        <v>0</v>
      </c>
      <c r="CG13">
        <f t="shared" si="21"/>
        <v>1</v>
      </c>
      <c r="CH13">
        <f t="shared" si="22"/>
        <v>0</v>
      </c>
      <c r="CI13">
        <f>IF(B13="","",IF(BV13=1,IFERROR(BS13/((Uн_лин/SQRT(3))*MAX(0.5,N(CE13))),0),N(O13)))</f>
        <v>32.798575666043085</v>
      </c>
      <c r="CJ13">
        <f t="shared" si="23"/>
        <v>0</v>
      </c>
      <c r="CK13">
        <f t="shared" si="24"/>
        <v>0</v>
      </c>
      <c r="CL13">
        <f t="shared" si="25"/>
        <v>0</v>
      </c>
      <c r="CM13">
        <f t="shared" si="26"/>
        <v>0</v>
      </c>
      <c r="CN13">
        <f t="shared" si="27"/>
        <v>0</v>
      </c>
      <c r="CO13">
        <f>IF(BC13="",0,_xlfn.LET(_xlpm.v,IFERROR(_xlfn.XLOOKUP(B13,Коды_код,Коды_мА),IFERROR(_xlfn.XLOOKUP(BC13,Коды_код,Коды_мА),IFERROR(_xlfn.XLOOKUP(LEFT(BC13,2),Коды_код,Коды_мА),""))),IF(_xlpm.v="да",30,IF(ISNUMBER(_xlpm.v),_xlpm.v,0))))</f>
        <v>0</v>
      </c>
      <c r="CP13" t="str">
        <f t="shared" si="28"/>
        <v/>
      </c>
      <c r="CQ13" t="str">
        <f>_xlfn.LET(_xlpm.k,IFERROR(_xlfn.XLOOKUP(BC13,Коды_код,Коды_утечка)&amp;"",""),IF(_xlpm.k="","дифавтомат",_xlpm.k))</f>
        <v>дифавтомат</v>
      </c>
      <c r="CR13" t="str" cm="1">
        <f t="array" ref="CR13">IF(CG13=0,"",_xlfn.LET(_xlpm.sg,TRIM(_xlfn.TEXTSPLIT(DD13&amp;"",";")),_xlpm.f_,_xlfn._xlws.FILTER(_xlpm.sg,LEFT(_xlpm.sg,3)="УЗО",""),IFERROR(INDEX(_xlpm.f_,1)&amp;"","")))</f>
        <v/>
      </c>
      <c r="CS13" t="str">
        <f t="shared" si="29"/>
        <v/>
      </c>
      <c r="CT13" s="6" t="str" cm="1">
        <f t="array" ref="CT13">IF(CR13="","",_xlfn.LET(_xlpm.tk,_xlfn.TEXTSPLIT(UPPER(CR13)," ",,TRUE),_xlpm.a_,_xlfn._xlws.FILTER(_xlpm.tk,ISNUMBER(--LEFT(_xlpm.tk,1))*((ISNUMBER(SEARCH("А",_xlpm.tk))+ISNUMBER(SEARCH("A",_xlpm.tk)))&gt;0)*NOT(ISNUMBER(SEARCH("МА",_xlpm.tk)))*NOT(ISNUMBER(SEARCH("MA",_xlpm.tk))),""),IFERROR(--SUBSTITUTE(SUBSTITUTE(INDEX(_xlpm.a_,1),"А",""),"A",""),"")))</f>
        <v/>
      </c>
      <c r="CU13" t="str" cm="1">
        <f t="array" ref="CU13">IF(CR13="","",_xlfn.LET(_xlpm.tk,_xlfn.TEXTSPLIT(UPPER(CR13)," ",,TRUE),_xlpm.a_,_xlfn._xlws.FILTER(_xlpm.tk,ISNUMBER(--LEFT(_xlpm.tk,1))*((ISNUMBER(SEARCH("МА",_xlpm.tk))+ISNUMBER(SEARCH("MA",_xlpm.tk)))&gt;0),""),IFERROR(--SUBSTITUTE(SUBSTITUTE(INDEX(_xlpm.a_,1),"МА",""),"MA",""),30)))</f>
        <v/>
      </c>
      <c r="CV13" t="str">
        <f>IF(CS13="","",IFERROR(_xlfn.XLOOKUP(CS13,Линии[_n],Линии[_УЗО, мА]),30))</f>
        <v/>
      </c>
      <c r="CW13">
        <f>IF(CS13="",0,IF(ISNUMBER(SEARCH("4P",IFERROR(_xlfn.XLOOKUP(CS13,Линии[_n],Линии[_УЗО строки])&amp;"",""))),0,1))</f>
        <v>0</v>
      </c>
      <c r="CX13" t="str">
        <f>IF(AND(CS13&lt;&gt;"",CS13=BA13),SUMIFS(Линии[_ток на 230 В],Линии[_блок УЗО],BA13,Линии[Щит],A13),"")</f>
        <v/>
      </c>
      <c r="CY13" t="str">
        <f>IF(AND(CS13&lt;&gt;"",CS13=BA13),SUMIFS(Линии[_ток утечки линии, мА],Линии[_блок УЗО],BA13,Линии[Щит],A13),"")</f>
        <v/>
      </c>
      <c r="CZ13">
        <f t="shared" si="30"/>
        <v>0</v>
      </c>
      <c r="DA13">
        <f t="shared" si="31"/>
        <v>0</v>
      </c>
      <c r="DB13">
        <f>IF(B13="",0,IFERROR(--_xlfn.XLOOKUP(B13,Коды_код,Коды_минавт),IFERROR(--_xlfn.XLOOKUP(BC13,Коды_код,Коды_минавт),IFERROR(--_xlfn.XLOOKUP(LEFT(BC13,2),Коды_код,Коды_минавт),0))))</f>
        <v>0</v>
      </c>
      <c r="DC13" t="str">
        <f>IF(B13="","",IFERROR(_xlfn.XLOOKUP(BC13,Коды_код,Коды_апп)&amp;"",""))</f>
        <v/>
      </c>
      <c r="DD13" t="str">
        <f t="shared" si="32"/>
        <v/>
      </c>
      <c r="DE13" t="str" cm="1">
        <f t="array" ref="DE13">IF(TRIM(DD13&amp;"")="","",IFERROR(TRIM(INDEX(_xlfn.TEXTSPLIT(DD13&amp;";;;",";"),1)),""))</f>
        <v/>
      </c>
      <c r="DF13" t="str" cm="1">
        <f t="array" ref="DF13">IF(TRIM(DD13&amp;"")="","",IFERROR(TRIM(INDEX(_xlfn.TEXTSPLIT(DD13&amp;";;;",";"),2)),""))</f>
        <v/>
      </c>
      <c r="DG13" t="str" cm="1">
        <f t="array" ref="DG13">IF(TRIM(DD13&amp;"")="","",IFERROR(TRIM(INDEX(_xlfn.TEXTSPLIT(DD13&amp;";;;",";"),3)),""))</f>
        <v/>
      </c>
      <c r="DH13">
        <f t="shared" si="33"/>
        <v>0</v>
      </c>
      <c r="DI13" t="str">
        <f>IF(B13="","",_xlfn.LET(_xlpm.t,LOWER(AZ13&amp;""),IF(ISNUMBER(SEARCH("dim",_xlpm.t)),"DIM",IF(ISNUMBER(SEARCH("dali",_xlpm.t)),"DALI",IF(OR(ISNUMBER(SEARCH("relay",_xlpm.t)),ISNUMBER(SEARCH("реле",_xlpm.t))),"Relay",IF(ISNUMBER(SEARCH("кнопк",_xlpm.t)),"",IFERROR(_xlfn.XLOOKUP(BC13,Коды_код,Коды_упр)&amp;"","")))))))</f>
        <v/>
      </c>
      <c r="DJ13" t="str">
        <f t="shared" si="34"/>
        <v/>
      </c>
      <c r="DK13">
        <f>IF(B13="","",_xlfn.LET(_xlpm.ig,IF(N(CX13)&gt;0,N(CX13),N(CI13)+IF(AJ13="вручную",0,N(CJ13))),_xlpm.n0,IFERROR(VLOOKUP(_xlpm.ig,Автомат_номиналы,2,TRUE),0),_xlpm.mn,MAX(DB13,IF(AJ13="вручную",0,N(CM13))),MAX(_xlpm.n0,_xlpm.mn,IF(DH13=1,Мин_автомат_БП,0))))</f>
        <v>40</v>
      </c>
      <c r="DL13">
        <f t="shared" si="35"/>
        <v>3</v>
      </c>
      <c r="DM13" t="str">
        <f t="shared" si="36"/>
        <v>3P</v>
      </c>
      <c r="DN13" t="str">
        <f>_xlfn.LET(_xlpm.cc,UPPER(TRIM(IFERROR(_xlfn.XLOOKUP(BC13,Коды_код,Коды_хар)&amp;"",""))),IF(OR(_xlpm.cc="B",_xlpm.cc="В"),"B",IF(_xlpm.cc="D","D","С")))</f>
        <v>С</v>
      </c>
      <c r="DO13" t="str">
        <f t="shared" si="37"/>
        <v>3P С40А</v>
      </c>
      <c r="DP13">
        <f t="shared" si="38"/>
        <v>40</v>
      </c>
      <c r="DQ13" t="str">
        <f t="shared" si="39"/>
        <v>3P С40А</v>
      </c>
      <c r="DR13" cm="1">
        <f t="array" ref="DR13">IF(DQ13="","",_xlfn.LET(_xlpm.t,SUBSTITUTE(SUBSTITUTE(SUBSTITUTE(UPPER(DQ13),"С","C"),"А","A"),"В","B"),_xlpm.tk,_xlfn.TEXTSPLIT(_xlpm.t," "),_xlpm.f,_xlfn._xlws.FILTER(_xlpm.tk,ISNUMBER(--MID(_xlpm.tk,2,1))*ISNUMBER(SEARCH(LEFT(_xlpm.tk,1)&amp;"#","B#C#D#"))*(LEN(_xlpm.tk)&gt;1),""),_xlpm.x,INDEX(_xlpm.f,1),IFERROR(--SUBSTITUTE(MID(_xlpm.x,2,9),"A",""),IFERROR(--SUBSTITUTE(INDEX(_xlfn._xlws.FILTER(_xlpm.tk,ISNUMBER(--SUBSTITUTE(_xlpm.tk,"A","")),""),1),"A",""),""))))</f>
        <v>40</v>
      </c>
      <c r="DS13" t="str">
        <f t="shared" si="40"/>
        <v>ok</v>
      </c>
      <c r="DT13">
        <f t="shared" si="41"/>
        <v>40</v>
      </c>
      <c r="DU13" t="str">
        <f t="shared" si="42"/>
        <v>3P С40А</v>
      </c>
      <c r="DV13">
        <f t="shared" si="43"/>
        <v>0</v>
      </c>
      <c r="DW13">
        <f t="shared" si="44"/>
        <v>0</v>
      </c>
      <c r="DX13">
        <f t="shared" si="45"/>
        <v>0</v>
      </c>
      <c r="DY13">
        <f t="shared" si="46"/>
        <v>32.798575666043085</v>
      </c>
      <c r="DZ13">
        <f t="shared" si="47"/>
        <v>0.92</v>
      </c>
      <c r="EA13">
        <f>IF(ISNUMBER(AP13),AP13,К_прокл)</f>
        <v>1</v>
      </c>
      <c r="EB13">
        <f t="shared" si="48"/>
        <v>3</v>
      </c>
      <c r="EC13">
        <f>IFERROR(N(VLOOKUP(BZ13,Кабель_обозначение,3,FALSE)),1)</f>
        <v>1</v>
      </c>
      <c r="ED13">
        <f>IFERROR(N(_xlfn.XLOOKUP(A13,Щиты[Щит],Щиты[ΔU до шин, %])),0)</f>
        <v>0</v>
      </c>
      <c r="EE13" t="str">
        <f>IFERROR(_xlfn.XLOOKUP(A13,Щиты[Щит],Щиты[Zпетли на шинах, Ом]),"")</f>
        <v/>
      </c>
      <c r="EF13">
        <f>IFERROR(N(_xlfn.XLOOKUP(A13,Щиты[Щит],Щиты[ΔU до шин (подбор), %])),0)</f>
        <v>0</v>
      </c>
      <c r="EG13" t="str">
        <f>IFERROR(_xlfn.XLOOKUP(A13,Щиты[Щит],Щиты[Zпетли на шинах (подбор), Ом]),"")</f>
        <v/>
      </c>
      <c r="EH13" t="str">
        <f t="shared" si="49"/>
        <v/>
      </c>
      <c r="EI13">
        <f t="shared" si="50"/>
        <v>14</v>
      </c>
      <c r="EJ13">
        <f t="shared" si="51"/>
        <v>1</v>
      </c>
      <c r="EK13">
        <f t="shared" si="52"/>
        <v>0.31</v>
      </c>
      <c r="EL13" s="6">
        <f>IF(B13="","",IF(BV13=1,dU_LED,IF(IFERROR(_xlfn.XLOOKUP(BC13,Коды_код,Коды_уго),"")="Светильник",3,4)+IF(Методика="нормы 2026",MIN(0.5,MAX(0,N(P13)-100)*0.005),0)))</f>
        <v>4</v>
      </c>
      <c r="EM13" cm="1">
        <f t="array" ref="EM13">IF(OR(B13="",BZ13="",EC13&lt;&gt;1),"",_xlfn.LET(_xlpm.sz,Iдоп_S,_xlpm.t_,CHOOSE(EB13,Iдоп_1ж,Iдоп_2ж,Iдоп_3ж)*DZ13*EA13,_xlpm.dcx,BV13=1,_xlpm.inn,IF(_xlpm.dcx,N(O13),N(DT13)),_xlpm.smin,MAX(1.5,CC13),_xlpm.L_,N(P13)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13)/N(BU13)*100,999),IFERROR(N(EJ13)*(_xlpm.rho*_xlpm.L_/_xlpm.sz*N(CE13)+_xlpm.xx*_xlpm.L_*N(EK13)/1000)*N(O13)/((Uн_лин/SQRT(3))*1000)*100,999)),_xlpm.kz,IF(OR(_xlpm.dcx,DW13=1,NOT(ISNUMBER(EG13)),_xlpm.L_=0,_xlpm.inn=0),1,IFERROR(--(c_min*(Uн_лин*1000/SQRT(3))/(EG13+2*ρкз_Cu*_xlpm.L_/_xlpm.sz)&gt;=HT13*_xlpm.inn),0)),_xlpm.ok,IFERROR((_xlpm.sz&gt;=_xlpm.smin)*(_xlpm.t_&gt;=_xlpm.inn)*IF(_xlpm.L_&gt;0,(_xlpm.du_+IF(_xlpm.dcx,0,EF13)&lt;=EL13+0.00001),1)*_xlpm.kz,0),_xlpm.r_,_xlfn._xlws.FILTER(_xlpm.sz,_xlpm.ok,"не подобрано"),INDEX(_xlpm.r_,1)))</f>
        <v>10</v>
      </c>
      <c r="EN13">
        <f t="shared" si="53"/>
        <v>10</v>
      </c>
      <c r="EO13" cm="1">
        <f t="array" ref="EO13">IF(OR(B13="",BZ13="",EC13&lt;&gt;1),"",_xlfn.LET(_xlpm.sz,Iдоп_S,_xlpm.t_,CHOOSE(EB13,Iдоп_1ж,Iдоп_2ж,Iдоп_3ж)*DZ13*EA13,_xlpm.ok,IFERROR((_xlpm.sz&gt;=MAX(1.5,CC13))*(_xlpm.t_&gt;=N(DT13)),0),_xlpm.r_,_xlfn._xlws.FILTER(_xlpm.sz,_xlpm.ok,""),INDEX(_xlpm.r_,1)))</f>
        <v>10</v>
      </c>
      <c r="EP13" s="6" cm="1">
        <f t="array" ref="EP13">IFERROR(ROUNDUP(N(EJ13)*(_xlfn.XLOOKUP(EO13,INDEX(Кабель_сопротивление,0,1),INDEX(Кабель_сопротивление,0,3))*N(P13)/EO13*N(CE13)+_xlfn.XLOOKUP(EO13,INDEX(Кабель_сопротивление,0,1),INDEX(Кабель_сопротивление,0,2))*N(P13)*N(EK13)/1000)*N(O13)/((Uн_лин/SQRT(3))*1000)*100,2),"")</f>
        <v>0.43</v>
      </c>
      <c r="EQ13">
        <f>IFERROR(2*ρкз_Cu*N(P13)/EO13,"")</f>
        <v>7.3640000000000011E-2</v>
      </c>
      <c r="ER13">
        <f>IFERROR(VLOOKUP(EN13,Кабель_сопротивление,3,FALSE),"")</f>
        <v>2.2499999999999999E-2</v>
      </c>
      <c r="ES13">
        <f>IFERROR(VLOOKUP(EN13,Кабель_сопротивление,2,FALSE),"")</f>
        <v>7.2999999999999995E-2</v>
      </c>
      <c r="ET13">
        <f t="shared" si="54"/>
        <v>14</v>
      </c>
      <c r="EU13">
        <f t="shared" si="55"/>
        <v>0</v>
      </c>
      <c r="EV13">
        <f t="shared" si="56"/>
        <v>0.99188862154885526</v>
      </c>
      <c r="EW13" s="6">
        <f>IFERROR(ROUNDUP(EV13/IF(BV13=1,BU13,(Uн_лин/SQRT(3))*1000)*100,2),"")</f>
        <v>0.43</v>
      </c>
      <c r="EX13" t="str">
        <f>IFERROR(VLOOKUP(BZ13,Кабель_обозначение,2,FALSE),"")</f>
        <v>ВВГнг(А)-LS</v>
      </c>
      <c r="EY13" t="str">
        <f t="shared" si="57"/>
        <v>ВВГнг(А)-LS (5х10)</v>
      </c>
      <c r="EZ13" t="str">
        <f t="shared" si="58"/>
        <v>ВВГнг(А)-LS (5х10)
L=14-0,43%</v>
      </c>
      <c r="FA13">
        <f>IFERROR(2*ρкз_Cu*P13/EN13,"")</f>
        <v>7.3640000000000011E-2</v>
      </c>
      <c r="FB13">
        <f t="shared" si="59"/>
        <v>2.4500000000000001E-2</v>
      </c>
      <c r="FC13" s="6" t="str">
        <f>IFERROR(IF(OR(B13="",BV13=1,NOT(ISNUMBER(EN13)),N(P13)=0),"",_xlfn.XLOOKUP(A13,Щиты[Щит],Щиты[Zпетли на шинах, Ом])+FA13),"")</f>
        <v/>
      </c>
      <c r="FD13" s="6" t="str">
        <f>IF(ISNUMBER(FC13),c_min*(Uн_лин*1000/SQRT(3))/FC13,"")</f>
        <v/>
      </c>
      <c r="FE13" s="6" t="str">
        <f>IFERROR(IF(OR(B13="",NOT(ISNUMBER(EN13))),"",1.05*(Uн_лин*1000/SQRT(3))/(_xlfn.XLOOKUP(A13,Щиты[Щит],Щиты[Zmax на шинах, Ом])+FB13)/1000),"")</f>
        <v/>
      </c>
      <c r="FF13" s="6" t="str">
        <f>IF(B13="","",IF(ISNUMBER(AC13),"Сил",IF(IFERROR(_xlfn.XLOOKUP(BC13,Коды_код,Коды_группа)&amp;"","")="","Быт",_xlfn.XLOOKUP(BC13,Коды_код,Коды_группа)&amp;"")))</f>
        <v>Быт</v>
      </c>
      <c r="FG13" s="6" t="str">
        <f t="shared" si="60"/>
        <v>Щит</v>
      </c>
      <c r="FH13" s="6" t="str">
        <f>IF(FG13="Щит","щит",IF(FG13="","",IF(FG13="Быт",IFERROR(_xlfn.XLOOKUP(A13,Щиты[Щит],Щиты[Кс быт]),1),IF(FG13="Сил",IF(ISNUMBER(AC13),AC13,IF(Методика="нормы 2026",IFERROR(_xlfn.XLOOKUP(A13,Щиты[Щит],Щиты[Кс силовых (табл. 7.5)]),1),1)),IF(OR(FG13="Пост",FG13="Отоп"),1,IF(FG13="ВНГ",0.7,0))))))</f>
        <v>щит</v>
      </c>
      <c r="FI13">
        <f>IF(FG13="","",IF(AND(BP13=1,TRIM(AE13&amp;"")=""),IF(COUNTIFS(Линии[Щит],A13,Линии[Секция (1/2/3)],"&gt;=2")&gt;0,MIN(3,MAX(1,IFERROR(--BD13,1))),1),IFERROR(MIN(3,MAX(1,INT(--AE13))),1)))</f>
        <v>1</v>
      </c>
      <c r="FJ13">
        <f t="shared" si="61"/>
        <v>0</v>
      </c>
      <c r="FK13">
        <f t="shared" si="62"/>
        <v>0</v>
      </c>
      <c r="FL13">
        <f t="shared" si="63"/>
        <v>0</v>
      </c>
      <c r="FM13">
        <f t="shared" si="64"/>
        <v>0</v>
      </c>
      <c r="FN13">
        <f t="shared" si="65"/>
        <v>0</v>
      </c>
      <c r="FO13">
        <f t="shared" si="66"/>
        <v>0</v>
      </c>
      <c r="FP13">
        <f t="shared" si="67"/>
        <v>24.405000000000005</v>
      </c>
      <c r="FQ13">
        <f t="shared" si="68"/>
        <v>0</v>
      </c>
      <c r="FR13">
        <f t="shared" si="69"/>
        <v>0</v>
      </c>
      <c r="FS13">
        <f>IF(CG13=1,IF(AND(CH13=1,CW13=1),0,IF(AND(CS13&lt;&gt;"",CS13=BA13,CW13=1),SUMIFS(Линии[_Р линии, кВт],Линии[_блок УЗО],BA13,Линии[Щит],A13),N(BS13)+IF(AJ13="вручную",0,N(CK13)))),0)</f>
        <v>24.405000000000005</v>
      </c>
      <c r="FT13" t="str">
        <f t="shared" si="70"/>
        <v/>
      </c>
      <c r="FU13" t="str">
        <f>IF(B13="","",IF(CG13=0,IF(BA13=1,"",FW12),IF(AND(CH13=1,CW13=1,CS13&lt;&gt;""),IFERROR(_xlfn.XLOOKUP(CS13,Линии[_n],Линии[_фаза итог]),"L1"),IF(OR(N(DL13)&gt;=3,N(BX13)&gt;=3),"L1,L2,L3",IFERROR(_xlfn.TEXTBEFORE(_xlfn.TEXTAFTER(_xlfn.XLOOKUP(A13,Щиты[Щит],Щиты[_фазы авто]),";"&amp;BA13&amp;":"),";"),"L1")))))</f>
        <v>L1,L2,L3</v>
      </c>
      <c r="FV13" t="str">
        <f t="shared" si="71"/>
        <v>L1,L2,L3</v>
      </c>
      <c r="FW13" t="str">
        <f t="shared" si="72"/>
        <v>L1,L2,L3</v>
      </c>
      <c r="FX13" cm="1">
        <f t="array" ref="FX13">IFERROR(IF(CD13=2,_xlfn.IFS(BX13=3,VLOOKUP(BS13,Справочная_двигатели,3,FALSE),BX13=1,VLOOKUP(BS13,Справочная_двигатели,5,TRUE)),0),0)</f>
        <v>0</v>
      </c>
      <c r="FY13">
        <f>IFERROR(IF(CD13=3,VLOOKUP(BS13,Справочная_ЛЭД,2,TRUE),0),0)</f>
        <v>0</v>
      </c>
      <c r="FZ13" s="6">
        <f t="shared" si="73"/>
        <v>0</v>
      </c>
      <c r="GA13" t="str">
        <f>IF(B13="","",IF(TRIM(AH13&amp;"")&lt;&gt;"",IF(LOWER(TRIM(AH13&amp;""))="да","да","нет"),IF(IFERROR(_xlfn.XLOOKUP(BC13,Коды_код,Коды_пожарная),"")="да","да","нет")))</f>
        <v>нет</v>
      </c>
      <c r="GB13" t="str">
        <f t="shared" si="74"/>
        <v/>
      </c>
      <c r="GC13" t="str">
        <f t="shared" si="75"/>
        <v>основная</v>
      </c>
      <c r="GD13">
        <f>IF(AND(BP13=1,TRIM(AE13&amp;"")=""),IF(COUNTIFS(Линии[Щит],A13,Линии[Секция (1/2/3)],"&gt;=2")&gt;0,MIN(3,MAX(1,IFERROR(--BD13,1))),1),IFERROR(MIN(3,MAX(1,INT(--AE13))),1))</f>
        <v>1</v>
      </c>
      <c r="GE13" t="str" cm="1">
        <f t="array" ref="GE13">IF(B13="","",_xlfn.LET(_xlpm.t,IFERROR(_xlfn.XLOOKUP(1,(Шины[Шина]=GC13)*(((Шины[Щит]=A13)+(Шины[Щит]=""))&gt;0),Шины[Тип]),"")&amp;"",IF(_xlpm.t&lt;&gt;"",_xlpm.t,IF(ISNUMBER(SEARCH("ИБП",GC13)),"ИБП",IF(ISNUMBER(SEARCH("ДГУ",GC13)),"ДГУ","Ввод "&amp;GD13)))))</f>
        <v>Ввод 1</v>
      </c>
      <c r="GF13" t="str">
        <f t="shared" si="76"/>
        <v>Ввод 1</v>
      </c>
      <c r="GG13" t="str">
        <f>IF(BP13=0,"",IF(TRIM(AG13&amp;"")&lt;&gt;"",TRIM(AG13&amp;""),IF(OR(GE13="ИБП",GE13="ДГУ"),"I особая",_xlfn.XLOOKUP(A13,Щиты[Щит],Щиты[Категория шины «Ввод»],"III"))))</f>
        <v/>
      </c>
      <c r="GH13" t="str">
        <f>IF(A13="","",_xlfn.XLOOKUP(A13,Щиты[Щит],Щиты[Путь],""))</f>
        <v>|ГРЩ-ЖД|</v>
      </c>
      <c r="GI13" t="str">
        <f>IF(B13="","",IF(AI13&lt;&gt;"",AI13,IF(IFERROR(_xlfn.XLOOKUP(BC13,Коды_код,Коды_вид)&amp;"","")="","Прочее",_xlfn.XLOOKUP(BC13,Коды_код,Коды_вид)&amp;"")))</f>
        <v>Распределительные щиты жилой части</v>
      </c>
      <c r="GJ13">
        <f>IF(BM13="","",INT((BM13-1)/Столбцов_на_лист)+1)</f>
        <v>2</v>
      </c>
      <c r="GK13" t="str">
        <f t="shared" si="77"/>
        <v>ВВГнг(А)-LS (5х10) L=14-0,43%</v>
      </c>
      <c r="GL13">
        <f t="shared" si="78"/>
        <v>24.405000000000005</v>
      </c>
      <c r="GM13">
        <f t="shared" si="79"/>
        <v>32.799999999999997</v>
      </c>
      <c r="GN13">
        <f t="shared" si="80"/>
        <v>3</v>
      </c>
      <c r="GO13">
        <f t="shared" si="81"/>
        <v>0</v>
      </c>
      <c r="GP13">
        <f t="shared" si="82"/>
        <v>1</v>
      </c>
      <c r="GQ13">
        <f>IF(BM13="","",IF(AND(CG13=1,GP13=1),COUNTIFS(A$3:A13,A13,CG$3:CG13,1,GP$3:GP13,1),IF(OR(OR(BA13=1,A13&lt;&gt;A12),AJ13="вручную",GP13=0),"",IF(BA13=1,"",GR12))))</f>
        <v>9</v>
      </c>
      <c r="GR13">
        <f t="shared" si="83"/>
        <v>9</v>
      </c>
      <c r="GS13">
        <f>IF(B13="","",IFERROR(LOOKUP(INDEX(CHOOSE(EB13,Iдоп_1ж,Iдоп_2ж,Iдоп_3ж),MATCH(EN13,Iдоп_S,0))*DZ13*EA13,{6,10,16,20,25,32,40,50,63,80,100,125,160,200,250,315,400,500,630}),""))</f>
        <v>50</v>
      </c>
      <c r="GT13" t="str">
        <f t="shared" si="84"/>
        <v>QF9</v>
      </c>
      <c r="GU13" t="str">
        <f t="shared" si="85"/>
        <v>QF9</v>
      </c>
      <c r="GV13" t="str">
        <f t="shared" si="86"/>
        <v/>
      </c>
      <c r="GW13">
        <f t="shared" si="87"/>
        <v>0</v>
      </c>
      <c r="GX13" t="str">
        <f>IF(OR(B13="",DJ13=""),"",IFERROR(_xlfn.XLOOKUP(DJ13,Модули_умолч[Управление],Модули_умолч[Модель])&amp;"",""))</f>
        <v/>
      </c>
      <c r="GY13">
        <f>IF(DJ13="",1,IFERROR(MAX(0,N(_xlfn.XLOOKUP(DJ13,Модули_умолч[Управление],Модули_умолч[Каналов на линию]))),1))</f>
        <v>1</v>
      </c>
      <c r="GZ13" t="str">
        <f t="shared" si="88"/>
        <v/>
      </c>
      <c r="HA13" t="str">
        <f t="shared" si="89"/>
        <v/>
      </c>
      <c r="HB13" t="str">
        <f t="shared" si="90"/>
        <v/>
      </c>
      <c r="HC13">
        <f>IF(HB13="",0,IFERROR(N(VLOOKUP(HB13,Модули_спр,3,FALSE)),0))</f>
        <v>0</v>
      </c>
      <c r="HD13" t="str">
        <f t="shared" si="91"/>
        <v/>
      </c>
      <c r="HE13" t="str">
        <f t="shared" si="92"/>
        <v/>
      </c>
      <c r="HF13" t="str">
        <f>IF(OR(HE13="",HE13="-"),"",IFERROR(VLOOKUP(HE13,Модули_спр,2,FALSE),"R"))</f>
        <v/>
      </c>
      <c r="HG13" t="str">
        <f>IF(HF13="","",HF13&amp;"."&amp;COUNTIFS(A$3:A13,A13,HF$3:HF13,HF13))</f>
        <v/>
      </c>
      <c r="HH13" t="str">
        <f t="shared" si="93"/>
        <v/>
      </c>
      <c r="HI13" t="str">
        <f t="shared" si="94"/>
        <v/>
      </c>
      <c r="HJ13" t="str">
        <f t="shared" si="95"/>
        <v/>
      </c>
      <c r="HK13" t="str">
        <f t="shared" si="96"/>
        <v/>
      </c>
      <c r="HL13">
        <f t="shared" si="97"/>
        <v>1</v>
      </c>
      <c r="HM13" t="str">
        <f>IF(HL13=1,"XT"&amp;COUNTIFS(A$3:A13,A13,HL$3:HL13,1),"")</f>
        <v>XT8</v>
      </c>
      <c r="HN13" t="str">
        <f t="shared" si="98"/>
        <v/>
      </c>
      <c r="HO13" t="str">
        <f t="shared" si="99"/>
        <v>QF9</v>
      </c>
      <c r="HP13" t="str">
        <f t="shared" si="100"/>
        <v/>
      </c>
      <c r="HQ13" t="str">
        <f t="shared" si="101"/>
        <v>ok</v>
      </c>
      <c r="HR13" t="str">
        <f>IF(OR(HJ13="",HH13=""),"",IF(HJ13+MAX(0,GY13-1)&gt;IFERROR(VLOOKUP(HI13,Модули_спр,3,FALSE),99),"ЛИШНИЙ КАНАЛ",IF(AND(AL13&lt;&gt;"=",GY13&gt;0,COUNTIFS(Линии[_модуль гр.],HH13,Линии[Канал (итог)],HJ13,Линии[Канал],"&lt;&gt;=",Линии[Щит],A13)&gt;1),"ДУБЛЬ КАНАЛА","")))</f>
        <v/>
      </c>
      <c r="HS13" s="6" t="str">
        <f t="shared" si="102"/>
        <v/>
      </c>
      <c r="HT13">
        <f t="shared" si="103"/>
        <v>10</v>
      </c>
      <c r="HU13" t="str">
        <f t="shared" si="104"/>
        <v/>
      </c>
      <c r="HV13">
        <f t="shared" si="105"/>
        <v>0</v>
      </c>
      <c r="HW13">
        <f t="shared" si="106"/>
        <v>0</v>
      </c>
      <c r="HX13">
        <f t="shared" si="107"/>
        <v>0</v>
      </c>
      <c r="HY13">
        <f t="shared" si="108"/>
        <v>0</v>
      </c>
      <c r="HZ13">
        <f t="shared" si="109"/>
        <v>0</v>
      </c>
      <c r="IA13">
        <f t="shared" si="110"/>
        <v>0</v>
      </c>
      <c r="IB13">
        <f t="shared" si="111"/>
        <v>0</v>
      </c>
      <c r="IC13" t="str">
        <f t="shared" si="112"/>
        <v/>
      </c>
      <c r="ID13" t="str" cm="1">
        <f t="array" ref="ID13">IF(IC13="","",_xlfn.LET(_xlpm.tk,_xlfn.TEXTSPLIT(SUBSTITUTE(SUBSTITUTE(IC13,";"," "),"→"," ")," ",,TRUE),_xlpm.w_,_xlfn._xlws.FILTER(_xlpm.tk,ISNUMBER(--LEFT(_xlpm.tk,1))*((ISNUMBER(SEARCH("W",_xlpm.tk))+ISNUMBER(SEARCH("Вт",_xlpm.tk)))&gt;0),""),IFERROR(--SUBSTITUTE(SUBSTITUTE(UPPER(INDEX(_xlpm.w_,1)),"W",""),"ВТ",""),"")))</f>
        <v/>
      </c>
      <c r="IE13" t="str" cm="1">
        <f t="array" ref="IE13">IF(IC13="","",_xlfn.LET(_xlpm.tk,_xlfn.TEXTSPLIT(SUBSTITUTE(SUBSTITUTE(IC13,";"," "),"→"," ")," ",,TRUE),_xlpm.v_,_xlfn._xlws.FILTER(_xlpm.tk,ISNUMBER(--LEFT(_xlpm.tk,1))*((ISNUMBER(SEARCH("V",_xlpm.tk))+(RIGHT(UPPER(_xlpm.tk))="В"))&gt;0),""),IFERROR(--SUBSTITUTE(SUBSTITUTE(UPPER(INDEX(_xlpm.v_,1)),"V",""),"В",""),"")))</f>
        <v/>
      </c>
      <c r="IF13" s="6" t="str">
        <f>IF(OR(BV13=0,HI13="",HJ13=""),"",IFERROR(N(_xlfn.XLOOKUP(HI13,Каталог!$C$4:$C$500,Каталог!$Q$4:$Q$500)),""))</f>
        <v/>
      </c>
      <c r="IG13" s="6" t="str">
        <f>IF(N(IF13)=0,"",SUMIFS(Линии[Iр, А],Линии[Щит],A13,Линии[_модуль гр.],HH13,Линии[Канал (итог)],HJ13))</f>
        <v/>
      </c>
      <c r="IH13" t="str">
        <f>IF(AND(B13="",HO13=""),"",_xlfn.TEXTJOIN("; ",TRUE,IF(AND(B13&lt;&gt;"",FV13=""),"нет фазы",""),IF(AND(B13&lt;&gt;"",N(GL13)=0,FG13&lt;&gt;"Нет"),"нет мощности",""),IF(AND(HN13&lt;&gt;"",COUNTIFS(Линии[Щит],A13,Линии[Клемма (итог)],HN13)&gt;1),"дубль клеммы "&amp;HN13,""),IF(AND(HQ13&lt;&gt;"",HQ13&lt;&gt;"ok"),HQ13,""),IF(HR13&lt;&gt;"",HR13,""),IF(AND(N(CB13)&gt;=4,N(BX13)=1),CB13&amp;" жил на 1 фазе",""),IF(AND(BC13="R",CG13=1,IF(CS13&lt;&gt;"",N(CV13)&gt;30,OR(N(DA13)=0,N(DA13)&gt;30))),"розетка без дифзащиты до 30 мА",""),IF(AND(CG13=1,N(DA13)&gt;0,ISNUMBER(T13)),IF(T13&gt;N(DA13)/3,"ток утечки "&amp;FIXED(T13,1)&amp;" мА &gt; 1/3 уставки ("&amp;DA13&amp;" мА)",""),""),IF(AND(CH13=1,CS13=""),"«узо»: нет строки с УЗО выше (УЗО 2P 40А 30мА в «Аппаратах»)",""),IF(AND(CS13&lt;&gt;"",CS13=BA13),IF(CT13="","впишите номинал УЗО (УЗО 2P 40А 30мА)",IF(N(CT13)&lt;N(DT13),"УЗО "&amp;CT13&amp;" А &lt; автомата "&amp;DT13&amp;" А перед ним",IF(N(CT13)&lt;N(CX13),"УЗО "&amp;CT13&amp;" А &lt; тока блока "&amp;FIXED(CX13,1)&amp;" А",""))),""),IF(AND(CS13&lt;&gt;"",CS13=BA13,ISNUMBER(CY13)),IF(CY13&gt;N(CV13)/3,"ток утечки блока УЗО "&amp;FIXED(CY13,1)&amp;" мА &gt; 1/3 уставки ("&amp;CV13&amp;" мА)",""),""),IF(AND(CG13=1,N(BV13)+N(IB13)&gt;0,IC13=""),"линии до 50 В без БП: впишите в «Аппараты» (БП 24V 480W)",""),IF(AND(CG13=1,ISNUMBER(ID13),ISNUMBER(U13)),IF(U13&gt;ID13,"БП "&amp;ID13&amp;" Вт &lt; нужно "&amp;U13&amp;" Вт (×"&amp;Запас_БП&amp;")",""),""),IF(AND(CG13=1,ISNUMBER(IE13),N(BV13)=1),IF(IE13&lt;&gt;N(BU13),"БП на "&amp;IE13&amp;" В, линия "&amp;BU13&amp;" В",""),""),IF(AND(N(IF13)&gt;0,N(IG13)&gt;N(IF13)),HH13&amp;" канал "&amp;HJ13&amp;": "&amp;FIXED(IG13,1)&amp;" А &gt; "&amp;IF13&amp;" А",""),IFERROR(IF(AND(ISNUMBER(Q13),Q13&gt;EL13),"потери "&amp;FIXED(Q13,1)&amp;" % &gt; "&amp;EL13&amp;" %",""),""),IFERROR(IF(LEFT(HU13,4)="мало","Iкз мало — отключение &gt; 0,4 с",""),""),IF(AND(B13&lt;&gt;"",BM13=""),"не на схеме",""),IF(AND(CG13=0,B13&lt;&gt;"",FV13&lt;&gt;"",IF(BA13=1,"",FW12)&lt;&gt;"",FV13&lt;&gt;IF(BA13=1,"",FW12)),"фаза не как у автомата группы ("&amp;IF(BA13=1,"",FW12)&amp;")","")))</f>
        <v/>
      </c>
      <c r="II13" s="6" t="str">
        <f>IF(OR(CG13=0,DQ13=""),"",_xlfn.LET(_xlpm.t,IFERROR(_xlfn.XLOOKUP(DQ13,Каталог!$U$4:$U$500,Каталог!$G$4:$G$500),""),_xlpm.k,SEARCH("кА",_xlpm.t),IFERROR(--TRIM(RIGHT(SUBSTITUTE(MID(_xlpm.t,MAX(1,_xlpm.k-4),_xlpm.k-MAX(1,_xlpm.k-4))," ",REPT(" ",9)),5)),"")))</f>
        <v/>
      </c>
      <c r="IJ13" t="str">
        <f>IF(OR(II13="",CG13=0),"",IF(_xlfn.XLOOKUP(A13,Щиты[Щит],Щиты[Iкз max на шинах, кА],"")="","",IF(II13&lt;_xlfn.XLOOKUP(A13,Щиты[Щит],Щиты[Iкз max на шинах, кА]),"Icu "&amp;II13&amp;" кА &lt; Iкз max","ok")))</f>
        <v/>
      </c>
      <c r="IK13" t="str">
        <f t="shared" si="113"/>
        <v/>
      </c>
      <c r="IL13" t="str">
        <f t="shared" si="114"/>
        <v>QF9</v>
      </c>
      <c r="IM13" t="str">
        <f t="shared" si="115"/>
        <v>QF9|кабель ВВГнг(А)-LS (5х10) → Щит распределительный ЩР-01 Цокольный этаж этаж Пом. №0.001Т</v>
      </c>
      <c r="IN13" t="str" cm="1">
        <f t="array" ref="IN13">IF(IM13="","",_xlfn.LET(_xlpm.nd,_xlfn.TEXTSPLIT(IM13,"|"),IF(COLUMNS(_xlpm.nd)&gt;1,A13&amp;"¦"&amp;INDEX(_xlpm.nd,1)&amp;"¦"&amp;INDEX(_xlpm.nd,2),"")))</f>
        <v>ГРЩ-ЖД¦QF9¦кабель ВВГнг(А)-LS (5х10) → Щит распределительный ЩР-01 Цокольный этаж этаж Пом. №0.001Т</v>
      </c>
      <c r="IO13" t="str">
        <f t="shared" si="116"/>
        <v>ЩР-01¦Щит распределительный ЩР-01 Цокольный этаж этаж Пом. №0.001Т</v>
      </c>
      <c r="IP13" t="str" cm="1">
        <f t="array" ref="IP13">IF(IM13="","",_xlfn.LET(_xlpm.nd,_xlfn.TEXTSPLIT(IM13,"|"),IF(COLUMNS(_xlpm.nd)&gt;2,A13&amp;"¦"&amp;INDEX(_xlpm.nd,2)&amp;"¦"&amp;INDEX(_xlpm.nd,3),"")))</f>
        <v/>
      </c>
      <c r="IQ13" t="str">
        <f t="shared" si="117"/>
        <v/>
      </c>
      <c r="IR13" t="str" cm="1">
        <f t="array" ref="IR13">IF(IM13="","",_xlfn.LET(_xlpm.nd,_xlfn.TEXTSPLIT(IM13,"|"),IF(COLUMNS(_xlpm.nd)&gt;3,A13&amp;"¦"&amp;INDEX(_xlpm.nd,3)&amp;"¦"&amp;INDEX(_xlpm.nd,4),"")))</f>
        <v/>
      </c>
      <c r="IS13" t="str">
        <f t="shared" si="118"/>
        <v/>
      </c>
      <c r="IT13" t="str" cm="1">
        <f t="array" ref="IT13">IF(IM13="","",_xlfn.LET(_xlpm.nd,_xlfn.TEXTSPLIT(IM13,"|"),IF(COLUMNS(_xlpm.nd)&gt;4,A13&amp;"¦"&amp;INDEX(_xlpm.nd,4)&amp;"¦"&amp;INDEX(_xlpm.nd,5),"")))</f>
        <v/>
      </c>
      <c r="IU13" t="str">
        <f t="shared" si="119"/>
        <v/>
      </c>
      <c r="IV13" t="str" cm="1">
        <f t="array" ref="IV13">IF(IM13="","",_xlfn.LET(_xlpm.nd,_xlfn.TEXTSPLIT(IM13,"|"),IF(COLUMNS(_xlpm.nd)&gt;5,A13&amp;"¦"&amp;INDEX(_xlpm.nd,5)&amp;"¦"&amp;INDEX(_xlpm.nd,6),"")))</f>
        <v/>
      </c>
      <c r="IW13" t="str">
        <f t="shared" si="120"/>
        <v/>
      </c>
      <c r="IX13" t="str" cm="1">
        <f t="array" ref="IX13">IF(IM13="","",_xlfn.LET(_xlpm.nd,_xlfn.TEXTSPLIT(IM13,"|"),IF(COLUMNS(_xlpm.nd)&gt;6,A13&amp;"¦"&amp;INDEX(_xlpm.nd,6)&amp;"¦"&amp;INDEX(_xlpm.nd,7),"")))</f>
        <v/>
      </c>
      <c r="IY13" t="str">
        <f t="shared" si="121"/>
        <v/>
      </c>
      <c r="IZ13" t="str">
        <f t="shared" si="122"/>
        <v/>
      </c>
      <c r="JA13" t="str">
        <f t="shared" si="123"/>
        <v>QF9</v>
      </c>
      <c r="JB13">
        <f t="shared" si="124"/>
        <v>0</v>
      </c>
      <c r="JC13">
        <f t="shared" si="125"/>
        <v>0</v>
      </c>
      <c r="JD13" t="str">
        <f t="shared" si="126"/>
        <v/>
      </c>
      <c r="JE13" t="str">
        <f t="shared" si="127"/>
        <v/>
      </c>
      <c r="JF13" t="str">
        <f t="shared" si="128"/>
        <v/>
      </c>
      <c r="JG13" t="str">
        <f t="shared" si="129"/>
        <v/>
      </c>
      <c r="JH13">
        <f>IF(B13="","",IFERROR(_xlfn.XLOOKUP(B13,Коды_код,Коды_уго),IFERROR(_xlfn.XLOOKUP(BC13,Коды_код,Коды_уго),IFERROR(_xlfn.XLOOKUP(LEFT(BC13,2),Коды_код,Коды_уго),""))))</f>
        <v>0</v>
      </c>
      <c r="JI13" t="str">
        <f>IF(B13="","",IF(OR(JH13="",JH13=0),"BOX",IFERROR(IF(VLOOKUP(JH13,УГО_блоки,3,FALSE)&amp;""&lt;&gt;"",VLOOKUP(JH13,УГО_блоки,3,FALSE),VLOOKUP(JH13,УГО_блоки,2,FALSE)),JH13)))</f>
        <v>BOX</v>
      </c>
      <c r="JJ13">
        <f t="shared" si="130"/>
        <v>1</v>
      </c>
      <c r="JK13">
        <f>IF(DQ13="","",IF(COUNTIF(DQ$3:DQ13,DQ13)=1,MAX(JK$2:JK12)+1,""))</f>
        <v>8</v>
      </c>
      <c r="JL13" t="str">
        <f>IF(DE13="","",IF(COUNTIF(DE$3:DE13,DE13)+COUNTIF(DF$2:DF12,DE13)+COUNTIF(DG$2:DG12,DE13)=1,MAX(JL$2:JN12)+1,""))</f>
        <v/>
      </c>
      <c r="JM13" t="str">
        <f>IF(DF13="","",IF(COUNTIF(DE$3:DE13,DF13)+COUNTIF(DF$3:DF13,DF13)+COUNTIF(DG$2:DG12,DF13)=1,MAX(JL$2:JN12,JL13)+1,""))</f>
        <v/>
      </c>
      <c r="JN13" t="str">
        <f>IF(DG13="","",IF(COUNTIF(DE$3:DE13,DG13)+COUNTIF(DF$3:DF13,DG13)+COUNTIF(DG$3:DG13,DG13)=1,MAX(JL$2:JN12,JL13,JM13)+1,""))</f>
        <v/>
      </c>
      <c r="JO13" t="str">
        <f t="shared" si="131"/>
        <v>5х10</v>
      </c>
      <c r="JP13">
        <f>IF(JO13="","",IF(COUNTIF(JO$3:JO13,JO13)=1,MAX(JP$2:JP12)+1,""))</f>
        <v>5</v>
      </c>
      <c r="JQ13" t="str">
        <f>IF(HG13="","",COUNTIF(HG$3:HG13,"?*"))</f>
        <v/>
      </c>
      <c r="JR13" t="str">
        <f>IF(OR(HG13="",HI13=""),"",IF(COUNTIFS(HG$3:HG13,"?*",HI$3:HI13,HI13)=1,MAX(JR$2:JR12)+1,""))</f>
        <v/>
      </c>
      <c r="JS13">
        <f t="shared" si="132"/>
        <v>0</v>
      </c>
      <c r="JT13">
        <f>IF(B13="","",COUNTIF(B$3:B13,"?*"))</f>
        <v>11</v>
      </c>
      <c r="JU13">
        <f>IF(HL13&lt;&gt;1,0,_xlfn.LET(_xlpm.k,MAX(IFERROR(--_xlfn.XLOOKUP(B13,Коды_код,Коды_3L),0),IFERROR(--_xlfn.XLOOKUP(BC13,Коды_код,Коды_3L),0),IFERROR(--_xlfn.XLOOKUP(LEFT(BC13,2),Коды_код,Коды_3L),0)),IF(_xlpm.k&gt;0,_xlpm.k,IF(IFERROR(--LEFT(SUBSTITUTE(JO13,"x","х"),FIND("х",SUBSTITUTE(JO13,"x","х"))-1),3)&gt;3,Каталог!$S$9,1))))</f>
        <v>1</v>
      </c>
      <c r="JV13">
        <f t="shared" si="133"/>
        <v>2</v>
      </c>
      <c r="JW13" t="str">
        <f t="shared" si="134"/>
        <v>авто</v>
      </c>
      <c r="JX13" t="str">
        <f t="shared" si="135"/>
        <v/>
      </c>
      <c r="JY13">
        <f t="shared" si="136"/>
        <v>0</v>
      </c>
      <c r="JZ13">
        <f t="shared" si="137"/>
        <v>1</v>
      </c>
    </row>
    <row r="14" spans="1:286" x14ac:dyDescent="0.3">
      <c r="A14" t="s">
        <v>783</v>
      </c>
      <c r="B14" t="s">
        <v>757</v>
      </c>
      <c r="C14" t="s">
        <v>756</v>
      </c>
      <c r="D14">
        <v>1</v>
      </c>
      <c r="E14">
        <v>34.840000000000003</v>
      </c>
      <c r="G14">
        <v>63</v>
      </c>
      <c r="H14" t="str">
        <f>Линии[[#This Row],[_авто управление]]</f>
        <v/>
      </c>
      <c r="I14" t="str">
        <f>Линии[[#This Row],[_авто аппараты]]</f>
        <v/>
      </c>
      <c r="J14">
        <v>16</v>
      </c>
      <c r="K14">
        <v>65</v>
      </c>
      <c r="L14" t="str">
        <f>Линии[[#This Row],[_авто фаза]]</f>
        <v>L1,L2,L3</v>
      </c>
      <c r="M14" t="s">
        <v>484</v>
      </c>
      <c r="N14" t="str">
        <f t="shared" si="0"/>
        <v/>
      </c>
      <c r="O14" s="6" cm="1">
        <f t="array" ref="O14">IF(B14="","",IF(BH14&lt;&gt;"",IFERROR(_xlfn.XLOOKUP(BH14,Щиты[Щит],Щиты[Iр, А]),""),IF(BP14=1,IF(OR(N(_xlfn.XLOOKUP(A14,Щиты[Щит],Щиты[Вводов],1))&lt;=1,LOWER(TRIM(_xlfn.XLOOKUP(A14,Щиты[Щит],Щиты[АВР],"")&amp;""))="да"),IFERROR(_xlfn.XLOOKUP(A14,Щиты[Щит],Щиты[Iр, А]),""),IFERROR(N(BS14)*_xlfn.XLOOKUP(A14,Щиты[Щит],Щиты[Кс итог])/(SQRT(3)*Uн_лин*_xlfn.XLOOKUP(A14,Щиты[Щит],Щиты[cos φ])),"")),IF(BV14=1,IFERROR(BS14*1000/BU14,""),IFERROR(_xlfn.IFS(BX14=1,BS14/((Uн_лин/SQRT(3))*CE14),BX14=3,BS14/(SQRT(3)*Uн_лин*CE14)),"")))))</f>
        <v>30.958664828377682</v>
      </c>
      <c r="P14" s="7">
        <f>IF(B14="","",IFERROR(IF(VLOOKUP(BC14,Потребители_обозначение,4,FALSE)=1,VLOOKUP(BC14,Потребители_обозначение,3,FALSE)*(MAX(1,N(D14))*2-1)+EI14+VLOOKUP(BE14,Этаж_обозначение,3,FALSE)+VLOOKUP(BE14,Этаж_обозначение,4,FALSE),VLOOKUP(BC14,Потребители_обозначение,3,FALSE)*(MAX(1,N(D14))*2-1)+EI14),EI14))</f>
        <v>65</v>
      </c>
      <c r="Q14" s="6">
        <f t="shared" si="1"/>
        <v>1.19</v>
      </c>
      <c r="R14" t="str">
        <f t="shared" si="2"/>
        <v>ВВГнг(А)-LS (5х16)</v>
      </c>
      <c r="S14" t="str">
        <f>IF(BM14="","",IF(BN14="вводной узел","узел ","")&amp;"л."&amp;(INT((BM14-1)/Столбцов_на_лист)+1)&amp;" / "&amp;(MOD(BM14-1,Столбцов_на_лист)+1))</f>
        <v>л.2 / 9</v>
      </c>
      <c r="T14" s="119" t="str">
        <f t="shared" si="3"/>
        <v/>
      </c>
      <c r="U14" s="7" t="str">
        <f>IF(OR(CG14=0,N(BV14)+N(IB14)=0),"",ROUNDUP(Запас_БП*(N(HY14)+N(HZ14)),0))</f>
        <v/>
      </c>
      <c r="V14" s="119" t="str">
        <f t="shared" si="4"/>
        <v/>
      </c>
      <c r="W14" s="7" t="str">
        <f>IFERROR(IF(OR(B14="",BP14=1,BV14=1,NOT(ISNUMBER(EN14)),N(DT14)=0),"",MAX(0,ROUNDDOWN((c_min*(Uн_лин*1000/SQRT(3))/(HT14*N(DT14))-_xlfn.XLOOKUP(A14,Щиты[Щит],Щиты[Zпетли на шинах, Ом]))*EN14/(2*ρкз_Cu),0))),"")</f>
        <v/>
      </c>
      <c r="Y14" t="str">
        <f>Линии[[#This Row],[_авто утечка]]</f>
        <v/>
      </c>
      <c r="Z14">
        <v>3</v>
      </c>
      <c r="AA14">
        <v>400</v>
      </c>
      <c r="AB14" t="s">
        <v>562</v>
      </c>
      <c r="AE14">
        <v>2</v>
      </c>
      <c r="AG14" t="s">
        <v>810</v>
      </c>
      <c r="AI14" t="s">
        <v>617</v>
      </c>
      <c r="AK14" t="str">
        <f>Линии[[#This Row],[_авто модуль]]</f>
        <v/>
      </c>
      <c r="AM14">
        <v>26</v>
      </c>
      <c r="AN14" t="s">
        <v>11</v>
      </c>
      <c r="AO14">
        <v>5</v>
      </c>
      <c r="AQ14">
        <v>51</v>
      </c>
      <c r="AR14">
        <v>9</v>
      </c>
      <c r="AS14">
        <v>0</v>
      </c>
      <c r="BA14" cm="1">
        <f t="array" ref="BA14">ROW()-ROW(Линии[#Headers])</f>
        <v>12</v>
      </c>
      <c r="BC14" s="6" t="str">
        <f t="shared" si="5"/>
        <v>ЩР-1</v>
      </c>
      <c r="BD14" t="str">
        <f t="shared" si="6"/>
        <v/>
      </c>
      <c r="BE14" t="str">
        <f t="shared" si="7"/>
        <v/>
      </c>
      <c r="BF14" t="str">
        <f t="shared" si="8"/>
        <v/>
      </c>
      <c r="BG14" t="str">
        <f t="shared" si="9"/>
        <v/>
      </c>
      <c r="BH14" t="str">
        <f>IF(X14&lt;&gt;"",X14,IF(AND(B14&lt;&gt;"",B14&lt;&gt;A14,ISNUMBER(_xlfn.XMATCH(B14,Щиты[Щит]))),B14,""))</f>
        <v>ЩР-1</v>
      </c>
      <c r="BI14" t="str" cm="1">
        <f t="array" ref="BI14">IF(B14="","",IF(BH14&lt;&gt;"","Щит "&amp;BH14,_xlfn.LET(_xlpm.nm,IFERROR(_xlfn.XLOOKUP(BC14,Коды_код,Коды_имя)&amp;"",""),_xlpm.md,IFERROR(N(_xlfn.XLOOKUP(BC14,Коды_код,Коды_режим)),1),_xlpm.ex,IF(Имя_режим="по экспликации",IFERROR(_xlfn.XLOOKUP(BE14&amp;"|"&amp;BG14,Экспликация[Этаж]&amp;"|"&amp;Экспликация[Помещение],Экспликация[Название])&amp;"",""),""),_xlpm.rm,IF(BG14="","",IF(_xlpm.ex&lt;&gt;"",". "&amp;_xlpm.ex&amp;IF(Имя_пом="нет"," ("&amp;BG14&amp;")"," (пом. "&amp;BG14&amp;")"),IF(Имя_пом="нет"," ",", пом. ")&amp;BG14)),IF(_xlpm.nm="","",IF(_xlpm.md=2,_xlpm.nm&amp;" шлейф "&amp;BE14,_xlpm.nm&amp;_xlpm.rm)))))</f>
        <v>Щит ЩР-1</v>
      </c>
      <c r="BJ14" t="str">
        <f t="shared" si="10"/>
        <v>Щит распределительный ЩР-1 Первый этаж этаж Пом. №1.003Б</v>
      </c>
      <c r="BK14">
        <f>IFERROR(_xlfn.XMATCH(A14,Щиты[Щит]),0)</f>
        <v>1</v>
      </c>
      <c r="BL14">
        <f>_xlfn.LET(_xlpm.k,IFERROR(_xlfn.XLOOKUP(A14,Щиты[Щит],Щиты[Мест под вводной узел]),""),IF(_xlpm.k="",Столбцов_на_лист,N(_xlpm.k)))</f>
        <v>6</v>
      </c>
      <c r="BM14">
        <f t="shared" si="11"/>
        <v>26</v>
      </c>
      <c r="BN14" t="str">
        <f t="shared" si="12"/>
        <v>линии</v>
      </c>
      <c r="BO14" s="6">
        <f>IFERROR(N(_xlfn.XLOOKUP(BC14,Коды_код,Коды_квт)),0)</f>
        <v>0</v>
      </c>
      <c r="BP14">
        <f t="shared" si="13"/>
        <v>0</v>
      </c>
      <c r="BQ14">
        <f>IF(B14="","",IF(BH14&lt;&gt;"",IFERROR(_xlfn.XLOOKUP(BH14,Щиты[Щит],Щиты[Руст, кВт]),0),IF(BP14=1,IF(OR(N(_xlfn.XLOOKUP(A14,Щиты[Щит],Щиты[Вводов],1))&lt;=1,LOWER(TRIM(_xlfn.XLOOKUP(A14,Щиты[Щит],Щиты[АВР],"")&amp;""))="да"),IFERROR(_xlfn.XLOOKUP(A14,Щиты[Щит],Щиты[Руст, кВт]),0),SUMIFS(Линии[_Р для вводов],Линии[Щит],A14,Линии[Источник для режимов],GF14)),IF(BO14&gt;0,ROUND(BO14*MAX(1,N(D14)),3),""))))</f>
        <v>34.840000000000003</v>
      </c>
      <c r="BR14">
        <f t="shared" si="14"/>
        <v>34.840000000000003</v>
      </c>
      <c r="BS14" s="6">
        <f>IF(B14="","",IF(BH14&lt;&gt;"",IFERROR(_xlfn.XLOOKUP(BH14,Щиты[Щит],Щиты[Руст, кВт]),0),N(BR14)))</f>
        <v>34.840000000000003</v>
      </c>
      <c r="BT14" t="str">
        <f>IF(B14="","",IFERROR(IF(VLOOKUP(BC14,Потребители_обозначение,8,FALSE)=0,"",VLOOKUP(BC14,Потребители_обозначение,8,FALSE)),""))</f>
        <v/>
      </c>
      <c r="BU14">
        <f t="shared" si="15"/>
        <v>400</v>
      </c>
      <c r="BV14">
        <f t="shared" si="16"/>
        <v>0</v>
      </c>
      <c r="BW14">
        <f>IF(B14="","",IF(BH14&lt;&gt;"",3,IFERROR(IF(N(VLOOKUP(BC14,Потребители_обозначение,9,FALSE))=0,1,VLOOKUP(BC14,Потребители_обозначение,9,FALSE)),1)))</f>
        <v>3</v>
      </c>
      <c r="BX14">
        <f t="shared" si="17"/>
        <v>3</v>
      </c>
      <c r="BY14" t="str">
        <f>IF(B14="","",_xlfn.LET(_xlpm.bc,IFERROR(IF(VLOOKUP(BC14,Потребители_обозначение,6,FALSE)=0,"",VLOOKUP(BC14,Потребители_обозначение,6,FALSE)&amp;""),""),IF(AND(GA14="да",OR(_xlpm.bc="",_xlpm.bc="мс")),Марка_пож,IF(AND(_xlpm.bc="",BH14&lt;&gt;""),"мс",_xlpm.bc))))</f>
        <v>мс</v>
      </c>
      <c r="BZ14" t="str">
        <f t="shared" si="18"/>
        <v>мс</v>
      </c>
      <c r="CA14">
        <f>IF(B14="","",_xlfn.LET(_xlpm.cc,IFERROR(N(VLOOKUP(BC14,Потребители_обозначение,7,FALSE)),0),IF(_xlpm.cc&gt;0,_xlpm.cc,IF(BZ14="","",IF(BV14=1,2,IF(N(BX14)=3,5,3))))))</f>
        <v>5</v>
      </c>
      <c r="CB14">
        <f t="shared" si="19"/>
        <v>5</v>
      </c>
      <c r="CC14">
        <f>IFERROR(N(VLOOKUP(BC14,Потребители_обозначение,10,FALSE)),0)</f>
        <v>0</v>
      </c>
      <c r="CD14">
        <f>IFERROR(VLOOKUP(BC14,Потребители_обозначение,5,FALSE),0)</f>
        <v>0</v>
      </c>
      <c r="CE14" s="6" cm="1">
        <f t="array" ref="CE14">IF(B14="","",IF(BH14&lt;&gt;"",IFERROR(_xlfn.XLOOKUP(BH14,Щиты[Щит],Щиты[cos φ]),0.95),IF(BP14=1,IFERROR(_xlfn.XLOOKUP(A14,Щиты[Щит],Щиты[cos φ]),0.95),IF(ISNUMBER(AD14),AD14,IFERROR(IF(CD14=2,_xlfn.IFS(BX14=3,VLOOKUP(BS14,Справочная_двигатели,8,FALSE),BX14=1,VLOOKUP(BS14,Справочная_двигатели,10,TRUE)),IF(AND(Методика="нормы 2026",FG14="Сил"),0.8,0.95)),0.95)))))</f>
        <v>0.94999999999999984</v>
      </c>
      <c r="CF14">
        <f t="shared" si="20"/>
        <v>0</v>
      </c>
      <c r="CG14">
        <f t="shared" si="21"/>
        <v>1</v>
      </c>
      <c r="CH14">
        <f t="shared" si="22"/>
        <v>0</v>
      </c>
      <c r="CI14">
        <f>IF(B14="","",IF(BV14=1,IFERROR(BS14/((Uн_лин/SQRT(3))*MAX(0.5,N(CE14))),0),N(O14)))</f>
        <v>30.958664828377682</v>
      </c>
      <c r="CJ14">
        <f t="shared" si="23"/>
        <v>0</v>
      </c>
      <c r="CK14">
        <f t="shared" si="24"/>
        <v>0</v>
      </c>
      <c r="CL14">
        <f t="shared" si="25"/>
        <v>0</v>
      </c>
      <c r="CM14">
        <f t="shared" si="26"/>
        <v>0</v>
      </c>
      <c r="CN14">
        <f t="shared" si="27"/>
        <v>0</v>
      </c>
      <c r="CO14">
        <f>IF(BC14="",0,_xlfn.LET(_xlpm.v,IFERROR(_xlfn.XLOOKUP(B14,Коды_код,Коды_мА),IFERROR(_xlfn.XLOOKUP(BC14,Коды_код,Коды_мА),IFERROR(_xlfn.XLOOKUP(LEFT(BC14,2),Коды_код,Коды_мА),""))),IF(_xlpm.v="да",30,IF(ISNUMBER(_xlpm.v),_xlpm.v,0))))</f>
        <v>0</v>
      </c>
      <c r="CP14" t="str">
        <f t="shared" si="28"/>
        <v/>
      </c>
      <c r="CQ14" t="str">
        <f>_xlfn.LET(_xlpm.k,IFERROR(_xlfn.XLOOKUP(BC14,Коды_код,Коды_утечка)&amp;"",""),IF(_xlpm.k="","дифавтомат",_xlpm.k))</f>
        <v>дифавтомат</v>
      </c>
      <c r="CR14" t="str" cm="1">
        <f t="array" ref="CR14">IF(CG14=0,"",_xlfn.LET(_xlpm.sg,TRIM(_xlfn.TEXTSPLIT(DD14&amp;"",";")),_xlpm.f_,_xlfn._xlws.FILTER(_xlpm.sg,LEFT(_xlpm.sg,3)="УЗО",""),IFERROR(INDEX(_xlpm.f_,1)&amp;"","")))</f>
        <v/>
      </c>
      <c r="CS14" t="str">
        <f t="shared" si="29"/>
        <v/>
      </c>
      <c r="CT14" s="6" t="str" cm="1">
        <f t="array" ref="CT14">IF(CR14="","",_xlfn.LET(_xlpm.tk,_xlfn.TEXTSPLIT(UPPER(CR14)," ",,TRUE),_xlpm.a_,_xlfn._xlws.FILTER(_xlpm.tk,ISNUMBER(--LEFT(_xlpm.tk,1))*((ISNUMBER(SEARCH("А",_xlpm.tk))+ISNUMBER(SEARCH("A",_xlpm.tk)))&gt;0)*NOT(ISNUMBER(SEARCH("МА",_xlpm.tk)))*NOT(ISNUMBER(SEARCH("MA",_xlpm.tk))),""),IFERROR(--SUBSTITUTE(SUBSTITUTE(INDEX(_xlpm.a_,1),"А",""),"A",""),"")))</f>
        <v/>
      </c>
      <c r="CU14" t="str" cm="1">
        <f t="array" ref="CU14">IF(CR14="","",_xlfn.LET(_xlpm.tk,_xlfn.TEXTSPLIT(UPPER(CR14)," ",,TRUE),_xlpm.a_,_xlfn._xlws.FILTER(_xlpm.tk,ISNUMBER(--LEFT(_xlpm.tk,1))*((ISNUMBER(SEARCH("МА",_xlpm.tk))+ISNUMBER(SEARCH("MA",_xlpm.tk)))&gt;0),""),IFERROR(--SUBSTITUTE(SUBSTITUTE(INDEX(_xlpm.a_,1),"МА",""),"MA",""),30)))</f>
        <v/>
      </c>
      <c r="CV14" t="str">
        <f>IF(CS14="","",IFERROR(_xlfn.XLOOKUP(CS14,Линии[_n],Линии[_УЗО, мА]),30))</f>
        <v/>
      </c>
      <c r="CW14">
        <f>IF(CS14="",0,IF(ISNUMBER(SEARCH("4P",IFERROR(_xlfn.XLOOKUP(CS14,Линии[_n],Линии[_УЗО строки])&amp;"",""))),0,1))</f>
        <v>0</v>
      </c>
      <c r="CX14" t="str">
        <f>IF(AND(CS14&lt;&gt;"",CS14=BA14),SUMIFS(Линии[_ток на 230 В],Линии[_блок УЗО],BA14,Линии[Щит],A14),"")</f>
        <v/>
      </c>
      <c r="CY14" t="str">
        <f>IF(AND(CS14&lt;&gt;"",CS14=BA14),SUMIFS(Линии[_ток утечки линии, мА],Линии[_блок УЗО],BA14,Линии[Щит],A14),"")</f>
        <v/>
      </c>
      <c r="CZ14">
        <f t="shared" si="30"/>
        <v>0</v>
      </c>
      <c r="DA14">
        <f t="shared" si="31"/>
        <v>0</v>
      </c>
      <c r="DB14">
        <f>IF(B14="",0,IFERROR(--_xlfn.XLOOKUP(B14,Коды_код,Коды_минавт),IFERROR(--_xlfn.XLOOKUP(BC14,Коды_код,Коды_минавт),IFERROR(--_xlfn.XLOOKUP(LEFT(BC14,2),Коды_код,Коды_минавт),0))))</f>
        <v>0</v>
      </c>
      <c r="DC14" t="str">
        <f>IF(B14="","",IFERROR(_xlfn.XLOOKUP(BC14,Коды_код,Коды_апп)&amp;"",""))</f>
        <v/>
      </c>
      <c r="DD14" t="str">
        <f t="shared" si="32"/>
        <v/>
      </c>
      <c r="DE14" t="str" cm="1">
        <f t="array" ref="DE14">IF(TRIM(DD14&amp;"")="","",IFERROR(TRIM(INDEX(_xlfn.TEXTSPLIT(DD14&amp;";;;",";"),1)),""))</f>
        <v/>
      </c>
      <c r="DF14" t="str" cm="1">
        <f t="array" ref="DF14">IF(TRIM(DD14&amp;"")="","",IFERROR(TRIM(INDEX(_xlfn.TEXTSPLIT(DD14&amp;";;;",";"),2)),""))</f>
        <v/>
      </c>
      <c r="DG14" t="str" cm="1">
        <f t="array" ref="DG14">IF(TRIM(DD14&amp;"")="","",IFERROR(TRIM(INDEX(_xlfn.TEXTSPLIT(DD14&amp;";;;",";"),3)),""))</f>
        <v/>
      </c>
      <c r="DH14">
        <f t="shared" si="33"/>
        <v>0</v>
      </c>
      <c r="DI14" t="str">
        <f>IF(B14="","",_xlfn.LET(_xlpm.t,LOWER(AZ14&amp;""),IF(ISNUMBER(SEARCH("dim",_xlpm.t)),"DIM",IF(ISNUMBER(SEARCH("dali",_xlpm.t)),"DALI",IF(OR(ISNUMBER(SEARCH("relay",_xlpm.t)),ISNUMBER(SEARCH("реле",_xlpm.t))),"Relay",IF(ISNUMBER(SEARCH("кнопк",_xlpm.t)),"",IFERROR(_xlfn.XLOOKUP(BC14,Коды_код,Коды_упр)&amp;"","")))))))</f>
        <v/>
      </c>
      <c r="DJ14" t="str">
        <f t="shared" si="34"/>
        <v/>
      </c>
      <c r="DK14">
        <f>IF(B14="","",_xlfn.LET(_xlpm.ig,IF(N(CX14)&gt;0,N(CX14),N(CI14)+IF(AJ14="вручную",0,N(CJ14))),_xlpm.n0,IFERROR(VLOOKUP(_xlpm.ig,Автомат_номиналы,2,TRUE),0),_xlpm.mn,MAX(DB14,IF(AJ14="вручную",0,N(CM14))),MAX(_xlpm.n0,_xlpm.mn,IF(DH14=1,Мин_автомат_БП,0))))</f>
        <v>40</v>
      </c>
      <c r="DL14">
        <f t="shared" si="35"/>
        <v>3</v>
      </c>
      <c r="DM14" t="str">
        <f t="shared" si="36"/>
        <v>3P</v>
      </c>
      <c r="DN14" t="str">
        <f>_xlfn.LET(_xlpm.cc,UPPER(TRIM(IFERROR(_xlfn.XLOOKUP(BC14,Коды_код,Коды_хар)&amp;"",""))),IF(OR(_xlpm.cc="B",_xlpm.cc="В"),"B",IF(_xlpm.cc="D","D","С")))</f>
        <v>С</v>
      </c>
      <c r="DO14" t="str">
        <f t="shared" si="37"/>
        <v>3P С40А</v>
      </c>
      <c r="DP14">
        <f t="shared" si="38"/>
        <v>63</v>
      </c>
      <c r="DQ14" t="str">
        <f t="shared" si="39"/>
        <v>3P С63А</v>
      </c>
      <c r="DR14" cm="1">
        <f t="array" ref="DR14">IF(DQ14="","",_xlfn.LET(_xlpm.t,SUBSTITUTE(SUBSTITUTE(SUBSTITUTE(UPPER(DQ14),"С","C"),"А","A"),"В","B"),_xlpm.tk,_xlfn.TEXTSPLIT(_xlpm.t," "),_xlpm.f,_xlfn._xlws.FILTER(_xlpm.tk,ISNUMBER(--MID(_xlpm.tk,2,1))*ISNUMBER(SEARCH(LEFT(_xlpm.tk,1)&amp;"#","B#C#D#"))*(LEN(_xlpm.tk)&gt;1),""),_xlpm.x,INDEX(_xlpm.f,1),IFERROR(--SUBSTITUTE(MID(_xlpm.x,2,9),"A",""),IFERROR(--SUBSTITUTE(INDEX(_xlfn._xlws.FILTER(_xlpm.tk,ISNUMBER(--SUBSTITUTE(_xlpm.tk,"A","")),""),1),"A",""),""))))</f>
        <v>63</v>
      </c>
      <c r="DS14" t="str">
        <f t="shared" si="40"/>
        <v>ok</v>
      </c>
      <c r="DT14">
        <f t="shared" si="41"/>
        <v>63</v>
      </c>
      <c r="DU14" t="str">
        <f t="shared" si="42"/>
        <v>3P С63А</v>
      </c>
      <c r="DV14">
        <f t="shared" si="43"/>
        <v>0</v>
      </c>
      <c r="DW14">
        <f t="shared" si="44"/>
        <v>0</v>
      </c>
      <c r="DX14">
        <f t="shared" si="45"/>
        <v>0</v>
      </c>
      <c r="DY14">
        <f t="shared" si="46"/>
        <v>30.958664828377682</v>
      </c>
      <c r="DZ14">
        <f t="shared" si="47"/>
        <v>0.92</v>
      </c>
      <c r="EA14">
        <f>IF(ISNUMBER(AP14),AP14,К_прокл)</f>
        <v>1</v>
      </c>
      <c r="EB14">
        <f t="shared" si="48"/>
        <v>3</v>
      </c>
      <c r="EC14">
        <f>IFERROR(N(VLOOKUP(BZ14,Кабель_обозначение,3,FALSE)),1)</f>
        <v>1</v>
      </c>
      <c r="ED14">
        <f>IFERROR(N(_xlfn.XLOOKUP(A14,Щиты[Щит],Щиты[ΔU до шин, %])),0)</f>
        <v>0</v>
      </c>
      <c r="EE14" t="str">
        <f>IFERROR(_xlfn.XLOOKUP(A14,Щиты[Щит],Щиты[Zпетли на шинах, Ом]),"")</f>
        <v/>
      </c>
      <c r="EF14">
        <f>IFERROR(N(_xlfn.XLOOKUP(A14,Щиты[Щит],Щиты[ΔU до шин (подбор), %])),0)</f>
        <v>0</v>
      </c>
      <c r="EG14" t="str">
        <f>IFERROR(_xlfn.XLOOKUP(A14,Щиты[Щит],Щиты[Zпетли на шинах (подбор), Ом]),"")</f>
        <v/>
      </c>
      <c r="EH14" t="str">
        <f t="shared" si="49"/>
        <v/>
      </c>
      <c r="EI14">
        <f t="shared" si="50"/>
        <v>65</v>
      </c>
      <c r="EJ14">
        <f t="shared" si="51"/>
        <v>1</v>
      </c>
      <c r="EK14">
        <f t="shared" si="52"/>
        <v>0.31</v>
      </c>
      <c r="EL14" s="6">
        <f>IF(B14="","",IF(BV14=1,dU_LED,IF(IFERROR(_xlfn.XLOOKUP(BC14,Коды_код,Коды_уго),"")="Светильник",3,4)+IF(Методика="нормы 2026",MIN(0.5,MAX(0,N(P14)-100)*0.005),0)))</f>
        <v>4</v>
      </c>
      <c r="EM14" cm="1">
        <f t="array" ref="EM14">IF(OR(B14="",BZ14="",EC14&lt;&gt;1),"",_xlfn.LET(_xlpm.sz,Iдоп_S,_xlpm.t_,CHOOSE(EB14,Iдоп_1ж,Iдоп_2ж,Iдоп_3ж)*DZ14*EA14,_xlpm.dcx,BV14=1,_xlpm.inn,IF(_xlpm.dcx,N(O14),N(DT14)),_xlpm.smin,MAX(1.5,CC14),_xlpm.L_,N(P14)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14)/N(BU14)*100,999),IFERROR(N(EJ14)*(_xlpm.rho*_xlpm.L_/_xlpm.sz*N(CE14)+_xlpm.xx*_xlpm.L_*N(EK14)/1000)*N(O14)/((Uн_лин/SQRT(3))*1000)*100,999)),_xlpm.kz,IF(OR(_xlpm.dcx,DW14=1,NOT(ISNUMBER(EG14)),_xlpm.L_=0,_xlpm.inn=0),1,IFERROR(--(c_min*(Uн_лин*1000/SQRT(3))/(EG14+2*ρкз_Cu*_xlpm.L_/_xlpm.sz)&gt;=HT14*_xlpm.inn),0)),_xlpm.ok,IFERROR((_xlpm.sz&gt;=_xlpm.smin)*(_xlpm.t_&gt;=_xlpm.inn)*IF(_xlpm.L_&gt;0,(_xlpm.du_+IF(_xlpm.dcx,0,EF14)&lt;=EL14+0.00001),1)*_xlpm.kz,0),_xlpm.r_,_xlfn._xlws.FILTER(_xlpm.sz,_xlpm.ok,"не подобрано"),INDEX(_xlpm.r_,1)))</f>
        <v>16</v>
      </c>
      <c r="EN14">
        <f t="shared" si="53"/>
        <v>16</v>
      </c>
      <c r="EO14" cm="1">
        <f t="array" ref="EO14">IF(OR(B14="",BZ14="",EC14&lt;&gt;1),"",_xlfn.LET(_xlpm.sz,Iдоп_S,_xlpm.t_,CHOOSE(EB14,Iдоп_1ж,Iдоп_2ж,Iдоп_3ж)*DZ14*EA14,_xlpm.ok,IFERROR((_xlpm.sz&gt;=MAX(1.5,CC14))*(_xlpm.t_&gt;=N(DT14)),0),_xlpm.r_,_xlfn._xlws.FILTER(_xlpm.sz,_xlpm.ok,""),INDEX(_xlpm.r_,1)))</f>
        <v>16</v>
      </c>
      <c r="EP14" s="6" cm="1">
        <f t="array" ref="EP14">IFERROR(ROUNDUP(N(EJ14)*(_xlfn.XLOOKUP(EO14,INDEX(Кабель_сопротивление,0,1),INDEX(Кабель_сопротивление,0,3))*N(P14)/EO14*N(CE14)+_xlfn.XLOOKUP(EO14,INDEX(Кабель_сопротивление,0,1),INDEX(Кабель_сопротивление,0,2))*N(P14)*N(EK14)/1000)*N(O14)/((Uн_лин/SQRT(3))*1000)*100,2),"")</f>
        <v>1.19</v>
      </c>
      <c r="EQ14">
        <f>IFERROR(2*ρкз_Cu*N(P14)/EO14,"")</f>
        <v>0.2136875</v>
      </c>
      <c r="ER14">
        <f>IFERROR(VLOOKUP(EN14,Кабель_сопротивление,3,FALSE),"")</f>
        <v>2.2499999999999999E-2</v>
      </c>
      <c r="ES14">
        <f>IFERROR(VLOOKUP(EN14,Кабель_сопротивление,2,FALSE),"")</f>
        <v>6.7500000000000004E-2</v>
      </c>
      <c r="ET14">
        <f t="shared" si="54"/>
        <v>9</v>
      </c>
      <c r="EU14">
        <f t="shared" si="55"/>
        <v>0</v>
      </c>
      <c r="EV14">
        <f t="shared" si="56"/>
        <v>2.7304323381201492</v>
      </c>
      <c r="EW14" s="6">
        <f>IFERROR(ROUNDUP(EV14/IF(BV14=1,BU14,(Uн_лин/SQRT(3))*1000)*100,2),"")</f>
        <v>1.19</v>
      </c>
      <c r="EX14" t="str">
        <f>IFERROR(VLOOKUP(BZ14,Кабель_обозначение,2,FALSE),"")</f>
        <v>ВВГнг(А)-LS</v>
      </c>
      <c r="EY14" t="str">
        <f t="shared" si="57"/>
        <v>ВВГнг(А)-LS (5х16)</v>
      </c>
      <c r="EZ14" t="str">
        <f t="shared" si="58"/>
        <v>ВВГнг(А)-LS (5х16)
L=65-1,19%</v>
      </c>
      <c r="FA14">
        <f>IFERROR(2*ρкз_Cu*P14/EN14,"")</f>
        <v>0.2136875</v>
      </c>
      <c r="FB14">
        <f t="shared" si="59"/>
        <v>7.1093750000000011E-2</v>
      </c>
      <c r="FC14" s="6" t="str">
        <f>IFERROR(IF(OR(B14="",BV14=1,NOT(ISNUMBER(EN14)),N(P14)=0),"",_xlfn.XLOOKUP(A14,Щиты[Щит],Щиты[Zпетли на шинах, Ом])+FA14),"")</f>
        <v/>
      </c>
      <c r="FD14" s="6" t="str">
        <f>IF(ISNUMBER(FC14),c_min*(Uн_лин*1000/SQRT(3))/FC14,"")</f>
        <v/>
      </c>
      <c r="FE14" s="6" t="str">
        <f>IFERROR(IF(OR(B14="",NOT(ISNUMBER(EN14))),"",1.05*(Uн_лин*1000/SQRT(3))/(_xlfn.XLOOKUP(A14,Щиты[Щит],Щиты[Zmax на шинах, Ом])+FB14)/1000),"")</f>
        <v/>
      </c>
      <c r="FF14" s="6" t="str">
        <f>IF(B14="","",IF(ISNUMBER(AC14),"Сил",IF(IFERROR(_xlfn.XLOOKUP(BC14,Коды_код,Коды_группа)&amp;"","")="","Быт",_xlfn.XLOOKUP(BC14,Коды_код,Коды_группа)&amp;"")))</f>
        <v>Быт</v>
      </c>
      <c r="FG14" s="6" t="str">
        <f t="shared" si="60"/>
        <v>Щит</v>
      </c>
      <c r="FH14" s="6" t="str">
        <f>IF(FG14="Щит","щит",IF(FG14="","",IF(FG14="Быт",IFERROR(_xlfn.XLOOKUP(A14,Щиты[Щит],Щиты[Кс быт]),1),IF(FG14="Сил",IF(ISNUMBER(AC14),AC14,IF(Методика="нормы 2026",IFERROR(_xlfn.XLOOKUP(A14,Щиты[Щит],Щиты[Кс силовых (табл. 7.5)]),1),1)),IF(OR(FG14="Пост",FG14="Отоп"),1,IF(FG14="ВНГ",0.7,0))))))</f>
        <v>щит</v>
      </c>
      <c r="FI14">
        <f>IF(FG14="","",IF(AND(BP14=1,TRIM(AE14&amp;"")=""),IF(COUNTIFS(Линии[Щит],A14,Линии[Секция (1/2/3)],"&gt;=2")&gt;0,MIN(3,MAX(1,IFERROR(--BD14,1))),1),IFERROR(MIN(3,MAX(1,INT(--AE14))),1)))</f>
        <v>2</v>
      </c>
      <c r="FJ14">
        <f t="shared" si="61"/>
        <v>0</v>
      </c>
      <c r="FK14">
        <f t="shared" si="62"/>
        <v>0</v>
      </c>
      <c r="FL14">
        <f t="shared" si="63"/>
        <v>0</v>
      </c>
      <c r="FM14">
        <f t="shared" si="64"/>
        <v>0</v>
      </c>
      <c r="FN14">
        <f t="shared" si="65"/>
        <v>0</v>
      </c>
      <c r="FO14">
        <f t="shared" si="66"/>
        <v>0</v>
      </c>
      <c r="FP14">
        <f t="shared" si="67"/>
        <v>34.840000000000003</v>
      </c>
      <c r="FQ14">
        <f t="shared" si="68"/>
        <v>0</v>
      </c>
      <c r="FR14">
        <f t="shared" si="69"/>
        <v>0</v>
      </c>
      <c r="FS14">
        <f>IF(CG14=1,IF(AND(CH14=1,CW14=1),0,IF(AND(CS14&lt;&gt;"",CS14=BA14,CW14=1),SUMIFS(Линии[_Р линии, кВт],Линии[_блок УЗО],BA14,Линии[Щит],A14),N(BS14)+IF(AJ14="вручную",0,N(CK14)))),0)</f>
        <v>34.840000000000003</v>
      </c>
      <c r="FT14" t="str">
        <f t="shared" si="70"/>
        <v/>
      </c>
      <c r="FU14" t="str">
        <f>IF(B14="","",IF(CG14=0,IF(BA14=1,"",FW13),IF(AND(CH14=1,CW14=1,CS14&lt;&gt;""),IFERROR(_xlfn.XLOOKUP(CS14,Линии[_n],Линии[_фаза итог]),"L1"),IF(OR(N(DL14)&gt;=3,N(BX14)&gt;=3),"L1,L2,L3",IFERROR(_xlfn.TEXTBEFORE(_xlfn.TEXTAFTER(_xlfn.XLOOKUP(A14,Щиты[Щит],Щиты[_фазы авто]),";"&amp;BA14&amp;":"),";"),"L1")))))</f>
        <v>L1,L2,L3</v>
      </c>
      <c r="FV14" t="str">
        <f t="shared" si="71"/>
        <v>L1,L2,L3</v>
      </c>
      <c r="FW14" t="str">
        <f t="shared" si="72"/>
        <v>L1,L2,L3</v>
      </c>
      <c r="FX14" cm="1">
        <f t="array" ref="FX14">IFERROR(IF(CD14=2,_xlfn.IFS(BX14=3,VLOOKUP(BS14,Справочная_двигатели,3,FALSE),BX14=1,VLOOKUP(BS14,Справочная_двигатели,5,TRUE)),0),0)</f>
        <v>0</v>
      </c>
      <c r="FY14">
        <f>IFERROR(IF(CD14=3,VLOOKUP(BS14,Справочная_ЛЭД,2,TRUE),0),0)</f>
        <v>0</v>
      </c>
      <c r="FZ14" s="6">
        <f t="shared" si="73"/>
        <v>0</v>
      </c>
      <c r="GA14" t="str">
        <f>IF(B14="","",IF(TRIM(AH14&amp;"")&lt;&gt;"",IF(LOWER(TRIM(AH14&amp;""))="да","да","нет"),IF(IFERROR(_xlfn.XLOOKUP(BC14,Коды_код,Коды_пожарная),"")="да","да","нет")))</f>
        <v>нет</v>
      </c>
      <c r="GB14" t="str">
        <f t="shared" si="74"/>
        <v/>
      </c>
      <c r="GC14" t="str">
        <f t="shared" si="75"/>
        <v>основная</v>
      </c>
      <c r="GD14">
        <f>IF(AND(BP14=1,TRIM(AE14&amp;"")=""),IF(COUNTIFS(Линии[Щит],A14,Линии[Секция (1/2/3)],"&gt;=2")&gt;0,MIN(3,MAX(1,IFERROR(--BD14,1))),1),IFERROR(MIN(3,MAX(1,INT(--AE14))),1))</f>
        <v>2</v>
      </c>
      <c r="GE14" t="str" cm="1">
        <f t="array" ref="GE14">IF(B14="","",_xlfn.LET(_xlpm.t,IFERROR(_xlfn.XLOOKUP(1,(Шины[Шина]=GC14)*(((Шины[Щит]=A14)+(Шины[Щит]=""))&gt;0),Шины[Тип]),"")&amp;"",IF(_xlpm.t&lt;&gt;"",_xlpm.t,IF(ISNUMBER(SEARCH("ИБП",GC14)),"ИБП",IF(ISNUMBER(SEARCH("ДГУ",GC14)),"ДГУ","Ввод "&amp;GD14)))))</f>
        <v>Ввод 2</v>
      </c>
      <c r="GF14" t="str">
        <f t="shared" si="76"/>
        <v>Ввод 2</v>
      </c>
      <c r="GG14" t="str">
        <f>IF(BP14=0,"",IF(TRIM(AG14&amp;"")&lt;&gt;"",TRIM(AG14&amp;""),IF(OR(GE14="ИБП",GE14="ДГУ"),"I особая",_xlfn.XLOOKUP(A14,Щиты[Щит],Щиты[Категория шины «Ввод»],"III"))))</f>
        <v/>
      </c>
      <c r="GH14" t="str">
        <f>IF(A14="","",_xlfn.XLOOKUP(A14,Щиты[Щит],Щиты[Путь],""))</f>
        <v>|ГРЩ-ЖД|</v>
      </c>
      <c r="GI14" t="str">
        <f>IF(B14="","",IF(AI14&lt;&gt;"",AI14,IF(IFERROR(_xlfn.XLOOKUP(BC14,Коды_код,Коды_вид)&amp;"","")="","Прочее",_xlfn.XLOOKUP(BC14,Коды_код,Коды_вид)&amp;"")))</f>
        <v>Распределительные щиты жилой части</v>
      </c>
      <c r="GJ14">
        <f>IF(BM14="","",INT((BM14-1)/Столбцов_на_лист)+1)</f>
        <v>2</v>
      </c>
      <c r="GK14" t="str">
        <f t="shared" si="77"/>
        <v>ВВГнг(А)-LS (5х16) L=65-1,19%</v>
      </c>
      <c r="GL14">
        <f t="shared" si="78"/>
        <v>34.840000000000003</v>
      </c>
      <c r="GM14">
        <f t="shared" si="79"/>
        <v>30.96</v>
      </c>
      <c r="GN14">
        <f t="shared" si="80"/>
        <v>3</v>
      </c>
      <c r="GO14">
        <f t="shared" si="81"/>
        <v>0</v>
      </c>
      <c r="GP14">
        <f t="shared" si="82"/>
        <v>1</v>
      </c>
      <c r="GQ14">
        <f>IF(BM14="","",IF(AND(CG14=1,GP14=1),COUNTIFS(A$3:A14,A14,CG$3:CG14,1,GP$3:GP14,1),IF(OR(OR(BA14=1,A14&lt;&gt;A13),AJ14="вручную",GP14=0),"",IF(BA14=1,"",GR13))))</f>
        <v>10</v>
      </c>
      <c r="GR14">
        <f t="shared" si="83"/>
        <v>10</v>
      </c>
      <c r="GS14">
        <f>IF(B14="","",IFERROR(LOOKUP(INDEX(CHOOSE(EB14,Iдоп_1ж,Iдоп_2ж,Iдоп_3ж),MATCH(EN14,Iдоп_S,0))*DZ14*EA14,{6,10,16,20,25,32,40,50,63,80,100,125,160,200,250,315,400,500,630}),""))</f>
        <v>63</v>
      </c>
      <c r="GT14" t="str">
        <f t="shared" si="84"/>
        <v>QF10</v>
      </c>
      <c r="GU14" t="str">
        <f t="shared" si="85"/>
        <v>QF10</v>
      </c>
      <c r="GV14" t="str">
        <f t="shared" si="86"/>
        <v/>
      </c>
      <c r="GW14">
        <f t="shared" si="87"/>
        <v>0</v>
      </c>
      <c r="GX14" t="str">
        <f>IF(OR(B14="",DJ14=""),"",IFERROR(_xlfn.XLOOKUP(DJ14,Модули_умолч[Управление],Модули_умолч[Модель])&amp;"",""))</f>
        <v/>
      </c>
      <c r="GY14">
        <f>IF(DJ14="",1,IFERROR(MAX(0,N(_xlfn.XLOOKUP(DJ14,Модули_умолч[Управление],Модули_умолч[Каналов на линию]))),1))</f>
        <v>1</v>
      </c>
      <c r="GZ14" t="str">
        <f t="shared" si="88"/>
        <v/>
      </c>
      <c r="HA14" t="str">
        <f t="shared" si="89"/>
        <v/>
      </c>
      <c r="HB14" t="str">
        <f t="shared" si="90"/>
        <v/>
      </c>
      <c r="HC14">
        <f>IF(HB14="",0,IFERROR(N(VLOOKUP(HB14,Модули_спр,3,FALSE)),0))</f>
        <v>0</v>
      </c>
      <c r="HD14" t="str">
        <f t="shared" si="91"/>
        <v/>
      </c>
      <c r="HE14" t="str">
        <f t="shared" si="92"/>
        <v/>
      </c>
      <c r="HF14" t="str">
        <f>IF(OR(HE14="",HE14="-"),"",IFERROR(VLOOKUP(HE14,Модули_спр,2,FALSE),"R"))</f>
        <v/>
      </c>
      <c r="HG14" t="str">
        <f>IF(HF14="","",HF14&amp;"."&amp;COUNTIFS(A$3:A14,A14,HF$3:HF14,HF14))</f>
        <v/>
      </c>
      <c r="HH14" t="str">
        <f t="shared" si="93"/>
        <v/>
      </c>
      <c r="HI14" t="str">
        <f t="shared" si="94"/>
        <v/>
      </c>
      <c r="HJ14" t="str">
        <f t="shared" si="95"/>
        <v/>
      </c>
      <c r="HK14" t="str">
        <f t="shared" si="96"/>
        <v/>
      </c>
      <c r="HL14">
        <f t="shared" si="97"/>
        <v>1</v>
      </c>
      <c r="HM14" t="str">
        <f>IF(HL14=1,"XT"&amp;COUNTIFS(A$3:A14,A14,HL$3:HL14,1),"")</f>
        <v>XT9</v>
      </c>
      <c r="HN14" t="str">
        <f t="shared" si="98"/>
        <v/>
      </c>
      <c r="HO14" t="str">
        <f t="shared" si="99"/>
        <v>QF10</v>
      </c>
      <c r="HP14" t="str">
        <f t="shared" si="100"/>
        <v/>
      </c>
      <c r="HQ14" t="str">
        <f t="shared" si="101"/>
        <v>ok</v>
      </c>
      <c r="HR14" t="str">
        <f>IF(OR(HJ14="",HH14=""),"",IF(HJ14+MAX(0,GY14-1)&gt;IFERROR(VLOOKUP(HI14,Модули_спр,3,FALSE),99),"ЛИШНИЙ КАНАЛ",IF(AND(AL14&lt;&gt;"=",GY14&gt;0,COUNTIFS(Линии[_модуль гр.],HH14,Линии[Канал (итог)],HJ14,Линии[Канал],"&lt;&gt;=",Линии[Щит],A14)&gt;1),"ДУБЛЬ КАНАЛА","")))</f>
        <v/>
      </c>
      <c r="HS14" s="6" t="str">
        <f t="shared" si="102"/>
        <v/>
      </c>
      <c r="HT14">
        <f t="shared" si="103"/>
        <v>10</v>
      </c>
      <c r="HU14" t="str">
        <f t="shared" si="104"/>
        <v/>
      </c>
      <c r="HV14">
        <f t="shared" si="105"/>
        <v>0</v>
      </c>
      <c r="HW14">
        <f t="shared" si="106"/>
        <v>0</v>
      </c>
      <c r="HX14">
        <f t="shared" si="107"/>
        <v>0</v>
      </c>
      <c r="HY14">
        <f t="shared" si="108"/>
        <v>0</v>
      </c>
      <c r="HZ14">
        <f t="shared" si="109"/>
        <v>0</v>
      </c>
      <c r="IA14">
        <f t="shared" si="110"/>
        <v>0</v>
      </c>
      <c r="IB14">
        <f t="shared" si="111"/>
        <v>0</v>
      </c>
      <c r="IC14" t="str">
        <f t="shared" si="112"/>
        <v/>
      </c>
      <c r="ID14" t="str" cm="1">
        <f t="array" ref="ID14">IF(IC14="","",_xlfn.LET(_xlpm.tk,_xlfn.TEXTSPLIT(SUBSTITUTE(SUBSTITUTE(IC14,";"," "),"→"," ")," ",,TRUE),_xlpm.w_,_xlfn._xlws.FILTER(_xlpm.tk,ISNUMBER(--LEFT(_xlpm.tk,1))*((ISNUMBER(SEARCH("W",_xlpm.tk))+ISNUMBER(SEARCH("Вт",_xlpm.tk)))&gt;0),""),IFERROR(--SUBSTITUTE(SUBSTITUTE(UPPER(INDEX(_xlpm.w_,1)),"W",""),"ВТ",""),"")))</f>
        <v/>
      </c>
      <c r="IE14" t="str" cm="1">
        <f t="array" ref="IE14">IF(IC14="","",_xlfn.LET(_xlpm.tk,_xlfn.TEXTSPLIT(SUBSTITUTE(SUBSTITUTE(IC14,";"," "),"→"," ")," ",,TRUE),_xlpm.v_,_xlfn._xlws.FILTER(_xlpm.tk,ISNUMBER(--LEFT(_xlpm.tk,1))*((ISNUMBER(SEARCH("V",_xlpm.tk))+(RIGHT(UPPER(_xlpm.tk))="В"))&gt;0),""),IFERROR(--SUBSTITUTE(SUBSTITUTE(UPPER(INDEX(_xlpm.v_,1)),"V",""),"В",""),"")))</f>
        <v/>
      </c>
      <c r="IF14" s="6" t="str">
        <f>IF(OR(BV14=0,HI14="",HJ14=""),"",IFERROR(N(_xlfn.XLOOKUP(HI14,Каталог!$C$4:$C$500,Каталог!$Q$4:$Q$500)),""))</f>
        <v/>
      </c>
      <c r="IG14" s="6" t="str">
        <f>IF(N(IF14)=0,"",SUMIFS(Линии[Iр, А],Линии[Щит],A14,Линии[_модуль гр.],HH14,Линии[Канал (итог)],HJ14))</f>
        <v/>
      </c>
      <c r="IH14" t="str">
        <f>IF(AND(B14="",HO14=""),"",_xlfn.TEXTJOIN("; ",TRUE,IF(AND(B14&lt;&gt;"",FV14=""),"нет фазы",""),IF(AND(B14&lt;&gt;"",N(GL14)=0,FG14&lt;&gt;"Нет"),"нет мощности",""),IF(AND(HN14&lt;&gt;"",COUNTIFS(Линии[Щит],A14,Линии[Клемма (итог)],HN14)&gt;1),"дубль клеммы "&amp;HN14,""),IF(AND(HQ14&lt;&gt;"",HQ14&lt;&gt;"ok"),HQ14,""),IF(HR14&lt;&gt;"",HR14,""),IF(AND(N(CB14)&gt;=4,N(BX14)=1),CB14&amp;" жил на 1 фазе",""),IF(AND(BC14="R",CG14=1,IF(CS14&lt;&gt;"",N(CV14)&gt;30,OR(N(DA14)=0,N(DA14)&gt;30))),"розетка без дифзащиты до 30 мА",""),IF(AND(CG14=1,N(DA14)&gt;0,ISNUMBER(T14)),IF(T14&gt;N(DA14)/3,"ток утечки "&amp;FIXED(T14,1)&amp;" мА &gt; 1/3 уставки ("&amp;DA14&amp;" мА)",""),""),IF(AND(CH14=1,CS14=""),"«узо»: нет строки с УЗО выше (УЗО 2P 40А 30мА в «Аппаратах»)",""),IF(AND(CS14&lt;&gt;"",CS14=BA14),IF(CT14="","впишите номинал УЗО (УЗО 2P 40А 30мА)",IF(N(CT14)&lt;N(DT14),"УЗО "&amp;CT14&amp;" А &lt; автомата "&amp;DT14&amp;" А перед ним",IF(N(CT14)&lt;N(CX14),"УЗО "&amp;CT14&amp;" А &lt; тока блока "&amp;FIXED(CX14,1)&amp;" А",""))),""),IF(AND(CS14&lt;&gt;"",CS14=BA14,ISNUMBER(CY14)),IF(CY14&gt;N(CV14)/3,"ток утечки блока УЗО "&amp;FIXED(CY14,1)&amp;" мА &gt; 1/3 уставки ("&amp;CV14&amp;" мА)",""),""),IF(AND(CG14=1,N(BV14)+N(IB14)&gt;0,IC14=""),"линии до 50 В без БП: впишите в «Аппараты» (БП 24V 480W)",""),IF(AND(CG14=1,ISNUMBER(ID14),ISNUMBER(U14)),IF(U14&gt;ID14,"БП "&amp;ID14&amp;" Вт &lt; нужно "&amp;U14&amp;" Вт (×"&amp;Запас_БП&amp;")",""),""),IF(AND(CG14=1,ISNUMBER(IE14),N(BV14)=1),IF(IE14&lt;&gt;N(BU14),"БП на "&amp;IE14&amp;" В, линия "&amp;BU14&amp;" В",""),""),IF(AND(N(IF14)&gt;0,N(IG14)&gt;N(IF14)),HH14&amp;" канал "&amp;HJ14&amp;": "&amp;FIXED(IG14,1)&amp;" А &gt; "&amp;IF14&amp;" А",""),IFERROR(IF(AND(ISNUMBER(Q14),Q14&gt;EL14),"потери "&amp;FIXED(Q14,1)&amp;" % &gt; "&amp;EL14&amp;" %",""),""),IFERROR(IF(LEFT(HU14,4)="мало","Iкз мало — отключение &gt; 0,4 с",""),""),IF(AND(B14&lt;&gt;"",BM14=""),"не на схеме",""),IF(AND(CG14=0,B14&lt;&gt;"",FV14&lt;&gt;"",IF(BA14=1,"",FW13)&lt;&gt;"",FV14&lt;&gt;IF(BA14=1,"",FW13)),"фаза не как у автомата группы ("&amp;IF(BA14=1,"",FW13)&amp;")","")))</f>
        <v/>
      </c>
      <c r="II14" s="6" t="str">
        <f>IF(OR(CG14=0,DQ14=""),"",_xlfn.LET(_xlpm.t,IFERROR(_xlfn.XLOOKUP(DQ14,Каталог!$U$4:$U$500,Каталог!$G$4:$G$500),""),_xlpm.k,SEARCH("кА",_xlpm.t),IFERROR(--TRIM(RIGHT(SUBSTITUTE(MID(_xlpm.t,MAX(1,_xlpm.k-4),_xlpm.k-MAX(1,_xlpm.k-4))," ",REPT(" ",9)),5)),"")))</f>
        <v/>
      </c>
      <c r="IJ14" t="str">
        <f>IF(OR(II14="",CG14=0),"",IF(_xlfn.XLOOKUP(A14,Щиты[Щит],Щиты[Iкз max на шинах, кА],"")="","",IF(II14&lt;_xlfn.XLOOKUP(A14,Щиты[Щит],Щиты[Iкз max на шинах, кА]),"Icu "&amp;II14&amp;" кА &lt; Iкз max","ok")))</f>
        <v/>
      </c>
      <c r="IK14" t="str">
        <f t="shared" si="113"/>
        <v/>
      </c>
      <c r="IL14" t="str">
        <f t="shared" si="114"/>
        <v>QF10</v>
      </c>
      <c r="IM14" t="str">
        <f t="shared" si="115"/>
        <v>QF10|кабель ВВГнг(А)-LS (5х16) → Щит распределительный ЩР-1 Первый этаж этаж Пом. №1.003Б</v>
      </c>
      <c r="IN14" t="str" cm="1">
        <f t="array" ref="IN14">IF(IM14="","",_xlfn.LET(_xlpm.nd,_xlfn.TEXTSPLIT(IM14,"|"),IF(COLUMNS(_xlpm.nd)&gt;1,A14&amp;"¦"&amp;INDEX(_xlpm.nd,1)&amp;"¦"&amp;INDEX(_xlpm.nd,2),"")))</f>
        <v>ГРЩ-ЖД¦QF10¦кабель ВВГнг(А)-LS (5х16) → Щит распределительный ЩР-1 Первый этаж этаж Пом. №1.003Б</v>
      </c>
      <c r="IO14" t="str">
        <f t="shared" si="116"/>
        <v>ЩР-1¦Щит распределительный ЩР-1 Первый этаж этаж Пом. №1.003Б</v>
      </c>
      <c r="IP14" t="str" cm="1">
        <f t="array" ref="IP14">IF(IM14="","",_xlfn.LET(_xlpm.nd,_xlfn.TEXTSPLIT(IM14,"|"),IF(COLUMNS(_xlpm.nd)&gt;2,A14&amp;"¦"&amp;INDEX(_xlpm.nd,2)&amp;"¦"&amp;INDEX(_xlpm.nd,3),"")))</f>
        <v/>
      </c>
      <c r="IQ14" t="str">
        <f t="shared" si="117"/>
        <v/>
      </c>
      <c r="IR14" t="str" cm="1">
        <f t="array" ref="IR14">IF(IM14="","",_xlfn.LET(_xlpm.nd,_xlfn.TEXTSPLIT(IM14,"|"),IF(COLUMNS(_xlpm.nd)&gt;3,A14&amp;"¦"&amp;INDEX(_xlpm.nd,3)&amp;"¦"&amp;INDEX(_xlpm.nd,4),"")))</f>
        <v/>
      </c>
      <c r="IS14" t="str">
        <f t="shared" si="118"/>
        <v/>
      </c>
      <c r="IT14" t="str" cm="1">
        <f t="array" ref="IT14">IF(IM14="","",_xlfn.LET(_xlpm.nd,_xlfn.TEXTSPLIT(IM14,"|"),IF(COLUMNS(_xlpm.nd)&gt;4,A14&amp;"¦"&amp;INDEX(_xlpm.nd,4)&amp;"¦"&amp;INDEX(_xlpm.nd,5),"")))</f>
        <v/>
      </c>
      <c r="IU14" t="str">
        <f t="shared" si="119"/>
        <v/>
      </c>
      <c r="IV14" t="str" cm="1">
        <f t="array" ref="IV14">IF(IM14="","",_xlfn.LET(_xlpm.nd,_xlfn.TEXTSPLIT(IM14,"|"),IF(COLUMNS(_xlpm.nd)&gt;5,A14&amp;"¦"&amp;INDEX(_xlpm.nd,5)&amp;"¦"&amp;INDEX(_xlpm.nd,6),"")))</f>
        <v/>
      </c>
      <c r="IW14" t="str">
        <f t="shared" si="120"/>
        <v/>
      </c>
      <c r="IX14" t="str" cm="1">
        <f t="array" ref="IX14">IF(IM14="","",_xlfn.LET(_xlpm.nd,_xlfn.TEXTSPLIT(IM14,"|"),IF(COLUMNS(_xlpm.nd)&gt;6,A14&amp;"¦"&amp;INDEX(_xlpm.nd,6)&amp;"¦"&amp;INDEX(_xlpm.nd,7),"")))</f>
        <v/>
      </c>
      <c r="IY14" t="str">
        <f t="shared" si="121"/>
        <v/>
      </c>
      <c r="IZ14" t="str">
        <f t="shared" si="122"/>
        <v/>
      </c>
      <c r="JA14" t="str">
        <f t="shared" si="123"/>
        <v>QF10</v>
      </c>
      <c r="JB14">
        <f t="shared" si="124"/>
        <v>0</v>
      </c>
      <c r="JC14">
        <f t="shared" si="125"/>
        <v>0</v>
      </c>
      <c r="JD14" t="str">
        <f t="shared" si="126"/>
        <v/>
      </c>
      <c r="JE14" t="str">
        <f t="shared" si="127"/>
        <v/>
      </c>
      <c r="JF14" t="str">
        <f t="shared" si="128"/>
        <v/>
      </c>
      <c r="JG14" t="str">
        <f t="shared" si="129"/>
        <v/>
      </c>
      <c r="JH14">
        <f>IF(B14="","",IFERROR(_xlfn.XLOOKUP(B14,Коды_код,Коды_уго),IFERROR(_xlfn.XLOOKUP(BC14,Коды_код,Коды_уго),IFERROR(_xlfn.XLOOKUP(LEFT(BC14,2),Коды_код,Коды_уго),""))))</f>
        <v>0</v>
      </c>
      <c r="JI14" t="str">
        <f>IF(B14="","",IF(OR(JH14="",JH14=0),"BOX",IFERROR(IF(VLOOKUP(JH14,УГО_блоки,3,FALSE)&amp;""&lt;&gt;"",VLOOKUP(JH14,УГО_блоки,3,FALSE),VLOOKUP(JH14,УГО_блоки,2,FALSE)),JH14)))</f>
        <v>BOX</v>
      </c>
      <c r="JJ14">
        <f t="shared" si="130"/>
        <v>1</v>
      </c>
      <c r="JK14">
        <f>IF(DQ14="","",IF(COUNTIF(DQ$3:DQ14,DQ14)=1,MAX(JK$2:JK13)+1,""))</f>
        <v>9</v>
      </c>
      <c r="JL14" t="str">
        <f>IF(DE14="","",IF(COUNTIF(DE$3:DE14,DE14)+COUNTIF(DF$2:DF13,DE14)+COUNTIF(DG$2:DG13,DE14)=1,MAX(JL$2:JN13)+1,""))</f>
        <v/>
      </c>
      <c r="JM14" t="str">
        <f>IF(DF14="","",IF(COUNTIF(DE$3:DE14,DF14)+COUNTIF(DF$3:DF14,DF14)+COUNTIF(DG$2:DG13,DF14)=1,MAX(JL$2:JN13,JL14)+1,""))</f>
        <v/>
      </c>
      <c r="JN14" t="str">
        <f>IF(DG14="","",IF(COUNTIF(DE$3:DE14,DG14)+COUNTIF(DF$3:DF14,DG14)+COUNTIF(DG$3:DG14,DG14)=1,MAX(JL$2:JN13,JL14,JM14)+1,""))</f>
        <v/>
      </c>
      <c r="JO14" t="str">
        <f t="shared" si="131"/>
        <v>5х16</v>
      </c>
      <c r="JP14">
        <f>IF(JO14="","",IF(COUNTIF(JO$3:JO14,JO14)=1,MAX(JP$2:JP13)+1,""))</f>
        <v>6</v>
      </c>
      <c r="JQ14" t="str">
        <f>IF(HG14="","",COUNTIF(HG$3:HG14,"?*"))</f>
        <v/>
      </c>
      <c r="JR14" t="str">
        <f>IF(OR(HG14="",HI14=""),"",IF(COUNTIFS(HG$3:HG14,"?*",HI$3:HI14,HI14)=1,MAX(JR$2:JR13)+1,""))</f>
        <v/>
      </c>
      <c r="JS14">
        <f t="shared" si="132"/>
        <v>0</v>
      </c>
      <c r="JT14">
        <f>IF(B14="","",COUNTIF(B$3:B14,"?*"))</f>
        <v>12</v>
      </c>
      <c r="JU14">
        <f>IF(HL14&lt;&gt;1,0,_xlfn.LET(_xlpm.k,MAX(IFERROR(--_xlfn.XLOOKUP(B14,Коды_код,Коды_3L),0),IFERROR(--_xlfn.XLOOKUP(BC14,Коды_код,Коды_3L),0),IFERROR(--_xlfn.XLOOKUP(LEFT(BC14,2),Коды_код,Коды_3L),0)),IF(_xlpm.k&gt;0,_xlpm.k,IF(IFERROR(--LEFT(SUBSTITUTE(JO14,"x","х"),FIND("х",SUBSTITUTE(JO14,"x","х"))-1),3)&gt;3,Каталог!$S$9,1))))</f>
        <v>1</v>
      </c>
      <c r="JV14">
        <f t="shared" si="133"/>
        <v>2</v>
      </c>
      <c r="JW14" t="str">
        <f t="shared" si="134"/>
        <v>авто</v>
      </c>
      <c r="JX14" t="str">
        <f t="shared" si="135"/>
        <v/>
      </c>
      <c r="JY14">
        <f t="shared" si="136"/>
        <v>0</v>
      </c>
      <c r="JZ14">
        <f t="shared" si="137"/>
        <v>1</v>
      </c>
    </row>
    <row r="15" spans="1:286" x14ac:dyDescent="0.3">
      <c r="A15" t="s">
        <v>783</v>
      </c>
      <c r="B15" t="s">
        <v>759</v>
      </c>
      <c r="C15" t="s">
        <v>758</v>
      </c>
      <c r="D15">
        <v>1</v>
      </c>
      <c r="E15">
        <v>9.98</v>
      </c>
      <c r="G15">
        <v>16</v>
      </c>
      <c r="H15" t="str">
        <f>Линии[[#This Row],[_авто управление]]</f>
        <v/>
      </c>
      <c r="I15" t="str">
        <f>Линии[[#This Row],[_авто аппараты]]</f>
        <v/>
      </c>
      <c r="J15">
        <v>4</v>
      </c>
      <c r="K15">
        <v>56</v>
      </c>
      <c r="L15" t="str">
        <f>Линии[[#This Row],[_авто фаза]]</f>
        <v>L1,L2,L3</v>
      </c>
      <c r="M15" t="s">
        <v>484</v>
      </c>
      <c r="N15" t="str">
        <f t="shared" si="0"/>
        <v/>
      </c>
      <c r="O15" s="6" cm="1">
        <f t="array" ref="O15">IF(B15="","",IF(BH15&lt;&gt;"",IFERROR(_xlfn.XLOOKUP(BH15,Щиты[Щит],Щиты[Iр, А]),""),IF(BP15=1,IF(OR(N(_xlfn.XLOOKUP(A15,Щиты[Щит],Щиты[Вводов],1))&lt;=1,LOWER(TRIM(_xlfn.XLOOKUP(A15,Щиты[Щит],Щиты[АВР],"")&amp;""))="да"),IFERROR(_xlfn.XLOOKUP(A15,Щиты[Щит],Щиты[Iр, А]),""),IFERROR(N(BS15)*_xlfn.XLOOKUP(A15,Щиты[Щит],Щиты[Кс итог])/(SQRT(3)*Uн_лин*_xlfn.XLOOKUP(A15,Щиты[Щит],Щиты[cos φ])),"")),IF(BV15=1,IFERROR(BS15*1000/BU15,""),IFERROR(_xlfn.IFS(BX15=1,BS15/((Uн_лин/SQRT(3))*CE15),BX15=3,BS15/(SQRT(3)*Uн_лин*CE15)),"")))))</f>
        <v>13.694473137501861</v>
      </c>
      <c r="P15" s="7">
        <f>IF(B15="","",IFERROR(IF(VLOOKUP(BC15,Потребители_обозначение,4,FALSE)=1,VLOOKUP(BC15,Потребители_обозначение,3,FALSE)*(MAX(1,N(D15))*2-1)+EI15+VLOOKUP(BE15,Этаж_обозначение,3,FALSE)+VLOOKUP(BE15,Этаж_обозначение,4,FALSE),VLOOKUP(BC15,Потребители_обозначение,3,FALSE)*(MAX(1,N(D15))*2-1)+EI15),EI15))</f>
        <v>56</v>
      </c>
      <c r="Q15" s="6">
        <f t="shared" si="1"/>
        <v>1.79</v>
      </c>
      <c r="R15" t="str">
        <f t="shared" si="2"/>
        <v>ВВГнг(А)-LS (5х4)</v>
      </c>
      <c r="S15" t="str">
        <f>IF(BM15="","",IF(BN15="вводной узел","узел ","")&amp;"л."&amp;(INT((BM15-1)/Столбцов_на_лист)+1)&amp;" / "&amp;(MOD(BM15-1,Столбцов_на_лист)+1))</f>
        <v>л.2 / 10</v>
      </c>
      <c r="T15" s="119" t="str">
        <f t="shared" si="3"/>
        <v/>
      </c>
      <c r="U15" s="7" t="str">
        <f>IF(OR(CG15=0,N(BV15)+N(IB15)=0),"",ROUNDUP(Запас_БП*(N(HY15)+N(HZ15)),0))</f>
        <v/>
      </c>
      <c r="V15" s="119" t="str">
        <f t="shared" si="4"/>
        <v/>
      </c>
      <c r="W15" s="7" t="str">
        <f>IFERROR(IF(OR(B15="",BP15=1,BV15=1,NOT(ISNUMBER(EN15)),N(DT15)=0),"",MAX(0,ROUNDDOWN((c_min*(Uн_лин*1000/SQRT(3))/(HT15*N(DT15))-_xlfn.XLOOKUP(A15,Щиты[Щит],Щиты[Zпетли на шинах, Ом]))*EN15/(2*ρкз_Cu),0))),"")</f>
        <v/>
      </c>
      <c r="Y15" t="str">
        <f>Линии[[#This Row],[_авто утечка]]</f>
        <v/>
      </c>
      <c r="Z15">
        <v>3</v>
      </c>
      <c r="AA15">
        <v>400</v>
      </c>
      <c r="AB15" t="s">
        <v>562</v>
      </c>
      <c r="AE15">
        <v>1</v>
      </c>
      <c r="AG15" t="s">
        <v>810</v>
      </c>
      <c r="AI15" t="s">
        <v>617</v>
      </c>
      <c r="AK15" t="str">
        <f>Линии[[#This Row],[_авто модуль]]</f>
        <v/>
      </c>
      <c r="AM15">
        <v>27</v>
      </c>
      <c r="AN15" t="s">
        <v>11</v>
      </c>
      <c r="AO15">
        <v>5</v>
      </c>
      <c r="AQ15">
        <v>40</v>
      </c>
      <c r="AR15">
        <v>11</v>
      </c>
      <c r="AS15">
        <v>0</v>
      </c>
      <c r="BA15" cm="1">
        <f t="array" ref="BA15">ROW()-ROW(Линии[#Headers])</f>
        <v>13</v>
      </c>
      <c r="BC15" s="6" t="str">
        <f t="shared" si="5"/>
        <v>ЩР-2</v>
      </c>
      <c r="BD15" t="str">
        <f t="shared" si="6"/>
        <v/>
      </c>
      <c r="BE15" t="str">
        <f t="shared" si="7"/>
        <v/>
      </c>
      <c r="BF15" t="str">
        <f t="shared" si="8"/>
        <v/>
      </c>
      <c r="BG15" t="str">
        <f t="shared" si="9"/>
        <v/>
      </c>
      <c r="BH15" t="str">
        <f>IF(X15&lt;&gt;"",X15,IF(AND(B15&lt;&gt;"",B15&lt;&gt;A15,ISNUMBER(_xlfn.XMATCH(B15,Щиты[Щит]))),B15,""))</f>
        <v>ЩР-2</v>
      </c>
      <c r="BI15" t="str" cm="1">
        <f t="array" ref="BI15">IF(B15="","",IF(BH15&lt;&gt;"","Щит "&amp;BH15,_xlfn.LET(_xlpm.nm,IFERROR(_xlfn.XLOOKUP(BC15,Коды_код,Коды_имя)&amp;"",""),_xlpm.md,IFERROR(N(_xlfn.XLOOKUP(BC15,Коды_код,Коды_режим)),1),_xlpm.ex,IF(Имя_режим="по экспликации",IFERROR(_xlfn.XLOOKUP(BE15&amp;"|"&amp;BG15,Экспликация[Этаж]&amp;"|"&amp;Экспликация[Помещение],Экспликация[Название])&amp;"",""),""),_xlpm.rm,IF(BG15="","",IF(_xlpm.ex&lt;&gt;"",". "&amp;_xlpm.ex&amp;IF(Имя_пом="нет"," ("&amp;BG15&amp;")"," (пом. "&amp;BG15&amp;")"),IF(Имя_пом="нет"," ",", пом. ")&amp;BG15)),IF(_xlpm.nm="","",IF(_xlpm.md=2,_xlpm.nm&amp;" шлейф "&amp;BE15,_xlpm.nm&amp;_xlpm.rm)))))</f>
        <v>Щит ЩР-2</v>
      </c>
      <c r="BJ15" t="str">
        <f t="shared" si="10"/>
        <v>Щит распределительный ЩР-2 Техэтаж этаж Пом. №3.001Т</v>
      </c>
      <c r="BK15">
        <f>IFERROR(_xlfn.XMATCH(A15,Щиты[Щит]),0)</f>
        <v>1</v>
      </c>
      <c r="BL15">
        <f>_xlfn.LET(_xlpm.k,IFERROR(_xlfn.XLOOKUP(A15,Щиты[Щит],Щиты[Мест под вводной узел]),""),IF(_xlpm.k="",Столбцов_на_лист,N(_xlpm.k)))</f>
        <v>6</v>
      </c>
      <c r="BM15">
        <f t="shared" si="11"/>
        <v>27</v>
      </c>
      <c r="BN15" t="str">
        <f t="shared" si="12"/>
        <v>линии</v>
      </c>
      <c r="BO15" s="6">
        <f>IFERROR(N(_xlfn.XLOOKUP(BC15,Коды_код,Коды_квт)),0)</f>
        <v>0</v>
      </c>
      <c r="BP15">
        <f t="shared" si="13"/>
        <v>0</v>
      </c>
      <c r="BQ15">
        <f>IF(B15="","",IF(BH15&lt;&gt;"",IFERROR(_xlfn.XLOOKUP(BH15,Щиты[Щит],Щиты[Руст, кВт]),0),IF(BP15=1,IF(OR(N(_xlfn.XLOOKUP(A15,Щиты[Щит],Щиты[Вводов],1))&lt;=1,LOWER(TRIM(_xlfn.XLOOKUP(A15,Щиты[Щит],Щиты[АВР],"")&amp;""))="да"),IFERROR(_xlfn.XLOOKUP(A15,Щиты[Щит],Щиты[Руст, кВт]),0),SUMIFS(Линии[_Р для вводов],Линии[Щит],A15,Линии[Источник для режимов],GF15)),IF(BO15&gt;0,ROUND(BO15*MAX(1,N(D15)),3),""))))</f>
        <v>9.98</v>
      </c>
      <c r="BR15">
        <f t="shared" si="14"/>
        <v>9.98</v>
      </c>
      <c r="BS15" s="6">
        <f>IF(B15="","",IF(BH15&lt;&gt;"",IFERROR(_xlfn.XLOOKUP(BH15,Щиты[Щит],Щиты[Руст, кВт]),0),N(BR15)))</f>
        <v>9.98</v>
      </c>
      <c r="BT15" t="str">
        <f>IF(B15="","",IFERROR(IF(VLOOKUP(BC15,Потребители_обозначение,8,FALSE)=0,"",VLOOKUP(BC15,Потребители_обозначение,8,FALSE)),""))</f>
        <v/>
      </c>
      <c r="BU15">
        <f t="shared" si="15"/>
        <v>400</v>
      </c>
      <c r="BV15">
        <f t="shared" si="16"/>
        <v>0</v>
      </c>
      <c r="BW15">
        <f>IF(B15="","",IF(BH15&lt;&gt;"",3,IFERROR(IF(N(VLOOKUP(BC15,Потребители_обозначение,9,FALSE))=0,1,VLOOKUP(BC15,Потребители_обозначение,9,FALSE)),1)))</f>
        <v>3</v>
      </c>
      <c r="BX15">
        <f t="shared" si="17"/>
        <v>3</v>
      </c>
      <c r="BY15" t="str">
        <f>IF(B15="","",_xlfn.LET(_xlpm.bc,IFERROR(IF(VLOOKUP(BC15,Потребители_обозначение,6,FALSE)=0,"",VLOOKUP(BC15,Потребители_обозначение,6,FALSE)&amp;""),""),IF(AND(GA15="да",OR(_xlpm.bc="",_xlpm.bc="мс")),Марка_пож,IF(AND(_xlpm.bc="",BH15&lt;&gt;""),"мс",_xlpm.bc))))</f>
        <v>мс</v>
      </c>
      <c r="BZ15" t="str">
        <f t="shared" si="18"/>
        <v>мс</v>
      </c>
      <c r="CA15">
        <f>IF(B15="","",_xlfn.LET(_xlpm.cc,IFERROR(N(VLOOKUP(BC15,Потребители_обозначение,7,FALSE)),0),IF(_xlpm.cc&gt;0,_xlpm.cc,IF(BZ15="","",IF(BV15=1,2,IF(N(BX15)=3,5,3))))))</f>
        <v>5</v>
      </c>
      <c r="CB15">
        <f t="shared" si="19"/>
        <v>5</v>
      </c>
      <c r="CC15">
        <f>IFERROR(N(VLOOKUP(BC15,Потребители_обозначение,10,FALSE)),0)</f>
        <v>0</v>
      </c>
      <c r="CD15">
        <f>IFERROR(VLOOKUP(BC15,Потребители_обозначение,5,FALSE),0)</f>
        <v>0</v>
      </c>
      <c r="CE15" s="6" cm="1">
        <f t="array" ref="CE15">IF(B15="","",IF(BH15&lt;&gt;"",IFERROR(_xlfn.XLOOKUP(BH15,Щиты[Щит],Щиты[cos φ]),0.95),IF(BP15=1,IFERROR(_xlfn.XLOOKUP(A15,Щиты[Щит],Щиты[cos φ]),0.95),IF(ISNUMBER(AD15),AD15,IFERROR(IF(CD15=2,_xlfn.IFS(BX15=3,VLOOKUP(BS15,Справочная_двигатели,8,FALSE),BX15=1,VLOOKUP(BS15,Справочная_двигатели,10,TRUE)),IF(AND(Методика="нормы 2026",FG15="Сил"),0.8,0.95)),0.95)))))</f>
        <v>0.95</v>
      </c>
      <c r="CF15">
        <f t="shared" si="20"/>
        <v>0</v>
      </c>
      <c r="CG15">
        <f t="shared" si="21"/>
        <v>1</v>
      </c>
      <c r="CH15">
        <f t="shared" si="22"/>
        <v>0</v>
      </c>
      <c r="CI15">
        <f>IF(B15="","",IF(BV15=1,IFERROR(BS15/((Uн_лин/SQRT(3))*MAX(0.5,N(CE15))),0),N(O15)))</f>
        <v>13.694473137501861</v>
      </c>
      <c r="CJ15">
        <f t="shared" si="23"/>
        <v>0</v>
      </c>
      <c r="CK15">
        <f t="shared" si="24"/>
        <v>0</v>
      </c>
      <c r="CL15">
        <f t="shared" si="25"/>
        <v>0</v>
      </c>
      <c r="CM15">
        <f t="shared" si="26"/>
        <v>0</v>
      </c>
      <c r="CN15">
        <f t="shared" si="27"/>
        <v>0</v>
      </c>
      <c r="CO15">
        <f>IF(BC15="",0,_xlfn.LET(_xlpm.v,IFERROR(_xlfn.XLOOKUP(B15,Коды_код,Коды_мА),IFERROR(_xlfn.XLOOKUP(BC15,Коды_код,Коды_мА),IFERROR(_xlfn.XLOOKUP(LEFT(BC15,2),Коды_код,Коды_мА),""))),IF(_xlpm.v="да",30,IF(ISNUMBER(_xlpm.v),_xlpm.v,0))))</f>
        <v>0</v>
      </c>
      <c r="CP15" t="str">
        <f t="shared" si="28"/>
        <v/>
      </c>
      <c r="CQ15" t="str">
        <f>_xlfn.LET(_xlpm.k,IFERROR(_xlfn.XLOOKUP(BC15,Коды_код,Коды_утечка)&amp;"",""),IF(_xlpm.k="","дифавтомат",_xlpm.k))</f>
        <v>дифавтомат</v>
      </c>
      <c r="CR15" t="str" cm="1">
        <f t="array" ref="CR15">IF(CG15=0,"",_xlfn.LET(_xlpm.sg,TRIM(_xlfn.TEXTSPLIT(DD15&amp;"",";")),_xlpm.f_,_xlfn._xlws.FILTER(_xlpm.sg,LEFT(_xlpm.sg,3)="УЗО",""),IFERROR(INDEX(_xlpm.f_,1)&amp;"","")))</f>
        <v/>
      </c>
      <c r="CS15" t="str">
        <f t="shared" si="29"/>
        <v/>
      </c>
      <c r="CT15" s="6" t="str" cm="1">
        <f t="array" ref="CT15">IF(CR15="","",_xlfn.LET(_xlpm.tk,_xlfn.TEXTSPLIT(UPPER(CR15)," ",,TRUE),_xlpm.a_,_xlfn._xlws.FILTER(_xlpm.tk,ISNUMBER(--LEFT(_xlpm.tk,1))*((ISNUMBER(SEARCH("А",_xlpm.tk))+ISNUMBER(SEARCH("A",_xlpm.tk)))&gt;0)*NOT(ISNUMBER(SEARCH("МА",_xlpm.tk)))*NOT(ISNUMBER(SEARCH("MA",_xlpm.tk))),""),IFERROR(--SUBSTITUTE(SUBSTITUTE(INDEX(_xlpm.a_,1),"А",""),"A",""),"")))</f>
        <v/>
      </c>
      <c r="CU15" t="str" cm="1">
        <f t="array" ref="CU15">IF(CR15="","",_xlfn.LET(_xlpm.tk,_xlfn.TEXTSPLIT(UPPER(CR15)," ",,TRUE),_xlpm.a_,_xlfn._xlws.FILTER(_xlpm.tk,ISNUMBER(--LEFT(_xlpm.tk,1))*((ISNUMBER(SEARCH("МА",_xlpm.tk))+ISNUMBER(SEARCH("MA",_xlpm.tk)))&gt;0),""),IFERROR(--SUBSTITUTE(SUBSTITUTE(INDEX(_xlpm.a_,1),"МА",""),"MA",""),30)))</f>
        <v/>
      </c>
      <c r="CV15" t="str">
        <f>IF(CS15="","",IFERROR(_xlfn.XLOOKUP(CS15,Линии[_n],Линии[_УЗО, мА]),30))</f>
        <v/>
      </c>
      <c r="CW15">
        <f>IF(CS15="",0,IF(ISNUMBER(SEARCH("4P",IFERROR(_xlfn.XLOOKUP(CS15,Линии[_n],Линии[_УЗО строки])&amp;"",""))),0,1))</f>
        <v>0</v>
      </c>
      <c r="CX15" t="str">
        <f>IF(AND(CS15&lt;&gt;"",CS15=BA15),SUMIFS(Линии[_ток на 230 В],Линии[_блок УЗО],BA15,Линии[Щит],A15),"")</f>
        <v/>
      </c>
      <c r="CY15" t="str">
        <f>IF(AND(CS15&lt;&gt;"",CS15=BA15),SUMIFS(Линии[_ток утечки линии, мА],Линии[_блок УЗО],BA15,Линии[Щит],A15),"")</f>
        <v/>
      </c>
      <c r="CZ15">
        <f t="shared" si="30"/>
        <v>0</v>
      </c>
      <c r="DA15">
        <f t="shared" si="31"/>
        <v>0</v>
      </c>
      <c r="DB15">
        <f>IF(B15="",0,IFERROR(--_xlfn.XLOOKUP(B15,Коды_код,Коды_минавт),IFERROR(--_xlfn.XLOOKUP(BC15,Коды_код,Коды_минавт),IFERROR(--_xlfn.XLOOKUP(LEFT(BC15,2),Коды_код,Коды_минавт),0))))</f>
        <v>0</v>
      </c>
      <c r="DC15" t="str">
        <f>IF(B15="","",IFERROR(_xlfn.XLOOKUP(BC15,Коды_код,Коды_апп)&amp;"",""))</f>
        <v/>
      </c>
      <c r="DD15" t="str">
        <f t="shared" si="32"/>
        <v/>
      </c>
      <c r="DE15" t="str" cm="1">
        <f t="array" ref="DE15">IF(TRIM(DD15&amp;"")="","",IFERROR(TRIM(INDEX(_xlfn.TEXTSPLIT(DD15&amp;";;;",";"),1)),""))</f>
        <v/>
      </c>
      <c r="DF15" t="str" cm="1">
        <f t="array" ref="DF15">IF(TRIM(DD15&amp;"")="","",IFERROR(TRIM(INDEX(_xlfn.TEXTSPLIT(DD15&amp;";;;",";"),2)),""))</f>
        <v/>
      </c>
      <c r="DG15" t="str" cm="1">
        <f t="array" ref="DG15">IF(TRIM(DD15&amp;"")="","",IFERROR(TRIM(INDEX(_xlfn.TEXTSPLIT(DD15&amp;";;;",";"),3)),""))</f>
        <v/>
      </c>
      <c r="DH15">
        <f t="shared" si="33"/>
        <v>0</v>
      </c>
      <c r="DI15" t="str">
        <f>IF(B15="","",_xlfn.LET(_xlpm.t,LOWER(AZ15&amp;""),IF(ISNUMBER(SEARCH("dim",_xlpm.t)),"DIM",IF(ISNUMBER(SEARCH("dali",_xlpm.t)),"DALI",IF(OR(ISNUMBER(SEARCH("relay",_xlpm.t)),ISNUMBER(SEARCH("реле",_xlpm.t))),"Relay",IF(ISNUMBER(SEARCH("кнопк",_xlpm.t)),"",IFERROR(_xlfn.XLOOKUP(BC15,Коды_код,Коды_упр)&amp;"","")))))))</f>
        <v/>
      </c>
      <c r="DJ15" t="str">
        <f t="shared" si="34"/>
        <v/>
      </c>
      <c r="DK15">
        <f>IF(B15="","",_xlfn.LET(_xlpm.ig,IF(N(CX15)&gt;0,N(CX15),N(CI15)+IF(AJ15="вручную",0,N(CJ15))),_xlpm.n0,IFERROR(VLOOKUP(_xlpm.ig,Автомат_номиналы,2,TRUE),0),_xlpm.mn,MAX(DB15,IF(AJ15="вручную",0,N(CM15))),MAX(_xlpm.n0,_xlpm.mn,IF(DH15=1,Мин_автомат_БП,0))))</f>
        <v>16</v>
      </c>
      <c r="DL15">
        <f t="shared" si="35"/>
        <v>3</v>
      </c>
      <c r="DM15" t="str">
        <f t="shared" si="36"/>
        <v>3P</v>
      </c>
      <c r="DN15" t="str">
        <f>_xlfn.LET(_xlpm.cc,UPPER(TRIM(IFERROR(_xlfn.XLOOKUP(BC15,Коды_код,Коды_хар)&amp;"",""))),IF(OR(_xlpm.cc="B",_xlpm.cc="В"),"B",IF(_xlpm.cc="D","D","С")))</f>
        <v>С</v>
      </c>
      <c r="DO15" t="str">
        <f t="shared" si="37"/>
        <v>3P С16А</v>
      </c>
      <c r="DP15">
        <f t="shared" si="38"/>
        <v>16</v>
      </c>
      <c r="DQ15" t="str">
        <f t="shared" si="39"/>
        <v>3P С16А</v>
      </c>
      <c r="DR15" cm="1">
        <f t="array" ref="DR15">IF(DQ15="","",_xlfn.LET(_xlpm.t,SUBSTITUTE(SUBSTITUTE(SUBSTITUTE(UPPER(DQ15),"С","C"),"А","A"),"В","B"),_xlpm.tk,_xlfn.TEXTSPLIT(_xlpm.t," "),_xlpm.f,_xlfn._xlws.FILTER(_xlpm.tk,ISNUMBER(--MID(_xlpm.tk,2,1))*ISNUMBER(SEARCH(LEFT(_xlpm.tk,1)&amp;"#","B#C#D#"))*(LEN(_xlpm.tk)&gt;1),""),_xlpm.x,INDEX(_xlpm.f,1),IFERROR(--SUBSTITUTE(MID(_xlpm.x,2,9),"A",""),IFERROR(--SUBSTITUTE(INDEX(_xlfn._xlws.FILTER(_xlpm.tk,ISNUMBER(--SUBSTITUTE(_xlpm.tk,"A","")),""),1),"A",""),""))))</f>
        <v>16</v>
      </c>
      <c r="DS15" t="str">
        <f t="shared" si="40"/>
        <v>ok</v>
      </c>
      <c r="DT15">
        <f t="shared" si="41"/>
        <v>16</v>
      </c>
      <c r="DU15" t="str">
        <f t="shared" si="42"/>
        <v>3P С16А</v>
      </c>
      <c r="DV15">
        <f t="shared" si="43"/>
        <v>0</v>
      </c>
      <c r="DW15">
        <f t="shared" si="44"/>
        <v>0</v>
      </c>
      <c r="DX15">
        <f t="shared" si="45"/>
        <v>0</v>
      </c>
      <c r="DY15">
        <f t="shared" si="46"/>
        <v>13.694473137501861</v>
      </c>
      <c r="DZ15">
        <f t="shared" si="47"/>
        <v>0.92</v>
      </c>
      <c r="EA15">
        <f>IF(ISNUMBER(AP15),AP15,К_прокл)</f>
        <v>1</v>
      </c>
      <c r="EB15">
        <f t="shared" si="48"/>
        <v>3</v>
      </c>
      <c r="EC15">
        <f>IFERROR(N(VLOOKUP(BZ15,Кабель_обозначение,3,FALSE)),1)</f>
        <v>1</v>
      </c>
      <c r="ED15">
        <f>IFERROR(N(_xlfn.XLOOKUP(A15,Щиты[Щит],Щиты[ΔU до шин, %])),0)</f>
        <v>0</v>
      </c>
      <c r="EE15" t="str">
        <f>IFERROR(_xlfn.XLOOKUP(A15,Щиты[Щит],Щиты[Zпетли на шинах, Ом]),"")</f>
        <v/>
      </c>
      <c r="EF15">
        <f>IFERROR(N(_xlfn.XLOOKUP(A15,Щиты[Щит],Щиты[ΔU до шин (подбор), %])),0)</f>
        <v>0</v>
      </c>
      <c r="EG15" t="str">
        <f>IFERROR(_xlfn.XLOOKUP(A15,Щиты[Щит],Щиты[Zпетли на шинах (подбор), Ом]),"")</f>
        <v/>
      </c>
      <c r="EH15" t="str">
        <f t="shared" si="49"/>
        <v/>
      </c>
      <c r="EI15">
        <f t="shared" si="50"/>
        <v>56</v>
      </c>
      <c r="EJ15">
        <f t="shared" si="51"/>
        <v>1</v>
      </c>
      <c r="EK15">
        <f t="shared" si="52"/>
        <v>0.31</v>
      </c>
      <c r="EL15" s="6">
        <f>IF(B15="","",IF(BV15=1,dU_LED,IF(IFERROR(_xlfn.XLOOKUP(BC15,Коды_код,Коды_уго),"")="Светильник",3,4)+IF(Методика="нормы 2026",MIN(0.5,MAX(0,N(P15)-100)*0.005),0)))</f>
        <v>4</v>
      </c>
      <c r="EM15" cm="1">
        <f t="array" ref="EM15">IF(OR(B15="",BZ15="",EC15&lt;&gt;1),"",_xlfn.LET(_xlpm.sz,Iдоп_S,_xlpm.t_,CHOOSE(EB15,Iдоп_1ж,Iдоп_2ж,Iдоп_3ж)*DZ15*EA15,_xlpm.dcx,BV15=1,_xlpm.inn,IF(_xlpm.dcx,N(O15),N(DT15)),_xlpm.smin,MAX(1.5,CC15),_xlpm.L_,N(P15)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15)/N(BU15)*100,999),IFERROR(N(EJ15)*(_xlpm.rho*_xlpm.L_/_xlpm.sz*N(CE15)+_xlpm.xx*_xlpm.L_*N(EK15)/1000)*N(O15)/((Uн_лин/SQRT(3))*1000)*100,999)),_xlpm.kz,IF(OR(_xlpm.dcx,DW15=1,NOT(ISNUMBER(EG15)),_xlpm.L_=0,_xlpm.inn=0),1,IFERROR(--(c_min*(Uн_лин*1000/SQRT(3))/(EG15+2*ρкз_Cu*_xlpm.L_/_xlpm.sz)&gt;=HT15*_xlpm.inn),0)),_xlpm.ok,IFERROR((_xlpm.sz&gt;=_xlpm.smin)*(_xlpm.t_&gt;=_xlpm.inn)*IF(_xlpm.L_&gt;0,(_xlpm.du_+IF(_xlpm.dcx,0,EF15)&lt;=EL15+0.00001),1)*_xlpm.kz,0),_xlpm.r_,_xlfn._xlws.FILTER(_xlpm.sz,_xlpm.ok,"не подобрано"),INDEX(_xlpm.r_,1)))</f>
        <v>2.5</v>
      </c>
      <c r="EN15">
        <f t="shared" si="53"/>
        <v>4</v>
      </c>
      <c r="EO15" cm="1">
        <f t="array" ref="EO15">IF(OR(B15="",BZ15="",EC15&lt;&gt;1),"",_xlfn.LET(_xlpm.sz,Iдоп_S,_xlpm.t_,CHOOSE(EB15,Iдоп_1ж,Iдоп_2ж,Iдоп_3ж)*DZ15*EA15,_xlpm.ok,IFERROR((_xlpm.sz&gt;=MAX(1.5,CC15))*(_xlpm.t_&gt;=N(DT15)),0),_xlpm.r_,_xlfn._xlws.FILTER(_xlpm.sz,_xlpm.ok,""),INDEX(_xlpm.r_,1)))</f>
        <v>1.5</v>
      </c>
      <c r="EP15" s="6" cm="1">
        <f t="array" ref="EP15">IFERROR(ROUNDUP(N(EJ15)*(_xlfn.XLOOKUP(EO15,INDEX(Кабель_сопротивление,0,1),INDEX(Кабель_сопротивление,0,3))*N(P15)/EO15*N(CE15)+_xlfn.XLOOKUP(EO15,INDEX(Кабель_сопротивление,0,1),INDEX(Кабель_сопротивление,0,2))*N(P15)*N(EK15)/1000)*N(O15)/((Uн_лин/SQRT(3))*1000)*100,2),"")</f>
        <v>4.75</v>
      </c>
      <c r="EQ15">
        <f>IFERROR(2*ρкз_Cu*N(P15)/EO15,"")</f>
        <v>1.9637333333333336</v>
      </c>
      <c r="ER15">
        <f>IFERROR(VLOOKUP(EN15,Кабель_сопротивление,3,FALSE),"")</f>
        <v>2.2499999999999999E-2</v>
      </c>
      <c r="ES15">
        <f>IFERROR(VLOOKUP(EN15,Кабель_сопротивление,2,FALSE),"")</f>
        <v>9.5000000000000001E-2</v>
      </c>
      <c r="ET15">
        <f t="shared" si="54"/>
        <v>11</v>
      </c>
      <c r="EU15">
        <f t="shared" si="55"/>
        <v>0</v>
      </c>
      <c r="EV15">
        <f t="shared" si="56"/>
        <v>4.1206560114957993</v>
      </c>
      <c r="EW15" s="6">
        <f>IFERROR(ROUNDUP(EV15/IF(BV15=1,BU15,(Uн_лин/SQRT(3))*1000)*100,2),"")</f>
        <v>1.79</v>
      </c>
      <c r="EX15" t="str">
        <f>IFERROR(VLOOKUP(BZ15,Кабель_обозначение,2,FALSE),"")</f>
        <v>ВВГнг(А)-LS</v>
      </c>
      <c r="EY15" t="str">
        <f t="shared" si="57"/>
        <v>ВВГнг(А)-LS (5х4)</v>
      </c>
      <c r="EZ15" t="str">
        <f t="shared" si="58"/>
        <v>ВВГнг(А)-LS (5х4)
L=56-1,79%</v>
      </c>
      <c r="FA15">
        <f>IFERROR(2*ρкз_Cu*P15/EN15,"")</f>
        <v>0.73640000000000005</v>
      </c>
      <c r="FB15">
        <f t="shared" si="59"/>
        <v>0.24500000000000002</v>
      </c>
      <c r="FC15" s="6" t="str">
        <f>IFERROR(IF(OR(B15="",BV15=1,NOT(ISNUMBER(EN15)),N(P15)=0),"",_xlfn.XLOOKUP(A15,Щиты[Щит],Щиты[Zпетли на шинах, Ом])+FA15),"")</f>
        <v/>
      </c>
      <c r="FD15" s="6" t="str">
        <f>IF(ISNUMBER(FC15),c_min*(Uн_лин*1000/SQRT(3))/FC15,"")</f>
        <v/>
      </c>
      <c r="FE15" s="6" t="str">
        <f>IFERROR(IF(OR(B15="",NOT(ISNUMBER(EN15))),"",1.05*(Uн_лин*1000/SQRT(3))/(_xlfn.XLOOKUP(A15,Щиты[Щит],Щиты[Zmax на шинах, Ом])+FB15)/1000),"")</f>
        <v/>
      </c>
      <c r="FF15" s="6" t="str">
        <f>IF(B15="","",IF(ISNUMBER(AC15),"Сил",IF(IFERROR(_xlfn.XLOOKUP(BC15,Коды_код,Коды_группа)&amp;"","")="","Быт",_xlfn.XLOOKUP(BC15,Коды_код,Коды_группа)&amp;"")))</f>
        <v>Быт</v>
      </c>
      <c r="FG15" s="6" t="str">
        <f t="shared" si="60"/>
        <v>Щит</v>
      </c>
      <c r="FH15" s="6" t="str">
        <f>IF(FG15="Щит","щит",IF(FG15="","",IF(FG15="Быт",IFERROR(_xlfn.XLOOKUP(A15,Щиты[Щит],Щиты[Кс быт]),1),IF(FG15="Сил",IF(ISNUMBER(AC15),AC15,IF(Методика="нормы 2026",IFERROR(_xlfn.XLOOKUP(A15,Щиты[Щит],Щиты[Кс силовых (табл. 7.5)]),1),1)),IF(OR(FG15="Пост",FG15="Отоп"),1,IF(FG15="ВНГ",0.7,0))))))</f>
        <v>щит</v>
      </c>
      <c r="FI15">
        <f>IF(FG15="","",IF(AND(BP15=1,TRIM(AE15&amp;"")=""),IF(COUNTIFS(Линии[Щит],A15,Линии[Секция (1/2/3)],"&gt;=2")&gt;0,MIN(3,MAX(1,IFERROR(--BD15,1))),1),IFERROR(MIN(3,MAX(1,INT(--AE15))),1)))</f>
        <v>1</v>
      </c>
      <c r="FJ15">
        <f t="shared" si="61"/>
        <v>0</v>
      </c>
      <c r="FK15">
        <f t="shared" si="62"/>
        <v>0</v>
      </c>
      <c r="FL15">
        <f t="shared" si="63"/>
        <v>0</v>
      </c>
      <c r="FM15">
        <f t="shared" si="64"/>
        <v>0</v>
      </c>
      <c r="FN15">
        <f t="shared" si="65"/>
        <v>0</v>
      </c>
      <c r="FO15">
        <f t="shared" si="66"/>
        <v>0</v>
      </c>
      <c r="FP15">
        <f t="shared" si="67"/>
        <v>9.98</v>
      </c>
      <c r="FQ15">
        <f t="shared" si="68"/>
        <v>0</v>
      </c>
      <c r="FR15">
        <f t="shared" si="69"/>
        <v>0</v>
      </c>
      <c r="FS15">
        <f>IF(CG15=1,IF(AND(CH15=1,CW15=1),0,IF(AND(CS15&lt;&gt;"",CS15=BA15,CW15=1),SUMIFS(Линии[_Р линии, кВт],Линии[_блок УЗО],BA15,Линии[Щит],A15),N(BS15)+IF(AJ15="вручную",0,N(CK15)))),0)</f>
        <v>9.98</v>
      </c>
      <c r="FT15" t="str">
        <f t="shared" si="70"/>
        <v/>
      </c>
      <c r="FU15" t="str">
        <f>IF(B15="","",IF(CG15=0,IF(BA15=1,"",FW14),IF(AND(CH15=1,CW15=1,CS15&lt;&gt;""),IFERROR(_xlfn.XLOOKUP(CS15,Линии[_n],Линии[_фаза итог]),"L1"),IF(OR(N(DL15)&gt;=3,N(BX15)&gt;=3),"L1,L2,L3",IFERROR(_xlfn.TEXTBEFORE(_xlfn.TEXTAFTER(_xlfn.XLOOKUP(A15,Щиты[Щит],Щиты[_фазы авто]),";"&amp;BA15&amp;":"),";"),"L1")))))</f>
        <v>L1,L2,L3</v>
      </c>
      <c r="FV15" t="str">
        <f t="shared" si="71"/>
        <v>L1,L2,L3</v>
      </c>
      <c r="FW15" t="str">
        <f t="shared" si="72"/>
        <v>L1,L2,L3</v>
      </c>
      <c r="FX15" cm="1">
        <f t="array" ref="FX15">IFERROR(IF(CD15=2,_xlfn.IFS(BX15=3,VLOOKUP(BS15,Справочная_двигатели,3,FALSE),BX15=1,VLOOKUP(BS15,Справочная_двигатели,5,TRUE)),0),0)</f>
        <v>0</v>
      </c>
      <c r="FY15">
        <f>IFERROR(IF(CD15=3,VLOOKUP(BS15,Справочная_ЛЭД,2,TRUE),0),0)</f>
        <v>0</v>
      </c>
      <c r="FZ15" s="6">
        <f t="shared" si="73"/>
        <v>0</v>
      </c>
      <c r="GA15" t="str">
        <f>IF(B15="","",IF(TRIM(AH15&amp;"")&lt;&gt;"",IF(LOWER(TRIM(AH15&amp;""))="да","да","нет"),IF(IFERROR(_xlfn.XLOOKUP(BC15,Коды_код,Коды_пожарная),"")="да","да","нет")))</f>
        <v>нет</v>
      </c>
      <c r="GB15" t="str">
        <f t="shared" si="74"/>
        <v/>
      </c>
      <c r="GC15" t="str">
        <f t="shared" si="75"/>
        <v>основная</v>
      </c>
      <c r="GD15">
        <f>IF(AND(BP15=1,TRIM(AE15&amp;"")=""),IF(COUNTIFS(Линии[Щит],A15,Линии[Секция (1/2/3)],"&gt;=2")&gt;0,MIN(3,MAX(1,IFERROR(--BD15,1))),1),IFERROR(MIN(3,MAX(1,INT(--AE15))),1))</f>
        <v>1</v>
      </c>
      <c r="GE15" t="str" cm="1">
        <f t="array" ref="GE15">IF(B15="","",_xlfn.LET(_xlpm.t,IFERROR(_xlfn.XLOOKUP(1,(Шины[Шина]=GC15)*(((Шины[Щит]=A15)+(Шины[Щит]=""))&gt;0),Шины[Тип]),"")&amp;"",IF(_xlpm.t&lt;&gt;"",_xlpm.t,IF(ISNUMBER(SEARCH("ИБП",GC15)),"ИБП",IF(ISNUMBER(SEARCH("ДГУ",GC15)),"ДГУ","Ввод "&amp;GD15)))))</f>
        <v>Ввод 1</v>
      </c>
      <c r="GF15" t="str">
        <f t="shared" si="76"/>
        <v>Ввод 1</v>
      </c>
      <c r="GG15" t="str">
        <f>IF(BP15=0,"",IF(TRIM(AG15&amp;"")&lt;&gt;"",TRIM(AG15&amp;""),IF(OR(GE15="ИБП",GE15="ДГУ"),"I особая",_xlfn.XLOOKUP(A15,Щиты[Щит],Щиты[Категория шины «Ввод»],"III"))))</f>
        <v/>
      </c>
      <c r="GH15" t="str">
        <f>IF(A15="","",_xlfn.XLOOKUP(A15,Щиты[Щит],Щиты[Путь],""))</f>
        <v>|ГРЩ-ЖД|</v>
      </c>
      <c r="GI15" t="str">
        <f>IF(B15="","",IF(AI15&lt;&gt;"",AI15,IF(IFERROR(_xlfn.XLOOKUP(BC15,Коды_код,Коды_вид)&amp;"","")="","Прочее",_xlfn.XLOOKUP(BC15,Коды_код,Коды_вид)&amp;"")))</f>
        <v>Распределительные щиты жилой части</v>
      </c>
      <c r="GJ15">
        <f>IF(BM15="","",INT((BM15-1)/Столбцов_на_лист)+1)</f>
        <v>2</v>
      </c>
      <c r="GK15" t="str">
        <f t="shared" si="77"/>
        <v>ВВГнг(А)-LS (5х4) L=56-1,79%</v>
      </c>
      <c r="GL15">
        <f t="shared" si="78"/>
        <v>9.98</v>
      </c>
      <c r="GM15">
        <f t="shared" si="79"/>
        <v>13.7</v>
      </c>
      <c r="GN15">
        <f t="shared" si="80"/>
        <v>3</v>
      </c>
      <c r="GO15">
        <f t="shared" si="81"/>
        <v>0</v>
      </c>
      <c r="GP15">
        <f t="shared" si="82"/>
        <v>1</v>
      </c>
      <c r="GQ15">
        <f>IF(BM15="","",IF(AND(CG15=1,GP15=1),COUNTIFS(A$3:A15,A15,CG$3:CG15,1,GP$3:GP15,1),IF(OR(OR(BA15=1,A15&lt;&gt;A14),AJ15="вручную",GP15=0),"",IF(BA15=1,"",GR14))))</f>
        <v>11</v>
      </c>
      <c r="GR15">
        <f t="shared" si="83"/>
        <v>11</v>
      </c>
      <c r="GS15">
        <f>IF(B15="","",IFERROR(LOOKUP(INDEX(CHOOSE(EB15,Iдоп_1ж,Iдоп_2ж,Iдоп_3ж),MATCH(EN15,Iдоп_S,0))*DZ15*EA15,{6,10,16,20,25,32,40,50,63,80,100,125,160,200,250,315,400,500,630}),""))</f>
        <v>32</v>
      </c>
      <c r="GT15" t="str">
        <f t="shared" si="84"/>
        <v>QF11</v>
      </c>
      <c r="GU15" t="str">
        <f t="shared" si="85"/>
        <v>QF11</v>
      </c>
      <c r="GV15" t="str">
        <f t="shared" si="86"/>
        <v/>
      </c>
      <c r="GW15">
        <f t="shared" si="87"/>
        <v>0</v>
      </c>
      <c r="GX15" t="str">
        <f>IF(OR(B15="",DJ15=""),"",IFERROR(_xlfn.XLOOKUP(DJ15,Модули_умолч[Управление],Модули_умолч[Модель])&amp;"",""))</f>
        <v/>
      </c>
      <c r="GY15">
        <f>IF(DJ15="",1,IFERROR(MAX(0,N(_xlfn.XLOOKUP(DJ15,Модули_умолч[Управление],Модули_умолч[Каналов на линию]))),1))</f>
        <v>1</v>
      </c>
      <c r="GZ15" t="str">
        <f t="shared" si="88"/>
        <v/>
      </c>
      <c r="HA15" t="str">
        <f t="shared" si="89"/>
        <v/>
      </c>
      <c r="HB15" t="str">
        <f t="shared" si="90"/>
        <v/>
      </c>
      <c r="HC15">
        <f>IF(HB15="",0,IFERROR(N(VLOOKUP(HB15,Модули_спр,3,FALSE)),0))</f>
        <v>0</v>
      </c>
      <c r="HD15" t="str">
        <f t="shared" si="91"/>
        <v/>
      </c>
      <c r="HE15" t="str">
        <f t="shared" si="92"/>
        <v/>
      </c>
      <c r="HF15" t="str">
        <f>IF(OR(HE15="",HE15="-"),"",IFERROR(VLOOKUP(HE15,Модули_спр,2,FALSE),"R"))</f>
        <v/>
      </c>
      <c r="HG15" t="str">
        <f>IF(HF15="","",HF15&amp;"."&amp;COUNTIFS(A$3:A15,A15,HF$3:HF15,HF15))</f>
        <v/>
      </c>
      <c r="HH15" t="str">
        <f t="shared" si="93"/>
        <v/>
      </c>
      <c r="HI15" t="str">
        <f t="shared" si="94"/>
        <v/>
      </c>
      <c r="HJ15" t="str">
        <f t="shared" si="95"/>
        <v/>
      </c>
      <c r="HK15" t="str">
        <f t="shared" si="96"/>
        <v/>
      </c>
      <c r="HL15">
        <f t="shared" si="97"/>
        <v>1</v>
      </c>
      <c r="HM15" t="str">
        <f>IF(HL15=1,"XT"&amp;COUNTIFS(A$3:A15,A15,HL$3:HL15,1),"")</f>
        <v>XT10</v>
      </c>
      <c r="HN15" t="str">
        <f t="shared" si="98"/>
        <v/>
      </c>
      <c r="HO15" t="str">
        <f t="shared" si="99"/>
        <v>QF11</v>
      </c>
      <c r="HP15" t="str">
        <f t="shared" si="100"/>
        <v/>
      </c>
      <c r="HQ15" t="str">
        <f t="shared" si="101"/>
        <v>ok</v>
      </c>
      <c r="HR15" t="str">
        <f>IF(OR(HJ15="",HH15=""),"",IF(HJ15+MAX(0,GY15-1)&gt;IFERROR(VLOOKUP(HI15,Модули_спр,3,FALSE),99),"ЛИШНИЙ КАНАЛ",IF(AND(AL15&lt;&gt;"=",GY15&gt;0,COUNTIFS(Линии[_модуль гр.],HH15,Линии[Канал (итог)],HJ15,Линии[Канал],"&lt;&gt;=",Линии[Щит],A15)&gt;1),"ДУБЛЬ КАНАЛА","")))</f>
        <v/>
      </c>
      <c r="HS15" s="6" t="str">
        <f t="shared" si="102"/>
        <v/>
      </c>
      <c r="HT15">
        <f t="shared" si="103"/>
        <v>10</v>
      </c>
      <c r="HU15" t="str">
        <f t="shared" si="104"/>
        <v/>
      </c>
      <c r="HV15">
        <f t="shared" si="105"/>
        <v>0</v>
      </c>
      <c r="HW15">
        <f t="shared" si="106"/>
        <v>0</v>
      </c>
      <c r="HX15">
        <f t="shared" si="107"/>
        <v>0</v>
      </c>
      <c r="HY15">
        <f t="shared" si="108"/>
        <v>0</v>
      </c>
      <c r="HZ15">
        <f t="shared" si="109"/>
        <v>0</v>
      </c>
      <c r="IA15">
        <f t="shared" si="110"/>
        <v>0</v>
      </c>
      <c r="IB15">
        <f t="shared" si="111"/>
        <v>0</v>
      </c>
      <c r="IC15" t="str">
        <f t="shared" si="112"/>
        <v/>
      </c>
      <c r="ID15" t="str" cm="1">
        <f t="array" ref="ID15">IF(IC15="","",_xlfn.LET(_xlpm.tk,_xlfn.TEXTSPLIT(SUBSTITUTE(SUBSTITUTE(IC15,";"," "),"→"," ")," ",,TRUE),_xlpm.w_,_xlfn._xlws.FILTER(_xlpm.tk,ISNUMBER(--LEFT(_xlpm.tk,1))*((ISNUMBER(SEARCH("W",_xlpm.tk))+ISNUMBER(SEARCH("Вт",_xlpm.tk)))&gt;0),""),IFERROR(--SUBSTITUTE(SUBSTITUTE(UPPER(INDEX(_xlpm.w_,1)),"W",""),"ВТ",""),"")))</f>
        <v/>
      </c>
      <c r="IE15" t="str" cm="1">
        <f t="array" ref="IE15">IF(IC15="","",_xlfn.LET(_xlpm.tk,_xlfn.TEXTSPLIT(SUBSTITUTE(SUBSTITUTE(IC15,";"," "),"→"," ")," ",,TRUE),_xlpm.v_,_xlfn._xlws.FILTER(_xlpm.tk,ISNUMBER(--LEFT(_xlpm.tk,1))*((ISNUMBER(SEARCH("V",_xlpm.tk))+(RIGHT(UPPER(_xlpm.tk))="В"))&gt;0),""),IFERROR(--SUBSTITUTE(SUBSTITUTE(UPPER(INDEX(_xlpm.v_,1)),"V",""),"В",""),"")))</f>
        <v/>
      </c>
      <c r="IF15" s="6" t="str">
        <f>IF(OR(BV15=0,HI15="",HJ15=""),"",IFERROR(N(_xlfn.XLOOKUP(HI15,Каталог!$C$4:$C$500,Каталог!$Q$4:$Q$500)),""))</f>
        <v/>
      </c>
      <c r="IG15" s="6" t="str">
        <f>IF(N(IF15)=0,"",SUMIFS(Линии[Iр, А],Линии[Щит],A15,Линии[_модуль гр.],HH15,Линии[Канал (итог)],HJ15))</f>
        <v/>
      </c>
      <c r="IH15" t="str">
        <f>IF(AND(B15="",HO15=""),"",_xlfn.TEXTJOIN("; ",TRUE,IF(AND(B15&lt;&gt;"",FV15=""),"нет фазы",""),IF(AND(B15&lt;&gt;"",N(GL15)=0,FG15&lt;&gt;"Нет"),"нет мощности",""),IF(AND(HN15&lt;&gt;"",COUNTIFS(Линии[Щит],A15,Линии[Клемма (итог)],HN15)&gt;1),"дубль клеммы "&amp;HN15,""),IF(AND(HQ15&lt;&gt;"",HQ15&lt;&gt;"ok"),HQ15,""),IF(HR15&lt;&gt;"",HR15,""),IF(AND(N(CB15)&gt;=4,N(BX15)=1),CB15&amp;" жил на 1 фазе",""),IF(AND(BC15="R",CG15=1,IF(CS15&lt;&gt;"",N(CV15)&gt;30,OR(N(DA15)=0,N(DA15)&gt;30))),"розетка без дифзащиты до 30 мА",""),IF(AND(CG15=1,N(DA15)&gt;0,ISNUMBER(T15)),IF(T15&gt;N(DA15)/3,"ток утечки "&amp;FIXED(T15,1)&amp;" мА &gt; 1/3 уставки ("&amp;DA15&amp;" мА)",""),""),IF(AND(CH15=1,CS15=""),"«узо»: нет строки с УЗО выше (УЗО 2P 40А 30мА в «Аппаратах»)",""),IF(AND(CS15&lt;&gt;"",CS15=BA15),IF(CT15="","впишите номинал УЗО (УЗО 2P 40А 30мА)",IF(N(CT15)&lt;N(DT15),"УЗО "&amp;CT15&amp;" А &lt; автомата "&amp;DT15&amp;" А перед ним",IF(N(CT15)&lt;N(CX15),"УЗО "&amp;CT15&amp;" А &lt; тока блока "&amp;FIXED(CX15,1)&amp;" А",""))),""),IF(AND(CS15&lt;&gt;"",CS15=BA15,ISNUMBER(CY15)),IF(CY15&gt;N(CV15)/3,"ток утечки блока УЗО "&amp;FIXED(CY15,1)&amp;" мА &gt; 1/3 уставки ("&amp;CV15&amp;" мА)",""),""),IF(AND(CG15=1,N(BV15)+N(IB15)&gt;0,IC15=""),"линии до 50 В без БП: впишите в «Аппараты» (БП 24V 480W)",""),IF(AND(CG15=1,ISNUMBER(ID15),ISNUMBER(U15)),IF(U15&gt;ID15,"БП "&amp;ID15&amp;" Вт &lt; нужно "&amp;U15&amp;" Вт (×"&amp;Запас_БП&amp;")",""),""),IF(AND(CG15=1,ISNUMBER(IE15),N(BV15)=1),IF(IE15&lt;&gt;N(BU15),"БП на "&amp;IE15&amp;" В, линия "&amp;BU15&amp;" В",""),""),IF(AND(N(IF15)&gt;0,N(IG15)&gt;N(IF15)),HH15&amp;" канал "&amp;HJ15&amp;": "&amp;FIXED(IG15,1)&amp;" А &gt; "&amp;IF15&amp;" А",""),IFERROR(IF(AND(ISNUMBER(Q15),Q15&gt;EL15),"потери "&amp;FIXED(Q15,1)&amp;" % &gt; "&amp;EL15&amp;" %",""),""),IFERROR(IF(LEFT(HU15,4)="мало","Iкз мало — отключение &gt; 0,4 с",""),""),IF(AND(B15&lt;&gt;"",BM15=""),"не на схеме",""),IF(AND(CG15=0,B15&lt;&gt;"",FV15&lt;&gt;"",IF(BA15=1,"",FW14)&lt;&gt;"",FV15&lt;&gt;IF(BA15=1,"",FW14)),"фаза не как у автомата группы ("&amp;IF(BA15=1,"",FW14)&amp;")","")))</f>
        <v/>
      </c>
      <c r="II15" s="6" t="str">
        <f>IF(OR(CG15=0,DQ15=""),"",_xlfn.LET(_xlpm.t,IFERROR(_xlfn.XLOOKUP(DQ15,Каталог!$U$4:$U$500,Каталог!$G$4:$G$500),""),_xlpm.k,SEARCH("кА",_xlpm.t),IFERROR(--TRIM(RIGHT(SUBSTITUTE(MID(_xlpm.t,MAX(1,_xlpm.k-4),_xlpm.k-MAX(1,_xlpm.k-4))," ",REPT(" ",9)),5)),"")))</f>
        <v/>
      </c>
      <c r="IJ15" t="str">
        <f>IF(OR(II15="",CG15=0),"",IF(_xlfn.XLOOKUP(A15,Щиты[Щит],Щиты[Iкз max на шинах, кА],"")="","",IF(II15&lt;_xlfn.XLOOKUP(A15,Щиты[Щит],Щиты[Iкз max на шинах, кА]),"Icu "&amp;II15&amp;" кА &lt; Iкз max","ok")))</f>
        <v/>
      </c>
      <c r="IK15" t="str">
        <f t="shared" si="113"/>
        <v/>
      </c>
      <c r="IL15" t="str">
        <f t="shared" si="114"/>
        <v>QF11</v>
      </c>
      <c r="IM15" t="str">
        <f t="shared" si="115"/>
        <v>QF11|кабель ВВГнг(А)-LS (5х4) → Щит распределительный ЩР-2 Техэтаж этаж Пом. №3.001Т</v>
      </c>
      <c r="IN15" t="str" cm="1">
        <f t="array" ref="IN15">IF(IM15="","",_xlfn.LET(_xlpm.nd,_xlfn.TEXTSPLIT(IM15,"|"),IF(COLUMNS(_xlpm.nd)&gt;1,A15&amp;"¦"&amp;INDEX(_xlpm.nd,1)&amp;"¦"&amp;INDEX(_xlpm.nd,2),"")))</f>
        <v>ГРЩ-ЖД¦QF11¦кабель ВВГнг(А)-LS (5х4) → Щит распределительный ЩР-2 Техэтаж этаж Пом. №3.001Т</v>
      </c>
      <c r="IO15" t="str">
        <f t="shared" si="116"/>
        <v>ЩР-2¦Щит распределительный ЩР-2 Техэтаж этаж Пом. №3.001Т</v>
      </c>
      <c r="IP15" t="str" cm="1">
        <f t="array" ref="IP15">IF(IM15="","",_xlfn.LET(_xlpm.nd,_xlfn.TEXTSPLIT(IM15,"|"),IF(COLUMNS(_xlpm.nd)&gt;2,A15&amp;"¦"&amp;INDEX(_xlpm.nd,2)&amp;"¦"&amp;INDEX(_xlpm.nd,3),"")))</f>
        <v/>
      </c>
      <c r="IQ15" t="str">
        <f t="shared" si="117"/>
        <v/>
      </c>
      <c r="IR15" t="str" cm="1">
        <f t="array" ref="IR15">IF(IM15="","",_xlfn.LET(_xlpm.nd,_xlfn.TEXTSPLIT(IM15,"|"),IF(COLUMNS(_xlpm.nd)&gt;3,A15&amp;"¦"&amp;INDEX(_xlpm.nd,3)&amp;"¦"&amp;INDEX(_xlpm.nd,4),"")))</f>
        <v/>
      </c>
      <c r="IS15" t="str">
        <f t="shared" si="118"/>
        <v/>
      </c>
      <c r="IT15" t="str" cm="1">
        <f t="array" ref="IT15">IF(IM15="","",_xlfn.LET(_xlpm.nd,_xlfn.TEXTSPLIT(IM15,"|"),IF(COLUMNS(_xlpm.nd)&gt;4,A15&amp;"¦"&amp;INDEX(_xlpm.nd,4)&amp;"¦"&amp;INDEX(_xlpm.nd,5),"")))</f>
        <v/>
      </c>
      <c r="IU15" t="str">
        <f t="shared" si="119"/>
        <v/>
      </c>
      <c r="IV15" t="str" cm="1">
        <f t="array" ref="IV15">IF(IM15="","",_xlfn.LET(_xlpm.nd,_xlfn.TEXTSPLIT(IM15,"|"),IF(COLUMNS(_xlpm.nd)&gt;5,A15&amp;"¦"&amp;INDEX(_xlpm.nd,5)&amp;"¦"&amp;INDEX(_xlpm.nd,6),"")))</f>
        <v/>
      </c>
      <c r="IW15" t="str">
        <f t="shared" si="120"/>
        <v/>
      </c>
      <c r="IX15" t="str" cm="1">
        <f t="array" ref="IX15">IF(IM15="","",_xlfn.LET(_xlpm.nd,_xlfn.TEXTSPLIT(IM15,"|"),IF(COLUMNS(_xlpm.nd)&gt;6,A15&amp;"¦"&amp;INDEX(_xlpm.nd,6)&amp;"¦"&amp;INDEX(_xlpm.nd,7),"")))</f>
        <v/>
      </c>
      <c r="IY15" t="str">
        <f t="shared" si="121"/>
        <v/>
      </c>
      <c r="IZ15" t="str">
        <f t="shared" si="122"/>
        <v/>
      </c>
      <c r="JA15" t="str">
        <f t="shared" si="123"/>
        <v>QF11</v>
      </c>
      <c r="JB15">
        <f t="shared" si="124"/>
        <v>0</v>
      </c>
      <c r="JC15">
        <f t="shared" si="125"/>
        <v>0</v>
      </c>
      <c r="JD15" t="str">
        <f t="shared" si="126"/>
        <v/>
      </c>
      <c r="JE15" t="str">
        <f t="shared" si="127"/>
        <v/>
      </c>
      <c r="JF15" t="str">
        <f t="shared" si="128"/>
        <v/>
      </c>
      <c r="JG15" t="str">
        <f t="shared" si="129"/>
        <v/>
      </c>
      <c r="JH15">
        <f>IF(B15="","",IFERROR(_xlfn.XLOOKUP(B15,Коды_код,Коды_уго),IFERROR(_xlfn.XLOOKUP(BC15,Коды_код,Коды_уго),IFERROR(_xlfn.XLOOKUP(LEFT(BC15,2),Коды_код,Коды_уго),""))))</f>
        <v>0</v>
      </c>
      <c r="JI15" t="str">
        <f>IF(B15="","",IF(OR(JH15="",JH15=0),"BOX",IFERROR(IF(VLOOKUP(JH15,УГО_блоки,3,FALSE)&amp;""&lt;&gt;"",VLOOKUP(JH15,УГО_блоки,3,FALSE),VLOOKUP(JH15,УГО_блоки,2,FALSE)),JH15)))</f>
        <v>BOX</v>
      </c>
      <c r="JJ15">
        <f t="shared" si="130"/>
        <v>1</v>
      </c>
      <c r="JK15" t="str">
        <f>IF(DQ15="","",IF(COUNTIF(DQ$3:DQ15,DQ15)=1,MAX(JK$2:JK14)+1,""))</f>
        <v/>
      </c>
      <c r="JL15" t="str">
        <f>IF(DE15="","",IF(COUNTIF(DE$3:DE15,DE15)+COUNTIF(DF$2:DF14,DE15)+COUNTIF(DG$2:DG14,DE15)=1,MAX(JL$2:JN14)+1,""))</f>
        <v/>
      </c>
      <c r="JM15" t="str">
        <f>IF(DF15="","",IF(COUNTIF(DE$3:DE15,DF15)+COUNTIF(DF$3:DF15,DF15)+COUNTIF(DG$2:DG14,DF15)=1,MAX(JL$2:JN14,JL15)+1,""))</f>
        <v/>
      </c>
      <c r="JN15" t="str">
        <f>IF(DG15="","",IF(COUNTIF(DE$3:DE15,DG15)+COUNTIF(DF$3:DF15,DG15)+COUNTIF(DG$3:DG15,DG15)=1,MAX(JL$2:JN14,JL15,JM15)+1,""))</f>
        <v/>
      </c>
      <c r="JO15" t="str">
        <f t="shared" si="131"/>
        <v>5х4</v>
      </c>
      <c r="JP15" t="str">
        <f>IF(JO15="","",IF(COUNTIF(JO$3:JO15,JO15)=1,MAX(JP$2:JP14)+1,""))</f>
        <v/>
      </c>
      <c r="JQ15" t="str">
        <f>IF(HG15="","",COUNTIF(HG$3:HG15,"?*"))</f>
        <v/>
      </c>
      <c r="JR15" t="str">
        <f>IF(OR(HG15="",HI15=""),"",IF(COUNTIFS(HG$3:HG15,"?*",HI$3:HI15,HI15)=1,MAX(JR$2:JR14)+1,""))</f>
        <v/>
      </c>
      <c r="JS15">
        <f t="shared" si="132"/>
        <v>0</v>
      </c>
      <c r="JT15">
        <f>IF(B15="","",COUNTIF(B$3:B15,"?*"))</f>
        <v>13</v>
      </c>
      <c r="JU15">
        <f>IF(HL15&lt;&gt;1,0,_xlfn.LET(_xlpm.k,MAX(IFERROR(--_xlfn.XLOOKUP(B15,Коды_код,Коды_3L),0),IFERROR(--_xlfn.XLOOKUP(BC15,Коды_код,Коды_3L),0),IFERROR(--_xlfn.XLOOKUP(LEFT(BC15,2),Коды_код,Коды_3L),0)),IF(_xlpm.k&gt;0,_xlpm.k,IF(IFERROR(--LEFT(SUBSTITUTE(JO15,"x","х"),FIND("х",SUBSTITUTE(JO15,"x","х"))-1),3)&gt;3,Каталог!$S$9,1))))</f>
        <v>1</v>
      </c>
      <c r="JV15">
        <f t="shared" si="133"/>
        <v>2</v>
      </c>
      <c r="JW15" t="str">
        <f t="shared" si="134"/>
        <v>авто</v>
      </c>
      <c r="JX15" t="str">
        <f t="shared" si="135"/>
        <v/>
      </c>
      <c r="JY15">
        <f t="shared" si="136"/>
        <v>0</v>
      </c>
      <c r="JZ15">
        <f t="shared" si="137"/>
        <v>1</v>
      </c>
    </row>
    <row r="16" spans="1:286" x14ac:dyDescent="0.3">
      <c r="A16" t="s">
        <v>783</v>
      </c>
      <c r="B16" t="s">
        <v>761</v>
      </c>
      <c r="C16" t="s">
        <v>760</v>
      </c>
      <c r="D16">
        <v>1</v>
      </c>
      <c r="E16">
        <v>24.99</v>
      </c>
      <c r="G16">
        <v>40</v>
      </c>
      <c r="H16" t="str">
        <f>Линии[[#This Row],[_авто управление]]</f>
        <v/>
      </c>
      <c r="I16" t="str">
        <f>Линии[[#This Row],[_авто аппараты]]</f>
        <v/>
      </c>
      <c r="J16">
        <v>10</v>
      </c>
      <c r="K16">
        <v>51</v>
      </c>
      <c r="L16" t="str">
        <f>Линии[[#This Row],[_авто фаза]]</f>
        <v>L1,L2,L3</v>
      </c>
      <c r="M16" t="s">
        <v>484</v>
      </c>
      <c r="N16" t="str">
        <f t="shared" si="0"/>
        <v/>
      </c>
      <c r="O16" s="6" cm="1">
        <f t="array" ref="O16">IF(B16="","",IF(BH16&lt;&gt;"",IFERROR(_xlfn.XLOOKUP(BH16,Щиты[Щит],Щиты[Iр, А]),""),IF(BP16=1,IF(OR(N(_xlfn.XLOOKUP(A16,Щиты[Щит],Щиты[Вводов],1))&lt;=1,LOWER(TRIM(_xlfn.XLOOKUP(A16,Щиты[Щит],Щиты[АВР],"")&amp;""))="да"),IFERROR(_xlfn.XLOOKUP(A16,Щиты[Щит],Щиты[Iр, А]),""),IFERROR(N(BS16)*_xlfn.XLOOKUP(A16,Щиты[Щит],Щиты[Кс итог])/(SQRT(3)*Uн_лин*_xlfn.XLOOKUP(A16,Щиты[Щит],Щиты[cos φ])),"")),IF(BV16=1,IFERROR(BS16*1000/BU16,""),IFERROR(_xlfn.IFS(BX16=1,BS16/((Uн_лин/SQRT(3))*CE16),BX16=3,BS16/(SQRT(3)*Uн_лин*CE16)),"")))))</f>
        <v>22.54372379226367</v>
      </c>
      <c r="P16" s="7">
        <f>IF(B16="","",IFERROR(IF(VLOOKUP(BC16,Потребители_обозначение,4,FALSE)=1,VLOOKUP(BC16,Потребители_обозначение,3,FALSE)*(MAX(1,N(D16))*2-1)+EI16+VLOOKUP(BE16,Этаж_обозначение,3,FALSE)+VLOOKUP(BE16,Этаж_обозначение,4,FALSE),VLOOKUP(BC16,Потребители_обозначение,3,FALSE)*(MAX(1,N(D16))*2-1)+EI16),EI16))</f>
        <v>53</v>
      </c>
      <c r="Q16" s="6">
        <f t="shared" si="1"/>
        <v>0.96</v>
      </c>
      <c r="R16" t="str">
        <f t="shared" si="2"/>
        <v>ВВГнг(А)-LS (5х10)</v>
      </c>
      <c r="S16" t="str">
        <f>IF(BM16="","",IF(BN16="вводной узел","узел ","")&amp;"л."&amp;(INT((BM16-1)/Столбцов_на_лист)+1)&amp;" / "&amp;(MOD(BM16-1,Столбцов_на_лист)+1))</f>
        <v>л.2 / 11</v>
      </c>
      <c r="T16" s="119" t="str">
        <f t="shared" si="3"/>
        <v/>
      </c>
      <c r="U16" s="7" t="str">
        <f>IF(OR(CG16=0,N(BV16)+N(IB16)=0),"",ROUNDUP(Запас_БП*(N(HY16)+N(HZ16)),0))</f>
        <v/>
      </c>
      <c r="V16" s="119" t="str">
        <f t="shared" si="4"/>
        <v/>
      </c>
      <c r="W16" s="7" t="str">
        <f>IFERROR(IF(OR(B16="",BP16=1,BV16=1,NOT(ISNUMBER(EN16)),N(DT16)=0),"",MAX(0,ROUNDDOWN((c_min*(Uн_лин*1000/SQRT(3))/(HT16*N(DT16))-_xlfn.XLOOKUP(A16,Щиты[Щит],Щиты[Zпетли на шинах, Ом]))*EN16/(2*ρкз_Cu),0))),"")</f>
        <v/>
      </c>
      <c r="Y16" t="str">
        <f>Линии[[#This Row],[_авто утечка]]</f>
        <v/>
      </c>
      <c r="Z16">
        <v>3</v>
      </c>
      <c r="AA16">
        <v>400</v>
      </c>
      <c r="AB16" t="s">
        <v>598</v>
      </c>
      <c r="AC16">
        <v>0.5</v>
      </c>
      <c r="AE16">
        <v>1</v>
      </c>
      <c r="AG16" t="s">
        <v>851</v>
      </c>
      <c r="AI16" t="s">
        <v>600</v>
      </c>
      <c r="AK16" t="str">
        <f>Линии[[#This Row],[_авто модуль]]</f>
        <v/>
      </c>
      <c r="AM16">
        <v>28</v>
      </c>
      <c r="AN16" t="s">
        <v>11</v>
      </c>
      <c r="AO16">
        <v>5</v>
      </c>
      <c r="AQ16">
        <v>35</v>
      </c>
      <c r="AR16">
        <v>11</v>
      </c>
      <c r="AS16">
        <v>0</v>
      </c>
      <c r="BA16" cm="1">
        <f t="array" ref="BA16">ROW()-ROW(Линии[#Headers])</f>
        <v>14</v>
      </c>
      <c r="BC16" s="6" t="str">
        <f t="shared" si="5"/>
        <v>ЩС-Б</v>
      </c>
      <c r="BD16" t="str">
        <f t="shared" si="6"/>
        <v/>
      </c>
      <c r="BE16" t="str">
        <f t="shared" si="7"/>
        <v/>
      </c>
      <c r="BF16" t="str">
        <f t="shared" si="8"/>
        <v/>
      </c>
      <c r="BG16" t="str">
        <f t="shared" si="9"/>
        <v/>
      </c>
      <c r="BH16" t="str">
        <f>IF(X16&lt;&gt;"",X16,IF(AND(B16&lt;&gt;"",B16&lt;&gt;A16,ISNUMBER(_xlfn.XMATCH(B16,Щиты[Щит]))),B16,""))</f>
        <v>ЩС-Б</v>
      </c>
      <c r="BI16" t="str" cm="1">
        <f t="array" ref="BI16">IF(B16="","",IF(BH16&lt;&gt;"","Щит "&amp;BH16,_xlfn.LET(_xlpm.nm,IFERROR(_xlfn.XLOOKUP(BC16,Коды_код,Коды_имя)&amp;"",""),_xlpm.md,IFERROR(N(_xlfn.XLOOKUP(BC16,Коды_код,Коды_режим)),1),_xlpm.ex,IF(Имя_режим="по экспликации",IFERROR(_xlfn.XLOOKUP(BE16&amp;"|"&amp;BG16,Экспликация[Этаж]&amp;"|"&amp;Экспликация[Помещение],Экспликация[Название])&amp;"",""),""),_xlpm.rm,IF(BG16="","",IF(_xlpm.ex&lt;&gt;"",". "&amp;_xlpm.ex&amp;IF(Имя_пом="нет"," ("&amp;BG16&amp;")"," (пом. "&amp;BG16&amp;")"),IF(Имя_пом="нет"," ",", пом. ")&amp;BG16)),IF(_xlpm.nm="","",IF(_xlpm.md=2,_xlpm.nm&amp;" шлейф "&amp;BE16,_xlpm.nm&amp;_xlpm.rm)))))</f>
        <v>Щит ЩС-Б</v>
      </c>
      <c r="BJ16" t="str">
        <f t="shared" si="10"/>
        <v>Щит бассейна ЩС-Б Подвальный этаж этаж Пом. №00.002Тб</v>
      </c>
      <c r="BK16">
        <f>IFERROR(_xlfn.XMATCH(A16,Щиты[Щит]),0)</f>
        <v>1</v>
      </c>
      <c r="BL16">
        <f>_xlfn.LET(_xlpm.k,IFERROR(_xlfn.XLOOKUP(A16,Щиты[Щит],Щиты[Мест под вводной узел]),""),IF(_xlpm.k="",Столбцов_на_лист,N(_xlpm.k)))</f>
        <v>6</v>
      </c>
      <c r="BM16">
        <f t="shared" si="11"/>
        <v>28</v>
      </c>
      <c r="BN16" t="str">
        <f t="shared" si="12"/>
        <v>линии</v>
      </c>
      <c r="BO16" s="6">
        <f>IFERROR(N(_xlfn.XLOOKUP(BC16,Коды_код,Коды_квт)),0)</f>
        <v>0</v>
      </c>
      <c r="BP16">
        <f t="shared" si="13"/>
        <v>0</v>
      </c>
      <c r="BQ16">
        <f>IF(B16="","",IF(BH16&lt;&gt;"",IFERROR(_xlfn.XLOOKUP(BH16,Щиты[Щит],Щиты[Руст, кВт]),0),IF(BP16=1,IF(OR(N(_xlfn.XLOOKUP(A16,Щиты[Щит],Щиты[Вводов],1))&lt;=1,LOWER(TRIM(_xlfn.XLOOKUP(A16,Щиты[Щит],Щиты[АВР],"")&amp;""))="да"),IFERROR(_xlfn.XLOOKUP(A16,Щиты[Щит],Щиты[Руст, кВт]),0),SUMIFS(Линии[_Р для вводов],Линии[Щит],A16,Линии[Источник для режимов],GF16)),IF(BO16&gt;0,ROUND(BO16*MAX(1,N(D16)),3),""))))</f>
        <v>24.990000000000002</v>
      </c>
      <c r="BR16">
        <f t="shared" si="14"/>
        <v>24.99</v>
      </c>
      <c r="BS16" s="6">
        <f>IF(B16="","",IF(BH16&lt;&gt;"",IFERROR(_xlfn.XLOOKUP(BH16,Щиты[Щит],Щиты[Руст, кВт]),0),N(BR16)))</f>
        <v>24.990000000000002</v>
      </c>
      <c r="BT16" t="str">
        <f>IF(B16="","",IFERROR(IF(VLOOKUP(BC16,Потребители_обозначение,8,FALSE)=0,"",VLOOKUP(BC16,Потребители_обозначение,8,FALSE)),""))</f>
        <v/>
      </c>
      <c r="BU16">
        <f t="shared" si="15"/>
        <v>400</v>
      </c>
      <c r="BV16">
        <f t="shared" si="16"/>
        <v>0</v>
      </c>
      <c r="BW16">
        <f>IF(B16="","",IF(BH16&lt;&gt;"",3,IFERROR(IF(N(VLOOKUP(BC16,Потребители_обозначение,9,FALSE))=0,1,VLOOKUP(BC16,Потребители_обозначение,9,FALSE)),1)))</f>
        <v>3</v>
      </c>
      <c r="BX16">
        <f t="shared" si="17"/>
        <v>3</v>
      </c>
      <c r="BY16" t="str">
        <f>IF(B16="","",_xlfn.LET(_xlpm.bc,IFERROR(IF(VLOOKUP(BC16,Потребители_обозначение,6,FALSE)=0,"",VLOOKUP(BC16,Потребители_обозначение,6,FALSE)&amp;""),""),IF(AND(GA16="да",OR(_xlpm.bc="",_xlpm.bc="мс")),Марка_пож,IF(AND(_xlpm.bc="",BH16&lt;&gt;""),"мс",_xlpm.bc))))</f>
        <v>мс</v>
      </c>
      <c r="BZ16" t="str">
        <f t="shared" si="18"/>
        <v>мс</v>
      </c>
      <c r="CA16">
        <f>IF(B16="","",_xlfn.LET(_xlpm.cc,IFERROR(N(VLOOKUP(BC16,Потребители_обозначение,7,FALSE)),0),IF(_xlpm.cc&gt;0,_xlpm.cc,IF(BZ16="","",IF(BV16=1,2,IF(N(BX16)=3,5,3))))))</f>
        <v>5</v>
      </c>
      <c r="CB16">
        <f t="shared" si="19"/>
        <v>5</v>
      </c>
      <c r="CC16">
        <f>IFERROR(N(VLOOKUP(BC16,Потребители_обозначение,10,FALSE)),0)</f>
        <v>0</v>
      </c>
      <c r="CD16">
        <f>IFERROR(VLOOKUP(BC16,Потребители_обозначение,5,FALSE),0)</f>
        <v>1</v>
      </c>
      <c r="CE16" s="6" cm="1">
        <f t="array" ref="CE16">IF(B16="","",IF(BH16&lt;&gt;"",IFERROR(_xlfn.XLOOKUP(BH16,Щиты[Щит],Щиты[cos φ]),0.95),IF(BP16=1,IFERROR(_xlfn.XLOOKUP(A16,Щиты[Щит],Щиты[cos φ]),0.95),IF(ISNUMBER(AD16),AD16,IFERROR(IF(CD16=2,_xlfn.IFS(BX16=3,VLOOKUP(BS16,Справочная_двигатели,8,FALSE),BX16=1,VLOOKUP(BS16,Справочная_двигатели,10,TRUE)),IF(AND(Методика="нормы 2026",FG16="Сил"),0.8,0.95)),0.95)))))</f>
        <v>0.79999999999999993</v>
      </c>
      <c r="CF16">
        <f t="shared" si="20"/>
        <v>0</v>
      </c>
      <c r="CG16">
        <f t="shared" si="21"/>
        <v>1</v>
      </c>
      <c r="CH16">
        <f t="shared" si="22"/>
        <v>0</v>
      </c>
      <c r="CI16">
        <f>IF(B16="","",IF(BV16=1,IFERROR(BS16/((Uн_лин/SQRT(3))*MAX(0.5,N(CE16))),0),N(O16)))</f>
        <v>22.54372379226367</v>
      </c>
      <c r="CJ16">
        <f t="shared" si="23"/>
        <v>0</v>
      </c>
      <c r="CK16">
        <f t="shared" si="24"/>
        <v>0</v>
      </c>
      <c r="CL16">
        <f t="shared" si="25"/>
        <v>0</v>
      </c>
      <c r="CM16">
        <f t="shared" si="26"/>
        <v>0</v>
      </c>
      <c r="CN16">
        <f t="shared" si="27"/>
        <v>0</v>
      </c>
      <c r="CO16">
        <f>IF(BC16="",0,_xlfn.LET(_xlpm.v,IFERROR(_xlfn.XLOOKUP(B16,Коды_код,Коды_мА),IFERROR(_xlfn.XLOOKUP(BC16,Коды_код,Коды_мА),IFERROR(_xlfn.XLOOKUP(LEFT(BC16,2),Коды_код,Коды_мА),""))),IF(_xlpm.v="да",30,IF(ISNUMBER(_xlpm.v),_xlpm.v,0))))</f>
        <v>0</v>
      </c>
      <c r="CP16" t="str">
        <f t="shared" si="28"/>
        <v/>
      </c>
      <c r="CQ16" t="str">
        <f>_xlfn.LET(_xlpm.k,IFERROR(_xlfn.XLOOKUP(BC16,Коды_код,Коды_утечка)&amp;"",""),IF(_xlpm.k="","дифавтомат",_xlpm.k))</f>
        <v>дифавтомат</v>
      </c>
      <c r="CR16" t="str" cm="1">
        <f t="array" ref="CR16">IF(CG16=0,"",_xlfn.LET(_xlpm.sg,TRIM(_xlfn.TEXTSPLIT(DD16&amp;"",";")),_xlpm.f_,_xlfn._xlws.FILTER(_xlpm.sg,LEFT(_xlpm.sg,3)="УЗО",""),IFERROR(INDEX(_xlpm.f_,1)&amp;"","")))</f>
        <v/>
      </c>
      <c r="CS16" t="str">
        <f t="shared" si="29"/>
        <v/>
      </c>
      <c r="CT16" s="6" t="str" cm="1">
        <f t="array" ref="CT16">IF(CR16="","",_xlfn.LET(_xlpm.tk,_xlfn.TEXTSPLIT(UPPER(CR16)," ",,TRUE),_xlpm.a_,_xlfn._xlws.FILTER(_xlpm.tk,ISNUMBER(--LEFT(_xlpm.tk,1))*((ISNUMBER(SEARCH("А",_xlpm.tk))+ISNUMBER(SEARCH("A",_xlpm.tk)))&gt;0)*NOT(ISNUMBER(SEARCH("МА",_xlpm.tk)))*NOT(ISNUMBER(SEARCH("MA",_xlpm.tk))),""),IFERROR(--SUBSTITUTE(SUBSTITUTE(INDEX(_xlpm.a_,1),"А",""),"A",""),"")))</f>
        <v/>
      </c>
      <c r="CU16" t="str" cm="1">
        <f t="array" ref="CU16">IF(CR16="","",_xlfn.LET(_xlpm.tk,_xlfn.TEXTSPLIT(UPPER(CR16)," ",,TRUE),_xlpm.a_,_xlfn._xlws.FILTER(_xlpm.tk,ISNUMBER(--LEFT(_xlpm.tk,1))*((ISNUMBER(SEARCH("МА",_xlpm.tk))+ISNUMBER(SEARCH("MA",_xlpm.tk)))&gt;0),""),IFERROR(--SUBSTITUTE(SUBSTITUTE(INDEX(_xlpm.a_,1),"МА",""),"MA",""),30)))</f>
        <v/>
      </c>
      <c r="CV16" t="str">
        <f>IF(CS16="","",IFERROR(_xlfn.XLOOKUP(CS16,Линии[_n],Линии[_УЗО, мА]),30))</f>
        <v/>
      </c>
      <c r="CW16">
        <f>IF(CS16="",0,IF(ISNUMBER(SEARCH("4P",IFERROR(_xlfn.XLOOKUP(CS16,Линии[_n],Линии[_УЗО строки])&amp;"",""))),0,1))</f>
        <v>0</v>
      </c>
      <c r="CX16" t="str">
        <f>IF(AND(CS16&lt;&gt;"",CS16=BA16),SUMIFS(Линии[_ток на 230 В],Линии[_блок УЗО],BA16,Линии[Щит],A16),"")</f>
        <v/>
      </c>
      <c r="CY16" t="str">
        <f>IF(AND(CS16&lt;&gt;"",CS16=BA16),SUMIFS(Линии[_ток утечки линии, мА],Линии[_блок УЗО],BA16,Линии[Щит],A16),"")</f>
        <v/>
      </c>
      <c r="CZ16">
        <f t="shared" si="30"/>
        <v>0</v>
      </c>
      <c r="DA16">
        <f t="shared" si="31"/>
        <v>0</v>
      </c>
      <c r="DB16">
        <f>IF(B16="",0,IFERROR(--_xlfn.XLOOKUP(B16,Коды_код,Коды_минавт),IFERROR(--_xlfn.XLOOKUP(BC16,Коды_код,Коды_минавт),IFERROR(--_xlfn.XLOOKUP(LEFT(BC16,2),Коды_код,Коды_минавт),0))))</f>
        <v>0</v>
      </c>
      <c r="DC16" t="str">
        <f>IF(B16="","",IFERROR(_xlfn.XLOOKUP(BC16,Коды_код,Коды_апп)&amp;"",""))</f>
        <v/>
      </c>
      <c r="DD16" t="str">
        <f t="shared" si="32"/>
        <v/>
      </c>
      <c r="DE16" t="str" cm="1">
        <f t="array" ref="DE16">IF(TRIM(DD16&amp;"")="","",IFERROR(TRIM(INDEX(_xlfn.TEXTSPLIT(DD16&amp;";;;",";"),1)),""))</f>
        <v/>
      </c>
      <c r="DF16" t="str" cm="1">
        <f t="array" ref="DF16">IF(TRIM(DD16&amp;"")="","",IFERROR(TRIM(INDEX(_xlfn.TEXTSPLIT(DD16&amp;";;;",";"),2)),""))</f>
        <v/>
      </c>
      <c r="DG16" t="str" cm="1">
        <f t="array" ref="DG16">IF(TRIM(DD16&amp;"")="","",IFERROR(TRIM(INDEX(_xlfn.TEXTSPLIT(DD16&amp;";;;",";"),3)),""))</f>
        <v/>
      </c>
      <c r="DH16">
        <f t="shared" si="33"/>
        <v>0</v>
      </c>
      <c r="DI16" t="str">
        <f>IF(B16="","",_xlfn.LET(_xlpm.t,LOWER(AZ16&amp;""),IF(ISNUMBER(SEARCH("dim",_xlpm.t)),"DIM",IF(ISNUMBER(SEARCH("dali",_xlpm.t)),"DALI",IF(OR(ISNUMBER(SEARCH("relay",_xlpm.t)),ISNUMBER(SEARCH("реле",_xlpm.t))),"Relay",IF(ISNUMBER(SEARCH("кнопк",_xlpm.t)),"",IFERROR(_xlfn.XLOOKUP(BC16,Коды_код,Коды_упр)&amp;"","")))))))</f>
        <v/>
      </c>
      <c r="DJ16" t="str">
        <f t="shared" si="34"/>
        <v/>
      </c>
      <c r="DK16">
        <f>IF(B16="","",_xlfn.LET(_xlpm.ig,IF(N(CX16)&gt;0,N(CX16),N(CI16)+IF(AJ16="вручную",0,N(CJ16))),_xlpm.n0,IFERROR(VLOOKUP(_xlpm.ig,Автомат_номиналы,2,TRUE),0),_xlpm.mn,MAX(DB16,IF(AJ16="вручную",0,N(CM16))),MAX(_xlpm.n0,_xlpm.mn,IF(DH16=1,Мин_автомат_БП,0))))</f>
        <v>32</v>
      </c>
      <c r="DL16">
        <f t="shared" si="35"/>
        <v>3</v>
      </c>
      <c r="DM16" t="str">
        <f t="shared" si="36"/>
        <v>3P</v>
      </c>
      <c r="DN16" t="str">
        <f>_xlfn.LET(_xlpm.cc,UPPER(TRIM(IFERROR(_xlfn.XLOOKUP(BC16,Коды_код,Коды_хар)&amp;"",""))),IF(OR(_xlpm.cc="B",_xlpm.cc="В"),"B",IF(_xlpm.cc="D","D","С")))</f>
        <v>С</v>
      </c>
      <c r="DO16" t="str">
        <f t="shared" si="37"/>
        <v>3P С32А</v>
      </c>
      <c r="DP16">
        <f t="shared" si="38"/>
        <v>40</v>
      </c>
      <c r="DQ16" t="str">
        <f t="shared" si="39"/>
        <v>3P С40А</v>
      </c>
      <c r="DR16" cm="1">
        <f t="array" ref="DR16">IF(DQ16="","",_xlfn.LET(_xlpm.t,SUBSTITUTE(SUBSTITUTE(SUBSTITUTE(UPPER(DQ16),"С","C"),"А","A"),"В","B"),_xlpm.tk,_xlfn.TEXTSPLIT(_xlpm.t," "),_xlpm.f,_xlfn._xlws.FILTER(_xlpm.tk,ISNUMBER(--MID(_xlpm.tk,2,1))*ISNUMBER(SEARCH(LEFT(_xlpm.tk,1)&amp;"#","B#C#D#"))*(LEN(_xlpm.tk)&gt;1),""),_xlpm.x,INDEX(_xlpm.f,1),IFERROR(--SUBSTITUTE(MID(_xlpm.x,2,9),"A",""),IFERROR(--SUBSTITUTE(INDEX(_xlfn._xlws.FILTER(_xlpm.tk,ISNUMBER(--SUBSTITUTE(_xlpm.tk,"A","")),""),1),"A",""),""))))</f>
        <v>40</v>
      </c>
      <c r="DS16" t="str">
        <f t="shared" si="40"/>
        <v>ok</v>
      </c>
      <c r="DT16">
        <f t="shared" si="41"/>
        <v>40</v>
      </c>
      <c r="DU16" t="str">
        <f t="shared" si="42"/>
        <v>3P С40А</v>
      </c>
      <c r="DV16">
        <f t="shared" si="43"/>
        <v>0</v>
      </c>
      <c r="DW16">
        <f t="shared" si="44"/>
        <v>0</v>
      </c>
      <c r="DX16">
        <f t="shared" si="45"/>
        <v>0</v>
      </c>
      <c r="DY16">
        <f t="shared" si="46"/>
        <v>22.54372379226367</v>
      </c>
      <c r="DZ16">
        <f t="shared" si="47"/>
        <v>0.92</v>
      </c>
      <c r="EA16">
        <f>IF(ISNUMBER(AP16),AP16,К_прокл)</f>
        <v>1</v>
      </c>
      <c r="EB16">
        <f t="shared" si="48"/>
        <v>3</v>
      </c>
      <c r="EC16">
        <f>IFERROR(N(VLOOKUP(BZ16,Кабель_обозначение,3,FALSE)),1)</f>
        <v>1</v>
      </c>
      <c r="ED16">
        <f>IFERROR(N(_xlfn.XLOOKUP(A16,Щиты[Щит],Щиты[ΔU до шин, %])),0)</f>
        <v>0</v>
      </c>
      <c r="EE16" t="str">
        <f>IFERROR(_xlfn.XLOOKUP(A16,Щиты[Щит],Щиты[Zпетли на шинах, Ом]),"")</f>
        <v/>
      </c>
      <c r="EF16">
        <f>IFERROR(N(_xlfn.XLOOKUP(A16,Щиты[Щит],Щиты[ΔU до шин (подбор), %])),0)</f>
        <v>0</v>
      </c>
      <c r="EG16" t="str">
        <f>IFERROR(_xlfn.XLOOKUP(A16,Щиты[Щит],Щиты[Zпетли на шинах (подбор), Ом]),"")</f>
        <v/>
      </c>
      <c r="EH16" t="str">
        <f t="shared" si="49"/>
        <v/>
      </c>
      <c r="EI16">
        <f t="shared" si="50"/>
        <v>51</v>
      </c>
      <c r="EJ16">
        <f t="shared" si="51"/>
        <v>1</v>
      </c>
      <c r="EK16">
        <f t="shared" si="52"/>
        <v>0.6</v>
      </c>
      <c r="EL16" s="6">
        <f>IF(B16="","",IF(BV16=1,dU_LED,IF(IFERROR(_xlfn.XLOOKUP(BC16,Коды_код,Коды_уго),"")="Светильник",3,4)+IF(Методика="нормы 2026",MIN(0.5,MAX(0,N(P16)-100)*0.005),0)))</f>
        <v>4</v>
      </c>
      <c r="EM16" cm="1">
        <f t="array" ref="EM16">IF(OR(B16="",BZ16="",EC16&lt;&gt;1),"",_xlfn.LET(_xlpm.sz,Iдоп_S,_xlpm.t_,CHOOSE(EB16,Iдоп_1ж,Iдоп_2ж,Iдоп_3ж)*DZ16*EA16,_xlpm.dcx,BV16=1,_xlpm.inn,IF(_xlpm.dcx,N(O16),N(DT16)),_xlpm.smin,MAX(1.5,CC16),_xlpm.L_,N(P16)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16)/N(BU16)*100,999),IFERROR(N(EJ16)*(_xlpm.rho*_xlpm.L_/_xlpm.sz*N(CE16)+_xlpm.xx*_xlpm.L_*N(EK16)/1000)*N(O16)/((Uн_лин/SQRT(3))*1000)*100,999)),_xlpm.kz,IF(OR(_xlpm.dcx,DW16=1,NOT(ISNUMBER(EG16)),_xlpm.L_=0,_xlpm.inn=0),1,IFERROR(--(c_min*(Uн_лин*1000/SQRT(3))/(EG16+2*ρкз_Cu*_xlpm.L_/_xlpm.sz)&gt;=HT16*_xlpm.inn),0)),_xlpm.ok,IFERROR((_xlpm.sz&gt;=_xlpm.smin)*(_xlpm.t_&gt;=_xlpm.inn)*IF(_xlpm.L_&gt;0,(_xlpm.du_+IF(_xlpm.dcx,0,EF16)&lt;=EL16+0.00001),1)*_xlpm.kz,0),_xlpm.r_,_xlfn._xlws.FILTER(_xlpm.sz,_xlpm.ok,"не подобрано"),INDEX(_xlpm.r_,1)))</f>
        <v>10</v>
      </c>
      <c r="EN16">
        <f t="shared" si="53"/>
        <v>10</v>
      </c>
      <c r="EO16" cm="1">
        <f t="array" ref="EO16">IF(OR(B16="",BZ16="",EC16&lt;&gt;1),"",_xlfn.LET(_xlpm.sz,Iдоп_S,_xlpm.t_,CHOOSE(EB16,Iдоп_1ж,Iдоп_2ж,Iдоп_3ж)*DZ16*EA16,_xlpm.ok,IFERROR((_xlpm.sz&gt;=MAX(1.5,CC16))*(_xlpm.t_&gt;=N(DT16)),0),_xlpm.r_,_xlfn._xlws.FILTER(_xlpm.sz,_xlpm.ok,""),INDEX(_xlpm.r_,1)))</f>
        <v>10</v>
      </c>
      <c r="EP16" s="6" cm="1">
        <f t="array" ref="EP16">IFERROR(ROUNDUP(N(EJ16)*(_xlfn.XLOOKUP(EO16,INDEX(Кабель_сопротивление,0,1),INDEX(Кабель_сопротивление,0,3))*N(P16)/EO16*N(CE16)+_xlfn.XLOOKUP(EO16,INDEX(Кабель_сопротивление,0,1),INDEX(Кабель_сопротивление,0,2))*N(P16)*N(EK16)/1000)*N(O16)/((Uн_лин/SQRT(3))*1000)*100,2),"")</f>
        <v>0.96</v>
      </c>
      <c r="EQ16">
        <f>IFERROR(2*ρкз_Cu*N(P16)/EO16,"")</f>
        <v>0.27877999999999997</v>
      </c>
      <c r="ER16">
        <f>IFERROR(VLOOKUP(EN16,Кабель_сопротивление,3,FALSE),"")</f>
        <v>2.2499999999999999E-2</v>
      </c>
      <c r="ES16">
        <f>IFERROR(VLOOKUP(EN16,Кабель_сопротивление,2,FALSE),"")</f>
        <v>7.2999999999999995E-2</v>
      </c>
      <c r="ET16">
        <f t="shared" si="54"/>
        <v>11</v>
      </c>
      <c r="EU16">
        <f t="shared" si="55"/>
        <v>0</v>
      </c>
      <c r="EV16">
        <f t="shared" si="56"/>
        <v>2.2030042501933145</v>
      </c>
      <c r="EW16" s="6">
        <f>IFERROR(ROUNDUP(EV16/IF(BV16=1,BU16,(Uн_лин/SQRT(3))*1000)*100,2),"")</f>
        <v>0.96</v>
      </c>
      <c r="EX16" t="str">
        <f>IFERROR(VLOOKUP(BZ16,Кабель_обозначение,2,FALSE),"")</f>
        <v>ВВГнг(А)-LS</v>
      </c>
      <c r="EY16" t="str">
        <f t="shared" si="57"/>
        <v>ВВГнг(А)-LS (5х10)</v>
      </c>
      <c r="EZ16" t="str">
        <f t="shared" si="58"/>
        <v>ВВГнг(А)-LS (5х10)
L=53-0,96%</v>
      </c>
      <c r="FA16">
        <f>IFERROR(2*ρкз_Cu*P16/EN16,"")</f>
        <v>0.27877999999999997</v>
      </c>
      <c r="FB16">
        <f t="shared" si="59"/>
        <v>9.2750000000000013E-2</v>
      </c>
      <c r="FC16" s="6" t="str">
        <f>IFERROR(IF(OR(B16="",BV16=1,NOT(ISNUMBER(EN16)),N(P16)=0),"",_xlfn.XLOOKUP(A16,Щиты[Щит],Щиты[Zпетли на шинах, Ом])+FA16),"")</f>
        <v/>
      </c>
      <c r="FD16" s="6" t="str">
        <f>IF(ISNUMBER(FC16),c_min*(Uн_лин*1000/SQRT(3))/FC16,"")</f>
        <v/>
      </c>
      <c r="FE16" s="6" t="str">
        <f>IFERROR(IF(OR(B16="",NOT(ISNUMBER(EN16))),"",1.05*(Uн_лин*1000/SQRT(3))/(_xlfn.XLOOKUP(A16,Щиты[Щит],Щиты[Zmax на шинах, Ом])+FB16)/1000),"")</f>
        <v/>
      </c>
      <c r="FF16" s="6" t="str">
        <f>IF(B16="","",IF(ISNUMBER(AC16),"Сил",IF(IFERROR(_xlfn.XLOOKUP(BC16,Коды_код,Коды_группа)&amp;"","")="","Быт",_xlfn.XLOOKUP(BC16,Коды_код,Коды_группа)&amp;"")))</f>
        <v>Сил</v>
      </c>
      <c r="FG16" s="6" t="str">
        <f t="shared" si="60"/>
        <v>Щит</v>
      </c>
      <c r="FH16" s="6" t="str">
        <f>IF(FG16="Щит","щит",IF(FG16="","",IF(FG16="Быт",IFERROR(_xlfn.XLOOKUP(A16,Щиты[Щит],Щиты[Кс быт]),1),IF(FG16="Сил",IF(ISNUMBER(AC16),AC16,IF(Методика="нормы 2026",IFERROR(_xlfn.XLOOKUP(A16,Щиты[Щит],Щиты[Кс силовых (табл. 7.5)]),1),1)),IF(OR(FG16="Пост",FG16="Отоп"),1,IF(FG16="ВНГ",0.7,0))))))</f>
        <v>щит</v>
      </c>
      <c r="FI16">
        <f>IF(FG16="","",IF(AND(BP16=1,TRIM(AE16&amp;"")=""),IF(COUNTIFS(Линии[Щит],A16,Линии[Секция (1/2/3)],"&gt;=2")&gt;0,MIN(3,MAX(1,IFERROR(--BD16,1))),1),IFERROR(MIN(3,MAX(1,INT(--AE16))),1)))</f>
        <v>1</v>
      </c>
      <c r="FJ16">
        <f t="shared" si="61"/>
        <v>0</v>
      </c>
      <c r="FK16">
        <f t="shared" si="62"/>
        <v>0</v>
      </c>
      <c r="FL16">
        <f t="shared" si="63"/>
        <v>0</v>
      </c>
      <c r="FM16">
        <f t="shared" si="64"/>
        <v>0</v>
      </c>
      <c r="FN16">
        <f t="shared" si="65"/>
        <v>0</v>
      </c>
      <c r="FO16">
        <f t="shared" si="66"/>
        <v>0</v>
      </c>
      <c r="FP16">
        <f t="shared" si="67"/>
        <v>24.990000000000002</v>
      </c>
      <c r="FQ16">
        <f t="shared" si="68"/>
        <v>0</v>
      </c>
      <c r="FR16">
        <f t="shared" si="69"/>
        <v>0</v>
      </c>
      <c r="FS16">
        <f>IF(CG16=1,IF(AND(CH16=1,CW16=1),0,IF(AND(CS16&lt;&gt;"",CS16=BA16,CW16=1),SUMIFS(Линии[_Р линии, кВт],Линии[_блок УЗО],BA16,Линии[Щит],A16),N(BS16)+IF(AJ16="вручную",0,N(CK16)))),0)</f>
        <v>24.990000000000002</v>
      </c>
      <c r="FT16" t="str">
        <f t="shared" si="70"/>
        <v/>
      </c>
      <c r="FU16" t="str">
        <f>IF(B16="","",IF(CG16=0,IF(BA16=1,"",FW15),IF(AND(CH16=1,CW16=1,CS16&lt;&gt;""),IFERROR(_xlfn.XLOOKUP(CS16,Линии[_n],Линии[_фаза итог]),"L1"),IF(OR(N(DL16)&gt;=3,N(BX16)&gt;=3),"L1,L2,L3",IFERROR(_xlfn.TEXTBEFORE(_xlfn.TEXTAFTER(_xlfn.XLOOKUP(A16,Щиты[Щит],Щиты[_фазы авто]),";"&amp;BA16&amp;":"),";"),"L1")))))</f>
        <v>L1,L2,L3</v>
      </c>
      <c r="FV16" t="str">
        <f t="shared" si="71"/>
        <v>L1,L2,L3</v>
      </c>
      <c r="FW16" t="str">
        <f t="shared" si="72"/>
        <v>L1,L2,L3</v>
      </c>
      <c r="FX16" cm="1">
        <f t="array" ref="FX16">IFERROR(IF(CD16=2,_xlfn.IFS(BX16=3,VLOOKUP(BS16,Справочная_двигатели,3,FALSE),BX16=1,VLOOKUP(BS16,Справочная_двигатели,5,TRUE)),0),0)</f>
        <v>0</v>
      </c>
      <c r="FY16">
        <f>IFERROR(IF(CD16=3,VLOOKUP(BS16,Справочная_ЛЭД,2,TRUE),0),0)</f>
        <v>0</v>
      </c>
      <c r="FZ16" s="6">
        <f t="shared" si="73"/>
        <v>0</v>
      </c>
      <c r="GA16" t="str">
        <f>IF(B16="","",IF(TRIM(AH16&amp;"")&lt;&gt;"",IF(LOWER(TRIM(AH16&amp;""))="да","да","нет"),IF(IFERROR(_xlfn.XLOOKUP(BC16,Коды_код,Коды_пожарная),"")="да","да","нет")))</f>
        <v>нет</v>
      </c>
      <c r="GB16" t="str">
        <f t="shared" si="74"/>
        <v/>
      </c>
      <c r="GC16" t="str">
        <f t="shared" si="75"/>
        <v>основная</v>
      </c>
      <c r="GD16">
        <f>IF(AND(BP16=1,TRIM(AE16&amp;"")=""),IF(COUNTIFS(Линии[Щит],A16,Линии[Секция (1/2/3)],"&gt;=2")&gt;0,MIN(3,MAX(1,IFERROR(--BD16,1))),1),IFERROR(MIN(3,MAX(1,INT(--AE16))),1))</f>
        <v>1</v>
      </c>
      <c r="GE16" t="str" cm="1">
        <f t="array" ref="GE16">IF(B16="","",_xlfn.LET(_xlpm.t,IFERROR(_xlfn.XLOOKUP(1,(Шины[Шина]=GC16)*(((Шины[Щит]=A16)+(Шины[Щит]=""))&gt;0),Шины[Тип]),"")&amp;"",IF(_xlpm.t&lt;&gt;"",_xlpm.t,IF(ISNUMBER(SEARCH("ИБП",GC16)),"ИБП",IF(ISNUMBER(SEARCH("ДГУ",GC16)),"ДГУ","Ввод "&amp;GD16)))))</f>
        <v>Ввод 1</v>
      </c>
      <c r="GF16" t="str">
        <f t="shared" si="76"/>
        <v>Ввод 1</v>
      </c>
      <c r="GG16" t="str">
        <f>IF(BP16=0,"",IF(TRIM(AG16&amp;"")&lt;&gt;"",TRIM(AG16&amp;""),IF(OR(GE16="ИБП",GE16="ДГУ"),"I особая",_xlfn.XLOOKUP(A16,Щиты[Щит],Щиты[Категория шины «Ввод»],"III"))))</f>
        <v/>
      </c>
      <c r="GH16" t="str">
        <f>IF(A16="","",_xlfn.XLOOKUP(A16,Щиты[Щит],Щиты[Путь],""))</f>
        <v>|ГРЩ-ЖД|</v>
      </c>
      <c r="GI16" t="str">
        <f>IF(B16="","",IF(AI16&lt;&gt;"",AI16,IF(IFERROR(_xlfn.XLOOKUP(BC16,Коды_код,Коды_вид)&amp;"","")="","Прочее",_xlfn.XLOOKUP(BC16,Коды_код,Коды_вид)&amp;"")))</f>
        <v>Бассейн, SPA, хаммам</v>
      </c>
      <c r="GJ16">
        <f>IF(BM16="","",INT((BM16-1)/Столбцов_на_лист)+1)</f>
        <v>2</v>
      </c>
      <c r="GK16" t="str">
        <f t="shared" si="77"/>
        <v>ВВГнг(А)-LS (5х10) L=53-0,96%</v>
      </c>
      <c r="GL16">
        <f t="shared" si="78"/>
        <v>24.990000000000002</v>
      </c>
      <c r="GM16">
        <f t="shared" si="79"/>
        <v>22.55</v>
      </c>
      <c r="GN16">
        <f t="shared" si="80"/>
        <v>3</v>
      </c>
      <c r="GO16">
        <f t="shared" si="81"/>
        <v>0</v>
      </c>
      <c r="GP16">
        <f t="shared" si="82"/>
        <v>1</v>
      </c>
      <c r="GQ16">
        <f>IF(BM16="","",IF(AND(CG16=1,GP16=1),COUNTIFS(A$3:A16,A16,CG$3:CG16,1,GP$3:GP16,1),IF(OR(OR(BA16=1,A16&lt;&gt;A15),AJ16="вручную",GP16=0),"",IF(BA16=1,"",GR15))))</f>
        <v>12</v>
      </c>
      <c r="GR16">
        <f t="shared" si="83"/>
        <v>12</v>
      </c>
      <c r="GS16">
        <f>IF(B16="","",IFERROR(LOOKUP(INDEX(CHOOSE(EB16,Iдоп_1ж,Iдоп_2ж,Iдоп_3ж),MATCH(EN16,Iдоп_S,0))*DZ16*EA16,{6,10,16,20,25,32,40,50,63,80,100,125,160,200,250,315,400,500,630}),""))</f>
        <v>50</v>
      </c>
      <c r="GT16" t="str">
        <f t="shared" si="84"/>
        <v>QF12</v>
      </c>
      <c r="GU16" t="str">
        <f t="shared" si="85"/>
        <v>QF12</v>
      </c>
      <c r="GV16" t="str">
        <f t="shared" si="86"/>
        <v/>
      </c>
      <c r="GW16">
        <f t="shared" si="87"/>
        <v>0</v>
      </c>
      <c r="GX16" t="str">
        <f>IF(OR(B16="",DJ16=""),"",IFERROR(_xlfn.XLOOKUP(DJ16,Модули_умолч[Управление],Модули_умолч[Модель])&amp;"",""))</f>
        <v/>
      </c>
      <c r="GY16">
        <f>IF(DJ16="",1,IFERROR(MAX(0,N(_xlfn.XLOOKUP(DJ16,Модули_умолч[Управление],Модули_умолч[Каналов на линию]))),1))</f>
        <v>1</v>
      </c>
      <c r="GZ16" t="str">
        <f t="shared" si="88"/>
        <v/>
      </c>
      <c r="HA16" t="str">
        <f t="shared" si="89"/>
        <v/>
      </c>
      <c r="HB16" t="str">
        <f t="shared" si="90"/>
        <v/>
      </c>
      <c r="HC16">
        <f>IF(HB16="",0,IFERROR(N(VLOOKUP(HB16,Модули_спр,3,FALSE)),0))</f>
        <v>0</v>
      </c>
      <c r="HD16" t="str">
        <f t="shared" si="91"/>
        <v/>
      </c>
      <c r="HE16" t="str">
        <f t="shared" si="92"/>
        <v/>
      </c>
      <c r="HF16" t="str">
        <f>IF(OR(HE16="",HE16="-"),"",IFERROR(VLOOKUP(HE16,Модули_спр,2,FALSE),"R"))</f>
        <v/>
      </c>
      <c r="HG16" t="str">
        <f>IF(HF16="","",HF16&amp;"."&amp;COUNTIFS(A$3:A16,A16,HF$3:HF16,HF16))</f>
        <v/>
      </c>
      <c r="HH16" t="str">
        <f t="shared" si="93"/>
        <v/>
      </c>
      <c r="HI16" t="str">
        <f t="shared" si="94"/>
        <v/>
      </c>
      <c r="HJ16" t="str">
        <f t="shared" si="95"/>
        <v/>
      </c>
      <c r="HK16" t="str">
        <f t="shared" si="96"/>
        <v/>
      </c>
      <c r="HL16">
        <f t="shared" si="97"/>
        <v>1</v>
      </c>
      <c r="HM16" t="str">
        <f>IF(HL16=1,"XT"&amp;COUNTIFS(A$3:A16,A16,HL$3:HL16,1),"")</f>
        <v>XT11</v>
      </c>
      <c r="HN16" t="str">
        <f t="shared" si="98"/>
        <v/>
      </c>
      <c r="HO16" t="str">
        <f t="shared" si="99"/>
        <v>QF12</v>
      </c>
      <c r="HP16" t="str">
        <f t="shared" si="100"/>
        <v/>
      </c>
      <c r="HQ16" t="str">
        <f t="shared" si="101"/>
        <v>ok</v>
      </c>
      <c r="HR16" t="str">
        <f>IF(OR(HJ16="",HH16=""),"",IF(HJ16+MAX(0,GY16-1)&gt;IFERROR(VLOOKUP(HI16,Модули_спр,3,FALSE),99),"ЛИШНИЙ КАНАЛ",IF(AND(AL16&lt;&gt;"=",GY16&gt;0,COUNTIFS(Линии[_модуль гр.],HH16,Линии[Канал (итог)],HJ16,Линии[Канал],"&lt;&gt;=",Линии[Щит],A16)&gt;1),"ДУБЛЬ КАНАЛА","")))</f>
        <v/>
      </c>
      <c r="HS16" s="6" t="str">
        <f t="shared" si="102"/>
        <v/>
      </c>
      <c r="HT16">
        <f t="shared" si="103"/>
        <v>10</v>
      </c>
      <c r="HU16" t="str">
        <f t="shared" si="104"/>
        <v/>
      </c>
      <c r="HV16">
        <f t="shared" si="105"/>
        <v>0</v>
      </c>
      <c r="HW16">
        <f t="shared" si="106"/>
        <v>0</v>
      </c>
      <c r="HX16">
        <f t="shared" si="107"/>
        <v>0</v>
      </c>
      <c r="HY16">
        <f t="shared" si="108"/>
        <v>0</v>
      </c>
      <c r="HZ16">
        <f t="shared" si="109"/>
        <v>0</v>
      </c>
      <c r="IA16">
        <f t="shared" si="110"/>
        <v>0</v>
      </c>
      <c r="IB16">
        <f t="shared" si="111"/>
        <v>0</v>
      </c>
      <c r="IC16" t="str">
        <f t="shared" si="112"/>
        <v/>
      </c>
      <c r="ID16" t="str" cm="1">
        <f t="array" ref="ID16">IF(IC16="","",_xlfn.LET(_xlpm.tk,_xlfn.TEXTSPLIT(SUBSTITUTE(SUBSTITUTE(IC16,";"," "),"→"," ")," ",,TRUE),_xlpm.w_,_xlfn._xlws.FILTER(_xlpm.tk,ISNUMBER(--LEFT(_xlpm.tk,1))*((ISNUMBER(SEARCH("W",_xlpm.tk))+ISNUMBER(SEARCH("Вт",_xlpm.tk)))&gt;0),""),IFERROR(--SUBSTITUTE(SUBSTITUTE(UPPER(INDEX(_xlpm.w_,1)),"W",""),"ВТ",""),"")))</f>
        <v/>
      </c>
      <c r="IE16" t="str" cm="1">
        <f t="array" ref="IE16">IF(IC16="","",_xlfn.LET(_xlpm.tk,_xlfn.TEXTSPLIT(SUBSTITUTE(SUBSTITUTE(IC16,";"," "),"→"," ")," ",,TRUE),_xlpm.v_,_xlfn._xlws.FILTER(_xlpm.tk,ISNUMBER(--LEFT(_xlpm.tk,1))*((ISNUMBER(SEARCH("V",_xlpm.tk))+(RIGHT(UPPER(_xlpm.tk))="В"))&gt;0),""),IFERROR(--SUBSTITUTE(SUBSTITUTE(UPPER(INDEX(_xlpm.v_,1)),"V",""),"В",""),"")))</f>
        <v/>
      </c>
      <c r="IF16" s="6" t="str">
        <f>IF(OR(BV16=0,HI16="",HJ16=""),"",IFERROR(N(_xlfn.XLOOKUP(HI16,Каталог!$C$4:$C$500,Каталог!$Q$4:$Q$500)),""))</f>
        <v/>
      </c>
      <c r="IG16" s="6" t="str">
        <f>IF(N(IF16)=0,"",SUMIFS(Линии[Iр, А],Линии[Щит],A16,Линии[_модуль гр.],HH16,Линии[Канал (итог)],HJ16))</f>
        <v/>
      </c>
      <c r="IH16" t="str">
        <f>IF(AND(B16="",HO16=""),"",_xlfn.TEXTJOIN("; ",TRUE,IF(AND(B16&lt;&gt;"",FV16=""),"нет фазы",""),IF(AND(B16&lt;&gt;"",N(GL16)=0,FG16&lt;&gt;"Нет"),"нет мощности",""),IF(AND(HN16&lt;&gt;"",COUNTIFS(Линии[Щит],A16,Линии[Клемма (итог)],HN16)&gt;1),"дубль клеммы "&amp;HN16,""),IF(AND(HQ16&lt;&gt;"",HQ16&lt;&gt;"ok"),HQ16,""),IF(HR16&lt;&gt;"",HR16,""),IF(AND(N(CB16)&gt;=4,N(BX16)=1),CB16&amp;" жил на 1 фазе",""),IF(AND(BC16="R",CG16=1,IF(CS16&lt;&gt;"",N(CV16)&gt;30,OR(N(DA16)=0,N(DA16)&gt;30))),"розетка без дифзащиты до 30 мА",""),IF(AND(CG16=1,N(DA16)&gt;0,ISNUMBER(T16)),IF(T16&gt;N(DA16)/3,"ток утечки "&amp;FIXED(T16,1)&amp;" мА &gt; 1/3 уставки ("&amp;DA16&amp;" мА)",""),""),IF(AND(CH16=1,CS16=""),"«узо»: нет строки с УЗО выше (УЗО 2P 40А 30мА в «Аппаратах»)",""),IF(AND(CS16&lt;&gt;"",CS16=BA16),IF(CT16="","впишите номинал УЗО (УЗО 2P 40А 30мА)",IF(N(CT16)&lt;N(DT16),"УЗО "&amp;CT16&amp;" А &lt; автомата "&amp;DT16&amp;" А перед ним",IF(N(CT16)&lt;N(CX16),"УЗО "&amp;CT16&amp;" А &lt; тока блока "&amp;FIXED(CX16,1)&amp;" А",""))),""),IF(AND(CS16&lt;&gt;"",CS16=BA16,ISNUMBER(CY16)),IF(CY16&gt;N(CV16)/3,"ток утечки блока УЗО "&amp;FIXED(CY16,1)&amp;" мА &gt; 1/3 уставки ("&amp;CV16&amp;" мА)",""),""),IF(AND(CG16=1,N(BV16)+N(IB16)&gt;0,IC16=""),"линии до 50 В без БП: впишите в «Аппараты» (БП 24V 480W)",""),IF(AND(CG16=1,ISNUMBER(ID16),ISNUMBER(U16)),IF(U16&gt;ID16,"БП "&amp;ID16&amp;" Вт &lt; нужно "&amp;U16&amp;" Вт (×"&amp;Запас_БП&amp;")",""),""),IF(AND(CG16=1,ISNUMBER(IE16),N(BV16)=1),IF(IE16&lt;&gt;N(BU16),"БП на "&amp;IE16&amp;" В, линия "&amp;BU16&amp;" В",""),""),IF(AND(N(IF16)&gt;0,N(IG16)&gt;N(IF16)),HH16&amp;" канал "&amp;HJ16&amp;": "&amp;FIXED(IG16,1)&amp;" А &gt; "&amp;IF16&amp;" А",""),IFERROR(IF(AND(ISNUMBER(Q16),Q16&gt;EL16),"потери "&amp;FIXED(Q16,1)&amp;" % &gt; "&amp;EL16&amp;" %",""),""),IFERROR(IF(LEFT(HU16,4)="мало","Iкз мало — отключение &gt; 0,4 с",""),""),IF(AND(B16&lt;&gt;"",BM16=""),"не на схеме",""),IF(AND(CG16=0,B16&lt;&gt;"",FV16&lt;&gt;"",IF(BA16=1,"",FW15)&lt;&gt;"",FV16&lt;&gt;IF(BA16=1,"",FW15)),"фаза не как у автомата группы ("&amp;IF(BA16=1,"",FW15)&amp;")","")))</f>
        <v/>
      </c>
      <c r="II16" s="6" t="str">
        <f>IF(OR(CG16=0,DQ16=""),"",_xlfn.LET(_xlpm.t,IFERROR(_xlfn.XLOOKUP(DQ16,Каталог!$U$4:$U$500,Каталог!$G$4:$G$500),""),_xlpm.k,SEARCH("кА",_xlpm.t),IFERROR(--TRIM(RIGHT(SUBSTITUTE(MID(_xlpm.t,MAX(1,_xlpm.k-4),_xlpm.k-MAX(1,_xlpm.k-4))," ",REPT(" ",9)),5)),"")))</f>
        <v/>
      </c>
      <c r="IJ16" t="str">
        <f>IF(OR(II16="",CG16=0),"",IF(_xlfn.XLOOKUP(A16,Щиты[Щит],Щиты[Iкз max на шинах, кА],"")="","",IF(II16&lt;_xlfn.XLOOKUP(A16,Щиты[Щит],Щиты[Iкз max на шинах, кА]),"Icu "&amp;II16&amp;" кА &lt; Iкз max","ok")))</f>
        <v/>
      </c>
      <c r="IK16" t="str">
        <f t="shared" si="113"/>
        <v/>
      </c>
      <c r="IL16" t="str">
        <f t="shared" si="114"/>
        <v>QF12</v>
      </c>
      <c r="IM16" t="str">
        <f t="shared" si="115"/>
        <v>QF12|кабель ВВГнг(А)-LS (5х10) → Щит бассейна ЩС-Б Подвальный этаж этаж Пом. №00.002Тб</v>
      </c>
      <c r="IN16" t="str" cm="1">
        <f t="array" ref="IN16">IF(IM16="","",_xlfn.LET(_xlpm.nd,_xlfn.TEXTSPLIT(IM16,"|"),IF(COLUMNS(_xlpm.nd)&gt;1,A16&amp;"¦"&amp;INDEX(_xlpm.nd,1)&amp;"¦"&amp;INDEX(_xlpm.nd,2),"")))</f>
        <v>ГРЩ-ЖД¦QF12¦кабель ВВГнг(А)-LS (5х10) → Щит бассейна ЩС-Б Подвальный этаж этаж Пом. №00.002Тб</v>
      </c>
      <c r="IO16" t="str">
        <f t="shared" si="116"/>
        <v>ЩС-Б¦Щит бассейна ЩС-Б Подвальный этаж этаж Пом. №00.002Тб</v>
      </c>
      <c r="IP16" t="str" cm="1">
        <f t="array" ref="IP16">IF(IM16="","",_xlfn.LET(_xlpm.nd,_xlfn.TEXTSPLIT(IM16,"|"),IF(COLUMNS(_xlpm.nd)&gt;2,A16&amp;"¦"&amp;INDEX(_xlpm.nd,2)&amp;"¦"&amp;INDEX(_xlpm.nd,3),"")))</f>
        <v/>
      </c>
      <c r="IQ16" t="str">
        <f t="shared" si="117"/>
        <v/>
      </c>
      <c r="IR16" t="str" cm="1">
        <f t="array" ref="IR16">IF(IM16="","",_xlfn.LET(_xlpm.nd,_xlfn.TEXTSPLIT(IM16,"|"),IF(COLUMNS(_xlpm.nd)&gt;3,A16&amp;"¦"&amp;INDEX(_xlpm.nd,3)&amp;"¦"&amp;INDEX(_xlpm.nd,4),"")))</f>
        <v/>
      </c>
      <c r="IS16" t="str">
        <f t="shared" si="118"/>
        <v/>
      </c>
      <c r="IT16" t="str" cm="1">
        <f t="array" ref="IT16">IF(IM16="","",_xlfn.LET(_xlpm.nd,_xlfn.TEXTSPLIT(IM16,"|"),IF(COLUMNS(_xlpm.nd)&gt;4,A16&amp;"¦"&amp;INDEX(_xlpm.nd,4)&amp;"¦"&amp;INDEX(_xlpm.nd,5),"")))</f>
        <v/>
      </c>
      <c r="IU16" t="str">
        <f t="shared" si="119"/>
        <v/>
      </c>
      <c r="IV16" t="str" cm="1">
        <f t="array" ref="IV16">IF(IM16="","",_xlfn.LET(_xlpm.nd,_xlfn.TEXTSPLIT(IM16,"|"),IF(COLUMNS(_xlpm.nd)&gt;5,A16&amp;"¦"&amp;INDEX(_xlpm.nd,5)&amp;"¦"&amp;INDEX(_xlpm.nd,6),"")))</f>
        <v/>
      </c>
      <c r="IW16" t="str">
        <f t="shared" si="120"/>
        <v/>
      </c>
      <c r="IX16" t="str" cm="1">
        <f t="array" ref="IX16">IF(IM16="","",_xlfn.LET(_xlpm.nd,_xlfn.TEXTSPLIT(IM16,"|"),IF(COLUMNS(_xlpm.nd)&gt;6,A16&amp;"¦"&amp;INDEX(_xlpm.nd,6)&amp;"¦"&amp;INDEX(_xlpm.nd,7),"")))</f>
        <v/>
      </c>
      <c r="IY16" t="str">
        <f t="shared" si="121"/>
        <v/>
      </c>
      <c r="IZ16" t="str">
        <f t="shared" si="122"/>
        <v/>
      </c>
      <c r="JA16" t="str">
        <f t="shared" si="123"/>
        <v>QF12</v>
      </c>
      <c r="JB16">
        <f t="shared" si="124"/>
        <v>0</v>
      </c>
      <c r="JC16">
        <f t="shared" si="125"/>
        <v>0</v>
      </c>
      <c r="JD16" t="str">
        <f t="shared" si="126"/>
        <v/>
      </c>
      <c r="JE16" t="str">
        <f t="shared" si="127"/>
        <v/>
      </c>
      <c r="JF16" t="str">
        <f t="shared" si="128"/>
        <v/>
      </c>
      <c r="JG16" t="str">
        <f t="shared" si="129"/>
        <v/>
      </c>
      <c r="JH16">
        <f>IF(B16="","",IFERROR(_xlfn.XLOOKUP(B16,Коды_код,Коды_уго),IFERROR(_xlfn.XLOOKUP(BC16,Коды_код,Коды_уго),IFERROR(_xlfn.XLOOKUP(LEFT(BC16,2),Коды_код,Коды_уго),""))))</f>
        <v>0</v>
      </c>
      <c r="JI16" t="str">
        <f>IF(B16="","",IF(OR(JH16="",JH16=0),"BOX",IFERROR(IF(VLOOKUP(JH16,УГО_блоки,3,FALSE)&amp;""&lt;&gt;"",VLOOKUP(JH16,УГО_блоки,3,FALSE),VLOOKUP(JH16,УГО_блоки,2,FALSE)),JH16)))</f>
        <v>BOX</v>
      </c>
      <c r="JJ16">
        <f t="shared" si="130"/>
        <v>1</v>
      </c>
      <c r="JK16" t="str">
        <f>IF(DQ16="","",IF(COUNTIF(DQ$3:DQ16,DQ16)=1,MAX(JK$2:JK15)+1,""))</f>
        <v/>
      </c>
      <c r="JL16" t="str">
        <f>IF(DE16="","",IF(COUNTIF(DE$3:DE16,DE16)+COUNTIF(DF$2:DF15,DE16)+COUNTIF(DG$2:DG15,DE16)=1,MAX(JL$2:JN15)+1,""))</f>
        <v/>
      </c>
      <c r="JM16" t="str">
        <f>IF(DF16="","",IF(COUNTIF(DE$3:DE16,DF16)+COUNTIF(DF$3:DF16,DF16)+COUNTIF(DG$2:DG15,DF16)=1,MAX(JL$2:JN15,JL16)+1,""))</f>
        <v/>
      </c>
      <c r="JN16" t="str">
        <f>IF(DG16="","",IF(COUNTIF(DE$3:DE16,DG16)+COUNTIF(DF$3:DF16,DG16)+COUNTIF(DG$3:DG16,DG16)=1,MAX(JL$2:JN15,JL16,JM16)+1,""))</f>
        <v/>
      </c>
      <c r="JO16" t="str">
        <f t="shared" si="131"/>
        <v>5х10</v>
      </c>
      <c r="JP16" t="str">
        <f>IF(JO16="","",IF(COUNTIF(JO$3:JO16,JO16)=1,MAX(JP$2:JP15)+1,""))</f>
        <v/>
      </c>
      <c r="JQ16" t="str">
        <f>IF(HG16="","",COUNTIF(HG$3:HG16,"?*"))</f>
        <v/>
      </c>
      <c r="JR16" t="str">
        <f>IF(OR(HG16="",HI16=""),"",IF(COUNTIFS(HG$3:HG16,"?*",HI$3:HI16,HI16)=1,MAX(JR$2:JR15)+1,""))</f>
        <v/>
      </c>
      <c r="JS16">
        <f t="shared" si="132"/>
        <v>0</v>
      </c>
      <c r="JT16">
        <f>IF(B16="","",COUNTIF(B$3:B16,"?*"))</f>
        <v>14</v>
      </c>
      <c r="JU16">
        <f>IF(HL16&lt;&gt;1,0,_xlfn.LET(_xlpm.k,MAX(IFERROR(--_xlfn.XLOOKUP(B16,Коды_код,Коды_3L),0),IFERROR(--_xlfn.XLOOKUP(BC16,Коды_код,Коды_3L),0),IFERROR(--_xlfn.XLOOKUP(LEFT(BC16,2),Коды_код,Коды_3L),0)),IF(_xlpm.k&gt;0,_xlpm.k,IF(IFERROR(--LEFT(SUBSTITUTE(JO16,"x","х"),FIND("х",SUBSTITUTE(JO16,"x","х"))-1),3)&gt;3,Каталог!$S$9,1))))</f>
        <v>1</v>
      </c>
      <c r="JV16">
        <f t="shared" si="133"/>
        <v>2</v>
      </c>
      <c r="JW16" t="str">
        <f t="shared" si="134"/>
        <v>авто</v>
      </c>
      <c r="JX16" t="str">
        <f t="shared" si="135"/>
        <v/>
      </c>
      <c r="JY16">
        <f t="shared" si="136"/>
        <v>0</v>
      </c>
      <c r="JZ16">
        <f t="shared" si="137"/>
        <v>1</v>
      </c>
    </row>
    <row r="17" spans="1:286" x14ac:dyDescent="0.3">
      <c r="A17" t="s">
        <v>783</v>
      </c>
      <c r="B17" t="s">
        <v>763</v>
      </c>
      <c r="C17" t="s">
        <v>762</v>
      </c>
      <c r="D17">
        <v>1</v>
      </c>
      <c r="E17">
        <v>3.8</v>
      </c>
      <c r="G17">
        <v>20</v>
      </c>
      <c r="H17" t="str">
        <f>Линии[[#This Row],[_авто управление]]</f>
        <v/>
      </c>
      <c r="I17" t="str">
        <f>Линии[[#This Row],[_авто аппараты]]</f>
        <v/>
      </c>
      <c r="J17">
        <v>4</v>
      </c>
      <c r="K17">
        <v>52</v>
      </c>
      <c r="L17" t="str">
        <f>Линии[[#This Row],[_авто фаза]]</f>
        <v>L3</v>
      </c>
      <c r="M17" t="s">
        <v>484</v>
      </c>
      <c r="N17" t="str">
        <f t="shared" si="0"/>
        <v/>
      </c>
      <c r="O17" s="6" cm="1">
        <f t="array" ref="O17">IF(B17="","",IF(BH17&lt;&gt;"",IFERROR(_xlfn.XLOOKUP(BH17,Щиты[Щит],Щиты[Iр, А]),""),IF(BP17=1,IF(OR(N(_xlfn.XLOOKUP(A17,Щиты[Щит],Щиты[Вводов],1))&lt;=1,LOWER(TRIM(_xlfn.XLOOKUP(A17,Щиты[Щит],Щиты[АВР],"")&amp;""))="да"),IFERROR(_xlfn.XLOOKUP(A17,Щиты[Щит],Щиты[Iр, А]),""),IFERROR(N(BS17)*_xlfn.XLOOKUP(A17,Щиты[Щит],Щиты[Кс итог])/(SQRT(3)*Uн_лин*_xlfn.XLOOKUP(A17,Щиты[Щит],Щиты[cos φ])),"")),IF(BV17=1,IFERROR(BS17*1000/BU17,""),IFERROR(_xlfn.IFS(BX17=1,BS17/((Uн_лин/SQRT(3))*CE17),BX17=3,BS17/(SQRT(3)*Uн_лин*CE17)),"")))))</f>
        <v>10.28405166994021</v>
      </c>
      <c r="P17" s="7">
        <f>IF(B17="","",IFERROR(IF(VLOOKUP(BC17,Потребители_обозначение,4,FALSE)=1,VLOOKUP(BC17,Потребители_обозначение,3,FALSE)*(MAX(1,N(D17))*2-1)+EI17+VLOOKUP(BE17,Этаж_обозначение,3,FALSE)+VLOOKUP(BE17,Этаж_обозначение,4,FALSE),VLOOKUP(BC17,Потребители_обозначение,3,FALSE)*(MAX(1,N(D17))*2-1)+EI17),EI17))</f>
        <v>52</v>
      </c>
      <c r="Q17" s="6">
        <f t="shared" si="1"/>
        <v>2.1199999999999997</v>
      </c>
      <c r="R17" t="str">
        <f t="shared" si="2"/>
        <v>ВВГнг(А)-LS (3х4)</v>
      </c>
      <c r="S17" t="str">
        <f>IF(BM17="","",IF(BN17="вводной узел","узел ","")&amp;"л."&amp;(INT((BM17-1)/Столбцов_на_лист)+1)&amp;" / "&amp;(MOD(BM17-1,Столбцов_на_лист)+1))</f>
        <v>л.2 / 12</v>
      </c>
      <c r="T17" s="119" t="str">
        <f t="shared" si="3"/>
        <v/>
      </c>
      <c r="U17" s="7" t="str">
        <f>IF(OR(CG17=0,N(BV17)+N(IB17)=0),"",ROUNDUP(Запас_БП*(N(HY17)+N(HZ17)),0))</f>
        <v/>
      </c>
      <c r="V17" s="119" t="str">
        <f t="shared" si="4"/>
        <v/>
      </c>
      <c r="W17" s="7" t="str">
        <f>IFERROR(IF(OR(B17="",BP17=1,BV17=1,NOT(ISNUMBER(EN17)),N(DT17)=0),"",MAX(0,ROUNDDOWN((c_min*(Uн_лин*1000/SQRT(3))/(HT17*N(DT17))-_xlfn.XLOOKUP(A17,Щиты[Щит],Щиты[Zпетли на шинах, Ом]))*EN17/(2*ρкз_Cu),0))),"")</f>
        <v/>
      </c>
      <c r="Y17" t="str">
        <f>Линии[[#This Row],[_авто утечка]]</f>
        <v/>
      </c>
      <c r="Z17">
        <v>1</v>
      </c>
      <c r="AA17">
        <v>230</v>
      </c>
      <c r="AB17" t="s">
        <v>598</v>
      </c>
      <c r="AC17">
        <v>0.5</v>
      </c>
      <c r="AE17">
        <v>2</v>
      </c>
      <c r="AG17" t="s">
        <v>850</v>
      </c>
      <c r="AI17" t="s">
        <v>604</v>
      </c>
      <c r="AK17" t="str">
        <f>Линии[[#This Row],[_авто модуль]]</f>
        <v/>
      </c>
      <c r="AM17">
        <v>29</v>
      </c>
      <c r="AN17" t="s">
        <v>11</v>
      </c>
      <c r="AO17">
        <v>3</v>
      </c>
      <c r="AQ17">
        <v>35</v>
      </c>
      <c r="AR17">
        <v>12</v>
      </c>
      <c r="AS17">
        <v>0</v>
      </c>
      <c r="BA17" cm="1">
        <f t="array" ref="BA17">ROW()-ROW(Линии[#Headers])</f>
        <v>15</v>
      </c>
      <c r="BC17" s="6" t="str">
        <f t="shared" si="5"/>
        <v>ЩС-ВК</v>
      </c>
      <c r="BD17" t="str">
        <f t="shared" si="6"/>
        <v>001</v>
      </c>
      <c r="BE17" t="str">
        <f t="shared" si="7"/>
        <v>001</v>
      </c>
      <c r="BF17" t="str">
        <f t="shared" si="8"/>
        <v/>
      </c>
      <c r="BG17" t="str">
        <f t="shared" si="9"/>
        <v/>
      </c>
      <c r="BH17" t="str">
        <f>IF(X17&lt;&gt;"",X17,IF(AND(B17&lt;&gt;"",B17&lt;&gt;A17,ISNUMBER(_xlfn.XMATCH(B17,Щиты[Щит]))),B17,""))</f>
        <v>ЩС-ВК.001</v>
      </c>
      <c r="BI17" t="str" cm="1">
        <f t="array" ref="BI17">IF(B17="","",IF(BH17&lt;&gt;"","Щит "&amp;BH17,_xlfn.LET(_xlpm.nm,IFERROR(_xlfn.XLOOKUP(BC17,Коды_код,Коды_имя)&amp;"",""),_xlpm.md,IFERROR(N(_xlfn.XLOOKUP(BC17,Коды_код,Коды_режим)),1),_xlpm.ex,IF(Имя_режим="по экспликации",IFERROR(_xlfn.XLOOKUP(BE17&amp;"|"&amp;BG17,Экспликация[Этаж]&amp;"|"&amp;Экспликация[Помещение],Экспликация[Название])&amp;"",""),""),_xlpm.rm,IF(BG17="","",IF(_xlpm.ex&lt;&gt;"",". "&amp;_xlpm.ex&amp;IF(Имя_пом="нет"," ("&amp;BG17&amp;")"," (пом. "&amp;BG17&amp;")"),IF(Имя_пом="нет"," ",", пом. ")&amp;BG17)),IF(_xlpm.nm="","",IF(_xlpm.md=2,_xlpm.nm&amp;" шлейф "&amp;BE17,_xlpm.nm&amp;_xlpm.rm)))))</f>
        <v>Щит ЩС-ВК.001</v>
      </c>
      <c r="BJ17" t="str">
        <f t="shared" si="10"/>
        <v>Щит дренажных насосов ЩС-ВК.001 Подвальный этаж этаж Пом. 00.002Т</v>
      </c>
      <c r="BK17">
        <f>IFERROR(_xlfn.XMATCH(A17,Щиты[Щит]),0)</f>
        <v>1</v>
      </c>
      <c r="BL17">
        <f>_xlfn.LET(_xlpm.k,IFERROR(_xlfn.XLOOKUP(A17,Щиты[Щит],Щиты[Мест под вводной узел]),""),IF(_xlpm.k="",Столбцов_на_лист,N(_xlpm.k)))</f>
        <v>6</v>
      </c>
      <c r="BM17">
        <f t="shared" si="11"/>
        <v>29</v>
      </c>
      <c r="BN17" t="str">
        <f t="shared" si="12"/>
        <v>линии</v>
      </c>
      <c r="BO17" s="6">
        <f>IFERROR(N(_xlfn.XLOOKUP(BC17,Коды_код,Коды_квт)),0)</f>
        <v>0</v>
      </c>
      <c r="BP17">
        <f t="shared" si="13"/>
        <v>0</v>
      </c>
      <c r="BQ17">
        <f>IF(B17="","",IF(BH17&lt;&gt;"",IFERROR(_xlfn.XLOOKUP(BH17,Щиты[Щит],Щиты[Руст, кВт]),0),IF(BP17=1,IF(OR(N(_xlfn.XLOOKUP(A17,Щиты[Щит],Щиты[Вводов],1))&lt;=1,LOWER(TRIM(_xlfn.XLOOKUP(A17,Щиты[Щит],Щиты[АВР],"")&amp;""))="да"),IFERROR(_xlfn.XLOOKUP(A17,Щиты[Щит],Щиты[Руст, кВт]),0),SUMIFS(Линии[_Р для вводов],Линии[Щит],A17,Линии[Источник для режимов],GF17)),IF(BO17&gt;0,ROUND(BO17*MAX(1,N(D17)),3),""))))</f>
        <v>3.8000000000000003</v>
      </c>
      <c r="BR17">
        <f t="shared" si="14"/>
        <v>3.8</v>
      </c>
      <c r="BS17" s="6">
        <f>IF(B17="","",IF(BH17&lt;&gt;"",IFERROR(_xlfn.XLOOKUP(BH17,Щиты[Щит],Щиты[Руст, кВт]),0),N(BR17)))</f>
        <v>3.8000000000000003</v>
      </c>
      <c r="BT17" t="str">
        <f>IF(B17="","",IFERROR(IF(VLOOKUP(BC17,Потребители_обозначение,8,FALSE)=0,"",VLOOKUP(BC17,Потребители_обозначение,8,FALSE)),""))</f>
        <v/>
      </c>
      <c r="BU17">
        <f t="shared" si="15"/>
        <v>230</v>
      </c>
      <c r="BV17">
        <f t="shared" si="16"/>
        <v>0</v>
      </c>
      <c r="BW17">
        <f>IF(B17="","",IF(BH17&lt;&gt;"",3,IFERROR(IF(N(VLOOKUP(BC17,Потребители_обозначение,9,FALSE))=0,1,VLOOKUP(BC17,Потребители_обозначение,9,FALSE)),1)))</f>
        <v>3</v>
      </c>
      <c r="BX17">
        <f t="shared" si="17"/>
        <v>1</v>
      </c>
      <c r="BY17" t="str">
        <f>IF(B17="","",_xlfn.LET(_xlpm.bc,IFERROR(IF(VLOOKUP(BC17,Потребители_обозначение,6,FALSE)=0,"",VLOOKUP(BC17,Потребители_обозначение,6,FALSE)&amp;""),""),IF(AND(GA17="да",OR(_xlpm.bc="",_xlpm.bc="мс")),Марка_пож,IF(AND(_xlpm.bc="",BH17&lt;&gt;""),"мс",_xlpm.bc))))</f>
        <v>мс</v>
      </c>
      <c r="BZ17" t="str">
        <f t="shared" si="18"/>
        <v>мс</v>
      </c>
      <c r="CA17">
        <f>IF(B17="","",_xlfn.LET(_xlpm.cc,IFERROR(N(VLOOKUP(BC17,Потребители_обозначение,7,FALSE)),0),IF(_xlpm.cc&gt;0,_xlpm.cc,IF(BZ17="","",IF(BV17=1,2,IF(N(BX17)=3,5,3))))))</f>
        <v>3</v>
      </c>
      <c r="CB17">
        <f t="shared" si="19"/>
        <v>3</v>
      </c>
      <c r="CC17">
        <f>IFERROR(N(VLOOKUP(BC17,Потребители_обозначение,10,FALSE)),0)</f>
        <v>0</v>
      </c>
      <c r="CD17">
        <f>IFERROR(VLOOKUP(BC17,Потребители_обозначение,5,FALSE),0)</f>
        <v>0</v>
      </c>
      <c r="CE17" s="6" cm="1">
        <f t="array" ref="CE17">IF(B17="","",IF(BH17&lt;&gt;"",IFERROR(_xlfn.XLOOKUP(BH17,Щиты[Щит],Щиты[cos φ]),0.95),IF(BP17=1,IFERROR(_xlfn.XLOOKUP(A17,Щиты[Щит],Щиты[cos φ]),0.95),IF(ISNUMBER(AD17),AD17,IFERROR(IF(CD17=2,_xlfn.IFS(BX17=3,VLOOKUP(BS17,Справочная_двигатели,8,FALSE),BX17=1,VLOOKUP(BS17,Справочная_двигатели,10,TRUE)),IF(AND(Методика="нормы 2026",FG17="Сил"),0.8,0.95)),0.95)))))</f>
        <v>0.79999999999999993</v>
      </c>
      <c r="CF17">
        <f t="shared" si="20"/>
        <v>0</v>
      </c>
      <c r="CG17">
        <f t="shared" si="21"/>
        <v>1</v>
      </c>
      <c r="CH17">
        <f t="shared" si="22"/>
        <v>0</v>
      </c>
      <c r="CI17">
        <f>IF(B17="","",IF(BV17=1,IFERROR(BS17/((Uн_лин/SQRT(3))*MAX(0.5,N(CE17))),0),N(O17)))</f>
        <v>10.28405166994021</v>
      </c>
      <c r="CJ17">
        <f t="shared" si="23"/>
        <v>0</v>
      </c>
      <c r="CK17">
        <f t="shared" si="24"/>
        <v>0</v>
      </c>
      <c r="CL17">
        <f t="shared" si="25"/>
        <v>0</v>
      </c>
      <c r="CM17">
        <f t="shared" si="26"/>
        <v>0</v>
      </c>
      <c r="CN17">
        <f t="shared" si="27"/>
        <v>0</v>
      </c>
      <c r="CO17">
        <f>IF(BC17="",0,_xlfn.LET(_xlpm.v,IFERROR(_xlfn.XLOOKUP(B17,Коды_код,Коды_мА),IFERROR(_xlfn.XLOOKUP(BC17,Коды_код,Коды_мА),IFERROR(_xlfn.XLOOKUP(LEFT(BC17,2),Коды_код,Коды_мА),""))),IF(_xlpm.v="да",30,IF(ISNUMBER(_xlpm.v),_xlpm.v,0))))</f>
        <v>0</v>
      </c>
      <c r="CP17" t="str">
        <f t="shared" si="28"/>
        <v/>
      </c>
      <c r="CQ17" t="str">
        <f>_xlfn.LET(_xlpm.k,IFERROR(_xlfn.XLOOKUP(BC17,Коды_код,Коды_утечка)&amp;"",""),IF(_xlpm.k="","дифавтомат",_xlpm.k))</f>
        <v>дифавтомат</v>
      </c>
      <c r="CR17" t="str" cm="1">
        <f t="array" ref="CR17">IF(CG17=0,"",_xlfn.LET(_xlpm.sg,TRIM(_xlfn.TEXTSPLIT(DD17&amp;"",";")),_xlpm.f_,_xlfn._xlws.FILTER(_xlpm.sg,LEFT(_xlpm.sg,3)="УЗО",""),IFERROR(INDEX(_xlpm.f_,1)&amp;"","")))</f>
        <v/>
      </c>
      <c r="CS17" t="str">
        <f t="shared" si="29"/>
        <v/>
      </c>
      <c r="CT17" s="6" t="str" cm="1">
        <f t="array" ref="CT17">IF(CR17="","",_xlfn.LET(_xlpm.tk,_xlfn.TEXTSPLIT(UPPER(CR17)," ",,TRUE),_xlpm.a_,_xlfn._xlws.FILTER(_xlpm.tk,ISNUMBER(--LEFT(_xlpm.tk,1))*((ISNUMBER(SEARCH("А",_xlpm.tk))+ISNUMBER(SEARCH("A",_xlpm.tk)))&gt;0)*NOT(ISNUMBER(SEARCH("МА",_xlpm.tk)))*NOT(ISNUMBER(SEARCH("MA",_xlpm.tk))),""),IFERROR(--SUBSTITUTE(SUBSTITUTE(INDEX(_xlpm.a_,1),"А",""),"A",""),"")))</f>
        <v/>
      </c>
      <c r="CU17" t="str" cm="1">
        <f t="array" ref="CU17">IF(CR17="","",_xlfn.LET(_xlpm.tk,_xlfn.TEXTSPLIT(UPPER(CR17)," ",,TRUE),_xlpm.a_,_xlfn._xlws.FILTER(_xlpm.tk,ISNUMBER(--LEFT(_xlpm.tk,1))*((ISNUMBER(SEARCH("МА",_xlpm.tk))+ISNUMBER(SEARCH("MA",_xlpm.tk)))&gt;0),""),IFERROR(--SUBSTITUTE(SUBSTITUTE(INDEX(_xlpm.a_,1),"МА",""),"MA",""),30)))</f>
        <v/>
      </c>
      <c r="CV17" t="str">
        <f>IF(CS17="","",IFERROR(_xlfn.XLOOKUP(CS17,Линии[_n],Линии[_УЗО, мА]),30))</f>
        <v/>
      </c>
      <c r="CW17">
        <f>IF(CS17="",0,IF(ISNUMBER(SEARCH("4P",IFERROR(_xlfn.XLOOKUP(CS17,Линии[_n],Линии[_УЗО строки])&amp;"",""))),0,1))</f>
        <v>0</v>
      </c>
      <c r="CX17" t="str">
        <f>IF(AND(CS17&lt;&gt;"",CS17=BA17),SUMIFS(Линии[_ток на 230 В],Линии[_блок УЗО],BA17,Линии[Щит],A17),"")</f>
        <v/>
      </c>
      <c r="CY17" t="str">
        <f>IF(AND(CS17&lt;&gt;"",CS17=BA17),SUMIFS(Линии[_ток утечки линии, мА],Линии[_блок УЗО],BA17,Линии[Щит],A17),"")</f>
        <v/>
      </c>
      <c r="CZ17">
        <f t="shared" si="30"/>
        <v>0</v>
      </c>
      <c r="DA17">
        <f t="shared" si="31"/>
        <v>0</v>
      </c>
      <c r="DB17">
        <f>IF(B17="",0,IFERROR(--_xlfn.XLOOKUP(B17,Коды_код,Коды_минавт),IFERROR(--_xlfn.XLOOKUP(BC17,Коды_код,Коды_минавт),IFERROR(--_xlfn.XLOOKUP(LEFT(BC17,2),Коды_код,Коды_минавт),0))))</f>
        <v>0</v>
      </c>
      <c r="DC17" t="str">
        <f>IF(B17="","",IFERROR(_xlfn.XLOOKUP(BC17,Коды_код,Коды_апп)&amp;"",""))</f>
        <v/>
      </c>
      <c r="DD17" t="str">
        <f t="shared" si="32"/>
        <v/>
      </c>
      <c r="DE17" t="str" cm="1">
        <f t="array" ref="DE17">IF(TRIM(DD17&amp;"")="","",IFERROR(TRIM(INDEX(_xlfn.TEXTSPLIT(DD17&amp;";;;",";"),1)),""))</f>
        <v/>
      </c>
      <c r="DF17" t="str" cm="1">
        <f t="array" ref="DF17">IF(TRIM(DD17&amp;"")="","",IFERROR(TRIM(INDEX(_xlfn.TEXTSPLIT(DD17&amp;";;;",";"),2)),""))</f>
        <v/>
      </c>
      <c r="DG17" t="str" cm="1">
        <f t="array" ref="DG17">IF(TRIM(DD17&amp;"")="","",IFERROR(TRIM(INDEX(_xlfn.TEXTSPLIT(DD17&amp;";;;",";"),3)),""))</f>
        <v/>
      </c>
      <c r="DH17">
        <f t="shared" si="33"/>
        <v>0</v>
      </c>
      <c r="DI17" t="str">
        <f>IF(B17="","",_xlfn.LET(_xlpm.t,LOWER(AZ17&amp;""),IF(ISNUMBER(SEARCH("dim",_xlpm.t)),"DIM",IF(ISNUMBER(SEARCH("dali",_xlpm.t)),"DALI",IF(OR(ISNUMBER(SEARCH("relay",_xlpm.t)),ISNUMBER(SEARCH("реле",_xlpm.t))),"Relay",IF(ISNUMBER(SEARCH("кнопк",_xlpm.t)),"",IFERROR(_xlfn.XLOOKUP(BC17,Коды_код,Коды_упр)&amp;"","")))))))</f>
        <v/>
      </c>
      <c r="DJ17" t="str">
        <f t="shared" si="34"/>
        <v/>
      </c>
      <c r="DK17">
        <f>IF(B17="","",_xlfn.LET(_xlpm.ig,IF(N(CX17)&gt;0,N(CX17),N(CI17)+IF(AJ17="вручную",0,N(CJ17))),_xlpm.n0,IFERROR(VLOOKUP(_xlpm.ig,Автомат_номиналы,2,TRUE),0),_xlpm.mn,MAX(DB17,IF(AJ17="вручную",0,N(CM17))),MAX(_xlpm.n0,_xlpm.mn,IF(DH17=1,Мин_автомат_БП,0))))</f>
        <v>16</v>
      </c>
      <c r="DL17">
        <f t="shared" si="35"/>
        <v>1</v>
      </c>
      <c r="DM17" t="str">
        <f t="shared" si="36"/>
        <v>1P</v>
      </c>
      <c r="DN17" t="str">
        <f>_xlfn.LET(_xlpm.cc,UPPER(TRIM(IFERROR(_xlfn.XLOOKUP(BC17,Коды_код,Коды_хар)&amp;"",""))),IF(OR(_xlpm.cc="B",_xlpm.cc="В"),"B",IF(_xlpm.cc="D","D","С")))</f>
        <v>С</v>
      </c>
      <c r="DO17" t="str">
        <f t="shared" si="37"/>
        <v>1P С16А</v>
      </c>
      <c r="DP17">
        <f t="shared" si="38"/>
        <v>20</v>
      </c>
      <c r="DQ17" t="str">
        <f t="shared" si="39"/>
        <v>1P С20А</v>
      </c>
      <c r="DR17" cm="1">
        <f t="array" ref="DR17">IF(DQ17="","",_xlfn.LET(_xlpm.t,SUBSTITUTE(SUBSTITUTE(SUBSTITUTE(UPPER(DQ17),"С","C"),"А","A"),"В","B"),_xlpm.tk,_xlfn.TEXTSPLIT(_xlpm.t," "),_xlpm.f,_xlfn._xlws.FILTER(_xlpm.tk,ISNUMBER(--MID(_xlpm.tk,2,1))*ISNUMBER(SEARCH(LEFT(_xlpm.tk,1)&amp;"#","B#C#D#"))*(LEN(_xlpm.tk)&gt;1),""),_xlpm.x,INDEX(_xlpm.f,1),IFERROR(--SUBSTITUTE(MID(_xlpm.x,2,9),"A",""),IFERROR(--SUBSTITUTE(INDEX(_xlfn._xlws.FILTER(_xlpm.tk,ISNUMBER(--SUBSTITUTE(_xlpm.tk,"A","")),""),1),"A",""),""))))</f>
        <v>20</v>
      </c>
      <c r="DS17" t="str">
        <f t="shared" si="40"/>
        <v>ok</v>
      </c>
      <c r="DT17">
        <f t="shared" si="41"/>
        <v>20</v>
      </c>
      <c r="DU17" t="str">
        <f t="shared" si="42"/>
        <v>1P С20А</v>
      </c>
      <c r="DV17">
        <f t="shared" si="43"/>
        <v>0</v>
      </c>
      <c r="DW17">
        <f t="shared" si="44"/>
        <v>0</v>
      </c>
      <c r="DX17">
        <f t="shared" si="45"/>
        <v>0</v>
      </c>
      <c r="DY17">
        <f t="shared" si="46"/>
        <v>10.28405166994021</v>
      </c>
      <c r="DZ17">
        <f t="shared" si="47"/>
        <v>1</v>
      </c>
      <c r="EA17">
        <f>IF(ISNUMBER(AP17),AP17,К_прокл)</f>
        <v>1</v>
      </c>
      <c r="EB17">
        <f t="shared" si="48"/>
        <v>2</v>
      </c>
      <c r="EC17">
        <f>IFERROR(N(VLOOKUP(BZ17,Кабель_обозначение,3,FALSE)),1)</f>
        <v>1</v>
      </c>
      <c r="ED17">
        <f>IFERROR(N(_xlfn.XLOOKUP(A17,Щиты[Щит],Щиты[ΔU до шин, %])),0)</f>
        <v>0</v>
      </c>
      <c r="EE17" t="str">
        <f>IFERROR(_xlfn.XLOOKUP(A17,Щиты[Щит],Щиты[Zпетли на шинах, Ом]),"")</f>
        <v/>
      </c>
      <c r="EF17">
        <f>IFERROR(N(_xlfn.XLOOKUP(A17,Щиты[Щит],Щиты[ΔU до шин (подбор), %])),0)</f>
        <v>0</v>
      </c>
      <c r="EG17" t="str">
        <f>IFERROR(_xlfn.XLOOKUP(A17,Щиты[Щит],Щиты[Zпетли на шинах (подбор), Ом]),"")</f>
        <v/>
      </c>
      <c r="EH17" t="str">
        <f t="shared" si="49"/>
        <v/>
      </c>
      <c r="EI17">
        <f t="shared" si="50"/>
        <v>52</v>
      </c>
      <c r="EJ17">
        <f t="shared" si="51"/>
        <v>2</v>
      </c>
      <c r="EK17">
        <f t="shared" si="52"/>
        <v>0.6</v>
      </c>
      <c r="EL17" s="6">
        <f>IF(B17="","",IF(BV17=1,dU_LED,IF(IFERROR(_xlfn.XLOOKUP(BC17,Коды_код,Коды_уго),"")="Светильник",3,4)+IF(Методика="нормы 2026",MIN(0.5,MAX(0,N(P17)-100)*0.005),0)))</f>
        <v>4</v>
      </c>
      <c r="EM17" cm="1">
        <f t="array" ref="EM17">IF(OR(B17="",BZ17="",EC17&lt;&gt;1),"",_xlfn.LET(_xlpm.sz,Iдоп_S,_xlpm.t_,CHOOSE(EB17,Iдоп_1ж,Iдоп_2ж,Iдоп_3ж)*DZ17*EA17,_xlpm.dcx,BV17=1,_xlpm.inn,IF(_xlpm.dcx,N(O17),N(DT17)),_xlpm.smin,MAX(1.5,CC17),_xlpm.L_,N(P17)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17)/N(BU17)*100,999),IFERROR(N(EJ17)*(_xlpm.rho*_xlpm.L_/_xlpm.sz*N(CE17)+_xlpm.xx*_xlpm.L_*N(EK17)/1000)*N(O17)/((Uн_лин/SQRT(3))*1000)*100,999)),_xlpm.kz,IF(OR(_xlpm.dcx,DW17=1,NOT(ISNUMBER(EG17)),_xlpm.L_=0,_xlpm.inn=0),1,IFERROR(--(c_min*(Uн_лин*1000/SQRT(3))/(EG17+2*ρкз_Cu*_xlpm.L_/_xlpm.sz)&gt;=HT17*_xlpm.inn),0)),_xlpm.ok,IFERROR((_xlpm.sz&gt;=_xlpm.smin)*(_xlpm.t_&gt;=_xlpm.inn)*IF(_xlpm.L_&gt;0,(_xlpm.du_+IF(_xlpm.dcx,0,EF17)&lt;=EL17+0.00001),1)*_xlpm.kz,0),_xlpm.r_,_xlfn._xlws.FILTER(_xlpm.sz,_xlpm.ok,"не подобрано"),INDEX(_xlpm.r_,1)))</f>
        <v>2.5</v>
      </c>
      <c r="EN17">
        <f t="shared" si="53"/>
        <v>4</v>
      </c>
      <c r="EO17" cm="1">
        <f t="array" ref="EO17">IF(OR(B17="",BZ17="",EC17&lt;&gt;1),"",_xlfn.LET(_xlpm.sz,Iдоп_S,_xlpm.t_,CHOOSE(EB17,Iдоп_1ж,Iдоп_2ж,Iдоп_3ж)*DZ17*EA17,_xlpm.ok,IFERROR((_xlpm.sz&gt;=MAX(1.5,CC17))*(_xlpm.t_&gt;=N(DT17)),0),_xlpm.r_,_xlfn._xlws.FILTER(_xlpm.sz,_xlpm.ok,""),INDEX(_xlpm.r_,1)))</f>
        <v>2.5</v>
      </c>
      <c r="EP17" s="6" cm="1">
        <f t="array" ref="EP17">IFERROR(ROUNDUP(N(EJ17)*(_xlfn.XLOOKUP(EO17,INDEX(Кабель_сопротивление,0,1),INDEX(Кабель_сопротивление,0,3))*N(P17)/EO17*N(CE17)+_xlfn.XLOOKUP(EO17,INDEX(Кабель_сопротивление,0,1),INDEX(Кабель_сопротивление,0,2))*N(P17)*N(EK17)/1000)*N(O17)/((Uн_лин/SQRT(3))*1000)*100,2),"")</f>
        <v>3.3699999999999997</v>
      </c>
      <c r="EQ17">
        <f>IFERROR(2*ρкз_Cu*N(P17)/EO17,"")</f>
        <v>1.0940799999999999</v>
      </c>
      <c r="ER17">
        <f>IFERROR(VLOOKUP(EN17,Кабель_сопротивление,3,FALSE),"")</f>
        <v>2.2499999999999999E-2</v>
      </c>
      <c r="ES17">
        <f>IFERROR(VLOOKUP(EN17,Кабель_сопротивление,2,FALSE),"")</f>
        <v>9.5000000000000001E-2</v>
      </c>
      <c r="ET17">
        <f t="shared" si="54"/>
        <v>12</v>
      </c>
      <c r="EU17">
        <f t="shared" si="55"/>
        <v>0</v>
      </c>
      <c r="EV17">
        <f t="shared" si="56"/>
        <v>4.8739000398314225</v>
      </c>
      <c r="EW17" s="6">
        <f>IFERROR(ROUNDUP(EV17/IF(BV17=1,BU17,(Uн_лин/SQRT(3))*1000)*100,2),"")</f>
        <v>2.1199999999999997</v>
      </c>
      <c r="EX17" t="str">
        <f>IFERROR(VLOOKUP(BZ17,Кабель_обозначение,2,FALSE),"")</f>
        <v>ВВГнг(А)-LS</v>
      </c>
      <c r="EY17" t="str">
        <f t="shared" si="57"/>
        <v>ВВГнг(А)-LS (3х4)</v>
      </c>
      <c r="EZ17" t="str">
        <f t="shared" si="58"/>
        <v>ВВГнг(А)-LS (3х4)
L=52-2,12%</v>
      </c>
      <c r="FA17">
        <f>IFERROR(2*ρкз_Cu*P17/EN17,"")</f>
        <v>0.68379999999999996</v>
      </c>
      <c r="FB17">
        <f t="shared" si="59"/>
        <v>0.22750000000000004</v>
      </c>
      <c r="FC17" s="6" t="str">
        <f>IFERROR(IF(OR(B17="",BV17=1,NOT(ISNUMBER(EN17)),N(P17)=0),"",_xlfn.XLOOKUP(A17,Щиты[Щит],Щиты[Zпетли на шинах, Ом])+FA17),"")</f>
        <v/>
      </c>
      <c r="FD17" s="6" t="str">
        <f>IF(ISNUMBER(FC17),c_min*(Uн_лин*1000/SQRT(3))/FC17,"")</f>
        <v/>
      </c>
      <c r="FE17" s="6" t="str">
        <f>IFERROR(IF(OR(B17="",NOT(ISNUMBER(EN17))),"",1.05*(Uн_лин*1000/SQRT(3))/(_xlfn.XLOOKUP(A17,Щиты[Щит],Щиты[Zmax на шинах, Ом])+FB17)/1000),"")</f>
        <v/>
      </c>
      <c r="FF17" s="6" t="str">
        <f>IF(B17="","",IF(ISNUMBER(AC17),"Сил",IF(IFERROR(_xlfn.XLOOKUP(BC17,Коды_код,Коды_группа)&amp;"","")="","Быт",_xlfn.XLOOKUP(BC17,Коды_код,Коды_группа)&amp;"")))</f>
        <v>Сил</v>
      </c>
      <c r="FG17" s="6" t="str">
        <f t="shared" si="60"/>
        <v>Щит</v>
      </c>
      <c r="FH17" s="6" t="str">
        <f>IF(FG17="Щит","щит",IF(FG17="","",IF(FG17="Быт",IFERROR(_xlfn.XLOOKUP(A17,Щиты[Щит],Щиты[Кс быт]),1),IF(FG17="Сил",IF(ISNUMBER(AC17),AC17,IF(Методика="нормы 2026",IFERROR(_xlfn.XLOOKUP(A17,Щиты[Щит],Щиты[Кс силовых (табл. 7.5)]),1),1)),IF(OR(FG17="Пост",FG17="Отоп"),1,IF(FG17="ВНГ",0.7,0))))))</f>
        <v>щит</v>
      </c>
      <c r="FI17">
        <f>IF(FG17="","",IF(AND(BP17=1,TRIM(AE17&amp;"")=""),IF(COUNTIFS(Линии[Щит],A17,Линии[Секция (1/2/3)],"&gt;=2")&gt;0,MIN(3,MAX(1,IFERROR(--BD17,1))),1),IFERROR(MIN(3,MAX(1,INT(--AE17))),1)))</f>
        <v>2</v>
      </c>
      <c r="FJ17">
        <f t="shared" si="61"/>
        <v>0</v>
      </c>
      <c r="FK17">
        <f t="shared" si="62"/>
        <v>0</v>
      </c>
      <c r="FL17">
        <f t="shared" si="63"/>
        <v>0</v>
      </c>
      <c r="FM17">
        <f t="shared" si="64"/>
        <v>0</v>
      </c>
      <c r="FN17">
        <f t="shared" si="65"/>
        <v>0</v>
      </c>
      <c r="FO17">
        <f t="shared" si="66"/>
        <v>0</v>
      </c>
      <c r="FP17">
        <f t="shared" si="67"/>
        <v>3.8000000000000003</v>
      </c>
      <c r="FQ17">
        <f t="shared" si="68"/>
        <v>0</v>
      </c>
      <c r="FR17">
        <f t="shared" si="69"/>
        <v>0</v>
      </c>
      <c r="FS17">
        <f>IF(CG17=1,IF(AND(CH17=1,CW17=1),0,IF(AND(CS17&lt;&gt;"",CS17=BA17,CW17=1),SUMIFS(Линии[_Р линии, кВт],Линии[_блок УЗО],BA17,Линии[Щит],A17),N(BS17)+IF(AJ17="вручную",0,N(CK17)))),0)</f>
        <v>3.8000000000000003</v>
      </c>
      <c r="FT17" t="str">
        <f t="shared" si="70"/>
        <v/>
      </c>
      <c r="FU17" t="str">
        <f>IF(B17="","",IF(CG17=0,IF(BA17=1,"",FW16),IF(AND(CH17=1,CW17=1,CS17&lt;&gt;""),IFERROR(_xlfn.XLOOKUP(CS17,Линии[_n],Линии[_фаза итог]),"L1"),IF(OR(N(DL17)&gt;=3,N(BX17)&gt;=3),"L1,L2,L3",IFERROR(_xlfn.TEXTBEFORE(_xlfn.TEXTAFTER(_xlfn.XLOOKUP(A17,Щиты[Щит],Щиты[_фазы авто]),";"&amp;BA17&amp;":"),";"),"L1")))))</f>
        <v>L3</v>
      </c>
      <c r="FV17" t="str">
        <f t="shared" si="71"/>
        <v>L3</v>
      </c>
      <c r="FW17" t="str">
        <f t="shared" si="72"/>
        <v>L3</v>
      </c>
      <c r="FX17" cm="1">
        <f t="array" ref="FX17">IFERROR(IF(CD17=2,_xlfn.IFS(BX17=3,VLOOKUP(BS17,Справочная_двигатели,3,FALSE),BX17=1,VLOOKUP(BS17,Справочная_двигатели,5,TRUE)),0),0)</f>
        <v>0</v>
      </c>
      <c r="FY17">
        <f>IFERROR(IF(CD17=3,VLOOKUP(BS17,Справочная_ЛЭД,2,TRUE),0),0)</f>
        <v>0</v>
      </c>
      <c r="FZ17" s="6">
        <f t="shared" si="73"/>
        <v>0</v>
      </c>
      <c r="GA17" t="str">
        <f>IF(B17="","",IF(TRIM(AH17&amp;"")&lt;&gt;"",IF(LOWER(TRIM(AH17&amp;""))="да","да","нет"),IF(IFERROR(_xlfn.XLOOKUP(BC17,Коды_код,Коды_пожарная),"")="да","да","нет")))</f>
        <v>нет</v>
      </c>
      <c r="GB17" t="str">
        <f t="shared" si="74"/>
        <v/>
      </c>
      <c r="GC17" t="str">
        <f t="shared" si="75"/>
        <v>основная</v>
      </c>
      <c r="GD17">
        <f>IF(AND(BP17=1,TRIM(AE17&amp;"")=""),IF(COUNTIFS(Линии[Щит],A17,Линии[Секция (1/2/3)],"&gt;=2")&gt;0,MIN(3,MAX(1,IFERROR(--BD17,1))),1),IFERROR(MIN(3,MAX(1,INT(--AE17))),1))</f>
        <v>2</v>
      </c>
      <c r="GE17" t="str" cm="1">
        <f t="array" ref="GE17">IF(B17="","",_xlfn.LET(_xlpm.t,IFERROR(_xlfn.XLOOKUP(1,(Шины[Шина]=GC17)*(((Шины[Щит]=A17)+(Шины[Щит]=""))&gt;0),Шины[Тип]),"")&amp;"",IF(_xlpm.t&lt;&gt;"",_xlpm.t,IF(ISNUMBER(SEARCH("ИБП",GC17)),"ИБП",IF(ISNUMBER(SEARCH("ДГУ",GC17)),"ДГУ","Ввод "&amp;GD17)))))</f>
        <v>Ввод 2</v>
      </c>
      <c r="GF17" t="str">
        <f t="shared" si="76"/>
        <v>Ввод 2</v>
      </c>
      <c r="GG17" t="str">
        <f>IF(BP17=0,"",IF(TRIM(AG17&amp;"")&lt;&gt;"",TRIM(AG17&amp;""),IF(OR(GE17="ИБП",GE17="ДГУ"),"I особая",_xlfn.XLOOKUP(A17,Щиты[Щит],Щиты[Категория шины «Ввод»],"III"))))</f>
        <v/>
      </c>
      <c r="GH17" t="str">
        <f>IF(A17="","",_xlfn.XLOOKUP(A17,Щиты[Щит],Щиты[Путь],""))</f>
        <v>|ГРЩ-ЖД|</v>
      </c>
      <c r="GI17" t="str">
        <f>IF(B17="","",IF(AI17&lt;&gt;"",AI17,IF(IFERROR(_xlfn.XLOOKUP(BC17,Коды_код,Коды_вид)&amp;"","")="","Прочее",_xlfn.XLOOKUP(BC17,Коды_код,Коды_вид)&amp;"")))</f>
        <v>Насосы (водоснабжение, дренаж)</v>
      </c>
      <c r="GJ17">
        <f>IF(BM17="","",INT((BM17-1)/Столбцов_на_лист)+1)</f>
        <v>2</v>
      </c>
      <c r="GK17" t="str">
        <f t="shared" si="77"/>
        <v>ВВГнг(А)-LS (3х4) L=52-2,12%</v>
      </c>
      <c r="GL17">
        <f t="shared" si="78"/>
        <v>3.8000000000000003</v>
      </c>
      <c r="GM17">
        <f t="shared" si="79"/>
        <v>10.29</v>
      </c>
      <c r="GN17">
        <f t="shared" si="80"/>
        <v>1</v>
      </c>
      <c r="GO17">
        <f t="shared" si="81"/>
        <v>0</v>
      </c>
      <c r="GP17">
        <f t="shared" si="82"/>
        <v>1</v>
      </c>
      <c r="GQ17">
        <f>IF(BM17="","",IF(AND(CG17=1,GP17=1),COUNTIFS(A$3:A17,A17,CG$3:CG17,1,GP$3:GP17,1),IF(OR(OR(BA17=1,A17&lt;&gt;A16),AJ17="вручную",GP17=0),"",IF(BA17=1,"",GR16))))</f>
        <v>13</v>
      </c>
      <c r="GR17">
        <f t="shared" si="83"/>
        <v>13</v>
      </c>
      <c r="GS17">
        <f>IF(B17="","",IFERROR(LOOKUP(INDEX(CHOOSE(EB17,Iдоп_1ж,Iдоп_2ж,Iдоп_3ж),MATCH(EN17,Iдоп_S,0))*DZ17*EA17,{6,10,16,20,25,32,40,50,63,80,100,125,160,200,250,315,400,500,630}),""))</f>
        <v>32</v>
      </c>
      <c r="GT17" t="str">
        <f t="shared" si="84"/>
        <v>QF13</v>
      </c>
      <c r="GU17" t="str">
        <f t="shared" si="85"/>
        <v>QF13</v>
      </c>
      <c r="GV17" t="str">
        <f t="shared" si="86"/>
        <v/>
      </c>
      <c r="GW17">
        <f t="shared" si="87"/>
        <v>0</v>
      </c>
      <c r="GX17" t="str">
        <f>IF(OR(B17="",DJ17=""),"",IFERROR(_xlfn.XLOOKUP(DJ17,Модули_умолч[Управление],Модули_умолч[Модель])&amp;"",""))</f>
        <v/>
      </c>
      <c r="GY17">
        <f>IF(DJ17="",1,IFERROR(MAX(0,N(_xlfn.XLOOKUP(DJ17,Модули_умолч[Управление],Модули_умолч[Каналов на линию]))),1))</f>
        <v>1</v>
      </c>
      <c r="GZ17" t="str">
        <f t="shared" si="88"/>
        <v/>
      </c>
      <c r="HA17" t="str">
        <f t="shared" si="89"/>
        <v/>
      </c>
      <c r="HB17" t="str">
        <f t="shared" si="90"/>
        <v/>
      </c>
      <c r="HC17">
        <f>IF(HB17="",0,IFERROR(N(VLOOKUP(HB17,Модули_спр,3,FALSE)),0))</f>
        <v>0</v>
      </c>
      <c r="HD17" t="str">
        <f t="shared" si="91"/>
        <v/>
      </c>
      <c r="HE17" t="str">
        <f t="shared" si="92"/>
        <v/>
      </c>
      <c r="HF17" t="str">
        <f>IF(OR(HE17="",HE17="-"),"",IFERROR(VLOOKUP(HE17,Модули_спр,2,FALSE),"R"))</f>
        <v/>
      </c>
      <c r="HG17" t="str">
        <f>IF(HF17="","",HF17&amp;"."&amp;COUNTIFS(A$3:A17,A17,HF$3:HF17,HF17))</f>
        <v/>
      </c>
      <c r="HH17" t="str">
        <f t="shared" si="93"/>
        <v/>
      </c>
      <c r="HI17" t="str">
        <f t="shared" si="94"/>
        <v/>
      </c>
      <c r="HJ17" t="str">
        <f t="shared" si="95"/>
        <v/>
      </c>
      <c r="HK17" t="str">
        <f t="shared" si="96"/>
        <v/>
      </c>
      <c r="HL17">
        <f t="shared" si="97"/>
        <v>1</v>
      </c>
      <c r="HM17" t="str">
        <f>IF(HL17=1,"XT"&amp;COUNTIFS(A$3:A17,A17,HL$3:HL17,1),"")</f>
        <v>XT12</v>
      </c>
      <c r="HN17" t="str">
        <f t="shared" si="98"/>
        <v/>
      </c>
      <c r="HO17" t="str">
        <f t="shared" si="99"/>
        <v>QF13</v>
      </c>
      <c r="HP17" t="str">
        <f t="shared" si="100"/>
        <v/>
      </c>
      <c r="HQ17" t="str">
        <f t="shared" si="101"/>
        <v>ok</v>
      </c>
      <c r="HR17" t="str">
        <f>IF(OR(HJ17="",HH17=""),"",IF(HJ17+MAX(0,GY17-1)&gt;IFERROR(VLOOKUP(HI17,Модули_спр,3,FALSE),99),"ЛИШНИЙ КАНАЛ",IF(AND(AL17&lt;&gt;"=",GY17&gt;0,COUNTIFS(Линии[_модуль гр.],HH17,Линии[Канал (итог)],HJ17,Линии[Канал],"&lt;&gt;=",Линии[Щит],A17)&gt;1),"ДУБЛЬ КАНАЛА","")))</f>
        <v/>
      </c>
      <c r="HS17" s="6" t="str">
        <f t="shared" si="102"/>
        <v/>
      </c>
      <c r="HT17">
        <f t="shared" si="103"/>
        <v>10</v>
      </c>
      <c r="HU17" t="str">
        <f t="shared" si="104"/>
        <v/>
      </c>
      <c r="HV17">
        <f t="shared" si="105"/>
        <v>0</v>
      </c>
      <c r="HW17">
        <f t="shared" si="106"/>
        <v>0</v>
      </c>
      <c r="HX17">
        <f t="shared" si="107"/>
        <v>0</v>
      </c>
      <c r="HY17">
        <f t="shared" si="108"/>
        <v>0</v>
      </c>
      <c r="HZ17">
        <f t="shared" si="109"/>
        <v>0</v>
      </c>
      <c r="IA17">
        <f t="shared" si="110"/>
        <v>0</v>
      </c>
      <c r="IB17">
        <f t="shared" si="111"/>
        <v>0</v>
      </c>
      <c r="IC17" t="str">
        <f t="shared" si="112"/>
        <v/>
      </c>
      <c r="ID17" t="str" cm="1">
        <f t="array" ref="ID17">IF(IC17="","",_xlfn.LET(_xlpm.tk,_xlfn.TEXTSPLIT(SUBSTITUTE(SUBSTITUTE(IC17,";"," "),"→"," ")," ",,TRUE),_xlpm.w_,_xlfn._xlws.FILTER(_xlpm.tk,ISNUMBER(--LEFT(_xlpm.tk,1))*((ISNUMBER(SEARCH("W",_xlpm.tk))+ISNUMBER(SEARCH("Вт",_xlpm.tk)))&gt;0),""),IFERROR(--SUBSTITUTE(SUBSTITUTE(UPPER(INDEX(_xlpm.w_,1)),"W",""),"ВТ",""),"")))</f>
        <v/>
      </c>
      <c r="IE17" t="str" cm="1">
        <f t="array" ref="IE17">IF(IC17="","",_xlfn.LET(_xlpm.tk,_xlfn.TEXTSPLIT(SUBSTITUTE(SUBSTITUTE(IC17,";"," "),"→"," ")," ",,TRUE),_xlpm.v_,_xlfn._xlws.FILTER(_xlpm.tk,ISNUMBER(--LEFT(_xlpm.tk,1))*((ISNUMBER(SEARCH("V",_xlpm.tk))+(RIGHT(UPPER(_xlpm.tk))="В"))&gt;0),""),IFERROR(--SUBSTITUTE(SUBSTITUTE(UPPER(INDEX(_xlpm.v_,1)),"V",""),"В",""),"")))</f>
        <v/>
      </c>
      <c r="IF17" s="6" t="str">
        <f>IF(OR(BV17=0,HI17="",HJ17=""),"",IFERROR(N(_xlfn.XLOOKUP(HI17,Каталог!$C$4:$C$500,Каталог!$Q$4:$Q$500)),""))</f>
        <v/>
      </c>
      <c r="IG17" s="6" t="str">
        <f>IF(N(IF17)=0,"",SUMIFS(Линии[Iр, А],Линии[Щит],A17,Линии[_модуль гр.],HH17,Линии[Канал (итог)],HJ17))</f>
        <v/>
      </c>
      <c r="IH17" t="str">
        <f>IF(AND(B17="",HO17=""),"",_xlfn.TEXTJOIN("; ",TRUE,IF(AND(B17&lt;&gt;"",FV17=""),"нет фазы",""),IF(AND(B17&lt;&gt;"",N(GL17)=0,FG17&lt;&gt;"Нет"),"нет мощности",""),IF(AND(HN17&lt;&gt;"",COUNTIFS(Линии[Щит],A17,Линии[Клемма (итог)],HN17)&gt;1),"дубль клеммы "&amp;HN17,""),IF(AND(HQ17&lt;&gt;"",HQ17&lt;&gt;"ok"),HQ17,""),IF(HR17&lt;&gt;"",HR17,""),IF(AND(N(CB17)&gt;=4,N(BX17)=1),CB17&amp;" жил на 1 фазе",""),IF(AND(BC17="R",CG17=1,IF(CS17&lt;&gt;"",N(CV17)&gt;30,OR(N(DA17)=0,N(DA17)&gt;30))),"розетка без дифзащиты до 30 мА",""),IF(AND(CG17=1,N(DA17)&gt;0,ISNUMBER(T17)),IF(T17&gt;N(DA17)/3,"ток утечки "&amp;FIXED(T17,1)&amp;" мА &gt; 1/3 уставки ("&amp;DA17&amp;" мА)",""),""),IF(AND(CH17=1,CS17=""),"«узо»: нет строки с УЗО выше (УЗО 2P 40А 30мА в «Аппаратах»)",""),IF(AND(CS17&lt;&gt;"",CS17=BA17),IF(CT17="","впишите номинал УЗО (УЗО 2P 40А 30мА)",IF(N(CT17)&lt;N(DT17),"УЗО "&amp;CT17&amp;" А &lt; автомата "&amp;DT17&amp;" А перед ним",IF(N(CT17)&lt;N(CX17),"УЗО "&amp;CT17&amp;" А &lt; тока блока "&amp;FIXED(CX17,1)&amp;" А",""))),""),IF(AND(CS17&lt;&gt;"",CS17=BA17,ISNUMBER(CY17)),IF(CY17&gt;N(CV17)/3,"ток утечки блока УЗО "&amp;FIXED(CY17,1)&amp;" мА &gt; 1/3 уставки ("&amp;CV17&amp;" мА)",""),""),IF(AND(CG17=1,N(BV17)+N(IB17)&gt;0,IC17=""),"линии до 50 В без БП: впишите в «Аппараты» (БП 24V 480W)",""),IF(AND(CG17=1,ISNUMBER(ID17),ISNUMBER(U17)),IF(U17&gt;ID17,"БП "&amp;ID17&amp;" Вт &lt; нужно "&amp;U17&amp;" Вт (×"&amp;Запас_БП&amp;")",""),""),IF(AND(CG17=1,ISNUMBER(IE17),N(BV17)=1),IF(IE17&lt;&gt;N(BU17),"БП на "&amp;IE17&amp;" В, линия "&amp;BU17&amp;" В",""),""),IF(AND(N(IF17)&gt;0,N(IG17)&gt;N(IF17)),HH17&amp;" канал "&amp;HJ17&amp;": "&amp;FIXED(IG17,1)&amp;" А &gt; "&amp;IF17&amp;" А",""),IFERROR(IF(AND(ISNUMBER(Q17),Q17&gt;EL17),"потери "&amp;FIXED(Q17,1)&amp;" % &gt; "&amp;EL17&amp;" %",""),""),IFERROR(IF(LEFT(HU17,4)="мало","Iкз мало — отключение &gt; 0,4 с",""),""),IF(AND(B17&lt;&gt;"",BM17=""),"не на схеме",""),IF(AND(CG17=0,B17&lt;&gt;"",FV17&lt;&gt;"",IF(BA17=1,"",FW16)&lt;&gt;"",FV17&lt;&gt;IF(BA17=1,"",FW16)),"фаза не как у автомата группы ("&amp;IF(BA17=1,"",FW16)&amp;")","")))</f>
        <v/>
      </c>
      <c r="II17" s="6" t="str">
        <f>IF(OR(CG17=0,DQ17=""),"",_xlfn.LET(_xlpm.t,IFERROR(_xlfn.XLOOKUP(DQ17,Каталог!$U$4:$U$500,Каталог!$G$4:$G$500),""),_xlpm.k,SEARCH("кА",_xlpm.t),IFERROR(--TRIM(RIGHT(SUBSTITUTE(MID(_xlpm.t,MAX(1,_xlpm.k-4),_xlpm.k-MAX(1,_xlpm.k-4))," ",REPT(" ",9)),5)),"")))</f>
        <v/>
      </c>
      <c r="IJ17" t="str">
        <f>IF(OR(II17="",CG17=0),"",IF(_xlfn.XLOOKUP(A17,Щиты[Щит],Щиты[Iкз max на шинах, кА],"")="","",IF(II17&lt;_xlfn.XLOOKUP(A17,Щиты[Щит],Щиты[Iкз max на шинах, кА]),"Icu "&amp;II17&amp;" кА &lt; Iкз max","ok")))</f>
        <v/>
      </c>
      <c r="IK17" t="str">
        <f t="shared" si="113"/>
        <v/>
      </c>
      <c r="IL17" t="str">
        <f t="shared" si="114"/>
        <v>QF13</v>
      </c>
      <c r="IM17" t="str">
        <f t="shared" si="115"/>
        <v>QF13|кабель ВВГнг(А)-LS (3х4) → Щит дренажных насосов ЩС-ВК.001 Подвальный этаж этаж Пом. 00.002Т</v>
      </c>
      <c r="IN17" t="str" cm="1">
        <f t="array" ref="IN17">IF(IM17="","",_xlfn.LET(_xlpm.nd,_xlfn.TEXTSPLIT(IM17,"|"),IF(COLUMNS(_xlpm.nd)&gt;1,A17&amp;"¦"&amp;INDEX(_xlpm.nd,1)&amp;"¦"&amp;INDEX(_xlpm.nd,2),"")))</f>
        <v>ГРЩ-ЖД¦QF13¦кабель ВВГнг(А)-LS (3х4) → Щит дренажных насосов ЩС-ВК.001 Подвальный этаж этаж Пом. 00.002Т</v>
      </c>
      <c r="IO17" t="str">
        <f t="shared" si="116"/>
        <v>ЩС-ВК.001¦Щит дренажных насосов ЩС-ВК.001 Подвальный этаж этаж Пом. 00.002Т</v>
      </c>
      <c r="IP17" t="str" cm="1">
        <f t="array" ref="IP17">IF(IM17="","",_xlfn.LET(_xlpm.nd,_xlfn.TEXTSPLIT(IM17,"|"),IF(COLUMNS(_xlpm.nd)&gt;2,A17&amp;"¦"&amp;INDEX(_xlpm.nd,2)&amp;"¦"&amp;INDEX(_xlpm.nd,3),"")))</f>
        <v/>
      </c>
      <c r="IQ17" t="str">
        <f t="shared" si="117"/>
        <v/>
      </c>
      <c r="IR17" t="str" cm="1">
        <f t="array" ref="IR17">IF(IM17="","",_xlfn.LET(_xlpm.nd,_xlfn.TEXTSPLIT(IM17,"|"),IF(COLUMNS(_xlpm.nd)&gt;3,A17&amp;"¦"&amp;INDEX(_xlpm.nd,3)&amp;"¦"&amp;INDEX(_xlpm.nd,4),"")))</f>
        <v/>
      </c>
      <c r="IS17" t="str">
        <f t="shared" si="118"/>
        <v/>
      </c>
      <c r="IT17" t="str" cm="1">
        <f t="array" ref="IT17">IF(IM17="","",_xlfn.LET(_xlpm.nd,_xlfn.TEXTSPLIT(IM17,"|"),IF(COLUMNS(_xlpm.nd)&gt;4,A17&amp;"¦"&amp;INDEX(_xlpm.nd,4)&amp;"¦"&amp;INDEX(_xlpm.nd,5),"")))</f>
        <v/>
      </c>
      <c r="IU17" t="str">
        <f t="shared" si="119"/>
        <v/>
      </c>
      <c r="IV17" t="str" cm="1">
        <f t="array" ref="IV17">IF(IM17="","",_xlfn.LET(_xlpm.nd,_xlfn.TEXTSPLIT(IM17,"|"),IF(COLUMNS(_xlpm.nd)&gt;5,A17&amp;"¦"&amp;INDEX(_xlpm.nd,5)&amp;"¦"&amp;INDEX(_xlpm.nd,6),"")))</f>
        <v/>
      </c>
      <c r="IW17" t="str">
        <f t="shared" si="120"/>
        <v/>
      </c>
      <c r="IX17" t="str" cm="1">
        <f t="array" ref="IX17">IF(IM17="","",_xlfn.LET(_xlpm.nd,_xlfn.TEXTSPLIT(IM17,"|"),IF(COLUMNS(_xlpm.nd)&gt;6,A17&amp;"¦"&amp;INDEX(_xlpm.nd,6)&amp;"¦"&amp;INDEX(_xlpm.nd,7),"")))</f>
        <v/>
      </c>
      <c r="IY17" t="str">
        <f t="shared" si="121"/>
        <v/>
      </c>
      <c r="IZ17" t="str">
        <f t="shared" si="122"/>
        <v/>
      </c>
      <c r="JA17" t="str">
        <f t="shared" si="123"/>
        <v>QF13</v>
      </c>
      <c r="JB17">
        <f t="shared" si="124"/>
        <v>0</v>
      </c>
      <c r="JC17">
        <f t="shared" si="125"/>
        <v>0</v>
      </c>
      <c r="JD17" t="str">
        <f t="shared" si="126"/>
        <v/>
      </c>
      <c r="JE17" t="str">
        <f t="shared" si="127"/>
        <v/>
      </c>
      <c r="JF17" t="str">
        <f t="shared" si="128"/>
        <v/>
      </c>
      <c r="JG17" t="str">
        <f t="shared" si="129"/>
        <v/>
      </c>
      <c r="JH17">
        <f>IF(B17="","",IFERROR(_xlfn.XLOOKUP(B17,Коды_код,Коды_уго),IFERROR(_xlfn.XLOOKUP(BC17,Коды_код,Коды_уго),IFERROR(_xlfn.XLOOKUP(LEFT(BC17,2),Коды_код,Коды_уго),""))))</f>
        <v>0</v>
      </c>
      <c r="JI17" t="str">
        <f>IF(B17="","",IF(OR(JH17="",JH17=0),"BOX",IFERROR(IF(VLOOKUP(JH17,УГО_блоки,3,FALSE)&amp;""&lt;&gt;"",VLOOKUP(JH17,УГО_блоки,3,FALSE),VLOOKUP(JH17,УГО_блоки,2,FALSE)),JH17)))</f>
        <v>BOX</v>
      </c>
      <c r="JJ17">
        <f t="shared" si="130"/>
        <v>1</v>
      </c>
      <c r="JK17">
        <f>IF(DQ17="","",IF(COUNTIF(DQ$3:DQ17,DQ17)=1,MAX(JK$2:JK16)+1,""))</f>
        <v>10</v>
      </c>
      <c r="JL17" t="str">
        <f>IF(DE17="","",IF(COUNTIF(DE$3:DE17,DE17)+COUNTIF(DF$2:DF16,DE17)+COUNTIF(DG$2:DG16,DE17)=1,MAX(JL$2:JN16)+1,""))</f>
        <v/>
      </c>
      <c r="JM17" t="str">
        <f>IF(DF17="","",IF(COUNTIF(DE$3:DE17,DF17)+COUNTIF(DF$3:DF17,DF17)+COUNTIF(DG$2:DG16,DF17)=1,MAX(JL$2:JN16,JL17)+1,""))</f>
        <v/>
      </c>
      <c r="JN17" t="str">
        <f>IF(DG17="","",IF(COUNTIF(DE$3:DE17,DG17)+COUNTIF(DF$3:DF17,DG17)+COUNTIF(DG$3:DG17,DG17)=1,MAX(JL$2:JN16,JL17,JM17)+1,""))</f>
        <v/>
      </c>
      <c r="JO17" t="str">
        <f t="shared" si="131"/>
        <v>3х4</v>
      </c>
      <c r="JP17">
        <f>IF(JO17="","",IF(COUNTIF(JO$3:JO17,JO17)=1,MAX(JP$2:JP16)+1,""))</f>
        <v>7</v>
      </c>
      <c r="JQ17" t="str">
        <f>IF(HG17="","",COUNTIF(HG$3:HG17,"?*"))</f>
        <v/>
      </c>
      <c r="JR17" t="str">
        <f>IF(OR(HG17="",HI17=""),"",IF(COUNTIFS(HG$3:HG17,"?*",HI$3:HI17,HI17)=1,MAX(JR$2:JR16)+1,""))</f>
        <v/>
      </c>
      <c r="JS17">
        <f t="shared" si="132"/>
        <v>0</v>
      </c>
      <c r="JT17">
        <f>IF(B17="","",COUNTIF(B$3:B17,"?*"))</f>
        <v>15</v>
      </c>
      <c r="JU17">
        <f>IF(HL17&lt;&gt;1,0,_xlfn.LET(_xlpm.k,MAX(IFERROR(--_xlfn.XLOOKUP(B17,Коды_код,Коды_3L),0),IFERROR(--_xlfn.XLOOKUP(BC17,Коды_код,Коды_3L),0),IFERROR(--_xlfn.XLOOKUP(LEFT(BC17,2),Коды_код,Коды_3L),0)),IF(_xlpm.k&gt;0,_xlpm.k,IF(IFERROR(--LEFT(SUBSTITUTE(JO17,"x","х"),FIND("х",SUBSTITUTE(JO17,"x","х"))-1),3)&gt;3,Каталог!$S$9,1))))</f>
        <v>1</v>
      </c>
      <c r="JV17">
        <f t="shared" si="133"/>
        <v>0</v>
      </c>
      <c r="JW17" t="str">
        <f t="shared" si="134"/>
        <v>авто</v>
      </c>
      <c r="JX17" t="str">
        <f t="shared" si="135"/>
        <v/>
      </c>
      <c r="JY17">
        <f t="shared" si="136"/>
        <v>0</v>
      </c>
      <c r="JZ17">
        <f t="shared" si="137"/>
        <v>1</v>
      </c>
    </row>
    <row r="18" spans="1:286" x14ac:dyDescent="0.3">
      <c r="A18" t="s">
        <v>783</v>
      </c>
      <c r="B18" t="s">
        <v>765</v>
      </c>
      <c r="C18" t="s">
        <v>764</v>
      </c>
      <c r="D18">
        <v>1</v>
      </c>
      <c r="E18">
        <v>2.4</v>
      </c>
      <c r="G18">
        <v>16</v>
      </c>
      <c r="H18" t="str">
        <f>Линии[[#This Row],[_авто управление]]</f>
        <v/>
      </c>
      <c r="I18" t="str">
        <f>Линии[[#This Row],[_авто аппараты]]</f>
        <v/>
      </c>
      <c r="J18">
        <v>4</v>
      </c>
      <c r="K18">
        <v>51</v>
      </c>
      <c r="L18" t="str">
        <f>Линии[[#This Row],[_авто фаза]]</f>
        <v>L3</v>
      </c>
      <c r="M18" t="s">
        <v>484</v>
      </c>
      <c r="N18" t="str">
        <f t="shared" si="0"/>
        <v/>
      </c>
      <c r="O18" s="6" cm="1">
        <f t="array" ref="O18">IF(B18="","",IF(BH18&lt;&gt;"",IFERROR(_xlfn.XLOOKUP(BH18,Щиты[Щит],Щиты[Iр, А]),""),IF(BP18=1,IF(OR(N(_xlfn.XLOOKUP(A18,Щиты[Щит],Щиты[Вводов],1))&lt;=1,LOWER(TRIM(_xlfn.XLOOKUP(A18,Щиты[Щит],Щиты[АВР],"")&amp;""))="да"),IFERROR(_xlfn.XLOOKUP(A18,Щиты[Щит],Щиты[Iр, А]),""),IFERROR(N(BS18)*_xlfn.XLOOKUP(A18,Щиты[Щит],Щиты[Кс итог])/(SQRT(3)*Uн_лин*_xlfn.XLOOKUP(A18,Щиты[Щит],Щиты[cos φ])),"")),IF(BV18=1,IFERROR(BS18*1000/BU18,""),IFERROR(_xlfn.IFS(BX18=1,BS18/((Uн_лин/SQRT(3))*CE18),BX18=3,BS18/(SQRT(3)*Uн_лин*CE18)),"")))))</f>
        <v>9.0932667397366043</v>
      </c>
      <c r="P18" s="7">
        <f>IF(B18="","",IFERROR(IF(VLOOKUP(BC18,Потребители_обозначение,4,FALSE)=1,VLOOKUP(BC18,Потребители_обозначение,3,FALSE)*(MAX(1,N(D18))*2-1)+EI18+VLOOKUP(BE18,Этаж_обозначение,3,FALSE)+VLOOKUP(BE18,Этаж_обозначение,4,FALSE),VLOOKUP(BC18,Потребители_обозначение,3,FALSE)*(MAX(1,N(D18))*2-1)+EI18),EI18))</f>
        <v>51</v>
      </c>
      <c r="Q18" s="6">
        <f t="shared" si="1"/>
        <v>1.84</v>
      </c>
      <c r="R18" t="str">
        <f t="shared" si="2"/>
        <v>ВВГнг(А)-LS (3х4)</v>
      </c>
      <c r="S18" t="str">
        <f>IF(BM18="","",IF(BN18="вводной узел","узел ","")&amp;"л."&amp;(INT((BM18-1)/Столбцов_на_лист)+1)&amp;" / "&amp;(MOD(BM18-1,Столбцов_на_лист)+1))</f>
        <v>л.2 / 13</v>
      </c>
      <c r="T18" s="119" t="str">
        <f t="shared" si="3"/>
        <v/>
      </c>
      <c r="U18" s="7" t="str">
        <f>IF(OR(CG18=0,N(BV18)+N(IB18)=0),"",ROUNDUP(Запас_БП*(N(HY18)+N(HZ18)),0))</f>
        <v/>
      </c>
      <c r="V18" s="119" t="str">
        <f t="shared" si="4"/>
        <v/>
      </c>
      <c r="W18" s="7" t="str">
        <f>IFERROR(IF(OR(B18="",BP18=1,BV18=1,NOT(ISNUMBER(EN18)),N(DT18)=0),"",MAX(0,ROUNDDOWN((c_min*(Uн_лин*1000/SQRT(3))/(HT18*N(DT18))-_xlfn.XLOOKUP(A18,Щиты[Щит],Щиты[Zпетли на шинах, Ом]))*EN18/(2*ρкз_Cu),0))),"")</f>
        <v/>
      </c>
      <c r="Y18" t="str">
        <f>Линии[[#This Row],[_авто утечка]]</f>
        <v/>
      </c>
      <c r="Z18">
        <v>1</v>
      </c>
      <c r="AA18">
        <v>230</v>
      </c>
      <c r="AB18" t="s">
        <v>598</v>
      </c>
      <c r="AC18">
        <v>0.7</v>
      </c>
      <c r="AE18">
        <v>2</v>
      </c>
      <c r="AG18" t="s">
        <v>810</v>
      </c>
      <c r="AI18" t="s">
        <v>604</v>
      </c>
      <c r="AK18" t="str">
        <f>Линии[[#This Row],[_авто модуль]]</f>
        <v/>
      </c>
      <c r="AM18">
        <v>30</v>
      </c>
      <c r="AN18" t="s">
        <v>11</v>
      </c>
      <c r="AO18">
        <v>3</v>
      </c>
      <c r="AQ18">
        <v>34</v>
      </c>
      <c r="AR18">
        <v>12</v>
      </c>
      <c r="AS18">
        <v>0</v>
      </c>
      <c r="BA18" cm="1">
        <f t="array" ref="BA18">ROW()-ROW(Линии[#Headers])</f>
        <v>16</v>
      </c>
      <c r="BC18" s="6" t="str">
        <f t="shared" si="5"/>
        <v>ЩС-ВК</v>
      </c>
      <c r="BD18" t="str">
        <f t="shared" si="6"/>
        <v>002</v>
      </c>
      <c r="BE18" t="str">
        <f t="shared" si="7"/>
        <v>002</v>
      </c>
      <c r="BF18" t="str">
        <f t="shared" si="8"/>
        <v/>
      </c>
      <c r="BG18" t="str">
        <f t="shared" si="9"/>
        <v/>
      </c>
      <c r="BH18" t="str">
        <f>IF(X18&lt;&gt;"",X18,IF(AND(B18&lt;&gt;"",B18&lt;&gt;A18,ISNUMBER(_xlfn.XMATCH(B18,Щиты[Щит]))),B18,""))</f>
        <v>ЩС-ВК.002</v>
      </c>
      <c r="BI18" t="str" cm="1">
        <f t="array" ref="BI18">IF(B18="","",IF(BH18&lt;&gt;"","Щит "&amp;BH18,_xlfn.LET(_xlpm.nm,IFERROR(_xlfn.XLOOKUP(BC18,Коды_код,Коды_имя)&amp;"",""),_xlpm.md,IFERROR(N(_xlfn.XLOOKUP(BC18,Коды_код,Коды_режим)),1),_xlpm.ex,IF(Имя_режим="по экспликации",IFERROR(_xlfn.XLOOKUP(BE18&amp;"|"&amp;BG18,Экспликация[Этаж]&amp;"|"&amp;Экспликация[Помещение],Экспликация[Название])&amp;"",""),""),_xlpm.rm,IF(BG18="","",IF(_xlpm.ex&lt;&gt;"",". "&amp;_xlpm.ex&amp;IF(Имя_пом="нет"," ("&amp;BG18&amp;")"," (пом. "&amp;BG18&amp;")"),IF(Имя_пом="нет"," ",", пом. ")&amp;BG18)),IF(_xlpm.nm="","",IF(_xlpm.md=2,_xlpm.nm&amp;" шлейф "&amp;BE18,_xlpm.nm&amp;_xlpm.rm)))))</f>
        <v>Щит ЩС-ВК.002</v>
      </c>
      <c r="BJ18" t="str">
        <f t="shared" si="10"/>
        <v>Щит насосов ЩС-ВК.002 Подвальный этаж этаж Пом. №00.002Тб</v>
      </c>
      <c r="BK18">
        <f>IFERROR(_xlfn.XMATCH(A18,Щиты[Щит]),0)</f>
        <v>1</v>
      </c>
      <c r="BL18">
        <f>_xlfn.LET(_xlpm.k,IFERROR(_xlfn.XLOOKUP(A18,Щиты[Щит],Щиты[Мест под вводной узел]),""),IF(_xlpm.k="",Столбцов_на_лист,N(_xlpm.k)))</f>
        <v>6</v>
      </c>
      <c r="BM18">
        <f t="shared" si="11"/>
        <v>30</v>
      </c>
      <c r="BN18" t="str">
        <f t="shared" si="12"/>
        <v>линии</v>
      </c>
      <c r="BO18" s="6">
        <f>IFERROR(N(_xlfn.XLOOKUP(BC18,Коды_код,Коды_квт)),0)</f>
        <v>0</v>
      </c>
      <c r="BP18">
        <f t="shared" si="13"/>
        <v>0</v>
      </c>
      <c r="BQ18">
        <f>IF(B18="","",IF(BH18&lt;&gt;"",IFERROR(_xlfn.XLOOKUP(BH18,Щиты[Щит],Щиты[Руст, кВт]),0),IF(BP18=1,IF(OR(N(_xlfn.XLOOKUP(A18,Щиты[Щит],Щиты[Вводов],1))&lt;=1,LOWER(TRIM(_xlfn.XLOOKUP(A18,Щиты[Щит],Щиты[АВР],"")&amp;""))="да"),IFERROR(_xlfn.XLOOKUP(A18,Щиты[Щит],Щиты[Руст, кВт]),0),SUMIFS(Линии[_Р для вводов],Линии[Щит],A18,Линии[Источник для режимов],GF18)),IF(BO18&gt;0,ROUND(BO18*MAX(1,N(D18)),3),""))))</f>
        <v>2.4</v>
      </c>
      <c r="BR18">
        <f t="shared" si="14"/>
        <v>2.4</v>
      </c>
      <c r="BS18" s="6">
        <f>IF(B18="","",IF(BH18&lt;&gt;"",IFERROR(_xlfn.XLOOKUP(BH18,Щиты[Щит],Щиты[Руст, кВт]),0),N(BR18)))</f>
        <v>2.4</v>
      </c>
      <c r="BT18" t="str">
        <f>IF(B18="","",IFERROR(IF(VLOOKUP(BC18,Потребители_обозначение,8,FALSE)=0,"",VLOOKUP(BC18,Потребители_обозначение,8,FALSE)),""))</f>
        <v/>
      </c>
      <c r="BU18">
        <f t="shared" si="15"/>
        <v>230</v>
      </c>
      <c r="BV18">
        <f t="shared" si="16"/>
        <v>0</v>
      </c>
      <c r="BW18">
        <f>IF(B18="","",IF(BH18&lt;&gt;"",3,IFERROR(IF(N(VLOOKUP(BC18,Потребители_обозначение,9,FALSE))=0,1,VLOOKUP(BC18,Потребители_обозначение,9,FALSE)),1)))</f>
        <v>3</v>
      </c>
      <c r="BX18">
        <f t="shared" si="17"/>
        <v>1</v>
      </c>
      <c r="BY18" t="str">
        <f>IF(B18="","",_xlfn.LET(_xlpm.bc,IFERROR(IF(VLOOKUP(BC18,Потребители_обозначение,6,FALSE)=0,"",VLOOKUP(BC18,Потребители_обозначение,6,FALSE)&amp;""),""),IF(AND(GA18="да",OR(_xlpm.bc="",_xlpm.bc="мс")),Марка_пож,IF(AND(_xlpm.bc="",BH18&lt;&gt;""),"мс",_xlpm.bc))))</f>
        <v>мс</v>
      </c>
      <c r="BZ18" t="str">
        <f t="shared" si="18"/>
        <v>мс</v>
      </c>
      <c r="CA18">
        <f>IF(B18="","",_xlfn.LET(_xlpm.cc,IFERROR(N(VLOOKUP(BC18,Потребители_обозначение,7,FALSE)),0),IF(_xlpm.cc&gt;0,_xlpm.cc,IF(BZ18="","",IF(BV18=1,2,IF(N(BX18)=3,5,3))))))</f>
        <v>3</v>
      </c>
      <c r="CB18">
        <f t="shared" si="19"/>
        <v>3</v>
      </c>
      <c r="CC18">
        <f>IFERROR(N(VLOOKUP(BC18,Потребители_обозначение,10,FALSE)),0)</f>
        <v>0</v>
      </c>
      <c r="CD18">
        <f>IFERROR(VLOOKUP(BC18,Потребители_обозначение,5,FALSE),0)</f>
        <v>0</v>
      </c>
      <c r="CE18" s="6" cm="1">
        <f t="array" ref="CE18">IF(B18="","",IF(BH18&lt;&gt;"",IFERROR(_xlfn.XLOOKUP(BH18,Щиты[Щит],Щиты[cos φ]),0.95),IF(BP18=1,IFERROR(_xlfn.XLOOKUP(A18,Щиты[Щит],Щиты[cos φ]),0.95),IF(ISNUMBER(AD18),AD18,IFERROR(IF(CD18=2,_xlfn.IFS(BX18=3,VLOOKUP(BS18,Справочная_двигатели,8,FALSE),BX18=1,VLOOKUP(BS18,Справочная_двигатели,10,TRUE)),IF(AND(Методика="нормы 2026",FG18="Сил"),0.8,0.95)),0.95)))))</f>
        <v>0.8</v>
      </c>
      <c r="CF18">
        <f t="shared" si="20"/>
        <v>0</v>
      </c>
      <c r="CG18">
        <f t="shared" si="21"/>
        <v>1</v>
      </c>
      <c r="CH18">
        <f t="shared" si="22"/>
        <v>0</v>
      </c>
      <c r="CI18">
        <f>IF(B18="","",IF(BV18=1,IFERROR(BS18/((Uн_лин/SQRT(3))*MAX(0.5,N(CE18))),0),N(O18)))</f>
        <v>9.0932667397366043</v>
      </c>
      <c r="CJ18">
        <f t="shared" si="23"/>
        <v>0</v>
      </c>
      <c r="CK18">
        <f t="shared" si="24"/>
        <v>0</v>
      </c>
      <c r="CL18">
        <f t="shared" si="25"/>
        <v>0</v>
      </c>
      <c r="CM18">
        <f t="shared" si="26"/>
        <v>0</v>
      </c>
      <c r="CN18">
        <f t="shared" si="27"/>
        <v>0</v>
      </c>
      <c r="CO18">
        <f>IF(BC18="",0,_xlfn.LET(_xlpm.v,IFERROR(_xlfn.XLOOKUP(B18,Коды_код,Коды_мА),IFERROR(_xlfn.XLOOKUP(BC18,Коды_код,Коды_мА),IFERROR(_xlfn.XLOOKUP(LEFT(BC18,2),Коды_код,Коды_мА),""))),IF(_xlpm.v="да",30,IF(ISNUMBER(_xlpm.v),_xlpm.v,0))))</f>
        <v>0</v>
      </c>
      <c r="CP18" t="str">
        <f t="shared" si="28"/>
        <v/>
      </c>
      <c r="CQ18" t="str">
        <f>_xlfn.LET(_xlpm.k,IFERROR(_xlfn.XLOOKUP(BC18,Коды_код,Коды_утечка)&amp;"",""),IF(_xlpm.k="","дифавтомат",_xlpm.k))</f>
        <v>дифавтомат</v>
      </c>
      <c r="CR18" t="str" cm="1">
        <f t="array" ref="CR18">IF(CG18=0,"",_xlfn.LET(_xlpm.sg,TRIM(_xlfn.TEXTSPLIT(DD18&amp;"",";")),_xlpm.f_,_xlfn._xlws.FILTER(_xlpm.sg,LEFT(_xlpm.sg,3)="УЗО",""),IFERROR(INDEX(_xlpm.f_,1)&amp;"","")))</f>
        <v/>
      </c>
      <c r="CS18" t="str">
        <f t="shared" si="29"/>
        <v/>
      </c>
      <c r="CT18" s="6" t="str" cm="1">
        <f t="array" ref="CT18">IF(CR18="","",_xlfn.LET(_xlpm.tk,_xlfn.TEXTSPLIT(UPPER(CR18)," ",,TRUE),_xlpm.a_,_xlfn._xlws.FILTER(_xlpm.tk,ISNUMBER(--LEFT(_xlpm.tk,1))*((ISNUMBER(SEARCH("А",_xlpm.tk))+ISNUMBER(SEARCH("A",_xlpm.tk)))&gt;0)*NOT(ISNUMBER(SEARCH("МА",_xlpm.tk)))*NOT(ISNUMBER(SEARCH("MA",_xlpm.tk))),""),IFERROR(--SUBSTITUTE(SUBSTITUTE(INDEX(_xlpm.a_,1),"А",""),"A",""),"")))</f>
        <v/>
      </c>
      <c r="CU18" t="str" cm="1">
        <f t="array" ref="CU18">IF(CR18="","",_xlfn.LET(_xlpm.tk,_xlfn.TEXTSPLIT(UPPER(CR18)," ",,TRUE),_xlpm.a_,_xlfn._xlws.FILTER(_xlpm.tk,ISNUMBER(--LEFT(_xlpm.tk,1))*((ISNUMBER(SEARCH("МА",_xlpm.tk))+ISNUMBER(SEARCH("MA",_xlpm.tk)))&gt;0),""),IFERROR(--SUBSTITUTE(SUBSTITUTE(INDEX(_xlpm.a_,1),"МА",""),"MA",""),30)))</f>
        <v/>
      </c>
      <c r="CV18" t="str">
        <f>IF(CS18="","",IFERROR(_xlfn.XLOOKUP(CS18,Линии[_n],Линии[_УЗО, мА]),30))</f>
        <v/>
      </c>
      <c r="CW18">
        <f>IF(CS18="",0,IF(ISNUMBER(SEARCH("4P",IFERROR(_xlfn.XLOOKUP(CS18,Линии[_n],Линии[_УЗО строки])&amp;"",""))),0,1))</f>
        <v>0</v>
      </c>
      <c r="CX18" t="str">
        <f>IF(AND(CS18&lt;&gt;"",CS18=BA18),SUMIFS(Линии[_ток на 230 В],Линии[_блок УЗО],BA18,Линии[Щит],A18),"")</f>
        <v/>
      </c>
      <c r="CY18" t="str">
        <f>IF(AND(CS18&lt;&gt;"",CS18=BA18),SUMIFS(Линии[_ток утечки линии, мА],Линии[_блок УЗО],BA18,Линии[Щит],A18),"")</f>
        <v/>
      </c>
      <c r="CZ18">
        <f t="shared" si="30"/>
        <v>0</v>
      </c>
      <c r="DA18">
        <f t="shared" si="31"/>
        <v>0</v>
      </c>
      <c r="DB18">
        <f>IF(B18="",0,IFERROR(--_xlfn.XLOOKUP(B18,Коды_код,Коды_минавт),IFERROR(--_xlfn.XLOOKUP(BC18,Коды_код,Коды_минавт),IFERROR(--_xlfn.XLOOKUP(LEFT(BC18,2),Коды_код,Коды_минавт),0))))</f>
        <v>0</v>
      </c>
      <c r="DC18" t="str">
        <f>IF(B18="","",IFERROR(_xlfn.XLOOKUP(BC18,Коды_код,Коды_апп)&amp;"",""))</f>
        <v/>
      </c>
      <c r="DD18" t="str">
        <f t="shared" si="32"/>
        <v/>
      </c>
      <c r="DE18" t="str" cm="1">
        <f t="array" ref="DE18">IF(TRIM(DD18&amp;"")="","",IFERROR(TRIM(INDEX(_xlfn.TEXTSPLIT(DD18&amp;";;;",";"),1)),""))</f>
        <v/>
      </c>
      <c r="DF18" t="str" cm="1">
        <f t="array" ref="DF18">IF(TRIM(DD18&amp;"")="","",IFERROR(TRIM(INDEX(_xlfn.TEXTSPLIT(DD18&amp;";;;",";"),2)),""))</f>
        <v/>
      </c>
      <c r="DG18" t="str" cm="1">
        <f t="array" ref="DG18">IF(TRIM(DD18&amp;"")="","",IFERROR(TRIM(INDEX(_xlfn.TEXTSPLIT(DD18&amp;";;;",";"),3)),""))</f>
        <v/>
      </c>
      <c r="DH18">
        <f t="shared" si="33"/>
        <v>0</v>
      </c>
      <c r="DI18" t="str">
        <f>IF(B18="","",_xlfn.LET(_xlpm.t,LOWER(AZ18&amp;""),IF(ISNUMBER(SEARCH("dim",_xlpm.t)),"DIM",IF(ISNUMBER(SEARCH("dali",_xlpm.t)),"DALI",IF(OR(ISNUMBER(SEARCH("relay",_xlpm.t)),ISNUMBER(SEARCH("реле",_xlpm.t))),"Relay",IF(ISNUMBER(SEARCH("кнопк",_xlpm.t)),"",IFERROR(_xlfn.XLOOKUP(BC18,Коды_код,Коды_упр)&amp;"","")))))))</f>
        <v/>
      </c>
      <c r="DJ18" t="str">
        <f t="shared" si="34"/>
        <v/>
      </c>
      <c r="DK18">
        <f>IF(B18="","",_xlfn.LET(_xlpm.ig,IF(N(CX18)&gt;0,N(CX18),N(CI18)+IF(AJ18="вручную",0,N(CJ18))),_xlpm.n0,IFERROR(VLOOKUP(_xlpm.ig,Автомат_номиналы,2,TRUE),0),_xlpm.mn,MAX(DB18,IF(AJ18="вручную",0,N(CM18))),MAX(_xlpm.n0,_xlpm.mn,IF(DH18=1,Мин_автомат_БП,0))))</f>
        <v>16</v>
      </c>
      <c r="DL18">
        <f t="shared" si="35"/>
        <v>1</v>
      </c>
      <c r="DM18" t="str">
        <f t="shared" si="36"/>
        <v>1P</v>
      </c>
      <c r="DN18" t="str">
        <f>_xlfn.LET(_xlpm.cc,UPPER(TRIM(IFERROR(_xlfn.XLOOKUP(BC18,Коды_код,Коды_хар)&amp;"",""))),IF(OR(_xlpm.cc="B",_xlpm.cc="В"),"B",IF(_xlpm.cc="D","D","С")))</f>
        <v>С</v>
      </c>
      <c r="DO18" t="str">
        <f t="shared" si="37"/>
        <v>1P С16А</v>
      </c>
      <c r="DP18">
        <f t="shared" si="38"/>
        <v>16</v>
      </c>
      <c r="DQ18" t="str">
        <f t="shared" si="39"/>
        <v>1P С16А</v>
      </c>
      <c r="DR18" cm="1">
        <f t="array" ref="DR18">IF(DQ18="","",_xlfn.LET(_xlpm.t,SUBSTITUTE(SUBSTITUTE(SUBSTITUTE(UPPER(DQ18),"С","C"),"А","A"),"В","B"),_xlpm.tk,_xlfn.TEXTSPLIT(_xlpm.t," "),_xlpm.f,_xlfn._xlws.FILTER(_xlpm.tk,ISNUMBER(--MID(_xlpm.tk,2,1))*ISNUMBER(SEARCH(LEFT(_xlpm.tk,1)&amp;"#","B#C#D#"))*(LEN(_xlpm.tk)&gt;1),""),_xlpm.x,INDEX(_xlpm.f,1),IFERROR(--SUBSTITUTE(MID(_xlpm.x,2,9),"A",""),IFERROR(--SUBSTITUTE(INDEX(_xlfn._xlws.FILTER(_xlpm.tk,ISNUMBER(--SUBSTITUTE(_xlpm.tk,"A","")),""),1),"A",""),""))))</f>
        <v>16</v>
      </c>
      <c r="DS18" t="str">
        <f t="shared" si="40"/>
        <v>ok</v>
      </c>
      <c r="DT18">
        <f t="shared" si="41"/>
        <v>16</v>
      </c>
      <c r="DU18" t="str">
        <f t="shared" si="42"/>
        <v>1P С16А</v>
      </c>
      <c r="DV18">
        <f t="shared" si="43"/>
        <v>0</v>
      </c>
      <c r="DW18">
        <f t="shared" si="44"/>
        <v>0</v>
      </c>
      <c r="DX18">
        <f t="shared" si="45"/>
        <v>0</v>
      </c>
      <c r="DY18">
        <f t="shared" si="46"/>
        <v>9.0932667397366043</v>
      </c>
      <c r="DZ18">
        <f t="shared" si="47"/>
        <v>1</v>
      </c>
      <c r="EA18">
        <f>IF(ISNUMBER(AP18),AP18,К_прокл)</f>
        <v>1</v>
      </c>
      <c r="EB18">
        <f t="shared" si="48"/>
        <v>2</v>
      </c>
      <c r="EC18">
        <f>IFERROR(N(VLOOKUP(BZ18,Кабель_обозначение,3,FALSE)),1)</f>
        <v>1</v>
      </c>
      <c r="ED18">
        <f>IFERROR(N(_xlfn.XLOOKUP(A18,Щиты[Щит],Щиты[ΔU до шин, %])),0)</f>
        <v>0</v>
      </c>
      <c r="EE18" t="str">
        <f>IFERROR(_xlfn.XLOOKUP(A18,Щиты[Щит],Щиты[Zпетли на шинах, Ом]),"")</f>
        <v/>
      </c>
      <c r="EF18">
        <f>IFERROR(N(_xlfn.XLOOKUP(A18,Щиты[Щит],Щиты[ΔU до шин (подбор), %])),0)</f>
        <v>0</v>
      </c>
      <c r="EG18" t="str">
        <f>IFERROR(_xlfn.XLOOKUP(A18,Щиты[Щит],Щиты[Zпетли на шинах (подбор), Ом]),"")</f>
        <v/>
      </c>
      <c r="EH18" t="str">
        <f t="shared" si="49"/>
        <v/>
      </c>
      <c r="EI18">
        <f t="shared" si="50"/>
        <v>51</v>
      </c>
      <c r="EJ18">
        <f t="shared" si="51"/>
        <v>2</v>
      </c>
      <c r="EK18">
        <f t="shared" si="52"/>
        <v>0.6</v>
      </c>
      <c r="EL18" s="6">
        <f>IF(B18="","",IF(BV18=1,dU_LED,IF(IFERROR(_xlfn.XLOOKUP(BC18,Коды_код,Коды_уго),"")="Светильник",3,4)+IF(Методика="нормы 2026",MIN(0.5,MAX(0,N(P18)-100)*0.005),0)))</f>
        <v>4</v>
      </c>
      <c r="EM18" cm="1">
        <f t="array" ref="EM18">IF(OR(B18="",BZ18="",EC18&lt;&gt;1),"",_xlfn.LET(_xlpm.sz,Iдоп_S,_xlpm.t_,CHOOSE(EB18,Iдоп_1ж,Iдоп_2ж,Iдоп_3ж)*DZ18*EA18,_xlpm.dcx,BV18=1,_xlpm.inn,IF(_xlpm.dcx,N(O18),N(DT18)),_xlpm.smin,MAX(1.5,CC18),_xlpm.L_,N(P18)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18)/N(BU18)*100,999),IFERROR(N(EJ18)*(_xlpm.rho*_xlpm.L_/_xlpm.sz*N(CE18)+_xlpm.xx*_xlpm.L_*N(EK18)/1000)*N(O18)/((Uн_лин/SQRT(3))*1000)*100,999)),_xlpm.kz,IF(OR(_xlpm.dcx,DW18=1,NOT(ISNUMBER(EG18)),_xlpm.L_=0,_xlpm.inn=0),1,IFERROR(--(c_min*(Uн_лин*1000/SQRT(3))/(EG18+2*ρкз_Cu*_xlpm.L_/_xlpm.sz)&gt;=HT18*_xlpm.inn),0)),_xlpm.ok,IFERROR((_xlpm.sz&gt;=_xlpm.smin)*(_xlpm.t_&gt;=_xlpm.inn)*IF(_xlpm.L_&gt;0,(_xlpm.du_+IF(_xlpm.dcx,0,EF18)&lt;=EL18+0.00001),1)*_xlpm.kz,0),_xlpm.r_,_xlfn._xlws.FILTER(_xlpm.sz,_xlpm.ok,"не подобрано"),INDEX(_xlpm.r_,1)))</f>
        <v>2.5</v>
      </c>
      <c r="EN18">
        <f t="shared" si="53"/>
        <v>4</v>
      </c>
      <c r="EO18" cm="1">
        <f t="array" ref="EO18">IF(OR(B18="",BZ18="",EC18&lt;&gt;1),"",_xlfn.LET(_xlpm.sz,Iдоп_S,_xlpm.t_,CHOOSE(EB18,Iдоп_1ж,Iдоп_2ж,Iдоп_3ж)*DZ18*EA18,_xlpm.ok,IFERROR((_xlpm.sz&gt;=MAX(1.5,CC18))*(_xlpm.t_&gt;=N(DT18)),0),_xlpm.r_,_xlfn._xlws.FILTER(_xlpm.sz,_xlpm.ok,""),INDEX(_xlpm.r_,1)))</f>
        <v>1.5</v>
      </c>
      <c r="EP18" s="6" cm="1">
        <f t="array" ref="EP18">IFERROR(ROUNDUP(N(EJ18)*(_xlfn.XLOOKUP(EO18,INDEX(Кабель_сопротивление,0,1),INDEX(Кабель_сопротивление,0,3))*N(P18)/EO18*N(CE18)+_xlfn.XLOOKUP(EO18,INDEX(Кабель_сопротивление,0,1),INDEX(Кабель_сопротивление,0,2))*N(P18)*N(EK18)/1000)*N(O18)/((Uн_лин/SQRT(3))*1000)*100,2),"")</f>
        <v>4.8499999999999996</v>
      </c>
      <c r="EQ18">
        <f>IFERROR(2*ρкз_Cu*N(P18)/EO18,"")</f>
        <v>1.7884</v>
      </c>
      <c r="ER18">
        <f>IFERROR(VLOOKUP(EN18,Кабель_сопротивление,3,FALSE),"")</f>
        <v>2.2499999999999999E-2</v>
      </c>
      <c r="ES18">
        <f>IFERROR(VLOOKUP(EN18,Кабель_сопротивление,2,FALSE),"")</f>
        <v>9.5000000000000001E-2</v>
      </c>
      <c r="ET18">
        <f t="shared" si="54"/>
        <v>12</v>
      </c>
      <c r="EU18">
        <f t="shared" si="55"/>
        <v>0</v>
      </c>
      <c r="EV18">
        <f t="shared" si="56"/>
        <v>4.2266776863639297</v>
      </c>
      <c r="EW18" s="6">
        <f>IFERROR(ROUNDUP(EV18/IF(BV18=1,BU18,(Uн_лин/SQRT(3))*1000)*100,2),"")</f>
        <v>1.84</v>
      </c>
      <c r="EX18" t="str">
        <f>IFERROR(VLOOKUP(BZ18,Кабель_обозначение,2,FALSE),"")</f>
        <v>ВВГнг(А)-LS</v>
      </c>
      <c r="EY18" t="str">
        <f t="shared" si="57"/>
        <v>ВВГнг(А)-LS (3х4)</v>
      </c>
      <c r="EZ18" t="str">
        <f t="shared" si="58"/>
        <v>ВВГнг(А)-LS (3х4)
L=51-1,84%</v>
      </c>
      <c r="FA18">
        <f>IFERROR(2*ρкз_Cu*P18/EN18,"")</f>
        <v>0.67064999999999997</v>
      </c>
      <c r="FB18">
        <f t="shared" si="59"/>
        <v>0.22312500000000002</v>
      </c>
      <c r="FC18" s="6" t="str">
        <f>IFERROR(IF(OR(B18="",BV18=1,NOT(ISNUMBER(EN18)),N(P18)=0),"",_xlfn.XLOOKUP(A18,Щиты[Щит],Щиты[Zпетли на шинах, Ом])+FA18),"")</f>
        <v/>
      </c>
      <c r="FD18" s="6" t="str">
        <f>IF(ISNUMBER(FC18),c_min*(Uн_лин*1000/SQRT(3))/FC18,"")</f>
        <v/>
      </c>
      <c r="FE18" s="6" t="str">
        <f>IFERROR(IF(OR(B18="",NOT(ISNUMBER(EN18))),"",1.05*(Uн_лин*1000/SQRT(3))/(_xlfn.XLOOKUP(A18,Щиты[Щит],Щиты[Zmax на шинах, Ом])+FB18)/1000),"")</f>
        <v/>
      </c>
      <c r="FF18" s="6" t="str">
        <f>IF(B18="","",IF(ISNUMBER(AC18),"Сил",IF(IFERROR(_xlfn.XLOOKUP(BC18,Коды_код,Коды_группа)&amp;"","")="","Быт",_xlfn.XLOOKUP(BC18,Коды_код,Коды_группа)&amp;"")))</f>
        <v>Сил</v>
      </c>
      <c r="FG18" s="6" t="str">
        <f t="shared" si="60"/>
        <v>Щит</v>
      </c>
      <c r="FH18" s="6" t="str">
        <f>IF(FG18="Щит","щит",IF(FG18="","",IF(FG18="Быт",IFERROR(_xlfn.XLOOKUP(A18,Щиты[Щит],Щиты[Кс быт]),1),IF(FG18="Сил",IF(ISNUMBER(AC18),AC18,IF(Методика="нормы 2026",IFERROR(_xlfn.XLOOKUP(A18,Щиты[Щит],Щиты[Кс силовых (табл. 7.5)]),1),1)),IF(OR(FG18="Пост",FG18="Отоп"),1,IF(FG18="ВНГ",0.7,0))))))</f>
        <v>щит</v>
      </c>
      <c r="FI18">
        <f>IF(FG18="","",IF(AND(BP18=1,TRIM(AE18&amp;"")=""),IF(COUNTIFS(Линии[Щит],A18,Линии[Секция (1/2/3)],"&gt;=2")&gt;0,MIN(3,MAX(1,IFERROR(--BD18,1))),1),IFERROR(MIN(3,MAX(1,INT(--AE18))),1)))</f>
        <v>2</v>
      </c>
      <c r="FJ18">
        <f t="shared" si="61"/>
        <v>0</v>
      </c>
      <c r="FK18">
        <f t="shared" si="62"/>
        <v>0</v>
      </c>
      <c r="FL18">
        <f t="shared" si="63"/>
        <v>0</v>
      </c>
      <c r="FM18">
        <f t="shared" si="64"/>
        <v>0</v>
      </c>
      <c r="FN18">
        <f t="shared" si="65"/>
        <v>0</v>
      </c>
      <c r="FO18">
        <f t="shared" si="66"/>
        <v>0</v>
      </c>
      <c r="FP18">
        <f t="shared" si="67"/>
        <v>2.4</v>
      </c>
      <c r="FQ18">
        <f t="shared" si="68"/>
        <v>0</v>
      </c>
      <c r="FR18">
        <f t="shared" si="69"/>
        <v>0</v>
      </c>
      <c r="FS18">
        <f>IF(CG18=1,IF(AND(CH18=1,CW18=1),0,IF(AND(CS18&lt;&gt;"",CS18=BA18,CW18=1),SUMIFS(Линии[_Р линии, кВт],Линии[_блок УЗО],BA18,Линии[Щит],A18),N(BS18)+IF(AJ18="вручную",0,N(CK18)))),0)</f>
        <v>2.4</v>
      </c>
      <c r="FT18" t="str">
        <f t="shared" si="70"/>
        <v/>
      </c>
      <c r="FU18" t="str">
        <f>IF(B18="","",IF(CG18=0,IF(BA18=1,"",FW17),IF(AND(CH18=1,CW18=1,CS18&lt;&gt;""),IFERROR(_xlfn.XLOOKUP(CS18,Линии[_n],Линии[_фаза итог]),"L1"),IF(OR(N(DL18)&gt;=3,N(BX18)&gt;=3),"L1,L2,L3",IFERROR(_xlfn.TEXTBEFORE(_xlfn.TEXTAFTER(_xlfn.XLOOKUP(A18,Щиты[Щит],Щиты[_фазы авто]),";"&amp;BA18&amp;":"),";"),"L1")))))</f>
        <v>L3</v>
      </c>
      <c r="FV18" t="str">
        <f t="shared" si="71"/>
        <v>L3</v>
      </c>
      <c r="FW18" t="str">
        <f t="shared" si="72"/>
        <v>L3</v>
      </c>
      <c r="FX18" cm="1">
        <f t="array" ref="FX18">IFERROR(IF(CD18=2,_xlfn.IFS(BX18=3,VLOOKUP(BS18,Справочная_двигатели,3,FALSE),BX18=1,VLOOKUP(BS18,Справочная_двигатели,5,TRUE)),0),0)</f>
        <v>0</v>
      </c>
      <c r="FY18">
        <f>IFERROR(IF(CD18=3,VLOOKUP(BS18,Справочная_ЛЭД,2,TRUE),0),0)</f>
        <v>0</v>
      </c>
      <c r="FZ18" s="6">
        <f t="shared" si="73"/>
        <v>0</v>
      </c>
      <c r="GA18" t="str">
        <f>IF(B18="","",IF(TRIM(AH18&amp;"")&lt;&gt;"",IF(LOWER(TRIM(AH18&amp;""))="да","да","нет"),IF(IFERROR(_xlfn.XLOOKUP(BC18,Коды_код,Коды_пожарная),"")="да","да","нет")))</f>
        <v>нет</v>
      </c>
      <c r="GB18" t="str">
        <f t="shared" si="74"/>
        <v/>
      </c>
      <c r="GC18" t="str">
        <f t="shared" si="75"/>
        <v>основная</v>
      </c>
      <c r="GD18">
        <f>IF(AND(BP18=1,TRIM(AE18&amp;"")=""),IF(COUNTIFS(Линии[Щит],A18,Линии[Секция (1/2/3)],"&gt;=2")&gt;0,MIN(3,MAX(1,IFERROR(--BD18,1))),1),IFERROR(MIN(3,MAX(1,INT(--AE18))),1))</f>
        <v>2</v>
      </c>
      <c r="GE18" t="str" cm="1">
        <f t="array" ref="GE18">IF(B18="","",_xlfn.LET(_xlpm.t,IFERROR(_xlfn.XLOOKUP(1,(Шины[Шина]=GC18)*(((Шины[Щит]=A18)+(Шины[Щит]=""))&gt;0),Шины[Тип]),"")&amp;"",IF(_xlpm.t&lt;&gt;"",_xlpm.t,IF(ISNUMBER(SEARCH("ИБП",GC18)),"ИБП",IF(ISNUMBER(SEARCH("ДГУ",GC18)),"ДГУ","Ввод "&amp;GD18)))))</f>
        <v>Ввод 2</v>
      </c>
      <c r="GF18" t="str">
        <f t="shared" si="76"/>
        <v>Ввод 2</v>
      </c>
      <c r="GG18" t="str">
        <f>IF(BP18=0,"",IF(TRIM(AG18&amp;"")&lt;&gt;"",TRIM(AG18&amp;""),IF(OR(GE18="ИБП",GE18="ДГУ"),"I особая",_xlfn.XLOOKUP(A18,Щиты[Щит],Щиты[Категория шины «Ввод»],"III"))))</f>
        <v/>
      </c>
      <c r="GH18" t="str">
        <f>IF(A18="","",_xlfn.XLOOKUP(A18,Щиты[Щит],Щиты[Путь],""))</f>
        <v>|ГРЩ-ЖД|</v>
      </c>
      <c r="GI18" t="str">
        <f>IF(B18="","",IF(AI18&lt;&gt;"",AI18,IF(IFERROR(_xlfn.XLOOKUP(BC18,Коды_код,Коды_вид)&amp;"","")="","Прочее",_xlfn.XLOOKUP(BC18,Коды_код,Коды_вид)&amp;"")))</f>
        <v>Насосы (водоснабжение, дренаж)</v>
      </c>
      <c r="GJ18">
        <f>IF(BM18="","",INT((BM18-1)/Столбцов_на_лист)+1)</f>
        <v>2</v>
      </c>
      <c r="GK18" t="str">
        <f t="shared" si="77"/>
        <v>ВВГнг(А)-LS (3х4) L=51-1,84%</v>
      </c>
      <c r="GL18">
        <f t="shared" si="78"/>
        <v>2.4</v>
      </c>
      <c r="GM18">
        <f t="shared" si="79"/>
        <v>9.1</v>
      </c>
      <c r="GN18">
        <f t="shared" si="80"/>
        <v>1</v>
      </c>
      <c r="GO18">
        <f t="shared" si="81"/>
        <v>0</v>
      </c>
      <c r="GP18">
        <f t="shared" si="82"/>
        <v>1</v>
      </c>
      <c r="GQ18">
        <f>IF(BM18="","",IF(AND(CG18=1,GP18=1),COUNTIFS(A$3:A18,A18,CG$3:CG18,1,GP$3:GP18,1),IF(OR(OR(BA18=1,A18&lt;&gt;A17),AJ18="вручную",GP18=0),"",IF(BA18=1,"",GR17))))</f>
        <v>14</v>
      </c>
      <c r="GR18">
        <f t="shared" si="83"/>
        <v>14</v>
      </c>
      <c r="GS18">
        <f>IF(B18="","",IFERROR(LOOKUP(INDEX(CHOOSE(EB18,Iдоп_1ж,Iдоп_2ж,Iдоп_3ж),MATCH(EN18,Iдоп_S,0))*DZ18*EA18,{6,10,16,20,25,32,40,50,63,80,100,125,160,200,250,315,400,500,630}),""))</f>
        <v>32</v>
      </c>
      <c r="GT18" t="str">
        <f t="shared" si="84"/>
        <v>QF14</v>
      </c>
      <c r="GU18" t="str">
        <f t="shared" si="85"/>
        <v>QF14</v>
      </c>
      <c r="GV18" t="str">
        <f t="shared" si="86"/>
        <v/>
      </c>
      <c r="GW18">
        <f t="shared" si="87"/>
        <v>0</v>
      </c>
      <c r="GX18" t="str">
        <f>IF(OR(B18="",DJ18=""),"",IFERROR(_xlfn.XLOOKUP(DJ18,Модули_умолч[Управление],Модули_умолч[Модель])&amp;"",""))</f>
        <v/>
      </c>
      <c r="GY18">
        <f>IF(DJ18="",1,IFERROR(MAX(0,N(_xlfn.XLOOKUP(DJ18,Модули_умолч[Управление],Модули_умолч[Каналов на линию]))),1))</f>
        <v>1</v>
      </c>
      <c r="GZ18" t="str">
        <f t="shared" si="88"/>
        <v/>
      </c>
      <c r="HA18" t="str">
        <f t="shared" si="89"/>
        <v/>
      </c>
      <c r="HB18" t="str">
        <f t="shared" si="90"/>
        <v/>
      </c>
      <c r="HC18">
        <f>IF(HB18="",0,IFERROR(N(VLOOKUP(HB18,Модули_спр,3,FALSE)),0))</f>
        <v>0</v>
      </c>
      <c r="HD18" t="str">
        <f t="shared" si="91"/>
        <v/>
      </c>
      <c r="HE18" t="str">
        <f t="shared" si="92"/>
        <v/>
      </c>
      <c r="HF18" t="str">
        <f>IF(OR(HE18="",HE18="-"),"",IFERROR(VLOOKUP(HE18,Модули_спр,2,FALSE),"R"))</f>
        <v/>
      </c>
      <c r="HG18" t="str">
        <f>IF(HF18="","",HF18&amp;"."&amp;COUNTIFS(A$3:A18,A18,HF$3:HF18,HF18))</f>
        <v/>
      </c>
      <c r="HH18" t="str">
        <f t="shared" si="93"/>
        <v/>
      </c>
      <c r="HI18" t="str">
        <f t="shared" si="94"/>
        <v/>
      </c>
      <c r="HJ18" t="str">
        <f t="shared" si="95"/>
        <v/>
      </c>
      <c r="HK18" t="str">
        <f t="shared" si="96"/>
        <v/>
      </c>
      <c r="HL18">
        <f t="shared" si="97"/>
        <v>1</v>
      </c>
      <c r="HM18" t="str">
        <f>IF(HL18=1,"XT"&amp;COUNTIFS(A$3:A18,A18,HL$3:HL18,1),"")</f>
        <v>XT13</v>
      </c>
      <c r="HN18" t="str">
        <f t="shared" si="98"/>
        <v/>
      </c>
      <c r="HO18" t="str">
        <f t="shared" si="99"/>
        <v>QF14</v>
      </c>
      <c r="HP18" t="str">
        <f t="shared" si="100"/>
        <v/>
      </c>
      <c r="HQ18" t="str">
        <f t="shared" si="101"/>
        <v>ok</v>
      </c>
      <c r="HR18" t="str">
        <f>IF(OR(HJ18="",HH18=""),"",IF(HJ18+MAX(0,GY18-1)&gt;IFERROR(VLOOKUP(HI18,Модули_спр,3,FALSE),99),"ЛИШНИЙ КАНАЛ",IF(AND(AL18&lt;&gt;"=",GY18&gt;0,COUNTIFS(Линии[_модуль гр.],HH18,Линии[Канал (итог)],HJ18,Линии[Канал],"&lt;&gt;=",Линии[Щит],A18)&gt;1),"ДУБЛЬ КАНАЛА","")))</f>
        <v/>
      </c>
      <c r="HS18" s="6" t="str">
        <f t="shared" si="102"/>
        <v/>
      </c>
      <c r="HT18">
        <f t="shared" si="103"/>
        <v>10</v>
      </c>
      <c r="HU18" t="str">
        <f t="shared" si="104"/>
        <v/>
      </c>
      <c r="HV18">
        <f t="shared" si="105"/>
        <v>0</v>
      </c>
      <c r="HW18">
        <f t="shared" si="106"/>
        <v>0</v>
      </c>
      <c r="HX18">
        <f t="shared" si="107"/>
        <v>0</v>
      </c>
      <c r="HY18">
        <f t="shared" si="108"/>
        <v>0</v>
      </c>
      <c r="HZ18">
        <f t="shared" si="109"/>
        <v>0</v>
      </c>
      <c r="IA18">
        <f t="shared" si="110"/>
        <v>0</v>
      </c>
      <c r="IB18">
        <f t="shared" si="111"/>
        <v>0</v>
      </c>
      <c r="IC18" t="str">
        <f t="shared" si="112"/>
        <v/>
      </c>
      <c r="ID18" t="str" cm="1">
        <f t="array" ref="ID18">IF(IC18="","",_xlfn.LET(_xlpm.tk,_xlfn.TEXTSPLIT(SUBSTITUTE(SUBSTITUTE(IC18,";"," "),"→"," ")," ",,TRUE),_xlpm.w_,_xlfn._xlws.FILTER(_xlpm.tk,ISNUMBER(--LEFT(_xlpm.tk,1))*((ISNUMBER(SEARCH("W",_xlpm.tk))+ISNUMBER(SEARCH("Вт",_xlpm.tk)))&gt;0),""),IFERROR(--SUBSTITUTE(SUBSTITUTE(UPPER(INDEX(_xlpm.w_,1)),"W",""),"ВТ",""),"")))</f>
        <v/>
      </c>
      <c r="IE18" t="str" cm="1">
        <f t="array" ref="IE18">IF(IC18="","",_xlfn.LET(_xlpm.tk,_xlfn.TEXTSPLIT(SUBSTITUTE(SUBSTITUTE(IC18,";"," "),"→"," ")," ",,TRUE),_xlpm.v_,_xlfn._xlws.FILTER(_xlpm.tk,ISNUMBER(--LEFT(_xlpm.tk,1))*((ISNUMBER(SEARCH("V",_xlpm.tk))+(RIGHT(UPPER(_xlpm.tk))="В"))&gt;0),""),IFERROR(--SUBSTITUTE(SUBSTITUTE(UPPER(INDEX(_xlpm.v_,1)),"V",""),"В",""),"")))</f>
        <v/>
      </c>
      <c r="IF18" s="6" t="str">
        <f>IF(OR(BV18=0,HI18="",HJ18=""),"",IFERROR(N(_xlfn.XLOOKUP(HI18,Каталог!$C$4:$C$500,Каталог!$Q$4:$Q$500)),""))</f>
        <v/>
      </c>
      <c r="IG18" s="6" t="str">
        <f>IF(N(IF18)=0,"",SUMIFS(Линии[Iр, А],Линии[Щит],A18,Линии[_модуль гр.],HH18,Линии[Канал (итог)],HJ18))</f>
        <v/>
      </c>
      <c r="IH18" t="str">
        <f>IF(AND(B18="",HO18=""),"",_xlfn.TEXTJOIN("; ",TRUE,IF(AND(B18&lt;&gt;"",FV18=""),"нет фазы",""),IF(AND(B18&lt;&gt;"",N(GL18)=0,FG18&lt;&gt;"Нет"),"нет мощности",""),IF(AND(HN18&lt;&gt;"",COUNTIFS(Линии[Щит],A18,Линии[Клемма (итог)],HN18)&gt;1),"дубль клеммы "&amp;HN18,""),IF(AND(HQ18&lt;&gt;"",HQ18&lt;&gt;"ok"),HQ18,""),IF(HR18&lt;&gt;"",HR18,""),IF(AND(N(CB18)&gt;=4,N(BX18)=1),CB18&amp;" жил на 1 фазе",""),IF(AND(BC18="R",CG18=1,IF(CS18&lt;&gt;"",N(CV18)&gt;30,OR(N(DA18)=0,N(DA18)&gt;30))),"розетка без дифзащиты до 30 мА",""),IF(AND(CG18=1,N(DA18)&gt;0,ISNUMBER(T18)),IF(T18&gt;N(DA18)/3,"ток утечки "&amp;FIXED(T18,1)&amp;" мА &gt; 1/3 уставки ("&amp;DA18&amp;" мА)",""),""),IF(AND(CH18=1,CS18=""),"«узо»: нет строки с УЗО выше (УЗО 2P 40А 30мА в «Аппаратах»)",""),IF(AND(CS18&lt;&gt;"",CS18=BA18),IF(CT18="","впишите номинал УЗО (УЗО 2P 40А 30мА)",IF(N(CT18)&lt;N(DT18),"УЗО "&amp;CT18&amp;" А &lt; автомата "&amp;DT18&amp;" А перед ним",IF(N(CT18)&lt;N(CX18),"УЗО "&amp;CT18&amp;" А &lt; тока блока "&amp;FIXED(CX18,1)&amp;" А",""))),""),IF(AND(CS18&lt;&gt;"",CS18=BA18,ISNUMBER(CY18)),IF(CY18&gt;N(CV18)/3,"ток утечки блока УЗО "&amp;FIXED(CY18,1)&amp;" мА &gt; 1/3 уставки ("&amp;CV18&amp;" мА)",""),""),IF(AND(CG18=1,N(BV18)+N(IB18)&gt;0,IC18=""),"линии до 50 В без БП: впишите в «Аппараты» (БП 24V 480W)",""),IF(AND(CG18=1,ISNUMBER(ID18),ISNUMBER(U18)),IF(U18&gt;ID18,"БП "&amp;ID18&amp;" Вт &lt; нужно "&amp;U18&amp;" Вт (×"&amp;Запас_БП&amp;")",""),""),IF(AND(CG18=1,ISNUMBER(IE18),N(BV18)=1),IF(IE18&lt;&gt;N(BU18),"БП на "&amp;IE18&amp;" В, линия "&amp;BU18&amp;" В",""),""),IF(AND(N(IF18)&gt;0,N(IG18)&gt;N(IF18)),HH18&amp;" канал "&amp;HJ18&amp;": "&amp;FIXED(IG18,1)&amp;" А &gt; "&amp;IF18&amp;" А",""),IFERROR(IF(AND(ISNUMBER(Q18),Q18&gt;EL18),"потери "&amp;FIXED(Q18,1)&amp;" % &gt; "&amp;EL18&amp;" %",""),""),IFERROR(IF(LEFT(HU18,4)="мало","Iкз мало — отключение &gt; 0,4 с",""),""),IF(AND(B18&lt;&gt;"",BM18=""),"не на схеме",""),IF(AND(CG18=0,B18&lt;&gt;"",FV18&lt;&gt;"",IF(BA18=1,"",FW17)&lt;&gt;"",FV18&lt;&gt;IF(BA18=1,"",FW17)),"фаза не как у автомата группы ("&amp;IF(BA18=1,"",FW17)&amp;")","")))</f>
        <v/>
      </c>
      <c r="II18" s="6">
        <f>IF(OR(CG18=0,DQ18=""),"",_xlfn.LET(_xlpm.t,IFERROR(_xlfn.XLOOKUP(DQ18,Каталог!$U$4:$U$500,Каталог!$G$4:$G$500),""),_xlpm.k,SEARCH("кА",_xlpm.t),IFERROR(--TRIM(RIGHT(SUBSTITUTE(MID(_xlpm.t,MAX(1,_xlpm.k-4),_xlpm.k-MAX(1,_xlpm.k-4))," ",REPT(" ",9)),5)),"")))</f>
        <v>6</v>
      </c>
      <c r="IJ18" t="str">
        <f>IF(OR(II18="",CG18=0),"",IF(_xlfn.XLOOKUP(A18,Щиты[Щит],Щиты[Iкз max на шинах, кА],"")="","",IF(II18&lt;_xlfn.XLOOKUP(A18,Щиты[Щит],Щиты[Iкз max на шинах, кА]),"Icu "&amp;II18&amp;" кА &lt; Iкз max","ok")))</f>
        <v/>
      </c>
      <c r="IK18" t="str">
        <f t="shared" si="113"/>
        <v/>
      </c>
      <c r="IL18" t="str">
        <f t="shared" si="114"/>
        <v>QF14</v>
      </c>
      <c r="IM18" t="str">
        <f t="shared" si="115"/>
        <v>QF14|кабель ВВГнг(А)-LS (3х4) → Щит насосов ЩС-ВК.002 Подвальный этаж этаж Пом. №00.002Тб</v>
      </c>
      <c r="IN18" t="str" cm="1">
        <f t="array" ref="IN18">IF(IM18="","",_xlfn.LET(_xlpm.nd,_xlfn.TEXTSPLIT(IM18,"|"),IF(COLUMNS(_xlpm.nd)&gt;1,A18&amp;"¦"&amp;INDEX(_xlpm.nd,1)&amp;"¦"&amp;INDEX(_xlpm.nd,2),"")))</f>
        <v>ГРЩ-ЖД¦QF14¦кабель ВВГнг(А)-LS (3х4) → Щит насосов ЩС-ВК.002 Подвальный этаж этаж Пом. №00.002Тб</v>
      </c>
      <c r="IO18" t="str">
        <f t="shared" si="116"/>
        <v>ЩС-ВК.002¦Щит насосов ЩС-ВК.002 Подвальный этаж этаж Пом. №00.002Тб</v>
      </c>
      <c r="IP18" t="str" cm="1">
        <f t="array" ref="IP18">IF(IM18="","",_xlfn.LET(_xlpm.nd,_xlfn.TEXTSPLIT(IM18,"|"),IF(COLUMNS(_xlpm.nd)&gt;2,A18&amp;"¦"&amp;INDEX(_xlpm.nd,2)&amp;"¦"&amp;INDEX(_xlpm.nd,3),"")))</f>
        <v/>
      </c>
      <c r="IQ18" t="str">
        <f t="shared" si="117"/>
        <v/>
      </c>
      <c r="IR18" t="str" cm="1">
        <f t="array" ref="IR18">IF(IM18="","",_xlfn.LET(_xlpm.nd,_xlfn.TEXTSPLIT(IM18,"|"),IF(COLUMNS(_xlpm.nd)&gt;3,A18&amp;"¦"&amp;INDEX(_xlpm.nd,3)&amp;"¦"&amp;INDEX(_xlpm.nd,4),"")))</f>
        <v/>
      </c>
      <c r="IS18" t="str">
        <f t="shared" si="118"/>
        <v/>
      </c>
      <c r="IT18" t="str" cm="1">
        <f t="array" ref="IT18">IF(IM18="","",_xlfn.LET(_xlpm.nd,_xlfn.TEXTSPLIT(IM18,"|"),IF(COLUMNS(_xlpm.nd)&gt;4,A18&amp;"¦"&amp;INDEX(_xlpm.nd,4)&amp;"¦"&amp;INDEX(_xlpm.nd,5),"")))</f>
        <v/>
      </c>
      <c r="IU18" t="str">
        <f t="shared" si="119"/>
        <v/>
      </c>
      <c r="IV18" t="str" cm="1">
        <f t="array" ref="IV18">IF(IM18="","",_xlfn.LET(_xlpm.nd,_xlfn.TEXTSPLIT(IM18,"|"),IF(COLUMNS(_xlpm.nd)&gt;5,A18&amp;"¦"&amp;INDEX(_xlpm.nd,5)&amp;"¦"&amp;INDEX(_xlpm.nd,6),"")))</f>
        <v/>
      </c>
      <c r="IW18" t="str">
        <f t="shared" si="120"/>
        <v/>
      </c>
      <c r="IX18" t="str" cm="1">
        <f t="array" ref="IX18">IF(IM18="","",_xlfn.LET(_xlpm.nd,_xlfn.TEXTSPLIT(IM18,"|"),IF(COLUMNS(_xlpm.nd)&gt;6,A18&amp;"¦"&amp;INDEX(_xlpm.nd,6)&amp;"¦"&amp;INDEX(_xlpm.nd,7),"")))</f>
        <v/>
      </c>
      <c r="IY18" t="str">
        <f t="shared" si="121"/>
        <v/>
      </c>
      <c r="IZ18" t="str">
        <f t="shared" si="122"/>
        <v/>
      </c>
      <c r="JA18" t="str">
        <f t="shared" si="123"/>
        <v>QF14</v>
      </c>
      <c r="JB18">
        <f t="shared" si="124"/>
        <v>0</v>
      </c>
      <c r="JC18">
        <f t="shared" si="125"/>
        <v>0</v>
      </c>
      <c r="JD18" t="str">
        <f t="shared" si="126"/>
        <v/>
      </c>
      <c r="JE18" t="str">
        <f t="shared" si="127"/>
        <v/>
      </c>
      <c r="JF18" t="str">
        <f t="shared" si="128"/>
        <v/>
      </c>
      <c r="JG18" t="str">
        <f t="shared" si="129"/>
        <v/>
      </c>
      <c r="JH18">
        <f>IF(B18="","",IFERROR(_xlfn.XLOOKUP(B18,Коды_код,Коды_уго),IFERROR(_xlfn.XLOOKUP(BC18,Коды_код,Коды_уго),IFERROR(_xlfn.XLOOKUP(LEFT(BC18,2),Коды_код,Коды_уго),""))))</f>
        <v>0</v>
      </c>
      <c r="JI18" t="str">
        <f>IF(B18="","",IF(OR(JH18="",JH18=0),"BOX",IFERROR(IF(VLOOKUP(JH18,УГО_блоки,3,FALSE)&amp;""&lt;&gt;"",VLOOKUP(JH18,УГО_блоки,3,FALSE),VLOOKUP(JH18,УГО_блоки,2,FALSE)),JH18)))</f>
        <v>BOX</v>
      </c>
      <c r="JJ18">
        <f t="shared" si="130"/>
        <v>1</v>
      </c>
      <c r="JK18">
        <f>IF(DQ18="","",IF(COUNTIF(DQ$3:DQ18,DQ18)=1,MAX(JK$2:JK17)+1,""))</f>
        <v>11</v>
      </c>
      <c r="JL18" t="str">
        <f>IF(DE18="","",IF(COUNTIF(DE$3:DE18,DE18)+COUNTIF(DF$2:DF17,DE18)+COUNTIF(DG$2:DG17,DE18)=1,MAX(JL$2:JN17)+1,""))</f>
        <v/>
      </c>
      <c r="JM18" t="str">
        <f>IF(DF18="","",IF(COUNTIF(DE$3:DE18,DF18)+COUNTIF(DF$3:DF18,DF18)+COUNTIF(DG$2:DG17,DF18)=1,MAX(JL$2:JN17,JL18)+1,""))</f>
        <v/>
      </c>
      <c r="JN18" t="str">
        <f>IF(DG18="","",IF(COUNTIF(DE$3:DE18,DG18)+COUNTIF(DF$3:DF18,DG18)+COUNTIF(DG$3:DG18,DG18)=1,MAX(JL$2:JN17,JL18,JM18)+1,""))</f>
        <v/>
      </c>
      <c r="JO18" t="str">
        <f t="shared" si="131"/>
        <v>3х4</v>
      </c>
      <c r="JP18" t="str">
        <f>IF(JO18="","",IF(COUNTIF(JO$3:JO18,JO18)=1,MAX(JP$2:JP17)+1,""))</f>
        <v/>
      </c>
      <c r="JQ18" t="str">
        <f>IF(HG18="","",COUNTIF(HG$3:HG18,"?*"))</f>
        <v/>
      </c>
      <c r="JR18" t="str">
        <f>IF(OR(HG18="",HI18=""),"",IF(COUNTIFS(HG$3:HG18,"?*",HI$3:HI18,HI18)=1,MAX(JR$2:JR17)+1,""))</f>
        <v/>
      </c>
      <c r="JS18">
        <f t="shared" si="132"/>
        <v>0</v>
      </c>
      <c r="JT18">
        <f>IF(B18="","",COUNTIF(B$3:B18,"?*"))</f>
        <v>16</v>
      </c>
      <c r="JU18">
        <f>IF(HL18&lt;&gt;1,0,_xlfn.LET(_xlpm.k,MAX(IFERROR(--_xlfn.XLOOKUP(B18,Коды_код,Коды_3L),0),IFERROR(--_xlfn.XLOOKUP(BC18,Коды_код,Коды_3L),0),IFERROR(--_xlfn.XLOOKUP(LEFT(BC18,2),Коды_код,Коды_3L),0)),IF(_xlpm.k&gt;0,_xlpm.k,IF(IFERROR(--LEFT(SUBSTITUTE(JO18,"x","х"),FIND("х",SUBSTITUTE(JO18,"x","х"))-1),3)&gt;3,Каталог!$S$9,1))))</f>
        <v>1</v>
      </c>
      <c r="JV18">
        <f t="shared" si="133"/>
        <v>0</v>
      </c>
      <c r="JW18" t="str">
        <f t="shared" si="134"/>
        <v>авто</v>
      </c>
      <c r="JX18" t="str">
        <f t="shared" si="135"/>
        <v/>
      </c>
      <c r="JY18">
        <f t="shared" si="136"/>
        <v>0</v>
      </c>
      <c r="JZ18">
        <f t="shared" si="137"/>
        <v>1</v>
      </c>
    </row>
    <row r="19" spans="1:286" x14ac:dyDescent="0.3">
      <c r="A19" t="s">
        <v>783</v>
      </c>
      <c r="B19" t="s">
        <v>767</v>
      </c>
      <c r="C19" t="s">
        <v>766</v>
      </c>
      <c r="D19">
        <v>1</v>
      </c>
      <c r="E19">
        <v>4.34</v>
      </c>
      <c r="G19">
        <v>20</v>
      </c>
      <c r="H19" t="str">
        <f>Линии[[#This Row],[_авто управление]]</f>
        <v/>
      </c>
      <c r="I19" t="str">
        <f>Линии[[#This Row],[_авто аппараты]]</f>
        <v/>
      </c>
      <c r="J19">
        <v>4</v>
      </c>
      <c r="K19">
        <v>53</v>
      </c>
      <c r="L19" t="str">
        <f>Линии[[#This Row],[_авто фаза]]</f>
        <v>L2</v>
      </c>
      <c r="M19" t="s">
        <v>484</v>
      </c>
      <c r="N19" t="str">
        <f t="shared" si="0"/>
        <v/>
      </c>
      <c r="O19" s="6" cm="1">
        <f t="array" ref="O19">IF(B19="","",IF(BH19&lt;&gt;"",IFERROR(_xlfn.XLOOKUP(BH19,Щиты[Щит],Щиты[Iр, А]),""),IF(BP19=1,IF(OR(N(_xlfn.XLOOKUP(A19,Щиты[Щит],Щиты[Вводов],1))&lt;=1,LOWER(TRIM(_xlfn.XLOOKUP(A19,Щиты[Щит],Щиты[АВР],"")&amp;""))="да"),IFERROR(_xlfn.XLOOKUP(A19,Щиты[Щит],Щиты[Iр, А]),""),IFERROR(N(BS19)*_xlfn.XLOOKUP(A19,Щиты[Щит],Щиты[Кс итог])/(SQRT(3)*Uн_лин*_xlfn.XLOOKUP(A19,Щиты[Щит],Щиты[cos φ])),"")),IF(BV19=1,IFERROR(BS19*1000/BU19,""),IFERROR(_xlfn.IFS(BX19=1,BS19/((Uн_лин/SQRT(3))*CE19),BX19=3,BS19/(SQRT(3)*Uн_лин*CE19)),"")))))</f>
        <v>16.443657354357025</v>
      </c>
      <c r="P19" s="7">
        <f>IF(B19="","",IFERROR(IF(VLOOKUP(BC19,Потребители_обозначение,4,FALSE)=1,VLOOKUP(BC19,Потребители_обозначение,3,FALSE)*(MAX(1,N(D19))*2-1)+EI19+VLOOKUP(BE19,Этаж_обозначение,3,FALSE)+VLOOKUP(BE19,Этаж_обозначение,4,FALSE),VLOOKUP(BC19,Потребители_обозначение,3,FALSE)*(MAX(1,N(D19))*2-1)+EI19),EI19))</f>
        <v>53</v>
      </c>
      <c r="Q19" s="6">
        <f t="shared" si="1"/>
        <v>3.44</v>
      </c>
      <c r="R19" t="str">
        <f t="shared" si="2"/>
        <v>ВВГнг(А)-LS (3х4)</v>
      </c>
      <c r="S19" t="str">
        <f>IF(BM19="","",IF(BN19="вводной узел","узел ","")&amp;"л."&amp;(INT((BM19-1)/Столбцов_на_лист)+1)&amp;" / "&amp;(MOD(BM19-1,Столбцов_на_лист)+1))</f>
        <v>л.2 / 14</v>
      </c>
      <c r="T19" s="119" t="str">
        <f t="shared" si="3"/>
        <v/>
      </c>
      <c r="U19" s="7" t="str">
        <f>IF(OR(CG19=0,N(BV19)+N(IB19)=0),"",ROUNDUP(Запас_БП*(N(HY19)+N(HZ19)),0))</f>
        <v/>
      </c>
      <c r="V19" s="119" t="str">
        <f t="shared" si="4"/>
        <v/>
      </c>
      <c r="W19" s="7" t="str">
        <f>IFERROR(IF(OR(B19="",BP19=1,BV19=1,NOT(ISNUMBER(EN19)),N(DT19)=0),"",MAX(0,ROUNDDOWN((c_min*(Uн_лин*1000/SQRT(3))/(HT19*N(DT19))-_xlfn.XLOOKUP(A19,Щиты[Щит],Щиты[Zпетли на шинах, Ом]))*EN19/(2*ρкз_Cu),0))),"")</f>
        <v/>
      </c>
      <c r="Y19" t="str">
        <f>Линии[[#This Row],[_авто утечка]]</f>
        <v/>
      </c>
      <c r="Z19">
        <v>1</v>
      </c>
      <c r="AA19">
        <v>230</v>
      </c>
      <c r="AB19" t="s">
        <v>598</v>
      </c>
      <c r="AC19">
        <v>0.7</v>
      </c>
      <c r="AE19">
        <v>2</v>
      </c>
      <c r="AG19" t="s">
        <v>810</v>
      </c>
      <c r="AI19" t="s">
        <v>604</v>
      </c>
      <c r="AK19" t="str">
        <f>Линии[[#This Row],[_авто модуль]]</f>
        <v/>
      </c>
      <c r="AM19">
        <v>31</v>
      </c>
      <c r="AN19" t="s">
        <v>11</v>
      </c>
      <c r="AO19">
        <v>3</v>
      </c>
      <c r="AQ19">
        <v>48</v>
      </c>
      <c r="AR19">
        <v>5</v>
      </c>
      <c r="AS19">
        <v>0</v>
      </c>
      <c r="BA19" cm="1">
        <f t="array" ref="BA19">ROW()-ROW(Линии[#Headers])</f>
        <v>17</v>
      </c>
      <c r="BC19" s="6" t="str">
        <f t="shared" si="5"/>
        <v>ЩС-ВК</v>
      </c>
      <c r="BD19" t="str">
        <f t="shared" si="6"/>
        <v>003</v>
      </c>
      <c r="BE19" t="str">
        <f t="shared" si="7"/>
        <v>003</v>
      </c>
      <c r="BF19" t="str">
        <f t="shared" si="8"/>
        <v/>
      </c>
      <c r="BG19" t="str">
        <f t="shared" si="9"/>
        <v/>
      </c>
      <c r="BH19" t="str">
        <f>IF(X19&lt;&gt;"",X19,IF(AND(B19&lt;&gt;"",B19&lt;&gt;A19,ISNUMBER(_xlfn.XMATCH(B19,Щиты[Щит]))),B19,""))</f>
        <v>ЩС-ВК.003</v>
      </c>
      <c r="BI19" t="str" cm="1">
        <f t="array" ref="BI19">IF(B19="","",IF(BH19&lt;&gt;"","Щит "&amp;BH19,_xlfn.LET(_xlpm.nm,IFERROR(_xlfn.XLOOKUP(BC19,Коды_код,Коды_имя)&amp;"",""),_xlpm.md,IFERROR(N(_xlfn.XLOOKUP(BC19,Коды_код,Коды_режим)),1),_xlpm.ex,IF(Имя_режим="по экспликации",IFERROR(_xlfn.XLOOKUP(BE19&amp;"|"&amp;BG19,Экспликация[Этаж]&amp;"|"&amp;Экспликация[Помещение],Экспликация[Название])&amp;"",""),""),_xlpm.rm,IF(BG19="","",IF(_xlpm.ex&lt;&gt;"",". "&amp;_xlpm.ex&amp;IF(Имя_пом="нет"," ("&amp;BG19&amp;")"," (пом. "&amp;BG19&amp;")"),IF(Имя_пом="нет"," ",", пом. ")&amp;BG19)),IF(_xlpm.nm="","",IF(_xlpm.md=2,_xlpm.nm&amp;" шлейф "&amp;BE19,_xlpm.nm&amp;_xlpm.rm)))))</f>
        <v>Щит ЩС-ВК.003</v>
      </c>
      <c r="BJ19" t="str">
        <f t="shared" si="10"/>
        <v>Щит насосов ЩС-ВК.003 Подвальный этаж этаж Пом. №00.006Т</v>
      </c>
      <c r="BK19">
        <f>IFERROR(_xlfn.XMATCH(A19,Щиты[Щит]),0)</f>
        <v>1</v>
      </c>
      <c r="BL19">
        <f>_xlfn.LET(_xlpm.k,IFERROR(_xlfn.XLOOKUP(A19,Щиты[Щит],Щиты[Мест под вводной узел]),""),IF(_xlpm.k="",Столбцов_на_лист,N(_xlpm.k)))</f>
        <v>6</v>
      </c>
      <c r="BM19">
        <f t="shared" si="11"/>
        <v>31</v>
      </c>
      <c r="BN19" t="str">
        <f t="shared" si="12"/>
        <v>линии</v>
      </c>
      <c r="BO19" s="6">
        <f>IFERROR(N(_xlfn.XLOOKUP(BC19,Коды_код,Коды_квт)),0)</f>
        <v>0</v>
      </c>
      <c r="BP19">
        <f t="shared" si="13"/>
        <v>0</v>
      </c>
      <c r="BQ19">
        <f>IF(B19="","",IF(BH19&lt;&gt;"",IFERROR(_xlfn.XLOOKUP(BH19,Щиты[Щит],Щиты[Руст, кВт]),0),IF(BP19=1,IF(OR(N(_xlfn.XLOOKUP(A19,Щиты[Щит],Щиты[Вводов],1))&lt;=1,LOWER(TRIM(_xlfn.XLOOKUP(A19,Щиты[Щит],Щиты[АВР],"")&amp;""))="да"),IFERROR(_xlfn.XLOOKUP(A19,Щиты[Щит],Щиты[Руст, кВт]),0),SUMIFS(Линии[_Р для вводов],Линии[Щит],A19,Линии[Источник для режимов],GF19)),IF(BO19&gt;0,ROUND(BO19*MAX(1,N(D19)),3),""))))</f>
        <v>4.34</v>
      </c>
      <c r="BR19">
        <f t="shared" si="14"/>
        <v>4.34</v>
      </c>
      <c r="BS19" s="6">
        <f>IF(B19="","",IF(BH19&lt;&gt;"",IFERROR(_xlfn.XLOOKUP(BH19,Щиты[Щит],Щиты[Руст, кВт]),0),N(BR19)))</f>
        <v>4.34</v>
      </c>
      <c r="BT19" t="str">
        <f>IF(B19="","",IFERROR(IF(VLOOKUP(BC19,Потребители_обозначение,8,FALSE)=0,"",VLOOKUP(BC19,Потребители_обозначение,8,FALSE)),""))</f>
        <v/>
      </c>
      <c r="BU19">
        <f t="shared" si="15"/>
        <v>230</v>
      </c>
      <c r="BV19">
        <f t="shared" si="16"/>
        <v>0</v>
      </c>
      <c r="BW19">
        <f>IF(B19="","",IF(BH19&lt;&gt;"",3,IFERROR(IF(N(VLOOKUP(BC19,Потребители_обозначение,9,FALSE))=0,1,VLOOKUP(BC19,Потребители_обозначение,9,FALSE)),1)))</f>
        <v>3</v>
      </c>
      <c r="BX19">
        <f t="shared" si="17"/>
        <v>1</v>
      </c>
      <c r="BY19" t="str">
        <f>IF(B19="","",_xlfn.LET(_xlpm.bc,IFERROR(IF(VLOOKUP(BC19,Потребители_обозначение,6,FALSE)=0,"",VLOOKUP(BC19,Потребители_обозначение,6,FALSE)&amp;""),""),IF(AND(GA19="да",OR(_xlpm.bc="",_xlpm.bc="мс")),Марка_пож,IF(AND(_xlpm.bc="",BH19&lt;&gt;""),"мс",_xlpm.bc))))</f>
        <v>мс</v>
      </c>
      <c r="BZ19" t="str">
        <f t="shared" si="18"/>
        <v>мс</v>
      </c>
      <c r="CA19">
        <f>IF(B19="","",_xlfn.LET(_xlpm.cc,IFERROR(N(VLOOKUP(BC19,Потребители_обозначение,7,FALSE)),0),IF(_xlpm.cc&gt;0,_xlpm.cc,IF(BZ19="","",IF(BV19=1,2,IF(N(BX19)=3,5,3))))))</f>
        <v>3</v>
      </c>
      <c r="CB19">
        <f t="shared" si="19"/>
        <v>3</v>
      </c>
      <c r="CC19">
        <f>IFERROR(N(VLOOKUP(BC19,Потребители_обозначение,10,FALSE)),0)</f>
        <v>0</v>
      </c>
      <c r="CD19">
        <f>IFERROR(VLOOKUP(BC19,Потребители_обозначение,5,FALSE),0)</f>
        <v>0</v>
      </c>
      <c r="CE19" s="6" cm="1">
        <f t="array" ref="CE19">IF(B19="","",IF(BH19&lt;&gt;"",IFERROR(_xlfn.XLOOKUP(BH19,Щиты[Щит],Щиты[cos φ]),0.95),IF(BP19=1,IFERROR(_xlfn.XLOOKUP(A19,Щиты[Щит],Щиты[cos φ]),0.95),IF(ISNUMBER(AD19),AD19,IFERROR(IF(CD19=2,_xlfn.IFS(BX19=3,VLOOKUP(BS19,Справочная_двигатели,8,FALSE),BX19=1,VLOOKUP(BS19,Справочная_двигатели,10,TRUE)),IF(AND(Методика="нормы 2026",FG19="Сил"),0.8,0.95)),0.95)))))</f>
        <v>0.8</v>
      </c>
      <c r="CF19">
        <f t="shared" si="20"/>
        <v>0</v>
      </c>
      <c r="CG19">
        <f t="shared" si="21"/>
        <v>1</v>
      </c>
      <c r="CH19">
        <f t="shared" si="22"/>
        <v>0</v>
      </c>
      <c r="CI19">
        <f>IF(B19="","",IF(BV19=1,IFERROR(BS19/((Uн_лин/SQRT(3))*MAX(0.5,N(CE19))),0),N(O19)))</f>
        <v>16.443657354357025</v>
      </c>
      <c r="CJ19">
        <f t="shared" si="23"/>
        <v>0</v>
      </c>
      <c r="CK19">
        <f t="shared" si="24"/>
        <v>0</v>
      </c>
      <c r="CL19">
        <f t="shared" si="25"/>
        <v>0</v>
      </c>
      <c r="CM19">
        <f t="shared" si="26"/>
        <v>0</v>
      </c>
      <c r="CN19">
        <f t="shared" si="27"/>
        <v>0</v>
      </c>
      <c r="CO19">
        <f>IF(BC19="",0,_xlfn.LET(_xlpm.v,IFERROR(_xlfn.XLOOKUP(B19,Коды_код,Коды_мА),IFERROR(_xlfn.XLOOKUP(BC19,Коды_код,Коды_мА),IFERROR(_xlfn.XLOOKUP(LEFT(BC19,2),Коды_код,Коды_мА),""))),IF(_xlpm.v="да",30,IF(ISNUMBER(_xlpm.v),_xlpm.v,0))))</f>
        <v>0</v>
      </c>
      <c r="CP19" t="str">
        <f t="shared" si="28"/>
        <v/>
      </c>
      <c r="CQ19" t="str">
        <f>_xlfn.LET(_xlpm.k,IFERROR(_xlfn.XLOOKUP(BC19,Коды_код,Коды_утечка)&amp;"",""),IF(_xlpm.k="","дифавтомат",_xlpm.k))</f>
        <v>дифавтомат</v>
      </c>
      <c r="CR19" t="str" cm="1">
        <f t="array" ref="CR19">IF(CG19=0,"",_xlfn.LET(_xlpm.sg,TRIM(_xlfn.TEXTSPLIT(DD19&amp;"",";")),_xlpm.f_,_xlfn._xlws.FILTER(_xlpm.sg,LEFT(_xlpm.sg,3)="УЗО",""),IFERROR(INDEX(_xlpm.f_,1)&amp;"","")))</f>
        <v/>
      </c>
      <c r="CS19" t="str">
        <f t="shared" si="29"/>
        <v/>
      </c>
      <c r="CT19" s="6" t="str" cm="1">
        <f t="array" ref="CT19">IF(CR19="","",_xlfn.LET(_xlpm.tk,_xlfn.TEXTSPLIT(UPPER(CR19)," ",,TRUE),_xlpm.a_,_xlfn._xlws.FILTER(_xlpm.tk,ISNUMBER(--LEFT(_xlpm.tk,1))*((ISNUMBER(SEARCH("А",_xlpm.tk))+ISNUMBER(SEARCH("A",_xlpm.tk)))&gt;0)*NOT(ISNUMBER(SEARCH("МА",_xlpm.tk)))*NOT(ISNUMBER(SEARCH("MA",_xlpm.tk))),""),IFERROR(--SUBSTITUTE(SUBSTITUTE(INDEX(_xlpm.a_,1),"А",""),"A",""),"")))</f>
        <v/>
      </c>
      <c r="CU19" t="str" cm="1">
        <f t="array" ref="CU19">IF(CR19="","",_xlfn.LET(_xlpm.tk,_xlfn.TEXTSPLIT(UPPER(CR19)," ",,TRUE),_xlpm.a_,_xlfn._xlws.FILTER(_xlpm.tk,ISNUMBER(--LEFT(_xlpm.tk,1))*((ISNUMBER(SEARCH("МА",_xlpm.tk))+ISNUMBER(SEARCH("MA",_xlpm.tk)))&gt;0),""),IFERROR(--SUBSTITUTE(SUBSTITUTE(INDEX(_xlpm.a_,1),"МА",""),"MA",""),30)))</f>
        <v/>
      </c>
      <c r="CV19" t="str">
        <f>IF(CS19="","",IFERROR(_xlfn.XLOOKUP(CS19,Линии[_n],Линии[_УЗО, мА]),30))</f>
        <v/>
      </c>
      <c r="CW19">
        <f>IF(CS19="",0,IF(ISNUMBER(SEARCH("4P",IFERROR(_xlfn.XLOOKUP(CS19,Линии[_n],Линии[_УЗО строки])&amp;"",""))),0,1))</f>
        <v>0</v>
      </c>
      <c r="CX19" t="str">
        <f>IF(AND(CS19&lt;&gt;"",CS19=BA19),SUMIFS(Линии[_ток на 230 В],Линии[_блок УЗО],BA19,Линии[Щит],A19),"")</f>
        <v/>
      </c>
      <c r="CY19" t="str">
        <f>IF(AND(CS19&lt;&gt;"",CS19=BA19),SUMIFS(Линии[_ток утечки линии, мА],Линии[_блок УЗО],BA19,Линии[Щит],A19),"")</f>
        <v/>
      </c>
      <c r="CZ19">
        <f t="shared" si="30"/>
        <v>0</v>
      </c>
      <c r="DA19">
        <f t="shared" si="31"/>
        <v>0</v>
      </c>
      <c r="DB19">
        <f>IF(B19="",0,IFERROR(--_xlfn.XLOOKUP(B19,Коды_код,Коды_минавт),IFERROR(--_xlfn.XLOOKUP(BC19,Коды_код,Коды_минавт),IFERROR(--_xlfn.XLOOKUP(LEFT(BC19,2),Коды_код,Коды_минавт),0))))</f>
        <v>0</v>
      </c>
      <c r="DC19" t="str">
        <f>IF(B19="","",IFERROR(_xlfn.XLOOKUP(BC19,Коды_код,Коды_апп)&amp;"",""))</f>
        <v/>
      </c>
      <c r="DD19" t="str">
        <f t="shared" si="32"/>
        <v/>
      </c>
      <c r="DE19" t="str" cm="1">
        <f t="array" ref="DE19">IF(TRIM(DD19&amp;"")="","",IFERROR(TRIM(INDEX(_xlfn.TEXTSPLIT(DD19&amp;";;;",";"),1)),""))</f>
        <v/>
      </c>
      <c r="DF19" t="str" cm="1">
        <f t="array" ref="DF19">IF(TRIM(DD19&amp;"")="","",IFERROR(TRIM(INDEX(_xlfn.TEXTSPLIT(DD19&amp;";;;",";"),2)),""))</f>
        <v/>
      </c>
      <c r="DG19" t="str" cm="1">
        <f t="array" ref="DG19">IF(TRIM(DD19&amp;"")="","",IFERROR(TRIM(INDEX(_xlfn.TEXTSPLIT(DD19&amp;";;;",";"),3)),""))</f>
        <v/>
      </c>
      <c r="DH19">
        <f t="shared" si="33"/>
        <v>0</v>
      </c>
      <c r="DI19" t="str">
        <f>IF(B19="","",_xlfn.LET(_xlpm.t,LOWER(AZ19&amp;""),IF(ISNUMBER(SEARCH("dim",_xlpm.t)),"DIM",IF(ISNUMBER(SEARCH("dali",_xlpm.t)),"DALI",IF(OR(ISNUMBER(SEARCH("relay",_xlpm.t)),ISNUMBER(SEARCH("реле",_xlpm.t))),"Relay",IF(ISNUMBER(SEARCH("кнопк",_xlpm.t)),"",IFERROR(_xlfn.XLOOKUP(BC19,Коды_код,Коды_упр)&amp;"","")))))))</f>
        <v/>
      </c>
      <c r="DJ19" t="str">
        <f t="shared" si="34"/>
        <v/>
      </c>
      <c r="DK19">
        <f>IF(B19="","",_xlfn.LET(_xlpm.ig,IF(N(CX19)&gt;0,N(CX19),N(CI19)+IF(AJ19="вручную",0,N(CJ19))),_xlpm.n0,IFERROR(VLOOKUP(_xlpm.ig,Автомат_номиналы,2,TRUE),0),_xlpm.mn,MAX(DB19,IF(AJ19="вручную",0,N(CM19))),MAX(_xlpm.n0,_xlpm.mn,IF(DH19=1,Мин_автомат_БП,0))))</f>
        <v>20</v>
      </c>
      <c r="DL19">
        <f t="shared" si="35"/>
        <v>1</v>
      </c>
      <c r="DM19" t="str">
        <f t="shared" si="36"/>
        <v>1P</v>
      </c>
      <c r="DN19" t="str">
        <f>_xlfn.LET(_xlpm.cc,UPPER(TRIM(IFERROR(_xlfn.XLOOKUP(BC19,Коды_код,Коды_хар)&amp;"",""))),IF(OR(_xlpm.cc="B",_xlpm.cc="В"),"B",IF(_xlpm.cc="D","D","С")))</f>
        <v>С</v>
      </c>
      <c r="DO19" t="str">
        <f t="shared" si="37"/>
        <v>1P С20А</v>
      </c>
      <c r="DP19">
        <f t="shared" si="38"/>
        <v>20</v>
      </c>
      <c r="DQ19" t="str">
        <f t="shared" si="39"/>
        <v>1P С20А</v>
      </c>
      <c r="DR19" cm="1">
        <f t="array" ref="DR19">IF(DQ19="","",_xlfn.LET(_xlpm.t,SUBSTITUTE(SUBSTITUTE(SUBSTITUTE(UPPER(DQ19),"С","C"),"А","A"),"В","B"),_xlpm.tk,_xlfn.TEXTSPLIT(_xlpm.t," "),_xlpm.f,_xlfn._xlws.FILTER(_xlpm.tk,ISNUMBER(--MID(_xlpm.tk,2,1))*ISNUMBER(SEARCH(LEFT(_xlpm.tk,1)&amp;"#","B#C#D#"))*(LEN(_xlpm.tk)&gt;1),""),_xlpm.x,INDEX(_xlpm.f,1),IFERROR(--SUBSTITUTE(MID(_xlpm.x,2,9),"A",""),IFERROR(--SUBSTITUTE(INDEX(_xlfn._xlws.FILTER(_xlpm.tk,ISNUMBER(--SUBSTITUTE(_xlpm.tk,"A","")),""),1),"A",""),""))))</f>
        <v>20</v>
      </c>
      <c r="DS19" t="str">
        <f t="shared" si="40"/>
        <v>ok</v>
      </c>
      <c r="DT19">
        <f t="shared" si="41"/>
        <v>20</v>
      </c>
      <c r="DU19" t="str">
        <f t="shared" si="42"/>
        <v>1P С20А</v>
      </c>
      <c r="DV19">
        <f t="shared" si="43"/>
        <v>0</v>
      </c>
      <c r="DW19">
        <f t="shared" si="44"/>
        <v>0</v>
      </c>
      <c r="DX19">
        <f t="shared" si="45"/>
        <v>0</v>
      </c>
      <c r="DY19">
        <f t="shared" si="46"/>
        <v>16.443657354357025</v>
      </c>
      <c r="DZ19">
        <f t="shared" si="47"/>
        <v>1</v>
      </c>
      <c r="EA19">
        <f>IF(ISNUMBER(AP19),AP19,К_прокл)</f>
        <v>1</v>
      </c>
      <c r="EB19">
        <f t="shared" si="48"/>
        <v>2</v>
      </c>
      <c r="EC19">
        <f>IFERROR(N(VLOOKUP(BZ19,Кабель_обозначение,3,FALSE)),1)</f>
        <v>1</v>
      </c>
      <c r="ED19">
        <f>IFERROR(N(_xlfn.XLOOKUP(A19,Щиты[Щит],Щиты[ΔU до шин, %])),0)</f>
        <v>0</v>
      </c>
      <c r="EE19" t="str">
        <f>IFERROR(_xlfn.XLOOKUP(A19,Щиты[Щит],Щиты[Zпетли на шинах, Ом]),"")</f>
        <v/>
      </c>
      <c r="EF19">
        <f>IFERROR(N(_xlfn.XLOOKUP(A19,Щиты[Щит],Щиты[ΔU до шин (подбор), %])),0)</f>
        <v>0</v>
      </c>
      <c r="EG19" t="str">
        <f>IFERROR(_xlfn.XLOOKUP(A19,Щиты[Щит],Щиты[Zпетли на шинах (подбор), Ом]),"")</f>
        <v/>
      </c>
      <c r="EH19" t="str">
        <f t="shared" si="49"/>
        <v/>
      </c>
      <c r="EI19">
        <f t="shared" si="50"/>
        <v>53</v>
      </c>
      <c r="EJ19">
        <f t="shared" si="51"/>
        <v>2</v>
      </c>
      <c r="EK19">
        <f t="shared" si="52"/>
        <v>0.6</v>
      </c>
      <c r="EL19" s="6">
        <f>IF(B19="","",IF(BV19=1,dU_LED,IF(IFERROR(_xlfn.XLOOKUP(BC19,Коды_код,Коды_уго),"")="Светильник",3,4)+IF(Методика="нормы 2026",MIN(0.5,MAX(0,N(P19)-100)*0.005),0)))</f>
        <v>4</v>
      </c>
      <c r="EM19" cm="1">
        <f t="array" ref="EM19">IF(OR(B19="",BZ19="",EC19&lt;&gt;1),"",_xlfn.LET(_xlpm.sz,Iдоп_S,_xlpm.t_,CHOOSE(EB19,Iдоп_1ж,Iдоп_2ж,Iдоп_3ж)*DZ19*EA19,_xlpm.dcx,BV19=1,_xlpm.inn,IF(_xlpm.dcx,N(O19),N(DT19)),_xlpm.smin,MAX(1.5,CC19),_xlpm.L_,N(P19)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19)/N(BU19)*100,999),IFERROR(N(EJ19)*(_xlpm.rho*_xlpm.L_/_xlpm.sz*N(CE19)+_xlpm.xx*_xlpm.L_*N(EK19)/1000)*N(O19)/((Uн_лин/SQRT(3))*1000)*100,999)),_xlpm.kz,IF(OR(_xlpm.dcx,DW19=1,NOT(ISNUMBER(EG19)),_xlpm.L_=0,_xlpm.inn=0),1,IFERROR(--(c_min*(Uн_лин*1000/SQRT(3))/(EG19+2*ρкз_Cu*_xlpm.L_/_xlpm.sz)&gt;=HT19*_xlpm.inn),0)),_xlpm.ok,IFERROR((_xlpm.sz&gt;=_xlpm.smin)*(_xlpm.t_&gt;=_xlpm.inn)*IF(_xlpm.L_&gt;0,(_xlpm.du_+IF(_xlpm.dcx,0,EF19)&lt;=EL19+0.00001),1)*_xlpm.kz,0),_xlpm.r_,_xlfn._xlws.FILTER(_xlpm.sz,_xlpm.ok,"не подобрано"),INDEX(_xlpm.r_,1)))</f>
        <v>4</v>
      </c>
      <c r="EN19">
        <f t="shared" si="53"/>
        <v>4</v>
      </c>
      <c r="EO19" cm="1">
        <f t="array" ref="EO19">IF(OR(B19="",BZ19="",EC19&lt;&gt;1),"",_xlfn.LET(_xlpm.sz,Iдоп_S,_xlpm.t_,CHOOSE(EB19,Iдоп_1ж,Iдоп_2ж,Iдоп_3ж)*DZ19*EA19,_xlpm.ok,IFERROR((_xlpm.sz&gt;=MAX(1.5,CC19))*(_xlpm.t_&gt;=N(DT19)),0),_xlpm.r_,_xlfn._xlws.FILTER(_xlpm.sz,_xlpm.ok,""),INDEX(_xlpm.r_,1)))</f>
        <v>2.5</v>
      </c>
      <c r="EP19" s="6" cm="1">
        <f t="array" ref="EP19">IFERROR(ROUNDUP(N(EJ19)*(_xlfn.XLOOKUP(EO19,INDEX(Кабель_сопротивление,0,1),INDEX(Кабель_сопротивление,0,3))*N(P19)/EO19*N(CE19)+_xlfn.XLOOKUP(EO19,INDEX(Кабель_сопротивление,0,1),INDEX(Кабель_сопротивление,0,2))*N(P19)*N(EK19)/1000)*N(O19)/((Uн_лин/SQRT(3))*1000)*100,2),"")</f>
        <v>5.4799999999999995</v>
      </c>
      <c r="EQ19">
        <f>IFERROR(2*ρкз_Cu*N(P19)/EO19,"")</f>
        <v>1.1151199999999999</v>
      </c>
      <c r="ER19">
        <f>IFERROR(VLOOKUP(EN19,Кабель_сопротивление,3,FALSE),"")</f>
        <v>2.2499999999999999E-2</v>
      </c>
      <c r="ES19">
        <f>IFERROR(VLOOKUP(EN19,Кабель_сопротивление,2,FALSE),"")</f>
        <v>9.5000000000000001E-2</v>
      </c>
      <c r="ET19">
        <f t="shared" si="54"/>
        <v>5</v>
      </c>
      <c r="EU19">
        <f t="shared" si="55"/>
        <v>0</v>
      </c>
      <c r="EV19">
        <f t="shared" si="56"/>
        <v>7.9429771357633259</v>
      </c>
      <c r="EW19" s="6">
        <f>IFERROR(ROUNDUP(EV19/IF(BV19=1,BU19,(Uн_лин/SQRT(3))*1000)*100,2),"")</f>
        <v>3.44</v>
      </c>
      <c r="EX19" t="str">
        <f>IFERROR(VLOOKUP(BZ19,Кабель_обозначение,2,FALSE),"")</f>
        <v>ВВГнг(А)-LS</v>
      </c>
      <c r="EY19" t="str">
        <f t="shared" si="57"/>
        <v>ВВГнг(А)-LS (3х4)</v>
      </c>
      <c r="EZ19" t="str">
        <f t="shared" si="58"/>
        <v>ВВГнг(А)-LS (3х4)
L=53-3,44%</v>
      </c>
      <c r="FA19">
        <f>IFERROR(2*ρкз_Cu*P19/EN19,"")</f>
        <v>0.69694999999999996</v>
      </c>
      <c r="FB19">
        <f t="shared" si="59"/>
        <v>0.23187500000000003</v>
      </c>
      <c r="FC19" s="6" t="str">
        <f>IFERROR(IF(OR(B19="",BV19=1,NOT(ISNUMBER(EN19)),N(P19)=0),"",_xlfn.XLOOKUP(A19,Щиты[Щит],Щиты[Zпетли на шинах, Ом])+FA19),"")</f>
        <v/>
      </c>
      <c r="FD19" s="6" t="str">
        <f>IF(ISNUMBER(FC19),c_min*(Uн_лин*1000/SQRT(3))/FC19,"")</f>
        <v/>
      </c>
      <c r="FE19" s="6" t="str">
        <f>IFERROR(IF(OR(B19="",NOT(ISNUMBER(EN19))),"",1.05*(Uн_лин*1000/SQRT(3))/(_xlfn.XLOOKUP(A19,Щиты[Щит],Щиты[Zmax на шинах, Ом])+FB19)/1000),"")</f>
        <v/>
      </c>
      <c r="FF19" s="6" t="str">
        <f>IF(B19="","",IF(ISNUMBER(AC19),"Сил",IF(IFERROR(_xlfn.XLOOKUP(BC19,Коды_код,Коды_группа)&amp;"","")="","Быт",_xlfn.XLOOKUP(BC19,Коды_код,Коды_группа)&amp;"")))</f>
        <v>Сил</v>
      </c>
      <c r="FG19" s="6" t="str">
        <f t="shared" si="60"/>
        <v>Щит</v>
      </c>
      <c r="FH19" s="6" t="str">
        <f>IF(FG19="Щит","щит",IF(FG19="","",IF(FG19="Быт",IFERROR(_xlfn.XLOOKUP(A19,Щиты[Щит],Щиты[Кс быт]),1),IF(FG19="Сил",IF(ISNUMBER(AC19),AC19,IF(Методика="нормы 2026",IFERROR(_xlfn.XLOOKUP(A19,Щиты[Щит],Щиты[Кс силовых (табл. 7.5)]),1),1)),IF(OR(FG19="Пост",FG19="Отоп"),1,IF(FG19="ВНГ",0.7,0))))))</f>
        <v>щит</v>
      </c>
      <c r="FI19">
        <f>IF(FG19="","",IF(AND(BP19=1,TRIM(AE19&amp;"")=""),IF(COUNTIFS(Линии[Щит],A19,Линии[Секция (1/2/3)],"&gt;=2")&gt;0,MIN(3,MAX(1,IFERROR(--BD19,1))),1),IFERROR(MIN(3,MAX(1,INT(--AE19))),1)))</f>
        <v>2</v>
      </c>
      <c r="FJ19">
        <f t="shared" si="61"/>
        <v>0</v>
      </c>
      <c r="FK19">
        <f t="shared" si="62"/>
        <v>0</v>
      </c>
      <c r="FL19">
        <f t="shared" si="63"/>
        <v>0</v>
      </c>
      <c r="FM19">
        <f t="shared" si="64"/>
        <v>0</v>
      </c>
      <c r="FN19">
        <f t="shared" si="65"/>
        <v>0</v>
      </c>
      <c r="FO19">
        <f t="shared" si="66"/>
        <v>0</v>
      </c>
      <c r="FP19">
        <f t="shared" si="67"/>
        <v>4.34</v>
      </c>
      <c r="FQ19">
        <f t="shared" si="68"/>
        <v>0</v>
      </c>
      <c r="FR19">
        <f t="shared" si="69"/>
        <v>0</v>
      </c>
      <c r="FS19">
        <f>IF(CG19=1,IF(AND(CH19=1,CW19=1),0,IF(AND(CS19&lt;&gt;"",CS19=BA19,CW19=1),SUMIFS(Линии[_Р линии, кВт],Линии[_блок УЗО],BA19,Линии[Щит],A19),N(BS19)+IF(AJ19="вручную",0,N(CK19)))),0)</f>
        <v>4.34</v>
      </c>
      <c r="FT19" t="str">
        <f t="shared" si="70"/>
        <v/>
      </c>
      <c r="FU19" t="str">
        <f>IF(B19="","",IF(CG19=0,IF(BA19=1,"",FW18),IF(AND(CH19=1,CW19=1,CS19&lt;&gt;""),IFERROR(_xlfn.XLOOKUP(CS19,Линии[_n],Линии[_фаза итог]),"L1"),IF(OR(N(DL19)&gt;=3,N(BX19)&gt;=3),"L1,L2,L3",IFERROR(_xlfn.TEXTBEFORE(_xlfn.TEXTAFTER(_xlfn.XLOOKUP(A19,Щиты[Щит],Щиты[_фазы авто]),";"&amp;BA19&amp;":"),";"),"L1")))))</f>
        <v>L2</v>
      </c>
      <c r="FV19" t="str">
        <f t="shared" si="71"/>
        <v>L2</v>
      </c>
      <c r="FW19" t="str">
        <f t="shared" si="72"/>
        <v>L2</v>
      </c>
      <c r="FX19" cm="1">
        <f t="array" ref="FX19">IFERROR(IF(CD19=2,_xlfn.IFS(BX19=3,VLOOKUP(BS19,Справочная_двигатели,3,FALSE),BX19=1,VLOOKUP(BS19,Справочная_двигатели,5,TRUE)),0),0)</f>
        <v>0</v>
      </c>
      <c r="FY19">
        <f>IFERROR(IF(CD19=3,VLOOKUP(BS19,Справочная_ЛЭД,2,TRUE),0),0)</f>
        <v>0</v>
      </c>
      <c r="FZ19" s="6">
        <f t="shared" si="73"/>
        <v>0</v>
      </c>
      <c r="GA19" t="str">
        <f>IF(B19="","",IF(TRIM(AH19&amp;"")&lt;&gt;"",IF(LOWER(TRIM(AH19&amp;""))="да","да","нет"),IF(IFERROR(_xlfn.XLOOKUP(BC19,Коды_код,Коды_пожарная),"")="да","да","нет")))</f>
        <v>нет</v>
      </c>
      <c r="GB19" t="str">
        <f t="shared" si="74"/>
        <v/>
      </c>
      <c r="GC19" t="str">
        <f t="shared" si="75"/>
        <v>основная</v>
      </c>
      <c r="GD19">
        <f>IF(AND(BP19=1,TRIM(AE19&amp;"")=""),IF(COUNTIFS(Линии[Щит],A19,Линии[Секция (1/2/3)],"&gt;=2")&gt;0,MIN(3,MAX(1,IFERROR(--BD19,1))),1),IFERROR(MIN(3,MAX(1,INT(--AE19))),1))</f>
        <v>2</v>
      </c>
      <c r="GE19" t="str" cm="1">
        <f t="array" ref="GE19">IF(B19="","",_xlfn.LET(_xlpm.t,IFERROR(_xlfn.XLOOKUP(1,(Шины[Шина]=GC19)*(((Шины[Щит]=A19)+(Шины[Щит]=""))&gt;0),Шины[Тип]),"")&amp;"",IF(_xlpm.t&lt;&gt;"",_xlpm.t,IF(ISNUMBER(SEARCH("ИБП",GC19)),"ИБП",IF(ISNUMBER(SEARCH("ДГУ",GC19)),"ДГУ","Ввод "&amp;GD19)))))</f>
        <v>Ввод 2</v>
      </c>
      <c r="GF19" t="str">
        <f t="shared" si="76"/>
        <v>Ввод 2</v>
      </c>
      <c r="GG19" t="str">
        <f>IF(BP19=0,"",IF(TRIM(AG19&amp;"")&lt;&gt;"",TRIM(AG19&amp;""),IF(OR(GE19="ИБП",GE19="ДГУ"),"I особая",_xlfn.XLOOKUP(A19,Щиты[Щит],Щиты[Категория шины «Ввод»],"III"))))</f>
        <v/>
      </c>
      <c r="GH19" t="str">
        <f>IF(A19="","",_xlfn.XLOOKUP(A19,Щиты[Щит],Щиты[Путь],""))</f>
        <v>|ГРЩ-ЖД|</v>
      </c>
      <c r="GI19" t="str">
        <f>IF(B19="","",IF(AI19&lt;&gt;"",AI19,IF(IFERROR(_xlfn.XLOOKUP(BC19,Коды_код,Коды_вид)&amp;"","")="","Прочее",_xlfn.XLOOKUP(BC19,Коды_код,Коды_вид)&amp;"")))</f>
        <v>Насосы (водоснабжение, дренаж)</v>
      </c>
      <c r="GJ19">
        <f>IF(BM19="","",INT((BM19-1)/Столбцов_на_лист)+1)</f>
        <v>2</v>
      </c>
      <c r="GK19" t="str">
        <f t="shared" si="77"/>
        <v>ВВГнг(А)-LS (3х4) L=53-3,44%</v>
      </c>
      <c r="GL19">
        <f t="shared" si="78"/>
        <v>4.34</v>
      </c>
      <c r="GM19">
        <f t="shared" si="79"/>
        <v>16.450000000000003</v>
      </c>
      <c r="GN19">
        <f t="shared" si="80"/>
        <v>1</v>
      </c>
      <c r="GO19">
        <f t="shared" si="81"/>
        <v>0</v>
      </c>
      <c r="GP19">
        <f t="shared" si="82"/>
        <v>1</v>
      </c>
      <c r="GQ19">
        <f>IF(BM19="","",IF(AND(CG19=1,GP19=1),COUNTIFS(A$3:A19,A19,CG$3:CG19,1,GP$3:GP19,1),IF(OR(OR(BA19=1,A19&lt;&gt;A18),AJ19="вручную",GP19=0),"",IF(BA19=1,"",GR18))))</f>
        <v>15</v>
      </c>
      <c r="GR19">
        <f t="shared" si="83"/>
        <v>15</v>
      </c>
      <c r="GS19">
        <f>IF(B19="","",IFERROR(LOOKUP(INDEX(CHOOSE(EB19,Iдоп_1ж,Iдоп_2ж,Iдоп_3ж),MATCH(EN19,Iдоп_S,0))*DZ19*EA19,{6,10,16,20,25,32,40,50,63,80,100,125,160,200,250,315,400,500,630}),""))</f>
        <v>32</v>
      </c>
      <c r="GT19" t="str">
        <f t="shared" si="84"/>
        <v>QF15</v>
      </c>
      <c r="GU19" t="str">
        <f t="shared" si="85"/>
        <v>QF15</v>
      </c>
      <c r="GV19" t="str">
        <f t="shared" si="86"/>
        <v/>
      </c>
      <c r="GW19">
        <f t="shared" si="87"/>
        <v>0</v>
      </c>
      <c r="GX19" t="str">
        <f>IF(OR(B19="",DJ19=""),"",IFERROR(_xlfn.XLOOKUP(DJ19,Модули_умолч[Управление],Модули_умолч[Модель])&amp;"",""))</f>
        <v/>
      </c>
      <c r="GY19">
        <f>IF(DJ19="",1,IFERROR(MAX(0,N(_xlfn.XLOOKUP(DJ19,Модули_умолч[Управление],Модули_умолч[Каналов на линию]))),1))</f>
        <v>1</v>
      </c>
      <c r="GZ19" t="str">
        <f t="shared" si="88"/>
        <v/>
      </c>
      <c r="HA19" t="str">
        <f t="shared" si="89"/>
        <v/>
      </c>
      <c r="HB19" t="str">
        <f t="shared" si="90"/>
        <v/>
      </c>
      <c r="HC19">
        <f>IF(HB19="",0,IFERROR(N(VLOOKUP(HB19,Модули_спр,3,FALSE)),0))</f>
        <v>0</v>
      </c>
      <c r="HD19" t="str">
        <f t="shared" si="91"/>
        <v/>
      </c>
      <c r="HE19" t="str">
        <f t="shared" si="92"/>
        <v/>
      </c>
      <c r="HF19" t="str">
        <f>IF(OR(HE19="",HE19="-"),"",IFERROR(VLOOKUP(HE19,Модули_спр,2,FALSE),"R"))</f>
        <v/>
      </c>
      <c r="HG19" t="str">
        <f>IF(HF19="","",HF19&amp;"."&amp;COUNTIFS(A$3:A19,A19,HF$3:HF19,HF19))</f>
        <v/>
      </c>
      <c r="HH19" t="str">
        <f t="shared" si="93"/>
        <v/>
      </c>
      <c r="HI19" t="str">
        <f t="shared" si="94"/>
        <v/>
      </c>
      <c r="HJ19" t="str">
        <f t="shared" si="95"/>
        <v/>
      </c>
      <c r="HK19" t="str">
        <f t="shared" si="96"/>
        <v/>
      </c>
      <c r="HL19">
        <f t="shared" si="97"/>
        <v>1</v>
      </c>
      <c r="HM19" t="str">
        <f>IF(HL19=1,"XT"&amp;COUNTIFS(A$3:A19,A19,HL$3:HL19,1),"")</f>
        <v>XT14</v>
      </c>
      <c r="HN19" t="str">
        <f t="shared" si="98"/>
        <v/>
      </c>
      <c r="HO19" t="str">
        <f t="shared" si="99"/>
        <v>QF15</v>
      </c>
      <c r="HP19" t="str">
        <f t="shared" si="100"/>
        <v/>
      </c>
      <c r="HQ19" t="str">
        <f t="shared" si="101"/>
        <v>ok</v>
      </c>
      <c r="HR19" t="str">
        <f>IF(OR(HJ19="",HH19=""),"",IF(HJ19+MAX(0,GY19-1)&gt;IFERROR(VLOOKUP(HI19,Модули_спр,3,FALSE),99),"ЛИШНИЙ КАНАЛ",IF(AND(AL19&lt;&gt;"=",GY19&gt;0,COUNTIFS(Линии[_модуль гр.],HH19,Линии[Канал (итог)],HJ19,Линии[Канал],"&lt;&gt;=",Линии[Щит],A19)&gt;1),"ДУБЛЬ КАНАЛА","")))</f>
        <v/>
      </c>
      <c r="HS19" s="6" t="str">
        <f t="shared" si="102"/>
        <v/>
      </c>
      <c r="HT19">
        <f t="shared" si="103"/>
        <v>10</v>
      </c>
      <c r="HU19" t="str">
        <f t="shared" si="104"/>
        <v/>
      </c>
      <c r="HV19">
        <f t="shared" si="105"/>
        <v>0</v>
      </c>
      <c r="HW19">
        <f t="shared" si="106"/>
        <v>0</v>
      </c>
      <c r="HX19">
        <f t="shared" si="107"/>
        <v>0</v>
      </c>
      <c r="HY19">
        <f t="shared" si="108"/>
        <v>0</v>
      </c>
      <c r="HZ19">
        <f t="shared" si="109"/>
        <v>0</v>
      </c>
      <c r="IA19">
        <f t="shared" si="110"/>
        <v>0</v>
      </c>
      <c r="IB19">
        <f t="shared" si="111"/>
        <v>0</v>
      </c>
      <c r="IC19" t="str">
        <f t="shared" si="112"/>
        <v/>
      </c>
      <c r="ID19" t="str" cm="1">
        <f t="array" ref="ID19">IF(IC19="","",_xlfn.LET(_xlpm.tk,_xlfn.TEXTSPLIT(SUBSTITUTE(SUBSTITUTE(IC19,";"," "),"→"," ")," ",,TRUE),_xlpm.w_,_xlfn._xlws.FILTER(_xlpm.tk,ISNUMBER(--LEFT(_xlpm.tk,1))*((ISNUMBER(SEARCH("W",_xlpm.tk))+ISNUMBER(SEARCH("Вт",_xlpm.tk)))&gt;0),""),IFERROR(--SUBSTITUTE(SUBSTITUTE(UPPER(INDEX(_xlpm.w_,1)),"W",""),"ВТ",""),"")))</f>
        <v/>
      </c>
      <c r="IE19" t="str" cm="1">
        <f t="array" ref="IE19">IF(IC19="","",_xlfn.LET(_xlpm.tk,_xlfn.TEXTSPLIT(SUBSTITUTE(SUBSTITUTE(IC19,";"," "),"→"," ")," ",,TRUE),_xlpm.v_,_xlfn._xlws.FILTER(_xlpm.tk,ISNUMBER(--LEFT(_xlpm.tk,1))*((ISNUMBER(SEARCH("V",_xlpm.tk))+(RIGHT(UPPER(_xlpm.tk))="В"))&gt;0),""),IFERROR(--SUBSTITUTE(SUBSTITUTE(UPPER(INDEX(_xlpm.v_,1)),"V",""),"В",""),"")))</f>
        <v/>
      </c>
      <c r="IF19" s="6" t="str">
        <f>IF(OR(BV19=0,HI19="",HJ19=""),"",IFERROR(N(_xlfn.XLOOKUP(HI19,Каталог!$C$4:$C$500,Каталог!$Q$4:$Q$500)),""))</f>
        <v/>
      </c>
      <c r="IG19" s="6" t="str">
        <f>IF(N(IF19)=0,"",SUMIFS(Линии[Iр, А],Линии[Щит],A19,Линии[_модуль гр.],HH19,Линии[Канал (итог)],HJ19))</f>
        <v/>
      </c>
      <c r="IH19" t="str">
        <f>IF(AND(B19="",HO19=""),"",_xlfn.TEXTJOIN("; ",TRUE,IF(AND(B19&lt;&gt;"",FV19=""),"нет фазы",""),IF(AND(B19&lt;&gt;"",N(GL19)=0,FG19&lt;&gt;"Нет"),"нет мощности",""),IF(AND(HN19&lt;&gt;"",COUNTIFS(Линии[Щит],A19,Линии[Клемма (итог)],HN19)&gt;1),"дубль клеммы "&amp;HN19,""),IF(AND(HQ19&lt;&gt;"",HQ19&lt;&gt;"ok"),HQ19,""),IF(HR19&lt;&gt;"",HR19,""),IF(AND(N(CB19)&gt;=4,N(BX19)=1),CB19&amp;" жил на 1 фазе",""),IF(AND(BC19="R",CG19=1,IF(CS19&lt;&gt;"",N(CV19)&gt;30,OR(N(DA19)=0,N(DA19)&gt;30))),"розетка без дифзащиты до 30 мА",""),IF(AND(CG19=1,N(DA19)&gt;0,ISNUMBER(T19)),IF(T19&gt;N(DA19)/3,"ток утечки "&amp;FIXED(T19,1)&amp;" мА &gt; 1/3 уставки ("&amp;DA19&amp;" мА)",""),""),IF(AND(CH19=1,CS19=""),"«узо»: нет строки с УЗО выше (УЗО 2P 40А 30мА в «Аппаратах»)",""),IF(AND(CS19&lt;&gt;"",CS19=BA19),IF(CT19="","впишите номинал УЗО (УЗО 2P 40А 30мА)",IF(N(CT19)&lt;N(DT19),"УЗО "&amp;CT19&amp;" А &lt; автомата "&amp;DT19&amp;" А перед ним",IF(N(CT19)&lt;N(CX19),"УЗО "&amp;CT19&amp;" А &lt; тока блока "&amp;FIXED(CX19,1)&amp;" А",""))),""),IF(AND(CS19&lt;&gt;"",CS19=BA19,ISNUMBER(CY19)),IF(CY19&gt;N(CV19)/3,"ток утечки блока УЗО "&amp;FIXED(CY19,1)&amp;" мА &gt; 1/3 уставки ("&amp;CV19&amp;" мА)",""),""),IF(AND(CG19=1,N(BV19)+N(IB19)&gt;0,IC19=""),"линии до 50 В без БП: впишите в «Аппараты» (БП 24V 480W)",""),IF(AND(CG19=1,ISNUMBER(ID19),ISNUMBER(U19)),IF(U19&gt;ID19,"БП "&amp;ID19&amp;" Вт &lt; нужно "&amp;U19&amp;" Вт (×"&amp;Запас_БП&amp;")",""),""),IF(AND(CG19=1,ISNUMBER(IE19),N(BV19)=1),IF(IE19&lt;&gt;N(BU19),"БП на "&amp;IE19&amp;" В, линия "&amp;BU19&amp;" В",""),""),IF(AND(N(IF19)&gt;0,N(IG19)&gt;N(IF19)),HH19&amp;" канал "&amp;HJ19&amp;": "&amp;FIXED(IG19,1)&amp;" А &gt; "&amp;IF19&amp;" А",""),IFERROR(IF(AND(ISNUMBER(Q19),Q19&gt;EL19),"потери "&amp;FIXED(Q19,1)&amp;" % &gt; "&amp;EL19&amp;" %",""),""),IFERROR(IF(LEFT(HU19,4)="мало","Iкз мало — отключение &gt; 0,4 с",""),""),IF(AND(B19&lt;&gt;"",BM19=""),"не на схеме",""),IF(AND(CG19=0,B19&lt;&gt;"",FV19&lt;&gt;"",IF(BA19=1,"",FW18)&lt;&gt;"",FV19&lt;&gt;IF(BA19=1,"",FW18)),"фаза не как у автомата группы ("&amp;IF(BA19=1,"",FW18)&amp;")","")))</f>
        <v/>
      </c>
      <c r="II19" s="6" t="str">
        <f>IF(OR(CG19=0,DQ19=""),"",_xlfn.LET(_xlpm.t,IFERROR(_xlfn.XLOOKUP(DQ19,Каталог!$U$4:$U$500,Каталог!$G$4:$G$500),""),_xlpm.k,SEARCH("кА",_xlpm.t),IFERROR(--TRIM(RIGHT(SUBSTITUTE(MID(_xlpm.t,MAX(1,_xlpm.k-4),_xlpm.k-MAX(1,_xlpm.k-4))," ",REPT(" ",9)),5)),"")))</f>
        <v/>
      </c>
      <c r="IJ19" t="str">
        <f>IF(OR(II19="",CG19=0),"",IF(_xlfn.XLOOKUP(A19,Щиты[Щит],Щиты[Iкз max на шинах, кА],"")="","",IF(II19&lt;_xlfn.XLOOKUP(A19,Щиты[Щит],Щиты[Iкз max на шинах, кА]),"Icu "&amp;II19&amp;" кА &lt; Iкз max","ok")))</f>
        <v/>
      </c>
      <c r="IK19" t="str">
        <f t="shared" si="113"/>
        <v/>
      </c>
      <c r="IL19" t="str">
        <f t="shared" si="114"/>
        <v>QF15</v>
      </c>
      <c r="IM19" t="str">
        <f t="shared" si="115"/>
        <v>QF15|кабель ВВГнг(А)-LS (3х4) → Щит насосов ЩС-ВК.003 Подвальный этаж этаж Пом. №00.006Т</v>
      </c>
      <c r="IN19" t="str" cm="1">
        <f t="array" ref="IN19">IF(IM19="","",_xlfn.LET(_xlpm.nd,_xlfn.TEXTSPLIT(IM19,"|"),IF(COLUMNS(_xlpm.nd)&gt;1,A19&amp;"¦"&amp;INDEX(_xlpm.nd,1)&amp;"¦"&amp;INDEX(_xlpm.nd,2),"")))</f>
        <v>ГРЩ-ЖД¦QF15¦кабель ВВГнг(А)-LS (3х4) → Щит насосов ЩС-ВК.003 Подвальный этаж этаж Пом. №00.006Т</v>
      </c>
      <c r="IO19" t="str">
        <f t="shared" si="116"/>
        <v>ЩС-ВК.003¦Щит насосов ЩС-ВК.003 Подвальный этаж этаж Пом. №00.006Т</v>
      </c>
      <c r="IP19" t="str" cm="1">
        <f t="array" ref="IP19">IF(IM19="","",_xlfn.LET(_xlpm.nd,_xlfn.TEXTSPLIT(IM19,"|"),IF(COLUMNS(_xlpm.nd)&gt;2,A19&amp;"¦"&amp;INDEX(_xlpm.nd,2)&amp;"¦"&amp;INDEX(_xlpm.nd,3),"")))</f>
        <v/>
      </c>
      <c r="IQ19" t="str">
        <f t="shared" si="117"/>
        <v/>
      </c>
      <c r="IR19" t="str" cm="1">
        <f t="array" ref="IR19">IF(IM19="","",_xlfn.LET(_xlpm.nd,_xlfn.TEXTSPLIT(IM19,"|"),IF(COLUMNS(_xlpm.nd)&gt;3,A19&amp;"¦"&amp;INDEX(_xlpm.nd,3)&amp;"¦"&amp;INDEX(_xlpm.nd,4),"")))</f>
        <v/>
      </c>
      <c r="IS19" t="str">
        <f t="shared" si="118"/>
        <v/>
      </c>
      <c r="IT19" t="str" cm="1">
        <f t="array" ref="IT19">IF(IM19="","",_xlfn.LET(_xlpm.nd,_xlfn.TEXTSPLIT(IM19,"|"),IF(COLUMNS(_xlpm.nd)&gt;4,A19&amp;"¦"&amp;INDEX(_xlpm.nd,4)&amp;"¦"&amp;INDEX(_xlpm.nd,5),"")))</f>
        <v/>
      </c>
      <c r="IU19" t="str">
        <f t="shared" si="119"/>
        <v/>
      </c>
      <c r="IV19" t="str" cm="1">
        <f t="array" ref="IV19">IF(IM19="","",_xlfn.LET(_xlpm.nd,_xlfn.TEXTSPLIT(IM19,"|"),IF(COLUMNS(_xlpm.nd)&gt;5,A19&amp;"¦"&amp;INDEX(_xlpm.nd,5)&amp;"¦"&amp;INDEX(_xlpm.nd,6),"")))</f>
        <v/>
      </c>
      <c r="IW19" t="str">
        <f t="shared" si="120"/>
        <v/>
      </c>
      <c r="IX19" t="str" cm="1">
        <f t="array" ref="IX19">IF(IM19="","",_xlfn.LET(_xlpm.nd,_xlfn.TEXTSPLIT(IM19,"|"),IF(COLUMNS(_xlpm.nd)&gt;6,A19&amp;"¦"&amp;INDEX(_xlpm.nd,6)&amp;"¦"&amp;INDEX(_xlpm.nd,7),"")))</f>
        <v/>
      </c>
      <c r="IY19" t="str">
        <f t="shared" si="121"/>
        <v/>
      </c>
      <c r="IZ19" t="str">
        <f t="shared" si="122"/>
        <v/>
      </c>
      <c r="JA19" t="str">
        <f t="shared" si="123"/>
        <v>QF15</v>
      </c>
      <c r="JB19">
        <f t="shared" si="124"/>
        <v>0</v>
      </c>
      <c r="JC19">
        <f t="shared" si="125"/>
        <v>0</v>
      </c>
      <c r="JD19" t="str">
        <f t="shared" si="126"/>
        <v/>
      </c>
      <c r="JE19" t="str">
        <f t="shared" si="127"/>
        <v/>
      </c>
      <c r="JF19" t="str">
        <f t="shared" si="128"/>
        <v/>
      </c>
      <c r="JG19" t="str">
        <f t="shared" si="129"/>
        <v/>
      </c>
      <c r="JH19">
        <f>IF(B19="","",IFERROR(_xlfn.XLOOKUP(B19,Коды_код,Коды_уго),IFERROR(_xlfn.XLOOKUP(BC19,Коды_код,Коды_уго),IFERROR(_xlfn.XLOOKUP(LEFT(BC19,2),Коды_код,Коды_уго),""))))</f>
        <v>0</v>
      </c>
      <c r="JI19" t="str">
        <f>IF(B19="","",IF(OR(JH19="",JH19=0),"BOX",IFERROR(IF(VLOOKUP(JH19,УГО_блоки,3,FALSE)&amp;""&lt;&gt;"",VLOOKUP(JH19,УГО_блоки,3,FALSE),VLOOKUP(JH19,УГО_блоки,2,FALSE)),JH19)))</f>
        <v>BOX</v>
      </c>
      <c r="JJ19">
        <f t="shared" si="130"/>
        <v>1</v>
      </c>
      <c r="JK19" t="str">
        <f>IF(DQ19="","",IF(COUNTIF(DQ$3:DQ19,DQ19)=1,MAX(JK$2:JK18)+1,""))</f>
        <v/>
      </c>
      <c r="JL19" t="str">
        <f>IF(DE19="","",IF(COUNTIF(DE$3:DE19,DE19)+COUNTIF(DF$2:DF18,DE19)+COUNTIF(DG$2:DG18,DE19)=1,MAX(JL$2:JN18)+1,""))</f>
        <v/>
      </c>
      <c r="JM19" t="str">
        <f>IF(DF19="","",IF(COUNTIF(DE$3:DE19,DF19)+COUNTIF(DF$3:DF19,DF19)+COUNTIF(DG$2:DG18,DF19)=1,MAX(JL$2:JN18,JL19)+1,""))</f>
        <v/>
      </c>
      <c r="JN19" t="str">
        <f>IF(DG19="","",IF(COUNTIF(DE$3:DE19,DG19)+COUNTIF(DF$3:DF19,DG19)+COUNTIF(DG$3:DG19,DG19)=1,MAX(JL$2:JN18,JL19,JM19)+1,""))</f>
        <v/>
      </c>
      <c r="JO19" t="str">
        <f t="shared" si="131"/>
        <v>3х4</v>
      </c>
      <c r="JP19" t="str">
        <f>IF(JO19="","",IF(COUNTIF(JO$3:JO19,JO19)=1,MAX(JP$2:JP18)+1,""))</f>
        <v/>
      </c>
      <c r="JQ19" t="str">
        <f>IF(HG19="","",COUNTIF(HG$3:HG19,"?*"))</f>
        <v/>
      </c>
      <c r="JR19" t="str">
        <f>IF(OR(HG19="",HI19=""),"",IF(COUNTIFS(HG$3:HG19,"?*",HI$3:HI19,HI19)=1,MAX(JR$2:JR18)+1,""))</f>
        <v/>
      </c>
      <c r="JS19">
        <f t="shared" si="132"/>
        <v>0</v>
      </c>
      <c r="JT19">
        <f>IF(B19="","",COUNTIF(B$3:B19,"?*"))</f>
        <v>17</v>
      </c>
      <c r="JU19">
        <f>IF(HL19&lt;&gt;1,0,_xlfn.LET(_xlpm.k,MAX(IFERROR(--_xlfn.XLOOKUP(B19,Коды_код,Коды_3L),0),IFERROR(--_xlfn.XLOOKUP(BC19,Коды_код,Коды_3L),0),IFERROR(--_xlfn.XLOOKUP(LEFT(BC19,2),Коды_код,Коды_3L),0)),IF(_xlpm.k&gt;0,_xlpm.k,IF(IFERROR(--LEFT(SUBSTITUTE(JO19,"x","х"),FIND("х",SUBSTITUTE(JO19,"x","х"))-1),3)&gt;3,Каталог!$S$9,1))))</f>
        <v>1</v>
      </c>
      <c r="JV19">
        <f t="shared" si="133"/>
        <v>0</v>
      </c>
      <c r="JW19" t="str">
        <f t="shared" si="134"/>
        <v>авто</v>
      </c>
      <c r="JX19" t="str">
        <f t="shared" si="135"/>
        <v/>
      </c>
      <c r="JY19">
        <f t="shared" si="136"/>
        <v>0</v>
      </c>
      <c r="JZ19">
        <f t="shared" si="137"/>
        <v>1</v>
      </c>
    </row>
    <row r="20" spans="1:286" x14ac:dyDescent="0.3">
      <c r="A20" t="s">
        <v>783</v>
      </c>
      <c r="B20" t="s">
        <v>769</v>
      </c>
      <c r="C20" t="s">
        <v>768</v>
      </c>
      <c r="D20">
        <v>1</v>
      </c>
      <c r="E20">
        <v>16.440000000000001</v>
      </c>
      <c r="G20">
        <v>32</v>
      </c>
      <c r="H20" t="str">
        <f>Линии[[#This Row],[_авто управление]]</f>
        <v/>
      </c>
      <c r="I20" t="str">
        <f>Линии[[#This Row],[_авто аппараты]]</f>
        <v/>
      </c>
      <c r="J20">
        <v>6</v>
      </c>
      <c r="K20">
        <v>52</v>
      </c>
      <c r="L20" t="str">
        <f>Линии[[#This Row],[_авто фаза]]</f>
        <v>L1,L2,L3</v>
      </c>
      <c r="M20" t="s">
        <v>484</v>
      </c>
      <c r="N20" t="str">
        <f t="shared" si="0"/>
        <v/>
      </c>
      <c r="O20" s="6" cm="1">
        <f t="array" ref="O20">IF(B20="","",IF(BH20&lt;&gt;"",IFERROR(_xlfn.XLOOKUP(BH20,Щиты[Щит],Щиты[Iр, А]),""),IF(BP20=1,IF(OR(N(_xlfn.XLOOKUP(A20,Щиты[Щит],Щиты[Вводов],1))&lt;=1,LOWER(TRIM(_xlfn.XLOOKUP(A20,Щиты[Щит],Щиты[АВР],"")&amp;""))="да"),IFERROR(_xlfn.XLOOKUP(A20,Щиты[Щит],Щиты[Iр, А]),""),IFERROR(N(BS20)*_xlfn.XLOOKUP(A20,Щиты[Щит],Щиты[Кс итог])/(SQRT(3)*Uн_лин*_xlfn.XLOOKUP(A20,Щиты[Щит],Щиты[cos φ])),"")),IF(BV20=1,IFERROR(BS20*1000/BU20,""),IFERROR(_xlfn.IFS(BX20=1,BS20/((Uн_лин/SQRT(3))*CE20),BX20=3,BS20/(SQRT(3)*Uн_лин*CE20)),"")))))</f>
        <v>30.766691976552419</v>
      </c>
      <c r="P20" s="7">
        <f>IF(B20="","",IFERROR(IF(VLOOKUP(BC20,Потребители_обозначение,4,FALSE)=1,VLOOKUP(BC20,Потребители_обозначение,3,FALSE)*(MAX(1,N(D20))*2-1)+EI20+VLOOKUP(BE20,Этаж_обозначение,3,FALSE)+VLOOKUP(BE20,Этаж_обозначение,4,FALSE),VLOOKUP(BC20,Потребители_обозначение,3,FALSE)*(MAX(1,N(D20))*2-1)+EI20),EI20))</f>
        <v>52</v>
      </c>
      <c r="Q20" s="6">
        <f t="shared" si="1"/>
        <v>2.4899999999999998</v>
      </c>
      <c r="R20" t="str">
        <f t="shared" si="2"/>
        <v>ВВГнг(А)-LS (5х6)</v>
      </c>
      <c r="S20" t="str">
        <f>IF(BM20="","",IF(BN20="вводной узел","узел ","")&amp;"л."&amp;(INT((BM20-1)/Столбцов_на_лист)+1)&amp;" / "&amp;(MOD(BM20-1,Столбцов_на_лист)+1))</f>
        <v>л.2 / 15</v>
      </c>
      <c r="T20" s="119" t="str">
        <f t="shared" si="3"/>
        <v/>
      </c>
      <c r="U20" s="7" t="str">
        <f>IF(OR(CG20=0,N(BV20)+N(IB20)=0),"",ROUNDUP(Запас_БП*(N(HY20)+N(HZ20)),0))</f>
        <v/>
      </c>
      <c r="V20" s="119" t="str">
        <f t="shared" si="4"/>
        <v/>
      </c>
      <c r="W20" s="7" t="str">
        <f>IFERROR(IF(OR(B20="",BP20=1,BV20=1,NOT(ISNUMBER(EN20)),N(DT20)=0),"",MAX(0,ROUNDDOWN((c_min*(Uн_лин*1000/SQRT(3))/(HT20*N(DT20))-_xlfn.XLOOKUP(A20,Щиты[Щит],Щиты[Zпетли на шинах, Ом]))*EN20/(2*ρкз_Cu),0))),"")</f>
        <v/>
      </c>
      <c r="Y20" t="str">
        <f>Линии[[#This Row],[_авто утечка]]</f>
        <v/>
      </c>
      <c r="Z20">
        <v>3</v>
      </c>
      <c r="AA20">
        <v>400</v>
      </c>
      <c r="AB20" t="s">
        <v>573</v>
      </c>
      <c r="AE20">
        <v>1</v>
      </c>
      <c r="AG20" t="s">
        <v>810</v>
      </c>
      <c r="AI20" t="s">
        <v>609</v>
      </c>
      <c r="AK20" t="str">
        <f>Линии[[#This Row],[_авто модуль]]</f>
        <v/>
      </c>
      <c r="AM20">
        <v>32</v>
      </c>
      <c r="AN20" t="s">
        <v>11</v>
      </c>
      <c r="AO20">
        <v>5</v>
      </c>
      <c r="AQ20">
        <v>39</v>
      </c>
      <c r="AR20">
        <v>8</v>
      </c>
      <c r="AS20">
        <v>0</v>
      </c>
      <c r="BA20" cm="1">
        <f t="array" ref="BA20">ROW()-ROW(Линии[#Headers])</f>
        <v>18</v>
      </c>
      <c r="BC20" s="6" t="str">
        <f t="shared" si="5"/>
        <v>ЩУОВ</v>
      </c>
      <c r="BD20" t="str">
        <f t="shared" si="6"/>
        <v/>
      </c>
      <c r="BE20" t="str">
        <f t="shared" si="7"/>
        <v/>
      </c>
      <c r="BF20" t="str">
        <f t="shared" si="8"/>
        <v/>
      </c>
      <c r="BG20" t="str">
        <f t="shared" si="9"/>
        <v/>
      </c>
      <c r="BH20" t="str">
        <f>IF(X20&lt;&gt;"",X20,IF(AND(B20&lt;&gt;"",B20&lt;&gt;A20,ISNUMBER(_xlfn.XMATCH(B20,Щиты[Щит]))),B20,""))</f>
        <v>ЩУОВ</v>
      </c>
      <c r="BI20" t="str" cm="1">
        <f t="array" ref="BI20">IF(B20="","",IF(BH20&lt;&gt;"","Щит "&amp;BH20,_xlfn.LET(_xlpm.nm,IFERROR(_xlfn.XLOOKUP(BC20,Коды_код,Коды_имя)&amp;"",""),_xlpm.md,IFERROR(N(_xlfn.XLOOKUP(BC20,Коды_код,Коды_режим)),1),_xlpm.ex,IF(Имя_режим="по экспликации",IFERROR(_xlfn.XLOOKUP(BE20&amp;"|"&amp;BG20,Экспликация[Этаж]&amp;"|"&amp;Экспликация[Помещение],Экспликация[Название])&amp;"",""),""),_xlpm.rm,IF(BG20="","",IF(_xlpm.ex&lt;&gt;"",". "&amp;_xlpm.ex&amp;IF(Имя_пом="нет"," ("&amp;BG20&amp;")"," (пом. "&amp;BG20&amp;")"),IF(Имя_пом="нет"," ",", пом. ")&amp;BG20)),IF(_xlpm.nm="","",IF(_xlpm.md=2,_xlpm.nm&amp;" шлейф "&amp;BE20,_xlpm.nm&amp;_xlpm.rm)))))</f>
        <v>Щит ЩУОВ</v>
      </c>
      <c r="BJ20" t="str">
        <f t="shared" si="10"/>
        <v>Щит управления обогрева воронок ЩУОВ Тех. этаж этаж Пом. №3.001</v>
      </c>
      <c r="BK20">
        <f>IFERROR(_xlfn.XMATCH(A20,Щиты[Щит]),0)</f>
        <v>1</v>
      </c>
      <c r="BL20">
        <f>_xlfn.LET(_xlpm.k,IFERROR(_xlfn.XLOOKUP(A20,Щиты[Щит],Щиты[Мест под вводной узел]),""),IF(_xlpm.k="",Столбцов_на_лист,N(_xlpm.k)))</f>
        <v>6</v>
      </c>
      <c r="BM20">
        <f t="shared" si="11"/>
        <v>32</v>
      </c>
      <c r="BN20" t="str">
        <f t="shared" si="12"/>
        <v>линии</v>
      </c>
      <c r="BO20" s="6">
        <f>IFERROR(N(_xlfn.XLOOKUP(BC20,Коды_код,Коды_квт)),0)</f>
        <v>0</v>
      </c>
      <c r="BP20">
        <f t="shared" si="13"/>
        <v>0</v>
      </c>
      <c r="BQ20">
        <f>IF(B20="","",IF(BH20&lt;&gt;"",IFERROR(_xlfn.XLOOKUP(BH20,Щиты[Щит],Щиты[Руст, кВт]),0),IF(BP20=1,IF(OR(N(_xlfn.XLOOKUP(A20,Щиты[Щит],Щиты[Вводов],1))&lt;=1,LOWER(TRIM(_xlfn.XLOOKUP(A20,Щиты[Щит],Щиты[АВР],"")&amp;""))="да"),IFERROR(_xlfn.XLOOKUP(A20,Щиты[Щит],Щиты[Руст, кВт]),0),SUMIFS(Линии[_Р для вводов],Линии[Щит],A20,Линии[Источник для режимов],GF20)),IF(BO20&gt;0,ROUND(BO20*MAX(1,N(D20)),3),""))))</f>
        <v>16.439999999999998</v>
      </c>
      <c r="BR20">
        <f t="shared" si="14"/>
        <v>16.440000000000001</v>
      </c>
      <c r="BS20" s="6">
        <f>IF(B20="","",IF(BH20&lt;&gt;"",IFERROR(_xlfn.XLOOKUP(BH20,Щиты[Щит],Щиты[Руст, кВт]),0),N(BR20)))</f>
        <v>16.439999999999998</v>
      </c>
      <c r="BT20" t="str">
        <f>IF(B20="","",IFERROR(IF(VLOOKUP(BC20,Потребители_обозначение,8,FALSE)=0,"",VLOOKUP(BC20,Потребители_обозначение,8,FALSE)),""))</f>
        <v/>
      </c>
      <c r="BU20">
        <f t="shared" si="15"/>
        <v>400</v>
      </c>
      <c r="BV20">
        <f t="shared" si="16"/>
        <v>0</v>
      </c>
      <c r="BW20">
        <f>IF(B20="","",IF(BH20&lt;&gt;"",3,IFERROR(IF(N(VLOOKUP(BC20,Потребители_обозначение,9,FALSE))=0,1,VLOOKUP(BC20,Потребители_обозначение,9,FALSE)),1)))</f>
        <v>3</v>
      </c>
      <c r="BX20">
        <f t="shared" si="17"/>
        <v>3</v>
      </c>
      <c r="BY20" t="str">
        <f>IF(B20="","",_xlfn.LET(_xlpm.bc,IFERROR(IF(VLOOKUP(BC20,Потребители_обозначение,6,FALSE)=0,"",VLOOKUP(BC20,Потребители_обозначение,6,FALSE)&amp;""),""),IF(AND(GA20="да",OR(_xlpm.bc="",_xlpm.bc="мс")),Марка_пож,IF(AND(_xlpm.bc="",BH20&lt;&gt;""),"мс",_xlpm.bc))))</f>
        <v>мс</v>
      </c>
      <c r="BZ20" t="str">
        <f t="shared" si="18"/>
        <v>мс</v>
      </c>
      <c r="CA20">
        <f>IF(B20="","",_xlfn.LET(_xlpm.cc,IFERROR(N(VLOOKUP(BC20,Потребители_обозначение,7,FALSE)),0),IF(_xlpm.cc&gt;0,_xlpm.cc,IF(BZ20="","",IF(BV20=1,2,IF(N(BX20)=3,5,3))))))</f>
        <v>5</v>
      </c>
      <c r="CB20">
        <f t="shared" si="19"/>
        <v>5</v>
      </c>
      <c r="CC20">
        <f>IFERROR(N(VLOOKUP(BC20,Потребители_обозначение,10,FALSE)),0)</f>
        <v>0</v>
      </c>
      <c r="CD20">
        <f>IFERROR(VLOOKUP(BC20,Потребители_обозначение,5,FALSE),0)</f>
        <v>0</v>
      </c>
      <c r="CE20" s="6" cm="1">
        <f t="array" ref="CE20">IF(B20="","",IF(BH20&lt;&gt;"",IFERROR(_xlfn.XLOOKUP(BH20,Щиты[Щит],Щиты[cos φ]),0.95),IF(BP20=1,IFERROR(_xlfn.XLOOKUP(A20,Щиты[Щит],Щиты[cos φ]),0.95),IF(ISNUMBER(AD20),AD20,IFERROR(IF(CD20=2,_xlfn.IFS(BX20=3,VLOOKUP(BS20,Справочная_двигатели,8,FALSE),BX20=1,VLOOKUP(BS20,Справочная_двигатели,10,TRUE)),IF(AND(Методика="нормы 2026",FG20="Сил"),0.8,0.95)),0.95)))))</f>
        <v>0.95000000000000007</v>
      </c>
      <c r="CF20">
        <f t="shared" si="20"/>
        <v>0</v>
      </c>
      <c r="CG20">
        <f t="shared" si="21"/>
        <v>1</v>
      </c>
      <c r="CH20">
        <f t="shared" si="22"/>
        <v>0</v>
      </c>
      <c r="CI20">
        <f>IF(B20="","",IF(BV20=1,IFERROR(BS20/((Uн_лин/SQRT(3))*MAX(0.5,N(CE20))),0),N(O20)))</f>
        <v>30.766691976552419</v>
      </c>
      <c r="CJ20">
        <f t="shared" si="23"/>
        <v>0</v>
      </c>
      <c r="CK20">
        <f t="shared" si="24"/>
        <v>0</v>
      </c>
      <c r="CL20">
        <f t="shared" si="25"/>
        <v>0</v>
      </c>
      <c r="CM20">
        <f t="shared" si="26"/>
        <v>0</v>
      </c>
      <c r="CN20">
        <f t="shared" si="27"/>
        <v>0</v>
      </c>
      <c r="CO20">
        <f>IF(BC20="",0,_xlfn.LET(_xlpm.v,IFERROR(_xlfn.XLOOKUP(B20,Коды_код,Коды_мА),IFERROR(_xlfn.XLOOKUP(BC20,Коды_код,Коды_мА),IFERROR(_xlfn.XLOOKUP(LEFT(BC20,2),Коды_код,Коды_мА),""))),IF(_xlpm.v="да",30,IF(ISNUMBER(_xlpm.v),_xlpm.v,0))))</f>
        <v>0</v>
      </c>
      <c r="CP20" t="str">
        <f t="shared" si="28"/>
        <v/>
      </c>
      <c r="CQ20" t="str">
        <f>_xlfn.LET(_xlpm.k,IFERROR(_xlfn.XLOOKUP(BC20,Коды_код,Коды_утечка)&amp;"",""),IF(_xlpm.k="","дифавтомат",_xlpm.k))</f>
        <v>дифавтомат</v>
      </c>
      <c r="CR20" t="str" cm="1">
        <f t="array" ref="CR20">IF(CG20=0,"",_xlfn.LET(_xlpm.sg,TRIM(_xlfn.TEXTSPLIT(DD20&amp;"",";")),_xlpm.f_,_xlfn._xlws.FILTER(_xlpm.sg,LEFT(_xlpm.sg,3)="УЗО",""),IFERROR(INDEX(_xlpm.f_,1)&amp;"","")))</f>
        <v/>
      </c>
      <c r="CS20" t="str">
        <f t="shared" si="29"/>
        <v/>
      </c>
      <c r="CT20" s="6" t="str" cm="1">
        <f t="array" ref="CT20">IF(CR20="","",_xlfn.LET(_xlpm.tk,_xlfn.TEXTSPLIT(UPPER(CR20)," ",,TRUE),_xlpm.a_,_xlfn._xlws.FILTER(_xlpm.tk,ISNUMBER(--LEFT(_xlpm.tk,1))*((ISNUMBER(SEARCH("А",_xlpm.tk))+ISNUMBER(SEARCH("A",_xlpm.tk)))&gt;0)*NOT(ISNUMBER(SEARCH("МА",_xlpm.tk)))*NOT(ISNUMBER(SEARCH("MA",_xlpm.tk))),""),IFERROR(--SUBSTITUTE(SUBSTITUTE(INDEX(_xlpm.a_,1),"А",""),"A",""),"")))</f>
        <v/>
      </c>
      <c r="CU20" t="str" cm="1">
        <f t="array" ref="CU20">IF(CR20="","",_xlfn.LET(_xlpm.tk,_xlfn.TEXTSPLIT(UPPER(CR20)," ",,TRUE),_xlpm.a_,_xlfn._xlws.FILTER(_xlpm.tk,ISNUMBER(--LEFT(_xlpm.tk,1))*((ISNUMBER(SEARCH("МА",_xlpm.tk))+ISNUMBER(SEARCH("MA",_xlpm.tk)))&gt;0),""),IFERROR(--SUBSTITUTE(SUBSTITUTE(INDEX(_xlpm.a_,1),"МА",""),"MA",""),30)))</f>
        <v/>
      </c>
      <c r="CV20" t="str">
        <f>IF(CS20="","",IFERROR(_xlfn.XLOOKUP(CS20,Линии[_n],Линии[_УЗО, мА]),30))</f>
        <v/>
      </c>
      <c r="CW20">
        <f>IF(CS20="",0,IF(ISNUMBER(SEARCH("4P",IFERROR(_xlfn.XLOOKUP(CS20,Линии[_n],Линии[_УЗО строки])&amp;"",""))),0,1))</f>
        <v>0</v>
      </c>
      <c r="CX20" t="str">
        <f>IF(AND(CS20&lt;&gt;"",CS20=BA20),SUMIFS(Линии[_ток на 230 В],Линии[_блок УЗО],BA20,Линии[Щит],A20),"")</f>
        <v/>
      </c>
      <c r="CY20" t="str">
        <f>IF(AND(CS20&lt;&gt;"",CS20=BA20),SUMIFS(Линии[_ток утечки линии, мА],Линии[_блок УЗО],BA20,Линии[Щит],A20),"")</f>
        <v/>
      </c>
      <c r="CZ20">
        <f t="shared" si="30"/>
        <v>0</v>
      </c>
      <c r="DA20">
        <f t="shared" si="31"/>
        <v>0</v>
      </c>
      <c r="DB20">
        <f>IF(B20="",0,IFERROR(--_xlfn.XLOOKUP(B20,Коды_код,Коды_минавт),IFERROR(--_xlfn.XLOOKUP(BC20,Коды_код,Коды_минавт),IFERROR(--_xlfn.XLOOKUP(LEFT(BC20,2),Коды_код,Коды_минавт),0))))</f>
        <v>0</v>
      </c>
      <c r="DC20" t="str">
        <f>IF(B20="","",IFERROR(_xlfn.XLOOKUP(BC20,Коды_код,Коды_апп)&amp;"",""))</f>
        <v/>
      </c>
      <c r="DD20" t="str">
        <f t="shared" si="32"/>
        <v/>
      </c>
      <c r="DE20" t="str" cm="1">
        <f t="array" ref="DE20">IF(TRIM(DD20&amp;"")="","",IFERROR(TRIM(INDEX(_xlfn.TEXTSPLIT(DD20&amp;";;;",";"),1)),""))</f>
        <v/>
      </c>
      <c r="DF20" t="str" cm="1">
        <f t="array" ref="DF20">IF(TRIM(DD20&amp;"")="","",IFERROR(TRIM(INDEX(_xlfn.TEXTSPLIT(DD20&amp;";;;",";"),2)),""))</f>
        <v/>
      </c>
      <c r="DG20" t="str" cm="1">
        <f t="array" ref="DG20">IF(TRIM(DD20&amp;"")="","",IFERROR(TRIM(INDEX(_xlfn.TEXTSPLIT(DD20&amp;";;;",";"),3)),""))</f>
        <v/>
      </c>
      <c r="DH20">
        <f t="shared" si="33"/>
        <v>0</v>
      </c>
      <c r="DI20" t="str">
        <f>IF(B20="","",_xlfn.LET(_xlpm.t,LOWER(AZ20&amp;""),IF(ISNUMBER(SEARCH("dim",_xlpm.t)),"DIM",IF(ISNUMBER(SEARCH("dali",_xlpm.t)),"DALI",IF(OR(ISNUMBER(SEARCH("relay",_xlpm.t)),ISNUMBER(SEARCH("реле",_xlpm.t))),"Relay",IF(ISNUMBER(SEARCH("кнопк",_xlpm.t)),"",IFERROR(_xlfn.XLOOKUP(BC20,Коды_код,Коды_упр)&amp;"","")))))))</f>
        <v/>
      </c>
      <c r="DJ20" t="str">
        <f t="shared" si="34"/>
        <v/>
      </c>
      <c r="DK20">
        <f>IF(B20="","",_xlfn.LET(_xlpm.ig,IF(N(CX20)&gt;0,N(CX20),N(CI20)+IF(AJ20="вручную",0,N(CJ20))),_xlpm.n0,IFERROR(VLOOKUP(_xlpm.ig,Автомат_номиналы,2,TRUE),0),_xlpm.mn,MAX(DB20,IF(AJ20="вручную",0,N(CM20))),MAX(_xlpm.n0,_xlpm.mn,IF(DH20=1,Мин_автомат_БП,0))))</f>
        <v>40</v>
      </c>
      <c r="DL20">
        <f t="shared" si="35"/>
        <v>3</v>
      </c>
      <c r="DM20" t="str">
        <f t="shared" si="36"/>
        <v>3P</v>
      </c>
      <c r="DN20" t="str">
        <f>_xlfn.LET(_xlpm.cc,UPPER(TRIM(IFERROR(_xlfn.XLOOKUP(BC20,Коды_код,Коды_хар)&amp;"",""))),IF(OR(_xlpm.cc="B",_xlpm.cc="В"),"B",IF(_xlpm.cc="D","D","С")))</f>
        <v>С</v>
      </c>
      <c r="DO20" t="str">
        <f t="shared" si="37"/>
        <v>3P С40А</v>
      </c>
      <c r="DP20">
        <f t="shared" si="38"/>
        <v>32</v>
      </c>
      <c r="DQ20" t="str">
        <f t="shared" si="39"/>
        <v>3P С32А</v>
      </c>
      <c r="DR20" cm="1">
        <f t="array" ref="DR20">IF(DQ20="","",_xlfn.LET(_xlpm.t,SUBSTITUTE(SUBSTITUTE(SUBSTITUTE(UPPER(DQ20),"С","C"),"А","A"),"В","B"),_xlpm.tk,_xlfn.TEXTSPLIT(_xlpm.t," "),_xlpm.f,_xlfn._xlws.FILTER(_xlpm.tk,ISNUMBER(--MID(_xlpm.tk,2,1))*ISNUMBER(SEARCH(LEFT(_xlpm.tk,1)&amp;"#","B#C#D#"))*(LEN(_xlpm.tk)&gt;1),""),_xlpm.x,INDEX(_xlpm.f,1),IFERROR(--SUBSTITUTE(MID(_xlpm.x,2,9),"A",""),IFERROR(--SUBSTITUTE(INDEX(_xlfn._xlws.FILTER(_xlpm.tk,ISNUMBER(--SUBSTITUTE(_xlpm.tk,"A","")),""),1),"A",""),""))))</f>
        <v>32</v>
      </c>
      <c r="DS20" t="str">
        <f t="shared" si="40"/>
        <v>ok</v>
      </c>
      <c r="DT20">
        <f t="shared" si="41"/>
        <v>32</v>
      </c>
      <c r="DU20" t="str">
        <f t="shared" si="42"/>
        <v>3P С32А</v>
      </c>
      <c r="DV20">
        <f t="shared" si="43"/>
        <v>0</v>
      </c>
      <c r="DW20">
        <f t="shared" si="44"/>
        <v>0</v>
      </c>
      <c r="DX20">
        <f t="shared" si="45"/>
        <v>0</v>
      </c>
      <c r="DY20">
        <f t="shared" si="46"/>
        <v>30.766691976552419</v>
      </c>
      <c r="DZ20">
        <f t="shared" si="47"/>
        <v>0.92</v>
      </c>
      <c r="EA20">
        <f>IF(ISNUMBER(AP20),AP20,К_прокл)</f>
        <v>1</v>
      </c>
      <c r="EB20">
        <f t="shared" si="48"/>
        <v>3</v>
      </c>
      <c r="EC20">
        <f>IFERROR(N(VLOOKUP(BZ20,Кабель_обозначение,3,FALSE)),1)</f>
        <v>1</v>
      </c>
      <c r="ED20">
        <f>IFERROR(N(_xlfn.XLOOKUP(A20,Щиты[Щит],Щиты[ΔU до шин, %])),0)</f>
        <v>0</v>
      </c>
      <c r="EE20" t="str">
        <f>IFERROR(_xlfn.XLOOKUP(A20,Щиты[Щит],Щиты[Zпетли на шинах, Ом]),"")</f>
        <v/>
      </c>
      <c r="EF20">
        <f>IFERROR(N(_xlfn.XLOOKUP(A20,Щиты[Щит],Щиты[ΔU до шин (подбор), %])),0)</f>
        <v>0</v>
      </c>
      <c r="EG20" t="str">
        <f>IFERROR(_xlfn.XLOOKUP(A20,Щиты[Щит],Щиты[Zпетли на шинах (подбор), Ом]),"")</f>
        <v/>
      </c>
      <c r="EH20" t="str">
        <f t="shared" si="49"/>
        <v/>
      </c>
      <c r="EI20">
        <f t="shared" si="50"/>
        <v>52</v>
      </c>
      <c r="EJ20">
        <f t="shared" si="51"/>
        <v>1</v>
      </c>
      <c r="EK20">
        <f t="shared" si="52"/>
        <v>0.31</v>
      </c>
      <c r="EL20" s="6">
        <f>IF(B20="","",IF(BV20=1,dU_LED,IF(IFERROR(_xlfn.XLOOKUP(BC20,Коды_код,Коды_уго),"")="Светильник",3,4)+IF(Методика="нормы 2026",MIN(0.5,MAX(0,N(P20)-100)*0.005),0)))</f>
        <v>4</v>
      </c>
      <c r="EM20" cm="1">
        <f t="array" ref="EM20">IF(OR(B20="",BZ20="",EC20&lt;&gt;1),"",_xlfn.LET(_xlpm.sz,Iдоп_S,_xlpm.t_,CHOOSE(EB20,Iдоп_1ж,Iдоп_2ж,Iдоп_3ж)*DZ20*EA20,_xlpm.dcx,BV20=1,_xlpm.inn,IF(_xlpm.dcx,N(O20),N(DT20)),_xlpm.smin,MAX(1.5,CC20),_xlpm.L_,N(P20)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20)/N(BU20)*100,999),IFERROR(N(EJ20)*(_xlpm.rho*_xlpm.L_/_xlpm.sz*N(CE20)+_xlpm.xx*_xlpm.L_*N(EK20)/1000)*N(O20)/((Uн_лин/SQRT(3))*1000)*100,999)),_xlpm.kz,IF(OR(_xlpm.dcx,DW20=1,NOT(ISNUMBER(EG20)),_xlpm.L_=0,_xlpm.inn=0),1,IFERROR(--(c_min*(Uн_лин*1000/SQRT(3))/(EG20+2*ρкз_Cu*_xlpm.L_/_xlpm.sz)&gt;=HT20*_xlpm.inn),0)),_xlpm.ok,IFERROR((_xlpm.sz&gt;=_xlpm.smin)*(_xlpm.t_&gt;=_xlpm.inn)*IF(_xlpm.L_&gt;0,(_xlpm.du_+IF(_xlpm.dcx,0,EF20)&lt;=EL20+0.00001),1)*_xlpm.kz,0),_xlpm.r_,_xlfn._xlws.FILTER(_xlpm.sz,_xlpm.ok,"не подобрано"),INDEX(_xlpm.r_,1)))</f>
        <v>4</v>
      </c>
      <c r="EN20">
        <f t="shared" si="53"/>
        <v>6</v>
      </c>
      <c r="EO20" cm="1">
        <f t="array" ref="EO20">IF(OR(B20="",BZ20="",EC20&lt;&gt;1),"",_xlfn.LET(_xlpm.sz,Iдоп_S,_xlpm.t_,CHOOSE(EB20,Iдоп_1ж,Iдоп_2ж,Iдоп_3ж)*DZ20*EA20,_xlpm.ok,IFERROR((_xlpm.sz&gt;=MAX(1.5,CC20))*(_xlpm.t_&gt;=N(DT20)),0),_xlpm.r_,_xlfn._xlws.FILTER(_xlpm.sz,_xlpm.ok,""),INDEX(_xlpm.r_,1)))</f>
        <v>4</v>
      </c>
      <c r="EP20" s="6" cm="1">
        <f t="array" ref="EP20">IFERROR(ROUNDUP(N(EJ20)*(_xlfn.XLOOKUP(EO20,INDEX(Кабель_сопротивление,0,1),INDEX(Кабель_сопротивление,0,3))*N(P20)/EO20*N(CE20)+_xlfn.XLOOKUP(EO20,INDEX(Кабель_сопротивление,0,1),INDEX(Кабель_сопротивление,0,2))*N(P20)*N(EK20)/1000)*N(O20)/((Uн_лин/SQRT(3))*1000)*100,2),"")</f>
        <v>3.73</v>
      </c>
      <c r="EQ20">
        <f>IFERROR(2*ρкз_Cu*N(P20)/EO20,"")</f>
        <v>0.68379999999999996</v>
      </c>
      <c r="ER20">
        <f>IFERROR(VLOOKUP(EN20,Кабель_сопротивление,3,FALSE),"")</f>
        <v>2.2499999999999999E-2</v>
      </c>
      <c r="ES20">
        <f>IFERROR(VLOOKUP(EN20,Кабель_сопротивление,2,FALSE),"")</f>
        <v>0.09</v>
      </c>
      <c r="ET20">
        <f t="shared" si="54"/>
        <v>8</v>
      </c>
      <c r="EU20">
        <f t="shared" si="55"/>
        <v>0</v>
      </c>
      <c r="EV20">
        <f t="shared" si="56"/>
        <v>5.7441660053759183</v>
      </c>
      <c r="EW20" s="6">
        <f>IFERROR(ROUNDUP(EV20/IF(BV20=1,BU20,(Uн_лин/SQRT(3))*1000)*100,2),"")</f>
        <v>2.4899999999999998</v>
      </c>
      <c r="EX20" t="str">
        <f>IFERROR(VLOOKUP(BZ20,Кабель_обозначение,2,FALSE),"")</f>
        <v>ВВГнг(А)-LS</v>
      </c>
      <c r="EY20" t="str">
        <f t="shared" si="57"/>
        <v>ВВГнг(А)-LS (5х6)</v>
      </c>
      <c r="EZ20" t="str">
        <f t="shared" si="58"/>
        <v>ВВГнг(А)-LS (5х6)
L=52-2,49%</v>
      </c>
      <c r="FA20">
        <f>IFERROR(2*ρкз_Cu*P20/EN20,"")</f>
        <v>0.45586666666666664</v>
      </c>
      <c r="FB20">
        <f t="shared" si="59"/>
        <v>0.1516666666666667</v>
      </c>
      <c r="FC20" s="6" t="str">
        <f>IFERROR(IF(OR(B20="",BV20=1,NOT(ISNUMBER(EN20)),N(P20)=0),"",_xlfn.XLOOKUP(A20,Щиты[Щит],Щиты[Zпетли на шинах, Ом])+FA20),"")</f>
        <v/>
      </c>
      <c r="FD20" s="6" t="str">
        <f>IF(ISNUMBER(FC20),c_min*(Uн_лин*1000/SQRT(3))/FC20,"")</f>
        <v/>
      </c>
      <c r="FE20" s="6" t="str">
        <f>IFERROR(IF(OR(B20="",NOT(ISNUMBER(EN20))),"",1.05*(Uн_лин*1000/SQRT(3))/(_xlfn.XLOOKUP(A20,Щиты[Щит],Щиты[Zmax на шинах, Ом])+FB20)/1000),"")</f>
        <v/>
      </c>
      <c r="FF20" s="6" t="str">
        <f>IF(B20="","",IF(ISNUMBER(AC20),"Сил",IF(IFERROR(_xlfn.XLOOKUP(BC20,Коды_код,Коды_группа)&amp;"","")="","Быт",_xlfn.XLOOKUP(BC20,Коды_код,Коды_группа)&amp;"")))</f>
        <v>Быт</v>
      </c>
      <c r="FG20" s="6" t="str">
        <f t="shared" si="60"/>
        <v>Щит</v>
      </c>
      <c r="FH20" s="6" t="str">
        <f>IF(FG20="Щит","щит",IF(FG20="","",IF(FG20="Быт",IFERROR(_xlfn.XLOOKUP(A20,Щиты[Щит],Щиты[Кс быт]),1),IF(FG20="Сил",IF(ISNUMBER(AC20),AC20,IF(Методика="нормы 2026",IFERROR(_xlfn.XLOOKUP(A20,Щиты[Щит],Щиты[Кс силовых (табл. 7.5)]),1),1)),IF(OR(FG20="Пост",FG20="Отоп"),1,IF(FG20="ВНГ",0.7,0))))))</f>
        <v>щит</v>
      </c>
      <c r="FI20">
        <f>IF(FG20="","",IF(AND(BP20=1,TRIM(AE20&amp;"")=""),IF(COUNTIFS(Линии[Щит],A20,Линии[Секция (1/2/3)],"&gt;=2")&gt;0,MIN(3,MAX(1,IFERROR(--BD20,1))),1),IFERROR(MIN(3,MAX(1,INT(--AE20))),1)))</f>
        <v>1</v>
      </c>
      <c r="FJ20">
        <f t="shared" si="61"/>
        <v>0</v>
      </c>
      <c r="FK20">
        <f t="shared" si="62"/>
        <v>0</v>
      </c>
      <c r="FL20">
        <f t="shared" si="63"/>
        <v>0</v>
      </c>
      <c r="FM20">
        <f t="shared" si="64"/>
        <v>0</v>
      </c>
      <c r="FN20">
        <f t="shared" si="65"/>
        <v>0</v>
      </c>
      <c r="FO20">
        <f t="shared" si="66"/>
        <v>0</v>
      </c>
      <c r="FP20">
        <f t="shared" si="67"/>
        <v>16.439999999999998</v>
      </c>
      <c r="FQ20">
        <f t="shared" si="68"/>
        <v>0</v>
      </c>
      <c r="FR20">
        <f t="shared" si="69"/>
        <v>0</v>
      </c>
      <c r="FS20">
        <f>IF(CG20=1,IF(AND(CH20=1,CW20=1),0,IF(AND(CS20&lt;&gt;"",CS20=BA20,CW20=1),SUMIFS(Линии[_Р линии, кВт],Линии[_блок УЗО],BA20,Линии[Щит],A20),N(BS20)+IF(AJ20="вручную",0,N(CK20)))),0)</f>
        <v>16.439999999999998</v>
      </c>
      <c r="FT20" t="str">
        <f t="shared" si="70"/>
        <v/>
      </c>
      <c r="FU20" t="str">
        <f>IF(B20="","",IF(CG20=0,IF(BA20=1,"",FW19),IF(AND(CH20=1,CW20=1,CS20&lt;&gt;""),IFERROR(_xlfn.XLOOKUP(CS20,Линии[_n],Линии[_фаза итог]),"L1"),IF(OR(N(DL20)&gt;=3,N(BX20)&gt;=3),"L1,L2,L3",IFERROR(_xlfn.TEXTBEFORE(_xlfn.TEXTAFTER(_xlfn.XLOOKUP(A20,Щиты[Щит],Щиты[_фазы авто]),";"&amp;BA20&amp;":"),";"),"L1")))))</f>
        <v>L1,L2,L3</v>
      </c>
      <c r="FV20" t="str">
        <f t="shared" si="71"/>
        <v>L1,L2,L3</v>
      </c>
      <c r="FW20" t="str">
        <f t="shared" si="72"/>
        <v>L1,L2,L3</v>
      </c>
      <c r="FX20" cm="1">
        <f t="array" ref="FX20">IFERROR(IF(CD20=2,_xlfn.IFS(BX20=3,VLOOKUP(BS20,Справочная_двигатели,3,FALSE),BX20=1,VLOOKUP(BS20,Справочная_двигатели,5,TRUE)),0),0)</f>
        <v>0</v>
      </c>
      <c r="FY20">
        <f>IFERROR(IF(CD20=3,VLOOKUP(BS20,Справочная_ЛЭД,2,TRUE),0),0)</f>
        <v>0</v>
      </c>
      <c r="FZ20" s="6">
        <f t="shared" si="73"/>
        <v>0</v>
      </c>
      <c r="GA20" t="str">
        <f>IF(B20="","",IF(TRIM(AH20&amp;"")&lt;&gt;"",IF(LOWER(TRIM(AH20&amp;""))="да","да","нет"),IF(IFERROR(_xlfn.XLOOKUP(BC20,Коды_код,Коды_пожарная),"")="да","да","нет")))</f>
        <v>нет</v>
      </c>
      <c r="GB20" t="str">
        <f t="shared" si="74"/>
        <v/>
      </c>
      <c r="GC20" t="str">
        <f t="shared" si="75"/>
        <v>основная</v>
      </c>
      <c r="GD20">
        <f>IF(AND(BP20=1,TRIM(AE20&amp;"")=""),IF(COUNTIFS(Линии[Щит],A20,Линии[Секция (1/2/3)],"&gt;=2")&gt;0,MIN(3,MAX(1,IFERROR(--BD20,1))),1),IFERROR(MIN(3,MAX(1,INT(--AE20))),1))</f>
        <v>1</v>
      </c>
      <c r="GE20" t="str" cm="1">
        <f t="array" ref="GE20">IF(B20="","",_xlfn.LET(_xlpm.t,IFERROR(_xlfn.XLOOKUP(1,(Шины[Шина]=GC20)*(((Шины[Щит]=A20)+(Шины[Щит]=""))&gt;0),Шины[Тип]),"")&amp;"",IF(_xlpm.t&lt;&gt;"",_xlpm.t,IF(ISNUMBER(SEARCH("ИБП",GC20)),"ИБП",IF(ISNUMBER(SEARCH("ДГУ",GC20)),"ДГУ","Ввод "&amp;GD20)))))</f>
        <v>Ввод 1</v>
      </c>
      <c r="GF20" t="str">
        <f t="shared" si="76"/>
        <v>Ввод 1</v>
      </c>
      <c r="GG20" t="str">
        <f>IF(BP20=0,"",IF(TRIM(AG20&amp;"")&lt;&gt;"",TRIM(AG20&amp;""),IF(OR(GE20="ИБП",GE20="ДГУ"),"I особая",_xlfn.XLOOKUP(A20,Щиты[Щит],Щиты[Категория шины «Ввод»],"III"))))</f>
        <v/>
      </c>
      <c r="GH20" t="str">
        <f>IF(A20="","",_xlfn.XLOOKUP(A20,Щиты[Щит],Щиты[Путь],""))</f>
        <v>|ГРЩ-ЖД|</v>
      </c>
      <c r="GI20" t="str">
        <f>IF(B20="","",IF(AI20&lt;&gt;"",AI20,IF(IFERROR(_xlfn.XLOOKUP(BC20,Коды_код,Коды_вид)&amp;"","")="","Прочее",_xlfn.XLOOKUP(BC20,Коды_код,Коды_вид)&amp;"")))</f>
        <v>Обогрев водостоков и кровли</v>
      </c>
      <c r="GJ20">
        <f>IF(BM20="","",INT((BM20-1)/Столбцов_на_лист)+1)</f>
        <v>2</v>
      </c>
      <c r="GK20" t="str">
        <f t="shared" si="77"/>
        <v>ВВГнг(А)-LS (5х6) L=52-2,49%</v>
      </c>
      <c r="GL20">
        <f t="shared" si="78"/>
        <v>16.439999999999998</v>
      </c>
      <c r="GM20">
        <f t="shared" si="79"/>
        <v>30.770000000000003</v>
      </c>
      <c r="GN20">
        <f t="shared" si="80"/>
        <v>3</v>
      </c>
      <c r="GO20">
        <f t="shared" si="81"/>
        <v>0</v>
      </c>
      <c r="GP20">
        <f t="shared" si="82"/>
        <v>1</v>
      </c>
      <c r="GQ20">
        <f>IF(BM20="","",IF(AND(CG20=1,GP20=1),COUNTIFS(A$3:A20,A20,CG$3:CG20,1,GP$3:GP20,1),IF(OR(OR(BA20=1,A20&lt;&gt;A19),AJ20="вручную",GP20=0),"",IF(BA20=1,"",GR19))))</f>
        <v>16</v>
      </c>
      <c r="GR20">
        <f t="shared" si="83"/>
        <v>16</v>
      </c>
      <c r="GS20">
        <f>IF(B20="","",IFERROR(LOOKUP(INDEX(CHOOSE(EB20,Iдоп_1ж,Iдоп_2ж,Iдоп_3ж),MATCH(EN20,Iдоп_S,0))*DZ20*EA20,{6,10,16,20,25,32,40,50,63,80,100,125,160,200,250,315,400,500,630}),""))</f>
        <v>32</v>
      </c>
      <c r="GT20" t="str">
        <f t="shared" si="84"/>
        <v>QF16</v>
      </c>
      <c r="GU20" t="str">
        <f t="shared" si="85"/>
        <v>QF16</v>
      </c>
      <c r="GV20" t="str">
        <f t="shared" si="86"/>
        <v/>
      </c>
      <c r="GW20">
        <f t="shared" si="87"/>
        <v>0</v>
      </c>
      <c r="GX20" t="str">
        <f>IF(OR(B20="",DJ20=""),"",IFERROR(_xlfn.XLOOKUP(DJ20,Модули_умолч[Управление],Модули_умолч[Модель])&amp;"",""))</f>
        <v/>
      </c>
      <c r="GY20">
        <f>IF(DJ20="",1,IFERROR(MAX(0,N(_xlfn.XLOOKUP(DJ20,Модули_умолч[Управление],Модули_умолч[Каналов на линию]))),1))</f>
        <v>1</v>
      </c>
      <c r="GZ20" t="str">
        <f t="shared" si="88"/>
        <v/>
      </c>
      <c r="HA20" t="str">
        <f t="shared" si="89"/>
        <v/>
      </c>
      <c r="HB20" t="str">
        <f t="shared" si="90"/>
        <v/>
      </c>
      <c r="HC20">
        <f>IF(HB20="",0,IFERROR(N(VLOOKUP(HB20,Модули_спр,3,FALSE)),0))</f>
        <v>0</v>
      </c>
      <c r="HD20" t="str">
        <f t="shared" si="91"/>
        <v/>
      </c>
      <c r="HE20" t="str">
        <f t="shared" si="92"/>
        <v/>
      </c>
      <c r="HF20" t="str">
        <f>IF(OR(HE20="",HE20="-"),"",IFERROR(VLOOKUP(HE20,Модули_спр,2,FALSE),"R"))</f>
        <v/>
      </c>
      <c r="HG20" t="str">
        <f>IF(HF20="","",HF20&amp;"."&amp;COUNTIFS(A$3:A20,A20,HF$3:HF20,HF20))</f>
        <v/>
      </c>
      <c r="HH20" t="str">
        <f t="shared" si="93"/>
        <v/>
      </c>
      <c r="HI20" t="str">
        <f t="shared" si="94"/>
        <v/>
      </c>
      <c r="HJ20" t="str">
        <f t="shared" si="95"/>
        <v/>
      </c>
      <c r="HK20" t="str">
        <f t="shared" si="96"/>
        <v/>
      </c>
      <c r="HL20">
        <f t="shared" si="97"/>
        <v>1</v>
      </c>
      <c r="HM20" t="str">
        <f>IF(HL20=1,"XT"&amp;COUNTIFS(A$3:A20,A20,HL$3:HL20,1),"")</f>
        <v>XT15</v>
      </c>
      <c r="HN20" t="str">
        <f t="shared" si="98"/>
        <v/>
      </c>
      <c r="HO20" t="str">
        <f t="shared" si="99"/>
        <v>QF16</v>
      </c>
      <c r="HP20" t="str">
        <f t="shared" si="100"/>
        <v/>
      </c>
      <c r="HQ20" t="str">
        <f t="shared" si="101"/>
        <v>ok</v>
      </c>
      <c r="HR20" t="str">
        <f>IF(OR(HJ20="",HH20=""),"",IF(HJ20+MAX(0,GY20-1)&gt;IFERROR(VLOOKUP(HI20,Модули_спр,3,FALSE),99),"ЛИШНИЙ КАНАЛ",IF(AND(AL20&lt;&gt;"=",GY20&gt;0,COUNTIFS(Линии[_модуль гр.],HH20,Линии[Канал (итог)],HJ20,Линии[Канал],"&lt;&gt;=",Линии[Щит],A20)&gt;1),"ДУБЛЬ КАНАЛА","")))</f>
        <v/>
      </c>
      <c r="HS20" s="6" t="str">
        <f t="shared" si="102"/>
        <v/>
      </c>
      <c r="HT20">
        <f t="shared" si="103"/>
        <v>10</v>
      </c>
      <c r="HU20" t="str">
        <f t="shared" si="104"/>
        <v/>
      </c>
      <c r="HV20">
        <f t="shared" si="105"/>
        <v>0</v>
      </c>
      <c r="HW20">
        <f t="shared" si="106"/>
        <v>0</v>
      </c>
      <c r="HX20">
        <f t="shared" si="107"/>
        <v>0</v>
      </c>
      <c r="HY20">
        <f t="shared" si="108"/>
        <v>0</v>
      </c>
      <c r="HZ20">
        <f t="shared" si="109"/>
        <v>0</v>
      </c>
      <c r="IA20">
        <f t="shared" si="110"/>
        <v>0</v>
      </c>
      <c r="IB20">
        <f t="shared" si="111"/>
        <v>0</v>
      </c>
      <c r="IC20" t="str">
        <f t="shared" si="112"/>
        <v/>
      </c>
      <c r="ID20" t="str" cm="1">
        <f t="array" ref="ID20">IF(IC20="","",_xlfn.LET(_xlpm.tk,_xlfn.TEXTSPLIT(SUBSTITUTE(SUBSTITUTE(IC20,";"," "),"→"," ")," ",,TRUE),_xlpm.w_,_xlfn._xlws.FILTER(_xlpm.tk,ISNUMBER(--LEFT(_xlpm.tk,1))*((ISNUMBER(SEARCH("W",_xlpm.tk))+ISNUMBER(SEARCH("Вт",_xlpm.tk)))&gt;0),""),IFERROR(--SUBSTITUTE(SUBSTITUTE(UPPER(INDEX(_xlpm.w_,1)),"W",""),"ВТ",""),"")))</f>
        <v/>
      </c>
      <c r="IE20" t="str" cm="1">
        <f t="array" ref="IE20">IF(IC20="","",_xlfn.LET(_xlpm.tk,_xlfn.TEXTSPLIT(SUBSTITUTE(SUBSTITUTE(IC20,";"," "),"→"," ")," ",,TRUE),_xlpm.v_,_xlfn._xlws.FILTER(_xlpm.tk,ISNUMBER(--LEFT(_xlpm.tk,1))*((ISNUMBER(SEARCH("V",_xlpm.tk))+(RIGHT(UPPER(_xlpm.tk))="В"))&gt;0),""),IFERROR(--SUBSTITUTE(SUBSTITUTE(UPPER(INDEX(_xlpm.v_,1)),"V",""),"В",""),"")))</f>
        <v/>
      </c>
      <c r="IF20" s="6" t="str">
        <f>IF(OR(BV20=0,HI20="",HJ20=""),"",IFERROR(N(_xlfn.XLOOKUP(HI20,Каталог!$C$4:$C$500,Каталог!$Q$4:$Q$500)),""))</f>
        <v/>
      </c>
      <c r="IG20" s="6" t="str">
        <f>IF(N(IF20)=0,"",SUMIFS(Линии[Iр, А],Линии[Щит],A20,Линии[_модуль гр.],HH20,Линии[Канал (итог)],HJ20))</f>
        <v/>
      </c>
      <c r="IH20" t="str">
        <f>IF(AND(B20="",HO20=""),"",_xlfn.TEXTJOIN("; ",TRUE,IF(AND(B20&lt;&gt;"",FV20=""),"нет фазы",""),IF(AND(B20&lt;&gt;"",N(GL20)=0,FG20&lt;&gt;"Нет"),"нет мощности",""),IF(AND(HN20&lt;&gt;"",COUNTIFS(Линии[Щит],A20,Линии[Клемма (итог)],HN20)&gt;1),"дубль клеммы "&amp;HN20,""),IF(AND(HQ20&lt;&gt;"",HQ20&lt;&gt;"ok"),HQ20,""),IF(HR20&lt;&gt;"",HR20,""),IF(AND(N(CB20)&gt;=4,N(BX20)=1),CB20&amp;" жил на 1 фазе",""),IF(AND(BC20="R",CG20=1,IF(CS20&lt;&gt;"",N(CV20)&gt;30,OR(N(DA20)=0,N(DA20)&gt;30))),"розетка без дифзащиты до 30 мА",""),IF(AND(CG20=1,N(DA20)&gt;0,ISNUMBER(T20)),IF(T20&gt;N(DA20)/3,"ток утечки "&amp;FIXED(T20,1)&amp;" мА &gt; 1/3 уставки ("&amp;DA20&amp;" мА)",""),""),IF(AND(CH20=1,CS20=""),"«узо»: нет строки с УЗО выше (УЗО 2P 40А 30мА в «Аппаратах»)",""),IF(AND(CS20&lt;&gt;"",CS20=BA20),IF(CT20="","впишите номинал УЗО (УЗО 2P 40А 30мА)",IF(N(CT20)&lt;N(DT20),"УЗО "&amp;CT20&amp;" А &lt; автомата "&amp;DT20&amp;" А перед ним",IF(N(CT20)&lt;N(CX20),"УЗО "&amp;CT20&amp;" А &lt; тока блока "&amp;FIXED(CX20,1)&amp;" А",""))),""),IF(AND(CS20&lt;&gt;"",CS20=BA20,ISNUMBER(CY20)),IF(CY20&gt;N(CV20)/3,"ток утечки блока УЗО "&amp;FIXED(CY20,1)&amp;" мА &gt; 1/3 уставки ("&amp;CV20&amp;" мА)",""),""),IF(AND(CG20=1,N(BV20)+N(IB20)&gt;0,IC20=""),"линии до 50 В без БП: впишите в «Аппараты» (БП 24V 480W)",""),IF(AND(CG20=1,ISNUMBER(ID20),ISNUMBER(U20)),IF(U20&gt;ID20,"БП "&amp;ID20&amp;" Вт &lt; нужно "&amp;U20&amp;" Вт (×"&amp;Запас_БП&amp;")",""),""),IF(AND(CG20=1,ISNUMBER(IE20),N(BV20)=1),IF(IE20&lt;&gt;N(BU20),"БП на "&amp;IE20&amp;" В, линия "&amp;BU20&amp;" В",""),""),IF(AND(N(IF20)&gt;0,N(IG20)&gt;N(IF20)),HH20&amp;" канал "&amp;HJ20&amp;": "&amp;FIXED(IG20,1)&amp;" А &gt; "&amp;IF20&amp;" А",""),IFERROR(IF(AND(ISNUMBER(Q20),Q20&gt;EL20),"потери "&amp;FIXED(Q20,1)&amp;" % &gt; "&amp;EL20&amp;" %",""),""),IFERROR(IF(LEFT(HU20,4)="мало","Iкз мало — отключение &gt; 0,4 с",""),""),IF(AND(B20&lt;&gt;"",BM20=""),"не на схеме",""),IF(AND(CG20=0,B20&lt;&gt;"",FV20&lt;&gt;"",IF(BA20=1,"",FW19)&lt;&gt;"",FV20&lt;&gt;IF(BA20=1,"",FW19)),"фаза не как у автомата группы ("&amp;IF(BA20=1,"",FW19)&amp;")","")))</f>
        <v/>
      </c>
      <c r="II20" s="6" t="str">
        <f>IF(OR(CG20=0,DQ20=""),"",_xlfn.LET(_xlpm.t,IFERROR(_xlfn.XLOOKUP(DQ20,Каталог!$U$4:$U$500,Каталог!$G$4:$G$500),""),_xlpm.k,SEARCH("кА",_xlpm.t),IFERROR(--TRIM(RIGHT(SUBSTITUTE(MID(_xlpm.t,MAX(1,_xlpm.k-4),_xlpm.k-MAX(1,_xlpm.k-4))," ",REPT(" ",9)),5)),"")))</f>
        <v/>
      </c>
      <c r="IJ20" t="str">
        <f>IF(OR(II20="",CG20=0),"",IF(_xlfn.XLOOKUP(A20,Щиты[Щит],Щиты[Iкз max на шинах, кА],"")="","",IF(II20&lt;_xlfn.XLOOKUP(A20,Щиты[Щит],Щиты[Iкз max на шинах, кА]),"Icu "&amp;II20&amp;" кА &lt; Iкз max","ok")))</f>
        <v/>
      </c>
      <c r="IK20" t="str">
        <f t="shared" si="113"/>
        <v/>
      </c>
      <c r="IL20" t="str">
        <f t="shared" si="114"/>
        <v>QF16</v>
      </c>
      <c r="IM20" t="str">
        <f t="shared" si="115"/>
        <v>QF16|кабель ВВГнг(А)-LS (5х6) → Щит управления обогрева воронок ЩУОВ Тех. этаж этаж Пом. №3.001</v>
      </c>
      <c r="IN20" t="str" cm="1">
        <f t="array" ref="IN20">IF(IM20="","",_xlfn.LET(_xlpm.nd,_xlfn.TEXTSPLIT(IM20,"|"),IF(COLUMNS(_xlpm.nd)&gt;1,A20&amp;"¦"&amp;INDEX(_xlpm.nd,1)&amp;"¦"&amp;INDEX(_xlpm.nd,2),"")))</f>
        <v>ГРЩ-ЖД¦QF16¦кабель ВВГнг(А)-LS (5х6) → Щит управления обогрева воронок ЩУОВ Тех. этаж этаж Пом. №3.001</v>
      </c>
      <c r="IO20" t="str">
        <f t="shared" si="116"/>
        <v>ЩУОВ¦Щит управления обогрева воронок ЩУОВ Тех. этаж этаж Пом. №3.001</v>
      </c>
      <c r="IP20" t="str" cm="1">
        <f t="array" ref="IP20">IF(IM20="","",_xlfn.LET(_xlpm.nd,_xlfn.TEXTSPLIT(IM20,"|"),IF(COLUMNS(_xlpm.nd)&gt;2,A20&amp;"¦"&amp;INDEX(_xlpm.nd,2)&amp;"¦"&amp;INDEX(_xlpm.nd,3),"")))</f>
        <v/>
      </c>
      <c r="IQ20" t="str">
        <f t="shared" si="117"/>
        <v/>
      </c>
      <c r="IR20" t="str" cm="1">
        <f t="array" ref="IR20">IF(IM20="","",_xlfn.LET(_xlpm.nd,_xlfn.TEXTSPLIT(IM20,"|"),IF(COLUMNS(_xlpm.nd)&gt;3,A20&amp;"¦"&amp;INDEX(_xlpm.nd,3)&amp;"¦"&amp;INDEX(_xlpm.nd,4),"")))</f>
        <v/>
      </c>
      <c r="IS20" t="str">
        <f t="shared" si="118"/>
        <v/>
      </c>
      <c r="IT20" t="str" cm="1">
        <f t="array" ref="IT20">IF(IM20="","",_xlfn.LET(_xlpm.nd,_xlfn.TEXTSPLIT(IM20,"|"),IF(COLUMNS(_xlpm.nd)&gt;4,A20&amp;"¦"&amp;INDEX(_xlpm.nd,4)&amp;"¦"&amp;INDEX(_xlpm.nd,5),"")))</f>
        <v/>
      </c>
      <c r="IU20" t="str">
        <f t="shared" si="119"/>
        <v/>
      </c>
      <c r="IV20" t="str" cm="1">
        <f t="array" ref="IV20">IF(IM20="","",_xlfn.LET(_xlpm.nd,_xlfn.TEXTSPLIT(IM20,"|"),IF(COLUMNS(_xlpm.nd)&gt;5,A20&amp;"¦"&amp;INDEX(_xlpm.nd,5)&amp;"¦"&amp;INDEX(_xlpm.nd,6),"")))</f>
        <v/>
      </c>
      <c r="IW20" t="str">
        <f t="shared" si="120"/>
        <v/>
      </c>
      <c r="IX20" t="str" cm="1">
        <f t="array" ref="IX20">IF(IM20="","",_xlfn.LET(_xlpm.nd,_xlfn.TEXTSPLIT(IM20,"|"),IF(COLUMNS(_xlpm.nd)&gt;6,A20&amp;"¦"&amp;INDEX(_xlpm.nd,6)&amp;"¦"&amp;INDEX(_xlpm.nd,7),"")))</f>
        <v/>
      </c>
      <c r="IY20" t="str">
        <f t="shared" si="121"/>
        <v/>
      </c>
      <c r="IZ20" t="str">
        <f t="shared" si="122"/>
        <v/>
      </c>
      <c r="JA20" t="str">
        <f t="shared" si="123"/>
        <v>QF16</v>
      </c>
      <c r="JB20">
        <f t="shared" si="124"/>
        <v>0</v>
      </c>
      <c r="JC20">
        <f t="shared" si="125"/>
        <v>0</v>
      </c>
      <c r="JD20" t="str">
        <f t="shared" si="126"/>
        <v/>
      </c>
      <c r="JE20" t="str">
        <f t="shared" si="127"/>
        <v/>
      </c>
      <c r="JF20" t="str">
        <f t="shared" si="128"/>
        <v/>
      </c>
      <c r="JG20" t="str">
        <f t="shared" si="129"/>
        <v/>
      </c>
      <c r="JH20" t="str">
        <f>IF(B20="","",IFERROR(_xlfn.XLOOKUP(B20,Коды_код,Коды_уго),IFERROR(_xlfn.XLOOKUP(BC20,Коды_код,Коды_уго),IFERROR(_xlfn.XLOOKUP(LEFT(BC20,2),Коды_код,Коды_уго),""))))</f>
        <v/>
      </c>
      <c r="JI20" t="str">
        <f>IF(B20="","",IF(OR(JH20="",JH20=0),"BOX",IFERROR(IF(VLOOKUP(JH20,УГО_блоки,3,FALSE)&amp;""&lt;&gt;"",VLOOKUP(JH20,УГО_блоки,3,FALSE),VLOOKUP(JH20,УГО_блоки,2,FALSE)),JH20)))</f>
        <v>BOX</v>
      </c>
      <c r="JJ20">
        <f t="shared" si="130"/>
        <v>1</v>
      </c>
      <c r="JK20">
        <f>IF(DQ20="","",IF(COUNTIF(DQ$3:DQ20,DQ20)=1,MAX(JK$2:JK19)+1,""))</f>
        <v>12</v>
      </c>
      <c r="JL20" t="str">
        <f>IF(DE20="","",IF(COUNTIF(DE$3:DE20,DE20)+COUNTIF(DF$2:DF19,DE20)+COUNTIF(DG$2:DG19,DE20)=1,MAX(JL$2:JN19)+1,""))</f>
        <v/>
      </c>
      <c r="JM20" t="str">
        <f>IF(DF20="","",IF(COUNTIF(DE$3:DE20,DF20)+COUNTIF(DF$3:DF20,DF20)+COUNTIF(DG$2:DG19,DF20)=1,MAX(JL$2:JN19,JL20)+1,""))</f>
        <v/>
      </c>
      <c r="JN20" t="str">
        <f>IF(DG20="","",IF(COUNTIF(DE$3:DE20,DG20)+COUNTIF(DF$3:DF20,DG20)+COUNTIF(DG$3:DG20,DG20)=1,MAX(JL$2:JN19,JL20,JM20)+1,""))</f>
        <v/>
      </c>
      <c r="JO20" t="str">
        <f t="shared" si="131"/>
        <v>5х6</v>
      </c>
      <c r="JP20" t="str">
        <f>IF(JO20="","",IF(COUNTIF(JO$3:JO20,JO20)=1,MAX(JP$2:JP19)+1,""))</f>
        <v/>
      </c>
      <c r="JQ20" t="str">
        <f>IF(HG20="","",COUNTIF(HG$3:HG20,"?*"))</f>
        <v/>
      </c>
      <c r="JR20" t="str">
        <f>IF(OR(HG20="",HI20=""),"",IF(COUNTIFS(HG$3:HG20,"?*",HI$3:HI20,HI20)=1,MAX(JR$2:JR19)+1,""))</f>
        <v/>
      </c>
      <c r="JS20">
        <f t="shared" si="132"/>
        <v>0</v>
      </c>
      <c r="JT20">
        <f>IF(B20="","",COUNTIF(B$3:B20,"?*"))</f>
        <v>18</v>
      </c>
      <c r="JU20">
        <f>IF(HL20&lt;&gt;1,0,_xlfn.LET(_xlpm.k,MAX(IFERROR(--_xlfn.XLOOKUP(B20,Коды_код,Коды_3L),0),IFERROR(--_xlfn.XLOOKUP(BC20,Коды_код,Коды_3L),0),IFERROR(--_xlfn.XLOOKUP(LEFT(BC20,2),Коды_код,Коды_3L),0)),IF(_xlpm.k&gt;0,_xlpm.k,IF(IFERROR(--LEFT(SUBSTITUTE(JO20,"x","х"),FIND("х",SUBSTITUTE(JO20,"x","х"))-1),3)&gt;3,Каталог!$S$9,1))))</f>
        <v>1</v>
      </c>
      <c r="JV20">
        <f t="shared" si="133"/>
        <v>2</v>
      </c>
      <c r="JW20" t="str">
        <f t="shared" si="134"/>
        <v>авто</v>
      </c>
      <c r="JX20" t="str">
        <f t="shared" si="135"/>
        <v/>
      </c>
      <c r="JY20">
        <f t="shared" si="136"/>
        <v>0</v>
      </c>
      <c r="JZ20">
        <f t="shared" si="137"/>
        <v>1</v>
      </c>
    </row>
    <row r="21" spans="1:286" x14ac:dyDescent="0.3">
      <c r="A21" t="s">
        <v>783</v>
      </c>
      <c r="B21" t="s">
        <v>771</v>
      </c>
      <c r="C21" t="s">
        <v>770</v>
      </c>
      <c r="D21">
        <v>1</v>
      </c>
      <c r="E21">
        <v>103.95</v>
      </c>
      <c r="G21">
        <v>200</v>
      </c>
      <c r="H21" t="str">
        <f>Линии[[#This Row],[_авто управление]]</f>
        <v/>
      </c>
      <c r="I21" t="str">
        <f>Линии[[#This Row],[_авто аппараты]]</f>
        <v/>
      </c>
      <c r="J21">
        <v>95</v>
      </c>
      <c r="K21">
        <v>53</v>
      </c>
      <c r="L21" t="str">
        <f>Линии[[#This Row],[_авто фаза]]</f>
        <v>L1,L2,L3</v>
      </c>
      <c r="M21" t="s">
        <v>484</v>
      </c>
      <c r="N21" t="str">
        <f t="shared" si="0"/>
        <v/>
      </c>
      <c r="O21" s="6" cm="1">
        <f t="array" ref="O21">IF(B21="","",IF(BH21&lt;&gt;"",IFERROR(_xlfn.XLOOKUP(BH21,Щиты[Щит],Щиты[Iр, А]),""),IF(BP21=1,IF(OR(N(_xlfn.XLOOKUP(A21,Щиты[Щит],Щиты[Вводов],1))&lt;=1,LOWER(TRIM(_xlfn.XLOOKUP(A21,Щиты[Щит],Щиты[АВР],"")&amp;""))="да"),IFERROR(_xlfn.XLOOKUP(A21,Щиты[Щит],Щиты[Iр, А]),""),IFERROR(N(BS21)*_xlfn.XLOOKUP(A21,Щиты[Щит],Щиты[Кс итог])/(SQRT(3)*Uн_лин*_xlfn.XLOOKUP(A21,Щиты[Щит],Щиты[cos φ])),"")),IF(BV21=1,IFERROR(BS21*1000/BU21,""),IFERROR(_xlfn.IFS(BX21=1,BS21/((Uн_лин/SQRT(3))*CE21),BX21=3,BS21/(SQRT(3)*Uн_лин*CE21)),"")))))</f>
        <v>187.5486265070675</v>
      </c>
      <c r="P21" s="7">
        <f>IF(B21="","",IFERROR(IF(VLOOKUP(BC21,Потребители_обозначение,4,FALSE)=1,VLOOKUP(BC21,Потребители_обозначение,3,FALSE)*(MAX(1,N(D21))*2-1)+EI21+VLOOKUP(BE21,Этаж_обозначение,3,FALSE)+VLOOKUP(BE21,Этаж_обозначение,4,FALSE),VLOOKUP(BC21,Потребители_обозначение,3,FALSE)*(MAX(1,N(D21))*2-1)+EI21),EI21))</f>
        <v>53</v>
      </c>
      <c r="Q21" s="6">
        <f t="shared" si="1"/>
        <v>0.98</v>
      </c>
      <c r="R21" t="str">
        <f t="shared" si="2"/>
        <v>5хВВГнг(А)-LS  (1х95)</v>
      </c>
      <c r="S21" t="str">
        <f>IF(BM21="","",IF(BN21="вводной узел","узел ","")&amp;"л."&amp;(INT((BM21-1)/Столбцов_на_лист)+1)&amp;" / "&amp;(MOD(BM21-1,Столбцов_на_лист)+1))</f>
        <v>л.2 / 16</v>
      </c>
      <c r="T21" s="119">
        <f t="shared" si="3"/>
        <v>75.5</v>
      </c>
      <c r="U21" s="7" t="str">
        <f>IF(OR(CG21=0,N(BV21)+N(IB21)=0),"",ROUNDUP(Запас_БП*(N(HY21)+N(HZ21)),0))</f>
        <v/>
      </c>
      <c r="V21" s="119" t="str">
        <f t="shared" si="4"/>
        <v/>
      </c>
      <c r="W21" s="7" t="str">
        <f>IFERROR(IF(OR(B21="",BP21=1,BV21=1,NOT(ISNUMBER(EN21)),N(DT21)=0),"",MAX(0,ROUNDDOWN((c_min*(Uн_лин*1000/SQRT(3))/(HT21*N(DT21))-_xlfn.XLOOKUP(A21,Щиты[Щит],Щиты[Zпетли на шинах, Ом]))*EN21/(2*ρкз_Cu),0))),"")</f>
        <v/>
      </c>
      <c r="Y21" t="str">
        <f>Линии[[#This Row],[_авто утечка]]</f>
        <v/>
      </c>
      <c r="Z21">
        <v>3</v>
      </c>
      <c r="AA21">
        <v>400</v>
      </c>
      <c r="AB21" t="s">
        <v>598</v>
      </c>
      <c r="AC21">
        <v>0.7</v>
      </c>
      <c r="AE21">
        <v>1</v>
      </c>
      <c r="AG21" t="s">
        <v>851</v>
      </c>
      <c r="AI21" t="s">
        <v>594</v>
      </c>
      <c r="AK21" t="str">
        <f>Линии[[#This Row],[_авто модуль]]</f>
        <v/>
      </c>
      <c r="AM21">
        <v>33</v>
      </c>
      <c r="AN21" t="s">
        <v>614</v>
      </c>
      <c r="AO21">
        <v>1</v>
      </c>
      <c r="AQ21">
        <v>38</v>
      </c>
      <c r="AR21">
        <v>10</v>
      </c>
      <c r="AS21">
        <v>0</v>
      </c>
      <c r="BA21" cm="1">
        <f t="array" ref="BA21">ROW()-ROW(Линии[#Headers])</f>
        <v>19</v>
      </c>
      <c r="BC21" s="6" t="str">
        <f t="shared" si="5"/>
        <v>ЩР-ПК</v>
      </c>
      <c r="BD21" t="str">
        <f t="shared" si="6"/>
        <v/>
      </c>
      <c r="BE21" t="str">
        <f t="shared" si="7"/>
        <v/>
      </c>
      <c r="BF21" t="str">
        <f t="shared" si="8"/>
        <v/>
      </c>
      <c r="BG21" t="str">
        <f t="shared" si="9"/>
        <v/>
      </c>
      <c r="BH21" t="str">
        <f>IF(X21&lt;&gt;"",X21,IF(AND(B21&lt;&gt;"",B21&lt;&gt;A21,ISNUMBER(_xlfn.XMATCH(B21,Щиты[Щит]))),B21,""))</f>
        <v/>
      </c>
      <c r="BI21" t="str" cm="1">
        <f t="array" ref="BI21">IF(B21="","",IF(BH21&lt;&gt;"","Щит "&amp;BH21,_xlfn.LET(_xlpm.nm,IFERROR(_xlfn.XLOOKUP(BC21,Коды_код,Коды_имя)&amp;"",""),_xlpm.md,IFERROR(N(_xlfn.XLOOKUP(BC21,Коды_код,Коды_режим)),1),_xlpm.ex,IF(Имя_режим="по экспликации",IFERROR(_xlfn.XLOOKUP(BE21&amp;"|"&amp;BG21,Экспликация[Этаж]&amp;"|"&amp;Экспликация[Помещение],Экспликация[Название])&amp;"",""),""),_xlpm.rm,IF(BG21="","",IF(_xlpm.ex&lt;&gt;"",". "&amp;_xlpm.ex&amp;IF(Имя_пом="нет"," ("&amp;BG21&amp;")"," (пом. "&amp;BG21&amp;")"),IF(Имя_пом="нет"," ",", пом. ")&amp;BG21)),IF(_xlpm.nm="","",IF(_xlpm.md=2,_xlpm.nm&amp;" шлейф "&amp;BE21,_xlpm.nm&amp;_xlpm.rm)))))</f>
        <v/>
      </c>
      <c r="BJ21" t="str">
        <f t="shared" si="10"/>
        <v>Щит профкухни ЩС-ПК Цокольный этаж этаж Пом. №0.0014Б</v>
      </c>
      <c r="BK21">
        <f>IFERROR(_xlfn.XMATCH(A21,Щиты[Щит]),0)</f>
        <v>1</v>
      </c>
      <c r="BL21">
        <f>_xlfn.LET(_xlpm.k,IFERROR(_xlfn.XLOOKUP(A21,Щиты[Щит],Щиты[Мест под вводной узел]),""),IF(_xlpm.k="",Столбцов_на_лист,N(_xlpm.k)))</f>
        <v>6</v>
      </c>
      <c r="BM21">
        <f t="shared" si="11"/>
        <v>33</v>
      </c>
      <c r="BN21" t="str">
        <f t="shared" si="12"/>
        <v>линии</v>
      </c>
      <c r="BO21" s="6">
        <f>IFERROR(N(_xlfn.XLOOKUP(BC21,Коды_код,Коды_квт)),0)</f>
        <v>0</v>
      </c>
      <c r="BP21">
        <f t="shared" si="13"/>
        <v>0</v>
      </c>
      <c r="BQ21" t="str">
        <f>IF(B21="","",IF(BH21&lt;&gt;"",IFERROR(_xlfn.XLOOKUP(BH21,Щиты[Щит],Щиты[Руст, кВт]),0),IF(BP21=1,IF(OR(N(_xlfn.XLOOKUP(A21,Щиты[Щит],Щиты[Вводов],1))&lt;=1,LOWER(TRIM(_xlfn.XLOOKUP(A21,Щиты[Щит],Щиты[АВР],"")&amp;""))="да"),IFERROR(_xlfn.XLOOKUP(A21,Щиты[Щит],Щиты[Руст, кВт]),0),SUMIFS(Линии[_Р для вводов],Линии[Щит],A21,Линии[Источник для режимов],GF21)),IF(BO21&gt;0,ROUND(BO21*MAX(1,N(D21)),3),""))))</f>
        <v/>
      </c>
      <c r="BR21">
        <f t="shared" si="14"/>
        <v>103.95</v>
      </c>
      <c r="BS21" s="6">
        <f>IF(B21="","",IF(BH21&lt;&gt;"",IFERROR(_xlfn.XLOOKUP(BH21,Щиты[Щит],Щиты[Руст, кВт]),0),N(BR21)))</f>
        <v>103.95</v>
      </c>
      <c r="BT21" t="str">
        <f>IF(B21="","",IFERROR(IF(VLOOKUP(BC21,Потребители_обозначение,8,FALSE)=0,"",VLOOKUP(BC21,Потребители_обозначение,8,FALSE)),""))</f>
        <v/>
      </c>
      <c r="BU21">
        <f t="shared" si="15"/>
        <v>400</v>
      </c>
      <c r="BV21">
        <f t="shared" si="16"/>
        <v>0</v>
      </c>
      <c r="BW21">
        <f>IF(B21="","",IF(BH21&lt;&gt;"",3,IFERROR(IF(N(VLOOKUP(BC21,Потребители_обозначение,9,FALSE))=0,1,VLOOKUP(BC21,Потребители_обозначение,9,FALSE)),1)))</f>
        <v>1</v>
      </c>
      <c r="BX21">
        <f t="shared" si="17"/>
        <v>3</v>
      </c>
      <c r="BY21" t="str">
        <f>IF(B21="","",_xlfn.LET(_xlpm.bc,IFERROR(IF(VLOOKUP(BC21,Потребители_обозначение,6,FALSE)=0,"",VLOOKUP(BC21,Потребители_обозначение,6,FALSE)&amp;""),""),IF(AND(GA21="да",OR(_xlpm.bc="",_xlpm.bc="мс")),Марка_пож,IF(AND(_xlpm.bc="",BH21&lt;&gt;""),"мс",_xlpm.bc))))</f>
        <v/>
      </c>
      <c r="BZ21" t="str">
        <f t="shared" si="18"/>
        <v>5мс2</v>
      </c>
      <c r="CA21">
        <f>IF(B21="","",_xlfn.LET(_xlpm.cc,IFERROR(N(VLOOKUP(BC21,Потребители_обозначение,7,FALSE)),0),IF(_xlpm.cc&gt;0,_xlpm.cc,IF(BZ21="","",IF(BV21=1,2,IF(N(BX21)=3,5,3))))))</f>
        <v>5</v>
      </c>
      <c r="CB21">
        <f t="shared" si="19"/>
        <v>1</v>
      </c>
      <c r="CC21">
        <f>IFERROR(N(VLOOKUP(BC21,Потребители_обозначение,10,FALSE)),0)</f>
        <v>0</v>
      </c>
      <c r="CD21">
        <f>IFERROR(VLOOKUP(BC21,Потребители_обозначение,5,FALSE),0)</f>
        <v>0</v>
      </c>
      <c r="CE21" s="6" cm="1">
        <f t="array" ref="CE21">IF(B21="","",IF(BH21&lt;&gt;"",IFERROR(_xlfn.XLOOKUP(BH21,Щиты[Щит],Щиты[cos φ]),0.95),IF(BP21=1,IFERROR(_xlfn.XLOOKUP(A21,Щиты[Щит],Щиты[cos φ]),0.95),IF(ISNUMBER(AD21),AD21,IFERROR(IF(CD21=2,_xlfn.IFS(BX21=3,VLOOKUP(BS21,Справочная_двигатели,8,FALSE),BX21=1,VLOOKUP(BS21,Справочная_двигатели,10,TRUE)),IF(AND(Методика="нормы 2026",FG21="Сил"),0.8,0.95)),0.95)))))</f>
        <v>0.8</v>
      </c>
      <c r="CF21">
        <f t="shared" si="20"/>
        <v>0</v>
      </c>
      <c r="CG21">
        <f t="shared" si="21"/>
        <v>1</v>
      </c>
      <c r="CH21">
        <f t="shared" si="22"/>
        <v>0</v>
      </c>
      <c r="CI21">
        <f>IF(B21="","",IF(BV21=1,IFERROR(BS21/((Uн_лин/SQRT(3))*MAX(0.5,N(CE21))),0),N(O21)))</f>
        <v>187.5486265070675</v>
      </c>
      <c r="CJ21">
        <f t="shared" si="23"/>
        <v>0</v>
      </c>
      <c r="CK21">
        <f t="shared" si="24"/>
        <v>0</v>
      </c>
      <c r="CL21">
        <f t="shared" si="25"/>
        <v>0</v>
      </c>
      <c r="CM21">
        <f t="shared" si="26"/>
        <v>0</v>
      </c>
      <c r="CN21">
        <f t="shared" si="27"/>
        <v>0</v>
      </c>
      <c r="CO21">
        <f>IF(BC21="",0,_xlfn.LET(_xlpm.v,IFERROR(_xlfn.XLOOKUP(B21,Коды_код,Коды_мА),IFERROR(_xlfn.XLOOKUP(BC21,Коды_код,Коды_мА),IFERROR(_xlfn.XLOOKUP(LEFT(BC21,2),Коды_код,Коды_мА),""))),IF(_xlpm.v="да",30,IF(ISNUMBER(_xlpm.v),_xlpm.v,0))))</f>
        <v>0</v>
      </c>
      <c r="CP21" t="str">
        <f t="shared" si="28"/>
        <v/>
      </c>
      <c r="CQ21" t="str">
        <f>_xlfn.LET(_xlpm.k,IFERROR(_xlfn.XLOOKUP(BC21,Коды_код,Коды_утечка)&amp;"",""),IF(_xlpm.k="","дифавтомат",_xlpm.k))</f>
        <v>дифавтомат</v>
      </c>
      <c r="CR21" t="str" cm="1">
        <f t="array" ref="CR21">IF(CG21=0,"",_xlfn.LET(_xlpm.sg,TRIM(_xlfn.TEXTSPLIT(DD21&amp;"",";")),_xlpm.f_,_xlfn._xlws.FILTER(_xlpm.sg,LEFT(_xlpm.sg,3)="УЗО",""),IFERROR(INDEX(_xlpm.f_,1)&amp;"","")))</f>
        <v/>
      </c>
      <c r="CS21" t="str">
        <f t="shared" si="29"/>
        <v/>
      </c>
      <c r="CT21" s="6" t="str" cm="1">
        <f t="array" ref="CT21">IF(CR21="","",_xlfn.LET(_xlpm.tk,_xlfn.TEXTSPLIT(UPPER(CR21)," ",,TRUE),_xlpm.a_,_xlfn._xlws.FILTER(_xlpm.tk,ISNUMBER(--LEFT(_xlpm.tk,1))*((ISNUMBER(SEARCH("А",_xlpm.tk))+ISNUMBER(SEARCH("A",_xlpm.tk)))&gt;0)*NOT(ISNUMBER(SEARCH("МА",_xlpm.tk)))*NOT(ISNUMBER(SEARCH("MA",_xlpm.tk))),""),IFERROR(--SUBSTITUTE(SUBSTITUTE(INDEX(_xlpm.a_,1),"А",""),"A",""),"")))</f>
        <v/>
      </c>
      <c r="CU21" t="str" cm="1">
        <f t="array" ref="CU21">IF(CR21="","",_xlfn.LET(_xlpm.tk,_xlfn.TEXTSPLIT(UPPER(CR21)," ",,TRUE),_xlpm.a_,_xlfn._xlws.FILTER(_xlpm.tk,ISNUMBER(--LEFT(_xlpm.tk,1))*((ISNUMBER(SEARCH("МА",_xlpm.tk))+ISNUMBER(SEARCH("MA",_xlpm.tk)))&gt;0),""),IFERROR(--SUBSTITUTE(SUBSTITUTE(INDEX(_xlpm.a_,1),"МА",""),"MA",""),30)))</f>
        <v/>
      </c>
      <c r="CV21" t="str">
        <f>IF(CS21="","",IFERROR(_xlfn.XLOOKUP(CS21,Линии[_n],Линии[_УЗО, мА]),30))</f>
        <v/>
      </c>
      <c r="CW21">
        <f>IF(CS21="",0,IF(ISNUMBER(SEARCH("4P",IFERROR(_xlfn.XLOOKUP(CS21,Линии[_n],Линии[_УЗО строки])&amp;"",""))),0,1))</f>
        <v>0</v>
      </c>
      <c r="CX21" t="str">
        <f>IF(AND(CS21&lt;&gt;"",CS21=BA21),SUMIFS(Линии[_ток на 230 В],Линии[_блок УЗО],BA21,Линии[Щит],A21),"")</f>
        <v/>
      </c>
      <c r="CY21" t="str">
        <f>IF(AND(CS21&lt;&gt;"",CS21=BA21),SUMIFS(Линии[_ток утечки линии, мА],Линии[_блок УЗО],BA21,Линии[Щит],A21),"")</f>
        <v/>
      </c>
      <c r="CZ21">
        <f t="shared" si="30"/>
        <v>0</v>
      </c>
      <c r="DA21">
        <f t="shared" si="31"/>
        <v>0</v>
      </c>
      <c r="DB21">
        <f>IF(B21="",0,IFERROR(--_xlfn.XLOOKUP(B21,Коды_код,Коды_минавт),IFERROR(--_xlfn.XLOOKUP(BC21,Коды_код,Коды_минавт),IFERROR(--_xlfn.XLOOKUP(LEFT(BC21,2),Коды_код,Коды_минавт),0))))</f>
        <v>0</v>
      </c>
      <c r="DC21" t="str">
        <f>IF(B21="","",IFERROR(_xlfn.XLOOKUP(BC21,Коды_код,Коды_апп)&amp;"",""))</f>
        <v/>
      </c>
      <c r="DD21" t="str">
        <f t="shared" si="32"/>
        <v/>
      </c>
      <c r="DE21" t="str" cm="1">
        <f t="array" ref="DE21">IF(TRIM(DD21&amp;"")="","",IFERROR(TRIM(INDEX(_xlfn.TEXTSPLIT(DD21&amp;";;;",";"),1)),""))</f>
        <v/>
      </c>
      <c r="DF21" t="str" cm="1">
        <f t="array" ref="DF21">IF(TRIM(DD21&amp;"")="","",IFERROR(TRIM(INDEX(_xlfn.TEXTSPLIT(DD21&amp;";;;",";"),2)),""))</f>
        <v/>
      </c>
      <c r="DG21" t="str" cm="1">
        <f t="array" ref="DG21">IF(TRIM(DD21&amp;"")="","",IFERROR(TRIM(INDEX(_xlfn.TEXTSPLIT(DD21&amp;";;;",";"),3)),""))</f>
        <v/>
      </c>
      <c r="DH21">
        <f t="shared" si="33"/>
        <v>0</v>
      </c>
      <c r="DI21" t="str">
        <f>IF(B21="","",_xlfn.LET(_xlpm.t,LOWER(AZ21&amp;""),IF(ISNUMBER(SEARCH("dim",_xlpm.t)),"DIM",IF(ISNUMBER(SEARCH("dali",_xlpm.t)),"DALI",IF(OR(ISNUMBER(SEARCH("relay",_xlpm.t)),ISNUMBER(SEARCH("реле",_xlpm.t))),"Relay",IF(ISNUMBER(SEARCH("кнопк",_xlpm.t)),"",IFERROR(_xlfn.XLOOKUP(BC21,Коды_код,Коды_упр)&amp;"","")))))))</f>
        <v/>
      </c>
      <c r="DJ21" t="str">
        <f t="shared" si="34"/>
        <v/>
      </c>
      <c r="DK21">
        <f>IF(B21="","",_xlfn.LET(_xlpm.ig,IF(N(CX21)&gt;0,N(CX21),N(CI21)+IF(AJ21="вручную",0,N(CJ21))),_xlpm.n0,IFERROR(VLOOKUP(_xlpm.ig,Автомат_номиналы,2,TRUE),0),_xlpm.mn,MAX(DB21,IF(AJ21="вручную",0,N(CM21))),MAX(_xlpm.n0,_xlpm.mn,IF(DH21=1,Мин_автомат_БП,0))))</f>
        <v>250</v>
      </c>
      <c r="DL21">
        <f t="shared" si="35"/>
        <v>3</v>
      </c>
      <c r="DM21" t="str">
        <f t="shared" si="36"/>
        <v>3P</v>
      </c>
      <c r="DN21" t="str">
        <f>_xlfn.LET(_xlpm.cc,UPPER(TRIM(IFERROR(_xlfn.XLOOKUP(BC21,Коды_код,Коды_хар)&amp;"",""))),IF(OR(_xlpm.cc="B",_xlpm.cc="В"),"B",IF(_xlpm.cc="D","D","С")))</f>
        <v>С</v>
      </c>
      <c r="DO21" t="str">
        <f t="shared" si="37"/>
        <v>3P С250А</v>
      </c>
      <c r="DP21">
        <f t="shared" si="38"/>
        <v>200</v>
      </c>
      <c r="DQ21" t="str">
        <f t="shared" si="39"/>
        <v>3P С200А</v>
      </c>
      <c r="DR21" cm="1">
        <f t="array" ref="DR21">IF(DQ21="","",_xlfn.LET(_xlpm.t,SUBSTITUTE(SUBSTITUTE(SUBSTITUTE(UPPER(DQ21),"С","C"),"А","A"),"В","B"),_xlpm.tk,_xlfn.TEXTSPLIT(_xlpm.t," "),_xlpm.f,_xlfn._xlws.FILTER(_xlpm.tk,ISNUMBER(--MID(_xlpm.tk,2,1))*ISNUMBER(SEARCH(LEFT(_xlpm.tk,1)&amp;"#","B#C#D#"))*(LEN(_xlpm.tk)&gt;1),""),_xlpm.x,INDEX(_xlpm.f,1),IFERROR(--SUBSTITUTE(MID(_xlpm.x,2,9),"A",""),IFERROR(--SUBSTITUTE(INDEX(_xlfn._xlws.FILTER(_xlpm.tk,ISNUMBER(--SUBSTITUTE(_xlpm.tk,"A","")),""),1),"A",""),""))))</f>
        <v>200</v>
      </c>
      <c r="DS21" t="str">
        <f t="shared" si="40"/>
        <v>ok</v>
      </c>
      <c r="DT21">
        <f t="shared" si="41"/>
        <v>200</v>
      </c>
      <c r="DU21" t="str">
        <f t="shared" si="42"/>
        <v>3P С200А</v>
      </c>
      <c r="DV21">
        <f t="shared" si="43"/>
        <v>0</v>
      </c>
      <c r="DW21">
        <f t="shared" si="44"/>
        <v>0</v>
      </c>
      <c r="DX21">
        <f t="shared" si="45"/>
        <v>0</v>
      </c>
      <c r="DY21">
        <f t="shared" si="46"/>
        <v>187.5486265070675</v>
      </c>
      <c r="DZ21">
        <f t="shared" si="47"/>
        <v>1</v>
      </c>
      <c r="EA21">
        <f>IF(ISNUMBER(AP21),AP21,К_прокл)</f>
        <v>1</v>
      </c>
      <c r="EB21">
        <f t="shared" si="48"/>
        <v>1</v>
      </c>
      <c r="EC21">
        <f>IFERROR(N(VLOOKUP(BZ21,Кабель_обозначение,3,FALSE)),1)</f>
        <v>1</v>
      </c>
      <c r="ED21">
        <f>IFERROR(N(_xlfn.XLOOKUP(A21,Щиты[Щит],Щиты[ΔU до шин, %])),0)</f>
        <v>0</v>
      </c>
      <c r="EE21" t="str">
        <f>IFERROR(_xlfn.XLOOKUP(A21,Щиты[Щит],Щиты[Zпетли на шинах, Ом]),"")</f>
        <v/>
      </c>
      <c r="EF21">
        <f>IFERROR(N(_xlfn.XLOOKUP(A21,Щиты[Щит],Щиты[ΔU до шин (подбор), %])),0)</f>
        <v>0</v>
      </c>
      <c r="EG21" t="str">
        <f>IFERROR(_xlfn.XLOOKUP(A21,Щиты[Щит],Щиты[Zпетли на шинах (подбор), Ом]),"")</f>
        <v/>
      </c>
      <c r="EH21" t="str">
        <f t="shared" si="49"/>
        <v/>
      </c>
      <c r="EI21">
        <f t="shared" si="50"/>
        <v>53</v>
      </c>
      <c r="EJ21">
        <f t="shared" si="51"/>
        <v>1</v>
      </c>
      <c r="EK21">
        <f t="shared" si="52"/>
        <v>0.6</v>
      </c>
      <c r="EL21" s="6">
        <f>IF(B21="","",IF(BV21=1,dU_LED,IF(IFERROR(_xlfn.XLOOKUP(BC21,Коды_код,Коды_уго),"")="Светильник",3,4)+IF(Методика="нормы 2026",MIN(0.5,MAX(0,N(P21)-100)*0.005),0)))</f>
        <v>4</v>
      </c>
      <c r="EM21" cm="1">
        <f t="array" ref="EM21">IF(OR(B21="",BZ21="",EC21&lt;&gt;1),"",_xlfn.LET(_xlpm.sz,Iдоп_S,_xlpm.t_,CHOOSE(EB21,Iдоп_1ж,Iдоп_2ж,Iдоп_3ж)*DZ21*EA21,_xlpm.dcx,BV21=1,_xlpm.inn,IF(_xlpm.dcx,N(O21),N(DT21)),_xlpm.smin,MAX(1.5,CC21),_xlpm.L_,N(P21)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21)/N(BU21)*100,999),IFERROR(N(EJ21)*(_xlpm.rho*_xlpm.L_/_xlpm.sz*N(CE21)+_xlpm.xx*_xlpm.L_*N(EK21)/1000)*N(O21)/((Uн_лин/SQRT(3))*1000)*100,999)),_xlpm.kz,IF(OR(_xlpm.dcx,DW21=1,NOT(ISNUMBER(EG21)),_xlpm.L_=0,_xlpm.inn=0),1,IFERROR(--(c_min*(Uн_лин*1000/SQRT(3))/(EG21+2*ρкз_Cu*_xlpm.L_/_xlpm.sz)&gt;=HT21*_xlpm.inn),0)),_xlpm.ok,IFERROR((_xlpm.sz&gt;=_xlpm.smin)*(_xlpm.t_&gt;=_xlpm.inn)*IF(_xlpm.L_&gt;0,(_xlpm.du_+IF(_xlpm.dcx,0,EF21)&lt;=EL21+0.00001),1)*_xlpm.kz,0),_xlpm.r_,_xlfn._xlws.FILTER(_xlpm.sz,_xlpm.ok,"не подобрано"),INDEX(_xlpm.r_,1)))</f>
        <v>50</v>
      </c>
      <c r="EN21">
        <f t="shared" si="53"/>
        <v>95</v>
      </c>
      <c r="EO21" cm="1">
        <f t="array" ref="EO21">IF(OR(B21="",BZ21="",EC21&lt;&gt;1),"",_xlfn.LET(_xlpm.sz,Iдоп_S,_xlpm.t_,CHOOSE(EB21,Iдоп_1ж,Iдоп_2ж,Iдоп_3ж)*DZ21*EA21,_xlpm.ok,IFERROR((_xlpm.sz&gt;=MAX(1.5,CC21))*(_xlpm.t_&gt;=N(DT21)),0),_xlpm.r_,_xlfn._xlws.FILTER(_xlpm.sz,_xlpm.ok,""),INDEX(_xlpm.r_,1)))</f>
        <v>50</v>
      </c>
      <c r="EP21" s="6" cm="1">
        <f t="array" ref="EP21">IFERROR(ROUNDUP(N(EJ21)*(_xlfn.XLOOKUP(EO21,INDEX(Кабель_сопротивление,0,1),INDEX(Кабель_сопротивление,0,3))*N(P21)/EO21*N(CE21)+_xlfn.XLOOKUP(EO21,INDEX(Кабель_сопротивление,0,1),INDEX(Кабель_сопротивление,0,2))*N(P21)*N(EK21)/1000)*N(O21)/((Uн_лин/SQRT(3))*1000)*100,2),"")</f>
        <v>1.72</v>
      </c>
      <c r="EQ21">
        <f>IFERROR(2*ρкз_Cu*N(P21)/EO21,"")</f>
        <v>5.5756E-2</v>
      </c>
      <c r="ER21">
        <f>IFERROR(VLOOKUP(EN21,Кабель_сопротивление,3,FALSE),"")</f>
        <v>2.2499999999999999E-2</v>
      </c>
      <c r="ES21">
        <f>IFERROR(VLOOKUP(EN21,Кабель_сопротивление,2,FALSE),"")</f>
        <v>6.0199999999999997E-2</v>
      </c>
      <c r="ET21">
        <f t="shared" si="54"/>
        <v>10</v>
      </c>
      <c r="EU21">
        <f t="shared" si="55"/>
        <v>0</v>
      </c>
      <c r="EV21">
        <f t="shared" si="56"/>
        <v>2.2424186379847262</v>
      </c>
      <c r="EW21" s="6">
        <f>IFERROR(ROUNDUP(EV21/IF(BV21=1,BU21,(Uн_лин/SQRT(3))*1000)*100,2),"")</f>
        <v>0.98</v>
      </c>
      <c r="EX21" t="str">
        <f>IFERROR(VLOOKUP(BZ21,Кабель_обозначение,2,FALSE),"")</f>
        <v xml:space="preserve">5хВВГнг(А)-LS </v>
      </c>
      <c r="EY21" t="str">
        <f t="shared" si="57"/>
        <v>5хВВГнг(А)-LS  (1х95)</v>
      </c>
      <c r="EZ21" t="str">
        <f t="shared" si="58"/>
        <v>5хВВГнг(А)-LS  (1х95)
L=53-0,98%</v>
      </c>
      <c r="FA21">
        <f>IFERROR(2*ρкз_Cu*P21/EN21,"")</f>
        <v>2.9345263157894735E-2</v>
      </c>
      <c r="FB21">
        <f t="shared" si="59"/>
        <v>9.7631578947368434E-3</v>
      </c>
      <c r="FC21" s="6" t="str">
        <f>IFERROR(IF(OR(B21="",BV21=1,NOT(ISNUMBER(EN21)),N(P21)=0),"",_xlfn.XLOOKUP(A21,Щиты[Щит],Щиты[Zпетли на шинах, Ом])+FA21),"")</f>
        <v/>
      </c>
      <c r="FD21" s="6" t="str">
        <f>IF(ISNUMBER(FC21),c_min*(Uн_лин*1000/SQRT(3))/FC21,"")</f>
        <v/>
      </c>
      <c r="FE21" s="6" t="str">
        <f>IFERROR(IF(OR(B21="",NOT(ISNUMBER(EN21))),"",1.05*(Uн_лин*1000/SQRT(3))/(_xlfn.XLOOKUP(A21,Щиты[Щит],Щиты[Zmax на шинах, Ом])+FB21)/1000),"")</f>
        <v/>
      </c>
      <c r="FF21" s="6" t="str">
        <f>IF(B21="","",IF(ISNUMBER(AC21),"Сил",IF(IFERROR(_xlfn.XLOOKUP(BC21,Коды_код,Коды_группа)&amp;"","")="","Быт",_xlfn.XLOOKUP(BC21,Коды_код,Коды_группа)&amp;"")))</f>
        <v>Сил</v>
      </c>
      <c r="FG21" s="6" t="str">
        <f t="shared" si="60"/>
        <v>Сил</v>
      </c>
      <c r="FH21" s="6">
        <f>IF(FG21="Щит","щит",IF(FG21="","",IF(FG21="Быт",IFERROR(_xlfn.XLOOKUP(A21,Щиты[Щит],Щиты[Кс быт]),1),IF(FG21="Сил",IF(ISNUMBER(AC21),AC21,IF(Методика="нормы 2026",IFERROR(_xlfn.XLOOKUP(A21,Щиты[Щит],Щиты[Кс силовых (табл. 7.5)]),1),1)),IF(OR(FG21="Пост",FG21="Отоп"),1,IF(FG21="ВНГ",0.7,0))))))</f>
        <v>0.7</v>
      </c>
      <c r="FI21">
        <f>IF(FG21="","",IF(AND(BP21=1,TRIM(AE21&amp;"")=""),IF(COUNTIFS(Линии[Щит],A21,Линии[Секция (1/2/3)],"&gt;=2")&gt;0,MIN(3,MAX(1,IFERROR(--BD21,1))),1),IFERROR(MIN(3,MAX(1,INT(--AE21))),1)))</f>
        <v>1</v>
      </c>
      <c r="FJ21">
        <f t="shared" si="61"/>
        <v>103.95</v>
      </c>
      <c r="FK21">
        <f t="shared" si="62"/>
        <v>0</v>
      </c>
      <c r="FL21">
        <f t="shared" si="63"/>
        <v>72.765000000000001</v>
      </c>
      <c r="FM21">
        <f t="shared" si="64"/>
        <v>0</v>
      </c>
      <c r="FN21">
        <f t="shared" si="65"/>
        <v>0</v>
      </c>
      <c r="FO21">
        <f t="shared" si="66"/>
        <v>0</v>
      </c>
      <c r="FP21">
        <f t="shared" si="67"/>
        <v>103.95</v>
      </c>
      <c r="FQ21">
        <f t="shared" si="68"/>
        <v>103.95</v>
      </c>
      <c r="FR21">
        <f t="shared" si="69"/>
        <v>83.160000000000011</v>
      </c>
      <c r="FS21">
        <f>IF(CG21=1,IF(AND(CH21=1,CW21=1),0,IF(AND(CS21&lt;&gt;"",CS21=BA21,CW21=1),SUMIFS(Линии[_Р линии, кВт],Линии[_блок УЗО],BA21,Линии[Щит],A21),N(BS21)+IF(AJ21="вручную",0,N(CK21)))),0)</f>
        <v>103.95</v>
      </c>
      <c r="FT21" t="str">
        <f t="shared" si="70"/>
        <v/>
      </c>
      <c r="FU21" t="str">
        <f>IF(B21="","",IF(CG21=0,IF(BA21=1,"",FW20),IF(AND(CH21=1,CW21=1,CS21&lt;&gt;""),IFERROR(_xlfn.XLOOKUP(CS21,Линии[_n],Линии[_фаза итог]),"L1"),IF(OR(N(DL21)&gt;=3,N(BX21)&gt;=3),"L1,L2,L3",IFERROR(_xlfn.TEXTBEFORE(_xlfn.TEXTAFTER(_xlfn.XLOOKUP(A21,Щиты[Щит],Щиты[_фазы авто]),";"&amp;BA21&amp;":"),";"),"L1")))))</f>
        <v>L1,L2,L3</v>
      </c>
      <c r="FV21" t="str">
        <f t="shared" si="71"/>
        <v>L1,L2,L3</v>
      </c>
      <c r="FW21" t="str">
        <f t="shared" si="72"/>
        <v>L1,L2,L3</v>
      </c>
      <c r="FX21" cm="1">
        <f t="array" ref="FX21">IFERROR(IF(CD21=2,_xlfn.IFS(BX21=3,VLOOKUP(BS21,Справочная_двигатели,3,FALSE),BX21=1,VLOOKUP(BS21,Справочная_двигатели,5,TRUE)),0),0)</f>
        <v>0</v>
      </c>
      <c r="FY21">
        <f>IFERROR(IF(CD21=3,VLOOKUP(BS21,Справочная_ЛЭД,2,TRUE),0),0)</f>
        <v>0</v>
      </c>
      <c r="FZ21" s="6">
        <f t="shared" si="73"/>
        <v>0</v>
      </c>
      <c r="GA21" t="str">
        <f>IF(B21="","",IF(TRIM(AH21&amp;"")&lt;&gt;"",IF(LOWER(TRIM(AH21&amp;""))="да","да","нет"),IF(IFERROR(_xlfn.XLOOKUP(BC21,Коды_код,Коды_пожарная),"")="да","да","нет")))</f>
        <v>нет</v>
      </c>
      <c r="GB21" t="str">
        <f t="shared" si="74"/>
        <v/>
      </c>
      <c r="GC21" t="str">
        <f t="shared" si="75"/>
        <v>основная</v>
      </c>
      <c r="GD21">
        <f>IF(AND(BP21=1,TRIM(AE21&amp;"")=""),IF(COUNTIFS(Линии[Щит],A21,Линии[Секция (1/2/3)],"&gt;=2")&gt;0,MIN(3,MAX(1,IFERROR(--BD21,1))),1),IFERROR(MIN(3,MAX(1,INT(--AE21))),1))</f>
        <v>1</v>
      </c>
      <c r="GE21" t="str" cm="1">
        <f t="array" ref="GE21">IF(B21="","",_xlfn.LET(_xlpm.t,IFERROR(_xlfn.XLOOKUP(1,(Шины[Шина]=GC21)*(((Шины[Щит]=A21)+(Шины[Щит]=""))&gt;0),Шины[Тип]),"")&amp;"",IF(_xlpm.t&lt;&gt;"",_xlpm.t,IF(ISNUMBER(SEARCH("ИБП",GC21)),"ИБП",IF(ISNUMBER(SEARCH("ДГУ",GC21)),"ДГУ","Ввод "&amp;GD21)))))</f>
        <v>Ввод 1</v>
      </c>
      <c r="GF21" t="str">
        <f t="shared" si="76"/>
        <v>Ввод 1</v>
      </c>
      <c r="GG21" t="str">
        <f>IF(BP21=0,"",IF(TRIM(AG21&amp;"")&lt;&gt;"",TRIM(AG21&amp;""),IF(OR(GE21="ИБП",GE21="ДГУ"),"I особая",_xlfn.XLOOKUP(A21,Щиты[Щит],Щиты[Категория шины «Ввод»],"III"))))</f>
        <v/>
      </c>
      <c r="GH21" t="str">
        <f>IF(A21="","",_xlfn.XLOOKUP(A21,Щиты[Щит],Щиты[Путь],""))</f>
        <v>|ГРЩ-ЖД|</v>
      </c>
      <c r="GI21" t="str">
        <f>IF(B21="","",IF(AI21&lt;&gt;"",AI21,IF(IFERROR(_xlfn.XLOOKUP(BC21,Коды_код,Коды_вид)&amp;"","")="","Прочее",_xlfn.XLOOKUP(BC21,Коды_код,Коды_вид)&amp;"")))</f>
        <v>Технология пищеприготовления</v>
      </c>
      <c r="GJ21">
        <f>IF(BM21="","",INT((BM21-1)/Столбцов_на_лист)+1)</f>
        <v>2</v>
      </c>
      <c r="GK21" t="str">
        <f t="shared" si="77"/>
        <v>5хВВГнг(А)-LS  (1х95) L=53-0,98%</v>
      </c>
      <c r="GL21">
        <f t="shared" si="78"/>
        <v>103.95</v>
      </c>
      <c r="GM21">
        <f t="shared" si="79"/>
        <v>187.54999999999998</v>
      </c>
      <c r="GN21">
        <f t="shared" si="80"/>
        <v>3</v>
      </c>
      <c r="GO21">
        <f t="shared" si="81"/>
        <v>0</v>
      </c>
      <c r="GP21">
        <f t="shared" si="82"/>
        <v>1</v>
      </c>
      <c r="GQ21">
        <f>IF(BM21="","",IF(AND(CG21=1,GP21=1),COUNTIFS(A$3:A21,A21,CG$3:CG21,1,GP$3:GP21,1),IF(OR(OR(BA21=1,A21&lt;&gt;A20),AJ21="вручную",GP21=0),"",IF(BA21=1,"",GR20))))</f>
        <v>17</v>
      </c>
      <c r="GR21">
        <f t="shared" si="83"/>
        <v>17</v>
      </c>
      <c r="GS21">
        <f>IF(B21="","",IFERROR(LOOKUP(INDEX(CHOOSE(EB21,Iдоп_1ж,Iдоп_2ж,Iдоп_3ж),MATCH(EN21,Iдоп_S,0))*DZ21*EA21,{6,10,16,20,25,32,40,50,63,80,100,125,160,200,250,315,400,500,630}),""))</f>
        <v>315</v>
      </c>
      <c r="GT21" t="str">
        <f t="shared" si="84"/>
        <v>QF17</v>
      </c>
      <c r="GU21" t="str">
        <f t="shared" si="85"/>
        <v>QF17</v>
      </c>
      <c r="GV21" t="str">
        <f t="shared" si="86"/>
        <v/>
      </c>
      <c r="GW21">
        <f t="shared" si="87"/>
        <v>0</v>
      </c>
      <c r="GX21" t="str">
        <f>IF(OR(B21="",DJ21=""),"",IFERROR(_xlfn.XLOOKUP(DJ21,Модули_умолч[Управление],Модули_умолч[Модель])&amp;"",""))</f>
        <v/>
      </c>
      <c r="GY21">
        <f>IF(DJ21="",1,IFERROR(MAX(0,N(_xlfn.XLOOKUP(DJ21,Модули_умолч[Управление],Модули_умолч[Каналов на линию]))),1))</f>
        <v>1</v>
      </c>
      <c r="GZ21" t="str">
        <f t="shared" si="88"/>
        <v/>
      </c>
      <c r="HA21" t="str">
        <f t="shared" si="89"/>
        <v/>
      </c>
      <c r="HB21" t="str">
        <f t="shared" si="90"/>
        <v/>
      </c>
      <c r="HC21">
        <f>IF(HB21="",0,IFERROR(N(VLOOKUP(HB21,Модули_спр,3,FALSE)),0))</f>
        <v>0</v>
      </c>
      <c r="HD21" t="str">
        <f t="shared" si="91"/>
        <v/>
      </c>
      <c r="HE21" t="str">
        <f t="shared" si="92"/>
        <v/>
      </c>
      <c r="HF21" t="str">
        <f>IF(OR(HE21="",HE21="-"),"",IFERROR(VLOOKUP(HE21,Модули_спр,2,FALSE),"R"))</f>
        <v/>
      </c>
      <c r="HG21" t="str">
        <f>IF(HF21="","",HF21&amp;"."&amp;COUNTIFS(A$3:A21,A21,HF$3:HF21,HF21))</f>
        <v/>
      </c>
      <c r="HH21" t="str">
        <f t="shared" si="93"/>
        <v/>
      </c>
      <c r="HI21" t="str">
        <f t="shared" si="94"/>
        <v/>
      </c>
      <c r="HJ21" t="str">
        <f t="shared" si="95"/>
        <v/>
      </c>
      <c r="HK21" t="str">
        <f t="shared" si="96"/>
        <v/>
      </c>
      <c r="HL21">
        <f t="shared" si="97"/>
        <v>1</v>
      </c>
      <c r="HM21" t="str">
        <f>IF(HL21=1,"XT"&amp;COUNTIFS(A$3:A21,A21,HL$3:HL21,1),"")</f>
        <v>XT16</v>
      </c>
      <c r="HN21" t="str">
        <f t="shared" si="98"/>
        <v/>
      </c>
      <c r="HO21" t="str">
        <f t="shared" si="99"/>
        <v>QF17</v>
      </c>
      <c r="HP21" t="str">
        <f t="shared" si="100"/>
        <v/>
      </c>
      <c r="HQ21" t="str">
        <f t="shared" si="101"/>
        <v>ok</v>
      </c>
      <c r="HR21" t="str">
        <f>IF(OR(HJ21="",HH21=""),"",IF(HJ21+MAX(0,GY21-1)&gt;IFERROR(VLOOKUP(HI21,Модули_спр,3,FALSE),99),"ЛИШНИЙ КАНАЛ",IF(AND(AL21&lt;&gt;"=",GY21&gt;0,COUNTIFS(Линии[_модуль гр.],HH21,Линии[Канал (итог)],HJ21,Линии[Канал],"&lt;&gt;=",Линии[Щит],A21)&gt;1),"ДУБЛЬ КАНАЛА","")))</f>
        <v/>
      </c>
      <c r="HS21" s="6" t="str">
        <f t="shared" si="102"/>
        <v/>
      </c>
      <c r="HT21">
        <f t="shared" si="103"/>
        <v>10</v>
      </c>
      <c r="HU21" t="str">
        <f t="shared" si="104"/>
        <v/>
      </c>
      <c r="HV21">
        <f t="shared" si="105"/>
        <v>75.549450602827008</v>
      </c>
      <c r="HW21">
        <f t="shared" si="106"/>
        <v>0</v>
      </c>
      <c r="HX21">
        <f t="shared" si="107"/>
        <v>0</v>
      </c>
      <c r="HY21">
        <f t="shared" si="108"/>
        <v>0</v>
      </c>
      <c r="HZ21">
        <f t="shared" si="109"/>
        <v>0</v>
      </c>
      <c r="IA21">
        <f t="shared" si="110"/>
        <v>0</v>
      </c>
      <c r="IB21">
        <f t="shared" si="111"/>
        <v>0</v>
      </c>
      <c r="IC21" t="str">
        <f t="shared" si="112"/>
        <v/>
      </c>
      <c r="ID21" t="str" cm="1">
        <f t="array" ref="ID21">IF(IC21="","",_xlfn.LET(_xlpm.tk,_xlfn.TEXTSPLIT(SUBSTITUTE(SUBSTITUTE(IC21,";"," "),"→"," ")," ",,TRUE),_xlpm.w_,_xlfn._xlws.FILTER(_xlpm.tk,ISNUMBER(--LEFT(_xlpm.tk,1))*((ISNUMBER(SEARCH("W",_xlpm.tk))+ISNUMBER(SEARCH("Вт",_xlpm.tk)))&gt;0),""),IFERROR(--SUBSTITUTE(SUBSTITUTE(UPPER(INDEX(_xlpm.w_,1)),"W",""),"ВТ",""),"")))</f>
        <v/>
      </c>
      <c r="IE21" t="str" cm="1">
        <f t="array" ref="IE21">IF(IC21="","",_xlfn.LET(_xlpm.tk,_xlfn.TEXTSPLIT(SUBSTITUTE(SUBSTITUTE(IC21,";"," "),"→"," ")," ",,TRUE),_xlpm.v_,_xlfn._xlws.FILTER(_xlpm.tk,ISNUMBER(--LEFT(_xlpm.tk,1))*((ISNUMBER(SEARCH("V",_xlpm.tk))+(RIGHT(UPPER(_xlpm.tk))="В"))&gt;0),""),IFERROR(--SUBSTITUTE(SUBSTITUTE(UPPER(INDEX(_xlpm.v_,1)),"V",""),"В",""),"")))</f>
        <v/>
      </c>
      <c r="IF21" s="6" t="str">
        <f>IF(OR(BV21=0,HI21="",HJ21=""),"",IFERROR(N(_xlfn.XLOOKUP(HI21,Каталог!$C$4:$C$500,Каталог!$Q$4:$Q$500)),""))</f>
        <v/>
      </c>
      <c r="IG21" s="6" t="str">
        <f>IF(N(IF21)=0,"",SUMIFS(Линии[Iр, А],Линии[Щит],A21,Линии[_модуль гр.],HH21,Линии[Канал (итог)],HJ21))</f>
        <v/>
      </c>
      <c r="IH21" t="str">
        <f>IF(AND(B21="",HO21=""),"",_xlfn.TEXTJOIN("; ",TRUE,IF(AND(B21&lt;&gt;"",FV21=""),"нет фазы",""),IF(AND(B21&lt;&gt;"",N(GL21)=0,FG21&lt;&gt;"Нет"),"нет мощности",""),IF(AND(HN21&lt;&gt;"",COUNTIFS(Линии[Щит],A21,Линии[Клемма (итог)],HN21)&gt;1),"дубль клеммы "&amp;HN21,""),IF(AND(HQ21&lt;&gt;"",HQ21&lt;&gt;"ok"),HQ21,""),IF(HR21&lt;&gt;"",HR21,""),IF(AND(N(CB21)&gt;=4,N(BX21)=1),CB21&amp;" жил на 1 фазе",""),IF(AND(BC21="R",CG21=1,IF(CS21&lt;&gt;"",N(CV21)&gt;30,OR(N(DA21)=0,N(DA21)&gt;30))),"розетка без дифзащиты до 30 мА",""),IF(AND(CG21=1,N(DA21)&gt;0,ISNUMBER(T21)),IF(T21&gt;N(DA21)/3,"ток утечки "&amp;FIXED(T21,1)&amp;" мА &gt; 1/3 уставки ("&amp;DA21&amp;" мА)",""),""),IF(AND(CH21=1,CS21=""),"«узо»: нет строки с УЗО выше (УЗО 2P 40А 30мА в «Аппаратах»)",""),IF(AND(CS21&lt;&gt;"",CS21=BA21),IF(CT21="","впишите номинал УЗО (УЗО 2P 40А 30мА)",IF(N(CT21)&lt;N(DT21),"УЗО "&amp;CT21&amp;" А &lt; автомата "&amp;DT21&amp;" А перед ним",IF(N(CT21)&lt;N(CX21),"УЗО "&amp;CT21&amp;" А &lt; тока блока "&amp;FIXED(CX21,1)&amp;" А",""))),""),IF(AND(CS21&lt;&gt;"",CS21=BA21,ISNUMBER(CY21)),IF(CY21&gt;N(CV21)/3,"ток утечки блока УЗО "&amp;FIXED(CY21,1)&amp;" мА &gt; 1/3 уставки ("&amp;CV21&amp;" мА)",""),""),IF(AND(CG21=1,N(BV21)+N(IB21)&gt;0,IC21=""),"линии до 50 В без БП: впишите в «Аппараты» (БП 24V 480W)",""),IF(AND(CG21=1,ISNUMBER(ID21),ISNUMBER(U21)),IF(U21&gt;ID21,"БП "&amp;ID21&amp;" Вт &lt; нужно "&amp;U21&amp;" Вт (×"&amp;Запас_БП&amp;")",""),""),IF(AND(CG21=1,ISNUMBER(IE21),N(BV21)=1),IF(IE21&lt;&gt;N(BU21),"БП на "&amp;IE21&amp;" В, линия "&amp;BU21&amp;" В",""),""),IF(AND(N(IF21)&gt;0,N(IG21)&gt;N(IF21)),HH21&amp;" канал "&amp;HJ21&amp;": "&amp;FIXED(IG21,1)&amp;" А &gt; "&amp;IF21&amp;" А",""),IFERROR(IF(AND(ISNUMBER(Q21),Q21&gt;EL21),"потери "&amp;FIXED(Q21,1)&amp;" % &gt; "&amp;EL21&amp;" %",""),""),IFERROR(IF(LEFT(HU21,4)="мало","Iкз мало — отключение &gt; 0,4 с",""),""),IF(AND(B21&lt;&gt;"",BM21=""),"не на схеме",""),IF(AND(CG21=0,B21&lt;&gt;"",FV21&lt;&gt;"",IF(BA21=1,"",FW20)&lt;&gt;"",FV21&lt;&gt;IF(BA21=1,"",FW20)),"фаза не как у автомата группы ("&amp;IF(BA21=1,"",FW20)&amp;")","")))</f>
        <v/>
      </c>
      <c r="II21" s="6" t="str">
        <f>IF(OR(CG21=0,DQ21=""),"",_xlfn.LET(_xlpm.t,IFERROR(_xlfn.XLOOKUP(DQ21,Каталог!$U$4:$U$500,Каталог!$G$4:$G$500),""),_xlpm.k,SEARCH("кА",_xlpm.t),IFERROR(--TRIM(RIGHT(SUBSTITUTE(MID(_xlpm.t,MAX(1,_xlpm.k-4),_xlpm.k-MAX(1,_xlpm.k-4))," ",REPT(" ",9)),5)),"")))</f>
        <v/>
      </c>
      <c r="IJ21" t="str">
        <f>IF(OR(II21="",CG21=0),"",IF(_xlfn.XLOOKUP(A21,Щиты[Щит],Щиты[Iкз max на шинах, кА],"")="","",IF(II21&lt;_xlfn.XLOOKUP(A21,Щиты[Щит],Щиты[Iкз max на шинах, кА]),"Icu "&amp;II21&amp;" кА &lt; Iкз max","ok")))</f>
        <v/>
      </c>
      <c r="IK21" t="str">
        <f t="shared" si="113"/>
        <v/>
      </c>
      <c r="IL21" t="str">
        <f t="shared" si="114"/>
        <v>QF17</v>
      </c>
      <c r="IM21" t="str">
        <f t="shared" si="115"/>
        <v>QF17|кабель 5хВВГнг(А)-LS  (1х95) → Щит профкухни ЩС-ПК Цокольный этаж этаж Пом. №0.0014Б</v>
      </c>
      <c r="IN21" t="str" cm="1">
        <f t="array" ref="IN21">IF(IM21="","",_xlfn.LET(_xlpm.nd,_xlfn.TEXTSPLIT(IM21,"|"),IF(COLUMNS(_xlpm.nd)&gt;1,A21&amp;"¦"&amp;INDEX(_xlpm.nd,1)&amp;"¦"&amp;INDEX(_xlpm.nd,2),"")))</f>
        <v>ГРЩ-ЖД¦QF17¦кабель 5хВВГнг(А)-LS  (1х95) → Щит профкухни ЩС-ПК Цокольный этаж этаж Пом. №0.0014Б</v>
      </c>
      <c r="IO21" t="str">
        <f t="shared" si="116"/>
        <v>ЩР-ПК¦Щит профкухни ЩС-ПК Цокольный этаж этаж Пом. №0.0014Б</v>
      </c>
      <c r="IP21" t="str" cm="1">
        <f t="array" ref="IP21">IF(IM21="","",_xlfn.LET(_xlpm.nd,_xlfn.TEXTSPLIT(IM21,"|"),IF(COLUMNS(_xlpm.nd)&gt;2,A21&amp;"¦"&amp;INDEX(_xlpm.nd,2)&amp;"¦"&amp;INDEX(_xlpm.nd,3),"")))</f>
        <v/>
      </c>
      <c r="IQ21" t="str">
        <f t="shared" si="117"/>
        <v/>
      </c>
      <c r="IR21" t="str" cm="1">
        <f t="array" ref="IR21">IF(IM21="","",_xlfn.LET(_xlpm.nd,_xlfn.TEXTSPLIT(IM21,"|"),IF(COLUMNS(_xlpm.nd)&gt;3,A21&amp;"¦"&amp;INDEX(_xlpm.nd,3)&amp;"¦"&amp;INDEX(_xlpm.nd,4),"")))</f>
        <v/>
      </c>
      <c r="IS21" t="str">
        <f t="shared" si="118"/>
        <v/>
      </c>
      <c r="IT21" t="str" cm="1">
        <f t="array" ref="IT21">IF(IM21="","",_xlfn.LET(_xlpm.nd,_xlfn.TEXTSPLIT(IM21,"|"),IF(COLUMNS(_xlpm.nd)&gt;4,A21&amp;"¦"&amp;INDEX(_xlpm.nd,4)&amp;"¦"&amp;INDEX(_xlpm.nd,5),"")))</f>
        <v/>
      </c>
      <c r="IU21" t="str">
        <f t="shared" si="119"/>
        <v/>
      </c>
      <c r="IV21" t="str" cm="1">
        <f t="array" ref="IV21">IF(IM21="","",_xlfn.LET(_xlpm.nd,_xlfn.TEXTSPLIT(IM21,"|"),IF(COLUMNS(_xlpm.nd)&gt;5,A21&amp;"¦"&amp;INDEX(_xlpm.nd,5)&amp;"¦"&amp;INDEX(_xlpm.nd,6),"")))</f>
        <v/>
      </c>
      <c r="IW21" t="str">
        <f t="shared" si="120"/>
        <v/>
      </c>
      <c r="IX21" t="str" cm="1">
        <f t="array" ref="IX21">IF(IM21="","",_xlfn.LET(_xlpm.nd,_xlfn.TEXTSPLIT(IM21,"|"),IF(COLUMNS(_xlpm.nd)&gt;6,A21&amp;"¦"&amp;INDEX(_xlpm.nd,6)&amp;"¦"&amp;INDEX(_xlpm.nd,7),"")))</f>
        <v/>
      </c>
      <c r="IY21" t="str">
        <f t="shared" si="121"/>
        <v/>
      </c>
      <c r="IZ21" t="str">
        <f t="shared" si="122"/>
        <v/>
      </c>
      <c r="JA21" t="str">
        <f t="shared" si="123"/>
        <v>QF17</v>
      </c>
      <c r="JB21">
        <f t="shared" si="124"/>
        <v>0</v>
      </c>
      <c r="JC21">
        <f t="shared" si="125"/>
        <v>0</v>
      </c>
      <c r="JD21" t="str">
        <f t="shared" si="126"/>
        <v/>
      </c>
      <c r="JE21" t="str">
        <f t="shared" si="127"/>
        <v/>
      </c>
      <c r="JF21" t="str">
        <f t="shared" si="128"/>
        <v/>
      </c>
      <c r="JG21" t="str">
        <f t="shared" si="129"/>
        <v/>
      </c>
      <c r="JH21">
        <f>IF(B21="","",IFERROR(_xlfn.XLOOKUP(B21,Коды_код,Коды_уго),IFERROR(_xlfn.XLOOKUP(BC21,Коды_код,Коды_уго),IFERROR(_xlfn.XLOOKUP(LEFT(BC21,2),Коды_код,Коды_уго),""))))</f>
        <v>0</v>
      </c>
      <c r="JI21" t="str">
        <f>IF(B21="","",IF(OR(JH21="",JH21=0),"BOX",IFERROR(IF(VLOOKUP(JH21,УГО_блоки,3,FALSE)&amp;""&lt;&gt;"",VLOOKUP(JH21,УГО_блоки,3,FALSE),VLOOKUP(JH21,УГО_блоки,2,FALSE)),JH21)))</f>
        <v>BOX</v>
      </c>
      <c r="JJ21">
        <f t="shared" si="130"/>
        <v>1</v>
      </c>
      <c r="JK21">
        <f>IF(DQ21="","",IF(COUNTIF(DQ$3:DQ21,DQ21)=1,MAX(JK$2:JK20)+1,""))</f>
        <v>13</v>
      </c>
      <c r="JL21" t="str">
        <f>IF(DE21="","",IF(COUNTIF(DE$3:DE21,DE21)+COUNTIF(DF$2:DF20,DE21)+COUNTIF(DG$2:DG20,DE21)=1,MAX(JL$2:JN20)+1,""))</f>
        <v/>
      </c>
      <c r="JM21" t="str">
        <f>IF(DF21="","",IF(COUNTIF(DE$3:DE21,DF21)+COUNTIF(DF$3:DF21,DF21)+COUNTIF(DG$2:DG20,DF21)=1,MAX(JL$2:JN20,JL21)+1,""))</f>
        <v/>
      </c>
      <c r="JN21" t="str">
        <f>IF(DG21="","",IF(COUNTIF(DE$3:DE21,DG21)+COUNTIF(DF$3:DF21,DG21)+COUNTIF(DG$3:DG21,DG21)=1,MAX(JL$2:JN20,JL21,JM21)+1,""))</f>
        <v/>
      </c>
      <c r="JO21" t="str">
        <f t="shared" si="131"/>
        <v>1х95</v>
      </c>
      <c r="JP21">
        <f>IF(JO21="","",IF(COUNTIF(JO$3:JO21,JO21)=1,MAX(JP$2:JP20)+1,""))</f>
        <v>8</v>
      </c>
      <c r="JQ21" t="str">
        <f>IF(HG21="","",COUNTIF(HG$3:HG21,"?*"))</f>
        <v/>
      </c>
      <c r="JR21" t="str">
        <f>IF(OR(HG21="",HI21=""),"",IF(COUNTIFS(HG$3:HG21,"?*",HI$3:HI21,HI21)=1,MAX(JR$2:JR20)+1,""))</f>
        <v/>
      </c>
      <c r="JS21">
        <f t="shared" si="132"/>
        <v>0</v>
      </c>
      <c r="JT21">
        <f>IF(B21="","",COUNTIF(B$3:B21,"?*"))</f>
        <v>19</v>
      </c>
      <c r="JU21">
        <f>IF(HL21&lt;&gt;1,0,_xlfn.LET(_xlpm.k,MAX(IFERROR(--_xlfn.XLOOKUP(B21,Коды_код,Коды_3L),0),IFERROR(--_xlfn.XLOOKUP(BC21,Коды_код,Коды_3L),0),IFERROR(--_xlfn.XLOOKUP(LEFT(BC21,2),Коды_код,Коды_3L),0)),IF(_xlpm.k&gt;0,_xlpm.k,IF(IFERROR(--LEFT(SUBSTITUTE(JO21,"x","х"),FIND("х",SUBSTITUTE(JO21,"x","х"))-1),3)&gt;3,Каталог!$S$9,1))))</f>
        <v>1</v>
      </c>
      <c r="JV21">
        <f t="shared" si="133"/>
        <v>0</v>
      </c>
      <c r="JW21" t="str">
        <f t="shared" si="134"/>
        <v>авто</v>
      </c>
      <c r="JX21" t="str">
        <f t="shared" si="135"/>
        <v/>
      </c>
      <c r="JY21">
        <f t="shared" si="136"/>
        <v>0</v>
      </c>
      <c r="JZ21">
        <f t="shared" si="137"/>
        <v>1</v>
      </c>
    </row>
    <row r="22" spans="1:286" x14ac:dyDescent="0.3">
      <c r="A22" t="s">
        <v>783</v>
      </c>
      <c r="B22" t="s">
        <v>775</v>
      </c>
      <c r="C22" t="s">
        <v>774</v>
      </c>
      <c r="D22">
        <v>1</v>
      </c>
      <c r="E22">
        <v>38</v>
      </c>
      <c r="G22">
        <v>63</v>
      </c>
      <c r="H22" t="str">
        <f>Линии[[#This Row],[_авто управление]]</f>
        <v/>
      </c>
      <c r="I22" t="str">
        <f>Линии[[#This Row],[_авто аппараты]]</f>
        <v/>
      </c>
      <c r="J22">
        <v>16</v>
      </c>
      <c r="K22">
        <v>59</v>
      </c>
      <c r="L22" t="str">
        <f>Линии[[#This Row],[_авто фаза]]</f>
        <v>L1,L2,L3</v>
      </c>
      <c r="M22" t="str">
        <f>Линии[[#This Row],[_авто клемма]]</f>
        <v>XT17</v>
      </c>
      <c r="N22" t="str">
        <f t="shared" si="0"/>
        <v>ПЕРЕГРУЗ</v>
      </c>
      <c r="O22" s="6" cm="1">
        <f t="array" ref="O22">IF(B22="","",IF(BH22&lt;&gt;"",IFERROR(_xlfn.XLOOKUP(BH22,Щиты[Щит],Щиты[Iр, А]),""),IF(BP22=1,IF(OR(N(_xlfn.XLOOKUP(A22,Щиты[Щит],Щиты[Вводов],1))&lt;=1,LOWER(TRIM(_xlfn.XLOOKUP(A22,Щиты[Щит],Щиты[АВР],"")&amp;""))="да"),IFERROR(_xlfn.XLOOKUP(A22,Щиты[Щит],Щиты[Iр, А]),""),IFERROR(N(BS22)*_xlfn.XLOOKUP(A22,Щиты[Щит],Щиты[Кс итог])/(SQRT(3)*Uн_лин*_xlfn.XLOOKUP(A22,Щиты[Щит],Щиты[cos φ])),"")),IF(BV22=1,IFERROR(BS22*1000/BU22,""),IFERROR(_xlfn.IFS(BX22=1,BS22/((Uн_лин/SQRT(3))*CE22),BX22=3,BS22/(SQRT(3)*Uн_лин*CE22)),"")))))</f>
        <v>68.560344466268063</v>
      </c>
      <c r="P22" s="7">
        <f>IF(B22="","",IFERROR(IF(VLOOKUP(BC22,Потребители_обозначение,4,FALSE)=1,VLOOKUP(BC22,Потребители_обозначение,3,FALSE)*(MAX(1,N(D22))*2-1)+EI22+VLOOKUP(BE22,Этаж_обозначение,3,FALSE)+VLOOKUP(BE22,Этаж_обозначение,4,FALSE),VLOOKUP(BC22,Потребители_обозначение,3,FALSE)*(MAX(1,N(D22))*2-1)+EI22),EI22))</f>
        <v>59</v>
      </c>
      <c r="Q22" s="6">
        <f t="shared" si="1"/>
        <v>2.0499999999999998</v>
      </c>
      <c r="R22" t="str">
        <f t="shared" si="2"/>
        <v>ВВГнг(А)-LS (5х16)</v>
      </c>
      <c r="S22" t="str">
        <f>IF(BM22="","",IF(BN22="вводной узел","узел ","")&amp;"л."&amp;(INT((BM22-1)/Столбцов_на_лист)+1)&amp;" / "&amp;(MOD(BM22-1,Столбцов_на_лист)+1))</f>
        <v>л.3 / 2</v>
      </c>
      <c r="T22" s="119">
        <f t="shared" si="3"/>
        <v>28</v>
      </c>
      <c r="U22" s="7" t="str">
        <f>IF(OR(CG22=0,N(BV22)+N(IB22)=0),"",ROUNDUP(Запас_БП*(N(HY22)+N(HZ22)),0))</f>
        <v/>
      </c>
      <c r="V22" s="119" t="str">
        <f t="shared" si="4"/>
        <v/>
      </c>
      <c r="W22" s="7" t="str">
        <f>IFERROR(IF(OR(B22="",BP22=1,BV22=1,NOT(ISNUMBER(EN22)),N(DT22)=0),"",MAX(0,ROUNDDOWN((c_min*(Uн_лин*1000/SQRT(3))/(HT22*N(DT22))-_xlfn.XLOOKUP(A22,Щиты[Щит],Щиты[Zпетли на шинах, Ом]))*EN22/(2*ρкз_Cu),0))),"")</f>
        <v/>
      </c>
      <c r="Y22" t="str">
        <f>Линии[[#This Row],[_авто утечка]]</f>
        <v/>
      </c>
      <c r="Z22">
        <v>3</v>
      </c>
      <c r="AA22">
        <v>400</v>
      </c>
      <c r="AB22" t="s">
        <v>598</v>
      </c>
      <c r="AC22">
        <v>0.4</v>
      </c>
      <c r="AE22">
        <v>1</v>
      </c>
      <c r="AG22" t="s">
        <v>851</v>
      </c>
      <c r="AI22" t="s">
        <v>600</v>
      </c>
      <c r="AK22" t="str">
        <f>Линии[[#This Row],[_авто модуль]]</f>
        <v/>
      </c>
      <c r="AM22">
        <v>36</v>
      </c>
      <c r="AN22" t="s">
        <v>11</v>
      </c>
      <c r="AO22">
        <v>5</v>
      </c>
      <c r="AQ22">
        <v>33</v>
      </c>
      <c r="AR22">
        <v>21</v>
      </c>
      <c r="BA22" cm="1">
        <f t="array" ref="BA22">ROW()-ROW(Линии[#Headers])</f>
        <v>20</v>
      </c>
      <c r="BC22" s="6" t="str">
        <f t="shared" si="5"/>
        <v>РЩ-1</v>
      </c>
      <c r="BD22" t="str">
        <f t="shared" si="6"/>
        <v/>
      </c>
      <c r="BE22" t="str">
        <f t="shared" si="7"/>
        <v/>
      </c>
      <c r="BF22" t="str">
        <f t="shared" si="8"/>
        <v/>
      </c>
      <c r="BG22" t="str">
        <f t="shared" si="9"/>
        <v/>
      </c>
      <c r="BH22" t="str">
        <f>IF(X22&lt;&gt;"",X22,IF(AND(B22&lt;&gt;"",B22&lt;&gt;A22,ISNUMBER(_xlfn.XMATCH(B22,Щиты[Щит]))),B22,""))</f>
        <v/>
      </c>
      <c r="BI22" t="str" cm="1">
        <f t="array" ref="BI22">IF(B22="","",IF(BH22&lt;&gt;"","Щит "&amp;BH22,_xlfn.LET(_xlpm.nm,IFERROR(_xlfn.XLOOKUP(BC22,Коды_код,Коды_имя)&amp;"",""),_xlpm.md,IFERROR(N(_xlfn.XLOOKUP(BC22,Коды_код,Коды_режим)),1),_xlpm.ex,IF(Имя_режим="по экспликации",IFERROR(_xlfn.XLOOKUP(BE22&amp;"|"&amp;BG22,Экспликация[Этаж]&amp;"|"&amp;Экспликация[Помещение],Экспликация[Название])&amp;"",""),""),_xlpm.rm,IF(BG22="","",IF(_xlpm.ex&lt;&gt;"",". "&amp;_xlpm.ex&amp;IF(Имя_пом="нет"," ("&amp;BG22&amp;")"," (пом. "&amp;BG22&amp;")"),IF(Имя_пом="нет"," ",", пом. ")&amp;BG22)),IF(_xlpm.nm="","",IF(_xlpm.md=2,_xlpm.nm&amp;" шлейф "&amp;BE22,_xlpm.nm&amp;_xlpm.rm)))))</f>
        <v/>
      </c>
      <c r="BJ22" t="str">
        <f t="shared" si="10"/>
        <v>Щит Хаммам РЩ-1  Подвальный этаж этаж Пом. №00.001Тб</v>
      </c>
      <c r="BK22">
        <f>IFERROR(_xlfn.XMATCH(A22,Щиты[Щит]),0)</f>
        <v>1</v>
      </c>
      <c r="BL22">
        <f>_xlfn.LET(_xlpm.k,IFERROR(_xlfn.XLOOKUP(A22,Щиты[Щит],Щиты[Мест под вводной узел]),""),IF(_xlpm.k="",Столбцов_на_лист,N(_xlpm.k)))</f>
        <v>6</v>
      </c>
      <c r="BM22">
        <f t="shared" si="11"/>
        <v>36</v>
      </c>
      <c r="BN22" t="str">
        <f t="shared" si="12"/>
        <v>линии</v>
      </c>
      <c r="BO22" s="6">
        <f>IFERROR(N(_xlfn.XLOOKUP(BC22,Коды_код,Коды_квт)),0)</f>
        <v>0</v>
      </c>
      <c r="BP22">
        <f t="shared" si="13"/>
        <v>0</v>
      </c>
      <c r="BQ22" t="str">
        <f>IF(B22="","",IF(BH22&lt;&gt;"",IFERROR(_xlfn.XLOOKUP(BH22,Щиты[Щит],Щиты[Руст, кВт]),0),IF(BP22=1,IF(OR(N(_xlfn.XLOOKUP(A22,Щиты[Щит],Щиты[Вводов],1))&lt;=1,LOWER(TRIM(_xlfn.XLOOKUP(A22,Щиты[Щит],Щиты[АВР],"")&amp;""))="да"),IFERROR(_xlfn.XLOOKUP(A22,Щиты[Щит],Щиты[Руст, кВт]),0),SUMIFS(Линии[_Р для вводов],Линии[Щит],A22,Линии[Источник для режимов],GF22)),IF(BO22&gt;0,ROUND(BO22*MAX(1,N(D22)),3),""))))</f>
        <v/>
      </c>
      <c r="BR22">
        <f t="shared" si="14"/>
        <v>38</v>
      </c>
      <c r="BS22" s="6">
        <f>IF(B22="","",IF(BH22&lt;&gt;"",IFERROR(_xlfn.XLOOKUP(BH22,Щиты[Щит],Щиты[Руст, кВт]),0),N(BR22)))</f>
        <v>38</v>
      </c>
      <c r="BT22" t="str">
        <f>IF(B22="","",IFERROR(IF(VLOOKUP(BC22,Потребители_обозначение,8,FALSE)=0,"",VLOOKUP(BC22,Потребители_обозначение,8,FALSE)),""))</f>
        <v/>
      </c>
      <c r="BU22">
        <f t="shared" si="15"/>
        <v>400</v>
      </c>
      <c r="BV22">
        <f t="shared" si="16"/>
        <v>0</v>
      </c>
      <c r="BW22">
        <f>IF(B22="","",IF(BH22&lt;&gt;"",3,IFERROR(IF(N(VLOOKUP(BC22,Потребители_обозначение,9,FALSE))=0,1,VLOOKUP(BC22,Потребители_обозначение,9,FALSE)),1)))</f>
        <v>1</v>
      </c>
      <c r="BX22">
        <f t="shared" si="17"/>
        <v>3</v>
      </c>
      <c r="BY22" t="str">
        <f>IF(B22="","",_xlfn.LET(_xlpm.bc,IFERROR(IF(VLOOKUP(BC22,Потребители_обозначение,6,FALSE)=0,"",VLOOKUP(BC22,Потребители_обозначение,6,FALSE)&amp;""),""),IF(AND(GA22="да",OR(_xlpm.bc="",_xlpm.bc="мс")),Марка_пож,IF(AND(_xlpm.bc="",BH22&lt;&gt;""),"мс",_xlpm.bc))))</f>
        <v/>
      </c>
      <c r="BZ22" t="str">
        <f t="shared" si="18"/>
        <v>мс</v>
      </c>
      <c r="CA22">
        <f>IF(B22="","",_xlfn.LET(_xlpm.cc,IFERROR(N(VLOOKUP(BC22,Потребители_обозначение,7,FALSE)),0),IF(_xlpm.cc&gt;0,_xlpm.cc,IF(BZ22="","",IF(BV22=1,2,IF(N(BX22)=3,5,3))))))</f>
        <v>5</v>
      </c>
      <c r="CB22">
        <f t="shared" si="19"/>
        <v>5</v>
      </c>
      <c r="CC22">
        <f>IFERROR(N(VLOOKUP(BC22,Потребители_обозначение,10,FALSE)),0)</f>
        <v>0</v>
      </c>
      <c r="CD22">
        <f>IFERROR(VLOOKUP(BC22,Потребители_обозначение,5,FALSE),0)</f>
        <v>0</v>
      </c>
      <c r="CE22" s="6" cm="1">
        <f t="array" ref="CE22">IF(B22="","",IF(BH22&lt;&gt;"",IFERROR(_xlfn.XLOOKUP(BH22,Щиты[Щит],Щиты[cos φ]),0.95),IF(BP22=1,IFERROR(_xlfn.XLOOKUP(A22,Щиты[Щит],Щиты[cos φ]),0.95),IF(ISNUMBER(AD22),AD22,IFERROR(IF(CD22=2,_xlfn.IFS(BX22=3,VLOOKUP(BS22,Справочная_двигатели,8,FALSE),BX22=1,VLOOKUP(BS22,Справочная_двигатели,10,TRUE)),IF(AND(Методика="нормы 2026",FG22="Сил"),0.8,0.95)),0.95)))))</f>
        <v>0.8</v>
      </c>
      <c r="CF22">
        <f t="shared" si="20"/>
        <v>0</v>
      </c>
      <c r="CG22">
        <f t="shared" si="21"/>
        <v>1</v>
      </c>
      <c r="CH22">
        <f t="shared" si="22"/>
        <v>0</v>
      </c>
      <c r="CI22">
        <f>IF(B22="","",IF(BV22=1,IFERROR(BS22/((Uн_лин/SQRT(3))*MAX(0.5,N(CE22))),0),N(O22)))</f>
        <v>68.560344466268063</v>
      </c>
      <c r="CJ22">
        <f t="shared" si="23"/>
        <v>0</v>
      </c>
      <c r="CK22">
        <f t="shared" si="24"/>
        <v>0</v>
      </c>
      <c r="CL22">
        <f t="shared" si="25"/>
        <v>0</v>
      </c>
      <c r="CM22">
        <f t="shared" si="26"/>
        <v>0</v>
      </c>
      <c r="CN22">
        <f t="shared" si="27"/>
        <v>0</v>
      </c>
      <c r="CO22">
        <f>IF(BC22="",0,_xlfn.LET(_xlpm.v,IFERROR(_xlfn.XLOOKUP(B22,Коды_код,Коды_мА),IFERROR(_xlfn.XLOOKUP(BC22,Коды_код,Коды_мА),IFERROR(_xlfn.XLOOKUP(LEFT(BC22,2),Коды_код,Коды_мА),""))),IF(_xlpm.v="да",30,IF(ISNUMBER(_xlpm.v),_xlpm.v,0))))</f>
        <v>0</v>
      </c>
      <c r="CP22" t="str">
        <f t="shared" si="28"/>
        <v/>
      </c>
      <c r="CQ22" t="str">
        <f>_xlfn.LET(_xlpm.k,IFERROR(_xlfn.XLOOKUP(BC22,Коды_код,Коды_утечка)&amp;"",""),IF(_xlpm.k="","дифавтомат",_xlpm.k))</f>
        <v>дифавтомат</v>
      </c>
      <c r="CR22" t="str" cm="1">
        <f t="array" ref="CR22">IF(CG22=0,"",_xlfn.LET(_xlpm.sg,TRIM(_xlfn.TEXTSPLIT(DD22&amp;"",";")),_xlpm.f_,_xlfn._xlws.FILTER(_xlpm.sg,LEFT(_xlpm.sg,3)="УЗО",""),IFERROR(INDEX(_xlpm.f_,1)&amp;"","")))</f>
        <v/>
      </c>
      <c r="CS22" t="str">
        <f t="shared" si="29"/>
        <v/>
      </c>
      <c r="CT22" s="6" t="str" cm="1">
        <f t="array" ref="CT22">IF(CR22="","",_xlfn.LET(_xlpm.tk,_xlfn.TEXTSPLIT(UPPER(CR22)," ",,TRUE),_xlpm.a_,_xlfn._xlws.FILTER(_xlpm.tk,ISNUMBER(--LEFT(_xlpm.tk,1))*((ISNUMBER(SEARCH("А",_xlpm.tk))+ISNUMBER(SEARCH("A",_xlpm.tk)))&gt;0)*NOT(ISNUMBER(SEARCH("МА",_xlpm.tk)))*NOT(ISNUMBER(SEARCH("MA",_xlpm.tk))),""),IFERROR(--SUBSTITUTE(SUBSTITUTE(INDEX(_xlpm.a_,1),"А",""),"A",""),"")))</f>
        <v/>
      </c>
      <c r="CU22" t="str" cm="1">
        <f t="array" ref="CU22">IF(CR22="","",_xlfn.LET(_xlpm.tk,_xlfn.TEXTSPLIT(UPPER(CR22)," ",,TRUE),_xlpm.a_,_xlfn._xlws.FILTER(_xlpm.tk,ISNUMBER(--LEFT(_xlpm.tk,1))*((ISNUMBER(SEARCH("МА",_xlpm.tk))+ISNUMBER(SEARCH("MA",_xlpm.tk)))&gt;0),""),IFERROR(--SUBSTITUTE(SUBSTITUTE(INDEX(_xlpm.a_,1),"МА",""),"MA",""),30)))</f>
        <v/>
      </c>
      <c r="CV22" t="str">
        <f>IF(CS22="","",IFERROR(_xlfn.XLOOKUP(CS22,Линии[_n],Линии[_УЗО, мА]),30))</f>
        <v/>
      </c>
      <c r="CW22">
        <f>IF(CS22="",0,IF(ISNUMBER(SEARCH("4P",IFERROR(_xlfn.XLOOKUP(CS22,Линии[_n],Линии[_УЗО строки])&amp;"",""))),0,1))</f>
        <v>0</v>
      </c>
      <c r="CX22" t="str">
        <f>IF(AND(CS22&lt;&gt;"",CS22=BA22),SUMIFS(Линии[_ток на 230 В],Линии[_блок УЗО],BA22,Линии[Щит],A22),"")</f>
        <v/>
      </c>
      <c r="CY22" t="str">
        <f>IF(AND(CS22&lt;&gt;"",CS22=BA22),SUMIFS(Линии[_ток утечки линии, мА],Линии[_блок УЗО],BA22,Линии[Щит],A22),"")</f>
        <v/>
      </c>
      <c r="CZ22">
        <f t="shared" si="30"/>
        <v>0</v>
      </c>
      <c r="DA22">
        <f t="shared" si="31"/>
        <v>0</v>
      </c>
      <c r="DB22">
        <f>IF(B22="",0,IFERROR(--_xlfn.XLOOKUP(B22,Коды_код,Коды_минавт),IFERROR(--_xlfn.XLOOKUP(BC22,Коды_код,Коды_минавт),IFERROR(--_xlfn.XLOOKUP(LEFT(BC22,2),Коды_код,Коды_минавт),0))))</f>
        <v>0</v>
      </c>
      <c r="DC22" t="str">
        <f>IF(B22="","",IFERROR(_xlfn.XLOOKUP(BC22,Коды_код,Коды_апп)&amp;"",""))</f>
        <v/>
      </c>
      <c r="DD22" t="str">
        <f t="shared" si="32"/>
        <v/>
      </c>
      <c r="DE22" t="str" cm="1">
        <f t="array" ref="DE22">IF(TRIM(DD22&amp;"")="","",IFERROR(TRIM(INDEX(_xlfn.TEXTSPLIT(DD22&amp;";;;",";"),1)),""))</f>
        <v/>
      </c>
      <c r="DF22" t="str" cm="1">
        <f t="array" ref="DF22">IF(TRIM(DD22&amp;"")="","",IFERROR(TRIM(INDEX(_xlfn.TEXTSPLIT(DD22&amp;";;;",";"),2)),""))</f>
        <v/>
      </c>
      <c r="DG22" t="str" cm="1">
        <f t="array" ref="DG22">IF(TRIM(DD22&amp;"")="","",IFERROR(TRIM(INDEX(_xlfn.TEXTSPLIT(DD22&amp;";;;",";"),3)),""))</f>
        <v/>
      </c>
      <c r="DH22">
        <f t="shared" si="33"/>
        <v>0</v>
      </c>
      <c r="DI22" t="str">
        <f>IF(B22="","",_xlfn.LET(_xlpm.t,LOWER(AZ22&amp;""),IF(ISNUMBER(SEARCH("dim",_xlpm.t)),"DIM",IF(ISNUMBER(SEARCH("dali",_xlpm.t)),"DALI",IF(OR(ISNUMBER(SEARCH("relay",_xlpm.t)),ISNUMBER(SEARCH("реле",_xlpm.t))),"Relay",IF(ISNUMBER(SEARCH("кнопк",_xlpm.t)),"",IFERROR(_xlfn.XLOOKUP(BC22,Коды_код,Коды_упр)&amp;"","")))))))</f>
        <v/>
      </c>
      <c r="DJ22" t="str">
        <f t="shared" si="34"/>
        <v/>
      </c>
      <c r="DK22">
        <f>IF(B22="","",_xlfn.LET(_xlpm.ig,IF(N(CX22)&gt;0,N(CX22),N(CI22)+IF(AJ22="вручную",0,N(CJ22))),_xlpm.n0,IFERROR(VLOOKUP(_xlpm.ig,Автомат_номиналы,2,TRUE),0),_xlpm.mn,MAX(DB22,IF(AJ22="вручную",0,N(CM22))),MAX(_xlpm.n0,_xlpm.mn,IF(DH22=1,Мин_автомат_БП,0))))</f>
        <v>80</v>
      </c>
      <c r="DL22">
        <f t="shared" si="35"/>
        <v>3</v>
      </c>
      <c r="DM22" t="str">
        <f t="shared" si="36"/>
        <v>3P</v>
      </c>
      <c r="DN22" t="str">
        <f>_xlfn.LET(_xlpm.cc,UPPER(TRIM(IFERROR(_xlfn.XLOOKUP(BC22,Коды_код,Коды_хар)&amp;"",""))),IF(OR(_xlpm.cc="B",_xlpm.cc="В"),"B",IF(_xlpm.cc="D","D","С")))</f>
        <v>С</v>
      </c>
      <c r="DO22" t="str">
        <f t="shared" si="37"/>
        <v>3P С80А</v>
      </c>
      <c r="DP22">
        <f t="shared" si="38"/>
        <v>63</v>
      </c>
      <c r="DQ22" t="str">
        <f t="shared" si="39"/>
        <v>3P С63А</v>
      </c>
      <c r="DR22" cm="1">
        <f t="array" ref="DR22">IF(DQ22="","",_xlfn.LET(_xlpm.t,SUBSTITUTE(SUBSTITUTE(SUBSTITUTE(UPPER(DQ22),"С","C"),"А","A"),"В","B"),_xlpm.tk,_xlfn.TEXTSPLIT(_xlpm.t," "),_xlpm.f,_xlfn._xlws.FILTER(_xlpm.tk,ISNUMBER(--MID(_xlpm.tk,2,1))*ISNUMBER(SEARCH(LEFT(_xlpm.tk,1)&amp;"#","B#C#D#"))*(LEN(_xlpm.tk)&gt;1),""),_xlpm.x,INDEX(_xlpm.f,1),IFERROR(--SUBSTITUTE(MID(_xlpm.x,2,9),"A",""),IFERROR(--SUBSTITUTE(INDEX(_xlfn._xlws.FILTER(_xlpm.tk,ISNUMBER(--SUBSTITUTE(_xlpm.tk,"A","")),""),1),"A",""),""))))</f>
        <v>63</v>
      </c>
      <c r="DS22" t="str">
        <f t="shared" si="40"/>
        <v>ok</v>
      </c>
      <c r="DT22">
        <f t="shared" si="41"/>
        <v>63</v>
      </c>
      <c r="DU22" t="str">
        <f t="shared" si="42"/>
        <v>3P С63А</v>
      </c>
      <c r="DV22">
        <f t="shared" si="43"/>
        <v>0</v>
      </c>
      <c r="DW22">
        <f t="shared" si="44"/>
        <v>0</v>
      </c>
      <c r="DX22">
        <f t="shared" si="45"/>
        <v>0</v>
      </c>
      <c r="DY22">
        <f t="shared" si="46"/>
        <v>68.560344466268063</v>
      </c>
      <c r="DZ22">
        <f t="shared" si="47"/>
        <v>0.92</v>
      </c>
      <c r="EA22">
        <f>IF(ISNUMBER(AP22),AP22,К_прокл)</f>
        <v>1</v>
      </c>
      <c r="EB22">
        <f t="shared" si="48"/>
        <v>3</v>
      </c>
      <c r="EC22">
        <f>IFERROR(N(VLOOKUP(BZ22,Кабель_обозначение,3,FALSE)),1)</f>
        <v>1</v>
      </c>
      <c r="ED22">
        <f>IFERROR(N(_xlfn.XLOOKUP(A22,Щиты[Щит],Щиты[ΔU до шин, %])),0)</f>
        <v>0</v>
      </c>
      <c r="EE22" t="str">
        <f>IFERROR(_xlfn.XLOOKUP(A22,Щиты[Щит],Щиты[Zпетли на шинах, Ом]),"")</f>
        <v/>
      </c>
      <c r="EF22">
        <f>IFERROR(N(_xlfn.XLOOKUP(A22,Щиты[Щит],Щиты[ΔU до шин (подбор), %])),0)</f>
        <v>0</v>
      </c>
      <c r="EG22" t="str">
        <f>IFERROR(_xlfn.XLOOKUP(A22,Щиты[Щит],Щиты[Zпетли на шинах (подбор), Ом]),"")</f>
        <v/>
      </c>
      <c r="EH22" t="str">
        <f t="shared" si="49"/>
        <v/>
      </c>
      <c r="EI22">
        <f t="shared" si="50"/>
        <v>59</v>
      </c>
      <c r="EJ22">
        <f t="shared" si="51"/>
        <v>1</v>
      </c>
      <c r="EK22">
        <f t="shared" si="52"/>
        <v>0.6</v>
      </c>
      <c r="EL22" s="6">
        <f>IF(B22="","",IF(BV22=1,dU_LED,IF(IFERROR(_xlfn.XLOOKUP(BC22,Коды_код,Коды_уго),"")="Светильник",3,4)+IF(Методика="нормы 2026",MIN(0.5,MAX(0,N(P22)-100)*0.005),0)))</f>
        <v>4</v>
      </c>
      <c r="EM22" cm="1">
        <f t="array" ref="EM22">IF(OR(B22="",BZ22="",EC22&lt;&gt;1),"",_xlfn.LET(_xlpm.sz,Iдоп_S,_xlpm.t_,CHOOSE(EB22,Iдоп_1ж,Iдоп_2ж,Iдоп_3ж)*DZ22*EA22,_xlpm.dcx,BV22=1,_xlpm.inn,IF(_xlpm.dcx,N(O22),N(DT22)),_xlpm.smin,MAX(1.5,CC22),_xlpm.L_,N(P22)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22)/N(BU22)*100,999),IFERROR(N(EJ22)*(_xlpm.rho*_xlpm.L_/_xlpm.sz*N(CE22)+_xlpm.xx*_xlpm.L_*N(EK22)/1000)*N(O22)/((Uн_лин/SQRT(3))*1000)*100,999)),_xlpm.kz,IF(OR(_xlpm.dcx,DW22=1,NOT(ISNUMBER(EG22)),_xlpm.L_=0,_xlpm.inn=0),1,IFERROR(--(c_min*(Uн_лин*1000/SQRT(3))/(EG22+2*ρкз_Cu*_xlpm.L_/_xlpm.sz)&gt;=HT22*_xlpm.inn),0)),_xlpm.ok,IFERROR((_xlpm.sz&gt;=_xlpm.smin)*(_xlpm.t_&gt;=_xlpm.inn)*IF(_xlpm.L_&gt;0,(_xlpm.du_+IF(_xlpm.dcx,0,EF22)&lt;=EL22+0.00001),1)*_xlpm.kz,0),_xlpm.r_,_xlfn._xlws.FILTER(_xlpm.sz,_xlpm.ok,"не подобрано"),INDEX(_xlpm.r_,1)))</f>
        <v>16</v>
      </c>
      <c r="EN22">
        <f t="shared" si="53"/>
        <v>16</v>
      </c>
      <c r="EO22" cm="1">
        <f t="array" ref="EO22">IF(OR(B22="",BZ22="",EC22&lt;&gt;1),"",_xlfn.LET(_xlpm.sz,Iдоп_S,_xlpm.t_,CHOOSE(EB22,Iдоп_1ж,Iдоп_2ж,Iдоп_3ж)*DZ22*EA22,_xlpm.ok,IFERROR((_xlpm.sz&gt;=MAX(1.5,CC22))*(_xlpm.t_&gt;=N(DT22)),0),_xlpm.r_,_xlfn._xlws.FILTER(_xlpm.sz,_xlpm.ok,""),INDEX(_xlpm.r_,1)))</f>
        <v>16</v>
      </c>
      <c r="EP22" s="6" cm="1">
        <f t="array" ref="EP22">IFERROR(ROUNDUP(N(EJ22)*(_xlfn.XLOOKUP(EO22,INDEX(Кабель_сопротивление,0,1),INDEX(Кабель_сопротивление,0,3))*N(P22)/EO22*N(CE22)+_xlfn.XLOOKUP(EO22,INDEX(Кабель_сопротивление,0,1),INDEX(Кабель_сопротивление,0,2))*N(P22)*N(EK22)/1000)*N(O22)/((Uн_лин/SQRT(3))*1000)*100,2),"")</f>
        <v>2.0499999999999998</v>
      </c>
      <c r="EQ22">
        <f>IFERROR(2*ρкз_Cu*N(P22)/EO22,"")</f>
        <v>0.19396250000000001</v>
      </c>
      <c r="ER22">
        <f>IFERROR(VLOOKUP(EN22,Кабель_сопротивление,3,FALSE),"")</f>
        <v>2.2499999999999999E-2</v>
      </c>
      <c r="ES22">
        <f>IFERROR(VLOOKUP(EN22,Кабель_сопротивление,2,FALSE),"")</f>
        <v>6.7500000000000004E-2</v>
      </c>
      <c r="ET22">
        <f t="shared" si="54"/>
        <v>21</v>
      </c>
      <c r="EU22" t="str">
        <f t="shared" si="55"/>
        <v/>
      </c>
      <c r="EV22">
        <f t="shared" si="56"/>
        <v>4.714517807050691</v>
      </c>
      <c r="EW22" s="6">
        <f>IFERROR(ROUNDUP(EV22/IF(BV22=1,BU22,(Uн_лин/SQRT(3))*1000)*100,2),"")</f>
        <v>2.0499999999999998</v>
      </c>
      <c r="EX22" t="str">
        <f>IFERROR(VLOOKUP(BZ22,Кабель_обозначение,2,FALSE),"")</f>
        <v>ВВГнг(А)-LS</v>
      </c>
      <c r="EY22" t="str">
        <f t="shared" si="57"/>
        <v>ВВГнг(А)-LS (5х16)</v>
      </c>
      <c r="EZ22" t="str">
        <f t="shared" si="58"/>
        <v>ВВГнг(А)-LS (5х16)
L=59-2,05%</v>
      </c>
      <c r="FA22">
        <f>IFERROR(2*ρкз_Cu*P22/EN22,"")</f>
        <v>0.19396250000000001</v>
      </c>
      <c r="FB22">
        <f t="shared" si="59"/>
        <v>6.4531250000000012E-2</v>
      </c>
      <c r="FC22" s="6" t="str">
        <f>IFERROR(IF(OR(B22="",BV22=1,NOT(ISNUMBER(EN22)),N(P22)=0),"",_xlfn.XLOOKUP(A22,Щиты[Щит],Щиты[Zпетли на шинах, Ом])+FA22),"")</f>
        <v/>
      </c>
      <c r="FD22" s="6" t="str">
        <f>IF(ISNUMBER(FC22),c_min*(Uн_лин*1000/SQRT(3))/FC22,"")</f>
        <v/>
      </c>
      <c r="FE22" s="6" t="str">
        <f>IFERROR(IF(OR(B22="",NOT(ISNUMBER(EN22))),"",1.05*(Uн_лин*1000/SQRT(3))/(_xlfn.XLOOKUP(A22,Щиты[Щит],Щиты[Zmax на шинах, Ом])+FB22)/1000),"")</f>
        <v/>
      </c>
      <c r="FF22" s="6" t="str">
        <f>IF(B22="","",IF(ISNUMBER(AC22),"Сил",IF(IFERROR(_xlfn.XLOOKUP(BC22,Коды_код,Коды_группа)&amp;"","")="","Быт",_xlfn.XLOOKUP(BC22,Коды_код,Коды_группа)&amp;"")))</f>
        <v>Сил</v>
      </c>
      <c r="FG22" s="6" t="str">
        <f t="shared" si="60"/>
        <v>Сил</v>
      </c>
      <c r="FH22" s="6">
        <f>IF(FG22="Щит","щит",IF(FG22="","",IF(FG22="Быт",IFERROR(_xlfn.XLOOKUP(A22,Щиты[Щит],Щиты[Кс быт]),1),IF(FG22="Сил",IF(ISNUMBER(AC22),AC22,IF(Методика="нормы 2026",IFERROR(_xlfn.XLOOKUP(A22,Щиты[Щит],Щиты[Кс силовых (табл. 7.5)]),1),1)),IF(OR(FG22="Пост",FG22="Отоп"),1,IF(FG22="ВНГ",0.7,0))))))</f>
        <v>0.4</v>
      </c>
      <c r="FI22">
        <f>IF(FG22="","",IF(AND(BP22=1,TRIM(AE22&amp;"")=""),IF(COUNTIFS(Линии[Щит],A22,Линии[Секция (1/2/3)],"&gt;=2")&gt;0,MIN(3,MAX(1,IFERROR(--BD22,1))),1),IFERROR(MIN(3,MAX(1,INT(--AE22))),1)))</f>
        <v>1</v>
      </c>
      <c r="FJ22">
        <f t="shared" si="61"/>
        <v>38</v>
      </c>
      <c r="FK22">
        <f t="shared" si="62"/>
        <v>0</v>
      </c>
      <c r="FL22">
        <f t="shared" si="63"/>
        <v>15.200000000000001</v>
      </c>
      <c r="FM22">
        <f t="shared" si="64"/>
        <v>0</v>
      </c>
      <c r="FN22">
        <f t="shared" si="65"/>
        <v>0</v>
      </c>
      <c r="FO22">
        <f t="shared" si="66"/>
        <v>0</v>
      </c>
      <c r="FP22">
        <f t="shared" si="67"/>
        <v>38</v>
      </c>
      <c r="FQ22">
        <f t="shared" si="68"/>
        <v>38</v>
      </c>
      <c r="FR22">
        <f t="shared" si="69"/>
        <v>30.400000000000002</v>
      </c>
      <c r="FS22">
        <f>IF(CG22=1,IF(AND(CH22=1,CW22=1),0,IF(AND(CS22&lt;&gt;"",CS22=BA22,CW22=1),SUMIFS(Линии[_Р линии, кВт],Линии[_блок УЗО],BA22,Линии[Щит],A22),N(BS22)+IF(AJ22="вручную",0,N(CK22)))),0)</f>
        <v>38</v>
      </c>
      <c r="FT22" t="str">
        <f t="shared" si="70"/>
        <v/>
      </c>
      <c r="FU22" t="str">
        <f>IF(B22="","",IF(CG22=0,IF(BA22=1,"",FW21),IF(AND(CH22=1,CW22=1,CS22&lt;&gt;""),IFERROR(_xlfn.XLOOKUP(CS22,Линии[_n],Линии[_фаза итог]),"L1"),IF(OR(N(DL22)&gt;=3,N(BX22)&gt;=3),"L1,L2,L3",IFERROR(_xlfn.TEXTBEFORE(_xlfn.TEXTAFTER(_xlfn.XLOOKUP(A22,Щиты[Щит],Щиты[_фазы авто]),";"&amp;BA22&amp;":"),";"),"L1")))))</f>
        <v>L1,L2,L3</v>
      </c>
      <c r="FV22" t="str">
        <f t="shared" si="71"/>
        <v>L1,L2,L3</v>
      </c>
      <c r="FW22" t="str">
        <f t="shared" si="72"/>
        <v>L1,L2,L3</v>
      </c>
      <c r="FX22" cm="1">
        <f t="array" ref="FX22">IFERROR(IF(CD22=2,_xlfn.IFS(BX22=3,VLOOKUP(BS22,Справочная_двигатели,3,FALSE),BX22=1,VLOOKUP(BS22,Справочная_двигатели,5,TRUE)),0),0)</f>
        <v>0</v>
      </c>
      <c r="FY22">
        <f>IFERROR(IF(CD22=3,VLOOKUP(BS22,Справочная_ЛЭД,2,TRUE),0),0)</f>
        <v>0</v>
      </c>
      <c r="FZ22" s="6">
        <f t="shared" si="73"/>
        <v>0</v>
      </c>
      <c r="GA22" t="str">
        <f>IF(B22="","",IF(TRIM(AH22&amp;"")&lt;&gt;"",IF(LOWER(TRIM(AH22&amp;""))="да","да","нет"),IF(IFERROR(_xlfn.XLOOKUP(BC22,Коды_код,Коды_пожарная),"")="да","да","нет")))</f>
        <v>нет</v>
      </c>
      <c r="GB22" t="str">
        <f t="shared" si="74"/>
        <v/>
      </c>
      <c r="GC22" t="str">
        <f t="shared" si="75"/>
        <v>основная</v>
      </c>
      <c r="GD22">
        <f>IF(AND(BP22=1,TRIM(AE22&amp;"")=""),IF(COUNTIFS(Линии[Щит],A22,Линии[Секция (1/2/3)],"&gt;=2")&gt;0,MIN(3,MAX(1,IFERROR(--BD22,1))),1),IFERROR(MIN(3,MAX(1,INT(--AE22))),1))</f>
        <v>1</v>
      </c>
      <c r="GE22" t="str" cm="1">
        <f t="array" ref="GE22">IF(B22="","",_xlfn.LET(_xlpm.t,IFERROR(_xlfn.XLOOKUP(1,(Шины[Шина]=GC22)*(((Шины[Щит]=A22)+(Шины[Щит]=""))&gt;0),Шины[Тип]),"")&amp;"",IF(_xlpm.t&lt;&gt;"",_xlpm.t,IF(ISNUMBER(SEARCH("ИБП",GC22)),"ИБП",IF(ISNUMBER(SEARCH("ДГУ",GC22)),"ДГУ","Ввод "&amp;GD22)))))</f>
        <v>Ввод 1</v>
      </c>
      <c r="GF22" t="str">
        <f t="shared" si="76"/>
        <v>Ввод 1</v>
      </c>
      <c r="GG22" t="str">
        <f>IF(BP22=0,"",IF(TRIM(AG22&amp;"")&lt;&gt;"",TRIM(AG22&amp;""),IF(OR(GE22="ИБП",GE22="ДГУ"),"I особая",_xlfn.XLOOKUP(A22,Щиты[Щит],Щиты[Категория шины «Ввод»],"III"))))</f>
        <v/>
      </c>
      <c r="GH22" t="str">
        <f>IF(A22="","",_xlfn.XLOOKUP(A22,Щиты[Щит],Щиты[Путь],""))</f>
        <v>|ГРЩ-ЖД|</v>
      </c>
      <c r="GI22" t="str">
        <f>IF(B22="","",IF(AI22&lt;&gt;"",AI22,IF(IFERROR(_xlfn.XLOOKUP(BC22,Коды_код,Коды_вид)&amp;"","")="","Прочее",_xlfn.XLOOKUP(BC22,Коды_код,Коды_вид)&amp;"")))</f>
        <v>Бассейн, SPA, хаммам</v>
      </c>
      <c r="GJ22">
        <f>IF(BM22="","",INT((BM22-1)/Столбцов_на_лист)+1)</f>
        <v>3</v>
      </c>
      <c r="GK22" t="str">
        <f t="shared" si="77"/>
        <v>ВВГнг(А)-LS (5х16) L=59-2,05%</v>
      </c>
      <c r="GL22">
        <f t="shared" si="78"/>
        <v>38</v>
      </c>
      <c r="GM22">
        <f t="shared" si="79"/>
        <v>68.570000000000007</v>
      </c>
      <c r="GN22">
        <f t="shared" si="80"/>
        <v>3</v>
      </c>
      <c r="GO22">
        <f t="shared" si="81"/>
        <v>0</v>
      </c>
      <c r="GP22">
        <f t="shared" si="82"/>
        <v>1</v>
      </c>
      <c r="GQ22">
        <f>IF(BM22="","",IF(AND(CG22=1,GP22=1),COUNTIFS(A$3:A22,A22,CG$3:CG22,1,GP$3:GP22,1),IF(OR(OR(BA22=1,A22&lt;&gt;A21),AJ22="вручную",GP22=0),"",IF(BA22=1,"",GR21))))</f>
        <v>18</v>
      </c>
      <c r="GR22">
        <f t="shared" si="83"/>
        <v>18</v>
      </c>
      <c r="GS22">
        <f>IF(B22="","",IFERROR(LOOKUP(INDEX(CHOOSE(EB22,Iдоп_1ж,Iдоп_2ж,Iдоп_3ж),MATCH(EN22,Iдоп_S,0))*DZ22*EA22,{6,10,16,20,25,32,40,50,63,80,100,125,160,200,250,315,400,500,630}),""))</f>
        <v>63</v>
      </c>
      <c r="GT22" t="str">
        <f t="shared" si="84"/>
        <v>QF18</v>
      </c>
      <c r="GU22" t="str">
        <f t="shared" si="85"/>
        <v>QF18</v>
      </c>
      <c r="GV22" t="str">
        <f t="shared" si="86"/>
        <v/>
      </c>
      <c r="GW22">
        <f t="shared" si="87"/>
        <v>0</v>
      </c>
      <c r="GX22" t="str">
        <f>IF(OR(B22="",DJ22=""),"",IFERROR(_xlfn.XLOOKUP(DJ22,Модули_умолч[Управление],Модули_умолч[Модель])&amp;"",""))</f>
        <v/>
      </c>
      <c r="GY22">
        <f>IF(DJ22="",1,IFERROR(MAX(0,N(_xlfn.XLOOKUP(DJ22,Модули_умолч[Управление],Модули_умолч[Каналов на линию]))),1))</f>
        <v>1</v>
      </c>
      <c r="GZ22" t="str">
        <f t="shared" si="88"/>
        <v/>
      </c>
      <c r="HA22" t="str">
        <f t="shared" si="89"/>
        <v/>
      </c>
      <c r="HB22" t="str">
        <f t="shared" si="90"/>
        <v/>
      </c>
      <c r="HC22">
        <f>IF(HB22="",0,IFERROR(N(VLOOKUP(HB22,Модули_спр,3,FALSE)),0))</f>
        <v>0</v>
      </c>
      <c r="HD22" t="str">
        <f t="shared" si="91"/>
        <v/>
      </c>
      <c r="HE22" t="str">
        <f t="shared" si="92"/>
        <v/>
      </c>
      <c r="HF22" t="str">
        <f>IF(OR(HE22="",HE22="-"),"",IFERROR(VLOOKUP(HE22,Модули_спр,2,FALSE),"R"))</f>
        <v/>
      </c>
      <c r="HG22" t="str">
        <f>IF(HF22="","",HF22&amp;"."&amp;COUNTIFS(A$3:A22,A22,HF$3:HF22,HF22))</f>
        <v/>
      </c>
      <c r="HH22" t="str">
        <f t="shared" si="93"/>
        <v/>
      </c>
      <c r="HI22" t="str">
        <f t="shared" si="94"/>
        <v/>
      </c>
      <c r="HJ22" t="str">
        <f t="shared" si="95"/>
        <v/>
      </c>
      <c r="HK22" t="str">
        <f t="shared" si="96"/>
        <v/>
      </c>
      <c r="HL22">
        <f t="shared" si="97"/>
        <v>1</v>
      </c>
      <c r="HM22" t="str">
        <f>IF(HL22=1,"XT"&amp;COUNTIFS(A$3:A22,A22,HL$3:HL22,1),"")</f>
        <v>XT17</v>
      </c>
      <c r="HN22" t="str">
        <f t="shared" si="98"/>
        <v>XT17</v>
      </c>
      <c r="HO22" t="str">
        <f t="shared" si="99"/>
        <v>QF18</v>
      </c>
      <c r="HP22" t="str">
        <f t="shared" si="100"/>
        <v/>
      </c>
      <c r="HQ22" t="str">
        <f t="shared" si="101"/>
        <v>ПЕРЕГРУЗ</v>
      </c>
      <c r="HR22" t="str">
        <f>IF(OR(HJ22="",HH22=""),"",IF(HJ22+MAX(0,GY22-1)&gt;IFERROR(VLOOKUP(HI22,Модули_спр,3,FALSE),99),"ЛИШНИЙ КАНАЛ",IF(AND(AL22&lt;&gt;"=",GY22&gt;0,COUNTIFS(Линии[_модуль гр.],HH22,Линии[Канал (итог)],HJ22,Линии[Канал],"&lt;&gt;=",Линии[Щит],A22)&gt;1),"ДУБЛЬ КАНАЛА","")))</f>
        <v/>
      </c>
      <c r="HS22" s="6" t="str">
        <f t="shared" si="102"/>
        <v/>
      </c>
      <c r="HT22">
        <f t="shared" si="103"/>
        <v>10</v>
      </c>
      <c r="HU22" t="str">
        <f t="shared" si="104"/>
        <v/>
      </c>
      <c r="HV22">
        <f t="shared" si="105"/>
        <v>28.014137786507227</v>
      </c>
      <c r="HW22">
        <f t="shared" si="106"/>
        <v>0</v>
      </c>
      <c r="HX22">
        <f t="shared" si="107"/>
        <v>0</v>
      </c>
      <c r="HY22">
        <f t="shared" si="108"/>
        <v>0</v>
      </c>
      <c r="HZ22">
        <f t="shared" si="109"/>
        <v>0</v>
      </c>
      <c r="IA22">
        <f t="shared" si="110"/>
        <v>0</v>
      </c>
      <c r="IB22">
        <f t="shared" si="111"/>
        <v>0</v>
      </c>
      <c r="IC22" t="str">
        <f t="shared" si="112"/>
        <v/>
      </c>
      <c r="ID22" t="str" cm="1">
        <f t="array" ref="ID22">IF(IC22="","",_xlfn.LET(_xlpm.tk,_xlfn.TEXTSPLIT(SUBSTITUTE(SUBSTITUTE(IC22,";"," "),"→"," ")," ",,TRUE),_xlpm.w_,_xlfn._xlws.FILTER(_xlpm.tk,ISNUMBER(--LEFT(_xlpm.tk,1))*((ISNUMBER(SEARCH("W",_xlpm.tk))+ISNUMBER(SEARCH("Вт",_xlpm.tk)))&gt;0),""),IFERROR(--SUBSTITUTE(SUBSTITUTE(UPPER(INDEX(_xlpm.w_,1)),"W",""),"ВТ",""),"")))</f>
        <v/>
      </c>
      <c r="IE22" t="str" cm="1">
        <f t="array" ref="IE22">IF(IC22="","",_xlfn.LET(_xlpm.tk,_xlfn.TEXTSPLIT(SUBSTITUTE(SUBSTITUTE(IC22,";"," "),"→"," ")," ",,TRUE),_xlpm.v_,_xlfn._xlws.FILTER(_xlpm.tk,ISNUMBER(--LEFT(_xlpm.tk,1))*((ISNUMBER(SEARCH("V",_xlpm.tk))+(RIGHT(UPPER(_xlpm.tk))="В"))&gt;0),""),IFERROR(--SUBSTITUTE(SUBSTITUTE(UPPER(INDEX(_xlpm.v_,1)),"V",""),"В",""),"")))</f>
        <v/>
      </c>
      <c r="IF22" s="6" t="str">
        <f>IF(OR(BV22=0,HI22="",HJ22=""),"",IFERROR(N(_xlfn.XLOOKUP(HI22,Каталог!$C$4:$C$500,Каталог!$Q$4:$Q$500)),""))</f>
        <v/>
      </c>
      <c r="IG22" s="6" t="str">
        <f>IF(N(IF22)=0,"",SUMIFS(Линии[Iр, А],Линии[Щит],A22,Линии[_модуль гр.],HH22,Линии[Канал (итог)],HJ22))</f>
        <v/>
      </c>
      <c r="IH22" t="str">
        <f>IF(AND(B22="",HO22=""),"",_xlfn.TEXTJOIN("; ",TRUE,IF(AND(B22&lt;&gt;"",FV22=""),"нет фазы",""),IF(AND(B22&lt;&gt;"",N(GL22)=0,FG22&lt;&gt;"Нет"),"нет мощности",""),IF(AND(HN22&lt;&gt;"",COUNTIFS(Линии[Щит],A22,Линии[Клемма (итог)],HN22)&gt;1),"дубль клеммы "&amp;HN22,""),IF(AND(HQ22&lt;&gt;"",HQ22&lt;&gt;"ok"),HQ22,""),IF(HR22&lt;&gt;"",HR22,""),IF(AND(N(CB22)&gt;=4,N(BX22)=1),CB22&amp;" жил на 1 фазе",""),IF(AND(BC22="R",CG22=1,IF(CS22&lt;&gt;"",N(CV22)&gt;30,OR(N(DA22)=0,N(DA22)&gt;30))),"розетка без дифзащиты до 30 мА",""),IF(AND(CG22=1,N(DA22)&gt;0,ISNUMBER(T22)),IF(T22&gt;N(DA22)/3,"ток утечки "&amp;FIXED(T22,1)&amp;" мА &gt; 1/3 уставки ("&amp;DA22&amp;" мА)",""),""),IF(AND(CH22=1,CS22=""),"«узо»: нет строки с УЗО выше (УЗО 2P 40А 30мА в «Аппаратах»)",""),IF(AND(CS22&lt;&gt;"",CS22=BA22),IF(CT22="","впишите номинал УЗО (УЗО 2P 40А 30мА)",IF(N(CT22)&lt;N(DT22),"УЗО "&amp;CT22&amp;" А &lt; автомата "&amp;DT22&amp;" А перед ним",IF(N(CT22)&lt;N(CX22),"УЗО "&amp;CT22&amp;" А &lt; тока блока "&amp;FIXED(CX22,1)&amp;" А",""))),""),IF(AND(CS22&lt;&gt;"",CS22=BA22,ISNUMBER(CY22)),IF(CY22&gt;N(CV22)/3,"ток утечки блока УЗО "&amp;FIXED(CY22,1)&amp;" мА &gt; 1/3 уставки ("&amp;CV22&amp;" мА)",""),""),IF(AND(CG22=1,N(BV22)+N(IB22)&gt;0,IC22=""),"линии до 50 В без БП: впишите в «Аппараты» (БП 24V 480W)",""),IF(AND(CG22=1,ISNUMBER(ID22),ISNUMBER(U22)),IF(U22&gt;ID22,"БП "&amp;ID22&amp;" Вт &lt; нужно "&amp;U22&amp;" Вт (×"&amp;Запас_БП&amp;")",""),""),IF(AND(CG22=1,ISNUMBER(IE22),N(BV22)=1),IF(IE22&lt;&gt;N(BU22),"БП на "&amp;IE22&amp;" В, линия "&amp;BU22&amp;" В",""),""),IF(AND(N(IF22)&gt;0,N(IG22)&gt;N(IF22)),HH22&amp;" канал "&amp;HJ22&amp;": "&amp;FIXED(IG22,1)&amp;" А &gt; "&amp;IF22&amp;" А",""),IFERROR(IF(AND(ISNUMBER(Q22),Q22&gt;EL22),"потери "&amp;FIXED(Q22,1)&amp;" % &gt; "&amp;EL22&amp;" %",""),""),IFERROR(IF(LEFT(HU22,4)="мало","Iкз мало — отключение &gt; 0,4 с",""),""),IF(AND(B22&lt;&gt;"",BM22=""),"не на схеме",""),IF(AND(CG22=0,B22&lt;&gt;"",FV22&lt;&gt;"",IF(BA22=1,"",FW21)&lt;&gt;"",FV22&lt;&gt;IF(BA22=1,"",FW21)),"фаза не как у автомата группы ("&amp;IF(BA22=1,"",FW21)&amp;")","")))</f>
        <v>ПЕРЕГРУЗ</v>
      </c>
      <c r="II22" s="6" t="str">
        <f>IF(OR(CG22=0,DQ22=""),"",_xlfn.LET(_xlpm.t,IFERROR(_xlfn.XLOOKUP(DQ22,Каталог!$U$4:$U$500,Каталог!$G$4:$G$500),""),_xlpm.k,SEARCH("кА",_xlpm.t),IFERROR(--TRIM(RIGHT(SUBSTITUTE(MID(_xlpm.t,MAX(1,_xlpm.k-4),_xlpm.k-MAX(1,_xlpm.k-4))," ",REPT(" ",9)),5)),"")))</f>
        <v/>
      </c>
      <c r="IJ22" t="str">
        <f>IF(OR(II22="",CG22=0),"",IF(_xlfn.XLOOKUP(A22,Щиты[Щит],Щиты[Iкз max на шинах, кА],"")="","",IF(II22&lt;_xlfn.XLOOKUP(A22,Щиты[Щит],Щиты[Iкз max на шинах, кА]),"Icu "&amp;II22&amp;" кА &lt; Iкз max","ok")))</f>
        <v/>
      </c>
      <c r="IK22" t="str">
        <f t="shared" si="113"/>
        <v/>
      </c>
      <c r="IL22" t="str">
        <f t="shared" si="114"/>
        <v>QF18|XT17</v>
      </c>
      <c r="IM22" t="str">
        <f t="shared" si="115"/>
        <v>QF18|XT17|кабель ВВГнг(А)-LS (5х16) → Щит Хаммам РЩ-1  Подвальный этаж этаж Пом. №00.001Тб</v>
      </c>
      <c r="IN22" t="str" cm="1">
        <f t="array" ref="IN22">IF(IM22="","",_xlfn.LET(_xlpm.nd,_xlfn.TEXTSPLIT(IM22,"|"),IF(COLUMNS(_xlpm.nd)&gt;1,A22&amp;"¦"&amp;INDEX(_xlpm.nd,1)&amp;"¦"&amp;INDEX(_xlpm.nd,2),"")))</f>
        <v>ГРЩ-ЖД¦QF18¦XT17</v>
      </c>
      <c r="IO22" t="str">
        <f t="shared" si="116"/>
        <v>РЩ-1¦Щит Хаммам РЩ-1  Подвальный этаж этаж Пом. №00.001Тб</v>
      </c>
      <c r="IP22" t="str" cm="1">
        <f t="array" ref="IP22">IF(IM22="","",_xlfn.LET(_xlpm.nd,_xlfn.TEXTSPLIT(IM22,"|"),IF(COLUMNS(_xlpm.nd)&gt;2,A22&amp;"¦"&amp;INDEX(_xlpm.nd,2)&amp;"¦"&amp;INDEX(_xlpm.nd,3),"")))</f>
        <v>ГРЩ-ЖД¦XT17¦кабель ВВГнг(А)-LS (5х16) → Щит Хаммам РЩ-1  Подвальный этаж этаж Пом. №00.001Тб</v>
      </c>
      <c r="IQ22" t="str">
        <f t="shared" si="117"/>
        <v>РЩ-1¦Щит Хаммам РЩ-1  Подвальный этаж этаж Пом. №00.001Тб</v>
      </c>
      <c r="IR22" t="str" cm="1">
        <f t="array" ref="IR22">IF(IM22="","",_xlfn.LET(_xlpm.nd,_xlfn.TEXTSPLIT(IM22,"|"),IF(COLUMNS(_xlpm.nd)&gt;3,A22&amp;"¦"&amp;INDEX(_xlpm.nd,3)&amp;"¦"&amp;INDEX(_xlpm.nd,4),"")))</f>
        <v/>
      </c>
      <c r="IS22" t="str">
        <f t="shared" si="118"/>
        <v/>
      </c>
      <c r="IT22" t="str" cm="1">
        <f t="array" ref="IT22">IF(IM22="","",_xlfn.LET(_xlpm.nd,_xlfn.TEXTSPLIT(IM22,"|"),IF(COLUMNS(_xlpm.nd)&gt;4,A22&amp;"¦"&amp;INDEX(_xlpm.nd,4)&amp;"¦"&amp;INDEX(_xlpm.nd,5),"")))</f>
        <v/>
      </c>
      <c r="IU22" t="str">
        <f t="shared" si="119"/>
        <v/>
      </c>
      <c r="IV22" t="str" cm="1">
        <f t="array" ref="IV22">IF(IM22="","",_xlfn.LET(_xlpm.nd,_xlfn.TEXTSPLIT(IM22,"|"),IF(COLUMNS(_xlpm.nd)&gt;5,A22&amp;"¦"&amp;INDEX(_xlpm.nd,5)&amp;"¦"&amp;INDEX(_xlpm.nd,6),"")))</f>
        <v/>
      </c>
      <c r="IW22" t="str">
        <f t="shared" si="120"/>
        <v/>
      </c>
      <c r="IX22" t="str" cm="1">
        <f t="array" ref="IX22">IF(IM22="","",_xlfn.LET(_xlpm.nd,_xlfn.TEXTSPLIT(IM22,"|"),IF(COLUMNS(_xlpm.nd)&gt;6,A22&amp;"¦"&amp;INDEX(_xlpm.nd,6)&amp;"¦"&amp;INDEX(_xlpm.nd,7),"")))</f>
        <v/>
      </c>
      <c r="IY22" t="str">
        <f t="shared" si="121"/>
        <v/>
      </c>
      <c r="IZ22" t="str">
        <f t="shared" si="122"/>
        <v/>
      </c>
      <c r="JA22" t="str">
        <f t="shared" si="123"/>
        <v>QF18 → XT17</v>
      </c>
      <c r="JB22">
        <f t="shared" si="124"/>
        <v>0</v>
      </c>
      <c r="JC22">
        <f t="shared" si="125"/>
        <v>0</v>
      </c>
      <c r="JD22" t="str">
        <f t="shared" si="126"/>
        <v/>
      </c>
      <c r="JE22" t="str">
        <f t="shared" si="127"/>
        <v/>
      </c>
      <c r="JF22" t="str">
        <f t="shared" si="128"/>
        <v/>
      </c>
      <c r="JG22" t="str">
        <f t="shared" si="129"/>
        <v/>
      </c>
      <c r="JH22" t="str">
        <f>IF(B22="","",IFERROR(_xlfn.XLOOKUP(B22,Коды_код,Коды_уго),IFERROR(_xlfn.XLOOKUP(BC22,Коды_код,Коды_уго),IFERROR(_xlfn.XLOOKUP(LEFT(BC22,2),Коды_код,Коды_уго),""))))</f>
        <v/>
      </c>
      <c r="JI22" t="str">
        <f>IF(B22="","",IF(OR(JH22="",JH22=0),"BOX",IFERROR(IF(VLOOKUP(JH22,УГО_блоки,3,FALSE)&amp;""&lt;&gt;"",VLOOKUP(JH22,УГО_блоки,3,FALSE),VLOOKUP(JH22,УГО_блоки,2,FALSE)),JH22)))</f>
        <v>BOX</v>
      </c>
      <c r="JJ22">
        <f t="shared" si="130"/>
        <v>1</v>
      </c>
      <c r="JK22" t="str">
        <f>IF(DQ22="","",IF(COUNTIF(DQ$3:DQ22,DQ22)=1,MAX(JK$2:JK21)+1,""))</f>
        <v/>
      </c>
      <c r="JL22" t="str">
        <f>IF(DE22="","",IF(COUNTIF(DE$3:DE22,DE22)+COUNTIF(DF$2:DF21,DE22)+COUNTIF(DG$2:DG21,DE22)=1,MAX(JL$2:JN21)+1,""))</f>
        <v/>
      </c>
      <c r="JM22" t="str">
        <f>IF(DF22="","",IF(COUNTIF(DE$3:DE22,DF22)+COUNTIF(DF$3:DF22,DF22)+COUNTIF(DG$2:DG21,DF22)=1,MAX(JL$2:JN21,JL22)+1,""))</f>
        <v/>
      </c>
      <c r="JN22" t="str">
        <f>IF(DG22="","",IF(COUNTIF(DE$3:DE22,DG22)+COUNTIF(DF$3:DF22,DG22)+COUNTIF(DG$3:DG22,DG22)=1,MAX(JL$2:JN21,JL22,JM22)+1,""))</f>
        <v/>
      </c>
      <c r="JO22" t="str">
        <f t="shared" si="131"/>
        <v>5х16</v>
      </c>
      <c r="JP22" t="str">
        <f>IF(JO22="","",IF(COUNTIF(JO$3:JO22,JO22)=1,MAX(JP$2:JP21)+1,""))</f>
        <v/>
      </c>
      <c r="JQ22" t="str">
        <f>IF(HG22="","",COUNTIF(HG$3:HG22,"?*"))</f>
        <v/>
      </c>
      <c r="JR22" t="str">
        <f>IF(OR(HG22="",HI22=""),"",IF(COUNTIFS(HG$3:HG22,"?*",HI$3:HI22,HI22)=1,MAX(JR$2:JR21)+1,""))</f>
        <v/>
      </c>
      <c r="JS22">
        <f t="shared" si="132"/>
        <v>2</v>
      </c>
      <c r="JT22">
        <f>IF(B22="","",COUNTIF(B$3:B22,"?*"))</f>
        <v>20</v>
      </c>
      <c r="JU22">
        <f>IF(HL22&lt;&gt;1,0,_xlfn.LET(_xlpm.k,MAX(IFERROR(--_xlfn.XLOOKUP(B22,Коды_код,Коды_3L),0),IFERROR(--_xlfn.XLOOKUP(BC22,Коды_код,Коды_3L),0),IFERROR(--_xlfn.XLOOKUP(LEFT(BC22,2),Коды_код,Коды_3L),0)),IF(_xlpm.k&gt;0,_xlpm.k,IF(IFERROR(--LEFT(SUBSTITUTE(JO22,"x","х"),FIND("х",SUBSTITUTE(JO22,"x","х"))-1),3)&gt;3,Каталог!$S$9,1))))</f>
        <v>1</v>
      </c>
      <c r="JV22">
        <f t="shared" si="133"/>
        <v>2</v>
      </c>
      <c r="JW22" t="str">
        <f t="shared" si="134"/>
        <v>авто</v>
      </c>
      <c r="JX22" t="str">
        <f t="shared" si="135"/>
        <v/>
      </c>
      <c r="JY22">
        <f t="shared" si="136"/>
        <v>0</v>
      </c>
      <c r="JZ22">
        <f t="shared" si="137"/>
        <v>1</v>
      </c>
    </row>
    <row r="23" spans="1:286" x14ac:dyDescent="0.3">
      <c r="A23" t="s">
        <v>783</v>
      </c>
      <c r="B23" t="s">
        <v>776</v>
      </c>
      <c r="C23" t="s">
        <v>1651</v>
      </c>
      <c r="D23">
        <v>1</v>
      </c>
      <c r="E23">
        <v>5</v>
      </c>
      <c r="G23">
        <v>25</v>
      </c>
      <c r="H23" t="str">
        <f>Линии[[#This Row],[_авто управление]]</f>
        <v/>
      </c>
      <c r="I23" t="str">
        <f>Линии[[#This Row],[_авто аппараты]]</f>
        <v/>
      </c>
      <c r="J23">
        <v>6</v>
      </c>
      <c r="K23">
        <v>60</v>
      </c>
      <c r="L23" t="str">
        <f>Линии[[#This Row],[_авто фаза]]</f>
        <v>L1</v>
      </c>
      <c r="M23" t="str">
        <f>Линии[[#This Row],[_авто клемма]]</f>
        <v>XT18</v>
      </c>
      <c r="N23" t="str">
        <f t="shared" si="0"/>
        <v>ПЕРЕГРУЗ; потери 4,5 % &gt; 4 %</v>
      </c>
      <c r="O23" s="6" cm="1">
        <f t="array" ref="O23">IF(B23="","",IF(BH23&lt;&gt;"",IFERROR(_xlfn.XLOOKUP(BH23,Щиты[Щит],Щиты[Iр, А]),""),IF(BP23=1,IF(OR(N(_xlfn.XLOOKUP(A23,Щиты[Щит],Щиты[Вводов],1))&lt;=1,LOWER(TRIM(_xlfn.XLOOKUP(A23,Щиты[Щит],Щиты[АВР],"")&amp;""))="да"),IFERROR(_xlfn.XLOOKUP(A23,Щиты[Щит],Щиты[Iр, А]),""),IFERROR(N(BS23)*_xlfn.XLOOKUP(A23,Щиты[Щит],Щиты[Кс итог])/(SQRT(3)*Uн_лин*_xlfn.XLOOKUP(A23,Щиты[Щит],Щиты[cos φ])),"")),IF(BV23=1,IFERROR(BS23*1000/BU23,""),IFERROR(_xlfn.IFS(BX23=1,BS23/((Uн_лин/SQRT(3))*CE23),BX23=3,BS23/(SQRT(3)*Uн_лин*CE23)),"")))))</f>
        <v>27.063293868263703</v>
      </c>
      <c r="P23" s="7">
        <f>IF(B23="","",IFERROR(IF(VLOOKUP(BC23,Потребители_обозначение,4,FALSE)=1,VLOOKUP(BC23,Потребители_обозначение,3,FALSE)*(MAX(1,N(D23))*2-1)+EI23+VLOOKUP(BE23,Этаж_обозначение,3,FALSE)+VLOOKUP(BE23,Этаж_обозначение,4,FALSE),VLOOKUP(BC23,Потребители_обозначение,3,FALSE)*(MAX(1,N(D23))*2-1)+EI23),EI23))</f>
        <v>63</v>
      </c>
      <c r="Q23" s="6">
        <f t="shared" si="1"/>
        <v>4.51</v>
      </c>
      <c r="R23" t="str">
        <f t="shared" si="2"/>
        <v>ВВГнг(А)-LS (3х6)</v>
      </c>
      <c r="S23" t="str">
        <f>IF(BM23="","",IF(BN23="вводной узел","узел ","")&amp;"л."&amp;(INT((BM23-1)/Столбцов_на_лист)+1)&amp;" / "&amp;(MOD(BM23-1,Столбцов_на_лист)+1))</f>
        <v>л.3 / 3</v>
      </c>
      <c r="T23" s="119">
        <f t="shared" si="3"/>
        <v>11.5</v>
      </c>
      <c r="U23" s="7" t="str">
        <f>IF(OR(CG23=0,N(BV23)+N(IB23)=0),"",ROUNDUP(Запас_БП*(N(HY23)+N(HZ23)),0))</f>
        <v/>
      </c>
      <c r="V23" s="119" t="str">
        <f t="shared" si="4"/>
        <v/>
      </c>
      <c r="W23" s="7" t="str">
        <f>IFERROR(IF(OR(B23="",BP23=1,BV23=1,NOT(ISNUMBER(EN23)),N(DT23)=0),"",MAX(0,ROUNDDOWN((c_min*(Uн_лин*1000/SQRT(3))/(HT23*N(DT23))-_xlfn.XLOOKUP(A23,Щиты[Щит],Щиты[Zпетли на шинах, Ом]))*EN23/(2*ρкз_Cu),0))),"")</f>
        <v/>
      </c>
      <c r="Y23" t="str">
        <f>Линии[[#This Row],[_авто утечка]]</f>
        <v/>
      </c>
      <c r="Z23">
        <v>1</v>
      </c>
      <c r="AA23">
        <v>230</v>
      </c>
      <c r="AB23" t="s">
        <v>598</v>
      </c>
      <c r="AC23">
        <v>0.4</v>
      </c>
      <c r="AE23">
        <v>2</v>
      </c>
      <c r="AG23" t="s">
        <v>851</v>
      </c>
      <c r="AI23" t="s">
        <v>600</v>
      </c>
      <c r="AK23" t="str">
        <f>Линии[[#This Row],[_авто модуль]]</f>
        <v/>
      </c>
      <c r="AM23">
        <v>37</v>
      </c>
      <c r="AN23" t="s">
        <v>11</v>
      </c>
      <c r="AO23">
        <v>3</v>
      </c>
      <c r="AQ23">
        <v>43</v>
      </c>
      <c r="AR23">
        <v>9</v>
      </c>
      <c r="BA23" cm="1">
        <f t="array" ref="BA23">ROW()-ROW(Линии[#Headers])</f>
        <v>21</v>
      </c>
      <c r="BC23" s="6" t="str">
        <f t="shared" si="5"/>
        <v>Э</v>
      </c>
      <c r="BD23" t="str">
        <f t="shared" si="6"/>
        <v>4</v>
      </c>
      <c r="BE23" t="str">
        <f t="shared" si="7"/>
        <v>4</v>
      </c>
      <c r="BF23" t="str">
        <f t="shared" si="8"/>
        <v/>
      </c>
      <c r="BG23" t="str">
        <f t="shared" si="9"/>
        <v/>
      </c>
      <c r="BH23" t="str">
        <f>IF(X23&lt;&gt;"",X23,IF(AND(B23&lt;&gt;"",B23&lt;&gt;A23,ISNUMBER(_xlfn.XMATCH(B23,Щиты[Щит]))),B23,""))</f>
        <v/>
      </c>
      <c r="BI23" t="str" cm="1">
        <f t="array" ref="BI23">IF(B23="","",IF(BH23&lt;&gt;"","Щит "&amp;BH23,_xlfn.LET(_xlpm.nm,IFERROR(_xlfn.XLOOKUP(BC23,Коды_код,Коды_имя)&amp;"",""),_xlpm.md,IFERROR(N(_xlfn.XLOOKUP(BC23,Коды_код,Коды_режим)),1),_xlpm.ex,IF(Имя_режим="по экспликации",IFERROR(_xlfn.XLOOKUP(BE23&amp;"|"&amp;BG23,Экспликация[Этаж]&amp;"|"&amp;Экспликация[Помещение],Экспликация[Название])&amp;"",""),""),_xlpm.rm,IF(BG23="","",IF(_xlpm.ex&lt;&gt;"",". "&amp;_xlpm.ex&amp;IF(Имя_пом="нет"," ("&amp;BG23&amp;")"," (пом. "&amp;BG23&amp;")"),IF(Имя_пом="нет"," ",", пом. ")&amp;BG23)),IF(_xlpm.nm="","",IF(_xlpm.md=2,_xlpm.nm&amp;" шлейф "&amp;BE23,_xlpm.nm&amp;_xlpm.rm)))))</f>
        <v>Управляющий электрощит бассейна</v>
      </c>
      <c r="BJ23" t="str">
        <f t="shared" si="10"/>
        <v>Флоатинг. Цокольный этаж этаж Пом. №023A</v>
      </c>
      <c r="BK23">
        <f>IFERROR(_xlfn.XMATCH(A23,Щиты[Щит]),0)</f>
        <v>1</v>
      </c>
      <c r="BL23">
        <f>_xlfn.LET(_xlpm.k,IFERROR(_xlfn.XLOOKUP(A23,Щиты[Щит],Щиты[Мест под вводной узел]),""),IF(_xlpm.k="",Столбцов_на_лист,N(_xlpm.k)))</f>
        <v>6</v>
      </c>
      <c r="BM23">
        <f t="shared" si="11"/>
        <v>37</v>
      </c>
      <c r="BN23" t="str">
        <f t="shared" si="12"/>
        <v>линии</v>
      </c>
      <c r="BO23" s="6">
        <f>IFERROR(N(_xlfn.XLOOKUP(BC23,Коды_код,Коды_квт)),0)</f>
        <v>0</v>
      </c>
      <c r="BP23">
        <f t="shared" si="13"/>
        <v>0</v>
      </c>
      <c r="BQ23" t="str">
        <f>IF(B23="","",IF(BH23&lt;&gt;"",IFERROR(_xlfn.XLOOKUP(BH23,Щиты[Щит],Щиты[Руст, кВт]),0),IF(BP23=1,IF(OR(N(_xlfn.XLOOKUP(A23,Щиты[Щит],Щиты[Вводов],1))&lt;=1,LOWER(TRIM(_xlfn.XLOOKUP(A23,Щиты[Щит],Щиты[АВР],"")&amp;""))="да"),IFERROR(_xlfn.XLOOKUP(A23,Щиты[Щит],Щиты[Руст, кВт]),0),SUMIFS(Линии[_Р для вводов],Линии[Щит],A23,Линии[Источник для режимов],GF23)),IF(BO23&gt;0,ROUND(BO23*MAX(1,N(D23)),3),""))))</f>
        <v/>
      </c>
      <c r="BR23">
        <f t="shared" si="14"/>
        <v>5</v>
      </c>
      <c r="BS23" s="6">
        <f>IF(B23="","",IF(BH23&lt;&gt;"",IFERROR(_xlfn.XLOOKUP(BH23,Щиты[Щит],Щиты[Руст, кВт]),0),N(BR23)))</f>
        <v>5</v>
      </c>
      <c r="BT23" t="str">
        <f>IF(B23="","",IFERROR(IF(VLOOKUP(BC23,Потребители_обозначение,8,FALSE)=0,"",VLOOKUP(BC23,Потребители_обозначение,8,FALSE)),""))</f>
        <v/>
      </c>
      <c r="BU23">
        <f t="shared" si="15"/>
        <v>230</v>
      </c>
      <c r="BV23">
        <f t="shared" si="16"/>
        <v>0</v>
      </c>
      <c r="BW23">
        <f>IF(B23="","",IF(BH23&lt;&gt;"",3,IFERROR(IF(N(VLOOKUP(BC23,Потребители_обозначение,9,FALSE))=0,1,VLOOKUP(BC23,Потребители_обозначение,9,FALSE)),1)))</f>
        <v>1</v>
      </c>
      <c r="BX23">
        <f t="shared" si="17"/>
        <v>1</v>
      </c>
      <c r="BY23" t="str">
        <f>IF(B23="","",_xlfn.LET(_xlpm.bc,IFERROR(IF(VLOOKUP(BC23,Потребители_обозначение,6,FALSE)=0,"",VLOOKUP(BC23,Потребители_обозначение,6,FALSE)&amp;""),""),IF(AND(GA23="да",OR(_xlpm.bc="",_xlpm.bc="мс")),Марка_пож,IF(AND(_xlpm.bc="",BH23&lt;&gt;""),"мс",_xlpm.bc))))</f>
        <v/>
      </c>
      <c r="BZ23" t="str">
        <f t="shared" si="18"/>
        <v>мс</v>
      </c>
      <c r="CA23">
        <f>IF(B23="","",_xlfn.LET(_xlpm.cc,IFERROR(N(VLOOKUP(BC23,Потребители_обозначение,7,FALSE)),0),IF(_xlpm.cc&gt;0,_xlpm.cc,IF(BZ23="","",IF(BV23=1,2,IF(N(BX23)=3,5,3))))))</f>
        <v>3</v>
      </c>
      <c r="CB23">
        <f t="shared" si="19"/>
        <v>3</v>
      </c>
      <c r="CC23">
        <f>IFERROR(N(VLOOKUP(BC23,Потребители_обозначение,10,FALSE)),0)</f>
        <v>0</v>
      </c>
      <c r="CD23">
        <f>IFERROR(VLOOKUP(BC23,Потребители_обозначение,5,FALSE),0)</f>
        <v>1</v>
      </c>
      <c r="CE23" s="6" cm="1">
        <f t="array" ref="CE23">IF(B23="","",IF(BH23&lt;&gt;"",IFERROR(_xlfn.XLOOKUP(BH23,Щиты[Щит],Щиты[cos φ]),0.95),IF(BP23=1,IFERROR(_xlfn.XLOOKUP(A23,Щиты[Щит],Щиты[cos φ]),0.95),IF(ISNUMBER(AD23),AD23,IFERROR(IF(CD23=2,_xlfn.IFS(BX23=3,VLOOKUP(BS23,Справочная_двигатели,8,FALSE),BX23=1,VLOOKUP(BS23,Справочная_двигатели,10,TRUE)),IF(AND(Методика="нормы 2026",FG23="Сил"),0.8,0.95)),0.95)))))</f>
        <v>0.8</v>
      </c>
      <c r="CF23">
        <f t="shared" si="20"/>
        <v>0</v>
      </c>
      <c r="CG23">
        <f t="shared" si="21"/>
        <v>1</v>
      </c>
      <c r="CH23">
        <f t="shared" si="22"/>
        <v>0</v>
      </c>
      <c r="CI23">
        <f>IF(B23="","",IF(BV23=1,IFERROR(BS23/((Uн_лин/SQRT(3))*MAX(0.5,N(CE23))),0),N(O23)))</f>
        <v>27.063293868263703</v>
      </c>
      <c r="CJ23">
        <f t="shared" si="23"/>
        <v>0</v>
      </c>
      <c r="CK23">
        <f t="shared" si="24"/>
        <v>0</v>
      </c>
      <c r="CL23">
        <f t="shared" si="25"/>
        <v>0</v>
      </c>
      <c r="CM23">
        <f t="shared" si="26"/>
        <v>0</v>
      </c>
      <c r="CN23">
        <f t="shared" si="27"/>
        <v>0</v>
      </c>
      <c r="CO23">
        <f>IF(BC23="",0,_xlfn.LET(_xlpm.v,IFERROR(_xlfn.XLOOKUP(B23,Коды_код,Коды_мА),IFERROR(_xlfn.XLOOKUP(BC23,Коды_код,Коды_мА),IFERROR(_xlfn.XLOOKUP(LEFT(BC23,2),Коды_код,Коды_мА),""))),IF(_xlpm.v="да",30,IF(ISNUMBER(_xlpm.v),_xlpm.v,0))))</f>
        <v>0</v>
      </c>
      <c r="CP23" t="str">
        <f t="shared" si="28"/>
        <v/>
      </c>
      <c r="CQ23" t="str">
        <f>_xlfn.LET(_xlpm.k,IFERROR(_xlfn.XLOOKUP(BC23,Коды_код,Коды_утечка)&amp;"",""),IF(_xlpm.k="","дифавтомат",_xlpm.k))</f>
        <v>дифавтомат</v>
      </c>
      <c r="CR23" t="str" cm="1">
        <f t="array" ref="CR23">IF(CG23=0,"",_xlfn.LET(_xlpm.sg,TRIM(_xlfn.TEXTSPLIT(DD23&amp;"",";")),_xlpm.f_,_xlfn._xlws.FILTER(_xlpm.sg,LEFT(_xlpm.sg,3)="УЗО",""),IFERROR(INDEX(_xlpm.f_,1)&amp;"","")))</f>
        <v/>
      </c>
      <c r="CS23" t="str">
        <f t="shared" si="29"/>
        <v/>
      </c>
      <c r="CT23" s="6" t="str" cm="1">
        <f t="array" ref="CT23">IF(CR23="","",_xlfn.LET(_xlpm.tk,_xlfn.TEXTSPLIT(UPPER(CR23)," ",,TRUE),_xlpm.a_,_xlfn._xlws.FILTER(_xlpm.tk,ISNUMBER(--LEFT(_xlpm.tk,1))*((ISNUMBER(SEARCH("А",_xlpm.tk))+ISNUMBER(SEARCH("A",_xlpm.tk)))&gt;0)*NOT(ISNUMBER(SEARCH("МА",_xlpm.tk)))*NOT(ISNUMBER(SEARCH("MA",_xlpm.tk))),""),IFERROR(--SUBSTITUTE(SUBSTITUTE(INDEX(_xlpm.a_,1),"А",""),"A",""),"")))</f>
        <v/>
      </c>
      <c r="CU23" t="str" cm="1">
        <f t="array" ref="CU23">IF(CR23="","",_xlfn.LET(_xlpm.tk,_xlfn.TEXTSPLIT(UPPER(CR23)," ",,TRUE),_xlpm.a_,_xlfn._xlws.FILTER(_xlpm.tk,ISNUMBER(--LEFT(_xlpm.tk,1))*((ISNUMBER(SEARCH("МА",_xlpm.tk))+ISNUMBER(SEARCH("MA",_xlpm.tk)))&gt;0),""),IFERROR(--SUBSTITUTE(SUBSTITUTE(INDEX(_xlpm.a_,1),"МА",""),"MA",""),30)))</f>
        <v/>
      </c>
      <c r="CV23" t="str">
        <f>IF(CS23="","",IFERROR(_xlfn.XLOOKUP(CS23,Линии[_n],Линии[_УЗО, мА]),30))</f>
        <v/>
      </c>
      <c r="CW23">
        <f>IF(CS23="",0,IF(ISNUMBER(SEARCH("4P",IFERROR(_xlfn.XLOOKUP(CS23,Линии[_n],Линии[_УЗО строки])&amp;"",""))),0,1))</f>
        <v>0</v>
      </c>
      <c r="CX23" t="str">
        <f>IF(AND(CS23&lt;&gt;"",CS23=BA23),SUMIFS(Линии[_ток на 230 В],Линии[_блок УЗО],BA23,Линии[Щит],A23),"")</f>
        <v/>
      </c>
      <c r="CY23" t="str">
        <f>IF(AND(CS23&lt;&gt;"",CS23=BA23),SUMIFS(Линии[_ток утечки линии, мА],Линии[_блок УЗО],BA23,Линии[Щит],A23),"")</f>
        <v/>
      </c>
      <c r="CZ23">
        <f t="shared" si="30"/>
        <v>0</v>
      </c>
      <c r="DA23">
        <f t="shared" si="31"/>
        <v>0</v>
      </c>
      <c r="DB23">
        <f>IF(B23="",0,IFERROR(--_xlfn.XLOOKUP(B23,Коды_код,Коды_минавт),IFERROR(--_xlfn.XLOOKUP(BC23,Коды_код,Коды_минавт),IFERROR(--_xlfn.XLOOKUP(LEFT(BC23,2),Коды_код,Коды_минавт),0))))</f>
        <v>0</v>
      </c>
      <c r="DC23" t="str">
        <f>IF(B23="","",IFERROR(_xlfn.XLOOKUP(BC23,Коды_код,Коды_апп)&amp;"",""))</f>
        <v/>
      </c>
      <c r="DD23" t="str">
        <f t="shared" si="32"/>
        <v/>
      </c>
      <c r="DE23" t="str" cm="1">
        <f t="array" ref="DE23">IF(TRIM(DD23&amp;"")="","",IFERROR(TRIM(INDEX(_xlfn.TEXTSPLIT(DD23&amp;";;;",";"),1)),""))</f>
        <v/>
      </c>
      <c r="DF23" t="str" cm="1">
        <f t="array" ref="DF23">IF(TRIM(DD23&amp;"")="","",IFERROR(TRIM(INDEX(_xlfn.TEXTSPLIT(DD23&amp;";;;",";"),2)),""))</f>
        <v/>
      </c>
      <c r="DG23" t="str" cm="1">
        <f t="array" ref="DG23">IF(TRIM(DD23&amp;"")="","",IFERROR(TRIM(INDEX(_xlfn.TEXTSPLIT(DD23&amp;";;;",";"),3)),""))</f>
        <v/>
      </c>
      <c r="DH23">
        <f t="shared" si="33"/>
        <v>0</v>
      </c>
      <c r="DI23" t="str">
        <f>IF(B23="","",_xlfn.LET(_xlpm.t,LOWER(AZ23&amp;""),IF(ISNUMBER(SEARCH("dim",_xlpm.t)),"DIM",IF(ISNUMBER(SEARCH("dali",_xlpm.t)),"DALI",IF(OR(ISNUMBER(SEARCH("relay",_xlpm.t)),ISNUMBER(SEARCH("реле",_xlpm.t))),"Relay",IF(ISNUMBER(SEARCH("кнопк",_xlpm.t)),"",IFERROR(_xlfn.XLOOKUP(BC23,Коды_код,Коды_упр)&amp;"","")))))))</f>
        <v/>
      </c>
      <c r="DJ23" t="str">
        <f t="shared" si="34"/>
        <v/>
      </c>
      <c r="DK23">
        <f>IF(B23="","",_xlfn.LET(_xlpm.ig,IF(N(CX23)&gt;0,N(CX23),N(CI23)+IF(AJ23="вручную",0,N(CJ23))),_xlpm.n0,IFERROR(VLOOKUP(_xlpm.ig,Автомат_номиналы,2,TRUE),0),_xlpm.mn,MAX(DB23,IF(AJ23="вручную",0,N(CM23))),MAX(_xlpm.n0,_xlpm.mn,IF(DH23=1,Мин_автомат_БП,0))))</f>
        <v>32</v>
      </c>
      <c r="DL23">
        <f t="shared" si="35"/>
        <v>1</v>
      </c>
      <c r="DM23" t="str">
        <f t="shared" si="36"/>
        <v>1P</v>
      </c>
      <c r="DN23" t="str">
        <f>_xlfn.LET(_xlpm.cc,UPPER(TRIM(IFERROR(_xlfn.XLOOKUP(BC23,Коды_код,Коды_хар)&amp;"",""))),IF(OR(_xlpm.cc="B",_xlpm.cc="В"),"B",IF(_xlpm.cc="D","D","С")))</f>
        <v>С</v>
      </c>
      <c r="DO23" t="str">
        <f t="shared" si="37"/>
        <v>1P С32А</v>
      </c>
      <c r="DP23">
        <f t="shared" si="38"/>
        <v>25</v>
      </c>
      <c r="DQ23" t="str">
        <f t="shared" si="39"/>
        <v>1P С25А</v>
      </c>
      <c r="DR23" cm="1">
        <f t="array" ref="DR23">IF(DQ23="","",_xlfn.LET(_xlpm.t,SUBSTITUTE(SUBSTITUTE(SUBSTITUTE(UPPER(DQ23),"С","C"),"А","A"),"В","B"),_xlpm.tk,_xlfn.TEXTSPLIT(_xlpm.t," "),_xlpm.f,_xlfn._xlws.FILTER(_xlpm.tk,ISNUMBER(--MID(_xlpm.tk,2,1))*ISNUMBER(SEARCH(LEFT(_xlpm.tk,1)&amp;"#","B#C#D#"))*(LEN(_xlpm.tk)&gt;1),""),_xlpm.x,INDEX(_xlpm.f,1),IFERROR(--SUBSTITUTE(MID(_xlpm.x,2,9),"A",""),IFERROR(--SUBSTITUTE(INDEX(_xlfn._xlws.FILTER(_xlpm.tk,ISNUMBER(--SUBSTITUTE(_xlpm.tk,"A","")),""),1),"A",""),""))))</f>
        <v>25</v>
      </c>
      <c r="DS23" t="str">
        <f t="shared" si="40"/>
        <v>ok</v>
      </c>
      <c r="DT23">
        <f t="shared" si="41"/>
        <v>25</v>
      </c>
      <c r="DU23" t="str">
        <f t="shared" si="42"/>
        <v>1P С25А</v>
      </c>
      <c r="DV23">
        <f t="shared" si="43"/>
        <v>0</v>
      </c>
      <c r="DW23">
        <f t="shared" si="44"/>
        <v>0</v>
      </c>
      <c r="DX23">
        <f t="shared" si="45"/>
        <v>0</v>
      </c>
      <c r="DY23">
        <f t="shared" si="46"/>
        <v>27.063293868263703</v>
      </c>
      <c r="DZ23">
        <f t="shared" si="47"/>
        <v>1</v>
      </c>
      <c r="EA23">
        <f>IF(ISNUMBER(AP23),AP23,К_прокл)</f>
        <v>1</v>
      </c>
      <c r="EB23">
        <f t="shared" si="48"/>
        <v>2</v>
      </c>
      <c r="EC23">
        <f>IFERROR(N(VLOOKUP(BZ23,Кабель_обозначение,3,FALSE)),1)</f>
        <v>1</v>
      </c>
      <c r="ED23">
        <f>IFERROR(N(_xlfn.XLOOKUP(A23,Щиты[Щит],Щиты[ΔU до шин, %])),0)</f>
        <v>0</v>
      </c>
      <c r="EE23" t="str">
        <f>IFERROR(_xlfn.XLOOKUP(A23,Щиты[Щит],Щиты[Zпетли на шинах, Ом]),"")</f>
        <v/>
      </c>
      <c r="EF23">
        <f>IFERROR(N(_xlfn.XLOOKUP(A23,Щиты[Щит],Щиты[ΔU до шин (подбор), %])),0)</f>
        <v>0</v>
      </c>
      <c r="EG23" t="str">
        <f>IFERROR(_xlfn.XLOOKUP(A23,Щиты[Щит],Щиты[Zпетли на шинах (подбор), Ом]),"")</f>
        <v/>
      </c>
      <c r="EH23" t="str">
        <f t="shared" si="49"/>
        <v/>
      </c>
      <c r="EI23">
        <f t="shared" si="50"/>
        <v>60</v>
      </c>
      <c r="EJ23">
        <f t="shared" si="51"/>
        <v>2</v>
      </c>
      <c r="EK23">
        <f t="shared" si="52"/>
        <v>0.6</v>
      </c>
      <c r="EL23" s="6">
        <f>IF(B23="","",IF(BV23=1,dU_LED,IF(IFERROR(_xlfn.XLOOKUP(BC23,Коды_код,Коды_уго),"")="Светильник",3,4)+IF(Методика="нормы 2026",MIN(0.5,MAX(0,N(P23)-100)*0.005),0)))</f>
        <v>4</v>
      </c>
      <c r="EM23" cm="1">
        <f t="array" ref="EM23">IF(OR(B23="",BZ23="",EC23&lt;&gt;1),"",_xlfn.LET(_xlpm.sz,Iдоп_S,_xlpm.t_,CHOOSE(EB23,Iдоп_1ж,Iдоп_2ж,Iдоп_3ж)*DZ23*EA23,_xlpm.dcx,BV23=1,_xlpm.inn,IF(_xlpm.dcx,N(O23),N(DT23)),_xlpm.smin,MAX(1.5,CC23),_xlpm.L_,N(P23)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23)/N(BU23)*100,999),IFERROR(N(EJ23)*(_xlpm.rho*_xlpm.L_/_xlpm.sz*N(CE23)+_xlpm.xx*_xlpm.L_*N(EK23)/1000)*N(O23)/((Uн_лин/SQRT(3))*1000)*100,999)),_xlpm.kz,IF(OR(_xlpm.dcx,DW23=1,NOT(ISNUMBER(EG23)),_xlpm.L_=0,_xlpm.inn=0),1,IFERROR(--(c_min*(Uн_лин*1000/SQRT(3))/(EG23+2*ρкз_Cu*_xlpm.L_/_xlpm.sz)&gt;=HT23*_xlpm.inn),0)),_xlpm.ok,IFERROR((_xlpm.sz&gt;=_xlpm.smin)*(_xlpm.t_&gt;=_xlpm.inn)*IF(_xlpm.L_&gt;0,(_xlpm.du_+IF(_xlpm.dcx,0,EF23)&lt;=EL23+0.00001),1)*_xlpm.kz,0),_xlpm.r_,_xlfn._xlws.FILTER(_xlpm.sz,_xlpm.ok,"не подобрано"),INDEX(_xlpm.r_,1)))</f>
        <v>10</v>
      </c>
      <c r="EN23">
        <f t="shared" si="53"/>
        <v>6</v>
      </c>
      <c r="EO23" cm="1">
        <f t="array" ref="EO23">IF(OR(B23="",BZ23="",EC23&lt;&gt;1),"",_xlfn.LET(_xlpm.sz,Iдоп_S,_xlpm.t_,CHOOSE(EB23,Iдоп_1ж,Iдоп_2ж,Iдоп_3ж)*DZ23*EA23,_xlpm.ok,IFERROR((_xlpm.sz&gt;=MAX(1.5,CC23))*(_xlpm.t_&gt;=N(DT23)),0),_xlpm.r_,_xlfn._xlws.FILTER(_xlpm.sz,_xlpm.ok,""),INDEX(_xlpm.r_,1)))</f>
        <v>2.5</v>
      </c>
      <c r="EP23" s="6" cm="1">
        <f t="array" ref="EP23">IFERROR(ROUNDUP(N(EJ23)*(_xlfn.XLOOKUP(EO23,INDEX(Кабель_сопротивление,0,1),INDEX(Кабель_сопротивление,0,3))*N(P23)/EO23*N(CE23)+_xlfn.XLOOKUP(EO23,INDEX(Кабель_сопротивление,0,1),INDEX(Кабель_сопротивление,0,2))*N(P23)*N(EK23)/1000)*N(O23)/((Uн_лин/SQRT(3))*1000)*100,2),"")</f>
        <v>10.72</v>
      </c>
      <c r="EQ23">
        <f>IFERROR(2*ρкз_Cu*N(P23)/EO23,"")</f>
        <v>1.32552</v>
      </c>
      <c r="ER23">
        <f>IFERROR(VLOOKUP(EN23,Кабель_сопротивление,3,FALSE),"")</f>
        <v>2.2499999999999999E-2</v>
      </c>
      <c r="ES23">
        <f>IFERROR(VLOOKUP(EN23,Кабель_сопротивление,2,FALSE),"")</f>
        <v>0.09</v>
      </c>
      <c r="ET23">
        <f t="shared" si="54"/>
        <v>9</v>
      </c>
      <c r="EU23" t="str">
        <f t="shared" si="55"/>
        <v/>
      </c>
      <c r="EV23">
        <f t="shared" si="56"/>
        <v>10.414063733683346</v>
      </c>
      <c r="EW23" s="6">
        <f>IFERROR(ROUNDUP(EV23/IF(BV23=1,BU23,(Uн_лин/SQRT(3))*1000)*100,2),"")</f>
        <v>4.51</v>
      </c>
      <c r="EX23" t="str">
        <f>IFERROR(VLOOKUP(BZ23,Кабель_обозначение,2,FALSE),"")</f>
        <v>ВВГнг(А)-LS</v>
      </c>
      <c r="EY23" t="str">
        <f t="shared" si="57"/>
        <v>ВВГнг(А)-LS (3х6)</v>
      </c>
      <c r="EZ23" t="str">
        <f t="shared" si="58"/>
        <v>ВВГнг(А)-LS (3х6)
L=63-4,51%</v>
      </c>
      <c r="FA23">
        <f>IFERROR(2*ρкз_Cu*P23/EN23,"")</f>
        <v>0.55230000000000001</v>
      </c>
      <c r="FB23">
        <f t="shared" si="59"/>
        <v>0.18375</v>
      </c>
      <c r="FC23" s="6" t="str">
        <f>IFERROR(IF(OR(B23="",BV23=1,NOT(ISNUMBER(EN23)),N(P23)=0),"",_xlfn.XLOOKUP(A23,Щиты[Щит],Щиты[Zпетли на шинах, Ом])+FA23),"")</f>
        <v/>
      </c>
      <c r="FD23" s="6" t="str">
        <f>IF(ISNUMBER(FC23),c_min*(Uн_лин*1000/SQRT(3))/FC23,"")</f>
        <v/>
      </c>
      <c r="FE23" s="6" t="str">
        <f>IFERROR(IF(OR(B23="",NOT(ISNUMBER(EN23))),"",1.05*(Uн_лин*1000/SQRT(3))/(_xlfn.XLOOKUP(A23,Щиты[Щит],Щиты[Zmax на шинах, Ом])+FB23)/1000),"")</f>
        <v/>
      </c>
      <c r="FF23" s="6" t="str">
        <f>IF(B23="","",IF(ISNUMBER(AC23),"Сил",IF(IFERROR(_xlfn.XLOOKUP(BC23,Коды_код,Коды_группа)&amp;"","")="","Быт",_xlfn.XLOOKUP(BC23,Коды_код,Коды_группа)&amp;"")))</f>
        <v>Сил</v>
      </c>
      <c r="FG23" s="6" t="str">
        <f t="shared" si="60"/>
        <v>Сил</v>
      </c>
      <c r="FH23" s="6">
        <f>IF(FG23="Щит","щит",IF(FG23="","",IF(FG23="Быт",IFERROR(_xlfn.XLOOKUP(A23,Щиты[Щит],Щиты[Кс быт]),1),IF(FG23="Сил",IF(ISNUMBER(AC23),AC23,IF(Методика="нормы 2026",IFERROR(_xlfn.XLOOKUP(A23,Щиты[Щит],Щиты[Кс силовых (табл. 7.5)]),1),1)),IF(OR(FG23="Пост",FG23="Отоп"),1,IF(FG23="ВНГ",0.7,0))))))</f>
        <v>0.4</v>
      </c>
      <c r="FI23">
        <f>IF(FG23="","",IF(AND(BP23=1,TRIM(AE23&amp;"")=""),IF(COUNTIFS(Линии[Щит],A23,Линии[Секция (1/2/3)],"&gt;=2")&gt;0,MIN(3,MAX(1,IFERROR(--BD23,1))),1),IFERROR(MIN(3,MAX(1,INT(--AE23))),1)))</f>
        <v>2</v>
      </c>
      <c r="FJ23">
        <f t="shared" si="61"/>
        <v>5</v>
      </c>
      <c r="FK23">
        <f t="shared" si="62"/>
        <v>0</v>
      </c>
      <c r="FL23">
        <f t="shared" si="63"/>
        <v>2</v>
      </c>
      <c r="FM23">
        <f t="shared" si="64"/>
        <v>0</v>
      </c>
      <c r="FN23">
        <f t="shared" si="65"/>
        <v>0</v>
      </c>
      <c r="FO23">
        <f t="shared" si="66"/>
        <v>0</v>
      </c>
      <c r="FP23">
        <f t="shared" si="67"/>
        <v>5</v>
      </c>
      <c r="FQ23">
        <f t="shared" si="68"/>
        <v>5</v>
      </c>
      <c r="FR23">
        <f t="shared" si="69"/>
        <v>4</v>
      </c>
      <c r="FS23">
        <f>IF(CG23=1,IF(AND(CH23=1,CW23=1),0,IF(AND(CS23&lt;&gt;"",CS23=BA23,CW23=1),SUMIFS(Линии[_Р линии, кВт],Линии[_блок УЗО],BA23,Линии[Щит],A23),N(BS23)+IF(AJ23="вручную",0,N(CK23)))),0)</f>
        <v>5</v>
      </c>
      <c r="FT23" t="str">
        <f t="shared" si="70"/>
        <v/>
      </c>
      <c r="FU23" t="str">
        <f>IF(B23="","",IF(CG23=0,IF(BA23=1,"",FW22),IF(AND(CH23=1,CW23=1,CS23&lt;&gt;""),IFERROR(_xlfn.XLOOKUP(CS23,Линии[_n],Линии[_фаза итог]),"L1"),IF(OR(N(DL23)&gt;=3,N(BX23)&gt;=3),"L1,L2,L3",IFERROR(_xlfn.TEXTBEFORE(_xlfn.TEXTAFTER(_xlfn.XLOOKUP(A23,Щиты[Щит],Щиты[_фазы авто]),";"&amp;BA23&amp;":"),";"),"L1")))))</f>
        <v>L1</v>
      </c>
      <c r="FV23" t="str">
        <f t="shared" si="71"/>
        <v>L1</v>
      </c>
      <c r="FW23" t="str">
        <f t="shared" si="72"/>
        <v>L1</v>
      </c>
      <c r="FX23" cm="1">
        <f t="array" ref="FX23">IFERROR(IF(CD23=2,_xlfn.IFS(BX23=3,VLOOKUP(BS23,Справочная_двигатели,3,FALSE),BX23=1,VLOOKUP(BS23,Справочная_двигатели,5,TRUE)),0),0)</f>
        <v>0</v>
      </c>
      <c r="FY23">
        <f>IFERROR(IF(CD23=3,VLOOKUP(BS23,Справочная_ЛЭД,2,TRUE),0),0)</f>
        <v>0</v>
      </c>
      <c r="FZ23" s="6">
        <f t="shared" si="73"/>
        <v>0</v>
      </c>
      <c r="GA23" t="str">
        <f>IF(B23="","",IF(TRIM(AH23&amp;"")&lt;&gt;"",IF(LOWER(TRIM(AH23&amp;""))="да","да","нет"),IF(IFERROR(_xlfn.XLOOKUP(BC23,Коды_код,Коды_пожарная),"")="да","да","нет")))</f>
        <v>нет</v>
      </c>
      <c r="GB23" t="str">
        <f t="shared" si="74"/>
        <v/>
      </c>
      <c r="GC23" t="str">
        <f t="shared" si="75"/>
        <v>основная</v>
      </c>
      <c r="GD23">
        <f>IF(AND(BP23=1,TRIM(AE23&amp;"")=""),IF(COUNTIFS(Линии[Щит],A23,Линии[Секция (1/2/3)],"&gt;=2")&gt;0,MIN(3,MAX(1,IFERROR(--BD23,1))),1),IFERROR(MIN(3,MAX(1,INT(--AE23))),1))</f>
        <v>2</v>
      </c>
      <c r="GE23" t="str" cm="1">
        <f t="array" ref="GE23">IF(B23="","",_xlfn.LET(_xlpm.t,IFERROR(_xlfn.XLOOKUP(1,(Шины[Шина]=GC23)*(((Шины[Щит]=A23)+(Шины[Щит]=""))&gt;0),Шины[Тип]),"")&amp;"",IF(_xlpm.t&lt;&gt;"",_xlpm.t,IF(ISNUMBER(SEARCH("ИБП",GC23)),"ИБП",IF(ISNUMBER(SEARCH("ДГУ",GC23)),"ДГУ","Ввод "&amp;GD23)))))</f>
        <v>Ввод 2</v>
      </c>
      <c r="GF23" t="str">
        <f t="shared" si="76"/>
        <v>Ввод 2</v>
      </c>
      <c r="GG23" t="str">
        <f>IF(BP23=0,"",IF(TRIM(AG23&amp;"")&lt;&gt;"",TRIM(AG23&amp;""),IF(OR(GE23="ИБП",GE23="ДГУ"),"I особая",_xlfn.XLOOKUP(A23,Щиты[Щит],Щиты[Категория шины «Ввод»],"III"))))</f>
        <v/>
      </c>
      <c r="GH23" t="str">
        <f>IF(A23="","",_xlfn.XLOOKUP(A23,Щиты[Щит],Щиты[Путь],""))</f>
        <v>|ГРЩ-ЖД|</v>
      </c>
      <c r="GI23" t="str">
        <f>IF(B23="","",IF(AI23&lt;&gt;"",AI23,IF(IFERROR(_xlfn.XLOOKUP(BC23,Коды_код,Коды_вид)&amp;"","")="","Прочее",_xlfn.XLOOKUP(BC23,Коды_код,Коды_вид)&amp;"")))</f>
        <v>Бассейн, SPA, хаммам</v>
      </c>
      <c r="GJ23">
        <f>IF(BM23="","",INT((BM23-1)/Столбцов_на_лист)+1)</f>
        <v>3</v>
      </c>
      <c r="GK23" t="str">
        <f t="shared" si="77"/>
        <v>ВВГнг(А)-LS (3х6) L=63-4,51%</v>
      </c>
      <c r="GL23">
        <f t="shared" si="78"/>
        <v>5</v>
      </c>
      <c r="GM23">
        <f t="shared" si="79"/>
        <v>27.07</v>
      </c>
      <c r="GN23">
        <f t="shared" si="80"/>
        <v>1</v>
      </c>
      <c r="GO23">
        <f t="shared" si="81"/>
        <v>0</v>
      </c>
      <c r="GP23">
        <f t="shared" si="82"/>
        <v>1</v>
      </c>
      <c r="GQ23">
        <f>IF(BM23="","",IF(AND(CG23=1,GP23=1),COUNTIFS(A$3:A23,A23,CG$3:CG23,1,GP$3:GP23,1),IF(OR(OR(BA23=1,A23&lt;&gt;A22),AJ23="вручную",GP23=0),"",IF(BA23=1,"",GR22))))</f>
        <v>19</v>
      </c>
      <c r="GR23">
        <f t="shared" si="83"/>
        <v>19</v>
      </c>
      <c r="GS23">
        <f>IF(B23="","",IFERROR(LOOKUP(INDEX(CHOOSE(EB23,Iдоп_1ж,Iдоп_2ж,Iдоп_3ж),MATCH(EN23,Iдоп_S,0))*DZ23*EA23,{6,10,16,20,25,32,40,50,63,80,100,125,160,200,250,315,400,500,630}),""))</f>
        <v>50</v>
      </c>
      <c r="GT23" t="str">
        <f t="shared" si="84"/>
        <v>QF19</v>
      </c>
      <c r="GU23" t="str">
        <f t="shared" si="85"/>
        <v>QF19</v>
      </c>
      <c r="GV23" t="str">
        <f t="shared" si="86"/>
        <v/>
      </c>
      <c r="GW23">
        <f t="shared" si="87"/>
        <v>0</v>
      </c>
      <c r="GX23" t="str">
        <f>IF(OR(B23="",DJ23=""),"",IFERROR(_xlfn.XLOOKUP(DJ23,Модули_умолч[Управление],Модули_умолч[Модель])&amp;"",""))</f>
        <v/>
      </c>
      <c r="GY23">
        <f>IF(DJ23="",1,IFERROR(MAX(0,N(_xlfn.XLOOKUP(DJ23,Модули_умолч[Управление],Модули_умолч[Каналов на линию]))),1))</f>
        <v>1</v>
      </c>
      <c r="GZ23" t="str">
        <f t="shared" si="88"/>
        <v/>
      </c>
      <c r="HA23" t="str">
        <f t="shared" si="89"/>
        <v/>
      </c>
      <c r="HB23" t="str">
        <f t="shared" si="90"/>
        <v/>
      </c>
      <c r="HC23">
        <f>IF(HB23="",0,IFERROR(N(VLOOKUP(HB23,Модули_спр,3,FALSE)),0))</f>
        <v>0</v>
      </c>
      <c r="HD23" t="str">
        <f t="shared" si="91"/>
        <v/>
      </c>
      <c r="HE23" t="str">
        <f t="shared" si="92"/>
        <v/>
      </c>
      <c r="HF23" t="str">
        <f>IF(OR(HE23="",HE23="-"),"",IFERROR(VLOOKUP(HE23,Модули_спр,2,FALSE),"R"))</f>
        <v/>
      </c>
      <c r="HG23" t="str">
        <f>IF(HF23="","",HF23&amp;"."&amp;COUNTIFS(A$3:A23,A23,HF$3:HF23,HF23))</f>
        <v/>
      </c>
      <c r="HH23" t="str">
        <f t="shared" si="93"/>
        <v/>
      </c>
      <c r="HI23" t="str">
        <f t="shared" si="94"/>
        <v/>
      </c>
      <c r="HJ23" t="str">
        <f t="shared" si="95"/>
        <v/>
      </c>
      <c r="HK23" t="str">
        <f t="shared" si="96"/>
        <v/>
      </c>
      <c r="HL23">
        <f t="shared" si="97"/>
        <v>1</v>
      </c>
      <c r="HM23" t="str">
        <f>IF(HL23=1,"XT"&amp;COUNTIFS(A$3:A23,A23,HL$3:HL23,1),"")</f>
        <v>XT18</v>
      </c>
      <c r="HN23" t="str">
        <f t="shared" si="98"/>
        <v>XT18</v>
      </c>
      <c r="HO23" t="str">
        <f t="shared" si="99"/>
        <v>QF19</v>
      </c>
      <c r="HP23" t="str">
        <f t="shared" si="100"/>
        <v/>
      </c>
      <c r="HQ23" t="str">
        <f t="shared" si="101"/>
        <v>ПЕРЕГРУЗ</v>
      </c>
      <c r="HR23" t="str">
        <f>IF(OR(HJ23="",HH23=""),"",IF(HJ23+MAX(0,GY23-1)&gt;IFERROR(VLOOKUP(HI23,Модули_спр,3,FALSE),99),"ЛИШНИЙ КАНАЛ",IF(AND(AL23&lt;&gt;"=",GY23&gt;0,COUNTIFS(Линии[_модуль гр.],HH23,Линии[Канал (итог)],HJ23,Линии[Канал],"&lt;&gt;=",Линии[Щит],A23)&gt;1),"ДУБЛЬ КАНАЛА","")))</f>
        <v/>
      </c>
      <c r="HS23" s="6" t="str">
        <f t="shared" si="102"/>
        <v/>
      </c>
      <c r="HT23">
        <f t="shared" si="103"/>
        <v>10</v>
      </c>
      <c r="HU23" t="str">
        <f t="shared" si="104"/>
        <v/>
      </c>
      <c r="HV23">
        <f t="shared" si="105"/>
        <v>11.455317547305482</v>
      </c>
      <c r="HW23">
        <f t="shared" si="106"/>
        <v>0</v>
      </c>
      <c r="HX23">
        <f t="shared" si="107"/>
        <v>0</v>
      </c>
      <c r="HY23">
        <f t="shared" si="108"/>
        <v>0</v>
      </c>
      <c r="HZ23">
        <f t="shared" si="109"/>
        <v>0</v>
      </c>
      <c r="IA23">
        <f t="shared" si="110"/>
        <v>0</v>
      </c>
      <c r="IB23">
        <f t="shared" si="111"/>
        <v>0</v>
      </c>
      <c r="IC23" t="str">
        <f t="shared" si="112"/>
        <v/>
      </c>
      <c r="ID23" t="str" cm="1">
        <f t="array" ref="ID23">IF(IC23="","",_xlfn.LET(_xlpm.tk,_xlfn.TEXTSPLIT(SUBSTITUTE(SUBSTITUTE(IC23,";"," "),"→"," ")," ",,TRUE),_xlpm.w_,_xlfn._xlws.FILTER(_xlpm.tk,ISNUMBER(--LEFT(_xlpm.tk,1))*((ISNUMBER(SEARCH("W",_xlpm.tk))+ISNUMBER(SEARCH("Вт",_xlpm.tk)))&gt;0),""),IFERROR(--SUBSTITUTE(SUBSTITUTE(UPPER(INDEX(_xlpm.w_,1)),"W",""),"ВТ",""),"")))</f>
        <v/>
      </c>
      <c r="IE23" t="str" cm="1">
        <f t="array" ref="IE23">IF(IC23="","",_xlfn.LET(_xlpm.tk,_xlfn.TEXTSPLIT(SUBSTITUTE(SUBSTITUTE(IC23,";"," "),"→"," ")," ",,TRUE),_xlpm.v_,_xlfn._xlws.FILTER(_xlpm.tk,ISNUMBER(--LEFT(_xlpm.tk,1))*((ISNUMBER(SEARCH("V",_xlpm.tk))+(RIGHT(UPPER(_xlpm.tk))="В"))&gt;0),""),IFERROR(--SUBSTITUTE(SUBSTITUTE(UPPER(INDEX(_xlpm.v_,1)),"V",""),"В",""),"")))</f>
        <v/>
      </c>
      <c r="IF23" s="6" t="str">
        <f>IF(OR(BV23=0,HI23="",HJ23=""),"",IFERROR(N(_xlfn.XLOOKUP(HI23,Каталог!$C$4:$C$500,Каталог!$Q$4:$Q$500)),""))</f>
        <v/>
      </c>
      <c r="IG23" s="6" t="str">
        <f>IF(N(IF23)=0,"",SUMIFS(Линии[Iр, А],Линии[Щит],A23,Линии[_модуль гр.],HH23,Линии[Канал (итог)],HJ23))</f>
        <v/>
      </c>
      <c r="IH23" t="str">
        <f>IF(AND(B23="",HO23=""),"",_xlfn.TEXTJOIN("; ",TRUE,IF(AND(B23&lt;&gt;"",FV23=""),"нет фазы",""),IF(AND(B23&lt;&gt;"",N(GL23)=0,FG23&lt;&gt;"Нет"),"нет мощности",""),IF(AND(HN23&lt;&gt;"",COUNTIFS(Линии[Щит],A23,Линии[Клемма (итог)],HN23)&gt;1),"дубль клеммы "&amp;HN23,""),IF(AND(HQ23&lt;&gt;"",HQ23&lt;&gt;"ok"),HQ23,""),IF(HR23&lt;&gt;"",HR23,""),IF(AND(N(CB23)&gt;=4,N(BX23)=1),CB23&amp;" жил на 1 фазе",""),IF(AND(BC23="R",CG23=1,IF(CS23&lt;&gt;"",N(CV23)&gt;30,OR(N(DA23)=0,N(DA23)&gt;30))),"розетка без дифзащиты до 30 мА",""),IF(AND(CG23=1,N(DA23)&gt;0,ISNUMBER(T23)),IF(T23&gt;N(DA23)/3,"ток утечки "&amp;FIXED(T23,1)&amp;" мА &gt; 1/3 уставки ("&amp;DA23&amp;" мА)",""),""),IF(AND(CH23=1,CS23=""),"«узо»: нет строки с УЗО выше (УЗО 2P 40А 30мА в «Аппаратах»)",""),IF(AND(CS23&lt;&gt;"",CS23=BA23),IF(CT23="","впишите номинал УЗО (УЗО 2P 40А 30мА)",IF(N(CT23)&lt;N(DT23),"УЗО "&amp;CT23&amp;" А &lt; автомата "&amp;DT23&amp;" А перед ним",IF(N(CT23)&lt;N(CX23),"УЗО "&amp;CT23&amp;" А &lt; тока блока "&amp;FIXED(CX23,1)&amp;" А",""))),""),IF(AND(CS23&lt;&gt;"",CS23=BA23,ISNUMBER(CY23)),IF(CY23&gt;N(CV23)/3,"ток утечки блока УЗО "&amp;FIXED(CY23,1)&amp;" мА &gt; 1/3 уставки ("&amp;CV23&amp;" мА)",""),""),IF(AND(CG23=1,N(BV23)+N(IB23)&gt;0,IC23=""),"линии до 50 В без БП: впишите в «Аппараты» (БП 24V 480W)",""),IF(AND(CG23=1,ISNUMBER(ID23),ISNUMBER(U23)),IF(U23&gt;ID23,"БП "&amp;ID23&amp;" Вт &lt; нужно "&amp;U23&amp;" Вт (×"&amp;Запас_БП&amp;")",""),""),IF(AND(CG23=1,ISNUMBER(IE23),N(BV23)=1),IF(IE23&lt;&gt;N(BU23),"БП на "&amp;IE23&amp;" В, линия "&amp;BU23&amp;" В",""),""),IF(AND(N(IF23)&gt;0,N(IG23)&gt;N(IF23)),HH23&amp;" канал "&amp;HJ23&amp;": "&amp;FIXED(IG23,1)&amp;" А &gt; "&amp;IF23&amp;" А",""),IFERROR(IF(AND(ISNUMBER(Q23),Q23&gt;EL23),"потери "&amp;FIXED(Q23,1)&amp;" % &gt; "&amp;EL23&amp;" %",""),""),IFERROR(IF(LEFT(HU23,4)="мало","Iкз мало — отключение &gt; 0,4 с",""),""),IF(AND(B23&lt;&gt;"",BM23=""),"не на схеме",""),IF(AND(CG23=0,B23&lt;&gt;"",FV23&lt;&gt;"",IF(BA23=1,"",FW22)&lt;&gt;"",FV23&lt;&gt;IF(BA23=1,"",FW22)),"фаза не как у автомата группы ("&amp;IF(BA23=1,"",FW22)&amp;")","")))</f>
        <v>ПЕРЕГРУЗ; потери 4,5 % &gt; 4 %</v>
      </c>
      <c r="II23" s="6" t="str">
        <f>IF(OR(CG23=0,DQ23=""),"",_xlfn.LET(_xlpm.t,IFERROR(_xlfn.XLOOKUP(DQ23,Каталог!$U$4:$U$500,Каталог!$G$4:$G$500),""),_xlpm.k,SEARCH("кА",_xlpm.t),IFERROR(--TRIM(RIGHT(SUBSTITUTE(MID(_xlpm.t,MAX(1,_xlpm.k-4),_xlpm.k-MAX(1,_xlpm.k-4))," ",REPT(" ",9)),5)),"")))</f>
        <v/>
      </c>
      <c r="IJ23" t="str">
        <f>IF(OR(II23="",CG23=0),"",IF(_xlfn.XLOOKUP(A23,Щиты[Щит],Щиты[Iкз max на шинах, кА],"")="","",IF(II23&lt;_xlfn.XLOOKUP(A23,Щиты[Щит],Щиты[Iкз max на шинах, кА]),"Icu "&amp;II23&amp;" кА &lt; Iкз max","ok")))</f>
        <v/>
      </c>
      <c r="IK23" t="str">
        <f t="shared" si="113"/>
        <v/>
      </c>
      <c r="IL23" t="str">
        <f t="shared" si="114"/>
        <v>QF19|XT18</v>
      </c>
      <c r="IM23" t="str">
        <f t="shared" si="115"/>
        <v>QF19|XT18|кабель ВВГнг(А)-LS (3х6) → Флоатинг. Цокольный этаж этаж Пом. №023A</v>
      </c>
      <c r="IN23" t="str" cm="1">
        <f t="array" ref="IN23">IF(IM23="","",_xlfn.LET(_xlpm.nd,_xlfn.TEXTSPLIT(IM23,"|"),IF(COLUMNS(_xlpm.nd)&gt;1,A23&amp;"¦"&amp;INDEX(_xlpm.nd,1)&amp;"¦"&amp;INDEX(_xlpm.nd,2),"")))</f>
        <v>ГРЩ-ЖД¦QF19¦XT18</v>
      </c>
      <c r="IO23" t="str">
        <f t="shared" si="116"/>
        <v>Э.4¦Флоатинг. Цокольный этаж этаж Пом. №023A</v>
      </c>
      <c r="IP23" t="str" cm="1">
        <f t="array" ref="IP23">IF(IM23="","",_xlfn.LET(_xlpm.nd,_xlfn.TEXTSPLIT(IM23,"|"),IF(COLUMNS(_xlpm.nd)&gt;2,A23&amp;"¦"&amp;INDEX(_xlpm.nd,2)&amp;"¦"&amp;INDEX(_xlpm.nd,3),"")))</f>
        <v>ГРЩ-ЖД¦XT18¦кабель ВВГнг(А)-LS (3х6) → Флоатинг. Цокольный этаж этаж Пом. №023A</v>
      </c>
      <c r="IQ23" t="str">
        <f t="shared" si="117"/>
        <v>Э.4¦Флоатинг. Цокольный этаж этаж Пом. №023A</v>
      </c>
      <c r="IR23" t="str" cm="1">
        <f t="array" ref="IR23">IF(IM23="","",_xlfn.LET(_xlpm.nd,_xlfn.TEXTSPLIT(IM23,"|"),IF(COLUMNS(_xlpm.nd)&gt;3,A23&amp;"¦"&amp;INDEX(_xlpm.nd,3)&amp;"¦"&amp;INDEX(_xlpm.nd,4),"")))</f>
        <v/>
      </c>
      <c r="IS23" t="str">
        <f t="shared" si="118"/>
        <v/>
      </c>
      <c r="IT23" t="str" cm="1">
        <f t="array" ref="IT23">IF(IM23="","",_xlfn.LET(_xlpm.nd,_xlfn.TEXTSPLIT(IM23,"|"),IF(COLUMNS(_xlpm.nd)&gt;4,A23&amp;"¦"&amp;INDEX(_xlpm.nd,4)&amp;"¦"&amp;INDEX(_xlpm.nd,5),"")))</f>
        <v/>
      </c>
      <c r="IU23" t="str">
        <f t="shared" si="119"/>
        <v/>
      </c>
      <c r="IV23" t="str" cm="1">
        <f t="array" ref="IV23">IF(IM23="","",_xlfn.LET(_xlpm.nd,_xlfn.TEXTSPLIT(IM23,"|"),IF(COLUMNS(_xlpm.nd)&gt;5,A23&amp;"¦"&amp;INDEX(_xlpm.nd,5)&amp;"¦"&amp;INDEX(_xlpm.nd,6),"")))</f>
        <v/>
      </c>
      <c r="IW23" t="str">
        <f t="shared" si="120"/>
        <v/>
      </c>
      <c r="IX23" t="str" cm="1">
        <f t="array" ref="IX23">IF(IM23="","",_xlfn.LET(_xlpm.nd,_xlfn.TEXTSPLIT(IM23,"|"),IF(COLUMNS(_xlpm.nd)&gt;6,A23&amp;"¦"&amp;INDEX(_xlpm.nd,6)&amp;"¦"&amp;INDEX(_xlpm.nd,7),"")))</f>
        <v/>
      </c>
      <c r="IY23" t="str">
        <f t="shared" si="121"/>
        <v/>
      </c>
      <c r="IZ23" t="str">
        <f t="shared" si="122"/>
        <v/>
      </c>
      <c r="JA23" t="str">
        <f t="shared" si="123"/>
        <v>QF19 → XT18</v>
      </c>
      <c r="JB23">
        <f t="shared" si="124"/>
        <v>0</v>
      </c>
      <c r="JC23">
        <f t="shared" si="125"/>
        <v>0</v>
      </c>
      <c r="JD23" t="str">
        <f t="shared" si="126"/>
        <v/>
      </c>
      <c r="JE23" t="str">
        <f t="shared" si="127"/>
        <v/>
      </c>
      <c r="JF23" t="str">
        <f t="shared" si="128"/>
        <v/>
      </c>
      <c r="JG23" t="str">
        <f t="shared" si="129"/>
        <v/>
      </c>
      <c r="JH23">
        <f>IF(B23="","",IFERROR(_xlfn.XLOOKUP(B23,Коды_код,Коды_уго),IFERROR(_xlfn.XLOOKUP(BC23,Коды_код,Коды_уго),IFERROR(_xlfn.XLOOKUP(LEFT(BC23,2),Коды_код,Коды_уго),""))))</f>
        <v>0</v>
      </c>
      <c r="JI23" t="str">
        <f>IF(B23="","",IF(OR(JH23="",JH23=0),"BOX",IFERROR(IF(VLOOKUP(JH23,УГО_блоки,3,FALSE)&amp;""&lt;&gt;"",VLOOKUP(JH23,УГО_блоки,3,FALSE),VLOOKUP(JH23,УГО_блоки,2,FALSE)),JH23)))</f>
        <v>BOX</v>
      </c>
      <c r="JJ23">
        <f t="shared" si="130"/>
        <v>1</v>
      </c>
      <c r="JK23">
        <f>IF(DQ23="","",IF(COUNTIF(DQ$3:DQ23,DQ23)=1,MAX(JK$2:JK22)+1,""))</f>
        <v>14</v>
      </c>
      <c r="JL23" t="str">
        <f>IF(DE23="","",IF(COUNTIF(DE$3:DE23,DE23)+COUNTIF(DF$2:DF22,DE23)+COUNTIF(DG$2:DG22,DE23)=1,MAX(JL$2:JN22)+1,""))</f>
        <v/>
      </c>
      <c r="JM23" t="str">
        <f>IF(DF23="","",IF(COUNTIF(DE$3:DE23,DF23)+COUNTIF(DF$3:DF23,DF23)+COUNTIF(DG$2:DG22,DF23)=1,MAX(JL$2:JN22,JL23)+1,""))</f>
        <v/>
      </c>
      <c r="JN23" t="str">
        <f>IF(DG23="","",IF(COUNTIF(DE$3:DE23,DG23)+COUNTIF(DF$3:DF23,DG23)+COUNTIF(DG$3:DG23,DG23)=1,MAX(JL$2:JN22,JL23,JM23)+1,""))</f>
        <v/>
      </c>
      <c r="JO23" t="str">
        <f t="shared" si="131"/>
        <v>3х6</v>
      </c>
      <c r="JP23">
        <f>IF(JO23="","",IF(COUNTIF(JO$3:JO23,JO23)=1,MAX(JP$2:JP22)+1,""))</f>
        <v>9</v>
      </c>
      <c r="JQ23" t="str">
        <f>IF(HG23="","",COUNTIF(HG$3:HG23,"?*"))</f>
        <v/>
      </c>
      <c r="JR23" t="str">
        <f>IF(OR(HG23="",HI23=""),"",IF(COUNTIFS(HG$3:HG23,"?*",HI$3:HI23,HI23)=1,MAX(JR$2:JR22)+1,""))</f>
        <v/>
      </c>
      <c r="JS23">
        <f t="shared" si="132"/>
        <v>2</v>
      </c>
      <c r="JT23">
        <f>IF(B23="","",COUNTIF(B$3:B23,"?*"))</f>
        <v>21</v>
      </c>
      <c r="JU23">
        <f>IF(HL23&lt;&gt;1,0,_xlfn.LET(_xlpm.k,MAX(IFERROR(--_xlfn.XLOOKUP(B23,Коды_код,Коды_3L),0),IFERROR(--_xlfn.XLOOKUP(BC23,Коды_код,Коды_3L),0),IFERROR(--_xlfn.XLOOKUP(LEFT(BC23,2),Коды_код,Коды_3L),0)),IF(_xlpm.k&gt;0,_xlpm.k,IF(IFERROR(--LEFT(SUBSTITUTE(JO23,"x","х"),FIND("х",SUBSTITUTE(JO23,"x","х"))-1),3)&gt;3,Каталог!$S$9,1))))</f>
        <v>1</v>
      </c>
      <c r="JV23">
        <f t="shared" si="133"/>
        <v>0</v>
      </c>
      <c r="JW23" t="str">
        <f t="shared" si="134"/>
        <v>авто</v>
      </c>
      <c r="JX23" t="str">
        <f t="shared" si="135"/>
        <v/>
      </c>
      <c r="JY23">
        <f t="shared" si="136"/>
        <v>0</v>
      </c>
      <c r="JZ23">
        <f t="shared" si="137"/>
        <v>1</v>
      </c>
    </row>
    <row r="24" spans="1:286" x14ac:dyDescent="0.3">
      <c r="A24" t="s">
        <v>783</v>
      </c>
      <c r="B24" t="s">
        <v>777</v>
      </c>
      <c r="C24" t="s">
        <v>1652</v>
      </c>
      <c r="D24">
        <v>1</v>
      </c>
      <c r="E24">
        <v>0.3</v>
      </c>
      <c r="G24">
        <v>6</v>
      </c>
      <c r="H24" t="str">
        <f>Линии[[#This Row],[_авто управление]]</f>
        <v/>
      </c>
      <c r="I24" t="str">
        <f>Линии[[#This Row],[_авто аппараты]]</f>
        <v/>
      </c>
      <c r="J24">
        <v>2.5</v>
      </c>
      <c r="K24">
        <v>44</v>
      </c>
      <c r="L24" t="str">
        <f>Линии[[#This Row],[_авто фаза]]</f>
        <v>L1</v>
      </c>
      <c r="M24" t="s">
        <v>484</v>
      </c>
      <c r="N24" t="str">
        <f t="shared" si="0"/>
        <v/>
      </c>
      <c r="O24" s="6" cm="1">
        <f t="array" ref="O24">IF(B24="","",IF(BH24&lt;&gt;"",IFERROR(_xlfn.XLOOKUP(BH24,Щиты[Щит],Щиты[Iр, А]),""),IF(BP24=1,IF(OR(N(_xlfn.XLOOKUP(A24,Щиты[Щит],Щиты[Вводов],1))&lt;=1,LOWER(TRIM(_xlfn.XLOOKUP(A24,Щиты[Щит],Щиты[АВР],"")&amp;""))="да"),IFERROR(_xlfn.XLOOKUP(A24,Щиты[Щит],Щиты[Iр, А]),""),IFERROR(N(BS24)*_xlfn.XLOOKUP(A24,Щиты[Щит],Щиты[Кс итог])/(SQRT(3)*Uн_лин*_xlfn.XLOOKUP(A24,Щиты[Щит],Щиты[cos φ])),"")),IF(BV24=1,IFERROR(BS24*1000/BU24,""),IFERROR(_xlfn.IFS(BX24=1,BS24/((Uн_лин/SQRT(3))*CE24),BX24=3,BS24/(SQRT(3)*Uн_лин*CE24)),"")))))</f>
        <v>1.3674085322912188</v>
      </c>
      <c r="P24" s="7">
        <f>IF(B24="","",IFERROR(IF(VLOOKUP(BC24,Потребители_обозначение,4,FALSE)=1,VLOOKUP(BC24,Потребители_обозначение,3,FALSE)*(MAX(1,N(D24))*2-1)+EI24+VLOOKUP(BE24,Этаж_обозначение,3,FALSE)+VLOOKUP(BE24,Этаж_обозначение,4,FALSE),VLOOKUP(BC24,Потребители_обозначение,3,FALSE)*(MAX(1,N(D24))*2-1)+EI24),EI24))</f>
        <v>44</v>
      </c>
      <c r="Q24" s="6">
        <f t="shared" si="1"/>
        <v>0.45</v>
      </c>
      <c r="R24" t="str">
        <f t="shared" si="2"/>
        <v>ВВГнг(А)-LS (3х2,5)</v>
      </c>
      <c r="S24" t="str">
        <f>IF(BM24="","",IF(BN24="вводной узел","узел ","")&amp;"л."&amp;(INT((BM24-1)/Столбцов_на_лист)+1)&amp;" / "&amp;(MOD(BM24-1,Столбцов_на_лист)+1))</f>
        <v>л.3 / 4</v>
      </c>
      <c r="T24" s="119">
        <f t="shared" si="3"/>
        <v>1</v>
      </c>
      <c r="U24" s="7" t="str">
        <f>IF(OR(CG24=0,N(BV24)+N(IB24)=0),"",ROUNDUP(Запас_БП*(N(HY24)+N(HZ24)),0))</f>
        <v/>
      </c>
      <c r="V24" s="119" t="str">
        <f t="shared" si="4"/>
        <v/>
      </c>
      <c r="W24" s="7" t="str">
        <f>IFERROR(IF(OR(B24="",BP24=1,BV24=1,NOT(ISNUMBER(EN24)),N(DT24)=0),"",MAX(0,ROUNDDOWN((c_min*(Uн_лин*1000/SQRT(3))/(HT24*N(DT24))-_xlfn.XLOOKUP(A24,Щиты[Щит],Щиты[Zпетли на шинах, Ом]))*EN24/(2*ρкз_Cu),0))),"")</f>
        <v/>
      </c>
      <c r="Y24" t="str">
        <f>Линии[[#This Row],[_авто утечка]]</f>
        <v/>
      </c>
      <c r="Z24">
        <v>1</v>
      </c>
      <c r="AA24">
        <v>230</v>
      </c>
      <c r="AB24" t="s">
        <v>573</v>
      </c>
      <c r="AE24">
        <v>2</v>
      </c>
      <c r="AG24" t="s">
        <v>850</v>
      </c>
      <c r="AI24" t="s">
        <v>577</v>
      </c>
      <c r="AK24" t="str">
        <f>Линии[[#This Row],[_авто модуль]]</f>
        <v/>
      </c>
      <c r="AM24">
        <v>38</v>
      </c>
      <c r="AN24" t="s">
        <v>11</v>
      </c>
      <c r="AO24">
        <v>3</v>
      </c>
      <c r="AQ24">
        <v>21</v>
      </c>
      <c r="AR24">
        <v>15</v>
      </c>
      <c r="BA24" cm="1">
        <f t="array" ref="BA24">ROW()-ROW(Линии[#Headers])</f>
        <v>22</v>
      </c>
      <c r="BC24" s="6" t="str">
        <f t="shared" si="5"/>
        <v>SEC1-21</v>
      </c>
      <c r="BD24" t="str">
        <f t="shared" si="6"/>
        <v/>
      </c>
      <c r="BE24" t="str">
        <f t="shared" si="7"/>
        <v/>
      </c>
      <c r="BF24" t="str">
        <f t="shared" si="8"/>
        <v/>
      </c>
      <c r="BG24" t="str">
        <f t="shared" si="9"/>
        <v/>
      </c>
      <c r="BH24" t="str">
        <f>IF(X24&lt;&gt;"",X24,IF(AND(B24&lt;&gt;"",B24&lt;&gt;A24,ISNUMBER(_xlfn.XMATCH(B24,Щиты[Щит]))),B24,""))</f>
        <v/>
      </c>
      <c r="BI24" t="str" cm="1">
        <f t="array" ref="BI24">IF(B24="","",IF(BH24&lt;&gt;"","Щит "&amp;BH24,_xlfn.LET(_xlpm.nm,IFERROR(_xlfn.XLOOKUP(BC24,Коды_код,Коды_имя)&amp;"",""),_xlpm.md,IFERROR(N(_xlfn.XLOOKUP(BC24,Коды_код,Коды_режим)),1),_xlpm.ex,IF(Имя_режим="по экспликации",IFERROR(_xlfn.XLOOKUP(BE24&amp;"|"&amp;BG24,Экспликация[Этаж]&amp;"|"&amp;Экспликация[Помещение],Экспликация[Название])&amp;"",""),""),_xlpm.rm,IF(BG24="","",IF(_xlpm.ex&lt;&gt;"",". "&amp;_xlpm.ex&amp;IF(Имя_пом="нет"," ("&amp;BG24&amp;")"," (пом. "&amp;BG24&amp;")"),IF(Имя_пом="нет"," ",", пом. ")&amp;BG24)),IF(_xlpm.nm="","",IF(_xlpm.md=2,_xlpm.nm&amp;" шлейф "&amp;BE24,_xlpm.nm&amp;_xlpm.rm)))))</f>
        <v/>
      </c>
      <c r="BJ24" t="str">
        <f t="shared" si="10"/>
        <v>Щит охранной сигнализации Подвальный этаж этаж Пом. №007Т</v>
      </c>
      <c r="BK24">
        <f>IFERROR(_xlfn.XMATCH(A24,Щиты[Щит]),0)</f>
        <v>1</v>
      </c>
      <c r="BL24">
        <f>_xlfn.LET(_xlpm.k,IFERROR(_xlfn.XLOOKUP(A24,Щиты[Щит],Щиты[Мест под вводной узел]),""),IF(_xlpm.k="",Столбцов_на_лист,N(_xlpm.k)))</f>
        <v>6</v>
      </c>
      <c r="BM24">
        <f t="shared" si="11"/>
        <v>38</v>
      </c>
      <c r="BN24" t="str">
        <f t="shared" si="12"/>
        <v>линии</v>
      </c>
      <c r="BO24" s="6">
        <f>IFERROR(N(_xlfn.XLOOKUP(BC24,Коды_код,Коды_квт)),0)</f>
        <v>0</v>
      </c>
      <c r="BP24">
        <f t="shared" si="13"/>
        <v>0</v>
      </c>
      <c r="BQ24" t="str">
        <f>IF(B24="","",IF(BH24&lt;&gt;"",IFERROR(_xlfn.XLOOKUP(BH24,Щиты[Щит],Щиты[Руст, кВт]),0),IF(BP24=1,IF(OR(N(_xlfn.XLOOKUP(A24,Щиты[Щит],Щиты[Вводов],1))&lt;=1,LOWER(TRIM(_xlfn.XLOOKUP(A24,Щиты[Щит],Щиты[АВР],"")&amp;""))="да"),IFERROR(_xlfn.XLOOKUP(A24,Щиты[Щит],Щиты[Руст, кВт]),0),SUMIFS(Линии[_Р для вводов],Линии[Щит],A24,Линии[Источник для режимов],GF24)),IF(BO24&gt;0,ROUND(BO24*MAX(1,N(D24)),3),""))))</f>
        <v/>
      </c>
      <c r="BR24">
        <f t="shared" si="14"/>
        <v>0.3</v>
      </c>
      <c r="BS24" s="6">
        <f>IF(B24="","",IF(BH24&lt;&gt;"",IFERROR(_xlfn.XLOOKUP(BH24,Щиты[Щит],Щиты[Руст, кВт]),0),N(BR24)))</f>
        <v>0.3</v>
      </c>
      <c r="BT24" t="str">
        <f>IF(B24="","",IFERROR(IF(VLOOKUP(BC24,Потребители_обозначение,8,FALSE)=0,"",VLOOKUP(BC24,Потребители_обозначение,8,FALSE)),""))</f>
        <v/>
      </c>
      <c r="BU24">
        <f t="shared" si="15"/>
        <v>230</v>
      </c>
      <c r="BV24">
        <f t="shared" si="16"/>
        <v>0</v>
      </c>
      <c r="BW24">
        <f>IF(B24="","",IF(BH24&lt;&gt;"",3,IFERROR(IF(N(VLOOKUP(BC24,Потребители_обозначение,9,FALSE))=0,1,VLOOKUP(BC24,Потребители_обозначение,9,FALSE)),1)))</f>
        <v>1</v>
      </c>
      <c r="BX24">
        <f t="shared" si="17"/>
        <v>1</v>
      </c>
      <c r="BY24" t="str">
        <f>IF(B24="","",_xlfn.LET(_xlpm.bc,IFERROR(IF(VLOOKUP(BC24,Потребители_обозначение,6,FALSE)=0,"",VLOOKUP(BC24,Потребители_обозначение,6,FALSE)&amp;""),""),IF(AND(GA24="да",OR(_xlpm.bc="",_xlpm.bc="мс")),Марка_пож,IF(AND(_xlpm.bc="",BH24&lt;&gt;""),"мс",_xlpm.bc))))</f>
        <v/>
      </c>
      <c r="BZ24" t="str">
        <f t="shared" si="18"/>
        <v>мс</v>
      </c>
      <c r="CA24">
        <f>IF(B24="","",_xlfn.LET(_xlpm.cc,IFERROR(N(VLOOKUP(BC24,Потребители_обозначение,7,FALSE)),0),IF(_xlpm.cc&gt;0,_xlpm.cc,IF(BZ24="","",IF(BV24=1,2,IF(N(BX24)=3,5,3))))))</f>
        <v>3</v>
      </c>
      <c r="CB24">
        <f t="shared" si="19"/>
        <v>3</v>
      </c>
      <c r="CC24">
        <f>IFERROR(N(VLOOKUP(BC24,Потребители_обозначение,10,FALSE)),0)</f>
        <v>0</v>
      </c>
      <c r="CD24">
        <f>IFERROR(VLOOKUP(BC24,Потребители_обозначение,5,FALSE),0)</f>
        <v>0</v>
      </c>
      <c r="CE24" s="6" cm="1">
        <f t="array" ref="CE24">IF(B24="","",IF(BH24&lt;&gt;"",IFERROR(_xlfn.XLOOKUP(BH24,Щиты[Щит],Щиты[cos φ]),0.95),IF(BP24=1,IFERROR(_xlfn.XLOOKUP(A24,Щиты[Щит],Щиты[cos φ]),0.95),IF(ISNUMBER(AD24),AD24,IFERROR(IF(CD24=2,_xlfn.IFS(BX24=3,VLOOKUP(BS24,Справочная_двигатели,8,FALSE),BX24=1,VLOOKUP(BS24,Справочная_двигатели,10,TRUE)),IF(AND(Методика="нормы 2026",FG24="Сил"),0.8,0.95)),0.95)))))</f>
        <v>0.95</v>
      </c>
      <c r="CF24">
        <f t="shared" si="20"/>
        <v>0</v>
      </c>
      <c r="CG24">
        <f t="shared" si="21"/>
        <v>1</v>
      </c>
      <c r="CH24">
        <f t="shared" si="22"/>
        <v>0</v>
      </c>
      <c r="CI24">
        <f>IF(B24="","",IF(BV24=1,IFERROR(BS24/((Uн_лин/SQRT(3))*MAX(0.5,N(CE24))),0),N(O24)))</f>
        <v>1.3674085322912188</v>
      </c>
      <c r="CJ24">
        <f t="shared" si="23"/>
        <v>0</v>
      </c>
      <c r="CK24">
        <f t="shared" si="24"/>
        <v>0</v>
      </c>
      <c r="CL24">
        <f t="shared" si="25"/>
        <v>0</v>
      </c>
      <c r="CM24">
        <f t="shared" si="26"/>
        <v>0</v>
      </c>
      <c r="CN24">
        <f t="shared" si="27"/>
        <v>0</v>
      </c>
      <c r="CO24">
        <f>IF(BC24="",0,_xlfn.LET(_xlpm.v,IFERROR(_xlfn.XLOOKUP(B24,Коды_код,Коды_мА),IFERROR(_xlfn.XLOOKUP(BC24,Коды_код,Коды_мА),IFERROR(_xlfn.XLOOKUP(LEFT(BC24,2),Коды_код,Коды_мА),""))),IF(_xlpm.v="да",30,IF(ISNUMBER(_xlpm.v),_xlpm.v,0))))</f>
        <v>0</v>
      </c>
      <c r="CP24" t="str">
        <f t="shared" si="28"/>
        <v/>
      </c>
      <c r="CQ24" t="str">
        <f>_xlfn.LET(_xlpm.k,IFERROR(_xlfn.XLOOKUP(BC24,Коды_код,Коды_утечка)&amp;"",""),IF(_xlpm.k="","дифавтомат",_xlpm.k))</f>
        <v>дифавтомат</v>
      </c>
      <c r="CR24" t="str" cm="1">
        <f t="array" ref="CR24">IF(CG24=0,"",_xlfn.LET(_xlpm.sg,TRIM(_xlfn.TEXTSPLIT(DD24&amp;"",";")),_xlpm.f_,_xlfn._xlws.FILTER(_xlpm.sg,LEFT(_xlpm.sg,3)="УЗО",""),IFERROR(INDEX(_xlpm.f_,1)&amp;"","")))</f>
        <v/>
      </c>
      <c r="CS24" t="str">
        <f t="shared" si="29"/>
        <v/>
      </c>
      <c r="CT24" s="6" t="str" cm="1">
        <f t="array" ref="CT24">IF(CR24="","",_xlfn.LET(_xlpm.tk,_xlfn.TEXTSPLIT(UPPER(CR24)," ",,TRUE),_xlpm.a_,_xlfn._xlws.FILTER(_xlpm.tk,ISNUMBER(--LEFT(_xlpm.tk,1))*((ISNUMBER(SEARCH("А",_xlpm.tk))+ISNUMBER(SEARCH("A",_xlpm.tk)))&gt;0)*NOT(ISNUMBER(SEARCH("МА",_xlpm.tk)))*NOT(ISNUMBER(SEARCH("MA",_xlpm.tk))),""),IFERROR(--SUBSTITUTE(SUBSTITUTE(INDEX(_xlpm.a_,1),"А",""),"A",""),"")))</f>
        <v/>
      </c>
      <c r="CU24" t="str" cm="1">
        <f t="array" ref="CU24">IF(CR24="","",_xlfn.LET(_xlpm.tk,_xlfn.TEXTSPLIT(UPPER(CR24)," ",,TRUE),_xlpm.a_,_xlfn._xlws.FILTER(_xlpm.tk,ISNUMBER(--LEFT(_xlpm.tk,1))*((ISNUMBER(SEARCH("МА",_xlpm.tk))+ISNUMBER(SEARCH("MA",_xlpm.tk)))&gt;0),""),IFERROR(--SUBSTITUTE(SUBSTITUTE(INDEX(_xlpm.a_,1),"МА",""),"MA",""),30)))</f>
        <v/>
      </c>
      <c r="CV24" t="str">
        <f>IF(CS24="","",IFERROR(_xlfn.XLOOKUP(CS24,Линии[_n],Линии[_УЗО, мА]),30))</f>
        <v/>
      </c>
      <c r="CW24">
        <f>IF(CS24="",0,IF(ISNUMBER(SEARCH("4P",IFERROR(_xlfn.XLOOKUP(CS24,Линии[_n],Линии[_УЗО строки])&amp;"",""))),0,1))</f>
        <v>0</v>
      </c>
      <c r="CX24" t="str">
        <f>IF(AND(CS24&lt;&gt;"",CS24=BA24),SUMIFS(Линии[_ток на 230 В],Линии[_блок УЗО],BA24,Линии[Щит],A24),"")</f>
        <v/>
      </c>
      <c r="CY24" t="str">
        <f>IF(AND(CS24&lt;&gt;"",CS24=BA24),SUMIFS(Линии[_ток утечки линии, мА],Линии[_блок УЗО],BA24,Линии[Щит],A24),"")</f>
        <v/>
      </c>
      <c r="CZ24">
        <f t="shared" si="30"/>
        <v>0</v>
      </c>
      <c r="DA24">
        <f t="shared" si="31"/>
        <v>0</v>
      </c>
      <c r="DB24">
        <f>IF(B24="",0,IFERROR(--_xlfn.XLOOKUP(B24,Коды_код,Коды_минавт),IFERROR(--_xlfn.XLOOKUP(BC24,Коды_код,Коды_минавт),IFERROR(--_xlfn.XLOOKUP(LEFT(BC24,2),Коды_код,Коды_минавт),0))))</f>
        <v>0</v>
      </c>
      <c r="DC24" t="str">
        <f>IF(B24="","",IFERROR(_xlfn.XLOOKUP(BC24,Коды_код,Коды_апп)&amp;"",""))</f>
        <v/>
      </c>
      <c r="DD24" t="str">
        <f t="shared" si="32"/>
        <v/>
      </c>
      <c r="DE24" t="str" cm="1">
        <f t="array" ref="DE24">IF(TRIM(DD24&amp;"")="","",IFERROR(TRIM(INDEX(_xlfn.TEXTSPLIT(DD24&amp;";;;",";"),1)),""))</f>
        <v/>
      </c>
      <c r="DF24" t="str" cm="1">
        <f t="array" ref="DF24">IF(TRIM(DD24&amp;"")="","",IFERROR(TRIM(INDEX(_xlfn.TEXTSPLIT(DD24&amp;";;;",";"),2)),""))</f>
        <v/>
      </c>
      <c r="DG24" t="str" cm="1">
        <f t="array" ref="DG24">IF(TRIM(DD24&amp;"")="","",IFERROR(TRIM(INDEX(_xlfn.TEXTSPLIT(DD24&amp;";;;",";"),3)),""))</f>
        <v/>
      </c>
      <c r="DH24">
        <f t="shared" si="33"/>
        <v>0</v>
      </c>
      <c r="DI24" t="str">
        <f>IF(B24="","",_xlfn.LET(_xlpm.t,LOWER(AZ24&amp;""),IF(ISNUMBER(SEARCH("dim",_xlpm.t)),"DIM",IF(ISNUMBER(SEARCH("dali",_xlpm.t)),"DALI",IF(OR(ISNUMBER(SEARCH("relay",_xlpm.t)),ISNUMBER(SEARCH("реле",_xlpm.t))),"Relay",IF(ISNUMBER(SEARCH("кнопк",_xlpm.t)),"",IFERROR(_xlfn.XLOOKUP(BC24,Коды_код,Коды_упр)&amp;"","")))))))</f>
        <v/>
      </c>
      <c r="DJ24" t="str">
        <f t="shared" si="34"/>
        <v/>
      </c>
      <c r="DK24">
        <f>IF(B24="","",_xlfn.LET(_xlpm.ig,IF(N(CX24)&gt;0,N(CX24),N(CI24)+IF(AJ24="вручную",0,N(CJ24))),_xlpm.n0,IFERROR(VLOOKUP(_xlpm.ig,Автомат_номиналы,2,TRUE),0),_xlpm.mn,MAX(DB24,IF(AJ24="вручную",0,N(CM24))),MAX(_xlpm.n0,_xlpm.mn,IF(DH24=1,Мин_автомат_БП,0))))</f>
        <v>6</v>
      </c>
      <c r="DL24">
        <f t="shared" si="35"/>
        <v>1</v>
      </c>
      <c r="DM24" t="str">
        <f t="shared" si="36"/>
        <v>1P</v>
      </c>
      <c r="DN24" t="str">
        <f>_xlfn.LET(_xlpm.cc,UPPER(TRIM(IFERROR(_xlfn.XLOOKUP(BC24,Коды_код,Коды_хар)&amp;"",""))),IF(OR(_xlpm.cc="B",_xlpm.cc="В"),"B",IF(_xlpm.cc="D","D","С")))</f>
        <v>С</v>
      </c>
      <c r="DO24" t="str">
        <f t="shared" si="37"/>
        <v>1P С6А</v>
      </c>
      <c r="DP24">
        <f t="shared" si="38"/>
        <v>6</v>
      </c>
      <c r="DQ24" t="str">
        <f t="shared" si="39"/>
        <v>1P С6А</v>
      </c>
      <c r="DR24" cm="1">
        <f t="array" ref="DR24">IF(DQ24="","",_xlfn.LET(_xlpm.t,SUBSTITUTE(SUBSTITUTE(SUBSTITUTE(UPPER(DQ24),"С","C"),"А","A"),"В","B"),_xlpm.tk,_xlfn.TEXTSPLIT(_xlpm.t," "),_xlpm.f,_xlfn._xlws.FILTER(_xlpm.tk,ISNUMBER(--MID(_xlpm.tk,2,1))*ISNUMBER(SEARCH(LEFT(_xlpm.tk,1)&amp;"#","B#C#D#"))*(LEN(_xlpm.tk)&gt;1),""),_xlpm.x,INDEX(_xlpm.f,1),IFERROR(--SUBSTITUTE(MID(_xlpm.x,2,9),"A",""),IFERROR(--SUBSTITUTE(INDEX(_xlfn._xlws.FILTER(_xlpm.tk,ISNUMBER(--SUBSTITUTE(_xlpm.tk,"A","")),""),1),"A",""),""))))</f>
        <v>6</v>
      </c>
      <c r="DS24" t="str">
        <f t="shared" si="40"/>
        <v>ok</v>
      </c>
      <c r="DT24">
        <f t="shared" si="41"/>
        <v>6</v>
      </c>
      <c r="DU24" t="str">
        <f t="shared" si="42"/>
        <v>1P С6А</v>
      </c>
      <c r="DV24">
        <f t="shared" si="43"/>
        <v>0</v>
      </c>
      <c r="DW24">
        <f t="shared" si="44"/>
        <v>0</v>
      </c>
      <c r="DX24">
        <f t="shared" si="45"/>
        <v>0</v>
      </c>
      <c r="DY24">
        <f t="shared" si="46"/>
        <v>1.3674085322912188</v>
      </c>
      <c r="DZ24">
        <f t="shared" si="47"/>
        <v>1</v>
      </c>
      <c r="EA24">
        <f>IF(ISNUMBER(AP24),AP24,К_прокл)</f>
        <v>1</v>
      </c>
      <c r="EB24">
        <f t="shared" si="48"/>
        <v>2</v>
      </c>
      <c r="EC24">
        <f>IFERROR(N(VLOOKUP(BZ24,Кабель_обозначение,3,FALSE)),1)</f>
        <v>1</v>
      </c>
      <c r="ED24">
        <f>IFERROR(N(_xlfn.XLOOKUP(A24,Щиты[Щит],Щиты[ΔU до шин, %])),0)</f>
        <v>0</v>
      </c>
      <c r="EE24" t="str">
        <f>IFERROR(_xlfn.XLOOKUP(A24,Щиты[Щит],Щиты[Zпетли на шинах, Ом]),"")</f>
        <v/>
      </c>
      <c r="EF24">
        <f>IFERROR(N(_xlfn.XLOOKUP(A24,Щиты[Щит],Щиты[ΔU до шин (подбор), %])),0)</f>
        <v>0</v>
      </c>
      <c r="EG24" t="str">
        <f>IFERROR(_xlfn.XLOOKUP(A24,Щиты[Щит],Щиты[Zпетли на шинах (подбор), Ом]),"")</f>
        <v/>
      </c>
      <c r="EH24" t="str">
        <f t="shared" si="49"/>
        <v/>
      </c>
      <c r="EI24">
        <f t="shared" si="50"/>
        <v>44</v>
      </c>
      <c r="EJ24">
        <f t="shared" si="51"/>
        <v>2</v>
      </c>
      <c r="EK24">
        <f t="shared" si="52"/>
        <v>0.31</v>
      </c>
      <c r="EL24" s="6">
        <f>IF(B24="","",IF(BV24=1,dU_LED,IF(IFERROR(_xlfn.XLOOKUP(BC24,Коды_код,Коды_уго),"")="Светильник",3,4)+IF(Методика="нормы 2026",MIN(0.5,MAX(0,N(P24)-100)*0.005),0)))</f>
        <v>4</v>
      </c>
      <c r="EM24" cm="1">
        <f t="array" ref="EM24">IF(OR(B24="",BZ24="",EC24&lt;&gt;1),"",_xlfn.LET(_xlpm.sz,Iдоп_S,_xlpm.t_,CHOOSE(EB24,Iдоп_1ж,Iдоп_2ж,Iдоп_3ж)*DZ24*EA24,_xlpm.dcx,BV24=1,_xlpm.inn,IF(_xlpm.dcx,N(O24),N(DT24)),_xlpm.smin,MAX(1.5,CC24),_xlpm.L_,N(P24)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24)/N(BU24)*100,999),IFERROR(N(EJ24)*(_xlpm.rho*_xlpm.L_/_xlpm.sz*N(CE24)+_xlpm.xx*_xlpm.L_*N(EK24)/1000)*N(O24)/((Uн_лин/SQRT(3))*1000)*100,999)),_xlpm.kz,IF(OR(_xlpm.dcx,DW24=1,NOT(ISNUMBER(EG24)),_xlpm.L_=0,_xlpm.inn=0),1,IFERROR(--(c_min*(Uн_лин*1000/SQRT(3))/(EG24+2*ρкз_Cu*_xlpm.L_/_xlpm.sz)&gt;=HT24*_xlpm.inn),0)),_xlpm.ok,IFERROR((_xlpm.sz&gt;=_xlpm.smin)*(_xlpm.t_&gt;=_xlpm.inn)*IF(_xlpm.L_&gt;0,(_xlpm.du_+IF(_xlpm.dcx,0,EF24)&lt;=EL24+0.00001),1)*_xlpm.kz,0),_xlpm.r_,_xlfn._xlws.FILTER(_xlpm.sz,_xlpm.ok,"не подобрано"),INDEX(_xlpm.r_,1)))</f>
        <v>1.5</v>
      </c>
      <c r="EN24">
        <f t="shared" si="53"/>
        <v>2.5</v>
      </c>
      <c r="EO24" cm="1">
        <f t="array" ref="EO24">IF(OR(B24="",BZ24="",EC24&lt;&gt;1),"",_xlfn.LET(_xlpm.sz,Iдоп_S,_xlpm.t_,CHOOSE(EB24,Iдоп_1ж,Iдоп_2ж,Iдоп_3ж)*DZ24*EA24,_xlpm.ok,IFERROR((_xlpm.sz&gt;=MAX(1.5,CC24))*(_xlpm.t_&gt;=N(DT24)),0),_xlpm.r_,_xlfn._xlws.FILTER(_xlpm.sz,_xlpm.ok,""),INDEX(_xlpm.r_,1)))</f>
        <v>1.5</v>
      </c>
      <c r="EP24" s="6" cm="1">
        <f t="array" ref="EP24">IFERROR(ROUNDUP(N(EJ24)*(_xlfn.XLOOKUP(EO24,INDEX(Кабель_сопротивление,0,1),INDEX(Кабель_сопротивление,0,3))*N(P24)/EO24*N(CE24)+_xlfn.XLOOKUP(EO24,INDEX(Кабель_сопротивление,0,1),INDEX(Кабель_сопротивление,0,2))*N(P24)*N(EK24)/1000)*N(O24)/((Uн_лин/SQRT(3))*1000)*100,2),"")</f>
        <v>0.75</v>
      </c>
      <c r="EQ24">
        <f>IFERROR(2*ρкз_Cu*N(P24)/EO24,"")</f>
        <v>1.5429333333333333</v>
      </c>
      <c r="ER24">
        <f>IFERROR(VLOOKUP(EN24,Кабель_сопротивление,3,FALSE),"")</f>
        <v>2.2499999999999999E-2</v>
      </c>
      <c r="ES24">
        <f>IFERROR(VLOOKUP(EN24,Кабель_сопротивление,2,FALSE),"")</f>
        <v>0.1</v>
      </c>
      <c r="ET24">
        <f t="shared" si="54"/>
        <v>15</v>
      </c>
      <c r="EU24" t="str">
        <f t="shared" si="55"/>
        <v/>
      </c>
      <c r="EV24">
        <f t="shared" si="56"/>
        <v>1.0325684701720035</v>
      </c>
      <c r="EW24" s="6">
        <f>IFERROR(ROUNDUP(EV24/IF(BV24=1,BU24,(Uн_лин/SQRT(3))*1000)*100,2),"")</f>
        <v>0.45</v>
      </c>
      <c r="EX24" t="str">
        <f>IFERROR(VLOOKUP(BZ24,Кабель_обозначение,2,FALSE),"")</f>
        <v>ВВГнг(А)-LS</v>
      </c>
      <c r="EY24" t="str">
        <f t="shared" si="57"/>
        <v>ВВГнг(А)-LS (3х2,5)</v>
      </c>
      <c r="EZ24" t="str">
        <f t="shared" si="58"/>
        <v>ВВГнг(А)-LS (3х2,5)
L=44-0,45%</v>
      </c>
      <c r="FA24">
        <f>IFERROR(2*ρкз_Cu*P24/EN24,"")</f>
        <v>0.92576000000000003</v>
      </c>
      <c r="FB24">
        <f t="shared" si="59"/>
        <v>0.308</v>
      </c>
      <c r="FC24" s="6" t="str">
        <f>IFERROR(IF(OR(B24="",BV24=1,NOT(ISNUMBER(EN24)),N(P24)=0),"",_xlfn.XLOOKUP(A24,Щиты[Щит],Щиты[Zпетли на шинах, Ом])+FA24),"")</f>
        <v/>
      </c>
      <c r="FD24" s="6" t="str">
        <f>IF(ISNUMBER(FC24),c_min*(Uн_лин*1000/SQRT(3))/FC24,"")</f>
        <v/>
      </c>
      <c r="FE24" s="6" t="str">
        <f>IFERROR(IF(OR(B24="",NOT(ISNUMBER(EN24))),"",1.05*(Uн_лин*1000/SQRT(3))/(_xlfn.XLOOKUP(A24,Щиты[Щит],Щиты[Zmax на шинах, Ом])+FB24)/1000),"")</f>
        <v/>
      </c>
      <c r="FF24" s="6" t="str">
        <f>IF(B24="","",IF(ISNUMBER(AC24),"Сил",IF(IFERROR(_xlfn.XLOOKUP(BC24,Коды_код,Коды_группа)&amp;"","")="","Быт",_xlfn.XLOOKUP(BC24,Коды_код,Коды_группа)&amp;"")))</f>
        <v>Быт</v>
      </c>
      <c r="FG24" s="6" t="str">
        <f t="shared" si="60"/>
        <v>Пост</v>
      </c>
      <c r="FH24" s="6">
        <f>IF(FG24="Щит","щит",IF(FG24="","",IF(FG24="Быт",IFERROR(_xlfn.XLOOKUP(A24,Щиты[Щит],Щиты[Кс быт]),1),IF(FG24="Сил",IF(ISNUMBER(AC24),AC24,IF(Методика="нормы 2026",IFERROR(_xlfn.XLOOKUP(A24,Щиты[Щит],Щиты[Кс силовых (табл. 7.5)]),1),1)),IF(OR(FG24="Пост",FG24="Отоп"),1,IF(FG24="ВНГ",0.7,0))))))</f>
        <v>1</v>
      </c>
      <c r="FI24">
        <f>IF(FG24="","",IF(AND(BP24=1,TRIM(AE24&amp;"")=""),IF(COUNTIFS(Линии[Щит],A24,Линии[Секция (1/2/3)],"&gt;=2")&gt;0,MIN(3,MAX(1,IFERROR(--BD24,1))),1),IFERROR(MIN(3,MAX(1,INT(--AE24))),1)))</f>
        <v>2</v>
      </c>
      <c r="FJ24">
        <f t="shared" si="61"/>
        <v>0.3</v>
      </c>
      <c r="FK24">
        <f t="shared" si="62"/>
        <v>0</v>
      </c>
      <c r="FL24">
        <f t="shared" si="63"/>
        <v>0</v>
      </c>
      <c r="FM24">
        <f t="shared" si="64"/>
        <v>0.3</v>
      </c>
      <c r="FN24">
        <f t="shared" si="65"/>
        <v>0</v>
      </c>
      <c r="FO24">
        <f t="shared" si="66"/>
        <v>0</v>
      </c>
      <c r="FP24">
        <f t="shared" si="67"/>
        <v>0.3</v>
      </c>
      <c r="FQ24">
        <f t="shared" si="68"/>
        <v>0.3</v>
      </c>
      <c r="FR24">
        <f t="shared" si="69"/>
        <v>0.28499999999999998</v>
      </c>
      <c r="FS24">
        <f>IF(CG24=1,IF(AND(CH24=1,CW24=1),0,IF(AND(CS24&lt;&gt;"",CS24=BA24,CW24=1),SUMIFS(Линии[_Р линии, кВт],Линии[_блок УЗО],BA24,Линии[Щит],A24),N(BS24)+IF(AJ24="вручную",0,N(CK24)))),0)</f>
        <v>0.3</v>
      </c>
      <c r="FT24" t="str">
        <f t="shared" si="70"/>
        <v/>
      </c>
      <c r="FU24" t="str">
        <f>IF(B24="","",IF(CG24=0,IF(BA24=1,"",FW23),IF(AND(CH24=1,CW24=1,CS24&lt;&gt;""),IFERROR(_xlfn.XLOOKUP(CS24,Линии[_n],Линии[_фаза итог]),"L1"),IF(OR(N(DL24)&gt;=3,N(BX24)&gt;=3),"L1,L2,L3",IFERROR(_xlfn.TEXTBEFORE(_xlfn.TEXTAFTER(_xlfn.XLOOKUP(A24,Щиты[Щит],Щиты[_фазы авто]),";"&amp;BA24&amp;":"),";"),"L1")))))</f>
        <v>L1</v>
      </c>
      <c r="FV24" t="str">
        <f t="shared" si="71"/>
        <v>L1</v>
      </c>
      <c r="FW24" t="str">
        <f t="shared" si="72"/>
        <v>L1</v>
      </c>
      <c r="FX24" cm="1">
        <f t="array" ref="FX24">IFERROR(IF(CD24=2,_xlfn.IFS(BX24=3,VLOOKUP(BS24,Справочная_двигатели,3,FALSE),BX24=1,VLOOKUP(BS24,Справочная_двигатели,5,TRUE)),0),0)</f>
        <v>0</v>
      </c>
      <c r="FY24">
        <f>IFERROR(IF(CD24=3,VLOOKUP(BS24,Справочная_ЛЭД,2,TRUE),0),0)</f>
        <v>0</v>
      </c>
      <c r="FZ24" s="6">
        <f t="shared" si="73"/>
        <v>0</v>
      </c>
      <c r="GA24" t="str">
        <f>IF(B24="","",IF(TRIM(AH24&amp;"")&lt;&gt;"",IF(LOWER(TRIM(AH24&amp;""))="да","да","нет"),IF(IFERROR(_xlfn.XLOOKUP(BC24,Коды_код,Коды_пожарная),"")="да","да","нет")))</f>
        <v>нет</v>
      </c>
      <c r="GB24" t="str">
        <f t="shared" si="74"/>
        <v/>
      </c>
      <c r="GC24" t="str">
        <f t="shared" si="75"/>
        <v>основная</v>
      </c>
      <c r="GD24">
        <f>IF(AND(BP24=1,TRIM(AE24&amp;"")=""),IF(COUNTIFS(Линии[Щит],A24,Линии[Секция (1/2/3)],"&gt;=2")&gt;0,MIN(3,MAX(1,IFERROR(--BD24,1))),1),IFERROR(MIN(3,MAX(1,INT(--AE24))),1))</f>
        <v>2</v>
      </c>
      <c r="GE24" t="str" cm="1">
        <f t="array" ref="GE24">IF(B24="","",_xlfn.LET(_xlpm.t,IFERROR(_xlfn.XLOOKUP(1,(Шины[Шина]=GC24)*(((Шины[Щит]=A24)+(Шины[Щит]=""))&gt;0),Шины[Тип]),"")&amp;"",IF(_xlpm.t&lt;&gt;"",_xlpm.t,IF(ISNUMBER(SEARCH("ИБП",GC24)),"ИБП",IF(ISNUMBER(SEARCH("ДГУ",GC24)),"ДГУ","Ввод "&amp;GD24)))))</f>
        <v>Ввод 2</v>
      </c>
      <c r="GF24" t="str">
        <f t="shared" si="76"/>
        <v>Ввод 2</v>
      </c>
      <c r="GG24" t="str">
        <f>IF(BP24=0,"",IF(TRIM(AG24&amp;"")&lt;&gt;"",TRIM(AG24&amp;""),IF(OR(GE24="ИБП",GE24="ДГУ"),"I особая",_xlfn.XLOOKUP(A24,Щиты[Щит],Щиты[Категория шины «Ввод»],"III"))))</f>
        <v/>
      </c>
      <c r="GH24" t="str">
        <f>IF(A24="","",_xlfn.XLOOKUP(A24,Щиты[Щит],Щиты[Путь],""))</f>
        <v>|ГРЩ-ЖД|</v>
      </c>
      <c r="GI24" t="str">
        <f>IF(B24="","",IF(AI24&lt;&gt;"",AI24,IF(IFERROR(_xlfn.XLOOKUP(BC24,Коды_код,Коды_вид)&amp;"","")="","Прочее",_xlfn.XLOOKUP(BC24,Коды_код,Коды_вид)&amp;"")))</f>
        <v>Системы безопасности и связи</v>
      </c>
      <c r="GJ24">
        <f>IF(BM24="","",INT((BM24-1)/Столбцов_на_лист)+1)</f>
        <v>3</v>
      </c>
      <c r="GK24" t="str">
        <f t="shared" si="77"/>
        <v>ВВГнг(А)-LS (3х2,5) L=44-0,45%</v>
      </c>
      <c r="GL24">
        <f t="shared" si="78"/>
        <v>0.3</v>
      </c>
      <c r="GM24">
        <f t="shared" si="79"/>
        <v>1.37</v>
      </c>
      <c r="GN24">
        <f t="shared" si="80"/>
        <v>1</v>
      </c>
      <c r="GO24">
        <f t="shared" si="81"/>
        <v>0</v>
      </c>
      <c r="GP24">
        <f t="shared" si="82"/>
        <v>1</v>
      </c>
      <c r="GQ24">
        <f>IF(BM24="","",IF(AND(CG24=1,GP24=1),COUNTIFS(A$3:A24,A24,CG$3:CG24,1,GP$3:GP24,1),IF(OR(OR(BA24=1,A24&lt;&gt;A23),AJ24="вручную",GP24=0),"",IF(BA24=1,"",GR23))))</f>
        <v>20</v>
      </c>
      <c r="GR24">
        <f t="shared" si="83"/>
        <v>20</v>
      </c>
      <c r="GS24">
        <f>IF(B24="","",IFERROR(LOOKUP(INDEX(CHOOSE(EB24,Iдоп_1ж,Iдоп_2ж,Iдоп_3ж),MATCH(EN24,Iдоп_S,0))*DZ24*EA24,{6,10,16,20,25,32,40,50,63,80,100,125,160,200,250,315,400,500,630}),""))</f>
        <v>25</v>
      </c>
      <c r="GT24" t="str">
        <f t="shared" si="84"/>
        <v>QF20</v>
      </c>
      <c r="GU24" t="str">
        <f t="shared" si="85"/>
        <v>QF20</v>
      </c>
      <c r="GV24" t="str">
        <f t="shared" si="86"/>
        <v/>
      </c>
      <c r="GW24">
        <f t="shared" si="87"/>
        <v>0</v>
      </c>
      <c r="GX24" t="str">
        <f>IF(OR(B24="",DJ24=""),"",IFERROR(_xlfn.XLOOKUP(DJ24,Модули_умолч[Управление],Модули_умолч[Модель])&amp;"",""))</f>
        <v/>
      </c>
      <c r="GY24">
        <f>IF(DJ24="",1,IFERROR(MAX(0,N(_xlfn.XLOOKUP(DJ24,Модули_умолч[Управление],Модули_умолч[Каналов на линию]))),1))</f>
        <v>1</v>
      </c>
      <c r="GZ24" t="str">
        <f t="shared" si="88"/>
        <v/>
      </c>
      <c r="HA24" t="str">
        <f t="shared" si="89"/>
        <v/>
      </c>
      <c r="HB24" t="str">
        <f t="shared" si="90"/>
        <v/>
      </c>
      <c r="HC24">
        <f>IF(HB24="",0,IFERROR(N(VLOOKUP(HB24,Модули_спр,3,FALSE)),0))</f>
        <v>0</v>
      </c>
      <c r="HD24" t="str">
        <f t="shared" si="91"/>
        <v/>
      </c>
      <c r="HE24" t="str">
        <f t="shared" si="92"/>
        <v/>
      </c>
      <c r="HF24" t="str">
        <f>IF(OR(HE24="",HE24="-"),"",IFERROR(VLOOKUP(HE24,Модули_спр,2,FALSE),"R"))</f>
        <v/>
      </c>
      <c r="HG24" t="str">
        <f>IF(HF24="","",HF24&amp;"."&amp;COUNTIFS(A$3:A24,A24,HF$3:HF24,HF24))</f>
        <v/>
      </c>
      <c r="HH24" t="str">
        <f t="shared" si="93"/>
        <v/>
      </c>
      <c r="HI24" t="str">
        <f t="shared" si="94"/>
        <v/>
      </c>
      <c r="HJ24" t="str">
        <f t="shared" si="95"/>
        <v/>
      </c>
      <c r="HK24" t="str">
        <f t="shared" si="96"/>
        <v/>
      </c>
      <c r="HL24">
        <f t="shared" si="97"/>
        <v>1</v>
      </c>
      <c r="HM24" t="str">
        <f>IF(HL24=1,"XT"&amp;COUNTIFS(A$3:A24,A24,HL$3:HL24,1),"")</f>
        <v>XT19</v>
      </c>
      <c r="HN24" t="str">
        <f t="shared" si="98"/>
        <v/>
      </c>
      <c r="HO24" t="str">
        <f t="shared" si="99"/>
        <v>QF20</v>
      </c>
      <c r="HP24" t="str">
        <f t="shared" si="100"/>
        <v/>
      </c>
      <c r="HQ24" t="str">
        <f t="shared" si="101"/>
        <v>ok</v>
      </c>
      <c r="HR24" t="str">
        <f>IF(OR(HJ24="",HH24=""),"",IF(HJ24+MAX(0,GY24-1)&gt;IFERROR(VLOOKUP(HI24,Модули_спр,3,FALSE),99),"ЛИШНИЙ КАНАЛ",IF(AND(AL24&lt;&gt;"=",GY24&gt;0,COUNTIFS(Линии[_модуль гр.],HH24,Линии[Канал (итог)],HJ24,Линии[Канал],"&lt;&gt;=",Линии[Щит],A24)&gt;1),"ДУБЛЬ КАНАЛА","")))</f>
        <v/>
      </c>
      <c r="HS24" s="6" t="str">
        <f t="shared" si="102"/>
        <v/>
      </c>
      <c r="HT24">
        <f t="shared" si="103"/>
        <v>10</v>
      </c>
      <c r="HU24" t="str">
        <f t="shared" si="104"/>
        <v/>
      </c>
      <c r="HV24">
        <f t="shared" si="105"/>
        <v>0.98696341291648748</v>
      </c>
      <c r="HW24">
        <f t="shared" si="106"/>
        <v>0</v>
      </c>
      <c r="HX24">
        <f t="shared" si="107"/>
        <v>0</v>
      </c>
      <c r="HY24">
        <f t="shared" si="108"/>
        <v>0</v>
      </c>
      <c r="HZ24">
        <f t="shared" si="109"/>
        <v>0</v>
      </c>
      <c r="IA24">
        <f t="shared" si="110"/>
        <v>0</v>
      </c>
      <c r="IB24">
        <f t="shared" si="111"/>
        <v>0</v>
      </c>
      <c r="IC24" t="str">
        <f t="shared" si="112"/>
        <v/>
      </c>
      <c r="ID24" t="str" cm="1">
        <f t="array" ref="ID24">IF(IC24="","",_xlfn.LET(_xlpm.tk,_xlfn.TEXTSPLIT(SUBSTITUTE(SUBSTITUTE(IC24,";"," "),"→"," ")," ",,TRUE),_xlpm.w_,_xlfn._xlws.FILTER(_xlpm.tk,ISNUMBER(--LEFT(_xlpm.tk,1))*((ISNUMBER(SEARCH("W",_xlpm.tk))+ISNUMBER(SEARCH("Вт",_xlpm.tk)))&gt;0),""),IFERROR(--SUBSTITUTE(SUBSTITUTE(UPPER(INDEX(_xlpm.w_,1)),"W",""),"ВТ",""),"")))</f>
        <v/>
      </c>
      <c r="IE24" t="str" cm="1">
        <f t="array" ref="IE24">IF(IC24="","",_xlfn.LET(_xlpm.tk,_xlfn.TEXTSPLIT(SUBSTITUTE(SUBSTITUTE(IC24,";"," "),"→"," ")," ",,TRUE),_xlpm.v_,_xlfn._xlws.FILTER(_xlpm.tk,ISNUMBER(--LEFT(_xlpm.tk,1))*((ISNUMBER(SEARCH("V",_xlpm.tk))+(RIGHT(UPPER(_xlpm.tk))="В"))&gt;0),""),IFERROR(--SUBSTITUTE(SUBSTITUTE(UPPER(INDEX(_xlpm.v_,1)),"V",""),"В",""),"")))</f>
        <v/>
      </c>
      <c r="IF24" s="6" t="str">
        <f>IF(OR(BV24=0,HI24="",HJ24=""),"",IFERROR(N(_xlfn.XLOOKUP(HI24,Каталог!$C$4:$C$500,Каталог!$Q$4:$Q$500)),""))</f>
        <v/>
      </c>
      <c r="IG24" s="6" t="str">
        <f>IF(N(IF24)=0,"",SUMIFS(Линии[Iр, А],Линии[Щит],A24,Линии[_модуль гр.],HH24,Линии[Канал (итог)],HJ24))</f>
        <v/>
      </c>
      <c r="IH24" t="str">
        <f>IF(AND(B24="",HO24=""),"",_xlfn.TEXTJOIN("; ",TRUE,IF(AND(B24&lt;&gt;"",FV24=""),"нет фазы",""),IF(AND(B24&lt;&gt;"",N(GL24)=0,FG24&lt;&gt;"Нет"),"нет мощности",""),IF(AND(HN24&lt;&gt;"",COUNTIFS(Линии[Щит],A24,Линии[Клемма (итог)],HN24)&gt;1),"дубль клеммы "&amp;HN24,""),IF(AND(HQ24&lt;&gt;"",HQ24&lt;&gt;"ok"),HQ24,""),IF(HR24&lt;&gt;"",HR24,""),IF(AND(N(CB24)&gt;=4,N(BX24)=1),CB24&amp;" жил на 1 фазе",""),IF(AND(BC24="R",CG24=1,IF(CS24&lt;&gt;"",N(CV24)&gt;30,OR(N(DA24)=0,N(DA24)&gt;30))),"розетка без дифзащиты до 30 мА",""),IF(AND(CG24=1,N(DA24)&gt;0,ISNUMBER(T24)),IF(T24&gt;N(DA24)/3,"ток утечки "&amp;FIXED(T24,1)&amp;" мА &gt; 1/3 уставки ("&amp;DA24&amp;" мА)",""),""),IF(AND(CH24=1,CS24=""),"«узо»: нет строки с УЗО выше (УЗО 2P 40А 30мА в «Аппаратах»)",""),IF(AND(CS24&lt;&gt;"",CS24=BA24),IF(CT24="","впишите номинал УЗО (УЗО 2P 40А 30мА)",IF(N(CT24)&lt;N(DT24),"УЗО "&amp;CT24&amp;" А &lt; автомата "&amp;DT24&amp;" А перед ним",IF(N(CT24)&lt;N(CX24),"УЗО "&amp;CT24&amp;" А &lt; тока блока "&amp;FIXED(CX24,1)&amp;" А",""))),""),IF(AND(CS24&lt;&gt;"",CS24=BA24,ISNUMBER(CY24)),IF(CY24&gt;N(CV24)/3,"ток утечки блока УЗО "&amp;FIXED(CY24,1)&amp;" мА &gt; 1/3 уставки ("&amp;CV24&amp;" мА)",""),""),IF(AND(CG24=1,N(BV24)+N(IB24)&gt;0,IC24=""),"линии до 50 В без БП: впишите в «Аппараты» (БП 24V 480W)",""),IF(AND(CG24=1,ISNUMBER(ID24),ISNUMBER(U24)),IF(U24&gt;ID24,"БП "&amp;ID24&amp;" Вт &lt; нужно "&amp;U24&amp;" Вт (×"&amp;Запас_БП&amp;")",""),""),IF(AND(CG24=1,ISNUMBER(IE24),N(BV24)=1),IF(IE24&lt;&gt;N(BU24),"БП на "&amp;IE24&amp;" В, линия "&amp;BU24&amp;" В",""),""),IF(AND(N(IF24)&gt;0,N(IG24)&gt;N(IF24)),HH24&amp;" канал "&amp;HJ24&amp;": "&amp;FIXED(IG24,1)&amp;" А &gt; "&amp;IF24&amp;" А",""),IFERROR(IF(AND(ISNUMBER(Q24),Q24&gt;EL24),"потери "&amp;FIXED(Q24,1)&amp;" % &gt; "&amp;EL24&amp;" %",""),""),IFERROR(IF(LEFT(HU24,4)="мало","Iкз мало — отключение &gt; 0,4 с",""),""),IF(AND(B24&lt;&gt;"",BM24=""),"не на схеме",""),IF(AND(CG24=0,B24&lt;&gt;"",FV24&lt;&gt;"",IF(BA24=1,"",FW23)&lt;&gt;"",FV24&lt;&gt;IF(BA24=1,"",FW23)),"фаза не как у автомата группы ("&amp;IF(BA24=1,"",FW23)&amp;")","")))</f>
        <v/>
      </c>
      <c r="II24" s="6" t="str">
        <f>IF(OR(CG24=0,DQ24=""),"",_xlfn.LET(_xlpm.t,IFERROR(_xlfn.XLOOKUP(DQ24,Каталог!$U$4:$U$500,Каталог!$G$4:$G$500),""),_xlpm.k,SEARCH("кА",_xlpm.t),IFERROR(--TRIM(RIGHT(SUBSTITUTE(MID(_xlpm.t,MAX(1,_xlpm.k-4),_xlpm.k-MAX(1,_xlpm.k-4))," ",REPT(" ",9)),5)),"")))</f>
        <v/>
      </c>
      <c r="IJ24" t="str">
        <f>IF(OR(II24="",CG24=0),"",IF(_xlfn.XLOOKUP(A24,Щиты[Щит],Щиты[Iкз max на шинах, кА],"")="","",IF(II24&lt;_xlfn.XLOOKUP(A24,Щиты[Щит],Щиты[Iкз max на шинах, кА]),"Icu "&amp;II24&amp;" кА &lt; Iкз max","ok")))</f>
        <v/>
      </c>
      <c r="IK24" t="str">
        <f t="shared" si="113"/>
        <v/>
      </c>
      <c r="IL24" t="str">
        <f t="shared" si="114"/>
        <v>QF20</v>
      </c>
      <c r="IM24" t="str">
        <f t="shared" si="115"/>
        <v>QF20|кабель ВВГнг(А)-LS (3х2,5) → Щит охранной сигнализации Подвальный этаж этаж Пом. №007Т</v>
      </c>
      <c r="IN24" t="str" cm="1">
        <f t="array" ref="IN24">IF(IM24="","",_xlfn.LET(_xlpm.nd,_xlfn.TEXTSPLIT(IM24,"|"),IF(COLUMNS(_xlpm.nd)&gt;1,A24&amp;"¦"&amp;INDEX(_xlpm.nd,1)&amp;"¦"&amp;INDEX(_xlpm.nd,2),"")))</f>
        <v>ГРЩ-ЖД¦QF20¦кабель ВВГнг(А)-LS (3х2,5) → Щит охранной сигнализации Подвальный этаж этаж Пом. №007Т</v>
      </c>
      <c r="IO24" t="str">
        <f t="shared" si="116"/>
        <v>SEC1-21¦Щит охранной сигнализации Подвальный этаж этаж Пом. №007Т</v>
      </c>
      <c r="IP24" t="str" cm="1">
        <f t="array" ref="IP24">IF(IM24="","",_xlfn.LET(_xlpm.nd,_xlfn.TEXTSPLIT(IM24,"|"),IF(COLUMNS(_xlpm.nd)&gt;2,A24&amp;"¦"&amp;INDEX(_xlpm.nd,2)&amp;"¦"&amp;INDEX(_xlpm.nd,3),"")))</f>
        <v/>
      </c>
      <c r="IQ24" t="str">
        <f t="shared" si="117"/>
        <v/>
      </c>
      <c r="IR24" t="str" cm="1">
        <f t="array" ref="IR24">IF(IM24="","",_xlfn.LET(_xlpm.nd,_xlfn.TEXTSPLIT(IM24,"|"),IF(COLUMNS(_xlpm.nd)&gt;3,A24&amp;"¦"&amp;INDEX(_xlpm.nd,3)&amp;"¦"&amp;INDEX(_xlpm.nd,4),"")))</f>
        <v/>
      </c>
      <c r="IS24" t="str">
        <f t="shared" si="118"/>
        <v/>
      </c>
      <c r="IT24" t="str" cm="1">
        <f t="array" ref="IT24">IF(IM24="","",_xlfn.LET(_xlpm.nd,_xlfn.TEXTSPLIT(IM24,"|"),IF(COLUMNS(_xlpm.nd)&gt;4,A24&amp;"¦"&amp;INDEX(_xlpm.nd,4)&amp;"¦"&amp;INDEX(_xlpm.nd,5),"")))</f>
        <v/>
      </c>
      <c r="IU24" t="str">
        <f t="shared" si="119"/>
        <v/>
      </c>
      <c r="IV24" t="str" cm="1">
        <f t="array" ref="IV24">IF(IM24="","",_xlfn.LET(_xlpm.nd,_xlfn.TEXTSPLIT(IM24,"|"),IF(COLUMNS(_xlpm.nd)&gt;5,A24&amp;"¦"&amp;INDEX(_xlpm.nd,5)&amp;"¦"&amp;INDEX(_xlpm.nd,6),"")))</f>
        <v/>
      </c>
      <c r="IW24" t="str">
        <f t="shared" si="120"/>
        <v/>
      </c>
      <c r="IX24" t="str" cm="1">
        <f t="array" ref="IX24">IF(IM24="","",_xlfn.LET(_xlpm.nd,_xlfn.TEXTSPLIT(IM24,"|"),IF(COLUMNS(_xlpm.nd)&gt;6,A24&amp;"¦"&amp;INDEX(_xlpm.nd,6)&amp;"¦"&amp;INDEX(_xlpm.nd,7),"")))</f>
        <v/>
      </c>
      <c r="IY24" t="str">
        <f t="shared" si="121"/>
        <v/>
      </c>
      <c r="IZ24" t="str">
        <f t="shared" si="122"/>
        <v/>
      </c>
      <c r="JA24" t="str">
        <f t="shared" si="123"/>
        <v>QF20</v>
      </c>
      <c r="JB24">
        <f t="shared" si="124"/>
        <v>0</v>
      </c>
      <c r="JC24">
        <f t="shared" si="125"/>
        <v>0</v>
      </c>
      <c r="JD24" t="str">
        <f t="shared" si="126"/>
        <v/>
      </c>
      <c r="JE24" t="str">
        <f t="shared" si="127"/>
        <v/>
      </c>
      <c r="JF24" t="str">
        <f t="shared" si="128"/>
        <v/>
      </c>
      <c r="JG24" t="str">
        <f t="shared" si="129"/>
        <v/>
      </c>
      <c r="JH24" t="str">
        <f>IF(B24="","",IFERROR(_xlfn.XLOOKUP(B24,Коды_код,Коды_уго),IFERROR(_xlfn.XLOOKUP(BC24,Коды_код,Коды_уго),IFERROR(_xlfn.XLOOKUP(LEFT(BC24,2),Коды_код,Коды_уго),""))))</f>
        <v/>
      </c>
      <c r="JI24" t="str">
        <f>IF(B24="","",IF(OR(JH24="",JH24=0),"BOX",IFERROR(IF(VLOOKUP(JH24,УГО_блоки,3,FALSE)&amp;""&lt;&gt;"",VLOOKUP(JH24,УГО_блоки,3,FALSE),VLOOKUP(JH24,УГО_блоки,2,FALSE)),JH24)))</f>
        <v>BOX</v>
      </c>
      <c r="JJ24">
        <f t="shared" si="130"/>
        <v>1</v>
      </c>
      <c r="JK24">
        <f>IF(DQ24="","",IF(COUNTIF(DQ$3:DQ24,DQ24)=1,MAX(JK$2:JK23)+1,""))</f>
        <v>15</v>
      </c>
      <c r="JL24" t="str">
        <f>IF(DE24="","",IF(COUNTIF(DE$3:DE24,DE24)+COUNTIF(DF$2:DF23,DE24)+COUNTIF(DG$2:DG23,DE24)=1,MAX(JL$2:JN23)+1,""))</f>
        <v/>
      </c>
      <c r="JM24" t="str">
        <f>IF(DF24="","",IF(COUNTIF(DE$3:DE24,DF24)+COUNTIF(DF$3:DF24,DF24)+COUNTIF(DG$2:DG23,DF24)=1,MAX(JL$2:JN23,JL24)+1,""))</f>
        <v/>
      </c>
      <c r="JN24" t="str">
        <f>IF(DG24="","",IF(COUNTIF(DE$3:DE24,DG24)+COUNTIF(DF$3:DF24,DG24)+COUNTIF(DG$3:DG24,DG24)=1,MAX(JL$2:JN23,JL24,JM24)+1,""))</f>
        <v/>
      </c>
      <c r="JO24" t="str">
        <f t="shared" si="131"/>
        <v>3х2,5</v>
      </c>
      <c r="JP24" t="str">
        <f>IF(JO24="","",IF(COUNTIF(JO$3:JO24,JO24)=1,MAX(JP$2:JP23)+1,""))</f>
        <v/>
      </c>
      <c r="JQ24" t="str">
        <f>IF(HG24="","",COUNTIF(HG$3:HG24,"?*"))</f>
        <v/>
      </c>
      <c r="JR24" t="str">
        <f>IF(OR(HG24="",HI24=""),"",IF(COUNTIFS(HG$3:HG24,"?*",HI$3:HI24,HI24)=1,MAX(JR$2:JR23)+1,""))</f>
        <v/>
      </c>
      <c r="JS24">
        <f t="shared" si="132"/>
        <v>0</v>
      </c>
      <c r="JT24">
        <f>IF(B24="","",COUNTIF(B$3:B24,"?*"))</f>
        <v>22</v>
      </c>
      <c r="JU24">
        <f>IF(HL24&lt;&gt;1,0,_xlfn.LET(_xlpm.k,MAX(IFERROR(--_xlfn.XLOOKUP(B24,Коды_код,Коды_3L),0),IFERROR(--_xlfn.XLOOKUP(BC24,Коды_код,Коды_3L),0),IFERROR(--_xlfn.XLOOKUP(LEFT(BC24,2),Коды_код,Коды_3L),0)),IF(_xlpm.k&gt;0,_xlpm.k,IF(IFERROR(--LEFT(SUBSTITUTE(JO24,"x","х"),FIND("х",SUBSTITUTE(JO24,"x","х"))-1),3)&gt;3,Каталог!$S$9,1))))</f>
        <v>1</v>
      </c>
      <c r="JV24">
        <f t="shared" si="133"/>
        <v>0</v>
      </c>
      <c r="JW24" t="str">
        <f t="shared" si="134"/>
        <v>авто</v>
      </c>
      <c r="JX24" t="str">
        <f t="shared" si="135"/>
        <v/>
      </c>
      <c r="JY24">
        <f t="shared" si="136"/>
        <v>0</v>
      </c>
      <c r="JZ24">
        <f t="shared" si="137"/>
        <v>1</v>
      </c>
    </row>
    <row r="25" spans="1:286" x14ac:dyDescent="0.3">
      <c r="A25" t="s">
        <v>783</v>
      </c>
      <c r="B25" t="s">
        <v>782</v>
      </c>
      <c r="C25" t="str">
        <f>Линии[[#This Row],[_авто наименование]]</f>
        <v>Щит ЩГП</v>
      </c>
      <c r="E25">
        <f>Линии[[#This Row],[_авто Р]]</f>
        <v>1.9000000000000006</v>
      </c>
      <c r="G25" t="str">
        <f>Линии[[#This Row],[_авто автомат]]</f>
        <v>3P С6А</v>
      </c>
      <c r="H25" t="str">
        <f>Линии[[#This Row],[_авто управление]]</f>
        <v/>
      </c>
      <c r="I25" t="str">
        <f>Линии[[#This Row],[_авто аппараты]]</f>
        <v/>
      </c>
      <c r="J25">
        <f>Линии[[#This Row],[_авто сечение]]</f>
        <v>1.5</v>
      </c>
      <c r="K25" t="str">
        <f>Линии[[#This Row],[_авто длина по плану]]</f>
        <v/>
      </c>
      <c r="L25" t="str">
        <f>Линии[[#This Row],[_авто фаза]]</f>
        <v>L1,L2,L3</v>
      </c>
      <c r="M25" t="str">
        <f>Линии[[#This Row],[_авто клемма]]</f>
        <v>XT20</v>
      </c>
      <c r="N25" t="str">
        <f t="shared" si="0"/>
        <v>не на схеме</v>
      </c>
      <c r="O25" s="6" cm="1">
        <f t="array" ref="O25">IF(B25="","",IF(BH25&lt;&gt;"",IFERROR(_xlfn.XLOOKUP(BH25,Щиты[Щит],Щиты[Iр, А]),""),IF(BP25=1,IF(OR(N(_xlfn.XLOOKUP(A25,Щиты[Щит],Щиты[Вводов],1))&lt;=1,LOWER(TRIM(_xlfn.XLOOKUP(A25,Щиты[Щит],Щиты[АВР],"")&amp;""))="да"),IFERROR(_xlfn.XLOOKUP(A25,Щиты[Щит],Щиты[Iр, А]),""),IFERROR(N(BS25)*_xlfn.XLOOKUP(A25,Щиты[Щит],Щиты[Кс итог])/(SQRT(3)*Uн_лин*_xlfn.XLOOKUP(A25,Щиты[Щит],Щиты[cos φ])),"")),IF(BV25=1,IFERROR(BS25*1000/BU25,""),IFERROR(_xlfn.IFS(BX25=1,BS25/((Uн_лин/SQRT(3))*CE25),BX25=3,BS25/(SQRT(3)*Uн_лин*CE25)),"")))))</f>
        <v>2.3094010767585051</v>
      </c>
      <c r="P25" s="7" t="str">
        <f>IF(B25="","",IFERROR(IF(VLOOKUP(BC25,Потребители_обозначение,4,FALSE)=1,VLOOKUP(BC25,Потребители_обозначение,3,FALSE)*(MAX(1,N(D25))*2-1)+EI25+VLOOKUP(BE25,Этаж_обозначение,3,FALSE)+VLOOKUP(BE25,Этаж_обозначение,4,FALSE),VLOOKUP(BC25,Потребители_обозначение,3,FALSE)*(MAX(1,N(D25))*2-1)+EI25),EI25))</f>
        <v/>
      </c>
      <c r="Q25" s="6" t="str">
        <f t="shared" si="1"/>
        <v/>
      </c>
      <c r="R25" t="str">
        <f t="shared" si="2"/>
        <v>ВВГнг(А)-LS (5х1,5)</v>
      </c>
      <c r="S25" t="str">
        <f>IF(BM25="","",IF(BN25="вводной узел","узел ","")&amp;"л."&amp;(INT((BM25-1)/Столбцов_на_лист)+1)&amp;" / "&amp;(MOD(BM25-1,Столбцов_на_лист)+1))</f>
        <v/>
      </c>
      <c r="T25" s="119" t="str">
        <f t="shared" si="3"/>
        <v/>
      </c>
      <c r="U25" s="7" t="str">
        <f>IF(OR(CG25=0,N(BV25)+N(IB25)=0),"",ROUNDUP(Запас_БП*(N(HY25)+N(HZ25)),0))</f>
        <v/>
      </c>
      <c r="V25" s="119" t="str">
        <f t="shared" si="4"/>
        <v/>
      </c>
      <c r="W25" s="7" t="str">
        <f>IFERROR(IF(OR(B25="",BP25=1,BV25=1,NOT(ISNUMBER(EN25)),N(DT25)=0),"",MAX(0,ROUNDDOWN((c_min*(Uн_лин*1000/SQRT(3))/(HT25*N(DT25))-_xlfn.XLOOKUP(A25,Щиты[Щит],Щиты[Zпетли на шинах, Ом]))*EN25/(2*ρкз_Cu),0))),"")</f>
        <v/>
      </c>
      <c r="Y25" t="str">
        <f>Линии[[#This Row],[_авто утечка]]</f>
        <v/>
      </c>
      <c r="Z25">
        <f>Линии[[#This Row],[_авто фаз]]</f>
        <v>3</v>
      </c>
      <c r="AA25" t="str">
        <f>Линии[[#This Row],[_авто U]]</f>
        <v/>
      </c>
      <c r="AB25" t="str">
        <f>Линии[[#This Row],[_авто группа Кс]]</f>
        <v>Быт</v>
      </c>
      <c r="AK25" t="str">
        <f>Линии[[#This Row],[_авто модуль]]</f>
        <v/>
      </c>
      <c r="AM25" t="s">
        <v>527</v>
      </c>
      <c r="AN25" t="str">
        <f>Линии[[#This Row],[_авто марка]]</f>
        <v>мс</v>
      </c>
      <c r="AO25">
        <f>Линии[[#This Row],[_авто жил]]</f>
        <v>5</v>
      </c>
      <c r="BA25" cm="1">
        <f t="array" ref="BA25">ROW()-ROW(Линии[#Headers])</f>
        <v>23</v>
      </c>
      <c r="BC25" s="6" t="str">
        <f t="shared" si="5"/>
        <v>ЩГП</v>
      </c>
      <c r="BD25" t="str">
        <f t="shared" si="6"/>
        <v/>
      </c>
      <c r="BE25" t="str">
        <f t="shared" si="7"/>
        <v/>
      </c>
      <c r="BF25" t="str">
        <f t="shared" si="8"/>
        <v/>
      </c>
      <c r="BG25" t="str">
        <f t="shared" si="9"/>
        <v/>
      </c>
      <c r="BH25" t="str">
        <f>IF(X25&lt;&gt;"",X25,IF(AND(B25&lt;&gt;"",B25&lt;&gt;A25,ISNUMBER(_xlfn.XMATCH(B25,Щиты[Щит]))),B25,""))</f>
        <v>ЩГП</v>
      </c>
      <c r="BI25" t="str" cm="1">
        <f t="array" ref="BI25">IF(B25="","",IF(BH25&lt;&gt;"","Щит "&amp;BH25,_xlfn.LET(_xlpm.nm,IFERROR(_xlfn.XLOOKUP(BC25,Коды_код,Коды_имя)&amp;"",""),_xlpm.md,IFERROR(N(_xlfn.XLOOKUP(BC25,Коды_код,Коды_режим)),1),_xlpm.ex,IF(Имя_режим="по экспликации",IFERROR(_xlfn.XLOOKUP(BE25&amp;"|"&amp;BG25,Экспликация[Этаж]&amp;"|"&amp;Экспликация[Помещение],Экспликация[Название])&amp;"",""),""),_xlpm.rm,IF(BG25="","",IF(_xlpm.ex&lt;&gt;"",". "&amp;_xlpm.ex&amp;IF(Имя_пом="нет"," ("&amp;BG25&amp;")"," (пом. "&amp;BG25&amp;")"),IF(Имя_пом="нет"," ",", пом. ")&amp;BG25)),IF(_xlpm.nm="","",IF(_xlpm.md=2,_xlpm.nm&amp;" шлейф "&amp;BE25,_xlpm.nm&amp;_xlpm.rm)))))</f>
        <v>Щит ЩГП</v>
      </c>
      <c r="BJ25" t="str">
        <f t="shared" si="10"/>
        <v>Щит ЩГП</v>
      </c>
      <c r="BK25">
        <f>IFERROR(_xlfn.XMATCH(A25,Щиты[Щит]),0)</f>
        <v>1</v>
      </c>
      <c r="BL25">
        <f>_xlfn.LET(_xlpm.k,IFERROR(_xlfn.XLOOKUP(A25,Щиты[Щит],Щиты[Мест под вводной узел]),""),IF(_xlpm.k="",Столбцов_на_лист,N(_xlpm.k)))</f>
        <v>6</v>
      </c>
      <c r="BM25" t="str">
        <f t="shared" si="11"/>
        <v/>
      </c>
      <c r="BN25" t="str">
        <f t="shared" si="12"/>
        <v/>
      </c>
      <c r="BO25" s="6">
        <f>IFERROR(N(_xlfn.XLOOKUP(BC25,Коды_код,Коды_квт)),0)</f>
        <v>0</v>
      </c>
      <c r="BP25">
        <f t="shared" si="13"/>
        <v>0</v>
      </c>
      <c r="BQ25">
        <f>IF(B25="","",IF(BH25&lt;&gt;"",IFERROR(_xlfn.XLOOKUP(BH25,Щиты[Щит],Щиты[Руст, кВт]),0),IF(BP25=1,IF(OR(N(_xlfn.XLOOKUP(A25,Щиты[Щит],Щиты[Вводов],1))&lt;=1,LOWER(TRIM(_xlfn.XLOOKUP(A25,Щиты[Щит],Щиты[АВР],"")&amp;""))="да"),IFERROR(_xlfn.XLOOKUP(A25,Щиты[Щит],Щиты[Руст, кВт]),0),SUMIFS(Линии[_Р для вводов],Линии[Щит],A25,Линии[Источник для режимов],GF25)),IF(BO25&gt;0,ROUND(BO25*MAX(1,N(D25)),3),""))))</f>
        <v>1.9000000000000006</v>
      </c>
      <c r="BR25">
        <f t="shared" si="14"/>
        <v>1.9000000000000006</v>
      </c>
      <c r="BS25" s="6">
        <f>IF(B25="","",IF(BH25&lt;&gt;"",IFERROR(_xlfn.XLOOKUP(BH25,Щиты[Щит],Щиты[Руст, кВт]),0),N(BR25)))</f>
        <v>1.9000000000000006</v>
      </c>
      <c r="BT25" t="str">
        <f>IF(B25="","",IFERROR(IF(VLOOKUP(BC25,Потребители_обозначение,8,FALSE)=0,"",VLOOKUP(BC25,Потребители_обозначение,8,FALSE)),""))</f>
        <v/>
      </c>
      <c r="BU25" t="str">
        <f t="shared" si="15"/>
        <v/>
      </c>
      <c r="BV25">
        <f t="shared" si="16"/>
        <v>0</v>
      </c>
      <c r="BW25">
        <f>IF(B25="","",IF(BH25&lt;&gt;"",3,IFERROR(IF(N(VLOOKUP(BC25,Потребители_обозначение,9,FALSE))=0,1,VLOOKUP(BC25,Потребители_обозначение,9,FALSE)),1)))</f>
        <v>3</v>
      </c>
      <c r="BX25">
        <f t="shared" si="17"/>
        <v>3</v>
      </c>
      <c r="BY25" t="str">
        <f>IF(B25="","",_xlfn.LET(_xlpm.bc,IFERROR(IF(VLOOKUP(BC25,Потребители_обозначение,6,FALSE)=0,"",VLOOKUP(BC25,Потребители_обозначение,6,FALSE)&amp;""),""),IF(AND(GA25="да",OR(_xlpm.bc="",_xlpm.bc="мс")),Марка_пож,IF(AND(_xlpm.bc="",BH25&lt;&gt;""),"мс",_xlpm.bc))))</f>
        <v>мс</v>
      </c>
      <c r="BZ25" t="str">
        <f t="shared" si="18"/>
        <v>мс</v>
      </c>
      <c r="CA25">
        <f>IF(B25="","",_xlfn.LET(_xlpm.cc,IFERROR(N(VLOOKUP(BC25,Потребители_обозначение,7,FALSE)),0),IF(_xlpm.cc&gt;0,_xlpm.cc,IF(BZ25="","",IF(BV25=1,2,IF(N(BX25)=3,5,3))))))</f>
        <v>5</v>
      </c>
      <c r="CB25">
        <f t="shared" si="19"/>
        <v>5</v>
      </c>
      <c r="CC25">
        <f>IFERROR(N(VLOOKUP(BC25,Потребители_обозначение,10,FALSE)),0)</f>
        <v>0</v>
      </c>
      <c r="CD25">
        <f>IFERROR(VLOOKUP(BC25,Потребители_обозначение,5,FALSE),0)</f>
        <v>0</v>
      </c>
      <c r="CE25" s="6" cm="1">
        <f t="array" ref="CE25">IF(B25="","",IF(BH25&lt;&gt;"",IFERROR(_xlfn.XLOOKUP(BH25,Щиты[Щит],Щиты[cos φ]),0.95),IF(BP25=1,IFERROR(_xlfn.XLOOKUP(A25,Щиты[Щит],Щиты[cos φ]),0.95),IF(ISNUMBER(AD25),AD25,IFERROR(IF(CD25=2,_xlfn.IFS(BX25=3,VLOOKUP(BS25,Справочная_двигатели,8,FALSE),BX25=1,VLOOKUP(BS25,Справочная_двигатели,10,TRUE)),IF(AND(Методика="нормы 2026",FG25="Сил"),0.8,0.95)),0.95)))))</f>
        <v>0.94999999999999951</v>
      </c>
      <c r="CF25">
        <f t="shared" si="20"/>
        <v>0</v>
      </c>
      <c r="CG25">
        <f t="shared" si="21"/>
        <v>1</v>
      </c>
      <c r="CH25">
        <f t="shared" si="22"/>
        <v>0</v>
      </c>
      <c r="CI25">
        <f>IF(B25="","",IF(BV25=1,IFERROR(BS25/((Uн_лин/SQRT(3))*MAX(0.5,N(CE25))),0),N(O25)))</f>
        <v>2.3094010767585051</v>
      </c>
      <c r="CJ25">
        <f t="shared" si="23"/>
        <v>0</v>
      </c>
      <c r="CK25">
        <f t="shared" si="24"/>
        <v>0</v>
      </c>
      <c r="CL25">
        <f t="shared" si="25"/>
        <v>0</v>
      </c>
      <c r="CM25">
        <f t="shared" si="26"/>
        <v>0</v>
      </c>
      <c r="CN25">
        <f t="shared" si="27"/>
        <v>0</v>
      </c>
      <c r="CO25">
        <f>IF(BC25="",0,_xlfn.LET(_xlpm.v,IFERROR(_xlfn.XLOOKUP(B25,Коды_код,Коды_мА),IFERROR(_xlfn.XLOOKUP(BC25,Коды_код,Коды_мА),IFERROR(_xlfn.XLOOKUP(LEFT(BC25,2),Коды_код,Коды_мА),""))),IF(_xlpm.v="да",30,IF(ISNUMBER(_xlpm.v),_xlpm.v,0))))</f>
        <v>0</v>
      </c>
      <c r="CP25" t="str">
        <f t="shared" si="28"/>
        <v/>
      </c>
      <c r="CQ25" t="str">
        <f>_xlfn.LET(_xlpm.k,IFERROR(_xlfn.XLOOKUP(BC25,Коды_код,Коды_утечка)&amp;"",""),IF(_xlpm.k="","дифавтомат",_xlpm.k))</f>
        <v>дифавтомат</v>
      </c>
      <c r="CR25" t="str" cm="1">
        <f t="array" ref="CR25">IF(CG25=0,"",_xlfn.LET(_xlpm.sg,TRIM(_xlfn.TEXTSPLIT(DD25&amp;"",";")),_xlpm.f_,_xlfn._xlws.FILTER(_xlpm.sg,LEFT(_xlpm.sg,3)="УЗО",""),IFERROR(INDEX(_xlpm.f_,1)&amp;"","")))</f>
        <v/>
      </c>
      <c r="CS25" t="str">
        <f t="shared" si="29"/>
        <v/>
      </c>
      <c r="CT25" s="6" t="str" cm="1">
        <f t="array" ref="CT25">IF(CR25="","",_xlfn.LET(_xlpm.tk,_xlfn.TEXTSPLIT(UPPER(CR25)," ",,TRUE),_xlpm.a_,_xlfn._xlws.FILTER(_xlpm.tk,ISNUMBER(--LEFT(_xlpm.tk,1))*((ISNUMBER(SEARCH("А",_xlpm.tk))+ISNUMBER(SEARCH("A",_xlpm.tk)))&gt;0)*NOT(ISNUMBER(SEARCH("МА",_xlpm.tk)))*NOT(ISNUMBER(SEARCH("MA",_xlpm.tk))),""),IFERROR(--SUBSTITUTE(SUBSTITUTE(INDEX(_xlpm.a_,1),"А",""),"A",""),"")))</f>
        <v/>
      </c>
      <c r="CU25" t="str" cm="1">
        <f t="array" ref="CU25">IF(CR25="","",_xlfn.LET(_xlpm.tk,_xlfn.TEXTSPLIT(UPPER(CR25)," ",,TRUE),_xlpm.a_,_xlfn._xlws.FILTER(_xlpm.tk,ISNUMBER(--LEFT(_xlpm.tk,1))*((ISNUMBER(SEARCH("МА",_xlpm.tk))+ISNUMBER(SEARCH("MA",_xlpm.tk)))&gt;0),""),IFERROR(--SUBSTITUTE(SUBSTITUTE(INDEX(_xlpm.a_,1),"МА",""),"MA",""),30)))</f>
        <v/>
      </c>
      <c r="CV25" t="str">
        <f>IF(CS25="","",IFERROR(_xlfn.XLOOKUP(CS25,Линии[_n],Линии[_УЗО, мА]),30))</f>
        <v/>
      </c>
      <c r="CW25">
        <f>IF(CS25="",0,IF(ISNUMBER(SEARCH("4P",IFERROR(_xlfn.XLOOKUP(CS25,Линии[_n],Линии[_УЗО строки])&amp;"",""))),0,1))</f>
        <v>0</v>
      </c>
      <c r="CX25" t="str">
        <f>IF(AND(CS25&lt;&gt;"",CS25=BA25),SUMIFS(Линии[_ток на 230 В],Линии[_блок УЗО],BA25,Линии[Щит],A25),"")</f>
        <v/>
      </c>
      <c r="CY25" t="str">
        <f>IF(AND(CS25&lt;&gt;"",CS25=BA25),SUMIFS(Линии[_ток утечки линии, мА],Линии[_блок УЗО],BA25,Линии[Щит],A25),"")</f>
        <v/>
      </c>
      <c r="CZ25">
        <f t="shared" si="30"/>
        <v>0</v>
      </c>
      <c r="DA25">
        <f t="shared" si="31"/>
        <v>0</v>
      </c>
      <c r="DB25">
        <f>IF(B25="",0,IFERROR(--_xlfn.XLOOKUP(B25,Коды_код,Коды_минавт),IFERROR(--_xlfn.XLOOKUP(BC25,Коды_код,Коды_минавт),IFERROR(--_xlfn.XLOOKUP(LEFT(BC25,2),Коды_код,Коды_минавт),0))))</f>
        <v>0</v>
      </c>
      <c r="DC25" t="str">
        <f>IF(B25="","",IFERROR(_xlfn.XLOOKUP(BC25,Коды_код,Коды_апп)&amp;"",""))</f>
        <v/>
      </c>
      <c r="DD25" t="str">
        <f t="shared" si="32"/>
        <v/>
      </c>
      <c r="DE25" t="str" cm="1">
        <f t="array" ref="DE25">IF(TRIM(DD25&amp;"")="","",IFERROR(TRIM(INDEX(_xlfn.TEXTSPLIT(DD25&amp;";;;",";"),1)),""))</f>
        <v/>
      </c>
      <c r="DF25" t="str" cm="1">
        <f t="array" ref="DF25">IF(TRIM(DD25&amp;"")="","",IFERROR(TRIM(INDEX(_xlfn.TEXTSPLIT(DD25&amp;";;;",";"),2)),""))</f>
        <v/>
      </c>
      <c r="DG25" t="str" cm="1">
        <f t="array" ref="DG25">IF(TRIM(DD25&amp;"")="","",IFERROR(TRIM(INDEX(_xlfn.TEXTSPLIT(DD25&amp;";;;",";"),3)),""))</f>
        <v/>
      </c>
      <c r="DH25">
        <f t="shared" si="33"/>
        <v>0</v>
      </c>
      <c r="DI25" t="str">
        <f>IF(B25="","",_xlfn.LET(_xlpm.t,LOWER(AZ25&amp;""),IF(ISNUMBER(SEARCH("dim",_xlpm.t)),"DIM",IF(ISNUMBER(SEARCH("dali",_xlpm.t)),"DALI",IF(OR(ISNUMBER(SEARCH("relay",_xlpm.t)),ISNUMBER(SEARCH("реле",_xlpm.t))),"Relay",IF(ISNUMBER(SEARCH("кнопк",_xlpm.t)),"",IFERROR(_xlfn.XLOOKUP(BC25,Коды_код,Коды_упр)&amp;"","")))))))</f>
        <v/>
      </c>
      <c r="DJ25" t="str">
        <f t="shared" si="34"/>
        <v/>
      </c>
      <c r="DK25">
        <f>IF(B25="","",_xlfn.LET(_xlpm.ig,IF(N(CX25)&gt;0,N(CX25),N(CI25)+IF(AJ25="вручную",0,N(CJ25))),_xlpm.n0,IFERROR(VLOOKUP(_xlpm.ig,Автомат_номиналы,2,TRUE),0),_xlpm.mn,MAX(DB25,IF(AJ25="вручную",0,N(CM25))),MAX(_xlpm.n0,_xlpm.mn,IF(DH25=1,Мин_автомат_БП,0))))</f>
        <v>6</v>
      </c>
      <c r="DL25">
        <f t="shared" si="35"/>
        <v>3</v>
      </c>
      <c r="DM25" t="str">
        <f t="shared" si="36"/>
        <v>3P</v>
      </c>
      <c r="DN25" t="str">
        <f>_xlfn.LET(_xlpm.cc,UPPER(TRIM(IFERROR(_xlfn.XLOOKUP(BC25,Коды_код,Коды_хар)&amp;"",""))),IF(OR(_xlpm.cc="B",_xlpm.cc="В"),"B",IF(_xlpm.cc="D","D","С")))</f>
        <v>С</v>
      </c>
      <c r="DO25" t="str">
        <f t="shared" si="37"/>
        <v>3P С6А</v>
      </c>
      <c r="DP25" t="str">
        <f t="shared" si="38"/>
        <v>3P С6А</v>
      </c>
      <c r="DQ25" t="str">
        <f t="shared" si="39"/>
        <v>3P С6А</v>
      </c>
      <c r="DR25" cm="1">
        <f t="array" ref="DR25">IF(DQ25="","",_xlfn.LET(_xlpm.t,SUBSTITUTE(SUBSTITUTE(SUBSTITUTE(UPPER(DQ25),"С","C"),"А","A"),"В","B"),_xlpm.tk,_xlfn.TEXTSPLIT(_xlpm.t," "),_xlpm.f,_xlfn._xlws.FILTER(_xlpm.tk,ISNUMBER(--MID(_xlpm.tk,2,1))*ISNUMBER(SEARCH(LEFT(_xlpm.tk,1)&amp;"#","B#C#D#"))*(LEN(_xlpm.tk)&gt;1),""),_xlpm.x,INDEX(_xlpm.f,1),IFERROR(--SUBSTITUTE(MID(_xlpm.x,2,9),"A",""),IFERROR(--SUBSTITUTE(INDEX(_xlfn._xlws.FILTER(_xlpm.tk,ISNUMBER(--SUBSTITUTE(_xlpm.tk,"A","")),""),1),"A",""),""))))</f>
        <v>6</v>
      </c>
      <c r="DS25" t="str">
        <f t="shared" si="40"/>
        <v>ok</v>
      </c>
      <c r="DT25">
        <f t="shared" si="41"/>
        <v>6</v>
      </c>
      <c r="DU25" t="str">
        <f t="shared" si="42"/>
        <v>3P С6А</v>
      </c>
      <c r="DV25">
        <f t="shared" si="43"/>
        <v>0</v>
      </c>
      <c r="DW25">
        <f t="shared" si="44"/>
        <v>0</v>
      </c>
      <c r="DX25">
        <f t="shared" si="45"/>
        <v>0</v>
      </c>
      <c r="DY25">
        <f t="shared" si="46"/>
        <v>2.3094010767585051</v>
      </c>
      <c r="DZ25">
        <f t="shared" si="47"/>
        <v>0.92</v>
      </c>
      <c r="EA25">
        <f>IF(ISNUMBER(AP25),AP25,К_прокл)</f>
        <v>1</v>
      </c>
      <c r="EB25">
        <f t="shared" si="48"/>
        <v>3</v>
      </c>
      <c r="EC25">
        <f>IFERROR(N(VLOOKUP(BZ25,Кабель_обозначение,3,FALSE)),1)</f>
        <v>1</v>
      </c>
      <c r="ED25">
        <f>IFERROR(N(_xlfn.XLOOKUP(A25,Щиты[Щит],Щиты[ΔU до шин, %])),0)</f>
        <v>0</v>
      </c>
      <c r="EE25" t="str">
        <f>IFERROR(_xlfn.XLOOKUP(A25,Щиты[Щит],Щиты[Zпетли на шинах, Ом]),"")</f>
        <v/>
      </c>
      <c r="EF25">
        <f>IFERROR(N(_xlfn.XLOOKUP(A25,Щиты[Щит],Щиты[ΔU до шин (подбор), %])),0)</f>
        <v>0</v>
      </c>
      <c r="EG25" t="str">
        <f>IFERROR(_xlfn.XLOOKUP(A25,Щиты[Щит],Щиты[Zпетли на шинах (подбор), Ом]),"")</f>
        <v/>
      </c>
      <c r="EH25" t="str">
        <f t="shared" si="49"/>
        <v/>
      </c>
      <c r="EI25" t="str">
        <f t="shared" si="50"/>
        <v/>
      </c>
      <c r="EJ25">
        <f t="shared" si="51"/>
        <v>1</v>
      </c>
      <c r="EK25">
        <f t="shared" si="52"/>
        <v>0.31</v>
      </c>
      <c r="EL25" s="6">
        <f>IF(B25="","",IF(BV25=1,dU_LED,IF(IFERROR(_xlfn.XLOOKUP(BC25,Коды_код,Коды_уго),"")="Светильник",3,4)+IF(Методика="нормы 2026",MIN(0.5,MAX(0,N(P25)-100)*0.005),0)))</f>
        <v>4</v>
      </c>
      <c r="EM25" cm="1">
        <f t="array" ref="EM25">IF(OR(B25="",BZ25="",EC25&lt;&gt;1),"",_xlfn.LET(_xlpm.sz,Iдоп_S,_xlpm.t_,CHOOSE(EB25,Iдоп_1ж,Iдоп_2ж,Iдоп_3ж)*DZ25*EA25,_xlpm.dcx,BV25=1,_xlpm.inn,IF(_xlpm.dcx,N(O25),N(DT25)),_xlpm.smin,MAX(1.5,CC25),_xlpm.L_,N(P25)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25)/N(BU25)*100,999),IFERROR(N(EJ25)*(_xlpm.rho*_xlpm.L_/_xlpm.sz*N(CE25)+_xlpm.xx*_xlpm.L_*N(EK25)/1000)*N(O25)/((Uн_лин/SQRT(3))*1000)*100,999)),_xlpm.kz,IF(OR(_xlpm.dcx,DW25=1,NOT(ISNUMBER(EG25)),_xlpm.L_=0,_xlpm.inn=0),1,IFERROR(--(c_min*(Uн_лин*1000/SQRT(3))/(EG25+2*ρкз_Cu*_xlpm.L_/_xlpm.sz)&gt;=HT25*_xlpm.inn),0)),_xlpm.ok,IFERROR((_xlpm.sz&gt;=_xlpm.smin)*(_xlpm.t_&gt;=_xlpm.inn)*IF(_xlpm.L_&gt;0,(_xlpm.du_+IF(_xlpm.dcx,0,EF25)&lt;=EL25+0.00001),1)*_xlpm.kz,0),_xlpm.r_,_xlfn._xlws.FILTER(_xlpm.sz,_xlpm.ok,"не подобрано"),INDEX(_xlpm.r_,1)))</f>
        <v>1.5</v>
      </c>
      <c r="EN25">
        <f t="shared" si="53"/>
        <v>1.5</v>
      </c>
      <c r="EO25" cm="1">
        <f t="array" ref="EO25">IF(OR(B25="",BZ25="",EC25&lt;&gt;1),"",_xlfn.LET(_xlpm.sz,Iдоп_S,_xlpm.t_,CHOOSE(EB25,Iдоп_1ж,Iдоп_2ж,Iдоп_3ж)*DZ25*EA25,_xlpm.ok,IFERROR((_xlpm.sz&gt;=MAX(1.5,CC25))*(_xlpm.t_&gt;=N(DT25)),0),_xlpm.r_,_xlfn._xlws.FILTER(_xlpm.sz,_xlpm.ok,""),INDEX(_xlpm.r_,1)))</f>
        <v>1.5</v>
      </c>
      <c r="EP25" s="6" cm="1">
        <f t="array" ref="EP25">IFERROR(ROUNDUP(N(EJ25)*(_xlfn.XLOOKUP(EO25,INDEX(Кабель_сопротивление,0,1),INDEX(Кабель_сопротивление,0,3))*N(P25)/EO25*N(CE25)+_xlfn.XLOOKUP(EO25,INDEX(Кабель_сопротивление,0,1),INDEX(Кабель_сопротивление,0,2))*N(P25)*N(EK25)/1000)*N(O25)/((Uн_лин/SQRT(3))*1000)*100,2),"")</f>
        <v>0</v>
      </c>
      <c r="EQ25">
        <f>IFERROR(2*ρкз_Cu*N(P25)/EO25,"")</f>
        <v>0</v>
      </c>
      <c r="ER25">
        <f>IFERROR(VLOOKUP(EN25,Кабель_сопротивление,3,FALSE),"")</f>
        <v>2.2499999999999999E-2</v>
      </c>
      <c r="ES25">
        <f>IFERROR(VLOOKUP(EN25,Кабель_сопротивление,2,FALSE),"")</f>
        <v>0.11</v>
      </c>
      <c r="ET25" t="str">
        <f t="shared" si="54"/>
        <v/>
      </c>
      <c r="EU25" t="str">
        <f t="shared" si="55"/>
        <v/>
      </c>
      <c r="EV25" t="str">
        <f t="shared" si="56"/>
        <v/>
      </c>
      <c r="EW25" s="6" t="str">
        <f>IFERROR(ROUNDUP(EV25/IF(BV25=1,BU25,(Uн_лин/SQRT(3))*1000)*100,2),"")</f>
        <v/>
      </c>
      <c r="EX25" t="str">
        <f>IFERROR(VLOOKUP(BZ25,Кабель_обозначение,2,FALSE),"")</f>
        <v>ВВГнг(А)-LS</v>
      </c>
      <c r="EY25" t="str">
        <f t="shared" si="57"/>
        <v>ВВГнг(А)-LS (5х1,5)</v>
      </c>
      <c r="EZ25" t="str">
        <f t="shared" si="58"/>
        <v>ВВГнг(А)-LS (5х1,5)</v>
      </c>
      <c r="FA25" t="str">
        <f>IFERROR(2*ρкз_Cu*P25/EN25,"")</f>
        <v/>
      </c>
      <c r="FB25">
        <f t="shared" si="59"/>
        <v>0</v>
      </c>
      <c r="FC25" s="6" t="str">
        <f>IFERROR(IF(OR(B25="",BV25=1,NOT(ISNUMBER(EN25)),N(P25)=0),"",_xlfn.XLOOKUP(A25,Щиты[Щит],Щиты[Zпетли на шинах, Ом])+FA25),"")</f>
        <v/>
      </c>
      <c r="FD25" s="6" t="str">
        <f>IF(ISNUMBER(FC25),c_min*(Uн_лин*1000/SQRT(3))/FC25,"")</f>
        <v/>
      </c>
      <c r="FE25" s="6" t="str">
        <f>IFERROR(IF(OR(B25="",NOT(ISNUMBER(EN25))),"",1.05*(Uн_лин*1000/SQRT(3))/(_xlfn.XLOOKUP(A25,Щиты[Щит],Щиты[Zmax на шинах, Ом])+FB25)/1000),"")</f>
        <v/>
      </c>
      <c r="FF25" s="6" t="str">
        <f>IF(B25="","",IF(ISNUMBER(AC25),"Сил",IF(IFERROR(_xlfn.XLOOKUP(BC25,Коды_код,Коды_группа)&amp;"","")="","Быт",_xlfn.XLOOKUP(BC25,Коды_код,Коды_группа)&amp;"")))</f>
        <v>Быт</v>
      </c>
      <c r="FG25" s="6" t="str">
        <f t="shared" si="60"/>
        <v>Щит</v>
      </c>
      <c r="FH25" s="6" t="str">
        <f>IF(FG25="Щит","щит",IF(FG25="","",IF(FG25="Быт",IFERROR(_xlfn.XLOOKUP(A25,Щиты[Щит],Щиты[Кс быт]),1),IF(FG25="Сил",IF(ISNUMBER(AC25),AC25,IF(Методика="нормы 2026",IFERROR(_xlfn.XLOOKUP(A25,Щиты[Щит],Щиты[Кс силовых (табл. 7.5)]),1),1)),IF(OR(FG25="Пост",FG25="Отоп"),1,IF(FG25="ВНГ",0.7,0))))))</f>
        <v>щит</v>
      </c>
      <c r="FI25">
        <f>IF(FG25="","",IF(AND(BP25=1,TRIM(AE25&amp;"")=""),IF(COUNTIFS(Линии[Щит],A25,Линии[Секция (1/2/3)],"&gt;=2")&gt;0,MIN(3,MAX(1,IFERROR(--BD25,1))),1),IFERROR(MIN(3,MAX(1,INT(--AE25))),1)))</f>
        <v>1</v>
      </c>
      <c r="FJ25">
        <f t="shared" si="61"/>
        <v>0</v>
      </c>
      <c r="FK25">
        <f t="shared" si="62"/>
        <v>0</v>
      </c>
      <c r="FL25">
        <f t="shared" si="63"/>
        <v>0</v>
      </c>
      <c r="FM25">
        <f t="shared" si="64"/>
        <v>0</v>
      </c>
      <c r="FN25">
        <f t="shared" si="65"/>
        <v>0</v>
      </c>
      <c r="FO25">
        <f t="shared" si="66"/>
        <v>0</v>
      </c>
      <c r="FP25">
        <f t="shared" si="67"/>
        <v>1.9000000000000006</v>
      </c>
      <c r="FQ25">
        <f t="shared" si="68"/>
        <v>0</v>
      </c>
      <c r="FR25">
        <f t="shared" si="69"/>
        <v>0</v>
      </c>
      <c r="FS25">
        <f>IF(CG25=1,IF(AND(CH25=1,CW25=1),0,IF(AND(CS25&lt;&gt;"",CS25=BA25,CW25=1),SUMIFS(Линии[_Р линии, кВт],Линии[_блок УЗО],BA25,Линии[Щит],A25),N(BS25)+IF(AJ25="вручную",0,N(CK25)))),0)</f>
        <v>1.9000000000000006</v>
      </c>
      <c r="FT25" t="str">
        <f t="shared" si="70"/>
        <v/>
      </c>
      <c r="FU25" t="str">
        <f>IF(B25="","",IF(CG25=0,IF(BA25=1,"",FW24),IF(AND(CH25=1,CW25=1,CS25&lt;&gt;""),IFERROR(_xlfn.XLOOKUP(CS25,Линии[_n],Линии[_фаза итог]),"L1"),IF(OR(N(DL25)&gt;=3,N(BX25)&gt;=3),"L1,L2,L3",IFERROR(_xlfn.TEXTBEFORE(_xlfn.TEXTAFTER(_xlfn.XLOOKUP(A25,Щиты[Щит],Щиты[_фазы авто]),";"&amp;BA25&amp;":"),";"),"L1")))))</f>
        <v>L1,L2,L3</v>
      </c>
      <c r="FV25" t="str">
        <f t="shared" si="71"/>
        <v>L1,L2,L3</v>
      </c>
      <c r="FW25" t="str">
        <f t="shared" si="72"/>
        <v>L1,L2,L3</v>
      </c>
      <c r="FX25" cm="1">
        <f t="array" ref="FX25">IFERROR(IF(CD25=2,_xlfn.IFS(BX25=3,VLOOKUP(BS25,Справочная_двигатели,3,FALSE),BX25=1,VLOOKUP(BS25,Справочная_двигатели,5,TRUE)),0),0)</f>
        <v>0</v>
      </c>
      <c r="FY25">
        <f>IFERROR(IF(CD25=3,VLOOKUP(BS25,Справочная_ЛЭД,2,TRUE),0),0)</f>
        <v>0</v>
      </c>
      <c r="FZ25" s="6">
        <f t="shared" si="73"/>
        <v>0</v>
      </c>
      <c r="GA25" t="str">
        <f>IF(B25="","",IF(TRIM(AH25&amp;"")&lt;&gt;"",IF(LOWER(TRIM(AH25&amp;""))="да","да","нет"),IF(IFERROR(_xlfn.XLOOKUP(BC25,Коды_код,Коды_пожарная),"")="да","да","нет")))</f>
        <v>нет</v>
      </c>
      <c r="GB25" t="str">
        <f t="shared" si="74"/>
        <v/>
      </c>
      <c r="GC25" t="str">
        <f t="shared" si="75"/>
        <v>основная</v>
      </c>
      <c r="GD25">
        <f>IF(AND(BP25=1,TRIM(AE25&amp;"")=""),IF(COUNTIFS(Линии[Щит],A25,Линии[Секция (1/2/3)],"&gt;=2")&gt;0,MIN(3,MAX(1,IFERROR(--BD25,1))),1),IFERROR(MIN(3,MAX(1,INT(--AE25))),1))</f>
        <v>1</v>
      </c>
      <c r="GE25" t="str" cm="1">
        <f t="array" ref="GE25">IF(B25="","",_xlfn.LET(_xlpm.t,IFERROR(_xlfn.XLOOKUP(1,(Шины[Шина]=GC25)*(((Шины[Щит]=A25)+(Шины[Щит]=""))&gt;0),Шины[Тип]),"")&amp;"",IF(_xlpm.t&lt;&gt;"",_xlpm.t,IF(ISNUMBER(SEARCH("ИБП",GC25)),"ИБП",IF(ISNUMBER(SEARCH("ДГУ",GC25)),"ДГУ","Ввод "&amp;GD25)))))</f>
        <v>Ввод 1</v>
      </c>
      <c r="GF25" t="str">
        <f t="shared" si="76"/>
        <v>Ввод 1</v>
      </c>
      <c r="GG25" t="str">
        <f>IF(BP25=0,"",IF(TRIM(AG25&amp;"")&lt;&gt;"",TRIM(AG25&amp;""),IF(OR(GE25="ИБП",GE25="ДГУ"),"I особая",_xlfn.XLOOKUP(A25,Щиты[Щит],Щиты[Категория шины «Ввод»],"III"))))</f>
        <v/>
      </c>
      <c r="GH25" t="str">
        <f>IF(A25="","",_xlfn.XLOOKUP(A25,Щиты[Щит],Щиты[Путь],""))</f>
        <v>|ГРЩ-ЖД|</v>
      </c>
      <c r="GI25" t="str">
        <f>IF(B25="","",IF(AI25&lt;&gt;"",AI25,IF(IFERROR(_xlfn.XLOOKUP(BC25,Коды_код,Коды_вид)&amp;"","")="","Прочее",_xlfn.XLOOKUP(BC25,Коды_код,Коды_вид)&amp;"")))</f>
        <v>Прочее</v>
      </c>
      <c r="GJ25" t="str">
        <f>IF(BM25="","",INT((BM25-1)/Столбцов_на_лист)+1)</f>
        <v/>
      </c>
      <c r="GK25" t="str">
        <f t="shared" si="77"/>
        <v>ВВГнг(А)-LS (5х1,5)</v>
      </c>
      <c r="GL25">
        <f t="shared" si="78"/>
        <v>1.9000000000000006</v>
      </c>
      <c r="GM25">
        <f t="shared" si="79"/>
        <v>2.3099999999999996</v>
      </c>
      <c r="GN25">
        <f t="shared" si="80"/>
        <v>3</v>
      </c>
      <c r="GO25">
        <f t="shared" si="81"/>
        <v>0</v>
      </c>
      <c r="GP25">
        <f t="shared" si="82"/>
        <v>0</v>
      </c>
      <c r="GQ25" t="str">
        <f>IF(BM25="","",IF(AND(CG25=1,GP25=1),COUNTIFS(A$3:A25,A25,CG$3:CG25,1,GP$3:GP25,1),IF(OR(OR(BA25=1,A25&lt;&gt;A24),AJ25="вручную",GP25=0),"",IF(BA25=1,"",GR24))))</f>
        <v/>
      </c>
      <c r="GR25">
        <f t="shared" si="83"/>
        <v>20</v>
      </c>
      <c r="GS25">
        <f>IF(B25="","",IFERROR(LOOKUP(INDEX(CHOOSE(EB25,Iдоп_1ж,Iдоп_2ж,Iдоп_3ж),MATCH(EN25,Iдоп_S,0))*DZ25*EA25,{6,10,16,20,25,32,40,50,63,80,100,125,160,200,250,315,400,500,630}),""))</f>
        <v>16</v>
      </c>
      <c r="GT25" t="str">
        <f t="shared" si="84"/>
        <v/>
      </c>
      <c r="GU25" t="str">
        <f t="shared" si="85"/>
        <v>QF20</v>
      </c>
      <c r="GV25" t="str">
        <f t="shared" si="86"/>
        <v/>
      </c>
      <c r="GW25">
        <f t="shared" si="87"/>
        <v>0</v>
      </c>
      <c r="GX25" t="str">
        <f>IF(OR(B25="",DJ25=""),"",IFERROR(_xlfn.XLOOKUP(DJ25,Модули_умолч[Управление],Модули_умолч[Модель])&amp;"",""))</f>
        <v/>
      </c>
      <c r="GY25">
        <f>IF(DJ25="",1,IFERROR(MAX(0,N(_xlfn.XLOOKUP(DJ25,Модули_умолч[Управление],Модули_умолч[Каналов на линию]))),1))</f>
        <v>1</v>
      </c>
      <c r="GZ25" t="str">
        <f t="shared" si="88"/>
        <v/>
      </c>
      <c r="HA25" t="str">
        <f t="shared" si="89"/>
        <v/>
      </c>
      <c r="HB25" t="str">
        <f t="shared" si="90"/>
        <v/>
      </c>
      <c r="HC25">
        <f>IF(HB25="",0,IFERROR(N(VLOOKUP(HB25,Модули_спр,3,FALSE)),0))</f>
        <v>0</v>
      </c>
      <c r="HD25" t="str">
        <f t="shared" si="91"/>
        <v/>
      </c>
      <c r="HE25" t="str">
        <f t="shared" si="92"/>
        <v/>
      </c>
      <c r="HF25" t="str">
        <f>IF(OR(HE25="",HE25="-"),"",IFERROR(VLOOKUP(HE25,Модули_спр,2,FALSE),"R"))</f>
        <v/>
      </c>
      <c r="HG25" t="str">
        <f>IF(HF25="","",HF25&amp;"."&amp;COUNTIFS(A$3:A25,A25,HF$3:HF25,HF25))</f>
        <v/>
      </c>
      <c r="HH25" t="str">
        <f t="shared" si="93"/>
        <v/>
      </c>
      <c r="HI25" t="str">
        <f t="shared" si="94"/>
        <v/>
      </c>
      <c r="HJ25" t="str">
        <f t="shared" si="95"/>
        <v/>
      </c>
      <c r="HK25" t="str">
        <f t="shared" si="96"/>
        <v/>
      </c>
      <c r="HL25">
        <f t="shared" si="97"/>
        <v>1</v>
      </c>
      <c r="HM25" t="str">
        <f>IF(HL25=1,"XT"&amp;COUNTIFS(A$3:A25,A25,HL$3:HL25,1),"")</f>
        <v>XT20</v>
      </c>
      <c r="HN25" t="str">
        <f t="shared" si="98"/>
        <v>XT20</v>
      </c>
      <c r="HO25" t="str">
        <f t="shared" si="99"/>
        <v>QF20</v>
      </c>
      <c r="HP25" t="str">
        <f t="shared" si="100"/>
        <v/>
      </c>
      <c r="HQ25" t="str">
        <f t="shared" si="101"/>
        <v>ok</v>
      </c>
      <c r="HR25" t="str">
        <f>IF(OR(HJ25="",HH25=""),"",IF(HJ25+MAX(0,GY25-1)&gt;IFERROR(VLOOKUP(HI25,Модули_спр,3,FALSE),99),"ЛИШНИЙ КАНАЛ",IF(AND(AL25&lt;&gt;"=",GY25&gt;0,COUNTIFS(Линии[_модуль гр.],HH25,Линии[Канал (итог)],HJ25,Линии[Канал],"&lt;&gt;=",Линии[Щит],A25)&gt;1),"ДУБЛЬ КАНАЛА","")))</f>
        <v/>
      </c>
      <c r="HS25" s="6" t="str">
        <f t="shared" si="102"/>
        <v/>
      </c>
      <c r="HT25">
        <f t="shared" si="103"/>
        <v>10</v>
      </c>
      <c r="HU25" t="str">
        <f t="shared" si="104"/>
        <v/>
      </c>
      <c r="HV25">
        <f t="shared" si="105"/>
        <v>0</v>
      </c>
      <c r="HW25">
        <f t="shared" si="106"/>
        <v>0</v>
      </c>
      <c r="HX25">
        <f t="shared" si="107"/>
        <v>0</v>
      </c>
      <c r="HY25">
        <f t="shared" si="108"/>
        <v>0</v>
      </c>
      <c r="HZ25">
        <f t="shared" si="109"/>
        <v>0</v>
      </c>
      <c r="IA25">
        <f t="shared" si="110"/>
        <v>0</v>
      </c>
      <c r="IB25">
        <f t="shared" si="111"/>
        <v>0</v>
      </c>
      <c r="IC25" t="str">
        <f t="shared" si="112"/>
        <v/>
      </c>
      <c r="ID25" t="str" cm="1">
        <f t="array" ref="ID25">IF(IC25="","",_xlfn.LET(_xlpm.tk,_xlfn.TEXTSPLIT(SUBSTITUTE(SUBSTITUTE(IC25,";"," "),"→"," ")," ",,TRUE),_xlpm.w_,_xlfn._xlws.FILTER(_xlpm.tk,ISNUMBER(--LEFT(_xlpm.tk,1))*((ISNUMBER(SEARCH("W",_xlpm.tk))+ISNUMBER(SEARCH("Вт",_xlpm.tk)))&gt;0),""),IFERROR(--SUBSTITUTE(SUBSTITUTE(UPPER(INDEX(_xlpm.w_,1)),"W",""),"ВТ",""),"")))</f>
        <v/>
      </c>
      <c r="IE25" t="str" cm="1">
        <f t="array" ref="IE25">IF(IC25="","",_xlfn.LET(_xlpm.tk,_xlfn.TEXTSPLIT(SUBSTITUTE(SUBSTITUTE(IC25,";"," "),"→"," ")," ",,TRUE),_xlpm.v_,_xlfn._xlws.FILTER(_xlpm.tk,ISNUMBER(--LEFT(_xlpm.tk,1))*((ISNUMBER(SEARCH("V",_xlpm.tk))+(RIGHT(UPPER(_xlpm.tk))="В"))&gt;0),""),IFERROR(--SUBSTITUTE(SUBSTITUTE(UPPER(INDEX(_xlpm.v_,1)),"V",""),"В",""),"")))</f>
        <v/>
      </c>
      <c r="IF25" s="6" t="str">
        <f>IF(OR(BV25=0,HI25="",HJ25=""),"",IFERROR(N(_xlfn.XLOOKUP(HI25,Каталог!$C$4:$C$500,Каталог!$Q$4:$Q$500)),""))</f>
        <v/>
      </c>
      <c r="IG25" s="6" t="str">
        <f>IF(N(IF25)=0,"",SUMIFS(Линии[Iр, А],Линии[Щит],A25,Линии[_модуль гр.],HH25,Линии[Канал (итог)],HJ25))</f>
        <v/>
      </c>
      <c r="IH25" t="str">
        <f>IF(AND(B25="",HO25=""),"",_xlfn.TEXTJOIN("; ",TRUE,IF(AND(B25&lt;&gt;"",FV25=""),"нет фазы",""),IF(AND(B25&lt;&gt;"",N(GL25)=0,FG25&lt;&gt;"Нет"),"нет мощности",""),IF(AND(HN25&lt;&gt;"",COUNTIFS(Линии[Щит],A25,Линии[Клемма (итог)],HN25)&gt;1),"дубль клеммы "&amp;HN25,""),IF(AND(HQ25&lt;&gt;"",HQ25&lt;&gt;"ok"),HQ25,""),IF(HR25&lt;&gt;"",HR25,""),IF(AND(N(CB25)&gt;=4,N(BX25)=1),CB25&amp;" жил на 1 фазе",""),IF(AND(BC25="R",CG25=1,IF(CS25&lt;&gt;"",N(CV25)&gt;30,OR(N(DA25)=0,N(DA25)&gt;30))),"розетка без дифзащиты до 30 мА",""),IF(AND(CG25=1,N(DA25)&gt;0,ISNUMBER(T25)),IF(T25&gt;N(DA25)/3,"ток утечки "&amp;FIXED(T25,1)&amp;" мА &gt; 1/3 уставки ("&amp;DA25&amp;" мА)",""),""),IF(AND(CH25=1,CS25=""),"«узо»: нет строки с УЗО выше (УЗО 2P 40А 30мА в «Аппаратах»)",""),IF(AND(CS25&lt;&gt;"",CS25=BA25),IF(CT25="","впишите номинал УЗО (УЗО 2P 40А 30мА)",IF(N(CT25)&lt;N(DT25),"УЗО "&amp;CT25&amp;" А &lt; автомата "&amp;DT25&amp;" А перед ним",IF(N(CT25)&lt;N(CX25),"УЗО "&amp;CT25&amp;" А &lt; тока блока "&amp;FIXED(CX25,1)&amp;" А",""))),""),IF(AND(CS25&lt;&gt;"",CS25=BA25,ISNUMBER(CY25)),IF(CY25&gt;N(CV25)/3,"ток утечки блока УЗО "&amp;FIXED(CY25,1)&amp;" мА &gt; 1/3 уставки ("&amp;CV25&amp;" мА)",""),""),IF(AND(CG25=1,N(BV25)+N(IB25)&gt;0,IC25=""),"линии до 50 В без БП: впишите в «Аппараты» (БП 24V 480W)",""),IF(AND(CG25=1,ISNUMBER(ID25),ISNUMBER(U25)),IF(U25&gt;ID25,"БП "&amp;ID25&amp;" Вт &lt; нужно "&amp;U25&amp;" Вт (×"&amp;Запас_БП&amp;")",""),""),IF(AND(CG25=1,ISNUMBER(IE25),N(BV25)=1),IF(IE25&lt;&gt;N(BU25),"БП на "&amp;IE25&amp;" В, линия "&amp;BU25&amp;" В",""),""),IF(AND(N(IF25)&gt;0,N(IG25)&gt;N(IF25)),HH25&amp;" канал "&amp;HJ25&amp;": "&amp;FIXED(IG25,1)&amp;" А &gt; "&amp;IF25&amp;" А",""),IFERROR(IF(AND(ISNUMBER(Q25),Q25&gt;EL25),"потери "&amp;FIXED(Q25,1)&amp;" % &gt; "&amp;EL25&amp;" %",""),""),IFERROR(IF(LEFT(HU25,4)="мало","Iкз мало — отключение &gt; 0,4 с",""),""),IF(AND(B25&lt;&gt;"",BM25=""),"не на схеме",""),IF(AND(CG25=0,B25&lt;&gt;"",FV25&lt;&gt;"",IF(BA25=1,"",FW24)&lt;&gt;"",FV25&lt;&gt;IF(BA25=1,"",FW24)),"фаза не как у автомата группы ("&amp;IF(BA25=1,"",FW24)&amp;")","")))</f>
        <v>не на схеме</v>
      </c>
      <c r="II25" s="6" t="str">
        <f>IF(OR(CG25=0,DQ25=""),"",_xlfn.LET(_xlpm.t,IFERROR(_xlfn.XLOOKUP(DQ25,Каталог!$U$4:$U$500,Каталог!$G$4:$G$500),""),_xlpm.k,SEARCH("кА",_xlpm.t),IFERROR(--TRIM(RIGHT(SUBSTITUTE(MID(_xlpm.t,MAX(1,_xlpm.k-4),_xlpm.k-MAX(1,_xlpm.k-4))," ",REPT(" ",9)),5)),"")))</f>
        <v/>
      </c>
      <c r="IJ25" t="str">
        <f>IF(OR(II25="",CG25=0),"",IF(_xlfn.XLOOKUP(A25,Щиты[Щит],Щиты[Iкз max на шинах, кА],"")="","",IF(II25&lt;_xlfn.XLOOKUP(A25,Щиты[Щит],Щиты[Iкз max на шинах, кА]),"Icu "&amp;II25&amp;" кА &lt; Iкз max","ok")))</f>
        <v/>
      </c>
      <c r="IK25" t="str">
        <f t="shared" si="113"/>
        <v/>
      </c>
      <c r="IL25" t="str">
        <f t="shared" si="114"/>
        <v/>
      </c>
      <c r="IM25" t="str">
        <f t="shared" si="115"/>
        <v/>
      </c>
      <c r="IN25" t="str" cm="1">
        <f t="array" ref="IN25">IF(IM25="","",_xlfn.LET(_xlpm.nd,_xlfn.TEXTSPLIT(IM25,"|"),IF(COLUMNS(_xlpm.nd)&gt;1,A25&amp;"¦"&amp;INDEX(_xlpm.nd,1)&amp;"¦"&amp;INDEX(_xlpm.nd,2),"")))</f>
        <v/>
      </c>
      <c r="IO25" t="str">
        <f t="shared" si="116"/>
        <v/>
      </c>
      <c r="IP25" t="str" cm="1">
        <f t="array" ref="IP25">IF(IM25="","",_xlfn.LET(_xlpm.nd,_xlfn.TEXTSPLIT(IM25,"|"),IF(COLUMNS(_xlpm.nd)&gt;2,A25&amp;"¦"&amp;INDEX(_xlpm.nd,2)&amp;"¦"&amp;INDEX(_xlpm.nd,3),"")))</f>
        <v/>
      </c>
      <c r="IQ25" t="str">
        <f t="shared" si="117"/>
        <v/>
      </c>
      <c r="IR25" t="str" cm="1">
        <f t="array" ref="IR25">IF(IM25="","",_xlfn.LET(_xlpm.nd,_xlfn.TEXTSPLIT(IM25,"|"),IF(COLUMNS(_xlpm.nd)&gt;3,A25&amp;"¦"&amp;INDEX(_xlpm.nd,3)&amp;"¦"&amp;INDEX(_xlpm.nd,4),"")))</f>
        <v/>
      </c>
      <c r="IS25" t="str">
        <f t="shared" si="118"/>
        <v/>
      </c>
      <c r="IT25" t="str" cm="1">
        <f t="array" ref="IT25">IF(IM25="","",_xlfn.LET(_xlpm.nd,_xlfn.TEXTSPLIT(IM25,"|"),IF(COLUMNS(_xlpm.nd)&gt;4,A25&amp;"¦"&amp;INDEX(_xlpm.nd,4)&amp;"¦"&amp;INDEX(_xlpm.nd,5),"")))</f>
        <v/>
      </c>
      <c r="IU25" t="str">
        <f t="shared" si="119"/>
        <v/>
      </c>
      <c r="IV25" t="str" cm="1">
        <f t="array" ref="IV25">IF(IM25="","",_xlfn.LET(_xlpm.nd,_xlfn.TEXTSPLIT(IM25,"|"),IF(COLUMNS(_xlpm.nd)&gt;5,A25&amp;"¦"&amp;INDEX(_xlpm.nd,5)&amp;"¦"&amp;INDEX(_xlpm.nd,6),"")))</f>
        <v/>
      </c>
      <c r="IW25" t="str">
        <f t="shared" si="120"/>
        <v/>
      </c>
      <c r="IX25" t="str" cm="1">
        <f t="array" ref="IX25">IF(IM25="","",_xlfn.LET(_xlpm.nd,_xlfn.TEXTSPLIT(IM25,"|"),IF(COLUMNS(_xlpm.nd)&gt;6,A25&amp;"¦"&amp;INDEX(_xlpm.nd,6)&amp;"¦"&amp;INDEX(_xlpm.nd,7),"")))</f>
        <v/>
      </c>
      <c r="IY25" t="str">
        <f t="shared" si="121"/>
        <v/>
      </c>
      <c r="IZ25" t="str">
        <f t="shared" si="122"/>
        <v/>
      </c>
      <c r="JA25" t="str">
        <f t="shared" si="123"/>
        <v>QF20 → XT20</v>
      </c>
      <c r="JB25">
        <f t="shared" si="124"/>
        <v>0</v>
      </c>
      <c r="JC25">
        <f t="shared" si="125"/>
        <v>0</v>
      </c>
      <c r="JD25" t="str">
        <f t="shared" si="126"/>
        <v/>
      </c>
      <c r="JE25" t="str">
        <f t="shared" si="127"/>
        <v/>
      </c>
      <c r="JF25" t="str">
        <f t="shared" si="128"/>
        <v/>
      </c>
      <c r="JG25" t="str">
        <f t="shared" si="129"/>
        <v/>
      </c>
      <c r="JH25" t="str">
        <f>IF(B25="","",IFERROR(_xlfn.XLOOKUP(B25,Коды_код,Коды_уго),IFERROR(_xlfn.XLOOKUP(BC25,Коды_код,Коды_уго),IFERROR(_xlfn.XLOOKUP(LEFT(BC25,2),Коды_код,Коды_уго),""))))</f>
        <v/>
      </c>
      <c r="JI25" t="str">
        <f>IF(B25="","",IF(OR(JH25="",JH25=0),"BOX",IFERROR(IF(VLOOKUP(JH25,УГО_блоки,3,FALSE)&amp;""&lt;&gt;"",VLOOKUP(JH25,УГО_блоки,3,FALSE),VLOOKUP(JH25,УГО_блоки,2,FALSE)),JH25)))</f>
        <v>BOX</v>
      </c>
      <c r="JJ25">
        <f t="shared" si="130"/>
        <v>1</v>
      </c>
      <c r="JK25" t="str">
        <f>IF(DQ25="","",IF(COUNTIF(DQ$3:DQ25,DQ25)=1,MAX(JK$2:JK24)+1,""))</f>
        <v/>
      </c>
      <c r="JL25" t="str">
        <f>IF(DE25="","",IF(COUNTIF(DE$3:DE25,DE25)+COUNTIF(DF$2:DF24,DE25)+COUNTIF(DG$2:DG24,DE25)=1,MAX(JL$2:JN24)+1,""))</f>
        <v/>
      </c>
      <c r="JM25" t="str">
        <f>IF(DF25="","",IF(COUNTIF(DE$3:DE25,DF25)+COUNTIF(DF$3:DF25,DF25)+COUNTIF(DG$2:DG24,DF25)=1,MAX(JL$2:JN24,JL25)+1,""))</f>
        <v/>
      </c>
      <c r="JN25" t="str">
        <f>IF(DG25="","",IF(COUNTIF(DE$3:DE25,DG25)+COUNTIF(DF$3:DF25,DG25)+COUNTIF(DG$3:DG25,DG25)=1,MAX(JL$2:JN24,JL25,JM25)+1,""))</f>
        <v/>
      </c>
      <c r="JO25" t="str">
        <f t="shared" si="131"/>
        <v>5х1,5</v>
      </c>
      <c r="JP25">
        <f>IF(JO25="","",IF(COUNTIF(JO$3:JO25,JO25)=1,MAX(JP$2:JP24)+1,""))</f>
        <v>10</v>
      </c>
      <c r="JQ25" t="str">
        <f>IF(HG25="","",COUNTIF(HG$3:HG25,"?*"))</f>
        <v/>
      </c>
      <c r="JR25" t="str">
        <f>IF(OR(HG25="",HI25=""),"",IF(COUNTIFS(HG$3:HG25,"?*",HI$3:HI25,HI25)=1,MAX(JR$2:JR24)+1,""))</f>
        <v/>
      </c>
      <c r="JS25">
        <f t="shared" si="132"/>
        <v>1</v>
      </c>
      <c r="JT25">
        <f>IF(B25="","",COUNTIF(B$3:B25,"?*"))</f>
        <v>23</v>
      </c>
      <c r="JU25">
        <f>IF(HL25&lt;&gt;1,0,_xlfn.LET(_xlpm.k,MAX(IFERROR(--_xlfn.XLOOKUP(B25,Коды_код,Коды_3L),0),IFERROR(--_xlfn.XLOOKUP(BC25,Коды_код,Коды_3L),0),IFERROR(--_xlfn.XLOOKUP(LEFT(BC25,2),Коды_код,Коды_3L),0)),IF(_xlpm.k&gt;0,_xlpm.k,IF(IFERROR(--LEFT(SUBSTITUTE(JO25,"x","х"),FIND("х",SUBSTITUTE(JO25,"x","х"))-1),3)&gt;3,Каталог!$S$9,1))))</f>
        <v>1</v>
      </c>
      <c r="JV25">
        <f t="shared" si="133"/>
        <v>2</v>
      </c>
      <c r="JW25" t="str">
        <f t="shared" si="134"/>
        <v>авто</v>
      </c>
      <c r="JX25" t="str">
        <f t="shared" si="135"/>
        <v/>
      </c>
      <c r="JY25">
        <f t="shared" si="136"/>
        <v>0</v>
      </c>
      <c r="JZ25">
        <f t="shared" si="137"/>
        <v>1</v>
      </c>
    </row>
    <row r="26" spans="1:286" x14ac:dyDescent="0.3">
      <c r="A26" t="s">
        <v>782</v>
      </c>
      <c r="B26" t="s">
        <v>741</v>
      </c>
      <c r="C26" t="str">
        <f>Линии[[#This Row],[_авто наименование]]</f>
        <v>Вводной кабель шлейф 1</v>
      </c>
      <c r="D26">
        <v>1</v>
      </c>
      <c r="E26">
        <f>Линии[[#This Row],[_авто Р]]</f>
        <v>1.9000000000000006</v>
      </c>
      <c r="G26">
        <v>40</v>
      </c>
      <c r="H26" t="str">
        <f>Линии[[#This Row],[_авто управление]]</f>
        <v/>
      </c>
      <c r="I26" t="str">
        <f>Линии[[#This Row],[_авто аппараты]]</f>
        <v/>
      </c>
      <c r="J26">
        <v>10</v>
      </c>
      <c r="K26">
        <v>51</v>
      </c>
      <c r="L26" t="str">
        <f>Линии[[#This Row],[_авто фаза]]</f>
        <v>L1,L2,L3</v>
      </c>
      <c r="M26" t="str">
        <f>Линии[[#This Row],[_авто клемма]]</f>
        <v/>
      </c>
      <c r="N26" t="str">
        <f t="shared" si="0"/>
        <v/>
      </c>
      <c r="O26" s="6" cm="1">
        <f t="array" ref="O26">IF(B26="","",IF(BH26&lt;&gt;"",IFERROR(_xlfn.XLOOKUP(BH26,Щиты[Щит],Щиты[Iр, А]),""),IF(BP26=1,IF(OR(N(_xlfn.XLOOKUP(A26,Щиты[Щит],Щиты[Вводов],1))&lt;=1,LOWER(TRIM(_xlfn.XLOOKUP(A26,Щиты[Щит],Щиты[АВР],"")&amp;""))="да"),IFERROR(_xlfn.XLOOKUP(A26,Щиты[Щит],Щиты[Iр, А]),""),IFERROR(N(BS26)*_xlfn.XLOOKUP(A26,Щиты[Щит],Щиты[Кс итог])/(SQRT(3)*Uн_лин*_xlfn.XLOOKUP(A26,Щиты[Щит],Щиты[cos φ])),"")),IF(BV26=1,IFERROR(BS26*1000/BU26,""),IFERROR(_xlfn.IFS(BX26=1,BS26/((Uн_лин/SQRT(3))*CE26),BX26=3,BS26/(SQRT(3)*Uн_лин*CE26)),"")))))</f>
        <v>2.3094010767585051</v>
      </c>
      <c r="P26" s="7">
        <f>IF(B26="","",IFERROR(IF(VLOOKUP(BC26,Потребители_обозначение,4,FALSE)=1,VLOOKUP(BC26,Потребители_обозначение,3,FALSE)*(MAX(1,N(D26))*2-1)+EI26+VLOOKUP(BE26,Этаж_обозначение,3,FALSE)+VLOOKUP(BE26,Этаж_обозначение,4,FALSE),VLOOKUP(BC26,Потребители_обозначение,3,FALSE)*(MAX(1,N(D26))*2-1)+EI26),EI26))</f>
        <v>51</v>
      </c>
      <c r="Q26" s="6">
        <f t="shared" si="1"/>
        <v>0.12</v>
      </c>
      <c r="R26" t="str">
        <f t="shared" si="2"/>
        <v>ВВГнг(А)-LS (5х10)</v>
      </c>
      <c r="S26" t="str">
        <f>IF(BM26="","",IF(BN26="вводной узел","узел ","")&amp;"л."&amp;(INT((BM26-1)/Столбцов_на_лист)+1)&amp;" / "&amp;(MOD(BM26-1,Столбцов_на_лист)+1))</f>
        <v>узел л.1 / 2</v>
      </c>
      <c r="T26" s="119" t="str">
        <f t="shared" si="3"/>
        <v/>
      </c>
      <c r="U26" s="7" t="str">
        <f>IF(OR(CG26=0,N(BV26)+N(IB26)=0),"",ROUNDUP(Запас_БП*(N(HY26)+N(HZ26)),0))</f>
        <v/>
      </c>
      <c r="V26" s="119" t="str">
        <f t="shared" si="4"/>
        <v/>
      </c>
      <c r="W26" s="7" t="str">
        <f>IFERROR(IF(OR(B26="",BP26=1,BV26=1,NOT(ISNUMBER(EN26)),N(DT26)=0),"",MAX(0,ROUNDDOWN((c_min*(Uн_лин*1000/SQRT(3))/(HT26*N(DT26))-_xlfn.XLOOKUP(A26,Щиты[Щит],Щиты[Zпетли на шинах, Ом]))*EN26/(2*ρкз_Cu),0))),"")</f>
        <v/>
      </c>
      <c r="Y26" t="str">
        <f>Линии[[#This Row],[_авто утечка]]</f>
        <v/>
      </c>
      <c r="Z26">
        <v>3</v>
      </c>
      <c r="AA26">
        <v>400</v>
      </c>
      <c r="AB26" t="s">
        <v>547</v>
      </c>
      <c r="AJ26" t="s">
        <v>1344</v>
      </c>
      <c r="AK26" t="str">
        <f>Линии[[#This Row],[_авто модуль]]</f>
        <v/>
      </c>
      <c r="AM26">
        <v>2</v>
      </c>
      <c r="AN26" t="s">
        <v>11</v>
      </c>
      <c r="AO26">
        <v>5</v>
      </c>
      <c r="AQ26">
        <v>34</v>
      </c>
      <c r="AR26">
        <v>12</v>
      </c>
      <c r="AT26">
        <v>1</v>
      </c>
      <c r="BA26" cm="1">
        <f t="array" ref="BA26">ROW()-ROW(Линии[#Headers])</f>
        <v>24</v>
      </c>
      <c r="BC26" s="6" t="str">
        <f t="shared" si="5"/>
        <v>Ввод</v>
      </c>
      <c r="BD26" t="str">
        <f t="shared" si="6"/>
        <v>1</v>
      </c>
      <c r="BE26" t="str">
        <f t="shared" si="7"/>
        <v>1</v>
      </c>
      <c r="BF26" t="str">
        <f t="shared" si="8"/>
        <v/>
      </c>
      <c r="BG26" t="str">
        <f t="shared" si="9"/>
        <v/>
      </c>
      <c r="BH26" t="str">
        <f>IF(X26&lt;&gt;"",X26,IF(AND(B26&lt;&gt;"",B26&lt;&gt;A26,ISNUMBER(_xlfn.XMATCH(B26,Щиты[Щит]))),B26,""))</f>
        <v/>
      </c>
      <c r="BI26" t="str" cm="1">
        <f t="array" ref="BI26">IF(B26="","",IF(BH26&lt;&gt;"","Щит "&amp;BH26,_xlfn.LET(_xlpm.nm,IFERROR(_xlfn.XLOOKUP(BC26,Коды_код,Коды_имя)&amp;"",""),_xlpm.md,IFERROR(N(_xlfn.XLOOKUP(BC26,Коды_код,Коды_режим)),1),_xlpm.ex,IF(Имя_режим="по экспликации",IFERROR(_xlfn.XLOOKUP(BE26&amp;"|"&amp;BG26,Экспликация[Этаж]&amp;"|"&amp;Экспликация[Помещение],Экспликация[Название])&amp;"",""),""),_xlpm.rm,IF(BG26="","",IF(_xlpm.ex&lt;&gt;"",". "&amp;_xlpm.ex&amp;IF(Имя_пом="нет"," ("&amp;BG26&amp;")"," (пом. "&amp;BG26&amp;")"),IF(Имя_пом="нет"," ",", пом. ")&amp;BG26)),IF(_xlpm.nm="","",IF(_xlpm.md=2,_xlpm.nm&amp;" шлейф "&amp;BE26,_xlpm.nm&amp;_xlpm.rm)))))</f>
        <v>Вводной кабель шлейф 1</v>
      </c>
      <c r="BJ26" t="str">
        <f t="shared" si="10"/>
        <v>Вводной кабель шлейф 1</v>
      </c>
      <c r="BK26">
        <f>IFERROR(_xlfn.XMATCH(A26,Щиты[Щит]),0)</f>
        <v>2</v>
      </c>
      <c r="BL26">
        <f>_xlfn.LET(_xlpm.k,IFERROR(_xlfn.XLOOKUP(A26,Щиты[Щит],Щиты[Мест под вводной узел]),""),IF(_xlpm.k="",Столбцов_на_лист,N(_xlpm.k)))</f>
        <v>13</v>
      </c>
      <c r="BM26">
        <f t="shared" si="11"/>
        <v>2</v>
      </c>
      <c r="BN26" t="str">
        <f t="shared" si="12"/>
        <v>вводной узел</v>
      </c>
      <c r="BO26" s="6">
        <f>IFERROR(N(_xlfn.XLOOKUP(BC26,Коды_код,Коды_квт)),0)</f>
        <v>0</v>
      </c>
      <c r="BP26">
        <f t="shared" si="13"/>
        <v>1</v>
      </c>
      <c r="BQ26">
        <f>IF(B26="","",IF(BH26&lt;&gt;"",IFERROR(_xlfn.XLOOKUP(BH26,Щиты[Щит],Щиты[Руст, кВт]),0),IF(BP26=1,IF(OR(N(_xlfn.XLOOKUP(A26,Щиты[Щит],Щиты[Вводов],1))&lt;=1,LOWER(TRIM(_xlfn.XLOOKUP(A26,Щиты[Щит],Щиты[АВР],"")&amp;""))="да"),IFERROR(_xlfn.XLOOKUP(A26,Щиты[Щит],Щиты[Руст, кВт]),0),SUMIFS(Линии[_Р для вводов],Линии[Щит],A26,Линии[Источник для режимов],GF26)),IF(BO26&gt;0,ROUND(BO26*MAX(1,N(D26)),3),""))))</f>
        <v>1.9000000000000006</v>
      </c>
      <c r="BR26">
        <f t="shared" si="14"/>
        <v>1.9000000000000006</v>
      </c>
      <c r="BS26" s="6">
        <f>IF(B26="","",IF(BH26&lt;&gt;"",IFERROR(_xlfn.XLOOKUP(BH26,Щиты[Щит],Щиты[Руст, кВт]),0),N(BR26)))</f>
        <v>1.9000000000000006</v>
      </c>
      <c r="BT26" t="str">
        <f>IF(B26="","",IFERROR(IF(VLOOKUP(BC26,Потребители_обозначение,8,FALSE)=0,"",VLOOKUP(BC26,Потребители_обозначение,8,FALSE)),""))</f>
        <v/>
      </c>
      <c r="BU26">
        <f t="shared" si="15"/>
        <v>400</v>
      </c>
      <c r="BV26">
        <f t="shared" si="16"/>
        <v>0</v>
      </c>
      <c r="BW26">
        <f>IF(B26="","",IF(BH26&lt;&gt;"",3,IFERROR(IF(N(VLOOKUP(BC26,Потребители_обозначение,9,FALSE))=0,1,VLOOKUP(BC26,Потребители_обозначение,9,FALSE)),1)))</f>
        <v>1</v>
      </c>
      <c r="BX26">
        <f t="shared" si="17"/>
        <v>3</v>
      </c>
      <c r="BY26" t="str">
        <f>IF(B26="","",_xlfn.LET(_xlpm.bc,IFERROR(IF(VLOOKUP(BC26,Потребители_обозначение,6,FALSE)=0,"",VLOOKUP(BC26,Потребители_обозначение,6,FALSE)&amp;""),""),IF(AND(GA26="да",OR(_xlpm.bc="",_xlpm.bc="мс")),Марка_пож,IF(AND(_xlpm.bc="",BH26&lt;&gt;""),"мс",_xlpm.bc))))</f>
        <v/>
      </c>
      <c r="BZ26" t="str">
        <f t="shared" si="18"/>
        <v>мс</v>
      </c>
      <c r="CA26">
        <f>IF(B26="","",_xlfn.LET(_xlpm.cc,IFERROR(N(VLOOKUP(BC26,Потребители_обозначение,7,FALSE)),0),IF(_xlpm.cc&gt;0,_xlpm.cc,IF(BZ26="","",IF(BV26=1,2,IF(N(BX26)=3,5,3))))))</f>
        <v>5</v>
      </c>
      <c r="CB26">
        <f t="shared" si="19"/>
        <v>5</v>
      </c>
      <c r="CC26">
        <f>IFERROR(N(VLOOKUP(BC26,Потребители_обозначение,10,FALSE)),0)</f>
        <v>0</v>
      </c>
      <c r="CD26">
        <f>IFERROR(VLOOKUP(BC26,Потребители_обозначение,5,FALSE),0)</f>
        <v>1</v>
      </c>
      <c r="CE26" s="6" cm="1">
        <f t="array" ref="CE26">IF(B26="","",IF(BH26&lt;&gt;"",IFERROR(_xlfn.XLOOKUP(BH26,Щиты[Щит],Щиты[cos φ]),0.95),IF(BP26=1,IFERROR(_xlfn.XLOOKUP(A26,Щиты[Щит],Щиты[cos φ]),0.95),IF(ISNUMBER(AD26),AD26,IFERROR(IF(CD26=2,_xlfn.IFS(BX26=3,VLOOKUP(BS26,Справочная_двигатели,8,FALSE),BX26=1,VLOOKUP(BS26,Справочная_двигатели,10,TRUE)),IF(AND(Методика="нормы 2026",FG26="Сил"),0.8,0.95)),0.95)))))</f>
        <v>0.94999999999999951</v>
      </c>
      <c r="CF26">
        <f t="shared" si="20"/>
        <v>0</v>
      </c>
      <c r="CG26">
        <f t="shared" si="21"/>
        <v>1</v>
      </c>
      <c r="CH26">
        <f t="shared" si="22"/>
        <v>0</v>
      </c>
      <c r="CI26">
        <f>IF(B26="","",IF(BV26=1,IFERROR(BS26/((Uн_лин/SQRT(3))*MAX(0.5,N(CE26))),0),N(O26)))</f>
        <v>2.3094010767585051</v>
      </c>
      <c r="CJ26">
        <f t="shared" si="23"/>
        <v>0</v>
      </c>
      <c r="CK26">
        <f t="shared" si="24"/>
        <v>0</v>
      </c>
      <c r="CL26">
        <f t="shared" si="25"/>
        <v>0</v>
      </c>
      <c r="CM26">
        <f t="shared" si="26"/>
        <v>0</v>
      </c>
      <c r="CN26">
        <f t="shared" si="27"/>
        <v>0</v>
      </c>
      <c r="CO26">
        <f>IF(BC26="",0,_xlfn.LET(_xlpm.v,IFERROR(_xlfn.XLOOKUP(B26,Коды_код,Коды_мА),IFERROR(_xlfn.XLOOKUP(BC26,Коды_код,Коды_мА),IFERROR(_xlfn.XLOOKUP(LEFT(BC26,2),Коды_код,Коды_мА),""))),IF(_xlpm.v="да",30,IF(ISNUMBER(_xlpm.v),_xlpm.v,0))))</f>
        <v>0</v>
      </c>
      <c r="CP26" t="str">
        <f t="shared" si="28"/>
        <v/>
      </c>
      <c r="CQ26" t="str">
        <f>_xlfn.LET(_xlpm.k,IFERROR(_xlfn.XLOOKUP(BC26,Коды_код,Коды_утечка)&amp;"",""),IF(_xlpm.k="","дифавтомат",_xlpm.k))</f>
        <v>дифавтомат</v>
      </c>
      <c r="CR26" t="str" cm="1">
        <f t="array" ref="CR26">IF(CG26=0,"",_xlfn.LET(_xlpm.sg,TRIM(_xlfn.TEXTSPLIT(DD26&amp;"",";")),_xlpm.f_,_xlfn._xlws.FILTER(_xlpm.sg,LEFT(_xlpm.sg,3)="УЗО",""),IFERROR(INDEX(_xlpm.f_,1)&amp;"","")))</f>
        <v/>
      </c>
      <c r="CS26" t="str">
        <f t="shared" si="29"/>
        <v/>
      </c>
      <c r="CT26" s="6" t="str" cm="1">
        <f t="array" ref="CT26">IF(CR26="","",_xlfn.LET(_xlpm.tk,_xlfn.TEXTSPLIT(UPPER(CR26)," ",,TRUE),_xlpm.a_,_xlfn._xlws.FILTER(_xlpm.tk,ISNUMBER(--LEFT(_xlpm.tk,1))*((ISNUMBER(SEARCH("А",_xlpm.tk))+ISNUMBER(SEARCH("A",_xlpm.tk)))&gt;0)*NOT(ISNUMBER(SEARCH("МА",_xlpm.tk)))*NOT(ISNUMBER(SEARCH("MA",_xlpm.tk))),""),IFERROR(--SUBSTITUTE(SUBSTITUTE(INDEX(_xlpm.a_,1),"А",""),"A",""),"")))</f>
        <v/>
      </c>
      <c r="CU26" t="str" cm="1">
        <f t="array" ref="CU26">IF(CR26="","",_xlfn.LET(_xlpm.tk,_xlfn.TEXTSPLIT(UPPER(CR26)," ",,TRUE),_xlpm.a_,_xlfn._xlws.FILTER(_xlpm.tk,ISNUMBER(--LEFT(_xlpm.tk,1))*((ISNUMBER(SEARCH("МА",_xlpm.tk))+ISNUMBER(SEARCH("MA",_xlpm.tk)))&gt;0),""),IFERROR(--SUBSTITUTE(SUBSTITUTE(INDEX(_xlpm.a_,1),"МА",""),"MA",""),30)))</f>
        <v/>
      </c>
      <c r="CV26" t="str">
        <f>IF(CS26="","",IFERROR(_xlfn.XLOOKUP(CS26,Линии[_n],Линии[_УЗО, мА]),30))</f>
        <v/>
      </c>
      <c r="CW26">
        <f>IF(CS26="",0,IF(ISNUMBER(SEARCH("4P",IFERROR(_xlfn.XLOOKUP(CS26,Линии[_n],Линии[_УЗО строки])&amp;"",""))),0,1))</f>
        <v>0</v>
      </c>
      <c r="CX26" t="str">
        <f>IF(AND(CS26&lt;&gt;"",CS26=BA26),SUMIFS(Линии[_ток на 230 В],Линии[_блок УЗО],BA26,Линии[Щит],A26),"")</f>
        <v/>
      </c>
      <c r="CY26" t="str">
        <f>IF(AND(CS26&lt;&gt;"",CS26=BA26),SUMIFS(Линии[_ток утечки линии, мА],Линии[_блок УЗО],BA26,Линии[Щит],A26),"")</f>
        <v/>
      </c>
      <c r="CZ26">
        <f t="shared" si="30"/>
        <v>0</v>
      </c>
      <c r="DA26">
        <f t="shared" si="31"/>
        <v>0</v>
      </c>
      <c r="DB26">
        <f>IF(B26="",0,IFERROR(--_xlfn.XLOOKUP(B26,Коды_код,Коды_минавт),IFERROR(--_xlfn.XLOOKUP(BC26,Коды_код,Коды_минавт),IFERROR(--_xlfn.XLOOKUP(LEFT(BC26,2),Коды_код,Коды_минавт),0))))</f>
        <v>0</v>
      </c>
      <c r="DC26" t="str">
        <f>IF(B26="","",IFERROR(_xlfn.XLOOKUP(BC26,Коды_код,Коды_апп)&amp;"",""))</f>
        <v/>
      </c>
      <c r="DD26" t="str">
        <f t="shared" si="32"/>
        <v/>
      </c>
      <c r="DE26" t="str" cm="1">
        <f t="array" ref="DE26">IF(TRIM(DD26&amp;"")="","",IFERROR(TRIM(INDEX(_xlfn.TEXTSPLIT(DD26&amp;";;;",";"),1)),""))</f>
        <v/>
      </c>
      <c r="DF26" t="str" cm="1">
        <f t="array" ref="DF26">IF(TRIM(DD26&amp;"")="","",IFERROR(TRIM(INDEX(_xlfn.TEXTSPLIT(DD26&amp;";;;",";"),2)),""))</f>
        <v/>
      </c>
      <c r="DG26" t="str" cm="1">
        <f t="array" ref="DG26">IF(TRIM(DD26&amp;"")="","",IFERROR(TRIM(INDEX(_xlfn.TEXTSPLIT(DD26&amp;";;;",";"),3)),""))</f>
        <v/>
      </c>
      <c r="DH26">
        <f t="shared" si="33"/>
        <v>0</v>
      </c>
      <c r="DI26" t="str">
        <f>IF(B26="","",_xlfn.LET(_xlpm.t,LOWER(AZ26&amp;""),IF(ISNUMBER(SEARCH("dim",_xlpm.t)),"DIM",IF(ISNUMBER(SEARCH("dali",_xlpm.t)),"DALI",IF(OR(ISNUMBER(SEARCH("relay",_xlpm.t)),ISNUMBER(SEARCH("реле",_xlpm.t))),"Relay",IF(ISNUMBER(SEARCH("кнопк",_xlpm.t)),"",IFERROR(_xlfn.XLOOKUP(BC26,Коды_код,Коды_упр)&amp;"","")))))))</f>
        <v/>
      </c>
      <c r="DJ26" t="str">
        <f t="shared" si="34"/>
        <v/>
      </c>
      <c r="DK26">
        <f>IF(B26="","",_xlfn.LET(_xlpm.ig,IF(N(CX26)&gt;0,N(CX26),N(CI26)+IF(AJ26="вручную",0,N(CJ26))),_xlpm.n0,IFERROR(VLOOKUP(_xlpm.ig,Автомат_номиналы,2,TRUE),0),_xlpm.mn,MAX(DB26,IF(AJ26="вручную",0,N(CM26))),MAX(_xlpm.n0,_xlpm.mn,IF(DH26=1,Мин_автомат_БП,0))))</f>
        <v>6</v>
      </c>
      <c r="DL26">
        <f t="shared" si="35"/>
        <v>3</v>
      </c>
      <c r="DM26" t="str">
        <f t="shared" si="36"/>
        <v>3P</v>
      </c>
      <c r="DN26" t="str">
        <f>_xlfn.LET(_xlpm.cc,UPPER(TRIM(IFERROR(_xlfn.XLOOKUP(BC26,Коды_код,Коды_хар)&amp;"",""))),IF(OR(_xlpm.cc="B",_xlpm.cc="В"),"B",IF(_xlpm.cc="D","D","С")))</f>
        <v>С</v>
      </c>
      <c r="DO26" t="str">
        <f t="shared" si="37"/>
        <v>3P С6А</v>
      </c>
      <c r="DP26">
        <f t="shared" si="38"/>
        <v>40</v>
      </c>
      <c r="DQ26" t="str">
        <f t="shared" si="39"/>
        <v>3P С40А</v>
      </c>
      <c r="DR26" cm="1">
        <f t="array" ref="DR26">IF(DQ26="","",_xlfn.LET(_xlpm.t,SUBSTITUTE(SUBSTITUTE(SUBSTITUTE(UPPER(DQ26),"С","C"),"А","A"),"В","B"),_xlpm.tk,_xlfn.TEXTSPLIT(_xlpm.t," "),_xlpm.f,_xlfn._xlws.FILTER(_xlpm.tk,ISNUMBER(--MID(_xlpm.tk,2,1))*ISNUMBER(SEARCH(LEFT(_xlpm.tk,1)&amp;"#","B#C#D#"))*(LEN(_xlpm.tk)&gt;1),""),_xlpm.x,INDEX(_xlpm.f,1),IFERROR(--SUBSTITUTE(MID(_xlpm.x,2,9),"A",""),IFERROR(--SUBSTITUTE(INDEX(_xlfn._xlws.FILTER(_xlpm.tk,ISNUMBER(--SUBSTITUTE(_xlpm.tk,"A","")),""),1),"A",""),""))))</f>
        <v>40</v>
      </c>
      <c r="DS26" t="str">
        <f t="shared" si="40"/>
        <v>узел</v>
      </c>
      <c r="DT26">
        <f t="shared" si="41"/>
        <v>40</v>
      </c>
      <c r="DU26" t="str">
        <f t="shared" si="42"/>
        <v>3P С40А</v>
      </c>
      <c r="DV26">
        <f t="shared" si="43"/>
        <v>0</v>
      </c>
      <c r="DW26">
        <f t="shared" si="44"/>
        <v>0</v>
      </c>
      <c r="DX26">
        <f t="shared" si="45"/>
        <v>0</v>
      </c>
      <c r="DY26">
        <f t="shared" si="46"/>
        <v>2.3094010767585051</v>
      </c>
      <c r="DZ26">
        <f t="shared" si="47"/>
        <v>0.92</v>
      </c>
      <c r="EA26">
        <f>IF(ISNUMBER(AP26),AP26,К_прокл)</f>
        <v>1</v>
      </c>
      <c r="EB26">
        <f t="shared" si="48"/>
        <v>3</v>
      </c>
      <c r="EC26">
        <f>IFERROR(N(VLOOKUP(BZ26,Кабель_обозначение,3,FALSE)),1)</f>
        <v>1</v>
      </c>
      <c r="ED26">
        <f>IFERROR(N(_xlfn.XLOOKUP(A26,Щиты[Щит],Щиты[ΔU до шин, %])),0)</f>
        <v>0</v>
      </c>
      <c r="EE26" t="str">
        <f>IFERROR(_xlfn.XLOOKUP(A26,Щиты[Щит],Щиты[Zпетли на шинах, Ом]),"")</f>
        <v/>
      </c>
      <c r="EF26">
        <f>IFERROR(N(_xlfn.XLOOKUP(A26,Щиты[Щит],Щиты[ΔU до шин (подбор), %])),0)</f>
        <v>0</v>
      </c>
      <c r="EG26" t="str">
        <f>IFERROR(_xlfn.XLOOKUP(A26,Щиты[Щит],Щиты[Zпетли на шинах (подбор), Ом]),"")</f>
        <v/>
      </c>
      <c r="EH26" t="str">
        <f t="shared" si="49"/>
        <v/>
      </c>
      <c r="EI26">
        <f t="shared" si="50"/>
        <v>51</v>
      </c>
      <c r="EJ26">
        <f t="shared" si="51"/>
        <v>1</v>
      </c>
      <c r="EK26">
        <f t="shared" si="52"/>
        <v>0.31</v>
      </c>
      <c r="EL26" s="6">
        <f>IF(B26="","",IF(BV26=1,dU_LED,IF(IFERROR(_xlfn.XLOOKUP(BC26,Коды_код,Коды_уго),"")="Светильник",3,4)+IF(Методика="нормы 2026",MIN(0.5,MAX(0,N(P26)-100)*0.005),0)))</f>
        <v>4</v>
      </c>
      <c r="EM26" cm="1">
        <f t="array" ref="EM26">IF(OR(B26="",BZ26="",EC26&lt;&gt;1),"",_xlfn.LET(_xlpm.sz,Iдоп_S,_xlpm.t_,CHOOSE(EB26,Iдоп_1ж,Iдоп_2ж,Iдоп_3ж)*DZ26*EA26,_xlpm.dcx,BV26=1,_xlpm.inn,IF(_xlpm.dcx,N(O26),N(DT26)),_xlpm.smin,MAX(1.5,CC26),_xlpm.L_,N(P26)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26)/N(BU26)*100,999),IFERROR(N(EJ26)*(_xlpm.rho*_xlpm.L_/_xlpm.sz*N(CE26)+_xlpm.xx*_xlpm.L_*N(EK26)/1000)*N(O26)/((Uн_лин/SQRT(3))*1000)*100,999)),_xlpm.kz,IF(OR(_xlpm.dcx,DW26=1,NOT(ISNUMBER(EG26)),_xlpm.L_=0,_xlpm.inn=0),1,IFERROR(--(c_min*(Uн_лин*1000/SQRT(3))/(EG26+2*ρкз_Cu*_xlpm.L_/_xlpm.sz)&gt;=HT26*_xlpm.inn),0)),_xlpm.ok,IFERROR((_xlpm.sz&gt;=_xlpm.smin)*(_xlpm.t_&gt;=_xlpm.inn)*IF(_xlpm.L_&gt;0,(_xlpm.du_+IF(_xlpm.dcx,0,EF26)&lt;=EL26+0.00001),1)*_xlpm.kz,0),_xlpm.r_,_xlfn._xlws.FILTER(_xlpm.sz,_xlpm.ok,"не подобрано"),INDEX(_xlpm.r_,1)))</f>
        <v>10</v>
      </c>
      <c r="EN26">
        <f t="shared" si="53"/>
        <v>10</v>
      </c>
      <c r="EO26" cm="1">
        <f t="array" ref="EO26">IF(OR(B26="",BZ26="",EC26&lt;&gt;1),"",_xlfn.LET(_xlpm.sz,Iдоп_S,_xlpm.t_,CHOOSE(EB26,Iдоп_1ж,Iдоп_2ж,Iдоп_3ж)*DZ26*EA26,_xlpm.ok,IFERROR((_xlpm.sz&gt;=MAX(1.5,CC26))*(_xlpm.t_&gt;=N(DT26)),0),_xlpm.r_,_xlfn._xlws.FILTER(_xlpm.sz,_xlpm.ok,""),INDEX(_xlpm.r_,1)))</f>
        <v>10</v>
      </c>
      <c r="EP26" s="6" cm="1">
        <f t="array" ref="EP26">IFERROR(ROUNDUP(N(EJ26)*(_xlfn.XLOOKUP(EO26,INDEX(Кабель_сопротивление,0,1),INDEX(Кабель_сопротивление,0,3))*N(P26)/EO26*N(CE26)+_xlfn.XLOOKUP(EO26,INDEX(Кабель_сопротивление,0,1),INDEX(Кабель_сопротивление,0,2))*N(P26)*N(EK26)/1000)*N(O26)/((Uн_лин/SQRT(3))*1000)*100,2),"")</f>
        <v>0.12</v>
      </c>
      <c r="EQ26">
        <f>IFERROR(2*ρкз_Cu*N(P26)/EO26,"")</f>
        <v>0.26826</v>
      </c>
      <c r="ER26">
        <f>IFERROR(VLOOKUP(EN26,Кабель_сопротивление,3,FALSE),"")</f>
        <v>2.2499999999999999E-2</v>
      </c>
      <c r="ES26">
        <f>IFERROR(VLOOKUP(EN26,Кабель_сопротивление,2,FALSE),"")</f>
        <v>7.2999999999999995E-2</v>
      </c>
      <c r="ET26">
        <f t="shared" si="54"/>
        <v>12</v>
      </c>
      <c r="EU26">
        <f t="shared" si="55"/>
        <v>0</v>
      </c>
      <c r="EV26">
        <f t="shared" si="56"/>
        <v>0.25441893394485565</v>
      </c>
      <c r="EW26" s="6">
        <f>IFERROR(ROUNDUP(EV26/IF(BV26=1,BU26,(Uн_лин/SQRT(3))*1000)*100,2),"")</f>
        <v>0.12</v>
      </c>
      <c r="EX26" t="str">
        <f>IFERROR(VLOOKUP(BZ26,Кабель_обозначение,2,FALSE),"")</f>
        <v>ВВГнг(А)-LS</v>
      </c>
      <c r="EY26" t="str">
        <f t="shared" si="57"/>
        <v>ВВГнг(А)-LS (5х10)</v>
      </c>
      <c r="EZ26" t="str">
        <f t="shared" si="58"/>
        <v>ВВГнг(А)-LS (5х10)
L=51-0,12%</v>
      </c>
      <c r="FA26">
        <f>IFERROR(2*ρкз_Cu*P26/EN26,"")</f>
        <v>0.26826</v>
      </c>
      <c r="FB26">
        <f t="shared" si="59"/>
        <v>8.925000000000001E-2</v>
      </c>
      <c r="FC26" s="6" t="str">
        <f>IFERROR(IF(OR(B26="",BV26=1,NOT(ISNUMBER(EN26)),N(P26)=0),"",_xlfn.XLOOKUP(A26,Щиты[Щит],Щиты[Zпетли на шинах, Ом])+FA26),"")</f>
        <v/>
      </c>
      <c r="FD26" s="6" t="str">
        <f>IF(ISNUMBER(FC26),c_min*(Uн_лин*1000/SQRT(3))/FC26,"")</f>
        <v/>
      </c>
      <c r="FE26" s="6" t="str">
        <f>IFERROR(IF(OR(B26="",NOT(ISNUMBER(EN26))),"",1.05*(Uн_лин*1000/SQRT(3))/(_xlfn.XLOOKUP(A26,Щиты[Щит],Щиты[Zmax на шинах, Ом])+FB26)/1000),"")</f>
        <v/>
      </c>
      <c r="FF26" s="6" t="str">
        <f>IF(B26="","",IF(ISNUMBER(AC26),"Сил",IF(IFERROR(_xlfn.XLOOKUP(BC26,Коды_код,Коды_группа)&amp;"","")="","Быт",_xlfn.XLOOKUP(BC26,Коды_код,Коды_группа)&amp;"")))</f>
        <v>Быт</v>
      </c>
      <c r="FG26" s="6" t="str">
        <f t="shared" si="60"/>
        <v>Нет</v>
      </c>
      <c r="FH26" s="6">
        <f>IF(FG26="Щит","щит",IF(FG26="","",IF(FG26="Быт",IFERROR(_xlfn.XLOOKUP(A26,Щиты[Щит],Щиты[Кс быт]),1),IF(FG26="Сил",IF(ISNUMBER(AC26),AC26,IF(Методика="нормы 2026",IFERROR(_xlfn.XLOOKUP(A26,Щиты[Щит],Щиты[Кс силовых (табл. 7.5)]),1),1)),IF(OR(FG26="Пост",FG26="Отоп"),1,IF(FG26="ВНГ",0.7,0))))))</f>
        <v>0</v>
      </c>
      <c r="FI26">
        <f>IF(FG26="","",IF(AND(BP26=1,TRIM(AE26&amp;"")=""),IF(COUNTIFS(Линии[Щит],A26,Линии[Секция (1/2/3)],"&gt;=2")&gt;0,MIN(3,MAX(1,IFERROR(--BD26,1))),1),IFERROR(MIN(3,MAX(1,INT(--AE26))),1)))</f>
        <v>1</v>
      </c>
      <c r="FJ26">
        <f t="shared" si="61"/>
        <v>0</v>
      </c>
      <c r="FK26">
        <f t="shared" si="62"/>
        <v>0</v>
      </c>
      <c r="FL26">
        <f t="shared" si="63"/>
        <v>0</v>
      </c>
      <c r="FM26">
        <f t="shared" si="64"/>
        <v>0</v>
      </c>
      <c r="FN26">
        <f t="shared" si="65"/>
        <v>0</v>
      </c>
      <c r="FO26">
        <f t="shared" si="66"/>
        <v>0</v>
      </c>
      <c r="FP26">
        <f t="shared" si="67"/>
        <v>0</v>
      </c>
      <c r="FQ26">
        <f t="shared" si="68"/>
        <v>0</v>
      </c>
      <c r="FR26">
        <f t="shared" si="69"/>
        <v>0</v>
      </c>
      <c r="FS26">
        <f>IF(CG26=1,IF(AND(CH26=1,CW26=1),0,IF(AND(CS26&lt;&gt;"",CS26=BA26,CW26=1),SUMIFS(Линии[_Р линии, кВт],Линии[_блок УЗО],BA26,Линии[Щит],A26),N(BS26)+IF(AJ26="вручную",0,N(CK26)))),0)</f>
        <v>1.9000000000000006</v>
      </c>
      <c r="FT26" t="str">
        <f t="shared" si="70"/>
        <v/>
      </c>
      <c r="FU26" t="str">
        <f>IF(B26="","",IF(CG26=0,IF(BA26=1,"",FW25),IF(AND(CH26=1,CW26=1,CS26&lt;&gt;""),IFERROR(_xlfn.XLOOKUP(CS26,Линии[_n],Линии[_фаза итог]),"L1"),IF(OR(N(DL26)&gt;=3,N(BX26)&gt;=3),"L1,L2,L3",IFERROR(_xlfn.TEXTBEFORE(_xlfn.TEXTAFTER(_xlfn.XLOOKUP(A26,Щиты[Щит],Щиты[_фазы авто]),";"&amp;BA26&amp;":"),";"),"L1")))))</f>
        <v>L1,L2,L3</v>
      </c>
      <c r="FV26" t="str">
        <f t="shared" si="71"/>
        <v>L1,L2,L3</v>
      </c>
      <c r="FW26" t="str">
        <f t="shared" si="72"/>
        <v>L1,L2,L3</v>
      </c>
      <c r="FX26" cm="1">
        <f t="array" ref="FX26">IFERROR(IF(CD26=2,_xlfn.IFS(BX26=3,VLOOKUP(BS26,Справочная_двигатели,3,FALSE),BX26=1,VLOOKUP(BS26,Справочная_двигатели,5,TRUE)),0),0)</f>
        <v>0</v>
      </c>
      <c r="FY26">
        <f>IFERROR(IF(CD26=3,VLOOKUP(BS26,Справочная_ЛЭД,2,TRUE),0),0)</f>
        <v>0</v>
      </c>
      <c r="FZ26" s="6">
        <f t="shared" si="73"/>
        <v>0</v>
      </c>
      <c r="GA26" t="str">
        <f>IF(B26="","",IF(TRIM(AH26&amp;"")&lt;&gt;"",IF(LOWER(TRIM(AH26&amp;""))="да","да","нет"),IF(IFERROR(_xlfn.XLOOKUP(BC26,Коды_код,Коды_пожарная),"")="да","да","нет")))</f>
        <v>нет</v>
      </c>
      <c r="GB26" t="str">
        <f t="shared" si="74"/>
        <v/>
      </c>
      <c r="GC26" t="str">
        <f t="shared" si="75"/>
        <v>основная</v>
      </c>
      <c r="GD26">
        <f>IF(AND(BP26=1,TRIM(AE26&amp;"")=""),IF(COUNTIFS(Линии[Щит],A26,Линии[Секция (1/2/3)],"&gt;=2")&gt;0,MIN(3,MAX(1,IFERROR(--BD26,1))),1),IFERROR(MIN(3,MAX(1,INT(--AE26))),1))</f>
        <v>1</v>
      </c>
      <c r="GE26" t="str" cm="1">
        <f t="array" ref="GE26">IF(B26="","",_xlfn.LET(_xlpm.t,IFERROR(_xlfn.XLOOKUP(1,(Шины[Шина]=GC26)*(((Шины[Щит]=A26)+(Шины[Щит]=""))&gt;0),Шины[Тип]),"")&amp;"",IF(_xlpm.t&lt;&gt;"",_xlpm.t,IF(ISNUMBER(SEARCH("ИБП",GC26)),"ИБП",IF(ISNUMBER(SEARCH("ДГУ",GC26)),"ДГУ","Ввод "&amp;GD26)))))</f>
        <v>Ввод 1</v>
      </c>
      <c r="GF26" t="str">
        <f t="shared" si="76"/>
        <v>Ввод 1</v>
      </c>
      <c r="GG26" t="str">
        <f>IF(BP26=0,"",IF(TRIM(AG26&amp;"")&lt;&gt;"",TRIM(AG26&amp;""),IF(OR(GE26="ИБП",GE26="ДГУ"),"I особая",_xlfn.XLOOKUP(A26,Щиты[Щит],Щиты[Категория шины «Ввод»],"III"))))</f>
        <v>II</v>
      </c>
      <c r="GH26" t="str">
        <f>IF(A26="","",_xlfn.XLOOKUP(A26,Щиты[Щит],Щиты[Путь],""))</f>
        <v>|ГРЩ-ЖД|ЩГП|</v>
      </c>
      <c r="GI26" t="str">
        <f>IF(B26="","",IF(AI26&lt;&gt;"",AI26,IF(IFERROR(_xlfn.XLOOKUP(BC26,Коды_код,Коды_вид)&amp;"","")="","Прочее",_xlfn.XLOOKUP(BC26,Коды_код,Коды_вид)&amp;"")))</f>
        <v>Прочее</v>
      </c>
      <c r="GJ26">
        <f>IF(BM26="","",INT((BM26-1)/Столбцов_на_лист)+1)</f>
        <v>1</v>
      </c>
      <c r="GK26" t="str">
        <f t="shared" si="77"/>
        <v>ВВГнг(А)-LS (5х10) L=51-0,12%</v>
      </c>
      <c r="GL26">
        <f t="shared" si="78"/>
        <v>1.9000000000000006</v>
      </c>
      <c r="GM26">
        <f t="shared" si="79"/>
        <v>2.3099999999999996</v>
      </c>
      <c r="GN26">
        <f t="shared" si="80"/>
        <v>3</v>
      </c>
      <c r="GO26">
        <f t="shared" si="81"/>
        <v>0</v>
      </c>
      <c r="GP26">
        <f t="shared" si="82"/>
        <v>0</v>
      </c>
      <c r="GQ26" t="str">
        <f>IF(BM26="","",IF(AND(CG26=1,GP26=1),COUNTIFS(A$3:A26,A26,CG$3:CG26,1,GP$3:GP26,1),IF(OR(OR(BA26=1,A26&lt;&gt;A25),AJ26="вручную",GP26=0),"",IF(BA26=1,"",GR25))))</f>
        <v/>
      </c>
      <c r="GR26" t="str">
        <f t="shared" si="83"/>
        <v/>
      </c>
      <c r="GS26">
        <f>IF(B26="","",IFERROR(LOOKUP(INDEX(CHOOSE(EB26,Iдоп_1ж,Iдоп_2ж,Iдоп_3ж),MATCH(EN26,Iдоп_S,0))*DZ26*EA26,{6,10,16,20,25,32,40,50,63,80,100,125,160,200,250,315,400,500,630}),""))</f>
        <v>50</v>
      </c>
      <c r="GT26" t="str">
        <f t="shared" si="84"/>
        <v/>
      </c>
      <c r="GU26" t="str">
        <f t="shared" si="85"/>
        <v/>
      </c>
      <c r="GV26" t="str">
        <f t="shared" si="86"/>
        <v/>
      </c>
      <c r="GW26">
        <f t="shared" si="87"/>
        <v>0</v>
      </c>
      <c r="GX26" t="str">
        <f>IF(OR(B26="",DJ26=""),"",IFERROR(_xlfn.XLOOKUP(DJ26,Модули_умолч[Управление],Модули_умолч[Модель])&amp;"",""))</f>
        <v/>
      </c>
      <c r="GY26">
        <f>IF(DJ26="",1,IFERROR(MAX(0,N(_xlfn.XLOOKUP(DJ26,Модули_умолч[Управление],Модули_умолч[Каналов на линию]))),1))</f>
        <v>1</v>
      </c>
      <c r="GZ26" t="str">
        <f t="shared" si="88"/>
        <v/>
      </c>
      <c r="HA26" t="str">
        <f t="shared" si="89"/>
        <v/>
      </c>
      <c r="HB26" t="str">
        <f t="shared" si="90"/>
        <v/>
      </c>
      <c r="HC26">
        <f>IF(HB26="",0,IFERROR(N(VLOOKUP(HB26,Модули_спр,3,FALSE)),0))</f>
        <v>0</v>
      </c>
      <c r="HD26" t="str">
        <f t="shared" si="91"/>
        <v/>
      </c>
      <c r="HE26" t="str">
        <f t="shared" si="92"/>
        <v/>
      </c>
      <c r="HF26" t="str">
        <f>IF(OR(HE26="",HE26="-"),"",IFERROR(VLOOKUP(HE26,Модули_спр,2,FALSE),"R"))</f>
        <v/>
      </c>
      <c r="HG26" t="str">
        <f>IF(HF26="","",HF26&amp;"."&amp;COUNTIFS(A$3:A26,A26,HF$3:HF26,HF26))</f>
        <v/>
      </c>
      <c r="HH26" t="str">
        <f t="shared" si="93"/>
        <v/>
      </c>
      <c r="HI26" t="str">
        <f t="shared" si="94"/>
        <v/>
      </c>
      <c r="HJ26" t="str">
        <f t="shared" si="95"/>
        <v/>
      </c>
      <c r="HK26" t="str">
        <f t="shared" si="96"/>
        <v/>
      </c>
      <c r="HL26">
        <f t="shared" si="97"/>
        <v>0</v>
      </c>
      <c r="HM26" t="str">
        <f>IF(HL26=1,"XT"&amp;COUNTIFS(A$3:A26,A26,HL$3:HL26,1),"")</f>
        <v/>
      </c>
      <c r="HN26" t="str">
        <f t="shared" si="98"/>
        <v/>
      </c>
      <c r="HO26" t="str">
        <f t="shared" si="99"/>
        <v/>
      </c>
      <c r="HP26" t="str">
        <f t="shared" si="100"/>
        <v/>
      </c>
      <c r="HQ26" t="str">
        <f t="shared" si="101"/>
        <v>ok</v>
      </c>
      <c r="HR26" t="str">
        <f>IF(OR(HJ26="",HH26=""),"",IF(HJ26+MAX(0,GY26-1)&gt;IFERROR(VLOOKUP(HI26,Модули_спр,3,FALSE),99),"ЛИШНИЙ КАНАЛ",IF(AND(AL26&lt;&gt;"=",GY26&gt;0,COUNTIFS(Линии[_модуль гр.],HH26,Линии[Канал (итог)],HJ26,Линии[Канал],"&lt;&gt;=",Линии[Щит],A26)&gt;1),"ДУБЛЬ КАНАЛА","")))</f>
        <v/>
      </c>
      <c r="HS26" s="6" t="str">
        <f t="shared" si="102"/>
        <v/>
      </c>
      <c r="HT26">
        <f t="shared" si="103"/>
        <v>10</v>
      </c>
      <c r="HU26" t="str">
        <f t="shared" si="104"/>
        <v/>
      </c>
      <c r="HV26">
        <f t="shared" si="105"/>
        <v>0</v>
      </c>
      <c r="HW26">
        <f t="shared" si="106"/>
        <v>0</v>
      </c>
      <c r="HX26">
        <f t="shared" si="107"/>
        <v>0</v>
      </c>
      <c r="HY26">
        <f t="shared" si="108"/>
        <v>0</v>
      </c>
      <c r="HZ26">
        <f t="shared" si="109"/>
        <v>0</v>
      </c>
      <c r="IA26">
        <f t="shared" si="110"/>
        <v>0</v>
      </c>
      <c r="IB26">
        <f t="shared" si="111"/>
        <v>0</v>
      </c>
      <c r="IC26" t="str">
        <f t="shared" si="112"/>
        <v/>
      </c>
      <c r="ID26" t="str" cm="1">
        <f t="array" ref="ID26">IF(IC26="","",_xlfn.LET(_xlpm.tk,_xlfn.TEXTSPLIT(SUBSTITUTE(SUBSTITUTE(IC26,";"," "),"→"," ")," ",,TRUE),_xlpm.w_,_xlfn._xlws.FILTER(_xlpm.tk,ISNUMBER(--LEFT(_xlpm.tk,1))*((ISNUMBER(SEARCH("W",_xlpm.tk))+ISNUMBER(SEARCH("Вт",_xlpm.tk)))&gt;0),""),IFERROR(--SUBSTITUTE(SUBSTITUTE(UPPER(INDEX(_xlpm.w_,1)),"W",""),"ВТ",""),"")))</f>
        <v/>
      </c>
      <c r="IE26" t="str" cm="1">
        <f t="array" ref="IE26">IF(IC26="","",_xlfn.LET(_xlpm.tk,_xlfn.TEXTSPLIT(SUBSTITUTE(SUBSTITUTE(IC26,";"," "),"→"," ")," ",,TRUE),_xlpm.v_,_xlfn._xlws.FILTER(_xlpm.tk,ISNUMBER(--LEFT(_xlpm.tk,1))*((ISNUMBER(SEARCH("V",_xlpm.tk))+(RIGHT(UPPER(_xlpm.tk))="В"))&gt;0),""),IFERROR(--SUBSTITUTE(SUBSTITUTE(UPPER(INDEX(_xlpm.v_,1)),"V",""),"В",""),"")))</f>
        <v/>
      </c>
      <c r="IF26" s="6" t="str">
        <f>IF(OR(BV26=0,HI26="",HJ26=""),"",IFERROR(N(_xlfn.XLOOKUP(HI26,Каталог!$C$4:$C$500,Каталог!$Q$4:$Q$500)),""))</f>
        <v/>
      </c>
      <c r="IG26" s="6" t="str">
        <f>IF(N(IF26)=0,"",SUMIFS(Линии[Iр, А],Линии[Щит],A26,Линии[_модуль гр.],HH26,Линии[Канал (итог)],HJ26))</f>
        <v/>
      </c>
      <c r="IH26" t="str">
        <f>IF(AND(B26="",HO26=""),"",_xlfn.TEXTJOIN("; ",TRUE,IF(AND(B26&lt;&gt;"",FV26=""),"нет фазы",""),IF(AND(B26&lt;&gt;"",N(GL26)=0,FG26&lt;&gt;"Нет"),"нет мощности",""),IF(AND(HN26&lt;&gt;"",COUNTIFS(Линии[Щит],A26,Линии[Клемма (итог)],HN26)&gt;1),"дубль клеммы "&amp;HN26,""),IF(AND(HQ26&lt;&gt;"",HQ26&lt;&gt;"ok"),HQ26,""),IF(HR26&lt;&gt;"",HR26,""),IF(AND(N(CB26)&gt;=4,N(BX26)=1),CB26&amp;" жил на 1 фазе",""),IF(AND(BC26="R",CG26=1,IF(CS26&lt;&gt;"",N(CV26)&gt;30,OR(N(DA26)=0,N(DA26)&gt;30))),"розетка без дифзащиты до 30 мА",""),IF(AND(CG26=1,N(DA26)&gt;0,ISNUMBER(T26)),IF(T26&gt;N(DA26)/3,"ток утечки "&amp;FIXED(T26,1)&amp;" мА &gt; 1/3 уставки ("&amp;DA26&amp;" мА)",""),""),IF(AND(CH26=1,CS26=""),"«узо»: нет строки с УЗО выше (УЗО 2P 40А 30мА в «Аппаратах»)",""),IF(AND(CS26&lt;&gt;"",CS26=BA26),IF(CT26="","впишите номинал УЗО (УЗО 2P 40А 30мА)",IF(N(CT26)&lt;N(DT26),"УЗО "&amp;CT26&amp;" А &lt; автомата "&amp;DT26&amp;" А перед ним",IF(N(CT26)&lt;N(CX26),"УЗО "&amp;CT26&amp;" А &lt; тока блока "&amp;FIXED(CX26,1)&amp;" А",""))),""),IF(AND(CS26&lt;&gt;"",CS26=BA26,ISNUMBER(CY26)),IF(CY26&gt;N(CV26)/3,"ток утечки блока УЗО "&amp;FIXED(CY26,1)&amp;" мА &gt; 1/3 уставки ("&amp;CV26&amp;" мА)",""),""),IF(AND(CG26=1,N(BV26)+N(IB26)&gt;0,IC26=""),"линии до 50 В без БП: впишите в «Аппараты» (БП 24V 480W)",""),IF(AND(CG26=1,ISNUMBER(ID26),ISNUMBER(U26)),IF(U26&gt;ID26,"БП "&amp;ID26&amp;" Вт &lt; нужно "&amp;U26&amp;" Вт (×"&amp;Запас_БП&amp;")",""),""),IF(AND(CG26=1,ISNUMBER(IE26),N(BV26)=1),IF(IE26&lt;&gt;N(BU26),"БП на "&amp;IE26&amp;" В, линия "&amp;BU26&amp;" В",""),""),IF(AND(N(IF26)&gt;0,N(IG26)&gt;N(IF26)),HH26&amp;" канал "&amp;HJ26&amp;": "&amp;FIXED(IG26,1)&amp;" А &gt; "&amp;IF26&amp;" А",""),IFERROR(IF(AND(ISNUMBER(Q26),Q26&gt;EL26),"потери "&amp;FIXED(Q26,1)&amp;" % &gt; "&amp;EL26&amp;" %",""),""),IFERROR(IF(LEFT(HU26,4)="мало","Iкз мало — отключение &gt; 0,4 с",""),""),IF(AND(B26&lt;&gt;"",BM26=""),"не на схеме",""),IF(AND(CG26=0,B26&lt;&gt;"",FV26&lt;&gt;"",IF(BA26=1,"",FW25)&lt;&gt;"",FV26&lt;&gt;IF(BA26=1,"",FW25)),"фаза не как у автомата группы ("&amp;IF(BA26=1,"",FW25)&amp;")","")))</f>
        <v/>
      </c>
      <c r="II26" s="6" t="str">
        <f>IF(OR(CG26=0,DQ26=""),"",_xlfn.LET(_xlpm.t,IFERROR(_xlfn.XLOOKUP(DQ26,Каталог!$U$4:$U$500,Каталог!$G$4:$G$500),""),_xlpm.k,SEARCH("кА",_xlpm.t),IFERROR(--TRIM(RIGHT(SUBSTITUTE(MID(_xlpm.t,MAX(1,_xlpm.k-4),_xlpm.k-MAX(1,_xlpm.k-4))," ",REPT(" ",9)),5)),"")))</f>
        <v/>
      </c>
      <c r="IJ26" t="str">
        <f>IF(OR(II26="",CG26=0),"",IF(_xlfn.XLOOKUP(A26,Щиты[Щит],Щиты[Iкз max на шинах, кА],"")="","",IF(II26&lt;_xlfn.XLOOKUP(A26,Щиты[Щит],Щиты[Iкз max на шинах, кА]),"Icu "&amp;II26&amp;" кА &lt; Iкз max","ok")))</f>
        <v/>
      </c>
      <c r="IK26" t="str">
        <f t="shared" si="113"/>
        <v/>
      </c>
      <c r="IL26" t="str">
        <f t="shared" si="114"/>
        <v/>
      </c>
      <c r="IM26" t="str">
        <f t="shared" si="115"/>
        <v/>
      </c>
      <c r="IN26" t="str" cm="1">
        <f t="array" ref="IN26">IF(IM26="","",_xlfn.LET(_xlpm.nd,_xlfn.TEXTSPLIT(IM26,"|"),IF(COLUMNS(_xlpm.nd)&gt;1,A26&amp;"¦"&amp;INDEX(_xlpm.nd,1)&amp;"¦"&amp;INDEX(_xlpm.nd,2),"")))</f>
        <v/>
      </c>
      <c r="IO26" t="str">
        <f t="shared" si="116"/>
        <v/>
      </c>
      <c r="IP26" t="str" cm="1">
        <f t="array" ref="IP26">IF(IM26="","",_xlfn.LET(_xlpm.nd,_xlfn.TEXTSPLIT(IM26,"|"),IF(COLUMNS(_xlpm.nd)&gt;2,A26&amp;"¦"&amp;INDEX(_xlpm.nd,2)&amp;"¦"&amp;INDEX(_xlpm.nd,3),"")))</f>
        <v/>
      </c>
      <c r="IQ26" t="str">
        <f t="shared" si="117"/>
        <v/>
      </c>
      <c r="IR26" t="str" cm="1">
        <f t="array" ref="IR26">IF(IM26="","",_xlfn.LET(_xlpm.nd,_xlfn.TEXTSPLIT(IM26,"|"),IF(COLUMNS(_xlpm.nd)&gt;3,A26&amp;"¦"&amp;INDEX(_xlpm.nd,3)&amp;"¦"&amp;INDEX(_xlpm.nd,4),"")))</f>
        <v/>
      </c>
      <c r="IS26" t="str">
        <f t="shared" si="118"/>
        <v/>
      </c>
      <c r="IT26" t="str" cm="1">
        <f t="array" ref="IT26">IF(IM26="","",_xlfn.LET(_xlpm.nd,_xlfn.TEXTSPLIT(IM26,"|"),IF(COLUMNS(_xlpm.nd)&gt;4,A26&amp;"¦"&amp;INDEX(_xlpm.nd,4)&amp;"¦"&amp;INDEX(_xlpm.nd,5),"")))</f>
        <v/>
      </c>
      <c r="IU26" t="str">
        <f t="shared" si="119"/>
        <v/>
      </c>
      <c r="IV26" t="str" cm="1">
        <f t="array" ref="IV26">IF(IM26="","",_xlfn.LET(_xlpm.nd,_xlfn.TEXTSPLIT(IM26,"|"),IF(COLUMNS(_xlpm.nd)&gt;5,A26&amp;"¦"&amp;INDEX(_xlpm.nd,5)&amp;"¦"&amp;INDEX(_xlpm.nd,6),"")))</f>
        <v/>
      </c>
      <c r="IW26" t="str">
        <f t="shared" si="120"/>
        <v/>
      </c>
      <c r="IX26" t="str" cm="1">
        <f t="array" ref="IX26">IF(IM26="","",_xlfn.LET(_xlpm.nd,_xlfn.TEXTSPLIT(IM26,"|"),IF(COLUMNS(_xlpm.nd)&gt;6,A26&amp;"¦"&amp;INDEX(_xlpm.nd,6)&amp;"¦"&amp;INDEX(_xlpm.nd,7),"")))</f>
        <v/>
      </c>
      <c r="IY26" t="str">
        <f t="shared" si="121"/>
        <v/>
      </c>
      <c r="IZ26" t="str">
        <f t="shared" si="122"/>
        <v/>
      </c>
      <c r="JA26" t="str">
        <f t="shared" si="123"/>
        <v/>
      </c>
      <c r="JB26">
        <f t="shared" si="124"/>
        <v>0</v>
      </c>
      <c r="JC26">
        <f t="shared" si="125"/>
        <v>0</v>
      </c>
      <c r="JD26" t="str">
        <f t="shared" si="126"/>
        <v/>
      </c>
      <c r="JE26" t="str">
        <f t="shared" si="127"/>
        <v/>
      </c>
      <c r="JF26" t="str">
        <f t="shared" si="128"/>
        <v/>
      </c>
      <c r="JG26" t="str">
        <f t="shared" si="129"/>
        <v/>
      </c>
      <c r="JH26">
        <f>IF(B26="","",IFERROR(_xlfn.XLOOKUP(B26,Коды_код,Коды_уго),IFERROR(_xlfn.XLOOKUP(BC26,Коды_код,Коды_уго),IFERROR(_xlfn.XLOOKUP(LEFT(BC26,2),Коды_код,Коды_уго),""))))</f>
        <v>0</v>
      </c>
      <c r="JI26" t="str">
        <f>IF(B26="","",IF(OR(JH26="",JH26=0),"BOX",IFERROR(IF(VLOOKUP(JH26,УГО_блоки,3,FALSE)&amp;""&lt;&gt;"",VLOOKUP(JH26,УГО_блоки,3,FALSE),VLOOKUP(JH26,УГО_блоки,2,FALSE)),JH26)))</f>
        <v>BOX</v>
      </c>
      <c r="JJ26">
        <f t="shared" si="130"/>
        <v>1</v>
      </c>
      <c r="JK26" t="str">
        <f>IF(DQ26="","",IF(COUNTIF(DQ$3:DQ26,DQ26)=1,MAX(JK$2:JK25)+1,""))</f>
        <v/>
      </c>
      <c r="JL26" t="str">
        <f>IF(DE26="","",IF(COUNTIF(DE$3:DE26,DE26)+COUNTIF(DF$2:DF25,DE26)+COUNTIF(DG$2:DG25,DE26)=1,MAX(JL$2:JN25)+1,""))</f>
        <v/>
      </c>
      <c r="JM26" t="str">
        <f>IF(DF26="","",IF(COUNTIF(DE$3:DE26,DF26)+COUNTIF(DF$3:DF26,DF26)+COUNTIF(DG$2:DG25,DF26)=1,MAX(JL$2:JN25,JL26)+1,""))</f>
        <v/>
      </c>
      <c r="JN26" t="str">
        <f>IF(DG26="","",IF(COUNTIF(DE$3:DE26,DG26)+COUNTIF(DF$3:DF26,DG26)+COUNTIF(DG$3:DG26,DG26)=1,MAX(JL$2:JN25,JL26,JM26)+1,""))</f>
        <v/>
      </c>
      <c r="JO26" t="str">
        <f t="shared" si="131"/>
        <v/>
      </c>
      <c r="JP26" t="str">
        <f>IF(JO26="","",IF(COUNTIF(JO$3:JO26,JO26)=1,MAX(JP$2:JP25)+1,""))</f>
        <v/>
      </c>
      <c r="JQ26" t="str">
        <f>IF(HG26="","",COUNTIF(HG$3:HG26,"?*"))</f>
        <v/>
      </c>
      <c r="JR26" t="str">
        <f>IF(OR(HG26="",HI26=""),"",IF(COUNTIFS(HG$3:HG26,"?*",HI$3:HI26,HI26)=1,MAX(JR$2:JR25)+1,""))</f>
        <v/>
      </c>
      <c r="JS26">
        <f t="shared" si="132"/>
        <v>0</v>
      </c>
      <c r="JT26">
        <f>IF(B26="","",COUNTIF(B$3:B26,"?*"))</f>
        <v>24</v>
      </c>
      <c r="JU26">
        <f>IF(HL26&lt;&gt;1,0,_xlfn.LET(_xlpm.k,MAX(IFERROR(--_xlfn.XLOOKUP(B26,Коды_код,Коды_3L),0),IFERROR(--_xlfn.XLOOKUP(BC26,Коды_код,Коды_3L),0),IFERROR(--_xlfn.XLOOKUP(LEFT(BC26,2),Коды_код,Коды_3L),0)),IF(_xlpm.k&gt;0,_xlpm.k,IF(IFERROR(--LEFT(SUBSTITUTE(JO26,"x","х"),FIND("х",SUBSTITUTE(JO26,"x","х"))-1),3)&gt;3,Каталог!$S$9,1))))</f>
        <v>0</v>
      </c>
      <c r="JV26">
        <f t="shared" si="133"/>
        <v>0</v>
      </c>
      <c r="JW26" t="str">
        <f t="shared" si="134"/>
        <v>авто</v>
      </c>
      <c r="JX26" t="str">
        <f t="shared" si="135"/>
        <v/>
      </c>
      <c r="JY26">
        <f t="shared" si="136"/>
        <v>0</v>
      </c>
      <c r="JZ26">
        <f t="shared" si="137"/>
        <v>1</v>
      </c>
    </row>
    <row r="27" spans="1:286" x14ac:dyDescent="0.3">
      <c r="A27" t="s">
        <v>782</v>
      </c>
      <c r="B27" t="s">
        <v>207</v>
      </c>
      <c r="C27" t="str">
        <f>Линии[[#This Row],[_авто наименование]]</f>
        <v>Питание на ИБП</v>
      </c>
      <c r="D27">
        <v>1</v>
      </c>
      <c r="E27" t="str">
        <f>Линии[[#This Row],[_авто Р]]</f>
        <v/>
      </c>
      <c r="G27" t="str">
        <f>Линии[[#This Row],[_авто автомат]]</f>
        <v>1P С6А</v>
      </c>
      <c r="H27" t="str">
        <f>Линии[[#This Row],[_авто управление]]</f>
        <v/>
      </c>
      <c r="I27" t="str">
        <f>Линии[[#This Row],[_авто аппараты]]</f>
        <v/>
      </c>
      <c r="J27" t="str">
        <f>Линии[[#This Row],[_авто сечение]]</f>
        <v/>
      </c>
      <c r="K27" t="str">
        <f>Линии[[#This Row],[_авто длина по плану]]</f>
        <v/>
      </c>
      <c r="L27" t="str">
        <f>Линии[[#This Row],[_авто фаза]]</f>
        <v>L1</v>
      </c>
      <c r="M27" t="str">
        <f>Линии[[#This Row],[_авто клемма]]</f>
        <v/>
      </c>
      <c r="N27" t="str">
        <f t="shared" si="0"/>
        <v/>
      </c>
      <c r="O27" s="6" cm="1">
        <f t="array" ref="O27">IF(B27="","",IF(BH27&lt;&gt;"",IFERROR(_xlfn.XLOOKUP(BH27,Щиты[Щит],Щиты[Iр, А]),""),IF(BP27=1,IF(OR(N(_xlfn.XLOOKUP(A27,Щиты[Щит],Щиты[Вводов],1))&lt;=1,LOWER(TRIM(_xlfn.XLOOKUP(A27,Щиты[Щит],Щиты[АВР],"")&amp;""))="да"),IFERROR(_xlfn.XLOOKUP(A27,Щиты[Щит],Щиты[Iр, А]),""),IFERROR(N(BS27)*_xlfn.XLOOKUP(A27,Щиты[Щит],Щиты[Кс итог])/(SQRT(3)*Uн_лин*_xlfn.XLOOKUP(A27,Щиты[Щит],Щиты[cos φ])),"")),IF(BV27=1,IFERROR(BS27*1000/BU27,""),IFERROR(_xlfn.IFS(BX27=1,BS27/((Uн_лин/SQRT(3))*CE27),BX27=3,BS27/(SQRT(3)*Uн_лин*CE27)),"")))))</f>
        <v>0</v>
      </c>
      <c r="P27" s="7" t="str">
        <f>IF(B27="","",IFERROR(IF(VLOOKUP(BC27,Потребители_обозначение,4,FALSE)=1,VLOOKUP(BC27,Потребители_обозначение,3,FALSE)*(MAX(1,N(D27))*2-1)+EI27+VLOOKUP(BE27,Этаж_обозначение,3,FALSE)+VLOOKUP(BE27,Этаж_обозначение,4,FALSE),VLOOKUP(BC27,Потребители_обозначение,3,FALSE)*(MAX(1,N(D27))*2-1)+EI27),EI27))</f>
        <v/>
      </c>
      <c r="Q27" s="6" t="str">
        <f t="shared" si="1"/>
        <v/>
      </c>
      <c r="R27" t="str">
        <f t="shared" si="2"/>
        <v/>
      </c>
      <c r="S27" t="str">
        <f>IF(BM27="","",IF(BN27="вводной узел","узел ","")&amp;"л."&amp;(INT((BM27-1)/Столбцов_на_лист)+1)&amp;" / "&amp;(MOD(BM27-1,Столбцов_на_лист)+1))</f>
        <v>узел л.1 / 9</v>
      </c>
      <c r="T27" s="119">
        <f t="shared" si="3"/>
        <v>0</v>
      </c>
      <c r="U27" s="7" t="str">
        <f>IF(OR(CG27=0,N(BV27)+N(IB27)=0),"",ROUNDUP(Запас_БП*(N(HY27)+N(HZ27)),0))</f>
        <v/>
      </c>
      <c r="V27" s="119" t="str">
        <f t="shared" si="4"/>
        <v/>
      </c>
      <c r="W27" s="7" t="str">
        <f>IFERROR(IF(OR(B27="",BP27=1,BV27=1,NOT(ISNUMBER(EN27)),N(DT27)=0),"",MAX(0,ROUNDDOWN((c_min*(Uн_лин*1000/SQRT(3))/(HT27*N(DT27))-_xlfn.XLOOKUP(A27,Щиты[Щит],Щиты[Zпетли на шинах, Ом]))*EN27/(2*ρкз_Cu),0))),"")</f>
        <v/>
      </c>
      <c r="Y27" t="str">
        <f>Линии[[#This Row],[_авто утечка]]</f>
        <v/>
      </c>
      <c r="Z27">
        <v>1</v>
      </c>
      <c r="AA27">
        <v>400</v>
      </c>
      <c r="AB27" t="s">
        <v>547</v>
      </c>
      <c r="AK27" t="str">
        <f>Линии[[#This Row],[_авто модуль]]</f>
        <v/>
      </c>
      <c r="AM27">
        <v>9</v>
      </c>
      <c r="AN27" t="str">
        <f>Линии[[#This Row],[_авто марка]]</f>
        <v/>
      </c>
      <c r="AO27" t="str">
        <f>Линии[[#This Row],[_авто жил]]</f>
        <v/>
      </c>
      <c r="BA27" cm="1">
        <f t="array" ref="BA27">ROW()-ROW(Линии[#Headers])</f>
        <v>25</v>
      </c>
      <c r="BC27" s="6" t="str">
        <f t="shared" si="5"/>
        <v>На ИБП</v>
      </c>
      <c r="BD27" t="str">
        <f t="shared" si="6"/>
        <v/>
      </c>
      <c r="BE27" t="str">
        <f t="shared" si="7"/>
        <v/>
      </c>
      <c r="BF27" t="str">
        <f t="shared" si="8"/>
        <v/>
      </c>
      <c r="BG27" t="str">
        <f t="shared" si="9"/>
        <v/>
      </c>
      <c r="BH27" t="str">
        <f>IF(X27&lt;&gt;"",X27,IF(AND(B27&lt;&gt;"",B27&lt;&gt;A27,ISNUMBER(_xlfn.XMATCH(B27,Щиты[Щит]))),B27,""))</f>
        <v/>
      </c>
      <c r="BI27" t="str" cm="1">
        <f t="array" ref="BI27">IF(B27="","",IF(BH27&lt;&gt;"","Щит "&amp;BH27,_xlfn.LET(_xlpm.nm,IFERROR(_xlfn.XLOOKUP(BC27,Коды_код,Коды_имя)&amp;"",""),_xlpm.md,IFERROR(N(_xlfn.XLOOKUP(BC27,Коды_код,Коды_режим)),1),_xlpm.ex,IF(Имя_режим="по экспликации",IFERROR(_xlfn.XLOOKUP(BE27&amp;"|"&amp;BG27,Экспликация[Этаж]&amp;"|"&amp;Экспликация[Помещение],Экспликация[Название])&amp;"",""),""),_xlpm.rm,IF(BG27="","",IF(_xlpm.ex&lt;&gt;"",". "&amp;_xlpm.ex&amp;IF(Имя_пом="нет"," ("&amp;BG27&amp;")"," (пом. "&amp;BG27&amp;")"),IF(Имя_пом="нет"," ",", пом. ")&amp;BG27)),IF(_xlpm.nm="","",IF(_xlpm.md=2,_xlpm.nm&amp;" шлейф "&amp;BE27,_xlpm.nm&amp;_xlpm.rm)))))</f>
        <v>Питание на ИБП</v>
      </c>
      <c r="BJ27" t="str">
        <f t="shared" si="10"/>
        <v>Питание на ИБП</v>
      </c>
      <c r="BK27">
        <f>IFERROR(_xlfn.XMATCH(A27,Щиты[Щит]),0)</f>
        <v>2</v>
      </c>
      <c r="BL27">
        <f>_xlfn.LET(_xlpm.k,IFERROR(_xlfn.XLOOKUP(A27,Щиты[Щит],Щиты[Мест под вводной узел]),""),IF(_xlpm.k="",Столбцов_на_лист,N(_xlpm.k)))</f>
        <v>13</v>
      </c>
      <c r="BM27">
        <f t="shared" si="11"/>
        <v>9</v>
      </c>
      <c r="BN27" t="str">
        <f t="shared" si="12"/>
        <v>вводной узел</v>
      </c>
      <c r="BO27" s="6">
        <f>IFERROR(N(_xlfn.XLOOKUP(BC27,Коды_код,Коды_квт)),0)</f>
        <v>0</v>
      </c>
      <c r="BP27">
        <f t="shared" si="13"/>
        <v>0</v>
      </c>
      <c r="BQ27" t="str">
        <f>IF(B27="","",IF(BH27&lt;&gt;"",IFERROR(_xlfn.XLOOKUP(BH27,Щиты[Щит],Щиты[Руст, кВт]),0),IF(BP27=1,IF(OR(N(_xlfn.XLOOKUP(A27,Щиты[Щит],Щиты[Вводов],1))&lt;=1,LOWER(TRIM(_xlfn.XLOOKUP(A27,Щиты[Щит],Щиты[АВР],"")&amp;""))="да"),IFERROR(_xlfn.XLOOKUP(A27,Щиты[Щит],Щиты[Руст, кВт]),0),SUMIFS(Линии[_Р для вводов],Линии[Щит],A27,Линии[Источник для режимов],GF27)),IF(BO27&gt;0,ROUND(BO27*MAX(1,N(D27)),3),""))))</f>
        <v/>
      </c>
      <c r="BR27" t="str">
        <f t="shared" si="14"/>
        <v/>
      </c>
      <c r="BS27" s="6">
        <f>IF(B27="","",IF(BH27&lt;&gt;"",IFERROR(_xlfn.XLOOKUP(BH27,Щиты[Щит],Щиты[Руст, кВт]),0),N(BR27)))</f>
        <v>0</v>
      </c>
      <c r="BT27" t="str">
        <f>IF(B27="","",IFERROR(IF(VLOOKUP(BC27,Потребители_обозначение,8,FALSE)=0,"",VLOOKUP(BC27,Потребители_обозначение,8,FALSE)),""))</f>
        <v/>
      </c>
      <c r="BU27">
        <f t="shared" si="15"/>
        <v>400</v>
      </c>
      <c r="BV27">
        <f t="shared" si="16"/>
        <v>0</v>
      </c>
      <c r="BW27">
        <f>IF(B27="","",IF(BH27&lt;&gt;"",3,IFERROR(IF(N(VLOOKUP(BC27,Потребители_обозначение,9,FALSE))=0,1,VLOOKUP(BC27,Потребители_обозначение,9,FALSE)),1)))</f>
        <v>1</v>
      </c>
      <c r="BX27">
        <f t="shared" si="17"/>
        <v>1</v>
      </c>
      <c r="BY27" t="str">
        <f>IF(B27="","",_xlfn.LET(_xlpm.bc,IFERROR(IF(VLOOKUP(BC27,Потребители_обозначение,6,FALSE)=0,"",VLOOKUP(BC27,Потребители_обозначение,6,FALSE)&amp;""),""),IF(AND(GA27="да",OR(_xlpm.bc="",_xlpm.bc="мс")),Марка_пож,IF(AND(_xlpm.bc="",BH27&lt;&gt;""),"мс",_xlpm.bc))))</f>
        <v/>
      </c>
      <c r="BZ27" t="str">
        <f t="shared" si="18"/>
        <v/>
      </c>
      <c r="CA27" t="str">
        <f>IF(B27="","",_xlfn.LET(_xlpm.cc,IFERROR(N(VLOOKUP(BC27,Потребители_обозначение,7,FALSE)),0),IF(_xlpm.cc&gt;0,_xlpm.cc,IF(BZ27="","",IF(BV27=1,2,IF(N(BX27)=3,5,3))))))</f>
        <v/>
      </c>
      <c r="CB27" t="str">
        <f t="shared" si="19"/>
        <v/>
      </c>
      <c r="CC27">
        <f>IFERROR(N(VLOOKUP(BC27,Потребители_обозначение,10,FALSE)),0)</f>
        <v>0</v>
      </c>
      <c r="CD27">
        <f>IFERROR(VLOOKUP(BC27,Потребители_обозначение,5,FALSE),0)</f>
        <v>1</v>
      </c>
      <c r="CE27" s="6" cm="1">
        <f t="array" ref="CE27">IF(B27="","",IF(BH27&lt;&gt;"",IFERROR(_xlfn.XLOOKUP(BH27,Щиты[Щит],Щиты[cos φ]),0.95),IF(BP27=1,IFERROR(_xlfn.XLOOKUP(A27,Щиты[Щит],Щиты[cos φ]),0.95),IF(ISNUMBER(AD27),AD27,IFERROR(IF(CD27=2,_xlfn.IFS(BX27=3,VLOOKUP(BS27,Справочная_двигатели,8,FALSE),BX27=1,VLOOKUP(BS27,Справочная_двигатели,10,TRUE)),IF(AND(Методика="нормы 2026",FG27="Сил"),0.8,0.95)),0.95)))))</f>
        <v>0.95</v>
      </c>
      <c r="CF27">
        <f t="shared" si="20"/>
        <v>0</v>
      </c>
      <c r="CG27">
        <f t="shared" si="21"/>
        <v>1</v>
      </c>
      <c r="CH27">
        <f t="shared" si="22"/>
        <v>0</v>
      </c>
      <c r="CI27">
        <f>IF(B27="","",IF(BV27=1,IFERROR(BS27/((Uн_лин/SQRT(3))*MAX(0.5,N(CE27))),0),N(O27)))</f>
        <v>0</v>
      </c>
      <c r="CJ27">
        <f t="shared" si="23"/>
        <v>0</v>
      </c>
      <c r="CK27">
        <f t="shared" si="24"/>
        <v>0</v>
      </c>
      <c r="CL27">
        <f t="shared" si="25"/>
        <v>0</v>
      </c>
      <c r="CM27">
        <f t="shared" si="26"/>
        <v>0</v>
      </c>
      <c r="CN27">
        <f t="shared" si="27"/>
        <v>0</v>
      </c>
      <c r="CO27">
        <f>IF(BC27="",0,_xlfn.LET(_xlpm.v,IFERROR(_xlfn.XLOOKUP(B27,Коды_код,Коды_мА),IFERROR(_xlfn.XLOOKUP(BC27,Коды_код,Коды_мА),IFERROR(_xlfn.XLOOKUP(LEFT(BC27,2),Коды_код,Коды_мА),""))),IF(_xlpm.v="да",30,IF(ISNUMBER(_xlpm.v),_xlpm.v,0))))</f>
        <v>0</v>
      </c>
      <c r="CP27" t="str">
        <f t="shared" si="28"/>
        <v/>
      </c>
      <c r="CQ27" t="str">
        <f>_xlfn.LET(_xlpm.k,IFERROR(_xlfn.XLOOKUP(BC27,Коды_код,Коды_утечка)&amp;"",""),IF(_xlpm.k="","дифавтомат",_xlpm.k))</f>
        <v>дифавтомат</v>
      </c>
      <c r="CR27" t="str" cm="1">
        <f t="array" ref="CR27">IF(CG27=0,"",_xlfn.LET(_xlpm.sg,TRIM(_xlfn.TEXTSPLIT(DD27&amp;"",";")),_xlpm.f_,_xlfn._xlws.FILTER(_xlpm.sg,LEFT(_xlpm.sg,3)="УЗО",""),IFERROR(INDEX(_xlpm.f_,1)&amp;"","")))</f>
        <v/>
      </c>
      <c r="CS27" t="str">
        <f t="shared" si="29"/>
        <v/>
      </c>
      <c r="CT27" s="6" t="str" cm="1">
        <f t="array" ref="CT27">IF(CR27="","",_xlfn.LET(_xlpm.tk,_xlfn.TEXTSPLIT(UPPER(CR27)," ",,TRUE),_xlpm.a_,_xlfn._xlws.FILTER(_xlpm.tk,ISNUMBER(--LEFT(_xlpm.tk,1))*((ISNUMBER(SEARCH("А",_xlpm.tk))+ISNUMBER(SEARCH("A",_xlpm.tk)))&gt;0)*NOT(ISNUMBER(SEARCH("МА",_xlpm.tk)))*NOT(ISNUMBER(SEARCH("MA",_xlpm.tk))),""),IFERROR(--SUBSTITUTE(SUBSTITUTE(INDEX(_xlpm.a_,1),"А",""),"A",""),"")))</f>
        <v/>
      </c>
      <c r="CU27" t="str" cm="1">
        <f t="array" ref="CU27">IF(CR27="","",_xlfn.LET(_xlpm.tk,_xlfn.TEXTSPLIT(UPPER(CR27)," ",,TRUE),_xlpm.a_,_xlfn._xlws.FILTER(_xlpm.tk,ISNUMBER(--LEFT(_xlpm.tk,1))*((ISNUMBER(SEARCH("МА",_xlpm.tk))+ISNUMBER(SEARCH("MA",_xlpm.tk)))&gt;0),""),IFERROR(--SUBSTITUTE(SUBSTITUTE(INDEX(_xlpm.a_,1),"МА",""),"MA",""),30)))</f>
        <v/>
      </c>
      <c r="CV27" t="str">
        <f>IF(CS27="","",IFERROR(_xlfn.XLOOKUP(CS27,Линии[_n],Линии[_УЗО, мА]),30))</f>
        <v/>
      </c>
      <c r="CW27">
        <f>IF(CS27="",0,IF(ISNUMBER(SEARCH("4P",IFERROR(_xlfn.XLOOKUP(CS27,Линии[_n],Линии[_УЗО строки])&amp;"",""))),0,1))</f>
        <v>0</v>
      </c>
      <c r="CX27" t="str">
        <f>IF(AND(CS27&lt;&gt;"",CS27=BA27),SUMIFS(Линии[_ток на 230 В],Линии[_блок УЗО],BA27,Линии[Щит],A27),"")</f>
        <v/>
      </c>
      <c r="CY27" t="str">
        <f>IF(AND(CS27&lt;&gt;"",CS27=BA27),SUMIFS(Линии[_ток утечки линии, мА],Линии[_блок УЗО],BA27,Линии[Щит],A27),"")</f>
        <v/>
      </c>
      <c r="CZ27">
        <f t="shared" si="30"/>
        <v>0</v>
      </c>
      <c r="DA27">
        <f t="shared" si="31"/>
        <v>0</v>
      </c>
      <c r="DB27">
        <f>IF(B27="",0,IFERROR(--_xlfn.XLOOKUP(B27,Коды_код,Коды_минавт),IFERROR(--_xlfn.XLOOKUP(BC27,Коды_код,Коды_минавт),IFERROR(--_xlfn.XLOOKUP(LEFT(BC27,2),Коды_код,Коды_минавт),0))))</f>
        <v>0</v>
      </c>
      <c r="DC27" t="str">
        <f>IF(B27="","",IFERROR(_xlfn.XLOOKUP(BC27,Коды_код,Коды_апп)&amp;"",""))</f>
        <v/>
      </c>
      <c r="DD27" t="str">
        <f t="shared" si="32"/>
        <v/>
      </c>
      <c r="DE27" t="str" cm="1">
        <f t="array" ref="DE27">IF(TRIM(DD27&amp;"")="","",IFERROR(TRIM(INDEX(_xlfn.TEXTSPLIT(DD27&amp;";;;",";"),1)),""))</f>
        <v/>
      </c>
      <c r="DF27" t="str" cm="1">
        <f t="array" ref="DF27">IF(TRIM(DD27&amp;"")="","",IFERROR(TRIM(INDEX(_xlfn.TEXTSPLIT(DD27&amp;";;;",";"),2)),""))</f>
        <v/>
      </c>
      <c r="DG27" t="str" cm="1">
        <f t="array" ref="DG27">IF(TRIM(DD27&amp;"")="","",IFERROR(TRIM(INDEX(_xlfn.TEXTSPLIT(DD27&amp;";;;",";"),3)),""))</f>
        <v/>
      </c>
      <c r="DH27">
        <f t="shared" si="33"/>
        <v>0</v>
      </c>
      <c r="DI27" t="str">
        <f>IF(B27="","",_xlfn.LET(_xlpm.t,LOWER(AZ27&amp;""),IF(ISNUMBER(SEARCH("dim",_xlpm.t)),"DIM",IF(ISNUMBER(SEARCH("dali",_xlpm.t)),"DALI",IF(OR(ISNUMBER(SEARCH("relay",_xlpm.t)),ISNUMBER(SEARCH("реле",_xlpm.t))),"Relay",IF(ISNUMBER(SEARCH("кнопк",_xlpm.t)),"",IFERROR(_xlfn.XLOOKUP(BC27,Коды_код,Коды_упр)&amp;"","")))))))</f>
        <v/>
      </c>
      <c r="DJ27" t="str">
        <f t="shared" si="34"/>
        <v/>
      </c>
      <c r="DK27">
        <f>IF(B27="","",_xlfn.LET(_xlpm.ig,IF(N(CX27)&gt;0,N(CX27),N(CI27)+IF(AJ27="вручную",0,N(CJ27))),_xlpm.n0,IFERROR(VLOOKUP(_xlpm.ig,Автомат_номиналы,2,TRUE),0),_xlpm.mn,MAX(DB27,IF(AJ27="вручную",0,N(CM27))),MAX(_xlpm.n0,_xlpm.mn,IF(DH27=1,Мин_автомат_БП,0))))</f>
        <v>6</v>
      </c>
      <c r="DL27">
        <f t="shared" si="35"/>
        <v>1</v>
      </c>
      <c r="DM27" t="str">
        <f t="shared" si="36"/>
        <v>1P</v>
      </c>
      <c r="DN27" t="str">
        <f>_xlfn.LET(_xlpm.cc,UPPER(TRIM(IFERROR(_xlfn.XLOOKUP(BC27,Коды_код,Коды_хар)&amp;"",""))),IF(OR(_xlpm.cc="B",_xlpm.cc="В"),"B",IF(_xlpm.cc="D","D","С")))</f>
        <v>С</v>
      </c>
      <c r="DO27" t="str">
        <f t="shared" si="37"/>
        <v>1P С6А</v>
      </c>
      <c r="DP27" t="str">
        <f t="shared" si="38"/>
        <v>1P С6А</v>
      </c>
      <c r="DQ27" t="str">
        <f t="shared" si="39"/>
        <v>1P С6А</v>
      </c>
      <c r="DR27" cm="1">
        <f t="array" ref="DR27">IF(DQ27="","",_xlfn.LET(_xlpm.t,SUBSTITUTE(SUBSTITUTE(SUBSTITUTE(UPPER(DQ27),"С","C"),"А","A"),"В","B"),_xlpm.tk,_xlfn.TEXTSPLIT(_xlpm.t," "),_xlpm.f,_xlfn._xlws.FILTER(_xlpm.tk,ISNUMBER(--MID(_xlpm.tk,2,1))*ISNUMBER(SEARCH(LEFT(_xlpm.tk,1)&amp;"#","B#C#D#"))*(LEN(_xlpm.tk)&gt;1),""),_xlpm.x,INDEX(_xlpm.f,1),IFERROR(--SUBSTITUTE(MID(_xlpm.x,2,9),"A",""),IFERROR(--SUBSTITUTE(INDEX(_xlfn._xlws.FILTER(_xlpm.tk,ISNUMBER(--SUBSTITUTE(_xlpm.tk,"A","")),""),1),"A",""),""))))</f>
        <v>6</v>
      </c>
      <c r="DS27" t="str">
        <f t="shared" si="40"/>
        <v>ok</v>
      </c>
      <c r="DT27">
        <f t="shared" si="41"/>
        <v>6</v>
      </c>
      <c r="DU27" t="str">
        <f t="shared" si="42"/>
        <v>1P С6А</v>
      </c>
      <c r="DV27">
        <f t="shared" si="43"/>
        <v>0</v>
      </c>
      <c r="DW27">
        <f t="shared" si="44"/>
        <v>0</v>
      </c>
      <c r="DX27">
        <f t="shared" si="45"/>
        <v>0</v>
      </c>
      <c r="DY27">
        <f t="shared" si="46"/>
        <v>0</v>
      </c>
      <c r="DZ27">
        <f t="shared" si="47"/>
        <v>1</v>
      </c>
      <c r="EA27">
        <f>IF(ISNUMBER(AP27),AP27,К_прокл)</f>
        <v>1</v>
      </c>
      <c r="EB27">
        <f t="shared" si="48"/>
        <v>2</v>
      </c>
      <c r="EC27">
        <f>IFERROR(N(VLOOKUP(BZ27,Кабель_обозначение,3,FALSE)),1)</f>
        <v>1</v>
      </c>
      <c r="ED27">
        <f>IFERROR(N(_xlfn.XLOOKUP(A27,Щиты[Щит],Щиты[ΔU до шин, %])),0)</f>
        <v>0</v>
      </c>
      <c r="EE27" t="str">
        <f>IFERROR(_xlfn.XLOOKUP(A27,Щиты[Щит],Щиты[Zпетли на шинах, Ом]),"")</f>
        <v/>
      </c>
      <c r="EF27">
        <f>IFERROR(N(_xlfn.XLOOKUP(A27,Щиты[Щит],Щиты[ΔU до шин (подбор), %])),0)</f>
        <v>0</v>
      </c>
      <c r="EG27" t="str">
        <f>IFERROR(_xlfn.XLOOKUP(A27,Щиты[Щит],Щиты[Zпетли на шинах (подбор), Ом]),"")</f>
        <v/>
      </c>
      <c r="EH27" t="str">
        <f t="shared" si="49"/>
        <v/>
      </c>
      <c r="EI27" t="str">
        <f t="shared" si="50"/>
        <v/>
      </c>
      <c r="EJ27">
        <f t="shared" si="51"/>
        <v>2</v>
      </c>
      <c r="EK27">
        <f t="shared" si="52"/>
        <v>0.31</v>
      </c>
      <c r="EL27" s="6">
        <f>IF(B27="","",IF(BV27=1,dU_LED,IF(IFERROR(_xlfn.XLOOKUP(BC27,Коды_код,Коды_уго),"")="Светильник",3,4)+IF(Методика="нормы 2026",MIN(0.5,MAX(0,N(P27)-100)*0.005),0)))</f>
        <v>4</v>
      </c>
      <c r="EM27" t="str" cm="1">
        <f t="array" ref="EM27">IF(OR(B27="",BZ27="",EC27&lt;&gt;1),"",_xlfn.LET(_xlpm.sz,Iдоп_S,_xlpm.t_,CHOOSE(EB27,Iдоп_1ж,Iдоп_2ж,Iдоп_3ж)*DZ27*EA27,_xlpm.dcx,BV27=1,_xlpm.inn,IF(_xlpm.dcx,N(O27),N(DT27)),_xlpm.smin,MAX(1.5,CC27),_xlpm.L_,N(P27)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27)/N(BU27)*100,999),IFERROR(N(EJ27)*(_xlpm.rho*_xlpm.L_/_xlpm.sz*N(CE27)+_xlpm.xx*_xlpm.L_*N(EK27)/1000)*N(O27)/((Uн_лин/SQRT(3))*1000)*100,999)),_xlpm.kz,IF(OR(_xlpm.dcx,DW27=1,NOT(ISNUMBER(EG27)),_xlpm.L_=0,_xlpm.inn=0),1,IFERROR(--(c_min*(Uн_лин*1000/SQRT(3))/(EG27+2*ρкз_Cu*_xlpm.L_/_xlpm.sz)&gt;=HT27*_xlpm.inn),0)),_xlpm.ok,IFERROR((_xlpm.sz&gt;=_xlpm.smin)*(_xlpm.t_&gt;=_xlpm.inn)*IF(_xlpm.L_&gt;0,(_xlpm.du_+IF(_xlpm.dcx,0,EF27)&lt;=EL27+0.00001),1)*_xlpm.kz,0),_xlpm.r_,_xlfn._xlws.FILTER(_xlpm.sz,_xlpm.ok,"не подобрано"),INDEX(_xlpm.r_,1)))</f>
        <v/>
      </c>
      <c r="EN27" t="str">
        <f t="shared" si="53"/>
        <v/>
      </c>
      <c r="EO27" t="str" cm="1">
        <f t="array" ref="EO27">IF(OR(B27="",BZ27="",EC27&lt;&gt;1),"",_xlfn.LET(_xlpm.sz,Iдоп_S,_xlpm.t_,CHOOSE(EB27,Iдоп_1ж,Iдоп_2ж,Iдоп_3ж)*DZ27*EA27,_xlpm.ok,IFERROR((_xlpm.sz&gt;=MAX(1.5,CC27))*(_xlpm.t_&gt;=N(DT27)),0),_xlpm.r_,_xlfn._xlws.FILTER(_xlpm.sz,_xlpm.ok,""),INDEX(_xlpm.r_,1)))</f>
        <v/>
      </c>
      <c r="EP27" s="6" t="str" cm="1">
        <f t="array" ref="EP27">IFERROR(ROUNDUP(N(EJ27)*(_xlfn.XLOOKUP(EO27,INDEX(Кабель_сопротивление,0,1),INDEX(Кабель_сопротивление,0,3))*N(P27)/EO27*N(CE27)+_xlfn.XLOOKUP(EO27,INDEX(Кабель_сопротивление,0,1),INDEX(Кабель_сопротивление,0,2))*N(P27)*N(EK27)/1000)*N(O27)/((Uн_лин/SQRT(3))*1000)*100,2),"")</f>
        <v/>
      </c>
      <c r="EQ27" t="str">
        <f>IFERROR(2*ρкз_Cu*N(P27)/EO27,"")</f>
        <v/>
      </c>
      <c r="ER27" t="str">
        <f>IFERROR(VLOOKUP(EN27,Кабель_сопротивление,3,FALSE),"")</f>
        <v/>
      </c>
      <c r="ES27" t="str">
        <f>IFERROR(VLOOKUP(EN27,Кабель_сопротивление,2,FALSE),"")</f>
        <v/>
      </c>
      <c r="ET27" t="str">
        <f t="shared" si="54"/>
        <v/>
      </c>
      <c r="EU27" t="str">
        <f t="shared" si="55"/>
        <v/>
      </c>
      <c r="EV27" t="str">
        <f t="shared" si="56"/>
        <v/>
      </c>
      <c r="EW27" s="6" t="str">
        <f>IFERROR(ROUNDUP(EV27/IF(BV27=1,BU27,(Uн_лин/SQRT(3))*1000)*100,2),"")</f>
        <v/>
      </c>
      <c r="EX27" t="str">
        <f>IFERROR(VLOOKUP(BZ27,Кабель_обозначение,2,FALSE),"")</f>
        <v/>
      </c>
      <c r="EY27" t="str">
        <f t="shared" si="57"/>
        <v/>
      </c>
      <c r="EZ27" t="str">
        <f t="shared" si="58"/>
        <v/>
      </c>
      <c r="FA27" t="str">
        <f>IFERROR(2*ρкз_Cu*P27/EN27,"")</f>
        <v/>
      </c>
      <c r="FB27" t="str">
        <f t="shared" si="59"/>
        <v/>
      </c>
      <c r="FC27" s="6" t="str">
        <f>IFERROR(IF(OR(B27="",BV27=1,NOT(ISNUMBER(EN27)),N(P27)=0),"",_xlfn.XLOOKUP(A27,Щиты[Щит],Щиты[Zпетли на шинах, Ом])+FA27),"")</f>
        <v/>
      </c>
      <c r="FD27" s="6" t="str">
        <f>IF(ISNUMBER(FC27),c_min*(Uн_лин*1000/SQRT(3))/FC27,"")</f>
        <v/>
      </c>
      <c r="FE27" s="6" t="str">
        <f>IFERROR(IF(OR(B27="",NOT(ISNUMBER(EN27))),"",1.05*(Uн_лин*1000/SQRT(3))/(_xlfn.XLOOKUP(A27,Щиты[Щит],Щиты[Zmax на шинах, Ом])+FB27)/1000),"")</f>
        <v/>
      </c>
      <c r="FF27" s="6" t="str">
        <f>IF(B27="","",IF(ISNUMBER(AC27),"Сил",IF(IFERROR(_xlfn.XLOOKUP(BC27,Коды_код,Коды_группа)&amp;"","")="","Быт",_xlfn.XLOOKUP(BC27,Коды_код,Коды_группа)&amp;"")))</f>
        <v>Нет</v>
      </c>
      <c r="FG27" s="6" t="str">
        <f t="shared" si="60"/>
        <v>Нет</v>
      </c>
      <c r="FH27" s="6">
        <f>IF(FG27="Щит","щит",IF(FG27="","",IF(FG27="Быт",IFERROR(_xlfn.XLOOKUP(A27,Щиты[Щит],Щиты[Кс быт]),1),IF(FG27="Сил",IF(ISNUMBER(AC27),AC27,IF(Методика="нормы 2026",IFERROR(_xlfn.XLOOKUP(A27,Щиты[Щит],Щиты[Кс силовых (табл. 7.5)]),1),1)),IF(OR(FG27="Пост",FG27="Отоп"),1,IF(FG27="ВНГ",0.7,0))))))</f>
        <v>0</v>
      </c>
      <c r="FI27">
        <f>IF(FG27="","",IF(AND(BP27=1,TRIM(AE27&amp;"")=""),IF(COUNTIFS(Линии[Щит],A27,Линии[Секция (1/2/3)],"&gt;=2")&gt;0,MIN(3,MAX(1,IFERROR(--BD27,1))),1),IFERROR(MIN(3,MAX(1,INT(--AE27))),1)))</f>
        <v>1</v>
      </c>
      <c r="FJ27">
        <f t="shared" si="61"/>
        <v>0</v>
      </c>
      <c r="FK27">
        <f t="shared" si="62"/>
        <v>0</v>
      </c>
      <c r="FL27">
        <f t="shared" si="63"/>
        <v>0</v>
      </c>
      <c r="FM27">
        <f t="shared" si="64"/>
        <v>0</v>
      </c>
      <c r="FN27">
        <f t="shared" si="65"/>
        <v>0</v>
      </c>
      <c r="FO27">
        <f t="shared" si="66"/>
        <v>0</v>
      </c>
      <c r="FP27">
        <f t="shared" si="67"/>
        <v>0</v>
      </c>
      <c r="FQ27">
        <f t="shared" si="68"/>
        <v>0</v>
      </c>
      <c r="FR27">
        <f t="shared" si="69"/>
        <v>0</v>
      </c>
      <c r="FS27">
        <f>IF(CG27=1,IF(AND(CH27=1,CW27=1),0,IF(AND(CS27&lt;&gt;"",CS27=BA27,CW27=1),SUMIFS(Линии[_Р линии, кВт],Линии[_блок УЗО],BA27,Линии[Щит],A27),N(BS27)+IF(AJ27="вручную",0,N(CK27)))),0)</f>
        <v>0</v>
      </c>
      <c r="FT27" t="str">
        <f t="shared" si="70"/>
        <v/>
      </c>
      <c r="FU27" t="str">
        <f>IF(B27="","",IF(CG27=0,IF(BA27=1,"",FW26),IF(AND(CH27=1,CW27=1,CS27&lt;&gt;""),IFERROR(_xlfn.XLOOKUP(CS27,Линии[_n],Линии[_фаза итог]),"L1"),IF(OR(N(DL27)&gt;=3,N(BX27)&gt;=3),"L1,L2,L3",IFERROR(_xlfn.TEXTBEFORE(_xlfn.TEXTAFTER(_xlfn.XLOOKUP(A27,Щиты[Щит],Щиты[_фазы авто]),";"&amp;BA27&amp;":"),";"),"L1")))))</f>
        <v>L1</v>
      </c>
      <c r="FV27" t="str">
        <f t="shared" si="71"/>
        <v>L1</v>
      </c>
      <c r="FW27" t="str">
        <f t="shared" si="72"/>
        <v>L1</v>
      </c>
      <c r="FX27" cm="1">
        <f t="array" ref="FX27">IFERROR(IF(CD27=2,_xlfn.IFS(BX27=3,VLOOKUP(BS27,Справочная_двигатели,3,FALSE),BX27=1,VLOOKUP(BS27,Справочная_двигатели,5,TRUE)),0),0)</f>
        <v>0</v>
      </c>
      <c r="FY27">
        <f>IFERROR(IF(CD27=3,VLOOKUP(BS27,Справочная_ЛЭД,2,TRUE),0),0)</f>
        <v>0</v>
      </c>
      <c r="FZ27" s="6">
        <f t="shared" si="73"/>
        <v>0</v>
      </c>
      <c r="GA27" t="str">
        <f>IF(B27="","",IF(TRIM(AH27&amp;"")&lt;&gt;"",IF(LOWER(TRIM(AH27&amp;""))="да","да","нет"),IF(IFERROR(_xlfn.XLOOKUP(BC27,Коды_код,Коды_пожарная),"")="да","да","нет")))</f>
        <v>нет</v>
      </c>
      <c r="GB27" t="str">
        <f t="shared" si="74"/>
        <v/>
      </c>
      <c r="GC27" t="str">
        <f t="shared" si="75"/>
        <v>основная</v>
      </c>
      <c r="GD27">
        <f>IF(AND(BP27=1,TRIM(AE27&amp;"")=""),IF(COUNTIFS(Линии[Щит],A27,Линии[Секция (1/2/3)],"&gt;=2")&gt;0,MIN(3,MAX(1,IFERROR(--BD27,1))),1),IFERROR(MIN(3,MAX(1,INT(--AE27))),1))</f>
        <v>1</v>
      </c>
      <c r="GE27" t="str" cm="1">
        <f t="array" ref="GE27">IF(B27="","",_xlfn.LET(_xlpm.t,IFERROR(_xlfn.XLOOKUP(1,(Шины[Шина]=GC27)*(((Шины[Щит]=A27)+(Шины[Щит]=""))&gt;0),Шины[Тип]),"")&amp;"",IF(_xlpm.t&lt;&gt;"",_xlpm.t,IF(ISNUMBER(SEARCH("ИБП",GC27)),"ИБП",IF(ISNUMBER(SEARCH("ДГУ",GC27)),"ДГУ","Ввод "&amp;GD27)))))</f>
        <v>Ввод 1</v>
      </c>
      <c r="GF27" t="str">
        <f t="shared" si="76"/>
        <v>Ввод 1</v>
      </c>
      <c r="GG27" t="str">
        <f>IF(BP27=0,"",IF(TRIM(AG27&amp;"")&lt;&gt;"",TRIM(AG27&amp;""),IF(OR(GE27="ИБП",GE27="ДГУ"),"I особая",_xlfn.XLOOKUP(A27,Щиты[Щит],Щиты[Категория шины «Ввод»],"III"))))</f>
        <v/>
      </c>
      <c r="GH27" t="str">
        <f>IF(A27="","",_xlfn.XLOOKUP(A27,Щиты[Щит],Щиты[Путь],""))</f>
        <v>|ГРЩ-ЖД|ЩГП|</v>
      </c>
      <c r="GI27" t="str">
        <f>IF(B27="","",IF(AI27&lt;&gt;"",AI27,IF(IFERROR(_xlfn.XLOOKUP(BC27,Коды_код,Коды_вид)&amp;"","")="","Прочее",_xlfn.XLOOKUP(BC27,Коды_код,Коды_вид)&amp;"")))</f>
        <v>Прочее</v>
      </c>
      <c r="GJ27">
        <f>IF(BM27="","",INT((BM27-1)/Столбцов_на_лист)+1)</f>
        <v>1</v>
      </c>
      <c r="GK27" t="str">
        <f t="shared" si="77"/>
        <v/>
      </c>
      <c r="GL27">
        <f t="shared" si="78"/>
        <v>0</v>
      </c>
      <c r="GM27">
        <f t="shared" si="79"/>
        <v>0</v>
      </c>
      <c r="GN27">
        <f t="shared" si="80"/>
        <v>1</v>
      </c>
      <c r="GO27">
        <f t="shared" si="81"/>
        <v>0</v>
      </c>
      <c r="GP27">
        <f t="shared" si="82"/>
        <v>0</v>
      </c>
      <c r="GQ27" t="str">
        <f>IF(BM27="","",IF(AND(CG27=1,GP27=1),COUNTIFS(A$3:A27,A27,CG$3:CG27,1,GP$3:GP27,1),IF(OR(OR(BA27=1,A27&lt;&gt;A26),AJ27="вручную",GP27=0),"",IF(BA27=1,"",GR26))))</f>
        <v/>
      </c>
      <c r="GR27" t="str">
        <f t="shared" si="83"/>
        <v/>
      </c>
      <c r="GS27" t="str">
        <f>IF(B27="","",IFERROR(LOOKUP(INDEX(CHOOSE(EB27,Iдоп_1ж,Iдоп_2ж,Iдоп_3ж),MATCH(EN27,Iдоп_S,0))*DZ27*EA27,{6,10,16,20,25,32,40,50,63,80,100,125,160,200,250,315,400,500,630}),""))</f>
        <v/>
      </c>
      <c r="GT27" t="str">
        <f t="shared" si="84"/>
        <v/>
      </c>
      <c r="GU27" t="str">
        <f t="shared" si="85"/>
        <v/>
      </c>
      <c r="GV27" t="str">
        <f t="shared" si="86"/>
        <v/>
      </c>
      <c r="GW27">
        <f t="shared" si="87"/>
        <v>0</v>
      </c>
      <c r="GX27" t="str">
        <f>IF(OR(B27="",DJ27=""),"",IFERROR(_xlfn.XLOOKUP(DJ27,Модули_умолч[Управление],Модули_умолч[Модель])&amp;"",""))</f>
        <v/>
      </c>
      <c r="GY27">
        <f>IF(DJ27="",1,IFERROR(MAX(0,N(_xlfn.XLOOKUP(DJ27,Модули_умолч[Управление],Модули_умолч[Каналов на линию]))),1))</f>
        <v>1</v>
      </c>
      <c r="GZ27" t="str">
        <f t="shared" si="88"/>
        <v/>
      </c>
      <c r="HA27" t="str">
        <f t="shared" si="89"/>
        <v/>
      </c>
      <c r="HB27" t="str">
        <f t="shared" si="90"/>
        <v/>
      </c>
      <c r="HC27">
        <f>IF(HB27="",0,IFERROR(N(VLOOKUP(HB27,Модули_спр,3,FALSE)),0))</f>
        <v>0</v>
      </c>
      <c r="HD27" t="str">
        <f t="shared" si="91"/>
        <v/>
      </c>
      <c r="HE27" t="str">
        <f t="shared" si="92"/>
        <v/>
      </c>
      <c r="HF27" t="str">
        <f>IF(OR(HE27="",HE27="-"),"",IFERROR(VLOOKUP(HE27,Модули_спр,2,FALSE),"R"))</f>
        <v/>
      </c>
      <c r="HG27" t="str">
        <f>IF(HF27="","",HF27&amp;"."&amp;COUNTIFS(A$3:A27,A27,HF$3:HF27,HF27))</f>
        <v/>
      </c>
      <c r="HH27" t="str">
        <f t="shared" si="93"/>
        <v/>
      </c>
      <c r="HI27" t="str">
        <f t="shared" si="94"/>
        <v/>
      </c>
      <c r="HJ27" t="str">
        <f t="shared" si="95"/>
        <v/>
      </c>
      <c r="HK27" t="str">
        <f t="shared" si="96"/>
        <v/>
      </c>
      <c r="HL27">
        <f t="shared" si="97"/>
        <v>0</v>
      </c>
      <c r="HM27" t="str">
        <f>IF(HL27=1,"XT"&amp;COUNTIFS(A$3:A27,A27,HL$3:HL27,1),"")</f>
        <v/>
      </c>
      <c r="HN27" t="str">
        <f t="shared" si="98"/>
        <v/>
      </c>
      <c r="HO27" t="str">
        <f t="shared" si="99"/>
        <v/>
      </c>
      <c r="HP27" t="str">
        <f t="shared" si="100"/>
        <v/>
      </c>
      <c r="HQ27" t="str">
        <f t="shared" si="101"/>
        <v>ok</v>
      </c>
      <c r="HR27" t="str">
        <f>IF(OR(HJ27="",HH27=""),"",IF(HJ27+MAX(0,GY27-1)&gt;IFERROR(VLOOKUP(HI27,Модули_спр,3,FALSE),99),"ЛИШНИЙ КАНАЛ",IF(AND(AL27&lt;&gt;"=",GY27&gt;0,COUNTIFS(Линии[_модуль гр.],HH27,Линии[Канал (итог)],HJ27,Линии[Канал],"&lt;&gt;=",Линии[Щит],A27)&gt;1),"ДУБЛЬ КАНАЛА","")))</f>
        <v/>
      </c>
      <c r="HS27" s="6" t="str">
        <f t="shared" si="102"/>
        <v/>
      </c>
      <c r="HT27">
        <f t="shared" si="103"/>
        <v>10</v>
      </c>
      <c r="HU27" t="str">
        <f t="shared" si="104"/>
        <v/>
      </c>
      <c r="HV27">
        <f t="shared" si="105"/>
        <v>0</v>
      </c>
      <c r="HW27">
        <f t="shared" si="106"/>
        <v>0</v>
      </c>
      <c r="HX27">
        <f t="shared" si="107"/>
        <v>0</v>
      </c>
      <c r="HY27">
        <f t="shared" si="108"/>
        <v>0</v>
      </c>
      <c r="HZ27">
        <f t="shared" si="109"/>
        <v>0</v>
      </c>
      <c r="IA27">
        <f t="shared" si="110"/>
        <v>0</v>
      </c>
      <c r="IB27">
        <f t="shared" si="111"/>
        <v>0</v>
      </c>
      <c r="IC27" t="str">
        <f t="shared" si="112"/>
        <v/>
      </c>
      <c r="ID27" t="str" cm="1">
        <f t="array" ref="ID27">IF(IC27="","",_xlfn.LET(_xlpm.tk,_xlfn.TEXTSPLIT(SUBSTITUTE(SUBSTITUTE(IC27,";"," "),"→"," ")," ",,TRUE),_xlpm.w_,_xlfn._xlws.FILTER(_xlpm.tk,ISNUMBER(--LEFT(_xlpm.tk,1))*((ISNUMBER(SEARCH("W",_xlpm.tk))+ISNUMBER(SEARCH("Вт",_xlpm.tk)))&gt;0),""),IFERROR(--SUBSTITUTE(SUBSTITUTE(UPPER(INDEX(_xlpm.w_,1)),"W",""),"ВТ",""),"")))</f>
        <v/>
      </c>
      <c r="IE27" t="str" cm="1">
        <f t="array" ref="IE27">IF(IC27="","",_xlfn.LET(_xlpm.tk,_xlfn.TEXTSPLIT(SUBSTITUTE(SUBSTITUTE(IC27,";"," "),"→"," ")," ",,TRUE),_xlpm.v_,_xlfn._xlws.FILTER(_xlpm.tk,ISNUMBER(--LEFT(_xlpm.tk,1))*((ISNUMBER(SEARCH("V",_xlpm.tk))+(RIGHT(UPPER(_xlpm.tk))="В"))&gt;0),""),IFERROR(--SUBSTITUTE(SUBSTITUTE(UPPER(INDEX(_xlpm.v_,1)),"V",""),"В",""),"")))</f>
        <v/>
      </c>
      <c r="IF27" s="6" t="str">
        <f>IF(OR(BV27=0,HI27="",HJ27=""),"",IFERROR(N(_xlfn.XLOOKUP(HI27,Каталог!$C$4:$C$500,Каталог!$Q$4:$Q$500)),""))</f>
        <v/>
      </c>
      <c r="IG27" s="6" t="str">
        <f>IF(N(IF27)=0,"",SUMIFS(Линии[Iр, А],Линии[Щит],A27,Линии[_модуль гр.],HH27,Линии[Канал (итог)],HJ27))</f>
        <v/>
      </c>
      <c r="IH27" t="str">
        <f>IF(AND(B27="",HO27=""),"",_xlfn.TEXTJOIN("; ",TRUE,IF(AND(B27&lt;&gt;"",FV27=""),"нет фазы",""),IF(AND(B27&lt;&gt;"",N(GL27)=0,FG27&lt;&gt;"Нет"),"нет мощности",""),IF(AND(HN27&lt;&gt;"",COUNTIFS(Линии[Щит],A27,Линии[Клемма (итог)],HN27)&gt;1),"дубль клеммы "&amp;HN27,""),IF(AND(HQ27&lt;&gt;"",HQ27&lt;&gt;"ok"),HQ27,""),IF(HR27&lt;&gt;"",HR27,""),IF(AND(N(CB27)&gt;=4,N(BX27)=1),CB27&amp;" жил на 1 фазе",""),IF(AND(BC27="R",CG27=1,IF(CS27&lt;&gt;"",N(CV27)&gt;30,OR(N(DA27)=0,N(DA27)&gt;30))),"розетка без дифзащиты до 30 мА",""),IF(AND(CG27=1,N(DA27)&gt;0,ISNUMBER(T27)),IF(T27&gt;N(DA27)/3,"ток утечки "&amp;FIXED(T27,1)&amp;" мА &gt; 1/3 уставки ("&amp;DA27&amp;" мА)",""),""),IF(AND(CH27=1,CS27=""),"«узо»: нет строки с УЗО выше (УЗО 2P 40А 30мА в «Аппаратах»)",""),IF(AND(CS27&lt;&gt;"",CS27=BA27),IF(CT27="","впишите номинал УЗО (УЗО 2P 40А 30мА)",IF(N(CT27)&lt;N(DT27),"УЗО "&amp;CT27&amp;" А &lt; автомата "&amp;DT27&amp;" А перед ним",IF(N(CT27)&lt;N(CX27),"УЗО "&amp;CT27&amp;" А &lt; тока блока "&amp;FIXED(CX27,1)&amp;" А",""))),""),IF(AND(CS27&lt;&gt;"",CS27=BA27,ISNUMBER(CY27)),IF(CY27&gt;N(CV27)/3,"ток утечки блока УЗО "&amp;FIXED(CY27,1)&amp;" мА &gt; 1/3 уставки ("&amp;CV27&amp;" мА)",""),""),IF(AND(CG27=1,N(BV27)+N(IB27)&gt;0,IC27=""),"линии до 50 В без БП: впишите в «Аппараты» (БП 24V 480W)",""),IF(AND(CG27=1,ISNUMBER(ID27),ISNUMBER(U27)),IF(U27&gt;ID27,"БП "&amp;ID27&amp;" Вт &lt; нужно "&amp;U27&amp;" Вт (×"&amp;Запас_БП&amp;")",""),""),IF(AND(CG27=1,ISNUMBER(IE27),N(BV27)=1),IF(IE27&lt;&gt;N(BU27),"БП на "&amp;IE27&amp;" В, линия "&amp;BU27&amp;" В",""),""),IF(AND(N(IF27)&gt;0,N(IG27)&gt;N(IF27)),HH27&amp;" канал "&amp;HJ27&amp;": "&amp;FIXED(IG27,1)&amp;" А &gt; "&amp;IF27&amp;" А",""),IFERROR(IF(AND(ISNUMBER(Q27),Q27&gt;EL27),"потери "&amp;FIXED(Q27,1)&amp;" % &gt; "&amp;EL27&amp;" %",""),""),IFERROR(IF(LEFT(HU27,4)="мало","Iкз мало — отключение &gt; 0,4 с",""),""),IF(AND(B27&lt;&gt;"",BM27=""),"не на схеме",""),IF(AND(CG27=0,B27&lt;&gt;"",FV27&lt;&gt;"",IF(BA27=1,"",FW26)&lt;&gt;"",FV27&lt;&gt;IF(BA27=1,"",FW26)),"фаза не как у автомата группы ("&amp;IF(BA27=1,"",FW26)&amp;")","")))</f>
        <v/>
      </c>
      <c r="II27" s="6" t="str">
        <f>IF(OR(CG27=0,DQ27=""),"",_xlfn.LET(_xlpm.t,IFERROR(_xlfn.XLOOKUP(DQ27,Каталог!$U$4:$U$500,Каталог!$G$4:$G$500),""),_xlpm.k,SEARCH("кА",_xlpm.t),IFERROR(--TRIM(RIGHT(SUBSTITUTE(MID(_xlpm.t,MAX(1,_xlpm.k-4),_xlpm.k-MAX(1,_xlpm.k-4))," ",REPT(" ",9)),5)),"")))</f>
        <v/>
      </c>
      <c r="IJ27" t="str">
        <f>IF(OR(II27="",CG27=0),"",IF(_xlfn.XLOOKUP(A27,Щиты[Щит],Щиты[Iкз max на шинах, кА],"")="","",IF(II27&lt;_xlfn.XLOOKUP(A27,Щиты[Щит],Щиты[Iкз max на шинах, кА]),"Icu "&amp;II27&amp;" кА &lt; Iкз max","ok")))</f>
        <v/>
      </c>
      <c r="IK27" t="str">
        <f t="shared" si="113"/>
        <v/>
      </c>
      <c r="IL27" t="str">
        <f t="shared" si="114"/>
        <v/>
      </c>
      <c r="IM27" t="str">
        <f t="shared" si="115"/>
        <v/>
      </c>
      <c r="IN27" t="str" cm="1">
        <f t="array" ref="IN27">IF(IM27="","",_xlfn.LET(_xlpm.nd,_xlfn.TEXTSPLIT(IM27,"|"),IF(COLUMNS(_xlpm.nd)&gt;1,A27&amp;"¦"&amp;INDEX(_xlpm.nd,1)&amp;"¦"&amp;INDEX(_xlpm.nd,2),"")))</f>
        <v/>
      </c>
      <c r="IO27" t="str">
        <f t="shared" si="116"/>
        <v/>
      </c>
      <c r="IP27" t="str" cm="1">
        <f t="array" ref="IP27">IF(IM27="","",_xlfn.LET(_xlpm.nd,_xlfn.TEXTSPLIT(IM27,"|"),IF(COLUMNS(_xlpm.nd)&gt;2,A27&amp;"¦"&amp;INDEX(_xlpm.nd,2)&amp;"¦"&amp;INDEX(_xlpm.nd,3),"")))</f>
        <v/>
      </c>
      <c r="IQ27" t="str">
        <f t="shared" si="117"/>
        <v/>
      </c>
      <c r="IR27" t="str" cm="1">
        <f t="array" ref="IR27">IF(IM27="","",_xlfn.LET(_xlpm.nd,_xlfn.TEXTSPLIT(IM27,"|"),IF(COLUMNS(_xlpm.nd)&gt;3,A27&amp;"¦"&amp;INDEX(_xlpm.nd,3)&amp;"¦"&amp;INDEX(_xlpm.nd,4),"")))</f>
        <v/>
      </c>
      <c r="IS27" t="str">
        <f t="shared" si="118"/>
        <v/>
      </c>
      <c r="IT27" t="str" cm="1">
        <f t="array" ref="IT27">IF(IM27="","",_xlfn.LET(_xlpm.nd,_xlfn.TEXTSPLIT(IM27,"|"),IF(COLUMNS(_xlpm.nd)&gt;4,A27&amp;"¦"&amp;INDEX(_xlpm.nd,4)&amp;"¦"&amp;INDEX(_xlpm.nd,5),"")))</f>
        <v/>
      </c>
      <c r="IU27" t="str">
        <f t="shared" si="119"/>
        <v/>
      </c>
      <c r="IV27" t="str" cm="1">
        <f t="array" ref="IV27">IF(IM27="","",_xlfn.LET(_xlpm.nd,_xlfn.TEXTSPLIT(IM27,"|"),IF(COLUMNS(_xlpm.nd)&gt;5,A27&amp;"¦"&amp;INDEX(_xlpm.nd,5)&amp;"¦"&amp;INDEX(_xlpm.nd,6),"")))</f>
        <v/>
      </c>
      <c r="IW27" t="str">
        <f t="shared" si="120"/>
        <v/>
      </c>
      <c r="IX27" t="str" cm="1">
        <f t="array" ref="IX27">IF(IM27="","",_xlfn.LET(_xlpm.nd,_xlfn.TEXTSPLIT(IM27,"|"),IF(COLUMNS(_xlpm.nd)&gt;6,A27&amp;"¦"&amp;INDEX(_xlpm.nd,6)&amp;"¦"&amp;INDEX(_xlpm.nd,7),"")))</f>
        <v/>
      </c>
      <c r="IY27" t="str">
        <f t="shared" si="121"/>
        <v/>
      </c>
      <c r="IZ27" t="str">
        <f t="shared" si="122"/>
        <v/>
      </c>
      <c r="JA27" t="str">
        <f t="shared" si="123"/>
        <v/>
      </c>
      <c r="JB27">
        <f t="shared" si="124"/>
        <v>0</v>
      </c>
      <c r="JC27">
        <f t="shared" si="125"/>
        <v>0</v>
      </c>
      <c r="JD27" t="str">
        <f t="shared" si="126"/>
        <v/>
      </c>
      <c r="JE27" t="str">
        <f t="shared" si="127"/>
        <v/>
      </c>
      <c r="JF27" t="str">
        <f t="shared" si="128"/>
        <v/>
      </c>
      <c r="JG27" t="str">
        <f t="shared" si="129"/>
        <v/>
      </c>
      <c r="JH27">
        <f>IF(B27="","",IFERROR(_xlfn.XLOOKUP(B27,Коды_код,Коды_уго),IFERROR(_xlfn.XLOOKUP(BC27,Коды_код,Коды_уго),IFERROR(_xlfn.XLOOKUP(LEFT(BC27,2),Коды_код,Коды_уго),""))))</f>
        <v>0</v>
      </c>
      <c r="JI27" t="str">
        <f>IF(B27="","",IF(OR(JH27="",JH27=0),"BOX",IFERROR(IF(VLOOKUP(JH27,УГО_блоки,3,FALSE)&amp;""&lt;&gt;"",VLOOKUP(JH27,УГО_блоки,3,FALSE),VLOOKUP(JH27,УГО_блоки,2,FALSE)),JH27)))</f>
        <v>BOX</v>
      </c>
      <c r="JJ27">
        <f t="shared" si="130"/>
        <v>1</v>
      </c>
      <c r="JK27" t="str">
        <f>IF(DQ27="","",IF(COUNTIF(DQ$3:DQ27,DQ27)=1,MAX(JK$2:JK26)+1,""))</f>
        <v/>
      </c>
      <c r="JL27" t="str">
        <f>IF(DE27="","",IF(COUNTIF(DE$3:DE27,DE27)+COUNTIF(DF$2:DF26,DE27)+COUNTIF(DG$2:DG26,DE27)=1,MAX(JL$2:JN26)+1,""))</f>
        <v/>
      </c>
      <c r="JM27" t="str">
        <f>IF(DF27="","",IF(COUNTIF(DE$3:DE27,DF27)+COUNTIF(DF$3:DF27,DF27)+COUNTIF(DG$2:DG26,DF27)=1,MAX(JL$2:JN26,JL27)+1,""))</f>
        <v/>
      </c>
      <c r="JN27" t="str">
        <f>IF(DG27="","",IF(COUNTIF(DE$3:DE27,DG27)+COUNTIF(DF$3:DF27,DG27)+COUNTIF(DG$3:DG27,DG27)=1,MAX(JL$2:JN26,JL27,JM27)+1,""))</f>
        <v/>
      </c>
      <c r="JO27" t="str">
        <f t="shared" si="131"/>
        <v/>
      </c>
      <c r="JP27" t="str">
        <f>IF(JO27="","",IF(COUNTIF(JO$3:JO27,JO27)=1,MAX(JP$2:JP26)+1,""))</f>
        <v/>
      </c>
      <c r="JQ27" t="str">
        <f>IF(HG27="","",COUNTIF(HG$3:HG27,"?*"))</f>
        <v/>
      </c>
      <c r="JR27" t="str">
        <f>IF(OR(HG27="",HI27=""),"",IF(COUNTIFS(HG$3:HG27,"?*",HI$3:HI27,HI27)=1,MAX(JR$2:JR26)+1,""))</f>
        <v/>
      </c>
      <c r="JS27">
        <f t="shared" si="132"/>
        <v>0</v>
      </c>
      <c r="JT27">
        <f>IF(B27="","",COUNTIF(B$3:B27,"?*"))</f>
        <v>25</v>
      </c>
      <c r="JU27">
        <f>IF(HL27&lt;&gt;1,0,_xlfn.LET(_xlpm.k,MAX(IFERROR(--_xlfn.XLOOKUP(B27,Коды_код,Коды_3L),0),IFERROR(--_xlfn.XLOOKUP(BC27,Коды_код,Коды_3L),0),IFERROR(--_xlfn.XLOOKUP(LEFT(BC27,2),Коды_код,Коды_3L),0)),IF(_xlpm.k&gt;0,_xlpm.k,IF(IFERROR(--LEFT(SUBSTITUTE(JO27,"x","х"),FIND("х",SUBSTITUTE(JO27,"x","х"))-1),3)&gt;3,Каталог!$S$9,1))))</f>
        <v>0</v>
      </c>
      <c r="JV27">
        <f t="shared" si="133"/>
        <v>0</v>
      </c>
      <c r="JW27" t="str">
        <f t="shared" si="134"/>
        <v>авто</v>
      </c>
      <c r="JX27" t="str">
        <f t="shared" si="135"/>
        <v/>
      </c>
      <c r="JY27">
        <f t="shared" si="136"/>
        <v>0</v>
      </c>
      <c r="JZ27">
        <f t="shared" si="137"/>
        <v>1</v>
      </c>
    </row>
    <row r="28" spans="1:286" x14ac:dyDescent="0.3">
      <c r="A28" t="s">
        <v>782</v>
      </c>
      <c r="B28" t="s">
        <v>208</v>
      </c>
      <c r="C28" t="str">
        <f>Линии[[#This Row],[_авто наименование]]</f>
        <v>Питание от ИБП</v>
      </c>
      <c r="D28">
        <v>1</v>
      </c>
      <c r="E28" t="str">
        <f>Линии[[#This Row],[_авто Р]]</f>
        <v/>
      </c>
      <c r="G28" t="str">
        <f>Линии[[#This Row],[_авто автомат]]</f>
        <v>1P С6А</v>
      </c>
      <c r="H28" t="str">
        <f>Линии[[#This Row],[_авто управление]]</f>
        <v/>
      </c>
      <c r="I28" t="str">
        <f>Линии[[#This Row],[_авто аппараты]]</f>
        <v/>
      </c>
      <c r="J28" t="str">
        <f>Линии[[#This Row],[_авто сечение]]</f>
        <v/>
      </c>
      <c r="K28" t="str">
        <f>Линии[[#This Row],[_авто длина по плану]]</f>
        <v/>
      </c>
      <c r="L28" t="str">
        <f>Линии[[#This Row],[_авто фаза]]</f>
        <v>L1</v>
      </c>
      <c r="M28" t="str">
        <f>Линии[[#This Row],[_авто клемма]]</f>
        <v/>
      </c>
      <c r="N28" t="str">
        <f t="shared" si="0"/>
        <v/>
      </c>
      <c r="O28" s="6" cm="1">
        <f t="array" ref="O28">IF(B28="","",IF(BH28&lt;&gt;"",IFERROR(_xlfn.XLOOKUP(BH28,Щиты[Щит],Щиты[Iр, А]),""),IF(BP28=1,IF(OR(N(_xlfn.XLOOKUP(A28,Щиты[Щит],Щиты[Вводов],1))&lt;=1,LOWER(TRIM(_xlfn.XLOOKUP(A28,Щиты[Щит],Щиты[АВР],"")&amp;""))="да"),IFERROR(_xlfn.XLOOKUP(A28,Щиты[Щит],Щиты[Iр, А]),""),IFERROR(N(BS28)*_xlfn.XLOOKUP(A28,Щиты[Щит],Щиты[Кс итог])/(SQRT(3)*Uн_лин*_xlfn.XLOOKUP(A28,Щиты[Щит],Щиты[cos φ])),"")),IF(BV28=1,IFERROR(BS28*1000/BU28,""),IFERROR(_xlfn.IFS(BX28=1,BS28/((Uн_лин/SQRT(3))*CE28),BX28=3,BS28/(SQRT(3)*Uн_лин*CE28)),"")))))</f>
        <v>0</v>
      </c>
      <c r="P28" s="7" t="str">
        <f>IF(B28="","",IFERROR(IF(VLOOKUP(BC28,Потребители_обозначение,4,FALSE)=1,VLOOKUP(BC28,Потребители_обозначение,3,FALSE)*(MAX(1,N(D28))*2-1)+EI28+VLOOKUP(BE28,Этаж_обозначение,3,FALSE)+VLOOKUP(BE28,Этаж_обозначение,4,FALSE),VLOOKUP(BC28,Потребители_обозначение,3,FALSE)*(MAX(1,N(D28))*2-1)+EI28),EI28))</f>
        <v/>
      </c>
      <c r="Q28" s="6" t="str">
        <f t="shared" si="1"/>
        <v/>
      </c>
      <c r="R28" t="str">
        <f t="shared" si="2"/>
        <v/>
      </c>
      <c r="S28" t="str">
        <f>IF(BM28="","",IF(BN28="вводной узел","узел ","")&amp;"л."&amp;(INT((BM28-1)/Столбцов_на_лист)+1)&amp;" / "&amp;(MOD(BM28-1,Столбцов_на_лист)+1))</f>
        <v>узел л.1 / 11</v>
      </c>
      <c r="T28" s="119">
        <f t="shared" si="3"/>
        <v>0</v>
      </c>
      <c r="U28" s="7" t="str">
        <f>IF(OR(CG28=0,N(BV28)+N(IB28)=0),"",ROUNDUP(Запас_БП*(N(HY28)+N(HZ28)),0))</f>
        <v/>
      </c>
      <c r="V28" s="119" t="str">
        <f t="shared" si="4"/>
        <v/>
      </c>
      <c r="W28" s="7" t="str">
        <f>IFERROR(IF(OR(B28="",BP28=1,BV28=1,NOT(ISNUMBER(EN28)),N(DT28)=0),"",MAX(0,ROUNDDOWN((c_min*(Uн_лин*1000/SQRT(3))/(HT28*N(DT28))-_xlfn.XLOOKUP(A28,Щиты[Щит],Щиты[Zпетли на шинах, Ом]))*EN28/(2*ρкз_Cu),0))),"")</f>
        <v/>
      </c>
      <c r="Y28" t="str">
        <f>Линии[[#This Row],[_авто утечка]]</f>
        <v/>
      </c>
      <c r="Z28">
        <f>Линии[[#This Row],[_авто фаз]]</f>
        <v>1</v>
      </c>
      <c r="AA28">
        <v>400</v>
      </c>
      <c r="AB28" t="s">
        <v>547</v>
      </c>
      <c r="AK28" t="str">
        <f>Линии[[#This Row],[_авто модуль]]</f>
        <v/>
      </c>
      <c r="AM28">
        <v>11</v>
      </c>
      <c r="AN28" t="str">
        <f>Линии[[#This Row],[_авто марка]]</f>
        <v/>
      </c>
      <c r="AO28" t="str">
        <f>Линии[[#This Row],[_авто жил]]</f>
        <v/>
      </c>
      <c r="BA28" cm="1">
        <f t="array" ref="BA28">ROW()-ROW(Линии[#Headers])</f>
        <v>26</v>
      </c>
      <c r="BC28" s="6" t="str">
        <f t="shared" si="5"/>
        <v>От ИБП</v>
      </c>
      <c r="BD28" t="str">
        <f t="shared" si="6"/>
        <v/>
      </c>
      <c r="BE28" t="str">
        <f t="shared" si="7"/>
        <v/>
      </c>
      <c r="BF28" t="str">
        <f t="shared" si="8"/>
        <v/>
      </c>
      <c r="BG28" t="str">
        <f t="shared" si="9"/>
        <v/>
      </c>
      <c r="BH28" t="str">
        <f>IF(X28&lt;&gt;"",X28,IF(AND(B28&lt;&gt;"",B28&lt;&gt;A28,ISNUMBER(_xlfn.XMATCH(B28,Щиты[Щит]))),B28,""))</f>
        <v/>
      </c>
      <c r="BI28" t="str" cm="1">
        <f t="array" ref="BI28">IF(B28="","",IF(BH28&lt;&gt;"","Щит "&amp;BH28,_xlfn.LET(_xlpm.nm,IFERROR(_xlfn.XLOOKUP(BC28,Коды_код,Коды_имя)&amp;"",""),_xlpm.md,IFERROR(N(_xlfn.XLOOKUP(BC28,Коды_код,Коды_режим)),1),_xlpm.ex,IF(Имя_режим="по экспликации",IFERROR(_xlfn.XLOOKUP(BE28&amp;"|"&amp;BG28,Экспликация[Этаж]&amp;"|"&amp;Экспликация[Помещение],Экспликация[Название])&amp;"",""),""),_xlpm.rm,IF(BG28="","",IF(_xlpm.ex&lt;&gt;"",". "&amp;_xlpm.ex&amp;IF(Имя_пом="нет"," ("&amp;BG28&amp;")"," (пом. "&amp;BG28&amp;")"),IF(Имя_пом="нет"," ",", пом. ")&amp;BG28)),IF(_xlpm.nm="","",IF(_xlpm.md=2,_xlpm.nm&amp;" шлейф "&amp;BE28,_xlpm.nm&amp;_xlpm.rm)))))</f>
        <v>Питание от ИБП</v>
      </c>
      <c r="BJ28" t="str">
        <f t="shared" si="10"/>
        <v>Питание от ИБП</v>
      </c>
      <c r="BK28">
        <f>IFERROR(_xlfn.XMATCH(A28,Щиты[Щит]),0)</f>
        <v>2</v>
      </c>
      <c r="BL28">
        <f>_xlfn.LET(_xlpm.k,IFERROR(_xlfn.XLOOKUP(A28,Щиты[Щит],Щиты[Мест под вводной узел]),""),IF(_xlpm.k="",Столбцов_на_лист,N(_xlpm.k)))</f>
        <v>13</v>
      </c>
      <c r="BM28">
        <f t="shared" si="11"/>
        <v>11</v>
      </c>
      <c r="BN28" t="str">
        <f t="shared" si="12"/>
        <v>вводной узел</v>
      </c>
      <c r="BO28" s="6">
        <f>IFERROR(N(_xlfn.XLOOKUP(BC28,Коды_код,Коды_квт)),0)</f>
        <v>0</v>
      </c>
      <c r="BP28">
        <f t="shared" si="13"/>
        <v>0</v>
      </c>
      <c r="BQ28" t="str">
        <f>IF(B28="","",IF(BH28&lt;&gt;"",IFERROR(_xlfn.XLOOKUP(BH28,Щиты[Щит],Щиты[Руст, кВт]),0),IF(BP28=1,IF(OR(N(_xlfn.XLOOKUP(A28,Щиты[Щит],Щиты[Вводов],1))&lt;=1,LOWER(TRIM(_xlfn.XLOOKUP(A28,Щиты[Щит],Щиты[АВР],"")&amp;""))="да"),IFERROR(_xlfn.XLOOKUP(A28,Щиты[Щит],Щиты[Руст, кВт]),0),SUMIFS(Линии[_Р для вводов],Линии[Щит],A28,Линии[Источник для режимов],GF28)),IF(BO28&gt;0,ROUND(BO28*MAX(1,N(D28)),3),""))))</f>
        <v/>
      </c>
      <c r="BR28" t="str">
        <f t="shared" si="14"/>
        <v/>
      </c>
      <c r="BS28" s="6">
        <f>IF(B28="","",IF(BH28&lt;&gt;"",IFERROR(_xlfn.XLOOKUP(BH28,Щиты[Щит],Щиты[Руст, кВт]),0),N(BR28)))</f>
        <v>0</v>
      </c>
      <c r="BT28" t="str">
        <f>IF(B28="","",IFERROR(IF(VLOOKUP(BC28,Потребители_обозначение,8,FALSE)=0,"",VLOOKUP(BC28,Потребители_обозначение,8,FALSE)),""))</f>
        <v/>
      </c>
      <c r="BU28">
        <f t="shared" si="15"/>
        <v>400</v>
      </c>
      <c r="BV28">
        <f t="shared" si="16"/>
        <v>0</v>
      </c>
      <c r="BW28">
        <f>IF(B28="","",IF(BH28&lt;&gt;"",3,IFERROR(IF(N(VLOOKUP(BC28,Потребители_обозначение,9,FALSE))=0,1,VLOOKUP(BC28,Потребители_обозначение,9,FALSE)),1)))</f>
        <v>1</v>
      </c>
      <c r="BX28">
        <f t="shared" si="17"/>
        <v>1</v>
      </c>
      <c r="BY28" t="str">
        <f>IF(B28="","",_xlfn.LET(_xlpm.bc,IFERROR(IF(VLOOKUP(BC28,Потребители_обозначение,6,FALSE)=0,"",VLOOKUP(BC28,Потребители_обозначение,6,FALSE)&amp;""),""),IF(AND(GA28="да",OR(_xlpm.bc="",_xlpm.bc="мс")),Марка_пож,IF(AND(_xlpm.bc="",BH28&lt;&gt;""),"мс",_xlpm.bc))))</f>
        <v/>
      </c>
      <c r="BZ28" t="str">
        <f t="shared" si="18"/>
        <v/>
      </c>
      <c r="CA28" t="str">
        <f>IF(B28="","",_xlfn.LET(_xlpm.cc,IFERROR(N(VLOOKUP(BC28,Потребители_обозначение,7,FALSE)),0),IF(_xlpm.cc&gt;0,_xlpm.cc,IF(BZ28="","",IF(BV28=1,2,IF(N(BX28)=3,5,3))))))</f>
        <v/>
      </c>
      <c r="CB28" t="str">
        <f t="shared" si="19"/>
        <v/>
      </c>
      <c r="CC28">
        <f>IFERROR(N(VLOOKUP(BC28,Потребители_обозначение,10,FALSE)),0)</f>
        <v>0</v>
      </c>
      <c r="CD28">
        <f>IFERROR(VLOOKUP(BC28,Потребители_обозначение,5,FALSE),0)</f>
        <v>1</v>
      </c>
      <c r="CE28" s="6" cm="1">
        <f t="array" ref="CE28">IF(B28="","",IF(BH28&lt;&gt;"",IFERROR(_xlfn.XLOOKUP(BH28,Щиты[Щит],Щиты[cos φ]),0.95),IF(BP28=1,IFERROR(_xlfn.XLOOKUP(A28,Щиты[Щит],Щиты[cos φ]),0.95),IF(ISNUMBER(AD28),AD28,IFERROR(IF(CD28=2,_xlfn.IFS(BX28=3,VLOOKUP(BS28,Справочная_двигатели,8,FALSE),BX28=1,VLOOKUP(BS28,Справочная_двигатели,10,TRUE)),IF(AND(Методика="нормы 2026",FG28="Сил"),0.8,0.95)),0.95)))))</f>
        <v>0.95</v>
      </c>
      <c r="CF28">
        <f t="shared" si="20"/>
        <v>0</v>
      </c>
      <c r="CG28">
        <f t="shared" si="21"/>
        <v>1</v>
      </c>
      <c r="CH28">
        <f t="shared" si="22"/>
        <v>0</v>
      </c>
      <c r="CI28">
        <f>IF(B28="","",IF(BV28=1,IFERROR(BS28/((Uн_лин/SQRT(3))*MAX(0.5,N(CE28))),0),N(O28)))</f>
        <v>0</v>
      </c>
      <c r="CJ28">
        <f t="shared" si="23"/>
        <v>0</v>
      </c>
      <c r="CK28">
        <f t="shared" si="24"/>
        <v>0</v>
      </c>
      <c r="CL28">
        <f t="shared" si="25"/>
        <v>0</v>
      </c>
      <c r="CM28">
        <f t="shared" si="26"/>
        <v>0</v>
      </c>
      <c r="CN28">
        <f t="shared" si="27"/>
        <v>0</v>
      </c>
      <c r="CO28">
        <f>IF(BC28="",0,_xlfn.LET(_xlpm.v,IFERROR(_xlfn.XLOOKUP(B28,Коды_код,Коды_мА),IFERROR(_xlfn.XLOOKUP(BC28,Коды_код,Коды_мА),IFERROR(_xlfn.XLOOKUP(LEFT(BC28,2),Коды_код,Коды_мА),""))),IF(_xlpm.v="да",30,IF(ISNUMBER(_xlpm.v),_xlpm.v,0))))</f>
        <v>0</v>
      </c>
      <c r="CP28" t="str">
        <f t="shared" si="28"/>
        <v/>
      </c>
      <c r="CQ28" t="str">
        <f>_xlfn.LET(_xlpm.k,IFERROR(_xlfn.XLOOKUP(BC28,Коды_код,Коды_утечка)&amp;"",""),IF(_xlpm.k="","дифавтомат",_xlpm.k))</f>
        <v>дифавтомат</v>
      </c>
      <c r="CR28" t="str" cm="1">
        <f t="array" ref="CR28">IF(CG28=0,"",_xlfn.LET(_xlpm.sg,TRIM(_xlfn.TEXTSPLIT(DD28&amp;"",";")),_xlpm.f_,_xlfn._xlws.FILTER(_xlpm.sg,LEFT(_xlpm.sg,3)="УЗО",""),IFERROR(INDEX(_xlpm.f_,1)&amp;"","")))</f>
        <v/>
      </c>
      <c r="CS28" t="str">
        <f t="shared" si="29"/>
        <v/>
      </c>
      <c r="CT28" s="6" t="str" cm="1">
        <f t="array" ref="CT28">IF(CR28="","",_xlfn.LET(_xlpm.tk,_xlfn.TEXTSPLIT(UPPER(CR28)," ",,TRUE),_xlpm.a_,_xlfn._xlws.FILTER(_xlpm.tk,ISNUMBER(--LEFT(_xlpm.tk,1))*((ISNUMBER(SEARCH("А",_xlpm.tk))+ISNUMBER(SEARCH("A",_xlpm.tk)))&gt;0)*NOT(ISNUMBER(SEARCH("МА",_xlpm.tk)))*NOT(ISNUMBER(SEARCH("MA",_xlpm.tk))),""),IFERROR(--SUBSTITUTE(SUBSTITUTE(INDEX(_xlpm.a_,1),"А",""),"A",""),"")))</f>
        <v/>
      </c>
      <c r="CU28" t="str" cm="1">
        <f t="array" ref="CU28">IF(CR28="","",_xlfn.LET(_xlpm.tk,_xlfn.TEXTSPLIT(UPPER(CR28)," ",,TRUE),_xlpm.a_,_xlfn._xlws.FILTER(_xlpm.tk,ISNUMBER(--LEFT(_xlpm.tk,1))*((ISNUMBER(SEARCH("МА",_xlpm.tk))+ISNUMBER(SEARCH("MA",_xlpm.tk)))&gt;0),""),IFERROR(--SUBSTITUTE(SUBSTITUTE(INDEX(_xlpm.a_,1),"МА",""),"MA",""),30)))</f>
        <v/>
      </c>
      <c r="CV28" t="str">
        <f>IF(CS28="","",IFERROR(_xlfn.XLOOKUP(CS28,Линии[_n],Линии[_УЗО, мА]),30))</f>
        <v/>
      </c>
      <c r="CW28">
        <f>IF(CS28="",0,IF(ISNUMBER(SEARCH("4P",IFERROR(_xlfn.XLOOKUP(CS28,Линии[_n],Линии[_УЗО строки])&amp;"",""))),0,1))</f>
        <v>0</v>
      </c>
      <c r="CX28" t="str">
        <f>IF(AND(CS28&lt;&gt;"",CS28=BA28),SUMIFS(Линии[_ток на 230 В],Линии[_блок УЗО],BA28,Линии[Щит],A28),"")</f>
        <v/>
      </c>
      <c r="CY28" t="str">
        <f>IF(AND(CS28&lt;&gt;"",CS28=BA28),SUMIFS(Линии[_ток утечки линии, мА],Линии[_блок УЗО],BA28,Линии[Щит],A28),"")</f>
        <v/>
      </c>
      <c r="CZ28">
        <f t="shared" si="30"/>
        <v>0</v>
      </c>
      <c r="DA28">
        <f t="shared" si="31"/>
        <v>0</v>
      </c>
      <c r="DB28">
        <f>IF(B28="",0,IFERROR(--_xlfn.XLOOKUP(B28,Коды_код,Коды_минавт),IFERROR(--_xlfn.XLOOKUP(BC28,Коды_код,Коды_минавт),IFERROR(--_xlfn.XLOOKUP(LEFT(BC28,2),Коды_код,Коды_минавт),0))))</f>
        <v>0</v>
      </c>
      <c r="DC28" t="str">
        <f>IF(B28="","",IFERROR(_xlfn.XLOOKUP(BC28,Коды_код,Коды_апп)&amp;"",""))</f>
        <v/>
      </c>
      <c r="DD28" t="str">
        <f t="shared" si="32"/>
        <v/>
      </c>
      <c r="DE28" t="str" cm="1">
        <f t="array" ref="DE28">IF(TRIM(DD28&amp;"")="","",IFERROR(TRIM(INDEX(_xlfn.TEXTSPLIT(DD28&amp;";;;",";"),1)),""))</f>
        <v/>
      </c>
      <c r="DF28" t="str" cm="1">
        <f t="array" ref="DF28">IF(TRIM(DD28&amp;"")="","",IFERROR(TRIM(INDEX(_xlfn.TEXTSPLIT(DD28&amp;";;;",";"),2)),""))</f>
        <v/>
      </c>
      <c r="DG28" t="str" cm="1">
        <f t="array" ref="DG28">IF(TRIM(DD28&amp;"")="","",IFERROR(TRIM(INDEX(_xlfn.TEXTSPLIT(DD28&amp;";;;",";"),3)),""))</f>
        <v/>
      </c>
      <c r="DH28">
        <f t="shared" si="33"/>
        <v>0</v>
      </c>
      <c r="DI28" t="str">
        <f>IF(B28="","",_xlfn.LET(_xlpm.t,LOWER(AZ28&amp;""),IF(ISNUMBER(SEARCH("dim",_xlpm.t)),"DIM",IF(ISNUMBER(SEARCH("dali",_xlpm.t)),"DALI",IF(OR(ISNUMBER(SEARCH("relay",_xlpm.t)),ISNUMBER(SEARCH("реле",_xlpm.t))),"Relay",IF(ISNUMBER(SEARCH("кнопк",_xlpm.t)),"",IFERROR(_xlfn.XLOOKUP(BC28,Коды_код,Коды_упр)&amp;"","")))))))</f>
        <v/>
      </c>
      <c r="DJ28" t="str">
        <f t="shared" si="34"/>
        <v/>
      </c>
      <c r="DK28">
        <f>IF(B28="","",_xlfn.LET(_xlpm.ig,IF(N(CX28)&gt;0,N(CX28),N(CI28)+IF(AJ28="вручную",0,N(CJ28))),_xlpm.n0,IFERROR(VLOOKUP(_xlpm.ig,Автомат_номиналы,2,TRUE),0),_xlpm.mn,MAX(DB28,IF(AJ28="вручную",0,N(CM28))),MAX(_xlpm.n0,_xlpm.mn,IF(DH28=1,Мин_автомат_БП,0))))</f>
        <v>6</v>
      </c>
      <c r="DL28">
        <f t="shared" si="35"/>
        <v>1</v>
      </c>
      <c r="DM28" t="str">
        <f t="shared" si="36"/>
        <v>1P</v>
      </c>
      <c r="DN28" t="str">
        <f>_xlfn.LET(_xlpm.cc,UPPER(TRIM(IFERROR(_xlfn.XLOOKUP(BC28,Коды_код,Коды_хар)&amp;"",""))),IF(OR(_xlpm.cc="B",_xlpm.cc="В"),"B",IF(_xlpm.cc="D","D","С")))</f>
        <v>С</v>
      </c>
      <c r="DO28" t="str">
        <f t="shared" si="37"/>
        <v>1P С6А</v>
      </c>
      <c r="DP28" t="str">
        <f t="shared" si="38"/>
        <v>1P С6А</v>
      </c>
      <c r="DQ28" t="str">
        <f t="shared" si="39"/>
        <v>1P С6А</v>
      </c>
      <c r="DR28" cm="1">
        <f t="array" ref="DR28">IF(DQ28="","",_xlfn.LET(_xlpm.t,SUBSTITUTE(SUBSTITUTE(SUBSTITUTE(UPPER(DQ28),"С","C"),"А","A"),"В","B"),_xlpm.tk,_xlfn.TEXTSPLIT(_xlpm.t," "),_xlpm.f,_xlfn._xlws.FILTER(_xlpm.tk,ISNUMBER(--MID(_xlpm.tk,2,1))*ISNUMBER(SEARCH(LEFT(_xlpm.tk,1)&amp;"#","B#C#D#"))*(LEN(_xlpm.tk)&gt;1),""),_xlpm.x,INDEX(_xlpm.f,1),IFERROR(--SUBSTITUTE(MID(_xlpm.x,2,9),"A",""),IFERROR(--SUBSTITUTE(INDEX(_xlfn._xlws.FILTER(_xlpm.tk,ISNUMBER(--SUBSTITUTE(_xlpm.tk,"A","")),""),1),"A",""),""))))</f>
        <v>6</v>
      </c>
      <c r="DS28" t="str">
        <f t="shared" si="40"/>
        <v>ok</v>
      </c>
      <c r="DT28">
        <f t="shared" si="41"/>
        <v>6</v>
      </c>
      <c r="DU28" t="str">
        <f t="shared" si="42"/>
        <v>1P С6А</v>
      </c>
      <c r="DV28">
        <f t="shared" si="43"/>
        <v>0</v>
      </c>
      <c r="DW28">
        <f t="shared" si="44"/>
        <v>0</v>
      </c>
      <c r="DX28">
        <f t="shared" si="45"/>
        <v>0</v>
      </c>
      <c r="DY28">
        <f t="shared" si="46"/>
        <v>0</v>
      </c>
      <c r="DZ28">
        <f t="shared" si="47"/>
        <v>1</v>
      </c>
      <c r="EA28">
        <f>IF(ISNUMBER(AP28),AP28,К_прокл)</f>
        <v>1</v>
      </c>
      <c r="EB28">
        <f t="shared" si="48"/>
        <v>2</v>
      </c>
      <c r="EC28">
        <f>IFERROR(N(VLOOKUP(BZ28,Кабель_обозначение,3,FALSE)),1)</f>
        <v>1</v>
      </c>
      <c r="ED28">
        <f>IFERROR(N(_xlfn.XLOOKUP(A28,Щиты[Щит],Щиты[ΔU до шин, %])),0)</f>
        <v>0</v>
      </c>
      <c r="EE28" t="str">
        <f>IFERROR(_xlfn.XLOOKUP(A28,Щиты[Щит],Щиты[Zпетли на шинах, Ом]),"")</f>
        <v/>
      </c>
      <c r="EF28">
        <f>IFERROR(N(_xlfn.XLOOKUP(A28,Щиты[Щит],Щиты[ΔU до шин (подбор), %])),0)</f>
        <v>0</v>
      </c>
      <c r="EG28" t="str">
        <f>IFERROR(_xlfn.XLOOKUP(A28,Щиты[Щит],Щиты[Zпетли на шинах (подбор), Ом]),"")</f>
        <v/>
      </c>
      <c r="EH28" t="str">
        <f t="shared" si="49"/>
        <v/>
      </c>
      <c r="EI28" t="str">
        <f t="shared" si="50"/>
        <v/>
      </c>
      <c r="EJ28">
        <f t="shared" si="51"/>
        <v>2</v>
      </c>
      <c r="EK28">
        <f t="shared" si="52"/>
        <v>0.31</v>
      </c>
      <c r="EL28" s="6">
        <f>IF(B28="","",IF(BV28=1,dU_LED,IF(IFERROR(_xlfn.XLOOKUP(BC28,Коды_код,Коды_уго),"")="Светильник",3,4)+IF(Методика="нормы 2026",MIN(0.5,MAX(0,N(P28)-100)*0.005),0)))</f>
        <v>4</v>
      </c>
      <c r="EM28" t="str" cm="1">
        <f t="array" ref="EM28">IF(OR(B28="",BZ28="",EC28&lt;&gt;1),"",_xlfn.LET(_xlpm.sz,Iдоп_S,_xlpm.t_,CHOOSE(EB28,Iдоп_1ж,Iдоп_2ж,Iдоп_3ж)*DZ28*EA28,_xlpm.dcx,BV28=1,_xlpm.inn,IF(_xlpm.dcx,N(O28),N(DT28)),_xlpm.smin,MAX(1.5,CC28),_xlpm.L_,N(P28)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28)/N(BU28)*100,999),IFERROR(N(EJ28)*(_xlpm.rho*_xlpm.L_/_xlpm.sz*N(CE28)+_xlpm.xx*_xlpm.L_*N(EK28)/1000)*N(O28)/((Uн_лин/SQRT(3))*1000)*100,999)),_xlpm.kz,IF(OR(_xlpm.dcx,DW28=1,NOT(ISNUMBER(EG28)),_xlpm.L_=0,_xlpm.inn=0),1,IFERROR(--(c_min*(Uн_лин*1000/SQRT(3))/(EG28+2*ρкз_Cu*_xlpm.L_/_xlpm.sz)&gt;=HT28*_xlpm.inn),0)),_xlpm.ok,IFERROR((_xlpm.sz&gt;=_xlpm.smin)*(_xlpm.t_&gt;=_xlpm.inn)*IF(_xlpm.L_&gt;0,(_xlpm.du_+IF(_xlpm.dcx,0,EF28)&lt;=EL28+0.00001),1)*_xlpm.kz,0),_xlpm.r_,_xlfn._xlws.FILTER(_xlpm.sz,_xlpm.ok,"не подобрано"),INDEX(_xlpm.r_,1)))</f>
        <v/>
      </c>
      <c r="EN28" t="str">
        <f t="shared" si="53"/>
        <v/>
      </c>
      <c r="EO28" t="str" cm="1">
        <f t="array" ref="EO28">IF(OR(B28="",BZ28="",EC28&lt;&gt;1),"",_xlfn.LET(_xlpm.sz,Iдоп_S,_xlpm.t_,CHOOSE(EB28,Iдоп_1ж,Iдоп_2ж,Iдоп_3ж)*DZ28*EA28,_xlpm.ok,IFERROR((_xlpm.sz&gt;=MAX(1.5,CC28))*(_xlpm.t_&gt;=N(DT28)),0),_xlpm.r_,_xlfn._xlws.FILTER(_xlpm.sz,_xlpm.ok,""),INDEX(_xlpm.r_,1)))</f>
        <v/>
      </c>
      <c r="EP28" s="6" t="str" cm="1">
        <f t="array" ref="EP28">IFERROR(ROUNDUP(N(EJ28)*(_xlfn.XLOOKUP(EO28,INDEX(Кабель_сопротивление,0,1),INDEX(Кабель_сопротивление,0,3))*N(P28)/EO28*N(CE28)+_xlfn.XLOOKUP(EO28,INDEX(Кабель_сопротивление,0,1),INDEX(Кабель_сопротивление,0,2))*N(P28)*N(EK28)/1000)*N(O28)/((Uн_лин/SQRT(3))*1000)*100,2),"")</f>
        <v/>
      </c>
      <c r="EQ28" t="str">
        <f>IFERROR(2*ρкз_Cu*N(P28)/EO28,"")</f>
        <v/>
      </c>
      <c r="ER28" t="str">
        <f>IFERROR(VLOOKUP(EN28,Кабель_сопротивление,3,FALSE),"")</f>
        <v/>
      </c>
      <c r="ES28" t="str">
        <f>IFERROR(VLOOKUP(EN28,Кабель_сопротивление,2,FALSE),"")</f>
        <v/>
      </c>
      <c r="ET28" t="str">
        <f t="shared" si="54"/>
        <v/>
      </c>
      <c r="EU28" t="str">
        <f t="shared" si="55"/>
        <v/>
      </c>
      <c r="EV28" t="str">
        <f t="shared" si="56"/>
        <v/>
      </c>
      <c r="EW28" s="6" t="str">
        <f>IFERROR(ROUNDUP(EV28/IF(BV28=1,BU28,(Uн_лин/SQRT(3))*1000)*100,2),"")</f>
        <v/>
      </c>
      <c r="EX28" t="str">
        <f>IFERROR(VLOOKUP(BZ28,Кабель_обозначение,2,FALSE),"")</f>
        <v/>
      </c>
      <c r="EY28" t="str">
        <f t="shared" si="57"/>
        <v/>
      </c>
      <c r="EZ28" t="str">
        <f t="shared" si="58"/>
        <v/>
      </c>
      <c r="FA28" t="str">
        <f>IFERROR(2*ρкз_Cu*P28/EN28,"")</f>
        <v/>
      </c>
      <c r="FB28" t="str">
        <f t="shared" si="59"/>
        <v/>
      </c>
      <c r="FC28" s="6" t="str">
        <f>IFERROR(IF(OR(B28="",BV28=1,NOT(ISNUMBER(EN28)),N(P28)=0),"",_xlfn.XLOOKUP(A28,Щиты[Щит],Щиты[Zпетли на шинах, Ом])+FA28),"")</f>
        <v/>
      </c>
      <c r="FD28" s="6" t="str">
        <f>IF(ISNUMBER(FC28),c_min*(Uн_лин*1000/SQRT(3))/FC28,"")</f>
        <v/>
      </c>
      <c r="FE28" s="6" t="str">
        <f>IFERROR(IF(OR(B28="",NOT(ISNUMBER(EN28))),"",1.05*(Uн_лин*1000/SQRT(3))/(_xlfn.XLOOKUP(A28,Щиты[Щит],Щиты[Zmax на шинах, Ом])+FB28)/1000),"")</f>
        <v/>
      </c>
      <c r="FF28" s="6" t="str">
        <f>IF(B28="","",IF(ISNUMBER(AC28),"Сил",IF(IFERROR(_xlfn.XLOOKUP(BC28,Коды_код,Коды_группа)&amp;"","")="","Быт",_xlfn.XLOOKUP(BC28,Коды_код,Коды_группа)&amp;"")))</f>
        <v>Нет</v>
      </c>
      <c r="FG28" s="6" t="str">
        <f t="shared" si="60"/>
        <v>Нет</v>
      </c>
      <c r="FH28" s="6">
        <f>IF(FG28="Щит","щит",IF(FG28="","",IF(FG28="Быт",IFERROR(_xlfn.XLOOKUP(A28,Щиты[Щит],Щиты[Кс быт]),1),IF(FG28="Сил",IF(ISNUMBER(AC28),AC28,IF(Методика="нормы 2026",IFERROR(_xlfn.XLOOKUP(A28,Щиты[Щит],Щиты[Кс силовых (табл. 7.5)]),1),1)),IF(OR(FG28="Пост",FG28="Отоп"),1,IF(FG28="ВНГ",0.7,0))))))</f>
        <v>0</v>
      </c>
      <c r="FI28">
        <f>IF(FG28="","",IF(AND(BP28=1,TRIM(AE28&amp;"")=""),IF(COUNTIFS(Линии[Щит],A28,Линии[Секция (1/2/3)],"&gt;=2")&gt;0,MIN(3,MAX(1,IFERROR(--BD28,1))),1),IFERROR(MIN(3,MAX(1,INT(--AE28))),1)))</f>
        <v>1</v>
      </c>
      <c r="FJ28">
        <f t="shared" si="61"/>
        <v>0</v>
      </c>
      <c r="FK28">
        <f t="shared" si="62"/>
        <v>0</v>
      </c>
      <c r="FL28">
        <f t="shared" si="63"/>
        <v>0</v>
      </c>
      <c r="FM28">
        <f t="shared" si="64"/>
        <v>0</v>
      </c>
      <c r="FN28">
        <f t="shared" si="65"/>
        <v>0</v>
      </c>
      <c r="FO28">
        <f t="shared" si="66"/>
        <v>0</v>
      </c>
      <c r="FP28">
        <f t="shared" si="67"/>
        <v>0</v>
      </c>
      <c r="FQ28">
        <f t="shared" si="68"/>
        <v>0</v>
      </c>
      <c r="FR28">
        <f t="shared" si="69"/>
        <v>0</v>
      </c>
      <c r="FS28">
        <f>IF(CG28=1,IF(AND(CH28=1,CW28=1),0,IF(AND(CS28&lt;&gt;"",CS28=BA28,CW28=1),SUMIFS(Линии[_Р линии, кВт],Линии[_блок УЗО],BA28,Линии[Щит],A28),N(BS28)+IF(AJ28="вручную",0,N(CK28)))),0)</f>
        <v>0</v>
      </c>
      <c r="FT28" t="str">
        <f t="shared" si="70"/>
        <v/>
      </c>
      <c r="FU28" t="str">
        <f>IF(B28="","",IF(CG28=0,IF(BA28=1,"",FW27),IF(AND(CH28=1,CW28=1,CS28&lt;&gt;""),IFERROR(_xlfn.XLOOKUP(CS28,Линии[_n],Линии[_фаза итог]),"L1"),IF(OR(N(DL28)&gt;=3,N(BX28)&gt;=3),"L1,L2,L3",IFERROR(_xlfn.TEXTBEFORE(_xlfn.TEXTAFTER(_xlfn.XLOOKUP(A28,Щиты[Щит],Щиты[_фазы авто]),";"&amp;BA28&amp;":"),";"),"L1")))))</f>
        <v>L1</v>
      </c>
      <c r="FV28" t="str">
        <f t="shared" si="71"/>
        <v>L1</v>
      </c>
      <c r="FW28" t="str">
        <f t="shared" si="72"/>
        <v>L1</v>
      </c>
      <c r="FX28" cm="1">
        <f t="array" ref="FX28">IFERROR(IF(CD28=2,_xlfn.IFS(BX28=3,VLOOKUP(BS28,Справочная_двигатели,3,FALSE),BX28=1,VLOOKUP(BS28,Справочная_двигатели,5,TRUE)),0),0)</f>
        <v>0</v>
      </c>
      <c r="FY28">
        <f>IFERROR(IF(CD28=3,VLOOKUP(BS28,Справочная_ЛЭД,2,TRUE),0),0)</f>
        <v>0</v>
      </c>
      <c r="FZ28" s="6">
        <f t="shared" si="73"/>
        <v>0</v>
      </c>
      <c r="GA28" t="str">
        <f>IF(B28="","",IF(TRIM(AH28&amp;"")&lt;&gt;"",IF(LOWER(TRIM(AH28&amp;""))="да","да","нет"),IF(IFERROR(_xlfn.XLOOKUP(BC28,Коды_код,Коды_пожарная),"")="да","да","нет")))</f>
        <v>нет</v>
      </c>
      <c r="GB28" t="str">
        <f t="shared" si="74"/>
        <v/>
      </c>
      <c r="GC28" t="str">
        <f t="shared" si="75"/>
        <v>основная</v>
      </c>
      <c r="GD28">
        <f>IF(AND(BP28=1,TRIM(AE28&amp;"")=""),IF(COUNTIFS(Линии[Щит],A28,Линии[Секция (1/2/3)],"&gt;=2")&gt;0,MIN(3,MAX(1,IFERROR(--BD28,1))),1),IFERROR(MIN(3,MAX(1,INT(--AE28))),1))</f>
        <v>1</v>
      </c>
      <c r="GE28" t="str" cm="1">
        <f t="array" ref="GE28">IF(B28="","",_xlfn.LET(_xlpm.t,IFERROR(_xlfn.XLOOKUP(1,(Шины[Шина]=GC28)*(((Шины[Щит]=A28)+(Шины[Щит]=""))&gt;0),Шины[Тип]),"")&amp;"",IF(_xlpm.t&lt;&gt;"",_xlpm.t,IF(ISNUMBER(SEARCH("ИБП",GC28)),"ИБП",IF(ISNUMBER(SEARCH("ДГУ",GC28)),"ДГУ","Ввод "&amp;GD28)))))</f>
        <v>Ввод 1</v>
      </c>
      <c r="GF28" t="str">
        <f t="shared" si="76"/>
        <v>Ввод 1</v>
      </c>
      <c r="GG28" t="str">
        <f>IF(BP28=0,"",IF(TRIM(AG28&amp;"")&lt;&gt;"",TRIM(AG28&amp;""),IF(OR(GE28="ИБП",GE28="ДГУ"),"I особая",_xlfn.XLOOKUP(A28,Щиты[Щит],Щиты[Категория шины «Ввод»],"III"))))</f>
        <v/>
      </c>
      <c r="GH28" t="str">
        <f>IF(A28="","",_xlfn.XLOOKUP(A28,Щиты[Щит],Щиты[Путь],""))</f>
        <v>|ГРЩ-ЖД|ЩГП|</v>
      </c>
      <c r="GI28" t="str">
        <f>IF(B28="","",IF(AI28&lt;&gt;"",AI28,IF(IFERROR(_xlfn.XLOOKUP(BC28,Коды_код,Коды_вид)&amp;"","")="","Прочее",_xlfn.XLOOKUP(BC28,Коды_код,Коды_вид)&amp;"")))</f>
        <v>Прочее</v>
      </c>
      <c r="GJ28">
        <f>IF(BM28="","",INT((BM28-1)/Столбцов_на_лист)+1)</f>
        <v>1</v>
      </c>
      <c r="GK28" t="str">
        <f t="shared" si="77"/>
        <v/>
      </c>
      <c r="GL28">
        <f t="shared" si="78"/>
        <v>0</v>
      </c>
      <c r="GM28">
        <f t="shared" si="79"/>
        <v>0</v>
      </c>
      <c r="GN28">
        <f t="shared" si="80"/>
        <v>1</v>
      </c>
      <c r="GO28">
        <f t="shared" si="81"/>
        <v>0</v>
      </c>
      <c r="GP28">
        <f t="shared" si="82"/>
        <v>0</v>
      </c>
      <c r="GQ28" t="str">
        <f>IF(BM28="","",IF(AND(CG28=1,GP28=1),COUNTIFS(A$3:A28,A28,CG$3:CG28,1,GP$3:GP28,1),IF(OR(OR(BA28=1,A28&lt;&gt;A27),AJ28="вручную",GP28=0),"",IF(BA28=1,"",GR27))))</f>
        <v/>
      </c>
      <c r="GR28" t="str">
        <f t="shared" si="83"/>
        <v/>
      </c>
      <c r="GS28" t="str">
        <f>IF(B28="","",IFERROR(LOOKUP(INDEX(CHOOSE(EB28,Iдоп_1ж,Iдоп_2ж,Iдоп_3ж),MATCH(EN28,Iдоп_S,0))*DZ28*EA28,{6,10,16,20,25,32,40,50,63,80,100,125,160,200,250,315,400,500,630}),""))</f>
        <v/>
      </c>
      <c r="GT28" t="str">
        <f t="shared" si="84"/>
        <v/>
      </c>
      <c r="GU28" t="str">
        <f t="shared" si="85"/>
        <v/>
      </c>
      <c r="GV28" t="str">
        <f t="shared" si="86"/>
        <v/>
      </c>
      <c r="GW28">
        <f t="shared" si="87"/>
        <v>0</v>
      </c>
      <c r="GX28" t="str">
        <f>IF(OR(B28="",DJ28=""),"",IFERROR(_xlfn.XLOOKUP(DJ28,Модули_умолч[Управление],Модули_умолч[Модель])&amp;"",""))</f>
        <v/>
      </c>
      <c r="GY28">
        <f>IF(DJ28="",1,IFERROR(MAX(0,N(_xlfn.XLOOKUP(DJ28,Модули_умолч[Управление],Модули_умолч[Каналов на линию]))),1))</f>
        <v>1</v>
      </c>
      <c r="GZ28" t="str">
        <f t="shared" si="88"/>
        <v/>
      </c>
      <c r="HA28" t="str">
        <f t="shared" si="89"/>
        <v/>
      </c>
      <c r="HB28" t="str">
        <f t="shared" si="90"/>
        <v/>
      </c>
      <c r="HC28">
        <f>IF(HB28="",0,IFERROR(N(VLOOKUP(HB28,Модули_спр,3,FALSE)),0))</f>
        <v>0</v>
      </c>
      <c r="HD28" t="str">
        <f t="shared" si="91"/>
        <v/>
      </c>
      <c r="HE28" t="str">
        <f t="shared" si="92"/>
        <v/>
      </c>
      <c r="HF28" t="str">
        <f>IF(OR(HE28="",HE28="-"),"",IFERROR(VLOOKUP(HE28,Модули_спр,2,FALSE),"R"))</f>
        <v/>
      </c>
      <c r="HG28" t="str">
        <f>IF(HF28="","",HF28&amp;"."&amp;COUNTIFS(A$3:A28,A28,HF$3:HF28,HF28))</f>
        <v/>
      </c>
      <c r="HH28" t="str">
        <f t="shared" si="93"/>
        <v/>
      </c>
      <c r="HI28" t="str">
        <f t="shared" si="94"/>
        <v/>
      </c>
      <c r="HJ28" t="str">
        <f t="shared" si="95"/>
        <v/>
      </c>
      <c r="HK28" t="str">
        <f t="shared" si="96"/>
        <v/>
      </c>
      <c r="HL28">
        <f t="shared" si="97"/>
        <v>0</v>
      </c>
      <c r="HM28" t="str">
        <f>IF(HL28=1,"XT"&amp;COUNTIFS(A$3:A28,A28,HL$3:HL28,1),"")</f>
        <v/>
      </c>
      <c r="HN28" t="str">
        <f t="shared" si="98"/>
        <v/>
      </c>
      <c r="HO28" t="str">
        <f t="shared" si="99"/>
        <v/>
      </c>
      <c r="HP28" t="str">
        <f t="shared" si="100"/>
        <v/>
      </c>
      <c r="HQ28" t="str">
        <f t="shared" si="101"/>
        <v>ok</v>
      </c>
      <c r="HR28" t="str">
        <f>IF(OR(HJ28="",HH28=""),"",IF(HJ28+MAX(0,GY28-1)&gt;IFERROR(VLOOKUP(HI28,Модули_спр,3,FALSE),99),"ЛИШНИЙ КАНАЛ",IF(AND(AL28&lt;&gt;"=",GY28&gt;0,COUNTIFS(Линии[_модуль гр.],HH28,Линии[Канал (итог)],HJ28,Линии[Канал],"&lt;&gt;=",Линии[Щит],A28)&gt;1),"ДУБЛЬ КАНАЛА","")))</f>
        <v/>
      </c>
      <c r="HS28" s="6" t="str">
        <f t="shared" si="102"/>
        <v/>
      </c>
      <c r="HT28">
        <f t="shared" si="103"/>
        <v>10</v>
      </c>
      <c r="HU28" t="str">
        <f t="shared" si="104"/>
        <v/>
      </c>
      <c r="HV28">
        <f t="shared" si="105"/>
        <v>0</v>
      </c>
      <c r="HW28">
        <f t="shared" si="106"/>
        <v>0</v>
      </c>
      <c r="HX28">
        <f t="shared" si="107"/>
        <v>0</v>
      </c>
      <c r="HY28">
        <f t="shared" si="108"/>
        <v>0</v>
      </c>
      <c r="HZ28">
        <f t="shared" si="109"/>
        <v>0</v>
      </c>
      <c r="IA28">
        <f t="shared" si="110"/>
        <v>0</v>
      </c>
      <c r="IB28">
        <f t="shared" si="111"/>
        <v>0</v>
      </c>
      <c r="IC28" t="str">
        <f t="shared" si="112"/>
        <v/>
      </c>
      <c r="ID28" t="str" cm="1">
        <f t="array" ref="ID28">IF(IC28="","",_xlfn.LET(_xlpm.tk,_xlfn.TEXTSPLIT(SUBSTITUTE(SUBSTITUTE(IC28,";"," "),"→"," ")," ",,TRUE),_xlpm.w_,_xlfn._xlws.FILTER(_xlpm.tk,ISNUMBER(--LEFT(_xlpm.tk,1))*((ISNUMBER(SEARCH("W",_xlpm.tk))+ISNUMBER(SEARCH("Вт",_xlpm.tk)))&gt;0),""),IFERROR(--SUBSTITUTE(SUBSTITUTE(UPPER(INDEX(_xlpm.w_,1)),"W",""),"ВТ",""),"")))</f>
        <v/>
      </c>
      <c r="IE28" t="str" cm="1">
        <f t="array" ref="IE28">IF(IC28="","",_xlfn.LET(_xlpm.tk,_xlfn.TEXTSPLIT(SUBSTITUTE(SUBSTITUTE(IC28,";"," "),"→"," ")," ",,TRUE),_xlpm.v_,_xlfn._xlws.FILTER(_xlpm.tk,ISNUMBER(--LEFT(_xlpm.tk,1))*((ISNUMBER(SEARCH("V",_xlpm.tk))+(RIGHT(UPPER(_xlpm.tk))="В"))&gt;0),""),IFERROR(--SUBSTITUTE(SUBSTITUTE(UPPER(INDEX(_xlpm.v_,1)),"V",""),"В",""),"")))</f>
        <v/>
      </c>
      <c r="IF28" s="6" t="str">
        <f>IF(OR(BV28=0,HI28="",HJ28=""),"",IFERROR(N(_xlfn.XLOOKUP(HI28,Каталог!$C$4:$C$500,Каталог!$Q$4:$Q$500)),""))</f>
        <v/>
      </c>
      <c r="IG28" s="6" t="str">
        <f>IF(N(IF28)=0,"",SUMIFS(Линии[Iр, А],Линии[Щит],A28,Линии[_модуль гр.],HH28,Линии[Канал (итог)],HJ28))</f>
        <v/>
      </c>
      <c r="IH28" t="str">
        <f>IF(AND(B28="",HO28=""),"",_xlfn.TEXTJOIN("; ",TRUE,IF(AND(B28&lt;&gt;"",FV28=""),"нет фазы",""),IF(AND(B28&lt;&gt;"",N(GL28)=0,FG28&lt;&gt;"Нет"),"нет мощности",""),IF(AND(HN28&lt;&gt;"",COUNTIFS(Линии[Щит],A28,Линии[Клемма (итог)],HN28)&gt;1),"дубль клеммы "&amp;HN28,""),IF(AND(HQ28&lt;&gt;"",HQ28&lt;&gt;"ok"),HQ28,""),IF(HR28&lt;&gt;"",HR28,""),IF(AND(N(CB28)&gt;=4,N(BX28)=1),CB28&amp;" жил на 1 фазе",""),IF(AND(BC28="R",CG28=1,IF(CS28&lt;&gt;"",N(CV28)&gt;30,OR(N(DA28)=0,N(DA28)&gt;30))),"розетка без дифзащиты до 30 мА",""),IF(AND(CG28=1,N(DA28)&gt;0,ISNUMBER(T28)),IF(T28&gt;N(DA28)/3,"ток утечки "&amp;FIXED(T28,1)&amp;" мА &gt; 1/3 уставки ("&amp;DA28&amp;" мА)",""),""),IF(AND(CH28=1,CS28=""),"«узо»: нет строки с УЗО выше (УЗО 2P 40А 30мА в «Аппаратах»)",""),IF(AND(CS28&lt;&gt;"",CS28=BA28),IF(CT28="","впишите номинал УЗО (УЗО 2P 40А 30мА)",IF(N(CT28)&lt;N(DT28),"УЗО "&amp;CT28&amp;" А &lt; автомата "&amp;DT28&amp;" А перед ним",IF(N(CT28)&lt;N(CX28),"УЗО "&amp;CT28&amp;" А &lt; тока блока "&amp;FIXED(CX28,1)&amp;" А",""))),""),IF(AND(CS28&lt;&gt;"",CS28=BA28,ISNUMBER(CY28)),IF(CY28&gt;N(CV28)/3,"ток утечки блока УЗО "&amp;FIXED(CY28,1)&amp;" мА &gt; 1/3 уставки ("&amp;CV28&amp;" мА)",""),""),IF(AND(CG28=1,N(BV28)+N(IB28)&gt;0,IC28=""),"линии до 50 В без БП: впишите в «Аппараты» (БП 24V 480W)",""),IF(AND(CG28=1,ISNUMBER(ID28),ISNUMBER(U28)),IF(U28&gt;ID28,"БП "&amp;ID28&amp;" Вт &lt; нужно "&amp;U28&amp;" Вт (×"&amp;Запас_БП&amp;")",""),""),IF(AND(CG28=1,ISNUMBER(IE28),N(BV28)=1),IF(IE28&lt;&gt;N(BU28),"БП на "&amp;IE28&amp;" В, линия "&amp;BU28&amp;" В",""),""),IF(AND(N(IF28)&gt;0,N(IG28)&gt;N(IF28)),HH28&amp;" канал "&amp;HJ28&amp;": "&amp;FIXED(IG28,1)&amp;" А &gt; "&amp;IF28&amp;" А",""),IFERROR(IF(AND(ISNUMBER(Q28),Q28&gt;EL28),"потери "&amp;FIXED(Q28,1)&amp;" % &gt; "&amp;EL28&amp;" %",""),""),IFERROR(IF(LEFT(HU28,4)="мало","Iкз мало — отключение &gt; 0,4 с",""),""),IF(AND(B28&lt;&gt;"",BM28=""),"не на схеме",""),IF(AND(CG28=0,B28&lt;&gt;"",FV28&lt;&gt;"",IF(BA28=1,"",FW27)&lt;&gt;"",FV28&lt;&gt;IF(BA28=1,"",FW27)),"фаза не как у автомата группы ("&amp;IF(BA28=1,"",FW27)&amp;")","")))</f>
        <v/>
      </c>
      <c r="II28" s="6" t="str">
        <f>IF(OR(CG28=0,DQ28=""),"",_xlfn.LET(_xlpm.t,IFERROR(_xlfn.XLOOKUP(DQ28,Каталог!$U$4:$U$500,Каталог!$G$4:$G$500),""),_xlpm.k,SEARCH("кА",_xlpm.t),IFERROR(--TRIM(RIGHT(SUBSTITUTE(MID(_xlpm.t,MAX(1,_xlpm.k-4),_xlpm.k-MAX(1,_xlpm.k-4))," ",REPT(" ",9)),5)),"")))</f>
        <v/>
      </c>
      <c r="IJ28" t="str">
        <f>IF(OR(II28="",CG28=0),"",IF(_xlfn.XLOOKUP(A28,Щиты[Щит],Щиты[Iкз max на шинах, кА],"")="","",IF(II28&lt;_xlfn.XLOOKUP(A28,Щиты[Щит],Щиты[Iкз max на шинах, кА]),"Icu "&amp;II28&amp;" кА &lt; Iкз max","ok")))</f>
        <v/>
      </c>
      <c r="IK28" t="str">
        <f t="shared" si="113"/>
        <v/>
      </c>
      <c r="IL28" t="str">
        <f t="shared" si="114"/>
        <v/>
      </c>
      <c r="IM28" t="str">
        <f t="shared" si="115"/>
        <v/>
      </c>
      <c r="IN28" t="str" cm="1">
        <f t="array" ref="IN28">IF(IM28="","",_xlfn.LET(_xlpm.nd,_xlfn.TEXTSPLIT(IM28,"|"),IF(COLUMNS(_xlpm.nd)&gt;1,A28&amp;"¦"&amp;INDEX(_xlpm.nd,1)&amp;"¦"&amp;INDEX(_xlpm.nd,2),"")))</f>
        <v/>
      </c>
      <c r="IO28" t="str">
        <f t="shared" si="116"/>
        <v/>
      </c>
      <c r="IP28" t="str" cm="1">
        <f t="array" ref="IP28">IF(IM28="","",_xlfn.LET(_xlpm.nd,_xlfn.TEXTSPLIT(IM28,"|"),IF(COLUMNS(_xlpm.nd)&gt;2,A28&amp;"¦"&amp;INDEX(_xlpm.nd,2)&amp;"¦"&amp;INDEX(_xlpm.nd,3),"")))</f>
        <v/>
      </c>
      <c r="IQ28" t="str">
        <f t="shared" si="117"/>
        <v/>
      </c>
      <c r="IR28" t="str" cm="1">
        <f t="array" ref="IR28">IF(IM28="","",_xlfn.LET(_xlpm.nd,_xlfn.TEXTSPLIT(IM28,"|"),IF(COLUMNS(_xlpm.nd)&gt;3,A28&amp;"¦"&amp;INDEX(_xlpm.nd,3)&amp;"¦"&amp;INDEX(_xlpm.nd,4),"")))</f>
        <v/>
      </c>
      <c r="IS28" t="str">
        <f t="shared" si="118"/>
        <v/>
      </c>
      <c r="IT28" t="str" cm="1">
        <f t="array" ref="IT28">IF(IM28="","",_xlfn.LET(_xlpm.nd,_xlfn.TEXTSPLIT(IM28,"|"),IF(COLUMNS(_xlpm.nd)&gt;4,A28&amp;"¦"&amp;INDEX(_xlpm.nd,4)&amp;"¦"&amp;INDEX(_xlpm.nd,5),"")))</f>
        <v/>
      </c>
      <c r="IU28" t="str">
        <f t="shared" si="119"/>
        <v/>
      </c>
      <c r="IV28" t="str" cm="1">
        <f t="array" ref="IV28">IF(IM28="","",_xlfn.LET(_xlpm.nd,_xlfn.TEXTSPLIT(IM28,"|"),IF(COLUMNS(_xlpm.nd)&gt;5,A28&amp;"¦"&amp;INDEX(_xlpm.nd,5)&amp;"¦"&amp;INDEX(_xlpm.nd,6),"")))</f>
        <v/>
      </c>
      <c r="IW28" t="str">
        <f t="shared" si="120"/>
        <v/>
      </c>
      <c r="IX28" t="str" cm="1">
        <f t="array" ref="IX28">IF(IM28="","",_xlfn.LET(_xlpm.nd,_xlfn.TEXTSPLIT(IM28,"|"),IF(COLUMNS(_xlpm.nd)&gt;6,A28&amp;"¦"&amp;INDEX(_xlpm.nd,6)&amp;"¦"&amp;INDEX(_xlpm.nd,7),"")))</f>
        <v/>
      </c>
      <c r="IY28" t="str">
        <f t="shared" si="121"/>
        <v/>
      </c>
      <c r="IZ28" t="str">
        <f t="shared" si="122"/>
        <v/>
      </c>
      <c r="JA28" t="str">
        <f t="shared" si="123"/>
        <v/>
      </c>
      <c r="JB28">
        <f t="shared" si="124"/>
        <v>0</v>
      </c>
      <c r="JC28">
        <f t="shared" si="125"/>
        <v>0</v>
      </c>
      <c r="JD28" t="str">
        <f t="shared" si="126"/>
        <v/>
      </c>
      <c r="JE28" t="str">
        <f t="shared" si="127"/>
        <v/>
      </c>
      <c r="JF28" t="str">
        <f t="shared" si="128"/>
        <v/>
      </c>
      <c r="JG28" t="str">
        <f t="shared" si="129"/>
        <v/>
      </c>
      <c r="JH28">
        <f>IF(B28="","",IFERROR(_xlfn.XLOOKUP(B28,Коды_код,Коды_уго),IFERROR(_xlfn.XLOOKUP(BC28,Коды_код,Коды_уго),IFERROR(_xlfn.XLOOKUP(LEFT(BC28,2),Коды_код,Коды_уго),""))))</f>
        <v>0</v>
      </c>
      <c r="JI28" t="str">
        <f>IF(B28="","",IF(OR(JH28="",JH28=0),"BOX",IFERROR(IF(VLOOKUP(JH28,УГО_блоки,3,FALSE)&amp;""&lt;&gt;"",VLOOKUP(JH28,УГО_блоки,3,FALSE),VLOOKUP(JH28,УГО_блоки,2,FALSE)),JH28)))</f>
        <v>BOX</v>
      </c>
      <c r="JJ28">
        <f t="shared" si="130"/>
        <v>1</v>
      </c>
      <c r="JK28" t="str">
        <f>IF(DQ28="","",IF(COUNTIF(DQ$3:DQ28,DQ28)=1,MAX(JK$2:JK27)+1,""))</f>
        <v/>
      </c>
      <c r="JL28" t="str">
        <f>IF(DE28="","",IF(COUNTIF(DE$3:DE28,DE28)+COUNTIF(DF$2:DF27,DE28)+COUNTIF(DG$2:DG27,DE28)=1,MAX(JL$2:JN27)+1,""))</f>
        <v/>
      </c>
      <c r="JM28" t="str">
        <f>IF(DF28="","",IF(COUNTIF(DE$3:DE28,DF28)+COUNTIF(DF$3:DF28,DF28)+COUNTIF(DG$2:DG27,DF28)=1,MAX(JL$2:JN27,JL28)+1,""))</f>
        <v/>
      </c>
      <c r="JN28" t="str">
        <f>IF(DG28="","",IF(COUNTIF(DE$3:DE28,DG28)+COUNTIF(DF$3:DF28,DG28)+COUNTIF(DG$3:DG28,DG28)=1,MAX(JL$2:JN27,JL28,JM28)+1,""))</f>
        <v/>
      </c>
      <c r="JO28" t="str">
        <f t="shared" si="131"/>
        <v/>
      </c>
      <c r="JP28" t="str">
        <f>IF(JO28="","",IF(COUNTIF(JO$3:JO28,JO28)=1,MAX(JP$2:JP27)+1,""))</f>
        <v/>
      </c>
      <c r="JQ28" t="str">
        <f>IF(HG28="","",COUNTIF(HG$3:HG28,"?*"))</f>
        <v/>
      </c>
      <c r="JR28" t="str">
        <f>IF(OR(HG28="",HI28=""),"",IF(COUNTIFS(HG$3:HG28,"?*",HI$3:HI28,HI28)=1,MAX(JR$2:JR27)+1,""))</f>
        <v/>
      </c>
      <c r="JS28">
        <f t="shared" si="132"/>
        <v>0</v>
      </c>
      <c r="JT28">
        <f>IF(B28="","",COUNTIF(B$3:B28,"?*"))</f>
        <v>26</v>
      </c>
      <c r="JU28">
        <f>IF(HL28&lt;&gt;1,0,_xlfn.LET(_xlpm.k,MAX(IFERROR(--_xlfn.XLOOKUP(B28,Коды_код,Коды_3L),0),IFERROR(--_xlfn.XLOOKUP(BC28,Коды_код,Коды_3L),0),IFERROR(--_xlfn.XLOOKUP(LEFT(BC28,2),Коды_код,Коды_3L),0)),IF(_xlpm.k&gt;0,_xlpm.k,IF(IFERROR(--LEFT(SUBSTITUTE(JO28,"x","х"),FIND("х",SUBSTITUTE(JO28,"x","х"))-1),3)&gt;3,Каталог!$S$9,1))))</f>
        <v>0</v>
      </c>
      <c r="JV28">
        <f t="shared" si="133"/>
        <v>0</v>
      </c>
      <c r="JW28" t="str">
        <f t="shared" si="134"/>
        <v>авто</v>
      </c>
      <c r="JX28" t="str">
        <f t="shared" si="135"/>
        <v/>
      </c>
      <c r="JY28">
        <f t="shared" si="136"/>
        <v>0</v>
      </c>
      <c r="JZ28">
        <f t="shared" si="137"/>
        <v>1</v>
      </c>
    </row>
    <row r="29" spans="1:286" x14ac:dyDescent="0.3">
      <c r="A29" t="s">
        <v>782</v>
      </c>
      <c r="B29" t="s">
        <v>1109</v>
      </c>
      <c r="C29" t="s">
        <v>1653</v>
      </c>
      <c r="D29">
        <v>1</v>
      </c>
      <c r="E29">
        <f>Линии[[#This Row],[_авто Р]]</f>
        <v>1.9000000000000006</v>
      </c>
      <c r="G29" t="str">
        <f>Линии[[#This Row],[_авто автомат]]</f>
        <v>3P С6А</v>
      </c>
      <c r="H29" t="str">
        <f>Линии[[#This Row],[_авто управление]]</f>
        <v/>
      </c>
      <c r="I29" t="str">
        <f>Линии[[#This Row],[_авто аппараты]]</f>
        <v/>
      </c>
      <c r="J29">
        <v>6</v>
      </c>
      <c r="K29">
        <v>41</v>
      </c>
      <c r="L29" t="str">
        <f>Линии[[#This Row],[_авто фаза]]</f>
        <v>L1,L2,L3</v>
      </c>
      <c r="M29" t="str">
        <f>Линии[[#This Row],[_авто клемма]]</f>
        <v>XT1</v>
      </c>
      <c r="N29" t="str">
        <f t="shared" si="0"/>
        <v/>
      </c>
      <c r="O29" s="6" cm="1">
        <f t="array" ref="O29">IF(B29="","",IF(BH29&lt;&gt;"",IFERROR(_xlfn.XLOOKUP(BH29,Щиты[Щит],Щиты[Iр, А]),""),IF(BP29=1,IF(OR(N(_xlfn.XLOOKUP(A29,Щиты[Щит],Щиты[Вводов],1))&lt;=1,LOWER(TRIM(_xlfn.XLOOKUP(A29,Щиты[Щит],Щиты[АВР],"")&amp;""))="да"),IFERROR(_xlfn.XLOOKUP(A29,Щиты[Щит],Щиты[Iр, А]),""),IFERROR(N(BS29)*_xlfn.XLOOKUP(A29,Щиты[Щит],Щиты[Кс итог])/(SQRT(3)*Uн_лин*_xlfn.XLOOKUP(A29,Щиты[Щит],Щиты[cos φ])),"")),IF(BV29=1,IFERROR(BS29*1000/BU29,""),IFERROR(_xlfn.IFS(BX29=1,BS29/((Uн_лин/SQRT(3))*CE29),BX29=3,BS29/(SQRT(3)*Uн_лин*CE29)),"")))))</f>
        <v>2.5524959269436094</v>
      </c>
      <c r="P29" s="7">
        <f>IF(B29="","",IFERROR(IF(VLOOKUP(BC29,Потребители_обозначение,4,FALSE)=1,VLOOKUP(BC29,Потребители_обозначение,3,FALSE)*(MAX(1,N(D29))*2-1)+EI29+VLOOKUP(BE29,Этаж_обозначение,3,FALSE)+VLOOKUP(BE29,Этаж_обозначение,4,FALSE),VLOOKUP(BC29,Потребители_обозначение,3,FALSE)*(MAX(1,N(D29))*2-1)+EI29),EI29))</f>
        <v>41</v>
      </c>
      <c r="Q29" s="6">
        <f t="shared" si="1"/>
        <v>0.17</v>
      </c>
      <c r="R29" t="str">
        <f t="shared" si="2"/>
        <v>ВВГнг(А)-LS (5х6)</v>
      </c>
      <c r="S29" t="str">
        <f>IF(BM29="","",IF(BN29="вводной узел","узел ","")&amp;"л."&amp;(INT((BM29-1)/Столбцов_на_лист)+1)&amp;" / "&amp;(MOD(BM29-1,Столбцов_на_лист)+1))</f>
        <v>л.1 / 14</v>
      </c>
      <c r="T29" s="119" t="str">
        <f t="shared" si="3"/>
        <v/>
      </c>
      <c r="U29" s="7" t="str">
        <f>IF(OR(CG29=0,N(BV29)+N(IB29)=0),"",ROUNDUP(Запас_БП*(N(HY29)+N(HZ29)),0))</f>
        <v/>
      </c>
      <c r="V29" s="119" t="str">
        <f t="shared" si="4"/>
        <v/>
      </c>
      <c r="W29" s="7" t="str">
        <f>IFERROR(IF(OR(B29="",BP29=1,BV29=1,NOT(ISNUMBER(EN29)),N(DT29)=0),"",MAX(0,ROUNDDOWN((c_min*(Uн_лин*1000/SQRT(3))/(HT29*N(DT29))-_xlfn.XLOOKUP(A29,Щиты[Щит],Щиты[Zпетли на шинах, Ом]))*EN29/(2*ρкз_Cu),0))),"")</f>
        <v/>
      </c>
      <c r="Y29" t="str">
        <f>Линии[[#This Row],[_авто утечка]]</f>
        <v/>
      </c>
      <c r="Z29">
        <v>3</v>
      </c>
      <c r="AA29">
        <v>400</v>
      </c>
      <c r="AB29" t="s">
        <v>562</v>
      </c>
      <c r="AF29" t="s">
        <v>846</v>
      </c>
      <c r="AG29" t="s">
        <v>850</v>
      </c>
      <c r="AI29" t="s">
        <v>555</v>
      </c>
      <c r="AK29" t="str">
        <f>Линии[[#This Row],[_авто модуль]]</f>
        <v/>
      </c>
      <c r="AM29">
        <v>14</v>
      </c>
      <c r="AN29" t="s">
        <v>11</v>
      </c>
      <c r="AO29">
        <v>5</v>
      </c>
      <c r="AQ29">
        <v>25</v>
      </c>
      <c r="AR29">
        <v>11</v>
      </c>
      <c r="AS29">
        <v>0</v>
      </c>
      <c r="BA29" cm="1">
        <f t="array" ref="BA29">ROW()-ROW(Линии[#Headers])</f>
        <v>27</v>
      </c>
      <c r="BC29" s="6" t="str">
        <f t="shared" si="5"/>
        <v>ЩО-001</v>
      </c>
      <c r="BD29" t="str">
        <f t="shared" si="6"/>
        <v/>
      </c>
      <c r="BE29" t="str">
        <f t="shared" si="7"/>
        <v/>
      </c>
      <c r="BF29" t="str">
        <f t="shared" si="8"/>
        <v/>
      </c>
      <c r="BG29" t="str">
        <f t="shared" si="9"/>
        <v/>
      </c>
      <c r="BH29" t="str">
        <f>IF(X29&lt;&gt;"",X29,IF(AND(B29&lt;&gt;"",B29&lt;&gt;A29,ISNUMBER(_xlfn.XMATCH(B29,Щиты[Щит]))),B29,""))</f>
        <v>ЩО-001</v>
      </c>
      <c r="BI29" t="str" cm="1">
        <f t="array" ref="BI29">IF(B29="","",IF(BH29&lt;&gt;"","Щит "&amp;BH29,_xlfn.LET(_xlpm.nm,IFERROR(_xlfn.XLOOKUP(BC29,Коды_код,Коды_имя)&amp;"",""),_xlpm.md,IFERROR(N(_xlfn.XLOOKUP(BC29,Коды_код,Коды_режим)),1),_xlpm.ex,IF(Имя_режим="по экспликации",IFERROR(_xlfn.XLOOKUP(BE29&amp;"|"&amp;BG29,Экспликация[Этаж]&amp;"|"&amp;Экспликация[Помещение],Экспликация[Название])&amp;"",""),""),_xlpm.rm,IF(BG29="","",IF(_xlpm.ex&lt;&gt;"",". "&amp;_xlpm.ex&amp;IF(Имя_пом="нет"," ("&amp;BG29&amp;")"," (пом. "&amp;BG29&amp;")"),IF(Имя_пом="нет"," ",", пом. ")&amp;BG29)),IF(_xlpm.nm="","",IF(_xlpm.md=2,_xlpm.nm&amp;" шлейф "&amp;BE29,_xlpm.nm&amp;_xlpm.rm)))))</f>
        <v>Щит ЩО-001</v>
      </c>
      <c r="BJ29" t="str">
        <f t="shared" si="10"/>
        <v>Щит освещения ЩО-2 Подвальный этаж этаж Пом. №3.001</v>
      </c>
      <c r="BK29">
        <f>IFERROR(_xlfn.XMATCH(A29,Щиты[Щит]),0)</f>
        <v>2</v>
      </c>
      <c r="BL29">
        <f>_xlfn.LET(_xlpm.k,IFERROR(_xlfn.XLOOKUP(A29,Щиты[Щит],Щиты[Мест под вводной узел]),""),IF(_xlpm.k="",Столбцов_на_лист,N(_xlpm.k)))</f>
        <v>13</v>
      </c>
      <c r="BM29">
        <f t="shared" si="11"/>
        <v>14</v>
      </c>
      <c r="BN29" t="str">
        <f t="shared" si="12"/>
        <v>линии</v>
      </c>
      <c r="BO29" s="6">
        <f>IFERROR(N(_xlfn.XLOOKUP(BC29,Коды_код,Коды_квт)),0)</f>
        <v>0</v>
      </c>
      <c r="BP29">
        <f t="shared" si="13"/>
        <v>0</v>
      </c>
      <c r="BQ29">
        <f>IF(B29="","",IF(BH29&lt;&gt;"",IFERROR(_xlfn.XLOOKUP(BH29,Щиты[Щит],Щиты[Руст, кВт]),0),IF(BP29=1,IF(OR(N(_xlfn.XLOOKUP(A29,Щиты[Щит],Щиты[Вводов],1))&lt;=1,LOWER(TRIM(_xlfn.XLOOKUP(A29,Щиты[Щит],Щиты[АВР],"")&amp;""))="да"),IFERROR(_xlfn.XLOOKUP(A29,Щиты[Щит],Щиты[Руст, кВт]),0),SUMIFS(Линии[_Р для вводов],Линии[Щит],A29,Линии[Источник для режимов],GF29)),IF(BO29&gt;0,ROUND(BO29*MAX(1,N(D29)),3),""))))</f>
        <v>1.9000000000000006</v>
      </c>
      <c r="BR29">
        <f t="shared" si="14"/>
        <v>1.9000000000000006</v>
      </c>
      <c r="BS29" s="6">
        <f>IF(B29="","",IF(BH29&lt;&gt;"",IFERROR(_xlfn.XLOOKUP(BH29,Щиты[Щит],Щиты[Руст, кВт]),0),N(BR29)))</f>
        <v>1.9000000000000006</v>
      </c>
      <c r="BT29" t="str">
        <f>IF(B29="","",IFERROR(IF(VLOOKUP(BC29,Потребители_обозначение,8,FALSE)=0,"",VLOOKUP(BC29,Потребители_обозначение,8,FALSE)),""))</f>
        <v/>
      </c>
      <c r="BU29">
        <f t="shared" si="15"/>
        <v>400</v>
      </c>
      <c r="BV29">
        <f t="shared" si="16"/>
        <v>0</v>
      </c>
      <c r="BW29">
        <f>IF(B29="","",IF(BH29&lt;&gt;"",3,IFERROR(IF(N(VLOOKUP(BC29,Потребители_обозначение,9,FALSE))=0,1,VLOOKUP(BC29,Потребители_обозначение,9,FALSE)),1)))</f>
        <v>3</v>
      </c>
      <c r="BX29">
        <f t="shared" si="17"/>
        <v>3</v>
      </c>
      <c r="BY29" t="str">
        <f>IF(B29="","",_xlfn.LET(_xlpm.bc,IFERROR(IF(VLOOKUP(BC29,Потребители_обозначение,6,FALSE)=0,"",VLOOKUP(BC29,Потребители_обозначение,6,FALSE)&amp;""),""),IF(AND(GA29="да",OR(_xlpm.bc="",_xlpm.bc="мс")),Марка_пож,IF(AND(_xlpm.bc="",BH29&lt;&gt;""),"мс",_xlpm.bc))))</f>
        <v>мс</v>
      </c>
      <c r="BZ29" t="str">
        <f t="shared" si="18"/>
        <v>мс</v>
      </c>
      <c r="CA29">
        <f>IF(B29="","",_xlfn.LET(_xlpm.cc,IFERROR(N(VLOOKUP(BC29,Потребители_обозначение,7,FALSE)),0),IF(_xlpm.cc&gt;0,_xlpm.cc,IF(BZ29="","",IF(BV29=1,2,IF(N(BX29)=3,5,3))))))</f>
        <v>5</v>
      </c>
      <c r="CB29">
        <f t="shared" si="19"/>
        <v>5</v>
      </c>
      <c r="CC29">
        <f>IFERROR(N(VLOOKUP(BC29,Потребители_обозначение,10,FALSE)),0)</f>
        <v>0</v>
      </c>
      <c r="CD29">
        <f>IFERROR(VLOOKUP(BC29,Потребители_обозначение,5,FALSE),0)</f>
        <v>0</v>
      </c>
      <c r="CE29" s="6" cm="1">
        <f t="array" ref="CE29">IF(B29="","",IF(BH29&lt;&gt;"",IFERROR(_xlfn.XLOOKUP(BH29,Щиты[Щит],Щиты[cos φ]),0.95),IF(BP29=1,IFERROR(_xlfn.XLOOKUP(A29,Щиты[Щит],Щиты[cos φ]),0.95),IF(ISNUMBER(AD29),AD29,IFERROR(IF(CD29=2,_xlfn.IFS(BX29=3,VLOOKUP(BS29,Справочная_двигатели,8,FALSE),BX29=1,VLOOKUP(BS29,Справочная_двигатели,10,TRUE)),IF(AND(Методика="нормы 2026",FG29="Сил"),0.8,0.95)),0.95)))))</f>
        <v>0.94999999999999951</v>
      </c>
      <c r="CF29">
        <f t="shared" si="20"/>
        <v>0</v>
      </c>
      <c r="CG29">
        <f t="shared" si="21"/>
        <v>1</v>
      </c>
      <c r="CH29">
        <f t="shared" si="22"/>
        <v>0</v>
      </c>
      <c r="CI29">
        <f>IF(B29="","",IF(BV29=1,IFERROR(BS29/((Uн_лин/SQRT(3))*MAX(0.5,N(CE29))),0),N(O29)))</f>
        <v>2.5524959269436094</v>
      </c>
      <c r="CJ29">
        <f t="shared" si="23"/>
        <v>0</v>
      </c>
      <c r="CK29">
        <f t="shared" si="24"/>
        <v>0</v>
      </c>
      <c r="CL29">
        <f t="shared" si="25"/>
        <v>0</v>
      </c>
      <c r="CM29">
        <f t="shared" si="26"/>
        <v>0</v>
      </c>
      <c r="CN29">
        <f t="shared" si="27"/>
        <v>0</v>
      </c>
      <c r="CO29">
        <f>IF(BC29="",0,_xlfn.LET(_xlpm.v,IFERROR(_xlfn.XLOOKUP(B29,Коды_код,Коды_мА),IFERROR(_xlfn.XLOOKUP(BC29,Коды_код,Коды_мА),IFERROR(_xlfn.XLOOKUP(LEFT(BC29,2),Коды_код,Коды_мА),""))),IF(_xlpm.v="да",30,IF(ISNUMBER(_xlpm.v),_xlpm.v,0))))</f>
        <v>0</v>
      </c>
      <c r="CP29" t="str">
        <f t="shared" si="28"/>
        <v/>
      </c>
      <c r="CQ29" t="str">
        <f>_xlfn.LET(_xlpm.k,IFERROR(_xlfn.XLOOKUP(BC29,Коды_код,Коды_утечка)&amp;"",""),IF(_xlpm.k="","дифавтомат",_xlpm.k))</f>
        <v>дифавтомат</v>
      </c>
      <c r="CR29" t="str" cm="1">
        <f t="array" ref="CR29">IF(CG29=0,"",_xlfn.LET(_xlpm.sg,TRIM(_xlfn.TEXTSPLIT(DD29&amp;"",";")),_xlpm.f_,_xlfn._xlws.FILTER(_xlpm.sg,LEFT(_xlpm.sg,3)="УЗО",""),IFERROR(INDEX(_xlpm.f_,1)&amp;"","")))</f>
        <v/>
      </c>
      <c r="CS29" t="str">
        <f t="shared" si="29"/>
        <v/>
      </c>
      <c r="CT29" s="6" t="str" cm="1">
        <f t="array" ref="CT29">IF(CR29="","",_xlfn.LET(_xlpm.tk,_xlfn.TEXTSPLIT(UPPER(CR29)," ",,TRUE),_xlpm.a_,_xlfn._xlws.FILTER(_xlpm.tk,ISNUMBER(--LEFT(_xlpm.tk,1))*((ISNUMBER(SEARCH("А",_xlpm.tk))+ISNUMBER(SEARCH("A",_xlpm.tk)))&gt;0)*NOT(ISNUMBER(SEARCH("МА",_xlpm.tk)))*NOT(ISNUMBER(SEARCH("MA",_xlpm.tk))),""),IFERROR(--SUBSTITUTE(SUBSTITUTE(INDEX(_xlpm.a_,1),"А",""),"A",""),"")))</f>
        <v/>
      </c>
      <c r="CU29" t="str" cm="1">
        <f t="array" ref="CU29">IF(CR29="","",_xlfn.LET(_xlpm.tk,_xlfn.TEXTSPLIT(UPPER(CR29)," ",,TRUE),_xlpm.a_,_xlfn._xlws.FILTER(_xlpm.tk,ISNUMBER(--LEFT(_xlpm.tk,1))*((ISNUMBER(SEARCH("МА",_xlpm.tk))+ISNUMBER(SEARCH("MA",_xlpm.tk)))&gt;0),""),IFERROR(--SUBSTITUTE(SUBSTITUTE(INDEX(_xlpm.a_,1),"МА",""),"MA",""),30)))</f>
        <v/>
      </c>
      <c r="CV29" t="str">
        <f>IF(CS29="","",IFERROR(_xlfn.XLOOKUP(CS29,Линии[_n],Линии[_УЗО, мА]),30))</f>
        <v/>
      </c>
      <c r="CW29">
        <f>IF(CS29="",0,IF(ISNUMBER(SEARCH("4P",IFERROR(_xlfn.XLOOKUP(CS29,Линии[_n],Линии[_УЗО строки])&amp;"",""))),0,1))</f>
        <v>0</v>
      </c>
      <c r="CX29" t="str">
        <f>IF(AND(CS29&lt;&gt;"",CS29=BA29),SUMIFS(Линии[_ток на 230 В],Линии[_блок УЗО],BA29,Линии[Щит],A29),"")</f>
        <v/>
      </c>
      <c r="CY29" t="str">
        <f>IF(AND(CS29&lt;&gt;"",CS29=BA29),SUMIFS(Линии[_ток утечки линии, мА],Линии[_блок УЗО],BA29,Линии[Щит],A29),"")</f>
        <v/>
      </c>
      <c r="CZ29">
        <f t="shared" si="30"/>
        <v>0</v>
      </c>
      <c r="DA29">
        <f t="shared" si="31"/>
        <v>0</v>
      </c>
      <c r="DB29">
        <f>IF(B29="",0,IFERROR(--_xlfn.XLOOKUP(B29,Коды_код,Коды_минавт),IFERROR(--_xlfn.XLOOKUP(BC29,Коды_код,Коды_минавт),IFERROR(--_xlfn.XLOOKUP(LEFT(BC29,2),Коды_код,Коды_минавт),0))))</f>
        <v>0</v>
      </c>
      <c r="DC29" t="str">
        <f>IF(B29="","",IFERROR(_xlfn.XLOOKUP(BC29,Коды_код,Коды_апп)&amp;"",""))</f>
        <v/>
      </c>
      <c r="DD29" t="str">
        <f t="shared" si="32"/>
        <v/>
      </c>
      <c r="DE29" t="str" cm="1">
        <f t="array" ref="DE29">IF(TRIM(DD29&amp;"")="","",IFERROR(TRIM(INDEX(_xlfn.TEXTSPLIT(DD29&amp;";;;",";"),1)),""))</f>
        <v/>
      </c>
      <c r="DF29" t="str" cm="1">
        <f t="array" ref="DF29">IF(TRIM(DD29&amp;"")="","",IFERROR(TRIM(INDEX(_xlfn.TEXTSPLIT(DD29&amp;";;;",";"),2)),""))</f>
        <v/>
      </c>
      <c r="DG29" t="str" cm="1">
        <f t="array" ref="DG29">IF(TRIM(DD29&amp;"")="","",IFERROR(TRIM(INDEX(_xlfn.TEXTSPLIT(DD29&amp;";;;",";"),3)),""))</f>
        <v/>
      </c>
      <c r="DH29">
        <f t="shared" si="33"/>
        <v>0</v>
      </c>
      <c r="DI29" t="str">
        <f>IF(B29="","",_xlfn.LET(_xlpm.t,LOWER(AZ29&amp;""),IF(ISNUMBER(SEARCH("dim",_xlpm.t)),"DIM",IF(ISNUMBER(SEARCH("dali",_xlpm.t)),"DALI",IF(OR(ISNUMBER(SEARCH("relay",_xlpm.t)),ISNUMBER(SEARCH("реле",_xlpm.t))),"Relay",IF(ISNUMBER(SEARCH("кнопк",_xlpm.t)),"",IFERROR(_xlfn.XLOOKUP(BC29,Коды_код,Коды_упр)&amp;"","")))))))</f>
        <v/>
      </c>
      <c r="DJ29" t="str">
        <f t="shared" si="34"/>
        <v/>
      </c>
      <c r="DK29">
        <f>IF(B29="","",_xlfn.LET(_xlpm.ig,IF(N(CX29)&gt;0,N(CX29),N(CI29)+IF(AJ29="вручную",0,N(CJ29))),_xlpm.n0,IFERROR(VLOOKUP(_xlpm.ig,Автомат_номиналы,2,TRUE),0),_xlpm.mn,MAX(DB29,IF(AJ29="вручную",0,N(CM29))),MAX(_xlpm.n0,_xlpm.mn,IF(DH29=1,Мин_автомат_БП,0))))</f>
        <v>6</v>
      </c>
      <c r="DL29">
        <f t="shared" si="35"/>
        <v>3</v>
      </c>
      <c r="DM29" t="str">
        <f t="shared" si="36"/>
        <v>3P</v>
      </c>
      <c r="DN29" t="str">
        <f>_xlfn.LET(_xlpm.cc,UPPER(TRIM(IFERROR(_xlfn.XLOOKUP(BC29,Коды_код,Коды_хар)&amp;"",""))),IF(OR(_xlpm.cc="B",_xlpm.cc="В"),"B",IF(_xlpm.cc="D","D","С")))</f>
        <v>С</v>
      </c>
      <c r="DO29" t="str">
        <f t="shared" si="37"/>
        <v>3P С6А</v>
      </c>
      <c r="DP29" t="str">
        <f t="shared" si="38"/>
        <v>3P С6А</v>
      </c>
      <c r="DQ29" t="str">
        <f t="shared" si="39"/>
        <v>3P С6А</v>
      </c>
      <c r="DR29" cm="1">
        <f t="array" ref="DR29">IF(DQ29="","",_xlfn.LET(_xlpm.t,SUBSTITUTE(SUBSTITUTE(SUBSTITUTE(UPPER(DQ29),"С","C"),"А","A"),"В","B"),_xlpm.tk,_xlfn.TEXTSPLIT(_xlpm.t," "),_xlpm.f,_xlfn._xlws.FILTER(_xlpm.tk,ISNUMBER(--MID(_xlpm.tk,2,1))*ISNUMBER(SEARCH(LEFT(_xlpm.tk,1)&amp;"#","B#C#D#"))*(LEN(_xlpm.tk)&gt;1),""),_xlpm.x,INDEX(_xlpm.f,1),IFERROR(--SUBSTITUTE(MID(_xlpm.x,2,9),"A",""),IFERROR(--SUBSTITUTE(INDEX(_xlfn._xlws.FILTER(_xlpm.tk,ISNUMBER(--SUBSTITUTE(_xlpm.tk,"A","")),""),1),"A",""),""))))</f>
        <v>6</v>
      </c>
      <c r="DS29" t="str">
        <f t="shared" si="40"/>
        <v>ok</v>
      </c>
      <c r="DT29">
        <f t="shared" si="41"/>
        <v>6</v>
      </c>
      <c r="DU29" t="str">
        <f t="shared" si="42"/>
        <v>3P С6А</v>
      </c>
      <c r="DV29">
        <f t="shared" si="43"/>
        <v>0</v>
      </c>
      <c r="DW29">
        <f t="shared" si="44"/>
        <v>0</v>
      </c>
      <c r="DX29">
        <f t="shared" si="45"/>
        <v>0</v>
      </c>
      <c r="DY29">
        <f t="shared" si="46"/>
        <v>2.5524959269436094</v>
      </c>
      <c r="DZ29">
        <f t="shared" si="47"/>
        <v>0.92</v>
      </c>
      <c r="EA29">
        <f>IF(ISNUMBER(AP29),AP29,К_прокл)</f>
        <v>1</v>
      </c>
      <c r="EB29">
        <f t="shared" si="48"/>
        <v>3</v>
      </c>
      <c r="EC29">
        <f>IFERROR(N(VLOOKUP(BZ29,Кабель_обозначение,3,FALSE)),1)</f>
        <v>1</v>
      </c>
      <c r="ED29">
        <f>IFERROR(N(_xlfn.XLOOKUP(A29,Щиты[Щит],Щиты[ΔU до шин, %])),0)</f>
        <v>0</v>
      </c>
      <c r="EE29" t="str">
        <f>IFERROR(_xlfn.XLOOKUP(A29,Щиты[Щит],Щиты[Zпетли на шинах, Ом]),"")</f>
        <v/>
      </c>
      <c r="EF29">
        <f>IFERROR(N(_xlfn.XLOOKUP(A29,Щиты[Щит],Щиты[ΔU до шин (подбор), %])),0)</f>
        <v>0</v>
      </c>
      <c r="EG29" t="str">
        <f>IFERROR(_xlfn.XLOOKUP(A29,Щиты[Щит],Щиты[Zпетли на шинах (подбор), Ом]),"")</f>
        <v/>
      </c>
      <c r="EH29" t="str">
        <f t="shared" si="49"/>
        <v/>
      </c>
      <c r="EI29">
        <f t="shared" si="50"/>
        <v>41</v>
      </c>
      <c r="EJ29">
        <f t="shared" si="51"/>
        <v>1</v>
      </c>
      <c r="EK29">
        <f t="shared" si="52"/>
        <v>0.31</v>
      </c>
      <c r="EL29" s="6">
        <f>IF(B29="","",IF(BV29=1,dU_LED,IF(IFERROR(_xlfn.XLOOKUP(BC29,Коды_код,Коды_уго),"")="Светильник",3,4)+IF(Методика="нормы 2026",MIN(0.5,MAX(0,N(P29)-100)*0.005),0)))</f>
        <v>4</v>
      </c>
      <c r="EM29" cm="1">
        <f t="array" ref="EM29">IF(OR(B29="",BZ29="",EC29&lt;&gt;1),"",_xlfn.LET(_xlpm.sz,Iдоп_S,_xlpm.t_,CHOOSE(EB29,Iдоп_1ж,Iдоп_2ж,Iдоп_3ж)*DZ29*EA29,_xlpm.dcx,BV29=1,_xlpm.inn,IF(_xlpm.dcx,N(O29),N(DT29)),_xlpm.smin,MAX(1.5,CC29),_xlpm.L_,N(P29)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29)/N(BU29)*100,999),IFERROR(N(EJ29)*(_xlpm.rho*_xlpm.L_/_xlpm.sz*N(CE29)+_xlpm.xx*_xlpm.L_*N(EK29)/1000)*N(O29)/((Uн_лин/SQRT(3))*1000)*100,999)),_xlpm.kz,IF(OR(_xlpm.dcx,DW29=1,NOT(ISNUMBER(EG29)),_xlpm.L_=0,_xlpm.inn=0),1,IFERROR(--(c_min*(Uн_лин*1000/SQRT(3))/(EG29+2*ρкз_Cu*_xlpm.L_/_xlpm.sz)&gt;=HT29*_xlpm.inn),0)),_xlpm.ok,IFERROR((_xlpm.sz&gt;=_xlpm.smin)*(_xlpm.t_&gt;=_xlpm.inn)*IF(_xlpm.L_&gt;0,(_xlpm.du_+IF(_xlpm.dcx,0,EF29)&lt;=EL29+0.00001),1)*_xlpm.kz,0),_xlpm.r_,_xlfn._xlws.FILTER(_xlpm.sz,_xlpm.ok,"не подобрано"),INDEX(_xlpm.r_,1)))</f>
        <v>1.5</v>
      </c>
      <c r="EN29">
        <f t="shared" si="53"/>
        <v>6</v>
      </c>
      <c r="EO29" cm="1">
        <f t="array" ref="EO29">IF(OR(B29="",BZ29="",EC29&lt;&gt;1),"",_xlfn.LET(_xlpm.sz,Iдоп_S,_xlpm.t_,CHOOSE(EB29,Iдоп_1ж,Iдоп_2ж,Iдоп_3ж)*DZ29*EA29,_xlpm.ok,IFERROR((_xlpm.sz&gt;=MAX(1.5,CC29))*(_xlpm.t_&gt;=N(DT29)),0),_xlpm.r_,_xlfn._xlws.FILTER(_xlpm.sz,_xlpm.ok,""),INDEX(_xlpm.r_,1)))</f>
        <v>1.5</v>
      </c>
      <c r="EP29" s="6" cm="1">
        <f t="array" ref="EP29">IFERROR(ROUNDUP(N(EJ29)*(_xlfn.XLOOKUP(EO29,INDEX(Кабель_сопротивление,0,1),INDEX(Кабель_сопротивление,0,3))*N(P29)/EO29*N(CE29)+_xlfn.XLOOKUP(EO29,INDEX(Кабель_сопротивление,0,1),INDEX(Кабель_сопротивление,0,2))*N(P29)*N(EK29)/1000)*N(O29)/((Uн_лин/SQRT(3))*1000)*100,2),"")</f>
        <v>0.65</v>
      </c>
      <c r="EQ29">
        <f>IFERROR(2*ρкз_Cu*N(P29)/EO29,"")</f>
        <v>1.4377333333333333</v>
      </c>
      <c r="ER29">
        <f>IFERROR(VLOOKUP(EN29,Кабель_сопротивление,3,FALSE),"")</f>
        <v>2.2499999999999999E-2</v>
      </c>
      <c r="ES29">
        <f>IFERROR(VLOOKUP(EN29,Кабель_сопротивление,2,FALSE),"")</f>
        <v>0.09</v>
      </c>
      <c r="ET29">
        <f t="shared" si="54"/>
        <v>11</v>
      </c>
      <c r="EU29">
        <f t="shared" si="55"/>
        <v>0</v>
      </c>
      <c r="EV29">
        <f t="shared" si="56"/>
        <v>0.37574373642003156</v>
      </c>
      <c r="EW29" s="6">
        <f>IFERROR(ROUNDUP(EV29/IF(BV29=1,BU29,(Uн_лин/SQRT(3))*1000)*100,2),"")</f>
        <v>0.17</v>
      </c>
      <c r="EX29" t="str">
        <f>IFERROR(VLOOKUP(BZ29,Кабель_обозначение,2,FALSE),"")</f>
        <v>ВВГнг(А)-LS</v>
      </c>
      <c r="EY29" t="str">
        <f t="shared" si="57"/>
        <v>ВВГнг(А)-LS (5х6)</v>
      </c>
      <c r="EZ29" t="str">
        <f t="shared" si="58"/>
        <v>ВВГнг(А)-LS (5х6)
L=41-0,17%</v>
      </c>
      <c r="FA29">
        <f>IFERROR(2*ρкз_Cu*P29/EN29,"")</f>
        <v>0.35943333333333333</v>
      </c>
      <c r="FB29">
        <f t="shared" si="59"/>
        <v>0.11958333333333333</v>
      </c>
      <c r="FC29" s="6" t="str">
        <f>IFERROR(IF(OR(B29="",BV29=1,NOT(ISNUMBER(EN29)),N(P29)=0),"",_xlfn.XLOOKUP(A29,Щиты[Щит],Щиты[Zпетли на шинах, Ом])+FA29),"")</f>
        <v/>
      </c>
      <c r="FD29" s="6" t="str">
        <f>IF(ISNUMBER(FC29),c_min*(Uн_лин*1000/SQRT(3))/FC29,"")</f>
        <v/>
      </c>
      <c r="FE29" s="6" t="str">
        <f>IFERROR(IF(OR(B29="",NOT(ISNUMBER(EN29))),"",1.05*(Uн_лин*1000/SQRT(3))/(_xlfn.XLOOKUP(A29,Щиты[Щит],Щиты[Zmax на шинах, Ом])+FB29)/1000),"")</f>
        <v/>
      </c>
      <c r="FF29" s="6" t="str">
        <f>IF(B29="","",IF(ISNUMBER(AC29),"Сил",IF(IFERROR(_xlfn.XLOOKUP(BC29,Коды_код,Коды_группа)&amp;"","")="","Быт",_xlfn.XLOOKUP(BC29,Коды_код,Коды_группа)&amp;"")))</f>
        <v>Быт</v>
      </c>
      <c r="FG29" s="6" t="str">
        <f t="shared" si="60"/>
        <v>Щит</v>
      </c>
      <c r="FH29" s="6" t="str">
        <f>IF(FG29="Щит","щит",IF(FG29="","",IF(FG29="Быт",IFERROR(_xlfn.XLOOKUP(A29,Щиты[Щит],Щиты[Кс быт]),1),IF(FG29="Сил",IF(ISNUMBER(AC29),AC29,IF(Методика="нормы 2026",IFERROR(_xlfn.XLOOKUP(A29,Щиты[Щит],Щиты[Кс силовых (табл. 7.5)]),1),1)),IF(OR(FG29="Пост",FG29="Отоп"),1,IF(FG29="ВНГ",0.7,0))))))</f>
        <v>щит</v>
      </c>
      <c r="FI29">
        <f>IF(FG29="","",IF(AND(BP29=1,TRIM(AE29&amp;"")=""),IF(COUNTIFS(Линии[Щит],A29,Линии[Секция (1/2/3)],"&gt;=2")&gt;0,MIN(3,MAX(1,IFERROR(--BD29,1))),1),IFERROR(MIN(3,MAX(1,INT(--AE29))),1)))</f>
        <v>1</v>
      </c>
      <c r="FJ29">
        <f t="shared" si="61"/>
        <v>0</v>
      </c>
      <c r="FK29">
        <f t="shared" si="62"/>
        <v>0</v>
      </c>
      <c r="FL29">
        <f t="shared" si="63"/>
        <v>0</v>
      </c>
      <c r="FM29">
        <f t="shared" si="64"/>
        <v>0</v>
      </c>
      <c r="FN29">
        <f t="shared" si="65"/>
        <v>0</v>
      </c>
      <c r="FO29">
        <f t="shared" si="66"/>
        <v>0</v>
      </c>
      <c r="FP29">
        <f t="shared" si="67"/>
        <v>1.9000000000000006</v>
      </c>
      <c r="FQ29">
        <f t="shared" si="68"/>
        <v>0</v>
      </c>
      <c r="FR29">
        <f t="shared" si="69"/>
        <v>0</v>
      </c>
      <c r="FS29">
        <f>IF(CG29=1,IF(AND(CH29=1,CW29=1),0,IF(AND(CS29&lt;&gt;"",CS29=BA29,CW29=1),SUMIFS(Линии[_Р линии, кВт],Линии[_блок УЗО],BA29,Линии[Щит],A29),N(BS29)+IF(AJ29="вручную",0,N(CK29)))),0)</f>
        <v>1.9000000000000006</v>
      </c>
      <c r="FT29" t="str">
        <f t="shared" si="70"/>
        <v/>
      </c>
      <c r="FU29" t="str">
        <f>IF(B29="","",IF(CG29=0,IF(BA29=1,"",FW28),IF(AND(CH29=1,CW29=1,CS29&lt;&gt;""),IFERROR(_xlfn.XLOOKUP(CS29,Линии[_n],Линии[_фаза итог]),"L1"),IF(OR(N(DL29)&gt;=3,N(BX29)&gt;=3),"L1,L2,L3",IFERROR(_xlfn.TEXTBEFORE(_xlfn.TEXTAFTER(_xlfn.XLOOKUP(A29,Щиты[Щит],Щиты[_фазы авто]),";"&amp;BA29&amp;":"),";"),"L1")))))</f>
        <v>L1,L2,L3</v>
      </c>
      <c r="FV29" t="str">
        <f t="shared" si="71"/>
        <v>L1,L2,L3</v>
      </c>
      <c r="FW29" t="str">
        <f t="shared" si="72"/>
        <v>L1,L2,L3</v>
      </c>
      <c r="FX29" cm="1">
        <f t="array" ref="FX29">IFERROR(IF(CD29=2,_xlfn.IFS(BX29=3,VLOOKUP(BS29,Справочная_двигатели,3,FALSE),BX29=1,VLOOKUP(BS29,Справочная_двигатели,5,TRUE)),0),0)</f>
        <v>0</v>
      </c>
      <c r="FY29">
        <f>IFERROR(IF(CD29=3,VLOOKUP(BS29,Справочная_ЛЭД,2,TRUE),0),0)</f>
        <v>0</v>
      </c>
      <c r="FZ29" s="6">
        <f t="shared" si="73"/>
        <v>0</v>
      </c>
      <c r="GA29" t="str">
        <f>IF(B29="","",IF(TRIM(AH29&amp;"")&lt;&gt;"",IF(LOWER(TRIM(AH29&amp;""))="да","да","нет"),IF(IFERROR(_xlfn.XLOOKUP(BC29,Коды_код,Коды_пожарная),"")="да","да","нет")))</f>
        <v>нет</v>
      </c>
      <c r="GB29" t="str">
        <f t="shared" si="74"/>
        <v>ИБП</v>
      </c>
      <c r="GC29" t="str">
        <f t="shared" si="75"/>
        <v>ИБП</v>
      </c>
      <c r="GD29">
        <f>IF(AND(BP29=1,TRIM(AE29&amp;"")=""),IF(COUNTIFS(Линии[Щит],A29,Линии[Секция (1/2/3)],"&gt;=2")&gt;0,MIN(3,MAX(1,IFERROR(--BD29,1))),1),IFERROR(MIN(3,MAX(1,INT(--AE29))),1))</f>
        <v>1</v>
      </c>
      <c r="GE29" t="str" cm="1">
        <f t="array" ref="GE29">IF(B29="","",_xlfn.LET(_xlpm.t,IFERROR(_xlfn.XLOOKUP(1,(Шины[Шина]=GC29)*(((Шины[Щит]=A29)+(Шины[Щит]=""))&gt;0),Шины[Тип]),"")&amp;"",IF(_xlpm.t&lt;&gt;"",_xlpm.t,IF(ISNUMBER(SEARCH("ИБП",GC29)),"ИБП",IF(ISNUMBER(SEARCH("ДГУ",GC29)),"ДГУ","Ввод "&amp;GD29)))))</f>
        <v>ИБП</v>
      </c>
      <c r="GF29" t="str">
        <f t="shared" si="76"/>
        <v>ИБП</v>
      </c>
      <c r="GG29" t="str">
        <f>IF(BP29=0,"",IF(TRIM(AG29&amp;"")&lt;&gt;"",TRIM(AG29&amp;""),IF(OR(GE29="ИБП",GE29="ДГУ"),"I особая",_xlfn.XLOOKUP(A29,Щиты[Щит],Щиты[Категория шины «Ввод»],"III"))))</f>
        <v/>
      </c>
      <c r="GH29" t="str">
        <f>IF(A29="","",_xlfn.XLOOKUP(A29,Щиты[Щит],Щиты[Путь],""))</f>
        <v>|ГРЩ-ЖД|ЩГП|</v>
      </c>
      <c r="GI29" t="str">
        <f>IF(B29="","",IF(AI29&lt;&gt;"",AI29,IF(IFERROR(_xlfn.XLOOKUP(BC29,Коды_код,Коды_вид)&amp;"","")="","Прочее",_xlfn.XLOOKUP(BC29,Коды_код,Коды_вид)&amp;"")))</f>
        <v>Рабочее освещение</v>
      </c>
      <c r="GJ29">
        <f>IF(BM29="","",INT((BM29-1)/Столбцов_на_лист)+1)</f>
        <v>1</v>
      </c>
      <c r="GK29" t="str">
        <f t="shared" si="77"/>
        <v>ВВГнг(А)-LS (5х6) L=41-0,17%</v>
      </c>
      <c r="GL29">
        <f t="shared" si="78"/>
        <v>1.9000000000000006</v>
      </c>
      <c r="GM29">
        <f t="shared" si="79"/>
        <v>2.5599999999999996</v>
      </c>
      <c r="GN29">
        <f t="shared" si="80"/>
        <v>3</v>
      </c>
      <c r="GO29">
        <f t="shared" si="81"/>
        <v>0</v>
      </c>
      <c r="GP29">
        <f t="shared" si="82"/>
        <v>1</v>
      </c>
      <c r="GQ29">
        <f>IF(BM29="","",IF(AND(CG29=1,GP29=1),COUNTIFS(A$3:A29,A29,CG$3:CG29,1,GP$3:GP29,1),IF(OR(OR(BA29=1,A29&lt;&gt;A28),AJ29="вручную",GP29=0),"",IF(BA29=1,"",GR28))))</f>
        <v>1</v>
      </c>
      <c r="GR29">
        <f t="shared" si="83"/>
        <v>1</v>
      </c>
      <c r="GS29">
        <f>IF(B29="","",IFERROR(LOOKUP(INDEX(CHOOSE(EB29,Iдоп_1ж,Iдоп_2ж,Iдоп_3ж),MATCH(EN29,Iдоп_S,0))*DZ29*EA29,{6,10,16,20,25,32,40,50,63,80,100,125,160,200,250,315,400,500,630}),""))</f>
        <v>32</v>
      </c>
      <c r="GT29" t="str">
        <f t="shared" si="84"/>
        <v>QF1</v>
      </c>
      <c r="GU29" t="str">
        <f t="shared" si="85"/>
        <v>QF1</v>
      </c>
      <c r="GV29" t="str">
        <f t="shared" si="86"/>
        <v/>
      </c>
      <c r="GW29">
        <f t="shared" si="87"/>
        <v>0</v>
      </c>
      <c r="GX29" t="str">
        <f>IF(OR(B29="",DJ29=""),"",IFERROR(_xlfn.XLOOKUP(DJ29,Модули_умолч[Управление],Модули_умолч[Модель])&amp;"",""))</f>
        <v/>
      </c>
      <c r="GY29">
        <f>IF(DJ29="",1,IFERROR(MAX(0,N(_xlfn.XLOOKUP(DJ29,Модули_умолч[Управление],Модули_умолч[Каналов на линию]))),1))</f>
        <v>1</v>
      </c>
      <c r="GZ29" t="str">
        <f t="shared" si="88"/>
        <v/>
      </c>
      <c r="HA29" t="str">
        <f t="shared" si="89"/>
        <v/>
      </c>
      <c r="HB29" t="str">
        <f t="shared" si="90"/>
        <v/>
      </c>
      <c r="HC29">
        <f>IF(HB29="",0,IFERROR(N(VLOOKUP(HB29,Модули_спр,3,FALSE)),0))</f>
        <v>0</v>
      </c>
      <c r="HD29" t="str">
        <f t="shared" si="91"/>
        <v/>
      </c>
      <c r="HE29" t="str">
        <f t="shared" si="92"/>
        <v/>
      </c>
      <c r="HF29" t="str">
        <f>IF(OR(HE29="",HE29="-"),"",IFERROR(VLOOKUP(HE29,Модули_спр,2,FALSE),"R"))</f>
        <v/>
      </c>
      <c r="HG29" t="str">
        <f>IF(HF29="","",HF29&amp;"."&amp;COUNTIFS(A$3:A29,A29,HF$3:HF29,HF29))</f>
        <v/>
      </c>
      <c r="HH29" t="str">
        <f t="shared" si="93"/>
        <v/>
      </c>
      <c r="HI29" t="str">
        <f t="shared" si="94"/>
        <v/>
      </c>
      <c r="HJ29" t="str">
        <f t="shared" si="95"/>
        <v/>
      </c>
      <c r="HK29" t="str">
        <f t="shared" si="96"/>
        <v/>
      </c>
      <c r="HL29">
        <f t="shared" si="97"/>
        <v>1</v>
      </c>
      <c r="HM29" t="str">
        <f>IF(HL29=1,"XT"&amp;COUNTIFS(A$3:A29,A29,HL$3:HL29,1),"")</f>
        <v>XT1</v>
      </c>
      <c r="HN29" t="str">
        <f t="shared" si="98"/>
        <v>XT1</v>
      </c>
      <c r="HO29" t="str">
        <f t="shared" si="99"/>
        <v>QF1</v>
      </c>
      <c r="HP29" t="str">
        <f t="shared" si="100"/>
        <v/>
      </c>
      <c r="HQ29" t="str">
        <f t="shared" si="101"/>
        <v>ok</v>
      </c>
      <c r="HR29" t="str">
        <f>IF(OR(HJ29="",HH29=""),"",IF(HJ29+MAX(0,GY29-1)&gt;IFERROR(VLOOKUP(HI29,Модули_спр,3,FALSE),99),"ЛИШНИЙ КАНАЛ",IF(AND(AL29&lt;&gt;"=",GY29&gt;0,COUNTIFS(Линии[_модуль гр.],HH29,Линии[Канал (итог)],HJ29,Линии[Канал],"&lt;&gt;=",Линии[Щит],A29)&gt;1),"ДУБЛЬ КАНАЛА","")))</f>
        <v/>
      </c>
      <c r="HS29" s="6" t="str">
        <f t="shared" si="102"/>
        <v/>
      </c>
      <c r="HT29">
        <f t="shared" si="103"/>
        <v>10</v>
      </c>
      <c r="HU29" t="str">
        <f t="shared" si="104"/>
        <v/>
      </c>
      <c r="HV29">
        <f t="shared" si="105"/>
        <v>0</v>
      </c>
      <c r="HW29">
        <f t="shared" si="106"/>
        <v>0</v>
      </c>
      <c r="HX29">
        <f t="shared" si="107"/>
        <v>0</v>
      </c>
      <c r="HY29">
        <f t="shared" si="108"/>
        <v>0</v>
      </c>
      <c r="HZ29">
        <f t="shared" si="109"/>
        <v>0</v>
      </c>
      <c r="IA29">
        <f t="shared" si="110"/>
        <v>0</v>
      </c>
      <c r="IB29">
        <f t="shared" si="111"/>
        <v>0</v>
      </c>
      <c r="IC29" t="str">
        <f t="shared" si="112"/>
        <v/>
      </c>
      <c r="ID29" t="str" cm="1">
        <f t="array" ref="ID29">IF(IC29="","",_xlfn.LET(_xlpm.tk,_xlfn.TEXTSPLIT(SUBSTITUTE(SUBSTITUTE(IC29,";"," "),"→"," ")," ",,TRUE),_xlpm.w_,_xlfn._xlws.FILTER(_xlpm.tk,ISNUMBER(--LEFT(_xlpm.tk,1))*((ISNUMBER(SEARCH("W",_xlpm.tk))+ISNUMBER(SEARCH("Вт",_xlpm.tk)))&gt;0),""),IFERROR(--SUBSTITUTE(SUBSTITUTE(UPPER(INDEX(_xlpm.w_,1)),"W",""),"ВТ",""),"")))</f>
        <v/>
      </c>
      <c r="IE29" t="str" cm="1">
        <f t="array" ref="IE29">IF(IC29="","",_xlfn.LET(_xlpm.tk,_xlfn.TEXTSPLIT(SUBSTITUTE(SUBSTITUTE(IC29,";"," "),"→"," ")," ",,TRUE),_xlpm.v_,_xlfn._xlws.FILTER(_xlpm.tk,ISNUMBER(--LEFT(_xlpm.tk,1))*((ISNUMBER(SEARCH("V",_xlpm.tk))+(RIGHT(UPPER(_xlpm.tk))="В"))&gt;0),""),IFERROR(--SUBSTITUTE(SUBSTITUTE(UPPER(INDEX(_xlpm.v_,1)),"V",""),"В",""),"")))</f>
        <v/>
      </c>
      <c r="IF29" s="6" t="str">
        <f>IF(OR(BV29=0,HI29="",HJ29=""),"",IFERROR(N(_xlfn.XLOOKUP(HI29,Каталог!$C$4:$C$500,Каталог!$Q$4:$Q$500)),""))</f>
        <v/>
      </c>
      <c r="IG29" s="6" t="str">
        <f>IF(N(IF29)=0,"",SUMIFS(Линии[Iр, А],Линии[Щит],A29,Линии[_модуль гр.],HH29,Линии[Канал (итог)],HJ29))</f>
        <v/>
      </c>
      <c r="IH29" t="str">
        <f>IF(AND(B29="",HO29=""),"",_xlfn.TEXTJOIN("; ",TRUE,IF(AND(B29&lt;&gt;"",FV29=""),"нет фазы",""),IF(AND(B29&lt;&gt;"",N(GL29)=0,FG29&lt;&gt;"Нет"),"нет мощности",""),IF(AND(HN29&lt;&gt;"",COUNTIFS(Линии[Щит],A29,Линии[Клемма (итог)],HN29)&gt;1),"дубль клеммы "&amp;HN29,""),IF(AND(HQ29&lt;&gt;"",HQ29&lt;&gt;"ok"),HQ29,""),IF(HR29&lt;&gt;"",HR29,""),IF(AND(N(CB29)&gt;=4,N(BX29)=1),CB29&amp;" жил на 1 фазе",""),IF(AND(BC29="R",CG29=1,IF(CS29&lt;&gt;"",N(CV29)&gt;30,OR(N(DA29)=0,N(DA29)&gt;30))),"розетка без дифзащиты до 30 мА",""),IF(AND(CG29=1,N(DA29)&gt;0,ISNUMBER(T29)),IF(T29&gt;N(DA29)/3,"ток утечки "&amp;FIXED(T29,1)&amp;" мА &gt; 1/3 уставки ("&amp;DA29&amp;" мА)",""),""),IF(AND(CH29=1,CS29=""),"«узо»: нет строки с УЗО выше (УЗО 2P 40А 30мА в «Аппаратах»)",""),IF(AND(CS29&lt;&gt;"",CS29=BA29),IF(CT29="","впишите номинал УЗО (УЗО 2P 40А 30мА)",IF(N(CT29)&lt;N(DT29),"УЗО "&amp;CT29&amp;" А &lt; автомата "&amp;DT29&amp;" А перед ним",IF(N(CT29)&lt;N(CX29),"УЗО "&amp;CT29&amp;" А &lt; тока блока "&amp;FIXED(CX29,1)&amp;" А",""))),""),IF(AND(CS29&lt;&gt;"",CS29=BA29,ISNUMBER(CY29)),IF(CY29&gt;N(CV29)/3,"ток утечки блока УЗО "&amp;FIXED(CY29,1)&amp;" мА &gt; 1/3 уставки ("&amp;CV29&amp;" мА)",""),""),IF(AND(CG29=1,N(BV29)+N(IB29)&gt;0,IC29=""),"линии до 50 В без БП: впишите в «Аппараты» (БП 24V 480W)",""),IF(AND(CG29=1,ISNUMBER(ID29),ISNUMBER(U29)),IF(U29&gt;ID29,"БП "&amp;ID29&amp;" Вт &lt; нужно "&amp;U29&amp;" Вт (×"&amp;Запас_БП&amp;")",""),""),IF(AND(CG29=1,ISNUMBER(IE29),N(BV29)=1),IF(IE29&lt;&gt;N(BU29),"БП на "&amp;IE29&amp;" В, линия "&amp;BU29&amp;" В",""),""),IF(AND(N(IF29)&gt;0,N(IG29)&gt;N(IF29)),HH29&amp;" канал "&amp;HJ29&amp;": "&amp;FIXED(IG29,1)&amp;" А &gt; "&amp;IF29&amp;" А",""),IFERROR(IF(AND(ISNUMBER(Q29),Q29&gt;EL29),"потери "&amp;FIXED(Q29,1)&amp;" % &gt; "&amp;EL29&amp;" %",""),""),IFERROR(IF(LEFT(HU29,4)="мало","Iкз мало — отключение &gt; 0,4 с",""),""),IF(AND(B29&lt;&gt;"",BM29=""),"не на схеме",""),IF(AND(CG29=0,B29&lt;&gt;"",FV29&lt;&gt;"",IF(BA29=1,"",FW28)&lt;&gt;"",FV29&lt;&gt;IF(BA29=1,"",FW28)),"фаза не как у автомата группы ("&amp;IF(BA29=1,"",FW28)&amp;")","")))</f>
        <v/>
      </c>
      <c r="II29" s="6" t="str">
        <f>IF(OR(CG29=0,DQ29=""),"",_xlfn.LET(_xlpm.t,IFERROR(_xlfn.XLOOKUP(DQ29,Каталог!$U$4:$U$500,Каталог!$G$4:$G$500),""),_xlpm.k,SEARCH("кА",_xlpm.t),IFERROR(--TRIM(RIGHT(SUBSTITUTE(MID(_xlpm.t,MAX(1,_xlpm.k-4),_xlpm.k-MAX(1,_xlpm.k-4))," ",REPT(" ",9)),5)),"")))</f>
        <v/>
      </c>
      <c r="IJ29" t="str">
        <f>IF(OR(II29="",CG29=0),"",IF(_xlfn.XLOOKUP(A29,Щиты[Щит],Щиты[Iкз max на шинах, кА],"")="","",IF(II29&lt;_xlfn.XLOOKUP(A29,Щиты[Щит],Щиты[Iкз max на шинах, кА]),"Icu "&amp;II29&amp;" кА &lt; Iкз max","ok")))</f>
        <v/>
      </c>
      <c r="IK29" t="str">
        <f t="shared" si="113"/>
        <v/>
      </c>
      <c r="IL29" t="str">
        <f t="shared" si="114"/>
        <v>QF1|XT1</v>
      </c>
      <c r="IM29" t="str">
        <f t="shared" si="115"/>
        <v>QF1|XT1|кабель ВВГнг(А)-LS (5х6) → Щит освещения ЩО-2 Подвальный этаж этаж Пом. №3.001</v>
      </c>
      <c r="IN29" t="str" cm="1">
        <f t="array" ref="IN29">IF(IM29="","",_xlfn.LET(_xlpm.nd,_xlfn.TEXTSPLIT(IM29,"|"),IF(COLUMNS(_xlpm.nd)&gt;1,A29&amp;"¦"&amp;INDEX(_xlpm.nd,1)&amp;"¦"&amp;INDEX(_xlpm.nd,2),"")))</f>
        <v>ЩГП¦QF1¦XT1</v>
      </c>
      <c r="IO29" t="str">
        <f t="shared" si="116"/>
        <v>ЩО-001¦Щит освещения ЩО-2 Подвальный этаж этаж Пом. №3.001</v>
      </c>
      <c r="IP29" t="str" cm="1">
        <f t="array" ref="IP29">IF(IM29="","",_xlfn.LET(_xlpm.nd,_xlfn.TEXTSPLIT(IM29,"|"),IF(COLUMNS(_xlpm.nd)&gt;2,A29&amp;"¦"&amp;INDEX(_xlpm.nd,2)&amp;"¦"&amp;INDEX(_xlpm.nd,3),"")))</f>
        <v>ЩГП¦XT1¦кабель ВВГнг(А)-LS (5х6) → Щит освещения ЩО-2 Подвальный этаж этаж Пом. №3.001</v>
      </c>
      <c r="IQ29" t="str">
        <f t="shared" si="117"/>
        <v>ЩО-001¦Щит освещения ЩО-2 Подвальный этаж этаж Пом. №3.001</v>
      </c>
      <c r="IR29" t="str" cm="1">
        <f t="array" ref="IR29">IF(IM29="","",_xlfn.LET(_xlpm.nd,_xlfn.TEXTSPLIT(IM29,"|"),IF(COLUMNS(_xlpm.nd)&gt;3,A29&amp;"¦"&amp;INDEX(_xlpm.nd,3)&amp;"¦"&amp;INDEX(_xlpm.nd,4),"")))</f>
        <v/>
      </c>
      <c r="IS29" t="str">
        <f t="shared" si="118"/>
        <v/>
      </c>
      <c r="IT29" t="str" cm="1">
        <f t="array" ref="IT29">IF(IM29="","",_xlfn.LET(_xlpm.nd,_xlfn.TEXTSPLIT(IM29,"|"),IF(COLUMNS(_xlpm.nd)&gt;4,A29&amp;"¦"&amp;INDEX(_xlpm.nd,4)&amp;"¦"&amp;INDEX(_xlpm.nd,5),"")))</f>
        <v/>
      </c>
      <c r="IU29" t="str">
        <f t="shared" si="119"/>
        <v/>
      </c>
      <c r="IV29" t="str" cm="1">
        <f t="array" ref="IV29">IF(IM29="","",_xlfn.LET(_xlpm.nd,_xlfn.TEXTSPLIT(IM29,"|"),IF(COLUMNS(_xlpm.nd)&gt;5,A29&amp;"¦"&amp;INDEX(_xlpm.nd,5)&amp;"¦"&amp;INDEX(_xlpm.nd,6),"")))</f>
        <v/>
      </c>
      <c r="IW29" t="str">
        <f t="shared" si="120"/>
        <v/>
      </c>
      <c r="IX29" t="str" cm="1">
        <f t="array" ref="IX29">IF(IM29="","",_xlfn.LET(_xlpm.nd,_xlfn.TEXTSPLIT(IM29,"|"),IF(COLUMNS(_xlpm.nd)&gt;6,A29&amp;"¦"&amp;INDEX(_xlpm.nd,6)&amp;"¦"&amp;INDEX(_xlpm.nd,7),"")))</f>
        <v/>
      </c>
      <c r="IY29" t="str">
        <f t="shared" si="121"/>
        <v/>
      </c>
      <c r="IZ29" t="str">
        <f t="shared" si="122"/>
        <v/>
      </c>
      <c r="JA29" t="str">
        <f t="shared" si="123"/>
        <v>QF1 → XT1</v>
      </c>
      <c r="JB29">
        <f t="shared" si="124"/>
        <v>1</v>
      </c>
      <c r="JC29">
        <f t="shared" si="125"/>
        <v>0</v>
      </c>
      <c r="JD29" t="str">
        <f t="shared" si="126"/>
        <v/>
      </c>
      <c r="JE29" t="str">
        <f t="shared" si="127"/>
        <v/>
      </c>
      <c r="JF29" t="str">
        <f t="shared" si="128"/>
        <v/>
      </c>
      <c r="JG29" t="str">
        <f t="shared" si="129"/>
        <v/>
      </c>
      <c r="JH29" t="str">
        <f>IF(B29="","",IFERROR(_xlfn.XLOOKUP(B29,Коды_код,Коды_уго),IFERROR(_xlfn.XLOOKUP(BC29,Коды_код,Коды_уго),IFERROR(_xlfn.XLOOKUP(LEFT(BC29,2),Коды_код,Коды_уго),""))))</f>
        <v/>
      </c>
      <c r="JI29" t="str">
        <f>IF(B29="","",IF(OR(JH29="",JH29=0),"BOX",IFERROR(IF(VLOOKUP(JH29,УГО_блоки,3,FALSE)&amp;""&lt;&gt;"",VLOOKUP(JH29,УГО_блоки,3,FALSE),VLOOKUP(JH29,УГО_блоки,2,FALSE)),JH29)))</f>
        <v>BOX</v>
      </c>
      <c r="JJ29">
        <f t="shared" si="130"/>
        <v>1</v>
      </c>
      <c r="JK29" t="str">
        <f>IF(DQ29="","",IF(COUNTIF(DQ$3:DQ29,DQ29)=1,MAX(JK$2:JK28)+1,""))</f>
        <v/>
      </c>
      <c r="JL29" t="str">
        <f>IF(DE29="","",IF(COUNTIF(DE$3:DE29,DE29)+COUNTIF(DF$2:DF28,DE29)+COUNTIF(DG$2:DG28,DE29)=1,MAX(JL$2:JN28)+1,""))</f>
        <v/>
      </c>
      <c r="JM29" t="str">
        <f>IF(DF29="","",IF(COUNTIF(DE$3:DE29,DF29)+COUNTIF(DF$3:DF29,DF29)+COUNTIF(DG$2:DG28,DF29)=1,MAX(JL$2:JN28,JL29)+1,""))</f>
        <v/>
      </c>
      <c r="JN29" t="str">
        <f>IF(DG29="","",IF(COUNTIF(DE$3:DE29,DG29)+COUNTIF(DF$3:DF29,DG29)+COUNTIF(DG$3:DG29,DG29)=1,MAX(JL$2:JN28,JL29,JM29)+1,""))</f>
        <v/>
      </c>
      <c r="JO29" t="str">
        <f t="shared" si="131"/>
        <v>5х6</v>
      </c>
      <c r="JP29" t="str">
        <f>IF(JO29="","",IF(COUNTIF(JO$3:JO29,JO29)=1,MAX(JP$2:JP28)+1,""))</f>
        <v/>
      </c>
      <c r="JQ29" t="str">
        <f>IF(HG29="","",COUNTIF(HG$3:HG29,"?*"))</f>
        <v/>
      </c>
      <c r="JR29" t="str">
        <f>IF(OR(HG29="",HI29=""),"",IF(COUNTIFS(HG$3:HG29,"?*",HI$3:HI29,HI29)=1,MAX(JR$2:JR28)+1,""))</f>
        <v/>
      </c>
      <c r="JS29">
        <f t="shared" si="132"/>
        <v>0</v>
      </c>
      <c r="JT29">
        <f>IF(B29="","",COUNTIF(B$3:B29,"?*"))</f>
        <v>27</v>
      </c>
      <c r="JU29">
        <f>IF(HL29&lt;&gt;1,0,_xlfn.LET(_xlpm.k,MAX(IFERROR(--_xlfn.XLOOKUP(B29,Коды_код,Коды_3L),0),IFERROR(--_xlfn.XLOOKUP(BC29,Коды_код,Коды_3L),0),IFERROR(--_xlfn.XLOOKUP(LEFT(BC29,2),Коды_код,Коды_3L),0)),IF(_xlpm.k&gt;0,_xlpm.k,IF(IFERROR(--LEFT(SUBSTITUTE(JO29,"x","х"),FIND("х",SUBSTITUTE(JO29,"x","х"))-1),3)&gt;3,Каталог!$S$9,1))))</f>
        <v>1</v>
      </c>
      <c r="JV29">
        <f t="shared" si="133"/>
        <v>2</v>
      </c>
      <c r="JW29" t="str">
        <f t="shared" si="134"/>
        <v>авто</v>
      </c>
      <c r="JX29" t="str">
        <f t="shared" si="135"/>
        <v/>
      </c>
      <c r="JY29">
        <f t="shared" si="136"/>
        <v>0</v>
      </c>
      <c r="JZ29">
        <f t="shared" si="137"/>
        <v>1</v>
      </c>
    </row>
    <row r="30" spans="1:286" x14ac:dyDescent="0.3">
      <c r="A30" t="s">
        <v>782</v>
      </c>
      <c r="B30" t="s">
        <v>1345</v>
      </c>
      <c r="C30" t="s">
        <v>1654</v>
      </c>
      <c r="D30">
        <v>1</v>
      </c>
      <c r="E30" t="str">
        <f>Линии[[#This Row],[_авто Р]]</f>
        <v/>
      </c>
      <c r="G30" t="str">
        <f>Линии[[#This Row],[_авто автомат]]</f>
        <v>3P С6А</v>
      </c>
      <c r="H30" t="str">
        <f>Линии[[#This Row],[_авто управление]]</f>
        <v/>
      </c>
      <c r="I30" t="str">
        <f>Линии[[#This Row],[_авто аппараты]]</f>
        <v/>
      </c>
      <c r="J30">
        <v>6</v>
      </c>
      <c r="K30">
        <v>15</v>
      </c>
      <c r="L30" t="str">
        <f>Линии[[#This Row],[_авто фаза]]</f>
        <v>L1,L2,L3</v>
      </c>
      <c r="M30" t="str">
        <f>Линии[[#This Row],[_авто клемма]]</f>
        <v>XT2</v>
      </c>
      <c r="N30" t="str">
        <f t="shared" si="0"/>
        <v>нет мощности</v>
      </c>
      <c r="O30" s="6" cm="1">
        <f t="array" ref="O30">IF(B30="","",IF(BH30&lt;&gt;"",IFERROR(_xlfn.XLOOKUP(BH30,Щиты[Щит],Щиты[Iр, А]),""),IF(BP30=1,IF(OR(N(_xlfn.XLOOKUP(A30,Щиты[Щит],Щиты[Вводов],1))&lt;=1,LOWER(TRIM(_xlfn.XLOOKUP(A30,Щиты[Щит],Щиты[АВР],"")&amp;""))="да"),IFERROR(_xlfn.XLOOKUP(A30,Щиты[Щит],Щиты[Iр, А]),""),IFERROR(N(BS30)*_xlfn.XLOOKUP(A30,Щиты[Щит],Щиты[Кс итог])/(SQRT(3)*Uн_лин*_xlfn.XLOOKUP(A30,Щиты[Щит],Щиты[cos φ])),"")),IF(BV30=1,IFERROR(BS30*1000/BU30,""),IFERROR(_xlfn.IFS(BX30=1,BS30/((Uн_лин/SQRT(3))*CE30),BX30=3,BS30/(SQRT(3)*Uн_лин*CE30)),"")))))</f>
        <v>0</v>
      </c>
      <c r="P30" s="7">
        <f>IF(B30="","",IFERROR(IF(VLOOKUP(BC30,Потребители_обозначение,4,FALSE)=1,VLOOKUP(BC30,Потребители_обозначение,3,FALSE)*(MAX(1,N(D30))*2-1)+EI30+VLOOKUP(BE30,Этаж_обозначение,3,FALSE)+VLOOKUP(BE30,Этаж_обозначение,4,FALSE),VLOOKUP(BC30,Потребители_обозначение,3,FALSE)*(MAX(1,N(D30))*2-1)+EI30),EI30))</f>
        <v>15</v>
      </c>
      <c r="Q30" s="6">
        <f t="shared" si="1"/>
        <v>0</v>
      </c>
      <c r="R30" t="str">
        <f t="shared" si="2"/>
        <v>ВВГнг(А)-LS (5х6)</v>
      </c>
      <c r="S30" t="str">
        <f>IF(BM30="","",IF(BN30="вводной узел","узел ","")&amp;"л."&amp;(INT((BM30-1)/Столбцов_на_лист)+1)&amp;" / "&amp;(MOD(BM30-1,Столбцов_на_лист)+1))</f>
        <v>л.1 / 15</v>
      </c>
      <c r="T30" s="119">
        <f t="shared" si="3"/>
        <v>0.2</v>
      </c>
      <c r="U30" s="7" t="str">
        <f>IF(OR(CG30=0,N(BV30)+N(IB30)=0),"",ROUNDUP(Запас_БП*(N(HY30)+N(HZ30)),0))</f>
        <v/>
      </c>
      <c r="V30" s="119" t="str">
        <f t="shared" si="4"/>
        <v/>
      </c>
      <c r="W30" s="7" t="str">
        <f>IFERROR(IF(OR(B30="",BP30=1,BV30=1,NOT(ISNUMBER(EN30)),N(DT30)=0),"",MAX(0,ROUNDDOWN((c_min*(Uн_лин*1000/SQRT(3))/(HT30*N(DT30))-_xlfn.XLOOKUP(A30,Щиты[Щит],Щиты[Zпетли на шинах, Ом]))*EN30/(2*ρкз_Cu),0))),"")</f>
        <v/>
      </c>
      <c r="Y30" t="str">
        <f>Линии[[#This Row],[_авто утечка]]</f>
        <v/>
      </c>
      <c r="Z30">
        <v>3</v>
      </c>
      <c r="AA30">
        <v>400</v>
      </c>
      <c r="AB30" t="s">
        <v>562</v>
      </c>
      <c r="AF30" t="s">
        <v>846</v>
      </c>
      <c r="AG30" t="s">
        <v>850</v>
      </c>
      <c r="AI30" t="s">
        <v>555</v>
      </c>
      <c r="AK30" t="str">
        <f>Линии[[#This Row],[_авто модуль]]</f>
        <v/>
      </c>
      <c r="AM30">
        <v>15</v>
      </c>
      <c r="AN30" t="s">
        <v>11</v>
      </c>
      <c r="AO30">
        <v>5</v>
      </c>
      <c r="AR30">
        <v>15</v>
      </c>
      <c r="BA30" cm="1">
        <f t="array" ref="BA30">ROW()-ROW(Линии[#Headers])</f>
        <v>28</v>
      </c>
      <c r="BC30" s="6" t="str">
        <f t="shared" si="5"/>
        <v>ЩО-01</v>
      </c>
      <c r="BD30" t="str">
        <f t="shared" si="6"/>
        <v/>
      </c>
      <c r="BE30" t="str">
        <f t="shared" si="7"/>
        <v/>
      </c>
      <c r="BF30" t="str">
        <f t="shared" si="8"/>
        <v/>
      </c>
      <c r="BG30" t="str">
        <f t="shared" si="9"/>
        <v/>
      </c>
      <c r="BH30" t="str">
        <f>IF(X30&lt;&gt;"",X30,IF(AND(B30&lt;&gt;"",B30&lt;&gt;A30,ISNUMBER(_xlfn.XMATCH(B30,Щиты[Щит]))),B30,""))</f>
        <v/>
      </c>
      <c r="BI30" t="str" cm="1">
        <f t="array" ref="BI30">IF(B30="","",IF(BH30&lt;&gt;"","Щит "&amp;BH30,_xlfn.LET(_xlpm.nm,IFERROR(_xlfn.XLOOKUP(BC30,Коды_код,Коды_имя)&amp;"",""),_xlpm.md,IFERROR(N(_xlfn.XLOOKUP(BC30,Коды_код,Коды_режим)),1),_xlpm.ex,IF(Имя_режим="по экспликации",IFERROR(_xlfn.XLOOKUP(BE30&amp;"|"&amp;BG30,Экспликация[Этаж]&amp;"|"&amp;Экспликация[Помещение],Экспликация[Название])&amp;"",""),""),_xlpm.rm,IF(BG30="","",IF(_xlpm.ex&lt;&gt;"",". "&amp;_xlpm.ex&amp;IF(Имя_пом="нет"," ("&amp;BG30&amp;")"," (пом. "&amp;BG30&amp;")"),IF(Имя_пом="нет"," ",", пом. ")&amp;BG30)),IF(_xlpm.nm="","",IF(_xlpm.md=2,_xlpm.nm&amp;" шлейф "&amp;BE30,_xlpm.nm&amp;_xlpm.rm)))))</f>
        <v/>
      </c>
      <c r="BJ30" t="str">
        <f t="shared" si="10"/>
        <v>Щит освещения ЩО-2 Цокольный этаж этаж Пом. №001Т</v>
      </c>
      <c r="BK30">
        <f>IFERROR(_xlfn.XMATCH(A30,Щиты[Щит]),0)</f>
        <v>2</v>
      </c>
      <c r="BL30">
        <f>_xlfn.LET(_xlpm.k,IFERROR(_xlfn.XLOOKUP(A30,Щиты[Щит],Щиты[Мест под вводной узел]),""),IF(_xlpm.k="",Столбцов_на_лист,N(_xlpm.k)))</f>
        <v>13</v>
      </c>
      <c r="BM30">
        <f t="shared" si="11"/>
        <v>15</v>
      </c>
      <c r="BN30" t="str">
        <f t="shared" si="12"/>
        <v>линии</v>
      </c>
      <c r="BO30" s="6">
        <f>IFERROR(N(_xlfn.XLOOKUP(BC30,Коды_код,Коды_квт)),0)</f>
        <v>0</v>
      </c>
      <c r="BP30">
        <f t="shared" si="13"/>
        <v>0</v>
      </c>
      <c r="BQ30" t="str">
        <f>IF(B30="","",IF(BH30&lt;&gt;"",IFERROR(_xlfn.XLOOKUP(BH30,Щиты[Щит],Щиты[Руст, кВт]),0),IF(BP30=1,IF(OR(N(_xlfn.XLOOKUP(A30,Щиты[Щит],Щиты[Вводов],1))&lt;=1,LOWER(TRIM(_xlfn.XLOOKUP(A30,Щиты[Щит],Щиты[АВР],"")&amp;""))="да"),IFERROR(_xlfn.XLOOKUP(A30,Щиты[Щит],Щиты[Руст, кВт]),0),SUMIFS(Линии[_Р для вводов],Линии[Щит],A30,Линии[Источник для режимов],GF30)),IF(BO30&gt;0,ROUND(BO30*MAX(1,N(D30)),3),""))))</f>
        <v/>
      </c>
      <c r="BR30" t="str">
        <f t="shared" si="14"/>
        <v/>
      </c>
      <c r="BS30" s="6">
        <f>IF(B30="","",IF(BH30&lt;&gt;"",IFERROR(_xlfn.XLOOKUP(BH30,Щиты[Щит],Щиты[Руст, кВт]),0),N(BR30)))</f>
        <v>0</v>
      </c>
      <c r="BT30" t="str">
        <f>IF(B30="","",IFERROR(IF(VLOOKUP(BC30,Потребители_обозначение,8,FALSE)=0,"",VLOOKUP(BC30,Потребители_обозначение,8,FALSE)),""))</f>
        <v/>
      </c>
      <c r="BU30">
        <f t="shared" si="15"/>
        <v>400</v>
      </c>
      <c r="BV30">
        <f t="shared" si="16"/>
        <v>0</v>
      </c>
      <c r="BW30">
        <f>IF(B30="","",IF(BH30&lt;&gt;"",3,IFERROR(IF(N(VLOOKUP(BC30,Потребители_обозначение,9,FALSE))=0,1,VLOOKUP(BC30,Потребители_обозначение,9,FALSE)),1)))</f>
        <v>1</v>
      </c>
      <c r="BX30">
        <f t="shared" si="17"/>
        <v>3</v>
      </c>
      <c r="BY30" t="str">
        <f>IF(B30="","",_xlfn.LET(_xlpm.bc,IFERROR(IF(VLOOKUP(BC30,Потребители_обозначение,6,FALSE)=0,"",VLOOKUP(BC30,Потребители_обозначение,6,FALSE)&amp;""),""),IF(AND(GA30="да",OR(_xlpm.bc="",_xlpm.bc="мс")),Марка_пож,IF(AND(_xlpm.bc="",BH30&lt;&gt;""),"мс",_xlpm.bc))))</f>
        <v/>
      </c>
      <c r="BZ30" t="str">
        <f t="shared" si="18"/>
        <v>мс</v>
      </c>
      <c r="CA30">
        <f>IF(B30="","",_xlfn.LET(_xlpm.cc,IFERROR(N(VLOOKUP(BC30,Потребители_обозначение,7,FALSE)),0),IF(_xlpm.cc&gt;0,_xlpm.cc,IF(BZ30="","",IF(BV30=1,2,IF(N(BX30)=3,5,3))))))</f>
        <v>5</v>
      </c>
      <c r="CB30">
        <f t="shared" si="19"/>
        <v>5</v>
      </c>
      <c r="CC30">
        <f>IFERROR(N(VLOOKUP(BC30,Потребители_обозначение,10,FALSE)),0)</f>
        <v>0</v>
      </c>
      <c r="CD30">
        <f>IFERROR(VLOOKUP(BC30,Потребители_обозначение,5,FALSE),0)</f>
        <v>0</v>
      </c>
      <c r="CE30" s="6" cm="1">
        <f t="array" ref="CE30">IF(B30="","",IF(BH30&lt;&gt;"",IFERROR(_xlfn.XLOOKUP(BH30,Щиты[Щит],Щиты[cos φ]),0.95),IF(BP30=1,IFERROR(_xlfn.XLOOKUP(A30,Щиты[Щит],Щиты[cos φ]),0.95),IF(ISNUMBER(AD30),AD30,IFERROR(IF(CD30=2,_xlfn.IFS(BX30=3,VLOOKUP(BS30,Справочная_двигатели,8,FALSE),BX30=1,VLOOKUP(BS30,Справочная_двигатели,10,TRUE)),IF(AND(Методика="нормы 2026",FG30="Сил"),0.8,0.95)),0.95)))))</f>
        <v>0.95</v>
      </c>
      <c r="CF30">
        <f t="shared" si="20"/>
        <v>0</v>
      </c>
      <c r="CG30">
        <f t="shared" si="21"/>
        <v>1</v>
      </c>
      <c r="CH30">
        <f t="shared" si="22"/>
        <v>0</v>
      </c>
      <c r="CI30">
        <f>IF(B30="","",IF(BV30=1,IFERROR(BS30/((Uн_лин/SQRT(3))*MAX(0.5,N(CE30))),0),N(O30)))</f>
        <v>0</v>
      </c>
      <c r="CJ30">
        <f t="shared" si="23"/>
        <v>0</v>
      </c>
      <c r="CK30">
        <f t="shared" si="24"/>
        <v>0</v>
      </c>
      <c r="CL30">
        <f t="shared" si="25"/>
        <v>0</v>
      </c>
      <c r="CM30">
        <f t="shared" si="26"/>
        <v>0</v>
      </c>
      <c r="CN30">
        <f t="shared" si="27"/>
        <v>0</v>
      </c>
      <c r="CO30">
        <f>IF(BC30="",0,_xlfn.LET(_xlpm.v,IFERROR(_xlfn.XLOOKUP(B30,Коды_код,Коды_мА),IFERROR(_xlfn.XLOOKUP(BC30,Коды_код,Коды_мА),IFERROR(_xlfn.XLOOKUP(LEFT(BC30,2),Коды_код,Коды_мА),""))),IF(_xlpm.v="да",30,IF(ISNUMBER(_xlpm.v),_xlpm.v,0))))</f>
        <v>0</v>
      </c>
      <c r="CP30" t="str">
        <f t="shared" si="28"/>
        <v/>
      </c>
      <c r="CQ30" t="str">
        <f>_xlfn.LET(_xlpm.k,IFERROR(_xlfn.XLOOKUP(BC30,Коды_код,Коды_утечка)&amp;"",""),IF(_xlpm.k="","дифавтомат",_xlpm.k))</f>
        <v>дифавтомат</v>
      </c>
      <c r="CR30" t="str" cm="1">
        <f t="array" ref="CR30">IF(CG30=0,"",_xlfn.LET(_xlpm.sg,TRIM(_xlfn.TEXTSPLIT(DD30&amp;"",";")),_xlpm.f_,_xlfn._xlws.FILTER(_xlpm.sg,LEFT(_xlpm.sg,3)="УЗО",""),IFERROR(INDEX(_xlpm.f_,1)&amp;"","")))</f>
        <v/>
      </c>
      <c r="CS30" t="str">
        <f t="shared" si="29"/>
        <v/>
      </c>
      <c r="CT30" s="6" t="str" cm="1">
        <f t="array" ref="CT30">IF(CR30="","",_xlfn.LET(_xlpm.tk,_xlfn.TEXTSPLIT(UPPER(CR30)," ",,TRUE),_xlpm.a_,_xlfn._xlws.FILTER(_xlpm.tk,ISNUMBER(--LEFT(_xlpm.tk,1))*((ISNUMBER(SEARCH("А",_xlpm.tk))+ISNUMBER(SEARCH("A",_xlpm.tk)))&gt;0)*NOT(ISNUMBER(SEARCH("МА",_xlpm.tk)))*NOT(ISNUMBER(SEARCH("MA",_xlpm.tk))),""),IFERROR(--SUBSTITUTE(SUBSTITUTE(INDEX(_xlpm.a_,1),"А",""),"A",""),"")))</f>
        <v/>
      </c>
      <c r="CU30" t="str" cm="1">
        <f t="array" ref="CU30">IF(CR30="","",_xlfn.LET(_xlpm.tk,_xlfn.TEXTSPLIT(UPPER(CR30)," ",,TRUE),_xlpm.a_,_xlfn._xlws.FILTER(_xlpm.tk,ISNUMBER(--LEFT(_xlpm.tk,1))*((ISNUMBER(SEARCH("МА",_xlpm.tk))+ISNUMBER(SEARCH("MA",_xlpm.tk)))&gt;0),""),IFERROR(--SUBSTITUTE(SUBSTITUTE(INDEX(_xlpm.a_,1),"МА",""),"MA",""),30)))</f>
        <v/>
      </c>
      <c r="CV30" t="str">
        <f>IF(CS30="","",IFERROR(_xlfn.XLOOKUP(CS30,Линии[_n],Линии[_УЗО, мА]),30))</f>
        <v/>
      </c>
      <c r="CW30">
        <f>IF(CS30="",0,IF(ISNUMBER(SEARCH("4P",IFERROR(_xlfn.XLOOKUP(CS30,Линии[_n],Линии[_УЗО строки])&amp;"",""))),0,1))</f>
        <v>0</v>
      </c>
      <c r="CX30" t="str">
        <f>IF(AND(CS30&lt;&gt;"",CS30=BA30),SUMIFS(Линии[_ток на 230 В],Линии[_блок УЗО],BA30,Линии[Щит],A30),"")</f>
        <v/>
      </c>
      <c r="CY30" t="str">
        <f>IF(AND(CS30&lt;&gt;"",CS30=BA30),SUMIFS(Линии[_ток утечки линии, мА],Линии[_блок УЗО],BA30,Линии[Щит],A30),"")</f>
        <v/>
      </c>
      <c r="CZ30">
        <f t="shared" si="30"/>
        <v>0</v>
      </c>
      <c r="DA30">
        <f t="shared" si="31"/>
        <v>0</v>
      </c>
      <c r="DB30">
        <f>IF(B30="",0,IFERROR(--_xlfn.XLOOKUP(B30,Коды_код,Коды_минавт),IFERROR(--_xlfn.XLOOKUP(BC30,Коды_код,Коды_минавт),IFERROR(--_xlfn.XLOOKUP(LEFT(BC30,2),Коды_код,Коды_минавт),0))))</f>
        <v>0</v>
      </c>
      <c r="DC30" t="str">
        <f>IF(B30="","",IFERROR(_xlfn.XLOOKUP(BC30,Коды_код,Коды_апп)&amp;"",""))</f>
        <v/>
      </c>
      <c r="DD30" t="str">
        <f t="shared" si="32"/>
        <v/>
      </c>
      <c r="DE30" t="str" cm="1">
        <f t="array" ref="DE30">IF(TRIM(DD30&amp;"")="","",IFERROR(TRIM(INDEX(_xlfn.TEXTSPLIT(DD30&amp;";;;",";"),1)),""))</f>
        <v/>
      </c>
      <c r="DF30" t="str" cm="1">
        <f t="array" ref="DF30">IF(TRIM(DD30&amp;"")="","",IFERROR(TRIM(INDEX(_xlfn.TEXTSPLIT(DD30&amp;";;;",";"),2)),""))</f>
        <v/>
      </c>
      <c r="DG30" t="str" cm="1">
        <f t="array" ref="DG30">IF(TRIM(DD30&amp;"")="","",IFERROR(TRIM(INDEX(_xlfn.TEXTSPLIT(DD30&amp;";;;",";"),3)),""))</f>
        <v/>
      </c>
      <c r="DH30">
        <f t="shared" si="33"/>
        <v>0</v>
      </c>
      <c r="DI30" t="str">
        <f>IF(B30="","",_xlfn.LET(_xlpm.t,LOWER(AZ30&amp;""),IF(ISNUMBER(SEARCH("dim",_xlpm.t)),"DIM",IF(ISNUMBER(SEARCH("dali",_xlpm.t)),"DALI",IF(OR(ISNUMBER(SEARCH("relay",_xlpm.t)),ISNUMBER(SEARCH("реле",_xlpm.t))),"Relay",IF(ISNUMBER(SEARCH("кнопк",_xlpm.t)),"",IFERROR(_xlfn.XLOOKUP(BC30,Коды_код,Коды_упр)&amp;"","")))))))</f>
        <v/>
      </c>
      <c r="DJ30" t="str">
        <f t="shared" si="34"/>
        <v/>
      </c>
      <c r="DK30">
        <f>IF(B30="","",_xlfn.LET(_xlpm.ig,IF(N(CX30)&gt;0,N(CX30),N(CI30)+IF(AJ30="вручную",0,N(CJ30))),_xlpm.n0,IFERROR(VLOOKUP(_xlpm.ig,Автомат_номиналы,2,TRUE),0),_xlpm.mn,MAX(DB30,IF(AJ30="вручную",0,N(CM30))),MAX(_xlpm.n0,_xlpm.mn,IF(DH30=1,Мин_автомат_БП,0))))</f>
        <v>6</v>
      </c>
      <c r="DL30">
        <f t="shared" si="35"/>
        <v>3</v>
      </c>
      <c r="DM30" t="str">
        <f t="shared" si="36"/>
        <v>3P</v>
      </c>
      <c r="DN30" t="str">
        <f>_xlfn.LET(_xlpm.cc,UPPER(TRIM(IFERROR(_xlfn.XLOOKUP(BC30,Коды_код,Коды_хар)&amp;"",""))),IF(OR(_xlpm.cc="B",_xlpm.cc="В"),"B",IF(_xlpm.cc="D","D","С")))</f>
        <v>С</v>
      </c>
      <c r="DO30" t="str">
        <f t="shared" si="37"/>
        <v>3P С6А</v>
      </c>
      <c r="DP30" t="str">
        <f t="shared" si="38"/>
        <v>3P С6А</v>
      </c>
      <c r="DQ30" t="str">
        <f t="shared" si="39"/>
        <v>3P С6А</v>
      </c>
      <c r="DR30" cm="1">
        <f t="array" ref="DR30">IF(DQ30="","",_xlfn.LET(_xlpm.t,SUBSTITUTE(SUBSTITUTE(SUBSTITUTE(UPPER(DQ30),"С","C"),"А","A"),"В","B"),_xlpm.tk,_xlfn.TEXTSPLIT(_xlpm.t," "),_xlpm.f,_xlfn._xlws.FILTER(_xlpm.tk,ISNUMBER(--MID(_xlpm.tk,2,1))*ISNUMBER(SEARCH(LEFT(_xlpm.tk,1)&amp;"#","B#C#D#"))*(LEN(_xlpm.tk)&gt;1),""),_xlpm.x,INDEX(_xlpm.f,1),IFERROR(--SUBSTITUTE(MID(_xlpm.x,2,9),"A",""),IFERROR(--SUBSTITUTE(INDEX(_xlfn._xlws.FILTER(_xlpm.tk,ISNUMBER(--SUBSTITUTE(_xlpm.tk,"A","")),""),1),"A",""),""))))</f>
        <v>6</v>
      </c>
      <c r="DS30" t="str">
        <f t="shared" si="40"/>
        <v>ok</v>
      </c>
      <c r="DT30">
        <f t="shared" si="41"/>
        <v>6</v>
      </c>
      <c r="DU30" t="str">
        <f t="shared" si="42"/>
        <v>3P С6А</v>
      </c>
      <c r="DV30">
        <f t="shared" si="43"/>
        <v>0</v>
      </c>
      <c r="DW30">
        <f t="shared" si="44"/>
        <v>0</v>
      </c>
      <c r="DX30">
        <f t="shared" si="45"/>
        <v>0</v>
      </c>
      <c r="DY30">
        <f t="shared" si="46"/>
        <v>0</v>
      </c>
      <c r="DZ30">
        <f t="shared" si="47"/>
        <v>0.92</v>
      </c>
      <c r="EA30">
        <f>IF(ISNUMBER(AP30),AP30,К_прокл)</f>
        <v>1</v>
      </c>
      <c r="EB30">
        <f t="shared" si="48"/>
        <v>3</v>
      </c>
      <c r="EC30">
        <f>IFERROR(N(VLOOKUP(BZ30,Кабель_обозначение,3,FALSE)),1)</f>
        <v>1</v>
      </c>
      <c r="ED30">
        <f>IFERROR(N(_xlfn.XLOOKUP(A30,Щиты[Щит],Щиты[ΔU до шин, %])),0)</f>
        <v>0</v>
      </c>
      <c r="EE30" t="str">
        <f>IFERROR(_xlfn.XLOOKUP(A30,Щиты[Щит],Щиты[Zпетли на шинах, Ом]),"")</f>
        <v/>
      </c>
      <c r="EF30">
        <f>IFERROR(N(_xlfn.XLOOKUP(A30,Щиты[Щит],Щиты[ΔU до шин (подбор), %])),0)</f>
        <v>0</v>
      </c>
      <c r="EG30" t="str">
        <f>IFERROR(_xlfn.XLOOKUP(A30,Щиты[Щит],Щиты[Zпетли на шинах (подбор), Ом]),"")</f>
        <v/>
      </c>
      <c r="EH30" t="str">
        <f t="shared" si="49"/>
        <v/>
      </c>
      <c r="EI30">
        <f t="shared" si="50"/>
        <v>15</v>
      </c>
      <c r="EJ30">
        <f t="shared" si="51"/>
        <v>1</v>
      </c>
      <c r="EK30">
        <f t="shared" si="52"/>
        <v>0.31</v>
      </c>
      <c r="EL30" s="6">
        <f>IF(B30="","",IF(BV30=1,dU_LED,IF(IFERROR(_xlfn.XLOOKUP(BC30,Коды_код,Коды_уго),"")="Светильник",3,4)+IF(Методика="нормы 2026",MIN(0.5,MAX(0,N(P30)-100)*0.005),0)))</f>
        <v>4</v>
      </c>
      <c r="EM30" cm="1">
        <f t="array" ref="EM30">IF(OR(B30="",BZ30="",EC30&lt;&gt;1),"",_xlfn.LET(_xlpm.sz,Iдоп_S,_xlpm.t_,CHOOSE(EB30,Iдоп_1ж,Iдоп_2ж,Iдоп_3ж)*DZ30*EA30,_xlpm.dcx,BV30=1,_xlpm.inn,IF(_xlpm.dcx,N(O30),N(DT30)),_xlpm.smin,MAX(1.5,CC30),_xlpm.L_,N(P30)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30)/N(BU30)*100,999),IFERROR(N(EJ30)*(_xlpm.rho*_xlpm.L_/_xlpm.sz*N(CE30)+_xlpm.xx*_xlpm.L_*N(EK30)/1000)*N(O30)/((Uн_лин/SQRT(3))*1000)*100,999)),_xlpm.kz,IF(OR(_xlpm.dcx,DW30=1,NOT(ISNUMBER(EG30)),_xlpm.L_=0,_xlpm.inn=0),1,IFERROR(--(c_min*(Uн_лин*1000/SQRT(3))/(EG30+2*ρкз_Cu*_xlpm.L_/_xlpm.sz)&gt;=HT30*_xlpm.inn),0)),_xlpm.ok,IFERROR((_xlpm.sz&gt;=_xlpm.smin)*(_xlpm.t_&gt;=_xlpm.inn)*IF(_xlpm.L_&gt;0,(_xlpm.du_+IF(_xlpm.dcx,0,EF30)&lt;=EL30+0.00001),1)*_xlpm.kz,0),_xlpm.r_,_xlfn._xlws.FILTER(_xlpm.sz,_xlpm.ok,"не подобрано"),INDEX(_xlpm.r_,1)))</f>
        <v>1.5</v>
      </c>
      <c r="EN30">
        <f t="shared" si="53"/>
        <v>6</v>
      </c>
      <c r="EO30" cm="1">
        <f t="array" ref="EO30">IF(OR(B30="",BZ30="",EC30&lt;&gt;1),"",_xlfn.LET(_xlpm.sz,Iдоп_S,_xlpm.t_,CHOOSE(EB30,Iдоп_1ж,Iдоп_2ж,Iдоп_3ж)*DZ30*EA30,_xlpm.ok,IFERROR((_xlpm.sz&gt;=MAX(1.5,CC30))*(_xlpm.t_&gt;=N(DT30)),0),_xlpm.r_,_xlfn._xlws.FILTER(_xlpm.sz,_xlpm.ok,""),INDEX(_xlpm.r_,1)))</f>
        <v>1.5</v>
      </c>
      <c r="EP30" s="6" cm="1">
        <f t="array" ref="EP30">IFERROR(ROUNDUP(N(EJ30)*(_xlfn.XLOOKUP(EO30,INDEX(Кабель_сопротивление,0,1),INDEX(Кабель_сопротивление,0,3))*N(P30)/EO30*N(CE30)+_xlfn.XLOOKUP(EO30,INDEX(Кабель_сопротивление,0,1),INDEX(Кабель_сопротивление,0,2))*N(P30)*N(EK30)/1000)*N(O30)/((Uн_лин/SQRT(3))*1000)*100,2),"")</f>
        <v>0</v>
      </c>
      <c r="EQ30">
        <f>IFERROR(2*ρкз_Cu*N(P30)/EO30,"")</f>
        <v>0.52600000000000002</v>
      </c>
      <c r="ER30">
        <f>IFERROR(VLOOKUP(EN30,Кабель_сопротивление,3,FALSE),"")</f>
        <v>2.2499999999999999E-2</v>
      </c>
      <c r="ES30">
        <f>IFERROR(VLOOKUP(EN30,Кабель_сопротивление,2,FALSE),"")</f>
        <v>0.09</v>
      </c>
      <c r="ET30">
        <f t="shared" si="54"/>
        <v>15</v>
      </c>
      <c r="EU30" t="str">
        <f t="shared" si="55"/>
        <v/>
      </c>
      <c r="EV30">
        <f t="shared" si="56"/>
        <v>0</v>
      </c>
      <c r="EW30" s="6">
        <f>IFERROR(ROUNDUP(EV30/IF(BV30=1,BU30,(Uн_лин/SQRT(3))*1000)*100,2),"")</f>
        <v>0</v>
      </c>
      <c r="EX30" t="str">
        <f>IFERROR(VLOOKUP(BZ30,Кабель_обозначение,2,FALSE),"")</f>
        <v>ВВГнг(А)-LS</v>
      </c>
      <c r="EY30" t="str">
        <f t="shared" si="57"/>
        <v>ВВГнг(А)-LS (5х6)</v>
      </c>
      <c r="EZ30" t="str">
        <f t="shared" si="58"/>
        <v>ВВГнг(А)-LS (5х6)
L=15-0%</v>
      </c>
      <c r="FA30">
        <f>IFERROR(2*ρкз_Cu*P30/EN30,"")</f>
        <v>0.13150000000000001</v>
      </c>
      <c r="FB30">
        <f t="shared" si="59"/>
        <v>4.3750000000000004E-2</v>
      </c>
      <c r="FC30" s="6" t="str">
        <f>IFERROR(IF(OR(B30="",BV30=1,NOT(ISNUMBER(EN30)),N(P30)=0),"",_xlfn.XLOOKUP(A30,Щиты[Щит],Щиты[Zпетли на шинах, Ом])+FA30),"")</f>
        <v/>
      </c>
      <c r="FD30" s="6" t="str">
        <f>IF(ISNUMBER(FC30),c_min*(Uн_лин*1000/SQRT(3))/FC30,"")</f>
        <v/>
      </c>
      <c r="FE30" s="6" t="str">
        <f>IFERROR(IF(OR(B30="",NOT(ISNUMBER(EN30))),"",1.05*(Uн_лин*1000/SQRT(3))/(_xlfn.XLOOKUP(A30,Щиты[Щит],Щиты[Zmax на шинах, Ом])+FB30)/1000),"")</f>
        <v/>
      </c>
      <c r="FF30" s="6" t="str">
        <f>IF(B30="","",IF(ISNUMBER(AC30),"Сил",IF(IFERROR(_xlfn.XLOOKUP(BC30,Коды_код,Коды_группа)&amp;"","")="","Быт",_xlfn.XLOOKUP(BC30,Коды_код,Коды_группа)&amp;"")))</f>
        <v>Быт</v>
      </c>
      <c r="FG30" s="6" t="str">
        <f t="shared" si="60"/>
        <v>Быт</v>
      </c>
      <c r="FH30" s="6">
        <f>IF(FG30="Щит","щит",IF(FG30="","",IF(FG30="Быт",IFERROR(_xlfn.XLOOKUP(A30,Щиты[Щит],Щиты[Кс быт]),1),IF(FG30="Сил",IF(ISNUMBER(AC30),AC30,IF(Методика="нормы 2026",IFERROR(_xlfn.XLOOKUP(A30,Щиты[Щит],Щиты[Кс силовых (табл. 7.5)]),1),1)),IF(OR(FG30="Пост",FG30="Отоп"),1,IF(FG30="ВНГ",0.7,0))))))</f>
        <v>0.8</v>
      </c>
      <c r="FI30">
        <f>IF(FG30="","",IF(AND(BP30=1,TRIM(AE30&amp;"")=""),IF(COUNTIFS(Линии[Щит],A30,Линии[Секция (1/2/3)],"&gt;=2")&gt;0,MIN(3,MAX(1,IFERROR(--BD30,1))),1),IFERROR(MIN(3,MAX(1,INT(--AE30))),1)))</f>
        <v>1</v>
      </c>
      <c r="FJ30">
        <f t="shared" si="61"/>
        <v>0</v>
      </c>
      <c r="FK30">
        <f t="shared" si="62"/>
        <v>0</v>
      </c>
      <c r="FL30">
        <f t="shared" si="63"/>
        <v>0</v>
      </c>
      <c r="FM30">
        <f t="shared" si="64"/>
        <v>0</v>
      </c>
      <c r="FN30">
        <f t="shared" si="65"/>
        <v>0</v>
      </c>
      <c r="FO30">
        <f t="shared" si="66"/>
        <v>0</v>
      </c>
      <c r="FP30">
        <f t="shared" si="67"/>
        <v>0</v>
      </c>
      <c r="FQ30">
        <f t="shared" si="68"/>
        <v>0</v>
      </c>
      <c r="FR30">
        <f t="shared" si="69"/>
        <v>0</v>
      </c>
      <c r="FS30">
        <f>IF(CG30=1,IF(AND(CH30=1,CW30=1),0,IF(AND(CS30&lt;&gt;"",CS30=BA30,CW30=1),SUMIFS(Линии[_Р линии, кВт],Линии[_блок УЗО],BA30,Линии[Щит],A30),N(BS30)+IF(AJ30="вручную",0,N(CK30)))),0)</f>
        <v>0</v>
      </c>
      <c r="FT30" t="str">
        <f t="shared" si="70"/>
        <v/>
      </c>
      <c r="FU30" t="str">
        <f>IF(B30="","",IF(CG30=0,IF(BA30=1,"",FW29),IF(AND(CH30=1,CW30=1,CS30&lt;&gt;""),IFERROR(_xlfn.XLOOKUP(CS30,Линии[_n],Линии[_фаза итог]),"L1"),IF(OR(N(DL30)&gt;=3,N(BX30)&gt;=3),"L1,L2,L3",IFERROR(_xlfn.TEXTBEFORE(_xlfn.TEXTAFTER(_xlfn.XLOOKUP(A30,Щиты[Щит],Щиты[_фазы авто]),";"&amp;BA30&amp;":"),";"),"L1")))))</f>
        <v>L1,L2,L3</v>
      </c>
      <c r="FV30" t="str">
        <f t="shared" si="71"/>
        <v>L1,L2,L3</v>
      </c>
      <c r="FW30" t="str">
        <f t="shared" si="72"/>
        <v>L1,L2,L3</v>
      </c>
      <c r="FX30" cm="1">
        <f t="array" ref="FX30">IFERROR(IF(CD30=2,_xlfn.IFS(BX30=3,VLOOKUP(BS30,Справочная_двигатели,3,FALSE),BX30=1,VLOOKUP(BS30,Справочная_двигатели,5,TRUE)),0),0)</f>
        <v>0</v>
      </c>
      <c r="FY30">
        <f>IFERROR(IF(CD30=3,VLOOKUP(BS30,Справочная_ЛЭД,2,TRUE),0),0)</f>
        <v>0</v>
      </c>
      <c r="FZ30" s="6">
        <f t="shared" si="73"/>
        <v>0</v>
      </c>
      <c r="GA30" t="str">
        <f>IF(B30="","",IF(TRIM(AH30&amp;"")&lt;&gt;"",IF(LOWER(TRIM(AH30&amp;""))="да","да","нет"),IF(IFERROR(_xlfn.XLOOKUP(BC30,Коды_код,Коды_пожарная),"")="да","да","нет")))</f>
        <v>нет</v>
      </c>
      <c r="GB30" t="str">
        <f t="shared" si="74"/>
        <v>ИБП</v>
      </c>
      <c r="GC30" t="str">
        <f t="shared" si="75"/>
        <v>ИБП</v>
      </c>
      <c r="GD30">
        <f>IF(AND(BP30=1,TRIM(AE30&amp;"")=""),IF(COUNTIFS(Линии[Щит],A30,Линии[Секция (1/2/3)],"&gt;=2")&gt;0,MIN(3,MAX(1,IFERROR(--BD30,1))),1),IFERROR(MIN(3,MAX(1,INT(--AE30))),1))</f>
        <v>1</v>
      </c>
      <c r="GE30" t="str" cm="1">
        <f t="array" ref="GE30">IF(B30="","",_xlfn.LET(_xlpm.t,IFERROR(_xlfn.XLOOKUP(1,(Шины[Шина]=GC30)*(((Шины[Щит]=A30)+(Шины[Щит]=""))&gt;0),Шины[Тип]),"")&amp;"",IF(_xlpm.t&lt;&gt;"",_xlpm.t,IF(ISNUMBER(SEARCH("ИБП",GC30)),"ИБП",IF(ISNUMBER(SEARCH("ДГУ",GC30)),"ДГУ","Ввод "&amp;GD30)))))</f>
        <v>ИБП</v>
      </c>
      <c r="GF30" t="str">
        <f t="shared" si="76"/>
        <v>ИБП</v>
      </c>
      <c r="GG30" t="str">
        <f>IF(BP30=0,"",IF(TRIM(AG30&amp;"")&lt;&gt;"",TRIM(AG30&amp;""),IF(OR(GE30="ИБП",GE30="ДГУ"),"I особая",_xlfn.XLOOKUP(A30,Щиты[Щит],Щиты[Категория шины «Ввод»],"III"))))</f>
        <v/>
      </c>
      <c r="GH30" t="str">
        <f>IF(A30="","",_xlfn.XLOOKUP(A30,Щиты[Щит],Щиты[Путь],""))</f>
        <v>|ГРЩ-ЖД|ЩГП|</v>
      </c>
      <c r="GI30" t="str">
        <f>IF(B30="","",IF(AI30&lt;&gt;"",AI30,IF(IFERROR(_xlfn.XLOOKUP(BC30,Коды_код,Коды_вид)&amp;"","")="","Прочее",_xlfn.XLOOKUP(BC30,Коды_код,Коды_вид)&amp;"")))</f>
        <v>Рабочее освещение</v>
      </c>
      <c r="GJ30">
        <f>IF(BM30="","",INT((BM30-1)/Столбцов_на_лист)+1)</f>
        <v>1</v>
      </c>
      <c r="GK30" t="str">
        <f t="shared" si="77"/>
        <v>ВВГнг(А)-LS (5х6) L=15-0%</v>
      </c>
      <c r="GL30">
        <f t="shared" si="78"/>
        <v>0</v>
      </c>
      <c r="GM30">
        <f t="shared" si="79"/>
        <v>0</v>
      </c>
      <c r="GN30">
        <f t="shared" si="80"/>
        <v>3</v>
      </c>
      <c r="GO30">
        <f t="shared" si="81"/>
        <v>0</v>
      </c>
      <c r="GP30">
        <f t="shared" si="82"/>
        <v>1</v>
      </c>
      <c r="GQ30">
        <f>IF(BM30="","",IF(AND(CG30=1,GP30=1),COUNTIFS(A$3:A30,A30,CG$3:CG30,1,GP$3:GP30,1),IF(OR(OR(BA30=1,A30&lt;&gt;A29),AJ30="вручную",GP30=0),"",IF(BA30=1,"",GR29))))</f>
        <v>2</v>
      </c>
      <c r="GR30">
        <f t="shared" si="83"/>
        <v>2</v>
      </c>
      <c r="GS30">
        <f>IF(B30="","",IFERROR(LOOKUP(INDEX(CHOOSE(EB30,Iдоп_1ж,Iдоп_2ж,Iдоп_3ж),MATCH(EN30,Iдоп_S,0))*DZ30*EA30,{6,10,16,20,25,32,40,50,63,80,100,125,160,200,250,315,400,500,630}),""))</f>
        <v>32</v>
      </c>
      <c r="GT30" t="str">
        <f t="shared" si="84"/>
        <v>QF2</v>
      </c>
      <c r="GU30" t="str">
        <f t="shared" si="85"/>
        <v>QF2</v>
      </c>
      <c r="GV30" t="str">
        <f t="shared" si="86"/>
        <v/>
      </c>
      <c r="GW30">
        <f t="shared" si="87"/>
        <v>0</v>
      </c>
      <c r="GX30" t="str">
        <f>IF(OR(B30="",DJ30=""),"",IFERROR(_xlfn.XLOOKUP(DJ30,Модули_умолч[Управление],Модули_умолч[Модель])&amp;"",""))</f>
        <v/>
      </c>
      <c r="GY30">
        <f>IF(DJ30="",1,IFERROR(MAX(0,N(_xlfn.XLOOKUP(DJ30,Модули_умолч[Управление],Модули_умолч[Каналов на линию]))),1))</f>
        <v>1</v>
      </c>
      <c r="GZ30" t="str">
        <f t="shared" si="88"/>
        <v/>
      </c>
      <c r="HA30" t="str">
        <f t="shared" si="89"/>
        <v/>
      </c>
      <c r="HB30" t="str">
        <f t="shared" si="90"/>
        <v/>
      </c>
      <c r="HC30">
        <f>IF(HB30="",0,IFERROR(N(VLOOKUP(HB30,Модули_спр,3,FALSE)),0))</f>
        <v>0</v>
      </c>
      <c r="HD30" t="str">
        <f t="shared" si="91"/>
        <v/>
      </c>
      <c r="HE30" t="str">
        <f t="shared" si="92"/>
        <v/>
      </c>
      <c r="HF30" t="str">
        <f>IF(OR(HE30="",HE30="-"),"",IFERROR(VLOOKUP(HE30,Модули_спр,2,FALSE),"R"))</f>
        <v/>
      </c>
      <c r="HG30" t="str">
        <f>IF(HF30="","",HF30&amp;"."&amp;COUNTIFS(A$3:A30,A30,HF$3:HF30,HF30))</f>
        <v/>
      </c>
      <c r="HH30" t="str">
        <f t="shared" si="93"/>
        <v/>
      </c>
      <c r="HI30" t="str">
        <f t="shared" si="94"/>
        <v/>
      </c>
      <c r="HJ30" t="str">
        <f t="shared" si="95"/>
        <v/>
      </c>
      <c r="HK30" t="str">
        <f t="shared" si="96"/>
        <v/>
      </c>
      <c r="HL30">
        <f t="shared" si="97"/>
        <v>1</v>
      </c>
      <c r="HM30" t="str">
        <f>IF(HL30=1,"XT"&amp;COUNTIFS(A$3:A30,A30,HL$3:HL30,1),"")</f>
        <v>XT2</v>
      </c>
      <c r="HN30" t="str">
        <f t="shared" si="98"/>
        <v>XT2</v>
      </c>
      <c r="HO30" t="str">
        <f t="shared" si="99"/>
        <v>QF2</v>
      </c>
      <c r="HP30" t="str">
        <f t="shared" si="100"/>
        <v/>
      </c>
      <c r="HQ30" t="str">
        <f t="shared" si="101"/>
        <v>ok</v>
      </c>
      <c r="HR30" t="str">
        <f>IF(OR(HJ30="",HH30=""),"",IF(HJ30+MAX(0,GY30-1)&gt;IFERROR(VLOOKUP(HI30,Модули_спр,3,FALSE),99),"ЛИШНИЙ КАНАЛ",IF(AND(AL30&lt;&gt;"=",GY30&gt;0,COUNTIFS(Линии[_модуль гр.],HH30,Линии[Канал (итог)],HJ30,Линии[Канал],"&lt;&gt;=",Линии[Щит],A30)&gt;1),"ДУБЛЬ КАНАЛА","")))</f>
        <v/>
      </c>
      <c r="HS30" s="6" t="str">
        <f t="shared" si="102"/>
        <v/>
      </c>
      <c r="HT30">
        <f t="shared" si="103"/>
        <v>10</v>
      </c>
      <c r="HU30" t="str">
        <f t="shared" si="104"/>
        <v/>
      </c>
      <c r="HV30">
        <f t="shared" si="105"/>
        <v>0.15</v>
      </c>
      <c r="HW30">
        <f t="shared" si="106"/>
        <v>0</v>
      </c>
      <c r="HX30">
        <f t="shared" si="107"/>
        <v>0</v>
      </c>
      <c r="HY30">
        <f t="shared" si="108"/>
        <v>0</v>
      </c>
      <c r="HZ30">
        <f t="shared" si="109"/>
        <v>0</v>
      </c>
      <c r="IA30">
        <f t="shared" si="110"/>
        <v>0</v>
      </c>
      <c r="IB30">
        <f t="shared" si="111"/>
        <v>0</v>
      </c>
      <c r="IC30" t="str">
        <f t="shared" si="112"/>
        <v/>
      </c>
      <c r="ID30" t="str" cm="1">
        <f t="array" ref="ID30">IF(IC30="","",_xlfn.LET(_xlpm.tk,_xlfn.TEXTSPLIT(SUBSTITUTE(SUBSTITUTE(IC30,";"," "),"→"," ")," ",,TRUE),_xlpm.w_,_xlfn._xlws.FILTER(_xlpm.tk,ISNUMBER(--LEFT(_xlpm.tk,1))*((ISNUMBER(SEARCH("W",_xlpm.tk))+ISNUMBER(SEARCH("Вт",_xlpm.tk)))&gt;0),""),IFERROR(--SUBSTITUTE(SUBSTITUTE(UPPER(INDEX(_xlpm.w_,1)),"W",""),"ВТ",""),"")))</f>
        <v/>
      </c>
      <c r="IE30" t="str" cm="1">
        <f t="array" ref="IE30">IF(IC30="","",_xlfn.LET(_xlpm.tk,_xlfn.TEXTSPLIT(SUBSTITUTE(SUBSTITUTE(IC30,";"," "),"→"," ")," ",,TRUE),_xlpm.v_,_xlfn._xlws.FILTER(_xlpm.tk,ISNUMBER(--LEFT(_xlpm.tk,1))*((ISNUMBER(SEARCH("V",_xlpm.tk))+(RIGHT(UPPER(_xlpm.tk))="В"))&gt;0),""),IFERROR(--SUBSTITUTE(SUBSTITUTE(UPPER(INDEX(_xlpm.v_,1)),"V",""),"В",""),"")))</f>
        <v/>
      </c>
      <c r="IF30" s="6" t="str">
        <f>IF(OR(BV30=0,HI30="",HJ30=""),"",IFERROR(N(_xlfn.XLOOKUP(HI30,Каталог!$C$4:$C$500,Каталог!$Q$4:$Q$500)),""))</f>
        <v/>
      </c>
      <c r="IG30" s="6" t="str">
        <f>IF(N(IF30)=0,"",SUMIFS(Линии[Iр, А],Линии[Щит],A30,Линии[_модуль гр.],HH30,Линии[Канал (итог)],HJ30))</f>
        <v/>
      </c>
      <c r="IH30" t="str">
        <f>IF(AND(B30="",HO30=""),"",_xlfn.TEXTJOIN("; ",TRUE,IF(AND(B30&lt;&gt;"",FV30=""),"нет фазы",""),IF(AND(B30&lt;&gt;"",N(GL30)=0,FG30&lt;&gt;"Нет"),"нет мощности",""),IF(AND(HN30&lt;&gt;"",COUNTIFS(Линии[Щит],A30,Линии[Клемма (итог)],HN30)&gt;1),"дубль клеммы "&amp;HN30,""),IF(AND(HQ30&lt;&gt;"",HQ30&lt;&gt;"ok"),HQ30,""),IF(HR30&lt;&gt;"",HR30,""),IF(AND(N(CB30)&gt;=4,N(BX30)=1),CB30&amp;" жил на 1 фазе",""),IF(AND(BC30="R",CG30=1,IF(CS30&lt;&gt;"",N(CV30)&gt;30,OR(N(DA30)=0,N(DA30)&gt;30))),"розетка без дифзащиты до 30 мА",""),IF(AND(CG30=1,N(DA30)&gt;0,ISNUMBER(T30)),IF(T30&gt;N(DA30)/3,"ток утечки "&amp;FIXED(T30,1)&amp;" мА &gt; 1/3 уставки ("&amp;DA30&amp;" мА)",""),""),IF(AND(CH30=1,CS30=""),"«узо»: нет строки с УЗО выше (УЗО 2P 40А 30мА в «Аппаратах»)",""),IF(AND(CS30&lt;&gt;"",CS30=BA30),IF(CT30="","впишите номинал УЗО (УЗО 2P 40А 30мА)",IF(N(CT30)&lt;N(DT30),"УЗО "&amp;CT30&amp;" А &lt; автомата "&amp;DT30&amp;" А перед ним",IF(N(CT30)&lt;N(CX30),"УЗО "&amp;CT30&amp;" А &lt; тока блока "&amp;FIXED(CX30,1)&amp;" А",""))),""),IF(AND(CS30&lt;&gt;"",CS30=BA30,ISNUMBER(CY30)),IF(CY30&gt;N(CV30)/3,"ток утечки блока УЗО "&amp;FIXED(CY30,1)&amp;" мА &gt; 1/3 уставки ("&amp;CV30&amp;" мА)",""),""),IF(AND(CG30=1,N(BV30)+N(IB30)&gt;0,IC30=""),"линии до 50 В без БП: впишите в «Аппараты» (БП 24V 480W)",""),IF(AND(CG30=1,ISNUMBER(ID30),ISNUMBER(U30)),IF(U30&gt;ID30,"БП "&amp;ID30&amp;" Вт &lt; нужно "&amp;U30&amp;" Вт (×"&amp;Запас_БП&amp;")",""),""),IF(AND(CG30=1,ISNUMBER(IE30),N(BV30)=1),IF(IE30&lt;&gt;N(BU30),"БП на "&amp;IE30&amp;" В, линия "&amp;BU30&amp;" В",""),""),IF(AND(N(IF30)&gt;0,N(IG30)&gt;N(IF30)),HH30&amp;" канал "&amp;HJ30&amp;": "&amp;FIXED(IG30,1)&amp;" А &gt; "&amp;IF30&amp;" А",""),IFERROR(IF(AND(ISNUMBER(Q30),Q30&gt;EL30),"потери "&amp;FIXED(Q30,1)&amp;" % &gt; "&amp;EL30&amp;" %",""),""),IFERROR(IF(LEFT(HU30,4)="мало","Iкз мало — отключение &gt; 0,4 с",""),""),IF(AND(B30&lt;&gt;"",BM30=""),"не на схеме",""),IF(AND(CG30=0,B30&lt;&gt;"",FV30&lt;&gt;"",IF(BA30=1,"",FW29)&lt;&gt;"",FV30&lt;&gt;IF(BA30=1,"",FW29)),"фаза не как у автомата группы ("&amp;IF(BA30=1,"",FW29)&amp;")","")))</f>
        <v>нет мощности</v>
      </c>
      <c r="II30" s="6" t="str">
        <f>IF(OR(CG30=0,DQ30=""),"",_xlfn.LET(_xlpm.t,IFERROR(_xlfn.XLOOKUP(DQ30,Каталог!$U$4:$U$500,Каталог!$G$4:$G$500),""),_xlpm.k,SEARCH("кА",_xlpm.t),IFERROR(--TRIM(RIGHT(SUBSTITUTE(MID(_xlpm.t,MAX(1,_xlpm.k-4),_xlpm.k-MAX(1,_xlpm.k-4))," ",REPT(" ",9)),5)),"")))</f>
        <v/>
      </c>
      <c r="IJ30" t="str">
        <f>IF(OR(II30="",CG30=0),"",IF(_xlfn.XLOOKUP(A30,Щиты[Щит],Щиты[Iкз max на шинах, кА],"")="","",IF(II30&lt;_xlfn.XLOOKUP(A30,Щиты[Щит],Щиты[Iкз max на шинах, кА]),"Icu "&amp;II30&amp;" кА &lt; Iкз max","ok")))</f>
        <v/>
      </c>
      <c r="IK30" t="str">
        <f t="shared" si="113"/>
        <v/>
      </c>
      <c r="IL30" t="str">
        <f t="shared" si="114"/>
        <v>QF2|XT2</v>
      </c>
      <c r="IM30" t="str">
        <f t="shared" si="115"/>
        <v>QF2|XT2|кабель ВВГнг(А)-LS (5х6) → Щит освещения ЩО-2 Цокольный этаж этаж Пом. №001Т</v>
      </c>
      <c r="IN30" t="str" cm="1">
        <f t="array" ref="IN30">IF(IM30="","",_xlfn.LET(_xlpm.nd,_xlfn.TEXTSPLIT(IM30,"|"),IF(COLUMNS(_xlpm.nd)&gt;1,A30&amp;"¦"&amp;INDEX(_xlpm.nd,1)&amp;"¦"&amp;INDEX(_xlpm.nd,2),"")))</f>
        <v>ЩГП¦QF2¦XT2</v>
      </c>
      <c r="IO30" t="str">
        <f t="shared" si="116"/>
        <v>ЩО-01¦Щит освещения ЩО-2 Цокольный этаж этаж Пом. №001Т</v>
      </c>
      <c r="IP30" t="str" cm="1">
        <f t="array" ref="IP30">IF(IM30="","",_xlfn.LET(_xlpm.nd,_xlfn.TEXTSPLIT(IM30,"|"),IF(COLUMNS(_xlpm.nd)&gt;2,A30&amp;"¦"&amp;INDEX(_xlpm.nd,2)&amp;"¦"&amp;INDEX(_xlpm.nd,3),"")))</f>
        <v>ЩГП¦XT2¦кабель ВВГнг(А)-LS (5х6) → Щит освещения ЩО-2 Цокольный этаж этаж Пом. №001Т</v>
      </c>
      <c r="IQ30" t="str">
        <f t="shared" si="117"/>
        <v>ЩО-01¦Щит освещения ЩО-2 Цокольный этаж этаж Пом. №001Т</v>
      </c>
      <c r="IR30" t="str" cm="1">
        <f t="array" ref="IR30">IF(IM30="","",_xlfn.LET(_xlpm.nd,_xlfn.TEXTSPLIT(IM30,"|"),IF(COLUMNS(_xlpm.nd)&gt;3,A30&amp;"¦"&amp;INDEX(_xlpm.nd,3)&amp;"¦"&amp;INDEX(_xlpm.nd,4),"")))</f>
        <v/>
      </c>
      <c r="IS30" t="str">
        <f t="shared" si="118"/>
        <v/>
      </c>
      <c r="IT30" t="str" cm="1">
        <f t="array" ref="IT30">IF(IM30="","",_xlfn.LET(_xlpm.nd,_xlfn.TEXTSPLIT(IM30,"|"),IF(COLUMNS(_xlpm.nd)&gt;4,A30&amp;"¦"&amp;INDEX(_xlpm.nd,4)&amp;"¦"&amp;INDEX(_xlpm.nd,5),"")))</f>
        <v/>
      </c>
      <c r="IU30" t="str">
        <f t="shared" si="119"/>
        <v/>
      </c>
      <c r="IV30" t="str" cm="1">
        <f t="array" ref="IV30">IF(IM30="","",_xlfn.LET(_xlpm.nd,_xlfn.TEXTSPLIT(IM30,"|"),IF(COLUMNS(_xlpm.nd)&gt;5,A30&amp;"¦"&amp;INDEX(_xlpm.nd,5)&amp;"¦"&amp;INDEX(_xlpm.nd,6),"")))</f>
        <v/>
      </c>
      <c r="IW30" t="str">
        <f t="shared" si="120"/>
        <v/>
      </c>
      <c r="IX30" t="str" cm="1">
        <f t="array" ref="IX30">IF(IM30="","",_xlfn.LET(_xlpm.nd,_xlfn.TEXTSPLIT(IM30,"|"),IF(COLUMNS(_xlpm.nd)&gt;6,A30&amp;"¦"&amp;INDEX(_xlpm.nd,6)&amp;"¦"&amp;INDEX(_xlpm.nd,7),"")))</f>
        <v/>
      </c>
      <c r="IY30" t="str">
        <f t="shared" si="121"/>
        <v/>
      </c>
      <c r="IZ30" t="str">
        <f t="shared" si="122"/>
        <v/>
      </c>
      <c r="JA30" t="str">
        <f t="shared" si="123"/>
        <v>QF2 → XT2</v>
      </c>
      <c r="JB30">
        <f t="shared" si="124"/>
        <v>1</v>
      </c>
      <c r="JC30">
        <f t="shared" si="125"/>
        <v>0</v>
      </c>
      <c r="JD30" t="str">
        <f t="shared" si="126"/>
        <v/>
      </c>
      <c r="JE30" t="str">
        <f t="shared" si="127"/>
        <v/>
      </c>
      <c r="JF30" t="str">
        <f t="shared" si="128"/>
        <v/>
      </c>
      <c r="JG30" t="str">
        <f t="shared" si="129"/>
        <v/>
      </c>
      <c r="JH30" t="str">
        <f>IF(B30="","",IFERROR(_xlfn.XLOOKUP(B30,Коды_код,Коды_уго),IFERROR(_xlfn.XLOOKUP(BC30,Коды_код,Коды_уго),IFERROR(_xlfn.XLOOKUP(LEFT(BC30,2),Коды_код,Коды_уго),""))))</f>
        <v/>
      </c>
      <c r="JI30" t="str">
        <f>IF(B30="","",IF(OR(JH30="",JH30=0),"BOX",IFERROR(IF(VLOOKUP(JH30,УГО_блоки,3,FALSE)&amp;""&lt;&gt;"",VLOOKUP(JH30,УГО_блоки,3,FALSE),VLOOKUP(JH30,УГО_блоки,2,FALSE)),JH30)))</f>
        <v>BOX</v>
      </c>
      <c r="JJ30">
        <f t="shared" si="130"/>
        <v>1</v>
      </c>
      <c r="JK30" t="str">
        <f>IF(DQ30="","",IF(COUNTIF(DQ$3:DQ30,DQ30)=1,MAX(JK$2:JK29)+1,""))</f>
        <v/>
      </c>
      <c r="JL30" t="str">
        <f>IF(DE30="","",IF(COUNTIF(DE$3:DE30,DE30)+COUNTIF(DF$2:DF29,DE30)+COUNTIF(DG$2:DG29,DE30)=1,MAX(JL$2:JN29)+1,""))</f>
        <v/>
      </c>
      <c r="JM30" t="str">
        <f>IF(DF30="","",IF(COUNTIF(DE$3:DE30,DF30)+COUNTIF(DF$3:DF30,DF30)+COUNTIF(DG$2:DG29,DF30)=1,MAX(JL$2:JN29,JL30)+1,""))</f>
        <v/>
      </c>
      <c r="JN30" t="str">
        <f>IF(DG30="","",IF(COUNTIF(DE$3:DE30,DG30)+COUNTIF(DF$3:DF30,DG30)+COUNTIF(DG$3:DG30,DG30)=1,MAX(JL$2:JN29,JL30,JM30)+1,""))</f>
        <v/>
      </c>
      <c r="JO30" t="str">
        <f t="shared" si="131"/>
        <v>5х6</v>
      </c>
      <c r="JP30" t="str">
        <f>IF(JO30="","",IF(COUNTIF(JO$3:JO30,JO30)=1,MAX(JP$2:JP29)+1,""))</f>
        <v/>
      </c>
      <c r="JQ30" t="str">
        <f>IF(HG30="","",COUNTIF(HG$3:HG30,"?*"))</f>
        <v/>
      </c>
      <c r="JR30" t="str">
        <f>IF(OR(HG30="",HI30=""),"",IF(COUNTIFS(HG$3:HG30,"?*",HI$3:HI30,HI30)=1,MAX(JR$2:JR29)+1,""))</f>
        <v/>
      </c>
      <c r="JS30">
        <f t="shared" si="132"/>
        <v>1</v>
      </c>
      <c r="JT30">
        <f>IF(B30="","",COUNTIF(B$3:B30,"?*"))</f>
        <v>28</v>
      </c>
      <c r="JU30">
        <f>IF(HL30&lt;&gt;1,0,_xlfn.LET(_xlpm.k,MAX(IFERROR(--_xlfn.XLOOKUP(B30,Коды_код,Коды_3L),0),IFERROR(--_xlfn.XLOOKUP(BC30,Коды_код,Коды_3L),0),IFERROR(--_xlfn.XLOOKUP(LEFT(BC30,2),Коды_код,Коды_3L),0)),IF(_xlpm.k&gt;0,_xlpm.k,IF(IFERROR(--LEFT(SUBSTITUTE(JO30,"x","х"),FIND("х",SUBSTITUTE(JO30,"x","х"))-1),3)&gt;3,Каталог!$S$9,1))))</f>
        <v>1</v>
      </c>
      <c r="JV30">
        <f t="shared" si="133"/>
        <v>2</v>
      </c>
      <c r="JW30" t="str">
        <f t="shared" si="134"/>
        <v>авто</v>
      </c>
      <c r="JX30" t="str">
        <f t="shared" si="135"/>
        <v/>
      </c>
      <c r="JY30">
        <f t="shared" si="136"/>
        <v>0</v>
      </c>
      <c r="JZ30">
        <f t="shared" si="137"/>
        <v>1</v>
      </c>
    </row>
    <row r="31" spans="1:286" x14ac:dyDescent="0.3">
      <c r="A31" t="s">
        <v>1109</v>
      </c>
      <c r="B31" t="s">
        <v>741</v>
      </c>
      <c r="C31" t="s">
        <v>52</v>
      </c>
      <c r="D31">
        <v>1</v>
      </c>
      <c r="E31">
        <f>Линии[[#This Row],[_авто Р]]</f>
        <v>1.9000000000000006</v>
      </c>
      <c r="G31">
        <v>40</v>
      </c>
      <c r="H31" t="str">
        <f>Линии[[#This Row],[_авто управление]]</f>
        <v/>
      </c>
      <c r="I31" t="str">
        <f>Линии[[#This Row],[_авто аппараты]]</f>
        <v/>
      </c>
      <c r="J31">
        <v>10</v>
      </c>
      <c r="K31" t="str">
        <f>Линии[[#This Row],[_авто длина по плану]]</f>
        <v/>
      </c>
      <c r="L31" t="str">
        <f>Линии[[#This Row],[_авто фаза]]</f>
        <v>L1,L2,L3</v>
      </c>
      <c r="M31" t="str">
        <f>Линии[[#This Row],[_авто клемма]]</f>
        <v/>
      </c>
      <c r="N31" t="str">
        <f t="shared" si="0"/>
        <v/>
      </c>
      <c r="O31" s="6" cm="1">
        <f t="array" ref="O31">IF(B31="","",IF(BH31&lt;&gt;"",IFERROR(_xlfn.XLOOKUP(BH31,Щиты[Щит],Щиты[Iр, А]),""),IF(BP31=1,IF(OR(N(_xlfn.XLOOKUP(A31,Щиты[Щит],Щиты[Вводов],1))&lt;=1,LOWER(TRIM(_xlfn.XLOOKUP(A31,Щиты[Щит],Щиты[АВР],"")&amp;""))="да"),IFERROR(_xlfn.XLOOKUP(A31,Щиты[Щит],Щиты[Iр, А]),""),IFERROR(N(BS31)*_xlfn.XLOOKUP(A31,Щиты[Щит],Щиты[Кс итог])/(SQRT(3)*Uн_лин*_xlfn.XLOOKUP(A31,Щиты[Щит],Щиты[cos φ])),"")),IF(BV31=1,IFERROR(BS31*1000/BU31,""),IFERROR(_xlfn.IFS(BX31=1,BS31/((Uн_лин/SQRT(3))*CE31),BX31=3,BS31/(SQRT(3)*Uн_лин*CE31)),"")))))</f>
        <v>2.5524959269436094</v>
      </c>
      <c r="P31" s="7" t="str">
        <f>IF(B31="","",IFERROR(IF(VLOOKUP(BC31,Потребители_обозначение,4,FALSE)=1,VLOOKUP(BC31,Потребители_обозначение,3,FALSE)*(MAX(1,N(D31))*2-1)+EI31+VLOOKUP(BE31,Этаж_обозначение,3,FALSE)+VLOOKUP(BE31,Этаж_обозначение,4,FALSE),VLOOKUP(BC31,Потребители_обозначение,3,FALSE)*(MAX(1,N(D31))*2-1)+EI31),EI31))</f>
        <v/>
      </c>
      <c r="Q31" s="6" t="str">
        <f t="shared" si="1"/>
        <v/>
      </c>
      <c r="R31" t="str">
        <f t="shared" si="2"/>
        <v>ВВГнг(А)-LS (5х10)</v>
      </c>
      <c r="S31" t="str">
        <f>IF(BM31="","",IF(BN31="вводной узел","узел ","")&amp;"л."&amp;(INT((BM31-1)/Столбцов_на_лист)+1)&amp;" / "&amp;(MOD(BM31-1,Столбцов_на_лист)+1))</f>
        <v>узел л.1 / 2</v>
      </c>
      <c r="T31" s="119" t="str">
        <f t="shared" si="3"/>
        <v/>
      </c>
      <c r="U31" s="7" t="str">
        <f>IF(OR(CG31=0,N(BV31)+N(IB31)=0),"",ROUNDUP(Запас_БП*(N(HY31)+N(HZ31)),0))</f>
        <v/>
      </c>
      <c r="V31" s="119" t="str">
        <f t="shared" si="4"/>
        <v/>
      </c>
      <c r="W31" s="7" t="str">
        <f>IFERROR(IF(OR(B31="",BP31=1,BV31=1,NOT(ISNUMBER(EN31)),N(DT31)=0),"",MAX(0,ROUNDDOWN((c_min*(Uн_лин*1000/SQRT(3))/(HT31*N(DT31))-_xlfn.XLOOKUP(A31,Щиты[Щит],Щиты[Zпетли на шинах, Ом]))*EN31/(2*ρкз_Cu),0))),"")</f>
        <v/>
      </c>
      <c r="Y31" t="str">
        <f>Линии[[#This Row],[_авто утечка]]</f>
        <v/>
      </c>
      <c r="Z31">
        <v>3</v>
      </c>
      <c r="AA31">
        <v>400</v>
      </c>
      <c r="AB31" t="s">
        <v>547</v>
      </c>
      <c r="AJ31" t="s">
        <v>1344</v>
      </c>
      <c r="AK31" t="str">
        <f>Линии[[#This Row],[_авто модуль]]</f>
        <v/>
      </c>
      <c r="AM31">
        <v>2</v>
      </c>
      <c r="AN31" t="s">
        <v>11</v>
      </c>
      <c r="AO31">
        <v>5</v>
      </c>
      <c r="BA31" cm="1">
        <f t="array" ref="BA31">ROW()-ROW(Линии[#Headers])</f>
        <v>29</v>
      </c>
      <c r="BC31" s="6" t="str">
        <f t="shared" si="5"/>
        <v>Ввод</v>
      </c>
      <c r="BD31" t="str">
        <f t="shared" si="6"/>
        <v>1</v>
      </c>
      <c r="BE31" t="str">
        <f t="shared" si="7"/>
        <v>1</v>
      </c>
      <c r="BF31" t="str">
        <f t="shared" si="8"/>
        <v/>
      </c>
      <c r="BG31" t="str">
        <f t="shared" si="9"/>
        <v/>
      </c>
      <c r="BH31" t="str">
        <f>IF(X31&lt;&gt;"",X31,IF(AND(B31&lt;&gt;"",B31&lt;&gt;A31,ISNUMBER(_xlfn.XMATCH(B31,Щиты[Щит]))),B31,""))</f>
        <v/>
      </c>
      <c r="BI31" t="str" cm="1">
        <f t="array" ref="BI31">IF(B31="","",IF(BH31&lt;&gt;"","Щит "&amp;BH31,_xlfn.LET(_xlpm.nm,IFERROR(_xlfn.XLOOKUP(BC31,Коды_код,Коды_имя)&amp;"",""),_xlpm.md,IFERROR(N(_xlfn.XLOOKUP(BC31,Коды_код,Коды_режим)),1),_xlpm.ex,IF(Имя_режим="по экспликации",IFERROR(_xlfn.XLOOKUP(BE31&amp;"|"&amp;BG31,Экспликация[Этаж]&amp;"|"&amp;Экспликация[Помещение],Экспликация[Название])&amp;"",""),""),_xlpm.rm,IF(BG31="","",IF(_xlpm.ex&lt;&gt;"",". "&amp;_xlpm.ex&amp;IF(Имя_пом="нет"," ("&amp;BG31&amp;")"," (пом. "&amp;BG31&amp;")"),IF(Имя_пом="нет"," ",", пом. ")&amp;BG31)),IF(_xlpm.nm="","",IF(_xlpm.md=2,_xlpm.nm&amp;" шлейф "&amp;BE31,_xlpm.nm&amp;_xlpm.rm)))))</f>
        <v>Вводной кабель шлейф 1</v>
      </c>
      <c r="BJ31" t="str">
        <f t="shared" si="10"/>
        <v>Ввод</v>
      </c>
      <c r="BK31">
        <f>IFERROR(_xlfn.XMATCH(A31,Щиты[Щит]),0)</f>
        <v>3</v>
      </c>
      <c r="BL31">
        <f>_xlfn.LET(_xlpm.k,IFERROR(_xlfn.XLOOKUP(A31,Щиты[Щит],Щиты[Мест под вводной узел]),""),IF(_xlpm.k="",Столбцов_на_лист,N(_xlpm.k)))</f>
        <v>17</v>
      </c>
      <c r="BM31">
        <f t="shared" si="11"/>
        <v>2</v>
      </c>
      <c r="BN31" t="str">
        <f t="shared" si="12"/>
        <v>вводной узел</v>
      </c>
      <c r="BO31" s="6">
        <f>IFERROR(N(_xlfn.XLOOKUP(BC31,Коды_код,Коды_квт)),0)</f>
        <v>0</v>
      </c>
      <c r="BP31">
        <f t="shared" si="13"/>
        <v>1</v>
      </c>
      <c r="BQ31">
        <f>IF(B31="","",IF(BH31&lt;&gt;"",IFERROR(_xlfn.XLOOKUP(BH31,Щиты[Щит],Щиты[Руст, кВт]),0),IF(BP31=1,IF(OR(N(_xlfn.XLOOKUP(A31,Щиты[Щит],Щиты[Вводов],1))&lt;=1,LOWER(TRIM(_xlfn.XLOOKUP(A31,Щиты[Щит],Щиты[АВР],"")&amp;""))="да"),IFERROR(_xlfn.XLOOKUP(A31,Щиты[Щит],Щиты[Руст, кВт]),0),SUMIFS(Линии[_Р для вводов],Линии[Щит],A31,Линии[Источник для режимов],GF31)),IF(BO31&gt;0,ROUND(BO31*MAX(1,N(D31)),3),""))))</f>
        <v>1.9000000000000006</v>
      </c>
      <c r="BR31">
        <f t="shared" si="14"/>
        <v>1.9000000000000006</v>
      </c>
      <c r="BS31" s="6">
        <f>IF(B31="","",IF(BH31&lt;&gt;"",IFERROR(_xlfn.XLOOKUP(BH31,Щиты[Щит],Щиты[Руст, кВт]),0),N(BR31)))</f>
        <v>1.9000000000000006</v>
      </c>
      <c r="BT31" t="str">
        <f>IF(B31="","",IFERROR(IF(VLOOKUP(BC31,Потребители_обозначение,8,FALSE)=0,"",VLOOKUP(BC31,Потребители_обозначение,8,FALSE)),""))</f>
        <v/>
      </c>
      <c r="BU31">
        <f t="shared" si="15"/>
        <v>400</v>
      </c>
      <c r="BV31">
        <f t="shared" si="16"/>
        <v>0</v>
      </c>
      <c r="BW31">
        <f>IF(B31="","",IF(BH31&lt;&gt;"",3,IFERROR(IF(N(VLOOKUP(BC31,Потребители_обозначение,9,FALSE))=0,1,VLOOKUP(BC31,Потребители_обозначение,9,FALSE)),1)))</f>
        <v>1</v>
      </c>
      <c r="BX31">
        <f t="shared" si="17"/>
        <v>3</v>
      </c>
      <c r="BY31" t="str">
        <f>IF(B31="","",_xlfn.LET(_xlpm.bc,IFERROR(IF(VLOOKUP(BC31,Потребители_обозначение,6,FALSE)=0,"",VLOOKUP(BC31,Потребители_обозначение,6,FALSE)&amp;""),""),IF(AND(GA31="да",OR(_xlpm.bc="",_xlpm.bc="мс")),Марка_пож,IF(AND(_xlpm.bc="",BH31&lt;&gt;""),"мс",_xlpm.bc))))</f>
        <v/>
      </c>
      <c r="BZ31" t="str">
        <f t="shared" si="18"/>
        <v>мс</v>
      </c>
      <c r="CA31">
        <f>IF(B31="","",_xlfn.LET(_xlpm.cc,IFERROR(N(VLOOKUP(BC31,Потребители_обозначение,7,FALSE)),0),IF(_xlpm.cc&gt;0,_xlpm.cc,IF(BZ31="","",IF(BV31=1,2,IF(N(BX31)=3,5,3))))))</f>
        <v>5</v>
      </c>
      <c r="CB31">
        <f t="shared" si="19"/>
        <v>5</v>
      </c>
      <c r="CC31">
        <f>IFERROR(N(VLOOKUP(BC31,Потребители_обозначение,10,FALSE)),0)</f>
        <v>0</v>
      </c>
      <c r="CD31">
        <f>IFERROR(VLOOKUP(BC31,Потребители_обозначение,5,FALSE),0)</f>
        <v>1</v>
      </c>
      <c r="CE31" s="6" cm="1">
        <f t="array" ref="CE31">IF(B31="","",IF(BH31&lt;&gt;"",IFERROR(_xlfn.XLOOKUP(BH31,Щиты[Щит],Щиты[cos φ]),0.95),IF(BP31=1,IFERROR(_xlfn.XLOOKUP(A31,Щиты[Щит],Щиты[cos φ]),0.95),IF(ISNUMBER(AD31),AD31,IFERROR(IF(CD31=2,_xlfn.IFS(BX31=3,VLOOKUP(BS31,Справочная_двигатели,8,FALSE),BX31=1,VLOOKUP(BS31,Справочная_двигатели,10,TRUE)),IF(AND(Методика="нормы 2026",FG31="Сил"),0.8,0.95)),0.95)))))</f>
        <v>0.94999999999999951</v>
      </c>
      <c r="CF31">
        <f t="shared" si="20"/>
        <v>0</v>
      </c>
      <c r="CG31">
        <f t="shared" si="21"/>
        <v>1</v>
      </c>
      <c r="CH31">
        <f t="shared" si="22"/>
        <v>0</v>
      </c>
      <c r="CI31">
        <f>IF(B31="","",IF(BV31=1,IFERROR(BS31/((Uн_лин/SQRT(3))*MAX(0.5,N(CE31))),0),N(O31)))</f>
        <v>2.5524959269436094</v>
      </c>
      <c r="CJ31">
        <f t="shared" si="23"/>
        <v>0</v>
      </c>
      <c r="CK31">
        <f t="shared" si="24"/>
        <v>0</v>
      </c>
      <c r="CL31">
        <f t="shared" si="25"/>
        <v>0</v>
      </c>
      <c r="CM31">
        <f t="shared" si="26"/>
        <v>0</v>
      </c>
      <c r="CN31">
        <f t="shared" si="27"/>
        <v>0</v>
      </c>
      <c r="CO31">
        <f>IF(BC31="",0,_xlfn.LET(_xlpm.v,IFERROR(_xlfn.XLOOKUP(B31,Коды_код,Коды_мА),IFERROR(_xlfn.XLOOKUP(BC31,Коды_код,Коды_мА),IFERROR(_xlfn.XLOOKUP(LEFT(BC31,2),Коды_код,Коды_мА),""))),IF(_xlpm.v="да",30,IF(ISNUMBER(_xlpm.v),_xlpm.v,0))))</f>
        <v>0</v>
      </c>
      <c r="CP31" t="str">
        <f t="shared" si="28"/>
        <v/>
      </c>
      <c r="CQ31" t="str">
        <f>_xlfn.LET(_xlpm.k,IFERROR(_xlfn.XLOOKUP(BC31,Коды_код,Коды_утечка)&amp;"",""),IF(_xlpm.k="","дифавтомат",_xlpm.k))</f>
        <v>дифавтомат</v>
      </c>
      <c r="CR31" t="str" cm="1">
        <f t="array" ref="CR31">IF(CG31=0,"",_xlfn.LET(_xlpm.sg,TRIM(_xlfn.TEXTSPLIT(DD31&amp;"",";")),_xlpm.f_,_xlfn._xlws.FILTER(_xlpm.sg,LEFT(_xlpm.sg,3)="УЗО",""),IFERROR(INDEX(_xlpm.f_,1)&amp;"","")))</f>
        <v/>
      </c>
      <c r="CS31" t="str">
        <f t="shared" si="29"/>
        <v/>
      </c>
      <c r="CT31" s="6" t="str" cm="1">
        <f t="array" ref="CT31">IF(CR31="","",_xlfn.LET(_xlpm.tk,_xlfn.TEXTSPLIT(UPPER(CR31)," ",,TRUE),_xlpm.a_,_xlfn._xlws.FILTER(_xlpm.tk,ISNUMBER(--LEFT(_xlpm.tk,1))*((ISNUMBER(SEARCH("А",_xlpm.tk))+ISNUMBER(SEARCH("A",_xlpm.tk)))&gt;0)*NOT(ISNUMBER(SEARCH("МА",_xlpm.tk)))*NOT(ISNUMBER(SEARCH("MA",_xlpm.tk))),""),IFERROR(--SUBSTITUTE(SUBSTITUTE(INDEX(_xlpm.a_,1),"А",""),"A",""),"")))</f>
        <v/>
      </c>
      <c r="CU31" t="str" cm="1">
        <f t="array" ref="CU31">IF(CR31="","",_xlfn.LET(_xlpm.tk,_xlfn.TEXTSPLIT(UPPER(CR31)," ",,TRUE),_xlpm.a_,_xlfn._xlws.FILTER(_xlpm.tk,ISNUMBER(--LEFT(_xlpm.tk,1))*((ISNUMBER(SEARCH("МА",_xlpm.tk))+ISNUMBER(SEARCH("MA",_xlpm.tk)))&gt;0),""),IFERROR(--SUBSTITUTE(SUBSTITUTE(INDEX(_xlpm.a_,1),"МА",""),"MA",""),30)))</f>
        <v/>
      </c>
      <c r="CV31" t="str">
        <f>IF(CS31="","",IFERROR(_xlfn.XLOOKUP(CS31,Линии[_n],Линии[_УЗО, мА]),30))</f>
        <v/>
      </c>
      <c r="CW31">
        <f>IF(CS31="",0,IF(ISNUMBER(SEARCH("4P",IFERROR(_xlfn.XLOOKUP(CS31,Линии[_n],Линии[_УЗО строки])&amp;"",""))),0,1))</f>
        <v>0</v>
      </c>
      <c r="CX31" t="str">
        <f>IF(AND(CS31&lt;&gt;"",CS31=BA31),SUMIFS(Линии[_ток на 230 В],Линии[_блок УЗО],BA31,Линии[Щит],A31),"")</f>
        <v/>
      </c>
      <c r="CY31" t="str">
        <f>IF(AND(CS31&lt;&gt;"",CS31=BA31),SUMIFS(Линии[_ток утечки линии, мА],Линии[_блок УЗО],BA31,Линии[Щит],A31),"")</f>
        <v/>
      </c>
      <c r="CZ31">
        <f t="shared" si="30"/>
        <v>0</v>
      </c>
      <c r="DA31">
        <f t="shared" si="31"/>
        <v>0</v>
      </c>
      <c r="DB31">
        <f>IF(B31="",0,IFERROR(--_xlfn.XLOOKUP(B31,Коды_код,Коды_минавт),IFERROR(--_xlfn.XLOOKUP(BC31,Коды_код,Коды_минавт),IFERROR(--_xlfn.XLOOKUP(LEFT(BC31,2),Коды_код,Коды_минавт),0))))</f>
        <v>0</v>
      </c>
      <c r="DC31" t="str">
        <f>IF(B31="","",IFERROR(_xlfn.XLOOKUP(BC31,Коды_код,Коды_апп)&amp;"",""))</f>
        <v/>
      </c>
      <c r="DD31" t="str">
        <f t="shared" si="32"/>
        <v/>
      </c>
      <c r="DE31" t="str" cm="1">
        <f t="array" ref="DE31">IF(TRIM(DD31&amp;"")="","",IFERROR(TRIM(INDEX(_xlfn.TEXTSPLIT(DD31&amp;";;;",";"),1)),""))</f>
        <v/>
      </c>
      <c r="DF31" t="str" cm="1">
        <f t="array" ref="DF31">IF(TRIM(DD31&amp;"")="","",IFERROR(TRIM(INDEX(_xlfn.TEXTSPLIT(DD31&amp;";;;",";"),2)),""))</f>
        <v/>
      </c>
      <c r="DG31" t="str" cm="1">
        <f t="array" ref="DG31">IF(TRIM(DD31&amp;"")="","",IFERROR(TRIM(INDEX(_xlfn.TEXTSPLIT(DD31&amp;";;;",";"),3)),""))</f>
        <v/>
      </c>
      <c r="DH31">
        <f t="shared" si="33"/>
        <v>0</v>
      </c>
      <c r="DI31" t="str">
        <f>IF(B31="","",_xlfn.LET(_xlpm.t,LOWER(AZ31&amp;""),IF(ISNUMBER(SEARCH("dim",_xlpm.t)),"DIM",IF(ISNUMBER(SEARCH("dali",_xlpm.t)),"DALI",IF(OR(ISNUMBER(SEARCH("relay",_xlpm.t)),ISNUMBER(SEARCH("реле",_xlpm.t))),"Relay",IF(ISNUMBER(SEARCH("кнопк",_xlpm.t)),"",IFERROR(_xlfn.XLOOKUP(BC31,Коды_код,Коды_упр)&amp;"","")))))))</f>
        <v/>
      </c>
      <c r="DJ31" t="str">
        <f t="shared" si="34"/>
        <v/>
      </c>
      <c r="DK31">
        <f>IF(B31="","",_xlfn.LET(_xlpm.ig,IF(N(CX31)&gt;0,N(CX31),N(CI31)+IF(AJ31="вручную",0,N(CJ31))),_xlpm.n0,IFERROR(VLOOKUP(_xlpm.ig,Автомат_номиналы,2,TRUE),0),_xlpm.mn,MAX(DB31,IF(AJ31="вручную",0,N(CM31))),MAX(_xlpm.n0,_xlpm.mn,IF(DH31=1,Мин_автомат_БП,0))))</f>
        <v>6</v>
      </c>
      <c r="DL31">
        <f t="shared" si="35"/>
        <v>3</v>
      </c>
      <c r="DM31" t="str">
        <f t="shared" si="36"/>
        <v>3P</v>
      </c>
      <c r="DN31" t="str">
        <f>_xlfn.LET(_xlpm.cc,UPPER(TRIM(IFERROR(_xlfn.XLOOKUP(BC31,Коды_код,Коды_хар)&amp;"",""))),IF(OR(_xlpm.cc="B",_xlpm.cc="В"),"B",IF(_xlpm.cc="D","D","С")))</f>
        <v>С</v>
      </c>
      <c r="DO31" t="str">
        <f t="shared" si="37"/>
        <v>3P С6А</v>
      </c>
      <c r="DP31">
        <f t="shared" si="38"/>
        <v>40</v>
      </c>
      <c r="DQ31" t="str">
        <f t="shared" si="39"/>
        <v>3P С40А</v>
      </c>
      <c r="DR31" cm="1">
        <f t="array" ref="DR31">IF(DQ31="","",_xlfn.LET(_xlpm.t,SUBSTITUTE(SUBSTITUTE(SUBSTITUTE(UPPER(DQ31),"С","C"),"А","A"),"В","B"),_xlpm.tk,_xlfn.TEXTSPLIT(_xlpm.t," "),_xlpm.f,_xlfn._xlws.FILTER(_xlpm.tk,ISNUMBER(--MID(_xlpm.tk,2,1))*ISNUMBER(SEARCH(LEFT(_xlpm.tk,1)&amp;"#","B#C#D#"))*(LEN(_xlpm.tk)&gt;1),""),_xlpm.x,INDEX(_xlpm.f,1),IFERROR(--SUBSTITUTE(MID(_xlpm.x,2,9),"A",""),IFERROR(--SUBSTITUTE(INDEX(_xlfn._xlws.FILTER(_xlpm.tk,ISNUMBER(--SUBSTITUTE(_xlpm.tk,"A","")),""),1),"A",""),""))))</f>
        <v>40</v>
      </c>
      <c r="DS31" t="str">
        <f t="shared" si="40"/>
        <v>узел</v>
      </c>
      <c r="DT31">
        <f t="shared" si="41"/>
        <v>40</v>
      </c>
      <c r="DU31" t="str">
        <f t="shared" si="42"/>
        <v>3P С40А</v>
      </c>
      <c r="DV31">
        <f t="shared" si="43"/>
        <v>0</v>
      </c>
      <c r="DW31">
        <f t="shared" si="44"/>
        <v>0</v>
      </c>
      <c r="DX31">
        <f t="shared" si="45"/>
        <v>0</v>
      </c>
      <c r="DY31">
        <f t="shared" si="46"/>
        <v>2.5524959269436094</v>
      </c>
      <c r="DZ31">
        <f t="shared" si="47"/>
        <v>0.92</v>
      </c>
      <c r="EA31">
        <f>IF(ISNUMBER(AP31),AP31,К_прокл)</f>
        <v>1</v>
      </c>
      <c r="EB31">
        <f t="shared" si="48"/>
        <v>3</v>
      </c>
      <c r="EC31">
        <f>IFERROR(N(VLOOKUP(BZ31,Кабель_обозначение,3,FALSE)),1)</f>
        <v>1</v>
      </c>
      <c r="ED31">
        <f>IFERROR(N(_xlfn.XLOOKUP(A31,Щиты[Щит],Щиты[ΔU до шин, %])),0)</f>
        <v>0.17</v>
      </c>
      <c r="EE31" t="str">
        <f>IFERROR(_xlfn.XLOOKUP(A31,Щиты[Щит],Щиты[Zпетли на шинах, Ом]),"")</f>
        <v/>
      </c>
      <c r="EF31">
        <f>IFERROR(N(_xlfn.XLOOKUP(A31,Щиты[Щит],Щиты[ΔU до шин (подбор), %])),0)</f>
        <v>0.65</v>
      </c>
      <c r="EG31" t="str">
        <f>IFERROR(_xlfn.XLOOKUP(A31,Щиты[Щит],Щиты[Zпетли на шинах (подбор), Ом]),"")</f>
        <v/>
      </c>
      <c r="EH31" t="str">
        <f t="shared" si="49"/>
        <v/>
      </c>
      <c r="EI31" t="str">
        <f t="shared" si="50"/>
        <v/>
      </c>
      <c r="EJ31">
        <f t="shared" si="51"/>
        <v>1</v>
      </c>
      <c r="EK31">
        <f t="shared" si="52"/>
        <v>0.31</v>
      </c>
      <c r="EL31" s="6">
        <f>IF(B31="","",IF(BV31=1,dU_LED,IF(IFERROR(_xlfn.XLOOKUP(BC31,Коды_код,Коды_уго),"")="Светильник",3,4)+IF(Методика="нормы 2026",MIN(0.5,MAX(0,N(P31)-100)*0.005),0)))</f>
        <v>4</v>
      </c>
      <c r="EM31" cm="1">
        <f t="array" ref="EM31">IF(OR(B31="",BZ31="",EC31&lt;&gt;1),"",_xlfn.LET(_xlpm.sz,Iдоп_S,_xlpm.t_,CHOOSE(EB31,Iдоп_1ж,Iдоп_2ж,Iдоп_3ж)*DZ31*EA31,_xlpm.dcx,BV31=1,_xlpm.inn,IF(_xlpm.dcx,N(O31),N(DT31)),_xlpm.smin,MAX(1.5,CC31),_xlpm.L_,N(P31)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31)/N(BU31)*100,999),IFERROR(N(EJ31)*(_xlpm.rho*_xlpm.L_/_xlpm.sz*N(CE31)+_xlpm.xx*_xlpm.L_*N(EK31)/1000)*N(O31)/((Uн_лин/SQRT(3))*1000)*100,999)),_xlpm.kz,IF(OR(_xlpm.dcx,DW31=1,NOT(ISNUMBER(EG31)),_xlpm.L_=0,_xlpm.inn=0),1,IFERROR(--(c_min*(Uн_лин*1000/SQRT(3))/(EG31+2*ρкз_Cu*_xlpm.L_/_xlpm.sz)&gt;=HT31*_xlpm.inn),0)),_xlpm.ok,IFERROR((_xlpm.sz&gt;=_xlpm.smin)*(_xlpm.t_&gt;=_xlpm.inn)*IF(_xlpm.L_&gt;0,(_xlpm.du_+IF(_xlpm.dcx,0,EF31)&lt;=EL31+0.00001),1)*_xlpm.kz,0),_xlpm.r_,_xlfn._xlws.FILTER(_xlpm.sz,_xlpm.ok,"не подобрано"),INDEX(_xlpm.r_,1)))</f>
        <v>10</v>
      </c>
      <c r="EN31">
        <f t="shared" si="53"/>
        <v>10</v>
      </c>
      <c r="EO31" cm="1">
        <f t="array" ref="EO31">IF(OR(B31="",BZ31="",EC31&lt;&gt;1),"",_xlfn.LET(_xlpm.sz,Iдоп_S,_xlpm.t_,CHOOSE(EB31,Iдоп_1ж,Iдоп_2ж,Iдоп_3ж)*DZ31*EA31,_xlpm.ok,IFERROR((_xlpm.sz&gt;=MAX(1.5,CC31))*(_xlpm.t_&gt;=N(DT31)),0),_xlpm.r_,_xlfn._xlws.FILTER(_xlpm.sz,_xlpm.ok,""),INDEX(_xlpm.r_,1)))</f>
        <v>10</v>
      </c>
      <c r="EP31" s="6" cm="1">
        <f t="array" ref="EP31">IFERROR(ROUNDUP(N(EJ31)*(_xlfn.XLOOKUP(EO31,INDEX(Кабель_сопротивление,0,1),INDEX(Кабель_сопротивление,0,3))*N(P31)/EO31*N(CE31)+_xlfn.XLOOKUP(EO31,INDEX(Кабель_сопротивление,0,1),INDEX(Кабель_сопротивление,0,2))*N(P31)*N(EK31)/1000)*N(O31)/((Uн_лин/SQRT(3))*1000)*100,2),"")</f>
        <v>0</v>
      </c>
      <c r="EQ31">
        <f>IFERROR(2*ρкз_Cu*N(P31)/EO31,"")</f>
        <v>0</v>
      </c>
      <c r="ER31">
        <f>IFERROR(VLOOKUP(EN31,Кабель_сопротивление,3,FALSE),"")</f>
        <v>2.2499999999999999E-2</v>
      </c>
      <c r="ES31">
        <f>IFERROR(VLOOKUP(EN31,Кабель_сопротивление,2,FALSE),"")</f>
        <v>7.2999999999999995E-2</v>
      </c>
      <c r="ET31" t="str">
        <f t="shared" si="54"/>
        <v/>
      </c>
      <c r="EU31" t="str">
        <f t="shared" si="55"/>
        <v/>
      </c>
      <c r="EV31" t="str">
        <f t="shared" si="56"/>
        <v/>
      </c>
      <c r="EW31" s="6" t="str">
        <f>IFERROR(ROUNDUP(EV31/IF(BV31=1,BU31,(Uн_лин/SQRT(3))*1000)*100,2),"")</f>
        <v/>
      </c>
      <c r="EX31" t="str">
        <f>IFERROR(VLOOKUP(BZ31,Кабель_обозначение,2,FALSE),"")</f>
        <v>ВВГнг(А)-LS</v>
      </c>
      <c r="EY31" t="str">
        <f t="shared" si="57"/>
        <v>ВВГнг(А)-LS (5х10)</v>
      </c>
      <c r="EZ31" t="str">
        <f t="shared" si="58"/>
        <v>ВВГнг(А)-LS (5х10)</v>
      </c>
      <c r="FA31" t="str">
        <f>IFERROR(2*ρкз_Cu*P31/EN31,"")</f>
        <v/>
      </c>
      <c r="FB31">
        <f t="shared" si="59"/>
        <v>0</v>
      </c>
      <c r="FC31" s="6" t="str">
        <f>IFERROR(IF(OR(B31="",BV31=1,NOT(ISNUMBER(EN31)),N(P31)=0),"",_xlfn.XLOOKUP(A31,Щиты[Щит],Щиты[Zпетли на шинах, Ом])+FA31),"")</f>
        <v/>
      </c>
      <c r="FD31" s="6" t="str">
        <f>IF(ISNUMBER(FC31),c_min*(Uн_лин*1000/SQRT(3))/FC31,"")</f>
        <v/>
      </c>
      <c r="FE31" s="6" t="str">
        <f>IFERROR(IF(OR(B31="",NOT(ISNUMBER(EN31))),"",1.05*(Uн_лин*1000/SQRT(3))/(_xlfn.XLOOKUP(A31,Щиты[Щит],Щиты[Zmax на шинах, Ом])+FB31)/1000),"")</f>
        <v/>
      </c>
      <c r="FF31" s="6" t="str">
        <f>IF(B31="","",IF(ISNUMBER(AC31),"Сил",IF(IFERROR(_xlfn.XLOOKUP(BC31,Коды_код,Коды_группа)&amp;"","")="","Быт",_xlfn.XLOOKUP(BC31,Коды_код,Коды_группа)&amp;"")))</f>
        <v>Быт</v>
      </c>
      <c r="FG31" s="6" t="str">
        <f t="shared" si="60"/>
        <v>Нет</v>
      </c>
      <c r="FH31" s="6">
        <f>IF(FG31="Щит","щит",IF(FG31="","",IF(FG31="Быт",IFERROR(_xlfn.XLOOKUP(A31,Щиты[Щит],Щиты[Кс быт]),1),IF(FG31="Сил",IF(ISNUMBER(AC31),AC31,IF(Методика="нормы 2026",IFERROR(_xlfn.XLOOKUP(A31,Щиты[Щит],Щиты[Кс силовых (табл. 7.5)]),1),1)),IF(OR(FG31="Пост",FG31="Отоп"),1,IF(FG31="ВНГ",0.7,0))))))</f>
        <v>0</v>
      </c>
      <c r="FI31">
        <f>IF(FG31="","",IF(AND(BP31=1,TRIM(AE31&amp;"")=""),IF(COUNTIFS(Линии[Щит],A31,Линии[Секция (1/2/3)],"&gt;=2")&gt;0,MIN(3,MAX(1,IFERROR(--BD31,1))),1),IFERROR(MIN(3,MAX(1,INT(--AE31))),1)))</f>
        <v>1</v>
      </c>
      <c r="FJ31">
        <f t="shared" si="61"/>
        <v>0</v>
      </c>
      <c r="FK31">
        <f t="shared" si="62"/>
        <v>0</v>
      </c>
      <c r="FL31">
        <f t="shared" si="63"/>
        <v>0</v>
      </c>
      <c r="FM31">
        <f t="shared" si="64"/>
        <v>0</v>
      </c>
      <c r="FN31">
        <f t="shared" si="65"/>
        <v>0</v>
      </c>
      <c r="FO31">
        <f t="shared" si="66"/>
        <v>0</v>
      </c>
      <c r="FP31">
        <f t="shared" si="67"/>
        <v>0</v>
      </c>
      <c r="FQ31">
        <f t="shared" si="68"/>
        <v>0</v>
      </c>
      <c r="FR31">
        <f t="shared" si="69"/>
        <v>0</v>
      </c>
      <c r="FS31">
        <f>IF(CG31=1,IF(AND(CH31=1,CW31=1),0,IF(AND(CS31&lt;&gt;"",CS31=BA31,CW31=1),SUMIFS(Линии[_Р линии, кВт],Линии[_блок УЗО],BA31,Линии[Щит],A31),N(BS31)+IF(AJ31="вручную",0,N(CK31)))),0)</f>
        <v>1.9000000000000006</v>
      </c>
      <c r="FT31" t="str">
        <f t="shared" si="70"/>
        <v/>
      </c>
      <c r="FU31" t="str">
        <f>IF(B31="","",IF(CG31=0,IF(BA31=1,"",FW30),IF(AND(CH31=1,CW31=1,CS31&lt;&gt;""),IFERROR(_xlfn.XLOOKUP(CS31,Линии[_n],Линии[_фаза итог]),"L1"),IF(OR(N(DL31)&gt;=3,N(BX31)&gt;=3),"L1,L2,L3",IFERROR(_xlfn.TEXTBEFORE(_xlfn.TEXTAFTER(_xlfn.XLOOKUP(A31,Щиты[Щит],Щиты[_фазы авто]),";"&amp;BA31&amp;":"),";"),"L1")))))</f>
        <v>L1,L2,L3</v>
      </c>
      <c r="FV31" t="str">
        <f t="shared" si="71"/>
        <v>L1,L2,L3</v>
      </c>
      <c r="FW31" t="str">
        <f t="shared" si="72"/>
        <v>L1,L2,L3</v>
      </c>
      <c r="FX31" cm="1">
        <f t="array" ref="FX31">IFERROR(IF(CD31=2,_xlfn.IFS(BX31=3,VLOOKUP(BS31,Справочная_двигатели,3,FALSE),BX31=1,VLOOKUP(BS31,Справочная_двигатели,5,TRUE)),0),0)</f>
        <v>0</v>
      </c>
      <c r="FY31">
        <f>IFERROR(IF(CD31=3,VLOOKUP(BS31,Справочная_ЛЭД,2,TRUE),0),0)</f>
        <v>0</v>
      </c>
      <c r="FZ31" s="6">
        <f t="shared" si="73"/>
        <v>0</v>
      </c>
      <c r="GA31" t="str">
        <f>IF(B31="","",IF(TRIM(AH31&amp;"")&lt;&gt;"",IF(LOWER(TRIM(AH31&amp;""))="да","да","нет"),IF(IFERROR(_xlfn.XLOOKUP(BC31,Коды_код,Коды_пожарная),"")="да","да","нет")))</f>
        <v>нет</v>
      </c>
      <c r="GB31" t="str">
        <f t="shared" si="74"/>
        <v/>
      </c>
      <c r="GC31" t="str">
        <f t="shared" si="75"/>
        <v>основная</v>
      </c>
      <c r="GD31">
        <f>IF(AND(BP31=1,TRIM(AE31&amp;"")=""),IF(COUNTIFS(Линии[Щит],A31,Линии[Секция (1/2/3)],"&gt;=2")&gt;0,MIN(3,MAX(1,IFERROR(--BD31,1))),1),IFERROR(MIN(3,MAX(1,INT(--AE31))),1))</f>
        <v>1</v>
      </c>
      <c r="GE31" t="str" cm="1">
        <f t="array" ref="GE31">IF(B31="","",_xlfn.LET(_xlpm.t,IFERROR(_xlfn.XLOOKUP(1,(Шины[Шина]=GC31)*(((Шины[Щит]=A31)+(Шины[Щит]=""))&gt;0),Шины[Тип]),"")&amp;"",IF(_xlpm.t&lt;&gt;"",_xlpm.t,IF(ISNUMBER(SEARCH("ИБП",GC31)),"ИБП",IF(ISNUMBER(SEARCH("ДГУ",GC31)),"ДГУ","Ввод "&amp;GD31)))))</f>
        <v>Ввод 1</v>
      </c>
      <c r="GF31" t="str">
        <f t="shared" si="76"/>
        <v>Ввод 1</v>
      </c>
      <c r="GG31" t="str">
        <f>IF(BP31=0,"",IF(TRIM(AG31&amp;"")&lt;&gt;"",TRIM(AG31&amp;""),IF(OR(GE31="ИБП",GE31="ДГУ"),"I особая",_xlfn.XLOOKUP(A31,Щиты[Щит],Щиты[Категория шины «Ввод»],"III"))))</f>
        <v>II</v>
      </c>
      <c r="GH31" t="str">
        <f>IF(A31="","",_xlfn.XLOOKUP(A31,Щиты[Щит],Щиты[Путь],""))</f>
        <v>|ГРЩ-ЖД|ЩГП|ЩО-001|</v>
      </c>
      <c r="GI31" t="str">
        <f>IF(B31="","",IF(AI31&lt;&gt;"",AI31,IF(IFERROR(_xlfn.XLOOKUP(BC31,Коды_код,Коды_вид)&amp;"","")="","Прочее",_xlfn.XLOOKUP(BC31,Коды_код,Коды_вид)&amp;"")))</f>
        <v>Прочее</v>
      </c>
      <c r="GJ31">
        <f>IF(BM31="","",INT((BM31-1)/Столбцов_на_лист)+1)</f>
        <v>1</v>
      </c>
      <c r="GK31" t="str">
        <f t="shared" si="77"/>
        <v>ВВГнг(А)-LS (5х10)</v>
      </c>
      <c r="GL31">
        <f t="shared" si="78"/>
        <v>1.9000000000000006</v>
      </c>
      <c r="GM31">
        <f t="shared" si="79"/>
        <v>2.5599999999999996</v>
      </c>
      <c r="GN31">
        <f t="shared" si="80"/>
        <v>3</v>
      </c>
      <c r="GO31">
        <f t="shared" si="81"/>
        <v>0</v>
      </c>
      <c r="GP31">
        <f t="shared" si="82"/>
        <v>0</v>
      </c>
      <c r="GQ31" t="str">
        <f>IF(BM31="","",IF(AND(CG31=1,GP31=1),COUNTIFS(A$3:A31,A31,CG$3:CG31,1,GP$3:GP31,1),IF(OR(OR(BA31=1,A31&lt;&gt;A30),AJ31="вручную",GP31=0),"",IF(BA31=1,"",GR30))))</f>
        <v/>
      </c>
      <c r="GR31" t="str">
        <f t="shared" si="83"/>
        <v/>
      </c>
      <c r="GS31">
        <f>IF(B31="","",IFERROR(LOOKUP(INDEX(CHOOSE(EB31,Iдоп_1ж,Iдоп_2ж,Iдоп_3ж),MATCH(EN31,Iдоп_S,0))*DZ31*EA31,{6,10,16,20,25,32,40,50,63,80,100,125,160,200,250,315,400,500,630}),""))</f>
        <v>50</v>
      </c>
      <c r="GT31" t="str">
        <f t="shared" si="84"/>
        <v/>
      </c>
      <c r="GU31" t="str">
        <f t="shared" si="85"/>
        <v/>
      </c>
      <c r="GV31" t="str">
        <f t="shared" si="86"/>
        <v/>
      </c>
      <c r="GW31">
        <f t="shared" si="87"/>
        <v>0</v>
      </c>
      <c r="GX31" t="str">
        <f>IF(OR(B31="",DJ31=""),"",IFERROR(_xlfn.XLOOKUP(DJ31,Модули_умолч[Управление],Модули_умолч[Модель])&amp;"",""))</f>
        <v/>
      </c>
      <c r="GY31">
        <f>IF(DJ31="",1,IFERROR(MAX(0,N(_xlfn.XLOOKUP(DJ31,Модули_умолч[Управление],Модули_умолч[Каналов на линию]))),1))</f>
        <v>1</v>
      </c>
      <c r="GZ31" t="str">
        <f t="shared" si="88"/>
        <v/>
      </c>
      <c r="HA31" t="str">
        <f t="shared" si="89"/>
        <v/>
      </c>
      <c r="HB31" t="str">
        <f t="shared" si="90"/>
        <v/>
      </c>
      <c r="HC31">
        <f>IF(HB31="",0,IFERROR(N(VLOOKUP(HB31,Модули_спр,3,FALSE)),0))</f>
        <v>0</v>
      </c>
      <c r="HD31" t="str">
        <f t="shared" si="91"/>
        <v/>
      </c>
      <c r="HE31" t="str">
        <f t="shared" si="92"/>
        <v/>
      </c>
      <c r="HF31" t="str">
        <f>IF(OR(HE31="",HE31="-"),"",IFERROR(VLOOKUP(HE31,Модули_спр,2,FALSE),"R"))</f>
        <v/>
      </c>
      <c r="HG31" t="str">
        <f>IF(HF31="","",HF31&amp;"."&amp;COUNTIFS(A$3:A31,A31,HF$3:HF31,HF31))</f>
        <v/>
      </c>
      <c r="HH31" t="str">
        <f t="shared" si="93"/>
        <v/>
      </c>
      <c r="HI31" t="str">
        <f t="shared" si="94"/>
        <v/>
      </c>
      <c r="HJ31" t="str">
        <f t="shared" si="95"/>
        <v/>
      </c>
      <c r="HK31" t="str">
        <f t="shared" si="96"/>
        <v/>
      </c>
      <c r="HL31">
        <f t="shared" si="97"/>
        <v>0</v>
      </c>
      <c r="HM31" t="str">
        <f>IF(HL31=1,"XT"&amp;COUNTIFS(A$3:A31,A31,HL$3:HL31,1),"")</f>
        <v/>
      </c>
      <c r="HN31" t="str">
        <f t="shared" si="98"/>
        <v/>
      </c>
      <c r="HO31" t="str">
        <f t="shared" si="99"/>
        <v/>
      </c>
      <c r="HP31" t="str">
        <f t="shared" si="100"/>
        <v/>
      </c>
      <c r="HQ31" t="str">
        <f t="shared" si="101"/>
        <v>ok</v>
      </c>
      <c r="HR31" t="str">
        <f>IF(OR(HJ31="",HH31=""),"",IF(HJ31+MAX(0,GY31-1)&gt;IFERROR(VLOOKUP(HI31,Модули_спр,3,FALSE),99),"ЛИШНИЙ КАНАЛ",IF(AND(AL31&lt;&gt;"=",GY31&gt;0,COUNTIFS(Линии[_модуль гр.],HH31,Линии[Канал (итог)],HJ31,Линии[Канал],"&lt;&gt;=",Линии[Щит],A31)&gt;1),"ДУБЛЬ КАНАЛА","")))</f>
        <v/>
      </c>
      <c r="HS31" s="6" t="str">
        <f t="shared" si="102"/>
        <v/>
      </c>
      <c r="HT31">
        <f t="shared" si="103"/>
        <v>10</v>
      </c>
      <c r="HU31" t="str">
        <f t="shared" si="104"/>
        <v/>
      </c>
      <c r="HV31">
        <f t="shared" si="105"/>
        <v>0</v>
      </c>
      <c r="HW31">
        <f t="shared" si="106"/>
        <v>0</v>
      </c>
      <c r="HX31">
        <f t="shared" si="107"/>
        <v>0</v>
      </c>
      <c r="HY31">
        <f t="shared" si="108"/>
        <v>0</v>
      </c>
      <c r="HZ31">
        <f t="shared" si="109"/>
        <v>0</v>
      </c>
      <c r="IA31">
        <f t="shared" si="110"/>
        <v>0</v>
      </c>
      <c r="IB31">
        <f t="shared" si="111"/>
        <v>0</v>
      </c>
      <c r="IC31" t="str">
        <f t="shared" si="112"/>
        <v/>
      </c>
      <c r="ID31" t="str" cm="1">
        <f t="array" ref="ID31">IF(IC31="","",_xlfn.LET(_xlpm.tk,_xlfn.TEXTSPLIT(SUBSTITUTE(SUBSTITUTE(IC31,";"," "),"→"," ")," ",,TRUE),_xlpm.w_,_xlfn._xlws.FILTER(_xlpm.tk,ISNUMBER(--LEFT(_xlpm.tk,1))*((ISNUMBER(SEARCH("W",_xlpm.tk))+ISNUMBER(SEARCH("Вт",_xlpm.tk)))&gt;0),""),IFERROR(--SUBSTITUTE(SUBSTITUTE(UPPER(INDEX(_xlpm.w_,1)),"W",""),"ВТ",""),"")))</f>
        <v/>
      </c>
      <c r="IE31" t="str" cm="1">
        <f t="array" ref="IE31">IF(IC31="","",_xlfn.LET(_xlpm.tk,_xlfn.TEXTSPLIT(SUBSTITUTE(SUBSTITUTE(IC31,";"," "),"→"," ")," ",,TRUE),_xlpm.v_,_xlfn._xlws.FILTER(_xlpm.tk,ISNUMBER(--LEFT(_xlpm.tk,1))*((ISNUMBER(SEARCH("V",_xlpm.tk))+(RIGHT(UPPER(_xlpm.tk))="В"))&gt;0),""),IFERROR(--SUBSTITUTE(SUBSTITUTE(UPPER(INDEX(_xlpm.v_,1)),"V",""),"В",""),"")))</f>
        <v/>
      </c>
      <c r="IF31" s="6" t="str">
        <f>IF(OR(BV31=0,HI31="",HJ31=""),"",IFERROR(N(_xlfn.XLOOKUP(HI31,Каталог!$C$4:$C$500,Каталог!$Q$4:$Q$500)),""))</f>
        <v/>
      </c>
      <c r="IG31" s="6" t="str">
        <f>IF(N(IF31)=0,"",SUMIFS(Линии[Iр, А],Линии[Щит],A31,Линии[_модуль гр.],HH31,Линии[Канал (итог)],HJ31))</f>
        <v/>
      </c>
      <c r="IH31" t="str">
        <f>IF(AND(B31="",HO31=""),"",_xlfn.TEXTJOIN("; ",TRUE,IF(AND(B31&lt;&gt;"",FV31=""),"нет фазы",""),IF(AND(B31&lt;&gt;"",N(GL31)=0,FG31&lt;&gt;"Нет"),"нет мощности",""),IF(AND(HN31&lt;&gt;"",COUNTIFS(Линии[Щит],A31,Линии[Клемма (итог)],HN31)&gt;1),"дубль клеммы "&amp;HN31,""),IF(AND(HQ31&lt;&gt;"",HQ31&lt;&gt;"ok"),HQ31,""),IF(HR31&lt;&gt;"",HR31,""),IF(AND(N(CB31)&gt;=4,N(BX31)=1),CB31&amp;" жил на 1 фазе",""),IF(AND(BC31="R",CG31=1,IF(CS31&lt;&gt;"",N(CV31)&gt;30,OR(N(DA31)=0,N(DA31)&gt;30))),"розетка без дифзащиты до 30 мА",""),IF(AND(CG31=1,N(DA31)&gt;0,ISNUMBER(T31)),IF(T31&gt;N(DA31)/3,"ток утечки "&amp;FIXED(T31,1)&amp;" мА &gt; 1/3 уставки ("&amp;DA31&amp;" мА)",""),""),IF(AND(CH31=1,CS31=""),"«узо»: нет строки с УЗО выше (УЗО 2P 40А 30мА в «Аппаратах»)",""),IF(AND(CS31&lt;&gt;"",CS31=BA31),IF(CT31="","впишите номинал УЗО (УЗО 2P 40А 30мА)",IF(N(CT31)&lt;N(DT31),"УЗО "&amp;CT31&amp;" А &lt; автомата "&amp;DT31&amp;" А перед ним",IF(N(CT31)&lt;N(CX31),"УЗО "&amp;CT31&amp;" А &lt; тока блока "&amp;FIXED(CX31,1)&amp;" А",""))),""),IF(AND(CS31&lt;&gt;"",CS31=BA31,ISNUMBER(CY31)),IF(CY31&gt;N(CV31)/3,"ток утечки блока УЗО "&amp;FIXED(CY31,1)&amp;" мА &gt; 1/3 уставки ("&amp;CV31&amp;" мА)",""),""),IF(AND(CG31=1,N(BV31)+N(IB31)&gt;0,IC31=""),"линии до 50 В без БП: впишите в «Аппараты» (БП 24V 480W)",""),IF(AND(CG31=1,ISNUMBER(ID31),ISNUMBER(U31)),IF(U31&gt;ID31,"БП "&amp;ID31&amp;" Вт &lt; нужно "&amp;U31&amp;" Вт (×"&amp;Запас_БП&amp;")",""),""),IF(AND(CG31=1,ISNUMBER(IE31),N(BV31)=1),IF(IE31&lt;&gt;N(BU31),"БП на "&amp;IE31&amp;" В, линия "&amp;BU31&amp;" В",""),""),IF(AND(N(IF31)&gt;0,N(IG31)&gt;N(IF31)),HH31&amp;" канал "&amp;HJ31&amp;": "&amp;FIXED(IG31,1)&amp;" А &gt; "&amp;IF31&amp;" А",""),IFERROR(IF(AND(ISNUMBER(Q31),Q31&gt;EL31),"потери "&amp;FIXED(Q31,1)&amp;" % &gt; "&amp;EL31&amp;" %",""),""),IFERROR(IF(LEFT(HU31,4)="мало","Iкз мало — отключение &gt; 0,4 с",""),""),IF(AND(B31&lt;&gt;"",BM31=""),"не на схеме",""),IF(AND(CG31=0,B31&lt;&gt;"",FV31&lt;&gt;"",IF(BA31=1,"",FW30)&lt;&gt;"",FV31&lt;&gt;IF(BA31=1,"",FW30)),"фаза не как у автомата группы ("&amp;IF(BA31=1,"",FW30)&amp;")","")))</f>
        <v/>
      </c>
      <c r="II31" s="6" t="str">
        <f>IF(OR(CG31=0,DQ31=""),"",_xlfn.LET(_xlpm.t,IFERROR(_xlfn.XLOOKUP(DQ31,Каталог!$U$4:$U$500,Каталог!$G$4:$G$500),""),_xlpm.k,SEARCH("кА",_xlpm.t),IFERROR(--TRIM(RIGHT(SUBSTITUTE(MID(_xlpm.t,MAX(1,_xlpm.k-4),_xlpm.k-MAX(1,_xlpm.k-4))," ",REPT(" ",9)),5)),"")))</f>
        <v/>
      </c>
      <c r="IJ31" t="str">
        <f>IF(OR(II31="",CG31=0),"",IF(_xlfn.XLOOKUP(A31,Щиты[Щит],Щиты[Iкз max на шинах, кА],"")="","",IF(II31&lt;_xlfn.XLOOKUP(A31,Щиты[Щит],Щиты[Iкз max на шинах, кА]),"Icu "&amp;II31&amp;" кА &lt; Iкз max","ok")))</f>
        <v/>
      </c>
      <c r="IK31" t="str">
        <f t="shared" si="113"/>
        <v/>
      </c>
      <c r="IL31" t="str">
        <f t="shared" si="114"/>
        <v/>
      </c>
      <c r="IM31" t="str">
        <f t="shared" si="115"/>
        <v/>
      </c>
      <c r="IN31" t="str" cm="1">
        <f t="array" ref="IN31">IF(IM31="","",_xlfn.LET(_xlpm.nd,_xlfn.TEXTSPLIT(IM31,"|"),IF(COLUMNS(_xlpm.nd)&gt;1,A31&amp;"¦"&amp;INDEX(_xlpm.nd,1)&amp;"¦"&amp;INDEX(_xlpm.nd,2),"")))</f>
        <v/>
      </c>
      <c r="IO31" t="str">
        <f t="shared" si="116"/>
        <v/>
      </c>
      <c r="IP31" t="str" cm="1">
        <f t="array" ref="IP31">IF(IM31="","",_xlfn.LET(_xlpm.nd,_xlfn.TEXTSPLIT(IM31,"|"),IF(COLUMNS(_xlpm.nd)&gt;2,A31&amp;"¦"&amp;INDEX(_xlpm.nd,2)&amp;"¦"&amp;INDEX(_xlpm.nd,3),"")))</f>
        <v/>
      </c>
      <c r="IQ31" t="str">
        <f t="shared" si="117"/>
        <v/>
      </c>
      <c r="IR31" t="str" cm="1">
        <f t="array" ref="IR31">IF(IM31="","",_xlfn.LET(_xlpm.nd,_xlfn.TEXTSPLIT(IM31,"|"),IF(COLUMNS(_xlpm.nd)&gt;3,A31&amp;"¦"&amp;INDEX(_xlpm.nd,3)&amp;"¦"&amp;INDEX(_xlpm.nd,4),"")))</f>
        <v/>
      </c>
      <c r="IS31" t="str">
        <f t="shared" si="118"/>
        <v/>
      </c>
      <c r="IT31" t="str" cm="1">
        <f t="array" ref="IT31">IF(IM31="","",_xlfn.LET(_xlpm.nd,_xlfn.TEXTSPLIT(IM31,"|"),IF(COLUMNS(_xlpm.nd)&gt;4,A31&amp;"¦"&amp;INDEX(_xlpm.nd,4)&amp;"¦"&amp;INDEX(_xlpm.nd,5),"")))</f>
        <v/>
      </c>
      <c r="IU31" t="str">
        <f t="shared" si="119"/>
        <v/>
      </c>
      <c r="IV31" t="str" cm="1">
        <f t="array" ref="IV31">IF(IM31="","",_xlfn.LET(_xlpm.nd,_xlfn.TEXTSPLIT(IM31,"|"),IF(COLUMNS(_xlpm.nd)&gt;5,A31&amp;"¦"&amp;INDEX(_xlpm.nd,5)&amp;"¦"&amp;INDEX(_xlpm.nd,6),"")))</f>
        <v/>
      </c>
      <c r="IW31" t="str">
        <f t="shared" si="120"/>
        <v/>
      </c>
      <c r="IX31" t="str" cm="1">
        <f t="array" ref="IX31">IF(IM31="","",_xlfn.LET(_xlpm.nd,_xlfn.TEXTSPLIT(IM31,"|"),IF(COLUMNS(_xlpm.nd)&gt;6,A31&amp;"¦"&amp;INDEX(_xlpm.nd,6)&amp;"¦"&amp;INDEX(_xlpm.nd,7),"")))</f>
        <v/>
      </c>
      <c r="IY31" t="str">
        <f t="shared" si="121"/>
        <v/>
      </c>
      <c r="IZ31" t="str">
        <f t="shared" si="122"/>
        <v/>
      </c>
      <c r="JA31" t="str">
        <f t="shared" si="123"/>
        <v/>
      </c>
      <c r="JB31">
        <f t="shared" si="124"/>
        <v>0</v>
      </c>
      <c r="JC31">
        <f t="shared" si="125"/>
        <v>0</v>
      </c>
      <c r="JD31" t="str">
        <f t="shared" si="126"/>
        <v/>
      </c>
      <c r="JE31" t="str">
        <f t="shared" si="127"/>
        <v/>
      </c>
      <c r="JF31" t="str">
        <f t="shared" si="128"/>
        <v/>
      </c>
      <c r="JG31" t="str">
        <f t="shared" si="129"/>
        <v/>
      </c>
      <c r="JH31">
        <f>IF(B31="","",IFERROR(_xlfn.XLOOKUP(B31,Коды_код,Коды_уго),IFERROR(_xlfn.XLOOKUP(BC31,Коды_код,Коды_уго),IFERROR(_xlfn.XLOOKUP(LEFT(BC31,2),Коды_код,Коды_уго),""))))</f>
        <v>0</v>
      </c>
      <c r="JI31" t="str">
        <f>IF(B31="","",IF(OR(JH31="",JH31=0),"BOX",IFERROR(IF(VLOOKUP(JH31,УГО_блоки,3,FALSE)&amp;""&lt;&gt;"",VLOOKUP(JH31,УГО_блоки,3,FALSE),VLOOKUP(JH31,УГО_блоки,2,FALSE)),JH31)))</f>
        <v>BOX</v>
      </c>
      <c r="JJ31">
        <f t="shared" si="130"/>
        <v>1</v>
      </c>
      <c r="JK31" t="str">
        <f>IF(DQ31="","",IF(COUNTIF(DQ$3:DQ31,DQ31)=1,MAX(JK$2:JK30)+1,""))</f>
        <v/>
      </c>
      <c r="JL31" t="str">
        <f>IF(DE31="","",IF(COUNTIF(DE$3:DE31,DE31)+COUNTIF(DF$2:DF30,DE31)+COUNTIF(DG$2:DG30,DE31)=1,MAX(JL$2:JN30)+1,""))</f>
        <v/>
      </c>
      <c r="JM31" t="str">
        <f>IF(DF31="","",IF(COUNTIF(DE$3:DE31,DF31)+COUNTIF(DF$3:DF31,DF31)+COUNTIF(DG$2:DG30,DF31)=1,MAX(JL$2:JN30,JL31)+1,""))</f>
        <v/>
      </c>
      <c r="JN31" t="str">
        <f>IF(DG31="","",IF(COUNTIF(DE$3:DE31,DG31)+COUNTIF(DF$3:DF31,DG31)+COUNTIF(DG$3:DG31,DG31)=1,MAX(JL$2:JN30,JL31,JM31)+1,""))</f>
        <v/>
      </c>
      <c r="JO31" t="str">
        <f t="shared" si="131"/>
        <v/>
      </c>
      <c r="JP31" t="str">
        <f>IF(JO31="","",IF(COUNTIF(JO$3:JO31,JO31)=1,MAX(JP$2:JP30)+1,""))</f>
        <v/>
      </c>
      <c r="JQ31" t="str">
        <f>IF(HG31="","",COUNTIF(HG$3:HG31,"?*"))</f>
        <v/>
      </c>
      <c r="JR31" t="str">
        <f>IF(OR(HG31="",HI31=""),"",IF(COUNTIFS(HG$3:HG31,"?*",HI$3:HI31,HI31)=1,MAX(JR$2:JR30)+1,""))</f>
        <v/>
      </c>
      <c r="JS31">
        <f t="shared" si="132"/>
        <v>0</v>
      </c>
      <c r="JT31">
        <f>IF(B31="","",COUNTIF(B$3:B31,"?*"))</f>
        <v>29</v>
      </c>
      <c r="JU31">
        <f>IF(HL31&lt;&gt;1,0,_xlfn.LET(_xlpm.k,MAX(IFERROR(--_xlfn.XLOOKUP(B31,Коды_код,Коды_3L),0),IFERROR(--_xlfn.XLOOKUP(BC31,Коды_код,Коды_3L),0),IFERROR(--_xlfn.XLOOKUP(LEFT(BC31,2),Коды_код,Коды_3L),0)),IF(_xlpm.k&gt;0,_xlpm.k,IF(IFERROR(--LEFT(SUBSTITUTE(JO31,"x","х"),FIND("х",SUBSTITUTE(JO31,"x","х"))-1),3)&gt;3,Каталог!$S$9,1))))</f>
        <v>0</v>
      </c>
      <c r="JV31">
        <f t="shared" si="133"/>
        <v>0</v>
      </c>
      <c r="JW31" t="str">
        <f t="shared" si="134"/>
        <v>авто</v>
      </c>
      <c r="JX31" t="str">
        <f t="shared" si="135"/>
        <v/>
      </c>
      <c r="JY31">
        <f t="shared" si="136"/>
        <v>0</v>
      </c>
      <c r="JZ31">
        <f t="shared" si="137"/>
        <v>1</v>
      </c>
    </row>
    <row r="32" spans="1:286" x14ac:dyDescent="0.3">
      <c r="A32" t="s">
        <v>1109</v>
      </c>
      <c r="B32" t="s">
        <v>1346</v>
      </c>
      <c r="C32" t="str">
        <f>Линии[[#This Row],[_авто наименование]]</f>
        <v>Осветительная группа, пом. 001T</v>
      </c>
      <c r="D32">
        <v>1</v>
      </c>
      <c r="E32">
        <v>0.1</v>
      </c>
      <c r="G32" t="str">
        <f>Линии[[#This Row],[_авто автомат]]</f>
        <v>1P С10А</v>
      </c>
      <c r="H32" t="str">
        <f>Линии[[#This Row],[_авто управление]]</f>
        <v/>
      </c>
      <c r="I32" t="str">
        <f>Линии[[#This Row],[_авто аппараты]]</f>
        <v/>
      </c>
      <c r="J32">
        <v>1.5</v>
      </c>
      <c r="K32">
        <v>26</v>
      </c>
      <c r="L32" t="str">
        <f>Линии[[#This Row],[_авто фаза]]</f>
        <v>L1</v>
      </c>
      <c r="M32" t="str">
        <f>Линии[[#This Row],[_авто клемма]]</f>
        <v>XT1</v>
      </c>
      <c r="N32" t="str">
        <f t="shared" si="0"/>
        <v>не на схеме</v>
      </c>
      <c r="O32" s="6" cm="1">
        <f t="array" ref="O32">IF(B32="","",IF(BH32&lt;&gt;"",IFERROR(_xlfn.XLOOKUP(BH32,Щиты[Щит],Щиты[Iр, А]),""),IF(BP32=1,IF(OR(N(_xlfn.XLOOKUP(A32,Щиты[Щит],Щиты[Вводов],1))&lt;=1,LOWER(TRIM(_xlfn.XLOOKUP(A32,Щиты[Щит],Щиты[АВР],"")&amp;""))="да"),IFERROR(_xlfn.XLOOKUP(A32,Щиты[Щит],Щиты[Iр, А]),""),IFERROR(N(BS32)*_xlfn.XLOOKUP(A32,Щиты[Щит],Щиты[Кс итог])/(SQRT(3)*Uн_лин*_xlfn.XLOOKUP(A32,Щиты[Щит],Щиты[cos φ])),"")),IF(BV32=1,IFERROR(BS32*1000/BU32,""),IFERROR(_xlfn.IFS(BX32=1,BS32/((Uн_лин/SQRT(3))*CE32),BX32=3,BS32/(SQRT(3)*Uн_лин*CE32)),"")))))</f>
        <v>0.455802844097073</v>
      </c>
      <c r="P32" s="7">
        <f>IF(B32="","",IFERROR(IF(VLOOKUP(BC32,Потребители_обозначение,4,FALSE)=1,VLOOKUP(BC32,Потребители_обозначение,3,FALSE)*(MAX(1,N(D32))*2-1)+EI32+VLOOKUP(BE32,Этаж_обозначение,3,FALSE)+VLOOKUP(BE32,Этаж_обозначение,4,FALSE),VLOOKUP(BC32,Потребители_обозначение,3,FALSE)*(MAX(1,N(D32))*2-1)+EI32),EI32))</f>
        <v>27</v>
      </c>
      <c r="Q32" s="6">
        <f t="shared" si="1"/>
        <v>0.33</v>
      </c>
      <c r="R32" t="str">
        <f t="shared" si="2"/>
        <v>ВВГнг(А)-LS (3х1,5)</v>
      </c>
      <c r="S32" t="str">
        <f>IF(BM32="","",IF(BN32="вводной узел","узел ","")&amp;"л."&amp;(INT((BM32-1)/Столбцов_на_лист)+1)&amp;" / "&amp;(MOD(BM32-1,Столбцов_на_лист)+1))</f>
        <v/>
      </c>
      <c r="T32" s="119">
        <f t="shared" si="3"/>
        <v>0.5</v>
      </c>
      <c r="U32" s="7" t="str">
        <f>IF(OR(CG32=0,N(BV32)+N(IB32)=0),"",ROUNDUP(Запас_БП*(N(HY32)+N(HZ32)),0))</f>
        <v/>
      </c>
      <c r="V32" s="119" t="str">
        <f t="shared" si="4"/>
        <v/>
      </c>
      <c r="W32" s="7" t="str">
        <f>IFERROR(IF(OR(B32="",BP32=1,BV32=1,NOT(ISNUMBER(EN32)),N(DT32)=0),"",MAX(0,ROUNDDOWN((c_min*(Uн_лин*1000/SQRT(3))/(HT32*N(DT32))-_xlfn.XLOOKUP(A32,Щиты[Щит],Щиты[Zпетли на шинах, Ом]))*EN32/(2*ρкз_Cu),0))),"")</f>
        <v/>
      </c>
      <c r="Y32" t="str">
        <f>Линии[[#This Row],[_авто утечка]]</f>
        <v/>
      </c>
      <c r="Z32">
        <v>1</v>
      </c>
      <c r="AA32">
        <v>230</v>
      </c>
      <c r="AB32" t="s">
        <v>562</v>
      </c>
      <c r="AI32" t="s">
        <v>555</v>
      </c>
      <c r="AK32" t="str">
        <f>Линии[[#This Row],[_авто модуль]]</f>
        <v/>
      </c>
      <c r="AM32" t="s">
        <v>527</v>
      </c>
      <c r="AN32" t="s">
        <v>11</v>
      </c>
      <c r="AO32">
        <v>3</v>
      </c>
      <c r="AQ32">
        <v>9</v>
      </c>
      <c r="AR32">
        <v>0</v>
      </c>
      <c r="AS32">
        <v>34</v>
      </c>
      <c r="BA32" cm="1">
        <f t="array" ref="BA32">ROW()-ROW(Линии[#Headers])</f>
        <v>30</v>
      </c>
      <c r="BC32" s="6" t="str">
        <f t="shared" si="5"/>
        <v>L</v>
      </c>
      <c r="BD32" t="str">
        <f t="shared" si="6"/>
        <v>00.001T.1</v>
      </c>
      <c r="BE32" t="str">
        <f t="shared" si="7"/>
        <v>00</v>
      </c>
      <c r="BF32" t="str">
        <f t="shared" si="8"/>
        <v>001T.1</v>
      </c>
      <c r="BG32" t="str">
        <f t="shared" si="9"/>
        <v>001T</v>
      </c>
      <c r="BH32" t="str">
        <f>IF(X32&lt;&gt;"",X32,IF(AND(B32&lt;&gt;"",B32&lt;&gt;A32,ISNUMBER(_xlfn.XMATCH(B32,Щиты[Щит]))),B32,""))</f>
        <v/>
      </c>
      <c r="BI32" t="str" cm="1">
        <f t="array" ref="BI32">IF(B32="","",IF(BH32&lt;&gt;"","Щит "&amp;BH32,_xlfn.LET(_xlpm.nm,IFERROR(_xlfn.XLOOKUP(BC32,Коды_код,Коды_имя)&amp;"",""),_xlpm.md,IFERROR(N(_xlfn.XLOOKUP(BC32,Коды_код,Коды_режим)),1),_xlpm.ex,IF(Имя_режим="по экспликации",IFERROR(_xlfn.XLOOKUP(BE32&amp;"|"&amp;BG32,Экспликация[Этаж]&amp;"|"&amp;Экспликация[Помещение],Экспликация[Название])&amp;"",""),""),_xlpm.rm,IF(BG32="","",IF(_xlpm.ex&lt;&gt;"",". "&amp;_xlpm.ex&amp;IF(Имя_пом="нет"," ("&amp;BG32&amp;")"," (пом. "&amp;BG32&amp;")"),IF(Имя_пом="нет"," ",", пом. ")&amp;BG32)),IF(_xlpm.nm="","",IF(_xlpm.md=2,_xlpm.nm&amp;" шлейф "&amp;BE32,_xlpm.nm&amp;_xlpm.rm)))))</f>
        <v>Осветительная группа, пом. 001T</v>
      </c>
      <c r="BJ32" t="str">
        <f t="shared" si="10"/>
        <v>Осветительная группа, пом. 001T</v>
      </c>
      <c r="BK32">
        <f>IFERROR(_xlfn.XMATCH(A32,Щиты[Щит]),0)</f>
        <v>3</v>
      </c>
      <c r="BL32">
        <f>_xlfn.LET(_xlpm.k,IFERROR(_xlfn.XLOOKUP(A32,Щиты[Щит],Щиты[Мест под вводной узел]),""),IF(_xlpm.k="",Столбцов_на_лист,N(_xlpm.k)))</f>
        <v>17</v>
      </c>
      <c r="BM32" t="str">
        <f t="shared" si="11"/>
        <v/>
      </c>
      <c r="BN32" t="str">
        <f t="shared" si="12"/>
        <v/>
      </c>
      <c r="BO32" s="6">
        <f>IFERROR(N(_xlfn.XLOOKUP(BC32,Коды_код,Коды_квт)),0)</f>
        <v>0</v>
      </c>
      <c r="BP32">
        <f t="shared" si="13"/>
        <v>0</v>
      </c>
      <c r="BQ32" t="str">
        <f>IF(B32="","",IF(BH32&lt;&gt;"",IFERROR(_xlfn.XLOOKUP(BH32,Щиты[Щит],Щиты[Руст, кВт]),0),IF(BP32=1,IF(OR(N(_xlfn.XLOOKUP(A32,Щиты[Щит],Щиты[Вводов],1))&lt;=1,LOWER(TRIM(_xlfn.XLOOKUP(A32,Щиты[Щит],Щиты[АВР],"")&amp;""))="да"),IFERROR(_xlfn.XLOOKUP(A32,Щиты[Щит],Щиты[Руст, кВт]),0),SUMIFS(Линии[_Р для вводов],Линии[Щит],A32,Линии[Источник для режимов],GF32)),IF(BO32&gt;0,ROUND(BO32*MAX(1,N(D32)),3),""))))</f>
        <v/>
      </c>
      <c r="BR32">
        <f t="shared" si="14"/>
        <v>0.1</v>
      </c>
      <c r="BS32" s="6">
        <f>IF(B32="","",IF(BH32&lt;&gt;"",IFERROR(_xlfn.XLOOKUP(BH32,Щиты[Щит],Щиты[Руст, кВт]),0),N(BR32)))</f>
        <v>0.1</v>
      </c>
      <c r="BT32" t="str">
        <f>IF(B32="","",IFERROR(IF(VLOOKUP(BC32,Потребители_обозначение,8,FALSE)=0,"",VLOOKUP(BC32,Потребители_обозначение,8,FALSE)),""))</f>
        <v/>
      </c>
      <c r="BU32">
        <f t="shared" si="15"/>
        <v>230</v>
      </c>
      <c r="BV32">
        <f t="shared" si="16"/>
        <v>0</v>
      </c>
      <c r="BW32">
        <f>IF(B32="","",IF(BH32&lt;&gt;"",3,IFERROR(IF(N(VLOOKUP(BC32,Потребители_обозначение,9,FALSE))=0,1,VLOOKUP(BC32,Потребители_обозначение,9,FALSE)),1)))</f>
        <v>1</v>
      </c>
      <c r="BX32">
        <f t="shared" si="17"/>
        <v>1</v>
      </c>
      <c r="BY32" t="str">
        <f>IF(B32="","",_xlfn.LET(_xlpm.bc,IFERROR(IF(VLOOKUP(BC32,Потребители_обозначение,6,FALSE)=0,"",VLOOKUP(BC32,Потребители_обозначение,6,FALSE)&amp;""),""),IF(AND(GA32="да",OR(_xlpm.bc="",_xlpm.bc="мс")),Марка_пож,IF(AND(_xlpm.bc="",BH32&lt;&gt;""),"мс",_xlpm.bc))))</f>
        <v/>
      </c>
      <c r="BZ32" t="str">
        <f t="shared" si="18"/>
        <v>мс</v>
      </c>
      <c r="CA32">
        <f>IF(B32="","",_xlfn.LET(_xlpm.cc,IFERROR(N(VLOOKUP(BC32,Потребители_обозначение,7,FALSE)),0),IF(_xlpm.cc&gt;0,_xlpm.cc,IF(BZ32="","",IF(BV32=1,2,IF(N(BX32)=3,5,3))))))</f>
        <v>3</v>
      </c>
      <c r="CB32">
        <f t="shared" si="19"/>
        <v>3</v>
      </c>
      <c r="CC32">
        <f>IFERROR(N(VLOOKUP(BC32,Потребители_обозначение,10,FALSE)),0)</f>
        <v>0</v>
      </c>
      <c r="CD32">
        <f>IFERROR(VLOOKUP(BC32,Потребители_обозначение,5,FALSE),0)</f>
        <v>3</v>
      </c>
      <c r="CE32" s="6" cm="1">
        <f t="array" ref="CE32">IF(B32="","",IF(BH32&lt;&gt;"",IFERROR(_xlfn.XLOOKUP(BH32,Щиты[Щит],Щиты[cos φ]),0.95),IF(BP32=1,IFERROR(_xlfn.XLOOKUP(A32,Щиты[Щит],Щиты[cos φ]),0.95),IF(ISNUMBER(AD32),AD32,IFERROR(IF(CD32=2,_xlfn.IFS(BX32=3,VLOOKUP(BS32,Справочная_двигатели,8,FALSE),BX32=1,VLOOKUP(BS32,Справочная_двигатели,10,TRUE)),IF(AND(Методика="нормы 2026",FG32="Сил"),0.8,0.95)),0.95)))))</f>
        <v>0.95</v>
      </c>
      <c r="CF32">
        <f t="shared" si="20"/>
        <v>0</v>
      </c>
      <c r="CG32">
        <f t="shared" si="21"/>
        <v>1</v>
      </c>
      <c r="CH32">
        <f t="shared" si="22"/>
        <v>0</v>
      </c>
      <c r="CI32">
        <f>IF(B32="","",IF(BV32=1,IFERROR(BS32/((Uн_лин/SQRT(3))*MAX(0.5,N(CE32))),0),N(O32)))</f>
        <v>0.455802844097073</v>
      </c>
      <c r="CJ32">
        <f t="shared" si="23"/>
        <v>0</v>
      </c>
      <c r="CK32">
        <f t="shared" si="24"/>
        <v>0</v>
      </c>
      <c r="CL32">
        <f t="shared" si="25"/>
        <v>0</v>
      </c>
      <c r="CM32">
        <f t="shared" si="26"/>
        <v>0</v>
      </c>
      <c r="CN32">
        <f t="shared" si="27"/>
        <v>0</v>
      </c>
      <c r="CO32">
        <f>IF(BC32="",0,_xlfn.LET(_xlpm.v,IFERROR(_xlfn.XLOOKUP(B32,Коды_код,Коды_мА),IFERROR(_xlfn.XLOOKUP(BC32,Коды_код,Коды_мА),IFERROR(_xlfn.XLOOKUP(LEFT(BC32,2),Коды_код,Коды_мА),""))),IF(_xlpm.v="да",30,IF(ISNUMBER(_xlpm.v),_xlpm.v,0))))</f>
        <v>0</v>
      </c>
      <c r="CP32" t="str">
        <f t="shared" si="28"/>
        <v/>
      </c>
      <c r="CQ32" t="str">
        <f>_xlfn.LET(_xlpm.k,IFERROR(_xlfn.XLOOKUP(BC32,Коды_код,Коды_утечка)&amp;"",""),IF(_xlpm.k="","дифавтомат",_xlpm.k))</f>
        <v>дифавтомат</v>
      </c>
      <c r="CR32" t="str" cm="1">
        <f t="array" ref="CR32">IF(CG32=0,"",_xlfn.LET(_xlpm.sg,TRIM(_xlfn.TEXTSPLIT(DD32&amp;"",";")),_xlpm.f_,_xlfn._xlws.FILTER(_xlpm.sg,LEFT(_xlpm.sg,3)="УЗО",""),IFERROR(INDEX(_xlpm.f_,1)&amp;"","")))</f>
        <v/>
      </c>
      <c r="CS32" t="str">
        <f t="shared" si="29"/>
        <v/>
      </c>
      <c r="CT32" s="6" t="str" cm="1">
        <f t="array" ref="CT32">IF(CR32="","",_xlfn.LET(_xlpm.tk,_xlfn.TEXTSPLIT(UPPER(CR32)," ",,TRUE),_xlpm.a_,_xlfn._xlws.FILTER(_xlpm.tk,ISNUMBER(--LEFT(_xlpm.tk,1))*((ISNUMBER(SEARCH("А",_xlpm.tk))+ISNUMBER(SEARCH("A",_xlpm.tk)))&gt;0)*NOT(ISNUMBER(SEARCH("МА",_xlpm.tk)))*NOT(ISNUMBER(SEARCH("MA",_xlpm.tk))),""),IFERROR(--SUBSTITUTE(SUBSTITUTE(INDEX(_xlpm.a_,1),"А",""),"A",""),"")))</f>
        <v/>
      </c>
      <c r="CU32" t="str" cm="1">
        <f t="array" ref="CU32">IF(CR32="","",_xlfn.LET(_xlpm.tk,_xlfn.TEXTSPLIT(UPPER(CR32)," ",,TRUE),_xlpm.a_,_xlfn._xlws.FILTER(_xlpm.tk,ISNUMBER(--LEFT(_xlpm.tk,1))*((ISNUMBER(SEARCH("МА",_xlpm.tk))+ISNUMBER(SEARCH("MA",_xlpm.tk)))&gt;0),""),IFERROR(--SUBSTITUTE(SUBSTITUTE(INDEX(_xlpm.a_,1),"МА",""),"MA",""),30)))</f>
        <v/>
      </c>
      <c r="CV32" t="str">
        <f>IF(CS32="","",IFERROR(_xlfn.XLOOKUP(CS32,Линии[_n],Линии[_УЗО, мА]),30))</f>
        <v/>
      </c>
      <c r="CW32">
        <f>IF(CS32="",0,IF(ISNUMBER(SEARCH("4P",IFERROR(_xlfn.XLOOKUP(CS32,Линии[_n],Линии[_УЗО строки])&amp;"",""))),0,1))</f>
        <v>0</v>
      </c>
      <c r="CX32" t="str">
        <f>IF(AND(CS32&lt;&gt;"",CS32=BA32),SUMIFS(Линии[_ток на 230 В],Линии[_блок УЗО],BA32,Линии[Щит],A32),"")</f>
        <v/>
      </c>
      <c r="CY32" t="str">
        <f>IF(AND(CS32&lt;&gt;"",CS32=BA32),SUMIFS(Линии[_ток утечки линии, мА],Линии[_блок УЗО],BA32,Линии[Щит],A32),"")</f>
        <v/>
      </c>
      <c r="CZ32">
        <f t="shared" si="30"/>
        <v>0</v>
      </c>
      <c r="DA32">
        <f t="shared" si="31"/>
        <v>0</v>
      </c>
      <c r="DB32">
        <f>IF(B32="",0,IFERROR(--_xlfn.XLOOKUP(B32,Коды_код,Коды_минавт),IFERROR(--_xlfn.XLOOKUP(BC32,Коды_код,Коды_минавт),IFERROR(--_xlfn.XLOOKUP(LEFT(BC32,2),Коды_код,Коды_минавт),0))))</f>
        <v>10</v>
      </c>
      <c r="DC32" t="str">
        <f>IF(B32="","",IFERROR(_xlfn.XLOOKUP(BC32,Коды_код,Коды_апп)&amp;"",""))</f>
        <v/>
      </c>
      <c r="DD32" t="str">
        <f t="shared" si="32"/>
        <v/>
      </c>
      <c r="DE32" t="str" cm="1">
        <f t="array" ref="DE32">IF(TRIM(DD32&amp;"")="","",IFERROR(TRIM(INDEX(_xlfn.TEXTSPLIT(DD32&amp;";;;",";"),1)),""))</f>
        <v/>
      </c>
      <c r="DF32" t="str" cm="1">
        <f t="array" ref="DF32">IF(TRIM(DD32&amp;"")="","",IFERROR(TRIM(INDEX(_xlfn.TEXTSPLIT(DD32&amp;";;;",";"),2)),""))</f>
        <v/>
      </c>
      <c r="DG32" t="str" cm="1">
        <f t="array" ref="DG32">IF(TRIM(DD32&amp;"")="","",IFERROR(TRIM(INDEX(_xlfn.TEXTSPLIT(DD32&amp;";;;",";"),3)),""))</f>
        <v/>
      </c>
      <c r="DH32">
        <f t="shared" si="33"/>
        <v>0</v>
      </c>
      <c r="DI32" t="str">
        <f>IF(B32="","",_xlfn.LET(_xlpm.t,LOWER(AZ32&amp;""),IF(ISNUMBER(SEARCH("dim",_xlpm.t)),"DIM",IF(ISNUMBER(SEARCH("dali",_xlpm.t)),"DALI",IF(OR(ISNUMBER(SEARCH("relay",_xlpm.t)),ISNUMBER(SEARCH("реле",_xlpm.t))),"Relay",IF(ISNUMBER(SEARCH("кнопк",_xlpm.t)),"",IFERROR(_xlfn.XLOOKUP(BC32,Коды_код,Коды_упр)&amp;"","")))))))</f>
        <v/>
      </c>
      <c r="DJ32" t="str">
        <f t="shared" si="34"/>
        <v/>
      </c>
      <c r="DK32">
        <f>IF(B32="","",_xlfn.LET(_xlpm.ig,IF(N(CX32)&gt;0,N(CX32),N(CI32)+IF(AJ32="вручную",0,N(CJ32))),_xlpm.n0,IFERROR(VLOOKUP(_xlpm.ig,Автомат_номиналы,2,TRUE),0),_xlpm.mn,MAX(DB32,IF(AJ32="вручную",0,N(CM32))),MAX(_xlpm.n0,_xlpm.mn,IF(DH32=1,Мин_автомат_БП,0))))</f>
        <v>10</v>
      </c>
      <c r="DL32">
        <f t="shared" si="35"/>
        <v>1</v>
      </c>
      <c r="DM32" t="str">
        <f t="shared" si="36"/>
        <v>1P</v>
      </c>
      <c r="DN32" t="str">
        <f>_xlfn.LET(_xlpm.cc,UPPER(TRIM(IFERROR(_xlfn.XLOOKUP(BC32,Коды_код,Коды_хар)&amp;"",""))),IF(OR(_xlpm.cc="B",_xlpm.cc="В"),"B",IF(_xlpm.cc="D","D","С")))</f>
        <v>С</v>
      </c>
      <c r="DO32" t="str">
        <f t="shared" si="37"/>
        <v>1P С10А</v>
      </c>
      <c r="DP32" t="str">
        <f t="shared" si="38"/>
        <v>1P С10А</v>
      </c>
      <c r="DQ32" t="str">
        <f t="shared" si="39"/>
        <v>1P С10А</v>
      </c>
      <c r="DR32" cm="1">
        <f t="array" ref="DR32">IF(DQ32="","",_xlfn.LET(_xlpm.t,SUBSTITUTE(SUBSTITUTE(SUBSTITUTE(UPPER(DQ32),"С","C"),"А","A"),"В","B"),_xlpm.tk,_xlfn.TEXTSPLIT(_xlpm.t," "),_xlpm.f,_xlfn._xlws.FILTER(_xlpm.tk,ISNUMBER(--MID(_xlpm.tk,2,1))*ISNUMBER(SEARCH(LEFT(_xlpm.tk,1)&amp;"#","B#C#D#"))*(LEN(_xlpm.tk)&gt;1),""),_xlpm.x,INDEX(_xlpm.f,1),IFERROR(--SUBSTITUTE(MID(_xlpm.x,2,9),"A",""),IFERROR(--SUBSTITUTE(INDEX(_xlfn._xlws.FILTER(_xlpm.tk,ISNUMBER(--SUBSTITUTE(_xlpm.tk,"A","")),""),1),"A",""),""))))</f>
        <v>10</v>
      </c>
      <c r="DS32" t="str">
        <f t="shared" si="40"/>
        <v>ok</v>
      </c>
      <c r="DT32">
        <f t="shared" si="41"/>
        <v>10</v>
      </c>
      <c r="DU32" t="str">
        <f t="shared" si="42"/>
        <v>1P С10А</v>
      </c>
      <c r="DV32">
        <f t="shared" si="43"/>
        <v>0</v>
      </c>
      <c r="DW32">
        <f t="shared" si="44"/>
        <v>0</v>
      </c>
      <c r="DX32">
        <f t="shared" si="45"/>
        <v>0</v>
      </c>
      <c r="DY32">
        <f t="shared" si="46"/>
        <v>0.455802844097073</v>
      </c>
      <c r="DZ32">
        <f t="shared" si="47"/>
        <v>1</v>
      </c>
      <c r="EA32">
        <f>IF(ISNUMBER(AP32),AP32,К_прокл)</f>
        <v>1</v>
      </c>
      <c r="EB32">
        <f t="shared" si="48"/>
        <v>2</v>
      </c>
      <c r="EC32">
        <f>IFERROR(N(VLOOKUP(BZ32,Кабель_обозначение,3,FALSE)),1)</f>
        <v>1</v>
      </c>
      <c r="ED32">
        <f>IFERROR(N(_xlfn.XLOOKUP(A32,Щиты[Щит],Щиты[ΔU до шин, %])),0)</f>
        <v>0.17</v>
      </c>
      <c r="EE32" t="str">
        <f>IFERROR(_xlfn.XLOOKUP(A32,Щиты[Щит],Щиты[Zпетли на шинах, Ом]),"")</f>
        <v/>
      </c>
      <c r="EF32">
        <f>IFERROR(N(_xlfn.XLOOKUP(A32,Щиты[Щит],Щиты[ΔU до шин (подбор), %])),0)</f>
        <v>0.65</v>
      </c>
      <c r="EG32" t="str">
        <f>IFERROR(_xlfn.XLOOKUP(A32,Щиты[Щит],Щиты[Zпетли на шинах (подбор), Ом]),"")</f>
        <v/>
      </c>
      <c r="EH32" t="str">
        <f t="shared" si="49"/>
        <v/>
      </c>
      <c r="EI32">
        <f t="shared" si="50"/>
        <v>26</v>
      </c>
      <c r="EJ32">
        <f t="shared" si="51"/>
        <v>2</v>
      </c>
      <c r="EK32">
        <f t="shared" si="52"/>
        <v>0.31</v>
      </c>
      <c r="EL32" s="6">
        <f>IF(B32="","",IF(BV32=1,dU_LED,IF(IFERROR(_xlfn.XLOOKUP(BC32,Коды_код,Коды_уго),"")="Светильник",3,4)+IF(Методика="нормы 2026",MIN(0.5,MAX(0,N(P32)-100)*0.005),0)))</f>
        <v>3</v>
      </c>
      <c r="EM32" cm="1">
        <f t="array" ref="EM32">IF(OR(B32="",BZ32="",EC32&lt;&gt;1),"",_xlfn.LET(_xlpm.sz,Iдоп_S,_xlpm.t_,CHOOSE(EB32,Iдоп_1ж,Iдоп_2ж,Iдоп_3ж)*DZ32*EA32,_xlpm.dcx,BV32=1,_xlpm.inn,IF(_xlpm.dcx,N(O32),N(DT32)),_xlpm.smin,MAX(1.5,CC32),_xlpm.L_,N(P32)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32)/N(BU32)*100,999),IFERROR(N(EJ32)*(_xlpm.rho*_xlpm.L_/_xlpm.sz*N(CE32)+_xlpm.xx*_xlpm.L_*N(EK32)/1000)*N(O32)/((Uн_лин/SQRT(3))*1000)*100,999)),_xlpm.kz,IF(OR(_xlpm.dcx,DW32=1,NOT(ISNUMBER(EG32)),_xlpm.L_=0,_xlpm.inn=0),1,IFERROR(--(c_min*(Uн_лин*1000/SQRT(3))/(EG32+2*ρкз_Cu*_xlpm.L_/_xlpm.sz)&gt;=HT32*_xlpm.inn),0)),_xlpm.ok,IFERROR((_xlpm.sz&gt;=_xlpm.smin)*(_xlpm.t_&gt;=_xlpm.inn)*IF(_xlpm.L_&gt;0,(_xlpm.du_+IF(_xlpm.dcx,0,EF32)&lt;=EL32+0.00001),1)*_xlpm.kz,0),_xlpm.r_,_xlfn._xlws.FILTER(_xlpm.sz,_xlpm.ok,"не подобрано"),INDEX(_xlpm.r_,1)))</f>
        <v>1.5</v>
      </c>
      <c r="EN32">
        <f t="shared" si="53"/>
        <v>1.5</v>
      </c>
      <c r="EO32" cm="1">
        <f t="array" ref="EO32">IF(OR(B32="",BZ32="",EC32&lt;&gt;1),"",_xlfn.LET(_xlpm.sz,Iдоп_S,_xlpm.t_,CHOOSE(EB32,Iдоп_1ж,Iдоп_2ж,Iдоп_3ж)*DZ32*EA32,_xlpm.ok,IFERROR((_xlpm.sz&gt;=MAX(1.5,CC32))*(_xlpm.t_&gt;=N(DT32)),0),_xlpm.r_,_xlfn._xlws.FILTER(_xlpm.sz,_xlpm.ok,""),INDEX(_xlpm.r_,1)))</f>
        <v>1.5</v>
      </c>
      <c r="EP32" s="6" cm="1">
        <f t="array" ref="EP32">IFERROR(ROUNDUP(N(EJ32)*(_xlfn.XLOOKUP(EO32,INDEX(Кабель_сопротивление,0,1),INDEX(Кабель_сопротивление,0,3))*N(P32)/EO32*N(CE32)+_xlfn.XLOOKUP(EO32,INDEX(Кабель_сопротивление,0,1),INDEX(Кабель_сопротивление,0,2))*N(P32)*N(EK32)/1000)*N(O32)/((Uн_лин/SQRT(3))*1000)*100,2),"")</f>
        <v>0.16</v>
      </c>
      <c r="EQ32">
        <f>IFERROR(2*ρкз_Cu*N(P32)/EO32,"")</f>
        <v>0.94680000000000009</v>
      </c>
      <c r="ER32">
        <f>IFERROR(VLOOKUP(EN32,Кабель_сопротивление,3,FALSE),"")</f>
        <v>2.2499999999999999E-2</v>
      </c>
      <c r="ES32">
        <f>IFERROR(VLOOKUP(EN32,Кабель_сопротивление,2,FALSE),"")</f>
        <v>0.11</v>
      </c>
      <c r="ET32">
        <f t="shared" si="54"/>
        <v>0</v>
      </c>
      <c r="EU32">
        <f t="shared" si="55"/>
        <v>34</v>
      </c>
      <c r="EV32">
        <f t="shared" si="56"/>
        <v>0.35157960388981802</v>
      </c>
      <c r="EW32" s="6">
        <f>IFERROR(ROUNDUP(EV32/IF(BV32=1,BU32,(Uн_лин/SQRT(3))*1000)*100,2),"")</f>
        <v>0.16</v>
      </c>
      <c r="EX32" t="str">
        <f>IFERROR(VLOOKUP(BZ32,Кабель_обозначение,2,FALSE),"")</f>
        <v>ВВГнг(А)-LS</v>
      </c>
      <c r="EY32" t="str">
        <f t="shared" si="57"/>
        <v>ВВГнг(А)-LS (3х1,5)</v>
      </c>
      <c r="EZ32" t="str">
        <f t="shared" si="58"/>
        <v>ВВГнг(А)-LS (3х1,5)
L=27-0,16%</v>
      </c>
      <c r="FA32">
        <f>IFERROR(2*ρкз_Cu*P32/EN32,"")</f>
        <v>0.94680000000000009</v>
      </c>
      <c r="FB32">
        <f t="shared" si="59"/>
        <v>0.315</v>
      </c>
      <c r="FC32" s="6" t="str">
        <f>IFERROR(IF(OR(B32="",BV32=1,NOT(ISNUMBER(EN32)),N(P32)=0),"",_xlfn.XLOOKUP(A32,Щиты[Щит],Щиты[Zпетли на шинах, Ом])+FA32),"")</f>
        <v/>
      </c>
      <c r="FD32" s="6" t="str">
        <f>IF(ISNUMBER(FC32),c_min*(Uн_лин*1000/SQRT(3))/FC32,"")</f>
        <v/>
      </c>
      <c r="FE32" s="6" t="str">
        <f>IFERROR(IF(OR(B32="",NOT(ISNUMBER(EN32))),"",1.05*(Uн_лин*1000/SQRT(3))/(_xlfn.XLOOKUP(A32,Щиты[Щит],Щиты[Zmax на шинах, Ом])+FB32)/1000),"")</f>
        <v/>
      </c>
      <c r="FF32" s="6" t="str">
        <f>IF(B32="","",IF(ISNUMBER(AC32),"Сил",IF(IFERROR(_xlfn.XLOOKUP(BC32,Коды_код,Коды_группа)&amp;"","")="","Быт",_xlfn.XLOOKUP(BC32,Коды_код,Коды_группа)&amp;"")))</f>
        <v>Быт</v>
      </c>
      <c r="FG32" s="6" t="str">
        <f t="shared" si="60"/>
        <v>Быт</v>
      </c>
      <c r="FH32" s="6">
        <f>IF(FG32="Щит","щит",IF(FG32="","",IF(FG32="Быт",IFERROR(_xlfn.XLOOKUP(A32,Щиты[Щит],Щиты[Кс быт]),1),IF(FG32="Сил",IF(ISNUMBER(AC32),AC32,IF(Методика="нормы 2026",IFERROR(_xlfn.XLOOKUP(A32,Щиты[Щит],Щиты[Кс силовых (табл. 7.5)]),1),1)),IF(OR(FG32="Пост",FG32="Отоп"),1,IF(FG32="ВНГ",0.7,0))))))</f>
        <v>0.8</v>
      </c>
      <c r="FI32">
        <f>IF(FG32="","",IF(AND(BP32=1,TRIM(AE32&amp;"")=""),IF(COUNTIFS(Линии[Щит],A32,Линии[Секция (1/2/3)],"&gt;=2")&gt;0,MIN(3,MAX(1,IFERROR(--BD32,1))),1),IFERROR(MIN(3,MAX(1,INT(--AE32))),1)))</f>
        <v>1</v>
      </c>
      <c r="FJ32">
        <f t="shared" si="61"/>
        <v>0.1</v>
      </c>
      <c r="FK32">
        <f t="shared" si="62"/>
        <v>0.1</v>
      </c>
      <c r="FL32">
        <f t="shared" si="63"/>
        <v>0</v>
      </c>
      <c r="FM32">
        <f t="shared" si="64"/>
        <v>0</v>
      </c>
      <c r="FN32">
        <f t="shared" si="65"/>
        <v>0</v>
      </c>
      <c r="FO32">
        <f t="shared" si="66"/>
        <v>0</v>
      </c>
      <c r="FP32">
        <f t="shared" si="67"/>
        <v>0.1</v>
      </c>
      <c r="FQ32">
        <f t="shared" si="68"/>
        <v>0.1</v>
      </c>
      <c r="FR32">
        <f t="shared" si="69"/>
        <v>9.5000000000000001E-2</v>
      </c>
      <c r="FS32">
        <f>IF(CG32=1,IF(AND(CH32=1,CW32=1),0,IF(AND(CS32&lt;&gt;"",CS32=BA32,CW32=1),SUMIFS(Линии[_Р линии, кВт],Линии[_блок УЗО],BA32,Линии[Щит],A32),N(BS32)+IF(AJ32="вручную",0,N(CK32)))),0)</f>
        <v>0.1</v>
      </c>
      <c r="FT32" t="str">
        <f t="shared" si="70"/>
        <v/>
      </c>
      <c r="FU32" t="str">
        <f>IF(B32="","",IF(CG32=0,IF(BA32=1,"",FW31),IF(AND(CH32=1,CW32=1,CS32&lt;&gt;""),IFERROR(_xlfn.XLOOKUP(CS32,Линии[_n],Линии[_фаза итог]),"L1"),IF(OR(N(DL32)&gt;=3,N(BX32)&gt;=3),"L1,L2,L3",IFERROR(_xlfn.TEXTBEFORE(_xlfn.TEXTAFTER(_xlfn.XLOOKUP(A32,Щиты[Щит],Щиты[_фазы авто]),";"&amp;BA32&amp;":"),";"),"L1")))))</f>
        <v>L1</v>
      </c>
      <c r="FV32" t="str">
        <f t="shared" si="71"/>
        <v>L1</v>
      </c>
      <c r="FW32" t="str">
        <f t="shared" si="72"/>
        <v>L1</v>
      </c>
      <c r="FX32" cm="1">
        <f t="array" ref="FX32">IFERROR(IF(CD32=2,_xlfn.IFS(BX32=3,VLOOKUP(BS32,Справочная_двигатели,3,FALSE),BX32=1,VLOOKUP(BS32,Справочная_двигатели,5,TRUE)),0),0)</f>
        <v>0</v>
      </c>
      <c r="FY32">
        <f>IFERROR(IF(CD32=3,VLOOKUP(BS32,Справочная_ЛЭД,2,TRUE),0),0)</f>
        <v>50</v>
      </c>
      <c r="FZ32" s="6">
        <f t="shared" si="73"/>
        <v>50</v>
      </c>
      <c r="GA32" t="str">
        <f>IF(B32="","",IF(TRIM(AH32&amp;"")&lt;&gt;"",IF(LOWER(TRIM(AH32&amp;""))="да","да","нет"),IF(IFERROR(_xlfn.XLOOKUP(BC32,Коды_код,Коды_пожарная),"")="да","да","нет")))</f>
        <v>нет</v>
      </c>
      <c r="GB32" t="str">
        <f t="shared" si="74"/>
        <v/>
      </c>
      <c r="GC32" t="str">
        <f t="shared" si="75"/>
        <v>основная</v>
      </c>
      <c r="GD32">
        <f>IF(AND(BP32=1,TRIM(AE32&amp;"")=""),IF(COUNTIFS(Линии[Щит],A32,Линии[Секция (1/2/3)],"&gt;=2")&gt;0,MIN(3,MAX(1,IFERROR(--BD32,1))),1),IFERROR(MIN(3,MAX(1,INT(--AE32))),1))</f>
        <v>1</v>
      </c>
      <c r="GE32" t="str" cm="1">
        <f t="array" ref="GE32">IF(B32="","",_xlfn.LET(_xlpm.t,IFERROR(_xlfn.XLOOKUP(1,(Шины[Шина]=GC32)*(((Шины[Щит]=A32)+(Шины[Щит]=""))&gt;0),Шины[Тип]),"")&amp;"",IF(_xlpm.t&lt;&gt;"",_xlpm.t,IF(ISNUMBER(SEARCH("ИБП",GC32)),"ИБП",IF(ISNUMBER(SEARCH("ДГУ",GC32)),"ДГУ","Ввод "&amp;GD32)))))</f>
        <v>Ввод 1</v>
      </c>
      <c r="GF32" t="str">
        <f t="shared" si="76"/>
        <v>Ввод 1</v>
      </c>
      <c r="GG32" t="str">
        <f>IF(BP32=0,"",IF(TRIM(AG32&amp;"")&lt;&gt;"",TRIM(AG32&amp;""),IF(OR(GE32="ИБП",GE32="ДГУ"),"I особая",_xlfn.XLOOKUP(A32,Щиты[Щит],Щиты[Категория шины «Ввод»],"III"))))</f>
        <v/>
      </c>
      <c r="GH32" t="str">
        <f>IF(A32="","",_xlfn.XLOOKUP(A32,Щиты[Щит],Щиты[Путь],""))</f>
        <v>|ГРЩ-ЖД|ЩГП|ЩО-001|</v>
      </c>
      <c r="GI32" t="str">
        <f>IF(B32="","",IF(AI32&lt;&gt;"",AI32,IF(IFERROR(_xlfn.XLOOKUP(BC32,Коды_код,Коды_вид)&amp;"","")="","Прочее",_xlfn.XLOOKUP(BC32,Коды_код,Коды_вид)&amp;"")))</f>
        <v>Рабочее освещение</v>
      </c>
      <c r="GJ32" t="str">
        <f>IF(BM32="","",INT((BM32-1)/Столбцов_на_лист)+1)</f>
        <v/>
      </c>
      <c r="GK32" t="str">
        <f t="shared" si="77"/>
        <v>ВВГнг(А)-LS (3х1,5) L=27-0,16%</v>
      </c>
      <c r="GL32">
        <f t="shared" si="78"/>
        <v>0.1</v>
      </c>
      <c r="GM32">
        <f t="shared" si="79"/>
        <v>0.46</v>
      </c>
      <c r="GN32">
        <f t="shared" si="80"/>
        <v>1</v>
      </c>
      <c r="GO32">
        <f t="shared" si="81"/>
        <v>0</v>
      </c>
      <c r="GP32">
        <f t="shared" si="82"/>
        <v>0</v>
      </c>
      <c r="GQ32" t="str">
        <f>IF(BM32="","",IF(AND(CG32=1,GP32=1),COUNTIFS(A$3:A32,A32,CG$3:CG32,1,GP$3:GP32,1),IF(OR(OR(BA32=1,A32&lt;&gt;A31),AJ32="вручную",GP32=0),"",IF(BA32=1,"",GR31))))</f>
        <v/>
      </c>
      <c r="GR32" t="str">
        <f t="shared" si="83"/>
        <v/>
      </c>
      <c r="GS32">
        <f>IF(B32="","",IFERROR(LOOKUP(INDEX(CHOOSE(EB32,Iдоп_1ж,Iдоп_2ж,Iдоп_3ж),MATCH(EN32,Iдоп_S,0))*DZ32*EA32,{6,10,16,20,25,32,40,50,63,80,100,125,160,200,250,315,400,500,630}),""))</f>
        <v>16</v>
      </c>
      <c r="GT32" t="str">
        <f t="shared" si="84"/>
        <v/>
      </c>
      <c r="GU32" t="str">
        <f t="shared" si="85"/>
        <v/>
      </c>
      <c r="GV32" t="str">
        <f t="shared" si="86"/>
        <v/>
      </c>
      <c r="GW32">
        <f t="shared" si="87"/>
        <v>0</v>
      </c>
      <c r="GX32" t="str">
        <f>IF(OR(B32="",DJ32=""),"",IFERROR(_xlfn.XLOOKUP(DJ32,Модули_умолч[Управление],Модули_умолч[Модель])&amp;"",""))</f>
        <v/>
      </c>
      <c r="GY32">
        <f>IF(DJ32="",1,IFERROR(MAX(0,N(_xlfn.XLOOKUP(DJ32,Модули_умолч[Управление],Модули_умолч[Каналов на линию]))),1))</f>
        <v>1</v>
      </c>
      <c r="GZ32" t="str">
        <f t="shared" si="88"/>
        <v/>
      </c>
      <c r="HA32" t="str">
        <f t="shared" si="89"/>
        <v/>
      </c>
      <c r="HB32" t="str">
        <f t="shared" si="90"/>
        <v/>
      </c>
      <c r="HC32">
        <f>IF(HB32="",0,IFERROR(N(VLOOKUP(HB32,Модули_спр,3,FALSE)),0))</f>
        <v>0</v>
      </c>
      <c r="HD32" t="str">
        <f t="shared" si="91"/>
        <v/>
      </c>
      <c r="HE32" t="str">
        <f t="shared" si="92"/>
        <v/>
      </c>
      <c r="HF32" t="str">
        <f>IF(OR(HE32="",HE32="-"),"",IFERROR(VLOOKUP(HE32,Модули_спр,2,FALSE),"R"))</f>
        <v/>
      </c>
      <c r="HG32" t="str">
        <f>IF(HF32="","",HF32&amp;"."&amp;COUNTIFS(A$3:A32,A32,HF$3:HF32,HF32))</f>
        <v/>
      </c>
      <c r="HH32" t="str">
        <f t="shared" si="93"/>
        <v/>
      </c>
      <c r="HI32" t="str">
        <f t="shared" si="94"/>
        <v/>
      </c>
      <c r="HJ32" t="str">
        <f t="shared" si="95"/>
        <v/>
      </c>
      <c r="HK32" t="str">
        <f t="shared" si="96"/>
        <v/>
      </c>
      <c r="HL32">
        <f t="shared" si="97"/>
        <v>1</v>
      </c>
      <c r="HM32" t="str">
        <f>IF(HL32=1,"XT"&amp;COUNTIFS(A$3:A32,A32,HL$3:HL32,1),"")</f>
        <v>XT1</v>
      </c>
      <c r="HN32" t="str">
        <f t="shared" si="98"/>
        <v>XT1</v>
      </c>
      <c r="HO32" t="str">
        <f t="shared" si="99"/>
        <v/>
      </c>
      <c r="HP32" t="str">
        <f t="shared" si="100"/>
        <v/>
      </c>
      <c r="HQ32" t="str">
        <f t="shared" si="101"/>
        <v>ok</v>
      </c>
      <c r="HR32" t="str">
        <f>IF(OR(HJ32="",HH32=""),"",IF(HJ32+MAX(0,GY32-1)&gt;IFERROR(VLOOKUP(HI32,Модули_спр,3,FALSE),99),"ЛИШНИЙ КАНАЛ",IF(AND(AL32&lt;&gt;"=",GY32&gt;0,COUNTIFS(Линии[_модуль гр.],HH32,Линии[Канал (итог)],HJ32,Линии[Канал],"&lt;&gt;=",Линии[Щит],A32)&gt;1),"ДУБЛЬ КАНАЛА","")))</f>
        <v/>
      </c>
      <c r="HS32" s="6" t="str">
        <f t="shared" si="102"/>
        <v/>
      </c>
      <c r="HT32">
        <f t="shared" si="103"/>
        <v>10</v>
      </c>
      <c r="HU32" t="str">
        <f t="shared" si="104"/>
        <v/>
      </c>
      <c r="HV32">
        <f t="shared" si="105"/>
        <v>0.4523211376388292</v>
      </c>
      <c r="HW32">
        <f t="shared" si="106"/>
        <v>0</v>
      </c>
      <c r="HX32">
        <f t="shared" si="107"/>
        <v>0</v>
      </c>
      <c r="HY32">
        <f t="shared" si="108"/>
        <v>0</v>
      </c>
      <c r="HZ32">
        <f t="shared" si="109"/>
        <v>0</v>
      </c>
      <c r="IA32">
        <f t="shared" si="110"/>
        <v>0</v>
      </c>
      <c r="IB32">
        <f t="shared" si="111"/>
        <v>0</v>
      </c>
      <c r="IC32" t="str">
        <f t="shared" si="112"/>
        <v/>
      </c>
      <c r="ID32" t="str" cm="1">
        <f t="array" ref="ID32">IF(IC32="","",_xlfn.LET(_xlpm.tk,_xlfn.TEXTSPLIT(SUBSTITUTE(SUBSTITUTE(IC32,";"," "),"→"," ")," ",,TRUE),_xlpm.w_,_xlfn._xlws.FILTER(_xlpm.tk,ISNUMBER(--LEFT(_xlpm.tk,1))*((ISNUMBER(SEARCH("W",_xlpm.tk))+ISNUMBER(SEARCH("Вт",_xlpm.tk)))&gt;0),""),IFERROR(--SUBSTITUTE(SUBSTITUTE(UPPER(INDEX(_xlpm.w_,1)),"W",""),"ВТ",""),"")))</f>
        <v/>
      </c>
      <c r="IE32" t="str" cm="1">
        <f t="array" ref="IE32">IF(IC32="","",_xlfn.LET(_xlpm.tk,_xlfn.TEXTSPLIT(SUBSTITUTE(SUBSTITUTE(IC32,";"," "),"→"," ")," ",,TRUE),_xlpm.v_,_xlfn._xlws.FILTER(_xlpm.tk,ISNUMBER(--LEFT(_xlpm.tk,1))*((ISNUMBER(SEARCH("V",_xlpm.tk))+(RIGHT(UPPER(_xlpm.tk))="В"))&gt;0),""),IFERROR(--SUBSTITUTE(SUBSTITUTE(UPPER(INDEX(_xlpm.v_,1)),"V",""),"В",""),"")))</f>
        <v/>
      </c>
      <c r="IF32" s="6" t="str">
        <f>IF(OR(BV32=0,HI32="",HJ32=""),"",IFERROR(N(_xlfn.XLOOKUP(HI32,Каталог!$C$4:$C$500,Каталог!$Q$4:$Q$500)),""))</f>
        <v/>
      </c>
      <c r="IG32" s="6" t="str">
        <f>IF(N(IF32)=0,"",SUMIFS(Линии[Iр, А],Линии[Щит],A32,Линии[_модуль гр.],HH32,Линии[Канал (итог)],HJ32))</f>
        <v/>
      </c>
      <c r="IH32" t="str">
        <f>IF(AND(B32="",HO32=""),"",_xlfn.TEXTJOIN("; ",TRUE,IF(AND(B32&lt;&gt;"",FV32=""),"нет фазы",""),IF(AND(B32&lt;&gt;"",N(GL32)=0,FG32&lt;&gt;"Нет"),"нет мощности",""),IF(AND(HN32&lt;&gt;"",COUNTIFS(Линии[Щит],A32,Линии[Клемма (итог)],HN32)&gt;1),"дубль клеммы "&amp;HN32,""),IF(AND(HQ32&lt;&gt;"",HQ32&lt;&gt;"ok"),HQ32,""),IF(HR32&lt;&gt;"",HR32,""),IF(AND(N(CB32)&gt;=4,N(BX32)=1),CB32&amp;" жил на 1 фазе",""),IF(AND(BC32="R",CG32=1,IF(CS32&lt;&gt;"",N(CV32)&gt;30,OR(N(DA32)=0,N(DA32)&gt;30))),"розетка без дифзащиты до 30 мА",""),IF(AND(CG32=1,N(DA32)&gt;0,ISNUMBER(T32)),IF(T32&gt;N(DA32)/3,"ток утечки "&amp;FIXED(T32,1)&amp;" мА &gt; 1/3 уставки ("&amp;DA32&amp;" мА)",""),""),IF(AND(CH32=1,CS32=""),"«узо»: нет строки с УЗО выше (УЗО 2P 40А 30мА в «Аппаратах»)",""),IF(AND(CS32&lt;&gt;"",CS32=BA32),IF(CT32="","впишите номинал УЗО (УЗО 2P 40А 30мА)",IF(N(CT32)&lt;N(DT32),"УЗО "&amp;CT32&amp;" А &lt; автомата "&amp;DT32&amp;" А перед ним",IF(N(CT32)&lt;N(CX32),"УЗО "&amp;CT32&amp;" А &lt; тока блока "&amp;FIXED(CX32,1)&amp;" А",""))),""),IF(AND(CS32&lt;&gt;"",CS32=BA32,ISNUMBER(CY32)),IF(CY32&gt;N(CV32)/3,"ток утечки блока УЗО "&amp;FIXED(CY32,1)&amp;" мА &gt; 1/3 уставки ("&amp;CV32&amp;" мА)",""),""),IF(AND(CG32=1,N(BV32)+N(IB32)&gt;0,IC32=""),"линии до 50 В без БП: впишите в «Аппараты» (БП 24V 480W)",""),IF(AND(CG32=1,ISNUMBER(ID32),ISNUMBER(U32)),IF(U32&gt;ID32,"БП "&amp;ID32&amp;" Вт &lt; нужно "&amp;U32&amp;" Вт (×"&amp;Запас_БП&amp;")",""),""),IF(AND(CG32=1,ISNUMBER(IE32),N(BV32)=1),IF(IE32&lt;&gt;N(BU32),"БП на "&amp;IE32&amp;" В, линия "&amp;BU32&amp;" В",""),""),IF(AND(N(IF32)&gt;0,N(IG32)&gt;N(IF32)),HH32&amp;" канал "&amp;HJ32&amp;": "&amp;FIXED(IG32,1)&amp;" А &gt; "&amp;IF32&amp;" А",""),IFERROR(IF(AND(ISNUMBER(Q32),Q32&gt;EL32),"потери "&amp;FIXED(Q32,1)&amp;" % &gt; "&amp;EL32&amp;" %",""),""),IFERROR(IF(LEFT(HU32,4)="мало","Iкз мало — отключение &gt; 0,4 с",""),""),IF(AND(B32&lt;&gt;"",BM32=""),"не на схеме",""),IF(AND(CG32=0,B32&lt;&gt;"",FV32&lt;&gt;"",IF(BA32=1,"",FW31)&lt;&gt;"",FV32&lt;&gt;IF(BA32=1,"",FW31)),"фаза не как у автомата группы ("&amp;IF(BA32=1,"",FW31)&amp;")","")))</f>
        <v>не на схеме</v>
      </c>
      <c r="II32" s="6">
        <f>IF(OR(CG32=0,DQ32=""),"",_xlfn.LET(_xlpm.t,IFERROR(_xlfn.XLOOKUP(DQ32,Каталог!$U$4:$U$500,Каталог!$G$4:$G$500),""),_xlpm.k,SEARCH("кА",_xlpm.t),IFERROR(--TRIM(RIGHT(SUBSTITUTE(MID(_xlpm.t,MAX(1,_xlpm.k-4),_xlpm.k-MAX(1,_xlpm.k-4))," ",REPT(" ",9)),5)),"")))</f>
        <v>6</v>
      </c>
      <c r="IJ32" t="str">
        <f>IF(OR(II32="",CG32=0),"",IF(_xlfn.XLOOKUP(A32,Щиты[Щит],Щиты[Iкз max на шинах, кА],"")="","",IF(II32&lt;_xlfn.XLOOKUP(A32,Щиты[Щит],Щиты[Iкз max на шинах, кА]),"Icu "&amp;II32&amp;" кА &lt; Iкз max","ok")))</f>
        <v/>
      </c>
      <c r="IK32" t="str">
        <f t="shared" si="113"/>
        <v/>
      </c>
      <c r="IL32" t="str">
        <f t="shared" si="114"/>
        <v/>
      </c>
      <c r="IM32" t="str">
        <f t="shared" si="115"/>
        <v/>
      </c>
      <c r="IN32" t="str" cm="1">
        <f t="array" ref="IN32">IF(IM32="","",_xlfn.LET(_xlpm.nd,_xlfn.TEXTSPLIT(IM32,"|"),IF(COLUMNS(_xlpm.nd)&gt;1,A32&amp;"¦"&amp;INDEX(_xlpm.nd,1)&amp;"¦"&amp;INDEX(_xlpm.nd,2),"")))</f>
        <v/>
      </c>
      <c r="IO32" t="str">
        <f t="shared" si="116"/>
        <v/>
      </c>
      <c r="IP32" t="str" cm="1">
        <f t="array" ref="IP32">IF(IM32="","",_xlfn.LET(_xlpm.nd,_xlfn.TEXTSPLIT(IM32,"|"),IF(COLUMNS(_xlpm.nd)&gt;2,A32&amp;"¦"&amp;INDEX(_xlpm.nd,2)&amp;"¦"&amp;INDEX(_xlpm.nd,3),"")))</f>
        <v/>
      </c>
      <c r="IQ32" t="str">
        <f t="shared" si="117"/>
        <v/>
      </c>
      <c r="IR32" t="str" cm="1">
        <f t="array" ref="IR32">IF(IM32="","",_xlfn.LET(_xlpm.nd,_xlfn.TEXTSPLIT(IM32,"|"),IF(COLUMNS(_xlpm.nd)&gt;3,A32&amp;"¦"&amp;INDEX(_xlpm.nd,3)&amp;"¦"&amp;INDEX(_xlpm.nd,4),"")))</f>
        <v/>
      </c>
      <c r="IS32" t="str">
        <f t="shared" si="118"/>
        <v/>
      </c>
      <c r="IT32" t="str" cm="1">
        <f t="array" ref="IT32">IF(IM32="","",_xlfn.LET(_xlpm.nd,_xlfn.TEXTSPLIT(IM32,"|"),IF(COLUMNS(_xlpm.nd)&gt;4,A32&amp;"¦"&amp;INDEX(_xlpm.nd,4)&amp;"¦"&amp;INDEX(_xlpm.nd,5),"")))</f>
        <v/>
      </c>
      <c r="IU32" t="str">
        <f t="shared" si="119"/>
        <v/>
      </c>
      <c r="IV32" t="str" cm="1">
        <f t="array" ref="IV32">IF(IM32="","",_xlfn.LET(_xlpm.nd,_xlfn.TEXTSPLIT(IM32,"|"),IF(COLUMNS(_xlpm.nd)&gt;5,A32&amp;"¦"&amp;INDEX(_xlpm.nd,5)&amp;"¦"&amp;INDEX(_xlpm.nd,6),"")))</f>
        <v/>
      </c>
      <c r="IW32" t="str">
        <f t="shared" si="120"/>
        <v/>
      </c>
      <c r="IX32" t="str" cm="1">
        <f t="array" ref="IX32">IF(IM32="","",_xlfn.LET(_xlpm.nd,_xlfn.TEXTSPLIT(IM32,"|"),IF(COLUMNS(_xlpm.nd)&gt;6,A32&amp;"¦"&amp;INDEX(_xlpm.nd,6)&amp;"¦"&amp;INDEX(_xlpm.nd,7),"")))</f>
        <v/>
      </c>
      <c r="IY32" t="str">
        <f t="shared" si="121"/>
        <v/>
      </c>
      <c r="IZ32" t="str">
        <f t="shared" si="122"/>
        <v/>
      </c>
      <c r="JA32" t="str">
        <f t="shared" si="123"/>
        <v>XT1</v>
      </c>
      <c r="JB32">
        <f t="shared" si="124"/>
        <v>0</v>
      </c>
      <c r="JC32">
        <f t="shared" si="125"/>
        <v>0</v>
      </c>
      <c r="JD32" t="str">
        <f t="shared" si="126"/>
        <v/>
      </c>
      <c r="JE32" t="str">
        <f t="shared" si="127"/>
        <v/>
      </c>
      <c r="JF32" t="str">
        <f t="shared" si="128"/>
        <v/>
      </c>
      <c r="JG32" t="str">
        <f t="shared" si="129"/>
        <v/>
      </c>
      <c r="JH32" t="str">
        <f>IF(B32="","",IFERROR(_xlfn.XLOOKUP(B32,Коды_код,Коды_уго),IFERROR(_xlfn.XLOOKUP(BC32,Коды_код,Коды_уго),IFERROR(_xlfn.XLOOKUP(LEFT(BC32,2),Коды_код,Коды_уго),""))))</f>
        <v>Светильник</v>
      </c>
      <c r="JI32" t="str">
        <f>IF(B32="","",IF(OR(JH32="",JH32=0),"BOX",IFERROR(IF(VLOOKUP(JH32,УГО_блоки,3,FALSE)&amp;""&lt;&gt;"",VLOOKUP(JH32,УГО_блоки,3,FALSE),VLOOKUP(JH32,УГО_блоки,2,FALSE)),JH32)))</f>
        <v>LAMP</v>
      </c>
      <c r="JJ32">
        <f t="shared" si="130"/>
        <v>1</v>
      </c>
      <c r="JK32" t="str">
        <f>IF(DQ32="","",IF(COUNTIF(DQ$3:DQ32,DQ32)=1,MAX(JK$2:JK31)+1,""))</f>
        <v/>
      </c>
      <c r="JL32" t="str">
        <f>IF(DE32="","",IF(COUNTIF(DE$3:DE32,DE32)+COUNTIF(DF$2:DF31,DE32)+COUNTIF(DG$2:DG31,DE32)=1,MAX(JL$2:JN31)+1,""))</f>
        <v/>
      </c>
      <c r="JM32" t="str">
        <f>IF(DF32="","",IF(COUNTIF(DE$3:DE32,DF32)+COUNTIF(DF$3:DF32,DF32)+COUNTIF(DG$2:DG31,DF32)=1,MAX(JL$2:JN31,JL32)+1,""))</f>
        <v/>
      </c>
      <c r="JN32" t="str">
        <f>IF(DG32="","",IF(COUNTIF(DE$3:DE32,DG32)+COUNTIF(DF$3:DF32,DG32)+COUNTIF(DG$3:DG32,DG32)=1,MAX(JL$2:JN31,JL32,JM32)+1,""))</f>
        <v/>
      </c>
      <c r="JO32" t="str">
        <f t="shared" si="131"/>
        <v>3х1,5</v>
      </c>
      <c r="JP32">
        <f>IF(JO32="","",IF(COUNTIF(JO$3:JO32,JO32)=1,MAX(JP$2:JP31)+1,""))</f>
        <v>11</v>
      </c>
      <c r="JQ32" t="str">
        <f>IF(HG32="","",COUNTIF(HG$3:HG32,"?*"))</f>
        <v/>
      </c>
      <c r="JR32" t="str">
        <f>IF(OR(HG32="",HI32=""),"",IF(COUNTIFS(HG$3:HG32,"?*",HI$3:HI32,HI32)=1,MAX(JR$2:JR31)+1,""))</f>
        <v/>
      </c>
      <c r="JS32">
        <f t="shared" si="132"/>
        <v>1</v>
      </c>
      <c r="JT32">
        <f>IF(B32="","",COUNTIF(B$3:B32,"?*"))</f>
        <v>30</v>
      </c>
      <c r="JU32">
        <f>IF(HL32&lt;&gt;1,0,_xlfn.LET(_xlpm.k,MAX(IFERROR(--_xlfn.XLOOKUP(B32,Коды_код,Коды_3L),0),IFERROR(--_xlfn.XLOOKUP(BC32,Коды_код,Коды_3L),0),IFERROR(--_xlfn.XLOOKUP(LEFT(BC32,2),Коды_код,Коды_3L),0)),IF(_xlpm.k&gt;0,_xlpm.k,IF(IFERROR(--LEFT(SUBSTITUTE(JO32,"x","х"),FIND("х",SUBSTITUTE(JO32,"x","х"))-1),3)&gt;3,Каталог!$S$9,1))))</f>
        <v>1</v>
      </c>
      <c r="JV32">
        <f t="shared" si="133"/>
        <v>0</v>
      </c>
      <c r="JW32" t="str">
        <f t="shared" si="134"/>
        <v>авто</v>
      </c>
      <c r="JX32" t="str">
        <f t="shared" si="135"/>
        <v/>
      </c>
      <c r="JY32">
        <f t="shared" si="136"/>
        <v>0</v>
      </c>
      <c r="JZ32">
        <f t="shared" si="137"/>
        <v>1</v>
      </c>
    </row>
    <row r="33" spans="1:286" x14ac:dyDescent="0.3">
      <c r="A33" t="s">
        <v>1109</v>
      </c>
      <c r="B33" t="s">
        <v>1347</v>
      </c>
      <c r="C33" t="str">
        <f>Линии[[#This Row],[_авто наименование]]</f>
        <v>Осветительная группа, пом. 001Б</v>
      </c>
      <c r="D33">
        <v>24</v>
      </c>
      <c r="E33">
        <v>0.1</v>
      </c>
      <c r="G33" t="str">
        <f>Линии[[#This Row],[_авто автомат]]</f>
        <v>1P С10А</v>
      </c>
      <c r="H33" t="str">
        <f>Линии[[#This Row],[_авто управление]]</f>
        <v/>
      </c>
      <c r="I33" t="str">
        <f>Линии[[#This Row],[_авто аппараты]]</f>
        <v/>
      </c>
      <c r="J33">
        <v>1.5</v>
      </c>
      <c r="K33">
        <v>116</v>
      </c>
      <c r="L33" t="str">
        <f>Линии[[#This Row],[_авто фаза]]</f>
        <v>L2</v>
      </c>
      <c r="M33" t="str">
        <f>Линии[[#This Row],[_авто клемма]]</f>
        <v>XT2</v>
      </c>
      <c r="N33" t="str">
        <f t="shared" si="0"/>
        <v>не на схеме</v>
      </c>
      <c r="O33" s="6" cm="1">
        <f t="array" ref="O33">IF(B33="","",IF(BH33&lt;&gt;"",IFERROR(_xlfn.XLOOKUP(BH33,Щиты[Щит],Щиты[Iр, А]),""),IF(BP33=1,IF(OR(N(_xlfn.XLOOKUP(A33,Щиты[Щит],Щиты[Вводов],1))&lt;=1,LOWER(TRIM(_xlfn.XLOOKUP(A33,Щиты[Щит],Щиты[АВР],"")&amp;""))="да"),IFERROR(_xlfn.XLOOKUP(A33,Щиты[Щит],Щиты[Iр, А]),""),IFERROR(N(BS33)*_xlfn.XLOOKUP(A33,Щиты[Щит],Щиты[Кс итог])/(SQRT(3)*Uн_лин*_xlfn.XLOOKUP(A33,Щиты[Щит],Щиты[cos φ])),"")),IF(BV33=1,IFERROR(BS33*1000/BU33,""),IFERROR(_xlfn.IFS(BX33=1,BS33/((Uн_лин/SQRT(3))*CE33),BX33=3,BS33/(SQRT(3)*Uн_лин*CE33)),"")))))</f>
        <v>0.455802844097073</v>
      </c>
      <c r="P33" s="7">
        <f>IF(B33="","",IFERROR(IF(VLOOKUP(BC33,Потребители_обозначение,4,FALSE)=1,VLOOKUP(BC33,Потребители_обозначение,3,FALSE)*(MAX(1,N(D33))*2-1)+EI33+VLOOKUP(BE33,Этаж_обозначение,3,FALSE)+VLOOKUP(BE33,Этаж_обозначение,4,FALSE),VLOOKUP(BC33,Потребители_обозначение,3,FALSE)*(MAX(1,N(D33))*2-1)+EI33),EI33))</f>
        <v>163</v>
      </c>
      <c r="Q33" s="6">
        <f t="shared" si="1"/>
        <v>1.0900000000000001</v>
      </c>
      <c r="R33" t="str">
        <f t="shared" si="2"/>
        <v>ВВГнг(А)-LS (3х1,5)</v>
      </c>
      <c r="S33" t="str">
        <f>IF(BM33="","",IF(BN33="вводной узел","узел ","")&amp;"л."&amp;(INT((BM33-1)/Столбцов_на_лист)+1)&amp;" / "&amp;(MOD(BM33-1,Столбцов_на_лист)+1))</f>
        <v/>
      </c>
      <c r="T33" s="119">
        <f t="shared" si="3"/>
        <v>1.8</v>
      </c>
      <c r="U33" s="7" t="str">
        <f>IF(OR(CG33=0,N(BV33)+N(IB33)=0),"",ROUNDUP(Запас_БП*(N(HY33)+N(HZ33)),0))</f>
        <v/>
      </c>
      <c r="V33" s="119" t="str">
        <f t="shared" si="4"/>
        <v/>
      </c>
      <c r="W33" s="7" t="str">
        <f>IFERROR(IF(OR(B33="",BP33=1,BV33=1,NOT(ISNUMBER(EN33)),N(DT33)=0),"",MAX(0,ROUNDDOWN((c_min*(Uн_лин*1000/SQRT(3))/(HT33*N(DT33))-_xlfn.XLOOKUP(A33,Щиты[Щит],Щиты[Zпетли на шинах, Ом]))*EN33/(2*ρкз_Cu),0))),"")</f>
        <v/>
      </c>
      <c r="Y33" t="str">
        <f>Линии[[#This Row],[_авто утечка]]</f>
        <v/>
      </c>
      <c r="Z33">
        <v>1</v>
      </c>
      <c r="AA33">
        <v>230</v>
      </c>
      <c r="AB33" t="s">
        <v>562</v>
      </c>
      <c r="AI33" t="s">
        <v>555</v>
      </c>
      <c r="AK33" t="str">
        <f>Линии[[#This Row],[_авто модуль]]</f>
        <v/>
      </c>
      <c r="AM33" t="s">
        <v>527</v>
      </c>
      <c r="AN33" t="s">
        <v>11</v>
      </c>
      <c r="AO33">
        <v>3</v>
      </c>
      <c r="AQ33">
        <v>51</v>
      </c>
      <c r="AR33">
        <v>0</v>
      </c>
      <c r="AS33">
        <v>143</v>
      </c>
      <c r="BA33" cm="1">
        <f t="array" ref="BA33">ROW()-ROW(Линии[#Headers])</f>
        <v>31</v>
      </c>
      <c r="BC33" s="6" t="str">
        <f t="shared" si="5"/>
        <v>L</v>
      </c>
      <c r="BD33" t="str">
        <f t="shared" si="6"/>
        <v>00.001Б.2</v>
      </c>
      <c r="BE33" t="str">
        <f t="shared" si="7"/>
        <v>00</v>
      </c>
      <c r="BF33" t="str">
        <f t="shared" si="8"/>
        <v>001Б.2</v>
      </c>
      <c r="BG33" t="str">
        <f t="shared" si="9"/>
        <v>001Б</v>
      </c>
      <c r="BH33" t="str">
        <f>IF(X33&lt;&gt;"",X33,IF(AND(B33&lt;&gt;"",B33&lt;&gt;A33,ISNUMBER(_xlfn.XMATCH(B33,Щиты[Щит]))),B33,""))</f>
        <v/>
      </c>
      <c r="BI33" t="str" cm="1">
        <f t="array" ref="BI33">IF(B33="","",IF(BH33&lt;&gt;"","Щит "&amp;BH33,_xlfn.LET(_xlpm.nm,IFERROR(_xlfn.XLOOKUP(BC33,Коды_код,Коды_имя)&amp;"",""),_xlpm.md,IFERROR(N(_xlfn.XLOOKUP(BC33,Коды_код,Коды_режим)),1),_xlpm.ex,IF(Имя_режим="по экспликации",IFERROR(_xlfn.XLOOKUP(BE33&amp;"|"&amp;BG33,Экспликация[Этаж]&amp;"|"&amp;Экспликация[Помещение],Экспликация[Название])&amp;"",""),""),_xlpm.rm,IF(BG33="","",IF(_xlpm.ex&lt;&gt;"",". "&amp;_xlpm.ex&amp;IF(Имя_пом="нет"," ("&amp;BG33&amp;")"," (пом. "&amp;BG33&amp;")"),IF(Имя_пом="нет"," ",", пом. ")&amp;BG33)),IF(_xlpm.nm="","",IF(_xlpm.md=2,_xlpm.nm&amp;" шлейф "&amp;BE33,_xlpm.nm&amp;_xlpm.rm)))))</f>
        <v>Осветительная группа, пом. 001Б</v>
      </c>
      <c r="BJ33" t="str">
        <f t="shared" si="10"/>
        <v>Осветительная группа, пом. 001Б</v>
      </c>
      <c r="BK33">
        <f>IFERROR(_xlfn.XMATCH(A33,Щиты[Щит]),0)</f>
        <v>3</v>
      </c>
      <c r="BL33">
        <f>_xlfn.LET(_xlpm.k,IFERROR(_xlfn.XLOOKUP(A33,Щиты[Щит],Щиты[Мест под вводной узел]),""),IF(_xlpm.k="",Столбцов_на_лист,N(_xlpm.k)))</f>
        <v>17</v>
      </c>
      <c r="BM33" t="str">
        <f t="shared" si="11"/>
        <v/>
      </c>
      <c r="BN33" t="str">
        <f t="shared" si="12"/>
        <v/>
      </c>
      <c r="BO33" s="6">
        <f>IFERROR(N(_xlfn.XLOOKUP(BC33,Коды_код,Коды_квт)),0)</f>
        <v>0</v>
      </c>
      <c r="BP33">
        <f t="shared" si="13"/>
        <v>0</v>
      </c>
      <c r="BQ33" t="str">
        <f>IF(B33="","",IF(BH33&lt;&gt;"",IFERROR(_xlfn.XLOOKUP(BH33,Щиты[Щит],Щиты[Руст, кВт]),0),IF(BP33=1,IF(OR(N(_xlfn.XLOOKUP(A33,Щиты[Щит],Щиты[Вводов],1))&lt;=1,LOWER(TRIM(_xlfn.XLOOKUP(A33,Щиты[Щит],Щиты[АВР],"")&amp;""))="да"),IFERROR(_xlfn.XLOOKUP(A33,Щиты[Щит],Щиты[Руст, кВт]),0),SUMIFS(Линии[_Р для вводов],Линии[Щит],A33,Линии[Источник для режимов],GF33)),IF(BO33&gt;0,ROUND(BO33*MAX(1,N(D33)),3),""))))</f>
        <v/>
      </c>
      <c r="BR33">
        <f t="shared" si="14"/>
        <v>0.1</v>
      </c>
      <c r="BS33" s="6">
        <f>IF(B33="","",IF(BH33&lt;&gt;"",IFERROR(_xlfn.XLOOKUP(BH33,Щиты[Щит],Щиты[Руст, кВт]),0),N(BR33)))</f>
        <v>0.1</v>
      </c>
      <c r="BT33" t="str">
        <f>IF(B33="","",IFERROR(IF(VLOOKUP(BC33,Потребители_обозначение,8,FALSE)=0,"",VLOOKUP(BC33,Потребители_обозначение,8,FALSE)),""))</f>
        <v/>
      </c>
      <c r="BU33">
        <f t="shared" si="15"/>
        <v>230</v>
      </c>
      <c r="BV33">
        <f t="shared" si="16"/>
        <v>0</v>
      </c>
      <c r="BW33">
        <f>IF(B33="","",IF(BH33&lt;&gt;"",3,IFERROR(IF(N(VLOOKUP(BC33,Потребители_обозначение,9,FALSE))=0,1,VLOOKUP(BC33,Потребители_обозначение,9,FALSE)),1)))</f>
        <v>1</v>
      </c>
      <c r="BX33">
        <f t="shared" si="17"/>
        <v>1</v>
      </c>
      <c r="BY33" t="str">
        <f>IF(B33="","",_xlfn.LET(_xlpm.bc,IFERROR(IF(VLOOKUP(BC33,Потребители_обозначение,6,FALSE)=0,"",VLOOKUP(BC33,Потребители_обозначение,6,FALSE)&amp;""),""),IF(AND(GA33="да",OR(_xlpm.bc="",_xlpm.bc="мс")),Марка_пож,IF(AND(_xlpm.bc="",BH33&lt;&gt;""),"мс",_xlpm.bc))))</f>
        <v/>
      </c>
      <c r="BZ33" t="str">
        <f t="shared" si="18"/>
        <v>мс</v>
      </c>
      <c r="CA33">
        <f>IF(B33="","",_xlfn.LET(_xlpm.cc,IFERROR(N(VLOOKUP(BC33,Потребители_обозначение,7,FALSE)),0),IF(_xlpm.cc&gt;0,_xlpm.cc,IF(BZ33="","",IF(BV33=1,2,IF(N(BX33)=3,5,3))))))</f>
        <v>3</v>
      </c>
      <c r="CB33">
        <f t="shared" si="19"/>
        <v>3</v>
      </c>
      <c r="CC33">
        <f>IFERROR(N(VLOOKUP(BC33,Потребители_обозначение,10,FALSE)),0)</f>
        <v>0</v>
      </c>
      <c r="CD33">
        <f>IFERROR(VLOOKUP(BC33,Потребители_обозначение,5,FALSE),0)</f>
        <v>3</v>
      </c>
      <c r="CE33" s="6" cm="1">
        <f t="array" ref="CE33">IF(B33="","",IF(BH33&lt;&gt;"",IFERROR(_xlfn.XLOOKUP(BH33,Щиты[Щит],Щиты[cos φ]),0.95),IF(BP33=1,IFERROR(_xlfn.XLOOKUP(A33,Щиты[Щит],Щиты[cos φ]),0.95),IF(ISNUMBER(AD33),AD33,IFERROR(IF(CD33=2,_xlfn.IFS(BX33=3,VLOOKUP(BS33,Справочная_двигатели,8,FALSE),BX33=1,VLOOKUP(BS33,Справочная_двигатели,10,TRUE)),IF(AND(Методика="нормы 2026",FG33="Сил"),0.8,0.95)),0.95)))))</f>
        <v>0.95</v>
      </c>
      <c r="CF33">
        <f t="shared" si="20"/>
        <v>0</v>
      </c>
      <c r="CG33">
        <f t="shared" si="21"/>
        <v>1</v>
      </c>
      <c r="CH33">
        <f t="shared" si="22"/>
        <v>0</v>
      </c>
      <c r="CI33">
        <f>IF(B33="","",IF(BV33=1,IFERROR(BS33/((Uн_лин/SQRT(3))*MAX(0.5,N(CE33))),0),N(O33)))</f>
        <v>0.455802844097073</v>
      </c>
      <c r="CJ33">
        <f t="shared" si="23"/>
        <v>0</v>
      </c>
      <c r="CK33">
        <f t="shared" si="24"/>
        <v>0</v>
      </c>
      <c r="CL33">
        <f t="shared" si="25"/>
        <v>0</v>
      </c>
      <c r="CM33">
        <f t="shared" si="26"/>
        <v>0</v>
      </c>
      <c r="CN33">
        <f t="shared" si="27"/>
        <v>0</v>
      </c>
      <c r="CO33">
        <f>IF(BC33="",0,_xlfn.LET(_xlpm.v,IFERROR(_xlfn.XLOOKUP(B33,Коды_код,Коды_мА),IFERROR(_xlfn.XLOOKUP(BC33,Коды_код,Коды_мА),IFERROR(_xlfn.XLOOKUP(LEFT(BC33,2),Коды_код,Коды_мА),""))),IF(_xlpm.v="да",30,IF(ISNUMBER(_xlpm.v),_xlpm.v,0))))</f>
        <v>0</v>
      </c>
      <c r="CP33" t="str">
        <f t="shared" si="28"/>
        <v/>
      </c>
      <c r="CQ33" t="str">
        <f>_xlfn.LET(_xlpm.k,IFERROR(_xlfn.XLOOKUP(BC33,Коды_код,Коды_утечка)&amp;"",""),IF(_xlpm.k="","дифавтомат",_xlpm.k))</f>
        <v>дифавтомат</v>
      </c>
      <c r="CR33" t="str" cm="1">
        <f t="array" ref="CR33">IF(CG33=0,"",_xlfn.LET(_xlpm.sg,TRIM(_xlfn.TEXTSPLIT(DD33&amp;"",";")),_xlpm.f_,_xlfn._xlws.FILTER(_xlpm.sg,LEFT(_xlpm.sg,3)="УЗО",""),IFERROR(INDEX(_xlpm.f_,1)&amp;"","")))</f>
        <v/>
      </c>
      <c r="CS33" t="str">
        <f t="shared" si="29"/>
        <v/>
      </c>
      <c r="CT33" s="6" t="str" cm="1">
        <f t="array" ref="CT33">IF(CR33="","",_xlfn.LET(_xlpm.tk,_xlfn.TEXTSPLIT(UPPER(CR33)," ",,TRUE),_xlpm.a_,_xlfn._xlws.FILTER(_xlpm.tk,ISNUMBER(--LEFT(_xlpm.tk,1))*((ISNUMBER(SEARCH("А",_xlpm.tk))+ISNUMBER(SEARCH("A",_xlpm.tk)))&gt;0)*NOT(ISNUMBER(SEARCH("МА",_xlpm.tk)))*NOT(ISNUMBER(SEARCH("MA",_xlpm.tk))),""),IFERROR(--SUBSTITUTE(SUBSTITUTE(INDEX(_xlpm.a_,1),"А",""),"A",""),"")))</f>
        <v/>
      </c>
      <c r="CU33" t="str" cm="1">
        <f t="array" ref="CU33">IF(CR33="","",_xlfn.LET(_xlpm.tk,_xlfn.TEXTSPLIT(UPPER(CR33)," ",,TRUE),_xlpm.a_,_xlfn._xlws.FILTER(_xlpm.tk,ISNUMBER(--LEFT(_xlpm.tk,1))*((ISNUMBER(SEARCH("МА",_xlpm.tk))+ISNUMBER(SEARCH("MA",_xlpm.tk)))&gt;0),""),IFERROR(--SUBSTITUTE(SUBSTITUTE(INDEX(_xlpm.a_,1),"МА",""),"MA",""),30)))</f>
        <v/>
      </c>
      <c r="CV33" t="str">
        <f>IF(CS33="","",IFERROR(_xlfn.XLOOKUP(CS33,Линии[_n],Линии[_УЗО, мА]),30))</f>
        <v/>
      </c>
      <c r="CW33">
        <f>IF(CS33="",0,IF(ISNUMBER(SEARCH("4P",IFERROR(_xlfn.XLOOKUP(CS33,Линии[_n],Линии[_УЗО строки])&amp;"",""))),0,1))</f>
        <v>0</v>
      </c>
      <c r="CX33" t="str">
        <f>IF(AND(CS33&lt;&gt;"",CS33=BA33),SUMIFS(Линии[_ток на 230 В],Линии[_блок УЗО],BA33,Линии[Щит],A33),"")</f>
        <v/>
      </c>
      <c r="CY33" t="str">
        <f>IF(AND(CS33&lt;&gt;"",CS33=BA33),SUMIFS(Линии[_ток утечки линии, мА],Линии[_блок УЗО],BA33,Линии[Щит],A33),"")</f>
        <v/>
      </c>
      <c r="CZ33">
        <f t="shared" si="30"/>
        <v>0</v>
      </c>
      <c r="DA33">
        <f t="shared" si="31"/>
        <v>0</v>
      </c>
      <c r="DB33">
        <f>IF(B33="",0,IFERROR(--_xlfn.XLOOKUP(B33,Коды_код,Коды_минавт),IFERROR(--_xlfn.XLOOKUP(BC33,Коды_код,Коды_минавт),IFERROR(--_xlfn.XLOOKUP(LEFT(BC33,2),Коды_код,Коды_минавт),0))))</f>
        <v>10</v>
      </c>
      <c r="DC33" t="str">
        <f>IF(B33="","",IFERROR(_xlfn.XLOOKUP(BC33,Коды_код,Коды_апп)&amp;"",""))</f>
        <v/>
      </c>
      <c r="DD33" t="str">
        <f t="shared" si="32"/>
        <v/>
      </c>
      <c r="DE33" t="str" cm="1">
        <f t="array" ref="DE33">IF(TRIM(DD33&amp;"")="","",IFERROR(TRIM(INDEX(_xlfn.TEXTSPLIT(DD33&amp;";;;",";"),1)),""))</f>
        <v/>
      </c>
      <c r="DF33" t="str" cm="1">
        <f t="array" ref="DF33">IF(TRIM(DD33&amp;"")="","",IFERROR(TRIM(INDEX(_xlfn.TEXTSPLIT(DD33&amp;";;;",";"),2)),""))</f>
        <v/>
      </c>
      <c r="DG33" t="str" cm="1">
        <f t="array" ref="DG33">IF(TRIM(DD33&amp;"")="","",IFERROR(TRIM(INDEX(_xlfn.TEXTSPLIT(DD33&amp;";;;",";"),3)),""))</f>
        <v/>
      </c>
      <c r="DH33">
        <f t="shared" si="33"/>
        <v>0</v>
      </c>
      <c r="DI33" t="str">
        <f>IF(B33="","",_xlfn.LET(_xlpm.t,LOWER(AZ33&amp;""),IF(ISNUMBER(SEARCH("dim",_xlpm.t)),"DIM",IF(ISNUMBER(SEARCH("dali",_xlpm.t)),"DALI",IF(OR(ISNUMBER(SEARCH("relay",_xlpm.t)),ISNUMBER(SEARCH("реле",_xlpm.t))),"Relay",IF(ISNUMBER(SEARCH("кнопк",_xlpm.t)),"",IFERROR(_xlfn.XLOOKUP(BC33,Коды_код,Коды_упр)&amp;"","")))))))</f>
        <v/>
      </c>
      <c r="DJ33" t="str">
        <f t="shared" si="34"/>
        <v/>
      </c>
      <c r="DK33">
        <f>IF(B33="","",_xlfn.LET(_xlpm.ig,IF(N(CX33)&gt;0,N(CX33),N(CI33)+IF(AJ33="вручную",0,N(CJ33))),_xlpm.n0,IFERROR(VLOOKUP(_xlpm.ig,Автомат_номиналы,2,TRUE),0),_xlpm.mn,MAX(DB33,IF(AJ33="вручную",0,N(CM33))),MAX(_xlpm.n0,_xlpm.mn,IF(DH33=1,Мин_автомат_БП,0))))</f>
        <v>10</v>
      </c>
      <c r="DL33">
        <f t="shared" si="35"/>
        <v>1</v>
      </c>
      <c r="DM33" t="str">
        <f t="shared" si="36"/>
        <v>1P</v>
      </c>
      <c r="DN33" t="str">
        <f>_xlfn.LET(_xlpm.cc,UPPER(TRIM(IFERROR(_xlfn.XLOOKUP(BC33,Коды_код,Коды_хар)&amp;"",""))),IF(OR(_xlpm.cc="B",_xlpm.cc="В"),"B",IF(_xlpm.cc="D","D","С")))</f>
        <v>С</v>
      </c>
      <c r="DO33" t="str">
        <f t="shared" si="37"/>
        <v>1P С10А</v>
      </c>
      <c r="DP33" t="str">
        <f t="shared" si="38"/>
        <v>1P С10А</v>
      </c>
      <c r="DQ33" t="str">
        <f t="shared" si="39"/>
        <v>1P С10А</v>
      </c>
      <c r="DR33" cm="1">
        <f t="array" ref="DR33">IF(DQ33="","",_xlfn.LET(_xlpm.t,SUBSTITUTE(SUBSTITUTE(SUBSTITUTE(UPPER(DQ33),"С","C"),"А","A"),"В","B"),_xlpm.tk,_xlfn.TEXTSPLIT(_xlpm.t," "),_xlpm.f,_xlfn._xlws.FILTER(_xlpm.tk,ISNUMBER(--MID(_xlpm.tk,2,1))*ISNUMBER(SEARCH(LEFT(_xlpm.tk,1)&amp;"#","B#C#D#"))*(LEN(_xlpm.tk)&gt;1),""),_xlpm.x,INDEX(_xlpm.f,1),IFERROR(--SUBSTITUTE(MID(_xlpm.x,2,9),"A",""),IFERROR(--SUBSTITUTE(INDEX(_xlfn._xlws.FILTER(_xlpm.tk,ISNUMBER(--SUBSTITUTE(_xlpm.tk,"A","")),""),1),"A",""),""))))</f>
        <v>10</v>
      </c>
      <c r="DS33" t="str">
        <f t="shared" si="40"/>
        <v>ok</v>
      </c>
      <c r="DT33">
        <f t="shared" si="41"/>
        <v>10</v>
      </c>
      <c r="DU33" t="str">
        <f t="shared" si="42"/>
        <v>1P С10А</v>
      </c>
      <c r="DV33">
        <f t="shared" si="43"/>
        <v>0</v>
      </c>
      <c r="DW33">
        <f t="shared" si="44"/>
        <v>0</v>
      </c>
      <c r="DX33">
        <f t="shared" si="45"/>
        <v>0</v>
      </c>
      <c r="DY33">
        <f t="shared" si="46"/>
        <v>0.455802844097073</v>
      </c>
      <c r="DZ33">
        <f t="shared" si="47"/>
        <v>1</v>
      </c>
      <c r="EA33">
        <f>IF(ISNUMBER(AP33),AP33,К_прокл)</f>
        <v>1</v>
      </c>
      <c r="EB33">
        <f t="shared" si="48"/>
        <v>2</v>
      </c>
      <c r="EC33">
        <f>IFERROR(N(VLOOKUP(BZ33,Кабель_обозначение,3,FALSE)),1)</f>
        <v>1</v>
      </c>
      <c r="ED33">
        <f>IFERROR(N(_xlfn.XLOOKUP(A33,Щиты[Щит],Щиты[ΔU до шин, %])),0)</f>
        <v>0.17</v>
      </c>
      <c r="EE33" t="str">
        <f>IFERROR(_xlfn.XLOOKUP(A33,Щиты[Щит],Щиты[Zпетли на шинах, Ом]),"")</f>
        <v/>
      </c>
      <c r="EF33">
        <f>IFERROR(N(_xlfn.XLOOKUP(A33,Щиты[Щит],Щиты[ΔU до шин (подбор), %])),0)</f>
        <v>0.65</v>
      </c>
      <c r="EG33" t="str">
        <f>IFERROR(_xlfn.XLOOKUP(A33,Щиты[Щит],Щиты[Zпетли на шинах (подбор), Ом]),"")</f>
        <v/>
      </c>
      <c r="EH33" t="str">
        <f t="shared" si="49"/>
        <v/>
      </c>
      <c r="EI33">
        <f t="shared" si="50"/>
        <v>116</v>
      </c>
      <c r="EJ33">
        <f t="shared" si="51"/>
        <v>2</v>
      </c>
      <c r="EK33">
        <f t="shared" si="52"/>
        <v>0.31</v>
      </c>
      <c r="EL33" s="6">
        <f>IF(B33="","",IF(BV33=1,dU_LED,IF(IFERROR(_xlfn.XLOOKUP(BC33,Коды_код,Коды_уго),"")="Светильник",3,4)+IF(Методика="нормы 2026",MIN(0.5,MAX(0,N(P33)-100)*0.005),0)))</f>
        <v>3.3149999999999999</v>
      </c>
      <c r="EM33" cm="1">
        <f t="array" ref="EM33">IF(OR(B33="",BZ33="",EC33&lt;&gt;1),"",_xlfn.LET(_xlpm.sz,Iдоп_S,_xlpm.t_,CHOOSE(EB33,Iдоп_1ж,Iдоп_2ж,Iдоп_3ж)*DZ33*EA33,_xlpm.dcx,BV33=1,_xlpm.inn,IF(_xlpm.dcx,N(O33),N(DT33)),_xlpm.smin,MAX(1.5,CC33),_xlpm.L_,N(P33)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33)/N(BU33)*100,999),IFERROR(N(EJ33)*(_xlpm.rho*_xlpm.L_/_xlpm.sz*N(CE33)+_xlpm.xx*_xlpm.L_*N(EK33)/1000)*N(O33)/((Uн_лин/SQRT(3))*1000)*100,999)),_xlpm.kz,IF(OR(_xlpm.dcx,DW33=1,NOT(ISNUMBER(EG33)),_xlpm.L_=0,_xlpm.inn=0),1,IFERROR(--(c_min*(Uн_лин*1000/SQRT(3))/(EG33+2*ρкз_Cu*_xlpm.L_/_xlpm.sz)&gt;=HT33*_xlpm.inn),0)),_xlpm.ok,IFERROR((_xlpm.sz&gt;=_xlpm.smin)*(_xlpm.t_&gt;=_xlpm.inn)*IF(_xlpm.L_&gt;0,(_xlpm.du_+IF(_xlpm.dcx,0,EF33)&lt;=EL33+0.00001),1)*_xlpm.kz,0),_xlpm.r_,_xlfn._xlws.FILTER(_xlpm.sz,_xlpm.ok,"не подобрано"),INDEX(_xlpm.r_,1)))</f>
        <v>1.5</v>
      </c>
      <c r="EN33">
        <f t="shared" si="53"/>
        <v>1.5</v>
      </c>
      <c r="EO33" cm="1">
        <f t="array" ref="EO33">IF(OR(B33="",BZ33="",EC33&lt;&gt;1),"",_xlfn.LET(_xlpm.sz,Iдоп_S,_xlpm.t_,CHOOSE(EB33,Iдоп_1ж,Iдоп_2ж,Iдоп_3ж)*DZ33*EA33,_xlpm.ok,IFERROR((_xlpm.sz&gt;=MAX(1.5,CC33))*(_xlpm.t_&gt;=N(DT33)),0),_xlpm.r_,_xlfn._xlws.FILTER(_xlpm.sz,_xlpm.ok,""),INDEX(_xlpm.r_,1)))</f>
        <v>1.5</v>
      </c>
      <c r="EP33" s="6" cm="1">
        <f t="array" ref="EP33">IFERROR(ROUNDUP(N(EJ33)*(_xlfn.XLOOKUP(EO33,INDEX(Кабель_сопротивление,0,1),INDEX(Кабель_сопротивление,0,3))*N(P33)/EO33*N(CE33)+_xlfn.XLOOKUP(EO33,INDEX(Кабель_сопротивление,0,1),INDEX(Кабель_сопротивление,0,2))*N(P33)*N(EK33)/1000)*N(O33)/((Uн_лин/SQRT(3))*1000)*100,2),"")</f>
        <v>0.92</v>
      </c>
      <c r="EQ33">
        <f>IFERROR(2*ρкз_Cu*N(P33)/EO33,"")</f>
        <v>5.7158666666666669</v>
      </c>
      <c r="ER33">
        <f>IFERROR(VLOOKUP(EN33,Кабель_сопротивление,3,FALSE),"")</f>
        <v>2.2499999999999999E-2</v>
      </c>
      <c r="ES33">
        <f>IFERROR(VLOOKUP(EN33,Кабель_сопротивление,2,FALSE),"")</f>
        <v>0.11</v>
      </c>
      <c r="ET33">
        <f t="shared" si="54"/>
        <v>0</v>
      </c>
      <c r="EU33">
        <f t="shared" si="55"/>
        <v>143</v>
      </c>
      <c r="EV33">
        <f t="shared" si="56"/>
        <v>2.1224990901496419</v>
      </c>
      <c r="EW33" s="6">
        <f>IFERROR(ROUNDUP(EV33/IF(BV33=1,BU33,(Uн_лин/SQRT(3))*1000)*100,2),"")</f>
        <v>0.92</v>
      </c>
      <c r="EX33" t="str">
        <f>IFERROR(VLOOKUP(BZ33,Кабель_обозначение,2,FALSE),"")</f>
        <v>ВВГнг(А)-LS</v>
      </c>
      <c r="EY33" t="str">
        <f t="shared" si="57"/>
        <v>ВВГнг(А)-LS (3х1,5)</v>
      </c>
      <c r="EZ33" t="str">
        <f t="shared" si="58"/>
        <v>ВВГнг(А)-LS (3х1,5)
L=163-0,92%</v>
      </c>
      <c r="FA33">
        <f>IFERROR(2*ρкз_Cu*P33/EN33,"")</f>
        <v>5.7158666666666669</v>
      </c>
      <c r="FB33">
        <f t="shared" si="59"/>
        <v>1.9016666666666671</v>
      </c>
      <c r="FC33" s="6" t="str">
        <f>IFERROR(IF(OR(B33="",BV33=1,NOT(ISNUMBER(EN33)),N(P33)=0),"",_xlfn.XLOOKUP(A33,Щиты[Щит],Щиты[Zпетли на шинах, Ом])+FA33),"")</f>
        <v/>
      </c>
      <c r="FD33" s="6" t="str">
        <f>IF(ISNUMBER(FC33),c_min*(Uн_лин*1000/SQRT(3))/FC33,"")</f>
        <v/>
      </c>
      <c r="FE33" s="6" t="str">
        <f>IFERROR(IF(OR(B33="",NOT(ISNUMBER(EN33))),"",1.05*(Uн_лин*1000/SQRT(3))/(_xlfn.XLOOKUP(A33,Щиты[Щит],Щиты[Zmax на шинах, Ом])+FB33)/1000),"")</f>
        <v/>
      </c>
      <c r="FF33" s="6" t="str">
        <f>IF(B33="","",IF(ISNUMBER(AC33),"Сил",IF(IFERROR(_xlfn.XLOOKUP(BC33,Коды_код,Коды_группа)&amp;"","")="","Быт",_xlfn.XLOOKUP(BC33,Коды_код,Коды_группа)&amp;"")))</f>
        <v>Быт</v>
      </c>
      <c r="FG33" s="6" t="str">
        <f t="shared" si="60"/>
        <v>Быт</v>
      </c>
      <c r="FH33" s="6">
        <f>IF(FG33="Щит","щит",IF(FG33="","",IF(FG33="Быт",IFERROR(_xlfn.XLOOKUP(A33,Щиты[Щит],Щиты[Кс быт]),1),IF(FG33="Сил",IF(ISNUMBER(AC33),AC33,IF(Методика="нормы 2026",IFERROR(_xlfn.XLOOKUP(A33,Щиты[Щит],Щиты[Кс силовых (табл. 7.5)]),1),1)),IF(OR(FG33="Пост",FG33="Отоп"),1,IF(FG33="ВНГ",0.7,0))))))</f>
        <v>0.8</v>
      </c>
      <c r="FI33">
        <f>IF(FG33="","",IF(AND(BP33=1,TRIM(AE33&amp;"")=""),IF(COUNTIFS(Линии[Щит],A33,Линии[Секция (1/2/3)],"&gt;=2")&gt;0,MIN(3,MAX(1,IFERROR(--BD33,1))),1),IFERROR(MIN(3,MAX(1,INT(--AE33))),1)))</f>
        <v>1</v>
      </c>
      <c r="FJ33">
        <f t="shared" si="61"/>
        <v>0.1</v>
      </c>
      <c r="FK33">
        <f t="shared" si="62"/>
        <v>0.1</v>
      </c>
      <c r="FL33">
        <f t="shared" si="63"/>
        <v>0</v>
      </c>
      <c r="FM33">
        <f t="shared" si="64"/>
        <v>0</v>
      </c>
      <c r="FN33">
        <f t="shared" si="65"/>
        <v>0</v>
      </c>
      <c r="FO33">
        <f t="shared" si="66"/>
        <v>0</v>
      </c>
      <c r="FP33">
        <f t="shared" si="67"/>
        <v>0.1</v>
      </c>
      <c r="FQ33">
        <f t="shared" si="68"/>
        <v>0.1</v>
      </c>
      <c r="FR33">
        <f t="shared" si="69"/>
        <v>9.5000000000000001E-2</v>
      </c>
      <c r="FS33">
        <f>IF(CG33=1,IF(AND(CH33=1,CW33=1),0,IF(AND(CS33&lt;&gt;"",CS33=BA33,CW33=1),SUMIFS(Линии[_Р линии, кВт],Линии[_блок УЗО],BA33,Линии[Щит],A33),N(BS33)+IF(AJ33="вручную",0,N(CK33)))),0)</f>
        <v>0.1</v>
      </c>
      <c r="FT33" t="str">
        <f t="shared" si="70"/>
        <v/>
      </c>
      <c r="FU33" t="str">
        <f>IF(B33="","",IF(CG33=0,IF(BA33=1,"",FW32),IF(AND(CH33=1,CW33=1,CS33&lt;&gt;""),IFERROR(_xlfn.XLOOKUP(CS33,Линии[_n],Линии[_фаза итог]),"L1"),IF(OR(N(DL33)&gt;=3,N(BX33)&gt;=3),"L1,L2,L3",IFERROR(_xlfn.TEXTBEFORE(_xlfn.TEXTAFTER(_xlfn.XLOOKUP(A33,Щиты[Щит],Щиты[_фазы авто]),";"&amp;BA33&amp;":"),";"),"L1")))))</f>
        <v>L2</v>
      </c>
      <c r="FV33" t="str">
        <f t="shared" si="71"/>
        <v>L2</v>
      </c>
      <c r="FW33" t="str">
        <f t="shared" si="72"/>
        <v>L2</v>
      </c>
      <c r="FX33" cm="1">
        <f t="array" ref="FX33">IFERROR(IF(CD33=2,_xlfn.IFS(BX33=3,VLOOKUP(BS33,Справочная_двигатели,3,FALSE),BX33=1,VLOOKUP(BS33,Справочная_двигатели,5,TRUE)),0),0)</f>
        <v>0</v>
      </c>
      <c r="FY33">
        <f>IFERROR(IF(CD33=3,VLOOKUP(BS33,Справочная_ЛЭД,2,TRUE),0),0)</f>
        <v>50</v>
      </c>
      <c r="FZ33" s="6">
        <f t="shared" si="73"/>
        <v>50</v>
      </c>
      <c r="GA33" t="str">
        <f>IF(B33="","",IF(TRIM(AH33&amp;"")&lt;&gt;"",IF(LOWER(TRIM(AH33&amp;""))="да","да","нет"),IF(IFERROR(_xlfn.XLOOKUP(BC33,Коды_код,Коды_пожарная),"")="да","да","нет")))</f>
        <v>нет</v>
      </c>
      <c r="GB33" t="str">
        <f t="shared" si="74"/>
        <v/>
      </c>
      <c r="GC33" t="str">
        <f t="shared" si="75"/>
        <v>основная</v>
      </c>
      <c r="GD33">
        <f>IF(AND(BP33=1,TRIM(AE33&amp;"")=""),IF(COUNTIFS(Линии[Щит],A33,Линии[Секция (1/2/3)],"&gt;=2")&gt;0,MIN(3,MAX(1,IFERROR(--BD33,1))),1),IFERROR(MIN(3,MAX(1,INT(--AE33))),1))</f>
        <v>1</v>
      </c>
      <c r="GE33" t="str" cm="1">
        <f t="array" ref="GE33">IF(B33="","",_xlfn.LET(_xlpm.t,IFERROR(_xlfn.XLOOKUP(1,(Шины[Шина]=GC33)*(((Шины[Щит]=A33)+(Шины[Щит]=""))&gt;0),Шины[Тип]),"")&amp;"",IF(_xlpm.t&lt;&gt;"",_xlpm.t,IF(ISNUMBER(SEARCH("ИБП",GC33)),"ИБП",IF(ISNUMBER(SEARCH("ДГУ",GC33)),"ДГУ","Ввод "&amp;GD33)))))</f>
        <v>Ввод 1</v>
      </c>
      <c r="GF33" t="str">
        <f t="shared" si="76"/>
        <v>Ввод 1</v>
      </c>
      <c r="GG33" t="str">
        <f>IF(BP33=0,"",IF(TRIM(AG33&amp;"")&lt;&gt;"",TRIM(AG33&amp;""),IF(OR(GE33="ИБП",GE33="ДГУ"),"I особая",_xlfn.XLOOKUP(A33,Щиты[Щит],Щиты[Категория шины «Ввод»],"III"))))</f>
        <v/>
      </c>
      <c r="GH33" t="str">
        <f>IF(A33="","",_xlfn.XLOOKUP(A33,Щиты[Щит],Щиты[Путь],""))</f>
        <v>|ГРЩ-ЖД|ЩГП|ЩО-001|</v>
      </c>
      <c r="GI33" t="str">
        <f>IF(B33="","",IF(AI33&lt;&gt;"",AI33,IF(IFERROR(_xlfn.XLOOKUP(BC33,Коды_код,Коды_вид)&amp;"","")="","Прочее",_xlfn.XLOOKUP(BC33,Коды_код,Коды_вид)&amp;"")))</f>
        <v>Рабочее освещение</v>
      </c>
      <c r="GJ33" t="str">
        <f>IF(BM33="","",INT((BM33-1)/Столбцов_на_лист)+1)</f>
        <v/>
      </c>
      <c r="GK33" t="str">
        <f t="shared" si="77"/>
        <v>ВВГнг(А)-LS (3х1,5) L=163-0,92%</v>
      </c>
      <c r="GL33">
        <f t="shared" si="78"/>
        <v>0.1</v>
      </c>
      <c r="GM33">
        <f t="shared" si="79"/>
        <v>0.46</v>
      </c>
      <c r="GN33">
        <f t="shared" si="80"/>
        <v>1</v>
      </c>
      <c r="GO33">
        <f t="shared" si="81"/>
        <v>0</v>
      </c>
      <c r="GP33">
        <f t="shared" si="82"/>
        <v>0</v>
      </c>
      <c r="GQ33" t="str">
        <f>IF(BM33="","",IF(AND(CG33=1,GP33=1),COUNTIFS(A$3:A33,A33,CG$3:CG33,1,GP$3:GP33,1),IF(OR(OR(BA33=1,A33&lt;&gt;A32),AJ33="вручную",GP33=0),"",IF(BA33=1,"",GR32))))</f>
        <v/>
      </c>
      <c r="GR33" t="str">
        <f t="shared" si="83"/>
        <v/>
      </c>
      <c r="GS33">
        <f>IF(B33="","",IFERROR(LOOKUP(INDEX(CHOOSE(EB33,Iдоп_1ж,Iдоп_2ж,Iдоп_3ж),MATCH(EN33,Iдоп_S,0))*DZ33*EA33,{6,10,16,20,25,32,40,50,63,80,100,125,160,200,250,315,400,500,630}),""))</f>
        <v>16</v>
      </c>
      <c r="GT33" t="str">
        <f t="shared" si="84"/>
        <v/>
      </c>
      <c r="GU33" t="str">
        <f t="shared" si="85"/>
        <v/>
      </c>
      <c r="GV33" t="str">
        <f t="shared" si="86"/>
        <v/>
      </c>
      <c r="GW33">
        <f t="shared" si="87"/>
        <v>0</v>
      </c>
      <c r="GX33" t="str">
        <f>IF(OR(B33="",DJ33=""),"",IFERROR(_xlfn.XLOOKUP(DJ33,Модули_умолч[Управление],Модули_умолч[Модель])&amp;"",""))</f>
        <v/>
      </c>
      <c r="GY33">
        <f>IF(DJ33="",1,IFERROR(MAX(0,N(_xlfn.XLOOKUP(DJ33,Модули_умолч[Управление],Модули_умолч[Каналов на линию]))),1))</f>
        <v>1</v>
      </c>
      <c r="GZ33" t="str">
        <f t="shared" si="88"/>
        <v/>
      </c>
      <c r="HA33" t="str">
        <f t="shared" si="89"/>
        <v/>
      </c>
      <c r="HB33" t="str">
        <f t="shared" si="90"/>
        <v/>
      </c>
      <c r="HC33">
        <f>IF(HB33="",0,IFERROR(N(VLOOKUP(HB33,Модули_спр,3,FALSE)),0))</f>
        <v>0</v>
      </c>
      <c r="HD33" t="str">
        <f t="shared" si="91"/>
        <v/>
      </c>
      <c r="HE33" t="str">
        <f t="shared" si="92"/>
        <v/>
      </c>
      <c r="HF33" t="str">
        <f>IF(OR(HE33="",HE33="-"),"",IFERROR(VLOOKUP(HE33,Модули_спр,2,FALSE),"R"))</f>
        <v/>
      </c>
      <c r="HG33" t="str">
        <f>IF(HF33="","",HF33&amp;"."&amp;COUNTIFS(A$3:A33,A33,HF$3:HF33,HF33))</f>
        <v/>
      </c>
      <c r="HH33" t="str">
        <f t="shared" si="93"/>
        <v/>
      </c>
      <c r="HI33" t="str">
        <f t="shared" si="94"/>
        <v/>
      </c>
      <c r="HJ33" t="str">
        <f t="shared" si="95"/>
        <v/>
      </c>
      <c r="HK33" t="str">
        <f t="shared" si="96"/>
        <v/>
      </c>
      <c r="HL33">
        <f t="shared" si="97"/>
        <v>1</v>
      </c>
      <c r="HM33" t="str">
        <f>IF(HL33=1,"XT"&amp;COUNTIFS(A$3:A33,A33,HL$3:HL33,1),"")</f>
        <v>XT2</v>
      </c>
      <c r="HN33" t="str">
        <f t="shared" si="98"/>
        <v>XT2</v>
      </c>
      <c r="HO33" t="str">
        <f t="shared" si="99"/>
        <v/>
      </c>
      <c r="HP33" t="str">
        <f t="shared" si="100"/>
        <v/>
      </c>
      <c r="HQ33" t="str">
        <f t="shared" si="101"/>
        <v>ok</v>
      </c>
      <c r="HR33" t="str">
        <f>IF(OR(HJ33="",HH33=""),"",IF(HJ33+MAX(0,GY33-1)&gt;IFERROR(VLOOKUP(HI33,Модули_спр,3,FALSE),99),"ЛИШНИЙ КАНАЛ",IF(AND(AL33&lt;&gt;"=",GY33&gt;0,COUNTIFS(Линии[_модуль гр.],HH33,Линии[Канал (итог)],HJ33,Линии[Канал],"&lt;&gt;=",Линии[Щит],A33)&gt;1),"ДУБЛЬ КАНАЛА","")))</f>
        <v/>
      </c>
      <c r="HS33" s="6" t="str">
        <f t="shared" si="102"/>
        <v/>
      </c>
      <c r="HT33">
        <f t="shared" si="103"/>
        <v>10</v>
      </c>
      <c r="HU33" t="str">
        <f t="shared" si="104"/>
        <v/>
      </c>
      <c r="HV33">
        <f t="shared" si="105"/>
        <v>1.8123211376388293</v>
      </c>
      <c r="HW33">
        <f t="shared" si="106"/>
        <v>0</v>
      </c>
      <c r="HX33">
        <f t="shared" si="107"/>
        <v>0</v>
      </c>
      <c r="HY33">
        <f t="shared" si="108"/>
        <v>0</v>
      </c>
      <c r="HZ33">
        <f t="shared" si="109"/>
        <v>0</v>
      </c>
      <c r="IA33">
        <f t="shared" si="110"/>
        <v>0</v>
      </c>
      <c r="IB33">
        <f t="shared" si="111"/>
        <v>0</v>
      </c>
      <c r="IC33" t="str">
        <f t="shared" si="112"/>
        <v/>
      </c>
      <c r="ID33" t="str" cm="1">
        <f t="array" ref="ID33">IF(IC33="","",_xlfn.LET(_xlpm.tk,_xlfn.TEXTSPLIT(SUBSTITUTE(SUBSTITUTE(IC33,";"," "),"→"," ")," ",,TRUE),_xlpm.w_,_xlfn._xlws.FILTER(_xlpm.tk,ISNUMBER(--LEFT(_xlpm.tk,1))*((ISNUMBER(SEARCH("W",_xlpm.tk))+ISNUMBER(SEARCH("Вт",_xlpm.tk)))&gt;0),""),IFERROR(--SUBSTITUTE(SUBSTITUTE(UPPER(INDEX(_xlpm.w_,1)),"W",""),"ВТ",""),"")))</f>
        <v/>
      </c>
      <c r="IE33" t="str" cm="1">
        <f t="array" ref="IE33">IF(IC33="","",_xlfn.LET(_xlpm.tk,_xlfn.TEXTSPLIT(SUBSTITUTE(SUBSTITUTE(IC33,";"," "),"→"," ")," ",,TRUE),_xlpm.v_,_xlfn._xlws.FILTER(_xlpm.tk,ISNUMBER(--LEFT(_xlpm.tk,1))*((ISNUMBER(SEARCH("V",_xlpm.tk))+(RIGHT(UPPER(_xlpm.tk))="В"))&gt;0),""),IFERROR(--SUBSTITUTE(SUBSTITUTE(UPPER(INDEX(_xlpm.v_,1)),"V",""),"В",""),"")))</f>
        <v/>
      </c>
      <c r="IF33" s="6" t="str">
        <f>IF(OR(BV33=0,HI33="",HJ33=""),"",IFERROR(N(_xlfn.XLOOKUP(HI33,Каталог!$C$4:$C$500,Каталог!$Q$4:$Q$500)),""))</f>
        <v/>
      </c>
      <c r="IG33" s="6" t="str">
        <f>IF(N(IF33)=0,"",SUMIFS(Линии[Iр, А],Линии[Щит],A33,Линии[_модуль гр.],HH33,Линии[Канал (итог)],HJ33))</f>
        <v/>
      </c>
      <c r="IH33" t="str">
        <f>IF(AND(B33="",HO33=""),"",_xlfn.TEXTJOIN("; ",TRUE,IF(AND(B33&lt;&gt;"",FV33=""),"нет фазы",""),IF(AND(B33&lt;&gt;"",N(GL33)=0,FG33&lt;&gt;"Нет"),"нет мощности",""),IF(AND(HN33&lt;&gt;"",COUNTIFS(Линии[Щит],A33,Линии[Клемма (итог)],HN33)&gt;1),"дубль клеммы "&amp;HN33,""),IF(AND(HQ33&lt;&gt;"",HQ33&lt;&gt;"ok"),HQ33,""),IF(HR33&lt;&gt;"",HR33,""),IF(AND(N(CB33)&gt;=4,N(BX33)=1),CB33&amp;" жил на 1 фазе",""),IF(AND(BC33="R",CG33=1,IF(CS33&lt;&gt;"",N(CV33)&gt;30,OR(N(DA33)=0,N(DA33)&gt;30))),"розетка без дифзащиты до 30 мА",""),IF(AND(CG33=1,N(DA33)&gt;0,ISNUMBER(T33)),IF(T33&gt;N(DA33)/3,"ток утечки "&amp;FIXED(T33,1)&amp;" мА &gt; 1/3 уставки ("&amp;DA33&amp;" мА)",""),""),IF(AND(CH33=1,CS33=""),"«узо»: нет строки с УЗО выше (УЗО 2P 40А 30мА в «Аппаратах»)",""),IF(AND(CS33&lt;&gt;"",CS33=BA33),IF(CT33="","впишите номинал УЗО (УЗО 2P 40А 30мА)",IF(N(CT33)&lt;N(DT33),"УЗО "&amp;CT33&amp;" А &lt; автомата "&amp;DT33&amp;" А перед ним",IF(N(CT33)&lt;N(CX33),"УЗО "&amp;CT33&amp;" А &lt; тока блока "&amp;FIXED(CX33,1)&amp;" А",""))),""),IF(AND(CS33&lt;&gt;"",CS33=BA33,ISNUMBER(CY33)),IF(CY33&gt;N(CV33)/3,"ток утечки блока УЗО "&amp;FIXED(CY33,1)&amp;" мА &gt; 1/3 уставки ("&amp;CV33&amp;" мА)",""),""),IF(AND(CG33=1,N(BV33)+N(IB33)&gt;0,IC33=""),"линии до 50 В без БП: впишите в «Аппараты» (БП 24V 480W)",""),IF(AND(CG33=1,ISNUMBER(ID33),ISNUMBER(U33)),IF(U33&gt;ID33,"БП "&amp;ID33&amp;" Вт &lt; нужно "&amp;U33&amp;" Вт (×"&amp;Запас_БП&amp;")",""),""),IF(AND(CG33=1,ISNUMBER(IE33),N(BV33)=1),IF(IE33&lt;&gt;N(BU33),"БП на "&amp;IE33&amp;" В, линия "&amp;BU33&amp;" В",""),""),IF(AND(N(IF33)&gt;0,N(IG33)&gt;N(IF33)),HH33&amp;" канал "&amp;HJ33&amp;": "&amp;FIXED(IG33,1)&amp;" А &gt; "&amp;IF33&amp;" А",""),IFERROR(IF(AND(ISNUMBER(Q33),Q33&gt;EL33),"потери "&amp;FIXED(Q33,1)&amp;" % &gt; "&amp;EL33&amp;" %",""),""),IFERROR(IF(LEFT(HU33,4)="мало","Iкз мало — отключение &gt; 0,4 с",""),""),IF(AND(B33&lt;&gt;"",BM33=""),"не на схеме",""),IF(AND(CG33=0,B33&lt;&gt;"",FV33&lt;&gt;"",IF(BA33=1,"",FW32)&lt;&gt;"",FV33&lt;&gt;IF(BA33=1,"",FW32)),"фаза не как у автомата группы ("&amp;IF(BA33=1,"",FW32)&amp;")","")))</f>
        <v>не на схеме</v>
      </c>
      <c r="II33" s="6">
        <f>IF(OR(CG33=0,DQ33=""),"",_xlfn.LET(_xlpm.t,IFERROR(_xlfn.XLOOKUP(DQ33,Каталог!$U$4:$U$500,Каталог!$G$4:$G$500),""),_xlpm.k,SEARCH("кА",_xlpm.t),IFERROR(--TRIM(RIGHT(SUBSTITUTE(MID(_xlpm.t,MAX(1,_xlpm.k-4),_xlpm.k-MAX(1,_xlpm.k-4))," ",REPT(" ",9)),5)),"")))</f>
        <v>6</v>
      </c>
      <c r="IJ33" t="str">
        <f>IF(OR(II33="",CG33=0),"",IF(_xlfn.XLOOKUP(A33,Щиты[Щит],Щиты[Iкз max на шинах, кА],"")="","",IF(II33&lt;_xlfn.XLOOKUP(A33,Щиты[Щит],Щиты[Iкз max на шинах, кА]),"Icu "&amp;II33&amp;" кА &lt; Iкз max","ok")))</f>
        <v/>
      </c>
      <c r="IK33" t="str">
        <f t="shared" si="113"/>
        <v/>
      </c>
      <c r="IL33" t="str">
        <f t="shared" si="114"/>
        <v/>
      </c>
      <c r="IM33" t="str">
        <f t="shared" si="115"/>
        <v/>
      </c>
      <c r="IN33" t="str" cm="1">
        <f t="array" ref="IN33">IF(IM33="","",_xlfn.LET(_xlpm.nd,_xlfn.TEXTSPLIT(IM33,"|"),IF(COLUMNS(_xlpm.nd)&gt;1,A33&amp;"¦"&amp;INDEX(_xlpm.nd,1)&amp;"¦"&amp;INDEX(_xlpm.nd,2),"")))</f>
        <v/>
      </c>
      <c r="IO33" t="str">
        <f t="shared" si="116"/>
        <v/>
      </c>
      <c r="IP33" t="str" cm="1">
        <f t="array" ref="IP33">IF(IM33="","",_xlfn.LET(_xlpm.nd,_xlfn.TEXTSPLIT(IM33,"|"),IF(COLUMNS(_xlpm.nd)&gt;2,A33&amp;"¦"&amp;INDEX(_xlpm.nd,2)&amp;"¦"&amp;INDEX(_xlpm.nd,3),"")))</f>
        <v/>
      </c>
      <c r="IQ33" t="str">
        <f t="shared" si="117"/>
        <v/>
      </c>
      <c r="IR33" t="str" cm="1">
        <f t="array" ref="IR33">IF(IM33="","",_xlfn.LET(_xlpm.nd,_xlfn.TEXTSPLIT(IM33,"|"),IF(COLUMNS(_xlpm.nd)&gt;3,A33&amp;"¦"&amp;INDEX(_xlpm.nd,3)&amp;"¦"&amp;INDEX(_xlpm.nd,4),"")))</f>
        <v/>
      </c>
      <c r="IS33" t="str">
        <f t="shared" si="118"/>
        <v/>
      </c>
      <c r="IT33" t="str" cm="1">
        <f t="array" ref="IT33">IF(IM33="","",_xlfn.LET(_xlpm.nd,_xlfn.TEXTSPLIT(IM33,"|"),IF(COLUMNS(_xlpm.nd)&gt;4,A33&amp;"¦"&amp;INDEX(_xlpm.nd,4)&amp;"¦"&amp;INDEX(_xlpm.nd,5),"")))</f>
        <v/>
      </c>
      <c r="IU33" t="str">
        <f t="shared" si="119"/>
        <v/>
      </c>
      <c r="IV33" t="str" cm="1">
        <f t="array" ref="IV33">IF(IM33="","",_xlfn.LET(_xlpm.nd,_xlfn.TEXTSPLIT(IM33,"|"),IF(COLUMNS(_xlpm.nd)&gt;5,A33&amp;"¦"&amp;INDEX(_xlpm.nd,5)&amp;"¦"&amp;INDEX(_xlpm.nd,6),"")))</f>
        <v/>
      </c>
      <c r="IW33" t="str">
        <f t="shared" si="120"/>
        <v/>
      </c>
      <c r="IX33" t="str" cm="1">
        <f t="array" ref="IX33">IF(IM33="","",_xlfn.LET(_xlpm.nd,_xlfn.TEXTSPLIT(IM33,"|"),IF(COLUMNS(_xlpm.nd)&gt;6,A33&amp;"¦"&amp;INDEX(_xlpm.nd,6)&amp;"¦"&amp;INDEX(_xlpm.nd,7),"")))</f>
        <v/>
      </c>
      <c r="IY33" t="str">
        <f t="shared" si="121"/>
        <v/>
      </c>
      <c r="IZ33" t="str">
        <f t="shared" si="122"/>
        <v/>
      </c>
      <c r="JA33" t="str">
        <f t="shared" si="123"/>
        <v>XT2</v>
      </c>
      <c r="JB33">
        <f t="shared" si="124"/>
        <v>0</v>
      </c>
      <c r="JC33">
        <f t="shared" si="125"/>
        <v>0</v>
      </c>
      <c r="JD33" t="str">
        <f t="shared" si="126"/>
        <v/>
      </c>
      <c r="JE33" t="str">
        <f t="shared" si="127"/>
        <v/>
      </c>
      <c r="JF33" t="str">
        <f t="shared" si="128"/>
        <v/>
      </c>
      <c r="JG33" t="str">
        <f t="shared" si="129"/>
        <v/>
      </c>
      <c r="JH33" t="str">
        <f>IF(B33="","",IFERROR(_xlfn.XLOOKUP(B33,Коды_код,Коды_уго),IFERROR(_xlfn.XLOOKUP(BC33,Коды_код,Коды_уго),IFERROR(_xlfn.XLOOKUP(LEFT(BC33,2),Коды_код,Коды_уго),""))))</f>
        <v>Светильник</v>
      </c>
      <c r="JI33" t="str">
        <f>IF(B33="","",IF(OR(JH33="",JH33=0),"BOX",IFERROR(IF(VLOOKUP(JH33,УГО_блоки,3,FALSE)&amp;""&lt;&gt;"",VLOOKUP(JH33,УГО_блоки,3,FALSE),VLOOKUP(JH33,УГО_блоки,2,FALSE)),JH33)))</f>
        <v>LAMP</v>
      </c>
      <c r="JJ33">
        <f t="shared" si="130"/>
        <v>1</v>
      </c>
      <c r="JK33" t="str">
        <f>IF(DQ33="","",IF(COUNTIF(DQ$3:DQ33,DQ33)=1,MAX(JK$2:JK32)+1,""))</f>
        <v/>
      </c>
      <c r="JL33" t="str">
        <f>IF(DE33="","",IF(COUNTIF(DE$3:DE33,DE33)+COUNTIF(DF$2:DF32,DE33)+COUNTIF(DG$2:DG32,DE33)=1,MAX(JL$2:JN32)+1,""))</f>
        <v/>
      </c>
      <c r="JM33" t="str">
        <f>IF(DF33="","",IF(COUNTIF(DE$3:DE33,DF33)+COUNTIF(DF$3:DF33,DF33)+COUNTIF(DG$2:DG32,DF33)=1,MAX(JL$2:JN32,JL33)+1,""))</f>
        <v/>
      </c>
      <c r="JN33" t="str">
        <f>IF(DG33="","",IF(COUNTIF(DE$3:DE33,DG33)+COUNTIF(DF$3:DF33,DG33)+COUNTIF(DG$3:DG33,DG33)=1,MAX(JL$2:JN32,JL33,JM33)+1,""))</f>
        <v/>
      </c>
      <c r="JO33" t="str">
        <f t="shared" si="131"/>
        <v>3х1,5</v>
      </c>
      <c r="JP33" t="str">
        <f>IF(JO33="","",IF(COUNTIF(JO$3:JO33,JO33)=1,MAX(JP$2:JP32)+1,""))</f>
        <v/>
      </c>
      <c r="JQ33" t="str">
        <f>IF(HG33="","",COUNTIF(HG$3:HG33,"?*"))</f>
        <v/>
      </c>
      <c r="JR33" t="str">
        <f>IF(OR(HG33="",HI33=""),"",IF(COUNTIFS(HG$3:HG33,"?*",HI$3:HI33,HI33)=1,MAX(JR$2:JR32)+1,""))</f>
        <v/>
      </c>
      <c r="JS33">
        <f t="shared" si="132"/>
        <v>1</v>
      </c>
      <c r="JT33">
        <f>IF(B33="","",COUNTIF(B$3:B33,"?*"))</f>
        <v>31</v>
      </c>
      <c r="JU33">
        <f>IF(HL33&lt;&gt;1,0,_xlfn.LET(_xlpm.k,MAX(IFERROR(--_xlfn.XLOOKUP(B33,Коды_код,Коды_3L),0),IFERROR(--_xlfn.XLOOKUP(BC33,Коды_код,Коды_3L),0),IFERROR(--_xlfn.XLOOKUP(LEFT(BC33,2),Коды_код,Коды_3L),0)),IF(_xlpm.k&gt;0,_xlpm.k,IF(IFERROR(--LEFT(SUBSTITUTE(JO33,"x","х"),FIND("х",SUBSTITUTE(JO33,"x","х"))-1),3)&gt;3,Каталог!$S$9,1))))</f>
        <v>1</v>
      </c>
      <c r="JV33">
        <f t="shared" si="133"/>
        <v>0</v>
      </c>
      <c r="JW33" t="str">
        <f t="shared" si="134"/>
        <v>авто</v>
      </c>
      <c r="JX33" t="str">
        <f t="shared" si="135"/>
        <v/>
      </c>
      <c r="JY33">
        <f t="shared" si="136"/>
        <v>0</v>
      </c>
      <c r="JZ33">
        <f t="shared" si="137"/>
        <v>1</v>
      </c>
    </row>
    <row r="34" spans="1:286" x14ac:dyDescent="0.3">
      <c r="A34" t="s">
        <v>1109</v>
      </c>
      <c r="B34" t="s">
        <v>1348</v>
      </c>
      <c r="C34" t="str">
        <f>Линии[[#This Row],[_авто наименование]]</f>
        <v>Осветительная группа, пом. 001Б</v>
      </c>
      <c r="D34">
        <v>14</v>
      </c>
      <c r="E34">
        <v>0.1</v>
      </c>
      <c r="G34" t="str">
        <f>Линии[[#This Row],[_авто автомат]]</f>
        <v>1P С10А</v>
      </c>
      <c r="H34" t="str">
        <f>Линии[[#This Row],[_авто управление]]</f>
        <v/>
      </c>
      <c r="I34" t="str">
        <f>Линии[[#This Row],[_авто аппараты]]</f>
        <v/>
      </c>
      <c r="J34">
        <v>1.5</v>
      </c>
      <c r="K34">
        <v>99</v>
      </c>
      <c r="L34" t="str">
        <f>Линии[[#This Row],[_авто фаза]]</f>
        <v>L3</v>
      </c>
      <c r="M34" t="str">
        <f>Линии[[#This Row],[_авто клемма]]</f>
        <v>XT3</v>
      </c>
      <c r="N34" t="str">
        <f t="shared" si="0"/>
        <v>не на схеме</v>
      </c>
      <c r="O34" s="6" cm="1">
        <f t="array" ref="O34">IF(B34="","",IF(BH34&lt;&gt;"",IFERROR(_xlfn.XLOOKUP(BH34,Щиты[Щит],Щиты[Iр, А]),""),IF(BP34=1,IF(OR(N(_xlfn.XLOOKUP(A34,Щиты[Щит],Щиты[Вводов],1))&lt;=1,LOWER(TRIM(_xlfn.XLOOKUP(A34,Щиты[Щит],Щиты[АВР],"")&amp;""))="да"),IFERROR(_xlfn.XLOOKUP(A34,Щиты[Щит],Щиты[Iр, А]),""),IFERROR(N(BS34)*_xlfn.XLOOKUP(A34,Щиты[Щит],Щиты[Кс итог])/(SQRT(3)*Uн_лин*_xlfn.XLOOKUP(A34,Щиты[Щит],Щиты[cos φ])),"")),IF(BV34=1,IFERROR(BS34*1000/BU34,""),IFERROR(_xlfn.IFS(BX34=1,BS34/((Uн_лин/SQRT(3))*CE34),BX34=3,BS34/(SQRT(3)*Uн_лин*CE34)),"")))))</f>
        <v>0.455802844097073</v>
      </c>
      <c r="P34" s="7">
        <f>IF(B34="","",IFERROR(IF(VLOOKUP(BC34,Потребители_обозначение,4,FALSE)=1,VLOOKUP(BC34,Потребители_обозначение,3,FALSE)*(MAX(1,N(D34))*2-1)+EI34+VLOOKUP(BE34,Этаж_обозначение,3,FALSE)+VLOOKUP(BE34,Этаж_обозначение,4,FALSE),VLOOKUP(BC34,Потребители_обозначение,3,FALSE)*(MAX(1,N(D34))*2-1)+EI34),EI34))</f>
        <v>126</v>
      </c>
      <c r="Q34" s="6">
        <f t="shared" si="1"/>
        <v>0.89</v>
      </c>
      <c r="R34" t="str">
        <f t="shared" si="2"/>
        <v>ВВГнг(А)-LS (3х1,5)</v>
      </c>
      <c r="S34" t="str">
        <f>IF(BM34="","",IF(BN34="вводной узел","узел ","")&amp;"л."&amp;(INT((BM34-1)/Столбцов_на_лист)+1)&amp;" / "&amp;(MOD(BM34-1,Столбцов_на_лист)+1))</f>
        <v/>
      </c>
      <c r="T34" s="119">
        <f t="shared" si="3"/>
        <v>1.4</v>
      </c>
      <c r="U34" s="7" t="str">
        <f>IF(OR(CG34=0,N(BV34)+N(IB34)=0),"",ROUNDUP(Запас_БП*(N(HY34)+N(HZ34)),0))</f>
        <v/>
      </c>
      <c r="V34" s="119" t="str">
        <f t="shared" si="4"/>
        <v/>
      </c>
      <c r="W34" s="7" t="str">
        <f>IFERROR(IF(OR(B34="",BP34=1,BV34=1,NOT(ISNUMBER(EN34)),N(DT34)=0),"",MAX(0,ROUNDDOWN((c_min*(Uн_лин*1000/SQRT(3))/(HT34*N(DT34))-_xlfn.XLOOKUP(A34,Щиты[Щит],Щиты[Zпетли на шинах, Ом]))*EN34/(2*ρкз_Cu),0))),"")</f>
        <v/>
      </c>
      <c r="Y34" t="str">
        <f>Линии[[#This Row],[_авто утечка]]</f>
        <v/>
      </c>
      <c r="Z34">
        <v>1</v>
      </c>
      <c r="AA34">
        <v>230</v>
      </c>
      <c r="AB34" t="s">
        <v>562</v>
      </c>
      <c r="AI34" t="s">
        <v>555</v>
      </c>
      <c r="AK34" t="str">
        <f>Линии[[#This Row],[_авто модуль]]</f>
        <v/>
      </c>
      <c r="AM34" t="s">
        <v>527</v>
      </c>
      <c r="AN34" t="s">
        <v>11</v>
      </c>
      <c r="AO34">
        <v>3</v>
      </c>
      <c r="AQ34">
        <v>33</v>
      </c>
      <c r="AR34">
        <v>0</v>
      </c>
      <c r="AS34">
        <v>118</v>
      </c>
      <c r="BA34" cm="1">
        <f t="array" ref="BA34">ROW()-ROW(Линии[#Headers])</f>
        <v>32</v>
      </c>
      <c r="BC34" s="6" t="str">
        <f t="shared" si="5"/>
        <v>L</v>
      </c>
      <c r="BD34" t="str">
        <f t="shared" si="6"/>
        <v>00.001Б.3</v>
      </c>
      <c r="BE34" t="str">
        <f t="shared" si="7"/>
        <v>00</v>
      </c>
      <c r="BF34" t="str">
        <f t="shared" si="8"/>
        <v>001Б.3</v>
      </c>
      <c r="BG34" t="str">
        <f t="shared" si="9"/>
        <v>001Б</v>
      </c>
      <c r="BH34" t="str">
        <f>IF(X34&lt;&gt;"",X34,IF(AND(B34&lt;&gt;"",B34&lt;&gt;A34,ISNUMBER(_xlfn.XMATCH(B34,Щиты[Щит]))),B34,""))</f>
        <v/>
      </c>
      <c r="BI34" t="str" cm="1">
        <f t="array" ref="BI34">IF(B34="","",IF(BH34&lt;&gt;"","Щит "&amp;BH34,_xlfn.LET(_xlpm.nm,IFERROR(_xlfn.XLOOKUP(BC34,Коды_код,Коды_имя)&amp;"",""),_xlpm.md,IFERROR(N(_xlfn.XLOOKUP(BC34,Коды_код,Коды_режим)),1),_xlpm.ex,IF(Имя_режим="по экспликации",IFERROR(_xlfn.XLOOKUP(BE34&amp;"|"&amp;BG34,Экспликация[Этаж]&amp;"|"&amp;Экспликация[Помещение],Экспликация[Название])&amp;"",""),""),_xlpm.rm,IF(BG34="","",IF(_xlpm.ex&lt;&gt;"",". "&amp;_xlpm.ex&amp;IF(Имя_пом="нет"," ("&amp;BG34&amp;")"," (пом. "&amp;BG34&amp;")"),IF(Имя_пом="нет"," ",", пом. ")&amp;BG34)),IF(_xlpm.nm="","",IF(_xlpm.md=2,_xlpm.nm&amp;" шлейф "&amp;BE34,_xlpm.nm&amp;_xlpm.rm)))))</f>
        <v>Осветительная группа, пом. 001Б</v>
      </c>
      <c r="BJ34" t="str">
        <f t="shared" si="10"/>
        <v>Осветительная группа, пом. 001Б</v>
      </c>
      <c r="BK34">
        <f>IFERROR(_xlfn.XMATCH(A34,Щиты[Щит]),0)</f>
        <v>3</v>
      </c>
      <c r="BL34">
        <f>_xlfn.LET(_xlpm.k,IFERROR(_xlfn.XLOOKUP(A34,Щиты[Щит],Щиты[Мест под вводной узел]),""),IF(_xlpm.k="",Столбцов_на_лист,N(_xlpm.k)))</f>
        <v>17</v>
      </c>
      <c r="BM34" t="str">
        <f t="shared" si="11"/>
        <v/>
      </c>
      <c r="BN34" t="str">
        <f t="shared" si="12"/>
        <v/>
      </c>
      <c r="BO34" s="6">
        <f>IFERROR(N(_xlfn.XLOOKUP(BC34,Коды_код,Коды_квт)),0)</f>
        <v>0</v>
      </c>
      <c r="BP34">
        <f t="shared" si="13"/>
        <v>0</v>
      </c>
      <c r="BQ34" t="str">
        <f>IF(B34="","",IF(BH34&lt;&gt;"",IFERROR(_xlfn.XLOOKUP(BH34,Щиты[Щит],Щиты[Руст, кВт]),0),IF(BP34=1,IF(OR(N(_xlfn.XLOOKUP(A34,Щиты[Щит],Щиты[Вводов],1))&lt;=1,LOWER(TRIM(_xlfn.XLOOKUP(A34,Щиты[Щит],Щиты[АВР],"")&amp;""))="да"),IFERROR(_xlfn.XLOOKUP(A34,Щиты[Щит],Щиты[Руст, кВт]),0),SUMIFS(Линии[_Р для вводов],Линии[Щит],A34,Линии[Источник для режимов],GF34)),IF(BO34&gt;0,ROUND(BO34*MAX(1,N(D34)),3),""))))</f>
        <v/>
      </c>
      <c r="BR34">
        <f t="shared" si="14"/>
        <v>0.1</v>
      </c>
      <c r="BS34" s="6">
        <f>IF(B34="","",IF(BH34&lt;&gt;"",IFERROR(_xlfn.XLOOKUP(BH34,Щиты[Щит],Щиты[Руст, кВт]),0),N(BR34)))</f>
        <v>0.1</v>
      </c>
      <c r="BT34" t="str">
        <f>IF(B34="","",IFERROR(IF(VLOOKUP(BC34,Потребители_обозначение,8,FALSE)=0,"",VLOOKUP(BC34,Потребители_обозначение,8,FALSE)),""))</f>
        <v/>
      </c>
      <c r="BU34">
        <f t="shared" si="15"/>
        <v>230</v>
      </c>
      <c r="BV34">
        <f t="shared" si="16"/>
        <v>0</v>
      </c>
      <c r="BW34">
        <f>IF(B34="","",IF(BH34&lt;&gt;"",3,IFERROR(IF(N(VLOOKUP(BC34,Потребители_обозначение,9,FALSE))=0,1,VLOOKUP(BC34,Потребители_обозначение,9,FALSE)),1)))</f>
        <v>1</v>
      </c>
      <c r="BX34">
        <f t="shared" si="17"/>
        <v>1</v>
      </c>
      <c r="BY34" t="str">
        <f>IF(B34="","",_xlfn.LET(_xlpm.bc,IFERROR(IF(VLOOKUP(BC34,Потребители_обозначение,6,FALSE)=0,"",VLOOKUP(BC34,Потребители_обозначение,6,FALSE)&amp;""),""),IF(AND(GA34="да",OR(_xlpm.bc="",_xlpm.bc="мс")),Марка_пож,IF(AND(_xlpm.bc="",BH34&lt;&gt;""),"мс",_xlpm.bc))))</f>
        <v/>
      </c>
      <c r="BZ34" t="str">
        <f t="shared" si="18"/>
        <v>мс</v>
      </c>
      <c r="CA34">
        <f>IF(B34="","",_xlfn.LET(_xlpm.cc,IFERROR(N(VLOOKUP(BC34,Потребители_обозначение,7,FALSE)),0),IF(_xlpm.cc&gt;0,_xlpm.cc,IF(BZ34="","",IF(BV34=1,2,IF(N(BX34)=3,5,3))))))</f>
        <v>3</v>
      </c>
      <c r="CB34">
        <f t="shared" si="19"/>
        <v>3</v>
      </c>
      <c r="CC34">
        <f>IFERROR(N(VLOOKUP(BC34,Потребители_обозначение,10,FALSE)),0)</f>
        <v>0</v>
      </c>
      <c r="CD34">
        <f>IFERROR(VLOOKUP(BC34,Потребители_обозначение,5,FALSE),0)</f>
        <v>3</v>
      </c>
      <c r="CE34" s="6" cm="1">
        <f t="array" ref="CE34">IF(B34="","",IF(BH34&lt;&gt;"",IFERROR(_xlfn.XLOOKUP(BH34,Щиты[Щит],Щиты[cos φ]),0.95),IF(BP34=1,IFERROR(_xlfn.XLOOKUP(A34,Щиты[Щит],Щиты[cos φ]),0.95),IF(ISNUMBER(AD34),AD34,IFERROR(IF(CD34=2,_xlfn.IFS(BX34=3,VLOOKUP(BS34,Справочная_двигатели,8,FALSE),BX34=1,VLOOKUP(BS34,Справочная_двигатели,10,TRUE)),IF(AND(Методика="нормы 2026",FG34="Сил"),0.8,0.95)),0.95)))))</f>
        <v>0.95</v>
      </c>
      <c r="CF34">
        <f t="shared" si="20"/>
        <v>0</v>
      </c>
      <c r="CG34">
        <f t="shared" si="21"/>
        <v>1</v>
      </c>
      <c r="CH34">
        <f t="shared" si="22"/>
        <v>0</v>
      </c>
      <c r="CI34">
        <f>IF(B34="","",IF(BV34=1,IFERROR(BS34/((Uн_лин/SQRT(3))*MAX(0.5,N(CE34))),0),N(O34)))</f>
        <v>0.455802844097073</v>
      </c>
      <c r="CJ34">
        <f t="shared" si="23"/>
        <v>0</v>
      </c>
      <c r="CK34">
        <f t="shared" si="24"/>
        <v>0</v>
      </c>
      <c r="CL34">
        <f t="shared" si="25"/>
        <v>0</v>
      </c>
      <c r="CM34">
        <f t="shared" si="26"/>
        <v>0</v>
      </c>
      <c r="CN34">
        <f t="shared" si="27"/>
        <v>0</v>
      </c>
      <c r="CO34">
        <f>IF(BC34="",0,_xlfn.LET(_xlpm.v,IFERROR(_xlfn.XLOOKUP(B34,Коды_код,Коды_мА),IFERROR(_xlfn.XLOOKUP(BC34,Коды_код,Коды_мА),IFERROR(_xlfn.XLOOKUP(LEFT(BC34,2),Коды_код,Коды_мА),""))),IF(_xlpm.v="да",30,IF(ISNUMBER(_xlpm.v),_xlpm.v,0))))</f>
        <v>0</v>
      </c>
      <c r="CP34" t="str">
        <f t="shared" si="28"/>
        <v/>
      </c>
      <c r="CQ34" t="str">
        <f>_xlfn.LET(_xlpm.k,IFERROR(_xlfn.XLOOKUP(BC34,Коды_код,Коды_утечка)&amp;"",""),IF(_xlpm.k="","дифавтомат",_xlpm.k))</f>
        <v>дифавтомат</v>
      </c>
      <c r="CR34" t="str" cm="1">
        <f t="array" ref="CR34">IF(CG34=0,"",_xlfn.LET(_xlpm.sg,TRIM(_xlfn.TEXTSPLIT(DD34&amp;"",";")),_xlpm.f_,_xlfn._xlws.FILTER(_xlpm.sg,LEFT(_xlpm.sg,3)="УЗО",""),IFERROR(INDEX(_xlpm.f_,1)&amp;"","")))</f>
        <v/>
      </c>
      <c r="CS34" t="str">
        <f t="shared" si="29"/>
        <v/>
      </c>
      <c r="CT34" s="6" t="str" cm="1">
        <f t="array" ref="CT34">IF(CR34="","",_xlfn.LET(_xlpm.tk,_xlfn.TEXTSPLIT(UPPER(CR34)," ",,TRUE),_xlpm.a_,_xlfn._xlws.FILTER(_xlpm.tk,ISNUMBER(--LEFT(_xlpm.tk,1))*((ISNUMBER(SEARCH("А",_xlpm.tk))+ISNUMBER(SEARCH("A",_xlpm.tk)))&gt;0)*NOT(ISNUMBER(SEARCH("МА",_xlpm.tk)))*NOT(ISNUMBER(SEARCH("MA",_xlpm.tk))),""),IFERROR(--SUBSTITUTE(SUBSTITUTE(INDEX(_xlpm.a_,1),"А",""),"A",""),"")))</f>
        <v/>
      </c>
      <c r="CU34" t="str" cm="1">
        <f t="array" ref="CU34">IF(CR34="","",_xlfn.LET(_xlpm.tk,_xlfn.TEXTSPLIT(UPPER(CR34)," ",,TRUE),_xlpm.a_,_xlfn._xlws.FILTER(_xlpm.tk,ISNUMBER(--LEFT(_xlpm.tk,1))*((ISNUMBER(SEARCH("МА",_xlpm.tk))+ISNUMBER(SEARCH("MA",_xlpm.tk)))&gt;0),""),IFERROR(--SUBSTITUTE(SUBSTITUTE(INDEX(_xlpm.a_,1),"МА",""),"MA",""),30)))</f>
        <v/>
      </c>
      <c r="CV34" t="str">
        <f>IF(CS34="","",IFERROR(_xlfn.XLOOKUP(CS34,Линии[_n],Линии[_УЗО, мА]),30))</f>
        <v/>
      </c>
      <c r="CW34">
        <f>IF(CS34="",0,IF(ISNUMBER(SEARCH("4P",IFERROR(_xlfn.XLOOKUP(CS34,Линии[_n],Линии[_УЗО строки])&amp;"",""))),0,1))</f>
        <v>0</v>
      </c>
      <c r="CX34" t="str">
        <f>IF(AND(CS34&lt;&gt;"",CS34=BA34),SUMIFS(Линии[_ток на 230 В],Линии[_блок УЗО],BA34,Линии[Щит],A34),"")</f>
        <v/>
      </c>
      <c r="CY34" t="str">
        <f>IF(AND(CS34&lt;&gt;"",CS34=BA34),SUMIFS(Линии[_ток утечки линии, мА],Линии[_блок УЗО],BA34,Линии[Щит],A34),"")</f>
        <v/>
      </c>
      <c r="CZ34">
        <f t="shared" si="30"/>
        <v>0</v>
      </c>
      <c r="DA34">
        <f t="shared" si="31"/>
        <v>0</v>
      </c>
      <c r="DB34">
        <f>IF(B34="",0,IFERROR(--_xlfn.XLOOKUP(B34,Коды_код,Коды_минавт),IFERROR(--_xlfn.XLOOKUP(BC34,Коды_код,Коды_минавт),IFERROR(--_xlfn.XLOOKUP(LEFT(BC34,2),Коды_код,Коды_минавт),0))))</f>
        <v>10</v>
      </c>
      <c r="DC34" t="str">
        <f>IF(B34="","",IFERROR(_xlfn.XLOOKUP(BC34,Коды_код,Коды_апп)&amp;"",""))</f>
        <v/>
      </c>
      <c r="DD34" t="str">
        <f t="shared" si="32"/>
        <v/>
      </c>
      <c r="DE34" t="str" cm="1">
        <f t="array" ref="DE34">IF(TRIM(DD34&amp;"")="","",IFERROR(TRIM(INDEX(_xlfn.TEXTSPLIT(DD34&amp;";;;",";"),1)),""))</f>
        <v/>
      </c>
      <c r="DF34" t="str" cm="1">
        <f t="array" ref="DF34">IF(TRIM(DD34&amp;"")="","",IFERROR(TRIM(INDEX(_xlfn.TEXTSPLIT(DD34&amp;";;;",";"),2)),""))</f>
        <v/>
      </c>
      <c r="DG34" t="str" cm="1">
        <f t="array" ref="DG34">IF(TRIM(DD34&amp;"")="","",IFERROR(TRIM(INDEX(_xlfn.TEXTSPLIT(DD34&amp;";;;",";"),3)),""))</f>
        <v/>
      </c>
      <c r="DH34">
        <f t="shared" si="33"/>
        <v>0</v>
      </c>
      <c r="DI34" t="str">
        <f>IF(B34="","",_xlfn.LET(_xlpm.t,LOWER(AZ34&amp;""),IF(ISNUMBER(SEARCH("dim",_xlpm.t)),"DIM",IF(ISNUMBER(SEARCH("dali",_xlpm.t)),"DALI",IF(OR(ISNUMBER(SEARCH("relay",_xlpm.t)),ISNUMBER(SEARCH("реле",_xlpm.t))),"Relay",IF(ISNUMBER(SEARCH("кнопк",_xlpm.t)),"",IFERROR(_xlfn.XLOOKUP(BC34,Коды_код,Коды_упр)&amp;"","")))))))</f>
        <v/>
      </c>
      <c r="DJ34" t="str">
        <f t="shared" si="34"/>
        <v/>
      </c>
      <c r="DK34">
        <f>IF(B34="","",_xlfn.LET(_xlpm.ig,IF(N(CX34)&gt;0,N(CX34),N(CI34)+IF(AJ34="вручную",0,N(CJ34))),_xlpm.n0,IFERROR(VLOOKUP(_xlpm.ig,Автомат_номиналы,2,TRUE),0),_xlpm.mn,MAX(DB34,IF(AJ34="вручную",0,N(CM34))),MAX(_xlpm.n0,_xlpm.mn,IF(DH34=1,Мин_автомат_БП,0))))</f>
        <v>10</v>
      </c>
      <c r="DL34">
        <f t="shared" si="35"/>
        <v>1</v>
      </c>
      <c r="DM34" t="str">
        <f t="shared" si="36"/>
        <v>1P</v>
      </c>
      <c r="DN34" t="str">
        <f>_xlfn.LET(_xlpm.cc,UPPER(TRIM(IFERROR(_xlfn.XLOOKUP(BC34,Коды_код,Коды_хар)&amp;"",""))),IF(OR(_xlpm.cc="B",_xlpm.cc="В"),"B",IF(_xlpm.cc="D","D","С")))</f>
        <v>С</v>
      </c>
      <c r="DO34" t="str">
        <f t="shared" si="37"/>
        <v>1P С10А</v>
      </c>
      <c r="DP34" t="str">
        <f t="shared" si="38"/>
        <v>1P С10А</v>
      </c>
      <c r="DQ34" t="str">
        <f t="shared" si="39"/>
        <v>1P С10А</v>
      </c>
      <c r="DR34" cm="1">
        <f t="array" ref="DR34">IF(DQ34="","",_xlfn.LET(_xlpm.t,SUBSTITUTE(SUBSTITUTE(SUBSTITUTE(UPPER(DQ34),"С","C"),"А","A"),"В","B"),_xlpm.tk,_xlfn.TEXTSPLIT(_xlpm.t," "),_xlpm.f,_xlfn._xlws.FILTER(_xlpm.tk,ISNUMBER(--MID(_xlpm.tk,2,1))*ISNUMBER(SEARCH(LEFT(_xlpm.tk,1)&amp;"#","B#C#D#"))*(LEN(_xlpm.tk)&gt;1),""),_xlpm.x,INDEX(_xlpm.f,1),IFERROR(--SUBSTITUTE(MID(_xlpm.x,2,9),"A",""),IFERROR(--SUBSTITUTE(INDEX(_xlfn._xlws.FILTER(_xlpm.tk,ISNUMBER(--SUBSTITUTE(_xlpm.tk,"A","")),""),1),"A",""),""))))</f>
        <v>10</v>
      </c>
      <c r="DS34" t="str">
        <f t="shared" si="40"/>
        <v>ok</v>
      </c>
      <c r="DT34">
        <f t="shared" si="41"/>
        <v>10</v>
      </c>
      <c r="DU34" t="str">
        <f t="shared" si="42"/>
        <v>1P С10А</v>
      </c>
      <c r="DV34">
        <f t="shared" si="43"/>
        <v>0</v>
      </c>
      <c r="DW34">
        <f t="shared" si="44"/>
        <v>0</v>
      </c>
      <c r="DX34">
        <f t="shared" si="45"/>
        <v>0</v>
      </c>
      <c r="DY34">
        <f t="shared" si="46"/>
        <v>0.455802844097073</v>
      </c>
      <c r="DZ34">
        <f t="shared" si="47"/>
        <v>1</v>
      </c>
      <c r="EA34">
        <f>IF(ISNUMBER(AP34),AP34,К_прокл)</f>
        <v>1</v>
      </c>
      <c r="EB34">
        <f t="shared" si="48"/>
        <v>2</v>
      </c>
      <c r="EC34">
        <f>IFERROR(N(VLOOKUP(BZ34,Кабель_обозначение,3,FALSE)),1)</f>
        <v>1</v>
      </c>
      <c r="ED34">
        <f>IFERROR(N(_xlfn.XLOOKUP(A34,Щиты[Щит],Щиты[ΔU до шин, %])),0)</f>
        <v>0.17</v>
      </c>
      <c r="EE34" t="str">
        <f>IFERROR(_xlfn.XLOOKUP(A34,Щиты[Щит],Щиты[Zпетли на шинах, Ом]),"")</f>
        <v/>
      </c>
      <c r="EF34">
        <f>IFERROR(N(_xlfn.XLOOKUP(A34,Щиты[Щит],Щиты[ΔU до шин (подбор), %])),0)</f>
        <v>0.65</v>
      </c>
      <c r="EG34" t="str">
        <f>IFERROR(_xlfn.XLOOKUP(A34,Щиты[Щит],Щиты[Zпетли на шинах (подбор), Ом]),"")</f>
        <v/>
      </c>
      <c r="EH34" t="str">
        <f t="shared" si="49"/>
        <v/>
      </c>
      <c r="EI34">
        <f t="shared" si="50"/>
        <v>99</v>
      </c>
      <c r="EJ34">
        <f t="shared" si="51"/>
        <v>2</v>
      </c>
      <c r="EK34">
        <f t="shared" si="52"/>
        <v>0.31</v>
      </c>
      <c r="EL34" s="6">
        <f>IF(B34="","",IF(BV34=1,dU_LED,IF(IFERROR(_xlfn.XLOOKUP(BC34,Коды_код,Коды_уго),"")="Светильник",3,4)+IF(Методика="нормы 2026",MIN(0.5,MAX(0,N(P34)-100)*0.005),0)))</f>
        <v>3.13</v>
      </c>
      <c r="EM34" cm="1">
        <f t="array" ref="EM34">IF(OR(B34="",BZ34="",EC34&lt;&gt;1),"",_xlfn.LET(_xlpm.sz,Iдоп_S,_xlpm.t_,CHOOSE(EB34,Iдоп_1ж,Iдоп_2ж,Iдоп_3ж)*DZ34*EA34,_xlpm.dcx,BV34=1,_xlpm.inn,IF(_xlpm.dcx,N(O34),N(DT34)),_xlpm.smin,MAX(1.5,CC34),_xlpm.L_,N(P34)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34)/N(BU34)*100,999),IFERROR(N(EJ34)*(_xlpm.rho*_xlpm.L_/_xlpm.sz*N(CE34)+_xlpm.xx*_xlpm.L_*N(EK34)/1000)*N(O34)/((Uн_лин/SQRT(3))*1000)*100,999)),_xlpm.kz,IF(OR(_xlpm.dcx,DW34=1,NOT(ISNUMBER(EG34)),_xlpm.L_=0,_xlpm.inn=0),1,IFERROR(--(c_min*(Uн_лин*1000/SQRT(3))/(EG34+2*ρкз_Cu*_xlpm.L_/_xlpm.sz)&gt;=HT34*_xlpm.inn),0)),_xlpm.ok,IFERROR((_xlpm.sz&gt;=_xlpm.smin)*(_xlpm.t_&gt;=_xlpm.inn)*IF(_xlpm.L_&gt;0,(_xlpm.du_+IF(_xlpm.dcx,0,EF34)&lt;=EL34+0.00001),1)*_xlpm.kz,0),_xlpm.r_,_xlfn._xlws.FILTER(_xlpm.sz,_xlpm.ok,"не подобрано"),INDEX(_xlpm.r_,1)))</f>
        <v>1.5</v>
      </c>
      <c r="EN34">
        <f t="shared" si="53"/>
        <v>1.5</v>
      </c>
      <c r="EO34" cm="1">
        <f t="array" ref="EO34">IF(OR(B34="",BZ34="",EC34&lt;&gt;1),"",_xlfn.LET(_xlpm.sz,Iдоп_S,_xlpm.t_,CHOOSE(EB34,Iдоп_1ж,Iдоп_2ж,Iдоп_3ж)*DZ34*EA34,_xlpm.ok,IFERROR((_xlpm.sz&gt;=MAX(1.5,CC34))*(_xlpm.t_&gt;=N(DT34)),0),_xlpm.r_,_xlfn._xlws.FILTER(_xlpm.sz,_xlpm.ok,""),INDEX(_xlpm.r_,1)))</f>
        <v>1.5</v>
      </c>
      <c r="EP34" s="6" cm="1">
        <f t="array" ref="EP34">IFERROR(ROUNDUP(N(EJ34)*(_xlfn.XLOOKUP(EO34,INDEX(Кабель_сопротивление,0,1),INDEX(Кабель_сопротивление,0,3))*N(P34)/EO34*N(CE34)+_xlfn.XLOOKUP(EO34,INDEX(Кабель_сопротивление,0,1),INDEX(Кабель_сопротивление,0,2))*N(P34)*N(EK34)/1000)*N(O34)/((Uн_лин/SQRT(3))*1000)*100,2),"")</f>
        <v>0.72</v>
      </c>
      <c r="EQ34">
        <f>IFERROR(2*ρкз_Cu*N(P34)/EO34,"")</f>
        <v>4.4184000000000001</v>
      </c>
      <c r="ER34">
        <f>IFERROR(VLOOKUP(EN34,Кабель_сопротивление,3,FALSE),"")</f>
        <v>2.2499999999999999E-2</v>
      </c>
      <c r="ES34">
        <f>IFERROR(VLOOKUP(EN34,Кабель_сопротивление,2,FALSE),"")</f>
        <v>0.11</v>
      </c>
      <c r="ET34">
        <f t="shared" si="54"/>
        <v>0</v>
      </c>
      <c r="EU34">
        <f t="shared" si="55"/>
        <v>118</v>
      </c>
      <c r="EV34">
        <f t="shared" si="56"/>
        <v>1.6407048181524839</v>
      </c>
      <c r="EW34" s="6">
        <f>IFERROR(ROUNDUP(EV34/IF(BV34=1,BU34,(Uн_лин/SQRT(3))*1000)*100,2),"")</f>
        <v>0.72</v>
      </c>
      <c r="EX34" t="str">
        <f>IFERROR(VLOOKUP(BZ34,Кабель_обозначение,2,FALSE),"")</f>
        <v>ВВГнг(А)-LS</v>
      </c>
      <c r="EY34" t="str">
        <f t="shared" si="57"/>
        <v>ВВГнг(А)-LS (3х1,5)</v>
      </c>
      <c r="EZ34" t="str">
        <f t="shared" si="58"/>
        <v>ВВГнг(А)-LS (3х1,5)
L=126-0,72%</v>
      </c>
      <c r="FA34">
        <f>IFERROR(2*ρкз_Cu*P34/EN34,"")</f>
        <v>4.4184000000000001</v>
      </c>
      <c r="FB34">
        <f t="shared" si="59"/>
        <v>1.47</v>
      </c>
      <c r="FC34" s="6" t="str">
        <f>IFERROR(IF(OR(B34="",BV34=1,NOT(ISNUMBER(EN34)),N(P34)=0),"",_xlfn.XLOOKUP(A34,Щиты[Щит],Щиты[Zпетли на шинах, Ом])+FA34),"")</f>
        <v/>
      </c>
      <c r="FD34" s="6" t="str">
        <f>IF(ISNUMBER(FC34),c_min*(Uн_лин*1000/SQRT(3))/FC34,"")</f>
        <v/>
      </c>
      <c r="FE34" s="6" t="str">
        <f>IFERROR(IF(OR(B34="",NOT(ISNUMBER(EN34))),"",1.05*(Uн_лин*1000/SQRT(3))/(_xlfn.XLOOKUP(A34,Щиты[Щит],Щиты[Zmax на шинах, Ом])+FB34)/1000),"")</f>
        <v/>
      </c>
      <c r="FF34" s="6" t="str">
        <f>IF(B34="","",IF(ISNUMBER(AC34),"Сил",IF(IFERROR(_xlfn.XLOOKUP(BC34,Коды_код,Коды_группа)&amp;"","")="","Быт",_xlfn.XLOOKUP(BC34,Коды_код,Коды_группа)&amp;"")))</f>
        <v>Быт</v>
      </c>
      <c r="FG34" s="6" t="str">
        <f t="shared" si="60"/>
        <v>Быт</v>
      </c>
      <c r="FH34" s="6">
        <f>IF(FG34="Щит","щит",IF(FG34="","",IF(FG34="Быт",IFERROR(_xlfn.XLOOKUP(A34,Щиты[Щит],Щиты[Кс быт]),1),IF(FG34="Сил",IF(ISNUMBER(AC34),AC34,IF(Методика="нормы 2026",IFERROR(_xlfn.XLOOKUP(A34,Щиты[Щит],Щиты[Кс силовых (табл. 7.5)]),1),1)),IF(OR(FG34="Пост",FG34="Отоп"),1,IF(FG34="ВНГ",0.7,0))))))</f>
        <v>0.8</v>
      </c>
      <c r="FI34">
        <f>IF(FG34="","",IF(AND(BP34=1,TRIM(AE34&amp;"")=""),IF(COUNTIFS(Линии[Щит],A34,Линии[Секция (1/2/3)],"&gt;=2")&gt;0,MIN(3,MAX(1,IFERROR(--BD34,1))),1),IFERROR(MIN(3,MAX(1,INT(--AE34))),1)))</f>
        <v>1</v>
      </c>
      <c r="FJ34">
        <f t="shared" si="61"/>
        <v>0.1</v>
      </c>
      <c r="FK34">
        <f t="shared" si="62"/>
        <v>0.1</v>
      </c>
      <c r="FL34">
        <f t="shared" si="63"/>
        <v>0</v>
      </c>
      <c r="FM34">
        <f t="shared" si="64"/>
        <v>0</v>
      </c>
      <c r="FN34">
        <f t="shared" si="65"/>
        <v>0</v>
      </c>
      <c r="FO34">
        <f t="shared" si="66"/>
        <v>0</v>
      </c>
      <c r="FP34">
        <f t="shared" si="67"/>
        <v>0.1</v>
      </c>
      <c r="FQ34">
        <f t="shared" si="68"/>
        <v>0.1</v>
      </c>
      <c r="FR34">
        <f t="shared" si="69"/>
        <v>9.5000000000000001E-2</v>
      </c>
      <c r="FS34">
        <f>IF(CG34=1,IF(AND(CH34=1,CW34=1),0,IF(AND(CS34&lt;&gt;"",CS34=BA34,CW34=1),SUMIFS(Линии[_Р линии, кВт],Линии[_блок УЗО],BA34,Линии[Щит],A34),N(BS34)+IF(AJ34="вручную",0,N(CK34)))),0)</f>
        <v>0.1</v>
      </c>
      <c r="FT34" t="str">
        <f t="shared" si="70"/>
        <v/>
      </c>
      <c r="FU34" t="str">
        <f>IF(B34="","",IF(CG34=0,IF(BA34=1,"",FW33),IF(AND(CH34=1,CW34=1,CS34&lt;&gt;""),IFERROR(_xlfn.XLOOKUP(CS34,Линии[_n],Линии[_фаза итог]),"L1"),IF(OR(N(DL34)&gt;=3,N(BX34)&gt;=3),"L1,L2,L3",IFERROR(_xlfn.TEXTBEFORE(_xlfn.TEXTAFTER(_xlfn.XLOOKUP(A34,Щиты[Щит],Щиты[_фазы авто]),";"&amp;BA34&amp;":"),";"),"L1")))))</f>
        <v>L3</v>
      </c>
      <c r="FV34" t="str">
        <f t="shared" si="71"/>
        <v>L3</v>
      </c>
      <c r="FW34" t="str">
        <f t="shared" si="72"/>
        <v>L3</v>
      </c>
      <c r="FX34" cm="1">
        <f t="array" ref="FX34">IFERROR(IF(CD34=2,_xlfn.IFS(BX34=3,VLOOKUP(BS34,Справочная_двигатели,3,FALSE),BX34=1,VLOOKUP(BS34,Справочная_двигатели,5,TRUE)),0),0)</f>
        <v>0</v>
      </c>
      <c r="FY34">
        <f>IFERROR(IF(CD34=3,VLOOKUP(BS34,Справочная_ЛЭД,2,TRUE),0),0)</f>
        <v>50</v>
      </c>
      <c r="FZ34" s="6">
        <f t="shared" si="73"/>
        <v>50</v>
      </c>
      <c r="GA34" t="str">
        <f>IF(B34="","",IF(TRIM(AH34&amp;"")&lt;&gt;"",IF(LOWER(TRIM(AH34&amp;""))="да","да","нет"),IF(IFERROR(_xlfn.XLOOKUP(BC34,Коды_код,Коды_пожарная),"")="да","да","нет")))</f>
        <v>нет</v>
      </c>
      <c r="GB34" t="str">
        <f t="shared" si="74"/>
        <v/>
      </c>
      <c r="GC34" t="str">
        <f t="shared" si="75"/>
        <v>основная</v>
      </c>
      <c r="GD34">
        <f>IF(AND(BP34=1,TRIM(AE34&amp;"")=""),IF(COUNTIFS(Линии[Щит],A34,Линии[Секция (1/2/3)],"&gt;=2")&gt;0,MIN(3,MAX(1,IFERROR(--BD34,1))),1),IFERROR(MIN(3,MAX(1,INT(--AE34))),1))</f>
        <v>1</v>
      </c>
      <c r="GE34" t="str" cm="1">
        <f t="array" ref="GE34">IF(B34="","",_xlfn.LET(_xlpm.t,IFERROR(_xlfn.XLOOKUP(1,(Шины[Шина]=GC34)*(((Шины[Щит]=A34)+(Шины[Щит]=""))&gt;0),Шины[Тип]),"")&amp;"",IF(_xlpm.t&lt;&gt;"",_xlpm.t,IF(ISNUMBER(SEARCH("ИБП",GC34)),"ИБП",IF(ISNUMBER(SEARCH("ДГУ",GC34)),"ДГУ","Ввод "&amp;GD34)))))</f>
        <v>Ввод 1</v>
      </c>
      <c r="GF34" t="str">
        <f t="shared" si="76"/>
        <v>Ввод 1</v>
      </c>
      <c r="GG34" t="str">
        <f>IF(BP34=0,"",IF(TRIM(AG34&amp;"")&lt;&gt;"",TRIM(AG34&amp;""),IF(OR(GE34="ИБП",GE34="ДГУ"),"I особая",_xlfn.XLOOKUP(A34,Щиты[Щит],Щиты[Категория шины «Ввод»],"III"))))</f>
        <v/>
      </c>
      <c r="GH34" t="str">
        <f>IF(A34="","",_xlfn.XLOOKUP(A34,Щиты[Щит],Щиты[Путь],""))</f>
        <v>|ГРЩ-ЖД|ЩГП|ЩО-001|</v>
      </c>
      <c r="GI34" t="str">
        <f>IF(B34="","",IF(AI34&lt;&gt;"",AI34,IF(IFERROR(_xlfn.XLOOKUP(BC34,Коды_код,Коды_вид)&amp;"","")="","Прочее",_xlfn.XLOOKUP(BC34,Коды_код,Коды_вид)&amp;"")))</f>
        <v>Рабочее освещение</v>
      </c>
      <c r="GJ34" t="str">
        <f>IF(BM34="","",INT((BM34-1)/Столбцов_на_лист)+1)</f>
        <v/>
      </c>
      <c r="GK34" t="str">
        <f t="shared" si="77"/>
        <v>ВВГнг(А)-LS (3х1,5) L=126-0,72%</v>
      </c>
      <c r="GL34">
        <f t="shared" si="78"/>
        <v>0.1</v>
      </c>
      <c r="GM34">
        <f t="shared" si="79"/>
        <v>0.46</v>
      </c>
      <c r="GN34">
        <f t="shared" si="80"/>
        <v>1</v>
      </c>
      <c r="GO34">
        <f t="shared" si="81"/>
        <v>0</v>
      </c>
      <c r="GP34">
        <f t="shared" si="82"/>
        <v>0</v>
      </c>
      <c r="GQ34" t="str">
        <f>IF(BM34="","",IF(AND(CG34=1,GP34=1),COUNTIFS(A$3:A34,A34,CG$3:CG34,1,GP$3:GP34,1),IF(OR(OR(BA34=1,A34&lt;&gt;A33),AJ34="вручную",GP34=0),"",IF(BA34=1,"",GR33))))</f>
        <v/>
      </c>
      <c r="GR34" t="str">
        <f t="shared" si="83"/>
        <v/>
      </c>
      <c r="GS34">
        <f>IF(B34="","",IFERROR(LOOKUP(INDEX(CHOOSE(EB34,Iдоп_1ж,Iдоп_2ж,Iдоп_3ж),MATCH(EN34,Iдоп_S,0))*DZ34*EA34,{6,10,16,20,25,32,40,50,63,80,100,125,160,200,250,315,400,500,630}),""))</f>
        <v>16</v>
      </c>
      <c r="GT34" t="str">
        <f t="shared" si="84"/>
        <v/>
      </c>
      <c r="GU34" t="str">
        <f t="shared" si="85"/>
        <v/>
      </c>
      <c r="GV34" t="str">
        <f t="shared" si="86"/>
        <v/>
      </c>
      <c r="GW34">
        <f t="shared" si="87"/>
        <v>0</v>
      </c>
      <c r="GX34" t="str">
        <f>IF(OR(B34="",DJ34=""),"",IFERROR(_xlfn.XLOOKUP(DJ34,Модули_умолч[Управление],Модули_умолч[Модель])&amp;"",""))</f>
        <v/>
      </c>
      <c r="GY34">
        <f>IF(DJ34="",1,IFERROR(MAX(0,N(_xlfn.XLOOKUP(DJ34,Модули_умолч[Управление],Модули_умолч[Каналов на линию]))),1))</f>
        <v>1</v>
      </c>
      <c r="GZ34" t="str">
        <f t="shared" si="88"/>
        <v/>
      </c>
      <c r="HA34" t="str">
        <f t="shared" si="89"/>
        <v/>
      </c>
      <c r="HB34" t="str">
        <f t="shared" si="90"/>
        <v/>
      </c>
      <c r="HC34">
        <f>IF(HB34="",0,IFERROR(N(VLOOKUP(HB34,Модули_спр,3,FALSE)),0))</f>
        <v>0</v>
      </c>
      <c r="HD34" t="str">
        <f t="shared" si="91"/>
        <v/>
      </c>
      <c r="HE34" t="str">
        <f t="shared" si="92"/>
        <v/>
      </c>
      <c r="HF34" t="str">
        <f>IF(OR(HE34="",HE34="-"),"",IFERROR(VLOOKUP(HE34,Модули_спр,2,FALSE),"R"))</f>
        <v/>
      </c>
      <c r="HG34" t="str">
        <f>IF(HF34="","",HF34&amp;"."&amp;COUNTIFS(A$3:A34,A34,HF$3:HF34,HF34))</f>
        <v/>
      </c>
      <c r="HH34" t="str">
        <f t="shared" si="93"/>
        <v/>
      </c>
      <c r="HI34" t="str">
        <f t="shared" si="94"/>
        <v/>
      </c>
      <c r="HJ34" t="str">
        <f t="shared" si="95"/>
        <v/>
      </c>
      <c r="HK34" t="str">
        <f t="shared" si="96"/>
        <v/>
      </c>
      <c r="HL34">
        <f t="shared" si="97"/>
        <v>1</v>
      </c>
      <c r="HM34" t="str">
        <f>IF(HL34=1,"XT"&amp;COUNTIFS(A$3:A34,A34,HL$3:HL34,1),"")</f>
        <v>XT3</v>
      </c>
      <c r="HN34" t="str">
        <f t="shared" si="98"/>
        <v>XT3</v>
      </c>
      <c r="HO34" t="str">
        <f t="shared" si="99"/>
        <v/>
      </c>
      <c r="HP34" t="str">
        <f t="shared" si="100"/>
        <v/>
      </c>
      <c r="HQ34" t="str">
        <f t="shared" si="101"/>
        <v>ok</v>
      </c>
      <c r="HR34" t="str">
        <f>IF(OR(HJ34="",HH34=""),"",IF(HJ34+MAX(0,GY34-1)&gt;IFERROR(VLOOKUP(HI34,Модули_спр,3,FALSE),99),"ЛИШНИЙ КАНАЛ",IF(AND(AL34&lt;&gt;"=",GY34&gt;0,COUNTIFS(Линии[_модуль гр.],HH34,Линии[Канал (итог)],HJ34,Линии[Канал],"&lt;&gt;=",Линии[Щит],A34)&gt;1),"ДУБЛЬ КАНАЛА","")))</f>
        <v/>
      </c>
      <c r="HS34" s="6" t="str">
        <f t="shared" si="102"/>
        <v/>
      </c>
      <c r="HT34">
        <f t="shared" si="103"/>
        <v>10</v>
      </c>
      <c r="HU34" t="str">
        <f t="shared" si="104"/>
        <v/>
      </c>
      <c r="HV34">
        <f t="shared" si="105"/>
        <v>1.4423211376388292</v>
      </c>
      <c r="HW34">
        <f t="shared" si="106"/>
        <v>0</v>
      </c>
      <c r="HX34">
        <f t="shared" si="107"/>
        <v>0</v>
      </c>
      <c r="HY34">
        <f t="shared" si="108"/>
        <v>0</v>
      </c>
      <c r="HZ34">
        <f t="shared" si="109"/>
        <v>0</v>
      </c>
      <c r="IA34">
        <f t="shared" si="110"/>
        <v>0</v>
      </c>
      <c r="IB34">
        <f t="shared" si="111"/>
        <v>0</v>
      </c>
      <c r="IC34" t="str">
        <f t="shared" si="112"/>
        <v/>
      </c>
      <c r="ID34" t="str" cm="1">
        <f t="array" ref="ID34">IF(IC34="","",_xlfn.LET(_xlpm.tk,_xlfn.TEXTSPLIT(SUBSTITUTE(SUBSTITUTE(IC34,";"," "),"→"," ")," ",,TRUE),_xlpm.w_,_xlfn._xlws.FILTER(_xlpm.tk,ISNUMBER(--LEFT(_xlpm.tk,1))*((ISNUMBER(SEARCH("W",_xlpm.tk))+ISNUMBER(SEARCH("Вт",_xlpm.tk)))&gt;0),""),IFERROR(--SUBSTITUTE(SUBSTITUTE(UPPER(INDEX(_xlpm.w_,1)),"W",""),"ВТ",""),"")))</f>
        <v/>
      </c>
      <c r="IE34" t="str" cm="1">
        <f t="array" ref="IE34">IF(IC34="","",_xlfn.LET(_xlpm.tk,_xlfn.TEXTSPLIT(SUBSTITUTE(SUBSTITUTE(IC34,";"," "),"→"," ")," ",,TRUE),_xlpm.v_,_xlfn._xlws.FILTER(_xlpm.tk,ISNUMBER(--LEFT(_xlpm.tk,1))*((ISNUMBER(SEARCH("V",_xlpm.tk))+(RIGHT(UPPER(_xlpm.tk))="В"))&gt;0),""),IFERROR(--SUBSTITUTE(SUBSTITUTE(UPPER(INDEX(_xlpm.v_,1)),"V",""),"В",""),"")))</f>
        <v/>
      </c>
      <c r="IF34" s="6" t="str">
        <f>IF(OR(BV34=0,HI34="",HJ34=""),"",IFERROR(N(_xlfn.XLOOKUP(HI34,Каталог!$C$4:$C$500,Каталог!$Q$4:$Q$500)),""))</f>
        <v/>
      </c>
      <c r="IG34" s="6" t="str">
        <f>IF(N(IF34)=0,"",SUMIFS(Линии[Iр, А],Линии[Щит],A34,Линии[_модуль гр.],HH34,Линии[Канал (итог)],HJ34))</f>
        <v/>
      </c>
      <c r="IH34" t="str">
        <f>IF(AND(B34="",HO34=""),"",_xlfn.TEXTJOIN("; ",TRUE,IF(AND(B34&lt;&gt;"",FV34=""),"нет фазы",""),IF(AND(B34&lt;&gt;"",N(GL34)=0,FG34&lt;&gt;"Нет"),"нет мощности",""),IF(AND(HN34&lt;&gt;"",COUNTIFS(Линии[Щит],A34,Линии[Клемма (итог)],HN34)&gt;1),"дубль клеммы "&amp;HN34,""),IF(AND(HQ34&lt;&gt;"",HQ34&lt;&gt;"ok"),HQ34,""),IF(HR34&lt;&gt;"",HR34,""),IF(AND(N(CB34)&gt;=4,N(BX34)=1),CB34&amp;" жил на 1 фазе",""),IF(AND(BC34="R",CG34=1,IF(CS34&lt;&gt;"",N(CV34)&gt;30,OR(N(DA34)=0,N(DA34)&gt;30))),"розетка без дифзащиты до 30 мА",""),IF(AND(CG34=1,N(DA34)&gt;0,ISNUMBER(T34)),IF(T34&gt;N(DA34)/3,"ток утечки "&amp;FIXED(T34,1)&amp;" мА &gt; 1/3 уставки ("&amp;DA34&amp;" мА)",""),""),IF(AND(CH34=1,CS34=""),"«узо»: нет строки с УЗО выше (УЗО 2P 40А 30мА в «Аппаратах»)",""),IF(AND(CS34&lt;&gt;"",CS34=BA34),IF(CT34="","впишите номинал УЗО (УЗО 2P 40А 30мА)",IF(N(CT34)&lt;N(DT34),"УЗО "&amp;CT34&amp;" А &lt; автомата "&amp;DT34&amp;" А перед ним",IF(N(CT34)&lt;N(CX34),"УЗО "&amp;CT34&amp;" А &lt; тока блока "&amp;FIXED(CX34,1)&amp;" А",""))),""),IF(AND(CS34&lt;&gt;"",CS34=BA34,ISNUMBER(CY34)),IF(CY34&gt;N(CV34)/3,"ток утечки блока УЗО "&amp;FIXED(CY34,1)&amp;" мА &gt; 1/3 уставки ("&amp;CV34&amp;" мА)",""),""),IF(AND(CG34=1,N(BV34)+N(IB34)&gt;0,IC34=""),"линии до 50 В без БП: впишите в «Аппараты» (БП 24V 480W)",""),IF(AND(CG34=1,ISNUMBER(ID34),ISNUMBER(U34)),IF(U34&gt;ID34,"БП "&amp;ID34&amp;" Вт &lt; нужно "&amp;U34&amp;" Вт (×"&amp;Запас_БП&amp;")",""),""),IF(AND(CG34=1,ISNUMBER(IE34),N(BV34)=1),IF(IE34&lt;&gt;N(BU34),"БП на "&amp;IE34&amp;" В, линия "&amp;BU34&amp;" В",""),""),IF(AND(N(IF34)&gt;0,N(IG34)&gt;N(IF34)),HH34&amp;" канал "&amp;HJ34&amp;": "&amp;FIXED(IG34,1)&amp;" А &gt; "&amp;IF34&amp;" А",""),IFERROR(IF(AND(ISNUMBER(Q34),Q34&gt;EL34),"потери "&amp;FIXED(Q34,1)&amp;" % &gt; "&amp;EL34&amp;" %",""),""),IFERROR(IF(LEFT(HU34,4)="мало","Iкз мало — отключение &gt; 0,4 с",""),""),IF(AND(B34&lt;&gt;"",BM34=""),"не на схеме",""),IF(AND(CG34=0,B34&lt;&gt;"",FV34&lt;&gt;"",IF(BA34=1,"",FW33)&lt;&gt;"",FV34&lt;&gt;IF(BA34=1,"",FW33)),"фаза не как у автомата группы ("&amp;IF(BA34=1,"",FW33)&amp;")","")))</f>
        <v>не на схеме</v>
      </c>
      <c r="II34" s="6">
        <f>IF(OR(CG34=0,DQ34=""),"",_xlfn.LET(_xlpm.t,IFERROR(_xlfn.XLOOKUP(DQ34,Каталог!$U$4:$U$500,Каталог!$G$4:$G$500),""),_xlpm.k,SEARCH("кА",_xlpm.t),IFERROR(--TRIM(RIGHT(SUBSTITUTE(MID(_xlpm.t,MAX(1,_xlpm.k-4),_xlpm.k-MAX(1,_xlpm.k-4))," ",REPT(" ",9)),5)),"")))</f>
        <v>6</v>
      </c>
      <c r="IJ34" t="str">
        <f>IF(OR(II34="",CG34=0),"",IF(_xlfn.XLOOKUP(A34,Щиты[Щит],Щиты[Iкз max на шинах, кА],"")="","",IF(II34&lt;_xlfn.XLOOKUP(A34,Щиты[Щит],Щиты[Iкз max на шинах, кА]),"Icu "&amp;II34&amp;" кА &lt; Iкз max","ok")))</f>
        <v/>
      </c>
      <c r="IK34" t="str">
        <f t="shared" si="113"/>
        <v/>
      </c>
      <c r="IL34" t="str">
        <f t="shared" si="114"/>
        <v/>
      </c>
      <c r="IM34" t="str">
        <f t="shared" si="115"/>
        <v/>
      </c>
      <c r="IN34" t="str" cm="1">
        <f t="array" ref="IN34">IF(IM34="","",_xlfn.LET(_xlpm.nd,_xlfn.TEXTSPLIT(IM34,"|"),IF(COLUMNS(_xlpm.nd)&gt;1,A34&amp;"¦"&amp;INDEX(_xlpm.nd,1)&amp;"¦"&amp;INDEX(_xlpm.nd,2),"")))</f>
        <v/>
      </c>
      <c r="IO34" t="str">
        <f t="shared" si="116"/>
        <v/>
      </c>
      <c r="IP34" t="str" cm="1">
        <f t="array" ref="IP34">IF(IM34="","",_xlfn.LET(_xlpm.nd,_xlfn.TEXTSPLIT(IM34,"|"),IF(COLUMNS(_xlpm.nd)&gt;2,A34&amp;"¦"&amp;INDEX(_xlpm.nd,2)&amp;"¦"&amp;INDEX(_xlpm.nd,3),"")))</f>
        <v/>
      </c>
      <c r="IQ34" t="str">
        <f t="shared" si="117"/>
        <v/>
      </c>
      <c r="IR34" t="str" cm="1">
        <f t="array" ref="IR34">IF(IM34="","",_xlfn.LET(_xlpm.nd,_xlfn.TEXTSPLIT(IM34,"|"),IF(COLUMNS(_xlpm.nd)&gt;3,A34&amp;"¦"&amp;INDEX(_xlpm.nd,3)&amp;"¦"&amp;INDEX(_xlpm.nd,4),"")))</f>
        <v/>
      </c>
      <c r="IS34" t="str">
        <f t="shared" si="118"/>
        <v/>
      </c>
      <c r="IT34" t="str" cm="1">
        <f t="array" ref="IT34">IF(IM34="","",_xlfn.LET(_xlpm.nd,_xlfn.TEXTSPLIT(IM34,"|"),IF(COLUMNS(_xlpm.nd)&gt;4,A34&amp;"¦"&amp;INDEX(_xlpm.nd,4)&amp;"¦"&amp;INDEX(_xlpm.nd,5),"")))</f>
        <v/>
      </c>
      <c r="IU34" t="str">
        <f t="shared" si="119"/>
        <v/>
      </c>
      <c r="IV34" t="str" cm="1">
        <f t="array" ref="IV34">IF(IM34="","",_xlfn.LET(_xlpm.nd,_xlfn.TEXTSPLIT(IM34,"|"),IF(COLUMNS(_xlpm.nd)&gt;5,A34&amp;"¦"&amp;INDEX(_xlpm.nd,5)&amp;"¦"&amp;INDEX(_xlpm.nd,6),"")))</f>
        <v/>
      </c>
      <c r="IW34" t="str">
        <f t="shared" si="120"/>
        <v/>
      </c>
      <c r="IX34" t="str" cm="1">
        <f t="array" ref="IX34">IF(IM34="","",_xlfn.LET(_xlpm.nd,_xlfn.TEXTSPLIT(IM34,"|"),IF(COLUMNS(_xlpm.nd)&gt;6,A34&amp;"¦"&amp;INDEX(_xlpm.nd,6)&amp;"¦"&amp;INDEX(_xlpm.nd,7),"")))</f>
        <v/>
      </c>
      <c r="IY34" t="str">
        <f t="shared" si="121"/>
        <v/>
      </c>
      <c r="IZ34" t="str">
        <f t="shared" si="122"/>
        <v/>
      </c>
      <c r="JA34" t="str">
        <f t="shared" si="123"/>
        <v>XT3</v>
      </c>
      <c r="JB34">
        <f t="shared" si="124"/>
        <v>0</v>
      </c>
      <c r="JC34">
        <f t="shared" si="125"/>
        <v>0</v>
      </c>
      <c r="JD34" t="str">
        <f t="shared" si="126"/>
        <v/>
      </c>
      <c r="JE34" t="str">
        <f t="shared" si="127"/>
        <v/>
      </c>
      <c r="JF34" t="str">
        <f t="shared" si="128"/>
        <v/>
      </c>
      <c r="JG34" t="str">
        <f t="shared" si="129"/>
        <v/>
      </c>
      <c r="JH34" t="str">
        <f>IF(B34="","",IFERROR(_xlfn.XLOOKUP(B34,Коды_код,Коды_уго),IFERROR(_xlfn.XLOOKUP(BC34,Коды_код,Коды_уго),IFERROR(_xlfn.XLOOKUP(LEFT(BC34,2),Коды_код,Коды_уго),""))))</f>
        <v>Светильник</v>
      </c>
      <c r="JI34" t="str">
        <f>IF(B34="","",IF(OR(JH34="",JH34=0),"BOX",IFERROR(IF(VLOOKUP(JH34,УГО_блоки,3,FALSE)&amp;""&lt;&gt;"",VLOOKUP(JH34,УГО_блоки,3,FALSE),VLOOKUP(JH34,УГО_блоки,2,FALSE)),JH34)))</f>
        <v>LAMP</v>
      </c>
      <c r="JJ34">
        <f t="shared" si="130"/>
        <v>1</v>
      </c>
      <c r="JK34" t="str">
        <f>IF(DQ34="","",IF(COUNTIF(DQ$3:DQ34,DQ34)=1,MAX(JK$2:JK33)+1,""))</f>
        <v/>
      </c>
      <c r="JL34" t="str">
        <f>IF(DE34="","",IF(COUNTIF(DE$3:DE34,DE34)+COUNTIF(DF$2:DF33,DE34)+COUNTIF(DG$2:DG33,DE34)=1,MAX(JL$2:JN33)+1,""))</f>
        <v/>
      </c>
      <c r="JM34" t="str">
        <f>IF(DF34="","",IF(COUNTIF(DE$3:DE34,DF34)+COUNTIF(DF$3:DF34,DF34)+COUNTIF(DG$2:DG33,DF34)=1,MAX(JL$2:JN33,JL34)+1,""))</f>
        <v/>
      </c>
      <c r="JN34" t="str">
        <f>IF(DG34="","",IF(COUNTIF(DE$3:DE34,DG34)+COUNTIF(DF$3:DF34,DG34)+COUNTIF(DG$3:DG34,DG34)=1,MAX(JL$2:JN33,JL34,JM34)+1,""))</f>
        <v/>
      </c>
      <c r="JO34" t="str">
        <f t="shared" si="131"/>
        <v>3х1,5</v>
      </c>
      <c r="JP34" t="str">
        <f>IF(JO34="","",IF(COUNTIF(JO$3:JO34,JO34)=1,MAX(JP$2:JP33)+1,""))</f>
        <v/>
      </c>
      <c r="JQ34" t="str">
        <f>IF(HG34="","",COUNTIF(HG$3:HG34,"?*"))</f>
        <v/>
      </c>
      <c r="JR34" t="str">
        <f>IF(OR(HG34="",HI34=""),"",IF(COUNTIFS(HG$3:HG34,"?*",HI$3:HI34,HI34)=1,MAX(JR$2:JR33)+1,""))</f>
        <v/>
      </c>
      <c r="JS34">
        <f t="shared" si="132"/>
        <v>1</v>
      </c>
      <c r="JT34">
        <f>IF(B34="","",COUNTIF(B$3:B34,"?*"))</f>
        <v>32</v>
      </c>
      <c r="JU34">
        <f>IF(HL34&lt;&gt;1,0,_xlfn.LET(_xlpm.k,MAX(IFERROR(--_xlfn.XLOOKUP(B34,Коды_код,Коды_3L),0),IFERROR(--_xlfn.XLOOKUP(BC34,Коды_код,Коды_3L),0),IFERROR(--_xlfn.XLOOKUP(LEFT(BC34,2),Коды_код,Коды_3L),0)),IF(_xlpm.k&gt;0,_xlpm.k,IF(IFERROR(--LEFT(SUBSTITUTE(JO34,"x","х"),FIND("х",SUBSTITUTE(JO34,"x","х"))-1),3)&gt;3,Каталог!$S$9,1))))</f>
        <v>1</v>
      </c>
      <c r="JV34">
        <f t="shared" si="133"/>
        <v>0</v>
      </c>
      <c r="JW34" t="str">
        <f t="shared" si="134"/>
        <v>авто</v>
      </c>
      <c r="JX34" t="str">
        <f t="shared" si="135"/>
        <v/>
      </c>
      <c r="JY34">
        <f t="shared" si="136"/>
        <v>0</v>
      </c>
      <c r="JZ34">
        <f t="shared" si="137"/>
        <v>1</v>
      </c>
    </row>
    <row r="35" spans="1:286" x14ac:dyDescent="0.3">
      <c r="A35" t="s">
        <v>1109</v>
      </c>
      <c r="B35" t="s">
        <v>1349</v>
      </c>
      <c r="C35" t="str">
        <f>Линии[[#This Row],[_авто наименование]]</f>
        <v>Осветительная группа, пом. 001Т</v>
      </c>
      <c r="D35">
        <v>1</v>
      </c>
      <c r="E35">
        <v>0.1</v>
      </c>
      <c r="G35" t="str">
        <f>Линии[[#This Row],[_авто автомат]]</f>
        <v>1P С10А</v>
      </c>
      <c r="H35" t="str">
        <f>Линии[[#This Row],[_авто управление]]</f>
        <v/>
      </c>
      <c r="I35" t="str">
        <f>Линии[[#This Row],[_авто аппараты]]</f>
        <v/>
      </c>
      <c r="J35">
        <v>1.5</v>
      </c>
      <c r="K35">
        <v>25</v>
      </c>
      <c r="L35" t="str">
        <f>Линии[[#This Row],[_авто фаза]]</f>
        <v>L1</v>
      </c>
      <c r="M35" t="str">
        <f>Линии[[#This Row],[_авто клемма]]</f>
        <v>XT4</v>
      </c>
      <c r="N35" t="str">
        <f t="shared" si="0"/>
        <v>не на схеме</v>
      </c>
      <c r="O35" s="6" cm="1">
        <f t="array" ref="O35">IF(B35="","",IF(BH35&lt;&gt;"",IFERROR(_xlfn.XLOOKUP(BH35,Щиты[Щит],Щиты[Iр, А]),""),IF(BP35=1,IF(OR(N(_xlfn.XLOOKUP(A35,Щиты[Щит],Щиты[Вводов],1))&lt;=1,LOWER(TRIM(_xlfn.XLOOKUP(A35,Щиты[Щит],Щиты[АВР],"")&amp;""))="да"),IFERROR(_xlfn.XLOOKUP(A35,Щиты[Щит],Щиты[Iр, А]),""),IFERROR(N(BS35)*_xlfn.XLOOKUP(A35,Щиты[Щит],Щиты[Кс итог])/(SQRT(3)*Uн_лин*_xlfn.XLOOKUP(A35,Щиты[Щит],Щиты[cos φ])),"")),IF(BV35=1,IFERROR(BS35*1000/BU35,""),IFERROR(_xlfn.IFS(BX35=1,BS35/((Uн_лин/SQRT(3))*CE35),BX35=3,BS35/(SQRT(3)*Uн_лин*CE35)),"")))))</f>
        <v>0.455802844097073</v>
      </c>
      <c r="P35" s="7">
        <f>IF(B35="","",IFERROR(IF(VLOOKUP(BC35,Потребители_обозначение,4,FALSE)=1,VLOOKUP(BC35,Потребители_обозначение,3,FALSE)*(MAX(1,N(D35))*2-1)+EI35+VLOOKUP(BE35,Этаж_обозначение,3,FALSE)+VLOOKUP(BE35,Этаж_обозначение,4,FALSE),VLOOKUP(BC35,Потребители_обозначение,3,FALSE)*(MAX(1,N(D35))*2-1)+EI35),EI35))</f>
        <v>26</v>
      </c>
      <c r="Q35" s="6">
        <f t="shared" si="1"/>
        <v>0.32000000000000006</v>
      </c>
      <c r="R35" t="str">
        <f t="shared" si="2"/>
        <v>ВВГнг(А)-LS (3х1,5)</v>
      </c>
      <c r="S35" t="str">
        <f>IF(BM35="","",IF(BN35="вводной узел","узел ","")&amp;"л."&amp;(INT((BM35-1)/Столбцов_на_лист)+1)&amp;" / "&amp;(MOD(BM35-1,Столбцов_на_лист)+1))</f>
        <v/>
      </c>
      <c r="T35" s="119">
        <f t="shared" si="3"/>
        <v>0.4</v>
      </c>
      <c r="U35" s="7" t="str">
        <f>IF(OR(CG35=0,N(BV35)+N(IB35)=0),"",ROUNDUP(Запас_БП*(N(HY35)+N(HZ35)),0))</f>
        <v/>
      </c>
      <c r="V35" s="119" t="str">
        <f t="shared" si="4"/>
        <v/>
      </c>
      <c r="W35" s="7" t="str">
        <f>IFERROR(IF(OR(B35="",BP35=1,BV35=1,NOT(ISNUMBER(EN35)),N(DT35)=0),"",MAX(0,ROUNDDOWN((c_min*(Uн_лин*1000/SQRT(3))/(HT35*N(DT35))-_xlfn.XLOOKUP(A35,Щиты[Щит],Щиты[Zпетли на шинах, Ом]))*EN35/(2*ρкз_Cu),0))),"")</f>
        <v/>
      </c>
      <c r="Y35" t="str">
        <f>Линии[[#This Row],[_авто утечка]]</f>
        <v/>
      </c>
      <c r="Z35">
        <v>1</v>
      </c>
      <c r="AA35">
        <v>230</v>
      </c>
      <c r="AB35" t="s">
        <v>562</v>
      </c>
      <c r="AI35" t="s">
        <v>555</v>
      </c>
      <c r="AK35" t="str">
        <f>Линии[[#This Row],[_авто модуль]]</f>
        <v/>
      </c>
      <c r="AM35" t="s">
        <v>527</v>
      </c>
      <c r="AN35" t="s">
        <v>11</v>
      </c>
      <c r="AO35">
        <v>3</v>
      </c>
      <c r="AQ35">
        <v>3</v>
      </c>
      <c r="AR35">
        <v>0</v>
      </c>
      <c r="AS35">
        <v>27</v>
      </c>
      <c r="BA35" cm="1">
        <f t="array" ref="BA35">ROW()-ROW(Линии[#Headers])</f>
        <v>33</v>
      </c>
      <c r="BC35" s="6" t="str">
        <f t="shared" si="5"/>
        <v>L</v>
      </c>
      <c r="BD35" t="str">
        <f t="shared" si="6"/>
        <v>00.001Т.1</v>
      </c>
      <c r="BE35" t="str">
        <f t="shared" si="7"/>
        <v>00</v>
      </c>
      <c r="BF35" t="str">
        <f t="shared" si="8"/>
        <v>001Т.1</v>
      </c>
      <c r="BG35" t="str">
        <f t="shared" si="9"/>
        <v>001Т</v>
      </c>
      <c r="BH35" t="str">
        <f>IF(X35&lt;&gt;"",X35,IF(AND(B35&lt;&gt;"",B35&lt;&gt;A35,ISNUMBER(_xlfn.XMATCH(B35,Щиты[Щит]))),B35,""))</f>
        <v/>
      </c>
      <c r="BI35" t="str" cm="1">
        <f t="array" ref="BI35">IF(B35="","",IF(BH35&lt;&gt;"","Щит "&amp;BH35,_xlfn.LET(_xlpm.nm,IFERROR(_xlfn.XLOOKUP(BC35,Коды_код,Коды_имя)&amp;"",""),_xlpm.md,IFERROR(N(_xlfn.XLOOKUP(BC35,Коды_код,Коды_режим)),1),_xlpm.ex,IF(Имя_режим="по экспликации",IFERROR(_xlfn.XLOOKUP(BE35&amp;"|"&amp;BG35,Экспликация[Этаж]&amp;"|"&amp;Экспликация[Помещение],Экспликация[Название])&amp;"",""),""),_xlpm.rm,IF(BG35="","",IF(_xlpm.ex&lt;&gt;"",". "&amp;_xlpm.ex&amp;IF(Имя_пом="нет"," ("&amp;BG35&amp;")"," (пом. "&amp;BG35&amp;")"),IF(Имя_пом="нет"," ",", пом. ")&amp;BG35)),IF(_xlpm.nm="","",IF(_xlpm.md=2,_xlpm.nm&amp;" шлейф "&amp;BE35,_xlpm.nm&amp;_xlpm.rm)))))</f>
        <v>Осветительная группа, пом. 001Т</v>
      </c>
      <c r="BJ35" t="str">
        <f t="shared" si="10"/>
        <v>Осветительная группа, пом. 001Т</v>
      </c>
      <c r="BK35">
        <f>IFERROR(_xlfn.XMATCH(A35,Щиты[Щит]),0)</f>
        <v>3</v>
      </c>
      <c r="BL35">
        <f>_xlfn.LET(_xlpm.k,IFERROR(_xlfn.XLOOKUP(A35,Щиты[Щит],Щиты[Мест под вводной узел]),""),IF(_xlpm.k="",Столбцов_на_лист,N(_xlpm.k)))</f>
        <v>17</v>
      </c>
      <c r="BM35" t="str">
        <f t="shared" si="11"/>
        <v/>
      </c>
      <c r="BN35" t="str">
        <f t="shared" si="12"/>
        <v/>
      </c>
      <c r="BO35" s="6">
        <f>IFERROR(N(_xlfn.XLOOKUP(BC35,Коды_код,Коды_квт)),0)</f>
        <v>0</v>
      </c>
      <c r="BP35">
        <f t="shared" si="13"/>
        <v>0</v>
      </c>
      <c r="BQ35" t="str">
        <f>IF(B35="","",IF(BH35&lt;&gt;"",IFERROR(_xlfn.XLOOKUP(BH35,Щиты[Щит],Щиты[Руст, кВт]),0),IF(BP35=1,IF(OR(N(_xlfn.XLOOKUP(A35,Щиты[Щит],Щиты[Вводов],1))&lt;=1,LOWER(TRIM(_xlfn.XLOOKUP(A35,Щиты[Щит],Щиты[АВР],"")&amp;""))="да"),IFERROR(_xlfn.XLOOKUP(A35,Щиты[Щит],Щиты[Руст, кВт]),0),SUMIFS(Линии[_Р для вводов],Линии[Щит],A35,Линии[Источник для режимов],GF35)),IF(BO35&gt;0,ROUND(BO35*MAX(1,N(D35)),3),""))))</f>
        <v/>
      </c>
      <c r="BR35">
        <f t="shared" si="14"/>
        <v>0.1</v>
      </c>
      <c r="BS35" s="6">
        <f>IF(B35="","",IF(BH35&lt;&gt;"",IFERROR(_xlfn.XLOOKUP(BH35,Щиты[Щит],Щиты[Руст, кВт]),0),N(BR35)))</f>
        <v>0.1</v>
      </c>
      <c r="BT35" t="str">
        <f>IF(B35="","",IFERROR(IF(VLOOKUP(BC35,Потребители_обозначение,8,FALSE)=0,"",VLOOKUP(BC35,Потребители_обозначение,8,FALSE)),""))</f>
        <v/>
      </c>
      <c r="BU35">
        <f t="shared" si="15"/>
        <v>230</v>
      </c>
      <c r="BV35">
        <f t="shared" si="16"/>
        <v>0</v>
      </c>
      <c r="BW35">
        <f>IF(B35="","",IF(BH35&lt;&gt;"",3,IFERROR(IF(N(VLOOKUP(BC35,Потребители_обозначение,9,FALSE))=0,1,VLOOKUP(BC35,Потребители_обозначение,9,FALSE)),1)))</f>
        <v>1</v>
      </c>
      <c r="BX35">
        <f t="shared" si="17"/>
        <v>1</v>
      </c>
      <c r="BY35" t="str">
        <f>IF(B35="","",_xlfn.LET(_xlpm.bc,IFERROR(IF(VLOOKUP(BC35,Потребители_обозначение,6,FALSE)=0,"",VLOOKUP(BC35,Потребители_обозначение,6,FALSE)&amp;""),""),IF(AND(GA35="да",OR(_xlpm.bc="",_xlpm.bc="мс")),Марка_пож,IF(AND(_xlpm.bc="",BH35&lt;&gt;""),"мс",_xlpm.bc))))</f>
        <v/>
      </c>
      <c r="BZ35" t="str">
        <f t="shared" si="18"/>
        <v>мс</v>
      </c>
      <c r="CA35">
        <f>IF(B35="","",_xlfn.LET(_xlpm.cc,IFERROR(N(VLOOKUP(BC35,Потребители_обозначение,7,FALSE)),0),IF(_xlpm.cc&gt;0,_xlpm.cc,IF(BZ35="","",IF(BV35=1,2,IF(N(BX35)=3,5,3))))))</f>
        <v>3</v>
      </c>
      <c r="CB35">
        <f t="shared" si="19"/>
        <v>3</v>
      </c>
      <c r="CC35">
        <f>IFERROR(N(VLOOKUP(BC35,Потребители_обозначение,10,FALSE)),0)</f>
        <v>0</v>
      </c>
      <c r="CD35">
        <f>IFERROR(VLOOKUP(BC35,Потребители_обозначение,5,FALSE),0)</f>
        <v>3</v>
      </c>
      <c r="CE35" s="6" cm="1">
        <f t="array" ref="CE35">IF(B35="","",IF(BH35&lt;&gt;"",IFERROR(_xlfn.XLOOKUP(BH35,Щиты[Щит],Щиты[cos φ]),0.95),IF(BP35=1,IFERROR(_xlfn.XLOOKUP(A35,Щиты[Щит],Щиты[cos φ]),0.95),IF(ISNUMBER(AD35),AD35,IFERROR(IF(CD35=2,_xlfn.IFS(BX35=3,VLOOKUP(BS35,Справочная_двигатели,8,FALSE),BX35=1,VLOOKUP(BS35,Справочная_двигатели,10,TRUE)),IF(AND(Методика="нормы 2026",FG35="Сил"),0.8,0.95)),0.95)))))</f>
        <v>0.95</v>
      </c>
      <c r="CF35">
        <f t="shared" si="20"/>
        <v>0</v>
      </c>
      <c r="CG35">
        <f t="shared" si="21"/>
        <v>1</v>
      </c>
      <c r="CH35">
        <f t="shared" si="22"/>
        <v>0</v>
      </c>
      <c r="CI35">
        <f>IF(B35="","",IF(BV35=1,IFERROR(BS35/((Uн_лин/SQRT(3))*MAX(0.5,N(CE35))),0),N(O35)))</f>
        <v>0.455802844097073</v>
      </c>
      <c r="CJ35">
        <f t="shared" si="23"/>
        <v>0</v>
      </c>
      <c r="CK35">
        <f t="shared" si="24"/>
        <v>0</v>
      </c>
      <c r="CL35">
        <f t="shared" si="25"/>
        <v>0</v>
      </c>
      <c r="CM35">
        <f t="shared" si="26"/>
        <v>0</v>
      </c>
      <c r="CN35">
        <f t="shared" si="27"/>
        <v>0</v>
      </c>
      <c r="CO35">
        <f>IF(BC35="",0,_xlfn.LET(_xlpm.v,IFERROR(_xlfn.XLOOKUP(B35,Коды_код,Коды_мА),IFERROR(_xlfn.XLOOKUP(BC35,Коды_код,Коды_мА),IFERROR(_xlfn.XLOOKUP(LEFT(BC35,2),Коды_код,Коды_мА),""))),IF(_xlpm.v="да",30,IF(ISNUMBER(_xlpm.v),_xlpm.v,0))))</f>
        <v>0</v>
      </c>
      <c r="CP35" t="str">
        <f t="shared" si="28"/>
        <v/>
      </c>
      <c r="CQ35" t="str">
        <f>_xlfn.LET(_xlpm.k,IFERROR(_xlfn.XLOOKUP(BC35,Коды_код,Коды_утечка)&amp;"",""),IF(_xlpm.k="","дифавтомат",_xlpm.k))</f>
        <v>дифавтомат</v>
      </c>
      <c r="CR35" t="str" cm="1">
        <f t="array" ref="CR35">IF(CG35=0,"",_xlfn.LET(_xlpm.sg,TRIM(_xlfn.TEXTSPLIT(DD35&amp;"",";")),_xlpm.f_,_xlfn._xlws.FILTER(_xlpm.sg,LEFT(_xlpm.sg,3)="УЗО",""),IFERROR(INDEX(_xlpm.f_,1)&amp;"","")))</f>
        <v/>
      </c>
      <c r="CS35" t="str">
        <f t="shared" si="29"/>
        <v/>
      </c>
      <c r="CT35" s="6" t="str" cm="1">
        <f t="array" ref="CT35">IF(CR35="","",_xlfn.LET(_xlpm.tk,_xlfn.TEXTSPLIT(UPPER(CR35)," ",,TRUE),_xlpm.a_,_xlfn._xlws.FILTER(_xlpm.tk,ISNUMBER(--LEFT(_xlpm.tk,1))*((ISNUMBER(SEARCH("А",_xlpm.tk))+ISNUMBER(SEARCH("A",_xlpm.tk)))&gt;0)*NOT(ISNUMBER(SEARCH("МА",_xlpm.tk)))*NOT(ISNUMBER(SEARCH("MA",_xlpm.tk))),""),IFERROR(--SUBSTITUTE(SUBSTITUTE(INDEX(_xlpm.a_,1),"А",""),"A",""),"")))</f>
        <v/>
      </c>
      <c r="CU35" t="str" cm="1">
        <f t="array" ref="CU35">IF(CR35="","",_xlfn.LET(_xlpm.tk,_xlfn.TEXTSPLIT(UPPER(CR35)," ",,TRUE),_xlpm.a_,_xlfn._xlws.FILTER(_xlpm.tk,ISNUMBER(--LEFT(_xlpm.tk,1))*((ISNUMBER(SEARCH("МА",_xlpm.tk))+ISNUMBER(SEARCH("MA",_xlpm.tk)))&gt;0),""),IFERROR(--SUBSTITUTE(SUBSTITUTE(INDEX(_xlpm.a_,1),"МА",""),"MA",""),30)))</f>
        <v/>
      </c>
      <c r="CV35" t="str">
        <f>IF(CS35="","",IFERROR(_xlfn.XLOOKUP(CS35,Линии[_n],Линии[_УЗО, мА]),30))</f>
        <v/>
      </c>
      <c r="CW35">
        <f>IF(CS35="",0,IF(ISNUMBER(SEARCH("4P",IFERROR(_xlfn.XLOOKUP(CS35,Линии[_n],Линии[_УЗО строки])&amp;"",""))),0,1))</f>
        <v>0</v>
      </c>
      <c r="CX35" t="str">
        <f>IF(AND(CS35&lt;&gt;"",CS35=BA35),SUMIFS(Линии[_ток на 230 В],Линии[_блок УЗО],BA35,Линии[Щит],A35),"")</f>
        <v/>
      </c>
      <c r="CY35" t="str">
        <f>IF(AND(CS35&lt;&gt;"",CS35=BA35),SUMIFS(Линии[_ток утечки линии, мА],Линии[_блок УЗО],BA35,Линии[Щит],A35),"")</f>
        <v/>
      </c>
      <c r="CZ35">
        <f t="shared" si="30"/>
        <v>0</v>
      </c>
      <c r="DA35">
        <f t="shared" si="31"/>
        <v>0</v>
      </c>
      <c r="DB35">
        <f>IF(B35="",0,IFERROR(--_xlfn.XLOOKUP(B35,Коды_код,Коды_минавт),IFERROR(--_xlfn.XLOOKUP(BC35,Коды_код,Коды_минавт),IFERROR(--_xlfn.XLOOKUP(LEFT(BC35,2),Коды_код,Коды_минавт),0))))</f>
        <v>10</v>
      </c>
      <c r="DC35" t="str">
        <f>IF(B35="","",IFERROR(_xlfn.XLOOKUP(BC35,Коды_код,Коды_апп)&amp;"",""))</f>
        <v/>
      </c>
      <c r="DD35" t="str">
        <f t="shared" si="32"/>
        <v/>
      </c>
      <c r="DE35" t="str" cm="1">
        <f t="array" ref="DE35">IF(TRIM(DD35&amp;"")="","",IFERROR(TRIM(INDEX(_xlfn.TEXTSPLIT(DD35&amp;";;;",";"),1)),""))</f>
        <v/>
      </c>
      <c r="DF35" t="str" cm="1">
        <f t="array" ref="DF35">IF(TRIM(DD35&amp;"")="","",IFERROR(TRIM(INDEX(_xlfn.TEXTSPLIT(DD35&amp;";;;",";"),2)),""))</f>
        <v/>
      </c>
      <c r="DG35" t="str" cm="1">
        <f t="array" ref="DG35">IF(TRIM(DD35&amp;"")="","",IFERROR(TRIM(INDEX(_xlfn.TEXTSPLIT(DD35&amp;";;;",";"),3)),""))</f>
        <v/>
      </c>
      <c r="DH35">
        <f t="shared" si="33"/>
        <v>0</v>
      </c>
      <c r="DI35" t="str">
        <f>IF(B35="","",_xlfn.LET(_xlpm.t,LOWER(AZ35&amp;""),IF(ISNUMBER(SEARCH("dim",_xlpm.t)),"DIM",IF(ISNUMBER(SEARCH("dali",_xlpm.t)),"DALI",IF(OR(ISNUMBER(SEARCH("relay",_xlpm.t)),ISNUMBER(SEARCH("реле",_xlpm.t))),"Relay",IF(ISNUMBER(SEARCH("кнопк",_xlpm.t)),"",IFERROR(_xlfn.XLOOKUP(BC35,Коды_код,Коды_упр)&amp;"","")))))))</f>
        <v/>
      </c>
      <c r="DJ35" t="str">
        <f t="shared" si="34"/>
        <v/>
      </c>
      <c r="DK35">
        <f>IF(B35="","",_xlfn.LET(_xlpm.ig,IF(N(CX35)&gt;0,N(CX35),N(CI35)+IF(AJ35="вручную",0,N(CJ35))),_xlpm.n0,IFERROR(VLOOKUP(_xlpm.ig,Автомат_номиналы,2,TRUE),0),_xlpm.mn,MAX(DB35,IF(AJ35="вручную",0,N(CM35))),MAX(_xlpm.n0,_xlpm.mn,IF(DH35=1,Мин_автомат_БП,0))))</f>
        <v>10</v>
      </c>
      <c r="DL35">
        <f t="shared" si="35"/>
        <v>1</v>
      </c>
      <c r="DM35" t="str">
        <f t="shared" si="36"/>
        <v>1P</v>
      </c>
      <c r="DN35" t="str">
        <f>_xlfn.LET(_xlpm.cc,UPPER(TRIM(IFERROR(_xlfn.XLOOKUP(BC35,Коды_код,Коды_хар)&amp;"",""))),IF(OR(_xlpm.cc="B",_xlpm.cc="В"),"B",IF(_xlpm.cc="D","D","С")))</f>
        <v>С</v>
      </c>
      <c r="DO35" t="str">
        <f t="shared" si="37"/>
        <v>1P С10А</v>
      </c>
      <c r="DP35" t="str">
        <f t="shared" si="38"/>
        <v>1P С10А</v>
      </c>
      <c r="DQ35" t="str">
        <f t="shared" si="39"/>
        <v>1P С10А</v>
      </c>
      <c r="DR35" cm="1">
        <f t="array" ref="DR35">IF(DQ35="","",_xlfn.LET(_xlpm.t,SUBSTITUTE(SUBSTITUTE(SUBSTITUTE(UPPER(DQ35),"С","C"),"А","A"),"В","B"),_xlpm.tk,_xlfn.TEXTSPLIT(_xlpm.t," "),_xlpm.f,_xlfn._xlws.FILTER(_xlpm.tk,ISNUMBER(--MID(_xlpm.tk,2,1))*ISNUMBER(SEARCH(LEFT(_xlpm.tk,1)&amp;"#","B#C#D#"))*(LEN(_xlpm.tk)&gt;1),""),_xlpm.x,INDEX(_xlpm.f,1),IFERROR(--SUBSTITUTE(MID(_xlpm.x,2,9),"A",""),IFERROR(--SUBSTITUTE(INDEX(_xlfn._xlws.FILTER(_xlpm.tk,ISNUMBER(--SUBSTITUTE(_xlpm.tk,"A","")),""),1),"A",""),""))))</f>
        <v>10</v>
      </c>
      <c r="DS35" t="str">
        <f t="shared" si="40"/>
        <v>ok</v>
      </c>
      <c r="DT35">
        <f t="shared" si="41"/>
        <v>10</v>
      </c>
      <c r="DU35" t="str">
        <f t="shared" si="42"/>
        <v>1P С10А</v>
      </c>
      <c r="DV35">
        <f t="shared" si="43"/>
        <v>0</v>
      </c>
      <c r="DW35">
        <f t="shared" si="44"/>
        <v>0</v>
      </c>
      <c r="DX35">
        <f t="shared" si="45"/>
        <v>0</v>
      </c>
      <c r="DY35">
        <f t="shared" si="46"/>
        <v>0.455802844097073</v>
      </c>
      <c r="DZ35">
        <f t="shared" si="47"/>
        <v>1</v>
      </c>
      <c r="EA35">
        <f>IF(ISNUMBER(AP35),AP35,К_прокл)</f>
        <v>1</v>
      </c>
      <c r="EB35">
        <f t="shared" si="48"/>
        <v>2</v>
      </c>
      <c r="EC35">
        <f>IFERROR(N(VLOOKUP(BZ35,Кабель_обозначение,3,FALSE)),1)</f>
        <v>1</v>
      </c>
      <c r="ED35">
        <f>IFERROR(N(_xlfn.XLOOKUP(A35,Щиты[Щит],Щиты[ΔU до шин, %])),0)</f>
        <v>0.17</v>
      </c>
      <c r="EE35" t="str">
        <f>IFERROR(_xlfn.XLOOKUP(A35,Щиты[Щит],Щиты[Zпетли на шинах, Ом]),"")</f>
        <v/>
      </c>
      <c r="EF35">
        <f>IFERROR(N(_xlfn.XLOOKUP(A35,Щиты[Щит],Щиты[ΔU до шин (подбор), %])),0)</f>
        <v>0.65</v>
      </c>
      <c r="EG35" t="str">
        <f>IFERROR(_xlfn.XLOOKUP(A35,Щиты[Щит],Щиты[Zпетли на шинах (подбор), Ом]),"")</f>
        <v/>
      </c>
      <c r="EH35" t="str">
        <f t="shared" si="49"/>
        <v/>
      </c>
      <c r="EI35">
        <f t="shared" si="50"/>
        <v>25</v>
      </c>
      <c r="EJ35">
        <f t="shared" si="51"/>
        <v>2</v>
      </c>
      <c r="EK35">
        <f t="shared" si="52"/>
        <v>0.31</v>
      </c>
      <c r="EL35" s="6">
        <f>IF(B35="","",IF(BV35=1,dU_LED,IF(IFERROR(_xlfn.XLOOKUP(BC35,Коды_код,Коды_уго),"")="Светильник",3,4)+IF(Методика="нормы 2026",MIN(0.5,MAX(0,N(P35)-100)*0.005),0)))</f>
        <v>3</v>
      </c>
      <c r="EM35" cm="1">
        <f t="array" ref="EM35">IF(OR(B35="",BZ35="",EC35&lt;&gt;1),"",_xlfn.LET(_xlpm.sz,Iдоп_S,_xlpm.t_,CHOOSE(EB35,Iдоп_1ж,Iдоп_2ж,Iдоп_3ж)*DZ35*EA35,_xlpm.dcx,BV35=1,_xlpm.inn,IF(_xlpm.dcx,N(O35),N(DT35)),_xlpm.smin,MAX(1.5,CC35),_xlpm.L_,N(P35)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35)/N(BU35)*100,999),IFERROR(N(EJ35)*(_xlpm.rho*_xlpm.L_/_xlpm.sz*N(CE35)+_xlpm.xx*_xlpm.L_*N(EK35)/1000)*N(O35)/((Uн_лин/SQRT(3))*1000)*100,999)),_xlpm.kz,IF(OR(_xlpm.dcx,DW35=1,NOT(ISNUMBER(EG35)),_xlpm.L_=0,_xlpm.inn=0),1,IFERROR(--(c_min*(Uн_лин*1000/SQRT(3))/(EG35+2*ρкз_Cu*_xlpm.L_/_xlpm.sz)&gt;=HT35*_xlpm.inn),0)),_xlpm.ok,IFERROR((_xlpm.sz&gt;=_xlpm.smin)*(_xlpm.t_&gt;=_xlpm.inn)*IF(_xlpm.L_&gt;0,(_xlpm.du_+IF(_xlpm.dcx,0,EF35)&lt;=EL35+0.00001),1)*_xlpm.kz,0),_xlpm.r_,_xlfn._xlws.FILTER(_xlpm.sz,_xlpm.ok,"не подобрано"),INDEX(_xlpm.r_,1)))</f>
        <v>1.5</v>
      </c>
      <c r="EN35">
        <f t="shared" si="53"/>
        <v>1.5</v>
      </c>
      <c r="EO35" cm="1">
        <f t="array" ref="EO35">IF(OR(B35="",BZ35="",EC35&lt;&gt;1),"",_xlfn.LET(_xlpm.sz,Iдоп_S,_xlpm.t_,CHOOSE(EB35,Iдоп_1ж,Iдоп_2ж,Iдоп_3ж)*DZ35*EA35,_xlpm.ok,IFERROR((_xlpm.sz&gt;=MAX(1.5,CC35))*(_xlpm.t_&gt;=N(DT35)),0),_xlpm.r_,_xlfn._xlws.FILTER(_xlpm.sz,_xlpm.ok,""),INDEX(_xlpm.r_,1)))</f>
        <v>1.5</v>
      </c>
      <c r="EP35" s="6" cm="1">
        <f t="array" ref="EP35">IFERROR(ROUNDUP(N(EJ35)*(_xlfn.XLOOKUP(EO35,INDEX(Кабель_сопротивление,0,1),INDEX(Кабель_сопротивление,0,3))*N(P35)/EO35*N(CE35)+_xlfn.XLOOKUP(EO35,INDEX(Кабель_сопротивление,0,1),INDEX(Кабель_сопротивление,0,2))*N(P35)*N(EK35)/1000)*N(O35)/((Uн_лин/SQRT(3))*1000)*100,2),"")</f>
        <v>0.15000000000000002</v>
      </c>
      <c r="EQ35">
        <f>IFERROR(2*ρкз_Cu*N(P35)/EO35,"")</f>
        <v>0.91173333333333328</v>
      </c>
      <c r="ER35">
        <f>IFERROR(VLOOKUP(EN35,Кабель_сопротивление,3,FALSE),"")</f>
        <v>2.2499999999999999E-2</v>
      </c>
      <c r="ES35">
        <f>IFERROR(VLOOKUP(EN35,Кабель_сопротивление,2,FALSE),"")</f>
        <v>0.11</v>
      </c>
      <c r="ET35">
        <f t="shared" si="54"/>
        <v>0</v>
      </c>
      <c r="EU35">
        <f t="shared" si="55"/>
        <v>27</v>
      </c>
      <c r="EV35">
        <f t="shared" si="56"/>
        <v>0.338558137079084</v>
      </c>
      <c r="EW35" s="6">
        <f>IFERROR(ROUNDUP(EV35/IF(BV35=1,BU35,(Uн_лин/SQRT(3))*1000)*100,2),"")</f>
        <v>0.15000000000000002</v>
      </c>
      <c r="EX35" t="str">
        <f>IFERROR(VLOOKUP(BZ35,Кабель_обозначение,2,FALSE),"")</f>
        <v>ВВГнг(А)-LS</v>
      </c>
      <c r="EY35" t="str">
        <f t="shared" si="57"/>
        <v>ВВГнг(А)-LS (3х1,5)</v>
      </c>
      <c r="EZ35" t="str">
        <f t="shared" si="58"/>
        <v>ВВГнг(А)-LS (3х1,5)
L=26-0,15%</v>
      </c>
      <c r="FA35">
        <f>IFERROR(2*ρкз_Cu*P35/EN35,"")</f>
        <v>0.91173333333333328</v>
      </c>
      <c r="FB35">
        <f t="shared" si="59"/>
        <v>0.3033333333333334</v>
      </c>
      <c r="FC35" s="6" t="str">
        <f>IFERROR(IF(OR(B35="",BV35=1,NOT(ISNUMBER(EN35)),N(P35)=0),"",_xlfn.XLOOKUP(A35,Щиты[Щит],Щиты[Zпетли на шинах, Ом])+FA35),"")</f>
        <v/>
      </c>
      <c r="FD35" s="6" t="str">
        <f>IF(ISNUMBER(FC35),c_min*(Uн_лин*1000/SQRT(3))/FC35,"")</f>
        <v/>
      </c>
      <c r="FE35" s="6" t="str">
        <f>IFERROR(IF(OR(B35="",NOT(ISNUMBER(EN35))),"",1.05*(Uн_лин*1000/SQRT(3))/(_xlfn.XLOOKUP(A35,Щиты[Щит],Щиты[Zmax на шинах, Ом])+FB35)/1000),"")</f>
        <v/>
      </c>
      <c r="FF35" s="6" t="str">
        <f>IF(B35="","",IF(ISNUMBER(AC35),"Сил",IF(IFERROR(_xlfn.XLOOKUP(BC35,Коды_код,Коды_группа)&amp;"","")="","Быт",_xlfn.XLOOKUP(BC35,Коды_код,Коды_группа)&amp;"")))</f>
        <v>Быт</v>
      </c>
      <c r="FG35" s="6" t="str">
        <f t="shared" si="60"/>
        <v>Быт</v>
      </c>
      <c r="FH35" s="6">
        <f>IF(FG35="Щит","щит",IF(FG35="","",IF(FG35="Быт",IFERROR(_xlfn.XLOOKUP(A35,Щиты[Щит],Щиты[Кс быт]),1),IF(FG35="Сил",IF(ISNUMBER(AC35),AC35,IF(Методика="нормы 2026",IFERROR(_xlfn.XLOOKUP(A35,Щиты[Щит],Щиты[Кс силовых (табл. 7.5)]),1),1)),IF(OR(FG35="Пост",FG35="Отоп"),1,IF(FG35="ВНГ",0.7,0))))))</f>
        <v>0.8</v>
      </c>
      <c r="FI35">
        <f>IF(FG35="","",IF(AND(BP35=1,TRIM(AE35&amp;"")=""),IF(COUNTIFS(Линии[Щит],A35,Линии[Секция (1/2/3)],"&gt;=2")&gt;0,MIN(3,MAX(1,IFERROR(--BD35,1))),1),IFERROR(MIN(3,MAX(1,INT(--AE35))),1)))</f>
        <v>1</v>
      </c>
      <c r="FJ35">
        <f t="shared" si="61"/>
        <v>0.1</v>
      </c>
      <c r="FK35">
        <f t="shared" si="62"/>
        <v>0.1</v>
      </c>
      <c r="FL35">
        <f t="shared" si="63"/>
        <v>0</v>
      </c>
      <c r="FM35">
        <f t="shared" si="64"/>
        <v>0</v>
      </c>
      <c r="FN35">
        <f t="shared" si="65"/>
        <v>0</v>
      </c>
      <c r="FO35">
        <f t="shared" si="66"/>
        <v>0</v>
      </c>
      <c r="FP35">
        <f t="shared" si="67"/>
        <v>0.1</v>
      </c>
      <c r="FQ35">
        <f t="shared" si="68"/>
        <v>0.1</v>
      </c>
      <c r="FR35">
        <f t="shared" si="69"/>
        <v>9.5000000000000001E-2</v>
      </c>
      <c r="FS35">
        <f>IF(CG35=1,IF(AND(CH35=1,CW35=1),0,IF(AND(CS35&lt;&gt;"",CS35=BA35,CW35=1),SUMIFS(Линии[_Р линии, кВт],Линии[_блок УЗО],BA35,Линии[Щит],A35),N(BS35)+IF(AJ35="вручную",0,N(CK35)))),0)</f>
        <v>0.1</v>
      </c>
      <c r="FT35" t="str">
        <f t="shared" si="70"/>
        <v/>
      </c>
      <c r="FU35" t="str">
        <f>IF(B35="","",IF(CG35=0,IF(BA35=1,"",FW34),IF(AND(CH35=1,CW35=1,CS35&lt;&gt;""),IFERROR(_xlfn.XLOOKUP(CS35,Линии[_n],Линии[_фаза итог]),"L1"),IF(OR(N(DL35)&gt;=3,N(BX35)&gt;=3),"L1,L2,L3",IFERROR(_xlfn.TEXTBEFORE(_xlfn.TEXTAFTER(_xlfn.XLOOKUP(A35,Щиты[Щит],Щиты[_фазы авто]),";"&amp;BA35&amp;":"),";"),"L1")))))</f>
        <v>L1</v>
      </c>
      <c r="FV35" t="str">
        <f t="shared" si="71"/>
        <v>L1</v>
      </c>
      <c r="FW35" t="str">
        <f t="shared" si="72"/>
        <v>L1</v>
      </c>
      <c r="FX35" cm="1">
        <f t="array" ref="FX35">IFERROR(IF(CD35=2,_xlfn.IFS(BX35=3,VLOOKUP(BS35,Справочная_двигатели,3,FALSE),BX35=1,VLOOKUP(BS35,Справочная_двигатели,5,TRUE)),0),0)</f>
        <v>0</v>
      </c>
      <c r="FY35">
        <f>IFERROR(IF(CD35=3,VLOOKUP(BS35,Справочная_ЛЭД,2,TRUE),0),0)</f>
        <v>50</v>
      </c>
      <c r="FZ35" s="6">
        <f t="shared" si="73"/>
        <v>50</v>
      </c>
      <c r="GA35" t="str">
        <f>IF(B35="","",IF(TRIM(AH35&amp;"")&lt;&gt;"",IF(LOWER(TRIM(AH35&amp;""))="да","да","нет"),IF(IFERROR(_xlfn.XLOOKUP(BC35,Коды_код,Коды_пожарная),"")="да","да","нет")))</f>
        <v>нет</v>
      </c>
      <c r="GB35" t="str">
        <f t="shared" si="74"/>
        <v/>
      </c>
      <c r="GC35" t="str">
        <f t="shared" si="75"/>
        <v>основная</v>
      </c>
      <c r="GD35">
        <f>IF(AND(BP35=1,TRIM(AE35&amp;"")=""),IF(COUNTIFS(Линии[Щит],A35,Линии[Секция (1/2/3)],"&gt;=2")&gt;0,MIN(3,MAX(1,IFERROR(--BD35,1))),1),IFERROR(MIN(3,MAX(1,INT(--AE35))),1))</f>
        <v>1</v>
      </c>
      <c r="GE35" t="str" cm="1">
        <f t="array" ref="GE35">IF(B35="","",_xlfn.LET(_xlpm.t,IFERROR(_xlfn.XLOOKUP(1,(Шины[Шина]=GC35)*(((Шины[Щит]=A35)+(Шины[Щит]=""))&gt;0),Шины[Тип]),"")&amp;"",IF(_xlpm.t&lt;&gt;"",_xlpm.t,IF(ISNUMBER(SEARCH("ИБП",GC35)),"ИБП",IF(ISNUMBER(SEARCH("ДГУ",GC35)),"ДГУ","Ввод "&amp;GD35)))))</f>
        <v>Ввод 1</v>
      </c>
      <c r="GF35" t="str">
        <f t="shared" si="76"/>
        <v>Ввод 1</v>
      </c>
      <c r="GG35" t="str">
        <f>IF(BP35=0,"",IF(TRIM(AG35&amp;"")&lt;&gt;"",TRIM(AG35&amp;""),IF(OR(GE35="ИБП",GE35="ДГУ"),"I особая",_xlfn.XLOOKUP(A35,Щиты[Щит],Щиты[Категория шины «Ввод»],"III"))))</f>
        <v/>
      </c>
      <c r="GH35" t="str">
        <f>IF(A35="","",_xlfn.XLOOKUP(A35,Щиты[Щит],Щиты[Путь],""))</f>
        <v>|ГРЩ-ЖД|ЩГП|ЩО-001|</v>
      </c>
      <c r="GI35" t="str">
        <f>IF(B35="","",IF(AI35&lt;&gt;"",AI35,IF(IFERROR(_xlfn.XLOOKUP(BC35,Коды_код,Коды_вид)&amp;"","")="","Прочее",_xlfn.XLOOKUP(BC35,Коды_код,Коды_вид)&amp;"")))</f>
        <v>Рабочее освещение</v>
      </c>
      <c r="GJ35" t="str">
        <f>IF(BM35="","",INT((BM35-1)/Столбцов_на_лист)+1)</f>
        <v/>
      </c>
      <c r="GK35" t="str">
        <f t="shared" si="77"/>
        <v>ВВГнг(А)-LS (3х1,5) L=26-0,15%</v>
      </c>
      <c r="GL35">
        <f t="shared" si="78"/>
        <v>0.1</v>
      </c>
      <c r="GM35">
        <f t="shared" si="79"/>
        <v>0.46</v>
      </c>
      <c r="GN35">
        <f t="shared" si="80"/>
        <v>1</v>
      </c>
      <c r="GO35">
        <f t="shared" si="81"/>
        <v>0</v>
      </c>
      <c r="GP35">
        <f t="shared" si="82"/>
        <v>0</v>
      </c>
      <c r="GQ35" t="str">
        <f>IF(BM35="","",IF(AND(CG35=1,GP35=1),COUNTIFS(A$3:A35,A35,CG$3:CG35,1,GP$3:GP35,1),IF(OR(OR(BA35=1,A35&lt;&gt;A34),AJ35="вручную",GP35=0),"",IF(BA35=1,"",GR34))))</f>
        <v/>
      </c>
      <c r="GR35" t="str">
        <f t="shared" si="83"/>
        <v/>
      </c>
      <c r="GS35">
        <f>IF(B35="","",IFERROR(LOOKUP(INDEX(CHOOSE(EB35,Iдоп_1ж,Iдоп_2ж,Iдоп_3ж),MATCH(EN35,Iдоп_S,0))*DZ35*EA35,{6,10,16,20,25,32,40,50,63,80,100,125,160,200,250,315,400,500,630}),""))</f>
        <v>16</v>
      </c>
      <c r="GT35" t="str">
        <f t="shared" si="84"/>
        <v/>
      </c>
      <c r="GU35" t="str">
        <f t="shared" si="85"/>
        <v/>
      </c>
      <c r="GV35" t="str">
        <f t="shared" si="86"/>
        <v/>
      </c>
      <c r="GW35">
        <f t="shared" si="87"/>
        <v>0</v>
      </c>
      <c r="GX35" t="str">
        <f>IF(OR(B35="",DJ35=""),"",IFERROR(_xlfn.XLOOKUP(DJ35,Модули_умолч[Управление],Модули_умолч[Модель])&amp;"",""))</f>
        <v/>
      </c>
      <c r="GY35">
        <f>IF(DJ35="",1,IFERROR(MAX(0,N(_xlfn.XLOOKUP(DJ35,Модули_умолч[Управление],Модули_умолч[Каналов на линию]))),1))</f>
        <v>1</v>
      </c>
      <c r="GZ35" t="str">
        <f t="shared" si="88"/>
        <v/>
      </c>
      <c r="HA35" t="str">
        <f t="shared" si="89"/>
        <v/>
      </c>
      <c r="HB35" t="str">
        <f t="shared" si="90"/>
        <v/>
      </c>
      <c r="HC35">
        <f>IF(HB35="",0,IFERROR(N(VLOOKUP(HB35,Модули_спр,3,FALSE)),0))</f>
        <v>0</v>
      </c>
      <c r="HD35" t="str">
        <f t="shared" si="91"/>
        <v/>
      </c>
      <c r="HE35" t="str">
        <f t="shared" si="92"/>
        <v/>
      </c>
      <c r="HF35" t="str">
        <f>IF(OR(HE35="",HE35="-"),"",IFERROR(VLOOKUP(HE35,Модули_спр,2,FALSE),"R"))</f>
        <v/>
      </c>
      <c r="HG35" t="str">
        <f>IF(HF35="","",HF35&amp;"."&amp;COUNTIFS(A$3:A35,A35,HF$3:HF35,HF35))</f>
        <v/>
      </c>
      <c r="HH35" t="str">
        <f t="shared" si="93"/>
        <v/>
      </c>
      <c r="HI35" t="str">
        <f t="shared" si="94"/>
        <v/>
      </c>
      <c r="HJ35" t="str">
        <f t="shared" si="95"/>
        <v/>
      </c>
      <c r="HK35" t="str">
        <f t="shared" si="96"/>
        <v/>
      </c>
      <c r="HL35">
        <f t="shared" si="97"/>
        <v>1</v>
      </c>
      <c r="HM35" t="str">
        <f>IF(HL35=1,"XT"&amp;COUNTIFS(A$3:A35,A35,HL$3:HL35,1),"")</f>
        <v>XT4</v>
      </c>
      <c r="HN35" t="str">
        <f t="shared" si="98"/>
        <v>XT4</v>
      </c>
      <c r="HO35" t="str">
        <f t="shared" si="99"/>
        <v/>
      </c>
      <c r="HP35" t="str">
        <f t="shared" si="100"/>
        <v/>
      </c>
      <c r="HQ35" t="str">
        <f t="shared" si="101"/>
        <v>ok</v>
      </c>
      <c r="HR35" t="str">
        <f>IF(OR(HJ35="",HH35=""),"",IF(HJ35+MAX(0,GY35-1)&gt;IFERROR(VLOOKUP(HI35,Модули_спр,3,FALSE),99),"ЛИШНИЙ КАНАЛ",IF(AND(AL35&lt;&gt;"=",GY35&gt;0,COUNTIFS(Линии[_модуль гр.],HH35,Линии[Канал (итог)],HJ35,Линии[Канал],"&lt;&gt;=",Линии[Щит],A35)&gt;1),"ДУБЛЬ КАНАЛА","")))</f>
        <v/>
      </c>
      <c r="HS35" s="6" t="str">
        <f t="shared" si="102"/>
        <v/>
      </c>
      <c r="HT35">
        <f t="shared" si="103"/>
        <v>10</v>
      </c>
      <c r="HU35" t="str">
        <f t="shared" si="104"/>
        <v/>
      </c>
      <c r="HV35">
        <f t="shared" si="105"/>
        <v>0.44232113763882919</v>
      </c>
      <c r="HW35">
        <f t="shared" si="106"/>
        <v>0</v>
      </c>
      <c r="HX35">
        <f t="shared" si="107"/>
        <v>0</v>
      </c>
      <c r="HY35">
        <f t="shared" si="108"/>
        <v>0</v>
      </c>
      <c r="HZ35">
        <f t="shared" si="109"/>
        <v>0</v>
      </c>
      <c r="IA35">
        <f t="shared" si="110"/>
        <v>0</v>
      </c>
      <c r="IB35">
        <f t="shared" si="111"/>
        <v>0</v>
      </c>
      <c r="IC35" t="str">
        <f t="shared" si="112"/>
        <v/>
      </c>
      <c r="ID35" t="str" cm="1">
        <f t="array" ref="ID35">IF(IC35="","",_xlfn.LET(_xlpm.tk,_xlfn.TEXTSPLIT(SUBSTITUTE(SUBSTITUTE(IC35,";"," "),"→"," ")," ",,TRUE),_xlpm.w_,_xlfn._xlws.FILTER(_xlpm.tk,ISNUMBER(--LEFT(_xlpm.tk,1))*((ISNUMBER(SEARCH("W",_xlpm.tk))+ISNUMBER(SEARCH("Вт",_xlpm.tk)))&gt;0),""),IFERROR(--SUBSTITUTE(SUBSTITUTE(UPPER(INDEX(_xlpm.w_,1)),"W",""),"ВТ",""),"")))</f>
        <v/>
      </c>
      <c r="IE35" t="str" cm="1">
        <f t="array" ref="IE35">IF(IC35="","",_xlfn.LET(_xlpm.tk,_xlfn.TEXTSPLIT(SUBSTITUTE(SUBSTITUTE(IC35,";"," "),"→"," ")," ",,TRUE),_xlpm.v_,_xlfn._xlws.FILTER(_xlpm.tk,ISNUMBER(--LEFT(_xlpm.tk,1))*((ISNUMBER(SEARCH("V",_xlpm.tk))+(RIGHT(UPPER(_xlpm.tk))="В"))&gt;0),""),IFERROR(--SUBSTITUTE(SUBSTITUTE(UPPER(INDEX(_xlpm.v_,1)),"V",""),"В",""),"")))</f>
        <v/>
      </c>
      <c r="IF35" s="6" t="str">
        <f>IF(OR(BV35=0,HI35="",HJ35=""),"",IFERROR(N(_xlfn.XLOOKUP(HI35,Каталог!$C$4:$C$500,Каталог!$Q$4:$Q$500)),""))</f>
        <v/>
      </c>
      <c r="IG35" s="6" t="str">
        <f>IF(N(IF35)=0,"",SUMIFS(Линии[Iр, А],Линии[Щит],A35,Линии[_модуль гр.],HH35,Линии[Канал (итог)],HJ35))</f>
        <v/>
      </c>
      <c r="IH35" t="str">
        <f>IF(AND(B35="",HO35=""),"",_xlfn.TEXTJOIN("; ",TRUE,IF(AND(B35&lt;&gt;"",FV35=""),"нет фазы",""),IF(AND(B35&lt;&gt;"",N(GL35)=0,FG35&lt;&gt;"Нет"),"нет мощности",""),IF(AND(HN35&lt;&gt;"",COUNTIFS(Линии[Щит],A35,Линии[Клемма (итог)],HN35)&gt;1),"дубль клеммы "&amp;HN35,""),IF(AND(HQ35&lt;&gt;"",HQ35&lt;&gt;"ok"),HQ35,""),IF(HR35&lt;&gt;"",HR35,""),IF(AND(N(CB35)&gt;=4,N(BX35)=1),CB35&amp;" жил на 1 фазе",""),IF(AND(BC35="R",CG35=1,IF(CS35&lt;&gt;"",N(CV35)&gt;30,OR(N(DA35)=0,N(DA35)&gt;30))),"розетка без дифзащиты до 30 мА",""),IF(AND(CG35=1,N(DA35)&gt;0,ISNUMBER(T35)),IF(T35&gt;N(DA35)/3,"ток утечки "&amp;FIXED(T35,1)&amp;" мА &gt; 1/3 уставки ("&amp;DA35&amp;" мА)",""),""),IF(AND(CH35=1,CS35=""),"«узо»: нет строки с УЗО выше (УЗО 2P 40А 30мА в «Аппаратах»)",""),IF(AND(CS35&lt;&gt;"",CS35=BA35),IF(CT35="","впишите номинал УЗО (УЗО 2P 40А 30мА)",IF(N(CT35)&lt;N(DT35),"УЗО "&amp;CT35&amp;" А &lt; автомата "&amp;DT35&amp;" А перед ним",IF(N(CT35)&lt;N(CX35),"УЗО "&amp;CT35&amp;" А &lt; тока блока "&amp;FIXED(CX35,1)&amp;" А",""))),""),IF(AND(CS35&lt;&gt;"",CS35=BA35,ISNUMBER(CY35)),IF(CY35&gt;N(CV35)/3,"ток утечки блока УЗО "&amp;FIXED(CY35,1)&amp;" мА &gt; 1/3 уставки ("&amp;CV35&amp;" мА)",""),""),IF(AND(CG35=1,N(BV35)+N(IB35)&gt;0,IC35=""),"линии до 50 В без БП: впишите в «Аппараты» (БП 24V 480W)",""),IF(AND(CG35=1,ISNUMBER(ID35),ISNUMBER(U35)),IF(U35&gt;ID35,"БП "&amp;ID35&amp;" Вт &lt; нужно "&amp;U35&amp;" Вт (×"&amp;Запас_БП&amp;")",""),""),IF(AND(CG35=1,ISNUMBER(IE35),N(BV35)=1),IF(IE35&lt;&gt;N(BU35),"БП на "&amp;IE35&amp;" В, линия "&amp;BU35&amp;" В",""),""),IF(AND(N(IF35)&gt;0,N(IG35)&gt;N(IF35)),HH35&amp;" канал "&amp;HJ35&amp;": "&amp;FIXED(IG35,1)&amp;" А &gt; "&amp;IF35&amp;" А",""),IFERROR(IF(AND(ISNUMBER(Q35),Q35&gt;EL35),"потери "&amp;FIXED(Q35,1)&amp;" % &gt; "&amp;EL35&amp;" %",""),""),IFERROR(IF(LEFT(HU35,4)="мало","Iкз мало — отключение &gt; 0,4 с",""),""),IF(AND(B35&lt;&gt;"",BM35=""),"не на схеме",""),IF(AND(CG35=0,B35&lt;&gt;"",FV35&lt;&gt;"",IF(BA35=1,"",FW34)&lt;&gt;"",FV35&lt;&gt;IF(BA35=1,"",FW34)),"фаза не как у автомата группы ("&amp;IF(BA35=1,"",FW34)&amp;")","")))</f>
        <v>не на схеме</v>
      </c>
      <c r="II35" s="6">
        <f>IF(OR(CG35=0,DQ35=""),"",_xlfn.LET(_xlpm.t,IFERROR(_xlfn.XLOOKUP(DQ35,Каталог!$U$4:$U$500,Каталог!$G$4:$G$500),""),_xlpm.k,SEARCH("кА",_xlpm.t),IFERROR(--TRIM(RIGHT(SUBSTITUTE(MID(_xlpm.t,MAX(1,_xlpm.k-4),_xlpm.k-MAX(1,_xlpm.k-4))," ",REPT(" ",9)),5)),"")))</f>
        <v>6</v>
      </c>
      <c r="IJ35" t="str">
        <f>IF(OR(II35="",CG35=0),"",IF(_xlfn.XLOOKUP(A35,Щиты[Щит],Щиты[Iкз max на шинах, кА],"")="","",IF(II35&lt;_xlfn.XLOOKUP(A35,Щиты[Щит],Щиты[Iкз max на шинах, кА]),"Icu "&amp;II35&amp;" кА &lt; Iкз max","ok")))</f>
        <v/>
      </c>
      <c r="IK35" t="str">
        <f t="shared" si="113"/>
        <v/>
      </c>
      <c r="IL35" t="str">
        <f t="shared" si="114"/>
        <v/>
      </c>
      <c r="IM35" t="str">
        <f t="shared" si="115"/>
        <v/>
      </c>
      <c r="IN35" t="str" cm="1">
        <f t="array" ref="IN35">IF(IM35="","",_xlfn.LET(_xlpm.nd,_xlfn.TEXTSPLIT(IM35,"|"),IF(COLUMNS(_xlpm.nd)&gt;1,A35&amp;"¦"&amp;INDEX(_xlpm.nd,1)&amp;"¦"&amp;INDEX(_xlpm.nd,2),"")))</f>
        <v/>
      </c>
      <c r="IO35" t="str">
        <f t="shared" si="116"/>
        <v/>
      </c>
      <c r="IP35" t="str" cm="1">
        <f t="array" ref="IP35">IF(IM35="","",_xlfn.LET(_xlpm.nd,_xlfn.TEXTSPLIT(IM35,"|"),IF(COLUMNS(_xlpm.nd)&gt;2,A35&amp;"¦"&amp;INDEX(_xlpm.nd,2)&amp;"¦"&amp;INDEX(_xlpm.nd,3),"")))</f>
        <v/>
      </c>
      <c r="IQ35" t="str">
        <f t="shared" si="117"/>
        <v/>
      </c>
      <c r="IR35" t="str" cm="1">
        <f t="array" ref="IR35">IF(IM35="","",_xlfn.LET(_xlpm.nd,_xlfn.TEXTSPLIT(IM35,"|"),IF(COLUMNS(_xlpm.nd)&gt;3,A35&amp;"¦"&amp;INDEX(_xlpm.nd,3)&amp;"¦"&amp;INDEX(_xlpm.nd,4),"")))</f>
        <v/>
      </c>
      <c r="IS35" t="str">
        <f t="shared" si="118"/>
        <v/>
      </c>
      <c r="IT35" t="str" cm="1">
        <f t="array" ref="IT35">IF(IM35="","",_xlfn.LET(_xlpm.nd,_xlfn.TEXTSPLIT(IM35,"|"),IF(COLUMNS(_xlpm.nd)&gt;4,A35&amp;"¦"&amp;INDEX(_xlpm.nd,4)&amp;"¦"&amp;INDEX(_xlpm.nd,5),"")))</f>
        <v/>
      </c>
      <c r="IU35" t="str">
        <f t="shared" si="119"/>
        <v/>
      </c>
      <c r="IV35" t="str" cm="1">
        <f t="array" ref="IV35">IF(IM35="","",_xlfn.LET(_xlpm.nd,_xlfn.TEXTSPLIT(IM35,"|"),IF(COLUMNS(_xlpm.nd)&gt;5,A35&amp;"¦"&amp;INDEX(_xlpm.nd,5)&amp;"¦"&amp;INDEX(_xlpm.nd,6),"")))</f>
        <v/>
      </c>
      <c r="IW35" t="str">
        <f t="shared" si="120"/>
        <v/>
      </c>
      <c r="IX35" t="str" cm="1">
        <f t="array" ref="IX35">IF(IM35="","",_xlfn.LET(_xlpm.nd,_xlfn.TEXTSPLIT(IM35,"|"),IF(COLUMNS(_xlpm.nd)&gt;6,A35&amp;"¦"&amp;INDEX(_xlpm.nd,6)&amp;"¦"&amp;INDEX(_xlpm.nd,7),"")))</f>
        <v/>
      </c>
      <c r="IY35" t="str">
        <f t="shared" si="121"/>
        <v/>
      </c>
      <c r="IZ35" t="str">
        <f t="shared" si="122"/>
        <v/>
      </c>
      <c r="JA35" t="str">
        <f t="shared" si="123"/>
        <v>XT4</v>
      </c>
      <c r="JB35">
        <f t="shared" si="124"/>
        <v>0</v>
      </c>
      <c r="JC35">
        <f t="shared" si="125"/>
        <v>0</v>
      </c>
      <c r="JD35" t="str">
        <f t="shared" si="126"/>
        <v/>
      </c>
      <c r="JE35" t="str">
        <f t="shared" si="127"/>
        <v/>
      </c>
      <c r="JF35" t="str">
        <f t="shared" si="128"/>
        <v/>
      </c>
      <c r="JG35" t="str">
        <f t="shared" si="129"/>
        <v/>
      </c>
      <c r="JH35" t="str">
        <f>IF(B35="","",IFERROR(_xlfn.XLOOKUP(B35,Коды_код,Коды_уго),IFERROR(_xlfn.XLOOKUP(BC35,Коды_код,Коды_уго),IFERROR(_xlfn.XLOOKUP(LEFT(BC35,2),Коды_код,Коды_уго),""))))</f>
        <v>Светильник</v>
      </c>
      <c r="JI35" t="str">
        <f>IF(B35="","",IF(OR(JH35="",JH35=0),"BOX",IFERROR(IF(VLOOKUP(JH35,УГО_блоки,3,FALSE)&amp;""&lt;&gt;"",VLOOKUP(JH35,УГО_блоки,3,FALSE),VLOOKUP(JH35,УГО_блоки,2,FALSE)),JH35)))</f>
        <v>LAMP</v>
      </c>
      <c r="JJ35">
        <f t="shared" si="130"/>
        <v>1</v>
      </c>
      <c r="JK35" t="str">
        <f>IF(DQ35="","",IF(COUNTIF(DQ$3:DQ35,DQ35)=1,MAX(JK$2:JK34)+1,""))</f>
        <v/>
      </c>
      <c r="JL35" t="str">
        <f>IF(DE35="","",IF(COUNTIF(DE$3:DE35,DE35)+COUNTIF(DF$2:DF34,DE35)+COUNTIF(DG$2:DG34,DE35)=1,MAX(JL$2:JN34)+1,""))</f>
        <v/>
      </c>
      <c r="JM35" t="str">
        <f>IF(DF35="","",IF(COUNTIF(DE$3:DE35,DF35)+COUNTIF(DF$3:DF35,DF35)+COUNTIF(DG$2:DG34,DF35)=1,MAX(JL$2:JN34,JL35)+1,""))</f>
        <v/>
      </c>
      <c r="JN35" t="str">
        <f>IF(DG35="","",IF(COUNTIF(DE$3:DE35,DG35)+COUNTIF(DF$3:DF35,DG35)+COUNTIF(DG$3:DG35,DG35)=1,MAX(JL$2:JN34,JL35,JM35)+1,""))</f>
        <v/>
      </c>
      <c r="JO35" t="str">
        <f t="shared" si="131"/>
        <v>3х1,5</v>
      </c>
      <c r="JP35" t="str">
        <f>IF(JO35="","",IF(COUNTIF(JO$3:JO35,JO35)=1,MAX(JP$2:JP34)+1,""))</f>
        <v/>
      </c>
      <c r="JQ35" t="str">
        <f>IF(HG35="","",COUNTIF(HG$3:HG35,"?*"))</f>
        <v/>
      </c>
      <c r="JR35" t="str">
        <f>IF(OR(HG35="",HI35=""),"",IF(COUNTIFS(HG$3:HG35,"?*",HI$3:HI35,HI35)=1,MAX(JR$2:JR34)+1,""))</f>
        <v/>
      </c>
      <c r="JS35">
        <f t="shared" si="132"/>
        <v>1</v>
      </c>
      <c r="JT35">
        <f>IF(B35="","",COUNTIF(B$3:B35,"?*"))</f>
        <v>33</v>
      </c>
      <c r="JU35">
        <f>IF(HL35&lt;&gt;1,0,_xlfn.LET(_xlpm.k,MAX(IFERROR(--_xlfn.XLOOKUP(B35,Коды_код,Коды_3L),0),IFERROR(--_xlfn.XLOOKUP(BC35,Коды_код,Коды_3L),0),IFERROR(--_xlfn.XLOOKUP(LEFT(BC35,2),Коды_код,Коды_3L),0)),IF(_xlpm.k&gt;0,_xlpm.k,IF(IFERROR(--LEFT(SUBSTITUTE(JO35,"x","х"),FIND("х",SUBSTITUTE(JO35,"x","х"))-1),3)&gt;3,Каталог!$S$9,1))))</f>
        <v>1</v>
      </c>
      <c r="JV35">
        <f t="shared" si="133"/>
        <v>0</v>
      </c>
      <c r="JW35" t="str">
        <f t="shared" si="134"/>
        <v>авто</v>
      </c>
      <c r="JX35" t="str">
        <f t="shared" si="135"/>
        <v/>
      </c>
      <c r="JY35">
        <f t="shared" si="136"/>
        <v>0</v>
      </c>
      <c r="JZ35">
        <f t="shared" si="137"/>
        <v>1</v>
      </c>
    </row>
    <row r="36" spans="1:286" x14ac:dyDescent="0.3">
      <c r="A36" t="s">
        <v>1109</v>
      </c>
      <c r="B36" t="s">
        <v>1350</v>
      </c>
      <c r="C36" t="str">
        <f>Линии[[#This Row],[_авто наименование]]</f>
        <v>Осветительная группа, пом. 002Б</v>
      </c>
      <c r="D36">
        <v>2</v>
      </c>
      <c r="E36">
        <v>0.1</v>
      </c>
      <c r="G36" t="str">
        <f>Линии[[#This Row],[_авто автомат]]</f>
        <v>1P С10А</v>
      </c>
      <c r="H36" t="str">
        <f>Линии[[#This Row],[_авто управление]]</f>
        <v/>
      </c>
      <c r="I36" t="str">
        <f>Линии[[#This Row],[_авто аппараты]]</f>
        <v/>
      </c>
      <c r="J36">
        <v>1.5</v>
      </c>
      <c r="K36">
        <v>38</v>
      </c>
      <c r="L36" t="str">
        <f>Линии[[#This Row],[_авто фаза]]</f>
        <v>L2</v>
      </c>
      <c r="M36" t="str">
        <f>Линии[[#This Row],[_авто клемма]]</f>
        <v>XT5</v>
      </c>
      <c r="N36" t="str">
        <f t="shared" si="0"/>
        <v>не на схеме</v>
      </c>
      <c r="O36" s="6" cm="1">
        <f t="array" ref="O36">IF(B36="","",IF(BH36&lt;&gt;"",IFERROR(_xlfn.XLOOKUP(BH36,Щиты[Щит],Щиты[Iр, А]),""),IF(BP36=1,IF(OR(N(_xlfn.XLOOKUP(A36,Щиты[Щит],Щиты[Вводов],1))&lt;=1,LOWER(TRIM(_xlfn.XLOOKUP(A36,Щиты[Щит],Щиты[АВР],"")&amp;""))="да"),IFERROR(_xlfn.XLOOKUP(A36,Щиты[Щит],Щиты[Iр, А]),""),IFERROR(N(BS36)*_xlfn.XLOOKUP(A36,Щиты[Щит],Щиты[Кс итог])/(SQRT(3)*Uн_лин*_xlfn.XLOOKUP(A36,Щиты[Щит],Щиты[cos φ])),"")),IF(BV36=1,IFERROR(BS36*1000/BU36,""),IFERROR(_xlfn.IFS(BX36=1,BS36/((Uн_лин/SQRT(3))*CE36),BX36=3,BS36/(SQRT(3)*Uн_лин*CE36)),"")))))</f>
        <v>0.455802844097073</v>
      </c>
      <c r="P36" s="7">
        <f>IF(B36="","",IFERROR(IF(VLOOKUP(BC36,Потребители_обозначение,4,FALSE)=1,VLOOKUP(BC36,Потребители_обозначение,3,FALSE)*(MAX(1,N(D36))*2-1)+EI36+VLOOKUP(BE36,Этаж_обозначение,3,FALSE)+VLOOKUP(BE36,Этаж_обозначение,4,FALSE),VLOOKUP(BC36,Потребители_обозначение,3,FALSE)*(MAX(1,N(D36))*2-1)+EI36),EI36))</f>
        <v>41</v>
      </c>
      <c r="Q36" s="6">
        <f t="shared" si="1"/>
        <v>0.41000000000000003</v>
      </c>
      <c r="R36" t="str">
        <f t="shared" si="2"/>
        <v>ВВГнг(А)-LS (3х1,5)</v>
      </c>
      <c r="S36" t="str">
        <f>IF(BM36="","",IF(BN36="вводной узел","узел ","")&amp;"л."&amp;(INT((BM36-1)/Столбцов_на_лист)+1)&amp;" / "&amp;(MOD(BM36-1,Столбцов_на_лист)+1))</f>
        <v/>
      </c>
      <c r="T36" s="119">
        <f t="shared" si="3"/>
        <v>0.6</v>
      </c>
      <c r="U36" s="7" t="str">
        <f>IF(OR(CG36=0,N(BV36)+N(IB36)=0),"",ROUNDUP(Запас_БП*(N(HY36)+N(HZ36)),0))</f>
        <v/>
      </c>
      <c r="V36" s="119" t="str">
        <f t="shared" si="4"/>
        <v/>
      </c>
      <c r="W36" s="7" t="str">
        <f>IFERROR(IF(OR(B36="",BP36=1,BV36=1,NOT(ISNUMBER(EN36)),N(DT36)=0),"",MAX(0,ROUNDDOWN((c_min*(Uн_лин*1000/SQRT(3))/(HT36*N(DT36))-_xlfn.XLOOKUP(A36,Щиты[Щит],Щиты[Zпетли на шинах, Ом]))*EN36/(2*ρкз_Cu),0))),"")</f>
        <v/>
      </c>
      <c r="Y36" t="str">
        <f>Линии[[#This Row],[_авто утечка]]</f>
        <v/>
      </c>
      <c r="Z36">
        <v>1</v>
      </c>
      <c r="AA36">
        <v>230</v>
      </c>
      <c r="AB36" t="s">
        <v>562</v>
      </c>
      <c r="AI36" t="s">
        <v>555</v>
      </c>
      <c r="AK36" t="str">
        <f>Линии[[#This Row],[_авто модуль]]</f>
        <v/>
      </c>
      <c r="AM36" t="s">
        <v>527</v>
      </c>
      <c r="AN36" t="s">
        <v>11</v>
      </c>
      <c r="AO36">
        <v>3</v>
      </c>
      <c r="AQ36">
        <v>3</v>
      </c>
      <c r="AR36">
        <v>0</v>
      </c>
      <c r="AS36">
        <v>39</v>
      </c>
      <c r="BA36" cm="1">
        <f t="array" ref="BA36">ROW()-ROW(Линии[#Headers])</f>
        <v>34</v>
      </c>
      <c r="BC36" s="6" t="str">
        <f t="shared" si="5"/>
        <v>L</v>
      </c>
      <c r="BD36" t="str">
        <f t="shared" si="6"/>
        <v>00.002Б.1</v>
      </c>
      <c r="BE36" t="str">
        <f t="shared" si="7"/>
        <v>00</v>
      </c>
      <c r="BF36" t="str">
        <f t="shared" si="8"/>
        <v>002Б.1</v>
      </c>
      <c r="BG36" t="str">
        <f t="shared" si="9"/>
        <v>002Б</v>
      </c>
      <c r="BH36" t="str">
        <f>IF(X36&lt;&gt;"",X36,IF(AND(B36&lt;&gt;"",B36&lt;&gt;A36,ISNUMBER(_xlfn.XMATCH(B36,Щиты[Щит]))),B36,""))</f>
        <v/>
      </c>
      <c r="BI36" t="str" cm="1">
        <f t="array" ref="BI36">IF(B36="","",IF(BH36&lt;&gt;"","Щит "&amp;BH36,_xlfn.LET(_xlpm.nm,IFERROR(_xlfn.XLOOKUP(BC36,Коды_код,Коды_имя)&amp;"",""),_xlpm.md,IFERROR(N(_xlfn.XLOOKUP(BC36,Коды_код,Коды_режим)),1),_xlpm.ex,IF(Имя_режим="по экспликации",IFERROR(_xlfn.XLOOKUP(BE36&amp;"|"&amp;BG36,Экспликация[Этаж]&amp;"|"&amp;Экспликация[Помещение],Экспликация[Название])&amp;"",""),""),_xlpm.rm,IF(BG36="","",IF(_xlpm.ex&lt;&gt;"",". "&amp;_xlpm.ex&amp;IF(Имя_пом="нет"," ("&amp;BG36&amp;")"," (пом. "&amp;BG36&amp;")"),IF(Имя_пом="нет"," ",", пом. ")&amp;BG36)),IF(_xlpm.nm="","",IF(_xlpm.md=2,_xlpm.nm&amp;" шлейф "&amp;BE36,_xlpm.nm&amp;_xlpm.rm)))))</f>
        <v>Осветительная группа, пом. 002Б</v>
      </c>
      <c r="BJ36" t="str">
        <f t="shared" si="10"/>
        <v>Осветительная группа, пом. 002Б</v>
      </c>
      <c r="BK36">
        <f>IFERROR(_xlfn.XMATCH(A36,Щиты[Щит]),0)</f>
        <v>3</v>
      </c>
      <c r="BL36">
        <f>_xlfn.LET(_xlpm.k,IFERROR(_xlfn.XLOOKUP(A36,Щиты[Щит],Щиты[Мест под вводной узел]),""),IF(_xlpm.k="",Столбцов_на_лист,N(_xlpm.k)))</f>
        <v>17</v>
      </c>
      <c r="BM36" t="str">
        <f t="shared" si="11"/>
        <v/>
      </c>
      <c r="BN36" t="str">
        <f t="shared" si="12"/>
        <v/>
      </c>
      <c r="BO36" s="6">
        <f>IFERROR(N(_xlfn.XLOOKUP(BC36,Коды_код,Коды_квт)),0)</f>
        <v>0</v>
      </c>
      <c r="BP36">
        <f t="shared" si="13"/>
        <v>0</v>
      </c>
      <c r="BQ36" t="str">
        <f>IF(B36="","",IF(BH36&lt;&gt;"",IFERROR(_xlfn.XLOOKUP(BH36,Щиты[Щит],Щиты[Руст, кВт]),0),IF(BP36=1,IF(OR(N(_xlfn.XLOOKUP(A36,Щиты[Щит],Щиты[Вводов],1))&lt;=1,LOWER(TRIM(_xlfn.XLOOKUP(A36,Щиты[Щит],Щиты[АВР],"")&amp;""))="да"),IFERROR(_xlfn.XLOOKUP(A36,Щиты[Щит],Щиты[Руст, кВт]),0),SUMIFS(Линии[_Р для вводов],Линии[Щит],A36,Линии[Источник для режимов],GF36)),IF(BO36&gt;0,ROUND(BO36*MAX(1,N(D36)),3),""))))</f>
        <v/>
      </c>
      <c r="BR36">
        <f t="shared" si="14"/>
        <v>0.1</v>
      </c>
      <c r="BS36" s="6">
        <f>IF(B36="","",IF(BH36&lt;&gt;"",IFERROR(_xlfn.XLOOKUP(BH36,Щиты[Щит],Щиты[Руст, кВт]),0),N(BR36)))</f>
        <v>0.1</v>
      </c>
      <c r="BT36" t="str">
        <f>IF(B36="","",IFERROR(IF(VLOOKUP(BC36,Потребители_обозначение,8,FALSE)=0,"",VLOOKUP(BC36,Потребители_обозначение,8,FALSE)),""))</f>
        <v/>
      </c>
      <c r="BU36">
        <f t="shared" si="15"/>
        <v>230</v>
      </c>
      <c r="BV36">
        <f t="shared" si="16"/>
        <v>0</v>
      </c>
      <c r="BW36">
        <f>IF(B36="","",IF(BH36&lt;&gt;"",3,IFERROR(IF(N(VLOOKUP(BC36,Потребители_обозначение,9,FALSE))=0,1,VLOOKUP(BC36,Потребители_обозначение,9,FALSE)),1)))</f>
        <v>1</v>
      </c>
      <c r="BX36">
        <f t="shared" si="17"/>
        <v>1</v>
      </c>
      <c r="BY36" t="str">
        <f>IF(B36="","",_xlfn.LET(_xlpm.bc,IFERROR(IF(VLOOKUP(BC36,Потребители_обозначение,6,FALSE)=0,"",VLOOKUP(BC36,Потребители_обозначение,6,FALSE)&amp;""),""),IF(AND(GA36="да",OR(_xlpm.bc="",_xlpm.bc="мс")),Марка_пож,IF(AND(_xlpm.bc="",BH36&lt;&gt;""),"мс",_xlpm.bc))))</f>
        <v/>
      </c>
      <c r="BZ36" t="str">
        <f t="shared" si="18"/>
        <v>мс</v>
      </c>
      <c r="CA36">
        <f>IF(B36="","",_xlfn.LET(_xlpm.cc,IFERROR(N(VLOOKUP(BC36,Потребители_обозначение,7,FALSE)),0),IF(_xlpm.cc&gt;0,_xlpm.cc,IF(BZ36="","",IF(BV36=1,2,IF(N(BX36)=3,5,3))))))</f>
        <v>3</v>
      </c>
      <c r="CB36">
        <f t="shared" si="19"/>
        <v>3</v>
      </c>
      <c r="CC36">
        <f>IFERROR(N(VLOOKUP(BC36,Потребители_обозначение,10,FALSE)),0)</f>
        <v>0</v>
      </c>
      <c r="CD36">
        <f>IFERROR(VLOOKUP(BC36,Потребители_обозначение,5,FALSE),0)</f>
        <v>3</v>
      </c>
      <c r="CE36" s="6" cm="1">
        <f t="array" ref="CE36">IF(B36="","",IF(BH36&lt;&gt;"",IFERROR(_xlfn.XLOOKUP(BH36,Щиты[Щит],Щиты[cos φ]),0.95),IF(BP36=1,IFERROR(_xlfn.XLOOKUP(A36,Щиты[Щит],Щиты[cos φ]),0.95),IF(ISNUMBER(AD36),AD36,IFERROR(IF(CD36=2,_xlfn.IFS(BX36=3,VLOOKUP(BS36,Справочная_двигатели,8,FALSE),BX36=1,VLOOKUP(BS36,Справочная_двигатели,10,TRUE)),IF(AND(Методика="нормы 2026",FG36="Сил"),0.8,0.95)),0.95)))))</f>
        <v>0.95</v>
      </c>
      <c r="CF36">
        <f t="shared" si="20"/>
        <v>0</v>
      </c>
      <c r="CG36">
        <f t="shared" si="21"/>
        <v>1</v>
      </c>
      <c r="CH36">
        <f t="shared" si="22"/>
        <v>0</v>
      </c>
      <c r="CI36">
        <f>IF(B36="","",IF(BV36=1,IFERROR(BS36/((Uн_лин/SQRT(3))*MAX(0.5,N(CE36))),0),N(O36)))</f>
        <v>0.455802844097073</v>
      </c>
      <c r="CJ36">
        <f t="shared" si="23"/>
        <v>0</v>
      </c>
      <c r="CK36">
        <f t="shared" si="24"/>
        <v>0</v>
      </c>
      <c r="CL36">
        <f t="shared" si="25"/>
        <v>0</v>
      </c>
      <c r="CM36">
        <f t="shared" si="26"/>
        <v>0</v>
      </c>
      <c r="CN36">
        <f t="shared" si="27"/>
        <v>0</v>
      </c>
      <c r="CO36">
        <f>IF(BC36="",0,_xlfn.LET(_xlpm.v,IFERROR(_xlfn.XLOOKUP(B36,Коды_код,Коды_мА),IFERROR(_xlfn.XLOOKUP(BC36,Коды_код,Коды_мА),IFERROR(_xlfn.XLOOKUP(LEFT(BC36,2),Коды_код,Коды_мА),""))),IF(_xlpm.v="да",30,IF(ISNUMBER(_xlpm.v),_xlpm.v,0))))</f>
        <v>0</v>
      </c>
      <c r="CP36" t="str">
        <f t="shared" si="28"/>
        <v/>
      </c>
      <c r="CQ36" t="str">
        <f>_xlfn.LET(_xlpm.k,IFERROR(_xlfn.XLOOKUP(BC36,Коды_код,Коды_утечка)&amp;"",""),IF(_xlpm.k="","дифавтомат",_xlpm.k))</f>
        <v>дифавтомат</v>
      </c>
      <c r="CR36" t="str" cm="1">
        <f t="array" ref="CR36">IF(CG36=0,"",_xlfn.LET(_xlpm.sg,TRIM(_xlfn.TEXTSPLIT(DD36&amp;"",";")),_xlpm.f_,_xlfn._xlws.FILTER(_xlpm.sg,LEFT(_xlpm.sg,3)="УЗО",""),IFERROR(INDEX(_xlpm.f_,1)&amp;"","")))</f>
        <v/>
      </c>
      <c r="CS36" t="str">
        <f t="shared" si="29"/>
        <v/>
      </c>
      <c r="CT36" s="6" t="str" cm="1">
        <f t="array" ref="CT36">IF(CR36="","",_xlfn.LET(_xlpm.tk,_xlfn.TEXTSPLIT(UPPER(CR36)," ",,TRUE),_xlpm.a_,_xlfn._xlws.FILTER(_xlpm.tk,ISNUMBER(--LEFT(_xlpm.tk,1))*((ISNUMBER(SEARCH("А",_xlpm.tk))+ISNUMBER(SEARCH("A",_xlpm.tk)))&gt;0)*NOT(ISNUMBER(SEARCH("МА",_xlpm.tk)))*NOT(ISNUMBER(SEARCH("MA",_xlpm.tk))),""),IFERROR(--SUBSTITUTE(SUBSTITUTE(INDEX(_xlpm.a_,1),"А",""),"A",""),"")))</f>
        <v/>
      </c>
      <c r="CU36" t="str" cm="1">
        <f t="array" ref="CU36">IF(CR36="","",_xlfn.LET(_xlpm.tk,_xlfn.TEXTSPLIT(UPPER(CR36)," ",,TRUE),_xlpm.a_,_xlfn._xlws.FILTER(_xlpm.tk,ISNUMBER(--LEFT(_xlpm.tk,1))*((ISNUMBER(SEARCH("МА",_xlpm.tk))+ISNUMBER(SEARCH("MA",_xlpm.tk)))&gt;0),""),IFERROR(--SUBSTITUTE(SUBSTITUTE(INDEX(_xlpm.a_,1),"МА",""),"MA",""),30)))</f>
        <v/>
      </c>
      <c r="CV36" t="str">
        <f>IF(CS36="","",IFERROR(_xlfn.XLOOKUP(CS36,Линии[_n],Линии[_УЗО, мА]),30))</f>
        <v/>
      </c>
      <c r="CW36">
        <f>IF(CS36="",0,IF(ISNUMBER(SEARCH("4P",IFERROR(_xlfn.XLOOKUP(CS36,Линии[_n],Линии[_УЗО строки])&amp;"",""))),0,1))</f>
        <v>0</v>
      </c>
      <c r="CX36" t="str">
        <f>IF(AND(CS36&lt;&gt;"",CS36=BA36),SUMIFS(Линии[_ток на 230 В],Линии[_блок УЗО],BA36,Линии[Щит],A36),"")</f>
        <v/>
      </c>
      <c r="CY36" t="str">
        <f>IF(AND(CS36&lt;&gt;"",CS36=BA36),SUMIFS(Линии[_ток утечки линии, мА],Линии[_блок УЗО],BA36,Линии[Щит],A36),"")</f>
        <v/>
      </c>
      <c r="CZ36">
        <f t="shared" si="30"/>
        <v>0</v>
      </c>
      <c r="DA36">
        <f t="shared" si="31"/>
        <v>0</v>
      </c>
      <c r="DB36">
        <f>IF(B36="",0,IFERROR(--_xlfn.XLOOKUP(B36,Коды_код,Коды_минавт),IFERROR(--_xlfn.XLOOKUP(BC36,Коды_код,Коды_минавт),IFERROR(--_xlfn.XLOOKUP(LEFT(BC36,2),Коды_код,Коды_минавт),0))))</f>
        <v>10</v>
      </c>
      <c r="DC36" t="str">
        <f>IF(B36="","",IFERROR(_xlfn.XLOOKUP(BC36,Коды_код,Коды_апп)&amp;"",""))</f>
        <v/>
      </c>
      <c r="DD36" t="str">
        <f t="shared" si="32"/>
        <v/>
      </c>
      <c r="DE36" t="str" cm="1">
        <f t="array" ref="DE36">IF(TRIM(DD36&amp;"")="","",IFERROR(TRIM(INDEX(_xlfn.TEXTSPLIT(DD36&amp;";;;",";"),1)),""))</f>
        <v/>
      </c>
      <c r="DF36" t="str" cm="1">
        <f t="array" ref="DF36">IF(TRIM(DD36&amp;"")="","",IFERROR(TRIM(INDEX(_xlfn.TEXTSPLIT(DD36&amp;";;;",";"),2)),""))</f>
        <v/>
      </c>
      <c r="DG36" t="str" cm="1">
        <f t="array" ref="DG36">IF(TRIM(DD36&amp;"")="","",IFERROR(TRIM(INDEX(_xlfn.TEXTSPLIT(DD36&amp;";;;",";"),3)),""))</f>
        <v/>
      </c>
      <c r="DH36">
        <f t="shared" si="33"/>
        <v>0</v>
      </c>
      <c r="DI36" t="str">
        <f>IF(B36="","",_xlfn.LET(_xlpm.t,LOWER(AZ36&amp;""),IF(ISNUMBER(SEARCH("dim",_xlpm.t)),"DIM",IF(ISNUMBER(SEARCH("dali",_xlpm.t)),"DALI",IF(OR(ISNUMBER(SEARCH("relay",_xlpm.t)),ISNUMBER(SEARCH("реле",_xlpm.t))),"Relay",IF(ISNUMBER(SEARCH("кнопк",_xlpm.t)),"",IFERROR(_xlfn.XLOOKUP(BC36,Коды_код,Коды_упр)&amp;"","")))))))</f>
        <v/>
      </c>
      <c r="DJ36" t="str">
        <f t="shared" si="34"/>
        <v/>
      </c>
      <c r="DK36">
        <f>IF(B36="","",_xlfn.LET(_xlpm.ig,IF(N(CX36)&gt;0,N(CX36),N(CI36)+IF(AJ36="вручную",0,N(CJ36))),_xlpm.n0,IFERROR(VLOOKUP(_xlpm.ig,Автомат_номиналы,2,TRUE),0),_xlpm.mn,MAX(DB36,IF(AJ36="вручную",0,N(CM36))),MAX(_xlpm.n0,_xlpm.mn,IF(DH36=1,Мин_автомат_БП,0))))</f>
        <v>10</v>
      </c>
      <c r="DL36">
        <f t="shared" si="35"/>
        <v>1</v>
      </c>
      <c r="DM36" t="str">
        <f t="shared" si="36"/>
        <v>1P</v>
      </c>
      <c r="DN36" t="str">
        <f>_xlfn.LET(_xlpm.cc,UPPER(TRIM(IFERROR(_xlfn.XLOOKUP(BC36,Коды_код,Коды_хар)&amp;"",""))),IF(OR(_xlpm.cc="B",_xlpm.cc="В"),"B",IF(_xlpm.cc="D","D","С")))</f>
        <v>С</v>
      </c>
      <c r="DO36" t="str">
        <f t="shared" si="37"/>
        <v>1P С10А</v>
      </c>
      <c r="DP36" t="str">
        <f t="shared" si="38"/>
        <v>1P С10А</v>
      </c>
      <c r="DQ36" t="str">
        <f t="shared" si="39"/>
        <v>1P С10А</v>
      </c>
      <c r="DR36" cm="1">
        <f t="array" ref="DR36">IF(DQ36="","",_xlfn.LET(_xlpm.t,SUBSTITUTE(SUBSTITUTE(SUBSTITUTE(UPPER(DQ36),"С","C"),"А","A"),"В","B"),_xlpm.tk,_xlfn.TEXTSPLIT(_xlpm.t," "),_xlpm.f,_xlfn._xlws.FILTER(_xlpm.tk,ISNUMBER(--MID(_xlpm.tk,2,1))*ISNUMBER(SEARCH(LEFT(_xlpm.tk,1)&amp;"#","B#C#D#"))*(LEN(_xlpm.tk)&gt;1),""),_xlpm.x,INDEX(_xlpm.f,1),IFERROR(--SUBSTITUTE(MID(_xlpm.x,2,9),"A",""),IFERROR(--SUBSTITUTE(INDEX(_xlfn._xlws.FILTER(_xlpm.tk,ISNUMBER(--SUBSTITUTE(_xlpm.tk,"A","")),""),1),"A",""),""))))</f>
        <v>10</v>
      </c>
      <c r="DS36" t="str">
        <f t="shared" si="40"/>
        <v>ok</v>
      </c>
      <c r="DT36">
        <f t="shared" si="41"/>
        <v>10</v>
      </c>
      <c r="DU36" t="str">
        <f t="shared" si="42"/>
        <v>1P С10А</v>
      </c>
      <c r="DV36">
        <f t="shared" si="43"/>
        <v>0</v>
      </c>
      <c r="DW36">
        <f t="shared" si="44"/>
        <v>0</v>
      </c>
      <c r="DX36">
        <f t="shared" si="45"/>
        <v>0</v>
      </c>
      <c r="DY36">
        <f t="shared" si="46"/>
        <v>0.455802844097073</v>
      </c>
      <c r="DZ36">
        <f t="shared" si="47"/>
        <v>1</v>
      </c>
      <c r="EA36">
        <f>IF(ISNUMBER(AP36),AP36,К_прокл)</f>
        <v>1</v>
      </c>
      <c r="EB36">
        <f t="shared" si="48"/>
        <v>2</v>
      </c>
      <c r="EC36">
        <f>IFERROR(N(VLOOKUP(BZ36,Кабель_обозначение,3,FALSE)),1)</f>
        <v>1</v>
      </c>
      <c r="ED36">
        <f>IFERROR(N(_xlfn.XLOOKUP(A36,Щиты[Щит],Щиты[ΔU до шин, %])),0)</f>
        <v>0.17</v>
      </c>
      <c r="EE36" t="str">
        <f>IFERROR(_xlfn.XLOOKUP(A36,Щиты[Щит],Щиты[Zпетли на шинах, Ом]),"")</f>
        <v/>
      </c>
      <c r="EF36">
        <f>IFERROR(N(_xlfn.XLOOKUP(A36,Щиты[Щит],Щиты[ΔU до шин (подбор), %])),0)</f>
        <v>0.65</v>
      </c>
      <c r="EG36" t="str">
        <f>IFERROR(_xlfn.XLOOKUP(A36,Щиты[Щит],Щиты[Zпетли на шинах (подбор), Ом]),"")</f>
        <v/>
      </c>
      <c r="EH36" t="str">
        <f t="shared" si="49"/>
        <v/>
      </c>
      <c r="EI36">
        <f t="shared" si="50"/>
        <v>38</v>
      </c>
      <c r="EJ36">
        <f t="shared" si="51"/>
        <v>2</v>
      </c>
      <c r="EK36">
        <f t="shared" si="52"/>
        <v>0.31</v>
      </c>
      <c r="EL36" s="6">
        <f>IF(B36="","",IF(BV36=1,dU_LED,IF(IFERROR(_xlfn.XLOOKUP(BC36,Коды_код,Коды_уго),"")="Светильник",3,4)+IF(Методика="нормы 2026",MIN(0.5,MAX(0,N(P36)-100)*0.005),0)))</f>
        <v>3</v>
      </c>
      <c r="EM36" cm="1">
        <f t="array" ref="EM36">IF(OR(B36="",BZ36="",EC36&lt;&gt;1),"",_xlfn.LET(_xlpm.sz,Iдоп_S,_xlpm.t_,CHOOSE(EB36,Iдоп_1ж,Iдоп_2ж,Iдоп_3ж)*DZ36*EA36,_xlpm.dcx,BV36=1,_xlpm.inn,IF(_xlpm.dcx,N(O36),N(DT36)),_xlpm.smin,MAX(1.5,CC36),_xlpm.L_,N(P36)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36)/N(BU36)*100,999),IFERROR(N(EJ36)*(_xlpm.rho*_xlpm.L_/_xlpm.sz*N(CE36)+_xlpm.xx*_xlpm.L_*N(EK36)/1000)*N(O36)/((Uн_лин/SQRT(3))*1000)*100,999)),_xlpm.kz,IF(OR(_xlpm.dcx,DW36=1,NOT(ISNUMBER(EG36)),_xlpm.L_=0,_xlpm.inn=0),1,IFERROR(--(c_min*(Uн_лин*1000/SQRT(3))/(EG36+2*ρкз_Cu*_xlpm.L_/_xlpm.sz)&gt;=HT36*_xlpm.inn),0)),_xlpm.ok,IFERROR((_xlpm.sz&gt;=_xlpm.smin)*(_xlpm.t_&gt;=_xlpm.inn)*IF(_xlpm.L_&gt;0,(_xlpm.du_+IF(_xlpm.dcx,0,EF36)&lt;=EL36+0.00001),1)*_xlpm.kz,0),_xlpm.r_,_xlfn._xlws.FILTER(_xlpm.sz,_xlpm.ok,"не подобрано"),INDEX(_xlpm.r_,1)))</f>
        <v>1.5</v>
      </c>
      <c r="EN36">
        <f t="shared" si="53"/>
        <v>1.5</v>
      </c>
      <c r="EO36" cm="1">
        <f t="array" ref="EO36">IF(OR(B36="",BZ36="",EC36&lt;&gt;1),"",_xlfn.LET(_xlpm.sz,Iдоп_S,_xlpm.t_,CHOOSE(EB36,Iдоп_1ж,Iдоп_2ж,Iдоп_3ж)*DZ36*EA36,_xlpm.ok,IFERROR((_xlpm.sz&gt;=MAX(1.5,CC36))*(_xlpm.t_&gt;=N(DT36)),0),_xlpm.r_,_xlfn._xlws.FILTER(_xlpm.sz,_xlpm.ok,""),INDEX(_xlpm.r_,1)))</f>
        <v>1.5</v>
      </c>
      <c r="EP36" s="6" cm="1">
        <f t="array" ref="EP36">IFERROR(ROUNDUP(N(EJ36)*(_xlfn.XLOOKUP(EO36,INDEX(Кабель_сопротивление,0,1),INDEX(Кабель_сопротивление,0,3))*N(P36)/EO36*N(CE36)+_xlfn.XLOOKUP(EO36,INDEX(Кабель_сопротивление,0,1),INDEX(Кабель_сопротивление,0,2))*N(P36)*N(EK36)/1000)*N(O36)/((Uн_лин/SQRT(3))*1000)*100,2),"")</f>
        <v>0.24000000000000002</v>
      </c>
      <c r="EQ36">
        <f>IFERROR(2*ρкз_Cu*N(P36)/EO36,"")</f>
        <v>1.4377333333333333</v>
      </c>
      <c r="ER36">
        <f>IFERROR(VLOOKUP(EN36,Кабель_сопротивление,3,FALSE),"")</f>
        <v>2.2499999999999999E-2</v>
      </c>
      <c r="ES36">
        <f>IFERROR(VLOOKUP(EN36,Кабель_сопротивление,2,FALSE),"")</f>
        <v>0.11</v>
      </c>
      <c r="ET36">
        <f t="shared" si="54"/>
        <v>0</v>
      </c>
      <c r="EU36">
        <f t="shared" si="55"/>
        <v>39</v>
      </c>
      <c r="EV36">
        <f t="shared" si="56"/>
        <v>0.53388013924009392</v>
      </c>
      <c r="EW36" s="6">
        <f>IFERROR(ROUNDUP(EV36/IF(BV36=1,BU36,(Uн_лин/SQRT(3))*1000)*100,2),"")</f>
        <v>0.24000000000000002</v>
      </c>
      <c r="EX36" t="str">
        <f>IFERROR(VLOOKUP(BZ36,Кабель_обозначение,2,FALSE),"")</f>
        <v>ВВГнг(А)-LS</v>
      </c>
      <c r="EY36" t="str">
        <f t="shared" si="57"/>
        <v>ВВГнг(А)-LS (3х1,5)</v>
      </c>
      <c r="EZ36" t="str">
        <f t="shared" si="58"/>
        <v>ВВГнг(А)-LS (3х1,5)
L=41-0,24%</v>
      </c>
      <c r="FA36">
        <f>IFERROR(2*ρкз_Cu*P36/EN36,"")</f>
        <v>1.4377333333333333</v>
      </c>
      <c r="FB36">
        <f t="shared" si="59"/>
        <v>0.47833333333333333</v>
      </c>
      <c r="FC36" s="6" t="str">
        <f>IFERROR(IF(OR(B36="",BV36=1,NOT(ISNUMBER(EN36)),N(P36)=0),"",_xlfn.XLOOKUP(A36,Щиты[Щит],Щиты[Zпетли на шинах, Ом])+FA36),"")</f>
        <v/>
      </c>
      <c r="FD36" s="6" t="str">
        <f>IF(ISNUMBER(FC36),c_min*(Uн_лин*1000/SQRT(3))/FC36,"")</f>
        <v/>
      </c>
      <c r="FE36" s="6" t="str">
        <f>IFERROR(IF(OR(B36="",NOT(ISNUMBER(EN36))),"",1.05*(Uн_лин*1000/SQRT(3))/(_xlfn.XLOOKUP(A36,Щиты[Щит],Щиты[Zmax на шинах, Ом])+FB36)/1000),"")</f>
        <v/>
      </c>
      <c r="FF36" s="6" t="str">
        <f>IF(B36="","",IF(ISNUMBER(AC36),"Сил",IF(IFERROR(_xlfn.XLOOKUP(BC36,Коды_код,Коды_группа)&amp;"","")="","Быт",_xlfn.XLOOKUP(BC36,Коды_код,Коды_группа)&amp;"")))</f>
        <v>Быт</v>
      </c>
      <c r="FG36" s="6" t="str">
        <f t="shared" si="60"/>
        <v>Быт</v>
      </c>
      <c r="FH36" s="6">
        <f>IF(FG36="Щит","щит",IF(FG36="","",IF(FG36="Быт",IFERROR(_xlfn.XLOOKUP(A36,Щиты[Щит],Щиты[Кс быт]),1),IF(FG36="Сил",IF(ISNUMBER(AC36),AC36,IF(Методика="нормы 2026",IFERROR(_xlfn.XLOOKUP(A36,Щиты[Щит],Щиты[Кс силовых (табл. 7.5)]),1),1)),IF(OR(FG36="Пост",FG36="Отоп"),1,IF(FG36="ВНГ",0.7,0))))))</f>
        <v>0.8</v>
      </c>
      <c r="FI36">
        <f>IF(FG36="","",IF(AND(BP36=1,TRIM(AE36&amp;"")=""),IF(COUNTIFS(Линии[Щит],A36,Линии[Секция (1/2/3)],"&gt;=2")&gt;0,MIN(3,MAX(1,IFERROR(--BD36,1))),1),IFERROR(MIN(3,MAX(1,INT(--AE36))),1)))</f>
        <v>1</v>
      </c>
      <c r="FJ36">
        <f t="shared" si="61"/>
        <v>0.1</v>
      </c>
      <c r="FK36">
        <f t="shared" si="62"/>
        <v>0.1</v>
      </c>
      <c r="FL36">
        <f t="shared" si="63"/>
        <v>0</v>
      </c>
      <c r="FM36">
        <f t="shared" si="64"/>
        <v>0</v>
      </c>
      <c r="FN36">
        <f t="shared" si="65"/>
        <v>0</v>
      </c>
      <c r="FO36">
        <f t="shared" si="66"/>
        <v>0</v>
      </c>
      <c r="FP36">
        <f t="shared" si="67"/>
        <v>0.1</v>
      </c>
      <c r="FQ36">
        <f t="shared" si="68"/>
        <v>0.1</v>
      </c>
      <c r="FR36">
        <f t="shared" si="69"/>
        <v>9.5000000000000001E-2</v>
      </c>
      <c r="FS36">
        <f>IF(CG36=1,IF(AND(CH36=1,CW36=1),0,IF(AND(CS36&lt;&gt;"",CS36=BA36,CW36=1),SUMIFS(Линии[_Р линии, кВт],Линии[_блок УЗО],BA36,Линии[Щит],A36),N(BS36)+IF(AJ36="вручную",0,N(CK36)))),0)</f>
        <v>0.1</v>
      </c>
      <c r="FT36" t="str">
        <f t="shared" si="70"/>
        <v/>
      </c>
      <c r="FU36" t="str">
        <f>IF(B36="","",IF(CG36=0,IF(BA36=1,"",FW35),IF(AND(CH36=1,CW36=1,CS36&lt;&gt;""),IFERROR(_xlfn.XLOOKUP(CS36,Линии[_n],Линии[_фаза итог]),"L1"),IF(OR(N(DL36)&gt;=3,N(BX36)&gt;=3),"L1,L2,L3",IFERROR(_xlfn.TEXTBEFORE(_xlfn.TEXTAFTER(_xlfn.XLOOKUP(A36,Щиты[Щит],Щиты[_фазы авто]),";"&amp;BA36&amp;":"),";"),"L1")))))</f>
        <v>L2</v>
      </c>
      <c r="FV36" t="str">
        <f t="shared" si="71"/>
        <v>L2</v>
      </c>
      <c r="FW36" t="str">
        <f t="shared" si="72"/>
        <v>L2</v>
      </c>
      <c r="FX36" cm="1">
        <f t="array" ref="FX36">IFERROR(IF(CD36=2,_xlfn.IFS(BX36=3,VLOOKUP(BS36,Справочная_двигатели,3,FALSE),BX36=1,VLOOKUP(BS36,Справочная_двигатели,5,TRUE)),0),0)</f>
        <v>0</v>
      </c>
      <c r="FY36">
        <f>IFERROR(IF(CD36=3,VLOOKUP(BS36,Справочная_ЛЭД,2,TRUE),0),0)</f>
        <v>50</v>
      </c>
      <c r="FZ36" s="6">
        <f t="shared" si="73"/>
        <v>50</v>
      </c>
      <c r="GA36" t="str">
        <f>IF(B36="","",IF(TRIM(AH36&amp;"")&lt;&gt;"",IF(LOWER(TRIM(AH36&amp;""))="да","да","нет"),IF(IFERROR(_xlfn.XLOOKUP(BC36,Коды_код,Коды_пожарная),"")="да","да","нет")))</f>
        <v>нет</v>
      </c>
      <c r="GB36" t="str">
        <f t="shared" si="74"/>
        <v/>
      </c>
      <c r="GC36" t="str">
        <f t="shared" si="75"/>
        <v>основная</v>
      </c>
      <c r="GD36">
        <f>IF(AND(BP36=1,TRIM(AE36&amp;"")=""),IF(COUNTIFS(Линии[Щит],A36,Линии[Секция (1/2/3)],"&gt;=2")&gt;0,MIN(3,MAX(1,IFERROR(--BD36,1))),1),IFERROR(MIN(3,MAX(1,INT(--AE36))),1))</f>
        <v>1</v>
      </c>
      <c r="GE36" t="str" cm="1">
        <f t="array" ref="GE36">IF(B36="","",_xlfn.LET(_xlpm.t,IFERROR(_xlfn.XLOOKUP(1,(Шины[Шина]=GC36)*(((Шины[Щит]=A36)+(Шины[Щит]=""))&gt;0),Шины[Тип]),"")&amp;"",IF(_xlpm.t&lt;&gt;"",_xlpm.t,IF(ISNUMBER(SEARCH("ИБП",GC36)),"ИБП",IF(ISNUMBER(SEARCH("ДГУ",GC36)),"ДГУ","Ввод "&amp;GD36)))))</f>
        <v>Ввод 1</v>
      </c>
      <c r="GF36" t="str">
        <f t="shared" si="76"/>
        <v>Ввод 1</v>
      </c>
      <c r="GG36" t="str">
        <f>IF(BP36=0,"",IF(TRIM(AG36&amp;"")&lt;&gt;"",TRIM(AG36&amp;""),IF(OR(GE36="ИБП",GE36="ДГУ"),"I особая",_xlfn.XLOOKUP(A36,Щиты[Щит],Щиты[Категория шины «Ввод»],"III"))))</f>
        <v/>
      </c>
      <c r="GH36" t="str">
        <f>IF(A36="","",_xlfn.XLOOKUP(A36,Щиты[Щит],Щиты[Путь],""))</f>
        <v>|ГРЩ-ЖД|ЩГП|ЩО-001|</v>
      </c>
      <c r="GI36" t="str">
        <f>IF(B36="","",IF(AI36&lt;&gt;"",AI36,IF(IFERROR(_xlfn.XLOOKUP(BC36,Коды_код,Коды_вид)&amp;"","")="","Прочее",_xlfn.XLOOKUP(BC36,Коды_код,Коды_вид)&amp;"")))</f>
        <v>Рабочее освещение</v>
      </c>
      <c r="GJ36" t="str">
        <f>IF(BM36="","",INT((BM36-1)/Столбцов_на_лист)+1)</f>
        <v/>
      </c>
      <c r="GK36" t="str">
        <f t="shared" si="77"/>
        <v>ВВГнг(А)-LS (3х1,5) L=41-0,24%</v>
      </c>
      <c r="GL36">
        <f t="shared" si="78"/>
        <v>0.1</v>
      </c>
      <c r="GM36">
        <f t="shared" si="79"/>
        <v>0.46</v>
      </c>
      <c r="GN36">
        <f t="shared" si="80"/>
        <v>1</v>
      </c>
      <c r="GO36">
        <f t="shared" si="81"/>
        <v>0</v>
      </c>
      <c r="GP36">
        <f t="shared" si="82"/>
        <v>0</v>
      </c>
      <c r="GQ36" t="str">
        <f>IF(BM36="","",IF(AND(CG36=1,GP36=1),COUNTIFS(A$3:A36,A36,CG$3:CG36,1,GP$3:GP36,1),IF(OR(OR(BA36=1,A36&lt;&gt;A35),AJ36="вручную",GP36=0),"",IF(BA36=1,"",GR35))))</f>
        <v/>
      </c>
      <c r="GR36" t="str">
        <f t="shared" si="83"/>
        <v/>
      </c>
      <c r="GS36">
        <f>IF(B36="","",IFERROR(LOOKUP(INDEX(CHOOSE(EB36,Iдоп_1ж,Iдоп_2ж,Iдоп_3ж),MATCH(EN36,Iдоп_S,0))*DZ36*EA36,{6,10,16,20,25,32,40,50,63,80,100,125,160,200,250,315,400,500,630}),""))</f>
        <v>16</v>
      </c>
      <c r="GT36" t="str">
        <f t="shared" si="84"/>
        <v/>
      </c>
      <c r="GU36" t="str">
        <f t="shared" si="85"/>
        <v/>
      </c>
      <c r="GV36" t="str">
        <f t="shared" si="86"/>
        <v/>
      </c>
      <c r="GW36">
        <f t="shared" si="87"/>
        <v>0</v>
      </c>
      <c r="GX36" t="str">
        <f>IF(OR(B36="",DJ36=""),"",IFERROR(_xlfn.XLOOKUP(DJ36,Модули_умолч[Управление],Модули_умолч[Модель])&amp;"",""))</f>
        <v/>
      </c>
      <c r="GY36">
        <f>IF(DJ36="",1,IFERROR(MAX(0,N(_xlfn.XLOOKUP(DJ36,Модули_умолч[Управление],Модули_умолч[Каналов на линию]))),1))</f>
        <v>1</v>
      </c>
      <c r="GZ36" t="str">
        <f t="shared" si="88"/>
        <v/>
      </c>
      <c r="HA36" t="str">
        <f t="shared" si="89"/>
        <v/>
      </c>
      <c r="HB36" t="str">
        <f t="shared" si="90"/>
        <v/>
      </c>
      <c r="HC36">
        <f>IF(HB36="",0,IFERROR(N(VLOOKUP(HB36,Модули_спр,3,FALSE)),0))</f>
        <v>0</v>
      </c>
      <c r="HD36" t="str">
        <f t="shared" si="91"/>
        <v/>
      </c>
      <c r="HE36" t="str">
        <f t="shared" si="92"/>
        <v/>
      </c>
      <c r="HF36" t="str">
        <f>IF(OR(HE36="",HE36="-"),"",IFERROR(VLOOKUP(HE36,Модули_спр,2,FALSE),"R"))</f>
        <v/>
      </c>
      <c r="HG36" t="str">
        <f>IF(HF36="","",HF36&amp;"."&amp;COUNTIFS(A$3:A36,A36,HF$3:HF36,HF36))</f>
        <v/>
      </c>
      <c r="HH36" t="str">
        <f t="shared" si="93"/>
        <v/>
      </c>
      <c r="HI36" t="str">
        <f t="shared" si="94"/>
        <v/>
      </c>
      <c r="HJ36" t="str">
        <f t="shared" si="95"/>
        <v/>
      </c>
      <c r="HK36" t="str">
        <f t="shared" si="96"/>
        <v/>
      </c>
      <c r="HL36">
        <f t="shared" si="97"/>
        <v>1</v>
      </c>
      <c r="HM36" t="str">
        <f>IF(HL36=1,"XT"&amp;COUNTIFS(A$3:A36,A36,HL$3:HL36,1),"")</f>
        <v>XT5</v>
      </c>
      <c r="HN36" t="str">
        <f t="shared" si="98"/>
        <v>XT5</v>
      </c>
      <c r="HO36" t="str">
        <f t="shared" si="99"/>
        <v/>
      </c>
      <c r="HP36" t="str">
        <f t="shared" si="100"/>
        <v/>
      </c>
      <c r="HQ36" t="str">
        <f t="shared" si="101"/>
        <v>ok</v>
      </c>
      <c r="HR36" t="str">
        <f>IF(OR(HJ36="",HH36=""),"",IF(HJ36+MAX(0,GY36-1)&gt;IFERROR(VLOOKUP(HI36,Модули_спр,3,FALSE),99),"ЛИШНИЙ КАНАЛ",IF(AND(AL36&lt;&gt;"=",GY36&gt;0,COUNTIFS(Линии[_модуль гр.],HH36,Линии[Канал (итог)],HJ36,Линии[Канал],"&lt;&gt;=",Линии[Щит],A36)&gt;1),"ДУБЛЬ КАНАЛА","")))</f>
        <v/>
      </c>
      <c r="HS36" s="6" t="str">
        <f t="shared" si="102"/>
        <v/>
      </c>
      <c r="HT36">
        <f t="shared" si="103"/>
        <v>10</v>
      </c>
      <c r="HU36" t="str">
        <f t="shared" si="104"/>
        <v/>
      </c>
      <c r="HV36">
        <f t="shared" si="105"/>
        <v>0.59232113763882921</v>
      </c>
      <c r="HW36">
        <f t="shared" si="106"/>
        <v>0</v>
      </c>
      <c r="HX36">
        <f t="shared" si="107"/>
        <v>0</v>
      </c>
      <c r="HY36">
        <f t="shared" si="108"/>
        <v>0</v>
      </c>
      <c r="HZ36">
        <f t="shared" si="109"/>
        <v>0</v>
      </c>
      <c r="IA36">
        <f t="shared" si="110"/>
        <v>0</v>
      </c>
      <c r="IB36">
        <f t="shared" si="111"/>
        <v>0</v>
      </c>
      <c r="IC36" t="str">
        <f t="shared" si="112"/>
        <v/>
      </c>
      <c r="ID36" t="str" cm="1">
        <f t="array" ref="ID36">IF(IC36="","",_xlfn.LET(_xlpm.tk,_xlfn.TEXTSPLIT(SUBSTITUTE(SUBSTITUTE(IC36,";"," "),"→"," ")," ",,TRUE),_xlpm.w_,_xlfn._xlws.FILTER(_xlpm.tk,ISNUMBER(--LEFT(_xlpm.tk,1))*((ISNUMBER(SEARCH("W",_xlpm.tk))+ISNUMBER(SEARCH("Вт",_xlpm.tk)))&gt;0),""),IFERROR(--SUBSTITUTE(SUBSTITUTE(UPPER(INDEX(_xlpm.w_,1)),"W",""),"ВТ",""),"")))</f>
        <v/>
      </c>
      <c r="IE36" t="str" cm="1">
        <f t="array" ref="IE36">IF(IC36="","",_xlfn.LET(_xlpm.tk,_xlfn.TEXTSPLIT(SUBSTITUTE(SUBSTITUTE(IC36,";"," "),"→"," ")," ",,TRUE),_xlpm.v_,_xlfn._xlws.FILTER(_xlpm.tk,ISNUMBER(--LEFT(_xlpm.tk,1))*((ISNUMBER(SEARCH("V",_xlpm.tk))+(RIGHT(UPPER(_xlpm.tk))="В"))&gt;0),""),IFERROR(--SUBSTITUTE(SUBSTITUTE(UPPER(INDEX(_xlpm.v_,1)),"V",""),"В",""),"")))</f>
        <v/>
      </c>
      <c r="IF36" s="6" t="str">
        <f>IF(OR(BV36=0,HI36="",HJ36=""),"",IFERROR(N(_xlfn.XLOOKUP(HI36,Каталог!$C$4:$C$500,Каталог!$Q$4:$Q$500)),""))</f>
        <v/>
      </c>
      <c r="IG36" s="6" t="str">
        <f>IF(N(IF36)=0,"",SUMIFS(Линии[Iр, А],Линии[Щит],A36,Линии[_модуль гр.],HH36,Линии[Канал (итог)],HJ36))</f>
        <v/>
      </c>
      <c r="IH36" t="str">
        <f>IF(AND(B36="",HO36=""),"",_xlfn.TEXTJOIN("; ",TRUE,IF(AND(B36&lt;&gt;"",FV36=""),"нет фазы",""),IF(AND(B36&lt;&gt;"",N(GL36)=0,FG36&lt;&gt;"Нет"),"нет мощности",""),IF(AND(HN36&lt;&gt;"",COUNTIFS(Линии[Щит],A36,Линии[Клемма (итог)],HN36)&gt;1),"дубль клеммы "&amp;HN36,""),IF(AND(HQ36&lt;&gt;"",HQ36&lt;&gt;"ok"),HQ36,""),IF(HR36&lt;&gt;"",HR36,""),IF(AND(N(CB36)&gt;=4,N(BX36)=1),CB36&amp;" жил на 1 фазе",""),IF(AND(BC36="R",CG36=1,IF(CS36&lt;&gt;"",N(CV36)&gt;30,OR(N(DA36)=0,N(DA36)&gt;30))),"розетка без дифзащиты до 30 мА",""),IF(AND(CG36=1,N(DA36)&gt;0,ISNUMBER(T36)),IF(T36&gt;N(DA36)/3,"ток утечки "&amp;FIXED(T36,1)&amp;" мА &gt; 1/3 уставки ("&amp;DA36&amp;" мА)",""),""),IF(AND(CH36=1,CS36=""),"«узо»: нет строки с УЗО выше (УЗО 2P 40А 30мА в «Аппаратах»)",""),IF(AND(CS36&lt;&gt;"",CS36=BA36),IF(CT36="","впишите номинал УЗО (УЗО 2P 40А 30мА)",IF(N(CT36)&lt;N(DT36),"УЗО "&amp;CT36&amp;" А &lt; автомата "&amp;DT36&amp;" А перед ним",IF(N(CT36)&lt;N(CX36),"УЗО "&amp;CT36&amp;" А &lt; тока блока "&amp;FIXED(CX36,1)&amp;" А",""))),""),IF(AND(CS36&lt;&gt;"",CS36=BA36,ISNUMBER(CY36)),IF(CY36&gt;N(CV36)/3,"ток утечки блока УЗО "&amp;FIXED(CY36,1)&amp;" мА &gt; 1/3 уставки ("&amp;CV36&amp;" мА)",""),""),IF(AND(CG36=1,N(BV36)+N(IB36)&gt;0,IC36=""),"линии до 50 В без БП: впишите в «Аппараты» (БП 24V 480W)",""),IF(AND(CG36=1,ISNUMBER(ID36),ISNUMBER(U36)),IF(U36&gt;ID36,"БП "&amp;ID36&amp;" Вт &lt; нужно "&amp;U36&amp;" Вт (×"&amp;Запас_БП&amp;")",""),""),IF(AND(CG36=1,ISNUMBER(IE36),N(BV36)=1),IF(IE36&lt;&gt;N(BU36),"БП на "&amp;IE36&amp;" В, линия "&amp;BU36&amp;" В",""),""),IF(AND(N(IF36)&gt;0,N(IG36)&gt;N(IF36)),HH36&amp;" канал "&amp;HJ36&amp;": "&amp;FIXED(IG36,1)&amp;" А &gt; "&amp;IF36&amp;" А",""),IFERROR(IF(AND(ISNUMBER(Q36),Q36&gt;EL36),"потери "&amp;FIXED(Q36,1)&amp;" % &gt; "&amp;EL36&amp;" %",""),""),IFERROR(IF(LEFT(HU36,4)="мало","Iкз мало — отключение &gt; 0,4 с",""),""),IF(AND(B36&lt;&gt;"",BM36=""),"не на схеме",""),IF(AND(CG36=0,B36&lt;&gt;"",FV36&lt;&gt;"",IF(BA36=1,"",FW35)&lt;&gt;"",FV36&lt;&gt;IF(BA36=1,"",FW35)),"фаза не как у автомата группы ("&amp;IF(BA36=1,"",FW35)&amp;")","")))</f>
        <v>не на схеме</v>
      </c>
      <c r="II36" s="6">
        <f>IF(OR(CG36=0,DQ36=""),"",_xlfn.LET(_xlpm.t,IFERROR(_xlfn.XLOOKUP(DQ36,Каталог!$U$4:$U$500,Каталог!$G$4:$G$500),""),_xlpm.k,SEARCH("кА",_xlpm.t),IFERROR(--TRIM(RIGHT(SUBSTITUTE(MID(_xlpm.t,MAX(1,_xlpm.k-4),_xlpm.k-MAX(1,_xlpm.k-4))," ",REPT(" ",9)),5)),"")))</f>
        <v>6</v>
      </c>
      <c r="IJ36" t="str">
        <f>IF(OR(II36="",CG36=0),"",IF(_xlfn.XLOOKUP(A36,Щиты[Щит],Щиты[Iкз max на шинах, кА],"")="","",IF(II36&lt;_xlfn.XLOOKUP(A36,Щиты[Щит],Щиты[Iкз max на шинах, кА]),"Icu "&amp;II36&amp;" кА &lt; Iкз max","ok")))</f>
        <v/>
      </c>
      <c r="IK36" t="str">
        <f t="shared" si="113"/>
        <v/>
      </c>
      <c r="IL36" t="str">
        <f t="shared" si="114"/>
        <v/>
      </c>
      <c r="IM36" t="str">
        <f t="shared" si="115"/>
        <v/>
      </c>
      <c r="IN36" t="str" cm="1">
        <f t="array" ref="IN36">IF(IM36="","",_xlfn.LET(_xlpm.nd,_xlfn.TEXTSPLIT(IM36,"|"),IF(COLUMNS(_xlpm.nd)&gt;1,A36&amp;"¦"&amp;INDEX(_xlpm.nd,1)&amp;"¦"&amp;INDEX(_xlpm.nd,2),"")))</f>
        <v/>
      </c>
      <c r="IO36" t="str">
        <f t="shared" si="116"/>
        <v/>
      </c>
      <c r="IP36" t="str" cm="1">
        <f t="array" ref="IP36">IF(IM36="","",_xlfn.LET(_xlpm.nd,_xlfn.TEXTSPLIT(IM36,"|"),IF(COLUMNS(_xlpm.nd)&gt;2,A36&amp;"¦"&amp;INDEX(_xlpm.nd,2)&amp;"¦"&amp;INDEX(_xlpm.nd,3),"")))</f>
        <v/>
      </c>
      <c r="IQ36" t="str">
        <f t="shared" si="117"/>
        <v/>
      </c>
      <c r="IR36" t="str" cm="1">
        <f t="array" ref="IR36">IF(IM36="","",_xlfn.LET(_xlpm.nd,_xlfn.TEXTSPLIT(IM36,"|"),IF(COLUMNS(_xlpm.nd)&gt;3,A36&amp;"¦"&amp;INDEX(_xlpm.nd,3)&amp;"¦"&amp;INDEX(_xlpm.nd,4),"")))</f>
        <v/>
      </c>
      <c r="IS36" t="str">
        <f t="shared" si="118"/>
        <v/>
      </c>
      <c r="IT36" t="str" cm="1">
        <f t="array" ref="IT36">IF(IM36="","",_xlfn.LET(_xlpm.nd,_xlfn.TEXTSPLIT(IM36,"|"),IF(COLUMNS(_xlpm.nd)&gt;4,A36&amp;"¦"&amp;INDEX(_xlpm.nd,4)&amp;"¦"&amp;INDEX(_xlpm.nd,5),"")))</f>
        <v/>
      </c>
      <c r="IU36" t="str">
        <f t="shared" si="119"/>
        <v/>
      </c>
      <c r="IV36" t="str" cm="1">
        <f t="array" ref="IV36">IF(IM36="","",_xlfn.LET(_xlpm.nd,_xlfn.TEXTSPLIT(IM36,"|"),IF(COLUMNS(_xlpm.nd)&gt;5,A36&amp;"¦"&amp;INDEX(_xlpm.nd,5)&amp;"¦"&amp;INDEX(_xlpm.nd,6),"")))</f>
        <v/>
      </c>
      <c r="IW36" t="str">
        <f t="shared" si="120"/>
        <v/>
      </c>
      <c r="IX36" t="str" cm="1">
        <f t="array" ref="IX36">IF(IM36="","",_xlfn.LET(_xlpm.nd,_xlfn.TEXTSPLIT(IM36,"|"),IF(COLUMNS(_xlpm.nd)&gt;6,A36&amp;"¦"&amp;INDEX(_xlpm.nd,6)&amp;"¦"&amp;INDEX(_xlpm.nd,7),"")))</f>
        <v/>
      </c>
      <c r="IY36" t="str">
        <f t="shared" si="121"/>
        <v/>
      </c>
      <c r="IZ36" t="str">
        <f t="shared" si="122"/>
        <v/>
      </c>
      <c r="JA36" t="str">
        <f t="shared" si="123"/>
        <v>XT5</v>
      </c>
      <c r="JB36">
        <f t="shared" si="124"/>
        <v>0</v>
      </c>
      <c r="JC36">
        <f t="shared" si="125"/>
        <v>0</v>
      </c>
      <c r="JD36" t="str">
        <f t="shared" si="126"/>
        <v/>
      </c>
      <c r="JE36" t="str">
        <f t="shared" si="127"/>
        <v/>
      </c>
      <c r="JF36" t="str">
        <f t="shared" si="128"/>
        <v/>
      </c>
      <c r="JG36" t="str">
        <f t="shared" si="129"/>
        <v/>
      </c>
      <c r="JH36" t="str">
        <f>IF(B36="","",IFERROR(_xlfn.XLOOKUP(B36,Коды_код,Коды_уго),IFERROR(_xlfn.XLOOKUP(BC36,Коды_код,Коды_уго),IFERROR(_xlfn.XLOOKUP(LEFT(BC36,2),Коды_код,Коды_уго),""))))</f>
        <v>Светильник</v>
      </c>
      <c r="JI36" t="str">
        <f>IF(B36="","",IF(OR(JH36="",JH36=0),"BOX",IFERROR(IF(VLOOKUP(JH36,УГО_блоки,3,FALSE)&amp;""&lt;&gt;"",VLOOKUP(JH36,УГО_блоки,3,FALSE),VLOOKUP(JH36,УГО_блоки,2,FALSE)),JH36)))</f>
        <v>LAMP</v>
      </c>
      <c r="JJ36">
        <f t="shared" si="130"/>
        <v>1</v>
      </c>
      <c r="JK36" t="str">
        <f>IF(DQ36="","",IF(COUNTIF(DQ$3:DQ36,DQ36)=1,MAX(JK$2:JK35)+1,""))</f>
        <v/>
      </c>
      <c r="JL36" t="str">
        <f>IF(DE36="","",IF(COUNTIF(DE$3:DE36,DE36)+COUNTIF(DF$2:DF35,DE36)+COUNTIF(DG$2:DG35,DE36)=1,MAX(JL$2:JN35)+1,""))</f>
        <v/>
      </c>
      <c r="JM36" t="str">
        <f>IF(DF36="","",IF(COUNTIF(DE$3:DE36,DF36)+COUNTIF(DF$3:DF36,DF36)+COUNTIF(DG$2:DG35,DF36)=1,MAX(JL$2:JN35,JL36)+1,""))</f>
        <v/>
      </c>
      <c r="JN36" t="str">
        <f>IF(DG36="","",IF(COUNTIF(DE$3:DE36,DG36)+COUNTIF(DF$3:DF36,DG36)+COUNTIF(DG$3:DG36,DG36)=1,MAX(JL$2:JN35,JL36,JM36)+1,""))</f>
        <v/>
      </c>
      <c r="JO36" t="str">
        <f t="shared" si="131"/>
        <v>3х1,5</v>
      </c>
      <c r="JP36" t="str">
        <f>IF(JO36="","",IF(COUNTIF(JO$3:JO36,JO36)=1,MAX(JP$2:JP35)+1,""))</f>
        <v/>
      </c>
      <c r="JQ36" t="str">
        <f>IF(HG36="","",COUNTIF(HG$3:HG36,"?*"))</f>
        <v/>
      </c>
      <c r="JR36" t="str">
        <f>IF(OR(HG36="",HI36=""),"",IF(COUNTIFS(HG$3:HG36,"?*",HI$3:HI36,HI36)=1,MAX(JR$2:JR35)+1,""))</f>
        <v/>
      </c>
      <c r="JS36">
        <f t="shared" si="132"/>
        <v>1</v>
      </c>
      <c r="JT36">
        <f>IF(B36="","",COUNTIF(B$3:B36,"?*"))</f>
        <v>34</v>
      </c>
      <c r="JU36">
        <f>IF(HL36&lt;&gt;1,0,_xlfn.LET(_xlpm.k,MAX(IFERROR(--_xlfn.XLOOKUP(B36,Коды_код,Коды_3L),0),IFERROR(--_xlfn.XLOOKUP(BC36,Коды_код,Коды_3L),0),IFERROR(--_xlfn.XLOOKUP(LEFT(BC36,2),Коды_код,Коды_3L),0)),IF(_xlpm.k&gt;0,_xlpm.k,IF(IFERROR(--LEFT(SUBSTITUTE(JO36,"x","х"),FIND("х",SUBSTITUTE(JO36,"x","х"))-1),3)&gt;3,Каталог!$S$9,1))))</f>
        <v>1</v>
      </c>
      <c r="JV36">
        <f t="shared" si="133"/>
        <v>0</v>
      </c>
      <c r="JW36" t="str">
        <f t="shared" si="134"/>
        <v>авто</v>
      </c>
      <c r="JX36" t="str">
        <f t="shared" si="135"/>
        <v/>
      </c>
      <c r="JY36">
        <f t="shared" si="136"/>
        <v>0</v>
      </c>
      <c r="JZ36">
        <f t="shared" si="137"/>
        <v>1</v>
      </c>
    </row>
    <row r="37" spans="1:286" x14ac:dyDescent="0.3">
      <c r="A37" t="s">
        <v>1109</v>
      </c>
      <c r="B37" t="s">
        <v>1351</v>
      </c>
      <c r="C37" t="str">
        <f>Линии[[#This Row],[_авто наименование]]</f>
        <v>Осветительная группа, пом. 002Т</v>
      </c>
      <c r="D37">
        <v>8</v>
      </c>
      <c r="E37">
        <v>0.1</v>
      </c>
      <c r="G37" t="str">
        <f>Линии[[#This Row],[_авто автомат]]</f>
        <v>1P С10А</v>
      </c>
      <c r="H37" t="str">
        <f>Линии[[#This Row],[_авто управление]]</f>
        <v/>
      </c>
      <c r="I37" t="str">
        <f>Линии[[#This Row],[_авто аппараты]]</f>
        <v/>
      </c>
      <c r="J37">
        <v>1.5</v>
      </c>
      <c r="K37">
        <v>48</v>
      </c>
      <c r="L37" t="str">
        <f>Линии[[#This Row],[_авто фаза]]</f>
        <v>L3</v>
      </c>
      <c r="M37" t="str">
        <f>Линии[[#This Row],[_авто клемма]]</f>
        <v>XT6</v>
      </c>
      <c r="N37" t="str">
        <f t="shared" si="0"/>
        <v>не на схеме</v>
      </c>
      <c r="O37" s="6" cm="1">
        <f t="array" ref="O37">IF(B37="","",IF(BH37&lt;&gt;"",IFERROR(_xlfn.XLOOKUP(BH37,Щиты[Щит],Щиты[Iр, А]),""),IF(BP37=1,IF(OR(N(_xlfn.XLOOKUP(A37,Щиты[Щит],Щиты[Вводов],1))&lt;=1,LOWER(TRIM(_xlfn.XLOOKUP(A37,Щиты[Щит],Щиты[АВР],"")&amp;""))="да"),IFERROR(_xlfn.XLOOKUP(A37,Щиты[Щит],Щиты[Iр, А]),""),IFERROR(N(BS37)*_xlfn.XLOOKUP(A37,Щиты[Щит],Щиты[Кс итог])/(SQRT(3)*Uн_лин*_xlfn.XLOOKUP(A37,Щиты[Щит],Щиты[cos φ])),"")),IF(BV37=1,IFERROR(BS37*1000/BU37,""),IFERROR(_xlfn.IFS(BX37=1,BS37/((Uн_лин/SQRT(3))*CE37),BX37=3,BS37/(SQRT(3)*Uн_лин*CE37)),"")))))</f>
        <v>0.455802844097073</v>
      </c>
      <c r="P37" s="7">
        <f>IF(B37="","",IFERROR(IF(VLOOKUP(BC37,Потребители_обозначение,4,FALSE)=1,VLOOKUP(BC37,Потребители_обозначение,3,FALSE)*(MAX(1,N(D37))*2-1)+EI37+VLOOKUP(BE37,Этаж_обозначение,3,FALSE)+VLOOKUP(BE37,Этаж_обозначение,4,FALSE),VLOOKUP(BC37,Потребители_обозначение,3,FALSE)*(MAX(1,N(D37))*2-1)+EI37),EI37))</f>
        <v>63</v>
      </c>
      <c r="Q37" s="6">
        <f t="shared" si="1"/>
        <v>0.53</v>
      </c>
      <c r="R37" t="str">
        <f t="shared" si="2"/>
        <v>ВВГнг(А)-LS (3х1,5)</v>
      </c>
      <c r="S37" t="str">
        <f>IF(BM37="","",IF(BN37="вводной узел","узел ","")&amp;"л."&amp;(INT((BM37-1)/Столбцов_на_лист)+1)&amp;" / "&amp;(MOD(BM37-1,Столбцов_на_лист)+1))</f>
        <v/>
      </c>
      <c r="T37" s="119">
        <f t="shared" si="3"/>
        <v>0.8</v>
      </c>
      <c r="U37" s="7" t="str">
        <f>IF(OR(CG37=0,N(BV37)+N(IB37)=0),"",ROUNDUP(Запас_БП*(N(HY37)+N(HZ37)),0))</f>
        <v/>
      </c>
      <c r="V37" s="119" t="str">
        <f t="shared" si="4"/>
        <v/>
      </c>
      <c r="W37" s="7" t="str">
        <f>IFERROR(IF(OR(B37="",BP37=1,BV37=1,NOT(ISNUMBER(EN37)),N(DT37)=0),"",MAX(0,ROUNDDOWN((c_min*(Uн_лин*1000/SQRT(3))/(HT37*N(DT37))-_xlfn.XLOOKUP(A37,Щиты[Щит],Щиты[Zпетли на шинах, Ом]))*EN37/(2*ρкз_Cu),0))),"")</f>
        <v/>
      </c>
      <c r="Y37" t="str">
        <f>Линии[[#This Row],[_авто утечка]]</f>
        <v/>
      </c>
      <c r="Z37">
        <v>1</v>
      </c>
      <c r="AA37">
        <v>230</v>
      </c>
      <c r="AB37" t="s">
        <v>562</v>
      </c>
      <c r="AI37" t="s">
        <v>555</v>
      </c>
      <c r="AK37" t="str">
        <f>Линии[[#This Row],[_авто модуль]]</f>
        <v/>
      </c>
      <c r="AM37" t="s">
        <v>527</v>
      </c>
      <c r="AN37" t="s">
        <v>11</v>
      </c>
      <c r="AO37">
        <v>3</v>
      </c>
      <c r="AQ37">
        <v>15</v>
      </c>
      <c r="AR37">
        <v>40</v>
      </c>
      <c r="BA37" cm="1">
        <f t="array" ref="BA37">ROW()-ROW(Линии[#Headers])</f>
        <v>35</v>
      </c>
      <c r="BC37" s="6" t="str">
        <f t="shared" si="5"/>
        <v>L</v>
      </c>
      <c r="BD37" t="str">
        <f t="shared" si="6"/>
        <v>00.002Т.1</v>
      </c>
      <c r="BE37" t="str">
        <f t="shared" si="7"/>
        <v>00</v>
      </c>
      <c r="BF37" t="str">
        <f t="shared" si="8"/>
        <v>002Т.1</v>
      </c>
      <c r="BG37" t="str">
        <f t="shared" si="9"/>
        <v>002Т</v>
      </c>
      <c r="BH37" t="str">
        <f>IF(X37&lt;&gt;"",X37,IF(AND(B37&lt;&gt;"",B37&lt;&gt;A37,ISNUMBER(_xlfn.XMATCH(B37,Щиты[Щит]))),B37,""))</f>
        <v/>
      </c>
      <c r="BI37" t="str" cm="1">
        <f t="array" ref="BI37">IF(B37="","",IF(BH37&lt;&gt;"","Щит "&amp;BH37,_xlfn.LET(_xlpm.nm,IFERROR(_xlfn.XLOOKUP(BC37,Коды_код,Коды_имя)&amp;"",""),_xlpm.md,IFERROR(N(_xlfn.XLOOKUP(BC37,Коды_код,Коды_режим)),1),_xlpm.ex,IF(Имя_режим="по экспликации",IFERROR(_xlfn.XLOOKUP(BE37&amp;"|"&amp;BG37,Экспликация[Этаж]&amp;"|"&amp;Экспликация[Помещение],Экспликация[Название])&amp;"",""),""),_xlpm.rm,IF(BG37="","",IF(_xlpm.ex&lt;&gt;"",". "&amp;_xlpm.ex&amp;IF(Имя_пом="нет"," ("&amp;BG37&amp;")"," (пом. "&amp;BG37&amp;")"),IF(Имя_пом="нет"," ",", пом. ")&amp;BG37)),IF(_xlpm.nm="","",IF(_xlpm.md=2,_xlpm.nm&amp;" шлейф "&amp;BE37,_xlpm.nm&amp;_xlpm.rm)))))</f>
        <v>Осветительная группа, пом. 002Т</v>
      </c>
      <c r="BJ37" t="str">
        <f t="shared" si="10"/>
        <v>Осветительная группа, пом. 002Т</v>
      </c>
      <c r="BK37">
        <f>IFERROR(_xlfn.XMATCH(A37,Щиты[Щит]),0)</f>
        <v>3</v>
      </c>
      <c r="BL37">
        <f>_xlfn.LET(_xlpm.k,IFERROR(_xlfn.XLOOKUP(A37,Щиты[Щит],Щиты[Мест под вводной узел]),""),IF(_xlpm.k="",Столбцов_на_лист,N(_xlpm.k)))</f>
        <v>17</v>
      </c>
      <c r="BM37" t="str">
        <f t="shared" si="11"/>
        <v/>
      </c>
      <c r="BN37" t="str">
        <f t="shared" si="12"/>
        <v/>
      </c>
      <c r="BO37" s="6">
        <f>IFERROR(N(_xlfn.XLOOKUP(BC37,Коды_код,Коды_квт)),0)</f>
        <v>0</v>
      </c>
      <c r="BP37">
        <f t="shared" si="13"/>
        <v>0</v>
      </c>
      <c r="BQ37" t="str">
        <f>IF(B37="","",IF(BH37&lt;&gt;"",IFERROR(_xlfn.XLOOKUP(BH37,Щиты[Щит],Щиты[Руст, кВт]),0),IF(BP37=1,IF(OR(N(_xlfn.XLOOKUP(A37,Щиты[Щит],Щиты[Вводов],1))&lt;=1,LOWER(TRIM(_xlfn.XLOOKUP(A37,Щиты[Щит],Щиты[АВР],"")&amp;""))="да"),IFERROR(_xlfn.XLOOKUP(A37,Щиты[Щит],Щиты[Руст, кВт]),0),SUMIFS(Линии[_Р для вводов],Линии[Щит],A37,Линии[Источник для режимов],GF37)),IF(BO37&gt;0,ROUND(BO37*MAX(1,N(D37)),3),""))))</f>
        <v/>
      </c>
      <c r="BR37">
        <f t="shared" si="14"/>
        <v>0.1</v>
      </c>
      <c r="BS37" s="6">
        <f>IF(B37="","",IF(BH37&lt;&gt;"",IFERROR(_xlfn.XLOOKUP(BH37,Щиты[Щит],Щиты[Руст, кВт]),0),N(BR37)))</f>
        <v>0.1</v>
      </c>
      <c r="BT37" t="str">
        <f>IF(B37="","",IFERROR(IF(VLOOKUP(BC37,Потребители_обозначение,8,FALSE)=0,"",VLOOKUP(BC37,Потребители_обозначение,8,FALSE)),""))</f>
        <v/>
      </c>
      <c r="BU37">
        <f t="shared" si="15"/>
        <v>230</v>
      </c>
      <c r="BV37">
        <f t="shared" si="16"/>
        <v>0</v>
      </c>
      <c r="BW37">
        <f>IF(B37="","",IF(BH37&lt;&gt;"",3,IFERROR(IF(N(VLOOKUP(BC37,Потребители_обозначение,9,FALSE))=0,1,VLOOKUP(BC37,Потребители_обозначение,9,FALSE)),1)))</f>
        <v>1</v>
      </c>
      <c r="BX37">
        <f t="shared" si="17"/>
        <v>1</v>
      </c>
      <c r="BY37" t="str">
        <f>IF(B37="","",_xlfn.LET(_xlpm.bc,IFERROR(IF(VLOOKUP(BC37,Потребители_обозначение,6,FALSE)=0,"",VLOOKUP(BC37,Потребители_обозначение,6,FALSE)&amp;""),""),IF(AND(GA37="да",OR(_xlpm.bc="",_xlpm.bc="мс")),Марка_пож,IF(AND(_xlpm.bc="",BH37&lt;&gt;""),"мс",_xlpm.bc))))</f>
        <v/>
      </c>
      <c r="BZ37" t="str">
        <f t="shared" si="18"/>
        <v>мс</v>
      </c>
      <c r="CA37">
        <f>IF(B37="","",_xlfn.LET(_xlpm.cc,IFERROR(N(VLOOKUP(BC37,Потребители_обозначение,7,FALSE)),0),IF(_xlpm.cc&gt;0,_xlpm.cc,IF(BZ37="","",IF(BV37=1,2,IF(N(BX37)=3,5,3))))))</f>
        <v>3</v>
      </c>
      <c r="CB37">
        <f t="shared" si="19"/>
        <v>3</v>
      </c>
      <c r="CC37">
        <f>IFERROR(N(VLOOKUP(BC37,Потребители_обозначение,10,FALSE)),0)</f>
        <v>0</v>
      </c>
      <c r="CD37">
        <f>IFERROR(VLOOKUP(BC37,Потребители_обозначение,5,FALSE),0)</f>
        <v>3</v>
      </c>
      <c r="CE37" s="6" cm="1">
        <f t="array" ref="CE37">IF(B37="","",IF(BH37&lt;&gt;"",IFERROR(_xlfn.XLOOKUP(BH37,Щиты[Щит],Щиты[cos φ]),0.95),IF(BP37=1,IFERROR(_xlfn.XLOOKUP(A37,Щиты[Щит],Щиты[cos φ]),0.95),IF(ISNUMBER(AD37),AD37,IFERROR(IF(CD37=2,_xlfn.IFS(BX37=3,VLOOKUP(BS37,Справочная_двигатели,8,FALSE),BX37=1,VLOOKUP(BS37,Справочная_двигатели,10,TRUE)),IF(AND(Методика="нормы 2026",FG37="Сил"),0.8,0.95)),0.95)))))</f>
        <v>0.95</v>
      </c>
      <c r="CF37">
        <f t="shared" si="20"/>
        <v>0</v>
      </c>
      <c r="CG37">
        <f t="shared" si="21"/>
        <v>1</v>
      </c>
      <c r="CH37">
        <f t="shared" si="22"/>
        <v>0</v>
      </c>
      <c r="CI37">
        <f>IF(B37="","",IF(BV37=1,IFERROR(BS37/((Uн_лин/SQRT(3))*MAX(0.5,N(CE37))),0),N(O37)))</f>
        <v>0.455802844097073</v>
      </c>
      <c r="CJ37">
        <f t="shared" si="23"/>
        <v>0</v>
      </c>
      <c r="CK37">
        <f t="shared" si="24"/>
        <v>0</v>
      </c>
      <c r="CL37">
        <f t="shared" si="25"/>
        <v>0</v>
      </c>
      <c r="CM37">
        <f t="shared" si="26"/>
        <v>0</v>
      </c>
      <c r="CN37">
        <f t="shared" si="27"/>
        <v>0</v>
      </c>
      <c r="CO37">
        <f>IF(BC37="",0,_xlfn.LET(_xlpm.v,IFERROR(_xlfn.XLOOKUP(B37,Коды_код,Коды_мА),IFERROR(_xlfn.XLOOKUP(BC37,Коды_код,Коды_мА),IFERROR(_xlfn.XLOOKUP(LEFT(BC37,2),Коды_код,Коды_мА),""))),IF(_xlpm.v="да",30,IF(ISNUMBER(_xlpm.v),_xlpm.v,0))))</f>
        <v>0</v>
      </c>
      <c r="CP37" t="str">
        <f t="shared" si="28"/>
        <v/>
      </c>
      <c r="CQ37" t="str">
        <f>_xlfn.LET(_xlpm.k,IFERROR(_xlfn.XLOOKUP(BC37,Коды_код,Коды_утечка)&amp;"",""),IF(_xlpm.k="","дифавтомат",_xlpm.k))</f>
        <v>дифавтомат</v>
      </c>
      <c r="CR37" t="str" cm="1">
        <f t="array" ref="CR37">IF(CG37=0,"",_xlfn.LET(_xlpm.sg,TRIM(_xlfn.TEXTSPLIT(DD37&amp;"",";")),_xlpm.f_,_xlfn._xlws.FILTER(_xlpm.sg,LEFT(_xlpm.sg,3)="УЗО",""),IFERROR(INDEX(_xlpm.f_,1)&amp;"","")))</f>
        <v/>
      </c>
      <c r="CS37" t="str">
        <f t="shared" si="29"/>
        <v/>
      </c>
      <c r="CT37" s="6" t="str" cm="1">
        <f t="array" ref="CT37">IF(CR37="","",_xlfn.LET(_xlpm.tk,_xlfn.TEXTSPLIT(UPPER(CR37)," ",,TRUE),_xlpm.a_,_xlfn._xlws.FILTER(_xlpm.tk,ISNUMBER(--LEFT(_xlpm.tk,1))*((ISNUMBER(SEARCH("А",_xlpm.tk))+ISNUMBER(SEARCH("A",_xlpm.tk)))&gt;0)*NOT(ISNUMBER(SEARCH("МА",_xlpm.tk)))*NOT(ISNUMBER(SEARCH("MA",_xlpm.tk))),""),IFERROR(--SUBSTITUTE(SUBSTITUTE(INDEX(_xlpm.a_,1),"А",""),"A",""),"")))</f>
        <v/>
      </c>
      <c r="CU37" t="str" cm="1">
        <f t="array" ref="CU37">IF(CR37="","",_xlfn.LET(_xlpm.tk,_xlfn.TEXTSPLIT(UPPER(CR37)," ",,TRUE),_xlpm.a_,_xlfn._xlws.FILTER(_xlpm.tk,ISNUMBER(--LEFT(_xlpm.tk,1))*((ISNUMBER(SEARCH("МА",_xlpm.tk))+ISNUMBER(SEARCH("MA",_xlpm.tk)))&gt;0),""),IFERROR(--SUBSTITUTE(SUBSTITUTE(INDEX(_xlpm.a_,1),"МА",""),"MA",""),30)))</f>
        <v/>
      </c>
      <c r="CV37" t="str">
        <f>IF(CS37="","",IFERROR(_xlfn.XLOOKUP(CS37,Линии[_n],Линии[_УЗО, мА]),30))</f>
        <v/>
      </c>
      <c r="CW37">
        <f>IF(CS37="",0,IF(ISNUMBER(SEARCH("4P",IFERROR(_xlfn.XLOOKUP(CS37,Линии[_n],Линии[_УЗО строки])&amp;"",""))),0,1))</f>
        <v>0</v>
      </c>
      <c r="CX37" t="str">
        <f>IF(AND(CS37&lt;&gt;"",CS37=BA37),SUMIFS(Линии[_ток на 230 В],Линии[_блок УЗО],BA37,Линии[Щит],A37),"")</f>
        <v/>
      </c>
      <c r="CY37" t="str">
        <f>IF(AND(CS37&lt;&gt;"",CS37=BA37),SUMIFS(Линии[_ток утечки линии, мА],Линии[_блок УЗО],BA37,Линии[Щит],A37),"")</f>
        <v/>
      </c>
      <c r="CZ37">
        <f t="shared" si="30"/>
        <v>0</v>
      </c>
      <c r="DA37">
        <f t="shared" si="31"/>
        <v>0</v>
      </c>
      <c r="DB37">
        <f>IF(B37="",0,IFERROR(--_xlfn.XLOOKUP(B37,Коды_код,Коды_минавт),IFERROR(--_xlfn.XLOOKUP(BC37,Коды_код,Коды_минавт),IFERROR(--_xlfn.XLOOKUP(LEFT(BC37,2),Коды_код,Коды_минавт),0))))</f>
        <v>10</v>
      </c>
      <c r="DC37" t="str">
        <f>IF(B37="","",IFERROR(_xlfn.XLOOKUP(BC37,Коды_код,Коды_апп)&amp;"",""))</f>
        <v/>
      </c>
      <c r="DD37" t="str">
        <f t="shared" si="32"/>
        <v/>
      </c>
      <c r="DE37" t="str" cm="1">
        <f t="array" ref="DE37">IF(TRIM(DD37&amp;"")="","",IFERROR(TRIM(INDEX(_xlfn.TEXTSPLIT(DD37&amp;";;;",";"),1)),""))</f>
        <v/>
      </c>
      <c r="DF37" t="str" cm="1">
        <f t="array" ref="DF37">IF(TRIM(DD37&amp;"")="","",IFERROR(TRIM(INDEX(_xlfn.TEXTSPLIT(DD37&amp;";;;",";"),2)),""))</f>
        <v/>
      </c>
      <c r="DG37" t="str" cm="1">
        <f t="array" ref="DG37">IF(TRIM(DD37&amp;"")="","",IFERROR(TRIM(INDEX(_xlfn.TEXTSPLIT(DD37&amp;";;;",";"),3)),""))</f>
        <v/>
      </c>
      <c r="DH37">
        <f t="shared" si="33"/>
        <v>0</v>
      </c>
      <c r="DI37" t="str">
        <f>IF(B37="","",_xlfn.LET(_xlpm.t,LOWER(AZ37&amp;""),IF(ISNUMBER(SEARCH("dim",_xlpm.t)),"DIM",IF(ISNUMBER(SEARCH("dali",_xlpm.t)),"DALI",IF(OR(ISNUMBER(SEARCH("relay",_xlpm.t)),ISNUMBER(SEARCH("реле",_xlpm.t))),"Relay",IF(ISNUMBER(SEARCH("кнопк",_xlpm.t)),"",IFERROR(_xlfn.XLOOKUP(BC37,Коды_код,Коды_упр)&amp;"","")))))))</f>
        <v/>
      </c>
      <c r="DJ37" t="str">
        <f t="shared" si="34"/>
        <v/>
      </c>
      <c r="DK37">
        <f>IF(B37="","",_xlfn.LET(_xlpm.ig,IF(N(CX37)&gt;0,N(CX37),N(CI37)+IF(AJ37="вручную",0,N(CJ37))),_xlpm.n0,IFERROR(VLOOKUP(_xlpm.ig,Автомат_номиналы,2,TRUE),0),_xlpm.mn,MAX(DB37,IF(AJ37="вручную",0,N(CM37))),MAX(_xlpm.n0,_xlpm.mn,IF(DH37=1,Мин_автомат_БП,0))))</f>
        <v>10</v>
      </c>
      <c r="DL37">
        <f t="shared" si="35"/>
        <v>1</v>
      </c>
      <c r="DM37" t="str">
        <f t="shared" si="36"/>
        <v>1P</v>
      </c>
      <c r="DN37" t="str">
        <f>_xlfn.LET(_xlpm.cc,UPPER(TRIM(IFERROR(_xlfn.XLOOKUP(BC37,Коды_код,Коды_хар)&amp;"",""))),IF(OR(_xlpm.cc="B",_xlpm.cc="В"),"B",IF(_xlpm.cc="D","D","С")))</f>
        <v>С</v>
      </c>
      <c r="DO37" t="str">
        <f t="shared" si="37"/>
        <v>1P С10А</v>
      </c>
      <c r="DP37" t="str">
        <f t="shared" si="38"/>
        <v>1P С10А</v>
      </c>
      <c r="DQ37" t="str">
        <f t="shared" si="39"/>
        <v>1P С10А</v>
      </c>
      <c r="DR37" cm="1">
        <f t="array" ref="DR37">IF(DQ37="","",_xlfn.LET(_xlpm.t,SUBSTITUTE(SUBSTITUTE(SUBSTITUTE(UPPER(DQ37),"С","C"),"А","A"),"В","B"),_xlpm.tk,_xlfn.TEXTSPLIT(_xlpm.t," "),_xlpm.f,_xlfn._xlws.FILTER(_xlpm.tk,ISNUMBER(--MID(_xlpm.tk,2,1))*ISNUMBER(SEARCH(LEFT(_xlpm.tk,1)&amp;"#","B#C#D#"))*(LEN(_xlpm.tk)&gt;1),""),_xlpm.x,INDEX(_xlpm.f,1),IFERROR(--SUBSTITUTE(MID(_xlpm.x,2,9),"A",""),IFERROR(--SUBSTITUTE(INDEX(_xlfn._xlws.FILTER(_xlpm.tk,ISNUMBER(--SUBSTITUTE(_xlpm.tk,"A","")),""),1),"A",""),""))))</f>
        <v>10</v>
      </c>
      <c r="DS37" t="str">
        <f t="shared" si="40"/>
        <v>ok</v>
      </c>
      <c r="DT37">
        <f t="shared" si="41"/>
        <v>10</v>
      </c>
      <c r="DU37" t="str">
        <f t="shared" si="42"/>
        <v>1P С10А</v>
      </c>
      <c r="DV37">
        <f t="shared" si="43"/>
        <v>0</v>
      </c>
      <c r="DW37">
        <f t="shared" si="44"/>
        <v>0</v>
      </c>
      <c r="DX37">
        <f t="shared" si="45"/>
        <v>0</v>
      </c>
      <c r="DY37">
        <f t="shared" si="46"/>
        <v>0.455802844097073</v>
      </c>
      <c r="DZ37">
        <f t="shared" si="47"/>
        <v>1</v>
      </c>
      <c r="EA37">
        <f>IF(ISNUMBER(AP37),AP37,К_прокл)</f>
        <v>1</v>
      </c>
      <c r="EB37">
        <f t="shared" si="48"/>
        <v>2</v>
      </c>
      <c r="EC37">
        <f>IFERROR(N(VLOOKUP(BZ37,Кабель_обозначение,3,FALSE)),1)</f>
        <v>1</v>
      </c>
      <c r="ED37">
        <f>IFERROR(N(_xlfn.XLOOKUP(A37,Щиты[Щит],Щиты[ΔU до шин, %])),0)</f>
        <v>0.17</v>
      </c>
      <c r="EE37" t="str">
        <f>IFERROR(_xlfn.XLOOKUP(A37,Щиты[Щит],Щиты[Zпетли на шинах, Ом]),"")</f>
        <v/>
      </c>
      <c r="EF37">
        <f>IFERROR(N(_xlfn.XLOOKUP(A37,Щиты[Щит],Щиты[ΔU до шин (подбор), %])),0)</f>
        <v>0.65</v>
      </c>
      <c r="EG37" t="str">
        <f>IFERROR(_xlfn.XLOOKUP(A37,Щиты[Щит],Щиты[Zпетли на шинах (подбор), Ом]),"")</f>
        <v/>
      </c>
      <c r="EH37" t="str">
        <f t="shared" si="49"/>
        <v/>
      </c>
      <c r="EI37">
        <f t="shared" si="50"/>
        <v>48</v>
      </c>
      <c r="EJ37">
        <f t="shared" si="51"/>
        <v>2</v>
      </c>
      <c r="EK37">
        <f t="shared" si="52"/>
        <v>0.31</v>
      </c>
      <c r="EL37" s="6">
        <f>IF(B37="","",IF(BV37=1,dU_LED,IF(IFERROR(_xlfn.XLOOKUP(BC37,Коды_код,Коды_уго),"")="Светильник",3,4)+IF(Методика="нормы 2026",MIN(0.5,MAX(0,N(P37)-100)*0.005),0)))</f>
        <v>3</v>
      </c>
      <c r="EM37" cm="1">
        <f t="array" ref="EM37">IF(OR(B37="",BZ37="",EC37&lt;&gt;1),"",_xlfn.LET(_xlpm.sz,Iдоп_S,_xlpm.t_,CHOOSE(EB37,Iдоп_1ж,Iдоп_2ж,Iдоп_3ж)*DZ37*EA37,_xlpm.dcx,BV37=1,_xlpm.inn,IF(_xlpm.dcx,N(O37),N(DT37)),_xlpm.smin,MAX(1.5,CC37),_xlpm.L_,N(P37)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37)/N(BU37)*100,999),IFERROR(N(EJ37)*(_xlpm.rho*_xlpm.L_/_xlpm.sz*N(CE37)+_xlpm.xx*_xlpm.L_*N(EK37)/1000)*N(O37)/((Uн_лин/SQRT(3))*1000)*100,999)),_xlpm.kz,IF(OR(_xlpm.dcx,DW37=1,NOT(ISNUMBER(EG37)),_xlpm.L_=0,_xlpm.inn=0),1,IFERROR(--(c_min*(Uн_лин*1000/SQRT(3))/(EG37+2*ρкз_Cu*_xlpm.L_/_xlpm.sz)&gt;=HT37*_xlpm.inn),0)),_xlpm.ok,IFERROR((_xlpm.sz&gt;=_xlpm.smin)*(_xlpm.t_&gt;=_xlpm.inn)*IF(_xlpm.L_&gt;0,(_xlpm.du_+IF(_xlpm.dcx,0,EF37)&lt;=EL37+0.00001),1)*_xlpm.kz,0),_xlpm.r_,_xlfn._xlws.FILTER(_xlpm.sz,_xlpm.ok,"не подобрано"),INDEX(_xlpm.r_,1)))</f>
        <v>1.5</v>
      </c>
      <c r="EN37">
        <f t="shared" si="53"/>
        <v>1.5</v>
      </c>
      <c r="EO37" cm="1">
        <f t="array" ref="EO37">IF(OR(B37="",BZ37="",EC37&lt;&gt;1),"",_xlfn.LET(_xlpm.sz,Iдоп_S,_xlpm.t_,CHOOSE(EB37,Iдоп_1ж,Iдоп_2ж,Iдоп_3ж)*DZ37*EA37,_xlpm.ok,IFERROR((_xlpm.sz&gt;=MAX(1.5,CC37))*(_xlpm.t_&gt;=N(DT37)),0),_xlpm.r_,_xlfn._xlws.FILTER(_xlpm.sz,_xlpm.ok,""),INDEX(_xlpm.r_,1)))</f>
        <v>1.5</v>
      </c>
      <c r="EP37" s="6" cm="1">
        <f t="array" ref="EP37">IFERROR(ROUNDUP(N(EJ37)*(_xlfn.XLOOKUP(EO37,INDEX(Кабель_сопротивление,0,1),INDEX(Кабель_сопротивление,0,3))*N(P37)/EO37*N(CE37)+_xlfn.XLOOKUP(EO37,INDEX(Кабель_сопротивление,0,1),INDEX(Кабель_сопротивление,0,2))*N(P37)*N(EK37)/1000)*N(O37)/((Uн_лин/SQRT(3))*1000)*100,2),"")</f>
        <v>0.36</v>
      </c>
      <c r="EQ37">
        <f>IFERROR(2*ρкз_Cu*N(P37)/EO37,"")</f>
        <v>2.2092000000000001</v>
      </c>
      <c r="ER37">
        <f>IFERROR(VLOOKUP(EN37,Кабель_сопротивление,3,FALSE),"")</f>
        <v>2.2499999999999999E-2</v>
      </c>
      <c r="ES37">
        <f>IFERROR(VLOOKUP(EN37,Кабель_сопротивление,2,FALSE),"")</f>
        <v>0.11</v>
      </c>
      <c r="ET37">
        <f t="shared" si="54"/>
        <v>40</v>
      </c>
      <c r="EU37" t="str">
        <f t="shared" si="55"/>
        <v/>
      </c>
      <c r="EV37">
        <f t="shared" si="56"/>
        <v>0.82035240907624196</v>
      </c>
      <c r="EW37" s="6">
        <f>IFERROR(ROUNDUP(EV37/IF(BV37=1,BU37,(Uн_лин/SQRT(3))*1000)*100,2),"")</f>
        <v>0.36</v>
      </c>
      <c r="EX37" t="str">
        <f>IFERROR(VLOOKUP(BZ37,Кабель_обозначение,2,FALSE),"")</f>
        <v>ВВГнг(А)-LS</v>
      </c>
      <c r="EY37" t="str">
        <f t="shared" si="57"/>
        <v>ВВГнг(А)-LS (3х1,5)</v>
      </c>
      <c r="EZ37" t="str">
        <f t="shared" si="58"/>
        <v>ВВГнг(А)-LS (3х1,5)
L=63-0,36%</v>
      </c>
      <c r="FA37">
        <f>IFERROR(2*ρкз_Cu*P37/EN37,"")</f>
        <v>2.2092000000000001</v>
      </c>
      <c r="FB37">
        <f t="shared" si="59"/>
        <v>0.73499999999999999</v>
      </c>
      <c r="FC37" s="6" t="str">
        <f>IFERROR(IF(OR(B37="",BV37=1,NOT(ISNUMBER(EN37)),N(P37)=0),"",_xlfn.XLOOKUP(A37,Щиты[Щит],Щиты[Zпетли на шинах, Ом])+FA37),"")</f>
        <v/>
      </c>
      <c r="FD37" s="6" t="str">
        <f>IF(ISNUMBER(FC37),c_min*(Uн_лин*1000/SQRT(3))/FC37,"")</f>
        <v/>
      </c>
      <c r="FE37" s="6" t="str">
        <f>IFERROR(IF(OR(B37="",NOT(ISNUMBER(EN37))),"",1.05*(Uн_лин*1000/SQRT(3))/(_xlfn.XLOOKUP(A37,Щиты[Щит],Щиты[Zmax на шинах, Ом])+FB37)/1000),"")</f>
        <v/>
      </c>
      <c r="FF37" s="6" t="str">
        <f>IF(B37="","",IF(ISNUMBER(AC37),"Сил",IF(IFERROR(_xlfn.XLOOKUP(BC37,Коды_код,Коды_группа)&amp;"","")="","Быт",_xlfn.XLOOKUP(BC37,Коды_код,Коды_группа)&amp;"")))</f>
        <v>Быт</v>
      </c>
      <c r="FG37" s="6" t="str">
        <f t="shared" si="60"/>
        <v>Быт</v>
      </c>
      <c r="FH37" s="6">
        <f>IF(FG37="Щит","щит",IF(FG37="","",IF(FG37="Быт",IFERROR(_xlfn.XLOOKUP(A37,Щиты[Щит],Щиты[Кс быт]),1),IF(FG37="Сил",IF(ISNUMBER(AC37),AC37,IF(Методика="нормы 2026",IFERROR(_xlfn.XLOOKUP(A37,Щиты[Щит],Щиты[Кс силовых (табл. 7.5)]),1),1)),IF(OR(FG37="Пост",FG37="Отоп"),1,IF(FG37="ВНГ",0.7,0))))))</f>
        <v>0.8</v>
      </c>
      <c r="FI37">
        <f>IF(FG37="","",IF(AND(BP37=1,TRIM(AE37&amp;"")=""),IF(COUNTIFS(Линии[Щит],A37,Линии[Секция (1/2/3)],"&gt;=2")&gt;0,MIN(3,MAX(1,IFERROR(--BD37,1))),1),IFERROR(MIN(3,MAX(1,INT(--AE37))),1)))</f>
        <v>1</v>
      </c>
      <c r="FJ37">
        <f t="shared" si="61"/>
        <v>0.1</v>
      </c>
      <c r="FK37">
        <f t="shared" si="62"/>
        <v>0.1</v>
      </c>
      <c r="FL37">
        <f t="shared" si="63"/>
        <v>0</v>
      </c>
      <c r="FM37">
        <f t="shared" si="64"/>
        <v>0</v>
      </c>
      <c r="FN37">
        <f t="shared" si="65"/>
        <v>0</v>
      </c>
      <c r="FO37">
        <f t="shared" si="66"/>
        <v>0</v>
      </c>
      <c r="FP37">
        <f t="shared" si="67"/>
        <v>0.1</v>
      </c>
      <c r="FQ37">
        <f t="shared" si="68"/>
        <v>0.1</v>
      </c>
      <c r="FR37">
        <f t="shared" si="69"/>
        <v>9.5000000000000001E-2</v>
      </c>
      <c r="FS37">
        <f>IF(CG37=1,IF(AND(CH37=1,CW37=1),0,IF(AND(CS37&lt;&gt;"",CS37=BA37,CW37=1),SUMIFS(Линии[_Р линии, кВт],Линии[_блок УЗО],BA37,Линии[Щит],A37),N(BS37)+IF(AJ37="вручную",0,N(CK37)))),0)</f>
        <v>0.1</v>
      </c>
      <c r="FT37" t="str">
        <f t="shared" si="70"/>
        <v/>
      </c>
      <c r="FU37" t="str">
        <f>IF(B37="","",IF(CG37=0,IF(BA37=1,"",FW36),IF(AND(CH37=1,CW37=1,CS37&lt;&gt;""),IFERROR(_xlfn.XLOOKUP(CS37,Линии[_n],Линии[_фаза итог]),"L1"),IF(OR(N(DL37)&gt;=3,N(BX37)&gt;=3),"L1,L2,L3",IFERROR(_xlfn.TEXTBEFORE(_xlfn.TEXTAFTER(_xlfn.XLOOKUP(A37,Щиты[Щит],Щиты[_фазы авто]),";"&amp;BA37&amp;":"),";"),"L1")))))</f>
        <v>L3</v>
      </c>
      <c r="FV37" t="str">
        <f t="shared" si="71"/>
        <v>L3</v>
      </c>
      <c r="FW37" t="str">
        <f t="shared" si="72"/>
        <v>L3</v>
      </c>
      <c r="FX37" cm="1">
        <f t="array" ref="FX37">IFERROR(IF(CD37=2,_xlfn.IFS(BX37=3,VLOOKUP(BS37,Справочная_двигатели,3,FALSE),BX37=1,VLOOKUP(BS37,Справочная_двигатели,5,TRUE)),0),0)</f>
        <v>0</v>
      </c>
      <c r="FY37">
        <f>IFERROR(IF(CD37=3,VLOOKUP(BS37,Справочная_ЛЭД,2,TRUE),0),0)</f>
        <v>50</v>
      </c>
      <c r="FZ37" s="6">
        <f t="shared" si="73"/>
        <v>50</v>
      </c>
      <c r="GA37" t="str">
        <f>IF(B37="","",IF(TRIM(AH37&amp;"")&lt;&gt;"",IF(LOWER(TRIM(AH37&amp;""))="да","да","нет"),IF(IFERROR(_xlfn.XLOOKUP(BC37,Коды_код,Коды_пожарная),"")="да","да","нет")))</f>
        <v>нет</v>
      </c>
      <c r="GB37" t="str">
        <f t="shared" si="74"/>
        <v/>
      </c>
      <c r="GC37" t="str">
        <f t="shared" si="75"/>
        <v>основная</v>
      </c>
      <c r="GD37">
        <f>IF(AND(BP37=1,TRIM(AE37&amp;"")=""),IF(COUNTIFS(Линии[Щит],A37,Линии[Секция (1/2/3)],"&gt;=2")&gt;0,MIN(3,MAX(1,IFERROR(--BD37,1))),1),IFERROR(MIN(3,MAX(1,INT(--AE37))),1))</f>
        <v>1</v>
      </c>
      <c r="GE37" t="str" cm="1">
        <f t="array" ref="GE37">IF(B37="","",_xlfn.LET(_xlpm.t,IFERROR(_xlfn.XLOOKUP(1,(Шины[Шина]=GC37)*(((Шины[Щит]=A37)+(Шины[Щит]=""))&gt;0),Шины[Тип]),"")&amp;"",IF(_xlpm.t&lt;&gt;"",_xlpm.t,IF(ISNUMBER(SEARCH("ИБП",GC37)),"ИБП",IF(ISNUMBER(SEARCH("ДГУ",GC37)),"ДГУ","Ввод "&amp;GD37)))))</f>
        <v>Ввод 1</v>
      </c>
      <c r="GF37" t="str">
        <f t="shared" si="76"/>
        <v>Ввод 1</v>
      </c>
      <c r="GG37" t="str">
        <f>IF(BP37=0,"",IF(TRIM(AG37&amp;"")&lt;&gt;"",TRIM(AG37&amp;""),IF(OR(GE37="ИБП",GE37="ДГУ"),"I особая",_xlfn.XLOOKUP(A37,Щиты[Щит],Щиты[Категория шины «Ввод»],"III"))))</f>
        <v/>
      </c>
      <c r="GH37" t="str">
        <f>IF(A37="","",_xlfn.XLOOKUP(A37,Щиты[Щит],Щиты[Путь],""))</f>
        <v>|ГРЩ-ЖД|ЩГП|ЩО-001|</v>
      </c>
      <c r="GI37" t="str">
        <f>IF(B37="","",IF(AI37&lt;&gt;"",AI37,IF(IFERROR(_xlfn.XLOOKUP(BC37,Коды_код,Коды_вид)&amp;"","")="","Прочее",_xlfn.XLOOKUP(BC37,Коды_код,Коды_вид)&amp;"")))</f>
        <v>Рабочее освещение</v>
      </c>
      <c r="GJ37" t="str">
        <f>IF(BM37="","",INT((BM37-1)/Столбцов_на_лист)+1)</f>
        <v/>
      </c>
      <c r="GK37" t="str">
        <f t="shared" si="77"/>
        <v>ВВГнг(А)-LS (3х1,5) L=63-0,36%</v>
      </c>
      <c r="GL37">
        <f t="shared" si="78"/>
        <v>0.1</v>
      </c>
      <c r="GM37">
        <f t="shared" si="79"/>
        <v>0.46</v>
      </c>
      <c r="GN37">
        <f t="shared" si="80"/>
        <v>1</v>
      </c>
      <c r="GO37">
        <f t="shared" si="81"/>
        <v>0</v>
      </c>
      <c r="GP37">
        <f t="shared" si="82"/>
        <v>0</v>
      </c>
      <c r="GQ37" t="str">
        <f>IF(BM37="","",IF(AND(CG37=1,GP37=1),COUNTIFS(A$3:A37,A37,CG$3:CG37,1,GP$3:GP37,1),IF(OR(OR(BA37=1,A37&lt;&gt;A36),AJ37="вручную",GP37=0),"",IF(BA37=1,"",GR36))))</f>
        <v/>
      </c>
      <c r="GR37" t="str">
        <f t="shared" si="83"/>
        <v/>
      </c>
      <c r="GS37">
        <f>IF(B37="","",IFERROR(LOOKUP(INDEX(CHOOSE(EB37,Iдоп_1ж,Iдоп_2ж,Iдоп_3ж),MATCH(EN37,Iдоп_S,0))*DZ37*EA37,{6,10,16,20,25,32,40,50,63,80,100,125,160,200,250,315,400,500,630}),""))</f>
        <v>16</v>
      </c>
      <c r="GT37" t="str">
        <f t="shared" si="84"/>
        <v/>
      </c>
      <c r="GU37" t="str">
        <f t="shared" si="85"/>
        <v/>
      </c>
      <c r="GV37" t="str">
        <f t="shared" si="86"/>
        <v/>
      </c>
      <c r="GW37">
        <f t="shared" si="87"/>
        <v>0</v>
      </c>
      <c r="GX37" t="str">
        <f>IF(OR(B37="",DJ37=""),"",IFERROR(_xlfn.XLOOKUP(DJ37,Модули_умолч[Управление],Модули_умолч[Модель])&amp;"",""))</f>
        <v/>
      </c>
      <c r="GY37">
        <f>IF(DJ37="",1,IFERROR(MAX(0,N(_xlfn.XLOOKUP(DJ37,Модули_умолч[Управление],Модули_умолч[Каналов на линию]))),1))</f>
        <v>1</v>
      </c>
      <c r="GZ37" t="str">
        <f t="shared" si="88"/>
        <v/>
      </c>
      <c r="HA37" t="str">
        <f t="shared" si="89"/>
        <v/>
      </c>
      <c r="HB37" t="str">
        <f t="shared" si="90"/>
        <v/>
      </c>
      <c r="HC37">
        <f>IF(HB37="",0,IFERROR(N(VLOOKUP(HB37,Модули_спр,3,FALSE)),0))</f>
        <v>0</v>
      </c>
      <c r="HD37" t="str">
        <f t="shared" si="91"/>
        <v/>
      </c>
      <c r="HE37" t="str">
        <f t="shared" si="92"/>
        <v/>
      </c>
      <c r="HF37" t="str">
        <f>IF(OR(HE37="",HE37="-"),"",IFERROR(VLOOKUP(HE37,Модули_спр,2,FALSE),"R"))</f>
        <v/>
      </c>
      <c r="HG37" t="str">
        <f>IF(HF37="","",HF37&amp;"."&amp;COUNTIFS(A$3:A37,A37,HF$3:HF37,HF37))</f>
        <v/>
      </c>
      <c r="HH37" t="str">
        <f t="shared" si="93"/>
        <v/>
      </c>
      <c r="HI37" t="str">
        <f t="shared" si="94"/>
        <v/>
      </c>
      <c r="HJ37" t="str">
        <f t="shared" si="95"/>
        <v/>
      </c>
      <c r="HK37" t="str">
        <f t="shared" si="96"/>
        <v/>
      </c>
      <c r="HL37">
        <f t="shared" si="97"/>
        <v>1</v>
      </c>
      <c r="HM37" t="str">
        <f>IF(HL37=1,"XT"&amp;COUNTIFS(A$3:A37,A37,HL$3:HL37,1),"")</f>
        <v>XT6</v>
      </c>
      <c r="HN37" t="str">
        <f t="shared" si="98"/>
        <v>XT6</v>
      </c>
      <c r="HO37" t="str">
        <f t="shared" si="99"/>
        <v/>
      </c>
      <c r="HP37" t="str">
        <f t="shared" si="100"/>
        <v/>
      </c>
      <c r="HQ37" t="str">
        <f t="shared" si="101"/>
        <v>ok</v>
      </c>
      <c r="HR37" t="str">
        <f>IF(OR(HJ37="",HH37=""),"",IF(HJ37+MAX(0,GY37-1)&gt;IFERROR(VLOOKUP(HI37,Модули_спр,3,FALSE),99),"ЛИШНИЙ КАНАЛ",IF(AND(AL37&lt;&gt;"=",GY37&gt;0,COUNTIFS(Линии[_модуль гр.],HH37,Линии[Канал (итог)],HJ37,Линии[Канал],"&lt;&gt;=",Линии[Щит],A37)&gt;1),"ДУБЛЬ КАНАЛА","")))</f>
        <v/>
      </c>
      <c r="HS37" s="6" t="str">
        <f t="shared" si="102"/>
        <v/>
      </c>
      <c r="HT37">
        <f t="shared" si="103"/>
        <v>10</v>
      </c>
      <c r="HU37" t="str">
        <f t="shared" si="104"/>
        <v/>
      </c>
      <c r="HV37">
        <f t="shared" si="105"/>
        <v>0.81232113763882918</v>
      </c>
      <c r="HW37">
        <f t="shared" si="106"/>
        <v>0</v>
      </c>
      <c r="HX37">
        <f t="shared" si="107"/>
        <v>0</v>
      </c>
      <c r="HY37">
        <f t="shared" si="108"/>
        <v>0</v>
      </c>
      <c r="HZ37">
        <f t="shared" si="109"/>
        <v>0</v>
      </c>
      <c r="IA37">
        <f t="shared" si="110"/>
        <v>0</v>
      </c>
      <c r="IB37">
        <f t="shared" si="111"/>
        <v>0</v>
      </c>
      <c r="IC37" t="str">
        <f t="shared" si="112"/>
        <v/>
      </c>
      <c r="ID37" t="str" cm="1">
        <f t="array" ref="ID37">IF(IC37="","",_xlfn.LET(_xlpm.tk,_xlfn.TEXTSPLIT(SUBSTITUTE(SUBSTITUTE(IC37,";"," "),"→"," ")," ",,TRUE),_xlpm.w_,_xlfn._xlws.FILTER(_xlpm.tk,ISNUMBER(--LEFT(_xlpm.tk,1))*((ISNUMBER(SEARCH("W",_xlpm.tk))+ISNUMBER(SEARCH("Вт",_xlpm.tk)))&gt;0),""),IFERROR(--SUBSTITUTE(SUBSTITUTE(UPPER(INDEX(_xlpm.w_,1)),"W",""),"ВТ",""),"")))</f>
        <v/>
      </c>
      <c r="IE37" t="str" cm="1">
        <f t="array" ref="IE37">IF(IC37="","",_xlfn.LET(_xlpm.tk,_xlfn.TEXTSPLIT(SUBSTITUTE(SUBSTITUTE(IC37,";"," "),"→"," ")," ",,TRUE),_xlpm.v_,_xlfn._xlws.FILTER(_xlpm.tk,ISNUMBER(--LEFT(_xlpm.tk,1))*((ISNUMBER(SEARCH("V",_xlpm.tk))+(RIGHT(UPPER(_xlpm.tk))="В"))&gt;0),""),IFERROR(--SUBSTITUTE(SUBSTITUTE(UPPER(INDEX(_xlpm.v_,1)),"V",""),"В",""),"")))</f>
        <v/>
      </c>
      <c r="IF37" s="6" t="str">
        <f>IF(OR(BV37=0,HI37="",HJ37=""),"",IFERROR(N(_xlfn.XLOOKUP(HI37,Каталог!$C$4:$C$500,Каталог!$Q$4:$Q$500)),""))</f>
        <v/>
      </c>
      <c r="IG37" s="6" t="str">
        <f>IF(N(IF37)=0,"",SUMIFS(Линии[Iр, А],Линии[Щит],A37,Линии[_модуль гр.],HH37,Линии[Канал (итог)],HJ37))</f>
        <v/>
      </c>
      <c r="IH37" t="str">
        <f>IF(AND(B37="",HO37=""),"",_xlfn.TEXTJOIN("; ",TRUE,IF(AND(B37&lt;&gt;"",FV37=""),"нет фазы",""),IF(AND(B37&lt;&gt;"",N(GL37)=0,FG37&lt;&gt;"Нет"),"нет мощности",""),IF(AND(HN37&lt;&gt;"",COUNTIFS(Линии[Щит],A37,Линии[Клемма (итог)],HN37)&gt;1),"дубль клеммы "&amp;HN37,""),IF(AND(HQ37&lt;&gt;"",HQ37&lt;&gt;"ok"),HQ37,""),IF(HR37&lt;&gt;"",HR37,""),IF(AND(N(CB37)&gt;=4,N(BX37)=1),CB37&amp;" жил на 1 фазе",""),IF(AND(BC37="R",CG37=1,IF(CS37&lt;&gt;"",N(CV37)&gt;30,OR(N(DA37)=0,N(DA37)&gt;30))),"розетка без дифзащиты до 30 мА",""),IF(AND(CG37=1,N(DA37)&gt;0,ISNUMBER(T37)),IF(T37&gt;N(DA37)/3,"ток утечки "&amp;FIXED(T37,1)&amp;" мА &gt; 1/3 уставки ("&amp;DA37&amp;" мА)",""),""),IF(AND(CH37=1,CS37=""),"«узо»: нет строки с УЗО выше (УЗО 2P 40А 30мА в «Аппаратах»)",""),IF(AND(CS37&lt;&gt;"",CS37=BA37),IF(CT37="","впишите номинал УЗО (УЗО 2P 40А 30мА)",IF(N(CT37)&lt;N(DT37),"УЗО "&amp;CT37&amp;" А &lt; автомата "&amp;DT37&amp;" А перед ним",IF(N(CT37)&lt;N(CX37),"УЗО "&amp;CT37&amp;" А &lt; тока блока "&amp;FIXED(CX37,1)&amp;" А",""))),""),IF(AND(CS37&lt;&gt;"",CS37=BA37,ISNUMBER(CY37)),IF(CY37&gt;N(CV37)/3,"ток утечки блока УЗО "&amp;FIXED(CY37,1)&amp;" мА &gt; 1/3 уставки ("&amp;CV37&amp;" мА)",""),""),IF(AND(CG37=1,N(BV37)+N(IB37)&gt;0,IC37=""),"линии до 50 В без БП: впишите в «Аппараты» (БП 24V 480W)",""),IF(AND(CG37=1,ISNUMBER(ID37),ISNUMBER(U37)),IF(U37&gt;ID37,"БП "&amp;ID37&amp;" Вт &lt; нужно "&amp;U37&amp;" Вт (×"&amp;Запас_БП&amp;")",""),""),IF(AND(CG37=1,ISNUMBER(IE37),N(BV37)=1),IF(IE37&lt;&gt;N(BU37),"БП на "&amp;IE37&amp;" В, линия "&amp;BU37&amp;" В",""),""),IF(AND(N(IF37)&gt;0,N(IG37)&gt;N(IF37)),HH37&amp;" канал "&amp;HJ37&amp;": "&amp;FIXED(IG37,1)&amp;" А &gt; "&amp;IF37&amp;" А",""),IFERROR(IF(AND(ISNUMBER(Q37),Q37&gt;EL37),"потери "&amp;FIXED(Q37,1)&amp;" % &gt; "&amp;EL37&amp;" %",""),""),IFERROR(IF(LEFT(HU37,4)="мало","Iкз мало — отключение &gt; 0,4 с",""),""),IF(AND(B37&lt;&gt;"",BM37=""),"не на схеме",""),IF(AND(CG37=0,B37&lt;&gt;"",FV37&lt;&gt;"",IF(BA37=1,"",FW36)&lt;&gt;"",FV37&lt;&gt;IF(BA37=1,"",FW36)),"фаза не как у автомата группы ("&amp;IF(BA37=1,"",FW36)&amp;")","")))</f>
        <v>не на схеме</v>
      </c>
      <c r="II37" s="6">
        <f>IF(OR(CG37=0,DQ37=""),"",_xlfn.LET(_xlpm.t,IFERROR(_xlfn.XLOOKUP(DQ37,Каталог!$U$4:$U$500,Каталог!$G$4:$G$500),""),_xlpm.k,SEARCH("кА",_xlpm.t),IFERROR(--TRIM(RIGHT(SUBSTITUTE(MID(_xlpm.t,MAX(1,_xlpm.k-4),_xlpm.k-MAX(1,_xlpm.k-4))," ",REPT(" ",9)),5)),"")))</f>
        <v>6</v>
      </c>
      <c r="IJ37" t="str">
        <f>IF(OR(II37="",CG37=0),"",IF(_xlfn.XLOOKUP(A37,Щиты[Щит],Щиты[Iкз max на шинах, кА],"")="","",IF(II37&lt;_xlfn.XLOOKUP(A37,Щиты[Щит],Щиты[Iкз max на шинах, кА]),"Icu "&amp;II37&amp;" кА &lt; Iкз max","ok")))</f>
        <v/>
      </c>
      <c r="IK37" t="str">
        <f t="shared" si="113"/>
        <v/>
      </c>
      <c r="IL37" t="str">
        <f t="shared" si="114"/>
        <v/>
      </c>
      <c r="IM37" t="str">
        <f t="shared" si="115"/>
        <v/>
      </c>
      <c r="IN37" t="str" cm="1">
        <f t="array" ref="IN37">IF(IM37="","",_xlfn.LET(_xlpm.nd,_xlfn.TEXTSPLIT(IM37,"|"),IF(COLUMNS(_xlpm.nd)&gt;1,A37&amp;"¦"&amp;INDEX(_xlpm.nd,1)&amp;"¦"&amp;INDEX(_xlpm.nd,2),"")))</f>
        <v/>
      </c>
      <c r="IO37" t="str">
        <f t="shared" si="116"/>
        <v/>
      </c>
      <c r="IP37" t="str" cm="1">
        <f t="array" ref="IP37">IF(IM37="","",_xlfn.LET(_xlpm.nd,_xlfn.TEXTSPLIT(IM37,"|"),IF(COLUMNS(_xlpm.nd)&gt;2,A37&amp;"¦"&amp;INDEX(_xlpm.nd,2)&amp;"¦"&amp;INDEX(_xlpm.nd,3),"")))</f>
        <v/>
      </c>
      <c r="IQ37" t="str">
        <f t="shared" si="117"/>
        <v/>
      </c>
      <c r="IR37" t="str" cm="1">
        <f t="array" ref="IR37">IF(IM37="","",_xlfn.LET(_xlpm.nd,_xlfn.TEXTSPLIT(IM37,"|"),IF(COLUMNS(_xlpm.nd)&gt;3,A37&amp;"¦"&amp;INDEX(_xlpm.nd,3)&amp;"¦"&amp;INDEX(_xlpm.nd,4),"")))</f>
        <v/>
      </c>
      <c r="IS37" t="str">
        <f t="shared" si="118"/>
        <v/>
      </c>
      <c r="IT37" t="str" cm="1">
        <f t="array" ref="IT37">IF(IM37="","",_xlfn.LET(_xlpm.nd,_xlfn.TEXTSPLIT(IM37,"|"),IF(COLUMNS(_xlpm.nd)&gt;4,A37&amp;"¦"&amp;INDEX(_xlpm.nd,4)&amp;"¦"&amp;INDEX(_xlpm.nd,5),"")))</f>
        <v/>
      </c>
      <c r="IU37" t="str">
        <f t="shared" si="119"/>
        <v/>
      </c>
      <c r="IV37" t="str" cm="1">
        <f t="array" ref="IV37">IF(IM37="","",_xlfn.LET(_xlpm.nd,_xlfn.TEXTSPLIT(IM37,"|"),IF(COLUMNS(_xlpm.nd)&gt;5,A37&amp;"¦"&amp;INDEX(_xlpm.nd,5)&amp;"¦"&amp;INDEX(_xlpm.nd,6),"")))</f>
        <v/>
      </c>
      <c r="IW37" t="str">
        <f t="shared" si="120"/>
        <v/>
      </c>
      <c r="IX37" t="str" cm="1">
        <f t="array" ref="IX37">IF(IM37="","",_xlfn.LET(_xlpm.nd,_xlfn.TEXTSPLIT(IM37,"|"),IF(COLUMNS(_xlpm.nd)&gt;6,A37&amp;"¦"&amp;INDEX(_xlpm.nd,6)&amp;"¦"&amp;INDEX(_xlpm.nd,7),"")))</f>
        <v/>
      </c>
      <c r="IY37" t="str">
        <f t="shared" si="121"/>
        <v/>
      </c>
      <c r="IZ37" t="str">
        <f t="shared" si="122"/>
        <v/>
      </c>
      <c r="JA37" t="str">
        <f t="shared" si="123"/>
        <v>XT6</v>
      </c>
      <c r="JB37">
        <f t="shared" si="124"/>
        <v>0</v>
      </c>
      <c r="JC37">
        <f t="shared" si="125"/>
        <v>0</v>
      </c>
      <c r="JD37" t="str">
        <f t="shared" si="126"/>
        <v/>
      </c>
      <c r="JE37" t="str">
        <f t="shared" si="127"/>
        <v/>
      </c>
      <c r="JF37" t="str">
        <f t="shared" si="128"/>
        <v/>
      </c>
      <c r="JG37" t="str">
        <f t="shared" si="129"/>
        <v/>
      </c>
      <c r="JH37" t="str">
        <f>IF(B37="","",IFERROR(_xlfn.XLOOKUP(B37,Коды_код,Коды_уго),IFERROR(_xlfn.XLOOKUP(BC37,Коды_код,Коды_уго),IFERROR(_xlfn.XLOOKUP(LEFT(BC37,2),Коды_код,Коды_уго),""))))</f>
        <v>Светильник</v>
      </c>
      <c r="JI37" t="str">
        <f>IF(B37="","",IF(OR(JH37="",JH37=0),"BOX",IFERROR(IF(VLOOKUP(JH37,УГО_блоки,3,FALSE)&amp;""&lt;&gt;"",VLOOKUP(JH37,УГО_блоки,3,FALSE),VLOOKUP(JH37,УГО_блоки,2,FALSE)),JH37)))</f>
        <v>LAMP</v>
      </c>
      <c r="JJ37">
        <f t="shared" si="130"/>
        <v>1</v>
      </c>
      <c r="JK37" t="str">
        <f>IF(DQ37="","",IF(COUNTIF(DQ$3:DQ37,DQ37)=1,MAX(JK$2:JK36)+1,""))</f>
        <v/>
      </c>
      <c r="JL37" t="str">
        <f>IF(DE37="","",IF(COUNTIF(DE$3:DE37,DE37)+COUNTIF(DF$2:DF36,DE37)+COUNTIF(DG$2:DG36,DE37)=1,MAX(JL$2:JN36)+1,""))</f>
        <v/>
      </c>
      <c r="JM37" t="str">
        <f>IF(DF37="","",IF(COUNTIF(DE$3:DE37,DF37)+COUNTIF(DF$3:DF37,DF37)+COUNTIF(DG$2:DG36,DF37)=1,MAX(JL$2:JN36,JL37)+1,""))</f>
        <v/>
      </c>
      <c r="JN37" t="str">
        <f>IF(DG37="","",IF(COUNTIF(DE$3:DE37,DG37)+COUNTIF(DF$3:DF37,DG37)+COUNTIF(DG$3:DG37,DG37)=1,MAX(JL$2:JN36,JL37,JM37)+1,""))</f>
        <v/>
      </c>
      <c r="JO37" t="str">
        <f t="shared" si="131"/>
        <v>3х1,5</v>
      </c>
      <c r="JP37" t="str">
        <f>IF(JO37="","",IF(COUNTIF(JO$3:JO37,JO37)=1,MAX(JP$2:JP36)+1,""))</f>
        <v/>
      </c>
      <c r="JQ37" t="str">
        <f>IF(HG37="","",COUNTIF(HG$3:HG37,"?*"))</f>
        <v/>
      </c>
      <c r="JR37" t="str">
        <f>IF(OR(HG37="",HI37=""),"",IF(COUNTIFS(HG$3:HG37,"?*",HI$3:HI37,HI37)=1,MAX(JR$2:JR36)+1,""))</f>
        <v/>
      </c>
      <c r="JS37">
        <f t="shared" si="132"/>
        <v>1</v>
      </c>
      <c r="JT37">
        <f>IF(B37="","",COUNTIF(B$3:B37,"?*"))</f>
        <v>35</v>
      </c>
      <c r="JU37">
        <f>IF(HL37&lt;&gt;1,0,_xlfn.LET(_xlpm.k,MAX(IFERROR(--_xlfn.XLOOKUP(B37,Коды_код,Коды_3L),0),IFERROR(--_xlfn.XLOOKUP(BC37,Коды_код,Коды_3L),0),IFERROR(--_xlfn.XLOOKUP(LEFT(BC37,2),Коды_код,Коды_3L),0)),IF(_xlpm.k&gt;0,_xlpm.k,IF(IFERROR(--LEFT(SUBSTITUTE(JO37,"x","х"),FIND("х",SUBSTITUTE(JO37,"x","х"))-1),3)&gt;3,Каталог!$S$9,1))))</f>
        <v>1</v>
      </c>
      <c r="JV37">
        <f t="shared" si="133"/>
        <v>0</v>
      </c>
      <c r="JW37" t="str">
        <f t="shared" si="134"/>
        <v>авто</v>
      </c>
      <c r="JX37" t="str">
        <f t="shared" si="135"/>
        <v/>
      </c>
      <c r="JY37">
        <f t="shared" si="136"/>
        <v>0</v>
      </c>
      <c r="JZ37">
        <f t="shared" si="137"/>
        <v>1</v>
      </c>
    </row>
    <row r="38" spans="1:286" x14ac:dyDescent="0.3">
      <c r="A38" t="s">
        <v>1109</v>
      </c>
      <c r="B38" t="s">
        <v>1352</v>
      </c>
      <c r="C38" t="str">
        <f>Линии[[#This Row],[_авто наименование]]</f>
        <v>Осветительная группа, пом. 003Б</v>
      </c>
      <c r="D38">
        <v>15</v>
      </c>
      <c r="E38">
        <v>0.1</v>
      </c>
      <c r="G38" t="str">
        <f>Линии[[#This Row],[_авто автомат]]</f>
        <v>1P С10А</v>
      </c>
      <c r="H38" t="str">
        <f>Линии[[#This Row],[_авто управление]]</f>
        <v/>
      </c>
      <c r="I38" t="str">
        <f>Линии[[#This Row],[_авто аппараты]]</f>
        <v/>
      </c>
      <c r="J38">
        <v>1.5</v>
      </c>
      <c r="K38">
        <v>62</v>
      </c>
      <c r="L38" t="str">
        <f>Линии[[#This Row],[_авто фаза]]</f>
        <v>L1</v>
      </c>
      <c r="M38" t="str">
        <f>Линии[[#This Row],[_авто клемма]]</f>
        <v>XT7</v>
      </c>
      <c r="N38" t="str">
        <f t="shared" si="0"/>
        <v>не на схеме</v>
      </c>
      <c r="O38" s="6" cm="1">
        <f t="array" ref="O38">IF(B38="","",IF(BH38&lt;&gt;"",IFERROR(_xlfn.XLOOKUP(BH38,Щиты[Щит],Щиты[Iр, А]),""),IF(BP38=1,IF(OR(N(_xlfn.XLOOKUP(A38,Щиты[Щит],Щиты[Вводов],1))&lt;=1,LOWER(TRIM(_xlfn.XLOOKUP(A38,Щиты[Щит],Щиты[АВР],"")&amp;""))="да"),IFERROR(_xlfn.XLOOKUP(A38,Щиты[Щит],Щиты[Iр, А]),""),IFERROR(N(BS38)*_xlfn.XLOOKUP(A38,Щиты[Щит],Щиты[Кс итог])/(SQRT(3)*Uн_лин*_xlfn.XLOOKUP(A38,Щиты[Щит],Щиты[cos φ])),"")),IF(BV38=1,IFERROR(BS38*1000/BU38,""),IFERROR(_xlfn.IFS(BX38=1,BS38/((Uн_лин/SQRT(3))*CE38),BX38=3,BS38/(SQRT(3)*Uн_лин*CE38)),"")))))</f>
        <v>0.455802844097073</v>
      </c>
      <c r="P38" s="7">
        <f>IF(B38="","",IFERROR(IF(VLOOKUP(BC38,Потребители_обозначение,4,FALSE)=1,VLOOKUP(BC38,Потребители_обозначение,3,FALSE)*(MAX(1,N(D38))*2-1)+EI38+VLOOKUP(BE38,Этаж_обозначение,3,FALSE)+VLOOKUP(BE38,Этаж_обозначение,4,FALSE),VLOOKUP(BC38,Потребители_обозначение,3,FALSE)*(MAX(1,N(D38))*2-1)+EI38),EI38))</f>
        <v>91</v>
      </c>
      <c r="Q38" s="6">
        <f t="shared" si="1"/>
        <v>0.69000000000000006</v>
      </c>
      <c r="R38" t="str">
        <f t="shared" si="2"/>
        <v>ВВГнг(А)-LS (3х1,5)</v>
      </c>
      <c r="S38" t="str">
        <f>IF(BM38="","",IF(BN38="вводной узел","узел ","")&amp;"л."&amp;(INT((BM38-1)/Столбцов_на_лист)+1)&amp;" / "&amp;(MOD(BM38-1,Столбцов_на_лист)+1))</f>
        <v/>
      </c>
      <c r="T38" s="119">
        <f t="shared" si="3"/>
        <v>1.1000000000000001</v>
      </c>
      <c r="U38" s="7" t="str">
        <f>IF(OR(CG38=0,N(BV38)+N(IB38)=0),"",ROUNDUP(Запас_БП*(N(HY38)+N(HZ38)),0))</f>
        <v/>
      </c>
      <c r="V38" s="119" t="str">
        <f t="shared" si="4"/>
        <v/>
      </c>
      <c r="W38" s="7" t="str">
        <f>IFERROR(IF(OR(B38="",BP38=1,BV38=1,NOT(ISNUMBER(EN38)),N(DT38)=0),"",MAX(0,ROUNDDOWN((c_min*(Uн_лин*1000/SQRT(3))/(HT38*N(DT38))-_xlfn.XLOOKUP(A38,Щиты[Щит],Щиты[Zпетли на шинах, Ом]))*EN38/(2*ρкз_Cu),0))),"")</f>
        <v/>
      </c>
      <c r="Y38" t="str">
        <f>Линии[[#This Row],[_авто утечка]]</f>
        <v/>
      </c>
      <c r="Z38">
        <v>1</v>
      </c>
      <c r="AA38">
        <v>230</v>
      </c>
      <c r="AB38" t="s">
        <v>562</v>
      </c>
      <c r="AI38" t="s">
        <v>555</v>
      </c>
      <c r="AK38" t="str">
        <f>Линии[[#This Row],[_авто модуль]]</f>
        <v/>
      </c>
      <c r="AM38" t="s">
        <v>527</v>
      </c>
      <c r="AN38" t="s">
        <v>11</v>
      </c>
      <c r="AO38">
        <v>3</v>
      </c>
      <c r="AQ38">
        <v>38</v>
      </c>
      <c r="AR38">
        <v>0</v>
      </c>
      <c r="AS38">
        <v>85</v>
      </c>
      <c r="BA38" cm="1">
        <f t="array" ref="BA38">ROW()-ROW(Линии[#Headers])</f>
        <v>36</v>
      </c>
      <c r="BC38" s="6" t="str">
        <f t="shared" si="5"/>
        <v>L</v>
      </c>
      <c r="BD38" t="str">
        <f t="shared" si="6"/>
        <v>00.003Б.1</v>
      </c>
      <c r="BE38" t="str">
        <f t="shared" si="7"/>
        <v>00</v>
      </c>
      <c r="BF38" t="str">
        <f t="shared" si="8"/>
        <v>003Б.1</v>
      </c>
      <c r="BG38" t="str">
        <f t="shared" si="9"/>
        <v>003Б</v>
      </c>
      <c r="BH38" t="str">
        <f>IF(X38&lt;&gt;"",X38,IF(AND(B38&lt;&gt;"",B38&lt;&gt;A38,ISNUMBER(_xlfn.XMATCH(B38,Щиты[Щит]))),B38,""))</f>
        <v/>
      </c>
      <c r="BI38" t="str" cm="1">
        <f t="array" ref="BI38">IF(B38="","",IF(BH38&lt;&gt;"","Щит "&amp;BH38,_xlfn.LET(_xlpm.nm,IFERROR(_xlfn.XLOOKUP(BC38,Коды_код,Коды_имя)&amp;"",""),_xlpm.md,IFERROR(N(_xlfn.XLOOKUP(BC38,Коды_код,Коды_режим)),1),_xlpm.ex,IF(Имя_режим="по экспликации",IFERROR(_xlfn.XLOOKUP(BE38&amp;"|"&amp;BG38,Экспликация[Этаж]&amp;"|"&amp;Экспликация[Помещение],Экспликация[Название])&amp;"",""),""),_xlpm.rm,IF(BG38="","",IF(_xlpm.ex&lt;&gt;"",". "&amp;_xlpm.ex&amp;IF(Имя_пом="нет"," ("&amp;BG38&amp;")"," (пом. "&amp;BG38&amp;")"),IF(Имя_пом="нет"," ",", пом. ")&amp;BG38)),IF(_xlpm.nm="","",IF(_xlpm.md=2,_xlpm.nm&amp;" шлейф "&amp;BE38,_xlpm.nm&amp;_xlpm.rm)))))</f>
        <v>Осветительная группа, пом. 003Б</v>
      </c>
      <c r="BJ38" t="str">
        <f t="shared" si="10"/>
        <v>Осветительная группа, пом. 003Б</v>
      </c>
      <c r="BK38">
        <f>IFERROR(_xlfn.XMATCH(A38,Щиты[Щит]),0)</f>
        <v>3</v>
      </c>
      <c r="BL38">
        <f>_xlfn.LET(_xlpm.k,IFERROR(_xlfn.XLOOKUP(A38,Щиты[Щит],Щиты[Мест под вводной узел]),""),IF(_xlpm.k="",Столбцов_на_лист,N(_xlpm.k)))</f>
        <v>17</v>
      </c>
      <c r="BM38" t="str">
        <f t="shared" si="11"/>
        <v/>
      </c>
      <c r="BN38" t="str">
        <f t="shared" si="12"/>
        <v/>
      </c>
      <c r="BO38" s="6">
        <f>IFERROR(N(_xlfn.XLOOKUP(BC38,Коды_код,Коды_квт)),0)</f>
        <v>0</v>
      </c>
      <c r="BP38">
        <f t="shared" si="13"/>
        <v>0</v>
      </c>
      <c r="BQ38" t="str">
        <f>IF(B38="","",IF(BH38&lt;&gt;"",IFERROR(_xlfn.XLOOKUP(BH38,Щиты[Щит],Щиты[Руст, кВт]),0),IF(BP38=1,IF(OR(N(_xlfn.XLOOKUP(A38,Щиты[Щит],Щиты[Вводов],1))&lt;=1,LOWER(TRIM(_xlfn.XLOOKUP(A38,Щиты[Щит],Щиты[АВР],"")&amp;""))="да"),IFERROR(_xlfn.XLOOKUP(A38,Щиты[Щит],Щиты[Руст, кВт]),0),SUMIFS(Линии[_Р для вводов],Линии[Щит],A38,Линии[Источник для режимов],GF38)),IF(BO38&gt;0,ROUND(BO38*MAX(1,N(D38)),3),""))))</f>
        <v/>
      </c>
      <c r="BR38">
        <f t="shared" si="14"/>
        <v>0.1</v>
      </c>
      <c r="BS38" s="6">
        <f>IF(B38="","",IF(BH38&lt;&gt;"",IFERROR(_xlfn.XLOOKUP(BH38,Щиты[Щит],Щиты[Руст, кВт]),0),N(BR38)))</f>
        <v>0.1</v>
      </c>
      <c r="BT38" t="str">
        <f>IF(B38="","",IFERROR(IF(VLOOKUP(BC38,Потребители_обозначение,8,FALSE)=0,"",VLOOKUP(BC38,Потребители_обозначение,8,FALSE)),""))</f>
        <v/>
      </c>
      <c r="BU38">
        <f t="shared" si="15"/>
        <v>230</v>
      </c>
      <c r="BV38">
        <f t="shared" si="16"/>
        <v>0</v>
      </c>
      <c r="BW38">
        <f>IF(B38="","",IF(BH38&lt;&gt;"",3,IFERROR(IF(N(VLOOKUP(BC38,Потребители_обозначение,9,FALSE))=0,1,VLOOKUP(BC38,Потребители_обозначение,9,FALSE)),1)))</f>
        <v>1</v>
      </c>
      <c r="BX38">
        <f t="shared" si="17"/>
        <v>1</v>
      </c>
      <c r="BY38" t="str">
        <f>IF(B38="","",_xlfn.LET(_xlpm.bc,IFERROR(IF(VLOOKUP(BC38,Потребители_обозначение,6,FALSE)=0,"",VLOOKUP(BC38,Потребители_обозначение,6,FALSE)&amp;""),""),IF(AND(GA38="да",OR(_xlpm.bc="",_xlpm.bc="мс")),Марка_пож,IF(AND(_xlpm.bc="",BH38&lt;&gt;""),"мс",_xlpm.bc))))</f>
        <v/>
      </c>
      <c r="BZ38" t="str">
        <f t="shared" si="18"/>
        <v>мс</v>
      </c>
      <c r="CA38">
        <f>IF(B38="","",_xlfn.LET(_xlpm.cc,IFERROR(N(VLOOKUP(BC38,Потребители_обозначение,7,FALSE)),0),IF(_xlpm.cc&gt;0,_xlpm.cc,IF(BZ38="","",IF(BV38=1,2,IF(N(BX38)=3,5,3))))))</f>
        <v>3</v>
      </c>
      <c r="CB38">
        <f t="shared" si="19"/>
        <v>3</v>
      </c>
      <c r="CC38">
        <f>IFERROR(N(VLOOKUP(BC38,Потребители_обозначение,10,FALSE)),0)</f>
        <v>0</v>
      </c>
      <c r="CD38">
        <f>IFERROR(VLOOKUP(BC38,Потребители_обозначение,5,FALSE),0)</f>
        <v>3</v>
      </c>
      <c r="CE38" s="6" cm="1">
        <f t="array" ref="CE38">IF(B38="","",IF(BH38&lt;&gt;"",IFERROR(_xlfn.XLOOKUP(BH38,Щиты[Щит],Щиты[cos φ]),0.95),IF(BP38=1,IFERROR(_xlfn.XLOOKUP(A38,Щиты[Щит],Щиты[cos φ]),0.95),IF(ISNUMBER(AD38),AD38,IFERROR(IF(CD38=2,_xlfn.IFS(BX38=3,VLOOKUP(BS38,Справочная_двигатели,8,FALSE),BX38=1,VLOOKUP(BS38,Справочная_двигатели,10,TRUE)),IF(AND(Методика="нормы 2026",FG38="Сил"),0.8,0.95)),0.95)))))</f>
        <v>0.95</v>
      </c>
      <c r="CF38">
        <f t="shared" si="20"/>
        <v>0</v>
      </c>
      <c r="CG38">
        <f t="shared" si="21"/>
        <v>1</v>
      </c>
      <c r="CH38">
        <f t="shared" si="22"/>
        <v>0</v>
      </c>
      <c r="CI38">
        <f>IF(B38="","",IF(BV38=1,IFERROR(BS38/((Uн_лин/SQRT(3))*MAX(0.5,N(CE38))),0),N(O38)))</f>
        <v>0.455802844097073</v>
      </c>
      <c r="CJ38">
        <f t="shared" si="23"/>
        <v>0</v>
      </c>
      <c r="CK38">
        <f t="shared" si="24"/>
        <v>0</v>
      </c>
      <c r="CL38">
        <f t="shared" si="25"/>
        <v>0</v>
      </c>
      <c r="CM38">
        <f t="shared" si="26"/>
        <v>0</v>
      </c>
      <c r="CN38">
        <f t="shared" si="27"/>
        <v>0</v>
      </c>
      <c r="CO38">
        <f>IF(BC38="",0,_xlfn.LET(_xlpm.v,IFERROR(_xlfn.XLOOKUP(B38,Коды_код,Коды_мА),IFERROR(_xlfn.XLOOKUP(BC38,Коды_код,Коды_мА),IFERROR(_xlfn.XLOOKUP(LEFT(BC38,2),Коды_код,Коды_мА),""))),IF(_xlpm.v="да",30,IF(ISNUMBER(_xlpm.v),_xlpm.v,0))))</f>
        <v>0</v>
      </c>
      <c r="CP38" t="str">
        <f t="shared" si="28"/>
        <v/>
      </c>
      <c r="CQ38" t="str">
        <f>_xlfn.LET(_xlpm.k,IFERROR(_xlfn.XLOOKUP(BC38,Коды_код,Коды_утечка)&amp;"",""),IF(_xlpm.k="","дифавтомат",_xlpm.k))</f>
        <v>дифавтомат</v>
      </c>
      <c r="CR38" t="str" cm="1">
        <f t="array" ref="CR38">IF(CG38=0,"",_xlfn.LET(_xlpm.sg,TRIM(_xlfn.TEXTSPLIT(DD38&amp;"",";")),_xlpm.f_,_xlfn._xlws.FILTER(_xlpm.sg,LEFT(_xlpm.sg,3)="УЗО",""),IFERROR(INDEX(_xlpm.f_,1)&amp;"","")))</f>
        <v/>
      </c>
      <c r="CS38" t="str">
        <f t="shared" si="29"/>
        <v/>
      </c>
      <c r="CT38" s="6" t="str" cm="1">
        <f t="array" ref="CT38">IF(CR38="","",_xlfn.LET(_xlpm.tk,_xlfn.TEXTSPLIT(UPPER(CR38)," ",,TRUE),_xlpm.a_,_xlfn._xlws.FILTER(_xlpm.tk,ISNUMBER(--LEFT(_xlpm.tk,1))*((ISNUMBER(SEARCH("А",_xlpm.tk))+ISNUMBER(SEARCH("A",_xlpm.tk)))&gt;0)*NOT(ISNUMBER(SEARCH("МА",_xlpm.tk)))*NOT(ISNUMBER(SEARCH("MA",_xlpm.tk))),""),IFERROR(--SUBSTITUTE(SUBSTITUTE(INDEX(_xlpm.a_,1),"А",""),"A",""),"")))</f>
        <v/>
      </c>
      <c r="CU38" t="str" cm="1">
        <f t="array" ref="CU38">IF(CR38="","",_xlfn.LET(_xlpm.tk,_xlfn.TEXTSPLIT(UPPER(CR38)," ",,TRUE),_xlpm.a_,_xlfn._xlws.FILTER(_xlpm.tk,ISNUMBER(--LEFT(_xlpm.tk,1))*((ISNUMBER(SEARCH("МА",_xlpm.tk))+ISNUMBER(SEARCH("MA",_xlpm.tk)))&gt;0),""),IFERROR(--SUBSTITUTE(SUBSTITUTE(INDEX(_xlpm.a_,1),"МА",""),"MA",""),30)))</f>
        <v/>
      </c>
      <c r="CV38" t="str">
        <f>IF(CS38="","",IFERROR(_xlfn.XLOOKUP(CS38,Линии[_n],Линии[_УЗО, мА]),30))</f>
        <v/>
      </c>
      <c r="CW38">
        <f>IF(CS38="",0,IF(ISNUMBER(SEARCH("4P",IFERROR(_xlfn.XLOOKUP(CS38,Линии[_n],Линии[_УЗО строки])&amp;"",""))),0,1))</f>
        <v>0</v>
      </c>
      <c r="CX38" t="str">
        <f>IF(AND(CS38&lt;&gt;"",CS38=BA38),SUMIFS(Линии[_ток на 230 В],Линии[_блок УЗО],BA38,Линии[Щит],A38),"")</f>
        <v/>
      </c>
      <c r="CY38" t="str">
        <f>IF(AND(CS38&lt;&gt;"",CS38=BA38),SUMIFS(Линии[_ток утечки линии, мА],Линии[_блок УЗО],BA38,Линии[Щит],A38),"")</f>
        <v/>
      </c>
      <c r="CZ38">
        <f t="shared" si="30"/>
        <v>0</v>
      </c>
      <c r="DA38">
        <f t="shared" si="31"/>
        <v>0</v>
      </c>
      <c r="DB38">
        <f>IF(B38="",0,IFERROR(--_xlfn.XLOOKUP(B38,Коды_код,Коды_минавт),IFERROR(--_xlfn.XLOOKUP(BC38,Коды_код,Коды_минавт),IFERROR(--_xlfn.XLOOKUP(LEFT(BC38,2),Коды_код,Коды_минавт),0))))</f>
        <v>10</v>
      </c>
      <c r="DC38" t="str">
        <f>IF(B38="","",IFERROR(_xlfn.XLOOKUP(BC38,Коды_код,Коды_апп)&amp;"",""))</f>
        <v/>
      </c>
      <c r="DD38" t="str">
        <f t="shared" si="32"/>
        <v/>
      </c>
      <c r="DE38" t="str" cm="1">
        <f t="array" ref="DE38">IF(TRIM(DD38&amp;"")="","",IFERROR(TRIM(INDEX(_xlfn.TEXTSPLIT(DD38&amp;";;;",";"),1)),""))</f>
        <v/>
      </c>
      <c r="DF38" t="str" cm="1">
        <f t="array" ref="DF38">IF(TRIM(DD38&amp;"")="","",IFERROR(TRIM(INDEX(_xlfn.TEXTSPLIT(DD38&amp;";;;",";"),2)),""))</f>
        <v/>
      </c>
      <c r="DG38" t="str" cm="1">
        <f t="array" ref="DG38">IF(TRIM(DD38&amp;"")="","",IFERROR(TRIM(INDEX(_xlfn.TEXTSPLIT(DD38&amp;";;;",";"),3)),""))</f>
        <v/>
      </c>
      <c r="DH38">
        <f t="shared" si="33"/>
        <v>0</v>
      </c>
      <c r="DI38" t="str">
        <f>IF(B38="","",_xlfn.LET(_xlpm.t,LOWER(AZ38&amp;""),IF(ISNUMBER(SEARCH("dim",_xlpm.t)),"DIM",IF(ISNUMBER(SEARCH("dali",_xlpm.t)),"DALI",IF(OR(ISNUMBER(SEARCH("relay",_xlpm.t)),ISNUMBER(SEARCH("реле",_xlpm.t))),"Relay",IF(ISNUMBER(SEARCH("кнопк",_xlpm.t)),"",IFERROR(_xlfn.XLOOKUP(BC38,Коды_код,Коды_упр)&amp;"","")))))))</f>
        <v/>
      </c>
      <c r="DJ38" t="str">
        <f t="shared" si="34"/>
        <v/>
      </c>
      <c r="DK38">
        <f>IF(B38="","",_xlfn.LET(_xlpm.ig,IF(N(CX38)&gt;0,N(CX38),N(CI38)+IF(AJ38="вручную",0,N(CJ38))),_xlpm.n0,IFERROR(VLOOKUP(_xlpm.ig,Автомат_номиналы,2,TRUE),0),_xlpm.mn,MAX(DB38,IF(AJ38="вручную",0,N(CM38))),MAX(_xlpm.n0,_xlpm.mn,IF(DH38=1,Мин_автомат_БП,0))))</f>
        <v>10</v>
      </c>
      <c r="DL38">
        <f t="shared" si="35"/>
        <v>1</v>
      </c>
      <c r="DM38" t="str">
        <f t="shared" si="36"/>
        <v>1P</v>
      </c>
      <c r="DN38" t="str">
        <f>_xlfn.LET(_xlpm.cc,UPPER(TRIM(IFERROR(_xlfn.XLOOKUP(BC38,Коды_код,Коды_хар)&amp;"",""))),IF(OR(_xlpm.cc="B",_xlpm.cc="В"),"B",IF(_xlpm.cc="D","D","С")))</f>
        <v>С</v>
      </c>
      <c r="DO38" t="str">
        <f t="shared" si="37"/>
        <v>1P С10А</v>
      </c>
      <c r="DP38" t="str">
        <f t="shared" si="38"/>
        <v>1P С10А</v>
      </c>
      <c r="DQ38" t="str">
        <f t="shared" si="39"/>
        <v>1P С10А</v>
      </c>
      <c r="DR38" cm="1">
        <f t="array" ref="DR38">IF(DQ38="","",_xlfn.LET(_xlpm.t,SUBSTITUTE(SUBSTITUTE(SUBSTITUTE(UPPER(DQ38),"С","C"),"А","A"),"В","B"),_xlpm.tk,_xlfn.TEXTSPLIT(_xlpm.t," "),_xlpm.f,_xlfn._xlws.FILTER(_xlpm.tk,ISNUMBER(--MID(_xlpm.tk,2,1))*ISNUMBER(SEARCH(LEFT(_xlpm.tk,1)&amp;"#","B#C#D#"))*(LEN(_xlpm.tk)&gt;1),""),_xlpm.x,INDEX(_xlpm.f,1),IFERROR(--SUBSTITUTE(MID(_xlpm.x,2,9),"A",""),IFERROR(--SUBSTITUTE(INDEX(_xlfn._xlws.FILTER(_xlpm.tk,ISNUMBER(--SUBSTITUTE(_xlpm.tk,"A","")),""),1),"A",""),""))))</f>
        <v>10</v>
      </c>
      <c r="DS38" t="str">
        <f t="shared" si="40"/>
        <v>ok</v>
      </c>
      <c r="DT38">
        <f t="shared" si="41"/>
        <v>10</v>
      </c>
      <c r="DU38" t="str">
        <f t="shared" si="42"/>
        <v>1P С10А</v>
      </c>
      <c r="DV38">
        <f t="shared" si="43"/>
        <v>0</v>
      </c>
      <c r="DW38">
        <f t="shared" si="44"/>
        <v>0</v>
      </c>
      <c r="DX38">
        <f t="shared" si="45"/>
        <v>0</v>
      </c>
      <c r="DY38">
        <f t="shared" si="46"/>
        <v>0.455802844097073</v>
      </c>
      <c r="DZ38">
        <f t="shared" si="47"/>
        <v>1</v>
      </c>
      <c r="EA38">
        <f>IF(ISNUMBER(AP38),AP38,К_прокл)</f>
        <v>1</v>
      </c>
      <c r="EB38">
        <f t="shared" si="48"/>
        <v>2</v>
      </c>
      <c r="EC38">
        <f>IFERROR(N(VLOOKUP(BZ38,Кабель_обозначение,3,FALSE)),1)</f>
        <v>1</v>
      </c>
      <c r="ED38">
        <f>IFERROR(N(_xlfn.XLOOKUP(A38,Щиты[Щит],Щиты[ΔU до шин, %])),0)</f>
        <v>0.17</v>
      </c>
      <c r="EE38" t="str">
        <f>IFERROR(_xlfn.XLOOKUP(A38,Щиты[Щит],Щиты[Zпетли на шинах, Ом]),"")</f>
        <v/>
      </c>
      <c r="EF38">
        <f>IFERROR(N(_xlfn.XLOOKUP(A38,Щиты[Щит],Щиты[ΔU до шин (подбор), %])),0)</f>
        <v>0.65</v>
      </c>
      <c r="EG38" t="str">
        <f>IFERROR(_xlfn.XLOOKUP(A38,Щиты[Щит],Щиты[Zпетли на шинах (подбор), Ом]),"")</f>
        <v/>
      </c>
      <c r="EH38" t="str">
        <f t="shared" si="49"/>
        <v/>
      </c>
      <c r="EI38">
        <f t="shared" si="50"/>
        <v>62</v>
      </c>
      <c r="EJ38">
        <f t="shared" si="51"/>
        <v>2</v>
      </c>
      <c r="EK38">
        <f t="shared" si="52"/>
        <v>0.31</v>
      </c>
      <c r="EL38" s="6">
        <f>IF(B38="","",IF(BV38=1,dU_LED,IF(IFERROR(_xlfn.XLOOKUP(BC38,Коды_код,Коды_уго),"")="Светильник",3,4)+IF(Методика="нормы 2026",MIN(0.5,MAX(0,N(P38)-100)*0.005),0)))</f>
        <v>3</v>
      </c>
      <c r="EM38" cm="1">
        <f t="array" ref="EM38">IF(OR(B38="",BZ38="",EC38&lt;&gt;1),"",_xlfn.LET(_xlpm.sz,Iдоп_S,_xlpm.t_,CHOOSE(EB38,Iдоп_1ж,Iдоп_2ж,Iдоп_3ж)*DZ38*EA38,_xlpm.dcx,BV38=1,_xlpm.inn,IF(_xlpm.dcx,N(O38),N(DT38)),_xlpm.smin,MAX(1.5,CC38),_xlpm.L_,N(P38)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38)/N(BU38)*100,999),IFERROR(N(EJ38)*(_xlpm.rho*_xlpm.L_/_xlpm.sz*N(CE38)+_xlpm.xx*_xlpm.L_*N(EK38)/1000)*N(O38)/((Uн_лин/SQRT(3))*1000)*100,999)),_xlpm.kz,IF(OR(_xlpm.dcx,DW38=1,NOT(ISNUMBER(EG38)),_xlpm.L_=0,_xlpm.inn=0),1,IFERROR(--(c_min*(Uн_лин*1000/SQRT(3))/(EG38+2*ρкз_Cu*_xlpm.L_/_xlpm.sz)&gt;=HT38*_xlpm.inn),0)),_xlpm.ok,IFERROR((_xlpm.sz&gt;=_xlpm.smin)*(_xlpm.t_&gt;=_xlpm.inn)*IF(_xlpm.L_&gt;0,(_xlpm.du_+IF(_xlpm.dcx,0,EF38)&lt;=EL38+0.00001),1)*_xlpm.kz,0),_xlpm.r_,_xlfn._xlws.FILTER(_xlpm.sz,_xlpm.ok,"не подобрано"),INDEX(_xlpm.r_,1)))</f>
        <v>1.5</v>
      </c>
      <c r="EN38">
        <f t="shared" si="53"/>
        <v>1.5</v>
      </c>
      <c r="EO38" cm="1">
        <f t="array" ref="EO38">IF(OR(B38="",BZ38="",EC38&lt;&gt;1),"",_xlfn.LET(_xlpm.sz,Iдоп_S,_xlpm.t_,CHOOSE(EB38,Iдоп_1ж,Iдоп_2ж,Iдоп_3ж)*DZ38*EA38,_xlpm.ok,IFERROR((_xlpm.sz&gt;=MAX(1.5,CC38))*(_xlpm.t_&gt;=N(DT38)),0),_xlpm.r_,_xlfn._xlws.FILTER(_xlpm.sz,_xlpm.ok,""),INDEX(_xlpm.r_,1)))</f>
        <v>1.5</v>
      </c>
      <c r="EP38" s="6" cm="1">
        <f t="array" ref="EP38">IFERROR(ROUNDUP(N(EJ38)*(_xlfn.XLOOKUP(EO38,INDEX(Кабель_сопротивление,0,1),INDEX(Кабель_сопротивление,0,3))*N(P38)/EO38*N(CE38)+_xlfn.XLOOKUP(EO38,INDEX(Кабель_сопротивление,0,1),INDEX(Кабель_сопротивление,0,2))*N(P38)*N(EK38)/1000)*N(O38)/((Uн_лин/SQRT(3))*1000)*100,2),"")</f>
        <v>0.52</v>
      </c>
      <c r="EQ38">
        <f>IFERROR(2*ρкз_Cu*N(P38)/EO38,"")</f>
        <v>3.1910666666666665</v>
      </c>
      <c r="ER38">
        <f>IFERROR(VLOOKUP(EN38,Кабель_сопротивление,3,FALSE),"")</f>
        <v>2.2499999999999999E-2</v>
      </c>
      <c r="ES38">
        <f>IFERROR(VLOOKUP(EN38,Кабель_сопротивление,2,FALSE),"")</f>
        <v>0.11</v>
      </c>
      <c r="ET38">
        <f t="shared" si="54"/>
        <v>0</v>
      </c>
      <c r="EU38">
        <f t="shared" si="55"/>
        <v>85</v>
      </c>
      <c r="EV38">
        <f t="shared" si="56"/>
        <v>1.1849534797767938</v>
      </c>
      <c r="EW38" s="6">
        <f>IFERROR(ROUNDUP(EV38/IF(BV38=1,BU38,(Uн_лин/SQRT(3))*1000)*100,2),"")</f>
        <v>0.52</v>
      </c>
      <c r="EX38" t="str">
        <f>IFERROR(VLOOKUP(BZ38,Кабель_обозначение,2,FALSE),"")</f>
        <v>ВВГнг(А)-LS</v>
      </c>
      <c r="EY38" t="str">
        <f t="shared" si="57"/>
        <v>ВВГнг(А)-LS (3х1,5)</v>
      </c>
      <c r="EZ38" t="str">
        <f t="shared" si="58"/>
        <v>ВВГнг(А)-LS (3х1,5)
L=91-0,52%</v>
      </c>
      <c r="FA38">
        <f>IFERROR(2*ρкз_Cu*P38/EN38,"")</f>
        <v>3.1910666666666665</v>
      </c>
      <c r="FB38">
        <f t="shared" si="59"/>
        <v>1.0616666666666668</v>
      </c>
      <c r="FC38" s="6" t="str">
        <f>IFERROR(IF(OR(B38="",BV38=1,NOT(ISNUMBER(EN38)),N(P38)=0),"",_xlfn.XLOOKUP(A38,Щиты[Щит],Щиты[Zпетли на шинах, Ом])+FA38),"")</f>
        <v/>
      </c>
      <c r="FD38" s="6" t="str">
        <f>IF(ISNUMBER(FC38),c_min*(Uн_лин*1000/SQRT(3))/FC38,"")</f>
        <v/>
      </c>
      <c r="FE38" s="6" t="str">
        <f>IFERROR(IF(OR(B38="",NOT(ISNUMBER(EN38))),"",1.05*(Uн_лин*1000/SQRT(3))/(_xlfn.XLOOKUP(A38,Щиты[Щит],Щиты[Zmax на шинах, Ом])+FB38)/1000),"")</f>
        <v/>
      </c>
      <c r="FF38" s="6" t="str">
        <f>IF(B38="","",IF(ISNUMBER(AC38),"Сил",IF(IFERROR(_xlfn.XLOOKUP(BC38,Коды_код,Коды_группа)&amp;"","")="","Быт",_xlfn.XLOOKUP(BC38,Коды_код,Коды_группа)&amp;"")))</f>
        <v>Быт</v>
      </c>
      <c r="FG38" s="6" t="str">
        <f t="shared" si="60"/>
        <v>Быт</v>
      </c>
      <c r="FH38" s="6">
        <f>IF(FG38="Щит","щит",IF(FG38="","",IF(FG38="Быт",IFERROR(_xlfn.XLOOKUP(A38,Щиты[Щит],Щиты[Кс быт]),1),IF(FG38="Сил",IF(ISNUMBER(AC38),AC38,IF(Методика="нормы 2026",IFERROR(_xlfn.XLOOKUP(A38,Щиты[Щит],Щиты[Кс силовых (табл. 7.5)]),1),1)),IF(OR(FG38="Пост",FG38="Отоп"),1,IF(FG38="ВНГ",0.7,0))))))</f>
        <v>0.8</v>
      </c>
      <c r="FI38">
        <f>IF(FG38="","",IF(AND(BP38=1,TRIM(AE38&amp;"")=""),IF(COUNTIFS(Линии[Щит],A38,Линии[Секция (1/2/3)],"&gt;=2")&gt;0,MIN(3,MAX(1,IFERROR(--BD38,1))),1),IFERROR(MIN(3,MAX(1,INT(--AE38))),1)))</f>
        <v>1</v>
      </c>
      <c r="FJ38">
        <f t="shared" si="61"/>
        <v>0.1</v>
      </c>
      <c r="FK38">
        <f t="shared" si="62"/>
        <v>0.1</v>
      </c>
      <c r="FL38">
        <f t="shared" si="63"/>
        <v>0</v>
      </c>
      <c r="FM38">
        <f t="shared" si="64"/>
        <v>0</v>
      </c>
      <c r="FN38">
        <f t="shared" si="65"/>
        <v>0</v>
      </c>
      <c r="FO38">
        <f t="shared" si="66"/>
        <v>0</v>
      </c>
      <c r="FP38">
        <f t="shared" si="67"/>
        <v>0.1</v>
      </c>
      <c r="FQ38">
        <f t="shared" si="68"/>
        <v>0.1</v>
      </c>
      <c r="FR38">
        <f t="shared" si="69"/>
        <v>9.5000000000000001E-2</v>
      </c>
      <c r="FS38">
        <f>IF(CG38=1,IF(AND(CH38=1,CW38=1),0,IF(AND(CS38&lt;&gt;"",CS38=BA38,CW38=1),SUMIFS(Линии[_Р линии, кВт],Линии[_блок УЗО],BA38,Линии[Щит],A38),N(BS38)+IF(AJ38="вручную",0,N(CK38)))),0)</f>
        <v>0.1</v>
      </c>
      <c r="FT38" t="str">
        <f t="shared" si="70"/>
        <v/>
      </c>
      <c r="FU38" t="str">
        <f>IF(B38="","",IF(CG38=0,IF(BA38=1,"",FW37),IF(AND(CH38=1,CW38=1,CS38&lt;&gt;""),IFERROR(_xlfn.XLOOKUP(CS38,Линии[_n],Линии[_фаза итог]),"L1"),IF(OR(N(DL38)&gt;=3,N(BX38)&gt;=3),"L1,L2,L3",IFERROR(_xlfn.TEXTBEFORE(_xlfn.TEXTAFTER(_xlfn.XLOOKUP(A38,Щиты[Щит],Щиты[_фазы авто]),";"&amp;BA38&amp;":"),";"),"L1")))))</f>
        <v>L1</v>
      </c>
      <c r="FV38" t="str">
        <f t="shared" si="71"/>
        <v>L1</v>
      </c>
      <c r="FW38" t="str">
        <f t="shared" si="72"/>
        <v>L1</v>
      </c>
      <c r="FX38" cm="1">
        <f t="array" ref="FX38">IFERROR(IF(CD38=2,_xlfn.IFS(BX38=3,VLOOKUP(BS38,Справочная_двигатели,3,FALSE),BX38=1,VLOOKUP(BS38,Справочная_двигатели,5,TRUE)),0),0)</f>
        <v>0</v>
      </c>
      <c r="FY38">
        <f>IFERROR(IF(CD38=3,VLOOKUP(BS38,Справочная_ЛЭД,2,TRUE),0),0)</f>
        <v>50</v>
      </c>
      <c r="FZ38" s="6">
        <f t="shared" si="73"/>
        <v>50</v>
      </c>
      <c r="GA38" t="str">
        <f>IF(B38="","",IF(TRIM(AH38&amp;"")&lt;&gt;"",IF(LOWER(TRIM(AH38&amp;""))="да","да","нет"),IF(IFERROR(_xlfn.XLOOKUP(BC38,Коды_код,Коды_пожарная),"")="да","да","нет")))</f>
        <v>нет</v>
      </c>
      <c r="GB38" t="str">
        <f t="shared" si="74"/>
        <v/>
      </c>
      <c r="GC38" t="str">
        <f t="shared" si="75"/>
        <v>основная</v>
      </c>
      <c r="GD38">
        <f>IF(AND(BP38=1,TRIM(AE38&amp;"")=""),IF(COUNTIFS(Линии[Щит],A38,Линии[Секция (1/2/3)],"&gt;=2")&gt;0,MIN(3,MAX(1,IFERROR(--BD38,1))),1),IFERROR(MIN(3,MAX(1,INT(--AE38))),1))</f>
        <v>1</v>
      </c>
      <c r="GE38" t="str" cm="1">
        <f t="array" ref="GE38">IF(B38="","",_xlfn.LET(_xlpm.t,IFERROR(_xlfn.XLOOKUP(1,(Шины[Шина]=GC38)*(((Шины[Щит]=A38)+(Шины[Щит]=""))&gt;0),Шины[Тип]),"")&amp;"",IF(_xlpm.t&lt;&gt;"",_xlpm.t,IF(ISNUMBER(SEARCH("ИБП",GC38)),"ИБП",IF(ISNUMBER(SEARCH("ДГУ",GC38)),"ДГУ","Ввод "&amp;GD38)))))</f>
        <v>Ввод 1</v>
      </c>
      <c r="GF38" t="str">
        <f t="shared" si="76"/>
        <v>Ввод 1</v>
      </c>
      <c r="GG38" t="str">
        <f>IF(BP38=0,"",IF(TRIM(AG38&amp;"")&lt;&gt;"",TRIM(AG38&amp;""),IF(OR(GE38="ИБП",GE38="ДГУ"),"I особая",_xlfn.XLOOKUP(A38,Щиты[Щит],Щиты[Категория шины «Ввод»],"III"))))</f>
        <v/>
      </c>
      <c r="GH38" t="str">
        <f>IF(A38="","",_xlfn.XLOOKUP(A38,Щиты[Щит],Щиты[Путь],""))</f>
        <v>|ГРЩ-ЖД|ЩГП|ЩО-001|</v>
      </c>
      <c r="GI38" t="str">
        <f>IF(B38="","",IF(AI38&lt;&gt;"",AI38,IF(IFERROR(_xlfn.XLOOKUP(BC38,Коды_код,Коды_вид)&amp;"","")="","Прочее",_xlfn.XLOOKUP(BC38,Коды_код,Коды_вид)&amp;"")))</f>
        <v>Рабочее освещение</v>
      </c>
      <c r="GJ38" t="str">
        <f>IF(BM38="","",INT((BM38-1)/Столбцов_на_лист)+1)</f>
        <v/>
      </c>
      <c r="GK38" t="str">
        <f t="shared" si="77"/>
        <v>ВВГнг(А)-LS (3х1,5) L=91-0,52%</v>
      </c>
      <c r="GL38">
        <f t="shared" si="78"/>
        <v>0.1</v>
      </c>
      <c r="GM38">
        <f t="shared" si="79"/>
        <v>0.46</v>
      </c>
      <c r="GN38">
        <f t="shared" si="80"/>
        <v>1</v>
      </c>
      <c r="GO38">
        <f t="shared" si="81"/>
        <v>0</v>
      </c>
      <c r="GP38">
        <f t="shared" si="82"/>
        <v>0</v>
      </c>
      <c r="GQ38" t="str">
        <f>IF(BM38="","",IF(AND(CG38=1,GP38=1),COUNTIFS(A$3:A38,A38,CG$3:CG38,1,GP$3:GP38,1),IF(OR(OR(BA38=1,A38&lt;&gt;A37),AJ38="вручную",GP38=0),"",IF(BA38=1,"",GR37))))</f>
        <v/>
      </c>
      <c r="GR38" t="str">
        <f t="shared" si="83"/>
        <v/>
      </c>
      <c r="GS38">
        <f>IF(B38="","",IFERROR(LOOKUP(INDEX(CHOOSE(EB38,Iдоп_1ж,Iдоп_2ж,Iдоп_3ж),MATCH(EN38,Iдоп_S,0))*DZ38*EA38,{6,10,16,20,25,32,40,50,63,80,100,125,160,200,250,315,400,500,630}),""))</f>
        <v>16</v>
      </c>
      <c r="GT38" t="str">
        <f t="shared" si="84"/>
        <v/>
      </c>
      <c r="GU38" t="str">
        <f t="shared" si="85"/>
        <v/>
      </c>
      <c r="GV38" t="str">
        <f t="shared" si="86"/>
        <v/>
      </c>
      <c r="GW38">
        <f t="shared" si="87"/>
        <v>0</v>
      </c>
      <c r="GX38" t="str">
        <f>IF(OR(B38="",DJ38=""),"",IFERROR(_xlfn.XLOOKUP(DJ38,Модули_умолч[Управление],Модули_умолч[Модель])&amp;"",""))</f>
        <v/>
      </c>
      <c r="GY38">
        <f>IF(DJ38="",1,IFERROR(MAX(0,N(_xlfn.XLOOKUP(DJ38,Модули_умолч[Управление],Модули_умолч[Каналов на линию]))),1))</f>
        <v>1</v>
      </c>
      <c r="GZ38" t="str">
        <f t="shared" si="88"/>
        <v/>
      </c>
      <c r="HA38" t="str">
        <f t="shared" si="89"/>
        <v/>
      </c>
      <c r="HB38" t="str">
        <f t="shared" si="90"/>
        <v/>
      </c>
      <c r="HC38">
        <f>IF(HB38="",0,IFERROR(N(VLOOKUP(HB38,Модули_спр,3,FALSE)),0))</f>
        <v>0</v>
      </c>
      <c r="HD38" t="str">
        <f t="shared" si="91"/>
        <v/>
      </c>
      <c r="HE38" t="str">
        <f t="shared" si="92"/>
        <v/>
      </c>
      <c r="HF38" t="str">
        <f>IF(OR(HE38="",HE38="-"),"",IFERROR(VLOOKUP(HE38,Модули_спр,2,FALSE),"R"))</f>
        <v/>
      </c>
      <c r="HG38" t="str">
        <f>IF(HF38="","",HF38&amp;"."&amp;COUNTIFS(A$3:A38,A38,HF$3:HF38,HF38))</f>
        <v/>
      </c>
      <c r="HH38" t="str">
        <f t="shared" si="93"/>
        <v/>
      </c>
      <c r="HI38" t="str">
        <f t="shared" si="94"/>
        <v/>
      </c>
      <c r="HJ38" t="str">
        <f t="shared" si="95"/>
        <v/>
      </c>
      <c r="HK38" t="str">
        <f t="shared" si="96"/>
        <v/>
      </c>
      <c r="HL38">
        <f t="shared" si="97"/>
        <v>1</v>
      </c>
      <c r="HM38" t="str">
        <f>IF(HL38=1,"XT"&amp;COUNTIFS(A$3:A38,A38,HL$3:HL38,1),"")</f>
        <v>XT7</v>
      </c>
      <c r="HN38" t="str">
        <f t="shared" si="98"/>
        <v>XT7</v>
      </c>
      <c r="HO38" t="str">
        <f t="shared" si="99"/>
        <v/>
      </c>
      <c r="HP38" t="str">
        <f t="shared" si="100"/>
        <v/>
      </c>
      <c r="HQ38" t="str">
        <f t="shared" si="101"/>
        <v>ok</v>
      </c>
      <c r="HR38" t="str">
        <f>IF(OR(HJ38="",HH38=""),"",IF(HJ38+MAX(0,GY38-1)&gt;IFERROR(VLOOKUP(HI38,Модули_спр,3,FALSE),99),"ЛИШНИЙ КАНАЛ",IF(AND(AL38&lt;&gt;"=",GY38&gt;0,COUNTIFS(Линии[_модуль гр.],HH38,Линии[Канал (итог)],HJ38,Линии[Канал],"&lt;&gt;=",Линии[Щит],A38)&gt;1),"ДУБЛЬ КАНАЛА","")))</f>
        <v/>
      </c>
      <c r="HS38" s="6" t="str">
        <f t="shared" si="102"/>
        <v/>
      </c>
      <c r="HT38">
        <f t="shared" si="103"/>
        <v>10</v>
      </c>
      <c r="HU38" t="str">
        <f t="shared" si="104"/>
        <v/>
      </c>
      <c r="HV38">
        <f t="shared" si="105"/>
        <v>1.0923211376388293</v>
      </c>
      <c r="HW38">
        <f t="shared" si="106"/>
        <v>0</v>
      </c>
      <c r="HX38">
        <f t="shared" si="107"/>
        <v>0</v>
      </c>
      <c r="HY38">
        <f t="shared" si="108"/>
        <v>0</v>
      </c>
      <c r="HZ38">
        <f t="shared" si="109"/>
        <v>0</v>
      </c>
      <c r="IA38">
        <f t="shared" si="110"/>
        <v>0</v>
      </c>
      <c r="IB38">
        <f t="shared" si="111"/>
        <v>0</v>
      </c>
      <c r="IC38" t="str">
        <f t="shared" si="112"/>
        <v/>
      </c>
      <c r="ID38" t="str" cm="1">
        <f t="array" ref="ID38">IF(IC38="","",_xlfn.LET(_xlpm.tk,_xlfn.TEXTSPLIT(SUBSTITUTE(SUBSTITUTE(IC38,";"," "),"→"," ")," ",,TRUE),_xlpm.w_,_xlfn._xlws.FILTER(_xlpm.tk,ISNUMBER(--LEFT(_xlpm.tk,1))*((ISNUMBER(SEARCH("W",_xlpm.tk))+ISNUMBER(SEARCH("Вт",_xlpm.tk)))&gt;0),""),IFERROR(--SUBSTITUTE(SUBSTITUTE(UPPER(INDEX(_xlpm.w_,1)),"W",""),"ВТ",""),"")))</f>
        <v/>
      </c>
      <c r="IE38" t="str" cm="1">
        <f t="array" ref="IE38">IF(IC38="","",_xlfn.LET(_xlpm.tk,_xlfn.TEXTSPLIT(SUBSTITUTE(SUBSTITUTE(IC38,";"," "),"→"," ")," ",,TRUE),_xlpm.v_,_xlfn._xlws.FILTER(_xlpm.tk,ISNUMBER(--LEFT(_xlpm.tk,1))*((ISNUMBER(SEARCH("V",_xlpm.tk))+(RIGHT(UPPER(_xlpm.tk))="В"))&gt;0),""),IFERROR(--SUBSTITUTE(SUBSTITUTE(UPPER(INDEX(_xlpm.v_,1)),"V",""),"В",""),"")))</f>
        <v/>
      </c>
      <c r="IF38" s="6" t="str">
        <f>IF(OR(BV38=0,HI38="",HJ38=""),"",IFERROR(N(_xlfn.XLOOKUP(HI38,Каталог!$C$4:$C$500,Каталог!$Q$4:$Q$500)),""))</f>
        <v/>
      </c>
      <c r="IG38" s="6" t="str">
        <f>IF(N(IF38)=0,"",SUMIFS(Линии[Iр, А],Линии[Щит],A38,Линии[_модуль гр.],HH38,Линии[Канал (итог)],HJ38))</f>
        <v/>
      </c>
      <c r="IH38" t="str">
        <f>IF(AND(B38="",HO38=""),"",_xlfn.TEXTJOIN("; ",TRUE,IF(AND(B38&lt;&gt;"",FV38=""),"нет фазы",""),IF(AND(B38&lt;&gt;"",N(GL38)=0,FG38&lt;&gt;"Нет"),"нет мощности",""),IF(AND(HN38&lt;&gt;"",COUNTIFS(Линии[Щит],A38,Линии[Клемма (итог)],HN38)&gt;1),"дубль клеммы "&amp;HN38,""),IF(AND(HQ38&lt;&gt;"",HQ38&lt;&gt;"ok"),HQ38,""),IF(HR38&lt;&gt;"",HR38,""),IF(AND(N(CB38)&gt;=4,N(BX38)=1),CB38&amp;" жил на 1 фазе",""),IF(AND(BC38="R",CG38=1,IF(CS38&lt;&gt;"",N(CV38)&gt;30,OR(N(DA38)=0,N(DA38)&gt;30))),"розетка без дифзащиты до 30 мА",""),IF(AND(CG38=1,N(DA38)&gt;0,ISNUMBER(T38)),IF(T38&gt;N(DA38)/3,"ток утечки "&amp;FIXED(T38,1)&amp;" мА &gt; 1/3 уставки ("&amp;DA38&amp;" мА)",""),""),IF(AND(CH38=1,CS38=""),"«узо»: нет строки с УЗО выше (УЗО 2P 40А 30мА в «Аппаратах»)",""),IF(AND(CS38&lt;&gt;"",CS38=BA38),IF(CT38="","впишите номинал УЗО (УЗО 2P 40А 30мА)",IF(N(CT38)&lt;N(DT38),"УЗО "&amp;CT38&amp;" А &lt; автомата "&amp;DT38&amp;" А перед ним",IF(N(CT38)&lt;N(CX38),"УЗО "&amp;CT38&amp;" А &lt; тока блока "&amp;FIXED(CX38,1)&amp;" А",""))),""),IF(AND(CS38&lt;&gt;"",CS38=BA38,ISNUMBER(CY38)),IF(CY38&gt;N(CV38)/3,"ток утечки блока УЗО "&amp;FIXED(CY38,1)&amp;" мА &gt; 1/3 уставки ("&amp;CV38&amp;" мА)",""),""),IF(AND(CG38=1,N(BV38)+N(IB38)&gt;0,IC38=""),"линии до 50 В без БП: впишите в «Аппараты» (БП 24V 480W)",""),IF(AND(CG38=1,ISNUMBER(ID38),ISNUMBER(U38)),IF(U38&gt;ID38,"БП "&amp;ID38&amp;" Вт &lt; нужно "&amp;U38&amp;" Вт (×"&amp;Запас_БП&amp;")",""),""),IF(AND(CG38=1,ISNUMBER(IE38),N(BV38)=1),IF(IE38&lt;&gt;N(BU38),"БП на "&amp;IE38&amp;" В, линия "&amp;BU38&amp;" В",""),""),IF(AND(N(IF38)&gt;0,N(IG38)&gt;N(IF38)),HH38&amp;" канал "&amp;HJ38&amp;": "&amp;FIXED(IG38,1)&amp;" А &gt; "&amp;IF38&amp;" А",""),IFERROR(IF(AND(ISNUMBER(Q38),Q38&gt;EL38),"потери "&amp;FIXED(Q38,1)&amp;" % &gt; "&amp;EL38&amp;" %",""),""),IFERROR(IF(LEFT(HU38,4)="мало","Iкз мало — отключение &gt; 0,4 с",""),""),IF(AND(B38&lt;&gt;"",BM38=""),"не на схеме",""),IF(AND(CG38=0,B38&lt;&gt;"",FV38&lt;&gt;"",IF(BA38=1,"",FW37)&lt;&gt;"",FV38&lt;&gt;IF(BA38=1,"",FW37)),"фаза не как у автомата группы ("&amp;IF(BA38=1,"",FW37)&amp;")","")))</f>
        <v>не на схеме</v>
      </c>
      <c r="II38" s="6">
        <f>IF(OR(CG38=0,DQ38=""),"",_xlfn.LET(_xlpm.t,IFERROR(_xlfn.XLOOKUP(DQ38,Каталог!$U$4:$U$500,Каталог!$G$4:$G$500),""),_xlpm.k,SEARCH("кА",_xlpm.t),IFERROR(--TRIM(RIGHT(SUBSTITUTE(MID(_xlpm.t,MAX(1,_xlpm.k-4),_xlpm.k-MAX(1,_xlpm.k-4))," ",REPT(" ",9)),5)),"")))</f>
        <v>6</v>
      </c>
      <c r="IJ38" t="str">
        <f>IF(OR(II38="",CG38=0),"",IF(_xlfn.XLOOKUP(A38,Щиты[Щит],Щиты[Iкз max на шинах, кА],"")="","",IF(II38&lt;_xlfn.XLOOKUP(A38,Щиты[Щит],Щиты[Iкз max на шинах, кА]),"Icu "&amp;II38&amp;" кА &lt; Iкз max","ok")))</f>
        <v/>
      </c>
      <c r="IK38" t="str">
        <f t="shared" si="113"/>
        <v/>
      </c>
      <c r="IL38" t="str">
        <f t="shared" si="114"/>
        <v/>
      </c>
      <c r="IM38" t="str">
        <f t="shared" si="115"/>
        <v/>
      </c>
      <c r="IN38" t="str" cm="1">
        <f t="array" ref="IN38">IF(IM38="","",_xlfn.LET(_xlpm.nd,_xlfn.TEXTSPLIT(IM38,"|"),IF(COLUMNS(_xlpm.nd)&gt;1,A38&amp;"¦"&amp;INDEX(_xlpm.nd,1)&amp;"¦"&amp;INDEX(_xlpm.nd,2),"")))</f>
        <v/>
      </c>
      <c r="IO38" t="str">
        <f t="shared" si="116"/>
        <v/>
      </c>
      <c r="IP38" t="str" cm="1">
        <f t="array" ref="IP38">IF(IM38="","",_xlfn.LET(_xlpm.nd,_xlfn.TEXTSPLIT(IM38,"|"),IF(COLUMNS(_xlpm.nd)&gt;2,A38&amp;"¦"&amp;INDEX(_xlpm.nd,2)&amp;"¦"&amp;INDEX(_xlpm.nd,3),"")))</f>
        <v/>
      </c>
      <c r="IQ38" t="str">
        <f t="shared" si="117"/>
        <v/>
      </c>
      <c r="IR38" t="str" cm="1">
        <f t="array" ref="IR38">IF(IM38="","",_xlfn.LET(_xlpm.nd,_xlfn.TEXTSPLIT(IM38,"|"),IF(COLUMNS(_xlpm.nd)&gt;3,A38&amp;"¦"&amp;INDEX(_xlpm.nd,3)&amp;"¦"&amp;INDEX(_xlpm.nd,4),"")))</f>
        <v/>
      </c>
      <c r="IS38" t="str">
        <f t="shared" si="118"/>
        <v/>
      </c>
      <c r="IT38" t="str" cm="1">
        <f t="array" ref="IT38">IF(IM38="","",_xlfn.LET(_xlpm.nd,_xlfn.TEXTSPLIT(IM38,"|"),IF(COLUMNS(_xlpm.nd)&gt;4,A38&amp;"¦"&amp;INDEX(_xlpm.nd,4)&amp;"¦"&amp;INDEX(_xlpm.nd,5),"")))</f>
        <v/>
      </c>
      <c r="IU38" t="str">
        <f t="shared" si="119"/>
        <v/>
      </c>
      <c r="IV38" t="str" cm="1">
        <f t="array" ref="IV38">IF(IM38="","",_xlfn.LET(_xlpm.nd,_xlfn.TEXTSPLIT(IM38,"|"),IF(COLUMNS(_xlpm.nd)&gt;5,A38&amp;"¦"&amp;INDEX(_xlpm.nd,5)&amp;"¦"&amp;INDEX(_xlpm.nd,6),"")))</f>
        <v/>
      </c>
      <c r="IW38" t="str">
        <f t="shared" si="120"/>
        <v/>
      </c>
      <c r="IX38" t="str" cm="1">
        <f t="array" ref="IX38">IF(IM38="","",_xlfn.LET(_xlpm.nd,_xlfn.TEXTSPLIT(IM38,"|"),IF(COLUMNS(_xlpm.nd)&gt;6,A38&amp;"¦"&amp;INDEX(_xlpm.nd,6)&amp;"¦"&amp;INDEX(_xlpm.nd,7),"")))</f>
        <v/>
      </c>
      <c r="IY38" t="str">
        <f t="shared" si="121"/>
        <v/>
      </c>
      <c r="IZ38" t="str">
        <f t="shared" si="122"/>
        <v/>
      </c>
      <c r="JA38" t="str">
        <f t="shared" si="123"/>
        <v>XT7</v>
      </c>
      <c r="JB38">
        <f t="shared" si="124"/>
        <v>0</v>
      </c>
      <c r="JC38">
        <f t="shared" si="125"/>
        <v>0</v>
      </c>
      <c r="JD38" t="str">
        <f t="shared" si="126"/>
        <v/>
      </c>
      <c r="JE38" t="str">
        <f t="shared" si="127"/>
        <v/>
      </c>
      <c r="JF38" t="str">
        <f t="shared" si="128"/>
        <v/>
      </c>
      <c r="JG38" t="str">
        <f t="shared" si="129"/>
        <v/>
      </c>
      <c r="JH38" t="str">
        <f>IF(B38="","",IFERROR(_xlfn.XLOOKUP(B38,Коды_код,Коды_уго),IFERROR(_xlfn.XLOOKUP(BC38,Коды_код,Коды_уго),IFERROR(_xlfn.XLOOKUP(LEFT(BC38,2),Коды_код,Коды_уго),""))))</f>
        <v>Светильник</v>
      </c>
      <c r="JI38" t="str">
        <f>IF(B38="","",IF(OR(JH38="",JH38=0),"BOX",IFERROR(IF(VLOOKUP(JH38,УГО_блоки,3,FALSE)&amp;""&lt;&gt;"",VLOOKUP(JH38,УГО_блоки,3,FALSE),VLOOKUP(JH38,УГО_блоки,2,FALSE)),JH38)))</f>
        <v>LAMP</v>
      </c>
      <c r="JJ38">
        <f t="shared" si="130"/>
        <v>1</v>
      </c>
      <c r="JK38" t="str">
        <f>IF(DQ38="","",IF(COUNTIF(DQ$3:DQ38,DQ38)=1,MAX(JK$2:JK37)+1,""))</f>
        <v/>
      </c>
      <c r="JL38" t="str">
        <f>IF(DE38="","",IF(COUNTIF(DE$3:DE38,DE38)+COUNTIF(DF$2:DF37,DE38)+COUNTIF(DG$2:DG37,DE38)=1,MAX(JL$2:JN37)+1,""))</f>
        <v/>
      </c>
      <c r="JM38" t="str">
        <f>IF(DF38="","",IF(COUNTIF(DE$3:DE38,DF38)+COUNTIF(DF$3:DF38,DF38)+COUNTIF(DG$2:DG37,DF38)=1,MAX(JL$2:JN37,JL38)+1,""))</f>
        <v/>
      </c>
      <c r="JN38" t="str">
        <f>IF(DG38="","",IF(COUNTIF(DE$3:DE38,DG38)+COUNTIF(DF$3:DF38,DG38)+COUNTIF(DG$3:DG38,DG38)=1,MAX(JL$2:JN37,JL38,JM38)+1,""))</f>
        <v/>
      </c>
      <c r="JO38" t="str">
        <f t="shared" si="131"/>
        <v>3х1,5</v>
      </c>
      <c r="JP38" t="str">
        <f>IF(JO38="","",IF(COUNTIF(JO$3:JO38,JO38)=1,MAX(JP$2:JP37)+1,""))</f>
        <v/>
      </c>
      <c r="JQ38" t="str">
        <f>IF(HG38="","",COUNTIF(HG$3:HG38,"?*"))</f>
        <v/>
      </c>
      <c r="JR38" t="str">
        <f>IF(OR(HG38="",HI38=""),"",IF(COUNTIFS(HG$3:HG38,"?*",HI$3:HI38,HI38)=1,MAX(JR$2:JR37)+1,""))</f>
        <v/>
      </c>
      <c r="JS38">
        <f t="shared" si="132"/>
        <v>1</v>
      </c>
      <c r="JT38">
        <f>IF(B38="","",COUNTIF(B$3:B38,"?*"))</f>
        <v>36</v>
      </c>
      <c r="JU38">
        <f>IF(HL38&lt;&gt;1,0,_xlfn.LET(_xlpm.k,MAX(IFERROR(--_xlfn.XLOOKUP(B38,Коды_код,Коды_3L),0),IFERROR(--_xlfn.XLOOKUP(BC38,Коды_код,Коды_3L),0),IFERROR(--_xlfn.XLOOKUP(LEFT(BC38,2),Коды_код,Коды_3L),0)),IF(_xlpm.k&gt;0,_xlpm.k,IF(IFERROR(--LEFT(SUBSTITUTE(JO38,"x","х"),FIND("х",SUBSTITUTE(JO38,"x","х"))-1),3)&gt;3,Каталог!$S$9,1))))</f>
        <v>1</v>
      </c>
      <c r="JV38">
        <f t="shared" si="133"/>
        <v>0</v>
      </c>
      <c r="JW38" t="str">
        <f t="shared" si="134"/>
        <v>авто</v>
      </c>
      <c r="JX38" t="str">
        <f t="shared" si="135"/>
        <v/>
      </c>
      <c r="JY38">
        <f t="shared" si="136"/>
        <v>0</v>
      </c>
      <c r="JZ38">
        <f t="shared" si="137"/>
        <v>1</v>
      </c>
    </row>
    <row r="39" spans="1:286" x14ac:dyDescent="0.3">
      <c r="A39" t="s">
        <v>1109</v>
      </c>
      <c r="B39" t="s">
        <v>1353</v>
      </c>
      <c r="C39" t="str">
        <f>Линии[[#This Row],[_авто наименование]]</f>
        <v>Осветительная группа, пом. 003Tб</v>
      </c>
      <c r="D39">
        <v>3</v>
      </c>
      <c r="E39">
        <v>0.1</v>
      </c>
      <c r="G39" t="str">
        <f>Линии[[#This Row],[_авто автомат]]</f>
        <v>1P С10А</v>
      </c>
      <c r="H39" t="str">
        <f>Линии[[#This Row],[_авто управление]]</f>
        <v/>
      </c>
      <c r="I39" t="str">
        <f>Линии[[#This Row],[_авто аппараты]]</f>
        <v/>
      </c>
      <c r="J39">
        <v>1.5</v>
      </c>
      <c r="K39">
        <v>32</v>
      </c>
      <c r="L39" t="str">
        <f>Линии[[#This Row],[_авто фаза]]</f>
        <v>L2</v>
      </c>
      <c r="M39" t="str">
        <f>Линии[[#This Row],[_авто клемма]]</f>
        <v>XT8</v>
      </c>
      <c r="N39" t="str">
        <f t="shared" si="0"/>
        <v>не на схеме</v>
      </c>
      <c r="O39" s="6" cm="1">
        <f t="array" ref="O39">IF(B39="","",IF(BH39&lt;&gt;"",IFERROR(_xlfn.XLOOKUP(BH39,Щиты[Щит],Щиты[Iр, А]),""),IF(BP39=1,IF(OR(N(_xlfn.XLOOKUP(A39,Щиты[Щит],Щиты[Вводов],1))&lt;=1,LOWER(TRIM(_xlfn.XLOOKUP(A39,Щиты[Щит],Щиты[АВР],"")&amp;""))="да"),IFERROR(_xlfn.XLOOKUP(A39,Щиты[Щит],Щиты[Iр, А]),""),IFERROR(N(BS39)*_xlfn.XLOOKUP(A39,Щиты[Щит],Щиты[Кс итог])/(SQRT(3)*Uн_лин*_xlfn.XLOOKUP(A39,Щиты[Щит],Щиты[cos φ])),"")),IF(BV39=1,IFERROR(BS39*1000/BU39,""),IFERROR(_xlfn.IFS(BX39=1,BS39/((Uн_лин/SQRT(3))*CE39),BX39=3,BS39/(SQRT(3)*Uн_лин*CE39)),"")))))</f>
        <v>0.455802844097073</v>
      </c>
      <c r="P39" s="7">
        <f>IF(B39="","",IFERROR(IF(VLOOKUP(BC39,Потребители_обозначение,4,FALSE)=1,VLOOKUP(BC39,Потребители_обозначение,3,FALSE)*(MAX(1,N(D39))*2-1)+EI39+VLOOKUP(BE39,Этаж_обозначение,3,FALSE)+VLOOKUP(BE39,Этаж_обозначение,4,FALSE),VLOOKUP(BC39,Потребители_обозначение,3,FALSE)*(MAX(1,N(D39))*2-1)+EI39),EI39))</f>
        <v>37</v>
      </c>
      <c r="Q39" s="6">
        <f t="shared" si="1"/>
        <v>0.38</v>
      </c>
      <c r="R39" t="str">
        <f t="shared" si="2"/>
        <v>ВВГнг(А)-LS (3х1,5)</v>
      </c>
      <c r="S39" t="str">
        <f>IF(BM39="","",IF(BN39="вводной узел","узел ","")&amp;"л."&amp;(INT((BM39-1)/Столбцов_на_лист)+1)&amp;" / "&amp;(MOD(BM39-1,Столбцов_на_лист)+1))</f>
        <v/>
      </c>
      <c r="T39" s="119">
        <f t="shared" si="3"/>
        <v>0.6</v>
      </c>
      <c r="U39" s="7" t="str">
        <f>IF(OR(CG39=0,N(BV39)+N(IB39)=0),"",ROUNDUP(Запас_БП*(N(HY39)+N(HZ39)),0))</f>
        <v/>
      </c>
      <c r="V39" s="119" t="str">
        <f t="shared" si="4"/>
        <v/>
      </c>
      <c r="W39" s="7" t="str">
        <f>IFERROR(IF(OR(B39="",BP39=1,BV39=1,NOT(ISNUMBER(EN39)),N(DT39)=0),"",MAX(0,ROUNDDOWN((c_min*(Uн_лин*1000/SQRT(3))/(HT39*N(DT39))-_xlfn.XLOOKUP(A39,Щиты[Щит],Щиты[Zпетли на шинах, Ом]))*EN39/(2*ρкз_Cu),0))),"")</f>
        <v/>
      </c>
      <c r="Y39" t="str">
        <f>Линии[[#This Row],[_авто утечка]]</f>
        <v/>
      </c>
      <c r="Z39">
        <v>1</v>
      </c>
      <c r="AA39">
        <v>230</v>
      </c>
      <c r="AB39" t="s">
        <v>562</v>
      </c>
      <c r="AI39" t="s">
        <v>555</v>
      </c>
      <c r="AK39" t="str">
        <f>Линии[[#This Row],[_авто модуль]]</f>
        <v/>
      </c>
      <c r="AM39" t="s">
        <v>527</v>
      </c>
      <c r="AN39" t="s">
        <v>11</v>
      </c>
      <c r="AO39">
        <v>3</v>
      </c>
      <c r="AQ39">
        <v>13</v>
      </c>
      <c r="AR39">
        <v>0</v>
      </c>
      <c r="AS39">
        <v>42</v>
      </c>
      <c r="BA39" cm="1">
        <f t="array" ref="BA39">ROW()-ROW(Линии[#Headers])</f>
        <v>37</v>
      </c>
      <c r="BC39" s="6" t="str">
        <f t="shared" si="5"/>
        <v>L</v>
      </c>
      <c r="BD39" t="str">
        <f t="shared" si="6"/>
        <v>00.003Tб.1</v>
      </c>
      <c r="BE39" t="str">
        <f t="shared" si="7"/>
        <v>00</v>
      </c>
      <c r="BF39" t="str">
        <f t="shared" si="8"/>
        <v>003Tб.1</v>
      </c>
      <c r="BG39" t="str">
        <f t="shared" si="9"/>
        <v>003Tб</v>
      </c>
      <c r="BH39" t="str">
        <f>IF(X39&lt;&gt;"",X39,IF(AND(B39&lt;&gt;"",B39&lt;&gt;A39,ISNUMBER(_xlfn.XMATCH(B39,Щиты[Щит]))),B39,""))</f>
        <v/>
      </c>
      <c r="BI39" t="str" cm="1">
        <f t="array" ref="BI39">IF(B39="","",IF(BH39&lt;&gt;"","Щит "&amp;BH39,_xlfn.LET(_xlpm.nm,IFERROR(_xlfn.XLOOKUP(BC39,Коды_код,Коды_имя)&amp;"",""),_xlpm.md,IFERROR(N(_xlfn.XLOOKUP(BC39,Коды_код,Коды_режим)),1),_xlpm.ex,IF(Имя_режим="по экспликации",IFERROR(_xlfn.XLOOKUP(BE39&amp;"|"&amp;BG39,Экспликация[Этаж]&amp;"|"&amp;Экспликация[Помещение],Экспликация[Название])&amp;"",""),""),_xlpm.rm,IF(BG39="","",IF(_xlpm.ex&lt;&gt;"",". "&amp;_xlpm.ex&amp;IF(Имя_пом="нет"," ("&amp;BG39&amp;")"," (пом. "&amp;BG39&amp;")"),IF(Имя_пом="нет"," ",", пом. ")&amp;BG39)),IF(_xlpm.nm="","",IF(_xlpm.md=2,_xlpm.nm&amp;" шлейф "&amp;BE39,_xlpm.nm&amp;_xlpm.rm)))))</f>
        <v>Осветительная группа, пом. 003Tб</v>
      </c>
      <c r="BJ39" t="str">
        <f t="shared" si="10"/>
        <v>Осветительная группа, пом. 003Tб</v>
      </c>
      <c r="BK39">
        <f>IFERROR(_xlfn.XMATCH(A39,Щиты[Щит]),0)</f>
        <v>3</v>
      </c>
      <c r="BL39">
        <f>_xlfn.LET(_xlpm.k,IFERROR(_xlfn.XLOOKUP(A39,Щиты[Щит],Щиты[Мест под вводной узел]),""),IF(_xlpm.k="",Столбцов_на_лист,N(_xlpm.k)))</f>
        <v>17</v>
      </c>
      <c r="BM39" t="str">
        <f t="shared" si="11"/>
        <v/>
      </c>
      <c r="BN39" t="str">
        <f t="shared" si="12"/>
        <v/>
      </c>
      <c r="BO39" s="6">
        <f>IFERROR(N(_xlfn.XLOOKUP(BC39,Коды_код,Коды_квт)),0)</f>
        <v>0</v>
      </c>
      <c r="BP39">
        <f t="shared" si="13"/>
        <v>0</v>
      </c>
      <c r="BQ39" t="str">
        <f>IF(B39="","",IF(BH39&lt;&gt;"",IFERROR(_xlfn.XLOOKUP(BH39,Щиты[Щит],Щиты[Руст, кВт]),0),IF(BP39=1,IF(OR(N(_xlfn.XLOOKUP(A39,Щиты[Щит],Щиты[Вводов],1))&lt;=1,LOWER(TRIM(_xlfn.XLOOKUP(A39,Щиты[Щит],Щиты[АВР],"")&amp;""))="да"),IFERROR(_xlfn.XLOOKUP(A39,Щиты[Щит],Щиты[Руст, кВт]),0),SUMIFS(Линии[_Р для вводов],Линии[Щит],A39,Линии[Источник для режимов],GF39)),IF(BO39&gt;0,ROUND(BO39*MAX(1,N(D39)),3),""))))</f>
        <v/>
      </c>
      <c r="BR39">
        <f t="shared" si="14"/>
        <v>0.1</v>
      </c>
      <c r="BS39" s="6">
        <f>IF(B39="","",IF(BH39&lt;&gt;"",IFERROR(_xlfn.XLOOKUP(BH39,Щиты[Щит],Щиты[Руст, кВт]),0),N(BR39)))</f>
        <v>0.1</v>
      </c>
      <c r="BT39" t="str">
        <f>IF(B39="","",IFERROR(IF(VLOOKUP(BC39,Потребители_обозначение,8,FALSE)=0,"",VLOOKUP(BC39,Потребители_обозначение,8,FALSE)),""))</f>
        <v/>
      </c>
      <c r="BU39">
        <f t="shared" si="15"/>
        <v>230</v>
      </c>
      <c r="BV39">
        <f t="shared" si="16"/>
        <v>0</v>
      </c>
      <c r="BW39">
        <f>IF(B39="","",IF(BH39&lt;&gt;"",3,IFERROR(IF(N(VLOOKUP(BC39,Потребители_обозначение,9,FALSE))=0,1,VLOOKUP(BC39,Потребители_обозначение,9,FALSE)),1)))</f>
        <v>1</v>
      </c>
      <c r="BX39">
        <f t="shared" si="17"/>
        <v>1</v>
      </c>
      <c r="BY39" t="str">
        <f>IF(B39="","",_xlfn.LET(_xlpm.bc,IFERROR(IF(VLOOKUP(BC39,Потребители_обозначение,6,FALSE)=0,"",VLOOKUP(BC39,Потребители_обозначение,6,FALSE)&amp;""),""),IF(AND(GA39="да",OR(_xlpm.bc="",_xlpm.bc="мс")),Марка_пож,IF(AND(_xlpm.bc="",BH39&lt;&gt;""),"мс",_xlpm.bc))))</f>
        <v/>
      </c>
      <c r="BZ39" t="str">
        <f t="shared" si="18"/>
        <v>мс</v>
      </c>
      <c r="CA39">
        <f>IF(B39="","",_xlfn.LET(_xlpm.cc,IFERROR(N(VLOOKUP(BC39,Потребители_обозначение,7,FALSE)),0),IF(_xlpm.cc&gt;0,_xlpm.cc,IF(BZ39="","",IF(BV39=1,2,IF(N(BX39)=3,5,3))))))</f>
        <v>3</v>
      </c>
      <c r="CB39">
        <f t="shared" si="19"/>
        <v>3</v>
      </c>
      <c r="CC39">
        <f>IFERROR(N(VLOOKUP(BC39,Потребители_обозначение,10,FALSE)),0)</f>
        <v>0</v>
      </c>
      <c r="CD39">
        <f>IFERROR(VLOOKUP(BC39,Потребители_обозначение,5,FALSE),0)</f>
        <v>3</v>
      </c>
      <c r="CE39" s="6" cm="1">
        <f t="array" ref="CE39">IF(B39="","",IF(BH39&lt;&gt;"",IFERROR(_xlfn.XLOOKUP(BH39,Щиты[Щит],Щиты[cos φ]),0.95),IF(BP39=1,IFERROR(_xlfn.XLOOKUP(A39,Щиты[Щит],Щиты[cos φ]),0.95),IF(ISNUMBER(AD39),AD39,IFERROR(IF(CD39=2,_xlfn.IFS(BX39=3,VLOOKUP(BS39,Справочная_двигатели,8,FALSE),BX39=1,VLOOKUP(BS39,Справочная_двигатели,10,TRUE)),IF(AND(Методика="нормы 2026",FG39="Сил"),0.8,0.95)),0.95)))))</f>
        <v>0.95</v>
      </c>
      <c r="CF39">
        <f t="shared" si="20"/>
        <v>0</v>
      </c>
      <c r="CG39">
        <f t="shared" si="21"/>
        <v>1</v>
      </c>
      <c r="CH39">
        <f t="shared" si="22"/>
        <v>0</v>
      </c>
      <c r="CI39">
        <f>IF(B39="","",IF(BV39=1,IFERROR(BS39/((Uн_лин/SQRT(3))*MAX(0.5,N(CE39))),0),N(O39)))</f>
        <v>0.455802844097073</v>
      </c>
      <c r="CJ39">
        <f t="shared" si="23"/>
        <v>0</v>
      </c>
      <c r="CK39">
        <f t="shared" si="24"/>
        <v>0</v>
      </c>
      <c r="CL39">
        <f t="shared" si="25"/>
        <v>0</v>
      </c>
      <c r="CM39">
        <f t="shared" si="26"/>
        <v>0</v>
      </c>
      <c r="CN39">
        <f t="shared" si="27"/>
        <v>0</v>
      </c>
      <c r="CO39">
        <f>IF(BC39="",0,_xlfn.LET(_xlpm.v,IFERROR(_xlfn.XLOOKUP(B39,Коды_код,Коды_мА),IFERROR(_xlfn.XLOOKUP(BC39,Коды_код,Коды_мА),IFERROR(_xlfn.XLOOKUP(LEFT(BC39,2),Коды_код,Коды_мА),""))),IF(_xlpm.v="да",30,IF(ISNUMBER(_xlpm.v),_xlpm.v,0))))</f>
        <v>0</v>
      </c>
      <c r="CP39" t="str">
        <f t="shared" si="28"/>
        <v/>
      </c>
      <c r="CQ39" t="str">
        <f>_xlfn.LET(_xlpm.k,IFERROR(_xlfn.XLOOKUP(BC39,Коды_код,Коды_утечка)&amp;"",""),IF(_xlpm.k="","дифавтомат",_xlpm.k))</f>
        <v>дифавтомат</v>
      </c>
      <c r="CR39" t="str" cm="1">
        <f t="array" ref="CR39">IF(CG39=0,"",_xlfn.LET(_xlpm.sg,TRIM(_xlfn.TEXTSPLIT(DD39&amp;"",";")),_xlpm.f_,_xlfn._xlws.FILTER(_xlpm.sg,LEFT(_xlpm.sg,3)="УЗО",""),IFERROR(INDEX(_xlpm.f_,1)&amp;"","")))</f>
        <v/>
      </c>
      <c r="CS39" t="str">
        <f t="shared" si="29"/>
        <v/>
      </c>
      <c r="CT39" s="6" t="str" cm="1">
        <f t="array" ref="CT39">IF(CR39="","",_xlfn.LET(_xlpm.tk,_xlfn.TEXTSPLIT(UPPER(CR39)," ",,TRUE),_xlpm.a_,_xlfn._xlws.FILTER(_xlpm.tk,ISNUMBER(--LEFT(_xlpm.tk,1))*((ISNUMBER(SEARCH("А",_xlpm.tk))+ISNUMBER(SEARCH("A",_xlpm.tk)))&gt;0)*NOT(ISNUMBER(SEARCH("МА",_xlpm.tk)))*NOT(ISNUMBER(SEARCH("MA",_xlpm.tk))),""),IFERROR(--SUBSTITUTE(SUBSTITUTE(INDEX(_xlpm.a_,1),"А",""),"A",""),"")))</f>
        <v/>
      </c>
      <c r="CU39" t="str" cm="1">
        <f t="array" ref="CU39">IF(CR39="","",_xlfn.LET(_xlpm.tk,_xlfn.TEXTSPLIT(UPPER(CR39)," ",,TRUE),_xlpm.a_,_xlfn._xlws.FILTER(_xlpm.tk,ISNUMBER(--LEFT(_xlpm.tk,1))*((ISNUMBER(SEARCH("МА",_xlpm.tk))+ISNUMBER(SEARCH("MA",_xlpm.tk)))&gt;0),""),IFERROR(--SUBSTITUTE(SUBSTITUTE(INDEX(_xlpm.a_,1),"МА",""),"MA",""),30)))</f>
        <v/>
      </c>
      <c r="CV39" t="str">
        <f>IF(CS39="","",IFERROR(_xlfn.XLOOKUP(CS39,Линии[_n],Линии[_УЗО, мА]),30))</f>
        <v/>
      </c>
      <c r="CW39">
        <f>IF(CS39="",0,IF(ISNUMBER(SEARCH("4P",IFERROR(_xlfn.XLOOKUP(CS39,Линии[_n],Линии[_УЗО строки])&amp;"",""))),0,1))</f>
        <v>0</v>
      </c>
      <c r="CX39" t="str">
        <f>IF(AND(CS39&lt;&gt;"",CS39=BA39),SUMIFS(Линии[_ток на 230 В],Линии[_блок УЗО],BA39,Линии[Щит],A39),"")</f>
        <v/>
      </c>
      <c r="CY39" t="str">
        <f>IF(AND(CS39&lt;&gt;"",CS39=BA39),SUMIFS(Линии[_ток утечки линии, мА],Линии[_блок УЗО],BA39,Линии[Щит],A39),"")</f>
        <v/>
      </c>
      <c r="CZ39">
        <f t="shared" si="30"/>
        <v>0</v>
      </c>
      <c r="DA39">
        <f t="shared" si="31"/>
        <v>0</v>
      </c>
      <c r="DB39">
        <f>IF(B39="",0,IFERROR(--_xlfn.XLOOKUP(B39,Коды_код,Коды_минавт),IFERROR(--_xlfn.XLOOKUP(BC39,Коды_код,Коды_минавт),IFERROR(--_xlfn.XLOOKUP(LEFT(BC39,2),Коды_код,Коды_минавт),0))))</f>
        <v>10</v>
      </c>
      <c r="DC39" t="str">
        <f>IF(B39="","",IFERROR(_xlfn.XLOOKUP(BC39,Коды_код,Коды_апп)&amp;"",""))</f>
        <v/>
      </c>
      <c r="DD39" t="str">
        <f t="shared" si="32"/>
        <v/>
      </c>
      <c r="DE39" t="str" cm="1">
        <f t="array" ref="DE39">IF(TRIM(DD39&amp;"")="","",IFERROR(TRIM(INDEX(_xlfn.TEXTSPLIT(DD39&amp;";;;",";"),1)),""))</f>
        <v/>
      </c>
      <c r="DF39" t="str" cm="1">
        <f t="array" ref="DF39">IF(TRIM(DD39&amp;"")="","",IFERROR(TRIM(INDEX(_xlfn.TEXTSPLIT(DD39&amp;";;;",";"),2)),""))</f>
        <v/>
      </c>
      <c r="DG39" t="str" cm="1">
        <f t="array" ref="DG39">IF(TRIM(DD39&amp;"")="","",IFERROR(TRIM(INDEX(_xlfn.TEXTSPLIT(DD39&amp;";;;",";"),3)),""))</f>
        <v/>
      </c>
      <c r="DH39">
        <f t="shared" si="33"/>
        <v>0</v>
      </c>
      <c r="DI39" t="str">
        <f>IF(B39="","",_xlfn.LET(_xlpm.t,LOWER(AZ39&amp;""),IF(ISNUMBER(SEARCH("dim",_xlpm.t)),"DIM",IF(ISNUMBER(SEARCH("dali",_xlpm.t)),"DALI",IF(OR(ISNUMBER(SEARCH("relay",_xlpm.t)),ISNUMBER(SEARCH("реле",_xlpm.t))),"Relay",IF(ISNUMBER(SEARCH("кнопк",_xlpm.t)),"",IFERROR(_xlfn.XLOOKUP(BC39,Коды_код,Коды_упр)&amp;"","")))))))</f>
        <v/>
      </c>
      <c r="DJ39" t="str">
        <f t="shared" si="34"/>
        <v/>
      </c>
      <c r="DK39">
        <f>IF(B39="","",_xlfn.LET(_xlpm.ig,IF(N(CX39)&gt;0,N(CX39),N(CI39)+IF(AJ39="вручную",0,N(CJ39))),_xlpm.n0,IFERROR(VLOOKUP(_xlpm.ig,Автомат_номиналы,2,TRUE),0),_xlpm.mn,MAX(DB39,IF(AJ39="вручную",0,N(CM39))),MAX(_xlpm.n0,_xlpm.mn,IF(DH39=1,Мин_автомат_БП,0))))</f>
        <v>10</v>
      </c>
      <c r="DL39">
        <f t="shared" si="35"/>
        <v>1</v>
      </c>
      <c r="DM39" t="str">
        <f t="shared" si="36"/>
        <v>1P</v>
      </c>
      <c r="DN39" t="str">
        <f>_xlfn.LET(_xlpm.cc,UPPER(TRIM(IFERROR(_xlfn.XLOOKUP(BC39,Коды_код,Коды_хар)&amp;"",""))),IF(OR(_xlpm.cc="B",_xlpm.cc="В"),"B",IF(_xlpm.cc="D","D","С")))</f>
        <v>С</v>
      </c>
      <c r="DO39" t="str">
        <f t="shared" si="37"/>
        <v>1P С10А</v>
      </c>
      <c r="DP39" t="str">
        <f t="shared" si="38"/>
        <v>1P С10А</v>
      </c>
      <c r="DQ39" t="str">
        <f t="shared" si="39"/>
        <v>1P С10А</v>
      </c>
      <c r="DR39" cm="1">
        <f t="array" ref="DR39">IF(DQ39="","",_xlfn.LET(_xlpm.t,SUBSTITUTE(SUBSTITUTE(SUBSTITUTE(UPPER(DQ39),"С","C"),"А","A"),"В","B"),_xlpm.tk,_xlfn.TEXTSPLIT(_xlpm.t," "),_xlpm.f,_xlfn._xlws.FILTER(_xlpm.tk,ISNUMBER(--MID(_xlpm.tk,2,1))*ISNUMBER(SEARCH(LEFT(_xlpm.tk,1)&amp;"#","B#C#D#"))*(LEN(_xlpm.tk)&gt;1),""),_xlpm.x,INDEX(_xlpm.f,1),IFERROR(--SUBSTITUTE(MID(_xlpm.x,2,9),"A",""),IFERROR(--SUBSTITUTE(INDEX(_xlfn._xlws.FILTER(_xlpm.tk,ISNUMBER(--SUBSTITUTE(_xlpm.tk,"A","")),""),1),"A",""),""))))</f>
        <v>10</v>
      </c>
      <c r="DS39" t="str">
        <f t="shared" si="40"/>
        <v>ok</v>
      </c>
      <c r="DT39">
        <f t="shared" si="41"/>
        <v>10</v>
      </c>
      <c r="DU39" t="str">
        <f t="shared" si="42"/>
        <v>1P С10А</v>
      </c>
      <c r="DV39">
        <f t="shared" si="43"/>
        <v>0</v>
      </c>
      <c r="DW39">
        <f t="shared" si="44"/>
        <v>0</v>
      </c>
      <c r="DX39">
        <f t="shared" si="45"/>
        <v>0</v>
      </c>
      <c r="DY39">
        <f t="shared" si="46"/>
        <v>0.455802844097073</v>
      </c>
      <c r="DZ39">
        <f t="shared" si="47"/>
        <v>1</v>
      </c>
      <c r="EA39">
        <f>IF(ISNUMBER(AP39),AP39,К_прокл)</f>
        <v>1</v>
      </c>
      <c r="EB39">
        <f t="shared" si="48"/>
        <v>2</v>
      </c>
      <c r="EC39">
        <f>IFERROR(N(VLOOKUP(BZ39,Кабель_обозначение,3,FALSE)),1)</f>
        <v>1</v>
      </c>
      <c r="ED39">
        <f>IFERROR(N(_xlfn.XLOOKUP(A39,Щиты[Щит],Щиты[ΔU до шин, %])),0)</f>
        <v>0.17</v>
      </c>
      <c r="EE39" t="str">
        <f>IFERROR(_xlfn.XLOOKUP(A39,Щиты[Щит],Щиты[Zпетли на шинах, Ом]),"")</f>
        <v/>
      </c>
      <c r="EF39">
        <f>IFERROR(N(_xlfn.XLOOKUP(A39,Щиты[Щит],Щиты[ΔU до шин (подбор), %])),0)</f>
        <v>0.65</v>
      </c>
      <c r="EG39" t="str">
        <f>IFERROR(_xlfn.XLOOKUP(A39,Щиты[Щит],Щиты[Zпетли на шинах (подбор), Ом]),"")</f>
        <v/>
      </c>
      <c r="EH39" t="str">
        <f t="shared" si="49"/>
        <v/>
      </c>
      <c r="EI39">
        <f t="shared" si="50"/>
        <v>32</v>
      </c>
      <c r="EJ39">
        <f t="shared" si="51"/>
        <v>2</v>
      </c>
      <c r="EK39">
        <f t="shared" si="52"/>
        <v>0.31</v>
      </c>
      <c r="EL39" s="6">
        <f>IF(B39="","",IF(BV39=1,dU_LED,IF(IFERROR(_xlfn.XLOOKUP(BC39,Коды_код,Коды_уго),"")="Светильник",3,4)+IF(Методика="нормы 2026",MIN(0.5,MAX(0,N(P39)-100)*0.005),0)))</f>
        <v>3</v>
      </c>
      <c r="EM39" cm="1">
        <f t="array" ref="EM39">IF(OR(B39="",BZ39="",EC39&lt;&gt;1),"",_xlfn.LET(_xlpm.sz,Iдоп_S,_xlpm.t_,CHOOSE(EB39,Iдоп_1ж,Iдоп_2ж,Iдоп_3ж)*DZ39*EA39,_xlpm.dcx,BV39=1,_xlpm.inn,IF(_xlpm.dcx,N(O39),N(DT39)),_xlpm.smin,MAX(1.5,CC39),_xlpm.L_,N(P39)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39)/N(BU39)*100,999),IFERROR(N(EJ39)*(_xlpm.rho*_xlpm.L_/_xlpm.sz*N(CE39)+_xlpm.xx*_xlpm.L_*N(EK39)/1000)*N(O39)/((Uн_лин/SQRT(3))*1000)*100,999)),_xlpm.kz,IF(OR(_xlpm.dcx,DW39=1,NOT(ISNUMBER(EG39)),_xlpm.L_=0,_xlpm.inn=0),1,IFERROR(--(c_min*(Uн_лин*1000/SQRT(3))/(EG39+2*ρкз_Cu*_xlpm.L_/_xlpm.sz)&gt;=HT39*_xlpm.inn),0)),_xlpm.ok,IFERROR((_xlpm.sz&gt;=_xlpm.smin)*(_xlpm.t_&gt;=_xlpm.inn)*IF(_xlpm.L_&gt;0,(_xlpm.du_+IF(_xlpm.dcx,0,EF39)&lt;=EL39+0.00001),1)*_xlpm.kz,0),_xlpm.r_,_xlfn._xlws.FILTER(_xlpm.sz,_xlpm.ok,"не подобрано"),INDEX(_xlpm.r_,1)))</f>
        <v>1.5</v>
      </c>
      <c r="EN39">
        <f t="shared" si="53"/>
        <v>1.5</v>
      </c>
      <c r="EO39" cm="1">
        <f t="array" ref="EO39">IF(OR(B39="",BZ39="",EC39&lt;&gt;1),"",_xlfn.LET(_xlpm.sz,Iдоп_S,_xlpm.t_,CHOOSE(EB39,Iдоп_1ж,Iдоп_2ж,Iдоп_3ж)*DZ39*EA39,_xlpm.ok,IFERROR((_xlpm.sz&gt;=MAX(1.5,CC39))*(_xlpm.t_&gt;=N(DT39)),0),_xlpm.r_,_xlfn._xlws.FILTER(_xlpm.sz,_xlpm.ok,""),INDEX(_xlpm.r_,1)))</f>
        <v>1.5</v>
      </c>
      <c r="EP39" s="6" cm="1">
        <f t="array" ref="EP39">IFERROR(ROUNDUP(N(EJ39)*(_xlfn.XLOOKUP(EO39,INDEX(Кабель_сопротивление,0,1),INDEX(Кабель_сопротивление,0,3))*N(P39)/EO39*N(CE39)+_xlfn.XLOOKUP(EO39,INDEX(Кабель_сопротивление,0,1),INDEX(Кабель_сопротивление,0,2))*N(P39)*N(EK39)/1000)*N(O39)/((Uн_лин/SQRT(3))*1000)*100,2),"")</f>
        <v>0.21000000000000002</v>
      </c>
      <c r="EQ39">
        <f>IFERROR(2*ρкз_Cu*N(P39)/EO39,"")</f>
        <v>1.2974666666666665</v>
      </c>
      <c r="ER39">
        <f>IFERROR(VLOOKUP(EN39,Кабель_сопротивление,3,FALSE),"")</f>
        <v>2.2499999999999999E-2</v>
      </c>
      <c r="ES39">
        <f>IFERROR(VLOOKUP(EN39,Кабель_сопротивление,2,FALSE),"")</f>
        <v>0.11</v>
      </c>
      <c r="ET39">
        <f t="shared" si="54"/>
        <v>0</v>
      </c>
      <c r="EU39">
        <f t="shared" si="55"/>
        <v>42</v>
      </c>
      <c r="EV39">
        <f t="shared" si="56"/>
        <v>0.48179427199715807</v>
      </c>
      <c r="EW39" s="6">
        <f>IFERROR(ROUNDUP(EV39/IF(BV39=1,BU39,(Uн_лин/SQRT(3))*1000)*100,2),"")</f>
        <v>0.21000000000000002</v>
      </c>
      <c r="EX39" t="str">
        <f>IFERROR(VLOOKUP(BZ39,Кабель_обозначение,2,FALSE),"")</f>
        <v>ВВГнг(А)-LS</v>
      </c>
      <c r="EY39" t="str">
        <f t="shared" si="57"/>
        <v>ВВГнг(А)-LS (3х1,5)</v>
      </c>
      <c r="EZ39" t="str">
        <f t="shared" si="58"/>
        <v>ВВГнг(А)-LS (3х1,5)
L=37-0,21%</v>
      </c>
      <c r="FA39">
        <f>IFERROR(2*ρкз_Cu*P39/EN39,"")</f>
        <v>1.2974666666666665</v>
      </c>
      <c r="FB39">
        <f t="shared" si="59"/>
        <v>0.4316666666666667</v>
      </c>
      <c r="FC39" s="6" t="str">
        <f>IFERROR(IF(OR(B39="",BV39=1,NOT(ISNUMBER(EN39)),N(P39)=0),"",_xlfn.XLOOKUP(A39,Щиты[Щит],Щиты[Zпетли на шинах, Ом])+FA39),"")</f>
        <v/>
      </c>
      <c r="FD39" s="6" t="str">
        <f>IF(ISNUMBER(FC39),c_min*(Uн_лин*1000/SQRT(3))/FC39,"")</f>
        <v/>
      </c>
      <c r="FE39" s="6" t="str">
        <f>IFERROR(IF(OR(B39="",NOT(ISNUMBER(EN39))),"",1.05*(Uн_лин*1000/SQRT(3))/(_xlfn.XLOOKUP(A39,Щиты[Щит],Щиты[Zmax на шинах, Ом])+FB39)/1000),"")</f>
        <v/>
      </c>
      <c r="FF39" s="6" t="str">
        <f>IF(B39="","",IF(ISNUMBER(AC39),"Сил",IF(IFERROR(_xlfn.XLOOKUP(BC39,Коды_код,Коды_группа)&amp;"","")="","Быт",_xlfn.XLOOKUP(BC39,Коды_код,Коды_группа)&amp;"")))</f>
        <v>Быт</v>
      </c>
      <c r="FG39" s="6" t="str">
        <f t="shared" si="60"/>
        <v>Быт</v>
      </c>
      <c r="FH39" s="6">
        <f>IF(FG39="Щит","щит",IF(FG39="","",IF(FG39="Быт",IFERROR(_xlfn.XLOOKUP(A39,Щиты[Щит],Щиты[Кс быт]),1),IF(FG39="Сил",IF(ISNUMBER(AC39),AC39,IF(Методика="нормы 2026",IFERROR(_xlfn.XLOOKUP(A39,Щиты[Щит],Щиты[Кс силовых (табл. 7.5)]),1),1)),IF(OR(FG39="Пост",FG39="Отоп"),1,IF(FG39="ВНГ",0.7,0))))))</f>
        <v>0.8</v>
      </c>
      <c r="FI39">
        <f>IF(FG39="","",IF(AND(BP39=1,TRIM(AE39&amp;"")=""),IF(COUNTIFS(Линии[Щит],A39,Линии[Секция (1/2/3)],"&gt;=2")&gt;0,MIN(3,MAX(1,IFERROR(--BD39,1))),1),IFERROR(MIN(3,MAX(1,INT(--AE39))),1)))</f>
        <v>1</v>
      </c>
      <c r="FJ39">
        <f t="shared" si="61"/>
        <v>0.1</v>
      </c>
      <c r="FK39">
        <f t="shared" si="62"/>
        <v>0.1</v>
      </c>
      <c r="FL39">
        <f t="shared" si="63"/>
        <v>0</v>
      </c>
      <c r="FM39">
        <f t="shared" si="64"/>
        <v>0</v>
      </c>
      <c r="FN39">
        <f t="shared" si="65"/>
        <v>0</v>
      </c>
      <c r="FO39">
        <f t="shared" si="66"/>
        <v>0</v>
      </c>
      <c r="FP39">
        <f t="shared" si="67"/>
        <v>0.1</v>
      </c>
      <c r="FQ39">
        <f t="shared" si="68"/>
        <v>0.1</v>
      </c>
      <c r="FR39">
        <f t="shared" si="69"/>
        <v>9.5000000000000001E-2</v>
      </c>
      <c r="FS39">
        <f>IF(CG39=1,IF(AND(CH39=1,CW39=1),0,IF(AND(CS39&lt;&gt;"",CS39=BA39,CW39=1),SUMIFS(Линии[_Р линии, кВт],Линии[_блок УЗО],BA39,Линии[Щит],A39),N(BS39)+IF(AJ39="вручную",0,N(CK39)))),0)</f>
        <v>0.1</v>
      </c>
      <c r="FT39" t="str">
        <f t="shared" si="70"/>
        <v/>
      </c>
      <c r="FU39" t="str">
        <f>IF(B39="","",IF(CG39=0,IF(BA39=1,"",FW38),IF(AND(CH39=1,CW39=1,CS39&lt;&gt;""),IFERROR(_xlfn.XLOOKUP(CS39,Линии[_n],Линии[_фаза итог]),"L1"),IF(OR(N(DL39)&gt;=3,N(BX39)&gt;=3),"L1,L2,L3",IFERROR(_xlfn.TEXTBEFORE(_xlfn.TEXTAFTER(_xlfn.XLOOKUP(A39,Щиты[Щит],Щиты[_фазы авто]),";"&amp;BA39&amp;":"),";"),"L1")))))</f>
        <v>L2</v>
      </c>
      <c r="FV39" t="str">
        <f t="shared" si="71"/>
        <v>L2</v>
      </c>
      <c r="FW39" t="str">
        <f t="shared" si="72"/>
        <v>L2</v>
      </c>
      <c r="FX39" cm="1">
        <f t="array" ref="FX39">IFERROR(IF(CD39=2,_xlfn.IFS(BX39=3,VLOOKUP(BS39,Справочная_двигатели,3,FALSE),BX39=1,VLOOKUP(BS39,Справочная_двигатели,5,TRUE)),0),0)</f>
        <v>0</v>
      </c>
      <c r="FY39">
        <f>IFERROR(IF(CD39=3,VLOOKUP(BS39,Справочная_ЛЭД,2,TRUE),0),0)</f>
        <v>50</v>
      </c>
      <c r="FZ39" s="6">
        <f t="shared" si="73"/>
        <v>50</v>
      </c>
      <c r="GA39" t="str">
        <f>IF(B39="","",IF(TRIM(AH39&amp;"")&lt;&gt;"",IF(LOWER(TRIM(AH39&amp;""))="да","да","нет"),IF(IFERROR(_xlfn.XLOOKUP(BC39,Коды_код,Коды_пожарная),"")="да","да","нет")))</f>
        <v>нет</v>
      </c>
      <c r="GB39" t="str">
        <f t="shared" si="74"/>
        <v/>
      </c>
      <c r="GC39" t="str">
        <f t="shared" si="75"/>
        <v>основная</v>
      </c>
      <c r="GD39">
        <f>IF(AND(BP39=1,TRIM(AE39&amp;"")=""),IF(COUNTIFS(Линии[Щит],A39,Линии[Секция (1/2/3)],"&gt;=2")&gt;0,MIN(3,MAX(1,IFERROR(--BD39,1))),1),IFERROR(MIN(3,MAX(1,INT(--AE39))),1))</f>
        <v>1</v>
      </c>
      <c r="GE39" t="str" cm="1">
        <f t="array" ref="GE39">IF(B39="","",_xlfn.LET(_xlpm.t,IFERROR(_xlfn.XLOOKUP(1,(Шины[Шина]=GC39)*(((Шины[Щит]=A39)+(Шины[Щит]=""))&gt;0),Шины[Тип]),"")&amp;"",IF(_xlpm.t&lt;&gt;"",_xlpm.t,IF(ISNUMBER(SEARCH("ИБП",GC39)),"ИБП",IF(ISNUMBER(SEARCH("ДГУ",GC39)),"ДГУ","Ввод "&amp;GD39)))))</f>
        <v>Ввод 1</v>
      </c>
      <c r="GF39" t="str">
        <f t="shared" si="76"/>
        <v>Ввод 1</v>
      </c>
      <c r="GG39" t="str">
        <f>IF(BP39=0,"",IF(TRIM(AG39&amp;"")&lt;&gt;"",TRIM(AG39&amp;""),IF(OR(GE39="ИБП",GE39="ДГУ"),"I особая",_xlfn.XLOOKUP(A39,Щиты[Щит],Щиты[Категория шины «Ввод»],"III"))))</f>
        <v/>
      </c>
      <c r="GH39" t="str">
        <f>IF(A39="","",_xlfn.XLOOKUP(A39,Щиты[Щит],Щиты[Путь],""))</f>
        <v>|ГРЩ-ЖД|ЩГП|ЩО-001|</v>
      </c>
      <c r="GI39" t="str">
        <f>IF(B39="","",IF(AI39&lt;&gt;"",AI39,IF(IFERROR(_xlfn.XLOOKUP(BC39,Коды_код,Коды_вид)&amp;"","")="","Прочее",_xlfn.XLOOKUP(BC39,Коды_код,Коды_вид)&amp;"")))</f>
        <v>Рабочее освещение</v>
      </c>
      <c r="GJ39" t="str">
        <f>IF(BM39="","",INT((BM39-1)/Столбцов_на_лист)+1)</f>
        <v/>
      </c>
      <c r="GK39" t="str">
        <f t="shared" si="77"/>
        <v>ВВГнг(А)-LS (3х1,5) L=37-0,21%</v>
      </c>
      <c r="GL39">
        <f t="shared" si="78"/>
        <v>0.1</v>
      </c>
      <c r="GM39">
        <f t="shared" si="79"/>
        <v>0.46</v>
      </c>
      <c r="GN39">
        <f t="shared" si="80"/>
        <v>1</v>
      </c>
      <c r="GO39">
        <f t="shared" si="81"/>
        <v>0</v>
      </c>
      <c r="GP39">
        <f t="shared" si="82"/>
        <v>0</v>
      </c>
      <c r="GQ39" t="str">
        <f>IF(BM39="","",IF(AND(CG39=1,GP39=1),COUNTIFS(A$3:A39,A39,CG$3:CG39,1,GP$3:GP39,1),IF(OR(OR(BA39=1,A39&lt;&gt;A38),AJ39="вручную",GP39=0),"",IF(BA39=1,"",GR38))))</f>
        <v/>
      </c>
      <c r="GR39" t="str">
        <f t="shared" si="83"/>
        <v/>
      </c>
      <c r="GS39">
        <f>IF(B39="","",IFERROR(LOOKUP(INDEX(CHOOSE(EB39,Iдоп_1ж,Iдоп_2ж,Iдоп_3ж),MATCH(EN39,Iдоп_S,0))*DZ39*EA39,{6,10,16,20,25,32,40,50,63,80,100,125,160,200,250,315,400,500,630}),""))</f>
        <v>16</v>
      </c>
      <c r="GT39" t="str">
        <f t="shared" si="84"/>
        <v/>
      </c>
      <c r="GU39" t="str">
        <f t="shared" si="85"/>
        <v/>
      </c>
      <c r="GV39" t="str">
        <f t="shared" si="86"/>
        <v/>
      </c>
      <c r="GW39">
        <f t="shared" si="87"/>
        <v>0</v>
      </c>
      <c r="GX39" t="str">
        <f>IF(OR(B39="",DJ39=""),"",IFERROR(_xlfn.XLOOKUP(DJ39,Модули_умолч[Управление],Модули_умолч[Модель])&amp;"",""))</f>
        <v/>
      </c>
      <c r="GY39">
        <f>IF(DJ39="",1,IFERROR(MAX(0,N(_xlfn.XLOOKUP(DJ39,Модули_умолч[Управление],Модули_умолч[Каналов на линию]))),1))</f>
        <v>1</v>
      </c>
      <c r="GZ39" t="str">
        <f t="shared" si="88"/>
        <v/>
      </c>
      <c r="HA39" t="str">
        <f t="shared" si="89"/>
        <v/>
      </c>
      <c r="HB39" t="str">
        <f t="shared" si="90"/>
        <v/>
      </c>
      <c r="HC39">
        <f>IF(HB39="",0,IFERROR(N(VLOOKUP(HB39,Модули_спр,3,FALSE)),0))</f>
        <v>0</v>
      </c>
      <c r="HD39" t="str">
        <f t="shared" si="91"/>
        <v/>
      </c>
      <c r="HE39" t="str">
        <f t="shared" si="92"/>
        <v/>
      </c>
      <c r="HF39" t="str">
        <f>IF(OR(HE39="",HE39="-"),"",IFERROR(VLOOKUP(HE39,Модули_спр,2,FALSE),"R"))</f>
        <v/>
      </c>
      <c r="HG39" t="str">
        <f>IF(HF39="","",HF39&amp;"."&amp;COUNTIFS(A$3:A39,A39,HF$3:HF39,HF39))</f>
        <v/>
      </c>
      <c r="HH39" t="str">
        <f t="shared" si="93"/>
        <v/>
      </c>
      <c r="HI39" t="str">
        <f t="shared" si="94"/>
        <v/>
      </c>
      <c r="HJ39" t="str">
        <f t="shared" si="95"/>
        <v/>
      </c>
      <c r="HK39" t="str">
        <f t="shared" si="96"/>
        <v/>
      </c>
      <c r="HL39">
        <f t="shared" si="97"/>
        <v>1</v>
      </c>
      <c r="HM39" t="str">
        <f>IF(HL39=1,"XT"&amp;COUNTIFS(A$3:A39,A39,HL$3:HL39,1),"")</f>
        <v>XT8</v>
      </c>
      <c r="HN39" t="str">
        <f t="shared" si="98"/>
        <v>XT8</v>
      </c>
      <c r="HO39" t="str">
        <f t="shared" si="99"/>
        <v/>
      </c>
      <c r="HP39" t="str">
        <f t="shared" si="100"/>
        <v/>
      </c>
      <c r="HQ39" t="str">
        <f t="shared" si="101"/>
        <v>ok</v>
      </c>
      <c r="HR39" t="str">
        <f>IF(OR(HJ39="",HH39=""),"",IF(HJ39+MAX(0,GY39-1)&gt;IFERROR(VLOOKUP(HI39,Модули_спр,3,FALSE),99),"ЛИШНИЙ КАНАЛ",IF(AND(AL39&lt;&gt;"=",GY39&gt;0,COUNTIFS(Линии[_модуль гр.],HH39,Линии[Канал (итог)],HJ39,Линии[Канал],"&lt;&gt;=",Линии[Щит],A39)&gt;1),"ДУБЛЬ КАНАЛА","")))</f>
        <v/>
      </c>
      <c r="HS39" s="6" t="str">
        <f t="shared" si="102"/>
        <v/>
      </c>
      <c r="HT39">
        <f t="shared" si="103"/>
        <v>10</v>
      </c>
      <c r="HU39" t="str">
        <f t="shared" si="104"/>
        <v/>
      </c>
      <c r="HV39">
        <f t="shared" si="105"/>
        <v>0.55232113763882917</v>
      </c>
      <c r="HW39">
        <f t="shared" si="106"/>
        <v>0</v>
      </c>
      <c r="HX39">
        <f t="shared" si="107"/>
        <v>0</v>
      </c>
      <c r="HY39">
        <f t="shared" si="108"/>
        <v>0</v>
      </c>
      <c r="HZ39">
        <f t="shared" si="109"/>
        <v>0</v>
      </c>
      <c r="IA39">
        <f t="shared" si="110"/>
        <v>0</v>
      </c>
      <c r="IB39">
        <f t="shared" si="111"/>
        <v>0</v>
      </c>
      <c r="IC39" t="str">
        <f t="shared" si="112"/>
        <v/>
      </c>
      <c r="ID39" t="str" cm="1">
        <f t="array" ref="ID39">IF(IC39="","",_xlfn.LET(_xlpm.tk,_xlfn.TEXTSPLIT(SUBSTITUTE(SUBSTITUTE(IC39,";"," "),"→"," ")," ",,TRUE),_xlpm.w_,_xlfn._xlws.FILTER(_xlpm.tk,ISNUMBER(--LEFT(_xlpm.tk,1))*((ISNUMBER(SEARCH("W",_xlpm.tk))+ISNUMBER(SEARCH("Вт",_xlpm.tk)))&gt;0),""),IFERROR(--SUBSTITUTE(SUBSTITUTE(UPPER(INDEX(_xlpm.w_,1)),"W",""),"ВТ",""),"")))</f>
        <v/>
      </c>
      <c r="IE39" t="str" cm="1">
        <f t="array" ref="IE39">IF(IC39="","",_xlfn.LET(_xlpm.tk,_xlfn.TEXTSPLIT(SUBSTITUTE(SUBSTITUTE(IC39,";"," "),"→"," ")," ",,TRUE),_xlpm.v_,_xlfn._xlws.FILTER(_xlpm.tk,ISNUMBER(--LEFT(_xlpm.tk,1))*((ISNUMBER(SEARCH("V",_xlpm.tk))+(RIGHT(UPPER(_xlpm.tk))="В"))&gt;0),""),IFERROR(--SUBSTITUTE(SUBSTITUTE(UPPER(INDEX(_xlpm.v_,1)),"V",""),"В",""),"")))</f>
        <v/>
      </c>
      <c r="IF39" s="6" t="str">
        <f>IF(OR(BV39=0,HI39="",HJ39=""),"",IFERROR(N(_xlfn.XLOOKUP(HI39,Каталог!$C$4:$C$500,Каталог!$Q$4:$Q$500)),""))</f>
        <v/>
      </c>
      <c r="IG39" s="6" t="str">
        <f>IF(N(IF39)=0,"",SUMIFS(Линии[Iр, А],Линии[Щит],A39,Линии[_модуль гр.],HH39,Линии[Канал (итог)],HJ39))</f>
        <v/>
      </c>
      <c r="IH39" t="str">
        <f>IF(AND(B39="",HO39=""),"",_xlfn.TEXTJOIN("; ",TRUE,IF(AND(B39&lt;&gt;"",FV39=""),"нет фазы",""),IF(AND(B39&lt;&gt;"",N(GL39)=0,FG39&lt;&gt;"Нет"),"нет мощности",""),IF(AND(HN39&lt;&gt;"",COUNTIFS(Линии[Щит],A39,Линии[Клемма (итог)],HN39)&gt;1),"дубль клеммы "&amp;HN39,""),IF(AND(HQ39&lt;&gt;"",HQ39&lt;&gt;"ok"),HQ39,""),IF(HR39&lt;&gt;"",HR39,""),IF(AND(N(CB39)&gt;=4,N(BX39)=1),CB39&amp;" жил на 1 фазе",""),IF(AND(BC39="R",CG39=1,IF(CS39&lt;&gt;"",N(CV39)&gt;30,OR(N(DA39)=0,N(DA39)&gt;30))),"розетка без дифзащиты до 30 мА",""),IF(AND(CG39=1,N(DA39)&gt;0,ISNUMBER(T39)),IF(T39&gt;N(DA39)/3,"ток утечки "&amp;FIXED(T39,1)&amp;" мА &gt; 1/3 уставки ("&amp;DA39&amp;" мА)",""),""),IF(AND(CH39=1,CS39=""),"«узо»: нет строки с УЗО выше (УЗО 2P 40А 30мА в «Аппаратах»)",""),IF(AND(CS39&lt;&gt;"",CS39=BA39),IF(CT39="","впишите номинал УЗО (УЗО 2P 40А 30мА)",IF(N(CT39)&lt;N(DT39),"УЗО "&amp;CT39&amp;" А &lt; автомата "&amp;DT39&amp;" А перед ним",IF(N(CT39)&lt;N(CX39),"УЗО "&amp;CT39&amp;" А &lt; тока блока "&amp;FIXED(CX39,1)&amp;" А",""))),""),IF(AND(CS39&lt;&gt;"",CS39=BA39,ISNUMBER(CY39)),IF(CY39&gt;N(CV39)/3,"ток утечки блока УЗО "&amp;FIXED(CY39,1)&amp;" мА &gt; 1/3 уставки ("&amp;CV39&amp;" мА)",""),""),IF(AND(CG39=1,N(BV39)+N(IB39)&gt;0,IC39=""),"линии до 50 В без БП: впишите в «Аппараты» (БП 24V 480W)",""),IF(AND(CG39=1,ISNUMBER(ID39),ISNUMBER(U39)),IF(U39&gt;ID39,"БП "&amp;ID39&amp;" Вт &lt; нужно "&amp;U39&amp;" Вт (×"&amp;Запас_БП&amp;")",""),""),IF(AND(CG39=1,ISNUMBER(IE39),N(BV39)=1),IF(IE39&lt;&gt;N(BU39),"БП на "&amp;IE39&amp;" В, линия "&amp;BU39&amp;" В",""),""),IF(AND(N(IF39)&gt;0,N(IG39)&gt;N(IF39)),HH39&amp;" канал "&amp;HJ39&amp;": "&amp;FIXED(IG39,1)&amp;" А &gt; "&amp;IF39&amp;" А",""),IFERROR(IF(AND(ISNUMBER(Q39),Q39&gt;EL39),"потери "&amp;FIXED(Q39,1)&amp;" % &gt; "&amp;EL39&amp;" %",""),""),IFERROR(IF(LEFT(HU39,4)="мало","Iкз мало — отключение &gt; 0,4 с",""),""),IF(AND(B39&lt;&gt;"",BM39=""),"не на схеме",""),IF(AND(CG39=0,B39&lt;&gt;"",FV39&lt;&gt;"",IF(BA39=1,"",FW38)&lt;&gt;"",FV39&lt;&gt;IF(BA39=1,"",FW38)),"фаза не как у автомата группы ("&amp;IF(BA39=1,"",FW38)&amp;")","")))</f>
        <v>не на схеме</v>
      </c>
      <c r="II39" s="6">
        <f>IF(OR(CG39=0,DQ39=""),"",_xlfn.LET(_xlpm.t,IFERROR(_xlfn.XLOOKUP(DQ39,Каталог!$U$4:$U$500,Каталог!$G$4:$G$500),""),_xlpm.k,SEARCH("кА",_xlpm.t),IFERROR(--TRIM(RIGHT(SUBSTITUTE(MID(_xlpm.t,MAX(1,_xlpm.k-4),_xlpm.k-MAX(1,_xlpm.k-4))," ",REPT(" ",9)),5)),"")))</f>
        <v>6</v>
      </c>
      <c r="IJ39" t="str">
        <f>IF(OR(II39="",CG39=0),"",IF(_xlfn.XLOOKUP(A39,Щиты[Щит],Щиты[Iкз max на шинах, кА],"")="","",IF(II39&lt;_xlfn.XLOOKUP(A39,Щиты[Щит],Щиты[Iкз max на шинах, кА]),"Icu "&amp;II39&amp;" кА &lt; Iкз max","ok")))</f>
        <v/>
      </c>
      <c r="IK39" t="str">
        <f t="shared" si="113"/>
        <v/>
      </c>
      <c r="IL39" t="str">
        <f t="shared" si="114"/>
        <v/>
      </c>
      <c r="IM39" t="str">
        <f t="shared" si="115"/>
        <v/>
      </c>
      <c r="IN39" t="str" cm="1">
        <f t="array" ref="IN39">IF(IM39="","",_xlfn.LET(_xlpm.nd,_xlfn.TEXTSPLIT(IM39,"|"),IF(COLUMNS(_xlpm.nd)&gt;1,A39&amp;"¦"&amp;INDEX(_xlpm.nd,1)&amp;"¦"&amp;INDEX(_xlpm.nd,2),"")))</f>
        <v/>
      </c>
      <c r="IO39" t="str">
        <f t="shared" si="116"/>
        <v/>
      </c>
      <c r="IP39" t="str" cm="1">
        <f t="array" ref="IP39">IF(IM39="","",_xlfn.LET(_xlpm.nd,_xlfn.TEXTSPLIT(IM39,"|"),IF(COLUMNS(_xlpm.nd)&gt;2,A39&amp;"¦"&amp;INDEX(_xlpm.nd,2)&amp;"¦"&amp;INDEX(_xlpm.nd,3),"")))</f>
        <v/>
      </c>
      <c r="IQ39" t="str">
        <f t="shared" si="117"/>
        <v/>
      </c>
      <c r="IR39" t="str" cm="1">
        <f t="array" ref="IR39">IF(IM39="","",_xlfn.LET(_xlpm.nd,_xlfn.TEXTSPLIT(IM39,"|"),IF(COLUMNS(_xlpm.nd)&gt;3,A39&amp;"¦"&amp;INDEX(_xlpm.nd,3)&amp;"¦"&amp;INDEX(_xlpm.nd,4),"")))</f>
        <v/>
      </c>
      <c r="IS39" t="str">
        <f t="shared" si="118"/>
        <v/>
      </c>
      <c r="IT39" t="str" cm="1">
        <f t="array" ref="IT39">IF(IM39="","",_xlfn.LET(_xlpm.nd,_xlfn.TEXTSPLIT(IM39,"|"),IF(COLUMNS(_xlpm.nd)&gt;4,A39&amp;"¦"&amp;INDEX(_xlpm.nd,4)&amp;"¦"&amp;INDEX(_xlpm.nd,5),"")))</f>
        <v/>
      </c>
      <c r="IU39" t="str">
        <f t="shared" si="119"/>
        <v/>
      </c>
      <c r="IV39" t="str" cm="1">
        <f t="array" ref="IV39">IF(IM39="","",_xlfn.LET(_xlpm.nd,_xlfn.TEXTSPLIT(IM39,"|"),IF(COLUMNS(_xlpm.nd)&gt;5,A39&amp;"¦"&amp;INDEX(_xlpm.nd,5)&amp;"¦"&amp;INDEX(_xlpm.nd,6),"")))</f>
        <v/>
      </c>
      <c r="IW39" t="str">
        <f t="shared" si="120"/>
        <v/>
      </c>
      <c r="IX39" t="str" cm="1">
        <f t="array" ref="IX39">IF(IM39="","",_xlfn.LET(_xlpm.nd,_xlfn.TEXTSPLIT(IM39,"|"),IF(COLUMNS(_xlpm.nd)&gt;6,A39&amp;"¦"&amp;INDEX(_xlpm.nd,6)&amp;"¦"&amp;INDEX(_xlpm.nd,7),"")))</f>
        <v/>
      </c>
      <c r="IY39" t="str">
        <f t="shared" si="121"/>
        <v/>
      </c>
      <c r="IZ39" t="str">
        <f t="shared" si="122"/>
        <v/>
      </c>
      <c r="JA39" t="str">
        <f t="shared" si="123"/>
        <v>XT8</v>
      </c>
      <c r="JB39">
        <f t="shared" si="124"/>
        <v>0</v>
      </c>
      <c r="JC39">
        <f t="shared" si="125"/>
        <v>0</v>
      </c>
      <c r="JD39" t="str">
        <f t="shared" si="126"/>
        <v/>
      </c>
      <c r="JE39" t="str">
        <f t="shared" si="127"/>
        <v/>
      </c>
      <c r="JF39" t="str">
        <f t="shared" si="128"/>
        <v/>
      </c>
      <c r="JG39" t="str">
        <f t="shared" si="129"/>
        <v/>
      </c>
      <c r="JH39" t="str">
        <f>IF(B39="","",IFERROR(_xlfn.XLOOKUP(B39,Коды_код,Коды_уго),IFERROR(_xlfn.XLOOKUP(BC39,Коды_код,Коды_уго),IFERROR(_xlfn.XLOOKUP(LEFT(BC39,2),Коды_код,Коды_уго),""))))</f>
        <v>Светильник</v>
      </c>
      <c r="JI39" t="str">
        <f>IF(B39="","",IF(OR(JH39="",JH39=0),"BOX",IFERROR(IF(VLOOKUP(JH39,УГО_блоки,3,FALSE)&amp;""&lt;&gt;"",VLOOKUP(JH39,УГО_блоки,3,FALSE),VLOOKUP(JH39,УГО_блоки,2,FALSE)),JH39)))</f>
        <v>LAMP</v>
      </c>
      <c r="JJ39">
        <f t="shared" si="130"/>
        <v>1</v>
      </c>
      <c r="JK39" t="str">
        <f>IF(DQ39="","",IF(COUNTIF(DQ$3:DQ39,DQ39)=1,MAX(JK$2:JK38)+1,""))</f>
        <v/>
      </c>
      <c r="JL39" t="str">
        <f>IF(DE39="","",IF(COUNTIF(DE$3:DE39,DE39)+COUNTIF(DF$2:DF38,DE39)+COUNTIF(DG$2:DG38,DE39)=1,MAX(JL$2:JN38)+1,""))</f>
        <v/>
      </c>
      <c r="JM39" t="str">
        <f>IF(DF39="","",IF(COUNTIF(DE$3:DE39,DF39)+COUNTIF(DF$3:DF39,DF39)+COUNTIF(DG$2:DG38,DF39)=1,MAX(JL$2:JN38,JL39)+1,""))</f>
        <v/>
      </c>
      <c r="JN39" t="str">
        <f>IF(DG39="","",IF(COUNTIF(DE$3:DE39,DG39)+COUNTIF(DF$3:DF39,DG39)+COUNTIF(DG$3:DG39,DG39)=1,MAX(JL$2:JN38,JL39,JM39)+1,""))</f>
        <v/>
      </c>
      <c r="JO39" t="str">
        <f t="shared" si="131"/>
        <v>3х1,5</v>
      </c>
      <c r="JP39" t="str">
        <f>IF(JO39="","",IF(COUNTIF(JO$3:JO39,JO39)=1,MAX(JP$2:JP38)+1,""))</f>
        <v/>
      </c>
      <c r="JQ39" t="str">
        <f>IF(HG39="","",COUNTIF(HG$3:HG39,"?*"))</f>
        <v/>
      </c>
      <c r="JR39" t="str">
        <f>IF(OR(HG39="",HI39=""),"",IF(COUNTIFS(HG$3:HG39,"?*",HI$3:HI39,HI39)=1,MAX(JR$2:JR38)+1,""))</f>
        <v/>
      </c>
      <c r="JS39">
        <f t="shared" si="132"/>
        <v>1</v>
      </c>
      <c r="JT39">
        <f>IF(B39="","",COUNTIF(B$3:B39,"?*"))</f>
        <v>37</v>
      </c>
      <c r="JU39">
        <f>IF(HL39&lt;&gt;1,0,_xlfn.LET(_xlpm.k,MAX(IFERROR(--_xlfn.XLOOKUP(B39,Коды_код,Коды_3L),0),IFERROR(--_xlfn.XLOOKUP(BC39,Коды_код,Коды_3L),0),IFERROR(--_xlfn.XLOOKUP(LEFT(BC39,2),Коды_код,Коды_3L),0)),IF(_xlpm.k&gt;0,_xlpm.k,IF(IFERROR(--LEFT(SUBSTITUTE(JO39,"x","х"),FIND("х",SUBSTITUTE(JO39,"x","х"))-1),3)&gt;3,Каталог!$S$9,1))))</f>
        <v>1</v>
      </c>
      <c r="JV39">
        <f t="shared" si="133"/>
        <v>0</v>
      </c>
      <c r="JW39" t="str">
        <f t="shared" si="134"/>
        <v>авто</v>
      </c>
      <c r="JX39" t="str">
        <f t="shared" si="135"/>
        <v/>
      </c>
      <c r="JY39">
        <f t="shared" si="136"/>
        <v>0</v>
      </c>
      <c r="JZ39">
        <f t="shared" si="137"/>
        <v>1</v>
      </c>
    </row>
    <row r="40" spans="1:286" x14ac:dyDescent="0.3">
      <c r="A40" t="s">
        <v>1109</v>
      </c>
      <c r="B40" t="s">
        <v>1354</v>
      </c>
      <c r="C40" t="str">
        <f>Линии[[#This Row],[_авто наименование]]</f>
        <v>Осветительная группа, пом. 004Б</v>
      </c>
      <c r="D40">
        <v>8</v>
      </c>
      <c r="E40">
        <v>0.1</v>
      </c>
      <c r="G40" t="str">
        <f>Линии[[#This Row],[_авто автомат]]</f>
        <v>1P С10А</v>
      </c>
      <c r="H40" t="str">
        <f>Линии[[#This Row],[_авто управление]]</f>
        <v/>
      </c>
      <c r="I40" t="str">
        <f>Линии[[#This Row],[_авто аппараты]]</f>
        <v/>
      </c>
      <c r="J40">
        <v>1.5</v>
      </c>
      <c r="K40">
        <v>51</v>
      </c>
      <c r="L40" t="str">
        <f>Линии[[#This Row],[_авто фаза]]</f>
        <v>L3</v>
      </c>
      <c r="M40" t="str">
        <f>Линии[[#This Row],[_авто клемма]]</f>
        <v>XT9</v>
      </c>
      <c r="N40" t="str">
        <f t="shared" si="0"/>
        <v>не на схеме</v>
      </c>
      <c r="O40" s="6" cm="1">
        <f t="array" ref="O40">IF(B40="","",IF(BH40&lt;&gt;"",IFERROR(_xlfn.XLOOKUP(BH40,Щиты[Щит],Щиты[Iр, А]),""),IF(BP40=1,IF(OR(N(_xlfn.XLOOKUP(A40,Щиты[Щит],Щиты[Вводов],1))&lt;=1,LOWER(TRIM(_xlfn.XLOOKUP(A40,Щиты[Щит],Щиты[АВР],"")&amp;""))="да"),IFERROR(_xlfn.XLOOKUP(A40,Щиты[Щит],Щиты[Iр, А]),""),IFERROR(N(BS40)*_xlfn.XLOOKUP(A40,Щиты[Щит],Щиты[Кс итог])/(SQRT(3)*Uн_лин*_xlfn.XLOOKUP(A40,Щиты[Щит],Щиты[cos φ])),"")),IF(BV40=1,IFERROR(BS40*1000/BU40,""),IFERROR(_xlfn.IFS(BX40=1,BS40/((Uн_лин/SQRT(3))*CE40),BX40=3,BS40/(SQRT(3)*Uн_лин*CE40)),"")))))</f>
        <v>0.455802844097073</v>
      </c>
      <c r="P40" s="7">
        <f>IF(B40="","",IFERROR(IF(VLOOKUP(BC40,Потребители_обозначение,4,FALSE)=1,VLOOKUP(BC40,Потребители_обозначение,3,FALSE)*(MAX(1,N(D40))*2-1)+EI40+VLOOKUP(BE40,Этаж_обозначение,3,FALSE)+VLOOKUP(BE40,Этаж_обозначение,4,FALSE),VLOOKUP(BC40,Потребители_обозначение,3,FALSE)*(MAX(1,N(D40))*2-1)+EI40),EI40))</f>
        <v>66</v>
      </c>
      <c r="Q40" s="6">
        <f t="shared" si="1"/>
        <v>0.55000000000000004</v>
      </c>
      <c r="R40" t="str">
        <f t="shared" si="2"/>
        <v>ВВГнг(А)-LS (3х1,5)</v>
      </c>
      <c r="S40" t="str">
        <f>IF(BM40="","",IF(BN40="вводной узел","узел ","")&amp;"л."&amp;(INT((BM40-1)/Столбцов_на_лист)+1)&amp;" / "&amp;(MOD(BM40-1,Столбцов_на_лист)+1))</f>
        <v/>
      </c>
      <c r="T40" s="119">
        <f t="shared" si="3"/>
        <v>0.8</v>
      </c>
      <c r="U40" s="7" t="str">
        <f>IF(OR(CG40=0,N(BV40)+N(IB40)=0),"",ROUNDUP(Запас_БП*(N(HY40)+N(HZ40)),0))</f>
        <v/>
      </c>
      <c r="V40" s="119" t="str">
        <f t="shared" si="4"/>
        <v/>
      </c>
      <c r="W40" s="7" t="str">
        <f>IFERROR(IF(OR(B40="",BP40=1,BV40=1,NOT(ISNUMBER(EN40)),N(DT40)=0),"",MAX(0,ROUNDDOWN((c_min*(Uн_лин*1000/SQRT(3))/(HT40*N(DT40))-_xlfn.XLOOKUP(A40,Щиты[Щит],Щиты[Zпетли на шинах, Ом]))*EN40/(2*ρкз_Cu),0))),"")</f>
        <v/>
      </c>
      <c r="Y40" t="str">
        <f>Линии[[#This Row],[_авто утечка]]</f>
        <v/>
      </c>
      <c r="Z40">
        <v>1</v>
      </c>
      <c r="AA40">
        <v>230</v>
      </c>
      <c r="AB40" t="s">
        <v>562</v>
      </c>
      <c r="AI40" t="s">
        <v>555</v>
      </c>
      <c r="AK40" t="str">
        <f>Линии[[#This Row],[_авто модуль]]</f>
        <v/>
      </c>
      <c r="AM40" t="s">
        <v>527</v>
      </c>
      <c r="AN40" t="s">
        <v>11</v>
      </c>
      <c r="AO40">
        <v>3</v>
      </c>
      <c r="AQ40">
        <v>17</v>
      </c>
      <c r="AR40">
        <v>0</v>
      </c>
      <c r="AS40">
        <v>60</v>
      </c>
      <c r="BA40" cm="1">
        <f t="array" ref="BA40">ROW()-ROW(Линии[#Headers])</f>
        <v>38</v>
      </c>
      <c r="BC40" s="6" t="str">
        <f t="shared" si="5"/>
        <v>L</v>
      </c>
      <c r="BD40" t="str">
        <f t="shared" si="6"/>
        <v>00.004Б.1</v>
      </c>
      <c r="BE40" t="str">
        <f t="shared" si="7"/>
        <v>00</v>
      </c>
      <c r="BF40" t="str">
        <f t="shared" si="8"/>
        <v>004Б.1</v>
      </c>
      <c r="BG40" t="str">
        <f t="shared" si="9"/>
        <v>004Б</v>
      </c>
      <c r="BH40" t="str">
        <f>IF(X40&lt;&gt;"",X40,IF(AND(B40&lt;&gt;"",B40&lt;&gt;A40,ISNUMBER(_xlfn.XMATCH(B40,Щиты[Щит]))),B40,""))</f>
        <v/>
      </c>
      <c r="BI40" t="str" cm="1">
        <f t="array" ref="BI40">IF(B40="","",IF(BH40&lt;&gt;"","Щит "&amp;BH40,_xlfn.LET(_xlpm.nm,IFERROR(_xlfn.XLOOKUP(BC40,Коды_код,Коды_имя)&amp;"",""),_xlpm.md,IFERROR(N(_xlfn.XLOOKUP(BC40,Коды_код,Коды_режим)),1),_xlpm.ex,IF(Имя_режим="по экспликации",IFERROR(_xlfn.XLOOKUP(BE40&amp;"|"&amp;BG40,Экспликация[Этаж]&amp;"|"&amp;Экспликация[Помещение],Экспликация[Название])&amp;"",""),""),_xlpm.rm,IF(BG40="","",IF(_xlpm.ex&lt;&gt;"",". "&amp;_xlpm.ex&amp;IF(Имя_пом="нет"," ("&amp;BG40&amp;")"," (пом. "&amp;BG40&amp;")"),IF(Имя_пом="нет"," ",", пом. ")&amp;BG40)),IF(_xlpm.nm="","",IF(_xlpm.md=2,_xlpm.nm&amp;" шлейф "&amp;BE40,_xlpm.nm&amp;_xlpm.rm)))))</f>
        <v>Осветительная группа, пом. 004Б</v>
      </c>
      <c r="BJ40" t="str">
        <f t="shared" si="10"/>
        <v>Осветительная группа, пом. 004Б</v>
      </c>
      <c r="BK40">
        <f>IFERROR(_xlfn.XMATCH(A40,Щиты[Щит]),0)</f>
        <v>3</v>
      </c>
      <c r="BL40">
        <f>_xlfn.LET(_xlpm.k,IFERROR(_xlfn.XLOOKUP(A40,Щиты[Щит],Щиты[Мест под вводной узел]),""),IF(_xlpm.k="",Столбцов_на_лист,N(_xlpm.k)))</f>
        <v>17</v>
      </c>
      <c r="BM40" t="str">
        <f t="shared" si="11"/>
        <v/>
      </c>
      <c r="BN40" t="str">
        <f t="shared" si="12"/>
        <v/>
      </c>
      <c r="BO40" s="6">
        <f>IFERROR(N(_xlfn.XLOOKUP(BC40,Коды_код,Коды_квт)),0)</f>
        <v>0</v>
      </c>
      <c r="BP40">
        <f t="shared" si="13"/>
        <v>0</v>
      </c>
      <c r="BQ40" t="str">
        <f>IF(B40="","",IF(BH40&lt;&gt;"",IFERROR(_xlfn.XLOOKUP(BH40,Щиты[Щит],Щиты[Руст, кВт]),0),IF(BP40=1,IF(OR(N(_xlfn.XLOOKUP(A40,Щиты[Щит],Щиты[Вводов],1))&lt;=1,LOWER(TRIM(_xlfn.XLOOKUP(A40,Щиты[Щит],Щиты[АВР],"")&amp;""))="да"),IFERROR(_xlfn.XLOOKUP(A40,Щиты[Щит],Щиты[Руст, кВт]),0),SUMIFS(Линии[_Р для вводов],Линии[Щит],A40,Линии[Источник для режимов],GF40)),IF(BO40&gt;0,ROUND(BO40*MAX(1,N(D40)),3),""))))</f>
        <v/>
      </c>
      <c r="BR40">
        <f t="shared" si="14"/>
        <v>0.1</v>
      </c>
      <c r="BS40" s="6">
        <f>IF(B40="","",IF(BH40&lt;&gt;"",IFERROR(_xlfn.XLOOKUP(BH40,Щиты[Щит],Щиты[Руст, кВт]),0),N(BR40)))</f>
        <v>0.1</v>
      </c>
      <c r="BT40" t="str">
        <f>IF(B40="","",IFERROR(IF(VLOOKUP(BC40,Потребители_обозначение,8,FALSE)=0,"",VLOOKUP(BC40,Потребители_обозначение,8,FALSE)),""))</f>
        <v/>
      </c>
      <c r="BU40">
        <f t="shared" si="15"/>
        <v>230</v>
      </c>
      <c r="BV40">
        <f t="shared" si="16"/>
        <v>0</v>
      </c>
      <c r="BW40">
        <f>IF(B40="","",IF(BH40&lt;&gt;"",3,IFERROR(IF(N(VLOOKUP(BC40,Потребители_обозначение,9,FALSE))=0,1,VLOOKUP(BC40,Потребители_обозначение,9,FALSE)),1)))</f>
        <v>1</v>
      </c>
      <c r="BX40">
        <f t="shared" si="17"/>
        <v>1</v>
      </c>
      <c r="BY40" t="str">
        <f>IF(B40="","",_xlfn.LET(_xlpm.bc,IFERROR(IF(VLOOKUP(BC40,Потребители_обозначение,6,FALSE)=0,"",VLOOKUP(BC40,Потребители_обозначение,6,FALSE)&amp;""),""),IF(AND(GA40="да",OR(_xlpm.bc="",_xlpm.bc="мс")),Марка_пож,IF(AND(_xlpm.bc="",BH40&lt;&gt;""),"мс",_xlpm.bc))))</f>
        <v/>
      </c>
      <c r="BZ40" t="str">
        <f t="shared" si="18"/>
        <v>мс</v>
      </c>
      <c r="CA40">
        <f>IF(B40="","",_xlfn.LET(_xlpm.cc,IFERROR(N(VLOOKUP(BC40,Потребители_обозначение,7,FALSE)),0),IF(_xlpm.cc&gt;0,_xlpm.cc,IF(BZ40="","",IF(BV40=1,2,IF(N(BX40)=3,5,3))))))</f>
        <v>3</v>
      </c>
      <c r="CB40">
        <f t="shared" si="19"/>
        <v>3</v>
      </c>
      <c r="CC40">
        <f>IFERROR(N(VLOOKUP(BC40,Потребители_обозначение,10,FALSE)),0)</f>
        <v>0</v>
      </c>
      <c r="CD40">
        <f>IFERROR(VLOOKUP(BC40,Потребители_обозначение,5,FALSE),0)</f>
        <v>3</v>
      </c>
      <c r="CE40" s="6" cm="1">
        <f t="array" ref="CE40">IF(B40="","",IF(BH40&lt;&gt;"",IFERROR(_xlfn.XLOOKUP(BH40,Щиты[Щит],Щиты[cos φ]),0.95),IF(BP40=1,IFERROR(_xlfn.XLOOKUP(A40,Щиты[Щит],Щиты[cos φ]),0.95),IF(ISNUMBER(AD40),AD40,IFERROR(IF(CD40=2,_xlfn.IFS(BX40=3,VLOOKUP(BS40,Справочная_двигатели,8,FALSE),BX40=1,VLOOKUP(BS40,Справочная_двигатели,10,TRUE)),IF(AND(Методика="нормы 2026",FG40="Сил"),0.8,0.95)),0.95)))))</f>
        <v>0.95</v>
      </c>
      <c r="CF40">
        <f t="shared" si="20"/>
        <v>0</v>
      </c>
      <c r="CG40">
        <f t="shared" si="21"/>
        <v>1</v>
      </c>
      <c r="CH40">
        <f t="shared" si="22"/>
        <v>0</v>
      </c>
      <c r="CI40">
        <f>IF(B40="","",IF(BV40=1,IFERROR(BS40/((Uн_лин/SQRT(3))*MAX(0.5,N(CE40))),0),N(O40)))</f>
        <v>0.455802844097073</v>
      </c>
      <c r="CJ40">
        <f t="shared" si="23"/>
        <v>0</v>
      </c>
      <c r="CK40">
        <f t="shared" si="24"/>
        <v>0</v>
      </c>
      <c r="CL40">
        <f t="shared" si="25"/>
        <v>0</v>
      </c>
      <c r="CM40">
        <f t="shared" si="26"/>
        <v>0</v>
      </c>
      <c r="CN40">
        <f t="shared" si="27"/>
        <v>0</v>
      </c>
      <c r="CO40">
        <f>IF(BC40="",0,_xlfn.LET(_xlpm.v,IFERROR(_xlfn.XLOOKUP(B40,Коды_код,Коды_мА),IFERROR(_xlfn.XLOOKUP(BC40,Коды_код,Коды_мА),IFERROR(_xlfn.XLOOKUP(LEFT(BC40,2),Коды_код,Коды_мА),""))),IF(_xlpm.v="да",30,IF(ISNUMBER(_xlpm.v),_xlpm.v,0))))</f>
        <v>0</v>
      </c>
      <c r="CP40" t="str">
        <f t="shared" si="28"/>
        <v/>
      </c>
      <c r="CQ40" t="str">
        <f>_xlfn.LET(_xlpm.k,IFERROR(_xlfn.XLOOKUP(BC40,Коды_код,Коды_утечка)&amp;"",""),IF(_xlpm.k="","дифавтомат",_xlpm.k))</f>
        <v>дифавтомат</v>
      </c>
      <c r="CR40" t="str" cm="1">
        <f t="array" ref="CR40">IF(CG40=0,"",_xlfn.LET(_xlpm.sg,TRIM(_xlfn.TEXTSPLIT(DD40&amp;"",";")),_xlpm.f_,_xlfn._xlws.FILTER(_xlpm.sg,LEFT(_xlpm.sg,3)="УЗО",""),IFERROR(INDEX(_xlpm.f_,1)&amp;"","")))</f>
        <v/>
      </c>
      <c r="CS40" t="str">
        <f t="shared" si="29"/>
        <v/>
      </c>
      <c r="CT40" s="6" t="str" cm="1">
        <f t="array" ref="CT40">IF(CR40="","",_xlfn.LET(_xlpm.tk,_xlfn.TEXTSPLIT(UPPER(CR40)," ",,TRUE),_xlpm.a_,_xlfn._xlws.FILTER(_xlpm.tk,ISNUMBER(--LEFT(_xlpm.tk,1))*((ISNUMBER(SEARCH("А",_xlpm.tk))+ISNUMBER(SEARCH("A",_xlpm.tk)))&gt;0)*NOT(ISNUMBER(SEARCH("МА",_xlpm.tk)))*NOT(ISNUMBER(SEARCH("MA",_xlpm.tk))),""),IFERROR(--SUBSTITUTE(SUBSTITUTE(INDEX(_xlpm.a_,1),"А",""),"A",""),"")))</f>
        <v/>
      </c>
      <c r="CU40" t="str" cm="1">
        <f t="array" ref="CU40">IF(CR40="","",_xlfn.LET(_xlpm.tk,_xlfn.TEXTSPLIT(UPPER(CR40)," ",,TRUE),_xlpm.a_,_xlfn._xlws.FILTER(_xlpm.tk,ISNUMBER(--LEFT(_xlpm.tk,1))*((ISNUMBER(SEARCH("МА",_xlpm.tk))+ISNUMBER(SEARCH("MA",_xlpm.tk)))&gt;0),""),IFERROR(--SUBSTITUTE(SUBSTITUTE(INDEX(_xlpm.a_,1),"МА",""),"MA",""),30)))</f>
        <v/>
      </c>
      <c r="CV40" t="str">
        <f>IF(CS40="","",IFERROR(_xlfn.XLOOKUP(CS40,Линии[_n],Линии[_УЗО, мА]),30))</f>
        <v/>
      </c>
      <c r="CW40">
        <f>IF(CS40="",0,IF(ISNUMBER(SEARCH("4P",IFERROR(_xlfn.XLOOKUP(CS40,Линии[_n],Линии[_УЗО строки])&amp;"",""))),0,1))</f>
        <v>0</v>
      </c>
      <c r="CX40" t="str">
        <f>IF(AND(CS40&lt;&gt;"",CS40=BA40),SUMIFS(Линии[_ток на 230 В],Линии[_блок УЗО],BA40,Линии[Щит],A40),"")</f>
        <v/>
      </c>
      <c r="CY40" t="str">
        <f>IF(AND(CS40&lt;&gt;"",CS40=BA40),SUMIFS(Линии[_ток утечки линии, мА],Линии[_блок УЗО],BA40,Линии[Щит],A40),"")</f>
        <v/>
      </c>
      <c r="CZ40">
        <f t="shared" si="30"/>
        <v>0</v>
      </c>
      <c r="DA40">
        <f t="shared" si="31"/>
        <v>0</v>
      </c>
      <c r="DB40">
        <f>IF(B40="",0,IFERROR(--_xlfn.XLOOKUP(B40,Коды_код,Коды_минавт),IFERROR(--_xlfn.XLOOKUP(BC40,Коды_код,Коды_минавт),IFERROR(--_xlfn.XLOOKUP(LEFT(BC40,2),Коды_код,Коды_минавт),0))))</f>
        <v>10</v>
      </c>
      <c r="DC40" t="str">
        <f>IF(B40="","",IFERROR(_xlfn.XLOOKUP(BC40,Коды_код,Коды_апп)&amp;"",""))</f>
        <v/>
      </c>
      <c r="DD40" t="str">
        <f t="shared" si="32"/>
        <v/>
      </c>
      <c r="DE40" t="str" cm="1">
        <f t="array" ref="DE40">IF(TRIM(DD40&amp;"")="","",IFERROR(TRIM(INDEX(_xlfn.TEXTSPLIT(DD40&amp;";;;",";"),1)),""))</f>
        <v/>
      </c>
      <c r="DF40" t="str" cm="1">
        <f t="array" ref="DF40">IF(TRIM(DD40&amp;"")="","",IFERROR(TRIM(INDEX(_xlfn.TEXTSPLIT(DD40&amp;";;;",";"),2)),""))</f>
        <v/>
      </c>
      <c r="DG40" t="str" cm="1">
        <f t="array" ref="DG40">IF(TRIM(DD40&amp;"")="","",IFERROR(TRIM(INDEX(_xlfn.TEXTSPLIT(DD40&amp;";;;",";"),3)),""))</f>
        <v/>
      </c>
      <c r="DH40">
        <f t="shared" si="33"/>
        <v>0</v>
      </c>
      <c r="DI40" t="str">
        <f>IF(B40="","",_xlfn.LET(_xlpm.t,LOWER(AZ40&amp;""),IF(ISNUMBER(SEARCH("dim",_xlpm.t)),"DIM",IF(ISNUMBER(SEARCH("dali",_xlpm.t)),"DALI",IF(OR(ISNUMBER(SEARCH("relay",_xlpm.t)),ISNUMBER(SEARCH("реле",_xlpm.t))),"Relay",IF(ISNUMBER(SEARCH("кнопк",_xlpm.t)),"",IFERROR(_xlfn.XLOOKUP(BC40,Коды_код,Коды_упр)&amp;"","")))))))</f>
        <v/>
      </c>
      <c r="DJ40" t="str">
        <f t="shared" si="34"/>
        <v/>
      </c>
      <c r="DK40">
        <f>IF(B40="","",_xlfn.LET(_xlpm.ig,IF(N(CX40)&gt;0,N(CX40),N(CI40)+IF(AJ40="вручную",0,N(CJ40))),_xlpm.n0,IFERROR(VLOOKUP(_xlpm.ig,Автомат_номиналы,2,TRUE),0),_xlpm.mn,MAX(DB40,IF(AJ40="вручную",0,N(CM40))),MAX(_xlpm.n0,_xlpm.mn,IF(DH40=1,Мин_автомат_БП,0))))</f>
        <v>10</v>
      </c>
      <c r="DL40">
        <f t="shared" si="35"/>
        <v>1</v>
      </c>
      <c r="DM40" t="str">
        <f t="shared" si="36"/>
        <v>1P</v>
      </c>
      <c r="DN40" t="str">
        <f>_xlfn.LET(_xlpm.cc,UPPER(TRIM(IFERROR(_xlfn.XLOOKUP(BC40,Коды_код,Коды_хар)&amp;"",""))),IF(OR(_xlpm.cc="B",_xlpm.cc="В"),"B",IF(_xlpm.cc="D","D","С")))</f>
        <v>С</v>
      </c>
      <c r="DO40" t="str">
        <f t="shared" si="37"/>
        <v>1P С10А</v>
      </c>
      <c r="DP40" t="str">
        <f t="shared" si="38"/>
        <v>1P С10А</v>
      </c>
      <c r="DQ40" t="str">
        <f t="shared" si="39"/>
        <v>1P С10А</v>
      </c>
      <c r="DR40" cm="1">
        <f t="array" ref="DR40">IF(DQ40="","",_xlfn.LET(_xlpm.t,SUBSTITUTE(SUBSTITUTE(SUBSTITUTE(UPPER(DQ40),"С","C"),"А","A"),"В","B"),_xlpm.tk,_xlfn.TEXTSPLIT(_xlpm.t," "),_xlpm.f,_xlfn._xlws.FILTER(_xlpm.tk,ISNUMBER(--MID(_xlpm.tk,2,1))*ISNUMBER(SEARCH(LEFT(_xlpm.tk,1)&amp;"#","B#C#D#"))*(LEN(_xlpm.tk)&gt;1),""),_xlpm.x,INDEX(_xlpm.f,1),IFERROR(--SUBSTITUTE(MID(_xlpm.x,2,9),"A",""),IFERROR(--SUBSTITUTE(INDEX(_xlfn._xlws.FILTER(_xlpm.tk,ISNUMBER(--SUBSTITUTE(_xlpm.tk,"A","")),""),1),"A",""),""))))</f>
        <v>10</v>
      </c>
      <c r="DS40" t="str">
        <f t="shared" si="40"/>
        <v>ok</v>
      </c>
      <c r="DT40">
        <f t="shared" si="41"/>
        <v>10</v>
      </c>
      <c r="DU40" t="str">
        <f t="shared" si="42"/>
        <v>1P С10А</v>
      </c>
      <c r="DV40">
        <f t="shared" si="43"/>
        <v>0</v>
      </c>
      <c r="DW40">
        <f t="shared" si="44"/>
        <v>0</v>
      </c>
      <c r="DX40">
        <f t="shared" si="45"/>
        <v>0</v>
      </c>
      <c r="DY40">
        <f t="shared" si="46"/>
        <v>0.455802844097073</v>
      </c>
      <c r="DZ40">
        <f t="shared" si="47"/>
        <v>1</v>
      </c>
      <c r="EA40">
        <f>IF(ISNUMBER(AP40),AP40,К_прокл)</f>
        <v>1</v>
      </c>
      <c r="EB40">
        <f t="shared" si="48"/>
        <v>2</v>
      </c>
      <c r="EC40">
        <f>IFERROR(N(VLOOKUP(BZ40,Кабель_обозначение,3,FALSE)),1)</f>
        <v>1</v>
      </c>
      <c r="ED40">
        <f>IFERROR(N(_xlfn.XLOOKUP(A40,Щиты[Щит],Щиты[ΔU до шин, %])),0)</f>
        <v>0.17</v>
      </c>
      <c r="EE40" t="str">
        <f>IFERROR(_xlfn.XLOOKUP(A40,Щиты[Щит],Щиты[Zпетли на шинах, Ом]),"")</f>
        <v/>
      </c>
      <c r="EF40">
        <f>IFERROR(N(_xlfn.XLOOKUP(A40,Щиты[Щит],Щиты[ΔU до шин (подбор), %])),0)</f>
        <v>0.65</v>
      </c>
      <c r="EG40" t="str">
        <f>IFERROR(_xlfn.XLOOKUP(A40,Щиты[Щит],Щиты[Zпетли на шинах (подбор), Ом]),"")</f>
        <v/>
      </c>
      <c r="EH40" t="str">
        <f t="shared" si="49"/>
        <v/>
      </c>
      <c r="EI40">
        <f t="shared" si="50"/>
        <v>51</v>
      </c>
      <c r="EJ40">
        <f t="shared" si="51"/>
        <v>2</v>
      </c>
      <c r="EK40">
        <f t="shared" si="52"/>
        <v>0.31</v>
      </c>
      <c r="EL40" s="6">
        <f>IF(B40="","",IF(BV40=1,dU_LED,IF(IFERROR(_xlfn.XLOOKUP(BC40,Коды_код,Коды_уго),"")="Светильник",3,4)+IF(Методика="нормы 2026",MIN(0.5,MAX(0,N(P40)-100)*0.005),0)))</f>
        <v>3</v>
      </c>
      <c r="EM40" cm="1">
        <f t="array" ref="EM40">IF(OR(B40="",BZ40="",EC40&lt;&gt;1),"",_xlfn.LET(_xlpm.sz,Iдоп_S,_xlpm.t_,CHOOSE(EB40,Iдоп_1ж,Iдоп_2ж,Iдоп_3ж)*DZ40*EA40,_xlpm.dcx,BV40=1,_xlpm.inn,IF(_xlpm.dcx,N(O40),N(DT40)),_xlpm.smin,MAX(1.5,CC40),_xlpm.L_,N(P40)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40)/N(BU40)*100,999),IFERROR(N(EJ40)*(_xlpm.rho*_xlpm.L_/_xlpm.sz*N(CE40)+_xlpm.xx*_xlpm.L_*N(EK40)/1000)*N(O40)/((Uн_лин/SQRT(3))*1000)*100,999)),_xlpm.kz,IF(OR(_xlpm.dcx,DW40=1,NOT(ISNUMBER(EG40)),_xlpm.L_=0,_xlpm.inn=0),1,IFERROR(--(c_min*(Uн_лин*1000/SQRT(3))/(EG40+2*ρкз_Cu*_xlpm.L_/_xlpm.sz)&gt;=HT40*_xlpm.inn),0)),_xlpm.ok,IFERROR((_xlpm.sz&gt;=_xlpm.smin)*(_xlpm.t_&gt;=_xlpm.inn)*IF(_xlpm.L_&gt;0,(_xlpm.du_+IF(_xlpm.dcx,0,EF40)&lt;=EL40+0.00001),1)*_xlpm.kz,0),_xlpm.r_,_xlfn._xlws.FILTER(_xlpm.sz,_xlpm.ok,"не подобрано"),INDEX(_xlpm.r_,1)))</f>
        <v>1.5</v>
      </c>
      <c r="EN40">
        <f t="shared" si="53"/>
        <v>1.5</v>
      </c>
      <c r="EO40" cm="1">
        <f t="array" ref="EO40">IF(OR(B40="",BZ40="",EC40&lt;&gt;1),"",_xlfn.LET(_xlpm.sz,Iдоп_S,_xlpm.t_,CHOOSE(EB40,Iдоп_1ж,Iдоп_2ж,Iдоп_3ж)*DZ40*EA40,_xlpm.ok,IFERROR((_xlpm.sz&gt;=MAX(1.5,CC40))*(_xlpm.t_&gt;=N(DT40)),0),_xlpm.r_,_xlfn._xlws.FILTER(_xlpm.sz,_xlpm.ok,""),INDEX(_xlpm.r_,1)))</f>
        <v>1.5</v>
      </c>
      <c r="EP40" s="6" cm="1">
        <f t="array" ref="EP40">IFERROR(ROUNDUP(N(EJ40)*(_xlfn.XLOOKUP(EO40,INDEX(Кабель_сопротивление,0,1),INDEX(Кабель_сопротивление,0,3))*N(P40)/EO40*N(CE40)+_xlfn.XLOOKUP(EO40,INDEX(Кабель_сопротивление,0,1),INDEX(Кабель_сопротивление,0,2))*N(P40)*N(EK40)/1000)*N(O40)/((Uн_лин/SQRT(3))*1000)*100,2),"")</f>
        <v>0.38</v>
      </c>
      <c r="EQ40">
        <f>IFERROR(2*ρкз_Cu*N(P40)/EO40,"")</f>
        <v>2.3144</v>
      </c>
      <c r="ER40">
        <f>IFERROR(VLOOKUP(EN40,Кабель_сопротивление,3,FALSE),"")</f>
        <v>2.2499999999999999E-2</v>
      </c>
      <c r="ES40">
        <f>IFERROR(VLOOKUP(EN40,Кабель_сопротивление,2,FALSE),"")</f>
        <v>0.11</v>
      </c>
      <c r="ET40">
        <f t="shared" si="54"/>
        <v>0</v>
      </c>
      <c r="EU40">
        <f t="shared" si="55"/>
        <v>60</v>
      </c>
      <c r="EV40">
        <f t="shared" si="56"/>
        <v>0.8594168095084439</v>
      </c>
      <c r="EW40" s="6">
        <f>IFERROR(ROUNDUP(EV40/IF(BV40=1,BU40,(Uн_лин/SQRT(3))*1000)*100,2),"")</f>
        <v>0.38</v>
      </c>
      <c r="EX40" t="str">
        <f>IFERROR(VLOOKUP(BZ40,Кабель_обозначение,2,FALSE),"")</f>
        <v>ВВГнг(А)-LS</v>
      </c>
      <c r="EY40" t="str">
        <f t="shared" si="57"/>
        <v>ВВГнг(А)-LS (3х1,5)</v>
      </c>
      <c r="EZ40" t="str">
        <f t="shared" si="58"/>
        <v>ВВГнг(А)-LS (3х1,5)
L=66-0,38%</v>
      </c>
      <c r="FA40">
        <f>IFERROR(2*ρкз_Cu*P40/EN40,"")</f>
        <v>2.3144</v>
      </c>
      <c r="FB40">
        <f t="shared" si="59"/>
        <v>0.77</v>
      </c>
      <c r="FC40" s="6" t="str">
        <f>IFERROR(IF(OR(B40="",BV40=1,NOT(ISNUMBER(EN40)),N(P40)=0),"",_xlfn.XLOOKUP(A40,Щиты[Щит],Щиты[Zпетли на шинах, Ом])+FA40),"")</f>
        <v/>
      </c>
      <c r="FD40" s="6" t="str">
        <f>IF(ISNUMBER(FC40),c_min*(Uн_лин*1000/SQRT(3))/FC40,"")</f>
        <v/>
      </c>
      <c r="FE40" s="6" t="str">
        <f>IFERROR(IF(OR(B40="",NOT(ISNUMBER(EN40))),"",1.05*(Uн_лин*1000/SQRT(3))/(_xlfn.XLOOKUP(A40,Щиты[Щит],Щиты[Zmax на шинах, Ом])+FB40)/1000),"")</f>
        <v/>
      </c>
      <c r="FF40" s="6" t="str">
        <f>IF(B40="","",IF(ISNUMBER(AC40),"Сил",IF(IFERROR(_xlfn.XLOOKUP(BC40,Коды_код,Коды_группа)&amp;"","")="","Быт",_xlfn.XLOOKUP(BC40,Коды_код,Коды_группа)&amp;"")))</f>
        <v>Быт</v>
      </c>
      <c r="FG40" s="6" t="str">
        <f t="shared" si="60"/>
        <v>Быт</v>
      </c>
      <c r="FH40" s="6">
        <f>IF(FG40="Щит","щит",IF(FG40="","",IF(FG40="Быт",IFERROR(_xlfn.XLOOKUP(A40,Щиты[Щит],Щиты[Кс быт]),1),IF(FG40="Сил",IF(ISNUMBER(AC40),AC40,IF(Методика="нормы 2026",IFERROR(_xlfn.XLOOKUP(A40,Щиты[Щит],Щиты[Кс силовых (табл. 7.5)]),1),1)),IF(OR(FG40="Пост",FG40="Отоп"),1,IF(FG40="ВНГ",0.7,0))))))</f>
        <v>0.8</v>
      </c>
      <c r="FI40">
        <f>IF(FG40="","",IF(AND(BP40=1,TRIM(AE40&amp;"")=""),IF(COUNTIFS(Линии[Щит],A40,Линии[Секция (1/2/3)],"&gt;=2")&gt;0,MIN(3,MAX(1,IFERROR(--BD40,1))),1),IFERROR(MIN(3,MAX(1,INT(--AE40))),1)))</f>
        <v>1</v>
      </c>
      <c r="FJ40">
        <f t="shared" si="61"/>
        <v>0.1</v>
      </c>
      <c r="FK40">
        <f t="shared" si="62"/>
        <v>0.1</v>
      </c>
      <c r="FL40">
        <f t="shared" si="63"/>
        <v>0</v>
      </c>
      <c r="FM40">
        <f t="shared" si="64"/>
        <v>0</v>
      </c>
      <c r="FN40">
        <f t="shared" si="65"/>
        <v>0</v>
      </c>
      <c r="FO40">
        <f t="shared" si="66"/>
        <v>0</v>
      </c>
      <c r="FP40">
        <f t="shared" si="67"/>
        <v>0.1</v>
      </c>
      <c r="FQ40">
        <f t="shared" si="68"/>
        <v>0.1</v>
      </c>
      <c r="FR40">
        <f t="shared" si="69"/>
        <v>9.5000000000000001E-2</v>
      </c>
      <c r="FS40">
        <f>IF(CG40=1,IF(AND(CH40=1,CW40=1),0,IF(AND(CS40&lt;&gt;"",CS40=BA40,CW40=1),SUMIFS(Линии[_Р линии, кВт],Линии[_блок УЗО],BA40,Линии[Щит],A40),N(BS40)+IF(AJ40="вручную",0,N(CK40)))),0)</f>
        <v>0.1</v>
      </c>
      <c r="FT40" t="str">
        <f t="shared" si="70"/>
        <v/>
      </c>
      <c r="FU40" t="str">
        <f>IF(B40="","",IF(CG40=0,IF(BA40=1,"",FW39),IF(AND(CH40=1,CW40=1,CS40&lt;&gt;""),IFERROR(_xlfn.XLOOKUP(CS40,Линии[_n],Линии[_фаза итог]),"L1"),IF(OR(N(DL40)&gt;=3,N(BX40)&gt;=3),"L1,L2,L3",IFERROR(_xlfn.TEXTBEFORE(_xlfn.TEXTAFTER(_xlfn.XLOOKUP(A40,Щиты[Щит],Щиты[_фазы авто]),";"&amp;BA40&amp;":"),";"),"L1")))))</f>
        <v>L3</v>
      </c>
      <c r="FV40" t="str">
        <f t="shared" si="71"/>
        <v>L3</v>
      </c>
      <c r="FW40" t="str">
        <f t="shared" si="72"/>
        <v>L3</v>
      </c>
      <c r="FX40" cm="1">
        <f t="array" ref="FX40">IFERROR(IF(CD40=2,_xlfn.IFS(BX40=3,VLOOKUP(BS40,Справочная_двигатели,3,FALSE),BX40=1,VLOOKUP(BS40,Справочная_двигатели,5,TRUE)),0),0)</f>
        <v>0</v>
      </c>
      <c r="FY40">
        <f>IFERROR(IF(CD40=3,VLOOKUP(BS40,Справочная_ЛЭД,2,TRUE),0),0)</f>
        <v>50</v>
      </c>
      <c r="FZ40" s="6">
        <f t="shared" si="73"/>
        <v>50</v>
      </c>
      <c r="GA40" t="str">
        <f>IF(B40="","",IF(TRIM(AH40&amp;"")&lt;&gt;"",IF(LOWER(TRIM(AH40&amp;""))="да","да","нет"),IF(IFERROR(_xlfn.XLOOKUP(BC40,Коды_код,Коды_пожарная),"")="да","да","нет")))</f>
        <v>нет</v>
      </c>
      <c r="GB40" t="str">
        <f t="shared" si="74"/>
        <v/>
      </c>
      <c r="GC40" t="str">
        <f t="shared" si="75"/>
        <v>основная</v>
      </c>
      <c r="GD40">
        <f>IF(AND(BP40=1,TRIM(AE40&amp;"")=""),IF(COUNTIFS(Линии[Щит],A40,Линии[Секция (1/2/3)],"&gt;=2")&gt;0,MIN(3,MAX(1,IFERROR(--BD40,1))),1),IFERROR(MIN(3,MAX(1,INT(--AE40))),1))</f>
        <v>1</v>
      </c>
      <c r="GE40" t="str" cm="1">
        <f t="array" ref="GE40">IF(B40="","",_xlfn.LET(_xlpm.t,IFERROR(_xlfn.XLOOKUP(1,(Шины[Шина]=GC40)*(((Шины[Щит]=A40)+(Шины[Щит]=""))&gt;0),Шины[Тип]),"")&amp;"",IF(_xlpm.t&lt;&gt;"",_xlpm.t,IF(ISNUMBER(SEARCH("ИБП",GC40)),"ИБП",IF(ISNUMBER(SEARCH("ДГУ",GC40)),"ДГУ","Ввод "&amp;GD40)))))</f>
        <v>Ввод 1</v>
      </c>
      <c r="GF40" t="str">
        <f t="shared" si="76"/>
        <v>Ввод 1</v>
      </c>
      <c r="GG40" t="str">
        <f>IF(BP40=0,"",IF(TRIM(AG40&amp;"")&lt;&gt;"",TRIM(AG40&amp;""),IF(OR(GE40="ИБП",GE40="ДГУ"),"I особая",_xlfn.XLOOKUP(A40,Щиты[Щит],Щиты[Категория шины «Ввод»],"III"))))</f>
        <v/>
      </c>
      <c r="GH40" t="str">
        <f>IF(A40="","",_xlfn.XLOOKUP(A40,Щиты[Щит],Щиты[Путь],""))</f>
        <v>|ГРЩ-ЖД|ЩГП|ЩО-001|</v>
      </c>
      <c r="GI40" t="str">
        <f>IF(B40="","",IF(AI40&lt;&gt;"",AI40,IF(IFERROR(_xlfn.XLOOKUP(BC40,Коды_код,Коды_вид)&amp;"","")="","Прочее",_xlfn.XLOOKUP(BC40,Коды_код,Коды_вид)&amp;"")))</f>
        <v>Рабочее освещение</v>
      </c>
      <c r="GJ40" t="str">
        <f>IF(BM40="","",INT((BM40-1)/Столбцов_на_лист)+1)</f>
        <v/>
      </c>
      <c r="GK40" t="str">
        <f t="shared" si="77"/>
        <v>ВВГнг(А)-LS (3х1,5) L=66-0,38%</v>
      </c>
      <c r="GL40">
        <f t="shared" si="78"/>
        <v>0.1</v>
      </c>
      <c r="GM40">
        <f t="shared" si="79"/>
        <v>0.46</v>
      </c>
      <c r="GN40">
        <f t="shared" si="80"/>
        <v>1</v>
      </c>
      <c r="GO40">
        <f t="shared" si="81"/>
        <v>0</v>
      </c>
      <c r="GP40">
        <f t="shared" si="82"/>
        <v>0</v>
      </c>
      <c r="GQ40" t="str">
        <f>IF(BM40="","",IF(AND(CG40=1,GP40=1),COUNTIFS(A$3:A40,A40,CG$3:CG40,1,GP$3:GP40,1),IF(OR(OR(BA40=1,A40&lt;&gt;A39),AJ40="вручную",GP40=0),"",IF(BA40=1,"",GR39))))</f>
        <v/>
      </c>
      <c r="GR40" t="str">
        <f t="shared" si="83"/>
        <v/>
      </c>
      <c r="GS40">
        <f>IF(B40="","",IFERROR(LOOKUP(INDEX(CHOOSE(EB40,Iдоп_1ж,Iдоп_2ж,Iдоп_3ж),MATCH(EN40,Iдоп_S,0))*DZ40*EA40,{6,10,16,20,25,32,40,50,63,80,100,125,160,200,250,315,400,500,630}),""))</f>
        <v>16</v>
      </c>
      <c r="GT40" t="str">
        <f t="shared" si="84"/>
        <v/>
      </c>
      <c r="GU40" t="str">
        <f t="shared" si="85"/>
        <v/>
      </c>
      <c r="GV40" t="str">
        <f t="shared" si="86"/>
        <v/>
      </c>
      <c r="GW40">
        <f t="shared" si="87"/>
        <v>0</v>
      </c>
      <c r="GX40" t="str">
        <f>IF(OR(B40="",DJ40=""),"",IFERROR(_xlfn.XLOOKUP(DJ40,Модули_умолч[Управление],Модули_умолч[Модель])&amp;"",""))</f>
        <v/>
      </c>
      <c r="GY40">
        <f>IF(DJ40="",1,IFERROR(MAX(0,N(_xlfn.XLOOKUP(DJ40,Модули_умолч[Управление],Модули_умолч[Каналов на линию]))),1))</f>
        <v>1</v>
      </c>
      <c r="GZ40" t="str">
        <f t="shared" si="88"/>
        <v/>
      </c>
      <c r="HA40" t="str">
        <f t="shared" si="89"/>
        <v/>
      </c>
      <c r="HB40" t="str">
        <f t="shared" si="90"/>
        <v/>
      </c>
      <c r="HC40">
        <f>IF(HB40="",0,IFERROR(N(VLOOKUP(HB40,Модули_спр,3,FALSE)),0))</f>
        <v>0</v>
      </c>
      <c r="HD40" t="str">
        <f t="shared" si="91"/>
        <v/>
      </c>
      <c r="HE40" t="str">
        <f t="shared" si="92"/>
        <v/>
      </c>
      <c r="HF40" t="str">
        <f>IF(OR(HE40="",HE40="-"),"",IFERROR(VLOOKUP(HE40,Модули_спр,2,FALSE),"R"))</f>
        <v/>
      </c>
      <c r="HG40" t="str">
        <f>IF(HF40="","",HF40&amp;"."&amp;COUNTIFS(A$3:A40,A40,HF$3:HF40,HF40))</f>
        <v/>
      </c>
      <c r="HH40" t="str">
        <f t="shared" si="93"/>
        <v/>
      </c>
      <c r="HI40" t="str">
        <f t="shared" si="94"/>
        <v/>
      </c>
      <c r="HJ40" t="str">
        <f t="shared" si="95"/>
        <v/>
      </c>
      <c r="HK40" t="str">
        <f t="shared" si="96"/>
        <v/>
      </c>
      <c r="HL40">
        <f t="shared" si="97"/>
        <v>1</v>
      </c>
      <c r="HM40" t="str">
        <f>IF(HL40=1,"XT"&amp;COUNTIFS(A$3:A40,A40,HL$3:HL40,1),"")</f>
        <v>XT9</v>
      </c>
      <c r="HN40" t="str">
        <f t="shared" si="98"/>
        <v>XT9</v>
      </c>
      <c r="HO40" t="str">
        <f t="shared" si="99"/>
        <v/>
      </c>
      <c r="HP40" t="str">
        <f t="shared" si="100"/>
        <v/>
      </c>
      <c r="HQ40" t="str">
        <f t="shared" si="101"/>
        <v>ok</v>
      </c>
      <c r="HR40" t="str">
        <f>IF(OR(HJ40="",HH40=""),"",IF(HJ40+MAX(0,GY40-1)&gt;IFERROR(VLOOKUP(HI40,Модули_спр,3,FALSE),99),"ЛИШНИЙ КАНАЛ",IF(AND(AL40&lt;&gt;"=",GY40&gt;0,COUNTIFS(Линии[_модуль гр.],HH40,Линии[Канал (итог)],HJ40,Линии[Канал],"&lt;&gt;=",Линии[Щит],A40)&gt;1),"ДУБЛЬ КАНАЛА","")))</f>
        <v/>
      </c>
      <c r="HS40" s="6" t="str">
        <f t="shared" si="102"/>
        <v/>
      </c>
      <c r="HT40">
        <f t="shared" si="103"/>
        <v>10</v>
      </c>
      <c r="HU40" t="str">
        <f t="shared" si="104"/>
        <v/>
      </c>
      <c r="HV40">
        <f t="shared" si="105"/>
        <v>0.84232113763882921</v>
      </c>
      <c r="HW40">
        <f t="shared" si="106"/>
        <v>0</v>
      </c>
      <c r="HX40">
        <f t="shared" si="107"/>
        <v>0</v>
      </c>
      <c r="HY40">
        <f t="shared" si="108"/>
        <v>0</v>
      </c>
      <c r="HZ40">
        <f t="shared" si="109"/>
        <v>0</v>
      </c>
      <c r="IA40">
        <f t="shared" si="110"/>
        <v>0</v>
      </c>
      <c r="IB40">
        <f t="shared" si="111"/>
        <v>0</v>
      </c>
      <c r="IC40" t="str">
        <f t="shared" si="112"/>
        <v/>
      </c>
      <c r="ID40" t="str" cm="1">
        <f t="array" ref="ID40">IF(IC40="","",_xlfn.LET(_xlpm.tk,_xlfn.TEXTSPLIT(SUBSTITUTE(SUBSTITUTE(IC40,";"," "),"→"," ")," ",,TRUE),_xlpm.w_,_xlfn._xlws.FILTER(_xlpm.tk,ISNUMBER(--LEFT(_xlpm.tk,1))*((ISNUMBER(SEARCH("W",_xlpm.tk))+ISNUMBER(SEARCH("Вт",_xlpm.tk)))&gt;0),""),IFERROR(--SUBSTITUTE(SUBSTITUTE(UPPER(INDEX(_xlpm.w_,1)),"W",""),"ВТ",""),"")))</f>
        <v/>
      </c>
      <c r="IE40" t="str" cm="1">
        <f t="array" ref="IE40">IF(IC40="","",_xlfn.LET(_xlpm.tk,_xlfn.TEXTSPLIT(SUBSTITUTE(SUBSTITUTE(IC40,";"," "),"→"," ")," ",,TRUE),_xlpm.v_,_xlfn._xlws.FILTER(_xlpm.tk,ISNUMBER(--LEFT(_xlpm.tk,1))*((ISNUMBER(SEARCH("V",_xlpm.tk))+(RIGHT(UPPER(_xlpm.tk))="В"))&gt;0),""),IFERROR(--SUBSTITUTE(SUBSTITUTE(UPPER(INDEX(_xlpm.v_,1)),"V",""),"В",""),"")))</f>
        <v/>
      </c>
      <c r="IF40" s="6" t="str">
        <f>IF(OR(BV40=0,HI40="",HJ40=""),"",IFERROR(N(_xlfn.XLOOKUP(HI40,Каталог!$C$4:$C$500,Каталог!$Q$4:$Q$500)),""))</f>
        <v/>
      </c>
      <c r="IG40" s="6" t="str">
        <f>IF(N(IF40)=0,"",SUMIFS(Линии[Iр, А],Линии[Щит],A40,Линии[_модуль гр.],HH40,Линии[Канал (итог)],HJ40))</f>
        <v/>
      </c>
      <c r="IH40" t="str">
        <f>IF(AND(B40="",HO40=""),"",_xlfn.TEXTJOIN("; ",TRUE,IF(AND(B40&lt;&gt;"",FV40=""),"нет фазы",""),IF(AND(B40&lt;&gt;"",N(GL40)=0,FG40&lt;&gt;"Нет"),"нет мощности",""),IF(AND(HN40&lt;&gt;"",COUNTIFS(Линии[Щит],A40,Линии[Клемма (итог)],HN40)&gt;1),"дубль клеммы "&amp;HN40,""),IF(AND(HQ40&lt;&gt;"",HQ40&lt;&gt;"ok"),HQ40,""),IF(HR40&lt;&gt;"",HR40,""),IF(AND(N(CB40)&gt;=4,N(BX40)=1),CB40&amp;" жил на 1 фазе",""),IF(AND(BC40="R",CG40=1,IF(CS40&lt;&gt;"",N(CV40)&gt;30,OR(N(DA40)=0,N(DA40)&gt;30))),"розетка без дифзащиты до 30 мА",""),IF(AND(CG40=1,N(DA40)&gt;0,ISNUMBER(T40)),IF(T40&gt;N(DA40)/3,"ток утечки "&amp;FIXED(T40,1)&amp;" мА &gt; 1/3 уставки ("&amp;DA40&amp;" мА)",""),""),IF(AND(CH40=1,CS40=""),"«узо»: нет строки с УЗО выше (УЗО 2P 40А 30мА в «Аппаратах»)",""),IF(AND(CS40&lt;&gt;"",CS40=BA40),IF(CT40="","впишите номинал УЗО (УЗО 2P 40А 30мА)",IF(N(CT40)&lt;N(DT40),"УЗО "&amp;CT40&amp;" А &lt; автомата "&amp;DT40&amp;" А перед ним",IF(N(CT40)&lt;N(CX40),"УЗО "&amp;CT40&amp;" А &lt; тока блока "&amp;FIXED(CX40,1)&amp;" А",""))),""),IF(AND(CS40&lt;&gt;"",CS40=BA40,ISNUMBER(CY40)),IF(CY40&gt;N(CV40)/3,"ток утечки блока УЗО "&amp;FIXED(CY40,1)&amp;" мА &gt; 1/3 уставки ("&amp;CV40&amp;" мА)",""),""),IF(AND(CG40=1,N(BV40)+N(IB40)&gt;0,IC40=""),"линии до 50 В без БП: впишите в «Аппараты» (БП 24V 480W)",""),IF(AND(CG40=1,ISNUMBER(ID40),ISNUMBER(U40)),IF(U40&gt;ID40,"БП "&amp;ID40&amp;" Вт &lt; нужно "&amp;U40&amp;" Вт (×"&amp;Запас_БП&amp;")",""),""),IF(AND(CG40=1,ISNUMBER(IE40),N(BV40)=1),IF(IE40&lt;&gt;N(BU40),"БП на "&amp;IE40&amp;" В, линия "&amp;BU40&amp;" В",""),""),IF(AND(N(IF40)&gt;0,N(IG40)&gt;N(IF40)),HH40&amp;" канал "&amp;HJ40&amp;": "&amp;FIXED(IG40,1)&amp;" А &gt; "&amp;IF40&amp;" А",""),IFERROR(IF(AND(ISNUMBER(Q40),Q40&gt;EL40),"потери "&amp;FIXED(Q40,1)&amp;" % &gt; "&amp;EL40&amp;" %",""),""),IFERROR(IF(LEFT(HU40,4)="мало","Iкз мало — отключение &gt; 0,4 с",""),""),IF(AND(B40&lt;&gt;"",BM40=""),"не на схеме",""),IF(AND(CG40=0,B40&lt;&gt;"",FV40&lt;&gt;"",IF(BA40=1,"",FW39)&lt;&gt;"",FV40&lt;&gt;IF(BA40=1,"",FW39)),"фаза не как у автомата группы ("&amp;IF(BA40=1,"",FW39)&amp;")","")))</f>
        <v>не на схеме</v>
      </c>
      <c r="II40" s="6">
        <f>IF(OR(CG40=0,DQ40=""),"",_xlfn.LET(_xlpm.t,IFERROR(_xlfn.XLOOKUP(DQ40,Каталог!$U$4:$U$500,Каталог!$G$4:$G$500),""),_xlpm.k,SEARCH("кА",_xlpm.t),IFERROR(--TRIM(RIGHT(SUBSTITUTE(MID(_xlpm.t,MAX(1,_xlpm.k-4),_xlpm.k-MAX(1,_xlpm.k-4))," ",REPT(" ",9)),5)),"")))</f>
        <v>6</v>
      </c>
      <c r="IJ40" t="str">
        <f>IF(OR(II40="",CG40=0),"",IF(_xlfn.XLOOKUP(A40,Щиты[Щит],Щиты[Iкз max на шинах, кА],"")="","",IF(II40&lt;_xlfn.XLOOKUP(A40,Щиты[Щит],Щиты[Iкз max на шинах, кА]),"Icu "&amp;II40&amp;" кА &lt; Iкз max","ok")))</f>
        <v/>
      </c>
      <c r="IK40" t="str">
        <f t="shared" si="113"/>
        <v/>
      </c>
      <c r="IL40" t="str">
        <f t="shared" si="114"/>
        <v/>
      </c>
      <c r="IM40" t="str">
        <f t="shared" si="115"/>
        <v/>
      </c>
      <c r="IN40" t="str" cm="1">
        <f t="array" ref="IN40">IF(IM40="","",_xlfn.LET(_xlpm.nd,_xlfn.TEXTSPLIT(IM40,"|"),IF(COLUMNS(_xlpm.nd)&gt;1,A40&amp;"¦"&amp;INDEX(_xlpm.nd,1)&amp;"¦"&amp;INDEX(_xlpm.nd,2),"")))</f>
        <v/>
      </c>
      <c r="IO40" t="str">
        <f t="shared" si="116"/>
        <v/>
      </c>
      <c r="IP40" t="str" cm="1">
        <f t="array" ref="IP40">IF(IM40="","",_xlfn.LET(_xlpm.nd,_xlfn.TEXTSPLIT(IM40,"|"),IF(COLUMNS(_xlpm.nd)&gt;2,A40&amp;"¦"&amp;INDEX(_xlpm.nd,2)&amp;"¦"&amp;INDEX(_xlpm.nd,3),"")))</f>
        <v/>
      </c>
      <c r="IQ40" t="str">
        <f t="shared" si="117"/>
        <v/>
      </c>
      <c r="IR40" t="str" cm="1">
        <f t="array" ref="IR40">IF(IM40="","",_xlfn.LET(_xlpm.nd,_xlfn.TEXTSPLIT(IM40,"|"),IF(COLUMNS(_xlpm.nd)&gt;3,A40&amp;"¦"&amp;INDEX(_xlpm.nd,3)&amp;"¦"&amp;INDEX(_xlpm.nd,4),"")))</f>
        <v/>
      </c>
      <c r="IS40" t="str">
        <f t="shared" si="118"/>
        <v/>
      </c>
      <c r="IT40" t="str" cm="1">
        <f t="array" ref="IT40">IF(IM40="","",_xlfn.LET(_xlpm.nd,_xlfn.TEXTSPLIT(IM40,"|"),IF(COLUMNS(_xlpm.nd)&gt;4,A40&amp;"¦"&amp;INDEX(_xlpm.nd,4)&amp;"¦"&amp;INDEX(_xlpm.nd,5),"")))</f>
        <v/>
      </c>
      <c r="IU40" t="str">
        <f t="shared" si="119"/>
        <v/>
      </c>
      <c r="IV40" t="str" cm="1">
        <f t="array" ref="IV40">IF(IM40="","",_xlfn.LET(_xlpm.nd,_xlfn.TEXTSPLIT(IM40,"|"),IF(COLUMNS(_xlpm.nd)&gt;5,A40&amp;"¦"&amp;INDEX(_xlpm.nd,5)&amp;"¦"&amp;INDEX(_xlpm.nd,6),"")))</f>
        <v/>
      </c>
      <c r="IW40" t="str">
        <f t="shared" si="120"/>
        <v/>
      </c>
      <c r="IX40" t="str" cm="1">
        <f t="array" ref="IX40">IF(IM40="","",_xlfn.LET(_xlpm.nd,_xlfn.TEXTSPLIT(IM40,"|"),IF(COLUMNS(_xlpm.nd)&gt;6,A40&amp;"¦"&amp;INDEX(_xlpm.nd,6)&amp;"¦"&amp;INDEX(_xlpm.nd,7),"")))</f>
        <v/>
      </c>
      <c r="IY40" t="str">
        <f t="shared" si="121"/>
        <v/>
      </c>
      <c r="IZ40" t="str">
        <f t="shared" si="122"/>
        <v/>
      </c>
      <c r="JA40" t="str">
        <f t="shared" si="123"/>
        <v>XT9</v>
      </c>
      <c r="JB40">
        <f t="shared" si="124"/>
        <v>0</v>
      </c>
      <c r="JC40">
        <f t="shared" si="125"/>
        <v>0</v>
      </c>
      <c r="JD40" t="str">
        <f t="shared" si="126"/>
        <v/>
      </c>
      <c r="JE40" t="str">
        <f t="shared" si="127"/>
        <v/>
      </c>
      <c r="JF40" t="str">
        <f t="shared" si="128"/>
        <v/>
      </c>
      <c r="JG40" t="str">
        <f t="shared" si="129"/>
        <v/>
      </c>
      <c r="JH40" t="str">
        <f>IF(B40="","",IFERROR(_xlfn.XLOOKUP(B40,Коды_код,Коды_уго),IFERROR(_xlfn.XLOOKUP(BC40,Коды_код,Коды_уго),IFERROR(_xlfn.XLOOKUP(LEFT(BC40,2),Коды_код,Коды_уго),""))))</f>
        <v>Светильник</v>
      </c>
      <c r="JI40" t="str">
        <f>IF(B40="","",IF(OR(JH40="",JH40=0),"BOX",IFERROR(IF(VLOOKUP(JH40,УГО_блоки,3,FALSE)&amp;""&lt;&gt;"",VLOOKUP(JH40,УГО_блоки,3,FALSE),VLOOKUP(JH40,УГО_блоки,2,FALSE)),JH40)))</f>
        <v>LAMP</v>
      </c>
      <c r="JJ40">
        <f t="shared" si="130"/>
        <v>1</v>
      </c>
      <c r="JK40" t="str">
        <f>IF(DQ40="","",IF(COUNTIF(DQ$3:DQ40,DQ40)=1,MAX(JK$2:JK39)+1,""))</f>
        <v/>
      </c>
      <c r="JL40" t="str">
        <f>IF(DE40="","",IF(COUNTIF(DE$3:DE40,DE40)+COUNTIF(DF$2:DF39,DE40)+COUNTIF(DG$2:DG39,DE40)=1,MAX(JL$2:JN39)+1,""))</f>
        <v/>
      </c>
      <c r="JM40" t="str">
        <f>IF(DF40="","",IF(COUNTIF(DE$3:DE40,DF40)+COUNTIF(DF$3:DF40,DF40)+COUNTIF(DG$2:DG39,DF40)=1,MAX(JL$2:JN39,JL40)+1,""))</f>
        <v/>
      </c>
      <c r="JN40" t="str">
        <f>IF(DG40="","",IF(COUNTIF(DE$3:DE40,DG40)+COUNTIF(DF$3:DF40,DG40)+COUNTIF(DG$3:DG40,DG40)=1,MAX(JL$2:JN39,JL40,JM40)+1,""))</f>
        <v/>
      </c>
      <c r="JO40" t="str">
        <f t="shared" si="131"/>
        <v>3х1,5</v>
      </c>
      <c r="JP40" t="str">
        <f>IF(JO40="","",IF(COUNTIF(JO$3:JO40,JO40)=1,MAX(JP$2:JP39)+1,""))</f>
        <v/>
      </c>
      <c r="JQ40" t="str">
        <f>IF(HG40="","",COUNTIF(HG$3:HG40,"?*"))</f>
        <v/>
      </c>
      <c r="JR40" t="str">
        <f>IF(OR(HG40="",HI40=""),"",IF(COUNTIFS(HG$3:HG40,"?*",HI$3:HI40,HI40)=1,MAX(JR$2:JR39)+1,""))</f>
        <v/>
      </c>
      <c r="JS40">
        <f t="shared" si="132"/>
        <v>1</v>
      </c>
      <c r="JT40">
        <f>IF(B40="","",COUNTIF(B$3:B40,"?*"))</f>
        <v>38</v>
      </c>
      <c r="JU40">
        <f>IF(HL40&lt;&gt;1,0,_xlfn.LET(_xlpm.k,MAX(IFERROR(--_xlfn.XLOOKUP(B40,Коды_код,Коды_3L),0),IFERROR(--_xlfn.XLOOKUP(BC40,Коды_код,Коды_3L),0),IFERROR(--_xlfn.XLOOKUP(LEFT(BC40,2),Коды_код,Коды_3L),0)),IF(_xlpm.k&gt;0,_xlpm.k,IF(IFERROR(--LEFT(SUBSTITUTE(JO40,"x","х"),FIND("х",SUBSTITUTE(JO40,"x","х"))-1),3)&gt;3,Каталог!$S$9,1))))</f>
        <v>1</v>
      </c>
      <c r="JV40">
        <f t="shared" si="133"/>
        <v>0</v>
      </c>
      <c r="JW40" t="str">
        <f t="shared" si="134"/>
        <v>авто</v>
      </c>
      <c r="JX40" t="str">
        <f t="shared" si="135"/>
        <v/>
      </c>
      <c r="JY40">
        <f t="shared" si="136"/>
        <v>0</v>
      </c>
      <c r="JZ40">
        <f t="shared" si="137"/>
        <v>1</v>
      </c>
    </row>
    <row r="41" spans="1:286" x14ac:dyDescent="0.3">
      <c r="A41" t="s">
        <v>1109</v>
      </c>
      <c r="B41" t="s">
        <v>1355</v>
      </c>
      <c r="C41" t="str">
        <f>Линии[[#This Row],[_авто наименование]]</f>
        <v>Осветительная группа, пом. 004Т</v>
      </c>
      <c r="D41">
        <v>5</v>
      </c>
      <c r="E41">
        <v>0.1</v>
      </c>
      <c r="G41" t="str">
        <f>Линии[[#This Row],[_авто автомат]]</f>
        <v>1P С10А</v>
      </c>
      <c r="H41" t="str">
        <f>Линии[[#This Row],[_авто управление]]</f>
        <v/>
      </c>
      <c r="I41" t="str">
        <f>Линии[[#This Row],[_авто аппараты]]</f>
        <v/>
      </c>
      <c r="J41">
        <v>1.5</v>
      </c>
      <c r="K41">
        <v>10</v>
      </c>
      <c r="L41" t="str">
        <f>Линии[[#This Row],[_авто фаза]]</f>
        <v>L1</v>
      </c>
      <c r="M41" t="str">
        <f>Линии[[#This Row],[_авто клемма]]</f>
        <v>XT10</v>
      </c>
      <c r="N41" t="str">
        <f t="shared" si="0"/>
        <v>не на схеме</v>
      </c>
      <c r="O41" s="6" cm="1">
        <f t="array" ref="O41">IF(B41="","",IF(BH41&lt;&gt;"",IFERROR(_xlfn.XLOOKUP(BH41,Щиты[Щит],Щиты[Iр, А]),""),IF(BP41=1,IF(OR(N(_xlfn.XLOOKUP(A41,Щиты[Щит],Щиты[Вводов],1))&lt;=1,LOWER(TRIM(_xlfn.XLOOKUP(A41,Щиты[Щит],Щиты[АВР],"")&amp;""))="да"),IFERROR(_xlfn.XLOOKUP(A41,Щиты[Щит],Щиты[Iр, А]),""),IFERROR(N(BS41)*_xlfn.XLOOKUP(A41,Щиты[Щит],Щиты[Кс итог])/(SQRT(3)*Uн_лин*_xlfn.XLOOKUP(A41,Щиты[Щит],Щиты[cos φ])),"")),IF(BV41=1,IFERROR(BS41*1000/BU41,""),IFERROR(_xlfn.IFS(BX41=1,BS41/((Uн_лин/SQRT(3))*CE41),BX41=3,BS41/(SQRT(3)*Uн_лин*CE41)),"")))))</f>
        <v>0.455802844097073</v>
      </c>
      <c r="P41" s="7">
        <f>IF(B41="","",IFERROR(IF(VLOOKUP(BC41,Потребители_обозначение,4,FALSE)=1,VLOOKUP(BC41,Потребители_обозначение,3,FALSE)*(MAX(1,N(D41))*2-1)+EI41+VLOOKUP(BE41,Этаж_обозначение,3,FALSE)+VLOOKUP(BE41,Этаж_обозначение,4,FALSE),VLOOKUP(BC41,Потребители_обозначение,3,FALSE)*(MAX(1,N(D41))*2-1)+EI41),EI41))</f>
        <v>19</v>
      </c>
      <c r="Q41" s="6">
        <f t="shared" si="1"/>
        <v>0.28000000000000003</v>
      </c>
      <c r="R41" t="str">
        <f t="shared" si="2"/>
        <v>ВВГнг(А)-LS (3х1,5)</v>
      </c>
      <c r="S41" t="str">
        <f>IF(BM41="","",IF(BN41="вводной узел","узел ","")&amp;"л."&amp;(INT((BM41-1)/Столбцов_на_лист)+1)&amp;" / "&amp;(MOD(BM41-1,Столбцов_на_лист)+1))</f>
        <v/>
      </c>
      <c r="T41" s="119">
        <f t="shared" si="3"/>
        <v>0.4</v>
      </c>
      <c r="U41" s="7" t="str">
        <f>IF(OR(CG41=0,N(BV41)+N(IB41)=0),"",ROUNDUP(Запас_БП*(N(HY41)+N(HZ41)),0))</f>
        <v/>
      </c>
      <c r="V41" s="119" t="str">
        <f t="shared" si="4"/>
        <v/>
      </c>
      <c r="W41" s="7" t="str">
        <f>IFERROR(IF(OR(B41="",BP41=1,BV41=1,NOT(ISNUMBER(EN41)),N(DT41)=0),"",MAX(0,ROUNDDOWN((c_min*(Uн_лин*1000/SQRT(3))/(HT41*N(DT41))-_xlfn.XLOOKUP(A41,Щиты[Щит],Щиты[Zпетли на шинах, Ом]))*EN41/(2*ρкз_Cu),0))),"")</f>
        <v/>
      </c>
      <c r="Y41" t="str">
        <f>Линии[[#This Row],[_авто утечка]]</f>
        <v/>
      </c>
      <c r="Z41">
        <v>1</v>
      </c>
      <c r="AA41">
        <v>230</v>
      </c>
      <c r="AB41" t="s">
        <v>562</v>
      </c>
      <c r="AI41" t="s">
        <v>555</v>
      </c>
      <c r="AK41" t="str">
        <f>Линии[[#This Row],[_авто модуль]]</f>
        <v/>
      </c>
      <c r="AM41" t="s">
        <v>527</v>
      </c>
      <c r="AN41" t="s">
        <v>11</v>
      </c>
      <c r="AO41">
        <v>3</v>
      </c>
      <c r="AQ41">
        <v>10</v>
      </c>
      <c r="AR41">
        <v>0</v>
      </c>
      <c r="AS41">
        <v>15</v>
      </c>
      <c r="BA41" cm="1">
        <f t="array" ref="BA41">ROW()-ROW(Линии[#Headers])</f>
        <v>39</v>
      </c>
      <c r="BC41" s="6" t="str">
        <f t="shared" si="5"/>
        <v>L</v>
      </c>
      <c r="BD41" t="str">
        <f t="shared" si="6"/>
        <v>00.004Т.1</v>
      </c>
      <c r="BE41" t="str">
        <f t="shared" si="7"/>
        <v>00</v>
      </c>
      <c r="BF41" t="str">
        <f t="shared" si="8"/>
        <v>004Т.1</v>
      </c>
      <c r="BG41" t="str">
        <f t="shared" si="9"/>
        <v>004Т</v>
      </c>
      <c r="BH41" t="str">
        <f>IF(X41&lt;&gt;"",X41,IF(AND(B41&lt;&gt;"",B41&lt;&gt;A41,ISNUMBER(_xlfn.XMATCH(B41,Щиты[Щит]))),B41,""))</f>
        <v/>
      </c>
      <c r="BI41" t="str" cm="1">
        <f t="array" ref="BI41">IF(B41="","",IF(BH41&lt;&gt;"","Щит "&amp;BH41,_xlfn.LET(_xlpm.nm,IFERROR(_xlfn.XLOOKUP(BC41,Коды_код,Коды_имя)&amp;"",""),_xlpm.md,IFERROR(N(_xlfn.XLOOKUP(BC41,Коды_код,Коды_режим)),1),_xlpm.ex,IF(Имя_режим="по экспликации",IFERROR(_xlfn.XLOOKUP(BE41&amp;"|"&amp;BG41,Экспликация[Этаж]&amp;"|"&amp;Экспликация[Помещение],Экспликация[Название])&amp;"",""),""),_xlpm.rm,IF(BG41="","",IF(_xlpm.ex&lt;&gt;"",". "&amp;_xlpm.ex&amp;IF(Имя_пом="нет"," ("&amp;BG41&amp;")"," (пом. "&amp;BG41&amp;")"),IF(Имя_пом="нет"," ",", пом. ")&amp;BG41)),IF(_xlpm.nm="","",IF(_xlpm.md=2,_xlpm.nm&amp;" шлейф "&amp;BE41,_xlpm.nm&amp;_xlpm.rm)))))</f>
        <v>Осветительная группа, пом. 004Т</v>
      </c>
      <c r="BJ41" t="str">
        <f t="shared" si="10"/>
        <v>Осветительная группа, пом. 004Т</v>
      </c>
      <c r="BK41">
        <f>IFERROR(_xlfn.XMATCH(A41,Щиты[Щит]),0)</f>
        <v>3</v>
      </c>
      <c r="BL41">
        <f>_xlfn.LET(_xlpm.k,IFERROR(_xlfn.XLOOKUP(A41,Щиты[Щит],Щиты[Мест под вводной узел]),""),IF(_xlpm.k="",Столбцов_на_лист,N(_xlpm.k)))</f>
        <v>17</v>
      </c>
      <c r="BM41" t="str">
        <f t="shared" si="11"/>
        <v/>
      </c>
      <c r="BN41" t="str">
        <f t="shared" si="12"/>
        <v/>
      </c>
      <c r="BO41" s="6">
        <f>IFERROR(N(_xlfn.XLOOKUP(BC41,Коды_код,Коды_квт)),0)</f>
        <v>0</v>
      </c>
      <c r="BP41">
        <f t="shared" si="13"/>
        <v>0</v>
      </c>
      <c r="BQ41" t="str">
        <f>IF(B41="","",IF(BH41&lt;&gt;"",IFERROR(_xlfn.XLOOKUP(BH41,Щиты[Щит],Щиты[Руст, кВт]),0),IF(BP41=1,IF(OR(N(_xlfn.XLOOKUP(A41,Щиты[Щит],Щиты[Вводов],1))&lt;=1,LOWER(TRIM(_xlfn.XLOOKUP(A41,Щиты[Щит],Щиты[АВР],"")&amp;""))="да"),IFERROR(_xlfn.XLOOKUP(A41,Щиты[Щит],Щиты[Руст, кВт]),0),SUMIFS(Линии[_Р для вводов],Линии[Щит],A41,Линии[Источник для режимов],GF41)),IF(BO41&gt;0,ROUND(BO41*MAX(1,N(D41)),3),""))))</f>
        <v/>
      </c>
      <c r="BR41">
        <f t="shared" si="14"/>
        <v>0.1</v>
      </c>
      <c r="BS41" s="6">
        <f>IF(B41="","",IF(BH41&lt;&gt;"",IFERROR(_xlfn.XLOOKUP(BH41,Щиты[Щит],Щиты[Руст, кВт]),0),N(BR41)))</f>
        <v>0.1</v>
      </c>
      <c r="BT41" t="str">
        <f>IF(B41="","",IFERROR(IF(VLOOKUP(BC41,Потребители_обозначение,8,FALSE)=0,"",VLOOKUP(BC41,Потребители_обозначение,8,FALSE)),""))</f>
        <v/>
      </c>
      <c r="BU41">
        <f t="shared" si="15"/>
        <v>230</v>
      </c>
      <c r="BV41">
        <f t="shared" si="16"/>
        <v>0</v>
      </c>
      <c r="BW41">
        <f>IF(B41="","",IF(BH41&lt;&gt;"",3,IFERROR(IF(N(VLOOKUP(BC41,Потребители_обозначение,9,FALSE))=0,1,VLOOKUP(BC41,Потребители_обозначение,9,FALSE)),1)))</f>
        <v>1</v>
      </c>
      <c r="BX41">
        <f t="shared" si="17"/>
        <v>1</v>
      </c>
      <c r="BY41" t="str">
        <f>IF(B41="","",_xlfn.LET(_xlpm.bc,IFERROR(IF(VLOOKUP(BC41,Потребители_обозначение,6,FALSE)=0,"",VLOOKUP(BC41,Потребители_обозначение,6,FALSE)&amp;""),""),IF(AND(GA41="да",OR(_xlpm.bc="",_xlpm.bc="мс")),Марка_пож,IF(AND(_xlpm.bc="",BH41&lt;&gt;""),"мс",_xlpm.bc))))</f>
        <v/>
      </c>
      <c r="BZ41" t="str">
        <f t="shared" si="18"/>
        <v>мс</v>
      </c>
      <c r="CA41">
        <f>IF(B41="","",_xlfn.LET(_xlpm.cc,IFERROR(N(VLOOKUP(BC41,Потребители_обозначение,7,FALSE)),0),IF(_xlpm.cc&gt;0,_xlpm.cc,IF(BZ41="","",IF(BV41=1,2,IF(N(BX41)=3,5,3))))))</f>
        <v>3</v>
      </c>
      <c r="CB41">
        <f t="shared" si="19"/>
        <v>3</v>
      </c>
      <c r="CC41">
        <f>IFERROR(N(VLOOKUP(BC41,Потребители_обозначение,10,FALSE)),0)</f>
        <v>0</v>
      </c>
      <c r="CD41">
        <f>IFERROR(VLOOKUP(BC41,Потребители_обозначение,5,FALSE),0)</f>
        <v>3</v>
      </c>
      <c r="CE41" s="6" cm="1">
        <f t="array" ref="CE41">IF(B41="","",IF(BH41&lt;&gt;"",IFERROR(_xlfn.XLOOKUP(BH41,Щиты[Щит],Щиты[cos φ]),0.95),IF(BP41=1,IFERROR(_xlfn.XLOOKUP(A41,Щиты[Щит],Щиты[cos φ]),0.95),IF(ISNUMBER(AD41),AD41,IFERROR(IF(CD41=2,_xlfn.IFS(BX41=3,VLOOKUP(BS41,Справочная_двигатели,8,FALSE),BX41=1,VLOOKUP(BS41,Справочная_двигатели,10,TRUE)),IF(AND(Методика="нормы 2026",FG41="Сил"),0.8,0.95)),0.95)))))</f>
        <v>0.95</v>
      </c>
      <c r="CF41">
        <f t="shared" si="20"/>
        <v>0</v>
      </c>
      <c r="CG41">
        <f t="shared" si="21"/>
        <v>1</v>
      </c>
      <c r="CH41">
        <f t="shared" si="22"/>
        <v>0</v>
      </c>
      <c r="CI41">
        <f>IF(B41="","",IF(BV41=1,IFERROR(BS41/((Uн_лин/SQRT(3))*MAX(0.5,N(CE41))),0),N(O41)))</f>
        <v>0.455802844097073</v>
      </c>
      <c r="CJ41">
        <f t="shared" si="23"/>
        <v>0</v>
      </c>
      <c r="CK41">
        <f t="shared" si="24"/>
        <v>0</v>
      </c>
      <c r="CL41">
        <f t="shared" si="25"/>
        <v>0</v>
      </c>
      <c r="CM41">
        <f t="shared" si="26"/>
        <v>0</v>
      </c>
      <c r="CN41">
        <f t="shared" si="27"/>
        <v>0</v>
      </c>
      <c r="CO41">
        <f>IF(BC41="",0,_xlfn.LET(_xlpm.v,IFERROR(_xlfn.XLOOKUP(B41,Коды_код,Коды_мА),IFERROR(_xlfn.XLOOKUP(BC41,Коды_код,Коды_мА),IFERROR(_xlfn.XLOOKUP(LEFT(BC41,2),Коды_код,Коды_мА),""))),IF(_xlpm.v="да",30,IF(ISNUMBER(_xlpm.v),_xlpm.v,0))))</f>
        <v>0</v>
      </c>
      <c r="CP41" t="str">
        <f t="shared" si="28"/>
        <v/>
      </c>
      <c r="CQ41" t="str">
        <f>_xlfn.LET(_xlpm.k,IFERROR(_xlfn.XLOOKUP(BC41,Коды_код,Коды_утечка)&amp;"",""),IF(_xlpm.k="","дифавтомат",_xlpm.k))</f>
        <v>дифавтомат</v>
      </c>
      <c r="CR41" t="str" cm="1">
        <f t="array" ref="CR41">IF(CG41=0,"",_xlfn.LET(_xlpm.sg,TRIM(_xlfn.TEXTSPLIT(DD41&amp;"",";")),_xlpm.f_,_xlfn._xlws.FILTER(_xlpm.sg,LEFT(_xlpm.sg,3)="УЗО",""),IFERROR(INDEX(_xlpm.f_,1)&amp;"","")))</f>
        <v/>
      </c>
      <c r="CS41" t="str">
        <f t="shared" si="29"/>
        <v/>
      </c>
      <c r="CT41" s="6" t="str" cm="1">
        <f t="array" ref="CT41">IF(CR41="","",_xlfn.LET(_xlpm.tk,_xlfn.TEXTSPLIT(UPPER(CR41)," ",,TRUE),_xlpm.a_,_xlfn._xlws.FILTER(_xlpm.tk,ISNUMBER(--LEFT(_xlpm.tk,1))*((ISNUMBER(SEARCH("А",_xlpm.tk))+ISNUMBER(SEARCH("A",_xlpm.tk)))&gt;0)*NOT(ISNUMBER(SEARCH("МА",_xlpm.tk)))*NOT(ISNUMBER(SEARCH("MA",_xlpm.tk))),""),IFERROR(--SUBSTITUTE(SUBSTITUTE(INDEX(_xlpm.a_,1),"А",""),"A",""),"")))</f>
        <v/>
      </c>
      <c r="CU41" t="str" cm="1">
        <f t="array" ref="CU41">IF(CR41="","",_xlfn.LET(_xlpm.tk,_xlfn.TEXTSPLIT(UPPER(CR41)," ",,TRUE),_xlpm.a_,_xlfn._xlws.FILTER(_xlpm.tk,ISNUMBER(--LEFT(_xlpm.tk,1))*((ISNUMBER(SEARCH("МА",_xlpm.tk))+ISNUMBER(SEARCH("MA",_xlpm.tk)))&gt;0),""),IFERROR(--SUBSTITUTE(SUBSTITUTE(INDEX(_xlpm.a_,1),"МА",""),"MA",""),30)))</f>
        <v/>
      </c>
      <c r="CV41" t="str">
        <f>IF(CS41="","",IFERROR(_xlfn.XLOOKUP(CS41,Линии[_n],Линии[_УЗО, мА]),30))</f>
        <v/>
      </c>
      <c r="CW41">
        <f>IF(CS41="",0,IF(ISNUMBER(SEARCH("4P",IFERROR(_xlfn.XLOOKUP(CS41,Линии[_n],Линии[_УЗО строки])&amp;"",""))),0,1))</f>
        <v>0</v>
      </c>
      <c r="CX41" t="str">
        <f>IF(AND(CS41&lt;&gt;"",CS41=BA41),SUMIFS(Линии[_ток на 230 В],Линии[_блок УЗО],BA41,Линии[Щит],A41),"")</f>
        <v/>
      </c>
      <c r="CY41" t="str">
        <f>IF(AND(CS41&lt;&gt;"",CS41=BA41),SUMIFS(Линии[_ток утечки линии, мА],Линии[_блок УЗО],BA41,Линии[Щит],A41),"")</f>
        <v/>
      </c>
      <c r="CZ41">
        <f t="shared" si="30"/>
        <v>0</v>
      </c>
      <c r="DA41">
        <f t="shared" si="31"/>
        <v>0</v>
      </c>
      <c r="DB41">
        <f>IF(B41="",0,IFERROR(--_xlfn.XLOOKUP(B41,Коды_код,Коды_минавт),IFERROR(--_xlfn.XLOOKUP(BC41,Коды_код,Коды_минавт),IFERROR(--_xlfn.XLOOKUP(LEFT(BC41,2),Коды_код,Коды_минавт),0))))</f>
        <v>10</v>
      </c>
      <c r="DC41" t="str">
        <f>IF(B41="","",IFERROR(_xlfn.XLOOKUP(BC41,Коды_код,Коды_апп)&amp;"",""))</f>
        <v/>
      </c>
      <c r="DD41" t="str">
        <f t="shared" si="32"/>
        <v/>
      </c>
      <c r="DE41" t="str" cm="1">
        <f t="array" ref="DE41">IF(TRIM(DD41&amp;"")="","",IFERROR(TRIM(INDEX(_xlfn.TEXTSPLIT(DD41&amp;";;;",";"),1)),""))</f>
        <v/>
      </c>
      <c r="DF41" t="str" cm="1">
        <f t="array" ref="DF41">IF(TRIM(DD41&amp;"")="","",IFERROR(TRIM(INDEX(_xlfn.TEXTSPLIT(DD41&amp;";;;",";"),2)),""))</f>
        <v/>
      </c>
      <c r="DG41" t="str" cm="1">
        <f t="array" ref="DG41">IF(TRIM(DD41&amp;"")="","",IFERROR(TRIM(INDEX(_xlfn.TEXTSPLIT(DD41&amp;";;;",";"),3)),""))</f>
        <v/>
      </c>
      <c r="DH41">
        <f t="shared" si="33"/>
        <v>0</v>
      </c>
      <c r="DI41" t="str">
        <f>IF(B41="","",_xlfn.LET(_xlpm.t,LOWER(AZ41&amp;""),IF(ISNUMBER(SEARCH("dim",_xlpm.t)),"DIM",IF(ISNUMBER(SEARCH("dali",_xlpm.t)),"DALI",IF(OR(ISNUMBER(SEARCH("relay",_xlpm.t)),ISNUMBER(SEARCH("реле",_xlpm.t))),"Relay",IF(ISNUMBER(SEARCH("кнопк",_xlpm.t)),"",IFERROR(_xlfn.XLOOKUP(BC41,Коды_код,Коды_упр)&amp;"","")))))))</f>
        <v/>
      </c>
      <c r="DJ41" t="str">
        <f t="shared" si="34"/>
        <v/>
      </c>
      <c r="DK41">
        <f>IF(B41="","",_xlfn.LET(_xlpm.ig,IF(N(CX41)&gt;0,N(CX41),N(CI41)+IF(AJ41="вручную",0,N(CJ41))),_xlpm.n0,IFERROR(VLOOKUP(_xlpm.ig,Автомат_номиналы,2,TRUE),0),_xlpm.mn,MAX(DB41,IF(AJ41="вручную",0,N(CM41))),MAX(_xlpm.n0,_xlpm.mn,IF(DH41=1,Мин_автомат_БП,0))))</f>
        <v>10</v>
      </c>
      <c r="DL41">
        <f t="shared" si="35"/>
        <v>1</v>
      </c>
      <c r="DM41" t="str">
        <f t="shared" si="36"/>
        <v>1P</v>
      </c>
      <c r="DN41" t="str">
        <f>_xlfn.LET(_xlpm.cc,UPPER(TRIM(IFERROR(_xlfn.XLOOKUP(BC41,Коды_код,Коды_хар)&amp;"",""))),IF(OR(_xlpm.cc="B",_xlpm.cc="В"),"B",IF(_xlpm.cc="D","D","С")))</f>
        <v>С</v>
      </c>
      <c r="DO41" t="str">
        <f t="shared" si="37"/>
        <v>1P С10А</v>
      </c>
      <c r="DP41" t="str">
        <f t="shared" si="38"/>
        <v>1P С10А</v>
      </c>
      <c r="DQ41" t="str">
        <f t="shared" si="39"/>
        <v>1P С10А</v>
      </c>
      <c r="DR41" cm="1">
        <f t="array" ref="DR41">IF(DQ41="","",_xlfn.LET(_xlpm.t,SUBSTITUTE(SUBSTITUTE(SUBSTITUTE(UPPER(DQ41),"С","C"),"А","A"),"В","B"),_xlpm.tk,_xlfn.TEXTSPLIT(_xlpm.t," "),_xlpm.f,_xlfn._xlws.FILTER(_xlpm.tk,ISNUMBER(--MID(_xlpm.tk,2,1))*ISNUMBER(SEARCH(LEFT(_xlpm.tk,1)&amp;"#","B#C#D#"))*(LEN(_xlpm.tk)&gt;1),""),_xlpm.x,INDEX(_xlpm.f,1),IFERROR(--SUBSTITUTE(MID(_xlpm.x,2,9),"A",""),IFERROR(--SUBSTITUTE(INDEX(_xlfn._xlws.FILTER(_xlpm.tk,ISNUMBER(--SUBSTITUTE(_xlpm.tk,"A","")),""),1),"A",""),""))))</f>
        <v>10</v>
      </c>
      <c r="DS41" t="str">
        <f t="shared" si="40"/>
        <v>ok</v>
      </c>
      <c r="DT41">
        <f t="shared" si="41"/>
        <v>10</v>
      </c>
      <c r="DU41" t="str">
        <f t="shared" si="42"/>
        <v>1P С10А</v>
      </c>
      <c r="DV41">
        <f t="shared" si="43"/>
        <v>0</v>
      </c>
      <c r="DW41">
        <f t="shared" si="44"/>
        <v>0</v>
      </c>
      <c r="DX41">
        <f t="shared" si="45"/>
        <v>0</v>
      </c>
      <c r="DY41">
        <f t="shared" si="46"/>
        <v>0.455802844097073</v>
      </c>
      <c r="DZ41">
        <f t="shared" si="47"/>
        <v>1</v>
      </c>
      <c r="EA41">
        <f>IF(ISNUMBER(AP41),AP41,К_прокл)</f>
        <v>1</v>
      </c>
      <c r="EB41">
        <f t="shared" si="48"/>
        <v>2</v>
      </c>
      <c r="EC41">
        <f>IFERROR(N(VLOOKUP(BZ41,Кабель_обозначение,3,FALSE)),1)</f>
        <v>1</v>
      </c>
      <c r="ED41">
        <f>IFERROR(N(_xlfn.XLOOKUP(A41,Щиты[Щит],Щиты[ΔU до шин, %])),0)</f>
        <v>0.17</v>
      </c>
      <c r="EE41" t="str">
        <f>IFERROR(_xlfn.XLOOKUP(A41,Щиты[Щит],Щиты[Zпетли на шинах, Ом]),"")</f>
        <v/>
      </c>
      <c r="EF41">
        <f>IFERROR(N(_xlfn.XLOOKUP(A41,Щиты[Щит],Щиты[ΔU до шин (подбор), %])),0)</f>
        <v>0.65</v>
      </c>
      <c r="EG41" t="str">
        <f>IFERROR(_xlfn.XLOOKUP(A41,Щиты[Щит],Щиты[Zпетли на шинах (подбор), Ом]),"")</f>
        <v/>
      </c>
      <c r="EH41" t="str">
        <f t="shared" si="49"/>
        <v/>
      </c>
      <c r="EI41">
        <f t="shared" si="50"/>
        <v>10</v>
      </c>
      <c r="EJ41">
        <f t="shared" si="51"/>
        <v>2</v>
      </c>
      <c r="EK41">
        <f t="shared" si="52"/>
        <v>0.31</v>
      </c>
      <c r="EL41" s="6">
        <f>IF(B41="","",IF(BV41=1,dU_LED,IF(IFERROR(_xlfn.XLOOKUP(BC41,Коды_код,Коды_уго),"")="Светильник",3,4)+IF(Методика="нормы 2026",MIN(0.5,MAX(0,N(P41)-100)*0.005),0)))</f>
        <v>3</v>
      </c>
      <c r="EM41" cm="1">
        <f t="array" ref="EM41">IF(OR(B41="",BZ41="",EC41&lt;&gt;1),"",_xlfn.LET(_xlpm.sz,Iдоп_S,_xlpm.t_,CHOOSE(EB41,Iдоп_1ж,Iдоп_2ж,Iдоп_3ж)*DZ41*EA41,_xlpm.dcx,BV41=1,_xlpm.inn,IF(_xlpm.dcx,N(O41),N(DT41)),_xlpm.smin,MAX(1.5,CC41),_xlpm.L_,N(P41)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41)/N(BU41)*100,999),IFERROR(N(EJ41)*(_xlpm.rho*_xlpm.L_/_xlpm.sz*N(CE41)+_xlpm.xx*_xlpm.L_*N(EK41)/1000)*N(O41)/((Uн_лин/SQRT(3))*1000)*100,999)),_xlpm.kz,IF(OR(_xlpm.dcx,DW41=1,NOT(ISNUMBER(EG41)),_xlpm.L_=0,_xlpm.inn=0),1,IFERROR(--(c_min*(Uн_лин*1000/SQRT(3))/(EG41+2*ρкз_Cu*_xlpm.L_/_xlpm.sz)&gt;=HT41*_xlpm.inn),0)),_xlpm.ok,IFERROR((_xlpm.sz&gt;=_xlpm.smin)*(_xlpm.t_&gt;=_xlpm.inn)*IF(_xlpm.L_&gt;0,(_xlpm.du_+IF(_xlpm.dcx,0,EF41)&lt;=EL41+0.00001),1)*_xlpm.kz,0),_xlpm.r_,_xlfn._xlws.FILTER(_xlpm.sz,_xlpm.ok,"не подобрано"),INDEX(_xlpm.r_,1)))</f>
        <v>1.5</v>
      </c>
      <c r="EN41">
        <f t="shared" si="53"/>
        <v>1.5</v>
      </c>
      <c r="EO41" cm="1">
        <f t="array" ref="EO41">IF(OR(B41="",BZ41="",EC41&lt;&gt;1),"",_xlfn.LET(_xlpm.sz,Iдоп_S,_xlpm.t_,CHOOSE(EB41,Iдоп_1ж,Iдоп_2ж,Iдоп_3ж)*DZ41*EA41,_xlpm.ok,IFERROR((_xlpm.sz&gt;=MAX(1.5,CC41))*(_xlpm.t_&gt;=N(DT41)),0),_xlpm.r_,_xlfn._xlws.FILTER(_xlpm.sz,_xlpm.ok,""),INDEX(_xlpm.r_,1)))</f>
        <v>1.5</v>
      </c>
      <c r="EP41" s="6" cm="1">
        <f t="array" ref="EP41">IFERROR(ROUNDUP(N(EJ41)*(_xlfn.XLOOKUP(EO41,INDEX(Кабель_сопротивление,0,1),INDEX(Кабель_сопротивление,0,3))*N(P41)/EO41*N(CE41)+_xlfn.XLOOKUP(EO41,INDEX(Кабель_сопротивление,0,1),INDEX(Кабель_сопротивление,0,2))*N(P41)*N(EK41)/1000)*N(O41)/((Uн_лин/SQRT(3))*1000)*100,2),"")</f>
        <v>0.11</v>
      </c>
      <c r="EQ41">
        <f>IFERROR(2*ρкз_Cu*N(P41)/EO41,"")</f>
        <v>0.66626666666666667</v>
      </c>
      <c r="ER41">
        <f>IFERROR(VLOOKUP(EN41,Кабель_сопротивление,3,FALSE),"")</f>
        <v>2.2499999999999999E-2</v>
      </c>
      <c r="ES41">
        <f>IFERROR(VLOOKUP(EN41,Кабель_сопротивление,2,FALSE),"")</f>
        <v>0.11</v>
      </c>
      <c r="ET41">
        <f t="shared" si="54"/>
        <v>0</v>
      </c>
      <c r="EU41">
        <f t="shared" si="55"/>
        <v>15</v>
      </c>
      <c r="EV41">
        <f t="shared" si="56"/>
        <v>0.24740786940394599</v>
      </c>
      <c r="EW41" s="6">
        <f>IFERROR(ROUNDUP(EV41/IF(BV41=1,BU41,(Uн_лин/SQRT(3))*1000)*100,2),"")</f>
        <v>0.11</v>
      </c>
      <c r="EX41" t="str">
        <f>IFERROR(VLOOKUP(BZ41,Кабель_обозначение,2,FALSE),"")</f>
        <v>ВВГнг(А)-LS</v>
      </c>
      <c r="EY41" t="str">
        <f t="shared" si="57"/>
        <v>ВВГнг(А)-LS (3х1,5)</v>
      </c>
      <c r="EZ41" t="str">
        <f t="shared" si="58"/>
        <v>ВВГнг(А)-LS (3х1,5)
L=19-0,11%</v>
      </c>
      <c r="FA41">
        <f>IFERROR(2*ρкз_Cu*P41/EN41,"")</f>
        <v>0.66626666666666667</v>
      </c>
      <c r="FB41">
        <f t="shared" si="59"/>
        <v>0.22166666666666668</v>
      </c>
      <c r="FC41" s="6" t="str">
        <f>IFERROR(IF(OR(B41="",BV41=1,NOT(ISNUMBER(EN41)),N(P41)=0),"",_xlfn.XLOOKUP(A41,Щиты[Щит],Щиты[Zпетли на шинах, Ом])+FA41),"")</f>
        <v/>
      </c>
      <c r="FD41" s="6" t="str">
        <f>IF(ISNUMBER(FC41),c_min*(Uн_лин*1000/SQRT(3))/FC41,"")</f>
        <v/>
      </c>
      <c r="FE41" s="6" t="str">
        <f>IFERROR(IF(OR(B41="",NOT(ISNUMBER(EN41))),"",1.05*(Uн_лин*1000/SQRT(3))/(_xlfn.XLOOKUP(A41,Щиты[Щит],Щиты[Zmax на шинах, Ом])+FB41)/1000),"")</f>
        <v/>
      </c>
      <c r="FF41" s="6" t="str">
        <f>IF(B41="","",IF(ISNUMBER(AC41),"Сил",IF(IFERROR(_xlfn.XLOOKUP(BC41,Коды_код,Коды_группа)&amp;"","")="","Быт",_xlfn.XLOOKUP(BC41,Коды_код,Коды_группа)&amp;"")))</f>
        <v>Быт</v>
      </c>
      <c r="FG41" s="6" t="str">
        <f t="shared" si="60"/>
        <v>Быт</v>
      </c>
      <c r="FH41" s="6">
        <f>IF(FG41="Щит","щит",IF(FG41="","",IF(FG41="Быт",IFERROR(_xlfn.XLOOKUP(A41,Щиты[Щит],Щиты[Кс быт]),1),IF(FG41="Сил",IF(ISNUMBER(AC41),AC41,IF(Методика="нормы 2026",IFERROR(_xlfn.XLOOKUP(A41,Щиты[Щит],Щиты[Кс силовых (табл. 7.5)]),1),1)),IF(OR(FG41="Пост",FG41="Отоп"),1,IF(FG41="ВНГ",0.7,0))))))</f>
        <v>0.8</v>
      </c>
      <c r="FI41">
        <f>IF(FG41="","",IF(AND(BP41=1,TRIM(AE41&amp;"")=""),IF(COUNTIFS(Линии[Щит],A41,Линии[Секция (1/2/3)],"&gt;=2")&gt;0,MIN(3,MAX(1,IFERROR(--BD41,1))),1),IFERROR(MIN(3,MAX(1,INT(--AE41))),1)))</f>
        <v>1</v>
      </c>
      <c r="FJ41">
        <f t="shared" si="61"/>
        <v>0.1</v>
      </c>
      <c r="FK41">
        <f t="shared" si="62"/>
        <v>0.1</v>
      </c>
      <c r="FL41">
        <f t="shared" si="63"/>
        <v>0</v>
      </c>
      <c r="FM41">
        <f t="shared" si="64"/>
        <v>0</v>
      </c>
      <c r="FN41">
        <f t="shared" si="65"/>
        <v>0</v>
      </c>
      <c r="FO41">
        <f t="shared" si="66"/>
        <v>0</v>
      </c>
      <c r="FP41">
        <f t="shared" si="67"/>
        <v>0.1</v>
      </c>
      <c r="FQ41">
        <f t="shared" si="68"/>
        <v>0.1</v>
      </c>
      <c r="FR41">
        <f t="shared" si="69"/>
        <v>9.5000000000000001E-2</v>
      </c>
      <c r="FS41">
        <f>IF(CG41=1,IF(AND(CH41=1,CW41=1),0,IF(AND(CS41&lt;&gt;"",CS41=BA41,CW41=1),SUMIFS(Линии[_Р линии, кВт],Линии[_блок УЗО],BA41,Линии[Щит],A41),N(BS41)+IF(AJ41="вручную",0,N(CK41)))),0)</f>
        <v>0.1</v>
      </c>
      <c r="FT41" t="str">
        <f t="shared" si="70"/>
        <v/>
      </c>
      <c r="FU41" t="str">
        <f>IF(B41="","",IF(CG41=0,IF(BA41=1,"",FW40),IF(AND(CH41=1,CW41=1,CS41&lt;&gt;""),IFERROR(_xlfn.XLOOKUP(CS41,Линии[_n],Линии[_фаза итог]),"L1"),IF(OR(N(DL41)&gt;=3,N(BX41)&gt;=3),"L1,L2,L3",IFERROR(_xlfn.TEXTBEFORE(_xlfn.TEXTAFTER(_xlfn.XLOOKUP(A41,Щиты[Щит],Щиты[_фазы авто]),";"&amp;BA41&amp;":"),";"),"L1")))))</f>
        <v>L1</v>
      </c>
      <c r="FV41" t="str">
        <f t="shared" si="71"/>
        <v>L1</v>
      </c>
      <c r="FW41" t="str">
        <f t="shared" si="72"/>
        <v>L1</v>
      </c>
      <c r="FX41" cm="1">
        <f t="array" ref="FX41">IFERROR(IF(CD41=2,_xlfn.IFS(BX41=3,VLOOKUP(BS41,Справочная_двигатели,3,FALSE),BX41=1,VLOOKUP(BS41,Справочная_двигатели,5,TRUE)),0),0)</f>
        <v>0</v>
      </c>
      <c r="FY41">
        <f>IFERROR(IF(CD41=3,VLOOKUP(BS41,Справочная_ЛЭД,2,TRUE),0),0)</f>
        <v>50</v>
      </c>
      <c r="FZ41" s="6">
        <f t="shared" si="73"/>
        <v>50</v>
      </c>
      <c r="GA41" t="str">
        <f>IF(B41="","",IF(TRIM(AH41&amp;"")&lt;&gt;"",IF(LOWER(TRIM(AH41&amp;""))="да","да","нет"),IF(IFERROR(_xlfn.XLOOKUP(BC41,Коды_код,Коды_пожарная),"")="да","да","нет")))</f>
        <v>нет</v>
      </c>
      <c r="GB41" t="str">
        <f t="shared" si="74"/>
        <v/>
      </c>
      <c r="GC41" t="str">
        <f t="shared" si="75"/>
        <v>основная</v>
      </c>
      <c r="GD41">
        <f>IF(AND(BP41=1,TRIM(AE41&amp;"")=""),IF(COUNTIFS(Линии[Щит],A41,Линии[Секция (1/2/3)],"&gt;=2")&gt;0,MIN(3,MAX(1,IFERROR(--BD41,1))),1),IFERROR(MIN(3,MAX(1,INT(--AE41))),1))</f>
        <v>1</v>
      </c>
      <c r="GE41" t="str" cm="1">
        <f t="array" ref="GE41">IF(B41="","",_xlfn.LET(_xlpm.t,IFERROR(_xlfn.XLOOKUP(1,(Шины[Шина]=GC41)*(((Шины[Щит]=A41)+(Шины[Щит]=""))&gt;0),Шины[Тип]),"")&amp;"",IF(_xlpm.t&lt;&gt;"",_xlpm.t,IF(ISNUMBER(SEARCH("ИБП",GC41)),"ИБП",IF(ISNUMBER(SEARCH("ДГУ",GC41)),"ДГУ","Ввод "&amp;GD41)))))</f>
        <v>Ввод 1</v>
      </c>
      <c r="GF41" t="str">
        <f t="shared" si="76"/>
        <v>Ввод 1</v>
      </c>
      <c r="GG41" t="str">
        <f>IF(BP41=0,"",IF(TRIM(AG41&amp;"")&lt;&gt;"",TRIM(AG41&amp;""),IF(OR(GE41="ИБП",GE41="ДГУ"),"I особая",_xlfn.XLOOKUP(A41,Щиты[Щит],Щиты[Категория шины «Ввод»],"III"))))</f>
        <v/>
      </c>
      <c r="GH41" t="str">
        <f>IF(A41="","",_xlfn.XLOOKUP(A41,Щиты[Щит],Щиты[Путь],""))</f>
        <v>|ГРЩ-ЖД|ЩГП|ЩО-001|</v>
      </c>
      <c r="GI41" t="str">
        <f>IF(B41="","",IF(AI41&lt;&gt;"",AI41,IF(IFERROR(_xlfn.XLOOKUP(BC41,Коды_код,Коды_вид)&amp;"","")="","Прочее",_xlfn.XLOOKUP(BC41,Коды_код,Коды_вид)&amp;"")))</f>
        <v>Рабочее освещение</v>
      </c>
      <c r="GJ41" t="str">
        <f>IF(BM41="","",INT((BM41-1)/Столбцов_на_лист)+1)</f>
        <v/>
      </c>
      <c r="GK41" t="str">
        <f t="shared" si="77"/>
        <v>ВВГнг(А)-LS (3х1,5) L=19-0,11%</v>
      </c>
      <c r="GL41">
        <f t="shared" si="78"/>
        <v>0.1</v>
      </c>
      <c r="GM41">
        <f t="shared" si="79"/>
        <v>0.46</v>
      </c>
      <c r="GN41">
        <f t="shared" si="80"/>
        <v>1</v>
      </c>
      <c r="GO41">
        <f t="shared" si="81"/>
        <v>0</v>
      </c>
      <c r="GP41">
        <f t="shared" si="82"/>
        <v>0</v>
      </c>
      <c r="GQ41" t="str">
        <f>IF(BM41="","",IF(AND(CG41=1,GP41=1),COUNTIFS(A$3:A41,A41,CG$3:CG41,1,GP$3:GP41,1),IF(OR(OR(BA41=1,A41&lt;&gt;A40),AJ41="вручную",GP41=0),"",IF(BA41=1,"",GR40))))</f>
        <v/>
      </c>
      <c r="GR41" t="str">
        <f t="shared" si="83"/>
        <v/>
      </c>
      <c r="GS41">
        <f>IF(B41="","",IFERROR(LOOKUP(INDEX(CHOOSE(EB41,Iдоп_1ж,Iдоп_2ж,Iдоп_3ж),MATCH(EN41,Iдоп_S,0))*DZ41*EA41,{6,10,16,20,25,32,40,50,63,80,100,125,160,200,250,315,400,500,630}),""))</f>
        <v>16</v>
      </c>
      <c r="GT41" t="str">
        <f t="shared" si="84"/>
        <v/>
      </c>
      <c r="GU41" t="str">
        <f t="shared" si="85"/>
        <v/>
      </c>
      <c r="GV41" t="str">
        <f t="shared" si="86"/>
        <v/>
      </c>
      <c r="GW41">
        <f t="shared" si="87"/>
        <v>0</v>
      </c>
      <c r="GX41" t="str">
        <f>IF(OR(B41="",DJ41=""),"",IFERROR(_xlfn.XLOOKUP(DJ41,Модули_умолч[Управление],Модули_умолч[Модель])&amp;"",""))</f>
        <v/>
      </c>
      <c r="GY41">
        <f>IF(DJ41="",1,IFERROR(MAX(0,N(_xlfn.XLOOKUP(DJ41,Модули_умолч[Управление],Модули_умолч[Каналов на линию]))),1))</f>
        <v>1</v>
      </c>
      <c r="GZ41" t="str">
        <f t="shared" si="88"/>
        <v/>
      </c>
      <c r="HA41" t="str">
        <f t="shared" si="89"/>
        <v/>
      </c>
      <c r="HB41" t="str">
        <f t="shared" si="90"/>
        <v/>
      </c>
      <c r="HC41">
        <f>IF(HB41="",0,IFERROR(N(VLOOKUP(HB41,Модули_спр,3,FALSE)),0))</f>
        <v>0</v>
      </c>
      <c r="HD41" t="str">
        <f t="shared" si="91"/>
        <v/>
      </c>
      <c r="HE41" t="str">
        <f t="shared" si="92"/>
        <v/>
      </c>
      <c r="HF41" t="str">
        <f>IF(OR(HE41="",HE41="-"),"",IFERROR(VLOOKUP(HE41,Модули_спр,2,FALSE),"R"))</f>
        <v/>
      </c>
      <c r="HG41" t="str">
        <f>IF(HF41="","",HF41&amp;"."&amp;COUNTIFS(A$3:A41,A41,HF$3:HF41,HF41))</f>
        <v/>
      </c>
      <c r="HH41" t="str">
        <f t="shared" si="93"/>
        <v/>
      </c>
      <c r="HI41" t="str">
        <f t="shared" si="94"/>
        <v/>
      </c>
      <c r="HJ41" t="str">
        <f t="shared" si="95"/>
        <v/>
      </c>
      <c r="HK41" t="str">
        <f t="shared" si="96"/>
        <v/>
      </c>
      <c r="HL41">
        <f t="shared" si="97"/>
        <v>1</v>
      </c>
      <c r="HM41" t="str">
        <f>IF(HL41=1,"XT"&amp;COUNTIFS(A$3:A41,A41,HL$3:HL41,1),"")</f>
        <v>XT10</v>
      </c>
      <c r="HN41" t="str">
        <f t="shared" si="98"/>
        <v>XT10</v>
      </c>
      <c r="HO41" t="str">
        <f t="shared" si="99"/>
        <v/>
      </c>
      <c r="HP41" t="str">
        <f t="shared" si="100"/>
        <v/>
      </c>
      <c r="HQ41" t="str">
        <f t="shared" si="101"/>
        <v>ok</v>
      </c>
      <c r="HR41" t="str">
        <f>IF(OR(HJ41="",HH41=""),"",IF(HJ41+MAX(0,GY41-1)&gt;IFERROR(VLOOKUP(HI41,Модули_спр,3,FALSE),99),"ЛИШНИЙ КАНАЛ",IF(AND(AL41&lt;&gt;"=",GY41&gt;0,COUNTIFS(Линии[_модуль гр.],HH41,Линии[Канал (итог)],HJ41,Линии[Канал],"&lt;&gt;=",Линии[Щит],A41)&gt;1),"ДУБЛЬ КАНАЛА","")))</f>
        <v/>
      </c>
      <c r="HS41" s="6" t="str">
        <f t="shared" si="102"/>
        <v/>
      </c>
      <c r="HT41">
        <f t="shared" si="103"/>
        <v>10</v>
      </c>
      <c r="HU41" t="str">
        <f t="shared" si="104"/>
        <v/>
      </c>
      <c r="HV41">
        <f t="shared" si="105"/>
        <v>0.37232113763882924</v>
      </c>
      <c r="HW41">
        <f t="shared" si="106"/>
        <v>0</v>
      </c>
      <c r="HX41">
        <f t="shared" si="107"/>
        <v>0</v>
      </c>
      <c r="HY41">
        <f t="shared" si="108"/>
        <v>0</v>
      </c>
      <c r="HZ41">
        <f t="shared" si="109"/>
        <v>0</v>
      </c>
      <c r="IA41">
        <f t="shared" si="110"/>
        <v>0</v>
      </c>
      <c r="IB41">
        <f t="shared" si="111"/>
        <v>0</v>
      </c>
      <c r="IC41" t="str">
        <f t="shared" si="112"/>
        <v/>
      </c>
      <c r="ID41" t="str" cm="1">
        <f t="array" ref="ID41">IF(IC41="","",_xlfn.LET(_xlpm.tk,_xlfn.TEXTSPLIT(SUBSTITUTE(SUBSTITUTE(IC41,";"," "),"→"," ")," ",,TRUE),_xlpm.w_,_xlfn._xlws.FILTER(_xlpm.tk,ISNUMBER(--LEFT(_xlpm.tk,1))*((ISNUMBER(SEARCH("W",_xlpm.tk))+ISNUMBER(SEARCH("Вт",_xlpm.tk)))&gt;0),""),IFERROR(--SUBSTITUTE(SUBSTITUTE(UPPER(INDEX(_xlpm.w_,1)),"W",""),"ВТ",""),"")))</f>
        <v/>
      </c>
      <c r="IE41" t="str" cm="1">
        <f t="array" ref="IE41">IF(IC41="","",_xlfn.LET(_xlpm.tk,_xlfn.TEXTSPLIT(SUBSTITUTE(SUBSTITUTE(IC41,";"," "),"→"," ")," ",,TRUE),_xlpm.v_,_xlfn._xlws.FILTER(_xlpm.tk,ISNUMBER(--LEFT(_xlpm.tk,1))*((ISNUMBER(SEARCH("V",_xlpm.tk))+(RIGHT(UPPER(_xlpm.tk))="В"))&gt;0),""),IFERROR(--SUBSTITUTE(SUBSTITUTE(UPPER(INDEX(_xlpm.v_,1)),"V",""),"В",""),"")))</f>
        <v/>
      </c>
      <c r="IF41" s="6" t="str">
        <f>IF(OR(BV41=0,HI41="",HJ41=""),"",IFERROR(N(_xlfn.XLOOKUP(HI41,Каталог!$C$4:$C$500,Каталог!$Q$4:$Q$500)),""))</f>
        <v/>
      </c>
      <c r="IG41" s="6" t="str">
        <f>IF(N(IF41)=0,"",SUMIFS(Линии[Iр, А],Линии[Щит],A41,Линии[_модуль гр.],HH41,Линии[Канал (итог)],HJ41))</f>
        <v/>
      </c>
      <c r="IH41" t="str">
        <f>IF(AND(B41="",HO41=""),"",_xlfn.TEXTJOIN("; ",TRUE,IF(AND(B41&lt;&gt;"",FV41=""),"нет фазы",""),IF(AND(B41&lt;&gt;"",N(GL41)=0,FG41&lt;&gt;"Нет"),"нет мощности",""),IF(AND(HN41&lt;&gt;"",COUNTIFS(Линии[Щит],A41,Линии[Клемма (итог)],HN41)&gt;1),"дубль клеммы "&amp;HN41,""),IF(AND(HQ41&lt;&gt;"",HQ41&lt;&gt;"ok"),HQ41,""),IF(HR41&lt;&gt;"",HR41,""),IF(AND(N(CB41)&gt;=4,N(BX41)=1),CB41&amp;" жил на 1 фазе",""),IF(AND(BC41="R",CG41=1,IF(CS41&lt;&gt;"",N(CV41)&gt;30,OR(N(DA41)=0,N(DA41)&gt;30))),"розетка без дифзащиты до 30 мА",""),IF(AND(CG41=1,N(DA41)&gt;0,ISNUMBER(T41)),IF(T41&gt;N(DA41)/3,"ток утечки "&amp;FIXED(T41,1)&amp;" мА &gt; 1/3 уставки ("&amp;DA41&amp;" мА)",""),""),IF(AND(CH41=1,CS41=""),"«узо»: нет строки с УЗО выше (УЗО 2P 40А 30мА в «Аппаратах»)",""),IF(AND(CS41&lt;&gt;"",CS41=BA41),IF(CT41="","впишите номинал УЗО (УЗО 2P 40А 30мА)",IF(N(CT41)&lt;N(DT41),"УЗО "&amp;CT41&amp;" А &lt; автомата "&amp;DT41&amp;" А перед ним",IF(N(CT41)&lt;N(CX41),"УЗО "&amp;CT41&amp;" А &lt; тока блока "&amp;FIXED(CX41,1)&amp;" А",""))),""),IF(AND(CS41&lt;&gt;"",CS41=BA41,ISNUMBER(CY41)),IF(CY41&gt;N(CV41)/3,"ток утечки блока УЗО "&amp;FIXED(CY41,1)&amp;" мА &gt; 1/3 уставки ("&amp;CV41&amp;" мА)",""),""),IF(AND(CG41=1,N(BV41)+N(IB41)&gt;0,IC41=""),"линии до 50 В без БП: впишите в «Аппараты» (БП 24V 480W)",""),IF(AND(CG41=1,ISNUMBER(ID41),ISNUMBER(U41)),IF(U41&gt;ID41,"БП "&amp;ID41&amp;" Вт &lt; нужно "&amp;U41&amp;" Вт (×"&amp;Запас_БП&amp;")",""),""),IF(AND(CG41=1,ISNUMBER(IE41),N(BV41)=1),IF(IE41&lt;&gt;N(BU41),"БП на "&amp;IE41&amp;" В, линия "&amp;BU41&amp;" В",""),""),IF(AND(N(IF41)&gt;0,N(IG41)&gt;N(IF41)),HH41&amp;" канал "&amp;HJ41&amp;": "&amp;FIXED(IG41,1)&amp;" А &gt; "&amp;IF41&amp;" А",""),IFERROR(IF(AND(ISNUMBER(Q41),Q41&gt;EL41),"потери "&amp;FIXED(Q41,1)&amp;" % &gt; "&amp;EL41&amp;" %",""),""),IFERROR(IF(LEFT(HU41,4)="мало","Iкз мало — отключение &gt; 0,4 с",""),""),IF(AND(B41&lt;&gt;"",BM41=""),"не на схеме",""),IF(AND(CG41=0,B41&lt;&gt;"",FV41&lt;&gt;"",IF(BA41=1,"",FW40)&lt;&gt;"",FV41&lt;&gt;IF(BA41=1,"",FW40)),"фаза не как у автомата группы ("&amp;IF(BA41=1,"",FW40)&amp;")","")))</f>
        <v>не на схеме</v>
      </c>
      <c r="II41" s="6">
        <f>IF(OR(CG41=0,DQ41=""),"",_xlfn.LET(_xlpm.t,IFERROR(_xlfn.XLOOKUP(DQ41,Каталог!$U$4:$U$500,Каталог!$G$4:$G$500),""),_xlpm.k,SEARCH("кА",_xlpm.t),IFERROR(--TRIM(RIGHT(SUBSTITUTE(MID(_xlpm.t,MAX(1,_xlpm.k-4),_xlpm.k-MAX(1,_xlpm.k-4))," ",REPT(" ",9)),5)),"")))</f>
        <v>6</v>
      </c>
      <c r="IJ41" t="str">
        <f>IF(OR(II41="",CG41=0),"",IF(_xlfn.XLOOKUP(A41,Щиты[Щит],Щиты[Iкз max на шинах, кА],"")="","",IF(II41&lt;_xlfn.XLOOKUP(A41,Щиты[Щит],Щиты[Iкз max на шинах, кА]),"Icu "&amp;II41&amp;" кА &lt; Iкз max","ok")))</f>
        <v/>
      </c>
      <c r="IK41" t="str">
        <f t="shared" si="113"/>
        <v/>
      </c>
      <c r="IL41" t="str">
        <f t="shared" si="114"/>
        <v/>
      </c>
      <c r="IM41" t="str">
        <f t="shared" si="115"/>
        <v/>
      </c>
      <c r="IN41" t="str" cm="1">
        <f t="array" ref="IN41">IF(IM41="","",_xlfn.LET(_xlpm.nd,_xlfn.TEXTSPLIT(IM41,"|"),IF(COLUMNS(_xlpm.nd)&gt;1,A41&amp;"¦"&amp;INDEX(_xlpm.nd,1)&amp;"¦"&amp;INDEX(_xlpm.nd,2),"")))</f>
        <v/>
      </c>
      <c r="IO41" t="str">
        <f t="shared" si="116"/>
        <v/>
      </c>
      <c r="IP41" t="str" cm="1">
        <f t="array" ref="IP41">IF(IM41="","",_xlfn.LET(_xlpm.nd,_xlfn.TEXTSPLIT(IM41,"|"),IF(COLUMNS(_xlpm.nd)&gt;2,A41&amp;"¦"&amp;INDEX(_xlpm.nd,2)&amp;"¦"&amp;INDEX(_xlpm.nd,3),"")))</f>
        <v/>
      </c>
      <c r="IQ41" t="str">
        <f t="shared" si="117"/>
        <v/>
      </c>
      <c r="IR41" t="str" cm="1">
        <f t="array" ref="IR41">IF(IM41="","",_xlfn.LET(_xlpm.nd,_xlfn.TEXTSPLIT(IM41,"|"),IF(COLUMNS(_xlpm.nd)&gt;3,A41&amp;"¦"&amp;INDEX(_xlpm.nd,3)&amp;"¦"&amp;INDEX(_xlpm.nd,4),"")))</f>
        <v/>
      </c>
      <c r="IS41" t="str">
        <f t="shared" si="118"/>
        <v/>
      </c>
      <c r="IT41" t="str" cm="1">
        <f t="array" ref="IT41">IF(IM41="","",_xlfn.LET(_xlpm.nd,_xlfn.TEXTSPLIT(IM41,"|"),IF(COLUMNS(_xlpm.nd)&gt;4,A41&amp;"¦"&amp;INDEX(_xlpm.nd,4)&amp;"¦"&amp;INDEX(_xlpm.nd,5),"")))</f>
        <v/>
      </c>
      <c r="IU41" t="str">
        <f t="shared" si="119"/>
        <v/>
      </c>
      <c r="IV41" t="str" cm="1">
        <f t="array" ref="IV41">IF(IM41="","",_xlfn.LET(_xlpm.nd,_xlfn.TEXTSPLIT(IM41,"|"),IF(COLUMNS(_xlpm.nd)&gt;5,A41&amp;"¦"&amp;INDEX(_xlpm.nd,5)&amp;"¦"&amp;INDEX(_xlpm.nd,6),"")))</f>
        <v/>
      </c>
      <c r="IW41" t="str">
        <f t="shared" si="120"/>
        <v/>
      </c>
      <c r="IX41" t="str" cm="1">
        <f t="array" ref="IX41">IF(IM41="","",_xlfn.LET(_xlpm.nd,_xlfn.TEXTSPLIT(IM41,"|"),IF(COLUMNS(_xlpm.nd)&gt;6,A41&amp;"¦"&amp;INDEX(_xlpm.nd,6)&amp;"¦"&amp;INDEX(_xlpm.nd,7),"")))</f>
        <v/>
      </c>
      <c r="IY41" t="str">
        <f t="shared" si="121"/>
        <v/>
      </c>
      <c r="IZ41" t="str">
        <f t="shared" si="122"/>
        <v/>
      </c>
      <c r="JA41" t="str">
        <f t="shared" si="123"/>
        <v>XT10</v>
      </c>
      <c r="JB41">
        <f t="shared" si="124"/>
        <v>0</v>
      </c>
      <c r="JC41">
        <f t="shared" si="125"/>
        <v>0</v>
      </c>
      <c r="JD41" t="str">
        <f t="shared" si="126"/>
        <v/>
      </c>
      <c r="JE41" t="str">
        <f t="shared" si="127"/>
        <v/>
      </c>
      <c r="JF41" t="str">
        <f t="shared" si="128"/>
        <v/>
      </c>
      <c r="JG41" t="str">
        <f t="shared" si="129"/>
        <v/>
      </c>
      <c r="JH41" t="str">
        <f>IF(B41="","",IFERROR(_xlfn.XLOOKUP(B41,Коды_код,Коды_уго),IFERROR(_xlfn.XLOOKUP(BC41,Коды_код,Коды_уго),IFERROR(_xlfn.XLOOKUP(LEFT(BC41,2),Коды_код,Коды_уго),""))))</f>
        <v>Светильник</v>
      </c>
      <c r="JI41" t="str">
        <f>IF(B41="","",IF(OR(JH41="",JH41=0),"BOX",IFERROR(IF(VLOOKUP(JH41,УГО_блоки,3,FALSE)&amp;""&lt;&gt;"",VLOOKUP(JH41,УГО_блоки,3,FALSE),VLOOKUP(JH41,УГО_блоки,2,FALSE)),JH41)))</f>
        <v>LAMP</v>
      </c>
      <c r="JJ41">
        <f t="shared" si="130"/>
        <v>1</v>
      </c>
      <c r="JK41" t="str">
        <f>IF(DQ41="","",IF(COUNTIF(DQ$3:DQ41,DQ41)=1,MAX(JK$2:JK40)+1,""))</f>
        <v/>
      </c>
      <c r="JL41" t="str">
        <f>IF(DE41="","",IF(COUNTIF(DE$3:DE41,DE41)+COUNTIF(DF$2:DF40,DE41)+COUNTIF(DG$2:DG40,DE41)=1,MAX(JL$2:JN40)+1,""))</f>
        <v/>
      </c>
      <c r="JM41" t="str">
        <f>IF(DF41="","",IF(COUNTIF(DE$3:DE41,DF41)+COUNTIF(DF$3:DF41,DF41)+COUNTIF(DG$2:DG40,DF41)=1,MAX(JL$2:JN40,JL41)+1,""))</f>
        <v/>
      </c>
      <c r="JN41" t="str">
        <f>IF(DG41="","",IF(COUNTIF(DE$3:DE41,DG41)+COUNTIF(DF$3:DF41,DG41)+COUNTIF(DG$3:DG41,DG41)=1,MAX(JL$2:JN40,JL41,JM41)+1,""))</f>
        <v/>
      </c>
      <c r="JO41" t="str">
        <f t="shared" si="131"/>
        <v>3х1,5</v>
      </c>
      <c r="JP41" t="str">
        <f>IF(JO41="","",IF(COUNTIF(JO$3:JO41,JO41)=1,MAX(JP$2:JP40)+1,""))</f>
        <v/>
      </c>
      <c r="JQ41" t="str">
        <f>IF(HG41="","",COUNTIF(HG$3:HG41,"?*"))</f>
        <v/>
      </c>
      <c r="JR41" t="str">
        <f>IF(OR(HG41="",HI41=""),"",IF(COUNTIFS(HG$3:HG41,"?*",HI$3:HI41,HI41)=1,MAX(JR$2:JR40)+1,""))</f>
        <v/>
      </c>
      <c r="JS41">
        <f t="shared" si="132"/>
        <v>1</v>
      </c>
      <c r="JT41">
        <f>IF(B41="","",COUNTIF(B$3:B41,"?*"))</f>
        <v>39</v>
      </c>
      <c r="JU41">
        <f>IF(HL41&lt;&gt;1,0,_xlfn.LET(_xlpm.k,MAX(IFERROR(--_xlfn.XLOOKUP(B41,Коды_код,Коды_3L),0),IFERROR(--_xlfn.XLOOKUP(BC41,Коды_код,Коды_3L),0),IFERROR(--_xlfn.XLOOKUP(LEFT(BC41,2),Коды_код,Коды_3L),0)),IF(_xlpm.k&gt;0,_xlpm.k,IF(IFERROR(--LEFT(SUBSTITUTE(JO41,"x","х"),FIND("х",SUBSTITUTE(JO41,"x","х"))-1),3)&gt;3,Каталог!$S$9,1))))</f>
        <v>1</v>
      </c>
      <c r="JV41">
        <f t="shared" si="133"/>
        <v>0</v>
      </c>
      <c r="JW41" t="str">
        <f t="shared" si="134"/>
        <v>авто</v>
      </c>
      <c r="JX41" t="str">
        <f t="shared" si="135"/>
        <v/>
      </c>
      <c r="JY41">
        <f t="shared" si="136"/>
        <v>0</v>
      </c>
      <c r="JZ41">
        <f t="shared" si="137"/>
        <v>1</v>
      </c>
    </row>
    <row r="42" spans="1:286" x14ac:dyDescent="0.3">
      <c r="A42" t="s">
        <v>1109</v>
      </c>
      <c r="B42" t="s">
        <v>1356</v>
      </c>
      <c r="C42" t="str">
        <f>Линии[[#This Row],[_авто наименование]]</f>
        <v>Осветительная группа, пом. 005Б</v>
      </c>
      <c r="D42">
        <v>8</v>
      </c>
      <c r="E42">
        <v>0.1</v>
      </c>
      <c r="G42" t="str">
        <f>Линии[[#This Row],[_авто автомат]]</f>
        <v>1P С10А</v>
      </c>
      <c r="H42" t="str">
        <f>Линии[[#This Row],[_авто управление]]</f>
        <v/>
      </c>
      <c r="I42" t="str">
        <f>Линии[[#This Row],[_авто аппараты]]</f>
        <v/>
      </c>
      <c r="J42">
        <v>1.5</v>
      </c>
      <c r="K42">
        <v>47</v>
      </c>
      <c r="L42" t="str">
        <f>Линии[[#This Row],[_авто фаза]]</f>
        <v>L2</v>
      </c>
      <c r="M42" t="str">
        <f>Линии[[#This Row],[_авто клемма]]</f>
        <v>XT11</v>
      </c>
      <c r="N42" t="str">
        <f t="shared" si="0"/>
        <v>не на схеме</v>
      </c>
      <c r="O42" s="6" cm="1">
        <f t="array" ref="O42">IF(B42="","",IF(BH42&lt;&gt;"",IFERROR(_xlfn.XLOOKUP(BH42,Щиты[Щит],Щиты[Iр, А]),""),IF(BP42=1,IF(OR(N(_xlfn.XLOOKUP(A42,Щиты[Щит],Щиты[Вводов],1))&lt;=1,LOWER(TRIM(_xlfn.XLOOKUP(A42,Щиты[Щит],Щиты[АВР],"")&amp;""))="да"),IFERROR(_xlfn.XLOOKUP(A42,Щиты[Щит],Щиты[Iр, А]),""),IFERROR(N(BS42)*_xlfn.XLOOKUP(A42,Щиты[Щит],Щиты[Кс итог])/(SQRT(3)*Uн_лин*_xlfn.XLOOKUP(A42,Щиты[Щит],Щиты[cos φ])),"")),IF(BV42=1,IFERROR(BS42*1000/BU42,""),IFERROR(_xlfn.IFS(BX42=1,BS42/((Uн_лин/SQRT(3))*CE42),BX42=3,BS42/(SQRT(3)*Uн_лин*CE42)),"")))))</f>
        <v>0.455802844097073</v>
      </c>
      <c r="P42" s="7">
        <f>IF(B42="","",IFERROR(IF(VLOOKUP(BC42,Потребители_обозначение,4,FALSE)=1,VLOOKUP(BC42,Потребители_обозначение,3,FALSE)*(MAX(1,N(D42))*2-1)+EI42+VLOOKUP(BE42,Этаж_обозначение,3,FALSE)+VLOOKUP(BE42,Этаж_обозначение,4,FALSE),VLOOKUP(BC42,Потребители_обозначение,3,FALSE)*(MAX(1,N(D42))*2-1)+EI42),EI42))</f>
        <v>62</v>
      </c>
      <c r="Q42" s="6">
        <f t="shared" si="1"/>
        <v>0.52</v>
      </c>
      <c r="R42" t="str">
        <f t="shared" si="2"/>
        <v>ВВГнг(А)-LS (3х1,5)</v>
      </c>
      <c r="S42" t="str">
        <f>IF(BM42="","",IF(BN42="вводной узел","узел ","")&amp;"л."&amp;(INT((BM42-1)/Столбцов_на_лист)+1)&amp;" / "&amp;(MOD(BM42-1,Столбцов_на_лист)+1))</f>
        <v/>
      </c>
      <c r="T42" s="119">
        <f t="shared" si="3"/>
        <v>0.8</v>
      </c>
      <c r="U42" s="7" t="str">
        <f>IF(OR(CG42=0,N(BV42)+N(IB42)=0),"",ROUNDUP(Запас_БП*(N(HY42)+N(HZ42)),0))</f>
        <v/>
      </c>
      <c r="V42" s="119" t="str">
        <f t="shared" si="4"/>
        <v/>
      </c>
      <c r="W42" s="7" t="str">
        <f>IFERROR(IF(OR(B42="",BP42=1,BV42=1,NOT(ISNUMBER(EN42)),N(DT42)=0),"",MAX(0,ROUNDDOWN((c_min*(Uн_лин*1000/SQRT(3))/(HT42*N(DT42))-_xlfn.XLOOKUP(A42,Щиты[Щит],Щиты[Zпетли на шинах, Ом]))*EN42/(2*ρкз_Cu),0))),"")</f>
        <v/>
      </c>
      <c r="Y42" t="str">
        <f>Линии[[#This Row],[_авто утечка]]</f>
        <v/>
      </c>
      <c r="Z42">
        <v>1</v>
      </c>
      <c r="AA42">
        <v>230</v>
      </c>
      <c r="AB42" t="s">
        <v>562</v>
      </c>
      <c r="AI42" t="s">
        <v>555</v>
      </c>
      <c r="AK42" t="str">
        <f>Линии[[#This Row],[_авто модуль]]</f>
        <v/>
      </c>
      <c r="AM42" t="s">
        <v>527</v>
      </c>
      <c r="AN42" t="s">
        <v>11</v>
      </c>
      <c r="AO42">
        <v>3</v>
      </c>
      <c r="AQ42">
        <v>17</v>
      </c>
      <c r="AR42">
        <v>0</v>
      </c>
      <c r="AS42">
        <v>56</v>
      </c>
      <c r="BA42" cm="1">
        <f t="array" ref="BA42">ROW()-ROW(Линии[#Headers])</f>
        <v>40</v>
      </c>
      <c r="BC42" s="6" t="str">
        <f t="shared" si="5"/>
        <v>L</v>
      </c>
      <c r="BD42" t="str">
        <f t="shared" si="6"/>
        <v>00.005Б.1</v>
      </c>
      <c r="BE42" t="str">
        <f t="shared" si="7"/>
        <v>00</v>
      </c>
      <c r="BF42" t="str">
        <f t="shared" si="8"/>
        <v>005Б.1</v>
      </c>
      <c r="BG42" t="str">
        <f t="shared" si="9"/>
        <v>005Б</v>
      </c>
      <c r="BH42" t="str">
        <f>IF(X42&lt;&gt;"",X42,IF(AND(B42&lt;&gt;"",B42&lt;&gt;A42,ISNUMBER(_xlfn.XMATCH(B42,Щиты[Щит]))),B42,""))</f>
        <v/>
      </c>
      <c r="BI42" t="str" cm="1">
        <f t="array" ref="BI42">IF(B42="","",IF(BH42&lt;&gt;"","Щит "&amp;BH42,_xlfn.LET(_xlpm.nm,IFERROR(_xlfn.XLOOKUP(BC42,Коды_код,Коды_имя)&amp;"",""),_xlpm.md,IFERROR(N(_xlfn.XLOOKUP(BC42,Коды_код,Коды_режим)),1),_xlpm.ex,IF(Имя_режим="по экспликации",IFERROR(_xlfn.XLOOKUP(BE42&amp;"|"&amp;BG42,Экспликация[Этаж]&amp;"|"&amp;Экспликация[Помещение],Экспликация[Название])&amp;"",""),""),_xlpm.rm,IF(BG42="","",IF(_xlpm.ex&lt;&gt;"",". "&amp;_xlpm.ex&amp;IF(Имя_пом="нет"," ("&amp;BG42&amp;")"," (пом. "&amp;BG42&amp;")"),IF(Имя_пом="нет"," ",", пом. ")&amp;BG42)),IF(_xlpm.nm="","",IF(_xlpm.md=2,_xlpm.nm&amp;" шлейф "&amp;BE42,_xlpm.nm&amp;_xlpm.rm)))))</f>
        <v>Осветительная группа, пом. 005Б</v>
      </c>
      <c r="BJ42" t="str">
        <f t="shared" si="10"/>
        <v>Осветительная группа, пом. 005Б</v>
      </c>
      <c r="BK42">
        <f>IFERROR(_xlfn.XMATCH(A42,Щиты[Щит]),0)</f>
        <v>3</v>
      </c>
      <c r="BL42">
        <f>_xlfn.LET(_xlpm.k,IFERROR(_xlfn.XLOOKUP(A42,Щиты[Щит],Щиты[Мест под вводной узел]),""),IF(_xlpm.k="",Столбцов_на_лист,N(_xlpm.k)))</f>
        <v>17</v>
      </c>
      <c r="BM42" t="str">
        <f t="shared" si="11"/>
        <v/>
      </c>
      <c r="BN42" t="str">
        <f t="shared" si="12"/>
        <v/>
      </c>
      <c r="BO42" s="6">
        <f>IFERROR(N(_xlfn.XLOOKUP(BC42,Коды_код,Коды_квт)),0)</f>
        <v>0</v>
      </c>
      <c r="BP42">
        <f t="shared" si="13"/>
        <v>0</v>
      </c>
      <c r="BQ42" t="str">
        <f>IF(B42="","",IF(BH42&lt;&gt;"",IFERROR(_xlfn.XLOOKUP(BH42,Щиты[Щит],Щиты[Руст, кВт]),0),IF(BP42=1,IF(OR(N(_xlfn.XLOOKUP(A42,Щиты[Щит],Щиты[Вводов],1))&lt;=1,LOWER(TRIM(_xlfn.XLOOKUP(A42,Щиты[Щит],Щиты[АВР],"")&amp;""))="да"),IFERROR(_xlfn.XLOOKUP(A42,Щиты[Щит],Щиты[Руст, кВт]),0),SUMIFS(Линии[_Р для вводов],Линии[Щит],A42,Линии[Источник для режимов],GF42)),IF(BO42&gt;0,ROUND(BO42*MAX(1,N(D42)),3),""))))</f>
        <v/>
      </c>
      <c r="BR42">
        <f t="shared" si="14"/>
        <v>0.1</v>
      </c>
      <c r="BS42" s="6">
        <f>IF(B42="","",IF(BH42&lt;&gt;"",IFERROR(_xlfn.XLOOKUP(BH42,Щиты[Щит],Щиты[Руст, кВт]),0),N(BR42)))</f>
        <v>0.1</v>
      </c>
      <c r="BT42" t="str">
        <f>IF(B42="","",IFERROR(IF(VLOOKUP(BC42,Потребители_обозначение,8,FALSE)=0,"",VLOOKUP(BC42,Потребители_обозначение,8,FALSE)),""))</f>
        <v/>
      </c>
      <c r="BU42">
        <f t="shared" si="15"/>
        <v>230</v>
      </c>
      <c r="BV42">
        <f t="shared" si="16"/>
        <v>0</v>
      </c>
      <c r="BW42">
        <f>IF(B42="","",IF(BH42&lt;&gt;"",3,IFERROR(IF(N(VLOOKUP(BC42,Потребители_обозначение,9,FALSE))=0,1,VLOOKUP(BC42,Потребители_обозначение,9,FALSE)),1)))</f>
        <v>1</v>
      </c>
      <c r="BX42">
        <f t="shared" si="17"/>
        <v>1</v>
      </c>
      <c r="BY42" t="str">
        <f>IF(B42="","",_xlfn.LET(_xlpm.bc,IFERROR(IF(VLOOKUP(BC42,Потребители_обозначение,6,FALSE)=0,"",VLOOKUP(BC42,Потребители_обозначение,6,FALSE)&amp;""),""),IF(AND(GA42="да",OR(_xlpm.bc="",_xlpm.bc="мс")),Марка_пож,IF(AND(_xlpm.bc="",BH42&lt;&gt;""),"мс",_xlpm.bc))))</f>
        <v/>
      </c>
      <c r="BZ42" t="str">
        <f t="shared" si="18"/>
        <v>мс</v>
      </c>
      <c r="CA42">
        <f>IF(B42="","",_xlfn.LET(_xlpm.cc,IFERROR(N(VLOOKUP(BC42,Потребители_обозначение,7,FALSE)),0),IF(_xlpm.cc&gt;0,_xlpm.cc,IF(BZ42="","",IF(BV42=1,2,IF(N(BX42)=3,5,3))))))</f>
        <v>3</v>
      </c>
      <c r="CB42">
        <f t="shared" si="19"/>
        <v>3</v>
      </c>
      <c r="CC42">
        <f>IFERROR(N(VLOOKUP(BC42,Потребители_обозначение,10,FALSE)),0)</f>
        <v>0</v>
      </c>
      <c r="CD42">
        <f>IFERROR(VLOOKUP(BC42,Потребители_обозначение,5,FALSE),0)</f>
        <v>3</v>
      </c>
      <c r="CE42" s="6" cm="1">
        <f t="array" ref="CE42">IF(B42="","",IF(BH42&lt;&gt;"",IFERROR(_xlfn.XLOOKUP(BH42,Щиты[Щит],Щиты[cos φ]),0.95),IF(BP42=1,IFERROR(_xlfn.XLOOKUP(A42,Щиты[Щит],Щиты[cos φ]),0.95),IF(ISNUMBER(AD42),AD42,IFERROR(IF(CD42=2,_xlfn.IFS(BX42=3,VLOOKUP(BS42,Справочная_двигатели,8,FALSE),BX42=1,VLOOKUP(BS42,Справочная_двигатели,10,TRUE)),IF(AND(Методика="нормы 2026",FG42="Сил"),0.8,0.95)),0.95)))))</f>
        <v>0.95</v>
      </c>
      <c r="CF42">
        <f t="shared" si="20"/>
        <v>0</v>
      </c>
      <c r="CG42">
        <f t="shared" si="21"/>
        <v>1</v>
      </c>
      <c r="CH42">
        <f t="shared" si="22"/>
        <v>0</v>
      </c>
      <c r="CI42">
        <f>IF(B42="","",IF(BV42=1,IFERROR(BS42/((Uн_лин/SQRT(3))*MAX(0.5,N(CE42))),0),N(O42)))</f>
        <v>0.455802844097073</v>
      </c>
      <c r="CJ42">
        <f t="shared" si="23"/>
        <v>0</v>
      </c>
      <c r="CK42">
        <f t="shared" si="24"/>
        <v>0</v>
      </c>
      <c r="CL42">
        <f t="shared" si="25"/>
        <v>0</v>
      </c>
      <c r="CM42">
        <f t="shared" si="26"/>
        <v>0</v>
      </c>
      <c r="CN42">
        <f t="shared" si="27"/>
        <v>0</v>
      </c>
      <c r="CO42">
        <f>IF(BC42="",0,_xlfn.LET(_xlpm.v,IFERROR(_xlfn.XLOOKUP(B42,Коды_код,Коды_мА),IFERROR(_xlfn.XLOOKUP(BC42,Коды_код,Коды_мА),IFERROR(_xlfn.XLOOKUP(LEFT(BC42,2),Коды_код,Коды_мА),""))),IF(_xlpm.v="да",30,IF(ISNUMBER(_xlpm.v),_xlpm.v,0))))</f>
        <v>0</v>
      </c>
      <c r="CP42" t="str">
        <f t="shared" si="28"/>
        <v/>
      </c>
      <c r="CQ42" t="str">
        <f>_xlfn.LET(_xlpm.k,IFERROR(_xlfn.XLOOKUP(BC42,Коды_код,Коды_утечка)&amp;"",""),IF(_xlpm.k="","дифавтомат",_xlpm.k))</f>
        <v>дифавтомат</v>
      </c>
      <c r="CR42" t="str" cm="1">
        <f t="array" ref="CR42">IF(CG42=0,"",_xlfn.LET(_xlpm.sg,TRIM(_xlfn.TEXTSPLIT(DD42&amp;"",";")),_xlpm.f_,_xlfn._xlws.FILTER(_xlpm.sg,LEFT(_xlpm.sg,3)="УЗО",""),IFERROR(INDEX(_xlpm.f_,1)&amp;"","")))</f>
        <v/>
      </c>
      <c r="CS42" t="str">
        <f t="shared" si="29"/>
        <v/>
      </c>
      <c r="CT42" s="6" t="str" cm="1">
        <f t="array" ref="CT42">IF(CR42="","",_xlfn.LET(_xlpm.tk,_xlfn.TEXTSPLIT(UPPER(CR42)," ",,TRUE),_xlpm.a_,_xlfn._xlws.FILTER(_xlpm.tk,ISNUMBER(--LEFT(_xlpm.tk,1))*((ISNUMBER(SEARCH("А",_xlpm.tk))+ISNUMBER(SEARCH("A",_xlpm.tk)))&gt;0)*NOT(ISNUMBER(SEARCH("МА",_xlpm.tk)))*NOT(ISNUMBER(SEARCH("MA",_xlpm.tk))),""),IFERROR(--SUBSTITUTE(SUBSTITUTE(INDEX(_xlpm.a_,1),"А",""),"A",""),"")))</f>
        <v/>
      </c>
      <c r="CU42" t="str" cm="1">
        <f t="array" ref="CU42">IF(CR42="","",_xlfn.LET(_xlpm.tk,_xlfn.TEXTSPLIT(UPPER(CR42)," ",,TRUE),_xlpm.a_,_xlfn._xlws.FILTER(_xlpm.tk,ISNUMBER(--LEFT(_xlpm.tk,1))*((ISNUMBER(SEARCH("МА",_xlpm.tk))+ISNUMBER(SEARCH("MA",_xlpm.tk)))&gt;0),""),IFERROR(--SUBSTITUTE(SUBSTITUTE(INDEX(_xlpm.a_,1),"МА",""),"MA",""),30)))</f>
        <v/>
      </c>
      <c r="CV42" t="str">
        <f>IF(CS42="","",IFERROR(_xlfn.XLOOKUP(CS42,Линии[_n],Линии[_УЗО, мА]),30))</f>
        <v/>
      </c>
      <c r="CW42">
        <f>IF(CS42="",0,IF(ISNUMBER(SEARCH("4P",IFERROR(_xlfn.XLOOKUP(CS42,Линии[_n],Линии[_УЗО строки])&amp;"",""))),0,1))</f>
        <v>0</v>
      </c>
      <c r="CX42" t="str">
        <f>IF(AND(CS42&lt;&gt;"",CS42=BA42),SUMIFS(Линии[_ток на 230 В],Линии[_блок УЗО],BA42,Линии[Щит],A42),"")</f>
        <v/>
      </c>
      <c r="CY42" t="str">
        <f>IF(AND(CS42&lt;&gt;"",CS42=BA42),SUMIFS(Линии[_ток утечки линии, мА],Линии[_блок УЗО],BA42,Линии[Щит],A42),"")</f>
        <v/>
      </c>
      <c r="CZ42">
        <f t="shared" si="30"/>
        <v>0</v>
      </c>
      <c r="DA42">
        <f t="shared" si="31"/>
        <v>0</v>
      </c>
      <c r="DB42">
        <f>IF(B42="",0,IFERROR(--_xlfn.XLOOKUP(B42,Коды_код,Коды_минавт),IFERROR(--_xlfn.XLOOKUP(BC42,Коды_код,Коды_минавт),IFERROR(--_xlfn.XLOOKUP(LEFT(BC42,2),Коды_код,Коды_минавт),0))))</f>
        <v>10</v>
      </c>
      <c r="DC42" t="str">
        <f>IF(B42="","",IFERROR(_xlfn.XLOOKUP(BC42,Коды_код,Коды_апп)&amp;"",""))</f>
        <v/>
      </c>
      <c r="DD42" t="str">
        <f t="shared" si="32"/>
        <v/>
      </c>
      <c r="DE42" t="str" cm="1">
        <f t="array" ref="DE42">IF(TRIM(DD42&amp;"")="","",IFERROR(TRIM(INDEX(_xlfn.TEXTSPLIT(DD42&amp;";;;",";"),1)),""))</f>
        <v/>
      </c>
      <c r="DF42" t="str" cm="1">
        <f t="array" ref="DF42">IF(TRIM(DD42&amp;"")="","",IFERROR(TRIM(INDEX(_xlfn.TEXTSPLIT(DD42&amp;";;;",";"),2)),""))</f>
        <v/>
      </c>
      <c r="DG42" t="str" cm="1">
        <f t="array" ref="DG42">IF(TRIM(DD42&amp;"")="","",IFERROR(TRIM(INDEX(_xlfn.TEXTSPLIT(DD42&amp;";;;",";"),3)),""))</f>
        <v/>
      </c>
      <c r="DH42">
        <f t="shared" si="33"/>
        <v>0</v>
      </c>
      <c r="DI42" t="str">
        <f>IF(B42="","",_xlfn.LET(_xlpm.t,LOWER(AZ42&amp;""),IF(ISNUMBER(SEARCH("dim",_xlpm.t)),"DIM",IF(ISNUMBER(SEARCH("dali",_xlpm.t)),"DALI",IF(OR(ISNUMBER(SEARCH("relay",_xlpm.t)),ISNUMBER(SEARCH("реле",_xlpm.t))),"Relay",IF(ISNUMBER(SEARCH("кнопк",_xlpm.t)),"",IFERROR(_xlfn.XLOOKUP(BC42,Коды_код,Коды_упр)&amp;"","")))))))</f>
        <v/>
      </c>
      <c r="DJ42" t="str">
        <f t="shared" si="34"/>
        <v/>
      </c>
      <c r="DK42">
        <f>IF(B42="","",_xlfn.LET(_xlpm.ig,IF(N(CX42)&gt;0,N(CX42),N(CI42)+IF(AJ42="вручную",0,N(CJ42))),_xlpm.n0,IFERROR(VLOOKUP(_xlpm.ig,Автомат_номиналы,2,TRUE),0),_xlpm.mn,MAX(DB42,IF(AJ42="вручную",0,N(CM42))),MAX(_xlpm.n0,_xlpm.mn,IF(DH42=1,Мин_автомат_БП,0))))</f>
        <v>10</v>
      </c>
      <c r="DL42">
        <f t="shared" si="35"/>
        <v>1</v>
      </c>
      <c r="DM42" t="str">
        <f t="shared" si="36"/>
        <v>1P</v>
      </c>
      <c r="DN42" t="str">
        <f>_xlfn.LET(_xlpm.cc,UPPER(TRIM(IFERROR(_xlfn.XLOOKUP(BC42,Коды_код,Коды_хар)&amp;"",""))),IF(OR(_xlpm.cc="B",_xlpm.cc="В"),"B",IF(_xlpm.cc="D","D","С")))</f>
        <v>С</v>
      </c>
      <c r="DO42" t="str">
        <f t="shared" si="37"/>
        <v>1P С10А</v>
      </c>
      <c r="DP42" t="str">
        <f t="shared" si="38"/>
        <v>1P С10А</v>
      </c>
      <c r="DQ42" t="str">
        <f t="shared" si="39"/>
        <v>1P С10А</v>
      </c>
      <c r="DR42" cm="1">
        <f t="array" ref="DR42">IF(DQ42="","",_xlfn.LET(_xlpm.t,SUBSTITUTE(SUBSTITUTE(SUBSTITUTE(UPPER(DQ42),"С","C"),"А","A"),"В","B"),_xlpm.tk,_xlfn.TEXTSPLIT(_xlpm.t," "),_xlpm.f,_xlfn._xlws.FILTER(_xlpm.tk,ISNUMBER(--MID(_xlpm.tk,2,1))*ISNUMBER(SEARCH(LEFT(_xlpm.tk,1)&amp;"#","B#C#D#"))*(LEN(_xlpm.tk)&gt;1),""),_xlpm.x,INDEX(_xlpm.f,1),IFERROR(--SUBSTITUTE(MID(_xlpm.x,2,9),"A",""),IFERROR(--SUBSTITUTE(INDEX(_xlfn._xlws.FILTER(_xlpm.tk,ISNUMBER(--SUBSTITUTE(_xlpm.tk,"A","")),""),1),"A",""),""))))</f>
        <v>10</v>
      </c>
      <c r="DS42" t="str">
        <f t="shared" si="40"/>
        <v>ok</v>
      </c>
      <c r="DT42">
        <f t="shared" si="41"/>
        <v>10</v>
      </c>
      <c r="DU42" t="str">
        <f t="shared" si="42"/>
        <v>1P С10А</v>
      </c>
      <c r="DV42">
        <f t="shared" si="43"/>
        <v>0</v>
      </c>
      <c r="DW42">
        <f t="shared" si="44"/>
        <v>0</v>
      </c>
      <c r="DX42">
        <f t="shared" si="45"/>
        <v>0</v>
      </c>
      <c r="DY42">
        <f t="shared" si="46"/>
        <v>0.455802844097073</v>
      </c>
      <c r="DZ42">
        <f t="shared" si="47"/>
        <v>1</v>
      </c>
      <c r="EA42">
        <f>IF(ISNUMBER(AP42),AP42,К_прокл)</f>
        <v>1</v>
      </c>
      <c r="EB42">
        <f t="shared" si="48"/>
        <v>2</v>
      </c>
      <c r="EC42">
        <f>IFERROR(N(VLOOKUP(BZ42,Кабель_обозначение,3,FALSE)),1)</f>
        <v>1</v>
      </c>
      <c r="ED42">
        <f>IFERROR(N(_xlfn.XLOOKUP(A42,Щиты[Щит],Щиты[ΔU до шин, %])),0)</f>
        <v>0.17</v>
      </c>
      <c r="EE42" t="str">
        <f>IFERROR(_xlfn.XLOOKUP(A42,Щиты[Щит],Щиты[Zпетли на шинах, Ом]),"")</f>
        <v/>
      </c>
      <c r="EF42">
        <f>IFERROR(N(_xlfn.XLOOKUP(A42,Щиты[Щит],Щиты[ΔU до шин (подбор), %])),0)</f>
        <v>0.65</v>
      </c>
      <c r="EG42" t="str">
        <f>IFERROR(_xlfn.XLOOKUP(A42,Щиты[Щит],Щиты[Zпетли на шинах (подбор), Ом]),"")</f>
        <v/>
      </c>
      <c r="EH42" t="str">
        <f t="shared" si="49"/>
        <v/>
      </c>
      <c r="EI42">
        <f t="shared" si="50"/>
        <v>47</v>
      </c>
      <c r="EJ42">
        <f t="shared" si="51"/>
        <v>2</v>
      </c>
      <c r="EK42">
        <f t="shared" si="52"/>
        <v>0.31</v>
      </c>
      <c r="EL42" s="6">
        <f>IF(B42="","",IF(BV42=1,dU_LED,IF(IFERROR(_xlfn.XLOOKUP(BC42,Коды_код,Коды_уго),"")="Светильник",3,4)+IF(Методика="нормы 2026",MIN(0.5,MAX(0,N(P42)-100)*0.005),0)))</f>
        <v>3</v>
      </c>
      <c r="EM42" cm="1">
        <f t="array" ref="EM42">IF(OR(B42="",BZ42="",EC42&lt;&gt;1),"",_xlfn.LET(_xlpm.sz,Iдоп_S,_xlpm.t_,CHOOSE(EB42,Iдоп_1ж,Iдоп_2ж,Iдоп_3ж)*DZ42*EA42,_xlpm.dcx,BV42=1,_xlpm.inn,IF(_xlpm.dcx,N(O42),N(DT42)),_xlpm.smin,MAX(1.5,CC42),_xlpm.L_,N(P42)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42)/N(BU42)*100,999),IFERROR(N(EJ42)*(_xlpm.rho*_xlpm.L_/_xlpm.sz*N(CE42)+_xlpm.xx*_xlpm.L_*N(EK42)/1000)*N(O42)/((Uн_лин/SQRT(3))*1000)*100,999)),_xlpm.kz,IF(OR(_xlpm.dcx,DW42=1,NOT(ISNUMBER(EG42)),_xlpm.L_=0,_xlpm.inn=0),1,IFERROR(--(c_min*(Uн_лин*1000/SQRT(3))/(EG42+2*ρкз_Cu*_xlpm.L_/_xlpm.sz)&gt;=HT42*_xlpm.inn),0)),_xlpm.ok,IFERROR((_xlpm.sz&gt;=_xlpm.smin)*(_xlpm.t_&gt;=_xlpm.inn)*IF(_xlpm.L_&gt;0,(_xlpm.du_+IF(_xlpm.dcx,0,EF42)&lt;=EL42+0.00001),1)*_xlpm.kz,0),_xlpm.r_,_xlfn._xlws.FILTER(_xlpm.sz,_xlpm.ok,"не подобрано"),INDEX(_xlpm.r_,1)))</f>
        <v>1.5</v>
      </c>
      <c r="EN42">
        <f t="shared" si="53"/>
        <v>1.5</v>
      </c>
      <c r="EO42" cm="1">
        <f t="array" ref="EO42">IF(OR(B42="",BZ42="",EC42&lt;&gt;1),"",_xlfn.LET(_xlpm.sz,Iдоп_S,_xlpm.t_,CHOOSE(EB42,Iдоп_1ж,Iдоп_2ж,Iдоп_3ж)*DZ42*EA42,_xlpm.ok,IFERROR((_xlpm.sz&gt;=MAX(1.5,CC42))*(_xlpm.t_&gt;=N(DT42)),0),_xlpm.r_,_xlfn._xlws.FILTER(_xlpm.sz,_xlpm.ok,""),INDEX(_xlpm.r_,1)))</f>
        <v>1.5</v>
      </c>
      <c r="EP42" s="6" cm="1">
        <f t="array" ref="EP42">IFERROR(ROUNDUP(N(EJ42)*(_xlfn.XLOOKUP(EO42,INDEX(Кабель_сопротивление,0,1),INDEX(Кабель_сопротивление,0,3))*N(P42)/EO42*N(CE42)+_xlfn.XLOOKUP(EO42,INDEX(Кабель_сопротивление,0,1),INDEX(Кабель_сопротивление,0,2))*N(P42)*N(EK42)/1000)*N(O42)/((Uн_лин/SQRT(3))*1000)*100,2),"")</f>
        <v>0.35000000000000003</v>
      </c>
      <c r="EQ42">
        <f>IFERROR(2*ρкз_Cu*N(P42)/EO42,"")</f>
        <v>2.1741333333333333</v>
      </c>
      <c r="ER42">
        <f>IFERROR(VLOOKUP(EN42,Кабель_сопротивление,3,FALSE),"")</f>
        <v>2.2499999999999999E-2</v>
      </c>
      <c r="ES42">
        <f>IFERROR(VLOOKUP(EN42,Кабель_сопротивление,2,FALSE),"")</f>
        <v>0.11</v>
      </c>
      <c r="ET42">
        <f t="shared" si="54"/>
        <v>0</v>
      </c>
      <c r="EU42">
        <f t="shared" si="55"/>
        <v>56</v>
      </c>
      <c r="EV42">
        <f t="shared" si="56"/>
        <v>0.80733094226550794</v>
      </c>
      <c r="EW42" s="6">
        <f>IFERROR(ROUNDUP(EV42/IF(BV42=1,BU42,(Uн_лин/SQRT(3))*1000)*100,2),"")</f>
        <v>0.35000000000000003</v>
      </c>
      <c r="EX42" t="str">
        <f>IFERROR(VLOOKUP(BZ42,Кабель_обозначение,2,FALSE),"")</f>
        <v>ВВГнг(А)-LS</v>
      </c>
      <c r="EY42" t="str">
        <f t="shared" si="57"/>
        <v>ВВГнг(А)-LS (3х1,5)</v>
      </c>
      <c r="EZ42" t="str">
        <f t="shared" si="58"/>
        <v>ВВГнг(А)-LS (3х1,5)
L=62-0,35%</v>
      </c>
      <c r="FA42">
        <f>IFERROR(2*ρкз_Cu*P42/EN42,"")</f>
        <v>2.1741333333333333</v>
      </c>
      <c r="FB42">
        <f t="shared" si="59"/>
        <v>0.72333333333333349</v>
      </c>
      <c r="FC42" s="6" t="str">
        <f>IFERROR(IF(OR(B42="",BV42=1,NOT(ISNUMBER(EN42)),N(P42)=0),"",_xlfn.XLOOKUP(A42,Щиты[Щит],Щиты[Zпетли на шинах, Ом])+FA42),"")</f>
        <v/>
      </c>
      <c r="FD42" s="6" t="str">
        <f>IF(ISNUMBER(FC42),c_min*(Uн_лин*1000/SQRT(3))/FC42,"")</f>
        <v/>
      </c>
      <c r="FE42" s="6" t="str">
        <f>IFERROR(IF(OR(B42="",NOT(ISNUMBER(EN42))),"",1.05*(Uн_лин*1000/SQRT(3))/(_xlfn.XLOOKUP(A42,Щиты[Щит],Щиты[Zmax на шинах, Ом])+FB42)/1000),"")</f>
        <v/>
      </c>
      <c r="FF42" s="6" t="str">
        <f>IF(B42="","",IF(ISNUMBER(AC42),"Сил",IF(IFERROR(_xlfn.XLOOKUP(BC42,Коды_код,Коды_группа)&amp;"","")="","Быт",_xlfn.XLOOKUP(BC42,Коды_код,Коды_группа)&amp;"")))</f>
        <v>Быт</v>
      </c>
      <c r="FG42" s="6" t="str">
        <f t="shared" si="60"/>
        <v>Быт</v>
      </c>
      <c r="FH42" s="6">
        <f>IF(FG42="Щит","щит",IF(FG42="","",IF(FG42="Быт",IFERROR(_xlfn.XLOOKUP(A42,Щиты[Щит],Щиты[Кс быт]),1),IF(FG42="Сил",IF(ISNUMBER(AC42),AC42,IF(Методика="нормы 2026",IFERROR(_xlfn.XLOOKUP(A42,Щиты[Щит],Щиты[Кс силовых (табл. 7.5)]),1),1)),IF(OR(FG42="Пост",FG42="Отоп"),1,IF(FG42="ВНГ",0.7,0))))))</f>
        <v>0.8</v>
      </c>
      <c r="FI42">
        <f>IF(FG42="","",IF(AND(BP42=1,TRIM(AE42&amp;"")=""),IF(COUNTIFS(Линии[Щит],A42,Линии[Секция (1/2/3)],"&gt;=2")&gt;0,MIN(3,MAX(1,IFERROR(--BD42,1))),1),IFERROR(MIN(3,MAX(1,INT(--AE42))),1)))</f>
        <v>1</v>
      </c>
      <c r="FJ42">
        <f t="shared" si="61"/>
        <v>0.1</v>
      </c>
      <c r="FK42">
        <f t="shared" si="62"/>
        <v>0.1</v>
      </c>
      <c r="FL42">
        <f t="shared" si="63"/>
        <v>0</v>
      </c>
      <c r="FM42">
        <f t="shared" si="64"/>
        <v>0</v>
      </c>
      <c r="FN42">
        <f t="shared" si="65"/>
        <v>0</v>
      </c>
      <c r="FO42">
        <f t="shared" si="66"/>
        <v>0</v>
      </c>
      <c r="FP42">
        <f t="shared" si="67"/>
        <v>0.1</v>
      </c>
      <c r="FQ42">
        <f t="shared" si="68"/>
        <v>0.1</v>
      </c>
      <c r="FR42">
        <f t="shared" si="69"/>
        <v>9.5000000000000001E-2</v>
      </c>
      <c r="FS42">
        <f>IF(CG42=1,IF(AND(CH42=1,CW42=1),0,IF(AND(CS42&lt;&gt;"",CS42=BA42,CW42=1),SUMIFS(Линии[_Р линии, кВт],Линии[_блок УЗО],BA42,Линии[Щит],A42),N(BS42)+IF(AJ42="вручную",0,N(CK42)))),0)</f>
        <v>0.1</v>
      </c>
      <c r="FT42" t="str">
        <f t="shared" si="70"/>
        <v/>
      </c>
      <c r="FU42" t="str">
        <f>IF(B42="","",IF(CG42=0,IF(BA42=1,"",FW41),IF(AND(CH42=1,CW42=1,CS42&lt;&gt;""),IFERROR(_xlfn.XLOOKUP(CS42,Линии[_n],Линии[_фаза итог]),"L1"),IF(OR(N(DL42)&gt;=3,N(BX42)&gt;=3),"L1,L2,L3",IFERROR(_xlfn.TEXTBEFORE(_xlfn.TEXTAFTER(_xlfn.XLOOKUP(A42,Щиты[Щит],Щиты[_фазы авто]),";"&amp;BA42&amp;":"),";"),"L1")))))</f>
        <v>L2</v>
      </c>
      <c r="FV42" t="str">
        <f t="shared" si="71"/>
        <v>L2</v>
      </c>
      <c r="FW42" t="str">
        <f t="shared" si="72"/>
        <v>L2</v>
      </c>
      <c r="FX42" cm="1">
        <f t="array" ref="FX42">IFERROR(IF(CD42=2,_xlfn.IFS(BX42=3,VLOOKUP(BS42,Справочная_двигатели,3,FALSE),BX42=1,VLOOKUP(BS42,Справочная_двигатели,5,TRUE)),0),0)</f>
        <v>0</v>
      </c>
      <c r="FY42">
        <f>IFERROR(IF(CD42=3,VLOOKUP(BS42,Справочная_ЛЭД,2,TRUE),0),0)</f>
        <v>50</v>
      </c>
      <c r="FZ42" s="6">
        <f t="shared" si="73"/>
        <v>50</v>
      </c>
      <c r="GA42" t="str">
        <f>IF(B42="","",IF(TRIM(AH42&amp;"")&lt;&gt;"",IF(LOWER(TRIM(AH42&amp;""))="да","да","нет"),IF(IFERROR(_xlfn.XLOOKUP(BC42,Коды_код,Коды_пожарная),"")="да","да","нет")))</f>
        <v>нет</v>
      </c>
      <c r="GB42" t="str">
        <f t="shared" si="74"/>
        <v/>
      </c>
      <c r="GC42" t="str">
        <f t="shared" si="75"/>
        <v>основная</v>
      </c>
      <c r="GD42">
        <f>IF(AND(BP42=1,TRIM(AE42&amp;"")=""),IF(COUNTIFS(Линии[Щит],A42,Линии[Секция (1/2/3)],"&gt;=2")&gt;0,MIN(3,MAX(1,IFERROR(--BD42,1))),1),IFERROR(MIN(3,MAX(1,INT(--AE42))),1))</f>
        <v>1</v>
      </c>
      <c r="GE42" t="str" cm="1">
        <f t="array" ref="GE42">IF(B42="","",_xlfn.LET(_xlpm.t,IFERROR(_xlfn.XLOOKUP(1,(Шины[Шина]=GC42)*(((Шины[Щит]=A42)+(Шины[Щит]=""))&gt;0),Шины[Тип]),"")&amp;"",IF(_xlpm.t&lt;&gt;"",_xlpm.t,IF(ISNUMBER(SEARCH("ИБП",GC42)),"ИБП",IF(ISNUMBER(SEARCH("ДГУ",GC42)),"ДГУ","Ввод "&amp;GD42)))))</f>
        <v>Ввод 1</v>
      </c>
      <c r="GF42" t="str">
        <f t="shared" si="76"/>
        <v>Ввод 1</v>
      </c>
      <c r="GG42" t="str">
        <f>IF(BP42=0,"",IF(TRIM(AG42&amp;"")&lt;&gt;"",TRIM(AG42&amp;""),IF(OR(GE42="ИБП",GE42="ДГУ"),"I особая",_xlfn.XLOOKUP(A42,Щиты[Щит],Щиты[Категория шины «Ввод»],"III"))))</f>
        <v/>
      </c>
      <c r="GH42" t="str">
        <f>IF(A42="","",_xlfn.XLOOKUP(A42,Щиты[Щит],Щиты[Путь],""))</f>
        <v>|ГРЩ-ЖД|ЩГП|ЩО-001|</v>
      </c>
      <c r="GI42" t="str">
        <f>IF(B42="","",IF(AI42&lt;&gt;"",AI42,IF(IFERROR(_xlfn.XLOOKUP(BC42,Коды_код,Коды_вид)&amp;"","")="","Прочее",_xlfn.XLOOKUP(BC42,Коды_код,Коды_вид)&amp;"")))</f>
        <v>Рабочее освещение</v>
      </c>
      <c r="GJ42" t="str">
        <f>IF(BM42="","",INT((BM42-1)/Столбцов_на_лист)+1)</f>
        <v/>
      </c>
      <c r="GK42" t="str">
        <f t="shared" si="77"/>
        <v>ВВГнг(А)-LS (3х1,5) L=62-0,35%</v>
      </c>
      <c r="GL42">
        <f t="shared" si="78"/>
        <v>0.1</v>
      </c>
      <c r="GM42">
        <f t="shared" si="79"/>
        <v>0.46</v>
      </c>
      <c r="GN42">
        <f t="shared" si="80"/>
        <v>1</v>
      </c>
      <c r="GO42">
        <f t="shared" si="81"/>
        <v>0</v>
      </c>
      <c r="GP42">
        <f t="shared" si="82"/>
        <v>0</v>
      </c>
      <c r="GQ42" t="str">
        <f>IF(BM42="","",IF(AND(CG42=1,GP42=1),COUNTIFS(A$3:A42,A42,CG$3:CG42,1,GP$3:GP42,1),IF(OR(OR(BA42=1,A42&lt;&gt;A41),AJ42="вручную",GP42=0),"",IF(BA42=1,"",GR41))))</f>
        <v/>
      </c>
      <c r="GR42" t="str">
        <f t="shared" si="83"/>
        <v/>
      </c>
      <c r="GS42">
        <f>IF(B42="","",IFERROR(LOOKUP(INDEX(CHOOSE(EB42,Iдоп_1ж,Iдоп_2ж,Iдоп_3ж),MATCH(EN42,Iдоп_S,0))*DZ42*EA42,{6,10,16,20,25,32,40,50,63,80,100,125,160,200,250,315,400,500,630}),""))</f>
        <v>16</v>
      </c>
      <c r="GT42" t="str">
        <f t="shared" si="84"/>
        <v/>
      </c>
      <c r="GU42" t="str">
        <f t="shared" si="85"/>
        <v/>
      </c>
      <c r="GV42" t="str">
        <f t="shared" si="86"/>
        <v/>
      </c>
      <c r="GW42">
        <f t="shared" si="87"/>
        <v>0</v>
      </c>
      <c r="GX42" t="str">
        <f>IF(OR(B42="",DJ42=""),"",IFERROR(_xlfn.XLOOKUP(DJ42,Модули_умолч[Управление],Модули_умолч[Модель])&amp;"",""))</f>
        <v/>
      </c>
      <c r="GY42">
        <f>IF(DJ42="",1,IFERROR(MAX(0,N(_xlfn.XLOOKUP(DJ42,Модули_умолч[Управление],Модули_умолч[Каналов на линию]))),1))</f>
        <v>1</v>
      </c>
      <c r="GZ42" t="str">
        <f t="shared" si="88"/>
        <v/>
      </c>
      <c r="HA42" t="str">
        <f t="shared" si="89"/>
        <v/>
      </c>
      <c r="HB42" t="str">
        <f t="shared" si="90"/>
        <v/>
      </c>
      <c r="HC42">
        <f>IF(HB42="",0,IFERROR(N(VLOOKUP(HB42,Модули_спр,3,FALSE)),0))</f>
        <v>0</v>
      </c>
      <c r="HD42" t="str">
        <f t="shared" si="91"/>
        <v/>
      </c>
      <c r="HE42" t="str">
        <f t="shared" si="92"/>
        <v/>
      </c>
      <c r="HF42" t="str">
        <f>IF(OR(HE42="",HE42="-"),"",IFERROR(VLOOKUP(HE42,Модули_спр,2,FALSE),"R"))</f>
        <v/>
      </c>
      <c r="HG42" t="str">
        <f>IF(HF42="","",HF42&amp;"."&amp;COUNTIFS(A$3:A42,A42,HF$3:HF42,HF42))</f>
        <v/>
      </c>
      <c r="HH42" t="str">
        <f t="shared" si="93"/>
        <v/>
      </c>
      <c r="HI42" t="str">
        <f t="shared" si="94"/>
        <v/>
      </c>
      <c r="HJ42" t="str">
        <f t="shared" si="95"/>
        <v/>
      </c>
      <c r="HK42" t="str">
        <f t="shared" si="96"/>
        <v/>
      </c>
      <c r="HL42">
        <f t="shared" si="97"/>
        <v>1</v>
      </c>
      <c r="HM42" t="str">
        <f>IF(HL42=1,"XT"&amp;COUNTIFS(A$3:A42,A42,HL$3:HL42,1),"")</f>
        <v>XT11</v>
      </c>
      <c r="HN42" t="str">
        <f t="shared" si="98"/>
        <v>XT11</v>
      </c>
      <c r="HO42" t="str">
        <f t="shared" si="99"/>
        <v/>
      </c>
      <c r="HP42" t="str">
        <f t="shared" si="100"/>
        <v/>
      </c>
      <c r="HQ42" t="str">
        <f t="shared" si="101"/>
        <v>ok</v>
      </c>
      <c r="HR42" t="str">
        <f>IF(OR(HJ42="",HH42=""),"",IF(HJ42+MAX(0,GY42-1)&gt;IFERROR(VLOOKUP(HI42,Модули_спр,3,FALSE),99),"ЛИШНИЙ КАНАЛ",IF(AND(AL42&lt;&gt;"=",GY42&gt;0,COUNTIFS(Линии[_модуль гр.],HH42,Линии[Канал (итог)],HJ42,Линии[Канал],"&lt;&gt;=",Линии[Щит],A42)&gt;1),"ДУБЛЬ КАНАЛА","")))</f>
        <v/>
      </c>
      <c r="HS42" s="6" t="str">
        <f t="shared" si="102"/>
        <v/>
      </c>
      <c r="HT42">
        <f t="shared" si="103"/>
        <v>10</v>
      </c>
      <c r="HU42" t="str">
        <f t="shared" si="104"/>
        <v/>
      </c>
      <c r="HV42">
        <f t="shared" si="105"/>
        <v>0.80232113763882917</v>
      </c>
      <c r="HW42">
        <f t="shared" si="106"/>
        <v>0</v>
      </c>
      <c r="HX42">
        <f t="shared" si="107"/>
        <v>0</v>
      </c>
      <c r="HY42">
        <f t="shared" si="108"/>
        <v>0</v>
      </c>
      <c r="HZ42">
        <f t="shared" si="109"/>
        <v>0</v>
      </c>
      <c r="IA42">
        <f t="shared" si="110"/>
        <v>0</v>
      </c>
      <c r="IB42">
        <f t="shared" si="111"/>
        <v>0</v>
      </c>
      <c r="IC42" t="str">
        <f t="shared" si="112"/>
        <v/>
      </c>
      <c r="ID42" t="str" cm="1">
        <f t="array" ref="ID42">IF(IC42="","",_xlfn.LET(_xlpm.tk,_xlfn.TEXTSPLIT(SUBSTITUTE(SUBSTITUTE(IC42,";"," "),"→"," ")," ",,TRUE),_xlpm.w_,_xlfn._xlws.FILTER(_xlpm.tk,ISNUMBER(--LEFT(_xlpm.tk,1))*((ISNUMBER(SEARCH("W",_xlpm.tk))+ISNUMBER(SEARCH("Вт",_xlpm.tk)))&gt;0),""),IFERROR(--SUBSTITUTE(SUBSTITUTE(UPPER(INDEX(_xlpm.w_,1)),"W",""),"ВТ",""),"")))</f>
        <v/>
      </c>
      <c r="IE42" t="str" cm="1">
        <f t="array" ref="IE42">IF(IC42="","",_xlfn.LET(_xlpm.tk,_xlfn.TEXTSPLIT(SUBSTITUTE(SUBSTITUTE(IC42,";"," "),"→"," ")," ",,TRUE),_xlpm.v_,_xlfn._xlws.FILTER(_xlpm.tk,ISNUMBER(--LEFT(_xlpm.tk,1))*((ISNUMBER(SEARCH("V",_xlpm.tk))+(RIGHT(UPPER(_xlpm.tk))="В"))&gt;0),""),IFERROR(--SUBSTITUTE(SUBSTITUTE(UPPER(INDEX(_xlpm.v_,1)),"V",""),"В",""),"")))</f>
        <v/>
      </c>
      <c r="IF42" s="6" t="str">
        <f>IF(OR(BV42=0,HI42="",HJ42=""),"",IFERROR(N(_xlfn.XLOOKUP(HI42,Каталог!$C$4:$C$500,Каталог!$Q$4:$Q$500)),""))</f>
        <v/>
      </c>
      <c r="IG42" s="6" t="str">
        <f>IF(N(IF42)=0,"",SUMIFS(Линии[Iр, А],Линии[Щит],A42,Линии[_модуль гр.],HH42,Линии[Канал (итог)],HJ42))</f>
        <v/>
      </c>
      <c r="IH42" t="str">
        <f>IF(AND(B42="",HO42=""),"",_xlfn.TEXTJOIN("; ",TRUE,IF(AND(B42&lt;&gt;"",FV42=""),"нет фазы",""),IF(AND(B42&lt;&gt;"",N(GL42)=0,FG42&lt;&gt;"Нет"),"нет мощности",""),IF(AND(HN42&lt;&gt;"",COUNTIFS(Линии[Щит],A42,Линии[Клемма (итог)],HN42)&gt;1),"дубль клеммы "&amp;HN42,""),IF(AND(HQ42&lt;&gt;"",HQ42&lt;&gt;"ok"),HQ42,""),IF(HR42&lt;&gt;"",HR42,""),IF(AND(N(CB42)&gt;=4,N(BX42)=1),CB42&amp;" жил на 1 фазе",""),IF(AND(BC42="R",CG42=1,IF(CS42&lt;&gt;"",N(CV42)&gt;30,OR(N(DA42)=0,N(DA42)&gt;30))),"розетка без дифзащиты до 30 мА",""),IF(AND(CG42=1,N(DA42)&gt;0,ISNUMBER(T42)),IF(T42&gt;N(DA42)/3,"ток утечки "&amp;FIXED(T42,1)&amp;" мА &gt; 1/3 уставки ("&amp;DA42&amp;" мА)",""),""),IF(AND(CH42=1,CS42=""),"«узо»: нет строки с УЗО выше (УЗО 2P 40А 30мА в «Аппаратах»)",""),IF(AND(CS42&lt;&gt;"",CS42=BA42),IF(CT42="","впишите номинал УЗО (УЗО 2P 40А 30мА)",IF(N(CT42)&lt;N(DT42),"УЗО "&amp;CT42&amp;" А &lt; автомата "&amp;DT42&amp;" А перед ним",IF(N(CT42)&lt;N(CX42),"УЗО "&amp;CT42&amp;" А &lt; тока блока "&amp;FIXED(CX42,1)&amp;" А",""))),""),IF(AND(CS42&lt;&gt;"",CS42=BA42,ISNUMBER(CY42)),IF(CY42&gt;N(CV42)/3,"ток утечки блока УЗО "&amp;FIXED(CY42,1)&amp;" мА &gt; 1/3 уставки ("&amp;CV42&amp;" мА)",""),""),IF(AND(CG42=1,N(BV42)+N(IB42)&gt;0,IC42=""),"линии до 50 В без БП: впишите в «Аппараты» (БП 24V 480W)",""),IF(AND(CG42=1,ISNUMBER(ID42),ISNUMBER(U42)),IF(U42&gt;ID42,"БП "&amp;ID42&amp;" Вт &lt; нужно "&amp;U42&amp;" Вт (×"&amp;Запас_БП&amp;")",""),""),IF(AND(CG42=1,ISNUMBER(IE42),N(BV42)=1),IF(IE42&lt;&gt;N(BU42),"БП на "&amp;IE42&amp;" В, линия "&amp;BU42&amp;" В",""),""),IF(AND(N(IF42)&gt;0,N(IG42)&gt;N(IF42)),HH42&amp;" канал "&amp;HJ42&amp;": "&amp;FIXED(IG42,1)&amp;" А &gt; "&amp;IF42&amp;" А",""),IFERROR(IF(AND(ISNUMBER(Q42),Q42&gt;EL42),"потери "&amp;FIXED(Q42,1)&amp;" % &gt; "&amp;EL42&amp;" %",""),""),IFERROR(IF(LEFT(HU42,4)="мало","Iкз мало — отключение &gt; 0,4 с",""),""),IF(AND(B42&lt;&gt;"",BM42=""),"не на схеме",""),IF(AND(CG42=0,B42&lt;&gt;"",FV42&lt;&gt;"",IF(BA42=1,"",FW41)&lt;&gt;"",FV42&lt;&gt;IF(BA42=1,"",FW41)),"фаза не как у автомата группы ("&amp;IF(BA42=1,"",FW41)&amp;")","")))</f>
        <v>не на схеме</v>
      </c>
      <c r="II42" s="6">
        <f>IF(OR(CG42=0,DQ42=""),"",_xlfn.LET(_xlpm.t,IFERROR(_xlfn.XLOOKUP(DQ42,Каталог!$U$4:$U$500,Каталог!$G$4:$G$500),""),_xlpm.k,SEARCH("кА",_xlpm.t),IFERROR(--TRIM(RIGHT(SUBSTITUTE(MID(_xlpm.t,MAX(1,_xlpm.k-4),_xlpm.k-MAX(1,_xlpm.k-4))," ",REPT(" ",9)),5)),"")))</f>
        <v>6</v>
      </c>
      <c r="IJ42" t="str">
        <f>IF(OR(II42="",CG42=0),"",IF(_xlfn.XLOOKUP(A42,Щиты[Щит],Щиты[Iкз max на шинах, кА],"")="","",IF(II42&lt;_xlfn.XLOOKUP(A42,Щиты[Щит],Щиты[Iкз max на шинах, кА]),"Icu "&amp;II42&amp;" кА &lt; Iкз max","ok")))</f>
        <v/>
      </c>
      <c r="IK42" t="str">
        <f t="shared" si="113"/>
        <v/>
      </c>
      <c r="IL42" t="str">
        <f t="shared" si="114"/>
        <v/>
      </c>
      <c r="IM42" t="str">
        <f t="shared" si="115"/>
        <v/>
      </c>
      <c r="IN42" t="str" cm="1">
        <f t="array" ref="IN42">IF(IM42="","",_xlfn.LET(_xlpm.nd,_xlfn.TEXTSPLIT(IM42,"|"),IF(COLUMNS(_xlpm.nd)&gt;1,A42&amp;"¦"&amp;INDEX(_xlpm.nd,1)&amp;"¦"&amp;INDEX(_xlpm.nd,2),"")))</f>
        <v/>
      </c>
      <c r="IO42" t="str">
        <f t="shared" si="116"/>
        <v/>
      </c>
      <c r="IP42" t="str" cm="1">
        <f t="array" ref="IP42">IF(IM42="","",_xlfn.LET(_xlpm.nd,_xlfn.TEXTSPLIT(IM42,"|"),IF(COLUMNS(_xlpm.nd)&gt;2,A42&amp;"¦"&amp;INDEX(_xlpm.nd,2)&amp;"¦"&amp;INDEX(_xlpm.nd,3),"")))</f>
        <v/>
      </c>
      <c r="IQ42" t="str">
        <f t="shared" si="117"/>
        <v/>
      </c>
      <c r="IR42" t="str" cm="1">
        <f t="array" ref="IR42">IF(IM42="","",_xlfn.LET(_xlpm.nd,_xlfn.TEXTSPLIT(IM42,"|"),IF(COLUMNS(_xlpm.nd)&gt;3,A42&amp;"¦"&amp;INDEX(_xlpm.nd,3)&amp;"¦"&amp;INDEX(_xlpm.nd,4),"")))</f>
        <v/>
      </c>
      <c r="IS42" t="str">
        <f t="shared" si="118"/>
        <v/>
      </c>
      <c r="IT42" t="str" cm="1">
        <f t="array" ref="IT42">IF(IM42="","",_xlfn.LET(_xlpm.nd,_xlfn.TEXTSPLIT(IM42,"|"),IF(COLUMNS(_xlpm.nd)&gt;4,A42&amp;"¦"&amp;INDEX(_xlpm.nd,4)&amp;"¦"&amp;INDEX(_xlpm.nd,5),"")))</f>
        <v/>
      </c>
      <c r="IU42" t="str">
        <f t="shared" si="119"/>
        <v/>
      </c>
      <c r="IV42" t="str" cm="1">
        <f t="array" ref="IV42">IF(IM42="","",_xlfn.LET(_xlpm.nd,_xlfn.TEXTSPLIT(IM42,"|"),IF(COLUMNS(_xlpm.nd)&gt;5,A42&amp;"¦"&amp;INDEX(_xlpm.nd,5)&amp;"¦"&amp;INDEX(_xlpm.nd,6),"")))</f>
        <v/>
      </c>
      <c r="IW42" t="str">
        <f t="shared" si="120"/>
        <v/>
      </c>
      <c r="IX42" t="str" cm="1">
        <f t="array" ref="IX42">IF(IM42="","",_xlfn.LET(_xlpm.nd,_xlfn.TEXTSPLIT(IM42,"|"),IF(COLUMNS(_xlpm.nd)&gt;6,A42&amp;"¦"&amp;INDEX(_xlpm.nd,6)&amp;"¦"&amp;INDEX(_xlpm.nd,7),"")))</f>
        <v/>
      </c>
      <c r="IY42" t="str">
        <f t="shared" si="121"/>
        <v/>
      </c>
      <c r="IZ42" t="str">
        <f t="shared" si="122"/>
        <v/>
      </c>
      <c r="JA42" t="str">
        <f t="shared" si="123"/>
        <v>XT11</v>
      </c>
      <c r="JB42">
        <f t="shared" si="124"/>
        <v>0</v>
      </c>
      <c r="JC42">
        <f t="shared" si="125"/>
        <v>0</v>
      </c>
      <c r="JD42" t="str">
        <f t="shared" si="126"/>
        <v/>
      </c>
      <c r="JE42" t="str">
        <f t="shared" si="127"/>
        <v/>
      </c>
      <c r="JF42" t="str">
        <f t="shared" si="128"/>
        <v/>
      </c>
      <c r="JG42" t="str">
        <f t="shared" si="129"/>
        <v/>
      </c>
      <c r="JH42" t="str">
        <f>IF(B42="","",IFERROR(_xlfn.XLOOKUP(B42,Коды_код,Коды_уго),IFERROR(_xlfn.XLOOKUP(BC42,Коды_код,Коды_уго),IFERROR(_xlfn.XLOOKUP(LEFT(BC42,2),Коды_код,Коды_уго),""))))</f>
        <v>Светильник</v>
      </c>
      <c r="JI42" t="str">
        <f>IF(B42="","",IF(OR(JH42="",JH42=0),"BOX",IFERROR(IF(VLOOKUP(JH42,УГО_блоки,3,FALSE)&amp;""&lt;&gt;"",VLOOKUP(JH42,УГО_блоки,3,FALSE),VLOOKUP(JH42,УГО_блоки,2,FALSE)),JH42)))</f>
        <v>LAMP</v>
      </c>
      <c r="JJ42">
        <f t="shared" si="130"/>
        <v>1</v>
      </c>
      <c r="JK42" t="str">
        <f>IF(DQ42="","",IF(COUNTIF(DQ$3:DQ42,DQ42)=1,MAX(JK$2:JK41)+1,""))</f>
        <v/>
      </c>
      <c r="JL42" t="str">
        <f>IF(DE42="","",IF(COUNTIF(DE$3:DE42,DE42)+COUNTIF(DF$2:DF41,DE42)+COUNTIF(DG$2:DG41,DE42)=1,MAX(JL$2:JN41)+1,""))</f>
        <v/>
      </c>
      <c r="JM42" t="str">
        <f>IF(DF42="","",IF(COUNTIF(DE$3:DE42,DF42)+COUNTIF(DF$3:DF42,DF42)+COUNTIF(DG$2:DG41,DF42)=1,MAX(JL$2:JN41,JL42)+1,""))</f>
        <v/>
      </c>
      <c r="JN42" t="str">
        <f>IF(DG42="","",IF(COUNTIF(DE$3:DE42,DG42)+COUNTIF(DF$3:DF42,DG42)+COUNTIF(DG$3:DG42,DG42)=1,MAX(JL$2:JN41,JL42,JM42)+1,""))</f>
        <v/>
      </c>
      <c r="JO42" t="str">
        <f t="shared" si="131"/>
        <v>3х1,5</v>
      </c>
      <c r="JP42" t="str">
        <f>IF(JO42="","",IF(COUNTIF(JO$3:JO42,JO42)=1,MAX(JP$2:JP41)+1,""))</f>
        <v/>
      </c>
      <c r="JQ42" t="str">
        <f>IF(HG42="","",COUNTIF(HG$3:HG42,"?*"))</f>
        <v/>
      </c>
      <c r="JR42" t="str">
        <f>IF(OR(HG42="",HI42=""),"",IF(COUNTIFS(HG$3:HG42,"?*",HI$3:HI42,HI42)=1,MAX(JR$2:JR41)+1,""))</f>
        <v/>
      </c>
      <c r="JS42">
        <f t="shared" si="132"/>
        <v>1</v>
      </c>
      <c r="JT42">
        <f>IF(B42="","",COUNTIF(B$3:B42,"?*"))</f>
        <v>40</v>
      </c>
      <c r="JU42">
        <f>IF(HL42&lt;&gt;1,0,_xlfn.LET(_xlpm.k,MAX(IFERROR(--_xlfn.XLOOKUP(B42,Коды_код,Коды_3L),0),IFERROR(--_xlfn.XLOOKUP(BC42,Коды_код,Коды_3L),0),IFERROR(--_xlfn.XLOOKUP(LEFT(BC42,2),Коды_код,Коды_3L),0)),IF(_xlpm.k&gt;0,_xlpm.k,IF(IFERROR(--LEFT(SUBSTITUTE(JO42,"x","х"),FIND("х",SUBSTITUTE(JO42,"x","х"))-1),3)&gt;3,Каталог!$S$9,1))))</f>
        <v>1</v>
      </c>
      <c r="JV42">
        <f t="shared" si="133"/>
        <v>0</v>
      </c>
      <c r="JW42" t="str">
        <f t="shared" si="134"/>
        <v>авто</v>
      </c>
      <c r="JX42" t="str">
        <f t="shared" si="135"/>
        <v/>
      </c>
      <c r="JY42">
        <f t="shared" si="136"/>
        <v>0</v>
      </c>
      <c r="JZ42">
        <f t="shared" si="137"/>
        <v>1</v>
      </c>
    </row>
    <row r="43" spans="1:286" x14ac:dyDescent="0.3">
      <c r="A43" t="s">
        <v>1109</v>
      </c>
      <c r="B43" t="s">
        <v>1357</v>
      </c>
      <c r="C43" t="str">
        <f>Линии[[#This Row],[_авто наименование]]</f>
        <v>Осветительная группа, пом. 005Т</v>
      </c>
      <c r="D43">
        <v>10</v>
      </c>
      <c r="E43">
        <v>0.1</v>
      </c>
      <c r="G43" t="str">
        <f>Линии[[#This Row],[_авто автомат]]</f>
        <v>1P С10А</v>
      </c>
      <c r="H43" t="str">
        <f>Линии[[#This Row],[_авто управление]]</f>
        <v/>
      </c>
      <c r="I43" t="str">
        <f>Линии[[#This Row],[_авто аппараты]]</f>
        <v/>
      </c>
      <c r="J43">
        <v>1.5</v>
      </c>
      <c r="K43">
        <v>61</v>
      </c>
      <c r="L43" t="str">
        <f>Линии[[#This Row],[_авто фаза]]</f>
        <v>L3</v>
      </c>
      <c r="M43" t="str">
        <f>Линии[[#This Row],[_авто клемма]]</f>
        <v>XT12</v>
      </c>
      <c r="N43" t="str">
        <f t="shared" si="0"/>
        <v>не на схеме</v>
      </c>
      <c r="O43" s="6" cm="1">
        <f t="array" ref="O43">IF(B43="","",IF(BH43&lt;&gt;"",IFERROR(_xlfn.XLOOKUP(BH43,Щиты[Щит],Щиты[Iр, А]),""),IF(BP43=1,IF(OR(N(_xlfn.XLOOKUP(A43,Щиты[Щит],Щиты[Вводов],1))&lt;=1,LOWER(TRIM(_xlfn.XLOOKUP(A43,Щиты[Щит],Щиты[АВР],"")&amp;""))="да"),IFERROR(_xlfn.XLOOKUP(A43,Щиты[Щит],Щиты[Iр, А]),""),IFERROR(N(BS43)*_xlfn.XLOOKUP(A43,Щиты[Щит],Щиты[Кс итог])/(SQRT(3)*Uн_лин*_xlfn.XLOOKUP(A43,Щиты[Щит],Щиты[cos φ])),"")),IF(BV43=1,IFERROR(BS43*1000/BU43,""),IFERROR(_xlfn.IFS(BX43=1,BS43/((Uн_лин/SQRT(3))*CE43),BX43=3,BS43/(SQRT(3)*Uн_лин*CE43)),"")))))</f>
        <v>0.455802844097073</v>
      </c>
      <c r="P43" s="7">
        <f>IF(B43="","",IFERROR(IF(VLOOKUP(BC43,Потребители_обозначение,4,FALSE)=1,VLOOKUP(BC43,Потребители_обозначение,3,FALSE)*(MAX(1,N(D43))*2-1)+EI43+VLOOKUP(BE43,Этаж_обозначение,3,FALSE)+VLOOKUP(BE43,Этаж_обозначение,4,FALSE),VLOOKUP(BC43,Потребители_обозначение,3,FALSE)*(MAX(1,N(D43))*2-1)+EI43),EI43))</f>
        <v>80</v>
      </c>
      <c r="Q43" s="6">
        <f t="shared" si="1"/>
        <v>0.63</v>
      </c>
      <c r="R43" t="str">
        <f t="shared" si="2"/>
        <v>ВВГнг(А)-LS (3х1,5)</v>
      </c>
      <c r="S43" t="str">
        <f>IF(BM43="","",IF(BN43="вводной узел","узел ","")&amp;"л."&amp;(INT((BM43-1)/Столбцов_на_лист)+1)&amp;" / "&amp;(MOD(BM43-1,Столбцов_на_лист)+1))</f>
        <v/>
      </c>
      <c r="T43" s="119">
        <f t="shared" si="3"/>
        <v>1</v>
      </c>
      <c r="U43" s="7" t="str">
        <f>IF(OR(CG43=0,N(BV43)+N(IB43)=0),"",ROUNDUP(Запас_БП*(N(HY43)+N(HZ43)),0))</f>
        <v/>
      </c>
      <c r="V43" s="119" t="str">
        <f t="shared" si="4"/>
        <v/>
      </c>
      <c r="W43" s="7" t="str">
        <f>IFERROR(IF(OR(B43="",BP43=1,BV43=1,NOT(ISNUMBER(EN43)),N(DT43)=0),"",MAX(0,ROUNDDOWN((c_min*(Uн_лин*1000/SQRT(3))/(HT43*N(DT43))-_xlfn.XLOOKUP(A43,Щиты[Щит],Щиты[Zпетли на шинах, Ом]))*EN43/(2*ρкз_Cu),0))),"")</f>
        <v/>
      </c>
      <c r="Y43" t="str">
        <f>Линии[[#This Row],[_авто утечка]]</f>
        <v/>
      </c>
      <c r="Z43">
        <v>1</v>
      </c>
      <c r="AA43">
        <v>230</v>
      </c>
      <c r="AB43" t="s">
        <v>562</v>
      </c>
      <c r="AI43" t="s">
        <v>555</v>
      </c>
      <c r="AK43" t="str">
        <f>Линии[[#This Row],[_авто модуль]]</f>
        <v/>
      </c>
      <c r="AM43" t="s">
        <v>527</v>
      </c>
      <c r="AN43" t="s">
        <v>11</v>
      </c>
      <c r="AO43">
        <v>3</v>
      </c>
      <c r="AQ43">
        <v>19</v>
      </c>
      <c r="AR43">
        <v>53</v>
      </c>
      <c r="BA43" cm="1">
        <f t="array" ref="BA43">ROW()-ROW(Линии[#Headers])</f>
        <v>41</v>
      </c>
      <c r="BC43" s="6" t="str">
        <f t="shared" si="5"/>
        <v>L</v>
      </c>
      <c r="BD43" t="str">
        <f t="shared" si="6"/>
        <v>00.005Т.1</v>
      </c>
      <c r="BE43" t="str">
        <f t="shared" si="7"/>
        <v>00</v>
      </c>
      <c r="BF43" t="str">
        <f t="shared" si="8"/>
        <v>005Т.1</v>
      </c>
      <c r="BG43" t="str">
        <f t="shared" si="9"/>
        <v>005Т</v>
      </c>
      <c r="BH43" t="str">
        <f>IF(X43&lt;&gt;"",X43,IF(AND(B43&lt;&gt;"",B43&lt;&gt;A43,ISNUMBER(_xlfn.XMATCH(B43,Щиты[Щит]))),B43,""))</f>
        <v/>
      </c>
      <c r="BI43" t="str" cm="1">
        <f t="array" ref="BI43">IF(B43="","",IF(BH43&lt;&gt;"","Щит "&amp;BH43,_xlfn.LET(_xlpm.nm,IFERROR(_xlfn.XLOOKUP(BC43,Коды_код,Коды_имя)&amp;"",""),_xlpm.md,IFERROR(N(_xlfn.XLOOKUP(BC43,Коды_код,Коды_режим)),1),_xlpm.ex,IF(Имя_режим="по экспликации",IFERROR(_xlfn.XLOOKUP(BE43&amp;"|"&amp;BG43,Экспликация[Этаж]&amp;"|"&amp;Экспликация[Помещение],Экспликация[Название])&amp;"",""),""),_xlpm.rm,IF(BG43="","",IF(_xlpm.ex&lt;&gt;"",". "&amp;_xlpm.ex&amp;IF(Имя_пом="нет"," ("&amp;BG43&amp;")"," (пом. "&amp;BG43&amp;")"),IF(Имя_пом="нет"," ",", пом. ")&amp;BG43)),IF(_xlpm.nm="","",IF(_xlpm.md=2,_xlpm.nm&amp;" шлейф "&amp;BE43,_xlpm.nm&amp;_xlpm.rm)))))</f>
        <v>Осветительная группа, пом. 005Т</v>
      </c>
      <c r="BJ43" t="str">
        <f t="shared" si="10"/>
        <v>Осветительная группа, пом. 005Т</v>
      </c>
      <c r="BK43">
        <f>IFERROR(_xlfn.XMATCH(A43,Щиты[Щит]),0)</f>
        <v>3</v>
      </c>
      <c r="BL43">
        <f>_xlfn.LET(_xlpm.k,IFERROR(_xlfn.XLOOKUP(A43,Щиты[Щит],Щиты[Мест под вводной узел]),""),IF(_xlpm.k="",Столбцов_на_лист,N(_xlpm.k)))</f>
        <v>17</v>
      </c>
      <c r="BM43" t="str">
        <f t="shared" si="11"/>
        <v/>
      </c>
      <c r="BN43" t="str">
        <f t="shared" si="12"/>
        <v/>
      </c>
      <c r="BO43" s="6">
        <f>IFERROR(N(_xlfn.XLOOKUP(BC43,Коды_код,Коды_квт)),0)</f>
        <v>0</v>
      </c>
      <c r="BP43">
        <f t="shared" si="13"/>
        <v>0</v>
      </c>
      <c r="BQ43" t="str">
        <f>IF(B43="","",IF(BH43&lt;&gt;"",IFERROR(_xlfn.XLOOKUP(BH43,Щиты[Щит],Щиты[Руст, кВт]),0),IF(BP43=1,IF(OR(N(_xlfn.XLOOKUP(A43,Щиты[Щит],Щиты[Вводов],1))&lt;=1,LOWER(TRIM(_xlfn.XLOOKUP(A43,Щиты[Щит],Щиты[АВР],"")&amp;""))="да"),IFERROR(_xlfn.XLOOKUP(A43,Щиты[Щит],Щиты[Руст, кВт]),0),SUMIFS(Линии[_Р для вводов],Линии[Щит],A43,Линии[Источник для режимов],GF43)),IF(BO43&gt;0,ROUND(BO43*MAX(1,N(D43)),3),""))))</f>
        <v/>
      </c>
      <c r="BR43">
        <f t="shared" si="14"/>
        <v>0.1</v>
      </c>
      <c r="BS43" s="6">
        <f>IF(B43="","",IF(BH43&lt;&gt;"",IFERROR(_xlfn.XLOOKUP(BH43,Щиты[Щит],Щиты[Руст, кВт]),0),N(BR43)))</f>
        <v>0.1</v>
      </c>
      <c r="BT43" t="str">
        <f>IF(B43="","",IFERROR(IF(VLOOKUP(BC43,Потребители_обозначение,8,FALSE)=0,"",VLOOKUP(BC43,Потребители_обозначение,8,FALSE)),""))</f>
        <v/>
      </c>
      <c r="BU43">
        <f t="shared" si="15"/>
        <v>230</v>
      </c>
      <c r="BV43">
        <f t="shared" si="16"/>
        <v>0</v>
      </c>
      <c r="BW43">
        <f>IF(B43="","",IF(BH43&lt;&gt;"",3,IFERROR(IF(N(VLOOKUP(BC43,Потребители_обозначение,9,FALSE))=0,1,VLOOKUP(BC43,Потребители_обозначение,9,FALSE)),1)))</f>
        <v>1</v>
      </c>
      <c r="BX43">
        <f t="shared" si="17"/>
        <v>1</v>
      </c>
      <c r="BY43" t="str">
        <f>IF(B43="","",_xlfn.LET(_xlpm.bc,IFERROR(IF(VLOOKUP(BC43,Потребители_обозначение,6,FALSE)=0,"",VLOOKUP(BC43,Потребители_обозначение,6,FALSE)&amp;""),""),IF(AND(GA43="да",OR(_xlpm.bc="",_xlpm.bc="мс")),Марка_пож,IF(AND(_xlpm.bc="",BH43&lt;&gt;""),"мс",_xlpm.bc))))</f>
        <v/>
      </c>
      <c r="BZ43" t="str">
        <f t="shared" si="18"/>
        <v>мс</v>
      </c>
      <c r="CA43">
        <f>IF(B43="","",_xlfn.LET(_xlpm.cc,IFERROR(N(VLOOKUP(BC43,Потребители_обозначение,7,FALSE)),0),IF(_xlpm.cc&gt;0,_xlpm.cc,IF(BZ43="","",IF(BV43=1,2,IF(N(BX43)=3,5,3))))))</f>
        <v>3</v>
      </c>
      <c r="CB43">
        <f t="shared" si="19"/>
        <v>3</v>
      </c>
      <c r="CC43">
        <f>IFERROR(N(VLOOKUP(BC43,Потребители_обозначение,10,FALSE)),0)</f>
        <v>0</v>
      </c>
      <c r="CD43">
        <f>IFERROR(VLOOKUP(BC43,Потребители_обозначение,5,FALSE),0)</f>
        <v>3</v>
      </c>
      <c r="CE43" s="6" cm="1">
        <f t="array" ref="CE43">IF(B43="","",IF(BH43&lt;&gt;"",IFERROR(_xlfn.XLOOKUP(BH43,Щиты[Щит],Щиты[cos φ]),0.95),IF(BP43=1,IFERROR(_xlfn.XLOOKUP(A43,Щиты[Щит],Щиты[cos φ]),0.95),IF(ISNUMBER(AD43),AD43,IFERROR(IF(CD43=2,_xlfn.IFS(BX43=3,VLOOKUP(BS43,Справочная_двигатели,8,FALSE),BX43=1,VLOOKUP(BS43,Справочная_двигатели,10,TRUE)),IF(AND(Методика="нормы 2026",FG43="Сил"),0.8,0.95)),0.95)))))</f>
        <v>0.95</v>
      </c>
      <c r="CF43">
        <f t="shared" si="20"/>
        <v>0</v>
      </c>
      <c r="CG43">
        <f t="shared" si="21"/>
        <v>1</v>
      </c>
      <c r="CH43">
        <f t="shared" si="22"/>
        <v>0</v>
      </c>
      <c r="CI43">
        <f>IF(B43="","",IF(BV43=1,IFERROR(BS43/((Uн_лин/SQRT(3))*MAX(0.5,N(CE43))),0),N(O43)))</f>
        <v>0.455802844097073</v>
      </c>
      <c r="CJ43">
        <f t="shared" si="23"/>
        <v>0</v>
      </c>
      <c r="CK43">
        <f t="shared" si="24"/>
        <v>0</v>
      </c>
      <c r="CL43">
        <f t="shared" si="25"/>
        <v>0</v>
      </c>
      <c r="CM43">
        <f t="shared" si="26"/>
        <v>0</v>
      </c>
      <c r="CN43">
        <f t="shared" si="27"/>
        <v>0</v>
      </c>
      <c r="CO43">
        <f>IF(BC43="",0,_xlfn.LET(_xlpm.v,IFERROR(_xlfn.XLOOKUP(B43,Коды_код,Коды_мА),IFERROR(_xlfn.XLOOKUP(BC43,Коды_код,Коды_мА),IFERROR(_xlfn.XLOOKUP(LEFT(BC43,2),Коды_код,Коды_мА),""))),IF(_xlpm.v="да",30,IF(ISNUMBER(_xlpm.v),_xlpm.v,0))))</f>
        <v>0</v>
      </c>
      <c r="CP43" t="str">
        <f t="shared" si="28"/>
        <v/>
      </c>
      <c r="CQ43" t="str">
        <f>_xlfn.LET(_xlpm.k,IFERROR(_xlfn.XLOOKUP(BC43,Коды_код,Коды_утечка)&amp;"",""),IF(_xlpm.k="","дифавтомат",_xlpm.k))</f>
        <v>дифавтомат</v>
      </c>
      <c r="CR43" t="str" cm="1">
        <f t="array" ref="CR43">IF(CG43=0,"",_xlfn.LET(_xlpm.sg,TRIM(_xlfn.TEXTSPLIT(DD43&amp;"",";")),_xlpm.f_,_xlfn._xlws.FILTER(_xlpm.sg,LEFT(_xlpm.sg,3)="УЗО",""),IFERROR(INDEX(_xlpm.f_,1)&amp;"","")))</f>
        <v/>
      </c>
      <c r="CS43" t="str">
        <f t="shared" si="29"/>
        <v/>
      </c>
      <c r="CT43" s="6" t="str" cm="1">
        <f t="array" ref="CT43">IF(CR43="","",_xlfn.LET(_xlpm.tk,_xlfn.TEXTSPLIT(UPPER(CR43)," ",,TRUE),_xlpm.a_,_xlfn._xlws.FILTER(_xlpm.tk,ISNUMBER(--LEFT(_xlpm.tk,1))*((ISNUMBER(SEARCH("А",_xlpm.tk))+ISNUMBER(SEARCH("A",_xlpm.tk)))&gt;0)*NOT(ISNUMBER(SEARCH("МА",_xlpm.tk)))*NOT(ISNUMBER(SEARCH("MA",_xlpm.tk))),""),IFERROR(--SUBSTITUTE(SUBSTITUTE(INDEX(_xlpm.a_,1),"А",""),"A",""),"")))</f>
        <v/>
      </c>
      <c r="CU43" t="str" cm="1">
        <f t="array" ref="CU43">IF(CR43="","",_xlfn.LET(_xlpm.tk,_xlfn.TEXTSPLIT(UPPER(CR43)," ",,TRUE),_xlpm.a_,_xlfn._xlws.FILTER(_xlpm.tk,ISNUMBER(--LEFT(_xlpm.tk,1))*((ISNUMBER(SEARCH("МА",_xlpm.tk))+ISNUMBER(SEARCH("MA",_xlpm.tk)))&gt;0),""),IFERROR(--SUBSTITUTE(SUBSTITUTE(INDEX(_xlpm.a_,1),"МА",""),"MA",""),30)))</f>
        <v/>
      </c>
      <c r="CV43" t="str">
        <f>IF(CS43="","",IFERROR(_xlfn.XLOOKUP(CS43,Линии[_n],Линии[_УЗО, мА]),30))</f>
        <v/>
      </c>
      <c r="CW43">
        <f>IF(CS43="",0,IF(ISNUMBER(SEARCH("4P",IFERROR(_xlfn.XLOOKUP(CS43,Линии[_n],Линии[_УЗО строки])&amp;"",""))),0,1))</f>
        <v>0</v>
      </c>
      <c r="CX43" t="str">
        <f>IF(AND(CS43&lt;&gt;"",CS43=BA43),SUMIFS(Линии[_ток на 230 В],Линии[_блок УЗО],BA43,Линии[Щит],A43),"")</f>
        <v/>
      </c>
      <c r="CY43" t="str">
        <f>IF(AND(CS43&lt;&gt;"",CS43=BA43),SUMIFS(Линии[_ток утечки линии, мА],Линии[_блок УЗО],BA43,Линии[Щит],A43),"")</f>
        <v/>
      </c>
      <c r="CZ43">
        <f t="shared" si="30"/>
        <v>0</v>
      </c>
      <c r="DA43">
        <f t="shared" si="31"/>
        <v>0</v>
      </c>
      <c r="DB43">
        <f>IF(B43="",0,IFERROR(--_xlfn.XLOOKUP(B43,Коды_код,Коды_минавт),IFERROR(--_xlfn.XLOOKUP(BC43,Коды_код,Коды_минавт),IFERROR(--_xlfn.XLOOKUP(LEFT(BC43,2),Коды_код,Коды_минавт),0))))</f>
        <v>10</v>
      </c>
      <c r="DC43" t="str">
        <f>IF(B43="","",IFERROR(_xlfn.XLOOKUP(BC43,Коды_код,Коды_апп)&amp;"",""))</f>
        <v/>
      </c>
      <c r="DD43" t="str">
        <f t="shared" si="32"/>
        <v/>
      </c>
      <c r="DE43" t="str" cm="1">
        <f t="array" ref="DE43">IF(TRIM(DD43&amp;"")="","",IFERROR(TRIM(INDEX(_xlfn.TEXTSPLIT(DD43&amp;";;;",";"),1)),""))</f>
        <v/>
      </c>
      <c r="DF43" t="str" cm="1">
        <f t="array" ref="DF43">IF(TRIM(DD43&amp;"")="","",IFERROR(TRIM(INDEX(_xlfn.TEXTSPLIT(DD43&amp;";;;",";"),2)),""))</f>
        <v/>
      </c>
      <c r="DG43" t="str" cm="1">
        <f t="array" ref="DG43">IF(TRIM(DD43&amp;"")="","",IFERROR(TRIM(INDEX(_xlfn.TEXTSPLIT(DD43&amp;";;;",";"),3)),""))</f>
        <v/>
      </c>
      <c r="DH43">
        <f t="shared" si="33"/>
        <v>0</v>
      </c>
      <c r="DI43" t="str">
        <f>IF(B43="","",_xlfn.LET(_xlpm.t,LOWER(AZ43&amp;""),IF(ISNUMBER(SEARCH("dim",_xlpm.t)),"DIM",IF(ISNUMBER(SEARCH("dali",_xlpm.t)),"DALI",IF(OR(ISNUMBER(SEARCH("relay",_xlpm.t)),ISNUMBER(SEARCH("реле",_xlpm.t))),"Relay",IF(ISNUMBER(SEARCH("кнопк",_xlpm.t)),"",IFERROR(_xlfn.XLOOKUP(BC43,Коды_код,Коды_упр)&amp;"","")))))))</f>
        <v/>
      </c>
      <c r="DJ43" t="str">
        <f t="shared" si="34"/>
        <v/>
      </c>
      <c r="DK43">
        <f>IF(B43="","",_xlfn.LET(_xlpm.ig,IF(N(CX43)&gt;0,N(CX43),N(CI43)+IF(AJ43="вручную",0,N(CJ43))),_xlpm.n0,IFERROR(VLOOKUP(_xlpm.ig,Автомат_номиналы,2,TRUE),0),_xlpm.mn,MAX(DB43,IF(AJ43="вручную",0,N(CM43))),MAX(_xlpm.n0,_xlpm.mn,IF(DH43=1,Мин_автомат_БП,0))))</f>
        <v>10</v>
      </c>
      <c r="DL43">
        <f t="shared" si="35"/>
        <v>1</v>
      </c>
      <c r="DM43" t="str">
        <f t="shared" si="36"/>
        <v>1P</v>
      </c>
      <c r="DN43" t="str">
        <f>_xlfn.LET(_xlpm.cc,UPPER(TRIM(IFERROR(_xlfn.XLOOKUP(BC43,Коды_код,Коды_хар)&amp;"",""))),IF(OR(_xlpm.cc="B",_xlpm.cc="В"),"B",IF(_xlpm.cc="D","D","С")))</f>
        <v>С</v>
      </c>
      <c r="DO43" t="str">
        <f t="shared" si="37"/>
        <v>1P С10А</v>
      </c>
      <c r="DP43" t="str">
        <f t="shared" si="38"/>
        <v>1P С10А</v>
      </c>
      <c r="DQ43" t="str">
        <f t="shared" si="39"/>
        <v>1P С10А</v>
      </c>
      <c r="DR43" cm="1">
        <f t="array" ref="DR43">IF(DQ43="","",_xlfn.LET(_xlpm.t,SUBSTITUTE(SUBSTITUTE(SUBSTITUTE(UPPER(DQ43),"С","C"),"А","A"),"В","B"),_xlpm.tk,_xlfn.TEXTSPLIT(_xlpm.t," "),_xlpm.f,_xlfn._xlws.FILTER(_xlpm.tk,ISNUMBER(--MID(_xlpm.tk,2,1))*ISNUMBER(SEARCH(LEFT(_xlpm.tk,1)&amp;"#","B#C#D#"))*(LEN(_xlpm.tk)&gt;1),""),_xlpm.x,INDEX(_xlpm.f,1),IFERROR(--SUBSTITUTE(MID(_xlpm.x,2,9),"A",""),IFERROR(--SUBSTITUTE(INDEX(_xlfn._xlws.FILTER(_xlpm.tk,ISNUMBER(--SUBSTITUTE(_xlpm.tk,"A","")),""),1),"A",""),""))))</f>
        <v>10</v>
      </c>
      <c r="DS43" t="str">
        <f t="shared" si="40"/>
        <v>ok</v>
      </c>
      <c r="DT43">
        <f t="shared" si="41"/>
        <v>10</v>
      </c>
      <c r="DU43" t="str">
        <f t="shared" si="42"/>
        <v>1P С10А</v>
      </c>
      <c r="DV43">
        <f t="shared" si="43"/>
        <v>0</v>
      </c>
      <c r="DW43">
        <f t="shared" si="44"/>
        <v>0</v>
      </c>
      <c r="DX43">
        <f t="shared" si="45"/>
        <v>0</v>
      </c>
      <c r="DY43">
        <f t="shared" si="46"/>
        <v>0.455802844097073</v>
      </c>
      <c r="DZ43">
        <f t="shared" si="47"/>
        <v>1</v>
      </c>
      <c r="EA43">
        <f>IF(ISNUMBER(AP43),AP43,К_прокл)</f>
        <v>1</v>
      </c>
      <c r="EB43">
        <f t="shared" si="48"/>
        <v>2</v>
      </c>
      <c r="EC43">
        <f>IFERROR(N(VLOOKUP(BZ43,Кабель_обозначение,3,FALSE)),1)</f>
        <v>1</v>
      </c>
      <c r="ED43">
        <f>IFERROR(N(_xlfn.XLOOKUP(A43,Щиты[Щит],Щиты[ΔU до шин, %])),0)</f>
        <v>0.17</v>
      </c>
      <c r="EE43" t="str">
        <f>IFERROR(_xlfn.XLOOKUP(A43,Щиты[Щит],Щиты[Zпетли на шинах, Ом]),"")</f>
        <v/>
      </c>
      <c r="EF43">
        <f>IFERROR(N(_xlfn.XLOOKUP(A43,Щиты[Щит],Щиты[ΔU до шин (подбор), %])),0)</f>
        <v>0.65</v>
      </c>
      <c r="EG43" t="str">
        <f>IFERROR(_xlfn.XLOOKUP(A43,Щиты[Щит],Щиты[Zпетли на шинах (подбор), Ом]),"")</f>
        <v/>
      </c>
      <c r="EH43" t="str">
        <f t="shared" si="49"/>
        <v/>
      </c>
      <c r="EI43">
        <f t="shared" si="50"/>
        <v>61</v>
      </c>
      <c r="EJ43">
        <f t="shared" si="51"/>
        <v>2</v>
      </c>
      <c r="EK43">
        <f t="shared" si="52"/>
        <v>0.31</v>
      </c>
      <c r="EL43" s="6">
        <f>IF(B43="","",IF(BV43=1,dU_LED,IF(IFERROR(_xlfn.XLOOKUP(BC43,Коды_код,Коды_уго),"")="Светильник",3,4)+IF(Методика="нормы 2026",MIN(0.5,MAX(0,N(P43)-100)*0.005),0)))</f>
        <v>3</v>
      </c>
      <c r="EM43" cm="1">
        <f t="array" ref="EM43">IF(OR(B43="",BZ43="",EC43&lt;&gt;1),"",_xlfn.LET(_xlpm.sz,Iдоп_S,_xlpm.t_,CHOOSE(EB43,Iдоп_1ж,Iдоп_2ж,Iдоп_3ж)*DZ43*EA43,_xlpm.dcx,BV43=1,_xlpm.inn,IF(_xlpm.dcx,N(O43),N(DT43)),_xlpm.smin,MAX(1.5,CC43),_xlpm.L_,N(P43)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43)/N(BU43)*100,999),IFERROR(N(EJ43)*(_xlpm.rho*_xlpm.L_/_xlpm.sz*N(CE43)+_xlpm.xx*_xlpm.L_*N(EK43)/1000)*N(O43)/((Uн_лин/SQRT(3))*1000)*100,999)),_xlpm.kz,IF(OR(_xlpm.dcx,DW43=1,NOT(ISNUMBER(EG43)),_xlpm.L_=0,_xlpm.inn=0),1,IFERROR(--(c_min*(Uн_лин*1000/SQRT(3))/(EG43+2*ρкз_Cu*_xlpm.L_/_xlpm.sz)&gt;=HT43*_xlpm.inn),0)),_xlpm.ok,IFERROR((_xlpm.sz&gt;=_xlpm.smin)*(_xlpm.t_&gt;=_xlpm.inn)*IF(_xlpm.L_&gt;0,(_xlpm.du_+IF(_xlpm.dcx,0,EF43)&lt;=EL43+0.00001),1)*_xlpm.kz,0),_xlpm.r_,_xlfn._xlws.FILTER(_xlpm.sz,_xlpm.ok,"не подобрано"),INDEX(_xlpm.r_,1)))</f>
        <v>1.5</v>
      </c>
      <c r="EN43">
        <f t="shared" si="53"/>
        <v>1.5</v>
      </c>
      <c r="EO43" cm="1">
        <f t="array" ref="EO43">IF(OR(B43="",BZ43="",EC43&lt;&gt;1),"",_xlfn.LET(_xlpm.sz,Iдоп_S,_xlpm.t_,CHOOSE(EB43,Iдоп_1ж,Iдоп_2ж,Iдоп_3ж)*DZ43*EA43,_xlpm.ok,IFERROR((_xlpm.sz&gt;=MAX(1.5,CC43))*(_xlpm.t_&gt;=N(DT43)),0),_xlpm.r_,_xlfn._xlws.FILTER(_xlpm.sz,_xlpm.ok,""),INDEX(_xlpm.r_,1)))</f>
        <v>1.5</v>
      </c>
      <c r="EP43" s="6" cm="1">
        <f t="array" ref="EP43">IFERROR(ROUNDUP(N(EJ43)*(_xlfn.XLOOKUP(EO43,INDEX(Кабель_сопротивление,0,1),INDEX(Кабель_сопротивление,0,3))*N(P43)/EO43*N(CE43)+_xlfn.XLOOKUP(EO43,INDEX(Кабель_сопротивление,0,1),INDEX(Кабель_сопротивление,0,2))*N(P43)*N(EK43)/1000)*N(O43)/((Uн_лин/SQRT(3))*1000)*100,2),"")</f>
        <v>0.46</v>
      </c>
      <c r="EQ43">
        <f>IFERROR(2*ρкз_Cu*N(P43)/EO43,"")</f>
        <v>2.8053333333333335</v>
      </c>
      <c r="ER43">
        <f>IFERROR(VLOOKUP(EN43,Кабель_сопротивление,3,FALSE),"")</f>
        <v>2.2499999999999999E-2</v>
      </c>
      <c r="ES43">
        <f>IFERROR(VLOOKUP(EN43,Кабель_сопротивление,2,FALSE),"")</f>
        <v>0.11</v>
      </c>
      <c r="ET43">
        <f t="shared" si="54"/>
        <v>53</v>
      </c>
      <c r="EU43" t="str">
        <f t="shared" si="55"/>
        <v/>
      </c>
      <c r="EV43">
        <f t="shared" si="56"/>
        <v>1.04171734485872</v>
      </c>
      <c r="EW43" s="6">
        <f>IFERROR(ROUNDUP(EV43/IF(BV43=1,BU43,(Uн_лин/SQRT(3))*1000)*100,2),"")</f>
        <v>0.46</v>
      </c>
      <c r="EX43" t="str">
        <f>IFERROR(VLOOKUP(BZ43,Кабель_обозначение,2,FALSE),"")</f>
        <v>ВВГнг(А)-LS</v>
      </c>
      <c r="EY43" t="str">
        <f t="shared" si="57"/>
        <v>ВВГнг(А)-LS (3х1,5)</v>
      </c>
      <c r="EZ43" t="str">
        <f t="shared" si="58"/>
        <v>ВВГнг(А)-LS (3х1,5)
L=80-0,46%</v>
      </c>
      <c r="FA43">
        <f>IFERROR(2*ρкз_Cu*P43/EN43,"")</f>
        <v>2.8053333333333335</v>
      </c>
      <c r="FB43">
        <f t="shared" si="59"/>
        <v>0.93333333333333346</v>
      </c>
      <c r="FC43" s="6" t="str">
        <f>IFERROR(IF(OR(B43="",BV43=1,NOT(ISNUMBER(EN43)),N(P43)=0),"",_xlfn.XLOOKUP(A43,Щиты[Щит],Щиты[Zпетли на шинах, Ом])+FA43),"")</f>
        <v/>
      </c>
      <c r="FD43" s="6" t="str">
        <f>IF(ISNUMBER(FC43),c_min*(Uн_лин*1000/SQRT(3))/FC43,"")</f>
        <v/>
      </c>
      <c r="FE43" s="6" t="str">
        <f>IFERROR(IF(OR(B43="",NOT(ISNUMBER(EN43))),"",1.05*(Uн_лин*1000/SQRT(3))/(_xlfn.XLOOKUP(A43,Щиты[Щит],Щиты[Zmax на шинах, Ом])+FB43)/1000),"")</f>
        <v/>
      </c>
      <c r="FF43" s="6" t="str">
        <f>IF(B43="","",IF(ISNUMBER(AC43),"Сил",IF(IFERROR(_xlfn.XLOOKUP(BC43,Коды_код,Коды_группа)&amp;"","")="","Быт",_xlfn.XLOOKUP(BC43,Коды_код,Коды_группа)&amp;"")))</f>
        <v>Быт</v>
      </c>
      <c r="FG43" s="6" t="str">
        <f t="shared" si="60"/>
        <v>Быт</v>
      </c>
      <c r="FH43" s="6">
        <f>IF(FG43="Щит","щит",IF(FG43="","",IF(FG43="Быт",IFERROR(_xlfn.XLOOKUP(A43,Щиты[Щит],Щиты[Кс быт]),1),IF(FG43="Сил",IF(ISNUMBER(AC43),AC43,IF(Методика="нормы 2026",IFERROR(_xlfn.XLOOKUP(A43,Щиты[Щит],Щиты[Кс силовых (табл. 7.5)]),1),1)),IF(OR(FG43="Пост",FG43="Отоп"),1,IF(FG43="ВНГ",0.7,0))))))</f>
        <v>0.8</v>
      </c>
      <c r="FI43">
        <f>IF(FG43="","",IF(AND(BP43=1,TRIM(AE43&amp;"")=""),IF(COUNTIFS(Линии[Щит],A43,Линии[Секция (1/2/3)],"&gt;=2")&gt;0,MIN(3,MAX(1,IFERROR(--BD43,1))),1),IFERROR(MIN(3,MAX(1,INT(--AE43))),1)))</f>
        <v>1</v>
      </c>
      <c r="FJ43">
        <f t="shared" si="61"/>
        <v>0.1</v>
      </c>
      <c r="FK43">
        <f t="shared" si="62"/>
        <v>0.1</v>
      </c>
      <c r="FL43">
        <f t="shared" si="63"/>
        <v>0</v>
      </c>
      <c r="FM43">
        <f t="shared" si="64"/>
        <v>0</v>
      </c>
      <c r="FN43">
        <f t="shared" si="65"/>
        <v>0</v>
      </c>
      <c r="FO43">
        <f t="shared" si="66"/>
        <v>0</v>
      </c>
      <c r="FP43">
        <f t="shared" si="67"/>
        <v>0.1</v>
      </c>
      <c r="FQ43">
        <f t="shared" si="68"/>
        <v>0.1</v>
      </c>
      <c r="FR43">
        <f t="shared" si="69"/>
        <v>9.5000000000000001E-2</v>
      </c>
      <c r="FS43">
        <f>IF(CG43=1,IF(AND(CH43=1,CW43=1),0,IF(AND(CS43&lt;&gt;"",CS43=BA43,CW43=1),SUMIFS(Линии[_Р линии, кВт],Линии[_блок УЗО],BA43,Линии[Щит],A43),N(BS43)+IF(AJ43="вручную",0,N(CK43)))),0)</f>
        <v>0.1</v>
      </c>
      <c r="FT43" t="str">
        <f t="shared" si="70"/>
        <v/>
      </c>
      <c r="FU43" t="str">
        <f>IF(B43="","",IF(CG43=0,IF(BA43=1,"",FW42),IF(AND(CH43=1,CW43=1,CS43&lt;&gt;""),IFERROR(_xlfn.XLOOKUP(CS43,Линии[_n],Линии[_фаза итог]),"L1"),IF(OR(N(DL43)&gt;=3,N(BX43)&gt;=3),"L1,L2,L3",IFERROR(_xlfn.TEXTBEFORE(_xlfn.TEXTAFTER(_xlfn.XLOOKUP(A43,Щиты[Щит],Щиты[_фазы авто]),";"&amp;BA43&amp;":"),";"),"L1")))))</f>
        <v>L3</v>
      </c>
      <c r="FV43" t="str">
        <f t="shared" si="71"/>
        <v>L3</v>
      </c>
      <c r="FW43" t="str">
        <f t="shared" si="72"/>
        <v>L3</v>
      </c>
      <c r="FX43" cm="1">
        <f t="array" ref="FX43">IFERROR(IF(CD43=2,_xlfn.IFS(BX43=3,VLOOKUP(BS43,Справочная_двигатели,3,FALSE),BX43=1,VLOOKUP(BS43,Справочная_двигатели,5,TRUE)),0),0)</f>
        <v>0</v>
      </c>
      <c r="FY43">
        <f>IFERROR(IF(CD43=3,VLOOKUP(BS43,Справочная_ЛЭД,2,TRUE),0),0)</f>
        <v>50</v>
      </c>
      <c r="FZ43" s="6">
        <f t="shared" si="73"/>
        <v>50</v>
      </c>
      <c r="GA43" t="str">
        <f>IF(B43="","",IF(TRIM(AH43&amp;"")&lt;&gt;"",IF(LOWER(TRIM(AH43&amp;""))="да","да","нет"),IF(IFERROR(_xlfn.XLOOKUP(BC43,Коды_код,Коды_пожарная),"")="да","да","нет")))</f>
        <v>нет</v>
      </c>
      <c r="GB43" t="str">
        <f t="shared" si="74"/>
        <v/>
      </c>
      <c r="GC43" t="str">
        <f t="shared" si="75"/>
        <v>основная</v>
      </c>
      <c r="GD43">
        <f>IF(AND(BP43=1,TRIM(AE43&amp;"")=""),IF(COUNTIFS(Линии[Щит],A43,Линии[Секция (1/2/3)],"&gt;=2")&gt;0,MIN(3,MAX(1,IFERROR(--BD43,1))),1),IFERROR(MIN(3,MAX(1,INT(--AE43))),1))</f>
        <v>1</v>
      </c>
      <c r="GE43" t="str" cm="1">
        <f t="array" ref="GE43">IF(B43="","",_xlfn.LET(_xlpm.t,IFERROR(_xlfn.XLOOKUP(1,(Шины[Шина]=GC43)*(((Шины[Щит]=A43)+(Шины[Щит]=""))&gt;0),Шины[Тип]),"")&amp;"",IF(_xlpm.t&lt;&gt;"",_xlpm.t,IF(ISNUMBER(SEARCH("ИБП",GC43)),"ИБП",IF(ISNUMBER(SEARCH("ДГУ",GC43)),"ДГУ","Ввод "&amp;GD43)))))</f>
        <v>Ввод 1</v>
      </c>
      <c r="GF43" t="str">
        <f t="shared" si="76"/>
        <v>Ввод 1</v>
      </c>
      <c r="GG43" t="str">
        <f>IF(BP43=0,"",IF(TRIM(AG43&amp;"")&lt;&gt;"",TRIM(AG43&amp;""),IF(OR(GE43="ИБП",GE43="ДГУ"),"I особая",_xlfn.XLOOKUP(A43,Щиты[Щит],Щиты[Категория шины «Ввод»],"III"))))</f>
        <v/>
      </c>
      <c r="GH43" t="str">
        <f>IF(A43="","",_xlfn.XLOOKUP(A43,Щиты[Щит],Щиты[Путь],""))</f>
        <v>|ГРЩ-ЖД|ЩГП|ЩО-001|</v>
      </c>
      <c r="GI43" t="str">
        <f>IF(B43="","",IF(AI43&lt;&gt;"",AI43,IF(IFERROR(_xlfn.XLOOKUP(BC43,Коды_код,Коды_вид)&amp;"","")="","Прочее",_xlfn.XLOOKUP(BC43,Коды_код,Коды_вид)&amp;"")))</f>
        <v>Рабочее освещение</v>
      </c>
      <c r="GJ43" t="str">
        <f>IF(BM43="","",INT((BM43-1)/Столбцов_на_лист)+1)</f>
        <v/>
      </c>
      <c r="GK43" t="str">
        <f t="shared" si="77"/>
        <v>ВВГнг(А)-LS (3х1,5) L=80-0,46%</v>
      </c>
      <c r="GL43">
        <f t="shared" si="78"/>
        <v>0.1</v>
      </c>
      <c r="GM43">
        <f t="shared" si="79"/>
        <v>0.46</v>
      </c>
      <c r="GN43">
        <f t="shared" si="80"/>
        <v>1</v>
      </c>
      <c r="GO43">
        <f t="shared" si="81"/>
        <v>0</v>
      </c>
      <c r="GP43">
        <f t="shared" si="82"/>
        <v>0</v>
      </c>
      <c r="GQ43" t="str">
        <f>IF(BM43="","",IF(AND(CG43=1,GP43=1),COUNTIFS(A$3:A43,A43,CG$3:CG43,1,GP$3:GP43,1),IF(OR(OR(BA43=1,A43&lt;&gt;A42),AJ43="вручную",GP43=0),"",IF(BA43=1,"",GR42))))</f>
        <v/>
      </c>
      <c r="GR43" t="str">
        <f t="shared" si="83"/>
        <v/>
      </c>
      <c r="GS43">
        <f>IF(B43="","",IFERROR(LOOKUP(INDEX(CHOOSE(EB43,Iдоп_1ж,Iдоп_2ж,Iдоп_3ж),MATCH(EN43,Iдоп_S,0))*DZ43*EA43,{6,10,16,20,25,32,40,50,63,80,100,125,160,200,250,315,400,500,630}),""))</f>
        <v>16</v>
      </c>
      <c r="GT43" t="str">
        <f t="shared" si="84"/>
        <v/>
      </c>
      <c r="GU43" t="str">
        <f t="shared" si="85"/>
        <v/>
      </c>
      <c r="GV43" t="str">
        <f t="shared" si="86"/>
        <v/>
      </c>
      <c r="GW43">
        <f t="shared" si="87"/>
        <v>0</v>
      </c>
      <c r="GX43" t="str">
        <f>IF(OR(B43="",DJ43=""),"",IFERROR(_xlfn.XLOOKUP(DJ43,Модули_умолч[Управление],Модули_умолч[Модель])&amp;"",""))</f>
        <v/>
      </c>
      <c r="GY43">
        <f>IF(DJ43="",1,IFERROR(MAX(0,N(_xlfn.XLOOKUP(DJ43,Модули_умолч[Управление],Модули_умолч[Каналов на линию]))),1))</f>
        <v>1</v>
      </c>
      <c r="GZ43" t="str">
        <f t="shared" si="88"/>
        <v/>
      </c>
      <c r="HA43" t="str">
        <f t="shared" si="89"/>
        <v/>
      </c>
      <c r="HB43" t="str">
        <f t="shared" si="90"/>
        <v/>
      </c>
      <c r="HC43">
        <f>IF(HB43="",0,IFERROR(N(VLOOKUP(HB43,Модули_спр,3,FALSE)),0))</f>
        <v>0</v>
      </c>
      <c r="HD43" t="str">
        <f t="shared" si="91"/>
        <v/>
      </c>
      <c r="HE43" t="str">
        <f t="shared" si="92"/>
        <v/>
      </c>
      <c r="HF43" t="str">
        <f>IF(OR(HE43="",HE43="-"),"",IFERROR(VLOOKUP(HE43,Модули_спр,2,FALSE),"R"))</f>
        <v/>
      </c>
      <c r="HG43" t="str">
        <f>IF(HF43="","",HF43&amp;"."&amp;COUNTIFS(A$3:A43,A43,HF$3:HF43,HF43))</f>
        <v/>
      </c>
      <c r="HH43" t="str">
        <f t="shared" si="93"/>
        <v/>
      </c>
      <c r="HI43" t="str">
        <f t="shared" si="94"/>
        <v/>
      </c>
      <c r="HJ43" t="str">
        <f t="shared" si="95"/>
        <v/>
      </c>
      <c r="HK43" t="str">
        <f t="shared" si="96"/>
        <v/>
      </c>
      <c r="HL43">
        <f t="shared" si="97"/>
        <v>1</v>
      </c>
      <c r="HM43" t="str">
        <f>IF(HL43=1,"XT"&amp;COUNTIFS(A$3:A43,A43,HL$3:HL43,1),"")</f>
        <v>XT12</v>
      </c>
      <c r="HN43" t="str">
        <f t="shared" si="98"/>
        <v>XT12</v>
      </c>
      <c r="HO43" t="str">
        <f t="shared" si="99"/>
        <v/>
      </c>
      <c r="HP43" t="str">
        <f t="shared" si="100"/>
        <v/>
      </c>
      <c r="HQ43" t="str">
        <f t="shared" si="101"/>
        <v>ok</v>
      </c>
      <c r="HR43" t="str">
        <f>IF(OR(HJ43="",HH43=""),"",IF(HJ43+MAX(0,GY43-1)&gt;IFERROR(VLOOKUP(HI43,Модули_спр,3,FALSE),99),"ЛИШНИЙ КАНАЛ",IF(AND(AL43&lt;&gt;"=",GY43&gt;0,COUNTIFS(Линии[_модуль гр.],HH43,Линии[Канал (итог)],HJ43,Линии[Канал],"&lt;&gt;=",Линии[Щит],A43)&gt;1),"ДУБЛЬ КАНАЛА","")))</f>
        <v/>
      </c>
      <c r="HS43" s="6" t="str">
        <f t="shared" si="102"/>
        <v/>
      </c>
      <c r="HT43">
        <f t="shared" si="103"/>
        <v>10</v>
      </c>
      <c r="HU43" t="str">
        <f t="shared" si="104"/>
        <v/>
      </c>
      <c r="HV43">
        <f t="shared" si="105"/>
        <v>0.98232113763882922</v>
      </c>
      <c r="HW43">
        <f t="shared" si="106"/>
        <v>0</v>
      </c>
      <c r="HX43">
        <f t="shared" si="107"/>
        <v>0</v>
      </c>
      <c r="HY43">
        <f t="shared" si="108"/>
        <v>0</v>
      </c>
      <c r="HZ43">
        <f t="shared" si="109"/>
        <v>0</v>
      </c>
      <c r="IA43">
        <f t="shared" si="110"/>
        <v>0</v>
      </c>
      <c r="IB43">
        <f t="shared" si="111"/>
        <v>0</v>
      </c>
      <c r="IC43" t="str">
        <f t="shared" si="112"/>
        <v/>
      </c>
      <c r="ID43" t="str" cm="1">
        <f t="array" ref="ID43">IF(IC43="","",_xlfn.LET(_xlpm.tk,_xlfn.TEXTSPLIT(SUBSTITUTE(SUBSTITUTE(IC43,";"," "),"→"," ")," ",,TRUE),_xlpm.w_,_xlfn._xlws.FILTER(_xlpm.tk,ISNUMBER(--LEFT(_xlpm.tk,1))*((ISNUMBER(SEARCH("W",_xlpm.tk))+ISNUMBER(SEARCH("Вт",_xlpm.tk)))&gt;0),""),IFERROR(--SUBSTITUTE(SUBSTITUTE(UPPER(INDEX(_xlpm.w_,1)),"W",""),"ВТ",""),"")))</f>
        <v/>
      </c>
      <c r="IE43" t="str" cm="1">
        <f t="array" ref="IE43">IF(IC43="","",_xlfn.LET(_xlpm.tk,_xlfn.TEXTSPLIT(SUBSTITUTE(SUBSTITUTE(IC43,";"," "),"→"," ")," ",,TRUE),_xlpm.v_,_xlfn._xlws.FILTER(_xlpm.tk,ISNUMBER(--LEFT(_xlpm.tk,1))*((ISNUMBER(SEARCH("V",_xlpm.tk))+(RIGHT(UPPER(_xlpm.tk))="В"))&gt;0),""),IFERROR(--SUBSTITUTE(SUBSTITUTE(UPPER(INDEX(_xlpm.v_,1)),"V",""),"В",""),"")))</f>
        <v/>
      </c>
      <c r="IF43" s="6" t="str">
        <f>IF(OR(BV43=0,HI43="",HJ43=""),"",IFERROR(N(_xlfn.XLOOKUP(HI43,Каталог!$C$4:$C$500,Каталог!$Q$4:$Q$500)),""))</f>
        <v/>
      </c>
      <c r="IG43" s="6" t="str">
        <f>IF(N(IF43)=0,"",SUMIFS(Линии[Iр, А],Линии[Щит],A43,Линии[_модуль гр.],HH43,Линии[Канал (итог)],HJ43))</f>
        <v/>
      </c>
      <c r="IH43" t="str">
        <f>IF(AND(B43="",HO43=""),"",_xlfn.TEXTJOIN("; ",TRUE,IF(AND(B43&lt;&gt;"",FV43=""),"нет фазы",""),IF(AND(B43&lt;&gt;"",N(GL43)=0,FG43&lt;&gt;"Нет"),"нет мощности",""),IF(AND(HN43&lt;&gt;"",COUNTIFS(Линии[Щит],A43,Линии[Клемма (итог)],HN43)&gt;1),"дубль клеммы "&amp;HN43,""),IF(AND(HQ43&lt;&gt;"",HQ43&lt;&gt;"ok"),HQ43,""),IF(HR43&lt;&gt;"",HR43,""),IF(AND(N(CB43)&gt;=4,N(BX43)=1),CB43&amp;" жил на 1 фазе",""),IF(AND(BC43="R",CG43=1,IF(CS43&lt;&gt;"",N(CV43)&gt;30,OR(N(DA43)=0,N(DA43)&gt;30))),"розетка без дифзащиты до 30 мА",""),IF(AND(CG43=1,N(DA43)&gt;0,ISNUMBER(T43)),IF(T43&gt;N(DA43)/3,"ток утечки "&amp;FIXED(T43,1)&amp;" мА &gt; 1/3 уставки ("&amp;DA43&amp;" мА)",""),""),IF(AND(CH43=1,CS43=""),"«узо»: нет строки с УЗО выше (УЗО 2P 40А 30мА в «Аппаратах»)",""),IF(AND(CS43&lt;&gt;"",CS43=BA43),IF(CT43="","впишите номинал УЗО (УЗО 2P 40А 30мА)",IF(N(CT43)&lt;N(DT43),"УЗО "&amp;CT43&amp;" А &lt; автомата "&amp;DT43&amp;" А перед ним",IF(N(CT43)&lt;N(CX43),"УЗО "&amp;CT43&amp;" А &lt; тока блока "&amp;FIXED(CX43,1)&amp;" А",""))),""),IF(AND(CS43&lt;&gt;"",CS43=BA43,ISNUMBER(CY43)),IF(CY43&gt;N(CV43)/3,"ток утечки блока УЗО "&amp;FIXED(CY43,1)&amp;" мА &gt; 1/3 уставки ("&amp;CV43&amp;" мА)",""),""),IF(AND(CG43=1,N(BV43)+N(IB43)&gt;0,IC43=""),"линии до 50 В без БП: впишите в «Аппараты» (БП 24V 480W)",""),IF(AND(CG43=1,ISNUMBER(ID43),ISNUMBER(U43)),IF(U43&gt;ID43,"БП "&amp;ID43&amp;" Вт &lt; нужно "&amp;U43&amp;" Вт (×"&amp;Запас_БП&amp;")",""),""),IF(AND(CG43=1,ISNUMBER(IE43),N(BV43)=1),IF(IE43&lt;&gt;N(BU43),"БП на "&amp;IE43&amp;" В, линия "&amp;BU43&amp;" В",""),""),IF(AND(N(IF43)&gt;0,N(IG43)&gt;N(IF43)),HH43&amp;" канал "&amp;HJ43&amp;": "&amp;FIXED(IG43,1)&amp;" А &gt; "&amp;IF43&amp;" А",""),IFERROR(IF(AND(ISNUMBER(Q43),Q43&gt;EL43),"потери "&amp;FIXED(Q43,1)&amp;" % &gt; "&amp;EL43&amp;" %",""),""),IFERROR(IF(LEFT(HU43,4)="мало","Iкз мало — отключение &gt; 0,4 с",""),""),IF(AND(B43&lt;&gt;"",BM43=""),"не на схеме",""),IF(AND(CG43=0,B43&lt;&gt;"",FV43&lt;&gt;"",IF(BA43=1,"",FW42)&lt;&gt;"",FV43&lt;&gt;IF(BA43=1,"",FW42)),"фаза не как у автомата группы ("&amp;IF(BA43=1,"",FW42)&amp;")","")))</f>
        <v>не на схеме</v>
      </c>
      <c r="II43" s="6">
        <f>IF(OR(CG43=0,DQ43=""),"",_xlfn.LET(_xlpm.t,IFERROR(_xlfn.XLOOKUP(DQ43,Каталог!$U$4:$U$500,Каталог!$G$4:$G$500),""),_xlpm.k,SEARCH("кА",_xlpm.t),IFERROR(--TRIM(RIGHT(SUBSTITUTE(MID(_xlpm.t,MAX(1,_xlpm.k-4),_xlpm.k-MAX(1,_xlpm.k-4))," ",REPT(" ",9)),5)),"")))</f>
        <v>6</v>
      </c>
      <c r="IJ43" t="str">
        <f>IF(OR(II43="",CG43=0),"",IF(_xlfn.XLOOKUP(A43,Щиты[Щит],Щиты[Iкз max на шинах, кА],"")="","",IF(II43&lt;_xlfn.XLOOKUP(A43,Щиты[Щит],Щиты[Iкз max на шинах, кА]),"Icu "&amp;II43&amp;" кА &lt; Iкз max","ok")))</f>
        <v/>
      </c>
      <c r="IK43" t="str">
        <f t="shared" si="113"/>
        <v/>
      </c>
      <c r="IL43" t="str">
        <f t="shared" si="114"/>
        <v/>
      </c>
      <c r="IM43" t="str">
        <f t="shared" si="115"/>
        <v/>
      </c>
      <c r="IN43" t="str" cm="1">
        <f t="array" ref="IN43">IF(IM43="","",_xlfn.LET(_xlpm.nd,_xlfn.TEXTSPLIT(IM43,"|"),IF(COLUMNS(_xlpm.nd)&gt;1,A43&amp;"¦"&amp;INDEX(_xlpm.nd,1)&amp;"¦"&amp;INDEX(_xlpm.nd,2),"")))</f>
        <v/>
      </c>
      <c r="IO43" t="str">
        <f t="shared" si="116"/>
        <v/>
      </c>
      <c r="IP43" t="str" cm="1">
        <f t="array" ref="IP43">IF(IM43="","",_xlfn.LET(_xlpm.nd,_xlfn.TEXTSPLIT(IM43,"|"),IF(COLUMNS(_xlpm.nd)&gt;2,A43&amp;"¦"&amp;INDEX(_xlpm.nd,2)&amp;"¦"&amp;INDEX(_xlpm.nd,3),"")))</f>
        <v/>
      </c>
      <c r="IQ43" t="str">
        <f t="shared" si="117"/>
        <v/>
      </c>
      <c r="IR43" t="str" cm="1">
        <f t="array" ref="IR43">IF(IM43="","",_xlfn.LET(_xlpm.nd,_xlfn.TEXTSPLIT(IM43,"|"),IF(COLUMNS(_xlpm.nd)&gt;3,A43&amp;"¦"&amp;INDEX(_xlpm.nd,3)&amp;"¦"&amp;INDEX(_xlpm.nd,4),"")))</f>
        <v/>
      </c>
      <c r="IS43" t="str">
        <f t="shared" si="118"/>
        <v/>
      </c>
      <c r="IT43" t="str" cm="1">
        <f t="array" ref="IT43">IF(IM43="","",_xlfn.LET(_xlpm.nd,_xlfn.TEXTSPLIT(IM43,"|"),IF(COLUMNS(_xlpm.nd)&gt;4,A43&amp;"¦"&amp;INDEX(_xlpm.nd,4)&amp;"¦"&amp;INDEX(_xlpm.nd,5),"")))</f>
        <v/>
      </c>
      <c r="IU43" t="str">
        <f t="shared" si="119"/>
        <v/>
      </c>
      <c r="IV43" t="str" cm="1">
        <f t="array" ref="IV43">IF(IM43="","",_xlfn.LET(_xlpm.nd,_xlfn.TEXTSPLIT(IM43,"|"),IF(COLUMNS(_xlpm.nd)&gt;5,A43&amp;"¦"&amp;INDEX(_xlpm.nd,5)&amp;"¦"&amp;INDEX(_xlpm.nd,6),"")))</f>
        <v/>
      </c>
      <c r="IW43" t="str">
        <f t="shared" si="120"/>
        <v/>
      </c>
      <c r="IX43" t="str" cm="1">
        <f t="array" ref="IX43">IF(IM43="","",_xlfn.LET(_xlpm.nd,_xlfn.TEXTSPLIT(IM43,"|"),IF(COLUMNS(_xlpm.nd)&gt;6,A43&amp;"¦"&amp;INDEX(_xlpm.nd,6)&amp;"¦"&amp;INDEX(_xlpm.nd,7),"")))</f>
        <v/>
      </c>
      <c r="IY43" t="str">
        <f t="shared" si="121"/>
        <v/>
      </c>
      <c r="IZ43" t="str">
        <f t="shared" si="122"/>
        <v/>
      </c>
      <c r="JA43" t="str">
        <f t="shared" si="123"/>
        <v>XT12</v>
      </c>
      <c r="JB43">
        <f t="shared" si="124"/>
        <v>0</v>
      </c>
      <c r="JC43">
        <f t="shared" si="125"/>
        <v>0</v>
      </c>
      <c r="JD43" t="str">
        <f t="shared" si="126"/>
        <v/>
      </c>
      <c r="JE43" t="str">
        <f t="shared" si="127"/>
        <v/>
      </c>
      <c r="JF43" t="str">
        <f t="shared" si="128"/>
        <v/>
      </c>
      <c r="JG43" t="str">
        <f t="shared" si="129"/>
        <v/>
      </c>
      <c r="JH43" t="str">
        <f>IF(B43="","",IFERROR(_xlfn.XLOOKUP(B43,Коды_код,Коды_уго),IFERROR(_xlfn.XLOOKUP(BC43,Коды_код,Коды_уго),IFERROR(_xlfn.XLOOKUP(LEFT(BC43,2),Коды_код,Коды_уго),""))))</f>
        <v>Светильник</v>
      </c>
      <c r="JI43" t="str">
        <f>IF(B43="","",IF(OR(JH43="",JH43=0),"BOX",IFERROR(IF(VLOOKUP(JH43,УГО_блоки,3,FALSE)&amp;""&lt;&gt;"",VLOOKUP(JH43,УГО_блоки,3,FALSE),VLOOKUP(JH43,УГО_блоки,2,FALSE)),JH43)))</f>
        <v>LAMP</v>
      </c>
      <c r="JJ43">
        <f t="shared" si="130"/>
        <v>1</v>
      </c>
      <c r="JK43" t="str">
        <f>IF(DQ43="","",IF(COUNTIF(DQ$3:DQ43,DQ43)=1,MAX(JK$2:JK42)+1,""))</f>
        <v/>
      </c>
      <c r="JL43" t="str">
        <f>IF(DE43="","",IF(COUNTIF(DE$3:DE43,DE43)+COUNTIF(DF$2:DF42,DE43)+COUNTIF(DG$2:DG42,DE43)=1,MAX(JL$2:JN42)+1,""))</f>
        <v/>
      </c>
      <c r="JM43" t="str">
        <f>IF(DF43="","",IF(COUNTIF(DE$3:DE43,DF43)+COUNTIF(DF$3:DF43,DF43)+COUNTIF(DG$2:DG42,DF43)=1,MAX(JL$2:JN42,JL43)+1,""))</f>
        <v/>
      </c>
      <c r="JN43" t="str">
        <f>IF(DG43="","",IF(COUNTIF(DE$3:DE43,DG43)+COUNTIF(DF$3:DF43,DG43)+COUNTIF(DG$3:DG43,DG43)=1,MAX(JL$2:JN42,JL43,JM43)+1,""))</f>
        <v/>
      </c>
      <c r="JO43" t="str">
        <f t="shared" si="131"/>
        <v>3х1,5</v>
      </c>
      <c r="JP43" t="str">
        <f>IF(JO43="","",IF(COUNTIF(JO$3:JO43,JO43)=1,MAX(JP$2:JP42)+1,""))</f>
        <v/>
      </c>
      <c r="JQ43" t="str">
        <f>IF(HG43="","",COUNTIF(HG$3:HG43,"?*"))</f>
        <v/>
      </c>
      <c r="JR43" t="str">
        <f>IF(OR(HG43="",HI43=""),"",IF(COUNTIFS(HG$3:HG43,"?*",HI$3:HI43,HI43)=1,MAX(JR$2:JR42)+1,""))</f>
        <v/>
      </c>
      <c r="JS43">
        <f t="shared" si="132"/>
        <v>1</v>
      </c>
      <c r="JT43">
        <f>IF(B43="","",COUNTIF(B$3:B43,"?*"))</f>
        <v>41</v>
      </c>
      <c r="JU43">
        <f>IF(HL43&lt;&gt;1,0,_xlfn.LET(_xlpm.k,MAX(IFERROR(--_xlfn.XLOOKUP(B43,Коды_код,Коды_3L),0),IFERROR(--_xlfn.XLOOKUP(BC43,Коды_код,Коды_3L),0),IFERROR(--_xlfn.XLOOKUP(LEFT(BC43,2),Коды_код,Коды_3L),0)),IF(_xlpm.k&gt;0,_xlpm.k,IF(IFERROR(--LEFT(SUBSTITUTE(JO43,"x","х"),FIND("х",SUBSTITUTE(JO43,"x","х"))-1),3)&gt;3,Каталог!$S$9,1))))</f>
        <v>1</v>
      </c>
      <c r="JV43">
        <f t="shared" si="133"/>
        <v>0</v>
      </c>
      <c r="JW43" t="str">
        <f t="shared" si="134"/>
        <v>авто</v>
      </c>
      <c r="JX43" t="str">
        <f t="shared" si="135"/>
        <v/>
      </c>
      <c r="JY43">
        <f t="shared" si="136"/>
        <v>0</v>
      </c>
      <c r="JZ43">
        <f t="shared" si="137"/>
        <v>1</v>
      </c>
    </row>
    <row r="44" spans="1:286" x14ac:dyDescent="0.3">
      <c r="A44" t="s">
        <v>1109</v>
      </c>
      <c r="B44" t="s">
        <v>1358</v>
      </c>
      <c r="C44" t="str">
        <f>Линии[[#This Row],[_авто наименование]]</f>
        <v>Осветительная группа, пом. 006Б</v>
      </c>
      <c r="D44">
        <v>4</v>
      </c>
      <c r="E44">
        <v>0.1</v>
      </c>
      <c r="G44" t="str">
        <f>Линии[[#This Row],[_авто автомат]]</f>
        <v>1P С10А</v>
      </c>
      <c r="H44" t="str">
        <f>Линии[[#This Row],[_авто управление]]</f>
        <v/>
      </c>
      <c r="I44" t="str">
        <f>Линии[[#This Row],[_авто аппараты]]</f>
        <v/>
      </c>
      <c r="J44">
        <v>1.5</v>
      </c>
      <c r="K44">
        <v>25</v>
      </c>
      <c r="L44" t="str">
        <f>Линии[[#This Row],[_авто фаза]]</f>
        <v>L1</v>
      </c>
      <c r="M44" t="str">
        <f>Линии[[#This Row],[_авто клемма]]</f>
        <v>XT13</v>
      </c>
      <c r="N44" t="str">
        <f t="shared" si="0"/>
        <v>не на схеме</v>
      </c>
      <c r="O44" s="6" cm="1">
        <f t="array" ref="O44">IF(B44="","",IF(BH44&lt;&gt;"",IFERROR(_xlfn.XLOOKUP(BH44,Щиты[Щит],Щиты[Iр, А]),""),IF(BP44=1,IF(OR(N(_xlfn.XLOOKUP(A44,Щиты[Щит],Щиты[Вводов],1))&lt;=1,LOWER(TRIM(_xlfn.XLOOKUP(A44,Щиты[Щит],Щиты[АВР],"")&amp;""))="да"),IFERROR(_xlfn.XLOOKUP(A44,Щиты[Щит],Щиты[Iр, А]),""),IFERROR(N(BS44)*_xlfn.XLOOKUP(A44,Щиты[Щит],Щиты[Кс итог])/(SQRT(3)*Uн_лин*_xlfn.XLOOKUP(A44,Щиты[Щит],Щиты[cos φ])),"")),IF(BV44=1,IFERROR(BS44*1000/BU44,""),IFERROR(_xlfn.IFS(BX44=1,BS44/((Uн_лин/SQRT(3))*CE44),BX44=3,BS44/(SQRT(3)*Uн_лин*CE44)),"")))))</f>
        <v>0.455802844097073</v>
      </c>
      <c r="P44" s="7">
        <f>IF(B44="","",IFERROR(IF(VLOOKUP(BC44,Потребители_обозначение,4,FALSE)=1,VLOOKUP(BC44,Потребители_обозначение,3,FALSE)*(MAX(1,N(D44))*2-1)+EI44+VLOOKUP(BE44,Этаж_обозначение,3,FALSE)+VLOOKUP(BE44,Этаж_обозначение,4,FALSE),VLOOKUP(BC44,Потребители_обозначение,3,FALSE)*(MAX(1,N(D44))*2-1)+EI44),EI44))</f>
        <v>32</v>
      </c>
      <c r="Q44" s="6">
        <f t="shared" si="1"/>
        <v>0.36</v>
      </c>
      <c r="R44" t="str">
        <f t="shared" si="2"/>
        <v>ВВГнг(А)-LS (3х1,5)</v>
      </c>
      <c r="S44" t="str">
        <f>IF(BM44="","",IF(BN44="вводной узел","узел ","")&amp;"л."&amp;(INT((BM44-1)/Столбцов_на_лист)+1)&amp;" / "&amp;(MOD(BM44-1,Столбцов_на_лист)+1))</f>
        <v/>
      </c>
      <c r="T44" s="119">
        <f t="shared" si="3"/>
        <v>0.5</v>
      </c>
      <c r="U44" s="7" t="str">
        <f>IF(OR(CG44=0,N(BV44)+N(IB44)=0),"",ROUNDUP(Запас_БП*(N(HY44)+N(HZ44)),0))</f>
        <v/>
      </c>
      <c r="V44" s="119" t="str">
        <f t="shared" si="4"/>
        <v/>
      </c>
      <c r="W44" s="7" t="str">
        <f>IFERROR(IF(OR(B44="",BP44=1,BV44=1,NOT(ISNUMBER(EN44)),N(DT44)=0),"",MAX(0,ROUNDDOWN((c_min*(Uн_лин*1000/SQRT(3))/(HT44*N(DT44))-_xlfn.XLOOKUP(A44,Щиты[Щит],Щиты[Zпетли на шинах, Ом]))*EN44/(2*ρкз_Cu),0))),"")</f>
        <v/>
      </c>
      <c r="Y44" t="str">
        <f>Линии[[#This Row],[_авто утечка]]</f>
        <v/>
      </c>
      <c r="Z44">
        <v>1</v>
      </c>
      <c r="AA44">
        <v>230</v>
      </c>
      <c r="AB44" t="s">
        <v>562</v>
      </c>
      <c r="AI44" t="s">
        <v>555</v>
      </c>
      <c r="AK44" t="str">
        <f>Линии[[#This Row],[_авто модуль]]</f>
        <v/>
      </c>
      <c r="AM44" t="s">
        <v>527</v>
      </c>
      <c r="AN44" t="s">
        <v>11</v>
      </c>
      <c r="AO44">
        <v>3</v>
      </c>
      <c r="AQ44">
        <v>7</v>
      </c>
      <c r="AR44">
        <v>0</v>
      </c>
      <c r="AS44">
        <v>28</v>
      </c>
      <c r="BA44" cm="1">
        <f t="array" ref="BA44">ROW()-ROW(Линии[#Headers])</f>
        <v>42</v>
      </c>
      <c r="BC44" s="6" t="str">
        <f t="shared" si="5"/>
        <v>L</v>
      </c>
      <c r="BD44" t="str">
        <f t="shared" si="6"/>
        <v>00.006Б.1</v>
      </c>
      <c r="BE44" t="str">
        <f t="shared" si="7"/>
        <v>00</v>
      </c>
      <c r="BF44" t="str">
        <f t="shared" si="8"/>
        <v>006Б.1</v>
      </c>
      <c r="BG44" t="str">
        <f t="shared" si="9"/>
        <v>006Б</v>
      </c>
      <c r="BH44" t="str">
        <f>IF(X44&lt;&gt;"",X44,IF(AND(B44&lt;&gt;"",B44&lt;&gt;A44,ISNUMBER(_xlfn.XMATCH(B44,Щиты[Щит]))),B44,""))</f>
        <v/>
      </c>
      <c r="BI44" t="str" cm="1">
        <f t="array" ref="BI44">IF(B44="","",IF(BH44&lt;&gt;"","Щит "&amp;BH44,_xlfn.LET(_xlpm.nm,IFERROR(_xlfn.XLOOKUP(BC44,Коды_код,Коды_имя)&amp;"",""),_xlpm.md,IFERROR(N(_xlfn.XLOOKUP(BC44,Коды_код,Коды_режим)),1),_xlpm.ex,IF(Имя_режим="по экспликации",IFERROR(_xlfn.XLOOKUP(BE44&amp;"|"&amp;BG44,Экспликация[Этаж]&amp;"|"&amp;Экспликация[Помещение],Экспликация[Название])&amp;"",""),""),_xlpm.rm,IF(BG44="","",IF(_xlpm.ex&lt;&gt;"",". "&amp;_xlpm.ex&amp;IF(Имя_пом="нет"," ("&amp;BG44&amp;")"," (пом. "&amp;BG44&amp;")"),IF(Имя_пом="нет"," ",", пом. ")&amp;BG44)),IF(_xlpm.nm="","",IF(_xlpm.md=2,_xlpm.nm&amp;" шлейф "&amp;BE44,_xlpm.nm&amp;_xlpm.rm)))))</f>
        <v>Осветительная группа, пом. 006Б</v>
      </c>
      <c r="BJ44" t="str">
        <f t="shared" si="10"/>
        <v>Осветительная группа, пом. 006Б</v>
      </c>
      <c r="BK44">
        <f>IFERROR(_xlfn.XMATCH(A44,Щиты[Щит]),0)</f>
        <v>3</v>
      </c>
      <c r="BL44">
        <f>_xlfn.LET(_xlpm.k,IFERROR(_xlfn.XLOOKUP(A44,Щиты[Щит],Щиты[Мест под вводной узел]),""),IF(_xlpm.k="",Столбцов_на_лист,N(_xlpm.k)))</f>
        <v>17</v>
      </c>
      <c r="BM44" t="str">
        <f t="shared" si="11"/>
        <v/>
      </c>
      <c r="BN44" t="str">
        <f t="shared" si="12"/>
        <v/>
      </c>
      <c r="BO44" s="6">
        <f>IFERROR(N(_xlfn.XLOOKUP(BC44,Коды_код,Коды_квт)),0)</f>
        <v>0</v>
      </c>
      <c r="BP44">
        <f t="shared" si="13"/>
        <v>0</v>
      </c>
      <c r="BQ44" t="str">
        <f>IF(B44="","",IF(BH44&lt;&gt;"",IFERROR(_xlfn.XLOOKUP(BH44,Щиты[Щит],Щиты[Руст, кВт]),0),IF(BP44=1,IF(OR(N(_xlfn.XLOOKUP(A44,Щиты[Щит],Щиты[Вводов],1))&lt;=1,LOWER(TRIM(_xlfn.XLOOKUP(A44,Щиты[Щит],Щиты[АВР],"")&amp;""))="да"),IFERROR(_xlfn.XLOOKUP(A44,Щиты[Щит],Щиты[Руст, кВт]),0),SUMIFS(Линии[_Р для вводов],Линии[Щит],A44,Линии[Источник для режимов],GF44)),IF(BO44&gt;0,ROUND(BO44*MAX(1,N(D44)),3),""))))</f>
        <v/>
      </c>
      <c r="BR44">
        <f t="shared" si="14"/>
        <v>0.1</v>
      </c>
      <c r="BS44" s="6">
        <f>IF(B44="","",IF(BH44&lt;&gt;"",IFERROR(_xlfn.XLOOKUP(BH44,Щиты[Щит],Щиты[Руст, кВт]),0),N(BR44)))</f>
        <v>0.1</v>
      </c>
      <c r="BT44" t="str">
        <f>IF(B44="","",IFERROR(IF(VLOOKUP(BC44,Потребители_обозначение,8,FALSE)=0,"",VLOOKUP(BC44,Потребители_обозначение,8,FALSE)),""))</f>
        <v/>
      </c>
      <c r="BU44">
        <f t="shared" si="15"/>
        <v>230</v>
      </c>
      <c r="BV44">
        <f t="shared" si="16"/>
        <v>0</v>
      </c>
      <c r="BW44">
        <f>IF(B44="","",IF(BH44&lt;&gt;"",3,IFERROR(IF(N(VLOOKUP(BC44,Потребители_обозначение,9,FALSE))=0,1,VLOOKUP(BC44,Потребители_обозначение,9,FALSE)),1)))</f>
        <v>1</v>
      </c>
      <c r="BX44">
        <f t="shared" si="17"/>
        <v>1</v>
      </c>
      <c r="BY44" t="str">
        <f>IF(B44="","",_xlfn.LET(_xlpm.bc,IFERROR(IF(VLOOKUP(BC44,Потребители_обозначение,6,FALSE)=0,"",VLOOKUP(BC44,Потребители_обозначение,6,FALSE)&amp;""),""),IF(AND(GA44="да",OR(_xlpm.bc="",_xlpm.bc="мс")),Марка_пож,IF(AND(_xlpm.bc="",BH44&lt;&gt;""),"мс",_xlpm.bc))))</f>
        <v/>
      </c>
      <c r="BZ44" t="str">
        <f t="shared" si="18"/>
        <v>мс</v>
      </c>
      <c r="CA44">
        <f>IF(B44="","",_xlfn.LET(_xlpm.cc,IFERROR(N(VLOOKUP(BC44,Потребители_обозначение,7,FALSE)),0),IF(_xlpm.cc&gt;0,_xlpm.cc,IF(BZ44="","",IF(BV44=1,2,IF(N(BX44)=3,5,3))))))</f>
        <v>3</v>
      </c>
      <c r="CB44">
        <f t="shared" si="19"/>
        <v>3</v>
      </c>
      <c r="CC44">
        <f>IFERROR(N(VLOOKUP(BC44,Потребители_обозначение,10,FALSE)),0)</f>
        <v>0</v>
      </c>
      <c r="CD44">
        <f>IFERROR(VLOOKUP(BC44,Потребители_обозначение,5,FALSE),0)</f>
        <v>3</v>
      </c>
      <c r="CE44" s="6" cm="1">
        <f t="array" ref="CE44">IF(B44="","",IF(BH44&lt;&gt;"",IFERROR(_xlfn.XLOOKUP(BH44,Щиты[Щит],Щиты[cos φ]),0.95),IF(BP44=1,IFERROR(_xlfn.XLOOKUP(A44,Щиты[Щит],Щиты[cos φ]),0.95),IF(ISNUMBER(AD44),AD44,IFERROR(IF(CD44=2,_xlfn.IFS(BX44=3,VLOOKUP(BS44,Справочная_двигатели,8,FALSE),BX44=1,VLOOKUP(BS44,Справочная_двигатели,10,TRUE)),IF(AND(Методика="нормы 2026",FG44="Сил"),0.8,0.95)),0.95)))))</f>
        <v>0.95</v>
      </c>
      <c r="CF44">
        <f t="shared" si="20"/>
        <v>0</v>
      </c>
      <c r="CG44">
        <f t="shared" si="21"/>
        <v>1</v>
      </c>
      <c r="CH44">
        <f t="shared" si="22"/>
        <v>0</v>
      </c>
      <c r="CI44">
        <f>IF(B44="","",IF(BV44=1,IFERROR(BS44/((Uн_лин/SQRT(3))*MAX(0.5,N(CE44))),0),N(O44)))</f>
        <v>0.455802844097073</v>
      </c>
      <c r="CJ44">
        <f t="shared" si="23"/>
        <v>0</v>
      </c>
      <c r="CK44">
        <f t="shared" si="24"/>
        <v>0</v>
      </c>
      <c r="CL44">
        <f t="shared" si="25"/>
        <v>0</v>
      </c>
      <c r="CM44">
        <f t="shared" si="26"/>
        <v>0</v>
      </c>
      <c r="CN44">
        <f t="shared" si="27"/>
        <v>0</v>
      </c>
      <c r="CO44">
        <f>IF(BC44="",0,_xlfn.LET(_xlpm.v,IFERROR(_xlfn.XLOOKUP(B44,Коды_код,Коды_мА),IFERROR(_xlfn.XLOOKUP(BC44,Коды_код,Коды_мА),IFERROR(_xlfn.XLOOKUP(LEFT(BC44,2),Коды_код,Коды_мА),""))),IF(_xlpm.v="да",30,IF(ISNUMBER(_xlpm.v),_xlpm.v,0))))</f>
        <v>0</v>
      </c>
      <c r="CP44" t="str">
        <f t="shared" si="28"/>
        <v/>
      </c>
      <c r="CQ44" t="str">
        <f>_xlfn.LET(_xlpm.k,IFERROR(_xlfn.XLOOKUP(BC44,Коды_код,Коды_утечка)&amp;"",""),IF(_xlpm.k="","дифавтомат",_xlpm.k))</f>
        <v>дифавтомат</v>
      </c>
      <c r="CR44" t="str" cm="1">
        <f t="array" ref="CR44">IF(CG44=0,"",_xlfn.LET(_xlpm.sg,TRIM(_xlfn.TEXTSPLIT(DD44&amp;"",";")),_xlpm.f_,_xlfn._xlws.FILTER(_xlpm.sg,LEFT(_xlpm.sg,3)="УЗО",""),IFERROR(INDEX(_xlpm.f_,1)&amp;"","")))</f>
        <v/>
      </c>
      <c r="CS44" t="str">
        <f t="shared" si="29"/>
        <v/>
      </c>
      <c r="CT44" s="6" t="str" cm="1">
        <f t="array" ref="CT44">IF(CR44="","",_xlfn.LET(_xlpm.tk,_xlfn.TEXTSPLIT(UPPER(CR44)," ",,TRUE),_xlpm.a_,_xlfn._xlws.FILTER(_xlpm.tk,ISNUMBER(--LEFT(_xlpm.tk,1))*((ISNUMBER(SEARCH("А",_xlpm.tk))+ISNUMBER(SEARCH("A",_xlpm.tk)))&gt;0)*NOT(ISNUMBER(SEARCH("МА",_xlpm.tk)))*NOT(ISNUMBER(SEARCH("MA",_xlpm.tk))),""),IFERROR(--SUBSTITUTE(SUBSTITUTE(INDEX(_xlpm.a_,1),"А",""),"A",""),"")))</f>
        <v/>
      </c>
      <c r="CU44" t="str" cm="1">
        <f t="array" ref="CU44">IF(CR44="","",_xlfn.LET(_xlpm.tk,_xlfn.TEXTSPLIT(UPPER(CR44)," ",,TRUE),_xlpm.a_,_xlfn._xlws.FILTER(_xlpm.tk,ISNUMBER(--LEFT(_xlpm.tk,1))*((ISNUMBER(SEARCH("МА",_xlpm.tk))+ISNUMBER(SEARCH("MA",_xlpm.tk)))&gt;0),""),IFERROR(--SUBSTITUTE(SUBSTITUTE(INDEX(_xlpm.a_,1),"МА",""),"MA",""),30)))</f>
        <v/>
      </c>
      <c r="CV44" t="str">
        <f>IF(CS44="","",IFERROR(_xlfn.XLOOKUP(CS44,Линии[_n],Линии[_УЗО, мА]),30))</f>
        <v/>
      </c>
      <c r="CW44">
        <f>IF(CS44="",0,IF(ISNUMBER(SEARCH("4P",IFERROR(_xlfn.XLOOKUP(CS44,Линии[_n],Линии[_УЗО строки])&amp;"",""))),0,1))</f>
        <v>0</v>
      </c>
      <c r="CX44" t="str">
        <f>IF(AND(CS44&lt;&gt;"",CS44=BA44),SUMIFS(Линии[_ток на 230 В],Линии[_блок УЗО],BA44,Линии[Щит],A44),"")</f>
        <v/>
      </c>
      <c r="CY44" t="str">
        <f>IF(AND(CS44&lt;&gt;"",CS44=BA44),SUMIFS(Линии[_ток утечки линии, мА],Линии[_блок УЗО],BA44,Линии[Щит],A44),"")</f>
        <v/>
      </c>
      <c r="CZ44">
        <f t="shared" si="30"/>
        <v>0</v>
      </c>
      <c r="DA44">
        <f t="shared" si="31"/>
        <v>0</v>
      </c>
      <c r="DB44">
        <f>IF(B44="",0,IFERROR(--_xlfn.XLOOKUP(B44,Коды_код,Коды_минавт),IFERROR(--_xlfn.XLOOKUP(BC44,Коды_код,Коды_минавт),IFERROR(--_xlfn.XLOOKUP(LEFT(BC44,2),Коды_код,Коды_минавт),0))))</f>
        <v>10</v>
      </c>
      <c r="DC44" t="str">
        <f>IF(B44="","",IFERROR(_xlfn.XLOOKUP(BC44,Коды_код,Коды_апп)&amp;"",""))</f>
        <v/>
      </c>
      <c r="DD44" t="str">
        <f t="shared" si="32"/>
        <v/>
      </c>
      <c r="DE44" t="str" cm="1">
        <f t="array" ref="DE44">IF(TRIM(DD44&amp;"")="","",IFERROR(TRIM(INDEX(_xlfn.TEXTSPLIT(DD44&amp;";;;",";"),1)),""))</f>
        <v/>
      </c>
      <c r="DF44" t="str" cm="1">
        <f t="array" ref="DF44">IF(TRIM(DD44&amp;"")="","",IFERROR(TRIM(INDEX(_xlfn.TEXTSPLIT(DD44&amp;";;;",";"),2)),""))</f>
        <v/>
      </c>
      <c r="DG44" t="str" cm="1">
        <f t="array" ref="DG44">IF(TRIM(DD44&amp;"")="","",IFERROR(TRIM(INDEX(_xlfn.TEXTSPLIT(DD44&amp;";;;",";"),3)),""))</f>
        <v/>
      </c>
      <c r="DH44">
        <f t="shared" si="33"/>
        <v>0</v>
      </c>
      <c r="DI44" t="str">
        <f>IF(B44="","",_xlfn.LET(_xlpm.t,LOWER(AZ44&amp;""),IF(ISNUMBER(SEARCH("dim",_xlpm.t)),"DIM",IF(ISNUMBER(SEARCH("dali",_xlpm.t)),"DALI",IF(OR(ISNUMBER(SEARCH("relay",_xlpm.t)),ISNUMBER(SEARCH("реле",_xlpm.t))),"Relay",IF(ISNUMBER(SEARCH("кнопк",_xlpm.t)),"",IFERROR(_xlfn.XLOOKUP(BC44,Коды_код,Коды_упр)&amp;"","")))))))</f>
        <v/>
      </c>
      <c r="DJ44" t="str">
        <f t="shared" si="34"/>
        <v/>
      </c>
      <c r="DK44">
        <f>IF(B44="","",_xlfn.LET(_xlpm.ig,IF(N(CX44)&gt;0,N(CX44),N(CI44)+IF(AJ44="вручную",0,N(CJ44))),_xlpm.n0,IFERROR(VLOOKUP(_xlpm.ig,Автомат_номиналы,2,TRUE),0),_xlpm.mn,MAX(DB44,IF(AJ44="вручную",0,N(CM44))),MAX(_xlpm.n0,_xlpm.mn,IF(DH44=1,Мин_автомат_БП,0))))</f>
        <v>10</v>
      </c>
      <c r="DL44">
        <f t="shared" si="35"/>
        <v>1</v>
      </c>
      <c r="DM44" t="str">
        <f t="shared" si="36"/>
        <v>1P</v>
      </c>
      <c r="DN44" t="str">
        <f>_xlfn.LET(_xlpm.cc,UPPER(TRIM(IFERROR(_xlfn.XLOOKUP(BC44,Коды_код,Коды_хар)&amp;"",""))),IF(OR(_xlpm.cc="B",_xlpm.cc="В"),"B",IF(_xlpm.cc="D","D","С")))</f>
        <v>С</v>
      </c>
      <c r="DO44" t="str">
        <f t="shared" si="37"/>
        <v>1P С10А</v>
      </c>
      <c r="DP44" t="str">
        <f t="shared" si="38"/>
        <v>1P С10А</v>
      </c>
      <c r="DQ44" t="str">
        <f t="shared" si="39"/>
        <v>1P С10А</v>
      </c>
      <c r="DR44" cm="1">
        <f t="array" ref="DR44">IF(DQ44="","",_xlfn.LET(_xlpm.t,SUBSTITUTE(SUBSTITUTE(SUBSTITUTE(UPPER(DQ44),"С","C"),"А","A"),"В","B"),_xlpm.tk,_xlfn.TEXTSPLIT(_xlpm.t," "),_xlpm.f,_xlfn._xlws.FILTER(_xlpm.tk,ISNUMBER(--MID(_xlpm.tk,2,1))*ISNUMBER(SEARCH(LEFT(_xlpm.tk,1)&amp;"#","B#C#D#"))*(LEN(_xlpm.tk)&gt;1),""),_xlpm.x,INDEX(_xlpm.f,1),IFERROR(--SUBSTITUTE(MID(_xlpm.x,2,9),"A",""),IFERROR(--SUBSTITUTE(INDEX(_xlfn._xlws.FILTER(_xlpm.tk,ISNUMBER(--SUBSTITUTE(_xlpm.tk,"A","")),""),1),"A",""),""))))</f>
        <v>10</v>
      </c>
      <c r="DS44" t="str">
        <f t="shared" si="40"/>
        <v>ok</v>
      </c>
      <c r="DT44">
        <f t="shared" si="41"/>
        <v>10</v>
      </c>
      <c r="DU44" t="str">
        <f t="shared" si="42"/>
        <v>1P С10А</v>
      </c>
      <c r="DV44">
        <f t="shared" si="43"/>
        <v>0</v>
      </c>
      <c r="DW44">
        <f t="shared" si="44"/>
        <v>0</v>
      </c>
      <c r="DX44">
        <f t="shared" si="45"/>
        <v>0</v>
      </c>
      <c r="DY44">
        <f t="shared" si="46"/>
        <v>0.455802844097073</v>
      </c>
      <c r="DZ44">
        <f t="shared" si="47"/>
        <v>1</v>
      </c>
      <c r="EA44">
        <f>IF(ISNUMBER(AP44),AP44,К_прокл)</f>
        <v>1</v>
      </c>
      <c r="EB44">
        <f t="shared" si="48"/>
        <v>2</v>
      </c>
      <c r="EC44">
        <f>IFERROR(N(VLOOKUP(BZ44,Кабель_обозначение,3,FALSE)),1)</f>
        <v>1</v>
      </c>
      <c r="ED44">
        <f>IFERROR(N(_xlfn.XLOOKUP(A44,Щиты[Щит],Щиты[ΔU до шин, %])),0)</f>
        <v>0.17</v>
      </c>
      <c r="EE44" t="str">
        <f>IFERROR(_xlfn.XLOOKUP(A44,Щиты[Щит],Щиты[Zпетли на шинах, Ом]),"")</f>
        <v/>
      </c>
      <c r="EF44">
        <f>IFERROR(N(_xlfn.XLOOKUP(A44,Щиты[Щит],Щиты[ΔU до шин (подбор), %])),0)</f>
        <v>0.65</v>
      </c>
      <c r="EG44" t="str">
        <f>IFERROR(_xlfn.XLOOKUP(A44,Щиты[Щит],Щиты[Zпетли на шинах (подбор), Ом]),"")</f>
        <v/>
      </c>
      <c r="EH44" t="str">
        <f t="shared" si="49"/>
        <v/>
      </c>
      <c r="EI44">
        <f t="shared" si="50"/>
        <v>25</v>
      </c>
      <c r="EJ44">
        <f t="shared" si="51"/>
        <v>2</v>
      </c>
      <c r="EK44">
        <f t="shared" si="52"/>
        <v>0.31</v>
      </c>
      <c r="EL44" s="6">
        <f>IF(B44="","",IF(BV44=1,dU_LED,IF(IFERROR(_xlfn.XLOOKUP(BC44,Коды_код,Коды_уго),"")="Светильник",3,4)+IF(Методика="нормы 2026",MIN(0.5,MAX(0,N(P44)-100)*0.005),0)))</f>
        <v>3</v>
      </c>
      <c r="EM44" cm="1">
        <f t="array" ref="EM44">IF(OR(B44="",BZ44="",EC44&lt;&gt;1),"",_xlfn.LET(_xlpm.sz,Iдоп_S,_xlpm.t_,CHOOSE(EB44,Iдоп_1ж,Iдоп_2ж,Iдоп_3ж)*DZ44*EA44,_xlpm.dcx,BV44=1,_xlpm.inn,IF(_xlpm.dcx,N(O44),N(DT44)),_xlpm.smin,MAX(1.5,CC44),_xlpm.L_,N(P44)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44)/N(BU44)*100,999),IFERROR(N(EJ44)*(_xlpm.rho*_xlpm.L_/_xlpm.sz*N(CE44)+_xlpm.xx*_xlpm.L_*N(EK44)/1000)*N(O44)/((Uн_лин/SQRT(3))*1000)*100,999)),_xlpm.kz,IF(OR(_xlpm.dcx,DW44=1,NOT(ISNUMBER(EG44)),_xlpm.L_=0,_xlpm.inn=0),1,IFERROR(--(c_min*(Uн_лин*1000/SQRT(3))/(EG44+2*ρкз_Cu*_xlpm.L_/_xlpm.sz)&gt;=HT44*_xlpm.inn),0)),_xlpm.ok,IFERROR((_xlpm.sz&gt;=_xlpm.smin)*(_xlpm.t_&gt;=_xlpm.inn)*IF(_xlpm.L_&gt;0,(_xlpm.du_+IF(_xlpm.dcx,0,EF44)&lt;=EL44+0.00001),1)*_xlpm.kz,0),_xlpm.r_,_xlfn._xlws.FILTER(_xlpm.sz,_xlpm.ok,"не подобрано"),INDEX(_xlpm.r_,1)))</f>
        <v>1.5</v>
      </c>
      <c r="EN44">
        <f t="shared" si="53"/>
        <v>1.5</v>
      </c>
      <c r="EO44" cm="1">
        <f t="array" ref="EO44">IF(OR(B44="",BZ44="",EC44&lt;&gt;1),"",_xlfn.LET(_xlpm.sz,Iдоп_S,_xlpm.t_,CHOOSE(EB44,Iдоп_1ж,Iдоп_2ж,Iдоп_3ж)*DZ44*EA44,_xlpm.ok,IFERROR((_xlpm.sz&gt;=MAX(1.5,CC44))*(_xlpm.t_&gt;=N(DT44)),0),_xlpm.r_,_xlfn._xlws.FILTER(_xlpm.sz,_xlpm.ok,""),INDEX(_xlpm.r_,1)))</f>
        <v>1.5</v>
      </c>
      <c r="EP44" s="6" cm="1">
        <f t="array" ref="EP44">IFERROR(ROUNDUP(N(EJ44)*(_xlfn.XLOOKUP(EO44,INDEX(Кабель_сопротивление,0,1),INDEX(Кабель_сопротивление,0,3))*N(P44)/EO44*N(CE44)+_xlfn.XLOOKUP(EO44,INDEX(Кабель_сопротивление,0,1),INDEX(Кабель_сопротивление,0,2))*N(P44)*N(EK44)/1000)*N(O44)/((Uн_лин/SQRT(3))*1000)*100,2),"")</f>
        <v>0.19</v>
      </c>
      <c r="EQ44">
        <f>IFERROR(2*ρкз_Cu*N(P44)/EO44,"")</f>
        <v>1.1221333333333334</v>
      </c>
      <c r="ER44">
        <f>IFERROR(VLOOKUP(EN44,Кабель_сопротивление,3,FALSE),"")</f>
        <v>2.2499999999999999E-2</v>
      </c>
      <c r="ES44">
        <f>IFERROR(VLOOKUP(EN44,Кабель_сопротивление,2,FALSE),"")</f>
        <v>0.11</v>
      </c>
      <c r="ET44">
        <f t="shared" si="54"/>
        <v>0</v>
      </c>
      <c r="EU44">
        <f t="shared" si="55"/>
        <v>28</v>
      </c>
      <c r="EV44">
        <f t="shared" si="56"/>
        <v>0.41668693794348799</v>
      </c>
      <c r="EW44" s="6">
        <f>IFERROR(ROUNDUP(EV44/IF(BV44=1,BU44,(Uн_лин/SQRT(3))*1000)*100,2),"")</f>
        <v>0.19</v>
      </c>
      <c r="EX44" t="str">
        <f>IFERROR(VLOOKUP(BZ44,Кабель_обозначение,2,FALSE),"")</f>
        <v>ВВГнг(А)-LS</v>
      </c>
      <c r="EY44" t="str">
        <f t="shared" si="57"/>
        <v>ВВГнг(А)-LS (3х1,5)</v>
      </c>
      <c r="EZ44" t="str">
        <f t="shared" si="58"/>
        <v>ВВГнг(А)-LS (3х1,5)
L=32-0,19%</v>
      </c>
      <c r="FA44">
        <f>IFERROR(2*ρкз_Cu*P44/EN44,"")</f>
        <v>1.1221333333333334</v>
      </c>
      <c r="FB44">
        <f t="shared" si="59"/>
        <v>0.37333333333333335</v>
      </c>
      <c r="FC44" s="6" t="str">
        <f>IFERROR(IF(OR(B44="",BV44=1,NOT(ISNUMBER(EN44)),N(P44)=0),"",_xlfn.XLOOKUP(A44,Щиты[Щит],Щиты[Zпетли на шинах, Ом])+FA44),"")</f>
        <v/>
      </c>
      <c r="FD44" s="6" t="str">
        <f>IF(ISNUMBER(FC44),c_min*(Uн_лин*1000/SQRT(3))/FC44,"")</f>
        <v/>
      </c>
      <c r="FE44" s="6" t="str">
        <f>IFERROR(IF(OR(B44="",NOT(ISNUMBER(EN44))),"",1.05*(Uн_лин*1000/SQRT(3))/(_xlfn.XLOOKUP(A44,Щиты[Щит],Щиты[Zmax на шинах, Ом])+FB44)/1000),"")</f>
        <v/>
      </c>
      <c r="FF44" s="6" t="str">
        <f>IF(B44="","",IF(ISNUMBER(AC44),"Сил",IF(IFERROR(_xlfn.XLOOKUP(BC44,Коды_код,Коды_группа)&amp;"","")="","Быт",_xlfn.XLOOKUP(BC44,Коды_код,Коды_группа)&amp;"")))</f>
        <v>Быт</v>
      </c>
      <c r="FG44" s="6" t="str">
        <f t="shared" si="60"/>
        <v>Быт</v>
      </c>
      <c r="FH44" s="6">
        <f>IF(FG44="Щит","щит",IF(FG44="","",IF(FG44="Быт",IFERROR(_xlfn.XLOOKUP(A44,Щиты[Щит],Щиты[Кс быт]),1),IF(FG44="Сил",IF(ISNUMBER(AC44),AC44,IF(Методика="нормы 2026",IFERROR(_xlfn.XLOOKUP(A44,Щиты[Щит],Щиты[Кс силовых (табл. 7.5)]),1),1)),IF(OR(FG44="Пост",FG44="Отоп"),1,IF(FG44="ВНГ",0.7,0))))))</f>
        <v>0.8</v>
      </c>
      <c r="FI44">
        <f>IF(FG44="","",IF(AND(BP44=1,TRIM(AE44&amp;"")=""),IF(COUNTIFS(Линии[Щит],A44,Линии[Секция (1/2/3)],"&gt;=2")&gt;0,MIN(3,MAX(1,IFERROR(--BD44,1))),1),IFERROR(MIN(3,MAX(1,INT(--AE44))),1)))</f>
        <v>1</v>
      </c>
      <c r="FJ44">
        <f t="shared" si="61"/>
        <v>0.1</v>
      </c>
      <c r="FK44">
        <f t="shared" si="62"/>
        <v>0.1</v>
      </c>
      <c r="FL44">
        <f t="shared" si="63"/>
        <v>0</v>
      </c>
      <c r="FM44">
        <f t="shared" si="64"/>
        <v>0</v>
      </c>
      <c r="FN44">
        <f t="shared" si="65"/>
        <v>0</v>
      </c>
      <c r="FO44">
        <f t="shared" si="66"/>
        <v>0</v>
      </c>
      <c r="FP44">
        <f t="shared" si="67"/>
        <v>0.1</v>
      </c>
      <c r="FQ44">
        <f t="shared" si="68"/>
        <v>0.1</v>
      </c>
      <c r="FR44">
        <f t="shared" si="69"/>
        <v>9.5000000000000001E-2</v>
      </c>
      <c r="FS44">
        <f>IF(CG44=1,IF(AND(CH44=1,CW44=1),0,IF(AND(CS44&lt;&gt;"",CS44=BA44,CW44=1),SUMIFS(Линии[_Р линии, кВт],Линии[_блок УЗО],BA44,Линии[Щит],A44),N(BS44)+IF(AJ44="вручную",0,N(CK44)))),0)</f>
        <v>0.1</v>
      </c>
      <c r="FT44" t="str">
        <f t="shared" si="70"/>
        <v/>
      </c>
      <c r="FU44" t="str">
        <f>IF(B44="","",IF(CG44=0,IF(BA44=1,"",FW43),IF(AND(CH44=1,CW44=1,CS44&lt;&gt;""),IFERROR(_xlfn.XLOOKUP(CS44,Линии[_n],Линии[_фаза итог]),"L1"),IF(OR(N(DL44)&gt;=3,N(BX44)&gt;=3),"L1,L2,L3",IFERROR(_xlfn.TEXTBEFORE(_xlfn.TEXTAFTER(_xlfn.XLOOKUP(A44,Щиты[Щит],Щиты[_фазы авто]),";"&amp;BA44&amp;":"),";"),"L1")))))</f>
        <v>L1</v>
      </c>
      <c r="FV44" t="str">
        <f t="shared" si="71"/>
        <v>L1</v>
      </c>
      <c r="FW44" t="str">
        <f t="shared" si="72"/>
        <v>L1</v>
      </c>
      <c r="FX44" cm="1">
        <f t="array" ref="FX44">IFERROR(IF(CD44=2,_xlfn.IFS(BX44=3,VLOOKUP(BS44,Справочная_двигатели,3,FALSE),BX44=1,VLOOKUP(BS44,Справочная_двигатели,5,TRUE)),0),0)</f>
        <v>0</v>
      </c>
      <c r="FY44">
        <f>IFERROR(IF(CD44=3,VLOOKUP(BS44,Справочная_ЛЭД,2,TRUE),0),0)</f>
        <v>50</v>
      </c>
      <c r="FZ44" s="6">
        <f t="shared" si="73"/>
        <v>50</v>
      </c>
      <c r="GA44" t="str">
        <f>IF(B44="","",IF(TRIM(AH44&amp;"")&lt;&gt;"",IF(LOWER(TRIM(AH44&amp;""))="да","да","нет"),IF(IFERROR(_xlfn.XLOOKUP(BC44,Коды_код,Коды_пожарная),"")="да","да","нет")))</f>
        <v>нет</v>
      </c>
      <c r="GB44" t="str">
        <f t="shared" si="74"/>
        <v/>
      </c>
      <c r="GC44" t="str">
        <f t="shared" si="75"/>
        <v>основная</v>
      </c>
      <c r="GD44">
        <f>IF(AND(BP44=1,TRIM(AE44&amp;"")=""),IF(COUNTIFS(Линии[Щит],A44,Линии[Секция (1/2/3)],"&gt;=2")&gt;0,MIN(3,MAX(1,IFERROR(--BD44,1))),1),IFERROR(MIN(3,MAX(1,INT(--AE44))),1))</f>
        <v>1</v>
      </c>
      <c r="GE44" t="str" cm="1">
        <f t="array" ref="GE44">IF(B44="","",_xlfn.LET(_xlpm.t,IFERROR(_xlfn.XLOOKUP(1,(Шины[Шина]=GC44)*(((Шины[Щит]=A44)+(Шины[Щит]=""))&gt;0),Шины[Тип]),"")&amp;"",IF(_xlpm.t&lt;&gt;"",_xlpm.t,IF(ISNUMBER(SEARCH("ИБП",GC44)),"ИБП",IF(ISNUMBER(SEARCH("ДГУ",GC44)),"ДГУ","Ввод "&amp;GD44)))))</f>
        <v>Ввод 1</v>
      </c>
      <c r="GF44" t="str">
        <f t="shared" si="76"/>
        <v>Ввод 1</v>
      </c>
      <c r="GG44" t="str">
        <f>IF(BP44=0,"",IF(TRIM(AG44&amp;"")&lt;&gt;"",TRIM(AG44&amp;""),IF(OR(GE44="ИБП",GE44="ДГУ"),"I особая",_xlfn.XLOOKUP(A44,Щиты[Щит],Щиты[Категория шины «Ввод»],"III"))))</f>
        <v/>
      </c>
      <c r="GH44" t="str">
        <f>IF(A44="","",_xlfn.XLOOKUP(A44,Щиты[Щит],Щиты[Путь],""))</f>
        <v>|ГРЩ-ЖД|ЩГП|ЩО-001|</v>
      </c>
      <c r="GI44" t="str">
        <f>IF(B44="","",IF(AI44&lt;&gt;"",AI44,IF(IFERROR(_xlfn.XLOOKUP(BC44,Коды_код,Коды_вид)&amp;"","")="","Прочее",_xlfn.XLOOKUP(BC44,Коды_код,Коды_вид)&amp;"")))</f>
        <v>Рабочее освещение</v>
      </c>
      <c r="GJ44" t="str">
        <f>IF(BM44="","",INT((BM44-1)/Столбцов_на_лист)+1)</f>
        <v/>
      </c>
      <c r="GK44" t="str">
        <f t="shared" si="77"/>
        <v>ВВГнг(А)-LS (3х1,5) L=32-0,19%</v>
      </c>
      <c r="GL44">
        <f t="shared" si="78"/>
        <v>0.1</v>
      </c>
      <c r="GM44">
        <f t="shared" si="79"/>
        <v>0.46</v>
      </c>
      <c r="GN44">
        <f t="shared" si="80"/>
        <v>1</v>
      </c>
      <c r="GO44">
        <f t="shared" si="81"/>
        <v>0</v>
      </c>
      <c r="GP44">
        <f t="shared" si="82"/>
        <v>0</v>
      </c>
      <c r="GQ44" t="str">
        <f>IF(BM44="","",IF(AND(CG44=1,GP44=1),COUNTIFS(A$3:A44,A44,CG$3:CG44,1,GP$3:GP44,1),IF(OR(OR(BA44=1,A44&lt;&gt;A43),AJ44="вручную",GP44=0),"",IF(BA44=1,"",GR43))))</f>
        <v/>
      </c>
      <c r="GR44" t="str">
        <f t="shared" si="83"/>
        <v/>
      </c>
      <c r="GS44">
        <f>IF(B44="","",IFERROR(LOOKUP(INDEX(CHOOSE(EB44,Iдоп_1ж,Iдоп_2ж,Iдоп_3ж),MATCH(EN44,Iдоп_S,0))*DZ44*EA44,{6,10,16,20,25,32,40,50,63,80,100,125,160,200,250,315,400,500,630}),""))</f>
        <v>16</v>
      </c>
      <c r="GT44" t="str">
        <f t="shared" si="84"/>
        <v/>
      </c>
      <c r="GU44" t="str">
        <f t="shared" si="85"/>
        <v/>
      </c>
      <c r="GV44" t="str">
        <f t="shared" si="86"/>
        <v/>
      </c>
      <c r="GW44">
        <f t="shared" si="87"/>
        <v>0</v>
      </c>
      <c r="GX44" t="str">
        <f>IF(OR(B44="",DJ44=""),"",IFERROR(_xlfn.XLOOKUP(DJ44,Модули_умолч[Управление],Модули_умолч[Модель])&amp;"",""))</f>
        <v/>
      </c>
      <c r="GY44">
        <f>IF(DJ44="",1,IFERROR(MAX(0,N(_xlfn.XLOOKUP(DJ44,Модули_умолч[Управление],Модули_умолч[Каналов на линию]))),1))</f>
        <v>1</v>
      </c>
      <c r="GZ44" t="str">
        <f t="shared" si="88"/>
        <v/>
      </c>
      <c r="HA44" t="str">
        <f t="shared" si="89"/>
        <v/>
      </c>
      <c r="HB44" t="str">
        <f t="shared" si="90"/>
        <v/>
      </c>
      <c r="HC44">
        <f>IF(HB44="",0,IFERROR(N(VLOOKUP(HB44,Модули_спр,3,FALSE)),0))</f>
        <v>0</v>
      </c>
      <c r="HD44" t="str">
        <f t="shared" si="91"/>
        <v/>
      </c>
      <c r="HE44" t="str">
        <f t="shared" si="92"/>
        <v/>
      </c>
      <c r="HF44" t="str">
        <f>IF(OR(HE44="",HE44="-"),"",IFERROR(VLOOKUP(HE44,Модули_спр,2,FALSE),"R"))</f>
        <v/>
      </c>
      <c r="HG44" t="str">
        <f>IF(HF44="","",HF44&amp;"."&amp;COUNTIFS(A$3:A44,A44,HF$3:HF44,HF44))</f>
        <v/>
      </c>
      <c r="HH44" t="str">
        <f t="shared" si="93"/>
        <v/>
      </c>
      <c r="HI44" t="str">
        <f t="shared" si="94"/>
        <v/>
      </c>
      <c r="HJ44" t="str">
        <f t="shared" si="95"/>
        <v/>
      </c>
      <c r="HK44" t="str">
        <f t="shared" si="96"/>
        <v/>
      </c>
      <c r="HL44">
        <f t="shared" si="97"/>
        <v>1</v>
      </c>
      <c r="HM44" t="str">
        <f>IF(HL44=1,"XT"&amp;COUNTIFS(A$3:A44,A44,HL$3:HL44,1),"")</f>
        <v>XT13</v>
      </c>
      <c r="HN44" t="str">
        <f t="shared" si="98"/>
        <v>XT13</v>
      </c>
      <c r="HO44" t="str">
        <f t="shared" si="99"/>
        <v/>
      </c>
      <c r="HP44" t="str">
        <f t="shared" si="100"/>
        <v/>
      </c>
      <c r="HQ44" t="str">
        <f t="shared" si="101"/>
        <v>ok</v>
      </c>
      <c r="HR44" t="str">
        <f>IF(OR(HJ44="",HH44=""),"",IF(HJ44+MAX(0,GY44-1)&gt;IFERROR(VLOOKUP(HI44,Модули_спр,3,FALSE),99),"ЛИШНИЙ КАНАЛ",IF(AND(AL44&lt;&gt;"=",GY44&gt;0,COUNTIFS(Линии[_модуль гр.],HH44,Линии[Канал (итог)],HJ44,Линии[Канал],"&lt;&gt;=",Линии[Щит],A44)&gt;1),"ДУБЛЬ КАНАЛА","")))</f>
        <v/>
      </c>
      <c r="HS44" s="6" t="str">
        <f t="shared" si="102"/>
        <v/>
      </c>
      <c r="HT44">
        <f t="shared" si="103"/>
        <v>10</v>
      </c>
      <c r="HU44" t="str">
        <f t="shared" si="104"/>
        <v/>
      </c>
      <c r="HV44">
        <f t="shared" si="105"/>
        <v>0.50232113763882924</v>
      </c>
      <c r="HW44">
        <f t="shared" si="106"/>
        <v>0</v>
      </c>
      <c r="HX44">
        <f t="shared" si="107"/>
        <v>0</v>
      </c>
      <c r="HY44">
        <f t="shared" si="108"/>
        <v>0</v>
      </c>
      <c r="HZ44">
        <f t="shared" si="109"/>
        <v>0</v>
      </c>
      <c r="IA44">
        <f t="shared" si="110"/>
        <v>0</v>
      </c>
      <c r="IB44">
        <f t="shared" si="111"/>
        <v>0</v>
      </c>
      <c r="IC44" t="str">
        <f t="shared" si="112"/>
        <v/>
      </c>
      <c r="ID44" t="str" cm="1">
        <f t="array" ref="ID44">IF(IC44="","",_xlfn.LET(_xlpm.tk,_xlfn.TEXTSPLIT(SUBSTITUTE(SUBSTITUTE(IC44,";"," "),"→"," ")," ",,TRUE),_xlpm.w_,_xlfn._xlws.FILTER(_xlpm.tk,ISNUMBER(--LEFT(_xlpm.tk,1))*((ISNUMBER(SEARCH("W",_xlpm.tk))+ISNUMBER(SEARCH("Вт",_xlpm.tk)))&gt;0),""),IFERROR(--SUBSTITUTE(SUBSTITUTE(UPPER(INDEX(_xlpm.w_,1)),"W",""),"ВТ",""),"")))</f>
        <v/>
      </c>
      <c r="IE44" t="str" cm="1">
        <f t="array" ref="IE44">IF(IC44="","",_xlfn.LET(_xlpm.tk,_xlfn.TEXTSPLIT(SUBSTITUTE(SUBSTITUTE(IC44,";"," "),"→"," ")," ",,TRUE),_xlpm.v_,_xlfn._xlws.FILTER(_xlpm.tk,ISNUMBER(--LEFT(_xlpm.tk,1))*((ISNUMBER(SEARCH("V",_xlpm.tk))+(RIGHT(UPPER(_xlpm.tk))="В"))&gt;0),""),IFERROR(--SUBSTITUTE(SUBSTITUTE(UPPER(INDEX(_xlpm.v_,1)),"V",""),"В",""),"")))</f>
        <v/>
      </c>
      <c r="IF44" s="6" t="str">
        <f>IF(OR(BV44=0,HI44="",HJ44=""),"",IFERROR(N(_xlfn.XLOOKUP(HI44,Каталог!$C$4:$C$500,Каталог!$Q$4:$Q$500)),""))</f>
        <v/>
      </c>
      <c r="IG44" s="6" t="str">
        <f>IF(N(IF44)=0,"",SUMIFS(Линии[Iр, А],Линии[Щит],A44,Линии[_модуль гр.],HH44,Линии[Канал (итог)],HJ44))</f>
        <v/>
      </c>
      <c r="IH44" t="str">
        <f>IF(AND(B44="",HO44=""),"",_xlfn.TEXTJOIN("; ",TRUE,IF(AND(B44&lt;&gt;"",FV44=""),"нет фазы",""),IF(AND(B44&lt;&gt;"",N(GL44)=0,FG44&lt;&gt;"Нет"),"нет мощности",""),IF(AND(HN44&lt;&gt;"",COUNTIFS(Линии[Щит],A44,Линии[Клемма (итог)],HN44)&gt;1),"дубль клеммы "&amp;HN44,""),IF(AND(HQ44&lt;&gt;"",HQ44&lt;&gt;"ok"),HQ44,""),IF(HR44&lt;&gt;"",HR44,""),IF(AND(N(CB44)&gt;=4,N(BX44)=1),CB44&amp;" жил на 1 фазе",""),IF(AND(BC44="R",CG44=1,IF(CS44&lt;&gt;"",N(CV44)&gt;30,OR(N(DA44)=0,N(DA44)&gt;30))),"розетка без дифзащиты до 30 мА",""),IF(AND(CG44=1,N(DA44)&gt;0,ISNUMBER(T44)),IF(T44&gt;N(DA44)/3,"ток утечки "&amp;FIXED(T44,1)&amp;" мА &gt; 1/3 уставки ("&amp;DA44&amp;" мА)",""),""),IF(AND(CH44=1,CS44=""),"«узо»: нет строки с УЗО выше (УЗО 2P 40А 30мА в «Аппаратах»)",""),IF(AND(CS44&lt;&gt;"",CS44=BA44),IF(CT44="","впишите номинал УЗО (УЗО 2P 40А 30мА)",IF(N(CT44)&lt;N(DT44),"УЗО "&amp;CT44&amp;" А &lt; автомата "&amp;DT44&amp;" А перед ним",IF(N(CT44)&lt;N(CX44),"УЗО "&amp;CT44&amp;" А &lt; тока блока "&amp;FIXED(CX44,1)&amp;" А",""))),""),IF(AND(CS44&lt;&gt;"",CS44=BA44,ISNUMBER(CY44)),IF(CY44&gt;N(CV44)/3,"ток утечки блока УЗО "&amp;FIXED(CY44,1)&amp;" мА &gt; 1/3 уставки ("&amp;CV44&amp;" мА)",""),""),IF(AND(CG44=1,N(BV44)+N(IB44)&gt;0,IC44=""),"линии до 50 В без БП: впишите в «Аппараты» (БП 24V 480W)",""),IF(AND(CG44=1,ISNUMBER(ID44),ISNUMBER(U44)),IF(U44&gt;ID44,"БП "&amp;ID44&amp;" Вт &lt; нужно "&amp;U44&amp;" Вт (×"&amp;Запас_БП&amp;")",""),""),IF(AND(CG44=1,ISNUMBER(IE44),N(BV44)=1),IF(IE44&lt;&gt;N(BU44),"БП на "&amp;IE44&amp;" В, линия "&amp;BU44&amp;" В",""),""),IF(AND(N(IF44)&gt;0,N(IG44)&gt;N(IF44)),HH44&amp;" канал "&amp;HJ44&amp;": "&amp;FIXED(IG44,1)&amp;" А &gt; "&amp;IF44&amp;" А",""),IFERROR(IF(AND(ISNUMBER(Q44),Q44&gt;EL44),"потери "&amp;FIXED(Q44,1)&amp;" % &gt; "&amp;EL44&amp;" %",""),""),IFERROR(IF(LEFT(HU44,4)="мало","Iкз мало — отключение &gt; 0,4 с",""),""),IF(AND(B44&lt;&gt;"",BM44=""),"не на схеме",""),IF(AND(CG44=0,B44&lt;&gt;"",FV44&lt;&gt;"",IF(BA44=1,"",FW43)&lt;&gt;"",FV44&lt;&gt;IF(BA44=1,"",FW43)),"фаза не как у автомата группы ("&amp;IF(BA44=1,"",FW43)&amp;")","")))</f>
        <v>не на схеме</v>
      </c>
      <c r="II44" s="6">
        <f>IF(OR(CG44=0,DQ44=""),"",_xlfn.LET(_xlpm.t,IFERROR(_xlfn.XLOOKUP(DQ44,Каталог!$U$4:$U$500,Каталог!$G$4:$G$500),""),_xlpm.k,SEARCH("кА",_xlpm.t),IFERROR(--TRIM(RIGHT(SUBSTITUTE(MID(_xlpm.t,MAX(1,_xlpm.k-4),_xlpm.k-MAX(1,_xlpm.k-4))," ",REPT(" ",9)),5)),"")))</f>
        <v>6</v>
      </c>
      <c r="IJ44" t="str">
        <f>IF(OR(II44="",CG44=0),"",IF(_xlfn.XLOOKUP(A44,Щиты[Щит],Щиты[Iкз max на шинах, кА],"")="","",IF(II44&lt;_xlfn.XLOOKUP(A44,Щиты[Щит],Щиты[Iкз max на шинах, кА]),"Icu "&amp;II44&amp;" кА &lt; Iкз max","ok")))</f>
        <v/>
      </c>
      <c r="IK44" t="str">
        <f t="shared" si="113"/>
        <v/>
      </c>
      <c r="IL44" t="str">
        <f t="shared" si="114"/>
        <v/>
      </c>
      <c r="IM44" t="str">
        <f t="shared" si="115"/>
        <v/>
      </c>
      <c r="IN44" t="str" cm="1">
        <f t="array" ref="IN44">IF(IM44="","",_xlfn.LET(_xlpm.nd,_xlfn.TEXTSPLIT(IM44,"|"),IF(COLUMNS(_xlpm.nd)&gt;1,A44&amp;"¦"&amp;INDEX(_xlpm.nd,1)&amp;"¦"&amp;INDEX(_xlpm.nd,2),"")))</f>
        <v/>
      </c>
      <c r="IO44" t="str">
        <f t="shared" si="116"/>
        <v/>
      </c>
      <c r="IP44" t="str" cm="1">
        <f t="array" ref="IP44">IF(IM44="","",_xlfn.LET(_xlpm.nd,_xlfn.TEXTSPLIT(IM44,"|"),IF(COLUMNS(_xlpm.nd)&gt;2,A44&amp;"¦"&amp;INDEX(_xlpm.nd,2)&amp;"¦"&amp;INDEX(_xlpm.nd,3),"")))</f>
        <v/>
      </c>
      <c r="IQ44" t="str">
        <f t="shared" si="117"/>
        <v/>
      </c>
      <c r="IR44" t="str" cm="1">
        <f t="array" ref="IR44">IF(IM44="","",_xlfn.LET(_xlpm.nd,_xlfn.TEXTSPLIT(IM44,"|"),IF(COLUMNS(_xlpm.nd)&gt;3,A44&amp;"¦"&amp;INDEX(_xlpm.nd,3)&amp;"¦"&amp;INDEX(_xlpm.nd,4),"")))</f>
        <v/>
      </c>
      <c r="IS44" t="str">
        <f t="shared" si="118"/>
        <v/>
      </c>
      <c r="IT44" t="str" cm="1">
        <f t="array" ref="IT44">IF(IM44="","",_xlfn.LET(_xlpm.nd,_xlfn.TEXTSPLIT(IM44,"|"),IF(COLUMNS(_xlpm.nd)&gt;4,A44&amp;"¦"&amp;INDEX(_xlpm.nd,4)&amp;"¦"&amp;INDEX(_xlpm.nd,5),"")))</f>
        <v/>
      </c>
      <c r="IU44" t="str">
        <f t="shared" si="119"/>
        <v/>
      </c>
      <c r="IV44" t="str" cm="1">
        <f t="array" ref="IV44">IF(IM44="","",_xlfn.LET(_xlpm.nd,_xlfn.TEXTSPLIT(IM44,"|"),IF(COLUMNS(_xlpm.nd)&gt;5,A44&amp;"¦"&amp;INDEX(_xlpm.nd,5)&amp;"¦"&amp;INDEX(_xlpm.nd,6),"")))</f>
        <v/>
      </c>
      <c r="IW44" t="str">
        <f t="shared" si="120"/>
        <v/>
      </c>
      <c r="IX44" t="str" cm="1">
        <f t="array" ref="IX44">IF(IM44="","",_xlfn.LET(_xlpm.nd,_xlfn.TEXTSPLIT(IM44,"|"),IF(COLUMNS(_xlpm.nd)&gt;6,A44&amp;"¦"&amp;INDEX(_xlpm.nd,6)&amp;"¦"&amp;INDEX(_xlpm.nd,7),"")))</f>
        <v/>
      </c>
      <c r="IY44" t="str">
        <f t="shared" si="121"/>
        <v/>
      </c>
      <c r="IZ44" t="str">
        <f t="shared" si="122"/>
        <v/>
      </c>
      <c r="JA44" t="str">
        <f t="shared" si="123"/>
        <v>XT13</v>
      </c>
      <c r="JB44">
        <f t="shared" si="124"/>
        <v>0</v>
      </c>
      <c r="JC44">
        <f t="shared" si="125"/>
        <v>0</v>
      </c>
      <c r="JD44" t="str">
        <f t="shared" si="126"/>
        <v/>
      </c>
      <c r="JE44" t="str">
        <f t="shared" si="127"/>
        <v/>
      </c>
      <c r="JF44" t="str">
        <f t="shared" si="128"/>
        <v/>
      </c>
      <c r="JG44" t="str">
        <f t="shared" si="129"/>
        <v/>
      </c>
      <c r="JH44" t="str">
        <f>IF(B44="","",IFERROR(_xlfn.XLOOKUP(B44,Коды_код,Коды_уго),IFERROR(_xlfn.XLOOKUP(BC44,Коды_код,Коды_уго),IFERROR(_xlfn.XLOOKUP(LEFT(BC44,2),Коды_код,Коды_уго),""))))</f>
        <v>Светильник</v>
      </c>
      <c r="JI44" t="str">
        <f>IF(B44="","",IF(OR(JH44="",JH44=0),"BOX",IFERROR(IF(VLOOKUP(JH44,УГО_блоки,3,FALSE)&amp;""&lt;&gt;"",VLOOKUP(JH44,УГО_блоки,3,FALSE),VLOOKUP(JH44,УГО_блоки,2,FALSE)),JH44)))</f>
        <v>LAMP</v>
      </c>
      <c r="JJ44">
        <f t="shared" si="130"/>
        <v>1</v>
      </c>
      <c r="JK44" t="str">
        <f>IF(DQ44="","",IF(COUNTIF(DQ$3:DQ44,DQ44)=1,MAX(JK$2:JK43)+1,""))</f>
        <v/>
      </c>
      <c r="JL44" t="str">
        <f>IF(DE44="","",IF(COUNTIF(DE$3:DE44,DE44)+COUNTIF(DF$2:DF43,DE44)+COUNTIF(DG$2:DG43,DE44)=1,MAX(JL$2:JN43)+1,""))</f>
        <v/>
      </c>
      <c r="JM44" t="str">
        <f>IF(DF44="","",IF(COUNTIF(DE$3:DE44,DF44)+COUNTIF(DF$3:DF44,DF44)+COUNTIF(DG$2:DG43,DF44)=1,MAX(JL$2:JN43,JL44)+1,""))</f>
        <v/>
      </c>
      <c r="JN44" t="str">
        <f>IF(DG44="","",IF(COUNTIF(DE$3:DE44,DG44)+COUNTIF(DF$3:DF44,DG44)+COUNTIF(DG$3:DG44,DG44)=1,MAX(JL$2:JN43,JL44,JM44)+1,""))</f>
        <v/>
      </c>
      <c r="JO44" t="str">
        <f t="shared" si="131"/>
        <v>3х1,5</v>
      </c>
      <c r="JP44" t="str">
        <f>IF(JO44="","",IF(COUNTIF(JO$3:JO44,JO44)=1,MAX(JP$2:JP43)+1,""))</f>
        <v/>
      </c>
      <c r="JQ44" t="str">
        <f>IF(HG44="","",COUNTIF(HG$3:HG44,"?*"))</f>
        <v/>
      </c>
      <c r="JR44" t="str">
        <f>IF(OR(HG44="",HI44=""),"",IF(COUNTIFS(HG$3:HG44,"?*",HI$3:HI44,HI44)=1,MAX(JR$2:JR43)+1,""))</f>
        <v/>
      </c>
      <c r="JS44">
        <f t="shared" si="132"/>
        <v>1</v>
      </c>
      <c r="JT44">
        <f>IF(B44="","",COUNTIF(B$3:B44,"?*"))</f>
        <v>42</v>
      </c>
      <c r="JU44">
        <f>IF(HL44&lt;&gt;1,0,_xlfn.LET(_xlpm.k,MAX(IFERROR(--_xlfn.XLOOKUP(B44,Коды_код,Коды_3L),0),IFERROR(--_xlfn.XLOOKUP(BC44,Коды_код,Коды_3L),0),IFERROR(--_xlfn.XLOOKUP(LEFT(BC44,2),Коды_код,Коды_3L),0)),IF(_xlpm.k&gt;0,_xlpm.k,IF(IFERROR(--LEFT(SUBSTITUTE(JO44,"x","х"),FIND("х",SUBSTITUTE(JO44,"x","х"))-1),3)&gt;3,Каталог!$S$9,1))))</f>
        <v>1</v>
      </c>
      <c r="JV44">
        <f t="shared" si="133"/>
        <v>0</v>
      </c>
      <c r="JW44" t="str">
        <f t="shared" si="134"/>
        <v>авто</v>
      </c>
      <c r="JX44" t="str">
        <f t="shared" si="135"/>
        <v/>
      </c>
      <c r="JY44">
        <f t="shared" si="136"/>
        <v>0</v>
      </c>
      <c r="JZ44">
        <f t="shared" si="137"/>
        <v>1</v>
      </c>
    </row>
    <row r="45" spans="1:286" x14ac:dyDescent="0.3">
      <c r="A45" t="s">
        <v>1109</v>
      </c>
      <c r="B45" t="s">
        <v>1359</v>
      </c>
      <c r="C45" t="str">
        <f>Линии[[#This Row],[_авто наименование]]</f>
        <v>Осветительная группа, пом. 006Т</v>
      </c>
      <c r="D45">
        <v>22</v>
      </c>
      <c r="E45">
        <v>0.1</v>
      </c>
      <c r="G45" t="str">
        <f>Линии[[#This Row],[_авто автомат]]</f>
        <v>1P С10А</v>
      </c>
      <c r="H45" t="str">
        <f>Линии[[#This Row],[_авто управление]]</f>
        <v/>
      </c>
      <c r="I45" t="str">
        <f>Линии[[#This Row],[_авто аппараты]]</f>
        <v/>
      </c>
      <c r="J45">
        <v>1.5</v>
      </c>
      <c r="K45">
        <v>84</v>
      </c>
      <c r="L45" t="str">
        <f>Линии[[#This Row],[_авто фаза]]</f>
        <v>L2</v>
      </c>
      <c r="M45" t="str">
        <f>Линии[[#This Row],[_авто клемма]]</f>
        <v>XT14</v>
      </c>
      <c r="N45" t="str">
        <f t="shared" si="0"/>
        <v>не на схеме</v>
      </c>
      <c r="O45" s="6" cm="1">
        <f t="array" ref="O45">IF(B45="","",IF(BH45&lt;&gt;"",IFERROR(_xlfn.XLOOKUP(BH45,Щиты[Щит],Щиты[Iр, А]),""),IF(BP45=1,IF(OR(N(_xlfn.XLOOKUP(A45,Щиты[Щит],Щиты[Вводов],1))&lt;=1,LOWER(TRIM(_xlfn.XLOOKUP(A45,Щиты[Щит],Щиты[АВР],"")&amp;""))="да"),IFERROR(_xlfn.XLOOKUP(A45,Щиты[Щит],Щиты[Iр, А]),""),IFERROR(N(BS45)*_xlfn.XLOOKUP(A45,Щиты[Щит],Щиты[Кс итог])/(SQRT(3)*Uн_лин*_xlfn.XLOOKUP(A45,Щиты[Щит],Щиты[cos φ])),"")),IF(BV45=1,IFERROR(BS45*1000/BU45,""),IFERROR(_xlfn.IFS(BX45=1,BS45/((Uн_лин/SQRT(3))*CE45),BX45=3,BS45/(SQRT(3)*Uн_лин*CE45)),"")))))</f>
        <v>0.455802844097073</v>
      </c>
      <c r="P45" s="7">
        <f>IF(B45="","",IFERROR(IF(VLOOKUP(BC45,Потребители_обозначение,4,FALSE)=1,VLOOKUP(BC45,Потребители_обозначение,3,FALSE)*(MAX(1,N(D45))*2-1)+EI45+VLOOKUP(BE45,Этаж_обозначение,3,FALSE)+VLOOKUP(BE45,Этаж_обозначение,4,FALSE),VLOOKUP(BC45,Потребители_обозначение,3,FALSE)*(MAX(1,N(D45))*2-1)+EI45),EI45))</f>
        <v>127</v>
      </c>
      <c r="Q45" s="6">
        <f t="shared" si="1"/>
        <v>0.89</v>
      </c>
      <c r="R45" t="str">
        <f t="shared" si="2"/>
        <v>ВВГнг(А)-LS (3х1,5)</v>
      </c>
      <c r="S45" t="str">
        <f>IF(BM45="","",IF(BN45="вводной узел","узел ","")&amp;"л."&amp;(INT((BM45-1)/Столбцов_на_лист)+1)&amp;" / "&amp;(MOD(BM45-1,Столбцов_на_лист)+1))</f>
        <v/>
      </c>
      <c r="T45" s="119">
        <f t="shared" si="3"/>
        <v>1.5</v>
      </c>
      <c r="U45" s="7" t="str">
        <f>IF(OR(CG45=0,N(BV45)+N(IB45)=0),"",ROUNDUP(Запас_БП*(N(HY45)+N(HZ45)),0))</f>
        <v/>
      </c>
      <c r="V45" s="119" t="str">
        <f t="shared" si="4"/>
        <v/>
      </c>
      <c r="W45" s="7" t="str">
        <f>IFERROR(IF(OR(B45="",BP45=1,BV45=1,NOT(ISNUMBER(EN45)),N(DT45)=0),"",MAX(0,ROUNDDOWN((c_min*(Uн_лин*1000/SQRT(3))/(HT45*N(DT45))-_xlfn.XLOOKUP(A45,Щиты[Щит],Щиты[Zпетли на шинах, Ом]))*EN45/(2*ρкз_Cu),0))),"")</f>
        <v/>
      </c>
      <c r="Y45" t="str">
        <f>Линии[[#This Row],[_авто утечка]]</f>
        <v/>
      </c>
      <c r="Z45">
        <v>1</v>
      </c>
      <c r="AA45">
        <v>230</v>
      </c>
      <c r="AB45" t="s">
        <v>562</v>
      </c>
      <c r="AI45" t="s">
        <v>555</v>
      </c>
      <c r="AK45" t="str">
        <f>Линии[[#This Row],[_авто модуль]]</f>
        <v/>
      </c>
      <c r="AM45" t="s">
        <v>527</v>
      </c>
      <c r="AN45" t="s">
        <v>11</v>
      </c>
      <c r="AO45">
        <v>3</v>
      </c>
      <c r="AQ45">
        <v>33</v>
      </c>
      <c r="AR45">
        <v>89</v>
      </c>
      <c r="BA45" cm="1">
        <f t="array" ref="BA45">ROW()-ROW(Линии[#Headers])</f>
        <v>43</v>
      </c>
      <c r="BC45" s="6" t="str">
        <f t="shared" si="5"/>
        <v>L</v>
      </c>
      <c r="BD45" t="str">
        <f t="shared" si="6"/>
        <v>00.006Т.1</v>
      </c>
      <c r="BE45" t="str">
        <f t="shared" si="7"/>
        <v>00</v>
      </c>
      <c r="BF45" t="str">
        <f t="shared" si="8"/>
        <v>006Т.1</v>
      </c>
      <c r="BG45" t="str">
        <f t="shared" si="9"/>
        <v>006Т</v>
      </c>
      <c r="BH45" t="str">
        <f>IF(X45&lt;&gt;"",X45,IF(AND(B45&lt;&gt;"",B45&lt;&gt;A45,ISNUMBER(_xlfn.XMATCH(B45,Щиты[Щит]))),B45,""))</f>
        <v/>
      </c>
      <c r="BI45" t="str" cm="1">
        <f t="array" ref="BI45">IF(B45="","",IF(BH45&lt;&gt;"","Щит "&amp;BH45,_xlfn.LET(_xlpm.nm,IFERROR(_xlfn.XLOOKUP(BC45,Коды_код,Коды_имя)&amp;"",""),_xlpm.md,IFERROR(N(_xlfn.XLOOKUP(BC45,Коды_код,Коды_режим)),1),_xlpm.ex,IF(Имя_режим="по экспликации",IFERROR(_xlfn.XLOOKUP(BE45&amp;"|"&amp;BG45,Экспликация[Этаж]&amp;"|"&amp;Экспликация[Помещение],Экспликация[Название])&amp;"",""),""),_xlpm.rm,IF(BG45="","",IF(_xlpm.ex&lt;&gt;"",". "&amp;_xlpm.ex&amp;IF(Имя_пом="нет"," ("&amp;BG45&amp;")"," (пом. "&amp;BG45&amp;")"),IF(Имя_пом="нет"," ",", пом. ")&amp;BG45)),IF(_xlpm.nm="","",IF(_xlpm.md=2,_xlpm.nm&amp;" шлейф "&amp;BE45,_xlpm.nm&amp;_xlpm.rm)))))</f>
        <v>Осветительная группа, пом. 006Т</v>
      </c>
      <c r="BJ45" t="str">
        <f t="shared" si="10"/>
        <v>Осветительная группа, пом. 006Т</v>
      </c>
      <c r="BK45">
        <f>IFERROR(_xlfn.XMATCH(A45,Щиты[Щит]),0)</f>
        <v>3</v>
      </c>
      <c r="BL45">
        <f>_xlfn.LET(_xlpm.k,IFERROR(_xlfn.XLOOKUP(A45,Щиты[Щит],Щиты[Мест под вводной узел]),""),IF(_xlpm.k="",Столбцов_на_лист,N(_xlpm.k)))</f>
        <v>17</v>
      </c>
      <c r="BM45" t="str">
        <f t="shared" si="11"/>
        <v/>
      </c>
      <c r="BN45" t="str">
        <f t="shared" si="12"/>
        <v/>
      </c>
      <c r="BO45" s="6">
        <f>IFERROR(N(_xlfn.XLOOKUP(BC45,Коды_код,Коды_квт)),0)</f>
        <v>0</v>
      </c>
      <c r="BP45">
        <f t="shared" si="13"/>
        <v>0</v>
      </c>
      <c r="BQ45" t="str">
        <f>IF(B45="","",IF(BH45&lt;&gt;"",IFERROR(_xlfn.XLOOKUP(BH45,Щиты[Щит],Щиты[Руст, кВт]),0),IF(BP45=1,IF(OR(N(_xlfn.XLOOKUP(A45,Щиты[Щит],Щиты[Вводов],1))&lt;=1,LOWER(TRIM(_xlfn.XLOOKUP(A45,Щиты[Щит],Щиты[АВР],"")&amp;""))="да"),IFERROR(_xlfn.XLOOKUP(A45,Щиты[Щит],Щиты[Руст, кВт]),0),SUMIFS(Линии[_Р для вводов],Линии[Щит],A45,Линии[Источник для режимов],GF45)),IF(BO45&gt;0,ROUND(BO45*MAX(1,N(D45)),3),""))))</f>
        <v/>
      </c>
      <c r="BR45">
        <f t="shared" si="14"/>
        <v>0.1</v>
      </c>
      <c r="BS45" s="6">
        <f>IF(B45="","",IF(BH45&lt;&gt;"",IFERROR(_xlfn.XLOOKUP(BH45,Щиты[Щит],Щиты[Руст, кВт]),0),N(BR45)))</f>
        <v>0.1</v>
      </c>
      <c r="BT45" t="str">
        <f>IF(B45="","",IFERROR(IF(VLOOKUP(BC45,Потребители_обозначение,8,FALSE)=0,"",VLOOKUP(BC45,Потребители_обозначение,8,FALSE)),""))</f>
        <v/>
      </c>
      <c r="BU45">
        <f t="shared" si="15"/>
        <v>230</v>
      </c>
      <c r="BV45">
        <f t="shared" si="16"/>
        <v>0</v>
      </c>
      <c r="BW45">
        <f>IF(B45="","",IF(BH45&lt;&gt;"",3,IFERROR(IF(N(VLOOKUP(BC45,Потребители_обозначение,9,FALSE))=0,1,VLOOKUP(BC45,Потребители_обозначение,9,FALSE)),1)))</f>
        <v>1</v>
      </c>
      <c r="BX45">
        <f t="shared" si="17"/>
        <v>1</v>
      </c>
      <c r="BY45" t="str">
        <f>IF(B45="","",_xlfn.LET(_xlpm.bc,IFERROR(IF(VLOOKUP(BC45,Потребители_обозначение,6,FALSE)=0,"",VLOOKUP(BC45,Потребители_обозначение,6,FALSE)&amp;""),""),IF(AND(GA45="да",OR(_xlpm.bc="",_xlpm.bc="мс")),Марка_пож,IF(AND(_xlpm.bc="",BH45&lt;&gt;""),"мс",_xlpm.bc))))</f>
        <v/>
      </c>
      <c r="BZ45" t="str">
        <f t="shared" si="18"/>
        <v>мс</v>
      </c>
      <c r="CA45">
        <f>IF(B45="","",_xlfn.LET(_xlpm.cc,IFERROR(N(VLOOKUP(BC45,Потребители_обозначение,7,FALSE)),0),IF(_xlpm.cc&gt;0,_xlpm.cc,IF(BZ45="","",IF(BV45=1,2,IF(N(BX45)=3,5,3))))))</f>
        <v>3</v>
      </c>
      <c r="CB45">
        <f t="shared" si="19"/>
        <v>3</v>
      </c>
      <c r="CC45">
        <f>IFERROR(N(VLOOKUP(BC45,Потребители_обозначение,10,FALSE)),0)</f>
        <v>0</v>
      </c>
      <c r="CD45">
        <f>IFERROR(VLOOKUP(BC45,Потребители_обозначение,5,FALSE),0)</f>
        <v>3</v>
      </c>
      <c r="CE45" s="6" cm="1">
        <f t="array" ref="CE45">IF(B45="","",IF(BH45&lt;&gt;"",IFERROR(_xlfn.XLOOKUP(BH45,Щиты[Щит],Щиты[cos φ]),0.95),IF(BP45=1,IFERROR(_xlfn.XLOOKUP(A45,Щиты[Щит],Щиты[cos φ]),0.95),IF(ISNUMBER(AD45),AD45,IFERROR(IF(CD45=2,_xlfn.IFS(BX45=3,VLOOKUP(BS45,Справочная_двигатели,8,FALSE),BX45=1,VLOOKUP(BS45,Справочная_двигатели,10,TRUE)),IF(AND(Методика="нормы 2026",FG45="Сил"),0.8,0.95)),0.95)))))</f>
        <v>0.95</v>
      </c>
      <c r="CF45">
        <f t="shared" si="20"/>
        <v>0</v>
      </c>
      <c r="CG45">
        <f t="shared" si="21"/>
        <v>1</v>
      </c>
      <c r="CH45">
        <f t="shared" si="22"/>
        <v>0</v>
      </c>
      <c r="CI45">
        <f>IF(B45="","",IF(BV45=1,IFERROR(BS45/((Uн_лин/SQRT(3))*MAX(0.5,N(CE45))),0),N(O45)))</f>
        <v>0.455802844097073</v>
      </c>
      <c r="CJ45">
        <f t="shared" si="23"/>
        <v>0</v>
      </c>
      <c r="CK45">
        <f t="shared" si="24"/>
        <v>0</v>
      </c>
      <c r="CL45">
        <f t="shared" si="25"/>
        <v>0</v>
      </c>
      <c r="CM45">
        <f t="shared" si="26"/>
        <v>0</v>
      </c>
      <c r="CN45">
        <f t="shared" si="27"/>
        <v>0</v>
      </c>
      <c r="CO45">
        <f>IF(BC45="",0,_xlfn.LET(_xlpm.v,IFERROR(_xlfn.XLOOKUP(B45,Коды_код,Коды_мА),IFERROR(_xlfn.XLOOKUP(BC45,Коды_код,Коды_мА),IFERROR(_xlfn.XLOOKUP(LEFT(BC45,2),Коды_код,Коды_мА),""))),IF(_xlpm.v="да",30,IF(ISNUMBER(_xlpm.v),_xlpm.v,0))))</f>
        <v>0</v>
      </c>
      <c r="CP45" t="str">
        <f t="shared" si="28"/>
        <v/>
      </c>
      <c r="CQ45" t="str">
        <f>_xlfn.LET(_xlpm.k,IFERROR(_xlfn.XLOOKUP(BC45,Коды_код,Коды_утечка)&amp;"",""),IF(_xlpm.k="","дифавтомат",_xlpm.k))</f>
        <v>дифавтомат</v>
      </c>
      <c r="CR45" t="str" cm="1">
        <f t="array" ref="CR45">IF(CG45=0,"",_xlfn.LET(_xlpm.sg,TRIM(_xlfn.TEXTSPLIT(DD45&amp;"",";")),_xlpm.f_,_xlfn._xlws.FILTER(_xlpm.sg,LEFT(_xlpm.sg,3)="УЗО",""),IFERROR(INDEX(_xlpm.f_,1)&amp;"","")))</f>
        <v/>
      </c>
      <c r="CS45" t="str">
        <f t="shared" si="29"/>
        <v/>
      </c>
      <c r="CT45" s="6" t="str" cm="1">
        <f t="array" ref="CT45">IF(CR45="","",_xlfn.LET(_xlpm.tk,_xlfn.TEXTSPLIT(UPPER(CR45)," ",,TRUE),_xlpm.a_,_xlfn._xlws.FILTER(_xlpm.tk,ISNUMBER(--LEFT(_xlpm.tk,1))*((ISNUMBER(SEARCH("А",_xlpm.tk))+ISNUMBER(SEARCH("A",_xlpm.tk)))&gt;0)*NOT(ISNUMBER(SEARCH("МА",_xlpm.tk)))*NOT(ISNUMBER(SEARCH("MA",_xlpm.tk))),""),IFERROR(--SUBSTITUTE(SUBSTITUTE(INDEX(_xlpm.a_,1),"А",""),"A",""),"")))</f>
        <v/>
      </c>
      <c r="CU45" t="str" cm="1">
        <f t="array" ref="CU45">IF(CR45="","",_xlfn.LET(_xlpm.tk,_xlfn.TEXTSPLIT(UPPER(CR45)," ",,TRUE),_xlpm.a_,_xlfn._xlws.FILTER(_xlpm.tk,ISNUMBER(--LEFT(_xlpm.tk,1))*((ISNUMBER(SEARCH("МА",_xlpm.tk))+ISNUMBER(SEARCH("MA",_xlpm.tk)))&gt;0),""),IFERROR(--SUBSTITUTE(SUBSTITUTE(INDEX(_xlpm.a_,1),"МА",""),"MA",""),30)))</f>
        <v/>
      </c>
      <c r="CV45" t="str">
        <f>IF(CS45="","",IFERROR(_xlfn.XLOOKUP(CS45,Линии[_n],Линии[_УЗО, мА]),30))</f>
        <v/>
      </c>
      <c r="CW45">
        <f>IF(CS45="",0,IF(ISNUMBER(SEARCH("4P",IFERROR(_xlfn.XLOOKUP(CS45,Линии[_n],Линии[_УЗО строки])&amp;"",""))),0,1))</f>
        <v>0</v>
      </c>
      <c r="CX45" t="str">
        <f>IF(AND(CS45&lt;&gt;"",CS45=BA45),SUMIFS(Линии[_ток на 230 В],Линии[_блок УЗО],BA45,Линии[Щит],A45),"")</f>
        <v/>
      </c>
      <c r="CY45" t="str">
        <f>IF(AND(CS45&lt;&gt;"",CS45=BA45),SUMIFS(Линии[_ток утечки линии, мА],Линии[_блок УЗО],BA45,Линии[Щит],A45),"")</f>
        <v/>
      </c>
      <c r="CZ45">
        <f t="shared" si="30"/>
        <v>0</v>
      </c>
      <c r="DA45">
        <f t="shared" si="31"/>
        <v>0</v>
      </c>
      <c r="DB45">
        <f>IF(B45="",0,IFERROR(--_xlfn.XLOOKUP(B45,Коды_код,Коды_минавт),IFERROR(--_xlfn.XLOOKUP(BC45,Коды_код,Коды_минавт),IFERROR(--_xlfn.XLOOKUP(LEFT(BC45,2),Коды_код,Коды_минавт),0))))</f>
        <v>10</v>
      </c>
      <c r="DC45" t="str">
        <f>IF(B45="","",IFERROR(_xlfn.XLOOKUP(BC45,Коды_код,Коды_апп)&amp;"",""))</f>
        <v/>
      </c>
      <c r="DD45" t="str">
        <f t="shared" si="32"/>
        <v/>
      </c>
      <c r="DE45" t="str" cm="1">
        <f t="array" ref="DE45">IF(TRIM(DD45&amp;"")="","",IFERROR(TRIM(INDEX(_xlfn.TEXTSPLIT(DD45&amp;";;;",";"),1)),""))</f>
        <v/>
      </c>
      <c r="DF45" t="str" cm="1">
        <f t="array" ref="DF45">IF(TRIM(DD45&amp;"")="","",IFERROR(TRIM(INDEX(_xlfn.TEXTSPLIT(DD45&amp;";;;",";"),2)),""))</f>
        <v/>
      </c>
      <c r="DG45" t="str" cm="1">
        <f t="array" ref="DG45">IF(TRIM(DD45&amp;"")="","",IFERROR(TRIM(INDEX(_xlfn.TEXTSPLIT(DD45&amp;";;;",";"),3)),""))</f>
        <v/>
      </c>
      <c r="DH45">
        <f t="shared" si="33"/>
        <v>0</v>
      </c>
      <c r="DI45" t="str">
        <f>IF(B45="","",_xlfn.LET(_xlpm.t,LOWER(AZ45&amp;""),IF(ISNUMBER(SEARCH("dim",_xlpm.t)),"DIM",IF(ISNUMBER(SEARCH("dali",_xlpm.t)),"DALI",IF(OR(ISNUMBER(SEARCH("relay",_xlpm.t)),ISNUMBER(SEARCH("реле",_xlpm.t))),"Relay",IF(ISNUMBER(SEARCH("кнопк",_xlpm.t)),"",IFERROR(_xlfn.XLOOKUP(BC45,Коды_код,Коды_упр)&amp;"","")))))))</f>
        <v/>
      </c>
      <c r="DJ45" t="str">
        <f t="shared" si="34"/>
        <v/>
      </c>
      <c r="DK45">
        <f>IF(B45="","",_xlfn.LET(_xlpm.ig,IF(N(CX45)&gt;0,N(CX45),N(CI45)+IF(AJ45="вручную",0,N(CJ45))),_xlpm.n0,IFERROR(VLOOKUP(_xlpm.ig,Автомат_номиналы,2,TRUE),0),_xlpm.mn,MAX(DB45,IF(AJ45="вручную",0,N(CM45))),MAX(_xlpm.n0,_xlpm.mn,IF(DH45=1,Мин_автомат_БП,0))))</f>
        <v>10</v>
      </c>
      <c r="DL45">
        <f t="shared" si="35"/>
        <v>1</v>
      </c>
      <c r="DM45" t="str">
        <f t="shared" si="36"/>
        <v>1P</v>
      </c>
      <c r="DN45" t="str">
        <f>_xlfn.LET(_xlpm.cc,UPPER(TRIM(IFERROR(_xlfn.XLOOKUP(BC45,Коды_код,Коды_хар)&amp;"",""))),IF(OR(_xlpm.cc="B",_xlpm.cc="В"),"B",IF(_xlpm.cc="D","D","С")))</f>
        <v>С</v>
      </c>
      <c r="DO45" t="str">
        <f t="shared" si="37"/>
        <v>1P С10А</v>
      </c>
      <c r="DP45" t="str">
        <f t="shared" si="38"/>
        <v>1P С10А</v>
      </c>
      <c r="DQ45" t="str">
        <f t="shared" si="39"/>
        <v>1P С10А</v>
      </c>
      <c r="DR45" cm="1">
        <f t="array" ref="DR45">IF(DQ45="","",_xlfn.LET(_xlpm.t,SUBSTITUTE(SUBSTITUTE(SUBSTITUTE(UPPER(DQ45),"С","C"),"А","A"),"В","B"),_xlpm.tk,_xlfn.TEXTSPLIT(_xlpm.t," "),_xlpm.f,_xlfn._xlws.FILTER(_xlpm.tk,ISNUMBER(--MID(_xlpm.tk,2,1))*ISNUMBER(SEARCH(LEFT(_xlpm.tk,1)&amp;"#","B#C#D#"))*(LEN(_xlpm.tk)&gt;1),""),_xlpm.x,INDEX(_xlpm.f,1),IFERROR(--SUBSTITUTE(MID(_xlpm.x,2,9),"A",""),IFERROR(--SUBSTITUTE(INDEX(_xlfn._xlws.FILTER(_xlpm.tk,ISNUMBER(--SUBSTITUTE(_xlpm.tk,"A","")),""),1),"A",""),""))))</f>
        <v>10</v>
      </c>
      <c r="DS45" t="str">
        <f t="shared" si="40"/>
        <v>ok</v>
      </c>
      <c r="DT45">
        <f t="shared" si="41"/>
        <v>10</v>
      </c>
      <c r="DU45" t="str">
        <f t="shared" si="42"/>
        <v>1P С10А</v>
      </c>
      <c r="DV45">
        <f t="shared" si="43"/>
        <v>0</v>
      </c>
      <c r="DW45">
        <f t="shared" si="44"/>
        <v>0</v>
      </c>
      <c r="DX45">
        <f t="shared" si="45"/>
        <v>0</v>
      </c>
      <c r="DY45">
        <f t="shared" si="46"/>
        <v>0.455802844097073</v>
      </c>
      <c r="DZ45">
        <f t="shared" si="47"/>
        <v>1</v>
      </c>
      <c r="EA45">
        <f>IF(ISNUMBER(AP45),AP45,К_прокл)</f>
        <v>1</v>
      </c>
      <c r="EB45">
        <f t="shared" si="48"/>
        <v>2</v>
      </c>
      <c r="EC45">
        <f>IFERROR(N(VLOOKUP(BZ45,Кабель_обозначение,3,FALSE)),1)</f>
        <v>1</v>
      </c>
      <c r="ED45">
        <f>IFERROR(N(_xlfn.XLOOKUP(A45,Щиты[Щит],Щиты[ΔU до шин, %])),0)</f>
        <v>0.17</v>
      </c>
      <c r="EE45" t="str">
        <f>IFERROR(_xlfn.XLOOKUP(A45,Щиты[Щит],Щиты[Zпетли на шинах, Ом]),"")</f>
        <v/>
      </c>
      <c r="EF45">
        <f>IFERROR(N(_xlfn.XLOOKUP(A45,Щиты[Щит],Щиты[ΔU до шин (подбор), %])),0)</f>
        <v>0.65</v>
      </c>
      <c r="EG45" t="str">
        <f>IFERROR(_xlfn.XLOOKUP(A45,Щиты[Щит],Щиты[Zпетли на шинах (подбор), Ом]),"")</f>
        <v/>
      </c>
      <c r="EH45" t="str">
        <f t="shared" si="49"/>
        <v/>
      </c>
      <c r="EI45">
        <f t="shared" si="50"/>
        <v>84</v>
      </c>
      <c r="EJ45">
        <f t="shared" si="51"/>
        <v>2</v>
      </c>
      <c r="EK45">
        <f t="shared" si="52"/>
        <v>0.31</v>
      </c>
      <c r="EL45" s="6">
        <f>IF(B45="","",IF(BV45=1,dU_LED,IF(IFERROR(_xlfn.XLOOKUP(BC45,Коды_код,Коды_уго),"")="Светильник",3,4)+IF(Методика="нормы 2026",MIN(0.5,MAX(0,N(P45)-100)*0.005),0)))</f>
        <v>3.1349999999999998</v>
      </c>
      <c r="EM45" cm="1">
        <f t="array" ref="EM45">IF(OR(B45="",BZ45="",EC45&lt;&gt;1),"",_xlfn.LET(_xlpm.sz,Iдоп_S,_xlpm.t_,CHOOSE(EB45,Iдоп_1ж,Iдоп_2ж,Iдоп_3ж)*DZ45*EA45,_xlpm.dcx,BV45=1,_xlpm.inn,IF(_xlpm.dcx,N(O45),N(DT45)),_xlpm.smin,MAX(1.5,CC45),_xlpm.L_,N(P45)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45)/N(BU45)*100,999),IFERROR(N(EJ45)*(_xlpm.rho*_xlpm.L_/_xlpm.sz*N(CE45)+_xlpm.xx*_xlpm.L_*N(EK45)/1000)*N(O45)/((Uн_лин/SQRT(3))*1000)*100,999)),_xlpm.kz,IF(OR(_xlpm.dcx,DW45=1,NOT(ISNUMBER(EG45)),_xlpm.L_=0,_xlpm.inn=0),1,IFERROR(--(c_min*(Uн_лин*1000/SQRT(3))/(EG45+2*ρкз_Cu*_xlpm.L_/_xlpm.sz)&gt;=HT45*_xlpm.inn),0)),_xlpm.ok,IFERROR((_xlpm.sz&gt;=_xlpm.smin)*(_xlpm.t_&gt;=_xlpm.inn)*IF(_xlpm.L_&gt;0,(_xlpm.du_+IF(_xlpm.dcx,0,EF45)&lt;=EL45+0.00001),1)*_xlpm.kz,0),_xlpm.r_,_xlfn._xlws.FILTER(_xlpm.sz,_xlpm.ok,"не подобрано"),INDEX(_xlpm.r_,1)))</f>
        <v>1.5</v>
      </c>
      <c r="EN45">
        <f t="shared" si="53"/>
        <v>1.5</v>
      </c>
      <c r="EO45" cm="1">
        <f t="array" ref="EO45">IF(OR(B45="",BZ45="",EC45&lt;&gt;1),"",_xlfn.LET(_xlpm.sz,Iдоп_S,_xlpm.t_,CHOOSE(EB45,Iдоп_1ж,Iдоп_2ж,Iдоп_3ж)*DZ45*EA45,_xlpm.ok,IFERROR((_xlpm.sz&gt;=MAX(1.5,CC45))*(_xlpm.t_&gt;=N(DT45)),0),_xlpm.r_,_xlfn._xlws.FILTER(_xlpm.sz,_xlpm.ok,""),INDEX(_xlpm.r_,1)))</f>
        <v>1.5</v>
      </c>
      <c r="EP45" s="6" cm="1">
        <f t="array" ref="EP45">IFERROR(ROUNDUP(N(EJ45)*(_xlfn.XLOOKUP(EO45,INDEX(Кабель_сопротивление,0,1),INDEX(Кабель_сопротивление,0,3))*N(P45)/EO45*N(CE45)+_xlfn.XLOOKUP(EO45,INDEX(Кабель_сопротивление,0,1),INDEX(Кабель_сопротивление,0,2))*N(P45)*N(EK45)/1000)*N(O45)/((Uн_лин/SQRT(3))*1000)*100,2),"")</f>
        <v>0.72</v>
      </c>
      <c r="EQ45">
        <f>IFERROR(2*ρкз_Cu*N(P45)/EO45,"")</f>
        <v>4.4534666666666665</v>
      </c>
      <c r="ER45">
        <f>IFERROR(VLOOKUP(EN45,Кабель_сопротивление,3,FALSE),"")</f>
        <v>2.2499999999999999E-2</v>
      </c>
      <c r="ES45">
        <f>IFERROR(VLOOKUP(EN45,Кабель_сопротивление,2,FALSE),"")</f>
        <v>0.11</v>
      </c>
      <c r="ET45">
        <f t="shared" si="54"/>
        <v>89</v>
      </c>
      <c r="EU45" t="str">
        <f t="shared" si="55"/>
        <v/>
      </c>
      <c r="EV45">
        <f t="shared" si="56"/>
        <v>1.6537262849632179</v>
      </c>
      <c r="EW45" s="6">
        <f>IFERROR(ROUNDUP(EV45/IF(BV45=1,BU45,(Uн_лин/SQRT(3))*1000)*100,2),"")</f>
        <v>0.72</v>
      </c>
      <c r="EX45" t="str">
        <f>IFERROR(VLOOKUP(BZ45,Кабель_обозначение,2,FALSE),"")</f>
        <v>ВВГнг(А)-LS</v>
      </c>
      <c r="EY45" t="str">
        <f t="shared" si="57"/>
        <v>ВВГнг(А)-LS (3х1,5)</v>
      </c>
      <c r="EZ45" t="str">
        <f t="shared" si="58"/>
        <v>ВВГнг(А)-LS (3х1,5)
L=127-0,72%</v>
      </c>
      <c r="FA45">
        <f>IFERROR(2*ρкз_Cu*P45/EN45,"")</f>
        <v>4.4534666666666665</v>
      </c>
      <c r="FB45">
        <f t="shared" si="59"/>
        <v>1.4816666666666667</v>
      </c>
      <c r="FC45" s="6" t="str">
        <f>IFERROR(IF(OR(B45="",BV45=1,NOT(ISNUMBER(EN45)),N(P45)=0),"",_xlfn.XLOOKUP(A45,Щиты[Щит],Щиты[Zпетли на шинах, Ом])+FA45),"")</f>
        <v/>
      </c>
      <c r="FD45" s="6" t="str">
        <f>IF(ISNUMBER(FC45),c_min*(Uн_лин*1000/SQRT(3))/FC45,"")</f>
        <v/>
      </c>
      <c r="FE45" s="6" t="str">
        <f>IFERROR(IF(OR(B45="",NOT(ISNUMBER(EN45))),"",1.05*(Uн_лин*1000/SQRT(3))/(_xlfn.XLOOKUP(A45,Щиты[Щит],Щиты[Zmax на шинах, Ом])+FB45)/1000),"")</f>
        <v/>
      </c>
      <c r="FF45" s="6" t="str">
        <f>IF(B45="","",IF(ISNUMBER(AC45),"Сил",IF(IFERROR(_xlfn.XLOOKUP(BC45,Коды_код,Коды_группа)&amp;"","")="","Быт",_xlfn.XLOOKUP(BC45,Коды_код,Коды_группа)&amp;"")))</f>
        <v>Быт</v>
      </c>
      <c r="FG45" s="6" t="str">
        <f t="shared" si="60"/>
        <v>Быт</v>
      </c>
      <c r="FH45" s="6">
        <f>IF(FG45="Щит","щит",IF(FG45="","",IF(FG45="Быт",IFERROR(_xlfn.XLOOKUP(A45,Щиты[Щит],Щиты[Кс быт]),1),IF(FG45="Сил",IF(ISNUMBER(AC45),AC45,IF(Методика="нормы 2026",IFERROR(_xlfn.XLOOKUP(A45,Щиты[Щит],Щиты[Кс силовых (табл. 7.5)]),1),1)),IF(OR(FG45="Пост",FG45="Отоп"),1,IF(FG45="ВНГ",0.7,0))))))</f>
        <v>0.8</v>
      </c>
      <c r="FI45">
        <f>IF(FG45="","",IF(AND(BP45=1,TRIM(AE45&amp;"")=""),IF(COUNTIFS(Линии[Щит],A45,Линии[Секция (1/2/3)],"&gt;=2")&gt;0,MIN(3,MAX(1,IFERROR(--BD45,1))),1),IFERROR(MIN(3,MAX(1,INT(--AE45))),1)))</f>
        <v>1</v>
      </c>
      <c r="FJ45">
        <f t="shared" si="61"/>
        <v>0.1</v>
      </c>
      <c r="FK45">
        <f t="shared" si="62"/>
        <v>0.1</v>
      </c>
      <c r="FL45">
        <f t="shared" si="63"/>
        <v>0</v>
      </c>
      <c r="FM45">
        <f t="shared" si="64"/>
        <v>0</v>
      </c>
      <c r="FN45">
        <f t="shared" si="65"/>
        <v>0</v>
      </c>
      <c r="FO45">
        <f t="shared" si="66"/>
        <v>0</v>
      </c>
      <c r="FP45">
        <f t="shared" si="67"/>
        <v>0.1</v>
      </c>
      <c r="FQ45">
        <f t="shared" si="68"/>
        <v>0.1</v>
      </c>
      <c r="FR45">
        <f t="shared" si="69"/>
        <v>9.5000000000000001E-2</v>
      </c>
      <c r="FS45">
        <f>IF(CG45=1,IF(AND(CH45=1,CW45=1),0,IF(AND(CS45&lt;&gt;"",CS45=BA45,CW45=1),SUMIFS(Линии[_Р линии, кВт],Линии[_блок УЗО],BA45,Линии[Щит],A45),N(BS45)+IF(AJ45="вручную",0,N(CK45)))),0)</f>
        <v>0.1</v>
      </c>
      <c r="FT45" t="str">
        <f t="shared" si="70"/>
        <v/>
      </c>
      <c r="FU45" t="str">
        <f>IF(B45="","",IF(CG45=0,IF(BA45=1,"",FW44),IF(AND(CH45=1,CW45=1,CS45&lt;&gt;""),IFERROR(_xlfn.XLOOKUP(CS45,Линии[_n],Линии[_фаза итог]),"L1"),IF(OR(N(DL45)&gt;=3,N(BX45)&gt;=3),"L1,L2,L3",IFERROR(_xlfn.TEXTBEFORE(_xlfn.TEXTAFTER(_xlfn.XLOOKUP(A45,Щиты[Щит],Щиты[_фазы авто]),";"&amp;BA45&amp;":"),";"),"L1")))))</f>
        <v>L2</v>
      </c>
      <c r="FV45" t="str">
        <f t="shared" si="71"/>
        <v>L2</v>
      </c>
      <c r="FW45" t="str">
        <f t="shared" si="72"/>
        <v>L2</v>
      </c>
      <c r="FX45" cm="1">
        <f t="array" ref="FX45">IFERROR(IF(CD45=2,_xlfn.IFS(BX45=3,VLOOKUP(BS45,Справочная_двигатели,3,FALSE),BX45=1,VLOOKUP(BS45,Справочная_двигатели,5,TRUE)),0),0)</f>
        <v>0</v>
      </c>
      <c r="FY45">
        <f>IFERROR(IF(CD45=3,VLOOKUP(BS45,Справочная_ЛЭД,2,TRUE),0),0)</f>
        <v>50</v>
      </c>
      <c r="FZ45" s="6">
        <f t="shared" si="73"/>
        <v>50</v>
      </c>
      <c r="GA45" t="str">
        <f>IF(B45="","",IF(TRIM(AH45&amp;"")&lt;&gt;"",IF(LOWER(TRIM(AH45&amp;""))="да","да","нет"),IF(IFERROR(_xlfn.XLOOKUP(BC45,Коды_код,Коды_пожарная),"")="да","да","нет")))</f>
        <v>нет</v>
      </c>
      <c r="GB45" t="str">
        <f t="shared" si="74"/>
        <v/>
      </c>
      <c r="GC45" t="str">
        <f t="shared" si="75"/>
        <v>основная</v>
      </c>
      <c r="GD45">
        <f>IF(AND(BP45=1,TRIM(AE45&amp;"")=""),IF(COUNTIFS(Линии[Щит],A45,Линии[Секция (1/2/3)],"&gt;=2")&gt;0,MIN(3,MAX(1,IFERROR(--BD45,1))),1),IFERROR(MIN(3,MAX(1,INT(--AE45))),1))</f>
        <v>1</v>
      </c>
      <c r="GE45" t="str" cm="1">
        <f t="array" ref="GE45">IF(B45="","",_xlfn.LET(_xlpm.t,IFERROR(_xlfn.XLOOKUP(1,(Шины[Шина]=GC45)*(((Шины[Щит]=A45)+(Шины[Щит]=""))&gt;0),Шины[Тип]),"")&amp;"",IF(_xlpm.t&lt;&gt;"",_xlpm.t,IF(ISNUMBER(SEARCH("ИБП",GC45)),"ИБП",IF(ISNUMBER(SEARCH("ДГУ",GC45)),"ДГУ","Ввод "&amp;GD45)))))</f>
        <v>Ввод 1</v>
      </c>
      <c r="GF45" t="str">
        <f t="shared" si="76"/>
        <v>Ввод 1</v>
      </c>
      <c r="GG45" t="str">
        <f>IF(BP45=0,"",IF(TRIM(AG45&amp;"")&lt;&gt;"",TRIM(AG45&amp;""),IF(OR(GE45="ИБП",GE45="ДГУ"),"I особая",_xlfn.XLOOKUP(A45,Щиты[Щит],Щиты[Категория шины «Ввод»],"III"))))</f>
        <v/>
      </c>
      <c r="GH45" t="str">
        <f>IF(A45="","",_xlfn.XLOOKUP(A45,Щиты[Щит],Щиты[Путь],""))</f>
        <v>|ГРЩ-ЖД|ЩГП|ЩО-001|</v>
      </c>
      <c r="GI45" t="str">
        <f>IF(B45="","",IF(AI45&lt;&gt;"",AI45,IF(IFERROR(_xlfn.XLOOKUP(BC45,Коды_код,Коды_вид)&amp;"","")="","Прочее",_xlfn.XLOOKUP(BC45,Коды_код,Коды_вид)&amp;"")))</f>
        <v>Рабочее освещение</v>
      </c>
      <c r="GJ45" t="str">
        <f>IF(BM45="","",INT((BM45-1)/Столбцов_на_лист)+1)</f>
        <v/>
      </c>
      <c r="GK45" t="str">
        <f t="shared" si="77"/>
        <v>ВВГнг(А)-LS (3х1,5) L=127-0,72%</v>
      </c>
      <c r="GL45">
        <f t="shared" si="78"/>
        <v>0.1</v>
      </c>
      <c r="GM45">
        <f t="shared" si="79"/>
        <v>0.46</v>
      </c>
      <c r="GN45">
        <f t="shared" si="80"/>
        <v>1</v>
      </c>
      <c r="GO45">
        <f t="shared" si="81"/>
        <v>0</v>
      </c>
      <c r="GP45">
        <f t="shared" si="82"/>
        <v>0</v>
      </c>
      <c r="GQ45" t="str">
        <f>IF(BM45="","",IF(AND(CG45=1,GP45=1),COUNTIFS(A$3:A45,A45,CG$3:CG45,1,GP$3:GP45,1),IF(OR(OR(BA45=1,A45&lt;&gt;A44),AJ45="вручную",GP45=0),"",IF(BA45=1,"",GR44))))</f>
        <v/>
      </c>
      <c r="GR45" t="str">
        <f t="shared" si="83"/>
        <v/>
      </c>
      <c r="GS45">
        <f>IF(B45="","",IFERROR(LOOKUP(INDEX(CHOOSE(EB45,Iдоп_1ж,Iдоп_2ж,Iдоп_3ж),MATCH(EN45,Iдоп_S,0))*DZ45*EA45,{6,10,16,20,25,32,40,50,63,80,100,125,160,200,250,315,400,500,630}),""))</f>
        <v>16</v>
      </c>
      <c r="GT45" t="str">
        <f t="shared" si="84"/>
        <v/>
      </c>
      <c r="GU45" t="str">
        <f t="shared" si="85"/>
        <v/>
      </c>
      <c r="GV45" t="str">
        <f t="shared" si="86"/>
        <v/>
      </c>
      <c r="GW45">
        <f t="shared" si="87"/>
        <v>0</v>
      </c>
      <c r="GX45" t="str">
        <f>IF(OR(B45="",DJ45=""),"",IFERROR(_xlfn.XLOOKUP(DJ45,Модули_умолч[Управление],Модули_умолч[Модель])&amp;"",""))</f>
        <v/>
      </c>
      <c r="GY45">
        <f>IF(DJ45="",1,IFERROR(MAX(0,N(_xlfn.XLOOKUP(DJ45,Модули_умолч[Управление],Модули_умолч[Каналов на линию]))),1))</f>
        <v>1</v>
      </c>
      <c r="GZ45" t="str">
        <f t="shared" si="88"/>
        <v/>
      </c>
      <c r="HA45" t="str">
        <f t="shared" si="89"/>
        <v/>
      </c>
      <c r="HB45" t="str">
        <f t="shared" si="90"/>
        <v/>
      </c>
      <c r="HC45">
        <f>IF(HB45="",0,IFERROR(N(VLOOKUP(HB45,Модули_спр,3,FALSE)),0))</f>
        <v>0</v>
      </c>
      <c r="HD45" t="str">
        <f t="shared" si="91"/>
        <v/>
      </c>
      <c r="HE45" t="str">
        <f t="shared" si="92"/>
        <v/>
      </c>
      <c r="HF45" t="str">
        <f>IF(OR(HE45="",HE45="-"),"",IFERROR(VLOOKUP(HE45,Модули_спр,2,FALSE),"R"))</f>
        <v/>
      </c>
      <c r="HG45" t="str">
        <f>IF(HF45="","",HF45&amp;"."&amp;COUNTIFS(A$3:A45,A45,HF$3:HF45,HF45))</f>
        <v/>
      </c>
      <c r="HH45" t="str">
        <f t="shared" si="93"/>
        <v/>
      </c>
      <c r="HI45" t="str">
        <f t="shared" si="94"/>
        <v/>
      </c>
      <c r="HJ45" t="str">
        <f t="shared" si="95"/>
        <v/>
      </c>
      <c r="HK45" t="str">
        <f t="shared" si="96"/>
        <v/>
      </c>
      <c r="HL45">
        <f t="shared" si="97"/>
        <v>1</v>
      </c>
      <c r="HM45" t="str">
        <f>IF(HL45=1,"XT"&amp;COUNTIFS(A$3:A45,A45,HL$3:HL45,1),"")</f>
        <v>XT14</v>
      </c>
      <c r="HN45" t="str">
        <f t="shared" si="98"/>
        <v>XT14</v>
      </c>
      <c r="HO45" t="str">
        <f t="shared" si="99"/>
        <v/>
      </c>
      <c r="HP45" t="str">
        <f t="shared" si="100"/>
        <v/>
      </c>
      <c r="HQ45" t="str">
        <f t="shared" si="101"/>
        <v>ok</v>
      </c>
      <c r="HR45" t="str">
        <f>IF(OR(HJ45="",HH45=""),"",IF(HJ45+MAX(0,GY45-1)&gt;IFERROR(VLOOKUP(HI45,Модули_спр,3,FALSE),99),"ЛИШНИЙ КАНАЛ",IF(AND(AL45&lt;&gt;"=",GY45&gt;0,COUNTIFS(Линии[_модуль гр.],HH45,Линии[Канал (итог)],HJ45,Линии[Канал],"&lt;&gt;=",Линии[Щит],A45)&gt;1),"ДУБЛЬ КАНАЛА","")))</f>
        <v/>
      </c>
      <c r="HS45" s="6" t="str">
        <f t="shared" si="102"/>
        <v/>
      </c>
      <c r="HT45">
        <f t="shared" si="103"/>
        <v>10</v>
      </c>
      <c r="HU45" t="str">
        <f t="shared" si="104"/>
        <v/>
      </c>
      <c r="HV45">
        <f t="shared" si="105"/>
        <v>1.4523211376388292</v>
      </c>
      <c r="HW45">
        <f t="shared" si="106"/>
        <v>0</v>
      </c>
      <c r="HX45">
        <f t="shared" si="107"/>
        <v>0</v>
      </c>
      <c r="HY45">
        <f t="shared" si="108"/>
        <v>0</v>
      </c>
      <c r="HZ45">
        <f t="shared" si="109"/>
        <v>0</v>
      </c>
      <c r="IA45">
        <f t="shared" si="110"/>
        <v>0</v>
      </c>
      <c r="IB45">
        <f t="shared" si="111"/>
        <v>0</v>
      </c>
      <c r="IC45" t="str">
        <f t="shared" si="112"/>
        <v/>
      </c>
      <c r="ID45" t="str" cm="1">
        <f t="array" ref="ID45">IF(IC45="","",_xlfn.LET(_xlpm.tk,_xlfn.TEXTSPLIT(SUBSTITUTE(SUBSTITUTE(IC45,";"," "),"→"," ")," ",,TRUE),_xlpm.w_,_xlfn._xlws.FILTER(_xlpm.tk,ISNUMBER(--LEFT(_xlpm.tk,1))*((ISNUMBER(SEARCH("W",_xlpm.tk))+ISNUMBER(SEARCH("Вт",_xlpm.tk)))&gt;0),""),IFERROR(--SUBSTITUTE(SUBSTITUTE(UPPER(INDEX(_xlpm.w_,1)),"W",""),"ВТ",""),"")))</f>
        <v/>
      </c>
      <c r="IE45" t="str" cm="1">
        <f t="array" ref="IE45">IF(IC45="","",_xlfn.LET(_xlpm.tk,_xlfn.TEXTSPLIT(SUBSTITUTE(SUBSTITUTE(IC45,";"," "),"→"," ")," ",,TRUE),_xlpm.v_,_xlfn._xlws.FILTER(_xlpm.tk,ISNUMBER(--LEFT(_xlpm.tk,1))*((ISNUMBER(SEARCH("V",_xlpm.tk))+(RIGHT(UPPER(_xlpm.tk))="В"))&gt;0),""),IFERROR(--SUBSTITUTE(SUBSTITUTE(UPPER(INDEX(_xlpm.v_,1)),"V",""),"В",""),"")))</f>
        <v/>
      </c>
      <c r="IF45" s="6" t="str">
        <f>IF(OR(BV45=0,HI45="",HJ45=""),"",IFERROR(N(_xlfn.XLOOKUP(HI45,Каталог!$C$4:$C$500,Каталог!$Q$4:$Q$500)),""))</f>
        <v/>
      </c>
      <c r="IG45" s="6" t="str">
        <f>IF(N(IF45)=0,"",SUMIFS(Линии[Iр, А],Линии[Щит],A45,Линии[_модуль гр.],HH45,Линии[Канал (итог)],HJ45))</f>
        <v/>
      </c>
      <c r="IH45" t="str">
        <f>IF(AND(B45="",HO45=""),"",_xlfn.TEXTJOIN("; ",TRUE,IF(AND(B45&lt;&gt;"",FV45=""),"нет фазы",""),IF(AND(B45&lt;&gt;"",N(GL45)=0,FG45&lt;&gt;"Нет"),"нет мощности",""),IF(AND(HN45&lt;&gt;"",COUNTIFS(Линии[Щит],A45,Линии[Клемма (итог)],HN45)&gt;1),"дубль клеммы "&amp;HN45,""),IF(AND(HQ45&lt;&gt;"",HQ45&lt;&gt;"ok"),HQ45,""),IF(HR45&lt;&gt;"",HR45,""),IF(AND(N(CB45)&gt;=4,N(BX45)=1),CB45&amp;" жил на 1 фазе",""),IF(AND(BC45="R",CG45=1,IF(CS45&lt;&gt;"",N(CV45)&gt;30,OR(N(DA45)=0,N(DA45)&gt;30))),"розетка без дифзащиты до 30 мА",""),IF(AND(CG45=1,N(DA45)&gt;0,ISNUMBER(T45)),IF(T45&gt;N(DA45)/3,"ток утечки "&amp;FIXED(T45,1)&amp;" мА &gt; 1/3 уставки ("&amp;DA45&amp;" мА)",""),""),IF(AND(CH45=1,CS45=""),"«узо»: нет строки с УЗО выше (УЗО 2P 40А 30мА в «Аппаратах»)",""),IF(AND(CS45&lt;&gt;"",CS45=BA45),IF(CT45="","впишите номинал УЗО (УЗО 2P 40А 30мА)",IF(N(CT45)&lt;N(DT45),"УЗО "&amp;CT45&amp;" А &lt; автомата "&amp;DT45&amp;" А перед ним",IF(N(CT45)&lt;N(CX45),"УЗО "&amp;CT45&amp;" А &lt; тока блока "&amp;FIXED(CX45,1)&amp;" А",""))),""),IF(AND(CS45&lt;&gt;"",CS45=BA45,ISNUMBER(CY45)),IF(CY45&gt;N(CV45)/3,"ток утечки блока УЗО "&amp;FIXED(CY45,1)&amp;" мА &gt; 1/3 уставки ("&amp;CV45&amp;" мА)",""),""),IF(AND(CG45=1,N(BV45)+N(IB45)&gt;0,IC45=""),"линии до 50 В без БП: впишите в «Аппараты» (БП 24V 480W)",""),IF(AND(CG45=1,ISNUMBER(ID45),ISNUMBER(U45)),IF(U45&gt;ID45,"БП "&amp;ID45&amp;" Вт &lt; нужно "&amp;U45&amp;" Вт (×"&amp;Запас_БП&amp;")",""),""),IF(AND(CG45=1,ISNUMBER(IE45),N(BV45)=1),IF(IE45&lt;&gt;N(BU45),"БП на "&amp;IE45&amp;" В, линия "&amp;BU45&amp;" В",""),""),IF(AND(N(IF45)&gt;0,N(IG45)&gt;N(IF45)),HH45&amp;" канал "&amp;HJ45&amp;": "&amp;FIXED(IG45,1)&amp;" А &gt; "&amp;IF45&amp;" А",""),IFERROR(IF(AND(ISNUMBER(Q45),Q45&gt;EL45),"потери "&amp;FIXED(Q45,1)&amp;" % &gt; "&amp;EL45&amp;" %",""),""),IFERROR(IF(LEFT(HU45,4)="мало","Iкз мало — отключение &gt; 0,4 с",""),""),IF(AND(B45&lt;&gt;"",BM45=""),"не на схеме",""),IF(AND(CG45=0,B45&lt;&gt;"",FV45&lt;&gt;"",IF(BA45=1,"",FW44)&lt;&gt;"",FV45&lt;&gt;IF(BA45=1,"",FW44)),"фаза не как у автомата группы ("&amp;IF(BA45=1,"",FW44)&amp;")","")))</f>
        <v>не на схеме</v>
      </c>
      <c r="II45" s="6">
        <f>IF(OR(CG45=0,DQ45=""),"",_xlfn.LET(_xlpm.t,IFERROR(_xlfn.XLOOKUP(DQ45,Каталог!$U$4:$U$500,Каталог!$G$4:$G$500),""),_xlpm.k,SEARCH("кА",_xlpm.t),IFERROR(--TRIM(RIGHT(SUBSTITUTE(MID(_xlpm.t,MAX(1,_xlpm.k-4),_xlpm.k-MAX(1,_xlpm.k-4))," ",REPT(" ",9)),5)),"")))</f>
        <v>6</v>
      </c>
      <c r="IJ45" t="str">
        <f>IF(OR(II45="",CG45=0),"",IF(_xlfn.XLOOKUP(A45,Щиты[Щит],Щиты[Iкз max на шинах, кА],"")="","",IF(II45&lt;_xlfn.XLOOKUP(A45,Щиты[Щит],Щиты[Iкз max на шинах, кА]),"Icu "&amp;II45&amp;" кА &lt; Iкз max","ok")))</f>
        <v/>
      </c>
      <c r="IK45" t="str">
        <f t="shared" si="113"/>
        <v/>
      </c>
      <c r="IL45" t="str">
        <f t="shared" si="114"/>
        <v/>
      </c>
      <c r="IM45" t="str">
        <f t="shared" si="115"/>
        <v/>
      </c>
      <c r="IN45" t="str" cm="1">
        <f t="array" ref="IN45">IF(IM45="","",_xlfn.LET(_xlpm.nd,_xlfn.TEXTSPLIT(IM45,"|"),IF(COLUMNS(_xlpm.nd)&gt;1,A45&amp;"¦"&amp;INDEX(_xlpm.nd,1)&amp;"¦"&amp;INDEX(_xlpm.nd,2),"")))</f>
        <v/>
      </c>
      <c r="IO45" t="str">
        <f t="shared" si="116"/>
        <v/>
      </c>
      <c r="IP45" t="str" cm="1">
        <f t="array" ref="IP45">IF(IM45="","",_xlfn.LET(_xlpm.nd,_xlfn.TEXTSPLIT(IM45,"|"),IF(COLUMNS(_xlpm.nd)&gt;2,A45&amp;"¦"&amp;INDEX(_xlpm.nd,2)&amp;"¦"&amp;INDEX(_xlpm.nd,3),"")))</f>
        <v/>
      </c>
      <c r="IQ45" t="str">
        <f t="shared" si="117"/>
        <v/>
      </c>
      <c r="IR45" t="str" cm="1">
        <f t="array" ref="IR45">IF(IM45="","",_xlfn.LET(_xlpm.nd,_xlfn.TEXTSPLIT(IM45,"|"),IF(COLUMNS(_xlpm.nd)&gt;3,A45&amp;"¦"&amp;INDEX(_xlpm.nd,3)&amp;"¦"&amp;INDEX(_xlpm.nd,4),"")))</f>
        <v/>
      </c>
      <c r="IS45" t="str">
        <f t="shared" si="118"/>
        <v/>
      </c>
      <c r="IT45" t="str" cm="1">
        <f t="array" ref="IT45">IF(IM45="","",_xlfn.LET(_xlpm.nd,_xlfn.TEXTSPLIT(IM45,"|"),IF(COLUMNS(_xlpm.nd)&gt;4,A45&amp;"¦"&amp;INDEX(_xlpm.nd,4)&amp;"¦"&amp;INDEX(_xlpm.nd,5),"")))</f>
        <v/>
      </c>
      <c r="IU45" t="str">
        <f t="shared" si="119"/>
        <v/>
      </c>
      <c r="IV45" t="str" cm="1">
        <f t="array" ref="IV45">IF(IM45="","",_xlfn.LET(_xlpm.nd,_xlfn.TEXTSPLIT(IM45,"|"),IF(COLUMNS(_xlpm.nd)&gt;5,A45&amp;"¦"&amp;INDEX(_xlpm.nd,5)&amp;"¦"&amp;INDEX(_xlpm.nd,6),"")))</f>
        <v/>
      </c>
      <c r="IW45" t="str">
        <f t="shared" si="120"/>
        <v/>
      </c>
      <c r="IX45" t="str" cm="1">
        <f t="array" ref="IX45">IF(IM45="","",_xlfn.LET(_xlpm.nd,_xlfn.TEXTSPLIT(IM45,"|"),IF(COLUMNS(_xlpm.nd)&gt;6,A45&amp;"¦"&amp;INDEX(_xlpm.nd,6)&amp;"¦"&amp;INDEX(_xlpm.nd,7),"")))</f>
        <v/>
      </c>
      <c r="IY45" t="str">
        <f t="shared" si="121"/>
        <v/>
      </c>
      <c r="IZ45" t="str">
        <f t="shared" si="122"/>
        <v/>
      </c>
      <c r="JA45" t="str">
        <f t="shared" si="123"/>
        <v>XT14</v>
      </c>
      <c r="JB45">
        <f t="shared" si="124"/>
        <v>0</v>
      </c>
      <c r="JC45">
        <f t="shared" si="125"/>
        <v>0</v>
      </c>
      <c r="JD45" t="str">
        <f t="shared" si="126"/>
        <v/>
      </c>
      <c r="JE45" t="str">
        <f t="shared" si="127"/>
        <v/>
      </c>
      <c r="JF45" t="str">
        <f t="shared" si="128"/>
        <v/>
      </c>
      <c r="JG45" t="str">
        <f t="shared" si="129"/>
        <v/>
      </c>
      <c r="JH45" t="str">
        <f>IF(B45="","",IFERROR(_xlfn.XLOOKUP(B45,Коды_код,Коды_уго),IFERROR(_xlfn.XLOOKUP(BC45,Коды_код,Коды_уго),IFERROR(_xlfn.XLOOKUP(LEFT(BC45,2),Коды_код,Коды_уго),""))))</f>
        <v>Светильник</v>
      </c>
      <c r="JI45" t="str">
        <f>IF(B45="","",IF(OR(JH45="",JH45=0),"BOX",IFERROR(IF(VLOOKUP(JH45,УГО_блоки,3,FALSE)&amp;""&lt;&gt;"",VLOOKUP(JH45,УГО_блоки,3,FALSE),VLOOKUP(JH45,УГО_блоки,2,FALSE)),JH45)))</f>
        <v>LAMP</v>
      </c>
      <c r="JJ45">
        <f t="shared" si="130"/>
        <v>1</v>
      </c>
      <c r="JK45" t="str">
        <f>IF(DQ45="","",IF(COUNTIF(DQ$3:DQ45,DQ45)=1,MAX(JK$2:JK44)+1,""))</f>
        <v/>
      </c>
      <c r="JL45" t="str">
        <f>IF(DE45="","",IF(COUNTIF(DE$3:DE45,DE45)+COUNTIF(DF$2:DF44,DE45)+COUNTIF(DG$2:DG44,DE45)=1,MAX(JL$2:JN44)+1,""))</f>
        <v/>
      </c>
      <c r="JM45" t="str">
        <f>IF(DF45="","",IF(COUNTIF(DE$3:DE45,DF45)+COUNTIF(DF$3:DF45,DF45)+COUNTIF(DG$2:DG44,DF45)=1,MAX(JL$2:JN44,JL45)+1,""))</f>
        <v/>
      </c>
      <c r="JN45" t="str">
        <f>IF(DG45="","",IF(COUNTIF(DE$3:DE45,DG45)+COUNTIF(DF$3:DF45,DG45)+COUNTIF(DG$3:DG45,DG45)=1,MAX(JL$2:JN44,JL45,JM45)+1,""))</f>
        <v/>
      </c>
      <c r="JO45" t="str">
        <f t="shared" si="131"/>
        <v>3х1,5</v>
      </c>
      <c r="JP45" t="str">
        <f>IF(JO45="","",IF(COUNTIF(JO$3:JO45,JO45)=1,MAX(JP$2:JP44)+1,""))</f>
        <v/>
      </c>
      <c r="JQ45" t="str">
        <f>IF(HG45="","",COUNTIF(HG$3:HG45,"?*"))</f>
        <v/>
      </c>
      <c r="JR45" t="str">
        <f>IF(OR(HG45="",HI45=""),"",IF(COUNTIFS(HG$3:HG45,"?*",HI$3:HI45,HI45)=1,MAX(JR$2:JR44)+1,""))</f>
        <v/>
      </c>
      <c r="JS45">
        <f t="shared" si="132"/>
        <v>1</v>
      </c>
      <c r="JT45">
        <f>IF(B45="","",COUNTIF(B$3:B45,"?*"))</f>
        <v>43</v>
      </c>
      <c r="JU45">
        <f>IF(HL45&lt;&gt;1,0,_xlfn.LET(_xlpm.k,MAX(IFERROR(--_xlfn.XLOOKUP(B45,Коды_код,Коды_3L),0),IFERROR(--_xlfn.XLOOKUP(BC45,Коды_код,Коды_3L),0),IFERROR(--_xlfn.XLOOKUP(LEFT(BC45,2),Коды_код,Коды_3L),0)),IF(_xlpm.k&gt;0,_xlpm.k,IF(IFERROR(--LEFT(SUBSTITUTE(JO45,"x","х"),FIND("х",SUBSTITUTE(JO45,"x","х"))-1),3)&gt;3,Каталог!$S$9,1))))</f>
        <v>1</v>
      </c>
      <c r="JV45">
        <f t="shared" si="133"/>
        <v>0</v>
      </c>
      <c r="JW45" t="str">
        <f t="shared" si="134"/>
        <v>авто</v>
      </c>
      <c r="JX45" t="str">
        <f t="shared" si="135"/>
        <v/>
      </c>
      <c r="JY45">
        <f t="shared" si="136"/>
        <v>0</v>
      </c>
      <c r="JZ45">
        <f t="shared" si="137"/>
        <v>1</v>
      </c>
    </row>
    <row r="46" spans="1:286" x14ac:dyDescent="0.3">
      <c r="A46" t="s">
        <v>1109</v>
      </c>
      <c r="B46" t="s">
        <v>1360</v>
      </c>
      <c r="C46" t="str">
        <f>Линии[[#This Row],[_авто наименование]]</f>
        <v>Осветительная группа, пом. 007Б</v>
      </c>
      <c r="D46">
        <v>12</v>
      </c>
      <c r="E46">
        <v>0.1</v>
      </c>
      <c r="G46" t="str">
        <f>Линии[[#This Row],[_авто автомат]]</f>
        <v>1P С10А</v>
      </c>
      <c r="H46" t="str">
        <f>Линии[[#This Row],[_авто управление]]</f>
        <v/>
      </c>
      <c r="I46" t="str">
        <f>Линии[[#This Row],[_авто аппараты]]</f>
        <v/>
      </c>
      <c r="J46">
        <v>1.5</v>
      </c>
      <c r="K46">
        <v>72</v>
      </c>
      <c r="L46" t="str">
        <f>Линии[[#This Row],[_авто фаза]]</f>
        <v>L3</v>
      </c>
      <c r="M46" t="str">
        <f>Линии[[#This Row],[_авто клемма]]</f>
        <v>XT15</v>
      </c>
      <c r="N46" t="str">
        <f t="shared" si="0"/>
        <v>не на схеме</v>
      </c>
      <c r="O46" s="6" cm="1">
        <f t="array" ref="O46">IF(B46="","",IF(BH46&lt;&gt;"",IFERROR(_xlfn.XLOOKUP(BH46,Щиты[Щит],Щиты[Iр, А]),""),IF(BP46=1,IF(OR(N(_xlfn.XLOOKUP(A46,Щиты[Щит],Щиты[Вводов],1))&lt;=1,LOWER(TRIM(_xlfn.XLOOKUP(A46,Щиты[Щит],Щиты[АВР],"")&amp;""))="да"),IFERROR(_xlfn.XLOOKUP(A46,Щиты[Щит],Щиты[Iр, А]),""),IFERROR(N(BS46)*_xlfn.XLOOKUP(A46,Щиты[Щит],Щиты[Кс итог])/(SQRT(3)*Uн_лин*_xlfn.XLOOKUP(A46,Щиты[Щит],Щиты[cos φ])),"")),IF(BV46=1,IFERROR(BS46*1000/BU46,""),IFERROR(_xlfn.IFS(BX46=1,BS46/((Uн_лин/SQRT(3))*CE46),BX46=3,BS46/(SQRT(3)*Uн_лин*CE46)),"")))))</f>
        <v>0.455802844097073</v>
      </c>
      <c r="P46" s="7">
        <f>IF(B46="","",IFERROR(IF(VLOOKUP(BC46,Потребители_обозначение,4,FALSE)=1,VLOOKUP(BC46,Потребители_обозначение,3,FALSE)*(MAX(1,N(D46))*2-1)+EI46+VLOOKUP(BE46,Этаж_обозначение,3,FALSE)+VLOOKUP(BE46,Этаж_обозначение,4,FALSE),VLOOKUP(BC46,Потребители_обозначение,3,FALSE)*(MAX(1,N(D46))*2-1)+EI46),EI46))</f>
        <v>95</v>
      </c>
      <c r="Q46" s="6">
        <f t="shared" si="1"/>
        <v>0.71000000000000008</v>
      </c>
      <c r="R46" t="str">
        <f t="shared" si="2"/>
        <v>ВВГнг(А)-LS (3х1,5)</v>
      </c>
      <c r="S46" t="str">
        <f>IF(BM46="","",IF(BN46="вводной узел","узел ","")&amp;"л."&amp;(INT((BM46-1)/Столбцов_на_лист)+1)&amp;" / "&amp;(MOD(BM46-1,Столбцов_на_лист)+1))</f>
        <v/>
      </c>
      <c r="T46" s="119">
        <f t="shared" si="3"/>
        <v>1.1000000000000001</v>
      </c>
      <c r="U46" s="7" t="str">
        <f>IF(OR(CG46=0,N(BV46)+N(IB46)=0),"",ROUNDUP(Запас_БП*(N(HY46)+N(HZ46)),0))</f>
        <v/>
      </c>
      <c r="V46" s="119" t="str">
        <f t="shared" si="4"/>
        <v/>
      </c>
      <c r="W46" s="7" t="str">
        <f>IFERROR(IF(OR(B46="",BP46=1,BV46=1,NOT(ISNUMBER(EN46)),N(DT46)=0),"",MAX(0,ROUNDDOWN((c_min*(Uн_лин*1000/SQRT(3))/(HT46*N(DT46))-_xlfn.XLOOKUP(A46,Щиты[Щит],Щиты[Zпетли на шинах, Ом]))*EN46/(2*ρкз_Cu),0))),"")</f>
        <v/>
      </c>
      <c r="Y46" t="str">
        <f>Линии[[#This Row],[_авто утечка]]</f>
        <v/>
      </c>
      <c r="Z46">
        <v>1</v>
      </c>
      <c r="AA46">
        <v>230</v>
      </c>
      <c r="AB46" t="s">
        <v>562</v>
      </c>
      <c r="AI46" t="s">
        <v>555</v>
      </c>
      <c r="AK46" t="str">
        <f>Линии[[#This Row],[_авто модуль]]</f>
        <v/>
      </c>
      <c r="AM46" t="s">
        <v>527</v>
      </c>
      <c r="AN46" t="s">
        <v>11</v>
      </c>
      <c r="AO46">
        <v>3</v>
      </c>
      <c r="AQ46">
        <v>33</v>
      </c>
      <c r="AR46">
        <v>57</v>
      </c>
      <c r="BA46" cm="1">
        <f t="array" ref="BA46">ROW()-ROW(Линии[#Headers])</f>
        <v>44</v>
      </c>
      <c r="BC46" s="6" t="str">
        <f t="shared" si="5"/>
        <v>L</v>
      </c>
      <c r="BD46" t="str">
        <f t="shared" si="6"/>
        <v>00.007Б.1</v>
      </c>
      <c r="BE46" t="str">
        <f t="shared" si="7"/>
        <v>00</v>
      </c>
      <c r="BF46" t="str">
        <f t="shared" si="8"/>
        <v>007Б.1</v>
      </c>
      <c r="BG46" t="str">
        <f t="shared" si="9"/>
        <v>007Б</v>
      </c>
      <c r="BH46" t="str">
        <f>IF(X46&lt;&gt;"",X46,IF(AND(B46&lt;&gt;"",B46&lt;&gt;A46,ISNUMBER(_xlfn.XMATCH(B46,Щиты[Щит]))),B46,""))</f>
        <v/>
      </c>
      <c r="BI46" t="str" cm="1">
        <f t="array" ref="BI46">IF(B46="","",IF(BH46&lt;&gt;"","Щит "&amp;BH46,_xlfn.LET(_xlpm.nm,IFERROR(_xlfn.XLOOKUP(BC46,Коды_код,Коды_имя)&amp;"",""),_xlpm.md,IFERROR(N(_xlfn.XLOOKUP(BC46,Коды_код,Коды_режим)),1),_xlpm.ex,IF(Имя_режим="по экспликации",IFERROR(_xlfn.XLOOKUP(BE46&amp;"|"&amp;BG46,Экспликация[Этаж]&amp;"|"&amp;Экспликация[Помещение],Экспликация[Название])&amp;"",""),""),_xlpm.rm,IF(BG46="","",IF(_xlpm.ex&lt;&gt;"",". "&amp;_xlpm.ex&amp;IF(Имя_пом="нет"," ("&amp;BG46&amp;")"," (пом. "&amp;BG46&amp;")"),IF(Имя_пом="нет"," ",", пом. ")&amp;BG46)),IF(_xlpm.nm="","",IF(_xlpm.md=2,_xlpm.nm&amp;" шлейф "&amp;BE46,_xlpm.nm&amp;_xlpm.rm)))))</f>
        <v>Осветительная группа, пом. 007Б</v>
      </c>
      <c r="BJ46" t="str">
        <f t="shared" si="10"/>
        <v>Осветительная группа, пом. 007Б</v>
      </c>
      <c r="BK46">
        <f>IFERROR(_xlfn.XMATCH(A46,Щиты[Щит]),0)</f>
        <v>3</v>
      </c>
      <c r="BL46">
        <f>_xlfn.LET(_xlpm.k,IFERROR(_xlfn.XLOOKUP(A46,Щиты[Щит],Щиты[Мест под вводной узел]),""),IF(_xlpm.k="",Столбцов_на_лист,N(_xlpm.k)))</f>
        <v>17</v>
      </c>
      <c r="BM46" t="str">
        <f t="shared" si="11"/>
        <v/>
      </c>
      <c r="BN46" t="str">
        <f t="shared" si="12"/>
        <v/>
      </c>
      <c r="BO46" s="6">
        <f>IFERROR(N(_xlfn.XLOOKUP(BC46,Коды_код,Коды_квт)),0)</f>
        <v>0</v>
      </c>
      <c r="BP46">
        <f t="shared" si="13"/>
        <v>0</v>
      </c>
      <c r="BQ46" t="str">
        <f>IF(B46="","",IF(BH46&lt;&gt;"",IFERROR(_xlfn.XLOOKUP(BH46,Щиты[Щит],Щиты[Руст, кВт]),0),IF(BP46=1,IF(OR(N(_xlfn.XLOOKUP(A46,Щиты[Щит],Щиты[Вводов],1))&lt;=1,LOWER(TRIM(_xlfn.XLOOKUP(A46,Щиты[Щит],Щиты[АВР],"")&amp;""))="да"),IFERROR(_xlfn.XLOOKUP(A46,Щиты[Щит],Щиты[Руст, кВт]),0),SUMIFS(Линии[_Р для вводов],Линии[Щит],A46,Линии[Источник для режимов],GF46)),IF(BO46&gt;0,ROUND(BO46*MAX(1,N(D46)),3),""))))</f>
        <v/>
      </c>
      <c r="BR46">
        <f t="shared" si="14"/>
        <v>0.1</v>
      </c>
      <c r="BS46" s="6">
        <f>IF(B46="","",IF(BH46&lt;&gt;"",IFERROR(_xlfn.XLOOKUP(BH46,Щиты[Щит],Щиты[Руст, кВт]),0),N(BR46)))</f>
        <v>0.1</v>
      </c>
      <c r="BT46" t="str">
        <f>IF(B46="","",IFERROR(IF(VLOOKUP(BC46,Потребители_обозначение,8,FALSE)=0,"",VLOOKUP(BC46,Потребители_обозначение,8,FALSE)),""))</f>
        <v/>
      </c>
      <c r="BU46">
        <f t="shared" si="15"/>
        <v>230</v>
      </c>
      <c r="BV46">
        <f t="shared" si="16"/>
        <v>0</v>
      </c>
      <c r="BW46">
        <f>IF(B46="","",IF(BH46&lt;&gt;"",3,IFERROR(IF(N(VLOOKUP(BC46,Потребители_обозначение,9,FALSE))=0,1,VLOOKUP(BC46,Потребители_обозначение,9,FALSE)),1)))</f>
        <v>1</v>
      </c>
      <c r="BX46">
        <f t="shared" si="17"/>
        <v>1</v>
      </c>
      <c r="BY46" t="str">
        <f>IF(B46="","",_xlfn.LET(_xlpm.bc,IFERROR(IF(VLOOKUP(BC46,Потребители_обозначение,6,FALSE)=0,"",VLOOKUP(BC46,Потребители_обозначение,6,FALSE)&amp;""),""),IF(AND(GA46="да",OR(_xlpm.bc="",_xlpm.bc="мс")),Марка_пож,IF(AND(_xlpm.bc="",BH46&lt;&gt;""),"мс",_xlpm.bc))))</f>
        <v/>
      </c>
      <c r="BZ46" t="str">
        <f t="shared" si="18"/>
        <v>мс</v>
      </c>
      <c r="CA46">
        <f>IF(B46="","",_xlfn.LET(_xlpm.cc,IFERROR(N(VLOOKUP(BC46,Потребители_обозначение,7,FALSE)),0),IF(_xlpm.cc&gt;0,_xlpm.cc,IF(BZ46="","",IF(BV46=1,2,IF(N(BX46)=3,5,3))))))</f>
        <v>3</v>
      </c>
      <c r="CB46">
        <f t="shared" si="19"/>
        <v>3</v>
      </c>
      <c r="CC46">
        <f>IFERROR(N(VLOOKUP(BC46,Потребители_обозначение,10,FALSE)),0)</f>
        <v>0</v>
      </c>
      <c r="CD46">
        <f>IFERROR(VLOOKUP(BC46,Потребители_обозначение,5,FALSE),0)</f>
        <v>3</v>
      </c>
      <c r="CE46" s="6" cm="1">
        <f t="array" ref="CE46">IF(B46="","",IF(BH46&lt;&gt;"",IFERROR(_xlfn.XLOOKUP(BH46,Щиты[Щит],Щиты[cos φ]),0.95),IF(BP46=1,IFERROR(_xlfn.XLOOKUP(A46,Щиты[Щит],Щиты[cos φ]),0.95),IF(ISNUMBER(AD46),AD46,IFERROR(IF(CD46=2,_xlfn.IFS(BX46=3,VLOOKUP(BS46,Справочная_двигатели,8,FALSE),BX46=1,VLOOKUP(BS46,Справочная_двигатели,10,TRUE)),IF(AND(Методика="нормы 2026",FG46="Сил"),0.8,0.95)),0.95)))))</f>
        <v>0.95</v>
      </c>
      <c r="CF46">
        <f t="shared" si="20"/>
        <v>0</v>
      </c>
      <c r="CG46">
        <f t="shared" si="21"/>
        <v>1</v>
      </c>
      <c r="CH46">
        <f t="shared" si="22"/>
        <v>0</v>
      </c>
      <c r="CI46">
        <f>IF(B46="","",IF(BV46=1,IFERROR(BS46/((Uн_лин/SQRT(3))*MAX(0.5,N(CE46))),0),N(O46)))</f>
        <v>0.455802844097073</v>
      </c>
      <c r="CJ46">
        <f t="shared" si="23"/>
        <v>0</v>
      </c>
      <c r="CK46">
        <f t="shared" si="24"/>
        <v>0</v>
      </c>
      <c r="CL46">
        <f t="shared" si="25"/>
        <v>0</v>
      </c>
      <c r="CM46">
        <f t="shared" si="26"/>
        <v>0</v>
      </c>
      <c r="CN46">
        <f t="shared" si="27"/>
        <v>0</v>
      </c>
      <c r="CO46">
        <f>IF(BC46="",0,_xlfn.LET(_xlpm.v,IFERROR(_xlfn.XLOOKUP(B46,Коды_код,Коды_мА),IFERROR(_xlfn.XLOOKUP(BC46,Коды_код,Коды_мА),IFERROR(_xlfn.XLOOKUP(LEFT(BC46,2),Коды_код,Коды_мА),""))),IF(_xlpm.v="да",30,IF(ISNUMBER(_xlpm.v),_xlpm.v,0))))</f>
        <v>0</v>
      </c>
      <c r="CP46" t="str">
        <f t="shared" si="28"/>
        <v/>
      </c>
      <c r="CQ46" t="str">
        <f>_xlfn.LET(_xlpm.k,IFERROR(_xlfn.XLOOKUP(BC46,Коды_код,Коды_утечка)&amp;"",""),IF(_xlpm.k="","дифавтомат",_xlpm.k))</f>
        <v>дифавтомат</v>
      </c>
      <c r="CR46" t="str" cm="1">
        <f t="array" ref="CR46">IF(CG46=0,"",_xlfn.LET(_xlpm.sg,TRIM(_xlfn.TEXTSPLIT(DD46&amp;"",";")),_xlpm.f_,_xlfn._xlws.FILTER(_xlpm.sg,LEFT(_xlpm.sg,3)="УЗО",""),IFERROR(INDEX(_xlpm.f_,1)&amp;"","")))</f>
        <v/>
      </c>
      <c r="CS46" t="str">
        <f t="shared" si="29"/>
        <v/>
      </c>
      <c r="CT46" s="6" t="str" cm="1">
        <f t="array" ref="CT46">IF(CR46="","",_xlfn.LET(_xlpm.tk,_xlfn.TEXTSPLIT(UPPER(CR46)," ",,TRUE),_xlpm.a_,_xlfn._xlws.FILTER(_xlpm.tk,ISNUMBER(--LEFT(_xlpm.tk,1))*((ISNUMBER(SEARCH("А",_xlpm.tk))+ISNUMBER(SEARCH("A",_xlpm.tk)))&gt;0)*NOT(ISNUMBER(SEARCH("МА",_xlpm.tk)))*NOT(ISNUMBER(SEARCH("MA",_xlpm.tk))),""),IFERROR(--SUBSTITUTE(SUBSTITUTE(INDEX(_xlpm.a_,1),"А",""),"A",""),"")))</f>
        <v/>
      </c>
      <c r="CU46" t="str" cm="1">
        <f t="array" ref="CU46">IF(CR46="","",_xlfn.LET(_xlpm.tk,_xlfn.TEXTSPLIT(UPPER(CR46)," ",,TRUE),_xlpm.a_,_xlfn._xlws.FILTER(_xlpm.tk,ISNUMBER(--LEFT(_xlpm.tk,1))*((ISNUMBER(SEARCH("МА",_xlpm.tk))+ISNUMBER(SEARCH("MA",_xlpm.tk)))&gt;0),""),IFERROR(--SUBSTITUTE(SUBSTITUTE(INDEX(_xlpm.a_,1),"МА",""),"MA",""),30)))</f>
        <v/>
      </c>
      <c r="CV46" t="str">
        <f>IF(CS46="","",IFERROR(_xlfn.XLOOKUP(CS46,Линии[_n],Линии[_УЗО, мА]),30))</f>
        <v/>
      </c>
      <c r="CW46">
        <f>IF(CS46="",0,IF(ISNUMBER(SEARCH("4P",IFERROR(_xlfn.XLOOKUP(CS46,Линии[_n],Линии[_УЗО строки])&amp;"",""))),0,1))</f>
        <v>0</v>
      </c>
      <c r="CX46" t="str">
        <f>IF(AND(CS46&lt;&gt;"",CS46=BA46),SUMIFS(Линии[_ток на 230 В],Линии[_блок УЗО],BA46,Линии[Щит],A46),"")</f>
        <v/>
      </c>
      <c r="CY46" t="str">
        <f>IF(AND(CS46&lt;&gt;"",CS46=BA46),SUMIFS(Линии[_ток утечки линии, мА],Линии[_блок УЗО],BA46,Линии[Щит],A46),"")</f>
        <v/>
      </c>
      <c r="CZ46">
        <f t="shared" si="30"/>
        <v>0</v>
      </c>
      <c r="DA46">
        <f t="shared" si="31"/>
        <v>0</v>
      </c>
      <c r="DB46">
        <f>IF(B46="",0,IFERROR(--_xlfn.XLOOKUP(B46,Коды_код,Коды_минавт),IFERROR(--_xlfn.XLOOKUP(BC46,Коды_код,Коды_минавт),IFERROR(--_xlfn.XLOOKUP(LEFT(BC46,2),Коды_код,Коды_минавт),0))))</f>
        <v>10</v>
      </c>
      <c r="DC46" t="str">
        <f>IF(B46="","",IFERROR(_xlfn.XLOOKUP(BC46,Коды_код,Коды_апп)&amp;"",""))</f>
        <v/>
      </c>
      <c r="DD46" t="str">
        <f t="shared" si="32"/>
        <v/>
      </c>
      <c r="DE46" t="str" cm="1">
        <f t="array" ref="DE46">IF(TRIM(DD46&amp;"")="","",IFERROR(TRIM(INDEX(_xlfn.TEXTSPLIT(DD46&amp;";;;",";"),1)),""))</f>
        <v/>
      </c>
      <c r="DF46" t="str" cm="1">
        <f t="array" ref="DF46">IF(TRIM(DD46&amp;"")="","",IFERROR(TRIM(INDEX(_xlfn.TEXTSPLIT(DD46&amp;";;;",";"),2)),""))</f>
        <v/>
      </c>
      <c r="DG46" t="str" cm="1">
        <f t="array" ref="DG46">IF(TRIM(DD46&amp;"")="","",IFERROR(TRIM(INDEX(_xlfn.TEXTSPLIT(DD46&amp;";;;",";"),3)),""))</f>
        <v/>
      </c>
      <c r="DH46">
        <f t="shared" si="33"/>
        <v>0</v>
      </c>
      <c r="DI46" t="str">
        <f>IF(B46="","",_xlfn.LET(_xlpm.t,LOWER(AZ46&amp;""),IF(ISNUMBER(SEARCH("dim",_xlpm.t)),"DIM",IF(ISNUMBER(SEARCH("dali",_xlpm.t)),"DALI",IF(OR(ISNUMBER(SEARCH("relay",_xlpm.t)),ISNUMBER(SEARCH("реле",_xlpm.t))),"Relay",IF(ISNUMBER(SEARCH("кнопк",_xlpm.t)),"",IFERROR(_xlfn.XLOOKUP(BC46,Коды_код,Коды_упр)&amp;"","")))))))</f>
        <v/>
      </c>
      <c r="DJ46" t="str">
        <f t="shared" si="34"/>
        <v/>
      </c>
      <c r="DK46">
        <f>IF(B46="","",_xlfn.LET(_xlpm.ig,IF(N(CX46)&gt;0,N(CX46),N(CI46)+IF(AJ46="вручную",0,N(CJ46))),_xlpm.n0,IFERROR(VLOOKUP(_xlpm.ig,Автомат_номиналы,2,TRUE),0),_xlpm.mn,MAX(DB46,IF(AJ46="вручную",0,N(CM46))),MAX(_xlpm.n0,_xlpm.mn,IF(DH46=1,Мин_автомат_БП,0))))</f>
        <v>10</v>
      </c>
      <c r="DL46">
        <f t="shared" si="35"/>
        <v>1</v>
      </c>
      <c r="DM46" t="str">
        <f t="shared" si="36"/>
        <v>1P</v>
      </c>
      <c r="DN46" t="str">
        <f>_xlfn.LET(_xlpm.cc,UPPER(TRIM(IFERROR(_xlfn.XLOOKUP(BC46,Коды_код,Коды_хар)&amp;"",""))),IF(OR(_xlpm.cc="B",_xlpm.cc="В"),"B",IF(_xlpm.cc="D","D","С")))</f>
        <v>С</v>
      </c>
      <c r="DO46" t="str">
        <f t="shared" si="37"/>
        <v>1P С10А</v>
      </c>
      <c r="DP46" t="str">
        <f t="shared" si="38"/>
        <v>1P С10А</v>
      </c>
      <c r="DQ46" t="str">
        <f t="shared" si="39"/>
        <v>1P С10А</v>
      </c>
      <c r="DR46" cm="1">
        <f t="array" ref="DR46">IF(DQ46="","",_xlfn.LET(_xlpm.t,SUBSTITUTE(SUBSTITUTE(SUBSTITUTE(UPPER(DQ46),"С","C"),"А","A"),"В","B"),_xlpm.tk,_xlfn.TEXTSPLIT(_xlpm.t," "),_xlpm.f,_xlfn._xlws.FILTER(_xlpm.tk,ISNUMBER(--MID(_xlpm.tk,2,1))*ISNUMBER(SEARCH(LEFT(_xlpm.tk,1)&amp;"#","B#C#D#"))*(LEN(_xlpm.tk)&gt;1),""),_xlpm.x,INDEX(_xlpm.f,1),IFERROR(--SUBSTITUTE(MID(_xlpm.x,2,9),"A",""),IFERROR(--SUBSTITUTE(INDEX(_xlfn._xlws.FILTER(_xlpm.tk,ISNUMBER(--SUBSTITUTE(_xlpm.tk,"A","")),""),1),"A",""),""))))</f>
        <v>10</v>
      </c>
      <c r="DS46" t="str">
        <f t="shared" si="40"/>
        <v>ok</v>
      </c>
      <c r="DT46">
        <f t="shared" si="41"/>
        <v>10</v>
      </c>
      <c r="DU46" t="str">
        <f t="shared" si="42"/>
        <v>1P С10А</v>
      </c>
      <c r="DV46">
        <f t="shared" si="43"/>
        <v>0</v>
      </c>
      <c r="DW46">
        <f t="shared" si="44"/>
        <v>0</v>
      </c>
      <c r="DX46">
        <f t="shared" si="45"/>
        <v>0</v>
      </c>
      <c r="DY46">
        <f t="shared" si="46"/>
        <v>0.455802844097073</v>
      </c>
      <c r="DZ46">
        <f t="shared" si="47"/>
        <v>1</v>
      </c>
      <c r="EA46">
        <f>IF(ISNUMBER(AP46),AP46,К_прокл)</f>
        <v>1</v>
      </c>
      <c r="EB46">
        <f t="shared" si="48"/>
        <v>2</v>
      </c>
      <c r="EC46">
        <f>IFERROR(N(VLOOKUP(BZ46,Кабель_обозначение,3,FALSE)),1)</f>
        <v>1</v>
      </c>
      <c r="ED46">
        <f>IFERROR(N(_xlfn.XLOOKUP(A46,Щиты[Щит],Щиты[ΔU до шин, %])),0)</f>
        <v>0.17</v>
      </c>
      <c r="EE46" t="str">
        <f>IFERROR(_xlfn.XLOOKUP(A46,Щиты[Щит],Щиты[Zпетли на шинах, Ом]),"")</f>
        <v/>
      </c>
      <c r="EF46">
        <f>IFERROR(N(_xlfn.XLOOKUP(A46,Щиты[Щит],Щиты[ΔU до шин (подбор), %])),0)</f>
        <v>0.65</v>
      </c>
      <c r="EG46" t="str">
        <f>IFERROR(_xlfn.XLOOKUP(A46,Щиты[Щит],Щиты[Zпетли на шинах (подбор), Ом]),"")</f>
        <v/>
      </c>
      <c r="EH46" t="str">
        <f t="shared" si="49"/>
        <v/>
      </c>
      <c r="EI46">
        <f t="shared" si="50"/>
        <v>72</v>
      </c>
      <c r="EJ46">
        <f t="shared" si="51"/>
        <v>2</v>
      </c>
      <c r="EK46">
        <f t="shared" si="52"/>
        <v>0.31</v>
      </c>
      <c r="EL46" s="6">
        <f>IF(B46="","",IF(BV46=1,dU_LED,IF(IFERROR(_xlfn.XLOOKUP(BC46,Коды_код,Коды_уго),"")="Светильник",3,4)+IF(Методика="нормы 2026",MIN(0.5,MAX(0,N(P46)-100)*0.005),0)))</f>
        <v>3</v>
      </c>
      <c r="EM46" cm="1">
        <f t="array" ref="EM46">IF(OR(B46="",BZ46="",EC46&lt;&gt;1),"",_xlfn.LET(_xlpm.sz,Iдоп_S,_xlpm.t_,CHOOSE(EB46,Iдоп_1ж,Iдоп_2ж,Iдоп_3ж)*DZ46*EA46,_xlpm.dcx,BV46=1,_xlpm.inn,IF(_xlpm.dcx,N(O46),N(DT46)),_xlpm.smin,MAX(1.5,CC46),_xlpm.L_,N(P46)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46)/N(BU46)*100,999),IFERROR(N(EJ46)*(_xlpm.rho*_xlpm.L_/_xlpm.sz*N(CE46)+_xlpm.xx*_xlpm.L_*N(EK46)/1000)*N(O46)/((Uн_лин/SQRT(3))*1000)*100,999)),_xlpm.kz,IF(OR(_xlpm.dcx,DW46=1,NOT(ISNUMBER(EG46)),_xlpm.L_=0,_xlpm.inn=0),1,IFERROR(--(c_min*(Uн_лин*1000/SQRT(3))/(EG46+2*ρкз_Cu*_xlpm.L_/_xlpm.sz)&gt;=HT46*_xlpm.inn),0)),_xlpm.ok,IFERROR((_xlpm.sz&gt;=_xlpm.smin)*(_xlpm.t_&gt;=_xlpm.inn)*IF(_xlpm.L_&gt;0,(_xlpm.du_+IF(_xlpm.dcx,0,EF46)&lt;=EL46+0.00001),1)*_xlpm.kz,0),_xlpm.r_,_xlfn._xlws.FILTER(_xlpm.sz,_xlpm.ok,"не подобрано"),INDEX(_xlpm.r_,1)))</f>
        <v>1.5</v>
      </c>
      <c r="EN46">
        <f t="shared" si="53"/>
        <v>1.5</v>
      </c>
      <c r="EO46" cm="1">
        <f t="array" ref="EO46">IF(OR(B46="",BZ46="",EC46&lt;&gt;1),"",_xlfn.LET(_xlpm.sz,Iдоп_S,_xlpm.t_,CHOOSE(EB46,Iдоп_1ж,Iдоп_2ж,Iдоп_3ж)*DZ46*EA46,_xlpm.ok,IFERROR((_xlpm.sz&gt;=MAX(1.5,CC46))*(_xlpm.t_&gt;=N(DT46)),0),_xlpm.r_,_xlfn._xlws.FILTER(_xlpm.sz,_xlpm.ok,""),INDEX(_xlpm.r_,1)))</f>
        <v>1.5</v>
      </c>
      <c r="EP46" s="6" cm="1">
        <f t="array" ref="EP46">IFERROR(ROUNDUP(N(EJ46)*(_xlfn.XLOOKUP(EO46,INDEX(Кабель_сопротивление,0,1),INDEX(Кабель_сопротивление,0,3))*N(P46)/EO46*N(CE46)+_xlfn.XLOOKUP(EO46,INDEX(Кабель_сопротивление,0,1),INDEX(Кабель_сопротивление,0,2))*N(P46)*N(EK46)/1000)*N(O46)/((Uн_лин/SQRT(3))*1000)*100,2),"")</f>
        <v>0.54</v>
      </c>
      <c r="EQ46">
        <f>IFERROR(2*ρкз_Cu*N(P46)/EO46,"")</f>
        <v>3.3313333333333333</v>
      </c>
      <c r="ER46">
        <f>IFERROR(VLOOKUP(EN46,Кабель_сопротивление,3,FALSE),"")</f>
        <v>2.2499999999999999E-2</v>
      </c>
      <c r="ES46">
        <f>IFERROR(VLOOKUP(EN46,Кабель_сопротивление,2,FALSE),"")</f>
        <v>0.11</v>
      </c>
      <c r="ET46">
        <f t="shared" si="54"/>
        <v>57</v>
      </c>
      <c r="EU46" t="str">
        <f t="shared" si="55"/>
        <v/>
      </c>
      <c r="EV46">
        <f t="shared" si="56"/>
        <v>1.2370393470197298</v>
      </c>
      <c r="EW46" s="6">
        <f>IFERROR(ROUNDUP(EV46/IF(BV46=1,BU46,(Uн_лин/SQRT(3))*1000)*100,2),"")</f>
        <v>0.54</v>
      </c>
      <c r="EX46" t="str">
        <f>IFERROR(VLOOKUP(BZ46,Кабель_обозначение,2,FALSE),"")</f>
        <v>ВВГнг(А)-LS</v>
      </c>
      <c r="EY46" t="str">
        <f t="shared" si="57"/>
        <v>ВВГнг(А)-LS (3х1,5)</v>
      </c>
      <c r="EZ46" t="str">
        <f t="shared" si="58"/>
        <v>ВВГнг(А)-LS (3х1,5)
L=95-0,54%</v>
      </c>
      <c r="FA46">
        <f>IFERROR(2*ρкз_Cu*P46/EN46,"")</f>
        <v>3.3313333333333333</v>
      </c>
      <c r="FB46">
        <f t="shared" si="59"/>
        <v>1.1083333333333334</v>
      </c>
      <c r="FC46" s="6" t="str">
        <f>IFERROR(IF(OR(B46="",BV46=1,NOT(ISNUMBER(EN46)),N(P46)=0),"",_xlfn.XLOOKUP(A46,Щиты[Щит],Щиты[Zпетли на шинах, Ом])+FA46),"")</f>
        <v/>
      </c>
      <c r="FD46" s="6" t="str">
        <f>IF(ISNUMBER(FC46),c_min*(Uн_лин*1000/SQRT(3))/FC46,"")</f>
        <v/>
      </c>
      <c r="FE46" s="6" t="str">
        <f>IFERROR(IF(OR(B46="",NOT(ISNUMBER(EN46))),"",1.05*(Uн_лин*1000/SQRT(3))/(_xlfn.XLOOKUP(A46,Щиты[Щит],Щиты[Zmax на шинах, Ом])+FB46)/1000),"")</f>
        <v/>
      </c>
      <c r="FF46" s="6" t="str">
        <f>IF(B46="","",IF(ISNUMBER(AC46),"Сил",IF(IFERROR(_xlfn.XLOOKUP(BC46,Коды_код,Коды_группа)&amp;"","")="","Быт",_xlfn.XLOOKUP(BC46,Коды_код,Коды_группа)&amp;"")))</f>
        <v>Быт</v>
      </c>
      <c r="FG46" s="6" t="str">
        <f t="shared" si="60"/>
        <v>Быт</v>
      </c>
      <c r="FH46" s="6">
        <f>IF(FG46="Щит","щит",IF(FG46="","",IF(FG46="Быт",IFERROR(_xlfn.XLOOKUP(A46,Щиты[Щит],Щиты[Кс быт]),1),IF(FG46="Сил",IF(ISNUMBER(AC46),AC46,IF(Методика="нормы 2026",IFERROR(_xlfn.XLOOKUP(A46,Щиты[Щит],Щиты[Кс силовых (табл. 7.5)]),1),1)),IF(OR(FG46="Пост",FG46="Отоп"),1,IF(FG46="ВНГ",0.7,0))))))</f>
        <v>0.8</v>
      </c>
      <c r="FI46">
        <f>IF(FG46="","",IF(AND(BP46=1,TRIM(AE46&amp;"")=""),IF(COUNTIFS(Линии[Щит],A46,Линии[Секция (1/2/3)],"&gt;=2")&gt;0,MIN(3,MAX(1,IFERROR(--BD46,1))),1),IFERROR(MIN(3,MAX(1,INT(--AE46))),1)))</f>
        <v>1</v>
      </c>
      <c r="FJ46">
        <f t="shared" si="61"/>
        <v>0.1</v>
      </c>
      <c r="FK46">
        <f t="shared" si="62"/>
        <v>0.1</v>
      </c>
      <c r="FL46">
        <f t="shared" si="63"/>
        <v>0</v>
      </c>
      <c r="FM46">
        <f t="shared" si="64"/>
        <v>0</v>
      </c>
      <c r="FN46">
        <f t="shared" si="65"/>
        <v>0</v>
      </c>
      <c r="FO46">
        <f t="shared" si="66"/>
        <v>0</v>
      </c>
      <c r="FP46">
        <f t="shared" si="67"/>
        <v>0.1</v>
      </c>
      <c r="FQ46">
        <f t="shared" si="68"/>
        <v>0.1</v>
      </c>
      <c r="FR46">
        <f t="shared" si="69"/>
        <v>9.5000000000000001E-2</v>
      </c>
      <c r="FS46">
        <f>IF(CG46=1,IF(AND(CH46=1,CW46=1),0,IF(AND(CS46&lt;&gt;"",CS46=BA46,CW46=1),SUMIFS(Линии[_Р линии, кВт],Линии[_блок УЗО],BA46,Линии[Щит],A46),N(BS46)+IF(AJ46="вручную",0,N(CK46)))),0)</f>
        <v>0.1</v>
      </c>
      <c r="FT46" t="str">
        <f t="shared" si="70"/>
        <v/>
      </c>
      <c r="FU46" t="str">
        <f>IF(B46="","",IF(CG46=0,IF(BA46=1,"",FW45),IF(AND(CH46=1,CW46=1,CS46&lt;&gt;""),IFERROR(_xlfn.XLOOKUP(CS46,Линии[_n],Линии[_фаза итог]),"L1"),IF(OR(N(DL46)&gt;=3,N(BX46)&gt;=3),"L1,L2,L3",IFERROR(_xlfn.TEXTBEFORE(_xlfn.TEXTAFTER(_xlfn.XLOOKUP(A46,Щиты[Щит],Щиты[_фазы авто]),";"&amp;BA46&amp;":"),";"),"L1")))))</f>
        <v>L3</v>
      </c>
      <c r="FV46" t="str">
        <f t="shared" si="71"/>
        <v>L3</v>
      </c>
      <c r="FW46" t="str">
        <f t="shared" si="72"/>
        <v>L3</v>
      </c>
      <c r="FX46" cm="1">
        <f t="array" ref="FX46">IFERROR(IF(CD46=2,_xlfn.IFS(BX46=3,VLOOKUP(BS46,Справочная_двигатели,3,FALSE),BX46=1,VLOOKUP(BS46,Справочная_двигатели,5,TRUE)),0),0)</f>
        <v>0</v>
      </c>
      <c r="FY46">
        <f>IFERROR(IF(CD46=3,VLOOKUP(BS46,Справочная_ЛЭД,2,TRUE),0),0)</f>
        <v>50</v>
      </c>
      <c r="FZ46" s="6">
        <f t="shared" si="73"/>
        <v>50</v>
      </c>
      <c r="GA46" t="str">
        <f>IF(B46="","",IF(TRIM(AH46&amp;"")&lt;&gt;"",IF(LOWER(TRIM(AH46&amp;""))="да","да","нет"),IF(IFERROR(_xlfn.XLOOKUP(BC46,Коды_код,Коды_пожарная),"")="да","да","нет")))</f>
        <v>нет</v>
      </c>
      <c r="GB46" t="str">
        <f t="shared" si="74"/>
        <v/>
      </c>
      <c r="GC46" t="str">
        <f t="shared" si="75"/>
        <v>основная</v>
      </c>
      <c r="GD46">
        <f>IF(AND(BP46=1,TRIM(AE46&amp;"")=""),IF(COUNTIFS(Линии[Щит],A46,Линии[Секция (1/2/3)],"&gt;=2")&gt;0,MIN(3,MAX(1,IFERROR(--BD46,1))),1),IFERROR(MIN(3,MAX(1,INT(--AE46))),1))</f>
        <v>1</v>
      </c>
      <c r="GE46" t="str" cm="1">
        <f t="array" ref="GE46">IF(B46="","",_xlfn.LET(_xlpm.t,IFERROR(_xlfn.XLOOKUP(1,(Шины[Шина]=GC46)*(((Шины[Щит]=A46)+(Шины[Щит]=""))&gt;0),Шины[Тип]),"")&amp;"",IF(_xlpm.t&lt;&gt;"",_xlpm.t,IF(ISNUMBER(SEARCH("ИБП",GC46)),"ИБП",IF(ISNUMBER(SEARCH("ДГУ",GC46)),"ДГУ","Ввод "&amp;GD46)))))</f>
        <v>Ввод 1</v>
      </c>
      <c r="GF46" t="str">
        <f t="shared" si="76"/>
        <v>Ввод 1</v>
      </c>
      <c r="GG46" t="str">
        <f>IF(BP46=0,"",IF(TRIM(AG46&amp;"")&lt;&gt;"",TRIM(AG46&amp;""),IF(OR(GE46="ИБП",GE46="ДГУ"),"I особая",_xlfn.XLOOKUP(A46,Щиты[Щит],Щиты[Категория шины «Ввод»],"III"))))</f>
        <v/>
      </c>
      <c r="GH46" t="str">
        <f>IF(A46="","",_xlfn.XLOOKUP(A46,Щиты[Щит],Щиты[Путь],""))</f>
        <v>|ГРЩ-ЖД|ЩГП|ЩО-001|</v>
      </c>
      <c r="GI46" t="str">
        <f>IF(B46="","",IF(AI46&lt;&gt;"",AI46,IF(IFERROR(_xlfn.XLOOKUP(BC46,Коды_код,Коды_вид)&amp;"","")="","Прочее",_xlfn.XLOOKUP(BC46,Коды_код,Коды_вид)&amp;"")))</f>
        <v>Рабочее освещение</v>
      </c>
      <c r="GJ46" t="str">
        <f>IF(BM46="","",INT((BM46-1)/Столбцов_на_лист)+1)</f>
        <v/>
      </c>
      <c r="GK46" t="str">
        <f t="shared" si="77"/>
        <v>ВВГнг(А)-LS (3х1,5) L=95-0,54%</v>
      </c>
      <c r="GL46">
        <f t="shared" si="78"/>
        <v>0.1</v>
      </c>
      <c r="GM46">
        <f t="shared" si="79"/>
        <v>0.46</v>
      </c>
      <c r="GN46">
        <f t="shared" si="80"/>
        <v>1</v>
      </c>
      <c r="GO46">
        <f t="shared" si="81"/>
        <v>0</v>
      </c>
      <c r="GP46">
        <f t="shared" si="82"/>
        <v>0</v>
      </c>
      <c r="GQ46" t="str">
        <f>IF(BM46="","",IF(AND(CG46=1,GP46=1),COUNTIFS(A$3:A46,A46,CG$3:CG46,1,GP$3:GP46,1),IF(OR(OR(BA46=1,A46&lt;&gt;A45),AJ46="вручную",GP46=0),"",IF(BA46=1,"",GR45))))</f>
        <v/>
      </c>
      <c r="GR46" t="str">
        <f t="shared" si="83"/>
        <v/>
      </c>
      <c r="GS46">
        <f>IF(B46="","",IFERROR(LOOKUP(INDEX(CHOOSE(EB46,Iдоп_1ж,Iдоп_2ж,Iдоп_3ж),MATCH(EN46,Iдоп_S,0))*DZ46*EA46,{6,10,16,20,25,32,40,50,63,80,100,125,160,200,250,315,400,500,630}),""))</f>
        <v>16</v>
      </c>
      <c r="GT46" t="str">
        <f t="shared" si="84"/>
        <v/>
      </c>
      <c r="GU46" t="str">
        <f t="shared" si="85"/>
        <v/>
      </c>
      <c r="GV46" t="str">
        <f t="shared" si="86"/>
        <v/>
      </c>
      <c r="GW46">
        <f t="shared" si="87"/>
        <v>0</v>
      </c>
      <c r="GX46" t="str">
        <f>IF(OR(B46="",DJ46=""),"",IFERROR(_xlfn.XLOOKUP(DJ46,Модули_умолч[Управление],Модули_умолч[Модель])&amp;"",""))</f>
        <v/>
      </c>
      <c r="GY46">
        <f>IF(DJ46="",1,IFERROR(MAX(0,N(_xlfn.XLOOKUP(DJ46,Модули_умолч[Управление],Модули_умолч[Каналов на линию]))),1))</f>
        <v>1</v>
      </c>
      <c r="GZ46" t="str">
        <f t="shared" si="88"/>
        <v/>
      </c>
      <c r="HA46" t="str">
        <f t="shared" si="89"/>
        <v/>
      </c>
      <c r="HB46" t="str">
        <f t="shared" si="90"/>
        <v/>
      </c>
      <c r="HC46">
        <f>IF(HB46="",0,IFERROR(N(VLOOKUP(HB46,Модули_спр,3,FALSE)),0))</f>
        <v>0</v>
      </c>
      <c r="HD46" t="str">
        <f t="shared" si="91"/>
        <v/>
      </c>
      <c r="HE46" t="str">
        <f t="shared" si="92"/>
        <v/>
      </c>
      <c r="HF46" t="str">
        <f>IF(OR(HE46="",HE46="-"),"",IFERROR(VLOOKUP(HE46,Модули_спр,2,FALSE),"R"))</f>
        <v/>
      </c>
      <c r="HG46" t="str">
        <f>IF(HF46="","",HF46&amp;"."&amp;COUNTIFS(A$3:A46,A46,HF$3:HF46,HF46))</f>
        <v/>
      </c>
      <c r="HH46" t="str">
        <f t="shared" si="93"/>
        <v/>
      </c>
      <c r="HI46" t="str">
        <f t="shared" si="94"/>
        <v/>
      </c>
      <c r="HJ46" t="str">
        <f t="shared" si="95"/>
        <v/>
      </c>
      <c r="HK46" t="str">
        <f t="shared" si="96"/>
        <v/>
      </c>
      <c r="HL46">
        <f t="shared" si="97"/>
        <v>1</v>
      </c>
      <c r="HM46" t="str">
        <f>IF(HL46=1,"XT"&amp;COUNTIFS(A$3:A46,A46,HL$3:HL46,1),"")</f>
        <v>XT15</v>
      </c>
      <c r="HN46" t="str">
        <f t="shared" si="98"/>
        <v>XT15</v>
      </c>
      <c r="HO46" t="str">
        <f t="shared" si="99"/>
        <v/>
      </c>
      <c r="HP46" t="str">
        <f t="shared" si="100"/>
        <v/>
      </c>
      <c r="HQ46" t="str">
        <f t="shared" si="101"/>
        <v>ok</v>
      </c>
      <c r="HR46" t="str">
        <f>IF(OR(HJ46="",HH46=""),"",IF(HJ46+MAX(0,GY46-1)&gt;IFERROR(VLOOKUP(HI46,Модули_спр,3,FALSE),99),"ЛИШНИЙ КАНАЛ",IF(AND(AL46&lt;&gt;"=",GY46&gt;0,COUNTIFS(Линии[_модуль гр.],HH46,Линии[Канал (итог)],HJ46,Линии[Канал],"&lt;&gt;=",Линии[Щит],A46)&gt;1),"ДУБЛЬ КАНАЛА","")))</f>
        <v/>
      </c>
      <c r="HS46" s="6" t="str">
        <f t="shared" si="102"/>
        <v/>
      </c>
      <c r="HT46">
        <f t="shared" si="103"/>
        <v>10</v>
      </c>
      <c r="HU46" t="str">
        <f t="shared" si="104"/>
        <v/>
      </c>
      <c r="HV46">
        <f t="shared" si="105"/>
        <v>1.1323211376388294</v>
      </c>
      <c r="HW46">
        <f t="shared" si="106"/>
        <v>0</v>
      </c>
      <c r="HX46">
        <f t="shared" si="107"/>
        <v>0</v>
      </c>
      <c r="HY46">
        <f t="shared" si="108"/>
        <v>0</v>
      </c>
      <c r="HZ46">
        <f t="shared" si="109"/>
        <v>0</v>
      </c>
      <c r="IA46">
        <f t="shared" si="110"/>
        <v>0</v>
      </c>
      <c r="IB46">
        <f t="shared" si="111"/>
        <v>0</v>
      </c>
      <c r="IC46" t="str">
        <f t="shared" si="112"/>
        <v/>
      </c>
      <c r="ID46" t="str" cm="1">
        <f t="array" ref="ID46">IF(IC46="","",_xlfn.LET(_xlpm.tk,_xlfn.TEXTSPLIT(SUBSTITUTE(SUBSTITUTE(IC46,";"," "),"→"," ")," ",,TRUE),_xlpm.w_,_xlfn._xlws.FILTER(_xlpm.tk,ISNUMBER(--LEFT(_xlpm.tk,1))*((ISNUMBER(SEARCH("W",_xlpm.tk))+ISNUMBER(SEARCH("Вт",_xlpm.tk)))&gt;0),""),IFERROR(--SUBSTITUTE(SUBSTITUTE(UPPER(INDEX(_xlpm.w_,1)),"W",""),"ВТ",""),"")))</f>
        <v/>
      </c>
      <c r="IE46" t="str" cm="1">
        <f t="array" ref="IE46">IF(IC46="","",_xlfn.LET(_xlpm.tk,_xlfn.TEXTSPLIT(SUBSTITUTE(SUBSTITUTE(IC46,";"," "),"→"," ")," ",,TRUE),_xlpm.v_,_xlfn._xlws.FILTER(_xlpm.tk,ISNUMBER(--LEFT(_xlpm.tk,1))*((ISNUMBER(SEARCH("V",_xlpm.tk))+(RIGHT(UPPER(_xlpm.tk))="В"))&gt;0),""),IFERROR(--SUBSTITUTE(SUBSTITUTE(UPPER(INDEX(_xlpm.v_,1)),"V",""),"В",""),"")))</f>
        <v/>
      </c>
      <c r="IF46" s="6" t="str">
        <f>IF(OR(BV46=0,HI46="",HJ46=""),"",IFERROR(N(_xlfn.XLOOKUP(HI46,Каталог!$C$4:$C$500,Каталог!$Q$4:$Q$500)),""))</f>
        <v/>
      </c>
      <c r="IG46" s="6" t="str">
        <f>IF(N(IF46)=0,"",SUMIFS(Линии[Iр, А],Линии[Щит],A46,Линии[_модуль гр.],HH46,Линии[Канал (итог)],HJ46))</f>
        <v/>
      </c>
      <c r="IH46" t="str">
        <f>IF(AND(B46="",HO46=""),"",_xlfn.TEXTJOIN("; ",TRUE,IF(AND(B46&lt;&gt;"",FV46=""),"нет фазы",""),IF(AND(B46&lt;&gt;"",N(GL46)=0,FG46&lt;&gt;"Нет"),"нет мощности",""),IF(AND(HN46&lt;&gt;"",COUNTIFS(Линии[Щит],A46,Линии[Клемма (итог)],HN46)&gt;1),"дубль клеммы "&amp;HN46,""),IF(AND(HQ46&lt;&gt;"",HQ46&lt;&gt;"ok"),HQ46,""),IF(HR46&lt;&gt;"",HR46,""),IF(AND(N(CB46)&gt;=4,N(BX46)=1),CB46&amp;" жил на 1 фазе",""),IF(AND(BC46="R",CG46=1,IF(CS46&lt;&gt;"",N(CV46)&gt;30,OR(N(DA46)=0,N(DA46)&gt;30))),"розетка без дифзащиты до 30 мА",""),IF(AND(CG46=1,N(DA46)&gt;0,ISNUMBER(T46)),IF(T46&gt;N(DA46)/3,"ток утечки "&amp;FIXED(T46,1)&amp;" мА &gt; 1/3 уставки ("&amp;DA46&amp;" мА)",""),""),IF(AND(CH46=1,CS46=""),"«узо»: нет строки с УЗО выше (УЗО 2P 40А 30мА в «Аппаратах»)",""),IF(AND(CS46&lt;&gt;"",CS46=BA46),IF(CT46="","впишите номинал УЗО (УЗО 2P 40А 30мА)",IF(N(CT46)&lt;N(DT46),"УЗО "&amp;CT46&amp;" А &lt; автомата "&amp;DT46&amp;" А перед ним",IF(N(CT46)&lt;N(CX46),"УЗО "&amp;CT46&amp;" А &lt; тока блока "&amp;FIXED(CX46,1)&amp;" А",""))),""),IF(AND(CS46&lt;&gt;"",CS46=BA46,ISNUMBER(CY46)),IF(CY46&gt;N(CV46)/3,"ток утечки блока УЗО "&amp;FIXED(CY46,1)&amp;" мА &gt; 1/3 уставки ("&amp;CV46&amp;" мА)",""),""),IF(AND(CG46=1,N(BV46)+N(IB46)&gt;0,IC46=""),"линии до 50 В без БП: впишите в «Аппараты» (БП 24V 480W)",""),IF(AND(CG46=1,ISNUMBER(ID46),ISNUMBER(U46)),IF(U46&gt;ID46,"БП "&amp;ID46&amp;" Вт &lt; нужно "&amp;U46&amp;" Вт (×"&amp;Запас_БП&amp;")",""),""),IF(AND(CG46=1,ISNUMBER(IE46),N(BV46)=1),IF(IE46&lt;&gt;N(BU46),"БП на "&amp;IE46&amp;" В, линия "&amp;BU46&amp;" В",""),""),IF(AND(N(IF46)&gt;0,N(IG46)&gt;N(IF46)),HH46&amp;" канал "&amp;HJ46&amp;": "&amp;FIXED(IG46,1)&amp;" А &gt; "&amp;IF46&amp;" А",""),IFERROR(IF(AND(ISNUMBER(Q46),Q46&gt;EL46),"потери "&amp;FIXED(Q46,1)&amp;" % &gt; "&amp;EL46&amp;" %",""),""),IFERROR(IF(LEFT(HU46,4)="мало","Iкз мало — отключение &gt; 0,4 с",""),""),IF(AND(B46&lt;&gt;"",BM46=""),"не на схеме",""),IF(AND(CG46=0,B46&lt;&gt;"",FV46&lt;&gt;"",IF(BA46=1,"",FW45)&lt;&gt;"",FV46&lt;&gt;IF(BA46=1,"",FW45)),"фаза не как у автомата группы ("&amp;IF(BA46=1,"",FW45)&amp;")","")))</f>
        <v>не на схеме</v>
      </c>
      <c r="II46" s="6">
        <f>IF(OR(CG46=0,DQ46=""),"",_xlfn.LET(_xlpm.t,IFERROR(_xlfn.XLOOKUP(DQ46,Каталог!$U$4:$U$500,Каталог!$G$4:$G$500),""),_xlpm.k,SEARCH("кА",_xlpm.t),IFERROR(--TRIM(RIGHT(SUBSTITUTE(MID(_xlpm.t,MAX(1,_xlpm.k-4),_xlpm.k-MAX(1,_xlpm.k-4))," ",REPT(" ",9)),5)),"")))</f>
        <v>6</v>
      </c>
      <c r="IJ46" t="str">
        <f>IF(OR(II46="",CG46=0),"",IF(_xlfn.XLOOKUP(A46,Щиты[Щит],Щиты[Iкз max на шинах, кА],"")="","",IF(II46&lt;_xlfn.XLOOKUP(A46,Щиты[Щит],Щиты[Iкз max на шинах, кА]),"Icu "&amp;II46&amp;" кА &lt; Iкз max","ok")))</f>
        <v/>
      </c>
      <c r="IK46" t="str">
        <f t="shared" si="113"/>
        <v/>
      </c>
      <c r="IL46" t="str">
        <f t="shared" si="114"/>
        <v/>
      </c>
      <c r="IM46" t="str">
        <f t="shared" si="115"/>
        <v/>
      </c>
      <c r="IN46" t="str" cm="1">
        <f t="array" ref="IN46">IF(IM46="","",_xlfn.LET(_xlpm.nd,_xlfn.TEXTSPLIT(IM46,"|"),IF(COLUMNS(_xlpm.nd)&gt;1,A46&amp;"¦"&amp;INDEX(_xlpm.nd,1)&amp;"¦"&amp;INDEX(_xlpm.nd,2),"")))</f>
        <v/>
      </c>
      <c r="IO46" t="str">
        <f t="shared" si="116"/>
        <v/>
      </c>
      <c r="IP46" t="str" cm="1">
        <f t="array" ref="IP46">IF(IM46="","",_xlfn.LET(_xlpm.nd,_xlfn.TEXTSPLIT(IM46,"|"),IF(COLUMNS(_xlpm.nd)&gt;2,A46&amp;"¦"&amp;INDEX(_xlpm.nd,2)&amp;"¦"&amp;INDEX(_xlpm.nd,3),"")))</f>
        <v/>
      </c>
      <c r="IQ46" t="str">
        <f t="shared" si="117"/>
        <v/>
      </c>
      <c r="IR46" t="str" cm="1">
        <f t="array" ref="IR46">IF(IM46="","",_xlfn.LET(_xlpm.nd,_xlfn.TEXTSPLIT(IM46,"|"),IF(COLUMNS(_xlpm.nd)&gt;3,A46&amp;"¦"&amp;INDEX(_xlpm.nd,3)&amp;"¦"&amp;INDEX(_xlpm.nd,4),"")))</f>
        <v/>
      </c>
      <c r="IS46" t="str">
        <f t="shared" si="118"/>
        <v/>
      </c>
      <c r="IT46" t="str" cm="1">
        <f t="array" ref="IT46">IF(IM46="","",_xlfn.LET(_xlpm.nd,_xlfn.TEXTSPLIT(IM46,"|"),IF(COLUMNS(_xlpm.nd)&gt;4,A46&amp;"¦"&amp;INDEX(_xlpm.nd,4)&amp;"¦"&amp;INDEX(_xlpm.nd,5),"")))</f>
        <v/>
      </c>
      <c r="IU46" t="str">
        <f t="shared" si="119"/>
        <v/>
      </c>
      <c r="IV46" t="str" cm="1">
        <f t="array" ref="IV46">IF(IM46="","",_xlfn.LET(_xlpm.nd,_xlfn.TEXTSPLIT(IM46,"|"),IF(COLUMNS(_xlpm.nd)&gt;5,A46&amp;"¦"&amp;INDEX(_xlpm.nd,5)&amp;"¦"&amp;INDEX(_xlpm.nd,6),"")))</f>
        <v/>
      </c>
      <c r="IW46" t="str">
        <f t="shared" si="120"/>
        <v/>
      </c>
      <c r="IX46" t="str" cm="1">
        <f t="array" ref="IX46">IF(IM46="","",_xlfn.LET(_xlpm.nd,_xlfn.TEXTSPLIT(IM46,"|"),IF(COLUMNS(_xlpm.nd)&gt;6,A46&amp;"¦"&amp;INDEX(_xlpm.nd,6)&amp;"¦"&amp;INDEX(_xlpm.nd,7),"")))</f>
        <v/>
      </c>
      <c r="IY46" t="str">
        <f t="shared" si="121"/>
        <v/>
      </c>
      <c r="IZ46" t="str">
        <f t="shared" si="122"/>
        <v/>
      </c>
      <c r="JA46" t="str">
        <f t="shared" si="123"/>
        <v>XT15</v>
      </c>
      <c r="JB46">
        <f t="shared" si="124"/>
        <v>0</v>
      </c>
      <c r="JC46">
        <f t="shared" si="125"/>
        <v>0</v>
      </c>
      <c r="JD46" t="str">
        <f t="shared" si="126"/>
        <v/>
      </c>
      <c r="JE46" t="str">
        <f t="shared" si="127"/>
        <v/>
      </c>
      <c r="JF46" t="str">
        <f t="shared" si="128"/>
        <v/>
      </c>
      <c r="JG46" t="str">
        <f t="shared" si="129"/>
        <v/>
      </c>
      <c r="JH46" t="str">
        <f>IF(B46="","",IFERROR(_xlfn.XLOOKUP(B46,Коды_код,Коды_уго),IFERROR(_xlfn.XLOOKUP(BC46,Коды_код,Коды_уго),IFERROR(_xlfn.XLOOKUP(LEFT(BC46,2),Коды_код,Коды_уго),""))))</f>
        <v>Светильник</v>
      </c>
      <c r="JI46" t="str">
        <f>IF(B46="","",IF(OR(JH46="",JH46=0),"BOX",IFERROR(IF(VLOOKUP(JH46,УГО_блоки,3,FALSE)&amp;""&lt;&gt;"",VLOOKUP(JH46,УГО_блоки,3,FALSE),VLOOKUP(JH46,УГО_блоки,2,FALSE)),JH46)))</f>
        <v>LAMP</v>
      </c>
      <c r="JJ46">
        <f t="shared" si="130"/>
        <v>1</v>
      </c>
      <c r="JK46" t="str">
        <f>IF(DQ46="","",IF(COUNTIF(DQ$3:DQ46,DQ46)=1,MAX(JK$2:JK45)+1,""))</f>
        <v/>
      </c>
      <c r="JL46" t="str">
        <f>IF(DE46="","",IF(COUNTIF(DE$3:DE46,DE46)+COUNTIF(DF$2:DF45,DE46)+COUNTIF(DG$2:DG45,DE46)=1,MAX(JL$2:JN45)+1,""))</f>
        <v/>
      </c>
      <c r="JM46" t="str">
        <f>IF(DF46="","",IF(COUNTIF(DE$3:DE46,DF46)+COUNTIF(DF$3:DF46,DF46)+COUNTIF(DG$2:DG45,DF46)=1,MAX(JL$2:JN45,JL46)+1,""))</f>
        <v/>
      </c>
      <c r="JN46" t="str">
        <f>IF(DG46="","",IF(COUNTIF(DE$3:DE46,DG46)+COUNTIF(DF$3:DF46,DG46)+COUNTIF(DG$3:DG46,DG46)=1,MAX(JL$2:JN45,JL46,JM46)+1,""))</f>
        <v/>
      </c>
      <c r="JO46" t="str">
        <f t="shared" si="131"/>
        <v>3х1,5</v>
      </c>
      <c r="JP46" t="str">
        <f>IF(JO46="","",IF(COUNTIF(JO$3:JO46,JO46)=1,MAX(JP$2:JP45)+1,""))</f>
        <v/>
      </c>
      <c r="JQ46" t="str">
        <f>IF(HG46="","",COUNTIF(HG$3:HG46,"?*"))</f>
        <v/>
      </c>
      <c r="JR46" t="str">
        <f>IF(OR(HG46="",HI46=""),"",IF(COUNTIFS(HG$3:HG46,"?*",HI$3:HI46,HI46)=1,MAX(JR$2:JR45)+1,""))</f>
        <v/>
      </c>
      <c r="JS46">
        <f t="shared" si="132"/>
        <v>1</v>
      </c>
      <c r="JT46">
        <f>IF(B46="","",COUNTIF(B$3:B46,"?*"))</f>
        <v>44</v>
      </c>
      <c r="JU46">
        <f>IF(HL46&lt;&gt;1,0,_xlfn.LET(_xlpm.k,MAX(IFERROR(--_xlfn.XLOOKUP(B46,Коды_код,Коды_3L),0),IFERROR(--_xlfn.XLOOKUP(BC46,Коды_код,Коды_3L),0),IFERROR(--_xlfn.XLOOKUP(LEFT(BC46,2),Коды_код,Коды_3L),0)),IF(_xlpm.k&gt;0,_xlpm.k,IF(IFERROR(--LEFT(SUBSTITUTE(JO46,"x","х"),FIND("х",SUBSTITUTE(JO46,"x","х"))-1),3)&gt;3,Каталог!$S$9,1))))</f>
        <v>1</v>
      </c>
      <c r="JV46">
        <f t="shared" si="133"/>
        <v>0</v>
      </c>
      <c r="JW46" t="str">
        <f t="shared" si="134"/>
        <v>авто</v>
      </c>
      <c r="JX46" t="str">
        <f t="shared" si="135"/>
        <v/>
      </c>
      <c r="JY46">
        <f t="shared" si="136"/>
        <v>0</v>
      </c>
      <c r="JZ46">
        <f t="shared" si="137"/>
        <v>1</v>
      </c>
    </row>
    <row r="47" spans="1:286" x14ac:dyDescent="0.3">
      <c r="A47" t="s">
        <v>1109</v>
      </c>
      <c r="B47" t="s">
        <v>1361</v>
      </c>
      <c r="C47" t="str">
        <f>Линии[[#This Row],[_авто наименование]]</f>
        <v>Осветительная группа, пом. 007Т</v>
      </c>
      <c r="D47">
        <v>4</v>
      </c>
      <c r="E47">
        <v>0.1</v>
      </c>
      <c r="G47" t="str">
        <f>Линии[[#This Row],[_авто автомат]]</f>
        <v>1P С10А</v>
      </c>
      <c r="H47" t="str">
        <f>Линии[[#This Row],[_авто управление]]</f>
        <v/>
      </c>
      <c r="I47" t="str">
        <f>Линии[[#This Row],[_авто аппараты]]</f>
        <v/>
      </c>
      <c r="J47">
        <v>1.5</v>
      </c>
      <c r="K47">
        <v>39</v>
      </c>
      <c r="L47" t="str">
        <f>Линии[[#This Row],[_авто фаза]]</f>
        <v>L1</v>
      </c>
      <c r="M47" t="str">
        <f>Линии[[#This Row],[_авто клемма]]</f>
        <v>XT16</v>
      </c>
      <c r="N47" t="str">
        <f t="shared" si="0"/>
        <v>не на схеме</v>
      </c>
      <c r="O47" s="6" cm="1">
        <f t="array" ref="O47">IF(B47="","",IF(BH47&lt;&gt;"",IFERROR(_xlfn.XLOOKUP(BH47,Щиты[Щит],Щиты[Iр, А]),""),IF(BP47=1,IF(OR(N(_xlfn.XLOOKUP(A47,Щиты[Щит],Щиты[Вводов],1))&lt;=1,LOWER(TRIM(_xlfn.XLOOKUP(A47,Щиты[Щит],Щиты[АВР],"")&amp;""))="да"),IFERROR(_xlfn.XLOOKUP(A47,Щиты[Щит],Щиты[Iр, А]),""),IFERROR(N(BS47)*_xlfn.XLOOKUP(A47,Щиты[Щит],Щиты[Кс итог])/(SQRT(3)*Uн_лин*_xlfn.XLOOKUP(A47,Щиты[Щит],Щиты[cos φ])),"")),IF(BV47=1,IFERROR(BS47*1000/BU47,""),IFERROR(_xlfn.IFS(BX47=1,BS47/((Uн_лин/SQRT(3))*CE47),BX47=3,BS47/(SQRT(3)*Uн_лин*CE47)),"")))))</f>
        <v>0.455802844097073</v>
      </c>
      <c r="P47" s="7">
        <f>IF(B47="","",IFERROR(IF(VLOOKUP(BC47,Потребители_обозначение,4,FALSE)=1,VLOOKUP(BC47,Потребители_обозначение,3,FALSE)*(MAX(1,N(D47))*2-1)+EI47+VLOOKUP(BE47,Этаж_обозначение,3,FALSE)+VLOOKUP(BE47,Этаж_обозначение,4,FALSE),VLOOKUP(BC47,Потребители_обозначение,3,FALSE)*(MAX(1,N(D47))*2-1)+EI47),EI47))</f>
        <v>46</v>
      </c>
      <c r="Q47" s="6">
        <f t="shared" si="1"/>
        <v>0.43000000000000005</v>
      </c>
      <c r="R47" t="str">
        <f t="shared" si="2"/>
        <v>ВВГнг(А)-LS (3х1,5)</v>
      </c>
      <c r="S47" t="str">
        <f>IF(BM47="","",IF(BN47="вводной узел","узел ","")&amp;"л."&amp;(INT((BM47-1)/Столбцов_на_лист)+1)&amp;" / "&amp;(MOD(BM47-1,Столбцов_на_лист)+1))</f>
        <v/>
      </c>
      <c r="T47" s="119">
        <f t="shared" si="3"/>
        <v>0.6</v>
      </c>
      <c r="U47" s="7" t="str">
        <f>IF(OR(CG47=0,N(BV47)+N(IB47)=0),"",ROUNDUP(Запас_БП*(N(HY47)+N(HZ47)),0))</f>
        <v/>
      </c>
      <c r="V47" s="119" t="str">
        <f t="shared" si="4"/>
        <v/>
      </c>
      <c r="W47" s="7" t="str">
        <f>IFERROR(IF(OR(B47="",BP47=1,BV47=1,NOT(ISNUMBER(EN47)),N(DT47)=0),"",MAX(0,ROUNDDOWN((c_min*(Uн_лин*1000/SQRT(3))/(HT47*N(DT47))-_xlfn.XLOOKUP(A47,Щиты[Щит],Щиты[Zпетли на шинах, Ом]))*EN47/(2*ρкз_Cu),0))),"")</f>
        <v/>
      </c>
      <c r="Y47" t="str">
        <f>Линии[[#This Row],[_авто утечка]]</f>
        <v/>
      </c>
      <c r="Z47">
        <v>1</v>
      </c>
      <c r="AA47">
        <v>230</v>
      </c>
      <c r="AB47" t="s">
        <v>562</v>
      </c>
      <c r="AI47" t="s">
        <v>555</v>
      </c>
      <c r="AK47" t="str">
        <f>Линии[[#This Row],[_авто модуль]]</f>
        <v/>
      </c>
      <c r="AM47" t="s">
        <v>527</v>
      </c>
      <c r="AN47" t="s">
        <v>11</v>
      </c>
      <c r="AO47">
        <v>3</v>
      </c>
      <c r="AQ47">
        <v>7</v>
      </c>
      <c r="AR47">
        <v>0</v>
      </c>
      <c r="AS47">
        <v>42</v>
      </c>
      <c r="BA47" cm="1">
        <f t="array" ref="BA47">ROW()-ROW(Линии[#Headers])</f>
        <v>45</v>
      </c>
      <c r="BC47" s="6" t="str">
        <f t="shared" si="5"/>
        <v>L</v>
      </c>
      <c r="BD47" t="str">
        <f t="shared" si="6"/>
        <v>00.007Т.1</v>
      </c>
      <c r="BE47" t="str">
        <f t="shared" si="7"/>
        <v>00</v>
      </c>
      <c r="BF47" t="str">
        <f t="shared" si="8"/>
        <v>007Т.1</v>
      </c>
      <c r="BG47" t="str">
        <f t="shared" si="9"/>
        <v>007Т</v>
      </c>
      <c r="BH47" t="str">
        <f>IF(X47&lt;&gt;"",X47,IF(AND(B47&lt;&gt;"",B47&lt;&gt;A47,ISNUMBER(_xlfn.XMATCH(B47,Щиты[Щит]))),B47,""))</f>
        <v/>
      </c>
      <c r="BI47" t="str" cm="1">
        <f t="array" ref="BI47">IF(B47="","",IF(BH47&lt;&gt;"","Щит "&amp;BH47,_xlfn.LET(_xlpm.nm,IFERROR(_xlfn.XLOOKUP(BC47,Коды_код,Коды_имя)&amp;"",""),_xlpm.md,IFERROR(N(_xlfn.XLOOKUP(BC47,Коды_код,Коды_режим)),1),_xlpm.ex,IF(Имя_режим="по экспликации",IFERROR(_xlfn.XLOOKUP(BE47&amp;"|"&amp;BG47,Экспликация[Этаж]&amp;"|"&amp;Экспликация[Помещение],Экспликация[Название])&amp;"",""),""),_xlpm.rm,IF(BG47="","",IF(_xlpm.ex&lt;&gt;"",". "&amp;_xlpm.ex&amp;IF(Имя_пом="нет"," ("&amp;BG47&amp;")"," (пом. "&amp;BG47&amp;")"),IF(Имя_пом="нет"," ",", пом. ")&amp;BG47)),IF(_xlpm.nm="","",IF(_xlpm.md=2,_xlpm.nm&amp;" шлейф "&amp;BE47,_xlpm.nm&amp;_xlpm.rm)))))</f>
        <v>Осветительная группа, пом. 007Т</v>
      </c>
      <c r="BJ47" t="str">
        <f t="shared" si="10"/>
        <v>Осветительная группа, пом. 007Т</v>
      </c>
      <c r="BK47">
        <f>IFERROR(_xlfn.XMATCH(A47,Щиты[Щит]),0)</f>
        <v>3</v>
      </c>
      <c r="BL47">
        <f>_xlfn.LET(_xlpm.k,IFERROR(_xlfn.XLOOKUP(A47,Щиты[Щит],Щиты[Мест под вводной узел]),""),IF(_xlpm.k="",Столбцов_на_лист,N(_xlpm.k)))</f>
        <v>17</v>
      </c>
      <c r="BM47" t="str">
        <f t="shared" si="11"/>
        <v/>
      </c>
      <c r="BN47" t="str">
        <f t="shared" si="12"/>
        <v/>
      </c>
      <c r="BO47" s="6">
        <f>IFERROR(N(_xlfn.XLOOKUP(BC47,Коды_код,Коды_квт)),0)</f>
        <v>0</v>
      </c>
      <c r="BP47">
        <f t="shared" si="13"/>
        <v>0</v>
      </c>
      <c r="BQ47" t="str">
        <f>IF(B47="","",IF(BH47&lt;&gt;"",IFERROR(_xlfn.XLOOKUP(BH47,Щиты[Щит],Щиты[Руст, кВт]),0),IF(BP47=1,IF(OR(N(_xlfn.XLOOKUP(A47,Щиты[Щит],Щиты[Вводов],1))&lt;=1,LOWER(TRIM(_xlfn.XLOOKUP(A47,Щиты[Щит],Щиты[АВР],"")&amp;""))="да"),IFERROR(_xlfn.XLOOKUP(A47,Щиты[Щит],Щиты[Руст, кВт]),0),SUMIFS(Линии[_Р для вводов],Линии[Щит],A47,Линии[Источник для режимов],GF47)),IF(BO47&gt;0,ROUND(BO47*MAX(1,N(D47)),3),""))))</f>
        <v/>
      </c>
      <c r="BR47">
        <f t="shared" si="14"/>
        <v>0.1</v>
      </c>
      <c r="BS47" s="6">
        <f>IF(B47="","",IF(BH47&lt;&gt;"",IFERROR(_xlfn.XLOOKUP(BH47,Щиты[Щит],Щиты[Руст, кВт]),0),N(BR47)))</f>
        <v>0.1</v>
      </c>
      <c r="BT47" t="str">
        <f>IF(B47="","",IFERROR(IF(VLOOKUP(BC47,Потребители_обозначение,8,FALSE)=0,"",VLOOKUP(BC47,Потребители_обозначение,8,FALSE)),""))</f>
        <v/>
      </c>
      <c r="BU47">
        <f t="shared" si="15"/>
        <v>230</v>
      </c>
      <c r="BV47">
        <f t="shared" si="16"/>
        <v>0</v>
      </c>
      <c r="BW47">
        <f>IF(B47="","",IF(BH47&lt;&gt;"",3,IFERROR(IF(N(VLOOKUP(BC47,Потребители_обозначение,9,FALSE))=0,1,VLOOKUP(BC47,Потребители_обозначение,9,FALSE)),1)))</f>
        <v>1</v>
      </c>
      <c r="BX47">
        <f t="shared" si="17"/>
        <v>1</v>
      </c>
      <c r="BY47" t="str">
        <f>IF(B47="","",_xlfn.LET(_xlpm.bc,IFERROR(IF(VLOOKUP(BC47,Потребители_обозначение,6,FALSE)=0,"",VLOOKUP(BC47,Потребители_обозначение,6,FALSE)&amp;""),""),IF(AND(GA47="да",OR(_xlpm.bc="",_xlpm.bc="мс")),Марка_пож,IF(AND(_xlpm.bc="",BH47&lt;&gt;""),"мс",_xlpm.bc))))</f>
        <v/>
      </c>
      <c r="BZ47" t="str">
        <f t="shared" si="18"/>
        <v>мс</v>
      </c>
      <c r="CA47">
        <f>IF(B47="","",_xlfn.LET(_xlpm.cc,IFERROR(N(VLOOKUP(BC47,Потребители_обозначение,7,FALSE)),0),IF(_xlpm.cc&gt;0,_xlpm.cc,IF(BZ47="","",IF(BV47=1,2,IF(N(BX47)=3,5,3))))))</f>
        <v>3</v>
      </c>
      <c r="CB47">
        <f t="shared" si="19"/>
        <v>3</v>
      </c>
      <c r="CC47">
        <f>IFERROR(N(VLOOKUP(BC47,Потребители_обозначение,10,FALSE)),0)</f>
        <v>0</v>
      </c>
      <c r="CD47">
        <f>IFERROR(VLOOKUP(BC47,Потребители_обозначение,5,FALSE),0)</f>
        <v>3</v>
      </c>
      <c r="CE47" s="6" cm="1">
        <f t="array" ref="CE47">IF(B47="","",IF(BH47&lt;&gt;"",IFERROR(_xlfn.XLOOKUP(BH47,Щиты[Щит],Щиты[cos φ]),0.95),IF(BP47=1,IFERROR(_xlfn.XLOOKUP(A47,Щиты[Щит],Щиты[cos φ]),0.95),IF(ISNUMBER(AD47),AD47,IFERROR(IF(CD47=2,_xlfn.IFS(BX47=3,VLOOKUP(BS47,Справочная_двигатели,8,FALSE),BX47=1,VLOOKUP(BS47,Справочная_двигатели,10,TRUE)),IF(AND(Методика="нормы 2026",FG47="Сил"),0.8,0.95)),0.95)))))</f>
        <v>0.95</v>
      </c>
      <c r="CF47">
        <f t="shared" si="20"/>
        <v>0</v>
      </c>
      <c r="CG47">
        <f t="shared" si="21"/>
        <v>1</v>
      </c>
      <c r="CH47">
        <f t="shared" si="22"/>
        <v>0</v>
      </c>
      <c r="CI47">
        <f>IF(B47="","",IF(BV47=1,IFERROR(BS47/((Uн_лин/SQRT(3))*MAX(0.5,N(CE47))),0),N(O47)))</f>
        <v>0.455802844097073</v>
      </c>
      <c r="CJ47">
        <f t="shared" si="23"/>
        <v>0</v>
      </c>
      <c r="CK47">
        <f t="shared" si="24"/>
        <v>0</v>
      </c>
      <c r="CL47">
        <f t="shared" si="25"/>
        <v>0</v>
      </c>
      <c r="CM47">
        <f t="shared" si="26"/>
        <v>0</v>
      </c>
      <c r="CN47">
        <f t="shared" si="27"/>
        <v>0</v>
      </c>
      <c r="CO47">
        <f>IF(BC47="",0,_xlfn.LET(_xlpm.v,IFERROR(_xlfn.XLOOKUP(B47,Коды_код,Коды_мА),IFERROR(_xlfn.XLOOKUP(BC47,Коды_код,Коды_мА),IFERROR(_xlfn.XLOOKUP(LEFT(BC47,2),Коды_код,Коды_мА),""))),IF(_xlpm.v="да",30,IF(ISNUMBER(_xlpm.v),_xlpm.v,0))))</f>
        <v>0</v>
      </c>
      <c r="CP47" t="str">
        <f t="shared" si="28"/>
        <v/>
      </c>
      <c r="CQ47" t="str">
        <f>_xlfn.LET(_xlpm.k,IFERROR(_xlfn.XLOOKUP(BC47,Коды_код,Коды_утечка)&amp;"",""),IF(_xlpm.k="","дифавтомат",_xlpm.k))</f>
        <v>дифавтомат</v>
      </c>
      <c r="CR47" t="str" cm="1">
        <f t="array" ref="CR47">IF(CG47=0,"",_xlfn.LET(_xlpm.sg,TRIM(_xlfn.TEXTSPLIT(DD47&amp;"",";")),_xlpm.f_,_xlfn._xlws.FILTER(_xlpm.sg,LEFT(_xlpm.sg,3)="УЗО",""),IFERROR(INDEX(_xlpm.f_,1)&amp;"","")))</f>
        <v/>
      </c>
      <c r="CS47" t="str">
        <f t="shared" si="29"/>
        <v/>
      </c>
      <c r="CT47" s="6" t="str" cm="1">
        <f t="array" ref="CT47">IF(CR47="","",_xlfn.LET(_xlpm.tk,_xlfn.TEXTSPLIT(UPPER(CR47)," ",,TRUE),_xlpm.a_,_xlfn._xlws.FILTER(_xlpm.tk,ISNUMBER(--LEFT(_xlpm.tk,1))*((ISNUMBER(SEARCH("А",_xlpm.tk))+ISNUMBER(SEARCH("A",_xlpm.tk)))&gt;0)*NOT(ISNUMBER(SEARCH("МА",_xlpm.tk)))*NOT(ISNUMBER(SEARCH("MA",_xlpm.tk))),""),IFERROR(--SUBSTITUTE(SUBSTITUTE(INDEX(_xlpm.a_,1),"А",""),"A",""),"")))</f>
        <v/>
      </c>
      <c r="CU47" t="str" cm="1">
        <f t="array" ref="CU47">IF(CR47="","",_xlfn.LET(_xlpm.tk,_xlfn.TEXTSPLIT(UPPER(CR47)," ",,TRUE),_xlpm.a_,_xlfn._xlws.FILTER(_xlpm.tk,ISNUMBER(--LEFT(_xlpm.tk,1))*((ISNUMBER(SEARCH("МА",_xlpm.tk))+ISNUMBER(SEARCH("MA",_xlpm.tk)))&gt;0),""),IFERROR(--SUBSTITUTE(SUBSTITUTE(INDEX(_xlpm.a_,1),"МА",""),"MA",""),30)))</f>
        <v/>
      </c>
      <c r="CV47" t="str">
        <f>IF(CS47="","",IFERROR(_xlfn.XLOOKUP(CS47,Линии[_n],Линии[_УЗО, мА]),30))</f>
        <v/>
      </c>
      <c r="CW47">
        <f>IF(CS47="",0,IF(ISNUMBER(SEARCH("4P",IFERROR(_xlfn.XLOOKUP(CS47,Линии[_n],Линии[_УЗО строки])&amp;"",""))),0,1))</f>
        <v>0</v>
      </c>
      <c r="CX47" t="str">
        <f>IF(AND(CS47&lt;&gt;"",CS47=BA47),SUMIFS(Линии[_ток на 230 В],Линии[_блок УЗО],BA47,Линии[Щит],A47),"")</f>
        <v/>
      </c>
      <c r="CY47" t="str">
        <f>IF(AND(CS47&lt;&gt;"",CS47=BA47),SUMIFS(Линии[_ток утечки линии, мА],Линии[_блок УЗО],BA47,Линии[Щит],A47),"")</f>
        <v/>
      </c>
      <c r="CZ47">
        <f t="shared" si="30"/>
        <v>0</v>
      </c>
      <c r="DA47">
        <f t="shared" si="31"/>
        <v>0</v>
      </c>
      <c r="DB47">
        <f>IF(B47="",0,IFERROR(--_xlfn.XLOOKUP(B47,Коды_код,Коды_минавт),IFERROR(--_xlfn.XLOOKUP(BC47,Коды_код,Коды_минавт),IFERROR(--_xlfn.XLOOKUP(LEFT(BC47,2),Коды_код,Коды_минавт),0))))</f>
        <v>10</v>
      </c>
      <c r="DC47" t="str">
        <f>IF(B47="","",IFERROR(_xlfn.XLOOKUP(BC47,Коды_код,Коды_апп)&amp;"",""))</f>
        <v/>
      </c>
      <c r="DD47" t="str">
        <f t="shared" si="32"/>
        <v/>
      </c>
      <c r="DE47" t="str" cm="1">
        <f t="array" ref="DE47">IF(TRIM(DD47&amp;"")="","",IFERROR(TRIM(INDEX(_xlfn.TEXTSPLIT(DD47&amp;";;;",";"),1)),""))</f>
        <v/>
      </c>
      <c r="DF47" t="str" cm="1">
        <f t="array" ref="DF47">IF(TRIM(DD47&amp;"")="","",IFERROR(TRIM(INDEX(_xlfn.TEXTSPLIT(DD47&amp;";;;",";"),2)),""))</f>
        <v/>
      </c>
      <c r="DG47" t="str" cm="1">
        <f t="array" ref="DG47">IF(TRIM(DD47&amp;"")="","",IFERROR(TRIM(INDEX(_xlfn.TEXTSPLIT(DD47&amp;";;;",";"),3)),""))</f>
        <v/>
      </c>
      <c r="DH47">
        <f t="shared" si="33"/>
        <v>0</v>
      </c>
      <c r="DI47" t="str">
        <f>IF(B47="","",_xlfn.LET(_xlpm.t,LOWER(AZ47&amp;""),IF(ISNUMBER(SEARCH("dim",_xlpm.t)),"DIM",IF(ISNUMBER(SEARCH("dali",_xlpm.t)),"DALI",IF(OR(ISNUMBER(SEARCH("relay",_xlpm.t)),ISNUMBER(SEARCH("реле",_xlpm.t))),"Relay",IF(ISNUMBER(SEARCH("кнопк",_xlpm.t)),"",IFERROR(_xlfn.XLOOKUP(BC47,Коды_код,Коды_упр)&amp;"","")))))))</f>
        <v/>
      </c>
      <c r="DJ47" t="str">
        <f t="shared" si="34"/>
        <v/>
      </c>
      <c r="DK47">
        <f>IF(B47="","",_xlfn.LET(_xlpm.ig,IF(N(CX47)&gt;0,N(CX47),N(CI47)+IF(AJ47="вручную",0,N(CJ47))),_xlpm.n0,IFERROR(VLOOKUP(_xlpm.ig,Автомат_номиналы,2,TRUE),0),_xlpm.mn,MAX(DB47,IF(AJ47="вручную",0,N(CM47))),MAX(_xlpm.n0,_xlpm.mn,IF(DH47=1,Мин_автомат_БП,0))))</f>
        <v>10</v>
      </c>
      <c r="DL47">
        <f t="shared" si="35"/>
        <v>1</v>
      </c>
      <c r="DM47" t="str">
        <f t="shared" si="36"/>
        <v>1P</v>
      </c>
      <c r="DN47" t="str">
        <f>_xlfn.LET(_xlpm.cc,UPPER(TRIM(IFERROR(_xlfn.XLOOKUP(BC47,Коды_код,Коды_хар)&amp;"",""))),IF(OR(_xlpm.cc="B",_xlpm.cc="В"),"B",IF(_xlpm.cc="D","D","С")))</f>
        <v>С</v>
      </c>
      <c r="DO47" t="str">
        <f t="shared" si="37"/>
        <v>1P С10А</v>
      </c>
      <c r="DP47" t="str">
        <f t="shared" si="38"/>
        <v>1P С10А</v>
      </c>
      <c r="DQ47" t="str">
        <f t="shared" si="39"/>
        <v>1P С10А</v>
      </c>
      <c r="DR47" cm="1">
        <f t="array" ref="DR47">IF(DQ47="","",_xlfn.LET(_xlpm.t,SUBSTITUTE(SUBSTITUTE(SUBSTITUTE(UPPER(DQ47),"С","C"),"А","A"),"В","B"),_xlpm.tk,_xlfn.TEXTSPLIT(_xlpm.t," "),_xlpm.f,_xlfn._xlws.FILTER(_xlpm.tk,ISNUMBER(--MID(_xlpm.tk,2,1))*ISNUMBER(SEARCH(LEFT(_xlpm.tk,1)&amp;"#","B#C#D#"))*(LEN(_xlpm.tk)&gt;1),""),_xlpm.x,INDEX(_xlpm.f,1),IFERROR(--SUBSTITUTE(MID(_xlpm.x,2,9),"A",""),IFERROR(--SUBSTITUTE(INDEX(_xlfn._xlws.FILTER(_xlpm.tk,ISNUMBER(--SUBSTITUTE(_xlpm.tk,"A","")),""),1),"A",""),""))))</f>
        <v>10</v>
      </c>
      <c r="DS47" t="str">
        <f t="shared" si="40"/>
        <v>ok</v>
      </c>
      <c r="DT47">
        <f t="shared" si="41"/>
        <v>10</v>
      </c>
      <c r="DU47" t="str">
        <f t="shared" si="42"/>
        <v>1P С10А</v>
      </c>
      <c r="DV47">
        <f t="shared" si="43"/>
        <v>0</v>
      </c>
      <c r="DW47">
        <f t="shared" si="44"/>
        <v>0</v>
      </c>
      <c r="DX47">
        <f t="shared" si="45"/>
        <v>0</v>
      </c>
      <c r="DY47">
        <f t="shared" si="46"/>
        <v>0.455802844097073</v>
      </c>
      <c r="DZ47">
        <f t="shared" si="47"/>
        <v>1</v>
      </c>
      <c r="EA47">
        <f>IF(ISNUMBER(AP47),AP47,К_прокл)</f>
        <v>1</v>
      </c>
      <c r="EB47">
        <f t="shared" si="48"/>
        <v>2</v>
      </c>
      <c r="EC47">
        <f>IFERROR(N(VLOOKUP(BZ47,Кабель_обозначение,3,FALSE)),1)</f>
        <v>1</v>
      </c>
      <c r="ED47">
        <f>IFERROR(N(_xlfn.XLOOKUP(A47,Щиты[Щит],Щиты[ΔU до шин, %])),0)</f>
        <v>0.17</v>
      </c>
      <c r="EE47" t="str">
        <f>IFERROR(_xlfn.XLOOKUP(A47,Щиты[Щит],Щиты[Zпетли на шинах, Ом]),"")</f>
        <v/>
      </c>
      <c r="EF47">
        <f>IFERROR(N(_xlfn.XLOOKUP(A47,Щиты[Щит],Щиты[ΔU до шин (подбор), %])),0)</f>
        <v>0.65</v>
      </c>
      <c r="EG47" t="str">
        <f>IFERROR(_xlfn.XLOOKUP(A47,Щиты[Щит],Щиты[Zпетли на шинах (подбор), Ом]),"")</f>
        <v/>
      </c>
      <c r="EH47" t="str">
        <f t="shared" si="49"/>
        <v/>
      </c>
      <c r="EI47">
        <f t="shared" si="50"/>
        <v>39</v>
      </c>
      <c r="EJ47">
        <f t="shared" si="51"/>
        <v>2</v>
      </c>
      <c r="EK47">
        <f t="shared" si="52"/>
        <v>0.31</v>
      </c>
      <c r="EL47" s="6">
        <f>IF(B47="","",IF(BV47=1,dU_LED,IF(IFERROR(_xlfn.XLOOKUP(BC47,Коды_код,Коды_уго),"")="Светильник",3,4)+IF(Методика="нормы 2026",MIN(0.5,MAX(0,N(P47)-100)*0.005),0)))</f>
        <v>3</v>
      </c>
      <c r="EM47" cm="1">
        <f t="array" ref="EM47">IF(OR(B47="",BZ47="",EC47&lt;&gt;1),"",_xlfn.LET(_xlpm.sz,Iдоп_S,_xlpm.t_,CHOOSE(EB47,Iдоп_1ж,Iдоп_2ж,Iдоп_3ж)*DZ47*EA47,_xlpm.dcx,BV47=1,_xlpm.inn,IF(_xlpm.dcx,N(O47),N(DT47)),_xlpm.smin,MAX(1.5,CC47),_xlpm.L_,N(P47)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47)/N(BU47)*100,999),IFERROR(N(EJ47)*(_xlpm.rho*_xlpm.L_/_xlpm.sz*N(CE47)+_xlpm.xx*_xlpm.L_*N(EK47)/1000)*N(O47)/((Uн_лин/SQRT(3))*1000)*100,999)),_xlpm.kz,IF(OR(_xlpm.dcx,DW47=1,NOT(ISNUMBER(EG47)),_xlpm.L_=0,_xlpm.inn=0),1,IFERROR(--(c_min*(Uн_лин*1000/SQRT(3))/(EG47+2*ρкз_Cu*_xlpm.L_/_xlpm.sz)&gt;=HT47*_xlpm.inn),0)),_xlpm.ok,IFERROR((_xlpm.sz&gt;=_xlpm.smin)*(_xlpm.t_&gt;=_xlpm.inn)*IF(_xlpm.L_&gt;0,(_xlpm.du_+IF(_xlpm.dcx,0,EF47)&lt;=EL47+0.00001),1)*_xlpm.kz,0),_xlpm.r_,_xlfn._xlws.FILTER(_xlpm.sz,_xlpm.ok,"не подобрано"),INDEX(_xlpm.r_,1)))</f>
        <v>1.5</v>
      </c>
      <c r="EN47">
        <f t="shared" si="53"/>
        <v>1.5</v>
      </c>
      <c r="EO47" cm="1">
        <f t="array" ref="EO47">IF(OR(B47="",BZ47="",EC47&lt;&gt;1),"",_xlfn.LET(_xlpm.sz,Iдоп_S,_xlpm.t_,CHOOSE(EB47,Iдоп_1ж,Iдоп_2ж,Iдоп_3ж)*DZ47*EA47,_xlpm.ok,IFERROR((_xlpm.sz&gt;=MAX(1.5,CC47))*(_xlpm.t_&gt;=N(DT47)),0),_xlpm.r_,_xlfn._xlws.FILTER(_xlpm.sz,_xlpm.ok,""),INDEX(_xlpm.r_,1)))</f>
        <v>1.5</v>
      </c>
      <c r="EP47" s="6" cm="1">
        <f t="array" ref="EP47">IFERROR(ROUNDUP(N(EJ47)*(_xlfn.XLOOKUP(EO47,INDEX(Кабель_сопротивление,0,1),INDEX(Кабель_сопротивление,0,3))*N(P47)/EO47*N(CE47)+_xlfn.XLOOKUP(EO47,INDEX(Кабель_сопротивление,0,1),INDEX(Кабель_сопротивление,0,2))*N(P47)*N(EK47)/1000)*N(O47)/((Uн_лин/SQRT(3))*1000)*100,2),"")</f>
        <v>0.26</v>
      </c>
      <c r="EQ47">
        <f>IFERROR(2*ρкз_Cu*N(P47)/EO47,"")</f>
        <v>1.6130666666666666</v>
      </c>
      <c r="ER47">
        <f>IFERROR(VLOOKUP(EN47,Кабель_сопротивление,3,FALSE),"")</f>
        <v>2.2499999999999999E-2</v>
      </c>
      <c r="ES47">
        <f>IFERROR(VLOOKUP(EN47,Кабель_сопротивление,2,FALSE),"")</f>
        <v>0.11</v>
      </c>
      <c r="ET47">
        <f t="shared" si="54"/>
        <v>0</v>
      </c>
      <c r="EU47">
        <f t="shared" si="55"/>
        <v>42</v>
      </c>
      <c r="EV47">
        <f t="shared" si="56"/>
        <v>0.59898747329376401</v>
      </c>
      <c r="EW47" s="6">
        <f>IFERROR(ROUNDUP(EV47/IF(BV47=1,BU47,(Uн_лин/SQRT(3))*1000)*100,2),"")</f>
        <v>0.26</v>
      </c>
      <c r="EX47" t="str">
        <f>IFERROR(VLOOKUP(BZ47,Кабель_обозначение,2,FALSE),"")</f>
        <v>ВВГнг(А)-LS</v>
      </c>
      <c r="EY47" t="str">
        <f t="shared" si="57"/>
        <v>ВВГнг(А)-LS (3х1,5)</v>
      </c>
      <c r="EZ47" t="str">
        <f t="shared" si="58"/>
        <v>ВВГнг(А)-LS (3х1,5)
L=46-0,26%</v>
      </c>
      <c r="FA47">
        <f>IFERROR(2*ρкз_Cu*P47/EN47,"")</f>
        <v>1.6130666666666666</v>
      </c>
      <c r="FB47">
        <f t="shared" si="59"/>
        <v>0.53666666666666674</v>
      </c>
      <c r="FC47" s="6" t="str">
        <f>IFERROR(IF(OR(B47="",BV47=1,NOT(ISNUMBER(EN47)),N(P47)=0),"",_xlfn.XLOOKUP(A47,Щиты[Щит],Щиты[Zпетли на шинах, Ом])+FA47),"")</f>
        <v/>
      </c>
      <c r="FD47" s="6" t="str">
        <f>IF(ISNUMBER(FC47),c_min*(Uн_лин*1000/SQRT(3))/FC47,"")</f>
        <v/>
      </c>
      <c r="FE47" s="6" t="str">
        <f>IFERROR(IF(OR(B47="",NOT(ISNUMBER(EN47))),"",1.05*(Uн_лин*1000/SQRT(3))/(_xlfn.XLOOKUP(A47,Щиты[Щит],Щиты[Zmax на шинах, Ом])+FB47)/1000),"")</f>
        <v/>
      </c>
      <c r="FF47" s="6" t="str">
        <f>IF(B47="","",IF(ISNUMBER(AC47),"Сил",IF(IFERROR(_xlfn.XLOOKUP(BC47,Коды_код,Коды_группа)&amp;"","")="","Быт",_xlfn.XLOOKUP(BC47,Коды_код,Коды_группа)&amp;"")))</f>
        <v>Быт</v>
      </c>
      <c r="FG47" s="6" t="str">
        <f t="shared" si="60"/>
        <v>Быт</v>
      </c>
      <c r="FH47" s="6">
        <f>IF(FG47="Щит","щит",IF(FG47="","",IF(FG47="Быт",IFERROR(_xlfn.XLOOKUP(A47,Щиты[Щит],Щиты[Кс быт]),1),IF(FG47="Сил",IF(ISNUMBER(AC47),AC47,IF(Методика="нормы 2026",IFERROR(_xlfn.XLOOKUP(A47,Щиты[Щит],Щиты[Кс силовых (табл. 7.5)]),1),1)),IF(OR(FG47="Пост",FG47="Отоп"),1,IF(FG47="ВНГ",0.7,0))))))</f>
        <v>0.8</v>
      </c>
      <c r="FI47">
        <f>IF(FG47="","",IF(AND(BP47=1,TRIM(AE47&amp;"")=""),IF(COUNTIFS(Линии[Щит],A47,Линии[Секция (1/2/3)],"&gt;=2")&gt;0,MIN(3,MAX(1,IFERROR(--BD47,1))),1),IFERROR(MIN(3,MAX(1,INT(--AE47))),1)))</f>
        <v>1</v>
      </c>
      <c r="FJ47">
        <f t="shared" si="61"/>
        <v>0.1</v>
      </c>
      <c r="FK47">
        <f t="shared" si="62"/>
        <v>0.1</v>
      </c>
      <c r="FL47">
        <f t="shared" si="63"/>
        <v>0</v>
      </c>
      <c r="FM47">
        <f t="shared" si="64"/>
        <v>0</v>
      </c>
      <c r="FN47">
        <f t="shared" si="65"/>
        <v>0</v>
      </c>
      <c r="FO47">
        <f t="shared" si="66"/>
        <v>0</v>
      </c>
      <c r="FP47">
        <f t="shared" si="67"/>
        <v>0.1</v>
      </c>
      <c r="FQ47">
        <f t="shared" si="68"/>
        <v>0.1</v>
      </c>
      <c r="FR47">
        <f t="shared" si="69"/>
        <v>9.5000000000000001E-2</v>
      </c>
      <c r="FS47">
        <f>IF(CG47=1,IF(AND(CH47=1,CW47=1),0,IF(AND(CS47&lt;&gt;"",CS47=BA47,CW47=1),SUMIFS(Линии[_Р линии, кВт],Линии[_блок УЗО],BA47,Линии[Щит],A47),N(BS47)+IF(AJ47="вручную",0,N(CK47)))),0)</f>
        <v>0.1</v>
      </c>
      <c r="FT47" t="str">
        <f t="shared" si="70"/>
        <v/>
      </c>
      <c r="FU47" t="str">
        <f>IF(B47="","",IF(CG47=0,IF(BA47=1,"",FW46),IF(AND(CH47=1,CW47=1,CS47&lt;&gt;""),IFERROR(_xlfn.XLOOKUP(CS47,Линии[_n],Линии[_фаза итог]),"L1"),IF(OR(N(DL47)&gt;=3,N(BX47)&gt;=3),"L1,L2,L3",IFERROR(_xlfn.TEXTBEFORE(_xlfn.TEXTAFTER(_xlfn.XLOOKUP(A47,Щиты[Щит],Щиты[_фазы авто]),";"&amp;BA47&amp;":"),";"),"L1")))))</f>
        <v>L1</v>
      </c>
      <c r="FV47" t="str">
        <f t="shared" si="71"/>
        <v>L1</v>
      </c>
      <c r="FW47" t="str">
        <f t="shared" si="72"/>
        <v>L1</v>
      </c>
      <c r="FX47" cm="1">
        <f t="array" ref="FX47">IFERROR(IF(CD47=2,_xlfn.IFS(BX47=3,VLOOKUP(BS47,Справочная_двигатели,3,FALSE),BX47=1,VLOOKUP(BS47,Справочная_двигатели,5,TRUE)),0),0)</f>
        <v>0</v>
      </c>
      <c r="FY47">
        <f>IFERROR(IF(CD47=3,VLOOKUP(BS47,Справочная_ЛЭД,2,TRUE),0),0)</f>
        <v>50</v>
      </c>
      <c r="FZ47" s="6">
        <f t="shared" si="73"/>
        <v>50</v>
      </c>
      <c r="GA47" t="str">
        <f>IF(B47="","",IF(TRIM(AH47&amp;"")&lt;&gt;"",IF(LOWER(TRIM(AH47&amp;""))="да","да","нет"),IF(IFERROR(_xlfn.XLOOKUP(BC47,Коды_код,Коды_пожарная),"")="да","да","нет")))</f>
        <v>нет</v>
      </c>
      <c r="GB47" t="str">
        <f t="shared" si="74"/>
        <v/>
      </c>
      <c r="GC47" t="str">
        <f t="shared" si="75"/>
        <v>основная</v>
      </c>
      <c r="GD47">
        <f>IF(AND(BP47=1,TRIM(AE47&amp;"")=""),IF(COUNTIFS(Линии[Щит],A47,Линии[Секция (1/2/3)],"&gt;=2")&gt;0,MIN(3,MAX(1,IFERROR(--BD47,1))),1),IFERROR(MIN(3,MAX(1,INT(--AE47))),1))</f>
        <v>1</v>
      </c>
      <c r="GE47" t="str" cm="1">
        <f t="array" ref="GE47">IF(B47="","",_xlfn.LET(_xlpm.t,IFERROR(_xlfn.XLOOKUP(1,(Шины[Шина]=GC47)*(((Шины[Щит]=A47)+(Шины[Щит]=""))&gt;0),Шины[Тип]),"")&amp;"",IF(_xlpm.t&lt;&gt;"",_xlpm.t,IF(ISNUMBER(SEARCH("ИБП",GC47)),"ИБП",IF(ISNUMBER(SEARCH("ДГУ",GC47)),"ДГУ","Ввод "&amp;GD47)))))</f>
        <v>Ввод 1</v>
      </c>
      <c r="GF47" t="str">
        <f t="shared" si="76"/>
        <v>Ввод 1</v>
      </c>
      <c r="GG47" t="str">
        <f>IF(BP47=0,"",IF(TRIM(AG47&amp;"")&lt;&gt;"",TRIM(AG47&amp;""),IF(OR(GE47="ИБП",GE47="ДГУ"),"I особая",_xlfn.XLOOKUP(A47,Щиты[Щит],Щиты[Категория шины «Ввод»],"III"))))</f>
        <v/>
      </c>
      <c r="GH47" t="str">
        <f>IF(A47="","",_xlfn.XLOOKUP(A47,Щиты[Щит],Щиты[Путь],""))</f>
        <v>|ГРЩ-ЖД|ЩГП|ЩО-001|</v>
      </c>
      <c r="GI47" t="str">
        <f>IF(B47="","",IF(AI47&lt;&gt;"",AI47,IF(IFERROR(_xlfn.XLOOKUP(BC47,Коды_код,Коды_вид)&amp;"","")="","Прочее",_xlfn.XLOOKUP(BC47,Коды_код,Коды_вид)&amp;"")))</f>
        <v>Рабочее освещение</v>
      </c>
      <c r="GJ47" t="str">
        <f>IF(BM47="","",INT((BM47-1)/Столбцов_на_лист)+1)</f>
        <v/>
      </c>
      <c r="GK47" t="str">
        <f t="shared" si="77"/>
        <v>ВВГнг(А)-LS (3х1,5) L=46-0,26%</v>
      </c>
      <c r="GL47">
        <f t="shared" si="78"/>
        <v>0.1</v>
      </c>
      <c r="GM47">
        <f t="shared" si="79"/>
        <v>0.46</v>
      </c>
      <c r="GN47">
        <f t="shared" si="80"/>
        <v>1</v>
      </c>
      <c r="GO47">
        <f t="shared" si="81"/>
        <v>0</v>
      </c>
      <c r="GP47">
        <f t="shared" si="82"/>
        <v>0</v>
      </c>
      <c r="GQ47" t="str">
        <f>IF(BM47="","",IF(AND(CG47=1,GP47=1),COUNTIFS(A$3:A47,A47,CG$3:CG47,1,GP$3:GP47,1),IF(OR(OR(BA47=1,A47&lt;&gt;A46),AJ47="вручную",GP47=0),"",IF(BA47=1,"",GR46))))</f>
        <v/>
      </c>
      <c r="GR47" t="str">
        <f t="shared" si="83"/>
        <v/>
      </c>
      <c r="GS47">
        <f>IF(B47="","",IFERROR(LOOKUP(INDEX(CHOOSE(EB47,Iдоп_1ж,Iдоп_2ж,Iдоп_3ж),MATCH(EN47,Iдоп_S,0))*DZ47*EA47,{6,10,16,20,25,32,40,50,63,80,100,125,160,200,250,315,400,500,630}),""))</f>
        <v>16</v>
      </c>
      <c r="GT47" t="str">
        <f t="shared" si="84"/>
        <v/>
      </c>
      <c r="GU47" t="str">
        <f t="shared" si="85"/>
        <v/>
      </c>
      <c r="GV47" t="str">
        <f t="shared" si="86"/>
        <v/>
      </c>
      <c r="GW47">
        <f t="shared" si="87"/>
        <v>0</v>
      </c>
      <c r="GX47" t="str">
        <f>IF(OR(B47="",DJ47=""),"",IFERROR(_xlfn.XLOOKUP(DJ47,Модули_умолч[Управление],Модули_умолч[Модель])&amp;"",""))</f>
        <v/>
      </c>
      <c r="GY47">
        <f>IF(DJ47="",1,IFERROR(MAX(0,N(_xlfn.XLOOKUP(DJ47,Модули_умолч[Управление],Модули_умолч[Каналов на линию]))),1))</f>
        <v>1</v>
      </c>
      <c r="GZ47" t="str">
        <f t="shared" si="88"/>
        <v/>
      </c>
      <c r="HA47" t="str">
        <f t="shared" si="89"/>
        <v/>
      </c>
      <c r="HB47" t="str">
        <f t="shared" si="90"/>
        <v/>
      </c>
      <c r="HC47">
        <f>IF(HB47="",0,IFERROR(N(VLOOKUP(HB47,Модули_спр,3,FALSE)),0))</f>
        <v>0</v>
      </c>
      <c r="HD47" t="str">
        <f t="shared" si="91"/>
        <v/>
      </c>
      <c r="HE47" t="str">
        <f t="shared" si="92"/>
        <v/>
      </c>
      <c r="HF47" t="str">
        <f>IF(OR(HE47="",HE47="-"),"",IFERROR(VLOOKUP(HE47,Модули_спр,2,FALSE),"R"))</f>
        <v/>
      </c>
      <c r="HG47" t="str">
        <f>IF(HF47="","",HF47&amp;"."&amp;COUNTIFS(A$3:A47,A47,HF$3:HF47,HF47))</f>
        <v/>
      </c>
      <c r="HH47" t="str">
        <f t="shared" si="93"/>
        <v/>
      </c>
      <c r="HI47" t="str">
        <f t="shared" si="94"/>
        <v/>
      </c>
      <c r="HJ47" t="str">
        <f t="shared" si="95"/>
        <v/>
      </c>
      <c r="HK47" t="str">
        <f t="shared" si="96"/>
        <v/>
      </c>
      <c r="HL47">
        <f t="shared" si="97"/>
        <v>1</v>
      </c>
      <c r="HM47" t="str">
        <f>IF(HL47=1,"XT"&amp;COUNTIFS(A$3:A47,A47,HL$3:HL47,1),"")</f>
        <v>XT16</v>
      </c>
      <c r="HN47" t="str">
        <f t="shared" si="98"/>
        <v>XT16</v>
      </c>
      <c r="HO47" t="str">
        <f t="shared" si="99"/>
        <v/>
      </c>
      <c r="HP47" t="str">
        <f t="shared" si="100"/>
        <v/>
      </c>
      <c r="HQ47" t="str">
        <f t="shared" si="101"/>
        <v>ok</v>
      </c>
      <c r="HR47" t="str">
        <f>IF(OR(HJ47="",HH47=""),"",IF(HJ47+MAX(0,GY47-1)&gt;IFERROR(VLOOKUP(HI47,Модули_спр,3,FALSE),99),"ЛИШНИЙ КАНАЛ",IF(AND(AL47&lt;&gt;"=",GY47&gt;0,COUNTIFS(Линии[_модуль гр.],HH47,Линии[Канал (итог)],HJ47,Линии[Канал],"&lt;&gt;=",Линии[Щит],A47)&gt;1),"ДУБЛЬ КАНАЛА","")))</f>
        <v/>
      </c>
      <c r="HS47" s="6" t="str">
        <f t="shared" si="102"/>
        <v/>
      </c>
      <c r="HT47">
        <f t="shared" si="103"/>
        <v>10</v>
      </c>
      <c r="HU47" t="str">
        <f t="shared" si="104"/>
        <v/>
      </c>
      <c r="HV47">
        <f t="shared" si="105"/>
        <v>0.64232113763882925</v>
      </c>
      <c r="HW47">
        <f t="shared" si="106"/>
        <v>0</v>
      </c>
      <c r="HX47">
        <f t="shared" si="107"/>
        <v>0</v>
      </c>
      <c r="HY47">
        <f t="shared" si="108"/>
        <v>0</v>
      </c>
      <c r="HZ47">
        <f t="shared" si="109"/>
        <v>0</v>
      </c>
      <c r="IA47">
        <f t="shared" si="110"/>
        <v>0</v>
      </c>
      <c r="IB47">
        <f t="shared" si="111"/>
        <v>0</v>
      </c>
      <c r="IC47" t="str">
        <f t="shared" si="112"/>
        <v/>
      </c>
      <c r="ID47" t="str" cm="1">
        <f t="array" ref="ID47">IF(IC47="","",_xlfn.LET(_xlpm.tk,_xlfn.TEXTSPLIT(SUBSTITUTE(SUBSTITUTE(IC47,";"," "),"→"," ")," ",,TRUE),_xlpm.w_,_xlfn._xlws.FILTER(_xlpm.tk,ISNUMBER(--LEFT(_xlpm.tk,1))*((ISNUMBER(SEARCH("W",_xlpm.tk))+ISNUMBER(SEARCH("Вт",_xlpm.tk)))&gt;0),""),IFERROR(--SUBSTITUTE(SUBSTITUTE(UPPER(INDEX(_xlpm.w_,1)),"W",""),"ВТ",""),"")))</f>
        <v/>
      </c>
      <c r="IE47" t="str" cm="1">
        <f t="array" ref="IE47">IF(IC47="","",_xlfn.LET(_xlpm.tk,_xlfn.TEXTSPLIT(SUBSTITUTE(SUBSTITUTE(IC47,";"," "),"→"," ")," ",,TRUE),_xlpm.v_,_xlfn._xlws.FILTER(_xlpm.tk,ISNUMBER(--LEFT(_xlpm.tk,1))*((ISNUMBER(SEARCH("V",_xlpm.tk))+(RIGHT(UPPER(_xlpm.tk))="В"))&gt;0),""),IFERROR(--SUBSTITUTE(SUBSTITUTE(UPPER(INDEX(_xlpm.v_,1)),"V",""),"В",""),"")))</f>
        <v/>
      </c>
      <c r="IF47" s="6" t="str">
        <f>IF(OR(BV47=0,HI47="",HJ47=""),"",IFERROR(N(_xlfn.XLOOKUP(HI47,Каталог!$C$4:$C$500,Каталог!$Q$4:$Q$500)),""))</f>
        <v/>
      </c>
      <c r="IG47" s="6" t="str">
        <f>IF(N(IF47)=0,"",SUMIFS(Линии[Iр, А],Линии[Щит],A47,Линии[_модуль гр.],HH47,Линии[Канал (итог)],HJ47))</f>
        <v/>
      </c>
      <c r="IH47" t="str">
        <f>IF(AND(B47="",HO47=""),"",_xlfn.TEXTJOIN("; ",TRUE,IF(AND(B47&lt;&gt;"",FV47=""),"нет фазы",""),IF(AND(B47&lt;&gt;"",N(GL47)=0,FG47&lt;&gt;"Нет"),"нет мощности",""),IF(AND(HN47&lt;&gt;"",COUNTIFS(Линии[Щит],A47,Линии[Клемма (итог)],HN47)&gt;1),"дубль клеммы "&amp;HN47,""),IF(AND(HQ47&lt;&gt;"",HQ47&lt;&gt;"ok"),HQ47,""),IF(HR47&lt;&gt;"",HR47,""),IF(AND(N(CB47)&gt;=4,N(BX47)=1),CB47&amp;" жил на 1 фазе",""),IF(AND(BC47="R",CG47=1,IF(CS47&lt;&gt;"",N(CV47)&gt;30,OR(N(DA47)=0,N(DA47)&gt;30))),"розетка без дифзащиты до 30 мА",""),IF(AND(CG47=1,N(DA47)&gt;0,ISNUMBER(T47)),IF(T47&gt;N(DA47)/3,"ток утечки "&amp;FIXED(T47,1)&amp;" мА &gt; 1/3 уставки ("&amp;DA47&amp;" мА)",""),""),IF(AND(CH47=1,CS47=""),"«узо»: нет строки с УЗО выше (УЗО 2P 40А 30мА в «Аппаратах»)",""),IF(AND(CS47&lt;&gt;"",CS47=BA47),IF(CT47="","впишите номинал УЗО (УЗО 2P 40А 30мА)",IF(N(CT47)&lt;N(DT47),"УЗО "&amp;CT47&amp;" А &lt; автомата "&amp;DT47&amp;" А перед ним",IF(N(CT47)&lt;N(CX47),"УЗО "&amp;CT47&amp;" А &lt; тока блока "&amp;FIXED(CX47,1)&amp;" А",""))),""),IF(AND(CS47&lt;&gt;"",CS47=BA47,ISNUMBER(CY47)),IF(CY47&gt;N(CV47)/3,"ток утечки блока УЗО "&amp;FIXED(CY47,1)&amp;" мА &gt; 1/3 уставки ("&amp;CV47&amp;" мА)",""),""),IF(AND(CG47=1,N(BV47)+N(IB47)&gt;0,IC47=""),"линии до 50 В без БП: впишите в «Аппараты» (БП 24V 480W)",""),IF(AND(CG47=1,ISNUMBER(ID47),ISNUMBER(U47)),IF(U47&gt;ID47,"БП "&amp;ID47&amp;" Вт &lt; нужно "&amp;U47&amp;" Вт (×"&amp;Запас_БП&amp;")",""),""),IF(AND(CG47=1,ISNUMBER(IE47),N(BV47)=1),IF(IE47&lt;&gt;N(BU47),"БП на "&amp;IE47&amp;" В, линия "&amp;BU47&amp;" В",""),""),IF(AND(N(IF47)&gt;0,N(IG47)&gt;N(IF47)),HH47&amp;" канал "&amp;HJ47&amp;": "&amp;FIXED(IG47,1)&amp;" А &gt; "&amp;IF47&amp;" А",""),IFERROR(IF(AND(ISNUMBER(Q47),Q47&gt;EL47),"потери "&amp;FIXED(Q47,1)&amp;" % &gt; "&amp;EL47&amp;" %",""),""),IFERROR(IF(LEFT(HU47,4)="мало","Iкз мало — отключение &gt; 0,4 с",""),""),IF(AND(B47&lt;&gt;"",BM47=""),"не на схеме",""),IF(AND(CG47=0,B47&lt;&gt;"",FV47&lt;&gt;"",IF(BA47=1,"",FW46)&lt;&gt;"",FV47&lt;&gt;IF(BA47=1,"",FW46)),"фаза не как у автомата группы ("&amp;IF(BA47=1,"",FW46)&amp;")","")))</f>
        <v>не на схеме</v>
      </c>
      <c r="II47" s="6">
        <f>IF(OR(CG47=0,DQ47=""),"",_xlfn.LET(_xlpm.t,IFERROR(_xlfn.XLOOKUP(DQ47,Каталог!$U$4:$U$500,Каталог!$G$4:$G$500),""),_xlpm.k,SEARCH("кА",_xlpm.t),IFERROR(--TRIM(RIGHT(SUBSTITUTE(MID(_xlpm.t,MAX(1,_xlpm.k-4),_xlpm.k-MAX(1,_xlpm.k-4))," ",REPT(" ",9)),5)),"")))</f>
        <v>6</v>
      </c>
      <c r="IJ47" t="str">
        <f>IF(OR(II47="",CG47=0),"",IF(_xlfn.XLOOKUP(A47,Щиты[Щит],Щиты[Iкз max на шинах, кА],"")="","",IF(II47&lt;_xlfn.XLOOKUP(A47,Щиты[Щит],Щиты[Iкз max на шинах, кА]),"Icu "&amp;II47&amp;" кА &lt; Iкз max","ok")))</f>
        <v/>
      </c>
      <c r="IK47" t="str">
        <f t="shared" si="113"/>
        <v/>
      </c>
      <c r="IL47" t="str">
        <f t="shared" si="114"/>
        <v/>
      </c>
      <c r="IM47" t="str">
        <f t="shared" si="115"/>
        <v/>
      </c>
      <c r="IN47" t="str" cm="1">
        <f t="array" ref="IN47">IF(IM47="","",_xlfn.LET(_xlpm.nd,_xlfn.TEXTSPLIT(IM47,"|"),IF(COLUMNS(_xlpm.nd)&gt;1,A47&amp;"¦"&amp;INDEX(_xlpm.nd,1)&amp;"¦"&amp;INDEX(_xlpm.nd,2),"")))</f>
        <v/>
      </c>
      <c r="IO47" t="str">
        <f t="shared" si="116"/>
        <v/>
      </c>
      <c r="IP47" t="str" cm="1">
        <f t="array" ref="IP47">IF(IM47="","",_xlfn.LET(_xlpm.nd,_xlfn.TEXTSPLIT(IM47,"|"),IF(COLUMNS(_xlpm.nd)&gt;2,A47&amp;"¦"&amp;INDEX(_xlpm.nd,2)&amp;"¦"&amp;INDEX(_xlpm.nd,3),"")))</f>
        <v/>
      </c>
      <c r="IQ47" t="str">
        <f t="shared" si="117"/>
        <v/>
      </c>
      <c r="IR47" t="str" cm="1">
        <f t="array" ref="IR47">IF(IM47="","",_xlfn.LET(_xlpm.nd,_xlfn.TEXTSPLIT(IM47,"|"),IF(COLUMNS(_xlpm.nd)&gt;3,A47&amp;"¦"&amp;INDEX(_xlpm.nd,3)&amp;"¦"&amp;INDEX(_xlpm.nd,4),"")))</f>
        <v/>
      </c>
      <c r="IS47" t="str">
        <f t="shared" si="118"/>
        <v/>
      </c>
      <c r="IT47" t="str" cm="1">
        <f t="array" ref="IT47">IF(IM47="","",_xlfn.LET(_xlpm.nd,_xlfn.TEXTSPLIT(IM47,"|"),IF(COLUMNS(_xlpm.nd)&gt;4,A47&amp;"¦"&amp;INDEX(_xlpm.nd,4)&amp;"¦"&amp;INDEX(_xlpm.nd,5),"")))</f>
        <v/>
      </c>
      <c r="IU47" t="str">
        <f t="shared" si="119"/>
        <v/>
      </c>
      <c r="IV47" t="str" cm="1">
        <f t="array" ref="IV47">IF(IM47="","",_xlfn.LET(_xlpm.nd,_xlfn.TEXTSPLIT(IM47,"|"),IF(COLUMNS(_xlpm.nd)&gt;5,A47&amp;"¦"&amp;INDEX(_xlpm.nd,5)&amp;"¦"&amp;INDEX(_xlpm.nd,6),"")))</f>
        <v/>
      </c>
      <c r="IW47" t="str">
        <f t="shared" si="120"/>
        <v/>
      </c>
      <c r="IX47" t="str" cm="1">
        <f t="array" ref="IX47">IF(IM47="","",_xlfn.LET(_xlpm.nd,_xlfn.TEXTSPLIT(IM47,"|"),IF(COLUMNS(_xlpm.nd)&gt;6,A47&amp;"¦"&amp;INDEX(_xlpm.nd,6)&amp;"¦"&amp;INDEX(_xlpm.nd,7),"")))</f>
        <v/>
      </c>
      <c r="IY47" t="str">
        <f t="shared" si="121"/>
        <v/>
      </c>
      <c r="IZ47" t="str">
        <f t="shared" si="122"/>
        <v/>
      </c>
      <c r="JA47" t="str">
        <f t="shared" si="123"/>
        <v>XT16</v>
      </c>
      <c r="JB47">
        <f t="shared" si="124"/>
        <v>0</v>
      </c>
      <c r="JC47">
        <f t="shared" si="125"/>
        <v>0</v>
      </c>
      <c r="JD47" t="str">
        <f t="shared" si="126"/>
        <v/>
      </c>
      <c r="JE47" t="str">
        <f t="shared" si="127"/>
        <v/>
      </c>
      <c r="JF47" t="str">
        <f t="shared" si="128"/>
        <v/>
      </c>
      <c r="JG47" t="str">
        <f t="shared" si="129"/>
        <v/>
      </c>
      <c r="JH47" t="str">
        <f>IF(B47="","",IFERROR(_xlfn.XLOOKUP(B47,Коды_код,Коды_уго),IFERROR(_xlfn.XLOOKUP(BC47,Коды_код,Коды_уго),IFERROR(_xlfn.XLOOKUP(LEFT(BC47,2),Коды_код,Коды_уго),""))))</f>
        <v>Светильник</v>
      </c>
      <c r="JI47" t="str">
        <f>IF(B47="","",IF(OR(JH47="",JH47=0),"BOX",IFERROR(IF(VLOOKUP(JH47,УГО_блоки,3,FALSE)&amp;""&lt;&gt;"",VLOOKUP(JH47,УГО_блоки,3,FALSE),VLOOKUP(JH47,УГО_блоки,2,FALSE)),JH47)))</f>
        <v>LAMP</v>
      </c>
      <c r="JJ47">
        <f t="shared" si="130"/>
        <v>1</v>
      </c>
      <c r="JK47" t="str">
        <f>IF(DQ47="","",IF(COUNTIF(DQ$3:DQ47,DQ47)=1,MAX(JK$2:JK46)+1,""))</f>
        <v/>
      </c>
      <c r="JL47" t="str">
        <f>IF(DE47="","",IF(COUNTIF(DE$3:DE47,DE47)+COUNTIF(DF$2:DF46,DE47)+COUNTIF(DG$2:DG46,DE47)=1,MAX(JL$2:JN46)+1,""))</f>
        <v/>
      </c>
      <c r="JM47" t="str">
        <f>IF(DF47="","",IF(COUNTIF(DE$3:DE47,DF47)+COUNTIF(DF$3:DF47,DF47)+COUNTIF(DG$2:DG46,DF47)=1,MAX(JL$2:JN46,JL47)+1,""))</f>
        <v/>
      </c>
      <c r="JN47" t="str">
        <f>IF(DG47="","",IF(COUNTIF(DE$3:DE47,DG47)+COUNTIF(DF$3:DF47,DG47)+COUNTIF(DG$3:DG47,DG47)=1,MAX(JL$2:JN46,JL47,JM47)+1,""))</f>
        <v/>
      </c>
      <c r="JO47" t="str">
        <f t="shared" si="131"/>
        <v>3х1,5</v>
      </c>
      <c r="JP47" t="str">
        <f>IF(JO47="","",IF(COUNTIF(JO$3:JO47,JO47)=1,MAX(JP$2:JP46)+1,""))</f>
        <v/>
      </c>
      <c r="JQ47" t="str">
        <f>IF(HG47="","",COUNTIF(HG$3:HG47,"?*"))</f>
        <v/>
      </c>
      <c r="JR47" t="str">
        <f>IF(OR(HG47="",HI47=""),"",IF(COUNTIFS(HG$3:HG47,"?*",HI$3:HI47,HI47)=1,MAX(JR$2:JR46)+1,""))</f>
        <v/>
      </c>
      <c r="JS47">
        <f t="shared" si="132"/>
        <v>1</v>
      </c>
      <c r="JT47">
        <f>IF(B47="","",COUNTIF(B$3:B47,"?*"))</f>
        <v>45</v>
      </c>
      <c r="JU47">
        <f>IF(HL47&lt;&gt;1,0,_xlfn.LET(_xlpm.k,MAX(IFERROR(--_xlfn.XLOOKUP(B47,Коды_код,Коды_3L),0),IFERROR(--_xlfn.XLOOKUP(BC47,Коды_код,Коды_3L),0),IFERROR(--_xlfn.XLOOKUP(LEFT(BC47,2),Коды_код,Коды_3L),0)),IF(_xlpm.k&gt;0,_xlpm.k,IF(IFERROR(--LEFT(SUBSTITUTE(JO47,"x","х"),FIND("х",SUBSTITUTE(JO47,"x","х"))-1),3)&gt;3,Каталог!$S$9,1))))</f>
        <v>1</v>
      </c>
      <c r="JV47">
        <f t="shared" si="133"/>
        <v>0</v>
      </c>
      <c r="JW47" t="str">
        <f t="shared" si="134"/>
        <v>авто</v>
      </c>
      <c r="JX47" t="str">
        <f t="shared" si="135"/>
        <v/>
      </c>
      <c r="JY47">
        <f t="shared" si="136"/>
        <v>0</v>
      </c>
      <c r="JZ47">
        <f t="shared" si="137"/>
        <v>1</v>
      </c>
    </row>
    <row r="48" spans="1:286" x14ac:dyDescent="0.3">
      <c r="A48" t="s">
        <v>1109</v>
      </c>
      <c r="B48" t="s">
        <v>1362</v>
      </c>
      <c r="C48" t="str">
        <f>Линии[[#This Row],[_авто наименование]]</f>
        <v>Осветительная группа, пом. 008T</v>
      </c>
      <c r="D48">
        <v>3</v>
      </c>
      <c r="E48">
        <v>0.1</v>
      </c>
      <c r="G48" t="str">
        <f>Линии[[#This Row],[_авто автомат]]</f>
        <v>1P С10А</v>
      </c>
      <c r="H48" t="str">
        <f>Линии[[#This Row],[_авто управление]]</f>
        <v/>
      </c>
      <c r="I48" t="str">
        <f>Линии[[#This Row],[_авто аппараты]]</f>
        <v/>
      </c>
      <c r="J48">
        <v>1.5</v>
      </c>
      <c r="K48">
        <v>58</v>
      </c>
      <c r="L48" t="str">
        <f>Линии[[#This Row],[_авто фаза]]</f>
        <v>L2</v>
      </c>
      <c r="M48" t="str">
        <f>Линии[[#This Row],[_авто клемма]]</f>
        <v>XT17</v>
      </c>
      <c r="N48" t="str">
        <f t="shared" si="0"/>
        <v>не на схеме</v>
      </c>
      <c r="O48" s="6" cm="1">
        <f t="array" ref="O48">IF(B48="","",IF(BH48&lt;&gt;"",IFERROR(_xlfn.XLOOKUP(BH48,Щиты[Щит],Щиты[Iр, А]),""),IF(BP48=1,IF(OR(N(_xlfn.XLOOKUP(A48,Щиты[Щит],Щиты[Вводов],1))&lt;=1,LOWER(TRIM(_xlfn.XLOOKUP(A48,Щиты[Щит],Щиты[АВР],"")&amp;""))="да"),IFERROR(_xlfn.XLOOKUP(A48,Щиты[Щит],Щиты[Iр, А]),""),IFERROR(N(BS48)*_xlfn.XLOOKUP(A48,Щиты[Щит],Щиты[Кс итог])/(SQRT(3)*Uн_лин*_xlfn.XLOOKUP(A48,Щиты[Щит],Щиты[cos φ])),"")),IF(BV48=1,IFERROR(BS48*1000/BU48,""),IFERROR(_xlfn.IFS(BX48=1,BS48/((Uн_лин/SQRT(3))*CE48),BX48=3,BS48/(SQRT(3)*Uн_лин*CE48)),"")))))</f>
        <v>0.455802844097073</v>
      </c>
      <c r="P48" s="7">
        <f>IF(B48="","",IFERROR(IF(VLOOKUP(BC48,Потребители_обозначение,4,FALSE)=1,VLOOKUP(BC48,Потребители_обозначение,3,FALSE)*(MAX(1,N(D48))*2-1)+EI48+VLOOKUP(BE48,Этаж_обозначение,3,FALSE)+VLOOKUP(BE48,Этаж_обозначение,4,FALSE),VLOOKUP(BC48,Потребители_обозначение,3,FALSE)*(MAX(1,N(D48))*2-1)+EI48),EI48))</f>
        <v>63</v>
      </c>
      <c r="Q48" s="6">
        <f t="shared" si="1"/>
        <v>0.53</v>
      </c>
      <c r="R48" t="str">
        <f t="shared" si="2"/>
        <v>ВВГнг(А)-LS (3х1,5)</v>
      </c>
      <c r="S48" t="str">
        <f>IF(BM48="","",IF(BN48="вводной узел","узел ","")&amp;"л."&amp;(INT((BM48-1)/Столбцов_на_лист)+1)&amp;" / "&amp;(MOD(BM48-1,Столбцов_на_лист)+1))</f>
        <v/>
      </c>
      <c r="T48" s="119">
        <f t="shared" si="3"/>
        <v>0.8</v>
      </c>
      <c r="U48" s="7" t="str">
        <f>IF(OR(CG48=0,N(BV48)+N(IB48)=0),"",ROUNDUP(Запас_БП*(N(HY48)+N(HZ48)),0))</f>
        <v/>
      </c>
      <c r="V48" s="119" t="str">
        <f t="shared" si="4"/>
        <v/>
      </c>
      <c r="W48" s="7" t="str">
        <f>IFERROR(IF(OR(B48="",BP48=1,BV48=1,NOT(ISNUMBER(EN48)),N(DT48)=0),"",MAX(0,ROUNDDOWN((c_min*(Uн_лин*1000/SQRT(3))/(HT48*N(DT48))-_xlfn.XLOOKUP(A48,Щиты[Щит],Щиты[Zпетли на шинах, Ом]))*EN48/(2*ρкз_Cu),0))),"")</f>
        <v/>
      </c>
      <c r="Y48" t="str">
        <f>Линии[[#This Row],[_авто утечка]]</f>
        <v/>
      </c>
      <c r="Z48">
        <v>1</v>
      </c>
      <c r="AA48">
        <v>230</v>
      </c>
      <c r="AB48" t="s">
        <v>562</v>
      </c>
      <c r="AI48" t="s">
        <v>555</v>
      </c>
      <c r="AK48" t="str">
        <f>Линии[[#This Row],[_авто модуль]]</f>
        <v/>
      </c>
      <c r="AM48" t="s">
        <v>527</v>
      </c>
      <c r="AN48" t="s">
        <v>11</v>
      </c>
      <c r="AO48">
        <v>3</v>
      </c>
      <c r="AQ48">
        <v>14</v>
      </c>
      <c r="AR48">
        <v>0</v>
      </c>
      <c r="AS48">
        <v>69</v>
      </c>
      <c r="BA48" cm="1">
        <f t="array" ref="BA48">ROW()-ROW(Линии[#Headers])</f>
        <v>46</v>
      </c>
      <c r="BC48" s="6" t="str">
        <f t="shared" si="5"/>
        <v>L</v>
      </c>
      <c r="BD48" t="str">
        <f t="shared" si="6"/>
        <v>00.008T.1</v>
      </c>
      <c r="BE48" t="str">
        <f t="shared" si="7"/>
        <v>00</v>
      </c>
      <c r="BF48" t="str">
        <f t="shared" si="8"/>
        <v>008T.1</v>
      </c>
      <c r="BG48" t="str">
        <f t="shared" si="9"/>
        <v>008T</v>
      </c>
      <c r="BH48" t="str">
        <f>IF(X48&lt;&gt;"",X48,IF(AND(B48&lt;&gt;"",B48&lt;&gt;A48,ISNUMBER(_xlfn.XMATCH(B48,Щиты[Щит]))),B48,""))</f>
        <v/>
      </c>
      <c r="BI48" t="str" cm="1">
        <f t="array" ref="BI48">IF(B48="","",IF(BH48&lt;&gt;"","Щит "&amp;BH48,_xlfn.LET(_xlpm.nm,IFERROR(_xlfn.XLOOKUP(BC48,Коды_код,Коды_имя)&amp;"",""),_xlpm.md,IFERROR(N(_xlfn.XLOOKUP(BC48,Коды_код,Коды_режим)),1),_xlpm.ex,IF(Имя_режим="по экспликации",IFERROR(_xlfn.XLOOKUP(BE48&amp;"|"&amp;BG48,Экспликация[Этаж]&amp;"|"&amp;Экспликация[Помещение],Экспликация[Название])&amp;"",""),""),_xlpm.rm,IF(BG48="","",IF(_xlpm.ex&lt;&gt;"",". "&amp;_xlpm.ex&amp;IF(Имя_пом="нет"," ("&amp;BG48&amp;")"," (пом. "&amp;BG48&amp;")"),IF(Имя_пом="нет"," ",", пом. ")&amp;BG48)),IF(_xlpm.nm="","",IF(_xlpm.md=2,_xlpm.nm&amp;" шлейф "&amp;BE48,_xlpm.nm&amp;_xlpm.rm)))))</f>
        <v>Осветительная группа, пом. 008T</v>
      </c>
      <c r="BJ48" t="str">
        <f t="shared" si="10"/>
        <v>Осветительная группа, пом. 008T</v>
      </c>
      <c r="BK48">
        <f>IFERROR(_xlfn.XMATCH(A48,Щиты[Щит]),0)</f>
        <v>3</v>
      </c>
      <c r="BL48">
        <f>_xlfn.LET(_xlpm.k,IFERROR(_xlfn.XLOOKUP(A48,Щиты[Щит],Щиты[Мест под вводной узел]),""),IF(_xlpm.k="",Столбцов_на_лист,N(_xlpm.k)))</f>
        <v>17</v>
      </c>
      <c r="BM48" t="str">
        <f t="shared" si="11"/>
        <v/>
      </c>
      <c r="BN48" t="str">
        <f t="shared" si="12"/>
        <v/>
      </c>
      <c r="BO48" s="6">
        <f>IFERROR(N(_xlfn.XLOOKUP(BC48,Коды_код,Коды_квт)),0)</f>
        <v>0</v>
      </c>
      <c r="BP48">
        <f t="shared" si="13"/>
        <v>0</v>
      </c>
      <c r="BQ48" t="str">
        <f>IF(B48="","",IF(BH48&lt;&gt;"",IFERROR(_xlfn.XLOOKUP(BH48,Щиты[Щит],Щиты[Руст, кВт]),0),IF(BP48=1,IF(OR(N(_xlfn.XLOOKUP(A48,Щиты[Щит],Щиты[Вводов],1))&lt;=1,LOWER(TRIM(_xlfn.XLOOKUP(A48,Щиты[Щит],Щиты[АВР],"")&amp;""))="да"),IFERROR(_xlfn.XLOOKUP(A48,Щиты[Щит],Щиты[Руст, кВт]),0),SUMIFS(Линии[_Р для вводов],Линии[Щит],A48,Линии[Источник для режимов],GF48)),IF(BO48&gt;0,ROUND(BO48*MAX(1,N(D48)),3),""))))</f>
        <v/>
      </c>
      <c r="BR48">
        <f t="shared" si="14"/>
        <v>0.1</v>
      </c>
      <c r="BS48" s="6">
        <f>IF(B48="","",IF(BH48&lt;&gt;"",IFERROR(_xlfn.XLOOKUP(BH48,Щиты[Щит],Щиты[Руст, кВт]),0),N(BR48)))</f>
        <v>0.1</v>
      </c>
      <c r="BT48" t="str">
        <f>IF(B48="","",IFERROR(IF(VLOOKUP(BC48,Потребители_обозначение,8,FALSE)=0,"",VLOOKUP(BC48,Потребители_обозначение,8,FALSE)),""))</f>
        <v/>
      </c>
      <c r="BU48">
        <f t="shared" si="15"/>
        <v>230</v>
      </c>
      <c r="BV48">
        <f t="shared" si="16"/>
        <v>0</v>
      </c>
      <c r="BW48">
        <f>IF(B48="","",IF(BH48&lt;&gt;"",3,IFERROR(IF(N(VLOOKUP(BC48,Потребители_обозначение,9,FALSE))=0,1,VLOOKUP(BC48,Потребители_обозначение,9,FALSE)),1)))</f>
        <v>1</v>
      </c>
      <c r="BX48">
        <f t="shared" si="17"/>
        <v>1</v>
      </c>
      <c r="BY48" t="str">
        <f>IF(B48="","",_xlfn.LET(_xlpm.bc,IFERROR(IF(VLOOKUP(BC48,Потребители_обозначение,6,FALSE)=0,"",VLOOKUP(BC48,Потребители_обозначение,6,FALSE)&amp;""),""),IF(AND(GA48="да",OR(_xlpm.bc="",_xlpm.bc="мс")),Марка_пож,IF(AND(_xlpm.bc="",BH48&lt;&gt;""),"мс",_xlpm.bc))))</f>
        <v/>
      </c>
      <c r="BZ48" t="str">
        <f t="shared" si="18"/>
        <v>мс</v>
      </c>
      <c r="CA48">
        <f>IF(B48="","",_xlfn.LET(_xlpm.cc,IFERROR(N(VLOOKUP(BC48,Потребители_обозначение,7,FALSE)),0),IF(_xlpm.cc&gt;0,_xlpm.cc,IF(BZ48="","",IF(BV48=1,2,IF(N(BX48)=3,5,3))))))</f>
        <v>3</v>
      </c>
      <c r="CB48">
        <f t="shared" si="19"/>
        <v>3</v>
      </c>
      <c r="CC48">
        <f>IFERROR(N(VLOOKUP(BC48,Потребители_обозначение,10,FALSE)),0)</f>
        <v>0</v>
      </c>
      <c r="CD48">
        <f>IFERROR(VLOOKUP(BC48,Потребители_обозначение,5,FALSE),0)</f>
        <v>3</v>
      </c>
      <c r="CE48" s="6" cm="1">
        <f t="array" ref="CE48">IF(B48="","",IF(BH48&lt;&gt;"",IFERROR(_xlfn.XLOOKUP(BH48,Щиты[Щит],Щиты[cos φ]),0.95),IF(BP48=1,IFERROR(_xlfn.XLOOKUP(A48,Щиты[Щит],Щиты[cos φ]),0.95),IF(ISNUMBER(AD48),AD48,IFERROR(IF(CD48=2,_xlfn.IFS(BX48=3,VLOOKUP(BS48,Справочная_двигатели,8,FALSE),BX48=1,VLOOKUP(BS48,Справочная_двигатели,10,TRUE)),IF(AND(Методика="нормы 2026",FG48="Сил"),0.8,0.95)),0.95)))))</f>
        <v>0.95</v>
      </c>
      <c r="CF48">
        <f t="shared" si="20"/>
        <v>0</v>
      </c>
      <c r="CG48">
        <f t="shared" si="21"/>
        <v>1</v>
      </c>
      <c r="CH48">
        <f t="shared" si="22"/>
        <v>0</v>
      </c>
      <c r="CI48">
        <f>IF(B48="","",IF(BV48=1,IFERROR(BS48/((Uн_лин/SQRT(3))*MAX(0.5,N(CE48))),0),N(O48)))</f>
        <v>0.455802844097073</v>
      </c>
      <c r="CJ48">
        <f t="shared" si="23"/>
        <v>0</v>
      </c>
      <c r="CK48">
        <f t="shared" si="24"/>
        <v>0</v>
      </c>
      <c r="CL48">
        <f t="shared" si="25"/>
        <v>0</v>
      </c>
      <c r="CM48">
        <f t="shared" si="26"/>
        <v>0</v>
      </c>
      <c r="CN48">
        <f t="shared" si="27"/>
        <v>0</v>
      </c>
      <c r="CO48">
        <f>IF(BC48="",0,_xlfn.LET(_xlpm.v,IFERROR(_xlfn.XLOOKUP(B48,Коды_код,Коды_мА),IFERROR(_xlfn.XLOOKUP(BC48,Коды_код,Коды_мА),IFERROR(_xlfn.XLOOKUP(LEFT(BC48,2),Коды_код,Коды_мА),""))),IF(_xlpm.v="да",30,IF(ISNUMBER(_xlpm.v),_xlpm.v,0))))</f>
        <v>0</v>
      </c>
      <c r="CP48" t="str">
        <f t="shared" si="28"/>
        <v/>
      </c>
      <c r="CQ48" t="str">
        <f>_xlfn.LET(_xlpm.k,IFERROR(_xlfn.XLOOKUP(BC48,Коды_код,Коды_утечка)&amp;"",""),IF(_xlpm.k="","дифавтомат",_xlpm.k))</f>
        <v>дифавтомат</v>
      </c>
      <c r="CR48" t="str" cm="1">
        <f t="array" ref="CR48">IF(CG48=0,"",_xlfn.LET(_xlpm.sg,TRIM(_xlfn.TEXTSPLIT(DD48&amp;"",";")),_xlpm.f_,_xlfn._xlws.FILTER(_xlpm.sg,LEFT(_xlpm.sg,3)="УЗО",""),IFERROR(INDEX(_xlpm.f_,1)&amp;"","")))</f>
        <v/>
      </c>
      <c r="CS48" t="str">
        <f t="shared" si="29"/>
        <v/>
      </c>
      <c r="CT48" s="6" t="str" cm="1">
        <f t="array" ref="CT48">IF(CR48="","",_xlfn.LET(_xlpm.tk,_xlfn.TEXTSPLIT(UPPER(CR48)," ",,TRUE),_xlpm.a_,_xlfn._xlws.FILTER(_xlpm.tk,ISNUMBER(--LEFT(_xlpm.tk,1))*((ISNUMBER(SEARCH("А",_xlpm.tk))+ISNUMBER(SEARCH("A",_xlpm.tk)))&gt;0)*NOT(ISNUMBER(SEARCH("МА",_xlpm.tk)))*NOT(ISNUMBER(SEARCH("MA",_xlpm.tk))),""),IFERROR(--SUBSTITUTE(SUBSTITUTE(INDEX(_xlpm.a_,1),"А",""),"A",""),"")))</f>
        <v/>
      </c>
      <c r="CU48" t="str" cm="1">
        <f t="array" ref="CU48">IF(CR48="","",_xlfn.LET(_xlpm.tk,_xlfn.TEXTSPLIT(UPPER(CR48)," ",,TRUE),_xlpm.a_,_xlfn._xlws.FILTER(_xlpm.tk,ISNUMBER(--LEFT(_xlpm.tk,1))*((ISNUMBER(SEARCH("МА",_xlpm.tk))+ISNUMBER(SEARCH("MA",_xlpm.tk)))&gt;0),""),IFERROR(--SUBSTITUTE(SUBSTITUTE(INDEX(_xlpm.a_,1),"МА",""),"MA",""),30)))</f>
        <v/>
      </c>
      <c r="CV48" t="str">
        <f>IF(CS48="","",IFERROR(_xlfn.XLOOKUP(CS48,Линии[_n],Линии[_УЗО, мА]),30))</f>
        <v/>
      </c>
      <c r="CW48">
        <f>IF(CS48="",0,IF(ISNUMBER(SEARCH("4P",IFERROR(_xlfn.XLOOKUP(CS48,Линии[_n],Линии[_УЗО строки])&amp;"",""))),0,1))</f>
        <v>0</v>
      </c>
      <c r="CX48" t="str">
        <f>IF(AND(CS48&lt;&gt;"",CS48=BA48),SUMIFS(Линии[_ток на 230 В],Линии[_блок УЗО],BA48,Линии[Щит],A48),"")</f>
        <v/>
      </c>
      <c r="CY48" t="str">
        <f>IF(AND(CS48&lt;&gt;"",CS48=BA48),SUMIFS(Линии[_ток утечки линии, мА],Линии[_блок УЗО],BA48,Линии[Щит],A48),"")</f>
        <v/>
      </c>
      <c r="CZ48">
        <f t="shared" si="30"/>
        <v>0</v>
      </c>
      <c r="DA48">
        <f t="shared" si="31"/>
        <v>0</v>
      </c>
      <c r="DB48">
        <f>IF(B48="",0,IFERROR(--_xlfn.XLOOKUP(B48,Коды_код,Коды_минавт),IFERROR(--_xlfn.XLOOKUP(BC48,Коды_код,Коды_минавт),IFERROR(--_xlfn.XLOOKUP(LEFT(BC48,2),Коды_код,Коды_минавт),0))))</f>
        <v>10</v>
      </c>
      <c r="DC48" t="str">
        <f>IF(B48="","",IFERROR(_xlfn.XLOOKUP(BC48,Коды_код,Коды_апп)&amp;"",""))</f>
        <v/>
      </c>
      <c r="DD48" t="str">
        <f t="shared" si="32"/>
        <v/>
      </c>
      <c r="DE48" t="str" cm="1">
        <f t="array" ref="DE48">IF(TRIM(DD48&amp;"")="","",IFERROR(TRIM(INDEX(_xlfn.TEXTSPLIT(DD48&amp;";;;",";"),1)),""))</f>
        <v/>
      </c>
      <c r="DF48" t="str" cm="1">
        <f t="array" ref="DF48">IF(TRIM(DD48&amp;"")="","",IFERROR(TRIM(INDEX(_xlfn.TEXTSPLIT(DD48&amp;";;;",";"),2)),""))</f>
        <v/>
      </c>
      <c r="DG48" t="str" cm="1">
        <f t="array" ref="DG48">IF(TRIM(DD48&amp;"")="","",IFERROR(TRIM(INDEX(_xlfn.TEXTSPLIT(DD48&amp;";;;",";"),3)),""))</f>
        <v/>
      </c>
      <c r="DH48">
        <f t="shared" si="33"/>
        <v>0</v>
      </c>
      <c r="DI48" t="str">
        <f>IF(B48="","",_xlfn.LET(_xlpm.t,LOWER(AZ48&amp;""),IF(ISNUMBER(SEARCH("dim",_xlpm.t)),"DIM",IF(ISNUMBER(SEARCH("dali",_xlpm.t)),"DALI",IF(OR(ISNUMBER(SEARCH("relay",_xlpm.t)),ISNUMBER(SEARCH("реле",_xlpm.t))),"Relay",IF(ISNUMBER(SEARCH("кнопк",_xlpm.t)),"",IFERROR(_xlfn.XLOOKUP(BC48,Коды_код,Коды_упр)&amp;"","")))))))</f>
        <v/>
      </c>
      <c r="DJ48" t="str">
        <f t="shared" si="34"/>
        <v/>
      </c>
      <c r="DK48">
        <f>IF(B48="","",_xlfn.LET(_xlpm.ig,IF(N(CX48)&gt;0,N(CX48),N(CI48)+IF(AJ48="вручную",0,N(CJ48))),_xlpm.n0,IFERROR(VLOOKUP(_xlpm.ig,Автомат_номиналы,2,TRUE),0),_xlpm.mn,MAX(DB48,IF(AJ48="вручную",0,N(CM48))),MAX(_xlpm.n0,_xlpm.mn,IF(DH48=1,Мин_автомат_БП,0))))</f>
        <v>10</v>
      </c>
      <c r="DL48">
        <f t="shared" si="35"/>
        <v>1</v>
      </c>
      <c r="DM48" t="str">
        <f t="shared" si="36"/>
        <v>1P</v>
      </c>
      <c r="DN48" t="str">
        <f>_xlfn.LET(_xlpm.cc,UPPER(TRIM(IFERROR(_xlfn.XLOOKUP(BC48,Коды_код,Коды_хар)&amp;"",""))),IF(OR(_xlpm.cc="B",_xlpm.cc="В"),"B",IF(_xlpm.cc="D","D","С")))</f>
        <v>С</v>
      </c>
      <c r="DO48" t="str">
        <f t="shared" si="37"/>
        <v>1P С10А</v>
      </c>
      <c r="DP48" t="str">
        <f t="shared" si="38"/>
        <v>1P С10А</v>
      </c>
      <c r="DQ48" t="str">
        <f t="shared" si="39"/>
        <v>1P С10А</v>
      </c>
      <c r="DR48" cm="1">
        <f t="array" ref="DR48">IF(DQ48="","",_xlfn.LET(_xlpm.t,SUBSTITUTE(SUBSTITUTE(SUBSTITUTE(UPPER(DQ48),"С","C"),"А","A"),"В","B"),_xlpm.tk,_xlfn.TEXTSPLIT(_xlpm.t," "),_xlpm.f,_xlfn._xlws.FILTER(_xlpm.tk,ISNUMBER(--MID(_xlpm.tk,2,1))*ISNUMBER(SEARCH(LEFT(_xlpm.tk,1)&amp;"#","B#C#D#"))*(LEN(_xlpm.tk)&gt;1),""),_xlpm.x,INDEX(_xlpm.f,1),IFERROR(--SUBSTITUTE(MID(_xlpm.x,2,9),"A",""),IFERROR(--SUBSTITUTE(INDEX(_xlfn._xlws.FILTER(_xlpm.tk,ISNUMBER(--SUBSTITUTE(_xlpm.tk,"A","")),""),1),"A",""),""))))</f>
        <v>10</v>
      </c>
      <c r="DS48" t="str">
        <f t="shared" si="40"/>
        <v>ok</v>
      </c>
      <c r="DT48">
        <f t="shared" si="41"/>
        <v>10</v>
      </c>
      <c r="DU48" t="str">
        <f t="shared" si="42"/>
        <v>1P С10А</v>
      </c>
      <c r="DV48">
        <f t="shared" si="43"/>
        <v>0</v>
      </c>
      <c r="DW48">
        <f t="shared" si="44"/>
        <v>0</v>
      </c>
      <c r="DX48">
        <f t="shared" si="45"/>
        <v>0</v>
      </c>
      <c r="DY48">
        <f t="shared" si="46"/>
        <v>0.455802844097073</v>
      </c>
      <c r="DZ48">
        <f t="shared" si="47"/>
        <v>1</v>
      </c>
      <c r="EA48">
        <f>IF(ISNUMBER(AP48),AP48,К_прокл)</f>
        <v>1</v>
      </c>
      <c r="EB48">
        <f t="shared" si="48"/>
        <v>2</v>
      </c>
      <c r="EC48">
        <f>IFERROR(N(VLOOKUP(BZ48,Кабель_обозначение,3,FALSE)),1)</f>
        <v>1</v>
      </c>
      <c r="ED48">
        <f>IFERROR(N(_xlfn.XLOOKUP(A48,Щиты[Щит],Щиты[ΔU до шин, %])),0)</f>
        <v>0.17</v>
      </c>
      <c r="EE48" t="str">
        <f>IFERROR(_xlfn.XLOOKUP(A48,Щиты[Щит],Щиты[Zпетли на шинах, Ом]),"")</f>
        <v/>
      </c>
      <c r="EF48">
        <f>IFERROR(N(_xlfn.XLOOKUP(A48,Щиты[Щит],Щиты[ΔU до шин (подбор), %])),0)</f>
        <v>0.65</v>
      </c>
      <c r="EG48" t="str">
        <f>IFERROR(_xlfn.XLOOKUP(A48,Щиты[Щит],Щиты[Zпетли на шинах (подбор), Ом]),"")</f>
        <v/>
      </c>
      <c r="EH48" t="str">
        <f t="shared" si="49"/>
        <v/>
      </c>
      <c r="EI48">
        <f t="shared" si="50"/>
        <v>58</v>
      </c>
      <c r="EJ48">
        <f t="shared" si="51"/>
        <v>2</v>
      </c>
      <c r="EK48">
        <f t="shared" si="52"/>
        <v>0.31</v>
      </c>
      <c r="EL48" s="6">
        <f>IF(B48="","",IF(BV48=1,dU_LED,IF(IFERROR(_xlfn.XLOOKUP(BC48,Коды_код,Коды_уго),"")="Светильник",3,4)+IF(Методика="нормы 2026",MIN(0.5,MAX(0,N(P48)-100)*0.005),0)))</f>
        <v>3</v>
      </c>
      <c r="EM48" cm="1">
        <f t="array" ref="EM48">IF(OR(B48="",BZ48="",EC48&lt;&gt;1),"",_xlfn.LET(_xlpm.sz,Iдоп_S,_xlpm.t_,CHOOSE(EB48,Iдоп_1ж,Iдоп_2ж,Iдоп_3ж)*DZ48*EA48,_xlpm.dcx,BV48=1,_xlpm.inn,IF(_xlpm.dcx,N(O48),N(DT48)),_xlpm.smin,MAX(1.5,CC48),_xlpm.L_,N(P48)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48)/N(BU48)*100,999),IFERROR(N(EJ48)*(_xlpm.rho*_xlpm.L_/_xlpm.sz*N(CE48)+_xlpm.xx*_xlpm.L_*N(EK48)/1000)*N(O48)/((Uн_лин/SQRT(3))*1000)*100,999)),_xlpm.kz,IF(OR(_xlpm.dcx,DW48=1,NOT(ISNUMBER(EG48)),_xlpm.L_=0,_xlpm.inn=0),1,IFERROR(--(c_min*(Uн_лин*1000/SQRT(3))/(EG48+2*ρкз_Cu*_xlpm.L_/_xlpm.sz)&gt;=HT48*_xlpm.inn),0)),_xlpm.ok,IFERROR((_xlpm.sz&gt;=_xlpm.smin)*(_xlpm.t_&gt;=_xlpm.inn)*IF(_xlpm.L_&gt;0,(_xlpm.du_+IF(_xlpm.dcx,0,EF48)&lt;=EL48+0.00001),1)*_xlpm.kz,0),_xlpm.r_,_xlfn._xlws.FILTER(_xlpm.sz,_xlpm.ok,"не подобрано"),INDEX(_xlpm.r_,1)))</f>
        <v>1.5</v>
      </c>
      <c r="EN48">
        <f t="shared" si="53"/>
        <v>1.5</v>
      </c>
      <c r="EO48" cm="1">
        <f t="array" ref="EO48">IF(OR(B48="",BZ48="",EC48&lt;&gt;1),"",_xlfn.LET(_xlpm.sz,Iдоп_S,_xlpm.t_,CHOOSE(EB48,Iдоп_1ж,Iдоп_2ж,Iдоп_3ж)*DZ48*EA48,_xlpm.ok,IFERROR((_xlpm.sz&gt;=MAX(1.5,CC48))*(_xlpm.t_&gt;=N(DT48)),0),_xlpm.r_,_xlfn._xlws.FILTER(_xlpm.sz,_xlpm.ok,""),INDEX(_xlpm.r_,1)))</f>
        <v>1.5</v>
      </c>
      <c r="EP48" s="6" cm="1">
        <f t="array" ref="EP48">IFERROR(ROUNDUP(N(EJ48)*(_xlfn.XLOOKUP(EO48,INDEX(Кабель_сопротивление,0,1),INDEX(Кабель_сопротивление,0,3))*N(P48)/EO48*N(CE48)+_xlfn.XLOOKUP(EO48,INDEX(Кабель_сопротивление,0,1),INDEX(Кабель_сопротивление,0,2))*N(P48)*N(EK48)/1000)*N(O48)/((Uн_лин/SQRT(3))*1000)*100,2),"")</f>
        <v>0.36</v>
      </c>
      <c r="EQ48">
        <f>IFERROR(2*ρкз_Cu*N(P48)/EO48,"")</f>
        <v>2.2092000000000001</v>
      </c>
      <c r="ER48">
        <f>IFERROR(VLOOKUP(EN48,Кабель_сопротивление,3,FALSE),"")</f>
        <v>2.2499999999999999E-2</v>
      </c>
      <c r="ES48">
        <f>IFERROR(VLOOKUP(EN48,Кабель_сопротивление,2,FALSE),"")</f>
        <v>0.11</v>
      </c>
      <c r="ET48">
        <f t="shared" si="54"/>
        <v>0</v>
      </c>
      <c r="EU48">
        <f t="shared" si="55"/>
        <v>69</v>
      </c>
      <c r="EV48">
        <f t="shared" si="56"/>
        <v>0.82035240907624196</v>
      </c>
      <c r="EW48" s="6">
        <f>IFERROR(ROUNDUP(EV48/IF(BV48=1,BU48,(Uн_лин/SQRT(3))*1000)*100,2),"")</f>
        <v>0.36</v>
      </c>
      <c r="EX48" t="str">
        <f>IFERROR(VLOOKUP(BZ48,Кабель_обозначение,2,FALSE),"")</f>
        <v>ВВГнг(А)-LS</v>
      </c>
      <c r="EY48" t="str">
        <f t="shared" si="57"/>
        <v>ВВГнг(А)-LS (3х1,5)</v>
      </c>
      <c r="EZ48" t="str">
        <f t="shared" si="58"/>
        <v>ВВГнг(А)-LS (3х1,5)
L=63-0,36%</v>
      </c>
      <c r="FA48">
        <f>IFERROR(2*ρкз_Cu*P48/EN48,"")</f>
        <v>2.2092000000000001</v>
      </c>
      <c r="FB48">
        <f t="shared" si="59"/>
        <v>0.73499999999999999</v>
      </c>
      <c r="FC48" s="6" t="str">
        <f>IFERROR(IF(OR(B48="",BV48=1,NOT(ISNUMBER(EN48)),N(P48)=0),"",_xlfn.XLOOKUP(A48,Щиты[Щит],Щиты[Zпетли на шинах, Ом])+FA48),"")</f>
        <v/>
      </c>
      <c r="FD48" s="6" t="str">
        <f>IF(ISNUMBER(FC48),c_min*(Uн_лин*1000/SQRT(3))/FC48,"")</f>
        <v/>
      </c>
      <c r="FE48" s="6" t="str">
        <f>IFERROR(IF(OR(B48="",NOT(ISNUMBER(EN48))),"",1.05*(Uн_лин*1000/SQRT(3))/(_xlfn.XLOOKUP(A48,Щиты[Щит],Щиты[Zmax на шинах, Ом])+FB48)/1000),"")</f>
        <v/>
      </c>
      <c r="FF48" s="6" t="str">
        <f>IF(B48="","",IF(ISNUMBER(AC48),"Сил",IF(IFERROR(_xlfn.XLOOKUP(BC48,Коды_код,Коды_группа)&amp;"","")="","Быт",_xlfn.XLOOKUP(BC48,Коды_код,Коды_группа)&amp;"")))</f>
        <v>Быт</v>
      </c>
      <c r="FG48" s="6" t="str">
        <f t="shared" si="60"/>
        <v>Быт</v>
      </c>
      <c r="FH48" s="6">
        <f>IF(FG48="Щит","щит",IF(FG48="","",IF(FG48="Быт",IFERROR(_xlfn.XLOOKUP(A48,Щиты[Щит],Щиты[Кс быт]),1),IF(FG48="Сил",IF(ISNUMBER(AC48),AC48,IF(Методика="нормы 2026",IFERROR(_xlfn.XLOOKUP(A48,Щиты[Щит],Щиты[Кс силовых (табл. 7.5)]),1),1)),IF(OR(FG48="Пост",FG48="Отоп"),1,IF(FG48="ВНГ",0.7,0))))))</f>
        <v>0.8</v>
      </c>
      <c r="FI48">
        <f>IF(FG48="","",IF(AND(BP48=1,TRIM(AE48&amp;"")=""),IF(COUNTIFS(Линии[Щит],A48,Линии[Секция (1/2/3)],"&gt;=2")&gt;0,MIN(3,MAX(1,IFERROR(--BD48,1))),1),IFERROR(MIN(3,MAX(1,INT(--AE48))),1)))</f>
        <v>1</v>
      </c>
      <c r="FJ48">
        <f t="shared" si="61"/>
        <v>0.1</v>
      </c>
      <c r="FK48">
        <f t="shared" si="62"/>
        <v>0.1</v>
      </c>
      <c r="FL48">
        <f t="shared" si="63"/>
        <v>0</v>
      </c>
      <c r="FM48">
        <f t="shared" si="64"/>
        <v>0</v>
      </c>
      <c r="FN48">
        <f t="shared" si="65"/>
        <v>0</v>
      </c>
      <c r="FO48">
        <f t="shared" si="66"/>
        <v>0</v>
      </c>
      <c r="FP48">
        <f t="shared" si="67"/>
        <v>0.1</v>
      </c>
      <c r="FQ48">
        <f t="shared" si="68"/>
        <v>0.1</v>
      </c>
      <c r="FR48">
        <f t="shared" si="69"/>
        <v>9.5000000000000001E-2</v>
      </c>
      <c r="FS48">
        <f>IF(CG48=1,IF(AND(CH48=1,CW48=1),0,IF(AND(CS48&lt;&gt;"",CS48=BA48,CW48=1),SUMIFS(Линии[_Р линии, кВт],Линии[_блок УЗО],BA48,Линии[Щит],A48),N(BS48)+IF(AJ48="вручную",0,N(CK48)))),0)</f>
        <v>0.1</v>
      </c>
      <c r="FT48" t="str">
        <f t="shared" si="70"/>
        <v/>
      </c>
      <c r="FU48" t="str">
        <f>IF(B48="","",IF(CG48=0,IF(BA48=1,"",FW47),IF(AND(CH48=1,CW48=1,CS48&lt;&gt;""),IFERROR(_xlfn.XLOOKUP(CS48,Линии[_n],Линии[_фаза итог]),"L1"),IF(OR(N(DL48)&gt;=3,N(BX48)&gt;=3),"L1,L2,L3",IFERROR(_xlfn.TEXTBEFORE(_xlfn.TEXTAFTER(_xlfn.XLOOKUP(A48,Щиты[Щит],Щиты[_фазы авто]),";"&amp;BA48&amp;":"),";"),"L1")))))</f>
        <v>L2</v>
      </c>
      <c r="FV48" t="str">
        <f t="shared" si="71"/>
        <v>L2</v>
      </c>
      <c r="FW48" t="str">
        <f t="shared" si="72"/>
        <v>L2</v>
      </c>
      <c r="FX48" cm="1">
        <f t="array" ref="FX48">IFERROR(IF(CD48=2,_xlfn.IFS(BX48=3,VLOOKUP(BS48,Справочная_двигатели,3,FALSE),BX48=1,VLOOKUP(BS48,Справочная_двигатели,5,TRUE)),0),0)</f>
        <v>0</v>
      </c>
      <c r="FY48">
        <f>IFERROR(IF(CD48=3,VLOOKUP(BS48,Справочная_ЛЭД,2,TRUE),0),0)</f>
        <v>50</v>
      </c>
      <c r="FZ48" s="6">
        <f t="shared" si="73"/>
        <v>50</v>
      </c>
      <c r="GA48" t="str">
        <f>IF(B48="","",IF(TRIM(AH48&amp;"")&lt;&gt;"",IF(LOWER(TRIM(AH48&amp;""))="да","да","нет"),IF(IFERROR(_xlfn.XLOOKUP(BC48,Коды_код,Коды_пожарная),"")="да","да","нет")))</f>
        <v>нет</v>
      </c>
      <c r="GB48" t="str">
        <f t="shared" si="74"/>
        <v/>
      </c>
      <c r="GC48" t="str">
        <f t="shared" si="75"/>
        <v>основная</v>
      </c>
      <c r="GD48">
        <f>IF(AND(BP48=1,TRIM(AE48&amp;"")=""),IF(COUNTIFS(Линии[Щит],A48,Линии[Секция (1/2/3)],"&gt;=2")&gt;0,MIN(3,MAX(1,IFERROR(--BD48,1))),1),IFERROR(MIN(3,MAX(1,INT(--AE48))),1))</f>
        <v>1</v>
      </c>
      <c r="GE48" t="str" cm="1">
        <f t="array" ref="GE48">IF(B48="","",_xlfn.LET(_xlpm.t,IFERROR(_xlfn.XLOOKUP(1,(Шины[Шина]=GC48)*(((Шины[Щит]=A48)+(Шины[Щит]=""))&gt;0),Шины[Тип]),"")&amp;"",IF(_xlpm.t&lt;&gt;"",_xlpm.t,IF(ISNUMBER(SEARCH("ИБП",GC48)),"ИБП",IF(ISNUMBER(SEARCH("ДГУ",GC48)),"ДГУ","Ввод "&amp;GD48)))))</f>
        <v>Ввод 1</v>
      </c>
      <c r="GF48" t="str">
        <f t="shared" si="76"/>
        <v>Ввод 1</v>
      </c>
      <c r="GG48" t="str">
        <f>IF(BP48=0,"",IF(TRIM(AG48&amp;"")&lt;&gt;"",TRIM(AG48&amp;""),IF(OR(GE48="ИБП",GE48="ДГУ"),"I особая",_xlfn.XLOOKUP(A48,Щиты[Щит],Щиты[Категория шины «Ввод»],"III"))))</f>
        <v/>
      </c>
      <c r="GH48" t="str">
        <f>IF(A48="","",_xlfn.XLOOKUP(A48,Щиты[Щит],Щиты[Путь],""))</f>
        <v>|ГРЩ-ЖД|ЩГП|ЩО-001|</v>
      </c>
      <c r="GI48" t="str">
        <f>IF(B48="","",IF(AI48&lt;&gt;"",AI48,IF(IFERROR(_xlfn.XLOOKUP(BC48,Коды_код,Коды_вид)&amp;"","")="","Прочее",_xlfn.XLOOKUP(BC48,Коды_код,Коды_вид)&amp;"")))</f>
        <v>Рабочее освещение</v>
      </c>
      <c r="GJ48" t="str">
        <f>IF(BM48="","",INT((BM48-1)/Столбцов_на_лист)+1)</f>
        <v/>
      </c>
      <c r="GK48" t="str">
        <f t="shared" si="77"/>
        <v>ВВГнг(А)-LS (3х1,5) L=63-0,36%</v>
      </c>
      <c r="GL48">
        <f t="shared" si="78"/>
        <v>0.1</v>
      </c>
      <c r="GM48">
        <f t="shared" si="79"/>
        <v>0.46</v>
      </c>
      <c r="GN48">
        <f t="shared" si="80"/>
        <v>1</v>
      </c>
      <c r="GO48">
        <f t="shared" si="81"/>
        <v>0</v>
      </c>
      <c r="GP48">
        <f t="shared" si="82"/>
        <v>0</v>
      </c>
      <c r="GQ48" t="str">
        <f>IF(BM48="","",IF(AND(CG48=1,GP48=1),COUNTIFS(A$3:A48,A48,CG$3:CG48,1,GP$3:GP48,1),IF(OR(OR(BA48=1,A48&lt;&gt;A47),AJ48="вручную",GP48=0),"",IF(BA48=1,"",GR47))))</f>
        <v/>
      </c>
      <c r="GR48" t="str">
        <f t="shared" si="83"/>
        <v/>
      </c>
      <c r="GS48">
        <f>IF(B48="","",IFERROR(LOOKUP(INDEX(CHOOSE(EB48,Iдоп_1ж,Iдоп_2ж,Iдоп_3ж),MATCH(EN48,Iдоп_S,0))*DZ48*EA48,{6,10,16,20,25,32,40,50,63,80,100,125,160,200,250,315,400,500,630}),""))</f>
        <v>16</v>
      </c>
      <c r="GT48" t="str">
        <f t="shared" si="84"/>
        <v/>
      </c>
      <c r="GU48" t="str">
        <f t="shared" si="85"/>
        <v/>
      </c>
      <c r="GV48" t="str">
        <f t="shared" si="86"/>
        <v/>
      </c>
      <c r="GW48">
        <f t="shared" si="87"/>
        <v>0</v>
      </c>
      <c r="GX48" t="str">
        <f>IF(OR(B48="",DJ48=""),"",IFERROR(_xlfn.XLOOKUP(DJ48,Модули_умолч[Управление],Модули_умолч[Модель])&amp;"",""))</f>
        <v/>
      </c>
      <c r="GY48">
        <f>IF(DJ48="",1,IFERROR(MAX(0,N(_xlfn.XLOOKUP(DJ48,Модули_умолч[Управление],Модули_умолч[Каналов на линию]))),1))</f>
        <v>1</v>
      </c>
      <c r="GZ48" t="str">
        <f t="shared" si="88"/>
        <v/>
      </c>
      <c r="HA48" t="str">
        <f t="shared" si="89"/>
        <v/>
      </c>
      <c r="HB48" t="str">
        <f t="shared" si="90"/>
        <v/>
      </c>
      <c r="HC48">
        <f>IF(HB48="",0,IFERROR(N(VLOOKUP(HB48,Модули_спр,3,FALSE)),0))</f>
        <v>0</v>
      </c>
      <c r="HD48" t="str">
        <f t="shared" si="91"/>
        <v/>
      </c>
      <c r="HE48" t="str">
        <f t="shared" si="92"/>
        <v/>
      </c>
      <c r="HF48" t="str">
        <f>IF(OR(HE48="",HE48="-"),"",IFERROR(VLOOKUP(HE48,Модули_спр,2,FALSE),"R"))</f>
        <v/>
      </c>
      <c r="HG48" t="str">
        <f>IF(HF48="","",HF48&amp;"."&amp;COUNTIFS(A$3:A48,A48,HF$3:HF48,HF48))</f>
        <v/>
      </c>
      <c r="HH48" t="str">
        <f t="shared" si="93"/>
        <v/>
      </c>
      <c r="HI48" t="str">
        <f t="shared" si="94"/>
        <v/>
      </c>
      <c r="HJ48" t="str">
        <f t="shared" si="95"/>
        <v/>
      </c>
      <c r="HK48" t="str">
        <f t="shared" si="96"/>
        <v/>
      </c>
      <c r="HL48">
        <f t="shared" si="97"/>
        <v>1</v>
      </c>
      <c r="HM48" t="str">
        <f>IF(HL48=1,"XT"&amp;COUNTIFS(A$3:A48,A48,HL$3:HL48,1),"")</f>
        <v>XT17</v>
      </c>
      <c r="HN48" t="str">
        <f t="shared" si="98"/>
        <v>XT17</v>
      </c>
      <c r="HO48" t="str">
        <f t="shared" si="99"/>
        <v/>
      </c>
      <c r="HP48" t="str">
        <f t="shared" si="100"/>
        <v/>
      </c>
      <c r="HQ48" t="str">
        <f t="shared" si="101"/>
        <v>ok</v>
      </c>
      <c r="HR48" t="str">
        <f>IF(OR(HJ48="",HH48=""),"",IF(HJ48+MAX(0,GY48-1)&gt;IFERROR(VLOOKUP(HI48,Модули_спр,3,FALSE),99),"ЛИШНИЙ КАНАЛ",IF(AND(AL48&lt;&gt;"=",GY48&gt;0,COUNTIFS(Линии[_модуль гр.],HH48,Линии[Канал (итог)],HJ48,Линии[Канал],"&lt;&gt;=",Линии[Щит],A48)&gt;1),"ДУБЛЬ КАНАЛА","")))</f>
        <v/>
      </c>
      <c r="HS48" s="6" t="str">
        <f t="shared" si="102"/>
        <v/>
      </c>
      <c r="HT48">
        <f t="shared" si="103"/>
        <v>10</v>
      </c>
      <c r="HU48" t="str">
        <f t="shared" si="104"/>
        <v/>
      </c>
      <c r="HV48">
        <f t="shared" si="105"/>
        <v>0.81232113763882918</v>
      </c>
      <c r="HW48">
        <f t="shared" si="106"/>
        <v>0</v>
      </c>
      <c r="HX48">
        <f t="shared" si="107"/>
        <v>0</v>
      </c>
      <c r="HY48">
        <f t="shared" si="108"/>
        <v>0</v>
      </c>
      <c r="HZ48">
        <f t="shared" si="109"/>
        <v>0</v>
      </c>
      <c r="IA48">
        <f t="shared" si="110"/>
        <v>0</v>
      </c>
      <c r="IB48">
        <f t="shared" si="111"/>
        <v>0</v>
      </c>
      <c r="IC48" t="str">
        <f t="shared" si="112"/>
        <v/>
      </c>
      <c r="ID48" t="str" cm="1">
        <f t="array" ref="ID48">IF(IC48="","",_xlfn.LET(_xlpm.tk,_xlfn.TEXTSPLIT(SUBSTITUTE(SUBSTITUTE(IC48,";"," "),"→"," ")," ",,TRUE),_xlpm.w_,_xlfn._xlws.FILTER(_xlpm.tk,ISNUMBER(--LEFT(_xlpm.tk,1))*((ISNUMBER(SEARCH("W",_xlpm.tk))+ISNUMBER(SEARCH("Вт",_xlpm.tk)))&gt;0),""),IFERROR(--SUBSTITUTE(SUBSTITUTE(UPPER(INDEX(_xlpm.w_,1)),"W",""),"ВТ",""),"")))</f>
        <v/>
      </c>
      <c r="IE48" t="str" cm="1">
        <f t="array" ref="IE48">IF(IC48="","",_xlfn.LET(_xlpm.tk,_xlfn.TEXTSPLIT(SUBSTITUTE(SUBSTITUTE(IC48,";"," "),"→"," ")," ",,TRUE),_xlpm.v_,_xlfn._xlws.FILTER(_xlpm.tk,ISNUMBER(--LEFT(_xlpm.tk,1))*((ISNUMBER(SEARCH("V",_xlpm.tk))+(RIGHT(UPPER(_xlpm.tk))="В"))&gt;0),""),IFERROR(--SUBSTITUTE(SUBSTITUTE(UPPER(INDEX(_xlpm.v_,1)),"V",""),"В",""),"")))</f>
        <v/>
      </c>
      <c r="IF48" s="6" t="str">
        <f>IF(OR(BV48=0,HI48="",HJ48=""),"",IFERROR(N(_xlfn.XLOOKUP(HI48,Каталог!$C$4:$C$500,Каталог!$Q$4:$Q$500)),""))</f>
        <v/>
      </c>
      <c r="IG48" s="6" t="str">
        <f>IF(N(IF48)=0,"",SUMIFS(Линии[Iр, А],Линии[Щит],A48,Линии[_модуль гр.],HH48,Линии[Канал (итог)],HJ48))</f>
        <v/>
      </c>
      <c r="IH48" t="str">
        <f>IF(AND(B48="",HO48=""),"",_xlfn.TEXTJOIN("; ",TRUE,IF(AND(B48&lt;&gt;"",FV48=""),"нет фазы",""),IF(AND(B48&lt;&gt;"",N(GL48)=0,FG48&lt;&gt;"Нет"),"нет мощности",""),IF(AND(HN48&lt;&gt;"",COUNTIFS(Линии[Щит],A48,Линии[Клемма (итог)],HN48)&gt;1),"дубль клеммы "&amp;HN48,""),IF(AND(HQ48&lt;&gt;"",HQ48&lt;&gt;"ok"),HQ48,""),IF(HR48&lt;&gt;"",HR48,""),IF(AND(N(CB48)&gt;=4,N(BX48)=1),CB48&amp;" жил на 1 фазе",""),IF(AND(BC48="R",CG48=1,IF(CS48&lt;&gt;"",N(CV48)&gt;30,OR(N(DA48)=0,N(DA48)&gt;30))),"розетка без дифзащиты до 30 мА",""),IF(AND(CG48=1,N(DA48)&gt;0,ISNUMBER(T48)),IF(T48&gt;N(DA48)/3,"ток утечки "&amp;FIXED(T48,1)&amp;" мА &gt; 1/3 уставки ("&amp;DA48&amp;" мА)",""),""),IF(AND(CH48=1,CS48=""),"«узо»: нет строки с УЗО выше (УЗО 2P 40А 30мА в «Аппаратах»)",""),IF(AND(CS48&lt;&gt;"",CS48=BA48),IF(CT48="","впишите номинал УЗО (УЗО 2P 40А 30мА)",IF(N(CT48)&lt;N(DT48),"УЗО "&amp;CT48&amp;" А &lt; автомата "&amp;DT48&amp;" А перед ним",IF(N(CT48)&lt;N(CX48),"УЗО "&amp;CT48&amp;" А &lt; тока блока "&amp;FIXED(CX48,1)&amp;" А",""))),""),IF(AND(CS48&lt;&gt;"",CS48=BA48,ISNUMBER(CY48)),IF(CY48&gt;N(CV48)/3,"ток утечки блока УЗО "&amp;FIXED(CY48,1)&amp;" мА &gt; 1/3 уставки ("&amp;CV48&amp;" мА)",""),""),IF(AND(CG48=1,N(BV48)+N(IB48)&gt;0,IC48=""),"линии до 50 В без БП: впишите в «Аппараты» (БП 24V 480W)",""),IF(AND(CG48=1,ISNUMBER(ID48),ISNUMBER(U48)),IF(U48&gt;ID48,"БП "&amp;ID48&amp;" Вт &lt; нужно "&amp;U48&amp;" Вт (×"&amp;Запас_БП&amp;")",""),""),IF(AND(CG48=1,ISNUMBER(IE48),N(BV48)=1),IF(IE48&lt;&gt;N(BU48),"БП на "&amp;IE48&amp;" В, линия "&amp;BU48&amp;" В",""),""),IF(AND(N(IF48)&gt;0,N(IG48)&gt;N(IF48)),HH48&amp;" канал "&amp;HJ48&amp;": "&amp;FIXED(IG48,1)&amp;" А &gt; "&amp;IF48&amp;" А",""),IFERROR(IF(AND(ISNUMBER(Q48),Q48&gt;EL48),"потери "&amp;FIXED(Q48,1)&amp;" % &gt; "&amp;EL48&amp;" %",""),""),IFERROR(IF(LEFT(HU48,4)="мало","Iкз мало — отключение &gt; 0,4 с",""),""),IF(AND(B48&lt;&gt;"",BM48=""),"не на схеме",""),IF(AND(CG48=0,B48&lt;&gt;"",FV48&lt;&gt;"",IF(BA48=1,"",FW47)&lt;&gt;"",FV48&lt;&gt;IF(BA48=1,"",FW47)),"фаза не как у автомата группы ("&amp;IF(BA48=1,"",FW47)&amp;")","")))</f>
        <v>не на схеме</v>
      </c>
      <c r="II48" s="6">
        <f>IF(OR(CG48=0,DQ48=""),"",_xlfn.LET(_xlpm.t,IFERROR(_xlfn.XLOOKUP(DQ48,Каталог!$U$4:$U$500,Каталог!$G$4:$G$500),""),_xlpm.k,SEARCH("кА",_xlpm.t),IFERROR(--TRIM(RIGHT(SUBSTITUTE(MID(_xlpm.t,MAX(1,_xlpm.k-4),_xlpm.k-MAX(1,_xlpm.k-4))," ",REPT(" ",9)),5)),"")))</f>
        <v>6</v>
      </c>
      <c r="IJ48" t="str">
        <f>IF(OR(II48="",CG48=0),"",IF(_xlfn.XLOOKUP(A48,Щиты[Щит],Щиты[Iкз max на шинах, кА],"")="","",IF(II48&lt;_xlfn.XLOOKUP(A48,Щиты[Щит],Щиты[Iкз max на шинах, кА]),"Icu "&amp;II48&amp;" кА &lt; Iкз max","ok")))</f>
        <v/>
      </c>
      <c r="IK48" t="str">
        <f t="shared" si="113"/>
        <v/>
      </c>
      <c r="IL48" t="str">
        <f t="shared" si="114"/>
        <v/>
      </c>
      <c r="IM48" t="str">
        <f t="shared" si="115"/>
        <v/>
      </c>
      <c r="IN48" t="str" cm="1">
        <f t="array" ref="IN48">IF(IM48="","",_xlfn.LET(_xlpm.nd,_xlfn.TEXTSPLIT(IM48,"|"),IF(COLUMNS(_xlpm.nd)&gt;1,A48&amp;"¦"&amp;INDEX(_xlpm.nd,1)&amp;"¦"&amp;INDEX(_xlpm.nd,2),"")))</f>
        <v/>
      </c>
      <c r="IO48" t="str">
        <f t="shared" si="116"/>
        <v/>
      </c>
      <c r="IP48" t="str" cm="1">
        <f t="array" ref="IP48">IF(IM48="","",_xlfn.LET(_xlpm.nd,_xlfn.TEXTSPLIT(IM48,"|"),IF(COLUMNS(_xlpm.nd)&gt;2,A48&amp;"¦"&amp;INDEX(_xlpm.nd,2)&amp;"¦"&amp;INDEX(_xlpm.nd,3),"")))</f>
        <v/>
      </c>
      <c r="IQ48" t="str">
        <f t="shared" si="117"/>
        <v/>
      </c>
      <c r="IR48" t="str" cm="1">
        <f t="array" ref="IR48">IF(IM48="","",_xlfn.LET(_xlpm.nd,_xlfn.TEXTSPLIT(IM48,"|"),IF(COLUMNS(_xlpm.nd)&gt;3,A48&amp;"¦"&amp;INDEX(_xlpm.nd,3)&amp;"¦"&amp;INDEX(_xlpm.nd,4),"")))</f>
        <v/>
      </c>
      <c r="IS48" t="str">
        <f t="shared" si="118"/>
        <v/>
      </c>
      <c r="IT48" t="str" cm="1">
        <f t="array" ref="IT48">IF(IM48="","",_xlfn.LET(_xlpm.nd,_xlfn.TEXTSPLIT(IM48,"|"),IF(COLUMNS(_xlpm.nd)&gt;4,A48&amp;"¦"&amp;INDEX(_xlpm.nd,4)&amp;"¦"&amp;INDEX(_xlpm.nd,5),"")))</f>
        <v/>
      </c>
      <c r="IU48" t="str">
        <f t="shared" si="119"/>
        <v/>
      </c>
      <c r="IV48" t="str" cm="1">
        <f t="array" ref="IV48">IF(IM48="","",_xlfn.LET(_xlpm.nd,_xlfn.TEXTSPLIT(IM48,"|"),IF(COLUMNS(_xlpm.nd)&gt;5,A48&amp;"¦"&amp;INDEX(_xlpm.nd,5)&amp;"¦"&amp;INDEX(_xlpm.nd,6),"")))</f>
        <v/>
      </c>
      <c r="IW48" t="str">
        <f t="shared" si="120"/>
        <v/>
      </c>
      <c r="IX48" t="str" cm="1">
        <f t="array" ref="IX48">IF(IM48="","",_xlfn.LET(_xlpm.nd,_xlfn.TEXTSPLIT(IM48,"|"),IF(COLUMNS(_xlpm.nd)&gt;6,A48&amp;"¦"&amp;INDEX(_xlpm.nd,6)&amp;"¦"&amp;INDEX(_xlpm.nd,7),"")))</f>
        <v/>
      </c>
      <c r="IY48" t="str">
        <f t="shared" si="121"/>
        <v/>
      </c>
      <c r="IZ48" t="str">
        <f t="shared" si="122"/>
        <v/>
      </c>
      <c r="JA48" t="str">
        <f t="shared" si="123"/>
        <v>XT17</v>
      </c>
      <c r="JB48">
        <f t="shared" si="124"/>
        <v>0</v>
      </c>
      <c r="JC48">
        <f t="shared" si="125"/>
        <v>0</v>
      </c>
      <c r="JD48" t="str">
        <f t="shared" si="126"/>
        <v/>
      </c>
      <c r="JE48" t="str">
        <f t="shared" si="127"/>
        <v/>
      </c>
      <c r="JF48" t="str">
        <f t="shared" si="128"/>
        <v/>
      </c>
      <c r="JG48" t="str">
        <f t="shared" si="129"/>
        <v/>
      </c>
      <c r="JH48" t="str">
        <f>IF(B48="","",IFERROR(_xlfn.XLOOKUP(B48,Коды_код,Коды_уго),IFERROR(_xlfn.XLOOKUP(BC48,Коды_код,Коды_уго),IFERROR(_xlfn.XLOOKUP(LEFT(BC48,2),Коды_код,Коды_уго),""))))</f>
        <v>Светильник</v>
      </c>
      <c r="JI48" t="str">
        <f>IF(B48="","",IF(OR(JH48="",JH48=0),"BOX",IFERROR(IF(VLOOKUP(JH48,УГО_блоки,3,FALSE)&amp;""&lt;&gt;"",VLOOKUP(JH48,УГО_блоки,3,FALSE),VLOOKUP(JH48,УГО_блоки,2,FALSE)),JH48)))</f>
        <v>LAMP</v>
      </c>
      <c r="JJ48">
        <f t="shared" si="130"/>
        <v>1</v>
      </c>
      <c r="JK48" t="str">
        <f>IF(DQ48="","",IF(COUNTIF(DQ$3:DQ48,DQ48)=1,MAX(JK$2:JK47)+1,""))</f>
        <v/>
      </c>
      <c r="JL48" t="str">
        <f>IF(DE48="","",IF(COUNTIF(DE$3:DE48,DE48)+COUNTIF(DF$2:DF47,DE48)+COUNTIF(DG$2:DG47,DE48)=1,MAX(JL$2:JN47)+1,""))</f>
        <v/>
      </c>
      <c r="JM48" t="str">
        <f>IF(DF48="","",IF(COUNTIF(DE$3:DE48,DF48)+COUNTIF(DF$3:DF48,DF48)+COUNTIF(DG$2:DG47,DF48)=1,MAX(JL$2:JN47,JL48)+1,""))</f>
        <v/>
      </c>
      <c r="JN48" t="str">
        <f>IF(DG48="","",IF(COUNTIF(DE$3:DE48,DG48)+COUNTIF(DF$3:DF48,DG48)+COUNTIF(DG$3:DG48,DG48)=1,MAX(JL$2:JN47,JL48,JM48)+1,""))</f>
        <v/>
      </c>
      <c r="JO48" t="str">
        <f t="shared" si="131"/>
        <v>3х1,5</v>
      </c>
      <c r="JP48" t="str">
        <f>IF(JO48="","",IF(COUNTIF(JO$3:JO48,JO48)=1,MAX(JP$2:JP47)+1,""))</f>
        <v/>
      </c>
      <c r="JQ48" t="str">
        <f>IF(HG48="","",COUNTIF(HG$3:HG48,"?*"))</f>
        <v/>
      </c>
      <c r="JR48" t="str">
        <f>IF(OR(HG48="",HI48=""),"",IF(COUNTIFS(HG$3:HG48,"?*",HI$3:HI48,HI48)=1,MAX(JR$2:JR47)+1,""))</f>
        <v/>
      </c>
      <c r="JS48">
        <f t="shared" si="132"/>
        <v>1</v>
      </c>
      <c r="JT48">
        <f>IF(B48="","",COUNTIF(B$3:B48,"?*"))</f>
        <v>46</v>
      </c>
      <c r="JU48">
        <f>IF(HL48&lt;&gt;1,0,_xlfn.LET(_xlpm.k,MAX(IFERROR(--_xlfn.XLOOKUP(B48,Коды_код,Коды_3L),0),IFERROR(--_xlfn.XLOOKUP(BC48,Коды_код,Коды_3L),0),IFERROR(--_xlfn.XLOOKUP(LEFT(BC48,2),Коды_код,Коды_3L),0)),IF(_xlpm.k&gt;0,_xlpm.k,IF(IFERROR(--LEFT(SUBSTITUTE(JO48,"x","х"),FIND("х",SUBSTITUTE(JO48,"x","х"))-1),3)&gt;3,Каталог!$S$9,1))))</f>
        <v>1</v>
      </c>
      <c r="JV48">
        <f t="shared" si="133"/>
        <v>0</v>
      </c>
      <c r="JW48" t="str">
        <f t="shared" si="134"/>
        <v>авто</v>
      </c>
      <c r="JX48" t="str">
        <f t="shared" si="135"/>
        <v/>
      </c>
      <c r="JY48">
        <f t="shared" si="136"/>
        <v>0</v>
      </c>
      <c r="JZ48">
        <f t="shared" si="137"/>
        <v>1</v>
      </c>
    </row>
    <row r="49" spans="1:286" x14ac:dyDescent="0.3">
      <c r="A49" t="s">
        <v>1109</v>
      </c>
      <c r="B49" t="s">
        <v>1363</v>
      </c>
      <c r="C49" t="str">
        <f>Линии[[#This Row],[_авто наименование]]</f>
        <v>Осветительная группа, пом. 009Б</v>
      </c>
      <c r="D49">
        <v>3</v>
      </c>
      <c r="E49">
        <v>0.1</v>
      </c>
      <c r="G49" t="str">
        <f>Линии[[#This Row],[_авто автомат]]</f>
        <v>1P С10А</v>
      </c>
      <c r="H49" t="str">
        <f>Линии[[#This Row],[_авто управление]]</f>
        <v/>
      </c>
      <c r="I49" t="str">
        <f>Линии[[#This Row],[_авто аппараты]]</f>
        <v/>
      </c>
      <c r="J49">
        <v>1.5</v>
      </c>
      <c r="K49">
        <v>28</v>
      </c>
      <c r="L49" t="str">
        <f>Линии[[#This Row],[_авто фаза]]</f>
        <v>L3</v>
      </c>
      <c r="M49" t="str">
        <f>Линии[[#This Row],[_авто клемма]]</f>
        <v>XT18</v>
      </c>
      <c r="N49" t="str">
        <f t="shared" si="0"/>
        <v>не на схеме</v>
      </c>
      <c r="O49" s="6" cm="1">
        <f t="array" ref="O49">IF(B49="","",IF(BH49&lt;&gt;"",IFERROR(_xlfn.XLOOKUP(BH49,Щиты[Щит],Щиты[Iр, А]),""),IF(BP49=1,IF(OR(N(_xlfn.XLOOKUP(A49,Щиты[Щит],Щиты[Вводов],1))&lt;=1,LOWER(TRIM(_xlfn.XLOOKUP(A49,Щиты[Щит],Щиты[АВР],"")&amp;""))="да"),IFERROR(_xlfn.XLOOKUP(A49,Щиты[Щит],Щиты[Iр, А]),""),IFERROR(N(BS49)*_xlfn.XLOOKUP(A49,Щиты[Щит],Щиты[Кс итог])/(SQRT(3)*Uн_лин*_xlfn.XLOOKUP(A49,Щиты[Щит],Щиты[cos φ])),"")),IF(BV49=1,IFERROR(BS49*1000/BU49,""),IFERROR(_xlfn.IFS(BX49=1,BS49/((Uн_лин/SQRT(3))*CE49),BX49=3,BS49/(SQRT(3)*Uн_лин*CE49)),"")))))</f>
        <v>0.455802844097073</v>
      </c>
      <c r="P49" s="7">
        <f>IF(B49="","",IFERROR(IF(VLOOKUP(BC49,Потребители_обозначение,4,FALSE)=1,VLOOKUP(BC49,Потребители_обозначение,3,FALSE)*(MAX(1,N(D49))*2-1)+EI49+VLOOKUP(BE49,Этаж_обозначение,3,FALSE)+VLOOKUP(BE49,Этаж_обозначение,4,FALSE),VLOOKUP(BC49,Потребители_обозначение,3,FALSE)*(MAX(1,N(D49))*2-1)+EI49),EI49))</f>
        <v>33</v>
      </c>
      <c r="Q49" s="6">
        <f t="shared" si="1"/>
        <v>0.36</v>
      </c>
      <c r="R49" t="str">
        <f t="shared" si="2"/>
        <v>ВВГнг(А)-LS (3х1,5)</v>
      </c>
      <c r="S49" t="str">
        <f>IF(BM49="","",IF(BN49="вводной узел","узел ","")&amp;"л."&amp;(INT((BM49-1)/Столбцов_на_лист)+1)&amp;" / "&amp;(MOD(BM49-1,Столбцов_на_лист)+1))</f>
        <v/>
      </c>
      <c r="T49" s="119">
        <f t="shared" si="3"/>
        <v>0.5</v>
      </c>
      <c r="U49" s="7" t="str">
        <f>IF(OR(CG49=0,N(BV49)+N(IB49)=0),"",ROUNDUP(Запас_БП*(N(HY49)+N(HZ49)),0))</f>
        <v/>
      </c>
      <c r="V49" s="119" t="str">
        <f t="shared" si="4"/>
        <v/>
      </c>
      <c r="W49" s="7" t="str">
        <f>IFERROR(IF(OR(B49="",BP49=1,BV49=1,NOT(ISNUMBER(EN49)),N(DT49)=0),"",MAX(0,ROUNDDOWN((c_min*(Uн_лин*1000/SQRT(3))/(HT49*N(DT49))-_xlfn.XLOOKUP(A49,Щиты[Щит],Щиты[Zпетли на шинах, Ом]))*EN49/(2*ρкз_Cu),0))),"")</f>
        <v/>
      </c>
      <c r="Y49" t="str">
        <f>Линии[[#This Row],[_авто утечка]]</f>
        <v/>
      </c>
      <c r="Z49">
        <v>1</v>
      </c>
      <c r="AA49">
        <v>230</v>
      </c>
      <c r="AB49" t="s">
        <v>562</v>
      </c>
      <c r="AI49" t="s">
        <v>555</v>
      </c>
      <c r="AK49" t="str">
        <f>Линии[[#This Row],[_авто модуль]]</f>
        <v/>
      </c>
      <c r="AM49" t="s">
        <v>527</v>
      </c>
      <c r="AN49" t="s">
        <v>11</v>
      </c>
      <c r="AO49">
        <v>3</v>
      </c>
      <c r="AQ49">
        <v>6</v>
      </c>
      <c r="AR49">
        <v>0</v>
      </c>
      <c r="AS49">
        <v>31</v>
      </c>
      <c r="BA49" cm="1">
        <f t="array" ref="BA49">ROW()-ROW(Линии[#Headers])</f>
        <v>47</v>
      </c>
      <c r="BC49" s="6" t="str">
        <f t="shared" si="5"/>
        <v>L</v>
      </c>
      <c r="BD49" t="str">
        <f t="shared" si="6"/>
        <v>00.009Б.1</v>
      </c>
      <c r="BE49" t="str">
        <f t="shared" si="7"/>
        <v>00</v>
      </c>
      <c r="BF49" t="str">
        <f t="shared" si="8"/>
        <v>009Б.1</v>
      </c>
      <c r="BG49" t="str">
        <f t="shared" si="9"/>
        <v>009Б</v>
      </c>
      <c r="BH49" t="str">
        <f>IF(X49&lt;&gt;"",X49,IF(AND(B49&lt;&gt;"",B49&lt;&gt;A49,ISNUMBER(_xlfn.XMATCH(B49,Щиты[Щит]))),B49,""))</f>
        <v/>
      </c>
      <c r="BI49" t="str" cm="1">
        <f t="array" ref="BI49">IF(B49="","",IF(BH49&lt;&gt;"","Щит "&amp;BH49,_xlfn.LET(_xlpm.nm,IFERROR(_xlfn.XLOOKUP(BC49,Коды_код,Коды_имя)&amp;"",""),_xlpm.md,IFERROR(N(_xlfn.XLOOKUP(BC49,Коды_код,Коды_режим)),1),_xlpm.ex,IF(Имя_режим="по экспликации",IFERROR(_xlfn.XLOOKUP(BE49&amp;"|"&amp;BG49,Экспликация[Этаж]&amp;"|"&amp;Экспликация[Помещение],Экспликация[Название])&amp;"",""),""),_xlpm.rm,IF(BG49="","",IF(_xlpm.ex&lt;&gt;"",". "&amp;_xlpm.ex&amp;IF(Имя_пом="нет"," ("&amp;BG49&amp;")"," (пом. "&amp;BG49&amp;")"),IF(Имя_пом="нет"," ",", пом. ")&amp;BG49)),IF(_xlpm.nm="","",IF(_xlpm.md=2,_xlpm.nm&amp;" шлейф "&amp;BE49,_xlpm.nm&amp;_xlpm.rm)))))</f>
        <v>Осветительная группа, пом. 009Б</v>
      </c>
      <c r="BJ49" t="str">
        <f t="shared" si="10"/>
        <v>Осветительная группа, пом. 009Б</v>
      </c>
      <c r="BK49">
        <f>IFERROR(_xlfn.XMATCH(A49,Щиты[Щит]),0)</f>
        <v>3</v>
      </c>
      <c r="BL49">
        <f>_xlfn.LET(_xlpm.k,IFERROR(_xlfn.XLOOKUP(A49,Щиты[Щит],Щиты[Мест под вводной узел]),""),IF(_xlpm.k="",Столбцов_на_лист,N(_xlpm.k)))</f>
        <v>17</v>
      </c>
      <c r="BM49" t="str">
        <f t="shared" si="11"/>
        <v/>
      </c>
      <c r="BN49" t="str">
        <f t="shared" si="12"/>
        <v/>
      </c>
      <c r="BO49" s="6">
        <f>IFERROR(N(_xlfn.XLOOKUP(BC49,Коды_код,Коды_квт)),0)</f>
        <v>0</v>
      </c>
      <c r="BP49">
        <f t="shared" si="13"/>
        <v>0</v>
      </c>
      <c r="BQ49" t="str">
        <f>IF(B49="","",IF(BH49&lt;&gt;"",IFERROR(_xlfn.XLOOKUP(BH49,Щиты[Щит],Щиты[Руст, кВт]),0),IF(BP49=1,IF(OR(N(_xlfn.XLOOKUP(A49,Щиты[Щит],Щиты[Вводов],1))&lt;=1,LOWER(TRIM(_xlfn.XLOOKUP(A49,Щиты[Щит],Щиты[АВР],"")&amp;""))="да"),IFERROR(_xlfn.XLOOKUP(A49,Щиты[Щит],Щиты[Руст, кВт]),0),SUMIFS(Линии[_Р для вводов],Линии[Щит],A49,Линии[Источник для режимов],GF49)),IF(BO49&gt;0,ROUND(BO49*MAX(1,N(D49)),3),""))))</f>
        <v/>
      </c>
      <c r="BR49">
        <f t="shared" si="14"/>
        <v>0.1</v>
      </c>
      <c r="BS49" s="6">
        <f>IF(B49="","",IF(BH49&lt;&gt;"",IFERROR(_xlfn.XLOOKUP(BH49,Щиты[Щит],Щиты[Руст, кВт]),0),N(BR49)))</f>
        <v>0.1</v>
      </c>
      <c r="BT49" t="str">
        <f>IF(B49="","",IFERROR(IF(VLOOKUP(BC49,Потребители_обозначение,8,FALSE)=0,"",VLOOKUP(BC49,Потребители_обозначение,8,FALSE)),""))</f>
        <v/>
      </c>
      <c r="BU49">
        <f t="shared" si="15"/>
        <v>230</v>
      </c>
      <c r="BV49">
        <f t="shared" si="16"/>
        <v>0</v>
      </c>
      <c r="BW49">
        <f>IF(B49="","",IF(BH49&lt;&gt;"",3,IFERROR(IF(N(VLOOKUP(BC49,Потребители_обозначение,9,FALSE))=0,1,VLOOKUP(BC49,Потребители_обозначение,9,FALSE)),1)))</f>
        <v>1</v>
      </c>
      <c r="BX49">
        <f t="shared" si="17"/>
        <v>1</v>
      </c>
      <c r="BY49" t="str">
        <f>IF(B49="","",_xlfn.LET(_xlpm.bc,IFERROR(IF(VLOOKUP(BC49,Потребители_обозначение,6,FALSE)=0,"",VLOOKUP(BC49,Потребители_обозначение,6,FALSE)&amp;""),""),IF(AND(GA49="да",OR(_xlpm.bc="",_xlpm.bc="мс")),Марка_пож,IF(AND(_xlpm.bc="",BH49&lt;&gt;""),"мс",_xlpm.bc))))</f>
        <v/>
      </c>
      <c r="BZ49" t="str">
        <f t="shared" si="18"/>
        <v>мс</v>
      </c>
      <c r="CA49">
        <f>IF(B49="","",_xlfn.LET(_xlpm.cc,IFERROR(N(VLOOKUP(BC49,Потребители_обозначение,7,FALSE)),0),IF(_xlpm.cc&gt;0,_xlpm.cc,IF(BZ49="","",IF(BV49=1,2,IF(N(BX49)=3,5,3))))))</f>
        <v>3</v>
      </c>
      <c r="CB49">
        <f t="shared" si="19"/>
        <v>3</v>
      </c>
      <c r="CC49">
        <f>IFERROR(N(VLOOKUP(BC49,Потребители_обозначение,10,FALSE)),0)</f>
        <v>0</v>
      </c>
      <c r="CD49">
        <f>IFERROR(VLOOKUP(BC49,Потребители_обозначение,5,FALSE),0)</f>
        <v>3</v>
      </c>
      <c r="CE49" s="6" cm="1">
        <f t="array" ref="CE49">IF(B49="","",IF(BH49&lt;&gt;"",IFERROR(_xlfn.XLOOKUP(BH49,Щиты[Щит],Щиты[cos φ]),0.95),IF(BP49=1,IFERROR(_xlfn.XLOOKUP(A49,Щиты[Щит],Щиты[cos φ]),0.95),IF(ISNUMBER(AD49),AD49,IFERROR(IF(CD49=2,_xlfn.IFS(BX49=3,VLOOKUP(BS49,Справочная_двигатели,8,FALSE),BX49=1,VLOOKUP(BS49,Справочная_двигатели,10,TRUE)),IF(AND(Методика="нормы 2026",FG49="Сил"),0.8,0.95)),0.95)))))</f>
        <v>0.95</v>
      </c>
      <c r="CF49">
        <f t="shared" si="20"/>
        <v>0</v>
      </c>
      <c r="CG49">
        <f t="shared" si="21"/>
        <v>1</v>
      </c>
      <c r="CH49">
        <f t="shared" si="22"/>
        <v>0</v>
      </c>
      <c r="CI49">
        <f>IF(B49="","",IF(BV49=1,IFERROR(BS49/((Uн_лин/SQRT(3))*MAX(0.5,N(CE49))),0),N(O49)))</f>
        <v>0.455802844097073</v>
      </c>
      <c r="CJ49">
        <f t="shared" si="23"/>
        <v>0</v>
      </c>
      <c r="CK49">
        <f t="shared" si="24"/>
        <v>0</v>
      </c>
      <c r="CL49">
        <f t="shared" si="25"/>
        <v>0</v>
      </c>
      <c r="CM49">
        <f t="shared" si="26"/>
        <v>0</v>
      </c>
      <c r="CN49">
        <f t="shared" si="27"/>
        <v>0</v>
      </c>
      <c r="CO49">
        <f>IF(BC49="",0,_xlfn.LET(_xlpm.v,IFERROR(_xlfn.XLOOKUP(B49,Коды_код,Коды_мА),IFERROR(_xlfn.XLOOKUP(BC49,Коды_код,Коды_мА),IFERROR(_xlfn.XLOOKUP(LEFT(BC49,2),Коды_код,Коды_мА),""))),IF(_xlpm.v="да",30,IF(ISNUMBER(_xlpm.v),_xlpm.v,0))))</f>
        <v>0</v>
      </c>
      <c r="CP49" t="str">
        <f t="shared" si="28"/>
        <v/>
      </c>
      <c r="CQ49" t="str">
        <f>_xlfn.LET(_xlpm.k,IFERROR(_xlfn.XLOOKUP(BC49,Коды_код,Коды_утечка)&amp;"",""),IF(_xlpm.k="","дифавтомат",_xlpm.k))</f>
        <v>дифавтомат</v>
      </c>
      <c r="CR49" t="str" cm="1">
        <f t="array" ref="CR49">IF(CG49=0,"",_xlfn.LET(_xlpm.sg,TRIM(_xlfn.TEXTSPLIT(DD49&amp;"",";")),_xlpm.f_,_xlfn._xlws.FILTER(_xlpm.sg,LEFT(_xlpm.sg,3)="УЗО",""),IFERROR(INDEX(_xlpm.f_,1)&amp;"","")))</f>
        <v/>
      </c>
      <c r="CS49" t="str">
        <f t="shared" si="29"/>
        <v/>
      </c>
      <c r="CT49" s="6" t="str" cm="1">
        <f t="array" ref="CT49">IF(CR49="","",_xlfn.LET(_xlpm.tk,_xlfn.TEXTSPLIT(UPPER(CR49)," ",,TRUE),_xlpm.a_,_xlfn._xlws.FILTER(_xlpm.tk,ISNUMBER(--LEFT(_xlpm.tk,1))*((ISNUMBER(SEARCH("А",_xlpm.tk))+ISNUMBER(SEARCH("A",_xlpm.tk)))&gt;0)*NOT(ISNUMBER(SEARCH("МА",_xlpm.tk)))*NOT(ISNUMBER(SEARCH("MA",_xlpm.tk))),""),IFERROR(--SUBSTITUTE(SUBSTITUTE(INDEX(_xlpm.a_,1),"А",""),"A",""),"")))</f>
        <v/>
      </c>
      <c r="CU49" t="str" cm="1">
        <f t="array" ref="CU49">IF(CR49="","",_xlfn.LET(_xlpm.tk,_xlfn.TEXTSPLIT(UPPER(CR49)," ",,TRUE),_xlpm.a_,_xlfn._xlws.FILTER(_xlpm.tk,ISNUMBER(--LEFT(_xlpm.tk,1))*((ISNUMBER(SEARCH("МА",_xlpm.tk))+ISNUMBER(SEARCH("MA",_xlpm.tk)))&gt;0),""),IFERROR(--SUBSTITUTE(SUBSTITUTE(INDEX(_xlpm.a_,1),"МА",""),"MA",""),30)))</f>
        <v/>
      </c>
      <c r="CV49" t="str">
        <f>IF(CS49="","",IFERROR(_xlfn.XLOOKUP(CS49,Линии[_n],Линии[_УЗО, мА]),30))</f>
        <v/>
      </c>
      <c r="CW49">
        <f>IF(CS49="",0,IF(ISNUMBER(SEARCH("4P",IFERROR(_xlfn.XLOOKUP(CS49,Линии[_n],Линии[_УЗО строки])&amp;"",""))),0,1))</f>
        <v>0</v>
      </c>
      <c r="CX49" t="str">
        <f>IF(AND(CS49&lt;&gt;"",CS49=BA49),SUMIFS(Линии[_ток на 230 В],Линии[_блок УЗО],BA49,Линии[Щит],A49),"")</f>
        <v/>
      </c>
      <c r="CY49" t="str">
        <f>IF(AND(CS49&lt;&gt;"",CS49=BA49),SUMIFS(Линии[_ток утечки линии, мА],Линии[_блок УЗО],BA49,Линии[Щит],A49),"")</f>
        <v/>
      </c>
      <c r="CZ49">
        <f t="shared" si="30"/>
        <v>0</v>
      </c>
      <c r="DA49">
        <f t="shared" si="31"/>
        <v>0</v>
      </c>
      <c r="DB49">
        <f>IF(B49="",0,IFERROR(--_xlfn.XLOOKUP(B49,Коды_код,Коды_минавт),IFERROR(--_xlfn.XLOOKUP(BC49,Коды_код,Коды_минавт),IFERROR(--_xlfn.XLOOKUP(LEFT(BC49,2),Коды_код,Коды_минавт),0))))</f>
        <v>10</v>
      </c>
      <c r="DC49" t="str">
        <f>IF(B49="","",IFERROR(_xlfn.XLOOKUP(BC49,Коды_код,Коды_апп)&amp;"",""))</f>
        <v/>
      </c>
      <c r="DD49" t="str">
        <f t="shared" si="32"/>
        <v/>
      </c>
      <c r="DE49" t="str" cm="1">
        <f t="array" ref="DE49">IF(TRIM(DD49&amp;"")="","",IFERROR(TRIM(INDEX(_xlfn.TEXTSPLIT(DD49&amp;";;;",";"),1)),""))</f>
        <v/>
      </c>
      <c r="DF49" t="str" cm="1">
        <f t="array" ref="DF49">IF(TRIM(DD49&amp;"")="","",IFERROR(TRIM(INDEX(_xlfn.TEXTSPLIT(DD49&amp;";;;",";"),2)),""))</f>
        <v/>
      </c>
      <c r="DG49" t="str" cm="1">
        <f t="array" ref="DG49">IF(TRIM(DD49&amp;"")="","",IFERROR(TRIM(INDEX(_xlfn.TEXTSPLIT(DD49&amp;";;;",";"),3)),""))</f>
        <v/>
      </c>
      <c r="DH49">
        <f t="shared" si="33"/>
        <v>0</v>
      </c>
      <c r="DI49" t="str">
        <f>IF(B49="","",_xlfn.LET(_xlpm.t,LOWER(AZ49&amp;""),IF(ISNUMBER(SEARCH("dim",_xlpm.t)),"DIM",IF(ISNUMBER(SEARCH("dali",_xlpm.t)),"DALI",IF(OR(ISNUMBER(SEARCH("relay",_xlpm.t)),ISNUMBER(SEARCH("реле",_xlpm.t))),"Relay",IF(ISNUMBER(SEARCH("кнопк",_xlpm.t)),"",IFERROR(_xlfn.XLOOKUP(BC49,Коды_код,Коды_упр)&amp;"","")))))))</f>
        <v/>
      </c>
      <c r="DJ49" t="str">
        <f t="shared" si="34"/>
        <v/>
      </c>
      <c r="DK49">
        <f>IF(B49="","",_xlfn.LET(_xlpm.ig,IF(N(CX49)&gt;0,N(CX49),N(CI49)+IF(AJ49="вручную",0,N(CJ49))),_xlpm.n0,IFERROR(VLOOKUP(_xlpm.ig,Автомат_номиналы,2,TRUE),0),_xlpm.mn,MAX(DB49,IF(AJ49="вручную",0,N(CM49))),MAX(_xlpm.n0,_xlpm.mn,IF(DH49=1,Мин_автомат_БП,0))))</f>
        <v>10</v>
      </c>
      <c r="DL49">
        <f t="shared" si="35"/>
        <v>1</v>
      </c>
      <c r="DM49" t="str">
        <f t="shared" si="36"/>
        <v>1P</v>
      </c>
      <c r="DN49" t="str">
        <f>_xlfn.LET(_xlpm.cc,UPPER(TRIM(IFERROR(_xlfn.XLOOKUP(BC49,Коды_код,Коды_хар)&amp;"",""))),IF(OR(_xlpm.cc="B",_xlpm.cc="В"),"B",IF(_xlpm.cc="D","D","С")))</f>
        <v>С</v>
      </c>
      <c r="DO49" t="str">
        <f t="shared" si="37"/>
        <v>1P С10А</v>
      </c>
      <c r="DP49" t="str">
        <f t="shared" si="38"/>
        <v>1P С10А</v>
      </c>
      <c r="DQ49" t="str">
        <f t="shared" si="39"/>
        <v>1P С10А</v>
      </c>
      <c r="DR49" cm="1">
        <f t="array" ref="DR49">IF(DQ49="","",_xlfn.LET(_xlpm.t,SUBSTITUTE(SUBSTITUTE(SUBSTITUTE(UPPER(DQ49),"С","C"),"А","A"),"В","B"),_xlpm.tk,_xlfn.TEXTSPLIT(_xlpm.t," "),_xlpm.f,_xlfn._xlws.FILTER(_xlpm.tk,ISNUMBER(--MID(_xlpm.tk,2,1))*ISNUMBER(SEARCH(LEFT(_xlpm.tk,1)&amp;"#","B#C#D#"))*(LEN(_xlpm.tk)&gt;1),""),_xlpm.x,INDEX(_xlpm.f,1),IFERROR(--SUBSTITUTE(MID(_xlpm.x,2,9),"A",""),IFERROR(--SUBSTITUTE(INDEX(_xlfn._xlws.FILTER(_xlpm.tk,ISNUMBER(--SUBSTITUTE(_xlpm.tk,"A","")),""),1),"A",""),""))))</f>
        <v>10</v>
      </c>
      <c r="DS49" t="str">
        <f t="shared" si="40"/>
        <v>ok</v>
      </c>
      <c r="DT49">
        <f t="shared" si="41"/>
        <v>10</v>
      </c>
      <c r="DU49" t="str">
        <f t="shared" si="42"/>
        <v>1P С10А</v>
      </c>
      <c r="DV49">
        <f t="shared" si="43"/>
        <v>0</v>
      </c>
      <c r="DW49">
        <f t="shared" si="44"/>
        <v>0</v>
      </c>
      <c r="DX49">
        <f t="shared" si="45"/>
        <v>0</v>
      </c>
      <c r="DY49">
        <f t="shared" si="46"/>
        <v>0.455802844097073</v>
      </c>
      <c r="DZ49">
        <f t="shared" si="47"/>
        <v>1</v>
      </c>
      <c r="EA49">
        <f>IF(ISNUMBER(AP49),AP49,К_прокл)</f>
        <v>1</v>
      </c>
      <c r="EB49">
        <f t="shared" si="48"/>
        <v>2</v>
      </c>
      <c r="EC49">
        <f>IFERROR(N(VLOOKUP(BZ49,Кабель_обозначение,3,FALSE)),1)</f>
        <v>1</v>
      </c>
      <c r="ED49">
        <f>IFERROR(N(_xlfn.XLOOKUP(A49,Щиты[Щит],Щиты[ΔU до шин, %])),0)</f>
        <v>0.17</v>
      </c>
      <c r="EE49" t="str">
        <f>IFERROR(_xlfn.XLOOKUP(A49,Щиты[Щит],Щиты[Zпетли на шинах, Ом]),"")</f>
        <v/>
      </c>
      <c r="EF49">
        <f>IFERROR(N(_xlfn.XLOOKUP(A49,Щиты[Щит],Щиты[ΔU до шин (подбор), %])),0)</f>
        <v>0.65</v>
      </c>
      <c r="EG49" t="str">
        <f>IFERROR(_xlfn.XLOOKUP(A49,Щиты[Щит],Щиты[Zпетли на шинах (подбор), Ом]),"")</f>
        <v/>
      </c>
      <c r="EH49" t="str">
        <f t="shared" si="49"/>
        <v/>
      </c>
      <c r="EI49">
        <f t="shared" si="50"/>
        <v>28</v>
      </c>
      <c r="EJ49">
        <f t="shared" si="51"/>
        <v>2</v>
      </c>
      <c r="EK49">
        <f t="shared" si="52"/>
        <v>0.31</v>
      </c>
      <c r="EL49" s="6">
        <f>IF(B49="","",IF(BV49=1,dU_LED,IF(IFERROR(_xlfn.XLOOKUP(BC49,Коды_код,Коды_уго),"")="Светильник",3,4)+IF(Методика="нормы 2026",MIN(0.5,MAX(0,N(P49)-100)*0.005),0)))</f>
        <v>3</v>
      </c>
      <c r="EM49" cm="1">
        <f t="array" ref="EM49">IF(OR(B49="",BZ49="",EC49&lt;&gt;1),"",_xlfn.LET(_xlpm.sz,Iдоп_S,_xlpm.t_,CHOOSE(EB49,Iдоп_1ж,Iдоп_2ж,Iдоп_3ж)*DZ49*EA49,_xlpm.dcx,BV49=1,_xlpm.inn,IF(_xlpm.dcx,N(O49),N(DT49)),_xlpm.smin,MAX(1.5,CC49),_xlpm.L_,N(P49)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49)/N(BU49)*100,999),IFERROR(N(EJ49)*(_xlpm.rho*_xlpm.L_/_xlpm.sz*N(CE49)+_xlpm.xx*_xlpm.L_*N(EK49)/1000)*N(O49)/((Uн_лин/SQRT(3))*1000)*100,999)),_xlpm.kz,IF(OR(_xlpm.dcx,DW49=1,NOT(ISNUMBER(EG49)),_xlpm.L_=0,_xlpm.inn=0),1,IFERROR(--(c_min*(Uн_лин*1000/SQRT(3))/(EG49+2*ρкз_Cu*_xlpm.L_/_xlpm.sz)&gt;=HT49*_xlpm.inn),0)),_xlpm.ok,IFERROR((_xlpm.sz&gt;=_xlpm.smin)*(_xlpm.t_&gt;=_xlpm.inn)*IF(_xlpm.L_&gt;0,(_xlpm.du_+IF(_xlpm.dcx,0,EF49)&lt;=EL49+0.00001),1)*_xlpm.kz,0),_xlpm.r_,_xlfn._xlws.FILTER(_xlpm.sz,_xlpm.ok,"не подобрано"),INDEX(_xlpm.r_,1)))</f>
        <v>1.5</v>
      </c>
      <c r="EN49">
        <f t="shared" si="53"/>
        <v>1.5</v>
      </c>
      <c r="EO49" cm="1">
        <f t="array" ref="EO49">IF(OR(B49="",BZ49="",EC49&lt;&gt;1),"",_xlfn.LET(_xlpm.sz,Iдоп_S,_xlpm.t_,CHOOSE(EB49,Iдоп_1ж,Iдоп_2ж,Iдоп_3ж)*DZ49*EA49,_xlpm.ok,IFERROR((_xlpm.sz&gt;=MAX(1.5,CC49))*(_xlpm.t_&gt;=N(DT49)),0),_xlpm.r_,_xlfn._xlws.FILTER(_xlpm.sz,_xlpm.ok,""),INDEX(_xlpm.r_,1)))</f>
        <v>1.5</v>
      </c>
      <c r="EP49" s="6" cm="1">
        <f t="array" ref="EP49">IFERROR(ROUNDUP(N(EJ49)*(_xlfn.XLOOKUP(EO49,INDEX(Кабель_сопротивление,0,1),INDEX(Кабель_сопротивление,0,3))*N(P49)/EO49*N(CE49)+_xlfn.XLOOKUP(EO49,INDEX(Кабель_сопротивление,0,1),INDEX(Кабель_сопротивление,0,2))*N(P49)*N(EK49)/1000)*N(O49)/((Uн_лин/SQRT(3))*1000)*100,2),"")</f>
        <v>0.19</v>
      </c>
      <c r="EQ49">
        <f>IFERROR(2*ρкз_Cu*N(P49)/EO49,"")</f>
        <v>1.1572</v>
      </c>
      <c r="ER49">
        <f>IFERROR(VLOOKUP(EN49,Кабель_сопротивление,3,FALSE),"")</f>
        <v>2.2499999999999999E-2</v>
      </c>
      <c r="ES49">
        <f>IFERROR(VLOOKUP(EN49,Кабель_сопротивление,2,FALSE),"")</f>
        <v>0.11</v>
      </c>
      <c r="ET49">
        <f t="shared" si="54"/>
        <v>0</v>
      </c>
      <c r="EU49">
        <f t="shared" si="55"/>
        <v>31</v>
      </c>
      <c r="EV49">
        <f t="shared" si="56"/>
        <v>0.42970840475422195</v>
      </c>
      <c r="EW49" s="6">
        <f>IFERROR(ROUNDUP(EV49/IF(BV49=1,BU49,(Uн_лин/SQRT(3))*1000)*100,2),"")</f>
        <v>0.19</v>
      </c>
      <c r="EX49" t="str">
        <f>IFERROR(VLOOKUP(BZ49,Кабель_обозначение,2,FALSE),"")</f>
        <v>ВВГнг(А)-LS</v>
      </c>
      <c r="EY49" t="str">
        <f t="shared" si="57"/>
        <v>ВВГнг(А)-LS (3х1,5)</v>
      </c>
      <c r="EZ49" t="str">
        <f t="shared" si="58"/>
        <v>ВВГнг(А)-LS (3х1,5)
L=33-0,19%</v>
      </c>
      <c r="FA49">
        <f>IFERROR(2*ρкз_Cu*P49/EN49,"")</f>
        <v>1.1572</v>
      </c>
      <c r="FB49">
        <f t="shared" si="59"/>
        <v>0.38500000000000001</v>
      </c>
      <c r="FC49" s="6" t="str">
        <f>IFERROR(IF(OR(B49="",BV49=1,NOT(ISNUMBER(EN49)),N(P49)=0),"",_xlfn.XLOOKUP(A49,Щиты[Щит],Щиты[Zпетли на шинах, Ом])+FA49),"")</f>
        <v/>
      </c>
      <c r="FD49" s="6" t="str">
        <f>IF(ISNUMBER(FC49),c_min*(Uн_лин*1000/SQRT(3))/FC49,"")</f>
        <v/>
      </c>
      <c r="FE49" s="6" t="str">
        <f>IFERROR(IF(OR(B49="",NOT(ISNUMBER(EN49))),"",1.05*(Uн_лин*1000/SQRT(3))/(_xlfn.XLOOKUP(A49,Щиты[Щит],Щиты[Zmax на шинах, Ом])+FB49)/1000),"")</f>
        <v/>
      </c>
      <c r="FF49" s="6" t="str">
        <f>IF(B49="","",IF(ISNUMBER(AC49),"Сил",IF(IFERROR(_xlfn.XLOOKUP(BC49,Коды_код,Коды_группа)&amp;"","")="","Быт",_xlfn.XLOOKUP(BC49,Коды_код,Коды_группа)&amp;"")))</f>
        <v>Быт</v>
      </c>
      <c r="FG49" s="6" t="str">
        <f t="shared" si="60"/>
        <v>Быт</v>
      </c>
      <c r="FH49" s="6">
        <f>IF(FG49="Щит","щит",IF(FG49="","",IF(FG49="Быт",IFERROR(_xlfn.XLOOKUP(A49,Щиты[Щит],Щиты[Кс быт]),1),IF(FG49="Сил",IF(ISNUMBER(AC49),AC49,IF(Методика="нормы 2026",IFERROR(_xlfn.XLOOKUP(A49,Щиты[Щит],Щиты[Кс силовых (табл. 7.5)]),1),1)),IF(OR(FG49="Пост",FG49="Отоп"),1,IF(FG49="ВНГ",0.7,0))))))</f>
        <v>0.8</v>
      </c>
      <c r="FI49">
        <f>IF(FG49="","",IF(AND(BP49=1,TRIM(AE49&amp;"")=""),IF(COUNTIFS(Линии[Щит],A49,Линии[Секция (1/2/3)],"&gt;=2")&gt;0,MIN(3,MAX(1,IFERROR(--BD49,1))),1),IFERROR(MIN(3,MAX(1,INT(--AE49))),1)))</f>
        <v>1</v>
      </c>
      <c r="FJ49">
        <f t="shared" si="61"/>
        <v>0.1</v>
      </c>
      <c r="FK49">
        <f t="shared" si="62"/>
        <v>0.1</v>
      </c>
      <c r="FL49">
        <f t="shared" si="63"/>
        <v>0</v>
      </c>
      <c r="FM49">
        <f t="shared" si="64"/>
        <v>0</v>
      </c>
      <c r="FN49">
        <f t="shared" si="65"/>
        <v>0</v>
      </c>
      <c r="FO49">
        <f t="shared" si="66"/>
        <v>0</v>
      </c>
      <c r="FP49">
        <f t="shared" si="67"/>
        <v>0.1</v>
      </c>
      <c r="FQ49">
        <f t="shared" si="68"/>
        <v>0.1</v>
      </c>
      <c r="FR49">
        <f t="shared" si="69"/>
        <v>9.5000000000000001E-2</v>
      </c>
      <c r="FS49">
        <f>IF(CG49=1,IF(AND(CH49=1,CW49=1),0,IF(AND(CS49&lt;&gt;"",CS49=BA49,CW49=1),SUMIFS(Линии[_Р линии, кВт],Линии[_блок УЗО],BA49,Линии[Щит],A49),N(BS49)+IF(AJ49="вручную",0,N(CK49)))),0)</f>
        <v>0.1</v>
      </c>
      <c r="FT49" t="str">
        <f t="shared" si="70"/>
        <v/>
      </c>
      <c r="FU49" t="str">
        <f>IF(B49="","",IF(CG49=0,IF(BA49=1,"",FW48),IF(AND(CH49=1,CW49=1,CS49&lt;&gt;""),IFERROR(_xlfn.XLOOKUP(CS49,Линии[_n],Линии[_фаза итог]),"L1"),IF(OR(N(DL49)&gt;=3,N(BX49)&gt;=3),"L1,L2,L3",IFERROR(_xlfn.TEXTBEFORE(_xlfn.TEXTAFTER(_xlfn.XLOOKUP(A49,Щиты[Щит],Щиты[_фазы авто]),";"&amp;BA49&amp;":"),";"),"L1")))))</f>
        <v>L3</v>
      </c>
      <c r="FV49" t="str">
        <f t="shared" si="71"/>
        <v>L3</v>
      </c>
      <c r="FW49" t="str">
        <f t="shared" si="72"/>
        <v>L3</v>
      </c>
      <c r="FX49" cm="1">
        <f t="array" ref="FX49">IFERROR(IF(CD49=2,_xlfn.IFS(BX49=3,VLOOKUP(BS49,Справочная_двигатели,3,FALSE),BX49=1,VLOOKUP(BS49,Справочная_двигатели,5,TRUE)),0),0)</f>
        <v>0</v>
      </c>
      <c r="FY49">
        <f>IFERROR(IF(CD49=3,VLOOKUP(BS49,Справочная_ЛЭД,2,TRUE),0),0)</f>
        <v>50</v>
      </c>
      <c r="FZ49" s="6">
        <f t="shared" si="73"/>
        <v>50</v>
      </c>
      <c r="GA49" t="str">
        <f>IF(B49="","",IF(TRIM(AH49&amp;"")&lt;&gt;"",IF(LOWER(TRIM(AH49&amp;""))="да","да","нет"),IF(IFERROR(_xlfn.XLOOKUP(BC49,Коды_код,Коды_пожарная),"")="да","да","нет")))</f>
        <v>нет</v>
      </c>
      <c r="GB49" t="str">
        <f t="shared" si="74"/>
        <v/>
      </c>
      <c r="GC49" t="str">
        <f t="shared" si="75"/>
        <v>основная</v>
      </c>
      <c r="GD49">
        <f>IF(AND(BP49=1,TRIM(AE49&amp;"")=""),IF(COUNTIFS(Линии[Щит],A49,Линии[Секция (1/2/3)],"&gt;=2")&gt;0,MIN(3,MAX(1,IFERROR(--BD49,1))),1),IFERROR(MIN(3,MAX(1,INT(--AE49))),1))</f>
        <v>1</v>
      </c>
      <c r="GE49" t="str" cm="1">
        <f t="array" ref="GE49">IF(B49="","",_xlfn.LET(_xlpm.t,IFERROR(_xlfn.XLOOKUP(1,(Шины[Шина]=GC49)*(((Шины[Щит]=A49)+(Шины[Щит]=""))&gt;0),Шины[Тип]),"")&amp;"",IF(_xlpm.t&lt;&gt;"",_xlpm.t,IF(ISNUMBER(SEARCH("ИБП",GC49)),"ИБП",IF(ISNUMBER(SEARCH("ДГУ",GC49)),"ДГУ","Ввод "&amp;GD49)))))</f>
        <v>Ввод 1</v>
      </c>
      <c r="GF49" t="str">
        <f t="shared" si="76"/>
        <v>Ввод 1</v>
      </c>
      <c r="GG49" t="str">
        <f>IF(BP49=0,"",IF(TRIM(AG49&amp;"")&lt;&gt;"",TRIM(AG49&amp;""),IF(OR(GE49="ИБП",GE49="ДГУ"),"I особая",_xlfn.XLOOKUP(A49,Щиты[Щит],Щиты[Категория шины «Ввод»],"III"))))</f>
        <v/>
      </c>
      <c r="GH49" t="str">
        <f>IF(A49="","",_xlfn.XLOOKUP(A49,Щиты[Щит],Щиты[Путь],""))</f>
        <v>|ГРЩ-ЖД|ЩГП|ЩО-001|</v>
      </c>
      <c r="GI49" t="str">
        <f>IF(B49="","",IF(AI49&lt;&gt;"",AI49,IF(IFERROR(_xlfn.XLOOKUP(BC49,Коды_код,Коды_вид)&amp;"","")="","Прочее",_xlfn.XLOOKUP(BC49,Коды_код,Коды_вид)&amp;"")))</f>
        <v>Рабочее освещение</v>
      </c>
      <c r="GJ49" t="str">
        <f>IF(BM49="","",INT((BM49-1)/Столбцов_на_лист)+1)</f>
        <v/>
      </c>
      <c r="GK49" t="str">
        <f t="shared" si="77"/>
        <v>ВВГнг(А)-LS (3х1,5) L=33-0,19%</v>
      </c>
      <c r="GL49">
        <f t="shared" si="78"/>
        <v>0.1</v>
      </c>
      <c r="GM49">
        <f t="shared" si="79"/>
        <v>0.46</v>
      </c>
      <c r="GN49">
        <f t="shared" si="80"/>
        <v>1</v>
      </c>
      <c r="GO49">
        <f t="shared" si="81"/>
        <v>0</v>
      </c>
      <c r="GP49">
        <f t="shared" si="82"/>
        <v>0</v>
      </c>
      <c r="GQ49" t="str">
        <f>IF(BM49="","",IF(AND(CG49=1,GP49=1),COUNTIFS(A$3:A49,A49,CG$3:CG49,1,GP$3:GP49,1),IF(OR(OR(BA49=1,A49&lt;&gt;A48),AJ49="вручную",GP49=0),"",IF(BA49=1,"",GR48))))</f>
        <v/>
      </c>
      <c r="GR49" t="str">
        <f t="shared" si="83"/>
        <v/>
      </c>
      <c r="GS49">
        <f>IF(B49="","",IFERROR(LOOKUP(INDEX(CHOOSE(EB49,Iдоп_1ж,Iдоп_2ж,Iдоп_3ж),MATCH(EN49,Iдоп_S,0))*DZ49*EA49,{6,10,16,20,25,32,40,50,63,80,100,125,160,200,250,315,400,500,630}),""))</f>
        <v>16</v>
      </c>
      <c r="GT49" t="str">
        <f t="shared" si="84"/>
        <v/>
      </c>
      <c r="GU49" t="str">
        <f t="shared" si="85"/>
        <v/>
      </c>
      <c r="GV49" t="str">
        <f t="shared" si="86"/>
        <v/>
      </c>
      <c r="GW49">
        <f t="shared" si="87"/>
        <v>0</v>
      </c>
      <c r="GX49" t="str">
        <f>IF(OR(B49="",DJ49=""),"",IFERROR(_xlfn.XLOOKUP(DJ49,Модули_умолч[Управление],Модули_умолч[Модель])&amp;"",""))</f>
        <v/>
      </c>
      <c r="GY49">
        <f>IF(DJ49="",1,IFERROR(MAX(0,N(_xlfn.XLOOKUP(DJ49,Модули_умолч[Управление],Модули_умолч[Каналов на линию]))),1))</f>
        <v>1</v>
      </c>
      <c r="GZ49" t="str">
        <f t="shared" si="88"/>
        <v/>
      </c>
      <c r="HA49" t="str">
        <f t="shared" si="89"/>
        <v/>
      </c>
      <c r="HB49" t="str">
        <f t="shared" si="90"/>
        <v/>
      </c>
      <c r="HC49">
        <f>IF(HB49="",0,IFERROR(N(VLOOKUP(HB49,Модули_спр,3,FALSE)),0))</f>
        <v>0</v>
      </c>
      <c r="HD49" t="str">
        <f t="shared" si="91"/>
        <v/>
      </c>
      <c r="HE49" t="str">
        <f t="shared" si="92"/>
        <v/>
      </c>
      <c r="HF49" t="str">
        <f>IF(OR(HE49="",HE49="-"),"",IFERROR(VLOOKUP(HE49,Модули_спр,2,FALSE),"R"))</f>
        <v/>
      </c>
      <c r="HG49" t="str">
        <f>IF(HF49="","",HF49&amp;"."&amp;COUNTIFS(A$3:A49,A49,HF$3:HF49,HF49))</f>
        <v/>
      </c>
      <c r="HH49" t="str">
        <f t="shared" si="93"/>
        <v/>
      </c>
      <c r="HI49" t="str">
        <f t="shared" si="94"/>
        <v/>
      </c>
      <c r="HJ49" t="str">
        <f t="shared" si="95"/>
        <v/>
      </c>
      <c r="HK49" t="str">
        <f t="shared" si="96"/>
        <v/>
      </c>
      <c r="HL49">
        <f t="shared" si="97"/>
        <v>1</v>
      </c>
      <c r="HM49" t="str">
        <f>IF(HL49=1,"XT"&amp;COUNTIFS(A$3:A49,A49,HL$3:HL49,1),"")</f>
        <v>XT18</v>
      </c>
      <c r="HN49" t="str">
        <f t="shared" si="98"/>
        <v>XT18</v>
      </c>
      <c r="HO49" t="str">
        <f t="shared" si="99"/>
        <v/>
      </c>
      <c r="HP49" t="str">
        <f t="shared" si="100"/>
        <v/>
      </c>
      <c r="HQ49" t="str">
        <f t="shared" si="101"/>
        <v>ok</v>
      </c>
      <c r="HR49" t="str">
        <f>IF(OR(HJ49="",HH49=""),"",IF(HJ49+MAX(0,GY49-1)&gt;IFERROR(VLOOKUP(HI49,Модули_спр,3,FALSE),99),"ЛИШНИЙ КАНАЛ",IF(AND(AL49&lt;&gt;"=",GY49&gt;0,COUNTIFS(Линии[_модуль гр.],HH49,Линии[Канал (итог)],HJ49,Линии[Канал],"&lt;&gt;=",Линии[Щит],A49)&gt;1),"ДУБЛЬ КАНАЛА","")))</f>
        <v/>
      </c>
      <c r="HS49" s="6" t="str">
        <f t="shared" si="102"/>
        <v/>
      </c>
      <c r="HT49">
        <f t="shared" si="103"/>
        <v>10</v>
      </c>
      <c r="HU49" t="str">
        <f t="shared" si="104"/>
        <v/>
      </c>
      <c r="HV49">
        <f t="shared" si="105"/>
        <v>0.51232113763882925</v>
      </c>
      <c r="HW49">
        <f t="shared" si="106"/>
        <v>0</v>
      </c>
      <c r="HX49">
        <f t="shared" si="107"/>
        <v>0</v>
      </c>
      <c r="HY49">
        <f t="shared" si="108"/>
        <v>0</v>
      </c>
      <c r="HZ49">
        <f t="shared" si="109"/>
        <v>0</v>
      </c>
      <c r="IA49">
        <f t="shared" si="110"/>
        <v>0</v>
      </c>
      <c r="IB49">
        <f t="shared" si="111"/>
        <v>0</v>
      </c>
      <c r="IC49" t="str">
        <f t="shared" si="112"/>
        <v/>
      </c>
      <c r="ID49" t="str" cm="1">
        <f t="array" ref="ID49">IF(IC49="","",_xlfn.LET(_xlpm.tk,_xlfn.TEXTSPLIT(SUBSTITUTE(SUBSTITUTE(IC49,";"," "),"→"," ")," ",,TRUE),_xlpm.w_,_xlfn._xlws.FILTER(_xlpm.tk,ISNUMBER(--LEFT(_xlpm.tk,1))*((ISNUMBER(SEARCH("W",_xlpm.tk))+ISNUMBER(SEARCH("Вт",_xlpm.tk)))&gt;0),""),IFERROR(--SUBSTITUTE(SUBSTITUTE(UPPER(INDEX(_xlpm.w_,1)),"W",""),"ВТ",""),"")))</f>
        <v/>
      </c>
      <c r="IE49" t="str" cm="1">
        <f t="array" ref="IE49">IF(IC49="","",_xlfn.LET(_xlpm.tk,_xlfn.TEXTSPLIT(SUBSTITUTE(SUBSTITUTE(IC49,";"," "),"→"," ")," ",,TRUE),_xlpm.v_,_xlfn._xlws.FILTER(_xlpm.tk,ISNUMBER(--LEFT(_xlpm.tk,1))*((ISNUMBER(SEARCH("V",_xlpm.tk))+(RIGHT(UPPER(_xlpm.tk))="В"))&gt;0),""),IFERROR(--SUBSTITUTE(SUBSTITUTE(UPPER(INDEX(_xlpm.v_,1)),"V",""),"В",""),"")))</f>
        <v/>
      </c>
      <c r="IF49" s="6" t="str">
        <f>IF(OR(BV49=0,HI49="",HJ49=""),"",IFERROR(N(_xlfn.XLOOKUP(HI49,Каталог!$C$4:$C$500,Каталог!$Q$4:$Q$500)),""))</f>
        <v/>
      </c>
      <c r="IG49" s="6" t="str">
        <f>IF(N(IF49)=0,"",SUMIFS(Линии[Iр, А],Линии[Щит],A49,Линии[_модуль гр.],HH49,Линии[Канал (итог)],HJ49))</f>
        <v/>
      </c>
      <c r="IH49" t="str">
        <f>IF(AND(B49="",HO49=""),"",_xlfn.TEXTJOIN("; ",TRUE,IF(AND(B49&lt;&gt;"",FV49=""),"нет фазы",""),IF(AND(B49&lt;&gt;"",N(GL49)=0,FG49&lt;&gt;"Нет"),"нет мощности",""),IF(AND(HN49&lt;&gt;"",COUNTIFS(Линии[Щит],A49,Линии[Клемма (итог)],HN49)&gt;1),"дубль клеммы "&amp;HN49,""),IF(AND(HQ49&lt;&gt;"",HQ49&lt;&gt;"ok"),HQ49,""),IF(HR49&lt;&gt;"",HR49,""),IF(AND(N(CB49)&gt;=4,N(BX49)=1),CB49&amp;" жил на 1 фазе",""),IF(AND(BC49="R",CG49=1,IF(CS49&lt;&gt;"",N(CV49)&gt;30,OR(N(DA49)=0,N(DA49)&gt;30))),"розетка без дифзащиты до 30 мА",""),IF(AND(CG49=1,N(DA49)&gt;0,ISNUMBER(T49)),IF(T49&gt;N(DA49)/3,"ток утечки "&amp;FIXED(T49,1)&amp;" мА &gt; 1/3 уставки ("&amp;DA49&amp;" мА)",""),""),IF(AND(CH49=1,CS49=""),"«узо»: нет строки с УЗО выше (УЗО 2P 40А 30мА в «Аппаратах»)",""),IF(AND(CS49&lt;&gt;"",CS49=BA49),IF(CT49="","впишите номинал УЗО (УЗО 2P 40А 30мА)",IF(N(CT49)&lt;N(DT49),"УЗО "&amp;CT49&amp;" А &lt; автомата "&amp;DT49&amp;" А перед ним",IF(N(CT49)&lt;N(CX49),"УЗО "&amp;CT49&amp;" А &lt; тока блока "&amp;FIXED(CX49,1)&amp;" А",""))),""),IF(AND(CS49&lt;&gt;"",CS49=BA49,ISNUMBER(CY49)),IF(CY49&gt;N(CV49)/3,"ток утечки блока УЗО "&amp;FIXED(CY49,1)&amp;" мА &gt; 1/3 уставки ("&amp;CV49&amp;" мА)",""),""),IF(AND(CG49=1,N(BV49)+N(IB49)&gt;0,IC49=""),"линии до 50 В без БП: впишите в «Аппараты» (БП 24V 480W)",""),IF(AND(CG49=1,ISNUMBER(ID49),ISNUMBER(U49)),IF(U49&gt;ID49,"БП "&amp;ID49&amp;" Вт &lt; нужно "&amp;U49&amp;" Вт (×"&amp;Запас_БП&amp;")",""),""),IF(AND(CG49=1,ISNUMBER(IE49),N(BV49)=1),IF(IE49&lt;&gt;N(BU49),"БП на "&amp;IE49&amp;" В, линия "&amp;BU49&amp;" В",""),""),IF(AND(N(IF49)&gt;0,N(IG49)&gt;N(IF49)),HH49&amp;" канал "&amp;HJ49&amp;": "&amp;FIXED(IG49,1)&amp;" А &gt; "&amp;IF49&amp;" А",""),IFERROR(IF(AND(ISNUMBER(Q49),Q49&gt;EL49),"потери "&amp;FIXED(Q49,1)&amp;" % &gt; "&amp;EL49&amp;" %",""),""),IFERROR(IF(LEFT(HU49,4)="мало","Iкз мало — отключение &gt; 0,4 с",""),""),IF(AND(B49&lt;&gt;"",BM49=""),"не на схеме",""),IF(AND(CG49=0,B49&lt;&gt;"",FV49&lt;&gt;"",IF(BA49=1,"",FW48)&lt;&gt;"",FV49&lt;&gt;IF(BA49=1,"",FW48)),"фаза не как у автомата группы ("&amp;IF(BA49=1,"",FW48)&amp;")","")))</f>
        <v>не на схеме</v>
      </c>
      <c r="II49" s="6">
        <f>IF(OR(CG49=0,DQ49=""),"",_xlfn.LET(_xlpm.t,IFERROR(_xlfn.XLOOKUP(DQ49,Каталог!$U$4:$U$500,Каталог!$G$4:$G$500),""),_xlpm.k,SEARCH("кА",_xlpm.t),IFERROR(--TRIM(RIGHT(SUBSTITUTE(MID(_xlpm.t,MAX(1,_xlpm.k-4),_xlpm.k-MAX(1,_xlpm.k-4))," ",REPT(" ",9)),5)),"")))</f>
        <v>6</v>
      </c>
      <c r="IJ49" t="str">
        <f>IF(OR(II49="",CG49=0),"",IF(_xlfn.XLOOKUP(A49,Щиты[Щит],Щиты[Iкз max на шинах, кА],"")="","",IF(II49&lt;_xlfn.XLOOKUP(A49,Щиты[Щит],Щиты[Iкз max на шинах, кА]),"Icu "&amp;II49&amp;" кА &lt; Iкз max","ok")))</f>
        <v/>
      </c>
      <c r="IK49" t="str">
        <f t="shared" si="113"/>
        <v/>
      </c>
      <c r="IL49" t="str">
        <f t="shared" si="114"/>
        <v/>
      </c>
      <c r="IM49" t="str">
        <f t="shared" si="115"/>
        <v/>
      </c>
      <c r="IN49" t="str" cm="1">
        <f t="array" ref="IN49">IF(IM49="","",_xlfn.LET(_xlpm.nd,_xlfn.TEXTSPLIT(IM49,"|"),IF(COLUMNS(_xlpm.nd)&gt;1,A49&amp;"¦"&amp;INDEX(_xlpm.nd,1)&amp;"¦"&amp;INDEX(_xlpm.nd,2),"")))</f>
        <v/>
      </c>
      <c r="IO49" t="str">
        <f t="shared" si="116"/>
        <v/>
      </c>
      <c r="IP49" t="str" cm="1">
        <f t="array" ref="IP49">IF(IM49="","",_xlfn.LET(_xlpm.nd,_xlfn.TEXTSPLIT(IM49,"|"),IF(COLUMNS(_xlpm.nd)&gt;2,A49&amp;"¦"&amp;INDEX(_xlpm.nd,2)&amp;"¦"&amp;INDEX(_xlpm.nd,3),"")))</f>
        <v/>
      </c>
      <c r="IQ49" t="str">
        <f t="shared" si="117"/>
        <v/>
      </c>
      <c r="IR49" t="str" cm="1">
        <f t="array" ref="IR49">IF(IM49="","",_xlfn.LET(_xlpm.nd,_xlfn.TEXTSPLIT(IM49,"|"),IF(COLUMNS(_xlpm.nd)&gt;3,A49&amp;"¦"&amp;INDEX(_xlpm.nd,3)&amp;"¦"&amp;INDEX(_xlpm.nd,4),"")))</f>
        <v/>
      </c>
      <c r="IS49" t="str">
        <f t="shared" si="118"/>
        <v/>
      </c>
      <c r="IT49" t="str" cm="1">
        <f t="array" ref="IT49">IF(IM49="","",_xlfn.LET(_xlpm.nd,_xlfn.TEXTSPLIT(IM49,"|"),IF(COLUMNS(_xlpm.nd)&gt;4,A49&amp;"¦"&amp;INDEX(_xlpm.nd,4)&amp;"¦"&amp;INDEX(_xlpm.nd,5),"")))</f>
        <v/>
      </c>
      <c r="IU49" t="str">
        <f t="shared" si="119"/>
        <v/>
      </c>
      <c r="IV49" t="str" cm="1">
        <f t="array" ref="IV49">IF(IM49="","",_xlfn.LET(_xlpm.nd,_xlfn.TEXTSPLIT(IM49,"|"),IF(COLUMNS(_xlpm.nd)&gt;5,A49&amp;"¦"&amp;INDEX(_xlpm.nd,5)&amp;"¦"&amp;INDEX(_xlpm.nd,6),"")))</f>
        <v/>
      </c>
      <c r="IW49" t="str">
        <f t="shared" si="120"/>
        <v/>
      </c>
      <c r="IX49" t="str" cm="1">
        <f t="array" ref="IX49">IF(IM49="","",_xlfn.LET(_xlpm.nd,_xlfn.TEXTSPLIT(IM49,"|"),IF(COLUMNS(_xlpm.nd)&gt;6,A49&amp;"¦"&amp;INDEX(_xlpm.nd,6)&amp;"¦"&amp;INDEX(_xlpm.nd,7),"")))</f>
        <v/>
      </c>
      <c r="IY49" t="str">
        <f t="shared" si="121"/>
        <v/>
      </c>
      <c r="IZ49" t="str">
        <f t="shared" si="122"/>
        <v/>
      </c>
      <c r="JA49" t="str">
        <f t="shared" si="123"/>
        <v>XT18</v>
      </c>
      <c r="JB49">
        <f t="shared" si="124"/>
        <v>0</v>
      </c>
      <c r="JC49">
        <f t="shared" si="125"/>
        <v>0</v>
      </c>
      <c r="JD49" t="str">
        <f t="shared" si="126"/>
        <v/>
      </c>
      <c r="JE49" t="str">
        <f t="shared" si="127"/>
        <v/>
      </c>
      <c r="JF49" t="str">
        <f t="shared" si="128"/>
        <v/>
      </c>
      <c r="JG49" t="str">
        <f t="shared" si="129"/>
        <v/>
      </c>
      <c r="JH49" t="str">
        <f>IF(B49="","",IFERROR(_xlfn.XLOOKUP(B49,Коды_код,Коды_уго),IFERROR(_xlfn.XLOOKUP(BC49,Коды_код,Коды_уго),IFERROR(_xlfn.XLOOKUP(LEFT(BC49,2),Коды_код,Коды_уго),""))))</f>
        <v>Светильник</v>
      </c>
      <c r="JI49" t="str">
        <f>IF(B49="","",IF(OR(JH49="",JH49=0),"BOX",IFERROR(IF(VLOOKUP(JH49,УГО_блоки,3,FALSE)&amp;""&lt;&gt;"",VLOOKUP(JH49,УГО_блоки,3,FALSE),VLOOKUP(JH49,УГО_блоки,2,FALSE)),JH49)))</f>
        <v>LAMP</v>
      </c>
      <c r="JJ49">
        <f t="shared" si="130"/>
        <v>1</v>
      </c>
      <c r="JK49" t="str">
        <f>IF(DQ49="","",IF(COUNTIF(DQ$3:DQ49,DQ49)=1,MAX(JK$2:JK48)+1,""))</f>
        <v/>
      </c>
      <c r="JL49" t="str">
        <f>IF(DE49="","",IF(COUNTIF(DE$3:DE49,DE49)+COUNTIF(DF$2:DF48,DE49)+COUNTIF(DG$2:DG48,DE49)=1,MAX(JL$2:JN48)+1,""))</f>
        <v/>
      </c>
      <c r="JM49" t="str">
        <f>IF(DF49="","",IF(COUNTIF(DE$3:DE49,DF49)+COUNTIF(DF$3:DF49,DF49)+COUNTIF(DG$2:DG48,DF49)=1,MAX(JL$2:JN48,JL49)+1,""))</f>
        <v/>
      </c>
      <c r="JN49" t="str">
        <f>IF(DG49="","",IF(COUNTIF(DE$3:DE49,DG49)+COUNTIF(DF$3:DF49,DG49)+COUNTIF(DG$3:DG49,DG49)=1,MAX(JL$2:JN48,JL49,JM49)+1,""))</f>
        <v/>
      </c>
      <c r="JO49" t="str">
        <f t="shared" si="131"/>
        <v>3х1,5</v>
      </c>
      <c r="JP49" t="str">
        <f>IF(JO49="","",IF(COUNTIF(JO$3:JO49,JO49)=1,MAX(JP$2:JP48)+1,""))</f>
        <v/>
      </c>
      <c r="JQ49" t="str">
        <f>IF(HG49="","",COUNTIF(HG$3:HG49,"?*"))</f>
        <v/>
      </c>
      <c r="JR49" t="str">
        <f>IF(OR(HG49="",HI49=""),"",IF(COUNTIFS(HG$3:HG49,"?*",HI$3:HI49,HI49)=1,MAX(JR$2:JR48)+1,""))</f>
        <v/>
      </c>
      <c r="JS49">
        <f t="shared" si="132"/>
        <v>1</v>
      </c>
      <c r="JT49">
        <f>IF(B49="","",COUNTIF(B$3:B49,"?*"))</f>
        <v>47</v>
      </c>
      <c r="JU49">
        <f>IF(HL49&lt;&gt;1,0,_xlfn.LET(_xlpm.k,MAX(IFERROR(--_xlfn.XLOOKUP(B49,Коды_код,Коды_3L),0),IFERROR(--_xlfn.XLOOKUP(BC49,Коды_код,Коды_3L),0),IFERROR(--_xlfn.XLOOKUP(LEFT(BC49,2),Коды_код,Коды_3L),0)),IF(_xlpm.k&gt;0,_xlpm.k,IF(IFERROR(--LEFT(SUBSTITUTE(JO49,"x","х"),FIND("х",SUBSTITUTE(JO49,"x","х"))-1),3)&gt;3,Каталог!$S$9,1))))</f>
        <v>1</v>
      </c>
      <c r="JV49">
        <f t="shared" si="133"/>
        <v>0</v>
      </c>
      <c r="JW49" t="str">
        <f t="shared" si="134"/>
        <v>авто</v>
      </c>
      <c r="JX49" t="str">
        <f t="shared" si="135"/>
        <v/>
      </c>
      <c r="JY49">
        <f t="shared" si="136"/>
        <v>0</v>
      </c>
      <c r="JZ49">
        <f t="shared" si="137"/>
        <v>1</v>
      </c>
    </row>
    <row r="50" spans="1:286" x14ac:dyDescent="0.3">
      <c r="A50" t="s">
        <v>1109</v>
      </c>
      <c r="B50" t="s">
        <v>1364</v>
      </c>
      <c r="C50" t="str">
        <f>Линии[[#This Row],[_авто наименование]]</f>
        <v>Осветительная группа, пом. 008Б</v>
      </c>
      <c r="D50">
        <v>4</v>
      </c>
      <c r="E50" t="str">
        <f>Линии[[#This Row],[_авто Р]]</f>
        <v/>
      </c>
      <c r="G50" t="str">
        <f>Линии[[#This Row],[_авто автомат]]</f>
        <v>1P С10А</v>
      </c>
      <c r="H50" t="str">
        <f>Линии[[#This Row],[_авто управление]]</f>
        <v/>
      </c>
      <c r="I50" t="str">
        <f>Линии[[#This Row],[_авто аппараты]]</f>
        <v/>
      </c>
      <c r="J50" t="str">
        <f>Линии[[#This Row],[_авто сечение]]</f>
        <v/>
      </c>
      <c r="K50">
        <v>5</v>
      </c>
      <c r="L50" t="str">
        <f>Линии[[#This Row],[_авто фаза]]</f>
        <v>L2</v>
      </c>
      <c r="M50" t="str">
        <f>Линии[[#This Row],[_авто клемма]]</f>
        <v/>
      </c>
      <c r="N50" t="str">
        <f t="shared" si="0"/>
        <v>нет мощности; не на схеме</v>
      </c>
      <c r="O50" s="6" cm="1">
        <f t="array" ref="O50">IF(B50="","",IF(BH50&lt;&gt;"",IFERROR(_xlfn.XLOOKUP(BH50,Щиты[Щит],Щиты[Iр, А]),""),IF(BP50=1,IF(OR(N(_xlfn.XLOOKUP(A50,Щиты[Щит],Щиты[Вводов],1))&lt;=1,LOWER(TRIM(_xlfn.XLOOKUP(A50,Щиты[Щит],Щиты[АВР],"")&amp;""))="да"),IFERROR(_xlfn.XLOOKUP(A50,Щиты[Щит],Щиты[Iр, А]),""),IFERROR(N(BS50)*_xlfn.XLOOKUP(A50,Щиты[Щит],Щиты[Кс итог])/(SQRT(3)*Uн_лин*_xlfn.XLOOKUP(A50,Щиты[Щит],Щиты[cos φ])),"")),IF(BV50=1,IFERROR(BS50*1000/BU50,""),IFERROR(_xlfn.IFS(BX50=1,BS50/((Uн_лин/SQRT(3))*CE50),BX50=3,BS50/(SQRT(3)*Uн_лин*CE50)),"")))))</f>
        <v>0</v>
      </c>
      <c r="P50" s="7">
        <f>IF(B50="","",IFERROR(IF(VLOOKUP(BC50,Потребители_обозначение,4,FALSE)=1,VLOOKUP(BC50,Потребители_обозначение,3,FALSE)*(MAX(1,N(D50))*2-1)+EI50+VLOOKUP(BE50,Этаж_обозначение,3,FALSE)+VLOOKUP(BE50,Этаж_обозначение,4,FALSE),VLOOKUP(BC50,Потребители_обозначение,3,FALSE)*(MAX(1,N(D50))*2-1)+EI50),EI50))</f>
        <v>12</v>
      </c>
      <c r="Q50" s="6" t="str">
        <f t="shared" si="1"/>
        <v/>
      </c>
      <c r="R50" t="str">
        <f t="shared" si="2"/>
        <v/>
      </c>
      <c r="S50" t="str">
        <f>IF(BM50="","",IF(BN50="вводной узел","узел ","")&amp;"л."&amp;(INT((BM50-1)/Столбцов_на_лист)+1)&amp;" / "&amp;(MOD(BM50-1,Столбцов_на_лист)+1))</f>
        <v/>
      </c>
      <c r="T50" s="119">
        <f t="shared" si="3"/>
        <v>0.1</v>
      </c>
      <c r="U50" s="7" t="str">
        <f>IF(OR(CG50=0,N(BV50)+N(IB50)=0),"",ROUNDUP(Запас_БП*(N(HY50)+N(HZ50)),0))</f>
        <v/>
      </c>
      <c r="V50" s="119" t="str">
        <f t="shared" si="4"/>
        <v/>
      </c>
      <c r="W50" s="7" t="str">
        <f>IFERROR(IF(OR(B50="",BP50=1,BV50=1,NOT(ISNUMBER(EN50)),N(DT50)=0),"",MAX(0,ROUNDDOWN((c_min*(Uн_лин*1000/SQRT(3))/(HT50*N(DT50))-_xlfn.XLOOKUP(A50,Щиты[Щит],Щиты[Zпетли на шинах, Ом]))*EN50/(2*ρкз_Cu),0))),"")</f>
        <v/>
      </c>
      <c r="Y50" t="str">
        <f>Линии[[#This Row],[_авто утечка]]</f>
        <v/>
      </c>
      <c r="Z50">
        <v>1</v>
      </c>
      <c r="AA50">
        <v>230</v>
      </c>
      <c r="AB50" t="s">
        <v>562</v>
      </c>
      <c r="AI50" t="s">
        <v>555</v>
      </c>
      <c r="AK50" t="str">
        <f>Линии[[#This Row],[_авто модуль]]</f>
        <v/>
      </c>
      <c r="AM50" t="s">
        <v>527</v>
      </c>
      <c r="AN50" t="str">
        <f>Линии[[#This Row],[_авто марка]]</f>
        <v/>
      </c>
      <c r="AO50" t="str">
        <f>Линии[[#This Row],[_авто жил]]</f>
        <v/>
      </c>
      <c r="BA50" cm="1">
        <f t="array" ref="BA50">ROW()-ROW(Линии[#Headers])</f>
        <v>48</v>
      </c>
      <c r="BC50" s="6" t="str">
        <f t="shared" si="5"/>
        <v>L</v>
      </c>
      <c r="BD50" t="str">
        <f t="shared" si="6"/>
        <v>00.008Б.1</v>
      </c>
      <c r="BE50" t="str">
        <f t="shared" si="7"/>
        <v>00</v>
      </c>
      <c r="BF50" t="str">
        <f t="shared" si="8"/>
        <v>008Б.1</v>
      </c>
      <c r="BG50" t="str">
        <f t="shared" si="9"/>
        <v>008Б</v>
      </c>
      <c r="BH50" t="str">
        <f>IF(X50&lt;&gt;"",X50,IF(AND(B50&lt;&gt;"",B50&lt;&gt;A50,ISNUMBER(_xlfn.XMATCH(B50,Щиты[Щит]))),B50,""))</f>
        <v/>
      </c>
      <c r="BI50" t="str" cm="1">
        <f t="array" ref="BI50">IF(B50="","",IF(BH50&lt;&gt;"","Щит "&amp;BH50,_xlfn.LET(_xlpm.nm,IFERROR(_xlfn.XLOOKUP(BC50,Коды_код,Коды_имя)&amp;"",""),_xlpm.md,IFERROR(N(_xlfn.XLOOKUP(BC50,Коды_код,Коды_режим)),1),_xlpm.ex,IF(Имя_режим="по экспликации",IFERROR(_xlfn.XLOOKUP(BE50&amp;"|"&amp;BG50,Экспликация[Этаж]&amp;"|"&amp;Экспликация[Помещение],Экспликация[Название])&amp;"",""),""),_xlpm.rm,IF(BG50="","",IF(_xlpm.ex&lt;&gt;"",". "&amp;_xlpm.ex&amp;IF(Имя_пом="нет"," ("&amp;BG50&amp;")"," (пом. "&amp;BG50&amp;")"),IF(Имя_пом="нет"," ",", пом. ")&amp;BG50)),IF(_xlpm.nm="","",IF(_xlpm.md=2,_xlpm.nm&amp;" шлейф "&amp;BE50,_xlpm.nm&amp;_xlpm.rm)))))</f>
        <v>Осветительная группа, пом. 008Б</v>
      </c>
      <c r="BJ50" t="str">
        <f t="shared" si="10"/>
        <v>Осветительная группа, пом. 008Б</v>
      </c>
      <c r="BK50">
        <f>IFERROR(_xlfn.XMATCH(A50,Щиты[Щит]),0)</f>
        <v>3</v>
      </c>
      <c r="BL50">
        <f>_xlfn.LET(_xlpm.k,IFERROR(_xlfn.XLOOKUP(A50,Щиты[Щит],Щиты[Мест под вводной узел]),""),IF(_xlpm.k="",Столбцов_на_лист,N(_xlpm.k)))</f>
        <v>17</v>
      </c>
      <c r="BM50" t="str">
        <f t="shared" si="11"/>
        <v/>
      </c>
      <c r="BN50" t="str">
        <f t="shared" si="12"/>
        <v/>
      </c>
      <c r="BO50" s="6">
        <f>IFERROR(N(_xlfn.XLOOKUP(BC50,Коды_код,Коды_квт)),0)</f>
        <v>0</v>
      </c>
      <c r="BP50">
        <f t="shared" si="13"/>
        <v>0</v>
      </c>
      <c r="BQ50" t="str">
        <f>IF(B50="","",IF(BH50&lt;&gt;"",IFERROR(_xlfn.XLOOKUP(BH50,Щиты[Щит],Щиты[Руст, кВт]),0),IF(BP50=1,IF(OR(N(_xlfn.XLOOKUP(A50,Щиты[Щит],Щиты[Вводов],1))&lt;=1,LOWER(TRIM(_xlfn.XLOOKUP(A50,Щиты[Щит],Щиты[АВР],"")&amp;""))="да"),IFERROR(_xlfn.XLOOKUP(A50,Щиты[Щит],Щиты[Руст, кВт]),0),SUMIFS(Линии[_Р для вводов],Линии[Щит],A50,Линии[Источник для режимов],GF50)),IF(BO50&gt;0,ROUND(BO50*MAX(1,N(D50)),3),""))))</f>
        <v/>
      </c>
      <c r="BR50" t="str">
        <f t="shared" si="14"/>
        <v/>
      </c>
      <c r="BS50" s="6">
        <f>IF(B50="","",IF(BH50&lt;&gt;"",IFERROR(_xlfn.XLOOKUP(BH50,Щиты[Щит],Щиты[Руст, кВт]),0),N(BR50)))</f>
        <v>0</v>
      </c>
      <c r="BT50" t="str">
        <f>IF(B50="","",IFERROR(IF(VLOOKUP(BC50,Потребители_обозначение,8,FALSE)=0,"",VLOOKUP(BC50,Потребители_обозначение,8,FALSE)),""))</f>
        <v/>
      </c>
      <c r="BU50">
        <f t="shared" si="15"/>
        <v>230</v>
      </c>
      <c r="BV50">
        <f t="shared" si="16"/>
        <v>0</v>
      </c>
      <c r="BW50">
        <f>IF(B50="","",IF(BH50&lt;&gt;"",3,IFERROR(IF(N(VLOOKUP(BC50,Потребители_обозначение,9,FALSE))=0,1,VLOOKUP(BC50,Потребители_обозначение,9,FALSE)),1)))</f>
        <v>1</v>
      </c>
      <c r="BX50">
        <f t="shared" si="17"/>
        <v>1</v>
      </c>
      <c r="BY50" t="str">
        <f>IF(B50="","",_xlfn.LET(_xlpm.bc,IFERROR(IF(VLOOKUP(BC50,Потребители_обозначение,6,FALSE)=0,"",VLOOKUP(BC50,Потребители_обозначение,6,FALSE)&amp;""),""),IF(AND(GA50="да",OR(_xlpm.bc="",_xlpm.bc="мс")),Марка_пож,IF(AND(_xlpm.bc="",BH50&lt;&gt;""),"мс",_xlpm.bc))))</f>
        <v/>
      </c>
      <c r="BZ50" t="str">
        <f t="shared" si="18"/>
        <v/>
      </c>
      <c r="CA50" t="str">
        <f>IF(B50="","",_xlfn.LET(_xlpm.cc,IFERROR(N(VLOOKUP(BC50,Потребители_обозначение,7,FALSE)),0),IF(_xlpm.cc&gt;0,_xlpm.cc,IF(BZ50="","",IF(BV50=1,2,IF(N(BX50)=3,5,3))))))</f>
        <v/>
      </c>
      <c r="CB50" t="str">
        <f t="shared" si="19"/>
        <v/>
      </c>
      <c r="CC50">
        <f>IFERROR(N(VLOOKUP(BC50,Потребители_обозначение,10,FALSE)),0)</f>
        <v>0</v>
      </c>
      <c r="CD50">
        <f>IFERROR(VLOOKUP(BC50,Потребители_обозначение,5,FALSE),0)</f>
        <v>3</v>
      </c>
      <c r="CE50" s="6" cm="1">
        <f t="array" ref="CE50">IF(B50="","",IF(BH50&lt;&gt;"",IFERROR(_xlfn.XLOOKUP(BH50,Щиты[Щит],Щиты[cos φ]),0.95),IF(BP50=1,IFERROR(_xlfn.XLOOKUP(A50,Щиты[Щит],Щиты[cos φ]),0.95),IF(ISNUMBER(AD50),AD50,IFERROR(IF(CD50=2,_xlfn.IFS(BX50=3,VLOOKUP(BS50,Справочная_двигатели,8,FALSE),BX50=1,VLOOKUP(BS50,Справочная_двигатели,10,TRUE)),IF(AND(Методика="нормы 2026",FG50="Сил"),0.8,0.95)),0.95)))))</f>
        <v>0.95</v>
      </c>
      <c r="CF50">
        <f t="shared" si="20"/>
        <v>0</v>
      </c>
      <c r="CG50">
        <f t="shared" si="21"/>
        <v>1</v>
      </c>
      <c r="CH50">
        <f t="shared" si="22"/>
        <v>0</v>
      </c>
      <c r="CI50">
        <f>IF(B50="","",IF(BV50=1,IFERROR(BS50/((Uн_лин/SQRT(3))*MAX(0.5,N(CE50))),0),N(O50)))</f>
        <v>0</v>
      </c>
      <c r="CJ50">
        <f t="shared" si="23"/>
        <v>0</v>
      </c>
      <c r="CK50">
        <f t="shared" si="24"/>
        <v>0</v>
      </c>
      <c r="CL50">
        <f t="shared" si="25"/>
        <v>0</v>
      </c>
      <c r="CM50">
        <f t="shared" si="26"/>
        <v>0</v>
      </c>
      <c r="CN50">
        <f t="shared" si="27"/>
        <v>0</v>
      </c>
      <c r="CO50">
        <f>IF(BC50="",0,_xlfn.LET(_xlpm.v,IFERROR(_xlfn.XLOOKUP(B50,Коды_код,Коды_мА),IFERROR(_xlfn.XLOOKUP(BC50,Коды_код,Коды_мА),IFERROR(_xlfn.XLOOKUP(LEFT(BC50,2),Коды_код,Коды_мА),""))),IF(_xlpm.v="да",30,IF(ISNUMBER(_xlpm.v),_xlpm.v,0))))</f>
        <v>0</v>
      </c>
      <c r="CP50" t="str">
        <f t="shared" si="28"/>
        <v/>
      </c>
      <c r="CQ50" t="str">
        <f>_xlfn.LET(_xlpm.k,IFERROR(_xlfn.XLOOKUP(BC50,Коды_код,Коды_утечка)&amp;"",""),IF(_xlpm.k="","дифавтомат",_xlpm.k))</f>
        <v>дифавтомат</v>
      </c>
      <c r="CR50" t="str" cm="1">
        <f t="array" ref="CR50">IF(CG50=0,"",_xlfn.LET(_xlpm.sg,TRIM(_xlfn.TEXTSPLIT(DD50&amp;"",";")),_xlpm.f_,_xlfn._xlws.FILTER(_xlpm.sg,LEFT(_xlpm.sg,3)="УЗО",""),IFERROR(INDEX(_xlpm.f_,1)&amp;"","")))</f>
        <v/>
      </c>
      <c r="CS50" t="str">
        <f t="shared" si="29"/>
        <v/>
      </c>
      <c r="CT50" s="6" t="str" cm="1">
        <f t="array" ref="CT50">IF(CR50="","",_xlfn.LET(_xlpm.tk,_xlfn.TEXTSPLIT(UPPER(CR50)," ",,TRUE),_xlpm.a_,_xlfn._xlws.FILTER(_xlpm.tk,ISNUMBER(--LEFT(_xlpm.tk,1))*((ISNUMBER(SEARCH("А",_xlpm.tk))+ISNUMBER(SEARCH("A",_xlpm.tk)))&gt;0)*NOT(ISNUMBER(SEARCH("МА",_xlpm.tk)))*NOT(ISNUMBER(SEARCH("MA",_xlpm.tk))),""),IFERROR(--SUBSTITUTE(SUBSTITUTE(INDEX(_xlpm.a_,1),"А",""),"A",""),"")))</f>
        <v/>
      </c>
      <c r="CU50" t="str" cm="1">
        <f t="array" ref="CU50">IF(CR50="","",_xlfn.LET(_xlpm.tk,_xlfn.TEXTSPLIT(UPPER(CR50)," ",,TRUE),_xlpm.a_,_xlfn._xlws.FILTER(_xlpm.tk,ISNUMBER(--LEFT(_xlpm.tk,1))*((ISNUMBER(SEARCH("МА",_xlpm.tk))+ISNUMBER(SEARCH("MA",_xlpm.tk)))&gt;0),""),IFERROR(--SUBSTITUTE(SUBSTITUTE(INDEX(_xlpm.a_,1),"МА",""),"MA",""),30)))</f>
        <v/>
      </c>
      <c r="CV50" t="str">
        <f>IF(CS50="","",IFERROR(_xlfn.XLOOKUP(CS50,Линии[_n],Линии[_УЗО, мА]),30))</f>
        <v/>
      </c>
      <c r="CW50">
        <f>IF(CS50="",0,IF(ISNUMBER(SEARCH("4P",IFERROR(_xlfn.XLOOKUP(CS50,Линии[_n],Линии[_УЗО строки])&amp;"",""))),0,1))</f>
        <v>0</v>
      </c>
      <c r="CX50" t="str">
        <f>IF(AND(CS50&lt;&gt;"",CS50=BA50),SUMIFS(Линии[_ток на 230 В],Линии[_блок УЗО],BA50,Линии[Щит],A50),"")</f>
        <v/>
      </c>
      <c r="CY50" t="str">
        <f>IF(AND(CS50&lt;&gt;"",CS50=BA50),SUMIFS(Линии[_ток утечки линии, мА],Линии[_блок УЗО],BA50,Линии[Щит],A50),"")</f>
        <v/>
      </c>
      <c r="CZ50">
        <f t="shared" si="30"/>
        <v>0</v>
      </c>
      <c r="DA50">
        <f t="shared" si="31"/>
        <v>0</v>
      </c>
      <c r="DB50">
        <f>IF(B50="",0,IFERROR(--_xlfn.XLOOKUP(B50,Коды_код,Коды_минавт),IFERROR(--_xlfn.XLOOKUP(BC50,Коды_код,Коды_минавт),IFERROR(--_xlfn.XLOOKUP(LEFT(BC50,2),Коды_код,Коды_минавт),0))))</f>
        <v>10</v>
      </c>
      <c r="DC50" t="str">
        <f>IF(B50="","",IFERROR(_xlfn.XLOOKUP(BC50,Коды_код,Коды_апп)&amp;"",""))</f>
        <v/>
      </c>
      <c r="DD50" t="str">
        <f t="shared" si="32"/>
        <v/>
      </c>
      <c r="DE50" t="str" cm="1">
        <f t="array" ref="DE50">IF(TRIM(DD50&amp;"")="","",IFERROR(TRIM(INDEX(_xlfn.TEXTSPLIT(DD50&amp;";;;",";"),1)),""))</f>
        <v/>
      </c>
      <c r="DF50" t="str" cm="1">
        <f t="array" ref="DF50">IF(TRIM(DD50&amp;"")="","",IFERROR(TRIM(INDEX(_xlfn.TEXTSPLIT(DD50&amp;";;;",";"),2)),""))</f>
        <v/>
      </c>
      <c r="DG50" t="str" cm="1">
        <f t="array" ref="DG50">IF(TRIM(DD50&amp;"")="","",IFERROR(TRIM(INDEX(_xlfn.TEXTSPLIT(DD50&amp;";;;",";"),3)),""))</f>
        <v/>
      </c>
      <c r="DH50">
        <f t="shared" si="33"/>
        <v>0</v>
      </c>
      <c r="DI50" t="str">
        <f>IF(B50="","",_xlfn.LET(_xlpm.t,LOWER(AZ50&amp;""),IF(ISNUMBER(SEARCH("dim",_xlpm.t)),"DIM",IF(ISNUMBER(SEARCH("dali",_xlpm.t)),"DALI",IF(OR(ISNUMBER(SEARCH("relay",_xlpm.t)),ISNUMBER(SEARCH("реле",_xlpm.t))),"Relay",IF(ISNUMBER(SEARCH("кнопк",_xlpm.t)),"",IFERROR(_xlfn.XLOOKUP(BC50,Коды_код,Коды_упр)&amp;"","")))))))</f>
        <v/>
      </c>
      <c r="DJ50" t="str">
        <f t="shared" si="34"/>
        <v/>
      </c>
      <c r="DK50">
        <f>IF(B50="","",_xlfn.LET(_xlpm.ig,IF(N(CX50)&gt;0,N(CX50),N(CI50)+IF(AJ50="вручную",0,N(CJ50))),_xlpm.n0,IFERROR(VLOOKUP(_xlpm.ig,Автомат_номиналы,2,TRUE),0),_xlpm.mn,MAX(DB50,IF(AJ50="вручную",0,N(CM50))),MAX(_xlpm.n0,_xlpm.mn,IF(DH50=1,Мин_автомат_БП,0))))</f>
        <v>10</v>
      </c>
      <c r="DL50">
        <f t="shared" si="35"/>
        <v>1</v>
      </c>
      <c r="DM50" t="str">
        <f t="shared" si="36"/>
        <v>1P</v>
      </c>
      <c r="DN50" t="str">
        <f>_xlfn.LET(_xlpm.cc,UPPER(TRIM(IFERROR(_xlfn.XLOOKUP(BC50,Коды_код,Коды_хар)&amp;"",""))),IF(OR(_xlpm.cc="B",_xlpm.cc="В"),"B",IF(_xlpm.cc="D","D","С")))</f>
        <v>С</v>
      </c>
      <c r="DO50" t="str">
        <f t="shared" si="37"/>
        <v>1P С10А</v>
      </c>
      <c r="DP50" t="str">
        <f t="shared" si="38"/>
        <v>1P С10А</v>
      </c>
      <c r="DQ50" t="str">
        <f t="shared" si="39"/>
        <v>1P С10А</v>
      </c>
      <c r="DR50" cm="1">
        <f t="array" ref="DR50">IF(DQ50="","",_xlfn.LET(_xlpm.t,SUBSTITUTE(SUBSTITUTE(SUBSTITUTE(UPPER(DQ50),"С","C"),"А","A"),"В","B"),_xlpm.tk,_xlfn.TEXTSPLIT(_xlpm.t," "),_xlpm.f,_xlfn._xlws.FILTER(_xlpm.tk,ISNUMBER(--MID(_xlpm.tk,2,1))*ISNUMBER(SEARCH(LEFT(_xlpm.tk,1)&amp;"#","B#C#D#"))*(LEN(_xlpm.tk)&gt;1),""),_xlpm.x,INDEX(_xlpm.f,1),IFERROR(--SUBSTITUTE(MID(_xlpm.x,2,9),"A",""),IFERROR(--SUBSTITUTE(INDEX(_xlfn._xlws.FILTER(_xlpm.tk,ISNUMBER(--SUBSTITUTE(_xlpm.tk,"A","")),""),1),"A",""),""))))</f>
        <v>10</v>
      </c>
      <c r="DS50" t="str">
        <f t="shared" si="40"/>
        <v>ok</v>
      </c>
      <c r="DT50">
        <f t="shared" si="41"/>
        <v>10</v>
      </c>
      <c r="DU50" t="str">
        <f t="shared" si="42"/>
        <v>1P С10А</v>
      </c>
      <c r="DV50">
        <f t="shared" si="43"/>
        <v>0</v>
      </c>
      <c r="DW50">
        <f t="shared" si="44"/>
        <v>0</v>
      </c>
      <c r="DX50">
        <f t="shared" si="45"/>
        <v>0</v>
      </c>
      <c r="DY50">
        <f t="shared" si="46"/>
        <v>0</v>
      </c>
      <c r="DZ50">
        <f t="shared" si="47"/>
        <v>1</v>
      </c>
      <c r="EA50">
        <f>IF(ISNUMBER(AP50),AP50,К_прокл)</f>
        <v>1</v>
      </c>
      <c r="EB50">
        <f t="shared" si="48"/>
        <v>2</v>
      </c>
      <c r="EC50">
        <f>IFERROR(N(VLOOKUP(BZ50,Кабель_обозначение,3,FALSE)),1)</f>
        <v>1</v>
      </c>
      <c r="ED50">
        <f>IFERROR(N(_xlfn.XLOOKUP(A50,Щиты[Щит],Щиты[ΔU до шин, %])),0)</f>
        <v>0.17</v>
      </c>
      <c r="EE50" t="str">
        <f>IFERROR(_xlfn.XLOOKUP(A50,Щиты[Щит],Щиты[Zпетли на шинах, Ом]),"")</f>
        <v/>
      </c>
      <c r="EF50">
        <f>IFERROR(N(_xlfn.XLOOKUP(A50,Щиты[Щит],Щиты[ΔU до шин (подбор), %])),0)</f>
        <v>0.65</v>
      </c>
      <c r="EG50" t="str">
        <f>IFERROR(_xlfn.XLOOKUP(A50,Щиты[Щит],Щиты[Zпетли на шинах (подбор), Ом]),"")</f>
        <v/>
      </c>
      <c r="EH50" t="str">
        <f t="shared" si="49"/>
        <v/>
      </c>
      <c r="EI50">
        <f t="shared" si="50"/>
        <v>5</v>
      </c>
      <c r="EJ50">
        <f t="shared" si="51"/>
        <v>2</v>
      </c>
      <c r="EK50">
        <f t="shared" si="52"/>
        <v>0.31</v>
      </c>
      <c r="EL50" s="6">
        <f>IF(B50="","",IF(BV50=1,dU_LED,IF(IFERROR(_xlfn.XLOOKUP(BC50,Коды_код,Коды_уго),"")="Светильник",3,4)+IF(Методика="нормы 2026",MIN(0.5,MAX(0,N(P50)-100)*0.005),0)))</f>
        <v>3</v>
      </c>
      <c r="EM50" t="str" cm="1">
        <f t="array" ref="EM50">IF(OR(B50="",BZ50="",EC50&lt;&gt;1),"",_xlfn.LET(_xlpm.sz,Iдоп_S,_xlpm.t_,CHOOSE(EB50,Iдоп_1ж,Iдоп_2ж,Iдоп_3ж)*DZ50*EA50,_xlpm.dcx,BV50=1,_xlpm.inn,IF(_xlpm.dcx,N(O50),N(DT50)),_xlpm.smin,MAX(1.5,CC50),_xlpm.L_,N(P50)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50)/N(BU50)*100,999),IFERROR(N(EJ50)*(_xlpm.rho*_xlpm.L_/_xlpm.sz*N(CE50)+_xlpm.xx*_xlpm.L_*N(EK50)/1000)*N(O50)/((Uн_лин/SQRT(3))*1000)*100,999)),_xlpm.kz,IF(OR(_xlpm.dcx,DW50=1,NOT(ISNUMBER(EG50)),_xlpm.L_=0,_xlpm.inn=0),1,IFERROR(--(c_min*(Uн_лин*1000/SQRT(3))/(EG50+2*ρкз_Cu*_xlpm.L_/_xlpm.sz)&gt;=HT50*_xlpm.inn),0)),_xlpm.ok,IFERROR((_xlpm.sz&gt;=_xlpm.smin)*(_xlpm.t_&gt;=_xlpm.inn)*IF(_xlpm.L_&gt;0,(_xlpm.du_+IF(_xlpm.dcx,0,EF50)&lt;=EL50+0.00001),1)*_xlpm.kz,0),_xlpm.r_,_xlfn._xlws.FILTER(_xlpm.sz,_xlpm.ok,"не подобрано"),INDEX(_xlpm.r_,1)))</f>
        <v/>
      </c>
      <c r="EN50" t="str">
        <f t="shared" si="53"/>
        <v/>
      </c>
      <c r="EO50" t="str" cm="1">
        <f t="array" ref="EO50">IF(OR(B50="",BZ50="",EC50&lt;&gt;1),"",_xlfn.LET(_xlpm.sz,Iдоп_S,_xlpm.t_,CHOOSE(EB50,Iдоп_1ж,Iдоп_2ж,Iдоп_3ж)*DZ50*EA50,_xlpm.ok,IFERROR((_xlpm.sz&gt;=MAX(1.5,CC50))*(_xlpm.t_&gt;=N(DT50)),0),_xlpm.r_,_xlfn._xlws.FILTER(_xlpm.sz,_xlpm.ok,""),INDEX(_xlpm.r_,1)))</f>
        <v/>
      </c>
      <c r="EP50" s="6" t="str" cm="1">
        <f t="array" ref="EP50">IFERROR(ROUNDUP(N(EJ50)*(_xlfn.XLOOKUP(EO50,INDEX(Кабель_сопротивление,0,1),INDEX(Кабель_сопротивление,0,3))*N(P50)/EO50*N(CE50)+_xlfn.XLOOKUP(EO50,INDEX(Кабель_сопротивление,0,1),INDEX(Кабель_сопротивление,0,2))*N(P50)*N(EK50)/1000)*N(O50)/((Uн_лин/SQRT(3))*1000)*100,2),"")</f>
        <v/>
      </c>
      <c r="EQ50" t="str">
        <f>IFERROR(2*ρкз_Cu*N(P50)/EO50,"")</f>
        <v/>
      </c>
      <c r="ER50" t="str">
        <f>IFERROR(VLOOKUP(EN50,Кабель_сопротивление,3,FALSE),"")</f>
        <v/>
      </c>
      <c r="ES50" t="str">
        <f>IFERROR(VLOOKUP(EN50,Кабель_сопротивление,2,FALSE),"")</f>
        <v/>
      </c>
      <c r="ET50" t="str">
        <f t="shared" si="54"/>
        <v/>
      </c>
      <c r="EU50" t="str">
        <f t="shared" si="55"/>
        <v/>
      </c>
      <c r="EV50" t="str">
        <f t="shared" si="56"/>
        <v/>
      </c>
      <c r="EW50" s="6" t="str">
        <f>IFERROR(ROUNDUP(EV50/IF(BV50=1,BU50,(Uн_лин/SQRT(3))*1000)*100,2),"")</f>
        <v/>
      </c>
      <c r="EX50" t="str">
        <f>IFERROR(VLOOKUP(BZ50,Кабель_обозначение,2,FALSE),"")</f>
        <v/>
      </c>
      <c r="EY50" t="str">
        <f t="shared" si="57"/>
        <v/>
      </c>
      <c r="EZ50" t="str">
        <f t="shared" si="58"/>
        <v/>
      </c>
      <c r="FA50" t="str">
        <f>IFERROR(2*ρкз_Cu*P50/EN50,"")</f>
        <v/>
      </c>
      <c r="FB50" t="str">
        <f t="shared" si="59"/>
        <v/>
      </c>
      <c r="FC50" s="6" t="str">
        <f>IFERROR(IF(OR(B50="",BV50=1,NOT(ISNUMBER(EN50)),N(P50)=0),"",_xlfn.XLOOKUP(A50,Щиты[Щит],Щиты[Zпетли на шинах, Ом])+FA50),"")</f>
        <v/>
      </c>
      <c r="FD50" s="6" t="str">
        <f>IF(ISNUMBER(FC50),c_min*(Uн_лин*1000/SQRT(3))/FC50,"")</f>
        <v/>
      </c>
      <c r="FE50" s="6" t="str">
        <f>IFERROR(IF(OR(B50="",NOT(ISNUMBER(EN50))),"",1.05*(Uн_лин*1000/SQRT(3))/(_xlfn.XLOOKUP(A50,Щиты[Щит],Щиты[Zmax на шинах, Ом])+FB50)/1000),"")</f>
        <v/>
      </c>
      <c r="FF50" s="6" t="str">
        <f>IF(B50="","",IF(ISNUMBER(AC50),"Сил",IF(IFERROR(_xlfn.XLOOKUP(BC50,Коды_код,Коды_группа)&amp;"","")="","Быт",_xlfn.XLOOKUP(BC50,Коды_код,Коды_группа)&amp;"")))</f>
        <v>Быт</v>
      </c>
      <c r="FG50" s="6" t="str">
        <f t="shared" si="60"/>
        <v>Быт</v>
      </c>
      <c r="FH50" s="6">
        <f>IF(FG50="Щит","щит",IF(FG50="","",IF(FG50="Быт",IFERROR(_xlfn.XLOOKUP(A50,Щиты[Щит],Щиты[Кс быт]),1),IF(FG50="Сил",IF(ISNUMBER(AC50),AC50,IF(Методика="нормы 2026",IFERROR(_xlfn.XLOOKUP(A50,Щиты[Щит],Щиты[Кс силовых (табл. 7.5)]),1),1)),IF(OR(FG50="Пост",FG50="Отоп"),1,IF(FG50="ВНГ",0.7,0))))))</f>
        <v>0.8</v>
      </c>
      <c r="FI50">
        <f>IF(FG50="","",IF(AND(BP50=1,TRIM(AE50&amp;"")=""),IF(COUNTIFS(Линии[Щит],A50,Линии[Секция (1/2/3)],"&gt;=2")&gt;0,MIN(3,MAX(1,IFERROR(--BD50,1))),1),IFERROR(MIN(3,MAX(1,INT(--AE50))),1)))</f>
        <v>1</v>
      </c>
      <c r="FJ50">
        <f t="shared" si="61"/>
        <v>0</v>
      </c>
      <c r="FK50">
        <f t="shared" si="62"/>
        <v>0</v>
      </c>
      <c r="FL50">
        <f t="shared" si="63"/>
        <v>0</v>
      </c>
      <c r="FM50">
        <f t="shared" si="64"/>
        <v>0</v>
      </c>
      <c r="FN50">
        <f t="shared" si="65"/>
        <v>0</v>
      </c>
      <c r="FO50">
        <f t="shared" si="66"/>
        <v>0</v>
      </c>
      <c r="FP50">
        <f t="shared" si="67"/>
        <v>0</v>
      </c>
      <c r="FQ50">
        <f t="shared" si="68"/>
        <v>0</v>
      </c>
      <c r="FR50">
        <f t="shared" si="69"/>
        <v>0</v>
      </c>
      <c r="FS50">
        <f>IF(CG50=1,IF(AND(CH50=1,CW50=1),0,IF(AND(CS50&lt;&gt;"",CS50=BA50,CW50=1),SUMIFS(Линии[_Р линии, кВт],Линии[_блок УЗО],BA50,Линии[Щит],A50),N(BS50)+IF(AJ50="вручную",0,N(CK50)))),0)</f>
        <v>0</v>
      </c>
      <c r="FT50" t="str">
        <f t="shared" si="70"/>
        <v/>
      </c>
      <c r="FU50" t="str">
        <f>IF(B50="","",IF(CG50=0,IF(BA50=1,"",FW49),IF(AND(CH50=1,CW50=1,CS50&lt;&gt;""),IFERROR(_xlfn.XLOOKUP(CS50,Линии[_n],Линии[_фаза итог]),"L1"),IF(OR(N(DL50)&gt;=3,N(BX50)&gt;=3),"L1,L2,L3",IFERROR(_xlfn.TEXTBEFORE(_xlfn.TEXTAFTER(_xlfn.XLOOKUP(A50,Щиты[Щит],Щиты[_фазы авто]),";"&amp;BA50&amp;":"),";"),"L1")))))</f>
        <v>L2</v>
      </c>
      <c r="FV50" t="str">
        <f t="shared" si="71"/>
        <v>L2</v>
      </c>
      <c r="FW50" t="str">
        <f t="shared" si="72"/>
        <v>L2</v>
      </c>
      <c r="FX50" cm="1">
        <f t="array" ref="FX50">IFERROR(IF(CD50=2,_xlfn.IFS(BX50=3,VLOOKUP(BS50,Справочная_двигатели,3,FALSE),BX50=1,VLOOKUP(BS50,Справочная_двигатели,5,TRUE)),0),0)</f>
        <v>0</v>
      </c>
      <c r="FY50">
        <f>IFERROR(IF(CD50=3,VLOOKUP(BS50,Справочная_ЛЭД,2,TRUE),0),0)</f>
        <v>0</v>
      </c>
      <c r="FZ50" s="6">
        <f t="shared" si="73"/>
        <v>0</v>
      </c>
      <c r="GA50" t="str">
        <f>IF(B50="","",IF(TRIM(AH50&amp;"")&lt;&gt;"",IF(LOWER(TRIM(AH50&amp;""))="да","да","нет"),IF(IFERROR(_xlfn.XLOOKUP(BC50,Коды_код,Коды_пожарная),"")="да","да","нет")))</f>
        <v>нет</v>
      </c>
      <c r="GB50" t="str">
        <f t="shared" si="74"/>
        <v/>
      </c>
      <c r="GC50" t="str">
        <f t="shared" si="75"/>
        <v>основная</v>
      </c>
      <c r="GD50">
        <f>IF(AND(BP50=1,TRIM(AE50&amp;"")=""),IF(COUNTIFS(Линии[Щит],A50,Линии[Секция (1/2/3)],"&gt;=2")&gt;0,MIN(3,MAX(1,IFERROR(--BD50,1))),1),IFERROR(MIN(3,MAX(1,INT(--AE50))),1))</f>
        <v>1</v>
      </c>
      <c r="GE50" t="str" cm="1">
        <f t="array" ref="GE50">IF(B50="","",_xlfn.LET(_xlpm.t,IFERROR(_xlfn.XLOOKUP(1,(Шины[Шина]=GC50)*(((Шины[Щит]=A50)+(Шины[Щит]=""))&gt;0),Шины[Тип]),"")&amp;"",IF(_xlpm.t&lt;&gt;"",_xlpm.t,IF(ISNUMBER(SEARCH("ИБП",GC50)),"ИБП",IF(ISNUMBER(SEARCH("ДГУ",GC50)),"ДГУ","Ввод "&amp;GD50)))))</f>
        <v>Ввод 1</v>
      </c>
      <c r="GF50" t="str">
        <f t="shared" si="76"/>
        <v>Ввод 1</v>
      </c>
      <c r="GG50" t="str">
        <f>IF(BP50=0,"",IF(TRIM(AG50&amp;"")&lt;&gt;"",TRIM(AG50&amp;""),IF(OR(GE50="ИБП",GE50="ДГУ"),"I особая",_xlfn.XLOOKUP(A50,Щиты[Щит],Щиты[Категория шины «Ввод»],"III"))))</f>
        <v/>
      </c>
      <c r="GH50" t="str">
        <f>IF(A50="","",_xlfn.XLOOKUP(A50,Щиты[Щит],Щиты[Путь],""))</f>
        <v>|ГРЩ-ЖД|ЩГП|ЩО-001|</v>
      </c>
      <c r="GI50" t="str">
        <f>IF(B50="","",IF(AI50&lt;&gt;"",AI50,IF(IFERROR(_xlfn.XLOOKUP(BC50,Коды_код,Коды_вид)&amp;"","")="","Прочее",_xlfn.XLOOKUP(BC50,Коды_код,Коды_вид)&amp;"")))</f>
        <v>Рабочее освещение</v>
      </c>
      <c r="GJ50" t="str">
        <f>IF(BM50="","",INT((BM50-1)/Столбцов_на_лист)+1)</f>
        <v/>
      </c>
      <c r="GK50" t="str">
        <f t="shared" si="77"/>
        <v/>
      </c>
      <c r="GL50">
        <f t="shared" si="78"/>
        <v>0</v>
      </c>
      <c r="GM50">
        <f t="shared" si="79"/>
        <v>0</v>
      </c>
      <c r="GN50">
        <f t="shared" si="80"/>
        <v>1</v>
      </c>
      <c r="GO50">
        <f t="shared" si="81"/>
        <v>0</v>
      </c>
      <c r="GP50">
        <f t="shared" si="82"/>
        <v>0</v>
      </c>
      <c r="GQ50" t="str">
        <f>IF(BM50="","",IF(AND(CG50=1,GP50=1),COUNTIFS(A$3:A50,A50,CG$3:CG50,1,GP$3:GP50,1),IF(OR(OR(BA50=1,A50&lt;&gt;A49),AJ50="вручную",GP50=0),"",IF(BA50=1,"",GR49))))</f>
        <v/>
      </c>
      <c r="GR50" t="str">
        <f t="shared" si="83"/>
        <v/>
      </c>
      <c r="GS50" t="str">
        <f>IF(B50="","",IFERROR(LOOKUP(INDEX(CHOOSE(EB50,Iдоп_1ж,Iдоп_2ж,Iдоп_3ж),MATCH(EN50,Iдоп_S,0))*DZ50*EA50,{6,10,16,20,25,32,40,50,63,80,100,125,160,200,250,315,400,500,630}),""))</f>
        <v/>
      </c>
      <c r="GT50" t="str">
        <f t="shared" si="84"/>
        <v/>
      </c>
      <c r="GU50" t="str">
        <f t="shared" si="85"/>
        <v/>
      </c>
      <c r="GV50" t="str">
        <f t="shared" si="86"/>
        <v/>
      </c>
      <c r="GW50">
        <f t="shared" si="87"/>
        <v>0</v>
      </c>
      <c r="GX50" t="str">
        <f>IF(OR(B50="",DJ50=""),"",IFERROR(_xlfn.XLOOKUP(DJ50,Модули_умолч[Управление],Модули_умолч[Модель])&amp;"",""))</f>
        <v/>
      </c>
      <c r="GY50">
        <f>IF(DJ50="",1,IFERROR(MAX(0,N(_xlfn.XLOOKUP(DJ50,Модули_умолч[Управление],Модули_умолч[Каналов на линию]))),1))</f>
        <v>1</v>
      </c>
      <c r="GZ50" t="str">
        <f t="shared" si="88"/>
        <v/>
      </c>
      <c r="HA50" t="str">
        <f t="shared" si="89"/>
        <v/>
      </c>
      <c r="HB50" t="str">
        <f t="shared" si="90"/>
        <v/>
      </c>
      <c r="HC50">
        <f>IF(HB50="",0,IFERROR(N(VLOOKUP(HB50,Модули_спр,3,FALSE)),0))</f>
        <v>0</v>
      </c>
      <c r="HD50" t="str">
        <f t="shared" si="91"/>
        <v/>
      </c>
      <c r="HE50" t="str">
        <f t="shared" si="92"/>
        <v/>
      </c>
      <c r="HF50" t="str">
        <f>IF(OR(HE50="",HE50="-"),"",IFERROR(VLOOKUP(HE50,Модули_спр,2,FALSE),"R"))</f>
        <v/>
      </c>
      <c r="HG50" t="str">
        <f>IF(HF50="","",HF50&amp;"."&amp;COUNTIFS(A$3:A50,A50,HF$3:HF50,HF50))</f>
        <v/>
      </c>
      <c r="HH50" t="str">
        <f t="shared" si="93"/>
        <v/>
      </c>
      <c r="HI50" t="str">
        <f t="shared" si="94"/>
        <v/>
      </c>
      <c r="HJ50" t="str">
        <f t="shared" si="95"/>
        <v/>
      </c>
      <c r="HK50" t="str">
        <f t="shared" si="96"/>
        <v/>
      </c>
      <c r="HL50">
        <f t="shared" si="97"/>
        <v>0</v>
      </c>
      <c r="HM50" t="str">
        <f>IF(HL50=1,"XT"&amp;COUNTIFS(A$3:A50,A50,HL$3:HL50,1),"")</f>
        <v/>
      </c>
      <c r="HN50" t="str">
        <f t="shared" si="98"/>
        <v/>
      </c>
      <c r="HO50" t="str">
        <f t="shared" si="99"/>
        <v/>
      </c>
      <c r="HP50" t="str">
        <f t="shared" si="100"/>
        <v/>
      </c>
      <c r="HQ50" t="str">
        <f t="shared" si="101"/>
        <v>ok</v>
      </c>
      <c r="HR50" t="str">
        <f>IF(OR(HJ50="",HH50=""),"",IF(HJ50+MAX(0,GY50-1)&gt;IFERROR(VLOOKUP(HI50,Модули_спр,3,FALSE),99),"ЛИШНИЙ КАНАЛ",IF(AND(AL50&lt;&gt;"=",GY50&gt;0,COUNTIFS(Линии[_модуль гр.],HH50,Линии[Канал (итог)],HJ50,Линии[Канал],"&lt;&gt;=",Линии[Щит],A50)&gt;1),"ДУБЛЬ КАНАЛА","")))</f>
        <v/>
      </c>
      <c r="HS50" s="6" t="str">
        <f t="shared" si="102"/>
        <v/>
      </c>
      <c r="HT50">
        <f t="shared" si="103"/>
        <v>10</v>
      </c>
      <c r="HU50" t="str">
        <f t="shared" si="104"/>
        <v/>
      </c>
      <c r="HV50">
        <f t="shared" si="105"/>
        <v>0.12</v>
      </c>
      <c r="HW50">
        <f t="shared" si="106"/>
        <v>0</v>
      </c>
      <c r="HX50">
        <f t="shared" si="107"/>
        <v>0</v>
      </c>
      <c r="HY50">
        <f t="shared" si="108"/>
        <v>0</v>
      </c>
      <c r="HZ50">
        <f t="shared" si="109"/>
        <v>0</v>
      </c>
      <c r="IA50">
        <f t="shared" si="110"/>
        <v>0</v>
      </c>
      <c r="IB50">
        <f t="shared" si="111"/>
        <v>0</v>
      </c>
      <c r="IC50" t="str">
        <f t="shared" si="112"/>
        <v/>
      </c>
      <c r="ID50" t="str" cm="1">
        <f t="array" ref="ID50">IF(IC50="","",_xlfn.LET(_xlpm.tk,_xlfn.TEXTSPLIT(SUBSTITUTE(SUBSTITUTE(IC50,";"," "),"→"," ")," ",,TRUE),_xlpm.w_,_xlfn._xlws.FILTER(_xlpm.tk,ISNUMBER(--LEFT(_xlpm.tk,1))*((ISNUMBER(SEARCH("W",_xlpm.tk))+ISNUMBER(SEARCH("Вт",_xlpm.tk)))&gt;0),""),IFERROR(--SUBSTITUTE(SUBSTITUTE(UPPER(INDEX(_xlpm.w_,1)),"W",""),"ВТ",""),"")))</f>
        <v/>
      </c>
      <c r="IE50" t="str" cm="1">
        <f t="array" ref="IE50">IF(IC50="","",_xlfn.LET(_xlpm.tk,_xlfn.TEXTSPLIT(SUBSTITUTE(SUBSTITUTE(IC50,";"," "),"→"," ")," ",,TRUE),_xlpm.v_,_xlfn._xlws.FILTER(_xlpm.tk,ISNUMBER(--LEFT(_xlpm.tk,1))*((ISNUMBER(SEARCH("V",_xlpm.tk))+(RIGHT(UPPER(_xlpm.tk))="В"))&gt;0),""),IFERROR(--SUBSTITUTE(SUBSTITUTE(UPPER(INDEX(_xlpm.v_,1)),"V",""),"В",""),"")))</f>
        <v/>
      </c>
      <c r="IF50" s="6" t="str">
        <f>IF(OR(BV50=0,HI50="",HJ50=""),"",IFERROR(N(_xlfn.XLOOKUP(HI50,Каталог!$C$4:$C$500,Каталог!$Q$4:$Q$500)),""))</f>
        <v/>
      </c>
      <c r="IG50" s="6" t="str">
        <f>IF(N(IF50)=0,"",SUMIFS(Линии[Iр, А],Линии[Щит],A50,Линии[_модуль гр.],HH50,Линии[Канал (итог)],HJ50))</f>
        <v/>
      </c>
      <c r="IH50" t="str">
        <f>IF(AND(B50="",HO50=""),"",_xlfn.TEXTJOIN("; ",TRUE,IF(AND(B50&lt;&gt;"",FV50=""),"нет фазы",""),IF(AND(B50&lt;&gt;"",N(GL50)=0,FG50&lt;&gt;"Нет"),"нет мощности",""),IF(AND(HN50&lt;&gt;"",COUNTIFS(Линии[Щит],A50,Линии[Клемма (итог)],HN50)&gt;1),"дубль клеммы "&amp;HN50,""),IF(AND(HQ50&lt;&gt;"",HQ50&lt;&gt;"ok"),HQ50,""),IF(HR50&lt;&gt;"",HR50,""),IF(AND(N(CB50)&gt;=4,N(BX50)=1),CB50&amp;" жил на 1 фазе",""),IF(AND(BC50="R",CG50=1,IF(CS50&lt;&gt;"",N(CV50)&gt;30,OR(N(DA50)=0,N(DA50)&gt;30))),"розетка без дифзащиты до 30 мА",""),IF(AND(CG50=1,N(DA50)&gt;0,ISNUMBER(T50)),IF(T50&gt;N(DA50)/3,"ток утечки "&amp;FIXED(T50,1)&amp;" мА &gt; 1/3 уставки ("&amp;DA50&amp;" мА)",""),""),IF(AND(CH50=1,CS50=""),"«узо»: нет строки с УЗО выше (УЗО 2P 40А 30мА в «Аппаратах»)",""),IF(AND(CS50&lt;&gt;"",CS50=BA50),IF(CT50="","впишите номинал УЗО (УЗО 2P 40А 30мА)",IF(N(CT50)&lt;N(DT50),"УЗО "&amp;CT50&amp;" А &lt; автомата "&amp;DT50&amp;" А перед ним",IF(N(CT50)&lt;N(CX50),"УЗО "&amp;CT50&amp;" А &lt; тока блока "&amp;FIXED(CX50,1)&amp;" А",""))),""),IF(AND(CS50&lt;&gt;"",CS50=BA50,ISNUMBER(CY50)),IF(CY50&gt;N(CV50)/3,"ток утечки блока УЗО "&amp;FIXED(CY50,1)&amp;" мА &gt; 1/3 уставки ("&amp;CV50&amp;" мА)",""),""),IF(AND(CG50=1,N(BV50)+N(IB50)&gt;0,IC50=""),"линии до 50 В без БП: впишите в «Аппараты» (БП 24V 480W)",""),IF(AND(CG50=1,ISNUMBER(ID50),ISNUMBER(U50)),IF(U50&gt;ID50,"БП "&amp;ID50&amp;" Вт &lt; нужно "&amp;U50&amp;" Вт (×"&amp;Запас_БП&amp;")",""),""),IF(AND(CG50=1,ISNUMBER(IE50),N(BV50)=1),IF(IE50&lt;&gt;N(BU50),"БП на "&amp;IE50&amp;" В, линия "&amp;BU50&amp;" В",""),""),IF(AND(N(IF50)&gt;0,N(IG50)&gt;N(IF50)),HH50&amp;" канал "&amp;HJ50&amp;": "&amp;FIXED(IG50,1)&amp;" А &gt; "&amp;IF50&amp;" А",""),IFERROR(IF(AND(ISNUMBER(Q50),Q50&gt;EL50),"потери "&amp;FIXED(Q50,1)&amp;" % &gt; "&amp;EL50&amp;" %",""),""),IFERROR(IF(LEFT(HU50,4)="мало","Iкз мало — отключение &gt; 0,4 с",""),""),IF(AND(B50&lt;&gt;"",BM50=""),"не на схеме",""),IF(AND(CG50=0,B50&lt;&gt;"",FV50&lt;&gt;"",IF(BA50=1,"",FW49)&lt;&gt;"",FV50&lt;&gt;IF(BA50=1,"",FW49)),"фаза не как у автомата группы ("&amp;IF(BA50=1,"",FW49)&amp;")","")))</f>
        <v>нет мощности; не на схеме</v>
      </c>
      <c r="II50" s="6">
        <f>IF(OR(CG50=0,DQ50=""),"",_xlfn.LET(_xlpm.t,IFERROR(_xlfn.XLOOKUP(DQ50,Каталог!$U$4:$U$500,Каталог!$G$4:$G$500),""),_xlpm.k,SEARCH("кА",_xlpm.t),IFERROR(--TRIM(RIGHT(SUBSTITUTE(MID(_xlpm.t,MAX(1,_xlpm.k-4),_xlpm.k-MAX(1,_xlpm.k-4))," ",REPT(" ",9)),5)),"")))</f>
        <v>6</v>
      </c>
      <c r="IJ50" t="str">
        <f>IF(OR(II50="",CG50=0),"",IF(_xlfn.XLOOKUP(A50,Щиты[Щит],Щиты[Iкз max на шинах, кА],"")="","",IF(II50&lt;_xlfn.XLOOKUP(A50,Щиты[Щит],Щиты[Iкз max на шинах, кА]),"Icu "&amp;II50&amp;" кА &lt; Iкз max","ok")))</f>
        <v/>
      </c>
      <c r="IK50" t="str">
        <f t="shared" si="113"/>
        <v/>
      </c>
      <c r="IL50" t="str">
        <f t="shared" si="114"/>
        <v/>
      </c>
      <c r="IM50" t="str">
        <f t="shared" si="115"/>
        <v/>
      </c>
      <c r="IN50" t="str" cm="1">
        <f t="array" ref="IN50">IF(IM50="","",_xlfn.LET(_xlpm.nd,_xlfn.TEXTSPLIT(IM50,"|"),IF(COLUMNS(_xlpm.nd)&gt;1,A50&amp;"¦"&amp;INDEX(_xlpm.nd,1)&amp;"¦"&amp;INDEX(_xlpm.nd,2),"")))</f>
        <v/>
      </c>
      <c r="IO50" t="str">
        <f t="shared" si="116"/>
        <v/>
      </c>
      <c r="IP50" t="str" cm="1">
        <f t="array" ref="IP50">IF(IM50="","",_xlfn.LET(_xlpm.nd,_xlfn.TEXTSPLIT(IM50,"|"),IF(COLUMNS(_xlpm.nd)&gt;2,A50&amp;"¦"&amp;INDEX(_xlpm.nd,2)&amp;"¦"&amp;INDEX(_xlpm.nd,3),"")))</f>
        <v/>
      </c>
      <c r="IQ50" t="str">
        <f t="shared" si="117"/>
        <v/>
      </c>
      <c r="IR50" t="str" cm="1">
        <f t="array" ref="IR50">IF(IM50="","",_xlfn.LET(_xlpm.nd,_xlfn.TEXTSPLIT(IM50,"|"),IF(COLUMNS(_xlpm.nd)&gt;3,A50&amp;"¦"&amp;INDEX(_xlpm.nd,3)&amp;"¦"&amp;INDEX(_xlpm.nd,4),"")))</f>
        <v/>
      </c>
      <c r="IS50" t="str">
        <f t="shared" si="118"/>
        <v/>
      </c>
      <c r="IT50" t="str" cm="1">
        <f t="array" ref="IT50">IF(IM50="","",_xlfn.LET(_xlpm.nd,_xlfn.TEXTSPLIT(IM50,"|"),IF(COLUMNS(_xlpm.nd)&gt;4,A50&amp;"¦"&amp;INDEX(_xlpm.nd,4)&amp;"¦"&amp;INDEX(_xlpm.nd,5),"")))</f>
        <v/>
      </c>
      <c r="IU50" t="str">
        <f t="shared" si="119"/>
        <v/>
      </c>
      <c r="IV50" t="str" cm="1">
        <f t="array" ref="IV50">IF(IM50="","",_xlfn.LET(_xlpm.nd,_xlfn.TEXTSPLIT(IM50,"|"),IF(COLUMNS(_xlpm.nd)&gt;5,A50&amp;"¦"&amp;INDEX(_xlpm.nd,5)&amp;"¦"&amp;INDEX(_xlpm.nd,6),"")))</f>
        <v/>
      </c>
      <c r="IW50" t="str">
        <f t="shared" si="120"/>
        <v/>
      </c>
      <c r="IX50" t="str" cm="1">
        <f t="array" ref="IX50">IF(IM50="","",_xlfn.LET(_xlpm.nd,_xlfn.TEXTSPLIT(IM50,"|"),IF(COLUMNS(_xlpm.nd)&gt;6,A50&amp;"¦"&amp;INDEX(_xlpm.nd,6)&amp;"¦"&amp;INDEX(_xlpm.nd,7),"")))</f>
        <v/>
      </c>
      <c r="IY50" t="str">
        <f t="shared" si="121"/>
        <v/>
      </c>
      <c r="IZ50" t="str">
        <f t="shared" si="122"/>
        <v/>
      </c>
      <c r="JA50" t="str">
        <f t="shared" si="123"/>
        <v/>
      </c>
      <c r="JB50">
        <f t="shared" si="124"/>
        <v>0</v>
      </c>
      <c r="JC50">
        <f t="shared" si="125"/>
        <v>0</v>
      </c>
      <c r="JD50" t="str">
        <f t="shared" si="126"/>
        <v/>
      </c>
      <c r="JE50" t="str">
        <f t="shared" si="127"/>
        <v/>
      </c>
      <c r="JF50" t="str">
        <f t="shared" si="128"/>
        <v/>
      </c>
      <c r="JG50" t="str">
        <f t="shared" si="129"/>
        <v/>
      </c>
      <c r="JH50" t="str">
        <f>IF(B50="","",IFERROR(_xlfn.XLOOKUP(B50,Коды_код,Коды_уго),IFERROR(_xlfn.XLOOKUP(BC50,Коды_код,Коды_уго),IFERROR(_xlfn.XLOOKUP(LEFT(BC50,2),Коды_код,Коды_уго),""))))</f>
        <v>Светильник</v>
      </c>
      <c r="JI50" t="str">
        <f>IF(B50="","",IF(OR(JH50="",JH50=0),"BOX",IFERROR(IF(VLOOKUP(JH50,УГО_блоки,3,FALSE)&amp;""&lt;&gt;"",VLOOKUP(JH50,УГО_блоки,3,FALSE),VLOOKUP(JH50,УГО_блоки,2,FALSE)),JH50)))</f>
        <v>LAMP</v>
      </c>
      <c r="JJ50">
        <f t="shared" si="130"/>
        <v>1</v>
      </c>
      <c r="JK50" t="str">
        <f>IF(DQ50="","",IF(COUNTIF(DQ$3:DQ50,DQ50)=1,MAX(JK$2:JK49)+1,""))</f>
        <v/>
      </c>
      <c r="JL50" t="str">
        <f>IF(DE50="","",IF(COUNTIF(DE$3:DE50,DE50)+COUNTIF(DF$2:DF49,DE50)+COUNTIF(DG$2:DG49,DE50)=1,MAX(JL$2:JN49)+1,""))</f>
        <v/>
      </c>
      <c r="JM50" t="str">
        <f>IF(DF50="","",IF(COUNTIF(DE$3:DE50,DF50)+COUNTIF(DF$3:DF50,DF50)+COUNTIF(DG$2:DG49,DF50)=1,MAX(JL$2:JN49,JL50)+1,""))</f>
        <v/>
      </c>
      <c r="JN50" t="str">
        <f>IF(DG50="","",IF(COUNTIF(DE$3:DE50,DG50)+COUNTIF(DF$3:DF50,DG50)+COUNTIF(DG$3:DG50,DG50)=1,MAX(JL$2:JN49,JL50,JM50)+1,""))</f>
        <v/>
      </c>
      <c r="JO50" t="str">
        <f t="shared" si="131"/>
        <v/>
      </c>
      <c r="JP50" t="str">
        <f>IF(JO50="","",IF(COUNTIF(JO$3:JO50,JO50)=1,MAX(JP$2:JP49)+1,""))</f>
        <v/>
      </c>
      <c r="JQ50" t="str">
        <f>IF(HG50="","",COUNTIF(HG$3:HG50,"?*"))</f>
        <v/>
      </c>
      <c r="JR50" t="str">
        <f>IF(OR(HG50="",HI50=""),"",IF(COUNTIFS(HG$3:HG50,"?*",HI$3:HI50,HI50)=1,MAX(JR$2:JR49)+1,""))</f>
        <v/>
      </c>
      <c r="JS50">
        <f t="shared" si="132"/>
        <v>1</v>
      </c>
      <c r="JT50">
        <f>IF(B50="","",COUNTIF(B$3:B50,"?*"))</f>
        <v>48</v>
      </c>
      <c r="JU50">
        <f>IF(HL50&lt;&gt;1,0,_xlfn.LET(_xlpm.k,MAX(IFERROR(--_xlfn.XLOOKUP(B50,Коды_код,Коды_3L),0),IFERROR(--_xlfn.XLOOKUP(BC50,Коды_код,Коды_3L),0),IFERROR(--_xlfn.XLOOKUP(LEFT(BC50,2),Коды_код,Коды_3L),0)),IF(_xlpm.k&gt;0,_xlpm.k,IF(IFERROR(--LEFT(SUBSTITUTE(JO50,"x","х"),FIND("х",SUBSTITUTE(JO50,"x","х"))-1),3)&gt;3,Каталог!$S$9,1))))</f>
        <v>0</v>
      </c>
      <c r="JV50">
        <f t="shared" si="133"/>
        <v>0</v>
      </c>
      <c r="JW50" t="str">
        <f t="shared" si="134"/>
        <v>авто</v>
      </c>
      <c r="JX50" t="str">
        <f t="shared" si="135"/>
        <v/>
      </c>
      <c r="JY50">
        <f t="shared" si="136"/>
        <v>0</v>
      </c>
      <c r="JZ50">
        <f t="shared" si="137"/>
        <v>1</v>
      </c>
    </row>
    <row r="51" spans="1:286" x14ac:dyDescent="0.3">
      <c r="A51" t="s">
        <v>1109</v>
      </c>
      <c r="B51" t="s">
        <v>1365</v>
      </c>
      <c r="C51" t="str">
        <f>Линии[[#This Row],[_авто наименование]]</f>
        <v>Осветительная группа, пом. 010Б</v>
      </c>
      <c r="D51">
        <v>12</v>
      </c>
      <c r="E51" t="str">
        <f>Линии[[#This Row],[_авто Р]]</f>
        <v/>
      </c>
      <c r="G51" t="str">
        <f>Линии[[#This Row],[_авто автомат]]</f>
        <v>1P С10А</v>
      </c>
      <c r="H51" t="str">
        <f>Линии[[#This Row],[_авто управление]]</f>
        <v/>
      </c>
      <c r="I51" t="str">
        <f>Линии[[#This Row],[_авто аппараты]]</f>
        <v/>
      </c>
      <c r="J51">
        <v>1.5</v>
      </c>
      <c r="K51">
        <v>55</v>
      </c>
      <c r="L51" t="str">
        <f>Линии[[#This Row],[_авто фаза]]</f>
        <v>L2</v>
      </c>
      <c r="M51" t="str">
        <f>Линии[[#This Row],[_авто клемма]]</f>
        <v>XT19</v>
      </c>
      <c r="N51" t="str">
        <f t="shared" si="0"/>
        <v>нет мощности; не на схеме</v>
      </c>
      <c r="O51" s="6" cm="1">
        <f t="array" ref="O51">IF(B51="","",IF(BH51&lt;&gt;"",IFERROR(_xlfn.XLOOKUP(BH51,Щиты[Щит],Щиты[Iр, А]),""),IF(BP51=1,IF(OR(N(_xlfn.XLOOKUP(A51,Щиты[Щит],Щиты[Вводов],1))&lt;=1,LOWER(TRIM(_xlfn.XLOOKUP(A51,Щиты[Щит],Щиты[АВР],"")&amp;""))="да"),IFERROR(_xlfn.XLOOKUP(A51,Щиты[Щит],Щиты[Iр, А]),""),IFERROR(N(BS51)*_xlfn.XLOOKUP(A51,Щиты[Щит],Щиты[Кс итог])/(SQRT(3)*Uн_лин*_xlfn.XLOOKUP(A51,Щиты[Щит],Щиты[cos φ])),"")),IF(BV51=1,IFERROR(BS51*1000/BU51,""),IFERROR(_xlfn.IFS(BX51=1,BS51/((Uн_лин/SQRT(3))*CE51),BX51=3,BS51/(SQRT(3)*Uн_лин*CE51)),"")))))</f>
        <v>0</v>
      </c>
      <c r="P51" s="7">
        <f>IF(B51="","",IFERROR(IF(VLOOKUP(BC51,Потребители_обозначение,4,FALSE)=1,VLOOKUP(BC51,Потребители_обозначение,3,FALSE)*(MAX(1,N(D51))*2-1)+EI51+VLOOKUP(BE51,Этаж_обозначение,3,FALSE)+VLOOKUP(BE51,Этаж_обозначение,4,FALSE),VLOOKUP(BC51,Потребители_обозначение,3,FALSE)*(MAX(1,N(D51))*2-1)+EI51),EI51))</f>
        <v>78</v>
      </c>
      <c r="Q51" s="6">
        <f t="shared" si="1"/>
        <v>0.17</v>
      </c>
      <c r="R51" t="str">
        <f t="shared" si="2"/>
        <v>ВВГнг(А)-LS (3х1,5)</v>
      </c>
      <c r="S51" t="str">
        <f>IF(BM51="","",IF(BN51="вводной узел","узел ","")&amp;"л."&amp;(INT((BM51-1)/Столбцов_на_лист)+1)&amp;" / "&amp;(MOD(BM51-1,Столбцов_на_лист)+1))</f>
        <v/>
      </c>
      <c r="T51" s="119">
        <f t="shared" si="3"/>
        <v>0.8</v>
      </c>
      <c r="U51" s="7" t="str">
        <f>IF(OR(CG51=0,N(BV51)+N(IB51)=0),"",ROUNDUP(Запас_БП*(N(HY51)+N(HZ51)),0))</f>
        <v/>
      </c>
      <c r="V51" s="119" t="str">
        <f t="shared" si="4"/>
        <v/>
      </c>
      <c r="W51" s="7" t="str">
        <f>IFERROR(IF(OR(B51="",BP51=1,BV51=1,NOT(ISNUMBER(EN51)),N(DT51)=0),"",MAX(0,ROUNDDOWN((c_min*(Uн_лин*1000/SQRT(3))/(HT51*N(DT51))-_xlfn.XLOOKUP(A51,Щиты[Щит],Щиты[Zпетли на шинах, Ом]))*EN51/(2*ρкз_Cu),0))),"")</f>
        <v/>
      </c>
      <c r="Y51" t="str">
        <f>Линии[[#This Row],[_авто утечка]]</f>
        <v/>
      </c>
      <c r="Z51">
        <v>1</v>
      </c>
      <c r="AA51">
        <v>230</v>
      </c>
      <c r="AB51" t="s">
        <v>562</v>
      </c>
      <c r="AI51" t="s">
        <v>555</v>
      </c>
      <c r="AK51" t="str">
        <f>Линии[[#This Row],[_авто модуль]]</f>
        <v/>
      </c>
      <c r="AM51" t="s">
        <v>527</v>
      </c>
      <c r="AN51" t="s">
        <v>11</v>
      </c>
      <c r="AO51">
        <v>3</v>
      </c>
      <c r="AR51">
        <v>70</v>
      </c>
      <c r="BA51" cm="1">
        <f t="array" ref="BA51">ROW()-ROW(Линии[#Headers])</f>
        <v>49</v>
      </c>
      <c r="BC51" s="6" t="str">
        <f t="shared" si="5"/>
        <v>L</v>
      </c>
      <c r="BD51" t="str">
        <f t="shared" si="6"/>
        <v>00.010Б.1</v>
      </c>
      <c r="BE51" t="str">
        <f t="shared" si="7"/>
        <v>00</v>
      </c>
      <c r="BF51" t="str">
        <f t="shared" si="8"/>
        <v>010Б.1</v>
      </c>
      <c r="BG51" t="str">
        <f t="shared" si="9"/>
        <v>010Б</v>
      </c>
      <c r="BH51" t="str">
        <f>IF(X51&lt;&gt;"",X51,IF(AND(B51&lt;&gt;"",B51&lt;&gt;A51,ISNUMBER(_xlfn.XMATCH(B51,Щиты[Щит]))),B51,""))</f>
        <v/>
      </c>
      <c r="BI51" t="str" cm="1">
        <f t="array" ref="BI51">IF(B51="","",IF(BH51&lt;&gt;"","Щит "&amp;BH51,_xlfn.LET(_xlpm.nm,IFERROR(_xlfn.XLOOKUP(BC51,Коды_код,Коды_имя)&amp;"",""),_xlpm.md,IFERROR(N(_xlfn.XLOOKUP(BC51,Коды_код,Коды_режим)),1),_xlpm.ex,IF(Имя_режим="по экспликации",IFERROR(_xlfn.XLOOKUP(BE51&amp;"|"&amp;BG51,Экспликация[Этаж]&amp;"|"&amp;Экспликация[Помещение],Экспликация[Название])&amp;"",""),""),_xlpm.rm,IF(BG51="","",IF(_xlpm.ex&lt;&gt;"",". "&amp;_xlpm.ex&amp;IF(Имя_пом="нет"," ("&amp;BG51&amp;")"," (пом. "&amp;BG51&amp;")"),IF(Имя_пом="нет"," ",", пом. ")&amp;BG51)),IF(_xlpm.nm="","",IF(_xlpm.md=2,_xlpm.nm&amp;" шлейф "&amp;BE51,_xlpm.nm&amp;_xlpm.rm)))))</f>
        <v>Осветительная группа, пом. 010Б</v>
      </c>
      <c r="BJ51" t="str">
        <f t="shared" si="10"/>
        <v>Осветительная группа, пом. 010Б</v>
      </c>
      <c r="BK51">
        <f>IFERROR(_xlfn.XMATCH(A51,Щиты[Щит]),0)</f>
        <v>3</v>
      </c>
      <c r="BL51">
        <f>_xlfn.LET(_xlpm.k,IFERROR(_xlfn.XLOOKUP(A51,Щиты[Щит],Щиты[Мест под вводной узел]),""),IF(_xlpm.k="",Столбцов_на_лист,N(_xlpm.k)))</f>
        <v>17</v>
      </c>
      <c r="BM51" t="str">
        <f t="shared" si="11"/>
        <v/>
      </c>
      <c r="BN51" t="str">
        <f t="shared" si="12"/>
        <v/>
      </c>
      <c r="BO51" s="6">
        <f>IFERROR(N(_xlfn.XLOOKUP(BC51,Коды_код,Коды_квт)),0)</f>
        <v>0</v>
      </c>
      <c r="BP51">
        <f t="shared" si="13"/>
        <v>0</v>
      </c>
      <c r="BQ51" t="str">
        <f>IF(B51="","",IF(BH51&lt;&gt;"",IFERROR(_xlfn.XLOOKUP(BH51,Щиты[Щит],Щиты[Руст, кВт]),0),IF(BP51=1,IF(OR(N(_xlfn.XLOOKUP(A51,Щиты[Щит],Щиты[Вводов],1))&lt;=1,LOWER(TRIM(_xlfn.XLOOKUP(A51,Щиты[Щит],Щиты[АВР],"")&amp;""))="да"),IFERROR(_xlfn.XLOOKUP(A51,Щиты[Щит],Щиты[Руст, кВт]),0),SUMIFS(Линии[_Р для вводов],Линии[Щит],A51,Линии[Источник для режимов],GF51)),IF(BO51&gt;0,ROUND(BO51*MAX(1,N(D51)),3),""))))</f>
        <v/>
      </c>
      <c r="BR51" t="str">
        <f t="shared" si="14"/>
        <v/>
      </c>
      <c r="BS51" s="6">
        <f>IF(B51="","",IF(BH51&lt;&gt;"",IFERROR(_xlfn.XLOOKUP(BH51,Щиты[Щит],Щиты[Руст, кВт]),0),N(BR51)))</f>
        <v>0</v>
      </c>
      <c r="BT51" t="str">
        <f>IF(B51="","",IFERROR(IF(VLOOKUP(BC51,Потребители_обозначение,8,FALSE)=0,"",VLOOKUP(BC51,Потребители_обозначение,8,FALSE)),""))</f>
        <v/>
      </c>
      <c r="BU51">
        <f t="shared" si="15"/>
        <v>230</v>
      </c>
      <c r="BV51">
        <f t="shared" si="16"/>
        <v>0</v>
      </c>
      <c r="BW51">
        <f>IF(B51="","",IF(BH51&lt;&gt;"",3,IFERROR(IF(N(VLOOKUP(BC51,Потребители_обозначение,9,FALSE))=0,1,VLOOKUP(BC51,Потребители_обозначение,9,FALSE)),1)))</f>
        <v>1</v>
      </c>
      <c r="BX51">
        <f t="shared" si="17"/>
        <v>1</v>
      </c>
      <c r="BY51" t="str">
        <f>IF(B51="","",_xlfn.LET(_xlpm.bc,IFERROR(IF(VLOOKUP(BC51,Потребители_обозначение,6,FALSE)=0,"",VLOOKUP(BC51,Потребители_обозначение,6,FALSE)&amp;""),""),IF(AND(GA51="да",OR(_xlpm.bc="",_xlpm.bc="мс")),Марка_пож,IF(AND(_xlpm.bc="",BH51&lt;&gt;""),"мс",_xlpm.bc))))</f>
        <v/>
      </c>
      <c r="BZ51" t="str">
        <f t="shared" si="18"/>
        <v>мс</v>
      </c>
      <c r="CA51">
        <f>IF(B51="","",_xlfn.LET(_xlpm.cc,IFERROR(N(VLOOKUP(BC51,Потребители_обозначение,7,FALSE)),0),IF(_xlpm.cc&gt;0,_xlpm.cc,IF(BZ51="","",IF(BV51=1,2,IF(N(BX51)=3,5,3))))))</f>
        <v>3</v>
      </c>
      <c r="CB51">
        <f t="shared" si="19"/>
        <v>3</v>
      </c>
      <c r="CC51">
        <f>IFERROR(N(VLOOKUP(BC51,Потребители_обозначение,10,FALSE)),0)</f>
        <v>0</v>
      </c>
      <c r="CD51">
        <f>IFERROR(VLOOKUP(BC51,Потребители_обозначение,5,FALSE),0)</f>
        <v>3</v>
      </c>
      <c r="CE51" s="6" cm="1">
        <f t="array" ref="CE51">IF(B51="","",IF(BH51&lt;&gt;"",IFERROR(_xlfn.XLOOKUP(BH51,Щиты[Щит],Щиты[cos φ]),0.95),IF(BP51=1,IFERROR(_xlfn.XLOOKUP(A51,Щиты[Щит],Щиты[cos φ]),0.95),IF(ISNUMBER(AD51),AD51,IFERROR(IF(CD51=2,_xlfn.IFS(BX51=3,VLOOKUP(BS51,Справочная_двигатели,8,FALSE),BX51=1,VLOOKUP(BS51,Справочная_двигатели,10,TRUE)),IF(AND(Методика="нормы 2026",FG51="Сил"),0.8,0.95)),0.95)))))</f>
        <v>0.95</v>
      </c>
      <c r="CF51">
        <f t="shared" si="20"/>
        <v>0</v>
      </c>
      <c r="CG51">
        <f t="shared" si="21"/>
        <v>1</v>
      </c>
      <c r="CH51">
        <f t="shared" si="22"/>
        <v>0</v>
      </c>
      <c r="CI51">
        <f>IF(B51="","",IF(BV51=1,IFERROR(BS51/((Uн_лин/SQRT(3))*MAX(0.5,N(CE51))),0),N(O51)))</f>
        <v>0</v>
      </c>
      <c r="CJ51">
        <f t="shared" si="23"/>
        <v>0</v>
      </c>
      <c r="CK51">
        <f t="shared" si="24"/>
        <v>0</v>
      </c>
      <c r="CL51">
        <f t="shared" si="25"/>
        <v>0</v>
      </c>
      <c r="CM51">
        <f t="shared" si="26"/>
        <v>0</v>
      </c>
      <c r="CN51">
        <f t="shared" si="27"/>
        <v>0</v>
      </c>
      <c r="CO51">
        <f>IF(BC51="",0,_xlfn.LET(_xlpm.v,IFERROR(_xlfn.XLOOKUP(B51,Коды_код,Коды_мА),IFERROR(_xlfn.XLOOKUP(BC51,Коды_код,Коды_мА),IFERROR(_xlfn.XLOOKUP(LEFT(BC51,2),Коды_код,Коды_мА),""))),IF(_xlpm.v="да",30,IF(ISNUMBER(_xlpm.v),_xlpm.v,0))))</f>
        <v>0</v>
      </c>
      <c r="CP51" t="str">
        <f t="shared" si="28"/>
        <v/>
      </c>
      <c r="CQ51" t="str">
        <f>_xlfn.LET(_xlpm.k,IFERROR(_xlfn.XLOOKUP(BC51,Коды_код,Коды_утечка)&amp;"",""),IF(_xlpm.k="","дифавтомат",_xlpm.k))</f>
        <v>дифавтомат</v>
      </c>
      <c r="CR51" t="str" cm="1">
        <f t="array" ref="CR51">IF(CG51=0,"",_xlfn.LET(_xlpm.sg,TRIM(_xlfn.TEXTSPLIT(DD51&amp;"",";")),_xlpm.f_,_xlfn._xlws.FILTER(_xlpm.sg,LEFT(_xlpm.sg,3)="УЗО",""),IFERROR(INDEX(_xlpm.f_,1)&amp;"","")))</f>
        <v/>
      </c>
      <c r="CS51" t="str">
        <f t="shared" si="29"/>
        <v/>
      </c>
      <c r="CT51" s="6" t="str" cm="1">
        <f t="array" ref="CT51">IF(CR51="","",_xlfn.LET(_xlpm.tk,_xlfn.TEXTSPLIT(UPPER(CR51)," ",,TRUE),_xlpm.a_,_xlfn._xlws.FILTER(_xlpm.tk,ISNUMBER(--LEFT(_xlpm.tk,1))*((ISNUMBER(SEARCH("А",_xlpm.tk))+ISNUMBER(SEARCH("A",_xlpm.tk)))&gt;0)*NOT(ISNUMBER(SEARCH("МА",_xlpm.tk)))*NOT(ISNUMBER(SEARCH("MA",_xlpm.tk))),""),IFERROR(--SUBSTITUTE(SUBSTITUTE(INDEX(_xlpm.a_,1),"А",""),"A",""),"")))</f>
        <v/>
      </c>
      <c r="CU51" t="str" cm="1">
        <f t="array" ref="CU51">IF(CR51="","",_xlfn.LET(_xlpm.tk,_xlfn.TEXTSPLIT(UPPER(CR51)," ",,TRUE),_xlpm.a_,_xlfn._xlws.FILTER(_xlpm.tk,ISNUMBER(--LEFT(_xlpm.tk,1))*((ISNUMBER(SEARCH("МА",_xlpm.tk))+ISNUMBER(SEARCH("MA",_xlpm.tk)))&gt;0),""),IFERROR(--SUBSTITUTE(SUBSTITUTE(INDEX(_xlpm.a_,1),"МА",""),"MA",""),30)))</f>
        <v/>
      </c>
      <c r="CV51" t="str">
        <f>IF(CS51="","",IFERROR(_xlfn.XLOOKUP(CS51,Линии[_n],Линии[_УЗО, мА]),30))</f>
        <v/>
      </c>
      <c r="CW51">
        <f>IF(CS51="",0,IF(ISNUMBER(SEARCH("4P",IFERROR(_xlfn.XLOOKUP(CS51,Линии[_n],Линии[_УЗО строки])&amp;"",""))),0,1))</f>
        <v>0</v>
      </c>
      <c r="CX51" t="str">
        <f>IF(AND(CS51&lt;&gt;"",CS51=BA51),SUMIFS(Линии[_ток на 230 В],Линии[_блок УЗО],BA51,Линии[Щит],A51),"")</f>
        <v/>
      </c>
      <c r="CY51" t="str">
        <f>IF(AND(CS51&lt;&gt;"",CS51=BA51),SUMIFS(Линии[_ток утечки линии, мА],Линии[_блок УЗО],BA51,Линии[Щит],A51),"")</f>
        <v/>
      </c>
      <c r="CZ51">
        <f t="shared" si="30"/>
        <v>0</v>
      </c>
      <c r="DA51">
        <f t="shared" si="31"/>
        <v>0</v>
      </c>
      <c r="DB51">
        <f>IF(B51="",0,IFERROR(--_xlfn.XLOOKUP(B51,Коды_код,Коды_минавт),IFERROR(--_xlfn.XLOOKUP(BC51,Коды_код,Коды_минавт),IFERROR(--_xlfn.XLOOKUP(LEFT(BC51,2),Коды_код,Коды_минавт),0))))</f>
        <v>10</v>
      </c>
      <c r="DC51" t="str">
        <f>IF(B51="","",IFERROR(_xlfn.XLOOKUP(BC51,Коды_код,Коды_апп)&amp;"",""))</f>
        <v/>
      </c>
      <c r="DD51" t="str">
        <f t="shared" si="32"/>
        <v/>
      </c>
      <c r="DE51" t="str" cm="1">
        <f t="array" ref="DE51">IF(TRIM(DD51&amp;"")="","",IFERROR(TRIM(INDEX(_xlfn.TEXTSPLIT(DD51&amp;";;;",";"),1)),""))</f>
        <v/>
      </c>
      <c r="DF51" t="str" cm="1">
        <f t="array" ref="DF51">IF(TRIM(DD51&amp;"")="","",IFERROR(TRIM(INDEX(_xlfn.TEXTSPLIT(DD51&amp;";;;",";"),2)),""))</f>
        <v/>
      </c>
      <c r="DG51" t="str" cm="1">
        <f t="array" ref="DG51">IF(TRIM(DD51&amp;"")="","",IFERROR(TRIM(INDEX(_xlfn.TEXTSPLIT(DD51&amp;";;;",";"),3)),""))</f>
        <v/>
      </c>
      <c r="DH51">
        <f t="shared" si="33"/>
        <v>0</v>
      </c>
      <c r="DI51" t="str">
        <f>IF(B51="","",_xlfn.LET(_xlpm.t,LOWER(AZ51&amp;""),IF(ISNUMBER(SEARCH("dim",_xlpm.t)),"DIM",IF(ISNUMBER(SEARCH("dali",_xlpm.t)),"DALI",IF(OR(ISNUMBER(SEARCH("relay",_xlpm.t)),ISNUMBER(SEARCH("реле",_xlpm.t))),"Relay",IF(ISNUMBER(SEARCH("кнопк",_xlpm.t)),"",IFERROR(_xlfn.XLOOKUP(BC51,Коды_код,Коды_упр)&amp;"","")))))))</f>
        <v/>
      </c>
      <c r="DJ51" t="str">
        <f t="shared" si="34"/>
        <v/>
      </c>
      <c r="DK51">
        <f>IF(B51="","",_xlfn.LET(_xlpm.ig,IF(N(CX51)&gt;0,N(CX51),N(CI51)+IF(AJ51="вручную",0,N(CJ51))),_xlpm.n0,IFERROR(VLOOKUP(_xlpm.ig,Автомат_номиналы,2,TRUE),0),_xlpm.mn,MAX(DB51,IF(AJ51="вручную",0,N(CM51))),MAX(_xlpm.n0,_xlpm.mn,IF(DH51=1,Мин_автомат_БП,0))))</f>
        <v>10</v>
      </c>
      <c r="DL51">
        <f t="shared" si="35"/>
        <v>1</v>
      </c>
      <c r="DM51" t="str">
        <f t="shared" si="36"/>
        <v>1P</v>
      </c>
      <c r="DN51" t="str">
        <f>_xlfn.LET(_xlpm.cc,UPPER(TRIM(IFERROR(_xlfn.XLOOKUP(BC51,Коды_код,Коды_хар)&amp;"",""))),IF(OR(_xlpm.cc="B",_xlpm.cc="В"),"B",IF(_xlpm.cc="D","D","С")))</f>
        <v>С</v>
      </c>
      <c r="DO51" t="str">
        <f t="shared" si="37"/>
        <v>1P С10А</v>
      </c>
      <c r="DP51" t="str">
        <f t="shared" si="38"/>
        <v>1P С10А</v>
      </c>
      <c r="DQ51" t="str">
        <f t="shared" si="39"/>
        <v>1P С10А</v>
      </c>
      <c r="DR51" cm="1">
        <f t="array" ref="DR51">IF(DQ51="","",_xlfn.LET(_xlpm.t,SUBSTITUTE(SUBSTITUTE(SUBSTITUTE(UPPER(DQ51),"С","C"),"А","A"),"В","B"),_xlpm.tk,_xlfn.TEXTSPLIT(_xlpm.t," "),_xlpm.f,_xlfn._xlws.FILTER(_xlpm.tk,ISNUMBER(--MID(_xlpm.tk,2,1))*ISNUMBER(SEARCH(LEFT(_xlpm.tk,1)&amp;"#","B#C#D#"))*(LEN(_xlpm.tk)&gt;1),""),_xlpm.x,INDEX(_xlpm.f,1),IFERROR(--SUBSTITUTE(MID(_xlpm.x,2,9),"A",""),IFERROR(--SUBSTITUTE(INDEX(_xlfn._xlws.FILTER(_xlpm.tk,ISNUMBER(--SUBSTITUTE(_xlpm.tk,"A","")),""),1),"A",""),""))))</f>
        <v>10</v>
      </c>
      <c r="DS51" t="str">
        <f t="shared" si="40"/>
        <v>ok</v>
      </c>
      <c r="DT51">
        <f t="shared" si="41"/>
        <v>10</v>
      </c>
      <c r="DU51" t="str">
        <f t="shared" si="42"/>
        <v>1P С10А</v>
      </c>
      <c r="DV51">
        <f t="shared" si="43"/>
        <v>0</v>
      </c>
      <c r="DW51">
        <f t="shared" si="44"/>
        <v>0</v>
      </c>
      <c r="DX51">
        <f t="shared" si="45"/>
        <v>0</v>
      </c>
      <c r="DY51">
        <f t="shared" si="46"/>
        <v>0</v>
      </c>
      <c r="DZ51">
        <f t="shared" si="47"/>
        <v>1</v>
      </c>
      <c r="EA51">
        <f>IF(ISNUMBER(AP51),AP51,К_прокл)</f>
        <v>1</v>
      </c>
      <c r="EB51">
        <f t="shared" si="48"/>
        <v>2</v>
      </c>
      <c r="EC51">
        <f>IFERROR(N(VLOOKUP(BZ51,Кабель_обозначение,3,FALSE)),1)</f>
        <v>1</v>
      </c>
      <c r="ED51">
        <f>IFERROR(N(_xlfn.XLOOKUP(A51,Щиты[Щит],Щиты[ΔU до шин, %])),0)</f>
        <v>0.17</v>
      </c>
      <c r="EE51" t="str">
        <f>IFERROR(_xlfn.XLOOKUP(A51,Щиты[Щит],Щиты[Zпетли на шинах, Ом]),"")</f>
        <v/>
      </c>
      <c r="EF51">
        <f>IFERROR(N(_xlfn.XLOOKUP(A51,Щиты[Щит],Щиты[ΔU до шин (подбор), %])),0)</f>
        <v>0.65</v>
      </c>
      <c r="EG51" t="str">
        <f>IFERROR(_xlfn.XLOOKUP(A51,Щиты[Щит],Щиты[Zпетли на шинах (подбор), Ом]),"")</f>
        <v/>
      </c>
      <c r="EH51" t="str">
        <f t="shared" si="49"/>
        <v/>
      </c>
      <c r="EI51">
        <f t="shared" si="50"/>
        <v>55</v>
      </c>
      <c r="EJ51">
        <f t="shared" si="51"/>
        <v>2</v>
      </c>
      <c r="EK51">
        <f t="shared" si="52"/>
        <v>0.31</v>
      </c>
      <c r="EL51" s="6">
        <f>IF(B51="","",IF(BV51=1,dU_LED,IF(IFERROR(_xlfn.XLOOKUP(BC51,Коды_код,Коды_уго),"")="Светильник",3,4)+IF(Методика="нормы 2026",MIN(0.5,MAX(0,N(P51)-100)*0.005),0)))</f>
        <v>3</v>
      </c>
      <c r="EM51" cm="1">
        <f t="array" ref="EM51">IF(OR(B51="",BZ51="",EC51&lt;&gt;1),"",_xlfn.LET(_xlpm.sz,Iдоп_S,_xlpm.t_,CHOOSE(EB51,Iдоп_1ж,Iдоп_2ж,Iдоп_3ж)*DZ51*EA51,_xlpm.dcx,BV51=1,_xlpm.inn,IF(_xlpm.dcx,N(O51),N(DT51)),_xlpm.smin,MAX(1.5,CC51),_xlpm.L_,N(P51)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51)/N(BU51)*100,999),IFERROR(N(EJ51)*(_xlpm.rho*_xlpm.L_/_xlpm.sz*N(CE51)+_xlpm.xx*_xlpm.L_*N(EK51)/1000)*N(O51)/((Uн_лин/SQRT(3))*1000)*100,999)),_xlpm.kz,IF(OR(_xlpm.dcx,DW51=1,NOT(ISNUMBER(EG51)),_xlpm.L_=0,_xlpm.inn=0),1,IFERROR(--(c_min*(Uн_лин*1000/SQRT(3))/(EG51+2*ρкз_Cu*_xlpm.L_/_xlpm.sz)&gt;=HT51*_xlpm.inn),0)),_xlpm.ok,IFERROR((_xlpm.sz&gt;=_xlpm.smin)*(_xlpm.t_&gt;=_xlpm.inn)*IF(_xlpm.L_&gt;0,(_xlpm.du_+IF(_xlpm.dcx,0,EF51)&lt;=EL51+0.00001),1)*_xlpm.kz,0),_xlpm.r_,_xlfn._xlws.FILTER(_xlpm.sz,_xlpm.ok,"не подобрано"),INDEX(_xlpm.r_,1)))</f>
        <v>1.5</v>
      </c>
      <c r="EN51">
        <f t="shared" si="53"/>
        <v>1.5</v>
      </c>
      <c r="EO51" cm="1">
        <f t="array" ref="EO51">IF(OR(B51="",BZ51="",EC51&lt;&gt;1),"",_xlfn.LET(_xlpm.sz,Iдоп_S,_xlpm.t_,CHOOSE(EB51,Iдоп_1ж,Iдоп_2ж,Iдоп_3ж)*DZ51*EA51,_xlpm.ok,IFERROR((_xlpm.sz&gt;=MAX(1.5,CC51))*(_xlpm.t_&gt;=N(DT51)),0),_xlpm.r_,_xlfn._xlws.FILTER(_xlpm.sz,_xlpm.ok,""),INDEX(_xlpm.r_,1)))</f>
        <v>1.5</v>
      </c>
      <c r="EP51" s="6" cm="1">
        <f t="array" ref="EP51">IFERROR(ROUNDUP(N(EJ51)*(_xlfn.XLOOKUP(EO51,INDEX(Кабель_сопротивление,0,1),INDEX(Кабель_сопротивление,0,3))*N(P51)/EO51*N(CE51)+_xlfn.XLOOKUP(EO51,INDEX(Кабель_сопротивление,0,1),INDEX(Кабель_сопротивление,0,2))*N(P51)*N(EK51)/1000)*N(O51)/((Uн_лин/SQRT(3))*1000)*100,2),"")</f>
        <v>0</v>
      </c>
      <c r="EQ51">
        <f>IFERROR(2*ρкз_Cu*N(P51)/EO51,"")</f>
        <v>2.7352000000000003</v>
      </c>
      <c r="ER51">
        <f>IFERROR(VLOOKUP(EN51,Кабель_сопротивление,3,FALSE),"")</f>
        <v>2.2499999999999999E-2</v>
      </c>
      <c r="ES51">
        <f>IFERROR(VLOOKUP(EN51,Кабель_сопротивление,2,FALSE),"")</f>
        <v>0.11</v>
      </c>
      <c r="ET51">
        <f t="shared" si="54"/>
        <v>70</v>
      </c>
      <c r="EU51" t="str">
        <f t="shared" si="55"/>
        <v/>
      </c>
      <c r="EV51">
        <f t="shared" si="56"/>
        <v>0</v>
      </c>
      <c r="EW51" s="6">
        <f>IFERROR(ROUNDUP(EV51/IF(BV51=1,BU51,(Uн_лин/SQRT(3))*1000)*100,2),"")</f>
        <v>0</v>
      </c>
      <c r="EX51" t="str">
        <f>IFERROR(VLOOKUP(BZ51,Кабель_обозначение,2,FALSE),"")</f>
        <v>ВВГнг(А)-LS</v>
      </c>
      <c r="EY51" t="str">
        <f t="shared" si="57"/>
        <v>ВВГнг(А)-LS (3х1,5)</v>
      </c>
      <c r="EZ51" t="str">
        <f t="shared" si="58"/>
        <v>ВВГнг(А)-LS (3х1,5)
L=78-0%</v>
      </c>
      <c r="FA51">
        <f>IFERROR(2*ρкз_Cu*P51/EN51,"")</f>
        <v>2.7352000000000003</v>
      </c>
      <c r="FB51">
        <f t="shared" si="59"/>
        <v>0.91000000000000014</v>
      </c>
      <c r="FC51" s="6" t="str">
        <f>IFERROR(IF(OR(B51="",BV51=1,NOT(ISNUMBER(EN51)),N(P51)=0),"",_xlfn.XLOOKUP(A51,Щиты[Щит],Щиты[Zпетли на шинах, Ом])+FA51),"")</f>
        <v/>
      </c>
      <c r="FD51" s="6" t="str">
        <f>IF(ISNUMBER(FC51),c_min*(Uн_лин*1000/SQRT(3))/FC51,"")</f>
        <v/>
      </c>
      <c r="FE51" s="6" t="str">
        <f>IFERROR(IF(OR(B51="",NOT(ISNUMBER(EN51))),"",1.05*(Uн_лин*1000/SQRT(3))/(_xlfn.XLOOKUP(A51,Щиты[Щит],Щиты[Zmax на шинах, Ом])+FB51)/1000),"")</f>
        <v/>
      </c>
      <c r="FF51" s="6" t="str">
        <f>IF(B51="","",IF(ISNUMBER(AC51),"Сил",IF(IFERROR(_xlfn.XLOOKUP(BC51,Коды_код,Коды_группа)&amp;"","")="","Быт",_xlfn.XLOOKUP(BC51,Коды_код,Коды_группа)&amp;"")))</f>
        <v>Быт</v>
      </c>
      <c r="FG51" s="6" t="str">
        <f t="shared" si="60"/>
        <v>Быт</v>
      </c>
      <c r="FH51" s="6">
        <f>IF(FG51="Щит","щит",IF(FG51="","",IF(FG51="Быт",IFERROR(_xlfn.XLOOKUP(A51,Щиты[Щит],Щиты[Кс быт]),1),IF(FG51="Сил",IF(ISNUMBER(AC51),AC51,IF(Методика="нормы 2026",IFERROR(_xlfn.XLOOKUP(A51,Щиты[Щит],Щиты[Кс силовых (табл. 7.5)]),1),1)),IF(OR(FG51="Пост",FG51="Отоп"),1,IF(FG51="ВНГ",0.7,0))))))</f>
        <v>0.8</v>
      </c>
      <c r="FI51">
        <f>IF(FG51="","",IF(AND(BP51=1,TRIM(AE51&amp;"")=""),IF(COUNTIFS(Линии[Щит],A51,Линии[Секция (1/2/3)],"&gt;=2")&gt;0,MIN(3,MAX(1,IFERROR(--BD51,1))),1),IFERROR(MIN(3,MAX(1,INT(--AE51))),1)))</f>
        <v>1</v>
      </c>
      <c r="FJ51">
        <f t="shared" si="61"/>
        <v>0</v>
      </c>
      <c r="FK51">
        <f t="shared" si="62"/>
        <v>0</v>
      </c>
      <c r="FL51">
        <f t="shared" si="63"/>
        <v>0</v>
      </c>
      <c r="FM51">
        <f t="shared" si="64"/>
        <v>0</v>
      </c>
      <c r="FN51">
        <f t="shared" si="65"/>
        <v>0</v>
      </c>
      <c r="FO51">
        <f t="shared" si="66"/>
        <v>0</v>
      </c>
      <c r="FP51">
        <f t="shared" si="67"/>
        <v>0</v>
      </c>
      <c r="FQ51">
        <f t="shared" si="68"/>
        <v>0</v>
      </c>
      <c r="FR51">
        <f t="shared" si="69"/>
        <v>0</v>
      </c>
      <c r="FS51">
        <f>IF(CG51=1,IF(AND(CH51=1,CW51=1),0,IF(AND(CS51&lt;&gt;"",CS51=BA51,CW51=1),SUMIFS(Линии[_Р линии, кВт],Линии[_блок УЗО],BA51,Линии[Щит],A51),N(BS51)+IF(AJ51="вручную",0,N(CK51)))),0)</f>
        <v>0</v>
      </c>
      <c r="FT51" t="str">
        <f t="shared" si="70"/>
        <v/>
      </c>
      <c r="FU51" t="str">
        <f>IF(B51="","",IF(CG51=0,IF(BA51=1,"",FW50),IF(AND(CH51=1,CW51=1,CS51&lt;&gt;""),IFERROR(_xlfn.XLOOKUP(CS51,Линии[_n],Линии[_фаза итог]),"L1"),IF(OR(N(DL51)&gt;=3,N(BX51)&gt;=3),"L1,L2,L3",IFERROR(_xlfn.TEXTBEFORE(_xlfn.TEXTAFTER(_xlfn.XLOOKUP(A51,Щиты[Щит],Щиты[_фазы авто]),";"&amp;BA51&amp;":"),";"),"L1")))))</f>
        <v>L2</v>
      </c>
      <c r="FV51" t="str">
        <f t="shared" si="71"/>
        <v>L2</v>
      </c>
      <c r="FW51" t="str">
        <f t="shared" si="72"/>
        <v>L2</v>
      </c>
      <c r="FX51" cm="1">
        <f t="array" ref="FX51">IFERROR(IF(CD51=2,_xlfn.IFS(BX51=3,VLOOKUP(BS51,Справочная_двигатели,3,FALSE),BX51=1,VLOOKUP(BS51,Справочная_двигатели,5,TRUE)),0),0)</f>
        <v>0</v>
      </c>
      <c r="FY51">
        <f>IFERROR(IF(CD51=3,VLOOKUP(BS51,Справочная_ЛЭД,2,TRUE),0),0)</f>
        <v>0</v>
      </c>
      <c r="FZ51" s="6">
        <f t="shared" si="73"/>
        <v>0</v>
      </c>
      <c r="GA51" t="str">
        <f>IF(B51="","",IF(TRIM(AH51&amp;"")&lt;&gt;"",IF(LOWER(TRIM(AH51&amp;""))="да","да","нет"),IF(IFERROR(_xlfn.XLOOKUP(BC51,Коды_код,Коды_пожарная),"")="да","да","нет")))</f>
        <v>нет</v>
      </c>
      <c r="GB51" t="str">
        <f t="shared" si="74"/>
        <v/>
      </c>
      <c r="GC51" t="str">
        <f t="shared" si="75"/>
        <v>основная</v>
      </c>
      <c r="GD51">
        <f>IF(AND(BP51=1,TRIM(AE51&amp;"")=""),IF(COUNTIFS(Линии[Щит],A51,Линии[Секция (1/2/3)],"&gt;=2")&gt;0,MIN(3,MAX(1,IFERROR(--BD51,1))),1),IFERROR(MIN(3,MAX(1,INT(--AE51))),1))</f>
        <v>1</v>
      </c>
      <c r="GE51" t="str" cm="1">
        <f t="array" ref="GE51">IF(B51="","",_xlfn.LET(_xlpm.t,IFERROR(_xlfn.XLOOKUP(1,(Шины[Шина]=GC51)*(((Шины[Щит]=A51)+(Шины[Щит]=""))&gt;0),Шины[Тип]),"")&amp;"",IF(_xlpm.t&lt;&gt;"",_xlpm.t,IF(ISNUMBER(SEARCH("ИБП",GC51)),"ИБП",IF(ISNUMBER(SEARCH("ДГУ",GC51)),"ДГУ","Ввод "&amp;GD51)))))</f>
        <v>Ввод 1</v>
      </c>
      <c r="GF51" t="str">
        <f t="shared" si="76"/>
        <v>Ввод 1</v>
      </c>
      <c r="GG51" t="str">
        <f>IF(BP51=0,"",IF(TRIM(AG51&amp;"")&lt;&gt;"",TRIM(AG51&amp;""),IF(OR(GE51="ИБП",GE51="ДГУ"),"I особая",_xlfn.XLOOKUP(A51,Щиты[Щит],Щиты[Категория шины «Ввод»],"III"))))</f>
        <v/>
      </c>
      <c r="GH51" t="str">
        <f>IF(A51="","",_xlfn.XLOOKUP(A51,Щиты[Щит],Щиты[Путь],""))</f>
        <v>|ГРЩ-ЖД|ЩГП|ЩО-001|</v>
      </c>
      <c r="GI51" t="str">
        <f>IF(B51="","",IF(AI51&lt;&gt;"",AI51,IF(IFERROR(_xlfn.XLOOKUP(BC51,Коды_код,Коды_вид)&amp;"","")="","Прочее",_xlfn.XLOOKUP(BC51,Коды_код,Коды_вид)&amp;"")))</f>
        <v>Рабочее освещение</v>
      </c>
      <c r="GJ51" t="str">
        <f>IF(BM51="","",INT((BM51-1)/Столбцов_на_лист)+1)</f>
        <v/>
      </c>
      <c r="GK51" t="str">
        <f t="shared" si="77"/>
        <v>ВВГнг(А)-LS (3х1,5) L=78-0%</v>
      </c>
      <c r="GL51">
        <f t="shared" si="78"/>
        <v>0</v>
      </c>
      <c r="GM51">
        <f t="shared" si="79"/>
        <v>0</v>
      </c>
      <c r="GN51">
        <f t="shared" si="80"/>
        <v>1</v>
      </c>
      <c r="GO51">
        <f t="shared" si="81"/>
        <v>0</v>
      </c>
      <c r="GP51">
        <f t="shared" si="82"/>
        <v>0</v>
      </c>
      <c r="GQ51" t="str">
        <f>IF(BM51="","",IF(AND(CG51=1,GP51=1),COUNTIFS(A$3:A51,A51,CG$3:CG51,1,GP$3:GP51,1),IF(OR(OR(BA51=1,A51&lt;&gt;A50),AJ51="вручную",GP51=0),"",IF(BA51=1,"",GR50))))</f>
        <v/>
      </c>
      <c r="GR51" t="str">
        <f t="shared" si="83"/>
        <v/>
      </c>
      <c r="GS51">
        <f>IF(B51="","",IFERROR(LOOKUP(INDEX(CHOOSE(EB51,Iдоп_1ж,Iдоп_2ж,Iдоп_3ж),MATCH(EN51,Iдоп_S,0))*DZ51*EA51,{6,10,16,20,25,32,40,50,63,80,100,125,160,200,250,315,400,500,630}),""))</f>
        <v>16</v>
      </c>
      <c r="GT51" t="str">
        <f t="shared" si="84"/>
        <v/>
      </c>
      <c r="GU51" t="str">
        <f t="shared" si="85"/>
        <v/>
      </c>
      <c r="GV51" t="str">
        <f t="shared" si="86"/>
        <v/>
      </c>
      <c r="GW51">
        <f t="shared" si="87"/>
        <v>0</v>
      </c>
      <c r="GX51" t="str">
        <f>IF(OR(B51="",DJ51=""),"",IFERROR(_xlfn.XLOOKUP(DJ51,Модули_умолч[Управление],Модули_умолч[Модель])&amp;"",""))</f>
        <v/>
      </c>
      <c r="GY51">
        <f>IF(DJ51="",1,IFERROR(MAX(0,N(_xlfn.XLOOKUP(DJ51,Модули_умолч[Управление],Модули_умолч[Каналов на линию]))),1))</f>
        <v>1</v>
      </c>
      <c r="GZ51" t="str">
        <f t="shared" si="88"/>
        <v/>
      </c>
      <c r="HA51" t="str">
        <f t="shared" si="89"/>
        <v/>
      </c>
      <c r="HB51" t="str">
        <f t="shared" si="90"/>
        <v/>
      </c>
      <c r="HC51">
        <f>IF(HB51="",0,IFERROR(N(VLOOKUP(HB51,Модули_спр,3,FALSE)),0))</f>
        <v>0</v>
      </c>
      <c r="HD51" t="str">
        <f t="shared" si="91"/>
        <v/>
      </c>
      <c r="HE51" t="str">
        <f t="shared" si="92"/>
        <v/>
      </c>
      <c r="HF51" t="str">
        <f>IF(OR(HE51="",HE51="-"),"",IFERROR(VLOOKUP(HE51,Модули_спр,2,FALSE),"R"))</f>
        <v/>
      </c>
      <c r="HG51" t="str">
        <f>IF(HF51="","",HF51&amp;"."&amp;COUNTIFS(A$3:A51,A51,HF$3:HF51,HF51))</f>
        <v/>
      </c>
      <c r="HH51" t="str">
        <f t="shared" si="93"/>
        <v/>
      </c>
      <c r="HI51" t="str">
        <f t="shared" si="94"/>
        <v/>
      </c>
      <c r="HJ51" t="str">
        <f t="shared" si="95"/>
        <v/>
      </c>
      <c r="HK51" t="str">
        <f t="shared" si="96"/>
        <v/>
      </c>
      <c r="HL51">
        <f t="shared" si="97"/>
        <v>1</v>
      </c>
      <c r="HM51" t="str">
        <f>IF(HL51=1,"XT"&amp;COUNTIFS(A$3:A51,A51,HL$3:HL51,1),"")</f>
        <v>XT19</v>
      </c>
      <c r="HN51" t="str">
        <f t="shared" si="98"/>
        <v>XT19</v>
      </c>
      <c r="HO51" t="str">
        <f t="shared" si="99"/>
        <v/>
      </c>
      <c r="HP51" t="str">
        <f t="shared" si="100"/>
        <v/>
      </c>
      <c r="HQ51" t="str">
        <f t="shared" si="101"/>
        <v>ok</v>
      </c>
      <c r="HR51" t="str">
        <f>IF(OR(HJ51="",HH51=""),"",IF(HJ51+MAX(0,GY51-1)&gt;IFERROR(VLOOKUP(HI51,Модули_спр,3,FALSE),99),"ЛИШНИЙ КАНАЛ",IF(AND(AL51&lt;&gt;"=",GY51&gt;0,COUNTIFS(Линии[_модуль гр.],HH51,Линии[Канал (итог)],HJ51,Линии[Канал],"&lt;&gt;=",Линии[Щит],A51)&gt;1),"ДУБЛЬ КАНАЛА","")))</f>
        <v/>
      </c>
      <c r="HS51" s="6" t="str">
        <f t="shared" si="102"/>
        <v/>
      </c>
      <c r="HT51">
        <f t="shared" si="103"/>
        <v>10</v>
      </c>
      <c r="HU51" t="str">
        <f t="shared" si="104"/>
        <v/>
      </c>
      <c r="HV51">
        <f t="shared" si="105"/>
        <v>0.78</v>
      </c>
      <c r="HW51">
        <f t="shared" si="106"/>
        <v>0</v>
      </c>
      <c r="HX51">
        <f t="shared" si="107"/>
        <v>0</v>
      </c>
      <c r="HY51">
        <f t="shared" si="108"/>
        <v>0</v>
      </c>
      <c r="HZ51">
        <f t="shared" si="109"/>
        <v>0</v>
      </c>
      <c r="IA51">
        <f t="shared" si="110"/>
        <v>0</v>
      </c>
      <c r="IB51">
        <f t="shared" si="111"/>
        <v>0</v>
      </c>
      <c r="IC51" t="str">
        <f t="shared" si="112"/>
        <v/>
      </c>
      <c r="ID51" t="str" cm="1">
        <f t="array" ref="ID51">IF(IC51="","",_xlfn.LET(_xlpm.tk,_xlfn.TEXTSPLIT(SUBSTITUTE(SUBSTITUTE(IC51,";"," "),"→"," ")," ",,TRUE),_xlpm.w_,_xlfn._xlws.FILTER(_xlpm.tk,ISNUMBER(--LEFT(_xlpm.tk,1))*((ISNUMBER(SEARCH("W",_xlpm.tk))+ISNUMBER(SEARCH("Вт",_xlpm.tk)))&gt;0),""),IFERROR(--SUBSTITUTE(SUBSTITUTE(UPPER(INDEX(_xlpm.w_,1)),"W",""),"ВТ",""),"")))</f>
        <v/>
      </c>
      <c r="IE51" t="str" cm="1">
        <f t="array" ref="IE51">IF(IC51="","",_xlfn.LET(_xlpm.tk,_xlfn.TEXTSPLIT(SUBSTITUTE(SUBSTITUTE(IC51,";"," "),"→"," ")," ",,TRUE),_xlpm.v_,_xlfn._xlws.FILTER(_xlpm.tk,ISNUMBER(--LEFT(_xlpm.tk,1))*((ISNUMBER(SEARCH("V",_xlpm.tk))+(RIGHT(UPPER(_xlpm.tk))="В"))&gt;0),""),IFERROR(--SUBSTITUTE(SUBSTITUTE(UPPER(INDEX(_xlpm.v_,1)),"V",""),"В",""),"")))</f>
        <v/>
      </c>
      <c r="IF51" s="6" t="str">
        <f>IF(OR(BV51=0,HI51="",HJ51=""),"",IFERROR(N(_xlfn.XLOOKUP(HI51,Каталог!$C$4:$C$500,Каталог!$Q$4:$Q$500)),""))</f>
        <v/>
      </c>
      <c r="IG51" s="6" t="str">
        <f>IF(N(IF51)=0,"",SUMIFS(Линии[Iр, А],Линии[Щит],A51,Линии[_модуль гр.],HH51,Линии[Канал (итог)],HJ51))</f>
        <v/>
      </c>
      <c r="IH51" t="str">
        <f>IF(AND(B51="",HO51=""),"",_xlfn.TEXTJOIN("; ",TRUE,IF(AND(B51&lt;&gt;"",FV51=""),"нет фазы",""),IF(AND(B51&lt;&gt;"",N(GL51)=0,FG51&lt;&gt;"Нет"),"нет мощности",""),IF(AND(HN51&lt;&gt;"",COUNTIFS(Линии[Щит],A51,Линии[Клемма (итог)],HN51)&gt;1),"дубль клеммы "&amp;HN51,""),IF(AND(HQ51&lt;&gt;"",HQ51&lt;&gt;"ok"),HQ51,""),IF(HR51&lt;&gt;"",HR51,""),IF(AND(N(CB51)&gt;=4,N(BX51)=1),CB51&amp;" жил на 1 фазе",""),IF(AND(BC51="R",CG51=1,IF(CS51&lt;&gt;"",N(CV51)&gt;30,OR(N(DA51)=0,N(DA51)&gt;30))),"розетка без дифзащиты до 30 мА",""),IF(AND(CG51=1,N(DA51)&gt;0,ISNUMBER(T51)),IF(T51&gt;N(DA51)/3,"ток утечки "&amp;FIXED(T51,1)&amp;" мА &gt; 1/3 уставки ("&amp;DA51&amp;" мА)",""),""),IF(AND(CH51=1,CS51=""),"«узо»: нет строки с УЗО выше (УЗО 2P 40А 30мА в «Аппаратах»)",""),IF(AND(CS51&lt;&gt;"",CS51=BA51),IF(CT51="","впишите номинал УЗО (УЗО 2P 40А 30мА)",IF(N(CT51)&lt;N(DT51),"УЗО "&amp;CT51&amp;" А &lt; автомата "&amp;DT51&amp;" А перед ним",IF(N(CT51)&lt;N(CX51),"УЗО "&amp;CT51&amp;" А &lt; тока блока "&amp;FIXED(CX51,1)&amp;" А",""))),""),IF(AND(CS51&lt;&gt;"",CS51=BA51,ISNUMBER(CY51)),IF(CY51&gt;N(CV51)/3,"ток утечки блока УЗО "&amp;FIXED(CY51,1)&amp;" мА &gt; 1/3 уставки ("&amp;CV51&amp;" мА)",""),""),IF(AND(CG51=1,N(BV51)+N(IB51)&gt;0,IC51=""),"линии до 50 В без БП: впишите в «Аппараты» (БП 24V 480W)",""),IF(AND(CG51=1,ISNUMBER(ID51),ISNUMBER(U51)),IF(U51&gt;ID51,"БП "&amp;ID51&amp;" Вт &lt; нужно "&amp;U51&amp;" Вт (×"&amp;Запас_БП&amp;")",""),""),IF(AND(CG51=1,ISNUMBER(IE51),N(BV51)=1),IF(IE51&lt;&gt;N(BU51),"БП на "&amp;IE51&amp;" В, линия "&amp;BU51&amp;" В",""),""),IF(AND(N(IF51)&gt;0,N(IG51)&gt;N(IF51)),HH51&amp;" канал "&amp;HJ51&amp;": "&amp;FIXED(IG51,1)&amp;" А &gt; "&amp;IF51&amp;" А",""),IFERROR(IF(AND(ISNUMBER(Q51),Q51&gt;EL51),"потери "&amp;FIXED(Q51,1)&amp;" % &gt; "&amp;EL51&amp;" %",""),""),IFERROR(IF(LEFT(HU51,4)="мало","Iкз мало — отключение &gt; 0,4 с",""),""),IF(AND(B51&lt;&gt;"",BM51=""),"не на схеме",""),IF(AND(CG51=0,B51&lt;&gt;"",FV51&lt;&gt;"",IF(BA51=1,"",FW50)&lt;&gt;"",FV51&lt;&gt;IF(BA51=1,"",FW50)),"фаза не как у автомата группы ("&amp;IF(BA51=1,"",FW50)&amp;")","")))</f>
        <v>нет мощности; не на схеме</v>
      </c>
      <c r="II51" s="6">
        <f>IF(OR(CG51=0,DQ51=""),"",_xlfn.LET(_xlpm.t,IFERROR(_xlfn.XLOOKUP(DQ51,Каталог!$U$4:$U$500,Каталог!$G$4:$G$500),""),_xlpm.k,SEARCH("кА",_xlpm.t),IFERROR(--TRIM(RIGHT(SUBSTITUTE(MID(_xlpm.t,MAX(1,_xlpm.k-4),_xlpm.k-MAX(1,_xlpm.k-4))," ",REPT(" ",9)),5)),"")))</f>
        <v>6</v>
      </c>
      <c r="IJ51" t="str">
        <f>IF(OR(II51="",CG51=0),"",IF(_xlfn.XLOOKUP(A51,Щиты[Щит],Щиты[Iкз max на шинах, кА],"")="","",IF(II51&lt;_xlfn.XLOOKUP(A51,Щиты[Щит],Щиты[Iкз max на шинах, кА]),"Icu "&amp;II51&amp;" кА &lt; Iкз max","ok")))</f>
        <v/>
      </c>
      <c r="IK51" t="str">
        <f t="shared" si="113"/>
        <v/>
      </c>
      <c r="IL51" t="str">
        <f t="shared" si="114"/>
        <v/>
      </c>
      <c r="IM51" t="str">
        <f t="shared" si="115"/>
        <v/>
      </c>
      <c r="IN51" t="str" cm="1">
        <f t="array" ref="IN51">IF(IM51="","",_xlfn.LET(_xlpm.nd,_xlfn.TEXTSPLIT(IM51,"|"),IF(COLUMNS(_xlpm.nd)&gt;1,A51&amp;"¦"&amp;INDEX(_xlpm.nd,1)&amp;"¦"&amp;INDEX(_xlpm.nd,2),"")))</f>
        <v/>
      </c>
      <c r="IO51" t="str">
        <f t="shared" si="116"/>
        <v/>
      </c>
      <c r="IP51" t="str" cm="1">
        <f t="array" ref="IP51">IF(IM51="","",_xlfn.LET(_xlpm.nd,_xlfn.TEXTSPLIT(IM51,"|"),IF(COLUMNS(_xlpm.nd)&gt;2,A51&amp;"¦"&amp;INDEX(_xlpm.nd,2)&amp;"¦"&amp;INDEX(_xlpm.nd,3),"")))</f>
        <v/>
      </c>
      <c r="IQ51" t="str">
        <f t="shared" si="117"/>
        <v/>
      </c>
      <c r="IR51" t="str" cm="1">
        <f t="array" ref="IR51">IF(IM51="","",_xlfn.LET(_xlpm.nd,_xlfn.TEXTSPLIT(IM51,"|"),IF(COLUMNS(_xlpm.nd)&gt;3,A51&amp;"¦"&amp;INDEX(_xlpm.nd,3)&amp;"¦"&amp;INDEX(_xlpm.nd,4),"")))</f>
        <v/>
      </c>
      <c r="IS51" t="str">
        <f t="shared" si="118"/>
        <v/>
      </c>
      <c r="IT51" t="str" cm="1">
        <f t="array" ref="IT51">IF(IM51="","",_xlfn.LET(_xlpm.nd,_xlfn.TEXTSPLIT(IM51,"|"),IF(COLUMNS(_xlpm.nd)&gt;4,A51&amp;"¦"&amp;INDEX(_xlpm.nd,4)&amp;"¦"&amp;INDEX(_xlpm.nd,5),"")))</f>
        <v/>
      </c>
      <c r="IU51" t="str">
        <f t="shared" si="119"/>
        <v/>
      </c>
      <c r="IV51" t="str" cm="1">
        <f t="array" ref="IV51">IF(IM51="","",_xlfn.LET(_xlpm.nd,_xlfn.TEXTSPLIT(IM51,"|"),IF(COLUMNS(_xlpm.nd)&gt;5,A51&amp;"¦"&amp;INDEX(_xlpm.nd,5)&amp;"¦"&amp;INDEX(_xlpm.nd,6),"")))</f>
        <v/>
      </c>
      <c r="IW51" t="str">
        <f t="shared" si="120"/>
        <v/>
      </c>
      <c r="IX51" t="str" cm="1">
        <f t="array" ref="IX51">IF(IM51="","",_xlfn.LET(_xlpm.nd,_xlfn.TEXTSPLIT(IM51,"|"),IF(COLUMNS(_xlpm.nd)&gt;6,A51&amp;"¦"&amp;INDEX(_xlpm.nd,6)&amp;"¦"&amp;INDEX(_xlpm.nd,7),"")))</f>
        <v/>
      </c>
      <c r="IY51" t="str">
        <f t="shared" si="121"/>
        <v/>
      </c>
      <c r="IZ51" t="str">
        <f t="shared" si="122"/>
        <v/>
      </c>
      <c r="JA51" t="str">
        <f t="shared" si="123"/>
        <v>XT19</v>
      </c>
      <c r="JB51">
        <f t="shared" si="124"/>
        <v>0</v>
      </c>
      <c r="JC51">
        <f t="shared" si="125"/>
        <v>0</v>
      </c>
      <c r="JD51" t="str">
        <f t="shared" si="126"/>
        <v/>
      </c>
      <c r="JE51" t="str">
        <f t="shared" si="127"/>
        <v/>
      </c>
      <c r="JF51" t="str">
        <f t="shared" si="128"/>
        <v/>
      </c>
      <c r="JG51" t="str">
        <f t="shared" si="129"/>
        <v/>
      </c>
      <c r="JH51" t="str">
        <f>IF(B51="","",IFERROR(_xlfn.XLOOKUP(B51,Коды_код,Коды_уго),IFERROR(_xlfn.XLOOKUP(BC51,Коды_код,Коды_уго),IFERROR(_xlfn.XLOOKUP(LEFT(BC51,2),Коды_код,Коды_уго),""))))</f>
        <v>Светильник</v>
      </c>
      <c r="JI51" t="str">
        <f>IF(B51="","",IF(OR(JH51="",JH51=0),"BOX",IFERROR(IF(VLOOKUP(JH51,УГО_блоки,3,FALSE)&amp;""&lt;&gt;"",VLOOKUP(JH51,УГО_блоки,3,FALSE),VLOOKUP(JH51,УГО_блоки,2,FALSE)),JH51)))</f>
        <v>LAMP</v>
      </c>
      <c r="JJ51">
        <f t="shared" si="130"/>
        <v>1</v>
      </c>
      <c r="JK51" t="str">
        <f>IF(DQ51="","",IF(COUNTIF(DQ$3:DQ51,DQ51)=1,MAX(JK$2:JK50)+1,""))</f>
        <v/>
      </c>
      <c r="JL51" t="str">
        <f>IF(DE51="","",IF(COUNTIF(DE$3:DE51,DE51)+COUNTIF(DF$2:DF50,DE51)+COUNTIF(DG$2:DG50,DE51)=1,MAX(JL$2:JN50)+1,""))</f>
        <v/>
      </c>
      <c r="JM51" t="str">
        <f>IF(DF51="","",IF(COUNTIF(DE$3:DE51,DF51)+COUNTIF(DF$3:DF51,DF51)+COUNTIF(DG$2:DG50,DF51)=1,MAX(JL$2:JN50,JL51)+1,""))</f>
        <v/>
      </c>
      <c r="JN51" t="str">
        <f>IF(DG51="","",IF(COUNTIF(DE$3:DE51,DG51)+COUNTIF(DF$3:DF51,DG51)+COUNTIF(DG$3:DG51,DG51)=1,MAX(JL$2:JN50,JL51,JM51)+1,""))</f>
        <v/>
      </c>
      <c r="JO51" t="str">
        <f t="shared" si="131"/>
        <v>3х1,5</v>
      </c>
      <c r="JP51" t="str">
        <f>IF(JO51="","",IF(COUNTIF(JO$3:JO51,JO51)=1,MAX(JP$2:JP50)+1,""))</f>
        <v/>
      </c>
      <c r="JQ51" t="str">
        <f>IF(HG51="","",COUNTIF(HG$3:HG51,"?*"))</f>
        <v/>
      </c>
      <c r="JR51" t="str">
        <f>IF(OR(HG51="",HI51=""),"",IF(COUNTIFS(HG$3:HG51,"?*",HI$3:HI51,HI51)=1,MAX(JR$2:JR50)+1,""))</f>
        <v/>
      </c>
      <c r="JS51">
        <f t="shared" si="132"/>
        <v>1</v>
      </c>
      <c r="JT51">
        <f>IF(B51="","",COUNTIF(B$3:B51,"?*"))</f>
        <v>49</v>
      </c>
      <c r="JU51">
        <f>IF(HL51&lt;&gt;1,0,_xlfn.LET(_xlpm.k,MAX(IFERROR(--_xlfn.XLOOKUP(B51,Коды_код,Коды_3L),0),IFERROR(--_xlfn.XLOOKUP(BC51,Коды_код,Коды_3L),0),IFERROR(--_xlfn.XLOOKUP(LEFT(BC51,2),Коды_код,Коды_3L),0)),IF(_xlpm.k&gt;0,_xlpm.k,IF(IFERROR(--LEFT(SUBSTITUTE(JO51,"x","х"),FIND("х",SUBSTITUTE(JO51,"x","х"))-1),3)&gt;3,Каталог!$S$9,1))))</f>
        <v>1</v>
      </c>
      <c r="JV51">
        <f t="shared" si="133"/>
        <v>0</v>
      </c>
      <c r="JW51" t="str">
        <f t="shared" si="134"/>
        <v>авто</v>
      </c>
      <c r="JX51" t="str">
        <f t="shared" si="135"/>
        <v/>
      </c>
      <c r="JY51">
        <f t="shared" si="136"/>
        <v>0</v>
      </c>
      <c r="JZ51">
        <f t="shared" si="137"/>
        <v>1</v>
      </c>
    </row>
    <row r="52" spans="1:286" x14ac:dyDescent="0.3">
      <c r="A52" t="s">
        <v>1109</v>
      </c>
      <c r="B52" t="s">
        <v>1366</v>
      </c>
      <c r="C52" t="str">
        <f>Линии[[#This Row],[_авто наименование]]</f>
        <v>Осветительная группа, пом. 003T</v>
      </c>
      <c r="D52">
        <v>16</v>
      </c>
      <c r="E52">
        <v>0.1</v>
      </c>
      <c r="G52" t="str">
        <f>Линии[[#This Row],[_авто автомат]]</f>
        <v>1P С10А</v>
      </c>
      <c r="H52" t="str">
        <f>Линии[[#This Row],[_авто управление]]</f>
        <v/>
      </c>
      <c r="I52" t="str">
        <f>Линии[[#This Row],[_авто аппараты]]</f>
        <v/>
      </c>
      <c r="J52">
        <v>1.5</v>
      </c>
      <c r="K52">
        <v>56</v>
      </c>
      <c r="L52" t="str">
        <f>Линии[[#This Row],[_авто фаза]]</f>
        <v>L1</v>
      </c>
      <c r="M52" t="str">
        <f>Линии[[#This Row],[_авто клемма]]</f>
        <v>XT20</v>
      </c>
      <c r="N52" t="str">
        <f t="shared" si="0"/>
        <v>не на схеме</v>
      </c>
      <c r="O52" s="6" cm="1">
        <f t="array" ref="O52">IF(B52="","",IF(BH52&lt;&gt;"",IFERROR(_xlfn.XLOOKUP(BH52,Щиты[Щит],Щиты[Iр, А]),""),IF(BP52=1,IF(OR(N(_xlfn.XLOOKUP(A52,Щиты[Щит],Щиты[Вводов],1))&lt;=1,LOWER(TRIM(_xlfn.XLOOKUP(A52,Щиты[Щит],Щиты[АВР],"")&amp;""))="да"),IFERROR(_xlfn.XLOOKUP(A52,Щиты[Щит],Щиты[Iр, А]),""),IFERROR(N(BS52)*_xlfn.XLOOKUP(A52,Щиты[Щит],Щиты[Кс итог])/(SQRT(3)*Uн_лин*_xlfn.XLOOKUP(A52,Щиты[Щит],Щиты[cos φ])),"")),IF(BV52=1,IFERROR(BS52*1000/BU52,""),IFERROR(_xlfn.IFS(BX52=1,BS52/((Uн_лин/SQRT(3))*CE52),BX52=3,BS52/(SQRT(3)*Uн_лин*CE52)),"")))))</f>
        <v>0.455802844097073</v>
      </c>
      <c r="P52" s="7">
        <f>IF(B52="","",IFERROR(IF(VLOOKUP(BC52,Потребители_обозначение,4,FALSE)=1,VLOOKUP(BC52,Потребители_обозначение,3,FALSE)*(MAX(1,N(D52))*2-1)+EI52+VLOOKUP(BE52,Этаж_обозначение,3,FALSE)+VLOOKUP(BE52,Этаж_обозначение,4,FALSE),VLOOKUP(BC52,Потребители_обозначение,3,FALSE)*(MAX(1,N(D52))*2-1)+EI52),EI52))</f>
        <v>87</v>
      </c>
      <c r="Q52" s="6">
        <f t="shared" si="1"/>
        <v>0.67</v>
      </c>
      <c r="R52" t="str">
        <f t="shared" si="2"/>
        <v>ВВГнг(А)-LS (3х1,5)</v>
      </c>
      <c r="S52" t="str">
        <f>IF(BM52="","",IF(BN52="вводной узел","узел ","")&amp;"л."&amp;(INT((BM52-1)/Столбцов_на_лист)+1)&amp;" / "&amp;(MOD(BM52-1,Столбцов_на_лист)+1))</f>
        <v/>
      </c>
      <c r="T52" s="119">
        <f t="shared" si="3"/>
        <v>1.1000000000000001</v>
      </c>
      <c r="U52" s="7" t="str">
        <f>IF(OR(CG52=0,N(BV52)+N(IB52)=0),"",ROUNDUP(Запас_БП*(N(HY52)+N(HZ52)),0))</f>
        <v/>
      </c>
      <c r="V52" s="119" t="str">
        <f t="shared" si="4"/>
        <v/>
      </c>
      <c r="W52" s="7" t="str">
        <f>IFERROR(IF(OR(B52="",BP52=1,BV52=1,NOT(ISNUMBER(EN52)),N(DT52)=0),"",MAX(0,ROUNDDOWN((c_min*(Uн_лин*1000/SQRT(3))/(HT52*N(DT52))-_xlfn.XLOOKUP(A52,Щиты[Щит],Щиты[Zпетли на шинах, Ом]))*EN52/(2*ρкз_Cu),0))),"")</f>
        <v/>
      </c>
      <c r="Y52" t="str">
        <f>Линии[[#This Row],[_авто утечка]]</f>
        <v/>
      </c>
      <c r="Z52">
        <v>1</v>
      </c>
      <c r="AA52">
        <v>230</v>
      </c>
      <c r="AB52" t="s">
        <v>562</v>
      </c>
      <c r="AI52" t="s">
        <v>555</v>
      </c>
      <c r="AK52" t="str">
        <f>Линии[[#This Row],[_авто модуль]]</f>
        <v/>
      </c>
      <c r="AM52" t="s">
        <v>527</v>
      </c>
      <c r="AN52" t="s">
        <v>11</v>
      </c>
      <c r="AO52">
        <v>3</v>
      </c>
      <c r="AQ52">
        <v>8</v>
      </c>
      <c r="AR52">
        <v>71</v>
      </c>
      <c r="BA52" cm="1">
        <f t="array" ref="BA52">ROW()-ROW(Линии[#Headers])</f>
        <v>50</v>
      </c>
      <c r="BC52" s="6" t="str">
        <f t="shared" si="5"/>
        <v>L</v>
      </c>
      <c r="BD52" t="str">
        <f t="shared" si="6"/>
        <v>00.003T.1</v>
      </c>
      <c r="BE52" t="str">
        <f t="shared" si="7"/>
        <v>00</v>
      </c>
      <c r="BF52" t="str">
        <f t="shared" si="8"/>
        <v>003T.1</v>
      </c>
      <c r="BG52" t="str">
        <f t="shared" si="9"/>
        <v>003T</v>
      </c>
      <c r="BH52" t="str">
        <f>IF(X52&lt;&gt;"",X52,IF(AND(B52&lt;&gt;"",B52&lt;&gt;A52,ISNUMBER(_xlfn.XMATCH(B52,Щиты[Щит]))),B52,""))</f>
        <v/>
      </c>
      <c r="BI52" t="str" cm="1">
        <f t="array" ref="BI52">IF(B52="","",IF(BH52&lt;&gt;"","Щит "&amp;BH52,_xlfn.LET(_xlpm.nm,IFERROR(_xlfn.XLOOKUP(BC52,Коды_код,Коды_имя)&amp;"",""),_xlpm.md,IFERROR(N(_xlfn.XLOOKUP(BC52,Коды_код,Коды_режим)),1),_xlpm.ex,IF(Имя_режим="по экспликации",IFERROR(_xlfn.XLOOKUP(BE52&amp;"|"&amp;BG52,Экспликация[Этаж]&amp;"|"&amp;Экспликация[Помещение],Экспликация[Название])&amp;"",""),""),_xlpm.rm,IF(BG52="","",IF(_xlpm.ex&lt;&gt;"",". "&amp;_xlpm.ex&amp;IF(Имя_пом="нет"," ("&amp;BG52&amp;")"," (пом. "&amp;BG52&amp;")"),IF(Имя_пом="нет"," ",", пом. ")&amp;BG52)),IF(_xlpm.nm="","",IF(_xlpm.md=2,_xlpm.nm&amp;" шлейф "&amp;BE52,_xlpm.nm&amp;_xlpm.rm)))))</f>
        <v>Осветительная группа, пом. 003T</v>
      </c>
      <c r="BJ52" t="str">
        <f t="shared" si="10"/>
        <v>Осветительная группа, пом. 003T</v>
      </c>
      <c r="BK52">
        <f>IFERROR(_xlfn.XMATCH(A52,Щиты[Щит]),0)</f>
        <v>3</v>
      </c>
      <c r="BL52">
        <f>_xlfn.LET(_xlpm.k,IFERROR(_xlfn.XLOOKUP(A52,Щиты[Щит],Щиты[Мест под вводной узел]),""),IF(_xlpm.k="",Столбцов_на_лист,N(_xlpm.k)))</f>
        <v>17</v>
      </c>
      <c r="BM52" t="str">
        <f t="shared" si="11"/>
        <v/>
      </c>
      <c r="BN52" t="str">
        <f t="shared" si="12"/>
        <v/>
      </c>
      <c r="BO52" s="6">
        <f>IFERROR(N(_xlfn.XLOOKUP(BC52,Коды_код,Коды_квт)),0)</f>
        <v>0</v>
      </c>
      <c r="BP52">
        <f t="shared" si="13"/>
        <v>0</v>
      </c>
      <c r="BQ52" t="str">
        <f>IF(B52="","",IF(BH52&lt;&gt;"",IFERROR(_xlfn.XLOOKUP(BH52,Щиты[Щит],Щиты[Руст, кВт]),0),IF(BP52=1,IF(OR(N(_xlfn.XLOOKUP(A52,Щиты[Щит],Щиты[Вводов],1))&lt;=1,LOWER(TRIM(_xlfn.XLOOKUP(A52,Щиты[Щит],Щиты[АВР],"")&amp;""))="да"),IFERROR(_xlfn.XLOOKUP(A52,Щиты[Щит],Щиты[Руст, кВт]),0),SUMIFS(Линии[_Р для вводов],Линии[Щит],A52,Линии[Источник для режимов],GF52)),IF(BO52&gt;0,ROUND(BO52*MAX(1,N(D52)),3),""))))</f>
        <v/>
      </c>
      <c r="BR52">
        <f t="shared" si="14"/>
        <v>0.1</v>
      </c>
      <c r="BS52" s="6">
        <f>IF(B52="","",IF(BH52&lt;&gt;"",IFERROR(_xlfn.XLOOKUP(BH52,Щиты[Щит],Щиты[Руст, кВт]),0),N(BR52)))</f>
        <v>0.1</v>
      </c>
      <c r="BT52" t="str">
        <f>IF(B52="","",IFERROR(IF(VLOOKUP(BC52,Потребители_обозначение,8,FALSE)=0,"",VLOOKUP(BC52,Потребители_обозначение,8,FALSE)),""))</f>
        <v/>
      </c>
      <c r="BU52">
        <f t="shared" si="15"/>
        <v>230</v>
      </c>
      <c r="BV52">
        <f t="shared" si="16"/>
        <v>0</v>
      </c>
      <c r="BW52">
        <f>IF(B52="","",IF(BH52&lt;&gt;"",3,IFERROR(IF(N(VLOOKUP(BC52,Потребители_обозначение,9,FALSE))=0,1,VLOOKUP(BC52,Потребители_обозначение,9,FALSE)),1)))</f>
        <v>1</v>
      </c>
      <c r="BX52">
        <f t="shared" si="17"/>
        <v>1</v>
      </c>
      <c r="BY52" t="str">
        <f>IF(B52="","",_xlfn.LET(_xlpm.bc,IFERROR(IF(VLOOKUP(BC52,Потребители_обозначение,6,FALSE)=0,"",VLOOKUP(BC52,Потребители_обозначение,6,FALSE)&amp;""),""),IF(AND(GA52="да",OR(_xlpm.bc="",_xlpm.bc="мс")),Марка_пож,IF(AND(_xlpm.bc="",BH52&lt;&gt;""),"мс",_xlpm.bc))))</f>
        <v/>
      </c>
      <c r="BZ52" t="str">
        <f t="shared" si="18"/>
        <v>мс</v>
      </c>
      <c r="CA52">
        <f>IF(B52="","",_xlfn.LET(_xlpm.cc,IFERROR(N(VLOOKUP(BC52,Потребители_обозначение,7,FALSE)),0),IF(_xlpm.cc&gt;0,_xlpm.cc,IF(BZ52="","",IF(BV52=1,2,IF(N(BX52)=3,5,3))))))</f>
        <v>3</v>
      </c>
      <c r="CB52">
        <f t="shared" si="19"/>
        <v>3</v>
      </c>
      <c r="CC52">
        <f>IFERROR(N(VLOOKUP(BC52,Потребители_обозначение,10,FALSE)),0)</f>
        <v>0</v>
      </c>
      <c r="CD52">
        <f>IFERROR(VLOOKUP(BC52,Потребители_обозначение,5,FALSE),0)</f>
        <v>3</v>
      </c>
      <c r="CE52" s="6" cm="1">
        <f t="array" ref="CE52">IF(B52="","",IF(BH52&lt;&gt;"",IFERROR(_xlfn.XLOOKUP(BH52,Щиты[Щит],Щиты[cos φ]),0.95),IF(BP52=1,IFERROR(_xlfn.XLOOKUP(A52,Щиты[Щит],Щиты[cos φ]),0.95),IF(ISNUMBER(AD52),AD52,IFERROR(IF(CD52=2,_xlfn.IFS(BX52=3,VLOOKUP(BS52,Справочная_двигатели,8,FALSE),BX52=1,VLOOKUP(BS52,Справочная_двигатели,10,TRUE)),IF(AND(Методика="нормы 2026",FG52="Сил"),0.8,0.95)),0.95)))))</f>
        <v>0.95</v>
      </c>
      <c r="CF52">
        <f t="shared" si="20"/>
        <v>0</v>
      </c>
      <c r="CG52">
        <f t="shared" si="21"/>
        <v>1</v>
      </c>
      <c r="CH52">
        <f t="shared" si="22"/>
        <v>0</v>
      </c>
      <c r="CI52">
        <f>IF(B52="","",IF(BV52=1,IFERROR(BS52/((Uн_лин/SQRT(3))*MAX(0.5,N(CE52))),0),N(O52)))</f>
        <v>0.455802844097073</v>
      </c>
      <c r="CJ52">
        <f t="shared" si="23"/>
        <v>0</v>
      </c>
      <c r="CK52">
        <f t="shared" si="24"/>
        <v>0</v>
      </c>
      <c r="CL52">
        <f t="shared" si="25"/>
        <v>0</v>
      </c>
      <c r="CM52">
        <f t="shared" si="26"/>
        <v>0</v>
      </c>
      <c r="CN52">
        <f t="shared" si="27"/>
        <v>0</v>
      </c>
      <c r="CO52">
        <f>IF(BC52="",0,_xlfn.LET(_xlpm.v,IFERROR(_xlfn.XLOOKUP(B52,Коды_код,Коды_мА),IFERROR(_xlfn.XLOOKUP(BC52,Коды_код,Коды_мА),IFERROR(_xlfn.XLOOKUP(LEFT(BC52,2),Коды_код,Коды_мА),""))),IF(_xlpm.v="да",30,IF(ISNUMBER(_xlpm.v),_xlpm.v,0))))</f>
        <v>0</v>
      </c>
      <c r="CP52" t="str">
        <f t="shared" si="28"/>
        <v/>
      </c>
      <c r="CQ52" t="str">
        <f>_xlfn.LET(_xlpm.k,IFERROR(_xlfn.XLOOKUP(BC52,Коды_код,Коды_утечка)&amp;"",""),IF(_xlpm.k="","дифавтомат",_xlpm.k))</f>
        <v>дифавтомат</v>
      </c>
      <c r="CR52" t="str" cm="1">
        <f t="array" ref="CR52">IF(CG52=0,"",_xlfn.LET(_xlpm.sg,TRIM(_xlfn.TEXTSPLIT(DD52&amp;"",";")),_xlpm.f_,_xlfn._xlws.FILTER(_xlpm.sg,LEFT(_xlpm.sg,3)="УЗО",""),IFERROR(INDEX(_xlpm.f_,1)&amp;"","")))</f>
        <v/>
      </c>
      <c r="CS52" t="str">
        <f t="shared" si="29"/>
        <v/>
      </c>
      <c r="CT52" s="6" t="str" cm="1">
        <f t="array" ref="CT52">IF(CR52="","",_xlfn.LET(_xlpm.tk,_xlfn.TEXTSPLIT(UPPER(CR52)," ",,TRUE),_xlpm.a_,_xlfn._xlws.FILTER(_xlpm.tk,ISNUMBER(--LEFT(_xlpm.tk,1))*((ISNUMBER(SEARCH("А",_xlpm.tk))+ISNUMBER(SEARCH("A",_xlpm.tk)))&gt;0)*NOT(ISNUMBER(SEARCH("МА",_xlpm.tk)))*NOT(ISNUMBER(SEARCH("MA",_xlpm.tk))),""),IFERROR(--SUBSTITUTE(SUBSTITUTE(INDEX(_xlpm.a_,1),"А",""),"A",""),"")))</f>
        <v/>
      </c>
      <c r="CU52" t="str" cm="1">
        <f t="array" ref="CU52">IF(CR52="","",_xlfn.LET(_xlpm.tk,_xlfn.TEXTSPLIT(UPPER(CR52)," ",,TRUE),_xlpm.a_,_xlfn._xlws.FILTER(_xlpm.tk,ISNUMBER(--LEFT(_xlpm.tk,1))*((ISNUMBER(SEARCH("МА",_xlpm.tk))+ISNUMBER(SEARCH("MA",_xlpm.tk)))&gt;0),""),IFERROR(--SUBSTITUTE(SUBSTITUTE(INDEX(_xlpm.a_,1),"МА",""),"MA",""),30)))</f>
        <v/>
      </c>
      <c r="CV52" t="str">
        <f>IF(CS52="","",IFERROR(_xlfn.XLOOKUP(CS52,Линии[_n],Линии[_УЗО, мА]),30))</f>
        <v/>
      </c>
      <c r="CW52">
        <f>IF(CS52="",0,IF(ISNUMBER(SEARCH("4P",IFERROR(_xlfn.XLOOKUP(CS52,Линии[_n],Линии[_УЗО строки])&amp;"",""))),0,1))</f>
        <v>0</v>
      </c>
      <c r="CX52" t="str">
        <f>IF(AND(CS52&lt;&gt;"",CS52=BA52),SUMIFS(Линии[_ток на 230 В],Линии[_блок УЗО],BA52,Линии[Щит],A52),"")</f>
        <v/>
      </c>
      <c r="CY52" t="str">
        <f>IF(AND(CS52&lt;&gt;"",CS52=BA52),SUMIFS(Линии[_ток утечки линии, мА],Линии[_блок УЗО],BA52,Линии[Щит],A52),"")</f>
        <v/>
      </c>
      <c r="CZ52">
        <f t="shared" si="30"/>
        <v>0</v>
      </c>
      <c r="DA52">
        <f t="shared" si="31"/>
        <v>0</v>
      </c>
      <c r="DB52">
        <f>IF(B52="",0,IFERROR(--_xlfn.XLOOKUP(B52,Коды_код,Коды_минавт),IFERROR(--_xlfn.XLOOKUP(BC52,Коды_код,Коды_минавт),IFERROR(--_xlfn.XLOOKUP(LEFT(BC52,2),Коды_код,Коды_минавт),0))))</f>
        <v>10</v>
      </c>
      <c r="DC52" t="str">
        <f>IF(B52="","",IFERROR(_xlfn.XLOOKUP(BC52,Коды_код,Коды_апп)&amp;"",""))</f>
        <v/>
      </c>
      <c r="DD52" t="str">
        <f t="shared" si="32"/>
        <v/>
      </c>
      <c r="DE52" t="str" cm="1">
        <f t="array" ref="DE52">IF(TRIM(DD52&amp;"")="","",IFERROR(TRIM(INDEX(_xlfn.TEXTSPLIT(DD52&amp;";;;",";"),1)),""))</f>
        <v/>
      </c>
      <c r="DF52" t="str" cm="1">
        <f t="array" ref="DF52">IF(TRIM(DD52&amp;"")="","",IFERROR(TRIM(INDEX(_xlfn.TEXTSPLIT(DD52&amp;";;;",";"),2)),""))</f>
        <v/>
      </c>
      <c r="DG52" t="str" cm="1">
        <f t="array" ref="DG52">IF(TRIM(DD52&amp;"")="","",IFERROR(TRIM(INDEX(_xlfn.TEXTSPLIT(DD52&amp;";;;",";"),3)),""))</f>
        <v/>
      </c>
      <c r="DH52">
        <f t="shared" si="33"/>
        <v>0</v>
      </c>
      <c r="DI52" t="str">
        <f>IF(B52="","",_xlfn.LET(_xlpm.t,LOWER(AZ52&amp;""),IF(ISNUMBER(SEARCH("dim",_xlpm.t)),"DIM",IF(ISNUMBER(SEARCH("dali",_xlpm.t)),"DALI",IF(OR(ISNUMBER(SEARCH("relay",_xlpm.t)),ISNUMBER(SEARCH("реле",_xlpm.t))),"Relay",IF(ISNUMBER(SEARCH("кнопк",_xlpm.t)),"",IFERROR(_xlfn.XLOOKUP(BC52,Коды_код,Коды_упр)&amp;"","")))))))</f>
        <v/>
      </c>
      <c r="DJ52" t="str">
        <f t="shared" si="34"/>
        <v/>
      </c>
      <c r="DK52">
        <f>IF(B52="","",_xlfn.LET(_xlpm.ig,IF(N(CX52)&gt;0,N(CX52),N(CI52)+IF(AJ52="вручную",0,N(CJ52))),_xlpm.n0,IFERROR(VLOOKUP(_xlpm.ig,Автомат_номиналы,2,TRUE),0),_xlpm.mn,MAX(DB52,IF(AJ52="вручную",0,N(CM52))),MAX(_xlpm.n0,_xlpm.mn,IF(DH52=1,Мин_автомат_БП,0))))</f>
        <v>10</v>
      </c>
      <c r="DL52">
        <f t="shared" si="35"/>
        <v>1</v>
      </c>
      <c r="DM52" t="str">
        <f t="shared" si="36"/>
        <v>1P</v>
      </c>
      <c r="DN52" t="str">
        <f>_xlfn.LET(_xlpm.cc,UPPER(TRIM(IFERROR(_xlfn.XLOOKUP(BC52,Коды_код,Коды_хар)&amp;"",""))),IF(OR(_xlpm.cc="B",_xlpm.cc="В"),"B",IF(_xlpm.cc="D","D","С")))</f>
        <v>С</v>
      </c>
      <c r="DO52" t="str">
        <f t="shared" si="37"/>
        <v>1P С10А</v>
      </c>
      <c r="DP52" t="str">
        <f t="shared" si="38"/>
        <v>1P С10А</v>
      </c>
      <c r="DQ52" t="str">
        <f t="shared" si="39"/>
        <v>1P С10А</v>
      </c>
      <c r="DR52" cm="1">
        <f t="array" ref="DR52">IF(DQ52="","",_xlfn.LET(_xlpm.t,SUBSTITUTE(SUBSTITUTE(SUBSTITUTE(UPPER(DQ52),"С","C"),"А","A"),"В","B"),_xlpm.tk,_xlfn.TEXTSPLIT(_xlpm.t," "),_xlpm.f,_xlfn._xlws.FILTER(_xlpm.tk,ISNUMBER(--MID(_xlpm.tk,2,1))*ISNUMBER(SEARCH(LEFT(_xlpm.tk,1)&amp;"#","B#C#D#"))*(LEN(_xlpm.tk)&gt;1),""),_xlpm.x,INDEX(_xlpm.f,1),IFERROR(--SUBSTITUTE(MID(_xlpm.x,2,9),"A",""),IFERROR(--SUBSTITUTE(INDEX(_xlfn._xlws.FILTER(_xlpm.tk,ISNUMBER(--SUBSTITUTE(_xlpm.tk,"A","")),""),1),"A",""),""))))</f>
        <v>10</v>
      </c>
      <c r="DS52" t="str">
        <f t="shared" si="40"/>
        <v>ok</v>
      </c>
      <c r="DT52">
        <f t="shared" si="41"/>
        <v>10</v>
      </c>
      <c r="DU52" t="str">
        <f t="shared" si="42"/>
        <v>1P С10А</v>
      </c>
      <c r="DV52">
        <f t="shared" si="43"/>
        <v>0</v>
      </c>
      <c r="DW52">
        <f t="shared" si="44"/>
        <v>0</v>
      </c>
      <c r="DX52">
        <f t="shared" si="45"/>
        <v>0</v>
      </c>
      <c r="DY52">
        <f t="shared" si="46"/>
        <v>0.455802844097073</v>
      </c>
      <c r="DZ52">
        <f t="shared" si="47"/>
        <v>1</v>
      </c>
      <c r="EA52">
        <f>IF(ISNUMBER(AP52),AP52,К_прокл)</f>
        <v>1</v>
      </c>
      <c r="EB52">
        <f t="shared" si="48"/>
        <v>2</v>
      </c>
      <c r="EC52">
        <f>IFERROR(N(VLOOKUP(BZ52,Кабель_обозначение,3,FALSE)),1)</f>
        <v>1</v>
      </c>
      <c r="ED52">
        <f>IFERROR(N(_xlfn.XLOOKUP(A52,Щиты[Щит],Щиты[ΔU до шин, %])),0)</f>
        <v>0.17</v>
      </c>
      <c r="EE52" t="str">
        <f>IFERROR(_xlfn.XLOOKUP(A52,Щиты[Щит],Щиты[Zпетли на шинах, Ом]),"")</f>
        <v/>
      </c>
      <c r="EF52">
        <f>IFERROR(N(_xlfn.XLOOKUP(A52,Щиты[Щит],Щиты[ΔU до шин (подбор), %])),0)</f>
        <v>0.65</v>
      </c>
      <c r="EG52" t="str">
        <f>IFERROR(_xlfn.XLOOKUP(A52,Щиты[Щит],Щиты[Zпетли на шинах (подбор), Ом]),"")</f>
        <v/>
      </c>
      <c r="EH52" t="str">
        <f t="shared" si="49"/>
        <v/>
      </c>
      <c r="EI52">
        <f t="shared" si="50"/>
        <v>56</v>
      </c>
      <c r="EJ52">
        <f t="shared" si="51"/>
        <v>2</v>
      </c>
      <c r="EK52">
        <f t="shared" si="52"/>
        <v>0.31</v>
      </c>
      <c r="EL52" s="6">
        <f>IF(B52="","",IF(BV52=1,dU_LED,IF(IFERROR(_xlfn.XLOOKUP(BC52,Коды_код,Коды_уго),"")="Светильник",3,4)+IF(Методика="нормы 2026",MIN(0.5,MAX(0,N(P52)-100)*0.005),0)))</f>
        <v>3</v>
      </c>
      <c r="EM52" cm="1">
        <f t="array" ref="EM52">IF(OR(B52="",BZ52="",EC52&lt;&gt;1),"",_xlfn.LET(_xlpm.sz,Iдоп_S,_xlpm.t_,CHOOSE(EB52,Iдоп_1ж,Iдоп_2ж,Iдоп_3ж)*DZ52*EA52,_xlpm.dcx,BV52=1,_xlpm.inn,IF(_xlpm.dcx,N(O52),N(DT52)),_xlpm.smin,MAX(1.5,CC52),_xlpm.L_,N(P52)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52)/N(BU52)*100,999),IFERROR(N(EJ52)*(_xlpm.rho*_xlpm.L_/_xlpm.sz*N(CE52)+_xlpm.xx*_xlpm.L_*N(EK52)/1000)*N(O52)/((Uн_лин/SQRT(3))*1000)*100,999)),_xlpm.kz,IF(OR(_xlpm.dcx,DW52=1,NOT(ISNUMBER(EG52)),_xlpm.L_=0,_xlpm.inn=0),1,IFERROR(--(c_min*(Uн_лин*1000/SQRT(3))/(EG52+2*ρкз_Cu*_xlpm.L_/_xlpm.sz)&gt;=HT52*_xlpm.inn),0)),_xlpm.ok,IFERROR((_xlpm.sz&gt;=_xlpm.smin)*(_xlpm.t_&gt;=_xlpm.inn)*IF(_xlpm.L_&gt;0,(_xlpm.du_+IF(_xlpm.dcx,0,EF52)&lt;=EL52+0.00001),1)*_xlpm.kz,0),_xlpm.r_,_xlfn._xlws.FILTER(_xlpm.sz,_xlpm.ok,"не подобрано"),INDEX(_xlpm.r_,1)))</f>
        <v>1.5</v>
      </c>
      <c r="EN52">
        <f t="shared" si="53"/>
        <v>1.5</v>
      </c>
      <c r="EO52" cm="1">
        <f t="array" ref="EO52">IF(OR(B52="",BZ52="",EC52&lt;&gt;1),"",_xlfn.LET(_xlpm.sz,Iдоп_S,_xlpm.t_,CHOOSE(EB52,Iдоп_1ж,Iдоп_2ж,Iдоп_3ж)*DZ52*EA52,_xlpm.ok,IFERROR((_xlpm.sz&gt;=MAX(1.5,CC52))*(_xlpm.t_&gt;=N(DT52)),0),_xlpm.r_,_xlfn._xlws.FILTER(_xlpm.sz,_xlpm.ok,""),INDEX(_xlpm.r_,1)))</f>
        <v>1.5</v>
      </c>
      <c r="EP52" s="6" cm="1">
        <f t="array" ref="EP52">IFERROR(ROUNDUP(N(EJ52)*(_xlfn.XLOOKUP(EO52,INDEX(Кабель_сопротивление,0,1),INDEX(Кабель_сопротивление,0,3))*N(P52)/EO52*N(CE52)+_xlfn.XLOOKUP(EO52,INDEX(Кабель_сопротивление,0,1),INDEX(Кабель_сопротивление,0,2))*N(P52)*N(EK52)/1000)*N(O52)/((Uн_лин/SQRT(3))*1000)*100,2),"")</f>
        <v>0.5</v>
      </c>
      <c r="EQ52">
        <f>IFERROR(2*ρкз_Cu*N(P52)/EO52,"")</f>
        <v>3.0508000000000002</v>
      </c>
      <c r="ER52">
        <f>IFERROR(VLOOKUP(EN52,Кабель_сопротивление,3,FALSE),"")</f>
        <v>2.2499999999999999E-2</v>
      </c>
      <c r="ES52">
        <f>IFERROR(VLOOKUP(EN52,Кабель_сопротивление,2,FALSE),"")</f>
        <v>0.11</v>
      </c>
      <c r="ET52">
        <f t="shared" si="54"/>
        <v>71</v>
      </c>
      <c r="EU52" t="str">
        <f t="shared" si="55"/>
        <v/>
      </c>
      <c r="EV52">
        <f t="shared" si="56"/>
        <v>1.1328676125338579</v>
      </c>
      <c r="EW52" s="6">
        <f>IFERROR(ROUNDUP(EV52/IF(BV52=1,BU52,(Uн_лин/SQRT(3))*1000)*100,2),"")</f>
        <v>0.5</v>
      </c>
      <c r="EX52" t="str">
        <f>IFERROR(VLOOKUP(BZ52,Кабель_обозначение,2,FALSE),"")</f>
        <v>ВВГнг(А)-LS</v>
      </c>
      <c r="EY52" t="str">
        <f t="shared" si="57"/>
        <v>ВВГнг(А)-LS (3х1,5)</v>
      </c>
      <c r="EZ52" t="str">
        <f t="shared" si="58"/>
        <v>ВВГнг(А)-LS (3х1,5)
L=87-0,5%</v>
      </c>
      <c r="FA52">
        <f>IFERROR(2*ρкз_Cu*P52/EN52,"")</f>
        <v>3.0508000000000002</v>
      </c>
      <c r="FB52">
        <f t="shared" si="59"/>
        <v>1.0150000000000001</v>
      </c>
      <c r="FC52" s="6" t="str">
        <f>IFERROR(IF(OR(B52="",BV52=1,NOT(ISNUMBER(EN52)),N(P52)=0),"",_xlfn.XLOOKUP(A52,Щиты[Щит],Щиты[Zпетли на шинах, Ом])+FA52),"")</f>
        <v/>
      </c>
      <c r="FD52" s="6" t="str">
        <f>IF(ISNUMBER(FC52),c_min*(Uн_лин*1000/SQRT(3))/FC52,"")</f>
        <v/>
      </c>
      <c r="FE52" s="6" t="str">
        <f>IFERROR(IF(OR(B52="",NOT(ISNUMBER(EN52))),"",1.05*(Uн_лин*1000/SQRT(3))/(_xlfn.XLOOKUP(A52,Щиты[Щит],Щиты[Zmax на шинах, Ом])+FB52)/1000),"")</f>
        <v/>
      </c>
      <c r="FF52" s="6" t="str">
        <f>IF(B52="","",IF(ISNUMBER(AC52),"Сил",IF(IFERROR(_xlfn.XLOOKUP(BC52,Коды_код,Коды_группа)&amp;"","")="","Быт",_xlfn.XLOOKUP(BC52,Коды_код,Коды_группа)&amp;"")))</f>
        <v>Быт</v>
      </c>
      <c r="FG52" s="6" t="str">
        <f t="shared" si="60"/>
        <v>Быт</v>
      </c>
      <c r="FH52" s="6">
        <f>IF(FG52="Щит","щит",IF(FG52="","",IF(FG52="Быт",IFERROR(_xlfn.XLOOKUP(A52,Щиты[Щит],Щиты[Кс быт]),1),IF(FG52="Сил",IF(ISNUMBER(AC52),AC52,IF(Методика="нормы 2026",IFERROR(_xlfn.XLOOKUP(A52,Щиты[Щит],Щиты[Кс силовых (табл. 7.5)]),1),1)),IF(OR(FG52="Пост",FG52="Отоп"),1,IF(FG52="ВНГ",0.7,0))))))</f>
        <v>0.8</v>
      </c>
      <c r="FI52">
        <f>IF(FG52="","",IF(AND(BP52=1,TRIM(AE52&amp;"")=""),IF(COUNTIFS(Линии[Щит],A52,Линии[Секция (1/2/3)],"&gt;=2")&gt;0,MIN(3,MAX(1,IFERROR(--BD52,1))),1),IFERROR(MIN(3,MAX(1,INT(--AE52))),1)))</f>
        <v>1</v>
      </c>
      <c r="FJ52">
        <f t="shared" si="61"/>
        <v>0.1</v>
      </c>
      <c r="FK52">
        <f t="shared" si="62"/>
        <v>0.1</v>
      </c>
      <c r="FL52">
        <f t="shared" si="63"/>
        <v>0</v>
      </c>
      <c r="FM52">
        <f t="shared" si="64"/>
        <v>0</v>
      </c>
      <c r="FN52">
        <f t="shared" si="65"/>
        <v>0</v>
      </c>
      <c r="FO52">
        <f t="shared" si="66"/>
        <v>0</v>
      </c>
      <c r="FP52">
        <f t="shared" si="67"/>
        <v>0.1</v>
      </c>
      <c r="FQ52">
        <f t="shared" si="68"/>
        <v>0.1</v>
      </c>
      <c r="FR52">
        <f t="shared" si="69"/>
        <v>9.5000000000000001E-2</v>
      </c>
      <c r="FS52">
        <f>IF(CG52=1,IF(AND(CH52=1,CW52=1),0,IF(AND(CS52&lt;&gt;"",CS52=BA52,CW52=1),SUMIFS(Линии[_Р линии, кВт],Линии[_блок УЗО],BA52,Линии[Щит],A52),N(BS52)+IF(AJ52="вручную",0,N(CK52)))),0)</f>
        <v>0.1</v>
      </c>
      <c r="FT52" t="str">
        <f t="shared" si="70"/>
        <v/>
      </c>
      <c r="FU52" t="str">
        <f>IF(B52="","",IF(CG52=0,IF(BA52=1,"",FW51),IF(AND(CH52=1,CW52=1,CS52&lt;&gt;""),IFERROR(_xlfn.XLOOKUP(CS52,Линии[_n],Линии[_фаза итог]),"L1"),IF(OR(N(DL52)&gt;=3,N(BX52)&gt;=3),"L1,L2,L3",IFERROR(_xlfn.TEXTBEFORE(_xlfn.TEXTAFTER(_xlfn.XLOOKUP(A52,Щиты[Щит],Щиты[_фазы авто]),";"&amp;BA52&amp;":"),";"),"L1")))))</f>
        <v>L1</v>
      </c>
      <c r="FV52" t="str">
        <f t="shared" si="71"/>
        <v>L1</v>
      </c>
      <c r="FW52" t="str">
        <f t="shared" si="72"/>
        <v>L1</v>
      </c>
      <c r="FX52" cm="1">
        <f t="array" ref="FX52">IFERROR(IF(CD52=2,_xlfn.IFS(BX52=3,VLOOKUP(BS52,Справочная_двигатели,3,FALSE),BX52=1,VLOOKUP(BS52,Справочная_двигатели,5,TRUE)),0),0)</f>
        <v>0</v>
      </c>
      <c r="FY52">
        <f>IFERROR(IF(CD52=3,VLOOKUP(BS52,Справочная_ЛЭД,2,TRUE),0),0)</f>
        <v>50</v>
      </c>
      <c r="FZ52" s="6">
        <f t="shared" si="73"/>
        <v>50</v>
      </c>
      <c r="GA52" t="str">
        <f>IF(B52="","",IF(TRIM(AH52&amp;"")&lt;&gt;"",IF(LOWER(TRIM(AH52&amp;""))="да","да","нет"),IF(IFERROR(_xlfn.XLOOKUP(BC52,Коды_код,Коды_пожарная),"")="да","да","нет")))</f>
        <v>нет</v>
      </c>
      <c r="GB52" t="str">
        <f t="shared" si="74"/>
        <v/>
      </c>
      <c r="GC52" t="str">
        <f t="shared" si="75"/>
        <v>основная</v>
      </c>
      <c r="GD52">
        <f>IF(AND(BP52=1,TRIM(AE52&amp;"")=""),IF(COUNTIFS(Линии[Щит],A52,Линии[Секция (1/2/3)],"&gt;=2")&gt;0,MIN(3,MAX(1,IFERROR(--BD52,1))),1),IFERROR(MIN(3,MAX(1,INT(--AE52))),1))</f>
        <v>1</v>
      </c>
      <c r="GE52" t="str" cm="1">
        <f t="array" ref="GE52">IF(B52="","",_xlfn.LET(_xlpm.t,IFERROR(_xlfn.XLOOKUP(1,(Шины[Шина]=GC52)*(((Шины[Щит]=A52)+(Шины[Щит]=""))&gt;0),Шины[Тип]),"")&amp;"",IF(_xlpm.t&lt;&gt;"",_xlpm.t,IF(ISNUMBER(SEARCH("ИБП",GC52)),"ИБП",IF(ISNUMBER(SEARCH("ДГУ",GC52)),"ДГУ","Ввод "&amp;GD52)))))</f>
        <v>Ввод 1</v>
      </c>
      <c r="GF52" t="str">
        <f t="shared" si="76"/>
        <v>Ввод 1</v>
      </c>
      <c r="GG52" t="str">
        <f>IF(BP52=0,"",IF(TRIM(AG52&amp;"")&lt;&gt;"",TRIM(AG52&amp;""),IF(OR(GE52="ИБП",GE52="ДГУ"),"I особая",_xlfn.XLOOKUP(A52,Щиты[Щит],Щиты[Категория шины «Ввод»],"III"))))</f>
        <v/>
      </c>
      <c r="GH52" t="str">
        <f>IF(A52="","",_xlfn.XLOOKUP(A52,Щиты[Щит],Щиты[Путь],""))</f>
        <v>|ГРЩ-ЖД|ЩГП|ЩО-001|</v>
      </c>
      <c r="GI52" t="str">
        <f>IF(B52="","",IF(AI52&lt;&gt;"",AI52,IF(IFERROR(_xlfn.XLOOKUP(BC52,Коды_код,Коды_вид)&amp;"","")="","Прочее",_xlfn.XLOOKUP(BC52,Коды_код,Коды_вид)&amp;"")))</f>
        <v>Рабочее освещение</v>
      </c>
      <c r="GJ52" t="str">
        <f>IF(BM52="","",INT((BM52-1)/Столбцов_на_лист)+1)</f>
        <v/>
      </c>
      <c r="GK52" t="str">
        <f t="shared" si="77"/>
        <v>ВВГнг(А)-LS (3х1,5) L=87-0,5%</v>
      </c>
      <c r="GL52">
        <f t="shared" si="78"/>
        <v>0.1</v>
      </c>
      <c r="GM52">
        <f t="shared" si="79"/>
        <v>0.46</v>
      </c>
      <c r="GN52">
        <f t="shared" si="80"/>
        <v>1</v>
      </c>
      <c r="GO52">
        <f t="shared" si="81"/>
        <v>0</v>
      </c>
      <c r="GP52">
        <f t="shared" si="82"/>
        <v>0</v>
      </c>
      <c r="GQ52" t="str">
        <f>IF(BM52="","",IF(AND(CG52=1,GP52=1),COUNTIFS(A$3:A52,A52,CG$3:CG52,1,GP$3:GP52,1),IF(OR(OR(BA52=1,A52&lt;&gt;A51),AJ52="вручную",GP52=0),"",IF(BA52=1,"",GR51))))</f>
        <v/>
      </c>
      <c r="GR52" t="str">
        <f t="shared" si="83"/>
        <v/>
      </c>
      <c r="GS52">
        <f>IF(B52="","",IFERROR(LOOKUP(INDEX(CHOOSE(EB52,Iдоп_1ж,Iдоп_2ж,Iдоп_3ж),MATCH(EN52,Iдоп_S,0))*DZ52*EA52,{6,10,16,20,25,32,40,50,63,80,100,125,160,200,250,315,400,500,630}),""))</f>
        <v>16</v>
      </c>
      <c r="GT52" t="str">
        <f t="shared" si="84"/>
        <v/>
      </c>
      <c r="GU52" t="str">
        <f t="shared" si="85"/>
        <v/>
      </c>
      <c r="GV52" t="str">
        <f t="shared" si="86"/>
        <v/>
      </c>
      <c r="GW52">
        <f t="shared" si="87"/>
        <v>0</v>
      </c>
      <c r="GX52" t="str">
        <f>IF(OR(B52="",DJ52=""),"",IFERROR(_xlfn.XLOOKUP(DJ52,Модули_умолч[Управление],Модули_умолч[Модель])&amp;"",""))</f>
        <v/>
      </c>
      <c r="GY52">
        <f>IF(DJ52="",1,IFERROR(MAX(0,N(_xlfn.XLOOKUP(DJ52,Модули_умолч[Управление],Модули_умолч[Каналов на линию]))),1))</f>
        <v>1</v>
      </c>
      <c r="GZ52" t="str">
        <f t="shared" si="88"/>
        <v/>
      </c>
      <c r="HA52" t="str">
        <f t="shared" si="89"/>
        <v/>
      </c>
      <c r="HB52" t="str">
        <f t="shared" si="90"/>
        <v/>
      </c>
      <c r="HC52">
        <f>IF(HB52="",0,IFERROR(N(VLOOKUP(HB52,Модули_спр,3,FALSE)),0))</f>
        <v>0</v>
      </c>
      <c r="HD52" t="str">
        <f t="shared" si="91"/>
        <v/>
      </c>
      <c r="HE52" t="str">
        <f t="shared" si="92"/>
        <v/>
      </c>
      <c r="HF52" t="str">
        <f>IF(OR(HE52="",HE52="-"),"",IFERROR(VLOOKUP(HE52,Модули_спр,2,FALSE),"R"))</f>
        <v/>
      </c>
      <c r="HG52" t="str">
        <f>IF(HF52="","",HF52&amp;"."&amp;COUNTIFS(A$3:A52,A52,HF$3:HF52,HF52))</f>
        <v/>
      </c>
      <c r="HH52" t="str">
        <f t="shared" si="93"/>
        <v/>
      </c>
      <c r="HI52" t="str">
        <f t="shared" si="94"/>
        <v/>
      </c>
      <c r="HJ52" t="str">
        <f t="shared" si="95"/>
        <v/>
      </c>
      <c r="HK52" t="str">
        <f t="shared" si="96"/>
        <v/>
      </c>
      <c r="HL52">
        <f t="shared" si="97"/>
        <v>1</v>
      </c>
      <c r="HM52" t="str">
        <f>IF(HL52=1,"XT"&amp;COUNTIFS(A$3:A52,A52,HL$3:HL52,1),"")</f>
        <v>XT20</v>
      </c>
      <c r="HN52" t="str">
        <f t="shared" si="98"/>
        <v>XT20</v>
      </c>
      <c r="HO52" t="str">
        <f t="shared" si="99"/>
        <v/>
      </c>
      <c r="HP52" t="str">
        <f t="shared" si="100"/>
        <v/>
      </c>
      <c r="HQ52" t="str">
        <f t="shared" si="101"/>
        <v>ok</v>
      </c>
      <c r="HR52" t="str">
        <f>IF(OR(HJ52="",HH52=""),"",IF(HJ52+MAX(0,GY52-1)&gt;IFERROR(VLOOKUP(HI52,Модули_спр,3,FALSE),99),"ЛИШНИЙ КАНАЛ",IF(AND(AL52&lt;&gt;"=",GY52&gt;0,COUNTIFS(Линии[_модуль гр.],HH52,Линии[Канал (итог)],HJ52,Линии[Канал],"&lt;&gt;=",Линии[Щит],A52)&gt;1),"ДУБЛЬ КАНАЛА","")))</f>
        <v/>
      </c>
      <c r="HS52" s="6" t="str">
        <f t="shared" si="102"/>
        <v/>
      </c>
      <c r="HT52">
        <f t="shared" si="103"/>
        <v>10</v>
      </c>
      <c r="HU52" t="str">
        <f t="shared" si="104"/>
        <v/>
      </c>
      <c r="HV52">
        <f t="shared" si="105"/>
        <v>1.0523211376388293</v>
      </c>
      <c r="HW52">
        <f t="shared" si="106"/>
        <v>0</v>
      </c>
      <c r="HX52">
        <f t="shared" si="107"/>
        <v>0</v>
      </c>
      <c r="HY52">
        <f t="shared" si="108"/>
        <v>0</v>
      </c>
      <c r="HZ52">
        <f t="shared" si="109"/>
        <v>0</v>
      </c>
      <c r="IA52">
        <f t="shared" si="110"/>
        <v>0</v>
      </c>
      <c r="IB52">
        <f t="shared" si="111"/>
        <v>0</v>
      </c>
      <c r="IC52" t="str">
        <f t="shared" si="112"/>
        <v/>
      </c>
      <c r="ID52" t="str" cm="1">
        <f t="array" ref="ID52">IF(IC52="","",_xlfn.LET(_xlpm.tk,_xlfn.TEXTSPLIT(SUBSTITUTE(SUBSTITUTE(IC52,";"," "),"→"," ")," ",,TRUE),_xlpm.w_,_xlfn._xlws.FILTER(_xlpm.tk,ISNUMBER(--LEFT(_xlpm.tk,1))*((ISNUMBER(SEARCH("W",_xlpm.tk))+ISNUMBER(SEARCH("Вт",_xlpm.tk)))&gt;0),""),IFERROR(--SUBSTITUTE(SUBSTITUTE(UPPER(INDEX(_xlpm.w_,1)),"W",""),"ВТ",""),"")))</f>
        <v/>
      </c>
      <c r="IE52" t="str" cm="1">
        <f t="array" ref="IE52">IF(IC52="","",_xlfn.LET(_xlpm.tk,_xlfn.TEXTSPLIT(SUBSTITUTE(SUBSTITUTE(IC52,";"," "),"→"," ")," ",,TRUE),_xlpm.v_,_xlfn._xlws.FILTER(_xlpm.tk,ISNUMBER(--LEFT(_xlpm.tk,1))*((ISNUMBER(SEARCH("V",_xlpm.tk))+(RIGHT(UPPER(_xlpm.tk))="В"))&gt;0),""),IFERROR(--SUBSTITUTE(SUBSTITUTE(UPPER(INDEX(_xlpm.v_,1)),"V",""),"В",""),"")))</f>
        <v/>
      </c>
      <c r="IF52" s="6" t="str">
        <f>IF(OR(BV52=0,HI52="",HJ52=""),"",IFERROR(N(_xlfn.XLOOKUP(HI52,Каталог!$C$4:$C$500,Каталог!$Q$4:$Q$500)),""))</f>
        <v/>
      </c>
      <c r="IG52" s="6" t="str">
        <f>IF(N(IF52)=0,"",SUMIFS(Линии[Iр, А],Линии[Щит],A52,Линии[_модуль гр.],HH52,Линии[Канал (итог)],HJ52))</f>
        <v/>
      </c>
      <c r="IH52" t="str">
        <f>IF(AND(B52="",HO52=""),"",_xlfn.TEXTJOIN("; ",TRUE,IF(AND(B52&lt;&gt;"",FV52=""),"нет фазы",""),IF(AND(B52&lt;&gt;"",N(GL52)=0,FG52&lt;&gt;"Нет"),"нет мощности",""),IF(AND(HN52&lt;&gt;"",COUNTIFS(Линии[Щит],A52,Линии[Клемма (итог)],HN52)&gt;1),"дубль клеммы "&amp;HN52,""),IF(AND(HQ52&lt;&gt;"",HQ52&lt;&gt;"ok"),HQ52,""),IF(HR52&lt;&gt;"",HR52,""),IF(AND(N(CB52)&gt;=4,N(BX52)=1),CB52&amp;" жил на 1 фазе",""),IF(AND(BC52="R",CG52=1,IF(CS52&lt;&gt;"",N(CV52)&gt;30,OR(N(DA52)=0,N(DA52)&gt;30))),"розетка без дифзащиты до 30 мА",""),IF(AND(CG52=1,N(DA52)&gt;0,ISNUMBER(T52)),IF(T52&gt;N(DA52)/3,"ток утечки "&amp;FIXED(T52,1)&amp;" мА &gt; 1/3 уставки ("&amp;DA52&amp;" мА)",""),""),IF(AND(CH52=1,CS52=""),"«узо»: нет строки с УЗО выше (УЗО 2P 40А 30мА в «Аппаратах»)",""),IF(AND(CS52&lt;&gt;"",CS52=BA52),IF(CT52="","впишите номинал УЗО (УЗО 2P 40А 30мА)",IF(N(CT52)&lt;N(DT52),"УЗО "&amp;CT52&amp;" А &lt; автомата "&amp;DT52&amp;" А перед ним",IF(N(CT52)&lt;N(CX52),"УЗО "&amp;CT52&amp;" А &lt; тока блока "&amp;FIXED(CX52,1)&amp;" А",""))),""),IF(AND(CS52&lt;&gt;"",CS52=BA52,ISNUMBER(CY52)),IF(CY52&gt;N(CV52)/3,"ток утечки блока УЗО "&amp;FIXED(CY52,1)&amp;" мА &gt; 1/3 уставки ("&amp;CV52&amp;" мА)",""),""),IF(AND(CG52=1,N(BV52)+N(IB52)&gt;0,IC52=""),"линии до 50 В без БП: впишите в «Аппараты» (БП 24V 480W)",""),IF(AND(CG52=1,ISNUMBER(ID52),ISNUMBER(U52)),IF(U52&gt;ID52,"БП "&amp;ID52&amp;" Вт &lt; нужно "&amp;U52&amp;" Вт (×"&amp;Запас_БП&amp;")",""),""),IF(AND(CG52=1,ISNUMBER(IE52),N(BV52)=1),IF(IE52&lt;&gt;N(BU52),"БП на "&amp;IE52&amp;" В, линия "&amp;BU52&amp;" В",""),""),IF(AND(N(IF52)&gt;0,N(IG52)&gt;N(IF52)),HH52&amp;" канал "&amp;HJ52&amp;": "&amp;FIXED(IG52,1)&amp;" А &gt; "&amp;IF52&amp;" А",""),IFERROR(IF(AND(ISNUMBER(Q52),Q52&gt;EL52),"потери "&amp;FIXED(Q52,1)&amp;" % &gt; "&amp;EL52&amp;" %",""),""),IFERROR(IF(LEFT(HU52,4)="мало","Iкз мало — отключение &gt; 0,4 с",""),""),IF(AND(B52&lt;&gt;"",BM52=""),"не на схеме",""),IF(AND(CG52=0,B52&lt;&gt;"",FV52&lt;&gt;"",IF(BA52=1,"",FW51)&lt;&gt;"",FV52&lt;&gt;IF(BA52=1,"",FW51)),"фаза не как у автомата группы ("&amp;IF(BA52=1,"",FW51)&amp;")","")))</f>
        <v>не на схеме</v>
      </c>
      <c r="II52" s="6">
        <f>IF(OR(CG52=0,DQ52=""),"",_xlfn.LET(_xlpm.t,IFERROR(_xlfn.XLOOKUP(DQ52,Каталог!$U$4:$U$500,Каталог!$G$4:$G$500),""),_xlpm.k,SEARCH("кА",_xlpm.t),IFERROR(--TRIM(RIGHT(SUBSTITUTE(MID(_xlpm.t,MAX(1,_xlpm.k-4),_xlpm.k-MAX(1,_xlpm.k-4))," ",REPT(" ",9)),5)),"")))</f>
        <v>6</v>
      </c>
      <c r="IJ52" t="str">
        <f>IF(OR(II52="",CG52=0),"",IF(_xlfn.XLOOKUP(A52,Щиты[Щит],Щиты[Iкз max на шинах, кА],"")="","",IF(II52&lt;_xlfn.XLOOKUP(A52,Щиты[Щит],Щиты[Iкз max на шинах, кА]),"Icu "&amp;II52&amp;" кА &lt; Iкз max","ok")))</f>
        <v/>
      </c>
      <c r="IK52" t="str">
        <f t="shared" si="113"/>
        <v/>
      </c>
      <c r="IL52" t="str">
        <f t="shared" si="114"/>
        <v/>
      </c>
      <c r="IM52" t="str">
        <f t="shared" si="115"/>
        <v/>
      </c>
      <c r="IN52" t="str" cm="1">
        <f t="array" ref="IN52">IF(IM52="","",_xlfn.LET(_xlpm.nd,_xlfn.TEXTSPLIT(IM52,"|"),IF(COLUMNS(_xlpm.nd)&gt;1,A52&amp;"¦"&amp;INDEX(_xlpm.nd,1)&amp;"¦"&amp;INDEX(_xlpm.nd,2),"")))</f>
        <v/>
      </c>
      <c r="IO52" t="str">
        <f t="shared" si="116"/>
        <v/>
      </c>
      <c r="IP52" t="str" cm="1">
        <f t="array" ref="IP52">IF(IM52="","",_xlfn.LET(_xlpm.nd,_xlfn.TEXTSPLIT(IM52,"|"),IF(COLUMNS(_xlpm.nd)&gt;2,A52&amp;"¦"&amp;INDEX(_xlpm.nd,2)&amp;"¦"&amp;INDEX(_xlpm.nd,3),"")))</f>
        <v/>
      </c>
      <c r="IQ52" t="str">
        <f t="shared" si="117"/>
        <v/>
      </c>
      <c r="IR52" t="str" cm="1">
        <f t="array" ref="IR52">IF(IM52="","",_xlfn.LET(_xlpm.nd,_xlfn.TEXTSPLIT(IM52,"|"),IF(COLUMNS(_xlpm.nd)&gt;3,A52&amp;"¦"&amp;INDEX(_xlpm.nd,3)&amp;"¦"&amp;INDEX(_xlpm.nd,4),"")))</f>
        <v/>
      </c>
      <c r="IS52" t="str">
        <f t="shared" si="118"/>
        <v/>
      </c>
      <c r="IT52" t="str" cm="1">
        <f t="array" ref="IT52">IF(IM52="","",_xlfn.LET(_xlpm.nd,_xlfn.TEXTSPLIT(IM52,"|"),IF(COLUMNS(_xlpm.nd)&gt;4,A52&amp;"¦"&amp;INDEX(_xlpm.nd,4)&amp;"¦"&amp;INDEX(_xlpm.nd,5),"")))</f>
        <v/>
      </c>
      <c r="IU52" t="str">
        <f t="shared" si="119"/>
        <v/>
      </c>
      <c r="IV52" t="str" cm="1">
        <f t="array" ref="IV52">IF(IM52="","",_xlfn.LET(_xlpm.nd,_xlfn.TEXTSPLIT(IM52,"|"),IF(COLUMNS(_xlpm.nd)&gt;5,A52&amp;"¦"&amp;INDEX(_xlpm.nd,5)&amp;"¦"&amp;INDEX(_xlpm.nd,6),"")))</f>
        <v/>
      </c>
      <c r="IW52" t="str">
        <f t="shared" si="120"/>
        <v/>
      </c>
      <c r="IX52" t="str" cm="1">
        <f t="array" ref="IX52">IF(IM52="","",_xlfn.LET(_xlpm.nd,_xlfn.TEXTSPLIT(IM52,"|"),IF(COLUMNS(_xlpm.nd)&gt;6,A52&amp;"¦"&amp;INDEX(_xlpm.nd,6)&amp;"¦"&amp;INDEX(_xlpm.nd,7),"")))</f>
        <v/>
      </c>
      <c r="IY52" t="str">
        <f t="shared" si="121"/>
        <v/>
      </c>
      <c r="IZ52" t="str">
        <f t="shared" si="122"/>
        <v/>
      </c>
      <c r="JA52" t="str">
        <f t="shared" si="123"/>
        <v>XT20</v>
      </c>
      <c r="JB52">
        <f t="shared" si="124"/>
        <v>0</v>
      </c>
      <c r="JC52">
        <f t="shared" si="125"/>
        <v>0</v>
      </c>
      <c r="JD52" t="str">
        <f t="shared" si="126"/>
        <v/>
      </c>
      <c r="JE52" t="str">
        <f t="shared" si="127"/>
        <v/>
      </c>
      <c r="JF52" t="str">
        <f t="shared" si="128"/>
        <v/>
      </c>
      <c r="JG52" t="str">
        <f t="shared" si="129"/>
        <v/>
      </c>
      <c r="JH52" t="str">
        <f>IF(B52="","",IFERROR(_xlfn.XLOOKUP(B52,Коды_код,Коды_уго),IFERROR(_xlfn.XLOOKUP(BC52,Коды_код,Коды_уго),IFERROR(_xlfn.XLOOKUP(LEFT(BC52,2),Коды_код,Коды_уго),""))))</f>
        <v>Светильник</v>
      </c>
      <c r="JI52" t="str">
        <f>IF(B52="","",IF(OR(JH52="",JH52=0),"BOX",IFERROR(IF(VLOOKUP(JH52,УГО_блоки,3,FALSE)&amp;""&lt;&gt;"",VLOOKUP(JH52,УГО_блоки,3,FALSE),VLOOKUP(JH52,УГО_блоки,2,FALSE)),JH52)))</f>
        <v>LAMP</v>
      </c>
      <c r="JJ52">
        <f t="shared" si="130"/>
        <v>1</v>
      </c>
      <c r="JK52" t="str">
        <f>IF(DQ52="","",IF(COUNTIF(DQ$3:DQ52,DQ52)=1,MAX(JK$2:JK51)+1,""))</f>
        <v/>
      </c>
      <c r="JL52" t="str">
        <f>IF(DE52="","",IF(COUNTIF(DE$3:DE52,DE52)+COUNTIF(DF$2:DF51,DE52)+COUNTIF(DG$2:DG51,DE52)=1,MAX(JL$2:JN51)+1,""))</f>
        <v/>
      </c>
      <c r="JM52" t="str">
        <f>IF(DF52="","",IF(COUNTIF(DE$3:DE52,DF52)+COUNTIF(DF$3:DF52,DF52)+COUNTIF(DG$2:DG51,DF52)=1,MAX(JL$2:JN51,JL52)+1,""))</f>
        <v/>
      </c>
      <c r="JN52" t="str">
        <f>IF(DG52="","",IF(COUNTIF(DE$3:DE52,DG52)+COUNTIF(DF$3:DF52,DG52)+COUNTIF(DG$3:DG52,DG52)=1,MAX(JL$2:JN51,JL52,JM52)+1,""))</f>
        <v/>
      </c>
      <c r="JO52" t="str">
        <f t="shared" si="131"/>
        <v>3х1,5</v>
      </c>
      <c r="JP52" t="str">
        <f>IF(JO52="","",IF(COUNTIF(JO$3:JO52,JO52)=1,MAX(JP$2:JP51)+1,""))</f>
        <v/>
      </c>
      <c r="JQ52" t="str">
        <f>IF(HG52="","",COUNTIF(HG$3:HG52,"?*"))</f>
        <v/>
      </c>
      <c r="JR52" t="str">
        <f>IF(OR(HG52="",HI52=""),"",IF(COUNTIFS(HG$3:HG52,"?*",HI$3:HI52,HI52)=1,MAX(JR$2:JR51)+1,""))</f>
        <v/>
      </c>
      <c r="JS52">
        <f t="shared" si="132"/>
        <v>1</v>
      </c>
      <c r="JT52">
        <f>IF(B52="","",COUNTIF(B$3:B52,"?*"))</f>
        <v>50</v>
      </c>
      <c r="JU52">
        <f>IF(HL52&lt;&gt;1,0,_xlfn.LET(_xlpm.k,MAX(IFERROR(--_xlfn.XLOOKUP(B52,Коды_код,Коды_3L),0),IFERROR(--_xlfn.XLOOKUP(BC52,Коды_код,Коды_3L),0),IFERROR(--_xlfn.XLOOKUP(LEFT(BC52,2),Коды_код,Коды_3L),0)),IF(_xlpm.k&gt;0,_xlpm.k,IF(IFERROR(--LEFT(SUBSTITUTE(JO52,"x","х"),FIND("х",SUBSTITUTE(JO52,"x","х"))-1),3)&gt;3,Каталог!$S$9,1))))</f>
        <v>1</v>
      </c>
      <c r="JV52">
        <f t="shared" si="133"/>
        <v>0</v>
      </c>
      <c r="JW52" t="str">
        <f t="shared" si="134"/>
        <v>авто</v>
      </c>
      <c r="JX52" t="str">
        <f t="shared" si="135"/>
        <v/>
      </c>
      <c r="JY52">
        <f t="shared" si="136"/>
        <v>0</v>
      </c>
      <c r="JZ52">
        <f t="shared" si="137"/>
        <v>1</v>
      </c>
    </row>
    <row r="53" spans="1:286" x14ac:dyDescent="0.3">
      <c r="A53" t="s">
        <v>747</v>
      </c>
      <c r="B53" t="s">
        <v>741</v>
      </c>
      <c r="C53" t="s">
        <v>52</v>
      </c>
      <c r="D53">
        <v>1</v>
      </c>
      <c r="E53">
        <f>Линии[[#This Row],[_авто Р]]</f>
        <v>211.22</v>
      </c>
      <c r="G53">
        <v>320</v>
      </c>
      <c r="H53" t="str">
        <f>Линии[[#This Row],[_авто управление]]</f>
        <v/>
      </c>
      <c r="I53" t="str">
        <f>Линии[[#This Row],[_авто аппараты]]</f>
        <v/>
      </c>
      <c r="J53">
        <v>185</v>
      </c>
      <c r="K53">
        <v>51</v>
      </c>
      <c r="L53" t="str">
        <f>Линии[[#This Row],[_авто фаза]]</f>
        <v>L1,L2,L3</v>
      </c>
      <c r="M53" t="str">
        <f>Линии[[#This Row],[_авто клемма]]</f>
        <v/>
      </c>
      <c r="N53" t="str">
        <f t="shared" si="0"/>
        <v>КАБЕЛЬ НЕ ЗАЩИЩЁН</v>
      </c>
      <c r="O53" s="6" cm="1">
        <f t="array" ref="O53">IF(B53="","",IF(BH53&lt;&gt;"",IFERROR(_xlfn.XLOOKUP(BH53,Щиты[Щит],Щиты[Iр, А]),""),IF(BP53=1,IF(OR(N(_xlfn.XLOOKUP(A53,Щиты[Щит],Щиты[Вводов],1))&lt;=1,LOWER(TRIM(_xlfn.XLOOKUP(A53,Щиты[Щит],Щиты[АВР],"")&amp;""))="да"),IFERROR(_xlfn.XLOOKUP(A53,Щиты[Щит],Щиты[Iр, А]),""),IFERROR(N(BS53)*_xlfn.XLOOKUP(A53,Щиты[Щит],Щиты[Кс итог])/(SQRT(3)*Uн_лин*_xlfn.XLOOKUP(A53,Щиты[Щит],Щиты[cos φ])),"")),IF(BV53=1,IFERROR(BS53*1000/BU53,""),IFERROR(_xlfn.IFS(BX53=1,BS53/((Uн_лин/SQRT(3))*CE53),BX53=3,BS53/(SQRT(3)*Uн_лин*CE53)),"")))))</f>
        <v>190.59775761622515</v>
      </c>
      <c r="P53" s="7">
        <f>IF(B53="","",IFERROR(IF(VLOOKUP(BC53,Потребители_обозначение,4,FALSE)=1,VLOOKUP(BC53,Потребители_обозначение,3,FALSE)*(MAX(1,N(D53))*2-1)+EI53+VLOOKUP(BE53,Этаж_обозначение,3,FALSE)+VLOOKUP(BE53,Этаж_обозначение,4,FALSE),VLOOKUP(BC53,Потребители_обозначение,3,FALSE)*(MAX(1,N(D53))*2-1)+EI53),EI53))</f>
        <v>51</v>
      </c>
      <c r="Q53" s="6">
        <f t="shared" si="1"/>
        <v>1.21</v>
      </c>
      <c r="R53" t="str">
        <f t="shared" si="2"/>
        <v>ВВГнг(А)-LS (5х185)</v>
      </c>
      <c r="S53" t="str">
        <f>IF(BM53="","",IF(BN53="вводной узел","узел ","")&amp;"л."&amp;(INT((BM53-1)/Столбцов_на_лист)+1)&amp;" / "&amp;(MOD(BM53-1,Столбцов_на_лист)+1))</f>
        <v>узел л.1 / 2</v>
      </c>
      <c r="T53" s="119" t="str">
        <f t="shared" si="3"/>
        <v/>
      </c>
      <c r="U53" s="7" t="str">
        <f>IF(OR(CG53=0,N(BV53)+N(IB53)=0),"",ROUNDUP(Запас_БП*(N(HY53)+N(HZ53)),0))</f>
        <v/>
      </c>
      <c r="V53" s="119" t="str">
        <f t="shared" si="4"/>
        <v/>
      </c>
      <c r="W53" s="7" t="str">
        <f>IFERROR(IF(OR(B53="",BP53=1,BV53=1,NOT(ISNUMBER(EN53)),N(DT53)=0),"",MAX(0,ROUNDDOWN((c_min*(Uн_лин*1000/SQRT(3))/(HT53*N(DT53))-_xlfn.XLOOKUP(A53,Щиты[Щит],Щиты[Zпетли на шинах, Ом]))*EN53/(2*ρкз_Cu),0))),"")</f>
        <v/>
      </c>
      <c r="Y53" t="str">
        <f>Линии[[#This Row],[_авто утечка]]</f>
        <v/>
      </c>
      <c r="Z53">
        <v>3</v>
      </c>
      <c r="AA53">
        <v>400</v>
      </c>
      <c r="AB53" t="s">
        <v>547</v>
      </c>
      <c r="AJ53" t="s">
        <v>1344</v>
      </c>
      <c r="AK53" t="str">
        <f>Линии[[#This Row],[_авто модуль]]</f>
        <v/>
      </c>
      <c r="AM53">
        <v>2</v>
      </c>
      <c r="AN53" t="s">
        <v>11</v>
      </c>
      <c r="AO53">
        <v>5</v>
      </c>
      <c r="AQ53">
        <v>37</v>
      </c>
      <c r="AR53">
        <v>14</v>
      </c>
      <c r="AT53">
        <v>1</v>
      </c>
      <c r="BA53" cm="1">
        <f t="array" ref="BA53">ROW()-ROW(Линии[#Headers])</f>
        <v>51</v>
      </c>
      <c r="BC53" s="6" t="str">
        <f t="shared" si="5"/>
        <v>Ввод</v>
      </c>
      <c r="BD53" t="str">
        <f t="shared" si="6"/>
        <v>1</v>
      </c>
      <c r="BE53" t="str">
        <f t="shared" si="7"/>
        <v>1</v>
      </c>
      <c r="BF53" t="str">
        <f t="shared" si="8"/>
        <v/>
      </c>
      <c r="BG53" t="str">
        <f t="shared" si="9"/>
        <v/>
      </c>
      <c r="BH53" t="str">
        <f>IF(X53&lt;&gt;"",X53,IF(AND(B53&lt;&gt;"",B53&lt;&gt;A53,ISNUMBER(_xlfn.XMATCH(B53,Щиты[Щит]))),B53,""))</f>
        <v/>
      </c>
      <c r="BI53" t="str" cm="1">
        <f t="array" ref="BI53">IF(B53="","",IF(BH53&lt;&gt;"","Щит "&amp;BH53,_xlfn.LET(_xlpm.nm,IFERROR(_xlfn.XLOOKUP(BC53,Коды_код,Коды_имя)&amp;"",""),_xlpm.md,IFERROR(N(_xlfn.XLOOKUP(BC53,Коды_код,Коды_режим)),1),_xlpm.ex,IF(Имя_режим="по экспликации",IFERROR(_xlfn.XLOOKUP(BE53&amp;"|"&amp;BG53,Экспликация[Этаж]&amp;"|"&amp;Экспликация[Помещение],Экспликация[Название])&amp;"",""),""),_xlpm.rm,IF(BG53="","",IF(_xlpm.ex&lt;&gt;"",". "&amp;_xlpm.ex&amp;IF(Имя_пом="нет"," ("&amp;BG53&amp;")"," (пом. "&amp;BG53&amp;")"),IF(Имя_пом="нет"," ",", пом. ")&amp;BG53)),IF(_xlpm.nm="","",IF(_xlpm.md=2,_xlpm.nm&amp;" шлейф "&amp;BE53,_xlpm.nm&amp;_xlpm.rm)))))</f>
        <v>Вводной кабель шлейф 1</v>
      </c>
      <c r="BJ53" t="str">
        <f t="shared" si="10"/>
        <v>Ввод</v>
      </c>
      <c r="BK53">
        <f>IFERROR(_xlfn.XMATCH(A53,Щиты[Щит]),0)</f>
        <v>4</v>
      </c>
      <c r="BL53">
        <f>_xlfn.LET(_xlpm.k,IFERROR(_xlfn.XLOOKUP(A53,Щиты[Щит],Щиты[Мест под вводной узел]),""),IF(_xlpm.k="",Столбцов_на_лист,N(_xlpm.k)))</f>
        <v>13</v>
      </c>
      <c r="BM53">
        <f t="shared" si="11"/>
        <v>2</v>
      </c>
      <c r="BN53" t="str">
        <f t="shared" si="12"/>
        <v>вводной узел</v>
      </c>
      <c r="BO53" s="6">
        <f>IFERROR(N(_xlfn.XLOOKUP(BC53,Коды_код,Коды_квт)),0)</f>
        <v>0</v>
      </c>
      <c r="BP53">
        <f t="shared" si="13"/>
        <v>1</v>
      </c>
      <c r="BQ53">
        <f>IF(B53="","",IF(BH53&lt;&gt;"",IFERROR(_xlfn.XLOOKUP(BH53,Щиты[Щит],Щиты[Руст, кВт]),0),IF(BP53=1,IF(OR(N(_xlfn.XLOOKUP(A53,Щиты[Щит],Щиты[Вводов],1))&lt;=1,LOWER(TRIM(_xlfn.XLOOKUP(A53,Щиты[Щит],Щиты[АВР],"")&amp;""))="да"),IFERROR(_xlfn.XLOOKUP(A53,Щиты[Щит],Щиты[Руст, кВт]),0),SUMIFS(Линии[_Р для вводов],Линии[Щит],A53,Линии[Источник для режимов],GF53)),IF(BO53&gt;0,ROUND(BO53*MAX(1,N(D53)),3),""))))</f>
        <v>211.22</v>
      </c>
      <c r="BR53">
        <f t="shared" si="14"/>
        <v>211.22</v>
      </c>
      <c r="BS53" s="6">
        <f>IF(B53="","",IF(BH53&lt;&gt;"",IFERROR(_xlfn.XLOOKUP(BH53,Щиты[Щит],Щиты[Руст, кВт]),0),N(BR53)))</f>
        <v>211.22</v>
      </c>
      <c r="BT53" t="str">
        <f>IF(B53="","",IFERROR(IF(VLOOKUP(BC53,Потребители_обозначение,8,FALSE)=0,"",VLOOKUP(BC53,Потребители_обозначение,8,FALSE)),""))</f>
        <v/>
      </c>
      <c r="BU53">
        <f t="shared" si="15"/>
        <v>400</v>
      </c>
      <c r="BV53">
        <f t="shared" si="16"/>
        <v>0</v>
      </c>
      <c r="BW53">
        <f>IF(B53="","",IF(BH53&lt;&gt;"",3,IFERROR(IF(N(VLOOKUP(BC53,Потребители_обозначение,9,FALSE))=0,1,VLOOKUP(BC53,Потребители_обозначение,9,FALSE)),1)))</f>
        <v>1</v>
      </c>
      <c r="BX53">
        <f t="shared" si="17"/>
        <v>3</v>
      </c>
      <c r="BY53" t="str">
        <f>IF(B53="","",_xlfn.LET(_xlpm.bc,IFERROR(IF(VLOOKUP(BC53,Потребители_обозначение,6,FALSE)=0,"",VLOOKUP(BC53,Потребители_обозначение,6,FALSE)&amp;""),""),IF(AND(GA53="да",OR(_xlpm.bc="",_xlpm.bc="мс")),Марка_пож,IF(AND(_xlpm.bc="",BH53&lt;&gt;""),"мс",_xlpm.bc))))</f>
        <v/>
      </c>
      <c r="BZ53" t="str">
        <f t="shared" si="18"/>
        <v>мс</v>
      </c>
      <c r="CA53">
        <f>IF(B53="","",_xlfn.LET(_xlpm.cc,IFERROR(N(VLOOKUP(BC53,Потребители_обозначение,7,FALSE)),0),IF(_xlpm.cc&gt;0,_xlpm.cc,IF(BZ53="","",IF(BV53=1,2,IF(N(BX53)=3,5,3))))))</f>
        <v>5</v>
      </c>
      <c r="CB53">
        <f t="shared" si="19"/>
        <v>5</v>
      </c>
      <c r="CC53">
        <f>IFERROR(N(VLOOKUP(BC53,Потребители_обозначение,10,FALSE)),0)</f>
        <v>0</v>
      </c>
      <c r="CD53">
        <f>IFERROR(VLOOKUP(BC53,Потребители_обозначение,5,FALSE),0)</f>
        <v>1</v>
      </c>
      <c r="CE53" s="6" cm="1">
        <f t="array" ref="CE53">IF(B53="","",IF(BH53&lt;&gt;"",IFERROR(_xlfn.XLOOKUP(BH53,Щиты[Щит],Щиты[cos φ]),0.95),IF(BP53=1,IFERROR(_xlfn.XLOOKUP(A53,Щиты[Щит],Щиты[cos φ]),0.95),IF(ISNUMBER(AD53),AD53,IFERROR(IF(CD53=2,_xlfn.IFS(BX53=3,VLOOKUP(BS53,Справочная_двигатели,8,FALSE),BX53=1,VLOOKUP(BS53,Справочная_двигатели,10,TRUE)),IF(AND(Методика="нормы 2026",FG53="Сил"),0.8,0.95)),0.95)))))</f>
        <v>0.8</v>
      </c>
      <c r="CF53">
        <f t="shared" si="20"/>
        <v>0</v>
      </c>
      <c r="CG53">
        <f t="shared" si="21"/>
        <v>1</v>
      </c>
      <c r="CH53">
        <f t="shared" si="22"/>
        <v>0</v>
      </c>
      <c r="CI53">
        <f>IF(B53="","",IF(BV53=1,IFERROR(BS53/((Uн_лин/SQRT(3))*MAX(0.5,N(CE53))),0),N(O53)))</f>
        <v>190.59775761622515</v>
      </c>
      <c r="CJ53">
        <f t="shared" si="23"/>
        <v>0</v>
      </c>
      <c r="CK53">
        <f t="shared" si="24"/>
        <v>0</v>
      </c>
      <c r="CL53">
        <f t="shared" si="25"/>
        <v>0</v>
      </c>
      <c r="CM53">
        <f t="shared" si="26"/>
        <v>0</v>
      </c>
      <c r="CN53">
        <f t="shared" si="27"/>
        <v>0</v>
      </c>
      <c r="CO53">
        <f>IF(BC53="",0,_xlfn.LET(_xlpm.v,IFERROR(_xlfn.XLOOKUP(B53,Коды_код,Коды_мА),IFERROR(_xlfn.XLOOKUP(BC53,Коды_код,Коды_мА),IFERROR(_xlfn.XLOOKUP(LEFT(BC53,2),Коды_код,Коды_мА),""))),IF(_xlpm.v="да",30,IF(ISNUMBER(_xlpm.v),_xlpm.v,0))))</f>
        <v>0</v>
      </c>
      <c r="CP53" t="str">
        <f t="shared" si="28"/>
        <v/>
      </c>
      <c r="CQ53" t="str">
        <f>_xlfn.LET(_xlpm.k,IFERROR(_xlfn.XLOOKUP(BC53,Коды_код,Коды_утечка)&amp;"",""),IF(_xlpm.k="","дифавтомат",_xlpm.k))</f>
        <v>дифавтомат</v>
      </c>
      <c r="CR53" t="str" cm="1">
        <f t="array" ref="CR53">IF(CG53=0,"",_xlfn.LET(_xlpm.sg,TRIM(_xlfn.TEXTSPLIT(DD53&amp;"",";")),_xlpm.f_,_xlfn._xlws.FILTER(_xlpm.sg,LEFT(_xlpm.sg,3)="УЗО",""),IFERROR(INDEX(_xlpm.f_,1)&amp;"","")))</f>
        <v/>
      </c>
      <c r="CS53" t="str">
        <f t="shared" si="29"/>
        <v/>
      </c>
      <c r="CT53" s="6" t="str" cm="1">
        <f t="array" ref="CT53">IF(CR53="","",_xlfn.LET(_xlpm.tk,_xlfn.TEXTSPLIT(UPPER(CR53)," ",,TRUE),_xlpm.a_,_xlfn._xlws.FILTER(_xlpm.tk,ISNUMBER(--LEFT(_xlpm.tk,1))*((ISNUMBER(SEARCH("А",_xlpm.tk))+ISNUMBER(SEARCH("A",_xlpm.tk)))&gt;0)*NOT(ISNUMBER(SEARCH("МА",_xlpm.tk)))*NOT(ISNUMBER(SEARCH("MA",_xlpm.tk))),""),IFERROR(--SUBSTITUTE(SUBSTITUTE(INDEX(_xlpm.a_,1),"А",""),"A",""),"")))</f>
        <v/>
      </c>
      <c r="CU53" t="str" cm="1">
        <f t="array" ref="CU53">IF(CR53="","",_xlfn.LET(_xlpm.tk,_xlfn.TEXTSPLIT(UPPER(CR53)," ",,TRUE),_xlpm.a_,_xlfn._xlws.FILTER(_xlpm.tk,ISNUMBER(--LEFT(_xlpm.tk,1))*((ISNUMBER(SEARCH("МА",_xlpm.tk))+ISNUMBER(SEARCH("MA",_xlpm.tk)))&gt;0),""),IFERROR(--SUBSTITUTE(SUBSTITUTE(INDEX(_xlpm.a_,1),"МА",""),"MA",""),30)))</f>
        <v/>
      </c>
      <c r="CV53" t="str">
        <f>IF(CS53="","",IFERROR(_xlfn.XLOOKUP(CS53,Линии[_n],Линии[_УЗО, мА]),30))</f>
        <v/>
      </c>
      <c r="CW53">
        <f>IF(CS53="",0,IF(ISNUMBER(SEARCH("4P",IFERROR(_xlfn.XLOOKUP(CS53,Линии[_n],Линии[_УЗО строки])&amp;"",""))),0,1))</f>
        <v>0</v>
      </c>
      <c r="CX53" t="str">
        <f>IF(AND(CS53&lt;&gt;"",CS53=BA53),SUMIFS(Линии[_ток на 230 В],Линии[_блок УЗО],BA53,Линии[Щит],A53),"")</f>
        <v/>
      </c>
      <c r="CY53" t="str">
        <f>IF(AND(CS53&lt;&gt;"",CS53=BA53),SUMIFS(Линии[_ток утечки линии, мА],Линии[_блок УЗО],BA53,Линии[Щит],A53),"")</f>
        <v/>
      </c>
      <c r="CZ53">
        <f t="shared" si="30"/>
        <v>0</v>
      </c>
      <c r="DA53">
        <f t="shared" si="31"/>
        <v>0</v>
      </c>
      <c r="DB53">
        <f>IF(B53="",0,IFERROR(--_xlfn.XLOOKUP(B53,Коды_код,Коды_минавт),IFERROR(--_xlfn.XLOOKUP(BC53,Коды_код,Коды_минавт),IFERROR(--_xlfn.XLOOKUP(LEFT(BC53,2),Коды_код,Коды_минавт),0))))</f>
        <v>0</v>
      </c>
      <c r="DC53" t="str">
        <f>IF(B53="","",IFERROR(_xlfn.XLOOKUP(BC53,Коды_код,Коды_апп)&amp;"",""))</f>
        <v/>
      </c>
      <c r="DD53" t="str">
        <f t="shared" si="32"/>
        <v/>
      </c>
      <c r="DE53" t="str" cm="1">
        <f t="array" ref="DE53">IF(TRIM(DD53&amp;"")="","",IFERROR(TRIM(INDEX(_xlfn.TEXTSPLIT(DD53&amp;";;;",";"),1)),""))</f>
        <v/>
      </c>
      <c r="DF53" t="str" cm="1">
        <f t="array" ref="DF53">IF(TRIM(DD53&amp;"")="","",IFERROR(TRIM(INDEX(_xlfn.TEXTSPLIT(DD53&amp;";;;",";"),2)),""))</f>
        <v/>
      </c>
      <c r="DG53" t="str" cm="1">
        <f t="array" ref="DG53">IF(TRIM(DD53&amp;"")="","",IFERROR(TRIM(INDEX(_xlfn.TEXTSPLIT(DD53&amp;";;;",";"),3)),""))</f>
        <v/>
      </c>
      <c r="DH53">
        <f t="shared" si="33"/>
        <v>0</v>
      </c>
      <c r="DI53" t="str">
        <f>IF(B53="","",_xlfn.LET(_xlpm.t,LOWER(AZ53&amp;""),IF(ISNUMBER(SEARCH("dim",_xlpm.t)),"DIM",IF(ISNUMBER(SEARCH("dali",_xlpm.t)),"DALI",IF(OR(ISNUMBER(SEARCH("relay",_xlpm.t)),ISNUMBER(SEARCH("реле",_xlpm.t))),"Relay",IF(ISNUMBER(SEARCH("кнопк",_xlpm.t)),"",IFERROR(_xlfn.XLOOKUP(BC53,Коды_код,Коды_упр)&amp;"","")))))))</f>
        <v/>
      </c>
      <c r="DJ53" t="str">
        <f t="shared" si="34"/>
        <v/>
      </c>
      <c r="DK53">
        <f>IF(B53="","",_xlfn.LET(_xlpm.ig,IF(N(CX53)&gt;0,N(CX53),N(CI53)+IF(AJ53="вручную",0,N(CJ53))),_xlpm.n0,IFERROR(VLOOKUP(_xlpm.ig,Автомат_номиналы,2,TRUE),0),_xlpm.mn,MAX(DB53,IF(AJ53="вручную",0,N(CM53))),MAX(_xlpm.n0,_xlpm.mn,IF(DH53=1,Мин_автомат_БП,0))))</f>
        <v>250</v>
      </c>
      <c r="DL53">
        <f t="shared" si="35"/>
        <v>3</v>
      </c>
      <c r="DM53" t="str">
        <f t="shared" si="36"/>
        <v>3P</v>
      </c>
      <c r="DN53" t="str">
        <f>_xlfn.LET(_xlpm.cc,UPPER(TRIM(IFERROR(_xlfn.XLOOKUP(BC53,Коды_код,Коды_хар)&amp;"",""))),IF(OR(_xlpm.cc="B",_xlpm.cc="В"),"B",IF(_xlpm.cc="D","D","С")))</f>
        <v>С</v>
      </c>
      <c r="DO53" t="str">
        <f t="shared" si="37"/>
        <v>3P С250А</v>
      </c>
      <c r="DP53">
        <f t="shared" si="38"/>
        <v>320</v>
      </c>
      <c r="DQ53" t="str">
        <f t="shared" si="39"/>
        <v>3P С320А</v>
      </c>
      <c r="DR53" cm="1">
        <f t="array" ref="DR53">IF(DQ53="","",_xlfn.LET(_xlpm.t,SUBSTITUTE(SUBSTITUTE(SUBSTITUTE(UPPER(DQ53),"С","C"),"А","A"),"В","B"),_xlpm.tk,_xlfn.TEXTSPLIT(_xlpm.t," "),_xlpm.f,_xlfn._xlws.FILTER(_xlpm.tk,ISNUMBER(--MID(_xlpm.tk,2,1))*ISNUMBER(SEARCH(LEFT(_xlpm.tk,1)&amp;"#","B#C#D#"))*(LEN(_xlpm.tk)&gt;1),""),_xlpm.x,INDEX(_xlpm.f,1),IFERROR(--SUBSTITUTE(MID(_xlpm.x,2,9),"A",""),IFERROR(--SUBSTITUTE(INDEX(_xlfn._xlws.FILTER(_xlpm.tk,ISNUMBER(--SUBSTITUTE(_xlpm.tk,"A","")),""),1),"A",""),""))))</f>
        <v>320</v>
      </c>
      <c r="DS53" t="str">
        <f t="shared" si="40"/>
        <v>узел</v>
      </c>
      <c r="DT53">
        <f t="shared" si="41"/>
        <v>320</v>
      </c>
      <c r="DU53" t="str">
        <f t="shared" si="42"/>
        <v>3P С320А</v>
      </c>
      <c r="DV53">
        <f t="shared" si="43"/>
        <v>0</v>
      </c>
      <c r="DW53">
        <f t="shared" si="44"/>
        <v>0</v>
      </c>
      <c r="DX53">
        <f t="shared" si="45"/>
        <v>0</v>
      </c>
      <c r="DY53">
        <f t="shared" si="46"/>
        <v>190.59775761622515</v>
      </c>
      <c r="DZ53">
        <f t="shared" si="47"/>
        <v>0.92</v>
      </c>
      <c r="EA53">
        <f>IF(ISNUMBER(AP53),AP53,К_прокл)</f>
        <v>1</v>
      </c>
      <c r="EB53">
        <f t="shared" si="48"/>
        <v>3</v>
      </c>
      <c r="EC53">
        <f>IFERROR(N(VLOOKUP(BZ53,Кабель_обозначение,3,FALSE)),1)</f>
        <v>1</v>
      </c>
      <c r="ED53">
        <f>IFERROR(N(_xlfn.XLOOKUP(A53,Щиты[Щит],Щиты[ΔU до шин, %])),0)</f>
        <v>0.64</v>
      </c>
      <c r="EE53" t="str">
        <f>IFERROR(_xlfn.XLOOKUP(A53,Щиты[Щит],Щиты[Zпетли на шинах, Ом]),"")</f>
        <v/>
      </c>
      <c r="EF53">
        <f>IFERROR(N(_xlfn.XLOOKUP(A53,Щиты[Щит],Щиты[ΔU до шин (подбор), %])),0)</f>
        <v>0.75</v>
      </c>
      <c r="EG53" t="str">
        <f>IFERROR(_xlfn.XLOOKUP(A53,Щиты[Щит],Щиты[Zпетли на шинах (подбор), Ом]),"")</f>
        <v/>
      </c>
      <c r="EH53" t="str">
        <f t="shared" si="49"/>
        <v/>
      </c>
      <c r="EI53">
        <f t="shared" si="50"/>
        <v>51</v>
      </c>
      <c r="EJ53">
        <f t="shared" si="51"/>
        <v>1</v>
      </c>
      <c r="EK53">
        <f t="shared" si="52"/>
        <v>0.6</v>
      </c>
      <c r="EL53" s="6">
        <f>IF(B53="","",IF(BV53=1,dU_LED,IF(IFERROR(_xlfn.XLOOKUP(BC53,Коды_код,Коды_уго),"")="Светильник",3,4)+IF(Методика="нормы 2026",MIN(0.5,MAX(0,N(P53)-100)*0.005),0)))</f>
        <v>4</v>
      </c>
      <c r="EM53" cm="1">
        <f t="array" ref="EM53">IF(OR(B53="",BZ53="",EC53&lt;&gt;1),"",_xlfn.LET(_xlpm.sz,Iдоп_S,_xlpm.t_,CHOOSE(EB53,Iдоп_1ж,Iдоп_2ж,Iдоп_3ж)*DZ53*EA53,_xlpm.dcx,BV53=1,_xlpm.inn,IF(_xlpm.dcx,N(O53),N(DT53)),_xlpm.smin,MAX(1.5,CC53),_xlpm.L_,N(P53)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53)/N(BU53)*100,999),IFERROR(N(EJ53)*(_xlpm.rho*_xlpm.L_/_xlpm.sz*N(CE53)+_xlpm.xx*_xlpm.L_*N(EK53)/1000)*N(O53)/((Uн_лин/SQRT(3))*1000)*100,999)),_xlpm.kz,IF(OR(_xlpm.dcx,DW53=1,NOT(ISNUMBER(EG53)),_xlpm.L_=0,_xlpm.inn=0),1,IFERROR(--(c_min*(Uн_лин*1000/SQRT(3))/(EG53+2*ρкз_Cu*_xlpm.L_/_xlpm.sz)&gt;=HT53*_xlpm.inn),0)),_xlpm.ok,IFERROR((_xlpm.sz&gt;=_xlpm.smin)*(_xlpm.t_&gt;=_xlpm.inn)*IF(_xlpm.L_&gt;0,(_xlpm.du_+IF(_xlpm.dcx,0,EF53)&lt;=EL53+0.00001),1)*_xlpm.kz,0),_xlpm.r_,_xlfn._xlws.FILTER(_xlpm.sz,_xlpm.ok,"не подобрано"),INDEX(_xlpm.r_,1)))</f>
        <v>185</v>
      </c>
      <c r="EN53">
        <f t="shared" si="53"/>
        <v>185</v>
      </c>
      <c r="EO53" cm="1">
        <f t="array" ref="EO53">IF(OR(B53="",BZ53="",EC53&lt;&gt;1),"",_xlfn.LET(_xlpm.sz,Iдоп_S,_xlpm.t_,CHOOSE(EB53,Iдоп_1ж,Iдоп_2ж,Iдоп_3ж)*DZ53*EA53,_xlpm.ok,IFERROR((_xlpm.sz&gt;=MAX(1.5,CC53))*(_xlpm.t_&gt;=N(DT53)),0),_xlpm.r_,_xlfn._xlws.FILTER(_xlpm.sz,_xlpm.ok,""),INDEX(_xlpm.r_,1)))</f>
        <v>185</v>
      </c>
      <c r="EP53" s="6" cm="1">
        <f t="array" ref="EP53">IFERROR(ROUNDUP(N(EJ53)*(_xlfn.XLOOKUP(EO53,INDEX(Кабель_сопротивление,0,1),INDEX(Кабель_сопротивление,0,3))*N(P53)/EO53*N(CE53)+_xlfn.XLOOKUP(EO53,INDEX(Кабель_сопротивление,0,1),INDEX(Кабель_сопротивление,0,2))*N(P53)*N(EK53)/1000)*N(O53)/((Uн_лин/SQRT(3))*1000)*100,2),"")</f>
        <v>0.57000000000000006</v>
      </c>
      <c r="EQ53">
        <f>IFERROR(2*ρкз_Cu*N(P53)/EO53,"")</f>
        <v>1.450054054054054E-2</v>
      </c>
      <c r="ER53">
        <f>IFERROR(VLOOKUP(EN53,Кабель_сопротивление,3,FALSE),"")</f>
        <v>2.2499999999999999E-2</v>
      </c>
      <c r="ES53">
        <f>IFERROR(VLOOKUP(EN53,Кабель_сопротивление,2,FALSE),"")</f>
        <v>5.96E-2</v>
      </c>
      <c r="ET53">
        <f t="shared" si="54"/>
        <v>14</v>
      </c>
      <c r="EU53">
        <f t="shared" si="55"/>
        <v>0</v>
      </c>
      <c r="EV53">
        <f t="shared" si="56"/>
        <v>1.2933815474663544</v>
      </c>
      <c r="EW53" s="6">
        <f>IFERROR(ROUNDUP(EV53/IF(BV53=1,BU53,(Uн_лин/SQRT(3))*1000)*100,2),"")</f>
        <v>0.57000000000000006</v>
      </c>
      <c r="EX53" t="str">
        <f>IFERROR(VLOOKUP(BZ53,Кабель_обозначение,2,FALSE),"")</f>
        <v>ВВГнг(А)-LS</v>
      </c>
      <c r="EY53" t="str">
        <f t="shared" si="57"/>
        <v>ВВГнг(А)-LS (5х185)</v>
      </c>
      <c r="EZ53" t="str">
        <f t="shared" si="58"/>
        <v>ВВГнг(А)-LS (5х185)
L=51-0,57%</v>
      </c>
      <c r="FA53">
        <f>IFERROR(2*ρкз_Cu*P53/EN53,"")</f>
        <v>1.450054054054054E-2</v>
      </c>
      <c r="FB53">
        <f t="shared" si="59"/>
        <v>4.8243243243243248E-3</v>
      </c>
      <c r="FC53" s="6" t="str">
        <f>IFERROR(IF(OR(B53="",BV53=1,NOT(ISNUMBER(EN53)),N(P53)=0),"",_xlfn.XLOOKUP(A53,Щиты[Щит],Щиты[Zпетли на шинах, Ом])+FA53),"")</f>
        <v/>
      </c>
      <c r="FD53" s="6" t="str">
        <f>IF(ISNUMBER(FC53),c_min*(Uн_лин*1000/SQRT(3))/FC53,"")</f>
        <v/>
      </c>
      <c r="FE53" s="6" t="str">
        <f>IFERROR(IF(OR(B53="",NOT(ISNUMBER(EN53))),"",1.05*(Uн_лин*1000/SQRT(3))/(_xlfn.XLOOKUP(A53,Щиты[Щит],Щиты[Zmax на шинах, Ом])+FB53)/1000),"")</f>
        <v/>
      </c>
      <c r="FF53" s="6" t="str">
        <f>IF(B53="","",IF(ISNUMBER(AC53),"Сил",IF(IFERROR(_xlfn.XLOOKUP(BC53,Коды_код,Коды_группа)&amp;"","")="","Быт",_xlfn.XLOOKUP(BC53,Коды_код,Коды_группа)&amp;"")))</f>
        <v>Быт</v>
      </c>
      <c r="FG53" s="6" t="str">
        <f t="shared" si="60"/>
        <v>Нет</v>
      </c>
      <c r="FH53" s="6">
        <f>IF(FG53="Щит","щит",IF(FG53="","",IF(FG53="Быт",IFERROR(_xlfn.XLOOKUP(A53,Щиты[Щит],Щиты[Кс быт]),1),IF(FG53="Сил",IF(ISNUMBER(AC53),AC53,IF(Методика="нормы 2026",IFERROR(_xlfn.XLOOKUP(A53,Щиты[Щит],Щиты[Кс силовых (табл. 7.5)]),1),1)),IF(OR(FG53="Пост",FG53="Отоп"),1,IF(FG53="ВНГ",0.7,0))))))</f>
        <v>0</v>
      </c>
      <c r="FI53">
        <f>IF(FG53="","",IF(AND(BP53=1,TRIM(AE53&amp;"")=""),IF(COUNTIFS(Линии[Щит],A53,Линии[Секция (1/2/3)],"&gt;=2")&gt;0,MIN(3,MAX(1,IFERROR(--BD53,1))),1),IFERROR(MIN(3,MAX(1,INT(--AE53))),1)))</f>
        <v>1</v>
      </c>
      <c r="FJ53">
        <f t="shared" si="61"/>
        <v>0</v>
      </c>
      <c r="FK53">
        <f t="shared" si="62"/>
        <v>0</v>
      </c>
      <c r="FL53">
        <f t="shared" si="63"/>
        <v>0</v>
      </c>
      <c r="FM53">
        <f t="shared" si="64"/>
        <v>0</v>
      </c>
      <c r="FN53">
        <f t="shared" si="65"/>
        <v>0</v>
      </c>
      <c r="FO53">
        <f t="shared" si="66"/>
        <v>0</v>
      </c>
      <c r="FP53">
        <f t="shared" si="67"/>
        <v>0</v>
      </c>
      <c r="FQ53">
        <f t="shared" si="68"/>
        <v>0</v>
      </c>
      <c r="FR53">
        <f t="shared" si="69"/>
        <v>0</v>
      </c>
      <c r="FS53">
        <f>IF(CG53=1,IF(AND(CH53=1,CW53=1),0,IF(AND(CS53&lt;&gt;"",CS53=BA53,CW53=1),SUMIFS(Линии[_Р линии, кВт],Линии[_блок УЗО],BA53,Линии[Щит],A53),N(BS53)+IF(AJ53="вручную",0,N(CK53)))),0)</f>
        <v>211.22</v>
      </c>
      <c r="FT53" t="str">
        <f t="shared" si="70"/>
        <v/>
      </c>
      <c r="FU53" t="str">
        <f>IF(B53="","",IF(CG53=0,IF(BA53=1,"",FW52),IF(AND(CH53=1,CW53=1,CS53&lt;&gt;""),IFERROR(_xlfn.XLOOKUP(CS53,Линии[_n],Линии[_фаза итог]),"L1"),IF(OR(N(DL53)&gt;=3,N(BX53)&gt;=3),"L1,L2,L3",IFERROR(_xlfn.TEXTBEFORE(_xlfn.TEXTAFTER(_xlfn.XLOOKUP(A53,Щиты[Щит],Щиты[_фазы авто]),";"&amp;BA53&amp;":"),";"),"L1")))))</f>
        <v>L1,L2,L3</v>
      </c>
      <c r="FV53" t="str">
        <f t="shared" si="71"/>
        <v>L1,L2,L3</v>
      </c>
      <c r="FW53" t="str">
        <f t="shared" si="72"/>
        <v>L1,L2,L3</v>
      </c>
      <c r="FX53" cm="1">
        <f t="array" ref="FX53">IFERROR(IF(CD53=2,_xlfn.IFS(BX53=3,VLOOKUP(BS53,Справочная_двигатели,3,FALSE),BX53=1,VLOOKUP(BS53,Справочная_двигатели,5,TRUE)),0),0)</f>
        <v>0</v>
      </c>
      <c r="FY53">
        <f>IFERROR(IF(CD53=3,VLOOKUP(BS53,Справочная_ЛЭД,2,TRUE),0),0)</f>
        <v>0</v>
      </c>
      <c r="FZ53" s="6">
        <f t="shared" si="73"/>
        <v>0</v>
      </c>
      <c r="GA53" t="str">
        <f>IF(B53="","",IF(TRIM(AH53&amp;"")&lt;&gt;"",IF(LOWER(TRIM(AH53&amp;""))="да","да","нет"),IF(IFERROR(_xlfn.XLOOKUP(BC53,Коды_код,Коды_пожарная),"")="да","да","нет")))</f>
        <v>нет</v>
      </c>
      <c r="GB53" t="str">
        <f t="shared" si="74"/>
        <v/>
      </c>
      <c r="GC53" t="str">
        <f t="shared" si="75"/>
        <v>основная</v>
      </c>
      <c r="GD53">
        <f>IF(AND(BP53=1,TRIM(AE53&amp;"")=""),IF(COUNTIFS(Линии[Щит],A53,Линии[Секция (1/2/3)],"&gt;=2")&gt;0,MIN(3,MAX(1,IFERROR(--BD53,1))),1),IFERROR(MIN(3,MAX(1,INT(--AE53))),1))</f>
        <v>1</v>
      </c>
      <c r="GE53" t="str" cm="1">
        <f t="array" ref="GE53">IF(B53="","",_xlfn.LET(_xlpm.t,IFERROR(_xlfn.XLOOKUP(1,(Шины[Шина]=GC53)*(((Шины[Щит]=A53)+(Шины[Щит]=""))&gt;0),Шины[Тип]),"")&amp;"",IF(_xlpm.t&lt;&gt;"",_xlpm.t,IF(ISNUMBER(SEARCH("ИБП",GC53)),"ИБП",IF(ISNUMBER(SEARCH("ДГУ",GC53)),"ДГУ","Ввод "&amp;GD53)))))</f>
        <v>Ввод 1</v>
      </c>
      <c r="GF53" t="str">
        <f t="shared" si="76"/>
        <v>Ввод 1</v>
      </c>
      <c r="GG53" t="str">
        <f>IF(BP53=0,"",IF(TRIM(AG53&amp;"")&lt;&gt;"",TRIM(AG53&amp;""),IF(OR(GE53="ИБП",GE53="ДГУ"),"I особая",_xlfn.XLOOKUP(A53,Щиты[Щит],Щиты[Категория шины «Ввод»],"III"))))</f>
        <v>II</v>
      </c>
      <c r="GH53" t="str">
        <f>IF(A53="","",_xlfn.XLOOKUP(A53,Щиты[Щит],Щиты[Путь],""))</f>
        <v>|ГРЩ-ЖД|ЩОВ-001|</v>
      </c>
      <c r="GI53" t="str">
        <f>IF(B53="","",IF(AI53&lt;&gt;"",AI53,IF(IFERROR(_xlfn.XLOOKUP(BC53,Коды_код,Коды_вид)&amp;"","")="","Прочее",_xlfn.XLOOKUP(BC53,Коды_код,Коды_вид)&amp;"")))</f>
        <v>Прочее</v>
      </c>
      <c r="GJ53">
        <f>IF(BM53="","",INT((BM53-1)/Столбцов_на_лист)+1)</f>
        <v>1</v>
      </c>
      <c r="GK53" t="str">
        <f t="shared" si="77"/>
        <v>ВВГнг(А)-LS (5х185) L=51-0,57%</v>
      </c>
      <c r="GL53">
        <f t="shared" si="78"/>
        <v>211.22</v>
      </c>
      <c r="GM53">
        <f t="shared" si="79"/>
        <v>190.6</v>
      </c>
      <c r="GN53">
        <f t="shared" si="80"/>
        <v>3</v>
      </c>
      <c r="GO53">
        <f t="shared" si="81"/>
        <v>0</v>
      </c>
      <c r="GP53">
        <f t="shared" si="82"/>
        <v>0</v>
      </c>
      <c r="GQ53" t="str">
        <f>IF(BM53="","",IF(AND(CG53=1,GP53=1),COUNTIFS(A$3:A53,A53,CG$3:CG53,1,GP$3:GP53,1),IF(OR(OR(BA53=1,A53&lt;&gt;A52),AJ53="вручную",GP53=0),"",IF(BA53=1,"",GR52))))</f>
        <v/>
      </c>
      <c r="GR53" t="str">
        <f t="shared" si="83"/>
        <v/>
      </c>
      <c r="GS53">
        <f>IF(B53="","",IFERROR(LOOKUP(INDEX(CHOOSE(EB53,Iдоп_1ж,Iдоп_2ж,Iдоп_3ж),MATCH(EN53,Iдоп_S,0))*DZ53*EA53,{6,10,16,20,25,32,40,50,63,80,100,125,160,200,250,315,400,500,630}),""))</f>
        <v>315</v>
      </c>
      <c r="GT53" t="str">
        <f t="shared" si="84"/>
        <v/>
      </c>
      <c r="GU53" t="str">
        <f t="shared" si="85"/>
        <v/>
      </c>
      <c r="GV53" t="str">
        <f t="shared" si="86"/>
        <v/>
      </c>
      <c r="GW53">
        <f t="shared" si="87"/>
        <v>0</v>
      </c>
      <c r="GX53" t="str">
        <f>IF(OR(B53="",DJ53=""),"",IFERROR(_xlfn.XLOOKUP(DJ53,Модули_умолч[Управление],Модули_умолч[Модель])&amp;"",""))</f>
        <v/>
      </c>
      <c r="GY53">
        <f>IF(DJ53="",1,IFERROR(MAX(0,N(_xlfn.XLOOKUP(DJ53,Модули_умолч[Управление],Модули_умолч[Каналов на линию]))),1))</f>
        <v>1</v>
      </c>
      <c r="GZ53" t="str">
        <f t="shared" si="88"/>
        <v/>
      </c>
      <c r="HA53" t="str">
        <f t="shared" si="89"/>
        <v/>
      </c>
      <c r="HB53" t="str">
        <f t="shared" si="90"/>
        <v/>
      </c>
      <c r="HC53">
        <f>IF(HB53="",0,IFERROR(N(VLOOKUP(HB53,Модули_спр,3,FALSE)),0))</f>
        <v>0</v>
      </c>
      <c r="HD53" t="str">
        <f t="shared" si="91"/>
        <v/>
      </c>
      <c r="HE53" t="str">
        <f t="shared" si="92"/>
        <v/>
      </c>
      <c r="HF53" t="str">
        <f>IF(OR(HE53="",HE53="-"),"",IFERROR(VLOOKUP(HE53,Модули_спр,2,FALSE),"R"))</f>
        <v/>
      </c>
      <c r="HG53" t="str">
        <f>IF(HF53="","",HF53&amp;"."&amp;COUNTIFS(A$3:A53,A53,HF$3:HF53,HF53))</f>
        <v/>
      </c>
      <c r="HH53" t="str">
        <f t="shared" si="93"/>
        <v/>
      </c>
      <c r="HI53" t="str">
        <f t="shared" si="94"/>
        <v/>
      </c>
      <c r="HJ53" t="str">
        <f t="shared" si="95"/>
        <v/>
      </c>
      <c r="HK53" t="str">
        <f t="shared" si="96"/>
        <v/>
      </c>
      <c r="HL53">
        <f t="shared" si="97"/>
        <v>0</v>
      </c>
      <c r="HM53" t="str">
        <f>IF(HL53=1,"XT"&amp;COUNTIFS(A$3:A53,A53,HL$3:HL53,1),"")</f>
        <v/>
      </c>
      <c r="HN53" t="str">
        <f t="shared" si="98"/>
        <v/>
      </c>
      <c r="HO53" t="str">
        <f t="shared" si="99"/>
        <v/>
      </c>
      <c r="HP53" t="str">
        <f t="shared" si="100"/>
        <v/>
      </c>
      <c r="HQ53" t="str">
        <f t="shared" si="101"/>
        <v>КАБЕЛЬ НЕ ЗАЩИЩЁН</v>
      </c>
      <c r="HR53" t="str">
        <f>IF(OR(HJ53="",HH53=""),"",IF(HJ53+MAX(0,GY53-1)&gt;IFERROR(VLOOKUP(HI53,Модули_спр,3,FALSE),99),"ЛИШНИЙ КАНАЛ",IF(AND(AL53&lt;&gt;"=",GY53&gt;0,COUNTIFS(Линии[_модуль гр.],HH53,Линии[Канал (итог)],HJ53,Линии[Канал],"&lt;&gt;=",Линии[Щит],A53)&gt;1),"ДУБЛЬ КАНАЛА","")))</f>
        <v/>
      </c>
      <c r="HS53" s="6" t="str">
        <f t="shared" si="102"/>
        <v/>
      </c>
      <c r="HT53">
        <f t="shared" si="103"/>
        <v>10</v>
      </c>
      <c r="HU53" t="str">
        <f t="shared" si="104"/>
        <v/>
      </c>
      <c r="HV53">
        <f t="shared" si="105"/>
        <v>0</v>
      </c>
      <c r="HW53">
        <f t="shared" si="106"/>
        <v>0</v>
      </c>
      <c r="HX53">
        <f t="shared" si="107"/>
        <v>0</v>
      </c>
      <c r="HY53">
        <f t="shared" si="108"/>
        <v>0</v>
      </c>
      <c r="HZ53">
        <f t="shared" si="109"/>
        <v>0</v>
      </c>
      <c r="IA53">
        <f t="shared" si="110"/>
        <v>0</v>
      </c>
      <c r="IB53">
        <f t="shared" si="111"/>
        <v>0</v>
      </c>
      <c r="IC53" t="str">
        <f t="shared" si="112"/>
        <v/>
      </c>
      <c r="ID53" t="str" cm="1">
        <f t="array" ref="ID53">IF(IC53="","",_xlfn.LET(_xlpm.tk,_xlfn.TEXTSPLIT(SUBSTITUTE(SUBSTITUTE(IC53,";"," "),"→"," ")," ",,TRUE),_xlpm.w_,_xlfn._xlws.FILTER(_xlpm.tk,ISNUMBER(--LEFT(_xlpm.tk,1))*((ISNUMBER(SEARCH("W",_xlpm.tk))+ISNUMBER(SEARCH("Вт",_xlpm.tk)))&gt;0),""),IFERROR(--SUBSTITUTE(SUBSTITUTE(UPPER(INDEX(_xlpm.w_,1)),"W",""),"ВТ",""),"")))</f>
        <v/>
      </c>
      <c r="IE53" t="str" cm="1">
        <f t="array" ref="IE53">IF(IC53="","",_xlfn.LET(_xlpm.tk,_xlfn.TEXTSPLIT(SUBSTITUTE(SUBSTITUTE(IC53,";"," "),"→"," ")," ",,TRUE),_xlpm.v_,_xlfn._xlws.FILTER(_xlpm.tk,ISNUMBER(--LEFT(_xlpm.tk,1))*((ISNUMBER(SEARCH("V",_xlpm.tk))+(RIGHT(UPPER(_xlpm.tk))="В"))&gt;0),""),IFERROR(--SUBSTITUTE(SUBSTITUTE(UPPER(INDEX(_xlpm.v_,1)),"V",""),"В",""),"")))</f>
        <v/>
      </c>
      <c r="IF53" s="6" t="str">
        <f>IF(OR(BV53=0,HI53="",HJ53=""),"",IFERROR(N(_xlfn.XLOOKUP(HI53,Каталог!$C$4:$C$500,Каталог!$Q$4:$Q$500)),""))</f>
        <v/>
      </c>
      <c r="IG53" s="6" t="str">
        <f>IF(N(IF53)=0,"",SUMIFS(Линии[Iр, А],Линии[Щит],A53,Линии[_модуль гр.],HH53,Линии[Канал (итог)],HJ53))</f>
        <v/>
      </c>
      <c r="IH53" t="str">
        <f>IF(AND(B53="",HO53=""),"",_xlfn.TEXTJOIN("; ",TRUE,IF(AND(B53&lt;&gt;"",FV53=""),"нет фазы",""),IF(AND(B53&lt;&gt;"",N(GL53)=0,FG53&lt;&gt;"Нет"),"нет мощности",""),IF(AND(HN53&lt;&gt;"",COUNTIFS(Линии[Щит],A53,Линии[Клемма (итог)],HN53)&gt;1),"дубль клеммы "&amp;HN53,""),IF(AND(HQ53&lt;&gt;"",HQ53&lt;&gt;"ok"),HQ53,""),IF(HR53&lt;&gt;"",HR53,""),IF(AND(N(CB53)&gt;=4,N(BX53)=1),CB53&amp;" жил на 1 фазе",""),IF(AND(BC53="R",CG53=1,IF(CS53&lt;&gt;"",N(CV53)&gt;30,OR(N(DA53)=0,N(DA53)&gt;30))),"розетка без дифзащиты до 30 мА",""),IF(AND(CG53=1,N(DA53)&gt;0,ISNUMBER(T53)),IF(T53&gt;N(DA53)/3,"ток утечки "&amp;FIXED(T53,1)&amp;" мА &gt; 1/3 уставки ("&amp;DA53&amp;" мА)",""),""),IF(AND(CH53=1,CS53=""),"«узо»: нет строки с УЗО выше (УЗО 2P 40А 30мА в «Аппаратах»)",""),IF(AND(CS53&lt;&gt;"",CS53=BA53),IF(CT53="","впишите номинал УЗО (УЗО 2P 40А 30мА)",IF(N(CT53)&lt;N(DT53),"УЗО "&amp;CT53&amp;" А &lt; автомата "&amp;DT53&amp;" А перед ним",IF(N(CT53)&lt;N(CX53),"УЗО "&amp;CT53&amp;" А &lt; тока блока "&amp;FIXED(CX53,1)&amp;" А",""))),""),IF(AND(CS53&lt;&gt;"",CS53=BA53,ISNUMBER(CY53)),IF(CY53&gt;N(CV53)/3,"ток утечки блока УЗО "&amp;FIXED(CY53,1)&amp;" мА &gt; 1/3 уставки ("&amp;CV53&amp;" мА)",""),""),IF(AND(CG53=1,N(BV53)+N(IB53)&gt;0,IC53=""),"линии до 50 В без БП: впишите в «Аппараты» (БП 24V 480W)",""),IF(AND(CG53=1,ISNUMBER(ID53),ISNUMBER(U53)),IF(U53&gt;ID53,"БП "&amp;ID53&amp;" Вт &lt; нужно "&amp;U53&amp;" Вт (×"&amp;Запас_БП&amp;")",""),""),IF(AND(CG53=1,ISNUMBER(IE53),N(BV53)=1),IF(IE53&lt;&gt;N(BU53),"БП на "&amp;IE53&amp;" В, линия "&amp;BU53&amp;" В",""),""),IF(AND(N(IF53)&gt;0,N(IG53)&gt;N(IF53)),HH53&amp;" канал "&amp;HJ53&amp;": "&amp;FIXED(IG53,1)&amp;" А &gt; "&amp;IF53&amp;" А",""),IFERROR(IF(AND(ISNUMBER(Q53),Q53&gt;EL53),"потери "&amp;FIXED(Q53,1)&amp;" % &gt; "&amp;EL53&amp;" %",""),""),IFERROR(IF(LEFT(HU53,4)="мало","Iкз мало — отключение &gt; 0,4 с",""),""),IF(AND(B53&lt;&gt;"",BM53=""),"не на схеме",""),IF(AND(CG53=0,B53&lt;&gt;"",FV53&lt;&gt;"",IF(BA53=1,"",FW52)&lt;&gt;"",FV53&lt;&gt;IF(BA53=1,"",FW52)),"фаза не как у автомата группы ("&amp;IF(BA53=1,"",FW52)&amp;")","")))</f>
        <v>КАБЕЛЬ НЕ ЗАЩИЩЁН</v>
      </c>
      <c r="II53" s="6" t="str">
        <f>IF(OR(CG53=0,DQ53=""),"",_xlfn.LET(_xlpm.t,IFERROR(_xlfn.XLOOKUP(DQ53,Каталог!$U$4:$U$500,Каталог!$G$4:$G$500),""),_xlpm.k,SEARCH("кА",_xlpm.t),IFERROR(--TRIM(RIGHT(SUBSTITUTE(MID(_xlpm.t,MAX(1,_xlpm.k-4),_xlpm.k-MAX(1,_xlpm.k-4))," ",REPT(" ",9)),5)),"")))</f>
        <v/>
      </c>
      <c r="IJ53" t="str">
        <f>IF(OR(II53="",CG53=0),"",IF(_xlfn.XLOOKUP(A53,Щиты[Щит],Щиты[Iкз max на шинах, кА],"")="","",IF(II53&lt;_xlfn.XLOOKUP(A53,Щиты[Щит],Щиты[Iкз max на шинах, кА]),"Icu "&amp;II53&amp;" кА &lt; Iкз max","ok")))</f>
        <v/>
      </c>
      <c r="IK53" t="str">
        <f t="shared" si="113"/>
        <v/>
      </c>
      <c r="IL53" t="str">
        <f t="shared" si="114"/>
        <v/>
      </c>
      <c r="IM53" t="str">
        <f t="shared" si="115"/>
        <v/>
      </c>
      <c r="IN53" t="str" cm="1">
        <f t="array" ref="IN53">IF(IM53="","",_xlfn.LET(_xlpm.nd,_xlfn.TEXTSPLIT(IM53,"|"),IF(COLUMNS(_xlpm.nd)&gt;1,A53&amp;"¦"&amp;INDEX(_xlpm.nd,1)&amp;"¦"&amp;INDEX(_xlpm.nd,2),"")))</f>
        <v/>
      </c>
      <c r="IO53" t="str">
        <f t="shared" si="116"/>
        <v/>
      </c>
      <c r="IP53" t="str" cm="1">
        <f t="array" ref="IP53">IF(IM53="","",_xlfn.LET(_xlpm.nd,_xlfn.TEXTSPLIT(IM53,"|"),IF(COLUMNS(_xlpm.nd)&gt;2,A53&amp;"¦"&amp;INDEX(_xlpm.nd,2)&amp;"¦"&amp;INDEX(_xlpm.nd,3),"")))</f>
        <v/>
      </c>
      <c r="IQ53" t="str">
        <f t="shared" si="117"/>
        <v/>
      </c>
      <c r="IR53" t="str" cm="1">
        <f t="array" ref="IR53">IF(IM53="","",_xlfn.LET(_xlpm.nd,_xlfn.TEXTSPLIT(IM53,"|"),IF(COLUMNS(_xlpm.nd)&gt;3,A53&amp;"¦"&amp;INDEX(_xlpm.nd,3)&amp;"¦"&amp;INDEX(_xlpm.nd,4),"")))</f>
        <v/>
      </c>
      <c r="IS53" t="str">
        <f t="shared" si="118"/>
        <v/>
      </c>
      <c r="IT53" t="str" cm="1">
        <f t="array" ref="IT53">IF(IM53="","",_xlfn.LET(_xlpm.nd,_xlfn.TEXTSPLIT(IM53,"|"),IF(COLUMNS(_xlpm.nd)&gt;4,A53&amp;"¦"&amp;INDEX(_xlpm.nd,4)&amp;"¦"&amp;INDEX(_xlpm.nd,5),"")))</f>
        <v/>
      </c>
      <c r="IU53" t="str">
        <f t="shared" si="119"/>
        <v/>
      </c>
      <c r="IV53" t="str" cm="1">
        <f t="array" ref="IV53">IF(IM53="","",_xlfn.LET(_xlpm.nd,_xlfn.TEXTSPLIT(IM53,"|"),IF(COLUMNS(_xlpm.nd)&gt;5,A53&amp;"¦"&amp;INDEX(_xlpm.nd,5)&amp;"¦"&amp;INDEX(_xlpm.nd,6),"")))</f>
        <v/>
      </c>
      <c r="IW53" t="str">
        <f t="shared" si="120"/>
        <v/>
      </c>
      <c r="IX53" t="str" cm="1">
        <f t="array" ref="IX53">IF(IM53="","",_xlfn.LET(_xlpm.nd,_xlfn.TEXTSPLIT(IM53,"|"),IF(COLUMNS(_xlpm.nd)&gt;6,A53&amp;"¦"&amp;INDEX(_xlpm.nd,6)&amp;"¦"&amp;INDEX(_xlpm.nd,7),"")))</f>
        <v/>
      </c>
      <c r="IY53" t="str">
        <f t="shared" si="121"/>
        <v/>
      </c>
      <c r="IZ53" t="str">
        <f t="shared" si="122"/>
        <v/>
      </c>
      <c r="JA53" t="str">
        <f t="shared" si="123"/>
        <v/>
      </c>
      <c r="JB53">
        <f t="shared" si="124"/>
        <v>0</v>
      </c>
      <c r="JC53">
        <f t="shared" si="125"/>
        <v>0</v>
      </c>
      <c r="JD53" t="str">
        <f t="shared" si="126"/>
        <v/>
      </c>
      <c r="JE53" t="str">
        <f t="shared" si="127"/>
        <v/>
      </c>
      <c r="JF53" t="str">
        <f t="shared" si="128"/>
        <v/>
      </c>
      <c r="JG53" t="str">
        <f t="shared" si="129"/>
        <v/>
      </c>
      <c r="JH53">
        <f>IF(B53="","",IFERROR(_xlfn.XLOOKUP(B53,Коды_код,Коды_уго),IFERROR(_xlfn.XLOOKUP(BC53,Коды_код,Коды_уго),IFERROR(_xlfn.XLOOKUP(LEFT(BC53,2),Коды_код,Коды_уго),""))))</f>
        <v>0</v>
      </c>
      <c r="JI53" t="str">
        <f>IF(B53="","",IF(OR(JH53="",JH53=0),"BOX",IFERROR(IF(VLOOKUP(JH53,УГО_блоки,3,FALSE)&amp;""&lt;&gt;"",VLOOKUP(JH53,УГО_блоки,3,FALSE),VLOOKUP(JH53,УГО_блоки,2,FALSE)),JH53)))</f>
        <v>BOX</v>
      </c>
      <c r="JJ53">
        <f t="shared" si="130"/>
        <v>1</v>
      </c>
      <c r="JK53">
        <f>IF(DQ53="","",IF(COUNTIF(DQ$3:DQ53,DQ53)=1,MAX(JK$2:JK52)+1,""))</f>
        <v>16</v>
      </c>
      <c r="JL53" t="str">
        <f>IF(DE53="","",IF(COUNTIF(DE$3:DE53,DE53)+COUNTIF(DF$2:DF52,DE53)+COUNTIF(DG$2:DG52,DE53)=1,MAX(JL$2:JN52)+1,""))</f>
        <v/>
      </c>
      <c r="JM53" t="str">
        <f>IF(DF53="","",IF(COUNTIF(DE$3:DE53,DF53)+COUNTIF(DF$3:DF53,DF53)+COUNTIF(DG$2:DG52,DF53)=1,MAX(JL$2:JN52,JL53)+1,""))</f>
        <v/>
      </c>
      <c r="JN53" t="str">
        <f>IF(DG53="","",IF(COUNTIF(DE$3:DE53,DG53)+COUNTIF(DF$3:DF53,DG53)+COUNTIF(DG$3:DG53,DG53)=1,MAX(JL$2:JN52,JL53,JM53)+1,""))</f>
        <v/>
      </c>
      <c r="JO53" t="str">
        <f t="shared" si="131"/>
        <v/>
      </c>
      <c r="JP53" t="str">
        <f>IF(JO53="","",IF(COUNTIF(JO$3:JO53,JO53)=1,MAX(JP$2:JP52)+1,""))</f>
        <v/>
      </c>
      <c r="JQ53" t="str">
        <f>IF(HG53="","",COUNTIF(HG$3:HG53,"?*"))</f>
        <v/>
      </c>
      <c r="JR53" t="str">
        <f>IF(OR(HG53="",HI53=""),"",IF(COUNTIFS(HG$3:HG53,"?*",HI$3:HI53,HI53)=1,MAX(JR$2:JR52)+1,""))</f>
        <v/>
      </c>
      <c r="JS53">
        <f t="shared" si="132"/>
        <v>2</v>
      </c>
      <c r="JT53">
        <f>IF(B53="","",COUNTIF(B$3:B53,"?*"))</f>
        <v>51</v>
      </c>
      <c r="JU53">
        <f>IF(HL53&lt;&gt;1,0,_xlfn.LET(_xlpm.k,MAX(IFERROR(--_xlfn.XLOOKUP(B53,Коды_код,Коды_3L),0),IFERROR(--_xlfn.XLOOKUP(BC53,Коды_код,Коды_3L),0),IFERROR(--_xlfn.XLOOKUP(LEFT(BC53,2),Коды_код,Коды_3L),0)),IF(_xlpm.k&gt;0,_xlpm.k,IF(IFERROR(--LEFT(SUBSTITUTE(JO53,"x","х"),FIND("х",SUBSTITUTE(JO53,"x","х"))-1),3)&gt;3,Каталог!$S$9,1))))</f>
        <v>0</v>
      </c>
      <c r="JV53">
        <f t="shared" si="133"/>
        <v>0</v>
      </c>
      <c r="JW53" t="str">
        <f t="shared" si="134"/>
        <v>авто</v>
      </c>
      <c r="JX53" t="str">
        <f t="shared" si="135"/>
        <v/>
      </c>
      <c r="JY53">
        <f t="shared" si="136"/>
        <v>0</v>
      </c>
      <c r="JZ53">
        <f t="shared" si="137"/>
        <v>1</v>
      </c>
    </row>
    <row r="54" spans="1:286" x14ac:dyDescent="0.3">
      <c r="A54" t="s">
        <v>747</v>
      </c>
      <c r="B54" t="s">
        <v>1367</v>
      </c>
      <c r="C54" t="s">
        <v>1655</v>
      </c>
      <c r="D54">
        <v>1</v>
      </c>
      <c r="E54">
        <v>0.1</v>
      </c>
      <c r="G54">
        <v>10</v>
      </c>
      <c r="H54" t="str">
        <f>Линии[[#This Row],[_авто управление]]</f>
        <v/>
      </c>
      <c r="I54" t="str">
        <f>Линии[[#This Row],[_авто аппараты]]</f>
        <v/>
      </c>
      <c r="J54">
        <v>1.5</v>
      </c>
      <c r="K54">
        <v>17</v>
      </c>
      <c r="L54" t="str">
        <f>Линии[[#This Row],[_авто фаза]]</f>
        <v>L1</v>
      </c>
      <c r="M54" t="str">
        <f>Линии[[#This Row],[_авто клемма]]</f>
        <v>XT1</v>
      </c>
      <c r="N54" t="str">
        <f t="shared" si="0"/>
        <v/>
      </c>
      <c r="O54" s="6" cm="1">
        <f t="array" ref="O54">IF(B54="","",IF(BH54&lt;&gt;"",IFERROR(_xlfn.XLOOKUP(BH54,Щиты[Щит],Щиты[Iр, А]),""),IF(BP54=1,IF(OR(N(_xlfn.XLOOKUP(A54,Щиты[Щит],Щиты[Вводов],1))&lt;=1,LOWER(TRIM(_xlfn.XLOOKUP(A54,Щиты[Щит],Щиты[АВР],"")&amp;""))="да"),IFERROR(_xlfn.XLOOKUP(A54,Щиты[Щит],Щиты[Iр, А]),""),IFERROR(N(BS54)*_xlfn.XLOOKUP(A54,Щиты[Щит],Щиты[Кс итог])/(SQRT(3)*Uн_лин*_xlfn.XLOOKUP(A54,Щиты[Щит],Щиты[cos φ])),"")),IF(BV54=1,IFERROR(BS54*1000/BU54,""),IFERROR(_xlfn.IFS(BX54=1,BS54/((Uн_лин/SQRT(3))*CE54),BX54=3,BS54/(SQRT(3)*Uн_лин*CE54)),"")))))</f>
        <v>0.5412658773652741</v>
      </c>
      <c r="P54" s="7">
        <f>IF(B54="","",IFERROR(IF(VLOOKUP(BC54,Потребители_обозначение,4,FALSE)=1,VLOOKUP(BC54,Потребители_обозначение,3,FALSE)*(MAX(1,N(D54))*2-1)+EI54+VLOOKUP(BE54,Этаж_обозначение,3,FALSE)+VLOOKUP(BE54,Этаж_обозначение,4,FALSE),VLOOKUP(BC54,Потребители_обозначение,3,FALSE)*(MAX(1,N(D54))*2-1)+EI54),EI54))</f>
        <v>21</v>
      </c>
      <c r="Q54" s="6">
        <f t="shared" si="1"/>
        <v>0.76</v>
      </c>
      <c r="R54" t="str">
        <f t="shared" si="2"/>
        <v>ВВГнг(А)-LS (3х1,5)</v>
      </c>
      <c r="S54" t="str">
        <f>IF(BM54="","",IF(BN54="вводной узел","узел ","")&amp;"л."&amp;(INT((BM54-1)/Столбцов_на_лист)+1)&amp;" / "&amp;(MOD(BM54-1,Столбцов_на_лист)+1))</f>
        <v>л.1 / 14</v>
      </c>
      <c r="T54" s="119">
        <f t="shared" si="3"/>
        <v>0.4</v>
      </c>
      <c r="U54" s="7" t="str">
        <f>IF(OR(CG54=0,N(BV54)+N(IB54)=0),"",ROUNDUP(Запас_БП*(N(HY54)+N(HZ54)),0))</f>
        <v/>
      </c>
      <c r="V54" s="119" t="str">
        <f t="shared" si="4"/>
        <v/>
      </c>
      <c r="W54" s="7" t="str">
        <f>IFERROR(IF(OR(B54="",BP54=1,BV54=1,NOT(ISNUMBER(EN54)),N(DT54)=0),"",MAX(0,ROUNDDOWN((c_min*(Uн_лин*1000/SQRT(3))/(HT54*N(DT54))-_xlfn.XLOOKUP(A54,Щиты[Щит],Щиты[Zпетли на шинах, Ом]))*EN54/(2*ρкз_Cu),0))),"")</f>
        <v/>
      </c>
      <c r="Y54" t="str">
        <f>Линии[[#This Row],[_авто утечка]]</f>
        <v/>
      </c>
      <c r="Z54">
        <v>1</v>
      </c>
      <c r="AA54">
        <v>230</v>
      </c>
      <c r="AB54" t="s">
        <v>598</v>
      </c>
      <c r="AC54">
        <v>0.5</v>
      </c>
      <c r="AG54" t="s">
        <v>810</v>
      </c>
      <c r="AI54" t="s">
        <v>580</v>
      </c>
      <c r="AK54" t="str">
        <f>Линии[[#This Row],[_авто модуль]]</f>
        <v/>
      </c>
      <c r="AM54">
        <v>14</v>
      </c>
      <c r="AN54" t="s">
        <v>11</v>
      </c>
      <c r="AO54">
        <v>3</v>
      </c>
      <c r="AR54">
        <v>21</v>
      </c>
      <c r="AT54">
        <v>1</v>
      </c>
      <c r="BA54" cm="1">
        <f t="array" ref="BA54">ROW()-ROW(Линии[#Headers])</f>
        <v>52</v>
      </c>
      <c r="BC54" s="6" t="str">
        <f t="shared" si="5"/>
        <v>В</v>
      </c>
      <c r="BD54" t="str">
        <f t="shared" si="6"/>
        <v>3</v>
      </c>
      <c r="BE54" t="str">
        <f t="shared" si="7"/>
        <v>3</v>
      </c>
      <c r="BF54" t="str">
        <f t="shared" si="8"/>
        <v/>
      </c>
      <c r="BG54" t="str">
        <f t="shared" si="9"/>
        <v/>
      </c>
      <c r="BH54" t="str">
        <f>IF(X54&lt;&gt;"",X54,IF(AND(B54&lt;&gt;"",B54&lt;&gt;A54,ISNUMBER(_xlfn.XMATCH(B54,Щиты[Щит]))),B54,""))</f>
        <v/>
      </c>
      <c r="BI54" t="str" cm="1">
        <f t="array" ref="BI54">IF(B54="","",IF(BH54&lt;&gt;"","Щит "&amp;BH54,_xlfn.LET(_xlpm.nm,IFERROR(_xlfn.XLOOKUP(BC54,Коды_код,Коды_имя)&amp;"",""),_xlpm.md,IFERROR(N(_xlfn.XLOOKUP(BC54,Коды_код,Коды_режим)),1),_xlpm.ex,IF(Имя_режим="по экспликации",IFERROR(_xlfn.XLOOKUP(BE54&amp;"|"&amp;BG54,Экспликация[Этаж]&amp;"|"&amp;Экспликация[Помещение],Экспликация[Название])&amp;"",""),""),_xlpm.rm,IF(BG54="","",IF(_xlpm.ex&lt;&gt;"",". "&amp;_xlpm.ex&amp;IF(Имя_пом="нет"," ("&amp;BG54&amp;")"," (пом. "&amp;BG54&amp;")"),IF(Имя_пом="нет"," ",", пом. ")&amp;BG54)),IF(_xlpm.nm="","",IF(_xlpm.md=2,_xlpm.nm&amp;" шлейф "&amp;BE54,_xlpm.nm&amp;_xlpm.rm)))))</f>
        <v>Вытяжная установка шлейф 3</v>
      </c>
      <c r="BJ54" t="str">
        <f t="shared" si="10"/>
        <v>Вытяжная установка Пом №006T</v>
      </c>
      <c r="BK54">
        <f>IFERROR(_xlfn.XMATCH(A54,Щиты[Щит]),0)</f>
        <v>4</v>
      </c>
      <c r="BL54">
        <f>_xlfn.LET(_xlpm.k,IFERROR(_xlfn.XLOOKUP(A54,Щиты[Щит],Щиты[Мест под вводной узел]),""),IF(_xlpm.k="",Столбцов_на_лист,N(_xlpm.k)))</f>
        <v>13</v>
      </c>
      <c r="BM54">
        <f t="shared" si="11"/>
        <v>14</v>
      </c>
      <c r="BN54" t="str">
        <f t="shared" si="12"/>
        <v>линии</v>
      </c>
      <c r="BO54" s="6">
        <f>IFERROR(N(_xlfn.XLOOKUP(BC54,Коды_код,Коды_квт)),0)</f>
        <v>0</v>
      </c>
      <c r="BP54">
        <f t="shared" si="13"/>
        <v>0</v>
      </c>
      <c r="BQ54" t="str">
        <f>IF(B54="","",IF(BH54&lt;&gt;"",IFERROR(_xlfn.XLOOKUP(BH54,Щиты[Щит],Щиты[Руст, кВт]),0),IF(BP54=1,IF(OR(N(_xlfn.XLOOKUP(A54,Щиты[Щит],Щиты[Вводов],1))&lt;=1,LOWER(TRIM(_xlfn.XLOOKUP(A54,Щиты[Щит],Щиты[АВР],"")&amp;""))="да"),IFERROR(_xlfn.XLOOKUP(A54,Щиты[Щит],Щиты[Руст, кВт]),0),SUMIFS(Линии[_Р для вводов],Линии[Щит],A54,Линии[Источник для режимов],GF54)),IF(BO54&gt;0,ROUND(BO54*MAX(1,N(D54)),3),""))))</f>
        <v/>
      </c>
      <c r="BR54">
        <f t="shared" si="14"/>
        <v>0.1</v>
      </c>
      <c r="BS54" s="6">
        <f>IF(B54="","",IF(BH54&lt;&gt;"",IFERROR(_xlfn.XLOOKUP(BH54,Щиты[Щит],Щиты[Руст, кВт]),0),N(BR54)))</f>
        <v>0.1</v>
      </c>
      <c r="BT54" t="str">
        <f>IF(B54="","",IFERROR(IF(VLOOKUP(BC54,Потребители_обозначение,8,FALSE)=0,"",VLOOKUP(BC54,Потребители_обозначение,8,FALSE)),""))</f>
        <v/>
      </c>
      <c r="BU54">
        <f t="shared" si="15"/>
        <v>230</v>
      </c>
      <c r="BV54">
        <f t="shared" si="16"/>
        <v>0</v>
      </c>
      <c r="BW54">
        <f>IF(B54="","",IF(BH54&lt;&gt;"",3,IFERROR(IF(N(VLOOKUP(BC54,Потребители_обозначение,9,FALSE))=0,1,VLOOKUP(BC54,Потребители_обозначение,9,FALSE)),1)))</f>
        <v>1</v>
      </c>
      <c r="BX54">
        <f t="shared" si="17"/>
        <v>1</v>
      </c>
      <c r="BY54" t="str">
        <f>IF(B54="","",_xlfn.LET(_xlpm.bc,IFERROR(IF(VLOOKUP(BC54,Потребители_обозначение,6,FALSE)=0,"",VLOOKUP(BC54,Потребители_обозначение,6,FALSE)&amp;""),""),IF(AND(GA54="да",OR(_xlpm.bc="",_xlpm.bc="мс")),Марка_пож,IF(AND(_xlpm.bc="",BH54&lt;&gt;""),"мс",_xlpm.bc))))</f>
        <v/>
      </c>
      <c r="BZ54" t="str">
        <f t="shared" si="18"/>
        <v>мс</v>
      </c>
      <c r="CA54">
        <f>IF(B54="","",_xlfn.LET(_xlpm.cc,IFERROR(N(VLOOKUP(BC54,Потребители_обозначение,7,FALSE)),0),IF(_xlpm.cc&gt;0,_xlpm.cc,IF(BZ54="","",IF(BV54=1,2,IF(N(BX54)=3,5,3))))))</f>
        <v>3</v>
      </c>
      <c r="CB54">
        <f t="shared" si="19"/>
        <v>3</v>
      </c>
      <c r="CC54">
        <f>IFERROR(N(VLOOKUP(BC54,Потребители_обозначение,10,FALSE)),0)</f>
        <v>0</v>
      </c>
      <c r="CD54">
        <f>IFERROR(VLOOKUP(BC54,Потребители_обозначение,5,FALSE),0)</f>
        <v>1</v>
      </c>
      <c r="CE54" s="6" cm="1">
        <f t="array" ref="CE54">IF(B54="","",IF(BH54&lt;&gt;"",IFERROR(_xlfn.XLOOKUP(BH54,Щиты[Щит],Щиты[cos φ]),0.95),IF(BP54=1,IFERROR(_xlfn.XLOOKUP(A54,Щиты[Щит],Щиты[cos φ]),0.95),IF(ISNUMBER(AD54),AD54,IFERROR(IF(CD54=2,_xlfn.IFS(BX54=3,VLOOKUP(BS54,Справочная_двигатели,8,FALSE),BX54=1,VLOOKUP(BS54,Справочная_двигатели,10,TRUE)),IF(AND(Методика="нормы 2026",FG54="Сил"),0.8,0.95)),0.95)))))</f>
        <v>0.8</v>
      </c>
      <c r="CF54">
        <f t="shared" si="20"/>
        <v>0</v>
      </c>
      <c r="CG54">
        <f t="shared" si="21"/>
        <v>1</v>
      </c>
      <c r="CH54">
        <f t="shared" si="22"/>
        <v>0</v>
      </c>
      <c r="CI54">
        <f>IF(B54="","",IF(BV54=1,IFERROR(BS54/((Uн_лин/SQRT(3))*MAX(0.5,N(CE54))),0),N(O54)))</f>
        <v>0.5412658773652741</v>
      </c>
      <c r="CJ54">
        <f t="shared" si="23"/>
        <v>0</v>
      </c>
      <c r="CK54">
        <f t="shared" si="24"/>
        <v>0</v>
      </c>
      <c r="CL54">
        <f t="shared" si="25"/>
        <v>0</v>
      </c>
      <c r="CM54">
        <f t="shared" si="26"/>
        <v>0</v>
      </c>
      <c r="CN54">
        <f t="shared" si="27"/>
        <v>0</v>
      </c>
      <c r="CO54">
        <f>IF(BC54="",0,_xlfn.LET(_xlpm.v,IFERROR(_xlfn.XLOOKUP(B54,Коды_код,Коды_мА),IFERROR(_xlfn.XLOOKUP(BC54,Коды_код,Коды_мА),IFERROR(_xlfn.XLOOKUP(LEFT(BC54,2),Коды_код,Коды_мА),""))),IF(_xlpm.v="да",30,IF(ISNUMBER(_xlpm.v),_xlpm.v,0))))</f>
        <v>0</v>
      </c>
      <c r="CP54" t="str">
        <f t="shared" si="28"/>
        <v/>
      </c>
      <c r="CQ54" t="str">
        <f>_xlfn.LET(_xlpm.k,IFERROR(_xlfn.XLOOKUP(BC54,Коды_код,Коды_утечка)&amp;"",""),IF(_xlpm.k="","дифавтомат",_xlpm.k))</f>
        <v>дифавтомат</v>
      </c>
      <c r="CR54" t="str" cm="1">
        <f t="array" ref="CR54">IF(CG54=0,"",_xlfn.LET(_xlpm.sg,TRIM(_xlfn.TEXTSPLIT(DD54&amp;"",";")),_xlpm.f_,_xlfn._xlws.FILTER(_xlpm.sg,LEFT(_xlpm.sg,3)="УЗО",""),IFERROR(INDEX(_xlpm.f_,1)&amp;"","")))</f>
        <v/>
      </c>
      <c r="CS54" t="str">
        <f t="shared" si="29"/>
        <v/>
      </c>
      <c r="CT54" s="6" t="str" cm="1">
        <f t="array" ref="CT54">IF(CR54="","",_xlfn.LET(_xlpm.tk,_xlfn.TEXTSPLIT(UPPER(CR54)," ",,TRUE),_xlpm.a_,_xlfn._xlws.FILTER(_xlpm.tk,ISNUMBER(--LEFT(_xlpm.tk,1))*((ISNUMBER(SEARCH("А",_xlpm.tk))+ISNUMBER(SEARCH("A",_xlpm.tk)))&gt;0)*NOT(ISNUMBER(SEARCH("МА",_xlpm.tk)))*NOT(ISNUMBER(SEARCH("MA",_xlpm.tk))),""),IFERROR(--SUBSTITUTE(SUBSTITUTE(INDEX(_xlpm.a_,1),"А",""),"A",""),"")))</f>
        <v/>
      </c>
      <c r="CU54" t="str" cm="1">
        <f t="array" ref="CU54">IF(CR54="","",_xlfn.LET(_xlpm.tk,_xlfn.TEXTSPLIT(UPPER(CR54)," ",,TRUE),_xlpm.a_,_xlfn._xlws.FILTER(_xlpm.tk,ISNUMBER(--LEFT(_xlpm.tk,1))*((ISNUMBER(SEARCH("МА",_xlpm.tk))+ISNUMBER(SEARCH("MA",_xlpm.tk)))&gt;0),""),IFERROR(--SUBSTITUTE(SUBSTITUTE(INDEX(_xlpm.a_,1),"МА",""),"MA",""),30)))</f>
        <v/>
      </c>
      <c r="CV54" t="str">
        <f>IF(CS54="","",IFERROR(_xlfn.XLOOKUP(CS54,Линии[_n],Линии[_УЗО, мА]),30))</f>
        <v/>
      </c>
      <c r="CW54">
        <f>IF(CS54="",0,IF(ISNUMBER(SEARCH("4P",IFERROR(_xlfn.XLOOKUP(CS54,Линии[_n],Линии[_УЗО строки])&amp;"",""))),0,1))</f>
        <v>0</v>
      </c>
      <c r="CX54" t="str">
        <f>IF(AND(CS54&lt;&gt;"",CS54=BA54),SUMIFS(Линии[_ток на 230 В],Линии[_блок УЗО],BA54,Линии[Щит],A54),"")</f>
        <v/>
      </c>
      <c r="CY54" t="str">
        <f>IF(AND(CS54&lt;&gt;"",CS54=BA54),SUMIFS(Линии[_ток утечки линии, мА],Линии[_блок УЗО],BA54,Линии[Щит],A54),"")</f>
        <v/>
      </c>
      <c r="CZ54">
        <f t="shared" si="30"/>
        <v>0</v>
      </c>
      <c r="DA54">
        <f t="shared" si="31"/>
        <v>0</v>
      </c>
      <c r="DB54">
        <f>IF(B54="",0,IFERROR(--_xlfn.XLOOKUP(B54,Коды_код,Коды_минавт),IFERROR(--_xlfn.XLOOKUP(BC54,Коды_код,Коды_минавт),IFERROR(--_xlfn.XLOOKUP(LEFT(BC54,2),Коды_код,Коды_минавт),0))))</f>
        <v>0</v>
      </c>
      <c r="DC54" t="str">
        <f>IF(B54="","",IFERROR(_xlfn.XLOOKUP(BC54,Коды_код,Коды_апп)&amp;"",""))</f>
        <v/>
      </c>
      <c r="DD54" t="str">
        <f t="shared" si="32"/>
        <v/>
      </c>
      <c r="DE54" t="str" cm="1">
        <f t="array" ref="DE54">IF(TRIM(DD54&amp;"")="","",IFERROR(TRIM(INDEX(_xlfn.TEXTSPLIT(DD54&amp;";;;",";"),1)),""))</f>
        <v/>
      </c>
      <c r="DF54" t="str" cm="1">
        <f t="array" ref="DF54">IF(TRIM(DD54&amp;"")="","",IFERROR(TRIM(INDEX(_xlfn.TEXTSPLIT(DD54&amp;";;;",";"),2)),""))</f>
        <v/>
      </c>
      <c r="DG54" t="str" cm="1">
        <f t="array" ref="DG54">IF(TRIM(DD54&amp;"")="","",IFERROR(TRIM(INDEX(_xlfn.TEXTSPLIT(DD54&amp;";;;",";"),3)),""))</f>
        <v/>
      </c>
      <c r="DH54">
        <f t="shared" si="33"/>
        <v>0</v>
      </c>
      <c r="DI54" t="str">
        <f>IF(B54="","",_xlfn.LET(_xlpm.t,LOWER(AZ54&amp;""),IF(ISNUMBER(SEARCH("dim",_xlpm.t)),"DIM",IF(ISNUMBER(SEARCH("dali",_xlpm.t)),"DALI",IF(OR(ISNUMBER(SEARCH("relay",_xlpm.t)),ISNUMBER(SEARCH("реле",_xlpm.t))),"Relay",IF(ISNUMBER(SEARCH("кнопк",_xlpm.t)),"",IFERROR(_xlfn.XLOOKUP(BC54,Коды_код,Коды_упр)&amp;"","")))))))</f>
        <v/>
      </c>
      <c r="DJ54" t="str">
        <f t="shared" si="34"/>
        <v/>
      </c>
      <c r="DK54">
        <f>IF(B54="","",_xlfn.LET(_xlpm.ig,IF(N(CX54)&gt;0,N(CX54),N(CI54)+IF(AJ54="вручную",0,N(CJ54))),_xlpm.n0,IFERROR(VLOOKUP(_xlpm.ig,Автомат_номиналы,2,TRUE),0),_xlpm.mn,MAX(DB54,IF(AJ54="вручную",0,N(CM54))),MAX(_xlpm.n0,_xlpm.mn,IF(DH54=1,Мин_автомат_БП,0))))</f>
        <v>6</v>
      </c>
      <c r="DL54">
        <f t="shared" si="35"/>
        <v>1</v>
      </c>
      <c r="DM54" t="str">
        <f t="shared" si="36"/>
        <v>1P</v>
      </c>
      <c r="DN54" t="str">
        <f>_xlfn.LET(_xlpm.cc,UPPER(TRIM(IFERROR(_xlfn.XLOOKUP(BC54,Коды_код,Коды_хар)&amp;"",""))),IF(OR(_xlpm.cc="B",_xlpm.cc="В"),"B",IF(_xlpm.cc="D","D","С")))</f>
        <v>С</v>
      </c>
      <c r="DO54" t="str">
        <f t="shared" si="37"/>
        <v>1P С6А</v>
      </c>
      <c r="DP54">
        <f t="shared" si="38"/>
        <v>10</v>
      </c>
      <c r="DQ54" t="str">
        <f t="shared" si="39"/>
        <v>1P С10А</v>
      </c>
      <c r="DR54" cm="1">
        <f t="array" ref="DR54">IF(DQ54="","",_xlfn.LET(_xlpm.t,SUBSTITUTE(SUBSTITUTE(SUBSTITUTE(UPPER(DQ54),"С","C"),"А","A"),"В","B"),_xlpm.tk,_xlfn.TEXTSPLIT(_xlpm.t," "),_xlpm.f,_xlfn._xlws.FILTER(_xlpm.tk,ISNUMBER(--MID(_xlpm.tk,2,1))*ISNUMBER(SEARCH(LEFT(_xlpm.tk,1)&amp;"#","B#C#D#"))*(LEN(_xlpm.tk)&gt;1),""),_xlpm.x,INDEX(_xlpm.f,1),IFERROR(--SUBSTITUTE(MID(_xlpm.x,2,9),"A",""),IFERROR(--SUBSTITUTE(INDEX(_xlfn._xlws.FILTER(_xlpm.tk,ISNUMBER(--SUBSTITUTE(_xlpm.tk,"A","")),""),1),"A",""),""))))</f>
        <v>10</v>
      </c>
      <c r="DS54" t="str">
        <f t="shared" si="40"/>
        <v>ok</v>
      </c>
      <c r="DT54">
        <f t="shared" si="41"/>
        <v>10</v>
      </c>
      <c r="DU54" t="str">
        <f t="shared" si="42"/>
        <v>1P С10А</v>
      </c>
      <c r="DV54">
        <f t="shared" si="43"/>
        <v>0</v>
      </c>
      <c r="DW54">
        <f t="shared" si="44"/>
        <v>0</v>
      </c>
      <c r="DX54">
        <f t="shared" si="45"/>
        <v>0</v>
      </c>
      <c r="DY54">
        <f t="shared" si="46"/>
        <v>0.5412658773652741</v>
      </c>
      <c r="DZ54">
        <f t="shared" si="47"/>
        <v>1</v>
      </c>
      <c r="EA54">
        <f>IF(ISNUMBER(AP54),AP54,К_прокл)</f>
        <v>1</v>
      </c>
      <c r="EB54">
        <f t="shared" si="48"/>
        <v>2</v>
      </c>
      <c r="EC54">
        <f>IFERROR(N(VLOOKUP(BZ54,Кабель_обозначение,3,FALSE)),1)</f>
        <v>1</v>
      </c>
      <c r="ED54">
        <f>IFERROR(N(_xlfn.XLOOKUP(A54,Щиты[Щит],Щиты[ΔU до шин, %])),0)</f>
        <v>0.64</v>
      </c>
      <c r="EE54" t="str">
        <f>IFERROR(_xlfn.XLOOKUP(A54,Щиты[Щит],Щиты[Zпетли на шинах, Ом]),"")</f>
        <v/>
      </c>
      <c r="EF54">
        <f>IFERROR(N(_xlfn.XLOOKUP(A54,Щиты[Щит],Щиты[ΔU до шин (подбор), %])),0)</f>
        <v>0.75</v>
      </c>
      <c r="EG54" t="str">
        <f>IFERROR(_xlfn.XLOOKUP(A54,Щиты[Щит],Щиты[Zпетли на шинах (подбор), Ом]),"")</f>
        <v/>
      </c>
      <c r="EH54" t="str">
        <f t="shared" si="49"/>
        <v/>
      </c>
      <c r="EI54">
        <f t="shared" si="50"/>
        <v>17</v>
      </c>
      <c r="EJ54">
        <f t="shared" si="51"/>
        <v>2</v>
      </c>
      <c r="EK54">
        <f t="shared" si="52"/>
        <v>0.6</v>
      </c>
      <c r="EL54" s="6">
        <f>IF(B54="","",IF(BV54=1,dU_LED,IF(IFERROR(_xlfn.XLOOKUP(BC54,Коды_код,Коды_уго),"")="Светильник",3,4)+IF(Методика="нормы 2026",MIN(0.5,MAX(0,N(P54)-100)*0.005),0)))</f>
        <v>4</v>
      </c>
      <c r="EM54" cm="1">
        <f t="array" ref="EM54">IF(OR(B54="",BZ54="",EC54&lt;&gt;1),"",_xlfn.LET(_xlpm.sz,Iдоп_S,_xlpm.t_,CHOOSE(EB54,Iдоп_1ж,Iдоп_2ж,Iдоп_3ж)*DZ54*EA54,_xlpm.dcx,BV54=1,_xlpm.inn,IF(_xlpm.dcx,N(O54),N(DT54)),_xlpm.smin,MAX(1.5,CC54),_xlpm.L_,N(P54)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54)/N(BU54)*100,999),IFERROR(N(EJ54)*(_xlpm.rho*_xlpm.L_/_xlpm.sz*N(CE54)+_xlpm.xx*_xlpm.L_*N(EK54)/1000)*N(O54)/((Uн_лин/SQRT(3))*1000)*100,999)),_xlpm.kz,IF(OR(_xlpm.dcx,DW54=1,NOT(ISNUMBER(EG54)),_xlpm.L_=0,_xlpm.inn=0),1,IFERROR(--(c_min*(Uн_лин*1000/SQRT(3))/(EG54+2*ρкз_Cu*_xlpm.L_/_xlpm.sz)&gt;=HT54*_xlpm.inn),0)),_xlpm.ok,IFERROR((_xlpm.sz&gt;=_xlpm.smin)*(_xlpm.t_&gt;=_xlpm.inn)*IF(_xlpm.L_&gt;0,(_xlpm.du_+IF(_xlpm.dcx,0,EF54)&lt;=EL54+0.00001),1)*_xlpm.kz,0),_xlpm.r_,_xlfn._xlws.FILTER(_xlpm.sz,_xlpm.ok,"не подобрано"),INDEX(_xlpm.r_,1)))</f>
        <v>1.5</v>
      </c>
      <c r="EN54">
        <f t="shared" si="53"/>
        <v>1.5</v>
      </c>
      <c r="EO54" cm="1">
        <f t="array" ref="EO54">IF(OR(B54="",BZ54="",EC54&lt;&gt;1),"",_xlfn.LET(_xlpm.sz,Iдоп_S,_xlpm.t_,CHOOSE(EB54,Iдоп_1ж,Iдоп_2ж,Iдоп_3ж)*DZ54*EA54,_xlpm.ok,IFERROR((_xlpm.sz&gt;=MAX(1.5,CC54))*(_xlpm.t_&gt;=N(DT54)),0),_xlpm.r_,_xlfn._xlws.FILTER(_xlpm.sz,_xlpm.ok,""),INDEX(_xlpm.r_,1)))</f>
        <v>1.5</v>
      </c>
      <c r="EP54" s="6" cm="1">
        <f t="array" ref="EP54">IFERROR(ROUNDUP(N(EJ54)*(_xlfn.XLOOKUP(EO54,INDEX(Кабель_сопротивление,0,1),INDEX(Кабель_сопротивление,0,3))*N(P54)/EO54*N(CE54)+_xlfn.XLOOKUP(EO54,INDEX(Кабель_сопротивление,0,1),INDEX(Кабель_сопротивление,0,2))*N(P54)*N(EK54)/1000)*N(O54)/((Uн_лин/SQRT(3))*1000)*100,2),"")</f>
        <v>0.12</v>
      </c>
      <c r="EQ54">
        <f>IFERROR(2*ρкз_Cu*N(P54)/EO54,"")</f>
        <v>0.73640000000000005</v>
      </c>
      <c r="ER54">
        <f>IFERROR(VLOOKUP(EN54,Кабель_сопротивление,3,FALSE),"")</f>
        <v>2.2499999999999999E-2</v>
      </c>
      <c r="ES54">
        <f>IFERROR(VLOOKUP(EN54,Кабель_сопротивление,2,FALSE),"")</f>
        <v>0.11</v>
      </c>
      <c r="ET54">
        <f t="shared" si="54"/>
        <v>21</v>
      </c>
      <c r="EU54">
        <f t="shared" si="55"/>
        <v>0</v>
      </c>
      <c r="EV54">
        <f t="shared" si="56"/>
        <v>0.27429839120415467</v>
      </c>
      <c r="EW54" s="6">
        <f>IFERROR(ROUNDUP(EV54/IF(BV54=1,BU54,(Uн_лин/SQRT(3))*1000)*100,2),"")</f>
        <v>0.12</v>
      </c>
      <c r="EX54" t="str">
        <f>IFERROR(VLOOKUP(BZ54,Кабель_обозначение,2,FALSE),"")</f>
        <v>ВВГнг(А)-LS</v>
      </c>
      <c r="EY54" t="str">
        <f t="shared" si="57"/>
        <v>ВВГнг(А)-LS (3х1,5)</v>
      </c>
      <c r="EZ54" t="str">
        <f t="shared" si="58"/>
        <v>ВВГнг(А)-LS (3х1,5)
L=21-0,12%</v>
      </c>
      <c r="FA54">
        <f>IFERROR(2*ρкз_Cu*P54/EN54,"")</f>
        <v>0.73640000000000005</v>
      </c>
      <c r="FB54">
        <f t="shared" si="59"/>
        <v>0.24500000000000002</v>
      </c>
      <c r="FC54" s="6" t="str">
        <f>IFERROR(IF(OR(B54="",BV54=1,NOT(ISNUMBER(EN54)),N(P54)=0),"",_xlfn.XLOOKUP(A54,Щиты[Щит],Щиты[Zпетли на шинах, Ом])+FA54),"")</f>
        <v/>
      </c>
      <c r="FD54" s="6" t="str">
        <f>IF(ISNUMBER(FC54),c_min*(Uн_лин*1000/SQRT(3))/FC54,"")</f>
        <v/>
      </c>
      <c r="FE54" s="6" t="str">
        <f>IFERROR(IF(OR(B54="",NOT(ISNUMBER(EN54))),"",1.05*(Uн_лин*1000/SQRT(3))/(_xlfn.XLOOKUP(A54,Щиты[Щит],Щиты[Zmax на шинах, Ом])+FB54)/1000),"")</f>
        <v/>
      </c>
      <c r="FF54" s="6" t="str">
        <f>IF(B54="","",IF(ISNUMBER(AC54),"Сил",IF(IFERROR(_xlfn.XLOOKUP(BC54,Коды_код,Коды_группа)&amp;"","")="","Быт",_xlfn.XLOOKUP(BC54,Коды_код,Коды_группа)&amp;"")))</f>
        <v>Сил</v>
      </c>
      <c r="FG54" s="6" t="str">
        <f t="shared" si="60"/>
        <v>Сил</v>
      </c>
      <c r="FH54" s="6">
        <f>IF(FG54="Щит","щит",IF(FG54="","",IF(FG54="Быт",IFERROR(_xlfn.XLOOKUP(A54,Щиты[Щит],Щиты[Кс быт]),1),IF(FG54="Сил",IF(ISNUMBER(AC54),AC54,IF(Методика="нормы 2026",IFERROR(_xlfn.XLOOKUP(A54,Щиты[Щит],Щиты[Кс силовых (табл. 7.5)]),1),1)),IF(OR(FG54="Пост",FG54="Отоп"),1,IF(FG54="ВНГ",0.7,0))))))</f>
        <v>0.5</v>
      </c>
      <c r="FI54">
        <f>IF(FG54="","",IF(AND(BP54=1,TRIM(AE54&amp;"")=""),IF(COUNTIFS(Линии[Щит],A54,Линии[Секция (1/2/3)],"&gt;=2")&gt;0,MIN(3,MAX(1,IFERROR(--BD54,1))),1),IFERROR(MIN(3,MAX(1,INT(--AE54))),1)))</f>
        <v>1</v>
      </c>
      <c r="FJ54">
        <f t="shared" si="61"/>
        <v>0.1</v>
      </c>
      <c r="FK54">
        <f t="shared" si="62"/>
        <v>0</v>
      </c>
      <c r="FL54">
        <f t="shared" si="63"/>
        <v>0.05</v>
      </c>
      <c r="FM54">
        <f t="shared" si="64"/>
        <v>0</v>
      </c>
      <c r="FN54">
        <f t="shared" si="65"/>
        <v>0</v>
      </c>
      <c r="FO54">
        <f t="shared" si="66"/>
        <v>0</v>
      </c>
      <c r="FP54">
        <f t="shared" si="67"/>
        <v>0.1</v>
      </c>
      <c r="FQ54">
        <f t="shared" si="68"/>
        <v>0.1</v>
      </c>
      <c r="FR54">
        <f t="shared" si="69"/>
        <v>8.0000000000000016E-2</v>
      </c>
      <c r="FS54">
        <f>IF(CG54=1,IF(AND(CH54=1,CW54=1),0,IF(AND(CS54&lt;&gt;"",CS54=BA54,CW54=1),SUMIFS(Линии[_Р линии, кВт],Линии[_блок УЗО],BA54,Линии[Щит],A54),N(BS54)+IF(AJ54="вручную",0,N(CK54)))),0)</f>
        <v>0.1</v>
      </c>
      <c r="FT54" t="str">
        <f t="shared" si="70"/>
        <v/>
      </c>
      <c r="FU54" t="str">
        <f>IF(B54="","",IF(CG54=0,IF(BA54=1,"",FW53),IF(AND(CH54=1,CW54=1,CS54&lt;&gt;""),IFERROR(_xlfn.XLOOKUP(CS54,Линии[_n],Линии[_фаза итог]),"L1"),IF(OR(N(DL54)&gt;=3,N(BX54)&gt;=3),"L1,L2,L3",IFERROR(_xlfn.TEXTBEFORE(_xlfn.TEXTAFTER(_xlfn.XLOOKUP(A54,Щиты[Щит],Щиты[_фазы авто]),";"&amp;BA54&amp;":"),";"),"L1")))))</f>
        <v>L1</v>
      </c>
      <c r="FV54" t="str">
        <f t="shared" si="71"/>
        <v>L1</v>
      </c>
      <c r="FW54" t="str">
        <f t="shared" si="72"/>
        <v>L1</v>
      </c>
      <c r="FX54" cm="1">
        <f t="array" ref="FX54">IFERROR(IF(CD54=2,_xlfn.IFS(BX54=3,VLOOKUP(BS54,Справочная_двигатели,3,FALSE),BX54=1,VLOOKUP(BS54,Справочная_двигатели,5,TRUE)),0),0)</f>
        <v>0</v>
      </c>
      <c r="FY54">
        <f>IFERROR(IF(CD54=3,VLOOKUP(BS54,Справочная_ЛЭД,2,TRUE),0),0)</f>
        <v>0</v>
      </c>
      <c r="FZ54" s="6">
        <f t="shared" si="73"/>
        <v>0</v>
      </c>
      <c r="GA54" t="str">
        <f>IF(B54="","",IF(TRIM(AH54&amp;"")&lt;&gt;"",IF(LOWER(TRIM(AH54&amp;""))="да","да","нет"),IF(IFERROR(_xlfn.XLOOKUP(BC54,Коды_код,Коды_пожарная),"")="да","да","нет")))</f>
        <v>нет</v>
      </c>
      <c r="GB54" t="str">
        <f t="shared" si="74"/>
        <v/>
      </c>
      <c r="GC54" t="str">
        <f t="shared" si="75"/>
        <v>основная</v>
      </c>
      <c r="GD54">
        <f>IF(AND(BP54=1,TRIM(AE54&amp;"")=""),IF(COUNTIFS(Линии[Щит],A54,Линии[Секция (1/2/3)],"&gt;=2")&gt;0,MIN(3,MAX(1,IFERROR(--BD54,1))),1),IFERROR(MIN(3,MAX(1,INT(--AE54))),1))</f>
        <v>1</v>
      </c>
      <c r="GE54" t="str" cm="1">
        <f t="array" ref="GE54">IF(B54="","",_xlfn.LET(_xlpm.t,IFERROR(_xlfn.XLOOKUP(1,(Шины[Шина]=GC54)*(((Шины[Щит]=A54)+(Шины[Щит]=""))&gt;0),Шины[Тип]),"")&amp;"",IF(_xlpm.t&lt;&gt;"",_xlpm.t,IF(ISNUMBER(SEARCH("ИБП",GC54)),"ИБП",IF(ISNUMBER(SEARCH("ДГУ",GC54)),"ДГУ","Ввод "&amp;GD54)))))</f>
        <v>Ввод 1</v>
      </c>
      <c r="GF54" t="str">
        <f t="shared" si="76"/>
        <v>Ввод 1</v>
      </c>
      <c r="GG54" t="str">
        <f>IF(BP54=0,"",IF(TRIM(AG54&amp;"")&lt;&gt;"",TRIM(AG54&amp;""),IF(OR(GE54="ИБП",GE54="ДГУ"),"I особая",_xlfn.XLOOKUP(A54,Щиты[Щит],Щиты[Категория шины «Ввод»],"III"))))</f>
        <v/>
      </c>
      <c r="GH54" t="str">
        <f>IF(A54="","",_xlfn.XLOOKUP(A54,Щиты[Щит],Щиты[Путь],""))</f>
        <v>|ГРЩ-ЖД|ЩОВ-001|</v>
      </c>
      <c r="GI54" t="str">
        <f>IF(B54="","",IF(AI54&lt;&gt;"",AI54,IF(IFERROR(_xlfn.XLOOKUP(BC54,Коды_код,Коды_вид)&amp;"","")="","Прочее",_xlfn.XLOOKUP(BC54,Коды_код,Коды_вид)&amp;"")))</f>
        <v>Вентиляция</v>
      </c>
      <c r="GJ54">
        <f>IF(BM54="","",INT((BM54-1)/Столбцов_на_лист)+1)</f>
        <v>1</v>
      </c>
      <c r="GK54" t="str">
        <f t="shared" si="77"/>
        <v>ВВГнг(А)-LS (3х1,5) L=21-0,12%</v>
      </c>
      <c r="GL54">
        <f t="shared" si="78"/>
        <v>0.1</v>
      </c>
      <c r="GM54">
        <f t="shared" si="79"/>
        <v>0.55000000000000004</v>
      </c>
      <c r="GN54">
        <f t="shared" si="80"/>
        <v>1</v>
      </c>
      <c r="GO54">
        <f t="shared" si="81"/>
        <v>0</v>
      </c>
      <c r="GP54">
        <f t="shared" si="82"/>
        <v>1</v>
      </c>
      <c r="GQ54">
        <f>IF(BM54="","",IF(AND(CG54=1,GP54=1),COUNTIFS(A$3:A54,A54,CG$3:CG54,1,GP$3:GP54,1),IF(OR(OR(BA54=1,A54&lt;&gt;A53),AJ54="вручную",GP54=0),"",IF(BA54=1,"",GR53))))</f>
        <v>1</v>
      </c>
      <c r="GR54">
        <f t="shared" si="83"/>
        <v>1</v>
      </c>
      <c r="GS54">
        <f>IF(B54="","",IFERROR(LOOKUP(INDEX(CHOOSE(EB54,Iдоп_1ж,Iдоп_2ж,Iдоп_3ж),MATCH(EN54,Iдоп_S,0))*DZ54*EA54,{6,10,16,20,25,32,40,50,63,80,100,125,160,200,250,315,400,500,630}),""))</f>
        <v>16</v>
      </c>
      <c r="GT54" t="str">
        <f t="shared" si="84"/>
        <v>QF1</v>
      </c>
      <c r="GU54" t="str">
        <f t="shared" si="85"/>
        <v>QF1</v>
      </c>
      <c r="GV54" t="str">
        <f t="shared" si="86"/>
        <v/>
      </c>
      <c r="GW54">
        <f t="shared" si="87"/>
        <v>0</v>
      </c>
      <c r="GX54" t="str">
        <f>IF(OR(B54="",DJ54=""),"",IFERROR(_xlfn.XLOOKUP(DJ54,Модули_умолч[Управление],Модули_умолч[Модель])&amp;"",""))</f>
        <v/>
      </c>
      <c r="GY54">
        <f>IF(DJ54="",1,IFERROR(MAX(0,N(_xlfn.XLOOKUP(DJ54,Модули_умолч[Управление],Модули_умолч[Каналов на линию]))),1))</f>
        <v>1</v>
      </c>
      <c r="GZ54" t="str">
        <f t="shared" si="88"/>
        <v/>
      </c>
      <c r="HA54" t="str">
        <f t="shared" si="89"/>
        <v/>
      </c>
      <c r="HB54" t="str">
        <f t="shared" si="90"/>
        <v/>
      </c>
      <c r="HC54">
        <f>IF(HB54="",0,IFERROR(N(VLOOKUP(HB54,Модули_спр,3,FALSE)),0))</f>
        <v>0</v>
      </c>
      <c r="HD54" t="str">
        <f t="shared" si="91"/>
        <v/>
      </c>
      <c r="HE54" t="str">
        <f t="shared" si="92"/>
        <v/>
      </c>
      <c r="HF54" t="str">
        <f>IF(OR(HE54="",HE54="-"),"",IFERROR(VLOOKUP(HE54,Модули_спр,2,FALSE),"R"))</f>
        <v/>
      </c>
      <c r="HG54" t="str">
        <f>IF(HF54="","",HF54&amp;"."&amp;COUNTIFS(A$3:A54,A54,HF$3:HF54,HF54))</f>
        <v/>
      </c>
      <c r="HH54" t="str">
        <f t="shared" si="93"/>
        <v/>
      </c>
      <c r="HI54" t="str">
        <f t="shared" si="94"/>
        <v/>
      </c>
      <c r="HJ54" t="str">
        <f t="shared" si="95"/>
        <v/>
      </c>
      <c r="HK54" t="str">
        <f t="shared" si="96"/>
        <v/>
      </c>
      <c r="HL54">
        <f t="shared" si="97"/>
        <v>1</v>
      </c>
      <c r="HM54" t="str">
        <f>IF(HL54=1,"XT"&amp;COUNTIFS(A$3:A54,A54,HL$3:HL54,1),"")</f>
        <v>XT1</v>
      </c>
      <c r="HN54" t="str">
        <f t="shared" si="98"/>
        <v>XT1</v>
      </c>
      <c r="HO54" t="str">
        <f t="shared" si="99"/>
        <v>QF1</v>
      </c>
      <c r="HP54" t="str">
        <f t="shared" si="100"/>
        <v/>
      </c>
      <c r="HQ54" t="str">
        <f t="shared" si="101"/>
        <v>ok</v>
      </c>
      <c r="HR54" t="str">
        <f>IF(OR(HJ54="",HH54=""),"",IF(HJ54+MAX(0,GY54-1)&gt;IFERROR(VLOOKUP(HI54,Модули_спр,3,FALSE),99),"ЛИШНИЙ КАНАЛ",IF(AND(AL54&lt;&gt;"=",GY54&gt;0,COUNTIFS(Линии[_модуль гр.],HH54,Линии[Канал (итог)],HJ54,Линии[Канал],"&lt;&gt;=",Линии[Щит],A54)&gt;1),"ДУБЛЬ КАНАЛА","")))</f>
        <v/>
      </c>
      <c r="HS54" s="6" t="str">
        <f t="shared" si="102"/>
        <v/>
      </c>
      <c r="HT54">
        <f t="shared" si="103"/>
        <v>10</v>
      </c>
      <c r="HU54" t="str">
        <f t="shared" si="104"/>
        <v/>
      </c>
      <c r="HV54">
        <f t="shared" si="105"/>
        <v>0.42650635094610967</v>
      </c>
      <c r="HW54">
        <f t="shared" si="106"/>
        <v>0</v>
      </c>
      <c r="HX54">
        <f t="shared" si="107"/>
        <v>0</v>
      </c>
      <c r="HY54">
        <f t="shared" si="108"/>
        <v>0</v>
      </c>
      <c r="HZ54">
        <f t="shared" si="109"/>
        <v>0</v>
      </c>
      <c r="IA54">
        <f t="shared" si="110"/>
        <v>0</v>
      </c>
      <c r="IB54">
        <f t="shared" si="111"/>
        <v>0</v>
      </c>
      <c r="IC54" t="str">
        <f t="shared" si="112"/>
        <v/>
      </c>
      <c r="ID54" t="str" cm="1">
        <f t="array" ref="ID54">IF(IC54="","",_xlfn.LET(_xlpm.tk,_xlfn.TEXTSPLIT(SUBSTITUTE(SUBSTITUTE(IC54,";"," "),"→"," ")," ",,TRUE),_xlpm.w_,_xlfn._xlws.FILTER(_xlpm.tk,ISNUMBER(--LEFT(_xlpm.tk,1))*((ISNUMBER(SEARCH("W",_xlpm.tk))+ISNUMBER(SEARCH("Вт",_xlpm.tk)))&gt;0),""),IFERROR(--SUBSTITUTE(SUBSTITUTE(UPPER(INDEX(_xlpm.w_,1)),"W",""),"ВТ",""),"")))</f>
        <v/>
      </c>
      <c r="IE54" t="str" cm="1">
        <f t="array" ref="IE54">IF(IC54="","",_xlfn.LET(_xlpm.tk,_xlfn.TEXTSPLIT(SUBSTITUTE(SUBSTITUTE(IC54,";"," "),"→"," ")," ",,TRUE),_xlpm.v_,_xlfn._xlws.FILTER(_xlpm.tk,ISNUMBER(--LEFT(_xlpm.tk,1))*((ISNUMBER(SEARCH("V",_xlpm.tk))+(RIGHT(UPPER(_xlpm.tk))="В"))&gt;0),""),IFERROR(--SUBSTITUTE(SUBSTITUTE(UPPER(INDEX(_xlpm.v_,1)),"V",""),"В",""),"")))</f>
        <v/>
      </c>
      <c r="IF54" s="6" t="str">
        <f>IF(OR(BV54=0,HI54="",HJ54=""),"",IFERROR(N(_xlfn.XLOOKUP(HI54,Каталог!$C$4:$C$500,Каталог!$Q$4:$Q$500)),""))</f>
        <v/>
      </c>
      <c r="IG54" s="6" t="str">
        <f>IF(N(IF54)=0,"",SUMIFS(Линии[Iр, А],Линии[Щит],A54,Линии[_модуль гр.],HH54,Линии[Канал (итог)],HJ54))</f>
        <v/>
      </c>
      <c r="IH54" t="str">
        <f>IF(AND(B54="",HO54=""),"",_xlfn.TEXTJOIN("; ",TRUE,IF(AND(B54&lt;&gt;"",FV54=""),"нет фазы",""),IF(AND(B54&lt;&gt;"",N(GL54)=0,FG54&lt;&gt;"Нет"),"нет мощности",""),IF(AND(HN54&lt;&gt;"",COUNTIFS(Линии[Щит],A54,Линии[Клемма (итог)],HN54)&gt;1),"дубль клеммы "&amp;HN54,""),IF(AND(HQ54&lt;&gt;"",HQ54&lt;&gt;"ok"),HQ54,""),IF(HR54&lt;&gt;"",HR54,""),IF(AND(N(CB54)&gt;=4,N(BX54)=1),CB54&amp;" жил на 1 фазе",""),IF(AND(BC54="R",CG54=1,IF(CS54&lt;&gt;"",N(CV54)&gt;30,OR(N(DA54)=0,N(DA54)&gt;30))),"розетка без дифзащиты до 30 мА",""),IF(AND(CG54=1,N(DA54)&gt;0,ISNUMBER(T54)),IF(T54&gt;N(DA54)/3,"ток утечки "&amp;FIXED(T54,1)&amp;" мА &gt; 1/3 уставки ("&amp;DA54&amp;" мА)",""),""),IF(AND(CH54=1,CS54=""),"«узо»: нет строки с УЗО выше (УЗО 2P 40А 30мА в «Аппаратах»)",""),IF(AND(CS54&lt;&gt;"",CS54=BA54),IF(CT54="","впишите номинал УЗО (УЗО 2P 40А 30мА)",IF(N(CT54)&lt;N(DT54),"УЗО "&amp;CT54&amp;" А &lt; автомата "&amp;DT54&amp;" А перед ним",IF(N(CT54)&lt;N(CX54),"УЗО "&amp;CT54&amp;" А &lt; тока блока "&amp;FIXED(CX54,1)&amp;" А",""))),""),IF(AND(CS54&lt;&gt;"",CS54=BA54,ISNUMBER(CY54)),IF(CY54&gt;N(CV54)/3,"ток утечки блока УЗО "&amp;FIXED(CY54,1)&amp;" мА &gt; 1/3 уставки ("&amp;CV54&amp;" мА)",""),""),IF(AND(CG54=1,N(BV54)+N(IB54)&gt;0,IC54=""),"линии до 50 В без БП: впишите в «Аппараты» (БП 24V 480W)",""),IF(AND(CG54=1,ISNUMBER(ID54),ISNUMBER(U54)),IF(U54&gt;ID54,"БП "&amp;ID54&amp;" Вт &lt; нужно "&amp;U54&amp;" Вт (×"&amp;Запас_БП&amp;")",""),""),IF(AND(CG54=1,ISNUMBER(IE54),N(BV54)=1),IF(IE54&lt;&gt;N(BU54),"БП на "&amp;IE54&amp;" В, линия "&amp;BU54&amp;" В",""),""),IF(AND(N(IF54)&gt;0,N(IG54)&gt;N(IF54)),HH54&amp;" канал "&amp;HJ54&amp;": "&amp;FIXED(IG54,1)&amp;" А &gt; "&amp;IF54&amp;" А",""),IFERROR(IF(AND(ISNUMBER(Q54),Q54&gt;EL54),"потери "&amp;FIXED(Q54,1)&amp;" % &gt; "&amp;EL54&amp;" %",""),""),IFERROR(IF(LEFT(HU54,4)="мало","Iкз мало — отключение &gt; 0,4 с",""),""),IF(AND(B54&lt;&gt;"",BM54=""),"не на схеме",""),IF(AND(CG54=0,B54&lt;&gt;"",FV54&lt;&gt;"",IF(BA54=1,"",FW53)&lt;&gt;"",FV54&lt;&gt;IF(BA54=1,"",FW53)),"фаза не как у автомата группы ("&amp;IF(BA54=1,"",FW53)&amp;")","")))</f>
        <v/>
      </c>
      <c r="II54" s="6">
        <f>IF(OR(CG54=0,DQ54=""),"",_xlfn.LET(_xlpm.t,IFERROR(_xlfn.XLOOKUP(DQ54,Каталог!$U$4:$U$500,Каталог!$G$4:$G$500),""),_xlpm.k,SEARCH("кА",_xlpm.t),IFERROR(--TRIM(RIGHT(SUBSTITUTE(MID(_xlpm.t,MAX(1,_xlpm.k-4),_xlpm.k-MAX(1,_xlpm.k-4))," ",REPT(" ",9)),5)),"")))</f>
        <v>6</v>
      </c>
      <c r="IJ54" t="str">
        <f>IF(OR(II54="",CG54=0),"",IF(_xlfn.XLOOKUP(A54,Щиты[Щит],Щиты[Iкз max на шинах, кА],"")="","",IF(II54&lt;_xlfn.XLOOKUP(A54,Щиты[Щит],Щиты[Iкз max на шинах, кА]),"Icu "&amp;II54&amp;" кА &lt; Iкз max","ok")))</f>
        <v/>
      </c>
      <c r="IK54" t="str">
        <f t="shared" si="113"/>
        <v/>
      </c>
      <c r="IL54" t="str">
        <f t="shared" si="114"/>
        <v>QF1|XT1</v>
      </c>
      <c r="IM54" t="str">
        <f t="shared" si="115"/>
        <v>QF1|XT1|кабель ВВГнг(А)-LS (3х1,5) → Вытяжная установка Пом №006T</v>
      </c>
      <c r="IN54" t="str" cm="1">
        <f t="array" ref="IN54">IF(IM54="","",_xlfn.LET(_xlpm.nd,_xlfn.TEXTSPLIT(IM54,"|"),IF(COLUMNS(_xlpm.nd)&gt;1,A54&amp;"¦"&amp;INDEX(_xlpm.nd,1)&amp;"¦"&amp;INDEX(_xlpm.nd,2),"")))</f>
        <v>ЩОВ-001¦QF1¦XT1</v>
      </c>
      <c r="IO54" t="str">
        <f t="shared" si="116"/>
        <v>В.3¦Вытяжная установка Пом №006T</v>
      </c>
      <c r="IP54" t="str" cm="1">
        <f t="array" ref="IP54">IF(IM54="","",_xlfn.LET(_xlpm.nd,_xlfn.TEXTSPLIT(IM54,"|"),IF(COLUMNS(_xlpm.nd)&gt;2,A54&amp;"¦"&amp;INDEX(_xlpm.nd,2)&amp;"¦"&amp;INDEX(_xlpm.nd,3),"")))</f>
        <v>ЩОВ-001¦XT1¦кабель ВВГнг(А)-LS (3х1,5) → Вытяжная установка Пом №006T</v>
      </c>
      <c r="IQ54" t="str">
        <f t="shared" si="117"/>
        <v>В.3¦Вытяжная установка Пом №006T</v>
      </c>
      <c r="IR54" t="str" cm="1">
        <f t="array" ref="IR54">IF(IM54="","",_xlfn.LET(_xlpm.nd,_xlfn.TEXTSPLIT(IM54,"|"),IF(COLUMNS(_xlpm.nd)&gt;3,A54&amp;"¦"&amp;INDEX(_xlpm.nd,3)&amp;"¦"&amp;INDEX(_xlpm.nd,4),"")))</f>
        <v/>
      </c>
      <c r="IS54" t="str">
        <f t="shared" si="118"/>
        <v/>
      </c>
      <c r="IT54" t="str" cm="1">
        <f t="array" ref="IT54">IF(IM54="","",_xlfn.LET(_xlpm.nd,_xlfn.TEXTSPLIT(IM54,"|"),IF(COLUMNS(_xlpm.nd)&gt;4,A54&amp;"¦"&amp;INDEX(_xlpm.nd,4)&amp;"¦"&amp;INDEX(_xlpm.nd,5),"")))</f>
        <v/>
      </c>
      <c r="IU54" t="str">
        <f t="shared" si="119"/>
        <v/>
      </c>
      <c r="IV54" t="str" cm="1">
        <f t="array" ref="IV54">IF(IM54="","",_xlfn.LET(_xlpm.nd,_xlfn.TEXTSPLIT(IM54,"|"),IF(COLUMNS(_xlpm.nd)&gt;5,A54&amp;"¦"&amp;INDEX(_xlpm.nd,5)&amp;"¦"&amp;INDEX(_xlpm.nd,6),"")))</f>
        <v/>
      </c>
      <c r="IW54" t="str">
        <f t="shared" si="120"/>
        <v/>
      </c>
      <c r="IX54" t="str" cm="1">
        <f t="array" ref="IX54">IF(IM54="","",_xlfn.LET(_xlpm.nd,_xlfn.TEXTSPLIT(IM54,"|"),IF(COLUMNS(_xlpm.nd)&gt;6,A54&amp;"¦"&amp;INDEX(_xlpm.nd,6)&amp;"¦"&amp;INDEX(_xlpm.nd,7),"")))</f>
        <v/>
      </c>
      <c r="IY54" t="str">
        <f t="shared" si="121"/>
        <v/>
      </c>
      <c r="IZ54" t="str">
        <f t="shared" si="122"/>
        <v/>
      </c>
      <c r="JA54" t="str">
        <f t="shared" si="123"/>
        <v>QF1 → XT1</v>
      </c>
      <c r="JB54">
        <f t="shared" si="124"/>
        <v>0</v>
      </c>
      <c r="JC54">
        <f t="shared" si="125"/>
        <v>0</v>
      </c>
      <c r="JD54" t="str">
        <f t="shared" si="126"/>
        <v/>
      </c>
      <c r="JE54" t="str">
        <f t="shared" si="127"/>
        <v/>
      </c>
      <c r="JF54" t="str">
        <f t="shared" si="128"/>
        <v/>
      </c>
      <c r="JG54" t="str">
        <f t="shared" si="129"/>
        <v/>
      </c>
      <c r="JH54" t="str">
        <f>IF(B54="","",IFERROR(_xlfn.XLOOKUP(B54,Коды_код,Коды_уго),IFERROR(_xlfn.XLOOKUP(BC54,Коды_код,Коды_уго),IFERROR(_xlfn.XLOOKUP(LEFT(BC54,2),Коды_код,Коды_уго),""))))</f>
        <v>Привод (двигатель)</v>
      </c>
      <c r="JI54" t="str">
        <f>IF(B54="","",IF(OR(JH54="",JH54=0),"BOX",IFERROR(IF(VLOOKUP(JH54,УГО_блоки,3,FALSE)&amp;""&lt;&gt;"",VLOOKUP(JH54,УГО_блоки,3,FALSE),VLOOKUP(JH54,УГО_блоки,2,FALSE)),JH54)))</f>
        <v>MOTOR</v>
      </c>
      <c r="JJ54">
        <f t="shared" si="130"/>
        <v>1</v>
      </c>
      <c r="JK54" t="str">
        <f>IF(DQ54="","",IF(COUNTIF(DQ$3:DQ54,DQ54)=1,MAX(JK$2:JK53)+1,""))</f>
        <v/>
      </c>
      <c r="JL54" t="str">
        <f>IF(DE54="","",IF(COUNTIF(DE$3:DE54,DE54)+COUNTIF(DF$2:DF53,DE54)+COUNTIF(DG$2:DG53,DE54)=1,MAX(JL$2:JN53)+1,""))</f>
        <v/>
      </c>
      <c r="JM54" t="str">
        <f>IF(DF54="","",IF(COUNTIF(DE$3:DE54,DF54)+COUNTIF(DF$3:DF54,DF54)+COUNTIF(DG$2:DG53,DF54)=1,MAX(JL$2:JN53,JL54)+1,""))</f>
        <v/>
      </c>
      <c r="JN54" t="str">
        <f>IF(DG54="","",IF(COUNTIF(DE$3:DE54,DG54)+COUNTIF(DF$3:DF54,DG54)+COUNTIF(DG$3:DG54,DG54)=1,MAX(JL$2:JN53,JL54,JM54)+1,""))</f>
        <v/>
      </c>
      <c r="JO54" t="str">
        <f t="shared" si="131"/>
        <v>3х1,5</v>
      </c>
      <c r="JP54" t="str">
        <f>IF(JO54="","",IF(COUNTIF(JO$3:JO54,JO54)=1,MAX(JP$2:JP53)+1,""))</f>
        <v/>
      </c>
      <c r="JQ54" t="str">
        <f>IF(HG54="","",COUNTIF(HG$3:HG54,"?*"))</f>
        <v/>
      </c>
      <c r="JR54" t="str">
        <f>IF(OR(HG54="",HI54=""),"",IF(COUNTIFS(HG$3:HG54,"?*",HI$3:HI54,HI54)=1,MAX(JR$2:JR53)+1,""))</f>
        <v/>
      </c>
      <c r="JS54">
        <f t="shared" si="132"/>
        <v>0</v>
      </c>
      <c r="JT54">
        <f>IF(B54="","",COUNTIF(B$3:B54,"?*"))</f>
        <v>52</v>
      </c>
      <c r="JU54">
        <f>IF(HL54&lt;&gt;1,0,_xlfn.LET(_xlpm.k,MAX(IFERROR(--_xlfn.XLOOKUP(B54,Коды_код,Коды_3L),0),IFERROR(--_xlfn.XLOOKUP(BC54,Коды_код,Коды_3L),0),IFERROR(--_xlfn.XLOOKUP(LEFT(BC54,2),Коды_код,Коды_3L),0)),IF(_xlpm.k&gt;0,_xlpm.k,IF(IFERROR(--LEFT(SUBSTITUTE(JO54,"x","х"),FIND("х",SUBSTITUTE(JO54,"x","х"))-1),3)&gt;3,Каталог!$S$9,1))))</f>
        <v>1</v>
      </c>
      <c r="JV54">
        <f t="shared" si="133"/>
        <v>0</v>
      </c>
      <c r="JW54" t="str">
        <f t="shared" si="134"/>
        <v>авто</v>
      </c>
      <c r="JX54" t="str">
        <f t="shared" si="135"/>
        <v/>
      </c>
      <c r="JY54">
        <f t="shared" si="136"/>
        <v>0</v>
      </c>
      <c r="JZ54">
        <f t="shared" si="137"/>
        <v>1</v>
      </c>
    </row>
    <row r="55" spans="1:286" x14ac:dyDescent="0.3">
      <c r="A55" t="s">
        <v>747</v>
      </c>
      <c r="B55" t="s">
        <v>1368</v>
      </c>
      <c r="C55" t="s">
        <v>1655</v>
      </c>
      <c r="D55">
        <v>1</v>
      </c>
      <c r="E55">
        <v>0.1</v>
      </c>
      <c r="G55">
        <v>10</v>
      </c>
      <c r="H55" t="str">
        <f>Линии[[#This Row],[_авто управление]]</f>
        <v/>
      </c>
      <c r="I55" t="str">
        <f>Линии[[#This Row],[_авто аппараты]]</f>
        <v/>
      </c>
      <c r="J55">
        <v>1.5</v>
      </c>
      <c r="K55">
        <v>13</v>
      </c>
      <c r="L55" t="str">
        <f>Линии[[#This Row],[_авто фаза]]</f>
        <v>L2</v>
      </c>
      <c r="M55" t="str">
        <f>Линии[[#This Row],[_авто клемма]]</f>
        <v>XT2</v>
      </c>
      <c r="N55" t="str">
        <f t="shared" si="0"/>
        <v/>
      </c>
      <c r="O55" s="6" cm="1">
        <f t="array" ref="O55">IF(B55="","",IF(BH55&lt;&gt;"",IFERROR(_xlfn.XLOOKUP(BH55,Щиты[Щит],Щиты[Iр, А]),""),IF(BP55=1,IF(OR(N(_xlfn.XLOOKUP(A55,Щиты[Щит],Щиты[Вводов],1))&lt;=1,LOWER(TRIM(_xlfn.XLOOKUP(A55,Щиты[Щит],Щиты[АВР],"")&amp;""))="да"),IFERROR(_xlfn.XLOOKUP(A55,Щиты[Щит],Щиты[Iр, А]),""),IFERROR(N(BS55)*_xlfn.XLOOKUP(A55,Щиты[Щит],Щиты[Кс итог])/(SQRT(3)*Uн_лин*_xlfn.XLOOKUP(A55,Щиты[Щит],Щиты[cos φ])),"")),IF(BV55=1,IFERROR(BS55*1000/BU55,""),IFERROR(_xlfn.IFS(BX55=1,BS55/((Uн_лин/SQRT(3))*CE55),BX55=3,BS55/(SQRT(3)*Uн_лин*CE55)),"")))))</f>
        <v>0.5412658773652741</v>
      </c>
      <c r="P55" s="7">
        <f>IF(B55="","",IFERROR(IF(VLOOKUP(BC55,Потребители_обозначение,4,FALSE)=1,VLOOKUP(BC55,Потребители_обозначение,3,FALSE)*(MAX(1,N(D55))*2-1)+EI55+VLOOKUP(BE55,Этаж_обозначение,3,FALSE)+VLOOKUP(BE55,Этаж_обозначение,4,FALSE),VLOOKUP(BC55,Потребители_обозначение,3,FALSE)*(MAX(1,N(D55))*2-1)+EI55),EI55))</f>
        <v>17</v>
      </c>
      <c r="Q55" s="6">
        <f t="shared" si="1"/>
        <v>0.74</v>
      </c>
      <c r="R55" t="str">
        <f t="shared" si="2"/>
        <v>ВВГнг(А)-LS (3х1,5)</v>
      </c>
      <c r="S55" t="str">
        <f>IF(BM55="","",IF(BN55="вводной узел","узел ","")&amp;"л."&amp;(INT((BM55-1)/Столбцов_на_лист)+1)&amp;" / "&amp;(MOD(BM55-1,Столбцов_на_лист)+1))</f>
        <v>л.1 / 15</v>
      </c>
      <c r="T55" s="119">
        <f t="shared" si="3"/>
        <v>0.4</v>
      </c>
      <c r="U55" s="7" t="str">
        <f>IF(OR(CG55=0,N(BV55)+N(IB55)=0),"",ROUNDUP(Запас_БП*(N(HY55)+N(HZ55)),0))</f>
        <v/>
      </c>
      <c r="V55" s="119" t="str">
        <f t="shared" si="4"/>
        <v/>
      </c>
      <c r="W55" s="7" t="str">
        <f>IFERROR(IF(OR(B55="",BP55=1,BV55=1,NOT(ISNUMBER(EN55)),N(DT55)=0),"",MAX(0,ROUNDDOWN((c_min*(Uн_лин*1000/SQRT(3))/(HT55*N(DT55))-_xlfn.XLOOKUP(A55,Щиты[Щит],Щиты[Zпетли на шинах, Ом]))*EN55/(2*ρкз_Cu),0))),"")</f>
        <v/>
      </c>
      <c r="Y55" t="str">
        <f>Линии[[#This Row],[_авто утечка]]</f>
        <v/>
      </c>
      <c r="Z55">
        <v>1</v>
      </c>
      <c r="AA55">
        <v>230</v>
      </c>
      <c r="AB55" t="s">
        <v>598</v>
      </c>
      <c r="AC55">
        <v>0.5</v>
      </c>
      <c r="AG55" t="s">
        <v>810</v>
      </c>
      <c r="AI55" t="s">
        <v>580</v>
      </c>
      <c r="AK55" t="str">
        <f>Линии[[#This Row],[_авто модуль]]</f>
        <v/>
      </c>
      <c r="AM55">
        <v>15</v>
      </c>
      <c r="AN55" t="s">
        <v>11</v>
      </c>
      <c r="AO55">
        <v>3</v>
      </c>
      <c r="AR55">
        <v>17</v>
      </c>
      <c r="AT55">
        <v>1</v>
      </c>
      <c r="BA55" cm="1">
        <f t="array" ref="BA55">ROW()-ROW(Линии[#Headers])</f>
        <v>53</v>
      </c>
      <c r="BC55" s="6" t="str">
        <f t="shared" si="5"/>
        <v>В</v>
      </c>
      <c r="BD55" t="str">
        <f t="shared" si="6"/>
        <v>9</v>
      </c>
      <c r="BE55" t="str">
        <f t="shared" si="7"/>
        <v>9</v>
      </c>
      <c r="BF55" t="str">
        <f t="shared" si="8"/>
        <v/>
      </c>
      <c r="BG55" t="str">
        <f t="shared" si="9"/>
        <v/>
      </c>
      <c r="BH55" t="str">
        <f>IF(X55&lt;&gt;"",X55,IF(AND(B55&lt;&gt;"",B55&lt;&gt;A55,ISNUMBER(_xlfn.XMATCH(B55,Щиты[Щит]))),B55,""))</f>
        <v/>
      </c>
      <c r="BI55" t="str" cm="1">
        <f t="array" ref="BI55">IF(B55="","",IF(BH55&lt;&gt;"","Щит "&amp;BH55,_xlfn.LET(_xlpm.nm,IFERROR(_xlfn.XLOOKUP(BC55,Коды_код,Коды_имя)&amp;"",""),_xlpm.md,IFERROR(N(_xlfn.XLOOKUP(BC55,Коды_код,Коды_режим)),1),_xlpm.ex,IF(Имя_режим="по экспликации",IFERROR(_xlfn.XLOOKUP(BE55&amp;"|"&amp;BG55,Экспликация[Этаж]&amp;"|"&amp;Экспликация[Помещение],Экспликация[Название])&amp;"",""),""),_xlpm.rm,IF(BG55="","",IF(_xlpm.ex&lt;&gt;"",". "&amp;_xlpm.ex&amp;IF(Имя_пом="нет"," ("&amp;BG55&amp;")"," (пом. "&amp;BG55&amp;")"),IF(Имя_пом="нет"," ",", пом. ")&amp;BG55)),IF(_xlpm.nm="","",IF(_xlpm.md=2,_xlpm.nm&amp;" шлейф "&amp;BE55,_xlpm.nm&amp;_xlpm.rm)))))</f>
        <v>Вытяжная установка шлейф 9</v>
      </c>
      <c r="BJ55" t="str">
        <f t="shared" si="10"/>
        <v>Вытяжная установка Пом №006T</v>
      </c>
      <c r="BK55">
        <f>IFERROR(_xlfn.XMATCH(A55,Щиты[Щит]),0)</f>
        <v>4</v>
      </c>
      <c r="BL55">
        <f>_xlfn.LET(_xlpm.k,IFERROR(_xlfn.XLOOKUP(A55,Щиты[Щит],Щиты[Мест под вводной узел]),""),IF(_xlpm.k="",Столбцов_на_лист,N(_xlpm.k)))</f>
        <v>13</v>
      </c>
      <c r="BM55">
        <f t="shared" si="11"/>
        <v>15</v>
      </c>
      <c r="BN55" t="str">
        <f t="shared" si="12"/>
        <v>линии</v>
      </c>
      <c r="BO55" s="6">
        <f>IFERROR(N(_xlfn.XLOOKUP(BC55,Коды_код,Коды_квт)),0)</f>
        <v>0</v>
      </c>
      <c r="BP55">
        <f t="shared" si="13"/>
        <v>0</v>
      </c>
      <c r="BQ55" t="str">
        <f>IF(B55="","",IF(BH55&lt;&gt;"",IFERROR(_xlfn.XLOOKUP(BH55,Щиты[Щит],Щиты[Руст, кВт]),0),IF(BP55=1,IF(OR(N(_xlfn.XLOOKUP(A55,Щиты[Щит],Щиты[Вводов],1))&lt;=1,LOWER(TRIM(_xlfn.XLOOKUP(A55,Щиты[Щит],Щиты[АВР],"")&amp;""))="да"),IFERROR(_xlfn.XLOOKUP(A55,Щиты[Щит],Щиты[Руст, кВт]),0),SUMIFS(Линии[_Р для вводов],Линии[Щит],A55,Линии[Источник для режимов],GF55)),IF(BO55&gt;0,ROUND(BO55*MAX(1,N(D55)),3),""))))</f>
        <v/>
      </c>
      <c r="BR55">
        <f t="shared" si="14"/>
        <v>0.1</v>
      </c>
      <c r="BS55" s="6">
        <f>IF(B55="","",IF(BH55&lt;&gt;"",IFERROR(_xlfn.XLOOKUP(BH55,Щиты[Щит],Щиты[Руст, кВт]),0),N(BR55)))</f>
        <v>0.1</v>
      </c>
      <c r="BT55" t="str">
        <f>IF(B55="","",IFERROR(IF(VLOOKUP(BC55,Потребители_обозначение,8,FALSE)=0,"",VLOOKUP(BC55,Потребители_обозначение,8,FALSE)),""))</f>
        <v/>
      </c>
      <c r="BU55">
        <f t="shared" si="15"/>
        <v>230</v>
      </c>
      <c r="BV55">
        <f t="shared" si="16"/>
        <v>0</v>
      </c>
      <c r="BW55">
        <f>IF(B55="","",IF(BH55&lt;&gt;"",3,IFERROR(IF(N(VLOOKUP(BC55,Потребители_обозначение,9,FALSE))=0,1,VLOOKUP(BC55,Потребители_обозначение,9,FALSE)),1)))</f>
        <v>1</v>
      </c>
      <c r="BX55">
        <f t="shared" si="17"/>
        <v>1</v>
      </c>
      <c r="BY55" t="str">
        <f>IF(B55="","",_xlfn.LET(_xlpm.bc,IFERROR(IF(VLOOKUP(BC55,Потребители_обозначение,6,FALSE)=0,"",VLOOKUP(BC55,Потребители_обозначение,6,FALSE)&amp;""),""),IF(AND(GA55="да",OR(_xlpm.bc="",_xlpm.bc="мс")),Марка_пож,IF(AND(_xlpm.bc="",BH55&lt;&gt;""),"мс",_xlpm.bc))))</f>
        <v/>
      </c>
      <c r="BZ55" t="str">
        <f t="shared" si="18"/>
        <v>мс</v>
      </c>
      <c r="CA55">
        <f>IF(B55="","",_xlfn.LET(_xlpm.cc,IFERROR(N(VLOOKUP(BC55,Потребители_обозначение,7,FALSE)),0),IF(_xlpm.cc&gt;0,_xlpm.cc,IF(BZ55="","",IF(BV55=1,2,IF(N(BX55)=3,5,3))))))</f>
        <v>3</v>
      </c>
      <c r="CB55">
        <f t="shared" si="19"/>
        <v>3</v>
      </c>
      <c r="CC55">
        <f>IFERROR(N(VLOOKUP(BC55,Потребители_обозначение,10,FALSE)),0)</f>
        <v>0</v>
      </c>
      <c r="CD55">
        <f>IFERROR(VLOOKUP(BC55,Потребители_обозначение,5,FALSE),0)</f>
        <v>1</v>
      </c>
      <c r="CE55" s="6" cm="1">
        <f t="array" ref="CE55">IF(B55="","",IF(BH55&lt;&gt;"",IFERROR(_xlfn.XLOOKUP(BH55,Щиты[Щит],Щиты[cos φ]),0.95),IF(BP55=1,IFERROR(_xlfn.XLOOKUP(A55,Щиты[Щит],Щиты[cos φ]),0.95),IF(ISNUMBER(AD55),AD55,IFERROR(IF(CD55=2,_xlfn.IFS(BX55=3,VLOOKUP(BS55,Справочная_двигатели,8,FALSE),BX55=1,VLOOKUP(BS55,Справочная_двигатели,10,TRUE)),IF(AND(Методика="нормы 2026",FG55="Сил"),0.8,0.95)),0.95)))))</f>
        <v>0.8</v>
      </c>
      <c r="CF55">
        <f t="shared" si="20"/>
        <v>0</v>
      </c>
      <c r="CG55">
        <f t="shared" si="21"/>
        <v>1</v>
      </c>
      <c r="CH55">
        <f t="shared" si="22"/>
        <v>0</v>
      </c>
      <c r="CI55">
        <f>IF(B55="","",IF(BV55=1,IFERROR(BS55/((Uн_лин/SQRT(3))*MAX(0.5,N(CE55))),0),N(O55)))</f>
        <v>0.5412658773652741</v>
      </c>
      <c r="CJ55">
        <f t="shared" si="23"/>
        <v>0</v>
      </c>
      <c r="CK55">
        <f t="shared" si="24"/>
        <v>0</v>
      </c>
      <c r="CL55">
        <f t="shared" si="25"/>
        <v>0</v>
      </c>
      <c r="CM55">
        <f t="shared" si="26"/>
        <v>0</v>
      </c>
      <c r="CN55">
        <f t="shared" si="27"/>
        <v>0</v>
      </c>
      <c r="CO55">
        <f>IF(BC55="",0,_xlfn.LET(_xlpm.v,IFERROR(_xlfn.XLOOKUP(B55,Коды_код,Коды_мА),IFERROR(_xlfn.XLOOKUP(BC55,Коды_код,Коды_мА),IFERROR(_xlfn.XLOOKUP(LEFT(BC55,2),Коды_код,Коды_мА),""))),IF(_xlpm.v="да",30,IF(ISNUMBER(_xlpm.v),_xlpm.v,0))))</f>
        <v>0</v>
      </c>
      <c r="CP55" t="str">
        <f t="shared" si="28"/>
        <v/>
      </c>
      <c r="CQ55" t="str">
        <f>_xlfn.LET(_xlpm.k,IFERROR(_xlfn.XLOOKUP(BC55,Коды_код,Коды_утечка)&amp;"",""),IF(_xlpm.k="","дифавтомат",_xlpm.k))</f>
        <v>дифавтомат</v>
      </c>
      <c r="CR55" t="str" cm="1">
        <f t="array" ref="CR55">IF(CG55=0,"",_xlfn.LET(_xlpm.sg,TRIM(_xlfn.TEXTSPLIT(DD55&amp;"",";")),_xlpm.f_,_xlfn._xlws.FILTER(_xlpm.sg,LEFT(_xlpm.sg,3)="УЗО",""),IFERROR(INDEX(_xlpm.f_,1)&amp;"","")))</f>
        <v/>
      </c>
      <c r="CS55" t="str">
        <f t="shared" si="29"/>
        <v/>
      </c>
      <c r="CT55" s="6" t="str" cm="1">
        <f t="array" ref="CT55">IF(CR55="","",_xlfn.LET(_xlpm.tk,_xlfn.TEXTSPLIT(UPPER(CR55)," ",,TRUE),_xlpm.a_,_xlfn._xlws.FILTER(_xlpm.tk,ISNUMBER(--LEFT(_xlpm.tk,1))*((ISNUMBER(SEARCH("А",_xlpm.tk))+ISNUMBER(SEARCH("A",_xlpm.tk)))&gt;0)*NOT(ISNUMBER(SEARCH("МА",_xlpm.tk)))*NOT(ISNUMBER(SEARCH("MA",_xlpm.tk))),""),IFERROR(--SUBSTITUTE(SUBSTITUTE(INDEX(_xlpm.a_,1),"А",""),"A",""),"")))</f>
        <v/>
      </c>
      <c r="CU55" t="str" cm="1">
        <f t="array" ref="CU55">IF(CR55="","",_xlfn.LET(_xlpm.tk,_xlfn.TEXTSPLIT(UPPER(CR55)," ",,TRUE),_xlpm.a_,_xlfn._xlws.FILTER(_xlpm.tk,ISNUMBER(--LEFT(_xlpm.tk,1))*((ISNUMBER(SEARCH("МА",_xlpm.tk))+ISNUMBER(SEARCH("MA",_xlpm.tk)))&gt;0),""),IFERROR(--SUBSTITUTE(SUBSTITUTE(INDEX(_xlpm.a_,1),"МА",""),"MA",""),30)))</f>
        <v/>
      </c>
      <c r="CV55" t="str">
        <f>IF(CS55="","",IFERROR(_xlfn.XLOOKUP(CS55,Линии[_n],Линии[_УЗО, мА]),30))</f>
        <v/>
      </c>
      <c r="CW55">
        <f>IF(CS55="",0,IF(ISNUMBER(SEARCH("4P",IFERROR(_xlfn.XLOOKUP(CS55,Линии[_n],Линии[_УЗО строки])&amp;"",""))),0,1))</f>
        <v>0</v>
      </c>
      <c r="CX55" t="str">
        <f>IF(AND(CS55&lt;&gt;"",CS55=BA55),SUMIFS(Линии[_ток на 230 В],Линии[_блок УЗО],BA55,Линии[Щит],A55),"")</f>
        <v/>
      </c>
      <c r="CY55" t="str">
        <f>IF(AND(CS55&lt;&gt;"",CS55=BA55),SUMIFS(Линии[_ток утечки линии, мА],Линии[_блок УЗО],BA55,Линии[Щит],A55),"")</f>
        <v/>
      </c>
      <c r="CZ55">
        <f t="shared" si="30"/>
        <v>0</v>
      </c>
      <c r="DA55">
        <f t="shared" si="31"/>
        <v>0</v>
      </c>
      <c r="DB55">
        <f>IF(B55="",0,IFERROR(--_xlfn.XLOOKUP(B55,Коды_код,Коды_минавт),IFERROR(--_xlfn.XLOOKUP(BC55,Коды_код,Коды_минавт),IFERROR(--_xlfn.XLOOKUP(LEFT(BC55,2),Коды_код,Коды_минавт),0))))</f>
        <v>0</v>
      </c>
      <c r="DC55" t="str">
        <f>IF(B55="","",IFERROR(_xlfn.XLOOKUP(BC55,Коды_код,Коды_апп)&amp;"",""))</f>
        <v/>
      </c>
      <c r="DD55" t="str">
        <f t="shared" si="32"/>
        <v/>
      </c>
      <c r="DE55" t="str" cm="1">
        <f t="array" ref="DE55">IF(TRIM(DD55&amp;"")="","",IFERROR(TRIM(INDEX(_xlfn.TEXTSPLIT(DD55&amp;";;;",";"),1)),""))</f>
        <v/>
      </c>
      <c r="DF55" t="str" cm="1">
        <f t="array" ref="DF55">IF(TRIM(DD55&amp;"")="","",IFERROR(TRIM(INDEX(_xlfn.TEXTSPLIT(DD55&amp;";;;",";"),2)),""))</f>
        <v/>
      </c>
      <c r="DG55" t="str" cm="1">
        <f t="array" ref="DG55">IF(TRIM(DD55&amp;"")="","",IFERROR(TRIM(INDEX(_xlfn.TEXTSPLIT(DD55&amp;";;;",";"),3)),""))</f>
        <v/>
      </c>
      <c r="DH55">
        <f t="shared" si="33"/>
        <v>0</v>
      </c>
      <c r="DI55" t="str">
        <f>IF(B55="","",_xlfn.LET(_xlpm.t,LOWER(AZ55&amp;""),IF(ISNUMBER(SEARCH("dim",_xlpm.t)),"DIM",IF(ISNUMBER(SEARCH("dali",_xlpm.t)),"DALI",IF(OR(ISNUMBER(SEARCH("relay",_xlpm.t)),ISNUMBER(SEARCH("реле",_xlpm.t))),"Relay",IF(ISNUMBER(SEARCH("кнопк",_xlpm.t)),"",IFERROR(_xlfn.XLOOKUP(BC55,Коды_код,Коды_упр)&amp;"","")))))))</f>
        <v/>
      </c>
      <c r="DJ55" t="str">
        <f t="shared" si="34"/>
        <v/>
      </c>
      <c r="DK55">
        <f>IF(B55="","",_xlfn.LET(_xlpm.ig,IF(N(CX55)&gt;0,N(CX55),N(CI55)+IF(AJ55="вручную",0,N(CJ55))),_xlpm.n0,IFERROR(VLOOKUP(_xlpm.ig,Автомат_номиналы,2,TRUE),0),_xlpm.mn,MAX(DB55,IF(AJ55="вручную",0,N(CM55))),MAX(_xlpm.n0,_xlpm.mn,IF(DH55=1,Мин_автомат_БП,0))))</f>
        <v>6</v>
      </c>
      <c r="DL55">
        <f t="shared" si="35"/>
        <v>1</v>
      </c>
      <c r="DM55" t="str">
        <f t="shared" si="36"/>
        <v>1P</v>
      </c>
      <c r="DN55" t="str">
        <f>_xlfn.LET(_xlpm.cc,UPPER(TRIM(IFERROR(_xlfn.XLOOKUP(BC55,Коды_код,Коды_хар)&amp;"",""))),IF(OR(_xlpm.cc="B",_xlpm.cc="В"),"B",IF(_xlpm.cc="D","D","С")))</f>
        <v>С</v>
      </c>
      <c r="DO55" t="str">
        <f t="shared" si="37"/>
        <v>1P С6А</v>
      </c>
      <c r="DP55">
        <f t="shared" si="38"/>
        <v>10</v>
      </c>
      <c r="DQ55" t="str">
        <f t="shared" si="39"/>
        <v>1P С10А</v>
      </c>
      <c r="DR55" cm="1">
        <f t="array" ref="DR55">IF(DQ55="","",_xlfn.LET(_xlpm.t,SUBSTITUTE(SUBSTITUTE(SUBSTITUTE(UPPER(DQ55),"С","C"),"А","A"),"В","B"),_xlpm.tk,_xlfn.TEXTSPLIT(_xlpm.t," "),_xlpm.f,_xlfn._xlws.FILTER(_xlpm.tk,ISNUMBER(--MID(_xlpm.tk,2,1))*ISNUMBER(SEARCH(LEFT(_xlpm.tk,1)&amp;"#","B#C#D#"))*(LEN(_xlpm.tk)&gt;1),""),_xlpm.x,INDEX(_xlpm.f,1),IFERROR(--SUBSTITUTE(MID(_xlpm.x,2,9),"A",""),IFERROR(--SUBSTITUTE(INDEX(_xlfn._xlws.FILTER(_xlpm.tk,ISNUMBER(--SUBSTITUTE(_xlpm.tk,"A","")),""),1),"A",""),""))))</f>
        <v>10</v>
      </c>
      <c r="DS55" t="str">
        <f t="shared" si="40"/>
        <v>ok</v>
      </c>
      <c r="DT55">
        <f t="shared" si="41"/>
        <v>10</v>
      </c>
      <c r="DU55" t="str">
        <f t="shared" si="42"/>
        <v>1P С10А</v>
      </c>
      <c r="DV55">
        <f t="shared" si="43"/>
        <v>0</v>
      </c>
      <c r="DW55">
        <f t="shared" si="44"/>
        <v>0</v>
      </c>
      <c r="DX55">
        <f t="shared" si="45"/>
        <v>0</v>
      </c>
      <c r="DY55">
        <f t="shared" si="46"/>
        <v>0.5412658773652741</v>
      </c>
      <c r="DZ55">
        <f t="shared" si="47"/>
        <v>1</v>
      </c>
      <c r="EA55">
        <f>IF(ISNUMBER(AP55),AP55,К_прокл)</f>
        <v>1</v>
      </c>
      <c r="EB55">
        <f t="shared" si="48"/>
        <v>2</v>
      </c>
      <c r="EC55">
        <f>IFERROR(N(VLOOKUP(BZ55,Кабель_обозначение,3,FALSE)),1)</f>
        <v>1</v>
      </c>
      <c r="ED55">
        <f>IFERROR(N(_xlfn.XLOOKUP(A55,Щиты[Щит],Щиты[ΔU до шин, %])),0)</f>
        <v>0.64</v>
      </c>
      <c r="EE55" t="str">
        <f>IFERROR(_xlfn.XLOOKUP(A55,Щиты[Щит],Щиты[Zпетли на шинах, Ом]),"")</f>
        <v/>
      </c>
      <c r="EF55">
        <f>IFERROR(N(_xlfn.XLOOKUP(A55,Щиты[Щит],Щиты[ΔU до шин (подбор), %])),0)</f>
        <v>0.75</v>
      </c>
      <c r="EG55" t="str">
        <f>IFERROR(_xlfn.XLOOKUP(A55,Щиты[Щит],Щиты[Zпетли на шинах (подбор), Ом]),"")</f>
        <v/>
      </c>
      <c r="EH55" t="str">
        <f t="shared" si="49"/>
        <v/>
      </c>
      <c r="EI55">
        <f t="shared" si="50"/>
        <v>13</v>
      </c>
      <c r="EJ55">
        <f t="shared" si="51"/>
        <v>2</v>
      </c>
      <c r="EK55">
        <f t="shared" si="52"/>
        <v>0.6</v>
      </c>
      <c r="EL55" s="6">
        <f>IF(B55="","",IF(BV55=1,dU_LED,IF(IFERROR(_xlfn.XLOOKUP(BC55,Коды_код,Коды_уго),"")="Светильник",3,4)+IF(Методика="нормы 2026",MIN(0.5,MAX(0,N(P55)-100)*0.005),0)))</f>
        <v>4</v>
      </c>
      <c r="EM55" cm="1">
        <f t="array" ref="EM55">IF(OR(B55="",BZ55="",EC55&lt;&gt;1),"",_xlfn.LET(_xlpm.sz,Iдоп_S,_xlpm.t_,CHOOSE(EB55,Iдоп_1ж,Iдоп_2ж,Iдоп_3ж)*DZ55*EA55,_xlpm.dcx,BV55=1,_xlpm.inn,IF(_xlpm.dcx,N(O55),N(DT55)),_xlpm.smin,MAX(1.5,CC55),_xlpm.L_,N(P55)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55)/N(BU55)*100,999),IFERROR(N(EJ55)*(_xlpm.rho*_xlpm.L_/_xlpm.sz*N(CE55)+_xlpm.xx*_xlpm.L_*N(EK55)/1000)*N(O55)/((Uн_лин/SQRT(3))*1000)*100,999)),_xlpm.kz,IF(OR(_xlpm.dcx,DW55=1,NOT(ISNUMBER(EG55)),_xlpm.L_=0,_xlpm.inn=0),1,IFERROR(--(c_min*(Uн_лин*1000/SQRT(3))/(EG55+2*ρкз_Cu*_xlpm.L_/_xlpm.sz)&gt;=HT55*_xlpm.inn),0)),_xlpm.ok,IFERROR((_xlpm.sz&gt;=_xlpm.smin)*(_xlpm.t_&gt;=_xlpm.inn)*IF(_xlpm.L_&gt;0,(_xlpm.du_+IF(_xlpm.dcx,0,EF55)&lt;=EL55+0.00001),1)*_xlpm.kz,0),_xlpm.r_,_xlfn._xlws.FILTER(_xlpm.sz,_xlpm.ok,"не подобрано"),INDEX(_xlpm.r_,1)))</f>
        <v>1.5</v>
      </c>
      <c r="EN55">
        <f t="shared" si="53"/>
        <v>1.5</v>
      </c>
      <c r="EO55" cm="1">
        <f t="array" ref="EO55">IF(OR(B55="",BZ55="",EC55&lt;&gt;1),"",_xlfn.LET(_xlpm.sz,Iдоп_S,_xlpm.t_,CHOOSE(EB55,Iдоп_1ж,Iдоп_2ж,Iдоп_3ж)*DZ55*EA55,_xlpm.ok,IFERROR((_xlpm.sz&gt;=MAX(1.5,CC55))*(_xlpm.t_&gt;=N(DT55)),0),_xlpm.r_,_xlfn._xlws.FILTER(_xlpm.sz,_xlpm.ok,""),INDEX(_xlpm.r_,1)))</f>
        <v>1.5</v>
      </c>
      <c r="EP55" s="6" cm="1">
        <f t="array" ref="EP55">IFERROR(ROUNDUP(N(EJ55)*(_xlfn.XLOOKUP(EO55,INDEX(Кабель_сопротивление,0,1),INDEX(Кабель_сопротивление,0,3))*N(P55)/EO55*N(CE55)+_xlfn.XLOOKUP(EO55,INDEX(Кабель_сопротивление,0,1),INDEX(Кабель_сопротивление,0,2))*N(P55)*N(EK55)/1000)*N(O55)/((Uн_лин/SQRT(3))*1000)*100,2),"")</f>
        <v>9.9999999999999992E-2</v>
      </c>
      <c r="EQ55">
        <f>IFERROR(2*ρкз_Cu*N(P55)/EO55,"")</f>
        <v>0.59613333333333329</v>
      </c>
      <c r="ER55">
        <f>IFERROR(VLOOKUP(EN55,Кабель_сопротивление,3,FALSE),"")</f>
        <v>2.2499999999999999E-2</v>
      </c>
      <c r="ES55">
        <f>IFERROR(VLOOKUP(EN55,Кабель_сопротивление,2,FALSE),"")</f>
        <v>0.11</v>
      </c>
      <c r="ET55">
        <f t="shared" si="54"/>
        <v>17</v>
      </c>
      <c r="EU55">
        <f t="shared" si="55"/>
        <v>0</v>
      </c>
      <c r="EV55">
        <f t="shared" si="56"/>
        <v>0.22205107859383955</v>
      </c>
      <c r="EW55" s="6">
        <f>IFERROR(ROUNDUP(EV55/IF(BV55=1,BU55,(Uн_лин/SQRT(3))*1000)*100,2),"")</f>
        <v>9.9999999999999992E-2</v>
      </c>
      <c r="EX55" t="str">
        <f>IFERROR(VLOOKUP(BZ55,Кабель_обозначение,2,FALSE),"")</f>
        <v>ВВГнг(А)-LS</v>
      </c>
      <c r="EY55" t="str">
        <f t="shared" si="57"/>
        <v>ВВГнг(А)-LS (3х1,5)</v>
      </c>
      <c r="EZ55" t="str">
        <f t="shared" si="58"/>
        <v>ВВГнг(А)-LS (3х1,5)
L=17-0,1%</v>
      </c>
      <c r="FA55">
        <f>IFERROR(2*ρкз_Cu*P55/EN55,"")</f>
        <v>0.59613333333333329</v>
      </c>
      <c r="FB55">
        <f t="shared" si="59"/>
        <v>0.19833333333333336</v>
      </c>
      <c r="FC55" s="6" t="str">
        <f>IFERROR(IF(OR(B55="",BV55=1,NOT(ISNUMBER(EN55)),N(P55)=0),"",_xlfn.XLOOKUP(A55,Щиты[Щит],Щиты[Zпетли на шинах, Ом])+FA55),"")</f>
        <v/>
      </c>
      <c r="FD55" s="6" t="str">
        <f>IF(ISNUMBER(FC55),c_min*(Uн_лин*1000/SQRT(3))/FC55,"")</f>
        <v/>
      </c>
      <c r="FE55" s="6" t="str">
        <f>IFERROR(IF(OR(B55="",NOT(ISNUMBER(EN55))),"",1.05*(Uн_лин*1000/SQRT(3))/(_xlfn.XLOOKUP(A55,Щиты[Щит],Щиты[Zmax на шинах, Ом])+FB55)/1000),"")</f>
        <v/>
      </c>
      <c r="FF55" s="6" t="str">
        <f>IF(B55="","",IF(ISNUMBER(AC55),"Сил",IF(IFERROR(_xlfn.XLOOKUP(BC55,Коды_код,Коды_группа)&amp;"","")="","Быт",_xlfn.XLOOKUP(BC55,Коды_код,Коды_группа)&amp;"")))</f>
        <v>Сил</v>
      </c>
      <c r="FG55" s="6" t="str">
        <f t="shared" si="60"/>
        <v>Сил</v>
      </c>
      <c r="FH55" s="6">
        <f>IF(FG55="Щит","щит",IF(FG55="","",IF(FG55="Быт",IFERROR(_xlfn.XLOOKUP(A55,Щиты[Щит],Щиты[Кс быт]),1),IF(FG55="Сил",IF(ISNUMBER(AC55),AC55,IF(Методика="нормы 2026",IFERROR(_xlfn.XLOOKUP(A55,Щиты[Щит],Щиты[Кс силовых (табл. 7.5)]),1),1)),IF(OR(FG55="Пост",FG55="Отоп"),1,IF(FG55="ВНГ",0.7,0))))))</f>
        <v>0.5</v>
      </c>
      <c r="FI55">
        <f>IF(FG55="","",IF(AND(BP55=1,TRIM(AE55&amp;"")=""),IF(COUNTIFS(Линии[Щит],A55,Линии[Секция (1/2/3)],"&gt;=2")&gt;0,MIN(3,MAX(1,IFERROR(--BD55,1))),1),IFERROR(MIN(3,MAX(1,INT(--AE55))),1)))</f>
        <v>1</v>
      </c>
      <c r="FJ55">
        <f t="shared" si="61"/>
        <v>0.1</v>
      </c>
      <c r="FK55">
        <f t="shared" si="62"/>
        <v>0</v>
      </c>
      <c r="FL55">
        <f t="shared" si="63"/>
        <v>0.05</v>
      </c>
      <c r="FM55">
        <f t="shared" si="64"/>
        <v>0</v>
      </c>
      <c r="FN55">
        <f t="shared" si="65"/>
        <v>0</v>
      </c>
      <c r="FO55">
        <f t="shared" si="66"/>
        <v>0</v>
      </c>
      <c r="FP55">
        <f t="shared" si="67"/>
        <v>0.1</v>
      </c>
      <c r="FQ55">
        <f t="shared" si="68"/>
        <v>0.1</v>
      </c>
      <c r="FR55">
        <f t="shared" si="69"/>
        <v>8.0000000000000016E-2</v>
      </c>
      <c r="FS55">
        <f>IF(CG55=1,IF(AND(CH55=1,CW55=1),0,IF(AND(CS55&lt;&gt;"",CS55=BA55,CW55=1),SUMIFS(Линии[_Р линии, кВт],Линии[_блок УЗО],BA55,Линии[Щит],A55),N(BS55)+IF(AJ55="вручную",0,N(CK55)))),0)</f>
        <v>0.1</v>
      </c>
      <c r="FT55" t="str">
        <f t="shared" si="70"/>
        <v/>
      </c>
      <c r="FU55" t="str">
        <f>IF(B55="","",IF(CG55=0,IF(BA55=1,"",FW54),IF(AND(CH55=1,CW55=1,CS55&lt;&gt;""),IFERROR(_xlfn.XLOOKUP(CS55,Линии[_n],Линии[_фаза итог]),"L1"),IF(OR(N(DL55)&gt;=3,N(BX55)&gt;=3),"L1,L2,L3",IFERROR(_xlfn.TEXTBEFORE(_xlfn.TEXTAFTER(_xlfn.XLOOKUP(A55,Щиты[Щит],Щиты[_фазы авто]),";"&amp;BA55&amp;":"),";"),"L1")))))</f>
        <v>L2</v>
      </c>
      <c r="FV55" t="str">
        <f t="shared" si="71"/>
        <v>L2</v>
      </c>
      <c r="FW55" t="str">
        <f t="shared" si="72"/>
        <v>L2</v>
      </c>
      <c r="FX55" cm="1">
        <f t="array" ref="FX55">IFERROR(IF(CD55=2,_xlfn.IFS(BX55=3,VLOOKUP(BS55,Справочная_двигатели,3,FALSE),BX55=1,VLOOKUP(BS55,Справочная_двигатели,5,TRUE)),0),0)</f>
        <v>0</v>
      </c>
      <c r="FY55">
        <f>IFERROR(IF(CD55=3,VLOOKUP(BS55,Справочная_ЛЭД,2,TRUE),0),0)</f>
        <v>0</v>
      </c>
      <c r="FZ55" s="6">
        <f t="shared" si="73"/>
        <v>0</v>
      </c>
      <c r="GA55" t="str">
        <f>IF(B55="","",IF(TRIM(AH55&amp;"")&lt;&gt;"",IF(LOWER(TRIM(AH55&amp;""))="да","да","нет"),IF(IFERROR(_xlfn.XLOOKUP(BC55,Коды_код,Коды_пожарная),"")="да","да","нет")))</f>
        <v>нет</v>
      </c>
      <c r="GB55" t="str">
        <f t="shared" si="74"/>
        <v/>
      </c>
      <c r="GC55" t="str">
        <f t="shared" si="75"/>
        <v>основная</v>
      </c>
      <c r="GD55">
        <f>IF(AND(BP55=1,TRIM(AE55&amp;"")=""),IF(COUNTIFS(Линии[Щит],A55,Линии[Секция (1/2/3)],"&gt;=2")&gt;0,MIN(3,MAX(1,IFERROR(--BD55,1))),1),IFERROR(MIN(3,MAX(1,INT(--AE55))),1))</f>
        <v>1</v>
      </c>
      <c r="GE55" t="str" cm="1">
        <f t="array" ref="GE55">IF(B55="","",_xlfn.LET(_xlpm.t,IFERROR(_xlfn.XLOOKUP(1,(Шины[Шина]=GC55)*(((Шины[Щит]=A55)+(Шины[Щит]=""))&gt;0),Шины[Тип]),"")&amp;"",IF(_xlpm.t&lt;&gt;"",_xlpm.t,IF(ISNUMBER(SEARCH("ИБП",GC55)),"ИБП",IF(ISNUMBER(SEARCH("ДГУ",GC55)),"ДГУ","Ввод "&amp;GD55)))))</f>
        <v>Ввод 1</v>
      </c>
      <c r="GF55" t="str">
        <f t="shared" si="76"/>
        <v>Ввод 1</v>
      </c>
      <c r="GG55" t="str">
        <f>IF(BP55=0,"",IF(TRIM(AG55&amp;"")&lt;&gt;"",TRIM(AG55&amp;""),IF(OR(GE55="ИБП",GE55="ДГУ"),"I особая",_xlfn.XLOOKUP(A55,Щиты[Щит],Щиты[Категория шины «Ввод»],"III"))))</f>
        <v/>
      </c>
      <c r="GH55" t="str">
        <f>IF(A55="","",_xlfn.XLOOKUP(A55,Щиты[Щит],Щиты[Путь],""))</f>
        <v>|ГРЩ-ЖД|ЩОВ-001|</v>
      </c>
      <c r="GI55" t="str">
        <f>IF(B55="","",IF(AI55&lt;&gt;"",AI55,IF(IFERROR(_xlfn.XLOOKUP(BC55,Коды_код,Коды_вид)&amp;"","")="","Прочее",_xlfn.XLOOKUP(BC55,Коды_код,Коды_вид)&amp;"")))</f>
        <v>Вентиляция</v>
      </c>
      <c r="GJ55">
        <f>IF(BM55="","",INT((BM55-1)/Столбцов_на_лист)+1)</f>
        <v>1</v>
      </c>
      <c r="GK55" t="str">
        <f t="shared" si="77"/>
        <v>ВВГнг(А)-LS (3х1,5) L=17-0,1%</v>
      </c>
      <c r="GL55">
        <f t="shared" si="78"/>
        <v>0.1</v>
      </c>
      <c r="GM55">
        <f t="shared" si="79"/>
        <v>0.55000000000000004</v>
      </c>
      <c r="GN55">
        <f t="shared" si="80"/>
        <v>1</v>
      </c>
      <c r="GO55">
        <f t="shared" si="81"/>
        <v>0</v>
      </c>
      <c r="GP55">
        <f t="shared" si="82"/>
        <v>1</v>
      </c>
      <c r="GQ55">
        <f>IF(BM55="","",IF(AND(CG55=1,GP55=1),COUNTIFS(A$3:A55,A55,CG$3:CG55,1,GP$3:GP55,1),IF(OR(OR(BA55=1,A55&lt;&gt;A54),AJ55="вручную",GP55=0),"",IF(BA55=1,"",GR54))))</f>
        <v>2</v>
      </c>
      <c r="GR55">
        <f t="shared" si="83"/>
        <v>2</v>
      </c>
      <c r="GS55">
        <f>IF(B55="","",IFERROR(LOOKUP(INDEX(CHOOSE(EB55,Iдоп_1ж,Iдоп_2ж,Iдоп_3ж),MATCH(EN55,Iдоп_S,0))*DZ55*EA55,{6,10,16,20,25,32,40,50,63,80,100,125,160,200,250,315,400,500,630}),""))</f>
        <v>16</v>
      </c>
      <c r="GT55" t="str">
        <f t="shared" si="84"/>
        <v>QF2</v>
      </c>
      <c r="GU55" t="str">
        <f t="shared" si="85"/>
        <v>QF2</v>
      </c>
      <c r="GV55" t="str">
        <f t="shared" si="86"/>
        <v/>
      </c>
      <c r="GW55">
        <f t="shared" si="87"/>
        <v>0</v>
      </c>
      <c r="GX55" t="str">
        <f>IF(OR(B55="",DJ55=""),"",IFERROR(_xlfn.XLOOKUP(DJ55,Модули_умолч[Управление],Модули_умолч[Модель])&amp;"",""))</f>
        <v/>
      </c>
      <c r="GY55">
        <f>IF(DJ55="",1,IFERROR(MAX(0,N(_xlfn.XLOOKUP(DJ55,Модули_умолч[Управление],Модули_умолч[Каналов на линию]))),1))</f>
        <v>1</v>
      </c>
      <c r="GZ55" t="str">
        <f t="shared" si="88"/>
        <v/>
      </c>
      <c r="HA55" t="str">
        <f t="shared" si="89"/>
        <v/>
      </c>
      <c r="HB55" t="str">
        <f t="shared" si="90"/>
        <v/>
      </c>
      <c r="HC55">
        <f>IF(HB55="",0,IFERROR(N(VLOOKUP(HB55,Модули_спр,3,FALSE)),0))</f>
        <v>0</v>
      </c>
      <c r="HD55" t="str">
        <f t="shared" si="91"/>
        <v/>
      </c>
      <c r="HE55" t="str">
        <f t="shared" si="92"/>
        <v/>
      </c>
      <c r="HF55" t="str">
        <f>IF(OR(HE55="",HE55="-"),"",IFERROR(VLOOKUP(HE55,Модули_спр,2,FALSE),"R"))</f>
        <v/>
      </c>
      <c r="HG55" t="str">
        <f>IF(HF55="","",HF55&amp;"."&amp;COUNTIFS(A$3:A55,A55,HF$3:HF55,HF55))</f>
        <v/>
      </c>
      <c r="HH55" t="str">
        <f t="shared" si="93"/>
        <v/>
      </c>
      <c r="HI55" t="str">
        <f t="shared" si="94"/>
        <v/>
      </c>
      <c r="HJ55" t="str">
        <f t="shared" si="95"/>
        <v/>
      </c>
      <c r="HK55" t="str">
        <f t="shared" si="96"/>
        <v/>
      </c>
      <c r="HL55">
        <f t="shared" si="97"/>
        <v>1</v>
      </c>
      <c r="HM55" t="str">
        <f>IF(HL55=1,"XT"&amp;COUNTIFS(A$3:A55,A55,HL$3:HL55,1),"")</f>
        <v>XT2</v>
      </c>
      <c r="HN55" t="str">
        <f t="shared" si="98"/>
        <v>XT2</v>
      </c>
      <c r="HO55" t="str">
        <f t="shared" si="99"/>
        <v>QF2</v>
      </c>
      <c r="HP55" t="str">
        <f t="shared" si="100"/>
        <v/>
      </c>
      <c r="HQ55" t="str">
        <f t="shared" si="101"/>
        <v>ok</v>
      </c>
      <c r="HR55" t="str">
        <f>IF(OR(HJ55="",HH55=""),"",IF(HJ55+MAX(0,GY55-1)&gt;IFERROR(VLOOKUP(HI55,Модули_спр,3,FALSE),99),"ЛИШНИЙ КАНАЛ",IF(AND(AL55&lt;&gt;"=",GY55&gt;0,COUNTIFS(Линии[_модуль гр.],HH55,Линии[Канал (итог)],HJ55,Линии[Канал],"&lt;&gt;=",Линии[Щит],A55)&gt;1),"ДУБЛЬ КАНАЛА","")))</f>
        <v/>
      </c>
      <c r="HS55" s="6" t="str">
        <f t="shared" si="102"/>
        <v/>
      </c>
      <c r="HT55">
        <f t="shared" si="103"/>
        <v>10</v>
      </c>
      <c r="HU55" t="str">
        <f t="shared" si="104"/>
        <v/>
      </c>
      <c r="HV55">
        <f t="shared" si="105"/>
        <v>0.38650635094610963</v>
      </c>
      <c r="HW55">
        <f t="shared" si="106"/>
        <v>0</v>
      </c>
      <c r="HX55">
        <f t="shared" si="107"/>
        <v>0</v>
      </c>
      <c r="HY55">
        <f t="shared" si="108"/>
        <v>0</v>
      </c>
      <c r="HZ55">
        <f t="shared" si="109"/>
        <v>0</v>
      </c>
      <c r="IA55">
        <f t="shared" si="110"/>
        <v>0</v>
      </c>
      <c r="IB55">
        <f t="shared" si="111"/>
        <v>0</v>
      </c>
      <c r="IC55" t="str">
        <f t="shared" si="112"/>
        <v/>
      </c>
      <c r="ID55" t="str" cm="1">
        <f t="array" ref="ID55">IF(IC55="","",_xlfn.LET(_xlpm.tk,_xlfn.TEXTSPLIT(SUBSTITUTE(SUBSTITUTE(IC55,";"," "),"→"," ")," ",,TRUE),_xlpm.w_,_xlfn._xlws.FILTER(_xlpm.tk,ISNUMBER(--LEFT(_xlpm.tk,1))*((ISNUMBER(SEARCH("W",_xlpm.tk))+ISNUMBER(SEARCH("Вт",_xlpm.tk)))&gt;0),""),IFERROR(--SUBSTITUTE(SUBSTITUTE(UPPER(INDEX(_xlpm.w_,1)),"W",""),"ВТ",""),"")))</f>
        <v/>
      </c>
      <c r="IE55" t="str" cm="1">
        <f t="array" ref="IE55">IF(IC55="","",_xlfn.LET(_xlpm.tk,_xlfn.TEXTSPLIT(SUBSTITUTE(SUBSTITUTE(IC55,";"," "),"→"," ")," ",,TRUE),_xlpm.v_,_xlfn._xlws.FILTER(_xlpm.tk,ISNUMBER(--LEFT(_xlpm.tk,1))*((ISNUMBER(SEARCH("V",_xlpm.tk))+(RIGHT(UPPER(_xlpm.tk))="В"))&gt;0),""),IFERROR(--SUBSTITUTE(SUBSTITUTE(UPPER(INDEX(_xlpm.v_,1)),"V",""),"В",""),"")))</f>
        <v/>
      </c>
      <c r="IF55" s="6" t="str">
        <f>IF(OR(BV55=0,HI55="",HJ55=""),"",IFERROR(N(_xlfn.XLOOKUP(HI55,Каталог!$C$4:$C$500,Каталог!$Q$4:$Q$500)),""))</f>
        <v/>
      </c>
      <c r="IG55" s="6" t="str">
        <f>IF(N(IF55)=0,"",SUMIFS(Линии[Iр, А],Линии[Щит],A55,Линии[_модуль гр.],HH55,Линии[Канал (итог)],HJ55))</f>
        <v/>
      </c>
      <c r="IH55" t="str">
        <f>IF(AND(B55="",HO55=""),"",_xlfn.TEXTJOIN("; ",TRUE,IF(AND(B55&lt;&gt;"",FV55=""),"нет фазы",""),IF(AND(B55&lt;&gt;"",N(GL55)=0,FG55&lt;&gt;"Нет"),"нет мощности",""),IF(AND(HN55&lt;&gt;"",COUNTIFS(Линии[Щит],A55,Линии[Клемма (итог)],HN55)&gt;1),"дубль клеммы "&amp;HN55,""),IF(AND(HQ55&lt;&gt;"",HQ55&lt;&gt;"ok"),HQ55,""),IF(HR55&lt;&gt;"",HR55,""),IF(AND(N(CB55)&gt;=4,N(BX55)=1),CB55&amp;" жил на 1 фазе",""),IF(AND(BC55="R",CG55=1,IF(CS55&lt;&gt;"",N(CV55)&gt;30,OR(N(DA55)=0,N(DA55)&gt;30))),"розетка без дифзащиты до 30 мА",""),IF(AND(CG55=1,N(DA55)&gt;0,ISNUMBER(T55)),IF(T55&gt;N(DA55)/3,"ток утечки "&amp;FIXED(T55,1)&amp;" мА &gt; 1/3 уставки ("&amp;DA55&amp;" мА)",""),""),IF(AND(CH55=1,CS55=""),"«узо»: нет строки с УЗО выше (УЗО 2P 40А 30мА в «Аппаратах»)",""),IF(AND(CS55&lt;&gt;"",CS55=BA55),IF(CT55="","впишите номинал УЗО (УЗО 2P 40А 30мА)",IF(N(CT55)&lt;N(DT55),"УЗО "&amp;CT55&amp;" А &lt; автомата "&amp;DT55&amp;" А перед ним",IF(N(CT55)&lt;N(CX55),"УЗО "&amp;CT55&amp;" А &lt; тока блока "&amp;FIXED(CX55,1)&amp;" А",""))),""),IF(AND(CS55&lt;&gt;"",CS55=BA55,ISNUMBER(CY55)),IF(CY55&gt;N(CV55)/3,"ток утечки блока УЗО "&amp;FIXED(CY55,1)&amp;" мА &gt; 1/3 уставки ("&amp;CV55&amp;" мА)",""),""),IF(AND(CG55=1,N(BV55)+N(IB55)&gt;0,IC55=""),"линии до 50 В без БП: впишите в «Аппараты» (БП 24V 480W)",""),IF(AND(CG55=1,ISNUMBER(ID55),ISNUMBER(U55)),IF(U55&gt;ID55,"БП "&amp;ID55&amp;" Вт &lt; нужно "&amp;U55&amp;" Вт (×"&amp;Запас_БП&amp;")",""),""),IF(AND(CG55=1,ISNUMBER(IE55),N(BV55)=1),IF(IE55&lt;&gt;N(BU55),"БП на "&amp;IE55&amp;" В, линия "&amp;BU55&amp;" В",""),""),IF(AND(N(IF55)&gt;0,N(IG55)&gt;N(IF55)),HH55&amp;" канал "&amp;HJ55&amp;": "&amp;FIXED(IG55,1)&amp;" А &gt; "&amp;IF55&amp;" А",""),IFERROR(IF(AND(ISNUMBER(Q55),Q55&gt;EL55),"потери "&amp;FIXED(Q55,1)&amp;" % &gt; "&amp;EL55&amp;" %",""),""),IFERROR(IF(LEFT(HU55,4)="мало","Iкз мало — отключение &gt; 0,4 с",""),""),IF(AND(B55&lt;&gt;"",BM55=""),"не на схеме",""),IF(AND(CG55=0,B55&lt;&gt;"",FV55&lt;&gt;"",IF(BA55=1,"",FW54)&lt;&gt;"",FV55&lt;&gt;IF(BA55=1,"",FW54)),"фаза не как у автомата группы ("&amp;IF(BA55=1,"",FW54)&amp;")","")))</f>
        <v/>
      </c>
      <c r="II55" s="6">
        <f>IF(OR(CG55=0,DQ55=""),"",_xlfn.LET(_xlpm.t,IFERROR(_xlfn.XLOOKUP(DQ55,Каталог!$U$4:$U$500,Каталог!$G$4:$G$500),""),_xlpm.k,SEARCH("кА",_xlpm.t),IFERROR(--TRIM(RIGHT(SUBSTITUTE(MID(_xlpm.t,MAX(1,_xlpm.k-4),_xlpm.k-MAX(1,_xlpm.k-4))," ",REPT(" ",9)),5)),"")))</f>
        <v>6</v>
      </c>
      <c r="IJ55" t="str">
        <f>IF(OR(II55="",CG55=0),"",IF(_xlfn.XLOOKUP(A55,Щиты[Щит],Щиты[Iкз max на шинах, кА],"")="","",IF(II55&lt;_xlfn.XLOOKUP(A55,Щиты[Щит],Щиты[Iкз max на шинах, кА]),"Icu "&amp;II55&amp;" кА &lt; Iкз max","ok")))</f>
        <v/>
      </c>
      <c r="IK55" t="str">
        <f t="shared" si="113"/>
        <v/>
      </c>
      <c r="IL55" t="str">
        <f t="shared" si="114"/>
        <v>QF2|XT2</v>
      </c>
      <c r="IM55" t="str">
        <f t="shared" si="115"/>
        <v>QF2|XT2|кабель ВВГнг(А)-LS (3х1,5) → Вытяжная установка Пом №006T</v>
      </c>
      <c r="IN55" t="str" cm="1">
        <f t="array" ref="IN55">IF(IM55="","",_xlfn.LET(_xlpm.nd,_xlfn.TEXTSPLIT(IM55,"|"),IF(COLUMNS(_xlpm.nd)&gt;1,A55&amp;"¦"&amp;INDEX(_xlpm.nd,1)&amp;"¦"&amp;INDEX(_xlpm.nd,2),"")))</f>
        <v>ЩОВ-001¦QF2¦XT2</v>
      </c>
      <c r="IO55" t="str">
        <f t="shared" si="116"/>
        <v>В.9¦Вытяжная установка Пом №006T</v>
      </c>
      <c r="IP55" t="str" cm="1">
        <f t="array" ref="IP55">IF(IM55="","",_xlfn.LET(_xlpm.nd,_xlfn.TEXTSPLIT(IM55,"|"),IF(COLUMNS(_xlpm.nd)&gt;2,A55&amp;"¦"&amp;INDEX(_xlpm.nd,2)&amp;"¦"&amp;INDEX(_xlpm.nd,3),"")))</f>
        <v>ЩОВ-001¦XT2¦кабель ВВГнг(А)-LS (3х1,5) → Вытяжная установка Пом №006T</v>
      </c>
      <c r="IQ55" t="str">
        <f t="shared" si="117"/>
        <v>В.9¦Вытяжная установка Пом №006T</v>
      </c>
      <c r="IR55" t="str" cm="1">
        <f t="array" ref="IR55">IF(IM55="","",_xlfn.LET(_xlpm.nd,_xlfn.TEXTSPLIT(IM55,"|"),IF(COLUMNS(_xlpm.nd)&gt;3,A55&amp;"¦"&amp;INDEX(_xlpm.nd,3)&amp;"¦"&amp;INDEX(_xlpm.nd,4),"")))</f>
        <v/>
      </c>
      <c r="IS55" t="str">
        <f t="shared" si="118"/>
        <v/>
      </c>
      <c r="IT55" t="str" cm="1">
        <f t="array" ref="IT55">IF(IM55="","",_xlfn.LET(_xlpm.nd,_xlfn.TEXTSPLIT(IM55,"|"),IF(COLUMNS(_xlpm.nd)&gt;4,A55&amp;"¦"&amp;INDEX(_xlpm.nd,4)&amp;"¦"&amp;INDEX(_xlpm.nd,5),"")))</f>
        <v/>
      </c>
      <c r="IU55" t="str">
        <f t="shared" si="119"/>
        <v/>
      </c>
      <c r="IV55" t="str" cm="1">
        <f t="array" ref="IV55">IF(IM55="","",_xlfn.LET(_xlpm.nd,_xlfn.TEXTSPLIT(IM55,"|"),IF(COLUMNS(_xlpm.nd)&gt;5,A55&amp;"¦"&amp;INDEX(_xlpm.nd,5)&amp;"¦"&amp;INDEX(_xlpm.nd,6),"")))</f>
        <v/>
      </c>
      <c r="IW55" t="str">
        <f t="shared" si="120"/>
        <v/>
      </c>
      <c r="IX55" t="str" cm="1">
        <f t="array" ref="IX55">IF(IM55="","",_xlfn.LET(_xlpm.nd,_xlfn.TEXTSPLIT(IM55,"|"),IF(COLUMNS(_xlpm.nd)&gt;6,A55&amp;"¦"&amp;INDEX(_xlpm.nd,6)&amp;"¦"&amp;INDEX(_xlpm.nd,7),"")))</f>
        <v/>
      </c>
      <c r="IY55" t="str">
        <f t="shared" si="121"/>
        <v/>
      </c>
      <c r="IZ55" t="str">
        <f t="shared" si="122"/>
        <v/>
      </c>
      <c r="JA55" t="str">
        <f t="shared" si="123"/>
        <v>QF2 → XT2</v>
      </c>
      <c r="JB55">
        <f t="shared" si="124"/>
        <v>0</v>
      </c>
      <c r="JC55">
        <f t="shared" si="125"/>
        <v>0</v>
      </c>
      <c r="JD55" t="str">
        <f t="shared" si="126"/>
        <v/>
      </c>
      <c r="JE55" t="str">
        <f t="shared" si="127"/>
        <v/>
      </c>
      <c r="JF55" t="str">
        <f t="shared" si="128"/>
        <v/>
      </c>
      <c r="JG55" t="str">
        <f t="shared" si="129"/>
        <v/>
      </c>
      <c r="JH55" t="str">
        <f>IF(B55="","",IFERROR(_xlfn.XLOOKUP(B55,Коды_код,Коды_уго),IFERROR(_xlfn.XLOOKUP(BC55,Коды_код,Коды_уго),IFERROR(_xlfn.XLOOKUP(LEFT(BC55,2),Коды_код,Коды_уго),""))))</f>
        <v>Привод (двигатель)</v>
      </c>
      <c r="JI55" t="str">
        <f>IF(B55="","",IF(OR(JH55="",JH55=0),"BOX",IFERROR(IF(VLOOKUP(JH55,УГО_блоки,3,FALSE)&amp;""&lt;&gt;"",VLOOKUP(JH55,УГО_блоки,3,FALSE),VLOOKUP(JH55,УГО_блоки,2,FALSE)),JH55)))</f>
        <v>MOTOR</v>
      </c>
      <c r="JJ55">
        <f t="shared" si="130"/>
        <v>1</v>
      </c>
      <c r="JK55" t="str">
        <f>IF(DQ55="","",IF(COUNTIF(DQ$3:DQ55,DQ55)=1,MAX(JK$2:JK54)+1,""))</f>
        <v/>
      </c>
      <c r="JL55" t="str">
        <f>IF(DE55="","",IF(COUNTIF(DE$3:DE55,DE55)+COUNTIF(DF$2:DF54,DE55)+COUNTIF(DG$2:DG54,DE55)=1,MAX(JL$2:JN54)+1,""))</f>
        <v/>
      </c>
      <c r="JM55" t="str">
        <f>IF(DF55="","",IF(COUNTIF(DE$3:DE55,DF55)+COUNTIF(DF$3:DF55,DF55)+COUNTIF(DG$2:DG54,DF55)=1,MAX(JL$2:JN54,JL55)+1,""))</f>
        <v/>
      </c>
      <c r="JN55" t="str">
        <f>IF(DG55="","",IF(COUNTIF(DE$3:DE55,DG55)+COUNTIF(DF$3:DF55,DG55)+COUNTIF(DG$3:DG55,DG55)=1,MAX(JL$2:JN54,JL55,JM55)+1,""))</f>
        <v/>
      </c>
      <c r="JO55" t="str">
        <f t="shared" si="131"/>
        <v>3х1,5</v>
      </c>
      <c r="JP55" t="str">
        <f>IF(JO55="","",IF(COUNTIF(JO$3:JO55,JO55)=1,MAX(JP$2:JP54)+1,""))</f>
        <v/>
      </c>
      <c r="JQ55" t="str">
        <f>IF(HG55="","",COUNTIF(HG$3:HG55,"?*"))</f>
        <v/>
      </c>
      <c r="JR55" t="str">
        <f>IF(OR(HG55="",HI55=""),"",IF(COUNTIFS(HG$3:HG55,"?*",HI$3:HI55,HI55)=1,MAX(JR$2:JR54)+1,""))</f>
        <v/>
      </c>
      <c r="JS55">
        <f t="shared" si="132"/>
        <v>0</v>
      </c>
      <c r="JT55">
        <f>IF(B55="","",COUNTIF(B$3:B55,"?*"))</f>
        <v>53</v>
      </c>
      <c r="JU55">
        <f>IF(HL55&lt;&gt;1,0,_xlfn.LET(_xlpm.k,MAX(IFERROR(--_xlfn.XLOOKUP(B55,Коды_код,Коды_3L),0),IFERROR(--_xlfn.XLOOKUP(BC55,Коды_код,Коды_3L),0),IFERROR(--_xlfn.XLOOKUP(LEFT(BC55,2),Коды_код,Коды_3L),0)),IF(_xlpm.k&gt;0,_xlpm.k,IF(IFERROR(--LEFT(SUBSTITUTE(JO55,"x","х"),FIND("х",SUBSTITUTE(JO55,"x","х"))-1),3)&gt;3,Каталог!$S$9,1))))</f>
        <v>1</v>
      </c>
      <c r="JV55">
        <f t="shared" si="133"/>
        <v>0</v>
      </c>
      <c r="JW55" t="str">
        <f t="shared" si="134"/>
        <v>авто</v>
      </c>
      <c r="JX55" t="str">
        <f t="shared" si="135"/>
        <v/>
      </c>
      <c r="JY55">
        <f t="shared" si="136"/>
        <v>0</v>
      </c>
      <c r="JZ55">
        <f t="shared" si="137"/>
        <v>1</v>
      </c>
    </row>
    <row r="56" spans="1:286" x14ac:dyDescent="0.3">
      <c r="A56" t="s">
        <v>747</v>
      </c>
      <c r="B56" t="s">
        <v>1369</v>
      </c>
      <c r="C56" t="s">
        <v>1656</v>
      </c>
      <c r="D56">
        <v>1</v>
      </c>
      <c r="E56">
        <v>0.1</v>
      </c>
      <c r="G56">
        <v>10</v>
      </c>
      <c r="H56" t="str">
        <f>Линии[[#This Row],[_авто управление]]</f>
        <v/>
      </c>
      <c r="I56" t="str">
        <f>Линии[[#This Row],[_авто аппараты]]</f>
        <v/>
      </c>
      <c r="J56">
        <v>1.5</v>
      </c>
      <c r="K56">
        <v>14</v>
      </c>
      <c r="L56" t="str">
        <f>Линии[[#This Row],[_авто фаза]]</f>
        <v>L1</v>
      </c>
      <c r="M56" t="str">
        <f>Линии[[#This Row],[_авто клемма]]</f>
        <v>XT3</v>
      </c>
      <c r="N56" t="str">
        <f t="shared" si="0"/>
        <v/>
      </c>
      <c r="O56" s="6" cm="1">
        <f t="array" ref="O56">IF(B56="","",IF(BH56&lt;&gt;"",IFERROR(_xlfn.XLOOKUP(BH56,Щиты[Щит],Щиты[Iр, А]),""),IF(BP56=1,IF(OR(N(_xlfn.XLOOKUP(A56,Щиты[Щит],Щиты[Вводов],1))&lt;=1,LOWER(TRIM(_xlfn.XLOOKUP(A56,Щиты[Щит],Щиты[АВР],"")&amp;""))="да"),IFERROR(_xlfn.XLOOKUP(A56,Щиты[Щит],Щиты[Iр, А]),""),IFERROR(N(BS56)*_xlfn.XLOOKUP(A56,Щиты[Щит],Щиты[Кс итог])/(SQRT(3)*Uн_лин*_xlfn.XLOOKUP(A56,Щиты[Щит],Щиты[cos φ])),"")),IF(BV56=1,IFERROR(BS56*1000/BU56,""),IFERROR(_xlfn.IFS(BX56=1,BS56/((Uн_лин/SQRT(3))*CE56),BX56=3,BS56/(SQRT(3)*Uн_лин*CE56)),"")))))</f>
        <v>0.5412658773652741</v>
      </c>
      <c r="P56" s="7">
        <f>IF(B56="","",IFERROR(IF(VLOOKUP(BC56,Потребители_обозначение,4,FALSE)=1,VLOOKUP(BC56,Потребители_обозначение,3,FALSE)*(MAX(1,N(D56))*2-1)+EI56+VLOOKUP(BE56,Этаж_обозначение,3,FALSE)+VLOOKUP(BE56,Этаж_обозначение,4,FALSE),VLOOKUP(BC56,Потребители_обозначение,3,FALSE)*(MAX(1,N(D56))*2-1)+EI56),EI56))</f>
        <v>18</v>
      </c>
      <c r="Q56" s="6">
        <f t="shared" si="1"/>
        <v>0.75</v>
      </c>
      <c r="R56" t="str">
        <f t="shared" si="2"/>
        <v>ВВГнг(А)-LS (3х1,5)</v>
      </c>
      <c r="S56" t="str">
        <f>IF(BM56="","",IF(BN56="вводной узел","узел ","")&amp;"л."&amp;(INT((BM56-1)/Столбцов_на_лист)+1)&amp;" / "&amp;(MOD(BM56-1,Столбцов_на_лист)+1))</f>
        <v>л.1 / 16</v>
      </c>
      <c r="T56" s="119">
        <f t="shared" si="3"/>
        <v>0.4</v>
      </c>
      <c r="U56" s="7" t="str">
        <f>IF(OR(CG56=0,N(BV56)+N(IB56)=0),"",ROUNDUP(Запас_БП*(N(HY56)+N(HZ56)),0))</f>
        <v/>
      </c>
      <c r="V56" s="119" t="str">
        <f t="shared" si="4"/>
        <v/>
      </c>
      <c r="W56" s="7" t="str">
        <f>IFERROR(IF(OR(B56="",BP56=1,BV56=1,NOT(ISNUMBER(EN56)),N(DT56)=0),"",MAX(0,ROUNDDOWN((c_min*(Uн_лин*1000/SQRT(3))/(HT56*N(DT56))-_xlfn.XLOOKUP(A56,Щиты[Щит],Щиты[Zпетли на шинах, Ом]))*EN56/(2*ρкз_Cu),0))),"")</f>
        <v/>
      </c>
      <c r="Y56" t="str">
        <f>Линии[[#This Row],[_авто утечка]]</f>
        <v/>
      </c>
      <c r="Z56">
        <v>1</v>
      </c>
      <c r="AA56">
        <v>230</v>
      </c>
      <c r="AB56" t="s">
        <v>598</v>
      </c>
      <c r="AC56">
        <v>0.5</v>
      </c>
      <c r="AG56" t="s">
        <v>810</v>
      </c>
      <c r="AI56" t="s">
        <v>580</v>
      </c>
      <c r="AK56" t="str">
        <f>Линии[[#This Row],[_авто модуль]]</f>
        <v/>
      </c>
      <c r="AM56">
        <v>16</v>
      </c>
      <c r="AN56" t="s">
        <v>11</v>
      </c>
      <c r="AO56">
        <v>3</v>
      </c>
      <c r="AR56">
        <v>18</v>
      </c>
      <c r="AT56">
        <v>1</v>
      </c>
      <c r="BA56" cm="1">
        <f t="array" ref="BA56">ROW()-ROW(Линии[#Headers])</f>
        <v>54</v>
      </c>
      <c r="BC56" s="6" t="str">
        <f t="shared" si="5"/>
        <v>В</v>
      </c>
      <c r="BD56" t="str">
        <f t="shared" si="6"/>
        <v>11</v>
      </c>
      <c r="BE56" t="str">
        <f t="shared" si="7"/>
        <v>11</v>
      </c>
      <c r="BF56" t="str">
        <f t="shared" si="8"/>
        <v/>
      </c>
      <c r="BG56" t="str">
        <f t="shared" si="9"/>
        <v/>
      </c>
      <c r="BH56" t="str">
        <f>IF(X56&lt;&gt;"",X56,IF(AND(B56&lt;&gt;"",B56&lt;&gt;A56,ISNUMBER(_xlfn.XMATCH(B56,Щиты[Щит]))),B56,""))</f>
        <v/>
      </c>
      <c r="BI56" t="str" cm="1">
        <f t="array" ref="BI56">IF(B56="","",IF(BH56&lt;&gt;"","Щит "&amp;BH56,_xlfn.LET(_xlpm.nm,IFERROR(_xlfn.XLOOKUP(BC56,Коды_код,Коды_имя)&amp;"",""),_xlpm.md,IFERROR(N(_xlfn.XLOOKUP(BC56,Коды_код,Коды_режим)),1),_xlpm.ex,IF(Имя_режим="по экспликации",IFERROR(_xlfn.XLOOKUP(BE56&amp;"|"&amp;BG56,Экспликация[Этаж]&amp;"|"&amp;Экспликация[Помещение],Экспликация[Название])&amp;"",""),""),_xlpm.rm,IF(BG56="","",IF(_xlpm.ex&lt;&gt;"",". "&amp;_xlpm.ex&amp;IF(Имя_пом="нет"," ("&amp;BG56&amp;")"," (пом. "&amp;BG56&amp;")"),IF(Имя_пом="нет"," ",", пом. ")&amp;BG56)),IF(_xlpm.nm="","",IF(_xlpm.md=2,_xlpm.nm&amp;" шлейф "&amp;BE56,_xlpm.nm&amp;_xlpm.rm)))))</f>
        <v>Вытяжная установка шлейф 11</v>
      </c>
      <c r="BJ56" t="str">
        <f t="shared" si="10"/>
        <v>Вытяжная установка Подвальный этаж Пом №006T</v>
      </c>
      <c r="BK56">
        <f>IFERROR(_xlfn.XMATCH(A56,Щиты[Щит]),0)</f>
        <v>4</v>
      </c>
      <c r="BL56">
        <f>_xlfn.LET(_xlpm.k,IFERROR(_xlfn.XLOOKUP(A56,Щиты[Щит],Щиты[Мест под вводной узел]),""),IF(_xlpm.k="",Столбцов_на_лист,N(_xlpm.k)))</f>
        <v>13</v>
      </c>
      <c r="BM56">
        <f t="shared" si="11"/>
        <v>16</v>
      </c>
      <c r="BN56" t="str">
        <f t="shared" si="12"/>
        <v>линии</v>
      </c>
      <c r="BO56" s="6">
        <f>IFERROR(N(_xlfn.XLOOKUP(BC56,Коды_код,Коды_квт)),0)</f>
        <v>0</v>
      </c>
      <c r="BP56">
        <f t="shared" si="13"/>
        <v>0</v>
      </c>
      <c r="BQ56" t="str">
        <f>IF(B56="","",IF(BH56&lt;&gt;"",IFERROR(_xlfn.XLOOKUP(BH56,Щиты[Щит],Щиты[Руст, кВт]),0),IF(BP56=1,IF(OR(N(_xlfn.XLOOKUP(A56,Щиты[Щит],Щиты[Вводов],1))&lt;=1,LOWER(TRIM(_xlfn.XLOOKUP(A56,Щиты[Щит],Щиты[АВР],"")&amp;""))="да"),IFERROR(_xlfn.XLOOKUP(A56,Щиты[Щит],Щиты[Руст, кВт]),0),SUMIFS(Линии[_Р для вводов],Линии[Щит],A56,Линии[Источник для режимов],GF56)),IF(BO56&gt;0,ROUND(BO56*MAX(1,N(D56)),3),""))))</f>
        <v/>
      </c>
      <c r="BR56">
        <f t="shared" si="14"/>
        <v>0.1</v>
      </c>
      <c r="BS56" s="6">
        <f>IF(B56="","",IF(BH56&lt;&gt;"",IFERROR(_xlfn.XLOOKUP(BH56,Щиты[Щит],Щиты[Руст, кВт]),0),N(BR56)))</f>
        <v>0.1</v>
      </c>
      <c r="BT56" t="str">
        <f>IF(B56="","",IFERROR(IF(VLOOKUP(BC56,Потребители_обозначение,8,FALSE)=0,"",VLOOKUP(BC56,Потребители_обозначение,8,FALSE)),""))</f>
        <v/>
      </c>
      <c r="BU56">
        <f t="shared" si="15"/>
        <v>230</v>
      </c>
      <c r="BV56">
        <f t="shared" si="16"/>
        <v>0</v>
      </c>
      <c r="BW56">
        <f>IF(B56="","",IF(BH56&lt;&gt;"",3,IFERROR(IF(N(VLOOKUP(BC56,Потребители_обозначение,9,FALSE))=0,1,VLOOKUP(BC56,Потребители_обозначение,9,FALSE)),1)))</f>
        <v>1</v>
      </c>
      <c r="BX56">
        <f t="shared" si="17"/>
        <v>1</v>
      </c>
      <c r="BY56" t="str">
        <f>IF(B56="","",_xlfn.LET(_xlpm.bc,IFERROR(IF(VLOOKUP(BC56,Потребители_обозначение,6,FALSE)=0,"",VLOOKUP(BC56,Потребители_обозначение,6,FALSE)&amp;""),""),IF(AND(GA56="да",OR(_xlpm.bc="",_xlpm.bc="мс")),Марка_пож,IF(AND(_xlpm.bc="",BH56&lt;&gt;""),"мс",_xlpm.bc))))</f>
        <v/>
      </c>
      <c r="BZ56" t="str">
        <f t="shared" si="18"/>
        <v>мс</v>
      </c>
      <c r="CA56">
        <f>IF(B56="","",_xlfn.LET(_xlpm.cc,IFERROR(N(VLOOKUP(BC56,Потребители_обозначение,7,FALSE)),0),IF(_xlpm.cc&gt;0,_xlpm.cc,IF(BZ56="","",IF(BV56=1,2,IF(N(BX56)=3,5,3))))))</f>
        <v>3</v>
      </c>
      <c r="CB56">
        <f t="shared" si="19"/>
        <v>3</v>
      </c>
      <c r="CC56">
        <f>IFERROR(N(VLOOKUP(BC56,Потребители_обозначение,10,FALSE)),0)</f>
        <v>0</v>
      </c>
      <c r="CD56">
        <f>IFERROR(VLOOKUP(BC56,Потребители_обозначение,5,FALSE),0)</f>
        <v>1</v>
      </c>
      <c r="CE56" s="6" cm="1">
        <f t="array" ref="CE56">IF(B56="","",IF(BH56&lt;&gt;"",IFERROR(_xlfn.XLOOKUP(BH56,Щиты[Щит],Щиты[cos φ]),0.95),IF(BP56=1,IFERROR(_xlfn.XLOOKUP(A56,Щиты[Щит],Щиты[cos φ]),0.95),IF(ISNUMBER(AD56),AD56,IFERROR(IF(CD56=2,_xlfn.IFS(BX56=3,VLOOKUP(BS56,Справочная_двигатели,8,FALSE),BX56=1,VLOOKUP(BS56,Справочная_двигатели,10,TRUE)),IF(AND(Методика="нормы 2026",FG56="Сил"),0.8,0.95)),0.95)))))</f>
        <v>0.8</v>
      </c>
      <c r="CF56">
        <f t="shared" si="20"/>
        <v>0</v>
      </c>
      <c r="CG56">
        <f t="shared" si="21"/>
        <v>1</v>
      </c>
      <c r="CH56">
        <f t="shared" si="22"/>
        <v>0</v>
      </c>
      <c r="CI56">
        <f>IF(B56="","",IF(BV56=1,IFERROR(BS56/((Uн_лин/SQRT(3))*MAX(0.5,N(CE56))),0),N(O56)))</f>
        <v>0.5412658773652741</v>
      </c>
      <c r="CJ56">
        <f t="shared" si="23"/>
        <v>0</v>
      </c>
      <c r="CK56">
        <f t="shared" si="24"/>
        <v>0</v>
      </c>
      <c r="CL56">
        <f t="shared" si="25"/>
        <v>0</v>
      </c>
      <c r="CM56">
        <f t="shared" si="26"/>
        <v>0</v>
      </c>
      <c r="CN56">
        <f t="shared" si="27"/>
        <v>0</v>
      </c>
      <c r="CO56">
        <f>IF(BC56="",0,_xlfn.LET(_xlpm.v,IFERROR(_xlfn.XLOOKUP(B56,Коды_код,Коды_мА),IFERROR(_xlfn.XLOOKUP(BC56,Коды_код,Коды_мА),IFERROR(_xlfn.XLOOKUP(LEFT(BC56,2),Коды_код,Коды_мА),""))),IF(_xlpm.v="да",30,IF(ISNUMBER(_xlpm.v),_xlpm.v,0))))</f>
        <v>0</v>
      </c>
      <c r="CP56" t="str">
        <f t="shared" si="28"/>
        <v/>
      </c>
      <c r="CQ56" t="str">
        <f>_xlfn.LET(_xlpm.k,IFERROR(_xlfn.XLOOKUP(BC56,Коды_код,Коды_утечка)&amp;"",""),IF(_xlpm.k="","дифавтомат",_xlpm.k))</f>
        <v>дифавтомат</v>
      </c>
      <c r="CR56" t="str" cm="1">
        <f t="array" ref="CR56">IF(CG56=0,"",_xlfn.LET(_xlpm.sg,TRIM(_xlfn.TEXTSPLIT(DD56&amp;"",";")),_xlpm.f_,_xlfn._xlws.FILTER(_xlpm.sg,LEFT(_xlpm.sg,3)="УЗО",""),IFERROR(INDEX(_xlpm.f_,1)&amp;"","")))</f>
        <v/>
      </c>
      <c r="CS56" t="str">
        <f t="shared" si="29"/>
        <v/>
      </c>
      <c r="CT56" s="6" t="str" cm="1">
        <f t="array" ref="CT56">IF(CR56="","",_xlfn.LET(_xlpm.tk,_xlfn.TEXTSPLIT(UPPER(CR56)," ",,TRUE),_xlpm.a_,_xlfn._xlws.FILTER(_xlpm.tk,ISNUMBER(--LEFT(_xlpm.tk,1))*((ISNUMBER(SEARCH("А",_xlpm.tk))+ISNUMBER(SEARCH("A",_xlpm.tk)))&gt;0)*NOT(ISNUMBER(SEARCH("МА",_xlpm.tk)))*NOT(ISNUMBER(SEARCH("MA",_xlpm.tk))),""),IFERROR(--SUBSTITUTE(SUBSTITUTE(INDEX(_xlpm.a_,1),"А",""),"A",""),"")))</f>
        <v/>
      </c>
      <c r="CU56" t="str" cm="1">
        <f t="array" ref="CU56">IF(CR56="","",_xlfn.LET(_xlpm.tk,_xlfn.TEXTSPLIT(UPPER(CR56)," ",,TRUE),_xlpm.a_,_xlfn._xlws.FILTER(_xlpm.tk,ISNUMBER(--LEFT(_xlpm.tk,1))*((ISNUMBER(SEARCH("МА",_xlpm.tk))+ISNUMBER(SEARCH("MA",_xlpm.tk)))&gt;0),""),IFERROR(--SUBSTITUTE(SUBSTITUTE(INDEX(_xlpm.a_,1),"МА",""),"MA",""),30)))</f>
        <v/>
      </c>
      <c r="CV56" t="str">
        <f>IF(CS56="","",IFERROR(_xlfn.XLOOKUP(CS56,Линии[_n],Линии[_УЗО, мА]),30))</f>
        <v/>
      </c>
      <c r="CW56">
        <f>IF(CS56="",0,IF(ISNUMBER(SEARCH("4P",IFERROR(_xlfn.XLOOKUP(CS56,Линии[_n],Линии[_УЗО строки])&amp;"",""))),0,1))</f>
        <v>0</v>
      </c>
      <c r="CX56" t="str">
        <f>IF(AND(CS56&lt;&gt;"",CS56=BA56),SUMIFS(Линии[_ток на 230 В],Линии[_блок УЗО],BA56,Линии[Щит],A56),"")</f>
        <v/>
      </c>
      <c r="CY56" t="str">
        <f>IF(AND(CS56&lt;&gt;"",CS56=BA56),SUMIFS(Линии[_ток утечки линии, мА],Линии[_блок УЗО],BA56,Линии[Щит],A56),"")</f>
        <v/>
      </c>
      <c r="CZ56">
        <f t="shared" si="30"/>
        <v>0</v>
      </c>
      <c r="DA56">
        <f t="shared" si="31"/>
        <v>0</v>
      </c>
      <c r="DB56">
        <f>IF(B56="",0,IFERROR(--_xlfn.XLOOKUP(B56,Коды_код,Коды_минавт),IFERROR(--_xlfn.XLOOKUP(BC56,Коды_код,Коды_минавт),IFERROR(--_xlfn.XLOOKUP(LEFT(BC56,2),Коды_код,Коды_минавт),0))))</f>
        <v>0</v>
      </c>
      <c r="DC56" t="str">
        <f>IF(B56="","",IFERROR(_xlfn.XLOOKUP(BC56,Коды_код,Коды_апп)&amp;"",""))</f>
        <v/>
      </c>
      <c r="DD56" t="str">
        <f t="shared" si="32"/>
        <v/>
      </c>
      <c r="DE56" t="str" cm="1">
        <f t="array" ref="DE56">IF(TRIM(DD56&amp;"")="","",IFERROR(TRIM(INDEX(_xlfn.TEXTSPLIT(DD56&amp;";;;",";"),1)),""))</f>
        <v/>
      </c>
      <c r="DF56" t="str" cm="1">
        <f t="array" ref="DF56">IF(TRIM(DD56&amp;"")="","",IFERROR(TRIM(INDEX(_xlfn.TEXTSPLIT(DD56&amp;";;;",";"),2)),""))</f>
        <v/>
      </c>
      <c r="DG56" t="str" cm="1">
        <f t="array" ref="DG56">IF(TRIM(DD56&amp;"")="","",IFERROR(TRIM(INDEX(_xlfn.TEXTSPLIT(DD56&amp;";;;",";"),3)),""))</f>
        <v/>
      </c>
      <c r="DH56">
        <f t="shared" si="33"/>
        <v>0</v>
      </c>
      <c r="DI56" t="str">
        <f>IF(B56="","",_xlfn.LET(_xlpm.t,LOWER(AZ56&amp;""),IF(ISNUMBER(SEARCH("dim",_xlpm.t)),"DIM",IF(ISNUMBER(SEARCH("dali",_xlpm.t)),"DALI",IF(OR(ISNUMBER(SEARCH("relay",_xlpm.t)),ISNUMBER(SEARCH("реле",_xlpm.t))),"Relay",IF(ISNUMBER(SEARCH("кнопк",_xlpm.t)),"",IFERROR(_xlfn.XLOOKUP(BC56,Коды_код,Коды_упр)&amp;"","")))))))</f>
        <v/>
      </c>
      <c r="DJ56" t="str">
        <f t="shared" si="34"/>
        <v/>
      </c>
      <c r="DK56">
        <f>IF(B56="","",_xlfn.LET(_xlpm.ig,IF(N(CX56)&gt;0,N(CX56),N(CI56)+IF(AJ56="вручную",0,N(CJ56))),_xlpm.n0,IFERROR(VLOOKUP(_xlpm.ig,Автомат_номиналы,2,TRUE),0),_xlpm.mn,MAX(DB56,IF(AJ56="вручную",0,N(CM56))),MAX(_xlpm.n0,_xlpm.mn,IF(DH56=1,Мин_автомат_БП,0))))</f>
        <v>6</v>
      </c>
      <c r="DL56">
        <f t="shared" si="35"/>
        <v>1</v>
      </c>
      <c r="DM56" t="str">
        <f t="shared" si="36"/>
        <v>1P</v>
      </c>
      <c r="DN56" t="str">
        <f>_xlfn.LET(_xlpm.cc,UPPER(TRIM(IFERROR(_xlfn.XLOOKUP(BC56,Коды_код,Коды_хар)&amp;"",""))),IF(OR(_xlpm.cc="B",_xlpm.cc="В"),"B",IF(_xlpm.cc="D","D","С")))</f>
        <v>С</v>
      </c>
      <c r="DO56" t="str">
        <f t="shared" si="37"/>
        <v>1P С6А</v>
      </c>
      <c r="DP56">
        <f t="shared" si="38"/>
        <v>10</v>
      </c>
      <c r="DQ56" t="str">
        <f t="shared" si="39"/>
        <v>1P С10А</v>
      </c>
      <c r="DR56" cm="1">
        <f t="array" ref="DR56">IF(DQ56="","",_xlfn.LET(_xlpm.t,SUBSTITUTE(SUBSTITUTE(SUBSTITUTE(UPPER(DQ56),"С","C"),"А","A"),"В","B"),_xlpm.tk,_xlfn.TEXTSPLIT(_xlpm.t," "),_xlpm.f,_xlfn._xlws.FILTER(_xlpm.tk,ISNUMBER(--MID(_xlpm.tk,2,1))*ISNUMBER(SEARCH(LEFT(_xlpm.tk,1)&amp;"#","B#C#D#"))*(LEN(_xlpm.tk)&gt;1),""),_xlpm.x,INDEX(_xlpm.f,1),IFERROR(--SUBSTITUTE(MID(_xlpm.x,2,9),"A",""),IFERROR(--SUBSTITUTE(INDEX(_xlfn._xlws.FILTER(_xlpm.tk,ISNUMBER(--SUBSTITUTE(_xlpm.tk,"A","")),""),1),"A",""),""))))</f>
        <v>10</v>
      </c>
      <c r="DS56" t="str">
        <f t="shared" si="40"/>
        <v>ok</v>
      </c>
      <c r="DT56">
        <f t="shared" si="41"/>
        <v>10</v>
      </c>
      <c r="DU56" t="str">
        <f t="shared" si="42"/>
        <v>1P С10А</v>
      </c>
      <c r="DV56">
        <f t="shared" si="43"/>
        <v>0</v>
      </c>
      <c r="DW56">
        <f t="shared" si="44"/>
        <v>0</v>
      </c>
      <c r="DX56">
        <f t="shared" si="45"/>
        <v>0</v>
      </c>
      <c r="DY56">
        <f t="shared" si="46"/>
        <v>0.5412658773652741</v>
      </c>
      <c r="DZ56">
        <f t="shared" si="47"/>
        <v>1</v>
      </c>
      <c r="EA56">
        <f>IF(ISNUMBER(AP56),AP56,К_прокл)</f>
        <v>1</v>
      </c>
      <c r="EB56">
        <f t="shared" si="48"/>
        <v>2</v>
      </c>
      <c r="EC56">
        <f>IFERROR(N(VLOOKUP(BZ56,Кабель_обозначение,3,FALSE)),1)</f>
        <v>1</v>
      </c>
      <c r="ED56">
        <f>IFERROR(N(_xlfn.XLOOKUP(A56,Щиты[Щит],Щиты[ΔU до шин, %])),0)</f>
        <v>0.64</v>
      </c>
      <c r="EE56" t="str">
        <f>IFERROR(_xlfn.XLOOKUP(A56,Щиты[Щит],Щиты[Zпетли на шинах, Ом]),"")</f>
        <v/>
      </c>
      <c r="EF56">
        <f>IFERROR(N(_xlfn.XLOOKUP(A56,Щиты[Щит],Щиты[ΔU до шин (подбор), %])),0)</f>
        <v>0.75</v>
      </c>
      <c r="EG56" t="str">
        <f>IFERROR(_xlfn.XLOOKUP(A56,Щиты[Щит],Щиты[Zпетли на шинах (подбор), Ом]),"")</f>
        <v/>
      </c>
      <c r="EH56" t="str">
        <f t="shared" si="49"/>
        <v/>
      </c>
      <c r="EI56">
        <f t="shared" si="50"/>
        <v>14</v>
      </c>
      <c r="EJ56">
        <f t="shared" si="51"/>
        <v>2</v>
      </c>
      <c r="EK56">
        <f t="shared" si="52"/>
        <v>0.6</v>
      </c>
      <c r="EL56" s="6">
        <f>IF(B56="","",IF(BV56=1,dU_LED,IF(IFERROR(_xlfn.XLOOKUP(BC56,Коды_код,Коды_уго),"")="Светильник",3,4)+IF(Методика="нормы 2026",MIN(0.5,MAX(0,N(P56)-100)*0.005),0)))</f>
        <v>4</v>
      </c>
      <c r="EM56" cm="1">
        <f t="array" ref="EM56">IF(OR(B56="",BZ56="",EC56&lt;&gt;1),"",_xlfn.LET(_xlpm.sz,Iдоп_S,_xlpm.t_,CHOOSE(EB56,Iдоп_1ж,Iдоп_2ж,Iдоп_3ж)*DZ56*EA56,_xlpm.dcx,BV56=1,_xlpm.inn,IF(_xlpm.dcx,N(O56),N(DT56)),_xlpm.smin,MAX(1.5,CC56),_xlpm.L_,N(P56)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56)/N(BU56)*100,999),IFERROR(N(EJ56)*(_xlpm.rho*_xlpm.L_/_xlpm.sz*N(CE56)+_xlpm.xx*_xlpm.L_*N(EK56)/1000)*N(O56)/((Uн_лин/SQRT(3))*1000)*100,999)),_xlpm.kz,IF(OR(_xlpm.dcx,DW56=1,NOT(ISNUMBER(EG56)),_xlpm.L_=0,_xlpm.inn=0),1,IFERROR(--(c_min*(Uн_лин*1000/SQRT(3))/(EG56+2*ρкз_Cu*_xlpm.L_/_xlpm.sz)&gt;=HT56*_xlpm.inn),0)),_xlpm.ok,IFERROR((_xlpm.sz&gt;=_xlpm.smin)*(_xlpm.t_&gt;=_xlpm.inn)*IF(_xlpm.L_&gt;0,(_xlpm.du_+IF(_xlpm.dcx,0,EF56)&lt;=EL56+0.00001),1)*_xlpm.kz,0),_xlpm.r_,_xlfn._xlws.FILTER(_xlpm.sz,_xlpm.ok,"не подобрано"),INDEX(_xlpm.r_,1)))</f>
        <v>1.5</v>
      </c>
      <c r="EN56">
        <f t="shared" si="53"/>
        <v>1.5</v>
      </c>
      <c r="EO56" cm="1">
        <f t="array" ref="EO56">IF(OR(B56="",BZ56="",EC56&lt;&gt;1),"",_xlfn.LET(_xlpm.sz,Iдоп_S,_xlpm.t_,CHOOSE(EB56,Iдоп_1ж,Iдоп_2ж,Iдоп_3ж)*DZ56*EA56,_xlpm.ok,IFERROR((_xlpm.sz&gt;=MAX(1.5,CC56))*(_xlpm.t_&gt;=N(DT56)),0),_xlpm.r_,_xlfn._xlws.FILTER(_xlpm.sz,_xlpm.ok,""),INDEX(_xlpm.r_,1)))</f>
        <v>1.5</v>
      </c>
      <c r="EP56" s="6" cm="1">
        <f t="array" ref="EP56">IFERROR(ROUNDUP(N(EJ56)*(_xlfn.XLOOKUP(EO56,INDEX(Кабель_сопротивление,0,1),INDEX(Кабель_сопротивление,0,3))*N(P56)/EO56*N(CE56)+_xlfn.XLOOKUP(EO56,INDEX(Кабель_сопротивление,0,1),INDEX(Кабель_сопротивление,0,2))*N(P56)*N(EK56)/1000)*N(O56)/((Uн_лин/SQRT(3))*1000)*100,2),"")</f>
        <v>0.11</v>
      </c>
      <c r="EQ56">
        <f>IFERROR(2*ρкз_Cu*N(P56)/EO56,"")</f>
        <v>0.63119999999999998</v>
      </c>
      <c r="ER56">
        <f>IFERROR(VLOOKUP(EN56,Кабель_сопротивление,3,FALSE),"")</f>
        <v>2.2499999999999999E-2</v>
      </c>
      <c r="ES56">
        <f>IFERROR(VLOOKUP(EN56,Кабель_сопротивление,2,FALSE),"")</f>
        <v>0.11</v>
      </c>
      <c r="ET56">
        <f t="shared" si="54"/>
        <v>18</v>
      </c>
      <c r="EU56">
        <f t="shared" si="55"/>
        <v>0</v>
      </c>
      <c r="EV56">
        <f t="shared" si="56"/>
        <v>0.23511290674641827</v>
      </c>
      <c r="EW56" s="6">
        <f>IFERROR(ROUNDUP(EV56/IF(BV56=1,BU56,(Uн_лин/SQRT(3))*1000)*100,2),"")</f>
        <v>0.11</v>
      </c>
      <c r="EX56" t="str">
        <f>IFERROR(VLOOKUP(BZ56,Кабель_обозначение,2,FALSE),"")</f>
        <v>ВВГнг(А)-LS</v>
      </c>
      <c r="EY56" t="str">
        <f t="shared" si="57"/>
        <v>ВВГнг(А)-LS (3х1,5)</v>
      </c>
      <c r="EZ56" t="str">
        <f t="shared" si="58"/>
        <v>ВВГнг(А)-LS (3х1,5)
L=18-0,11%</v>
      </c>
      <c r="FA56">
        <f>IFERROR(2*ρкз_Cu*P56/EN56,"")</f>
        <v>0.63119999999999998</v>
      </c>
      <c r="FB56">
        <f t="shared" si="59"/>
        <v>0.21000000000000005</v>
      </c>
      <c r="FC56" s="6" t="str">
        <f>IFERROR(IF(OR(B56="",BV56=1,NOT(ISNUMBER(EN56)),N(P56)=0),"",_xlfn.XLOOKUP(A56,Щиты[Щит],Щиты[Zпетли на шинах, Ом])+FA56),"")</f>
        <v/>
      </c>
      <c r="FD56" s="6" t="str">
        <f>IF(ISNUMBER(FC56),c_min*(Uн_лин*1000/SQRT(3))/FC56,"")</f>
        <v/>
      </c>
      <c r="FE56" s="6" t="str">
        <f>IFERROR(IF(OR(B56="",NOT(ISNUMBER(EN56))),"",1.05*(Uн_лин*1000/SQRT(3))/(_xlfn.XLOOKUP(A56,Щиты[Щит],Щиты[Zmax на шинах, Ом])+FB56)/1000),"")</f>
        <v/>
      </c>
      <c r="FF56" s="6" t="str">
        <f>IF(B56="","",IF(ISNUMBER(AC56),"Сил",IF(IFERROR(_xlfn.XLOOKUP(BC56,Коды_код,Коды_группа)&amp;"","")="","Быт",_xlfn.XLOOKUP(BC56,Коды_код,Коды_группа)&amp;"")))</f>
        <v>Сил</v>
      </c>
      <c r="FG56" s="6" t="str">
        <f t="shared" si="60"/>
        <v>Сил</v>
      </c>
      <c r="FH56" s="6">
        <f>IF(FG56="Щит","щит",IF(FG56="","",IF(FG56="Быт",IFERROR(_xlfn.XLOOKUP(A56,Щиты[Щит],Щиты[Кс быт]),1),IF(FG56="Сил",IF(ISNUMBER(AC56),AC56,IF(Методика="нормы 2026",IFERROR(_xlfn.XLOOKUP(A56,Щиты[Щит],Щиты[Кс силовых (табл. 7.5)]),1),1)),IF(OR(FG56="Пост",FG56="Отоп"),1,IF(FG56="ВНГ",0.7,0))))))</f>
        <v>0.5</v>
      </c>
      <c r="FI56">
        <f>IF(FG56="","",IF(AND(BP56=1,TRIM(AE56&amp;"")=""),IF(COUNTIFS(Линии[Щит],A56,Линии[Секция (1/2/3)],"&gt;=2")&gt;0,MIN(3,MAX(1,IFERROR(--BD56,1))),1),IFERROR(MIN(3,MAX(1,INT(--AE56))),1)))</f>
        <v>1</v>
      </c>
      <c r="FJ56">
        <f t="shared" si="61"/>
        <v>0.1</v>
      </c>
      <c r="FK56">
        <f t="shared" si="62"/>
        <v>0</v>
      </c>
      <c r="FL56">
        <f t="shared" si="63"/>
        <v>0.05</v>
      </c>
      <c r="FM56">
        <f t="shared" si="64"/>
        <v>0</v>
      </c>
      <c r="FN56">
        <f t="shared" si="65"/>
        <v>0</v>
      </c>
      <c r="FO56">
        <f t="shared" si="66"/>
        <v>0</v>
      </c>
      <c r="FP56">
        <f t="shared" si="67"/>
        <v>0.1</v>
      </c>
      <c r="FQ56">
        <f t="shared" si="68"/>
        <v>0.1</v>
      </c>
      <c r="FR56">
        <f t="shared" si="69"/>
        <v>8.0000000000000016E-2</v>
      </c>
      <c r="FS56">
        <f>IF(CG56=1,IF(AND(CH56=1,CW56=1),0,IF(AND(CS56&lt;&gt;"",CS56=BA56,CW56=1),SUMIFS(Линии[_Р линии, кВт],Линии[_блок УЗО],BA56,Линии[Щит],A56),N(BS56)+IF(AJ56="вручную",0,N(CK56)))),0)</f>
        <v>0.1</v>
      </c>
      <c r="FT56" t="str">
        <f t="shared" si="70"/>
        <v/>
      </c>
      <c r="FU56" t="str">
        <f>IF(B56="","",IF(CG56=0,IF(BA56=1,"",FW55),IF(AND(CH56=1,CW56=1,CS56&lt;&gt;""),IFERROR(_xlfn.XLOOKUP(CS56,Линии[_n],Линии[_фаза итог]),"L1"),IF(OR(N(DL56)&gt;=3,N(BX56)&gt;=3),"L1,L2,L3",IFERROR(_xlfn.TEXTBEFORE(_xlfn.TEXTAFTER(_xlfn.XLOOKUP(A56,Щиты[Щит],Щиты[_фазы авто]),";"&amp;BA56&amp;":"),";"),"L1")))))</f>
        <v>L1</v>
      </c>
      <c r="FV56" t="str">
        <f t="shared" si="71"/>
        <v>L1</v>
      </c>
      <c r="FW56" t="str">
        <f t="shared" si="72"/>
        <v>L1</v>
      </c>
      <c r="FX56" cm="1">
        <f t="array" ref="FX56">IFERROR(IF(CD56=2,_xlfn.IFS(BX56=3,VLOOKUP(BS56,Справочная_двигатели,3,FALSE),BX56=1,VLOOKUP(BS56,Справочная_двигатели,5,TRUE)),0),0)</f>
        <v>0</v>
      </c>
      <c r="FY56">
        <f>IFERROR(IF(CD56=3,VLOOKUP(BS56,Справочная_ЛЭД,2,TRUE),0),0)</f>
        <v>0</v>
      </c>
      <c r="FZ56" s="6">
        <f t="shared" si="73"/>
        <v>0</v>
      </c>
      <c r="GA56" t="str">
        <f>IF(B56="","",IF(TRIM(AH56&amp;"")&lt;&gt;"",IF(LOWER(TRIM(AH56&amp;""))="да","да","нет"),IF(IFERROR(_xlfn.XLOOKUP(BC56,Коды_код,Коды_пожарная),"")="да","да","нет")))</f>
        <v>нет</v>
      </c>
      <c r="GB56" t="str">
        <f t="shared" si="74"/>
        <v/>
      </c>
      <c r="GC56" t="str">
        <f t="shared" si="75"/>
        <v>основная</v>
      </c>
      <c r="GD56">
        <f>IF(AND(BP56=1,TRIM(AE56&amp;"")=""),IF(COUNTIFS(Линии[Щит],A56,Линии[Секция (1/2/3)],"&gt;=2")&gt;0,MIN(3,MAX(1,IFERROR(--BD56,1))),1),IFERROR(MIN(3,MAX(1,INT(--AE56))),1))</f>
        <v>1</v>
      </c>
      <c r="GE56" t="str" cm="1">
        <f t="array" ref="GE56">IF(B56="","",_xlfn.LET(_xlpm.t,IFERROR(_xlfn.XLOOKUP(1,(Шины[Шина]=GC56)*(((Шины[Щит]=A56)+(Шины[Щит]=""))&gt;0),Шины[Тип]),"")&amp;"",IF(_xlpm.t&lt;&gt;"",_xlpm.t,IF(ISNUMBER(SEARCH("ИБП",GC56)),"ИБП",IF(ISNUMBER(SEARCH("ДГУ",GC56)),"ДГУ","Ввод "&amp;GD56)))))</f>
        <v>Ввод 1</v>
      </c>
      <c r="GF56" t="str">
        <f t="shared" si="76"/>
        <v>Ввод 1</v>
      </c>
      <c r="GG56" t="str">
        <f>IF(BP56=0,"",IF(TRIM(AG56&amp;"")&lt;&gt;"",TRIM(AG56&amp;""),IF(OR(GE56="ИБП",GE56="ДГУ"),"I особая",_xlfn.XLOOKUP(A56,Щиты[Щит],Щиты[Категория шины «Ввод»],"III"))))</f>
        <v/>
      </c>
      <c r="GH56" t="str">
        <f>IF(A56="","",_xlfn.XLOOKUP(A56,Щиты[Щит],Щиты[Путь],""))</f>
        <v>|ГРЩ-ЖД|ЩОВ-001|</v>
      </c>
      <c r="GI56" t="str">
        <f>IF(B56="","",IF(AI56&lt;&gt;"",AI56,IF(IFERROR(_xlfn.XLOOKUP(BC56,Коды_код,Коды_вид)&amp;"","")="","Прочее",_xlfn.XLOOKUP(BC56,Коды_код,Коды_вид)&amp;"")))</f>
        <v>Вентиляция</v>
      </c>
      <c r="GJ56">
        <f>IF(BM56="","",INT((BM56-1)/Столбцов_на_лист)+1)</f>
        <v>1</v>
      </c>
      <c r="GK56" t="str">
        <f t="shared" si="77"/>
        <v>ВВГнг(А)-LS (3х1,5) L=18-0,11%</v>
      </c>
      <c r="GL56">
        <f t="shared" si="78"/>
        <v>0.1</v>
      </c>
      <c r="GM56">
        <f t="shared" si="79"/>
        <v>0.55000000000000004</v>
      </c>
      <c r="GN56">
        <f t="shared" si="80"/>
        <v>1</v>
      </c>
      <c r="GO56">
        <f t="shared" si="81"/>
        <v>0</v>
      </c>
      <c r="GP56">
        <f t="shared" si="82"/>
        <v>1</v>
      </c>
      <c r="GQ56">
        <f>IF(BM56="","",IF(AND(CG56=1,GP56=1),COUNTIFS(A$3:A56,A56,CG$3:CG56,1,GP$3:GP56,1),IF(OR(OR(BA56=1,A56&lt;&gt;A55),AJ56="вручную",GP56=0),"",IF(BA56=1,"",GR55))))</f>
        <v>3</v>
      </c>
      <c r="GR56">
        <f t="shared" si="83"/>
        <v>3</v>
      </c>
      <c r="GS56">
        <f>IF(B56="","",IFERROR(LOOKUP(INDEX(CHOOSE(EB56,Iдоп_1ж,Iдоп_2ж,Iдоп_3ж),MATCH(EN56,Iдоп_S,0))*DZ56*EA56,{6,10,16,20,25,32,40,50,63,80,100,125,160,200,250,315,400,500,630}),""))</f>
        <v>16</v>
      </c>
      <c r="GT56" t="str">
        <f t="shared" si="84"/>
        <v>QF3</v>
      </c>
      <c r="GU56" t="str">
        <f t="shared" si="85"/>
        <v>QF3</v>
      </c>
      <c r="GV56" t="str">
        <f t="shared" si="86"/>
        <v/>
      </c>
      <c r="GW56">
        <f t="shared" si="87"/>
        <v>0</v>
      </c>
      <c r="GX56" t="str">
        <f>IF(OR(B56="",DJ56=""),"",IFERROR(_xlfn.XLOOKUP(DJ56,Модули_умолч[Управление],Модули_умолч[Модель])&amp;"",""))</f>
        <v/>
      </c>
      <c r="GY56">
        <f>IF(DJ56="",1,IFERROR(MAX(0,N(_xlfn.XLOOKUP(DJ56,Модули_умолч[Управление],Модули_умолч[Каналов на линию]))),1))</f>
        <v>1</v>
      </c>
      <c r="GZ56" t="str">
        <f t="shared" si="88"/>
        <v/>
      </c>
      <c r="HA56" t="str">
        <f t="shared" si="89"/>
        <v/>
      </c>
      <c r="HB56" t="str">
        <f t="shared" si="90"/>
        <v/>
      </c>
      <c r="HC56">
        <f>IF(HB56="",0,IFERROR(N(VLOOKUP(HB56,Модули_спр,3,FALSE)),0))</f>
        <v>0</v>
      </c>
      <c r="HD56" t="str">
        <f t="shared" si="91"/>
        <v/>
      </c>
      <c r="HE56" t="str">
        <f t="shared" si="92"/>
        <v/>
      </c>
      <c r="HF56" t="str">
        <f>IF(OR(HE56="",HE56="-"),"",IFERROR(VLOOKUP(HE56,Модули_спр,2,FALSE),"R"))</f>
        <v/>
      </c>
      <c r="HG56" t="str">
        <f>IF(HF56="","",HF56&amp;"."&amp;COUNTIFS(A$3:A56,A56,HF$3:HF56,HF56))</f>
        <v/>
      </c>
      <c r="HH56" t="str">
        <f t="shared" si="93"/>
        <v/>
      </c>
      <c r="HI56" t="str">
        <f t="shared" si="94"/>
        <v/>
      </c>
      <c r="HJ56" t="str">
        <f t="shared" si="95"/>
        <v/>
      </c>
      <c r="HK56" t="str">
        <f t="shared" si="96"/>
        <v/>
      </c>
      <c r="HL56">
        <f t="shared" si="97"/>
        <v>1</v>
      </c>
      <c r="HM56" t="str">
        <f>IF(HL56=1,"XT"&amp;COUNTIFS(A$3:A56,A56,HL$3:HL56,1),"")</f>
        <v>XT3</v>
      </c>
      <c r="HN56" t="str">
        <f t="shared" si="98"/>
        <v>XT3</v>
      </c>
      <c r="HO56" t="str">
        <f t="shared" si="99"/>
        <v>QF3</v>
      </c>
      <c r="HP56" t="str">
        <f t="shared" si="100"/>
        <v/>
      </c>
      <c r="HQ56" t="str">
        <f t="shared" si="101"/>
        <v>ok</v>
      </c>
      <c r="HR56" t="str">
        <f>IF(OR(HJ56="",HH56=""),"",IF(HJ56+MAX(0,GY56-1)&gt;IFERROR(VLOOKUP(HI56,Модули_спр,3,FALSE),99),"ЛИШНИЙ КАНАЛ",IF(AND(AL56&lt;&gt;"=",GY56&gt;0,COUNTIFS(Линии[_модуль гр.],HH56,Линии[Канал (итог)],HJ56,Линии[Канал],"&lt;&gt;=",Линии[Щит],A56)&gt;1),"ДУБЛЬ КАНАЛА","")))</f>
        <v/>
      </c>
      <c r="HS56" s="6" t="str">
        <f t="shared" si="102"/>
        <v/>
      </c>
      <c r="HT56">
        <f t="shared" si="103"/>
        <v>10</v>
      </c>
      <c r="HU56" t="str">
        <f t="shared" si="104"/>
        <v/>
      </c>
      <c r="HV56">
        <f t="shared" si="105"/>
        <v>0.39650635094610964</v>
      </c>
      <c r="HW56">
        <f t="shared" si="106"/>
        <v>0</v>
      </c>
      <c r="HX56">
        <f t="shared" si="107"/>
        <v>0</v>
      </c>
      <c r="HY56">
        <f t="shared" si="108"/>
        <v>0</v>
      </c>
      <c r="HZ56">
        <f t="shared" si="109"/>
        <v>0</v>
      </c>
      <c r="IA56">
        <f t="shared" si="110"/>
        <v>0</v>
      </c>
      <c r="IB56">
        <f t="shared" si="111"/>
        <v>0</v>
      </c>
      <c r="IC56" t="str">
        <f t="shared" si="112"/>
        <v/>
      </c>
      <c r="ID56" t="str" cm="1">
        <f t="array" ref="ID56">IF(IC56="","",_xlfn.LET(_xlpm.tk,_xlfn.TEXTSPLIT(SUBSTITUTE(SUBSTITUTE(IC56,";"," "),"→"," ")," ",,TRUE),_xlpm.w_,_xlfn._xlws.FILTER(_xlpm.tk,ISNUMBER(--LEFT(_xlpm.tk,1))*((ISNUMBER(SEARCH("W",_xlpm.tk))+ISNUMBER(SEARCH("Вт",_xlpm.tk)))&gt;0),""),IFERROR(--SUBSTITUTE(SUBSTITUTE(UPPER(INDEX(_xlpm.w_,1)),"W",""),"ВТ",""),"")))</f>
        <v/>
      </c>
      <c r="IE56" t="str" cm="1">
        <f t="array" ref="IE56">IF(IC56="","",_xlfn.LET(_xlpm.tk,_xlfn.TEXTSPLIT(SUBSTITUTE(SUBSTITUTE(IC56,";"," "),"→"," ")," ",,TRUE),_xlpm.v_,_xlfn._xlws.FILTER(_xlpm.tk,ISNUMBER(--LEFT(_xlpm.tk,1))*((ISNUMBER(SEARCH("V",_xlpm.tk))+(RIGHT(UPPER(_xlpm.tk))="В"))&gt;0),""),IFERROR(--SUBSTITUTE(SUBSTITUTE(UPPER(INDEX(_xlpm.v_,1)),"V",""),"В",""),"")))</f>
        <v/>
      </c>
      <c r="IF56" s="6" t="str">
        <f>IF(OR(BV56=0,HI56="",HJ56=""),"",IFERROR(N(_xlfn.XLOOKUP(HI56,Каталог!$C$4:$C$500,Каталог!$Q$4:$Q$500)),""))</f>
        <v/>
      </c>
      <c r="IG56" s="6" t="str">
        <f>IF(N(IF56)=0,"",SUMIFS(Линии[Iр, А],Линии[Щит],A56,Линии[_модуль гр.],HH56,Линии[Канал (итог)],HJ56))</f>
        <v/>
      </c>
      <c r="IH56" t="str">
        <f>IF(AND(B56="",HO56=""),"",_xlfn.TEXTJOIN("; ",TRUE,IF(AND(B56&lt;&gt;"",FV56=""),"нет фазы",""),IF(AND(B56&lt;&gt;"",N(GL56)=0,FG56&lt;&gt;"Нет"),"нет мощности",""),IF(AND(HN56&lt;&gt;"",COUNTIFS(Линии[Щит],A56,Линии[Клемма (итог)],HN56)&gt;1),"дубль клеммы "&amp;HN56,""),IF(AND(HQ56&lt;&gt;"",HQ56&lt;&gt;"ok"),HQ56,""),IF(HR56&lt;&gt;"",HR56,""),IF(AND(N(CB56)&gt;=4,N(BX56)=1),CB56&amp;" жил на 1 фазе",""),IF(AND(BC56="R",CG56=1,IF(CS56&lt;&gt;"",N(CV56)&gt;30,OR(N(DA56)=0,N(DA56)&gt;30))),"розетка без дифзащиты до 30 мА",""),IF(AND(CG56=1,N(DA56)&gt;0,ISNUMBER(T56)),IF(T56&gt;N(DA56)/3,"ток утечки "&amp;FIXED(T56,1)&amp;" мА &gt; 1/3 уставки ("&amp;DA56&amp;" мА)",""),""),IF(AND(CH56=1,CS56=""),"«узо»: нет строки с УЗО выше (УЗО 2P 40А 30мА в «Аппаратах»)",""),IF(AND(CS56&lt;&gt;"",CS56=BA56),IF(CT56="","впишите номинал УЗО (УЗО 2P 40А 30мА)",IF(N(CT56)&lt;N(DT56),"УЗО "&amp;CT56&amp;" А &lt; автомата "&amp;DT56&amp;" А перед ним",IF(N(CT56)&lt;N(CX56),"УЗО "&amp;CT56&amp;" А &lt; тока блока "&amp;FIXED(CX56,1)&amp;" А",""))),""),IF(AND(CS56&lt;&gt;"",CS56=BA56,ISNUMBER(CY56)),IF(CY56&gt;N(CV56)/3,"ток утечки блока УЗО "&amp;FIXED(CY56,1)&amp;" мА &gt; 1/3 уставки ("&amp;CV56&amp;" мА)",""),""),IF(AND(CG56=1,N(BV56)+N(IB56)&gt;0,IC56=""),"линии до 50 В без БП: впишите в «Аппараты» (БП 24V 480W)",""),IF(AND(CG56=1,ISNUMBER(ID56),ISNUMBER(U56)),IF(U56&gt;ID56,"БП "&amp;ID56&amp;" Вт &lt; нужно "&amp;U56&amp;" Вт (×"&amp;Запас_БП&amp;")",""),""),IF(AND(CG56=1,ISNUMBER(IE56),N(BV56)=1),IF(IE56&lt;&gt;N(BU56),"БП на "&amp;IE56&amp;" В, линия "&amp;BU56&amp;" В",""),""),IF(AND(N(IF56)&gt;0,N(IG56)&gt;N(IF56)),HH56&amp;" канал "&amp;HJ56&amp;": "&amp;FIXED(IG56,1)&amp;" А &gt; "&amp;IF56&amp;" А",""),IFERROR(IF(AND(ISNUMBER(Q56),Q56&gt;EL56),"потери "&amp;FIXED(Q56,1)&amp;" % &gt; "&amp;EL56&amp;" %",""),""),IFERROR(IF(LEFT(HU56,4)="мало","Iкз мало — отключение &gt; 0,4 с",""),""),IF(AND(B56&lt;&gt;"",BM56=""),"не на схеме",""),IF(AND(CG56=0,B56&lt;&gt;"",FV56&lt;&gt;"",IF(BA56=1,"",FW55)&lt;&gt;"",FV56&lt;&gt;IF(BA56=1,"",FW55)),"фаза не как у автомата группы ("&amp;IF(BA56=1,"",FW55)&amp;")","")))</f>
        <v/>
      </c>
      <c r="II56" s="6">
        <f>IF(OR(CG56=0,DQ56=""),"",_xlfn.LET(_xlpm.t,IFERROR(_xlfn.XLOOKUP(DQ56,Каталог!$U$4:$U$500,Каталог!$G$4:$G$500),""),_xlpm.k,SEARCH("кА",_xlpm.t),IFERROR(--TRIM(RIGHT(SUBSTITUTE(MID(_xlpm.t,MAX(1,_xlpm.k-4),_xlpm.k-MAX(1,_xlpm.k-4))," ",REPT(" ",9)),5)),"")))</f>
        <v>6</v>
      </c>
      <c r="IJ56" t="str">
        <f>IF(OR(II56="",CG56=0),"",IF(_xlfn.XLOOKUP(A56,Щиты[Щит],Щиты[Iкз max на шинах, кА],"")="","",IF(II56&lt;_xlfn.XLOOKUP(A56,Щиты[Щит],Щиты[Iкз max на шинах, кА]),"Icu "&amp;II56&amp;" кА &lt; Iкз max","ok")))</f>
        <v/>
      </c>
      <c r="IK56" t="str">
        <f t="shared" si="113"/>
        <v/>
      </c>
      <c r="IL56" t="str">
        <f t="shared" si="114"/>
        <v>QF3|XT3</v>
      </c>
      <c r="IM56" t="str">
        <f t="shared" si="115"/>
        <v>QF3|XT3|кабель ВВГнг(А)-LS (3х1,5) → Вытяжная установка Подвальный этаж Пом №006T</v>
      </c>
      <c r="IN56" t="str" cm="1">
        <f t="array" ref="IN56">IF(IM56="","",_xlfn.LET(_xlpm.nd,_xlfn.TEXTSPLIT(IM56,"|"),IF(COLUMNS(_xlpm.nd)&gt;1,A56&amp;"¦"&amp;INDEX(_xlpm.nd,1)&amp;"¦"&amp;INDEX(_xlpm.nd,2),"")))</f>
        <v>ЩОВ-001¦QF3¦XT3</v>
      </c>
      <c r="IO56" t="str">
        <f t="shared" si="116"/>
        <v>В.11¦Вытяжная установка Подвальный этаж Пом №006T</v>
      </c>
      <c r="IP56" t="str" cm="1">
        <f t="array" ref="IP56">IF(IM56="","",_xlfn.LET(_xlpm.nd,_xlfn.TEXTSPLIT(IM56,"|"),IF(COLUMNS(_xlpm.nd)&gt;2,A56&amp;"¦"&amp;INDEX(_xlpm.nd,2)&amp;"¦"&amp;INDEX(_xlpm.nd,3),"")))</f>
        <v>ЩОВ-001¦XT3¦кабель ВВГнг(А)-LS (3х1,5) → Вытяжная установка Подвальный этаж Пом №006T</v>
      </c>
      <c r="IQ56" t="str">
        <f t="shared" si="117"/>
        <v>В.11¦Вытяжная установка Подвальный этаж Пом №006T</v>
      </c>
      <c r="IR56" t="str" cm="1">
        <f t="array" ref="IR56">IF(IM56="","",_xlfn.LET(_xlpm.nd,_xlfn.TEXTSPLIT(IM56,"|"),IF(COLUMNS(_xlpm.nd)&gt;3,A56&amp;"¦"&amp;INDEX(_xlpm.nd,3)&amp;"¦"&amp;INDEX(_xlpm.nd,4),"")))</f>
        <v/>
      </c>
      <c r="IS56" t="str">
        <f t="shared" si="118"/>
        <v/>
      </c>
      <c r="IT56" t="str" cm="1">
        <f t="array" ref="IT56">IF(IM56="","",_xlfn.LET(_xlpm.nd,_xlfn.TEXTSPLIT(IM56,"|"),IF(COLUMNS(_xlpm.nd)&gt;4,A56&amp;"¦"&amp;INDEX(_xlpm.nd,4)&amp;"¦"&amp;INDEX(_xlpm.nd,5),"")))</f>
        <v/>
      </c>
      <c r="IU56" t="str">
        <f t="shared" si="119"/>
        <v/>
      </c>
      <c r="IV56" t="str" cm="1">
        <f t="array" ref="IV56">IF(IM56="","",_xlfn.LET(_xlpm.nd,_xlfn.TEXTSPLIT(IM56,"|"),IF(COLUMNS(_xlpm.nd)&gt;5,A56&amp;"¦"&amp;INDEX(_xlpm.nd,5)&amp;"¦"&amp;INDEX(_xlpm.nd,6),"")))</f>
        <v/>
      </c>
      <c r="IW56" t="str">
        <f t="shared" si="120"/>
        <v/>
      </c>
      <c r="IX56" t="str" cm="1">
        <f t="array" ref="IX56">IF(IM56="","",_xlfn.LET(_xlpm.nd,_xlfn.TEXTSPLIT(IM56,"|"),IF(COLUMNS(_xlpm.nd)&gt;6,A56&amp;"¦"&amp;INDEX(_xlpm.nd,6)&amp;"¦"&amp;INDEX(_xlpm.nd,7),"")))</f>
        <v/>
      </c>
      <c r="IY56" t="str">
        <f t="shared" si="121"/>
        <v/>
      </c>
      <c r="IZ56" t="str">
        <f t="shared" si="122"/>
        <v/>
      </c>
      <c r="JA56" t="str">
        <f t="shared" si="123"/>
        <v>QF3 → XT3</v>
      </c>
      <c r="JB56">
        <f t="shared" si="124"/>
        <v>0</v>
      </c>
      <c r="JC56">
        <f t="shared" si="125"/>
        <v>0</v>
      </c>
      <c r="JD56" t="str">
        <f t="shared" si="126"/>
        <v/>
      </c>
      <c r="JE56" t="str">
        <f t="shared" si="127"/>
        <v/>
      </c>
      <c r="JF56" t="str">
        <f t="shared" si="128"/>
        <v/>
      </c>
      <c r="JG56" t="str">
        <f t="shared" si="129"/>
        <v/>
      </c>
      <c r="JH56" t="str">
        <f>IF(B56="","",IFERROR(_xlfn.XLOOKUP(B56,Коды_код,Коды_уго),IFERROR(_xlfn.XLOOKUP(BC56,Коды_код,Коды_уго),IFERROR(_xlfn.XLOOKUP(LEFT(BC56,2),Коды_код,Коды_уго),""))))</f>
        <v>Привод (двигатель)</v>
      </c>
      <c r="JI56" t="str">
        <f>IF(B56="","",IF(OR(JH56="",JH56=0),"BOX",IFERROR(IF(VLOOKUP(JH56,УГО_блоки,3,FALSE)&amp;""&lt;&gt;"",VLOOKUP(JH56,УГО_блоки,3,FALSE),VLOOKUP(JH56,УГО_блоки,2,FALSE)),JH56)))</f>
        <v>MOTOR</v>
      </c>
      <c r="JJ56">
        <f t="shared" si="130"/>
        <v>1</v>
      </c>
      <c r="JK56" t="str">
        <f>IF(DQ56="","",IF(COUNTIF(DQ$3:DQ56,DQ56)=1,MAX(JK$2:JK55)+1,""))</f>
        <v/>
      </c>
      <c r="JL56" t="str">
        <f>IF(DE56="","",IF(COUNTIF(DE$3:DE56,DE56)+COUNTIF(DF$2:DF55,DE56)+COUNTIF(DG$2:DG55,DE56)=1,MAX(JL$2:JN55)+1,""))</f>
        <v/>
      </c>
      <c r="JM56" t="str">
        <f>IF(DF56="","",IF(COUNTIF(DE$3:DE56,DF56)+COUNTIF(DF$3:DF56,DF56)+COUNTIF(DG$2:DG55,DF56)=1,MAX(JL$2:JN55,JL56)+1,""))</f>
        <v/>
      </c>
      <c r="JN56" t="str">
        <f>IF(DG56="","",IF(COUNTIF(DE$3:DE56,DG56)+COUNTIF(DF$3:DF56,DG56)+COUNTIF(DG$3:DG56,DG56)=1,MAX(JL$2:JN55,JL56,JM56)+1,""))</f>
        <v/>
      </c>
      <c r="JO56" t="str">
        <f t="shared" si="131"/>
        <v>3х1,5</v>
      </c>
      <c r="JP56" t="str">
        <f>IF(JO56="","",IF(COUNTIF(JO$3:JO56,JO56)=1,MAX(JP$2:JP55)+1,""))</f>
        <v/>
      </c>
      <c r="JQ56" t="str">
        <f>IF(HG56="","",COUNTIF(HG$3:HG56,"?*"))</f>
        <v/>
      </c>
      <c r="JR56" t="str">
        <f>IF(OR(HG56="",HI56=""),"",IF(COUNTIFS(HG$3:HG56,"?*",HI$3:HI56,HI56)=1,MAX(JR$2:JR55)+1,""))</f>
        <v/>
      </c>
      <c r="JS56">
        <f t="shared" si="132"/>
        <v>0</v>
      </c>
      <c r="JT56">
        <f>IF(B56="","",COUNTIF(B$3:B56,"?*"))</f>
        <v>54</v>
      </c>
      <c r="JU56">
        <f>IF(HL56&lt;&gt;1,0,_xlfn.LET(_xlpm.k,MAX(IFERROR(--_xlfn.XLOOKUP(B56,Коды_код,Коды_3L),0),IFERROR(--_xlfn.XLOOKUP(BC56,Коды_код,Коды_3L),0),IFERROR(--_xlfn.XLOOKUP(LEFT(BC56,2),Коды_код,Коды_3L),0)),IF(_xlpm.k&gt;0,_xlpm.k,IF(IFERROR(--LEFT(SUBSTITUTE(JO56,"x","х"),FIND("х",SUBSTITUTE(JO56,"x","х"))-1),3)&gt;3,Каталог!$S$9,1))))</f>
        <v>1</v>
      </c>
      <c r="JV56">
        <f t="shared" si="133"/>
        <v>0</v>
      </c>
      <c r="JW56" t="str">
        <f t="shared" si="134"/>
        <v>авто</v>
      </c>
      <c r="JX56" t="str">
        <f t="shared" si="135"/>
        <v/>
      </c>
      <c r="JY56">
        <f t="shared" si="136"/>
        <v>0</v>
      </c>
      <c r="JZ56">
        <f t="shared" si="137"/>
        <v>1</v>
      </c>
    </row>
    <row r="57" spans="1:286" x14ac:dyDescent="0.3">
      <c r="A57" t="s">
        <v>747</v>
      </c>
      <c r="B57" t="s">
        <v>1370</v>
      </c>
      <c r="C57" t="s">
        <v>1656</v>
      </c>
      <c r="D57">
        <v>1</v>
      </c>
      <c r="E57">
        <v>0.1</v>
      </c>
      <c r="G57">
        <v>10</v>
      </c>
      <c r="H57" t="str">
        <f>Линии[[#This Row],[_авто управление]]</f>
        <v/>
      </c>
      <c r="I57" t="str">
        <f>Линии[[#This Row],[_авто аппараты]]</f>
        <v/>
      </c>
      <c r="J57">
        <v>1.5</v>
      </c>
      <c r="K57">
        <v>11</v>
      </c>
      <c r="L57" t="str">
        <f>Линии[[#This Row],[_авто фаза]]</f>
        <v>L3</v>
      </c>
      <c r="M57" t="s">
        <v>484</v>
      </c>
      <c r="N57" t="str">
        <f t="shared" si="0"/>
        <v/>
      </c>
      <c r="O57" s="6" cm="1">
        <f t="array" ref="O57">IF(B57="","",IF(BH57&lt;&gt;"",IFERROR(_xlfn.XLOOKUP(BH57,Щиты[Щит],Щиты[Iр, А]),""),IF(BP57=1,IF(OR(N(_xlfn.XLOOKUP(A57,Щиты[Щит],Щиты[Вводов],1))&lt;=1,LOWER(TRIM(_xlfn.XLOOKUP(A57,Щиты[Щит],Щиты[АВР],"")&amp;""))="да"),IFERROR(_xlfn.XLOOKUP(A57,Щиты[Щит],Щиты[Iр, А]),""),IFERROR(N(BS57)*_xlfn.XLOOKUP(A57,Щиты[Щит],Щиты[Кс итог])/(SQRT(3)*Uн_лин*_xlfn.XLOOKUP(A57,Щиты[Щит],Щиты[cos φ])),"")),IF(BV57=1,IFERROR(BS57*1000/BU57,""),IFERROR(_xlfn.IFS(BX57=1,BS57/((Uн_лин/SQRT(3))*CE57),BX57=3,BS57/(SQRT(3)*Uн_лин*CE57)),"")))))</f>
        <v>0.5412658773652741</v>
      </c>
      <c r="P57" s="7">
        <f>IF(B57="","",IFERROR(IF(VLOOKUP(BC57,Потребители_обозначение,4,FALSE)=1,VLOOKUP(BC57,Потребители_обозначение,3,FALSE)*(MAX(1,N(D57))*2-1)+EI57+VLOOKUP(BE57,Этаж_обозначение,3,FALSE)+VLOOKUP(BE57,Этаж_обозначение,4,FALSE),VLOOKUP(BC57,Потребители_обозначение,3,FALSE)*(MAX(1,N(D57))*2-1)+EI57),EI57))</f>
        <v>15</v>
      </c>
      <c r="Q57" s="6">
        <f t="shared" si="1"/>
        <v>0.73</v>
      </c>
      <c r="R57" t="str">
        <f t="shared" si="2"/>
        <v>ВВГнг(А)-LS (3х1,5)</v>
      </c>
      <c r="S57" t="str">
        <f>IF(BM57="","",IF(BN57="вводной узел","узел ","")&amp;"л."&amp;(INT((BM57-1)/Столбцов_на_лист)+1)&amp;" / "&amp;(MOD(BM57-1,Столбцов_на_лист)+1))</f>
        <v>л.2 / 2</v>
      </c>
      <c r="T57" s="119">
        <f t="shared" si="3"/>
        <v>0.4</v>
      </c>
      <c r="U57" s="7" t="str">
        <f>IF(OR(CG57=0,N(BV57)+N(IB57)=0),"",ROUNDUP(Запас_БП*(N(HY57)+N(HZ57)),0))</f>
        <v/>
      </c>
      <c r="V57" s="119" t="str">
        <f t="shared" si="4"/>
        <v/>
      </c>
      <c r="W57" s="7" t="str">
        <f>IFERROR(IF(OR(B57="",BP57=1,BV57=1,NOT(ISNUMBER(EN57)),N(DT57)=0),"",MAX(0,ROUNDDOWN((c_min*(Uн_лин*1000/SQRT(3))/(HT57*N(DT57))-_xlfn.XLOOKUP(A57,Щиты[Щит],Щиты[Zпетли на шинах, Ом]))*EN57/(2*ρкз_Cu),0))),"")</f>
        <v/>
      </c>
      <c r="Y57" t="str">
        <f>Линии[[#This Row],[_авто утечка]]</f>
        <v/>
      </c>
      <c r="Z57">
        <v>1</v>
      </c>
      <c r="AA57">
        <v>230</v>
      </c>
      <c r="AB57" t="s">
        <v>598</v>
      </c>
      <c r="AC57">
        <v>0.5</v>
      </c>
      <c r="AG57" t="s">
        <v>810</v>
      </c>
      <c r="AI57" t="s">
        <v>580</v>
      </c>
      <c r="AK57" t="str">
        <f>Линии[[#This Row],[_авто модуль]]</f>
        <v/>
      </c>
      <c r="AM57">
        <v>19</v>
      </c>
      <c r="AN57" t="s">
        <v>11</v>
      </c>
      <c r="AO57">
        <v>3</v>
      </c>
      <c r="AR57">
        <v>15</v>
      </c>
      <c r="AT57">
        <v>1</v>
      </c>
      <c r="BA57" cm="1">
        <f t="array" ref="BA57">ROW()-ROW(Линии[#Headers])</f>
        <v>55</v>
      </c>
      <c r="BC57" s="6" t="str">
        <f t="shared" si="5"/>
        <v>В</v>
      </c>
      <c r="BD57" t="str">
        <f t="shared" si="6"/>
        <v>12</v>
      </c>
      <c r="BE57" t="str">
        <f t="shared" si="7"/>
        <v>12</v>
      </c>
      <c r="BF57" t="str">
        <f t="shared" si="8"/>
        <v/>
      </c>
      <c r="BG57" t="str">
        <f t="shared" si="9"/>
        <v/>
      </c>
      <c r="BH57" t="str">
        <f>IF(X57&lt;&gt;"",X57,IF(AND(B57&lt;&gt;"",B57&lt;&gt;A57,ISNUMBER(_xlfn.XMATCH(B57,Щиты[Щит]))),B57,""))</f>
        <v/>
      </c>
      <c r="BI57" t="str" cm="1">
        <f t="array" ref="BI57">IF(B57="","",IF(BH57&lt;&gt;"","Щит "&amp;BH57,_xlfn.LET(_xlpm.nm,IFERROR(_xlfn.XLOOKUP(BC57,Коды_код,Коды_имя)&amp;"",""),_xlpm.md,IFERROR(N(_xlfn.XLOOKUP(BC57,Коды_код,Коды_режим)),1),_xlpm.ex,IF(Имя_режим="по экспликации",IFERROR(_xlfn.XLOOKUP(BE57&amp;"|"&amp;BG57,Экспликация[Этаж]&amp;"|"&amp;Экспликация[Помещение],Экспликация[Название])&amp;"",""),""),_xlpm.rm,IF(BG57="","",IF(_xlpm.ex&lt;&gt;"",". "&amp;_xlpm.ex&amp;IF(Имя_пом="нет"," ("&amp;BG57&amp;")"," (пом. "&amp;BG57&amp;")"),IF(Имя_пом="нет"," ",", пом. ")&amp;BG57)),IF(_xlpm.nm="","",IF(_xlpm.md=2,_xlpm.nm&amp;" шлейф "&amp;BE57,_xlpm.nm&amp;_xlpm.rm)))))</f>
        <v>Вытяжная установка шлейф 12</v>
      </c>
      <c r="BJ57" t="str">
        <f t="shared" si="10"/>
        <v>Вытяжная установка Подвальный этаж Пом №006T</v>
      </c>
      <c r="BK57">
        <f>IFERROR(_xlfn.XMATCH(A57,Щиты[Щит]),0)</f>
        <v>4</v>
      </c>
      <c r="BL57">
        <f>_xlfn.LET(_xlpm.k,IFERROR(_xlfn.XLOOKUP(A57,Щиты[Щит],Щиты[Мест под вводной узел]),""),IF(_xlpm.k="",Столбцов_на_лист,N(_xlpm.k)))</f>
        <v>13</v>
      </c>
      <c r="BM57">
        <f t="shared" si="11"/>
        <v>19</v>
      </c>
      <c r="BN57" t="str">
        <f t="shared" si="12"/>
        <v>линии</v>
      </c>
      <c r="BO57" s="6">
        <f>IFERROR(N(_xlfn.XLOOKUP(BC57,Коды_код,Коды_квт)),0)</f>
        <v>0</v>
      </c>
      <c r="BP57">
        <f t="shared" si="13"/>
        <v>0</v>
      </c>
      <c r="BQ57" t="str">
        <f>IF(B57="","",IF(BH57&lt;&gt;"",IFERROR(_xlfn.XLOOKUP(BH57,Щиты[Щит],Щиты[Руст, кВт]),0),IF(BP57=1,IF(OR(N(_xlfn.XLOOKUP(A57,Щиты[Щит],Щиты[Вводов],1))&lt;=1,LOWER(TRIM(_xlfn.XLOOKUP(A57,Щиты[Щит],Щиты[АВР],"")&amp;""))="да"),IFERROR(_xlfn.XLOOKUP(A57,Щиты[Щит],Щиты[Руст, кВт]),0),SUMIFS(Линии[_Р для вводов],Линии[Щит],A57,Линии[Источник для режимов],GF57)),IF(BO57&gt;0,ROUND(BO57*MAX(1,N(D57)),3),""))))</f>
        <v/>
      </c>
      <c r="BR57">
        <f t="shared" si="14"/>
        <v>0.1</v>
      </c>
      <c r="BS57" s="6">
        <f>IF(B57="","",IF(BH57&lt;&gt;"",IFERROR(_xlfn.XLOOKUP(BH57,Щиты[Щит],Щиты[Руст, кВт]),0),N(BR57)))</f>
        <v>0.1</v>
      </c>
      <c r="BT57" t="str">
        <f>IF(B57="","",IFERROR(IF(VLOOKUP(BC57,Потребители_обозначение,8,FALSE)=0,"",VLOOKUP(BC57,Потребители_обозначение,8,FALSE)),""))</f>
        <v/>
      </c>
      <c r="BU57">
        <f t="shared" si="15"/>
        <v>230</v>
      </c>
      <c r="BV57">
        <f t="shared" si="16"/>
        <v>0</v>
      </c>
      <c r="BW57">
        <f>IF(B57="","",IF(BH57&lt;&gt;"",3,IFERROR(IF(N(VLOOKUP(BC57,Потребители_обозначение,9,FALSE))=0,1,VLOOKUP(BC57,Потребители_обозначение,9,FALSE)),1)))</f>
        <v>1</v>
      </c>
      <c r="BX57">
        <f t="shared" si="17"/>
        <v>1</v>
      </c>
      <c r="BY57" t="str">
        <f>IF(B57="","",_xlfn.LET(_xlpm.bc,IFERROR(IF(VLOOKUP(BC57,Потребители_обозначение,6,FALSE)=0,"",VLOOKUP(BC57,Потребители_обозначение,6,FALSE)&amp;""),""),IF(AND(GA57="да",OR(_xlpm.bc="",_xlpm.bc="мс")),Марка_пож,IF(AND(_xlpm.bc="",BH57&lt;&gt;""),"мс",_xlpm.bc))))</f>
        <v/>
      </c>
      <c r="BZ57" t="str">
        <f t="shared" si="18"/>
        <v>мс</v>
      </c>
      <c r="CA57">
        <f>IF(B57="","",_xlfn.LET(_xlpm.cc,IFERROR(N(VLOOKUP(BC57,Потребители_обозначение,7,FALSE)),0),IF(_xlpm.cc&gt;0,_xlpm.cc,IF(BZ57="","",IF(BV57=1,2,IF(N(BX57)=3,5,3))))))</f>
        <v>3</v>
      </c>
      <c r="CB57">
        <f t="shared" si="19"/>
        <v>3</v>
      </c>
      <c r="CC57">
        <f>IFERROR(N(VLOOKUP(BC57,Потребители_обозначение,10,FALSE)),0)</f>
        <v>0</v>
      </c>
      <c r="CD57">
        <f>IFERROR(VLOOKUP(BC57,Потребители_обозначение,5,FALSE),0)</f>
        <v>1</v>
      </c>
      <c r="CE57" s="6" cm="1">
        <f t="array" ref="CE57">IF(B57="","",IF(BH57&lt;&gt;"",IFERROR(_xlfn.XLOOKUP(BH57,Щиты[Щит],Щиты[cos φ]),0.95),IF(BP57=1,IFERROR(_xlfn.XLOOKUP(A57,Щиты[Щит],Щиты[cos φ]),0.95),IF(ISNUMBER(AD57),AD57,IFERROR(IF(CD57=2,_xlfn.IFS(BX57=3,VLOOKUP(BS57,Справочная_двигатели,8,FALSE),BX57=1,VLOOKUP(BS57,Справочная_двигатели,10,TRUE)),IF(AND(Методика="нормы 2026",FG57="Сил"),0.8,0.95)),0.95)))))</f>
        <v>0.8</v>
      </c>
      <c r="CF57">
        <f t="shared" si="20"/>
        <v>0</v>
      </c>
      <c r="CG57">
        <f t="shared" si="21"/>
        <v>1</v>
      </c>
      <c r="CH57">
        <f t="shared" si="22"/>
        <v>0</v>
      </c>
      <c r="CI57">
        <f>IF(B57="","",IF(BV57=1,IFERROR(BS57/((Uн_лин/SQRT(3))*MAX(0.5,N(CE57))),0),N(O57)))</f>
        <v>0.5412658773652741</v>
      </c>
      <c r="CJ57">
        <f t="shared" si="23"/>
        <v>0</v>
      </c>
      <c r="CK57">
        <f t="shared" si="24"/>
        <v>0</v>
      </c>
      <c r="CL57">
        <f t="shared" si="25"/>
        <v>0</v>
      </c>
      <c r="CM57">
        <f t="shared" si="26"/>
        <v>0</v>
      </c>
      <c r="CN57">
        <f t="shared" si="27"/>
        <v>0</v>
      </c>
      <c r="CO57">
        <f>IF(BC57="",0,_xlfn.LET(_xlpm.v,IFERROR(_xlfn.XLOOKUP(B57,Коды_код,Коды_мА),IFERROR(_xlfn.XLOOKUP(BC57,Коды_код,Коды_мА),IFERROR(_xlfn.XLOOKUP(LEFT(BC57,2),Коды_код,Коды_мА),""))),IF(_xlpm.v="да",30,IF(ISNUMBER(_xlpm.v),_xlpm.v,0))))</f>
        <v>0</v>
      </c>
      <c r="CP57" t="str">
        <f t="shared" si="28"/>
        <v/>
      </c>
      <c r="CQ57" t="str">
        <f>_xlfn.LET(_xlpm.k,IFERROR(_xlfn.XLOOKUP(BC57,Коды_код,Коды_утечка)&amp;"",""),IF(_xlpm.k="","дифавтомат",_xlpm.k))</f>
        <v>дифавтомат</v>
      </c>
      <c r="CR57" t="str" cm="1">
        <f t="array" ref="CR57">IF(CG57=0,"",_xlfn.LET(_xlpm.sg,TRIM(_xlfn.TEXTSPLIT(DD57&amp;"",";")),_xlpm.f_,_xlfn._xlws.FILTER(_xlpm.sg,LEFT(_xlpm.sg,3)="УЗО",""),IFERROR(INDEX(_xlpm.f_,1)&amp;"","")))</f>
        <v/>
      </c>
      <c r="CS57" t="str">
        <f t="shared" si="29"/>
        <v/>
      </c>
      <c r="CT57" s="6" t="str" cm="1">
        <f t="array" ref="CT57">IF(CR57="","",_xlfn.LET(_xlpm.tk,_xlfn.TEXTSPLIT(UPPER(CR57)," ",,TRUE),_xlpm.a_,_xlfn._xlws.FILTER(_xlpm.tk,ISNUMBER(--LEFT(_xlpm.tk,1))*((ISNUMBER(SEARCH("А",_xlpm.tk))+ISNUMBER(SEARCH("A",_xlpm.tk)))&gt;0)*NOT(ISNUMBER(SEARCH("МА",_xlpm.tk)))*NOT(ISNUMBER(SEARCH("MA",_xlpm.tk))),""),IFERROR(--SUBSTITUTE(SUBSTITUTE(INDEX(_xlpm.a_,1),"А",""),"A",""),"")))</f>
        <v/>
      </c>
      <c r="CU57" t="str" cm="1">
        <f t="array" ref="CU57">IF(CR57="","",_xlfn.LET(_xlpm.tk,_xlfn.TEXTSPLIT(UPPER(CR57)," ",,TRUE),_xlpm.a_,_xlfn._xlws.FILTER(_xlpm.tk,ISNUMBER(--LEFT(_xlpm.tk,1))*((ISNUMBER(SEARCH("МА",_xlpm.tk))+ISNUMBER(SEARCH("MA",_xlpm.tk)))&gt;0),""),IFERROR(--SUBSTITUTE(SUBSTITUTE(INDEX(_xlpm.a_,1),"МА",""),"MA",""),30)))</f>
        <v/>
      </c>
      <c r="CV57" t="str">
        <f>IF(CS57="","",IFERROR(_xlfn.XLOOKUP(CS57,Линии[_n],Линии[_УЗО, мА]),30))</f>
        <v/>
      </c>
      <c r="CW57">
        <f>IF(CS57="",0,IF(ISNUMBER(SEARCH("4P",IFERROR(_xlfn.XLOOKUP(CS57,Линии[_n],Линии[_УЗО строки])&amp;"",""))),0,1))</f>
        <v>0</v>
      </c>
      <c r="CX57" t="str">
        <f>IF(AND(CS57&lt;&gt;"",CS57=BA57),SUMIFS(Линии[_ток на 230 В],Линии[_блок УЗО],BA57,Линии[Щит],A57),"")</f>
        <v/>
      </c>
      <c r="CY57" t="str">
        <f>IF(AND(CS57&lt;&gt;"",CS57=BA57),SUMIFS(Линии[_ток утечки линии, мА],Линии[_блок УЗО],BA57,Линии[Щит],A57),"")</f>
        <v/>
      </c>
      <c r="CZ57">
        <f t="shared" si="30"/>
        <v>0</v>
      </c>
      <c r="DA57">
        <f t="shared" si="31"/>
        <v>0</v>
      </c>
      <c r="DB57">
        <f>IF(B57="",0,IFERROR(--_xlfn.XLOOKUP(B57,Коды_код,Коды_минавт),IFERROR(--_xlfn.XLOOKUP(BC57,Коды_код,Коды_минавт),IFERROR(--_xlfn.XLOOKUP(LEFT(BC57,2),Коды_код,Коды_минавт),0))))</f>
        <v>0</v>
      </c>
      <c r="DC57" t="str">
        <f>IF(B57="","",IFERROR(_xlfn.XLOOKUP(BC57,Коды_код,Коды_апп)&amp;"",""))</f>
        <v/>
      </c>
      <c r="DD57" t="str">
        <f t="shared" si="32"/>
        <v/>
      </c>
      <c r="DE57" t="str" cm="1">
        <f t="array" ref="DE57">IF(TRIM(DD57&amp;"")="","",IFERROR(TRIM(INDEX(_xlfn.TEXTSPLIT(DD57&amp;";;;",";"),1)),""))</f>
        <v/>
      </c>
      <c r="DF57" t="str" cm="1">
        <f t="array" ref="DF57">IF(TRIM(DD57&amp;"")="","",IFERROR(TRIM(INDEX(_xlfn.TEXTSPLIT(DD57&amp;";;;",";"),2)),""))</f>
        <v/>
      </c>
      <c r="DG57" t="str" cm="1">
        <f t="array" ref="DG57">IF(TRIM(DD57&amp;"")="","",IFERROR(TRIM(INDEX(_xlfn.TEXTSPLIT(DD57&amp;";;;",";"),3)),""))</f>
        <v/>
      </c>
      <c r="DH57">
        <f t="shared" si="33"/>
        <v>0</v>
      </c>
      <c r="DI57" t="str">
        <f>IF(B57="","",_xlfn.LET(_xlpm.t,LOWER(AZ57&amp;""),IF(ISNUMBER(SEARCH("dim",_xlpm.t)),"DIM",IF(ISNUMBER(SEARCH("dali",_xlpm.t)),"DALI",IF(OR(ISNUMBER(SEARCH("relay",_xlpm.t)),ISNUMBER(SEARCH("реле",_xlpm.t))),"Relay",IF(ISNUMBER(SEARCH("кнопк",_xlpm.t)),"",IFERROR(_xlfn.XLOOKUP(BC57,Коды_код,Коды_упр)&amp;"","")))))))</f>
        <v/>
      </c>
      <c r="DJ57" t="str">
        <f t="shared" si="34"/>
        <v/>
      </c>
      <c r="DK57">
        <f>IF(B57="","",_xlfn.LET(_xlpm.ig,IF(N(CX57)&gt;0,N(CX57),N(CI57)+IF(AJ57="вручную",0,N(CJ57))),_xlpm.n0,IFERROR(VLOOKUP(_xlpm.ig,Автомат_номиналы,2,TRUE),0),_xlpm.mn,MAX(DB57,IF(AJ57="вручную",0,N(CM57))),MAX(_xlpm.n0,_xlpm.mn,IF(DH57=1,Мин_автомат_БП,0))))</f>
        <v>6</v>
      </c>
      <c r="DL57">
        <f t="shared" si="35"/>
        <v>1</v>
      </c>
      <c r="DM57" t="str">
        <f t="shared" si="36"/>
        <v>1P</v>
      </c>
      <c r="DN57" t="str">
        <f>_xlfn.LET(_xlpm.cc,UPPER(TRIM(IFERROR(_xlfn.XLOOKUP(BC57,Коды_код,Коды_хар)&amp;"",""))),IF(OR(_xlpm.cc="B",_xlpm.cc="В"),"B",IF(_xlpm.cc="D","D","С")))</f>
        <v>С</v>
      </c>
      <c r="DO57" t="str">
        <f t="shared" si="37"/>
        <v>1P С6А</v>
      </c>
      <c r="DP57">
        <f t="shared" si="38"/>
        <v>10</v>
      </c>
      <c r="DQ57" t="str">
        <f t="shared" si="39"/>
        <v>1P С10А</v>
      </c>
      <c r="DR57" cm="1">
        <f t="array" ref="DR57">IF(DQ57="","",_xlfn.LET(_xlpm.t,SUBSTITUTE(SUBSTITUTE(SUBSTITUTE(UPPER(DQ57),"С","C"),"А","A"),"В","B"),_xlpm.tk,_xlfn.TEXTSPLIT(_xlpm.t," "),_xlpm.f,_xlfn._xlws.FILTER(_xlpm.tk,ISNUMBER(--MID(_xlpm.tk,2,1))*ISNUMBER(SEARCH(LEFT(_xlpm.tk,1)&amp;"#","B#C#D#"))*(LEN(_xlpm.tk)&gt;1),""),_xlpm.x,INDEX(_xlpm.f,1),IFERROR(--SUBSTITUTE(MID(_xlpm.x,2,9),"A",""),IFERROR(--SUBSTITUTE(INDEX(_xlfn._xlws.FILTER(_xlpm.tk,ISNUMBER(--SUBSTITUTE(_xlpm.tk,"A","")),""),1),"A",""),""))))</f>
        <v>10</v>
      </c>
      <c r="DS57" t="str">
        <f t="shared" si="40"/>
        <v>ok</v>
      </c>
      <c r="DT57">
        <f t="shared" si="41"/>
        <v>10</v>
      </c>
      <c r="DU57" t="str">
        <f t="shared" si="42"/>
        <v>1P С10А</v>
      </c>
      <c r="DV57">
        <f t="shared" si="43"/>
        <v>0</v>
      </c>
      <c r="DW57">
        <f t="shared" si="44"/>
        <v>0</v>
      </c>
      <c r="DX57">
        <f t="shared" si="45"/>
        <v>0</v>
      </c>
      <c r="DY57">
        <f t="shared" si="46"/>
        <v>0.5412658773652741</v>
      </c>
      <c r="DZ57">
        <f t="shared" si="47"/>
        <v>1</v>
      </c>
      <c r="EA57">
        <f>IF(ISNUMBER(AP57),AP57,К_прокл)</f>
        <v>1</v>
      </c>
      <c r="EB57">
        <f t="shared" si="48"/>
        <v>2</v>
      </c>
      <c r="EC57">
        <f>IFERROR(N(VLOOKUP(BZ57,Кабель_обозначение,3,FALSE)),1)</f>
        <v>1</v>
      </c>
      <c r="ED57">
        <f>IFERROR(N(_xlfn.XLOOKUP(A57,Щиты[Щит],Щиты[ΔU до шин, %])),0)</f>
        <v>0.64</v>
      </c>
      <c r="EE57" t="str">
        <f>IFERROR(_xlfn.XLOOKUP(A57,Щиты[Щит],Щиты[Zпетли на шинах, Ом]),"")</f>
        <v/>
      </c>
      <c r="EF57">
        <f>IFERROR(N(_xlfn.XLOOKUP(A57,Щиты[Щит],Щиты[ΔU до шин (подбор), %])),0)</f>
        <v>0.75</v>
      </c>
      <c r="EG57" t="str">
        <f>IFERROR(_xlfn.XLOOKUP(A57,Щиты[Щит],Щиты[Zпетли на шинах (подбор), Ом]),"")</f>
        <v/>
      </c>
      <c r="EH57" t="str">
        <f t="shared" si="49"/>
        <v/>
      </c>
      <c r="EI57">
        <f t="shared" si="50"/>
        <v>11</v>
      </c>
      <c r="EJ57">
        <f t="shared" si="51"/>
        <v>2</v>
      </c>
      <c r="EK57">
        <f t="shared" si="52"/>
        <v>0.6</v>
      </c>
      <c r="EL57" s="6">
        <f>IF(B57="","",IF(BV57=1,dU_LED,IF(IFERROR(_xlfn.XLOOKUP(BC57,Коды_код,Коды_уго),"")="Светильник",3,4)+IF(Методика="нормы 2026",MIN(0.5,MAX(0,N(P57)-100)*0.005),0)))</f>
        <v>4</v>
      </c>
      <c r="EM57" cm="1">
        <f t="array" ref="EM57">IF(OR(B57="",BZ57="",EC57&lt;&gt;1),"",_xlfn.LET(_xlpm.sz,Iдоп_S,_xlpm.t_,CHOOSE(EB57,Iдоп_1ж,Iдоп_2ж,Iдоп_3ж)*DZ57*EA57,_xlpm.dcx,BV57=1,_xlpm.inn,IF(_xlpm.dcx,N(O57),N(DT57)),_xlpm.smin,MAX(1.5,CC57),_xlpm.L_,N(P57)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57)/N(BU57)*100,999),IFERROR(N(EJ57)*(_xlpm.rho*_xlpm.L_/_xlpm.sz*N(CE57)+_xlpm.xx*_xlpm.L_*N(EK57)/1000)*N(O57)/((Uн_лин/SQRT(3))*1000)*100,999)),_xlpm.kz,IF(OR(_xlpm.dcx,DW57=1,NOT(ISNUMBER(EG57)),_xlpm.L_=0,_xlpm.inn=0),1,IFERROR(--(c_min*(Uн_лин*1000/SQRT(3))/(EG57+2*ρкз_Cu*_xlpm.L_/_xlpm.sz)&gt;=HT57*_xlpm.inn),0)),_xlpm.ok,IFERROR((_xlpm.sz&gt;=_xlpm.smin)*(_xlpm.t_&gt;=_xlpm.inn)*IF(_xlpm.L_&gt;0,(_xlpm.du_+IF(_xlpm.dcx,0,EF57)&lt;=EL57+0.00001),1)*_xlpm.kz,0),_xlpm.r_,_xlfn._xlws.FILTER(_xlpm.sz,_xlpm.ok,"не подобрано"),INDEX(_xlpm.r_,1)))</f>
        <v>1.5</v>
      </c>
      <c r="EN57">
        <f t="shared" si="53"/>
        <v>1.5</v>
      </c>
      <c r="EO57" cm="1">
        <f t="array" ref="EO57">IF(OR(B57="",BZ57="",EC57&lt;&gt;1),"",_xlfn.LET(_xlpm.sz,Iдоп_S,_xlpm.t_,CHOOSE(EB57,Iдоп_1ж,Iдоп_2ж,Iдоп_3ж)*DZ57*EA57,_xlpm.ok,IFERROR((_xlpm.sz&gt;=MAX(1.5,CC57))*(_xlpm.t_&gt;=N(DT57)),0),_xlpm.r_,_xlfn._xlws.FILTER(_xlpm.sz,_xlpm.ok,""),INDEX(_xlpm.r_,1)))</f>
        <v>1.5</v>
      </c>
      <c r="EP57" s="6" cm="1">
        <f t="array" ref="EP57">IFERROR(ROUNDUP(N(EJ57)*(_xlfn.XLOOKUP(EO57,INDEX(Кабель_сопротивление,0,1),INDEX(Кабель_сопротивление,0,3))*N(P57)/EO57*N(CE57)+_xlfn.XLOOKUP(EO57,INDEX(Кабель_сопротивление,0,1),INDEX(Кабель_сопротивление,0,2))*N(P57)*N(EK57)/1000)*N(O57)/((Uн_лин/SQRT(3))*1000)*100,2),"")</f>
        <v>0.09</v>
      </c>
      <c r="EQ57">
        <f>IFERROR(2*ρкз_Cu*N(P57)/EO57,"")</f>
        <v>0.52600000000000002</v>
      </c>
      <c r="ER57">
        <f>IFERROR(VLOOKUP(EN57,Кабель_сопротивление,3,FALSE),"")</f>
        <v>2.2499999999999999E-2</v>
      </c>
      <c r="ES57">
        <f>IFERROR(VLOOKUP(EN57,Кабель_сопротивление,2,FALSE),"")</f>
        <v>0.11</v>
      </c>
      <c r="ET57">
        <f t="shared" si="54"/>
        <v>15</v>
      </c>
      <c r="EU57">
        <f t="shared" si="55"/>
        <v>0</v>
      </c>
      <c r="EV57">
        <f t="shared" si="56"/>
        <v>0.1959274222886819</v>
      </c>
      <c r="EW57" s="6">
        <f>IFERROR(ROUNDUP(EV57/IF(BV57=1,BU57,(Uн_лин/SQRT(3))*1000)*100,2),"")</f>
        <v>0.09</v>
      </c>
      <c r="EX57" t="str">
        <f>IFERROR(VLOOKUP(BZ57,Кабель_обозначение,2,FALSE),"")</f>
        <v>ВВГнг(А)-LS</v>
      </c>
      <c r="EY57" t="str">
        <f t="shared" si="57"/>
        <v>ВВГнг(А)-LS (3х1,5)</v>
      </c>
      <c r="EZ57" t="str">
        <f t="shared" si="58"/>
        <v>ВВГнг(А)-LS (3х1,5)
L=15-0,09%</v>
      </c>
      <c r="FA57">
        <f>IFERROR(2*ρкз_Cu*P57/EN57,"")</f>
        <v>0.52600000000000002</v>
      </c>
      <c r="FB57">
        <f t="shared" si="59"/>
        <v>0.17500000000000002</v>
      </c>
      <c r="FC57" s="6" t="str">
        <f>IFERROR(IF(OR(B57="",BV57=1,NOT(ISNUMBER(EN57)),N(P57)=0),"",_xlfn.XLOOKUP(A57,Щиты[Щит],Щиты[Zпетли на шинах, Ом])+FA57),"")</f>
        <v/>
      </c>
      <c r="FD57" s="6" t="str">
        <f>IF(ISNUMBER(FC57),c_min*(Uн_лин*1000/SQRT(3))/FC57,"")</f>
        <v/>
      </c>
      <c r="FE57" s="6" t="str">
        <f>IFERROR(IF(OR(B57="",NOT(ISNUMBER(EN57))),"",1.05*(Uн_лин*1000/SQRT(3))/(_xlfn.XLOOKUP(A57,Щиты[Щит],Щиты[Zmax на шинах, Ом])+FB57)/1000),"")</f>
        <v/>
      </c>
      <c r="FF57" s="6" t="str">
        <f>IF(B57="","",IF(ISNUMBER(AC57),"Сил",IF(IFERROR(_xlfn.XLOOKUP(BC57,Коды_код,Коды_группа)&amp;"","")="","Быт",_xlfn.XLOOKUP(BC57,Коды_код,Коды_группа)&amp;"")))</f>
        <v>Сил</v>
      </c>
      <c r="FG57" s="6" t="str">
        <f t="shared" si="60"/>
        <v>Сил</v>
      </c>
      <c r="FH57" s="6">
        <f>IF(FG57="Щит","щит",IF(FG57="","",IF(FG57="Быт",IFERROR(_xlfn.XLOOKUP(A57,Щиты[Щит],Щиты[Кс быт]),1),IF(FG57="Сил",IF(ISNUMBER(AC57),AC57,IF(Методика="нормы 2026",IFERROR(_xlfn.XLOOKUP(A57,Щиты[Щит],Щиты[Кс силовых (табл. 7.5)]),1),1)),IF(OR(FG57="Пост",FG57="Отоп"),1,IF(FG57="ВНГ",0.7,0))))))</f>
        <v>0.5</v>
      </c>
      <c r="FI57">
        <f>IF(FG57="","",IF(AND(BP57=1,TRIM(AE57&amp;"")=""),IF(COUNTIFS(Линии[Щит],A57,Линии[Секция (1/2/3)],"&gt;=2")&gt;0,MIN(3,MAX(1,IFERROR(--BD57,1))),1),IFERROR(MIN(3,MAX(1,INT(--AE57))),1)))</f>
        <v>1</v>
      </c>
      <c r="FJ57">
        <f t="shared" si="61"/>
        <v>0.1</v>
      </c>
      <c r="FK57">
        <f t="shared" si="62"/>
        <v>0</v>
      </c>
      <c r="FL57">
        <f t="shared" si="63"/>
        <v>0.05</v>
      </c>
      <c r="FM57">
        <f t="shared" si="64"/>
        <v>0</v>
      </c>
      <c r="FN57">
        <f t="shared" si="65"/>
        <v>0</v>
      </c>
      <c r="FO57">
        <f t="shared" si="66"/>
        <v>0</v>
      </c>
      <c r="FP57">
        <f t="shared" si="67"/>
        <v>0.1</v>
      </c>
      <c r="FQ57">
        <f t="shared" si="68"/>
        <v>0.1</v>
      </c>
      <c r="FR57">
        <f t="shared" si="69"/>
        <v>8.0000000000000016E-2</v>
      </c>
      <c r="FS57">
        <f>IF(CG57=1,IF(AND(CH57=1,CW57=1),0,IF(AND(CS57&lt;&gt;"",CS57=BA57,CW57=1),SUMIFS(Линии[_Р линии, кВт],Линии[_блок УЗО],BA57,Линии[Щит],A57),N(BS57)+IF(AJ57="вручную",0,N(CK57)))),0)</f>
        <v>0.1</v>
      </c>
      <c r="FT57" t="str">
        <f t="shared" si="70"/>
        <v/>
      </c>
      <c r="FU57" t="str">
        <f>IF(B57="","",IF(CG57=0,IF(BA57=1,"",FW56),IF(AND(CH57=1,CW57=1,CS57&lt;&gt;""),IFERROR(_xlfn.XLOOKUP(CS57,Линии[_n],Линии[_фаза итог]),"L1"),IF(OR(N(DL57)&gt;=3,N(BX57)&gt;=3),"L1,L2,L3",IFERROR(_xlfn.TEXTBEFORE(_xlfn.TEXTAFTER(_xlfn.XLOOKUP(A57,Щиты[Щит],Щиты[_фазы авто]),";"&amp;BA57&amp;":"),";"),"L1")))))</f>
        <v>L3</v>
      </c>
      <c r="FV57" t="str">
        <f t="shared" si="71"/>
        <v>L3</v>
      </c>
      <c r="FW57" t="str">
        <f t="shared" si="72"/>
        <v>L3</v>
      </c>
      <c r="FX57" cm="1">
        <f t="array" ref="FX57">IFERROR(IF(CD57=2,_xlfn.IFS(BX57=3,VLOOKUP(BS57,Справочная_двигатели,3,FALSE),BX57=1,VLOOKUP(BS57,Справочная_двигатели,5,TRUE)),0),0)</f>
        <v>0</v>
      </c>
      <c r="FY57">
        <f>IFERROR(IF(CD57=3,VLOOKUP(BS57,Справочная_ЛЭД,2,TRUE),0),0)</f>
        <v>0</v>
      </c>
      <c r="FZ57" s="6">
        <f t="shared" si="73"/>
        <v>0</v>
      </c>
      <c r="GA57" t="str">
        <f>IF(B57="","",IF(TRIM(AH57&amp;"")&lt;&gt;"",IF(LOWER(TRIM(AH57&amp;""))="да","да","нет"),IF(IFERROR(_xlfn.XLOOKUP(BC57,Коды_код,Коды_пожарная),"")="да","да","нет")))</f>
        <v>нет</v>
      </c>
      <c r="GB57" t="str">
        <f t="shared" si="74"/>
        <v/>
      </c>
      <c r="GC57" t="str">
        <f t="shared" si="75"/>
        <v>основная</v>
      </c>
      <c r="GD57">
        <f>IF(AND(BP57=1,TRIM(AE57&amp;"")=""),IF(COUNTIFS(Линии[Щит],A57,Линии[Секция (1/2/3)],"&gt;=2")&gt;0,MIN(3,MAX(1,IFERROR(--BD57,1))),1),IFERROR(MIN(3,MAX(1,INT(--AE57))),1))</f>
        <v>1</v>
      </c>
      <c r="GE57" t="str" cm="1">
        <f t="array" ref="GE57">IF(B57="","",_xlfn.LET(_xlpm.t,IFERROR(_xlfn.XLOOKUP(1,(Шины[Шина]=GC57)*(((Шины[Щит]=A57)+(Шины[Щит]=""))&gt;0),Шины[Тип]),"")&amp;"",IF(_xlpm.t&lt;&gt;"",_xlpm.t,IF(ISNUMBER(SEARCH("ИБП",GC57)),"ИБП",IF(ISNUMBER(SEARCH("ДГУ",GC57)),"ДГУ","Ввод "&amp;GD57)))))</f>
        <v>Ввод 1</v>
      </c>
      <c r="GF57" t="str">
        <f t="shared" si="76"/>
        <v>Ввод 1</v>
      </c>
      <c r="GG57" t="str">
        <f>IF(BP57=0,"",IF(TRIM(AG57&amp;"")&lt;&gt;"",TRIM(AG57&amp;""),IF(OR(GE57="ИБП",GE57="ДГУ"),"I особая",_xlfn.XLOOKUP(A57,Щиты[Щит],Щиты[Категория шины «Ввод»],"III"))))</f>
        <v/>
      </c>
      <c r="GH57" t="str">
        <f>IF(A57="","",_xlfn.XLOOKUP(A57,Щиты[Щит],Щиты[Путь],""))</f>
        <v>|ГРЩ-ЖД|ЩОВ-001|</v>
      </c>
      <c r="GI57" t="str">
        <f>IF(B57="","",IF(AI57&lt;&gt;"",AI57,IF(IFERROR(_xlfn.XLOOKUP(BC57,Коды_код,Коды_вид)&amp;"","")="","Прочее",_xlfn.XLOOKUP(BC57,Коды_код,Коды_вид)&amp;"")))</f>
        <v>Вентиляция</v>
      </c>
      <c r="GJ57">
        <f>IF(BM57="","",INT((BM57-1)/Столбцов_на_лист)+1)</f>
        <v>2</v>
      </c>
      <c r="GK57" t="str">
        <f t="shared" si="77"/>
        <v>ВВГнг(А)-LS (3х1,5) L=15-0,09%</v>
      </c>
      <c r="GL57">
        <f t="shared" si="78"/>
        <v>0.1</v>
      </c>
      <c r="GM57">
        <f t="shared" si="79"/>
        <v>0.55000000000000004</v>
      </c>
      <c r="GN57">
        <f t="shared" si="80"/>
        <v>1</v>
      </c>
      <c r="GO57">
        <f t="shared" si="81"/>
        <v>0</v>
      </c>
      <c r="GP57">
        <f t="shared" si="82"/>
        <v>1</v>
      </c>
      <c r="GQ57">
        <f>IF(BM57="","",IF(AND(CG57=1,GP57=1),COUNTIFS(A$3:A57,A57,CG$3:CG57,1,GP$3:GP57,1),IF(OR(OR(BA57=1,A57&lt;&gt;A56),AJ57="вручную",GP57=0),"",IF(BA57=1,"",GR56))))</f>
        <v>4</v>
      </c>
      <c r="GR57">
        <f t="shared" si="83"/>
        <v>4</v>
      </c>
      <c r="GS57">
        <f>IF(B57="","",IFERROR(LOOKUP(INDEX(CHOOSE(EB57,Iдоп_1ж,Iдоп_2ж,Iдоп_3ж),MATCH(EN57,Iдоп_S,0))*DZ57*EA57,{6,10,16,20,25,32,40,50,63,80,100,125,160,200,250,315,400,500,630}),""))</f>
        <v>16</v>
      </c>
      <c r="GT57" t="str">
        <f t="shared" si="84"/>
        <v>QF4</v>
      </c>
      <c r="GU57" t="str">
        <f t="shared" si="85"/>
        <v>QF4</v>
      </c>
      <c r="GV57" t="str">
        <f t="shared" si="86"/>
        <v/>
      </c>
      <c r="GW57">
        <f t="shared" si="87"/>
        <v>0</v>
      </c>
      <c r="GX57" t="str">
        <f>IF(OR(B57="",DJ57=""),"",IFERROR(_xlfn.XLOOKUP(DJ57,Модули_умолч[Управление],Модули_умолч[Модель])&amp;"",""))</f>
        <v/>
      </c>
      <c r="GY57">
        <f>IF(DJ57="",1,IFERROR(MAX(0,N(_xlfn.XLOOKUP(DJ57,Модули_умолч[Управление],Модули_умолч[Каналов на линию]))),1))</f>
        <v>1</v>
      </c>
      <c r="GZ57" t="str">
        <f t="shared" si="88"/>
        <v/>
      </c>
      <c r="HA57" t="str">
        <f t="shared" si="89"/>
        <v/>
      </c>
      <c r="HB57" t="str">
        <f t="shared" si="90"/>
        <v/>
      </c>
      <c r="HC57">
        <f>IF(HB57="",0,IFERROR(N(VLOOKUP(HB57,Модули_спр,3,FALSE)),0))</f>
        <v>0</v>
      </c>
      <c r="HD57" t="str">
        <f t="shared" si="91"/>
        <v/>
      </c>
      <c r="HE57" t="str">
        <f t="shared" si="92"/>
        <v/>
      </c>
      <c r="HF57" t="str">
        <f>IF(OR(HE57="",HE57="-"),"",IFERROR(VLOOKUP(HE57,Модули_спр,2,FALSE),"R"))</f>
        <v/>
      </c>
      <c r="HG57" t="str">
        <f>IF(HF57="","",HF57&amp;"."&amp;COUNTIFS(A$3:A57,A57,HF$3:HF57,HF57))</f>
        <v/>
      </c>
      <c r="HH57" t="str">
        <f t="shared" si="93"/>
        <v/>
      </c>
      <c r="HI57" t="str">
        <f t="shared" si="94"/>
        <v/>
      </c>
      <c r="HJ57" t="str">
        <f t="shared" si="95"/>
        <v/>
      </c>
      <c r="HK57" t="str">
        <f t="shared" si="96"/>
        <v/>
      </c>
      <c r="HL57">
        <f t="shared" si="97"/>
        <v>1</v>
      </c>
      <c r="HM57" t="str">
        <f>IF(HL57=1,"XT"&amp;COUNTIFS(A$3:A57,A57,HL$3:HL57,1),"")</f>
        <v>XT4</v>
      </c>
      <c r="HN57" t="str">
        <f t="shared" si="98"/>
        <v/>
      </c>
      <c r="HO57" t="str">
        <f t="shared" si="99"/>
        <v>QF4</v>
      </c>
      <c r="HP57" t="str">
        <f t="shared" si="100"/>
        <v/>
      </c>
      <c r="HQ57" t="str">
        <f t="shared" si="101"/>
        <v>ok</v>
      </c>
      <c r="HR57" t="str">
        <f>IF(OR(HJ57="",HH57=""),"",IF(HJ57+MAX(0,GY57-1)&gt;IFERROR(VLOOKUP(HI57,Модули_спр,3,FALSE),99),"ЛИШНИЙ КАНАЛ",IF(AND(AL57&lt;&gt;"=",GY57&gt;0,COUNTIFS(Линии[_модуль гр.],HH57,Линии[Канал (итог)],HJ57,Линии[Канал],"&lt;&gt;=",Линии[Щит],A57)&gt;1),"ДУБЛЬ КАНАЛА","")))</f>
        <v/>
      </c>
      <c r="HS57" s="6" t="str">
        <f t="shared" si="102"/>
        <v/>
      </c>
      <c r="HT57">
        <f t="shared" si="103"/>
        <v>10</v>
      </c>
      <c r="HU57" t="str">
        <f t="shared" si="104"/>
        <v/>
      </c>
      <c r="HV57">
        <f t="shared" si="105"/>
        <v>0.36650635094610962</v>
      </c>
      <c r="HW57">
        <f t="shared" si="106"/>
        <v>0</v>
      </c>
      <c r="HX57">
        <f t="shared" si="107"/>
        <v>0</v>
      </c>
      <c r="HY57">
        <f t="shared" si="108"/>
        <v>0</v>
      </c>
      <c r="HZ57">
        <f t="shared" si="109"/>
        <v>0</v>
      </c>
      <c r="IA57">
        <f t="shared" si="110"/>
        <v>0</v>
      </c>
      <c r="IB57">
        <f t="shared" si="111"/>
        <v>0</v>
      </c>
      <c r="IC57" t="str">
        <f t="shared" si="112"/>
        <v/>
      </c>
      <c r="ID57" t="str" cm="1">
        <f t="array" ref="ID57">IF(IC57="","",_xlfn.LET(_xlpm.tk,_xlfn.TEXTSPLIT(SUBSTITUTE(SUBSTITUTE(IC57,";"," "),"→"," ")," ",,TRUE),_xlpm.w_,_xlfn._xlws.FILTER(_xlpm.tk,ISNUMBER(--LEFT(_xlpm.tk,1))*((ISNUMBER(SEARCH("W",_xlpm.tk))+ISNUMBER(SEARCH("Вт",_xlpm.tk)))&gt;0),""),IFERROR(--SUBSTITUTE(SUBSTITUTE(UPPER(INDEX(_xlpm.w_,1)),"W",""),"ВТ",""),"")))</f>
        <v/>
      </c>
      <c r="IE57" t="str" cm="1">
        <f t="array" ref="IE57">IF(IC57="","",_xlfn.LET(_xlpm.tk,_xlfn.TEXTSPLIT(SUBSTITUTE(SUBSTITUTE(IC57,";"," "),"→"," ")," ",,TRUE),_xlpm.v_,_xlfn._xlws.FILTER(_xlpm.tk,ISNUMBER(--LEFT(_xlpm.tk,1))*((ISNUMBER(SEARCH("V",_xlpm.tk))+(RIGHT(UPPER(_xlpm.tk))="В"))&gt;0),""),IFERROR(--SUBSTITUTE(SUBSTITUTE(UPPER(INDEX(_xlpm.v_,1)),"V",""),"В",""),"")))</f>
        <v/>
      </c>
      <c r="IF57" s="6" t="str">
        <f>IF(OR(BV57=0,HI57="",HJ57=""),"",IFERROR(N(_xlfn.XLOOKUP(HI57,Каталог!$C$4:$C$500,Каталог!$Q$4:$Q$500)),""))</f>
        <v/>
      </c>
      <c r="IG57" s="6" t="str">
        <f>IF(N(IF57)=0,"",SUMIFS(Линии[Iр, А],Линии[Щит],A57,Линии[_модуль гр.],HH57,Линии[Канал (итог)],HJ57))</f>
        <v/>
      </c>
      <c r="IH57" t="str">
        <f>IF(AND(B57="",HO57=""),"",_xlfn.TEXTJOIN("; ",TRUE,IF(AND(B57&lt;&gt;"",FV57=""),"нет фазы",""),IF(AND(B57&lt;&gt;"",N(GL57)=0,FG57&lt;&gt;"Нет"),"нет мощности",""),IF(AND(HN57&lt;&gt;"",COUNTIFS(Линии[Щит],A57,Линии[Клемма (итог)],HN57)&gt;1),"дубль клеммы "&amp;HN57,""),IF(AND(HQ57&lt;&gt;"",HQ57&lt;&gt;"ok"),HQ57,""),IF(HR57&lt;&gt;"",HR57,""),IF(AND(N(CB57)&gt;=4,N(BX57)=1),CB57&amp;" жил на 1 фазе",""),IF(AND(BC57="R",CG57=1,IF(CS57&lt;&gt;"",N(CV57)&gt;30,OR(N(DA57)=0,N(DA57)&gt;30))),"розетка без дифзащиты до 30 мА",""),IF(AND(CG57=1,N(DA57)&gt;0,ISNUMBER(T57)),IF(T57&gt;N(DA57)/3,"ток утечки "&amp;FIXED(T57,1)&amp;" мА &gt; 1/3 уставки ("&amp;DA57&amp;" мА)",""),""),IF(AND(CH57=1,CS57=""),"«узо»: нет строки с УЗО выше (УЗО 2P 40А 30мА в «Аппаратах»)",""),IF(AND(CS57&lt;&gt;"",CS57=BA57),IF(CT57="","впишите номинал УЗО (УЗО 2P 40А 30мА)",IF(N(CT57)&lt;N(DT57),"УЗО "&amp;CT57&amp;" А &lt; автомата "&amp;DT57&amp;" А перед ним",IF(N(CT57)&lt;N(CX57),"УЗО "&amp;CT57&amp;" А &lt; тока блока "&amp;FIXED(CX57,1)&amp;" А",""))),""),IF(AND(CS57&lt;&gt;"",CS57=BA57,ISNUMBER(CY57)),IF(CY57&gt;N(CV57)/3,"ток утечки блока УЗО "&amp;FIXED(CY57,1)&amp;" мА &gt; 1/3 уставки ("&amp;CV57&amp;" мА)",""),""),IF(AND(CG57=1,N(BV57)+N(IB57)&gt;0,IC57=""),"линии до 50 В без БП: впишите в «Аппараты» (БП 24V 480W)",""),IF(AND(CG57=1,ISNUMBER(ID57),ISNUMBER(U57)),IF(U57&gt;ID57,"БП "&amp;ID57&amp;" Вт &lt; нужно "&amp;U57&amp;" Вт (×"&amp;Запас_БП&amp;")",""),""),IF(AND(CG57=1,ISNUMBER(IE57),N(BV57)=1),IF(IE57&lt;&gt;N(BU57),"БП на "&amp;IE57&amp;" В, линия "&amp;BU57&amp;" В",""),""),IF(AND(N(IF57)&gt;0,N(IG57)&gt;N(IF57)),HH57&amp;" канал "&amp;HJ57&amp;": "&amp;FIXED(IG57,1)&amp;" А &gt; "&amp;IF57&amp;" А",""),IFERROR(IF(AND(ISNUMBER(Q57),Q57&gt;EL57),"потери "&amp;FIXED(Q57,1)&amp;" % &gt; "&amp;EL57&amp;" %",""),""),IFERROR(IF(LEFT(HU57,4)="мало","Iкз мало — отключение &gt; 0,4 с",""),""),IF(AND(B57&lt;&gt;"",BM57=""),"не на схеме",""),IF(AND(CG57=0,B57&lt;&gt;"",FV57&lt;&gt;"",IF(BA57=1,"",FW56)&lt;&gt;"",FV57&lt;&gt;IF(BA57=1,"",FW56)),"фаза не как у автомата группы ("&amp;IF(BA57=1,"",FW56)&amp;")","")))</f>
        <v/>
      </c>
      <c r="II57" s="6">
        <f>IF(OR(CG57=0,DQ57=""),"",_xlfn.LET(_xlpm.t,IFERROR(_xlfn.XLOOKUP(DQ57,Каталог!$U$4:$U$500,Каталог!$G$4:$G$500),""),_xlpm.k,SEARCH("кА",_xlpm.t),IFERROR(--TRIM(RIGHT(SUBSTITUTE(MID(_xlpm.t,MAX(1,_xlpm.k-4),_xlpm.k-MAX(1,_xlpm.k-4))," ",REPT(" ",9)),5)),"")))</f>
        <v>6</v>
      </c>
      <c r="IJ57" t="str">
        <f>IF(OR(II57="",CG57=0),"",IF(_xlfn.XLOOKUP(A57,Щиты[Щит],Щиты[Iкз max на шинах, кА],"")="","",IF(II57&lt;_xlfn.XLOOKUP(A57,Щиты[Щит],Щиты[Iкз max на шинах, кА]),"Icu "&amp;II57&amp;" кА &lt; Iкз max","ok")))</f>
        <v/>
      </c>
      <c r="IK57" t="str">
        <f t="shared" si="113"/>
        <v/>
      </c>
      <c r="IL57" t="str">
        <f t="shared" si="114"/>
        <v>QF4</v>
      </c>
      <c r="IM57" t="str">
        <f t="shared" si="115"/>
        <v>QF4|кабель ВВГнг(А)-LS (3х1,5) → Вытяжная установка Подвальный этаж Пом №006T</v>
      </c>
      <c r="IN57" t="str" cm="1">
        <f t="array" ref="IN57">IF(IM57="","",_xlfn.LET(_xlpm.nd,_xlfn.TEXTSPLIT(IM57,"|"),IF(COLUMNS(_xlpm.nd)&gt;1,A57&amp;"¦"&amp;INDEX(_xlpm.nd,1)&amp;"¦"&amp;INDEX(_xlpm.nd,2),"")))</f>
        <v>ЩОВ-001¦QF4¦кабель ВВГнг(А)-LS (3х1,5) → Вытяжная установка Подвальный этаж Пом №006T</v>
      </c>
      <c r="IO57" t="str">
        <f t="shared" si="116"/>
        <v>В.12¦Вытяжная установка Подвальный этаж Пом №006T</v>
      </c>
      <c r="IP57" t="str" cm="1">
        <f t="array" ref="IP57">IF(IM57="","",_xlfn.LET(_xlpm.nd,_xlfn.TEXTSPLIT(IM57,"|"),IF(COLUMNS(_xlpm.nd)&gt;2,A57&amp;"¦"&amp;INDEX(_xlpm.nd,2)&amp;"¦"&amp;INDEX(_xlpm.nd,3),"")))</f>
        <v/>
      </c>
      <c r="IQ57" t="str">
        <f t="shared" si="117"/>
        <v/>
      </c>
      <c r="IR57" t="str" cm="1">
        <f t="array" ref="IR57">IF(IM57="","",_xlfn.LET(_xlpm.nd,_xlfn.TEXTSPLIT(IM57,"|"),IF(COLUMNS(_xlpm.nd)&gt;3,A57&amp;"¦"&amp;INDEX(_xlpm.nd,3)&amp;"¦"&amp;INDEX(_xlpm.nd,4),"")))</f>
        <v/>
      </c>
      <c r="IS57" t="str">
        <f t="shared" si="118"/>
        <v/>
      </c>
      <c r="IT57" t="str" cm="1">
        <f t="array" ref="IT57">IF(IM57="","",_xlfn.LET(_xlpm.nd,_xlfn.TEXTSPLIT(IM57,"|"),IF(COLUMNS(_xlpm.nd)&gt;4,A57&amp;"¦"&amp;INDEX(_xlpm.nd,4)&amp;"¦"&amp;INDEX(_xlpm.nd,5),"")))</f>
        <v/>
      </c>
      <c r="IU57" t="str">
        <f t="shared" si="119"/>
        <v/>
      </c>
      <c r="IV57" t="str" cm="1">
        <f t="array" ref="IV57">IF(IM57="","",_xlfn.LET(_xlpm.nd,_xlfn.TEXTSPLIT(IM57,"|"),IF(COLUMNS(_xlpm.nd)&gt;5,A57&amp;"¦"&amp;INDEX(_xlpm.nd,5)&amp;"¦"&amp;INDEX(_xlpm.nd,6),"")))</f>
        <v/>
      </c>
      <c r="IW57" t="str">
        <f t="shared" si="120"/>
        <v/>
      </c>
      <c r="IX57" t="str" cm="1">
        <f t="array" ref="IX57">IF(IM57="","",_xlfn.LET(_xlpm.nd,_xlfn.TEXTSPLIT(IM57,"|"),IF(COLUMNS(_xlpm.nd)&gt;6,A57&amp;"¦"&amp;INDEX(_xlpm.nd,6)&amp;"¦"&amp;INDEX(_xlpm.nd,7),"")))</f>
        <v/>
      </c>
      <c r="IY57" t="str">
        <f t="shared" si="121"/>
        <v/>
      </c>
      <c r="IZ57" t="str">
        <f t="shared" si="122"/>
        <v/>
      </c>
      <c r="JA57" t="str">
        <f t="shared" si="123"/>
        <v>QF4</v>
      </c>
      <c r="JB57">
        <f t="shared" si="124"/>
        <v>0</v>
      </c>
      <c r="JC57">
        <f t="shared" si="125"/>
        <v>0</v>
      </c>
      <c r="JD57" t="str">
        <f t="shared" si="126"/>
        <v/>
      </c>
      <c r="JE57" t="str">
        <f t="shared" si="127"/>
        <v/>
      </c>
      <c r="JF57" t="str">
        <f t="shared" si="128"/>
        <v/>
      </c>
      <c r="JG57" t="str">
        <f t="shared" si="129"/>
        <v/>
      </c>
      <c r="JH57" t="str">
        <f>IF(B57="","",IFERROR(_xlfn.XLOOKUP(B57,Коды_код,Коды_уго),IFERROR(_xlfn.XLOOKUP(BC57,Коды_код,Коды_уго),IFERROR(_xlfn.XLOOKUP(LEFT(BC57,2),Коды_код,Коды_уго),""))))</f>
        <v>Привод (двигатель)</v>
      </c>
      <c r="JI57" t="str">
        <f>IF(B57="","",IF(OR(JH57="",JH57=0),"BOX",IFERROR(IF(VLOOKUP(JH57,УГО_блоки,3,FALSE)&amp;""&lt;&gt;"",VLOOKUP(JH57,УГО_блоки,3,FALSE),VLOOKUP(JH57,УГО_блоки,2,FALSE)),JH57)))</f>
        <v>MOTOR</v>
      </c>
      <c r="JJ57">
        <f t="shared" si="130"/>
        <v>1</v>
      </c>
      <c r="JK57" t="str">
        <f>IF(DQ57="","",IF(COUNTIF(DQ$3:DQ57,DQ57)=1,MAX(JK$2:JK56)+1,""))</f>
        <v/>
      </c>
      <c r="JL57" t="str">
        <f>IF(DE57="","",IF(COUNTIF(DE$3:DE57,DE57)+COUNTIF(DF$2:DF56,DE57)+COUNTIF(DG$2:DG56,DE57)=1,MAX(JL$2:JN56)+1,""))</f>
        <v/>
      </c>
      <c r="JM57" t="str">
        <f>IF(DF57="","",IF(COUNTIF(DE$3:DE57,DF57)+COUNTIF(DF$3:DF57,DF57)+COUNTIF(DG$2:DG56,DF57)=1,MAX(JL$2:JN56,JL57)+1,""))</f>
        <v/>
      </c>
      <c r="JN57" t="str">
        <f>IF(DG57="","",IF(COUNTIF(DE$3:DE57,DG57)+COUNTIF(DF$3:DF57,DG57)+COUNTIF(DG$3:DG57,DG57)=1,MAX(JL$2:JN56,JL57,JM57)+1,""))</f>
        <v/>
      </c>
      <c r="JO57" t="str">
        <f t="shared" si="131"/>
        <v>3х1,5</v>
      </c>
      <c r="JP57" t="str">
        <f>IF(JO57="","",IF(COUNTIF(JO$3:JO57,JO57)=1,MAX(JP$2:JP56)+1,""))</f>
        <v/>
      </c>
      <c r="JQ57" t="str">
        <f>IF(HG57="","",COUNTIF(HG$3:HG57,"?*"))</f>
        <v/>
      </c>
      <c r="JR57" t="str">
        <f>IF(OR(HG57="",HI57=""),"",IF(COUNTIFS(HG$3:HG57,"?*",HI$3:HI57,HI57)=1,MAX(JR$2:JR56)+1,""))</f>
        <v/>
      </c>
      <c r="JS57">
        <f t="shared" si="132"/>
        <v>0</v>
      </c>
      <c r="JT57">
        <f>IF(B57="","",COUNTIF(B$3:B57,"?*"))</f>
        <v>55</v>
      </c>
      <c r="JU57">
        <f>IF(HL57&lt;&gt;1,0,_xlfn.LET(_xlpm.k,MAX(IFERROR(--_xlfn.XLOOKUP(B57,Коды_код,Коды_3L),0),IFERROR(--_xlfn.XLOOKUP(BC57,Коды_код,Коды_3L),0),IFERROR(--_xlfn.XLOOKUP(LEFT(BC57,2),Коды_код,Коды_3L),0)),IF(_xlpm.k&gt;0,_xlpm.k,IF(IFERROR(--LEFT(SUBSTITUTE(JO57,"x","х"),FIND("х",SUBSTITUTE(JO57,"x","х"))-1),3)&gt;3,Каталог!$S$9,1))))</f>
        <v>1</v>
      </c>
      <c r="JV57">
        <f t="shared" si="133"/>
        <v>0</v>
      </c>
      <c r="JW57" t="str">
        <f t="shared" si="134"/>
        <v>авто</v>
      </c>
      <c r="JX57" t="str">
        <f t="shared" si="135"/>
        <v/>
      </c>
      <c r="JY57">
        <f t="shared" si="136"/>
        <v>0</v>
      </c>
      <c r="JZ57">
        <f t="shared" si="137"/>
        <v>1</v>
      </c>
    </row>
    <row r="58" spans="1:286" x14ac:dyDescent="0.3">
      <c r="A58" t="s">
        <v>747</v>
      </c>
      <c r="B58" t="s">
        <v>1371</v>
      </c>
      <c r="C58" t="s">
        <v>1656</v>
      </c>
      <c r="D58">
        <v>1</v>
      </c>
      <c r="E58">
        <v>0.1</v>
      </c>
      <c r="G58">
        <v>10</v>
      </c>
      <c r="H58" t="str">
        <f>Линии[[#This Row],[_авто управление]]</f>
        <v/>
      </c>
      <c r="I58" t="str">
        <f>Линии[[#This Row],[_авто аппараты]]</f>
        <v/>
      </c>
      <c r="J58">
        <v>1.5</v>
      </c>
      <c r="K58">
        <v>12</v>
      </c>
      <c r="L58" t="str">
        <f>Линии[[#This Row],[_авто фаза]]</f>
        <v>L2</v>
      </c>
      <c r="M58" t="str">
        <f>Линии[[#This Row],[_авто клемма]]</f>
        <v>XT5</v>
      </c>
      <c r="N58" t="str">
        <f t="shared" si="0"/>
        <v/>
      </c>
      <c r="O58" s="6" cm="1">
        <f t="array" ref="O58">IF(B58="","",IF(BH58&lt;&gt;"",IFERROR(_xlfn.XLOOKUP(BH58,Щиты[Щит],Щиты[Iр, А]),""),IF(BP58=1,IF(OR(N(_xlfn.XLOOKUP(A58,Щиты[Щит],Щиты[Вводов],1))&lt;=1,LOWER(TRIM(_xlfn.XLOOKUP(A58,Щиты[Щит],Щиты[АВР],"")&amp;""))="да"),IFERROR(_xlfn.XLOOKUP(A58,Щиты[Щит],Щиты[Iр, А]),""),IFERROR(N(BS58)*_xlfn.XLOOKUP(A58,Щиты[Щит],Щиты[Кс итог])/(SQRT(3)*Uн_лин*_xlfn.XLOOKUP(A58,Щиты[Щит],Щиты[cos φ])),"")),IF(BV58=1,IFERROR(BS58*1000/BU58,""),IFERROR(_xlfn.IFS(BX58=1,BS58/((Uн_лин/SQRT(3))*CE58),BX58=3,BS58/(SQRT(3)*Uн_лин*CE58)),"")))))</f>
        <v>0.5412658773652741</v>
      </c>
      <c r="P58" s="7">
        <f>IF(B58="","",IFERROR(IF(VLOOKUP(BC58,Потребители_обозначение,4,FALSE)=1,VLOOKUP(BC58,Потребители_обозначение,3,FALSE)*(MAX(1,N(D58))*2-1)+EI58+VLOOKUP(BE58,Этаж_обозначение,3,FALSE)+VLOOKUP(BE58,Этаж_обозначение,4,FALSE),VLOOKUP(BC58,Потребители_обозначение,3,FALSE)*(MAX(1,N(D58))*2-1)+EI58),EI58))</f>
        <v>16</v>
      </c>
      <c r="Q58" s="6">
        <f t="shared" si="1"/>
        <v>0.74</v>
      </c>
      <c r="R58" t="str">
        <f t="shared" si="2"/>
        <v>ВВГнг(А)-LS (3х1,5)</v>
      </c>
      <c r="S58" t="str">
        <f>IF(BM58="","",IF(BN58="вводной узел","узел ","")&amp;"л."&amp;(INT((BM58-1)/Столбцов_на_лист)+1)&amp;" / "&amp;(MOD(BM58-1,Столбцов_на_лист)+1))</f>
        <v>л.2 / 3</v>
      </c>
      <c r="T58" s="119">
        <f t="shared" si="3"/>
        <v>0.4</v>
      </c>
      <c r="U58" s="7" t="str">
        <f>IF(OR(CG58=0,N(BV58)+N(IB58)=0),"",ROUNDUP(Запас_БП*(N(HY58)+N(HZ58)),0))</f>
        <v/>
      </c>
      <c r="V58" s="119" t="str">
        <f t="shared" si="4"/>
        <v/>
      </c>
      <c r="W58" s="7" t="str">
        <f>IFERROR(IF(OR(B58="",BP58=1,BV58=1,NOT(ISNUMBER(EN58)),N(DT58)=0),"",MAX(0,ROUNDDOWN((c_min*(Uн_лин*1000/SQRT(3))/(HT58*N(DT58))-_xlfn.XLOOKUP(A58,Щиты[Щит],Щиты[Zпетли на шинах, Ом]))*EN58/(2*ρкз_Cu),0))),"")</f>
        <v/>
      </c>
      <c r="Y58" t="str">
        <f>Линии[[#This Row],[_авто утечка]]</f>
        <v/>
      </c>
      <c r="Z58">
        <v>1</v>
      </c>
      <c r="AA58">
        <v>230</v>
      </c>
      <c r="AB58" t="s">
        <v>598</v>
      </c>
      <c r="AC58">
        <v>0.5</v>
      </c>
      <c r="AG58" t="s">
        <v>810</v>
      </c>
      <c r="AI58" t="s">
        <v>580</v>
      </c>
      <c r="AK58" t="str">
        <f>Линии[[#This Row],[_авто модуль]]</f>
        <v/>
      </c>
      <c r="AM58">
        <v>20</v>
      </c>
      <c r="AN58" t="s">
        <v>11</v>
      </c>
      <c r="AO58">
        <v>3</v>
      </c>
      <c r="AR58">
        <v>16</v>
      </c>
      <c r="AT58">
        <v>1</v>
      </c>
      <c r="BA58" cm="1">
        <f t="array" ref="BA58">ROW()-ROW(Линии[#Headers])</f>
        <v>56</v>
      </c>
      <c r="BC58" s="6" t="str">
        <f t="shared" si="5"/>
        <v>В</v>
      </c>
      <c r="BD58" t="str">
        <f t="shared" si="6"/>
        <v>13</v>
      </c>
      <c r="BE58" t="str">
        <f t="shared" si="7"/>
        <v>13</v>
      </c>
      <c r="BF58" t="str">
        <f t="shared" si="8"/>
        <v/>
      </c>
      <c r="BG58" t="str">
        <f t="shared" si="9"/>
        <v/>
      </c>
      <c r="BH58" t="str">
        <f>IF(X58&lt;&gt;"",X58,IF(AND(B58&lt;&gt;"",B58&lt;&gt;A58,ISNUMBER(_xlfn.XMATCH(B58,Щиты[Щит]))),B58,""))</f>
        <v/>
      </c>
      <c r="BI58" t="str" cm="1">
        <f t="array" ref="BI58">IF(B58="","",IF(BH58&lt;&gt;"","Щит "&amp;BH58,_xlfn.LET(_xlpm.nm,IFERROR(_xlfn.XLOOKUP(BC58,Коды_код,Коды_имя)&amp;"",""),_xlpm.md,IFERROR(N(_xlfn.XLOOKUP(BC58,Коды_код,Коды_режим)),1),_xlpm.ex,IF(Имя_режим="по экспликации",IFERROR(_xlfn.XLOOKUP(BE58&amp;"|"&amp;BG58,Экспликация[Этаж]&amp;"|"&amp;Экспликация[Помещение],Экспликация[Название])&amp;"",""),""),_xlpm.rm,IF(BG58="","",IF(_xlpm.ex&lt;&gt;"",". "&amp;_xlpm.ex&amp;IF(Имя_пом="нет"," ("&amp;BG58&amp;")"," (пом. "&amp;BG58&amp;")"),IF(Имя_пом="нет"," ",", пом. ")&amp;BG58)),IF(_xlpm.nm="","",IF(_xlpm.md=2,_xlpm.nm&amp;" шлейф "&amp;BE58,_xlpm.nm&amp;_xlpm.rm)))))</f>
        <v>Вытяжная установка шлейф 13</v>
      </c>
      <c r="BJ58" t="str">
        <f t="shared" si="10"/>
        <v>Вытяжная установка Подвальный этаж Пом №006T</v>
      </c>
      <c r="BK58">
        <f>IFERROR(_xlfn.XMATCH(A58,Щиты[Щит]),0)</f>
        <v>4</v>
      </c>
      <c r="BL58">
        <f>_xlfn.LET(_xlpm.k,IFERROR(_xlfn.XLOOKUP(A58,Щиты[Щит],Щиты[Мест под вводной узел]),""),IF(_xlpm.k="",Столбцов_на_лист,N(_xlpm.k)))</f>
        <v>13</v>
      </c>
      <c r="BM58">
        <f t="shared" si="11"/>
        <v>20</v>
      </c>
      <c r="BN58" t="str">
        <f t="shared" si="12"/>
        <v>линии</v>
      </c>
      <c r="BO58" s="6">
        <f>IFERROR(N(_xlfn.XLOOKUP(BC58,Коды_код,Коды_квт)),0)</f>
        <v>0</v>
      </c>
      <c r="BP58">
        <f t="shared" si="13"/>
        <v>0</v>
      </c>
      <c r="BQ58" t="str">
        <f>IF(B58="","",IF(BH58&lt;&gt;"",IFERROR(_xlfn.XLOOKUP(BH58,Щиты[Щит],Щиты[Руст, кВт]),0),IF(BP58=1,IF(OR(N(_xlfn.XLOOKUP(A58,Щиты[Щит],Щиты[Вводов],1))&lt;=1,LOWER(TRIM(_xlfn.XLOOKUP(A58,Щиты[Щит],Щиты[АВР],"")&amp;""))="да"),IFERROR(_xlfn.XLOOKUP(A58,Щиты[Щит],Щиты[Руст, кВт]),0),SUMIFS(Линии[_Р для вводов],Линии[Щит],A58,Линии[Источник для режимов],GF58)),IF(BO58&gt;0,ROUND(BO58*MAX(1,N(D58)),3),""))))</f>
        <v/>
      </c>
      <c r="BR58">
        <f t="shared" si="14"/>
        <v>0.1</v>
      </c>
      <c r="BS58" s="6">
        <f>IF(B58="","",IF(BH58&lt;&gt;"",IFERROR(_xlfn.XLOOKUP(BH58,Щиты[Щит],Щиты[Руст, кВт]),0),N(BR58)))</f>
        <v>0.1</v>
      </c>
      <c r="BT58" t="str">
        <f>IF(B58="","",IFERROR(IF(VLOOKUP(BC58,Потребители_обозначение,8,FALSE)=0,"",VLOOKUP(BC58,Потребители_обозначение,8,FALSE)),""))</f>
        <v/>
      </c>
      <c r="BU58">
        <f t="shared" si="15"/>
        <v>230</v>
      </c>
      <c r="BV58">
        <f t="shared" si="16"/>
        <v>0</v>
      </c>
      <c r="BW58">
        <f>IF(B58="","",IF(BH58&lt;&gt;"",3,IFERROR(IF(N(VLOOKUP(BC58,Потребители_обозначение,9,FALSE))=0,1,VLOOKUP(BC58,Потребители_обозначение,9,FALSE)),1)))</f>
        <v>1</v>
      </c>
      <c r="BX58">
        <f t="shared" si="17"/>
        <v>1</v>
      </c>
      <c r="BY58" t="str">
        <f>IF(B58="","",_xlfn.LET(_xlpm.bc,IFERROR(IF(VLOOKUP(BC58,Потребители_обозначение,6,FALSE)=0,"",VLOOKUP(BC58,Потребители_обозначение,6,FALSE)&amp;""),""),IF(AND(GA58="да",OR(_xlpm.bc="",_xlpm.bc="мс")),Марка_пож,IF(AND(_xlpm.bc="",BH58&lt;&gt;""),"мс",_xlpm.bc))))</f>
        <v/>
      </c>
      <c r="BZ58" t="str">
        <f t="shared" si="18"/>
        <v>мс</v>
      </c>
      <c r="CA58">
        <f>IF(B58="","",_xlfn.LET(_xlpm.cc,IFERROR(N(VLOOKUP(BC58,Потребители_обозначение,7,FALSE)),0),IF(_xlpm.cc&gt;0,_xlpm.cc,IF(BZ58="","",IF(BV58=1,2,IF(N(BX58)=3,5,3))))))</f>
        <v>3</v>
      </c>
      <c r="CB58">
        <f t="shared" si="19"/>
        <v>3</v>
      </c>
      <c r="CC58">
        <f>IFERROR(N(VLOOKUP(BC58,Потребители_обозначение,10,FALSE)),0)</f>
        <v>0</v>
      </c>
      <c r="CD58">
        <f>IFERROR(VLOOKUP(BC58,Потребители_обозначение,5,FALSE),0)</f>
        <v>1</v>
      </c>
      <c r="CE58" s="6" cm="1">
        <f t="array" ref="CE58">IF(B58="","",IF(BH58&lt;&gt;"",IFERROR(_xlfn.XLOOKUP(BH58,Щиты[Щит],Щиты[cos φ]),0.95),IF(BP58=1,IFERROR(_xlfn.XLOOKUP(A58,Щиты[Щит],Щиты[cos φ]),0.95),IF(ISNUMBER(AD58),AD58,IFERROR(IF(CD58=2,_xlfn.IFS(BX58=3,VLOOKUP(BS58,Справочная_двигатели,8,FALSE),BX58=1,VLOOKUP(BS58,Справочная_двигатели,10,TRUE)),IF(AND(Методика="нормы 2026",FG58="Сил"),0.8,0.95)),0.95)))))</f>
        <v>0.8</v>
      </c>
      <c r="CF58">
        <f t="shared" si="20"/>
        <v>0</v>
      </c>
      <c r="CG58">
        <f t="shared" si="21"/>
        <v>1</v>
      </c>
      <c r="CH58">
        <f t="shared" si="22"/>
        <v>0</v>
      </c>
      <c r="CI58">
        <f>IF(B58="","",IF(BV58=1,IFERROR(BS58/((Uн_лин/SQRT(3))*MAX(0.5,N(CE58))),0),N(O58)))</f>
        <v>0.5412658773652741</v>
      </c>
      <c r="CJ58">
        <f t="shared" si="23"/>
        <v>0</v>
      </c>
      <c r="CK58">
        <f t="shared" si="24"/>
        <v>0</v>
      </c>
      <c r="CL58">
        <f t="shared" si="25"/>
        <v>0</v>
      </c>
      <c r="CM58">
        <f t="shared" si="26"/>
        <v>0</v>
      </c>
      <c r="CN58">
        <f t="shared" si="27"/>
        <v>0</v>
      </c>
      <c r="CO58">
        <f>IF(BC58="",0,_xlfn.LET(_xlpm.v,IFERROR(_xlfn.XLOOKUP(B58,Коды_код,Коды_мА),IFERROR(_xlfn.XLOOKUP(BC58,Коды_код,Коды_мА),IFERROR(_xlfn.XLOOKUP(LEFT(BC58,2),Коды_код,Коды_мА),""))),IF(_xlpm.v="да",30,IF(ISNUMBER(_xlpm.v),_xlpm.v,0))))</f>
        <v>0</v>
      </c>
      <c r="CP58" t="str">
        <f t="shared" si="28"/>
        <v/>
      </c>
      <c r="CQ58" t="str">
        <f>_xlfn.LET(_xlpm.k,IFERROR(_xlfn.XLOOKUP(BC58,Коды_код,Коды_утечка)&amp;"",""),IF(_xlpm.k="","дифавтомат",_xlpm.k))</f>
        <v>дифавтомат</v>
      </c>
      <c r="CR58" t="str" cm="1">
        <f t="array" ref="CR58">IF(CG58=0,"",_xlfn.LET(_xlpm.sg,TRIM(_xlfn.TEXTSPLIT(DD58&amp;"",";")),_xlpm.f_,_xlfn._xlws.FILTER(_xlpm.sg,LEFT(_xlpm.sg,3)="УЗО",""),IFERROR(INDEX(_xlpm.f_,1)&amp;"","")))</f>
        <v/>
      </c>
      <c r="CS58" t="str">
        <f t="shared" si="29"/>
        <v/>
      </c>
      <c r="CT58" s="6" t="str" cm="1">
        <f t="array" ref="CT58">IF(CR58="","",_xlfn.LET(_xlpm.tk,_xlfn.TEXTSPLIT(UPPER(CR58)," ",,TRUE),_xlpm.a_,_xlfn._xlws.FILTER(_xlpm.tk,ISNUMBER(--LEFT(_xlpm.tk,1))*((ISNUMBER(SEARCH("А",_xlpm.tk))+ISNUMBER(SEARCH("A",_xlpm.tk)))&gt;0)*NOT(ISNUMBER(SEARCH("МА",_xlpm.tk)))*NOT(ISNUMBER(SEARCH("MA",_xlpm.tk))),""),IFERROR(--SUBSTITUTE(SUBSTITUTE(INDEX(_xlpm.a_,1),"А",""),"A",""),"")))</f>
        <v/>
      </c>
      <c r="CU58" t="str" cm="1">
        <f t="array" ref="CU58">IF(CR58="","",_xlfn.LET(_xlpm.tk,_xlfn.TEXTSPLIT(UPPER(CR58)," ",,TRUE),_xlpm.a_,_xlfn._xlws.FILTER(_xlpm.tk,ISNUMBER(--LEFT(_xlpm.tk,1))*((ISNUMBER(SEARCH("МА",_xlpm.tk))+ISNUMBER(SEARCH("MA",_xlpm.tk)))&gt;0),""),IFERROR(--SUBSTITUTE(SUBSTITUTE(INDEX(_xlpm.a_,1),"МА",""),"MA",""),30)))</f>
        <v/>
      </c>
      <c r="CV58" t="str">
        <f>IF(CS58="","",IFERROR(_xlfn.XLOOKUP(CS58,Линии[_n],Линии[_УЗО, мА]),30))</f>
        <v/>
      </c>
      <c r="CW58">
        <f>IF(CS58="",0,IF(ISNUMBER(SEARCH("4P",IFERROR(_xlfn.XLOOKUP(CS58,Линии[_n],Линии[_УЗО строки])&amp;"",""))),0,1))</f>
        <v>0</v>
      </c>
      <c r="CX58" t="str">
        <f>IF(AND(CS58&lt;&gt;"",CS58=BA58),SUMIFS(Линии[_ток на 230 В],Линии[_блок УЗО],BA58,Линии[Щит],A58),"")</f>
        <v/>
      </c>
      <c r="CY58" t="str">
        <f>IF(AND(CS58&lt;&gt;"",CS58=BA58),SUMIFS(Линии[_ток утечки линии, мА],Линии[_блок УЗО],BA58,Линии[Щит],A58),"")</f>
        <v/>
      </c>
      <c r="CZ58">
        <f t="shared" si="30"/>
        <v>0</v>
      </c>
      <c r="DA58">
        <f t="shared" si="31"/>
        <v>0</v>
      </c>
      <c r="DB58">
        <f>IF(B58="",0,IFERROR(--_xlfn.XLOOKUP(B58,Коды_код,Коды_минавт),IFERROR(--_xlfn.XLOOKUP(BC58,Коды_код,Коды_минавт),IFERROR(--_xlfn.XLOOKUP(LEFT(BC58,2),Коды_код,Коды_минавт),0))))</f>
        <v>0</v>
      </c>
      <c r="DC58" t="str">
        <f>IF(B58="","",IFERROR(_xlfn.XLOOKUP(BC58,Коды_код,Коды_апп)&amp;"",""))</f>
        <v/>
      </c>
      <c r="DD58" t="str">
        <f t="shared" si="32"/>
        <v/>
      </c>
      <c r="DE58" t="str" cm="1">
        <f t="array" ref="DE58">IF(TRIM(DD58&amp;"")="","",IFERROR(TRIM(INDEX(_xlfn.TEXTSPLIT(DD58&amp;";;;",";"),1)),""))</f>
        <v/>
      </c>
      <c r="DF58" t="str" cm="1">
        <f t="array" ref="DF58">IF(TRIM(DD58&amp;"")="","",IFERROR(TRIM(INDEX(_xlfn.TEXTSPLIT(DD58&amp;";;;",";"),2)),""))</f>
        <v/>
      </c>
      <c r="DG58" t="str" cm="1">
        <f t="array" ref="DG58">IF(TRIM(DD58&amp;"")="","",IFERROR(TRIM(INDEX(_xlfn.TEXTSPLIT(DD58&amp;";;;",";"),3)),""))</f>
        <v/>
      </c>
      <c r="DH58">
        <f t="shared" si="33"/>
        <v>0</v>
      </c>
      <c r="DI58" t="str">
        <f>IF(B58="","",_xlfn.LET(_xlpm.t,LOWER(AZ58&amp;""),IF(ISNUMBER(SEARCH("dim",_xlpm.t)),"DIM",IF(ISNUMBER(SEARCH("dali",_xlpm.t)),"DALI",IF(OR(ISNUMBER(SEARCH("relay",_xlpm.t)),ISNUMBER(SEARCH("реле",_xlpm.t))),"Relay",IF(ISNUMBER(SEARCH("кнопк",_xlpm.t)),"",IFERROR(_xlfn.XLOOKUP(BC58,Коды_код,Коды_упр)&amp;"","")))))))</f>
        <v/>
      </c>
      <c r="DJ58" t="str">
        <f t="shared" si="34"/>
        <v/>
      </c>
      <c r="DK58">
        <f>IF(B58="","",_xlfn.LET(_xlpm.ig,IF(N(CX58)&gt;0,N(CX58),N(CI58)+IF(AJ58="вручную",0,N(CJ58))),_xlpm.n0,IFERROR(VLOOKUP(_xlpm.ig,Автомат_номиналы,2,TRUE),0),_xlpm.mn,MAX(DB58,IF(AJ58="вручную",0,N(CM58))),MAX(_xlpm.n0,_xlpm.mn,IF(DH58=1,Мин_автомат_БП,0))))</f>
        <v>6</v>
      </c>
      <c r="DL58">
        <f t="shared" si="35"/>
        <v>1</v>
      </c>
      <c r="DM58" t="str">
        <f t="shared" si="36"/>
        <v>1P</v>
      </c>
      <c r="DN58" t="str">
        <f>_xlfn.LET(_xlpm.cc,UPPER(TRIM(IFERROR(_xlfn.XLOOKUP(BC58,Коды_код,Коды_хар)&amp;"",""))),IF(OR(_xlpm.cc="B",_xlpm.cc="В"),"B",IF(_xlpm.cc="D","D","С")))</f>
        <v>С</v>
      </c>
      <c r="DO58" t="str">
        <f t="shared" si="37"/>
        <v>1P С6А</v>
      </c>
      <c r="DP58">
        <f t="shared" si="38"/>
        <v>10</v>
      </c>
      <c r="DQ58" t="str">
        <f t="shared" si="39"/>
        <v>1P С10А</v>
      </c>
      <c r="DR58" cm="1">
        <f t="array" ref="DR58">IF(DQ58="","",_xlfn.LET(_xlpm.t,SUBSTITUTE(SUBSTITUTE(SUBSTITUTE(UPPER(DQ58),"С","C"),"А","A"),"В","B"),_xlpm.tk,_xlfn.TEXTSPLIT(_xlpm.t," "),_xlpm.f,_xlfn._xlws.FILTER(_xlpm.tk,ISNUMBER(--MID(_xlpm.tk,2,1))*ISNUMBER(SEARCH(LEFT(_xlpm.tk,1)&amp;"#","B#C#D#"))*(LEN(_xlpm.tk)&gt;1),""),_xlpm.x,INDEX(_xlpm.f,1),IFERROR(--SUBSTITUTE(MID(_xlpm.x,2,9),"A",""),IFERROR(--SUBSTITUTE(INDEX(_xlfn._xlws.FILTER(_xlpm.tk,ISNUMBER(--SUBSTITUTE(_xlpm.tk,"A","")),""),1),"A",""),""))))</f>
        <v>10</v>
      </c>
      <c r="DS58" t="str">
        <f t="shared" si="40"/>
        <v>ok</v>
      </c>
      <c r="DT58">
        <f t="shared" si="41"/>
        <v>10</v>
      </c>
      <c r="DU58" t="str">
        <f t="shared" si="42"/>
        <v>1P С10А</v>
      </c>
      <c r="DV58">
        <f t="shared" si="43"/>
        <v>0</v>
      </c>
      <c r="DW58">
        <f t="shared" si="44"/>
        <v>0</v>
      </c>
      <c r="DX58">
        <f t="shared" si="45"/>
        <v>0</v>
      </c>
      <c r="DY58">
        <f t="shared" si="46"/>
        <v>0.5412658773652741</v>
      </c>
      <c r="DZ58">
        <f t="shared" si="47"/>
        <v>1</v>
      </c>
      <c r="EA58">
        <f>IF(ISNUMBER(AP58),AP58,К_прокл)</f>
        <v>1</v>
      </c>
      <c r="EB58">
        <f t="shared" si="48"/>
        <v>2</v>
      </c>
      <c r="EC58">
        <f>IFERROR(N(VLOOKUP(BZ58,Кабель_обозначение,3,FALSE)),1)</f>
        <v>1</v>
      </c>
      <c r="ED58">
        <f>IFERROR(N(_xlfn.XLOOKUP(A58,Щиты[Щит],Щиты[ΔU до шин, %])),0)</f>
        <v>0.64</v>
      </c>
      <c r="EE58" t="str">
        <f>IFERROR(_xlfn.XLOOKUP(A58,Щиты[Щит],Щиты[Zпетли на шинах, Ом]),"")</f>
        <v/>
      </c>
      <c r="EF58">
        <f>IFERROR(N(_xlfn.XLOOKUP(A58,Щиты[Щит],Щиты[ΔU до шин (подбор), %])),0)</f>
        <v>0.75</v>
      </c>
      <c r="EG58" t="str">
        <f>IFERROR(_xlfn.XLOOKUP(A58,Щиты[Щит],Щиты[Zпетли на шинах (подбор), Ом]),"")</f>
        <v/>
      </c>
      <c r="EH58" t="str">
        <f t="shared" si="49"/>
        <v/>
      </c>
      <c r="EI58">
        <f t="shared" si="50"/>
        <v>12</v>
      </c>
      <c r="EJ58">
        <f t="shared" si="51"/>
        <v>2</v>
      </c>
      <c r="EK58">
        <f t="shared" si="52"/>
        <v>0.6</v>
      </c>
      <c r="EL58" s="6">
        <f>IF(B58="","",IF(BV58=1,dU_LED,IF(IFERROR(_xlfn.XLOOKUP(BC58,Коды_код,Коды_уго),"")="Светильник",3,4)+IF(Методика="нормы 2026",MIN(0.5,MAX(0,N(P58)-100)*0.005),0)))</f>
        <v>4</v>
      </c>
      <c r="EM58" cm="1">
        <f t="array" ref="EM58">IF(OR(B58="",BZ58="",EC58&lt;&gt;1),"",_xlfn.LET(_xlpm.sz,Iдоп_S,_xlpm.t_,CHOOSE(EB58,Iдоп_1ж,Iдоп_2ж,Iдоп_3ж)*DZ58*EA58,_xlpm.dcx,BV58=1,_xlpm.inn,IF(_xlpm.dcx,N(O58),N(DT58)),_xlpm.smin,MAX(1.5,CC58),_xlpm.L_,N(P58)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58)/N(BU58)*100,999),IFERROR(N(EJ58)*(_xlpm.rho*_xlpm.L_/_xlpm.sz*N(CE58)+_xlpm.xx*_xlpm.L_*N(EK58)/1000)*N(O58)/((Uн_лин/SQRT(3))*1000)*100,999)),_xlpm.kz,IF(OR(_xlpm.dcx,DW58=1,NOT(ISNUMBER(EG58)),_xlpm.L_=0,_xlpm.inn=0),1,IFERROR(--(c_min*(Uн_лин*1000/SQRT(3))/(EG58+2*ρкз_Cu*_xlpm.L_/_xlpm.sz)&gt;=HT58*_xlpm.inn),0)),_xlpm.ok,IFERROR((_xlpm.sz&gt;=_xlpm.smin)*(_xlpm.t_&gt;=_xlpm.inn)*IF(_xlpm.L_&gt;0,(_xlpm.du_+IF(_xlpm.dcx,0,EF58)&lt;=EL58+0.00001),1)*_xlpm.kz,0),_xlpm.r_,_xlfn._xlws.FILTER(_xlpm.sz,_xlpm.ok,"не подобрано"),INDEX(_xlpm.r_,1)))</f>
        <v>1.5</v>
      </c>
      <c r="EN58">
        <f t="shared" si="53"/>
        <v>1.5</v>
      </c>
      <c r="EO58" cm="1">
        <f t="array" ref="EO58">IF(OR(B58="",BZ58="",EC58&lt;&gt;1),"",_xlfn.LET(_xlpm.sz,Iдоп_S,_xlpm.t_,CHOOSE(EB58,Iдоп_1ж,Iдоп_2ж,Iдоп_3ж)*DZ58*EA58,_xlpm.ok,IFERROR((_xlpm.sz&gt;=MAX(1.5,CC58))*(_xlpm.t_&gt;=N(DT58)),0),_xlpm.r_,_xlfn._xlws.FILTER(_xlpm.sz,_xlpm.ok,""),INDEX(_xlpm.r_,1)))</f>
        <v>1.5</v>
      </c>
      <c r="EP58" s="6" cm="1">
        <f t="array" ref="EP58">IFERROR(ROUNDUP(N(EJ58)*(_xlfn.XLOOKUP(EO58,INDEX(Кабель_сопротивление,0,1),INDEX(Кабель_сопротивление,0,3))*N(P58)/EO58*N(CE58)+_xlfn.XLOOKUP(EO58,INDEX(Кабель_сопротивление,0,1),INDEX(Кабель_сопротивление,0,2))*N(P58)*N(EK58)/1000)*N(O58)/((Uн_лин/SQRT(3))*1000)*100,2),"")</f>
        <v>9.9999999999999992E-2</v>
      </c>
      <c r="EQ58">
        <f>IFERROR(2*ρкз_Cu*N(P58)/EO58,"")</f>
        <v>0.56106666666666671</v>
      </c>
      <c r="ER58">
        <f>IFERROR(VLOOKUP(EN58,Кабель_сопротивление,3,FALSE),"")</f>
        <v>2.2499999999999999E-2</v>
      </c>
      <c r="ES58">
        <f>IFERROR(VLOOKUP(EN58,Кабель_сопротивление,2,FALSE),"")</f>
        <v>0.11</v>
      </c>
      <c r="ET58">
        <f t="shared" si="54"/>
        <v>16</v>
      </c>
      <c r="EU58">
        <f t="shared" si="55"/>
        <v>0</v>
      </c>
      <c r="EV58">
        <f t="shared" si="56"/>
        <v>0.20898925044126071</v>
      </c>
      <c r="EW58" s="6">
        <f>IFERROR(ROUNDUP(EV58/IF(BV58=1,BU58,(Uн_лин/SQRT(3))*1000)*100,2),"")</f>
        <v>9.9999999999999992E-2</v>
      </c>
      <c r="EX58" t="str">
        <f>IFERROR(VLOOKUP(BZ58,Кабель_обозначение,2,FALSE),"")</f>
        <v>ВВГнг(А)-LS</v>
      </c>
      <c r="EY58" t="str">
        <f t="shared" si="57"/>
        <v>ВВГнг(А)-LS (3х1,5)</v>
      </c>
      <c r="EZ58" t="str">
        <f t="shared" si="58"/>
        <v>ВВГнг(А)-LS (3х1,5)
L=16-0,1%</v>
      </c>
      <c r="FA58">
        <f>IFERROR(2*ρкз_Cu*P58/EN58,"")</f>
        <v>0.56106666666666671</v>
      </c>
      <c r="FB58">
        <f t="shared" si="59"/>
        <v>0.18666666666666668</v>
      </c>
      <c r="FC58" s="6" t="str">
        <f>IFERROR(IF(OR(B58="",BV58=1,NOT(ISNUMBER(EN58)),N(P58)=0),"",_xlfn.XLOOKUP(A58,Щиты[Щит],Щиты[Zпетли на шинах, Ом])+FA58),"")</f>
        <v/>
      </c>
      <c r="FD58" s="6" t="str">
        <f>IF(ISNUMBER(FC58),c_min*(Uн_лин*1000/SQRT(3))/FC58,"")</f>
        <v/>
      </c>
      <c r="FE58" s="6" t="str">
        <f>IFERROR(IF(OR(B58="",NOT(ISNUMBER(EN58))),"",1.05*(Uн_лин*1000/SQRT(3))/(_xlfn.XLOOKUP(A58,Щиты[Щит],Щиты[Zmax на шинах, Ом])+FB58)/1000),"")</f>
        <v/>
      </c>
      <c r="FF58" s="6" t="str">
        <f>IF(B58="","",IF(ISNUMBER(AC58),"Сил",IF(IFERROR(_xlfn.XLOOKUP(BC58,Коды_код,Коды_группа)&amp;"","")="","Быт",_xlfn.XLOOKUP(BC58,Коды_код,Коды_группа)&amp;"")))</f>
        <v>Сил</v>
      </c>
      <c r="FG58" s="6" t="str">
        <f t="shared" si="60"/>
        <v>Сил</v>
      </c>
      <c r="FH58" s="6">
        <f>IF(FG58="Щит","щит",IF(FG58="","",IF(FG58="Быт",IFERROR(_xlfn.XLOOKUP(A58,Щиты[Щит],Щиты[Кс быт]),1),IF(FG58="Сил",IF(ISNUMBER(AC58),AC58,IF(Методика="нормы 2026",IFERROR(_xlfn.XLOOKUP(A58,Щиты[Щит],Щиты[Кс силовых (табл. 7.5)]),1),1)),IF(OR(FG58="Пост",FG58="Отоп"),1,IF(FG58="ВНГ",0.7,0))))))</f>
        <v>0.5</v>
      </c>
      <c r="FI58">
        <f>IF(FG58="","",IF(AND(BP58=1,TRIM(AE58&amp;"")=""),IF(COUNTIFS(Линии[Щит],A58,Линии[Секция (1/2/3)],"&gt;=2")&gt;0,MIN(3,MAX(1,IFERROR(--BD58,1))),1),IFERROR(MIN(3,MAX(1,INT(--AE58))),1)))</f>
        <v>1</v>
      </c>
      <c r="FJ58">
        <f t="shared" si="61"/>
        <v>0.1</v>
      </c>
      <c r="FK58">
        <f t="shared" si="62"/>
        <v>0</v>
      </c>
      <c r="FL58">
        <f t="shared" si="63"/>
        <v>0.05</v>
      </c>
      <c r="FM58">
        <f t="shared" si="64"/>
        <v>0</v>
      </c>
      <c r="FN58">
        <f t="shared" si="65"/>
        <v>0</v>
      </c>
      <c r="FO58">
        <f t="shared" si="66"/>
        <v>0</v>
      </c>
      <c r="FP58">
        <f t="shared" si="67"/>
        <v>0.1</v>
      </c>
      <c r="FQ58">
        <f t="shared" si="68"/>
        <v>0.1</v>
      </c>
      <c r="FR58">
        <f t="shared" si="69"/>
        <v>8.0000000000000016E-2</v>
      </c>
      <c r="FS58">
        <f>IF(CG58=1,IF(AND(CH58=1,CW58=1),0,IF(AND(CS58&lt;&gt;"",CS58=BA58,CW58=1),SUMIFS(Линии[_Р линии, кВт],Линии[_блок УЗО],BA58,Линии[Щит],A58),N(BS58)+IF(AJ58="вручную",0,N(CK58)))),0)</f>
        <v>0.1</v>
      </c>
      <c r="FT58" t="str">
        <f t="shared" si="70"/>
        <v/>
      </c>
      <c r="FU58" t="str">
        <f>IF(B58="","",IF(CG58=0,IF(BA58=1,"",FW57),IF(AND(CH58=1,CW58=1,CS58&lt;&gt;""),IFERROR(_xlfn.XLOOKUP(CS58,Линии[_n],Линии[_фаза итог]),"L1"),IF(OR(N(DL58)&gt;=3,N(BX58)&gt;=3),"L1,L2,L3",IFERROR(_xlfn.TEXTBEFORE(_xlfn.TEXTAFTER(_xlfn.XLOOKUP(A58,Щиты[Щит],Щиты[_фазы авто]),";"&amp;BA58&amp;":"),";"),"L1")))))</f>
        <v>L2</v>
      </c>
      <c r="FV58" t="str">
        <f t="shared" si="71"/>
        <v>L2</v>
      </c>
      <c r="FW58" t="str">
        <f t="shared" si="72"/>
        <v>L2</v>
      </c>
      <c r="FX58" cm="1">
        <f t="array" ref="FX58">IFERROR(IF(CD58=2,_xlfn.IFS(BX58=3,VLOOKUP(BS58,Справочная_двигатели,3,FALSE),BX58=1,VLOOKUP(BS58,Справочная_двигатели,5,TRUE)),0),0)</f>
        <v>0</v>
      </c>
      <c r="FY58">
        <f>IFERROR(IF(CD58=3,VLOOKUP(BS58,Справочная_ЛЭД,2,TRUE),0),0)</f>
        <v>0</v>
      </c>
      <c r="FZ58" s="6">
        <f t="shared" si="73"/>
        <v>0</v>
      </c>
      <c r="GA58" t="str">
        <f>IF(B58="","",IF(TRIM(AH58&amp;"")&lt;&gt;"",IF(LOWER(TRIM(AH58&amp;""))="да","да","нет"),IF(IFERROR(_xlfn.XLOOKUP(BC58,Коды_код,Коды_пожарная),"")="да","да","нет")))</f>
        <v>нет</v>
      </c>
      <c r="GB58" t="str">
        <f t="shared" si="74"/>
        <v/>
      </c>
      <c r="GC58" t="str">
        <f t="shared" si="75"/>
        <v>основная</v>
      </c>
      <c r="GD58">
        <f>IF(AND(BP58=1,TRIM(AE58&amp;"")=""),IF(COUNTIFS(Линии[Щит],A58,Линии[Секция (1/2/3)],"&gt;=2")&gt;0,MIN(3,MAX(1,IFERROR(--BD58,1))),1),IFERROR(MIN(3,MAX(1,INT(--AE58))),1))</f>
        <v>1</v>
      </c>
      <c r="GE58" t="str" cm="1">
        <f t="array" ref="GE58">IF(B58="","",_xlfn.LET(_xlpm.t,IFERROR(_xlfn.XLOOKUP(1,(Шины[Шина]=GC58)*(((Шины[Щит]=A58)+(Шины[Щит]=""))&gt;0),Шины[Тип]),"")&amp;"",IF(_xlpm.t&lt;&gt;"",_xlpm.t,IF(ISNUMBER(SEARCH("ИБП",GC58)),"ИБП",IF(ISNUMBER(SEARCH("ДГУ",GC58)),"ДГУ","Ввод "&amp;GD58)))))</f>
        <v>Ввод 1</v>
      </c>
      <c r="GF58" t="str">
        <f t="shared" si="76"/>
        <v>Ввод 1</v>
      </c>
      <c r="GG58" t="str">
        <f>IF(BP58=0,"",IF(TRIM(AG58&amp;"")&lt;&gt;"",TRIM(AG58&amp;""),IF(OR(GE58="ИБП",GE58="ДГУ"),"I особая",_xlfn.XLOOKUP(A58,Щиты[Щит],Щиты[Категория шины «Ввод»],"III"))))</f>
        <v/>
      </c>
      <c r="GH58" t="str">
        <f>IF(A58="","",_xlfn.XLOOKUP(A58,Щиты[Щит],Щиты[Путь],""))</f>
        <v>|ГРЩ-ЖД|ЩОВ-001|</v>
      </c>
      <c r="GI58" t="str">
        <f>IF(B58="","",IF(AI58&lt;&gt;"",AI58,IF(IFERROR(_xlfn.XLOOKUP(BC58,Коды_код,Коды_вид)&amp;"","")="","Прочее",_xlfn.XLOOKUP(BC58,Коды_код,Коды_вид)&amp;"")))</f>
        <v>Вентиляция</v>
      </c>
      <c r="GJ58">
        <f>IF(BM58="","",INT((BM58-1)/Столбцов_на_лист)+1)</f>
        <v>2</v>
      </c>
      <c r="GK58" t="str">
        <f t="shared" si="77"/>
        <v>ВВГнг(А)-LS (3х1,5) L=16-0,1%</v>
      </c>
      <c r="GL58">
        <f t="shared" si="78"/>
        <v>0.1</v>
      </c>
      <c r="GM58">
        <f t="shared" si="79"/>
        <v>0.55000000000000004</v>
      </c>
      <c r="GN58">
        <f t="shared" si="80"/>
        <v>1</v>
      </c>
      <c r="GO58">
        <f t="shared" si="81"/>
        <v>0</v>
      </c>
      <c r="GP58">
        <f t="shared" si="82"/>
        <v>1</v>
      </c>
      <c r="GQ58">
        <f>IF(BM58="","",IF(AND(CG58=1,GP58=1),COUNTIFS(A$3:A58,A58,CG$3:CG58,1,GP$3:GP58,1),IF(OR(OR(BA58=1,A58&lt;&gt;A57),AJ58="вручную",GP58=0),"",IF(BA58=1,"",GR57))))</f>
        <v>5</v>
      </c>
      <c r="GR58">
        <f t="shared" si="83"/>
        <v>5</v>
      </c>
      <c r="GS58">
        <f>IF(B58="","",IFERROR(LOOKUP(INDEX(CHOOSE(EB58,Iдоп_1ж,Iдоп_2ж,Iдоп_3ж),MATCH(EN58,Iдоп_S,0))*DZ58*EA58,{6,10,16,20,25,32,40,50,63,80,100,125,160,200,250,315,400,500,630}),""))</f>
        <v>16</v>
      </c>
      <c r="GT58" t="str">
        <f t="shared" si="84"/>
        <v>QF5</v>
      </c>
      <c r="GU58" t="str">
        <f t="shared" si="85"/>
        <v>QF5</v>
      </c>
      <c r="GV58" t="str">
        <f t="shared" si="86"/>
        <v/>
      </c>
      <c r="GW58">
        <f t="shared" si="87"/>
        <v>0</v>
      </c>
      <c r="GX58" t="str">
        <f>IF(OR(B58="",DJ58=""),"",IFERROR(_xlfn.XLOOKUP(DJ58,Модули_умолч[Управление],Модули_умолч[Модель])&amp;"",""))</f>
        <v/>
      </c>
      <c r="GY58">
        <f>IF(DJ58="",1,IFERROR(MAX(0,N(_xlfn.XLOOKUP(DJ58,Модули_умолч[Управление],Модули_умолч[Каналов на линию]))),1))</f>
        <v>1</v>
      </c>
      <c r="GZ58" t="str">
        <f t="shared" si="88"/>
        <v/>
      </c>
      <c r="HA58" t="str">
        <f t="shared" si="89"/>
        <v/>
      </c>
      <c r="HB58" t="str">
        <f t="shared" si="90"/>
        <v/>
      </c>
      <c r="HC58">
        <f>IF(HB58="",0,IFERROR(N(VLOOKUP(HB58,Модули_спр,3,FALSE)),0))</f>
        <v>0</v>
      </c>
      <c r="HD58" t="str">
        <f t="shared" si="91"/>
        <v/>
      </c>
      <c r="HE58" t="str">
        <f t="shared" si="92"/>
        <v/>
      </c>
      <c r="HF58" t="str">
        <f>IF(OR(HE58="",HE58="-"),"",IFERROR(VLOOKUP(HE58,Модули_спр,2,FALSE),"R"))</f>
        <v/>
      </c>
      <c r="HG58" t="str">
        <f>IF(HF58="","",HF58&amp;"."&amp;COUNTIFS(A$3:A58,A58,HF$3:HF58,HF58))</f>
        <v/>
      </c>
      <c r="HH58" t="str">
        <f t="shared" si="93"/>
        <v/>
      </c>
      <c r="HI58" t="str">
        <f t="shared" si="94"/>
        <v/>
      </c>
      <c r="HJ58" t="str">
        <f t="shared" si="95"/>
        <v/>
      </c>
      <c r="HK58" t="str">
        <f t="shared" si="96"/>
        <v/>
      </c>
      <c r="HL58">
        <f t="shared" si="97"/>
        <v>1</v>
      </c>
      <c r="HM58" t="str">
        <f>IF(HL58=1,"XT"&amp;COUNTIFS(A$3:A58,A58,HL$3:HL58,1),"")</f>
        <v>XT5</v>
      </c>
      <c r="HN58" t="str">
        <f t="shared" si="98"/>
        <v>XT5</v>
      </c>
      <c r="HO58" t="str">
        <f t="shared" si="99"/>
        <v>QF5</v>
      </c>
      <c r="HP58" t="str">
        <f t="shared" si="100"/>
        <v/>
      </c>
      <c r="HQ58" t="str">
        <f t="shared" si="101"/>
        <v>ok</v>
      </c>
      <c r="HR58" t="str">
        <f>IF(OR(HJ58="",HH58=""),"",IF(HJ58+MAX(0,GY58-1)&gt;IFERROR(VLOOKUP(HI58,Модули_спр,3,FALSE),99),"ЛИШНИЙ КАНАЛ",IF(AND(AL58&lt;&gt;"=",GY58&gt;0,COUNTIFS(Линии[_модуль гр.],HH58,Линии[Канал (итог)],HJ58,Линии[Канал],"&lt;&gt;=",Линии[Щит],A58)&gt;1),"ДУБЛЬ КАНАЛА","")))</f>
        <v/>
      </c>
      <c r="HS58" s="6" t="str">
        <f t="shared" si="102"/>
        <v/>
      </c>
      <c r="HT58">
        <f t="shared" si="103"/>
        <v>10</v>
      </c>
      <c r="HU58" t="str">
        <f t="shared" si="104"/>
        <v/>
      </c>
      <c r="HV58">
        <f t="shared" si="105"/>
        <v>0.37650635094610962</v>
      </c>
      <c r="HW58">
        <f t="shared" si="106"/>
        <v>0</v>
      </c>
      <c r="HX58">
        <f t="shared" si="107"/>
        <v>0</v>
      </c>
      <c r="HY58">
        <f t="shared" si="108"/>
        <v>0</v>
      </c>
      <c r="HZ58">
        <f t="shared" si="109"/>
        <v>0</v>
      </c>
      <c r="IA58">
        <f t="shared" si="110"/>
        <v>0</v>
      </c>
      <c r="IB58">
        <f t="shared" si="111"/>
        <v>0</v>
      </c>
      <c r="IC58" t="str">
        <f t="shared" si="112"/>
        <v/>
      </c>
      <c r="ID58" t="str" cm="1">
        <f t="array" ref="ID58">IF(IC58="","",_xlfn.LET(_xlpm.tk,_xlfn.TEXTSPLIT(SUBSTITUTE(SUBSTITUTE(IC58,";"," "),"→"," ")," ",,TRUE),_xlpm.w_,_xlfn._xlws.FILTER(_xlpm.tk,ISNUMBER(--LEFT(_xlpm.tk,1))*((ISNUMBER(SEARCH("W",_xlpm.tk))+ISNUMBER(SEARCH("Вт",_xlpm.tk)))&gt;0),""),IFERROR(--SUBSTITUTE(SUBSTITUTE(UPPER(INDEX(_xlpm.w_,1)),"W",""),"ВТ",""),"")))</f>
        <v/>
      </c>
      <c r="IE58" t="str" cm="1">
        <f t="array" ref="IE58">IF(IC58="","",_xlfn.LET(_xlpm.tk,_xlfn.TEXTSPLIT(SUBSTITUTE(SUBSTITUTE(IC58,";"," "),"→"," ")," ",,TRUE),_xlpm.v_,_xlfn._xlws.FILTER(_xlpm.tk,ISNUMBER(--LEFT(_xlpm.tk,1))*((ISNUMBER(SEARCH("V",_xlpm.tk))+(RIGHT(UPPER(_xlpm.tk))="В"))&gt;0),""),IFERROR(--SUBSTITUTE(SUBSTITUTE(UPPER(INDEX(_xlpm.v_,1)),"V",""),"В",""),"")))</f>
        <v/>
      </c>
      <c r="IF58" s="6" t="str">
        <f>IF(OR(BV58=0,HI58="",HJ58=""),"",IFERROR(N(_xlfn.XLOOKUP(HI58,Каталог!$C$4:$C$500,Каталог!$Q$4:$Q$500)),""))</f>
        <v/>
      </c>
      <c r="IG58" s="6" t="str">
        <f>IF(N(IF58)=0,"",SUMIFS(Линии[Iр, А],Линии[Щит],A58,Линии[_модуль гр.],HH58,Линии[Канал (итог)],HJ58))</f>
        <v/>
      </c>
      <c r="IH58" t="str">
        <f>IF(AND(B58="",HO58=""),"",_xlfn.TEXTJOIN("; ",TRUE,IF(AND(B58&lt;&gt;"",FV58=""),"нет фазы",""),IF(AND(B58&lt;&gt;"",N(GL58)=0,FG58&lt;&gt;"Нет"),"нет мощности",""),IF(AND(HN58&lt;&gt;"",COUNTIFS(Линии[Щит],A58,Линии[Клемма (итог)],HN58)&gt;1),"дубль клеммы "&amp;HN58,""),IF(AND(HQ58&lt;&gt;"",HQ58&lt;&gt;"ok"),HQ58,""),IF(HR58&lt;&gt;"",HR58,""),IF(AND(N(CB58)&gt;=4,N(BX58)=1),CB58&amp;" жил на 1 фазе",""),IF(AND(BC58="R",CG58=1,IF(CS58&lt;&gt;"",N(CV58)&gt;30,OR(N(DA58)=0,N(DA58)&gt;30))),"розетка без дифзащиты до 30 мА",""),IF(AND(CG58=1,N(DA58)&gt;0,ISNUMBER(T58)),IF(T58&gt;N(DA58)/3,"ток утечки "&amp;FIXED(T58,1)&amp;" мА &gt; 1/3 уставки ("&amp;DA58&amp;" мА)",""),""),IF(AND(CH58=1,CS58=""),"«узо»: нет строки с УЗО выше (УЗО 2P 40А 30мА в «Аппаратах»)",""),IF(AND(CS58&lt;&gt;"",CS58=BA58),IF(CT58="","впишите номинал УЗО (УЗО 2P 40А 30мА)",IF(N(CT58)&lt;N(DT58),"УЗО "&amp;CT58&amp;" А &lt; автомата "&amp;DT58&amp;" А перед ним",IF(N(CT58)&lt;N(CX58),"УЗО "&amp;CT58&amp;" А &lt; тока блока "&amp;FIXED(CX58,1)&amp;" А",""))),""),IF(AND(CS58&lt;&gt;"",CS58=BA58,ISNUMBER(CY58)),IF(CY58&gt;N(CV58)/3,"ток утечки блока УЗО "&amp;FIXED(CY58,1)&amp;" мА &gt; 1/3 уставки ("&amp;CV58&amp;" мА)",""),""),IF(AND(CG58=1,N(BV58)+N(IB58)&gt;0,IC58=""),"линии до 50 В без БП: впишите в «Аппараты» (БП 24V 480W)",""),IF(AND(CG58=1,ISNUMBER(ID58),ISNUMBER(U58)),IF(U58&gt;ID58,"БП "&amp;ID58&amp;" Вт &lt; нужно "&amp;U58&amp;" Вт (×"&amp;Запас_БП&amp;")",""),""),IF(AND(CG58=1,ISNUMBER(IE58),N(BV58)=1),IF(IE58&lt;&gt;N(BU58),"БП на "&amp;IE58&amp;" В, линия "&amp;BU58&amp;" В",""),""),IF(AND(N(IF58)&gt;0,N(IG58)&gt;N(IF58)),HH58&amp;" канал "&amp;HJ58&amp;": "&amp;FIXED(IG58,1)&amp;" А &gt; "&amp;IF58&amp;" А",""),IFERROR(IF(AND(ISNUMBER(Q58),Q58&gt;EL58),"потери "&amp;FIXED(Q58,1)&amp;" % &gt; "&amp;EL58&amp;" %",""),""),IFERROR(IF(LEFT(HU58,4)="мало","Iкз мало — отключение &gt; 0,4 с",""),""),IF(AND(B58&lt;&gt;"",BM58=""),"не на схеме",""),IF(AND(CG58=0,B58&lt;&gt;"",FV58&lt;&gt;"",IF(BA58=1,"",FW57)&lt;&gt;"",FV58&lt;&gt;IF(BA58=1,"",FW57)),"фаза не как у автомата группы ("&amp;IF(BA58=1,"",FW57)&amp;")","")))</f>
        <v/>
      </c>
      <c r="II58" s="6">
        <f>IF(OR(CG58=0,DQ58=""),"",_xlfn.LET(_xlpm.t,IFERROR(_xlfn.XLOOKUP(DQ58,Каталог!$U$4:$U$500,Каталог!$G$4:$G$500),""),_xlpm.k,SEARCH("кА",_xlpm.t),IFERROR(--TRIM(RIGHT(SUBSTITUTE(MID(_xlpm.t,MAX(1,_xlpm.k-4),_xlpm.k-MAX(1,_xlpm.k-4))," ",REPT(" ",9)),5)),"")))</f>
        <v>6</v>
      </c>
      <c r="IJ58" t="str">
        <f>IF(OR(II58="",CG58=0),"",IF(_xlfn.XLOOKUP(A58,Щиты[Щит],Щиты[Iкз max на шинах, кА],"")="","",IF(II58&lt;_xlfn.XLOOKUP(A58,Щиты[Щит],Щиты[Iкз max на шинах, кА]),"Icu "&amp;II58&amp;" кА &lt; Iкз max","ok")))</f>
        <v/>
      </c>
      <c r="IK58" t="str">
        <f t="shared" si="113"/>
        <v/>
      </c>
      <c r="IL58" t="str">
        <f t="shared" si="114"/>
        <v>QF5|XT5</v>
      </c>
      <c r="IM58" t="str">
        <f t="shared" si="115"/>
        <v>QF5|XT5|кабель ВВГнг(А)-LS (3х1,5) → Вытяжная установка Подвальный этаж Пом №006T</v>
      </c>
      <c r="IN58" t="str" cm="1">
        <f t="array" ref="IN58">IF(IM58="","",_xlfn.LET(_xlpm.nd,_xlfn.TEXTSPLIT(IM58,"|"),IF(COLUMNS(_xlpm.nd)&gt;1,A58&amp;"¦"&amp;INDEX(_xlpm.nd,1)&amp;"¦"&amp;INDEX(_xlpm.nd,2),"")))</f>
        <v>ЩОВ-001¦QF5¦XT5</v>
      </c>
      <c r="IO58" t="str">
        <f t="shared" si="116"/>
        <v>В.13¦Вытяжная установка Подвальный этаж Пом №006T</v>
      </c>
      <c r="IP58" t="str" cm="1">
        <f t="array" ref="IP58">IF(IM58="","",_xlfn.LET(_xlpm.nd,_xlfn.TEXTSPLIT(IM58,"|"),IF(COLUMNS(_xlpm.nd)&gt;2,A58&amp;"¦"&amp;INDEX(_xlpm.nd,2)&amp;"¦"&amp;INDEX(_xlpm.nd,3),"")))</f>
        <v>ЩОВ-001¦XT5¦кабель ВВГнг(А)-LS (3х1,5) → Вытяжная установка Подвальный этаж Пом №006T</v>
      </c>
      <c r="IQ58" t="str">
        <f t="shared" si="117"/>
        <v>В.13¦Вытяжная установка Подвальный этаж Пом №006T</v>
      </c>
      <c r="IR58" t="str" cm="1">
        <f t="array" ref="IR58">IF(IM58="","",_xlfn.LET(_xlpm.nd,_xlfn.TEXTSPLIT(IM58,"|"),IF(COLUMNS(_xlpm.nd)&gt;3,A58&amp;"¦"&amp;INDEX(_xlpm.nd,3)&amp;"¦"&amp;INDEX(_xlpm.nd,4),"")))</f>
        <v/>
      </c>
      <c r="IS58" t="str">
        <f t="shared" si="118"/>
        <v/>
      </c>
      <c r="IT58" t="str" cm="1">
        <f t="array" ref="IT58">IF(IM58="","",_xlfn.LET(_xlpm.nd,_xlfn.TEXTSPLIT(IM58,"|"),IF(COLUMNS(_xlpm.nd)&gt;4,A58&amp;"¦"&amp;INDEX(_xlpm.nd,4)&amp;"¦"&amp;INDEX(_xlpm.nd,5),"")))</f>
        <v/>
      </c>
      <c r="IU58" t="str">
        <f t="shared" si="119"/>
        <v/>
      </c>
      <c r="IV58" t="str" cm="1">
        <f t="array" ref="IV58">IF(IM58="","",_xlfn.LET(_xlpm.nd,_xlfn.TEXTSPLIT(IM58,"|"),IF(COLUMNS(_xlpm.nd)&gt;5,A58&amp;"¦"&amp;INDEX(_xlpm.nd,5)&amp;"¦"&amp;INDEX(_xlpm.nd,6),"")))</f>
        <v/>
      </c>
      <c r="IW58" t="str">
        <f t="shared" si="120"/>
        <v/>
      </c>
      <c r="IX58" t="str" cm="1">
        <f t="array" ref="IX58">IF(IM58="","",_xlfn.LET(_xlpm.nd,_xlfn.TEXTSPLIT(IM58,"|"),IF(COLUMNS(_xlpm.nd)&gt;6,A58&amp;"¦"&amp;INDEX(_xlpm.nd,6)&amp;"¦"&amp;INDEX(_xlpm.nd,7),"")))</f>
        <v/>
      </c>
      <c r="IY58" t="str">
        <f t="shared" si="121"/>
        <v/>
      </c>
      <c r="IZ58" t="str">
        <f t="shared" si="122"/>
        <v/>
      </c>
      <c r="JA58" t="str">
        <f t="shared" si="123"/>
        <v>QF5 → XT5</v>
      </c>
      <c r="JB58">
        <f t="shared" si="124"/>
        <v>0</v>
      </c>
      <c r="JC58">
        <f t="shared" si="125"/>
        <v>0</v>
      </c>
      <c r="JD58" t="str">
        <f t="shared" si="126"/>
        <v/>
      </c>
      <c r="JE58" t="str">
        <f t="shared" si="127"/>
        <v/>
      </c>
      <c r="JF58" t="str">
        <f t="shared" si="128"/>
        <v/>
      </c>
      <c r="JG58" t="str">
        <f t="shared" si="129"/>
        <v/>
      </c>
      <c r="JH58" t="str">
        <f>IF(B58="","",IFERROR(_xlfn.XLOOKUP(B58,Коды_код,Коды_уго),IFERROR(_xlfn.XLOOKUP(BC58,Коды_код,Коды_уго),IFERROR(_xlfn.XLOOKUP(LEFT(BC58,2),Коды_код,Коды_уго),""))))</f>
        <v>Привод (двигатель)</v>
      </c>
      <c r="JI58" t="str">
        <f>IF(B58="","",IF(OR(JH58="",JH58=0),"BOX",IFERROR(IF(VLOOKUP(JH58,УГО_блоки,3,FALSE)&amp;""&lt;&gt;"",VLOOKUP(JH58,УГО_блоки,3,FALSE),VLOOKUP(JH58,УГО_блоки,2,FALSE)),JH58)))</f>
        <v>MOTOR</v>
      </c>
      <c r="JJ58">
        <f t="shared" si="130"/>
        <v>1</v>
      </c>
      <c r="JK58" t="str">
        <f>IF(DQ58="","",IF(COUNTIF(DQ$3:DQ58,DQ58)=1,MAX(JK$2:JK57)+1,""))</f>
        <v/>
      </c>
      <c r="JL58" t="str">
        <f>IF(DE58="","",IF(COUNTIF(DE$3:DE58,DE58)+COUNTIF(DF$2:DF57,DE58)+COUNTIF(DG$2:DG57,DE58)=1,MAX(JL$2:JN57)+1,""))</f>
        <v/>
      </c>
      <c r="JM58" t="str">
        <f>IF(DF58="","",IF(COUNTIF(DE$3:DE58,DF58)+COUNTIF(DF$3:DF58,DF58)+COUNTIF(DG$2:DG57,DF58)=1,MAX(JL$2:JN57,JL58)+1,""))</f>
        <v/>
      </c>
      <c r="JN58" t="str">
        <f>IF(DG58="","",IF(COUNTIF(DE$3:DE58,DG58)+COUNTIF(DF$3:DF58,DG58)+COUNTIF(DG$3:DG58,DG58)=1,MAX(JL$2:JN57,JL58,JM58)+1,""))</f>
        <v/>
      </c>
      <c r="JO58" t="str">
        <f t="shared" si="131"/>
        <v>3х1,5</v>
      </c>
      <c r="JP58" t="str">
        <f>IF(JO58="","",IF(COUNTIF(JO$3:JO58,JO58)=1,MAX(JP$2:JP57)+1,""))</f>
        <v/>
      </c>
      <c r="JQ58" t="str">
        <f>IF(HG58="","",COUNTIF(HG$3:HG58,"?*"))</f>
        <v/>
      </c>
      <c r="JR58" t="str">
        <f>IF(OR(HG58="",HI58=""),"",IF(COUNTIFS(HG$3:HG58,"?*",HI$3:HI58,HI58)=1,MAX(JR$2:JR57)+1,""))</f>
        <v/>
      </c>
      <c r="JS58">
        <f t="shared" si="132"/>
        <v>0</v>
      </c>
      <c r="JT58">
        <f>IF(B58="","",COUNTIF(B$3:B58,"?*"))</f>
        <v>56</v>
      </c>
      <c r="JU58">
        <f>IF(HL58&lt;&gt;1,0,_xlfn.LET(_xlpm.k,MAX(IFERROR(--_xlfn.XLOOKUP(B58,Коды_код,Коды_3L),0),IFERROR(--_xlfn.XLOOKUP(BC58,Коды_код,Коды_3L),0),IFERROR(--_xlfn.XLOOKUP(LEFT(BC58,2),Коды_код,Коды_3L),0)),IF(_xlpm.k&gt;0,_xlpm.k,IF(IFERROR(--LEFT(SUBSTITUTE(JO58,"x","х"),FIND("х",SUBSTITUTE(JO58,"x","х"))-1),3)&gt;3,Каталог!$S$9,1))))</f>
        <v>1</v>
      </c>
      <c r="JV58">
        <f t="shared" si="133"/>
        <v>0</v>
      </c>
      <c r="JW58" t="str">
        <f t="shared" si="134"/>
        <v>авто</v>
      </c>
      <c r="JX58" t="str">
        <f t="shared" si="135"/>
        <v/>
      </c>
      <c r="JY58">
        <f t="shared" si="136"/>
        <v>0</v>
      </c>
      <c r="JZ58">
        <f t="shared" si="137"/>
        <v>1</v>
      </c>
    </row>
    <row r="59" spans="1:286" x14ac:dyDescent="0.3">
      <c r="A59" t="s">
        <v>747</v>
      </c>
      <c r="B59" t="s">
        <v>1372</v>
      </c>
      <c r="C59" t="s">
        <v>1656</v>
      </c>
      <c r="D59">
        <v>1</v>
      </c>
      <c r="E59">
        <v>0.1</v>
      </c>
      <c r="G59">
        <v>10</v>
      </c>
      <c r="H59" t="str">
        <f>Линии[[#This Row],[_авто управление]]</f>
        <v/>
      </c>
      <c r="I59" t="str">
        <f>Линии[[#This Row],[_авто аппараты]]</f>
        <v/>
      </c>
      <c r="J59">
        <v>1.5</v>
      </c>
      <c r="K59">
        <v>16</v>
      </c>
      <c r="L59" t="str">
        <f>Линии[[#This Row],[_авто фаза]]</f>
        <v>L1</v>
      </c>
      <c r="M59" t="s">
        <v>484</v>
      </c>
      <c r="N59" t="str">
        <f t="shared" si="0"/>
        <v/>
      </c>
      <c r="O59" s="6" cm="1">
        <f t="array" ref="O59">IF(B59="","",IF(BH59&lt;&gt;"",IFERROR(_xlfn.XLOOKUP(BH59,Щиты[Щит],Щиты[Iр, А]),""),IF(BP59=1,IF(OR(N(_xlfn.XLOOKUP(A59,Щиты[Щит],Щиты[Вводов],1))&lt;=1,LOWER(TRIM(_xlfn.XLOOKUP(A59,Щиты[Щит],Щиты[АВР],"")&amp;""))="да"),IFERROR(_xlfn.XLOOKUP(A59,Щиты[Щит],Щиты[Iр, А]),""),IFERROR(N(BS59)*_xlfn.XLOOKUP(A59,Щиты[Щит],Щиты[Кс итог])/(SQRT(3)*Uн_лин*_xlfn.XLOOKUP(A59,Щиты[Щит],Щиты[cos φ])),"")),IF(BV59=1,IFERROR(BS59*1000/BU59,""),IFERROR(_xlfn.IFS(BX59=1,BS59/((Uн_лин/SQRT(3))*CE59),BX59=3,BS59/(SQRT(3)*Uн_лин*CE59)),"")))))</f>
        <v>0.5412658773652741</v>
      </c>
      <c r="P59" s="7">
        <f>IF(B59="","",IFERROR(IF(VLOOKUP(BC59,Потребители_обозначение,4,FALSE)=1,VLOOKUP(BC59,Потребители_обозначение,3,FALSE)*(MAX(1,N(D59))*2-1)+EI59+VLOOKUP(BE59,Этаж_обозначение,3,FALSE)+VLOOKUP(BE59,Этаж_обозначение,4,FALSE),VLOOKUP(BC59,Потребители_обозначение,3,FALSE)*(MAX(1,N(D59))*2-1)+EI59),EI59))</f>
        <v>20</v>
      </c>
      <c r="Q59" s="6">
        <f t="shared" si="1"/>
        <v>0.76</v>
      </c>
      <c r="R59" t="str">
        <f t="shared" si="2"/>
        <v>ВВГнг(А)-LS (3х1,5)</v>
      </c>
      <c r="S59" t="str">
        <f>IF(BM59="","",IF(BN59="вводной узел","узел ","")&amp;"л."&amp;(INT((BM59-1)/Столбцов_на_лист)+1)&amp;" / "&amp;(MOD(BM59-1,Столбцов_на_лист)+1))</f>
        <v>л.2 / 4</v>
      </c>
      <c r="T59" s="119">
        <f t="shared" si="3"/>
        <v>0.4</v>
      </c>
      <c r="U59" s="7" t="str">
        <f>IF(OR(CG59=0,N(BV59)+N(IB59)=0),"",ROUNDUP(Запас_БП*(N(HY59)+N(HZ59)),0))</f>
        <v/>
      </c>
      <c r="V59" s="119" t="str">
        <f t="shared" si="4"/>
        <v/>
      </c>
      <c r="W59" s="7" t="str">
        <f>IFERROR(IF(OR(B59="",BP59=1,BV59=1,NOT(ISNUMBER(EN59)),N(DT59)=0),"",MAX(0,ROUNDDOWN((c_min*(Uн_лин*1000/SQRT(3))/(HT59*N(DT59))-_xlfn.XLOOKUP(A59,Щиты[Щит],Щиты[Zпетли на шинах, Ом]))*EN59/(2*ρкз_Cu),0))),"")</f>
        <v/>
      </c>
      <c r="Y59" t="str">
        <f>Линии[[#This Row],[_авто утечка]]</f>
        <v/>
      </c>
      <c r="Z59">
        <v>1</v>
      </c>
      <c r="AA59">
        <v>230</v>
      </c>
      <c r="AB59" t="s">
        <v>598</v>
      </c>
      <c r="AC59">
        <v>0.5</v>
      </c>
      <c r="AG59" t="s">
        <v>810</v>
      </c>
      <c r="AI59" t="s">
        <v>580</v>
      </c>
      <c r="AK59" t="str">
        <f>Линии[[#This Row],[_авто модуль]]</f>
        <v/>
      </c>
      <c r="AM59">
        <v>21</v>
      </c>
      <c r="AN59" t="s">
        <v>11</v>
      </c>
      <c r="AO59">
        <v>3</v>
      </c>
      <c r="AR59">
        <v>20</v>
      </c>
      <c r="AT59">
        <v>1</v>
      </c>
      <c r="BA59" cm="1">
        <f t="array" ref="BA59">ROW()-ROW(Линии[#Headers])</f>
        <v>57</v>
      </c>
      <c r="BC59" s="6" t="str">
        <f t="shared" si="5"/>
        <v>В</v>
      </c>
      <c r="BD59" t="str">
        <f t="shared" si="6"/>
        <v>17</v>
      </c>
      <c r="BE59" t="str">
        <f t="shared" si="7"/>
        <v>17</v>
      </c>
      <c r="BF59" t="str">
        <f t="shared" si="8"/>
        <v/>
      </c>
      <c r="BG59" t="str">
        <f t="shared" si="9"/>
        <v/>
      </c>
      <c r="BH59" t="str">
        <f>IF(X59&lt;&gt;"",X59,IF(AND(B59&lt;&gt;"",B59&lt;&gt;A59,ISNUMBER(_xlfn.XMATCH(B59,Щиты[Щит]))),B59,""))</f>
        <v/>
      </c>
      <c r="BI59" t="str" cm="1">
        <f t="array" ref="BI59">IF(B59="","",IF(BH59&lt;&gt;"","Щит "&amp;BH59,_xlfn.LET(_xlpm.nm,IFERROR(_xlfn.XLOOKUP(BC59,Коды_код,Коды_имя)&amp;"",""),_xlpm.md,IFERROR(N(_xlfn.XLOOKUP(BC59,Коды_код,Коды_режим)),1),_xlpm.ex,IF(Имя_режим="по экспликации",IFERROR(_xlfn.XLOOKUP(BE59&amp;"|"&amp;BG59,Экспликация[Этаж]&amp;"|"&amp;Экспликация[Помещение],Экспликация[Название])&amp;"",""),""),_xlpm.rm,IF(BG59="","",IF(_xlpm.ex&lt;&gt;"",". "&amp;_xlpm.ex&amp;IF(Имя_пом="нет"," ("&amp;BG59&amp;")"," (пом. "&amp;BG59&amp;")"),IF(Имя_пом="нет"," ",", пом. ")&amp;BG59)),IF(_xlpm.nm="","",IF(_xlpm.md=2,_xlpm.nm&amp;" шлейф "&amp;BE59,_xlpm.nm&amp;_xlpm.rm)))))</f>
        <v>Вытяжная установка шлейф 17</v>
      </c>
      <c r="BJ59" t="str">
        <f t="shared" si="10"/>
        <v>Вытяжная установка Подвальный этаж Пом №006T</v>
      </c>
      <c r="BK59">
        <f>IFERROR(_xlfn.XMATCH(A59,Щиты[Щит]),0)</f>
        <v>4</v>
      </c>
      <c r="BL59">
        <f>_xlfn.LET(_xlpm.k,IFERROR(_xlfn.XLOOKUP(A59,Щиты[Щит],Щиты[Мест под вводной узел]),""),IF(_xlpm.k="",Столбцов_на_лист,N(_xlpm.k)))</f>
        <v>13</v>
      </c>
      <c r="BM59">
        <f t="shared" si="11"/>
        <v>21</v>
      </c>
      <c r="BN59" t="str">
        <f t="shared" si="12"/>
        <v>линии</v>
      </c>
      <c r="BO59" s="6">
        <f>IFERROR(N(_xlfn.XLOOKUP(BC59,Коды_код,Коды_квт)),0)</f>
        <v>0</v>
      </c>
      <c r="BP59">
        <f t="shared" si="13"/>
        <v>0</v>
      </c>
      <c r="BQ59" t="str">
        <f>IF(B59="","",IF(BH59&lt;&gt;"",IFERROR(_xlfn.XLOOKUP(BH59,Щиты[Щит],Щиты[Руст, кВт]),0),IF(BP59=1,IF(OR(N(_xlfn.XLOOKUP(A59,Щиты[Щит],Щиты[Вводов],1))&lt;=1,LOWER(TRIM(_xlfn.XLOOKUP(A59,Щиты[Щит],Щиты[АВР],"")&amp;""))="да"),IFERROR(_xlfn.XLOOKUP(A59,Щиты[Щит],Щиты[Руст, кВт]),0),SUMIFS(Линии[_Р для вводов],Линии[Щит],A59,Линии[Источник для режимов],GF59)),IF(BO59&gt;0,ROUND(BO59*MAX(1,N(D59)),3),""))))</f>
        <v/>
      </c>
      <c r="BR59">
        <f t="shared" si="14"/>
        <v>0.1</v>
      </c>
      <c r="BS59" s="6">
        <f>IF(B59="","",IF(BH59&lt;&gt;"",IFERROR(_xlfn.XLOOKUP(BH59,Щиты[Щит],Щиты[Руст, кВт]),0),N(BR59)))</f>
        <v>0.1</v>
      </c>
      <c r="BT59" t="str">
        <f>IF(B59="","",IFERROR(IF(VLOOKUP(BC59,Потребители_обозначение,8,FALSE)=0,"",VLOOKUP(BC59,Потребители_обозначение,8,FALSE)),""))</f>
        <v/>
      </c>
      <c r="BU59">
        <f t="shared" si="15"/>
        <v>230</v>
      </c>
      <c r="BV59">
        <f t="shared" si="16"/>
        <v>0</v>
      </c>
      <c r="BW59">
        <f>IF(B59="","",IF(BH59&lt;&gt;"",3,IFERROR(IF(N(VLOOKUP(BC59,Потребители_обозначение,9,FALSE))=0,1,VLOOKUP(BC59,Потребители_обозначение,9,FALSE)),1)))</f>
        <v>1</v>
      </c>
      <c r="BX59">
        <f t="shared" si="17"/>
        <v>1</v>
      </c>
      <c r="BY59" t="str">
        <f>IF(B59="","",_xlfn.LET(_xlpm.bc,IFERROR(IF(VLOOKUP(BC59,Потребители_обозначение,6,FALSE)=0,"",VLOOKUP(BC59,Потребители_обозначение,6,FALSE)&amp;""),""),IF(AND(GA59="да",OR(_xlpm.bc="",_xlpm.bc="мс")),Марка_пож,IF(AND(_xlpm.bc="",BH59&lt;&gt;""),"мс",_xlpm.bc))))</f>
        <v/>
      </c>
      <c r="BZ59" t="str">
        <f t="shared" si="18"/>
        <v>мс</v>
      </c>
      <c r="CA59">
        <f>IF(B59="","",_xlfn.LET(_xlpm.cc,IFERROR(N(VLOOKUP(BC59,Потребители_обозначение,7,FALSE)),0),IF(_xlpm.cc&gt;0,_xlpm.cc,IF(BZ59="","",IF(BV59=1,2,IF(N(BX59)=3,5,3))))))</f>
        <v>3</v>
      </c>
      <c r="CB59">
        <f t="shared" si="19"/>
        <v>3</v>
      </c>
      <c r="CC59">
        <f>IFERROR(N(VLOOKUP(BC59,Потребители_обозначение,10,FALSE)),0)</f>
        <v>0</v>
      </c>
      <c r="CD59">
        <f>IFERROR(VLOOKUP(BC59,Потребители_обозначение,5,FALSE),0)</f>
        <v>1</v>
      </c>
      <c r="CE59" s="6" cm="1">
        <f t="array" ref="CE59">IF(B59="","",IF(BH59&lt;&gt;"",IFERROR(_xlfn.XLOOKUP(BH59,Щиты[Щит],Щиты[cos φ]),0.95),IF(BP59=1,IFERROR(_xlfn.XLOOKUP(A59,Щиты[Щит],Щиты[cos φ]),0.95),IF(ISNUMBER(AD59),AD59,IFERROR(IF(CD59=2,_xlfn.IFS(BX59=3,VLOOKUP(BS59,Справочная_двигатели,8,FALSE),BX59=1,VLOOKUP(BS59,Справочная_двигатели,10,TRUE)),IF(AND(Методика="нормы 2026",FG59="Сил"),0.8,0.95)),0.95)))))</f>
        <v>0.8</v>
      </c>
      <c r="CF59">
        <f t="shared" si="20"/>
        <v>0</v>
      </c>
      <c r="CG59">
        <f t="shared" si="21"/>
        <v>1</v>
      </c>
      <c r="CH59">
        <f t="shared" si="22"/>
        <v>0</v>
      </c>
      <c r="CI59">
        <f>IF(B59="","",IF(BV59=1,IFERROR(BS59/((Uн_лин/SQRT(3))*MAX(0.5,N(CE59))),0),N(O59)))</f>
        <v>0.5412658773652741</v>
      </c>
      <c r="CJ59">
        <f t="shared" si="23"/>
        <v>0</v>
      </c>
      <c r="CK59">
        <f t="shared" si="24"/>
        <v>0</v>
      </c>
      <c r="CL59">
        <f t="shared" si="25"/>
        <v>0</v>
      </c>
      <c r="CM59">
        <f t="shared" si="26"/>
        <v>0</v>
      </c>
      <c r="CN59">
        <f t="shared" si="27"/>
        <v>0</v>
      </c>
      <c r="CO59">
        <f>IF(BC59="",0,_xlfn.LET(_xlpm.v,IFERROR(_xlfn.XLOOKUP(B59,Коды_код,Коды_мА),IFERROR(_xlfn.XLOOKUP(BC59,Коды_код,Коды_мА),IFERROR(_xlfn.XLOOKUP(LEFT(BC59,2),Коды_код,Коды_мА),""))),IF(_xlpm.v="да",30,IF(ISNUMBER(_xlpm.v),_xlpm.v,0))))</f>
        <v>0</v>
      </c>
      <c r="CP59" t="str">
        <f t="shared" si="28"/>
        <v/>
      </c>
      <c r="CQ59" t="str">
        <f>_xlfn.LET(_xlpm.k,IFERROR(_xlfn.XLOOKUP(BC59,Коды_код,Коды_утечка)&amp;"",""),IF(_xlpm.k="","дифавтомат",_xlpm.k))</f>
        <v>дифавтомат</v>
      </c>
      <c r="CR59" t="str" cm="1">
        <f t="array" ref="CR59">IF(CG59=0,"",_xlfn.LET(_xlpm.sg,TRIM(_xlfn.TEXTSPLIT(DD59&amp;"",";")),_xlpm.f_,_xlfn._xlws.FILTER(_xlpm.sg,LEFT(_xlpm.sg,3)="УЗО",""),IFERROR(INDEX(_xlpm.f_,1)&amp;"","")))</f>
        <v/>
      </c>
      <c r="CS59" t="str">
        <f t="shared" si="29"/>
        <v/>
      </c>
      <c r="CT59" s="6" t="str" cm="1">
        <f t="array" ref="CT59">IF(CR59="","",_xlfn.LET(_xlpm.tk,_xlfn.TEXTSPLIT(UPPER(CR59)," ",,TRUE),_xlpm.a_,_xlfn._xlws.FILTER(_xlpm.tk,ISNUMBER(--LEFT(_xlpm.tk,1))*((ISNUMBER(SEARCH("А",_xlpm.tk))+ISNUMBER(SEARCH("A",_xlpm.tk)))&gt;0)*NOT(ISNUMBER(SEARCH("МА",_xlpm.tk)))*NOT(ISNUMBER(SEARCH("MA",_xlpm.tk))),""),IFERROR(--SUBSTITUTE(SUBSTITUTE(INDEX(_xlpm.a_,1),"А",""),"A",""),"")))</f>
        <v/>
      </c>
      <c r="CU59" t="str" cm="1">
        <f t="array" ref="CU59">IF(CR59="","",_xlfn.LET(_xlpm.tk,_xlfn.TEXTSPLIT(UPPER(CR59)," ",,TRUE),_xlpm.a_,_xlfn._xlws.FILTER(_xlpm.tk,ISNUMBER(--LEFT(_xlpm.tk,1))*((ISNUMBER(SEARCH("МА",_xlpm.tk))+ISNUMBER(SEARCH("MA",_xlpm.tk)))&gt;0),""),IFERROR(--SUBSTITUTE(SUBSTITUTE(INDEX(_xlpm.a_,1),"МА",""),"MA",""),30)))</f>
        <v/>
      </c>
      <c r="CV59" t="str">
        <f>IF(CS59="","",IFERROR(_xlfn.XLOOKUP(CS59,Линии[_n],Линии[_УЗО, мА]),30))</f>
        <v/>
      </c>
      <c r="CW59">
        <f>IF(CS59="",0,IF(ISNUMBER(SEARCH("4P",IFERROR(_xlfn.XLOOKUP(CS59,Линии[_n],Линии[_УЗО строки])&amp;"",""))),0,1))</f>
        <v>0</v>
      </c>
      <c r="CX59" t="str">
        <f>IF(AND(CS59&lt;&gt;"",CS59=BA59),SUMIFS(Линии[_ток на 230 В],Линии[_блок УЗО],BA59,Линии[Щит],A59),"")</f>
        <v/>
      </c>
      <c r="CY59" t="str">
        <f>IF(AND(CS59&lt;&gt;"",CS59=BA59),SUMIFS(Линии[_ток утечки линии, мА],Линии[_блок УЗО],BA59,Линии[Щит],A59),"")</f>
        <v/>
      </c>
      <c r="CZ59">
        <f t="shared" si="30"/>
        <v>0</v>
      </c>
      <c r="DA59">
        <f t="shared" si="31"/>
        <v>0</v>
      </c>
      <c r="DB59">
        <f>IF(B59="",0,IFERROR(--_xlfn.XLOOKUP(B59,Коды_код,Коды_минавт),IFERROR(--_xlfn.XLOOKUP(BC59,Коды_код,Коды_минавт),IFERROR(--_xlfn.XLOOKUP(LEFT(BC59,2),Коды_код,Коды_минавт),0))))</f>
        <v>0</v>
      </c>
      <c r="DC59" t="str">
        <f>IF(B59="","",IFERROR(_xlfn.XLOOKUP(BC59,Коды_код,Коды_апп)&amp;"",""))</f>
        <v/>
      </c>
      <c r="DD59" t="str">
        <f t="shared" si="32"/>
        <v/>
      </c>
      <c r="DE59" t="str" cm="1">
        <f t="array" ref="DE59">IF(TRIM(DD59&amp;"")="","",IFERROR(TRIM(INDEX(_xlfn.TEXTSPLIT(DD59&amp;";;;",";"),1)),""))</f>
        <v/>
      </c>
      <c r="DF59" t="str" cm="1">
        <f t="array" ref="DF59">IF(TRIM(DD59&amp;"")="","",IFERROR(TRIM(INDEX(_xlfn.TEXTSPLIT(DD59&amp;";;;",";"),2)),""))</f>
        <v/>
      </c>
      <c r="DG59" t="str" cm="1">
        <f t="array" ref="DG59">IF(TRIM(DD59&amp;"")="","",IFERROR(TRIM(INDEX(_xlfn.TEXTSPLIT(DD59&amp;";;;",";"),3)),""))</f>
        <v/>
      </c>
      <c r="DH59">
        <f t="shared" si="33"/>
        <v>0</v>
      </c>
      <c r="DI59" t="str">
        <f>IF(B59="","",_xlfn.LET(_xlpm.t,LOWER(AZ59&amp;""),IF(ISNUMBER(SEARCH("dim",_xlpm.t)),"DIM",IF(ISNUMBER(SEARCH("dali",_xlpm.t)),"DALI",IF(OR(ISNUMBER(SEARCH("relay",_xlpm.t)),ISNUMBER(SEARCH("реле",_xlpm.t))),"Relay",IF(ISNUMBER(SEARCH("кнопк",_xlpm.t)),"",IFERROR(_xlfn.XLOOKUP(BC59,Коды_код,Коды_упр)&amp;"","")))))))</f>
        <v/>
      </c>
      <c r="DJ59" t="str">
        <f t="shared" si="34"/>
        <v/>
      </c>
      <c r="DK59">
        <f>IF(B59="","",_xlfn.LET(_xlpm.ig,IF(N(CX59)&gt;0,N(CX59),N(CI59)+IF(AJ59="вручную",0,N(CJ59))),_xlpm.n0,IFERROR(VLOOKUP(_xlpm.ig,Автомат_номиналы,2,TRUE),0),_xlpm.mn,MAX(DB59,IF(AJ59="вручную",0,N(CM59))),MAX(_xlpm.n0,_xlpm.mn,IF(DH59=1,Мин_автомат_БП,0))))</f>
        <v>6</v>
      </c>
      <c r="DL59">
        <f t="shared" si="35"/>
        <v>1</v>
      </c>
      <c r="DM59" t="str">
        <f t="shared" si="36"/>
        <v>1P</v>
      </c>
      <c r="DN59" t="str">
        <f>_xlfn.LET(_xlpm.cc,UPPER(TRIM(IFERROR(_xlfn.XLOOKUP(BC59,Коды_код,Коды_хар)&amp;"",""))),IF(OR(_xlpm.cc="B",_xlpm.cc="В"),"B",IF(_xlpm.cc="D","D","С")))</f>
        <v>С</v>
      </c>
      <c r="DO59" t="str">
        <f t="shared" si="37"/>
        <v>1P С6А</v>
      </c>
      <c r="DP59">
        <f t="shared" si="38"/>
        <v>10</v>
      </c>
      <c r="DQ59" t="str">
        <f t="shared" si="39"/>
        <v>1P С10А</v>
      </c>
      <c r="DR59" cm="1">
        <f t="array" ref="DR59">IF(DQ59="","",_xlfn.LET(_xlpm.t,SUBSTITUTE(SUBSTITUTE(SUBSTITUTE(UPPER(DQ59),"С","C"),"А","A"),"В","B"),_xlpm.tk,_xlfn.TEXTSPLIT(_xlpm.t," "),_xlpm.f,_xlfn._xlws.FILTER(_xlpm.tk,ISNUMBER(--MID(_xlpm.tk,2,1))*ISNUMBER(SEARCH(LEFT(_xlpm.tk,1)&amp;"#","B#C#D#"))*(LEN(_xlpm.tk)&gt;1),""),_xlpm.x,INDEX(_xlpm.f,1),IFERROR(--SUBSTITUTE(MID(_xlpm.x,2,9),"A",""),IFERROR(--SUBSTITUTE(INDEX(_xlfn._xlws.FILTER(_xlpm.tk,ISNUMBER(--SUBSTITUTE(_xlpm.tk,"A","")),""),1),"A",""),""))))</f>
        <v>10</v>
      </c>
      <c r="DS59" t="str">
        <f t="shared" si="40"/>
        <v>ok</v>
      </c>
      <c r="DT59">
        <f t="shared" si="41"/>
        <v>10</v>
      </c>
      <c r="DU59" t="str">
        <f t="shared" si="42"/>
        <v>1P С10А</v>
      </c>
      <c r="DV59">
        <f t="shared" si="43"/>
        <v>0</v>
      </c>
      <c r="DW59">
        <f t="shared" si="44"/>
        <v>0</v>
      </c>
      <c r="DX59">
        <f t="shared" si="45"/>
        <v>0</v>
      </c>
      <c r="DY59">
        <f t="shared" si="46"/>
        <v>0.5412658773652741</v>
      </c>
      <c r="DZ59">
        <f t="shared" si="47"/>
        <v>1</v>
      </c>
      <c r="EA59">
        <f>IF(ISNUMBER(AP59),AP59,К_прокл)</f>
        <v>1</v>
      </c>
      <c r="EB59">
        <f t="shared" si="48"/>
        <v>2</v>
      </c>
      <c r="EC59">
        <f>IFERROR(N(VLOOKUP(BZ59,Кабель_обозначение,3,FALSE)),1)</f>
        <v>1</v>
      </c>
      <c r="ED59">
        <f>IFERROR(N(_xlfn.XLOOKUP(A59,Щиты[Щит],Щиты[ΔU до шин, %])),0)</f>
        <v>0.64</v>
      </c>
      <c r="EE59" t="str">
        <f>IFERROR(_xlfn.XLOOKUP(A59,Щиты[Щит],Щиты[Zпетли на шинах, Ом]),"")</f>
        <v/>
      </c>
      <c r="EF59">
        <f>IFERROR(N(_xlfn.XLOOKUP(A59,Щиты[Щит],Щиты[ΔU до шин (подбор), %])),0)</f>
        <v>0.75</v>
      </c>
      <c r="EG59" t="str">
        <f>IFERROR(_xlfn.XLOOKUP(A59,Щиты[Щит],Щиты[Zпетли на шинах (подбор), Ом]),"")</f>
        <v/>
      </c>
      <c r="EH59" t="str">
        <f t="shared" si="49"/>
        <v/>
      </c>
      <c r="EI59">
        <f t="shared" si="50"/>
        <v>16</v>
      </c>
      <c r="EJ59">
        <f t="shared" si="51"/>
        <v>2</v>
      </c>
      <c r="EK59">
        <f t="shared" si="52"/>
        <v>0.6</v>
      </c>
      <c r="EL59" s="6">
        <f>IF(B59="","",IF(BV59=1,dU_LED,IF(IFERROR(_xlfn.XLOOKUP(BC59,Коды_код,Коды_уго),"")="Светильник",3,4)+IF(Методика="нормы 2026",MIN(0.5,MAX(0,N(P59)-100)*0.005),0)))</f>
        <v>4</v>
      </c>
      <c r="EM59" cm="1">
        <f t="array" ref="EM59">IF(OR(B59="",BZ59="",EC59&lt;&gt;1),"",_xlfn.LET(_xlpm.sz,Iдоп_S,_xlpm.t_,CHOOSE(EB59,Iдоп_1ж,Iдоп_2ж,Iдоп_3ж)*DZ59*EA59,_xlpm.dcx,BV59=1,_xlpm.inn,IF(_xlpm.dcx,N(O59),N(DT59)),_xlpm.smin,MAX(1.5,CC59),_xlpm.L_,N(P59)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59)/N(BU59)*100,999),IFERROR(N(EJ59)*(_xlpm.rho*_xlpm.L_/_xlpm.sz*N(CE59)+_xlpm.xx*_xlpm.L_*N(EK59)/1000)*N(O59)/((Uн_лин/SQRT(3))*1000)*100,999)),_xlpm.kz,IF(OR(_xlpm.dcx,DW59=1,NOT(ISNUMBER(EG59)),_xlpm.L_=0,_xlpm.inn=0),1,IFERROR(--(c_min*(Uн_лин*1000/SQRT(3))/(EG59+2*ρкз_Cu*_xlpm.L_/_xlpm.sz)&gt;=HT59*_xlpm.inn),0)),_xlpm.ok,IFERROR((_xlpm.sz&gt;=_xlpm.smin)*(_xlpm.t_&gt;=_xlpm.inn)*IF(_xlpm.L_&gt;0,(_xlpm.du_+IF(_xlpm.dcx,0,EF59)&lt;=EL59+0.00001),1)*_xlpm.kz,0),_xlpm.r_,_xlfn._xlws.FILTER(_xlpm.sz,_xlpm.ok,"не подобрано"),INDEX(_xlpm.r_,1)))</f>
        <v>1.5</v>
      </c>
      <c r="EN59">
        <f t="shared" si="53"/>
        <v>1.5</v>
      </c>
      <c r="EO59" cm="1">
        <f t="array" ref="EO59">IF(OR(B59="",BZ59="",EC59&lt;&gt;1),"",_xlfn.LET(_xlpm.sz,Iдоп_S,_xlpm.t_,CHOOSE(EB59,Iдоп_1ж,Iдоп_2ж,Iдоп_3ж)*DZ59*EA59,_xlpm.ok,IFERROR((_xlpm.sz&gt;=MAX(1.5,CC59))*(_xlpm.t_&gt;=N(DT59)),0),_xlpm.r_,_xlfn._xlws.FILTER(_xlpm.sz,_xlpm.ok,""),INDEX(_xlpm.r_,1)))</f>
        <v>1.5</v>
      </c>
      <c r="EP59" s="6" cm="1">
        <f t="array" ref="EP59">IFERROR(ROUNDUP(N(EJ59)*(_xlfn.XLOOKUP(EO59,INDEX(Кабель_сопротивление,0,1),INDEX(Кабель_сопротивление,0,3))*N(P59)/EO59*N(CE59)+_xlfn.XLOOKUP(EO59,INDEX(Кабель_сопротивление,0,1),INDEX(Кабель_сопротивление,0,2))*N(P59)*N(EK59)/1000)*N(O59)/((Uн_лин/SQRT(3))*1000)*100,2),"")</f>
        <v>0.12</v>
      </c>
      <c r="EQ59">
        <f>IFERROR(2*ρкз_Cu*N(P59)/EO59,"")</f>
        <v>0.70133333333333336</v>
      </c>
      <c r="ER59">
        <f>IFERROR(VLOOKUP(EN59,Кабель_сопротивление,3,FALSE),"")</f>
        <v>2.2499999999999999E-2</v>
      </c>
      <c r="ES59">
        <f>IFERROR(VLOOKUP(EN59,Кабель_сопротивление,2,FALSE),"")</f>
        <v>0.11</v>
      </c>
      <c r="ET59">
        <f t="shared" si="54"/>
        <v>20</v>
      </c>
      <c r="EU59">
        <f t="shared" si="55"/>
        <v>0</v>
      </c>
      <c r="EV59">
        <f t="shared" si="56"/>
        <v>0.26123656305157589</v>
      </c>
      <c r="EW59" s="6">
        <f>IFERROR(ROUNDUP(EV59/IF(BV59=1,BU59,(Uн_лин/SQRT(3))*1000)*100,2),"")</f>
        <v>0.12</v>
      </c>
      <c r="EX59" t="str">
        <f>IFERROR(VLOOKUP(BZ59,Кабель_обозначение,2,FALSE),"")</f>
        <v>ВВГнг(А)-LS</v>
      </c>
      <c r="EY59" t="str">
        <f t="shared" si="57"/>
        <v>ВВГнг(А)-LS (3х1,5)</v>
      </c>
      <c r="EZ59" t="str">
        <f t="shared" si="58"/>
        <v>ВВГнг(А)-LS (3х1,5)
L=20-0,12%</v>
      </c>
      <c r="FA59">
        <f>IFERROR(2*ρкз_Cu*P59/EN59,"")</f>
        <v>0.70133333333333336</v>
      </c>
      <c r="FB59">
        <f t="shared" si="59"/>
        <v>0.23333333333333336</v>
      </c>
      <c r="FC59" s="6" t="str">
        <f>IFERROR(IF(OR(B59="",BV59=1,NOT(ISNUMBER(EN59)),N(P59)=0),"",_xlfn.XLOOKUP(A59,Щиты[Щит],Щиты[Zпетли на шинах, Ом])+FA59),"")</f>
        <v/>
      </c>
      <c r="FD59" s="6" t="str">
        <f>IF(ISNUMBER(FC59),c_min*(Uн_лин*1000/SQRT(3))/FC59,"")</f>
        <v/>
      </c>
      <c r="FE59" s="6" t="str">
        <f>IFERROR(IF(OR(B59="",NOT(ISNUMBER(EN59))),"",1.05*(Uн_лин*1000/SQRT(3))/(_xlfn.XLOOKUP(A59,Щиты[Щит],Щиты[Zmax на шинах, Ом])+FB59)/1000),"")</f>
        <v/>
      </c>
      <c r="FF59" s="6" t="str">
        <f>IF(B59="","",IF(ISNUMBER(AC59),"Сил",IF(IFERROR(_xlfn.XLOOKUP(BC59,Коды_код,Коды_группа)&amp;"","")="","Быт",_xlfn.XLOOKUP(BC59,Коды_код,Коды_группа)&amp;"")))</f>
        <v>Сил</v>
      </c>
      <c r="FG59" s="6" t="str">
        <f t="shared" si="60"/>
        <v>Сил</v>
      </c>
      <c r="FH59" s="6">
        <f>IF(FG59="Щит","щит",IF(FG59="","",IF(FG59="Быт",IFERROR(_xlfn.XLOOKUP(A59,Щиты[Щит],Щиты[Кс быт]),1),IF(FG59="Сил",IF(ISNUMBER(AC59),AC59,IF(Методика="нормы 2026",IFERROR(_xlfn.XLOOKUP(A59,Щиты[Щит],Щиты[Кс силовых (табл. 7.5)]),1),1)),IF(OR(FG59="Пост",FG59="Отоп"),1,IF(FG59="ВНГ",0.7,0))))))</f>
        <v>0.5</v>
      </c>
      <c r="FI59">
        <f>IF(FG59="","",IF(AND(BP59=1,TRIM(AE59&amp;"")=""),IF(COUNTIFS(Линии[Щит],A59,Линии[Секция (1/2/3)],"&gt;=2")&gt;0,MIN(3,MAX(1,IFERROR(--BD59,1))),1),IFERROR(MIN(3,MAX(1,INT(--AE59))),1)))</f>
        <v>1</v>
      </c>
      <c r="FJ59">
        <f t="shared" si="61"/>
        <v>0.1</v>
      </c>
      <c r="FK59">
        <f t="shared" si="62"/>
        <v>0</v>
      </c>
      <c r="FL59">
        <f t="shared" si="63"/>
        <v>0.05</v>
      </c>
      <c r="FM59">
        <f t="shared" si="64"/>
        <v>0</v>
      </c>
      <c r="FN59">
        <f t="shared" si="65"/>
        <v>0</v>
      </c>
      <c r="FO59">
        <f t="shared" si="66"/>
        <v>0</v>
      </c>
      <c r="FP59">
        <f t="shared" si="67"/>
        <v>0.1</v>
      </c>
      <c r="FQ59">
        <f t="shared" si="68"/>
        <v>0.1</v>
      </c>
      <c r="FR59">
        <f t="shared" si="69"/>
        <v>8.0000000000000016E-2</v>
      </c>
      <c r="FS59">
        <f>IF(CG59=1,IF(AND(CH59=1,CW59=1),0,IF(AND(CS59&lt;&gt;"",CS59=BA59,CW59=1),SUMIFS(Линии[_Р линии, кВт],Линии[_блок УЗО],BA59,Линии[Щит],A59),N(BS59)+IF(AJ59="вручную",0,N(CK59)))),0)</f>
        <v>0.1</v>
      </c>
      <c r="FT59" t="str">
        <f t="shared" si="70"/>
        <v/>
      </c>
      <c r="FU59" t="str">
        <f>IF(B59="","",IF(CG59=0,IF(BA59=1,"",FW58),IF(AND(CH59=1,CW59=1,CS59&lt;&gt;""),IFERROR(_xlfn.XLOOKUP(CS59,Линии[_n],Линии[_фаза итог]),"L1"),IF(OR(N(DL59)&gt;=3,N(BX59)&gt;=3),"L1,L2,L3",IFERROR(_xlfn.TEXTBEFORE(_xlfn.TEXTAFTER(_xlfn.XLOOKUP(A59,Щиты[Щит],Щиты[_фазы авто]),";"&amp;BA59&amp;":"),";"),"L1")))))</f>
        <v>L1</v>
      </c>
      <c r="FV59" t="str">
        <f t="shared" si="71"/>
        <v>L1</v>
      </c>
      <c r="FW59" t="str">
        <f t="shared" si="72"/>
        <v>L1</v>
      </c>
      <c r="FX59" cm="1">
        <f t="array" ref="FX59">IFERROR(IF(CD59=2,_xlfn.IFS(BX59=3,VLOOKUP(BS59,Справочная_двигатели,3,FALSE),BX59=1,VLOOKUP(BS59,Справочная_двигатели,5,TRUE)),0),0)</f>
        <v>0</v>
      </c>
      <c r="FY59">
        <f>IFERROR(IF(CD59=3,VLOOKUP(BS59,Справочная_ЛЭД,2,TRUE),0),0)</f>
        <v>0</v>
      </c>
      <c r="FZ59" s="6">
        <f t="shared" si="73"/>
        <v>0</v>
      </c>
      <c r="GA59" t="str">
        <f>IF(B59="","",IF(TRIM(AH59&amp;"")&lt;&gt;"",IF(LOWER(TRIM(AH59&amp;""))="да","да","нет"),IF(IFERROR(_xlfn.XLOOKUP(BC59,Коды_код,Коды_пожарная),"")="да","да","нет")))</f>
        <v>нет</v>
      </c>
      <c r="GB59" t="str">
        <f t="shared" si="74"/>
        <v/>
      </c>
      <c r="GC59" t="str">
        <f t="shared" si="75"/>
        <v>основная</v>
      </c>
      <c r="GD59">
        <f>IF(AND(BP59=1,TRIM(AE59&amp;"")=""),IF(COUNTIFS(Линии[Щит],A59,Линии[Секция (1/2/3)],"&gt;=2")&gt;0,MIN(3,MAX(1,IFERROR(--BD59,1))),1),IFERROR(MIN(3,MAX(1,INT(--AE59))),1))</f>
        <v>1</v>
      </c>
      <c r="GE59" t="str" cm="1">
        <f t="array" ref="GE59">IF(B59="","",_xlfn.LET(_xlpm.t,IFERROR(_xlfn.XLOOKUP(1,(Шины[Шина]=GC59)*(((Шины[Щит]=A59)+(Шины[Щит]=""))&gt;0),Шины[Тип]),"")&amp;"",IF(_xlpm.t&lt;&gt;"",_xlpm.t,IF(ISNUMBER(SEARCH("ИБП",GC59)),"ИБП",IF(ISNUMBER(SEARCH("ДГУ",GC59)),"ДГУ","Ввод "&amp;GD59)))))</f>
        <v>Ввод 1</v>
      </c>
      <c r="GF59" t="str">
        <f t="shared" si="76"/>
        <v>Ввод 1</v>
      </c>
      <c r="GG59" t="str">
        <f>IF(BP59=0,"",IF(TRIM(AG59&amp;"")&lt;&gt;"",TRIM(AG59&amp;""),IF(OR(GE59="ИБП",GE59="ДГУ"),"I особая",_xlfn.XLOOKUP(A59,Щиты[Щит],Щиты[Категория шины «Ввод»],"III"))))</f>
        <v/>
      </c>
      <c r="GH59" t="str">
        <f>IF(A59="","",_xlfn.XLOOKUP(A59,Щиты[Щит],Щиты[Путь],""))</f>
        <v>|ГРЩ-ЖД|ЩОВ-001|</v>
      </c>
      <c r="GI59" t="str">
        <f>IF(B59="","",IF(AI59&lt;&gt;"",AI59,IF(IFERROR(_xlfn.XLOOKUP(BC59,Коды_код,Коды_вид)&amp;"","")="","Прочее",_xlfn.XLOOKUP(BC59,Коды_код,Коды_вид)&amp;"")))</f>
        <v>Вентиляция</v>
      </c>
      <c r="GJ59">
        <f>IF(BM59="","",INT((BM59-1)/Столбцов_на_лист)+1)</f>
        <v>2</v>
      </c>
      <c r="GK59" t="str">
        <f t="shared" si="77"/>
        <v>ВВГнг(А)-LS (3х1,5) L=20-0,12%</v>
      </c>
      <c r="GL59">
        <f t="shared" si="78"/>
        <v>0.1</v>
      </c>
      <c r="GM59">
        <f t="shared" si="79"/>
        <v>0.55000000000000004</v>
      </c>
      <c r="GN59">
        <f t="shared" si="80"/>
        <v>1</v>
      </c>
      <c r="GO59">
        <f t="shared" si="81"/>
        <v>0</v>
      </c>
      <c r="GP59">
        <f t="shared" si="82"/>
        <v>1</v>
      </c>
      <c r="GQ59">
        <f>IF(BM59="","",IF(AND(CG59=1,GP59=1),COUNTIFS(A$3:A59,A59,CG$3:CG59,1,GP$3:GP59,1),IF(OR(OR(BA59=1,A59&lt;&gt;A58),AJ59="вручную",GP59=0),"",IF(BA59=1,"",GR58))))</f>
        <v>6</v>
      </c>
      <c r="GR59">
        <f t="shared" si="83"/>
        <v>6</v>
      </c>
      <c r="GS59">
        <f>IF(B59="","",IFERROR(LOOKUP(INDEX(CHOOSE(EB59,Iдоп_1ж,Iдоп_2ж,Iдоп_3ж),MATCH(EN59,Iдоп_S,0))*DZ59*EA59,{6,10,16,20,25,32,40,50,63,80,100,125,160,200,250,315,400,500,630}),""))</f>
        <v>16</v>
      </c>
      <c r="GT59" t="str">
        <f t="shared" si="84"/>
        <v>QF6</v>
      </c>
      <c r="GU59" t="str">
        <f t="shared" si="85"/>
        <v>QF6</v>
      </c>
      <c r="GV59" t="str">
        <f t="shared" si="86"/>
        <v/>
      </c>
      <c r="GW59">
        <f t="shared" si="87"/>
        <v>0</v>
      </c>
      <c r="GX59" t="str">
        <f>IF(OR(B59="",DJ59=""),"",IFERROR(_xlfn.XLOOKUP(DJ59,Модули_умолч[Управление],Модули_умолч[Модель])&amp;"",""))</f>
        <v/>
      </c>
      <c r="GY59">
        <f>IF(DJ59="",1,IFERROR(MAX(0,N(_xlfn.XLOOKUP(DJ59,Модули_умолч[Управление],Модули_умолч[Каналов на линию]))),1))</f>
        <v>1</v>
      </c>
      <c r="GZ59" t="str">
        <f t="shared" si="88"/>
        <v/>
      </c>
      <c r="HA59" t="str">
        <f t="shared" si="89"/>
        <v/>
      </c>
      <c r="HB59" t="str">
        <f t="shared" si="90"/>
        <v/>
      </c>
      <c r="HC59">
        <f>IF(HB59="",0,IFERROR(N(VLOOKUP(HB59,Модули_спр,3,FALSE)),0))</f>
        <v>0</v>
      </c>
      <c r="HD59" t="str">
        <f t="shared" si="91"/>
        <v/>
      </c>
      <c r="HE59" t="str">
        <f t="shared" si="92"/>
        <v/>
      </c>
      <c r="HF59" t="str">
        <f>IF(OR(HE59="",HE59="-"),"",IFERROR(VLOOKUP(HE59,Модули_спр,2,FALSE),"R"))</f>
        <v/>
      </c>
      <c r="HG59" t="str">
        <f>IF(HF59="","",HF59&amp;"."&amp;COUNTIFS(A$3:A59,A59,HF$3:HF59,HF59))</f>
        <v/>
      </c>
      <c r="HH59" t="str">
        <f t="shared" si="93"/>
        <v/>
      </c>
      <c r="HI59" t="str">
        <f t="shared" si="94"/>
        <v/>
      </c>
      <c r="HJ59" t="str">
        <f t="shared" si="95"/>
        <v/>
      </c>
      <c r="HK59" t="str">
        <f t="shared" si="96"/>
        <v/>
      </c>
      <c r="HL59">
        <f t="shared" si="97"/>
        <v>1</v>
      </c>
      <c r="HM59" t="str">
        <f>IF(HL59=1,"XT"&amp;COUNTIFS(A$3:A59,A59,HL$3:HL59,1),"")</f>
        <v>XT6</v>
      </c>
      <c r="HN59" t="str">
        <f t="shared" si="98"/>
        <v/>
      </c>
      <c r="HO59" t="str">
        <f t="shared" si="99"/>
        <v>QF6</v>
      </c>
      <c r="HP59" t="str">
        <f t="shared" si="100"/>
        <v/>
      </c>
      <c r="HQ59" t="str">
        <f t="shared" si="101"/>
        <v>ok</v>
      </c>
      <c r="HR59" t="str">
        <f>IF(OR(HJ59="",HH59=""),"",IF(HJ59+MAX(0,GY59-1)&gt;IFERROR(VLOOKUP(HI59,Модули_спр,3,FALSE),99),"ЛИШНИЙ КАНАЛ",IF(AND(AL59&lt;&gt;"=",GY59&gt;0,COUNTIFS(Линии[_модуль гр.],HH59,Линии[Канал (итог)],HJ59,Линии[Канал],"&lt;&gt;=",Линии[Щит],A59)&gt;1),"ДУБЛЬ КАНАЛА","")))</f>
        <v/>
      </c>
      <c r="HS59" s="6" t="str">
        <f t="shared" si="102"/>
        <v/>
      </c>
      <c r="HT59">
        <f t="shared" si="103"/>
        <v>10</v>
      </c>
      <c r="HU59" t="str">
        <f t="shared" si="104"/>
        <v/>
      </c>
      <c r="HV59">
        <f t="shared" si="105"/>
        <v>0.41650635094610966</v>
      </c>
      <c r="HW59">
        <f t="shared" si="106"/>
        <v>0</v>
      </c>
      <c r="HX59">
        <f t="shared" si="107"/>
        <v>0</v>
      </c>
      <c r="HY59">
        <f t="shared" si="108"/>
        <v>0</v>
      </c>
      <c r="HZ59">
        <f t="shared" si="109"/>
        <v>0</v>
      </c>
      <c r="IA59">
        <f t="shared" si="110"/>
        <v>0</v>
      </c>
      <c r="IB59">
        <f t="shared" si="111"/>
        <v>0</v>
      </c>
      <c r="IC59" t="str">
        <f t="shared" si="112"/>
        <v/>
      </c>
      <c r="ID59" t="str" cm="1">
        <f t="array" ref="ID59">IF(IC59="","",_xlfn.LET(_xlpm.tk,_xlfn.TEXTSPLIT(SUBSTITUTE(SUBSTITUTE(IC59,";"," "),"→"," ")," ",,TRUE),_xlpm.w_,_xlfn._xlws.FILTER(_xlpm.tk,ISNUMBER(--LEFT(_xlpm.tk,1))*((ISNUMBER(SEARCH("W",_xlpm.tk))+ISNUMBER(SEARCH("Вт",_xlpm.tk)))&gt;0),""),IFERROR(--SUBSTITUTE(SUBSTITUTE(UPPER(INDEX(_xlpm.w_,1)),"W",""),"ВТ",""),"")))</f>
        <v/>
      </c>
      <c r="IE59" t="str" cm="1">
        <f t="array" ref="IE59">IF(IC59="","",_xlfn.LET(_xlpm.tk,_xlfn.TEXTSPLIT(SUBSTITUTE(SUBSTITUTE(IC59,";"," "),"→"," ")," ",,TRUE),_xlpm.v_,_xlfn._xlws.FILTER(_xlpm.tk,ISNUMBER(--LEFT(_xlpm.tk,1))*((ISNUMBER(SEARCH("V",_xlpm.tk))+(RIGHT(UPPER(_xlpm.tk))="В"))&gt;0),""),IFERROR(--SUBSTITUTE(SUBSTITUTE(UPPER(INDEX(_xlpm.v_,1)),"V",""),"В",""),"")))</f>
        <v/>
      </c>
      <c r="IF59" s="6" t="str">
        <f>IF(OR(BV59=0,HI59="",HJ59=""),"",IFERROR(N(_xlfn.XLOOKUP(HI59,Каталог!$C$4:$C$500,Каталог!$Q$4:$Q$500)),""))</f>
        <v/>
      </c>
      <c r="IG59" s="6" t="str">
        <f>IF(N(IF59)=0,"",SUMIFS(Линии[Iр, А],Линии[Щит],A59,Линии[_модуль гр.],HH59,Линии[Канал (итог)],HJ59))</f>
        <v/>
      </c>
      <c r="IH59" t="str">
        <f>IF(AND(B59="",HO59=""),"",_xlfn.TEXTJOIN("; ",TRUE,IF(AND(B59&lt;&gt;"",FV59=""),"нет фазы",""),IF(AND(B59&lt;&gt;"",N(GL59)=0,FG59&lt;&gt;"Нет"),"нет мощности",""),IF(AND(HN59&lt;&gt;"",COUNTIFS(Линии[Щит],A59,Линии[Клемма (итог)],HN59)&gt;1),"дубль клеммы "&amp;HN59,""),IF(AND(HQ59&lt;&gt;"",HQ59&lt;&gt;"ok"),HQ59,""),IF(HR59&lt;&gt;"",HR59,""),IF(AND(N(CB59)&gt;=4,N(BX59)=1),CB59&amp;" жил на 1 фазе",""),IF(AND(BC59="R",CG59=1,IF(CS59&lt;&gt;"",N(CV59)&gt;30,OR(N(DA59)=0,N(DA59)&gt;30))),"розетка без дифзащиты до 30 мА",""),IF(AND(CG59=1,N(DA59)&gt;0,ISNUMBER(T59)),IF(T59&gt;N(DA59)/3,"ток утечки "&amp;FIXED(T59,1)&amp;" мА &gt; 1/3 уставки ("&amp;DA59&amp;" мА)",""),""),IF(AND(CH59=1,CS59=""),"«узо»: нет строки с УЗО выше (УЗО 2P 40А 30мА в «Аппаратах»)",""),IF(AND(CS59&lt;&gt;"",CS59=BA59),IF(CT59="","впишите номинал УЗО (УЗО 2P 40А 30мА)",IF(N(CT59)&lt;N(DT59),"УЗО "&amp;CT59&amp;" А &lt; автомата "&amp;DT59&amp;" А перед ним",IF(N(CT59)&lt;N(CX59),"УЗО "&amp;CT59&amp;" А &lt; тока блока "&amp;FIXED(CX59,1)&amp;" А",""))),""),IF(AND(CS59&lt;&gt;"",CS59=BA59,ISNUMBER(CY59)),IF(CY59&gt;N(CV59)/3,"ток утечки блока УЗО "&amp;FIXED(CY59,1)&amp;" мА &gt; 1/3 уставки ("&amp;CV59&amp;" мА)",""),""),IF(AND(CG59=1,N(BV59)+N(IB59)&gt;0,IC59=""),"линии до 50 В без БП: впишите в «Аппараты» (БП 24V 480W)",""),IF(AND(CG59=1,ISNUMBER(ID59),ISNUMBER(U59)),IF(U59&gt;ID59,"БП "&amp;ID59&amp;" Вт &lt; нужно "&amp;U59&amp;" Вт (×"&amp;Запас_БП&amp;")",""),""),IF(AND(CG59=1,ISNUMBER(IE59),N(BV59)=1),IF(IE59&lt;&gt;N(BU59),"БП на "&amp;IE59&amp;" В, линия "&amp;BU59&amp;" В",""),""),IF(AND(N(IF59)&gt;0,N(IG59)&gt;N(IF59)),HH59&amp;" канал "&amp;HJ59&amp;": "&amp;FIXED(IG59,1)&amp;" А &gt; "&amp;IF59&amp;" А",""),IFERROR(IF(AND(ISNUMBER(Q59),Q59&gt;EL59),"потери "&amp;FIXED(Q59,1)&amp;" % &gt; "&amp;EL59&amp;" %",""),""),IFERROR(IF(LEFT(HU59,4)="мало","Iкз мало — отключение &gt; 0,4 с",""),""),IF(AND(B59&lt;&gt;"",BM59=""),"не на схеме",""),IF(AND(CG59=0,B59&lt;&gt;"",FV59&lt;&gt;"",IF(BA59=1,"",FW58)&lt;&gt;"",FV59&lt;&gt;IF(BA59=1,"",FW58)),"фаза не как у автомата группы ("&amp;IF(BA59=1,"",FW58)&amp;")","")))</f>
        <v/>
      </c>
      <c r="II59" s="6">
        <f>IF(OR(CG59=0,DQ59=""),"",_xlfn.LET(_xlpm.t,IFERROR(_xlfn.XLOOKUP(DQ59,Каталог!$U$4:$U$500,Каталог!$G$4:$G$500),""),_xlpm.k,SEARCH("кА",_xlpm.t),IFERROR(--TRIM(RIGHT(SUBSTITUTE(MID(_xlpm.t,MAX(1,_xlpm.k-4),_xlpm.k-MAX(1,_xlpm.k-4))," ",REPT(" ",9)),5)),"")))</f>
        <v>6</v>
      </c>
      <c r="IJ59" t="str">
        <f>IF(OR(II59="",CG59=0),"",IF(_xlfn.XLOOKUP(A59,Щиты[Щит],Щиты[Iкз max на шинах, кА],"")="","",IF(II59&lt;_xlfn.XLOOKUP(A59,Щиты[Щит],Щиты[Iкз max на шинах, кА]),"Icu "&amp;II59&amp;" кА &lt; Iкз max","ok")))</f>
        <v/>
      </c>
      <c r="IK59" t="str">
        <f t="shared" si="113"/>
        <v/>
      </c>
      <c r="IL59" t="str">
        <f t="shared" si="114"/>
        <v>QF6</v>
      </c>
      <c r="IM59" t="str">
        <f t="shared" si="115"/>
        <v>QF6|кабель ВВГнг(А)-LS (3х1,5) → Вытяжная установка Подвальный этаж Пом №006T</v>
      </c>
      <c r="IN59" t="str" cm="1">
        <f t="array" ref="IN59">IF(IM59="","",_xlfn.LET(_xlpm.nd,_xlfn.TEXTSPLIT(IM59,"|"),IF(COLUMNS(_xlpm.nd)&gt;1,A59&amp;"¦"&amp;INDEX(_xlpm.nd,1)&amp;"¦"&amp;INDEX(_xlpm.nd,2),"")))</f>
        <v>ЩОВ-001¦QF6¦кабель ВВГнг(А)-LS (3х1,5) → Вытяжная установка Подвальный этаж Пом №006T</v>
      </c>
      <c r="IO59" t="str">
        <f t="shared" si="116"/>
        <v>В.17¦Вытяжная установка Подвальный этаж Пом №006T</v>
      </c>
      <c r="IP59" t="str" cm="1">
        <f t="array" ref="IP59">IF(IM59="","",_xlfn.LET(_xlpm.nd,_xlfn.TEXTSPLIT(IM59,"|"),IF(COLUMNS(_xlpm.nd)&gt;2,A59&amp;"¦"&amp;INDEX(_xlpm.nd,2)&amp;"¦"&amp;INDEX(_xlpm.nd,3),"")))</f>
        <v/>
      </c>
      <c r="IQ59" t="str">
        <f t="shared" si="117"/>
        <v/>
      </c>
      <c r="IR59" t="str" cm="1">
        <f t="array" ref="IR59">IF(IM59="","",_xlfn.LET(_xlpm.nd,_xlfn.TEXTSPLIT(IM59,"|"),IF(COLUMNS(_xlpm.nd)&gt;3,A59&amp;"¦"&amp;INDEX(_xlpm.nd,3)&amp;"¦"&amp;INDEX(_xlpm.nd,4),"")))</f>
        <v/>
      </c>
      <c r="IS59" t="str">
        <f t="shared" si="118"/>
        <v/>
      </c>
      <c r="IT59" t="str" cm="1">
        <f t="array" ref="IT59">IF(IM59="","",_xlfn.LET(_xlpm.nd,_xlfn.TEXTSPLIT(IM59,"|"),IF(COLUMNS(_xlpm.nd)&gt;4,A59&amp;"¦"&amp;INDEX(_xlpm.nd,4)&amp;"¦"&amp;INDEX(_xlpm.nd,5),"")))</f>
        <v/>
      </c>
      <c r="IU59" t="str">
        <f t="shared" si="119"/>
        <v/>
      </c>
      <c r="IV59" t="str" cm="1">
        <f t="array" ref="IV59">IF(IM59="","",_xlfn.LET(_xlpm.nd,_xlfn.TEXTSPLIT(IM59,"|"),IF(COLUMNS(_xlpm.nd)&gt;5,A59&amp;"¦"&amp;INDEX(_xlpm.nd,5)&amp;"¦"&amp;INDEX(_xlpm.nd,6),"")))</f>
        <v/>
      </c>
      <c r="IW59" t="str">
        <f t="shared" si="120"/>
        <v/>
      </c>
      <c r="IX59" t="str" cm="1">
        <f t="array" ref="IX59">IF(IM59="","",_xlfn.LET(_xlpm.nd,_xlfn.TEXTSPLIT(IM59,"|"),IF(COLUMNS(_xlpm.nd)&gt;6,A59&amp;"¦"&amp;INDEX(_xlpm.nd,6)&amp;"¦"&amp;INDEX(_xlpm.nd,7),"")))</f>
        <v/>
      </c>
      <c r="IY59" t="str">
        <f t="shared" si="121"/>
        <v/>
      </c>
      <c r="IZ59" t="str">
        <f t="shared" si="122"/>
        <v/>
      </c>
      <c r="JA59" t="str">
        <f t="shared" si="123"/>
        <v>QF6</v>
      </c>
      <c r="JB59">
        <f t="shared" si="124"/>
        <v>0</v>
      </c>
      <c r="JC59">
        <f t="shared" si="125"/>
        <v>0</v>
      </c>
      <c r="JD59" t="str">
        <f t="shared" si="126"/>
        <v/>
      </c>
      <c r="JE59" t="str">
        <f t="shared" si="127"/>
        <v/>
      </c>
      <c r="JF59" t="str">
        <f t="shared" si="128"/>
        <v/>
      </c>
      <c r="JG59" t="str">
        <f t="shared" si="129"/>
        <v/>
      </c>
      <c r="JH59" t="str">
        <f>IF(B59="","",IFERROR(_xlfn.XLOOKUP(B59,Коды_код,Коды_уго),IFERROR(_xlfn.XLOOKUP(BC59,Коды_код,Коды_уго),IFERROR(_xlfn.XLOOKUP(LEFT(BC59,2),Коды_код,Коды_уго),""))))</f>
        <v>Привод (двигатель)</v>
      </c>
      <c r="JI59" t="str">
        <f>IF(B59="","",IF(OR(JH59="",JH59=0),"BOX",IFERROR(IF(VLOOKUP(JH59,УГО_блоки,3,FALSE)&amp;""&lt;&gt;"",VLOOKUP(JH59,УГО_блоки,3,FALSE),VLOOKUP(JH59,УГО_блоки,2,FALSE)),JH59)))</f>
        <v>MOTOR</v>
      </c>
      <c r="JJ59">
        <f t="shared" si="130"/>
        <v>1</v>
      </c>
      <c r="JK59" t="str">
        <f>IF(DQ59="","",IF(COUNTIF(DQ$3:DQ59,DQ59)=1,MAX(JK$2:JK58)+1,""))</f>
        <v/>
      </c>
      <c r="JL59" t="str">
        <f>IF(DE59="","",IF(COUNTIF(DE$3:DE59,DE59)+COUNTIF(DF$2:DF58,DE59)+COUNTIF(DG$2:DG58,DE59)=1,MAX(JL$2:JN58)+1,""))</f>
        <v/>
      </c>
      <c r="JM59" t="str">
        <f>IF(DF59="","",IF(COUNTIF(DE$3:DE59,DF59)+COUNTIF(DF$3:DF59,DF59)+COUNTIF(DG$2:DG58,DF59)=1,MAX(JL$2:JN58,JL59)+1,""))</f>
        <v/>
      </c>
      <c r="JN59" t="str">
        <f>IF(DG59="","",IF(COUNTIF(DE$3:DE59,DG59)+COUNTIF(DF$3:DF59,DG59)+COUNTIF(DG$3:DG59,DG59)=1,MAX(JL$2:JN58,JL59,JM59)+1,""))</f>
        <v/>
      </c>
      <c r="JO59" t="str">
        <f t="shared" si="131"/>
        <v>3х1,5</v>
      </c>
      <c r="JP59" t="str">
        <f>IF(JO59="","",IF(COUNTIF(JO$3:JO59,JO59)=1,MAX(JP$2:JP58)+1,""))</f>
        <v/>
      </c>
      <c r="JQ59" t="str">
        <f>IF(HG59="","",COUNTIF(HG$3:HG59,"?*"))</f>
        <v/>
      </c>
      <c r="JR59" t="str">
        <f>IF(OR(HG59="",HI59=""),"",IF(COUNTIFS(HG$3:HG59,"?*",HI$3:HI59,HI59)=1,MAX(JR$2:JR58)+1,""))</f>
        <v/>
      </c>
      <c r="JS59">
        <f t="shared" si="132"/>
        <v>0</v>
      </c>
      <c r="JT59">
        <f>IF(B59="","",COUNTIF(B$3:B59,"?*"))</f>
        <v>57</v>
      </c>
      <c r="JU59">
        <f>IF(HL59&lt;&gt;1,0,_xlfn.LET(_xlpm.k,MAX(IFERROR(--_xlfn.XLOOKUP(B59,Коды_код,Коды_3L),0),IFERROR(--_xlfn.XLOOKUP(BC59,Коды_код,Коды_3L),0),IFERROR(--_xlfn.XLOOKUP(LEFT(BC59,2),Коды_код,Коды_3L),0)),IF(_xlpm.k&gt;0,_xlpm.k,IF(IFERROR(--LEFT(SUBSTITUTE(JO59,"x","х"),FIND("х",SUBSTITUTE(JO59,"x","х"))-1),3)&gt;3,Каталог!$S$9,1))))</f>
        <v>1</v>
      </c>
      <c r="JV59">
        <f t="shared" si="133"/>
        <v>0</v>
      </c>
      <c r="JW59" t="str">
        <f t="shared" si="134"/>
        <v>авто</v>
      </c>
      <c r="JX59" t="str">
        <f t="shared" si="135"/>
        <v/>
      </c>
      <c r="JY59">
        <f t="shared" si="136"/>
        <v>0</v>
      </c>
      <c r="JZ59">
        <f t="shared" si="137"/>
        <v>1</v>
      </c>
    </row>
    <row r="60" spans="1:286" x14ac:dyDescent="0.3">
      <c r="A60" t="s">
        <v>747</v>
      </c>
      <c r="B60" t="s">
        <v>1373</v>
      </c>
      <c r="C60" t="s">
        <v>1656</v>
      </c>
      <c r="D60">
        <v>1</v>
      </c>
      <c r="E60">
        <v>0.1</v>
      </c>
      <c r="G60">
        <v>10</v>
      </c>
      <c r="H60" t="str">
        <f>Линии[[#This Row],[_авто управление]]</f>
        <v/>
      </c>
      <c r="I60" t="str">
        <f>Линии[[#This Row],[_авто аппараты]]</f>
        <v/>
      </c>
      <c r="J60">
        <v>1.5</v>
      </c>
      <c r="K60">
        <v>19</v>
      </c>
      <c r="L60" t="str">
        <f>Линии[[#This Row],[_авто фаза]]</f>
        <v>L3</v>
      </c>
      <c r="M60" t="s">
        <v>484</v>
      </c>
      <c r="N60" t="str">
        <f t="shared" si="0"/>
        <v/>
      </c>
      <c r="O60" s="6" cm="1">
        <f t="array" ref="O60">IF(B60="","",IF(BH60&lt;&gt;"",IFERROR(_xlfn.XLOOKUP(BH60,Щиты[Щит],Щиты[Iр, А]),""),IF(BP60=1,IF(OR(N(_xlfn.XLOOKUP(A60,Щиты[Щит],Щиты[Вводов],1))&lt;=1,LOWER(TRIM(_xlfn.XLOOKUP(A60,Щиты[Щит],Щиты[АВР],"")&amp;""))="да"),IFERROR(_xlfn.XLOOKUP(A60,Щиты[Щит],Щиты[Iр, А]),""),IFERROR(N(BS60)*_xlfn.XLOOKUP(A60,Щиты[Щит],Щиты[Кс итог])/(SQRT(3)*Uн_лин*_xlfn.XLOOKUP(A60,Щиты[Щит],Щиты[cos φ])),"")),IF(BV60=1,IFERROR(BS60*1000/BU60,""),IFERROR(_xlfn.IFS(BX60=1,BS60/((Uн_лин/SQRT(3))*CE60),BX60=3,BS60/(SQRT(3)*Uн_лин*CE60)),"")))))</f>
        <v>0.5412658773652741</v>
      </c>
      <c r="P60" s="7">
        <f>IF(B60="","",IFERROR(IF(VLOOKUP(BC60,Потребители_обозначение,4,FALSE)=1,VLOOKUP(BC60,Потребители_обозначение,3,FALSE)*(MAX(1,N(D60))*2-1)+EI60+VLOOKUP(BE60,Этаж_обозначение,3,FALSE)+VLOOKUP(BE60,Этаж_обозначение,4,FALSE),VLOOKUP(BC60,Потребители_обозначение,3,FALSE)*(MAX(1,N(D60))*2-1)+EI60),EI60))</f>
        <v>23</v>
      </c>
      <c r="Q60" s="6">
        <f t="shared" si="1"/>
        <v>0.78</v>
      </c>
      <c r="R60" t="str">
        <f t="shared" si="2"/>
        <v>ВВГнг(А)-LS (3х1,5)</v>
      </c>
      <c r="S60" t="str">
        <f>IF(BM60="","",IF(BN60="вводной узел","узел ","")&amp;"л."&amp;(INT((BM60-1)/Столбцов_на_лист)+1)&amp;" / "&amp;(MOD(BM60-1,Столбцов_на_лист)+1))</f>
        <v>л.2 / 5</v>
      </c>
      <c r="T60" s="119">
        <f t="shared" si="3"/>
        <v>0.4</v>
      </c>
      <c r="U60" s="7" t="str">
        <f>IF(OR(CG60=0,N(BV60)+N(IB60)=0),"",ROUNDUP(Запас_БП*(N(HY60)+N(HZ60)),0))</f>
        <v/>
      </c>
      <c r="V60" s="119" t="str">
        <f t="shared" si="4"/>
        <v/>
      </c>
      <c r="W60" s="7" t="str">
        <f>IFERROR(IF(OR(B60="",BP60=1,BV60=1,NOT(ISNUMBER(EN60)),N(DT60)=0),"",MAX(0,ROUNDDOWN((c_min*(Uн_лин*1000/SQRT(3))/(HT60*N(DT60))-_xlfn.XLOOKUP(A60,Щиты[Щит],Щиты[Zпетли на шинах, Ом]))*EN60/(2*ρкз_Cu),0))),"")</f>
        <v/>
      </c>
      <c r="Y60" t="str">
        <f>Линии[[#This Row],[_авто утечка]]</f>
        <v/>
      </c>
      <c r="Z60">
        <v>1</v>
      </c>
      <c r="AA60">
        <v>230</v>
      </c>
      <c r="AB60" t="s">
        <v>598</v>
      </c>
      <c r="AC60">
        <v>0.5</v>
      </c>
      <c r="AG60" t="s">
        <v>810</v>
      </c>
      <c r="AI60" t="s">
        <v>580</v>
      </c>
      <c r="AK60" t="str">
        <f>Линии[[#This Row],[_авто модуль]]</f>
        <v/>
      </c>
      <c r="AM60">
        <v>22</v>
      </c>
      <c r="AN60" t="s">
        <v>11</v>
      </c>
      <c r="AO60">
        <v>3</v>
      </c>
      <c r="AR60">
        <v>23</v>
      </c>
      <c r="AT60">
        <v>1</v>
      </c>
      <c r="BA60" cm="1">
        <f t="array" ref="BA60">ROW()-ROW(Линии[#Headers])</f>
        <v>58</v>
      </c>
      <c r="BC60" s="6" t="str">
        <f t="shared" si="5"/>
        <v>В</v>
      </c>
      <c r="BD60" t="str">
        <f t="shared" si="6"/>
        <v>18</v>
      </c>
      <c r="BE60" t="str">
        <f t="shared" si="7"/>
        <v>18</v>
      </c>
      <c r="BF60" t="str">
        <f t="shared" si="8"/>
        <v/>
      </c>
      <c r="BG60" t="str">
        <f t="shared" si="9"/>
        <v/>
      </c>
      <c r="BH60" t="str">
        <f>IF(X60&lt;&gt;"",X60,IF(AND(B60&lt;&gt;"",B60&lt;&gt;A60,ISNUMBER(_xlfn.XMATCH(B60,Щиты[Щит]))),B60,""))</f>
        <v/>
      </c>
      <c r="BI60" t="str" cm="1">
        <f t="array" ref="BI60">IF(B60="","",IF(BH60&lt;&gt;"","Щит "&amp;BH60,_xlfn.LET(_xlpm.nm,IFERROR(_xlfn.XLOOKUP(BC60,Коды_код,Коды_имя)&amp;"",""),_xlpm.md,IFERROR(N(_xlfn.XLOOKUP(BC60,Коды_код,Коды_режим)),1),_xlpm.ex,IF(Имя_режим="по экспликации",IFERROR(_xlfn.XLOOKUP(BE60&amp;"|"&amp;BG60,Экспликация[Этаж]&amp;"|"&amp;Экспликация[Помещение],Экспликация[Название])&amp;"",""),""),_xlpm.rm,IF(BG60="","",IF(_xlpm.ex&lt;&gt;"",". "&amp;_xlpm.ex&amp;IF(Имя_пом="нет"," ("&amp;BG60&amp;")"," (пом. "&amp;BG60&amp;")"),IF(Имя_пом="нет"," ",", пом. ")&amp;BG60)),IF(_xlpm.nm="","",IF(_xlpm.md=2,_xlpm.nm&amp;" шлейф "&amp;BE60,_xlpm.nm&amp;_xlpm.rm)))))</f>
        <v>Вытяжная установка шлейф 18</v>
      </c>
      <c r="BJ60" t="str">
        <f t="shared" si="10"/>
        <v>Вытяжная установка Подвальный этаж Пом №006T</v>
      </c>
      <c r="BK60">
        <f>IFERROR(_xlfn.XMATCH(A60,Щиты[Щит]),0)</f>
        <v>4</v>
      </c>
      <c r="BL60">
        <f>_xlfn.LET(_xlpm.k,IFERROR(_xlfn.XLOOKUP(A60,Щиты[Щит],Щиты[Мест под вводной узел]),""),IF(_xlpm.k="",Столбцов_на_лист,N(_xlpm.k)))</f>
        <v>13</v>
      </c>
      <c r="BM60">
        <f t="shared" si="11"/>
        <v>22</v>
      </c>
      <c r="BN60" t="str">
        <f t="shared" si="12"/>
        <v>линии</v>
      </c>
      <c r="BO60" s="6">
        <f>IFERROR(N(_xlfn.XLOOKUP(BC60,Коды_код,Коды_квт)),0)</f>
        <v>0</v>
      </c>
      <c r="BP60">
        <f t="shared" si="13"/>
        <v>0</v>
      </c>
      <c r="BQ60" t="str">
        <f>IF(B60="","",IF(BH60&lt;&gt;"",IFERROR(_xlfn.XLOOKUP(BH60,Щиты[Щит],Щиты[Руст, кВт]),0),IF(BP60=1,IF(OR(N(_xlfn.XLOOKUP(A60,Щиты[Щит],Щиты[Вводов],1))&lt;=1,LOWER(TRIM(_xlfn.XLOOKUP(A60,Щиты[Щит],Щиты[АВР],"")&amp;""))="да"),IFERROR(_xlfn.XLOOKUP(A60,Щиты[Щит],Щиты[Руст, кВт]),0),SUMIFS(Линии[_Р для вводов],Линии[Щит],A60,Линии[Источник для режимов],GF60)),IF(BO60&gt;0,ROUND(BO60*MAX(1,N(D60)),3),""))))</f>
        <v/>
      </c>
      <c r="BR60">
        <f t="shared" si="14"/>
        <v>0.1</v>
      </c>
      <c r="BS60" s="6">
        <f>IF(B60="","",IF(BH60&lt;&gt;"",IFERROR(_xlfn.XLOOKUP(BH60,Щиты[Щит],Щиты[Руст, кВт]),0),N(BR60)))</f>
        <v>0.1</v>
      </c>
      <c r="BT60" t="str">
        <f>IF(B60="","",IFERROR(IF(VLOOKUP(BC60,Потребители_обозначение,8,FALSE)=0,"",VLOOKUP(BC60,Потребители_обозначение,8,FALSE)),""))</f>
        <v/>
      </c>
      <c r="BU60">
        <f t="shared" si="15"/>
        <v>230</v>
      </c>
      <c r="BV60">
        <f t="shared" si="16"/>
        <v>0</v>
      </c>
      <c r="BW60">
        <f>IF(B60="","",IF(BH60&lt;&gt;"",3,IFERROR(IF(N(VLOOKUP(BC60,Потребители_обозначение,9,FALSE))=0,1,VLOOKUP(BC60,Потребители_обозначение,9,FALSE)),1)))</f>
        <v>1</v>
      </c>
      <c r="BX60">
        <f t="shared" si="17"/>
        <v>1</v>
      </c>
      <c r="BY60" t="str">
        <f>IF(B60="","",_xlfn.LET(_xlpm.bc,IFERROR(IF(VLOOKUP(BC60,Потребители_обозначение,6,FALSE)=0,"",VLOOKUP(BC60,Потребители_обозначение,6,FALSE)&amp;""),""),IF(AND(GA60="да",OR(_xlpm.bc="",_xlpm.bc="мс")),Марка_пож,IF(AND(_xlpm.bc="",BH60&lt;&gt;""),"мс",_xlpm.bc))))</f>
        <v/>
      </c>
      <c r="BZ60" t="str">
        <f t="shared" si="18"/>
        <v>мс</v>
      </c>
      <c r="CA60">
        <f>IF(B60="","",_xlfn.LET(_xlpm.cc,IFERROR(N(VLOOKUP(BC60,Потребители_обозначение,7,FALSE)),0),IF(_xlpm.cc&gt;0,_xlpm.cc,IF(BZ60="","",IF(BV60=1,2,IF(N(BX60)=3,5,3))))))</f>
        <v>3</v>
      </c>
      <c r="CB60">
        <f t="shared" si="19"/>
        <v>3</v>
      </c>
      <c r="CC60">
        <f>IFERROR(N(VLOOKUP(BC60,Потребители_обозначение,10,FALSE)),0)</f>
        <v>0</v>
      </c>
      <c r="CD60">
        <f>IFERROR(VLOOKUP(BC60,Потребители_обозначение,5,FALSE),0)</f>
        <v>1</v>
      </c>
      <c r="CE60" s="6" cm="1">
        <f t="array" ref="CE60">IF(B60="","",IF(BH60&lt;&gt;"",IFERROR(_xlfn.XLOOKUP(BH60,Щиты[Щит],Щиты[cos φ]),0.95),IF(BP60=1,IFERROR(_xlfn.XLOOKUP(A60,Щиты[Щит],Щиты[cos φ]),0.95),IF(ISNUMBER(AD60),AD60,IFERROR(IF(CD60=2,_xlfn.IFS(BX60=3,VLOOKUP(BS60,Справочная_двигатели,8,FALSE),BX60=1,VLOOKUP(BS60,Справочная_двигатели,10,TRUE)),IF(AND(Методика="нормы 2026",FG60="Сил"),0.8,0.95)),0.95)))))</f>
        <v>0.8</v>
      </c>
      <c r="CF60">
        <f t="shared" si="20"/>
        <v>0</v>
      </c>
      <c r="CG60">
        <f t="shared" si="21"/>
        <v>1</v>
      </c>
      <c r="CH60">
        <f t="shared" si="22"/>
        <v>0</v>
      </c>
      <c r="CI60">
        <f>IF(B60="","",IF(BV60=1,IFERROR(BS60/((Uн_лин/SQRT(3))*MAX(0.5,N(CE60))),0),N(O60)))</f>
        <v>0.5412658773652741</v>
      </c>
      <c r="CJ60">
        <f t="shared" si="23"/>
        <v>0</v>
      </c>
      <c r="CK60">
        <f t="shared" si="24"/>
        <v>0</v>
      </c>
      <c r="CL60">
        <f t="shared" si="25"/>
        <v>0</v>
      </c>
      <c r="CM60">
        <f t="shared" si="26"/>
        <v>0</v>
      </c>
      <c r="CN60">
        <f t="shared" si="27"/>
        <v>0</v>
      </c>
      <c r="CO60">
        <f>IF(BC60="",0,_xlfn.LET(_xlpm.v,IFERROR(_xlfn.XLOOKUP(B60,Коды_код,Коды_мА),IFERROR(_xlfn.XLOOKUP(BC60,Коды_код,Коды_мА),IFERROR(_xlfn.XLOOKUP(LEFT(BC60,2),Коды_код,Коды_мА),""))),IF(_xlpm.v="да",30,IF(ISNUMBER(_xlpm.v),_xlpm.v,0))))</f>
        <v>0</v>
      </c>
      <c r="CP60" t="str">
        <f t="shared" si="28"/>
        <v/>
      </c>
      <c r="CQ60" t="str">
        <f>_xlfn.LET(_xlpm.k,IFERROR(_xlfn.XLOOKUP(BC60,Коды_код,Коды_утечка)&amp;"",""),IF(_xlpm.k="","дифавтомат",_xlpm.k))</f>
        <v>дифавтомат</v>
      </c>
      <c r="CR60" t="str" cm="1">
        <f t="array" ref="CR60">IF(CG60=0,"",_xlfn.LET(_xlpm.sg,TRIM(_xlfn.TEXTSPLIT(DD60&amp;"",";")),_xlpm.f_,_xlfn._xlws.FILTER(_xlpm.sg,LEFT(_xlpm.sg,3)="УЗО",""),IFERROR(INDEX(_xlpm.f_,1)&amp;"","")))</f>
        <v/>
      </c>
      <c r="CS60" t="str">
        <f t="shared" si="29"/>
        <v/>
      </c>
      <c r="CT60" s="6" t="str" cm="1">
        <f t="array" ref="CT60">IF(CR60="","",_xlfn.LET(_xlpm.tk,_xlfn.TEXTSPLIT(UPPER(CR60)," ",,TRUE),_xlpm.a_,_xlfn._xlws.FILTER(_xlpm.tk,ISNUMBER(--LEFT(_xlpm.tk,1))*((ISNUMBER(SEARCH("А",_xlpm.tk))+ISNUMBER(SEARCH("A",_xlpm.tk)))&gt;0)*NOT(ISNUMBER(SEARCH("МА",_xlpm.tk)))*NOT(ISNUMBER(SEARCH("MA",_xlpm.tk))),""),IFERROR(--SUBSTITUTE(SUBSTITUTE(INDEX(_xlpm.a_,1),"А",""),"A",""),"")))</f>
        <v/>
      </c>
      <c r="CU60" t="str" cm="1">
        <f t="array" ref="CU60">IF(CR60="","",_xlfn.LET(_xlpm.tk,_xlfn.TEXTSPLIT(UPPER(CR60)," ",,TRUE),_xlpm.a_,_xlfn._xlws.FILTER(_xlpm.tk,ISNUMBER(--LEFT(_xlpm.tk,1))*((ISNUMBER(SEARCH("МА",_xlpm.tk))+ISNUMBER(SEARCH("MA",_xlpm.tk)))&gt;0),""),IFERROR(--SUBSTITUTE(SUBSTITUTE(INDEX(_xlpm.a_,1),"МА",""),"MA",""),30)))</f>
        <v/>
      </c>
      <c r="CV60" t="str">
        <f>IF(CS60="","",IFERROR(_xlfn.XLOOKUP(CS60,Линии[_n],Линии[_УЗО, мА]),30))</f>
        <v/>
      </c>
      <c r="CW60">
        <f>IF(CS60="",0,IF(ISNUMBER(SEARCH("4P",IFERROR(_xlfn.XLOOKUP(CS60,Линии[_n],Линии[_УЗО строки])&amp;"",""))),0,1))</f>
        <v>0</v>
      </c>
      <c r="CX60" t="str">
        <f>IF(AND(CS60&lt;&gt;"",CS60=BA60),SUMIFS(Линии[_ток на 230 В],Линии[_блок УЗО],BA60,Линии[Щит],A60),"")</f>
        <v/>
      </c>
      <c r="CY60" t="str">
        <f>IF(AND(CS60&lt;&gt;"",CS60=BA60),SUMIFS(Линии[_ток утечки линии, мА],Линии[_блок УЗО],BA60,Линии[Щит],A60),"")</f>
        <v/>
      </c>
      <c r="CZ60">
        <f t="shared" si="30"/>
        <v>0</v>
      </c>
      <c r="DA60">
        <f t="shared" si="31"/>
        <v>0</v>
      </c>
      <c r="DB60">
        <f>IF(B60="",0,IFERROR(--_xlfn.XLOOKUP(B60,Коды_код,Коды_минавт),IFERROR(--_xlfn.XLOOKUP(BC60,Коды_код,Коды_минавт),IFERROR(--_xlfn.XLOOKUP(LEFT(BC60,2),Коды_код,Коды_минавт),0))))</f>
        <v>0</v>
      </c>
      <c r="DC60" t="str">
        <f>IF(B60="","",IFERROR(_xlfn.XLOOKUP(BC60,Коды_код,Коды_апп)&amp;"",""))</f>
        <v/>
      </c>
      <c r="DD60" t="str">
        <f t="shared" si="32"/>
        <v/>
      </c>
      <c r="DE60" t="str" cm="1">
        <f t="array" ref="DE60">IF(TRIM(DD60&amp;"")="","",IFERROR(TRIM(INDEX(_xlfn.TEXTSPLIT(DD60&amp;";;;",";"),1)),""))</f>
        <v/>
      </c>
      <c r="DF60" t="str" cm="1">
        <f t="array" ref="DF60">IF(TRIM(DD60&amp;"")="","",IFERROR(TRIM(INDEX(_xlfn.TEXTSPLIT(DD60&amp;";;;",";"),2)),""))</f>
        <v/>
      </c>
      <c r="DG60" t="str" cm="1">
        <f t="array" ref="DG60">IF(TRIM(DD60&amp;"")="","",IFERROR(TRIM(INDEX(_xlfn.TEXTSPLIT(DD60&amp;";;;",";"),3)),""))</f>
        <v/>
      </c>
      <c r="DH60">
        <f t="shared" si="33"/>
        <v>0</v>
      </c>
      <c r="DI60" t="str">
        <f>IF(B60="","",_xlfn.LET(_xlpm.t,LOWER(AZ60&amp;""),IF(ISNUMBER(SEARCH("dim",_xlpm.t)),"DIM",IF(ISNUMBER(SEARCH("dali",_xlpm.t)),"DALI",IF(OR(ISNUMBER(SEARCH("relay",_xlpm.t)),ISNUMBER(SEARCH("реле",_xlpm.t))),"Relay",IF(ISNUMBER(SEARCH("кнопк",_xlpm.t)),"",IFERROR(_xlfn.XLOOKUP(BC60,Коды_код,Коды_упр)&amp;"","")))))))</f>
        <v/>
      </c>
      <c r="DJ60" t="str">
        <f t="shared" si="34"/>
        <v/>
      </c>
      <c r="DK60">
        <f>IF(B60="","",_xlfn.LET(_xlpm.ig,IF(N(CX60)&gt;0,N(CX60),N(CI60)+IF(AJ60="вручную",0,N(CJ60))),_xlpm.n0,IFERROR(VLOOKUP(_xlpm.ig,Автомат_номиналы,2,TRUE),0),_xlpm.mn,MAX(DB60,IF(AJ60="вручную",0,N(CM60))),MAX(_xlpm.n0,_xlpm.mn,IF(DH60=1,Мин_автомат_БП,0))))</f>
        <v>6</v>
      </c>
      <c r="DL60">
        <f t="shared" si="35"/>
        <v>1</v>
      </c>
      <c r="DM60" t="str">
        <f t="shared" si="36"/>
        <v>1P</v>
      </c>
      <c r="DN60" t="str">
        <f>_xlfn.LET(_xlpm.cc,UPPER(TRIM(IFERROR(_xlfn.XLOOKUP(BC60,Коды_код,Коды_хар)&amp;"",""))),IF(OR(_xlpm.cc="B",_xlpm.cc="В"),"B",IF(_xlpm.cc="D","D","С")))</f>
        <v>С</v>
      </c>
      <c r="DO60" t="str">
        <f t="shared" si="37"/>
        <v>1P С6А</v>
      </c>
      <c r="DP60">
        <f t="shared" si="38"/>
        <v>10</v>
      </c>
      <c r="DQ60" t="str">
        <f t="shared" si="39"/>
        <v>1P С10А</v>
      </c>
      <c r="DR60" cm="1">
        <f t="array" ref="DR60">IF(DQ60="","",_xlfn.LET(_xlpm.t,SUBSTITUTE(SUBSTITUTE(SUBSTITUTE(UPPER(DQ60),"С","C"),"А","A"),"В","B"),_xlpm.tk,_xlfn.TEXTSPLIT(_xlpm.t," "),_xlpm.f,_xlfn._xlws.FILTER(_xlpm.tk,ISNUMBER(--MID(_xlpm.tk,2,1))*ISNUMBER(SEARCH(LEFT(_xlpm.tk,1)&amp;"#","B#C#D#"))*(LEN(_xlpm.tk)&gt;1),""),_xlpm.x,INDEX(_xlpm.f,1),IFERROR(--SUBSTITUTE(MID(_xlpm.x,2,9),"A",""),IFERROR(--SUBSTITUTE(INDEX(_xlfn._xlws.FILTER(_xlpm.tk,ISNUMBER(--SUBSTITUTE(_xlpm.tk,"A","")),""),1),"A",""),""))))</f>
        <v>10</v>
      </c>
      <c r="DS60" t="str">
        <f t="shared" si="40"/>
        <v>ok</v>
      </c>
      <c r="DT60">
        <f t="shared" si="41"/>
        <v>10</v>
      </c>
      <c r="DU60" t="str">
        <f t="shared" si="42"/>
        <v>1P С10А</v>
      </c>
      <c r="DV60">
        <f t="shared" si="43"/>
        <v>0</v>
      </c>
      <c r="DW60">
        <f t="shared" si="44"/>
        <v>0</v>
      </c>
      <c r="DX60">
        <f t="shared" si="45"/>
        <v>0</v>
      </c>
      <c r="DY60">
        <f t="shared" si="46"/>
        <v>0.5412658773652741</v>
      </c>
      <c r="DZ60">
        <f t="shared" si="47"/>
        <v>1</v>
      </c>
      <c r="EA60">
        <f>IF(ISNUMBER(AP60),AP60,К_прокл)</f>
        <v>1</v>
      </c>
      <c r="EB60">
        <f t="shared" si="48"/>
        <v>2</v>
      </c>
      <c r="EC60">
        <f>IFERROR(N(VLOOKUP(BZ60,Кабель_обозначение,3,FALSE)),1)</f>
        <v>1</v>
      </c>
      <c r="ED60">
        <f>IFERROR(N(_xlfn.XLOOKUP(A60,Щиты[Щит],Щиты[ΔU до шин, %])),0)</f>
        <v>0.64</v>
      </c>
      <c r="EE60" t="str">
        <f>IFERROR(_xlfn.XLOOKUP(A60,Щиты[Щит],Щиты[Zпетли на шинах, Ом]),"")</f>
        <v/>
      </c>
      <c r="EF60">
        <f>IFERROR(N(_xlfn.XLOOKUP(A60,Щиты[Щит],Щиты[ΔU до шин (подбор), %])),0)</f>
        <v>0.75</v>
      </c>
      <c r="EG60" t="str">
        <f>IFERROR(_xlfn.XLOOKUP(A60,Щиты[Щит],Щиты[Zпетли на шинах (подбор), Ом]),"")</f>
        <v/>
      </c>
      <c r="EH60" t="str">
        <f t="shared" si="49"/>
        <v/>
      </c>
      <c r="EI60">
        <f t="shared" si="50"/>
        <v>19</v>
      </c>
      <c r="EJ60">
        <f t="shared" si="51"/>
        <v>2</v>
      </c>
      <c r="EK60">
        <f t="shared" si="52"/>
        <v>0.6</v>
      </c>
      <c r="EL60" s="6">
        <f>IF(B60="","",IF(BV60=1,dU_LED,IF(IFERROR(_xlfn.XLOOKUP(BC60,Коды_код,Коды_уго),"")="Светильник",3,4)+IF(Методика="нормы 2026",MIN(0.5,MAX(0,N(P60)-100)*0.005),0)))</f>
        <v>4</v>
      </c>
      <c r="EM60" cm="1">
        <f t="array" ref="EM60">IF(OR(B60="",BZ60="",EC60&lt;&gt;1),"",_xlfn.LET(_xlpm.sz,Iдоп_S,_xlpm.t_,CHOOSE(EB60,Iдоп_1ж,Iдоп_2ж,Iдоп_3ж)*DZ60*EA60,_xlpm.dcx,BV60=1,_xlpm.inn,IF(_xlpm.dcx,N(O60),N(DT60)),_xlpm.smin,MAX(1.5,CC60),_xlpm.L_,N(P60)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60)/N(BU60)*100,999),IFERROR(N(EJ60)*(_xlpm.rho*_xlpm.L_/_xlpm.sz*N(CE60)+_xlpm.xx*_xlpm.L_*N(EK60)/1000)*N(O60)/((Uн_лин/SQRT(3))*1000)*100,999)),_xlpm.kz,IF(OR(_xlpm.dcx,DW60=1,NOT(ISNUMBER(EG60)),_xlpm.L_=0,_xlpm.inn=0),1,IFERROR(--(c_min*(Uн_лин*1000/SQRT(3))/(EG60+2*ρкз_Cu*_xlpm.L_/_xlpm.sz)&gt;=HT60*_xlpm.inn),0)),_xlpm.ok,IFERROR((_xlpm.sz&gt;=_xlpm.smin)*(_xlpm.t_&gt;=_xlpm.inn)*IF(_xlpm.L_&gt;0,(_xlpm.du_+IF(_xlpm.dcx,0,EF60)&lt;=EL60+0.00001),1)*_xlpm.kz,0),_xlpm.r_,_xlfn._xlws.FILTER(_xlpm.sz,_xlpm.ok,"не подобрано"),INDEX(_xlpm.r_,1)))</f>
        <v>1.5</v>
      </c>
      <c r="EN60">
        <f t="shared" si="53"/>
        <v>1.5</v>
      </c>
      <c r="EO60" cm="1">
        <f t="array" ref="EO60">IF(OR(B60="",BZ60="",EC60&lt;&gt;1),"",_xlfn.LET(_xlpm.sz,Iдоп_S,_xlpm.t_,CHOOSE(EB60,Iдоп_1ж,Iдоп_2ж,Iдоп_3ж)*DZ60*EA60,_xlpm.ok,IFERROR((_xlpm.sz&gt;=MAX(1.5,CC60))*(_xlpm.t_&gt;=N(DT60)),0),_xlpm.r_,_xlfn._xlws.FILTER(_xlpm.sz,_xlpm.ok,""),INDEX(_xlpm.r_,1)))</f>
        <v>1.5</v>
      </c>
      <c r="EP60" s="6" cm="1">
        <f t="array" ref="EP60">IFERROR(ROUNDUP(N(EJ60)*(_xlfn.XLOOKUP(EO60,INDEX(Кабель_сопротивление,0,1),INDEX(Кабель_сопротивление,0,3))*N(P60)/EO60*N(CE60)+_xlfn.XLOOKUP(EO60,INDEX(Кабель_сопротивление,0,1),INDEX(Кабель_сопротивление,0,2))*N(P60)*N(EK60)/1000)*N(O60)/((Uн_лин/SQRT(3))*1000)*100,2),"")</f>
        <v>0.14000000000000001</v>
      </c>
      <c r="EQ60">
        <f>IFERROR(2*ρкз_Cu*N(P60)/EO60,"")</f>
        <v>0.80653333333333332</v>
      </c>
      <c r="ER60">
        <f>IFERROR(VLOOKUP(EN60,Кабель_сопротивление,3,FALSE),"")</f>
        <v>2.2499999999999999E-2</v>
      </c>
      <c r="ES60">
        <f>IFERROR(VLOOKUP(EN60,Кабель_сопротивление,2,FALSE),"")</f>
        <v>0.11</v>
      </c>
      <c r="ET60">
        <f t="shared" si="54"/>
        <v>23</v>
      </c>
      <c r="EU60">
        <f t="shared" si="55"/>
        <v>0</v>
      </c>
      <c r="EV60">
        <f t="shared" si="56"/>
        <v>0.30042204750931228</v>
      </c>
      <c r="EW60" s="6">
        <f>IFERROR(ROUNDUP(EV60/IF(BV60=1,BU60,(Uн_лин/SQRT(3))*1000)*100,2),"")</f>
        <v>0.14000000000000001</v>
      </c>
      <c r="EX60" t="str">
        <f>IFERROR(VLOOKUP(BZ60,Кабель_обозначение,2,FALSE),"")</f>
        <v>ВВГнг(А)-LS</v>
      </c>
      <c r="EY60" t="str">
        <f t="shared" si="57"/>
        <v>ВВГнг(А)-LS (3х1,5)</v>
      </c>
      <c r="EZ60" t="str">
        <f t="shared" si="58"/>
        <v>ВВГнг(А)-LS (3х1,5)
L=23-0,14%</v>
      </c>
      <c r="FA60">
        <f>IFERROR(2*ρкз_Cu*P60/EN60,"")</f>
        <v>0.80653333333333332</v>
      </c>
      <c r="FB60">
        <f t="shared" si="59"/>
        <v>0.26833333333333337</v>
      </c>
      <c r="FC60" s="6" t="str">
        <f>IFERROR(IF(OR(B60="",BV60=1,NOT(ISNUMBER(EN60)),N(P60)=0),"",_xlfn.XLOOKUP(A60,Щиты[Щит],Щиты[Zпетли на шинах, Ом])+FA60),"")</f>
        <v/>
      </c>
      <c r="FD60" s="6" t="str">
        <f>IF(ISNUMBER(FC60),c_min*(Uн_лин*1000/SQRT(3))/FC60,"")</f>
        <v/>
      </c>
      <c r="FE60" s="6" t="str">
        <f>IFERROR(IF(OR(B60="",NOT(ISNUMBER(EN60))),"",1.05*(Uн_лин*1000/SQRT(3))/(_xlfn.XLOOKUP(A60,Щиты[Щит],Щиты[Zmax на шинах, Ом])+FB60)/1000),"")</f>
        <v/>
      </c>
      <c r="FF60" s="6" t="str">
        <f>IF(B60="","",IF(ISNUMBER(AC60),"Сил",IF(IFERROR(_xlfn.XLOOKUP(BC60,Коды_код,Коды_группа)&amp;"","")="","Быт",_xlfn.XLOOKUP(BC60,Коды_код,Коды_группа)&amp;"")))</f>
        <v>Сил</v>
      </c>
      <c r="FG60" s="6" t="str">
        <f t="shared" si="60"/>
        <v>Сил</v>
      </c>
      <c r="FH60" s="6">
        <f>IF(FG60="Щит","щит",IF(FG60="","",IF(FG60="Быт",IFERROR(_xlfn.XLOOKUP(A60,Щиты[Щит],Щиты[Кс быт]),1),IF(FG60="Сил",IF(ISNUMBER(AC60),AC60,IF(Методика="нормы 2026",IFERROR(_xlfn.XLOOKUP(A60,Щиты[Щит],Щиты[Кс силовых (табл. 7.5)]),1),1)),IF(OR(FG60="Пост",FG60="Отоп"),1,IF(FG60="ВНГ",0.7,0))))))</f>
        <v>0.5</v>
      </c>
      <c r="FI60">
        <f>IF(FG60="","",IF(AND(BP60=1,TRIM(AE60&amp;"")=""),IF(COUNTIFS(Линии[Щит],A60,Линии[Секция (1/2/3)],"&gt;=2")&gt;0,MIN(3,MAX(1,IFERROR(--BD60,1))),1),IFERROR(MIN(3,MAX(1,INT(--AE60))),1)))</f>
        <v>1</v>
      </c>
      <c r="FJ60">
        <f t="shared" si="61"/>
        <v>0.1</v>
      </c>
      <c r="FK60">
        <f t="shared" si="62"/>
        <v>0</v>
      </c>
      <c r="FL60">
        <f t="shared" si="63"/>
        <v>0.05</v>
      </c>
      <c r="FM60">
        <f t="shared" si="64"/>
        <v>0</v>
      </c>
      <c r="FN60">
        <f t="shared" si="65"/>
        <v>0</v>
      </c>
      <c r="FO60">
        <f t="shared" si="66"/>
        <v>0</v>
      </c>
      <c r="FP60">
        <f t="shared" si="67"/>
        <v>0.1</v>
      </c>
      <c r="FQ60">
        <f t="shared" si="68"/>
        <v>0.1</v>
      </c>
      <c r="FR60">
        <f t="shared" si="69"/>
        <v>8.0000000000000016E-2</v>
      </c>
      <c r="FS60">
        <f>IF(CG60=1,IF(AND(CH60=1,CW60=1),0,IF(AND(CS60&lt;&gt;"",CS60=BA60,CW60=1),SUMIFS(Линии[_Р линии, кВт],Линии[_блок УЗО],BA60,Линии[Щит],A60),N(BS60)+IF(AJ60="вручную",0,N(CK60)))),0)</f>
        <v>0.1</v>
      </c>
      <c r="FT60" t="str">
        <f t="shared" si="70"/>
        <v/>
      </c>
      <c r="FU60" t="str">
        <f>IF(B60="","",IF(CG60=0,IF(BA60=1,"",FW59),IF(AND(CH60=1,CW60=1,CS60&lt;&gt;""),IFERROR(_xlfn.XLOOKUP(CS60,Линии[_n],Линии[_фаза итог]),"L1"),IF(OR(N(DL60)&gt;=3,N(BX60)&gt;=3),"L1,L2,L3",IFERROR(_xlfn.TEXTBEFORE(_xlfn.TEXTAFTER(_xlfn.XLOOKUP(A60,Щиты[Щит],Щиты[_фазы авто]),";"&amp;BA60&amp;":"),";"),"L1")))))</f>
        <v>L3</v>
      </c>
      <c r="FV60" t="str">
        <f t="shared" si="71"/>
        <v>L3</v>
      </c>
      <c r="FW60" t="str">
        <f t="shared" si="72"/>
        <v>L3</v>
      </c>
      <c r="FX60" cm="1">
        <f t="array" ref="FX60">IFERROR(IF(CD60=2,_xlfn.IFS(BX60=3,VLOOKUP(BS60,Справочная_двигатели,3,FALSE),BX60=1,VLOOKUP(BS60,Справочная_двигатели,5,TRUE)),0),0)</f>
        <v>0</v>
      </c>
      <c r="FY60">
        <f>IFERROR(IF(CD60=3,VLOOKUP(BS60,Справочная_ЛЭД,2,TRUE),0),0)</f>
        <v>0</v>
      </c>
      <c r="FZ60" s="6">
        <f t="shared" si="73"/>
        <v>0</v>
      </c>
      <c r="GA60" t="str">
        <f>IF(B60="","",IF(TRIM(AH60&amp;"")&lt;&gt;"",IF(LOWER(TRIM(AH60&amp;""))="да","да","нет"),IF(IFERROR(_xlfn.XLOOKUP(BC60,Коды_код,Коды_пожарная),"")="да","да","нет")))</f>
        <v>нет</v>
      </c>
      <c r="GB60" t="str">
        <f t="shared" si="74"/>
        <v/>
      </c>
      <c r="GC60" t="str">
        <f t="shared" si="75"/>
        <v>основная</v>
      </c>
      <c r="GD60">
        <f>IF(AND(BP60=1,TRIM(AE60&amp;"")=""),IF(COUNTIFS(Линии[Щит],A60,Линии[Секция (1/2/3)],"&gt;=2")&gt;0,MIN(3,MAX(1,IFERROR(--BD60,1))),1),IFERROR(MIN(3,MAX(1,INT(--AE60))),1))</f>
        <v>1</v>
      </c>
      <c r="GE60" t="str" cm="1">
        <f t="array" ref="GE60">IF(B60="","",_xlfn.LET(_xlpm.t,IFERROR(_xlfn.XLOOKUP(1,(Шины[Шина]=GC60)*(((Шины[Щит]=A60)+(Шины[Щит]=""))&gt;0),Шины[Тип]),"")&amp;"",IF(_xlpm.t&lt;&gt;"",_xlpm.t,IF(ISNUMBER(SEARCH("ИБП",GC60)),"ИБП",IF(ISNUMBER(SEARCH("ДГУ",GC60)),"ДГУ","Ввод "&amp;GD60)))))</f>
        <v>Ввод 1</v>
      </c>
      <c r="GF60" t="str">
        <f t="shared" si="76"/>
        <v>Ввод 1</v>
      </c>
      <c r="GG60" t="str">
        <f>IF(BP60=0,"",IF(TRIM(AG60&amp;"")&lt;&gt;"",TRIM(AG60&amp;""),IF(OR(GE60="ИБП",GE60="ДГУ"),"I особая",_xlfn.XLOOKUP(A60,Щиты[Щит],Щиты[Категория шины «Ввод»],"III"))))</f>
        <v/>
      </c>
      <c r="GH60" t="str">
        <f>IF(A60="","",_xlfn.XLOOKUP(A60,Щиты[Щит],Щиты[Путь],""))</f>
        <v>|ГРЩ-ЖД|ЩОВ-001|</v>
      </c>
      <c r="GI60" t="str">
        <f>IF(B60="","",IF(AI60&lt;&gt;"",AI60,IF(IFERROR(_xlfn.XLOOKUP(BC60,Коды_код,Коды_вид)&amp;"","")="","Прочее",_xlfn.XLOOKUP(BC60,Коды_код,Коды_вид)&amp;"")))</f>
        <v>Вентиляция</v>
      </c>
      <c r="GJ60">
        <f>IF(BM60="","",INT((BM60-1)/Столбцов_на_лист)+1)</f>
        <v>2</v>
      </c>
      <c r="GK60" t="str">
        <f t="shared" si="77"/>
        <v>ВВГнг(А)-LS (3х1,5) L=23-0,14%</v>
      </c>
      <c r="GL60">
        <f t="shared" si="78"/>
        <v>0.1</v>
      </c>
      <c r="GM60">
        <f t="shared" si="79"/>
        <v>0.55000000000000004</v>
      </c>
      <c r="GN60">
        <f t="shared" si="80"/>
        <v>1</v>
      </c>
      <c r="GO60">
        <f t="shared" si="81"/>
        <v>0</v>
      </c>
      <c r="GP60">
        <f t="shared" si="82"/>
        <v>1</v>
      </c>
      <c r="GQ60">
        <f>IF(BM60="","",IF(AND(CG60=1,GP60=1),COUNTIFS(A$3:A60,A60,CG$3:CG60,1,GP$3:GP60,1),IF(OR(OR(BA60=1,A60&lt;&gt;A59),AJ60="вручную",GP60=0),"",IF(BA60=1,"",GR59))))</f>
        <v>7</v>
      </c>
      <c r="GR60">
        <f t="shared" si="83"/>
        <v>7</v>
      </c>
      <c r="GS60">
        <f>IF(B60="","",IFERROR(LOOKUP(INDEX(CHOOSE(EB60,Iдоп_1ж,Iдоп_2ж,Iдоп_3ж),MATCH(EN60,Iдоп_S,0))*DZ60*EA60,{6,10,16,20,25,32,40,50,63,80,100,125,160,200,250,315,400,500,630}),""))</f>
        <v>16</v>
      </c>
      <c r="GT60" t="str">
        <f t="shared" si="84"/>
        <v>QF7</v>
      </c>
      <c r="GU60" t="str">
        <f t="shared" si="85"/>
        <v>QF7</v>
      </c>
      <c r="GV60" t="str">
        <f t="shared" si="86"/>
        <v/>
      </c>
      <c r="GW60">
        <f t="shared" si="87"/>
        <v>0</v>
      </c>
      <c r="GX60" t="str">
        <f>IF(OR(B60="",DJ60=""),"",IFERROR(_xlfn.XLOOKUP(DJ60,Модули_умолч[Управление],Модули_умолч[Модель])&amp;"",""))</f>
        <v/>
      </c>
      <c r="GY60">
        <f>IF(DJ60="",1,IFERROR(MAX(0,N(_xlfn.XLOOKUP(DJ60,Модули_умолч[Управление],Модули_умолч[Каналов на линию]))),1))</f>
        <v>1</v>
      </c>
      <c r="GZ60" t="str">
        <f t="shared" si="88"/>
        <v/>
      </c>
      <c r="HA60" t="str">
        <f t="shared" si="89"/>
        <v/>
      </c>
      <c r="HB60" t="str">
        <f t="shared" si="90"/>
        <v/>
      </c>
      <c r="HC60">
        <f>IF(HB60="",0,IFERROR(N(VLOOKUP(HB60,Модули_спр,3,FALSE)),0))</f>
        <v>0</v>
      </c>
      <c r="HD60" t="str">
        <f t="shared" si="91"/>
        <v/>
      </c>
      <c r="HE60" t="str">
        <f t="shared" si="92"/>
        <v/>
      </c>
      <c r="HF60" t="str">
        <f>IF(OR(HE60="",HE60="-"),"",IFERROR(VLOOKUP(HE60,Модули_спр,2,FALSE),"R"))</f>
        <v/>
      </c>
      <c r="HG60" t="str">
        <f>IF(HF60="","",HF60&amp;"."&amp;COUNTIFS(A$3:A60,A60,HF$3:HF60,HF60))</f>
        <v/>
      </c>
      <c r="HH60" t="str">
        <f t="shared" si="93"/>
        <v/>
      </c>
      <c r="HI60" t="str">
        <f t="shared" si="94"/>
        <v/>
      </c>
      <c r="HJ60" t="str">
        <f t="shared" si="95"/>
        <v/>
      </c>
      <c r="HK60" t="str">
        <f t="shared" si="96"/>
        <v/>
      </c>
      <c r="HL60">
        <f t="shared" si="97"/>
        <v>1</v>
      </c>
      <c r="HM60" t="str">
        <f>IF(HL60=1,"XT"&amp;COUNTIFS(A$3:A60,A60,HL$3:HL60,1),"")</f>
        <v>XT7</v>
      </c>
      <c r="HN60" t="str">
        <f t="shared" si="98"/>
        <v/>
      </c>
      <c r="HO60" t="str">
        <f t="shared" si="99"/>
        <v>QF7</v>
      </c>
      <c r="HP60" t="str">
        <f t="shared" si="100"/>
        <v/>
      </c>
      <c r="HQ60" t="str">
        <f t="shared" si="101"/>
        <v>ok</v>
      </c>
      <c r="HR60" t="str">
        <f>IF(OR(HJ60="",HH60=""),"",IF(HJ60+MAX(0,GY60-1)&gt;IFERROR(VLOOKUP(HI60,Модули_спр,3,FALSE),99),"ЛИШНИЙ КАНАЛ",IF(AND(AL60&lt;&gt;"=",GY60&gt;0,COUNTIFS(Линии[_модуль гр.],HH60,Линии[Канал (итог)],HJ60,Линии[Канал],"&lt;&gt;=",Линии[Щит],A60)&gt;1),"ДУБЛЬ КАНАЛА","")))</f>
        <v/>
      </c>
      <c r="HS60" s="6" t="str">
        <f t="shared" si="102"/>
        <v/>
      </c>
      <c r="HT60">
        <f t="shared" si="103"/>
        <v>10</v>
      </c>
      <c r="HU60" t="str">
        <f t="shared" si="104"/>
        <v/>
      </c>
      <c r="HV60">
        <f t="shared" si="105"/>
        <v>0.44650635094610969</v>
      </c>
      <c r="HW60">
        <f t="shared" si="106"/>
        <v>0</v>
      </c>
      <c r="HX60">
        <f t="shared" si="107"/>
        <v>0</v>
      </c>
      <c r="HY60">
        <f t="shared" si="108"/>
        <v>0</v>
      </c>
      <c r="HZ60">
        <f t="shared" si="109"/>
        <v>0</v>
      </c>
      <c r="IA60">
        <f t="shared" si="110"/>
        <v>0</v>
      </c>
      <c r="IB60">
        <f t="shared" si="111"/>
        <v>0</v>
      </c>
      <c r="IC60" t="str">
        <f t="shared" si="112"/>
        <v/>
      </c>
      <c r="ID60" t="str" cm="1">
        <f t="array" ref="ID60">IF(IC60="","",_xlfn.LET(_xlpm.tk,_xlfn.TEXTSPLIT(SUBSTITUTE(SUBSTITUTE(IC60,";"," "),"→"," ")," ",,TRUE),_xlpm.w_,_xlfn._xlws.FILTER(_xlpm.tk,ISNUMBER(--LEFT(_xlpm.tk,1))*((ISNUMBER(SEARCH("W",_xlpm.tk))+ISNUMBER(SEARCH("Вт",_xlpm.tk)))&gt;0),""),IFERROR(--SUBSTITUTE(SUBSTITUTE(UPPER(INDEX(_xlpm.w_,1)),"W",""),"ВТ",""),"")))</f>
        <v/>
      </c>
      <c r="IE60" t="str" cm="1">
        <f t="array" ref="IE60">IF(IC60="","",_xlfn.LET(_xlpm.tk,_xlfn.TEXTSPLIT(SUBSTITUTE(SUBSTITUTE(IC60,";"," "),"→"," ")," ",,TRUE),_xlpm.v_,_xlfn._xlws.FILTER(_xlpm.tk,ISNUMBER(--LEFT(_xlpm.tk,1))*((ISNUMBER(SEARCH("V",_xlpm.tk))+(RIGHT(UPPER(_xlpm.tk))="В"))&gt;0),""),IFERROR(--SUBSTITUTE(SUBSTITUTE(UPPER(INDEX(_xlpm.v_,1)),"V",""),"В",""),"")))</f>
        <v/>
      </c>
      <c r="IF60" s="6" t="str">
        <f>IF(OR(BV60=0,HI60="",HJ60=""),"",IFERROR(N(_xlfn.XLOOKUP(HI60,Каталог!$C$4:$C$500,Каталог!$Q$4:$Q$500)),""))</f>
        <v/>
      </c>
      <c r="IG60" s="6" t="str">
        <f>IF(N(IF60)=0,"",SUMIFS(Линии[Iр, А],Линии[Щит],A60,Линии[_модуль гр.],HH60,Линии[Канал (итог)],HJ60))</f>
        <v/>
      </c>
      <c r="IH60" t="str">
        <f>IF(AND(B60="",HO60=""),"",_xlfn.TEXTJOIN("; ",TRUE,IF(AND(B60&lt;&gt;"",FV60=""),"нет фазы",""),IF(AND(B60&lt;&gt;"",N(GL60)=0,FG60&lt;&gt;"Нет"),"нет мощности",""),IF(AND(HN60&lt;&gt;"",COUNTIFS(Линии[Щит],A60,Линии[Клемма (итог)],HN60)&gt;1),"дубль клеммы "&amp;HN60,""),IF(AND(HQ60&lt;&gt;"",HQ60&lt;&gt;"ok"),HQ60,""),IF(HR60&lt;&gt;"",HR60,""),IF(AND(N(CB60)&gt;=4,N(BX60)=1),CB60&amp;" жил на 1 фазе",""),IF(AND(BC60="R",CG60=1,IF(CS60&lt;&gt;"",N(CV60)&gt;30,OR(N(DA60)=0,N(DA60)&gt;30))),"розетка без дифзащиты до 30 мА",""),IF(AND(CG60=1,N(DA60)&gt;0,ISNUMBER(T60)),IF(T60&gt;N(DA60)/3,"ток утечки "&amp;FIXED(T60,1)&amp;" мА &gt; 1/3 уставки ("&amp;DA60&amp;" мА)",""),""),IF(AND(CH60=1,CS60=""),"«узо»: нет строки с УЗО выше (УЗО 2P 40А 30мА в «Аппаратах»)",""),IF(AND(CS60&lt;&gt;"",CS60=BA60),IF(CT60="","впишите номинал УЗО (УЗО 2P 40А 30мА)",IF(N(CT60)&lt;N(DT60),"УЗО "&amp;CT60&amp;" А &lt; автомата "&amp;DT60&amp;" А перед ним",IF(N(CT60)&lt;N(CX60),"УЗО "&amp;CT60&amp;" А &lt; тока блока "&amp;FIXED(CX60,1)&amp;" А",""))),""),IF(AND(CS60&lt;&gt;"",CS60=BA60,ISNUMBER(CY60)),IF(CY60&gt;N(CV60)/3,"ток утечки блока УЗО "&amp;FIXED(CY60,1)&amp;" мА &gt; 1/3 уставки ("&amp;CV60&amp;" мА)",""),""),IF(AND(CG60=1,N(BV60)+N(IB60)&gt;0,IC60=""),"линии до 50 В без БП: впишите в «Аппараты» (БП 24V 480W)",""),IF(AND(CG60=1,ISNUMBER(ID60),ISNUMBER(U60)),IF(U60&gt;ID60,"БП "&amp;ID60&amp;" Вт &lt; нужно "&amp;U60&amp;" Вт (×"&amp;Запас_БП&amp;")",""),""),IF(AND(CG60=1,ISNUMBER(IE60),N(BV60)=1),IF(IE60&lt;&gt;N(BU60),"БП на "&amp;IE60&amp;" В, линия "&amp;BU60&amp;" В",""),""),IF(AND(N(IF60)&gt;0,N(IG60)&gt;N(IF60)),HH60&amp;" канал "&amp;HJ60&amp;": "&amp;FIXED(IG60,1)&amp;" А &gt; "&amp;IF60&amp;" А",""),IFERROR(IF(AND(ISNUMBER(Q60),Q60&gt;EL60),"потери "&amp;FIXED(Q60,1)&amp;" % &gt; "&amp;EL60&amp;" %",""),""),IFERROR(IF(LEFT(HU60,4)="мало","Iкз мало — отключение &gt; 0,4 с",""),""),IF(AND(B60&lt;&gt;"",BM60=""),"не на схеме",""),IF(AND(CG60=0,B60&lt;&gt;"",FV60&lt;&gt;"",IF(BA60=1,"",FW59)&lt;&gt;"",FV60&lt;&gt;IF(BA60=1,"",FW59)),"фаза не как у автомата группы ("&amp;IF(BA60=1,"",FW59)&amp;")","")))</f>
        <v/>
      </c>
      <c r="II60" s="6">
        <f>IF(OR(CG60=0,DQ60=""),"",_xlfn.LET(_xlpm.t,IFERROR(_xlfn.XLOOKUP(DQ60,Каталог!$U$4:$U$500,Каталог!$G$4:$G$500),""),_xlpm.k,SEARCH("кА",_xlpm.t),IFERROR(--TRIM(RIGHT(SUBSTITUTE(MID(_xlpm.t,MAX(1,_xlpm.k-4),_xlpm.k-MAX(1,_xlpm.k-4))," ",REPT(" ",9)),5)),"")))</f>
        <v>6</v>
      </c>
      <c r="IJ60" t="str">
        <f>IF(OR(II60="",CG60=0),"",IF(_xlfn.XLOOKUP(A60,Щиты[Щит],Щиты[Iкз max на шинах, кА],"")="","",IF(II60&lt;_xlfn.XLOOKUP(A60,Щиты[Щит],Щиты[Iкз max на шинах, кА]),"Icu "&amp;II60&amp;" кА &lt; Iкз max","ok")))</f>
        <v/>
      </c>
      <c r="IK60" t="str">
        <f t="shared" si="113"/>
        <v/>
      </c>
      <c r="IL60" t="str">
        <f t="shared" si="114"/>
        <v>QF7</v>
      </c>
      <c r="IM60" t="str">
        <f t="shared" si="115"/>
        <v>QF7|кабель ВВГнг(А)-LS (3х1,5) → Вытяжная установка Подвальный этаж Пом №006T</v>
      </c>
      <c r="IN60" t="str" cm="1">
        <f t="array" ref="IN60">IF(IM60="","",_xlfn.LET(_xlpm.nd,_xlfn.TEXTSPLIT(IM60,"|"),IF(COLUMNS(_xlpm.nd)&gt;1,A60&amp;"¦"&amp;INDEX(_xlpm.nd,1)&amp;"¦"&amp;INDEX(_xlpm.nd,2),"")))</f>
        <v>ЩОВ-001¦QF7¦кабель ВВГнг(А)-LS (3х1,5) → Вытяжная установка Подвальный этаж Пом №006T</v>
      </c>
      <c r="IO60" t="str">
        <f t="shared" si="116"/>
        <v>В.18¦Вытяжная установка Подвальный этаж Пом №006T</v>
      </c>
      <c r="IP60" t="str" cm="1">
        <f t="array" ref="IP60">IF(IM60="","",_xlfn.LET(_xlpm.nd,_xlfn.TEXTSPLIT(IM60,"|"),IF(COLUMNS(_xlpm.nd)&gt;2,A60&amp;"¦"&amp;INDEX(_xlpm.nd,2)&amp;"¦"&amp;INDEX(_xlpm.nd,3),"")))</f>
        <v/>
      </c>
      <c r="IQ60" t="str">
        <f t="shared" si="117"/>
        <v/>
      </c>
      <c r="IR60" t="str" cm="1">
        <f t="array" ref="IR60">IF(IM60="","",_xlfn.LET(_xlpm.nd,_xlfn.TEXTSPLIT(IM60,"|"),IF(COLUMNS(_xlpm.nd)&gt;3,A60&amp;"¦"&amp;INDEX(_xlpm.nd,3)&amp;"¦"&amp;INDEX(_xlpm.nd,4),"")))</f>
        <v/>
      </c>
      <c r="IS60" t="str">
        <f t="shared" si="118"/>
        <v/>
      </c>
      <c r="IT60" t="str" cm="1">
        <f t="array" ref="IT60">IF(IM60="","",_xlfn.LET(_xlpm.nd,_xlfn.TEXTSPLIT(IM60,"|"),IF(COLUMNS(_xlpm.nd)&gt;4,A60&amp;"¦"&amp;INDEX(_xlpm.nd,4)&amp;"¦"&amp;INDEX(_xlpm.nd,5),"")))</f>
        <v/>
      </c>
      <c r="IU60" t="str">
        <f t="shared" si="119"/>
        <v/>
      </c>
      <c r="IV60" t="str" cm="1">
        <f t="array" ref="IV60">IF(IM60="","",_xlfn.LET(_xlpm.nd,_xlfn.TEXTSPLIT(IM60,"|"),IF(COLUMNS(_xlpm.nd)&gt;5,A60&amp;"¦"&amp;INDEX(_xlpm.nd,5)&amp;"¦"&amp;INDEX(_xlpm.nd,6),"")))</f>
        <v/>
      </c>
      <c r="IW60" t="str">
        <f t="shared" si="120"/>
        <v/>
      </c>
      <c r="IX60" t="str" cm="1">
        <f t="array" ref="IX60">IF(IM60="","",_xlfn.LET(_xlpm.nd,_xlfn.TEXTSPLIT(IM60,"|"),IF(COLUMNS(_xlpm.nd)&gt;6,A60&amp;"¦"&amp;INDEX(_xlpm.nd,6)&amp;"¦"&amp;INDEX(_xlpm.nd,7),"")))</f>
        <v/>
      </c>
      <c r="IY60" t="str">
        <f t="shared" si="121"/>
        <v/>
      </c>
      <c r="IZ60" t="str">
        <f t="shared" si="122"/>
        <v/>
      </c>
      <c r="JA60" t="str">
        <f t="shared" si="123"/>
        <v>QF7</v>
      </c>
      <c r="JB60">
        <f t="shared" si="124"/>
        <v>0</v>
      </c>
      <c r="JC60">
        <f t="shared" si="125"/>
        <v>0</v>
      </c>
      <c r="JD60" t="str">
        <f t="shared" si="126"/>
        <v/>
      </c>
      <c r="JE60" t="str">
        <f t="shared" si="127"/>
        <v/>
      </c>
      <c r="JF60" t="str">
        <f t="shared" si="128"/>
        <v/>
      </c>
      <c r="JG60" t="str">
        <f t="shared" si="129"/>
        <v/>
      </c>
      <c r="JH60" t="str">
        <f>IF(B60="","",IFERROR(_xlfn.XLOOKUP(B60,Коды_код,Коды_уго),IFERROR(_xlfn.XLOOKUP(BC60,Коды_код,Коды_уго),IFERROR(_xlfn.XLOOKUP(LEFT(BC60,2),Коды_код,Коды_уго),""))))</f>
        <v>Привод (двигатель)</v>
      </c>
      <c r="JI60" t="str">
        <f>IF(B60="","",IF(OR(JH60="",JH60=0),"BOX",IFERROR(IF(VLOOKUP(JH60,УГО_блоки,3,FALSE)&amp;""&lt;&gt;"",VLOOKUP(JH60,УГО_блоки,3,FALSE),VLOOKUP(JH60,УГО_блоки,2,FALSE)),JH60)))</f>
        <v>MOTOR</v>
      </c>
      <c r="JJ60">
        <f t="shared" si="130"/>
        <v>1</v>
      </c>
      <c r="JK60" t="str">
        <f>IF(DQ60="","",IF(COUNTIF(DQ$3:DQ60,DQ60)=1,MAX(JK$2:JK59)+1,""))</f>
        <v/>
      </c>
      <c r="JL60" t="str">
        <f>IF(DE60="","",IF(COUNTIF(DE$3:DE60,DE60)+COUNTIF(DF$2:DF59,DE60)+COUNTIF(DG$2:DG59,DE60)=1,MAX(JL$2:JN59)+1,""))</f>
        <v/>
      </c>
      <c r="JM60" t="str">
        <f>IF(DF60="","",IF(COUNTIF(DE$3:DE60,DF60)+COUNTIF(DF$3:DF60,DF60)+COUNTIF(DG$2:DG59,DF60)=1,MAX(JL$2:JN59,JL60)+1,""))</f>
        <v/>
      </c>
      <c r="JN60" t="str">
        <f>IF(DG60="","",IF(COUNTIF(DE$3:DE60,DG60)+COUNTIF(DF$3:DF60,DG60)+COUNTIF(DG$3:DG60,DG60)=1,MAX(JL$2:JN59,JL60,JM60)+1,""))</f>
        <v/>
      </c>
      <c r="JO60" t="str">
        <f t="shared" si="131"/>
        <v>3х1,5</v>
      </c>
      <c r="JP60" t="str">
        <f>IF(JO60="","",IF(COUNTIF(JO$3:JO60,JO60)=1,MAX(JP$2:JP59)+1,""))</f>
        <v/>
      </c>
      <c r="JQ60" t="str">
        <f>IF(HG60="","",COUNTIF(HG$3:HG60,"?*"))</f>
        <v/>
      </c>
      <c r="JR60" t="str">
        <f>IF(OR(HG60="",HI60=""),"",IF(COUNTIFS(HG$3:HG60,"?*",HI$3:HI60,HI60)=1,MAX(JR$2:JR59)+1,""))</f>
        <v/>
      </c>
      <c r="JS60">
        <f t="shared" si="132"/>
        <v>0</v>
      </c>
      <c r="JT60">
        <f>IF(B60="","",COUNTIF(B$3:B60,"?*"))</f>
        <v>58</v>
      </c>
      <c r="JU60">
        <f>IF(HL60&lt;&gt;1,0,_xlfn.LET(_xlpm.k,MAX(IFERROR(--_xlfn.XLOOKUP(B60,Коды_код,Коды_3L),0),IFERROR(--_xlfn.XLOOKUP(BC60,Коды_код,Коды_3L),0),IFERROR(--_xlfn.XLOOKUP(LEFT(BC60,2),Коды_код,Коды_3L),0)),IF(_xlpm.k&gt;0,_xlpm.k,IF(IFERROR(--LEFT(SUBSTITUTE(JO60,"x","х"),FIND("х",SUBSTITUTE(JO60,"x","х"))-1),3)&gt;3,Каталог!$S$9,1))))</f>
        <v>1</v>
      </c>
      <c r="JV60">
        <f t="shared" si="133"/>
        <v>0</v>
      </c>
      <c r="JW60" t="str">
        <f t="shared" si="134"/>
        <v>авто</v>
      </c>
      <c r="JX60" t="str">
        <f t="shared" si="135"/>
        <v/>
      </c>
      <c r="JY60">
        <f t="shared" si="136"/>
        <v>0</v>
      </c>
      <c r="JZ60">
        <f t="shared" si="137"/>
        <v>1</v>
      </c>
    </row>
    <row r="61" spans="1:286" x14ac:dyDescent="0.3">
      <c r="A61" t="s">
        <v>747</v>
      </c>
      <c r="B61" t="s">
        <v>1374</v>
      </c>
      <c r="C61" t="s">
        <v>1657</v>
      </c>
      <c r="D61">
        <v>1</v>
      </c>
      <c r="E61">
        <v>0.27</v>
      </c>
      <c r="G61">
        <v>10</v>
      </c>
      <c r="H61" t="str">
        <f>Линии[[#This Row],[_авто управление]]</f>
        <v/>
      </c>
      <c r="I61" t="str">
        <f>Линии[[#This Row],[_авто аппараты]]</f>
        <v/>
      </c>
      <c r="J61">
        <v>1.5</v>
      </c>
      <c r="K61">
        <v>11</v>
      </c>
      <c r="L61" t="str">
        <f>Линии[[#This Row],[_авто фаза]]</f>
        <v>L3</v>
      </c>
      <c r="M61" t="s">
        <v>484</v>
      </c>
      <c r="N61" t="str">
        <f t="shared" si="0"/>
        <v/>
      </c>
      <c r="O61" s="6" cm="1">
        <f t="array" ref="O61">IF(B61="","",IF(BH61&lt;&gt;"",IFERROR(_xlfn.XLOOKUP(BH61,Щиты[Щит],Щиты[Iр, А]),""),IF(BP61=1,IF(OR(N(_xlfn.XLOOKUP(A61,Щиты[Щит],Щиты[Вводов],1))&lt;=1,LOWER(TRIM(_xlfn.XLOOKUP(A61,Щиты[Щит],Щиты[АВР],"")&amp;""))="да"),IFERROR(_xlfn.XLOOKUP(A61,Щиты[Щит],Щиты[Iр, А]),""),IFERROR(N(BS61)*_xlfn.XLOOKUP(A61,Щиты[Щит],Щиты[Кс итог])/(SQRT(3)*Uн_лин*_xlfn.XLOOKUP(A61,Щиты[Щит],Щиты[cos φ])),"")),IF(BV61=1,IFERROR(BS61*1000/BU61,""),IFERROR(_xlfn.IFS(BX61=1,BS61/((Uн_лин/SQRT(3))*CE61),BX61=3,BS61/(SQRT(3)*Uн_лин*CE61)),"")))))</f>
        <v>1.46141786888624</v>
      </c>
      <c r="P61" s="7">
        <f>IF(B61="","",IFERROR(IF(VLOOKUP(BC61,Потребители_обозначение,4,FALSE)=1,VLOOKUP(BC61,Потребители_обозначение,3,FALSE)*(MAX(1,N(D61))*2-1)+EI61+VLOOKUP(BE61,Этаж_обозначение,3,FALSE)+VLOOKUP(BE61,Этаж_обозначение,4,FALSE),VLOOKUP(BC61,Потребители_обозначение,3,FALSE)*(MAX(1,N(D61))*2-1)+EI61),EI61))</f>
        <v>15</v>
      </c>
      <c r="Q61" s="6">
        <f t="shared" si="1"/>
        <v>0.87</v>
      </c>
      <c r="R61" t="str">
        <f t="shared" si="2"/>
        <v>ВВГнг(А)-LS (3х1,5)</v>
      </c>
      <c r="S61" t="str">
        <f>IF(BM61="","",IF(BN61="вводной узел","узел ","")&amp;"л."&amp;(INT((BM61-1)/Столбцов_на_лист)+1)&amp;" / "&amp;(MOD(BM61-1,Столбцов_на_лист)+1))</f>
        <v>л.2 / 6</v>
      </c>
      <c r="T61" s="119">
        <f t="shared" si="3"/>
        <v>0.7</v>
      </c>
      <c r="U61" s="7" t="str">
        <f>IF(OR(CG61=0,N(BV61)+N(IB61)=0),"",ROUNDUP(Запас_БП*(N(HY61)+N(HZ61)),0))</f>
        <v/>
      </c>
      <c r="V61" s="119" t="str">
        <f t="shared" si="4"/>
        <v/>
      </c>
      <c r="W61" s="7" t="str">
        <f>IFERROR(IF(OR(B61="",BP61=1,BV61=1,NOT(ISNUMBER(EN61)),N(DT61)=0),"",MAX(0,ROUNDDOWN((c_min*(Uн_лин*1000/SQRT(3))/(HT61*N(DT61))-_xlfn.XLOOKUP(A61,Щиты[Щит],Щиты[Zпетли на шинах, Ом]))*EN61/(2*ρкз_Cu),0))),"")</f>
        <v/>
      </c>
      <c r="Y61" t="str">
        <f>Линии[[#This Row],[_авто утечка]]</f>
        <v/>
      </c>
      <c r="Z61">
        <v>1</v>
      </c>
      <c r="AA61">
        <v>230</v>
      </c>
      <c r="AB61" t="s">
        <v>598</v>
      </c>
      <c r="AC61">
        <v>0.5</v>
      </c>
      <c r="AG61" t="s">
        <v>810</v>
      </c>
      <c r="AI61" t="s">
        <v>580</v>
      </c>
      <c r="AK61" t="str">
        <f>Линии[[#This Row],[_авто модуль]]</f>
        <v/>
      </c>
      <c r="AM61">
        <v>23</v>
      </c>
      <c r="AN61" t="s">
        <v>11</v>
      </c>
      <c r="AO61">
        <v>3</v>
      </c>
      <c r="AR61">
        <v>15</v>
      </c>
      <c r="AT61">
        <v>1</v>
      </c>
      <c r="BA61" cm="1">
        <f t="array" ref="BA61">ROW()-ROW(Линии[#Headers])</f>
        <v>59</v>
      </c>
      <c r="BC61" s="6" t="str">
        <f t="shared" si="5"/>
        <v>П</v>
      </c>
      <c r="BD61" t="str">
        <f t="shared" si="6"/>
        <v>1</v>
      </c>
      <c r="BE61" t="str">
        <f t="shared" si="7"/>
        <v>1</v>
      </c>
      <c r="BF61" t="str">
        <f t="shared" si="8"/>
        <v/>
      </c>
      <c r="BG61" t="str">
        <f t="shared" si="9"/>
        <v/>
      </c>
      <c r="BH61" t="str">
        <f>IF(X61&lt;&gt;"",X61,IF(AND(B61&lt;&gt;"",B61&lt;&gt;A61,ISNUMBER(_xlfn.XMATCH(B61,Щиты[Щит]))),B61,""))</f>
        <v/>
      </c>
      <c r="BI61" t="str" cm="1">
        <f t="array" ref="BI61">IF(B61="","",IF(BH61&lt;&gt;"","Щит "&amp;BH61,_xlfn.LET(_xlpm.nm,IFERROR(_xlfn.XLOOKUP(BC61,Коды_код,Коды_имя)&amp;"",""),_xlpm.md,IFERROR(N(_xlfn.XLOOKUP(BC61,Коды_код,Коды_режим)),1),_xlpm.ex,IF(Имя_режим="по экспликации",IFERROR(_xlfn.XLOOKUP(BE61&amp;"|"&amp;BG61,Экспликация[Этаж]&amp;"|"&amp;Экспликация[Помещение],Экспликация[Название])&amp;"",""),""),_xlpm.rm,IF(BG61="","",IF(_xlpm.ex&lt;&gt;"",". "&amp;_xlpm.ex&amp;IF(Имя_пом="нет"," ("&amp;BG61&amp;")"," (пом. "&amp;BG61&amp;")"),IF(Имя_пом="нет"," ",", пом. ")&amp;BG61)),IF(_xlpm.nm="","",IF(_xlpm.md=2,_xlpm.nm&amp;" шлейф "&amp;BE61,_xlpm.nm&amp;_xlpm.rm)))))</f>
        <v>Приточная установка шлейф 1</v>
      </c>
      <c r="BJ61" t="str">
        <f t="shared" si="10"/>
        <v>Приточная установка Пом №006Т</v>
      </c>
      <c r="BK61">
        <f>IFERROR(_xlfn.XMATCH(A61,Щиты[Щит]),0)</f>
        <v>4</v>
      </c>
      <c r="BL61">
        <f>_xlfn.LET(_xlpm.k,IFERROR(_xlfn.XLOOKUP(A61,Щиты[Щит],Щиты[Мест под вводной узел]),""),IF(_xlpm.k="",Столбцов_на_лист,N(_xlpm.k)))</f>
        <v>13</v>
      </c>
      <c r="BM61">
        <f t="shared" si="11"/>
        <v>23</v>
      </c>
      <c r="BN61" t="str">
        <f t="shared" si="12"/>
        <v>линии</v>
      </c>
      <c r="BO61" s="6">
        <f>IFERROR(N(_xlfn.XLOOKUP(BC61,Коды_код,Коды_квт)),0)</f>
        <v>0</v>
      </c>
      <c r="BP61">
        <f t="shared" si="13"/>
        <v>0</v>
      </c>
      <c r="BQ61" t="str">
        <f>IF(B61="","",IF(BH61&lt;&gt;"",IFERROR(_xlfn.XLOOKUP(BH61,Щиты[Щит],Щиты[Руст, кВт]),0),IF(BP61=1,IF(OR(N(_xlfn.XLOOKUP(A61,Щиты[Щит],Щиты[Вводов],1))&lt;=1,LOWER(TRIM(_xlfn.XLOOKUP(A61,Щиты[Щит],Щиты[АВР],"")&amp;""))="да"),IFERROR(_xlfn.XLOOKUP(A61,Щиты[Щит],Щиты[Руст, кВт]),0),SUMIFS(Линии[_Р для вводов],Линии[Щит],A61,Линии[Источник для режимов],GF61)),IF(BO61&gt;0,ROUND(BO61*MAX(1,N(D61)),3),""))))</f>
        <v/>
      </c>
      <c r="BR61">
        <f t="shared" si="14"/>
        <v>0.27</v>
      </c>
      <c r="BS61" s="6">
        <f>IF(B61="","",IF(BH61&lt;&gt;"",IFERROR(_xlfn.XLOOKUP(BH61,Щиты[Щит],Щиты[Руст, кВт]),0),N(BR61)))</f>
        <v>0.27</v>
      </c>
      <c r="BT61" t="str">
        <f>IF(B61="","",IFERROR(IF(VLOOKUP(BC61,Потребители_обозначение,8,FALSE)=0,"",VLOOKUP(BC61,Потребители_обозначение,8,FALSE)),""))</f>
        <v/>
      </c>
      <c r="BU61">
        <f t="shared" si="15"/>
        <v>230</v>
      </c>
      <c r="BV61">
        <f t="shared" si="16"/>
        <v>0</v>
      </c>
      <c r="BW61">
        <f>IF(B61="","",IF(BH61&lt;&gt;"",3,IFERROR(IF(N(VLOOKUP(BC61,Потребители_обозначение,9,FALSE))=0,1,VLOOKUP(BC61,Потребители_обозначение,9,FALSE)),1)))</f>
        <v>1</v>
      </c>
      <c r="BX61">
        <f t="shared" si="17"/>
        <v>1</v>
      </c>
      <c r="BY61" t="str">
        <f>IF(B61="","",_xlfn.LET(_xlpm.bc,IFERROR(IF(VLOOKUP(BC61,Потребители_обозначение,6,FALSE)=0,"",VLOOKUP(BC61,Потребители_обозначение,6,FALSE)&amp;""),""),IF(AND(GA61="да",OR(_xlpm.bc="",_xlpm.bc="мс")),Марка_пож,IF(AND(_xlpm.bc="",BH61&lt;&gt;""),"мс",_xlpm.bc))))</f>
        <v/>
      </c>
      <c r="BZ61" t="str">
        <f t="shared" si="18"/>
        <v>мс</v>
      </c>
      <c r="CA61">
        <f>IF(B61="","",_xlfn.LET(_xlpm.cc,IFERROR(N(VLOOKUP(BC61,Потребители_обозначение,7,FALSE)),0),IF(_xlpm.cc&gt;0,_xlpm.cc,IF(BZ61="","",IF(BV61=1,2,IF(N(BX61)=3,5,3))))))</f>
        <v>3</v>
      </c>
      <c r="CB61">
        <f t="shared" si="19"/>
        <v>3</v>
      </c>
      <c r="CC61">
        <f>IFERROR(N(VLOOKUP(BC61,Потребители_обозначение,10,FALSE)),0)</f>
        <v>0</v>
      </c>
      <c r="CD61">
        <f>IFERROR(VLOOKUP(BC61,Потребители_обозначение,5,FALSE),0)</f>
        <v>1</v>
      </c>
      <c r="CE61" s="6" cm="1">
        <f t="array" ref="CE61">IF(B61="","",IF(BH61&lt;&gt;"",IFERROR(_xlfn.XLOOKUP(BH61,Щиты[Щит],Щиты[cos φ]),0.95),IF(BP61=1,IFERROR(_xlfn.XLOOKUP(A61,Щиты[Щит],Щиты[cos φ]),0.95),IF(ISNUMBER(AD61),AD61,IFERROR(IF(CD61=2,_xlfn.IFS(BX61=3,VLOOKUP(BS61,Справочная_двигатели,8,FALSE),BX61=1,VLOOKUP(BS61,Справочная_двигатели,10,TRUE)),IF(AND(Методика="нормы 2026",FG61="Сил"),0.8,0.95)),0.95)))))</f>
        <v>0.8</v>
      </c>
      <c r="CF61">
        <f t="shared" si="20"/>
        <v>0</v>
      </c>
      <c r="CG61">
        <f t="shared" si="21"/>
        <v>1</v>
      </c>
      <c r="CH61">
        <f t="shared" si="22"/>
        <v>0</v>
      </c>
      <c r="CI61">
        <f>IF(B61="","",IF(BV61=1,IFERROR(BS61/((Uн_лин/SQRT(3))*MAX(0.5,N(CE61))),0),N(O61)))</f>
        <v>1.46141786888624</v>
      </c>
      <c r="CJ61">
        <f t="shared" si="23"/>
        <v>0</v>
      </c>
      <c r="CK61">
        <f t="shared" si="24"/>
        <v>0</v>
      </c>
      <c r="CL61">
        <f t="shared" si="25"/>
        <v>0</v>
      </c>
      <c r="CM61">
        <f t="shared" si="26"/>
        <v>0</v>
      </c>
      <c r="CN61">
        <f t="shared" si="27"/>
        <v>0</v>
      </c>
      <c r="CO61">
        <f>IF(BC61="",0,_xlfn.LET(_xlpm.v,IFERROR(_xlfn.XLOOKUP(B61,Коды_код,Коды_мА),IFERROR(_xlfn.XLOOKUP(BC61,Коды_код,Коды_мА),IFERROR(_xlfn.XLOOKUP(LEFT(BC61,2),Коды_код,Коды_мА),""))),IF(_xlpm.v="да",30,IF(ISNUMBER(_xlpm.v),_xlpm.v,0))))</f>
        <v>0</v>
      </c>
      <c r="CP61" t="str">
        <f t="shared" si="28"/>
        <v/>
      </c>
      <c r="CQ61" t="str">
        <f>_xlfn.LET(_xlpm.k,IFERROR(_xlfn.XLOOKUP(BC61,Коды_код,Коды_утечка)&amp;"",""),IF(_xlpm.k="","дифавтомат",_xlpm.k))</f>
        <v>дифавтомат</v>
      </c>
      <c r="CR61" t="str" cm="1">
        <f t="array" ref="CR61">IF(CG61=0,"",_xlfn.LET(_xlpm.sg,TRIM(_xlfn.TEXTSPLIT(DD61&amp;"",";")),_xlpm.f_,_xlfn._xlws.FILTER(_xlpm.sg,LEFT(_xlpm.sg,3)="УЗО",""),IFERROR(INDEX(_xlpm.f_,1)&amp;"","")))</f>
        <v/>
      </c>
      <c r="CS61" t="str">
        <f t="shared" si="29"/>
        <v/>
      </c>
      <c r="CT61" s="6" t="str" cm="1">
        <f t="array" ref="CT61">IF(CR61="","",_xlfn.LET(_xlpm.tk,_xlfn.TEXTSPLIT(UPPER(CR61)," ",,TRUE),_xlpm.a_,_xlfn._xlws.FILTER(_xlpm.tk,ISNUMBER(--LEFT(_xlpm.tk,1))*((ISNUMBER(SEARCH("А",_xlpm.tk))+ISNUMBER(SEARCH("A",_xlpm.tk)))&gt;0)*NOT(ISNUMBER(SEARCH("МА",_xlpm.tk)))*NOT(ISNUMBER(SEARCH("MA",_xlpm.tk))),""),IFERROR(--SUBSTITUTE(SUBSTITUTE(INDEX(_xlpm.a_,1),"А",""),"A",""),"")))</f>
        <v/>
      </c>
      <c r="CU61" t="str" cm="1">
        <f t="array" ref="CU61">IF(CR61="","",_xlfn.LET(_xlpm.tk,_xlfn.TEXTSPLIT(UPPER(CR61)," ",,TRUE),_xlpm.a_,_xlfn._xlws.FILTER(_xlpm.tk,ISNUMBER(--LEFT(_xlpm.tk,1))*((ISNUMBER(SEARCH("МА",_xlpm.tk))+ISNUMBER(SEARCH("MA",_xlpm.tk)))&gt;0),""),IFERROR(--SUBSTITUTE(SUBSTITUTE(INDEX(_xlpm.a_,1),"МА",""),"MA",""),30)))</f>
        <v/>
      </c>
      <c r="CV61" t="str">
        <f>IF(CS61="","",IFERROR(_xlfn.XLOOKUP(CS61,Линии[_n],Линии[_УЗО, мА]),30))</f>
        <v/>
      </c>
      <c r="CW61">
        <f>IF(CS61="",0,IF(ISNUMBER(SEARCH("4P",IFERROR(_xlfn.XLOOKUP(CS61,Линии[_n],Линии[_УЗО строки])&amp;"",""))),0,1))</f>
        <v>0</v>
      </c>
      <c r="CX61" t="str">
        <f>IF(AND(CS61&lt;&gt;"",CS61=BA61),SUMIFS(Линии[_ток на 230 В],Линии[_блок УЗО],BA61,Линии[Щит],A61),"")</f>
        <v/>
      </c>
      <c r="CY61" t="str">
        <f>IF(AND(CS61&lt;&gt;"",CS61=BA61),SUMIFS(Линии[_ток утечки линии, мА],Линии[_блок УЗО],BA61,Линии[Щит],A61),"")</f>
        <v/>
      </c>
      <c r="CZ61">
        <f t="shared" si="30"/>
        <v>0</v>
      </c>
      <c r="DA61">
        <f t="shared" si="31"/>
        <v>0</v>
      </c>
      <c r="DB61">
        <f>IF(B61="",0,IFERROR(--_xlfn.XLOOKUP(B61,Коды_код,Коды_минавт),IFERROR(--_xlfn.XLOOKUP(BC61,Коды_код,Коды_минавт),IFERROR(--_xlfn.XLOOKUP(LEFT(BC61,2),Коды_код,Коды_минавт),0))))</f>
        <v>0</v>
      </c>
      <c r="DC61" t="str">
        <f>IF(B61="","",IFERROR(_xlfn.XLOOKUP(BC61,Коды_код,Коды_апп)&amp;"",""))</f>
        <v/>
      </c>
      <c r="DD61" t="str">
        <f t="shared" si="32"/>
        <v/>
      </c>
      <c r="DE61" t="str" cm="1">
        <f t="array" ref="DE61">IF(TRIM(DD61&amp;"")="","",IFERROR(TRIM(INDEX(_xlfn.TEXTSPLIT(DD61&amp;";;;",";"),1)),""))</f>
        <v/>
      </c>
      <c r="DF61" t="str" cm="1">
        <f t="array" ref="DF61">IF(TRIM(DD61&amp;"")="","",IFERROR(TRIM(INDEX(_xlfn.TEXTSPLIT(DD61&amp;";;;",";"),2)),""))</f>
        <v/>
      </c>
      <c r="DG61" t="str" cm="1">
        <f t="array" ref="DG61">IF(TRIM(DD61&amp;"")="","",IFERROR(TRIM(INDEX(_xlfn.TEXTSPLIT(DD61&amp;";;;",";"),3)),""))</f>
        <v/>
      </c>
      <c r="DH61">
        <f t="shared" si="33"/>
        <v>0</v>
      </c>
      <c r="DI61" t="str">
        <f>IF(B61="","",_xlfn.LET(_xlpm.t,LOWER(AZ61&amp;""),IF(ISNUMBER(SEARCH("dim",_xlpm.t)),"DIM",IF(ISNUMBER(SEARCH("dali",_xlpm.t)),"DALI",IF(OR(ISNUMBER(SEARCH("relay",_xlpm.t)),ISNUMBER(SEARCH("реле",_xlpm.t))),"Relay",IF(ISNUMBER(SEARCH("кнопк",_xlpm.t)),"",IFERROR(_xlfn.XLOOKUP(BC61,Коды_код,Коды_упр)&amp;"","")))))))</f>
        <v/>
      </c>
      <c r="DJ61" t="str">
        <f t="shared" si="34"/>
        <v/>
      </c>
      <c r="DK61">
        <f>IF(B61="","",_xlfn.LET(_xlpm.ig,IF(N(CX61)&gt;0,N(CX61),N(CI61)+IF(AJ61="вручную",0,N(CJ61))),_xlpm.n0,IFERROR(VLOOKUP(_xlpm.ig,Автомат_номиналы,2,TRUE),0),_xlpm.mn,MAX(DB61,IF(AJ61="вручную",0,N(CM61))),MAX(_xlpm.n0,_xlpm.mn,IF(DH61=1,Мин_автомат_БП,0))))</f>
        <v>6</v>
      </c>
      <c r="DL61">
        <f t="shared" si="35"/>
        <v>1</v>
      </c>
      <c r="DM61" t="str">
        <f t="shared" si="36"/>
        <v>1P</v>
      </c>
      <c r="DN61" t="str">
        <f>_xlfn.LET(_xlpm.cc,UPPER(TRIM(IFERROR(_xlfn.XLOOKUP(BC61,Коды_код,Коды_хар)&amp;"",""))),IF(OR(_xlpm.cc="B",_xlpm.cc="В"),"B",IF(_xlpm.cc="D","D","С")))</f>
        <v>С</v>
      </c>
      <c r="DO61" t="str">
        <f t="shared" si="37"/>
        <v>1P С6А</v>
      </c>
      <c r="DP61">
        <f t="shared" si="38"/>
        <v>10</v>
      </c>
      <c r="DQ61" t="str">
        <f t="shared" si="39"/>
        <v>1P С10А</v>
      </c>
      <c r="DR61" cm="1">
        <f t="array" ref="DR61">IF(DQ61="","",_xlfn.LET(_xlpm.t,SUBSTITUTE(SUBSTITUTE(SUBSTITUTE(UPPER(DQ61),"С","C"),"А","A"),"В","B"),_xlpm.tk,_xlfn.TEXTSPLIT(_xlpm.t," "),_xlpm.f,_xlfn._xlws.FILTER(_xlpm.tk,ISNUMBER(--MID(_xlpm.tk,2,1))*ISNUMBER(SEARCH(LEFT(_xlpm.tk,1)&amp;"#","B#C#D#"))*(LEN(_xlpm.tk)&gt;1),""),_xlpm.x,INDEX(_xlpm.f,1),IFERROR(--SUBSTITUTE(MID(_xlpm.x,2,9),"A",""),IFERROR(--SUBSTITUTE(INDEX(_xlfn._xlws.FILTER(_xlpm.tk,ISNUMBER(--SUBSTITUTE(_xlpm.tk,"A","")),""),1),"A",""),""))))</f>
        <v>10</v>
      </c>
      <c r="DS61" t="str">
        <f t="shared" si="40"/>
        <v>ok</v>
      </c>
      <c r="DT61">
        <f t="shared" si="41"/>
        <v>10</v>
      </c>
      <c r="DU61" t="str">
        <f t="shared" si="42"/>
        <v>1P С10А</v>
      </c>
      <c r="DV61">
        <f t="shared" si="43"/>
        <v>0</v>
      </c>
      <c r="DW61">
        <f t="shared" si="44"/>
        <v>0</v>
      </c>
      <c r="DX61">
        <f t="shared" si="45"/>
        <v>0</v>
      </c>
      <c r="DY61">
        <f t="shared" si="46"/>
        <v>1.46141786888624</v>
      </c>
      <c r="DZ61">
        <f t="shared" si="47"/>
        <v>1</v>
      </c>
      <c r="EA61">
        <f>IF(ISNUMBER(AP61),AP61,К_прокл)</f>
        <v>1</v>
      </c>
      <c r="EB61">
        <f t="shared" si="48"/>
        <v>2</v>
      </c>
      <c r="EC61">
        <f>IFERROR(N(VLOOKUP(BZ61,Кабель_обозначение,3,FALSE)),1)</f>
        <v>1</v>
      </c>
      <c r="ED61">
        <f>IFERROR(N(_xlfn.XLOOKUP(A61,Щиты[Щит],Щиты[ΔU до шин, %])),0)</f>
        <v>0.64</v>
      </c>
      <c r="EE61" t="str">
        <f>IFERROR(_xlfn.XLOOKUP(A61,Щиты[Щит],Щиты[Zпетли на шинах, Ом]),"")</f>
        <v/>
      </c>
      <c r="EF61">
        <f>IFERROR(N(_xlfn.XLOOKUP(A61,Щиты[Щит],Щиты[ΔU до шин (подбор), %])),0)</f>
        <v>0.75</v>
      </c>
      <c r="EG61" t="str">
        <f>IFERROR(_xlfn.XLOOKUP(A61,Щиты[Щит],Щиты[Zпетли на шинах (подбор), Ом]),"")</f>
        <v/>
      </c>
      <c r="EH61" t="str">
        <f t="shared" si="49"/>
        <v/>
      </c>
      <c r="EI61">
        <f t="shared" si="50"/>
        <v>11</v>
      </c>
      <c r="EJ61">
        <f t="shared" si="51"/>
        <v>2</v>
      </c>
      <c r="EK61">
        <f t="shared" si="52"/>
        <v>0.6</v>
      </c>
      <c r="EL61" s="6">
        <f>IF(B61="","",IF(BV61=1,dU_LED,IF(IFERROR(_xlfn.XLOOKUP(BC61,Коды_код,Коды_уго),"")="Светильник",3,4)+IF(Методика="нормы 2026",MIN(0.5,MAX(0,N(P61)-100)*0.005),0)))</f>
        <v>4</v>
      </c>
      <c r="EM61" cm="1">
        <f t="array" ref="EM61">IF(OR(B61="",BZ61="",EC61&lt;&gt;1),"",_xlfn.LET(_xlpm.sz,Iдоп_S,_xlpm.t_,CHOOSE(EB61,Iдоп_1ж,Iдоп_2ж,Iдоп_3ж)*DZ61*EA61,_xlpm.dcx,BV61=1,_xlpm.inn,IF(_xlpm.dcx,N(O61),N(DT61)),_xlpm.smin,MAX(1.5,CC61),_xlpm.L_,N(P61)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61)/N(BU61)*100,999),IFERROR(N(EJ61)*(_xlpm.rho*_xlpm.L_/_xlpm.sz*N(CE61)+_xlpm.xx*_xlpm.L_*N(EK61)/1000)*N(O61)/((Uн_лин/SQRT(3))*1000)*100,999)),_xlpm.kz,IF(OR(_xlpm.dcx,DW61=1,NOT(ISNUMBER(EG61)),_xlpm.L_=0,_xlpm.inn=0),1,IFERROR(--(c_min*(Uн_лин*1000/SQRT(3))/(EG61+2*ρкз_Cu*_xlpm.L_/_xlpm.sz)&gt;=HT61*_xlpm.inn),0)),_xlpm.ok,IFERROR((_xlpm.sz&gt;=_xlpm.smin)*(_xlpm.t_&gt;=_xlpm.inn)*IF(_xlpm.L_&gt;0,(_xlpm.du_+IF(_xlpm.dcx,0,EF61)&lt;=EL61+0.00001),1)*_xlpm.kz,0),_xlpm.r_,_xlfn._xlws.FILTER(_xlpm.sz,_xlpm.ok,"не подобрано"),INDEX(_xlpm.r_,1)))</f>
        <v>1.5</v>
      </c>
      <c r="EN61">
        <f t="shared" si="53"/>
        <v>1.5</v>
      </c>
      <c r="EO61" cm="1">
        <f t="array" ref="EO61">IF(OR(B61="",BZ61="",EC61&lt;&gt;1),"",_xlfn.LET(_xlpm.sz,Iдоп_S,_xlpm.t_,CHOOSE(EB61,Iдоп_1ж,Iдоп_2ж,Iдоп_3ж)*DZ61*EA61,_xlpm.ok,IFERROR((_xlpm.sz&gt;=MAX(1.5,CC61))*(_xlpm.t_&gt;=N(DT61)),0),_xlpm.r_,_xlfn._xlws.FILTER(_xlpm.sz,_xlpm.ok,""),INDEX(_xlpm.r_,1)))</f>
        <v>1.5</v>
      </c>
      <c r="EP61" s="6" cm="1">
        <f t="array" ref="EP61">IFERROR(ROUNDUP(N(EJ61)*(_xlfn.XLOOKUP(EO61,INDEX(Кабель_сопротивление,0,1),INDEX(Кабель_сопротивление,0,3))*N(P61)/EO61*N(CE61)+_xlfn.XLOOKUP(EO61,INDEX(Кабель_сопротивление,0,1),INDEX(Кабель_сопротивление,0,2))*N(P61)*N(EK61)/1000)*N(O61)/((Uн_лин/SQRT(3))*1000)*100,2),"")</f>
        <v>0.23</v>
      </c>
      <c r="EQ61">
        <f>IFERROR(2*ρкз_Cu*N(P61)/EO61,"")</f>
        <v>0.52600000000000002</v>
      </c>
      <c r="ER61">
        <f>IFERROR(VLOOKUP(EN61,Кабель_сопротивление,3,FALSE),"")</f>
        <v>2.2499999999999999E-2</v>
      </c>
      <c r="ES61">
        <f>IFERROR(VLOOKUP(EN61,Кабель_сопротивление,2,FALSE),"")</f>
        <v>0.11</v>
      </c>
      <c r="ET61">
        <f t="shared" si="54"/>
        <v>15</v>
      </c>
      <c r="EU61">
        <f t="shared" si="55"/>
        <v>0</v>
      </c>
      <c r="EV61">
        <f t="shared" si="56"/>
        <v>0.52900404017944114</v>
      </c>
      <c r="EW61" s="6">
        <f>IFERROR(ROUNDUP(EV61/IF(BV61=1,BU61,(Uн_лин/SQRT(3))*1000)*100,2),"")</f>
        <v>0.23</v>
      </c>
      <c r="EX61" t="str">
        <f>IFERROR(VLOOKUP(BZ61,Кабель_обозначение,2,FALSE),"")</f>
        <v>ВВГнг(А)-LS</v>
      </c>
      <c r="EY61" t="str">
        <f t="shared" si="57"/>
        <v>ВВГнг(А)-LS (3х1,5)</v>
      </c>
      <c r="EZ61" t="str">
        <f t="shared" si="58"/>
        <v>ВВГнг(А)-LS (3х1,5)
L=15-0,23%</v>
      </c>
      <c r="FA61">
        <f>IFERROR(2*ρкз_Cu*P61/EN61,"")</f>
        <v>0.52600000000000002</v>
      </c>
      <c r="FB61">
        <f t="shared" si="59"/>
        <v>0.17500000000000002</v>
      </c>
      <c r="FC61" s="6" t="str">
        <f>IFERROR(IF(OR(B61="",BV61=1,NOT(ISNUMBER(EN61)),N(P61)=0),"",_xlfn.XLOOKUP(A61,Щиты[Щит],Щиты[Zпетли на шинах, Ом])+FA61),"")</f>
        <v/>
      </c>
      <c r="FD61" s="6" t="str">
        <f>IF(ISNUMBER(FC61),c_min*(Uн_лин*1000/SQRT(3))/FC61,"")</f>
        <v/>
      </c>
      <c r="FE61" s="6" t="str">
        <f>IFERROR(IF(OR(B61="",NOT(ISNUMBER(EN61))),"",1.05*(Uн_лин*1000/SQRT(3))/(_xlfn.XLOOKUP(A61,Щиты[Щит],Щиты[Zmax на шинах, Ом])+FB61)/1000),"")</f>
        <v/>
      </c>
      <c r="FF61" s="6" t="str">
        <f>IF(B61="","",IF(ISNUMBER(AC61),"Сил",IF(IFERROR(_xlfn.XLOOKUP(BC61,Коды_код,Коды_группа)&amp;"","")="","Быт",_xlfn.XLOOKUP(BC61,Коды_код,Коды_группа)&amp;"")))</f>
        <v>Сил</v>
      </c>
      <c r="FG61" s="6" t="str">
        <f t="shared" si="60"/>
        <v>Сил</v>
      </c>
      <c r="FH61" s="6">
        <f>IF(FG61="Щит","щит",IF(FG61="","",IF(FG61="Быт",IFERROR(_xlfn.XLOOKUP(A61,Щиты[Щит],Щиты[Кс быт]),1),IF(FG61="Сил",IF(ISNUMBER(AC61),AC61,IF(Методика="нормы 2026",IFERROR(_xlfn.XLOOKUP(A61,Щиты[Щит],Щиты[Кс силовых (табл. 7.5)]),1),1)),IF(OR(FG61="Пост",FG61="Отоп"),1,IF(FG61="ВНГ",0.7,0))))))</f>
        <v>0.5</v>
      </c>
      <c r="FI61">
        <f>IF(FG61="","",IF(AND(BP61=1,TRIM(AE61&amp;"")=""),IF(COUNTIFS(Линии[Щит],A61,Линии[Секция (1/2/3)],"&gt;=2")&gt;0,MIN(3,MAX(1,IFERROR(--BD61,1))),1),IFERROR(MIN(3,MAX(1,INT(--AE61))),1)))</f>
        <v>1</v>
      </c>
      <c r="FJ61">
        <f t="shared" si="61"/>
        <v>0.27</v>
      </c>
      <c r="FK61">
        <f t="shared" si="62"/>
        <v>0</v>
      </c>
      <c r="FL61">
        <f t="shared" si="63"/>
        <v>0.13500000000000001</v>
      </c>
      <c r="FM61">
        <f t="shared" si="64"/>
        <v>0</v>
      </c>
      <c r="FN61">
        <f t="shared" si="65"/>
        <v>0</v>
      </c>
      <c r="FO61">
        <f t="shared" si="66"/>
        <v>0</v>
      </c>
      <c r="FP61">
        <f t="shared" si="67"/>
        <v>0.27</v>
      </c>
      <c r="FQ61">
        <f t="shared" si="68"/>
        <v>0.27</v>
      </c>
      <c r="FR61">
        <f t="shared" si="69"/>
        <v>0.21600000000000003</v>
      </c>
      <c r="FS61">
        <f>IF(CG61=1,IF(AND(CH61=1,CW61=1),0,IF(AND(CS61&lt;&gt;"",CS61=BA61,CW61=1),SUMIFS(Линии[_Р линии, кВт],Линии[_блок УЗО],BA61,Линии[Щит],A61),N(BS61)+IF(AJ61="вручную",0,N(CK61)))),0)</f>
        <v>0.27</v>
      </c>
      <c r="FT61" t="str">
        <f t="shared" si="70"/>
        <v/>
      </c>
      <c r="FU61" t="str">
        <f>IF(B61="","",IF(CG61=0,IF(BA61=1,"",FW60),IF(AND(CH61=1,CW61=1,CS61&lt;&gt;""),IFERROR(_xlfn.XLOOKUP(CS61,Линии[_n],Линии[_фаза итог]),"L1"),IF(OR(N(DL61)&gt;=3,N(BX61)&gt;=3),"L1,L2,L3",IFERROR(_xlfn.TEXTBEFORE(_xlfn.TEXTAFTER(_xlfn.XLOOKUP(A61,Щиты[Щит],Щиты[_фазы авто]),";"&amp;BA61&amp;":"),";"),"L1")))))</f>
        <v>L3</v>
      </c>
      <c r="FV61" t="str">
        <f t="shared" si="71"/>
        <v>L3</v>
      </c>
      <c r="FW61" t="str">
        <f t="shared" si="72"/>
        <v>L3</v>
      </c>
      <c r="FX61" cm="1">
        <f t="array" ref="FX61">IFERROR(IF(CD61=2,_xlfn.IFS(BX61=3,VLOOKUP(BS61,Справочная_двигатели,3,FALSE),BX61=1,VLOOKUP(BS61,Справочная_двигатели,5,TRUE)),0),0)</f>
        <v>0</v>
      </c>
      <c r="FY61">
        <f>IFERROR(IF(CD61=3,VLOOKUP(BS61,Справочная_ЛЭД,2,TRUE),0),0)</f>
        <v>0</v>
      </c>
      <c r="FZ61" s="6">
        <f t="shared" si="73"/>
        <v>0</v>
      </c>
      <c r="GA61" t="str">
        <f>IF(B61="","",IF(TRIM(AH61&amp;"")&lt;&gt;"",IF(LOWER(TRIM(AH61&amp;""))="да","да","нет"),IF(IFERROR(_xlfn.XLOOKUP(BC61,Коды_код,Коды_пожарная),"")="да","да","нет")))</f>
        <v>нет</v>
      </c>
      <c r="GB61" t="str">
        <f t="shared" si="74"/>
        <v/>
      </c>
      <c r="GC61" t="str">
        <f t="shared" si="75"/>
        <v>основная</v>
      </c>
      <c r="GD61">
        <f>IF(AND(BP61=1,TRIM(AE61&amp;"")=""),IF(COUNTIFS(Линии[Щит],A61,Линии[Секция (1/2/3)],"&gt;=2")&gt;0,MIN(3,MAX(1,IFERROR(--BD61,1))),1),IFERROR(MIN(3,MAX(1,INT(--AE61))),1))</f>
        <v>1</v>
      </c>
      <c r="GE61" t="str" cm="1">
        <f t="array" ref="GE61">IF(B61="","",_xlfn.LET(_xlpm.t,IFERROR(_xlfn.XLOOKUP(1,(Шины[Шина]=GC61)*(((Шины[Щит]=A61)+(Шины[Щит]=""))&gt;0),Шины[Тип]),"")&amp;"",IF(_xlpm.t&lt;&gt;"",_xlpm.t,IF(ISNUMBER(SEARCH("ИБП",GC61)),"ИБП",IF(ISNUMBER(SEARCH("ДГУ",GC61)),"ДГУ","Ввод "&amp;GD61)))))</f>
        <v>Ввод 1</v>
      </c>
      <c r="GF61" t="str">
        <f t="shared" si="76"/>
        <v>Ввод 1</v>
      </c>
      <c r="GG61" t="str">
        <f>IF(BP61=0,"",IF(TRIM(AG61&amp;"")&lt;&gt;"",TRIM(AG61&amp;""),IF(OR(GE61="ИБП",GE61="ДГУ"),"I особая",_xlfn.XLOOKUP(A61,Щиты[Щит],Щиты[Категория шины «Ввод»],"III"))))</f>
        <v/>
      </c>
      <c r="GH61" t="str">
        <f>IF(A61="","",_xlfn.XLOOKUP(A61,Щиты[Щит],Щиты[Путь],""))</f>
        <v>|ГРЩ-ЖД|ЩОВ-001|</v>
      </c>
      <c r="GI61" t="str">
        <f>IF(B61="","",IF(AI61&lt;&gt;"",AI61,IF(IFERROR(_xlfn.XLOOKUP(BC61,Коды_код,Коды_вид)&amp;"","")="","Прочее",_xlfn.XLOOKUP(BC61,Коды_код,Коды_вид)&amp;"")))</f>
        <v>Вентиляция</v>
      </c>
      <c r="GJ61">
        <f>IF(BM61="","",INT((BM61-1)/Столбцов_на_лист)+1)</f>
        <v>2</v>
      </c>
      <c r="GK61" t="str">
        <f t="shared" si="77"/>
        <v>ВВГнг(А)-LS (3х1,5) L=15-0,23%</v>
      </c>
      <c r="GL61">
        <f t="shared" si="78"/>
        <v>0.27</v>
      </c>
      <c r="GM61">
        <f t="shared" si="79"/>
        <v>1.47</v>
      </c>
      <c r="GN61">
        <f t="shared" si="80"/>
        <v>1</v>
      </c>
      <c r="GO61">
        <f t="shared" si="81"/>
        <v>0</v>
      </c>
      <c r="GP61">
        <f t="shared" si="82"/>
        <v>1</v>
      </c>
      <c r="GQ61">
        <f>IF(BM61="","",IF(AND(CG61=1,GP61=1),COUNTIFS(A$3:A61,A61,CG$3:CG61,1,GP$3:GP61,1),IF(OR(OR(BA61=1,A61&lt;&gt;A60),AJ61="вручную",GP61=0),"",IF(BA61=1,"",GR60))))</f>
        <v>8</v>
      </c>
      <c r="GR61">
        <f t="shared" si="83"/>
        <v>8</v>
      </c>
      <c r="GS61">
        <f>IF(B61="","",IFERROR(LOOKUP(INDEX(CHOOSE(EB61,Iдоп_1ж,Iдоп_2ж,Iдоп_3ж),MATCH(EN61,Iдоп_S,0))*DZ61*EA61,{6,10,16,20,25,32,40,50,63,80,100,125,160,200,250,315,400,500,630}),""))</f>
        <v>16</v>
      </c>
      <c r="GT61" t="str">
        <f t="shared" si="84"/>
        <v>QF8</v>
      </c>
      <c r="GU61" t="str">
        <f t="shared" si="85"/>
        <v>QF8</v>
      </c>
      <c r="GV61" t="str">
        <f t="shared" si="86"/>
        <v/>
      </c>
      <c r="GW61">
        <f t="shared" si="87"/>
        <v>0</v>
      </c>
      <c r="GX61" t="str">
        <f>IF(OR(B61="",DJ61=""),"",IFERROR(_xlfn.XLOOKUP(DJ61,Модули_умолч[Управление],Модули_умолч[Модель])&amp;"",""))</f>
        <v/>
      </c>
      <c r="GY61">
        <f>IF(DJ61="",1,IFERROR(MAX(0,N(_xlfn.XLOOKUP(DJ61,Модули_умолч[Управление],Модули_умолч[Каналов на линию]))),1))</f>
        <v>1</v>
      </c>
      <c r="GZ61" t="str">
        <f t="shared" si="88"/>
        <v/>
      </c>
      <c r="HA61" t="str">
        <f t="shared" si="89"/>
        <v/>
      </c>
      <c r="HB61" t="str">
        <f t="shared" si="90"/>
        <v/>
      </c>
      <c r="HC61">
        <f>IF(HB61="",0,IFERROR(N(VLOOKUP(HB61,Модули_спр,3,FALSE)),0))</f>
        <v>0</v>
      </c>
      <c r="HD61" t="str">
        <f t="shared" si="91"/>
        <v/>
      </c>
      <c r="HE61" t="str">
        <f t="shared" si="92"/>
        <v/>
      </c>
      <c r="HF61" t="str">
        <f>IF(OR(HE61="",HE61="-"),"",IFERROR(VLOOKUP(HE61,Модули_спр,2,FALSE),"R"))</f>
        <v/>
      </c>
      <c r="HG61" t="str">
        <f>IF(HF61="","",HF61&amp;"."&amp;COUNTIFS(A$3:A61,A61,HF$3:HF61,HF61))</f>
        <v/>
      </c>
      <c r="HH61" t="str">
        <f t="shared" si="93"/>
        <v/>
      </c>
      <c r="HI61" t="str">
        <f t="shared" si="94"/>
        <v/>
      </c>
      <c r="HJ61" t="str">
        <f t="shared" si="95"/>
        <v/>
      </c>
      <c r="HK61" t="str">
        <f t="shared" si="96"/>
        <v/>
      </c>
      <c r="HL61">
        <f t="shared" si="97"/>
        <v>1</v>
      </c>
      <c r="HM61" t="str">
        <f>IF(HL61=1,"XT"&amp;COUNTIFS(A$3:A61,A61,HL$3:HL61,1),"")</f>
        <v>XT8</v>
      </c>
      <c r="HN61" t="str">
        <f t="shared" si="98"/>
        <v/>
      </c>
      <c r="HO61" t="str">
        <f t="shared" si="99"/>
        <v>QF8</v>
      </c>
      <c r="HP61" t="str">
        <f t="shared" si="100"/>
        <v/>
      </c>
      <c r="HQ61" t="str">
        <f t="shared" si="101"/>
        <v>ok</v>
      </c>
      <c r="HR61" t="str">
        <f>IF(OR(HJ61="",HH61=""),"",IF(HJ61+MAX(0,GY61-1)&gt;IFERROR(VLOOKUP(HI61,Модули_спр,3,FALSE),99),"ЛИШНИЙ КАНАЛ",IF(AND(AL61&lt;&gt;"=",GY61&gt;0,COUNTIFS(Линии[_модуль гр.],HH61,Линии[Канал (итог)],HJ61,Линии[Канал],"&lt;&gt;=",Линии[Щит],A61)&gt;1),"ДУБЛЬ КАНАЛА","")))</f>
        <v/>
      </c>
      <c r="HS61" s="6" t="str">
        <f t="shared" si="102"/>
        <v/>
      </c>
      <c r="HT61">
        <f t="shared" si="103"/>
        <v>10</v>
      </c>
      <c r="HU61" t="str">
        <f t="shared" si="104"/>
        <v/>
      </c>
      <c r="HV61">
        <f t="shared" si="105"/>
        <v>0.73456714755449604</v>
      </c>
      <c r="HW61">
        <f t="shared" si="106"/>
        <v>0</v>
      </c>
      <c r="HX61">
        <f t="shared" si="107"/>
        <v>0</v>
      </c>
      <c r="HY61">
        <f t="shared" si="108"/>
        <v>0</v>
      </c>
      <c r="HZ61">
        <f t="shared" si="109"/>
        <v>0</v>
      </c>
      <c r="IA61">
        <f t="shared" si="110"/>
        <v>0</v>
      </c>
      <c r="IB61">
        <f t="shared" si="111"/>
        <v>0</v>
      </c>
      <c r="IC61" t="str">
        <f t="shared" si="112"/>
        <v/>
      </c>
      <c r="ID61" t="str" cm="1">
        <f t="array" ref="ID61">IF(IC61="","",_xlfn.LET(_xlpm.tk,_xlfn.TEXTSPLIT(SUBSTITUTE(SUBSTITUTE(IC61,";"," "),"→"," ")," ",,TRUE),_xlpm.w_,_xlfn._xlws.FILTER(_xlpm.tk,ISNUMBER(--LEFT(_xlpm.tk,1))*((ISNUMBER(SEARCH("W",_xlpm.tk))+ISNUMBER(SEARCH("Вт",_xlpm.tk)))&gt;0),""),IFERROR(--SUBSTITUTE(SUBSTITUTE(UPPER(INDEX(_xlpm.w_,1)),"W",""),"ВТ",""),"")))</f>
        <v/>
      </c>
      <c r="IE61" t="str" cm="1">
        <f t="array" ref="IE61">IF(IC61="","",_xlfn.LET(_xlpm.tk,_xlfn.TEXTSPLIT(SUBSTITUTE(SUBSTITUTE(IC61,";"," "),"→"," ")," ",,TRUE),_xlpm.v_,_xlfn._xlws.FILTER(_xlpm.tk,ISNUMBER(--LEFT(_xlpm.tk,1))*((ISNUMBER(SEARCH("V",_xlpm.tk))+(RIGHT(UPPER(_xlpm.tk))="В"))&gt;0),""),IFERROR(--SUBSTITUTE(SUBSTITUTE(UPPER(INDEX(_xlpm.v_,1)),"V",""),"В",""),"")))</f>
        <v/>
      </c>
      <c r="IF61" s="6" t="str">
        <f>IF(OR(BV61=0,HI61="",HJ61=""),"",IFERROR(N(_xlfn.XLOOKUP(HI61,Каталог!$C$4:$C$500,Каталог!$Q$4:$Q$500)),""))</f>
        <v/>
      </c>
      <c r="IG61" s="6" t="str">
        <f>IF(N(IF61)=0,"",SUMIFS(Линии[Iр, А],Линии[Щит],A61,Линии[_модуль гр.],HH61,Линии[Канал (итог)],HJ61))</f>
        <v/>
      </c>
      <c r="IH61" t="str">
        <f>IF(AND(B61="",HO61=""),"",_xlfn.TEXTJOIN("; ",TRUE,IF(AND(B61&lt;&gt;"",FV61=""),"нет фазы",""),IF(AND(B61&lt;&gt;"",N(GL61)=0,FG61&lt;&gt;"Нет"),"нет мощности",""),IF(AND(HN61&lt;&gt;"",COUNTIFS(Линии[Щит],A61,Линии[Клемма (итог)],HN61)&gt;1),"дубль клеммы "&amp;HN61,""),IF(AND(HQ61&lt;&gt;"",HQ61&lt;&gt;"ok"),HQ61,""),IF(HR61&lt;&gt;"",HR61,""),IF(AND(N(CB61)&gt;=4,N(BX61)=1),CB61&amp;" жил на 1 фазе",""),IF(AND(BC61="R",CG61=1,IF(CS61&lt;&gt;"",N(CV61)&gt;30,OR(N(DA61)=0,N(DA61)&gt;30))),"розетка без дифзащиты до 30 мА",""),IF(AND(CG61=1,N(DA61)&gt;0,ISNUMBER(T61)),IF(T61&gt;N(DA61)/3,"ток утечки "&amp;FIXED(T61,1)&amp;" мА &gt; 1/3 уставки ("&amp;DA61&amp;" мА)",""),""),IF(AND(CH61=1,CS61=""),"«узо»: нет строки с УЗО выше (УЗО 2P 40А 30мА в «Аппаратах»)",""),IF(AND(CS61&lt;&gt;"",CS61=BA61),IF(CT61="","впишите номинал УЗО (УЗО 2P 40А 30мА)",IF(N(CT61)&lt;N(DT61),"УЗО "&amp;CT61&amp;" А &lt; автомата "&amp;DT61&amp;" А перед ним",IF(N(CT61)&lt;N(CX61),"УЗО "&amp;CT61&amp;" А &lt; тока блока "&amp;FIXED(CX61,1)&amp;" А",""))),""),IF(AND(CS61&lt;&gt;"",CS61=BA61,ISNUMBER(CY61)),IF(CY61&gt;N(CV61)/3,"ток утечки блока УЗО "&amp;FIXED(CY61,1)&amp;" мА &gt; 1/3 уставки ("&amp;CV61&amp;" мА)",""),""),IF(AND(CG61=1,N(BV61)+N(IB61)&gt;0,IC61=""),"линии до 50 В без БП: впишите в «Аппараты» (БП 24V 480W)",""),IF(AND(CG61=1,ISNUMBER(ID61),ISNUMBER(U61)),IF(U61&gt;ID61,"БП "&amp;ID61&amp;" Вт &lt; нужно "&amp;U61&amp;" Вт (×"&amp;Запас_БП&amp;")",""),""),IF(AND(CG61=1,ISNUMBER(IE61),N(BV61)=1),IF(IE61&lt;&gt;N(BU61),"БП на "&amp;IE61&amp;" В, линия "&amp;BU61&amp;" В",""),""),IF(AND(N(IF61)&gt;0,N(IG61)&gt;N(IF61)),HH61&amp;" канал "&amp;HJ61&amp;": "&amp;FIXED(IG61,1)&amp;" А &gt; "&amp;IF61&amp;" А",""),IFERROR(IF(AND(ISNUMBER(Q61),Q61&gt;EL61),"потери "&amp;FIXED(Q61,1)&amp;" % &gt; "&amp;EL61&amp;" %",""),""),IFERROR(IF(LEFT(HU61,4)="мало","Iкз мало — отключение &gt; 0,4 с",""),""),IF(AND(B61&lt;&gt;"",BM61=""),"не на схеме",""),IF(AND(CG61=0,B61&lt;&gt;"",FV61&lt;&gt;"",IF(BA61=1,"",FW60)&lt;&gt;"",FV61&lt;&gt;IF(BA61=1,"",FW60)),"фаза не как у автомата группы ("&amp;IF(BA61=1,"",FW60)&amp;")","")))</f>
        <v/>
      </c>
      <c r="II61" s="6">
        <f>IF(OR(CG61=0,DQ61=""),"",_xlfn.LET(_xlpm.t,IFERROR(_xlfn.XLOOKUP(DQ61,Каталог!$U$4:$U$500,Каталог!$G$4:$G$500),""),_xlpm.k,SEARCH("кА",_xlpm.t),IFERROR(--TRIM(RIGHT(SUBSTITUTE(MID(_xlpm.t,MAX(1,_xlpm.k-4),_xlpm.k-MAX(1,_xlpm.k-4))," ",REPT(" ",9)),5)),"")))</f>
        <v>6</v>
      </c>
      <c r="IJ61" t="str">
        <f>IF(OR(II61="",CG61=0),"",IF(_xlfn.XLOOKUP(A61,Щиты[Щит],Щиты[Iкз max на шинах, кА],"")="","",IF(II61&lt;_xlfn.XLOOKUP(A61,Щиты[Щит],Щиты[Iкз max на шинах, кА]),"Icu "&amp;II61&amp;" кА &lt; Iкз max","ok")))</f>
        <v/>
      </c>
      <c r="IK61" t="str">
        <f t="shared" si="113"/>
        <v/>
      </c>
      <c r="IL61" t="str">
        <f t="shared" si="114"/>
        <v>QF8</v>
      </c>
      <c r="IM61" t="str">
        <f t="shared" si="115"/>
        <v>QF8|кабель ВВГнг(А)-LS (3х1,5) → Приточная установка Пом №006Т</v>
      </c>
      <c r="IN61" t="str" cm="1">
        <f t="array" ref="IN61">IF(IM61="","",_xlfn.LET(_xlpm.nd,_xlfn.TEXTSPLIT(IM61,"|"),IF(COLUMNS(_xlpm.nd)&gt;1,A61&amp;"¦"&amp;INDEX(_xlpm.nd,1)&amp;"¦"&amp;INDEX(_xlpm.nd,2),"")))</f>
        <v>ЩОВ-001¦QF8¦кабель ВВГнг(А)-LS (3х1,5) → Приточная установка Пом №006Т</v>
      </c>
      <c r="IO61" t="str">
        <f t="shared" si="116"/>
        <v>П.1¦Приточная установка Пом №006Т</v>
      </c>
      <c r="IP61" t="str" cm="1">
        <f t="array" ref="IP61">IF(IM61="","",_xlfn.LET(_xlpm.nd,_xlfn.TEXTSPLIT(IM61,"|"),IF(COLUMNS(_xlpm.nd)&gt;2,A61&amp;"¦"&amp;INDEX(_xlpm.nd,2)&amp;"¦"&amp;INDEX(_xlpm.nd,3),"")))</f>
        <v/>
      </c>
      <c r="IQ61" t="str">
        <f t="shared" si="117"/>
        <v/>
      </c>
      <c r="IR61" t="str" cm="1">
        <f t="array" ref="IR61">IF(IM61="","",_xlfn.LET(_xlpm.nd,_xlfn.TEXTSPLIT(IM61,"|"),IF(COLUMNS(_xlpm.nd)&gt;3,A61&amp;"¦"&amp;INDEX(_xlpm.nd,3)&amp;"¦"&amp;INDEX(_xlpm.nd,4),"")))</f>
        <v/>
      </c>
      <c r="IS61" t="str">
        <f t="shared" si="118"/>
        <v/>
      </c>
      <c r="IT61" t="str" cm="1">
        <f t="array" ref="IT61">IF(IM61="","",_xlfn.LET(_xlpm.nd,_xlfn.TEXTSPLIT(IM61,"|"),IF(COLUMNS(_xlpm.nd)&gt;4,A61&amp;"¦"&amp;INDEX(_xlpm.nd,4)&amp;"¦"&amp;INDEX(_xlpm.nd,5),"")))</f>
        <v/>
      </c>
      <c r="IU61" t="str">
        <f t="shared" si="119"/>
        <v/>
      </c>
      <c r="IV61" t="str" cm="1">
        <f t="array" ref="IV61">IF(IM61="","",_xlfn.LET(_xlpm.nd,_xlfn.TEXTSPLIT(IM61,"|"),IF(COLUMNS(_xlpm.nd)&gt;5,A61&amp;"¦"&amp;INDEX(_xlpm.nd,5)&amp;"¦"&amp;INDEX(_xlpm.nd,6),"")))</f>
        <v/>
      </c>
      <c r="IW61" t="str">
        <f t="shared" si="120"/>
        <v/>
      </c>
      <c r="IX61" t="str" cm="1">
        <f t="array" ref="IX61">IF(IM61="","",_xlfn.LET(_xlpm.nd,_xlfn.TEXTSPLIT(IM61,"|"),IF(COLUMNS(_xlpm.nd)&gt;6,A61&amp;"¦"&amp;INDEX(_xlpm.nd,6)&amp;"¦"&amp;INDEX(_xlpm.nd,7),"")))</f>
        <v/>
      </c>
      <c r="IY61" t="str">
        <f t="shared" si="121"/>
        <v/>
      </c>
      <c r="IZ61" t="str">
        <f t="shared" si="122"/>
        <v/>
      </c>
      <c r="JA61" t="str">
        <f t="shared" si="123"/>
        <v>QF8</v>
      </c>
      <c r="JB61">
        <f t="shared" si="124"/>
        <v>0</v>
      </c>
      <c r="JC61">
        <f t="shared" si="125"/>
        <v>0</v>
      </c>
      <c r="JD61" t="str">
        <f t="shared" si="126"/>
        <v/>
      </c>
      <c r="JE61" t="str">
        <f t="shared" si="127"/>
        <v/>
      </c>
      <c r="JF61" t="str">
        <f t="shared" si="128"/>
        <v/>
      </c>
      <c r="JG61" t="str">
        <f t="shared" si="129"/>
        <v/>
      </c>
      <c r="JH61" t="str">
        <f>IF(B61="","",IFERROR(_xlfn.XLOOKUP(B61,Коды_код,Коды_уго),IFERROR(_xlfn.XLOOKUP(BC61,Коды_код,Коды_уго),IFERROR(_xlfn.XLOOKUP(LEFT(BC61,2),Коды_код,Коды_уго),""))))</f>
        <v>Привод (двигатель)</v>
      </c>
      <c r="JI61" t="str">
        <f>IF(B61="","",IF(OR(JH61="",JH61=0),"BOX",IFERROR(IF(VLOOKUP(JH61,УГО_блоки,3,FALSE)&amp;""&lt;&gt;"",VLOOKUP(JH61,УГО_блоки,3,FALSE),VLOOKUP(JH61,УГО_блоки,2,FALSE)),JH61)))</f>
        <v>MOTOR</v>
      </c>
      <c r="JJ61">
        <f t="shared" si="130"/>
        <v>1</v>
      </c>
      <c r="JK61" t="str">
        <f>IF(DQ61="","",IF(COUNTIF(DQ$3:DQ61,DQ61)=1,MAX(JK$2:JK60)+1,""))</f>
        <v/>
      </c>
      <c r="JL61" t="str">
        <f>IF(DE61="","",IF(COUNTIF(DE$3:DE61,DE61)+COUNTIF(DF$2:DF60,DE61)+COUNTIF(DG$2:DG60,DE61)=1,MAX(JL$2:JN60)+1,""))</f>
        <v/>
      </c>
      <c r="JM61" t="str">
        <f>IF(DF61="","",IF(COUNTIF(DE$3:DE61,DF61)+COUNTIF(DF$3:DF61,DF61)+COUNTIF(DG$2:DG60,DF61)=1,MAX(JL$2:JN60,JL61)+1,""))</f>
        <v/>
      </c>
      <c r="JN61" t="str">
        <f>IF(DG61="","",IF(COUNTIF(DE$3:DE61,DG61)+COUNTIF(DF$3:DF61,DG61)+COUNTIF(DG$3:DG61,DG61)=1,MAX(JL$2:JN60,JL61,JM61)+1,""))</f>
        <v/>
      </c>
      <c r="JO61" t="str">
        <f t="shared" si="131"/>
        <v>3х1,5</v>
      </c>
      <c r="JP61" t="str">
        <f>IF(JO61="","",IF(COUNTIF(JO$3:JO61,JO61)=1,MAX(JP$2:JP60)+1,""))</f>
        <v/>
      </c>
      <c r="JQ61" t="str">
        <f>IF(HG61="","",COUNTIF(HG$3:HG61,"?*"))</f>
        <v/>
      </c>
      <c r="JR61" t="str">
        <f>IF(OR(HG61="",HI61=""),"",IF(COUNTIFS(HG$3:HG61,"?*",HI$3:HI61,HI61)=1,MAX(JR$2:JR60)+1,""))</f>
        <v/>
      </c>
      <c r="JS61">
        <f t="shared" si="132"/>
        <v>0</v>
      </c>
      <c r="JT61">
        <f>IF(B61="","",COUNTIF(B$3:B61,"?*"))</f>
        <v>59</v>
      </c>
      <c r="JU61">
        <f>IF(HL61&lt;&gt;1,0,_xlfn.LET(_xlpm.k,MAX(IFERROR(--_xlfn.XLOOKUP(B61,Коды_код,Коды_3L),0),IFERROR(--_xlfn.XLOOKUP(BC61,Коды_код,Коды_3L),0),IFERROR(--_xlfn.XLOOKUP(LEFT(BC61,2),Коды_код,Коды_3L),0)),IF(_xlpm.k&gt;0,_xlpm.k,IF(IFERROR(--LEFT(SUBSTITUTE(JO61,"x","х"),FIND("х",SUBSTITUTE(JO61,"x","х"))-1),3)&gt;3,Каталог!$S$9,1))))</f>
        <v>1</v>
      </c>
      <c r="JV61">
        <f t="shared" si="133"/>
        <v>0</v>
      </c>
      <c r="JW61" t="str">
        <f t="shared" si="134"/>
        <v>авто</v>
      </c>
      <c r="JX61" t="str">
        <f t="shared" si="135"/>
        <v/>
      </c>
      <c r="JY61">
        <f t="shared" si="136"/>
        <v>0</v>
      </c>
      <c r="JZ61">
        <f t="shared" si="137"/>
        <v>1</v>
      </c>
    </row>
    <row r="62" spans="1:286" x14ac:dyDescent="0.3">
      <c r="A62" t="s">
        <v>747</v>
      </c>
      <c r="B62" t="s">
        <v>1375</v>
      </c>
      <c r="C62" t="s">
        <v>1657</v>
      </c>
      <c r="D62">
        <v>1</v>
      </c>
      <c r="E62">
        <v>0.12</v>
      </c>
      <c r="G62">
        <v>10</v>
      </c>
      <c r="H62" t="str">
        <f>Линии[[#This Row],[_авто управление]]</f>
        <v/>
      </c>
      <c r="I62" t="str">
        <f>Линии[[#This Row],[_авто аппараты]]</f>
        <v/>
      </c>
      <c r="J62">
        <v>1.5</v>
      </c>
      <c r="K62">
        <v>22</v>
      </c>
      <c r="L62" t="str">
        <f>Линии[[#This Row],[_авто фаза]]</f>
        <v>L2</v>
      </c>
      <c r="M62" t="s">
        <v>484</v>
      </c>
      <c r="N62" t="str">
        <f t="shared" si="0"/>
        <v/>
      </c>
      <c r="O62" s="6" cm="1">
        <f t="array" ref="O62">IF(B62="","",IF(BH62&lt;&gt;"",IFERROR(_xlfn.XLOOKUP(BH62,Щиты[Щит],Щиты[Iр, А]),""),IF(BP62=1,IF(OR(N(_xlfn.XLOOKUP(A62,Щиты[Щит],Щиты[Вводов],1))&lt;=1,LOWER(TRIM(_xlfn.XLOOKUP(A62,Щиты[Щит],Щиты[АВР],"")&amp;""))="да"),IFERROR(_xlfn.XLOOKUP(A62,Щиты[Щит],Щиты[Iр, А]),""),IFERROR(N(BS62)*_xlfn.XLOOKUP(A62,Щиты[Щит],Щиты[Кс итог])/(SQRT(3)*Uн_лин*_xlfn.XLOOKUP(A62,Щиты[Щит],Щиты[cos φ])),"")),IF(BV62=1,IFERROR(BS62*1000/BU62,""),IFERROR(_xlfn.IFS(BX62=1,BS62/((Uн_лин/SQRT(3))*CE62),BX62=3,BS62/(SQRT(3)*Uн_лин*CE62)),"")))))</f>
        <v>0.64951905283832878</v>
      </c>
      <c r="P62" s="7">
        <f>IF(B62="","",IFERROR(IF(VLOOKUP(BC62,Потребители_обозначение,4,FALSE)=1,VLOOKUP(BC62,Потребители_обозначение,3,FALSE)*(MAX(1,N(D62))*2-1)+EI62+VLOOKUP(BE62,Этаж_обозначение,3,FALSE)+VLOOKUP(BE62,Этаж_обозначение,4,FALSE),VLOOKUP(BC62,Потребители_обозначение,3,FALSE)*(MAX(1,N(D62))*2-1)+EI62),EI62))</f>
        <v>26</v>
      </c>
      <c r="Q62" s="6">
        <f t="shared" si="1"/>
        <v>0.82000000000000006</v>
      </c>
      <c r="R62" t="str">
        <f t="shared" si="2"/>
        <v>ВВГнг(А)-LS (3х1,5)</v>
      </c>
      <c r="S62" t="str">
        <f>IF(BM62="","",IF(BN62="вводной узел","узел ","")&amp;"л."&amp;(INT((BM62-1)/Столбцов_на_лист)+1)&amp;" / "&amp;(MOD(BM62-1,Столбцов_на_лист)+1))</f>
        <v>л.2 / 7</v>
      </c>
      <c r="T62" s="119">
        <f t="shared" si="3"/>
        <v>0.5</v>
      </c>
      <c r="U62" s="7" t="str">
        <f>IF(OR(CG62=0,N(BV62)+N(IB62)=0),"",ROUNDUP(Запас_БП*(N(HY62)+N(HZ62)),0))</f>
        <v/>
      </c>
      <c r="V62" s="119" t="str">
        <f t="shared" si="4"/>
        <v/>
      </c>
      <c r="W62" s="7" t="str">
        <f>IFERROR(IF(OR(B62="",BP62=1,BV62=1,NOT(ISNUMBER(EN62)),N(DT62)=0),"",MAX(0,ROUNDDOWN((c_min*(Uн_лин*1000/SQRT(3))/(HT62*N(DT62))-_xlfn.XLOOKUP(A62,Щиты[Щит],Щиты[Zпетли на шинах, Ом]))*EN62/(2*ρкз_Cu),0))),"")</f>
        <v/>
      </c>
      <c r="Y62" t="str">
        <f>Линии[[#This Row],[_авто утечка]]</f>
        <v/>
      </c>
      <c r="Z62">
        <v>1</v>
      </c>
      <c r="AA62">
        <v>230</v>
      </c>
      <c r="AB62" t="s">
        <v>598</v>
      </c>
      <c r="AC62">
        <v>0.5</v>
      </c>
      <c r="AG62" t="s">
        <v>810</v>
      </c>
      <c r="AI62" t="s">
        <v>580</v>
      </c>
      <c r="AK62" t="str">
        <f>Линии[[#This Row],[_авто модуль]]</f>
        <v/>
      </c>
      <c r="AM62">
        <v>24</v>
      </c>
      <c r="AN62" t="s">
        <v>11</v>
      </c>
      <c r="AO62">
        <v>3</v>
      </c>
      <c r="AR62">
        <v>26</v>
      </c>
      <c r="AT62">
        <v>1</v>
      </c>
      <c r="BA62" cm="1">
        <f t="array" ref="BA62">ROW()-ROW(Линии[#Headers])</f>
        <v>60</v>
      </c>
      <c r="BC62" s="6" t="str">
        <f t="shared" si="5"/>
        <v>П</v>
      </c>
      <c r="BD62" t="str">
        <f t="shared" si="6"/>
        <v>2</v>
      </c>
      <c r="BE62" t="str">
        <f t="shared" si="7"/>
        <v>2</v>
      </c>
      <c r="BF62" t="str">
        <f t="shared" si="8"/>
        <v/>
      </c>
      <c r="BG62" t="str">
        <f t="shared" si="9"/>
        <v/>
      </c>
      <c r="BH62" t="str">
        <f>IF(X62&lt;&gt;"",X62,IF(AND(B62&lt;&gt;"",B62&lt;&gt;A62,ISNUMBER(_xlfn.XMATCH(B62,Щиты[Щит]))),B62,""))</f>
        <v/>
      </c>
      <c r="BI62" t="str" cm="1">
        <f t="array" ref="BI62">IF(B62="","",IF(BH62&lt;&gt;"","Щит "&amp;BH62,_xlfn.LET(_xlpm.nm,IFERROR(_xlfn.XLOOKUP(BC62,Коды_код,Коды_имя)&amp;"",""),_xlpm.md,IFERROR(N(_xlfn.XLOOKUP(BC62,Коды_код,Коды_режим)),1),_xlpm.ex,IF(Имя_режим="по экспликации",IFERROR(_xlfn.XLOOKUP(BE62&amp;"|"&amp;BG62,Экспликация[Этаж]&amp;"|"&amp;Экспликация[Помещение],Экспликация[Название])&amp;"",""),""),_xlpm.rm,IF(BG62="","",IF(_xlpm.ex&lt;&gt;"",". "&amp;_xlpm.ex&amp;IF(Имя_пом="нет"," ("&amp;BG62&amp;")"," (пом. "&amp;BG62&amp;")"),IF(Имя_пом="нет"," ",", пом. ")&amp;BG62)),IF(_xlpm.nm="","",IF(_xlpm.md=2,_xlpm.nm&amp;" шлейф "&amp;BE62,_xlpm.nm&amp;_xlpm.rm)))))</f>
        <v>Приточная установка шлейф 2</v>
      </c>
      <c r="BJ62" t="str">
        <f t="shared" si="10"/>
        <v>Приточная установка Пом №006Т</v>
      </c>
      <c r="BK62">
        <f>IFERROR(_xlfn.XMATCH(A62,Щиты[Щит]),0)</f>
        <v>4</v>
      </c>
      <c r="BL62">
        <f>_xlfn.LET(_xlpm.k,IFERROR(_xlfn.XLOOKUP(A62,Щиты[Щит],Щиты[Мест под вводной узел]),""),IF(_xlpm.k="",Столбцов_на_лист,N(_xlpm.k)))</f>
        <v>13</v>
      </c>
      <c r="BM62">
        <f t="shared" si="11"/>
        <v>24</v>
      </c>
      <c r="BN62" t="str">
        <f t="shared" si="12"/>
        <v>линии</v>
      </c>
      <c r="BO62" s="6">
        <f>IFERROR(N(_xlfn.XLOOKUP(BC62,Коды_код,Коды_квт)),0)</f>
        <v>0</v>
      </c>
      <c r="BP62">
        <f t="shared" si="13"/>
        <v>0</v>
      </c>
      <c r="BQ62" t="str">
        <f>IF(B62="","",IF(BH62&lt;&gt;"",IFERROR(_xlfn.XLOOKUP(BH62,Щиты[Щит],Щиты[Руст, кВт]),0),IF(BP62=1,IF(OR(N(_xlfn.XLOOKUP(A62,Щиты[Щит],Щиты[Вводов],1))&lt;=1,LOWER(TRIM(_xlfn.XLOOKUP(A62,Щиты[Щит],Щиты[АВР],"")&amp;""))="да"),IFERROR(_xlfn.XLOOKUP(A62,Щиты[Щит],Щиты[Руст, кВт]),0),SUMIFS(Линии[_Р для вводов],Линии[Щит],A62,Линии[Источник для режимов],GF62)),IF(BO62&gt;0,ROUND(BO62*MAX(1,N(D62)),3),""))))</f>
        <v/>
      </c>
      <c r="BR62">
        <f t="shared" si="14"/>
        <v>0.12</v>
      </c>
      <c r="BS62" s="6">
        <f>IF(B62="","",IF(BH62&lt;&gt;"",IFERROR(_xlfn.XLOOKUP(BH62,Щиты[Щит],Щиты[Руст, кВт]),0),N(BR62)))</f>
        <v>0.12</v>
      </c>
      <c r="BT62" t="str">
        <f>IF(B62="","",IFERROR(IF(VLOOKUP(BC62,Потребители_обозначение,8,FALSE)=0,"",VLOOKUP(BC62,Потребители_обозначение,8,FALSE)),""))</f>
        <v/>
      </c>
      <c r="BU62">
        <f t="shared" si="15"/>
        <v>230</v>
      </c>
      <c r="BV62">
        <f t="shared" si="16"/>
        <v>0</v>
      </c>
      <c r="BW62">
        <f>IF(B62="","",IF(BH62&lt;&gt;"",3,IFERROR(IF(N(VLOOKUP(BC62,Потребители_обозначение,9,FALSE))=0,1,VLOOKUP(BC62,Потребители_обозначение,9,FALSE)),1)))</f>
        <v>1</v>
      </c>
      <c r="BX62">
        <f t="shared" si="17"/>
        <v>1</v>
      </c>
      <c r="BY62" t="str">
        <f>IF(B62="","",_xlfn.LET(_xlpm.bc,IFERROR(IF(VLOOKUP(BC62,Потребители_обозначение,6,FALSE)=0,"",VLOOKUP(BC62,Потребители_обозначение,6,FALSE)&amp;""),""),IF(AND(GA62="да",OR(_xlpm.bc="",_xlpm.bc="мс")),Марка_пож,IF(AND(_xlpm.bc="",BH62&lt;&gt;""),"мс",_xlpm.bc))))</f>
        <v/>
      </c>
      <c r="BZ62" t="str">
        <f t="shared" si="18"/>
        <v>мс</v>
      </c>
      <c r="CA62">
        <f>IF(B62="","",_xlfn.LET(_xlpm.cc,IFERROR(N(VLOOKUP(BC62,Потребители_обозначение,7,FALSE)),0),IF(_xlpm.cc&gt;0,_xlpm.cc,IF(BZ62="","",IF(BV62=1,2,IF(N(BX62)=3,5,3))))))</f>
        <v>3</v>
      </c>
      <c r="CB62">
        <f t="shared" si="19"/>
        <v>3</v>
      </c>
      <c r="CC62">
        <f>IFERROR(N(VLOOKUP(BC62,Потребители_обозначение,10,FALSE)),0)</f>
        <v>0</v>
      </c>
      <c r="CD62">
        <f>IFERROR(VLOOKUP(BC62,Потребители_обозначение,5,FALSE),0)</f>
        <v>1</v>
      </c>
      <c r="CE62" s="6" cm="1">
        <f t="array" ref="CE62">IF(B62="","",IF(BH62&lt;&gt;"",IFERROR(_xlfn.XLOOKUP(BH62,Щиты[Щит],Щиты[cos φ]),0.95),IF(BP62=1,IFERROR(_xlfn.XLOOKUP(A62,Щиты[Щит],Щиты[cos φ]),0.95),IF(ISNUMBER(AD62),AD62,IFERROR(IF(CD62=2,_xlfn.IFS(BX62=3,VLOOKUP(BS62,Справочная_двигатели,8,FALSE),BX62=1,VLOOKUP(BS62,Справочная_двигатели,10,TRUE)),IF(AND(Методика="нормы 2026",FG62="Сил"),0.8,0.95)),0.95)))))</f>
        <v>0.8</v>
      </c>
      <c r="CF62">
        <f t="shared" si="20"/>
        <v>0</v>
      </c>
      <c r="CG62">
        <f t="shared" si="21"/>
        <v>1</v>
      </c>
      <c r="CH62">
        <f t="shared" si="22"/>
        <v>0</v>
      </c>
      <c r="CI62">
        <f>IF(B62="","",IF(BV62=1,IFERROR(BS62/((Uн_лин/SQRT(3))*MAX(0.5,N(CE62))),0),N(O62)))</f>
        <v>0.64951905283832878</v>
      </c>
      <c r="CJ62">
        <f t="shared" si="23"/>
        <v>0</v>
      </c>
      <c r="CK62">
        <f t="shared" si="24"/>
        <v>0</v>
      </c>
      <c r="CL62">
        <f t="shared" si="25"/>
        <v>0</v>
      </c>
      <c r="CM62">
        <f t="shared" si="26"/>
        <v>0</v>
      </c>
      <c r="CN62">
        <f t="shared" si="27"/>
        <v>0</v>
      </c>
      <c r="CO62">
        <f>IF(BC62="",0,_xlfn.LET(_xlpm.v,IFERROR(_xlfn.XLOOKUP(B62,Коды_код,Коды_мА),IFERROR(_xlfn.XLOOKUP(BC62,Коды_код,Коды_мА),IFERROR(_xlfn.XLOOKUP(LEFT(BC62,2),Коды_код,Коды_мА),""))),IF(_xlpm.v="да",30,IF(ISNUMBER(_xlpm.v),_xlpm.v,0))))</f>
        <v>0</v>
      </c>
      <c r="CP62" t="str">
        <f t="shared" si="28"/>
        <v/>
      </c>
      <c r="CQ62" t="str">
        <f>_xlfn.LET(_xlpm.k,IFERROR(_xlfn.XLOOKUP(BC62,Коды_код,Коды_утечка)&amp;"",""),IF(_xlpm.k="","дифавтомат",_xlpm.k))</f>
        <v>дифавтомат</v>
      </c>
      <c r="CR62" t="str" cm="1">
        <f t="array" ref="CR62">IF(CG62=0,"",_xlfn.LET(_xlpm.sg,TRIM(_xlfn.TEXTSPLIT(DD62&amp;"",";")),_xlpm.f_,_xlfn._xlws.FILTER(_xlpm.sg,LEFT(_xlpm.sg,3)="УЗО",""),IFERROR(INDEX(_xlpm.f_,1)&amp;"","")))</f>
        <v/>
      </c>
      <c r="CS62" t="str">
        <f t="shared" si="29"/>
        <v/>
      </c>
      <c r="CT62" s="6" t="str" cm="1">
        <f t="array" ref="CT62">IF(CR62="","",_xlfn.LET(_xlpm.tk,_xlfn.TEXTSPLIT(UPPER(CR62)," ",,TRUE),_xlpm.a_,_xlfn._xlws.FILTER(_xlpm.tk,ISNUMBER(--LEFT(_xlpm.tk,1))*((ISNUMBER(SEARCH("А",_xlpm.tk))+ISNUMBER(SEARCH("A",_xlpm.tk)))&gt;0)*NOT(ISNUMBER(SEARCH("МА",_xlpm.tk)))*NOT(ISNUMBER(SEARCH("MA",_xlpm.tk))),""),IFERROR(--SUBSTITUTE(SUBSTITUTE(INDEX(_xlpm.a_,1),"А",""),"A",""),"")))</f>
        <v/>
      </c>
      <c r="CU62" t="str" cm="1">
        <f t="array" ref="CU62">IF(CR62="","",_xlfn.LET(_xlpm.tk,_xlfn.TEXTSPLIT(UPPER(CR62)," ",,TRUE),_xlpm.a_,_xlfn._xlws.FILTER(_xlpm.tk,ISNUMBER(--LEFT(_xlpm.tk,1))*((ISNUMBER(SEARCH("МА",_xlpm.tk))+ISNUMBER(SEARCH("MA",_xlpm.tk)))&gt;0),""),IFERROR(--SUBSTITUTE(SUBSTITUTE(INDEX(_xlpm.a_,1),"МА",""),"MA",""),30)))</f>
        <v/>
      </c>
      <c r="CV62" t="str">
        <f>IF(CS62="","",IFERROR(_xlfn.XLOOKUP(CS62,Линии[_n],Линии[_УЗО, мА]),30))</f>
        <v/>
      </c>
      <c r="CW62">
        <f>IF(CS62="",0,IF(ISNUMBER(SEARCH("4P",IFERROR(_xlfn.XLOOKUP(CS62,Линии[_n],Линии[_УЗО строки])&amp;"",""))),0,1))</f>
        <v>0</v>
      </c>
      <c r="CX62" t="str">
        <f>IF(AND(CS62&lt;&gt;"",CS62=BA62),SUMIFS(Линии[_ток на 230 В],Линии[_блок УЗО],BA62,Линии[Щит],A62),"")</f>
        <v/>
      </c>
      <c r="CY62" t="str">
        <f>IF(AND(CS62&lt;&gt;"",CS62=BA62),SUMIFS(Линии[_ток утечки линии, мА],Линии[_блок УЗО],BA62,Линии[Щит],A62),"")</f>
        <v/>
      </c>
      <c r="CZ62">
        <f t="shared" si="30"/>
        <v>0</v>
      </c>
      <c r="DA62">
        <f t="shared" si="31"/>
        <v>0</v>
      </c>
      <c r="DB62">
        <f>IF(B62="",0,IFERROR(--_xlfn.XLOOKUP(B62,Коды_код,Коды_минавт),IFERROR(--_xlfn.XLOOKUP(BC62,Коды_код,Коды_минавт),IFERROR(--_xlfn.XLOOKUP(LEFT(BC62,2),Коды_код,Коды_минавт),0))))</f>
        <v>0</v>
      </c>
      <c r="DC62" t="str">
        <f>IF(B62="","",IFERROR(_xlfn.XLOOKUP(BC62,Коды_код,Коды_апп)&amp;"",""))</f>
        <v/>
      </c>
      <c r="DD62" t="str">
        <f t="shared" si="32"/>
        <v/>
      </c>
      <c r="DE62" t="str" cm="1">
        <f t="array" ref="DE62">IF(TRIM(DD62&amp;"")="","",IFERROR(TRIM(INDEX(_xlfn.TEXTSPLIT(DD62&amp;";;;",";"),1)),""))</f>
        <v/>
      </c>
      <c r="DF62" t="str" cm="1">
        <f t="array" ref="DF62">IF(TRIM(DD62&amp;"")="","",IFERROR(TRIM(INDEX(_xlfn.TEXTSPLIT(DD62&amp;";;;",";"),2)),""))</f>
        <v/>
      </c>
      <c r="DG62" t="str" cm="1">
        <f t="array" ref="DG62">IF(TRIM(DD62&amp;"")="","",IFERROR(TRIM(INDEX(_xlfn.TEXTSPLIT(DD62&amp;";;;",";"),3)),""))</f>
        <v/>
      </c>
      <c r="DH62">
        <f t="shared" si="33"/>
        <v>0</v>
      </c>
      <c r="DI62" t="str">
        <f>IF(B62="","",_xlfn.LET(_xlpm.t,LOWER(AZ62&amp;""),IF(ISNUMBER(SEARCH("dim",_xlpm.t)),"DIM",IF(ISNUMBER(SEARCH("dali",_xlpm.t)),"DALI",IF(OR(ISNUMBER(SEARCH("relay",_xlpm.t)),ISNUMBER(SEARCH("реле",_xlpm.t))),"Relay",IF(ISNUMBER(SEARCH("кнопк",_xlpm.t)),"",IFERROR(_xlfn.XLOOKUP(BC62,Коды_код,Коды_упр)&amp;"","")))))))</f>
        <v/>
      </c>
      <c r="DJ62" t="str">
        <f t="shared" si="34"/>
        <v/>
      </c>
      <c r="DK62">
        <f>IF(B62="","",_xlfn.LET(_xlpm.ig,IF(N(CX62)&gt;0,N(CX62),N(CI62)+IF(AJ62="вручную",0,N(CJ62))),_xlpm.n0,IFERROR(VLOOKUP(_xlpm.ig,Автомат_номиналы,2,TRUE),0),_xlpm.mn,MAX(DB62,IF(AJ62="вручную",0,N(CM62))),MAX(_xlpm.n0,_xlpm.mn,IF(DH62=1,Мин_автомат_БП,0))))</f>
        <v>6</v>
      </c>
      <c r="DL62">
        <f t="shared" si="35"/>
        <v>1</v>
      </c>
      <c r="DM62" t="str">
        <f t="shared" si="36"/>
        <v>1P</v>
      </c>
      <c r="DN62" t="str">
        <f>_xlfn.LET(_xlpm.cc,UPPER(TRIM(IFERROR(_xlfn.XLOOKUP(BC62,Коды_код,Коды_хар)&amp;"",""))),IF(OR(_xlpm.cc="B",_xlpm.cc="В"),"B",IF(_xlpm.cc="D","D","С")))</f>
        <v>С</v>
      </c>
      <c r="DO62" t="str">
        <f t="shared" si="37"/>
        <v>1P С6А</v>
      </c>
      <c r="DP62">
        <f t="shared" si="38"/>
        <v>10</v>
      </c>
      <c r="DQ62" t="str">
        <f t="shared" si="39"/>
        <v>1P С10А</v>
      </c>
      <c r="DR62" cm="1">
        <f t="array" ref="DR62">IF(DQ62="","",_xlfn.LET(_xlpm.t,SUBSTITUTE(SUBSTITUTE(SUBSTITUTE(UPPER(DQ62),"С","C"),"А","A"),"В","B"),_xlpm.tk,_xlfn.TEXTSPLIT(_xlpm.t," "),_xlpm.f,_xlfn._xlws.FILTER(_xlpm.tk,ISNUMBER(--MID(_xlpm.tk,2,1))*ISNUMBER(SEARCH(LEFT(_xlpm.tk,1)&amp;"#","B#C#D#"))*(LEN(_xlpm.tk)&gt;1),""),_xlpm.x,INDEX(_xlpm.f,1),IFERROR(--SUBSTITUTE(MID(_xlpm.x,2,9),"A",""),IFERROR(--SUBSTITUTE(INDEX(_xlfn._xlws.FILTER(_xlpm.tk,ISNUMBER(--SUBSTITUTE(_xlpm.tk,"A","")),""),1),"A",""),""))))</f>
        <v>10</v>
      </c>
      <c r="DS62" t="str">
        <f t="shared" si="40"/>
        <v>ok</v>
      </c>
      <c r="DT62">
        <f t="shared" si="41"/>
        <v>10</v>
      </c>
      <c r="DU62" t="str">
        <f t="shared" si="42"/>
        <v>1P С10А</v>
      </c>
      <c r="DV62">
        <f t="shared" si="43"/>
        <v>0</v>
      </c>
      <c r="DW62">
        <f t="shared" si="44"/>
        <v>0</v>
      </c>
      <c r="DX62">
        <f t="shared" si="45"/>
        <v>0</v>
      </c>
      <c r="DY62">
        <f t="shared" si="46"/>
        <v>0.64951905283832878</v>
      </c>
      <c r="DZ62">
        <f t="shared" si="47"/>
        <v>1</v>
      </c>
      <c r="EA62">
        <f>IF(ISNUMBER(AP62),AP62,К_прокл)</f>
        <v>1</v>
      </c>
      <c r="EB62">
        <f t="shared" si="48"/>
        <v>2</v>
      </c>
      <c r="EC62">
        <f>IFERROR(N(VLOOKUP(BZ62,Кабель_обозначение,3,FALSE)),1)</f>
        <v>1</v>
      </c>
      <c r="ED62">
        <f>IFERROR(N(_xlfn.XLOOKUP(A62,Щиты[Щит],Щиты[ΔU до шин, %])),0)</f>
        <v>0.64</v>
      </c>
      <c r="EE62" t="str">
        <f>IFERROR(_xlfn.XLOOKUP(A62,Щиты[Щит],Щиты[Zпетли на шинах, Ом]),"")</f>
        <v/>
      </c>
      <c r="EF62">
        <f>IFERROR(N(_xlfn.XLOOKUP(A62,Щиты[Щит],Щиты[ΔU до шин (подбор), %])),0)</f>
        <v>0.75</v>
      </c>
      <c r="EG62" t="str">
        <f>IFERROR(_xlfn.XLOOKUP(A62,Щиты[Щит],Щиты[Zпетли на шинах (подбор), Ом]),"")</f>
        <v/>
      </c>
      <c r="EH62" t="str">
        <f t="shared" si="49"/>
        <v/>
      </c>
      <c r="EI62">
        <f t="shared" si="50"/>
        <v>22</v>
      </c>
      <c r="EJ62">
        <f t="shared" si="51"/>
        <v>2</v>
      </c>
      <c r="EK62">
        <f t="shared" si="52"/>
        <v>0.6</v>
      </c>
      <c r="EL62" s="6">
        <f>IF(B62="","",IF(BV62=1,dU_LED,IF(IFERROR(_xlfn.XLOOKUP(BC62,Коды_код,Коды_уго),"")="Светильник",3,4)+IF(Методика="нормы 2026",MIN(0.5,MAX(0,N(P62)-100)*0.005),0)))</f>
        <v>4</v>
      </c>
      <c r="EM62" cm="1">
        <f t="array" ref="EM62">IF(OR(B62="",BZ62="",EC62&lt;&gt;1),"",_xlfn.LET(_xlpm.sz,Iдоп_S,_xlpm.t_,CHOOSE(EB62,Iдоп_1ж,Iдоп_2ж,Iдоп_3ж)*DZ62*EA62,_xlpm.dcx,BV62=1,_xlpm.inn,IF(_xlpm.dcx,N(O62),N(DT62)),_xlpm.smin,MAX(1.5,CC62),_xlpm.L_,N(P62)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62)/N(BU62)*100,999),IFERROR(N(EJ62)*(_xlpm.rho*_xlpm.L_/_xlpm.sz*N(CE62)+_xlpm.xx*_xlpm.L_*N(EK62)/1000)*N(O62)/((Uн_лин/SQRT(3))*1000)*100,999)),_xlpm.kz,IF(OR(_xlpm.dcx,DW62=1,NOT(ISNUMBER(EG62)),_xlpm.L_=0,_xlpm.inn=0),1,IFERROR(--(c_min*(Uн_лин*1000/SQRT(3))/(EG62+2*ρкз_Cu*_xlpm.L_/_xlpm.sz)&gt;=HT62*_xlpm.inn),0)),_xlpm.ok,IFERROR((_xlpm.sz&gt;=_xlpm.smin)*(_xlpm.t_&gt;=_xlpm.inn)*IF(_xlpm.L_&gt;0,(_xlpm.du_+IF(_xlpm.dcx,0,EF62)&lt;=EL62+0.00001),1)*_xlpm.kz,0),_xlpm.r_,_xlfn._xlws.FILTER(_xlpm.sz,_xlpm.ok,"не подобрано"),INDEX(_xlpm.r_,1)))</f>
        <v>1.5</v>
      </c>
      <c r="EN62">
        <f t="shared" si="53"/>
        <v>1.5</v>
      </c>
      <c r="EO62" cm="1">
        <f t="array" ref="EO62">IF(OR(B62="",BZ62="",EC62&lt;&gt;1),"",_xlfn.LET(_xlpm.sz,Iдоп_S,_xlpm.t_,CHOOSE(EB62,Iдоп_1ж,Iдоп_2ж,Iдоп_3ж)*DZ62*EA62,_xlpm.ok,IFERROR((_xlpm.sz&gt;=MAX(1.5,CC62))*(_xlpm.t_&gt;=N(DT62)),0),_xlpm.r_,_xlfn._xlws.FILTER(_xlpm.sz,_xlpm.ok,""),INDEX(_xlpm.r_,1)))</f>
        <v>1.5</v>
      </c>
      <c r="EP62" s="6" cm="1">
        <f t="array" ref="EP62">IFERROR(ROUNDUP(N(EJ62)*(_xlfn.XLOOKUP(EO62,INDEX(Кабель_сопротивление,0,1),INDEX(Кабель_сопротивление,0,3))*N(P62)/EO62*N(CE62)+_xlfn.XLOOKUP(EO62,INDEX(Кабель_сопротивление,0,1),INDEX(Кабель_сопротивление,0,2))*N(P62)*N(EK62)/1000)*N(O62)/((Uн_лин/SQRT(3))*1000)*100,2),"")</f>
        <v>0.18000000000000002</v>
      </c>
      <c r="EQ62">
        <f>IFERROR(2*ρкз_Cu*N(P62)/EO62,"")</f>
        <v>0.91173333333333328</v>
      </c>
      <c r="ER62">
        <f>IFERROR(VLOOKUP(EN62,Кабель_сопротивление,3,FALSE),"")</f>
        <v>2.2499999999999999E-2</v>
      </c>
      <c r="ES62">
        <f>IFERROR(VLOOKUP(EN62,Кабель_сопротивление,2,FALSE),"")</f>
        <v>0.11</v>
      </c>
      <c r="ET62">
        <f t="shared" si="54"/>
        <v>26</v>
      </c>
      <c r="EU62">
        <f t="shared" si="55"/>
        <v>0</v>
      </c>
      <c r="EV62">
        <f t="shared" si="56"/>
        <v>0.40752903836045828</v>
      </c>
      <c r="EW62" s="6">
        <f>IFERROR(ROUNDUP(EV62/IF(BV62=1,BU62,(Uн_лин/SQRT(3))*1000)*100,2),"")</f>
        <v>0.18000000000000002</v>
      </c>
      <c r="EX62" t="str">
        <f>IFERROR(VLOOKUP(BZ62,Кабель_обозначение,2,FALSE),"")</f>
        <v>ВВГнг(А)-LS</v>
      </c>
      <c r="EY62" t="str">
        <f t="shared" si="57"/>
        <v>ВВГнг(А)-LS (3х1,5)</v>
      </c>
      <c r="EZ62" t="str">
        <f t="shared" si="58"/>
        <v>ВВГнг(А)-LS (3х1,5)
L=26-0,18%</v>
      </c>
      <c r="FA62">
        <f>IFERROR(2*ρкз_Cu*P62/EN62,"")</f>
        <v>0.91173333333333328</v>
      </c>
      <c r="FB62">
        <f t="shared" si="59"/>
        <v>0.3033333333333334</v>
      </c>
      <c r="FC62" s="6" t="str">
        <f>IFERROR(IF(OR(B62="",BV62=1,NOT(ISNUMBER(EN62)),N(P62)=0),"",_xlfn.XLOOKUP(A62,Щиты[Щит],Щиты[Zпетли на шинах, Ом])+FA62),"")</f>
        <v/>
      </c>
      <c r="FD62" s="6" t="str">
        <f>IF(ISNUMBER(FC62),c_min*(Uн_лин*1000/SQRT(3))/FC62,"")</f>
        <v/>
      </c>
      <c r="FE62" s="6" t="str">
        <f>IFERROR(IF(OR(B62="",NOT(ISNUMBER(EN62))),"",1.05*(Uн_лин*1000/SQRT(3))/(_xlfn.XLOOKUP(A62,Щиты[Щит],Щиты[Zmax на шинах, Ом])+FB62)/1000),"")</f>
        <v/>
      </c>
      <c r="FF62" s="6" t="str">
        <f>IF(B62="","",IF(ISNUMBER(AC62),"Сил",IF(IFERROR(_xlfn.XLOOKUP(BC62,Коды_код,Коды_группа)&amp;"","")="","Быт",_xlfn.XLOOKUP(BC62,Коды_код,Коды_группа)&amp;"")))</f>
        <v>Сил</v>
      </c>
      <c r="FG62" s="6" t="str">
        <f t="shared" si="60"/>
        <v>Сил</v>
      </c>
      <c r="FH62" s="6">
        <f>IF(FG62="Щит","щит",IF(FG62="","",IF(FG62="Быт",IFERROR(_xlfn.XLOOKUP(A62,Щиты[Щит],Щиты[Кс быт]),1),IF(FG62="Сил",IF(ISNUMBER(AC62),AC62,IF(Методика="нормы 2026",IFERROR(_xlfn.XLOOKUP(A62,Щиты[Щит],Щиты[Кс силовых (табл. 7.5)]),1),1)),IF(OR(FG62="Пост",FG62="Отоп"),1,IF(FG62="ВНГ",0.7,0))))))</f>
        <v>0.5</v>
      </c>
      <c r="FI62">
        <f>IF(FG62="","",IF(AND(BP62=1,TRIM(AE62&amp;"")=""),IF(COUNTIFS(Линии[Щит],A62,Линии[Секция (1/2/3)],"&gt;=2")&gt;0,MIN(3,MAX(1,IFERROR(--BD62,1))),1),IFERROR(MIN(3,MAX(1,INT(--AE62))),1)))</f>
        <v>1</v>
      </c>
      <c r="FJ62">
        <f t="shared" si="61"/>
        <v>0.12</v>
      </c>
      <c r="FK62">
        <f t="shared" si="62"/>
        <v>0</v>
      </c>
      <c r="FL62">
        <f t="shared" si="63"/>
        <v>0.06</v>
      </c>
      <c r="FM62">
        <f t="shared" si="64"/>
        <v>0</v>
      </c>
      <c r="FN62">
        <f t="shared" si="65"/>
        <v>0</v>
      </c>
      <c r="FO62">
        <f t="shared" si="66"/>
        <v>0</v>
      </c>
      <c r="FP62">
        <f t="shared" si="67"/>
        <v>0.12</v>
      </c>
      <c r="FQ62">
        <f t="shared" si="68"/>
        <v>0.12</v>
      </c>
      <c r="FR62">
        <f t="shared" si="69"/>
        <v>9.6000000000000002E-2</v>
      </c>
      <c r="FS62">
        <f>IF(CG62=1,IF(AND(CH62=1,CW62=1),0,IF(AND(CS62&lt;&gt;"",CS62=BA62,CW62=1),SUMIFS(Линии[_Р линии, кВт],Линии[_блок УЗО],BA62,Линии[Щит],A62),N(BS62)+IF(AJ62="вручную",0,N(CK62)))),0)</f>
        <v>0.12</v>
      </c>
      <c r="FT62" t="str">
        <f t="shared" si="70"/>
        <v/>
      </c>
      <c r="FU62" t="str">
        <f>IF(B62="","",IF(CG62=0,IF(BA62=1,"",FW61),IF(AND(CH62=1,CW62=1,CS62&lt;&gt;""),IFERROR(_xlfn.XLOOKUP(CS62,Линии[_n],Линии[_фаза итог]),"L1"),IF(OR(N(DL62)&gt;=3,N(BX62)&gt;=3),"L1,L2,L3",IFERROR(_xlfn.TEXTBEFORE(_xlfn.TEXTAFTER(_xlfn.XLOOKUP(A62,Щиты[Щит],Щиты[_фазы авто]),";"&amp;BA62&amp;":"),";"),"L1")))))</f>
        <v>L2</v>
      </c>
      <c r="FV62" t="str">
        <f t="shared" si="71"/>
        <v>L2</v>
      </c>
      <c r="FW62" t="str">
        <f t="shared" si="72"/>
        <v>L2</v>
      </c>
      <c r="FX62" cm="1">
        <f t="array" ref="FX62">IFERROR(IF(CD62=2,_xlfn.IFS(BX62=3,VLOOKUP(BS62,Справочная_двигатели,3,FALSE),BX62=1,VLOOKUP(BS62,Справочная_двигатели,5,TRUE)),0),0)</f>
        <v>0</v>
      </c>
      <c r="FY62">
        <f>IFERROR(IF(CD62=3,VLOOKUP(BS62,Справочная_ЛЭД,2,TRUE),0),0)</f>
        <v>0</v>
      </c>
      <c r="FZ62" s="6">
        <f t="shared" si="73"/>
        <v>0</v>
      </c>
      <c r="GA62" t="str">
        <f>IF(B62="","",IF(TRIM(AH62&amp;"")&lt;&gt;"",IF(LOWER(TRIM(AH62&amp;""))="да","да","нет"),IF(IFERROR(_xlfn.XLOOKUP(BC62,Коды_код,Коды_пожарная),"")="да","да","нет")))</f>
        <v>нет</v>
      </c>
      <c r="GB62" t="str">
        <f t="shared" si="74"/>
        <v/>
      </c>
      <c r="GC62" t="str">
        <f t="shared" si="75"/>
        <v>основная</v>
      </c>
      <c r="GD62">
        <f>IF(AND(BP62=1,TRIM(AE62&amp;"")=""),IF(COUNTIFS(Линии[Щит],A62,Линии[Секция (1/2/3)],"&gt;=2")&gt;0,MIN(3,MAX(1,IFERROR(--BD62,1))),1),IFERROR(MIN(3,MAX(1,INT(--AE62))),1))</f>
        <v>1</v>
      </c>
      <c r="GE62" t="str" cm="1">
        <f t="array" ref="GE62">IF(B62="","",_xlfn.LET(_xlpm.t,IFERROR(_xlfn.XLOOKUP(1,(Шины[Шина]=GC62)*(((Шины[Щит]=A62)+(Шины[Щит]=""))&gt;0),Шины[Тип]),"")&amp;"",IF(_xlpm.t&lt;&gt;"",_xlpm.t,IF(ISNUMBER(SEARCH("ИБП",GC62)),"ИБП",IF(ISNUMBER(SEARCH("ДГУ",GC62)),"ДГУ","Ввод "&amp;GD62)))))</f>
        <v>Ввод 1</v>
      </c>
      <c r="GF62" t="str">
        <f t="shared" si="76"/>
        <v>Ввод 1</v>
      </c>
      <c r="GG62" t="str">
        <f>IF(BP62=0,"",IF(TRIM(AG62&amp;"")&lt;&gt;"",TRIM(AG62&amp;""),IF(OR(GE62="ИБП",GE62="ДГУ"),"I особая",_xlfn.XLOOKUP(A62,Щиты[Щит],Щиты[Категория шины «Ввод»],"III"))))</f>
        <v/>
      </c>
      <c r="GH62" t="str">
        <f>IF(A62="","",_xlfn.XLOOKUP(A62,Щиты[Щит],Щиты[Путь],""))</f>
        <v>|ГРЩ-ЖД|ЩОВ-001|</v>
      </c>
      <c r="GI62" t="str">
        <f>IF(B62="","",IF(AI62&lt;&gt;"",AI62,IF(IFERROR(_xlfn.XLOOKUP(BC62,Коды_код,Коды_вид)&amp;"","")="","Прочее",_xlfn.XLOOKUP(BC62,Коды_код,Коды_вид)&amp;"")))</f>
        <v>Вентиляция</v>
      </c>
      <c r="GJ62">
        <f>IF(BM62="","",INT((BM62-1)/Столбцов_на_лист)+1)</f>
        <v>2</v>
      </c>
      <c r="GK62" t="str">
        <f t="shared" si="77"/>
        <v>ВВГнг(А)-LS (3х1,5) L=26-0,18%</v>
      </c>
      <c r="GL62">
        <f t="shared" si="78"/>
        <v>0.12</v>
      </c>
      <c r="GM62">
        <f t="shared" si="79"/>
        <v>0.65</v>
      </c>
      <c r="GN62">
        <f t="shared" si="80"/>
        <v>1</v>
      </c>
      <c r="GO62">
        <f t="shared" si="81"/>
        <v>0</v>
      </c>
      <c r="GP62">
        <f t="shared" si="82"/>
        <v>1</v>
      </c>
      <c r="GQ62">
        <f>IF(BM62="","",IF(AND(CG62=1,GP62=1),COUNTIFS(A$3:A62,A62,CG$3:CG62,1,GP$3:GP62,1),IF(OR(OR(BA62=1,A62&lt;&gt;A61),AJ62="вручную",GP62=0),"",IF(BA62=1,"",GR61))))</f>
        <v>9</v>
      </c>
      <c r="GR62">
        <f t="shared" si="83"/>
        <v>9</v>
      </c>
      <c r="GS62">
        <f>IF(B62="","",IFERROR(LOOKUP(INDEX(CHOOSE(EB62,Iдоп_1ж,Iдоп_2ж,Iдоп_3ж),MATCH(EN62,Iдоп_S,0))*DZ62*EA62,{6,10,16,20,25,32,40,50,63,80,100,125,160,200,250,315,400,500,630}),""))</f>
        <v>16</v>
      </c>
      <c r="GT62" t="str">
        <f t="shared" si="84"/>
        <v>QF9</v>
      </c>
      <c r="GU62" t="str">
        <f t="shared" si="85"/>
        <v>QF9</v>
      </c>
      <c r="GV62" t="str">
        <f t="shared" si="86"/>
        <v/>
      </c>
      <c r="GW62">
        <f t="shared" si="87"/>
        <v>0</v>
      </c>
      <c r="GX62" t="str">
        <f>IF(OR(B62="",DJ62=""),"",IFERROR(_xlfn.XLOOKUP(DJ62,Модули_умолч[Управление],Модули_умолч[Модель])&amp;"",""))</f>
        <v/>
      </c>
      <c r="GY62">
        <f>IF(DJ62="",1,IFERROR(MAX(0,N(_xlfn.XLOOKUP(DJ62,Модули_умолч[Управление],Модули_умолч[Каналов на линию]))),1))</f>
        <v>1</v>
      </c>
      <c r="GZ62" t="str">
        <f t="shared" si="88"/>
        <v/>
      </c>
      <c r="HA62" t="str">
        <f t="shared" si="89"/>
        <v/>
      </c>
      <c r="HB62" t="str">
        <f t="shared" si="90"/>
        <v/>
      </c>
      <c r="HC62">
        <f>IF(HB62="",0,IFERROR(N(VLOOKUP(HB62,Модули_спр,3,FALSE)),0))</f>
        <v>0</v>
      </c>
      <c r="HD62" t="str">
        <f t="shared" si="91"/>
        <v/>
      </c>
      <c r="HE62" t="str">
        <f t="shared" si="92"/>
        <v/>
      </c>
      <c r="HF62" t="str">
        <f>IF(OR(HE62="",HE62="-"),"",IFERROR(VLOOKUP(HE62,Модули_спр,2,FALSE),"R"))</f>
        <v/>
      </c>
      <c r="HG62" t="str">
        <f>IF(HF62="","",HF62&amp;"."&amp;COUNTIFS(A$3:A62,A62,HF$3:HF62,HF62))</f>
        <v/>
      </c>
      <c r="HH62" t="str">
        <f t="shared" si="93"/>
        <v/>
      </c>
      <c r="HI62" t="str">
        <f t="shared" si="94"/>
        <v/>
      </c>
      <c r="HJ62" t="str">
        <f t="shared" si="95"/>
        <v/>
      </c>
      <c r="HK62" t="str">
        <f t="shared" si="96"/>
        <v/>
      </c>
      <c r="HL62">
        <f t="shared" si="97"/>
        <v>1</v>
      </c>
      <c r="HM62" t="str">
        <f>IF(HL62=1,"XT"&amp;COUNTIFS(A$3:A62,A62,HL$3:HL62,1),"")</f>
        <v>XT9</v>
      </c>
      <c r="HN62" t="str">
        <f t="shared" si="98"/>
        <v/>
      </c>
      <c r="HO62" t="str">
        <f t="shared" si="99"/>
        <v>QF9</v>
      </c>
      <c r="HP62" t="str">
        <f t="shared" si="100"/>
        <v/>
      </c>
      <c r="HQ62" t="str">
        <f t="shared" si="101"/>
        <v>ok</v>
      </c>
      <c r="HR62" t="str">
        <f>IF(OR(HJ62="",HH62=""),"",IF(HJ62+MAX(0,GY62-1)&gt;IFERROR(VLOOKUP(HI62,Модули_спр,3,FALSE),99),"ЛИШНИЙ КАНАЛ",IF(AND(AL62&lt;&gt;"=",GY62&gt;0,COUNTIFS(Линии[_модуль гр.],HH62,Линии[Канал (итог)],HJ62,Линии[Канал],"&lt;&gt;=",Линии[Щит],A62)&gt;1),"ДУБЛЬ КАНАЛА","")))</f>
        <v/>
      </c>
      <c r="HS62" s="6" t="str">
        <f t="shared" si="102"/>
        <v/>
      </c>
      <c r="HT62">
        <f t="shared" si="103"/>
        <v>10</v>
      </c>
      <c r="HU62" t="str">
        <f t="shared" si="104"/>
        <v/>
      </c>
      <c r="HV62">
        <f t="shared" si="105"/>
        <v>0.51980762113533152</v>
      </c>
      <c r="HW62">
        <f t="shared" si="106"/>
        <v>0</v>
      </c>
      <c r="HX62">
        <f t="shared" si="107"/>
        <v>0</v>
      </c>
      <c r="HY62">
        <f t="shared" si="108"/>
        <v>0</v>
      </c>
      <c r="HZ62">
        <f t="shared" si="109"/>
        <v>0</v>
      </c>
      <c r="IA62">
        <f t="shared" si="110"/>
        <v>0</v>
      </c>
      <c r="IB62">
        <f t="shared" si="111"/>
        <v>0</v>
      </c>
      <c r="IC62" t="str">
        <f t="shared" si="112"/>
        <v/>
      </c>
      <c r="ID62" t="str" cm="1">
        <f t="array" ref="ID62">IF(IC62="","",_xlfn.LET(_xlpm.tk,_xlfn.TEXTSPLIT(SUBSTITUTE(SUBSTITUTE(IC62,";"," "),"→"," ")," ",,TRUE),_xlpm.w_,_xlfn._xlws.FILTER(_xlpm.tk,ISNUMBER(--LEFT(_xlpm.tk,1))*((ISNUMBER(SEARCH("W",_xlpm.tk))+ISNUMBER(SEARCH("Вт",_xlpm.tk)))&gt;0),""),IFERROR(--SUBSTITUTE(SUBSTITUTE(UPPER(INDEX(_xlpm.w_,1)),"W",""),"ВТ",""),"")))</f>
        <v/>
      </c>
      <c r="IE62" t="str" cm="1">
        <f t="array" ref="IE62">IF(IC62="","",_xlfn.LET(_xlpm.tk,_xlfn.TEXTSPLIT(SUBSTITUTE(SUBSTITUTE(IC62,";"," "),"→"," ")," ",,TRUE),_xlpm.v_,_xlfn._xlws.FILTER(_xlpm.tk,ISNUMBER(--LEFT(_xlpm.tk,1))*((ISNUMBER(SEARCH("V",_xlpm.tk))+(RIGHT(UPPER(_xlpm.tk))="В"))&gt;0),""),IFERROR(--SUBSTITUTE(SUBSTITUTE(UPPER(INDEX(_xlpm.v_,1)),"V",""),"В",""),"")))</f>
        <v/>
      </c>
      <c r="IF62" s="6" t="str">
        <f>IF(OR(BV62=0,HI62="",HJ62=""),"",IFERROR(N(_xlfn.XLOOKUP(HI62,Каталог!$C$4:$C$500,Каталог!$Q$4:$Q$500)),""))</f>
        <v/>
      </c>
      <c r="IG62" s="6" t="str">
        <f>IF(N(IF62)=0,"",SUMIFS(Линии[Iр, А],Линии[Щит],A62,Линии[_модуль гр.],HH62,Линии[Канал (итог)],HJ62))</f>
        <v/>
      </c>
      <c r="IH62" t="str">
        <f>IF(AND(B62="",HO62=""),"",_xlfn.TEXTJOIN("; ",TRUE,IF(AND(B62&lt;&gt;"",FV62=""),"нет фазы",""),IF(AND(B62&lt;&gt;"",N(GL62)=0,FG62&lt;&gt;"Нет"),"нет мощности",""),IF(AND(HN62&lt;&gt;"",COUNTIFS(Линии[Щит],A62,Линии[Клемма (итог)],HN62)&gt;1),"дубль клеммы "&amp;HN62,""),IF(AND(HQ62&lt;&gt;"",HQ62&lt;&gt;"ok"),HQ62,""),IF(HR62&lt;&gt;"",HR62,""),IF(AND(N(CB62)&gt;=4,N(BX62)=1),CB62&amp;" жил на 1 фазе",""),IF(AND(BC62="R",CG62=1,IF(CS62&lt;&gt;"",N(CV62)&gt;30,OR(N(DA62)=0,N(DA62)&gt;30))),"розетка без дифзащиты до 30 мА",""),IF(AND(CG62=1,N(DA62)&gt;0,ISNUMBER(T62)),IF(T62&gt;N(DA62)/3,"ток утечки "&amp;FIXED(T62,1)&amp;" мА &gt; 1/3 уставки ("&amp;DA62&amp;" мА)",""),""),IF(AND(CH62=1,CS62=""),"«узо»: нет строки с УЗО выше (УЗО 2P 40А 30мА в «Аппаратах»)",""),IF(AND(CS62&lt;&gt;"",CS62=BA62),IF(CT62="","впишите номинал УЗО (УЗО 2P 40А 30мА)",IF(N(CT62)&lt;N(DT62),"УЗО "&amp;CT62&amp;" А &lt; автомата "&amp;DT62&amp;" А перед ним",IF(N(CT62)&lt;N(CX62),"УЗО "&amp;CT62&amp;" А &lt; тока блока "&amp;FIXED(CX62,1)&amp;" А",""))),""),IF(AND(CS62&lt;&gt;"",CS62=BA62,ISNUMBER(CY62)),IF(CY62&gt;N(CV62)/3,"ток утечки блока УЗО "&amp;FIXED(CY62,1)&amp;" мА &gt; 1/3 уставки ("&amp;CV62&amp;" мА)",""),""),IF(AND(CG62=1,N(BV62)+N(IB62)&gt;0,IC62=""),"линии до 50 В без БП: впишите в «Аппараты» (БП 24V 480W)",""),IF(AND(CG62=1,ISNUMBER(ID62),ISNUMBER(U62)),IF(U62&gt;ID62,"БП "&amp;ID62&amp;" Вт &lt; нужно "&amp;U62&amp;" Вт (×"&amp;Запас_БП&amp;")",""),""),IF(AND(CG62=1,ISNUMBER(IE62),N(BV62)=1),IF(IE62&lt;&gt;N(BU62),"БП на "&amp;IE62&amp;" В, линия "&amp;BU62&amp;" В",""),""),IF(AND(N(IF62)&gt;0,N(IG62)&gt;N(IF62)),HH62&amp;" канал "&amp;HJ62&amp;": "&amp;FIXED(IG62,1)&amp;" А &gt; "&amp;IF62&amp;" А",""),IFERROR(IF(AND(ISNUMBER(Q62),Q62&gt;EL62),"потери "&amp;FIXED(Q62,1)&amp;" % &gt; "&amp;EL62&amp;" %",""),""),IFERROR(IF(LEFT(HU62,4)="мало","Iкз мало — отключение &gt; 0,4 с",""),""),IF(AND(B62&lt;&gt;"",BM62=""),"не на схеме",""),IF(AND(CG62=0,B62&lt;&gt;"",FV62&lt;&gt;"",IF(BA62=1,"",FW61)&lt;&gt;"",FV62&lt;&gt;IF(BA62=1,"",FW61)),"фаза не как у автомата группы ("&amp;IF(BA62=1,"",FW61)&amp;")","")))</f>
        <v/>
      </c>
      <c r="II62" s="6">
        <f>IF(OR(CG62=0,DQ62=""),"",_xlfn.LET(_xlpm.t,IFERROR(_xlfn.XLOOKUP(DQ62,Каталог!$U$4:$U$500,Каталог!$G$4:$G$500),""),_xlpm.k,SEARCH("кА",_xlpm.t),IFERROR(--TRIM(RIGHT(SUBSTITUTE(MID(_xlpm.t,MAX(1,_xlpm.k-4),_xlpm.k-MAX(1,_xlpm.k-4))," ",REPT(" ",9)),5)),"")))</f>
        <v>6</v>
      </c>
      <c r="IJ62" t="str">
        <f>IF(OR(II62="",CG62=0),"",IF(_xlfn.XLOOKUP(A62,Щиты[Щит],Щиты[Iкз max на шинах, кА],"")="","",IF(II62&lt;_xlfn.XLOOKUP(A62,Щиты[Щит],Щиты[Iкз max на шинах, кА]),"Icu "&amp;II62&amp;" кА &lt; Iкз max","ok")))</f>
        <v/>
      </c>
      <c r="IK62" t="str">
        <f t="shared" si="113"/>
        <v/>
      </c>
      <c r="IL62" t="str">
        <f t="shared" si="114"/>
        <v>QF9</v>
      </c>
      <c r="IM62" t="str">
        <f t="shared" si="115"/>
        <v>QF9|кабель ВВГнг(А)-LS (3х1,5) → Приточная установка Пом №006Т</v>
      </c>
      <c r="IN62" t="str" cm="1">
        <f t="array" ref="IN62">IF(IM62="","",_xlfn.LET(_xlpm.nd,_xlfn.TEXTSPLIT(IM62,"|"),IF(COLUMNS(_xlpm.nd)&gt;1,A62&amp;"¦"&amp;INDEX(_xlpm.nd,1)&amp;"¦"&amp;INDEX(_xlpm.nd,2),"")))</f>
        <v>ЩОВ-001¦QF9¦кабель ВВГнг(А)-LS (3х1,5) → Приточная установка Пом №006Т</v>
      </c>
      <c r="IO62" t="str">
        <f t="shared" si="116"/>
        <v>П.2¦Приточная установка Пом №006Т</v>
      </c>
      <c r="IP62" t="str" cm="1">
        <f t="array" ref="IP62">IF(IM62="","",_xlfn.LET(_xlpm.nd,_xlfn.TEXTSPLIT(IM62,"|"),IF(COLUMNS(_xlpm.nd)&gt;2,A62&amp;"¦"&amp;INDEX(_xlpm.nd,2)&amp;"¦"&amp;INDEX(_xlpm.nd,3),"")))</f>
        <v/>
      </c>
      <c r="IQ62" t="str">
        <f t="shared" si="117"/>
        <v/>
      </c>
      <c r="IR62" t="str" cm="1">
        <f t="array" ref="IR62">IF(IM62="","",_xlfn.LET(_xlpm.nd,_xlfn.TEXTSPLIT(IM62,"|"),IF(COLUMNS(_xlpm.nd)&gt;3,A62&amp;"¦"&amp;INDEX(_xlpm.nd,3)&amp;"¦"&amp;INDEX(_xlpm.nd,4),"")))</f>
        <v/>
      </c>
      <c r="IS62" t="str">
        <f t="shared" si="118"/>
        <v/>
      </c>
      <c r="IT62" t="str" cm="1">
        <f t="array" ref="IT62">IF(IM62="","",_xlfn.LET(_xlpm.nd,_xlfn.TEXTSPLIT(IM62,"|"),IF(COLUMNS(_xlpm.nd)&gt;4,A62&amp;"¦"&amp;INDEX(_xlpm.nd,4)&amp;"¦"&amp;INDEX(_xlpm.nd,5),"")))</f>
        <v/>
      </c>
      <c r="IU62" t="str">
        <f t="shared" si="119"/>
        <v/>
      </c>
      <c r="IV62" t="str" cm="1">
        <f t="array" ref="IV62">IF(IM62="","",_xlfn.LET(_xlpm.nd,_xlfn.TEXTSPLIT(IM62,"|"),IF(COLUMNS(_xlpm.nd)&gt;5,A62&amp;"¦"&amp;INDEX(_xlpm.nd,5)&amp;"¦"&amp;INDEX(_xlpm.nd,6),"")))</f>
        <v/>
      </c>
      <c r="IW62" t="str">
        <f t="shared" si="120"/>
        <v/>
      </c>
      <c r="IX62" t="str" cm="1">
        <f t="array" ref="IX62">IF(IM62="","",_xlfn.LET(_xlpm.nd,_xlfn.TEXTSPLIT(IM62,"|"),IF(COLUMNS(_xlpm.nd)&gt;6,A62&amp;"¦"&amp;INDEX(_xlpm.nd,6)&amp;"¦"&amp;INDEX(_xlpm.nd,7),"")))</f>
        <v/>
      </c>
      <c r="IY62" t="str">
        <f t="shared" si="121"/>
        <v/>
      </c>
      <c r="IZ62" t="str">
        <f t="shared" si="122"/>
        <v/>
      </c>
      <c r="JA62" t="str">
        <f t="shared" si="123"/>
        <v>QF9</v>
      </c>
      <c r="JB62">
        <f t="shared" si="124"/>
        <v>0</v>
      </c>
      <c r="JC62">
        <f t="shared" si="125"/>
        <v>0</v>
      </c>
      <c r="JD62" t="str">
        <f t="shared" si="126"/>
        <v/>
      </c>
      <c r="JE62" t="str">
        <f t="shared" si="127"/>
        <v/>
      </c>
      <c r="JF62" t="str">
        <f t="shared" si="128"/>
        <v/>
      </c>
      <c r="JG62" t="str">
        <f t="shared" si="129"/>
        <v/>
      </c>
      <c r="JH62" t="str">
        <f>IF(B62="","",IFERROR(_xlfn.XLOOKUP(B62,Коды_код,Коды_уго),IFERROR(_xlfn.XLOOKUP(BC62,Коды_код,Коды_уго),IFERROR(_xlfn.XLOOKUP(LEFT(BC62,2),Коды_код,Коды_уго),""))))</f>
        <v>Привод (двигатель)</v>
      </c>
      <c r="JI62" t="str">
        <f>IF(B62="","",IF(OR(JH62="",JH62=0),"BOX",IFERROR(IF(VLOOKUP(JH62,УГО_блоки,3,FALSE)&amp;""&lt;&gt;"",VLOOKUP(JH62,УГО_блоки,3,FALSE),VLOOKUP(JH62,УГО_блоки,2,FALSE)),JH62)))</f>
        <v>MOTOR</v>
      </c>
      <c r="JJ62">
        <f t="shared" si="130"/>
        <v>1</v>
      </c>
      <c r="JK62" t="str">
        <f>IF(DQ62="","",IF(COUNTIF(DQ$3:DQ62,DQ62)=1,MAX(JK$2:JK61)+1,""))</f>
        <v/>
      </c>
      <c r="JL62" t="str">
        <f>IF(DE62="","",IF(COUNTIF(DE$3:DE62,DE62)+COUNTIF(DF$2:DF61,DE62)+COUNTIF(DG$2:DG61,DE62)=1,MAX(JL$2:JN61)+1,""))</f>
        <v/>
      </c>
      <c r="JM62" t="str">
        <f>IF(DF62="","",IF(COUNTIF(DE$3:DE62,DF62)+COUNTIF(DF$3:DF62,DF62)+COUNTIF(DG$2:DG61,DF62)=1,MAX(JL$2:JN61,JL62)+1,""))</f>
        <v/>
      </c>
      <c r="JN62" t="str">
        <f>IF(DG62="","",IF(COUNTIF(DE$3:DE62,DG62)+COUNTIF(DF$3:DF62,DG62)+COUNTIF(DG$3:DG62,DG62)=1,MAX(JL$2:JN61,JL62,JM62)+1,""))</f>
        <v/>
      </c>
      <c r="JO62" t="str">
        <f t="shared" si="131"/>
        <v>3х1,5</v>
      </c>
      <c r="JP62" t="str">
        <f>IF(JO62="","",IF(COUNTIF(JO$3:JO62,JO62)=1,MAX(JP$2:JP61)+1,""))</f>
        <v/>
      </c>
      <c r="JQ62" t="str">
        <f>IF(HG62="","",COUNTIF(HG$3:HG62,"?*"))</f>
        <v/>
      </c>
      <c r="JR62" t="str">
        <f>IF(OR(HG62="",HI62=""),"",IF(COUNTIFS(HG$3:HG62,"?*",HI$3:HI62,HI62)=1,MAX(JR$2:JR61)+1,""))</f>
        <v/>
      </c>
      <c r="JS62">
        <f t="shared" si="132"/>
        <v>0</v>
      </c>
      <c r="JT62">
        <f>IF(B62="","",COUNTIF(B$3:B62,"?*"))</f>
        <v>60</v>
      </c>
      <c r="JU62">
        <f>IF(HL62&lt;&gt;1,0,_xlfn.LET(_xlpm.k,MAX(IFERROR(--_xlfn.XLOOKUP(B62,Коды_код,Коды_3L),0),IFERROR(--_xlfn.XLOOKUP(BC62,Коды_код,Коды_3L),0),IFERROR(--_xlfn.XLOOKUP(LEFT(BC62,2),Коды_код,Коды_3L),0)),IF(_xlpm.k&gt;0,_xlpm.k,IF(IFERROR(--LEFT(SUBSTITUTE(JO62,"x","х"),FIND("х",SUBSTITUTE(JO62,"x","х"))-1),3)&gt;3,Каталог!$S$9,1))))</f>
        <v>1</v>
      </c>
      <c r="JV62">
        <f t="shared" si="133"/>
        <v>0</v>
      </c>
      <c r="JW62" t="str">
        <f t="shared" si="134"/>
        <v>авто</v>
      </c>
      <c r="JX62" t="str">
        <f t="shared" si="135"/>
        <v/>
      </c>
      <c r="JY62">
        <f t="shared" si="136"/>
        <v>0</v>
      </c>
      <c r="JZ62">
        <f t="shared" si="137"/>
        <v>1</v>
      </c>
    </row>
    <row r="63" spans="1:286" x14ac:dyDescent="0.3">
      <c r="A63" t="s">
        <v>747</v>
      </c>
      <c r="B63" t="s">
        <v>1376</v>
      </c>
      <c r="C63" t="s">
        <v>1657</v>
      </c>
      <c r="D63">
        <v>1</v>
      </c>
      <c r="E63">
        <v>1</v>
      </c>
      <c r="G63">
        <v>10</v>
      </c>
      <c r="H63" t="str">
        <f>Линии[[#This Row],[_авто управление]]</f>
        <v/>
      </c>
      <c r="I63" t="str">
        <f>Линии[[#This Row],[_авто аппараты]]</f>
        <v/>
      </c>
      <c r="J63">
        <v>1.5</v>
      </c>
      <c r="K63">
        <v>19</v>
      </c>
      <c r="L63" t="str">
        <f>Линии[[#This Row],[_авто фаза]]</f>
        <v>L3</v>
      </c>
      <c r="M63" t="s">
        <v>484</v>
      </c>
      <c r="N63" t="str">
        <f t="shared" si="0"/>
        <v/>
      </c>
      <c r="O63" s="6" cm="1">
        <f t="array" ref="O63">IF(B63="","",IF(BH63&lt;&gt;"",IFERROR(_xlfn.XLOOKUP(BH63,Щиты[Щит],Щиты[Iр, А]),""),IF(BP63=1,IF(OR(N(_xlfn.XLOOKUP(A63,Щиты[Щит],Щиты[Вводов],1))&lt;=1,LOWER(TRIM(_xlfn.XLOOKUP(A63,Щиты[Щит],Щиты[АВР],"")&amp;""))="да"),IFERROR(_xlfn.XLOOKUP(A63,Щиты[Щит],Щиты[Iр, А]),""),IFERROR(N(BS63)*_xlfn.XLOOKUP(A63,Щиты[Щит],Щиты[Кс итог])/(SQRT(3)*Uн_лин*_xlfn.XLOOKUP(A63,Щиты[Щит],Щиты[cos φ])),"")),IF(BV63=1,IFERROR(BS63*1000/BU63,""),IFERROR(_xlfn.IFS(BX63=1,BS63/((Uн_лин/SQRT(3))*CE63),BX63=3,BS63/(SQRT(3)*Uн_лин*CE63)),"")))))</f>
        <v>5.4126587736527405</v>
      </c>
      <c r="P63" s="7">
        <f>IF(B63="","",IFERROR(IF(VLOOKUP(BC63,Потребители_обозначение,4,FALSE)=1,VLOOKUP(BC63,Потребители_обозначение,3,FALSE)*(MAX(1,N(D63))*2-1)+EI63+VLOOKUP(BE63,Этаж_обозначение,3,FALSE)+VLOOKUP(BE63,Этаж_обозначение,4,FALSE),VLOOKUP(BC63,Потребители_обозначение,3,FALSE)*(MAX(1,N(D63))*2-1)+EI63),EI63))</f>
        <v>23</v>
      </c>
      <c r="Q63" s="6">
        <f t="shared" si="1"/>
        <v>1.9500000000000002</v>
      </c>
      <c r="R63" t="str">
        <f t="shared" si="2"/>
        <v>ВВГнг(А)-LS (3х1,5)</v>
      </c>
      <c r="S63" t="str">
        <f>IF(BM63="","",IF(BN63="вводной узел","узел ","")&amp;"л."&amp;(INT((BM63-1)/Столбцов_на_лист)+1)&amp;" / "&amp;(MOD(BM63-1,Столбцов_на_лист)+1))</f>
        <v>л.2 / 8</v>
      </c>
      <c r="T63" s="119">
        <f t="shared" si="3"/>
        <v>2.4</v>
      </c>
      <c r="U63" s="7" t="str">
        <f>IF(OR(CG63=0,N(BV63)+N(IB63)=0),"",ROUNDUP(Запас_БП*(N(HY63)+N(HZ63)),0))</f>
        <v/>
      </c>
      <c r="V63" s="119" t="str">
        <f t="shared" si="4"/>
        <v/>
      </c>
      <c r="W63" s="7" t="str">
        <f>IFERROR(IF(OR(B63="",BP63=1,BV63=1,NOT(ISNUMBER(EN63)),N(DT63)=0),"",MAX(0,ROUNDDOWN((c_min*(Uн_лин*1000/SQRT(3))/(HT63*N(DT63))-_xlfn.XLOOKUP(A63,Щиты[Щит],Щиты[Zпетли на шинах, Ом]))*EN63/(2*ρкз_Cu),0))),"")</f>
        <v/>
      </c>
      <c r="Y63" t="str">
        <f>Линии[[#This Row],[_авто утечка]]</f>
        <v/>
      </c>
      <c r="Z63">
        <v>1</v>
      </c>
      <c r="AA63">
        <v>230</v>
      </c>
      <c r="AB63" t="s">
        <v>598</v>
      </c>
      <c r="AC63">
        <v>0.5</v>
      </c>
      <c r="AG63" t="s">
        <v>810</v>
      </c>
      <c r="AI63" t="s">
        <v>580</v>
      </c>
      <c r="AK63" t="str">
        <f>Линии[[#This Row],[_авто модуль]]</f>
        <v/>
      </c>
      <c r="AM63">
        <v>25</v>
      </c>
      <c r="AN63" t="s">
        <v>11</v>
      </c>
      <c r="AO63">
        <v>3</v>
      </c>
      <c r="AR63">
        <v>23</v>
      </c>
      <c r="AT63">
        <v>1</v>
      </c>
      <c r="BA63" cm="1">
        <f t="array" ref="BA63">ROW()-ROW(Линии[#Headers])</f>
        <v>61</v>
      </c>
      <c r="BC63" s="6" t="str">
        <f t="shared" si="5"/>
        <v>П</v>
      </c>
      <c r="BD63" t="str">
        <f t="shared" si="6"/>
        <v>4</v>
      </c>
      <c r="BE63" t="str">
        <f t="shared" si="7"/>
        <v>4</v>
      </c>
      <c r="BF63" t="str">
        <f t="shared" si="8"/>
        <v/>
      </c>
      <c r="BG63" t="str">
        <f t="shared" si="9"/>
        <v/>
      </c>
      <c r="BH63" t="str">
        <f>IF(X63&lt;&gt;"",X63,IF(AND(B63&lt;&gt;"",B63&lt;&gt;A63,ISNUMBER(_xlfn.XMATCH(B63,Щиты[Щит]))),B63,""))</f>
        <v/>
      </c>
      <c r="BI63" t="str" cm="1">
        <f t="array" ref="BI63">IF(B63="","",IF(BH63&lt;&gt;"","Щит "&amp;BH63,_xlfn.LET(_xlpm.nm,IFERROR(_xlfn.XLOOKUP(BC63,Коды_код,Коды_имя)&amp;"",""),_xlpm.md,IFERROR(N(_xlfn.XLOOKUP(BC63,Коды_код,Коды_режим)),1),_xlpm.ex,IF(Имя_режим="по экспликации",IFERROR(_xlfn.XLOOKUP(BE63&amp;"|"&amp;BG63,Экспликация[Этаж]&amp;"|"&amp;Экспликация[Помещение],Экспликация[Название])&amp;"",""),""),_xlpm.rm,IF(BG63="","",IF(_xlpm.ex&lt;&gt;"",". "&amp;_xlpm.ex&amp;IF(Имя_пом="нет"," ("&amp;BG63&amp;")"," (пом. "&amp;BG63&amp;")"),IF(Имя_пом="нет"," ",", пом. ")&amp;BG63)),IF(_xlpm.nm="","",IF(_xlpm.md=2,_xlpm.nm&amp;" шлейф "&amp;BE63,_xlpm.nm&amp;_xlpm.rm)))))</f>
        <v>Приточная установка шлейф 4</v>
      </c>
      <c r="BJ63" t="str">
        <f t="shared" si="10"/>
        <v>Приточная установка Пом №006Т</v>
      </c>
      <c r="BK63">
        <f>IFERROR(_xlfn.XMATCH(A63,Щиты[Щит]),0)</f>
        <v>4</v>
      </c>
      <c r="BL63">
        <f>_xlfn.LET(_xlpm.k,IFERROR(_xlfn.XLOOKUP(A63,Щиты[Щит],Щиты[Мест под вводной узел]),""),IF(_xlpm.k="",Столбцов_на_лист,N(_xlpm.k)))</f>
        <v>13</v>
      </c>
      <c r="BM63">
        <f t="shared" si="11"/>
        <v>25</v>
      </c>
      <c r="BN63" t="str">
        <f t="shared" si="12"/>
        <v>линии</v>
      </c>
      <c r="BO63" s="6">
        <f>IFERROR(N(_xlfn.XLOOKUP(BC63,Коды_код,Коды_квт)),0)</f>
        <v>0</v>
      </c>
      <c r="BP63">
        <f t="shared" si="13"/>
        <v>0</v>
      </c>
      <c r="BQ63" t="str">
        <f>IF(B63="","",IF(BH63&lt;&gt;"",IFERROR(_xlfn.XLOOKUP(BH63,Щиты[Щит],Щиты[Руст, кВт]),0),IF(BP63=1,IF(OR(N(_xlfn.XLOOKUP(A63,Щиты[Щит],Щиты[Вводов],1))&lt;=1,LOWER(TRIM(_xlfn.XLOOKUP(A63,Щиты[Щит],Щиты[АВР],"")&amp;""))="да"),IFERROR(_xlfn.XLOOKUP(A63,Щиты[Щит],Щиты[Руст, кВт]),0),SUMIFS(Линии[_Р для вводов],Линии[Щит],A63,Линии[Источник для режимов],GF63)),IF(BO63&gt;0,ROUND(BO63*MAX(1,N(D63)),3),""))))</f>
        <v/>
      </c>
      <c r="BR63">
        <f t="shared" si="14"/>
        <v>1</v>
      </c>
      <c r="BS63" s="6">
        <f>IF(B63="","",IF(BH63&lt;&gt;"",IFERROR(_xlfn.XLOOKUP(BH63,Щиты[Щит],Щиты[Руст, кВт]),0),N(BR63)))</f>
        <v>1</v>
      </c>
      <c r="BT63" t="str">
        <f>IF(B63="","",IFERROR(IF(VLOOKUP(BC63,Потребители_обозначение,8,FALSE)=0,"",VLOOKUP(BC63,Потребители_обозначение,8,FALSE)),""))</f>
        <v/>
      </c>
      <c r="BU63">
        <f t="shared" si="15"/>
        <v>230</v>
      </c>
      <c r="BV63">
        <f t="shared" si="16"/>
        <v>0</v>
      </c>
      <c r="BW63">
        <f>IF(B63="","",IF(BH63&lt;&gt;"",3,IFERROR(IF(N(VLOOKUP(BC63,Потребители_обозначение,9,FALSE))=0,1,VLOOKUP(BC63,Потребители_обозначение,9,FALSE)),1)))</f>
        <v>1</v>
      </c>
      <c r="BX63">
        <f t="shared" si="17"/>
        <v>1</v>
      </c>
      <c r="BY63" t="str">
        <f>IF(B63="","",_xlfn.LET(_xlpm.bc,IFERROR(IF(VLOOKUP(BC63,Потребители_обозначение,6,FALSE)=0,"",VLOOKUP(BC63,Потребители_обозначение,6,FALSE)&amp;""),""),IF(AND(GA63="да",OR(_xlpm.bc="",_xlpm.bc="мс")),Марка_пож,IF(AND(_xlpm.bc="",BH63&lt;&gt;""),"мс",_xlpm.bc))))</f>
        <v/>
      </c>
      <c r="BZ63" t="str">
        <f t="shared" si="18"/>
        <v>мс</v>
      </c>
      <c r="CA63">
        <f>IF(B63="","",_xlfn.LET(_xlpm.cc,IFERROR(N(VLOOKUP(BC63,Потребители_обозначение,7,FALSE)),0),IF(_xlpm.cc&gt;0,_xlpm.cc,IF(BZ63="","",IF(BV63=1,2,IF(N(BX63)=3,5,3))))))</f>
        <v>3</v>
      </c>
      <c r="CB63">
        <f t="shared" si="19"/>
        <v>3</v>
      </c>
      <c r="CC63">
        <f>IFERROR(N(VLOOKUP(BC63,Потребители_обозначение,10,FALSE)),0)</f>
        <v>0</v>
      </c>
      <c r="CD63">
        <f>IFERROR(VLOOKUP(BC63,Потребители_обозначение,5,FALSE),0)</f>
        <v>1</v>
      </c>
      <c r="CE63" s="6" cm="1">
        <f t="array" ref="CE63">IF(B63="","",IF(BH63&lt;&gt;"",IFERROR(_xlfn.XLOOKUP(BH63,Щиты[Щит],Щиты[cos φ]),0.95),IF(BP63=1,IFERROR(_xlfn.XLOOKUP(A63,Щиты[Щит],Щиты[cos φ]),0.95),IF(ISNUMBER(AD63),AD63,IFERROR(IF(CD63=2,_xlfn.IFS(BX63=3,VLOOKUP(BS63,Справочная_двигатели,8,FALSE),BX63=1,VLOOKUP(BS63,Справочная_двигатели,10,TRUE)),IF(AND(Методика="нормы 2026",FG63="Сил"),0.8,0.95)),0.95)))))</f>
        <v>0.8</v>
      </c>
      <c r="CF63">
        <f t="shared" si="20"/>
        <v>0</v>
      </c>
      <c r="CG63">
        <f t="shared" si="21"/>
        <v>1</v>
      </c>
      <c r="CH63">
        <f t="shared" si="22"/>
        <v>0</v>
      </c>
      <c r="CI63">
        <f>IF(B63="","",IF(BV63=1,IFERROR(BS63/((Uн_лин/SQRT(3))*MAX(0.5,N(CE63))),0),N(O63)))</f>
        <v>5.4126587736527405</v>
      </c>
      <c r="CJ63">
        <f t="shared" si="23"/>
        <v>0</v>
      </c>
      <c r="CK63">
        <f t="shared" si="24"/>
        <v>0</v>
      </c>
      <c r="CL63">
        <f t="shared" si="25"/>
        <v>0</v>
      </c>
      <c r="CM63">
        <f t="shared" si="26"/>
        <v>0</v>
      </c>
      <c r="CN63">
        <f t="shared" si="27"/>
        <v>0</v>
      </c>
      <c r="CO63">
        <f>IF(BC63="",0,_xlfn.LET(_xlpm.v,IFERROR(_xlfn.XLOOKUP(B63,Коды_код,Коды_мА),IFERROR(_xlfn.XLOOKUP(BC63,Коды_код,Коды_мА),IFERROR(_xlfn.XLOOKUP(LEFT(BC63,2),Коды_код,Коды_мА),""))),IF(_xlpm.v="да",30,IF(ISNUMBER(_xlpm.v),_xlpm.v,0))))</f>
        <v>0</v>
      </c>
      <c r="CP63" t="str">
        <f t="shared" si="28"/>
        <v/>
      </c>
      <c r="CQ63" t="str">
        <f>_xlfn.LET(_xlpm.k,IFERROR(_xlfn.XLOOKUP(BC63,Коды_код,Коды_утечка)&amp;"",""),IF(_xlpm.k="","дифавтомат",_xlpm.k))</f>
        <v>дифавтомат</v>
      </c>
      <c r="CR63" t="str" cm="1">
        <f t="array" ref="CR63">IF(CG63=0,"",_xlfn.LET(_xlpm.sg,TRIM(_xlfn.TEXTSPLIT(DD63&amp;"",";")),_xlpm.f_,_xlfn._xlws.FILTER(_xlpm.sg,LEFT(_xlpm.sg,3)="УЗО",""),IFERROR(INDEX(_xlpm.f_,1)&amp;"","")))</f>
        <v/>
      </c>
      <c r="CS63" t="str">
        <f t="shared" si="29"/>
        <v/>
      </c>
      <c r="CT63" s="6" t="str" cm="1">
        <f t="array" ref="CT63">IF(CR63="","",_xlfn.LET(_xlpm.tk,_xlfn.TEXTSPLIT(UPPER(CR63)," ",,TRUE),_xlpm.a_,_xlfn._xlws.FILTER(_xlpm.tk,ISNUMBER(--LEFT(_xlpm.tk,1))*((ISNUMBER(SEARCH("А",_xlpm.tk))+ISNUMBER(SEARCH("A",_xlpm.tk)))&gt;0)*NOT(ISNUMBER(SEARCH("МА",_xlpm.tk)))*NOT(ISNUMBER(SEARCH("MA",_xlpm.tk))),""),IFERROR(--SUBSTITUTE(SUBSTITUTE(INDEX(_xlpm.a_,1),"А",""),"A",""),"")))</f>
        <v/>
      </c>
      <c r="CU63" t="str" cm="1">
        <f t="array" ref="CU63">IF(CR63="","",_xlfn.LET(_xlpm.tk,_xlfn.TEXTSPLIT(UPPER(CR63)," ",,TRUE),_xlpm.a_,_xlfn._xlws.FILTER(_xlpm.tk,ISNUMBER(--LEFT(_xlpm.tk,1))*((ISNUMBER(SEARCH("МА",_xlpm.tk))+ISNUMBER(SEARCH("MA",_xlpm.tk)))&gt;0),""),IFERROR(--SUBSTITUTE(SUBSTITUTE(INDEX(_xlpm.a_,1),"МА",""),"MA",""),30)))</f>
        <v/>
      </c>
      <c r="CV63" t="str">
        <f>IF(CS63="","",IFERROR(_xlfn.XLOOKUP(CS63,Линии[_n],Линии[_УЗО, мА]),30))</f>
        <v/>
      </c>
      <c r="CW63">
        <f>IF(CS63="",0,IF(ISNUMBER(SEARCH("4P",IFERROR(_xlfn.XLOOKUP(CS63,Линии[_n],Линии[_УЗО строки])&amp;"",""))),0,1))</f>
        <v>0</v>
      </c>
      <c r="CX63" t="str">
        <f>IF(AND(CS63&lt;&gt;"",CS63=BA63),SUMIFS(Линии[_ток на 230 В],Линии[_блок УЗО],BA63,Линии[Щит],A63),"")</f>
        <v/>
      </c>
      <c r="CY63" t="str">
        <f>IF(AND(CS63&lt;&gt;"",CS63=BA63),SUMIFS(Линии[_ток утечки линии, мА],Линии[_блок УЗО],BA63,Линии[Щит],A63),"")</f>
        <v/>
      </c>
      <c r="CZ63">
        <f t="shared" si="30"/>
        <v>0</v>
      </c>
      <c r="DA63">
        <f t="shared" si="31"/>
        <v>0</v>
      </c>
      <c r="DB63">
        <f>IF(B63="",0,IFERROR(--_xlfn.XLOOKUP(B63,Коды_код,Коды_минавт),IFERROR(--_xlfn.XLOOKUP(BC63,Коды_код,Коды_минавт),IFERROR(--_xlfn.XLOOKUP(LEFT(BC63,2),Коды_код,Коды_минавт),0))))</f>
        <v>0</v>
      </c>
      <c r="DC63" t="str">
        <f>IF(B63="","",IFERROR(_xlfn.XLOOKUP(BC63,Коды_код,Коды_апп)&amp;"",""))</f>
        <v/>
      </c>
      <c r="DD63" t="str">
        <f t="shared" si="32"/>
        <v/>
      </c>
      <c r="DE63" t="str" cm="1">
        <f t="array" ref="DE63">IF(TRIM(DD63&amp;"")="","",IFERROR(TRIM(INDEX(_xlfn.TEXTSPLIT(DD63&amp;";;;",";"),1)),""))</f>
        <v/>
      </c>
      <c r="DF63" t="str" cm="1">
        <f t="array" ref="DF63">IF(TRIM(DD63&amp;"")="","",IFERROR(TRIM(INDEX(_xlfn.TEXTSPLIT(DD63&amp;";;;",";"),2)),""))</f>
        <v/>
      </c>
      <c r="DG63" t="str" cm="1">
        <f t="array" ref="DG63">IF(TRIM(DD63&amp;"")="","",IFERROR(TRIM(INDEX(_xlfn.TEXTSPLIT(DD63&amp;";;;",";"),3)),""))</f>
        <v/>
      </c>
      <c r="DH63">
        <f t="shared" si="33"/>
        <v>0</v>
      </c>
      <c r="DI63" t="str">
        <f>IF(B63="","",_xlfn.LET(_xlpm.t,LOWER(AZ63&amp;""),IF(ISNUMBER(SEARCH("dim",_xlpm.t)),"DIM",IF(ISNUMBER(SEARCH("dali",_xlpm.t)),"DALI",IF(OR(ISNUMBER(SEARCH("relay",_xlpm.t)),ISNUMBER(SEARCH("реле",_xlpm.t))),"Relay",IF(ISNUMBER(SEARCH("кнопк",_xlpm.t)),"",IFERROR(_xlfn.XLOOKUP(BC63,Коды_код,Коды_упр)&amp;"","")))))))</f>
        <v/>
      </c>
      <c r="DJ63" t="str">
        <f t="shared" si="34"/>
        <v/>
      </c>
      <c r="DK63">
        <f>IF(B63="","",_xlfn.LET(_xlpm.ig,IF(N(CX63)&gt;0,N(CX63),N(CI63)+IF(AJ63="вручную",0,N(CJ63))),_xlpm.n0,IFERROR(VLOOKUP(_xlpm.ig,Автомат_номиналы,2,TRUE),0),_xlpm.mn,MAX(DB63,IF(AJ63="вручную",0,N(CM63))),MAX(_xlpm.n0,_xlpm.mn,IF(DH63=1,Мин_автомат_БП,0))))</f>
        <v>10</v>
      </c>
      <c r="DL63">
        <f t="shared" si="35"/>
        <v>1</v>
      </c>
      <c r="DM63" t="str">
        <f t="shared" si="36"/>
        <v>1P</v>
      </c>
      <c r="DN63" t="str">
        <f>_xlfn.LET(_xlpm.cc,UPPER(TRIM(IFERROR(_xlfn.XLOOKUP(BC63,Коды_код,Коды_хар)&amp;"",""))),IF(OR(_xlpm.cc="B",_xlpm.cc="В"),"B",IF(_xlpm.cc="D","D","С")))</f>
        <v>С</v>
      </c>
      <c r="DO63" t="str">
        <f t="shared" si="37"/>
        <v>1P С10А</v>
      </c>
      <c r="DP63">
        <f t="shared" si="38"/>
        <v>10</v>
      </c>
      <c r="DQ63" t="str">
        <f t="shared" si="39"/>
        <v>1P С10А</v>
      </c>
      <c r="DR63" cm="1">
        <f t="array" ref="DR63">IF(DQ63="","",_xlfn.LET(_xlpm.t,SUBSTITUTE(SUBSTITUTE(SUBSTITUTE(UPPER(DQ63),"С","C"),"А","A"),"В","B"),_xlpm.tk,_xlfn.TEXTSPLIT(_xlpm.t," "),_xlpm.f,_xlfn._xlws.FILTER(_xlpm.tk,ISNUMBER(--MID(_xlpm.tk,2,1))*ISNUMBER(SEARCH(LEFT(_xlpm.tk,1)&amp;"#","B#C#D#"))*(LEN(_xlpm.tk)&gt;1),""),_xlpm.x,INDEX(_xlpm.f,1),IFERROR(--SUBSTITUTE(MID(_xlpm.x,2,9),"A",""),IFERROR(--SUBSTITUTE(INDEX(_xlfn._xlws.FILTER(_xlpm.tk,ISNUMBER(--SUBSTITUTE(_xlpm.tk,"A","")),""),1),"A",""),""))))</f>
        <v>10</v>
      </c>
      <c r="DS63" t="str">
        <f t="shared" si="40"/>
        <v>ok</v>
      </c>
      <c r="DT63">
        <f t="shared" si="41"/>
        <v>10</v>
      </c>
      <c r="DU63" t="str">
        <f t="shared" si="42"/>
        <v>1P С10А</v>
      </c>
      <c r="DV63">
        <f t="shared" si="43"/>
        <v>0</v>
      </c>
      <c r="DW63">
        <f t="shared" si="44"/>
        <v>0</v>
      </c>
      <c r="DX63">
        <f t="shared" si="45"/>
        <v>0</v>
      </c>
      <c r="DY63">
        <f t="shared" si="46"/>
        <v>5.4126587736527405</v>
      </c>
      <c r="DZ63">
        <f t="shared" si="47"/>
        <v>1</v>
      </c>
      <c r="EA63">
        <f>IF(ISNUMBER(AP63),AP63,К_прокл)</f>
        <v>1</v>
      </c>
      <c r="EB63">
        <f t="shared" si="48"/>
        <v>2</v>
      </c>
      <c r="EC63">
        <f>IFERROR(N(VLOOKUP(BZ63,Кабель_обозначение,3,FALSE)),1)</f>
        <v>1</v>
      </c>
      <c r="ED63">
        <f>IFERROR(N(_xlfn.XLOOKUP(A63,Щиты[Щит],Щиты[ΔU до шин, %])),0)</f>
        <v>0.64</v>
      </c>
      <c r="EE63" t="str">
        <f>IFERROR(_xlfn.XLOOKUP(A63,Щиты[Щит],Щиты[Zпетли на шинах, Ом]),"")</f>
        <v/>
      </c>
      <c r="EF63">
        <f>IFERROR(N(_xlfn.XLOOKUP(A63,Щиты[Щит],Щиты[ΔU до шин (подбор), %])),0)</f>
        <v>0.75</v>
      </c>
      <c r="EG63" t="str">
        <f>IFERROR(_xlfn.XLOOKUP(A63,Щиты[Щит],Щиты[Zпетли на шинах (подбор), Ом]),"")</f>
        <v/>
      </c>
      <c r="EH63" t="str">
        <f t="shared" si="49"/>
        <v/>
      </c>
      <c r="EI63">
        <f t="shared" si="50"/>
        <v>19</v>
      </c>
      <c r="EJ63">
        <f t="shared" si="51"/>
        <v>2</v>
      </c>
      <c r="EK63">
        <f t="shared" si="52"/>
        <v>0.6</v>
      </c>
      <c r="EL63" s="6">
        <f>IF(B63="","",IF(BV63=1,dU_LED,IF(IFERROR(_xlfn.XLOOKUP(BC63,Коды_код,Коды_уго),"")="Светильник",3,4)+IF(Методика="нормы 2026",MIN(0.5,MAX(0,N(P63)-100)*0.005),0)))</f>
        <v>4</v>
      </c>
      <c r="EM63" cm="1">
        <f t="array" ref="EM63">IF(OR(B63="",BZ63="",EC63&lt;&gt;1),"",_xlfn.LET(_xlpm.sz,Iдоп_S,_xlpm.t_,CHOOSE(EB63,Iдоп_1ж,Iдоп_2ж,Iдоп_3ж)*DZ63*EA63,_xlpm.dcx,BV63=1,_xlpm.inn,IF(_xlpm.dcx,N(O63),N(DT63)),_xlpm.smin,MAX(1.5,CC63),_xlpm.L_,N(P63)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63)/N(BU63)*100,999),IFERROR(N(EJ63)*(_xlpm.rho*_xlpm.L_/_xlpm.sz*N(CE63)+_xlpm.xx*_xlpm.L_*N(EK63)/1000)*N(O63)/((Uн_лин/SQRT(3))*1000)*100,999)),_xlpm.kz,IF(OR(_xlpm.dcx,DW63=1,NOT(ISNUMBER(EG63)),_xlpm.L_=0,_xlpm.inn=0),1,IFERROR(--(c_min*(Uн_лин*1000/SQRT(3))/(EG63+2*ρкз_Cu*_xlpm.L_/_xlpm.sz)&gt;=HT63*_xlpm.inn),0)),_xlpm.ok,IFERROR((_xlpm.sz&gt;=_xlpm.smin)*(_xlpm.t_&gt;=_xlpm.inn)*IF(_xlpm.L_&gt;0,(_xlpm.du_+IF(_xlpm.dcx,0,EF63)&lt;=EL63+0.00001),1)*_xlpm.kz,0),_xlpm.r_,_xlfn._xlws.FILTER(_xlpm.sz,_xlpm.ok,"не подобрано"),INDEX(_xlpm.r_,1)))</f>
        <v>1.5</v>
      </c>
      <c r="EN63">
        <f t="shared" si="53"/>
        <v>1.5</v>
      </c>
      <c r="EO63" cm="1">
        <f t="array" ref="EO63">IF(OR(B63="",BZ63="",EC63&lt;&gt;1),"",_xlfn.LET(_xlpm.sz,Iдоп_S,_xlpm.t_,CHOOSE(EB63,Iдоп_1ж,Iдоп_2ж,Iдоп_3ж)*DZ63*EA63,_xlpm.ok,IFERROR((_xlpm.sz&gt;=MAX(1.5,CC63))*(_xlpm.t_&gt;=N(DT63)),0),_xlpm.r_,_xlfn._xlws.FILTER(_xlpm.sz,_xlpm.ok,""),INDEX(_xlpm.r_,1)))</f>
        <v>1.5</v>
      </c>
      <c r="EP63" s="6" cm="1">
        <f t="array" ref="EP63">IFERROR(ROUNDUP(N(EJ63)*(_xlfn.XLOOKUP(EO63,INDEX(Кабель_сопротивление,0,1),INDEX(Кабель_сопротивление,0,3))*N(P63)/EO63*N(CE63)+_xlfn.XLOOKUP(EO63,INDEX(Кабель_сопротивление,0,1),INDEX(Кабель_сопротивление,0,2))*N(P63)*N(EK63)/1000)*N(O63)/((Uн_лин/SQRT(3))*1000)*100,2),"")</f>
        <v>1.31</v>
      </c>
      <c r="EQ63">
        <f>IFERROR(2*ρкз_Cu*N(P63)/EO63,"")</f>
        <v>0.80653333333333332</v>
      </c>
      <c r="ER63">
        <f>IFERROR(VLOOKUP(EN63,Кабель_сопротивление,3,FALSE),"")</f>
        <v>2.2499999999999999E-2</v>
      </c>
      <c r="ES63">
        <f>IFERROR(VLOOKUP(EN63,Кабель_сопротивление,2,FALSE),"")</f>
        <v>0.11</v>
      </c>
      <c r="ET63">
        <f t="shared" si="54"/>
        <v>23</v>
      </c>
      <c r="EU63">
        <f t="shared" si="55"/>
        <v>0</v>
      </c>
      <c r="EV63">
        <f t="shared" si="56"/>
        <v>3.0042204750931223</v>
      </c>
      <c r="EW63" s="6">
        <f>IFERROR(ROUNDUP(EV63/IF(BV63=1,BU63,(Uн_лин/SQRT(3))*1000)*100,2),"")</f>
        <v>1.31</v>
      </c>
      <c r="EX63" t="str">
        <f>IFERROR(VLOOKUP(BZ63,Кабель_обозначение,2,FALSE),"")</f>
        <v>ВВГнг(А)-LS</v>
      </c>
      <c r="EY63" t="str">
        <f t="shared" si="57"/>
        <v>ВВГнг(А)-LS (3х1,5)</v>
      </c>
      <c r="EZ63" t="str">
        <f t="shared" si="58"/>
        <v>ВВГнг(А)-LS (3х1,5)
L=23-1,31%</v>
      </c>
      <c r="FA63">
        <f>IFERROR(2*ρкз_Cu*P63/EN63,"")</f>
        <v>0.80653333333333332</v>
      </c>
      <c r="FB63">
        <f t="shared" si="59"/>
        <v>0.26833333333333337</v>
      </c>
      <c r="FC63" s="6" t="str">
        <f>IFERROR(IF(OR(B63="",BV63=1,NOT(ISNUMBER(EN63)),N(P63)=0),"",_xlfn.XLOOKUP(A63,Щиты[Щит],Щиты[Zпетли на шинах, Ом])+FA63),"")</f>
        <v/>
      </c>
      <c r="FD63" s="6" t="str">
        <f>IF(ISNUMBER(FC63),c_min*(Uн_лин*1000/SQRT(3))/FC63,"")</f>
        <v/>
      </c>
      <c r="FE63" s="6" t="str">
        <f>IFERROR(IF(OR(B63="",NOT(ISNUMBER(EN63))),"",1.05*(Uн_лин*1000/SQRT(3))/(_xlfn.XLOOKUP(A63,Щиты[Щит],Щиты[Zmax на шинах, Ом])+FB63)/1000),"")</f>
        <v/>
      </c>
      <c r="FF63" s="6" t="str">
        <f>IF(B63="","",IF(ISNUMBER(AC63),"Сил",IF(IFERROR(_xlfn.XLOOKUP(BC63,Коды_код,Коды_группа)&amp;"","")="","Быт",_xlfn.XLOOKUP(BC63,Коды_код,Коды_группа)&amp;"")))</f>
        <v>Сил</v>
      </c>
      <c r="FG63" s="6" t="str">
        <f t="shared" si="60"/>
        <v>Сил</v>
      </c>
      <c r="FH63" s="6">
        <f>IF(FG63="Щит","щит",IF(FG63="","",IF(FG63="Быт",IFERROR(_xlfn.XLOOKUP(A63,Щиты[Щит],Щиты[Кс быт]),1),IF(FG63="Сил",IF(ISNUMBER(AC63),AC63,IF(Методика="нормы 2026",IFERROR(_xlfn.XLOOKUP(A63,Щиты[Щит],Щиты[Кс силовых (табл. 7.5)]),1),1)),IF(OR(FG63="Пост",FG63="Отоп"),1,IF(FG63="ВНГ",0.7,0))))))</f>
        <v>0.5</v>
      </c>
      <c r="FI63">
        <f>IF(FG63="","",IF(AND(BP63=1,TRIM(AE63&amp;"")=""),IF(COUNTIFS(Линии[Щит],A63,Линии[Секция (1/2/3)],"&gt;=2")&gt;0,MIN(3,MAX(1,IFERROR(--BD63,1))),1),IFERROR(MIN(3,MAX(1,INT(--AE63))),1)))</f>
        <v>1</v>
      </c>
      <c r="FJ63">
        <f t="shared" si="61"/>
        <v>1</v>
      </c>
      <c r="FK63">
        <f t="shared" si="62"/>
        <v>0</v>
      </c>
      <c r="FL63">
        <f t="shared" si="63"/>
        <v>0.5</v>
      </c>
      <c r="FM63">
        <f t="shared" si="64"/>
        <v>0</v>
      </c>
      <c r="FN63">
        <f t="shared" si="65"/>
        <v>0</v>
      </c>
      <c r="FO63">
        <f t="shared" si="66"/>
        <v>0</v>
      </c>
      <c r="FP63">
        <f t="shared" si="67"/>
        <v>1</v>
      </c>
      <c r="FQ63">
        <f t="shared" si="68"/>
        <v>1</v>
      </c>
      <c r="FR63">
        <f t="shared" si="69"/>
        <v>0.8</v>
      </c>
      <c r="FS63">
        <f>IF(CG63=1,IF(AND(CH63=1,CW63=1),0,IF(AND(CS63&lt;&gt;"",CS63=BA63,CW63=1),SUMIFS(Линии[_Р линии, кВт],Линии[_блок УЗО],BA63,Линии[Щит],A63),N(BS63)+IF(AJ63="вручную",0,N(CK63)))),0)</f>
        <v>1</v>
      </c>
      <c r="FT63" t="str">
        <f t="shared" si="70"/>
        <v/>
      </c>
      <c r="FU63" t="str">
        <f>IF(B63="","",IF(CG63=0,IF(BA63=1,"",FW62),IF(AND(CH63=1,CW63=1,CS63&lt;&gt;""),IFERROR(_xlfn.XLOOKUP(CS63,Линии[_n],Линии[_фаза итог]),"L1"),IF(OR(N(DL63)&gt;=3,N(BX63)&gt;=3),"L1,L2,L3",IFERROR(_xlfn.TEXTBEFORE(_xlfn.TEXTAFTER(_xlfn.XLOOKUP(A63,Щиты[Щит],Щиты[_фазы авто]),";"&amp;BA63&amp;":"),";"),"L1")))))</f>
        <v>L3</v>
      </c>
      <c r="FV63" t="str">
        <f t="shared" si="71"/>
        <v>L3</v>
      </c>
      <c r="FW63" t="str">
        <f t="shared" si="72"/>
        <v>L3</v>
      </c>
      <c r="FX63" cm="1">
        <f t="array" ref="FX63">IFERROR(IF(CD63=2,_xlfn.IFS(BX63=3,VLOOKUP(BS63,Справочная_двигатели,3,FALSE),BX63=1,VLOOKUP(BS63,Справочная_двигатели,5,TRUE)),0),0)</f>
        <v>0</v>
      </c>
      <c r="FY63">
        <f>IFERROR(IF(CD63=3,VLOOKUP(BS63,Справочная_ЛЭД,2,TRUE),0),0)</f>
        <v>0</v>
      </c>
      <c r="FZ63" s="6">
        <f t="shared" si="73"/>
        <v>0</v>
      </c>
      <c r="GA63" t="str">
        <f>IF(B63="","",IF(TRIM(AH63&amp;"")&lt;&gt;"",IF(LOWER(TRIM(AH63&amp;""))="да","да","нет"),IF(IFERROR(_xlfn.XLOOKUP(BC63,Коды_код,Коды_пожарная),"")="да","да","нет")))</f>
        <v>нет</v>
      </c>
      <c r="GB63" t="str">
        <f t="shared" si="74"/>
        <v/>
      </c>
      <c r="GC63" t="str">
        <f t="shared" si="75"/>
        <v>основная</v>
      </c>
      <c r="GD63">
        <f>IF(AND(BP63=1,TRIM(AE63&amp;"")=""),IF(COUNTIFS(Линии[Щит],A63,Линии[Секция (1/2/3)],"&gt;=2")&gt;0,MIN(3,MAX(1,IFERROR(--BD63,1))),1),IFERROR(MIN(3,MAX(1,INT(--AE63))),1))</f>
        <v>1</v>
      </c>
      <c r="GE63" t="str" cm="1">
        <f t="array" ref="GE63">IF(B63="","",_xlfn.LET(_xlpm.t,IFERROR(_xlfn.XLOOKUP(1,(Шины[Шина]=GC63)*(((Шины[Щит]=A63)+(Шины[Щит]=""))&gt;0),Шины[Тип]),"")&amp;"",IF(_xlpm.t&lt;&gt;"",_xlpm.t,IF(ISNUMBER(SEARCH("ИБП",GC63)),"ИБП",IF(ISNUMBER(SEARCH("ДГУ",GC63)),"ДГУ","Ввод "&amp;GD63)))))</f>
        <v>Ввод 1</v>
      </c>
      <c r="GF63" t="str">
        <f t="shared" si="76"/>
        <v>Ввод 1</v>
      </c>
      <c r="GG63" t="str">
        <f>IF(BP63=0,"",IF(TRIM(AG63&amp;"")&lt;&gt;"",TRIM(AG63&amp;""),IF(OR(GE63="ИБП",GE63="ДГУ"),"I особая",_xlfn.XLOOKUP(A63,Щиты[Щит],Щиты[Категория шины «Ввод»],"III"))))</f>
        <v/>
      </c>
      <c r="GH63" t="str">
        <f>IF(A63="","",_xlfn.XLOOKUP(A63,Щиты[Щит],Щиты[Путь],""))</f>
        <v>|ГРЩ-ЖД|ЩОВ-001|</v>
      </c>
      <c r="GI63" t="str">
        <f>IF(B63="","",IF(AI63&lt;&gt;"",AI63,IF(IFERROR(_xlfn.XLOOKUP(BC63,Коды_код,Коды_вид)&amp;"","")="","Прочее",_xlfn.XLOOKUP(BC63,Коды_код,Коды_вид)&amp;"")))</f>
        <v>Вентиляция</v>
      </c>
      <c r="GJ63">
        <f>IF(BM63="","",INT((BM63-1)/Столбцов_на_лист)+1)</f>
        <v>2</v>
      </c>
      <c r="GK63" t="str">
        <f t="shared" si="77"/>
        <v>ВВГнг(А)-LS (3х1,5) L=23-1,31%</v>
      </c>
      <c r="GL63">
        <f t="shared" si="78"/>
        <v>1</v>
      </c>
      <c r="GM63">
        <f t="shared" si="79"/>
        <v>5.42</v>
      </c>
      <c r="GN63">
        <f t="shared" si="80"/>
        <v>1</v>
      </c>
      <c r="GO63">
        <f t="shared" si="81"/>
        <v>0</v>
      </c>
      <c r="GP63">
        <f t="shared" si="82"/>
        <v>1</v>
      </c>
      <c r="GQ63">
        <f>IF(BM63="","",IF(AND(CG63=1,GP63=1),COUNTIFS(A$3:A63,A63,CG$3:CG63,1,GP$3:GP63,1),IF(OR(OR(BA63=1,A63&lt;&gt;A62),AJ63="вручную",GP63=0),"",IF(BA63=1,"",GR62))))</f>
        <v>10</v>
      </c>
      <c r="GR63">
        <f t="shared" si="83"/>
        <v>10</v>
      </c>
      <c r="GS63">
        <f>IF(B63="","",IFERROR(LOOKUP(INDEX(CHOOSE(EB63,Iдоп_1ж,Iдоп_2ж,Iдоп_3ж),MATCH(EN63,Iдоп_S,0))*DZ63*EA63,{6,10,16,20,25,32,40,50,63,80,100,125,160,200,250,315,400,500,630}),""))</f>
        <v>16</v>
      </c>
      <c r="GT63" t="str">
        <f t="shared" si="84"/>
        <v>QF10</v>
      </c>
      <c r="GU63" t="str">
        <f t="shared" si="85"/>
        <v>QF10</v>
      </c>
      <c r="GV63" t="str">
        <f t="shared" si="86"/>
        <v/>
      </c>
      <c r="GW63">
        <f t="shared" si="87"/>
        <v>0</v>
      </c>
      <c r="GX63" t="str">
        <f>IF(OR(B63="",DJ63=""),"",IFERROR(_xlfn.XLOOKUP(DJ63,Модули_умолч[Управление],Модули_умолч[Модель])&amp;"",""))</f>
        <v/>
      </c>
      <c r="GY63">
        <f>IF(DJ63="",1,IFERROR(MAX(0,N(_xlfn.XLOOKUP(DJ63,Модули_умолч[Управление],Модули_умолч[Каналов на линию]))),1))</f>
        <v>1</v>
      </c>
      <c r="GZ63" t="str">
        <f t="shared" si="88"/>
        <v/>
      </c>
      <c r="HA63" t="str">
        <f t="shared" si="89"/>
        <v/>
      </c>
      <c r="HB63" t="str">
        <f t="shared" si="90"/>
        <v/>
      </c>
      <c r="HC63">
        <f>IF(HB63="",0,IFERROR(N(VLOOKUP(HB63,Модули_спр,3,FALSE)),0))</f>
        <v>0</v>
      </c>
      <c r="HD63" t="str">
        <f t="shared" si="91"/>
        <v/>
      </c>
      <c r="HE63" t="str">
        <f t="shared" si="92"/>
        <v/>
      </c>
      <c r="HF63" t="str">
        <f>IF(OR(HE63="",HE63="-"),"",IFERROR(VLOOKUP(HE63,Модули_спр,2,FALSE),"R"))</f>
        <v/>
      </c>
      <c r="HG63" t="str">
        <f>IF(HF63="","",HF63&amp;"."&amp;COUNTIFS(A$3:A63,A63,HF$3:HF63,HF63))</f>
        <v/>
      </c>
      <c r="HH63" t="str">
        <f t="shared" si="93"/>
        <v/>
      </c>
      <c r="HI63" t="str">
        <f t="shared" si="94"/>
        <v/>
      </c>
      <c r="HJ63" t="str">
        <f t="shared" si="95"/>
        <v/>
      </c>
      <c r="HK63" t="str">
        <f t="shared" si="96"/>
        <v/>
      </c>
      <c r="HL63">
        <f t="shared" si="97"/>
        <v>1</v>
      </c>
      <c r="HM63" t="str">
        <f>IF(HL63=1,"XT"&amp;COUNTIFS(A$3:A63,A63,HL$3:HL63,1),"")</f>
        <v>XT10</v>
      </c>
      <c r="HN63" t="str">
        <f t="shared" si="98"/>
        <v/>
      </c>
      <c r="HO63" t="str">
        <f t="shared" si="99"/>
        <v>QF10</v>
      </c>
      <c r="HP63" t="str">
        <f t="shared" si="100"/>
        <v/>
      </c>
      <c r="HQ63" t="str">
        <f t="shared" si="101"/>
        <v>ok</v>
      </c>
      <c r="HR63" t="str">
        <f>IF(OR(HJ63="",HH63=""),"",IF(HJ63+MAX(0,GY63-1)&gt;IFERROR(VLOOKUP(HI63,Модули_спр,3,FALSE),99),"ЛИШНИЙ КАНАЛ",IF(AND(AL63&lt;&gt;"=",GY63&gt;0,COUNTIFS(Линии[_модуль гр.],HH63,Линии[Канал (итог)],HJ63,Линии[Канал],"&lt;&gt;=",Линии[Щит],A63)&gt;1),"ДУБЛЬ КАНАЛА","")))</f>
        <v/>
      </c>
      <c r="HS63" s="6" t="str">
        <f t="shared" si="102"/>
        <v/>
      </c>
      <c r="HT63">
        <f t="shared" si="103"/>
        <v>10</v>
      </c>
      <c r="HU63" t="str">
        <f t="shared" si="104"/>
        <v/>
      </c>
      <c r="HV63">
        <f t="shared" si="105"/>
        <v>2.3950635094610964</v>
      </c>
      <c r="HW63">
        <f t="shared" si="106"/>
        <v>0</v>
      </c>
      <c r="HX63">
        <f t="shared" si="107"/>
        <v>0</v>
      </c>
      <c r="HY63">
        <f t="shared" si="108"/>
        <v>0</v>
      </c>
      <c r="HZ63">
        <f t="shared" si="109"/>
        <v>0</v>
      </c>
      <c r="IA63">
        <f t="shared" si="110"/>
        <v>0</v>
      </c>
      <c r="IB63">
        <f t="shared" si="111"/>
        <v>0</v>
      </c>
      <c r="IC63" t="str">
        <f t="shared" si="112"/>
        <v/>
      </c>
      <c r="ID63" t="str" cm="1">
        <f t="array" ref="ID63">IF(IC63="","",_xlfn.LET(_xlpm.tk,_xlfn.TEXTSPLIT(SUBSTITUTE(SUBSTITUTE(IC63,";"," "),"→"," ")," ",,TRUE),_xlpm.w_,_xlfn._xlws.FILTER(_xlpm.tk,ISNUMBER(--LEFT(_xlpm.tk,1))*((ISNUMBER(SEARCH("W",_xlpm.tk))+ISNUMBER(SEARCH("Вт",_xlpm.tk)))&gt;0),""),IFERROR(--SUBSTITUTE(SUBSTITUTE(UPPER(INDEX(_xlpm.w_,1)),"W",""),"ВТ",""),"")))</f>
        <v/>
      </c>
      <c r="IE63" t="str" cm="1">
        <f t="array" ref="IE63">IF(IC63="","",_xlfn.LET(_xlpm.tk,_xlfn.TEXTSPLIT(SUBSTITUTE(SUBSTITUTE(IC63,";"," "),"→"," ")," ",,TRUE),_xlpm.v_,_xlfn._xlws.FILTER(_xlpm.tk,ISNUMBER(--LEFT(_xlpm.tk,1))*((ISNUMBER(SEARCH("V",_xlpm.tk))+(RIGHT(UPPER(_xlpm.tk))="В"))&gt;0),""),IFERROR(--SUBSTITUTE(SUBSTITUTE(UPPER(INDEX(_xlpm.v_,1)),"V",""),"В",""),"")))</f>
        <v/>
      </c>
      <c r="IF63" s="6" t="str">
        <f>IF(OR(BV63=0,HI63="",HJ63=""),"",IFERROR(N(_xlfn.XLOOKUP(HI63,Каталог!$C$4:$C$500,Каталог!$Q$4:$Q$500)),""))</f>
        <v/>
      </c>
      <c r="IG63" s="6" t="str">
        <f>IF(N(IF63)=0,"",SUMIFS(Линии[Iр, А],Линии[Щит],A63,Линии[_модуль гр.],HH63,Линии[Канал (итог)],HJ63))</f>
        <v/>
      </c>
      <c r="IH63" t="str">
        <f>IF(AND(B63="",HO63=""),"",_xlfn.TEXTJOIN("; ",TRUE,IF(AND(B63&lt;&gt;"",FV63=""),"нет фазы",""),IF(AND(B63&lt;&gt;"",N(GL63)=0,FG63&lt;&gt;"Нет"),"нет мощности",""),IF(AND(HN63&lt;&gt;"",COUNTIFS(Линии[Щит],A63,Линии[Клемма (итог)],HN63)&gt;1),"дубль клеммы "&amp;HN63,""),IF(AND(HQ63&lt;&gt;"",HQ63&lt;&gt;"ok"),HQ63,""),IF(HR63&lt;&gt;"",HR63,""),IF(AND(N(CB63)&gt;=4,N(BX63)=1),CB63&amp;" жил на 1 фазе",""),IF(AND(BC63="R",CG63=1,IF(CS63&lt;&gt;"",N(CV63)&gt;30,OR(N(DA63)=0,N(DA63)&gt;30))),"розетка без дифзащиты до 30 мА",""),IF(AND(CG63=1,N(DA63)&gt;0,ISNUMBER(T63)),IF(T63&gt;N(DA63)/3,"ток утечки "&amp;FIXED(T63,1)&amp;" мА &gt; 1/3 уставки ("&amp;DA63&amp;" мА)",""),""),IF(AND(CH63=1,CS63=""),"«узо»: нет строки с УЗО выше (УЗО 2P 40А 30мА в «Аппаратах»)",""),IF(AND(CS63&lt;&gt;"",CS63=BA63),IF(CT63="","впишите номинал УЗО (УЗО 2P 40А 30мА)",IF(N(CT63)&lt;N(DT63),"УЗО "&amp;CT63&amp;" А &lt; автомата "&amp;DT63&amp;" А перед ним",IF(N(CT63)&lt;N(CX63),"УЗО "&amp;CT63&amp;" А &lt; тока блока "&amp;FIXED(CX63,1)&amp;" А",""))),""),IF(AND(CS63&lt;&gt;"",CS63=BA63,ISNUMBER(CY63)),IF(CY63&gt;N(CV63)/3,"ток утечки блока УЗО "&amp;FIXED(CY63,1)&amp;" мА &gt; 1/3 уставки ("&amp;CV63&amp;" мА)",""),""),IF(AND(CG63=1,N(BV63)+N(IB63)&gt;0,IC63=""),"линии до 50 В без БП: впишите в «Аппараты» (БП 24V 480W)",""),IF(AND(CG63=1,ISNUMBER(ID63),ISNUMBER(U63)),IF(U63&gt;ID63,"БП "&amp;ID63&amp;" Вт &lt; нужно "&amp;U63&amp;" Вт (×"&amp;Запас_БП&amp;")",""),""),IF(AND(CG63=1,ISNUMBER(IE63),N(BV63)=1),IF(IE63&lt;&gt;N(BU63),"БП на "&amp;IE63&amp;" В, линия "&amp;BU63&amp;" В",""),""),IF(AND(N(IF63)&gt;0,N(IG63)&gt;N(IF63)),HH63&amp;" канал "&amp;HJ63&amp;": "&amp;FIXED(IG63,1)&amp;" А &gt; "&amp;IF63&amp;" А",""),IFERROR(IF(AND(ISNUMBER(Q63),Q63&gt;EL63),"потери "&amp;FIXED(Q63,1)&amp;" % &gt; "&amp;EL63&amp;" %",""),""),IFERROR(IF(LEFT(HU63,4)="мало","Iкз мало — отключение &gt; 0,4 с",""),""),IF(AND(B63&lt;&gt;"",BM63=""),"не на схеме",""),IF(AND(CG63=0,B63&lt;&gt;"",FV63&lt;&gt;"",IF(BA63=1,"",FW62)&lt;&gt;"",FV63&lt;&gt;IF(BA63=1,"",FW62)),"фаза не как у автомата группы ("&amp;IF(BA63=1,"",FW62)&amp;")","")))</f>
        <v/>
      </c>
      <c r="II63" s="6">
        <f>IF(OR(CG63=0,DQ63=""),"",_xlfn.LET(_xlpm.t,IFERROR(_xlfn.XLOOKUP(DQ63,Каталог!$U$4:$U$500,Каталог!$G$4:$G$500),""),_xlpm.k,SEARCH("кА",_xlpm.t),IFERROR(--TRIM(RIGHT(SUBSTITUTE(MID(_xlpm.t,MAX(1,_xlpm.k-4),_xlpm.k-MAX(1,_xlpm.k-4))," ",REPT(" ",9)),5)),"")))</f>
        <v>6</v>
      </c>
      <c r="IJ63" t="str">
        <f>IF(OR(II63="",CG63=0),"",IF(_xlfn.XLOOKUP(A63,Щиты[Щит],Щиты[Iкз max на шинах, кА],"")="","",IF(II63&lt;_xlfn.XLOOKUP(A63,Щиты[Щит],Щиты[Iкз max на шинах, кА]),"Icu "&amp;II63&amp;" кА &lt; Iкз max","ok")))</f>
        <v/>
      </c>
      <c r="IK63" t="str">
        <f t="shared" si="113"/>
        <v/>
      </c>
      <c r="IL63" t="str">
        <f t="shared" si="114"/>
        <v>QF10</v>
      </c>
      <c r="IM63" t="str">
        <f t="shared" si="115"/>
        <v>QF10|кабель ВВГнг(А)-LS (3х1,5) → Приточная установка Пом №006Т</v>
      </c>
      <c r="IN63" t="str" cm="1">
        <f t="array" ref="IN63">IF(IM63="","",_xlfn.LET(_xlpm.nd,_xlfn.TEXTSPLIT(IM63,"|"),IF(COLUMNS(_xlpm.nd)&gt;1,A63&amp;"¦"&amp;INDEX(_xlpm.nd,1)&amp;"¦"&amp;INDEX(_xlpm.nd,2),"")))</f>
        <v>ЩОВ-001¦QF10¦кабель ВВГнг(А)-LS (3х1,5) → Приточная установка Пом №006Т</v>
      </c>
      <c r="IO63" t="str">
        <f t="shared" si="116"/>
        <v>П.4¦Приточная установка Пом №006Т</v>
      </c>
      <c r="IP63" t="str" cm="1">
        <f t="array" ref="IP63">IF(IM63="","",_xlfn.LET(_xlpm.nd,_xlfn.TEXTSPLIT(IM63,"|"),IF(COLUMNS(_xlpm.nd)&gt;2,A63&amp;"¦"&amp;INDEX(_xlpm.nd,2)&amp;"¦"&amp;INDEX(_xlpm.nd,3),"")))</f>
        <v/>
      </c>
      <c r="IQ63" t="str">
        <f t="shared" si="117"/>
        <v/>
      </c>
      <c r="IR63" t="str" cm="1">
        <f t="array" ref="IR63">IF(IM63="","",_xlfn.LET(_xlpm.nd,_xlfn.TEXTSPLIT(IM63,"|"),IF(COLUMNS(_xlpm.nd)&gt;3,A63&amp;"¦"&amp;INDEX(_xlpm.nd,3)&amp;"¦"&amp;INDEX(_xlpm.nd,4),"")))</f>
        <v/>
      </c>
      <c r="IS63" t="str">
        <f t="shared" si="118"/>
        <v/>
      </c>
      <c r="IT63" t="str" cm="1">
        <f t="array" ref="IT63">IF(IM63="","",_xlfn.LET(_xlpm.nd,_xlfn.TEXTSPLIT(IM63,"|"),IF(COLUMNS(_xlpm.nd)&gt;4,A63&amp;"¦"&amp;INDEX(_xlpm.nd,4)&amp;"¦"&amp;INDEX(_xlpm.nd,5),"")))</f>
        <v/>
      </c>
      <c r="IU63" t="str">
        <f t="shared" si="119"/>
        <v/>
      </c>
      <c r="IV63" t="str" cm="1">
        <f t="array" ref="IV63">IF(IM63="","",_xlfn.LET(_xlpm.nd,_xlfn.TEXTSPLIT(IM63,"|"),IF(COLUMNS(_xlpm.nd)&gt;5,A63&amp;"¦"&amp;INDEX(_xlpm.nd,5)&amp;"¦"&amp;INDEX(_xlpm.nd,6),"")))</f>
        <v/>
      </c>
      <c r="IW63" t="str">
        <f t="shared" si="120"/>
        <v/>
      </c>
      <c r="IX63" t="str" cm="1">
        <f t="array" ref="IX63">IF(IM63="","",_xlfn.LET(_xlpm.nd,_xlfn.TEXTSPLIT(IM63,"|"),IF(COLUMNS(_xlpm.nd)&gt;6,A63&amp;"¦"&amp;INDEX(_xlpm.nd,6)&amp;"¦"&amp;INDEX(_xlpm.nd,7),"")))</f>
        <v/>
      </c>
      <c r="IY63" t="str">
        <f t="shared" si="121"/>
        <v/>
      </c>
      <c r="IZ63" t="str">
        <f t="shared" si="122"/>
        <v/>
      </c>
      <c r="JA63" t="str">
        <f t="shared" si="123"/>
        <v>QF10</v>
      </c>
      <c r="JB63">
        <f t="shared" si="124"/>
        <v>0</v>
      </c>
      <c r="JC63">
        <f t="shared" si="125"/>
        <v>0</v>
      </c>
      <c r="JD63" t="str">
        <f t="shared" si="126"/>
        <v/>
      </c>
      <c r="JE63" t="str">
        <f t="shared" si="127"/>
        <v/>
      </c>
      <c r="JF63" t="str">
        <f t="shared" si="128"/>
        <v/>
      </c>
      <c r="JG63" t="str">
        <f t="shared" si="129"/>
        <v/>
      </c>
      <c r="JH63" t="str">
        <f>IF(B63="","",IFERROR(_xlfn.XLOOKUP(B63,Коды_код,Коды_уго),IFERROR(_xlfn.XLOOKUP(BC63,Коды_код,Коды_уго),IFERROR(_xlfn.XLOOKUP(LEFT(BC63,2),Коды_код,Коды_уго),""))))</f>
        <v>Привод (двигатель)</v>
      </c>
      <c r="JI63" t="str">
        <f>IF(B63="","",IF(OR(JH63="",JH63=0),"BOX",IFERROR(IF(VLOOKUP(JH63,УГО_блоки,3,FALSE)&amp;""&lt;&gt;"",VLOOKUP(JH63,УГО_блоки,3,FALSE),VLOOKUP(JH63,УГО_блоки,2,FALSE)),JH63)))</f>
        <v>MOTOR</v>
      </c>
      <c r="JJ63">
        <f t="shared" si="130"/>
        <v>1</v>
      </c>
      <c r="JK63" t="str">
        <f>IF(DQ63="","",IF(COUNTIF(DQ$3:DQ63,DQ63)=1,MAX(JK$2:JK62)+1,""))</f>
        <v/>
      </c>
      <c r="JL63" t="str">
        <f>IF(DE63="","",IF(COUNTIF(DE$3:DE63,DE63)+COUNTIF(DF$2:DF62,DE63)+COUNTIF(DG$2:DG62,DE63)=1,MAX(JL$2:JN62)+1,""))</f>
        <v/>
      </c>
      <c r="JM63" t="str">
        <f>IF(DF63="","",IF(COUNTIF(DE$3:DE63,DF63)+COUNTIF(DF$3:DF63,DF63)+COUNTIF(DG$2:DG62,DF63)=1,MAX(JL$2:JN62,JL63)+1,""))</f>
        <v/>
      </c>
      <c r="JN63" t="str">
        <f>IF(DG63="","",IF(COUNTIF(DE$3:DE63,DG63)+COUNTIF(DF$3:DF63,DG63)+COUNTIF(DG$3:DG63,DG63)=1,MAX(JL$2:JN62,JL63,JM63)+1,""))</f>
        <v/>
      </c>
      <c r="JO63" t="str">
        <f t="shared" si="131"/>
        <v>3х1,5</v>
      </c>
      <c r="JP63" t="str">
        <f>IF(JO63="","",IF(COUNTIF(JO$3:JO63,JO63)=1,MAX(JP$2:JP62)+1,""))</f>
        <v/>
      </c>
      <c r="JQ63" t="str">
        <f>IF(HG63="","",COUNTIF(HG$3:HG63,"?*"))</f>
        <v/>
      </c>
      <c r="JR63" t="str">
        <f>IF(OR(HG63="",HI63=""),"",IF(COUNTIFS(HG$3:HG63,"?*",HI$3:HI63,HI63)=1,MAX(JR$2:JR62)+1,""))</f>
        <v/>
      </c>
      <c r="JS63">
        <f t="shared" si="132"/>
        <v>0</v>
      </c>
      <c r="JT63">
        <f>IF(B63="","",COUNTIF(B$3:B63,"?*"))</f>
        <v>61</v>
      </c>
      <c r="JU63">
        <f>IF(HL63&lt;&gt;1,0,_xlfn.LET(_xlpm.k,MAX(IFERROR(--_xlfn.XLOOKUP(B63,Коды_код,Коды_3L),0),IFERROR(--_xlfn.XLOOKUP(BC63,Коды_код,Коды_3L),0),IFERROR(--_xlfn.XLOOKUP(LEFT(BC63,2),Коды_код,Коды_3L),0)),IF(_xlpm.k&gt;0,_xlpm.k,IF(IFERROR(--LEFT(SUBSTITUTE(JO63,"x","х"),FIND("х",SUBSTITUTE(JO63,"x","х"))-1),3)&gt;3,Каталог!$S$9,1))))</f>
        <v>1</v>
      </c>
      <c r="JV63">
        <f t="shared" si="133"/>
        <v>0</v>
      </c>
      <c r="JW63" t="str">
        <f t="shared" si="134"/>
        <v>авто</v>
      </c>
      <c r="JX63" t="str">
        <f t="shared" si="135"/>
        <v/>
      </c>
      <c r="JY63">
        <f t="shared" si="136"/>
        <v>0</v>
      </c>
      <c r="JZ63">
        <f t="shared" si="137"/>
        <v>1</v>
      </c>
    </row>
    <row r="64" spans="1:286" x14ac:dyDescent="0.3">
      <c r="A64" t="s">
        <v>747</v>
      </c>
      <c r="B64" t="s">
        <v>1377</v>
      </c>
      <c r="C64" t="s">
        <v>1658</v>
      </c>
      <c r="D64">
        <v>1</v>
      </c>
      <c r="E64">
        <v>2.1</v>
      </c>
      <c r="G64">
        <v>16</v>
      </c>
      <c r="H64" t="str">
        <f>Линии[[#This Row],[_авто управление]]</f>
        <v/>
      </c>
      <c r="I64" t="str">
        <f>Линии[[#This Row],[_авто аппараты]]</f>
        <v/>
      </c>
      <c r="J64">
        <v>2.5</v>
      </c>
      <c r="K64">
        <v>23</v>
      </c>
      <c r="L64" t="str">
        <f>Линии[[#This Row],[_авто фаза]]</f>
        <v>L1</v>
      </c>
      <c r="M64" t="s">
        <v>484</v>
      </c>
      <c r="N64" t="str">
        <f t="shared" si="0"/>
        <v/>
      </c>
      <c r="O64" s="6" cm="1">
        <f t="array" ref="O64">IF(B64="","",IF(BH64&lt;&gt;"",IFERROR(_xlfn.XLOOKUP(BH64,Щиты[Щит],Щиты[Iр, А]),""),IF(BP64=1,IF(OR(N(_xlfn.XLOOKUP(A64,Щиты[Щит],Щиты[Вводов],1))&lt;=1,LOWER(TRIM(_xlfn.XLOOKUP(A64,Щиты[Щит],Щиты[АВР],"")&amp;""))="да"),IFERROR(_xlfn.XLOOKUP(A64,Щиты[Щит],Щиты[Iр, А]),""),IFERROR(N(BS64)*_xlfn.XLOOKUP(A64,Щиты[Щит],Щиты[Кс итог])/(SQRT(3)*Uн_лин*_xlfn.XLOOKUP(A64,Щиты[Щит],Щиты[cos φ])),"")),IF(BV64=1,IFERROR(BS64*1000/BU64,""),IFERROR(_xlfn.IFS(BX64=1,BS64/((Uн_лин/SQRT(3))*CE64),BX64=3,BS64/(SQRT(3)*Uн_лин*CE64)),"")))))</f>
        <v>11.366583424670756</v>
      </c>
      <c r="P64" s="7">
        <f>IF(B64="","",IFERROR(IF(VLOOKUP(BC64,Потребители_обозначение,4,FALSE)=1,VLOOKUP(BC64,Потребители_обозначение,3,FALSE)*(MAX(1,N(D64))*2-1)+EI64+VLOOKUP(BE64,Этаж_обозначение,3,FALSE)+VLOOKUP(BE64,Этаж_обозначение,4,FALSE),VLOOKUP(BC64,Потребители_обозначение,3,FALSE)*(MAX(1,N(D64))*2-1)+EI64),EI64))</f>
        <v>27</v>
      </c>
      <c r="Q64" s="6">
        <f t="shared" si="1"/>
        <v>2.57</v>
      </c>
      <c r="R64" t="str">
        <f t="shared" si="2"/>
        <v>ВВГнг(А)-LS (3х2,5)</v>
      </c>
      <c r="S64" t="str">
        <f>IF(BM64="","",IF(BN64="вводной узел","узел ","")&amp;"л."&amp;(INT((BM64-1)/Столбцов_на_лист)+1)&amp;" / "&amp;(MOD(BM64-1,Столбцов_на_лист)+1))</f>
        <v>л.2 / 9</v>
      </c>
      <c r="T64" s="119">
        <f t="shared" si="3"/>
        <v>4.8</v>
      </c>
      <c r="U64" s="7" t="str">
        <f>IF(OR(CG64=0,N(BV64)+N(IB64)=0),"",ROUNDUP(Запас_БП*(N(HY64)+N(HZ64)),0))</f>
        <v/>
      </c>
      <c r="V64" s="119" t="str">
        <f t="shared" si="4"/>
        <v/>
      </c>
      <c r="W64" s="7" t="str">
        <f>IFERROR(IF(OR(B64="",BP64=1,BV64=1,NOT(ISNUMBER(EN64)),N(DT64)=0),"",MAX(0,ROUNDDOWN((c_min*(Uн_лин*1000/SQRT(3))/(HT64*N(DT64))-_xlfn.XLOOKUP(A64,Щиты[Щит],Щиты[Zпетли на шинах, Ом]))*EN64/(2*ρкз_Cu),0))),"")</f>
        <v/>
      </c>
      <c r="Y64" t="str">
        <f>Линии[[#This Row],[_авто утечка]]</f>
        <v/>
      </c>
      <c r="Z64">
        <v>1</v>
      </c>
      <c r="AA64">
        <v>230</v>
      </c>
      <c r="AB64" t="s">
        <v>598</v>
      </c>
      <c r="AC64">
        <v>0.5</v>
      </c>
      <c r="AG64" t="s">
        <v>810</v>
      </c>
      <c r="AI64" t="s">
        <v>580</v>
      </c>
      <c r="AK64" t="str">
        <f>Линии[[#This Row],[_авто модуль]]</f>
        <v/>
      </c>
      <c r="AM64">
        <v>26</v>
      </c>
      <c r="AN64" t="s">
        <v>11</v>
      </c>
      <c r="AO64">
        <v>3</v>
      </c>
      <c r="AR64">
        <v>27</v>
      </c>
      <c r="AT64">
        <v>1</v>
      </c>
      <c r="BA64" cm="1">
        <f t="array" ref="BA64">ROW()-ROW(Линии[#Headers])</f>
        <v>62</v>
      </c>
      <c r="BC64" s="6" t="str">
        <f t="shared" si="5"/>
        <v>ПВ</v>
      </c>
      <c r="BD64" t="str">
        <f t="shared" si="6"/>
        <v>2</v>
      </c>
      <c r="BE64" t="str">
        <f t="shared" si="7"/>
        <v>2</v>
      </c>
      <c r="BF64" t="str">
        <f t="shared" si="8"/>
        <v/>
      </c>
      <c r="BG64" t="str">
        <f t="shared" si="9"/>
        <v/>
      </c>
      <c r="BH64" t="str">
        <f>IF(X64&lt;&gt;"",X64,IF(AND(B64&lt;&gt;"",B64&lt;&gt;A64,ISNUMBER(_xlfn.XMATCH(B64,Щиты[Щит]))),B64,""))</f>
        <v/>
      </c>
      <c r="BI64" t="str" cm="1">
        <f t="array" ref="BI64">IF(B64="","",IF(BH64&lt;&gt;"","Щит "&amp;BH64,_xlfn.LET(_xlpm.nm,IFERROR(_xlfn.XLOOKUP(BC64,Коды_код,Коды_имя)&amp;"",""),_xlpm.md,IFERROR(N(_xlfn.XLOOKUP(BC64,Коды_код,Коды_режим)),1),_xlpm.ex,IF(Имя_режим="по экспликации",IFERROR(_xlfn.XLOOKUP(BE64&amp;"|"&amp;BG64,Экспликация[Этаж]&amp;"|"&amp;Экспликация[Помещение],Экспликация[Название])&amp;"",""),""),_xlpm.rm,IF(BG64="","",IF(_xlpm.ex&lt;&gt;"",". "&amp;_xlpm.ex&amp;IF(Имя_пом="нет"," ("&amp;BG64&amp;")"," (пом. "&amp;BG64&amp;")"),IF(Имя_пом="нет"," ",", пом. ")&amp;BG64)),IF(_xlpm.nm="","",IF(_xlpm.md=2,_xlpm.nm&amp;" шлейф "&amp;BE64,_xlpm.nm&amp;_xlpm.rm)))))</f>
        <v>Приточно-вытяжная установка шлейф 2</v>
      </c>
      <c r="BJ64" t="str">
        <f t="shared" si="10"/>
        <v>Приточно-вытяжная установка Подвальный этаж Пом. №006Т</v>
      </c>
      <c r="BK64">
        <f>IFERROR(_xlfn.XMATCH(A64,Щиты[Щит]),0)</f>
        <v>4</v>
      </c>
      <c r="BL64">
        <f>_xlfn.LET(_xlpm.k,IFERROR(_xlfn.XLOOKUP(A64,Щиты[Щит],Щиты[Мест под вводной узел]),""),IF(_xlpm.k="",Столбцов_на_лист,N(_xlpm.k)))</f>
        <v>13</v>
      </c>
      <c r="BM64">
        <f t="shared" si="11"/>
        <v>26</v>
      </c>
      <c r="BN64" t="str">
        <f t="shared" si="12"/>
        <v>линии</v>
      </c>
      <c r="BO64" s="6">
        <f>IFERROR(N(_xlfn.XLOOKUP(BC64,Коды_код,Коды_квт)),0)</f>
        <v>0</v>
      </c>
      <c r="BP64">
        <f t="shared" si="13"/>
        <v>0</v>
      </c>
      <c r="BQ64" t="str">
        <f>IF(B64="","",IF(BH64&lt;&gt;"",IFERROR(_xlfn.XLOOKUP(BH64,Щиты[Щит],Щиты[Руст, кВт]),0),IF(BP64=1,IF(OR(N(_xlfn.XLOOKUP(A64,Щиты[Щит],Щиты[Вводов],1))&lt;=1,LOWER(TRIM(_xlfn.XLOOKUP(A64,Щиты[Щит],Щиты[АВР],"")&amp;""))="да"),IFERROR(_xlfn.XLOOKUP(A64,Щиты[Щит],Щиты[Руст, кВт]),0),SUMIFS(Линии[_Р для вводов],Линии[Щит],A64,Линии[Источник для режимов],GF64)),IF(BO64&gt;0,ROUND(BO64*MAX(1,N(D64)),3),""))))</f>
        <v/>
      </c>
      <c r="BR64">
        <f t="shared" si="14"/>
        <v>2.1</v>
      </c>
      <c r="BS64" s="6">
        <f>IF(B64="","",IF(BH64&lt;&gt;"",IFERROR(_xlfn.XLOOKUP(BH64,Щиты[Щит],Щиты[Руст, кВт]),0),N(BR64)))</f>
        <v>2.1</v>
      </c>
      <c r="BT64" t="str">
        <f>IF(B64="","",IFERROR(IF(VLOOKUP(BC64,Потребители_обозначение,8,FALSE)=0,"",VLOOKUP(BC64,Потребители_обозначение,8,FALSE)),""))</f>
        <v/>
      </c>
      <c r="BU64">
        <f t="shared" si="15"/>
        <v>230</v>
      </c>
      <c r="BV64">
        <f t="shared" si="16"/>
        <v>0</v>
      </c>
      <c r="BW64">
        <f>IF(B64="","",IF(BH64&lt;&gt;"",3,IFERROR(IF(N(VLOOKUP(BC64,Потребители_обозначение,9,FALSE))=0,1,VLOOKUP(BC64,Потребители_обозначение,9,FALSE)),1)))</f>
        <v>1</v>
      </c>
      <c r="BX64">
        <f t="shared" si="17"/>
        <v>1</v>
      </c>
      <c r="BY64" t="str">
        <f>IF(B64="","",_xlfn.LET(_xlpm.bc,IFERROR(IF(VLOOKUP(BC64,Потребители_обозначение,6,FALSE)=0,"",VLOOKUP(BC64,Потребители_обозначение,6,FALSE)&amp;""),""),IF(AND(GA64="да",OR(_xlpm.bc="",_xlpm.bc="мс")),Марка_пож,IF(AND(_xlpm.bc="",BH64&lt;&gt;""),"мс",_xlpm.bc))))</f>
        <v/>
      </c>
      <c r="BZ64" t="str">
        <f t="shared" si="18"/>
        <v>мс</v>
      </c>
      <c r="CA64">
        <f>IF(B64="","",_xlfn.LET(_xlpm.cc,IFERROR(N(VLOOKUP(BC64,Потребители_обозначение,7,FALSE)),0),IF(_xlpm.cc&gt;0,_xlpm.cc,IF(BZ64="","",IF(BV64=1,2,IF(N(BX64)=3,5,3))))))</f>
        <v>3</v>
      </c>
      <c r="CB64">
        <f t="shared" si="19"/>
        <v>3</v>
      </c>
      <c r="CC64">
        <f>IFERROR(N(VLOOKUP(BC64,Потребители_обозначение,10,FALSE)),0)</f>
        <v>0</v>
      </c>
      <c r="CD64">
        <f>IFERROR(VLOOKUP(BC64,Потребители_обозначение,5,FALSE),0)</f>
        <v>1</v>
      </c>
      <c r="CE64" s="6" cm="1">
        <f t="array" ref="CE64">IF(B64="","",IF(BH64&lt;&gt;"",IFERROR(_xlfn.XLOOKUP(BH64,Щиты[Щит],Щиты[cos φ]),0.95),IF(BP64=1,IFERROR(_xlfn.XLOOKUP(A64,Щиты[Щит],Щиты[cos φ]),0.95),IF(ISNUMBER(AD64),AD64,IFERROR(IF(CD64=2,_xlfn.IFS(BX64=3,VLOOKUP(BS64,Справочная_двигатели,8,FALSE),BX64=1,VLOOKUP(BS64,Справочная_двигатели,10,TRUE)),IF(AND(Методика="нормы 2026",FG64="Сил"),0.8,0.95)),0.95)))))</f>
        <v>0.8</v>
      </c>
      <c r="CF64">
        <f t="shared" si="20"/>
        <v>0</v>
      </c>
      <c r="CG64">
        <f t="shared" si="21"/>
        <v>1</v>
      </c>
      <c r="CH64">
        <f t="shared" si="22"/>
        <v>0</v>
      </c>
      <c r="CI64">
        <f>IF(B64="","",IF(BV64=1,IFERROR(BS64/((Uн_лин/SQRT(3))*MAX(0.5,N(CE64))),0),N(O64)))</f>
        <v>11.366583424670756</v>
      </c>
      <c r="CJ64">
        <f t="shared" si="23"/>
        <v>0</v>
      </c>
      <c r="CK64">
        <f t="shared" si="24"/>
        <v>0</v>
      </c>
      <c r="CL64">
        <f t="shared" si="25"/>
        <v>0</v>
      </c>
      <c r="CM64">
        <f t="shared" si="26"/>
        <v>0</v>
      </c>
      <c r="CN64">
        <f t="shared" si="27"/>
        <v>0</v>
      </c>
      <c r="CO64">
        <f>IF(BC64="",0,_xlfn.LET(_xlpm.v,IFERROR(_xlfn.XLOOKUP(B64,Коды_код,Коды_мА),IFERROR(_xlfn.XLOOKUP(BC64,Коды_код,Коды_мА),IFERROR(_xlfn.XLOOKUP(LEFT(BC64,2),Коды_код,Коды_мА),""))),IF(_xlpm.v="да",30,IF(ISNUMBER(_xlpm.v),_xlpm.v,0))))</f>
        <v>0</v>
      </c>
      <c r="CP64" t="str">
        <f t="shared" si="28"/>
        <v/>
      </c>
      <c r="CQ64" t="str">
        <f>_xlfn.LET(_xlpm.k,IFERROR(_xlfn.XLOOKUP(BC64,Коды_код,Коды_утечка)&amp;"",""),IF(_xlpm.k="","дифавтомат",_xlpm.k))</f>
        <v>дифавтомат</v>
      </c>
      <c r="CR64" t="str" cm="1">
        <f t="array" ref="CR64">IF(CG64=0,"",_xlfn.LET(_xlpm.sg,TRIM(_xlfn.TEXTSPLIT(DD64&amp;"",";")),_xlpm.f_,_xlfn._xlws.FILTER(_xlpm.sg,LEFT(_xlpm.sg,3)="УЗО",""),IFERROR(INDEX(_xlpm.f_,1)&amp;"","")))</f>
        <v/>
      </c>
      <c r="CS64" t="str">
        <f t="shared" si="29"/>
        <v/>
      </c>
      <c r="CT64" s="6" t="str" cm="1">
        <f t="array" ref="CT64">IF(CR64="","",_xlfn.LET(_xlpm.tk,_xlfn.TEXTSPLIT(UPPER(CR64)," ",,TRUE),_xlpm.a_,_xlfn._xlws.FILTER(_xlpm.tk,ISNUMBER(--LEFT(_xlpm.tk,1))*((ISNUMBER(SEARCH("А",_xlpm.tk))+ISNUMBER(SEARCH("A",_xlpm.tk)))&gt;0)*NOT(ISNUMBER(SEARCH("МА",_xlpm.tk)))*NOT(ISNUMBER(SEARCH("MA",_xlpm.tk))),""),IFERROR(--SUBSTITUTE(SUBSTITUTE(INDEX(_xlpm.a_,1),"А",""),"A",""),"")))</f>
        <v/>
      </c>
      <c r="CU64" t="str" cm="1">
        <f t="array" ref="CU64">IF(CR64="","",_xlfn.LET(_xlpm.tk,_xlfn.TEXTSPLIT(UPPER(CR64)," ",,TRUE),_xlpm.a_,_xlfn._xlws.FILTER(_xlpm.tk,ISNUMBER(--LEFT(_xlpm.tk,1))*((ISNUMBER(SEARCH("МА",_xlpm.tk))+ISNUMBER(SEARCH("MA",_xlpm.tk)))&gt;0),""),IFERROR(--SUBSTITUTE(SUBSTITUTE(INDEX(_xlpm.a_,1),"МА",""),"MA",""),30)))</f>
        <v/>
      </c>
      <c r="CV64" t="str">
        <f>IF(CS64="","",IFERROR(_xlfn.XLOOKUP(CS64,Линии[_n],Линии[_УЗО, мА]),30))</f>
        <v/>
      </c>
      <c r="CW64">
        <f>IF(CS64="",0,IF(ISNUMBER(SEARCH("4P",IFERROR(_xlfn.XLOOKUP(CS64,Линии[_n],Линии[_УЗО строки])&amp;"",""))),0,1))</f>
        <v>0</v>
      </c>
      <c r="CX64" t="str">
        <f>IF(AND(CS64&lt;&gt;"",CS64=BA64),SUMIFS(Линии[_ток на 230 В],Линии[_блок УЗО],BA64,Линии[Щит],A64),"")</f>
        <v/>
      </c>
      <c r="CY64" t="str">
        <f>IF(AND(CS64&lt;&gt;"",CS64=BA64),SUMIFS(Линии[_ток утечки линии, мА],Линии[_блок УЗО],BA64,Линии[Щит],A64),"")</f>
        <v/>
      </c>
      <c r="CZ64">
        <f t="shared" si="30"/>
        <v>0</v>
      </c>
      <c r="DA64">
        <f t="shared" si="31"/>
        <v>0</v>
      </c>
      <c r="DB64">
        <f>IF(B64="",0,IFERROR(--_xlfn.XLOOKUP(B64,Коды_код,Коды_минавт),IFERROR(--_xlfn.XLOOKUP(BC64,Коды_код,Коды_минавт),IFERROR(--_xlfn.XLOOKUP(LEFT(BC64,2),Коды_код,Коды_минавт),0))))</f>
        <v>0</v>
      </c>
      <c r="DC64" t="str">
        <f>IF(B64="","",IFERROR(_xlfn.XLOOKUP(BC64,Коды_код,Коды_апп)&amp;"",""))</f>
        <v/>
      </c>
      <c r="DD64" t="str">
        <f t="shared" si="32"/>
        <v/>
      </c>
      <c r="DE64" t="str" cm="1">
        <f t="array" ref="DE64">IF(TRIM(DD64&amp;"")="","",IFERROR(TRIM(INDEX(_xlfn.TEXTSPLIT(DD64&amp;";;;",";"),1)),""))</f>
        <v/>
      </c>
      <c r="DF64" t="str" cm="1">
        <f t="array" ref="DF64">IF(TRIM(DD64&amp;"")="","",IFERROR(TRIM(INDEX(_xlfn.TEXTSPLIT(DD64&amp;";;;",";"),2)),""))</f>
        <v/>
      </c>
      <c r="DG64" t="str" cm="1">
        <f t="array" ref="DG64">IF(TRIM(DD64&amp;"")="","",IFERROR(TRIM(INDEX(_xlfn.TEXTSPLIT(DD64&amp;";;;",";"),3)),""))</f>
        <v/>
      </c>
      <c r="DH64">
        <f t="shared" si="33"/>
        <v>0</v>
      </c>
      <c r="DI64" t="str">
        <f>IF(B64="","",_xlfn.LET(_xlpm.t,LOWER(AZ64&amp;""),IF(ISNUMBER(SEARCH("dim",_xlpm.t)),"DIM",IF(ISNUMBER(SEARCH("dali",_xlpm.t)),"DALI",IF(OR(ISNUMBER(SEARCH("relay",_xlpm.t)),ISNUMBER(SEARCH("реле",_xlpm.t))),"Relay",IF(ISNUMBER(SEARCH("кнопк",_xlpm.t)),"",IFERROR(_xlfn.XLOOKUP(BC64,Коды_код,Коды_упр)&amp;"","")))))))</f>
        <v/>
      </c>
      <c r="DJ64" t="str">
        <f t="shared" si="34"/>
        <v/>
      </c>
      <c r="DK64">
        <f>IF(B64="","",_xlfn.LET(_xlpm.ig,IF(N(CX64)&gt;0,N(CX64),N(CI64)+IF(AJ64="вручную",0,N(CJ64))),_xlpm.n0,IFERROR(VLOOKUP(_xlpm.ig,Автомат_номиналы,2,TRUE),0),_xlpm.mn,MAX(DB64,IF(AJ64="вручную",0,N(CM64))),MAX(_xlpm.n0,_xlpm.mn,IF(DH64=1,Мин_автомат_БП,0))))</f>
        <v>16</v>
      </c>
      <c r="DL64">
        <f t="shared" si="35"/>
        <v>1</v>
      </c>
      <c r="DM64" t="str">
        <f t="shared" si="36"/>
        <v>1P</v>
      </c>
      <c r="DN64" t="str">
        <f>_xlfn.LET(_xlpm.cc,UPPER(TRIM(IFERROR(_xlfn.XLOOKUP(BC64,Коды_код,Коды_хар)&amp;"",""))),IF(OR(_xlpm.cc="B",_xlpm.cc="В"),"B",IF(_xlpm.cc="D","D","С")))</f>
        <v>С</v>
      </c>
      <c r="DO64" t="str">
        <f t="shared" si="37"/>
        <v>1P С16А</v>
      </c>
      <c r="DP64">
        <f t="shared" si="38"/>
        <v>16</v>
      </c>
      <c r="DQ64" t="str">
        <f t="shared" si="39"/>
        <v>1P С16А</v>
      </c>
      <c r="DR64" cm="1">
        <f t="array" ref="DR64">IF(DQ64="","",_xlfn.LET(_xlpm.t,SUBSTITUTE(SUBSTITUTE(SUBSTITUTE(UPPER(DQ64),"С","C"),"А","A"),"В","B"),_xlpm.tk,_xlfn.TEXTSPLIT(_xlpm.t," "),_xlpm.f,_xlfn._xlws.FILTER(_xlpm.tk,ISNUMBER(--MID(_xlpm.tk,2,1))*ISNUMBER(SEARCH(LEFT(_xlpm.tk,1)&amp;"#","B#C#D#"))*(LEN(_xlpm.tk)&gt;1),""),_xlpm.x,INDEX(_xlpm.f,1),IFERROR(--SUBSTITUTE(MID(_xlpm.x,2,9),"A",""),IFERROR(--SUBSTITUTE(INDEX(_xlfn._xlws.FILTER(_xlpm.tk,ISNUMBER(--SUBSTITUTE(_xlpm.tk,"A","")),""),1),"A",""),""))))</f>
        <v>16</v>
      </c>
      <c r="DS64" t="str">
        <f t="shared" si="40"/>
        <v>ok</v>
      </c>
      <c r="DT64">
        <f t="shared" si="41"/>
        <v>16</v>
      </c>
      <c r="DU64" t="str">
        <f t="shared" si="42"/>
        <v>1P С16А</v>
      </c>
      <c r="DV64">
        <f t="shared" si="43"/>
        <v>0</v>
      </c>
      <c r="DW64">
        <f t="shared" si="44"/>
        <v>0</v>
      </c>
      <c r="DX64">
        <f t="shared" si="45"/>
        <v>0</v>
      </c>
      <c r="DY64">
        <f t="shared" si="46"/>
        <v>11.366583424670756</v>
      </c>
      <c r="DZ64">
        <f t="shared" si="47"/>
        <v>1</v>
      </c>
      <c r="EA64">
        <f>IF(ISNUMBER(AP64),AP64,К_прокл)</f>
        <v>1</v>
      </c>
      <c r="EB64">
        <f t="shared" si="48"/>
        <v>2</v>
      </c>
      <c r="EC64">
        <f>IFERROR(N(VLOOKUP(BZ64,Кабель_обозначение,3,FALSE)),1)</f>
        <v>1</v>
      </c>
      <c r="ED64">
        <f>IFERROR(N(_xlfn.XLOOKUP(A64,Щиты[Щит],Щиты[ΔU до шин, %])),0)</f>
        <v>0.64</v>
      </c>
      <c r="EE64" t="str">
        <f>IFERROR(_xlfn.XLOOKUP(A64,Щиты[Щит],Щиты[Zпетли на шинах, Ом]),"")</f>
        <v/>
      </c>
      <c r="EF64">
        <f>IFERROR(N(_xlfn.XLOOKUP(A64,Щиты[Щит],Щиты[ΔU до шин (подбор), %])),0)</f>
        <v>0.75</v>
      </c>
      <c r="EG64" t="str">
        <f>IFERROR(_xlfn.XLOOKUP(A64,Щиты[Щит],Щиты[Zпетли на шинах (подбор), Ом]),"")</f>
        <v/>
      </c>
      <c r="EH64" t="str">
        <f t="shared" si="49"/>
        <v/>
      </c>
      <c r="EI64">
        <f t="shared" si="50"/>
        <v>23</v>
      </c>
      <c r="EJ64">
        <f t="shared" si="51"/>
        <v>2</v>
      </c>
      <c r="EK64">
        <f t="shared" si="52"/>
        <v>0.6</v>
      </c>
      <c r="EL64" s="6">
        <f>IF(B64="","",IF(BV64=1,dU_LED,IF(IFERROR(_xlfn.XLOOKUP(BC64,Коды_код,Коды_уго),"")="Светильник",3,4)+IF(Методика="нормы 2026",MIN(0.5,MAX(0,N(P64)-100)*0.005),0)))</f>
        <v>4</v>
      </c>
      <c r="EM64" cm="1">
        <f t="array" ref="EM64">IF(OR(B64="",BZ64="",EC64&lt;&gt;1),"",_xlfn.LET(_xlpm.sz,Iдоп_S,_xlpm.t_,CHOOSE(EB64,Iдоп_1ж,Iдоп_2ж,Iдоп_3ж)*DZ64*EA64,_xlpm.dcx,BV64=1,_xlpm.inn,IF(_xlpm.dcx,N(O64),N(DT64)),_xlpm.smin,MAX(1.5,CC64),_xlpm.L_,N(P64)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64)/N(BU64)*100,999),IFERROR(N(EJ64)*(_xlpm.rho*_xlpm.L_/_xlpm.sz*N(CE64)+_xlpm.xx*_xlpm.L_*N(EK64)/1000)*N(O64)/((Uн_лин/SQRT(3))*1000)*100,999)),_xlpm.kz,IF(OR(_xlpm.dcx,DW64=1,NOT(ISNUMBER(EG64)),_xlpm.L_=0,_xlpm.inn=0),1,IFERROR(--(c_min*(Uн_лин*1000/SQRT(3))/(EG64+2*ρкз_Cu*_xlpm.L_/_xlpm.sz)&gt;=HT64*_xlpm.inn),0)),_xlpm.ok,IFERROR((_xlpm.sz&gt;=_xlpm.smin)*(_xlpm.t_&gt;=_xlpm.inn)*IF(_xlpm.L_&gt;0,(_xlpm.du_+IF(_xlpm.dcx,0,EF64)&lt;=EL64+0.00001),1)*_xlpm.kz,0),_xlpm.r_,_xlfn._xlws.FILTER(_xlpm.sz,_xlpm.ok,"не подобрано"),INDEX(_xlpm.r_,1)))</f>
        <v>1.5</v>
      </c>
      <c r="EN64">
        <f t="shared" si="53"/>
        <v>2.5</v>
      </c>
      <c r="EO64" cm="1">
        <f t="array" ref="EO64">IF(OR(B64="",BZ64="",EC64&lt;&gt;1),"",_xlfn.LET(_xlpm.sz,Iдоп_S,_xlpm.t_,CHOOSE(EB64,Iдоп_1ж,Iдоп_2ж,Iдоп_3ж)*DZ64*EA64,_xlpm.ok,IFERROR((_xlpm.sz&gt;=MAX(1.5,CC64))*(_xlpm.t_&gt;=N(DT64)),0),_xlpm.r_,_xlfn._xlws.FILTER(_xlpm.sz,_xlpm.ok,""),INDEX(_xlpm.r_,1)))</f>
        <v>1.5</v>
      </c>
      <c r="EP64" s="6" cm="1">
        <f t="array" ref="EP64">IFERROR(ROUNDUP(N(EJ64)*(_xlfn.XLOOKUP(EO64,INDEX(Кабель_сопротивление,0,1),INDEX(Кабель_сопротивление,0,3))*N(P64)/EO64*N(CE64)+_xlfn.XLOOKUP(EO64,INDEX(Кабель_сопротивление,0,1),INDEX(Кабель_сопротивление,0,2))*N(P64)*N(EK64)/1000)*N(O64)/((Uн_лин/SQRT(3))*1000)*100,2),"")</f>
        <v>3.21</v>
      </c>
      <c r="EQ64">
        <f>IFERROR(2*ρкз_Cu*N(P64)/EO64,"")</f>
        <v>0.94680000000000009</v>
      </c>
      <c r="ER64">
        <f>IFERROR(VLOOKUP(EN64,Кабель_сопротивление,3,FALSE),"")</f>
        <v>2.2499999999999999E-2</v>
      </c>
      <c r="ES64">
        <f>IFERROR(VLOOKUP(EN64,Кабель_сопротивление,2,FALSE),"")</f>
        <v>0.1</v>
      </c>
      <c r="ET64">
        <f t="shared" si="54"/>
        <v>27</v>
      </c>
      <c r="EU64">
        <f t="shared" si="55"/>
        <v>0</v>
      </c>
      <c r="EV64">
        <f t="shared" si="56"/>
        <v>4.4561553658079234</v>
      </c>
      <c r="EW64" s="6">
        <f>IFERROR(ROUNDUP(EV64/IF(BV64=1,BU64,(Uн_лин/SQRT(3))*1000)*100,2),"")</f>
        <v>1.93</v>
      </c>
      <c r="EX64" t="str">
        <f>IFERROR(VLOOKUP(BZ64,Кабель_обозначение,2,FALSE),"")</f>
        <v>ВВГнг(А)-LS</v>
      </c>
      <c r="EY64" t="str">
        <f t="shared" si="57"/>
        <v>ВВГнг(А)-LS (3х2,5)</v>
      </c>
      <c r="EZ64" t="str">
        <f t="shared" si="58"/>
        <v>ВВГнг(А)-LS (3х2,5)
L=27-1,93%</v>
      </c>
      <c r="FA64">
        <f>IFERROR(2*ρкз_Cu*P64/EN64,"")</f>
        <v>0.56808000000000003</v>
      </c>
      <c r="FB64">
        <f t="shared" si="59"/>
        <v>0.189</v>
      </c>
      <c r="FC64" s="6" t="str">
        <f>IFERROR(IF(OR(B64="",BV64=1,NOT(ISNUMBER(EN64)),N(P64)=0),"",_xlfn.XLOOKUP(A64,Щиты[Щит],Щиты[Zпетли на шинах, Ом])+FA64),"")</f>
        <v/>
      </c>
      <c r="FD64" s="6" t="str">
        <f>IF(ISNUMBER(FC64),c_min*(Uн_лин*1000/SQRT(3))/FC64,"")</f>
        <v/>
      </c>
      <c r="FE64" s="6" t="str">
        <f>IFERROR(IF(OR(B64="",NOT(ISNUMBER(EN64))),"",1.05*(Uн_лин*1000/SQRT(3))/(_xlfn.XLOOKUP(A64,Щиты[Щит],Щиты[Zmax на шинах, Ом])+FB64)/1000),"")</f>
        <v/>
      </c>
      <c r="FF64" s="6" t="str">
        <f>IF(B64="","",IF(ISNUMBER(AC64),"Сил",IF(IFERROR(_xlfn.XLOOKUP(BC64,Коды_код,Коды_группа)&amp;"","")="","Быт",_xlfn.XLOOKUP(BC64,Коды_код,Коды_группа)&amp;"")))</f>
        <v>Сил</v>
      </c>
      <c r="FG64" s="6" t="str">
        <f t="shared" si="60"/>
        <v>Сил</v>
      </c>
      <c r="FH64" s="6">
        <f>IF(FG64="Щит","щит",IF(FG64="","",IF(FG64="Быт",IFERROR(_xlfn.XLOOKUP(A64,Щиты[Щит],Щиты[Кс быт]),1),IF(FG64="Сил",IF(ISNUMBER(AC64),AC64,IF(Методика="нормы 2026",IFERROR(_xlfn.XLOOKUP(A64,Щиты[Щит],Щиты[Кс силовых (табл. 7.5)]),1),1)),IF(OR(FG64="Пост",FG64="Отоп"),1,IF(FG64="ВНГ",0.7,0))))))</f>
        <v>0.5</v>
      </c>
      <c r="FI64">
        <f>IF(FG64="","",IF(AND(BP64=1,TRIM(AE64&amp;"")=""),IF(COUNTIFS(Линии[Щит],A64,Линии[Секция (1/2/3)],"&gt;=2")&gt;0,MIN(3,MAX(1,IFERROR(--BD64,1))),1),IFERROR(MIN(3,MAX(1,INT(--AE64))),1)))</f>
        <v>1</v>
      </c>
      <c r="FJ64">
        <f t="shared" si="61"/>
        <v>2.1</v>
      </c>
      <c r="FK64">
        <f t="shared" si="62"/>
        <v>0</v>
      </c>
      <c r="FL64">
        <f t="shared" si="63"/>
        <v>1.05</v>
      </c>
      <c r="FM64">
        <f t="shared" si="64"/>
        <v>0</v>
      </c>
      <c r="FN64">
        <f t="shared" si="65"/>
        <v>0</v>
      </c>
      <c r="FO64">
        <f t="shared" si="66"/>
        <v>0</v>
      </c>
      <c r="FP64">
        <f t="shared" si="67"/>
        <v>2.1</v>
      </c>
      <c r="FQ64">
        <f t="shared" si="68"/>
        <v>2.1</v>
      </c>
      <c r="FR64">
        <f t="shared" si="69"/>
        <v>1.6800000000000002</v>
      </c>
      <c r="FS64">
        <f>IF(CG64=1,IF(AND(CH64=1,CW64=1),0,IF(AND(CS64&lt;&gt;"",CS64=BA64,CW64=1),SUMIFS(Линии[_Р линии, кВт],Линии[_блок УЗО],BA64,Линии[Щит],A64),N(BS64)+IF(AJ64="вручную",0,N(CK64)))),0)</f>
        <v>2.1</v>
      </c>
      <c r="FT64" t="str">
        <f t="shared" si="70"/>
        <v/>
      </c>
      <c r="FU64" t="str">
        <f>IF(B64="","",IF(CG64=0,IF(BA64=1,"",FW63),IF(AND(CH64=1,CW64=1,CS64&lt;&gt;""),IFERROR(_xlfn.XLOOKUP(CS64,Линии[_n],Линии[_фаза итог]),"L1"),IF(OR(N(DL64)&gt;=3,N(BX64)&gt;=3),"L1,L2,L3",IFERROR(_xlfn.TEXTBEFORE(_xlfn.TEXTAFTER(_xlfn.XLOOKUP(A64,Щиты[Щит],Щиты[_фазы авто]),";"&amp;BA64&amp;":"),";"),"L1")))))</f>
        <v>L1</v>
      </c>
      <c r="FV64" t="str">
        <f t="shared" si="71"/>
        <v>L1</v>
      </c>
      <c r="FW64" t="str">
        <f t="shared" si="72"/>
        <v>L1</v>
      </c>
      <c r="FX64" cm="1">
        <f t="array" ref="FX64">IFERROR(IF(CD64=2,_xlfn.IFS(BX64=3,VLOOKUP(BS64,Справочная_двигатели,3,FALSE),BX64=1,VLOOKUP(BS64,Справочная_двигатели,5,TRUE)),0),0)</f>
        <v>0</v>
      </c>
      <c r="FY64">
        <f>IFERROR(IF(CD64=3,VLOOKUP(BS64,Справочная_ЛЭД,2,TRUE),0),0)</f>
        <v>0</v>
      </c>
      <c r="FZ64" s="6">
        <f t="shared" si="73"/>
        <v>0</v>
      </c>
      <c r="GA64" t="str">
        <f>IF(B64="","",IF(TRIM(AH64&amp;"")&lt;&gt;"",IF(LOWER(TRIM(AH64&amp;""))="да","да","нет"),IF(IFERROR(_xlfn.XLOOKUP(BC64,Коды_код,Коды_пожарная),"")="да","да","нет")))</f>
        <v>нет</v>
      </c>
      <c r="GB64" t="str">
        <f t="shared" si="74"/>
        <v/>
      </c>
      <c r="GC64" t="str">
        <f t="shared" si="75"/>
        <v>основная</v>
      </c>
      <c r="GD64">
        <f>IF(AND(BP64=1,TRIM(AE64&amp;"")=""),IF(COUNTIFS(Линии[Щит],A64,Линии[Секция (1/2/3)],"&gt;=2")&gt;0,MIN(3,MAX(1,IFERROR(--BD64,1))),1),IFERROR(MIN(3,MAX(1,INT(--AE64))),1))</f>
        <v>1</v>
      </c>
      <c r="GE64" t="str" cm="1">
        <f t="array" ref="GE64">IF(B64="","",_xlfn.LET(_xlpm.t,IFERROR(_xlfn.XLOOKUP(1,(Шины[Шина]=GC64)*(((Шины[Щит]=A64)+(Шины[Щит]=""))&gt;0),Шины[Тип]),"")&amp;"",IF(_xlpm.t&lt;&gt;"",_xlpm.t,IF(ISNUMBER(SEARCH("ИБП",GC64)),"ИБП",IF(ISNUMBER(SEARCH("ДГУ",GC64)),"ДГУ","Ввод "&amp;GD64)))))</f>
        <v>Ввод 1</v>
      </c>
      <c r="GF64" t="str">
        <f t="shared" si="76"/>
        <v>Ввод 1</v>
      </c>
      <c r="GG64" t="str">
        <f>IF(BP64=0,"",IF(TRIM(AG64&amp;"")&lt;&gt;"",TRIM(AG64&amp;""),IF(OR(GE64="ИБП",GE64="ДГУ"),"I особая",_xlfn.XLOOKUP(A64,Щиты[Щит],Щиты[Категория шины «Ввод»],"III"))))</f>
        <v/>
      </c>
      <c r="GH64" t="str">
        <f>IF(A64="","",_xlfn.XLOOKUP(A64,Щиты[Щит],Щиты[Путь],""))</f>
        <v>|ГРЩ-ЖД|ЩОВ-001|</v>
      </c>
      <c r="GI64" t="str">
        <f>IF(B64="","",IF(AI64&lt;&gt;"",AI64,IF(IFERROR(_xlfn.XLOOKUP(BC64,Коды_код,Коды_вид)&amp;"","")="","Прочее",_xlfn.XLOOKUP(BC64,Коды_код,Коды_вид)&amp;"")))</f>
        <v>Вентиляция</v>
      </c>
      <c r="GJ64">
        <f>IF(BM64="","",INT((BM64-1)/Столбцов_на_лист)+1)</f>
        <v>2</v>
      </c>
      <c r="GK64" t="str">
        <f t="shared" si="77"/>
        <v>ВВГнг(А)-LS (3х2,5) L=27-1,93%</v>
      </c>
      <c r="GL64">
        <f t="shared" si="78"/>
        <v>2.1</v>
      </c>
      <c r="GM64">
        <f t="shared" si="79"/>
        <v>11.37</v>
      </c>
      <c r="GN64">
        <f t="shared" si="80"/>
        <v>1</v>
      </c>
      <c r="GO64">
        <f t="shared" si="81"/>
        <v>0</v>
      </c>
      <c r="GP64">
        <f t="shared" si="82"/>
        <v>1</v>
      </c>
      <c r="GQ64">
        <f>IF(BM64="","",IF(AND(CG64=1,GP64=1),COUNTIFS(A$3:A64,A64,CG$3:CG64,1,GP$3:GP64,1),IF(OR(OR(BA64=1,A64&lt;&gt;A63),AJ64="вручную",GP64=0),"",IF(BA64=1,"",GR63))))</f>
        <v>11</v>
      </c>
      <c r="GR64">
        <f t="shared" si="83"/>
        <v>11</v>
      </c>
      <c r="GS64">
        <f>IF(B64="","",IFERROR(LOOKUP(INDEX(CHOOSE(EB64,Iдоп_1ж,Iдоп_2ж,Iдоп_3ж),MATCH(EN64,Iдоп_S,0))*DZ64*EA64,{6,10,16,20,25,32,40,50,63,80,100,125,160,200,250,315,400,500,630}),""))</f>
        <v>25</v>
      </c>
      <c r="GT64" t="str">
        <f t="shared" si="84"/>
        <v>QF11</v>
      </c>
      <c r="GU64" t="str">
        <f t="shared" si="85"/>
        <v>QF11</v>
      </c>
      <c r="GV64" t="str">
        <f t="shared" si="86"/>
        <v/>
      </c>
      <c r="GW64">
        <f t="shared" si="87"/>
        <v>0</v>
      </c>
      <c r="GX64" t="str">
        <f>IF(OR(B64="",DJ64=""),"",IFERROR(_xlfn.XLOOKUP(DJ64,Модули_умолч[Управление],Модули_умолч[Модель])&amp;"",""))</f>
        <v/>
      </c>
      <c r="GY64">
        <f>IF(DJ64="",1,IFERROR(MAX(0,N(_xlfn.XLOOKUP(DJ64,Модули_умолч[Управление],Модули_умолч[Каналов на линию]))),1))</f>
        <v>1</v>
      </c>
      <c r="GZ64" t="str">
        <f t="shared" si="88"/>
        <v/>
      </c>
      <c r="HA64" t="str">
        <f t="shared" si="89"/>
        <v/>
      </c>
      <c r="HB64" t="str">
        <f t="shared" si="90"/>
        <v/>
      </c>
      <c r="HC64">
        <f>IF(HB64="",0,IFERROR(N(VLOOKUP(HB64,Модули_спр,3,FALSE)),0))</f>
        <v>0</v>
      </c>
      <c r="HD64" t="str">
        <f t="shared" si="91"/>
        <v/>
      </c>
      <c r="HE64" t="str">
        <f t="shared" si="92"/>
        <v/>
      </c>
      <c r="HF64" t="str">
        <f>IF(OR(HE64="",HE64="-"),"",IFERROR(VLOOKUP(HE64,Модули_спр,2,FALSE),"R"))</f>
        <v/>
      </c>
      <c r="HG64" t="str">
        <f>IF(HF64="","",HF64&amp;"."&amp;COUNTIFS(A$3:A64,A64,HF$3:HF64,HF64))</f>
        <v/>
      </c>
      <c r="HH64" t="str">
        <f t="shared" si="93"/>
        <v/>
      </c>
      <c r="HI64" t="str">
        <f t="shared" si="94"/>
        <v/>
      </c>
      <c r="HJ64" t="str">
        <f t="shared" si="95"/>
        <v/>
      </c>
      <c r="HK64" t="str">
        <f t="shared" si="96"/>
        <v/>
      </c>
      <c r="HL64">
        <f t="shared" si="97"/>
        <v>1</v>
      </c>
      <c r="HM64" t="str">
        <f>IF(HL64=1,"XT"&amp;COUNTIFS(A$3:A64,A64,HL$3:HL64,1),"")</f>
        <v>XT11</v>
      </c>
      <c r="HN64" t="str">
        <f t="shared" si="98"/>
        <v/>
      </c>
      <c r="HO64" t="str">
        <f t="shared" si="99"/>
        <v>QF11</v>
      </c>
      <c r="HP64" t="str">
        <f t="shared" si="100"/>
        <v/>
      </c>
      <c r="HQ64" t="str">
        <f t="shared" si="101"/>
        <v>ok</v>
      </c>
      <c r="HR64" t="str">
        <f>IF(OR(HJ64="",HH64=""),"",IF(HJ64+MAX(0,GY64-1)&gt;IFERROR(VLOOKUP(HI64,Модули_спр,3,FALSE),99),"ЛИШНИЙ КАНАЛ",IF(AND(AL64&lt;&gt;"=",GY64&gt;0,COUNTIFS(Линии[_модуль гр.],HH64,Линии[Канал (итог)],HJ64,Линии[Канал],"&lt;&gt;=",Линии[Щит],A64)&gt;1),"ДУБЛЬ КАНАЛА","")))</f>
        <v/>
      </c>
      <c r="HS64" s="6" t="str">
        <f t="shared" si="102"/>
        <v/>
      </c>
      <c r="HT64">
        <f t="shared" si="103"/>
        <v>10</v>
      </c>
      <c r="HU64" t="str">
        <f t="shared" si="104"/>
        <v/>
      </c>
      <c r="HV64">
        <f t="shared" si="105"/>
        <v>4.8166333698683026</v>
      </c>
      <c r="HW64">
        <f t="shared" si="106"/>
        <v>0</v>
      </c>
      <c r="HX64">
        <f t="shared" si="107"/>
        <v>0</v>
      </c>
      <c r="HY64">
        <f t="shared" si="108"/>
        <v>0</v>
      </c>
      <c r="HZ64">
        <f t="shared" si="109"/>
        <v>0</v>
      </c>
      <c r="IA64">
        <f t="shared" si="110"/>
        <v>0</v>
      </c>
      <c r="IB64">
        <f t="shared" si="111"/>
        <v>0</v>
      </c>
      <c r="IC64" t="str">
        <f t="shared" si="112"/>
        <v/>
      </c>
      <c r="ID64" t="str" cm="1">
        <f t="array" ref="ID64">IF(IC64="","",_xlfn.LET(_xlpm.tk,_xlfn.TEXTSPLIT(SUBSTITUTE(SUBSTITUTE(IC64,";"," "),"→"," ")," ",,TRUE),_xlpm.w_,_xlfn._xlws.FILTER(_xlpm.tk,ISNUMBER(--LEFT(_xlpm.tk,1))*((ISNUMBER(SEARCH("W",_xlpm.tk))+ISNUMBER(SEARCH("Вт",_xlpm.tk)))&gt;0),""),IFERROR(--SUBSTITUTE(SUBSTITUTE(UPPER(INDEX(_xlpm.w_,1)),"W",""),"ВТ",""),"")))</f>
        <v/>
      </c>
      <c r="IE64" t="str" cm="1">
        <f t="array" ref="IE64">IF(IC64="","",_xlfn.LET(_xlpm.tk,_xlfn.TEXTSPLIT(SUBSTITUTE(SUBSTITUTE(IC64,";"," "),"→"," ")," ",,TRUE),_xlpm.v_,_xlfn._xlws.FILTER(_xlpm.tk,ISNUMBER(--LEFT(_xlpm.tk,1))*((ISNUMBER(SEARCH("V",_xlpm.tk))+(RIGHT(UPPER(_xlpm.tk))="В"))&gt;0),""),IFERROR(--SUBSTITUTE(SUBSTITUTE(UPPER(INDEX(_xlpm.v_,1)),"V",""),"В",""),"")))</f>
        <v/>
      </c>
      <c r="IF64" s="6" t="str">
        <f>IF(OR(BV64=0,HI64="",HJ64=""),"",IFERROR(N(_xlfn.XLOOKUP(HI64,Каталог!$C$4:$C$500,Каталог!$Q$4:$Q$500)),""))</f>
        <v/>
      </c>
      <c r="IG64" s="6" t="str">
        <f>IF(N(IF64)=0,"",SUMIFS(Линии[Iр, А],Линии[Щит],A64,Линии[_модуль гр.],HH64,Линии[Канал (итог)],HJ64))</f>
        <v/>
      </c>
      <c r="IH64" t="str">
        <f>IF(AND(B64="",HO64=""),"",_xlfn.TEXTJOIN("; ",TRUE,IF(AND(B64&lt;&gt;"",FV64=""),"нет фазы",""),IF(AND(B64&lt;&gt;"",N(GL64)=0,FG64&lt;&gt;"Нет"),"нет мощности",""),IF(AND(HN64&lt;&gt;"",COUNTIFS(Линии[Щит],A64,Линии[Клемма (итог)],HN64)&gt;1),"дубль клеммы "&amp;HN64,""),IF(AND(HQ64&lt;&gt;"",HQ64&lt;&gt;"ok"),HQ64,""),IF(HR64&lt;&gt;"",HR64,""),IF(AND(N(CB64)&gt;=4,N(BX64)=1),CB64&amp;" жил на 1 фазе",""),IF(AND(BC64="R",CG64=1,IF(CS64&lt;&gt;"",N(CV64)&gt;30,OR(N(DA64)=0,N(DA64)&gt;30))),"розетка без дифзащиты до 30 мА",""),IF(AND(CG64=1,N(DA64)&gt;0,ISNUMBER(T64)),IF(T64&gt;N(DA64)/3,"ток утечки "&amp;FIXED(T64,1)&amp;" мА &gt; 1/3 уставки ("&amp;DA64&amp;" мА)",""),""),IF(AND(CH64=1,CS64=""),"«узо»: нет строки с УЗО выше (УЗО 2P 40А 30мА в «Аппаратах»)",""),IF(AND(CS64&lt;&gt;"",CS64=BA64),IF(CT64="","впишите номинал УЗО (УЗО 2P 40А 30мА)",IF(N(CT64)&lt;N(DT64),"УЗО "&amp;CT64&amp;" А &lt; автомата "&amp;DT64&amp;" А перед ним",IF(N(CT64)&lt;N(CX64),"УЗО "&amp;CT64&amp;" А &lt; тока блока "&amp;FIXED(CX64,1)&amp;" А",""))),""),IF(AND(CS64&lt;&gt;"",CS64=BA64,ISNUMBER(CY64)),IF(CY64&gt;N(CV64)/3,"ток утечки блока УЗО "&amp;FIXED(CY64,1)&amp;" мА &gt; 1/3 уставки ("&amp;CV64&amp;" мА)",""),""),IF(AND(CG64=1,N(BV64)+N(IB64)&gt;0,IC64=""),"линии до 50 В без БП: впишите в «Аппараты» (БП 24V 480W)",""),IF(AND(CG64=1,ISNUMBER(ID64),ISNUMBER(U64)),IF(U64&gt;ID64,"БП "&amp;ID64&amp;" Вт &lt; нужно "&amp;U64&amp;" Вт (×"&amp;Запас_БП&amp;")",""),""),IF(AND(CG64=1,ISNUMBER(IE64),N(BV64)=1),IF(IE64&lt;&gt;N(BU64),"БП на "&amp;IE64&amp;" В, линия "&amp;BU64&amp;" В",""),""),IF(AND(N(IF64)&gt;0,N(IG64)&gt;N(IF64)),HH64&amp;" канал "&amp;HJ64&amp;": "&amp;FIXED(IG64,1)&amp;" А &gt; "&amp;IF64&amp;" А",""),IFERROR(IF(AND(ISNUMBER(Q64),Q64&gt;EL64),"потери "&amp;FIXED(Q64,1)&amp;" % &gt; "&amp;EL64&amp;" %",""),""),IFERROR(IF(LEFT(HU64,4)="мало","Iкз мало — отключение &gt; 0,4 с",""),""),IF(AND(B64&lt;&gt;"",BM64=""),"не на схеме",""),IF(AND(CG64=0,B64&lt;&gt;"",FV64&lt;&gt;"",IF(BA64=1,"",FW63)&lt;&gt;"",FV64&lt;&gt;IF(BA64=1,"",FW63)),"фаза не как у автомата группы ("&amp;IF(BA64=1,"",FW63)&amp;")","")))</f>
        <v/>
      </c>
      <c r="II64" s="6">
        <f>IF(OR(CG64=0,DQ64=""),"",_xlfn.LET(_xlpm.t,IFERROR(_xlfn.XLOOKUP(DQ64,Каталог!$U$4:$U$500,Каталог!$G$4:$G$500),""),_xlpm.k,SEARCH("кА",_xlpm.t),IFERROR(--TRIM(RIGHT(SUBSTITUTE(MID(_xlpm.t,MAX(1,_xlpm.k-4),_xlpm.k-MAX(1,_xlpm.k-4))," ",REPT(" ",9)),5)),"")))</f>
        <v>6</v>
      </c>
      <c r="IJ64" t="str">
        <f>IF(OR(II64="",CG64=0),"",IF(_xlfn.XLOOKUP(A64,Щиты[Щит],Щиты[Iкз max на шинах, кА],"")="","",IF(II64&lt;_xlfn.XLOOKUP(A64,Щиты[Щит],Щиты[Iкз max на шинах, кА]),"Icu "&amp;II64&amp;" кА &lt; Iкз max","ok")))</f>
        <v/>
      </c>
      <c r="IK64" t="str">
        <f t="shared" si="113"/>
        <v/>
      </c>
      <c r="IL64" t="str">
        <f t="shared" si="114"/>
        <v>QF11</v>
      </c>
      <c r="IM64" t="str">
        <f t="shared" si="115"/>
        <v>QF11|кабель ВВГнг(А)-LS (3х2,5) → Приточно-вытяжная установка Подвальный этаж Пом. №006Т</v>
      </c>
      <c r="IN64" t="str" cm="1">
        <f t="array" ref="IN64">IF(IM64="","",_xlfn.LET(_xlpm.nd,_xlfn.TEXTSPLIT(IM64,"|"),IF(COLUMNS(_xlpm.nd)&gt;1,A64&amp;"¦"&amp;INDEX(_xlpm.nd,1)&amp;"¦"&amp;INDEX(_xlpm.nd,2),"")))</f>
        <v>ЩОВ-001¦QF11¦кабель ВВГнг(А)-LS (3х2,5) → Приточно-вытяжная установка Подвальный этаж Пом. №006Т</v>
      </c>
      <c r="IO64" t="str">
        <f t="shared" si="116"/>
        <v>ПВ.2¦Приточно-вытяжная установка Подвальный этаж Пом. №006Т</v>
      </c>
      <c r="IP64" t="str" cm="1">
        <f t="array" ref="IP64">IF(IM64="","",_xlfn.LET(_xlpm.nd,_xlfn.TEXTSPLIT(IM64,"|"),IF(COLUMNS(_xlpm.nd)&gt;2,A64&amp;"¦"&amp;INDEX(_xlpm.nd,2)&amp;"¦"&amp;INDEX(_xlpm.nd,3),"")))</f>
        <v/>
      </c>
      <c r="IQ64" t="str">
        <f t="shared" si="117"/>
        <v/>
      </c>
      <c r="IR64" t="str" cm="1">
        <f t="array" ref="IR64">IF(IM64="","",_xlfn.LET(_xlpm.nd,_xlfn.TEXTSPLIT(IM64,"|"),IF(COLUMNS(_xlpm.nd)&gt;3,A64&amp;"¦"&amp;INDEX(_xlpm.nd,3)&amp;"¦"&amp;INDEX(_xlpm.nd,4),"")))</f>
        <v/>
      </c>
      <c r="IS64" t="str">
        <f t="shared" si="118"/>
        <v/>
      </c>
      <c r="IT64" t="str" cm="1">
        <f t="array" ref="IT64">IF(IM64="","",_xlfn.LET(_xlpm.nd,_xlfn.TEXTSPLIT(IM64,"|"),IF(COLUMNS(_xlpm.nd)&gt;4,A64&amp;"¦"&amp;INDEX(_xlpm.nd,4)&amp;"¦"&amp;INDEX(_xlpm.nd,5),"")))</f>
        <v/>
      </c>
      <c r="IU64" t="str">
        <f t="shared" si="119"/>
        <v/>
      </c>
      <c r="IV64" t="str" cm="1">
        <f t="array" ref="IV64">IF(IM64="","",_xlfn.LET(_xlpm.nd,_xlfn.TEXTSPLIT(IM64,"|"),IF(COLUMNS(_xlpm.nd)&gt;5,A64&amp;"¦"&amp;INDEX(_xlpm.nd,5)&amp;"¦"&amp;INDEX(_xlpm.nd,6),"")))</f>
        <v/>
      </c>
      <c r="IW64" t="str">
        <f t="shared" si="120"/>
        <v/>
      </c>
      <c r="IX64" t="str" cm="1">
        <f t="array" ref="IX64">IF(IM64="","",_xlfn.LET(_xlpm.nd,_xlfn.TEXTSPLIT(IM64,"|"),IF(COLUMNS(_xlpm.nd)&gt;6,A64&amp;"¦"&amp;INDEX(_xlpm.nd,6)&amp;"¦"&amp;INDEX(_xlpm.nd,7),"")))</f>
        <v/>
      </c>
      <c r="IY64" t="str">
        <f t="shared" si="121"/>
        <v/>
      </c>
      <c r="IZ64" t="str">
        <f t="shared" si="122"/>
        <v/>
      </c>
      <c r="JA64" t="str">
        <f t="shared" si="123"/>
        <v>QF11</v>
      </c>
      <c r="JB64">
        <f t="shared" si="124"/>
        <v>0</v>
      </c>
      <c r="JC64">
        <f t="shared" si="125"/>
        <v>0</v>
      </c>
      <c r="JD64" t="str">
        <f t="shared" si="126"/>
        <v/>
      </c>
      <c r="JE64" t="str">
        <f t="shared" si="127"/>
        <v/>
      </c>
      <c r="JF64" t="str">
        <f t="shared" si="128"/>
        <v/>
      </c>
      <c r="JG64" t="str">
        <f t="shared" si="129"/>
        <v/>
      </c>
      <c r="JH64" t="str">
        <f>IF(B64="","",IFERROR(_xlfn.XLOOKUP(B64,Коды_код,Коды_уго),IFERROR(_xlfn.XLOOKUP(BC64,Коды_код,Коды_уго),IFERROR(_xlfn.XLOOKUP(LEFT(BC64,2),Коды_код,Коды_уго),""))))</f>
        <v>Привод (двигатель)</v>
      </c>
      <c r="JI64" t="str">
        <f>IF(B64="","",IF(OR(JH64="",JH64=0),"BOX",IFERROR(IF(VLOOKUP(JH64,УГО_блоки,3,FALSE)&amp;""&lt;&gt;"",VLOOKUP(JH64,УГО_блоки,3,FALSE),VLOOKUP(JH64,УГО_блоки,2,FALSE)),JH64)))</f>
        <v>MOTOR</v>
      </c>
      <c r="JJ64">
        <f t="shared" si="130"/>
        <v>1</v>
      </c>
      <c r="JK64" t="str">
        <f>IF(DQ64="","",IF(COUNTIF(DQ$3:DQ64,DQ64)=1,MAX(JK$2:JK63)+1,""))</f>
        <v/>
      </c>
      <c r="JL64" t="str">
        <f>IF(DE64="","",IF(COUNTIF(DE$3:DE64,DE64)+COUNTIF(DF$2:DF63,DE64)+COUNTIF(DG$2:DG63,DE64)=1,MAX(JL$2:JN63)+1,""))</f>
        <v/>
      </c>
      <c r="JM64" t="str">
        <f>IF(DF64="","",IF(COUNTIF(DE$3:DE64,DF64)+COUNTIF(DF$3:DF64,DF64)+COUNTIF(DG$2:DG63,DF64)=1,MAX(JL$2:JN63,JL64)+1,""))</f>
        <v/>
      </c>
      <c r="JN64" t="str">
        <f>IF(DG64="","",IF(COUNTIF(DE$3:DE64,DG64)+COUNTIF(DF$3:DF64,DG64)+COUNTIF(DG$3:DG64,DG64)=1,MAX(JL$2:JN63,JL64,JM64)+1,""))</f>
        <v/>
      </c>
      <c r="JO64" t="str">
        <f t="shared" si="131"/>
        <v>3х2,5</v>
      </c>
      <c r="JP64" t="str">
        <f>IF(JO64="","",IF(COUNTIF(JO$3:JO64,JO64)=1,MAX(JP$2:JP63)+1,""))</f>
        <v/>
      </c>
      <c r="JQ64" t="str">
        <f>IF(HG64="","",COUNTIF(HG$3:HG64,"?*"))</f>
        <v/>
      </c>
      <c r="JR64" t="str">
        <f>IF(OR(HG64="",HI64=""),"",IF(COUNTIFS(HG$3:HG64,"?*",HI$3:HI64,HI64)=1,MAX(JR$2:JR63)+1,""))</f>
        <v/>
      </c>
      <c r="JS64">
        <f t="shared" si="132"/>
        <v>0</v>
      </c>
      <c r="JT64">
        <f>IF(B64="","",COUNTIF(B$3:B64,"?*"))</f>
        <v>62</v>
      </c>
      <c r="JU64">
        <f>IF(HL64&lt;&gt;1,0,_xlfn.LET(_xlpm.k,MAX(IFERROR(--_xlfn.XLOOKUP(B64,Коды_код,Коды_3L),0),IFERROR(--_xlfn.XLOOKUP(BC64,Коды_код,Коды_3L),0),IFERROR(--_xlfn.XLOOKUP(LEFT(BC64,2),Коды_код,Коды_3L),0)),IF(_xlpm.k&gt;0,_xlpm.k,IF(IFERROR(--LEFT(SUBSTITUTE(JO64,"x","х"),FIND("х",SUBSTITUTE(JO64,"x","х"))-1),3)&gt;3,Каталог!$S$9,1))))</f>
        <v>1</v>
      </c>
      <c r="JV64">
        <f t="shared" si="133"/>
        <v>0</v>
      </c>
      <c r="JW64" t="str">
        <f t="shared" si="134"/>
        <v>авто</v>
      </c>
      <c r="JX64" t="str">
        <f t="shared" si="135"/>
        <v/>
      </c>
      <c r="JY64">
        <f t="shared" si="136"/>
        <v>0</v>
      </c>
      <c r="JZ64">
        <f t="shared" si="137"/>
        <v>1</v>
      </c>
    </row>
    <row r="65" spans="1:286" x14ac:dyDescent="0.3">
      <c r="A65" t="s">
        <v>747</v>
      </c>
      <c r="B65" t="s">
        <v>1378</v>
      </c>
      <c r="C65" t="s">
        <v>1658</v>
      </c>
      <c r="D65">
        <v>1</v>
      </c>
      <c r="E65">
        <v>0.36</v>
      </c>
      <c r="G65">
        <v>10</v>
      </c>
      <c r="H65" t="str">
        <f>Линии[[#This Row],[_авто управление]]</f>
        <v/>
      </c>
      <c r="I65" t="str">
        <f>Линии[[#This Row],[_авто аппараты]]</f>
        <v/>
      </c>
      <c r="J65">
        <v>1.5</v>
      </c>
      <c r="K65">
        <v>24</v>
      </c>
      <c r="L65" t="str">
        <f>Линии[[#This Row],[_авто фаза]]</f>
        <v>L1</v>
      </c>
      <c r="M65" t="s">
        <v>484</v>
      </c>
      <c r="N65" t="str">
        <f t="shared" si="0"/>
        <v/>
      </c>
      <c r="O65" s="6" cm="1">
        <f t="array" ref="O65">IF(B65="","",IF(BH65&lt;&gt;"",IFERROR(_xlfn.XLOOKUP(BH65,Щиты[Щит],Щиты[Iр, А]),""),IF(BP65=1,IF(OR(N(_xlfn.XLOOKUP(A65,Щиты[Щит],Щиты[Вводов],1))&lt;=1,LOWER(TRIM(_xlfn.XLOOKUP(A65,Щиты[Щит],Щиты[АВР],"")&amp;""))="да"),IFERROR(_xlfn.XLOOKUP(A65,Щиты[Щит],Щиты[Iр, А]),""),IFERROR(N(BS65)*_xlfn.XLOOKUP(A65,Щиты[Щит],Щиты[Кс итог])/(SQRT(3)*Uн_лин*_xlfn.XLOOKUP(A65,Щиты[Щит],Щиты[cos φ])),"")),IF(BV65=1,IFERROR(BS65*1000/BU65,""),IFERROR(_xlfn.IFS(BX65=1,BS65/((Uн_лин/SQRT(3))*CE65),BX65=3,BS65/(SQRT(3)*Uн_лин*CE65)),"")))))</f>
        <v>1.9485571585149866</v>
      </c>
      <c r="P65" s="7">
        <f>IF(B65="","",IFERROR(IF(VLOOKUP(BC65,Потребители_обозначение,4,FALSE)=1,VLOOKUP(BC65,Потребители_обозначение,3,FALSE)*(MAX(1,N(D65))*2-1)+EI65+VLOOKUP(BE65,Этаж_обозначение,3,FALSE)+VLOOKUP(BE65,Этаж_обозначение,4,FALSE),VLOOKUP(BC65,Потребители_обозначение,3,FALSE)*(MAX(1,N(D65))*2-1)+EI65),EI65))</f>
        <v>28</v>
      </c>
      <c r="Q65" s="6">
        <f t="shared" si="1"/>
        <v>1.22</v>
      </c>
      <c r="R65" t="str">
        <f t="shared" si="2"/>
        <v>ВВГнг(А)-LS (3х1,5)</v>
      </c>
      <c r="S65" t="str">
        <f>IF(BM65="","",IF(BN65="вводной узел","узел ","")&amp;"л."&amp;(INT((BM65-1)/Столбцов_на_лист)+1)&amp;" / "&amp;(MOD(BM65-1,Столбцов_на_лист)+1))</f>
        <v>л.2 / 10</v>
      </c>
      <c r="T65" s="119">
        <f t="shared" si="3"/>
        <v>1.1000000000000001</v>
      </c>
      <c r="U65" s="7" t="str">
        <f>IF(OR(CG65=0,N(BV65)+N(IB65)=0),"",ROUNDUP(Запас_БП*(N(HY65)+N(HZ65)),0))</f>
        <v/>
      </c>
      <c r="V65" s="119" t="str">
        <f t="shared" si="4"/>
        <v/>
      </c>
      <c r="W65" s="7" t="str">
        <f>IFERROR(IF(OR(B65="",BP65=1,BV65=1,NOT(ISNUMBER(EN65)),N(DT65)=0),"",MAX(0,ROUNDDOWN((c_min*(Uн_лин*1000/SQRT(3))/(HT65*N(DT65))-_xlfn.XLOOKUP(A65,Щиты[Щит],Щиты[Zпетли на шинах, Ом]))*EN65/(2*ρкз_Cu),0))),"")</f>
        <v/>
      </c>
      <c r="Y65" t="str">
        <f>Линии[[#This Row],[_авто утечка]]</f>
        <v/>
      </c>
      <c r="Z65">
        <v>1</v>
      </c>
      <c r="AA65">
        <v>230</v>
      </c>
      <c r="AB65" t="s">
        <v>598</v>
      </c>
      <c r="AC65">
        <v>0.5</v>
      </c>
      <c r="AG65" t="s">
        <v>810</v>
      </c>
      <c r="AI65" t="s">
        <v>580</v>
      </c>
      <c r="AK65" t="str">
        <f>Линии[[#This Row],[_авто модуль]]</f>
        <v/>
      </c>
      <c r="AM65">
        <v>27</v>
      </c>
      <c r="AN65" t="s">
        <v>11</v>
      </c>
      <c r="AO65">
        <v>3</v>
      </c>
      <c r="AR65">
        <v>28</v>
      </c>
      <c r="AT65">
        <v>1</v>
      </c>
      <c r="BA65" cm="1">
        <f t="array" ref="BA65">ROW()-ROW(Линии[#Headers])</f>
        <v>63</v>
      </c>
      <c r="BC65" s="6" t="str">
        <f t="shared" si="5"/>
        <v>ПВ</v>
      </c>
      <c r="BD65" t="str">
        <f t="shared" si="6"/>
        <v>3</v>
      </c>
      <c r="BE65" t="str">
        <f t="shared" si="7"/>
        <v>3</v>
      </c>
      <c r="BF65" t="str">
        <f t="shared" si="8"/>
        <v/>
      </c>
      <c r="BG65" t="str">
        <f t="shared" si="9"/>
        <v/>
      </c>
      <c r="BH65" t="str">
        <f>IF(X65&lt;&gt;"",X65,IF(AND(B65&lt;&gt;"",B65&lt;&gt;A65,ISNUMBER(_xlfn.XMATCH(B65,Щиты[Щит]))),B65,""))</f>
        <v/>
      </c>
      <c r="BI65" t="str" cm="1">
        <f t="array" ref="BI65">IF(B65="","",IF(BH65&lt;&gt;"","Щит "&amp;BH65,_xlfn.LET(_xlpm.nm,IFERROR(_xlfn.XLOOKUP(BC65,Коды_код,Коды_имя)&amp;"",""),_xlpm.md,IFERROR(N(_xlfn.XLOOKUP(BC65,Коды_код,Коды_режим)),1),_xlpm.ex,IF(Имя_режим="по экспликации",IFERROR(_xlfn.XLOOKUP(BE65&amp;"|"&amp;BG65,Экспликация[Этаж]&amp;"|"&amp;Экспликация[Помещение],Экспликация[Название])&amp;"",""),""),_xlpm.rm,IF(BG65="","",IF(_xlpm.ex&lt;&gt;"",". "&amp;_xlpm.ex&amp;IF(Имя_пом="нет"," ("&amp;BG65&amp;")"," (пом. "&amp;BG65&amp;")"),IF(Имя_пом="нет"," ",", пом. ")&amp;BG65)),IF(_xlpm.nm="","",IF(_xlpm.md=2,_xlpm.nm&amp;" шлейф "&amp;BE65,_xlpm.nm&amp;_xlpm.rm)))))</f>
        <v>Приточно-вытяжная установка шлейф 3</v>
      </c>
      <c r="BJ65" t="str">
        <f t="shared" si="10"/>
        <v>Приточно-вытяжная установка Подвальный этаж Пом. №006Т</v>
      </c>
      <c r="BK65">
        <f>IFERROR(_xlfn.XMATCH(A65,Щиты[Щит]),0)</f>
        <v>4</v>
      </c>
      <c r="BL65">
        <f>_xlfn.LET(_xlpm.k,IFERROR(_xlfn.XLOOKUP(A65,Щиты[Щит],Щиты[Мест под вводной узел]),""),IF(_xlpm.k="",Столбцов_на_лист,N(_xlpm.k)))</f>
        <v>13</v>
      </c>
      <c r="BM65">
        <f t="shared" si="11"/>
        <v>27</v>
      </c>
      <c r="BN65" t="str">
        <f t="shared" si="12"/>
        <v>линии</v>
      </c>
      <c r="BO65" s="6">
        <f>IFERROR(N(_xlfn.XLOOKUP(BC65,Коды_код,Коды_квт)),0)</f>
        <v>0</v>
      </c>
      <c r="BP65">
        <f t="shared" si="13"/>
        <v>0</v>
      </c>
      <c r="BQ65" t="str">
        <f>IF(B65="","",IF(BH65&lt;&gt;"",IFERROR(_xlfn.XLOOKUP(BH65,Щиты[Щит],Щиты[Руст, кВт]),0),IF(BP65=1,IF(OR(N(_xlfn.XLOOKUP(A65,Щиты[Щит],Щиты[Вводов],1))&lt;=1,LOWER(TRIM(_xlfn.XLOOKUP(A65,Щиты[Щит],Щиты[АВР],"")&amp;""))="да"),IFERROR(_xlfn.XLOOKUP(A65,Щиты[Щит],Щиты[Руст, кВт]),0),SUMIFS(Линии[_Р для вводов],Линии[Щит],A65,Линии[Источник для режимов],GF65)),IF(BO65&gt;0,ROUND(BO65*MAX(1,N(D65)),3),""))))</f>
        <v/>
      </c>
      <c r="BR65">
        <f t="shared" si="14"/>
        <v>0.36</v>
      </c>
      <c r="BS65" s="6">
        <f>IF(B65="","",IF(BH65&lt;&gt;"",IFERROR(_xlfn.XLOOKUP(BH65,Щиты[Щит],Щиты[Руст, кВт]),0),N(BR65)))</f>
        <v>0.36</v>
      </c>
      <c r="BT65" t="str">
        <f>IF(B65="","",IFERROR(IF(VLOOKUP(BC65,Потребители_обозначение,8,FALSE)=0,"",VLOOKUP(BC65,Потребители_обозначение,8,FALSE)),""))</f>
        <v/>
      </c>
      <c r="BU65">
        <f t="shared" si="15"/>
        <v>230</v>
      </c>
      <c r="BV65">
        <f t="shared" si="16"/>
        <v>0</v>
      </c>
      <c r="BW65">
        <f>IF(B65="","",IF(BH65&lt;&gt;"",3,IFERROR(IF(N(VLOOKUP(BC65,Потребители_обозначение,9,FALSE))=0,1,VLOOKUP(BC65,Потребители_обозначение,9,FALSE)),1)))</f>
        <v>1</v>
      </c>
      <c r="BX65">
        <f t="shared" si="17"/>
        <v>1</v>
      </c>
      <c r="BY65" t="str">
        <f>IF(B65="","",_xlfn.LET(_xlpm.bc,IFERROR(IF(VLOOKUP(BC65,Потребители_обозначение,6,FALSE)=0,"",VLOOKUP(BC65,Потребители_обозначение,6,FALSE)&amp;""),""),IF(AND(GA65="да",OR(_xlpm.bc="",_xlpm.bc="мс")),Марка_пож,IF(AND(_xlpm.bc="",BH65&lt;&gt;""),"мс",_xlpm.bc))))</f>
        <v/>
      </c>
      <c r="BZ65" t="str">
        <f t="shared" si="18"/>
        <v>мс</v>
      </c>
      <c r="CA65">
        <f>IF(B65="","",_xlfn.LET(_xlpm.cc,IFERROR(N(VLOOKUP(BC65,Потребители_обозначение,7,FALSE)),0),IF(_xlpm.cc&gt;0,_xlpm.cc,IF(BZ65="","",IF(BV65=1,2,IF(N(BX65)=3,5,3))))))</f>
        <v>3</v>
      </c>
      <c r="CB65">
        <f t="shared" si="19"/>
        <v>3</v>
      </c>
      <c r="CC65">
        <f>IFERROR(N(VLOOKUP(BC65,Потребители_обозначение,10,FALSE)),0)</f>
        <v>0</v>
      </c>
      <c r="CD65">
        <f>IFERROR(VLOOKUP(BC65,Потребители_обозначение,5,FALSE),0)</f>
        <v>1</v>
      </c>
      <c r="CE65" s="6" cm="1">
        <f t="array" ref="CE65">IF(B65="","",IF(BH65&lt;&gt;"",IFERROR(_xlfn.XLOOKUP(BH65,Щиты[Щит],Щиты[cos φ]),0.95),IF(BP65=1,IFERROR(_xlfn.XLOOKUP(A65,Щиты[Щит],Щиты[cos φ]),0.95),IF(ISNUMBER(AD65),AD65,IFERROR(IF(CD65=2,_xlfn.IFS(BX65=3,VLOOKUP(BS65,Справочная_двигатели,8,FALSE),BX65=1,VLOOKUP(BS65,Справочная_двигатели,10,TRUE)),IF(AND(Методика="нормы 2026",FG65="Сил"),0.8,0.95)),0.95)))))</f>
        <v>0.8</v>
      </c>
      <c r="CF65">
        <f t="shared" si="20"/>
        <v>0</v>
      </c>
      <c r="CG65">
        <f t="shared" si="21"/>
        <v>1</v>
      </c>
      <c r="CH65">
        <f t="shared" si="22"/>
        <v>0</v>
      </c>
      <c r="CI65">
        <f>IF(B65="","",IF(BV65=1,IFERROR(BS65/((Uн_лин/SQRT(3))*MAX(0.5,N(CE65))),0),N(O65)))</f>
        <v>1.9485571585149866</v>
      </c>
      <c r="CJ65">
        <f t="shared" si="23"/>
        <v>0</v>
      </c>
      <c r="CK65">
        <f t="shared" si="24"/>
        <v>0</v>
      </c>
      <c r="CL65">
        <f t="shared" si="25"/>
        <v>0</v>
      </c>
      <c r="CM65">
        <f t="shared" si="26"/>
        <v>0</v>
      </c>
      <c r="CN65">
        <f t="shared" si="27"/>
        <v>0</v>
      </c>
      <c r="CO65">
        <f>IF(BC65="",0,_xlfn.LET(_xlpm.v,IFERROR(_xlfn.XLOOKUP(B65,Коды_код,Коды_мА),IFERROR(_xlfn.XLOOKUP(BC65,Коды_код,Коды_мА),IFERROR(_xlfn.XLOOKUP(LEFT(BC65,2),Коды_код,Коды_мА),""))),IF(_xlpm.v="да",30,IF(ISNUMBER(_xlpm.v),_xlpm.v,0))))</f>
        <v>0</v>
      </c>
      <c r="CP65" t="str">
        <f t="shared" si="28"/>
        <v/>
      </c>
      <c r="CQ65" t="str">
        <f>_xlfn.LET(_xlpm.k,IFERROR(_xlfn.XLOOKUP(BC65,Коды_код,Коды_утечка)&amp;"",""),IF(_xlpm.k="","дифавтомат",_xlpm.k))</f>
        <v>дифавтомат</v>
      </c>
      <c r="CR65" t="str" cm="1">
        <f t="array" ref="CR65">IF(CG65=0,"",_xlfn.LET(_xlpm.sg,TRIM(_xlfn.TEXTSPLIT(DD65&amp;"",";")),_xlpm.f_,_xlfn._xlws.FILTER(_xlpm.sg,LEFT(_xlpm.sg,3)="УЗО",""),IFERROR(INDEX(_xlpm.f_,1)&amp;"","")))</f>
        <v/>
      </c>
      <c r="CS65" t="str">
        <f t="shared" si="29"/>
        <v/>
      </c>
      <c r="CT65" s="6" t="str" cm="1">
        <f t="array" ref="CT65">IF(CR65="","",_xlfn.LET(_xlpm.tk,_xlfn.TEXTSPLIT(UPPER(CR65)," ",,TRUE),_xlpm.a_,_xlfn._xlws.FILTER(_xlpm.tk,ISNUMBER(--LEFT(_xlpm.tk,1))*((ISNUMBER(SEARCH("А",_xlpm.tk))+ISNUMBER(SEARCH("A",_xlpm.tk)))&gt;0)*NOT(ISNUMBER(SEARCH("МА",_xlpm.tk)))*NOT(ISNUMBER(SEARCH("MA",_xlpm.tk))),""),IFERROR(--SUBSTITUTE(SUBSTITUTE(INDEX(_xlpm.a_,1),"А",""),"A",""),"")))</f>
        <v/>
      </c>
      <c r="CU65" t="str" cm="1">
        <f t="array" ref="CU65">IF(CR65="","",_xlfn.LET(_xlpm.tk,_xlfn.TEXTSPLIT(UPPER(CR65)," ",,TRUE),_xlpm.a_,_xlfn._xlws.FILTER(_xlpm.tk,ISNUMBER(--LEFT(_xlpm.tk,1))*((ISNUMBER(SEARCH("МА",_xlpm.tk))+ISNUMBER(SEARCH("MA",_xlpm.tk)))&gt;0),""),IFERROR(--SUBSTITUTE(SUBSTITUTE(INDEX(_xlpm.a_,1),"МА",""),"MA",""),30)))</f>
        <v/>
      </c>
      <c r="CV65" t="str">
        <f>IF(CS65="","",IFERROR(_xlfn.XLOOKUP(CS65,Линии[_n],Линии[_УЗО, мА]),30))</f>
        <v/>
      </c>
      <c r="CW65">
        <f>IF(CS65="",0,IF(ISNUMBER(SEARCH("4P",IFERROR(_xlfn.XLOOKUP(CS65,Линии[_n],Линии[_УЗО строки])&amp;"",""))),0,1))</f>
        <v>0</v>
      </c>
      <c r="CX65" t="str">
        <f>IF(AND(CS65&lt;&gt;"",CS65=BA65),SUMIFS(Линии[_ток на 230 В],Линии[_блок УЗО],BA65,Линии[Щит],A65),"")</f>
        <v/>
      </c>
      <c r="CY65" t="str">
        <f>IF(AND(CS65&lt;&gt;"",CS65=BA65),SUMIFS(Линии[_ток утечки линии, мА],Линии[_блок УЗО],BA65,Линии[Щит],A65),"")</f>
        <v/>
      </c>
      <c r="CZ65">
        <f t="shared" si="30"/>
        <v>0</v>
      </c>
      <c r="DA65">
        <f t="shared" si="31"/>
        <v>0</v>
      </c>
      <c r="DB65">
        <f>IF(B65="",0,IFERROR(--_xlfn.XLOOKUP(B65,Коды_код,Коды_минавт),IFERROR(--_xlfn.XLOOKUP(BC65,Коды_код,Коды_минавт),IFERROR(--_xlfn.XLOOKUP(LEFT(BC65,2),Коды_код,Коды_минавт),0))))</f>
        <v>0</v>
      </c>
      <c r="DC65" t="str">
        <f>IF(B65="","",IFERROR(_xlfn.XLOOKUP(BC65,Коды_код,Коды_апп)&amp;"",""))</f>
        <v/>
      </c>
      <c r="DD65" t="str">
        <f t="shared" si="32"/>
        <v/>
      </c>
      <c r="DE65" t="str" cm="1">
        <f t="array" ref="DE65">IF(TRIM(DD65&amp;"")="","",IFERROR(TRIM(INDEX(_xlfn.TEXTSPLIT(DD65&amp;";;;",";"),1)),""))</f>
        <v/>
      </c>
      <c r="DF65" t="str" cm="1">
        <f t="array" ref="DF65">IF(TRIM(DD65&amp;"")="","",IFERROR(TRIM(INDEX(_xlfn.TEXTSPLIT(DD65&amp;";;;",";"),2)),""))</f>
        <v/>
      </c>
      <c r="DG65" t="str" cm="1">
        <f t="array" ref="DG65">IF(TRIM(DD65&amp;"")="","",IFERROR(TRIM(INDEX(_xlfn.TEXTSPLIT(DD65&amp;";;;",";"),3)),""))</f>
        <v/>
      </c>
      <c r="DH65">
        <f t="shared" si="33"/>
        <v>0</v>
      </c>
      <c r="DI65" t="str">
        <f>IF(B65="","",_xlfn.LET(_xlpm.t,LOWER(AZ65&amp;""),IF(ISNUMBER(SEARCH("dim",_xlpm.t)),"DIM",IF(ISNUMBER(SEARCH("dali",_xlpm.t)),"DALI",IF(OR(ISNUMBER(SEARCH("relay",_xlpm.t)),ISNUMBER(SEARCH("реле",_xlpm.t))),"Relay",IF(ISNUMBER(SEARCH("кнопк",_xlpm.t)),"",IFERROR(_xlfn.XLOOKUP(BC65,Коды_код,Коды_упр)&amp;"","")))))))</f>
        <v/>
      </c>
      <c r="DJ65" t="str">
        <f t="shared" si="34"/>
        <v/>
      </c>
      <c r="DK65">
        <f>IF(B65="","",_xlfn.LET(_xlpm.ig,IF(N(CX65)&gt;0,N(CX65),N(CI65)+IF(AJ65="вручную",0,N(CJ65))),_xlpm.n0,IFERROR(VLOOKUP(_xlpm.ig,Автомат_номиналы,2,TRUE),0),_xlpm.mn,MAX(DB65,IF(AJ65="вручную",0,N(CM65))),MAX(_xlpm.n0,_xlpm.mn,IF(DH65=1,Мин_автомат_БП,0))))</f>
        <v>6</v>
      </c>
      <c r="DL65">
        <f t="shared" si="35"/>
        <v>1</v>
      </c>
      <c r="DM65" t="str">
        <f t="shared" si="36"/>
        <v>1P</v>
      </c>
      <c r="DN65" t="str">
        <f>_xlfn.LET(_xlpm.cc,UPPER(TRIM(IFERROR(_xlfn.XLOOKUP(BC65,Коды_код,Коды_хар)&amp;"",""))),IF(OR(_xlpm.cc="B",_xlpm.cc="В"),"B",IF(_xlpm.cc="D","D","С")))</f>
        <v>С</v>
      </c>
      <c r="DO65" t="str">
        <f t="shared" si="37"/>
        <v>1P С6А</v>
      </c>
      <c r="DP65">
        <f t="shared" si="38"/>
        <v>10</v>
      </c>
      <c r="DQ65" t="str">
        <f t="shared" si="39"/>
        <v>1P С10А</v>
      </c>
      <c r="DR65" cm="1">
        <f t="array" ref="DR65">IF(DQ65="","",_xlfn.LET(_xlpm.t,SUBSTITUTE(SUBSTITUTE(SUBSTITUTE(UPPER(DQ65),"С","C"),"А","A"),"В","B"),_xlpm.tk,_xlfn.TEXTSPLIT(_xlpm.t," "),_xlpm.f,_xlfn._xlws.FILTER(_xlpm.tk,ISNUMBER(--MID(_xlpm.tk,2,1))*ISNUMBER(SEARCH(LEFT(_xlpm.tk,1)&amp;"#","B#C#D#"))*(LEN(_xlpm.tk)&gt;1),""),_xlpm.x,INDEX(_xlpm.f,1),IFERROR(--SUBSTITUTE(MID(_xlpm.x,2,9),"A",""),IFERROR(--SUBSTITUTE(INDEX(_xlfn._xlws.FILTER(_xlpm.tk,ISNUMBER(--SUBSTITUTE(_xlpm.tk,"A","")),""),1),"A",""),""))))</f>
        <v>10</v>
      </c>
      <c r="DS65" t="str">
        <f t="shared" si="40"/>
        <v>ok</v>
      </c>
      <c r="DT65">
        <f t="shared" si="41"/>
        <v>10</v>
      </c>
      <c r="DU65" t="str">
        <f t="shared" si="42"/>
        <v>1P С10А</v>
      </c>
      <c r="DV65">
        <f t="shared" si="43"/>
        <v>0</v>
      </c>
      <c r="DW65">
        <f t="shared" si="44"/>
        <v>0</v>
      </c>
      <c r="DX65">
        <f t="shared" si="45"/>
        <v>0</v>
      </c>
      <c r="DY65">
        <f t="shared" si="46"/>
        <v>1.9485571585149866</v>
      </c>
      <c r="DZ65">
        <f t="shared" si="47"/>
        <v>1</v>
      </c>
      <c r="EA65">
        <f>IF(ISNUMBER(AP65),AP65,К_прокл)</f>
        <v>1</v>
      </c>
      <c r="EB65">
        <f t="shared" si="48"/>
        <v>2</v>
      </c>
      <c r="EC65">
        <f>IFERROR(N(VLOOKUP(BZ65,Кабель_обозначение,3,FALSE)),1)</f>
        <v>1</v>
      </c>
      <c r="ED65">
        <f>IFERROR(N(_xlfn.XLOOKUP(A65,Щиты[Щит],Щиты[ΔU до шин, %])),0)</f>
        <v>0.64</v>
      </c>
      <c r="EE65" t="str">
        <f>IFERROR(_xlfn.XLOOKUP(A65,Щиты[Щит],Щиты[Zпетли на шинах, Ом]),"")</f>
        <v/>
      </c>
      <c r="EF65">
        <f>IFERROR(N(_xlfn.XLOOKUP(A65,Щиты[Щит],Щиты[ΔU до шин (подбор), %])),0)</f>
        <v>0.75</v>
      </c>
      <c r="EG65" t="str">
        <f>IFERROR(_xlfn.XLOOKUP(A65,Щиты[Щит],Щиты[Zпетли на шинах (подбор), Ом]),"")</f>
        <v/>
      </c>
      <c r="EH65" t="str">
        <f t="shared" si="49"/>
        <v/>
      </c>
      <c r="EI65">
        <f t="shared" si="50"/>
        <v>24</v>
      </c>
      <c r="EJ65">
        <f t="shared" si="51"/>
        <v>2</v>
      </c>
      <c r="EK65">
        <f t="shared" si="52"/>
        <v>0.6</v>
      </c>
      <c r="EL65" s="6">
        <f>IF(B65="","",IF(BV65=1,dU_LED,IF(IFERROR(_xlfn.XLOOKUP(BC65,Коды_код,Коды_уго),"")="Светильник",3,4)+IF(Методика="нормы 2026",MIN(0.5,MAX(0,N(P65)-100)*0.005),0)))</f>
        <v>4</v>
      </c>
      <c r="EM65" cm="1">
        <f t="array" ref="EM65">IF(OR(B65="",BZ65="",EC65&lt;&gt;1),"",_xlfn.LET(_xlpm.sz,Iдоп_S,_xlpm.t_,CHOOSE(EB65,Iдоп_1ж,Iдоп_2ж,Iдоп_3ж)*DZ65*EA65,_xlpm.dcx,BV65=1,_xlpm.inn,IF(_xlpm.dcx,N(O65),N(DT65)),_xlpm.smin,MAX(1.5,CC65),_xlpm.L_,N(P65)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65)/N(BU65)*100,999),IFERROR(N(EJ65)*(_xlpm.rho*_xlpm.L_/_xlpm.sz*N(CE65)+_xlpm.xx*_xlpm.L_*N(EK65)/1000)*N(O65)/((Uн_лин/SQRT(3))*1000)*100,999)),_xlpm.kz,IF(OR(_xlpm.dcx,DW65=1,NOT(ISNUMBER(EG65)),_xlpm.L_=0,_xlpm.inn=0),1,IFERROR(--(c_min*(Uн_лин*1000/SQRT(3))/(EG65+2*ρкз_Cu*_xlpm.L_/_xlpm.sz)&gt;=HT65*_xlpm.inn),0)),_xlpm.ok,IFERROR((_xlpm.sz&gt;=_xlpm.smin)*(_xlpm.t_&gt;=_xlpm.inn)*IF(_xlpm.L_&gt;0,(_xlpm.du_+IF(_xlpm.dcx,0,EF65)&lt;=EL65+0.00001),1)*_xlpm.kz,0),_xlpm.r_,_xlfn._xlws.FILTER(_xlpm.sz,_xlpm.ok,"не подобрано"),INDEX(_xlpm.r_,1)))</f>
        <v>1.5</v>
      </c>
      <c r="EN65">
        <f t="shared" si="53"/>
        <v>1.5</v>
      </c>
      <c r="EO65" cm="1">
        <f t="array" ref="EO65">IF(OR(B65="",BZ65="",EC65&lt;&gt;1),"",_xlfn.LET(_xlpm.sz,Iдоп_S,_xlpm.t_,CHOOSE(EB65,Iдоп_1ж,Iдоп_2ж,Iдоп_3ж)*DZ65*EA65,_xlpm.ok,IFERROR((_xlpm.sz&gt;=MAX(1.5,CC65))*(_xlpm.t_&gt;=N(DT65)),0),_xlpm.r_,_xlfn._xlws.FILTER(_xlpm.sz,_xlpm.ok,""),INDEX(_xlpm.r_,1)))</f>
        <v>1.5</v>
      </c>
      <c r="EP65" s="6" cm="1">
        <f t="array" ref="EP65">IFERROR(ROUNDUP(N(EJ65)*(_xlfn.XLOOKUP(EO65,INDEX(Кабель_сопротивление,0,1),INDEX(Кабель_сопротивление,0,3))*N(P65)/EO65*N(CE65)+_xlfn.XLOOKUP(EO65,INDEX(Кабель_сопротивление,0,1),INDEX(Кабель_сопротивление,0,2))*N(P65)*N(EK65)/1000)*N(O65)/((Uн_лин/SQRT(3))*1000)*100,2),"")</f>
        <v>0.57999999999999996</v>
      </c>
      <c r="EQ65">
        <f>IFERROR(2*ρкз_Cu*N(P65)/EO65,"")</f>
        <v>0.98186666666666678</v>
      </c>
      <c r="ER65">
        <f>IFERROR(VLOOKUP(EN65,Кабель_сопротивление,3,FALSE),"")</f>
        <v>2.2499999999999999E-2</v>
      </c>
      <c r="ES65">
        <f>IFERROR(VLOOKUP(EN65,Кабель_сопротивление,2,FALSE),"")</f>
        <v>0.11</v>
      </c>
      <c r="ET65">
        <f t="shared" si="54"/>
        <v>28</v>
      </c>
      <c r="EU65">
        <f t="shared" si="55"/>
        <v>0</v>
      </c>
      <c r="EV65">
        <f t="shared" si="56"/>
        <v>1.3166322777799424</v>
      </c>
      <c r="EW65" s="6">
        <f>IFERROR(ROUNDUP(EV65/IF(BV65=1,BU65,(Uн_лин/SQRT(3))*1000)*100,2),"")</f>
        <v>0.57999999999999996</v>
      </c>
      <c r="EX65" t="str">
        <f>IFERROR(VLOOKUP(BZ65,Кабель_обозначение,2,FALSE),"")</f>
        <v>ВВГнг(А)-LS</v>
      </c>
      <c r="EY65" t="str">
        <f t="shared" si="57"/>
        <v>ВВГнг(А)-LS (3х1,5)</v>
      </c>
      <c r="EZ65" t="str">
        <f t="shared" si="58"/>
        <v>ВВГнг(А)-LS (3х1,5)
L=28-0,58%</v>
      </c>
      <c r="FA65">
        <f>IFERROR(2*ρкз_Cu*P65/EN65,"")</f>
        <v>0.98186666666666678</v>
      </c>
      <c r="FB65">
        <f t="shared" si="59"/>
        <v>0.32666666666666672</v>
      </c>
      <c r="FC65" s="6" t="str">
        <f>IFERROR(IF(OR(B65="",BV65=1,NOT(ISNUMBER(EN65)),N(P65)=0),"",_xlfn.XLOOKUP(A65,Щиты[Щит],Щиты[Zпетли на шинах, Ом])+FA65),"")</f>
        <v/>
      </c>
      <c r="FD65" s="6" t="str">
        <f>IF(ISNUMBER(FC65),c_min*(Uн_лин*1000/SQRT(3))/FC65,"")</f>
        <v/>
      </c>
      <c r="FE65" s="6" t="str">
        <f>IFERROR(IF(OR(B65="",NOT(ISNUMBER(EN65))),"",1.05*(Uн_лин*1000/SQRT(3))/(_xlfn.XLOOKUP(A65,Щиты[Щит],Щиты[Zmax на шинах, Ом])+FB65)/1000),"")</f>
        <v/>
      </c>
      <c r="FF65" s="6" t="str">
        <f>IF(B65="","",IF(ISNUMBER(AC65),"Сил",IF(IFERROR(_xlfn.XLOOKUP(BC65,Коды_код,Коды_группа)&amp;"","")="","Быт",_xlfn.XLOOKUP(BC65,Коды_код,Коды_группа)&amp;"")))</f>
        <v>Сил</v>
      </c>
      <c r="FG65" s="6" t="str">
        <f t="shared" si="60"/>
        <v>Сил</v>
      </c>
      <c r="FH65" s="6">
        <f>IF(FG65="Щит","щит",IF(FG65="","",IF(FG65="Быт",IFERROR(_xlfn.XLOOKUP(A65,Щиты[Щит],Щиты[Кс быт]),1),IF(FG65="Сил",IF(ISNUMBER(AC65),AC65,IF(Методика="нормы 2026",IFERROR(_xlfn.XLOOKUP(A65,Щиты[Щит],Щиты[Кс силовых (табл. 7.5)]),1),1)),IF(OR(FG65="Пост",FG65="Отоп"),1,IF(FG65="ВНГ",0.7,0))))))</f>
        <v>0.5</v>
      </c>
      <c r="FI65">
        <f>IF(FG65="","",IF(AND(BP65=1,TRIM(AE65&amp;"")=""),IF(COUNTIFS(Линии[Щит],A65,Линии[Секция (1/2/3)],"&gt;=2")&gt;0,MIN(3,MAX(1,IFERROR(--BD65,1))),1),IFERROR(MIN(3,MAX(1,INT(--AE65))),1)))</f>
        <v>1</v>
      </c>
      <c r="FJ65">
        <f t="shared" si="61"/>
        <v>0.36</v>
      </c>
      <c r="FK65">
        <f t="shared" si="62"/>
        <v>0</v>
      </c>
      <c r="FL65">
        <f t="shared" si="63"/>
        <v>0.18</v>
      </c>
      <c r="FM65">
        <f t="shared" si="64"/>
        <v>0</v>
      </c>
      <c r="FN65">
        <f t="shared" si="65"/>
        <v>0</v>
      </c>
      <c r="FO65">
        <f t="shared" si="66"/>
        <v>0</v>
      </c>
      <c r="FP65">
        <f t="shared" si="67"/>
        <v>0.36</v>
      </c>
      <c r="FQ65">
        <f t="shared" si="68"/>
        <v>0.36</v>
      </c>
      <c r="FR65">
        <f t="shared" si="69"/>
        <v>0.28799999999999998</v>
      </c>
      <c r="FS65">
        <f>IF(CG65=1,IF(AND(CH65=1,CW65=1),0,IF(AND(CS65&lt;&gt;"",CS65=BA65,CW65=1),SUMIFS(Линии[_Р линии, кВт],Линии[_блок УЗО],BA65,Линии[Щит],A65),N(BS65)+IF(AJ65="вручную",0,N(CK65)))),0)</f>
        <v>0.36</v>
      </c>
      <c r="FT65" t="str">
        <f t="shared" si="70"/>
        <v/>
      </c>
      <c r="FU65" t="str">
        <f>IF(B65="","",IF(CG65=0,IF(BA65=1,"",FW64),IF(AND(CH65=1,CW65=1,CS65&lt;&gt;""),IFERROR(_xlfn.XLOOKUP(CS65,Линии[_n],Линии[_фаза итог]),"L1"),IF(OR(N(DL65)&gt;=3,N(BX65)&gt;=3),"L1,L2,L3",IFERROR(_xlfn.TEXTBEFORE(_xlfn.TEXTAFTER(_xlfn.XLOOKUP(A65,Щиты[Щит],Щиты[_фазы авто]),";"&amp;BA65&amp;":"),";"),"L1")))))</f>
        <v>L1</v>
      </c>
      <c r="FV65" t="str">
        <f t="shared" si="71"/>
        <v>L1</v>
      </c>
      <c r="FW65" t="str">
        <f t="shared" si="72"/>
        <v>L1</v>
      </c>
      <c r="FX65" cm="1">
        <f t="array" ref="FX65">IFERROR(IF(CD65=2,_xlfn.IFS(BX65=3,VLOOKUP(BS65,Справочная_двигатели,3,FALSE),BX65=1,VLOOKUP(BS65,Справочная_двигатели,5,TRUE)),0),0)</f>
        <v>0</v>
      </c>
      <c r="FY65">
        <f>IFERROR(IF(CD65=3,VLOOKUP(BS65,Справочная_ЛЭД,2,TRUE),0),0)</f>
        <v>0</v>
      </c>
      <c r="FZ65" s="6">
        <f t="shared" si="73"/>
        <v>0</v>
      </c>
      <c r="GA65" t="str">
        <f>IF(B65="","",IF(TRIM(AH65&amp;"")&lt;&gt;"",IF(LOWER(TRIM(AH65&amp;""))="да","да","нет"),IF(IFERROR(_xlfn.XLOOKUP(BC65,Коды_код,Коды_пожарная),"")="да","да","нет")))</f>
        <v>нет</v>
      </c>
      <c r="GB65" t="str">
        <f t="shared" si="74"/>
        <v/>
      </c>
      <c r="GC65" t="str">
        <f t="shared" si="75"/>
        <v>основная</v>
      </c>
      <c r="GD65">
        <f>IF(AND(BP65=1,TRIM(AE65&amp;"")=""),IF(COUNTIFS(Линии[Щит],A65,Линии[Секция (1/2/3)],"&gt;=2")&gt;0,MIN(3,MAX(1,IFERROR(--BD65,1))),1),IFERROR(MIN(3,MAX(1,INT(--AE65))),1))</f>
        <v>1</v>
      </c>
      <c r="GE65" t="str" cm="1">
        <f t="array" ref="GE65">IF(B65="","",_xlfn.LET(_xlpm.t,IFERROR(_xlfn.XLOOKUP(1,(Шины[Шина]=GC65)*(((Шины[Щит]=A65)+(Шины[Щит]=""))&gt;0),Шины[Тип]),"")&amp;"",IF(_xlpm.t&lt;&gt;"",_xlpm.t,IF(ISNUMBER(SEARCH("ИБП",GC65)),"ИБП",IF(ISNUMBER(SEARCH("ДГУ",GC65)),"ДГУ","Ввод "&amp;GD65)))))</f>
        <v>Ввод 1</v>
      </c>
      <c r="GF65" t="str">
        <f t="shared" si="76"/>
        <v>Ввод 1</v>
      </c>
      <c r="GG65" t="str">
        <f>IF(BP65=0,"",IF(TRIM(AG65&amp;"")&lt;&gt;"",TRIM(AG65&amp;""),IF(OR(GE65="ИБП",GE65="ДГУ"),"I особая",_xlfn.XLOOKUP(A65,Щиты[Щит],Щиты[Категория шины «Ввод»],"III"))))</f>
        <v/>
      </c>
      <c r="GH65" t="str">
        <f>IF(A65="","",_xlfn.XLOOKUP(A65,Щиты[Щит],Щиты[Путь],""))</f>
        <v>|ГРЩ-ЖД|ЩОВ-001|</v>
      </c>
      <c r="GI65" t="str">
        <f>IF(B65="","",IF(AI65&lt;&gt;"",AI65,IF(IFERROR(_xlfn.XLOOKUP(BC65,Коды_код,Коды_вид)&amp;"","")="","Прочее",_xlfn.XLOOKUP(BC65,Коды_код,Коды_вид)&amp;"")))</f>
        <v>Вентиляция</v>
      </c>
      <c r="GJ65">
        <f>IF(BM65="","",INT((BM65-1)/Столбцов_на_лист)+1)</f>
        <v>2</v>
      </c>
      <c r="GK65" t="str">
        <f t="shared" si="77"/>
        <v>ВВГнг(А)-LS (3х1,5) L=28-0,58%</v>
      </c>
      <c r="GL65">
        <f t="shared" si="78"/>
        <v>0.36</v>
      </c>
      <c r="GM65">
        <f t="shared" si="79"/>
        <v>1.95</v>
      </c>
      <c r="GN65">
        <f t="shared" si="80"/>
        <v>1</v>
      </c>
      <c r="GO65">
        <f t="shared" si="81"/>
        <v>0</v>
      </c>
      <c r="GP65">
        <f t="shared" si="82"/>
        <v>1</v>
      </c>
      <c r="GQ65">
        <f>IF(BM65="","",IF(AND(CG65=1,GP65=1),COUNTIFS(A$3:A65,A65,CG$3:CG65,1,GP$3:GP65,1),IF(OR(OR(BA65=1,A65&lt;&gt;A64),AJ65="вручную",GP65=0),"",IF(BA65=1,"",GR64))))</f>
        <v>12</v>
      </c>
      <c r="GR65">
        <f t="shared" si="83"/>
        <v>12</v>
      </c>
      <c r="GS65">
        <f>IF(B65="","",IFERROR(LOOKUP(INDEX(CHOOSE(EB65,Iдоп_1ж,Iдоп_2ж,Iдоп_3ж),MATCH(EN65,Iдоп_S,0))*DZ65*EA65,{6,10,16,20,25,32,40,50,63,80,100,125,160,200,250,315,400,500,630}),""))</f>
        <v>16</v>
      </c>
      <c r="GT65" t="str">
        <f t="shared" si="84"/>
        <v>QF12</v>
      </c>
      <c r="GU65" t="str">
        <f t="shared" si="85"/>
        <v>QF12</v>
      </c>
      <c r="GV65" t="str">
        <f t="shared" si="86"/>
        <v/>
      </c>
      <c r="GW65">
        <f t="shared" si="87"/>
        <v>0</v>
      </c>
      <c r="GX65" t="str">
        <f>IF(OR(B65="",DJ65=""),"",IFERROR(_xlfn.XLOOKUP(DJ65,Модули_умолч[Управление],Модули_умолч[Модель])&amp;"",""))</f>
        <v/>
      </c>
      <c r="GY65">
        <f>IF(DJ65="",1,IFERROR(MAX(0,N(_xlfn.XLOOKUP(DJ65,Модули_умолч[Управление],Модули_умолч[Каналов на линию]))),1))</f>
        <v>1</v>
      </c>
      <c r="GZ65" t="str">
        <f t="shared" si="88"/>
        <v/>
      </c>
      <c r="HA65" t="str">
        <f t="shared" si="89"/>
        <v/>
      </c>
      <c r="HB65" t="str">
        <f t="shared" si="90"/>
        <v/>
      </c>
      <c r="HC65">
        <f>IF(HB65="",0,IFERROR(N(VLOOKUP(HB65,Модули_спр,3,FALSE)),0))</f>
        <v>0</v>
      </c>
      <c r="HD65" t="str">
        <f t="shared" si="91"/>
        <v/>
      </c>
      <c r="HE65" t="str">
        <f t="shared" si="92"/>
        <v/>
      </c>
      <c r="HF65" t="str">
        <f>IF(OR(HE65="",HE65="-"),"",IFERROR(VLOOKUP(HE65,Модули_спр,2,FALSE),"R"))</f>
        <v/>
      </c>
      <c r="HG65" t="str">
        <f>IF(HF65="","",HF65&amp;"."&amp;COUNTIFS(A$3:A65,A65,HF$3:HF65,HF65))</f>
        <v/>
      </c>
      <c r="HH65" t="str">
        <f t="shared" si="93"/>
        <v/>
      </c>
      <c r="HI65" t="str">
        <f t="shared" si="94"/>
        <v/>
      </c>
      <c r="HJ65" t="str">
        <f t="shared" si="95"/>
        <v/>
      </c>
      <c r="HK65" t="str">
        <f t="shared" si="96"/>
        <v/>
      </c>
      <c r="HL65">
        <f t="shared" si="97"/>
        <v>1</v>
      </c>
      <c r="HM65" t="str">
        <f>IF(HL65=1,"XT"&amp;COUNTIFS(A$3:A65,A65,HL$3:HL65,1),"")</f>
        <v>XT12</v>
      </c>
      <c r="HN65" t="str">
        <f t="shared" si="98"/>
        <v/>
      </c>
      <c r="HO65" t="str">
        <f t="shared" si="99"/>
        <v>QF12</v>
      </c>
      <c r="HP65" t="str">
        <f t="shared" si="100"/>
        <v/>
      </c>
      <c r="HQ65" t="str">
        <f t="shared" si="101"/>
        <v>ok</v>
      </c>
      <c r="HR65" t="str">
        <f>IF(OR(HJ65="",HH65=""),"",IF(HJ65+MAX(0,GY65-1)&gt;IFERROR(VLOOKUP(HI65,Модули_спр,3,FALSE),99),"ЛИШНИЙ КАНАЛ",IF(AND(AL65&lt;&gt;"=",GY65&gt;0,COUNTIFS(Линии[_модуль гр.],HH65,Линии[Канал (итог)],HJ65,Линии[Канал],"&lt;&gt;=",Линии[Щит],A65)&gt;1),"ДУБЛЬ КАНАЛА","")))</f>
        <v/>
      </c>
      <c r="HS65" s="6" t="str">
        <f t="shared" si="102"/>
        <v/>
      </c>
      <c r="HT65">
        <f t="shared" si="103"/>
        <v>10</v>
      </c>
      <c r="HU65" t="str">
        <f t="shared" si="104"/>
        <v/>
      </c>
      <c r="HV65">
        <f t="shared" si="105"/>
        <v>1.0594228634059948</v>
      </c>
      <c r="HW65">
        <f t="shared" si="106"/>
        <v>0</v>
      </c>
      <c r="HX65">
        <f t="shared" si="107"/>
        <v>0</v>
      </c>
      <c r="HY65">
        <f t="shared" si="108"/>
        <v>0</v>
      </c>
      <c r="HZ65">
        <f t="shared" si="109"/>
        <v>0</v>
      </c>
      <c r="IA65">
        <f t="shared" si="110"/>
        <v>0</v>
      </c>
      <c r="IB65">
        <f t="shared" si="111"/>
        <v>0</v>
      </c>
      <c r="IC65" t="str">
        <f t="shared" si="112"/>
        <v/>
      </c>
      <c r="ID65" t="str" cm="1">
        <f t="array" ref="ID65">IF(IC65="","",_xlfn.LET(_xlpm.tk,_xlfn.TEXTSPLIT(SUBSTITUTE(SUBSTITUTE(IC65,";"," "),"→"," ")," ",,TRUE),_xlpm.w_,_xlfn._xlws.FILTER(_xlpm.tk,ISNUMBER(--LEFT(_xlpm.tk,1))*((ISNUMBER(SEARCH("W",_xlpm.tk))+ISNUMBER(SEARCH("Вт",_xlpm.tk)))&gt;0),""),IFERROR(--SUBSTITUTE(SUBSTITUTE(UPPER(INDEX(_xlpm.w_,1)),"W",""),"ВТ",""),"")))</f>
        <v/>
      </c>
      <c r="IE65" t="str" cm="1">
        <f t="array" ref="IE65">IF(IC65="","",_xlfn.LET(_xlpm.tk,_xlfn.TEXTSPLIT(SUBSTITUTE(SUBSTITUTE(IC65,";"," "),"→"," ")," ",,TRUE),_xlpm.v_,_xlfn._xlws.FILTER(_xlpm.tk,ISNUMBER(--LEFT(_xlpm.tk,1))*((ISNUMBER(SEARCH("V",_xlpm.tk))+(RIGHT(UPPER(_xlpm.tk))="В"))&gt;0),""),IFERROR(--SUBSTITUTE(SUBSTITUTE(UPPER(INDEX(_xlpm.v_,1)),"V",""),"В",""),"")))</f>
        <v/>
      </c>
      <c r="IF65" s="6" t="str">
        <f>IF(OR(BV65=0,HI65="",HJ65=""),"",IFERROR(N(_xlfn.XLOOKUP(HI65,Каталог!$C$4:$C$500,Каталог!$Q$4:$Q$500)),""))</f>
        <v/>
      </c>
      <c r="IG65" s="6" t="str">
        <f>IF(N(IF65)=0,"",SUMIFS(Линии[Iр, А],Линии[Щит],A65,Линии[_модуль гр.],HH65,Линии[Канал (итог)],HJ65))</f>
        <v/>
      </c>
      <c r="IH65" t="str">
        <f>IF(AND(B65="",HO65=""),"",_xlfn.TEXTJOIN("; ",TRUE,IF(AND(B65&lt;&gt;"",FV65=""),"нет фазы",""),IF(AND(B65&lt;&gt;"",N(GL65)=0,FG65&lt;&gt;"Нет"),"нет мощности",""),IF(AND(HN65&lt;&gt;"",COUNTIFS(Линии[Щит],A65,Линии[Клемма (итог)],HN65)&gt;1),"дубль клеммы "&amp;HN65,""),IF(AND(HQ65&lt;&gt;"",HQ65&lt;&gt;"ok"),HQ65,""),IF(HR65&lt;&gt;"",HR65,""),IF(AND(N(CB65)&gt;=4,N(BX65)=1),CB65&amp;" жил на 1 фазе",""),IF(AND(BC65="R",CG65=1,IF(CS65&lt;&gt;"",N(CV65)&gt;30,OR(N(DA65)=0,N(DA65)&gt;30))),"розетка без дифзащиты до 30 мА",""),IF(AND(CG65=1,N(DA65)&gt;0,ISNUMBER(T65)),IF(T65&gt;N(DA65)/3,"ток утечки "&amp;FIXED(T65,1)&amp;" мА &gt; 1/3 уставки ("&amp;DA65&amp;" мА)",""),""),IF(AND(CH65=1,CS65=""),"«узо»: нет строки с УЗО выше (УЗО 2P 40А 30мА в «Аппаратах»)",""),IF(AND(CS65&lt;&gt;"",CS65=BA65),IF(CT65="","впишите номинал УЗО (УЗО 2P 40А 30мА)",IF(N(CT65)&lt;N(DT65),"УЗО "&amp;CT65&amp;" А &lt; автомата "&amp;DT65&amp;" А перед ним",IF(N(CT65)&lt;N(CX65),"УЗО "&amp;CT65&amp;" А &lt; тока блока "&amp;FIXED(CX65,1)&amp;" А",""))),""),IF(AND(CS65&lt;&gt;"",CS65=BA65,ISNUMBER(CY65)),IF(CY65&gt;N(CV65)/3,"ток утечки блока УЗО "&amp;FIXED(CY65,1)&amp;" мА &gt; 1/3 уставки ("&amp;CV65&amp;" мА)",""),""),IF(AND(CG65=1,N(BV65)+N(IB65)&gt;0,IC65=""),"линии до 50 В без БП: впишите в «Аппараты» (БП 24V 480W)",""),IF(AND(CG65=1,ISNUMBER(ID65),ISNUMBER(U65)),IF(U65&gt;ID65,"БП "&amp;ID65&amp;" Вт &lt; нужно "&amp;U65&amp;" Вт (×"&amp;Запас_БП&amp;")",""),""),IF(AND(CG65=1,ISNUMBER(IE65),N(BV65)=1),IF(IE65&lt;&gt;N(BU65),"БП на "&amp;IE65&amp;" В, линия "&amp;BU65&amp;" В",""),""),IF(AND(N(IF65)&gt;0,N(IG65)&gt;N(IF65)),HH65&amp;" канал "&amp;HJ65&amp;": "&amp;FIXED(IG65,1)&amp;" А &gt; "&amp;IF65&amp;" А",""),IFERROR(IF(AND(ISNUMBER(Q65),Q65&gt;EL65),"потери "&amp;FIXED(Q65,1)&amp;" % &gt; "&amp;EL65&amp;" %",""),""),IFERROR(IF(LEFT(HU65,4)="мало","Iкз мало — отключение &gt; 0,4 с",""),""),IF(AND(B65&lt;&gt;"",BM65=""),"не на схеме",""),IF(AND(CG65=0,B65&lt;&gt;"",FV65&lt;&gt;"",IF(BA65=1,"",FW64)&lt;&gt;"",FV65&lt;&gt;IF(BA65=1,"",FW64)),"фаза не как у автомата группы ("&amp;IF(BA65=1,"",FW64)&amp;")","")))</f>
        <v/>
      </c>
      <c r="II65" s="6">
        <f>IF(OR(CG65=0,DQ65=""),"",_xlfn.LET(_xlpm.t,IFERROR(_xlfn.XLOOKUP(DQ65,Каталог!$U$4:$U$500,Каталог!$G$4:$G$500),""),_xlpm.k,SEARCH("кА",_xlpm.t),IFERROR(--TRIM(RIGHT(SUBSTITUTE(MID(_xlpm.t,MAX(1,_xlpm.k-4),_xlpm.k-MAX(1,_xlpm.k-4))," ",REPT(" ",9)),5)),"")))</f>
        <v>6</v>
      </c>
      <c r="IJ65" t="str">
        <f>IF(OR(II65="",CG65=0),"",IF(_xlfn.XLOOKUP(A65,Щиты[Щит],Щиты[Iкз max на шинах, кА],"")="","",IF(II65&lt;_xlfn.XLOOKUP(A65,Щиты[Щит],Щиты[Iкз max на шинах, кА]),"Icu "&amp;II65&amp;" кА &lt; Iкз max","ok")))</f>
        <v/>
      </c>
      <c r="IK65" t="str">
        <f t="shared" si="113"/>
        <v/>
      </c>
      <c r="IL65" t="str">
        <f t="shared" si="114"/>
        <v>QF12</v>
      </c>
      <c r="IM65" t="str">
        <f t="shared" si="115"/>
        <v>QF12|кабель ВВГнг(А)-LS (3х1,5) → Приточно-вытяжная установка Подвальный этаж Пом. №006Т</v>
      </c>
      <c r="IN65" t="str" cm="1">
        <f t="array" ref="IN65">IF(IM65="","",_xlfn.LET(_xlpm.nd,_xlfn.TEXTSPLIT(IM65,"|"),IF(COLUMNS(_xlpm.nd)&gt;1,A65&amp;"¦"&amp;INDEX(_xlpm.nd,1)&amp;"¦"&amp;INDEX(_xlpm.nd,2),"")))</f>
        <v>ЩОВ-001¦QF12¦кабель ВВГнг(А)-LS (3х1,5) → Приточно-вытяжная установка Подвальный этаж Пом. №006Т</v>
      </c>
      <c r="IO65" t="str">
        <f t="shared" si="116"/>
        <v>ПВ.3¦Приточно-вытяжная установка Подвальный этаж Пом. №006Т</v>
      </c>
      <c r="IP65" t="str" cm="1">
        <f t="array" ref="IP65">IF(IM65="","",_xlfn.LET(_xlpm.nd,_xlfn.TEXTSPLIT(IM65,"|"),IF(COLUMNS(_xlpm.nd)&gt;2,A65&amp;"¦"&amp;INDEX(_xlpm.nd,2)&amp;"¦"&amp;INDEX(_xlpm.nd,3),"")))</f>
        <v/>
      </c>
      <c r="IQ65" t="str">
        <f t="shared" si="117"/>
        <v/>
      </c>
      <c r="IR65" t="str" cm="1">
        <f t="array" ref="IR65">IF(IM65="","",_xlfn.LET(_xlpm.nd,_xlfn.TEXTSPLIT(IM65,"|"),IF(COLUMNS(_xlpm.nd)&gt;3,A65&amp;"¦"&amp;INDEX(_xlpm.nd,3)&amp;"¦"&amp;INDEX(_xlpm.nd,4),"")))</f>
        <v/>
      </c>
      <c r="IS65" t="str">
        <f t="shared" si="118"/>
        <v/>
      </c>
      <c r="IT65" t="str" cm="1">
        <f t="array" ref="IT65">IF(IM65="","",_xlfn.LET(_xlpm.nd,_xlfn.TEXTSPLIT(IM65,"|"),IF(COLUMNS(_xlpm.nd)&gt;4,A65&amp;"¦"&amp;INDEX(_xlpm.nd,4)&amp;"¦"&amp;INDEX(_xlpm.nd,5),"")))</f>
        <v/>
      </c>
      <c r="IU65" t="str">
        <f t="shared" si="119"/>
        <v/>
      </c>
      <c r="IV65" t="str" cm="1">
        <f t="array" ref="IV65">IF(IM65="","",_xlfn.LET(_xlpm.nd,_xlfn.TEXTSPLIT(IM65,"|"),IF(COLUMNS(_xlpm.nd)&gt;5,A65&amp;"¦"&amp;INDEX(_xlpm.nd,5)&amp;"¦"&amp;INDEX(_xlpm.nd,6),"")))</f>
        <v/>
      </c>
      <c r="IW65" t="str">
        <f t="shared" si="120"/>
        <v/>
      </c>
      <c r="IX65" t="str" cm="1">
        <f t="array" ref="IX65">IF(IM65="","",_xlfn.LET(_xlpm.nd,_xlfn.TEXTSPLIT(IM65,"|"),IF(COLUMNS(_xlpm.nd)&gt;6,A65&amp;"¦"&amp;INDEX(_xlpm.nd,6)&amp;"¦"&amp;INDEX(_xlpm.nd,7),"")))</f>
        <v/>
      </c>
      <c r="IY65" t="str">
        <f t="shared" si="121"/>
        <v/>
      </c>
      <c r="IZ65" t="str">
        <f t="shared" si="122"/>
        <v/>
      </c>
      <c r="JA65" t="str">
        <f t="shared" si="123"/>
        <v>QF12</v>
      </c>
      <c r="JB65">
        <f t="shared" si="124"/>
        <v>0</v>
      </c>
      <c r="JC65">
        <f t="shared" si="125"/>
        <v>0</v>
      </c>
      <c r="JD65" t="str">
        <f t="shared" si="126"/>
        <v/>
      </c>
      <c r="JE65" t="str">
        <f t="shared" si="127"/>
        <v/>
      </c>
      <c r="JF65" t="str">
        <f t="shared" si="128"/>
        <v/>
      </c>
      <c r="JG65" t="str">
        <f t="shared" si="129"/>
        <v/>
      </c>
      <c r="JH65" t="str">
        <f>IF(B65="","",IFERROR(_xlfn.XLOOKUP(B65,Коды_код,Коды_уго),IFERROR(_xlfn.XLOOKUP(BC65,Коды_код,Коды_уго),IFERROR(_xlfn.XLOOKUP(LEFT(BC65,2),Коды_код,Коды_уго),""))))</f>
        <v>Привод (двигатель)</v>
      </c>
      <c r="JI65" t="str">
        <f>IF(B65="","",IF(OR(JH65="",JH65=0),"BOX",IFERROR(IF(VLOOKUP(JH65,УГО_блоки,3,FALSE)&amp;""&lt;&gt;"",VLOOKUP(JH65,УГО_блоки,3,FALSE),VLOOKUP(JH65,УГО_блоки,2,FALSE)),JH65)))</f>
        <v>MOTOR</v>
      </c>
      <c r="JJ65">
        <f t="shared" si="130"/>
        <v>1</v>
      </c>
      <c r="JK65" t="str">
        <f>IF(DQ65="","",IF(COUNTIF(DQ$3:DQ65,DQ65)=1,MAX(JK$2:JK64)+1,""))</f>
        <v/>
      </c>
      <c r="JL65" t="str">
        <f>IF(DE65="","",IF(COUNTIF(DE$3:DE65,DE65)+COUNTIF(DF$2:DF64,DE65)+COUNTIF(DG$2:DG64,DE65)=1,MAX(JL$2:JN64)+1,""))</f>
        <v/>
      </c>
      <c r="JM65" t="str">
        <f>IF(DF65="","",IF(COUNTIF(DE$3:DE65,DF65)+COUNTIF(DF$3:DF65,DF65)+COUNTIF(DG$2:DG64,DF65)=1,MAX(JL$2:JN64,JL65)+1,""))</f>
        <v/>
      </c>
      <c r="JN65" t="str">
        <f>IF(DG65="","",IF(COUNTIF(DE$3:DE65,DG65)+COUNTIF(DF$3:DF65,DG65)+COUNTIF(DG$3:DG65,DG65)=1,MAX(JL$2:JN64,JL65,JM65)+1,""))</f>
        <v/>
      </c>
      <c r="JO65" t="str">
        <f t="shared" si="131"/>
        <v>3х1,5</v>
      </c>
      <c r="JP65" t="str">
        <f>IF(JO65="","",IF(COUNTIF(JO$3:JO65,JO65)=1,MAX(JP$2:JP64)+1,""))</f>
        <v/>
      </c>
      <c r="JQ65" t="str">
        <f>IF(HG65="","",COUNTIF(HG$3:HG65,"?*"))</f>
        <v/>
      </c>
      <c r="JR65" t="str">
        <f>IF(OR(HG65="",HI65=""),"",IF(COUNTIFS(HG$3:HG65,"?*",HI$3:HI65,HI65)=1,MAX(JR$2:JR64)+1,""))</f>
        <v/>
      </c>
      <c r="JS65">
        <f t="shared" si="132"/>
        <v>0</v>
      </c>
      <c r="JT65">
        <f>IF(B65="","",COUNTIF(B$3:B65,"?*"))</f>
        <v>63</v>
      </c>
      <c r="JU65">
        <f>IF(HL65&lt;&gt;1,0,_xlfn.LET(_xlpm.k,MAX(IFERROR(--_xlfn.XLOOKUP(B65,Коды_код,Коды_3L),0),IFERROR(--_xlfn.XLOOKUP(BC65,Коды_код,Коды_3L),0),IFERROR(--_xlfn.XLOOKUP(LEFT(BC65,2),Коды_код,Коды_3L),0)),IF(_xlpm.k&gt;0,_xlpm.k,IF(IFERROR(--LEFT(SUBSTITUTE(JO65,"x","х"),FIND("х",SUBSTITUTE(JO65,"x","х"))-1),3)&gt;3,Каталог!$S$9,1))))</f>
        <v>1</v>
      </c>
      <c r="JV65">
        <f t="shared" si="133"/>
        <v>0</v>
      </c>
      <c r="JW65" t="str">
        <f t="shared" si="134"/>
        <v>авто</v>
      </c>
      <c r="JX65" t="str">
        <f t="shared" si="135"/>
        <v/>
      </c>
      <c r="JY65">
        <f t="shared" si="136"/>
        <v>0</v>
      </c>
      <c r="JZ65">
        <f t="shared" si="137"/>
        <v>1</v>
      </c>
    </row>
    <row r="66" spans="1:286" x14ac:dyDescent="0.3">
      <c r="A66" t="s">
        <v>747</v>
      </c>
      <c r="B66" t="s">
        <v>1379</v>
      </c>
      <c r="C66" t="s">
        <v>1658</v>
      </c>
      <c r="D66">
        <v>1</v>
      </c>
      <c r="E66">
        <v>1.1000000000000001</v>
      </c>
      <c r="G66">
        <v>10</v>
      </c>
      <c r="H66" t="str">
        <f>Линии[[#This Row],[_авто управление]]</f>
        <v/>
      </c>
      <c r="I66" t="str">
        <f>Линии[[#This Row],[_авто аппараты]]</f>
        <v/>
      </c>
      <c r="J66">
        <v>1.5</v>
      </c>
      <c r="K66">
        <v>23</v>
      </c>
      <c r="L66" t="str">
        <f>Линии[[#This Row],[_авто фаза]]</f>
        <v>L2</v>
      </c>
      <c r="M66" t="s">
        <v>484</v>
      </c>
      <c r="N66" t="str">
        <f t="shared" si="0"/>
        <v/>
      </c>
      <c r="O66" s="6" cm="1">
        <f t="array" ref="O66">IF(B66="","",IF(BH66&lt;&gt;"",IFERROR(_xlfn.XLOOKUP(BH66,Щиты[Щит],Щиты[Iр, А]),""),IF(BP66=1,IF(OR(N(_xlfn.XLOOKUP(A66,Щиты[Щит],Щиты[Вводов],1))&lt;=1,LOWER(TRIM(_xlfn.XLOOKUP(A66,Щиты[Щит],Щиты[АВР],"")&amp;""))="да"),IFERROR(_xlfn.XLOOKUP(A66,Щиты[Щит],Щиты[Iр, А]),""),IFERROR(N(BS66)*_xlfn.XLOOKUP(A66,Щиты[Щит],Щиты[Кс итог])/(SQRT(3)*Uн_лин*_xlfn.XLOOKUP(A66,Щиты[Щит],Щиты[cos φ])),"")),IF(BV66=1,IFERROR(BS66*1000/BU66,""),IFERROR(_xlfn.IFS(BX66=1,BS66/((Uн_лин/SQRT(3))*CE66),BX66=3,BS66/(SQRT(3)*Uн_лин*CE66)),"")))))</f>
        <v>5.9539246510180153</v>
      </c>
      <c r="P66" s="7">
        <f>IF(B66="","",IFERROR(IF(VLOOKUP(BC66,Потребители_обозначение,4,FALSE)=1,VLOOKUP(BC66,Потребители_обозначение,3,FALSE)*(MAX(1,N(D66))*2-1)+EI66+VLOOKUP(BE66,Этаж_обозначение,3,FALSE)+VLOOKUP(BE66,Этаж_обозначение,4,FALSE),VLOOKUP(BC66,Потребители_обозначение,3,FALSE)*(MAX(1,N(D66))*2-1)+EI66),EI66))</f>
        <v>27</v>
      </c>
      <c r="Q66" s="6">
        <f t="shared" si="1"/>
        <v>2.3199999999999998</v>
      </c>
      <c r="R66" t="str">
        <f t="shared" si="2"/>
        <v>ВВГнг(А)-LS (3х1,5)</v>
      </c>
      <c r="S66" t="str">
        <f>IF(BM66="","",IF(BN66="вводной узел","узел ","")&amp;"л."&amp;(INT((BM66-1)/Столбцов_на_лист)+1)&amp;" / "&amp;(MOD(BM66-1,Столбцов_на_лист)+1))</f>
        <v>л.2 / 11</v>
      </c>
      <c r="T66" s="119">
        <f t="shared" si="3"/>
        <v>2.7</v>
      </c>
      <c r="U66" s="7" t="str">
        <f>IF(OR(CG66=0,N(BV66)+N(IB66)=0),"",ROUNDUP(Запас_БП*(N(HY66)+N(HZ66)),0))</f>
        <v/>
      </c>
      <c r="V66" s="119" t="str">
        <f t="shared" si="4"/>
        <v/>
      </c>
      <c r="W66" s="7" t="str">
        <f>IFERROR(IF(OR(B66="",BP66=1,BV66=1,NOT(ISNUMBER(EN66)),N(DT66)=0),"",MAX(0,ROUNDDOWN((c_min*(Uн_лин*1000/SQRT(3))/(HT66*N(DT66))-_xlfn.XLOOKUP(A66,Щиты[Щит],Щиты[Zпетли на шинах, Ом]))*EN66/(2*ρкз_Cu),0))),"")</f>
        <v/>
      </c>
      <c r="Y66" t="str">
        <f>Линии[[#This Row],[_авто утечка]]</f>
        <v/>
      </c>
      <c r="Z66">
        <v>1</v>
      </c>
      <c r="AA66">
        <v>230</v>
      </c>
      <c r="AB66" t="s">
        <v>598</v>
      </c>
      <c r="AC66">
        <v>0.5</v>
      </c>
      <c r="AG66" t="s">
        <v>810</v>
      </c>
      <c r="AI66" t="s">
        <v>580</v>
      </c>
      <c r="AK66" t="str">
        <f>Линии[[#This Row],[_авто модуль]]</f>
        <v/>
      </c>
      <c r="AM66">
        <v>28</v>
      </c>
      <c r="AN66" t="s">
        <v>11</v>
      </c>
      <c r="AO66">
        <v>3</v>
      </c>
      <c r="AR66">
        <v>27</v>
      </c>
      <c r="AT66">
        <v>1</v>
      </c>
      <c r="BA66" cm="1">
        <f t="array" ref="BA66">ROW()-ROW(Линии[#Headers])</f>
        <v>64</v>
      </c>
      <c r="BC66" s="6" t="str">
        <f t="shared" si="5"/>
        <v>ПВ</v>
      </c>
      <c r="BD66" t="str">
        <f t="shared" si="6"/>
        <v>4</v>
      </c>
      <c r="BE66" t="str">
        <f t="shared" si="7"/>
        <v>4</v>
      </c>
      <c r="BF66" t="str">
        <f t="shared" si="8"/>
        <v/>
      </c>
      <c r="BG66" t="str">
        <f t="shared" si="9"/>
        <v/>
      </c>
      <c r="BH66" t="str">
        <f>IF(X66&lt;&gt;"",X66,IF(AND(B66&lt;&gt;"",B66&lt;&gt;A66,ISNUMBER(_xlfn.XMATCH(B66,Щиты[Щит]))),B66,""))</f>
        <v/>
      </c>
      <c r="BI66" t="str" cm="1">
        <f t="array" ref="BI66">IF(B66="","",IF(BH66&lt;&gt;"","Щит "&amp;BH66,_xlfn.LET(_xlpm.nm,IFERROR(_xlfn.XLOOKUP(BC66,Коды_код,Коды_имя)&amp;"",""),_xlpm.md,IFERROR(N(_xlfn.XLOOKUP(BC66,Коды_код,Коды_режим)),1),_xlpm.ex,IF(Имя_режим="по экспликации",IFERROR(_xlfn.XLOOKUP(BE66&amp;"|"&amp;BG66,Экспликация[Этаж]&amp;"|"&amp;Экспликация[Помещение],Экспликация[Название])&amp;"",""),""),_xlpm.rm,IF(BG66="","",IF(_xlpm.ex&lt;&gt;"",". "&amp;_xlpm.ex&amp;IF(Имя_пом="нет"," ("&amp;BG66&amp;")"," (пом. "&amp;BG66&amp;")"),IF(Имя_пом="нет"," ",", пом. ")&amp;BG66)),IF(_xlpm.nm="","",IF(_xlpm.md=2,_xlpm.nm&amp;" шлейф "&amp;BE66,_xlpm.nm&amp;_xlpm.rm)))))</f>
        <v>Приточно-вытяжная установка шлейф 4</v>
      </c>
      <c r="BJ66" t="str">
        <f t="shared" si="10"/>
        <v>Приточно-вытяжная установка Подвальный этаж Пом. №006Т</v>
      </c>
      <c r="BK66">
        <f>IFERROR(_xlfn.XMATCH(A66,Щиты[Щит]),0)</f>
        <v>4</v>
      </c>
      <c r="BL66">
        <f>_xlfn.LET(_xlpm.k,IFERROR(_xlfn.XLOOKUP(A66,Щиты[Щит],Щиты[Мест под вводной узел]),""),IF(_xlpm.k="",Столбцов_на_лист,N(_xlpm.k)))</f>
        <v>13</v>
      </c>
      <c r="BM66">
        <f t="shared" si="11"/>
        <v>28</v>
      </c>
      <c r="BN66" t="str">
        <f t="shared" si="12"/>
        <v>линии</v>
      </c>
      <c r="BO66" s="6">
        <f>IFERROR(N(_xlfn.XLOOKUP(BC66,Коды_код,Коды_квт)),0)</f>
        <v>0</v>
      </c>
      <c r="BP66">
        <f t="shared" si="13"/>
        <v>0</v>
      </c>
      <c r="BQ66" t="str">
        <f>IF(B66="","",IF(BH66&lt;&gt;"",IFERROR(_xlfn.XLOOKUP(BH66,Щиты[Щит],Щиты[Руст, кВт]),0),IF(BP66=1,IF(OR(N(_xlfn.XLOOKUP(A66,Щиты[Щит],Щиты[Вводов],1))&lt;=1,LOWER(TRIM(_xlfn.XLOOKUP(A66,Щиты[Щит],Щиты[АВР],"")&amp;""))="да"),IFERROR(_xlfn.XLOOKUP(A66,Щиты[Щит],Щиты[Руст, кВт]),0),SUMIFS(Линии[_Р для вводов],Линии[Щит],A66,Линии[Источник для режимов],GF66)),IF(BO66&gt;0,ROUND(BO66*MAX(1,N(D66)),3),""))))</f>
        <v/>
      </c>
      <c r="BR66">
        <f t="shared" si="14"/>
        <v>1.1000000000000001</v>
      </c>
      <c r="BS66" s="6">
        <f>IF(B66="","",IF(BH66&lt;&gt;"",IFERROR(_xlfn.XLOOKUP(BH66,Щиты[Щит],Щиты[Руст, кВт]),0),N(BR66)))</f>
        <v>1.1000000000000001</v>
      </c>
      <c r="BT66" t="str">
        <f>IF(B66="","",IFERROR(IF(VLOOKUP(BC66,Потребители_обозначение,8,FALSE)=0,"",VLOOKUP(BC66,Потребители_обозначение,8,FALSE)),""))</f>
        <v/>
      </c>
      <c r="BU66">
        <f t="shared" si="15"/>
        <v>230</v>
      </c>
      <c r="BV66">
        <f t="shared" si="16"/>
        <v>0</v>
      </c>
      <c r="BW66">
        <f>IF(B66="","",IF(BH66&lt;&gt;"",3,IFERROR(IF(N(VLOOKUP(BC66,Потребители_обозначение,9,FALSE))=0,1,VLOOKUP(BC66,Потребители_обозначение,9,FALSE)),1)))</f>
        <v>1</v>
      </c>
      <c r="BX66">
        <f t="shared" si="17"/>
        <v>1</v>
      </c>
      <c r="BY66" t="str">
        <f>IF(B66="","",_xlfn.LET(_xlpm.bc,IFERROR(IF(VLOOKUP(BC66,Потребители_обозначение,6,FALSE)=0,"",VLOOKUP(BC66,Потребители_обозначение,6,FALSE)&amp;""),""),IF(AND(GA66="да",OR(_xlpm.bc="",_xlpm.bc="мс")),Марка_пож,IF(AND(_xlpm.bc="",BH66&lt;&gt;""),"мс",_xlpm.bc))))</f>
        <v/>
      </c>
      <c r="BZ66" t="str">
        <f t="shared" si="18"/>
        <v>мс</v>
      </c>
      <c r="CA66">
        <f>IF(B66="","",_xlfn.LET(_xlpm.cc,IFERROR(N(VLOOKUP(BC66,Потребители_обозначение,7,FALSE)),0),IF(_xlpm.cc&gt;0,_xlpm.cc,IF(BZ66="","",IF(BV66=1,2,IF(N(BX66)=3,5,3))))))</f>
        <v>3</v>
      </c>
      <c r="CB66">
        <f t="shared" si="19"/>
        <v>3</v>
      </c>
      <c r="CC66">
        <f>IFERROR(N(VLOOKUP(BC66,Потребители_обозначение,10,FALSE)),0)</f>
        <v>0</v>
      </c>
      <c r="CD66">
        <f>IFERROR(VLOOKUP(BC66,Потребители_обозначение,5,FALSE),0)</f>
        <v>1</v>
      </c>
      <c r="CE66" s="6" cm="1">
        <f t="array" ref="CE66">IF(B66="","",IF(BH66&lt;&gt;"",IFERROR(_xlfn.XLOOKUP(BH66,Щиты[Щит],Щиты[cos φ]),0.95),IF(BP66=1,IFERROR(_xlfn.XLOOKUP(A66,Щиты[Щит],Щиты[cos φ]),0.95),IF(ISNUMBER(AD66),AD66,IFERROR(IF(CD66=2,_xlfn.IFS(BX66=3,VLOOKUP(BS66,Справочная_двигатели,8,FALSE),BX66=1,VLOOKUP(BS66,Справочная_двигатели,10,TRUE)),IF(AND(Методика="нормы 2026",FG66="Сил"),0.8,0.95)),0.95)))))</f>
        <v>0.8</v>
      </c>
      <c r="CF66">
        <f t="shared" si="20"/>
        <v>0</v>
      </c>
      <c r="CG66">
        <f t="shared" si="21"/>
        <v>1</v>
      </c>
      <c r="CH66">
        <f t="shared" si="22"/>
        <v>0</v>
      </c>
      <c r="CI66">
        <f>IF(B66="","",IF(BV66=1,IFERROR(BS66/((Uн_лин/SQRT(3))*MAX(0.5,N(CE66))),0),N(O66)))</f>
        <v>5.9539246510180153</v>
      </c>
      <c r="CJ66">
        <f t="shared" si="23"/>
        <v>0</v>
      </c>
      <c r="CK66">
        <f t="shared" si="24"/>
        <v>0</v>
      </c>
      <c r="CL66">
        <f t="shared" si="25"/>
        <v>0</v>
      </c>
      <c r="CM66">
        <f t="shared" si="26"/>
        <v>0</v>
      </c>
      <c r="CN66">
        <f t="shared" si="27"/>
        <v>0</v>
      </c>
      <c r="CO66">
        <f>IF(BC66="",0,_xlfn.LET(_xlpm.v,IFERROR(_xlfn.XLOOKUP(B66,Коды_код,Коды_мА),IFERROR(_xlfn.XLOOKUP(BC66,Коды_код,Коды_мА),IFERROR(_xlfn.XLOOKUP(LEFT(BC66,2),Коды_код,Коды_мА),""))),IF(_xlpm.v="да",30,IF(ISNUMBER(_xlpm.v),_xlpm.v,0))))</f>
        <v>0</v>
      </c>
      <c r="CP66" t="str">
        <f t="shared" si="28"/>
        <v/>
      </c>
      <c r="CQ66" t="str">
        <f>_xlfn.LET(_xlpm.k,IFERROR(_xlfn.XLOOKUP(BC66,Коды_код,Коды_утечка)&amp;"",""),IF(_xlpm.k="","дифавтомат",_xlpm.k))</f>
        <v>дифавтомат</v>
      </c>
      <c r="CR66" t="str" cm="1">
        <f t="array" ref="CR66">IF(CG66=0,"",_xlfn.LET(_xlpm.sg,TRIM(_xlfn.TEXTSPLIT(DD66&amp;"",";")),_xlpm.f_,_xlfn._xlws.FILTER(_xlpm.sg,LEFT(_xlpm.sg,3)="УЗО",""),IFERROR(INDEX(_xlpm.f_,1)&amp;"","")))</f>
        <v/>
      </c>
      <c r="CS66" t="str">
        <f t="shared" si="29"/>
        <v/>
      </c>
      <c r="CT66" s="6" t="str" cm="1">
        <f t="array" ref="CT66">IF(CR66="","",_xlfn.LET(_xlpm.tk,_xlfn.TEXTSPLIT(UPPER(CR66)," ",,TRUE),_xlpm.a_,_xlfn._xlws.FILTER(_xlpm.tk,ISNUMBER(--LEFT(_xlpm.tk,1))*((ISNUMBER(SEARCH("А",_xlpm.tk))+ISNUMBER(SEARCH("A",_xlpm.tk)))&gt;0)*NOT(ISNUMBER(SEARCH("МА",_xlpm.tk)))*NOT(ISNUMBER(SEARCH("MA",_xlpm.tk))),""),IFERROR(--SUBSTITUTE(SUBSTITUTE(INDEX(_xlpm.a_,1),"А",""),"A",""),"")))</f>
        <v/>
      </c>
      <c r="CU66" t="str" cm="1">
        <f t="array" ref="CU66">IF(CR66="","",_xlfn.LET(_xlpm.tk,_xlfn.TEXTSPLIT(UPPER(CR66)," ",,TRUE),_xlpm.a_,_xlfn._xlws.FILTER(_xlpm.tk,ISNUMBER(--LEFT(_xlpm.tk,1))*((ISNUMBER(SEARCH("МА",_xlpm.tk))+ISNUMBER(SEARCH("MA",_xlpm.tk)))&gt;0),""),IFERROR(--SUBSTITUTE(SUBSTITUTE(INDEX(_xlpm.a_,1),"МА",""),"MA",""),30)))</f>
        <v/>
      </c>
      <c r="CV66" t="str">
        <f>IF(CS66="","",IFERROR(_xlfn.XLOOKUP(CS66,Линии[_n],Линии[_УЗО, мА]),30))</f>
        <v/>
      </c>
      <c r="CW66">
        <f>IF(CS66="",0,IF(ISNUMBER(SEARCH("4P",IFERROR(_xlfn.XLOOKUP(CS66,Линии[_n],Линии[_УЗО строки])&amp;"",""))),0,1))</f>
        <v>0</v>
      </c>
      <c r="CX66" t="str">
        <f>IF(AND(CS66&lt;&gt;"",CS66=BA66),SUMIFS(Линии[_ток на 230 В],Линии[_блок УЗО],BA66,Линии[Щит],A66),"")</f>
        <v/>
      </c>
      <c r="CY66" t="str">
        <f>IF(AND(CS66&lt;&gt;"",CS66=BA66),SUMIFS(Линии[_ток утечки линии, мА],Линии[_блок УЗО],BA66,Линии[Щит],A66),"")</f>
        <v/>
      </c>
      <c r="CZ66">
        <f t="shared" si="30"/>
        <v>0</v>
      </c>
      <c r="DA66">
        <f t="shared" si="31"/>
        <v>0</v>
      </c>
      <c r="DB66">
        <f>IF(B66="",0,IFERROR(--_xlfn.XLOOKUP(B66,Коды_код,Коды_минавт),IFERROR(--_xlfn.XLOOKUP(BC66,Коды_код,Коды_минавт),IFERROR(--_xlfn.XLOOKUP(LEFT(BC66,2),Коды_код,Коды_минавт),0))))</f>
        <v>0</v>
      </c>
      <c r="DC66" t="str">
        <f>IF(B66="","",IFERROR(_xlfn.XLOOKUP(BC66,Коды_код,Коды_апп)&amp;"",""))</f>
        <v/>
      </c>
      <c r="DD66" t="str">
        <f t="shared" si="32"/>
        <v/>
      </c>
      <c r="DE66" t="str" cm="1">
        <f t="array" ref="DE66">IF(TRIM(DD66&amp;"")="","",IFERROR(TRIM(INDEX(_xlfn.TEXTSPLIT(DD66&amp;";;;",";"),1)),""))</f>
        <v/>
      </c>
      <c r="DF66" t="str" cm="1">
        <f t="array" ref="DF66">IF(TRIM(DD66&amp;"")="","",IFERROR(TRIM(INDEX(_xlfn.TEXTSPLIT(DD66&amp;";;;",";"),2)),""))</f>
        <v/>
      </c>
      <c r="DG66" t="str" cm="1">
        <f t="array" ref="DG66">IF(TRIM(DD66&amp;"")="","",IFERROR(TRIM(INDEX(_xlfn.TEXTSPLIT(DD66&amp;";;;",";"),3)),""))</f>
        <v/>
      </c>
      <c r="DH66">
        <f t="shared" si="33"/>
        <v>0</v>
      </c>
      <c r="DI66" t="str">
        <f>IF(B66="","",_xlfn.LET(_xlpm.t,LOWER(AZ66&amp;""),IF(ISNUMBER(SEARCH("dim",_xlpm.t)),"DIM",IF(ISNUMBER(SEARCH("dali",_xlpm.t)),"DALI",IF(OR(ISNUMBER(SEARCH("relay",_xlpm.t)),ISNUMBER(SEARCH("реле",_xlpm.t))),"Relay",IF(ISNUMBER(SEARCH("кнопк",_xlpm.t)),"",IFERROR(_xlfn.XLOOKUP(BC66,Коды_код,Коды_упр)&amp;"","")))))))</f>
        <v/>
      </c>
      <c r="DJ66" t="str">
        <f t="shared" si="34"/>
        <v/>
      </c>
      <c r="DK66">
        <f>IF(B66="","",_xlfn.LET(_xlpm.ig,IF(N(CX66)&gt;0,N(CX66),N(CI66)+IF(AJ66="вручную",0,N(CJ66))),_xlpm.n0,IFERROR(VLOOKUP(_xlpm.ig,Автомат_номиналы,2,TRUE),0),_xlpm.mn,MAX(DB66,IF(AJ66="вручную",0,N(CM66))),MAX(_xlpm.n0,_xlpm.mn,IF(DH66=1,Мин_автомат_БП,0))))</f>
        <v>10</v>
      </c>
      <c r="DL66">
        <f t="shared" si="35"/>
        <v>1</v>
      </c>
      <c r="DM66" t="str">
        <f t="shared" si="36"/>
        <v>1P</v>
      </c>
      <c r="DN66" t="str">
        <f>_xlfn.LET(_xlpm.cc,UPPER(TRIM(IFERROR(_xlfn.XLOOKUP(BC66,Коды_код,Коды_хар)&amp;"",""))),IF(OR(_xlpm.cc="B",_xlpm.cc="В"),"B",IF(_xlpm.cc="D","D","С")))</f>
        <v>С</v>
      </c>
      <c r="DO66" t="str">
        <f t="shared" si="37"/>
        <v>1P С10А</v>
      </c>
      <c r="DP66">
        <f t="shared" si="38"/>
        <v>10</v>
      </c>
      <c r="DQ66" t="str">
        <f t="shared" si="39"/>
        <v>1P С10А</v>
      </c>
      <c r="DR66" cm="1">
        <f t="array" ref="DR66">IF(DQ66="","",_xlfn.LET(_xlpm.t,SUBSTITUTE(SUBSTITUTE(SUBSTITUTE(UPPER(DQ66),"С","C"),"А","A"),"В","B"),_xlpm.tk,_xlfn.TEXTSPLIT(_xlpm.t," "),_xlpm.f,_xlfn._xlws.FILTER(_xlpm.tk,ISNUMBER(--MID(_xlpm.tk,2,1))*ISNUMBER(SEARCH(LEFT(_xlpm.tk,1)&amp;"#","B#C#D#"))*(LEN(_xlpm.tk)&gt;1),""),_xlpm.x,INDEX(_xlpm.f,1),IFERROR(--SUBSTITUTE(MID(_xlpm.x,2,9),"A",""),IFERROR(--SUBSTITUTE(INDEX(_xlfn._xlws.FILTER(_xlpm.tk,ISNUMBER(--SUBSTITUTE(_xlpm.tk,"A","")),""),1),"A",""),""))))</f>
        <v>10</v>
      </c>
      <c r="DS66" t="str">
        <f t="shared" si="40"/>
        <v>ok</v>
      </c>
      <c r="DT66">
        <f t="shared" si="41"/>
        <v>10</v>
      </c>
      <c r="DU66" t="str">
        <f t="shared" si="42"/>
        <v>1P С10А</v>
      </c>
      <c r="DV66">
        <f t="shared" si="43"/>
        <v>0</v>
      </c>
      <c r="DW66">
        <f t="shared" si="44"/>
        <v>0</v>
      </c>
      <c r="DX66">
        <f t="shared" si="45"/>
        <v>0</v>
      </c>
      <c r="DY66">
        <f t="shared" si="46"/>
        <v>5.9539246510180153</v>
      </c>
      <c r="DZ66">
        <f t="shared" si="47"/>
        <v>1</v>
      </c>
      <c r="EA66">
        <f>IF(ISNUMBER(AP66),AP66,К_прокл)</f>
        <v>1</v>
      </c>
      <c r="EB66">
        <f t="shared" si="48"/>
        <v>2</v>
      </c>
      <c r="EC66">
        <f>IFERROR(N(VLOOKUP(BZ66,Кабель_обозначение,3,FALSE)),1)</f>
        <v>1</v>
      </c>
      <c r="ED66">
        <f>IFERROR(N(_xlfn.XLOOKUP(A66,Щиты[Щит],Щиты[ΔU до шин, %])),0)</f>
        <v>0.64</v>
      </c>
      <c r="EE66" t="str">
        <f>IFERROR(_xlfn.XLOOKUP(A66,Щиты[Щит],Щиты[Zпетли на шинах, Ом]),"")</f>
        <v/>
      </c>
      <c r="EF66">
        <f>IFERROR(N(_xlfn.XLOOKUP(A66,Щиты[Щит],Щиты[ΔU до шин (подбор), %])),0)</f>
        <v>0.75</v>
      </c>
      <c r="EG66" t="str">
        <f>IFERROR(_xlfn.XLOOKUP(A66,Щиты[Щит],Щиты[Zпетли на шинах (подбор), Ом]),"")</f>
        <v/>
      </c>
      <c r="EH66" t="str">
        <f t="shared" si="49"/>
        <v/>
      </c>
      <c r="EI66">
        <f t="shared" si="50"/>
        <v>23</v>
      </c>
      <c r="EJ66">
        <f t="shared" si="51"/>
        <v>2</v>
      </c>
      <c r="EK66">
        <f t="shared" si="52"/>
        <v>0.6</v>
      </c>
      <c r="EL66" s="6">
        <f>IF(B66="","",IF(BV66=1,dU_LED,IF(IFERROR(_xlfn.XLOOKUP(BC66,Коды_код,Коды_уго),"")="Светильник",3,4)+IF(Методика="нормы 2026",MIN(0.5,MAX(0,N(P66)-100)*0.005),0)))</f>
        <v>4</v>
      </c>
      <c r="EM66" cm="1">
        <f t="array" ref="EM66">IF(OR(B66="",BZ66="",EC66&lt;&gt;1),"",_xlfn.LET(_xlpm.sz,Iдоп_S,_xlpm.t_,CHOOSE(EB66,Iдоп_1ж,Iдоп_2ж,Iдоп_3ж)*DZ66*EA66,_xlpm.dcx,BV66=1,_xlpm.inn,IF(_xlpm.dcx,N(O66),N(DT66)),_xlpm.smin,MAX(1.5,CC66),_xlpm.L_,N(P66)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66)/N(BU66)*100,999),IFERROR(N(EJ66)*(_xlpm.rho*_xlpm.L_/_xlpm.sz*N(CE66)+_xlpm.xx*_xlpm.L_*N(EK66)/1000)*N(O66)/((Uн_лин/SQRT(3))*1000)*100,999)),_xlpm.kz,IF(OR(_xlpm.dcx,DW66=1,NOT(ISNUMBER(EG66)),_xlpm.L_=0,_xlpm.inn=0),1,IFERROR(--(c_min*(Uн_лин*1000/SQRT(3))/(EG66+2*ρкз_Cu*_xlpm.L_/_xlpm.sz)&gt;=HT66*_xlpm.inn),0)),_xlpm.ok,IFERROR((_xlpm.sz&gt;=_xlpm.smin)*(_xlpm.t_&gt;=_xlpm.inn)*IF(_xlpm.L_&gt;0,(_xlpm.du_+IF(_xlpm.dcx,0,EF66)&lt;=EL66+0.00001),1)*_xlpm.kz,0),_xlpm.r_,_xlfn._xlws.FILTER(_xlpm.sz,_xlpm.ok,"не подобрано"),INDEX(_xlpm.r_,1)))</f>
        <v>1.5</v>
      </c>
      <c r="EN66">
        <f t="shared" si="53"/>
        <v>1.5</v>
      </c>
      <c r="EO66" cm="1">
        <f t="array" ref="EO66">IF(OR(B66="",BZ66="",EC66&lt;&gt;1),"",_xlfn.LET(_xlpm.sz,Iдоп_S,_xlpm.t_,CHOOSE(EB66,Iдоп_1ж,Iдоп_2ж,Iдоп_3ж)*DZ66*EA66,_xlpm.ok,IFERROR((_xlpm.sz&gt;=MAX(1.5,CC66))*(_xlpm.t_&gt;=N(DT66)),0),_xlpm.r_,_xlfn._xlws.FILTER(_xlpm.sz,_xlpm.ok,""),INDEX(_xlpm.r_,1)))</f>
        <v>1.5</v>
      </c>
      <c r="EP66" s="6" cm="1">
        <f t="array" ref="EP66">IFERROR(ROUNDUP(N(EJ66)*(_xlfn.XLOOKUP(EO66,INDEX(Кабель_сопротивление,0,1),INDEX(Кабель_сопротивление,0,3))*N(P66)/EO66*N(CE66)+_xlfn.XLOOKUP(EO66,INDEX(Кабель_сопротивление,0,1),INDEX(Кабель_сопротивление,0,2))*N(P66)*N(EK66)/1000)*N(O66)/((Uн_лин/SQRT(3))*1000)*100,2),"")</f>
        <v>1.68</v>
      </c>
      <c r="EQ66">
        <f>IFERROR(2*ρкз_Cu*N(P66)/EO66,"")</f>
        <v>0.94680000000000009</v>
      </c>
      <c r="ER66">
        <f>IFERROR(VLOOKUP(EN66,Кабель_сопротивление,3,FALSE),"")</f>
        <v>2.2499999999999999E-2</v>
      </c>
      <c r="ES66">
        <f>IFERROR(VLOOKUP(EN66,Кабель_сопротивление,2,FALSE),"")</f>
        <v>0.11</v>
      </c>
      <c r="ET66">
        <f t="shared" si="54"/>
        <v>27</v>
      </c>
      <c r="EU66">
        <f t="shared" si="55"/>
        <v>0</v>
      </c>
      <c r="EV66">
        <f t="shared" si="56"/>
        <v>3.8793629613159024</v>
      </c>
      <c r="EW66" s="6">
        <f>IFERROR(ROUNDUP(EV66/IF(BV66=1,BU66,(Uн_лин/SQRT(3))*1000)*100,2),"")</f>
        <v>1.68</v>
      </c>
      <c r="EX66" t="str">
        <f>IFERROR(VLOOKUP(BZ66,Кабель_обозначение,2,FALSE),"")</f>
        <v>ВВГнг(А)-LS</v>
      </c>
      <c r="EY66" t="str">
        <f t="shared" si="57"/>
        <v>ВВГнг(А)-LS (3х1,5)</v>
      </c>
      <c r="EZ66" t="str">
        <f t="shared" si="58"/>
        <v>ВВГнг(А)-LS (3х1,5)
L=27-1,68%</v>
      </c>
      <c r="FA66">
        <f>IFERROR(2*ρкз_Cu*P66/EN66,"")</f>
        <v>0.94680000000000009</v>
      </c>
      <c r="FB66">
        <f t="shared" si="59"/>
        <v>0.315</v>
      </c>
      <c r="FC66" s="6" t="str">
        <f>IFERROR(IF(OR(B66="",BV66=1,NOT(ISNUMBER(EN66)),N(P66)=0),"",_xlfn.XLOOKUP(A66,Щиты[Щит],Щиты[Zпетли на шинах, Ом])+FA66),"")</f>
        <v/>
      </c>
      <c r="FD66" s="6" t="str">
        <f>IF(ISNUMBER(FC66),c_min*(Uн_лин*1000/SQRT(3))/FC66,"")</f>
        <v/>
      </c>
      <c r="FE66" s="6" t="str">
        <f>IFERROR(IF(OR(B66="",NOT(ISNUMBER(EN66))),"",1.05*(Uн_лин*1000/SQRT(3))/(_xlfn.XLOOKUP(A66,Щиты[Щит],Щиты[Zmax на шинах, Ом])+FB66)/1000),"")</f>
        <v/>
      </c>
      <c r="FF66" s="6" t="str">
        <f>IF(B66="","",IF(ISNUMBER(AC66),"Сил",IF(IFERROR(_xlfn.XLOOKUP(BC66,Коды_код,Коды_группа)&amp;"","")="","Быт",_xlfn.XLOOKUP(BC66,Коды_код,Коды_группа)&amp;"")))</f>
        <v>Сил</v>
      </c>
      <c r="FG66" s="6" t="str">
        <f t="shared" si="60"/>
        <v>Сил</v>
      </c>
      <c r="FH66" s="6">
        <f>IF(FG66="Щит","щит",IF(FG66="","",IF(FG66="Быт",IFERROR(_xlfn.XLOOKUP(A66,Щиты[Щит],Щиты[Кс быт]),1),IF(FG66="Сил",IF(ISNUMBER(AC66),AC66,IF(Методика="нормы 2026",IFERROR(_xlfn.XLOOKUP(A66,Щиты[Щит],Щиты[Кс силовых (табл. 7.5)]),1),1)),IF(OR(FG66="Пост",FG66="Отоп"),1,IF(FG66="ВНГ",0.7,0))))))</f>
        <v>0.5</v>
      </c>
      <c r="FI66">
        <f>IF(FG66="","",IF(AND(BP66=1,TRIM(AE66&amp;"")=""),IF(COUNTIFS(Линии[Щит],A66,Линии[Секция (1/2/3)],"&gt;=2")&gt;0,MIN(3,MAX(1,IFERROR(--BD66,1))),1),IFERROR(MIN(3,MAX(1,INT(--AE66))),1)))</f>
        <v>1</v>
      </c>
      <c r="FJ66">
        <f t="shared" si="61"/>
        <v>1.1000000000000001</v>
      </c>
      <c r="FK66">
        <f t="shared" si="62"/>
        <v>0</v>
      </c>
      <c r="FL66">
        <f t="shared" si="63"/>
        <v>0.55000000000000004</v>
      </c>
      <c r="FM66">
        <f t="shared" si="64"/>
        <v>0</v>
      </c>
      <c r="FN66">
        <f t="shared" si="65"/>
        <v>0</v>
      </c>
      <c r="FO66">
        <f t="shared" si="66"/>
        <v>0</v>
      </c>
      <c r="FP66">
        <f t="shared" si="67"/>
        <v>1.1000000000000001</v>
      </c>
      <c r="FQ66">
        <f t="shared" si="68"/>
        <v>1.1000000000000001</v>
      </c>
      <c r="FR66">
        <f t="shared" si="69"/>
        <v>0.88000000000000012</v>
      </c>
      <c r="FS66">
        <f>IF(CG66=1,IF(AND(CH66=1,CW66=1),0,IF(AND(CS66&lt;&gt;"",CS66=BA66,CW66=1),SUMIFS(Линии[_Р линии, кВт],Линии[_блок УЗО],BA66,Линии[Щит],A66),N(BS66)+IF(AJ66="вручную",0,N(CK66)))),0)</f>
        <v>1.1000000000000001</v>
      </c>
      <c r="FT66" t="str">
        <f t="shared" si="70"/>
        <v/>
      </c>
      <c r="FU66" t="str">
        <f>IF(B66="","",IF(CG66=0,IF(BA66=1,"",FW65),IF(AND(CH66=1,CW66=1,CS66&lt;&gt;""),IFERROR(_xlfn.XLOOKUP(CS66,Линии[_n],Линии[_фаза итог]),"L1"),IF(OR(N(DL66)&gt;=3,N(BX66)&gt;=3),"L1,L2,L3",IFERROR(_xlfn.TEXTBEFORE(_xlfn.TEXTAFTER(_xlfn.XLOOKUP(A66,Щиты[Щит],Щиты[_фазы авто]),";"&amp;BA66&amp;":"),";"),"L1")))))</f>
        <v>L2</v>
      </c>
      <c r="FV66" t="str">
        <f t="shared" si="71"/>
        <v>L2</v>
      </c>
      <c r="FW66" t="str">
        <f t="shared" si="72"/>
        <v>L2</v>
      </c>
      <c r="FX66" cm="1">
        <f t="array" ref="FX66">IFERROR(IF(CD66=2,_xlfn.IFS(BX66=3,VLOOKUP(BS66,Справочная_двигатели,3,FALSE),BX66=1,VLOOKUP(BS66,Справочная_двигатели,5,TRUE)),0),0)</f>
        <v>0</v>
      </c>
      <c r="FY66">
        <f>IFERROR(IF(CD66=3,VLOOKUP(BS66,Справочная_ЛЭД,2,TRUE),0),0)</f>
        <v>0</v>
      </c>
      <c r="FZ66" s="6">
        <f t="shared" si="73"/>
        <v>0</v>
      </c>
      <c r="GA66" t="str">
        <f>IF(B66="","",IF(TRIM(AH66&amp;"")&lt;&gt;"",IF(LOWER(TRIM(AH66&amp;""))="да","да","нет"),IF(IFERROR(_xlfn.XLOOKUP(BC66,Коды_код,Коды_пожарная),"")="да","да","нет")))</f>
        <v>нет</v>
      </c>
      <c r="GB66" t="str">
        <f t="shared" si="74"/>
        <v/>
      </c>
      <c r="GC66" t="str">
        <f t="shared" si="75"/>
        <v>основная</v>
      </c>
      <c r="GD66">
        <f>IF(AND(BP66=1,TRIM(AE66&amp;"")=""),IF(COUNTIFS(Линии[Щит],A66,Линии[Секция (1/2/3)],"&gt;=2")&gt;0,MIN(3,MAX(1,IFERROR(--BD66,1))),1),IFERROR(MIN(3,MAX(1,INT(--AE66))),1))</f>
        <v>1</v>
      </c>
      <c r="GE66" t="str" cm="1">
        <f t="array" ref="GE66">IF(B66="","",_xlfn.LET(_xlpm.t,IFERROR(_xlfn.XLOOKUP(1,(Шины[Шина]=GC66)*(((Шины[Щит]=A66)+(Шины[Щит]=""))&gt;0),Шины[Тип]),"")&amp;"",IF(_xlpm.t&lt;&gt;"",_xlpm.t,IF(ISNUMBER(SEARCH("ИБП",GC66)),"ИБП",IF(ISNUMBER(SEARCH("ДГУ",GC66)),"ДГУ","Ввод "&amp;GD66)))))</f>
        <v>Ввод 1</v>
      </c>
      <c r="GF66" t="str">
        <f t="shared" si="76"/>
        <v>Ввод 1</v>
      </c>
      <c r="GG66" t="str">
        <f>IF(BP66=0,"",IF(TRIM(AG66&amp;"")&lt;&gt;"",TRIM(AG66&amp;""),IF(OR(GE66="ИБП",GE66="ДГУ"),"I особая",_xlfn.XLOOKUP(A66,Щиты[Щит],Щиты[Категория шины «Ввод»],"III"))))</f>
        <v/>
      </c>
      <c r="GH66" t="str">
        <f>IF(A66="","",_xlfn.XLOOKUP(A66,Щиты[Щит],Щиты[Путь],""))</f>
        <v>|ГРЩ-ЖД|ЩОВ-001|</v>
      </c>
      <c r="GI66" t="str">
        <f>IF(B66="","",IF(AI66&lt;&gt;"",AI66,IF(IFERROR(_xlfn.XLOOKUP(BC66,Коды_код,Коды_вид)&amp;"","")="","Прочее",_xlfn.XLOOKUP(BC66,Коды_код,Коды_вид)&amp;"")))</f>
        <v>Вентиляция</v>
      </c>
      <c r="GJ66">
        <f>IF(BM66="","",INT((BM66-1)/Столбцов_на_лист)+1)</f>
        <v>2</v>
      </c>
      <c r="GK66" t="str">
        <f t="shared" si="77"/>
        <v>ВВГнг(А)-LS (3х1,5) L=27-1,68%</v>
      </c>
      <c r="GL66">
        <f t="shared" si="78"/>
        <v>1.1000000000000001</v>
      </c>
      <c r="GM66">
        <f t="shared" si="79"/>
        <v>5.96</v>
      </c>
      <c r="GN66">
        <f t="shared" si="80"/>
        <v>1</v>
      </c>
      <c r="GO66">
        <f t="shared" si="81"/>
        <v>0</v>
      </c>
      <c r="GP66">
        <f t="shared" si="82"/>
        <v>1</v>
      </c>
      <c r="GQ66">
        <f>IF(BM66="","",IF(AND(CG66=1,GP66=1),COUNTIFS(A$3:A66,A66,CG$3:CG66,1,GP$3:GP66,1),IF(OR(OR(BA66=1,A66&lt;&gt;A65),AJ66="вручную",GP66=0),"",IF(BA66=1,"",GR65))))</f>
        <v>13</v>
      </c>
      <c r="GR66">
        <f t="shared" si="83"/>
        <v>13</v>
      </c>
      <c r="GS66">
        <f>IF(B66="","",IFERROR(LOOKUP(INDEX(CHOOSE(EB66,Iдоп_1ж,Iдоп_2ж,Iдоп_3ж),MATCH(EN66,Iдоп_S,0))*DZ66*EA66,{6,10,16,20,25,32,40,50,63,80,100,125,160,200,250,315,400,500,630}),""))</f>
        <v>16</v>
      </c>
      <c r="GT66" t="str">
        <f t="shared" si="84"/>
        <v>QF13</v>
      </c>
      <c r="GU66" t="str">
        <f t="shared" si="85"/>
        <v>QF13</v>
      </c>
      <c r="GV66" t="str">
        <f t="shared" si="86"/>
        <v/>
      </c>
      <c r="GW66">
        <f t="shared" si="87"/>
        <v>0</v>
      </c>
      <c r="GX66" t="str">
        <f>IF(OR(B66="",DJ66=""),"",IFERROR(_xlfn.XLOOKUP(DJ66,Модули_умолч[Управление],Модули_умолч[Модель])&amp;"",""))</f>
        <v/>
      </c>
      <c r="GY66">
        <f>IF(DJ66="",1,IFERROR(MAX(0,N(_xlfn.XLOOKUP(DJ66,Модули_умолч[Управление],Модули_умолч[Каналов на линию]))),1))</f>
        <v>1</v>
      </c>
      <c r="GZ66" t="str">
        <f t="shared" si="88"/>
        <v/>
      </c>
      <c r="HA66" t="str">
        <f t="shared" si="89"/>
        <v/>
      </c>
      <c r="HB66" t="str">
        <f t="shared" si="90"/>
        <v/>
      </c>
      <c r="HC66">
        <f>IF(HB66="",0,IFERROR(N(VLOOKUP(HB66,Модули_спр,3,FALSE)),0))</f>
        <v>0</v>
      </c>
      <c r="HD66" t="str">
        <f t="shared" si="91"/>
        <v/>
      </c>
      <c r="HE66" t="str">
        <f t="shared" si="92"/>
        <v/>
      </c>
      <c r="HF66" t="str">
        <f>IF(OR(HE66="",HE66="-"),"",IFERROR(VLOOKUP(HE66,Модули_спр,2,FALSE),"R"))</f>
        <v/>
      </c>
      <c r="HG66" t="str">
        <f>IF(HF66="","",HF66&amp;"."&amp;COUNTIFS(A$3:A66,A66,HF$3:HF66,HF66))</f>
        <v/>
      </c>
      <c r="HH66" t="str">
        <f t="shared" si="93"/>
        <v/>
      </c>
      <c r="HI66" t="str">
        <f t="shared" si="94"/>
        <v/>
      </c>
      <c r="HJ66" t="str">
        <f t="shared" si="95"/>
        <v/>
      </c>
      <c r="HK66" t="str">
        <f t="shared" si="96"/>
        <v/>
      </c>
      <c r="HL66">
        <f t="shared" si="97"/>
        <v>1</v>
      </c>
      <c r="HM66" t="str">
        <f>IF(HL66=1,"XT"&amp;COUNTIFS(A$3:A66,A66,HL$3:HL66,1),"")</f>
        <v>XT13</v>
      </c>
      <c r="HN66" t="str">
        <f t="shared" si="98"/>
        <v/>
      </c>
      <c r="HO66" t="str">
        <f t="shared" si="99"/>
        <v>QF13</v>
      </c>
      <c r="HP66" t="str">
        <f t="shared" si="100"/>
        <v/>
      </c>
      <c r="HQ66" t="str">
        <f t="shared" si="101"/>
        <v>ok</v>
      </c>
      <c r="HR66" t="str">
        <f>IF(OR(HJ66="",HH66=""),"",IF(HJ66+MAX(0,GY66-1)&gt;IFERROR(VLOOKUP(HI66,Модули_спр,3,FALSE),99),"ЛИШНИЙ КАНАЛ",IF(AND(AL66&lt;&gt;"=",GY66&gt;0,COUNTIFS(Линии[_модуль гр.],HH66,Линии[Канал (итог)],HJ66,Линии[Канал],"&lt;&gt;=",Линии[Щит],A66)&gt;1),"ДУБЛЬ КАНАЛА","")))</f>
        <v/>
      </c>
      <c r="HS66" s="6" t="str">
        <f t="shared" si="102"/>
        <v/>
      </c>
      <c r="HT66">
        <f t="shared" si="103"/>
        <v>10</v>
      </c>
      <c r="HU66" t="str">
        <f t="shared" si="104"/>
        <v/>
      </c>
      <c r="HV66">
        <f t="shared" si="105"/>
        <v>2.6515698604072062</v>
      </c>
      <c r="HW66">
        <f t="shared" si="106"/>
        <v>0</v>
      </c>
      <c r="HX66">
        <f t="shared" si="107"/>
        <v>0</v>
      </c>
      <c r="HY66">
        <f t="shared" si="108"/>
        <v>0</v>
      </c>
      <c r="HZ66">
        <f t="shared" si="109"/>
        <v>0</v>
      </c>
      <c r="IA66">
        <f t="shared" si="110"/>
        <v>0</v>
      </c>
      <c r="IB66">
        <f t="shared" si="111"/>
        <v>0</v>
      </c>
      <c r="IC66" t="str">
        <f t="shared" si="112"/>
        <v/>
      </c>
      <c r="ID66" t="str" cm="1">
        <f t="array" ref="ID66">IF(IC66="","",_xlfn.LET(_xlpm.tk,_xlfn.TEXTSPLIT(SUBSTITUTE(SUBSTITUTE(IC66,";"," "),"→"," ")," ",,TRUE),_xlpm.w_,_xlfn._xlws.FILTER(_xlpm.tk,ISNUMBER(--LEFT(_xlpm.tk,1))*((ISNUMBER(SEARCH("W",_xlpm.tk))+ISNUMBER(SEARCH("Вт",_xlpm.tk)))&gt;0),""),IFERROR(--SUBSTITUTE(SUBSTITUTE(UPPER(INDEX(_xlpm.w_,1)),"W",""),"ВТ",""),"")))</f>
        <v/>
      </c>
      <c r="IE66" t="str" cm="1">
        <f t="array" ref="IE66">IF(IC66="","",_xlfn.LET(_xlpm.tk,_xlfn.TEXTSPLIT(SUBSTITUTE(SUBSTITUTE(IC66,";"," "),"→"," ")," ",,TRUE),_xlpm.v_,_xlfn._xlws.FILTER(_xlpm.tk,ISNUMBER(--LEFT(_xlpm.tk,1))*((ISNUMBER(SEARCH("V",_xlpm.tk))+(RIGHT(UPPER(_xlpm.tk))="В"))&gt;0),""),IFERROR(--SUBSTITUTE(SUBSTITUTE(UPPER(INDEX(_xlpm.v_,1)),"V",""),"В",""),"")))</f>
        <v/>
      </c>
      <c r="IF66" s="6" t="str">
        <f>IF(OR(BV66=0,HI66="",HJ66=""),"",IFERROR(N(_xlfn.XLOOKUP(HI66,Каталог!$C$4:$C$500,Каталог!$Q$4:$Q$500)),""))</f>
        <v/>
      </c>
      <c r="IG66" s="6" t="str">
        <f>IF(N(IF66)=0,"",SUMIFS(Линии[Iр, А],Линии[Щит],A66,Линии[_модуль гр.],HH66,Линии[Канал (итог)],HJ66))</f>
        <v/>
      </c>
      <c r="IH66" t="str">
        <f>IF(AND(B66="",HO66=""),"",_xlfn.TEXTJOIN("; ",TRUE,IF(AND(B66&lt;&gt;"",FV66=""),"нет фазы",""),IF(AND(B66&lt;&gt;"",N(GL66)=0,FG66&lt;&gt;"Нет"),"нет мощности",""),IF(AND(HN66&lt;&gt;"",COUNTIFS(Линии[Щит],A66,Линии[Клемма (итог)],HN66)&gt;1),"дубль клеммы "&amp;HN66,""),IF(AND(HQ66&lt;&gt;"",HQ66&lt;&gt;"ok"),HQ66,""),IF(HR66&lt;&gt;"",HR66,""),IF(AND(N(CB66)&gt;=4,N(BX66)=1),CB66&amp;" жил на 1 фазе",""),IF(AND(BC66="R",CG66=1,IF(CS66&lt;&gt;"",N(CV66)&gt;30,OR(N(DA66)=0,N(DA66)&gt;30))),"розетка без дифзащиты до 30 мА",""),IF(AND(CG66=1,N(DA66)&gt;0,ISNUMBER(T66)),IF(T66&gt;N(DA66)/3,"ток утечки "&amp;FIXED(T66,1)&amp;" мА &gt; 1/3 уставки ("&amp;DA66&amp;" мА)",""),""),IF(AND(CH66=1,CS66=""),"«узо»: нет строки с УЗО выше (УЗО 2P 40А 30мА в «Аппаратах»)",""),IF(AND(CS66&lt;&gt;"",CS66=BA66),IF(CT66="","впишите номинал УЗО (УЗО 2P 40А 30мА)",IF(N(CT66)&lt;N(DT66),"УЗО "&amp;CT66&amp;" А &lt; автомата "&amp;DT66&amp;" А перед ним",IF(N(CT66)&lt;N(CX66),"УЗО "&amp;CT66&amp;" А &lt; тока блока "&amp;FIXED(CX66,1)&amp;" А",""))),""),IF(AND(CS66&lt;&gt;"",CS66=BA66,ISNUMBER(CY66)),IF(CY66&gt;N(CV66)/3,"ток утечки блока УЗО "&amp;FIXED(CY66,1)&amp;" мА &gt; 1/3 уставки ("&amp;CV66&amp;" мА)",""),""),IF(AND(CG66=1,N(BV66)+N(IB66)&gt;0,IC66=""),"линии до 50 В без БП: впишите в «Аппараты» (БП 24V 480W)",""),IF(AND(CG66=1,ISNUMBER(ID66),ISNUMBER(U66)),IF(U66&gt;ID66,"БП "&amp;ID66&amp;" Вт &lt; нужно "&amp;U66&amp;" Вт (×"&amp;Запас_БП&amp;")",""),""),IF(AND(CG66=1,ISNUMBER(IE66),N(BV66)=1),IF(IE66&lt;&gt;N(BU66),"БП на "&amp;IE66&amp;" В, линия "&amp;BU66&amp;" В",""),""),IF(AND(N(IF66)&gt;0,N(IG66)&gt;N(IF66)),HH66&amp;" канал "&amp;HJ66&amp;": "&amp;FIXED(IG66,1)&amp;" А &gt; "&amp;IF66&amp;" А",""),IFERROR(IF(AND(ISNUMBER(Q66),Q66&gt;EL66),"потери "&amp;FIXED(Q66,1)&amp;" % &gt; "&amp;EL66&amp;" %",""),""),IFERROR(IF(LEFT(HU66,4)="мало","Iкз мало — отключение &gt; 0,4 с",""),""),IF(AND(B66&lt;&gt;"",BM66=""),"не на схеме",""),IF(AND(CG66=0,B66&lt;&gt;"",FV66&lt;&gt;"",IF(BA66=1,"",FW65)&lt;&gt;"",FV66&lt;&gt;IF(BA66=1,"",FW65)),"фаза не как у автомата группы ("&amp;IF(BA66=1,"",FW65)&amp;")","")))</f>
        <v/>
      </c>
      <c r="II66" s="6">
        <f>IF(OR(CG66=0,DQ66=""),"",_xlfn.LET(_xlpm.t,IFERROR(_xlfn.XLOOKUP(DQ66,Каталог!$U$4:$U$500,Каталог!$G$4:$G$500),""),_xlpm.k,SEARCH("кА",_xlpm.t),IFERROR(--TRIM(RIGHT(SUBSTITUTE(MID(_xlpm.t,MAX(1,_xlpm.k-4),_xlpm.k-MAX(1,_xlpm.k-4))," ",REPT(" ",9)),5)),"")))</f>
        <v>6</v>
      </c>
      <c r="IJ66" t="str">
        <f>IF(OR(II66="",CG66=0),"",IF(_xlfn.XLOOKUP(A66,Щиты[Щит],Щиты[Iкз max на шинах, кА],"")="","",IF(II66&lt;_xlfn.XLOOKUP(A66,Щиты[Щит],Щиты[Iкз max на шинах, кА]),"Icu "&amp;II66&amp;" кА &lt; Iкз max","ok")))</f>
        <v/>
      </c>
      <c r="IK66" t="str">
        <f t="shared" si="113"/>
        <v/>
      </c>
      <c r="IL66" t="str">
        <f t="shared" si="114"/>
        <v>QF13</v>
      </c>
      <c r="IM66" t="str">
        <f t="shared" si="115"/>
        <v>QF13|кабель ВВГнг(А)-LS (3х1,5) → Приточно-вытяжная установка Подвальный этаж Пом. №006Т</v>
      </c>
      <c r="IN66" t="str" cm="1">
        <f t="array" ref="IN66">IF(IM66="","",_xlfn.LET(_xlpm.nd,_xlfn.TEXTSPLIT(IM66,"|"),IF(COLUMNS(_xlpm.nd)&gt;1,A66&amp;"¦"&amp;INDEX(_xlpm.nd,1)&amp;"¦"&amp;INDEX(_xlpm.nd,2),"")))</f>
        <v>ЩОВ-001¦QF13¦кабель ВВГнг(А)-LS (3х1,5) → Приточно-вытяжная установка Подвальный этаж Пом. №006Т</v>
      </c>
      <c r="IO66" t="str">
        <f t="shared" si="116"/>
        <v>ПВ.4¦Приточно-вытяжная установка Подвальный этаж Пом. №006Т</v>
      </c>
      <c r="IP66" t="str" cm="1">
        <f t="array" ref="IP66">IF(IM66="","",_xlfn.LET(_xlpm.nd,_xlfn.TEXTSPLIT(IM66,"|"),IF(COLUMNS(_xlpm.nd)&gt;2,A66&amp;"¦"&amp;INDEX(_xlpm.nd,2)&amp;"¦"&amp;INDEX(_xlpm.nd,3),"")))</f>
        <v/>
      </c>
      <c r="IQ66" t="str">
        <f t="shared" si="117"/>
        <v/>
      </c>
      <c r="IR66" t="str" cm="1">
        <f t="array" ref="IR66">IF(IM66="","",_xlfn.LET(_xlpm.nd,_xlfn.TEXTSPLIT(IM66,"|"),IF(COLUMNS(_xlpm.nd)&gt;3,A66&amp;"¦"&amp;INDEX(_xlpm.nd,3)&amp;"¦"&amp;INDEX(_xlpm.nd,4),"")))</f>
        <v/>
      </c>
      <c r="IS66" t="str">
        <f t="shared" si="118"/>
        <v/>
      </c>
      <c r="IT66" t="str" cm="1">
        <f t="array" ref="IT66">IF(IM66="","",_xlfn.LET(_xlpm.nd,_xlfn.TEXTSPLIT(IM66,"|"),IF(COLUMNS(_xlpm.nd)&gt;4,A66&amp;"¦"&amp;INDEX(_xlpm.nd,4)&amp;"¦"&amp;INDEX(_xlpm.nd,5),"")))</f>
        <v/>
      </c>
      <c r="IU66" t="str">
        <f t="shared" si="119"/>
        <v/>
      </c>
      <c r="IV66" t="str" cm="1">
        <f t="array" ref="IV66">IF(IM66="","",_xlfn.LET(_xlpm.nd,_xlfn.TEXTSPLIT(IM66,"|"),IF(COLUMNS(_xlpm.nd)&gt;5,A66&amp;"¦"&amp;INDEX(_xlpm.nd,5)&amp;"¦"&amp;INDEX(_xlpm.nd,6),"")))</f>
        <v/>
      </c>
      <c r="IW66" t="str">
        <f t="shared" si="120"/>
        <v/>
      </c>
      <c r="IX66" t="str" cm="1">
        <f t="array" ref="IX66">IF(IM66="","",_xlfn.LET(_xlpm.nd,_xlfn.TEXTSPLIT(IM66,"|"),IF(COLUMNS(_xlpm.nd)&gt;6,A66&amp;"¦"&amp;INDEX(_xlpm.nd,6)&amp;"¦"&amp;INDEX(_xlpm.nd,7),"")))</f>
        <v/>
      </c>
      <c r="IY66" t="str">
        <f t="shared" si="121"/>
        <v/>
      </c>
      <c r="IZ66" t="str">
        <f t="shared" si="122"/>
        <v/>
      </c>
      <c r="JA66" t="str">
        <f t="shared" si="123"/>
        <v>QF13</v>
      </c>
      <c r="JB66">
        <f t="shared" si="124"/>
        <v>0</v>
      </c>
      <c r="JC66">
        <f t="shared" si="125"/>
        <v>0</v>
      </c>
      <c r="JD66" t="str">
        <f t="shared" si="126"/>
        <v/>
      </c>
      <c r="JE66" t="str">
        <f t="shared" si="127"/>
        <v/>
      </c>
      <c r="JF66" t="str">
        <f t="shared" si="128"/>
        <v/>
      </c>
      <c r="JG66" t="str">
        <f t="shared" si="129"/>
        <v/>
      </c>
      <c r="JH66" t="str">
        <f>IF(B66="","",IFERROR(_xlfn.XLOOKUP(B66,Коды_код,Коды_уго),IFERROR(_xlfn.XLOOKUP(BC66,Коды_код,Коды_уго),IFERROR(_xlfn.XLOOKUP(LEFT(BC66,2),Коды_код,Коды_уго),""))))</f>
        <v>Привод (двигатель)</v>
      </c>
      <c r="JI66" t="str">
        <f>IF(B66="","",IF(OR(JH66="",JH66=0),"BOX",IFERROR(IF(VLOOKUP(JH66,УГО_блоки,3,FALSE)&amp;""&lt;&gt;"",VLOOKUP(JH66,УГО_блоки,3,FALSE),VLOOKUP(JH66,УГО_блоки,2,FALSE)),JH66)))</f>
        <v>MOTOR</v>
      </c>
      <c r="JJ66">
        <f t="shared" si="130"/>
        <v>1</v>
      </c>
      <c r="JK66" t="str">
        <f>IF(DQ66="","",IF(COUNTIF(DQ$3:DQ66,DQ66)=1,MAX(JK$2:JK65)+1,""))</f>
        <v/>
      </c>
      <c r="JL66" t="str">
        <f>IF(DE66="","",IF(COUNTIF(DE$3:DE66,DE66)+COUNTIF(DF$2:DF65,DE66)+COUNTIF(DG$2:DG65,DE66)=1,MAX(JL$2:JN65)+1,""))</f>
        <v/>
      </c>
      <c r="JM66" t="str">
        <f>IF(DF66="","",IF(COUNTIF(DE$3:DE66,DF66)+COUNTIF(DF$3:DF66,DF66)+COUNTIF(DG$2:DG65,DF66)=1,MAX(JL$2:JN65,JL66)+1,""))</f>
        <v/>
      </c>
      <c r="JN66" t="str">
        <f>IF(DG66="","",IF(COUNTIF(DE$3:DE66,DG66)+COUNTIF(DF$3:DF66,DG66)+COUNTIF(DG$3:DG66,DG66)=1,MAX(JL$2:JN65,JL66,JM66)+1,""))</f>
        <v/>
      </c>
      <c r="JO66" t="str">
        <f t="shared" si="131"/>
        <v>3х1,5</v>
      </c>
      <c r="JP66" t="str">
        <f>IF(JO66="","",IF(COUNTIF(JO$3:JO66,JO66)=1,MAX(JP$2:JP65)+1,""))</f>
        <v/>
      </c>
      <c r="JQ66" t="str">
        <f>IF(HG66="","",COUNTIF(HG$3:HG66,"?*"))</f>
        <v/>
      </c>
      <c r="JR66" t="str">
        <f>IF(OR(HG66="",HI66=""),"",IF(COUNTIFS(HG$3:HG66,"?*",HI$3:HI66,HI66)=1,MAX(JR$2:JR65)+1,""))</f>
        <v/>
      </c>
      <c r="JS66">
        <f t="shared" si="132"/>
        <v>0</v>
      </c>
      <c r="JT66">
        <f>IF(B66="","",COUNTIF(B$3:B66,"?*"))</f>
        <v>64</v>
      </c>
      <c r="JU66">
        <f>IF(HL66&lt;&gt;1,0,_xlfn.LET(_xlpm.k,MAX(IFERROR(--_xlfn.XLOOKUP(B66,Коды_код,Коды_3L),0),IFERROR(--_xlfn.XLOOKUP(BC66,Коды_код,Коды_3L),0),IFERROR(--_xlfn.XLOOKUP(LEFT(BC66,2),Коды_код,Коды_3L),0)),IF(_xlpm.k&gt;0,_xlpm.k,IF(IFERROR(--LEFT(SUBSTITUTE(JO66,"x","х"),FIND("х",SUBSTITUTE(JO66,"x","х"))-1),3)&gt;3,Каталог!$S$9,1))))</f>
        <v>1</v>
      </c>
      <c r="JV66">
        <f t="shared" si="133"/>
        <v>0</v>
      </c>
      <c r="JW66" t="str">
        <f t="shared" si="134"/>
        <v>авто</v>
      </c>
      <c r="JX66" t="str">
        <f t="shared" si="135"/>
        <v/>
      </c>
      <c r="JY66">
        <f t="shared" si="136"/>
        <v>0</v>
      </c>
      <c r="JZ66">
        <f t="shared" si="137"/>
        <v>1</v>
      </c>
    </row>
    <row r="67" spans="1:286" x14ac:dyDescent="0.3">
      <c r="A67" t="s">
        <v>747</v>
      </c>
      <c r="B67" t="s">
        <v>1380</v>
      </c>
      <c r="C67" t="s">
        <v>1659</v>
      </c>
      <c r="D67">
        <v>1</v>
      </c>
      <c r="E67">
        <v>0.3</v>
      </c>
      <c r="G67">
        <v>10</v>
      </c>
      <c r="H67" t="str">
        <f>Линии[[#This Row],[_авто управление]]</f>
        <v/>
      </c>
      <c r="I67" t="str">
        <f>Линии[[#This Row],[_авто аппараты]]</f>
        <v/>
      </c>
      <c r="J67">
        <v>1.5</v>
      </c>
      <c r="K67">
        <v>14</v>
      </c>
      <c r="L67" t="str">
        <f>Линии[[#This Row],[_авто фаза]]</f>
        <v>L1</v>
      </c>
      <c r="M67" t="s">
        <v>484</v>
      </c>
      <c r="N67" t="str">
        <f t="shared" ref="N67:N130" si="138">_xlfn.TEXTJOIN("; ",TRUE,IK67,IH67,IF(LEFT(IJ67,3)="Icu",IJ67,""),IF(AND(B67&lt;&gt;"",EN67="не подобрано"),"сечение не подобрано: проверьте длину и автомат или впишите сечение",""))</f>
        <v/>
      </c>
      <c r="O67" s="6" cm="1">
        <f t="array" ref="O67">IF(B67="","",IF(BH67&lt;&gt;"",IFERROR(_xlfn.XLOOKUP(BH67,Щиты[Щит],Щиты[Iр, А]),""),IF(BP67=1,IF(OR(N(_xlfn.XLOOKUP(A67,Щиты[Щит],Щиты[Вводов],1))&lt;=1,LOWER(TRIM(_xlfn.XLOOKUP(A67,Щиты[Щит],Щиты[АВР],"")&amp;""))="да"),IFERROR(_xlfn.XLOOKUP(A67,Щиты[Щит],Щиты[Iр, А]),""),IFERROR(N(BS67)*_xlfn.XLOOKUP(A67,Щиты[Щит],Щиты[Кс итог])/(SQRT(3)*Uн_лин*_xlfn.XLOOKUP(A67,Щиты[Щит],Щиты[cos φ])),"")),IF(BV67=1,IFERROR(BS67*1000/BU67,""),IFERROR(_xlfn.IFS(BX67=1,BS67/((Uн_лин/SQRT(3))*CE67),BX67=3,BS67/(SQRT(3)*Uн_лин*CE67)),"")))))</f>
        <v>1.6237976320958221</v>
      </c>
      <c r="P67" s="7">
        <f>IF(B67="","",IFERROR(IF(VLOOKUP(BC67,Потребители_обозначение,4,FALSE)=1,VLOOKUP(BC67,Потребители_обозначение,3,FALSE)*(MAX(1,N(D67))*2-1)+EI67+VLOOKUP(BE67,Этаж_обозначение,3,FALSE)+VLOOKUP(BE67,Этаж_обозначение,4,FALSE),VLOOKUP(BC67,Потребители_обозначение,3,FALSE)*(MAX(1,N(D67))*2-1)+EI67),EI67))</f>
        <v>16</v>
      </c>
      <c r="Q67" s="6">
        <f t="shared" ref="Q67:Q130" si="139">IF(ISNUMBER(EW67),EW67+IF(BV67=1,0,ED67),"")</f>
        <v>0.92</v>
      </c>
      <c r="R67" t="str">
        <f t="shared" ref="R67:R130" si="140">IF(OR(B67="",EX67=""),"",IF(EN67="не подобрано",EX67&amp;" — сечение не подобрано",EY67))</f>
        <v>ВВГнг(А)-LS (3х1,5)</v>
      </c>
      <c r="S67" t="str">
        <f>IF(BM67="","",IF(BN67="вводной узел","узел ","")&amp;"л."&amp;(INT((BM67-1)/Столбцов_на_лист)+1)&amp;" / "&amp;(MOD(BM67-1,Столбцов_на_лист)+1))</f>
        <v>л.2 / 12</v>
      </c>
      <c r="T67" s="119">
        <f t="shared" ref="T67:T130" si="141">IF(OR(CG67=0,BH67&lt;&gt;"",BP67=1),"",IF(AND(CS67&lt;&gt;"",CS67=BA67),ROUND(N(CY67),1),ROUND(N(HV67)+N(HW67),1)))</f>
        <v>0.8</v>
      </c>
      <c r="U67" s="7" t="str">
        <f>IF(OR(CG67=0,N(BV67)+N(IB67)=0),"",ROUNDUP(Запас_БП*(N(HY67)+N(HZ67)),0))</f>
        <v/>
      </c>
      <c r="V67" s="119" t="str">
        <f t="shared" ref="V67:V130" si="142">IF(OR(CG67=0,N(BV67)+N(IB67)=0),"",ROUND(MAX(N(HX67),N(IA67)),1))</f>
        <v/>
      </c>
      <c r="W67" s="7" t="str">
        <f>IFERROR(IF(OR(B67="",BP67=1,BV67=1,NOT(ISNUMBER(EN67)),N(DT67)=0),"",MAX(0,ROUNDDOWN((c_min*(Uн_лин*1000/SQRT(3))/(HT67*N(DT67))-_xlfn.XLOOKUP(A67,Щиты[Щит],Щиты[Zпетли на шинах, Ом]))*EN67/(2*ρкз_Cu),0))),"")</f>
        <v/>
      </c>
      <c r="Y67" t="str">
        <f>Линии[[#This Row],[_авто утечка]]</f>
        <v/>
      </c>
      <c r="Z67">
        <v>1</v>
      </c>
      <c r="AA67">
        <v>230</v>
      </c>
      <c r="AB67" t="s">
        <v>598</v>
      </c>
      <c r="AC67">
        <v>0.5</v>
      </c>
      <c r="AG67" t="s">
        <v>810</v>
      </c>
      <c r="AI67" t="s">
        <v>576</v>
      </c>
      <c r="AK67" t="str">
        <f>Линии[[#This Row],[_авто модуль]]</f>
        <v/>
      </c>
      <c r="AM67">
        <v>29</v>
      </c>
      <c r="AN67" t="s">
        <v>11</v>
      </c>
      <c r="AO67">
        <v>3</v>
      </c>
      <c r="AR67">
        <v>16</v>
      </c>
      <c r="AT67">
        <v>1</v>
      </c>
      <c r="BA67" cm="1">
        <f t="array" ref="BA67">ROW()-ROW(Линии[#Headers])</f>
        <v>65</v>
      </c>
      <c r="BC67" s="6" t="str">
        <f t="shared" ref="BC67:BC130" si="143">IF(B67="","",IFERROR(LEFT(B67,SEARCH(".",B67)-1),B67))</f>
        <v>К</v>
      </c>
      <c r="BD67" t="str">
        <f t="shared" ref="BD67:BD130" si="144">IFERROR(RIGHT(B67,LEN(B67)-SEARCH(".",B67)),"")</f>
        <v>1.017А.1</v>
      </c>
      <c r="BE67" t="str">
        <f t="shared" ref="BE67:BE130" si="145">IFERROR(LEFT(BD67,SEARCH(".",BD67)-1),BD67)</f>
        <v>1</v>
      </c>
      <c r="BF67" t="str">
        <f t="shared" ref="BF67:BF130" si="146">IFERROR(RIGHT(BD67,LEN(BD67)-SEARCH(".",BD67)),"")</f>
        <v>017А.1</v>
      </c>
      <c r="BG67" t="str">
        <f t="shared" ref="BG67:BG130" si="147">IFERROR(LEFT(BF67,SEARCH(".",BF67)-1),BF67)</f>
        <v>017А</v>
      </c>
      <c r="BH67" t="str">
        <f>IF(X67&lt;&gt;"",X67,IF(AND(B67&lt;&gt;"",B67&lt;&gt;A67,ISNUMBER(_xlfn.XMATCH(B67,Щиты[Щит]))),B67,""))</f>
        <v/>
      </c>
      <c r="BI67" t="str" cm="1">
        <f t="array" ref="BI67">IF(B67="","",IF(BH67&lt;&gt;"","Щит "&amp;BH67,_xlfn.LET(_xlpm.nm,IFERROR(_xlfn.XLOOKUP(BC67,Коды_код,Коды_имя)&amp;"",""),_xlpm.md,IFERROR(N(_xlfn.XLOOKUP(BC67,Коды_код,Коды_режим)),1),_xlpm.ex,IF(Имя_режим="по экспликации",IFERROR(_xlfn.XLOOKUP(BE67&amp;"|"&amp;BG67,Экспликация[Этаж]&amp;"|"&amp;Экспликация[Помещение],Экспликация[Название])&amp;"",""),""),_xlpm.rm,IF(BG67="","",IF(_xlpm.ex&lt;&gt;"",". "&amp;_xlpm.ex&amp;IF(Имя_пом="нет"," ("&amp;BG67&amp;")"," (пом. "&amp;BG67&amp;")"),IF(Имя_пом="нет"," ",", пом. ")&amp;BG67)),IF(_xlpm.nm="","",IF(_xlpm.md=2,_xlpm.nm&amp;" шлейф "&amp;BE67,_xlpm.nm&amp;_xlpm.rm)))))</f>
        <v>Внутренний блок кондиционирования, пом. 017А</v>
      </c>
      <c r="BJ67" t="str">
        <f t="shared" ref="BJ67:BJ130" si="148">IF(TRIM(C67&amp;"")="",BI67,C67)</f>
        <v>Внутренний блок кондиционера Подвальный этаж Пом. №006Т</v>
      </c>
      <c r="BK67">
        <f>IFERROR(_xlfn.XMATCH(A67,Щиты[Щит]),0)</f>
        <v>4</v>
      </c>
      <c r="BL67">
        <f>_xlfn.LET(_xlpm.k,IFERROR(_xlfn.XLOOKUP(A67,Щиты[Щит],Щиты[Мест под вводной узел]),""),IF(_xlpm.k="",Столбцов_на_лист,N(_xlpm.k)))</f>
        <v>13</v>
      </c>
      <c r="BM67">
        <f t="shared" ref="BM67:BM130" si="149">IF(AM67="-","",IF(ISNUMBER(AM67),AM67,_xlfn.LET(_xlpm.prev,IF(OR(BA67=1,A67&lt;&gt;A66),0,N(IF(BA67=1,"",BM66))),_xlpm.nx,_xlpm.prev+1,IF(AND(AJ67&lt;&gt;"вручную",_xlpm.nx&lt;=BL67),BL67+1,_xlpm.nx))))</f>
        <v>29</v>
      </c>
      <c r="BN67" t="str">
        <f t="shared" ref="BN67:BN130" si="150">IF(BM67="","",IF(BM67&lt;=BL67,"вводной узел","линии"))</f>
        <v>линии</v>
      </c>
      <c r="BO67" s="6">
        <f>IFERROR(N(_xlfn.XLOOKUP(BC67,Коды_код,Коды_квт)),0)</f>
        <v>0</v>
      </c>
      <c r="BP67">
        <f t="shared" ref="BP67:BP130" si="151">IF(AND(B67&lt;&gt;"",BC67="Ввод"),1,0)</f>
        <v>0</v>
      </c>
      <c r="BQ67" t="str">
        <f>IF(B67="","",IF(BH67&lt;&gt;"",IFERROR(_xlfn.XLOOKUP(BH67,Щиты[Щит],Щиты[Руст, кВт]),0),IF(BP67=1,IF(OR(N(_xlfn.XLOOKUP(A67,Щиты[Щит],Щиты[Вводов],1))&lt;=1,LOWER(TRIM(_xlfn.XLOOKUP(A67,Щиты[Щит],Щиты[АВР],"")&amp;""))="да"),IFERROR(_xlfn.XLOOKUP(A67,Щиты[Щит],Щиты[Руст, кВт]),0),SUMIFS(Линии[_Р для вводов],Линии[Щит],A67,Линии[Источник для режимов],GF67)),IF(BO67&gt;0,ROUND(BO67*MAX(1,N(D67)),3),""))))</f>
        <v/>
      </c>
      <c r="BR67">
        <f t="shared" ref="BR67:BR130" si="152">IF(TRIM(E67&amp;"")="",BQ67,E67)</f>
        <v>0.3</v>
      </c>
      <c r="BS67" s="6">
        <f>IF(B67="","",IF(BH67&lt;&gt;"",IFERROR(_xlfn.XLOOKUP(BH67,Щиты[Щит],Щиты[Руст, кВт]),0),N(BR67)))</f>
        <v>0.3</v>
      </c>
      <c r="BT67" t="str">
        <f>IF(B67="","",IFERROR(IF(VLOOKUP(BC67,Потребители_обозначение,8,FALSE)=0,"",VLOOKUP(BC67,Потребители_обозначение,8,FALSE)),""))</f>
        <v/>
      </c>
      <c r="BU67">
        <f t="shared" ref="BU67:BU130" si="153">IF(TRIM(AA67&amp;"")="",BT67,AA67)</f>
        <v>230</v>
      </c>
      <c r="BV67">
        <f t="shared" ref="BV67:BV130" si="154">IF(B67="",0,IF(AND(N(BU67)&gt;0,N(BU67)&lt;=50),1,0))</f>
        <v>0</v>
      </c>
      <c r="BW67">
        <f>IF(B67="","",IF(BH67&lt;&gt;"",3,IFERROR(IF(N(VLOOKUP(BC67,Потребители_обозначение,9,FALSE))=0,1,VLOOKUP(BC67,Потребители_обозначение,9,FALSE)),1)))</f>
        <v>1</v>
      </c>
      <c r="BX67">
        <f t="shared" ref="BX67:BX130" si="155">IF(B67="","",IF(TRIM(Z67&amp;"")="",BW67,N(Z67)))</f>
        <v>1</v>
      </c>
      <c r="BY67" t="str">
        <f>IF(B67="","",_xlfn.LET(_xlpm.bc,IFERROR(IF(VLOOKUP(BC67,Потребители_обозначение,6,FALSE)=0,"",VLOOKUP(BC67,Потребители_обозначение,6,FALSE)&amp;""),""),IF(AND(GA67="да",OR(_xlpm.bc="",_xlpm.bc="мс")),Марка_пож,IF(AND(_xlpm.bc="",BH67&lt;&gt;""),"мс",_xlpm.bc))))</f>
        <v/>
      </c>
      <c r="BZ67" t="str">
        <f t="shared" ref="BZ67:BZ130" si="156">IF(TRIM(AN67&amp;"")="",BY67,AN67)</f>
        <v>мс</v>
      </c>
      <c r="CA67">
        <f>IF(B67="","",_xlfn.LET(_xlpm.cc,IFERROR(N(VLOOKUP(BC67,Потребители_обозначение,7,FALSE)),0),IF(_xlpm.cc&gt;0,_xlpm.cc,IF(BZ67="","",IF(BV67=1,2,IF(N(BX67)=3,5,3))))))</f>
        <v>3</v>
      </c>
      <c r="CB67">
        <f t="shared" ref="CB67:CB130" si="157">IF(TRIM(AO67&amp;"")="",CA67,AO67)</f>
        <v>3</v>
      </c>
      <c r="CC67">
        <f>IFERROR(N(VLOOKUP(BC67,Потребители_обозначение,10,FALSE)),0)</f>
        <v>0</v>
      </c>
      <c r="CD67">
        <f>IFERROR(VLOOKUP(BC67,Потребители_обозначение,5,FALSE),0)</f>
        <v>1</v>
      </c>
      <c r="CE67" s="6" cm="1">
        <f t="array" ref="CE67">IF(B67="","",IF(BH67&lt;&gt;"",IFERROR(_xlfn.XLOOKUP(BH67,Щиты[Щит],Щиты[cos φ]),0.95),IF(BP67=1,IFERROR(_xlfn.XLOOKUP(A67,Щиты[Щит],Щиты[cos φ]),0.95),IF(ISNUMBER(AD67),AD67,IFERROR(IF(CD67=2,_xlfn.IFS(BX67=3,VLOOKUP(BS67,Справочная_двигатели,8,FALSE),BX67=1,VLOOKUP(BS67,Справочная_двигатели,10,TRUE)),IF(AND(Методика="нормы 2026",FG67="Сил"),0.8,0.95)),0.95)))))</f>
        <v>0.8</v>
      </c>
      <c r="CF67">
        <f t="shared" ref="CF67:CF130" si="158">IF(OR(TRIM(F67&amp;"")="гр",TRIM(F67&amp;"")="=",TRIM(F67&amp;"")="^",TRIM(F67&amp;"")="↑"),1,0)</f>
        <v>0</v>
      </c>
      <c r="CG67">
        <f t="shared" ref="CG67:CG130" si="159">IF(AND(B67&lt;&gt;"",CF67=0),1,0)</f>
        <v>1</v>
      </c>
      <c r="CH67">
        <f t="shared" ref="CH67:CH130" si="160">IF(B67="",0,IF(TRIM(F67&amp;"")="узо",1,0))</f>
        <v>0</v>
      </c>
      <c r="CI67">
        <f>IF(B67="","",IF(BV67=1,IFERROR(BS67/((Uн_лин/SQRT(3))*MAX(0.5,N(CE67))),0),N(O67)))</f>
        <v>1.6237976320958221</v>
      </c>
      <c r="CJ67">
        <f t="shared" ref="CJ67:CJ130" si="161">IF(AND(A68=A67,AJ68&lt;&gt;"вручную",OR(B68="",CF68=1)),IF(B68="",0,N(CI68))+N(CJ68),0)</f>
        <v>0</v>
      </c>
      <c r="CK67">
        <f t="shared" ref="CK67:CK130" si="162">IF(AND(A68=A67,AJ68&lt;&gt;"вручную",OR(B68="",CF68=1)),IF(B68="",0,N(BS68))+N(CK68),0)</f>
        <v>0</v>
      </c>
      <c r="CL67">
        <f t="shared" ref="CL67:CL130" si="163">IF(AND(A68=A67,AJ68&lt;&gt;"вручную",OR(B68="",CF68=1)),MAX(IF(B68="",0,N(BX68)),N(CL68)),0)</f>
        <v>0</v>
      </c>
      <c r="CM67">
        <f t="shared" ref="CM67:CM130" si="164">IF(AND(A68=A67,AJ68&lt;&gt;"вручную",OR(B68="",CF68=1)),MAX(IF(B68="",0,N(DB68)),N(CM68)),0)</f>
        <v>0</v>
      </c>
      <c r="CN67">
        <f t="shared" ref="CN67:CN130" si="165">IF(AND(A68=A67,AJ68&lt;&gt;"вручную",OR(B68="",CF68=1)),_xlfn.LET(_xlpm.a_,IF(B68="",0,N(CZ68)),_xlpm.b_,N(CN68),IF(_xlpm.a_=0,_xlpm.b_,IF(_xlpm.b_=0,_xlpm.a_,MIN(_xlpm.a_,_xlpm.b_)))),0)</f>
        <v>0</v>
      </c>
      <c r="CO67">
        <f>IF(BC67="",0,_xlfn.LET(_xlpm.v,IFERROR(_xlfn.XLOOKUP(B67,Коды_код,Коды_мА),IFERROR(_xlfn.XLOOKUP(BC67,Коды_код,Коды_мА),IFERROR(_xlfn.XLOOKUP(LEFT(BC67,2),Коды_код,Коды_мА),""))),IF(_xlpm.v="да",30,IF(ISNUMBER(_xlpm.v),_xlpm.v,0))))</f>
        <v>0</v>
      </c>
      <c r="CP67" t="str">
        <f t="shared" ref="CP67:CP130" si="166">IF(B67="","",IF(N(CO67)&gt;0,CO67,""))</f>
        <v/>
      </c>
      <c r="CQ67" t="str">
        <f>_xlfn.LET(_xlpm.k,IFERROR(_xlfn.XLOOKUP(BC67,Коды_код,Коды_утечка)&amp;"",""),IF(_xlpm.k="","дифавтомат",_xlpm.k))</f>
        <v>дифавтомат</v>
      </c>
      <c r="CR67" t="str" cm="1">
        <f t="array" ref="CR67">IF(CG67=0,"",_xlfn.LET(_xlpm.sg,TRIM(_xlfn.TEXTSPLIT(DD67&amp;"",";")),_xlpm.f_,_xlfn._xlws.FILTER(_xlpm.sg,LEFT(_xlpm.sg,3)="УЗО",""),IFERROR(INDEX(_xlpm.f_,1)&amp;"","")))</f>
        <v/>
      </c>
      <c r="CS67" t="str">
        <f t="shared" ref="CS67:CS130" si="167">IF(B67="",IF(OR(OR(BA67=1,A67&lt;&gt;A66),AJ67="вручную"),"",IF(BA67=1,"",CS66)),IF(CG67=1,IF(CH67=1,IF(OR(BA67=1,A67&lt;&gt;A66),"",IF(BA67=1,"",CS66)),IF(CR67&lt;&gt;"",BA67,"")),IF(AND(NOT(OR(BA67=1,A67&lt;&gt;A66)),AJ67&lt;&gt;"вручную",IF(BA67=1,"",DS66)="ok"),IF(BA67=1,"",CS66),"")))</f>
        <v/>
      </c>
      <c r="CT67" s="6" t="str" cm="1">
        <f t="array" ref="CT67">IF(CR67="","",_xlfn.LET(_xlpm.tk,_xlfn.TEXTSPLIT(UPPER(CR67)," ",,TRUE),_xlpm.a_,_xlfn._xlws.FILTER(_xlpm.tk,ISNUMBER(--LEFT(_xlpm.tk,1))*((ISNUMBER(SEARCH("А",_xlpm.tk))+ISNUMBER(SEARCH("A",_xlpm.tk)))&gt;0)*NOT(ISNUMBER(SEARCH("МА",_xlpm.tk)))*NOT(ISNUMBER(SEARCH("MA",_xlpm.tk))),""),IFERROR(--SUBSTITUTE(SUBSTITUTE(INDEX(_xlpm.a_,1),"А",""),"A",""),"")))</f>
        <v/>
      </c>
      <c r="CU67" t="str" cm="1">
        <f t="array" ref="CU67">IF(CR67="","",_xlfn.LET(_xlpm.tk,_xlfn.TEXTSPLIT(UPPER(CR67)," ",,TRUE),_xlpm.a_,_xlfn._xlws.FILTER(_xlpm.tk,ISNUMBER(--LEFT(_xlpm.tk,1))*((ISNUMBER(SEARCH("МА",_xlpm.tk))+ISNUMBER(SEARCH("MA",_xlpm.tk)))&gt;0),""),IFERROR(--SUBSTITUTE(SUBSTITUTE(INDEX(_xlpm.a_,1),"МА",""),"MA",""),30)))</f>
        <v/>
      </c>
      <c r="CV67" t="str">
        <f>IF(CS67="","",IFERROR(_xlfn.XLOOKUP(CS67,Линии[_n],Линии[_УЗО, мА]),30))</f>
        <v/>
      </c>
      <c r="CW67">
        <f>IF(CS67="",0,IF(ISNUMBER(SEARCH("4P",IFERROR(_xlfn.XLOOKUP(CS67,Линии[_n],Линии[_УЗО строки])&amp;"",""))),0,1))</f>
        <v>0</v>
      </c>
      <c r="CX67" t="str">
        <f>IF(AND(CS67&lt;&gt;"",CS67=BA67),SUMIFS(Линии[_ток на 230 В],Линии[_блок УЗО],BA67,Линии[Щит],A67),"")</f>
        <v/>
      </c>
      <c r="CY67" t="str">
        <f>IF(AND(CS67&lt;&gt;"",CS67=BA67),SUMIFS(Линии[_ток утечки линии, мА],Линии[_блок УЗО],BA67,Линии[Щит],A67),"")</f>
        <v/>
      </c>
      <c r="CZ67">
        <f t="shared" ref="CZ67:CZ130" si="168">IF(B67="",0,_xlfn.LET(_xlpm.v,IF(TRIM(Y67&amp;"")="",CP67,Y67),_xlpm.nm,IF(_xlpm.v&amp;""="нет",0,IF(_xlpm.v&amp;""="да",30,IFERROR(--_xlpm.v,0))),IF(OR(CQ67="УЗО на группу",CS67&lt;&gt;""),0,_xlpm.nm)))</f>
        <v>0</v>
      </c>
      <c r="DA67">
        <f t="shared" ref="DA67:DA130" si="169">IF(CG67=0,"",_xlfn.LET(_xlpm.a_,N(CZ67),_xlpm.b_,IF(AJ67="вручную",0,N(CN67)),IF(_xlpm.a_=0,_xlpm.b_,IF(_xlpm.b_=0,_xlpm.a_,MIN(_xlpm.a_,_xlpm.b_)))))</f>
        <v>0</v>
      </c>
      <c r="DB67">
        <f>IF(B67="",0,IFERROR(--_xlfn.XLOOKUP(B67,Коды_код,Коды_минавт),IFERROR(--_xlfn.XLOOKUP(BC67,Коды_код,Коды_минавт),IFERROR(--_xlfn.XLOOKUP(LEFT(BC67,2),Коды_код,Коды_минавт),0))))</f>
        <v>0</v>
      </c>
      <c r="DC67" t="str">
        <f>IF(B67="","",IFERROR(_xlfn.XLOOKUP(BC67,Коды_код,Коды_апп)&amp;"",""))</f>
        <v/>
      </c>
      <c r="DD67" t="str">
        <f t="shared" ref="DD67:DD130" si="170">IF(TRIM(I67&amp;"")="",DC67,I67)</f>
        <v/>
      </c>
      <c r="DE67" t="str" cm="1">
        <f t="array" ref="DE67">IF(TRIM(DD67&amp;"")="","",IFERROR(TRIM(INDEX(_xlfn.TEXTSPLIT(DD67&amp;";;;",";"),1)),""))</f>
        <v/>
      </c>
      <c r="DF67" t="str" cm="1">
        <f t="array" ref="DF67">IF(TRIM(DD67&amp;"")="","",IFERROR(TRIM(INDEX(_xlfn.TEXTSPLIT(DD67&amp;";;;",";"),2)),""))</f>
        <v/>
      </c>
      <c r="DG67" t="str" cm="1">
        <f t="array" ref="DG67">IF(TRIM(DD67&amp;"")="","",IFERROR(TRIM(INDEX(_xlfn.TEXTSPLIT(DD67&amp;";;;",";"),3)),""))</f>
        <v/>
      </c>
      <c r="DH67">
        <f t="shared" ref="DH67:DH130" si="171">IF(DD67="",0,IF(OR(LEFT(DE67,2)="T ",LEFT(DE67,2)="Т ",ISNUMBER(SEARCH("БП",DD67)),ISNUMBER(SEARCH("; T ",DD67)),ISNUMBER(SEARCH("; Т ",DD67))),1,0))</f>
        <v>0</v>
      </c>
      <c r="DI67" t="str">
        <f>IF(B67="","",_xlfn.LET(_xlpm.t,LOWER(AZ67&amp;""),IF(ISNUMBER(SEARCH("dim",_xlpm.t)),"DIM",IF(ISNUMBER(SEARCH("dali",_xlpm.t)),"DALI",IF(OR(ISNUMBER(SEARCH("relay",_xlpm.t)),ISNUMBER(SEARCH("реле",_xlpm.t))),"Relay",IF(ISNUMBER(SEARCH("кнопк",_xlpm.t)),"",IFERROR(_xlfn.XLOOKUP(BC67,Коды_код,Коды_упр)&amp;"","")))))))</f>
        <v/>
      </c>
      <c r="DJ67" t="str">
        <f t="shared" ref="DJ67:DJ130" si="172">IF(TRIM(H67&amp;"")="",DI67,H67)</f>
        <v/>
      </c>
      <c r="DK67">
        <f>IF(B67="","",_xlfn.LET(_xlpm.ig,IF(N(CX67)&gt;0,N(CX67),N(CI67)+IF(AJ67="вручную",0,N(CJ67))),_xlpm.n0,IFERROR(VLOOKUP(_xlpm.ig,Автомат_номиналы,2,TRUE),0),_xlpm.mn,MAX(DB67,IF(AJ67="вручную",0,N(CM67))),MAX(_xlpm.n0,_xlpm.mn,IF(DH67=1,Мин_автомат_БП,0))))</f>
        <v>6</v>
      </c>
      <c r="DL67">
        <f t="shared" ref="DL67:DL130" si="173">IF(B67="","",MAX(N(BX67),IF(AJ67="вручную",0,N(CL67))))</f>
        <v>1</v>
      </c>
      <c r="DM67" t="str">
        <f t="shared" ref="DM67:DM130" si="174">IF(B67="","",IF(N(DL67)&gt;=3,IF(N(DA67)&gt;0,"4P","3P"),IF(N(DA67)&gt;0,"2P","1P")))</f>
        <v>1P</v>
      </c>
      <c r="DN67" t="str">
        <f>_xlfn.LET(_xlpm.cc,UPPER(TRIM(IFERROR(_xlfn.XLOOKUP(BC67,Коды_код,Коды_хар)&amp;"",""))),IF(OR(_xlpm.cc="B",_xlpm.cc="В"),"B",IF(_xlpm.cc="D","D","С")))</f>
        <v>С</v>
      </c>
      <c r="DO67" t="str">
        <f t="shared" ref="DO67:DO130" si="175">IF(B67="","",IF(CG67=0,IF(AND(AND(NOT(OR(BA67=1,A67&lt;&gt;A66)),AJ67&lt;&gt;"вручную",IF(BA67=1,"",DS66)="ok"),IF(BA67=1,"",DU66)&lt;&gt;""),"↑ "&amp;IF(BA67=1,"",DU66),""),IF(N(DK67)=0,"",DM67&amp;" "&amp;DN67&amp;DK67&amp;"А"&amp;IF(N(DA67)&gt;0," "&amp;DA67&amp;"мА",""))))</f>
        <v>1P С6А</v>
      </c>
      <c r="DP67">
        <f t="shared" ref="DP67:DP130" si="176">IF(TRIM(G67&amp;"")="",DO67,G67)</f>
        <v>10</v>
      </c>
      <c r="DQ67" t="str">
        <f t="shared" ref="DQ67:DQ130" si="177">IF(CG67=0,"",_xlfn.LET(_xlpm.v,TRIM(DP67&amp;""),IF(_xlpm.v="","",IF(ISNUMBER(--_xlpm.v),DM67&amp;" "&amp;DN67&amp;(--_xlpm.v)&amp;"А"&amp;IF(N(DA67)&gt;0," "&amp;DA67&amp;"мА",""),IF(ISNUMBER(SEARCH("P",UPPER(_xlpm.v))),_xlpm.v,DM67&amp;" "&amp;_xlpm.v)))))</f>
        <v>1P С10А</v>
      </c>
      <c r="DR67" cm="1">
        <f t="array" ref="DR67">IF(DQ67="","",_xlfn.LET(_xlpm.t,SUBSTITUTE(SUBSTITUTE(SUBSTITUTE(UPPER(DQ67),"С","C"),"А","A"),"В","B"),_xlpm.tk,_xlfn.TEXTSPLIT(_xlpm.t," "),_xlpm.f,_xlfn._xlws.FILTER(_xlpm.tk,ISNUMBER(--MID(_xlpm.tk,2,1))*ISNUMBER(SEARCH(LEFT(_xlpm.tk,1)&amp;"#","B#C#D#"))*(LEN(_xlpm.tk)&gt;1),""),_xlpm.x,INDEX(_xlpm.f,1),IFERROR(--SUBSTITUTE(MID(_xlpm.x,2,9),"A",""),IFERROR(--SUBSTITUTE(INDEX(_xlfn._xlws.FILTER(_xlpm.tk,ISNUMBER(--SUBSTITUTE(_xlpm.tk,"A","")),""),1),"A",""),""))))</f>
        <v>10</v>
      </c>
      <c r="DS67" t="str">
        <f t="shared" ref="DS67:DS130" si="178">IF(CG67=1,IF(AJ67="вручную","узел","ok"),IF(OR(OR(BA67=1,A67&lt;&gt;A66),AJ67="вручную"),"",IF(BA67=1,"",DS66)))</f>
        <v>ok</v>
      </c>
      <c r="DT67">
        <f t="shared" ref="DT67:DT130" si="179">IF(CG67=1,DR67,IF(AND(NOT(OR(BA67=1,A67&lt;&gt;A66)),AJ67&lt;&gt;"вручную",IF(BA67=1,"",DS66)="ok"),IF(BA67=1,"",DT66),""))</f>
        <v>10</v>
      </c>
      <c r="DU67" t="str">
        <f t="shared" ref="DU67:DU130" si="180">IF(CG67=1,DQ67,IF(AND(NOT(OR(BA67=1,A67&lt;&gt;A66)),AJ67&lt;&gt;"вручную",IF(BA67=1,"",DS66)="ok"),IF(BA67=1,"",DU66),""))</f>
        <v>1P С10А</v>
      </c>
      <c r="DV67">
        <f t="shared" ref="DV67:DV130" si="181">IF(CG67=1,DA67,IF(AND(NOT(OR(BA67=1,A67&lt;&gt;A66)),AJ67&lt;&gt;"вручную",IF(BA67=1,"",DS66)="ok"),IF(BA67=1,"",DV66),""))</f>
        <v>0</v>
      </c>
      <c r="DW67">
        <f t="shared" ref="DW67:DW130" si="182">IF(OR(N(DV67)&gt;0,CS67&lt;&gt;""),1,0)</f>
        <v>0</v>
      </c>
      <c r="DX67">
        <f t="shared" ref="DX67:DX130" si="183">IF(CG67=1,DH67,IF(AND(NOT(OR(BA67=1,A67&lt;&gt;A66)),AJ67&lt;&gt;"вручную",IF(BA67=1,"",DS66)="ok"),N(IF(BA67=1,"",DX66)),0))</f>
        <v>0</v>
      </c>
      <c r="DY67">
        <f t="shared" ref="DY67:DY130" si="184">IF(CG67=1,IF(N(CX67)&gt;0,N(CX67),N(CI67)+IF(AJ67="вручную",0,N(CJ67))),"")</f>
        <v>1.6237976320958221</v>
      </c>
      <c r="DZ67">
        <f t="shared" ref="DZ67:DZ130" si="185">IF(N(CB67)=1,1,IF(BX67=1,1,IF(N(CB67)&gt;=4,0.92,1)))</f>
        <v>1</v>
      </c>
      <c r="EA67">
        <f>IF(ISNUMBER(AP67),AP67,К_прокл)</f>
        <v>1</v>
      </c>
      <c r="EB67">
        <f t="shared" ref="EB67:EB130" si="186">IF(N(CB67)=1,1,IF(BX67=1,2,3))</f>
        <v>2</v>
      </c>
      <c r="EC67">
        <f>IFERROR(N(VLOOKUP(BZ67,Кабель_обозначение,3,FALSE)),1)</f>
        <v>1</v>
      </c>
      <c r="ED67">
        <f>IFERROR(N(_xlfn.XLOOKUP(A67,Щиты[Щит],Щиты[ΔU до шин, %])),0)</f>
        <v>0.64</v>
      </c>
      <c r="EE67" t="str">
        <f>IFERROR(_xlfn.XLOOKUP(A67,Щиты[Щит],Щиты[Zпетли на шинах, Ом]),"")</f>
        <v/>
      </c>
      <c r="EF67">
        <f>IFERROR(N(_xlfn.XLOOKUP(A67,Щиты[Щит],Щиты[ΔU до шин (подбор), %])),0)</f>
        <v>0.75</v>
      </c>
      <c r="EG67" t="str">
        <f>IFERROR(_xlfn.XLOOKUP(A67,Щиты[Щит],Щиты[Zпетли на шинах (подбор), Ом]),"")</f>
        <v/>
      </c>
      <c r="EH67" t="str">
        <f t="shared" ref="EH67:EH130" si="187">IF(COUNT(AV67,AW67)=0,"",ROUNDUP(SUM(AV67,AW67),0))</f>
        <v/>
      </c>
      <c r="EI67">
        <f t="shared" ref="EI67:EI130" si="188">IF(TRIM(K67&amp;"")="",EH67,K67)</f>
        <v>14</v>
      </c>
      <c r="EJ67">
        <f t="shared" ref="EJ67:EJ130" si="189">IF(BX67=1,2,IF(BX67=3,1,""))</f>
        <v>2</v>
      </c>
      <c r="EK67">
        <f t="shared" ref="EK67:EK130" si="190">IFERROR(ROUND(SIN(ACOS(CE67)),2),"")</f>
        <v>0.6</v>
      </c>
      <c r="EL67" s="6">
        <f>IF(B67="","",IF(BV67=1,dU_LED,IF(IFERROR(_xlfn.XLOOKUP(BC67,Коды_код,Коды_уго),"")="Светильник",3,4)+IF(Методика="нормы 2026",MIN(0.5,MAX(0,N(P67)-100)*0.005),0)))</f>
        <v>4</v>
      </c>
      <c r="EM67" cm="1">
        <f t="array" ref="EM67">IF(OR(B67="",BZ67="",EC67&lt;&gt;1),"",_xlfn.LET(_xlpm.sz,Iдоп_S,_xlpm.t_,CHOOSE(EB67,Iдоп_1ж,Iдоп_2ж,Iдоп_3ж)*DZ67*EA67,_xlpm.dcx,BV67=1,_xlpm.inn,IF(_xlpm.dcx,N(O67),N(DT67)),_xlpm.smin,MAX(1.5,CC67),_xlpm.L_,N(P67)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67)/N(BU67)*100,999),IFERROR(N(EJ67)*(_xlpm.rho*_xlpm.L_/_xlpm.sz*N(CE67)+_xlpm.xx*_xlpm.L_*N(EK67)/1000)*N(O67)/((Uн_лин/SQRT(3))*1000)*100,999)),_xlpm.kz,IF(OR(_xlpm.dcx,DW67=1,NOT(ISNUMBER(EG67)),_xlpm.L_=0,_xlpm.inn=0),1,IFERROR(--(c_min*(Uн_лин*1000/SQRT(3))/(EG67+2*ρкз_Cu*_xlpm.L_/_xlpm.sz)&gt;=HT67*_xlpm.inn),0)),_xlpm.ok,IFERROR((_xlpm.sz&gt;=_xlpm.smin)*(_xlpm.t_&gt;=_xlpm.inn)*IF(_xlpm.L_&gt;0,(_xlpm.du_+IF(_xlpm.dcx,0,EF67)&lt;=EL67+0.00001),1)*_xlpm.kz,0),_xlpm.r_,_xlfn._xlws.FILTER(_xlpm.sz,_xlpm.ok,"не подобрано"),INDEX(_xlpm.r_,1)))</f>
        <v>1.5</v>
      </c>
      <c r="EN67">
        <f t="shared" ref="EN67:EN130" si="191">IF(B67="","",IF(TRIM(J67&amp;"")="",EM67,J67))</f>
        <v>1.5</v>
      </c>
      <c r="EO67" cm="1">
        <f t="array" ref="EO67">IF(OR(B67="",BZ67="",EC67&lt;&gt;1),"",_xlfn.LET(_xlpm.sz,Iдоп_S,_xlpm.t_,CHOOSE(EB67,Iдоп_1ж,Iдоп_2ж,Iдоп_3ж)*DZ67*EA67,_xlpm.ok,IFERROR((_xlpm.sz&gt;=MAX(1.5,CC67))*(_xlpm.t_&gt;=N(DT67)),0),_xlpm.r_,_xlfn._xlws.FILTER(_xlpm.sz,_xlpm.ok,""),INDEX(_xlpm.r_,1)))</f>
        <v>1.5</v>
      </c>
      <c r="EP67" s="6" cm="1">
        <f t="array" ref="EP67">IFERROR(ROUNDUP(N(EJ67)*(_xlfn.XLOOKUP(EO67,INDEX(Кабель_сопротивление,0,1),INDEX(Кабель_сопротивление,0,3))*N(P67)/EO67*N(CE67)+_xlfn.XLOOKUP(EO67,INDEX(Кабель_сопротивление,0,1),INDEX(Кабель_сопротивление,0,2))*N(P67)*N(EK67)/1000)*N(O67)/((Uн_лин/SQRT(3))*1000)*100,2),"")</f>
        <v>0.28000000000000003</v>
      </c>
      <c r="EQ67">
        <f>IFERROR(2*ρкз_Cu*N(P67)/EO67,"")</f>
        <v>0.56106666666666671</v>
      </c>
      <c r="ER67">
        <f>IFERROR(VLOOKUP(EN67,Кабель_сопротивление,3,FALSE),"")</f>
        <v>2.2499999999999999E-2</v>
      </c>
      <c r="ES67">
        <f>IFERROR(VLOOKUP(EN67,Кабель_сопротивление,2,FALSE),"")</f>
        <v>0.11</v>
      </c>
      <c r="ET67">
        <f t="shared" ref="ET67:ET130" si="192">IF(AR67&lt;&gt;"",AR67,IF(OR(EI67="",AT67=""),"",IF(AT67=1,MAX(0,P67-ROUNDUP(N(AW67),0)-4),ROUNDUP(N(AV67),0))))</f>
        <v>16</v>
      </c>
      <c r="EU67">
        <f t="shared" ref="EU67:EU130" si="193">IF(AS67&lt;&gt;"",AS67,IF(OR(EI67="",AT67=""),"",IF(AT67=2,MAX(0,P67-ROUNDUP(N(AV67),0)-4),ROUNDUP(N(AW67),0))))</f>
        <v>0</v>
      </c>
      <c r="EV67">
        <f t="shared" ref="EV67:EV130" si="194">IFERROR(IF(BV67=1,2*ER67*P67/EN67*O67,EJ67*(ER67*P67/EN67*CE67+ES67*P67*EK67/1000)*O67),"")</f>
        <v>0.62696775132378202</v>
      </c>
      <c r="EW67" s="6">
        <f>IFERROR(ROUNDUP(EV67/IF(BV67=1,BU67,(Uн_лин/SQRT(3))*1000)*100,2),"")</f>
        <v>0.28000000000000003</v>
      </c>
      <c r="EX67" t="str">
        <f>IFERROR(VLOOKUP(BZ67,Кабель_обозначение,2,FALSE),"")</f>
        <v>ВВГнг(А)-LS</v>
      </c>
      <c r="EY67" t="str">
        <f t="shared" ref="EY67:EY130" si="195">IFERROR(IF(EC67=1,IF(ISNUMBER(EN67),EX67&amp;" ("&amp;CB67&amp;"х"&amp;EN67&amp;")",EX67),EX67),"")</f>
        <v>ВВГнг(А)-LS (3х1,5)</v>
      </c>
      <c r="EZ67" t="str">
        <f t="shared" ref="EZ67:EZ130" si="196">IF(OR(B67="",EX67="",AND(BR67&lt;&gt;"",NOT(ISNUMBER(BR67)))),"",IF(N(EN67)=0,EX67,EY67&amp;IF(N(P67)=0,"",CHAR(10)&amp;"L="&amp;P67&amp;"-"&amp;EW67&amp;"%")))</f>
        <v>ВВГнг(А)-LS (3х1,5)
L=16-0,28%</v>
      </c>
      <c r="FA67">
        <f>IFERROR(2*ρкз_Cu*P67/EN67,"")</f>
        <v>0.56106666666666671</v>
      </c>
      <c r="FB67">
        <f t="shared" ref="FB67:FB130" si="197">IFERROR(0.0175*N(P67)/EN67,"")</f>
        <v>0.18666666666666668</v>
      </c>
      <c r="FC67" s="6" t="str">
        <f>IFERROR(IF(OR(B67="",BV67=1,NOT(ISNUMBER(EN67)),N(P67)=0),"",_xlfn.XLOOKUP(A67,Щиты[Щит],Щиты[Zпетли на шинах, Ом])+FA67),"")</f>
        <v/>
      </c>
      <c r="FD67" s="6" t="str">
        <f>IF(ISNUMBER(FC67),c_min*(Uн_лин*1000/SQRT(3))/FC67,"")</f>
        <v/>
      </c>
      <c r="FE67" s="6" t="str">
        <f>IFERROR(IF(OR(B67="",NOT(ISNUMBER(EN67))),"",1.05*(Uн_лин*1000/SQRT(3))/(_xlfn.XLOOKUP(A67,Щиты[Щит],Щиты[Zmax на шинах, Ом])+FB67)/1000),"")</f>
        <v/>
      </c>
      <c r="FF67" s="6" t="str">
        <f>IF(B67="","",IF(ISNUMBER(AC67),"Сил",IF(IFERROR(_xlfn.XLOOKUP(BC67,Коды_код,Коды_группа)&amp;"","")="","Быт",_xlfn.XLOOKUP(BC67,Коды_код,Коды_группа)&amp;"")))</f>
        <v>Сил</v>
      </c>
      <c r="FG67" s="6" t="str">
        <f t="shared" ref="FG67:FG130" si="198">IF(B67="","",IF(BH67&lt;&gt;"","Щит",IF(TRIM(AB67&amp;"")="",FF67,AB67)))</f>
        <v>Сил</v>
      </c>
      <c r="FH67" s="6">
        <f>IF(FG67="Щит","щит",IF(FG67="","",IF(FG67="Быт",IFERROR(_xlfn.XLOOKUP(A67,Щиты[Щит],Щиты[Кс быт]),1),IF(FG67="Сил",IF(ISNUMBER(AC67),AC67,IF(Методика="нормы 2026",IFERROR(_xlfn.XLOOKUP(A67,Щиты[Щит],Щиты[Кс силовых (табл. 7.5)]),1),1)),IF(OR(FG67="Пост",FG67="Отоп"),1,IF(FG67="ВНГ",0.7,0))))))</f>
        <v>0.5</v>
      </c>
      <c r="FI67">
        <f>IF(FG67="","",IF(AND(BP67=1,TRIM(AE67&amp;"")=""),IF(COUNTIFS(Линии[Щит],A67,Линии[Секция (1/2/3)],"&gt;=2")&gt;0,MIN(3,MAX(1,IFERROR(--BD67,1))),1),IFERROR(MIN(3,MAX(1,INT(--AE67))),1)))</f>
        <v>1</v>
      </c>
      <c r="FJ67">
        <f t="shared" ref="FJ67:FJ130" si="199">IF(OR(FG67="",FG67="Нет",FG67="Щит"),0,N(BS67))</f>
        <v>0.3</v>
      </c>
      <c r="FK67">
        <f t="shared" ref="FK67:FK130" si="200">IF(FG67="Быт",N(BS67),0)</f>
        <v>0</v>
      </c>
      <c r="FL67">
        <f t="shared" ref="FL67:FL130" si="201">IF(FG67="Сил",N(BS67)*N(FH67),0)</f>
        <v>0.15</v>
      </c>
      <c r="FM67">
        <f t="shared" ref="FM67:FM130" si="202">IF(FG67="Пост",N(BS67),0)</f>
        <v>0</v>
      </c>
      <c r="FN67">
        <f t="shared" ref="FN67:FN130" si="203">IF(FG67="Отоп",N(BS67),0)</f>
        <v>0</v>
      </c>
      <c r="FO67">
        <f t="shared" ref="FO67:FO130" si="204">IF(FG67="ВНГ",N(BS67)*0.7,0)</f>
        <v>0</v>
      </c>
      <c r="FP67">
        <f t="shared" ref="FP67:FP130" si="205">IF(OR(B67="",FG67="Нет"),0,N(BS67))</f>
        <v>0.3</v>
      </c>
      <c r="FQ67">
        <f t="shared" ref="FQ67:FQ130" si="206">IF(OR(B67="",FG67="Щит",FG67="Нет"),0,N(BS67))</f>
        <v>0.3</v>
      </c>
      <c r="FR67">
        <f t="shared" ref="FR67:FR130" si="207">IF(OR(B67="",FG67="Щит",FG67="Нет"),0,N(BS67)*N(CE67))</f>
        <v>0.24</v>
      </c>
      <c r="FS67">
        <f>IF(CG67=1,IF(AND(CH67=1,CW67=1),0,IF(AND(CS67&lt;&gt;"",CS67=BA67,CW67=1),SUMIFS(Линии[_Р линии, кВт],Линии[_блок УЗО],BA67,Линии[Щит],A67),N(BS67)+IF(AJ67="вручную",0,N(CK67)))),0)</f>
        <v>0.3</v>
      </c>
      <c r="FT67" t="str">
        <f t="shared" ref="FT67:FT130" si="208">IF(B67="","",IF(_xlfn.ISFORMULA(L67),"",_xlfn.LET(_xlpm.v,UPPER(SUBSTITUTE(TRIM(L67&amp;"")," ","")),IF(_xlpm.v="","",IF(OR(_xlpm.v="1,2,3",_xlpm.v="L1,L2,L3",_xlpm.v="123",_xlpm.v="3Ф"),"L1,L2,L3",IF(OR(_xlpm.v="1",_xlpm.v="2",_xlpm.v="3"),"L"&amp;_xlpm.v,IF(OR(_xlpm.v="L1",_xlpm.v="L2",_xlpm.v="L3"),_xlpm.v,"")))))))</f>
        <v/>
      </c>
      <c r="FU67" t="str">
        <f>IF(B67="","",IF(CG67=0,IF(BA67=1,"",FW66),IF(AND(CH67=1,CW67=1,CS67&lt;&gt;""),IFERROR(_xlfn.XLOOKUP(CS67,Линии[_n],Линии[_фаза итог]),"L1"),IF(OR(N(DL67)&gt;=3,N(BX67)&gt;=3),"L1,L2,L3",IFERROR(_xlfn.TEXTBEFORE(_xlfn.TEXTAFTER(_xlfn.XLOOKUP(A67,Щиты[Щит],Щиты[_фазы авто]),";"&amp;BA67&amp;":"),";"),"L1")))))</f>
        <v>L1</v>
      </c>
      <c r="FV67" t="str">
        <f t="shared" ref="FV67:FV130" si="209">IF(B67="","",_xlfn.LET(_xlpm.v,UPPER(SUBSTITUTE(TRIM(L67&amp;"")," ","")),IF(_xlpm.v="",FU67,IF(OR(_xlpm.v="1,2,3",_xlpm.v="L1,L2,L3",_xlpm.v="123",_xlpm.v="3Ф"),"L1,L2,L3",IF(OR(_xlpm.v="1",_xlpm.v="2",_xlpm.v="3"),"L"&amp;_xlpm.v,IF(OR(_xlpm.v="L1",_xlpm.v="L2",_xlpm.v="L3"),_xlpm.v,IF(_xlpm.v="УПР","",_xlpm.v)))))))</f>
        <v>L1</v>
      </c>
      <c r="FW67" t="str">
        <f t="shared" ref="FW67:FW130" si="210">IF(CG67=1,FV67,IF(AND(NOT(OR(BA67=1,A67&lt;&gt;A66)),AJ67&lt;&gt;"вручную",IF(BA67=1,"",DS66)="ok"),IF(BA67=1,"",FW66),""))</f>
        <v>L1</v>
      </c>
      <c r="FX67" cm="1">
        <f t="array" ref="FX67">IFERROR(IF(CD67=2,_xlfn.IFS(BX67=3,VLOOKUP(BS67,Справочная_двигатели,3,FALSE),BX67=1,VLOOKUP(BS67,Справочная_двигатели,5,TRUE)),0),0)</f>
        <v>0</v>
      </c>
      <c r="FY67">
        <f>IFERROR(IF(CD67=3,VLOOKUP(BS67,Справочная_ЛЭД,2,TRUE),0),0)</f>
        <v>0</v>
      </c>
      <c r="FZ67" s="6">
        <f t="shared" ref="FZ67:FZ130" si="211">IF(B67="","",IF(FX67=0,FY67,FX67))</f>
        <v>0</v>
      </c>
      <c r="GA67" t="str">
        <f>IF(B67="","",IF(TRIM(AH67&amp;"")&lt;&gt;"",IF(LOWER(TRIM(AH67&amp;""))="да","да","нет"),IF(IFERROR(_xlfn.XLOOKUP(BC67,Коды_код,Коды_пожарная),"")="да","да","нет")))</f>
        <v>нет</v>
      </c>
      <c r="GB67" t="str">
        <f t="shared" ref="GB67:GB130" si="212">IF(AF67&lt;&gt;"",AF67,IF(CG67=1,"",IF(GU67="","",IF(BA67=1,"",GB66))))</f>
        <v/>
      </c>
      <c r="GC67" t="str">
        <f t="shared" ref="GC67:GC130" si="213">IF(B67="","",IF(GB67="","основная",GB67))</f>
        <v>основная</v>
      </c>
      <c r="GD67">
        <f>IF(AND(BP67=1,TRIM(AE67&amp;"")=""),IF(COUNTIFS(Линии[Щит],A67,Линии[Секция (1/2/3)],"&gt;=2")&gt;0,MIN(3,MAX(1,IFERROR(--BD67,1))),1),IFERROR(MIN(3,MAX(1,INT(--AE67))),1))</f>
        <v>1</v>
      </c>
      <c r="GE67" t="str" cm="1">
        <f t="array" ref="GE67">IF(B67="","",_xlfn.LET(_xlpm.t,IFERROR(_xlfn.XLOOKUP(1,(Шины[Шина]=GC67)*(((Шины[Щит]=A67)+(Шины[Щит]=""))&gt;0),Шины[Тип]),"")&amp;"",IF(_xlpm.t&lt;&gt;"",_xlpm.t,IF(ISNUMBER(SEARCH("ИБП",GC67)),"ИБП",IF(ISNUMBER(SEARCH("ДГУ",GC67)),"ДГУ","Ввод "&amp;GD67)))))</f>
        <v>Ввод 1</v>
      </c>
      <c r="GF67" t="str">
        <f t="shared" ref="GF67:GF130" si="214">IF(B67="","",IF(OR(GE67="ИБП",GE67="ДГУ"),GE67,IF(LEFT(GE67,5)="Ввод ",GE67,"Ввод "&amp;GD67)))</f>
        <v>Ввод 1</v>
      </c>
      <c r="GG67" t="str">
        <f>IF(BP67=0,"",IF(TRIM(AG67&amp;"")&lt;&gt;"",TRIM(AG67&amp;""),IF(OR(GE67="ИБП",GE67="ДГУ"),"I особая",_xlfn.XLOOKUP(A67,Щиты[Щит],Щиты[Категория шины «Ввод»],"III"))))</f>
        <v/>
      </c>
      <c r="GH67" t="str">
        <f>IF(A67="","",_xlfn.XLOOKUP(A67,Щиты[Щит],Щиты[Путь],""))</f>
        <v>|ГРЩ-ЖД|ЩОВ-001|</v>
      </c>
      <c r="GI67" t="str">
        <f>IF(B67="","",IF(AI67&lt;&gt;"",AI67,IF(IFERROR(_xlfn.XLOOKUP(BC67,Коды_код,Коды_вид)&amp;"","")="","Прочее",_xlfn.XLOOKUP(BC67,Коды_код,Коды_вид)&amp;"")))</f>
        <v>Кондиционирование и увлажнение</v>
      </c>
      <c r="GJ67">
        <f>IF(BM67="","",INT((BM67-1)/Столбцов_на_лист)+1)</f>
        <v>2</v>
      </c>
      <c r="GK67" t="str">
        <f t="shared" ref="GK67:GK130" si="215">IF(B67="","",SUBSTITUTE(EZ67,CHAR(10)," "))</f>
        <v>ВВГнг(А)-LS (3х1,5) L=16-0,28%</v>
      </c>
      <c r="GL67">
        <f t="shared" ref="GL67:GL130" si="216">IF(B67="","",IFERROR(--BS67,""))</f>
        <v>0.3</v>
      </c>
      <c r="GM67">
        <f t="shared" ref="GM67:GM130" si="217">IF(B67="","",IFERROR(ROUNDUP(O67,2),""))</f>
        <v>1.6300000000000001</v>
      </c>
      <c r="GN67">
        <f t="shared" ref="GN67:GN130" si="218">IF(B67="","",IFERROR(--BX67,1))</f>
        <v>1</v>
      </c>
      <c r="GO67">
        <f t="shared" ref="GO67:GO130" si="219">IF(OR(AL67="+",AND(B67&lt;&gt;"",B67=IF(BA67=1,"",B66))),1,0)</f>
        <v>0</v>
      </c>
      <c r="GP67">
        <f t="shared" ref="GP67:GP130" si="220">IF(OR(BM67="",AJ67="вручную",AND(BN67="вводной узел",AJ67&lt;&gt;"рисовать")),0,1)</f>
        <v>1</v>
      </c>
      <c r="GQ67">
        <f>IF(BM67="","",IF(AND(CG67=1,GP67=1),COUNTIFS(A$3:A67,A67,CG$3:CG67,1,GP$3:GP67,1),IF(OR(OR(BA67=1,A67&lt;&gt;A66),AJ67="вручную",GP67=0),"",IF(BA67=1,"",GR66))))</f>
        <v>14</v>
      </c>
      <c r="GR67">
        <f t="shared" ref="GR67:GR130" si="221">IF(BM67="",IF(OR(BA67=1,A67&lt;&gt;A66),"",IF(BA67=1,"",GR66)),GQ67)</f>
        <v>14</v>
      </c>
      <c r="GS67">
        <f>IF(B67="","",IFERROR(LOOKUP(INDEX(CHOOSE(EB67,Iдоп_1ж,Iдоп_2ж,Iдоп_3ж),MATCH(EN67,Iдоп_S,0))*DZ67*EA67,{6,10,16,20,25,32,40,50,63,80,100,125,160,200,250,315,400,500,630}),""))</f>
        <v>16</v>
      </c>
      <c r="GT67" t="str">
        <f t="shared" ref="GT67:GT130" si="222">IF(AND(CG67=1,GP67=1,GQ67&lt;&gt;""),IF(N(DA67)&gt;0,"QFD","QF")&amp;GQ67,"")</f>
        <v>QF14</v>
      </c>
      <c r="GU67" t="str">
        <f t="shared" ref="GU67:GU130" si="223">IF(GT67&lt;&gt;"",GT67,IF(OR(OR(BA67=1,A67&lt;&gt;A66),AJ67="вручную"),"",IF(BA67=1,"",GU66)))</f>
        <v>QF14</v>
      </c>
      <c r="GV67" t="str">
        <f t="shared" ref="GV67:GV130" si="224">IF(GT67&lt;&gt;"",_xlfn.TEXTJOIN(" → ",TRUE,DE67,DF67,DG67),IF(GU67="","",IF(BA67=1,"",GV66)))</f>
        <v/>
      </c>
      <c r="GW67">
        <f t="shared" ref="GW67:GW130" si="225">IF(GV67="",0,IF(OR(LEFT(GV67,2)="T ",LEFT(GV67,2)="Т ",ISNUMBER(SEARCH("→ T ",GV67)),ISNUMBER(SEARCH("→ Т ",GV67)),ISNUMBER(SEARCH("БП",GV67))),1,0))</f>
        <v>0</v>
      </c>
      <c r="GX67" t="str">
        <f>IF(OR(B67="",DJ67=""),"",IFERROR(_xlfn.XLOOKUP(DJ67,Модули_умолч[Управление],Модули_умолч[Модель])&amp;"",""))</f>
        <v/>
      </c>
      <c r="GY67">
        <f>IF(DJ67="",1,IFERROR(MAX(0,N(_xlfn.XLOOKUP(DJ67,Модули_умолч[Управление],Модули_умолч[Каналов на линию]))),1))</f>
        <v>1</v>
      </c>
      <c r="GZ67" t="str">
        <f t="shared" ref="GZ67:GZ130" si="226">IF(_xlfn.ISFORMULA(AK67),"",TRIM(AK67&amp;""))</f>
        <v/>
      </c>
      <c r="HA67" t="str">
        <f t="shared" ref="HA67:HA130" si="227">IF(GZ67="-","",IF(GZ67&lt;&gt;"","M",IF(AND(NOT(OR(BA67=1,A67&lt;&gt;A66)),IF(BA67=1,"",HA66)="M"),"M",IF(GX67&lt;&gt;"","A",IF(AND(NOT(OR(BA67=1,A67&lt;&gt;A66)),IF(BA67=1,"",HA66)="A",B67="",OR(AL67="р",AL67="+",AL67="=")),"A","")))))</f>
        <v/>
      </c>
      <c r="HB67" t="str">
        <f t="shared" ref="HB67:HB130" si="228">IF(HA67="A",IF(GX67&lt;&gt;"",GX67,IF(BA67=1,"",HB66)),"")</f>
        <v/>
      </c>
      <c r="HC67">
        <f>IF(HB67="",0,IFERROR(N(VLOOKUP(HB67,Модули_спр,3,FALSE)),0))</f>
        <v>0</v>
      </c>
      <c r="HD67" t="str">
        <f t="shared" ref="HD67:HD130" si="229">IF(HA67="A",IF(OR(OR(BA67=1,A67&lt;&gt;A66),IF(BA67=1,"",HA66)&lt;&gt;"A",IF(BA67=1,"",HB66)&lt;&gt;HB67,AND(HC67&gt;0,GY67&gt;0,N(IF(BA67=1,"",HK66))+GY67&gt;HC67)),HB67,""),IF(AND(HA67="",NOT(OR(BA67=1,A67&lt;&gt;A66)),IF(BA67=1,"",HA66)="A",GZ67=""),"-",""))</f>
        <v/>
      </c>
      <c r="HE67" t="str">
        <f t="shared" ref="HE67:HE130" si="230">IF(GZ67&lt;&gt;"",GZ67,HD67)</f>
        <v/>
      </c>
      <c r="HF67" t="str">
        <f>IF(OR(HE67="",HE67="-"),"",IFERROR(VLOOKUP(HE67,Модули_спр,2,FALSE),"R"))</f>
        <v/>
      </c>
      <c r="HG67" t="str">
        <f>IF(HF67="","",HF67&amp;"."&amp;COUNTIFS(A$3:A67,A67,HF$3:HF67,HF67))</f>
        <v/>
      </c>
      <c r="HH67" t="str">
        <f t="shared" ref="HH67:HH130" si="231">IF(HE67="-","",IF(HG67&lt;&gt;"",HG67,IF(OR(BA67=1,A67&lt;&gt;A66),"",IF(BA67=1,"",HH66))))</f>
        <v/>
      </c>
      <c r="HI67" t="str">
        <f t="shared" ref="HI67:HI130" si="232">IF(HH67="","",IF(AND(HE67&lt;&gt;"",HE67&lt;&gt;"-"),HE67,IF(BA67=1,"",HI66)))</f>
        <v/>
      </c>
      <c r="HJ67" t="str">
        <f t="shared" ref="HJ67:HJ130" si="233">IF(AL67="=",IF(BA67=1,"",HK66),IF(ISNUMBER(AL67),AL67,IF(HH67="","",IF(OR(B67&lt;&gt;"",AL67="+",AL67="р"),IF(OR(HG67&lt;&gt;"",IF(BA67=1,"",HK66)=""),1,IF(BA67=1,"",HK66)+IF(GY67=0,0,1)),""))))</f>
        <v/>
      </c>
      <c r="HK67" t="str">
        <f t="shared" ref="HK67:HK130" si="234">IF(HJ67&lt;&gt;"",MAX(HJ67,HJ67+GY67-1),IF(OR(OR(BA67=1,A67&lt;&gt;A66),HE67="-",HG67&lt;&gt;""),"",IF(BA67=1,"",HK66)))</f>
        <v/>
      </c>
      <c r="HL67">
        <f t="shared" ref="HL67:HL130" si="235">IF(OR(AL67="б/к",AJ67="вручную"),0,IF(OR(EZ67&lt;&gt;"",AL67="+",AL67="="),1,0))</f>
        <v>1</v>
      </c>
      <c r="HM67" t="str">
        <f>IF(HL67=1,"XT"&amp;COUNTIFS(A$3:A67,A67,HL$3:HL67,1),"")</f>
        <v>XT14</v>
      </c>
      <c r="HN67" t="str">
        <f t="shared" ref="HN67:HN130" si="236">_xlfn.LET(_xlpm.v,TRIM(M67&amp;""),IF(_xlpm.v="нет","",IF(_xlpm.v="",HM67,_xlpm.v)))</f>
        <v/>
      </c>
      <c r="HO67" t="str">
        <f t="shared" ref="HO67:HO130" si="237">IF(OR(B67&lt;&gt;"",HJ67&lt;&gt;"",HL67=1),GU67,"")</f>
        <v>QF14</v>
      </c>
      <c r="HP67" t="str">
        <f t="shared" ref="HP67:HP130" si="238">IF(OR(HJ67&lt;&gt;"",AND(HE67&lt;&gt;"",HE67&lt;&gt;"-")),HH67,"")</f>
        <v/>
      </c>
      <c r="HQ67" t="str">
        <f t="shared" ref="HQ67:HQ130" si="239">IF(B67="","",IF(AND(CG67=1,DQ67&lt;&gt;"",DR67=""),"номинал автомата не распознан",IF(DT67="",IF(CF67=1,"«гр»: нет автомата выше",""),IF(AND(CG67=1,N(DY67)&gt;N(DT67)),"ПЕРЕГРУЗ",IF(AND(N(DX67)=0,ISNUMBER(GS67),N(GS67)&lt;N(DT67)),"КАБЕЛЬ НЕ ЗАЩИЩЁН","ok")))))</f>
        <v>ok</v>
      </c>
      <c r="HR67" t="str">
        <f>IF(OR(HJ67="",HH67=""),"",IF(HJ67+MAX(0,GY67-1)&gt;IFERROR(VLOOKUP(HI67,Модули_спр,3,FALSE),99),"ЛИШНИЙ КАНАЛ",IF(AND(AL67&lt;&gt;"=",GY67&gt;0,COUNTIFS(Линии[_модуль гр.],HH67,Линии[Канал (итог)],HJ67,Линии[Канал],"&lt;&gt;=",Линии[Щит],A67)&gt;1),"ДУБЛЬ КАНАЛА","")))</f>
        <v/>
      </c>
      <c r="HS67" s="6" t="str">
        <f t="shared" ref="HS67:HS130" si="240">IFERROR(IF(ISNUMBER(FD67),FD67/N(DT67),""),"")</f>
        <v/>
      </c>
      <c r="HT67">
        <f t="shared" ref="HT67:HT130" si="241">IF(OR(ISNUMBER(SEARCH(" B"," "&amp;DU67)),ISNUMBER(SEARCH(" В"," "&amp;DU67))),5,IF(ISNUMBER(SEARCH(" D"," "&amp;DU67)),20,10))</f>
        <v>10</v>
      </c>
      <c r="HU67" t="str">
        <f t="shared" ref="HU67:HU130" si="242">IF(NOT(ISNUMBER(HS67)),"",IF(HS67&gt;=HT67,"ok",IF(N(DW67)=1,"ok (дифзащита "&amp;IF(CS67&lt;&gt;"",CV67,DV67)&amp;" мА)","мало: Iкз &lt; "&amp;HT67&amp;"·In")))</f>
        <v/>
      </c>
      <c r="HV67">
        <f t="shared" ref="HV67:HV130" si="243">IF(OR(B67="",BH67&lt;&gt;"",BP67=1),0,0.4*N(CI67)+IF(BV67=1,0,0.01*N(P67)))</f>
        <v>0.80951905283832892</v>
      </c>
      <c r="HW67">
        <f t="shared" ref="HW67:HW130" si="244">IF(AND(A68=A67,AJ68&lt;&gt;"вручную",OR(B68="",CF68=1)),IF(B68="",0,N(HV68))+N(HW68),0)</f>
        <v>0</v>
      </c>
      <c r="HX67">
        <f t="shared" ref="HX67:HX130" si="245">IF(BV67=1,N(BU67)+N(EV67),0)</f>
        <v>0</v>
      </c>
      <c r="HY67">
        <f t="shared" ref="HY67:HY130" si="246">IF(BV67=1,(N(BU67)+N(EV67))*N(O67),0)</f>
        <v>0</v>
      </c>
      <c r="HZ67">
        <f t="shared" ref="HZ67:HZ130" si="247">IF(AND(A68=A67,AJ68&lt;&gt;"вручную",OR(B68="",CF68=1)),IF(B68="",0,N(HY68))+N(HZ68),0)</f>
        <v>0</v>
      </c>
      <c r="IA67">
        <f t="shared" ref="IA67:IA130" si="248">IF(AND(A68=A67,AJ68&lt;&gt;"вручную",OR(B68="",CF68=1)),MAX(IF(B68="",0,N(HX68)),N(IA68)),0)</f>
        <v>0</v>
      </c>
      <c r="IB67">
        <f t="shared" ref="IB67:IB130" si="249">IF(AND(A68=A67,AJ68&lt;&gt;"вручную",OR(B68="",CF68=1)),IF(B68="",0,N(BV68))+N(IB68),0)</f>
        <v>0</v>
      </c>
      <c r="IC67" t="str">
        <f t="shared" ref="IC67:IC130" si="250">IF(CG67=0,"",IFERROR(TRIM(MID(DD67,SEARCH("БП",DD67),40)),""))</f>
        <v/>
      </c>
      <c r="ID67" t="str" cm="1">
        <f t="array" ref="ID67">IF(IC67="","",_xlfn.LET(_xlpm.tk,_xlfn.TEXTSPLIT(SUBSTITUTE(SUBSTITUTE(IC67,";"," "),"→"," ")," ",,TRUE),_xlpm.w_,_xlfn._xlws.FILTER(_xlpm.tk,ISNUMBER(--LEFT(_xlpm.tk,1))*((ISNUMBER(SEARCH("W",_xlpm.tk))+ISNUMBER(SEARCH("Вт",_xlpm.tk)))&gt;0),""),IFERROR(--SUBSTITUTE(SUBSTITUTE(UPPER(INDEX(_xlpm.w_,1)),"W",""),"ВТ",""),"")))</f>
        <v/>
      </c>
      <c r="IE67" t="str" cm="1">
        <f t="array" ref="IE67">IF(IC67="","",_xlfn.LET(_xlpm.tk,_xlfn.TEXTSPLIT(SUBSTITUTE(SUBSTITUTE(IC67,";"," "),"→"," ")," ",,TRUE),_xlpm.v_,_xlfn._xlws.FILTER(_xlpm.tk,ISNUMBER(--LEFT(_xlpm.tk,1))*((ISNUMBER(SEARCH("V",_xlpm.tk))+(RIGHT(UPPER(_xlpm.tk))="В"))&gt;0),""),IFERROR(--SUBSTITUTE(SUBSTITUTE(UPPER(INDEX(_xlpm.v_,1)),"V",""),"В",""),"")))</f>
        <v/>
      </c>
      <c r="IF67" s="6" t="str">
        <f>IF(OR(BV67=0,HI67="",HJ67=""),"",IFERROR(N(_xlfn.XLOOKUP(HI67,Каталог!$C$4:$C$500,Каталог!$Q$4:$Q$500)),""))</f>
        <v/>
      </c>
      <c r="IG67" s="6" t="str">
        <f>IF(N(IF67)=0,"",SUMIFS(Линии[Iр, А],Линии[Щит],A67,Линии[_модуль гр.],HH67,Линии[Канал (итог)],HJ67))</f>
        <v/>
      </c>
      <c r="IH67" t="str">
        <f>IF(AND(B67="",HO67=""),"",_xlfn.TEXTJOIN("; ",TRUE,IF(AND(B67&lt;&gt;"",FV67=""),"нет фазы",""),IF(AND(B67&lt;&gt;"",N(GL67)=0,FG67&lt;&gt;"Нет"),"нет мощности",""),IF(AND(HN67&lt;&gt;"",COUNTIFS(Линии[Щит],A67,Линии[Клемма (итог)],HN67)&gt;1),"дубль клеммы "&amp;HN67,""),IF(AND(HQ67&lt;&gt;"",HQ67&lt;&gt;"ok"),HQ67,""),IF(HR67&lt;&gt;"",HR67,""),IF(AND(N(CB67)&gt;=4,N(BX67)=1),CB67&amp;" жил на 1 фазе",""),IF(AND(BC67="R",CG67=1,IF(CS67&lt;&gt;"",N(CV67)&gt;30,OR(N(DA67)=0,N(DA67)&gt;30))),"розетка без дифзащиты до 30 мА",""),IF(AND(CG67=1,N(DA67)&gt;0,ISNUMBER(T67)),IF(T67&gt;N(DA67)/3,"ток утечки "&amp;FIXED(T67,1)&amp;" мА &gt; 1/3 уставки ("&amp;DA67&amp;" мА)",""),""),IF(AND(CH67=1,CS67=""),"«узо»: нет строки с УЗО выше (УЗО 2P 40А 30мА в «Аппаратах»)",""),IF(AND(CS67&lt;&gt;"",CS67=BA67),IF(CT67="","впишите номинал УЗО (УЗО 2P 40А 30мА)",IF(N(CT67)&lt;N(DT67),"УЗО "&amp;CT67&amp;" А &lt; автомата "&amp;DT67&amp;" А перед ним",IF(N(CT67)&lt;N(CX67),"УЗО "&amp;CT67&amp;" А &lt; тока блока "&amp;FIXED(CX67,1)&amp;" А",""))),""),IF(AND(CS67&lt;&gt;"",CS67=BA67,ISNUMBER(CY67)),IF(CY67&gt;N(CV67)/3,"ток утечки блока УЗО "&amp;FIXED(CY67,1)&amp;" мА &gt; 1/3 уставки ("&amp;CV67&amp;" мА)",""),""),IF(AND(CG67=1,N(BV67)+N(IB67)&gt;0,IC67=""),"линии до 50 В без БП: впишите в «Аппараты» (БП 24V 480W)",""),IF(AND(CG67=1,ISNUMBER(ID67),ISNUMBER(U67)),IF(U67&gt;ID67,"БП "&amp;ID67&amp;" Вт &lt; нужно "&amp;U67&amp;" Вт (×"&amp;Запас_БП&amp;")",""),""),IF(AND(CG67=1,ISNUMBER(IE67),N(BV67)=1),IF(IE67&lt;&gt;N(BU67),"БП на "&amp;IE67&amp;" В, линия "&amp;BU67&amp;" В",""),""),IF(AND(N(IF67)&gt;0,N(IG67)&gt;N(IF67)),HH67&amp;" канал "&amp;HJ67&amp;": "&amp;FIXED(IG67,1)&amp;" А &gt; "&amp;IF67&amp;" А",""),IFERROR(IF(AND(ISNUMBER(Q67),Q67&gt;EL67),"потери "&amp;FIXED(Q67,1)&amp;" % &gt; "&amp;EL67&amp;" %",""),""),IFERROR(IF(LEFT(HU67,4)="мало","Iкз мало — отключение &gt; 0,4 с",""),""),IF(AND(B67&lt;&gt;"",BM67=""),"не на схеме",""),IF(AND(CG67=0,B67&lt;&gt;"",FV67&lt;&gt;"",IF(BA67=1,"",FW66)&lt;&gt;"",FV67&lt;&gt;IF(BA67=1,"",FW66)),"фаза не как у автомата группы ("&amp;IF(BA67=1,"",FW66)&amp;")","")))</f>
        <v/>
      </c>
      <c r="II67" s="6">
        <f>IF(OR(CG67=0,DQ67=""),"",_xlfn.LET(_xlpm.t,IFERROR(_xlfn.XLOOKUP(DQ67,Каталог!$U$4:$U$500,Каталог!$G$4:$G$500),""),_xlpm.k,SEARCH("кА",_xlpm.t),IFERROR(--TRIM(RIGHT(SUBSTITUTE(MID(_xlpm.t,MAX(1,_xlpm.k-4),_xlpm.k-MAX(1,_xlpm.k-4))," ",REPT(" ",9)),5)),"")))</f>
        <v>6</v>
      </c>
      <c r="IJ67" t="str">
        <f>IF(OR(II67="",CG67=0),"",IF(_xlfn.XLOOKUP(A67,Щиты[Щит],Щиты[Iкз max на шинах, кА],"")="","",IF(II67&lt;_xlfn.XLOOKUP(A67,Щиты[Щит],Щиты[Iкз max на шинах, кА]),"Icu "&amp;II67&amp;" кА &lt; Iкз max","ok")))</f>
        <v/>
      </c>
      <c r="IK67" t="str">
        <f t="shared" ref="IK67:IK130" si="251">IF(OR(AND(BA67&gt;1,N(BA66)&lt;&gt;BA67-1),AND(BA68&lt;&gt;"",N(BA68)&lt;&gt;BA67+1)),"строки сдвинуты (вставка или удаление) — нажмите «Починить формулы»","")</f>
        <v/>
      </c>
      <c r="IL67" t="str">
        <f t="shared" ref="IL67:IL130" si="252">IF(OR(AJ67="вручную",BM67="",AND(B67="",HN67="")),"",_xlfn.TEXTJOIN("|",TRUE,GU67,SUBSTITUTE(GV67," → ","|"),IF(HH67&lt;&gt;"",HH67&amp;IF(HJ67&lt;&gt;""," к."&amp;HJ67,""),""),HN67))</f>
        <v>QF14</v>
      </c>
      <c r="IM67" t="str">
        <f t="shared" ref="IM67:IM130" si="253">IF(IL67="","",IL67&amp;IF(B67&lt;&gt;"","|кабель "&amp;EY67&amp;" → "&amp;BJ67,""))</f>
        <v>QF14|кабель ВВГнг(А)-LS (3х1,5) → Внутренний блок кондиционера Подвальный этаж Пом. №006Т</v>
      </c>
      <c r="IN67" t="str" cm="1">
        <f t="array" ref="IN67">IF(IM67="","",_xlfn.LET(_xlpm.nd,_xlfn.TEXTSPLIT(IM67,"|"),IF(COLUMNS(_xlpm.nd)&gt;1,A67&amp;"¦"&amp;INDEX(_xlpm.nd,1)&amp;"¦"&amp;INDEX(_xlpm.nd,2),"")))</f>
        <v>ЩОВ-001¦QF14¦кабель ВВГнг(А)-LS (3х1,5) → Внутренний блок кондиционера Подвальный этаж Пом. №006Т</v>
      </c>
      <c r="IO67" t="str">
        <f t="shared" ref="IO67:IO130" si="254">IF(IN67="","",B67&amp;"¦"&amp;BJ67)</f>
        <v>К.1.017А.1¦Внутренний блок кондиционера Подвальный этаж Пом. №006Т</v>
      </c>
      <c r="IP67" t="str" cm="1">
        <f t="array" ref="IP67">IF(IM67="","",_xlfn.LET(_xlpm.nd,_xlfn.TEXTSPLIT(IM67,"|"),IF(COLUMNS(_xlpm.nd)&gt;2,A67&amp;"¦"&amp;INDEX(_xlpm.nd,2)&amp;"¦"&amp;INDEX(_xlpm.nd,3),"")))</f>
        <v/>
      </c>
      <c r="IQ67" t="str">
        <f t="shared" ref="IQ67:IQ130" si="255">IF(IP67="","",B67&amp;"¦"&amp;BJ67)</f>
        <v/>
      </c>
      <c r="IR67" t="str" cm="1">
        <f t="array" ref="IR67">IF(IM67="","",_xlfn.LET(_xlpm.nd,_xlfn.TEXTSPLIT(IM67,"|"),IF(COLUMNS(_xlpm.nd)&gt;3,A67&amp;"¦"&amp;INDEX(_xlpm.nd,3)&amp;"¦"&amp;INDEX(_xlpm.nd,4),"")))</f>
        <v/>
      </c>
      <c r="IS67" t="str">
        <f t="shared" ref="IS67:IS130" si="256">IF(IR67="","",B67&amp;"¦"&amp;BJ67)</f>
        <v/>
      </c>
      <c r="IT67" t="str" cm="1">
        <f t="array" ref="IT67">IF(IM67="","",_xlfn.LET(_xlpm.nd,_xlfn.TEXTSPLIT(IM67,"|"),IF(COLUMNS(_xlpm.nd)&gt;4,A67&amp;"¦"&amp;INDEX(_xlpm.nd,4)&amp;"¦"&amp;INDEX(_xlpm.nd,5),"")))</f>
        <v/>
      </c>
      <c r="IU67" t="str">
        <f t="shared" ref="IU67:IU130" si="257">IF(IT67="","",B67&amp;"¦"&amp;BJ67)</f>
        <v/>
      </c>
      <c r="IV67" t="str" cm="1">
        <f t="array" ref="IV67">IF(IM67="","",_xlfn.LET(_xlpm.nd,_xlfn.TEXTSPLIT(IM67,"|"),IF(COLUMNS(_xlpm.nd)&gt;5,A67&amp;"¦"&amp;INDEX(_xlpm.nd,5)&amp;"¦"&amp;INDEX(_xlpm.nd,6),"")))</f>
        <v/>
      </c>
      <c r="IW67" t="str">
        <f t="shared" ref="IW67:IW130" si="258">IF(IV67="","",B67&amp;"¦"&amp;BJ67)</f>
        <v/>
      </c>
      <c r="IX67" t="str" cm="1">
        <f t="array" ref="IX67">IF(IM67="","",_xlfn.LET(_xlpm.nd,_xlfn.TEXTSPLIT(IM67,"|"),IF(COLUMNS(_xlpm.nd)&gt;6,A67&amp;"¦"&amp;INDEX(_xlpm.nd,6)&amp;"¦"&amp;INDEX(_xlpm.nd,7),"")))</f>
        <v/>
      </c>
      <c r="IY67" t="str">
        <f t="shared" ref="IY67:IY130" si="259">IF(IX67="","",B67&amp;"¦"&amp;BJ67)</f>
        <v/>
      </c>
      <c r="IZ67" t="str">
        <f t="shared" ref="IZ67:IZ130" si="260">IF(HP67="","",HI67)</f>
        <v/>
      </c>
      <c r="JA67" t="str">
        <f t="shared" ref="JA67:JA130" si="261">IF(AND(B67="",HJ67="",HN67=""),"",_xlfn.TEXTJOIN(" → ",TRUE,GU67,GV67,IF(HH67&lt;&gt;"",HH67&amp;IF(HJ67&lt;&gt;""," к."&amp;HJ67,""),IF(HJ67&lt;&gt;"","к."&amp;HJ67,"")),HN67,IF(GO67=1,"(в кабель выше)","")))</f>
        <v>QF14</v>
      </c>
      <c r="JB67">
        <f t="shared" ref="JB67:JB130" si="262">IF(AF67="",0,1)</f>
        <v>0</v>
      </c>
      <c r="JC67">
        <f t="shared" ref="JC67:JC130" si="263">IF(GT67="",0,IF(LEFT(GT67,3)="QFD",1,0))</f>
        <v>0</v>
      </c>
      <c r="JD67" t="str">
        <f t="shared" ref="JD67:JD130" si="264">IF(AL67="=","=",IF(AL67="+","+",IF(AL67="р","R","")))</f>
        <v/>
      </c>
      <c r="JE67" t="str">
        <f t="shared" ref="JE67:JE130" si="265">IF(DE67="","",IF(OR(LEFT(DE67,1)="T",LEFT(DE67,1)="Т"),"T",IF(LEFT(UPPER(DE67),2)="БП","PS",IF(OR(LEFT(UPPER(DE67),2)="МК",LEFT(UPPER(DE67),2)="MK"),"MK",IF(OR(LEFT(UPPER(DE67),2)="КМ",LEFT(UPPER(DE67),2)="KM"),"KM","X")))))</f>
        <v/>
      </c>
      <c r="JF67" t="str">
        <f t="shared" ref="JF67:JF130" si="266">IF(DF67="","",IF(OR(LEFT(DF67,1)="T",LEFT(DF67,1)="Т"),"T",IF(LEFT(UPPER(DF67),2)="БП","PS",IF(OR(LEFT(UPPER(DF67),2)="МК",LEFT(UPPER(DF67),2)="MK"),"MK",IF(OR(LEFT(UPPER(DF67),2)="КМ",LEFT(UPPER(DF67),2)="KM"),"KM","X")))))</f>
        <v/>
      </c>
      <c r="JG67" t="str">
        <f t="shared" ref="JG67:JG130" si="267">IF(DG67="","",IF(OR(LEFT(DG67,1)="T",LEFT(DG67,1)="Т"),"T",IF(LEFT(UPPER(DG67),2)="БП","PS",IF(OR(LEFT(UPPER(DG67),2)="МК",LEFT(UPPER(DG67),2)="MK"),"MK",IF(OR(LEFT(UPPER(DG67),2)="КМ",LEFT(UPPER(DG67),2)="KM"),"KM","X")))))</f>
        <v/>
      </c>
      <c r="JH67" t="str">
        <f>IF(B67="","",IFERROR(_xlfn.XLOOKUP(B67,Коды_код,Коды_уго),IFERROR(_xlfn.XLOOKUP(BC67,Коды_код,Коды_уго),IFERROR(_xlfn.XLOOKUP(LEFT(BC67,2),Коды_код,Коды_уго),""))))</f>
        <v>Привод (двигатель)</v>
      </c>
      <c r="JI67" t="str">
        <f>IF(B67="","",IF(OR(JH67="",JH67=0),"BOX",IFERROR(IF(VLOOKUP(JH67,УГО_блоки,3,FALSE)&amp;""&lt;&gt;"",VLOOKUP(JH67,УГО_блоки,3,FALSE),VLOOKUP(JH67,УГО_блоки,2,FALSE)),JH67)))</f>
        <v>MOTOR</v>
      </c>
      <c r="JJ67">
        <f t="shared" ref="JJ67:JJ130" si="268">IF(B67="",0,1)</f>
        <v>1</v>
      </c>
      <c r="JK67" t="str">
        <f>IF(DQ67="","",IF(COUNTIF(DQ$3:DQ67,DQ67)=1,MAX(JK$2:JK66)+1,""))</f>
        <v/>
      </c>
      <c r="JL67" t="str">
        <f>IF(DE67="","",IF(COUNTIF(DE$3:DE67,DE67)+COUNTIF(DF$2:DF66,DE67)+COUNTIF(DG$2:DG66,DE67)=1,MAX(JL$2:JN66)+1,""))</f>
        <v/>
      </c>
      <c r="JM67" t="str">
        <f>IF(DF67="","",IF(COUNTIF(DE$3:DE67,DF67)+COUNTIF(DF$3:DF67,DF67)+COUNTIF(DG$2:DG66,DF67)=1,MAX(JL$2:JN66,JL67)+1,""))</f>
        <v/>
      </c>
      <c r="JN67" t="str">
        <f>IF(DG67="","",IF(COUNTIF(DE$3:DE67,DG67)+COUNTIF(DF$3:DF67,DG67)+COUNTIF(DG$3:DG67,DG67)=1,MAX(JL$2:JN66,JL67,JM67)+1,""))</f>
        <v/>
      </c>
      <c r="JO67" t="str">
        <f t="shared" ref="JO67:JO130" si="269">IF(HL67=1,IFERROR(MID(GK67,FIND(" (",GK67)+2,FIND(")",GK67,FIND(" (",GK67))-FIND(" (",GK67)-2),"?"),"")</f>
        <v>3х1,5</v>
      </c>
      <c r="JP67" t="str">
        <f>IF(JO67="","",IF(COUNTIF(JO$3:JO67,JO67)=1,MAX(JP$2:JP66)+1,""))</f>
        <v/>
      </c>
      <c r="JQ67" t="str">
        <f>IF(HG67="","",COUNTIF(HG$3:HG67,"?*"))</f>
        <v/>
      </c>
      <c r="JR67" t="str">
        <f>IF(OR(HG67="",HI67=""),"",IF(COUNTIFS(HG$3:HG67,"?*",HI$3:HI67,HI67)=1,MAX(JR$2:JR66)+1,""))</f>
        <v/>
      </c>
      <c r="JS67">
        <f t="shared" ref="JS67:JS130" si="270">IF(IH67="",0,IF(OR(ISNUMBER(SEARCH("дубль",IH67)),ISNUMBER(SEARCH("ПЕРЕГРУЗ",IH67)),ISNUMBER(SEARCH("ЗАЩИЩ",IH67)),ISNUMBER(SEARCH("КАНАЛ",IH67)),ISNUMBER(SEARCH("без диф",IH67))),2,1))</f>
        <v>0</v>
      </c>
      <c r="JT67">
        <f>IF(B67="","",COUNTIF(B$3:B67,"?*"))</f>
        <v>65</v>
      </c>
      <c r="JU67">
        <f>IF(HL67&lt;&gt;1,0,_xlfn.LET(_xlpm.k,MAX(IFERROR(--_xlfn.XLOOKUP(B67,Коды_код,Коды_3L),0),IFERROR(--_xlfn.XLOOKUP(BC67,Коды_код,Коды_3L),0),IFERROR(--_xlfn.XLOOKUP(LEFT(BC67,2),Коды_код,Коды_3L),0)),IF(_xlpm.k&gt;0,_xlpm.k,IF(IFERROR(--LEFT(SUBSTITUTE(JO67,"x","х"),FIND("х",SUBSTITUTE(JO67,"x","х"))-1),3)&gt;3,Каталог!$S$9,1))))</f>
        <v>1</v>
      </c>
      <c r="JV67">
        <f t="shared" ref="JV67:JV130" si="271">IF(HL67&lt;&gt;1,0,MAX(0,IFERROR(--LEFT(SUBSTITUTE(JO67,"x","х"),FIND("х",SUBSTITUTE(JO67,"x","х"))-1),3)-3*JU67))</f>
        <v>0</v>
      </c>
      <c r="JW67" t="str">
        <f t="shared" ref="JW67:JW130" si="272">IF(CG67=1,"авто","")</f>
        <v>авто</v>
      </c>
      <c r="JX67" t="str">
        <f t="shared" ref="JX67:JX130" si="273">IF(CG67=1,IF(N(DA67)&gt;0,DA67,""),"")</f>
        <v/>
      </c>
      <c r="JY67">
        <f t="shared" ref="JY67:JY130" si="274">IF(CG67=1,IF(N(DA67)&gt;0,1,0),"")</f>
        <v>0</v>
      </c>
      <c r="JZ67">
        <f t="shared" ref="JZ67:JZ130" si="275">SUBTOTAL(103,A67)</f>
        <v>1</v>
      </c>
    </row>
    <row r="68" spans="1:286" x14ac:dyDescent="0.3">
      <c r="A68" t="s">
        <v>747</v>
      </c>
      <c r="B68" t="s">
        <v>1381</v>
      </c>
      <c r="C68" t="s">
        <v>1659</v>
      </c>
      <c r="D68">
        <v>1</v>
      </c>
      <c r="E68">
        <v>0.3</v>
      </c>
      <c r="G68">
        <v>10</v>
      </c>
      <c r="H68" t="str">
        <f>Линии[[#This Row],[_авто управление]]</f>
        <v/>
      </c>
      <c r="I68" t="str">
        <f>Линии[[#This Row],[_авто аппараты]]</f>
        <v/>
      </c>
      <c r="J68">
        <v>1.5</v>
      </c>
      <c r="K68">
        <v>14</v>
      </c>
      <c r="L68" t="str">
        <f>Линии[[#This Row],[_авто фаза]]</f>
        <v>L1</v>
      </c>
      <c r="M68" t="s">
        <v>484</v>
      </c>
      <c r="N68" t="str">
        <f t="shared" si="138"/>
        <v/>
      </c>
      <c r="O68" s="6" cm="1">
        <f t="array" ref="O68">IF(B68="","",IF(BH68&lt;&gt;"",IFERROR(_xlfn.XLOOKUP(BH68,Щиты[Щит],Щиты[Iр, А]),""),IF(BP68=1,IF(OR(N(_xlfn.XLOOKUP(A68,Щиты[Щит],Щиты[Вводов],1))&lt;=1,LOWER(TRIM(_xlfn.XLOOKUP(A68,Щиты[Щит],Щиты[АВР],"")&amp;""))="да"),IFERROR(_xlfn.XLOOKUP(A68,Щиты[Щит],Щиты[Iр, А]),""),IFERROR(N(BS68)*_xlfn.XLOOKUP(A68,Щиты[Щит],Щиты[Кс итог])/(SQRT(3)*Uн_лин*_xlfn.XLOOKUP(A68,Щиты[Щит],Щиты[cos φ])),"")),IF(BV68=1,IFERROR(BS68*1000/BU68,""),IFERROR(_xlfn.IFS(BX68=1,BS68/((Uн_лин/SQRT(3))*CE68),BX68=3,BS68/(SQRT(3)*Uн_лин*CE68)),"")))))</f>
        <v>1.6237976320958221</v>
      </c>
      <c r="P68" s="7">
        <f>IF(B68="","",IFERROR(IF(VLOOKUP(BC68,Потребители_обозначение,4,FALSE)=1,VLOOKUP(BC68,Потребители_обозначение,3,FALSE)*(MAX(1,N(D68))*2-1)+EI68+VLOOKUP(BE68,Этаж_обозначение,3,FALSE)+VLOOKUP(BE68,Этаж_обозначение,4,FALSE),VLOOKUP(BC68,Потребители_обозначение,3,FALSE)*(MAX(1,N(D68))*2-1)+EI68),EI68))</f>
        <v>16</v>
      </c>
      <c r="Q68" s="6">
        <f t="shared" si="139"/>
        <v>0.92</v>
      </c>
      <c r="R68" t="str">
        <f t="shared" si="140"/>
        <v>ВВГнг(А)-LS (3х1,5)</v>
      </c>
      <c r="S68" t="str">
        <f>IF(BM68="","",IF(BN68="вводной узел","узел ","")&amp;"л."&amp;(INT((BM68-1)/Столбцов_на_лист)+1)&amp;" / "&amp;(MOD(BM68-1,Столбцов_на_лист)+1))</f>
        <v>л.2 / 13</v>
      </c>
      <c r="T68" s="119">
        <f t="shared" si="141"/>
        <v>0.8</v>
      </c>
      <c r="U68" s="7" t="str">
        <f>IF(OR(CG68=0,N(BV68)+N(IB68)=0),"",ROUNDUP(Запас_БП*(N(HY68)+N(HZ68)),0))</f>
        <v/>
      </c>
      <c r="V68" s="119" t="str">
        <f t="shared" si="142"/>
        <v/>
      </c>
      <c r="W68" s="7" t="str">
        <f>IFERROR(IF(OR(B68="",BP68=1,BV68=1,NOT(ISNUMBER(EN68)),N(DT68)=0),"",MAX(0,ROUNDDOWN((c_min*(Uн_лин*1000/SQRT(3))/(HT68*N(DT68))-_xlfn.XLOOKUP(A68,Щиты[Щит],Щиты[Zпетли на шинах, Ом]))*EN68/(2*ρкз_Cu),0))),"")</f>
        <v/>
      </c>
      <c r="Y68" t="str">
        <f>Линии[[#This Row],[_авто утечка]]</f>
        <v/>
      </c>
      <c r="Z68">
        <v>1</v>
      </c>
      <c r="AA68">
        <v>230</v>
      </c>
      <c r="AB68" t="s">
        <v>598</v>
      </c>
      <c r="AC68">
        <v>0.5</v>
      </c>
      <c r="AG68" t="s">
        <v>810</v>
      </c>
      <c r="AI68" t="s">
        <v>576</v>
      </c>
      <c r="AK68" t="str">
        <f>Линии[[#This Row],[_авто модуль]]</f>
        <v/>
      </c>
      <c r="AM68">
        <v>30</v>
      </c>
      <c r="AN68" t="s">
        <v>11</v>
      </c>
      <c r="AO68">
        <v>3</v>
      </c>
      <c r="AR68">
        <v>16</v>
      </c>
      <c r="AT68">
        <v>1</v>
      </c>
      <c r="BA68" cm="1">
        <f t="array" ref="BA68">ROW()-ROW(Линии[#Headers])</f>
        <v>66</v>
      </c>
      <c r="BC68" s="6" t="str">
        <f t="shared" si="143"/>
        <v>К</v>
      </c>
      <c r="BD68" t="str">
        <f t="shared" si="144"/>
        <v>1.021А.1</v>
      </c>
      <c r="BE68" t="str">
        <f t="shared" si="145"/>
        <v>1</v>
      </c>
      <c r="BF68" t="str">
        <f t="shared" si="146"/>
        <v>021А.1</v>
      </c>
      <c r="BG68" t="str">
        <f t="shared" si="147"/>
        <v>021А</v>
      </c>
      <c r="BH68" t="str">
        <f>IF(X68&lt;&gt;"",X68,IF(AND(B68&lt;&gt;"",B68&lt;&gt;A68,ISNUMBER(_xlfn.XMATCH(B68,Щиты[Щит]))),B68,""))</f>
        <v/>
      </c>
      <c r="BI68" t="str" cm="1">
        <f t="array" ref="BI68">IF(B68="","",IF(BH68&lt;&gt;"","Щит "&amp;BH68,_xlfn.LET(_xlpm.nm,IFERROR(_xlfn.XLOOKUP(BC68,Коды_код,Коды_имя)&amp;"",""),_xlpm.md,IFERROR(N(_xlfn.XLOOKUP(BC68,Коды_код,Коды_режим)),1),_xlpm.ex,IF(Имя_режим="по экспликации",IFERROR(_xlfn.XLOOKUP(BE68&amp;"|"&amp;BG68,Экспликация[Этаж]&amp;"|"&amp;Экспликация[Помещение],Экспликация[Название])&amp;"",""),""),_xlpm.rm,IF(BG68="","",IF(_xlpm.ex&lt;&gt;"",". "&amp;_xlpm.ex&amp;IF(Имя_пом="нет"," ("&amp;BG68&amp;")"," (пом. "&amp;BG68&amp;")"),IF(Имя_пом="нет"," ",", пом. ")&amp;BG68)),IF(_xlpm.nm="","",IF(_xlpm.md=2,_xlpm.nm&amp;" шлейф "&amp;BE68,_xlpm.nm&amp;_xlpm.rm)))))</f>
        <v>Внутренний блок кондиционирования, пом. 021А</v>
      </c>
      <c r="BJ68" t="str">
        <f t="shared" si="148"/>
        <v>Внутренний блок кондиционера Подвальный этаж Пом. №006Т</v>
      </c>
      <c r="BK68">
        <f>IFERROR(_xlfn.XMATCH(A68,Щиты[Щит]),0)</f>
        <v>4</v>
      </c>
      <c r="BL68">
        <f>_xlfn.LET(_xlpm.k,IFERROR(_xlfn.XLOOKUP(A68,Щиты[Щит],Щиты[Мест под вводной узел]),""),IF(_xlpm.k="",Столбцов_на_лист,N(_xlpm.k)))</f>
        <v>13</v>
      </c>
      <c r="BM68">
        <f t="shared" si="149"/>
        <v>30</v>
      </c>
      <c r="BN68" t="str">
        <f t="shared" si="150"/>
        <v>линии</v>
      </c>
      <c r="BO68" s="6">
        <f>IFERROR(N(_xlfn.XLOOKUP(BC68,Коды_код,Коды_квт)),0)</f>
        <v>0</v>
      </c>
      <c r="BP68">
        <f t="shared" si="151"/>
        <v>0</v>
      </c>
      <c r="BQ68" t="str">
        <f>IF(B68="","",IF(BH68&lt;&gt;"",IFERROR(_xlfn.XLOOKUP(BH68,Щиты[Щит],Щиты[Руст, кВт]),0),IF(BP68=1,IF(OR(N(_xlfn.XLOOKUP(A68,Щиты[Щит],Щиты[Вводов],1))&lt;=1,LOWER(TRIM(_xlfn.XLOOKUP(A68,Щиты[Щит],Щиты[АВР],"")&amp;""))="да"),IFERROR(_xlfn.XLOOKUP(A68,Щиты[Щит],Щиты[Руст, кВт]),0),SUMIFS(Линии[_Р для вводов],Линии[Щит],A68,Линии[Источник для режимов],GF68)),IF(BO68&gt;0,ROUND(BO68*MAX(1,N(D68)),3),""))))</f>
        <v/>
      </c>
      <c r="BR68">
        <f t="shared" si="152"/>
        <v>0.3</v>
      </c>
      <c r="BS68" s="6">
        <f>IF(B68="","",IF(BH68&lt;&gt;"",IFERROR(_xlfn.XLOOKUP(BH68,Щиты[Щит],Щиты[Руст, кВт]),0),N(BR68)))</f>
        <v>0.3</v>
      </c>
      <c r="BT68" t="str">
        <f>IF(B68="","",IFERROR(IF(VLOOKUP(BC68,Потребители_обозначение,8,FALSE)=0,"",VLOOKUP(BC68,Потребители_обозначение,8,FALSE)),""))</f>
        <v/>
      </c>
      <c r="BU68">
        <f t="shared" si="153"/>
        <v>230</v>
      </c>
      <c r="BV68">
        <f t="shared" si="154"/>
        <v>0</v>
      </c>
      <c r="BW68">
        <f>IF(B68="","",IF(BH68&lt;&gt;"",3,IFERROR(IF(N(VLOOKUP(BC68,Потребители_обозначение,9,FALSE))=0,1,VLOOKUP(BC68,Потребители_обозначение,9,FALSE)),1)))</f>
        <v>1</v>
      </c>
      <c r="BX68">
        <f t="shared" si="155"/>
        <v>1</v>
      </c>
      <c r="BY68" t="str">
        <f>IF(B68="","",_xlfn.LET(_xlpm.bc,IFERROR(IF(VLOOKUP(BC68,Потребители_обозначение,6,FALSE)=0,"",VLOOKUP(BC68,Потребители_обозначение,6,FALSE)&amp;""),""),IF(AND(GA68="да",OR(_xlpm.bc="",_xlpm.bc="мс")),Марка_пож,IF(AND(_xlpm.bc="",BH68&lt;&gt;""),"мс",_xlpm.bc))))</f>
        <v/>
      </c>
      <c r="BZ68" t="str">
        <f t="shared" si="156"/>
        <v>мс</v>
      </c>
      <c r="CA68">
        <f>IF(B68="","",_xlfn.LET(_xlpm.cc,IFERROR(N(VLOOKUP(BC68,Потребители_обозначение,7,FALSE)),0),IF(_xlpm.cc&gt;0,_xlpm.cc,IF(BZ68="","",IF(BV68=1,2,IF(N(BX68)=3,5,3))))))</f>
        <v>3</v>
      </c>
      <c r="CB68">
        <f t="shared" si="157"/>
        <v>3</v>
      </c>
      <c r="CC68">
        <f>IFERROR(N(VLOOKUP(BC68,Потребители_обозначение,10,FALSE)),0)</f>
        <v>0</v>
      </c>
      <c r="CD68">
        <f>IFERROR(VLOOKUP(BC68,Потребители_обозначение,5,FALSE),0)</f>
        <v>1</v>
      </c>
      <c r="CE68" s="6" cm="1">
        <f t="array" ref="CE68">IF(B68="","",IF(BH68&lt;&gt;"",IFERROR(_xlfn.XLOOKUP(BH68,Щиты[Щит],Щиты[cos φ]),0.95),IF(BP68=1,IFERROR(_xlfn.XLOOKUP(A68,Щиты[Щит],Щиты[cos φ]),0.95),IF(ISNUMBER(AD68),AD68,IFERROR(IF(CD68=2,_xlfn.IFS(BX68=3,VLOOKUP(BS68,Справочная_двигатели,8,FALSE),BX68=1,VLOOKUP(BS68,Справочная_двигатели,10,TRUE)),IF(AND(Методика="нормы 2026",FG68="Сил"),0.8,0.95)),0.95)))))</f>
        <v>0.8</v>
      </c>
      <c r="CF68">
        <f t="shared" si="158"/>
        <v>0</v>
      </c>
      <c r="CG68">
        <f t="shared" si="159"/>
        <v>1</v>
      </c>
      <c r="CH68">
        <f t="shared" si="160"/>
        <v>0</v>
      </c>
      <c r="CI68">
        <f>IF(B68="","",IF(BV68=1,IFERROR(BS68/((Uн_лин/SQRT(3))*MAX(0.5,N(CE68))),0),N(O68)))</f>
        <v>1.6237976320958221</v>
      </c>
      <c r="CJ68">
        <f t="shared" si="161"/>
        <v>0</v>
      </c>
      <c r="CK68">
        <f t="shared" si="162"/>
        <v>0</v>
      </c>
      <c r="CL68">
        <f t="shared" si="163"/>
        <v>0</v>
      </c>
      <c r="CM68">
        <f t="shared" si="164"/>
        <v>0</v>
      </c>
      <c r="CN68">
        <f t="shared" si="165"/>
        <v>0</v>
      </c>
      <c r="CO68">
        <f>IF(BC68="",0,_xlfn.LET(_xlpm.v,IFERROR(_xlfn.XLOOKUP(B68,Коды_код,Коды_мА),IFERROR(_xlfn.XLOOKUP(BC68,Коды_код,Коды_мА),IFERROR(_xlfn.XLOOKUP(LEFT(BC68,2),Коды_код,Коды_мА),""))),IF(_xlpm.v="да",30,IF(ISNUMBER(_xlpm.v),_xlpm.v,0))))</f>
        <v>0</v>
      </c>
      <c r="CP68" t="str">
        <f t="shared" si="166"/>
        <v/>
      </c>
      <c r="CQ68" t="str">
        <f>_xlfn.LET(_xlpm.k,IFERROR(_xlfn.XLOOKUP(BC68,Коды_код,Коды_утечка)&amp;"",""),IF(_xlpm.k="","дифавтомат",_xlpm.k))</f>
        <v>дифавтомат</v>
      </c>
      <c r="CR68" t="str" cm="1">
        <f t="array" ref="CR68">IF(CG68=0,"",_xlfn.LET(_xlpm.sg,TRIM(_xlfn.TEXTSPLIT(DD68&amp;"",";")),_xlpm.f_,_xlfn._xlws.FILTER(_xlpm.sg,LEFT(_xlpm.sg,3)="УЗО",""),IFERROR(INDEX(_xlpm.f_,1)&amp;"","")))</f>
        <v/>
      </c>
      <c r="CS68" t="str">
        <f t="shared" si="167"/>
        <v/>
      </c>
      <c r="CT68" s="6" t="str" cm="1">
        <f t="array" ref="CT68">IF(CR68="","",_xlfn.LET(_xlpm.tk,_xlfn.TEXTSPLIT(UPPER(CR68)," ",,TRUE),_xlpm.a_,_xlfn._xlws.FILTER(_xlpm.tk,ISNUMBER(--LEFT(_xlpm.tk,1))*((ISNUMBER(SEARCH("А",_xlpm.tk))+ISNUMBER(SEARCH("A",_xlpm.tk)))&gt;0)*NOT(ISNUMBER(SEARCH("МА",_xlpm.tk)))*NOT(ISNUMBER(SEARCH("MA",_xlpm.tk))),""),IFERROR(--SUBSTITUTE(SUBSTITUTE(INDEX(_xlpm.a_,1),"А",""),"A",""),"")))</f>
        <v/>
      </c>
      <c r="CU68" t="str" cm="1">
        <f t="array" ref="CU68">IF(CR68="","",_xlfn.LET(_xlpm.tk,_xlfn.TEXTSPLIT(UPPER(CR68)," ",,TRUE),_xlpm.a_,_xlfn._xlws.FILTER(_xlpm.tk,ISNUMBER(--LEFT(_xlpm.tk,1))*((ISNUMBER(SEARCH("МА",_xlpm.tk))+ISNUMBER(SEARCH("MA",_xlpm.tk)))&gt;0),""),IFERROR(--SUBSTITUTE(SUBSTITUTE(INDEX(_xlpm.a_,1),"МА",""),"MA",""),30)))</f>
        <v/>
      </c>
      <c r="CV68" t="str">
        <f>IF(CS68="","",IFERROR(_xlfn.XLOOKUP(CS68,Линии[_n],Линии[_УЗО, мА]),30))</f>
        <v/>
      </c>
      <c r="CW68">
        <f>IF(CS68="",0,IF(ISNUMBER(SEARCH("4P",IFERROR(_xlfn.XLOOKUP(CS68,Линии[_n],Линии[_УЗО строки])&amp;"",""))),0,1))</f>
        <v>0</v>
      </c>
      <c r="CX68" t="str">
        <f>IF(AND(CS68&lt;&gt;"",CS68=BA68),SUMIFS(Линии[_ток на 230 В],Линии[_блок УЗО],BA68,Линии[Щит],A68),"")</f>
        <v/>
      </c>
      <c r="CY68" t="str">
        <f>IF(AND(CS68&lt;&gt;"",CS68=BA68),SUMIFS(Линии[_ток утечки линии, мА],Линии[_блок УЗО],BA68,Линии[Щит],A68),"")</f>
        <v/>
      </c>
      <c r="CZ68">
        <f t="shared" si="168"/>
        <v>0</v>
      </c>
      <c r="DA68">
        <f t="shared" si="169"/>
        <v>0</v>
      </c>
      <c r="DB68">
        <f>IF(B68="",0,IFERROR(--_xlfn.XLOOKUP(B68,Коды_код,Коды_минавт),IFERROR(--_xlfn.XLOOKUP(BC68,Коды_код,Коды_минавт),IFERROR(--_xlfn.XLOOKUP(LEFT(BC68,2),Коды_код,Коды_минавт),0))))</f>
        <v>0</v>
      </c>
      <c r="DC68" t="str">
        <f>IF(B68="","",IFERROR(_xlfn.XLOOKUP(BC68,Коды_код,Коды_апп)&amp;"",""))</f>
        <v/>
      </c>
      <c r="DD68" t="str">
        <f t="shared" si="170"/>
        <v/>
      </c>
      <c r="DE68" t="str" cm="1">
        <f t="array" ref="DE68">IF(TRIM(DD68&amp;"")="","",IFERROR(TRIM(INDEX(_xlfn.TEXTSPLIT(DD68&amp;";;;",";"),1)),""))</f>
        <v/>
      </c>
      <c r="DF68" t="str" cm="1">
        <f t="array" ref="DF68">IF(TRIM(DD68&amp;"")="","",IFERROR(TRIM(INDEX(_xlfn.TEXTSPLIT(DD68&amp;";;;",";"),2)),""))</f>
        <v/>
      </c>
      <c r="DG68" t="str" cm="1">
        <f t="array" ref="DG68">IF(TRIM(DD68&amp;"")="","",IFERROR(TRIM(INDEX(_xlfn.TEXTSPLIT(DD68&amp;";;;",";"),3)),""))</f>
        <v/>
      </c>
      <c r="DH68">
        <f t="shared" si="171"/>
        <v>0</v>
      </c>
      <c r="DI68" t="str">
        <f>IF(B68="","",_xlfn.LET(_xlpm.t,LOWER(AZ68&amp;""),IF(ISNUMBER(SEARCH("dim",_xlpm.t)),"DIM",IF(ISNUMBER(SEARCH("dali",_xlpm.t)),"DALI",IF(OR(ISNUMBER(SEARCH("relay",_xlpm.t)),ISNUMBER(SEARCH("реле",_xlpm.t))),"Relay",IF(ISNUMBER(SEARCH("кнопк",_xlpm.t)),"",IFERROR(_xlfn.XLOOKUP(BC68,Коды_код,Коды_упр)&amp;"","")))))))</f>
        <v/>
      </c>
      <c r="DJ68" t="str">
        <f t="shared" si="172"/>
        <v/>
      </c>
      <c r="DK68">
        <f>IF(B68="","",_xlfn.LET(_xlpm.ig,IF(N(CX68)&gt;0,N(CX68),N(CI68)+IF(AJ68="вручную",0,N(CJ68))),_xlpm.n0,IFERROR(VLOOKUP(_xlpm.ig,Автомат_номиналы,2,TRUE),0),_xlpm.mn,MAX(DB68,IF(AJ68="вручную",0,N(CM68))),MAX(_xlpm.n0,_xlpm.mn,IF(DH68=1,Мин_автомат_БП,0))))</f>
        <v>6</v>
      </c>
      <c r="DL68">
        <f t="shared" si="173"/>
        <v>1</v>
      </c>
      <c r="DM68" t="str">
        <f t="shared" si="174"/>
        <v>1P</v>
      </c>
      <c r="DN68" t="str">
        <f>_xlfn.LET(_xlpm.cc,UPPER(TRIM(IFERROR(_xlfn.XLOOKUP(BC68,Коды_код,Коды_хар)&amp;"",""))),IF(OR(_xlpm.cc="B",_xlpm.cc="В"),"B",IF(_xlpm.cc="D","D","С")))</f>
        <v>С</v>
      </c>
      <c r="DO68" t="str">
        <f t="shared" si="175"/>
        <v>1P С6А</v>
      </c>
      <c r="DP68">
        <f t="shared" si="176"/>
        <v>10</v>
      </c>
      <c r="DQ68" t="str">
        <f t="shared" si="177"/>
        <v>1P С10А</v>
      </c>
      <c r="DR68" cm="1">
        <f t="array" ref="DR68">IF(DQ68="","",_xlfn.LET(_xlpm.t,SUBSTITUTE(SUBSTITUTE(SUBSTITUTE(UPPER(DQ68),"С","C"),"А","A"),"В","B"),_xlpm.tk,_xlfn.TEXTSPLIT(_xlpm.t," "),_xlpm.f,_xlfn._xlws.FILTER(_xlpm.tk,ISNUMBER(--MID(_xlpm.tk,2,1))*ISNUMBER(SEARCH(LEFT(_xlpm.tk,1)&amp;"#","B#C#D#"))*(LEN(_xlpm.tk)&gt;1),""),_xlpm.x,INDEX(_xlpm.f,1),IFERROR(--SUBSTITUTE(MID(_xlpm.x,2,9),"A",""),IFERROR(--SUBSTITUTE(INDEX(_xlfn._xlws.FILTER(_xlpm.tk,ISNUMBER(--SUBSTITUTE(_xlpm.tk,"A","")),""),1),"A",""),""))))</f>
        <v>10</v>
      </c>
      <c r="DS68" t="str">
        <f t="shared" si="178"/>
        <v>ok</v>
      </c>
      <c r="DT68">
        <f t="shared" si="179"/>
        <v>10</v>
      </c>
      <c r="DU68" t="str">
        <f t="shared" si="180"/>
        <v>1P С10А</v>
      </c>
      <c r="DV68">
        <f t="shared" si="181"/>
        <v>0</v>
      </c>
      <c r="DW68">
        <f t="shared" si="182"/>
        <v>0</v>
      </c>
      <c r="DX68">
        <f t="shared" si="183"/>
        <v>0</v>
      </c>
      <c r="DY68">
        <f t="shared" si="184"/>
        <v>1.6237976320958221</v>
      </c>
      <c r="DZ68">
        <f t="shared" si="185"/>
        <v>1</v>
      </c>
      <c r="EA68">
        <f>IF(ISNUMBER(AP68),AP68,К_прокл)</f>
        <v>1</v>
      </c>
      <c r="EB68">
        <f t="shared" si="186"/>
        <v>2</v>
      </c>
      <c r="EC68">
        <f>IFERROR(N(VLOOKUP(BZ68,Кабель_обозначение,3,FALSE)),1)</f>
        <v>1</v>
      </c>
      <c r="ED68">
        <f>IFERROR(N(_xlfn.XLOOKUP(A68,Щиты[Щит],Щиты[ΔU до шин, %])),0)</f>
        <v>0.64</v>
      </c>
      <c r="EE68" t="str">
        <f>IFERROR(_xlfn.XLOOKUP(A68,Щиты[Щит],Щиты[Zпетли на шинах, Ом]),"")</f>
        <v/>
      </c>
      <c r="EF68">
        <f>IFERROR(N(_xlfn.XLOOKUP(A68,Щиты[Щит],Щиты[ΔU до шин (подбор), %])),0)</f>
        <v>0.75</v>
      </c>
      <c r="EG68" t="str">
        <f>IFERROR(_xlfn.XLOOKUP(A68,Щиты[Щит],Щиты[Zпетли на шинах (подбор), Ом]),"")</f>
        <v/>
      </c>
      <c r="EH68" t="str">
        <f t="shared" si="187"/>
        <v/>
      </c>
      <c r="EI68">
        <f t="shared" si="188"/>
        <v>14</v>
      </c>
      <c r="EJ68">
        <f t="shared" si="189"/>
        <v>2</v>
      </c>
      <c r="EK68">
        <f t="shared" si="190"/>
        <v>0.6</v>
      </c>
      <c r="EL68" s="6">
        <f>IF(B68="","",IF(BV68=1,dU_LED,IF(IFERROR(_xlfn.XLOOKUP(BC68,Коды_код,Коды_уго),"")="Светильник",3,4)+IF(Методика="нормы 2026",MIN(0.5,MAX(0,N(P68)-100)*0.005),0)))</f>
        <v>4</v>
      </c>
      <c r="EM68" cm="1">
        <f t="array" ref="EM68">IF(OR(B68="",BZ68="",EC68&lt;&gt;1),"",_xlfn.LET(_xlpm.sz,Iдоп_S,_xlpm.t_,CHOOSE(EB68,Iдоп_1ж,Iдоп_2ж,Iдоп_3ж)*DZ68*EA68,_xlpm.dcx,BV68=1,_xlpm.inn,IF(_xlpm.dcx,N(O68),N(DT68)),_xlpm.smin,MAX(1.5,CC68),_xlpm.L_,N(P68)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68)/N(BU68)*100,999),IFERROR(N(EJ68)*(_xlpm.rho*_xlpm.L_/_xlpm.sz*N(CE68)+_xlpm.xx*_xlpm.L_*N(EK68)/1000)*N(O68)/((Uн_лин/SQRT(3))*1000)*100,999)),_xlpm.kz,IF(OR(_xlpm.dcx,DW68=1,NOT(ISNUMBER(EG68)),_xlpm.L_=0,_xlpm.inn=0),1,IFERROR(--(c_min*(Uн_лин*1000/SQRT(3))/(EG68+2*ρкз_Cu*_xlpm.L_/_xlpm.sz)&gt;=HT68*_xlpm.inn),0)),_xlpm.ok,IFERROR((_xlpm.sz&gt;=_xlpm.smin)*(_xlpm.t_&gt;=_xlpm.inn)*IF(_xlpm.L_&gt;0,(_xlpm.du_+IF(_xlpm.dcx,0,EF68)&lt;=EL68+0.00001),1)*_xlpm.kz,0),_xlpm.r_,_xlfn._xlws.FILTER(_xlpm.sz,_xlpm.ok,"не подобрано"),INDEX(_xlpm.r_,1)))</f>
        <v>1.5</v>
      </c>
      <c r="EN68">
        <f t="shared" si="191"/>
        <v>1.5</v>
      </c>
      <c r="EO68" cm="1">
        <f t="array" ref="EO68">IF(OR(B68="",BZ68="",EC68&lt;&gt;1),"",_xlfn.LET(_xlpm.sz,Iдоп_S,_xlpm.t_,CHOOSE(EB68,Iдоп_1ж,Iдоп_2ж,Iдоп_3ж)*DZ68*EA68,_xlpm.ok,IFERROR((_xlpm.sz&gt;=MAX(1.5,CC68))*(_xlpm.t_&gt;=N(DT68)),0),_xlpm.r_,_xlfn._xlws.FILTER(_xlpm.sz,_xlpm.ok,""),INDEX(_xlpm.r_,1)))</f>
        <v>1.5</v>
      </c>
      <c r="EP68" s="6" cm="1">
        <f t="array" ref="EP68">IFERROR(ROUNDUP(N(EJ68)*(_xlfn.XLOOKUP(EO68,INDEX(Кабель_сопротивление,0,1),INDEX(Кабель_сопротивление,0,3))*N(P68)/EO68*N(CE68)+_xlfn.XLOOKUP(EO68,INDEX(Кабель_сопротивление,0,1),INDEX(Кабель_сопротивление,0,2))*N(P68)*N(EK68)/1000)*N(O68)/((Uн_лин/SQRT(3))*1000)*100,2),"")</f>
        <v>0.28000000000000003</v>
      </c>
      <c r="EQ68">
        <f>IFERROR(2*ρкз_Cu*N(P68)/EO68,"")</f>
        <v>0.56106666666666671</v>
      </c>
      <c r="ER68">
        <f>IFERROR(VLOOKUP(EN68,Кабель_сопротивление,3,FALSE),"")</f>
        <v>2.2499999999999999E-2</v>
      </c>
      <c r="ES68">
        <f>IFERROR(VLOOKUP(EN68,Кабель_сопротивление,2,FALSE),"")</f>
        <v>0.11</v>
      </c>
      <c r="ET68">
        <f t="shared" si="192"/>
        <v>16</v>
      </c>
      <c r="EU68">
        <f t="shared" si="193"/>
        <v>0</v>
      </c>
      <c r="EV68">
        <f t="shared" si="194"/>
        <v>0.62696775132378202</v>
      </c>
      <c r="EW68" s="6">
        <f>IFERROR(ROUNDUP(EV68/IF(BV68=1,BU68,(Uн_лин/SQRT(3))*1000)*100,2),"")</f>
        <v>0.28000000000000003</v>
      </c>
      <c r="EX68" t="str">
        <f>IFERROR(VLOOKUP(BZ68,Кабель_обозначение,2,FALSE),"")</f>
        <v>ВВГнг(А)-LS</v>
      </c>
      <c r="EY68" t="str">
        <f t="shared" si="195"/>
        <v>ВВГнг(А)-LS (3х1,5)</v>
      </c>
      <c r="EZ68" t="str">
        <f t="shared" si="196"/>
        <v>ВВГнг(А)-LS (3х1,5)
L=16-0,28%</v>
      </c>
      <c r="FA68">
        <f>IFERROR(2*ρкз_Cu*P68/EN68,"")</f>
        <v>0.56106666666666671</v>
      </c>
      <c r="FB68">
        <f t="shared" si="197"/>
        <v>0.18666666666666668</v>
      </c>
      <c r="FC68" s="6" t="str">
        <f>IFERROR(IF(OR(B68="",BV68=1,NOT(ISNUMBER(EN68)),N(P68)=0),"",_xlfn.XLOOKUP(A68,Щиты[Щит],Щиты[Zпетли на шинах, Ом])+FA68),"")</f>
        <v/>
      </c>
      <c r="FD68" s="6" t="str">
        <f>IF(ISNUMBER(FC68),c_min*(Uн_лин*1000/SQRT(3))/FC68,"")</f>
        <v/>
      </c>
      <c r="FE68" s="6" t="str">
        <f>IFERROR(IF(OR(B68="",NOT(ISNUMBER(EN68))),"",1.05*(Uн_лин*1000/SQRT(3))/(_xlfn.XLOOKUP(A68,Щиты[Щит],Щиты[Zmax на шинах, Ом])+FB68)/1000),"")</f>
        <v/>
      </c>
      <c r="FF68" s="6" t="str">
        <f>IF(B68="","",IF(ISNUMBER(AC68),"Сил",IF(IFERROR(_xlfn.XLOOKUP(BC68,Коды_код,Коды_группа)&amp;"","")="","Быт",_xlfn.XLOOKUP(BC68,Коды_код,Коды_группа)&amp;"")))</f>
        <v>Сил</v>
      </c>
      <c r="FG68" s="6" t="str">
        <f t="shared" si="198"/>
        <v>Сил</v>
      </c>
      <c r="FH68" s="6">
        <f>IF(FG68="Щит","щит",IF(FG68="","",IF(FG68="Быт",IFERROR(_xlfn.XLOOKUP(A68,Щиты[Щит],Щиты[Кс быт]),1),IF(FG68="Сил",IF(ISNUMBER(AC68),AC68,IF(Методика="нормы 2026",IFERROR(_xlfn.XLOOKUP(A68,Щиты[Щит],Щиты[Кс силовых (табл. 7.5)]),1),1)),IF(OR(FG68="Пост",FG68="Отоп"),1,IF(FG68="ВНГ",0.7,0))))))</f>
        <v>0.5</v>
      </c>
      <c r="FI68">
        <f>IF(FG68="","",IF(AND(BP68=1,TRIM(AE68&amp;"")=""),IF(COUNTIFS(Линии[Щит],A68,Линии[Секция (1/2/3)],"&gt;=2")&gt;0,MIN(3,MAX(1,IFERROR(--BD68,1))),1),IFERROR(MIN(3,MAX(1,INT(--AE68))),1)))</f>
        <v>1</v>
      </c>
      <c r="FJ68">
        <f t="shared" si="199"/>
        <v>0.3</v>
      </c>
      <c r="FK68">
        <f t="shared" si="200"/>
        <v>0</v>
      </c>
      <c r="FL68">
        <f t="shared" si="201"/>
        <v>0.15</v>
      </c>
      <c r="FM68">
        <f t="shared" si="202"/>
        <v>0</v>
      </c>
      <c r="FN68">
        <f t="shared" si="203"/>
        <v>0</v>
      </c>
      <c r="FO68">
        <f t="shared" si="204"/>
        <v>0</v>
      </c>
      <c r="FP68">
        <f t="shared" si="205"/>
        <v>0.3</v>
      </c>
      <c r="FQ68">
        <f t="shared" si="206"/>
        <v>0.3</v>
      </c>
      <c r="FR68">
        <f t="shared" si="207"/>
        <v>0.24</v>
      </c>
      <c r="FS68">
        <f>IF(CG68=1,IF(AND(CH68=1,CW68=1),0,IF(AND(CS68&lt;&gt;"",CS68=BA68,CW68=1),SUMIFS(Линии[_Р линии, кВт],Линии[_блок УЗО],BA68,Линии[Щит],A68),N(BS68)+IF(AJ68="вручную",0,N(CK68)))),0)</f>
        <v>0.3</v>
      </c>
      <c r="FT68" t="str">
        <f t="shared" si="208"/>
        <v/>
      </c>
      <c r="FU68" t="str">
        <f>IF(B68="","",IF(CG68=0,IF(BA68=1,"",FW67),IF(AND(CH68=1,CW68=1,CS68&lt;&gt;""),IFERROR(_xlfn.XLOOKUP(CS68,Линии[_n],Линии[_фаза итог]),"L1"),IF(OR(N(DL68)&gt;=3,N(BX68)&gt;=3),"L1,L2,L3",IFERROR(_xlfn.TEXTBEFORE(_xlfn.TEXTAFTER(_xlfn.XLOOKUP(A68,Щиты[Щит],Щиты[_фазы авто]),";"&amp;BA68&amp;":"),";"),"L1")))))</f>
        <v>L1</v>
      </c>
      <c r="FV68" t="str">
        <f t="shared" si="209"/>
        <v>L1</v>
      </c>
      <c r="FW68" t="str">
        <f t="shared" si="210"/>
        <v>L1</v>
      </c>
      <c r="FX68" cm="1">
        <f t="array" ref="FX68">IFERROR(IF(CD68=2,_xlfn.IFS(BX68=3,VLOOKUP(BS68,Справочная_двигатели,3,FALSE),BX68=1,VLOOKUP(BS68,Справочная_двигатели,5,TRUE)),0),0)</f>
        <v>0</v>
      </c>
      <c r="FY68">
        <f>IFERROR(IF(CD68=3,VLOOKUP(BS68,Справочная_ЛЭД,2,TRUE),0),0)</f>
        <v>0</v>
      </c>
      <c r="FZ68" s="6">
        <f t="shared" si="211"/>
        <v>0</v>
      </c>
      <c r="GA68" t="str">
        <f>IF(B68="","",IF(TRIM(AH68&amp;"")&lt;&gt;"",IF(LOWER(TRIM(AH68&amp;""))="да","да","нет"),IF(IFERROR(_xlfn.XLOOKUP(BC68,Коды_код,Коды_пожарная),"")="да","да","нет")))</f>
        <v>нет</v>
      </c>
      <c r="GB68" t="str">
        <f t="shared" si="212"/>
        <v/>
      </c>
      <c r="GC68" t="str">
        <f t="shared" si="213"/>
        <v>основная</v>
      </c>
      <c r="GD68">
        <f>IF(AND(BP68=1,TRIM(AE68&amp;"")=""),IF(COUNTIFS(Линии[Щит],A68,Линии[Секция (1/2/3)],"&gt;=2")&gt;0,MIN(3,MAX(1,IFERROR(--BD68,1))),1),IFERROR(MIN(3,MAX(1,INT(--AE68))),1))</f>
        <v>1</v>
      </c>
      <c r="GE68" t="str" cm="1">
        <f t="array" ref="GE68">IF(B68="","",_xlfn.LET(_xlpm.t,IFERROR(_xlfn.XLOOKUP(1,(Шины[Шина]=GC68)*(((Шины[Щит]=A68)+(Шины[Щит]=""))&gt;0),Шины[Тип]),"")&amp;"",IF(_xlpm.t&lt;&gt;"",_xlpm.t,IF(ISNUMBER(SEARCH("ИБП",GC68)),"ИБП",IF(ISNUMBER(SEARCH("ДГУ",GC68)),"ДГУ","Ввод "&amp;GD68)))))</f>
        <v>Ввод 1</v>
      </c>
      <c r="GF68" t="str">
        <f t="shared" si="214"/>
        <v>Ввод 1</v>
      </c>
      <c r="GG68" t="str">
        <f>IF(BP68=0,"",IF(TRIM(AG68&amp;"")&lt;&gt;"",TRIM(AG68&amp;""),IF(OR(GE68="ИБП",GE68="ДГУ"),"I особая",_xlfn.XLOOKUP(A68,Щиты[Щит],Щиты[Категория шины «Ввод»],"III"))))</f>
        <v/>
      </c>
      <c r="GH68" t="str">
        <f>IF(A68="","",_xlfn.XLOOKUP(A68,Щиты[Щит],Щиты[Путь],""))</f>
        <v>|ГРЩ-ЖД|ЩОВ-001|</v>
      </c>
      <c r="GI68" t="str">
        <f>IF(B68="","",IF(AI68&lt;&gt;"",AI68,IF(IFERROR(_xlfn.XLOOKUP(BC68,Коды_код,Коды_вид)&amp;"","")="","Прочее",_xlfn.XLOOKUP(BC68,Коды_код,Коды_вид)&amp;"")))</f>
        <v>Кондиционирование и увлажнение</v>
      </c>
      <c r="GJ68">
        <f>IF(BM68="","",INT((BM68-1)/Столбцов_на_лист)+1)</f>
        <v>2</v>
      </c>
      <c r="GK68" t="str">
        <f t="shared" si="215"/>
        <v>ВВГнг(А)-LS (3х1,5) L=16-0,28%</v>
      </c>
      <c r="GL68">
        <f t="shared" si="216"/>
        <v>0.3</v>
      </c>
      <c r="GM68">
        <f t="shared" si="217"/>
        <v>1.6300000000000001</v>
      </c>
      <c r="GN68">
        <f t="shared" si="218"/>
        <v>1</v>
      </c>
      <c r="GO68">
        <f t="shared" si="219"/>
        <v>0</v>
      </c>
      <c r="GP68">
        <f t="shared" si="220"/>
        <v>1</v>
      </c>
      <c r="GQ68">
        <f>IF(BM68="","",IF(AND(CG68=1,GP68=1),COUNTIFS(A$3:A68,A68,CG$3:CG68,1,GP$3:GP68,1),IF(OR(OR(BA68=1,A68&lt;&gt;A67),AJ68="вручную",GP68=0),"",IF(BA68=1,"",GR67))))</f>
        <v>15</v>
      </c>
      <c r="GR68">
        <f t="shared" si="221"/>
        <v>15</v>
      </c>
      <c r="GS68">
        <f>IF(B68="","",IFERROR(LOOKUP(INDEX(CHOOSE(EB68,Iдоп_1ж,Iдоп_2ж,Iдоп_3ж),MATCH(EN68,Iдоп_S,0))*DZ68*EA68,{6,10,16,20,25,32,40,50,63,80,100,125,160,200,250,315,400,500,630}),""))</f>
        <v>16</v>
      </c>
      <c r="GT68" t="str">
        <f t="shared" si="222"/>
        <v>QF15</v>
      </c>
      <c r="GU68" t="str">
        <f t="shared" si="223"/>
        <v>QF15</v>
      </c>
      <c r="GV68" t="str">
        <f t="shared" si="224"/>
        <v/>
      </c>
      <c r="GW68">
        <f t="shared" si="225"/>
        <v>0</v>
      </c>
      <c r="GX68" t="str">
        <f>IF(OR(B68="",DJ68=""),"",IFERROR(_xlfn.XLOOKUP(DJ68,Модули_умолч[Управление],Модули_умолч[Модель])&amp;"",""))</f>
        <v/>
      </c>
      <c r="GY68">
        <f>IF(DJ68="",1,IFERROR(MAX(0,N(_xlfn.XLOOKUP(DJ68,Модули_умолч[Управление],Модули_умолч[Каналов на линию]))),1))</f>
        <v>1</v>
      </c>
      <c r="GZ68" t="str">
        <f t="shared" si="226"/>
        <v/>
      </c>
      <c r="HA68" t="str">
        <f t="shared" si="227"/>
        <v/>
      </c>
      <c r="HB68" t="str">
        <f t="shared" si="228"/>
        <v/>
      </c>
      <c r="HC68">
        <f>IF(HB68="",0,IFERROR(N(VLOOKUP(HB68,Модули_спр,3,FALSE)),0))</f>
        <v>0</v>
      </c>
      <c r="HD68" t="str">
        <f t="shared" si="229"/>
        <v/>
      </c>
      <c r="HE68" t="str">
        <f t="shared" si="230"/>
        <v/>
      </c>
      <c r="HF68" t="str">
        <f>IF(OR(HE68="",HE68="-"),"",IFERROR(VLOOKUP(HE68,Модули_спр,2,FALSE),"R"))</f>
        <v/>
      </c>
      <c r="HG68" t="str">
        <f>IF(HF68="","",HF68&amp;"."&amp;COUNTIFS(A$3:A68,A68,HF$3:HF68,HF68))</f>
        <v/>
      </c>
      <c r="HH68" t="str">
        <f t="shared" si="231"/>
        <v/>
      </c>
      <c r="HI68" t="str">
        <f t="shared" si="232"/>
        <v/>
      </c>
      <c r="HJ68" t="str">
        <f t="shared" si="233"/>
        <v/>
      </c>
      <c r="HK68" t="str">
        <f t="shared" si="234"/>
        <v/>
      </c>
      <c r="HL68">
        <f t="shared" si="235"/>
        <v>1</v>
      </c>
      <c r="HM68" t="str">
        <f>IF(HL68=1,"XT"&amp;COUNTIFS(A$3:A68,A68,HL$3:HL68,1),"")</f>
        <v>XT15</v>
      </c>
      <c r="HN68" t="str">
        <f t="shared" si="236"/>
        <v/>
      </c>
      <c r="HO68" t="str">
        <f t="shared" si="237"/>
        <v>QF15</v>
      </c>
      <c r="HP68" t="str">
        <f t="shared" si="238"/>
        <v/>
      </c>
      <c r="HQ68" t="str">
        <f t="shared" si="239"/>
        <v>ok</v>
      </c>
      <c r="HR68" t="str">
        <f>IF(OR(HJ68="",HH68=""),"",IF(HJ68+MAX(0,GY68-1)&gt;IFERROR(VLOOKUP(HI68,Модули_спр,3,FALSE),99),"ЛИШНИЙ КАНАЛ",IF(AND(AL68&lt;&gt;"=",GY68&gt;0,COUNTIFS(Линии[_модуль гр.],HH68,Линии[Канал (итог)],HJ68,Линии[Канал],"&lt;&gt;=",Линии[Щит],A68)&gt;1),"ДУБЛЬ КАНАЛА","")))</f>
        <v/>
      </c>
      <c r="HS68" s="6" t="str">
        <f t="shared" si="240"/>
        <v/>
      </c>
      <c r="HT68">
        <f t="shared" si="241"/>
        <v>10</v>
      </c>
      <c r="HU68" t="str">
        <f t="shared" si="242"/>
        <v/>
      </c>
      <c r="HV68">
        <f t="shared" si="243"/>
        <v>0.80951905283832892</v>
      </c>
      <c r="HW68">
        <f t="shared" si="244"/>
        <v>0</v>
      </c>
      <c r="HX68">
        <f t="shared" si="245"/>
        <v>0</v>
      </c>
      <c r="HY68">
        <f t="shared" si="246"/>
        <v>0</v>
      </c>
      <c r="HZ68">
        <f t="shared" si="247"/>
        <v>0</v>
      </c>
      <c r="IA68">
        <f t="shared" si="248"/>
        <v>0</v>
      </c>
      <c r="IB68">
        <f t="shared" si="249"/>
        <v>0</v>
      </c>
      <c r="IC68" t="str">
        <f t="shared" si="250"/>
        <v/>
      </c>
      <c r="ID68" t="str" cm="1">
        <f t="array" ref="ID68">IF(IC68="","",_xlfn.LET(_xlpm.tk,_xlfn.TEXTSPLIT(SUBSTITUTE(SUBSTITUTE(IC68,";"," "),"→"," ")," ",,TRUE),_xlpm.w_,_xlfn._xlws.FILTER(_xlpm.tk,ISNUMBER(--LEFT(_xlpm.tk,1))*((ISNUMBER(SEARCH("W",_xlpm.tk))+ISNUMBER(SEARCH("Вт",_xlpm.tk)))&gt;0),""),IFERROR(--SUBSTITUTE(SUBSTITUTE(UPPER(INDEX(_xlpm.w_,1)),"W",""),"ВТ",""),"")))</f>
        <v/>
      </c>
      <c r="IE68" t="str" cm="1">
        <f t="array" ref="IE68">IF(IC68="","",_xlfn.LET(_xlpm.tk,_xlfn.TEXTSPLIT(SUBSTITUTE(SUBSTITUTE(IC68,";"," "),"→"," ")," ",,TRUE),_xlpm.v_,_xlfn._xlws.FILTER(_xlpm.tk,ISNUMBER(--LEFT(_xlpm.tk,1))*((ISNUMBER(SEARCH("V",_xlpm.tk))+(RIGHT(UPPER(_xlpm.tk))="В"))&gt;0),""),IFERROR(--SUBSTITUTE(SUBSTITUTE(UPPER(INDEX(_xlpm.v_,1)),"V",""),"В",""),"")))</f>
        <v/>
      </c>
      <c r="IF68" s="6" t="str">
        <f>IF(OR(BV68=0,HI68="",HJ68=""),"",IFERROR(N(_xlfn.XLOOKUP(HI68,Каталог!$C$4:$C$500,Каталог!$Q$4:$Q$500)),""))</f>
        <v/>
      </c>
      <c r="IG68" s="6" t="str">
        <f>IF(N(IF68)=0,"",SUMIFS(Линии[Iр, А],Линии[Щит],A68,Линии[_модуль гр.],HH68,Линии[Канал (итог)],HJ68))</f>
        <v/>
      </c>
      <c r="IH68" t="str">
        <f>IF(AND(B68="",HO68=""),"",_xlfn.TEXTJOIN("; ",TRUE,IF(AND(B68&lt;&gt;"",FV68=""),"нет фазы",""),IF(AND(B68&lt;&gt;"",N(GL68)=0,FG68&lt;&gt;"Нет"),"нет мощности",""),IF(AND(HN68&lt;&gt;"",COUNTIFS(Линии[Щит],A68,Линии[Клемма (итог)],HN68)&gt;1),"дубль клеммы "&amp;HN68,""),IF(AND(HQ68&lt;&gt;"",HQ68&lt;&gt;"ok"),HQ68,""),IF(HR68&lt;&gt;"",HR68,""),IF(AND(N(CB68)&gt;=4,N(BX68)=1),CB68&amp;" жил на 1 фазе",""),IF(AND(BC68="R",CG68=1,IF(CS68&lt;&gt;"",N(CV68)&gt;30,OR(N(DA68)=0,N(DA68)&gt;30))),"розетка без дифзащиты до 30 мА",""),IF(AND(CG68=1,N(DA68)&gt;0,ISNUMBER(T68)),IF(T68&gt;N(DA68)/3,"ток утечки "&amp;FIXED(T68,1)&amp;" мА &gt; 1/3 уставки ("&amp;DA68&amp;" мА)",""),""),IF(AND(CH68=1,CS68=""),"«узо»: нет строки с УЗО выше (УЗО 2P 40А 30мА в «Аппаратах»)",""),IF(AND(CS68&lt;&gt;"",CS68=BA68),IF(CT68="","впишите номинал УЗО (УЗО 2P 40А 30мА)",IF(N(CT68)&lt;N(DT68),"УЗО "&amp;CT68&amp;" А &lt; автомата "&amp;DT68&amp;" А перед ним",IF(N(CT68)&lt;N(CX68),"УЗО "&amp;CT68&amp;" А &lt; тока блока "&amp;FIXED(CX68,1)&amp;" А",""))),""),IF(AND(CS68&lt;&gt;"",CS68=BA68,ISNUMBER(CY68)),IF(CY68&gt;N(CV68)/3,"ток утечки блока УЗО "&amp;FIXED(CY68,1)&amp;" мА &gt; 1/3 уставки ("&amp;CV68&amp;" мА)",""),""),IF(AND(CG68=1,N(BV68)+N(IB68)&gt;0,IC68=""),"линии до 50 В без БП: впишите в «Аппараты» (БП 24V 480W)",""),IF(AND(CG68=1,ISNUMBER(ID68),ISNUMBER(U68)),IF(U68&gt;ID68,"БП "&amp;ID68&amp;" Вт &lt; нужно "&amp;U68&amp;" Вт (×"&amp;Запас_БП&amp;")",""),""),IF(AND(CG68=1,ISNUMBER(IE68),N(BV68)=1),IF(IE68&lt;&gt;N(BU68),"БП на "&amp;IE68&amp;" В, линия "&amp;BU68&amp;" В",""),""),IF(AND(N(IF68)&gt;0,N(IG68)&gt;N(IF68)),HH68&amp;" канал "&amp;HJ68&amp;": "&amp;FIXED(IG68,1)&amp;" А &gt; "&amp;IF68&amp;" А",""),IFERROR(IF(AND(ISNUMBER(Q68),Q68&gt;EL68),"потери "&amp;FIXED(Q68,1)&amp;" % &gt; "&amp;EL68&amp;" %",""),""),IFERROR(IF(LEFT(HU68,4)="мало","Iкз мало — отключение &gt; 0,4 с",""),""),IF(AND(B68&lt;&gt;"",BM68=""),"не на схеме",""),IF(AND(CG68=0,B68&lt;&gt;"",FV68&lt;&gt;"",IF(BA68=1,"",FW67)&lt;&gt;"",FV68&lt;&gt;IF(BA68=1,"",FW67)),"фаза не как у автомата группы ("&amp;IF(BA68=1,"",FW67)&amp;")","")))</f>
        <v/>
      </c>
      <c r="II68" s="6">
        <f>IF(OR(CG68=0,DQ68=""),"",_xlfn.LET(_xlpm.t,IFERROR(_xlfn.XLOOKUP(DQ68,Каталог!$U$4:$U$500,Каталог!$G$4:$G$500),""),_xlpm.k,SEARCH("кА",_xlpm.t),IFERROR(--TRIM(RIGHT(SUBSTITUTE(MID(_xlpm.t,MAX(1,_xlpm.k-4),_xlpm.k-MAX(1,_xlpm.k-4))," ",REPT(" ",9)),5)),"")))</f>
        <v>6</v>
      </c>
      <c r="IJ68" t="str">
        <f>IF(OR(II68="",CG68=0),"",IF(_xlfn.XLOOKUP(A68,Щиты[Щит],Щиты[Iкз max на шинах, кА],"")="","",IF(II68&lt;_xlfn.XLOOKUP(A68,Щиты[Щит],Щиты[Iкз max на шинах, кА]),"Icu "&amp;II68&amp;" кА &lt; Iкз max","ok")))</f>
        <v/>
      </c>
      <c r="IK68" t="str">
        <f t="shared" si="251"/>
        <v/>
      </c>
      <c r="IL68" t="str">
        <f t="shared" si="252"/>
        <v>QF15</v>
      </c>
      <c r="IM68" t="str">
        <f t="shared" si="253"/>
        <v>QF15|кабель ВВГнг(А)-LS (3х1,5) → Внутренний блок кондиционера Подвальный этаж Пом. №006Т</v>
      </c>
      <c r="IN68" t="str" cm="1">
        <f t="array" ref="IN68">IF(IM68="","",_xlfn.LET(_xlpm.nd,_xlfn.TEXTSPLIT(IM68,"|"),IF(COLUMNS(_xlpm.nd)&gt;1,A68&amp;"¦"&amp;INDEX(_xlpm.nd,1)&amp;"¦"&amp;INDEX(_xlpm.nd,2),"")))</f>
        <v>ЩОВ-001¦QF15¦кабель ВВГнг(А)-LS (3х1,5) → Внутренний блок кондиционера Подвальный этаж Пом. №006Т</v>
      </c>
      <c r="IO68" t="str">
        <f t="shared" si="254"/>
        <v>К.1.021А.1¦Внутренний блок кондиционера Подвальный этаж Пом. №006Т</v>
      </c>
      <c r="IP68" t="str" cm="1">
        <f t="array" ref="IP68">IF(IM68="","",_xlfn.LET(_xlpm.nd,_xlfn.TEXTSPLIT(IM68,"|"),IF(COLUMNS(_xlpm.nd)&gt;2,A68&amp;"¦"&amp;INDEX(_xlpm.nd,2)&amp;"¦"&amp;INDEX(_xlpm.nd,3),"")))</f>
        <v/>
      </c>
      <c r="IQ68" t="str">
        <f t="shared" si="255"/>
        <v/>
      </c>
      <c r="IR68" t="str" cm="1">
        <f t="array" ref="IR68">IF(IM68="","",_xlfn.LET(_xlpm.nd,_xlfn.TEXTSPLIT(IM68,"|"),IF(COLUMNS(_xlpm.nd)&gt;3,A68&amp;"¦"&amp;INDEX(_xlpm.nd,3)&amp;"¦"&amp;INDEX(_xlpm.nd,4),"")))</f>
        <v/>
      </c>
      <c r="IS68" t="str">
        <f t="shared" si="256"/>
        <v/>
      </c>
      <c r="IT68" t="str" cm="1">
        <f t="array" ref="IT68">IF(IM68="","",_xlfn.LET(_xlpm.nd,_xlfn.TEXTSPLIT(IM68,"|"),IF(COLUMNS(_xlpm.nd)&gt;4,A68&amp;"¦"&amp;INDEX(_xlpm.nd,4)&amp;"¦"&amp;INDEX(_xlpm.nd,5),"")))</f>
        <v/>
      </c>
      <c r="IU68" t="str">
        <f t="shared" si="257"/>
        <v/>
      </c>
      <c r="IV68" t="str" cm="1">
        <f t="array" ref="IV68">IF(IM68="","",_xlfn.LET(_xlpm.nd,_xlfn.TEXTSPLIT(IM68,"|"),IF(COLUMNS(_xlpm.nd)&gt;5,A68&amp;"¦"&amp;INDEX(_xlpm.nd,5)&amp;"¦"&amp;INDEX(_xlpm.nd,6),"")))</f>
        <v/>
      </c>
      <c r="IW68" t="str">
        <f t="shared" si="258"/>
        <v/>
      </c>
      <c r="IX68" t="str" cm="1">
        <f t="array" ref="IX68">IF(IM68="","",_xlfn.LET(_xlpm.nd,_xlfn.TEXTSPLIT(IM68,"|"),IF(COLUMNS(_xlpm.nd)&gt;6,A68&amp;"¦"&amp;INDEX(_xlpm.nd,6)&amp;"¦"&amp;INDEX(_xlpm.nd,7),"")))</f>
        <v/>
      </c>
      <c r="IY68" t="str">
        <f t="shared" si="259"/>
        <v/>
      </c>
      <c r="IZ68" t="str">
        <f t="shared" si="260"/>
        <v/>
      </c>
      <c r="JA68" t="str">
        <f t="shared" si="261"/>
        <v>QF15</v>
      </c>
      <c r="JB68">
        <f t="shared" si="262"/>
        <v>0</v>
      </c>
      <c r="JC68">
        <f t="shared" si="263"/>
        <v>0</v>
      </c>
      <c r="JD68" t="str">
        <f t="shared" si="264"/>
        <v/>
      </c>
      <c r="JE68" t="str">
        <f t="shared" si="265"/>
        <v/>
      </c>
      <c r="JF68" t="str">
        <f t="shared" si="266"/>
        <v/>
      </c>
      <c r="JG68" t="str">
        <f t="shared" si="267"/>
        <v/>
      </c>
      <c r="JH68" t="str">
        <f>IF(B68="","",IFERROR(_xlfn.XLOOKUP(B68,Коды_код,Коды_уго),IFERROR(_xlfn.XLOOKUP(BC68,Коды_код,Коды_уго),IFERROR(_xlfn.XLOOKUP(LEFT(BC68,2),Коды_код,Коды_уго),""))))</f>
        <v>Привод (двигатель)</v>
      </c>
      <c r="JI68" t="str">
        <f>IF(B68="","",IF(OR(JH68="",JH68=0),"BOX",IFERROR(IF(VLOOKUP(JH68,УГО_блоки,3,FALSE)&amp;""&lt;&gt;"",VLOOKUP(JH68,УГО_блоки,3,FALSE),VLOOKUP(JH68,УГО_блоки,2,FALSE)),JH68)))</f>
        <v>MOTOR</v>
      </c>
      <c r="JJ68">
        <f t="shared" si="268"/>
        <v>1</v>
      </c>
      <c r="JK68" t="str">
        <f>IF(DQ68="","",IF(COUNTIF(DQ$3:DQ68,DQ68)=1,MAX(JK$2:JK67)+1,""))</f>
        <v/>
      </c>
      <c r="JL68" t="str">
        <f>IF(DE68="","",IF(COUNTIF(DE$3:DE68,DE68)+COUNTIF(DF$2:DF67,DE68)+COUNTIF(DG$2:DG67,DE68)=1,MAX(JL$2:JN67)+1,""))</f>
        <v/>
      </c>
      <c r="JM68" t="str">
        <f>IF(DF68="","",IF(COUNTIF(DE$3:DE68,DF68)+COUNTIF(DF$3:DF68,DF68)+COUNTIF(DG$2:DG67,DF68)=1,MAX(JL$2:JN67,JL68)+1,""))</f>
        <v/>
      </c>
      <c r="JN68" t="str">
        <f>IF(DG68="","",IF(COUNTIF(DE$3:DE68,DG68)+COUNTIF(DF$3:DF68,DG68)+COUNTIF(DG$3:DG68,DG68)=1,MAX(JL$2:JN67,JL68,JM68)+1,""))</f>
        <v/>
      </c>
      <c r="JO68" t="str">
        <f t="shared" si="269"/>
        <v>3х1,5</v>
      </c>
      <c r="JP68" t="str">
        <f>IF(JO68="","",IF(COUNTIF(JO$3:JO68,JO68)=1,MAX(JP$2:JP67)+1,""))</f>
        <v/>
      </c>
      <c r="JQ68" t="str">
        <f>IF(HG68="","",COUNTIF(HG$3:HG68,"?*"))</f>
        <v/>
      </c>
      <c r="JR68" t="str">
        <f>IF(OR(HG68="",HI68=""),"",IF(COUNTIFS(HG$3:HG68,"?*",HI$3:HI68,HI68)=1,MAX(JR$2:JR67)+1,""))</f>
        <v/>
      </c>
      <c r="JS68">
        <f t="shared" si="270"/>
        <v>0</v>
      </c>
      <c r="JT68">
        <f>IF(B68="","",COUNTIF(B$3:B68,"?*"))</f>
        <v>66</v>
      </c>
      <c r="JU68">
        <f>IF(HL68&lt;&gt;1,0,_xlfn.LET(_xlpm.k,MAX(IFERROR(--_xlfn.XLOOKUP(B68,Коды_код,Коды_3L),0),IFERROR(--_xlfn.XLOOKUP(BC68,Коды_код,Коды_3L),0),IFERROR(--_xlfn.XLOOKUP(LEFT(BC68,2),Коды_код,Коды_3L),0)),IF(_xlpm.k&gt;0,_xlpm.k,IF(IFERROR(--LEFT(SUBSTITUTE(JO68,"x","х"),FIND("х",SUBSTITUTE(JO68,"x","х"))-1),3)&gt;3,Каталог!$S$9,1))))</f>
        <v>1</v>
      </c>
      <c r="JV68">
        <f t="shared" si="271"/>
        <v>0</v>
      </c>
      <c r="JW68" t="str">
        <f t="shared" si="272"/>
        <v>авто</v>
      </c>
      <c r="JX68" t="str">
        <f t="shared" si="273"/>
        <v/>
      </c>
      <c r="JY68">
        <f t="shared" si="274"/>
        <v>0</v>
      </c>
      <c r="JZ68">
        <f t="shared" si="275"/>
        <v>1</v>
      </c>
    </row>
    <row r="69" spans="1:286" x14ac:dyDescent="0.3">
      <c r="A69" t="s">
        <v>747</v>
      </c>
      <c r="B69" t="s">
        <v>1382</v>
      </c>
      <c r="C69" t="s">
        <v>1660</v>
      </c>
      <c r="D69">
        <v>1</v>
      </c>
      <c r="E69">
        <v>1.9</v>
      </c>
      <c r="G69">
        <v>16</v>
      </c>
      <c r="H69" t="str">
        <f>Линии[[#This Row],[_авто управление]]</f>
        <v/>
      </c>
      <c r="I69" t="str">
        <f>Линии[[#This Row],[_авто аппараты]]</f>
        <v/>
      </c>
      <c r="J69">
        <v>2.5</v>
      </c>
      <c r="K69">
        <v>36</v>
      </c>
      <c r="L69" t="str">
        <f>Линии[[#This Row],[_авто фаза]]</f>
        <v>L2</v>
      </c>
      <c r="M69" t="s">
        <v>484</v>
      </c>
      <c r="N69" t="str">
        <f t="shared" si="138"/>
        <v/>
      </c>
      <c r="O69" s="6" cm="1">
        <f t="array" ref="O69">IF(B69="","",IF(BH69&lt;&gt;"",IFERROR(_xlfn.XLOOKUP(BH69,Щиты[Щит],Щиты[Iр, А]),""),IF(BP69=1,IF(OR(N(_xlfn.XLOOKUP(A69,Щиты[Щит],Щиты[Вводов],1))&lt;=1,LOWER(TRIM(_xlfn.XLOOKUP(A69,Щиты[Щит],Щиты[АВР],"")&amp;""))="да"),IFERROR(_xlfn.XLOOKUP(A69,Щиты[Щит],Щиты[Iр, А]),""),IFERROR(N(BS69)*_xlfn.XLOOKUP(A69,Щиты[Щит],Щиты[Кс итог])/(SQRT(3)*Uн_лин*_xlfn.XLOOKUP(A69,Щиты[Щит],Щиты[cos φ])),"")),IF(BV69=1,IFERROR(BS69*1000/BU69,""),IFERROR(_xlfn.IFS(BX69=1,BS69/((Uн_лин/SQRT(3))*CE69),BX69=3,BS69/(SQRT(3)*Uн_лин*CE69)),"")))))</f>
        <v>10.284051669940206</v>
      </c>
      <c r="P69" s="7">
        <f>IF(B69="","",IFERROR(IF(VLOOKUP(BC69,Потребители_обозначение,4,FALSE)=1,VLOOKUP(BC69,Потребители_обозначение,3,FALSE)*(MAX(1,N(D69))*2-1)+EI69+VLOOKUP(BE69,Этаж_обозначение,3,FALSE)+VLOOKUP(BE69,Этаж_обозначение,4,FALSE),VLOOKUP(BC69,Потребители_обозначение,3,FALSE)*(MAX(1,N(D69))*2-1)+EI69),EI69))</f>
        <v>38</v>
      </c>
      <c r="Q69" s="6">
        <f t="shared" si="139"/>
        <v>3.1</v>
      </c>
      <c r="R69" t="str">
        <f t="shared" si="140"/>
        <v>ВВГнг(А)-LS (3х2,5)</v>
      </c>
      <c r="S69" t="str">
        <f>IF(BM69="","",IF(BN69="вводной узел","узел ","")&amp;"л."&amp;(INT((BM69-1)/Столбцов_на_лист)+1)&amp;" / "&amp;(MOD(BM69-1,Столбцов_на_лист)+1))</f>
        <v>л.2 / 14</v>
      </c>
      <c r="T69" s="119">
        <f t="shared" si="141"/>
        <v>4.5</v>
      </c>
      <c r="U69" s="7" t="str">
        <f>IF(OR(CG69=0,N(BV69)+N(IB69)=0),"",ROUNDUP(Запас_БП*(N(HY69)+N(HZ69)),0))</f>
        <v/>
      </c>
      <c r="V69" s="119" t="str">
        <f t="shared" si="142"/>
        <v/>
      </c>
      <c r="W69" s="7" t="str">
        <f>IFERROR(IF(OR(B69="",BP69=1,BV69=1,NOT(ISNUMBER(EN69)),N(DT69)=0),"",MAX(0,ROUNDDOWN((c_min*(Uн_лин*1000/SQRT(3))/(HT69*N(DT69))-_xlfn.XLOOKUP(A69,Щиты[Щит],Щиты[Zпетли на шинах, Ом]))*EN69/(2*ρкз_Cu),0))),"")</f>
        <v/>
      </c>
      <c r="Y69" t="str">
        <f>Линии[[#This Row],[_авто утечка]]</f>
        <v/>
      </c>
      <c r="Z69">
        <v>1</v>
      </c>
      <c r="AA69">
        <v>230</v>
      </c>
      <c r="AB69" t="s">
        <v>598</v>
      </c>
      <c r="AC69">
        <v>0.5</v>
      </c>
      <c r="AG69" t="s">
        <v>810</v>
      </c>
      <c r="AI69" t="s">
        <v>576</v>
      </c>
      <c r="AK69" t="str">
        <f>Линии[[#This Row],[_авто модуль]]</f>
        <v/>
      </c>
      <c r="AM69">
        <v>31</v>
      </c>
      <c r="AN69" t="s">
        <v>11</v>
      </c>
      <c r="AO69">
        <v>3</v>
      </c>
      <c r="AR69">
        <v>35</v>
      </c>
      <c r="AT69">
        <v>1</v>
      </c>
      <c r="BA69" cm="1">
        <f t="array" ref="BA69">ROW()-ROW(Линии[#Headers])</f>
        <v>67</v>
      </c>
      <c r="BC69" s="6" t="str">
        <f t="shared" si="143"/>
        <v>K</v>
      </c>
      <c r="BD69" t="str">
        <f t="shared" si="144"/>
        <v>1</v>
      </c>
      <c r="BE69" t="str">
        <f t="shared" si="145"/>
        <v>1</v>
      </c>
      <c r="BF69" t="str">
        <f t="shared" si="146"/>
        <v/>
      </c>
      <c r="BG69" t="str">
        <f t="shared" si="147"/>
        <v/>
      </c>
      <c r="BH69" t="str">
        <f>IF(X69&lt;&gt;"",X69,IF(AND(B69&lt;&gt;"",B69&lt;&gt;A69,ISNUMBER(_xlfn.XMATCH(B69,Щиты[Щит]))),B69,""))</f>
        <v/>
      </c>
      <c r="BI69" t="str" cm="1">
        <f t="array" ref="BI69">IF(B69="","",IF(BH69&lt;&gt;"","Щит "&amp;BH69,_xlfn.LET(_xlpm.nm,IFERROR(_xlfn.XLOOKUP(BC69,Коды_код,Коды_имя)&amp;"",""),_xlpm.md,IFERROR(N(_xlfn.XLOOKUP(BC69,Коды_код,Коды_режим)),1),_xlpm.ex,IF(Имя_режим="по экспликации",IFERROR(_xlfn.XLOOKUP(BE69&amp;"|"&amp;BG69,Экспликация[Этаж]&amp;"|"&amp;Экспликация[Помещение],Экспликация[Название])&amp;"",""),""),_xlpm.rm,IF(BG69="","",IF(_xlpm.ex&lt;&gt;"",". "&amp;_xlpm.ex&amp;IF(Имя_пом="нет"," ("&amp;BG69&amp;")"," (пом. "&amp;BG69&amp;")"),IF(Имя_пом="нет"," ",", пом. ")&amp;BG69)),IF(_xlpm.nm="","",IF(_xlpm.md=2,_xlpm.nm&amp;" шлейф "&amp;BE69,_xlpm.nm&amp;_xlpm.rm)))))</f>
        <v>Внутренний блок кондиционирования</v>
      </c>
      <c r="BJ69" t="str">
        <f t="shared" si="148"/>
        <v>Внешний блок кондиционирования Пом. Венткиосок</v>
      </c>
      <c r="BK69">
        <f>IFERROR(_xlfn.XMATCH(A69,Щиты[Щит]),0)</f>
        <v>4</v>
      </c>
      <c r="BL69">
        <f>_xlfn.LET(_xlpm.k,IFERROR(_xlfn.XLOOKUP(A69,Щиты[Щит],Щиты[Мест под вводной узел]),""),IF(_xlpm.k="",Столбцов_на_лист,N(_xlpm.k)))</f>
        <v>13</v>
      </c>
      <c r="BM69">
        <f t="shared" si="149"/>
        <v>31</v>
      </c>
      <c r="BN69" t="str">
        <f t="shared" si="150"/>
        <v>линии</v>
      </c>
      <c r="BO69" s="6">
        <f>IFERROR(N(_xlfn.XLOOKUP(BC69,Коды_код,Коды_квт)),0)</f>
        <v>0</v>
      </c>
      <c r="BP69">
        <f t="shared" si="151"/>
        <v>0</v>
      </c>
      <c r="BQ69" t="str">
        <f>IF(B69="","",IF(BH69&lt;&gt;"",IFERROR(_xlfn.XLOOKUP(BH69,Щиты[Щит],Щиты[Руст, кВт]),0),IF(BP69=1,IF(OR(N(_xlfn.XLOOKUP(A69,Щиты[Щит],Щиты[Вводов],1))&lt;=1,LOWER(TRIM(_xlfn.XLOOKUP(A69,Щиты[Щит],Щиты[АВР],"")&amp;""))="да"),IFERROR(_xlfn.XLOOKUP(A69,Щиты[Щит],Щиты[Руст, кВт]),0),SUMIFS(Линии[_Р для вводов],Линии[Щит],A69,Линии[Источник для режимов],GF69)),IF(BO69&gt;0,ROUND(BO69*MAX(1,N(D69)),3),""))))</f>
        <v/>
      </c>
      <c r="BR69">
        <f t="shared" si="152"/>
        <v>1.9</v>
      </c>
      <c r="BS69" s="6">
        <f>IF(B69="","",IF(BH69&lt;&gt;"",IFERROR(_xlfn.XLOOKUP(BH69,Щиты[Щит],Щиты[Руст, кВт]),0),N(BR69)))</f>
        <v>1.9</v>
      </c>
      <c r="BT69" t="str">
        <f>IF(B69="","",IFERROR(IF(VLOOKUP(BC69,Потребители_обозначение,8,FALSE)=0,"",VLOOKUP(BC69,Потребители_обозначение,8,FALSE)),""))</f>
        <v/>
      </c>
      <c r="BU69">
        <f t="shared" si="153"/>
        <v>230</v>
      </c>
      <c r="BV69">
        <f t="shared" si="154"/>
        <v>0</v>
      </c>
      <c r="BW69">
        <f>IF(B69="","",IF(BH69&lt;&gt;"",3,IFERROR(IF(N(VLOOKUP(BC69,Потребители_обозначение,9,FALSE))=0,1,VLOOKUP(BC69,Потребители_обозначение,9,FALSE)),1)))</f>
        <v>1</v>
      </c>
      <c r="BX69">
        <f t="shared" si="155"/>
        <v>1</v>
      </c>
      <c r="BY69" t="str">
        <f>IF(B69="","",_xlfn.LET(_xlpm.bc,IFERROR(IF(VLOOKUP(BC69,Потребители_обозначение,6,FALSE)=0,"",VLOOKUP(BC69,Потребители_обозначение,6,FALSE)&amp;""),""),IF(AND(GA69="да",OR(_xlpm.bc="",_xlpm.bc="мс")),Марка_пож,IF(AND(_xlpm.bc="",BH69&lt;&gt;""),"мс",_xlpm.bc))))</f>
        <v/>
      </c>
      <c r="BZ69" t="str">
        <f t="shared" si="156"/>
        <v>мс</v>
      </c>
      <c r="CA69">
        <f>IF(B69="","",_xlfn.LET(_xlpm.cc,IFERROR(N(VLOOKUP(BC69,Потребители_обозначение,7,FALSE)),0),IF(_xlpm.cc&gt;0,_xlpm.cc,IF(BZ69="","",IF(BV69=1,2,IF(N(BX69)=3,5,3))))))</f>
        <v>3</v>
      </c>
      <c r="CB69">
        <f t="shared" si="157"/>
        <v>3</v>
      </c>
      <c r="CC69">
        <f>IFERROR(N(VLOOKUP(BC69,Потребители_обозначение,10,FALSE)),0)</f>
        <v>0</v>
      </c>
      <c r="CD69">
        <f>IFERROR(VLOOKUP(BC69,Потребители_обозначение,5,FALSE),0)</f>
        <v>1</v>
      </c>
      <c r="CE69" s="6" cm="1">
        <f t="array" ref="CE69">IF(B69="","",IF(BH69&lt;&gt;"",IFERROR(_xlfn.XLOOKUP(BH69,Щиты[Щит],Щиты[cos φ]),0.95),IF(BP69=1,IFERROR(_xlfn.XLOOKUP(A69,Щиты[Щит],Щиты[cos φ]),0.95),IF(ISNUMBER(AD69),AD69,IFERROR(IF(CD69=2,_xlfn.IFS(BX69=3,VLOOKUP(BS69,Справочная_двигатели,8,FALSE),BX69=1,VLOOKUP(BS69,Справочная_двигатели,10,TRUE)),IF(AND(Методика="нормы 2026",FG69="Сил"),0.8,0.95)),0.95)))))</f>
        <v>0.8</v>
      </c>
      <c r="CF69">
        <f t="shared" si="158"/>
        <v>0</v>
      </c>
      <c r="CG69">
        <f t="shared" si="159"/>
        <v>1</v>
      </c>
      <c r="CH69">
        <f t="shared" si="160"/>
        <v>0</v>
      </c>
      <c r="CI69">
        <f>IF(B69="","",IF(BV69=1,IFERROR(BS69/((Uн_лин/SQRT(3))*MAX(0.5,N(CE69))),0),N(O69)))</f>
        <v>10.284051669940206</v>
      </c>
      <c r="CJ69">
        <f t="shared" si="161"/>
        <v>0</v>
      </c>
      <c r="CK69">
        <f t="shared" si="162"/>
        <v>0</v>
      </c>
      <c r="CL69">
        <f t="shared" si="163"/>
        <v>0</v>
      </c>
      <c r="CM69">
        <f t="shared" si="164"/>
        <v>0</v>
      </c>
      <c r="CN69">
        <f t="shared" si="165"/>
        <v>0</v>
      </c>
      <c r="CO69">
        <f>IF(BC69="",0,_xlfn.LET(_xlpm.v,IFERROR(_xlfn.XLOOKUP(B69,Коды_код,Коды_мА),IFERROR(_xlfn.XLOOKUP(BC69,Коды_код,Коды_мА),IFERROR(_xlfn.XLOOKUP(LEFT(BC69,2),Коды_код,Коды_мА),""))),IF(_xlpm.v="да",30,IF(ISNUMBER(_xlpm.v),_xlpm.v,0))))</f>
        <v>0</v>
      </c>
      <c r="CP69" t="str">
        <f t="shared" si="166"/>
        <v/>
      </c>
      <c r="CQ69" t="str">
        <f>_xlfn.LET(_xlpm.k,IFERROR(_xlfn.XLOOKUP(BC69,Коды_код,Коды_утечка)&amp;"",""),IF(_xlpm.k="","дифавтомат",_xlpm.k))</f>
        <v>дифавтомат</v>
      </c>
      <c r="CR69" t="str" cm="1">
        <f t="array" ref="CR69">IF(CG69=0,"",_xlfn.LET(_xlpm.sg,TRIM(_xlfn.TEXTSPLIT(DD69&amp;"",";")),_xlpm.f_,_xlfn._xlws.FILTER(_xlpm.sg,LEFT(_xlpm.sg,3)="УЗО",""),IFERROR(INDEX(_xlpm.f_,1)&amp;"","")))</f>
        <v/>
      </c>
      <c r="CS69" t="str">
        <f t="shared" si="167"/>
        <v/>
      </c>
      <c r="CT69" s="6" t="str" cm="1">
        <f t="array" ref="CT69">IF(CR69="","",_xlfn.LET(_xlpm.tk,_xlfn.TEXTSPLIT(UPPER(CR69)," ",,TRUE),_xlpm.a_,_xlfn._xlws.FILTER(_xlpm.tk,ISNUMBER(--LEFT(_xlpm.tk,1))*((ISNUMBER(SEARCH("А",_xlpm.tk))+ISNUMBER(SEARCH("A",_xlpm.tk)))&gt;0)*NOT(ISNUMBER(SEARCH("МА",_xlpm.tk)))*NOT(ISNUMBER(SEARCH("MA",_xlpm.tk))),""),IFERROR(--SUBSTITUTE(SUBSTITUTE(INDEX(_xlpm.a_,1),"А",""),"A",""),"")))</f>
        <v/>
      </c>
      <c r="CU69" t="str" cm="1">
        <f t="array" ref="CU69">IF(CR69="","",_xlfn.LET(_xlpm.tk,_xlfn.TEXTSPLIT(UPPER(CR69)," ",,TRUE),_xlpm.a_,_xlfn._xlws.FILTER(_xlpm.tk,ISNUMBER(--LEFT(_xlpm.tk,1))*((ISNUMBER(SEARCH("МА",_xlpm.tk))+ISNUMBER(SEARCH("MA",_xlpm.tk)))&gt;0),""),IFERROR(--SUBSTITUTE(SUBSTITUTE(INDEX(_xlpm.a_,1),"МА",""),"MA",""),30)))</f>
        <v/>
      </c>
      <c r="CV69" t="str">
        <f>IF(CS69="","",IFERROR(_xlfn.XLOOKUP(CS69,Линии[_n],Линии[_УЗО, мА]),30))</f>
        <v/>
      </c>
      <c r="CW69">
        <f>IF(CS69="",0,IF(ISNUMBER(SEARCH("4P",IFERROR(_xlfn.XLOOKUP(CS69,Линии[_n],Линии[_УЗО строки])&amp;"",""))),0,1))</f>
        <v>0</v>
      </c>
      <c r="CX69" t="str">
        <f>IF(AND(CS69&lt;&gt;"",CS69=BA69),SUMIFS(Линии[_ток на 230 В],Линии[_блок УЗО],BA69,Линии[Щит],A69),"")</f>
        <v/>
      </c>
      <c r="CY69" t="str">
        <f>IF(AND(CS69&lt;&gt;"",CS69=BA69),SUMIFS(Линии[_ток утечки линии, мА],Линии[_блок УЗО],BA69,Линии[Щит],A69),"")</f>
        <v/>
      </c>
      <c r="CZ69">
        <f t="shared" si="168"/>
        <v>0</v>
      </c>
      <c r="DA69">
        <f t="shared" si="169"/>
        <v>0</v>
      </c>
      <c r="DB69">
        <f>IF(B69="",0,IFERROR(--_xlfn.XLOOKUP(B69,Коды_код,Коды_минавт),IFERROR(--_xlfn.XLOOKUP(BC69,Коды_код,Коды_минавт),IFERROR(--_xlfn.XLOOKUP(LEFT(BC69,2),Коды_код,Коды_минавт),0))))</f>
        <v>0</v>
      </c>
      <c r="DC69" t="str">
        <f>IF(B69="","",IFERROR(_xlfn.XLOOKUP(BC69,Коды_код,Коды_апп)&amp;"",""))</f>
        <v/>
      </c>
      <c r="DD69" t="str">
        <f t="shared" si="170"/>
        <v/>
      </c>
      <c r="DE69" t="str" cm="1">
        <f t="array" ref="DE69">IF(TRIM(DD69&amp;"")="","",IFERROR(TRIM(INDEX(_xlfn.TEXTSPLIT(DD69&amp;";;;",";"),1)),""))</f>
        <v/>
      </c>
      <c r="DF69" t="str" cm="1">
        <f t="array" ref="DF69">IF(TRIM(DD69&amp;"")="","",IFERROR(TRIM(INDEX(_xlfn.TEXTSPLIT(DD69&amp;";;;",";"),2)),""))</f>
        <v/>
      </c>
      <c r="DG69" t="str" cm="1">
        <f t="array" ref="DG69">IF(TRIM(DD69&amp;"")="","",IFERROR(TRIM(INDEX(_xlfn.TEXTSPLIT(DD69&amp;";;;",";"),3)),""))</f>
        <v/>
      </c>
      <c r="DH69">
        <f t="shared" si="171"/>
        <v>0</v>
      </c>
      <c r="DI69" t="str">
        <f>IF(B69="","",_xlfn.LET(_xlpm.t,LOWER(AZ69&amp;""),IF(ISNUMBER(SEARCH("dim",_xlpm.t)),"DIM",IF(ISNUMBER(SEARCH("dali",_xlpm.t)),"DALI",IF(OR(ISNUMBER(SEARCH("relay",_xlpm.t)),ISNUMBER(SEARCH("реле",_xlpm.t))),"Relay",IF(ISNUMBER(SEARCH("кнопк",_xlpm.t)),"",IFERROR(_xlfn.XLOOKUP(BC69,Коды_код,Коды_упр)&amp;"","")))))))</f>
        <v/>
      </c>
      <c r="DJ69" t="str">
        <f t="shared" si="172"/>
        <v/>
      </c>
      <c r="DK69">
        <f>IF(B69="","",_xlfn.LET(_xlpm.ig,IF(N(CX69)&gt;0,N(CX69),N(CI69)+IF(AJ69="вручную",0,N(CJ69))),_xlpm.n0,IFERROR(VLOOKUP(_xlpm.ig,Автомат_номиналы,2,TRUE),0),_xlpm.mn,MAX(DB69,IF(AJ69="вручную",0,N(CM69))),MAX(_xlpm.n0,_xlpm.mn,IF(DH69=1,Мин_автомат_БП,0))))</f>
        <v>16</v>
      </c>
      <c r="DL69">
        <f t="shared" si="173"/>
        <v>1</v>
      </c>
      <c r="DM69" t="str">
        <f t="shared" si="174"/>
        <v>1P</v>
      </c>
      <c r="DN69" t="str">
        <f>_xlfn.LET(_xlpm.cc,UPPER(TRIM(IFERROR(_xlfn.XLOOKUP(BC69,Коды_код,Коды_хар)&amp;"",""))),IF(OR(_xlpm.cc="B",_xlpm.cc="В"),"B",IF(_xlpm.cc="D","D","С")))</f>
        <v>С</v>
      </c>
      <c r="DO69" t="str">
        <f t="shared" si="175"/>
        <v>1P С16А</v>
      </c>
      <c r="DP69">
        <f t="shared" si="176"/>
        <v>16</v>
      </c>
      <c r="DQ69" t="str">
        <f t="shared" si="177"/>
        <v>1P С16А</v>
      </c>
      <c r="DR69" cm="1">
        <f t="array" ref="DR69">IF(DQ69="","",_xlfn.LET(_xlpm.t,SUBSTITUTE(SUBSTITUTE(SUBSTITUTE(UPPER(DQ69),"С","C"),"А","A"),"В","B"),_xlpm.tk,_xlfn.TEXTSPLIT(_xlpm.t," "),_xlpm.f,_xlfn._xlws.FILTER(_xlpm.tk,ISNUMBER(--MID(_xlpm.tk,2,1))*ISNUMBER(SEARCH(LEFT(_xlpm.tk,1)&amp;"#","B#C#D#"))*(LEN(_xlpm.tk)&gt;1),""),_xlpm.x,INDEX(_xlpm.f,1),IFERROR(--SUBSTITUTE(MID(_xlpm.x,2,9),"A",""),IFERROR(--SUBSTITUTE(INDEX(_xlfn._xlws.FILTER(_xlpm.tk,ISNUMBER(--SUBSTITUTE(_xlpm.tk,"A","")),""),1),"A",""),""))))</f>
        <v>16</v>
      </c>
      <c r="DS69" t="str">
        <f t="shared" si="178"/>
        <v>ok</v>
      </c>
      <c r="DT69">
        <f t="shared" si="179"/>
        <v>16</v>
      </c>
      <c r="DU69" t="str">
        <f t="shared" si="180"/>
        <v>1P С16А</v>
      </c>
      <c r="DV69">
        <f t="shared" si="181"/>
        <v>0</v>
      </c>
      <c r="DW69">
        <f t="shared" si="182"/>
        <v>0</v>
      </c>
      <c r="DX69">
        <f t="shared" si="183"/>
        <v>0</v>
      </c>
      <c r="DY69">
        <f t="shared" si="184"/>
        <v>10.284051669940206</v>
      </c>
      <c r="DZ69">
        <f t="shared" si="185"/>
        <v>1</v>
      </c>
      <c r="EA69">
        <f>IF(ISNUMBER(AP69),AP69,К_прокл)</f>
        <v>1</v>
      </c>
      <c r="EB69">
        <f t="shared" si="186"/>
        <v>2</v>
      </c>
      <c r="EC69">
        <f>IFERROR(N(VLOOKUP(BZ69,Кабель_обозначение,3,FALSE)),1)</f>
        <v>1</v>
      </c>
      <c r="ED69">
        <f>IFERROR(N(_xlfn.XLOOKUP(A69,Щиты[Щит],Щиты[ΔU до шин, %])),0)</f>
        <v>0.64</v>
      </c>
      <c r="EE69" t="str">
        <f>IFERROR(_xlfn.XLOOKUP(A69,Щиты[Щит],Щиты[Zпетли на шинах, Ом]),"")</f>
        <v/>
      </c>
      <c r="EF69">
        <f>IFERROR(N(_xlfn.XLOOKUP(A69,Щиты[Щит],Щиты[ΔU до шин (подбор), %])),0)</f>
        <v>0.75</v>
      </c>
      <c r="EG69" t="str">
        <f>IFERROR(_xlfn.XLOOKUP(A69,Щиты[Щит],Щиты[Zпетли на шинах (подбор), Ом]),"")</f>
        <v/>
      </c>
      <c r="EH69" t="str">
        <f t="shared" si="187"/>
        <v/>
      </c>
      <c r="EI69">
        <f t="shared" si="188"/>
        <v>36</v>
      </c>
      <c r="EJ69">
        <f t="shared" si="189"/>
        <v>2</v>
      </c>
      <c r="EK69">
        <f t="shared" si="190"/>
        <v>0.6</v>
      </c>
      <c r="EL69" s="6">
        <f>IF(B69="","",IF(BV69=1,dU_LED,IF(IFERROR(_xlfn.XLOOKUP(BC69,Коды_код,Коды_уго),"")="Светильник",3,4)+IF(Методика="нормы 2026",MIN(0.5,MAX(0,N(P69)-100)*0.005),0)))</f>
        <v>4</v>
      </c>
      <c r="EM69" cm="1">
        <f t="array" ref="EM69">IF(OR(B69="",BZ69="",EC69&lt;&gt;1),"",_xlfn.LET(_xlpm.sz,Iдоп_S,_xlpm.t_,CHOOSE(EB69,Iдоп_1ж,Iдоп_2ж,Iдоп_3ж)*DZ69*EA69,_xlpm.dcx,BV69=1,_xlpm.inn,IF(_xlpm.dcx,N(O69),N(DT69)),_xlpm.smin,MAX(1.5,CC69),_xlpm.L_,N(P69)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69)/N(BU69)*100,999),IFERROR(N(EJ69)*(_xlpm.rho*_xlpm.L_/_xlpm.sz*N(CE69)+_xlpm.xx*_xlpm.L_*N(EK69)/1000)*N(O69)/((Uн_лин/SQRT(3))*1000)*100,999)),_xlpm.kz,IF(OR(_xlpm.dcx,DW69=1,NOT(ISNUMBER(EG69)),_xlpm.L_=0,_xlpm.inn=0),1,IFERROR(--(c_min*(Uн_лин*1000/SQRT(3))/(EG69+2*ρкз_Cu*_xlpm.L_/_xlpm.sz)&gt;=HT69*_xlpm.inn),0)),_xlpm.ok,IFERROR((_xlpm.sz&gt;=_xlpm.smin)*(_xlpm.t_&gt;=_xlpm.inn)*IF(_xlpm.L_&gt;0,(_xlpm.du_+IF(_xlpm.dcx,0,EF69)&lt;=EL69+0.00001),1)*_xlpm.kz,0),_xlpm.r_,_xlfn._xlws.FILTER(_xlpm.sz,_xlpm.ok,"не подобрано"),INDEX(_xlpm.r_,1)))</f>
        <v>2.5</v>
      </c>
      <c r="EN69">
        <f t="shared" si="191"/>
        <v>2.5</v>
      </c>
      <c r="EO69" cm="1">
        <f t="array" ref="EO69">IF(OR(B69="",BZ69="",EC69&lt;&gt;1),"",_xlfn.LET(_xlpm.sz,Iдоп_S,_xlpm.t_,CHOOSE(EB69,Iдоп_1ж,Iдоп_2ж,Iдоп_3ж)*DZ69*EA69,_xlpm.ok,IFERROR((_xlpm.sz&gt;=MAX(1.5,CC69))*(_xlpm.t_&gt;=N(DT69)),0),_xlpm.r_,_xlfn._xlws.FILTER(_xlpm.sz,_xlpm.ok,""),INDEX(_xlpm.r_,1)))</f>
        <v>1.5</v>
      </c>
      <c r="EP69" s="6" cm="1">
        <f t="array" ref="EP69">IFERROR(ROUNDUP(N(EJ69)*(_xlfn.XLOOKUP(EO69,INDEX(Кабель_сопротивление,0,1),INDEX(Кабель_сопротивление,0,3))*N(P69)/EO69*N(CE69)+_xlfn.XLOOKUP(EO69,INDEX(Кабель_сопротивление,0,1),INDEX(Кабель_сопротивление,0,2))*N(P69)*N(EK69)/1000)*N(O69)/((Uн_лин/SQRT(3))*1000)*100,2),"")</f>
        <v>4.09</v>
      </c>
      <c r="EQ69">
        <f>IFERROR(2*ρкз_Cu*N(P69)/EO69,"")</f>
        <v>1.3325333333333333</v>
      </c>
      <c r="ER69">
        <f>IFERROR(VLOOKUP(EN69,Кабель_сопротивление,3,FALSE),"")</f>
        <v>2.2499999999999999E-2</v>
      </c>
      <c r="ES69">
        <f>IFERROR(VLOOKUP(EN69,Кабель_сопротивление,2,FALSE),"")</f>
        <v>0.1</v>
      </c>
      <c r="ET69">
        <f t="shared" si="192"/>
        <v>35</v>
      </c>
      <c r="EU69">
        <f t="shared" si="193"/>
        <v>0</v>
      </c>
      <c r="EV69">
        <f t="shared" si="194"/>
        <v>5.6743283494062089</v>
      </c>
      <c r="EW69" s="6">
        <f>IFERROR(ROUNDUP(EV69/IF(BV69=1,BU69,(Uн_лин/SQRT(3))*1000)*100,2),"")</f>
        <v>2.46</v>
      </c>
      <c r="EX69" t="str">
        <f>IFERROR(VLOOKUP(BZ69,Кабель_обозначение,2,FALSE),"")</f>
        <v>ВВГнг(А)-LS</v>
      </c>
      <c r="EY69" t="str">
        <f t="shared" si="195"/>
        <v>ВВГнг(А)-LS (3х2,5)</v>
      </c>
      <c r="EZ69" t="str">
        <f t="shared" si="196"/>
        <v>ВВГнг(А)-LS (3х2,5)
L=38-2,46%</v>
      </c>
      <c r="FA69">
        <f>IFERROR(2*ρкз_Cu*P69/EN69,"")</f>
        <v>0.79952000000000001</v>
      </c>
      <c r="FB69">
        <f t="shared" si="197"/>
        <v>0.26600000000000001</v>
      </c>
      <c r="FC69" s="6" t="str">
        <f>IFERROR(IF(OR(B69="",BV69=1,NOT(ISNUMBER(EN69)),N(P69)=0),"",_xlfn.XLOOKUP(A69,Щиты[Щит],Щиты[Zпетли на шинах, Ом])+FA69),"")</f>
        <v/>
      </c>
      <c r="FD69" s="6" t="str">
        <f>IF(ISNUMBER(FC69),c_min*(Uн_лин*1000/SQRT(3))/FC69,"")</f>
        <v/>
      </c>
      <c r="FE69" s="6" t="str">
        <f>IFERROR(IF(OR(B69="",NOT(ISNUMBER(EN69))),"",1.05*(Uн_лин*1000/SQRT(3))/(_xlfn.XLOOKUP(A69,Щиты[Щит],Щиты[Zmax на шинах, Ом])+FB69)/1000),"")</f>
        <v/>
      </c>
      <c r="FF69" s="6" t="str">
        <f>IF(B69="","",IF(ISNUMBER(AC69),"Сил",IF(IFERROR(_xlfn.XLOOKUP(BC69,Коды_код,Коды_группа)&amp;"","")="","Быт",_xlfn.XLOOKUP(BC69,Коды_код,Коды_группа)&amp;"")))</f>
        <v>Сил</v>
      </c>
      <c r="FG69" s="6" t="str">
        <f t="shared" si="198"/>
        <v>Сил</v>
      </c>
      <c r="FH69" s="6">
        <f>IF(FG69="Щит","щит",IF(FG69="","",IF(FG69="Быт",IFERROR(_xlfn.XLOOKUP(A69,Щиты[Щит],Щиты[Кс быт]),1),IF(FG69="Сил",IF(ISNUMBER(AC69),AC69,IF(Методика="нормы 2026",IFERROR(_xlfn.XLOOKUP(A69,Щиты[Щит],Щиты[Кс силовых (табл. 7.5)]),1),1)),IF(OR(FG69="Пост",FG69="Отоп"),1,IF(FG69="ВНГ",0.7,0))))))</f>
        <v>0.5</v>
      </c>
      <c r="FI69">
        <f>IF(FG69="","",IF(AND(BP69=1,TRIM(AE69&amp;"")=""),IF(COUNTIFS(Линии[Щит],A69,Линии[Секция (1/2/3)],"&gt;=2")&gt;0,MIN(3,MAX(1,IFERROR(--BD69,1))),1),IFERROR(MIN(3,MAX(1,INT(--AE69))),1)))</f>
        <v>1</v>
      </c>
      <c r="FJ69">
        <f t="shared" si="199"/>
        <v>1.9</v>
      </c>
      <c r="FK69">
        <f t="shared" si="200"/>
        <v>0</v>
      </c>
      <c r="FL69">
        <f t="shared" si="201"/>
        <v>0.95</v>
      </c>
      <c r="FM69">
        <f t="shared" si="202"/>
        <v>0</v>
      </c>
      <c r="FN69">
        <f t="shared" si="203"/>
        <v>0</v>
      </c>
      <c r="FO69">
        <f t="shared" si="204"/>
        <v>0</v>
      </c>
      <c r="FP69">
        <f t="shared" si="205"/>
        <v>1.9</v>
      </c>
      <c r="FQ69">
        <f t="shared" si="206"/>
        <v>1.9</v>
      </c>
      <c r="FR69">
        <f t="shared" si="207"/>
        <v>1.52</v>
      </c>
      <c r="FS69">
        <f>IF(CG69=1,IF(AND(CH69=1,CW69=1),0,IF(AND(CS69&lt;&gt;"",CS69=BA69,CW69=1),SUMIFS(Линии[_Р линии, кВт],Линии[_блок УЗО],BA69,Линии[Щит],A69),N(BS69)+IF(AJ69="вручную",0,N(CK69)))),0)</f>
        <v>1.9</v>
      </c>
      <c r="FT69" t="str">
        <f t="shared" si="208"/>
        <v/>
      </c>
      <c r="FU69" t="str">
        <f>IF(B69="","",IF(CG69=0,IF(BA69=1,"",FW68),IF(AND(CH69=1,CW69=1,CS69&lt;&gt;""),IFERROR(_xlfn.XLOOKUP(CS69,Линии[_n],Линии[_фаза итог]),"L1"),IF(OR(N(DL69)&gt;=3,N(BX69)&gt;=3),"L1,L2,L3",IFERROR(_xlfn.TEXTBEFORE(_xlfn.TEXTAFTER(_xlfn.XLOOKUP(A69,Щиты[Щит],Щиты[_фазы авто]),";"&amp;BA69&amp;":"),";"),"L1")))))</f>
        <v>L2</v>
      </c>
      <c r="FV69" t="str">
        <f t="shared" si="209"/>
        <v>L2</v>
      </c>
      <c r="FW69" t="str">
        <f t="shared" si="210"/>
        <v>L2</v>
      </c>
      <c r="FX69" cm="1">
        <f t="array" ref="FX69">IFERROR(IF(CD69=2,_xlfn.IFS(BX69=3,VLOOKUP(BS69,Справочная_двигатели,3,FALSE),BX69=1,VLOOKUP(BS69,Справочная_двигатели,5,TRUE)),0),0)</f>
        <v>0</v>
      </c>
      <c r="FY69">
        <f>IFERROR(IF(CD69=3,VLOOKUP(BS69,Справочная_ЛЭД,2,TRUE),0),0)</f>
        <v>0</v>
      </c>
      <c r="FZ69" s="6">
        <f t="shared" si="211"/>
        <v>0</v>
      </c>
      <c r="GA69" t="str">
        <f>IF(B69="","",IF(TRIM(AH69&amp;"")&lt;&gt;"",IF(LOWER(TRIM(AH69&amp;""))="да","да","нет"),IF(IFERROR(_xlfn.XLOOKUP(BC69,Коды_код,Коды_пожарная),"")="да","да","нет")))</f>
        <v>нет</v>
      </c>
      <c r="GB69" t="str">
        <f t="shared" si="212"/>
        <v/>
      </c>
      <c r="GC69" t="str">
        <f t="shared" si="213"/>
        <v>основная</v>
      </c>
      <c r="GD69">
        <f>IF(AND(BP69=1,TRIM(AE69&amp;"")=""),IF(COUNTIFS(Линии[Щит],A69,Линии[Секция (1/2/3)],"&gt;=2")&gt;0,MIN(3,MAX(1,IFERROR(--BD69,1))),1),IFERROR(MIN(3,MAX(1,INT(--AE69))),1))</f>
        <v>1</v>
      </c>
      <c r="GE69" t="str" cm="1">
        <f t="array" ref="GE69">IF(B69="","",_xlfn.LET(_xlpm.t,IFERROR(_xlfn.XLOOKUP(1,(Шины[Шина]=GC69)*(((Шины[Щит]=A69)+(Шины[Щит]=""))&gt;0),Шины[Тип]),"")&amp;"",IF(_xlpm.t&lt;&gt;"",_xlpm.t,IF(ISNUMBER(SEARCH("ИБП",GC69)),"ИБП",IF(ISNUMBER(SEARCH("ДГУ",GC69)),"ДГУ","Ввод "&amp;GD69)))))</f>
        <v>Ввод 1</v>
      </c>
      <c r="GF69" t="str">
        <f t="shared" si="214"/>
        <v>Ввод 1</v>
      </c>
      <c r="GG69" t="str">
        <f>IF(BP69=0,"",IF(TRIM(AG69&amp;"")&lt;&gt;"",TRIM(AG69&amp;""),IF(OR(GE69="ИБП",GE69="ДГУ"),"I особая",_xlfn.XLOOKUP(A69,Щиты[Щит],Щиты[Категория шины «Ввод»],"III"))))</f>
        <v/>
      </c>
      <c r="GH69" t="str">
        <f>IF(A69="","",_xlfn.XLOOKUP(A69,Щиты[Щит],Щиты[Путь],""))</f>
        <v>|ГРЩ-ЖД|ЩОВ-001|</v>
      </c>
      <c r="GI69" t="str">
        <f>IF(B69="","",IF(AI69&lt;&gt;"",AI69,IF(IFERROR(_xlfn.XLOOKUP(BC69,Коды_код,Коды_вид)&amp;"","")="","Прочее",_xlfn.XLOOKUP(BC69,Коды_код,Коды_вид)&amp;"")))</f>
        <v>Кондиционирование и увлажнение</v>
      </c>
      <c r="GJ69">
        <f>IF(BM69="","",INT((BM69-1)/Столбцов_на_лист)+1)</f>
        <v>2</v>
      </c>
      <c r="GK69" t="str">
        <f t="shared" si="215"/>
        <v>ВВГнг(А)-LS (3х2,5) L=38-2,46%</v>
      </c>
      <c r="GL69">
        <f t="shared" si="216"/>
        <v>1.9</v>
      </c>
      <c r="GM69">
        <f t="shared" si="217"/>
        <v>10.29</v>
      </c>
      <c r="GN69">
        <f t="shared" si="218"/>
        <v>1</v>
      </c>
      <c r="GO69">
        <f t="shared" si="219"/>
        <v>0</v>
      </c>
      <c r="GP69">
        <f t="shared" si="220"/>
        <v>1</v>
      </c>
      <c r="GQ69">
        <f>IF(BM69="","",IF(AND(CG69=1,GP69=1),COUNTIFS(A$3:A69,A69,CG$3:CG69,1,GP$3:GP69,1),IF(OR(OR(BA69=1,A69&lt;&gt;A68),AJ69="вручную",GP69=0),"",IF(BA69=1,"",GR68))))</f>
        <v>16</v>
      </c>
      <c r="GR69">
        <f t="shared" si="221"/>
        <v>16</v>
      </c>
      <c r="GS69">
        <f>IF(B69="","",IFERROR(LOOKUP(INDEX(CHOOSE(EB69,Iдоп_1ж,Iдоп_2ж,Iдоп_3ж),MATCH(EN69,Iдоп_S,0))*DZ69*EA69,{6,10,16,20,25,32,40,50,63,80,100,125,160,200,250,315,400,500,630}),""))</f>
        <v>25</v>
      </c>
      <c r="GT69" t="str">
        <f t="shared" si="222"/>
        <v>QF16</v>
      </c>
      <c r="GU69" t="str">
        <f t="shared" si="223"/>
        <v>QF16</v>
      </c>
      <c r="GV69" t="str">
        <f t="shared" si="224"/>
        <v/>
      </c>
      <c r="GW69">
        <f t="shared" si="225"/>
        <v>0</v>
      </c>
      <c r="GX69" t="str">
        <f>IF(OR(B69="",DJ69=""),"",IFERROR(_xlfn.XLOOKUP(DJ69,Модули_умолч[Управление],Модули_умолч[Модель])&amp;"",""))</f>
        <v/>
      </c>
      <c r="GY69">
        <f>IF(DJ69="",1,IFERROR(MAX(0,N(_xlfn.XLOOKUP(DJ69,Модули_умолч[Управление],Модули_умолч[Каналов на линию]))),1))</f>
        <v>1</v>
      </c>
      <c r="GZ69" t="str">
        <f t="shared" si="226"/>
        <v/>
      </c>
      <c r="HA69" t="str">
        <f t="shared" si="227"/>
        <v/>
      </c>
      <c r="HB69" t="str">
        <f t="shared" si="228"/>
        <v/>
      </c>
      <c r="HC69">
        <f>IF(HB69="",0,IFERROR(N(VLOOKUP(HB69,Модули_спр,3,FALSE)),0))</f>
        <v>0</v>
      </c>
      <c r="HD69" t="str">
        <f t="shared" si="229"/>
        <v/>
      </c>
      <c r="HE69" t="str">
        <f t="shared" si="230"/>
        <v/>
      </c>
      <c r="HF69" t="str">
        <f>IF(OR(HE69="",HE69="-"),"",IFERROR(VLOOKUP(HE69,Модули_спр,2,FALSE),"R"))</f>
        <v/>
      </c>
      <c r="HG69" t="str">
        <f>IF(HF69="","",HF69&amp;"."&amp;COUNTIFS(A$3:A69,A69,HF$3:HF69,HF69))</f>
        <v/>
      </c>
      <c r="HH69" t="str">
        <f t="shared" si="231"/>
        <v/>
      </c>
      <c r="HI69" t="str">
        <f t="shared" si="232"/>
        <v/>
      </c>
      <c r="HJ69" t="str">
        <f t="shared" si="233"/>
        <v/>
      </c>
      <c r="HK69" t="str">
        <f t="shared" si="234"/>
        <v/>
      </c>
      <c r="HL69">
        <f t="shared" si="235"/>
        <v>1</v>
      </c>
      <c r="HM69" t="str">
        <f>IF(HL69=1,"XT"&amp;COUNTIFS(A$3:A69,A69,HL$3:HL69,1),"")</f>
        <v>XT16</v>
      </c>
      <c r="HN69" t="str">
        <f t="shared" si="236"/>
        <v/>
      </c>
      <c r="HO69" t="str">
        <f t="shared" si="237"/>
        <v>QF16</v>
      </c>
      <c r="HP69" t="str">
        <f t="shared" si="238"/>
        <v/>
      </c>
      <c r="HQ69" t="str">
        <f t="shared" si="239"/>
        <v>ok</v>
      </c>
      <c r="HR69" t="str">
        <f>IF(OR(HJ69="",HH69=""),"",IF(HJ69+MAX(0,GY69-1)&gt;IFERROR(VLOOKUP(HI69,Модули_спр,3,FALSE),99),"ЛИШНИЙ КАНАЛ",IF(AND(AL69&lt;&gt;"=",GY69&gt;0,COUNTIFS(Линии[_модуль гр.],HH69,Линии[Канал (итог)],HJ69,Линии[Канал],"&lt;&gt;=",Линии[Щит],A69)&gt;1),"ДУБЛЬ КАНАЛА","")))</f>
        <v/>
      </c>
      <c r="HS69" s="6" t="str">
        <f t="shared" si="240"/>
        <v/>
      </c>
      <c r="HT69">
        <f t="shared" si="241"/>
        <v>10</v>
      </c>
      <c r="HU69" t="str">
        <f t="shared" si="242"/>
        <v/>
      </c>
      <c r="HV69">
        <f t="shared" si="243"/>
        <v>4.4936206679760824</v>
      </c>
      <c r="HW69">
        <f t="shared" si="244"/>
        <v>0</v>
      </c>
      <c r="HX69">
        <f t="shared" si="245"/>
        <v>0</v>
      </c>
      <c r="HY69">
        <f t="shared" si="246"/>
        <v>0</v>
      </c>
      <c r="HZ69">
        <f t="shared" si="247"/>
        <v>0</v>
      </c>
      <c r="IA69">
        <f t="shared" si="248"/>
        <v>0</v>
      </c>
      <c r="IB69">
        <f t="shared" si="249"/>
        <v>0</v>
      </c>
      <c r="IC69" t="str">
        <f t="shared" si="250"/>
        <v/>
      </c>
      <c r="ID69" t="str" cm="1">
        <f t="array" ref="ID69">IF(IC69="","",_xlfn.LET(_xlpm.tk,_xlfn.TEXTSPLIT(SUBSTITUTE(SUBSTITUTE(IC69,";"," "),"→"," ")," ",,TRUE),_xlpm.w_,_xlfn._xlws.FILTER(_xlpm.tk,ISNUMBER(--LEFT(_xlpm.tk,1))*((ISNUMBER(SEARCH("W",_xlpm.tk))+ISNUMBER(SEARCH("Вт",_xlpm.tk)))&gt;0),""),IFERROR(--SUBSTITUTE(SUBSTITUTE(UPPER(INDEX(_xlpm.w_,1)),"W",""),"ВТ",""),"")))</f>
        <v/>
      </c>
      <c r="IE69" t="str" cm="1">
        <f t="array" ref="IE69">IF(IC69="","",_xlfn.LET(_xlpm.tk,_xlfn.TEXTSPLIT(SUBSTITUTE(SUBSTITUTE(IC69,";"," "),"→"," ")," ",,TRUE),_xlpm.v_,_xlfn._xlws.FILTER(_xlpm.tk,ISNUMBER(--LEFT(_xlpm.tk,1))*((ISNUMBER(SEARCH("V",_xlpm.tk))+(RIGHT(UPPER(_xlpm.tk))="В"))&gt;0),""),IFERROR(--SUBSTITUTE(SUBSTITUTE(UPPER(INDEX(_xlpm.v_,1)),"V",""),"В",""),"")))</f>
        <v/>
      </c>
      <c r="IF69" s="6" t="str">
        <f>IF(OR(BV69=0,HI69="",HJ69=""),"",IFERROR(N(_xlfn.XLOOKUP(HI69,Каталог!$C$4:$C$500,Каталог!$Q$4:$Q$500)),""))</f>
        <v/>
      </c>
      <c r="IG69" s="6" t="str">
        <f>IF(N(IF69)=0,"",SUMIFS(Линии[Iр, А],Линии[Щит],A69,Линии[_модуль гр.],HH69,Линии[Канал (итог)],HJ69))</f>
        <v/>
      </c>
      <c r="IH69" t="str">
        <f>IF(AND(B69="",HO69=""),"",_xlfn.TEXTJOIN("; ",TRUE,IF(AND(B69&lt;&gt;"",FV69=""),"нет фазы",""),IF(AND(B69&lt;&gt;"",N(GL69)=0,FG69&lt;&gt;"Нет"),"нет мощности",""),IF(AND(HN69&lt;&gt;"",COUNTIFS(Линии[Щит],A69,Линии[Клемма (итог)],HN69)&gt;1),"дубль клеммы "&amp;HN69,""),IF(AND(HQ69&lt;&gt;"",HQ69&lt;&gt;"ok"),HQ69,""),IF(HR69&lt;&gt;"",HR69,""),IF(AND(N(CB69)&gt;=4,N(BX69)=1),CB69&amp;" жил на 1 фазе",""),IF(AND(BC69="R",CG69=1,IF(CS69&lt;&gt;"",N(CV69)&gt;30,OR(N(DA69)=0,N(DA69)&gt;30))),"розетка без дифзащиты до 30 мА",""),IF(AND(CG69=1,N(DA69)&gt;0,ISNUMBER(T69)),IF(T69&gt;N(DA69)/3,"ток утечки "&amp;FIXED(T69,1)&amp;" мА &gt; 1/3 уставки ("&amp;DA69&amp;" мА)",""),""),IF(AND(CH69=1,CS69=""),"«узо»: нет строки с УЗО выше (УЗО 2P 40А 30мА в «Аппаратах»)",""),IF(AND(CS69&lt;&gt;"",CS69=BA69),IF(CT69="","впишите номинал УЗО (УЗО 2P 40А 30мА)",IF(N(CT69)&lt;N(DT69),"УЗО "&amp;CT69&amp;" А &lt; автомата "&amp;DT69&amp;" А перед ним",IF(N(CT69)&lt;N(CX69),"УЗО "&amp;CT69&amp;" А &lt; тока блока "&amp;FIXED(CX69,1)&amp;" А",""))),""),IF(AND(CS69&lt;&gt;"",CS69=BA69,ISNUMBER(CY69)),IF(CY69&gt;N(CV69)/3,"ток утечки блока УЗО "&amp;FIXED(CY69,1)&amp;" мА &gt; 1/3 уставки ("&amp;CV69&amp;" мА)",""),""),IF(AND(CG69=1,N(BV69)+N(IB69)&gt;0,IC69=""),"линии до 50 В без БП: впишите в «Аппараты» (БП 24V 480W)",""),IF(AND(CG69=1,ISNUMBER(ID69),ISNUMBER(U69)),IF(U69&gt;ID69,"БП "&amp;ID69&amp;" Вт &lt; нужно "&amp;U69&amp;" Вт (×"&amp;Запас_БП&amp;")",""),""),IF(AND(CG69=1,ISNUMBER(IE69),N(BV69)=1),IF(IE69&lt;&gt;N(BU69),"БП на "&amp;IE69&amp;" В, линия "&amp;BU69&amp;" В",""),""),IF(AND(N(IF69)&gt;0,N(IG69)&gt;N(IF69)),HH69&amp;" канал "&amp;HJ69&amp;": "&amp;FIXED(IG69,1)&amp;" А &gt; "&amp;IF69&amp;" А",""),IFERROR(IF(AND(ISNUMBER(Q69),Q69&gt;EL69),"потери "&amp;FIXED(Q69,1)&amp;" % &gt; "&amp;EL69&amp;" %",""),""),IFERROR(IF(LEFT(HU69,4)="мало","Iкз мало — отключение &gt; 0,4 с",""),""),IF(AND(B69&lt;&gt;"",BM69=""),"не на схеме",""),IF(AND(CG69=0,B69&lt;&gt;"",FV69&lt;&gt;"",IF(BA69=1,"",FW68)&lt;&gt;"",FV69&lt;&gt;IF(BA69=1,"",FW68)),"фаза не как у автомата группы ("&amp;IF(BA69=1,"",FW68)&amp;")","")))</f>
        <v/>
      </c>
      <c r="II69" s="6">
        <f>IF(OR(CG69=0,DQ69=""),"",_xlfn.LET(_xlpm.t,IFERROR(_xlfn.XLOOKUP(DQ69,Каталог!$U$4:$U$500,Каталог!$G$4:$G$500),""),_xlpm.k,SEARCH("кА",_xlpm.t),IFERROR(--TRIM(RIGHT(SUBSTITUTE(MID(_xlpm.t,MAX(1,_xlpm.k-4),_xlpm.k-MAX(1,_xlpm.k-4))," ",REPT(" ",9)),5)),"")))</f>
        <v>6</v>
      </c>
      <c r="IJ69" t="str">
        <f>IF(OR(II69="",CG69=0),"",IF(_xlfn.XLOOKUP(A69,Щиты[Щит],Щиты[Iкз max на шинах, кА],"")="","",IF(II69&lt;_xlfn.XLOOKUP(A69,Щиты[Щит],Щиты[Iкз max на шинах, кА]),"Icu "&amp;II69&amp;" кА &lt; Iкз max","ok")))</f>
        <v/>
      </c>
      <c r="IK69" t="str">
        <f t="shared" si="251"/>
        <v/>
      </c>
      <c r="IL69" t="str">
        <f t="shared" si="252"/>
        <v>QF16</v>
      </c>
      <c r="IM69" t="str">
        <f t="shared" si="253"/>
        <v>QF16|кабель ВВГнг(А)-LS (3х2,5) → Внешний блок кондиционирования Пом. Венткиосок</v>
      </c>
      <c r="IN69" t="str" cm="1">
        <f t="array" ref="IN69">IF(IM69="","",_xlfn.LET(_xlpm.nd,_xlfn.TEXTSPLIT(IM69,"|"),IF(COLUMNS(_xlpm.nd)&gt;1,A69&amp;"¦"&amp;INDEX(_xlpm.nd,1)&amp;"¦"&amp;INDEX(_xlpm.nd,2),"")))</f>
        <v>ЩОВ-001¦QF16¦кабель ВВГнг(А)-LS (3х2,5) → Внешний блок кондиционирования Пом. Венткиосок</v>
      </c>
      <c r="IO69" t="str">
        <f t="shared" si="254"/>
        <v>K.1¦Внешний блок кондиционирования Пом. Венткиосок</v>
      </c>
      <c r="IP69" t="str" cm="1">
        <f t="array" ref="IP69">IF(IM69="","",_xlfn.LET(_xlpm.nd,_xlfn.TEXTSPLIT(IM69,"|"),IF(COLUMNS(_xlpm.nd)&gt;2,A69&amp;"¦"&amp;INDEX(_xlpm.nd,2)&amp;"¦"&amp;INDEX(_xlpm.nd,3),"")))</f>
        <v/>
      </c>
      <c r="IQ69" t="str">
        <f t="shared" si="255"/>
        <v/>
      </c>
      <c r="IR69" t="str" cm="1">
        <f t="array" ref="IR69">IF(IM69="","",_xlfn.LET(_xlpm.nd,_xlfn.TEXTSPLIT(IM69,"|"),IF(COLUMNS(_xlpm.nd)&gt;3,A69&amp;"¦"&amp;INDEX(_xlpm.nd,3)&amp;"¦"&amp;INDEX(_xlpm.nd,4),"")))</f>
        <v/>
      </c>
      <c r="IS69" t="str">
        <f t="shared" si="256"/>
        <v/>
      </c>
      <c r="IT69" t="str" cm="1">
        <f t="array" ref="IT69">IF(IM69="","",_xlfn.LET(_xlpm.nd,_xlfn.TEXTSPLIT(IM69,"|"),IF(COLUMNS(_xlpm.nd)&gt;4,A69&amp;"¦"&amp;INDEX(_xlpm.nd,4)&amp;"¦"&amp;INDEX(_xlpm.nd,5),"")))</f>
        <v/>
      </c>
      <c r="IU69" t="str">
        <f t="shared" si="257"/>
        <v/>
      </c>
      <c r="IV69" t="str" cm="1">
        <f t="array" ref="IV69">IF(IM69="","",_xlfn.LET(_xlpm.nd,_xlfn.TEXTSPLIT(IM69,"|"),IF(COLUMNS(_xlpm.nd)&gt;5,A69&amp;"¦"&amp;INDEX(_xlpm.nd,5)&amp;"¦"&amp;INDEX(_xlpm.nd,6),"")))</f>
        <v/>
      </c>
      <c r="IW69" t="str">
        <f t="shared" si="258"/>
        <v/>
      </c>
      <c r="IX69" t="str" cm="1">
        <f t="array" ref="IX69">IF(IM69="","",_xlfn.LET(_xlpm.nd,_xlfn.TEXTSPLIT(IM69,"|"),IF(COLUMNS(_xlpm.nd)&gt;6,A69&amp;"¦"&amp;INDEX(_xlpm.nd,6)&amp;"¦"&amp;INDEX(_xlpm.nd,7),"")))</f>
        <v/>
      </c>
      <c r="IY69" t="str">
        <f t="shared" si="259"/>
        <v/>
      </c>
      <c r="IZ69" t="str">
        <f t="shared" si="260"/>
        <v/>
      </c>
      <c r="JA69" t="str">
        <f t="shared" si="261"/>
        <v>QF16</v>
      </c>
      <c r="JB69">
        <f t="shared" si="262"/>
        <v>0</v>
      </c>
      <c r="JC69">
        <f t="shared" si="263"/>
        <v>0</v>
      </c>
      <c r="JD69" t="str">
        <f t="shared" si="264"/>
        <v/>
      </c>
      <c r="JE69" t="str">
        <f t="shared" si="265"/>
        <v/>
      </c>
      <c r="JF69" t="str">
        <f t="shared" si="266"/>
        <v/>
      </c>
      <c r="JG69" t="str">
        <f t="shared" si="267"/>
        <v/>
      </c>
      <c r="JH69">
        <f>IF(B69="","",IFERROR(_xlfn.XLOOKUP(B69,Коды_код,Коды_уго),IFERROR(_xlfn.XLOOKUP(BC69,Коды_код,Коды_уго),IFERROR(_xlfn.XLOOKUP(LEFT(BC69,2),Коды_код,Коды_уго),""))))</f>
        <v>0</v>
      </c>
      <c r="JI69" t="str">
        <f>IF(B69="","",IF(OR(JH69="",JH69=0),"BOX",IFERROR(IF(VLOOKUP(JH69,УГО_блоки,3,FALSE)&amp;""&lt;&gt;"",VLOOKUP(JH69,УГО_блоки,3,FALSE),VLOOKUP(JH69,УГО_блоки,2,FALSE)),JH69)))</f>
        <v>BOX</v>
      </c>
      <c r="JJ69">
        <f t="shared" si="268"/>
        <v>1</v>
      </c>
      <c r="JK69" t="str">
        <f>IF(DQ69="","",IF(COUNTIF(DQ$3:DQ69,DQ69)=1,MAX(JK$2:JK68)+1,""))</f>
        <v/>
      </c>
      <c r="JL69" t="str">
        <f>IF(DE69="","",IF(COUNTIF(DE$3:DE69,DE69)+COUNTIF(DF$2:DF68,DE69)+COUNTIF(DG$2:DG68,DE69)=1,MAX(JL$2:JN68)+1,""))</f>
        <v/>
      </c>
      <c r="JM69" t="str">
        <f>IF(DF69="","",IF(COUNTIF(DE$3:DE69,DF69)+COUNTIF(DF$3:DF69,DF69)+COUNTIF(DG$2:DG68,DF69)=1,MAX(JL$2:JN68,JL69)+1,""))</f>
        <v/>
      </c>
      <c r="JN69" t="str">
        <f>IF(DG69="","",IF(COUNTIF(DE$3:DE69,DG69)+COUNTIF(DF$3:DF69,DG69)+COUNTIF(DG$3:DG69,DG69)=1,MAX(JL$2:JN68,JL69,JM69)+1,""))</f>
        <v/>
      </c>
      <c r="JO69" t="str">
        <f t="shared" si="269"/>
        <v>3х2,5</v>
      </c>
      <c r="JP69" t="str">
        <f>IF(JO69="","",IF(COUNTIF(JO$3:JO69,JO69)=1,MAX(JP$2:JP68)+1,""))</f>
        <v/>
      </c>
      <c r="JQ69" t="str">
        <f>IF(HG69="","",COUNTIF(HG$3:HG69,"?*"))</f>
        <v/>
      </c>
      <c r="JR69" t="str">
        <f>IF(OR(HG69="",HI69=""),"",IF(COUNTIFS(HG$3:HG69,"?*",HI$3:HI69,HI69)=1,MAX(JR$2:JR68)+1,""))</f>
        <v/>
      </c>
      <c r="JS69">
        <f t="shared" si="270"/>
        <v>0</v>
      </c>
      <c r="JT69">
        <f>IF(B69="","",COUNTIF(B$3:B69,"?*"))</f>
        <v>67</v>
      </c>
      <c r="JU69">
        <f>IF(HL69&lt;&gt;1,0,_xlfn.LET(_xlpm.k,MAX(IFERROR(--_xlfn.XLOOKUP(B69,Коды_код,Коды_3L),0),IFERROR(--_xlfn.XLOOKUP(BC69,Коды_код,Коды_3L),0),IFERROR(--_xlfn.XLOOKUP(LEFT(BC69,2),Коды_код,Коды_3L),0)),IF(_xlpm.k&gt;0,_xlpm.k,IF(IFERROR(--LEFT(SUBSTITUTE(JO69,"x","х"),FIND("х",SUBSTITUTE(JO69,"x","х"))-1),3)&gt;3,Каталог!$S$9,1))))</f>
        <v>1</v>
      </c>
      <c r="JV69">
        <f t="shared" si="271"/>
        <v>0</v>
      </c>
      <c r="JW69" t="str">
        <f t="shared" si="272"/>
        <v>авто</v>
      </c>
      <c r="JX69" t="str">
        <f t="shared" si="273"/>
        <v/>
      </c>
      <c r="JY69">
        <f t="shared" si="274"/>
        <v>0</v>
      </c>
      <c r="JZ69">
        <f t="shared" si="275"/>
        <v>1</v>
      </c>
    </row>
    <row r="70" spans="1:286" x14ac:dyDescent="0.3">
      <c r="A70" t="s">
        <v>747</v>
      </c>
      <c r="B70" t="s">
        <v>1383</v>
      </c>
      <c r="C70" t="s">
        <v>1660</v>
      </c>
      <c r="D70">
        <v>1</v>
      </c>
      <c r="E70">
        <v>1.9</v>
      </c>
      <c r="G70">
        <v>16</v>
      </c>
      <c r="H70" t="str">
        <f>Линии[[#This Row],[_авто управление]]</f>
        <v/>
      </c>
      <c r="I70" t="str">
        <f>Линии[[#This Row],[_авто аппараты]]</f>
        <v/>
      </c>
      <c r="J70">
        <v>2.5</v>
      </c>
      <c r="K70">
        <v>36</v>
      </c>
      <c r="L70" t="str">
        <f>Линии[[#This Row],[_авто фаза]]</f>
        <v>L3</v>
      </c>
      <c r="M70" t="s">
        <v>484</v>
      </c>
      <c r="N70" t="str">
        <f t="shared" si="138"/>
        <v/>
      </c>
      <c r="O70" s="6" cm="1">
        <f t="array" ref="O70">IF(B70="","",IF(BH70&lt;&gt;"",IFERROR(_xlfn.XLOOKUP(BH70,Щиты[Щит],Щиты[Iр, А]),""),IF(BP70=1,IF(OR(N(_xlfn.XLOOKUP(A70,Щиты[Щит],Щиты[Вводов],1))&lt;=1,LOWER(TRIM(_xlfn.XLOOKUP(A70,Щиты[Щит],Щиты[АВР],"")&amp;""))="да"),IFERROR(_xlfn.XLOOKUP(A70,Щиты[Щит],Щиты[Iр, А]),""),IFERROR(N(BS70)*_xlfn.XLOOKUP(A70,Щиты[Щит],Щиты[Кс итог])/(SQRT(3)*Uн_лин*_xlfn.XLOOKUP(A70,Щиты[Щит],Щиты[cos φ])),"")),IF(BV70=1,IFERROR(BS70*1000/BU70,""),IFERROR(_xlfn.IFS(BX70=1,BS70/((Uн_лин/SQRT(3))*CE70),BX70=3,BS70/(SQRT(3)*Uн_лин*CE70)),"")))))</f>
        <v>10.284051669940206</v>
      </c>
      <c r="P70" s="7">
        <f>IF(B70="","",IFERROR(IF(VLOOKUP(BC70,Потребители_обозначение,4,FALSE)=1,VLOOKUP(BC70,Потребители_обозначение,3,FALSE)*(MAX(1,N(D70))*2-1)+EI70+VLOOKUP(BE70,Этаж_обозначение,3,FALSE)+VLOOKUP(BE70,Этаж_обозначение,4,FALSE),VLOOKUP(BC70,Потребители_обозначение,3,FALSE)*(MAX(1,N(D70))*2-1)+EI70),EI70))</f>
        <v>38</v>
      </c>
      <c r="Q70" s="6">
        <f t="shared" si="139"/>
        <v>3.1</v>
      </c>
      <c r="R70" t="str">
        <f t="shared" si="140"/>
        <v>ВВГнг(А)-LS (3х2,5)</v>
      </c>
      <c r="S70" t="str">
        <f>IF(BM70="","",IF(BN70="вводной узел","узел ","")&amp;"л."&amp;(INT((BM70-1)/Столбцов_на_лист)+1)&amp;" / "&amp;(MOD(BM70-1,Столбцов_на_лист)+1))</f>
        <v>л.2 / 15</v>
      </c>
      <c r="T70" s="119">
        <f t="shared" si="141"/>
        <v>4.5</v>
      </c>
      <c r="U70" s="7" t="str">
        <f>IF(OR(CG70=0,N(BV70)+N(IB70)=0),"",ROUNDUP(Запас_БП*(N(HY70)+N(HZ70)),0))</f>
        <v/>
      </c>
      <c r="V70" s="119" t="str">
        <f t="shared" si="142"/>
        <v/>
      </c>
      <c r="W70" s="7" t="str">
        <f>IFERROR(IF(OR(B70="",BP70=1,BV70=1,NOT(ISNUMBER(EN70)),N(DT70)=0),"",MAX(0,ROUNDDOWN((c_min*(Uн_лин*1000/SQRT(3))/(HT70*N(DT70))-_xlfn.XLOOKUP(A70,Щиты[Щит],Щиты[Zпетли на шинах, Ом]))*EN70/(2*ρкз_Cu),0))),"")</f>
        <v/>
      </c>
      <c r="Y70" t="str">
        <f>Линии[[#This Row],[_авто утечка]]</f>
        <v/>
      </c>
      <c r="Z70">
        <v>1</v>
      </c>
      <c r="AA70">
        <v>230</v>
      </c>
      <c r="AB70" t="s">
        <v>598</v>
      </c>
      <c r="AC70">
        <v>0.5</v>
      </c>
      <c r="AG70" t="s">
        <v>810</v>
      </c>
      <c r="AI70" t="s">
        <v>576</v>
      </c>
      <c r="AK70" t="str">
        <f>Линии[[#This Row],[_авто модуль]]</f>
        <v/>
      </c>
      <c r="AM70">
        <v>32</v>
      </c>
      <c r="AN70" t="s">
        <v>11</v>
      </c>
      <c r="AO70">
        <v>3</v>
      </c>
      <c r="AR70">
        <v>35</v>
      </c>
      <c r="AT70">
        <v>1</v>
      </c>
      <c r="BA70" cm="1">
        <f t="array" ref="BA70">ROW()-ROW(Линии[#Headers])</f>
        <v>68</v>
      </c>
      <c r="BC70" s="6" t="str">
        <f t="shared" si="143"/>
        <v>K</v>
      </c>
      <c r="BD70" t="str">
        <f t="shared" si="144"/>
        <v>2</v>
      </c>
      <c r="BE70" t="str">
        <f t="shared" si="145"/>
        <v>2</v>
      </c>
      <c r="BF70" t="str">
        <f t="shared" si="146"/>
        <v/>
      </c>
      <c r="BG70" t="str">
        <f t="shared" si="147"/>
        <v/>
      </c>
      <c r="BH70" t="str">
        <f>IF(X70&lt;&gt;"",X70,IF(AND(B70&lt;&gt;"",B70&lt;&gt;A70,ISNUMBER(_xlfn.XMATCH(B70,Щиты[Щит]))),B70,""))</f>
        <v/>
      </c>
      <c r="BI70" t="str" cm="1">
        <f t="array" ref="BI70">IF(B70="","",IF(BH70&lt;&gt;"","Щит "&amp;BH70,_xlfn.LET(_xlpm.nm,IFERROR(_xlfn.XLOOKUP(BC70,Коды_код,Коды_имя)&amp;"",""),_xlpm.md,IFERROR(N(_xlfn.XLOOKUP(BC70,Коды_код,Коды_режим)),1),_xlpm.ex,IF(Имя_режим="по экспликации",IFERROR(_xlfn.XLOOKUP(BE70&amp;"|"&amp;BG70,Экспликация[Этаж]&amp;"|"&amp;Экспликация[Помещение],Экспликация[Название])&amp;"",""),""),_xlpm.rm,IF(BG70="","",IF(_xlpm.ex&lt;&gt;"",". "&amp;_xlpm.ex&amp;IF(Имя_пом="нет"," ("&amp;BG70&amp;")"," (пом. "&amp;BG70&amp;")"),IF(Имя_пом="нет"," ",", пом. ")&amp;BG70)),IF(_xlpm.nm="","",IF(_xlpm.md=2,_xlpm.nm&amp;" шлейф "&amp;BE70,_xlpm.nm&amp;_xlpm.rm)))))</f>
        <v>Внутренний блок кондиционирования</v>
      </c>
      <c r="BJ70" t="str">
        <f t="shared" si="148"/>
        <v>Внешний блок кондиционирования Пом. Венткиосок</v>
      </c>
      <c r="BK70">
        <f>IFERROR(_xlfn.XMATCH(A70,Щиты[Щит]),0)</f>
        <v>4</v>
      </c>
      <c r="BL70">
        <f>_xlfn.LET(_xlpm.k,IFERROR(_xlfn.XLOOKUP(A70,Щиты[Щит],Щиты[Мест под вводной узел]),""),IF(_xlpm.k="",Столбцов_на_лист,N(_xlpm.k)))</f>
        <v>13</v>
      </c>
      <c r="BM70">
        <f t="shared" si="149"/>
        <v>32</v>
      </c>
      <c r="BN70" t="str">
        <f t="shared" si="150"/>
        <v>линии</v>
      </c>
      <c r="BO70" s="6">
        <f>IFERROR(N(_xlfn.XLOOKUP(BC70,Коды_код,Коды_квт)),0)</f>
        <v>0</v>
      </c>
      <c r="BP70">
        <f t="shared" si="151"/>
        <v>0</v>
      </c>
      <c r="BQ70" t="str">
        <f>IF(B70="","",IF(BH70&lt;&gt;"",IFERROR(_xlfn.XLOOKUP(BH70,Щиты[Щит],Щиты[Руст, кВт]),0),IF(BP70=1,IF(OR(N(_xlfn.XLOOKUP(A70,Щиты[Щит],Щиты[Вводов],1))&lt;=1,LOWER(TRIM(_xlfn.XLOOKUP(A70,Щиты[Щит],Щиты[АВР],"")&amp;""))="да"),IFERROR(_xlfn.XLOOKUP(A70,Щиты[Щит],Щиты[Руст, кВт]),0),SUMIFS(Линии[_Р для вводов],Линии[Щит],A70,Линии[Источник для режимов],GF70)),IF(BO70&gt;0,ROUND(BO70*MAX(1,N(D70)),3),""))))</f>
        <v/>
      </c>
      <c r="BR70">
        <f t="shared" si="152"/>
        <v>1.9</v>
      </c>
      <c r="BS70" s="6">
        <f>IF(B70="","",IF(BH70&lt;&gt;"",IFERROR(_xlfn.XLOOKUP(BH70,Щиты[Щит],Щиты[Руст, кВт]),0),N(BR70)))</f>
        <v>1.9</v>
      </c>
      <c r="BT70" t="str">
        <f>IF(B70="","",IFERROR(IF(VLOOKUP(BC70,Потребители_обозначение,8,FALSE)=0,"",VLOOKUP(BC70,Потребители_обозначение,8,FALSE)),""))</f>
        <v/>
      </c>
      <c r="BU70">
        <f t="shared" si="153"/>
        <v>230</v>
      </c>
      <c r="BV70">
        <f t="shared" si="154"/>
        <v>0</v>
      </c>
      <c r="BW70">
        <f>IF(B70="","",IF(BH70&lt;&gt;"",3,IFERROR(IF(N(VLOOKUP(BC70,Потребители_обозначение,9,FALSE))=0,1,VLOOKUP(BC70,Потребители_обозначение,9,FALSE)),1)))</f>
        <v>1</v>
      </c>
      <c r="BX70">
        <f t="shared" si="155"/>
        <v>1</v>
      </c>
      <c r="BY70" t="str">
        <f>IF(B70="","",_xlfn.LET(_xlpm.bc,IFERROR(IF(VLOOKUP(BC70,Потребители_обозначение,6,FALSE)=0,"",VLOOKUP(BC70,Потребители_обозначение,6,FALSE)&amp;""),""),IF(AND(GA70="да",OR(_xlpm.bc="",_xlpm.bc="мс")),Марка_пож,IF(AND(_xlpm.bc="",BH70&lt;&gt;""),"мс",_xlpm.bc))))</f>
        <v/>
      </c>
      <c r="BZ70" t="str">
        <f t="shared" si="156"/>
        <v>мс</v>
      </c>
      <c r="CA70">
        <f>IF(B70="","",_xlfn.LET(_xlpm.cc,IFERROR(N(VLOOKUP(BC70,Потребители_обозначение,7,FALSE)),0),IF(_xlpm.cc&gt;0,_xlpm.cc,IF(BZ70="","",IF(BV70=1,2,IF(N(BX70)=3,5,3))))))</f>
        <v>3</v>
      </c>
      <c r="CB70">
        <f t="shared" si="157"/>
        <v>3</v>
      </c>
      <c r="CC70">
        <f>IFERROR(N(VLOOKUP(BC70,Потребители_обозначение,10,FALSE)),0)</f>
        <v>0</v>
      </c>
      <c r="CD70">
        <f>IFERROR(VLOOKUP(BC70,Потребители_обозначение,5,FALSE),0)</f>
        <v>1</v>
      </c>
      <c r="CE70" s="6" cm="1">
        <f t="array" ref="CE70">IF(B70="","",IF(BH70&lt;&gt;"",IFERROR(_xlfn.XLOOKUP(BH70,Щиты[Щит],Щиты[cos φ]),0.95),IF(BP70=1,IFERROR(_xlfn.XLOOKUP(A70,Щиты[Щит],Щиты[cos φ]),0.95),IF(ISNUMBER(AD70),AD70,IFERROR(IF(CD70=2,_xlfn.IFS(BX70=3,VLOOKUP(BS70,Справочная_двигатели,8,FALSE),BX70=1,VLOOKUP(BS70,Справочная_двигатели,10,TRUE)),IF(AND(Методика="нормы 2026",FG70="Сил"),0.8,0.95)),0.95)))))</f>
        <v>0.8</v>
      </c>
      <c r="CF70">
        <f t="shared" si="158"/>
        <v>0</v>
      </c>
      <c r="CG70">
        <f t="shared" si="159"/>
        <v>1</v>
      </c>
      <c r="CH70">
        <f t="shared" si="160"/>
        <v>0</v>
      </c>
      <c r="CI70">
        <f>IF(B70="","",IF(BV70=1,IFERROR(BS70/((Uн_лин/SQRT(3))*MAX(0.5,N(CE70))),0),N(O70)))</f>
        <v>10.284051669940206</v>
      </c>
      <c r="CJ70">
        <f t="shared" si="161"/>
        <v>0</v>
      </c>
      <c r="CK70">
        <f t="shared" si="162"/>
        <v>0</v>
      </c>
      <c r="CL70">
        <f t="shared" si="163"/>
        <v>0</v>
      </c>
      <c r="CM70">
        <f t="shared" si="164"/>
        <v>0</v>
      </c>
      <c r="CN70">
        <f t="shared" si="165"/>
        <v>0</v>
      </c>
      <c r="CO70">
        <f>IF(BC70="",0,_xlfn.LET(_xlpm.v,IFERROR(_xlfn.XLOOKUP(B70,Коды_код,Коды_мА),IFERROR(_xlfn.XLOOKUP(BC70,Коды_код,Коды_мА),IFERROR(_xlfn.XLOOKUP(LEFT(BC70,2),Коды_код,Коды_мА),""))),IF(_xlpm.v="да",30,IF(ISNUMBER(_xlpm.v),_xlpm.v,0))))</f>
        <v>0</v>
      </c>
      <c r="CP70" t="str">
        <f t="shared" si="166"/>
        <v/>
      </c>
      <c r="CQ70" t="str">
        <f>_xlfn.LET(_xlpm.k,IFERROR(_xlfn.XLOOKUP(BC70,Коды_код,Коды_утечка)&amp;"",""),IF(_xlpm.k="","дифавтомат",_xlpm.k))</f>
        <v>дифавтомат</v>
      </c>
      <c r="CR70" t="str" cm="1">
        <f t="array" ref="CR70">IF(CG70=0,"",_xlfn.LET(_xlpm.sg,TRIM(_xlfn.TEXTSPLIT(DD70&amp;"",";")),_xlpm.f_,_xlfn._xlws.FILTER(_xlpm.sg,LEFT(_xlpm.sg,3)="УЗО",""),IFERROR(INDEX(_xlpm.f_,1)&amp;"","")))</f>
        <v/>
      </c>
      <c r="CS70" t="str">
        <f t="shared" si="167"/>
        <v/>
      </c>
      <c r="CT70" s="6" t="str" cm="1">
        <f t="array" ref="CT70">IF(CR70="","",_xlfn.LET(_xlpm.tk,_xlfn.TEXTSPLIT(UPPER(CR70)," ",,TRUE),_xlpm.a_,_xlfn._xlws.FILTER(_xlpm.tk,ISNUMBER(--LEFT(_xlpm.tk,1))*((ISNUMBER(SEARCH("А",_xlpm.tk))+ISNUMBER(SEARCH("A",_xlpm.tk)))&gt;0)*NOT(ISNUMBER(SEARCH("МА",_xlpm.tk)))*NOT(ISNUMBER(SEARCH("MA",_xlpm.tk))),""),IFERROR(--SUBSTITUTE(SUBSTITUTE(INDEX(_xlpm.a_,1),"А",""),"A",""),"")))</f>
        <v/>
      </c>
      <c r="CU70" t="str" cm="1">
        <f t="array" ref="CU70">IF(CR70="","",_xlfn.LET(_xlpm.tk,_xlfn.TEXTSPLIT(UPPER(CR70)," ",,TRUE),_xlpm.a_,_xlfn._xlws.FILTER(_xlpm.tk,ISNUMBER(--LEFT(_xlpm.tk,1))*((ISNUMBER(SEARCH("МА",_xlpm.tk))+ISNUMBER(SEARCH("MA",_xlpm.tk)))&gt;0),""),IFERROR(--SUBSTITUTE(SUBSTITUTE(INDEX(_xlpm.a_,1),"МА",""),"MA",""),30)))</f>
        <v/>
      </c>
      <c r="CV70" t="str">
        <f>IF(CS70="","",IFERROR(_xlfn.XLOOKUP(CS70,Линии[_n],Линии[_УЗО, мА]),30))</f>
        <v/>
      </c>
      <c r="CW70">
        <f>IF(CS70="",0,IF(ISNUMBER(SEARCH("4P",IFERROR(_xlfn.XLOOKUP(CS70,Линии[_n],Линии[_УЗО строки])&amp;"",""))),0,1))</f>
        <v>0</v>
      </c>
      <c r="CX70" t="str">
        <f>IF(AND(CS70&lt;&gt;"",CS70=BA70),SUMIFS(Линии[_ток на 230 В],Линии[_блок УЗО],BA70,Линии[Щит],A70),"")</f>
        <v/>
      </c>
      <c r="CY70" t="str">
        <f>IF(AND(CS70&lt;&gt;"",CS70=BA70),SUMIFS(Линии[_ток утечки линии, мА],Линии[_блок УЗО],BA70,Линии[Щит],A70),"")</f>
        <v/>
      </c>
      <c r="CZ70">
        <f t="shared" si="168"/>
        <v>0</v>
      </c>
      <c r="DA70">
        <f t="shared" si="169"/>
        <v>0</v>
      </c>
      <c r="DB70">
        <f>IF(B70="",0,IFERROR(--_xlfn.XLOOKUP(B70,Коды_код,Коды_минавт),IFERROR(--_xlfn.XLOOKUP(BC70,Коды_код,Коды_минавт),IFERROR(--_xlfn.XLOOKUP(LEFT(BC70,2),Коды_код,Коды_минавт),0))))</f>
        <v>0</v>
      </c>
      <c r="DC70" t="str">
        <f>IF(B70="","",IFERROR(_xlfn.XLOOKUP(BC70,Коды_код,Коды_апп)&amp;"",""))</f>
        <v/>
      </c>
      <c r="DD70" t="str">
        <f t="shared" si="170"/>
        <v/>
      </c>
      <c r="DE70" t="str" cm="1">
        <f t="array" ref="DE70">IF(TRIM(DD70&amp;"")="","",IFERROR(TRIM(INDEX(_xlfn.TEXTSPLIT(DD70&amp;";;;",";"),1)),""))</f>
        <v/>
      </c>
      <c r="DF70" t="str" cm="1">
        <f t="array" ref="DF70">IF(TRIM(DD70&amp;"")="","",IFERROR(TRIM(INDEX(_xlfn.TEXTSPLIT(DD70&amp;";;;",";"),2)),""))</f>
        <v/>
      </c>
      <c r="DG70" t="str" cm="1">
        <f t="array" ref="DG70">IF(TRIM(DD70&amp;"")="","",IFERROR(TRIM(INDEX(_xlfn.TEXTSPLIT(DD70&amp;";;;",";"),3)),""))</f>
        <v/>
      </c>
      <c r="DH70">
        <f t="shared" si="171"/>
        <v>0</v>
      </c>
      <c r="DI70" t="str">
        <f>IF(B70="","",_xlfn.LET(_xlpm.t,LOWER(AZ70&amp;""),IF(ISNUMBER(SEARCH("dim",_xlpm.t)),"DIM",IF(ISNUMBER(SEARCH("dali",_xlpm.t)),"DALI",IF(OR(ISNUMBER(SEARCH("relay",_xlpm.t)),ISNUMBER(SEARCH("реле",_xlpm.t))),"Relay",IF(ISNUMBER(SEARCH("кнопк",_xlpm.t)),"",IFERROR(_xlfn.XLOOKUP(BC70,Коды_код,Коды_упр)&amp;"","")))))))</f>
        <v/>
      </c>
      <c r="DJ70" t="str">
        <f t="shared" si="172"/>
        <v/>
      </c>
      <c r="DK70">
        <f>IF(B70="","",_xlfn.LET(_xlpm.ig,IF(N(CX70)&gt;0,N(CX70),N(CI70)+IF(AJ70="вручную",0,N(CJ70))),_xlpm.n0,IFERROR(VLOOKUP(_xlpm.ig,Автомат_номиналы,2,TRUE),0),_xlpm.mn,MAX(DB70,IF(AJ70="вручную",0,N(CM70))),MAX(_xlpm.n0,_xlpm.mn,IF(DH70=1,Мин_автомат_БП,0))))</f>
        <v>16</v>
      </c>
      <c r="DL70">
        <f t="shared" si="173"/>
        <v>1</v>
      </c>
      <c r="DM70" t="str">
        <f t="shared" si="174"/>
        <v>1P</v>
      </c>
      <c r="DN70" t="str">
        <f>_xlfn.LET(_xlpm.cc,UPPER(TRIM(IFERROR(_xlfn.XLOOKUP(BC70,Коды_код,Коды_хар)&amp;"",""))),IF(OR(_xlpm.cc="B",_xlpm.cc="В"),"B",IF(_xlpm.cc="D","D","С")))</f>
        <v>С</v>
      </c>
      <c r="DO70" t="str">
        <f t="shared" si="175"/>
        <v>1P С16А</v>
      </c>
      <c r="DP70">
        <f t="shared" si="176"/>
        <v>16</v>
      </c>
      <c r="DQ70" t="str">
        <f t="shared" si="177"/>
        <v>1P С16А</v>
      </c>
      <c r="DR70" cm="1">
        <f t="array" ref="DR70">IF(DQ70="","",_xlfn.LET(_xlpm.t,SUBSTITUTE(SUBSTITUTE(SUBSTITUTE(UPPER(DQ70),"С","C"),"А","A"),"В","B"),_xlpm.tk,_xlfn.TEXTSPLIT(_xlpm.t," "),_xlpm.f,_xlfn._xlws.FILTER(_xlpm.tk,ISNUMBER(--MID(_xlpm.tk,2,1))*ISNUMBER(SEARCH(LEFT(_xlpm.tk,1)&amp;"#","B#C#D#"))*(LEN(_xlpm.tk)&gt;1),""),_xlpm.x,INDEX(_xlpm.f,1),IFERROR(--SUBSTITUTE(MID(_xlpm.x,2,9),"A",""),IFERROR(--SUBSTITUTE(INDEX(_xlfn._xlws.FILTER(_xlpm.tk,ISNUMBER(--SUBSTITUTE(_xlpm.tk,"A","")),""),1),"A",""),""))))</f>
        <v>16</v>
      </c>
      <c r="DS70" t="str">
        <f t="shared" si="178"/>
        <v>ok</v>
      </c>
      <c r="DT70">
        <f t="shared" si="179"/>
        <v>16</v>
      </c>
      <c r="DU70" t="str">
        <f t="shared" si="180"/>
        <v>1P С16А</v>
      </c>
      <c r="DV70">
        <f t="shared" si="181"/>
        <v>0</v>
      </c>
      <c r="DW70">
        <f t="shared" si="182"/>
        <v>0</v>
      </c>
      <c r="DX70">
        <f t="shared" si="183"/>
        <v>0</v>
      </c>
      <c r="DY70">
        <f t="shared" si="184"/>
        <v>10.284051669940206</v>
      </c>
      <c r="DZ70">
        <f t="shared" si="185"/>
        <v>1</v>
      </c>
      <c r="EA70">
        <f>IF(ISNUMBER(AP70),AP70,К_прокл)</f>
        <v>1</v>
      </c>
      <c r="EB70">
        <f t="shared" si="186"/>
        <v>2</v>
      </c>
      <c r="EC70">
        <f>IFERROR(N(VLOOKUP(BZ70,Кабель_обозначение,3,FALSE)),1)</f>
        <v>1</v>
      </c>
      <c r="ED70">
        <f>IFERROR(N(_xlfn.XLOOKUP(A70,Щиты[Щит],Щиты[ΔU до шин, %])),0)</f>
        <v>0.64</v>
      </c>
      <c r="EE70" t="str">
        <f>IFERROR(_xlfn.XLOOKUP(A70,Щиты[Щит],Щиты[Zпетли на шинах, Ом]),"")</f>
        <v/>
      </c>
      <c r="EF70">
        <f>IFERROR(N(_xlfn.XLOOKUP(A70,Щиты[Щит],Щиты[ΔU до шин (подбор), %])),0)</f>
        <v>0.75</v>
      </c>
      <c r="EG70" t="str">
        <f>IFERROR(_xlfn.XLOOKUP(A70,Щиты[Щит],Щиты[Zпетли на шинах (подбор), Ом]),"")</f>
        <v/>
      </c>
      <c r="EH70" t="str">
        <f t="shared" si="187"/>
        <v/>
      </c>
      <c r="EI70">
        <f t="shared" si="188"/>
        <v>36</v>
      </c>
      <c r="EJ70">
        <f t="shared" si="189"/>
        <v>2</v>
      </c>
      <c r="EK70">
        <f t="shared" si="190"/>
        <v>0.6</v>
      </c>
      <c r="EL70" s="6">
        <f>IF(B70="","",IF(BV70=1,dU_LED,IF(IFERROR(_xlfn.XLOOKUP(BC70,Коды_код,Коды_уго),"")="Светильник",3,4)+IF(Методика="нормы 2026",MIN(0.5,MAX(0,N(P70)-100)*0.005),0)))</f>
        <v>4</v>
      </c>
      <c r="EM70" cm="1">
        <f t="array" ref="EM70">IF(OR(B70="",BZ70="",EC70&lt;&gt;1),"",_xlfn.LET(_xlpm.sz,Iдоп_S,_xlpm.t_,CHOOSE(EB70,Iдоп_1ж,Iдоп_2ж,Iдоп_3ж)*DZ70*EA70,_xlpm.dcx,BV70=1,_xlpm.inn,IF(_xlpm.dcx,N(O70),N(DT70)),_xlpm.smin,MAX(1.5,CC70),_xlpm.L_,N(P70)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70)/N(BU70)*100,999),IFERROR(N(EJ70)*(_xlpm.rho*_xlpm.L_/_xlpm.sz*N(CE70)+_xlpm.xx*_xlpm.L_*N(EK70)/1000)*N(O70)/((Uн_лин/SQRT(3))*1000)*100,999)),_xlpm.kz,IF(OR(_xlpm.dcx,DW70=1,NOT(ISNUMBER(EG70)),_xlpm.L_=0,_xlpm.inn=0),1,IFERROR(--(c_min*(Uн_лин*1000/SQRT(3))/(EG70+2*ρкз_Cu*_xlpm.L_/_xlpm.sz)&gt;=HT70*_xlpm.inn),0)),_xlpm.ok,IFERROR((_xlpm.sz&gt;=_xlpm.smin)*(_xlpm.t_&gt;=_xlpm.inn)*IF(_xlpm.L_&gt;0,(_xlpm.du_+IF(_xlpm.dcx,0,EF70)&lt;=EL70+0.00001),1)*_xlpm.kz,0),_xlpm.r_,_xlfn._xlws.FILTER(_xlpm.sz,_xlpm.ok,"не подобрано"),INDEX(_xlpm.r_,1)))</f>
        <v>2.5</v>
      </c>
      <c r="EN70">
        <f t="shared" si="191"/>
        <v>2.5</v>
      </c>
      <c r="EO70" cm="1">
        <f t="array" ref="EO70">IF(OR(B70="",BZ70="",EC70&lt;&gt;1),"",_xlfn.LET(_xlpm.sz,Iдоп_S,_xlpm.t_,CHOOSE(EB70,Iдоп_1ж,Iдоп_2ж,Iдоп_3ж)*DZ70*EA70,_xlpm.ok,IFERROR((_xlpm.sz&gt;=MAX(1.5,CC70))*(_xlpm.t_&gt;=N(DT70)),0),_xlpm.r_,_xlfn._xlws.FILTER(_xlpm.sz,_xlpm.ok,""),INDEX(_xlpm.r_,1)))</f>
        <v>1.5</v>
      </c>
      <c r="EP70" s="6" cm="1">
        <f t="array" ref="EP70">IFERROR(ROUNDUP(N(EJ70)*(_xlfn.XLOOKUP(EO70,INDEX(Кабель_сопротивление,0,1),INDEX(Кабель_сопротивление,0,3))*N(P70)/EO70*N(CE70)+_xlfn.XLOOKUP(EO70,INDEX(Кабель_сопротивление,0,1),INDEX(Кабель_сопротивление,0,2))*N(P70)*N(EK70)/1000)*N(O70)/((Uн_лин/SQRT(3))*1000)*100,2),"")</f>
        <v>4.09</v>
      </c>
      <c r="EQ70">
        <f>IFERROR(2*ρкз_Cu*N(P70)/EO70,"")</f>
        <v>1.3325333333333333</v>
      </c>
      <c r="ER70">
        <f>IFERROR(VLOOKUP(EN70,Кабель_сопротивление,3,FALSE),"")</f>
        <v>2.2499999999999999E-2</v>
      </c>
      <c r="ES70">
        <f>IFERROR(VLOOKUP(EN70,Кабель_сопротивление,2,FALSE),"")</f>
        <v>0.1</v>
      </c>
      <c r="ET70">
        <f t="shared" si="192"/>
        <v>35</v>
      </c>
      <c r="EU70">
        <f t="shared" si="193"/>
        <v>0</v>
      </c>
      <c r="EV70">
        <f t="shared" si="194"/>
        <v>5.6743283494062089</v>
      </c>
      <c r="EW70" s="6">
        <f>IFERROR(ROUNDUP(EV70/IF(BV70=1,BU70,(Uн_лин/SQRT(3))*1000)*100,2),"")</f>
        <v>2.46</v>
      </c>
      <c r="EX70" t="str">
        <f>IFERROR(VLOOKUP(BZ70,Кабель_обозначение,2,FALSE),"")</f>
        <v>ВВГнг(А)-LS</v>
      </c>
      <c r="EY70" t="str">
        <f t="shared" si="195"/>
        <v>ВВГнг(А)-LS (3х2,5)</v>
      </c>
      <c r="EZ70" t="str">
        <f t="shared" si="196"/>
        <v>ВВГнг(А)-LS (3х2,5)
L=38-2,46%</v>
      </c>
      <c r="FA70">
        <f>IFERROR(2*ρкз_Cu*P70/EN70,"")</f>
        <v>0.79952000000000001</v>
      </c>
      <c r="FB70">
        <f t="shared" si="197"/>
        <v>0.26600000000000001</v>
      </c>
      <c r="FC70" s="6" t="str">
        <f>IFERROR(IF(OR(B70="",BV70=1,NOT(ISNUMBER(EN70)),N(P70)=0),"",_xlfn.XLOOKUP(A70,Щиты[Щит],Щиты[Zпетли на шинах, Ом])+FA70),"")</f>
        <v/>
      </c>
      <c r="FD70" s="6" t="str">
        <f>IF(ISNUMBER(FC70),c_min*(Uн_лин*1000/SQRT(3))/FC70,"")</f>
        <v/>
      </c>
      <c r="FE70" s="6" t="str">
        <f>IFERROR(IF(OR(B70="",NOT(ISNUMBER(EN70))),"",1.05*(Uн_лин*1000/SQRT(3))/(_xlfn.XLOOKUP(A70,Щиты[Щит],Щиты[Zmax на шинах, Ом])+FB70)/1000),"")</f>
        <v/>
      </c>
      <c r="FF70" s="6" t="str">
        <f>IF(B70="","",IF(ISNUMBER(AC70),"Сил",IF(IFERROR(_xlfn.XLOOKUP(BC70,Коды_код,Коды_группа)&amp;"","")="","Быт",_xlfn.XLOOKUP(BC70,Коды_код,Коды_группа)&amp;"")))</f>
        <v>Сил</v>
      </c>
      <c r="FG70" s="6" t="str">
        <f t="shared" si="198"/>
        <v>Сил</v>
      </c>
      <c r="FH70" s="6">
        <f>IF(FG70="Щит","щит",IF(FG70="","",IF(FG70="Быт",IFERROR(_xlfn.XLOOKUP(A70,Щиты[Щит],Щиты[Кс быт]),1),IF(FG70="Сил",IF(ISNUMBER(AC70),AC70,IF(Методика="нормы 2026",IFERROR(_xlfn.XLOOKUP(A70,Щиты[Щит],Щиты[Кс силовых (табл. 7.5)]),1),1)),IF(OR(FG70="Пост",FG70="Отоп"),1,IF(FG70="ВНГ",0.7,0))))))</f>
        <v>0.5</v>
      </c>
      <c r="FI70">
        <f>IF(FG70="","",IF(AND(BP70=1,TRIM(AE70&amp;"")=""),IF(COUNTIFS(Линии[Щит],A70,Линии[Секция (1/2/3)],"&gt;=2")&gt;0,MIN(3,MAX(1,IFERROR(--BD70,1))),1),IFERROR(MIN(3,MAX(1,INT(--AE70))),1)))</f>
        <v>1</v>
      </c>
      <c r="FJ70">
        <f t="shared" si="199"/>
        <v>1.9</v>
      </c>
      <c r="FK70">
        <f t="shared" si="200"/>
        <v>0</v>
      </c>
      <c r="FL70">
        <f t="shared" si="201"/>
        <v>0.95</v>
      </c>
      <c r="FM70">
        <f t="shared" si="202"/>
        <v>0</v>
      </c>
      <c r="FN70">
        <f t="shared" si="203"/>
        <v>0</v>
      </c>
      <c r="FO70">
        <f t="shared" si="204"/>
        <v>0</v>
      </c>
      <c r="FP70">
        <f t="shared" si="205"/>
        <v>1.9</v>
      </c>
      <c r="FQ70">
        <f t="shared" si="206"/>
        <v>1.9</v>
      </c>
      <c r="FR70">
        <f t="shared" si="207"/>
        <v>1.52</v>
      </c>
      <c r="FS70">
        <f>IF(CG70=1,IF(AND(CH70=1,CW70=1),0,IF(AND(CS70&lt;&gt;"",CS70=BA70,CW70=1),SUMIFS(Линии[_Р линии, кВт],Линии[_блок УЗО],BA70,Линии[Щит],A70),N(BS70)+IF(AJ70="вручную",0,N(CK70)))),0)</f>
        <v>1.9</v>
      </c>
      <c r="FT70" t="str">
        <f t="shared" si="208"/>
        <v/>
      </c>
      <c r="FU70" t="str">
        <f>IF(B70="","",IF(CG70=0,IF(BA70=1,"",FW69),IF(AND(CH70=1,CW70=1,CS70&lt;&gt;""),IFERROR(_xlfn.XLOOKUP(CS70,Линии[_n],Линии[_фаза итог]),"L1"),IF(OR(N(DL70)&gt;=3,N(BX70)&gt;=3),"L1,L2,L3",IFERROR(_xlfn.TEXTBEFORE(_xlfn.TEXTAFTER(_xlfn.XLOOKUP(A70,Щиты[Щит],Щиты[_фазы авто]),";"&amp;BA70&amp;":"),";"),"L1")))))</f>
        <v>L3</v>
      </c>
      <c r="FV70" t="str">
        <f t="shared" si="209"/>
        <v>L3</v>
      </c>
      <c r="FW70" t="str">
        <f t="shared" si="210"/>
        <v>L3</v>
      </c>
      <c r="FX70" cm="1">
        <f t="array" ref="FX70">IFERROR(IF(CD70=2,_xlfn.IFS(BX70=3,VLOOKUP(BS70,Справочная_двигатели,3,FALSE),BX70=1,VLOOKUP(BS70,Справочная_двигатели,5,TRUE)),0),0)</f>
        <v>0</v>
      </c>
      <c r="FY70">
        <f>IFERROR(IF(CD70=3,VLOOKUP(BS70,Справочная_ЛЭД,2,TRUE),0),0)</f>
        <v>0</v>
      </c>
      <c r="FZ70" s="6">
        <f t="shared" si="211"/>
        <v>0</v>
      </c>
      <c r="GA70" t="str">
        <f>IF(B70="","",IF(TRIM(AH70&amp;"")&lt;&gt;"",IF(LOWER(TRIM(AH70&amp;""))="да","да","нет"),IF(IFERROR(_xlfn.XLOOKUP(BC70,Коды_код,Коды_пожарная),"")="да","да","нет")))</f>
        <v>нет</v>
      </c>
      <c r="GB70" t="str">
        <f t="shared" si="212"/>
        <v/>
      </c>
      <c r="GC70" t="str">
        <f t="shared" si="213"/>
        <v>основная</v>
      </c>
      <c r="GD70">
        <f>IF(AND(BP70=1,TRIM(AE70&amp;"")=""),IF(COUNTIFS(Линии[Щит],A70,Линии[Секция (1/2/3)],"&gt;=2")&gt;0,MIN(3,MAX(1,IFERROR(--BD70,1))),1),IFERROR(MIN(3,MAX(1,INT(--AE70))),1))</f>
        <v>1</v>
      </c>
      <c r="GE70" t="str" cm="1">
        <f t="array" ref="GE70">IF(B70="","",_xlfn.LET(_xlpm.t,IFERROR(_xlfn.XLOOKUP(1,(Шины[Шина]=GC70)*(((Шины[Щит]=A70)+(Шины[Щит]=""))&gt;0),Шины[Тип]),"")&amp;"",IF(_xlpm.t&lt;&gt;"",_xlpm.t,IF(ISNUMBER(SEARCH("ИБП",GC70)),"ИБП",IF(ISNUMBER(SEARCH("ДГУ",GC70)),"ДГУ","Ввод "&amp;GD70)))))</f>
        <v>Ввод 1</v>
      </c>
      <c r="GF70" t="str">
        <f t="shared" si="214"/>
        <v>Ввод 1</v>
      </c>
      <c r="GG70" t="str">
        <f>IF(BP70=0,"",IF(TRIM(AG70&amp;"")&lt;&gt;"",TRIM(AG70&amp;""),IF(OR(GE70="ИБП",GE70="ДГУ"),"I особая",_xlfn.XLOOKUP(A70,Щиты[Щит],Щиты[Категория шины «Ввод»],"III"))))</f>
        <v/>
      </c>
      <c r="GH70" t="str">
        <f>IF(A70="","",_xlfn.XLOOKUP(A70,Щиты[Щит],Щиты[Путь],""))</f>
        <v>|ГРЩ-ЖД|ЩОВ-001|</v>
      </c>
      <c r="GI70" t="str">
        <f>IF(B70="","",IF(AI70&lt;&gt;"",AI70,IF(IFERROR(_xlfn.XLOOKUP(BC70,Коды_код,Коды_вид)&amp;"","")="","Прочее",_xlfn.XLOOKUP(BC70,Коды_код,Коды_вид)&amp;"")))</f>
        <v>Кондиционирование и увлажнение</v>
      </c>
      <c r="GJ70">
        <f>IF(BM70="","",INT((BM70-1)/Столбцов_на_лист)+1)</f>
        <v>2</v>
      </c>
      <c r="GK70" t="str">
        <f t="shared" si="215"/>
        <v>ВВГнг(А)-LS (3х2,5) L=38-2,46%</v>
      </c>
      <c r="GL70">
        <f t="shared" si="216"/>
        <v>1.9</v>
      </c>
      <c r="GM70">
        <f t="shared" si="217"/>
        <v>10.29</v>
      </c>
      <c r="GN70">
        <f t="shared" si="218"/>
        <v>1</v>
      </c>
      <c r="GO70">
        <f t="shared" si="219"/>
        <v>0</v>
      </c>
      <c r="GP70">
        <f t="shared" si="220"/>
        <v>1</v>
      </c>
      <c r="GQ70">
        <f>IF(BM70="","",IF(AND(CG70=1,GP70=1),COUNTIFS(A$3:A70,A70,CG$3:CG70,1,GP$3:GP70,1),IF(OR(OR(BA70=1,A70&lt;&gt;A69),AJ70="вручную",GP70=0),"",IF(BA70=1,"",GR69))))</f>
        <v>17</v>
      </c>
      <c r="GR70">
        <f t="shared" si="221"/>
        <v>17</v>
      </c>
      <c r="GS70">
        <f>IF(B70="","",IFERROR(LOOKUP(INDEX(CHOOSE(EB70,Iдоп_1ж,Iдоп_2ж,Iдоп_3ж),MATCH(EN70,Iдоп_S,0))*DZ70*EA70,{6,10,16,20,25,32,40,50,63,80,100,125,160,200,250,315,400,500,630}),""))</f>
        <v>25</v>
      </c>
      <c r="GT70" t="str">
        <f t="shared" si="222"/>
        <v>QF17</v>
      </c>
      <c r="GU70" t="str">
        <f t="shared" si="223"/>
        <v>QF17</v>
      </c>
      <c r="GV70" t="str">
        <f t="shared" si="224"/>
        <v/>
      </c>
      <c r="GW70">
        <f t="shared" si="225"/>
        <v>0</v>
      </c>
      <c r="GX70" t="str">
        <f>IF(OR(B70="",DJ70=""),"",IFERROR(_xlfn.XLOOKUP(DJ70,Модули_умолч[Управление],Модули_умолч[Модель])&amp;"",""))</f>
        <v/>
      </c>
      <c r="GY70">
        <f>IF(DJ70="",1,IFERROR(MAX(0,N(_xlfn.XLOOKUP(DJ70,Модули_умолч[Управление],Модули_умолч[Каналов на линию]))),1))</f>
        <v>1</v>
      </c>
      <c r="GZ70" t="str">
        <f t="shared" si="226"/>
        <v/>
      </c>
      <c r="HA70" t="str">
        <f t="shared" si="227"/>
        <v/>
      </c>
      <c r="HB70" t="str">
        <f t="shared" si="228"/>
        <v/>
      </c>
      <c r="HC70">
        <f>IF(HB70="",0,IFERROR(N(VLOOKUP(HB70,Модули_спр,3,FALSE)),0))</f>
        <v>0</v>
      </c>
      <c r="HD70" t="str">
        <f t="shared" si="229"/>
        <v/>
      </c>
      <c r="HE70" t="str">
        <f t="shared" si="230"/>
        <v/>
      </c>
      <c r="HF70" t="str">
        <f>IF(OR(HE70="",HE70="-"),"",IFERROR(VLOOKUP(HE70,Модули_спр,2,FALSE),"R"))</f>
        <v/>
      </c>
      <c r="HG70" t="str">
        <f>IF(HF70="","",HF70&amp;"."&amp;COUNTIFS(A$3:A70,A70,HF$3:HF70,HF70))</f>
        <v/>
      </c>
      <c r="HH70" t="str">
        <f t="shared" si="231"/>
        <v/>
      </c>
      <c r="HI70" t="str">
        <f t="shared" si="232"/>
        <v/>
      </c>
      <c r="HJ70" t="str">
        <f t="shared" si="233"/>
        <v/>
      </c>
      <c r="HK70" t="str">
        <f t="shared" si="234"/>
        <v/>
      </c>
      <c r="HL70">
        <f t="shared" si="235"/>
        <v>1</v>
      </c>
      <c r="HM70" t="str">
        <f>IF(HL70=1,"XT"&amp;COUNTIFS(A$3:A70,A70,HL$3:HL70,1),"")</f>
        <v>XT17</v>
      </c>
      <c r="HN70" t="str">
        <f t="shared" si="236"/>
        <v/>
      </c>
      <c r="HO70" t="str">
        <f t="shared" si="237"/>
        <v>QF17</v>
      </c>
      <c r="HP70" t="str">
        <f t="shared" si="238"/>
        <v/>
      </c>
      <c r="HQ70" t="str">
        <f t="shared" si="239"/>
        <v>ok</v>
      </c>
      <c r="HR70" t="str">
        <f>IF(OR(HJ70="",HH70=""),"",IF(HJ70+MAX(0,GY70-1)&gt;IFERROR(VLOOKUP(HI70,Модули_спр,3,FALSE),99),"ЛИШНИЙ КАНАЛ",IF(AND(AL70&lt;&gt;"=",GY70&gt;0,COUNTIFS(Линии[_модуль гр.],HH70,Линии[Канал (итог)],HJ70,Линии[Канал],"&lt;&gt;=",Линии[Щит],A70)&gt;1),"ДУБЛЬ КАНАЛА","")))</f>
        <v/>
      </c>
      <c r="HS70" s="6" t="str">
        <f t="shared" si="240"/>
        <v/>
      </c>
      <c r="HT70">
        <f t="shared" si="241"/>
        <v>10</v>
      </c>
      <c r="HU70" t="str">
        <f t="shared" si="242"/>
        <v/>
      </c>
      <c r="HV70">
        <f t="shared" si="243"/>
        <v>4.4936206679760824</v>
      </c>
      <c r="HW70">
        <f t="shared" si="244"/>
        <v>0</v>
      </c>
      <c r="HX70">
        <f t="shared" si="245"/>
        <v>0</v>
      </c>
      <c r="HY70">
        <f t="shared" si="246"/>
        <v>0</v>
      </c>
      <c r="HZ70">
        <f t="shared" si="247"/>
        <v>0</v>
      </c>
      <c r="IA70">
        <f t="shared" si="248"/>
        <v>0</v>
      </c>
      <c r="IB70">
        <f t="shared" si="249"/>
        <v>0</v>
      </c>
      <c r="IC70" t="str">
        <f t="shared" si="250"/>
        <v/>
      </c>
      <c r="ID70" t="str" cm="1">
        <f t="array" ref="ID70">IF(IC70="","",_xlfn.LET(_xlpm.tk,_xlfn.TEXTSPLIT(SUBSTITUTE(SUBSTITUTE(IC70,";"," "),"→"," ")," ",,TRUE),_xlpm.w_,_xlfn._xlws.FILTER(_xlpm.tk,ISNUMBER(--LEFT(_xlpm.tk,1))*((ISNUMBER(SEARCH("W",_xlpm.tk))+ISNUMBER(SEARCH("Вт",_xlpm.tk)))&gt;0),""),IFERROR(--SUBSTITUTE(SUBSTITUTE(UPPER(INDEX(_xlpm.w_,1)),"W",""),"ВТ",""),"")))</f>
        <v/>
      </c>
      <c r="IE70" t="str" cm="1">
        <f t="array" ref="IE70">IF(IC70="","",_xlfn.LET(_xlpm.tk,_xlfn.TEXTSPLIT(SUBSTITUTE(SUBSTITUTE(IC70,";"," "),"→"," ")," ",,TRUE),_xlpm.v_,_xlfn._xlws.FILTER(_xlpm.tk,ISNUMBER(--LEFT(_xlpm.tk,1))*((ISNUMBER(SEARCH("V",_xlpm.tk))+(RIGHT(UPPER(_xlpm.tk))="В"))&gt;0),""),IFERROR(--SUBSTITUTE(SUBSTITUTE(UPPER(INDEX(_xlpm.v_,1)),"V",""),"В",""),"")))</f>
        <v/>
      </c>
      <c r="IF70" s="6" t="str">
        <f>IF(OR(BV70=0,HI70="",HJ70=""),"",IFERROR(N(_xlfn.XLOOKUP(HI70,Каталог!$C$4:$C$500,Каталог!$Q$4:$Q$500)),""))</f>
        <v/>
      </c>
      <c r="IG70" s="6" t="str">
        <f>IF(N(IF70)=0,"",SUMIFS(Линии[Iр, А],Линии[Щит],A70,Линии[_модуль гр.],HH70,Линии[Канал (итог)],HJ70))</f>
        <v/>
      </c>
      <c r="IH70" t="str">
        <f>IF(AND(B70="",HO70=""),"",_xlfn.TEXTJOIN("; ",TRUE,IF(AND(B70&lt;&gt;"",FV70=""),"нет фазы",""),IF(AND(B70&lt;&gt;"",N(GL70)=0,FG70&lt;&gt;"Нет"),"нет мощности",""),IF(AND(HN70&lt;&gt;"",COUNTIFS(Линии[Щит],A70,Линии[Клемма (итог)],HN70)&gt;1),"дубль клеммы "&amp;HN70,""),IF(AND(HQ70&lt;&gt;"",HQ70&lt;&gt;"ok"),HQ70,""),IF(HR70&lt;&gt;"",HR70,""),IF(AND(N(CB70)&gt;=4,N(BX70)=1),CB70&amp;" жил на 1 фазе",""),IF(AND(BC70="R",CG70=1,IF(CS70&lt;&gt;"",N(CV70)&gt;30,OR(N(DA70)=0,N(DA70)&gt;30))),"розетка без дифзащиты до 30 мА",""),IF(AND(CG70=1,N(DA70)&gt;0,ISNUMBER(T70)),IF(T70&gt;N(DA70)/3,"ток утечки "&amp;FIXED(T70,1)&amp;" мА &gt; 1/3 уставки ("&amp;DA70&amp;" мА)",""),""),IF(AND(CH70=1,CS70=""),"«узо»: нет строки с УЗО выше (УЗО 2P 40А 30мА в «Аппаратах»)",""),IF(AND(CS70&lt;&gt;"",CS70=BA70),IF(CT70="","впишите номинал УЗО (УЗО 2P 40А 30мА)",IF(N(CT70)&lt;N(DT70),"УЗО "&amp;CT70&amp;" А &lt; автомата "&amp;DT70&amp;" А перед ним",IF(N(CT70)&lt;N(CX70),"УЗО "&amp;CT70&amp;" А &lt; тока блока "&amp;FIXED(CX70,1)&amp;" А",""))),""),IF(AND(CS70&lt;&gt;"",CS70=BA70,ISNUMBER(CY70)),IF(CY70&gt;N(CV70)/3,"ток утечки блока УЗО "&amp;FIXED(CY70,1)&amp;" мА &gt; 1/3 уставки ("&amp;CV70&amp;" мА)",""),""),IF(AND(CG70=1,N(BV70)+N(IB70)&gt;0,IC70=""),"линии до 50 В без БП: впишите в «Аппараты» (БП 24V 480W)",""),IF(AND(CG70=1,ISNUMBER(ID70),ISNUMBER(U70)),IF(U70&gt;ID70,"БП "&amp;ID70&amp;" Вт &lt; нужно "&amp;U70&amp;" Вт (×"&amp;Запас_БП&amp;")",""),""),IF(AND(CG70=1,ISNUMBER(IE70),N(BV70)=1),IF(IE70&lt;&gt;N(BU70),"БП на "&amp;IE70&amp;" В, линия "&amp;BU70&amp;" В",""),""),IF(AND(N(IF70)&gt;0,N(IG70)&gt;N(IF70)),HH70&amp;" канал "&amp;HJ70&amp;": "&amp;FIXED(IG70,1)&amp;" А &gt; "&amp;IF70&amp;" А",""),IFERROR(IF(AND(ISNUMBER(Q70),Q70&gt;EL70),"потери "&amp;FIXED(Q70,1)&amp;" % &gt; "&amp;EL70&amp;" %",""),""),IFERROR(IF(LEFT(HU70,4)="мало","Iкз мало — отключение &gt; 0,4 с",""),""),IF(AND(B70&lt;&gt;"",BM70=""),"не на схеме",""),IF(AND(CG70=0,B70&lt;&gt;"",FV70&lt;&gt;"",IF(BA70=1,"",FW69)&lt;&gt;"",FV70&lt;&gt;IF(BA70=1,"",FW69)),"фаза не как у автомата группы ("&amp;IF(BA70=1,"",FW69)&amp;")","")))</f>
        <v/>
      </c>
      <c r="II70" s="6">
        <f>IF(OR(CG70=0,DQ70=""),"",_xlfn.LET(_xlpm.t,IFERROR(_xlfn.XLOOKUP(DQ70,Каталог!$U$4:$U$500,Каталог!$G$4:$G$500),""),_xlpm.k,SEARCH("кА",_xlpm.t),IFERROR(--TRIM(RIGHT(SUBSTITUTE(MID(_xlpm.t,MAX(1,_xlpm.k-4),_xlpm.k-MAX(1,_xlpm.k-4))," ",REPT(" ",9)),5)),"")))</f>
        <v>6</v>
      </c>
      <c r="IJ70" t="str">
        <f>IF(OR(II70="",CG70=0),"",IF(_xlfn.XLOOKUP(A70,Щиты[Щит],Щиты[Iкз max на шинах, кА],"")="","",IF(II70&lt;_xlfn.XLOOKUP(A70,Щиты[Щит],Щиты[Iкз max на шинах, кА]),"Icu "&amp;II70&amp;" кА &lt; Iкз max","ok")))</f>
        <v/>
      </c>
      <c r="IK70" t="str">
        <f t="shared" si="251"/>
        <v/>
      </c>
      <c r="IL70" t="str">
        <f t="shared" si="252"/>
        <v>QF17</v>
      </c>
      <c r="IM70" t="str">
        <f t="shared" si="253"/>
        <v>QF17|кабель ВВГнг(А)-LS (3х2,5) → Внешний блок кондиционирования Пом. Венткиосок</v>
      </c>
      <c r="IN70" t="str" cm="1">
        <f t="array" ref="IN70">IF(IM70="","",_xlfn.LET(_xlpm.nd,_xlfn.TEXTSPLIT(IM70,"|"),IF(COLUMNS(_xlpm.nd)&gt;1,A70&amp;"¦"&amp;INDEX(_xlpm.nd,1)&amp;"¦"&amp;INDEX(_xlpm.nd,2),"")))</f>
        <v>ЩОВ-001¦QF17¦кабель ВВГнг(А)-LS (3х2,5) → Внешний блок кондиционирования Пом. Венткиосок</v>
      </c>
      <c r="IO70" t="str">
        <f t="shared" si="254"/>
        <v>K.2¦Внешний блок кондиционирования Пом. Венткиосок</v>
      </c>
      <c r="IP70" t="str" cm="1">
        <f t="array" ref="IP70">IF(IM70="","",_xlfn.LET(_xlpm.nd,_xlfn.TEXTSPLIT(IM70,"|"),IF(COLUMNS(_xlpm.nd)&gt;2,A70&amp;"¦"&amp;INDEX(_xlpm.nd,2)&amp;"¦"&amp;INDEX(_xlpm.nd,3),"")))</f>
        <v/>
      </c>
      <c r="IQ70" t="str">
        <f t="shared" si="255"/>
        <v/>
      </c>
      <c r="IR70" t="str" cm="1">
        <f t="array" ref="IR70">IF(IM70="","",_xlfn.LET(_xlpm.nd,_xlfn.TEXTSPLIT(IM70,"|"),IF(COLUMNS(_xlpm.nd)&gt;3,A70&amp;"¦"&amp;INDEX(_xlpm.nd,3)&amp;"¦"&amp;INDEX(_xlpm.nd,4),"")))</f>
        <v/>
      </c>
      <c r="IS70" t="str">
        <f t="shared" si="256"/>
        <v/>
      </c>
      <c r="IT70" t="str" cm="1">
        <f t="array" ref="IT70">IF(IM70="","",_xlfn.LET(_xlpm.nd,_xlfn.TEXTSPLIT(IM70,"|"),IF(COLUMNS(_xlpm.nd)&gt;4,A70&amp;"¦"&amp;INDEX(_xlpm.nd,4)&amp;"¦"&amp;INDEX(_xlpm.nd,5),"")))</f>
        <v/>
      </c>
      <c r="IU70" t="str">
        <f t="shared" si="257"/>
        <v/>
      </c>
      <c r="IV70" t="str" cm="1">
        <f t="array" ref="IV70">IF(IM70="","",_xlfn.LET(_xlpm.nd,_xlfn.TEXTSPLIT(IM70,"|"),IF(COLUMNS(_xlpm.nd)&gt;5,A70&amp;"¦"&amp;INDEX(_xlpm.nd,5)&amp;"¦"&amp;INDEX(_xlpm.nd,6),"")))</f>
        <v/>
      </c>
      <c r="IW70" t="str">
        <f t="shared" si="258"/>
        <v/>
      </c>
      <c r="IX70" t="str" cm="1">
        <f t="array" ref="IX70">IF(IM70="","",_xlfn.LET(_xlpm.nd,_xlfn.TEXTSPLIT(IM70,"|"),IF(COLUMNS(_xlpm.nd)&gt;6,A70&amp;"¦"&amp;INDEX(_xlpm.nd,6)&amp;"¦"&amp;INDEX(_xlpm.nd,7),"")))</f>
        <v/>
      </c>
      <c r="IY70" t="str">
        <f t="shared" si="259"/>
        <v/>
      </c>
      <c r="IZ70" t="str">
        <f t="shared" si="260"/>
        <v/>
      </c>
      <c r="JA70" t="str">
        <f t="shared" si="261"/>
        <v>QF17</v>
      </c>
      <c r="JB70">
        <f t="shared" si="262"/>
        <v>0</v>
      </c>
      <c r="JC70">
        <f t="shared" si="263"/>
        <v>0</v>
      </c>
      <c r="JD70" t="str">
        <f t="shared" si="264"/>
        <v/>
      </c>
      <c r="JE70" t="str">
        <f t="shared" si="265"/>
        <v/>
      </c>
      <c r="JF70" t="str">
        <f t="shared" si="266"/>
        <v/>
      </c>
      <c r="JG70" t="str">
        <f t="shared" si="267"/>
        <v/>
      </c>
      <c r="JH70">
        <f>IF(B70="","",IFERROR(_xlfn.XLOOKUP(B70,Коды_код,Коды_уго),IFERROR(_xlfn.XLOOKUP(BC70,Коды_код,Коды_уго),IFERROR(_xlfn.XLOOKUP(LEFT(BC70,2),Коды_код,Коды_уго),""))))</f>
        <v>0</v>
      </c>
      <c r="JI70" t="str">
        <f>IF(B70="","",IF(OR(JH70="",JH70=0),"BOX",IFERROR(IF(VLOOKUP(JH70,УГО_блоки,3,FALSE)&amp;""&lt;&gt;"",VLOOKUP(JH70,УГО_блоки,3,FALSE),VLOOKUP(JH70,УГО_блоки,2,FALSE)),JH70)))</f>
        <v>BOX</v>
      </c>
      <c r="JJ70">
        <f t="shared" si="268"/>
        <v>1</v>
      </c>
      <c r="JK70" t="str">
        <f>IF(DQ70="","",IF(COUNTIF(DQ$3:DQ70,DQ70)=1,MAX(JK$2:JK69)+1,""))</f>
        <v/>
      </c>
      <c r="JL70" t="str">
        <f>IF(DE70="","",IF(COUNTIF(DE$3:DE70,DE70)+COUNTIF(DF$2:DF69,DE70)+COUNTIF(DG$2:DG69,DE70)=1,MAX(JL$2:JN69)+1,""))</f>
        <v/>
      </c>
      <c r="JM70" t="str">
        <f>IF(DF70="","",IF(COUNTIF(DE$3:DE70,DF70)+COUNTIF(DF$3:DF70,DF70)+COUNTIF(DG$2:DG69,DF70)=1,MAX(JL$2:JN69,JL70)+1,""))</f>
        <v/>
      </c>
      <c r="JN70" t="str">
        <f>IF(DG70="","",IF(COUNTIF(DE$3:DE70,DG70)+COUNTIF(DF$3:DF70,DG70)+COUNTIF(DG$3:DG70,DG70)=1,MAX(JL$2:JN69,JL70,JM70)+1,""))</f>
        <v/>
      </c>
      <c r="JO70" t="str">
        <f t="shared" si="269"/>
        <v>3х2,5</v>
      </c>
      <c r="JP70" t="str">
        <f>IF(JO70="","",IF(COUNTIF(JO$3:JO70,JO70)=1,MAX(JP$2:JP69)+1,""))</f>
        <v/>
      </c>
      <c r="JQ70" t="str">
        <f>IF(HG70="","",COUNTIF(HG$3:HG70,"?*"))</f>
        <v/>
      </c>
      <c r="JR70" t="str">
        <f>IF(OR(HG70="",HI70=""),"",IF(COUNTIFS(HG$3:HG70,"?*",HI$3:HI70,HI70)=1,MAX(JR$2:JR69)+1,""))</f>
        <v/>
      </c>
      <c r="JS70">
        <f t="shared" si="270"/>
        <v>0</v>
      </c>
      <c r="JT70">
        <f>IF(B70="","",COUNTIF(B$3:B70,"?*"))</f>
        <v>68</v>
      </c>
      <c r="JU70">
        <f>IF(HL70&lt;&gt;1,0,_xlfn.LET(_xlpm.k,MAX(IFERROR(--_xlfn.XLOOKUP(B70,Коды_код,Коды_3L),0),IFERROR(--_xlfn.XLOOKUP(BC70,Коды_код,Коды_3L),0),IFERROR(--_xlfn.XLOOKUP(LEFT(BC70,2),Коды_код,Коды_3L),0)),IF(_xlpm.k&gt;0,_xlpm.k,IF(IFERROR(--LEFT(SUBSTITUTE(JO70,"x","х"),FIND("х",SUBSTITUTE(JO70,"x","х"))-1),3)&gt;3,Каталог!$S$9,1))))</f>
        <v>1</v>
      </c>
      <c r="JV70">
        <f t="shared" si="271"/>
        <v>0</v>
      </c>
      <c r="JW70" t="str">
        <f t="shared" si="272"/>
        <v>авто</v>
      </c>
      <c r="JX70" t="str">
        <f t="shared" si="273"/>
        <v/>
      </c>
      <c r="JY70">
        <f t="shared" si="274"/>
        <v>0</v>
      </c>
      <c r="JZ70">
        <f t="shared" si="275"/>
        <v>1</v>
      </c>
    </row>
    <row r="71" spans="1:286" x14ac:dyDescent="0.3">
      <c r="A71" t="s">
        <v>747</v>
      </c>
      <c r="B71" t="s">
        <v>1384</v>
      </c>
      <c r="C71" t="s">
        <v>1660</v>
      </c>
      <c r="D71">
        <v>1</v>
      </c>
      <c r="E71">
        <v>1.9</v>
      </c>
      <c r="G71">
        <v>16</v>
      </c>
      <c r="H71" t="str">
        <f>Линии[[#This Row],[_авто управление]]</f>
        <v/>
      </c>
      <c r="I71" t="str">
        <f>Линии[[#This Row],[_авто аппараты]]</f>
        <v/>
      </c>
      <c r="J71">
        <v>2.5</v>
      </c>
      <c r="K71">
        <v>36</v>
      </c>
      <c r="L71" t="str">
        <f>Линии[[#This Row],[_авто фаза]]</f>
        <v>L2</v>
      </c>
      <c r="M71" t="s">
        <v>484</v>
      </c>
      <c r="N71" t="str">
        <f t="shared" si="138"/>
        <v/>
      </c>
      <c r="O71" s="6" cm="1">
        <f t="array" ref="O71">IF(B71="","",IF(BH71&lt;&gt;"",IFERROR(_xlfn.XLOOKUP(BH71,Щиты[Щит],Щиты[Iр, А]),""),IF(BP71=1,IF(OR(N(_xlfn.XLOOKUP(A71,Щиты[Щит],Щиты[Вводов],1))&lt;=1,LOWER(TRIM(_xlfn.XLOOKUP(A71,Щиты[Щит],Щиты[АВР],"")&amp;""))="да"),IFERROR(_xlfn.XLOOKUP(A71,Щиты[Щит],Щиты[Iр, А]),""),IFERROR(N(BS71)*_xlfn.XLOOKUP(A71,Щиты[Щит],Щиты[Кс итог])/(SQRT(3)*Uн_лин*_xlfn.XLOOKUP(A71,Щиты[Щит],Щиты[cos φ])),"")),IF(BV71=1,IFERROR(BS71*1000/BU71,""),IFERROR(_xlfn.IFS(BX71=1,BS71/((Uн_лин/SQRT(3))*CE71),BX71=3,BS71/(SQRT(3)*Uн_лин*CE71)),"")))))</f>
        <v>10.284051669940206</v>
      </c>
      <c r="P71" s="7">
        <f>IF(B71="","",IFERROR(IF(VLOOKUP(BC71,Потребители_обозначение,4,FALSE)=1,VLOOKUP(BC71,Потребители_обозначение,3,FALSE)*(MAX(1,N(D71))*2-1)+EI71+VLOOKUP(BE71,Этаж_обозначение,3,FALSE)+VLOOKUP(BE71,Этаж_обозначение,4,FALSE),VLOOKUP(BC71,Потребители_обозначение,3,FALSE)*(MAX(1,N(D71))*2-1)+EI71),EI71))</f>
        <v>38</v>
      </c>
      <c r="Q71" s="6">
        <f t="shared" si="139"/>
        <v>3.1</v>
      </c>
      <c r="R71" t="str">
        <f t="shared" si="140"/>
        <v>ВВГнг(А)-LS (3х2,5)</v>
      </c>
      <c r="S71" t="str">
        <f>IF(BM71="","",IF(BN71="вводной узел","узел ","")&amp;"л."&amp;(INT((BM71-1)/Столбцов_на_лист)+1)&amp;" / "&amp;(MOD(BM71-1,Столбцов_на_лист)+1))</f>
        <v>л.2 / 16</v>
      </c>
      <c r="T71" s="119">
        <f t="shared" si="141"/>
        <v>4.5</v>
      </c>
      <c r="U71" s="7" t="str">
        <f>IF(OR(CG71=0,N(BV71)+N(IB71)=0),"",ROUNDUP(Запас_БП*(N(HY71)+N(HZ71)),0))</f>
        <v/>
      </c>
      <c r="V71" s="119" t="str">
        <f t="shared" si="142"/>
        <v/>
      </c>
      <c r="W71" s="7" t="str">
        <f>IFERROR(IF(OR(B71="",BP71=1,BV71=1,NOT(ISNUMBER(EN71)),N(DT71)=0),"",MAX(0,ROUNDDOWN((c_min*(Uн_лин*1000/SQRT(3))/(HT71*N(DT71))-_xlfn.XLOOKUP(A71,Щиты[Щит],Щиты[Zпетли на шинах, Ом]))*EN71/(2*ρкз_Cu),0))),"")</f>
        <v/>
      </c>
      <c r="Y71" t="str">
        <f>Линии[[#This Row],[_авто утечка]]</f>
        <v/>
      </c>
      <c r="Z71">
        <v>1</v>
      </c>
      <c r="AA71">
        <v>230</v>
      </c>
      <c r="AB71" t="s">
        <v>598</v>
      </c>
      <c r="AC71">
        <v>0.5</v>
      </c>
      <c r="AG71" t="s">
        <v>810</v>
      </c>
      <c r="AI71" t="s">
        <v>576</v>
      </c>
      <c r="AK71" t="str">
        <f>Линии[[#This Row],[_авто модуль]]</f>
        <v/>
      </c>
      <c r="AM71">
        <v>33</v>
      </c>
      <c r="AN71" t="s">
        <v>11</v>
      </c>
      <c r="AO71">
        <v>3</v>
      </c>
      <c r="AR71">
        <v>35</v>
      </c>
      <c r="AT71">
        <v>1</v>
      </c>
      <c r="BA71" cm="1">
        <f t="array" ref="BA71">ROW()-ROW(Линии[#Headers])</f>
        <v>69</v>
      </c>
      <c r="BC71" s="6" t="str">
        <f t="shared" si="143"/>
        <v>K</v>
      </c>
      <c r="BD71" t="str">
        <f t="shared" si="144"/>
        <v>3</v>
      </c>
      <c r="BE71" t="str">
        <f t="shared" si="145"/>
        <v>3</v>
      </c>
      <c r="BF71" t="str">
        <f t="shared" si="146"/>
        <v/>
      </c>
      <c r="BG71" t="str">
        <f t="shared" si="147"/>
        <v/>
      </c>
      <c r="BH71" t="str">
        <f>IF(X71&lt;&gt;"",X71,IF(AND(B71&lt;&gt;"",B71&lt;&gt;A71,ISNUMBER(_xlfn.XMATCH(B71,Щиты[Щит]))),B71,""))</f>
        <v/>
      </c>
      <c r="BI71" t="str" cm="1">
        <f t="array" ref="BI71">IF(B71="","",IF(BH71&lt;&gt;"","Щит "&amp;BH71,_xlfn.LET(_xlpm.nm,IFERROR(_xlfn.XLOOKUP(BC71,Коды_код,Коды_имя)&amp;"",""),_xlpm.md,IFERROR(N(_xlfn.XLOOKUP(BC71,Коды_код,Коды_режим)),1),_xlpm.ex,IF(Имя_режим="по экспликации",IFERROR(_xlfn.XLOOKUP(BE71&amp;"|"&amp;BG71,Экспликация[Этаж]&amp;"|"&amp;Экспликация[Помещение],Экспликация[Название])&amp;"",""),""),_xlpm.rm,IF(BG71="","",IF(_xlpm.ex&lt;&gt;"",". "&amp;_xlpm.ex&amp;IF(Имя_пом="нет"," ("&amp;BG71&amp;")"," (пом. "&amp;BG71&amp;")"),IF(Имя_пом="нет"," ",", пом. ")&amp;BG71)),IF(_xlpm.nm="","",IF(_xlpm.md=2,_xlpm.nm&amp;" шлейф "&amp;BE71,_xlpm.nm&amp;_xlpm.rm)))))</f>
        <v>Внутренний блок кондиционирования</v>
      </c>
      <c r="BJ71" t="str">
        <f t="shared" si="148"/>
        <v>Внешний блок кондиционирования Пом. Венткиосок</v>
      </c>
      <c r="BK71">
        <f>IFERROR(_xlfn.XMATCH(A71,Щиты[Щит]),0)</f>
        <v>4</v>
      </c>
      <c r="BL71">
        <f>_xlfn.LET(_xlpm.k,IFERROR(_xlfn.XLOOKUP(A71,Щиты[Щит],Щиты[Мест под вводной узел]),""),IF(_xlpm.k="",Столбцов_на_лист,N(_xlpm.k)))</f>
        <v>13</v>
      </c>
      <c r="BM71">
        <f t="shared" si="149"/>
        <v>33</v>
      </c>
      <c r="BN71" t="str">
        <f t="shared" si="150"/>
        <v>линии</v>
      </c>
      <c r="BO71" s="6">
        <f>IFERROR(N(_xlfn.XLOOKUP(BC71,Коды_код,Коды_квт)),0)</f>
        <v>0</v>
      </c>
      <c r="BP71">
        <f t="shared" si="151"/>
        <v>0</v>
      </c>
      <c r="BQ71" t="str">
        <f>IF(B71="","",IF(BH71&lt;&gt;"",IFERROR(_xlfn.XLOOKUP(BH71,Щиты[Щит],Щиты[Руст, кВт]),0),IF(BP71=1,IF(OR(N(_xlfn.XLOOKUP(A71,Щиты[Щит],Щиты[Вводов],1))&lt;=1,LOWER(TRIM(_xlfn.XLOOKUP(A71,Щиты[Щит],Щиты[АВР],"")&amp;""))="да"),IFERROR(_xlfn.XLOOKUP(A71,Щиты[Щит],Щиты[Руст, кВт]),0),SUMIFS(Линии[_Р для вводов],Линии[Щит],A71,Линии[Источник для режимов],GF71)),IF(BO71&gt;0,ROUND(BO71*MAX(1,N(D71)),3),""))))</f>
        <v/>
      </c>
      <c r="BR71">
        <f t="shared" si="152"/>
        <v>1.9</v>
      </c>
      <c r="BS71" s="6">
        <f>IF(B71="","",IF(BH71&lt;&gt;"",IFERROR(_xlfn.XLOOKUP(BH71,Щиты[Щит],Щиты[Руст, кВт]),0),N(BR71)))</f>
        <v>1.9</v>
      </c>
      <c r="BT71" t="str">
        <f>IF(B71="","",IFERROR(IF(VLOOKUP(BC71,Потребители_обозначение,8,FALSE)=0,"",VLOOKUP(BC71,Потребители_обозначение,8,FALSE)),""))</f>
        <v/>
      </c>
      <c r="BU71">
        <f t="shared" si="153"/>
        <v>230</v>
      </c>
      <c r="BV71">
        <f t="shared" si="154"/>
        <v>0</v>
      </c>
      <c r="BW71">
        <f>IF(B71="","",IF(BH71&lt;&gt;"",3,IFERROR(IF(N(VLOOKUP(BC71,Потребители_обозначение,9,FALSE))=0,1,VLOOKUP(BC71,Потребители_обозначение,9,FALSE)),1)))</f>
        <v>1</v>
      </c>
      <c r="BX71">
        <f t="shared" si="155"/>
        <v>1</v>
      </c>
      <c r="BY71" t="str">
        <f>IF(B71="","",_xlfn.LET(_xlpm.bc,IFERROR(IF(VLOOKUP(BC71,Потребители_обозначение,6,FALSE)=0,"",VLOOKUP(BC71,Потребители_обозначение,6,FALSE)&amp;""),""),IF(AND(GA71="да",OR(_xlpm.bc="",_xlpm.bc="мс")),Марка_пож,IF(AND(_xlpm.bc="",BH71&lt;&gt;""),"мс",_xlpm.bc))))</f>
        <v/>
      </c>
      <c r="BZ71" t="str">
        <f t="shared" si="156"/>
        <v>мс</v>
      </c>
      <c r="CA71">
        <f>IF(B71="","",_xlfn.LET(_xlpm.cc,IFERROR(N(VLOOKUP(BC71,Потребители_обозначение,7,FALSE)),0),IF(_xlpm.cc&gt;0,_xlpm.cc,IF(BZ71="","",IF(BV71=1,2,IF(N(BX71)=3,5,3))))))</f>
        <v>3</v>
      </c>
      <c r="CB71">
        <f t="shared" si="157"/>
        <v>3</v>
      </c>
      <c r="CC71">
        <f>IFERROR(N(VLOOKUP(BC71,Потребители_обозначение,10,FALSE)),0)</f>
        <v>0</v>
      </c>
      <c r="CD71">
        <f>IFERROR(VLOOKUP(BC71,Потребители_обозначение,5,FALSE),0)</f>
        <v>1</v>
      </c>
      <c r="CE71" s="6" cm="1">
        <f t="array" ref="CE71">IF(B71="","",IF(BH71&lt;&gt;"",IFERROR(_xlfn.XLOOKUP(BH71,Щиты[Щит],Щиты[cos φ]),0.95),IF(BP71=1,IFERROR(_xlfn.XLOOKUP(A71,Щиты[Щит],Щиты[cos φ]),0.95),IF(ISNUMBER(AD71),AD71,IFERROR(IF(CD71=2,_xlfn.IFS(BX71=3,VLOOKUP(BS71,Справочная_двигатели,8,FALSE),BX71=1,VLOOKUP(BS71,Справочная_двигатели,10,TRUE)),IF(AND(Методика="нормы 2026",FG71="Сил"),0.8,0.95)),0.95)))))</f>
        <v>0.8</v>
      </c>
      <c r="CF71">
        <f t="shared" si="158"/>
        <v>0</v>
      </c>
      <c r="CG71">
        <f t="shared" si="159"/>
        <v>1</v>
      </c>
      <c r="CH71">
        <f t="shared" si="160"/>
        <v>0</v>
      </c>
      <c r="CI71">
        <f>IF(B71="","",IF(BV71=1,IFERROR(BS71/((Uн_лин/SQRT(3))*MAX(0.5,N(CE71))),0),N(O71)))</f>
        <v>10.284051669940206</v>
      </c>
      <c r="CJ71">
        <f t="shared" si="161"/>
        <v>0</v>
      </c>
      <c r="CK71">
        <f t="shared" si="162"/>
        <v>0</v>
      </c>
      <c r="CL71">
        <f t="shared" si="163"/>
        <v>0</v>
      </c>
      <c r="CM71">
        <f t="shared" si="164"/>
        <v>0</v>
      </c>
      <c r="CN71">
        <f t="shared" si="165"/>
        <v>0</v>
      </c>
      <c r="CO71">
        <f>IF(BC71="",0,_xlfn.LET(_xlpm.v,IFERROR(_xlfn.XLOOKUP(B71,Коды_код,Коды_мА),IFERROR(_xlfn.XLOOKUP(BC71,Коды_код,Коды_мА),IFERROR(_xlfn.XLOOKUP(LEFT(BC71,2),Коды_код,Коды_мА),""))),IF(_xlpm.v="да",30,IF(ISNUMBER(_xlpm.v),_xlpm.v,0))))</f>
        <v>0</v>
      </c>
      <c r="CP71" t="str">
        <f t="shared" si="166"/>
        <v/>
      </c>
      <c r="CQ71" t="str">
        <f>_xlfn.LET(_xlpm.k,IFERROR(_xlfn.XLOOKUP(BC71,Коды_код,Коды_утечка)&amp;"",""),IF(_xlpm.k="","дифавтомат",_xlpm.k))</f>
        <v>дифавтомат</v>
      </c>
      <c r="CR71" t="str" cm="1">
        <f t="array" ref="CR71">IF(CG71=0,"",_xlfn.LET(_xlpm.sg,TRIM(_xlfn.TEXTSPLIT(DD71&amp;"",";")),_xlpm.f_,_xlfn._xlws.FILTER(_xlpm.sg,LEFT(_xlpm.sg,3)="УЗО",""),IFERROR(INDEX(_xlpm.f_,1)&amp;"","")))</f>
        <v/>
      </c>
      <c r="CS71" t="str">
        <f t="shared" si="167"/>
        <v/>
      </c>
      <c r="CT71" s="6" t="str" cm="1">
        <f t="array" ref="CT71">IF(CR71="","",_xlfn.LET(_xlpm.tk,_xlfn.TEXTSPLIT(UPPER(CR71)," ",,TRUE),_xlpm.a_,_xlfn._xlws.FILTER(_xlpm.tk,ISNUMBER(--LEFT(_xlpm.tk,1))*((ISNUMBER(SEARCH("А",_xlpm.tk))+ISNUMBER(SEARCH("A",_xlpm.tk)))&gt;0)*NOT(ISNUMBER(SEARCH("МА",_xlpm.tk)))*NOT(ISNUMBER(SEARCH("MA",_xlpm.tk))),""),IFERROR(--SUBSTITUTE(SUBSTITUTE(INDEX(_xlpm.a_,1),"А",""),"A",""),"")))</f>
        <v/>
      </c>
      <c r="CU71" t="str" cm="1">
        <f t="array" ref="CU71">IF(CR71="","",_xlfn.LET(_xlpm.tk,_xlfn.TEXTSPLIT(UPPER(CR71)," ",,TRUE),_xlpm.a_,_xlfn._xlws.FILTER(_xlpm.tk,ISNUMBER(--LEFT(_xlpm.tk,1))*((ISNUMBER(SEARCH("МА",_xlpm.tk))+ISNUMBER(SEARCH("MA",_xlpm.tk)))&gt;0),""),IFERROR(--SUBSTITUTE(SUBSTITUTE(INDEX(_xlpm.a_,1),"МА",""),"MA",""),30)))</f>
        <v/>
      </c>
      <c r="CV71" t="str">
        <f>IF(CS71="","",IFERROR(_xlfn.XLOOKUP(CS71,Линии[_n],Линии[_УЗО, мА]),30))</f>
        <v/>
      </c>
      <c r="CW71">
        <f>IF(CS71="",0,IF(ISNUMBER(SEARCH("4P",IFERROR(_xlfn.XLOOKUP(CS71,Линии[_n],Линии[_УЗО строки])&amp;"",""))),0,1))</f>
        <v>0</v>
      </c>
      <c r="CX71" t="str">
        <f>IF(AND(CS71&lt;&gt;"",CS71=BA71),SUMIFS(Линии[_ток на 230 В],Линии[_блок УЗО],BA71,Линии[Щит],A71),"")</f>
        <v/>
      </c>
      <c r="CY71" t="str">
        <f>IF(AND(CS71&lt;&gt;"",CS71=BA71),SUMIFS(Линии[_ток утечки линии, мА],Линии[_блок УЗО],BA71,Линии[Щит],A71),"")</f>
        <v/>
      </c>
      <c r="CZ71">
        <f t="shared" si="168"/>
        <v>0</v>
      </c>
      <c r="DA71">
        <f t="shared" si="169"/>
        <v>0</v>
      </c>
      <c r="DB71">
        <f>IF(B71="",0,IFERROR(--_xlfn.XLOOKUP(B71,Коды_код,Коды_минавт),IFERROR(--_xlfn.XLOOKUP(BC71,Коды_код,Коды_минавт),IFERROR(--_xlfn.XLOOKUP(LEFT(BC71,2),Коды_код,Коды_минавт),0))))</f>
        <v>0</v>
      </c>
      <c r="DC71" t="str">
        <f>IF(B71="","",IFERROR(_xlfn.XLOOKUP(BC71,Коды_код,Коды_апп)&amp;"",""))</f>
        <v/>
      </c>
      <c r="DD71" t="str">
        <f t="shared" si="170"/>
        <v/>
      </c>
      <c r="DE71" t="str" cm="1">
        <f t="array" ref="DE71">IF(TRIM(DD71&amp;"")="","",IFERROR(TRIM(INDEX(_xlfn.TEXTSPLIT(DD71&amp;";;;",";"),1)),""))</f>
        <v/>
      </c>
      <c r="DF71" t="str" cm="1">
        <f t="array" ref="DF71">IF(TRIM(DD71&amp;"")="","",IFERROR(TRIM(INDEX(_xlfn.TEXTSPLIT(DD71&amp;";;;",";"),2)),""))</f>
        <v/>
      </c>
      <c r="DG71" t="str" cm="1">
        <f t="array" ref="DG71">IF(TRIM(DD71&amp;"")="","",IFERROR(TRIM(INDEX(_xlfn.TEXTSPLIT(DD71&amp;";;;",";"),3)),""))</f>
        <v/>
      </c>
      <c r="DH71">
        <f t="shared" si="171"/>
        <v>0</v>
      </c>
      <c r="DI71" t="str">
        <f>IF(B71="","",_xlfn.LET(_xlpm.t,LOWER(AZ71&amp;""),IF(ISNUMBER(SEARCH("dim",_xlpm.t)),"DIM",IF(ISNUMBER(SEARCH("dali",_xlpm.t)),"DALI",IF(OR(ISNUMBER(SEARCH("relay",_xlpm.t)),ISNUMBER(SEARCH("реле",_xlpm.t))),"Relay",IF(ISNUMBER(SEARCH("кнопк",_xlpm.t)),"",IFERROR(_xlfn.XLOOKUP(BC71,Коды_код,Коды_упр)&amp;"","")))))))</f>
        <v/>
      </c>
      <c r="DJ71" t="str">
        <f t="shared" si="172"/>
        <v/>
      </c>
      <c r="DK71">
        <f>IF(B71="","",_xlfn.LET(_xlpm.ig,IF(N(CX71)&gt;0,N(CX71),N(CI71)+IF(AJ71="вручную",0,N(CJ71))),_xlpm.n0,IFERROR(VLOOKUP(_xlpm.ig,Автомат_номиналы,2,TRUE),0),_xlpm.mn,MAX(DB71,IF(AJ71="вручную",0,N(CM71))),MAX(_xlpm.n0,_xlpm.mn,IF(DH71=1,Мин_автомат_БП,0))))</f>
        <v>16</v>
      </c>
      <c r="DL71">
        <f t="shared" si="173"/>
        <v>1</v>
      </c>
      <c r="DM71" t="str">
        <f t="shared" si="174"/>
        <v>1P</v>
      </c>
      <c r="DN71" t="str">
        <f>_xlfn.LET(_xlpm.cc,UPPER(TRIM(IFERROR(_xlfn.XLOOKUP(BC71,Коды_код,Коды_хар)&amp;"",""))),IF(OR(_xlpm.cc="B",_xlpm.cc="В"),"B",IF(_xlpm.cc="D","D","С")))</f>
        <v>С</v>
      </c>
      <c r="DO71" t="str">
        <f t="shared" si="175"/>
        <v>1P С16А</v>
      </c>
      <c r="DP71">
        <f t="shared" si="176"/>
        <v>16</v>
      </c>
      <c r="DQ71" t="str">
        <f t="shared" si="177"/>
        <v>1P С16А</v>
      </c>
      <c r="DR71" cm="1">
        <f t="array" ref="DR71">IF(DQ71="","",_xlfn.LET(_xlpm.t,SUBSTITUTE(SUBSTITUTE(SUBSTITUTE(UPPER(DQ71),"С","C"),"А","A"),"В","B"),_xlpm.tk,_xlfn.TEXTSPLIT(_xlpm.t," "),_xlpm.f,_xlfn._xlws.FILTER(_xlpm.tk,ISNUMBER(--MID(_xlpm.tk,2,1))*ISNUMBER(SEARCH(LEFT(_xlpm.tk,1)&amp;"#","B#C#D#"))*(LEN(_xlpm.tk)&gt;1),""),_xlpm.x,INDEX(_xlpm.f,1),IFERROR(--SUBSTITUTE(MID(_xlpm.x,2,9),"A",""),IFERROR(--SUBSTITUTE(INDEX(_xlfn._xlws.FILTER(_xlpm.tk,ISNUMBER(--SUBSTITUTE(_xlpm.tk,"A","")),""),1),"A",""),""))))</f>
        <v>16</v>
      </c>
      <c r="DS71" t="str">
        <f t="shared" si="178"/>
        <v>ok</v>
      </c>
      <c r="DT71">
        <f t="shared" si="179"/>
        <v>16</v>
      </c>
      <c r="DU71" t="str">
        <f t="shared" si="180"/>
        <v>1P С16А</v>
      </c>
      <c r="DV71">
        <f t="shared" si="181"/>
        <v>0</v>
      </c>
      <c r="DW71">
        <f t="shared" si="182"/>
        <v>0</v>
      </c>
      <c r="DX71">
        <f t="shared" si="183"/>
        <v>0</v>
      </c>
      <c r="DY71">
        <f t="shared" si="184"/>
        <v>10.284051669940206</v>
      </c>
      <c r="DZ71">
        <f t="shared" si="185"/>
        <v>1</v>
      </c>
      <c r="EA71">
        <f>IF(ISNUMBER(AP71),AP71,К_прокл)</f>
        <v>1</v>
      </c>
      <c r="EB71">
        <f t="shared" si="186"/>
        <v>2</v>
      </c>
      <c r="EC71">
        <f>IFERROR(N(VLOOKUP(BZ71,Кабель_обозначение,3,FALSE)),1)</f>
        <v>1</v>
      </c>
      <c r="ED71">
        <f>IFERROR(N(_xlfn.XLOOKUP(A71,Щиты[Щит],Щиты[ΔU до шин, %])),0)</f>
        <v>0.64</v>
      </c>
      <c r="EE71" t="str">
        <f>IFERROR(_xlfn.XLOOKUP(A71,Щиты[Щит],Щиты[Zпетли на шинах, Ом]),"")</f>
        <v/>
      </c>
      <c r="EF71">
        <f>IFERROR(N(_xlfn.XLOOKUP(A71,Щиты[Щит],Щиты[ΔU до шин (подбор), %])),0)</f>
        <v>0.75</v>
      </c>
      <c r="EG71" t="str">
        <f>IFERROR(_xlfn.XLOOKUP(A71,Щиты[Щит],Щиты[Zпетли на шинах (подбор), Ом]),"")</f>
        <v/>
      </c>
      <c r="EH71" t="str">
        <f t="shared" si="187"/>
        <v/>
      </c>
      <c r="EI71">
        <f t="shared" si="188"/>
        <v>36</v>
      </c>
      <c r="EJ71">
        <f t="shared" si="189"/>
        <v>2</v>
      </c>
      <c r="EK71">
        <f t="shared" si="190"/>
        <v>0.6</v>
      </c>
      <c r="EL71" s="6">
        <f>IF(B71="","",IF(BV71=1,dU_LED,IF(IFERROR(_xlfn.XLOOKUP(BC71,Коды_код,Коды_уго),"")="Светильник",3,4)+IF(Методика="нормы 2026",MIN(0.5,MAX(0,N(P71)-100)*0.005),0)))</f>
        <v>4</v>
      </c>
      <c r="EM71" cm="1">
        <f t="array" ref="EM71">IF(OR(B71="",BZ71="",EC71&lt;&gt;1),"",_xlfn.LET(_xlpm.sz,Iдоп_S,_xlpm.t_,CHOOSE(EB71,Iдоп_1ж,Iдоп_2ж,Iдоп_3ж)*DZ71*EA71,_xlpm.dcx,BV71=1,_xlpm.inn,IF(_xlpm.dcx,N(O71),N(DT71)),_xlpm.smin,MAX(1.5,CC71),_xlpm.L_,N(P71)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71)/N(BU71)*100,999),IFERROR(N(EJ71)*(_xlpm.rho*_xlpm.L_/_xlpm.sz*N(CE71)+_xlpm.xx*_xlpm.L_*N(EK71)/1000)*N(O71)/((Uн_лин/SQRT(3))*1000)*100,999)),_xlpm.kz,IF(OR(_xlpm.dcx,DW71=1,NOT(ISNUMBER(EG71)),_xlpm.L_=0,_xlpm.inn=0),1,IFERROR(--(c_min*(Uн_лин*1000/SQRT(3))/(EG71+2*ρкз_Cu*_xlpm.L_/_xlpm.sz)&gt;=HT71*_xlpm.inn),0)),_xlpm.ok,IFERROR((_xlpm.sz&gt;=_xlpm.smin)*(_xlpm.t_&gt;=_xlpm.inn)*IF(_xlpm.L_&gt;0,(_xlpm.du_+IF(_xlpm.dcx,0,EF71)&lt;=EL71+0.00001),1)*_xlpm.kz,0),_xlpm.r_,_xlfn._xlws.FILTER(_xlpm.sz,_xlpm.ok,"не подобрано"),INDEX(_xlpm.r_,1)))</f>
        <v>2.5</v>
      </c>
      <c r="EN71">
        <f t="shared" si="191"/>
        <v>2.5</v>
      </c>
      <c r="EO71" cm="1">
        <f t="array" ref="EO71">IF(OR(B71="",BZ71="",EC71&lt;&gt;1),"",_xlfn.LET(_xlpm.sz,Iдоп_S,_xlpm.t_,CHOOSE(EB71,Iдоп_1ж,Iдоп_2ж,Iдоп_3ж)*DZ71*EA71,_xlpm.ok,IFERROR((_xlpm.sz&gt;=MAX(1.5,CC71))*(_xlpm.t_&gt;=N(DT71)),0),_xlpm.r_,_xlfn._xlws.FILTER(_xlpm.sz,_xlpm.ok,""),INDEX(_xlpm.r_,1)))</f>
        <v>1.5</v>
      </c>
      <c r="EP71" s="6" cm="1">
        <f t="array" ref="EP71">IFERROR(ROUNDUP(N(EJ71)*(_xlfn.XLOOKUP(EO71,INDEX(Кабель_сопротивление,0,1),INDEX(Кабель_сопротивление,0,3))*N(P71)/EO71*N(CE71)+_xlfn.XLOOKUP(EO71,INDEX(Кабель_сопротивление,0,1),INDEX(Кабель_сопротивление,0,2))*N(P71)*N(EK71)/1000)*N(O71)/((Uн_лин/SQRT(3))*1000)*100,2),"")</f>
        <v>4.09</v>
      </c>
      <c r="EQ71">
        <f>IFERROR(2*ρкз_Cu*N(P71)/EO71,"")</f>
        <v>1.3325333333333333</v>
      </c>
      <c r="ER71">
        <f>IFERROR(VLOOKUP(EN71,Кабель_сопротивление,3,FALSE),"")</f>
        <v>2.2499999999999999E-2</v>
      </c>
      <c r="ES71">
        <f>IFERROR(VLOOKUP(EN71,Кабель_сопротивление,2,FALSE),"")</f>
        <v>0.1</v>
      </c>
      <c r="ET71">
        <f t="shared" si="192"/>
        <v>35</v>
      </c>
      <c r="EU71">
        <f t="shared" si="193"/>
        <v>0</v>
      </c>
      <c r="EV71">
        <f t="shared" si="194"/>
        <v>5.6743283494062089</v>
      </c>
      <c r="EW71" s="6">
        <f>IFERROR(ROUNDUP(EV71/IF(BV71=1,BU71,(Uн_лин/SQRT(3))*1000)*100,2),"")</f>
        <v>2.46</v>
      </c>
      <c r="EX71" t="str">
        <f>IFERROR(VLOOKUP(BZ71,Кабель_обозначение,2,FALSE),"")</f>
        <v>ВВГнг(А)-LS</v>
      </c>
      <c r="EY71" t="str">
        <f t="shared" si="195"/>
        <v>ВВГнг(А)-LS (3х2,5)</v>
      </c>
      <c r="EZ71" t="str">
        <f t="shared" si="196"/>
        <v>ВВГнг(А)-LS (3х2,5)
L=38-2,46%</v>
      </c>
      <c r="FA71">
        <f>IFERROR(2*ρкз_Cu*P71/EN71,"")</f>
        <v>0.79952000000000001</v>
      </c>
      <c r="FB71">
        <f t="shared" si="197"/>
        <v>0.26600000000000001</v>
      </c>
      <c r="FC71" s="6" t="str">
        <f>IFERROR(IF(OR(B71="",BV71=1,NOT(ISNUMBER(EN71)),N(P71)=0),"",_xlfn.XLOOKUP(A71,Щиты[Щит],Щиты[Zпетли на шинах, Ом])+FA71),"")</f>
        <v/>
      </c>
      <c r="FD71" s="6" t="str">
        <f>IF(ISNUMBER(FC71),c_min*(Uн_лин*1000/SQRT(3))/FC71,"")</f>
        <v/>
      </c>
      <c r="FE71" s="6" t="str">
        <f>IFERROR(IF(OR(B71="",NOT(ISNUMBER(EN71))),"",1.05*(Uн_лин*1000/SQRT(3))/(_xlfn.XLOOKUP(A71,Щиты[Щит],Щиты[Zmax на шинах, Ом])+FB71)/1000),"")</f>
        <v/>
      </c>
      <c r="FF71" s="6" t="str">
        <f>IF(B71="","",IF(ISNUMBER(AC71),"Сил",IF(IFERROR(_xlfn.XLOOKUP(BC71,Коды_код,Коды_группа)&amp;"","")="","Быт",_xlfn.XLOOKUP(BC71,Коды_код,Коды_группа)&amp;"")))</f>
        <v>Сил</v>
      </c>
      <c r="FG71" s="6" t="str">
        <f t="shared" si="198"/>
        <v>Сил</v>
      </c>
      <c r="FH71" s="6">
        <f>IF(FG71="Щит","щит",IF(FG71="","",IF(FG71="Быт",IFERROR(_xlfn.XLOOKUP(A71,Щиты[Щит],Щиты[Кс быт]),1),IF(FG71="Сил",IF(ISNUMBER(AC71),AC71,IF(Методика="нормы 2026",IFERROR(_xlfn.XLOOKUP(A71,Щиты[Щит],Щиты[Кс силовых (табл. 7.5)]),1),1)),IF(OR(FG71="Пост",FG71="Отоп"),1,IF(FG71="ВНГ",0.7,0))))))</f>
        <v>0.5</v>
      </c>
      <c r="FI71">
        <f>IF(FG71="","",IF(AND(BP71=1,TRIM(AE71&amp;"")=""),IF(COUNTIFS(Линии[Щит],A71,Линии[Секция (1/2/3)],"&gt;=2")&gt;0,MIN(3,MAX(1,IFERROR(--BD71,1))),1),IFERROR(MIN(3,MAX(1,INT(--AE71))),1)))</f>
        <v>1</v>
      </c>
      <c r="FJ71">
        <f t="shared" si="199"/>
        <v>1.9</v>
      </c>
      <c r="FK71">
        <f t="shared" si="200"/>
        <v>0</v>
      </c>
      <c r="FL71">
        <f t="shared" si="201"/>
        <v>0.95</v>
      </c>
      <c r="FM71">
        <f t="shared" si="202"/>
        <v>0</v>
      </c>
      <c r="FN71">
        <f t="shared" si="203"/>
        <v>0</v>
      </c>
      <c r="FO71">
        <f t="shared" si="204"/>
        <v>0</v>
      </c>
      <c r="FP71">
        <f t="shared" si="205"/>
        <v>1.9</v>
      </c>
      <c r="FQ71">
        <f t="shared" si="206"/>
        <v>1.9</v>
      </c>
      <c r="FR71">
        <f t="shared" si="207"/>
        <v>1.52</v>
      </c>
      <c r="FS71">
        <f>IF(CG71=1,IF(AND(CH71=1,CW71=1),0,IF(AND(CS71&lt;&gt;"",CS71=BA71,CW71=1),SUMIFS(Линии[_Р линии, кВт],Линии[_блок УЗО],BA71,Линии[Щит],A71),N(BS71)+IF(AJ71="вручную",0,N(CK71)))),0)</f>
        <v>1.9</v>
      </c>
      <c r="FT71" t="str">
        <f t="shared" si="208"/>
        <v/>
      </c>
      <c r="FU71" t="str">
        <f>IF(B71="","",IF(CG71=0,IF(BA71=1,"",FW70),IF(AND(CH71=1,CW71=1,CS71&lt;&gt;""),IFERROR(_xlfn.XLOOKUP(CS71,Линии[_n],Линии[_фаза итог]),"L1"),IF(OR(N(DL71)&gt;=3,N(BX71)&gt;=3),"L1,L2,L3",IFERROR(_xlfn.TEXTBEFORE(_xlfn.TEXTAFTER(_xlfn.XLOOKUP(A71,Щиты[Щит],Щиты[_фазы авто]),";"&amp;BA71&amp;":"),";"),"L1")))))</f>
        <v>L2</v>
      </c>
      <c r="FV71" t="str">
        <f t="shared" si="209"/>
        <v>L2</v>
      </c>
      <c r="FW71" t="str">
        <f t="shared" si="210"/>
        <v>L2</v>
      </c>
      <c r="FX71" cm="1">
        <f t="array" ref="FX71">IFERROR(IF(CD71=2,_xlfn.IFS(BX71=3,VLOOKUP(BS71,Справочная_двигатели,3,FALSE),BX71=1,VLOOKUP(BS71,Справочная_двигатели,5,TRUE)),0),0)</f>
        <v>0</v>
      </c>
      <c r="FY71">
        <f>IFERROR(IF(CD71=3,VLOOKUP(BS71,Справочная_ЛЭД,2,TRUE),0),0)</f>
        <v>0</v>
      </c>
      <c r="FZ71" s="6">
        <f t="shared" si="211"/>
        <v>0</v>
      </c>
      <c r="GA71" t="str">
        <f>IF(B71="","",IF(TRIM(AH71&amp;"")&lt;&gt;"",IF(LOWER(TRIM(AH71&amp;""))="да","да","нет"),IF(IFERROR(_xlfn.XLOOKUP(BC71,Коды_код,Коды_пожарная),"")="да","да","нет")))</f>
        <v>нет</v>
      </c>
      <c r="GB71" t="str">
        <f t="shared" si="212"/>
        <v/>
      </c>
      <c r="GC71" t="str">
        <f t="shared" si="213"/>
        <v>основная</v>
      </c>
      <c r="GD71">
        <f>IF(AND(BP71=1,TRIM(AE71&amp;"")=""),IF(COUNTIFS(Линии[Щит],A71,Линии[Секция (1/2/3)],"&gt;=2")&gt;0,MIN(3,MAX(1,IFERROR(--BD71,1))),1),IFERROR(MIN(3,MAX(1,INT(--AE71))),1))</f>
        <v>1</v>
      </c>
      <c r="GE71" t="str" cm="1">
        <f t="array" ref="GE71">IF(B71="","",_xlfn.LET(_xlpm.t,IFERROR(_xlfn.XLOOKUP(1,(Шины[Шина]=GC71)*(((Шины[Щит]=A71)+(Шины[Щит]=""))&gt;0),Шины[Тип]),"")&amp;"",IF(_xlpm.t&lt;&gt;"",_xlpm.t,IF(ISNUMBER(SEARCH("ИБП",GC71)),"ИБП",IF(ISNUMBER(SEARCH("ДГУ",GC71)),"ДГУ","Ввод "&amp;GD71)))))</f>
        <v>Ввод 1</v>
      </c>
      <c r="GF71" t="str">
        <f t="shared" si="214"/>
        <v>Ввод 1</v>
      </c>
      <c r="GG71" t="str">
        <f>IF(BP71=0,"",IF(TRIM(AG71&amp;"")&lt;&gt;"",TRIM(AG71&amp;""),IF(OR(GE71="ИБП",GE71="ДГУ"),"I особая",_xlfn.XLOOKUP(A71,Щиты[Щит],Щиты[Категория шины «Ввод»],"III"))))</f>
        <v/>
      </c>
      <c r="GH71" t="str">
        <f>IF(A71="","",_xlfn.XLOOKUP(A71,Щиты[Щит],Щиты[Путь],""))</f>
        <v>|ГРЩ-ЖД|ЩОВ-001|</v>
      </c>
      <c r="GI71" t="str">
        <f>IF(B71="","",IF(AI71&lt;&gt;"",AI71,IF(IFERROR(_xlfn.XLOOKUP(BC71,Коды_код,Коды_вид)&amp;"","")="","Прочее",_xlfn.XLOOKUP(BC71,Коды_код,Коды_вид)&amp;"")))</f>
        <v>Кондиционирование и увлажнение</v>
      </c>
      <c r="GJ71">
        <f>IF(BM71="","",INT((BM71-1)/Столбцов_на_лист)+1)</f>
        <v>2</v>
      </c>
      <c r="GK71" t="str">
        <f t="shared" si="215"/>
        <v>ВВГнг(А)-LS (3х2,5) L=38-2,46%</v>
      </c>
      <c r="GL71">
        <f t="shared" si="216"/>
        <v>1.9</v>
      </c>
      <c r="GM71">
        <f t="shared" si="217"/>
        <v>10.29</v>
      </c>
      <c r="GN71">
        <f t="shared" si="218"/>
        <v>1</v>
      </c>
      <c r="GO71">
        <f t="shared" si="219"/>
        <v>0</v>
      </c>
      <c r="GP71">
        <f t="shared" si="220"/>
        <v>1</v>
      </c>
      <c r="GQ71">
        <f>IF(BM71="","",IF(AND(CG71=1,GP71=1),COUNTIFS(A$3:A71,A71,CG$3:CG71,1,GP$3:GP71,1),IF(OR(OR(BA71=1,A71&lt;&gt;A70),AJ71="вручную",GP71=0),"",IF(BA71=1,"",GR70))))</f>
        <v>18</v>
      </c>
      <c r="GR71">
        <f t="shared" si="221"/>
        <v>18</v>
      </c>
      <c r="GS71">
        <f>IF(B71="","",IFERROR(LOOKUP(INDEX(CHOOSE(EB71,Iдоп_1ж,Iдоп_2ж,Iдоп_3ж),MATCH(EN71,Iдоп_S,0))*DZ71*EA71,{6,10,16,20,25,32,40,50,63,80,100,125,160,200,250,315,400,500,630}),""))</f>
        <v>25</v>
      </c>
      <c r="GT71" t="str">
        <f t="shared" si="222"/>
        <v>QF18</v>
      </c>
      <c r="GU71" t="str">
        <f t="shared" si="223"/>
        <v>QF18</v>
      </c>
      <c r="GV71" t="str">
        <f t="shared" si="224"/>
        <v/>
      </c>
      <c r="GW71">
        <f t="shared" si="225"/>
        <v>0</v>
      </c>
      <c r="GX71" t="str">
        <f>IF(OR(B71="",DJ71=""),"",IFERROR(_xlfn.XLOOKUP(DJ71,Модули_умолч[Управление],Модули_умолч[Модель])&amp;"",""))</f>
        <v/>
      </c>
      <c r="GY71">
        <f>IF(DJ71="",1,IFERROR(MAX(0,N(_xlfn.XLOOKUP(DJ71,Модули_умолч[Управление],Модули_умолч[Каналов на линию]))),1))</f>
        <v>1</v>
      </c>
      <c r="GZ71" t="str">
        <f t="shared" si="226"/>
        <v/>
      </c>
      <c r="HA71" t="str">
        <f t="shared" si="227"/>
        <v/>
      </c>
      <c r="HB71" t="str">
        <f t="shared" si="228"/>
        <v/>
      </c>
      <c r="HC71">
        <f>IF(HB71="",0,IFERROR(N(VLOOKUP(HB71,Модули_спр,3,FALSE)),0))</f>
        <v>0</v>
      </c>
      <c r="HD71" t="str">
        <f t="shared" si="229"/>
        <v/>
      </c>
      <c r="HE71" t="str">
        <f t="shared" si="230"/>
        <v/>
      </c>
      <c r="HF71" t="str">
        <f>IF(OR(HE71="",HE71="-"),"",IFERROR(VLOOKUP(HE71,Модули_спр,2,FALSE),"R"))</f>
        <v/>
      </c>
      <c r="HG71" t="str">
        <f>IF(HF71="","",HF71&amp;"."&amp;COUNTIFS(A$3:A71,A71,HF$3:HF71,HF71))</f>
        <v/>
      </c>
      <c r="HH71" t="str">
        <f t="shared" si="231"/>
        <v/>
      </c>
      <c r="HI71" t="str">
        <f t="shared" si="232"/>
        <v/>
      </c>
      <c r="HJ71" t="str">
        <f t="shared" si="233"/>
        <v/>
      </c>
      <c r="HK71" t="str">
        <f t="shared" si="234"/>
        <v/>
      </c>
      <c r="HL71">
        <f t="shared" si="235"/>
        <v>1</v>
      </c>
      <c r="HM71" t="str">
        <f>IF(HL71=1,"XT"&amp;COUNTIFS(A$3:A71,A71,HL$3:HL71,1),"")</f>
        <v>XT18</v>
      </c>
      <c r="HN71" t="str">
        <f t="shared" si="236"/>
        <v/>
      </c>
      <c r="HO71" t="str">
        <f t="shared" si="237"/>
        <v>QF18</v>
      </c>
      <c r="HP71" t="str">
        <f t="shared" si="238"/>
        <v/>
      </c>
      <c r="HQ71" t="str">
        <f t="shared" si="239"/>
        <v>ok</v>
      </c>
      <c r="HR71" t="str">
        <f>IF(OR(HJ71="",HH71=""),"",IF(HJ71+MAX(0,GY71-1)&gt;IFERROR(VLOOKUP(HI71,Модули_спр,3,FALSE),99),"ЛИШНИЙ КАНАЛ",IF(AND(AL71&lt;&gt;"=",GY71&gt;0,COUNTIFS(Линии[_модуль гр.],HH71,Линии[Канал (итог)],HJ71,Линии[Канал],"&lt;&gt;=",Линии[Щит],A71)&gt;1),"ДУБЛЬ КАНАЛА","")))</f>
        <v/>
      </c>
      <c r="HS71" s="6" t="str">
        <f t="shared" si="240"/>
        <v/>
      </c>
      <c r="HT71">
        <f t="shared" si="241"/>
        <v>10</v>
      </c>
      <c r="HU71" t="str">
        <f t="shared" si="242"/>
        <v/>
      </c>
      <c r="HV71">
        <f t="shared" si="243"/>
        <v>4.4936206679760824</v>
      </c>
      <c r="HW71">
        <f t="shared" si="244"/>
        <v>0</v>
      </c>
      <c r="HX71">
        <f t="shared" si="245"/>
        <v>0</v>
      </c>
      <c r="HY71">
        <f t="shared" si="246"/>
        <v>0</v>
      </c>
      <c r="HZ71">
        <f t="shared" si="247"/>
        <v>0</v>
      </c>
      <c r="IA71">
        <f t="shared" si="248"/>
        <v>0</v>
      </c>
      <c r="IB71">
        <f t="shared" si="249"/>
        <v>0</v>
      </c>
      <c r="IC71" t="str">
        <f t="shared" si="250"/>
        <v/>
      </c>
      <c r="ID71" t="str" cm="1">
        <f t="array" ref="ID71">IF(IC71="","",_xlfn.LET(_xlpm.tk,_xlfn.TEXTSPLIT(SUBSTITUTE(SUBSTITUTE(IC71,";"," "),"→"," ")," ",,TRUE),_xlpm.w_,_xlfn._xlws.FILTER(_xlpm.tk,ISNUMBER(--LEFT(_xlpm.tk,1))*((ISNUMBER(SEARCH("W",_xlpm.tk))+ISNUMBER(SEARCH("Вт",_xlpm.tk)))&gt;0),""),IFERROR(--SUBSTITUTE(SUBSTITUTE(UPPER(INDEX(_xlpm.w_,1)),"W",""),"ВТ",""),"")))</f>
        <v/>
      </c>
      <c r="IE71" t="str" cm="1">
        <f t="array" ref="IE71">IF(IC71="","",_xlfn.LET(_xlpm.tk,_xlfn.TEXTSPLIT(SUBSTITUTE(SUBSTITUTE(IC71,";"," "),"→"," ")," ",,TRUE),_xlpm.v_,_xlfn._xlws.FILTER(_xlpm.tk,ISNUMBER(--LEFT(_xlpm.tk,1))*((ISNUMBER(SEARCH("V",_xlpm.tk))+(RIGHT(UPPER(_xlpm.tk))="В"))&gt;0),""),IFERROR(--SUBSTITUTE(SUBSTITUTE(UPPER(INDEX(_xlpm.v_,1)),"V",""),"В",""),"")))</f>
        <v/>
      </c>
      <c r="IF71" s="6" t="str">
        <f>IF(OR(BV71=0,HI71="",HJ71=""),"",IFERROR(N(_xlfn.XLOOKUP(HI71,Каталог!$C$4:$C$500,Каталог!$Q$4:$Q$500)),""))</f>
        <v/>
      </c>
      <c r="IG71" s="6" t="str">
        <f>IF(N(IF71)=0,"",SUMIFS(Линии[Iр, А],Линии[Щит],A71,Линии[_модуль гр.],HH71,Линии[Канал (итог)],HJ71))</f>
        <v/>
      </c>
      <c r="IH71" t="str">
        <f>IF(AND(B71="",HO71=""),"",_xlfn.TEXTJOIN("; ",TRUE,IF(AND(B71&lt;&gt;"",FV71=""),"нет фазы",""),IF(AND(B71&lt;&gt;"",N(GL71)=0,FG71&lt;&gt;"Нет"),"нет мощности",""),IF(AND(HN71&lt;&gt;"",COUNTIFS(Линии[Щит],A71,Линии[Клемма (итог)],HN71)&gt;1),"дубль клеммы "&amp;HN71,""),IF(AND(HQ71&lt;&gt;"",HQ71&lt;&gt;"ok"),HQ71,""),IF(HR71&lt;&gt;"",HR71,""),IF(AND(N(CB71)&gt;=4,N(BX71)=1),CB71&amp;" жил на 1 фазе",""),IF(AND(BC71="R",CG71=1,IF(CS71&lt;&gt;"",N(CV71)&gt;30,OR(N(DA71)=0,N(DA71)&gt;30))),"розетка без дифзащиты до 30 мА",""),IF(AND(CG71=1,N(DA71)&gt;0,ISNUMBER(T71)),IF(T71&gt;N(DA71)/3,"ток утечки "&amp;FIXED(T71,1)&amp;" мА &gt; 1/3 уставки ("&amp;DA71&amp;" мА)",""),""),IF(AND(CH71=1,CS71=""),"«узо»: нет строки с УЗО выше (УЗО 2P 40А 30мА в «Аппаратах»)",""),IF(AND(CS71&lt;&gt;"",CS71=BA71),IF(CT71="","впишите номинал УЗО (УЗО 2P 40А 30мА)",IF(N(CT71)&lt;N(DT71),"УЗО "&amp;CT71&amp;" А &lt; автомата "&amp;DT71&amp;" А перед ним",IF(N(CT71)&lt;N(CX71),"УЗО "&amp;CT71&amp;" А &lt; тока блока "&amp;FIXED(CX71,1)&amp;" А",""))),""),IF(AND(CS71&lt;&gt;"",CS71=BA71,ISNUMBER(CY71)),IF(CY71&gt;N(CV71)/3,"ток утечки блока УЗО "&amp;FIXED(CY71,1)&amp;" мА &gt; 1/3 уставки ("&amp;CV71&amp;" мА)",""),""),IF(AND(CG71=1,N(BV71)+N(IB71)&gt;0,IC71=""),"линии до 50 В без БП: впишите в «Аппараты» (БП 24V 480W)",""),IF(AND(CG71=1,ISNUMBER(ID71),ISNUMBER(U71)),IF(U71&gt;ID71,"БП "&amp;ID71&amp;" Вт &lt; нужно "&amp;U71&amp;" Вт (×"&amp;Запас_БП&amp;")",""),""),IF(AND(CG71=1,ISNUMBER(IE71),N(BV71)=1),IF(IE71&lt;&gt;N(BU71),"БП на "&amp;IE71&amp;" В, линия "&amp;BU71&amp;" В",""),""),IF(AND(N(IF71)&gt;0,N(IG71)&gt;N(IF71)),HH71&amp;" канал "&amp;HJ71&amp;": "&amp;FIXED(IG71,1)&amp;" А &gt; "&amp;IF71&amp;" А",""),IFERROR(IF(AND(ISNUMBER(Q71),Q71&gt;EL71),"потери "&amp;FIXED(Q71,1)&amp;" % &gt; "&amp;EL71&amp;" %",""),""),IFERROR(IF(LEFT(HU71,4)="мало","Iкз мало — отключение &gt; 0,4 с",""),""),IF(AND(B71&lt;&gt;"",BM71=""),"не на схеме",""),IF(AND(CG71=0,B71&lt;&gt;"",FV71&lt;&gt;"",IF(BA71=1,"",FW70)&lt;&gt;"",FV71&lt;&gt;IF(BA71=1,"",FW70)),"фаза не как у автомата группы ("&amp;IF(BA71=1,"",FW70)&amp;")","")))</f>
        <v/>
      </c>
      <c r="II71" s="6">
        <f>IF(OR(CG71=0,DQ71=""),"",_xlfn.LET(_xlpm.t,IFERROR(_xlfn.XLOOKUP(DQ71,Каталог!$U$4:$U$500,Каталог!$G$4:$G$500),""),_xlpm.k,SEARCH("кА",_xlpm.t),IFERROR(--TRIM(RIGHT(SUBSTITUTE(MID(_xlpm.t,MAX(1,_xlpm.k-4),_xlpm.k-MAX(1,_xlpm.k-4))," ",REPT(" ",9)),5)),"")))</f>
        <v>6</v>
      </c>
      <c r="IJ71" t="str">
        <f>IF(OR(II71="",CG71=0),"",IF(_xlfn.XLOOKUP(A71,Щиты[Щит],Щиты[Iкз max на шинах, кА],"")="","",IF(II71&lt;_xlfn.XLOOKUP(A71,Щиты[Щит],Щиты[Iкз max на шинах, кА]),"Icu "&amp;II71&amp;" кА &lt; Iкз max","ok")))</f>
        <v/>
      </c>
      <c r="IK71" t="str">
        <f t="shared" si="251"/>
        <v/>
      </c>
      <c r="IL71" t="str">
        <f t="shared" si="252"/>
        <v>QF18</v>
      </c>
      <c r="IM71" t="str">
        <f t="shared" si="253"/>
        <v>QF18|кабель ВВГнг(А)-LS (3х2,5) → Внешний блок кондиционирования Пом. Венткиосок</v>
      </c>
      <c r="IN71" t="str" cm="1">
        <f t="array" ref="IN71">IF(IM71="","",_xlfn.LET(_xlpm.nd,_xlfn.TEXTSPLIT(IM71,"|"),IF(COLUMNS(_xlpm.nd)&gt;1,A71&amp;"¦"&amp;INDEX(_xlpm.nd,1)&amp;"¦"&amp;INDEX(_xlpm.nd,2),"")))</f>
        <v>ЩОВ-001¦QF18¦кабель ВВГнг(А)-LS (3х2,5) → Внешний блок кондиционирования Пом. Венткиосок</v>
      </c>
      <c r="IO71" t="str">
        <f t="shared" si="254"/>
        <v>K.3¦Внешний блок кондиционирования Пом. Венткиосок</v>
      </c>
      <c r="IP71" t="str" cm="1">
        <f t="array" ref="IP71">IF(IM71="","",_xlfn.LET(_xlpm.nd,_xlfn.TEXTSPLIT(IM71,"|"),IF(COLUMNS(_xlpm.nd)&gt;2,A71&amp;"¦"&amp;INDEX(_xlpm.nd,2)&amp;"¦"&amp;INDEX(_xlpm.nd,3),"")))</f>
        <v/>
      </c>
      <c r="IQ71" t="str">
        <f t="shared" si="255"/>
        <v/>
      </c>
      <c r="IR71" t="str" cm="1">
        <f t="array" ref="IR71">IF(IM71="","",_xlfn.LET(_xlpm.nd,_xlfn.TEXTSPLIT(IM71,"|"),IF(COLUMNS(_xlpm.nd)&gt;3,A71&amp;"¦"&amp;INDEX(_xlpm.nd,3)&amp;"¦"&amp;INDEX(_xlpm.nd,4),"")))</f>
        <v/>
      </c>
      <c r="IS71" t="str">
        <f t="shared" si="256"/>
        <v/>
      </c>
      <c r="IT71" t="str" cm="1">
        <f t="array" ref="IT71">IF(IM71="","",_xlfn.LET(_xlpm.nd,_xlfn.TEXTSPLIT(IM71,"|"),IF(COLUMNS(_xlpm.nd)&gt;4,A71&amp;"¦"&amp;INDEX(_xlpm.nd,4)&amp;"¦"&amp;INDEX(_xlpm.nd,5),"")))</f>
        <v/>
      </c>
      <c r="IU71" t="str">
        <f t="shared" si="257"/>
        <v/>
      </c>
      <c r="IV71" t="str" cm="1">
        <f t="array" ref="IV71">IF(IM71="","",_xlfn.LET(_xlpm.nd,_xlfn.TEXTSPLIT(IM71,"|"),IF(COLUMNS(_xlpm.nd)&gt;5,A71&amp;"¦"&amp;INDEX(_xlpm.nd,5)&amp;"¦"&amp;INDEX(_xlpm.nd,6),"")))</f>
        <v/>
      </c>
      <c r="IW71" t="str">
        <f t="shared" si="258"/>
        <v/>
      </c>
      <c r="IX71" t="str" cm="1">
        <f t="array" ref="IX71">IF(IM71="","",_xlfn.LET(_xlpm.nd,_xlfn.TEXTSPLIT(IM71,"|"),IF(COLUMNS(_xlpm.nd)&gt;6,A71&amp;"¦"&amp;INDEX(_xlpm.nd,6)&amp;"¦"&amp;INDEX(_xlpm.nd,7),"")))</f>
        <v/>
      </c>
      <c r="IY71" t="str">
        <f t="shared" si="259"/>
        <v/>
      </c>
      <c r="IZ71" t="str">
        <f t="shared" si="260"/>
        <v/>
      </c>
      <c r="JA71" t="str">
        <f t="shared" si="261"/>
        <v>QF18</v>
      </c>
      <c r="JB71">
        <f t="shared" si="262"/>
        <v>0</v>
      </c>
      <c r="JC71">
        <f t="shared" si="263"/>
        <v>0</v>
      </c>
      <c r="JD71" t="str">
        <f t="shared" si="264"/>
        <v/>
      </c>
      <c r="JE71" t="str">
        <f t="shared" si="265"/>
        <v/>
      </c>
      <c r="JF71" t="str">
        <f t="shared" si="266"/>
        <v/>
      </c>
      <c r="JG71" t="str">
        <f t="shared" si="267"/>
        <v/>
      </c>
      <c r="JH71">
        <f>IF(B71="","",IFERROR(_xlfn.XLOOKUP(B71,Коды_код,Коды_уго),IFERROR(_xlfn.XLOOKUP(BC71,Коды_код,Коды_уго),IFERROR(_xlfn.XLOOKUP(LEFT(BC71,2),Коды_код,Коды_уго),""))))</f>
        <v>0</v>
      </c>
      <c r="JI71" t="str">
        <f>IF(B71="","",IF(OR(JH71="",JH71=0),"BOX",IFERROR(IF(VLOOKUP(JH71,УГО_блоки,3,FALSE)&amp;""&lt;&gt;"",VLOOKUP(JH71,УГО_блоки,3,FALSE),VLOOKUP(JH71,УГО_блоки,2,FALSE)),JH71)))</f>
        <v>BOX</v>
      </c>
      <c r="JJ71">
        <f t="shared" si="268"/>
        <v>1</v>
      </c>
      <c r="JK71" t="str">
        <f>IF(DQ71="","",IF(COUNTIF(DQ$3:DQ71,DQ71)=1,MAX(JK$2:JK70)+1,""))</f>
        <v/>
      </c>
      <c r="JL71" t="str">
        <f>IF(DE71="","",IF(COUNTIF(DE$3:DE71,DE71)+COUNTIF(DF$2:DF70,DE71)+COUNTIF(DG$2:DG70,DE71)=1,MAX(JL$2:JN70)+1,""))</f>
        <v/>
      </c>
      <c r="JM71" t="str">
        <f>IF(DF71="","",IF(COUNTIF(DE$3:DE71,DF71)+COUNTIF(DF$3:DF71,DF71)+COUNTIF(DG$2:DG70,DF71)=1,MAX(JL$2:JN70,JL71)+1,""))</f>
        <v/>
      </c>
      <c r="JN71" t="str">
        <f>IF(DG71="","",IF(COUNTIF(DE$3:DE71,DG71)+COUNTIF(DF$3:DF71,DG71)+COUNTIF(DG$3:DG71,DG71)=1,MAX(JL$2:JN70,JL71,JM71)+1,""))</f>
        <v/>
      </c>
      <c r="JO71" t="str">
        <f t="shared" si="269"/>
        <v>3х2,5</v>
      </c>
      <c r="JP71" t="str">
        <f>IF(JO71="","",IF(COUNTIF(JO$3:JO71,JO71)=1,MAX(JP$2:JP70)+1,""))</f>
        <v/>
      </c>
      <c r="JQ71" t="str">
        <f>IF(HG71="","",COUNTIF(HG$3:HG71,"?*"))</f>
        <v/>
      </c>
      <c r="JR71" t="str">
        <f>IF(OR(HG71="",HI71=""),"",IF(COUNTIFS(HG$3:HG71,"?*",HI$3:HI71,HI71)=1,MAX(JR$2:JR70)+1,""))</f>
        <v/>
      </c>
      <c r="JS71">
        <f t="shared" si="270"/>
        <v>0</v>
      </c>
      <c r="JT71">
        <f>IF(B71="","",COUNTIF(B$3:B71,"?*"))</f>
        <v>69</v>
      </c>
      <c r="JU71">
        <f>IF(HL71&lt;&gt;1,0,_xlfn.LET(_xlpm.k,MAX(IFERROR(--_xlfn.XLOOKUP(B71,Коды_код,Коды_3L),0),IFERROR(--_xlfn.XLOOKUP(BC71,Коды_код,Коды_3L),0),IFERROR(--_xlfn.XLOOKUP(LEFT(BC71,2),Коды_код,Коды_3L),0)),IF(_xlpm.k&gt;0,_xlpm.k,IF(IFERROR(--LEFT(SUBSTITUTE(JO71,"x","х"),FIND("х",SUBSTITUTE(JO71,"x","х"))-1),3)&gt;3,Каталог!$S$9,1))))</f>
        <v>1</v>
      </c>
      <c r="JV71">
        <f t="shared" si="271"/>
        <v>0</v>
      </c>
      <c r="JW71" t="str">
        <f t="shared" si="272"/>
        <v>авто</v>
      </c>
      <c r="JX71" t="str">
        <f t="shared" si="273"/>
        <v/>
      </c>
      <c r="JY71">
        <f t="shared" si="274"/>
        <v>0</v>
      </c>
      <c r="JZ71">
        <f t="shared" si="275"/>
        <v>1</v>
      </c>
    </row>
    <row r="72" spans="1:286" x14ac:dyDescent="0.3">
      <c r="A72" t="s">
        <v>747</v>
      </c>
      <c r="B72" t="s">
        <v>1385</v>
      </c>
      <c r="C72" t="s">
        <v>1660</v>
      </c>
      <c r="D72">
        <v>1</v>
      </c>
      <c r="E72">
        <v>1.9</v>
      </c>
      <c r="G72">
        <v>16</v>
      </c>
      <c r="H72" t="str">
        <f>Линии[[#This Row],[_авто управление]]</f>
        <v/>
      </c>
      <c r="I72" t="str">
        <f>Линии[[#This Row],[_авто аппараты]]</f>
        <v/>
      </c>
      <c r="J72">
        <v>2.5</v>
      </c>
      <c r="K72">
        <v>36</v>
      </c>
      <c r="L72" t="str">
        <f>Линии[[#This Row],[_авто фаза]]</f>
        <v>L3</v>
      </c>
      <c r="M72" t="str">
        <f>Линии[[#This Row],[_авто клемма]]</f>
        <v>XT19</v>
      </c>
      <c r="N72" t="str">
        <f t="shared" si="138"/>
        <v/>
      </c>
      <c r="O72" s="6" cm="1">
        <f t="array" ref="O72">IF(B72="","",IF(BH72&lt;&gt;"",IFERROR(_xlfn.XLOOKUP(BH72,Щиты[Щит],Щиты[Iр, А]),""),IF(BP72=1,IF(OR(N(_xlfn.XLOOKUP(A72,Щиты[Щит],Щиты[Вводов],1))&lt;=1,LOWER(TRIM(_xlfn.XLOOKUP(A72,Щиты[Щит],Щиты[АВР],"")&amp;""))="да"),IFERROR(_xlfn.XLOOKUP(A72,Щиты[Щит],Щиты[Iр, А]),""),IFERROR(N(BS72)*_xlfn.XLOOKUP(A72,Щиты[Щит],Щиты[Кс итог])/(SQRT(3)*Uн_лин*_xlfn.XLOOKUP(A72,Щиты[Щит],Щиты[cos φ])),"")),IF(BV72=1,IFERROR(BS72*1000/BU72,""),IFERROR(_xlfn.IFS(BX72=1,BS72/((Uн_лин/SQRT(3))*CE72),BX72=3,BS72/(SQRT(3)*Uн_лин*CE72)),"")))))</f>
        <v>10.284051669940206</v>
      </c>
      <c r="P72" s="7">
        <f>IF(B72="","",IFERROR(IF(VLOOKUP(BC72,Потребители_обозначение,4,FALSE)=1,VLOOKUP(BC72,Потребители_обозначение,3,FALSE)*(MAX(1,N(D72))*2-1)+EI72+VLOOKUP(BE72,Этаж_обозначение,3,FALSE)+VLOOKUP(BE72,Этаж_обозначение,4,FALSE),VLOOKUP(BC72,Потребители_обозначение,3,FALSE)*(MAX(1,N(D72))*2-1)+EI72),EI72))</f>
        <v>38</v>
      </c>
      <c r="Q72" s="6">
        <f t="shared" si="139"/>
        <v>3.1</v>
      </c>
      <c r="R72" t="str">
        <f t="shared" si="140"/>
        <v>ВВГнг(А)-LS (3х2,5)</v>
      </c>
      <c r="S72" t="str">
        <f>IF(BM72="","",IF(BN72="вводной узел","узел ","")&amp;"л."&amp;(INT((BM72-1)/Столбцов_на_лист)+1)&amp;" / "&amp;(MOD(BM72-1,Столбцов_на_лист)+1))</f>
        <v>л.3 / 2</v>
      </c>
      <c r="T72" s="119">
        <f t="shared" si="141"/>
        <v>4.5</v>
      </c>
      <c r="U72" s="7" t="str">
        <f>IF(OR(CG72=0,N(BV72)+N(IB72)=0),"",ROUNDUP(Запас_БП*(N(HY72)+N(HZ72)),0))</f>
        <v/>
      </c>
      <c r="V72" s="119" t="str">
        <f t="shared" si="142"/>
        <v/>
      </c>
      <c r="W72" s="7" t="str">
        <f>IFERROR(IF(OR(B72="",BP72=1,BV72=1,NOT(ISNUMBER(EN72)),N(DT72)=0),"",MAX(0,ROUNDDOWN((c_min*(Uн_лин*1000/SQRT(3))/(HT72*N(DT72))-_xlfn.XLOOKUP(A72,Щиты[Щит],Щиты[Zпетли на шинах, Ом]))*EN72/(2*ρкз_Cu),0))),"")</f>
        <v/>
      </c>
      <c r="Y72" t="str">
        <f>Линии[[#This Row],[_авто утечка]]</f>
        <v/>
      </c>
      <c r="Z72">
        <v>1</v>
      </c>
      <c r="AA72">
        <v>230</v>
      </c>
      <c r="AB72" t="s">
        <v>598</v>
      </c>
      <c r="AC72">
        <v>0.5</v>
      </c>
      <c r="AG72" t="s">
        <v>810</v>
      </c>
      <c r="AI72" t="s">
        <v>576</v>
      </c>
      <c r="AK72" t="str">
        <f>Линии[[#This Row],[_авто модуль]]</f>
        <v/>
      </c>
      <c r="AM72">
        <v>36</v>
      </c>
      <c r="AN72" t="s">
        <v>11</v>
      </c>
      <c r="AO72">
        <v>3</v>
      </c>
      <c r="AR72">
        <v>35</v>
      </c>
      <c r="AT72">
        <v>1</v>
      </c>
      <c r="BA72" cm="1">
        <f t="array" ref="BA72">ROW()-ROW(Линии[#Headers])</f>
        <v>70</v>
      </c>
      <c r="BC72" s="6" t="str">
        <f t="shared" si="143"/>
        <v>K</v>
      </c>
      <c r="BD72" t="str">
        <f t="shared" si="144"/>
        <v>4</v>
      </c>
      <c r="BE72" t="str">
        <f t="shared" si="145"/>
        <v>4</v>
      </c>
      <c r="BF72" t="str">
        <f t="shared" si="146"/>
        <v/>
      </c>
      <c r="BG72" t="str">
        <f t="shared" si="147"/>
        <v/>
      </c>
      <c r="BH72" t="str">
        <f>IF(X72&lt;&gt;"",X72,IF(AND(B72&lt;&gt;"",B72&lt;&gt;A72,ISNUMBER(_xlfn.XMATCH(B72,Щиты[Щит]))),B72,""))</f>
        <v/>
      </c>
      <c r="BI72" t="str" cm="1">
        <f t="array" ref="BI72">IF(B72="","",IF(BH72&lt;&gt;"","Щит "&amp;BH72,_xlfn.LET(_xlpm.nm,IFERROR(_xlfn.XLOOKUP(BC72,Коды_код,Коды_имя)&amp;"",""),_xlpm.md,IFERROR(N(_xlfn.XLOOKUP(BC72,Коды_код,Коды_режим)),1),_xlpm.ex,IF(Имя_режим="по экспликации",IFERROR(_xlfn.XLOOKUP(BE72&amp;"|"&amp;BG72,Экспликация[Этаж]&amp;"|"&amp;Экспликация[Помещение],Экспликация[Название])&amp;"",""),""),_xlpm.rm,IF(BG72="","",IF(_xlpm.ex&lt;&gt;"",". "&amp;_xlpm.ex&amp;IF(Имя_пом="нет"," ("&amp;BG72&amp;")"," (пом. "&amp;BG72&amp;")"),IF(Имя_пом="нет"," ",", пом. ")&amp;BG72)),IF(_xlpm.nm="","",IF(_xlpm.md=2,_xlpm.nm&amp;" шлейф "&amp;BE72,_xlpm.nm&amp;_xlpm.rm)))))</f>
        <v>Внутренний блок кондиционирования</v>
      </c>
      <c r="BJ72" t="str">
        <f t="shared" si="148"/>
        <v>Внешний блок кондиционирования Пом. Венткиосок</v>
      </c>
      <c r="BK72">
        <f>IFERROR(_xlfn.XMATCH(A72,Щиты[Щит]),0)</f>
        <v>4</v>
      </c>
      <c r="BL72">
        <f>_xlfn.LET(_xlpm.k,IFERROR(_xlfn.XLOOKUP(A72,Щиты[Щит],Щиты[Мест под вводной узел]),""),IF(_xlpm.k="",Столбцов_на_лист,N(_xlpm.k)))</f>
        <v>13</v>
      </c>
      <c r="BM72">
        <f t="shared" si="149"/>
        <v>36</v>
      </c>
      <c r="BN72" t="str">
        <f t="shared" si="150"/>
        <v>линии</v>
      </c>
      <c r="BO72" s="6">
        <f>IFERROR(N(_xlfn.XLOOKUP(BC72,Коды_код,Коды_квт)),0)</f>
        <v>0</v>
      </c>
      <c r="BP72">
        <f t="shared" si="151"/>
        <v>0</v>
      </c>
      <c r="BQ72" t="str">
        <f>IF(B72="","",IF(BH72&lt;&gt;"",IFERROR(_xlfn.XLOOKUP(BH72,Щиты[Щит],Щиты[Руст, кВт]),0),IF(BP72=1,IF(OR(N(_xlfn.XLOOKUP(A72,Щиты[Щит],Щиты[Вводов],1))&lt;=1,LOWER(TRIM(_xlfn.XLOOKUP(A72,Щиты[Щит],Щиты[АВР],"")&amp;""))="да"),IFERROR(_xlfn.XLOOKUP(A72,Щиты[Щит],Щиты[Руст, кВт]),0),SUMIFS(Линии[_Р для вводов],Линии[Щит],A72,Линии[Источник для режимов],GF72)),IF(BO72&gt;0,ROUND(BO72*MAX(1,N(D72)),3),""))))</f>
        <v/>
      </c>
      <c r="BR72">
        <f t="shared" si="152"/>
        <v>1.9</v>
      </c>
      <c r="BS72" s="6">
        <f>IF(B72="","",IF(BH72&lt;&gt;"",IFERROR(_xlfn.XLOOKUP(BH72,Щиты[Щит],Щиты[Руст, кВт]),0),N(BR72)))</f>
        <v>1.9</v>
      </c>
      <c r="BT72" t="str">
        <f>IF(B72="","",IFERROR(IF(VLOOKUP(BC72,Потребители_обозначение,8,FALSE)=0,"",VLOOKUP(BC72,Потребители_обозначение,8,FALSE)),""))</f>
        <v/>
      </c>
      <c r="BU72">
        <f t="shared" si="153"/>
        <v>230</v>
      </c>
      <c r="BV72">
        <f t="shared" si="154"/>
        <v>0</v>
      </c>
      <c r="BW72">
        <f>IF(B72="","",IF(BH72&lt;&gt;"",3,IFERROR(IF(N(VLOOKUP(BC72,Потребители_обозначение,9,FALSE))=0,1,VLOOKUP(BC72,Потребители_обозначение,9,FALSE)),1)))</f>
        <v>1</v>
      </c>
      <c r="BX72">
        <f t="shared" si="155"/>
        <v>1</v>
      </c>
      <c r="BY72" t="str">
        <f>IF(B72="","",_xlfn.LET(_xlpm.bc,IFERROR(IF(VLOOKUP(BC72,Потребители_обозначение,6,FALSE)=0,"",VLOOKUP(BC72,Потребители_обозначение,6,FALSE)&amp;""),""),IF(AND(GA72="да",OR(_xlpm.bc="",_xlpm.bc="мс")),Марка_пож,IF(AND(_xlpm.bc="",BH72&lt;&gt;""),"мс",_xlpm.bc))))</f>
        <v/>
      </c>
      <c r="BZ72" t="str">
        <f t="shared" si="156"/>
        <v>мс</v>
      </c>
      <c r="CA72">
        <f>IF(B72="","",_xlfn.LET(_xlpm.cc,IFERROR(N(VLOOKUP(BC72,Потребители_обозначение,7,FALSE)),0),IF(_xlpm.cc&gt;0,_xlpm.cc,IF(BZ72="","",IF(BV72=1,2,IF(N(BX72)=3,5,3))))))</f>
        <v>3</v>
      </c>
      <c r="CB72">
        <f t="shared" si="157"/>
        <v>3</v>
      </c>
      <c r="CC72">
        <f>IFERROR(N(VLOOKUP(BC72,Потребители_обозначение,10,FALSE)),0)</f>
        <v>0</v>
      </c>
      <c r="CD72">
        <f>IFERROR(VLOOKUP(BC72,Потребители_обозначение,5,FALSE),0)</f>
        <v>1</v>
      </c>
      <c r="CE72" s="6" cm="1">
        <f t="array" ref="CE72">IF(B72="","",IF(BH72&lt;&gt;"",IFERROR(_xlfn.XLOOKUP(BH72,Щиты[Щит],Щиты[cos φ]),0.95),IF(BP72=1,IFERROR(_xlfn.XLOOKUP(A72,Щиты[Щит],Щиты[cos φ]),0.95),IF(ISNUMBER(AD72),AD72,IFERROR(IF(CD72=2,_xlfn.IFS(BX72=3,VLOOKUP(BS72,Справочная_двигатели,8,FALSE),BX72=1,VLOOKUP(BS72,Справочная_двигатели,10,TRUE)),IF(AND(Методика="нормы 2026",FG72="Сил"),0.8,0.95)),0.95)))))</f>
        <v>0.8</v>
      </c>
      <c r="CF72">
        <f t="shared" si="158"/>
        <v>0</v>
      </c>
      <c r="CG72">
        <f t="shared" si="159"/>
        <v>1</v>
      </c>
      <c r="CH72">
        <f t="shared" si="160"/>
        <v>0</v>
      </c>
      <c r="CI72">
        <f>IF(B72="","",IF(BV72=1,IFERROR(BS72/((Uн_лин/SQRT(3))*MAX(0.5,N(CE72))),0),N(O72)))</f>
        <v>10.284051669940206</v>
      </c>
      <c r="CJ72">
        <f t="shared" si="161"/>
        <v>0</v>
      </c>
      <c r="CK72">
        <f t="shared" si="162"/>
        <v>0</v>
      </c>
      <c r="CL72">
        <f t="shared" si="163"/>
        <v>0</v>
      </c>
      <c r="CM72">
        <f t="shared" si="164"/>
        <v>0</v>
      </c>
      <c r="CN72">
        <f t="shared" si="165"/>
        <v>0</v>
      </c>
      <c r="CO72">
        <f>IF(BC72="",0,_xlfn.LET(_xlpm.v,IFERROR(_xlfn.XLOOKUP(B72,Коды_код,Коды_мА),IFERROR(_xlfn.XLOOKUP(BC72,Коды_код,Коды_мА),IFERROR(_xlfn.XLOOKUP(LEFT(BC72,2),Коды_код,Коды_мА),""))),IF(_xlpm.v="да",30,IF(ISNUMBER(_xlpm.v),_xlpm.v,0))))</f>
        <v>0</v>
      </c>
      <c r="CP72" t="str">
        <f t="shared" si="166"/>
        <v/>
      </c>
      <c r="CQ72" t="str">
        <f>_xlfn.LET(_xlpm.k,IFERROR(_xlfn.XLOOKUP(BC72,Коды_код,Коды_утечка)&amp;"",""),IF(_xlpm.k="","дифавтомат",_xlpm.k))</f>
        <v>дифавтомат</v>
      </c>
      <c r="CR72" t="str" cm="1">
        <f t="array" ref="CR72">IF(CG72=0,"",_xlfn.LET(_xlpm.sg,TRIM(_xlfn.TEXTSPLIT(DD72&amp;"",";")),_xlpm.f_,_xlfn._xlws.FILTER(_xlpm.sg,LEFT(_xlpm.sg,3)="УЗО",""),IFERROR(INDEX(_xlpm.f_,1)&amp;"","")))</f>
        <v/>
      </c>
      <c r="CS72" t="str">
        <f t="shared" si="167"/>
        <v/>
      </c>
      <c r="CT72" s="6" t="str" cm="1">
        <f t="array" ref="CT72">IF(CR72="","",_xlfn.LET(_xlpm.tk,_xlfn.TEXTSPLIT(UPPER(CR72)," ",,TRUE),_xlpm.a_,_xlfn._xlws.FILTER(_xlpm.tk,ISNUMBER(--LEFT(_xlpm.tk,1))*((ISNUMBER(SEARCH("А",_xlpm.tk))+ISNUMBER(SEARCH("A",_xlpm.tk)))&gt;0)*NOT(ISNUMBER(SEARCH("МА",_xlpm.tk)))*NOT(ISNUMBER(SEARCH("MA",_xlpm.tk))),""),IFERROR(--SUBSTITUTE(SUBSTITUTE(INDEX(_xlpm.a_,1),"А",""),"A",""),"")))</f>
        <v/>
      </c>
      <c r="CU72" t="str" cm="1">
        <f t="array" ref="CU72">IF(CR72="","",_xlfn.LET(_xlpm.tk,_xlfn.TEXTSPLIT(UPPER(CR72)," ",,TRUE),_xlpm.a_,_xlfn._xlws.FILTER(_xlpm.tk,ISNUMBER(--LEFT(_xlpm.tk,1))*((ISNUMBER(SEARCH("МА",_xlpm.tk))+ISNUMBER(SEARCH("MA",_xlpm.tk)))&gt;0),""),IFERROR(--SUBSTITUTE(SUBSTITUTE(INDEX(_xlpm.a_,1),"МА",""),"MA",""),30)))</f>
        <v/>
      </c>
      <c r="CV72" t="str">
        <f>IF(CS72="","",IFERROR(_xlfn.XLOOKUP(CS72,Линии[_n],Линии[_УЗО, мА]),30))</f>
        <v/>
      </c>
      <c r="CW72">
        <f>IF(CS72="",0,IF(ISNUMBER(SEARCH("4P",IFERROR(_xlfn.XLOOKUP(CS72,Линии[_n],Линии[_УЗО строки])&amp;"",""))),0,1))</f>
        <v>0</v>
      </c>
      <c r="CX72" t="str">
        <f>IF(AND(CS72&lt;&gt;"",CS72=BA72),SUMIFS(Линии[_ток на 230 В],Линии[_блок УЗО],BA72,Линии[Щит],A72),"")</f>
        <v/>
      </c>
      <c r="CY72" t="str">
        <f>IF(AND(CS72&lt;&gt;"",CS72=BA72),SUMIFS(Линии[_ток утечки линии, мА],Линии[_блок УЗО],BA72,Линии[Щит],A72),"")</f>
        <v/>
      </c>
      <c r="CZ72">
        <f t="shared" si="168"/>
        <v>0</v>
      </c>
      <c r="DA72">
        <f t="shared" si="169"/>
        <v>0</v>
      </c>
      <c r="DB72">
        <f>IF(B72="",0,IFERROR(--_xlfn.XLOOKUP(B72,Коды_код,Коды_минавт),IFERROR(--_xlfn.XLOOKUP(BC72,Коды_код,Коды_минавт),IFERROR(--_xlfn.XLOOKUP(LEFT(BC72,2),Коды_код,Коды_минавт),0))))</f>
        <v>0</v>
      </c>
      <c r="DC72" t="str">
        <f>IF(B72="","",IFERROR(_xlfn.XLOOKUP(BC72,Коды_код,Коды_апп)&amp;"",""))</f>
        <v/>
      </c>
      <c r="DD72" t="str">
        <f t="shared" si="170"/>
        <v/>
      </c>
      <c r="DE72" t="str" cm="1">
        <f t="array" ref="DE72">IF(TRIM(DD72&amp;"")="","",IFERROR(TRIM(INDEX(_xlfn.TEXTSPLIT(DD72&amp;";;;",";"),1)),""))</f>
        <v/>
      </c>
      <c r="DF72" t="str" cm="1">
        <f t="array" ref="DF72">IF(TRIM(DD72&amp;"")="","",IFERROR(TRIM(INDEX(_xlfn.TEXTSPLIT(DD72&amp;";;;",";"),2)),""))</f>
        <v/>
      </c>
      <c r="DG72" t="str" cm="1">
        <f t="array" ref="DG72">IF(TRIM(DD72&amp;"")="","",IFERROR(TRIM(INDEX(_xlfn.TEXTSPLIT(DD72&amp;";;;",";"),3)),""))</f>
        <v/>
      </c>
      <c r="DH72">
        <f t="shared" si="171"/>
        <v>0</v>
      </c>
      <c r="DI72" t="str">
        <f>IF(B72="","",_xlfn.LET(_xlpm.t,LOWER(AZ72&amp;""),IF(ISNUMBER(SEARCH("dim",_xlpm.t)),"DIM",IF(ISNUMBER(SEARCH("dali",_xlpm.t)),"DALI",IF(OR(ISNUMBER(SEARCH("relay",_xlpm.t)),ISNUMBER(SEARCH("реле",_xlpm.t))),"Relay",IF(ISNUMBER(SEARCH("кнопк",_xlpm.t)),"",IFERROR(_xlfn.XLOOKUP(BC72,Коды_код,Коды_упр)&amp;"","")))))))</f>
        <v/>
      </c>
      <c r="DJ72" t="str">
        <f t="shared" si="172"/>
        <v/>
      </c>
      <c r="DK72">
        <f>IF(B72="","",_xlfn.LET(_xlpm.ig,IF(N(CX72)&gt;0,N(CX72),N(CI72)+IF(AJ72="вручную",0,N(CJ72))),_xlpm.n0,IFERROR(VLOOKUP(_xlpm.ig,Автомат_номиналы,2,TRUE),0),_xlpm.mn,MAX(DB72,IF(AJ72="вручную",0,N(CM72))),MAX(_xlpm.n0,_xlpm.mn,IF(DH72=1,Мин_автомат_БП,0))))</f>
        <v>16</v>
      </c>
      <c r="DL72">
        <f t="shared" si="173"/>
        <v>1</v>
      </c>
      <c r="DM72" t="str">
        <f t="shared" si="174"/>
        <v>1P</v>
      </c>
      <c r="DN72" t="str">
        <f>_xlfn.LET(_xlpm.cc,UPPER(TRIM(IFERROR(_xlfn.XLOOKUP(BC72,Коды_код,Коды_хар)&amp;"",""))),IF(OR(_xlpm.cc="B",_xlpm.cc="В"),"B",IF(_xlpm.cc="D","D","С")))</f>
        <v>С</v>
      </c>
      <c r="DO72" t="str">
        <f t="shared" si="175"/>
        <v>1P С16А</v>
      </c>
      <c r="DP72">
        <f t="shared" si="176"/>
        <v>16</v>
      </c>
      <c r="DQ72" t="str">
        <f t="shared" si="177"/>
        <v>1P С16А</v>
      </c>
      <c r="DR72" cm="1">
        <f t="array" ref="DR72">IF(DQ72="","",_xlfn.LET(_xlpm.t,SUBSTITUTE(SUBSTITUTE(SUBSTITUTE(UPPER(DQ72),"С","C"),"А","A"),"В","B"),_xlpm.tk,_xlfn.TEXTSPLIT(_xlpm.t," "),_xlpm.f,_xlfn._xlws.FILTER(_xlpm.tk,ISNUMBER(--MID(_xlpm.tk,2,1))*ISNUMBER(SEARCH(LEFT(_xlpm.tk,1)&amp;"#","B#C#D#"))*(LEN(_xlpm.tk)&gt;1),""),_xlpm.x,INDEX(_xlpm.f,1),IFERROR(--SUBSTITUTE(MID(_xlpm.x,2,9),"A",""),IFERROR(--SUBSTITUTE(INDEX(_xlfn._xlws.FILTER(_xlpm.tk,ISNUMBER(--SUBSTITUTE(_xlpm.tk,"A","")),""),1),"A",""),""))))</f>
        <v>16</v>
      </c>
      <c r="DS72" t="str">
        <f t="shared" si="178"/>
        <v>ok</v>
      </c>
      <c r="DT72">
        <f t="shared" si="179"/>
        <v>16</v>
      </c>
      <c r="DU72" t="str">
        <f t="shared" si="180"/>
        <v>1P С16А</v>
      </c>
      <c r="DV72">
        <f t="shared" si="181"/>
        <v>0</v>
      </c>
      <c r="DW72">
        <f t="shared" si="182"/>
        <v>0</v>
      </c>
      <c r="DX72">
        <f t="shared" si="183"/>
        <v>0</v>
      </c>
      <c r="DY72">
        <f t="shared" si="184"/>
        <v>10.284051669940206</v>
      </c>
      <c r="DZ72">
        <f t="shared" si="185"/>
        <v>1</v>
      </c>
      <c r="EA72">
        <f>IF(ISNUMBER(AP72),AP72,К_прокл)</f>
        <v>1</v>
      </c>
      <c r="EB72">
        <f t="shared" si="186"/>
        <v>2</v>
      </c>
      <c r="EC72">
        <f>IFERROR(N(VLOOKUP(BZ72,Кабель_обозначение,3,FALSE)),1)</f>
        <v>1</v>
      </c>
      <c r="ED72">
        <f>IFERROR(N(_xlfn.XLOOKUP(A72,Щиты[Щит],Щиты[ΔU до шин, %])),0)</f>
        <v>0.64</v>
      </c>
      <c r="EE72" t="str">
        <f>IFERROR(_xlfn.XLOOKUP(A72,Щиты[Щит],Щиты[Zпетли на шинах, Ом]),"")</f>
        <v/>
      </c>
      <c r="EF72">
        <f>IFERROR(N(_xlfn.XLOOKUP(A72,Щиты[Щит],Щиты[ΔU до шин (подбор), %])),0)</f>
        <v>0.75</v>
      </c>
      <c r="EG72" t="str">
        <f>IFERROR(_xlfn.XLOOKUP(A72,Щиты[Щит],Щиты[Zпетли на шинах (подбор), Ом]),"")</f>
        <v/>
      </c>
      <c r="EH72" t="str">
        <f t="shared" si="187"/>
        <v/>
      </c>
      <c r="EI72">
        <f t="shared" si="188"/>
        <v>36</v>
      </c>
      <c r="EJ72">
        <f t="shared" si="189"/>
        <v>2</v>
      </c>
      <c r="EK72">
        <f t="shared" si="190"/>
        <v>0.6</v>
      </c>
      <c r="EL72" s="6">
        <f>IF(B72="","",IF(BV72=1,dU_LED,IF(IFERROR(_xlfn.XLOOKUP(BC72,Коды_код,Коды_уго),"")="Светильник",3,4)+IF(Методика="нормы 2026",MIN(0.5,MAX(0,N(P72)-100)*0.005),0)))</f>
        <v>4</v>
      </c>
      <c r="EM72" cm="1">
        <f t="array" ref="EM72">IF(OR(B72="",BZ72="",EC72&lt;&gt;1),"",_xlfn.LET(_xlpm.sz,Iдоп_S,_xlpm.t_,CHOOSE(EB72,Iдоп_1ж,Iдоп_2ж,Iдоп_3ж)*DZ72*EA72,_xlpm.dcx,BV72=1,_xlpm.inn,IF(_xlpm.dcx,N(O72),N(DT72)),_xlpm.smin,MAX(1.5,CC72),_xlpm.L_,N(P72)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72)/N(BU72)*100,999),IFERROR(N(EJ72)*(_xlpm.rho*_xlpm.L_/_xlpm.sz*N(CE72)+_xlpm.xx*_xlpm.L_*N(EK72)/1000)*N(O72)/((Uн_лин/SQRT(3))*1000)*100,999)),_xlpm.kz,IF(OR(_xlpm.dcx,DW72=1,NOT(ISNUMBER(EG72)),_xlpm.L_=0,_xlpm.inn=0),1,IFERROR(--(c_min*(Uн_лин*1000/SQRT(3))/(EG72+2*ρкз_Cu*_xlpm.L_/_xlpm.sz)&gt;=HT72*_xlpm.inn),0)),_xlpm.ok,IFERROR((_xlpm.sz&gt;=_xlpm.smin)*(_xlpm.t_&gt;=_xlpm.inn)*IF(_xlpm.L_&gt;0,(_xlpm.du_+IF(_xlpm.dcx,0,EF72)&lt;=EL72+0.00001),1)*_xlpm.kz,0),_xlpm.r_,_xlfn._xlws.FILTER(_xlpm.sz,_xlpm.ok,"не подобрано"),INDEX(_xlpm.r_,1)))</f>
        <v>2.5</v>
      </c>
      <c r="EN72">
        <f t="shared" si="191"/>
        <v>2.5</v>
      </c>
      <c r="EO72" cm="1">
        <f t="array" ref="EO72">IF(OR(B72="",BZ72="",EC72&lt;&gt;1),"",_xlfn.LET(_xlpm.sz,Iдоп_S,_xlpm.t_,CHOOSE(EB72,Iдоп_1ж,Iдоп_2ж,Iдоп_3ж)*DZ72*EA72,_xlpm.ok,IFERROR((_xlpm.sz&gt;=MAX(1.5,CC72))*(_xlpm.t_&gt;=N(DT72)),0),_xlpm.r_,_xlfn._xlws.FILTER(_xlpm.sz,_xlpm.ok,""),INDEX(_xlpm.r_,1)))</f>
        <v>1.5</v>
      </c>
      <c r="EP72" s="6" cm="1">
        <f t="array" ref="EP72">IFERROR(ROUNDUP(N(EJ72)*(_xlfn.XLOOKUP(EO72,INDEX(Кабель_сопротивление,0,1),INDEX(Кабель_сопротивление,0,3))*N(P72)/EO72*N(CE72)+_xlfn.XLOOKUP(EO72,INDEX(Кабель_сопротивление,0,1),INDEX(Кабель_сопротивление,0,2))*N(P72)*N(EK72)/1000)*N(O72)/((Uн_лин/SQRT(3))*1000)*100,2),"")</f>
        <v>4.09</v>
      </c>
      <c r="EQ72">
        <f>IFERROR(2*ρкз_Cu*N(P72)/EO72,"")</f>
        <v>1.3325333333333333</v>
      </c>
      <c r="ER72">
        <f>IFERROR(VLOOKUP(EN72,Кабель_сопротивление,3,FALSE),"")</f>
        <v>2.2499999999999999E-2</v>
      </c>
      <c r="ES72">
        <f>IFERROR(VLOOKUP(EN72,Кабель_сопротивление,2,FALSE),"")</f>
        <v>0.1</v>
      </c>
      <c r="ET72">
        <f t="shared" si="192"/>
        <v>35</v>
      </c>
      <c r="EU72">
        <f t="shared" si="193"/>
        <v>0</v>
      </c>
      <c r="EV72">
        <f t="shared" si="194"/>
        <v>5.6743283494062089</v>
      </c>
      <c r="EW72" s="6">
        <f>IFERROR(ROUNDUP(EV72/IF(BV72=1,BU72,(Uн_лин/SQRT(3))*1000)*100,2),"")</f>
        <v>2.46</v>
      </c>
      <c r="EX72" t="str">
        <f>IFERROR(VLOOKUP(BZ72,Кабель_обозначение,2,FALSE),"")</f>
        <v>ВВГнг(А)-LS</v>
      </c>
      <c r="EY72" t="str">
        <f t="shared" si="195"/>
        <v>ВВГнг(А)-LS (3х2,5)</v>
      </c>
      <c r="EZ72" t="str">
        <f t="shared" si="196"/>
        <v>ВВГнг(А)-LS (3х2,5)
L=38-2,46%</v>
      </c>
      <c r="FA72">
        <f>IFERROR(2*ρкз_Cu*P72/EN72,"")</f>
        <v>0.79952000000000001</v>
      </c>
      <c r="FB72">
        <f t="shared" si="197"/>
        <v>0.26600000000000001</v>
      </c>
      <c r="FC72" s="6" t="str">
        <f>IFERROR(IF(OR(B72="",BV72=1,NOT(ISNUMBER(EN72)),N(P72)=0),"",_xlfn.XLOOKUP(A72,Щиты[Щит],Щиты[Zпетли на шинах, Ом])+FA72),"")</f>
        <v/>
      </c>
      <c r="FD72" s="6" t="str">
        <f>IF(ISNUMBER(FC72),c_min*(Uн_лин*1000/SQRT(3))/FC72,"")</f>
        <v/>
      </c>
      <c r="FE72" s="6" t="str">
        <f>IFERROR(IF(OR(B72="",NOT(ISNUMBER(EN72))),"",1.05*(Uн_лин*1000/SQRT(3))/(_xlfn.XLOOKUP(A72,Щиты[Щит],Щиты[Zmax на шинах, Ом])+FB72)/1000),"")</f>
        <v/>
      </c>
      <c r="FF72" s="6" t="str">
        <f>IF(B72="","",IF(ISNUMBER(AC72),"Сил",IF(IFERROR(_xlfn.XLOOKUP(BC72,Коды_код,Коды_группа)&amp;"","")="","Быт",_xlfn.XLOOKUP(BC72,Коды_код,Коды_группа)&amp;"")))</f>
        <v>Сил</v>
      </c>
      <c r="FG72" s="6" t="str">
        <f t="shared" si="198"/>
        <v>Сил</v>
      </c>
      <c r="FH72" s="6">
        <f>IF(FG72="Щит","щит",IF(FG72="","",IF(FG72="Быт",IFERROR(_xlfn.XLOOKUP(A72,Щиты[Щит],Щиты[Кс быт]),1),IF(FG72="Сил",IF(ISNUMBER(AC72),AC72,IF(Методика="нормы 2026",IFERROR(_xlfn.XLOOKUP(A72,Щиты[Щит],Щиты[Кс силовых (табл. 7.5)]),1),1)),IF(OR(FG72="Пост",FG72="Отоп"),1,IF(FG72="ВНГ",0.7,0))))))</f>
        <v>0.5</v>
      </c>
      <c r="FI72">
        <f>IF(FG72="","",IF(AND(BP72=1,TRIM(AE72&amp;"")=""),IF(COUNTIFS(Линии[Щит],A72,Линии[Секция (1/2/3)],"&gt;=2")&gt;0,MIN(3,MAX(1,IFERROR(--BD72,1))),1),IFERROR(MIN(3,MAX(1,INT(--AE72))),1)))</f>
        <v>1</v>
      </c>
      <c r="FJ72">
        <f t="shared" si="199"/>
        <v>1.9</v>
      </c>
      <c r="FK72">
        <f t="shared" si="200"/>
        <v>0</v>
      </c>
      <c r="FL72">
        <f t="shared" si="201"/>
        <v>0.95</v>
      </c>
      <c r="FM72">
        <f t="shared" si="202"/>
        <v>0</v>
      </c>
      <c r="FN72">
        <f t="shared" si="203"/>
        <v>0</v>
      </c>
      <c r="FO72">
        <f t="shared" si="204"/>
        <v>0</v>
      </c>
      <c r="FP72">
        <f t="shared" si="205"/>
        <v>1.9</v>
      </c>
      <c r="FQ72">
        <f t="shared" si="206"/>
        <v>1.9</v>
      </c>
      <c r="FR72">
        <f t="shared" si="207"/>
        <v>1.52</v>
      </c>
      <c r="FS72">
        <f>IF(CG72=1,IF(AND(CH72=1,CW72=1),0,IF(AND(CS72&lt;&gt;"",CS72=BA72,CW72=1),SUMIFS(Линии[_Р линии, кВт],Линии[_блок УЗО],BA72,Линии[Щит],A72),N(BS72)+IF(AJ72="вручную",0,N(CK72)))),0)</f>
        <v>1.9</v>
      </c>
      <c r="FT72" t="str">
        <f t="shared" si="208"/>
        <v/>
      </c>
      <c r="FU72" t="str">
        <f>IF(B72="","",IF(CG72=0,IF(BA72=1,"",FW71),IF(AND(CH72=1,CW72=1,CS72&lt;&gt;""),IFERROR(_xlfn.XLOOKUP(CS72,Линии[_n],Линии[_фаза итог]),"L1"),IF(OR(N(DL72)&gt;=3,N(BX72)&gt;=3),"L1,L2,L3",IFERROR(_xlfn.TEXTBEFORE(_xlfn.TEXTAFTER(_xlfn.XLOOKUP(A72,Щиты[Щит],Щиты[_фазы авто]),";"&amp;BA72&amp;":"),";"),"L1")))))</f>
        <v>L3</v>
      </c>
      <c r="FV72" t="str">
        <f t="shared" si="209"/>
        <v>L3</v>
      </c>
      <c r="FW72" t="str">
        <f t="shared" si="210"/>
        <v>L3</v>
      </c>
      <c r="FX72" cm="1">
        <f t="array" ref="FX72">IFERROR(IF(CD72=2,_xlfn.IFS(BX72=3,VLOOKUP(BS72,Справочная_двигатели,3,FALSE),BX72=1,VLOOKUP(BS72,Справочная_двигатели,5,TRUE)),0),0)</f>
        <v>0</v>
      </c>
      <c r="FY72">
        <f>IFERROR(IF(CD72=3,VLOOKUP(BS72,Справочная_ЛЭД,2,TRUE),0),0)</f>
        <v>0</v>
      </c>
      <c r="FZ72" s="6">
        <f t="shared" si="211"/>
        <v>0</v>
      </c>
      <c r="GA72" t="str">
        <f>IF(B72="","",IF(TRIM(AH72&amp;"")&lt;&gt;"",IF(LOWER(TRIM(AH72&amp;""))="да","да","нет"),IF(IFERROR(_xlfn.XLOOKUP(BC72,Коды_код,Коды_пожарная),"")="да","да","нет")))</f>
        <v>нет</v>
      </c>
      <c r="GB72" t="str">
        <f t="shared" si="212"/>
        <v/>
      </c>
      <c r="GC72" t="str">
        <f t="shared" si="213"/>
        <v>основная</v>
      </c>
      <c r="GD72">
        <f>IF(AND(BP72=1,TRIM(AE72&amp;"")=""),IF(COUNTIFS(Линии[Щит],A72,Линии[Секция (1/2/3)],"&gt;=2")&gt;0,MIN(3,MAX(1,IFERROR(--BD72,1))),1),IFERROR(MIN(3,MAX(1,INT(--AE72))),1))</f>
        <v>1</v>
      </c>
      <c r="GE72" t="str" cm="1">
        <f t="array" ref="GE72">IF(B72="","",_xlfn.LET(_xlpm.t,IFERROR(_xlfn.XLOOKUP(1,(Шины[Шина]=GC72)*(((Шины[Щит]=A72)+(Шины[Щит]=""))&gt;0),Шины[Тип]),"")&amp;"",IF(_xlpm.t&lt;&gt;"",_xlpm.t,IF(ISNUMBER(SEARCH("ИБП",GC72)),"ИБП",IF(ISNUMBER(SEARCH("ДГУ",GC72)),"ДГУ","Ввод "&amp;GD72)))))</f>
        <v>Ввод 1</v>
      </c>
      <c r="GF72" t="str">
        <f t="shared" si="214"/>
        <v>Ввод 1</v>
      </c>
      <c r="GG72" t="str">
        <f>IF(BP72=0,"",IF(TRIM(AG72&amp;"")&lt;&gt;"",TRIM(AG72&amp;""),IF(OR(GE72="ИБП",GE72="ДГУ"),"I особая",_xlfn.XLOOKUP(A72,Щиты[Щит],Щиты[Категория шины «Ввод»],"III"))))</f>
        <v/>
      </c>
      <c r="GH72" t="str">
        <f>IF(A72="","",_xlfn.XLOOKUP(A72,Щиты[Щит],Щиты[Путь],""))</f>
        <v>|ГРЩ-ЖД|ЩОВ-001|</v>
      </c>
      <c r="GI72" t="str">
        <f>IF(B72="","",IF(AI72&lt;&gt;"",AI72,IF(IFERROR(_xlfn.XLOOKUP(BC72,Коды_код,Коды_вид)&amp;"","")="","Прочее",_xlfn.XLOOKUP(BC72,Коды_код,Коды_вид)&amp;"")))</f>
        <v>Кондиционирование и увлажнение</v>
      </c>
      <c r="GJ72">
        <f>IF(BM72="","",INT((BM72-1)/Столбцов_на_лист)+1)</f>
        <v>3</v>
      </c>
      <c r="GK72" t="str">
        <f t="shared" si="215"/>
        <v>ВВГнг(А)-LS (3х2,5) L=38-2,46%</v>
      </c>
      <c r="GL72">
        <f t="shared" si="216"/>
        <v>1.9</v>
      </c>
      <c r="GM72">
        <f t="shared" si="217"/>
        <v>10.29</v>
      </c>
      <c r="GN72">
        <f t="shared" si="218"/>
        <v>1</v>
      </c>
      <c r="GO72">
        <f t="shared" si="219"/>
        <v>0</v>
      </c>
      <c r="GP72">
        <f t="shared" si="220"/>
        <v>1</v>
      </c>
      <c r="GQ72">
        <f>IF(BM72="","",IF(AND(CG72=1,GP72=1),COUNTIFS(A$3:A72,A72,CG$3:CG72,1,GP$3:GP72,1),IF(OR(OR(BA72=1,A72&lt;&gt;A71),AJ72="вручную",GP72=0),"",IF(BA72=1,"",GR71))))</f>
        <v>19</v>
      </c>
      <c r="GR72">
        <f t="shared" si="221"/>
        <v>19</v>
      </c>
      <c r="GS72">
        <f>IF(B72="","",IFERROR(LOOKUP(INDEX(CHOOSE(EB72,Iдоп_1ж,Iдоп_2ж,Iдоп_3ж),MATCH(EN72,Iдоп_S,0))*DZ72*EA72,{6,10,16,20,25,32,40,50,63,80,100,125,160,200,250,315,400,500,630}),""))</f>
        <v>25</v>
      </c>
      <c r="GT72" t="str">
        <f t="shared" si="222"/>
        <v>QF19</v>
      </c>
      <c r="GU72" t="str">
        <f t="shared" si="223"/>
        <v>QF19</v>
      </c>
      <c r="GV72" t="str">
        <f t="shared" si="224"/>
        <v/>
      </c>
      <c r="GW72">
        <f t="shared" si="225"/>
        <v>0</v>
      </c>
      <c r="GX72" t="str">
        <f>IF(OR(B72="",DJ72=""),"",IFERROR(_xlfn.XLOOKUP(DJ72,Модули_умолч[Управление],Модули_умолч[Модель])&amp;"",""))</f>
        <v/>
      </c>
      <c r="GY72">
        <f>IF(DJ72="",1,IFERROR(MAX(0,N(_xlfn.XLOOKUP(DJ72,Модули_умолч[Управление],Модули_умолч[Каналов на линию]))),1))</f>
        <v>1</v>
      </c>
      <c r="GZ72" t="str">
        <f t="shared" si="226"/>
        <v/>
      </c>
      <c r="HA72" t="str">
        <f t="shared" si="227"/>
        <v/>
      </c>
      <c r="HB72" t="str">
        <f t="shared" si="228"/>
        <v/>
      </c>
      <c r="HC72">
        <f>IF(HB72="",0,IFERROR(N(VLOOKUP(HB72,Модули_спр,3,FALSE)),0))</f>
        <v>0</v>
      </c>
      <c r="HD72" t="str">
        <f t="shared" si="229"/>
        <v/>
      </c>
      <c r="HE72" t="str">
        <f t="shared" si="230"/>
        <v/>
      </c>
      <c r="HF72" t="str">
        <f>IF(OR(HE72="",HE72="-"),"",IFERROR(VLOOKUP(HE72,Модули_спр,2,FALSE),"R"))</f>
        <v/>
      </c>
      <c r="HG72" t="str">
        <f>IF(HF72="","",HF72&amp;"."&amp;COUNTIFS(A$3:A72,A72,HF$3:HF72,HF72))</f>
        <v/>
      </c>
      <c r="HH72" t="str">
        <f t="shared" si="231"/>
        <v/>
      </c>
      <c r="HI72" t="str">
        <f t="shared" si="232"/>
        <v/>
      </c>
      <c r="HJ72" t="str">
        <f t="shared" si="233"/>
        <v/>
      </c>
      <c r="HK72" t="str">
        <f t="shared" si="234"/>
        <v/>
      </c>
      <c r="HL72">
        <f t="shared" si="235"/>
        <v>1</v>
      </c>
      <c r="HM72" t="str">
        <f>IF(HL72=1,"XT"&amp;COUNTIFS(A$3:A72,A72,HL$3:HL72,1),"")</f>
        <v>XT19</v>
      </c>
      <c r="HN72" t="str">
        <f t="shared" si="236"/>
        <v>XT19</v>
      </c>
      <c r="HO72" t="str">
        <f t="shared" si="237"/>
        <v>QF19</v>
      </c>
      <c r="HP72" t="str">
        <f t="shared" si="238"/>
        <v/>
      </c>
      <c r="HQ72" t="str">
        <f t="shared" si="239"/>
        <v>ok</v>
      </c>
      <c r="HR72" t="str">
        <f>IF(OR(HJ72="",HH72=""),"",IF(HJ72+MAX(0,GY72-1)&gt;IFERROR(VLOOKUP(HI72,Модули_спр,3,FALSE),99),"ЛИШНИЙ КАНАЛ",IF(AND(AL72&lt;&gt;"=",GY72&gt;0,COUNTIFS(Линии[_модуль гр.],HH72,Линии[Канал (итог)],HJ72,Линии[Канал],"&lt;&gt;=",Линии[Щит],A72)&gt;1),"ДУБЛЬ КАНАЛА","")))</f>
        <v/>
      </c>
      <c r="HS72" s="6" t="str">
        <f t="shared" si="240"/>
        <v/>
      </c>
      <c r="HT72">
        <f t="shared" si="241"/>
        <v>10</v>
      </c>
      <c r="HU72" t="str">
        <f t="shared" si="242"/>
        <v/>
      </c>
      <c r="HV72">
        <f t="shared" si="243"/>
        <v>4.4936206679760824</v>
      </c>
      <c r="HW72">
        <f t="shared" si="244"/>
        <v>0</v>
      </c>
      <c r="HX72">
        <f t="shared" si="245"/>
        <v>0</v>
      </c>
      <c r="HY72">
        <f t="shared" si="246"/>
        <v>0</v>
      </c>
      <c r="HZ72">
        <f t="shared" si="247"/>
        <v>0</v>
      </c>
      <c r="IA72">
        <f t="shared" si="248"/>
        <v>0</v>
      </c>
      <c r="IB72">
        <f t="shared" si="249"/>
        <v>0</v>
      </c>
      <c r="IC72" t="str">
        <f t="shared" si="250"/>
        <v/>
      </c>
      <c r="ID72" t="str" cm="1">
        <f t="array" ref="ID72">IF(IC72="","",_xlfn.LET(_xlpm.tk,_xlfn.TEXTSPLIT(SUBSTITUTE(SUBSTITUTE(IC72,";"," "),"→"," ")," ",,TRUE),_xlpm.w_,_xlfn._xlws.FILTER(_xlpm.tk,ISNUMBER(--LEFT(_xlpm.tk,1))*((ISNUMBER(SEARCH("W",_xlpm.tk))+ISNUMBER(SEARCH("Вт",_xlpm.tk)))&gt;0),""),IFERROR(--SUBSTITUTE(SUBSTITUTE(UPPER(INDEX(_xlpm.w_,1)),"W",""),"ВТ",""),"")))</f>
        <v/>
      </c>
      <c r="IE72" t="str" cm="1">
        <f t="array" ref="IE72">IF(IC72="","",_xlfn.LET(_xlpm.tk,_xlfn.TEXTSPLIT(SUBSTITUTE(SUBSTITUTE(IC72,";"," "),"→"," ")," ",,TRUE),_xlpm.v_,_xlfn._xlws.FILTER(_xlpm.tk,ISNUMBER(--LEFT(_xlpm.tk,1))*((ISNUMBER(SEARCH("V",_xlpm.tk))+(RIGHT(UPPER(_xlpm.tk))="В"))&gt;0),""),IFERROR(--SUBSTITUTE(SUBSTITUTE(UPPER(INDEX(_xlpm.v_,1)),"V",""),"В",""),"")))</f>
        <v/>
      </c>
      <c r="IF72" s="6" t="str">
        <f>IF(OR(BV72=0,HI72="",HJ72=""),"",IFERROR(N(_xlfn.XLOOKUP(HI72,Каталог!$C$4:$C$500,Каталог!$Q$4:$Q$500)),""))</f>
        <v/>
      </c>
      <c r="IG72" s="6" t="str">
        <f>IF(N(IF72)=0,"",SUMIFS(Линии[Iр, А],Линии[Щит],A72,Линии[_модуль гр.],HH72,Линии[Канал (итог)],HJ72))</f>
        <v/>
      </c>
      <c r="IH72" t="str">
        <f>IF(AND(B72="",HO72=""),"",_xlfn.TEXTJOIN("; ",TRUE,IF(AND(B72&lt;&gt;"",FV72=""),"нет фазы",""),IF(AND(B72&lt;&gt;"",N(GL72)=0,FG72&lt;&gt;"Нет"),"нет мощности",""),IF(AND(HN72&lt;&gt;"",COUNTIFS(Линии[Щит],A72,Линии[Клемма (итог)],HN72)&gt;1),"дубль клеммы "&amp;HN72,""),IF(AND(HQ72&lt;&gt;"",HQ72&lt;&gt;"ok"),HQ72,""),IF(HR72&lt;&gt;"",HR72,""),IF(AND(N(CB72)&gt;=4,N(BX72)=1),CB72&amp;" жил на 1 фазе",""),IF(AND(BC72="R",CG72=1,IF(CS72&lt;&gt;"",N(CV72)&gt;30,OR(N(DA72)=0,N(DA72)&gt;30))),"розетка без дифзащиты до 30 мА",""),IF(AND(CG72=1,N(DA72)&gt;0,ISNUMBER(T72)),IF(T72&gt;N(DA72)/3,"ток утечки "&amp;FIXED(T72,1)&amp;" мА &gt; 1/3 уставки ("&amp;DA72&amp;" мА)",""),""),IF(AND(CH72=1,CS72=""),"«узо»: нет строки с УЗО выше (УЗО 2P 40А 30мА в «Аппаратах»)",""),IF(AND(CS72&lt;&gt;"",CS72=BA72),IF(CT72="","впишите номинал УЗО (УЗО 2P 40А 30мА)",IF(N(CT72)&lt;N(DT72),"УЗО "&amp;CT72&amp;" А &lt; автомата "&amp;DT72&amp;" А перед ним",IF(N(CT72)&lt;N(CX72),"УЗО "&amp;CT72&amp;" А &lt; тока блока "&amp;FIXED(CX72,1)&amp;" А",""))),""),IF(AND(CS72&lt;&gt;"",CS72=BA72,ISNUMBER(CY72)),IF(CY72&gt;N(CV72)/3,"ток утечки блока УЗО "&amp;FIXED(CY72,1)&amp;" мА &gt; 1/3 уставки ("&amp;CV72&amp;" мА)",""),""),IF(AND(CG72=1,N(BV72)+N(IB72)&gt;0,IC72=""),"линии до 50 В без БП: впишите в «Аппараты» (БП 24V 480W)",""),IF(AND(CG72=1,ISNUMBER(ID72),ISNUMBER(U72)),IF(U72&gt;ID72,"БП "&amp;ID72&amp;" Вт &lt; нужно "&amp;U72&amp;" Вт (×"&amp;Запас_БП&amp;")",""),""),IF(AND(CG72=1,ISNUMBER(IE72),N(BV72)=1),IF(IE72&lt;&gt;N(BU72),"БП на "&amp;IE72&amp;" В, линия "&amp;BU72&amp;" В",""),""),IF(AND(N(IF72)&gt;0,N(IG72)&gt;N(IF72)),HH72&amp;" канал "&amp;HJ72&amp;": "&amp;FIXED(IG72,1)&amp;" А &gt; "&amp;IF72&amp;" А",""),IFERROR(IF(AND(ISNUMBER(Q72),Q72&gt;EL72),"потери "&amp;FIXED(Q72,1)&amp;" % &gt; "&amp;EL72&amp;" %",""),""),IFERROR(IF(LEFT(HU72,4)="мало","Iкз мало — отключение &gt; 0,4 с",""),""),IF(AND(B72&lt;&gt;"",BM72=""),"не на схеме",""),IF(AND(CG72=0,B72&lt;&gt;"",FV72&lt;&gt;"",IF(BA72=1,"",FW71)&lt;&gt;"",FV72&lt;&gt;IF(BA72=1,"",FW71)),"фаза не как у автомата группы ("&amp;IF(BA72=1,"",FW71)&amp;")","")))</f>
        <v/>
      </c>
      <c r="II72" s="6">
        <f>IF(OR(CG72=0,DQ72=""),"",_xlfn.LET(_xlpm.t,IFERROR(_xlfn.XLOOKUP(DQ72,Каталог!$U$4:$U$500,Каталог!$G$4:$G$500),""),_xlpm.k,SEARCH("кА",_xlpm.t),IFERROR(--TRIM(RIGHT(SUBSTITUTE(MID(_xlpm.t,MAX(1,_xlpm.k-4),_xlpm.k-MAX(1,_xlpm.k-4))," ",REPT(" ",9)),5)),"")))</f>
        <v>6</v>
      </c>
      <c r="IJ72" t="str">
        <f>IF(OR(II72="",CG72=0),"",IF(_xlfn.XLOOKUP(A72,Щиты[Щит],Щиты[Iкз max на шинах, кА],"")="","",IF(II72&lt;_xlfn.XLOOKUP(A72,Щиты[Щит],Щиты[Iкз max на шинах, кА]),"Icu "&amp;II72&amp;" кА &lt; Iкз max","ok")))</f>
        <v/>
      </c>
      <c r="IK72" t="str">
        <f t="shared" si="251"/>
        <v/>
      </c>
      <c r="IL72" t="str">
        <f t="shared" si="252"/>
        <v>QF19|XT19</v>
      </c>
      <c r="IM72" t="str">
        <f t="shared" si="253"/>
        <v>QF19|XT19|кабель ВВГнг(А)-LS (3х2,5) → Внешний блок кондиционирования Пом. Венткиосок</v>
      </c>
      <c r="IN72" t="str" cm="1">
        <f t="array" ref="IN72">IF(IM72="","",_xlfn.LET(_xlpm.nd,_xlfn.TEXTSPLIT(IM72,"|"),IF(COLUMNS(_xlpm.nd)&gt;1,A72&amp;"¦"&amp;INDEX(_xlpm.nd,1)&amp;"¦"&amp;INDEX(_xlpm.nd,2),"")))</f>
        <v>ЩОВ-001¦QF19¦XT19</v>
      </c>
      <c r="IO72" t="str">
        <f t="shared" si="254"/>
        <v>K.4¦Внешний блок кондиционирования Пом. Венткиосок</v>
      </c>
      <c r="IP72" t="str" cm="1">
        <f t="array" ref="IP72">IF(IM72="","",_xlfn.LET(_xlpm.nd,_xlfn.TEXTSPLIT(IM72,"|"),IF(COLUMNS(_xlpm.nd)&gt;2,A72&amp;"¦"&amp;INDEX(_xlpm.nd,2)&amp;"¦"&amp;INDEX(_xlpm.nd,3),"")))</f>
        <v>ЩОВ-001¦XT19¦кабель ВВГнг(А)-LS (3х2,5) → Внешний блок кондиционирования Пом. Венткиосок</v>
      </c>
      <c r="IQ72" t="str">
        <f t="shared" si="255"/>
        <v>K.4¦Внешний блок кондиционирования Пом. Венткиосок</v>
      </c>
      <c r="IR72" t="str" cm="1">
        <f t="array" ref="IR72">IF(IM72="","",_xlfn.LET(_xlpm.nd,_xlfn.TEXTSPLIT(IM72,"|"),IF(COLUMNS(_xlpm.nd)&gt;3,A72&amp;"¦"&amp;INDEX(_xlpm.nd,3)&amp;"¦"&amp;INDEX(_xlpm.nd,4),"")))</f>
        <v/>
      </c>
      <c r="IS72" t="str">
        <f t="shared" si="256"/>
        <v/>
      </c>
      <c r="IT72" t="str" cm="1">
        <f t="array" ref="IT72">IF(IM72="","",_xlfn.LET(_xlpm.nd,_xlfn.TEXTSPLIT(IM72,"|"),IF(COLUMNS(_xlpm.nd)&gt;4,A72&amp;"¦"&amp;INDEX(_xlpm.nd,4)&amp;"¦"&amp;INDEX(_xlpm.nd,5),"")))</f>
        <v/>
      </c>
      <c r="IU72" t="str">
        <f t="shared" si="257"/>
        <v/>
      </c>
      <c r="IV72" t="str" cm="1">
        <f t="array" ref="IV72">IF(IM72="","",_xlfn.LET(_xlpm.nd,_xlfn.TEXTSPLIT(IM72,"|"),IF(COLUMNS(_xlpm.nd)&gt;5,A72&amp;"¦"&amp;INDEX(_xlpm.nd,5)&amp;"¦"&amp;INDEX(_xlpm.nd,6),"")))</f>
        <v/>
      </c>
      <c r="IW72" t="str">
        <f t="shared" si="258"/>
        <v/>
      </c>
      <c r="IX72" t="str" cm="1">
        <f t="array" ref="IX72">IF(IM72="","",_xlfn.LET(_xlpm.nd,_xlfn.TEXTSPLIT(IM72,"|"),IF(COLUMNS(_xlpm.nd)&gt;6,A72&amp;"¦"&amp;INDEX(_xlpm.nd,6)&amp;"¦"&amp;INDEX(_xlpm.nd,7),"")))</f>
        <v/>
      </c>
      <c r="IY72" t="str">
        <f t="shared" si="259"/>
        <v/>
      </c>
      <c r="IZ72" t="str">
        <f t="shared" si="260"/>
        <v/>
      </c>
      <c r="JA72" t="str">
        <f t="shared" si="261"/>
        <v>QF19 → XT19</v>
      </c>
      <c r="JB72">
        <f t="shared" si="262"/>
        <v>0</v>
      </c>
      <c r="JC72">
        <f t="shared" si="263"/>
        <v>0</v>
      </c>
      <c r="JD72" t="str">
        <f t="shared" si="264"/>
        <v/>
      </c>
      <c r="JE72" t="str">
        <f t="shared" si="265"/>
        <v/>
      </c>
      <c r="JF72" t="str">
        <f t="shared" si="266"/>
        <v/>
      </c>
      <c r="JG72" t="str">
        <f t="shared" si="267"/>
        <v/>
      </c>
      <c r="JH72">
        <f>IF(B72="","",IFERROR(_xlfn.XLOOKUP(B72,Коды_код,Коды_уго),IFERROR(_xlfn.XLOOKUP(BC72,Коды_код,Коды_уго),IFERROR(_xlfn.XLOOKUP(LEFT(BC72,2),Коды_код,Коды_уго),""))))</f>
        <v>0</v>
      </c>
      <c r="JI72" t="str">
        <f>IF(B72="","",IF(OR(JH72="",JH72=0),"BOX",IFERROR(IF(VLOOKUP(JH72,УГО_блоки,3,FALSE)&amp;""&lt;&gt;"",VLOOKUP(JH72,УГО_блоки,3,FALSE),VLOOKUP(JH72,УГО_блоки,2,FALSE)),JH72)))</f>
        <v>BOX</v>
      </c>
      <c r="JJ72">
        <f t="shared" si="268"/>
        <v>1</v>
      </c>
      <c r="JK72" t="str">
        <f>IF(DQ72="","",IF(COUNTIF(DQ$3:DQ72,DQ72)=1,MAX(JK$2:JK71)+1,""))</f>
        <v/>
      </c>
      <c r="JL72" t="str">
        <f>IF(DE72="","",IF(COUNTIF(DE$3:DE72,DE72)+COUNTIF(DF$2:DF71,DE72)+COUNTIF(DG$2:DG71,DE72)=1,MAX(JL$2:JN71)+1,""))</f>
        <v/>
      </c>
      <c r="JM72" t="str">
        <f>IF(DF72="","",IF(COUNTIF(DE$3:DE72,DF72)+COUNTIF(DF$3:DF72,DF72)+COUNTIF(DG$2:DG71,DF72)=1,MAX(JL$2:JN71,JL72)+1,""))</f>
        <v/>
      </c>
      <c r="JN72" t="str">
        <f>IF(DG72="","",IF(COUNTIF(DE$3:DE72,DG72)+COUNTIF(DF$3:DF72,DG72)+COUNTIF(DG$3:DG72,DG72)=1,MAX(JL$2:JN71,JL72,JM72)+1,""))</f>
        <v/>
      </c>
      <c r="JO72" t="str">
        <f t="shared" si="269"/>
        <v>3х2,5</v>
      </c>
      <c r="JP72" t="str">
        <f>IF(JO72="","",IF(COUNTIF(JO$3:JO72,JO72)=1,MAX(JP$2:JP71)+1,""))</f>
        <v/>
      </c>
      <c r="JQ72" t="str">
        <f>IF(HG72="","",COUNTIF(HG$3:HG72,"?*"))</f>
        <v/>
      </c>
      <c r="JR72" t="str">
        <f>IF(OR(HG72="",HI72=""),"",IF(COUNTIFS(HG$3:HG72,"?*",HI$3:HI72,HI72)=1,MAX(JR$2:JR71)+1,""))</f>
        <v/>
      </c>
      <c r="JS72">
        <f t="shared" si="270"/>
        <v>0</v>
      </c>
      <c r="JT72">
        <f>IF(B72="","",COUNTIF(B$3:B72,"?*"))</f>
        <v>70</v>
      </c>
      <c r="JU72">
        <f>IF(HL72&lt;&gt;1,0,_xlfn.LET(_xlpm.k,MAX(IFERROR(--_xlfn.XLOOKUP(B72,Коды_код,Коды_3L),0),IFERROR(--_xlfn.XLOOKUP(BC72,Коды_код,Коды_3L),0),IFERROR(--_xlfn.XLOOKUP(LEFT(BC72,2),Коды_код,Коды_3L),0)),IF(_xlpm.k&gt;0,_xlpm.k,IF(IFERROR(--LEFT(SUBSTITUTE(JO72,"x","х"),FIND("х",SUBSTITUTE(JO72,"x","х"))-1),3)&gt;3,Каталог!$S$9,1))))</f>
        <v>1</v>
      </c>
      <c r="JV72">
        <f t="shared" si="271"/>
        <v>0</v>
      </c>
      <c r="JW72" t="str">
        <f t="shared" si="272"/>
        <v>авто</v>
      </c>
      <c r="JX72" t="str">
        <f t="shared" si="273"/>
        <v/>
      </c>
      <c r="JY72">
        <f t="shared" si="274"/>
        <v>0</v>
      </c>
      <c r="JZ72">
        <f t="shared" si="275"/>
        <v>1</v>
      </c>
    </row>
    <row r="73" spans="1:286" x14ac:dyDescent="0.3">
      <c r="A73" t="s">
        <v>747</v>
      </c>
      <c r="B73" t="s">
        <v>1386</v>
      </c>
      <c r="C73" t="s">
        <v>1660</v>
      </c>
      <c r="D73">
        <v>1</v>
      </c>
      <c r="E73">
        <v>1.9</v>
      </c>
      <c r="G73">
        <v>16</v>
      </c>
      <c r="H73" t="str">
        <f>Линии[[#This Row],[_авто управление]]</f>
        <v/>
      </c>
      <c r="I73" t="str">
        <f>Линии[[#This Row],[_авто аппараты]]</f>
        <v/>
      </c>
      <c r="J73">
        <v>2.5</v>
      </c>
      <c r="K73">
        <v>35</v>
      </c>
      <c r="L73" t="str">
        <f>Линии[[#This Row],[_авто фаза]]</f>
        <v>L1</v>
      </c>
      <c r="M73" t="str">
        <f>Линии[[#This Row],[_авто клемма]]</f>
        <v>XT20</v>
      </c>
      <c r="N73" t="str">
        <f t="shared" si="138"/>
        <v/>
      </c>
      <c r="O73" s="6" cm="1">
        <f t="array" ref="O73">IF(B73="","",IF(BH73&lt;&gt;"",IFERROR(_xlfn.XLOOKUP(BH73,Щиты[Щит],Щиты[Iр, А]),""),IF(BP73=1,IF(OR(N(_xlfn.XLOOKUP(A73,Щиты[Щит],Щиты[Вводов],1))&lt;=1,LOWER(TRIM(_xlfn.XLOOKUP(A73,Щиты[Щит],Щиты[АВР],"")&amp;""))="да"),IFERROR(_xlfn.XLOOKUP(A73,Щиты[Щит],Щиты[Iр, А]),""),IFERROR(N(BS73)*_xlfn.XLOOKUP(A73,Щиты[Щит],Щиты[Кс итог])/(SQRT(3)*Uн_лин*_xlfn.XLOOKUP(A73,Щиты[Щит],Щиты[cos φ])),"")),IF(BV73=1,IFERROR(BS73*1000/BU73,""),IFERROR(_xlfn.IFS(BX73=1,BS73/((Uн_лин/SQRT(3))*CE73),BX73=3,BS73/(SQRT(3)*Uн_лин*CE73)),"")))))</f>
        <v>10.284051669940206</v>
      </c>
      <c r="P73" s="7">
        <f>IF(B73="","",IFERROR(IF(VLOOKUP(BC73,Потребители_обозначение,4,FALSE)=1,VLOOKUP(BC73,Потребители_обозначение,3,FALSE)*(MAX(1,N(D73))*2-1)+EI73+VLOOKUP(BE73,Этаж_обозначение,3,FALSE)+VLOOKUP(BE73,Этаж_обозначение,4,FALSE),VLOOKUP(BC73,Потребители_обозначение,3,FALSE)*(MAX(1,N(D73))*2-1)+EI73),EI73))</f>
        <v>35</v>
      </c>
      <c r="Q73" s="6">
        <f t="shared" si="139"/>
        <v>2.9099999999999997</v>
      </c>
      <c r="R73" t="str">
        <f t="shared" si="140"/>
        <v>ВВГнг(А)-LS (3х2,5)</v>
      </c>
      <c r="S73" t="str">
        <f>IF(BM73="","",IF(BN73="вводной узел","узел ","")&amp;"л."&amp;(INT((BM73-1)/Столбцов_на_лист)+1)&amp;" / "&amp;(MOD(BM73-1,Столбцов_на_лист)+1))</f>
        <v>л.3 / 3</v>
      </c>
      <c r="T73" s="119">
        <f t="shared" si="141"/>
        <v>4.5</v>
      </c>
      <c r="U73" s="7" t="str">
        <f>IF(OR(CG73=0,N(BV73)+N(IB73)=0),"",ROUNDUP(Запас_БП*(N(HY73)+N(HZ73)),0))</f>
        <v/>
      </c>
      <c r="V73" s="119" t="str">
        <f t="shared" si="142"/>
        <v/>
      </c>
      <c r="W73" s="7" t="str">
        <f>IFERROR(IF(OR(B73="",BP73=1,BV73=1,NOT(ISNUMBER(EN73)),N(DT73)=0),"",MAX(0,ROUNDDOWN((c_min*(Uн_лин*1000/SQRT(3))/(HT73*N(DT73))-_xlfn.XLOOKUP(A73,Щиты[Щит],Щиты[Zпетли на шинах, Ом]))*EN73/(2*ρкз_Cu),0))),"")</f>
        <v/>
      </c>
      <c r="Y73" t="str">
        <f>Линии[[#This Row],[_авто утечка]]</f>
        <v/>
      </c>
      <c r="Z73">
        <v>1</v>
      </c>
      <c r="AA73">
        <v>230</v>
      </c>
      <c r="AB73" t="s">
        <v>598</v>
      </c>
      <c r="AC73">
        <v>0.5</v>
      </c>
      <c r="AG73" t="s">
        <v>810</v>
      </c>
      <c r="AI73" t="s">
        <v>576</v>
      </c>
      <c r="AK73" t="str">
        <f>Линии[[#This Row],[_авто модуль]]</f>
        <v/>
      </c>
      <c r="AM73">
        <v>37</v>
      </c>
      <c r="AN73" t="s">
        <v>11</v>
      </c>
      <c r="AO73">
        <v>3</v>
      </c>
      <c r="AR73">
        <v>31</v>
      </c>
      <c r="AT73">
        <v>1</v>
      </c>
      <c r="BA73" cm="1">
        <f t="array" ref="BA73">ROW()-ROW(Линии[#Headers])</f>
        <v>71</v>
      </c>
      <c r="BC73" s="6" t="str">
        <f t="shared" si="143"/>
        <v>K</v>
      </c>
      <c r="BD73" t="str">
        <f t="shared" si="144"/>
        <v>5</v>
      </c>
      <c r="BE73" t="str">
        <f t="shared" si="145"/>
        <v>5</v>
      </c>
      <c r="BF73" t="str">
        <f t="shared" si="146"/>
        <v/>
      </c>
      <c r="BG73" t="str">
        <f t="shared" si="147"/>
        <v/>
      </c>
      <c r="BH73" t="str">
        <f>IF(X73&lt;&gt;"",X73,IF(AND(B73&lt;&gt;"",B73&lt;&gt;A73,ISNUMBER(_xlfn.XMATCH(B73,Щиты[Щит]))),B73,""))</f>
        <v/>
      </c>
      <c r="BI73" t="str" cm="1">
        <f t="array" ref="BI73">IF(B73="","",IF(BH73&lt;&gt;"","Щит "&amp;BH73,_xlfn.LET(_xlpm.nm,IFERROR(_xlfn.XLOOKUP(BC73,Коды_код,Коды_имя)&amp;"",""),_xlpm.md,IFERROR(N(_xlfn.XLOOKUP(BC73,Коды_код,Коды_режим)),1),_xlpm.ex,IF(Имя_режим="по экспликации",IFERROR(_xlfn.XLOOKUP(BE73&amp;"|"&amp;BG73,Экспликация[Этаж]&amp;"|"&amp;Экспликация[Помещение],Экспликация[Название])&amp;"",""),""),_xlpm.rm,IF(BG73="","",IF(_xlpm.ex&lt;&gt;"",". "&amp;_xlpm.ex&amp;IF(Имя_пом="нет"," ("&amp;BG73&amp;")"," (пом. "&amp;BG73&amp;")"),IF(Имя_пом="нет"," ",", пом. ")&amp;BG73)),IF(_xlpm.nm="","",IF(_xlpm.md=2,_xlpm.nm&amp;" шлейф "&amp;BE73,_xlpm.nm&amp;_xlpm.rm)))))</f>
        <v>Внутренний блок кондиционирования</v>
      </c>
      <c r="BJ73" t="str">
        <f t="shared" si="148"/>
        <v>Внешний блок кондиционирования Пом. Венткиосок</v>
      </c>
      <c r="BK73">
        <f>IFERROR(_xlfn.XMATCH(A73,Щиты[Щит]),0)</f>
        <v>4</v>
      </c>
      <c r="BL73">
        <f>_xlfn.LET(_xlpm.k,IFERROR(_xlfn.XLOOKUP(A73,Щиты[Щит],Щиты[Мест под вводной узел]),""),IF(_xlpm.k="",Столбцов_на_лист,N(_xlpm.k)))</f>
        <v>13</v>
      </c>
      <c r="BM73">
        <f t="shared" si="149"/>
        <v>37</v>
      </c>
      <c r="BN73" t="str">
        <f t="shared" si="150"/>
        <v>линии</v>
      </c>
      <c r="BO73" s="6">
        <f>IFERROR(N(_xlfn.XLOOKUP(BC73,Коды_код,Коды_квт)),0)</f>
        <v>0</v>
      </c>
      <c r="BP73">
        <f t="shared" si="151"/>
        <v>0</v>
      </c>
      <c r="BQ73" t="str">
        <f>IF(B73="","",IF(BH73&lt;&gt;"",IFERROR(_xlfn.XLOOKUP(BH73,Щиты[Щит],Щиты[Руст, кВт]),0),IF(BP73=1,IF(OR(N(_xlfn.XLOOKUP(A73,Щиты[Щит],Щиты[Вводов],1))&lt;=1,LOWER(TRIM(_xlfn.XLOOKUP(A73,Щиты[Щит],Щиты[АВР],"")&amp;""))="да"),IFERROR(_xlfn.XLOOKUP(A73,Щиты[Щит],Щиты[Руст, кВт]),0),SUMIFS(Линии[_Р для вводов],Линии[Щит],A73,Линии[Источник для режимов],GF73)),IF(BO73&gt;0,ROUND(BO73*MAX(1,N(D73)),3),""))))</f>
        <v/>
      </c>
      <c r="BR73">
        <f t="shared" si="152"/>
        <v>1.9</v>
      </c>
      <c r="BS73" s="6">
        <f>IF(B73="","",IF(BH73&lt;&gt;"",IFERROR(_xlfn.XLOOKUP(BH73,Щиты[Щит],Щиты[Руст, кВт]),0),N(BR73)))</f>
        <v>1.9</v>
      </c>
      <c r="BT73" t="str">
        <f>IF(B73="","",IFERROR(IF(VLOOKUP(BC73,Потребители_обозначение,8,FALSE)=0,"",VLOOKUP(BC73,Потребители_обозначение,8,FALSE)),""))</f>
        <v/>
      </c>
      <c r="BU73">
        <f t="shared" si="153"/>
        <v>230</v>
      </c>
      <c r="BV73">
        <f t="shared" si="154"/>
        <v>0</v>
      </c>
      <c r="BW73">
        <f>IF(B73="","",IF(BH73&lt;&gt;"",3,IFERROR(IF(N(VLOOKUP(BC73,Потребители_обозначение,9,FALSE))=0,1,VLOOKUP(BC73,Потребители_обозначение,9,FALSE)),1)))</f>
        <v>1</v>
      </c>
      <c r="BX73">
        <f t="shared" si="155"/>
        <v>1</v>
      </c>
      <c r="BY73" t="str">
        <f>IF(B73="","",_xlfn.LET(_xlpm.bc,IFERROR(IF(VLOOKUP(BC73,Потребители_обозначение,6,FALSE)=0,"",VLOOKUP(BC73,Потребители_обозначение,6,FALSE)&amp;""),""),IF(AND(GA73="да",OR(_xlpm.bc="",_xlpm.bc="мс")),Марка_пож,IF(AND(_xlpm.bc="",BH73&lt;&gt;""),"мс",_xlpm.bc))))</f>
        <v/>
      </c>
      <c r="BZ73" t="str">
        <f t="shared" si="156"/>
        <v>мс</v>
      </c>
      <c r="CA73">
        <f>IF(B73="","",_xlfn.LET(_xlpm.cc,IFERROR(N(VLOOKUP(BC73,Потребители_обозначение,7,FALSE)),0),IF(_xlpm.cc&gt;0,_xlpm.cc,IF(BZ73="","",IF(BV73=1,2,IF(N(BX73)=3,5,3))))))</f>
        <v>3</v>
      </c>
      <c r="CB73">
        <f t="shared" si="157"/>
        <v>3</v>
      </c>
      <c r="CC73">
        <f>IFERROR(N(VLOOKUP(BC73,Потребители_обозначение,10,FALSE)),0)</f>
        <v>0</v>
      </c>
      <c r="CD73">
        <f>IFERROR(VLOOKUP(BC73,Потребители_обозначение,5,FALSE),0)</f>
        <v>1</v>
      </c>
      <c r="CE73" s="6" cm="1">
        <f t="array" ref="CE73">IF(B73="","",IF(BH73&lt;&gt;"",IFERROR(_xlfn.XLOOKUP(BH73,Щиты[Щит],Щиты[cos φ]),0.95),IF(BP73=1,IFERROR(_xlfn.XLOOKUP(A73,Щиты[Щит],Щиты[cos φ]),0.95),IF(ISNUMBER(AD73),AD73,IFERROR(IF(CD73=2,_xlfn.IFS(BX73=3,VLOOKUP(BS73,Справочная_двигатели,8,FALSE),BX73=1,VLOOKUP(BS73,Справочная_двигатели,10,TRUE)),IF(AND(Методика="нормы 2026",FG73="Сил"),0.8,0.95)),0.95)))))</f>
        <v>0.8</v>
      </c>
      <c r="CF73">
        <f t="shared" si="158"/>
        <v>0</v>
      </c>
      <c r="CG73">
        <f t="shared" si="159"/>
        <v>1</v>
      </c>
      <c r="CH73">
        <f t="shared" si="160"/>
        <v>0</v>
      </c>
      <c r="CI73">
        <f>IF(B73="","",IF(BV73=1,IFERROR(BS73/((Uн_лин/SQRT(3))*MAX(0.5,N(CE73))),0),N(O73)))</f>
        <v>10.284051669940206</v>
      </c>
      <c r="CJ73">
        <f t="shared" si="161"/>
        <v>0</v>
      </c>
      <c r="CK73">
        <f t="shared" si="162"/>
        <v>0</v>
      </c>
      <c r="CL73">
        <f t="shared" si="163"/>
        <v>0</v>
      </c>
      <c r="CM73">
        <f t="shared" si="164"/>
        <v>0</v>
      </c>
      <c r="CN73">
        <f t="shared" si="165"/>
        <v>0</v>
      </c>
      <c r="CO73">
        <f>IF(BC73="",0,_xlfn.LET(_xlpm.v,IFERROR(_xlfn.XLOOKUP(B73,Коды_код,Коды_мА),IFERROR(_xlfn.XLOOKUP(BC73,Коды_код,Коды_мА),IFERROR(_xlfn.XLOOKUP(LEFT(BC73,2),Коды_код,Коды_мА),""))),IF(_xlpm.v="да",30,IF(ISNUMBER(_xlpm.v),_xlpm.v,0))))</f>
        <v>0</v>
      </c>
      <c r="CP73" t="str">
        <f t="shared" si="166"/>
        <v/>
      </c>
      <c r="CQ73" t="str">
        <f>_xlfn.LET(_xlpm.k,IFERROR(_xlfn.XLOOKUP(BC73,Коды_код,Коды_утечка)&amp;"",""),IF(_xlpm.k="","дифавтомат",_xlpm.k))</f>
        <v>дифавтомат</v>
      </c>
      <c r="CR73" t="str" cm="1">
        <f t="array" ref="CR73">IF(CG73=0,"",_xlfn.LET(_xlpm.sg,TRIM(_xlfn.TEXTSPLIT(DD73&amp;"",";")),_xlpm.f_,_xlfn._xlws.FILTER(_xlpm.sg,LEFT(_xlpm.sg,3)="УЗО",""),IFERROR(INDEX(_xlpm.f_,1)&amp;"","")))</f>
        <v/>
      </c>
      <c r="CS73" t="str">
        <f t="shared" si="167"/>
        <v/>
      </c>
      <c r="CT73" s="6" t="str" cm="1">
        <f t="array" ref="CT73">IF(CR73="","",_xlfn.LET(_xlpm.tk,_xlfn.TEXTSPLIT(UPPER(CR73)," ",,TRUE),_xlpm.a_,_xlfn._xlws.FILTER(_xlpm.tk,ISNUMBER(--LEFT(_xlpm.tk,1))*((ISNUMBER(SEARCH("А",_xlpm.tk))+ISNUMBER(SEARCH("A",_xlpm.tk)))&gt;0)*NOT(ISNUMBER(SEARCH("МА",_xlpm.tk)))*NOT(ISNUMBER(SEARCH("MA",_xlpm.tk))),""),IFERROR(--SUBSTITUTE(SUBSTITUTE(INDEX(_xlpm.a_,1),"А",""),"A",""),"")))</f>
        <v/>
      </c>
      <c r="CU73" t="str" cm="1">
        <f t="array" ref="CU73">IF(CR73="","",_xlfn.LET(_xlpm.tk,_xlfn.TEXTSPLIT(UPPER(CR73)," ",,TRUE),_xlpm.a_,_xlfn._xlws.FILTER(_xlpm.tk,ISNUMBER(--LEFT(_xlpm.tk,1))*((ISNUMBER(SEARCH("МА",_xlpm.tk))+ISNUMBER(SEARCH("MA",_xlpm.tk)))&gt;0),""),IFERROR(--SUBSTITUTE(SUBSTITUTE(INDEX(_xlpm.a_,1),"МА",""),"MA",""),30)))</f>
        <v/>
      </c>
      <c r="CV73" t="str">
        <f>IF(CS73="","",IFERROR(_xlfn.XLOOKUP(CS73,Линии[_n],Линии[_УЗО, мА]),30))</f>
        <v/>
      </c>
      <c r="CW73">
        <f>IF(CS73="",0,IF(ISNUMBER(SEARCH("4P",IFERROR(_xlfn.XLOOKUP(CS73,Линии[_n],Линии[_УЗО строки])&amp;"",""))),0,1))</f>
        <v>0</v>
      </c>
      <c r="CX73" t="str">
        <f>IF(AND(CS73&lt;&gt;"",CS73=BA73),SUMIFS(Линии[_ток на 230 В],Линии[_блок УЗО],BA73,Линии[Щит],A73),"")</f>
        <v/>
      </c>
      <c r="CY73" t="str">
        <f>IF(AND(CS73&lt;&gt;"",CS73=BA73),SUMIFS(Линии[_ток утечки линии, мА],Линии[_блок УЗО],BA73,Линии[Щит],A73),"")</f>
        <v/>
      </c>
      <c r="CZ73">
        <f t="shared" si="168"/>
        <v>0</v>
      </c>
      <c r="DA73">
        <f t="shared" si="169"/>
        <v>0</v>
      </c>
      <c r="DB73">
        <f>IF(B73="",0,IFERROR(--_xlfn.XLOOKUP(B73,Коды_код,Коды_минавт),IFERROR(--_xlfn.XLOOKUP(BC73,Коды_код,Коды_минавт),IFERROR(--_xlfn.XLOOKUP(LEFT(BC73,2),Коды_код,Коды_минавт),0))))</f>
        <v>0</v>
      </c>
      <c r="DC73" t="str">
        <f>IF(B73="","",IFERROR(_xlfn.XLOOKUP(BC73,Коды_код,Коды_апп)&amp;"",""))</f>
        <v/>
      </c>
      <c r="DD73" t="str">
        <f t="shared" si="170"/>
        <v/>
      </c>
      <c r="DE73" t="str" cm="1">
        <f t="array" ref="DE73">IF(TRIM(DD73&amp;"")="","",IFERROR(TRIM(INDEX(_xlfn.TEXTSPLIT(DD73&amp;";;;",";"),1)),""))</f>
        <v/>
      </c>
      <c r="DF73" t="str" cm="1">
        <f t="array" ref="DF73">IF(TRIM(DD73&amp;"")="","",IFERROR(TRIM(INDEX(_xlfn.TEXTSPLIT(DD73&amp;";;;",";"),2)),""))</f>
        <v/>
      </c>
      <c r="DG73" t="str" cm="1">
        <f t="array" ref="DG73">IF(TRIM(DD73&amp;"")="","",IFERROR(TRIM(INDEX(_xlfn.TEXTSPLIT(DD73&amp;";;;",";"),3)),""))</f>
        <v/>
      </c>
      <c r="DH73">
        <f t="shared" si="171"/>
        <v>0</v>
      </c>
      <c r="DI73" t="str">
        <f>IF(B73="","",_xlfn.LET(_xlpm.t,LOWER(AZ73&amp;""),IF(ISNUMBER(SEARCH("dim",_xlpm.t)),"DIM",IF(ISNUMBER(SEARCH("dali",_xlpm.t)),"DALI",IF(OR(ISNUMBER(SEARCH("relay",_xlpm.t)),ISNUMBER(SEARCH("реле",_xlpm.t))),"Relay",IF(ISNUMBER(SEARCH("кнопк",_xlpm.t)),"",IFERROR(_xlfn.XLOOKUP(BC73,Коды_код,Коды_упр)&amp;"","")))))))</f>
        <v/>
      </c>
      <c r="DJ73" t="str">
        <f t="shared" si="172"/>
        <v/>
      </c>
      <c r="DK73">
        <f>IF(B73="","",_xlfn.LET(_xlpm.ig,IF(N(CX73)&gt;0,N(CX73),N(CI73)+IF(AJ73="вручную",0,N(CJ73))),_xlpm.n0,IFERROR(VLOOKUP(_xlpm.ig,Автомат_номиналы,2,TRUE),0),_xlpm.mn,MAX(DB73,IF(AJ73="вручную",0,N(CM73))),MAX(_xlpm.n0,_xlpm.mn,IF(DH73=1,Мин_автомат_БП,0))))</f>
        <v>16</v>
      </c>
      <c r="DL73">
        <f t="shared" si="173"/>
        <v>1</v>
      </c>
      <c r="DM73" t="str">
        <f t="shared" si="174"/>
        <v>1P</v>
      </c>
      <c r="DN73" t="str">
        <f>_xlfn.LET(_xlpm.cc,UPPER(TRIM(IFERROR(_xlfn.XLOOKUP(BC73,Коды_код,Коды_хар)&amp;"",""))),IF(OR(_xlpm.cc="B",_xlpm.cc="В"),"B",IF(_xlpm.cc="D","D","С")))</f>
        <v>С</v>
      </c>
      <c r="DO73" t="str">
        <f t="shared" si="175"/>
        <v>1P С16А</v>
      </c>
      <c r="DP73">
        <f t="shared" si="176"/>
        <v>16</v>
      </c>
      <c r="DQ73" t="str">
        <f t="shared" si="177"/>
        <v>1P С16А</v>
      </c>
      <c r="DR73" cm="1">
        <f t="array" ref="DR73">IF(DQ73="","",_xlfn.LET(_xlpm.t,SUBSTITUTE(SUBSTITUTE(SUBSTITUTE(UPPER(DQ73),"С","C"),"А","A"),"В","B"),_xlpm.tk,_xlfn.TEXTSPLIT(_xlpm.t," "),_xlpm.f,_xlfn._xlws.FILTER(_xlpm.tk,ISNUMBER(--MID(_xlpm.tk,2,1))*ISNUMBER(SEARCH(LEFT(_xlpm.tk,1)&amp;"#","B#C#D#"))*(LEN(_xlpm.tk)&gt;1),""),_xlpm.x,INDEX(_xlpm.f,1),IFERROR(--SUBSTITUTE(MID(_xlpm.x,2,9),"A",""),IFERROR(--SUBSTITUTE(INDEX(_xlfn._xlws.FILTER(_xlpm.tk,ISNUMBER(--SUBSTITUTE(_xlpm.tk,"A","")),""),1),"A",""),""))))</f>
        <v>16</v>
      </c>
      <c r="DS73" t="str">
        <f t="shared" si="178"/>
        <v>ok</v>
      </c>
      <c r="DT73">
        <f t="shared" si="179"/>
        <v>16</v>
      </c>
      <c r="DU73" t="str">
        <f t="shared" si="180"/>
        <v>1P С16А</v>
      </c>
      <c r="DV73">
        <f t="shared" si="181"/>
        <v>0</v>
      </c>
      <c r="DW73">
        <f t="shared" si="182"/>
        <v>0</v>
      </c>
      <c r="DX73">
        <f t="shared" si="183"/>
        <v>0</v>
      </c>
      <c r="DY73">
        <f t="shared" si="184"/>
        <v>10.284051669940206</v>
      </c>
      <c r="DZ73">
        <f t="shared" si="185"/>
        <v>1</v>
      </c>
      <c r="EA73">
        <f>IF(ISNUMBER(AP73),AP73,К_прокл)</f>
        <v>1</v>
      </c>
      <c r="EB73">
        <f t="shared" si="186"/>
        <v>2</v>
      </c>
      <c r="EC73">
        <f>IFERROR(N(VLOOKUP(BZ73,Кабель_обозначение,3,FALSE)),1)</f>
        <v>1</v>
      </c>
      <c r="ED73">
        <f>IFERROR(N(_xlfn.XLOOKUP(A73,Щиты[Щит],Щиты[ΔU до шин, %])),0)</f>
        <v>0.64</v>
      </c>
      <c r="EE73" t="str">
        <f>IFERROR(_xlfn.XLOOKUP(A73,Щиты[Щит],Щиты[Zпетли на шинах, Ом]),"")</f>
        <v/>
      </c>
      <c r="EF73">
        <f>IFERROR(N(_xlfn.XLOOKUP(A73,Щиты[Щит],Щиты[ΔU до шин (подбор), %])),0)</f>
        <v>0.75</v>
      </c>
      <c r="EG73" t="str">
        <f>IFERROR(_xlfn.XLOOKUP(A73,Щиты[Щит],Щиты[Zпетли на шинах (подбор), Ом]),"")</f>
        <v/>
      </c>
      <c r="EH73" t="str">
        <f t="shared" si="187"/>
        <v/>
      </c>
      <c r="EI73">
        <f t="shared" si="188"/>
        <v>35</v>
      </c>
      <c r="EJ73">
        <f t="shared" si="189"/>
        <v>2</v>
      </c>
      <c r="EK73">
        <f t="shared" si="190"/>
        <v>0.6</v>
      </c>
      <c r="EL73" s="6">
        <f>IF(B73="","",IF(BV73=1,dU_LED,IF(IFERROR(_xlfn.XLOOKUP(BC73,Коды_код,Коды_уго),"")="Светильник",3,4)+IF(Методика="нормы 2026",MIN(0.5,MAX(0,N(P73)-100)*0.005),0)))</f>
        <v>4</v>
      </c>
      <c r="EM73" cm="1">
        <f t="array" ref="EM73">IF(OR(B73="",BZ73="",EC73&lt;&gt;1),"",_xlfn.LET(_xlpm.sz,Iдоп_S,_xlpm.t_,CHOOSE(EB73,Iдоп_1ж,Iдоп_2ж,Iдоп_3ж)*DZ73*EA73,_xlpm.dcx,BV73=1,_xlpm.inn,IF(_xlpm.dcx,N(O73),N(DT73)),_xlpm.smin,MAX(1.5,CC73),_xlpm.L_,N(P73)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73)/N(BU73)*100,999),IFERROR(N(EJ73)*(_xlpm.rho*_xlpm.L_/_xlpm.sz*N(CE73)+_xlpm.xx*_xlpm.L_*N(EK73)/1000)*N(O73)/((Uн_лин/SQRT(3))*1000)*100,999)),_xlpm.kz,IF(OR(_xlpm.dcx,DW73=1,NOT(ISNUMBER(EG73)),_xlpm.L_=0,_xlpm.inn=0),1,IFERROR(--(c_min*(Uн_лин*1000/SQRT(3))/(EG73+2*ρкз_Cu*_xlpm.L_/_xlpm.sz)&gt;=HT73*_xlpm.inn),0)),_xlpm.ok,IFERROR((_xlpm.sz&gt;=_xlpm.smin)*(_xlpm.t_&gt;=_xlpm.inn)*IF(_xlpm.L_&gt;0,(_xlpm.du_+IF(_xlpm.dcx,0,EF73)&lt;=EL73+0.00001),1)*_xlpm.kz,0),_xlpm.r_,_xlfn._xlws.FILTER(_xlpm.sz,_xlpm.ok,"не подобрано"),INDEX(_xlpm.r_,1)))</f>
        <v>2.5</v>
      </c>
      <c r="EN73">
        <f t="shared" si="191"/>
        <v>2.5</v>
      </c>
      <c r="EO73" cm="1">
        <f t="array" ref="EO73">IF(OR(B73="",BZ73="",EC73&lt;&gt;1),"",_xlfn.LET(_xlpm.sz,Iдоп_S,_xlpm.t_,CHOOSE(EB73,Iдоп_1ж,Iдоп_2ж,Iдоп_3ж)*DZ73*EA73,_xlpm.ok,IFERROR((_xlpm.sz&gt;=MAX(1.5,CC73))*(_xlpm.t_&gt;=N(DT73)),0),_xlpm.r_,_xlfn._xlws.FILTER(_xlpm.sz,_xlpm.ok,""),INDEX(_xlpm.r_,1)))</f>
        <v>1.5</v>
      </c>
      <c r="EP73" s="6" cm="1">
        <f t="array" ref="EP73">IFERROR(ROUNDUP(N(EJ73)*(_xlfn.XLOOKUP(EO73,INDEX(Кабель_сопротивление,0,1),INDEX(Кабель_сопротивление,0,3))*N(P73)/EO73*N(CE73)+_xlfn.XLOOKUP(EO73,INDEX(Кабель_сопротивление,0,1),INDEX(Кабель_сопротивление,0,2))*N(P73)*N(EK73)/1000)*N(O73)/((Uн_лин/SQRT(3))*1000)*100,2),"")</f>
        <v>3.7699999999999996</v>
      </c>
      <c r="EQ73">
        <f>IFERROR(2*ρкз_Cu*N(P73)/EO73,"")</f>
        <v>1.2273333333333334</v>
      </c>
      <c r="ER73">
        <f>IFERROR(VLOOKUP(EN73,Кабель_сопротивление,3,FALSE),"")</f>
        <v>2.2499999999999999E-2</v>
      </c>
      <c r="ES73">
        <f>IFERROR(VLOOKUP(EN73,Кабель_сопротивление,2,FALSE),"")</f>
        <v>0.1</v>
      </c>
      <c r="ET73">
        <f t="shared" si="192"/>
        <v>31</v>
      </c>
      <c r="EU73">
        <f t="shared" si="193"/>
        <v>0</v>
      </c>
      <c r="EV73">
        <f t="shared" si="194"/>
        <v>5.2263550586636125</v>
      </c>
      <c r="EW73" s="6">
        <f>IFERROR(ROUNDUP(EV73/IF(BV73=1,BU73,(Uн_лин/SQRT(3))*1000)*100,2),"")</f>
        <v>2.2699999999999996</v>
      </c>
      <c r="EX73" t="str">
        <f>IFERROR(VLOOKUP(BZ73,Кабель_обозначение,2,FALSE),"")</f>
        <v>ВВГнг(А)-LS</v>
      </c>
      <c r="EY73" t="str">
        <f t="shared" si="195"/>
        <v>ВВГнг(А)-LS (3х2,5)</v>
      </c>
      <c r="EZ73" t="str">
        <f t="shared" si="196"/>
        <v>ВВГнг(А)-LS (3х2,5)
L=35-2,27%</v>
      </c>
      <c r="FA73">
        <f>IFERROR(2*ρкз_Cu*P73/EN73,"")</f>
        <v>0.73639999999999994</v>
      </c>
      <c r="FB73">
        <f t="shared" si="197"/>
        <v>0.24500000000000002</v>
      </c>
      <c r="FC73" s="6" t="str">
        <f>IFERROR(IF(OR(B73="",BV73=1,NOT(ISNUMBER(EN73)),N(P73)=0),"",_xlfn.XLOOKUP(A73,Щиты[Щит],Щиты[Zпетли на шинах, Ом])+FA73),"")</f>
        <v/>
      </c>
      <c r="FD73" s="6" t="str">
        <f>IF(ISNUMBER(FC73),c_min*(Uн_лин*1000/SQRT(3))/FC73,"")</f>
        <v/>
      </c>
      <c r="FE73" s="6" t="str">
        <f>IFERROR(IF(OR(B73="",NOT(ISNUMBER(EN73))),"",1.05*(Uн_лин*1000/SQRT(3))/(_xlfn.XLOOKUP(A73,Щиты[Щит],Щиты[Zmax на шинах, Ом])+FB73)/1000),"")</f>
        <v/>
      </c>
      <c r="FF73" s="6" t="str">
        <f>IF(B73="","",IF(ISNUMBER(AC73),"Сил",IF(IFERROR(_xlfn.XLOOKUP(BC73,Коды_код,Коды_группа)&amp;"","")="","Быт",_xlfn.XLOOKUP(BC73,Коды_код,Коды_группа)&amp;"")))</f>
        <v>Сил</v>
      </c>
      <c r="FG73" s="6" t="str">
        <f t="shared" si="198"/>
        <v>Сил</v>
      </c>
      <c r="FH73" s="6">
        <f>IF(FG73="Щит","щит",IF(FG73="","",IF(FG73="Быт",IFERROR(_xlfn.XLOOKUP(A73,Щиты[Щит],Щиты[Кс быт]),1),IF(FG73="Сил",IF(ISNUMBER(AC73),AC73,IF(Методика="нормы 2026",IFERROR(_xlfn.XLOOKUP(A73,Щиты[Щит],Щиты[Кс силовых (табл. 7.5)]),1),1)),IF(OR(FG73="Пост",FG73="Отоп"),1,IF(FG73="ВНГ",0.7,0))))))</f>
        <v>0.5</v>
      </c>
      <c r="FI73">
        <f>IF(FG73="","",IF(AND(BP73=1,TRIM(AE73&amp;"")=""),IF(COUNTIFS(Линии[Щит],A73,Линии[Секция (1/2/3)],"&gt;=2")&gt;0,MIN(3,MAX(1,IFERROR(--BD73,1))),1),IFERROR(MIN(3,MAX(1,INT(--AE73))),1)))</f>
        <v>1</v>
      </c>
      <c r="FJ73">
        <f t="shared" si="199"/>
        <v>1.9</v>
      </c>
      <c r="FK73">
        <f t="shared" si="200"/>
        <v>0</v>
      </c>
      <c r="FL73">
        <f t="shared" si="201"/>
        <v>0.95</v>
      </c>
      <c r="FM73">
        <f t="shared" si="202"/>
        <v>0</v>
      </c>
      <c r="FN73">
        <f t="shared" si="203"/>
        <v>0</v>
      </c>
      <c r="FO73">
        <f t="shared" si="204"/>
        <v>0</v>
      </c>
      <c r="FP73">
        <f t="shared" si="205"/>
        <v>1.9</v>
      </c>
      <c r="FQ73">
        <f t="shared" si="206"/>
        <v>1.9</v>
      </c>
      <c r="FR73">
        <f t="shared" si="207"/>
        <v>1.52</v>
      </c>
      <c r="FS73">
        <f>IF(CG73=1,IF(AND(CH73=1,CW73=1),0,IF(AND(CS73&lt;&gt;"",CS73=BA73,CW73=1),SUMIFS(Линии[_Р линии, кВт],Линии[_блок УЗО],BA73,Линии[Щит],A73),N(BS73)+IF(AJ73="вручную",0,N(CK73)))),0)</f>
        <v>1.9</v>
      </c>
      <c r="FT73" t="str">
        <f t="shared" si="208"/>
        <v/>
      </c>
      <c r="FU73" t="str">
        <f>IF(B73="","",IF(CG73=0,IF(BA73=1,"",FW72),IF(AND(CH73=1,CW73=1,CS73&lt;&gt;""),IFERROR(_xlfn.XLOOKUP(CS73,Линии[_n],Линии[_фаза итог]),"L1"),IF(OR(N(DL73)&gt;=3,N(BX73)&gt;=3),"L1,L2,L3",IFERROR(_xlfn.TEXTBEFORE(_xlfn.TEXTAFTER(_xlfn.XLOOKUP(A73,Щиты[Щит],Щиты[_фазы авто]),";"&amp;BA73&amp;":"),";"),"L1")))))</f>
        <v>L1</v>
      </c>
      <c r="FV73" t="str">
        <f t="shared" si="209"/>
        <v>L1</v>
      </c>
      <c r="FW73" t="str">
        <f t="shared" si="210"/>
        <v>L1</v>
      </c>
      <c r="FX73" cm="1">
        <f t="array" ref="FX73">IFERROR(IF(CD73=2,_xlfn.IFS(BX73=3,VLOOKUP(BS73,Справочная_двигатели,3,FALSE),BX73=1,VLOOKUP(BS73,Справочная_двигатели,5,TRUE)),0),0)</f>
        <v>0</v>
      </c>
      <c r="FY73">
        <f>IFERROR(IF(CD73=3,VLOOKUP(BS73,Справочная_ЛЭД,2,TRUE),0),0)</f>
        <v>0</v>
      </c>
      <c r="FZ73" s="6">
        <f t="shared" si="211"/>
        <v>0</v>
      </c>
      <c r="GA73" t="str">
        <f>IF(B73="","",IF(TRIM(AH73&amp;"")&lt;&gt;"",IF(LOWER(TRIM(AH73&amp;""))="да","да","нет"),IF(IFERROR(_xlfn.XLOOKUP(BC73,Коды_код,Коды_пожарная),"")="да","да","нет")))</f>
        <v>нет</v>
      </c>
      <c r="GB73" t="str">
        <f t="shared" si="212"/>
        <v/>
      </c>
      <c r="GC73" t="str">
        <f t="shared" si="213"/>
        <v>основная</v>
      </c>
      <c r="GD73">
        <f>IF(AND(BP73=1,TRIM(AE73&amp;"")=""),IF(COUNTIFS(Линии[Щит],A73,Линии[Секция (1/2/3)],"&gt;=2")&gt;0,MIN(3,MAX(1,IFERROR(--BD73,1))),1),IFERROR(MIN(3,MAX(1,INT(--AE73))),1))</f>
        <v>1</v>
      </c>
      <c r="GE73" t="str" cm="1">
        <f t="array" ref="GE73">IF(B73="","",_xlfn.LET(_xlpm.t,IFERROR(_xlfn.XLOOKUP(1,(Шины[Шина]=GC73)*(((Шины[Щит]=A73)+(Шины[Щит]=""))&gt;0),Шины[Тип]),"")&amp;"",IF(_xlpm.t&lt;&gt;"",_xlpm.t,IF(ISNUMBER(SEARCH("ИБП",GC73)),"ИБП",IF(ISNUMBER(SEARCH("ДГУ",GC73)),"ДГУ","Ввод "&amp;GD73)))))</f>
        <v>Ввод 1</v>
      </c>
      <c r="GF73" t="str">
        <f t="shared" si="214"/>
        <v>Ввод 1</v>
      </c>
      <c r="GG73" t="str">
        <f>IF(BP73=0,"",IF(TRIM(AG73&amp;"")&lt;&gt;"",TRIM(AG73&amp;""),IF(OR(GE73="ИБП",GE73="ДГУ"),"I особая",_xlfn.XLOOKUP(A73,Щиты[Щит],Щиты[Категория шины «Ввод»],"III"))))</f>
        <v/>
      </c>
      <c r="GH73" t="str">
        <f>IF(A73="","",_xlfn.XLOOKUP(A73,Щиты[Щит],Щиты[Путь],""))</f>
        <v>|ГРЩ-ЖД|ЩОВ-001|</v>
      </c>
      <c r="GI73" t="str">
        <f>IF(B73="","",IF(AI73&lt;&gt;"",AI73,IF(IFERROR(_xlfn.XLOOKUP(BC73,Коды_код,Коды_вид)&amp;"","")="","Прочее",_xlfn.XLOOKUP(BC73,Коды_код,Коды_вид)&amp;"")))</f>
        <v>Кондиционирование и увлажнение</v>
      </c>
      <c r="GJ73">
        <f>IF(BM73="","",INT((BM73-1)/Столбцов_на_лист)+1)</f>
        <v>3</v>
      </c>
      <c r="GK73" t="str">
        <f t="shared" si="215"/>
        <v>ВВГнг(А)-LS (3х2,5) L=35-2,27%</v>
      </c>
      <c r="GL73">
        <f t="shared" si="216"/>
        <v>1.9</v>
      </c>
      <c r="GM73">
        <f t="shared" si="217"/>
        <v>10.29</v>
      </c>
      <c r="GN73">
        <f t="shared" si="218"/>
        <v>1</v>
      </c>
      <c r="GO73">
        <f t="shared" si="219"/>
        <v>0</v>
      </c>
      <c r="GP73">
        <f t="shared" si="220"/>
        <v>1</v>
      </c>
      <c r="GQ73">
        <f>IF(BM73="","",IF(AND(CG73=1,GP73=1),COUNTIFS(A$3:A73,A73,CG$3:CG73,1,GP$3:GP73,1),IF(OR(OR(BA73=1,A73&lt;&gt;A72),AJ73="вручную",GP73=0),"",IF(BA73=1,"",GR72))))</f>
        <v>20</v>
      </c>
      <c r="GR73">
        <f t="shared" si="221"/>
        <v>20</v>
      </c>
      <c r="GS73">
        <f>IF(B73="","",IFERROR(LOOKUP(INDEX(CHOOSE(EB73,Iдоп_1ж,Iдоп_2ж,Iдоп_3ж),MATCH(EN73,Iдоп_S,0))*DZ73*EA73,{6,10,16,20,25,32,40,50,63,80,100,125,160,200,250,315,400,500,630}),""))</f>
        <v>25</v>
      </c>
      <c r="GT73" t="str">
        <f t="shared" si="222"/>
        <v>QF20</v>
      </c>
      <c r="GU73" t="str">
        <f t="shared" si="223"/>
        <v>QF20</v>
      </c>
      <c r="GV73" t="str">
        <f t="shared" si="224"/>
        <v/>
      </c>
      <c r="GW73">
        <f t="shared" si="225"/>
        <v>0</v>
      </c>
      <c r="GX73" t="str">
        <f>IF(OR(B73="",DJ73=""),"",IFERROR(_xlfn.XLOOKUP(DJ73,Модули_умолч[Управление],Модули_умолч[Модель])&amp;"",""))</f>
        <v/>
      </c>
      <c r="GY73">
        <f>IF(DJ73="",1,IFERROR(MAX(0,N(_xlfn.XLOOKUP(DJ73,Модули_умолч[Управление],Модули_умолч[Каналов на линию]))),1))</f>
        <v>1</v>
      </c>
      <c r="GZ73" t="str">
        <f t="shared" si="226"/>
        <v/>
      </c>
      <c r="HA73" t="str">
        <f t="shared" si="227"/>
        <v/>
      </c>
      <c r="HB73" t="str">
        <f t="shared" si="228"/>
        <v/>
      </c>
      <c r="HC73">
        <f>IF(HB73="",0,IFERROR(N(VLOOKUP(HB73,Модули_спр,3,FALSE)),0))</f>
        <v>0</v>
      </c>
      <c r="HD73" t="str">
        <f t="shared" si="229"/>
        <v/>
      </c>
      <c r="HE73" t="str">
        <f t="shared" si="230"/>
        <v/>
      </c>
      <c r="HF73" t="str">
        <f>IF(OR(HE73="",HE73="-"),"",IFERROR(VLOOKUP(HE73,Модули_спр,2,FALSE),"R"))</f>
        <v/>
      </c>
      <c r="HG73" t="str">
        <f>IF(HF73="","",HF73&amp;"."&amp;COUNTIFS(A$3:A73,A73,HF$3:HF73,HF73))</f>
        <v/>
      </c>
      <c r="HH73" t="str">
        <f t="shared" si="231"/>
        <v/>
      </c>
      <c r="HI73" t="str">
        <f t="shared" si="232"/>
        <v/>
      </c>
      <c r="HJ73" t="str">
        <f t="shared" si="233"/>
        <v/>
      </c>
      <c r="HK73" t="str">
        <f t="shared" si="234"/>
        <v/>
      </c>
      <c r="HL73">
        <f t="shared" si="235"/>
        <v>1</v>
      </c>
      <c r="HM73" t="str">
        <f>IF(HL73=1,"XT"&amp;COUNTIFS(A$3:A73,A73,HL$3:HL73,1),"")</f>
        <v>XT20</v>
      </c>
      <c r="HN73" t="str">
        <f t="shared" si="236"/>
        <v>XT20</v>
      </c>
      <c r="HO73" t="str">
        <f t="shared" si="237"/>
        <v>QF20</v>
      </c>
      <c r="HP73" t="str">
        <f t="shared" si="238"/>
        <v/>
      </c>
      <c r="HQ73" t="str">
        <f t="shared" si="239"/>
        <v>ok</v>
      </c>
      <c r="HR73" t="str">
        <f>IF(OR(HJ73="",HH73=""),"",IF(HJ73+MAX(0,GY73-1)&gt;IFERROR(VLOOKUP(HI73,Модули_спр,3,FALSE),99),"ЛИШНИЙ КАНАЛ",IF(AND(AL73&lt;&gt;"=",GY73&gt;0,COUNTIFS(Линии[_модуль гр.],HH73,Линии[Канал (итог)],HJ73,Линии[Канал],"&lt;&gt;=",Линии[Щит],A73)&gt;1),"ДУБЛЬ КАНАЛА","")))</f>
        <v/>
      </c>
      <c r="HS73" s="6" t="str">
        <f t="shared" si="240"/>
        <v/>
      </c>
      <c r="HT73">
        <f t="shared" si="241"/>
        <v>10</v>
      </c>
      <c r="HU73" t="str">
        <f t="shared" si="242"/>
        <v/>
      </c>
      <c r="HV73">
        <f t="shared" si="243"/>
        <v>4.4636206679760821</v>
      </c>
      <c r="HW73">
        <f t="shared" si="244"/>
        <v>0</v>
      </c>
      <c r="HX73">
        <f t="shared" si="245"/>
        <v>0</v>
      </c>
      <c r="HY73">
        <f t="shared" si="246"/>
        <v>0</v>
      </c>
      <c r="HZ73">
        <f t="shared" si="247"/>
        <v>0</v>
      </c>
      <c r="IA73">
        <f t="shared" si="248"/>
        <v>0</v>
      </c>
      <c r="IB73">
        <f t="shared" si="249"/>
        <v>0</v>
      </c>
      <c r="IC73" t="str">
        <f t="shared" si="250"/>
        <v/>
      </c>
      <c r="ID73" t="str" cm="1">
        <f t="array" ref="ID73">IF(IC73="","",_xlfn.LET(_xlpm.tk,_xlfn.TEXTSPLIT(SUBSTITUTE(SUBSTITUTE(IC73,";"," "),"→"," ")," ",,TRUE),_xlpm.w_,_xlfn._xlws.FILTER(_xlpm.tk,ISNUMBER(--LEFT(_xlpm.tk,1))*((ISNUMBER(SEARCH("W",_xlpm.tk))+ISNUMBER(SEARCH("Вт",_xlpm.tk)))&gt;0),""),IFERROR(--SUBSTITUTE(SUBSTITUTE(UPPER(INDEX(_xlpm.w_,1)),"W",""),"ВТ",""),"")))</f>
        <v/>
      </c>
      <c r="IE73" t="str" cm="1">
        <f t="array" ref="IE73">IF(IC73="","",_xlfn.LET(_xlpm.tk,_xlfn.TEXTSPLIT(SUBSTITUTE(SUBSTITUTE(IC73,";"," "),"→"," ")," ",,TRUE),_xlpm.v_,_xlfn._xlws.FILTER(_xlpm.tk,ISNUMBER(--LEFT(_xlpm.tk,1))*((ISNUMBER(SEARCH("V",_xlpm.tk))+(RIGHT(UPPER(_xlpm.tk))="В"))&gt;0),""),IFERROR(--SUBSTITUTE(SUBSTITUTE(UPPER(INDEX(_xlpm.v_,1)),"V",""),"В",""),"")))</f>
        <v/>
      </c>
      <c r="IF73" s="6" t="str">
        <f>IF(OR(BV73=0,HI73="",HJ73=""),"",IFERROR(N(_xlfn.XLOOKUP(HI73,Каталог!$C$4:$C$500,Каталог!$Q$4:$Q$500)),""))</f>
        <v/>
      </c>
      <c r="IG73" s="6" t="str">
        <f>IF(N(IF73)=0,"",SUMIFS(Линии[Iр, А],Линии[Щит],A73,Линии[_модуль гр.],HH73,Линии[Канал (итог)],HJ73))</f>
        <v/>
      </c>
      <c r="IH73" t="str">
        <f>IF(AND(B73="",HO73=""),"",_xlfn.TEXTJOIN("; ",TRUE,IF(AND(B73&lt;&gt;"",FV73=""),"нет фазы",""),IF(AND(B73&lt;&gt;"",N(GL73)=0,FG73&lt;&gt;"Нет"),"нет мощности",""),IF(AND(HN73&lt;&gt;"",COUNTIFS(Линии[Щит],A73,Линии[Клемма (итог)],HN73)&gt;1),"дубль клеммы "&amp;HN73,""),IF(AND(HQ73&lt;&gt;"",HQ73&lt;&gt;"ok"),HQ73,""),IF(HR73&lt;&gt;"",HR73,""),IF(AND(N(CB73)&gt;=4,N(BX73)=1),CB73&amp;" жил на 1 фазе",""),IF(AND(BC73="R",CG73=1,IF(CS73&lt;&gt;"",N(CV73)&gt;30,OR(N(DA73)=0,N(DA73)&gt;30))),"розетка без дифзащиты до 30 мА",""),IF(AND(CG73=1,N(DA73)&gt;0,ISNUMBER(T73)),IF(T73&gt;N(DA73)/3,"ток утечки "&amp;FIXED(T73,1)&amp;" мА &gt; 1/3 уставки ("&amp;DA73&amp;" мА)",""),""),IF(AND(CH73=1,CS73=""),"«узо»: нет строки с УЗО выше (УЗО 2P 40А 30мА в «Аппаратах»)",""),IF(AND(CS73&lt;&gt;"",CS73=BA73),IF(CT73="","впишите номинал УЗО (УЗО 2P 40А 30мА)",IF(N(CT73)&lt;N(DT73),"УЗО "&amp;CT73&amp;" А &lt; автомата "&amp;DT73&amp;" А перед ним",IF(N(CT73)&lt;N(CX73),"УЗО "&amp;CT73&amp;" А &lt; тока блока "&amp;FIXED(CX73,1)&amp;" А",""))),""),IF(AND(CS73&lt;&gt;"",CS73=BA73,ISNUMBER(CY73)),IF(CY73&gt;N(CV73)/3,"ток утечки блока УЗО "&amp;FIXED(CY73,1)&amp;" мА &gt; 1/3 уставки ("&amp;CV73&amp;" мА)",""),""),IF(AND(CG73=1,N(BV73)+N(IB73)&gt;0,IC73=""),"линии до 50 В без БП: впишите в «Аппараты» (БП 24V 480W)",""),IF(AND(CG73=1,ISNUMBER(ID73),ISNUMBER(U73)),IF(U73&gt;ID73,"БП "&amp;ID73&amp;" Вт &lt; нужно "&amp;U73&amp;" Вт (×"&amp;Запас_БП&amp;")",""),""),IF(AND(CG73=1,ISNUMBER(IE73),N(BV73)=1),IF(IE73&lt;&gt;N(BU73),"БП на "&amp;IE73&amp;" В, линия "&amp;BU73&amp;" В",""),""),IF(AND(N(IF73)&gt;0,N(IG73)&gt;N(IF73)),HH73&amp;" канал "&amp;HJ73&amp;": "&amp;FIXED(IG73,1)&amp;" А &gt; "&amp;IF73&amp;" А",""),IFERROR(IF(AND(ISNUMBER(Q73),Q73&gt;EL73),"потери "&amp;FIXED(Q73,1)&amp;" % &gt; "&amp;EL73&amp;" %",""),""),IFERROR(IF(LEFT(HU73,4)="мало","Iкз мало — отключение &gt; 0,4 с",""),""),IF(AND(B73&lt;&gt;"",BM73=""),"не на схеме",""),IF(AND(CG73=0,B73&lt;&gt;"",FV73&lt;&gt;"",IF(BA73=1,"",FW72)&lt;&gt;"",FV73&lt;&gt;IF(BA73=1,"",FW72)),"фаза не как у автомата группы ("&amp;IF(BA73=1,"",FW72)&amp;")","")))</f>
        <v/>
      </c>
      <c r="II73" s="6">
        <f>IF(OR(CG73=0,DQ73=""),"",_xlfn.LET(_xlpm.t,IFERROR(_xlfn.XLOOKUP(DQ73,Каталог!$U$4:$U$500,Каталог!$G$4:$G$500),""),_xlpm.k,SEARCH("кА",_xlpm.t),IFERROR(--TRIM(RIGHT(SUBSTITUTE(MID(_xlpm.t,MAX(1,_xlpm.k-4),_xlpm.k-MAX(1,_xlpm.k-4))," ",REPT(" ",9)),5)),"")))</f>
        <v>6</v>
      </c>
      <c r="IJ73" t="str">
        <f>IF(OR(II73="",CG73=0),"",IF(_xlfn.XLOOKUP(A73,Щиты[Щит],Щиты[Iкз max на шинах, кА],"")="","",IF(II73&lt;_xlfn.XLOOKUP(A73,Щиты[Щит],Щиты[Iкз max на шинах, кА]),"Icu "&amp;II73&amp;" кА &lt; Iкз max","ok")))</f>
        <v/>
      </c>
      <c r="IK73" t="str">
        <f t="shared" si="251"/>
        <v/>
      </c>
      <c r="IL73" t="str">
        <f t="shared" si="252"/>
        <v>QF20|XT20</v>
      </c>
      <c r="IM73" t="str">
        <f t="shared" si="253"/>
        <v>QF20|XT20|кабель ВВГнг(А)-LS (3х2,5) → Внешний блок кондиционирования Пом. Венткиосок</v>
      </c>
      <c r="IN73" t="str" cm="1">
        <f t="array" ref="IN73">IF(IM73="","",_xlfn.LET(_xlpm.nd,_xlfn.TEXTSPLIT(IM73,"|"),IF(COLUMNS(_xlpm.nd)&gt;1,A73&amp;"¦"&amp;INDEX(_xlpm.nd,1)&amp;"¦"&amp;INDEX(_xlpm.nd,2),"")))</f>
        <v>ЩОВ-001¦QF20¦XT20</v>
      </c>
      <c r="IO73" t="str">
        <f t="shared" si="254"/>
        <v>K.5¦Внешний блок кондиционирования Пом. Венткиосок</v>
      </c>
      <c r="IP73" t="str" cm="1">
        <f t="array" ref="IP73">IF(IM73="","",_xlfn.LET(_xlpm.nd,_xlfn.TEXTSPLIT(IM73,"|"),IF(COLUMNS(_xlpm.nd)&gt;2,A73&amp;"¦"&amp;INDEX(_xlpm.nd,2)&amp;"¦"&amp;INDEX(_xlpm.nd,3),"")))</f>
        <v>ЩОВ-001¦XT20¦кабель ВВГнг(А)-LS (3х2,5) → Внешний блок кондиционирования Пом. Венткиосок</v>
      </c>
      <c r="IQ73" t="str">
        <f t="shared" si="255"/>
        <v>K.5¦Внешний блок кондиционирования Пом. Венткиосок</v>
      </c>
      <c r="IR73" t="str" cm="1">
        <f t="array" ref="IR73">IF(IM73="","",_xlfn.LET(_xlpm.nd,_xlfn.TEXTSPLIT(IM73,"|"),IF(COLUMNS(_xlpm.nd)&gt;3,A73&amp;"¦"&amp;INDEX(_xlpm.nd,3)&amp;"¦"&amp;INDEX(_xlpm.nd,4),"")))</f>
        <v/>
      </c>
      <c r="IS73" t="str">
        <f t="shared" si="256"/>
        <v/>
      </c>
      <c r="IT73" t="str" cm="1">
        <f t="array" ref="IT73">IF(IM73="","",_xlfn.LET(_xlpm.nd,_xlfn.TEXTSPLIT(IM73,"|"),IF(COLUMNS(_xlpm.nd)&gt;4,A73&amp;"¦"&amp;INDEX(_xlpm.nd,4)&amp;"¦"&amp;INDEX(_xlpm.nd,5),"")))</f>
        <v/>
      </c>
      <c r="IU73" t="str">
        <f t="shared" si="257"/>
        <v/>
      </c>
      <c r="IV73" t="str" cm="1">
        <f t="array" ref="IV73">IF(IM73="","",_xlfn.LET(_xlpm.nd,_xlfn.TEXTSPLIT(IM73,"|"),IF(COLUMNS(_xlpm.nd)&gt;5,A73&amp;"¦"&amp;INDEX(_xlpm.nd,5)&amp;"¦"&amp;INDEX(_xlpm.nd,6),"")))</f>
        <v/>
      </c>
      <c r="IW73" t="str">
        <f t="shared" si="258"/>
        <v/>
      </c>
      <c r="IX73" t="str" cm="1">
        <f t="array" ref="IX73">IF(IM73="","",_xlfn.LET(_xlpm.nd,_xlfn.TEXTSPLIT(IM73,"|"),IF(COLUMNS(_xlpm.nd)&gt;6,A73&amp;"¦"&amp;INDEX(_xlpm.nd,6)&amp;"¦"&amp;INDEX(_xlpm.nd,7),"")))</f>
        <v/>
      </c>
      <c r="IY73" t="str">
        <f t="shared" si="259"/>
        <v/>
      </c>
      <c r="IZ73" t="str">
        <f t="shared" si="260"/>
        <v/>
      </c>
      <c r="JA73" t="str">
        <f t="shared" si="261"/>
        <v>QF20 → XT20</v>
      </c>
      <c r="JB73">
        <f t="shared" si="262"/>
        <v>0</v>
      </c>
      <c r="JC73">
        <f t="shared" si="263"/>
        <v>0</v>
      </c>
      <c r="JD73" t="str">
        <f t="shared" si="264"/>
        <v/>
      </c>
      <c r="JE73" t="str">
        <f t="shared" si="265"/>
        <v/>
      </c>
      <c r="JF73" t="str">
        <f t="shared" si="266"/>
        <v/>
      </c>
      <c r="JG73" t="str">
        <f t="shared" si="267"/>
        <v/>
      </c>
      <c r="JH73">
        <f>IF(B73="","",IFERROR(_xlfn.XLOOKUP(B73,Коды_код,Коды_уго),IFERROR(_xlfn.XLOOKUP(BC73,Коды_код,Коды_уго),IFERROR(_xlfn.XLOOKUP(LEFT(BC73,2),Коды_код,Коды_уго),""))))</f>
        <v>0</v>
      </c>
      <c r="JI73" t="str">
        <f>IF(B73="","",IF(OR(JH73="",JH73=0),"BOX",IFERROR(IF(VLOOKUP(JH73,УГО_блоки,3,FALSE)&amp;""&lt;&gt;"",VLOOKUP(JH73,УГО_блоки,3,FALSE),VLOOKUP(JH73,УГО_блоки,2,FALSE)),JH73)))</f>
        <v>BOX</v>
      </c>
      <c r="JJ73">
        <f t="shared" si="268"/>
        <v>1</v>
      </c>
      <c r="JK73" t="str">
        <f>IF(DQ73="","",IF(COUNTIF(DQ$3:DQ73,DQ73)=1,MAX(JK$2:JK72)+1,""))</f>
        <v/>
      </c>
      <c r="JL73" t="str">
        <f>IF(DE73="","",IF(COUNTIF(DE$3:DE73,DE73)+COUNTIF(DF$2:DF72,DE73)+COUNTIF(DG$2:DG72,DE73)=1,MAX(JL$2:JN72)+1,""))</f>
        <v/>
      </c>
      <c r="JM73" t="str">
        <f>IF(DF73="","",IF(COUNTIF(DE$3:DE73,DF73)+COUNTIF(DF$3:DF73,DF73)+COUNTIF(DG$2:DG72,DF73)=1,MAX(JL$2:JN72,JL73)+1,""))</f>
        <v/>
      </c>
      <c r="JN73" t="str">
        <f>IF(DG73="","",IF(COUNTIF(DE$3:DE73,DG73)+COUNTIF(DF$3:DF73,DG73)+COUNTIF(DG$3:DG73,DG73)=1,MAX(JL$2:JN72,JL73,JM73)+1,""))</f>
        <v/>
      </c>
      <c r="JO73" t="str">
        <f t="shared" si="269"/>
        <v>3х2,5</v>
      </c>
      <c r="JP73" t="str">
        <f>IF(JO73="","",IF(COUNTIF(JO$3:JO73,JO73)=1,MAX(JP$2:JP72)+1,""))</f>
        <v/>
      </c>
      <c r="JQ73" t="str">
        <f>IF(HG73="","",COUNTIF(HG$3:HG73,"?*"))</f>
        <v/>
      </c>
      <c r="JR73" t="str">
        <f>IF(OR(HG73="",HI73=""),"",IF(COUNTIFS(HG$3:HG73,"?*",HI$3:HI73,HI73)=1,MAX(JR$2:JR72)+1,""))</f>
        <v/>
      </c>
      <c r="JS73">
        <f t="shared" si="270"/>
        <v>0</v>
      </c>
      <c r="JT73">
        <f>IF(B73="","",COUNTIF(B$3:B73,"?*"))</f>
        <v>71</v>
      </c>
      <c r="JU73">
        <f>IF(HL73&lt;&gt;1,0,_xlfn.LET(_xlpm.k,MAX(IFERROR(--_xlfn.XLOOKUP(B73,Коды_код,Коды_3L),0),IFERROR(--_xlfn.XLOOKUP(BC73,Коды_код,Коды_3L),0),IFERROR(--_xlfn.XLOOKUP(LEFT(BC73,2),Коды_код,Коды_3L),0)),IF(_xlpm.k&gt;0,_xlpm.k,IF(IFERROR(--LEFT(SUBSTITUTE(JO73,"x","х"),FIND("х",SUBSTITUTE(JO73,"x","х"))-1),3)&gt;3,Каталог!$S$9,1))))</f>
        <v>1</v>
      </c>
      <c r="JV73">
        <f t="shared" si="271"/>
        <v>0</v>
      </c>
      <c r="JW73" t="str">
        <f t="shared" si="272"/>
        <v>авто</v>
      </c>
      <c r="JX73" t="str">
        <f t="shared" si="273"/>
        <v/>
      </c>
      <c r="JY73">
        <f t="shared" si="274"/>
        <v>0</v>
      </c>
      <c r="JZ73">
        <f t="shared" si="275"/>
        <v>1</v>
      </c>
    </row>
    <row r="74" spans="1:286" x14ac:dyDescent="0.3">
      <c r="A74" t="s">
        <v>747</v>
      </c>
      <c r="B74" t="s">
        <v>1387</v>
      </c>
      <c r="C74" t="s">
        <v>1660</v>
      </c>
      <c r="D74">
        <v>1</v>
      </c>
      <c r="E74">
        <v>1.9</v>
      </c>
      <c r="G74">
        <v>16</v>
      </c>
      <c r="H74" t="str">
        <f>Линии[[#This Row],[_авто управление]]</f>
        <v/>
      </c>
      <c r="I74" t="str">
        <f>Линии[[#This Row],[_авто аппараты]]</f>
        <v/>
      </c>
      <c r="J74">
        <v>2.5</v>
      </c>
      <c r="K74">
        <v>35</v>
      </c>
      <c r="L74" t="str">
        <f>Линии[[#This Row],[_авто фаза]]</f>
        <v>L2</v>
      </c>
      <c r="M74" t="s">
        <v>484</v>
      </c>
      <c r="N74" t="str">
        <f t="shared" si="138"/>
        <v/>
      </c>
      <c r="O74" s="6" cm="1">
        <f t="array" ref="O74">IF(B74="","",IF(BH74&lt;&gt;"",IFERROR(_xlfn.XLOOKUP(BH74,Щиты[Щит],Щиты[Iр, А]),""),IF(BP74=1,IF(OR(N(_xlfn.XLOOKUP(A74,Щиты[Щит],Щиты[Вводов],1))&lt;=1,LOWER(TRIM(_xlfn.XLOOKUP(A74,Щиты[Щит],Щиты[АВР],"")&amp;""))="да"),IFERROR(_xlfn.XLOOKUP(A74,Щиты[Щит],Щиты[Iр, А]),""),IFERROR(N(BS74)*_xlfn.XLOOKUP(A74,Щиты[Щит],Щиты[Кс итог])/(SQRT(3)*Uн_лин*_xlfn.XLOOKUP(A74,Щиты[Щит],Щиты[cos φ])),"")),IF(BV74=1,IFERROR(BS74*1000/BU74,""),IFERROR(_xlfn.IFS(BX74=1,BS74/((Uн_лин/SQRT(3))*CE74),BX74=3,BS74/(SQRT(3)*Uн_лин*CE74)),"")))))</f>
        <v>10.284051669940206</v>
      </c>
      <c r="P74" s="7">
        <f>IF(B74="","",IFERROR(IF(VLOOKUP(BC74,Потребители_обозначение,4,FALSE)=1,VLOOKUP(BC74,Потребители_обозначение,3,FALSE)*(MAX(1,N(D74))*2-1)+EI74+VLOOKUP(BE74,Этаж_обозначение,3,FALSE)+VLOOKUP(BE74,Этаж_обозначение,4,FALSE),VLOOKUP(BC74,Потребители_обозначение,3,FALSE)*(MAX(1,N(D74))*2-1)+EI74),EI74))</f>
        <v>35</v>
      </c>
      <c r="Q74" s="6">
        <f t="shared" si="139"/>
        <v>2.9099999999999997</v>
      </c>
      <c r="R74" t="str">
        <f t="shared" si="140"/>
        <v>ВВГнг(А)-LS (3х2,5)</v>
      </c>
      <c r="S74" t="str">
        <f>IF(BM74="","",IF(BN74="вводной узел","узел ","")&amp;"л."&amp;(INT((BM74-1)/Столбцов_на_лист)+1)&amp;" / "&amp;(MOD(BM74-1,Столбцов_на_лист)+1))</f>
        <v>л.3 / 4</v>
      </c>
      <c r="T74" s="119">
        <f t="shared" si="141"/>
        <v>4.5</v>
      </c>
      <c r="U74" s="7" t="str">
        <f>IF(OR(CG74=0,N(BV74)+N(IB74)=0),"",ROUNDUP(Запас_БП*(N(HY74)+N(HZ74)),0))</f>
        <v/>
      </c>
      <c r="V74" s="119" t="str">
        <f t="shared" si="142"/>
        <v/>
      </c>
      <c r="W74" s="7" t="str">
        <f>IFERROR(IF(OR(B74="",BP74=1,BV74=1,NOT(ISNUMBER(EN74)),N(DT74)=0),"",MAX(0,ROUNDDOWN((c_min*(Uн_лин*1000/SQRT(3))/(HT74*N(DT74))-_xlfn.XLOOKUP(A74,Щиты[Щит],Щиты[Zпетли на шинах, Ом]))*EN74/(2*ρкз_Cu),0))),"")</f>
        <v/>
      </c>
      <c r="Y74" t="str">
        <f>Линии[[#This Row],[_авто утечка]]</f>
        <v/>
      </c>
      <c r="Z74">
        <v>1</v>
      </c>
      <c r="AA74">
        <v>230</v>
      </c>
      <c r="AB74" t="s">
        <v>598</v>
      </c>
      <c r="AC74">
        <v>0.5</v>
      </c>
      <c r="AG74" t="s">
        <v>810</v>
      </c>
      <c r="AI74" t="s">
        <v>576</v>
      </c>
      <c r="AK74" t="str">
        <f>Линии[[#This Row],[_авто модуль]]</f>
        <v/>
      </c>
      <c r="AM74">
        <v>38</v>
      </c>
      <c r="AN74" t="s">
        <v>11</v>
      </c>
      <c r="AO74">
        <v>3</v>
      </c>
      <c r="AR74">
        <v>31</v>
      </c>
      <c r="AT74">
        <v>1</v>
      </c>
      <c r="BA74" cm="1">
        <f t="array" ref="BA74">ROW()-ROW(Линии[#Headers])</f>
        <v>72</v>
      </c>
      <c r="BC74" s="6" t="str">
        <f t="shared" si="143"/>
        <v>K</v>
      </c>
      <c r="BD74" t="str">
        <f t="shared" si="144"/>
        <v>6</v>
      </c>
      <c r="BE74" t="str">
        <f t="shared" si="145"/>
        <v>6</v>
      </c>
      <c r="BF74" t="str">
        <f t="shared" si="146"/>
        <v/>
      </c>
      <c r="BG74" t="str">
        <f t="shared" si="147"/>
        <v/>
      </c>
      <c r="BH74" t="str">
        <f>IF(X74&lt;&gt;"",X74,IF(AND(B74&lt;&gt;"",B74&lt;&gt;A74,ISNUMBER(_xlfn.XMATCH(B74,Щиты[Щит]))),B74,""))</f>
        <v/>
      </c>
      <c r="BI74" t="str" cm="1">
        <f t="array" ref="BI74">IF(B74="","",IF(BH74&lt;&gt;"","Щит "&amp;BH74,_xlfn.LET(_xlpm.nm,IFERROR(_xlfn.XLOOKUP(BC74,Коды_код,Коды_имя)&amp;"",""),_xlpm.md,IFERROR(N(_xlfn.XLOOKUP(BC74,Коды_код,Коды_режим)),1),_xlpm.ex,IF(Имя_режим="по экспликации",IFERROR(_xlfn.XLOOKUP(BE74&amp;"|"&amp;BG74,Экспликация[Этаж]&amp;"|"&amp;Экспликация[Помещение],Экспликация[Название])&amp;"",""),""),_xlpm.rm,IF(BG74="","",IF(_xlpm.ex&lt;&gt;"",". "&amp;_xlpm.ex&amp;IF(Имя_пом="нет"," ("&amp;BG74&amp;")"," (пом. "&amp;BG74&amp;")"),IF(Имя_пом="нет"," ",", пом. ")&amp;BG74)),IF(_xlpm.nm="","",IF(_xlpm.md=2,_xlpm.nm&amp;" шлейф "&amp;BE74,_xlpm.nm&amp;_xlpm.rm)))))</f>
        <v>Внутренний блок кондиционирования</v>
      </c>
      <c r="BJ74" t="str">
        <f t="shared" si="148"/>
        <v>Внешний блок кондиционирования Пом. Венткиосок</v>
      </c>
      <c r="BK74">
        <f>IFERROR(_xlfn.XMATCH(A74,Щиты[Щит]),0)</f>
        <v>4</v>
      </c>
      <c r="BL74">
        <f>_xlfn.LET(_xlpm.k,IFERROR(_xlfn.XLOOKUP(A74,Щиты[Щит],Щиты[Мест под вводной узел]),""),IF(_xlpm.k="",Столбцов_на_лист,N(_xlpm.k)))</f>
        <v>13</v>
      </c>
      <c r="BM74">
        <f t="shared" si="149"/>
        <v>38</v>
      </c>
      <c r="BN74" t="str">
        <f t="shared" si="150"/>
        <v>линии</v>
      </c>
      <c r="BO74" s="6">
        <f>IFERROR(N(_xlfn.XLOOKUP(BC74,Коды_код,Коды_квт)),0)</f>
        <v>0</v>
      </c>
      <c r="BP74">
        <f t="shared" si="151"/>
        <v>0</v>
      </c>
      <c r="BQ74" t="str">
        <f>IF(B74="","",IF(BH74&lt;&gt;"",IFERROR(_xlfn.XLOOKUP(BH74,Щиты[Щит],Щиты[Руст, кВт]),0),IF(BP74=1,IF(OR(N(_xlfn.XLOOKUP(A74,Щиты[Щит],Щиты[Вводов],1))&lt;=1,LOWER(TRIM(_xlfn.XLOOKUP(A74,Щиты[Щит],Щиты[АВР],"")&amp;""))="да"),IFERROR(_xlfn.XLOOKUP(A74,Щиты[Щит],Щиты[Руст, кВт]),0),SUMIFS(Линии[_Р для вводов],Линии[Щит],A74,Линии[Источник для режимов],GF74)),IF(BO74&gt;0,ROUND(BO74*MAX(1,N(D74)),3),""))))</f>
        <v/>
      </c>
      <c r="BR74">
        <f t="shared" si="152"/>
        <v>1.9</v>
      </c>
      <c r="BS74" s="6">
        <f>IF(B74="","",IF(BH74&lt;&gt;"",IFERROR(_xlfn.XLOOKUP(BH74,Щиты[Щит],Щиты[Руст, кВт]),0),N(BR74)))</f>
        <v>1.9</v>
      </c>
      <c r="BT74" t="str">
        <f>IF(B74="","",IFERROR(IF(VLOOKUP(BC74,Потребители_обозначение,8,FALSE)=0,"",VLOOKUP(BC74,Потребители_обозначение,8,FALSE)),""))</f>
        <v/>
      </c>
      <c r="BU74">
        <f t="shared" si="153"/>
        <v>230</v>
      </c>
      <c r="BV74">
        <f t="shared" si="154"/>
        <v>0</v>
      </c>
      <c r="BW74">
        <f>IF(B74="","",IF(BH74&lt;&gt;"",3,IFERROR(IF(N(VLOOKUP(BC74,Потребители_обозначение,9,FALSE))=0,1,VLOOKUP(BC74,Потребители_обозначение,9,FALSE)),1)))</f>
        <v>1</v>
      </c>
      <c r="BX74">
        <f t="shared" si="155"/>
        <v>1</v>
      </c>
      <c r="BY74" t="str">
        <f>IF(B74="","",_xlfn.LET(_xlpm.bc,IFERROR(IF(VLOOKUP(BC74,Потребители_обозначение,6,FALSE)=0,"",VLOOKUP(BC74,Потребители_обозначение,6,FALSE)&amp;""),""),IF(AND(GA74="да",OR(_xlpm.bc="",_xlpm.bc="мс")),Марка_пож,IF(AND(_xlpm.bc="",BH74&lt;&gt;""),"мс",_xlpm.bc))))</f>
        <v/>
      </c>
      <c r="BZ74" t="str">
        <f t="shared" si="156"/>
        <v>мс</v>
      </c>
      <c r="CA74">
        <f>IF(B74="","",_xlfn.LET(_xlpm.cc,IFERROR(N(VLOOKUP(BC74,Потребители_обозначение,7,FALSE)),0),IF(_xlpm.cc&gt;0,_xlpm.cc,IF(BZ74="","",IF(BV74=1,2,IF(N(BX74)=3,5,3))))))</f>
        <v>3</v>
      </c>
      <c r="CB74">
        <f t="shared" si="157"/>
        <v>3</v>
      </c>
      <c r="CC74">
        <f>IFERROR(N(VLOOKUP(BC74,Потребители_обозначение,10,FALSE)),0)</f>
        <v>0</v>
      </c>
      <c r="CD74">
        <f>IFERROR(VLOOKUP(BC74,Потребители_обозначение,5,FALSE),0)</f>
        <v>1</v>
      </c>
      <c r="CE74" s="6" cm="1">
        <f t="array" ref="CE74">IF(B74="","",IF(BH74&lt;&gt;"",IFERROR(_xlfn.XLOOKUP(BH74,Щиты[Щит],Щиты[cos φ]),0.95),IF(BP74=1,IFERROR(_xlfn.XLOOKUP(A74,Щиты[Щит],Щиты[cos φ]),0.95),IF(ISNUMBER(AD74),AD74,IFERROR(IF(CD74=2,_xlfn.IFS(BX74=3,VLOOKUP(BS74,Справочная_двигатели,8,FALSE),BX74=1,VLOOKUP(BS74,Справочная_двигатели,10,TRUE)),IF(AND(Методика="нормы 2026",FG74="Сил"),0.8,0.95)),0.95)))))</f>
        <v>0.8</v>
      </c>
      <c r="CF74">
        <f t="shared" si="158"/>
        <v>0</v>
      </c>
      <c r="CG74">
        <f t="shared" si="159"/>
        <v>1</v>
      </c>
      <c r="CH74">
        <f t="shared" si="160"/>
        <v>0</v>
      </c>
      <c r="CI74">
        <f>IF(B74="","",IF(BV74=1,IFERROR(BS74/((Uн_лин/SQRT(3))*MAX(0.5,N(CE74))),0),N(O74)))</f>
        <v>10.284051669940206</v>
      </c>
      <c r="CJ74">
        <f t="shared" si="161"/>
        <v>0</v>
      </c>
      <c r="CK74">
        <f t="shared" si="162"/>
        <v>0</v>
      </c>
      <c r="CL74">
        <f t="shared" si="163"/>
        <v>0</v>
      </c>
      <c r="CM74">
        <f t="shared" si="164"/>
        <v>0</v>
      </c>
      <c r="CN74">
        <f t="shared" si="165"/>
        <v>0</v>
      </c>
      <c r="CO74">
        <f>IF(BC74="",0,_xlfn.LET(_xlpm.v,IFERROR(_xlfn.XLOOKUP(B74,Коды_код,Коды_мА),IFERROR(_xlfn.XLOOKUP(BC74,Коды_код,Коды_мА),IFERROR(_xlfn.XLOOKUP(LEFT(BC74,2),Коды_код,Коды_мА),""))),IF(_xlpm.v="да",30,IF(ISNUMBER(_xlpm.v),_xlpm.v,0))))</f>
        <v>0</v>
      </c>
      <c r="CP74" t="str">
        <f t="shared" si="166"/>
        <v/>
      </c>
      <c r="CQ74" t="str">
        <f>_xlfn.LET(_xlpm.k,IFERROR(_xlfn.XLOOKUP(BC74,Коды_код,Коды_утечка)&amp;"",""),IF(_xlpm.k="","дифавтомат",_xlpm.k))</f>
        <v>дифавтомат</v>
      </c>
      <c r="CR74" t="str" cm="1">
        <f t="array" ref="CR74">IF(CG74=0,"",_xlfn.LET(_xlpm.sg,TRIM(_xlfn.TEXTSPLIT(DD74&amp;"",";")),_xlpm.f_,_xlfn._xlws.FILTER(_xlpm.sg,LEFT(_xlpm.sg,3)="УЗО",""),IFERROR(INDEX(_xlpm.f_,1)&amp;"","")))</f>
        <v/>
      </c>
      <c r="CS74" t="str">
        <f t="shared" si="167"/>
        <v/>
      </c>
      <c r="CT74" s="6" t="str" cm="1">
        <f t="array" ref="CT74">IF(CR74="","",_xlfn.LET(_xlpm.tk,_xlfn.TEXTSPLIT(UPPER(CR74)," ",,TRUE),_xlpm.a_,_xlfn._xlws.FILTER(_xlpm.tk,ISNUMBER(--LEFT(_xlpm.tk,1))*((ISNUMBER(SEARCH("А",_xlpm.tk))+ISNUMBER(SEARCH("A",_xlpm.tk)))&gt;0)*NOT(ISNUMBER(SEARCH("МА",_xlpm.tk)))*NOT(ISNUMBER(SEARCH("MA",_xlpm.tk))),""),IFERROR(--SUBSTITUTE(SUBSTITUTE(INDEX(_xlpm.a_,1),"А",""),"A",""),"")))</f>
        <v/>
      </c>
      <c r="CU74" t="str" cm="1">
        <f t="array" ref="CU74">IF(CR74="","",_xlfn.LET(_xlpm.tk,_xlfn.TEXTSPLIT(UPPER(CR74)," ",,TRUE),_xlpm.a_,_xlfn._xlws.FILTER(_xlpm.tk,ISNUMBER(--LEFT(_xlpm.tk,1))*((ISNUMBER(SEARCH("МА",_xlpm.tk))+ISNUMBER(SEARCH("MA",_xlpm.tk)))&gt;0),""),IFERROR(--SUBSTITUTE(SUBSTITUTE(INDEX(_xlpm.a_,1),"МА",""),"MA",""),30)))</f>
        <v/>
      </c>
      <c r="CV74" t="str">
        <f>IF(CS74="","",IFERROR(_xlfn.XLOOKUP(CS74,Линии[_n],Линии[_УЗО, мА]),30))</f>
        <v/>
      </c>
      <c r="CW74">
        <f>IF(CS74="",0,IF(ISNUMBER(SEARCH("4P",IFERROR(_xlfn.XLOOKUP(CS74,Линии[_n],Линии[_УЗО строки])&amp;"",""))),0,1))</f>
        <v>0</v>
      </c>
      <c r="CX74" t="str">
        <f>IF(AND(CS74&lt;&gt;"",CS74=BA74),SUMIFS(Линии[_ток на 230 В],Линии[_блок УЗО],BA74,Линии[Щит],A74),"")</f>
        <v/>
      </c>
      <c r="CY74" t="str">
        <f>IF(AND(CS74&lt;&gt;"",CS74=BA74),SUMIFS(Линии[_ток утечки линии, мА],Линии[_блок УЗО],BA74,Линии[Щит],A74),"")</f>
        <v/>
      </c>
      <c r="CZ74">
        <f t="shared" si="168"/>
        <v>0</v>
      </c>
      <c r="DA74">
        <f t="shared" si="169"/>
        <v>0</v>
      </c>
      <c r="DB74">
        <f>IF(B74="",0,IFERROR(--_xlfn.XLOOKUP(B74,Коды_код,Коды_минавт),IFERROR(--_xlfn.XLOOKUP(BC74,Коды_код,Коды_минавт),IFERROR(--_xlfn.XLOOKUP(LEFT(BC74,2),Коды_код,Коды_минавт),0))))</f>
        <v>0</v>
      </c>
      <c r="DC74" t="str">
        <f>IF(B74="","",IFERROR(_xlfn.XLOOKUP(BC74,Коды_код,Коды_апп)&amp;"",""))</f>
        <v/>
      </c>
      <c r="DD74" t="str">
        <f t="shared" si="170"/>
        <v/>
      </c>
      <c r="DE74" t="str" cm="1">
        <f t="array" ref="DE74">IF(TRIM(DD74&amp;"")="","",IFERROR(TRIM(INDEX(_xlfn.TEXTSPLIT(DD74&amp;";;;",";"),1)),""))</f>
        <v/>
      </c>
      <c r="DF74" t="str" cm="1">
        <f t="array" ref="DF74">IF(TRIM(DD74&amp;"")="","",IFERROR(TRIM(INDEX(_xlfn.TEXTSPLIT(DD74&amp;";;;",";"),2)),""))</f>
        <v/>
      </c>
      <c r="DG74" t="str" cm="1">
        <f t="array" ref="DG74">IF(TRIM(DD74&amp;"")="","",IFERROR(TRIM(INDEX(_xlfn.TEXTSPLIT(DD74&amp;";;;",";"),3)),""))</f>
        <v/>
      </c>
      <c r="DH74">
        <f t="shared" si="171"/>
        <v>0</v>
      </c>
      <c r="DI74" t="str">
        <f>IF(B74="","",_xlfn.LET(_xlpm.t,LOWER(AZ74&amp;""),IF(ISNUMBER(SEARCH("dim",_xlpm.t)),"DIM",IF(ISNUMBER(SEARCH("dali",_xlpm.t)),"DALI",IF(OR(ISNUMBER(SEARCH("relay",_xlpm.t)),ISNUMBER(SEARCH("реле",_xlpm.t))),"Relay",IF(ISNUMBER(SEARCH("кнопк",_xlpm.t)),"",IFERROR(_xlfn.XLOOKUP(BC74,Коды_код,Коды_упр)&amp;"","")))))))</f>
        <v/>
      </c>
      <c r="DJ74" t="str">
        <f t="shared" si="172"/>
        <v/>
      </c>
      <c r="DK74">
        <f>IF(B74="","",_xlfn.LET(_xlpm.ig,IF(N(CX74)&gt;0,N(CX74),N(CI74)+IF(AJ74="вручную",0,N(CJ74))),_xlpm.n0,IFERROR(VLOOKUP(_xlpm.ig,Автомат_номиналы,2,TRUE),0),_xlpm.mn,MAX(DB74,IF(AJ74="вручную",0,N(CM74))),MAX(_xlpm.n0,_xlpm.mn,IF(DH74=1,Мин_автомат_БП,0))))</f>
        <v>16</v>
      </c>
      <c r="DL74">
        <f t="shared" si="173"/>
        <v>1</v>
      </c>
      <c r="DM74" t="str">
        <f t="shared" si="174"/>
        <v>1P</v>
      </c>
      <c r="DN74" t="str">
        <f>_xlfn.LET(_xlpm.cc,UPPER(TRIM(IFERROR(_xlfn.XLOOKUP(BC74,Коды_код,Коды_хар)&amp;"",""))),IF(OR(_xlpm.cc="B",_xlpm.cc="В"),"B",IF(_xlpm.cc="D","D","С")))</f>
        <v>С</v>
      </c>
      <c r="DO74" t="str">
        <f t="shared" si="175"/>
        <v>1P С16А</v>
      </c>
      <c r="DP74">
        <f t="shared" si="176"/>
        <v>16</v>
      </c>
      <c r="DQ74" t="str">
        <f t="shared" si="177"/>
        <v>1P С16А</v>
      </c>
      <c r="DR74" cm="1">
        <f t="array" ref="DR74">IF(DQ74="","",_xlfn.LET(_xlpm.t,SUBSTITUTE(SUBSTITUTE(SUBSTITUTE(UPPER(DQ74),"С","C"),"А","A"),"В","B"),_xlpm.tk,_xlfn.TEXTSPLIT(_xlpm.t," "),_xlpm.f,_xlfn._xlws.FILTER(_xlpm.tk,ISNUMBER(--MID(_xlpm.tk,2,1))*ISNUMBER(SEARCH(LEFT(_xlpm.tk,1)&amp;"#","B#C#D#"))*(LEN(_xlpm.tk)&gt;1),""),_xlpm.x,INDEX(_xlpm.f,1),IFERROR(--SUBSTITUTE(MID(_xlpm.x,2,9),"A",""),IFERROR(--SUBSTITUTE(INDEX(_xlfn._xlws.FILTER(_xlpm.tk,ISNUMBER(--SUBSTITUTE(_xlpm.tk,"A","")),""),1),"A",""),""))))</f>
        <v>16</v>
      </c>
      <c r="DS74" t="str">
        <f t="shared" si="178"/>
        <v>ok</v>
      </c>
      <c r="DT74">
        <f t="shared" si="179"/>
        <v>16</v>
      </c>
      <c r="DU74" t="str">
        <f t="shared" si="180"/>
        <v>1P С16А</v>
      </c>
      <c r="DV74">
        <f t="shared" si="181"/>
        <v>0</v>
      </c>
      <c r="DW74">
        <f t="shared" si="182"/>
        <v>0</v>
      </c>
      <c r="DX74">
        <f t="shared" si="183"/>
        <v>0</v>
      </c>
      <c r="DY74">
        <f t="shared" si="184"/>
        <v>10.284051669940206</v>
      </c>
      <c r="DZ74">
        <f t="shared" si="185"/>
        <v>1</v>
      </c>
      <c r="EA74">
        <f>IF(ISNUMBER(AP74),AP74,К_прокл)</f>
        <v>1</v>
      </c>
      <c r="EB74">
        <f t="shared" si="186"/>
        <v>2</v>
      </c>
      <c r="EC74">
        <f>IFERROR(N(VLOOKUP(BZ74,Кабель_обозначение,3,FALSE)),1)</f>
        <v>1</v>
      </c>
      <c r="ED74">
        <f>IFERROR(N(_xlfn.XLOOKUP(A74,Щиты[Щит],Щиты[ΔU до шин, %])),0)</f>
        <v>0.64</v>
      </c>
      <c r="EE74" t="str">
        <f>IFERROR(_xlfn.XLOOKUP(A74,Щиты[Щит],Щиты[Zпетли на шинах, Ом]),"")</f>
        <v/>
      </c>
      <c r="EF74">
        <f>IFERROR(N(_xlfn.XLOOKUP(A74,Щиты[Щит],Щиты[ΔU до шин (подбор), %])),0)</f>
        <v>0.75</v>
      </c>
      <c r="EG74" t="str">
        <f>IFERROR(_xlfn.XLOOKUP(A74,Щиты[Щит],Щиты[Zпетли на шинах (подбор), Ом]),"")</f>
        <v/>
      </c>
      <c r="EH74" t="str">
        <f t="shared" si="187"/>
        <v/>
      </c>
      <c r="EI74">
        <f t="shared" si="188"/>
        <v>35</v>
      </c>
      <c r="EJ74">
        <f t="shared" si="189"/>
        <v>2</v>
      </c>
      <c r="EK74">
        <f t="shared" si="190"/>
        <v>0.6</v>
      </c>
      <c r="EL74" s="6">
        <f>IF(B74="","",IF(BV74=1,dU_LED,IF(IFERROR(_xlfn.XLOOKUP(BC74,Коды_код,Коды_уго),"")="Светильник",3,4)+IF(Методика="нормы 2026",MIN(0.5,MAX(0,N(P74)-100)*0.005),0)))</f>
        <v>4</v>
      </c>
      <c r="EM74" cm="1">
        <f t="array" ref="EM74">IF(OR(B74="",BZ74="",EC74&lt;&gt;1),"",_xlfn.LET(_xlpm.sz,Iдоп_S,_xlpm.t_,CHOOSE(EB74,Iдоп_1ж,Iдоп_2ж,Iдоп_3ж)*DZ74*EA74,_xlpm.dcx,BV74=1,_xlpm.inn,IF(_xlpm.dcx,N(O74),N(DT74)),_xlpm.smin,MAX(1.5,CC74),_xlpm.L_,N(P74)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74)/N(BU74)*100,999),IFERROR(N(EJ74)*(_xlpm.rho*_xlpm.L_/_xlpm.sz*N(CE74)+_xlpm.xx*_xlpm.L_*N(EK74)/1000)*N(O74)/((Uн_лин/SQRT(3))*1000)*100,999)),_xlpm.kz,IF(OR(_xlpm.dcx,DW74=1,NOT(ISNUMBER(EG74)),_xlpm.L_=0,_xlpm.inn=0),1,IFERROR(--(c_min*(Uн_лин*1000/SQRT(3))/(EG74+2*ρкз_Cu*_xlpm.L_/_xlpm.sz)&gt;=HT74*_xlpm.inn),0)),_xlpm.ok,IFERROR((_xlpm.sz&gt;=_xlpm.smin)*(_xlpm.t_&gt;=_xlpm.inn)*IF(_xlpm.L_&gt;0,(_xlpm.du_+IF(_xlpm.dcx,0,EF74)&lt;=EL74+0.00001),1)*_xlpm.kz,0),_xlpm.r_,_xlfn._xlws.FILTER(_xlpm.sz,_xlpm.ok,"не подобрано"),INDEX(_xlpm.r_,1)))</f>
        <v>2.5</v>
      </c>
      <c r="EN74">
        <f t="shared" si="191"/>
        <v>2.5</v>
      </c>
      <c r="EO74" cm="1">
        <f t="array" ref="EO74">IF(OR(B74="",BZ74="",EC74&lt;&gt;1),"",_xlfn.LET(_xlpm.sz,Iдоп_S,_xlpm.t_,CHOOSE(EB74,Iдоп_1ж,Iдоп_2ж,Iдоп_3ж)*DZ74*EA74,_xlpm.ok,IFERROR((_xlpm.sz&gt;=MAX(1.5,CC74))*(_xlpm.t_&gt;=N(DT74)),0),_xlpm.r_,_xlfn._xlws.FILTER(_xlpm.sz,_xlpm.ok,""),INDEX(_xlpm.r_,1)))</f>
        <v>1.5</v>
      </c>
      <c r="EP74" s="6" cm="1">
        <f t="array" ref="EP74">IFERROR(ROUNDUP(N(EJ74)*(_xlfn.XLOOKUP(EO74,INDEX(Кабель_сопротивление,0,1),INDEX(Кабель_сопротивление,0,3))*N(P74)/EO74*N(CE74)+_xlfn.XLOOKUP(EO74,INDEX(Кабель_сопротивление,0,1),INDEX(Кабель_сопротивление,0,2))*N(P74)*N(EK74)/1000)*N(O74)/((Uн_лин/SQRT(3))*1000)*100,2),"")</f>
        <v>3.7699999999999996</v>
      </c>
      <c r="EQ74">
        <f>IFERROR(2*ρкз_Cu*N(P74)/EO74,"")</f>
        <v>1.2273333333333334</v>
      </c>
      <c r="ER74">
        <f>IFERROR(VLOOKUP(EN74,Кабель_сопротивление,3,FALSE),"")</f>
        <v>2.2499999999999999E-2</v>
      </c>
      <c r="ES74">
        <f>IFERROR(VLOOKUP(EN74,Кабель_сопротивление,2,FALSE),"")</f>
        <v>0.1</v>
      </c>
      <c r="ET74">
        <f t="shared" si="192"/>
        <v>31</v>
      </c>
      <c r="EU74">
        <f t="shared" si="193"/>
        <v>0</v>
      </c>
      <c r="EV74">
        <f t="shared" si="194"/>
        <v>5.2263550586636125</v>
      </c>
      <c r="EW74" s="6">
        <f>IFERROR(ROUNDUP(EV74/IF(BV74=1,BU74,(Uн_лин/SQRT(3))*1000)*100,2),"")</f>
        <v>2.2699999999999996</v>
      </c>
      <c r="EX74" t="str">
        <f>IFERROR(VLOOKUP(BZ74,Кабель_обозначение,2,FALSE),"")</f>
        <v>ВВГнг(А)-LS</v>
      </c>
      <c r="EY74" t="str">
        <f t="shared" si="195"/>
        <v>ВВГнг(А)-LS (3х2,5)</v>
      </c>
      <c r="EZ74" t="str">
        <f t="shared" si="196"/>
        <v>ВВГнг(А)-LS (3х2,5)
L=35-2,27%</v>
      </c>
      <c r="FA74">
        <f>IFERROR(2*ρкз_Cu*P74/EN74,"")</f>
        <v>0.73639999999999994</v>
      </c>
      <c r="FB74">
        <f t="shared" si="197"/>
        <v>0.24500000000000002</v>
      </c>
      <c r="FC74" s="6" t="str">
        <f>IFERROR(IF(OR(B74="",BV74=1,NOT(ISNUMBER(EN74)),N(P74)=0),"",_xlfn.XLOOKUP(A74,Щиты[Щит],Щиты[Zпетли на шинах, Ом])+FA74),"")</f>
        <v/>
      </c>
      <c r="FD74" s="6" t="str">
        <f>IF(ISNUMBER(FC74),c_min*(Uн_лин*1000/SQRT(3))/FC74,"")</f>
        <v/>
      </c>
      <c r="FE74" s="6" t="str">
        <f>IFERROR(IF(OR(B74="",NOT(ISNUMBER(EN74))),"",1.05*(Uн_лин*1000/SQRT(3))/(_xlfn.XLOOKUP(A74,Щиты[Щит],Щиты[Zmax на шинах, Ом])+FB74)/1000),"")</f>
        <v/>
      </c>
      <c r="FF74" s="6" t="str">
        <f>IF(B74="","",IF(ISNUMBER(AC74),"Сил",IF(IFERROR(_xlfn.XLOOKUP(BC74,Коды_код,Коды_группа)&amp;"","")="","Быт",_xlfn.XLOOKUP(BC74,Коды_код,Коды_группа)&amp;"")))</f>
        <v>Сил</v>
      </c>
      <c r="FG74" s="6" t="str">
        <f t="shared" si="198"/>
        <v>Сил</v>
      </c>
      <c r="FH74" s="6">
        <f>IF(FG74="Щит","щит",IF(FG74="","",IF(FG74="Быт",IFERROR(_xlfn.XLOOKUP(A74,Щиты[Щит],Щиты[Кс быт]),1),IF(FG74="Сил",IF(ISNUMBER(AC74),AC74,IF(Методика="нормы 2026",IFERROR(_xlfn.XLOOKUP(A74,Щиты[Щит],Щиты[Кс силовых (табл. 7.5)]),1),1)),IF(OR(FG74="Пост",FG74="Отоп"),1,IF(FG74="ВНГ",0.7,0))))))</f>
        <v>0.5</v>
      </c>
      <c r="FI74">
        <f>IF(FG74="","",IF(AND(BP74=1,TRIM(AE74&amp;"")=""),IF(COUNTIFS(Линии[Щит],A74,Линии[Секция (1/2/3)],"&gt;=2")&gt;0,MIN(3,MAX(1,IFERROR(--BD74,1))),1),IFERROR(MIN(3,MAX(1,INT(--AE74))),1)))</f>
        <v>1</v>
      </c>
      <c r="FJ74">
        <f t="shared" si="199"/>
        <v>1.9</v>
      </c>
      <c r="FK74">
        <f t="shared" si="200"/>
        <v>0</v>
      </c>
      <c r="FL74">
        <f t="shared" si="201"/>
        <v>0.95</v>
      </c>
      <c r="FM74">
        <f t="shared" si="202"/>
        <v>0</v>
      </c>
      <c r="FN74">
        <f t="shared" si="203"/>
        <v>0</v>
      </c>
      <c r="FO74">
        <f t="shared" si="204"/>
        <v>0</v>
      </c>
      <c r="FP74">
        <f t="shared" si="205"/>
        <v>1.9</v>
      </c>
      <c r="FQ74">
        <f t="shared" si="206"/>
        <v>1.9</v>
      </c>
      <c r="FR74">
        <f t="shared" si="207"/>
        <v>1.52</v>
      </c>
      <c r="FS74">
        <f>IF(CG74=1,IF(AND(CH74=1,CW74=1),0,IF(AND(CS74&lt;&gt;"",CS74=BA74,CW74=1),SUMIFS(Линии[_Р линии, кВт],Линии[_блок УЗО],BA74,Линии[Щит],A74),N(BS74)+IF(AJ74="вручную",0,N(CK74)))),0)</f>
        <v>1.9</v>
      </c>
      <c r="FT74" t="str">
        <f t="shared" si="208"/>
        <v/>
      </c>
      <c r="FU74" t="str">
        <f>IF(B74="","",IF(CG74=0,IF(BA74=1,"",FW73),IF(AND(CH74=1,CW74=1,CS74&lt;&gt;""),IFERROR(_xlfn.XLOOKUP(CS74,Линии[_n],Линии[_фаза итог]),"L1"),IF(OR(N(DL74)&gt;=3,N(BX74)&gt;=3),"L1,L2,L3",IFERROR(_xlfn.TEXTBEFORE(_xlfn.TEXTAFTER(_xlfn.XLOOKUP(A74,Щиты[Щит],Щиты[_фазы авто]),";"&amp;BA74&amp;":"),";"),"L1")))))</f>
        <v>L2</v>
      </c>
      <c r="FV74" t="str">
        <f t="shared" si="209"/>
        <v>L2</v>
      </c>
      <c r="FW74" t="str">
        <f t="shared" si="210"/>
        <v>L2</v>
      </c>
      <c r="FX74" cm="1">
        <f t="array" ref="FX74">IFERROR(IF(CD74=2,_xlfn.IFS(BX74=3,VLOOKUP(BS74,Справочная_двигатели,3,FALSE),BX74=1,VLOOKUP(BS74,Справочная_двигатели,5,TRUE)),0),0)</f>
        <v>0</v>
      </c>
      <c r="FY74">
        <f>IFERROR(IF(CD74=3,VLOOKUP(BS74,Справочная_ЛЭД,2,TRUE),0),0)</f>
        <v>0</v>
      </c>
      <c r="FZ74" s="6">
        <f t="shared" si="211"/>
        <v>0</v>
      </c>
      <c r="GA74" t="str">
        <f>IF(B74="","",IF(TRIM(AH74&amp;"")&lt;&gt;"",IF(LOWER(TRIM(AH74&amp;""))="да","да","нет"),IF(IFERROR(_xlfn.XLOOKUP(BC74,Коды_код,Коды_пожарная),"")="да","да","нет")))</f>
        <v>нет</v>
      </c>
      <c r="GB74" t="str">
        <f t="shared" si="212"/>
        <v/>
      </c>
      <c r="GC74" t="str">
        <f t="shared" si="213"/>
        <v>основная</v>
      </c>
      <c r="GD74">
        <f>IF(AND(BP74=1,TRIM(AE74&amp;"")=""),IF(COUNTIFS(Линии[Щит],A74,Линии[Секция (1/2/3)],"&gt;=2")&gt;0,MIN(3,MAX(1,IFERROR(--BD74,1))),1),IFERROR(MIN(3,MAX(1,INT(--AE74))),1))</f>
        <v>1</v>
      </c>
      <c r="GE74" t="str" cm="1">
        <f t="array" ref="GE74">IF(B74="","",_xlfn.LET(_xlpm.t,IFERROR(_xlfn.XLOOKUP(1,(Шины[Шина]=GC74)*(((Шины[Щит]=A74)+(Шины[Щит]=""))&gt;0),Шины[Тип]),"")&amp;"",IF(_xlpm.t&lt;&gt;"",_xlpm.t,IF(ISNUMBER(SEARCH("ИБП",GC74)),"ИБП",IF(ISNUMBER(SEARCH("ДГУ",GC74)),"ДГУ","Ввод "&amp;GD74)))))</f>
        <v>Ввод 1</v>
      </c>
      <c r="GF74" t="str">
        <f t="shared" si="214"/>
        <v>Ввод 1</v>
      </c>
      <c r="GG74" t="str">
        <f>IF(BP74=0,"",IF(TRIM(AG74&amp;"")&lt;&gt;"",TRIM(AG74&amp;""),IF(OR(GE74="ИБП",GE74="ДГУ"),"I особая",_xlfn.XLOOKUP(A74,Щиты[Щит],Щиты[Категория шины «Ввод»],"III"))))</f>
        <v/>
      </c>
      <c r="GH74" t="str">
        <f>IF(A74="","",_xlfn.XLOOKUP(A74,Щиты[Щит],Щиты[Путь],""))</f>
        <v>|ГРЩ-ЖД|ЩОВ-001|</v>
      </c>
      <c r="GI74" t="str">
        <f>IF(B74="","",IF(AI74&lt;&gt;"",AI74,IF(IFERROR(_xlfn.XLOOKUP(BC74,Коды_код,Коды_вид)&amp;"","")="","Прочее",_xlfn.XLOOKUP(BC74,Коды_код,Коды_вид)&amp;"")))</f>
        <v>Кондиционирование и увлажнение</v>
      </c>
      <c r="GJ74">
        <f>IF(BM74="","",INT((BM74-1)/Столбцов_на_лист)+1)</f>
        <v>3</v>
      </c>
      <c r="GK74" t="str">
        <f t="shared" si="215"/>
        <v>ВВГнг(А)-LS (3х2,5) L=35-2,27%</v>
      </c>
      <c r="GL74">
        <f t="shared" si="216"/>
        <v>1.9</v>
      </c>
      <c r="GM74">
        <f t="shared" si="217"/>
        <v>10.29</v>
      </c>
      <c r="GN74">
        <f t="shared" si="218"/>
        <v>1</v>
      </c>
      <c r="GO74">
        <f t="shared" si="219"/>
        <v>0</v>
      </c>
      <c r="GP74">
        <f t="shared" si="220"/>
        <v>1</v>
      </c>
      <c r="GQ74">
        <f>IF(BM74="","",IF(AND(CG74=1,GP74=1),COUNTIFS(A$3:A74,A74,CG$3:CG74,1,GP$3:GP74,1),IF(OR(OR(BA74=1,A74&lt;&gt;A73),AJ74="вручную",GP74=0),"",IF(BA74=1,"",GR73))))</f>
        <v>21</v>
      </c>
      <c r="GR74">
        <f t="shared" si="221"/>
        <v>21</v>
      </c>
      <c r="GS74">
        <f>IF(B74="","",IFERROR(LOOKUP(INDEX(CHOOSE(EB74,Iдоп_1ж,Iдоп_2ж,Iдоп_3ж),MATCH(EN74,Iдоп_S,0))*DZ74*EA74,{6,10,16,20,25,32,40,50,63,80,100,125,160,200,250,315,400,500,630}),""))</f>
        <v>25</v>
      </c>
      <c r="GT74" t="str">
        <f t="shared" si="222"/>
        <v>QF21</v>
      </c>
      <c r="GU74" t="str">
        <f t="shared" si="223"/>
        <v>QF21</v>
      </c>
      <c r="GV74" t="str">
        <f t="shared" si="224"/>
        <v/>
      </c>
      <c r="GW74">
        <f t="shared" si="225"/>
        <v>0</v>
      </c>
      <c r="GX74" t="str">
        <f>IF(OR(B74="",DJ74=""),"",IFERROR(_xlfn.XLOOKUP(DJ74,Модули_умолч[Управление],Модули_умолч[Модель])&amp;"",""))</f>
        <v/>
      </c>
      <c r="GY74">
        <f>IF(DJ74="",1,IFERROR(MAX(0,N(_xlfn.XLOOKUP(DJ74,Модули_умолч[Управление],Модули_умолч[Каналов на линию]))),1))</f>
        <v>1</v>
      </c>
      <c r="GZ74" t="str">
        <f t="shared" si="226"/>
        <v/>
      </c>
      <c r="HA74" t="str">
        <f t="shared" si="227"/>
        <v/>
      </c>
      <c r="HB74" t="str">
        <f t="shared" si="228"/>
        <v/>
      </c>
      <c r="HC74">
        <f>IF(HB74="",0,IFERROR(N(VLOOKUP(HB74,Модули_спр,3,FALSE)),0))</f>
        <v>0</v>
      </c>
      <c r="HD74" t="str">
        <f t="shared" si="229"/>
        <v/>
      </c>
      <c r="HE74" t="str">
        <f t="shared" si="230"/>
        <v/>
      </c>
      <c r="HF74" t="str">
        <f>IF(OR(HE74="",HE74="-"),"",IFERROR(VLOOKUP(HE74,Модули_спр,2,FALSE),"R"))</f>
        <v/>
      </c>
      <c r="HG74" t="str">
        <f>IF(HF74="","",HF74&amp;"."&amp;COUNTIFS(A$3:A74,A74,HF$3:HF74,HF74))</f>
        <v/>
      </c>
      <c r="HH74" t="str">
        <f t="shared" si="231"/>
        <v/>
      </c>
      <c r="HI74" t="str">
        <f t="shared" si="232"/>
        <v/>
      </c>
      <c r="HJ74" t="str">
        <f t="shared" si="233"/>
        <v/>
      </c>
      <c r="HK74" t="str">
        <f t="shared" si="234"/>
        <v/>
      </c>
      <c r="HL74">
        <f t="shared" si="235"/>
        <v>1</v>
      </c>
      <c r="HM74" t="str">
        <f>IF(HL74=1,"XT"&amp;COUNTIFS(A$3:A74,A74,HL$3:HL74,1),"")</f>
        <v>XT21</v>
      </c>
      <c r="HN74" t="str">
        <f t="shared" si="236"/>
        <v/>
      </c>
      <c r="HO74" t="str">
        <f t="shared" si="237"/>
        <v>QF21</v>
      </c>
      <c r="HP74" t="str">
        <f t="shared" si="238"/>
        <v/>
      </c>
      <c r="HQ74" t="str">
        <f t="shared" si="239"/>
        <v>ok</v>
      </c>
      <c r="HR74" t="str">
        <f>IF(OR(HJ74="",HH74=""),"",IF(HJ74+MAX(0,GY74-1)&gt;IFERROR(VLOOKUP(HI74,Модули_спр,3,FALSE),99),"ЛИШНИЙ КАНАЛ",IF(AND(AL74&lt;&gt;"=",GY74&gt;0,COUNTIFS(Линии[_модуль гр.],HH74,Линии[Канал (итог)],HJ74,Линии[Канал],"&lt;&gt;=",Линии[Щит],A74)&gt;1),"ДУБЛЬ КАНАЛА","")))</f>
        <v/>
      </c>
      <c r="HS74" s="6" t="str">
        <f t="shared" si="240"/>
        <v/>
      </c>
      <c r="HT74">
        <f t="shared" si="241"/>
        <v>10</v>
      </c>
      <c r="HU74" t="str">
        <f t="shared" si="242"/>
        <v/>
      </c>
      <c r="HV74">
        <f t="shared" si="243"/>
        <v>4.4636206679760821</v>
      </c>
      <c r="HW74">
        <f t="shared" si="244"/>
        <v>0</v>
      </c>
      <c r="HX74">
        <f t="shared" si="245"/>
        <v>0</v>
      </c>
      <c r="HY74">
        <f t="shared" si="246"/>
        <v>0</v>
      </c>
      <c r="HZ74">
        <f t="shared" si="247"/>
        <v>0</v>
      </c>
      <c r="IA74">
        <f t="shared" si="248"/>
        <v>0</v>
      </c>
      <c r="IB74">
        <f t="shared" si="249"/>
        <v>0</v>
      </c>
      <c r="IC74" t="str">
        <f t="shared" si="250"/>
        <v/>
      </c>
      <c r="ID74" t="str" cm="1">
        <f t="array" ref="ID74">IF(IC74="","",_xlfn.LET(_xlpm.tk,_xlfn.TEXTSPLIT(SUBSTITUTE(SUBSTITUTE(IC74,";"," "),"→"," ")," ",,TRUE),_xlpm.w_,_xlfn._xlws.FILTER(_xlpm.tk,ISNUMBER(--LEFT(_xlpm.tk,1))*((ISNUMBER(SEARCH("W",_xlpm.tk))+ISNUMBER(SEARCH("Вт",_xlpm.tk)))&gt;0),""),IFERROR(--SUBSTITUTE(SUBSTITUTE(UPPER(INDEX(_xlpm.w_,1)),"W",""),"ВТ",""),"")))</f>
        <v/>
      </c>
      <c r="IE74" t="str" cm="1">
        <f t="array" ref="IE74">IF(IC74="","",_xlfn.LET(_xlpm.tk,_xlfn.TEXTSPLIT(SUBSTITUTE(SUBSTITUTE(IC74,";"," "),"→"," ")," ",,TRUE),_xlpm.v_,_xlfn._xlws.FILTER(_xlpm.tk,ISNUMBER(--LEFT(_xlpm.tk,1))*((ISNUMBER(SEARCH("V",_xlpm.tk))+(RIGHT(UPPER(_xlpm.tk))="В"))&gt;0),""),IFERROR(--SUBSTITUTE(SUBSTITUTE(UPPER(INDEX(_xlpm.v_,1)),"V",""),"В",""),"")))</f>
        <v/>
      </c>
      <c r="IF74" s="6" t="str">
        <f>IF(OR(BV74=0,HI74="",HJ74=""),"",IFERROR(N(_xlfn.XLOOKUP(HI74,Каталог!$C$4:$C$500,Каталог!$Q$4:$Q$500)),""))</f>
        <v/>
      </c>
      <c r="IG74" s="6" t="str">
        <f>IF(N(IF74)=0,"",SUMIFS(Линии[Iр, А],Линии[Щит],A74,Линии[_модуль гр.],HH74,Линии[Канал (итог)],HJ74))</f>
        <v/>
      </c>
      <c r="IH74" t="str">
        <f>IF(AND(B74="",HO74=""),"",_xlfn.TEXTJOIN("; ",TRUE,IF(AND(B74&lt;&gt;"",FV74=""),"нет фазы",""),IF(AND(B74&lt;&gt;"",N(GL74)=0,FG74&lt;&gt;"Нет"),"нет мощности",""),IF(AND(HN74&lt;&gt;"",COUNTIFS(Линии[Щит],A74,Линии[Клемма (итог)],HN74)&gt;1),"дубль клеммы "&amp;HN74,""),IF(AND(HQ74&lt;&gt;"",HQ74&lt;&gt;"ok"),HQ74,""),IF(HR74&lt;&gt;"",HR74,""),IF(AND(N(CB74)&gt;=4,N(BX74)=1),CB74&amp;" жил на 1 фазе",""),IF(AND(BC74="R",CG74=1,IF(CS74&lt;&gt;"",N(CV74)&gt;30,OR(N(DA74)=0,N(DA74)&gt;30))),"розетка без дифзащиты до 30 мА",""),IF(AND(CG74=1,N(DA74)&gt;0,ISNUMBER(T74)),IF(T74&gt;N(DA74)/3,"ток утечки "&amp;FIXED(T74,1)&amp;" мА &gt; 1/3 уставки ("&amp;DA74&amp;" мА)",""),""),IF(AND(CH74=1,CS74=""),"«узо»: нет строки с УЗО выше (УЗО 2P 40А 30мА в «Аппаратах»)",""),IF(AND(CS74&lt;&gt;"",CS74=BA74),IF(CT74="","впишите номинал УЗО (УЗО 2P 40А 30мА)",IF(N(CT74)&lt;N(DT74),"УЗО "&amp;CT74&amp;" А &lt; автомата "&amp;DT74&amp;" А перед ним",IF(N(CT74)&lt;N(CX74),"УЗО "&amp;CT74&amp;" А &lt; тока блока "&amp;FIXED(CX74,1)&amp;" А",""))),""),IF(AND(CS74&lt;&gt;"",CS74=BA74,ISNUMBER(CY74)),IF(CY74&gt;N(CV74)/3,"ток утечки блока УЗО "&amp;FIXED(CY74,1)&amp;" мА &gt; 1/3 уставки ("&amp;CV74&amp;" мА)",""),""),IF(AND(CG74=1,N(BV74)+N(IB74)&gt;0,IC74=""),"линии до 50 В без БП: впишите в «Аппараты» (БП 24V 480W)",""),IF(AND(CG74=1,ISNUMBER(ID74),ISNUMBER(U74)),IF(U74&gt;ID74,"БП "&amp;ID74&amp;" Вт &lt; нужно "&amp;U74&amp;" Вт (×"&amp;Запас_БП&amp;")",""),""),IF(AND(CG74=1,ISNUMBER(IE74),N(BV74)=1),IF(IE74&lt;&gt;N(BU74),"БП на "&amp;IE74&amp;" В, линия "&amp;BU74&amp;" В",""),""),IF(AND(N(IF74)&gt;0,N(IG74)&gt;N(IF74)),HH74&amp;" канал "&amp;HJ74&amp;": "&amp;FIXED(IG74,1)&amp;" А &gt; "&amp;IF74&amp;" А",""),IFERROR(IF(AND(ISNUMBER(Q74),Q74&gt;EL74),"потери "&amp;FIXED(Q74,1)&amp;" % &gt; "&amp;EL74&amp;" %",""),""),IFERROR(IF(LEFT(HU74,4)="мало","Iкз мало — отключение &gt; 0,4 с",""),""),IF(AND(B74&lt;&gt;"",BM74=""),"не на схеме",""),IF(AND(CG74=0,B74&lt;&gt;"",FV74&lt;&gt;"",IF(BA74=1,"",FW73)&lt;&gt;"",FV74&lt;&gt;IF(BA74=1,"",FW73)),"фаза не как у автомата группы ("&amp;IF(BA74=1,"",FW73)&amp;")","")))</f>
        <v/>
      </c>
      <c r="II74" s="6">
        <f>IF(OR(CG74=0,DQ74=""),"",_xlfn.LET(_xlpm.t,IFERROR(_xlfn.XLOOKUP(DQ74,Каталог!$U$4:$U$500,Каталог!$G$4:$G$500),""),_xlpm.k,SEARCH("кА",_xlpm.t),IFERROR(--TRIM(RIGHT(SUBSTITUTE(MID(_xlpm.t,MAX(1,_xlpm.k-4),_xlpm.k-MAX(1,_xlpm.k-4))," ",REPT(" ",9)),5)),"")))</f>
        <v>6</v>
      </c>
      <c r="IJ74" t="str">
        <f>IF(OR(II74="",CG74=0),"",IF(_xlfn.XLOOKUP(A74,Щиты[Щит],Щиты[Iкз max на шинах, кА],"")="","",IF(II74&lt;_xlfn.XLOOKUP(A74,Щиты[Щит],Щиты[Iкз max на шинах, кА]),"Icu "&amp;II74&amp;" кА &lt; Iкз max","ok")))</f>
        <v/>
      </c>
      <c r="IK74" t="str">
        <f t="shared" si="251"/>
        <v/>
      </c>
      <c r="IL74" t="str">
        <f t="shared" si="252"/>
        <v>QF21</v>
      </c>
      <c r="IM74" t="str">
        <f t="shared" si="253"/>
        <v>QF21|кабель ВВГнг(А)-LS (3х2,5) → Внешний блок кондиционирования Пом. Венткиосок</v>
      </c>
      <c r="IN74" t="str" cm="1">
        <f t="array" ref="IN74">IF(IM74="","",_xlfn.LET(_xlpm.nd,_xlfn.TEXTSPLIT(IM74,"|"),IF(COLUMNS(_xlpm.nd)&gt;1,A74&amp;"¦"&amp;INDEX(_xlpm.nd,1)&amp;"¦"&amp;INDEX(_xlpm.nd,2),"")))</f>
        <v>ЩОВ-001¦QF21¦кабель ВВГнг(А)-LS (3х2,5) → Внешний блок кондиционирования Пом. Венткиосок</v>
      </c>
      <c r="IO74" t="str">
        <f t="shared" si="254"/>
        <v>K.6¦Внешний блок кондиционирования Пом. Венткиосок</v>
      </c>
      <c r="IP74" t="str" cm="1">
        <f t="array" ref="IP74">IF(IM74="","",_xlfn.LET(_xlpm.nd,_xlfn.TEXTSPLIT(IM74,"|"),IF(COLUMNS(_xlpm.nd)&gt;2,A74&amp;"¦"&amp;INDEX(_xlpm.nd,2)&amp;"¦"&amp;INDEX(_xlpm.nd,3),"")))</f>
        <v/>
      </c>
      <c r="IQ74" t="str">
        <f t="shared" si="255"/>
        <v/>
      </c>
      <c r="IR74" t="str" cm="1">
        <f t="array" ref="IR74">IF(IM74="","",_xlfn.LET(_xlpm.nd,_xlfn.TEXTSPLIT(IM74,"|"),IF(COLUMNS(_xlpm.nd)&gt;3,A74&amp;"¦"&amp;INDEX(_xlpm.nd,3)&amp;"¦"&amp;INDEX(_xlpm.nd,4),"")))</f>
        <v/>
      </c>
      <c r="IS74" t="str">
        <f t="shared" si="256"/>
        <v/>
      </c>
      <c r="IT74" t="str" cm="1">
        <f t="array" ref="IT74">IF(IM74="","",_xlfn.LET(_xlpm.nd,_xlfn.TEXTSPLIT(IM74,"|"),IF(COLUMNS(_xlpm.nd)&gt;4,A74&amp;"¦"&amp;INDEX(_xlpm.nd,4)&amp;"¦"&amp;INDEX(_xlpm.nd,5),"")))</f>
        <v/>
      </c>
      <c r="IU74" t="str">
        <f t="shared" si="257"/>
        <v/>
      </c>
      <c r="IV74" t="str" cm="1">
        <f t="array" ref="IV74">IF(IM74="","",_xlfn.LET(_xlpm.nd,_xlfn.TEXTSPLIT(IM74,"|"),IF(COLUMNS(_xlpm.nd)&gt;5,A74&amp;"¦"&amp;INDEX(_xlpm.nd,5)&amp;"¦"&amp;INDEX(_xlpm.nd,6),"")))</f>
        <v/>
      </c>
      <c r="IW74" t="str">
        <f t="shared" si="258"/>
        <v/>
      </c>
      <c r="IX74" t="str" cm="1">
        <f t="array" ref="IX74">IF(IM74="","",_xlfn.LET(_xlpm.nd,_xlfn.TEXTSPLIT(IM74,"|"),IF(COLUMNS(_xlpm.nd)&gt;6,A74&amp;"¦"&amp;INDEX(_xlpm.nd,6)&amp;"¦"&amp;INDEX(_xlpm.nd,7),"")))</f>
        <v/>
      </c>
      <c r="IY74" t="str">
        <f t="shared" si="259"/>
        <v/>
      </c>
      <c r="IZ74" t="str">
        <f t="shared" si="260"/>
        <v/>
      </c>
      <c r="JA74" t="str">
        <f t="shared" si="261"/>
        <v>QF21</v>
      </c>
      <c r="JB74">
        <f t="shared" si="262"/>
        <v>0</v>
      </c>
      <c r="JC74">
        <f t="shared" si="263"/>
        <v>0</v>
      </c>
      <c r="JD74" t="str">
        <f t="shared" si="264"/>
        <v/>
      </c>
      <c r="JE74" t="str">
        <f t="shared" si="265"/>
        <v/>
      </c>
      <c r="JF74" t="str">
        <f t="shared" si="266"/>
        <v/>
      </c>
      <c r="JG74" t="str">
        <f t="shared" si="267"/>
        <v/>
      </c>
      <c r="JH74">
        <f>IF(B74="","",IFERROR(_xlfn.XLOOKUP(B74,Коды_код,Коды_уго),IFERROR(_xlfn.XLOOKUP(BC74,Коды_код,Коды_уго),IFERROR(_xlfn.XLOOKUP(LEFT(BC74,2),Коды_код,Коды_уго),""))))</f>
        <v>0</v>
      </c>
      <c r="JI74" t="str">
        <f>IF(B74="","",IF(OR(JH74="",JH74=0),"BOX",IFERROR(IF(VLOOKUP(JH74,УГО_блоки,3,FALSE)&amp;""&lt;&gt;"",VLOOKUP(JH74,УГО_блоки,3,FALSE),VLOOKUP(JH74,УГО_блоки,2,FALSE)),JH74)))</f>
        <v>BOX</v>
      </c>
      <c r="JJ74">
        <f t="shared" si="268"/>
        <v>1</v>
      </c>
      <c r="JK74" t="str">
        <f>IF(DQ74="","",IF(COUNTIF(DQ$3:DQ74,DQ74)=1,MAX(JK$2:JK73)+1,""))</f>
        <v/>
      </c>
      <c r="JL74" t="str">
        <f>IF(DE74="","",IF(COUNTIF(DE$3:DE74,DE74)+COUNTIF(DF$2:DF73,DE74)+COUNTIF(DG$2:DG73,DE74)=1,MAX(JL$2:JN73)+1,""))</f>
        <v/>
      </c>
      <c r="JM74" t="str">
        <f>IF(DF74="","",IF(COUNTIF(DE$3:DE74,DF74)+COUNTIF(DF$3:DF74,DF74)+COUNTIF(DG$2:DG73,DF74)=1,MAX(JL$2:JN73,JL74)+1,""))</f>
        <v/>
      </c>
      <c r="JN74" t="str">
        <f>IF(DG74="","",IF(COUNTIF(DE$3:DE74,DG74)+COUNTIF(DF$3:DF74,DG74)+COUNTIF(DG$3:DG74,DG74)=1,MAX(JL$2:JN73,JL74,JM74)+1,""))</f>
        <v/>
      </c>
      <c r="JO74" t="str">
        <f t="shared" si="269"/>
        <v>3х2,5</v>
      </c>
      <c r="JP74" t="str">
        <f>IF(JO74="","",IF(COUNTIF(JO$3:JO74,JO74)=1,MAX(JP$2:JP73)+1,""))</f>
        <v/>
      </c>
      <c r="JQ74" t="str">
        <f>IF(HG74="","",COUNTIF(HG$3:HG74,"?*"))</f>
        <v/>
      </c>
      <c r="JR74" t="str">
        <f>IF(OR(HG74="",HI74=""),"",IF(COUNTIFS(HG$3:HG74,"?*",HI$3:HI74,HI74)=1,MAX(JR$2:JR73)+1,""))</f>
        <v/>
      </c>
      <c r="JS74">
        <f t="shared" si="270"/>
        <v>0</v>
      </c>
      <c r="JT74">
        <f>IF(B74="","",COUNTIF(B$3:B74,"?*"))</f>
        <v>72</v>
      </c>
      <c r="JU74">
        <f>IF(HL74&lt;&gt;1,0,_xlfn.LET(_xlpm.k,MAX(IFERROR(--_xlfn.XLOOKUP(B74,Коды_код,Коды_3L),0),IFERROR(--_xlfn.XLOOKUP(BC74,Коды_код,Коды_3L),0),IFERROR(--_xlfn.XLOOKUP(LEFT(BC74,2),Коды_код,Коды_3L),0)),IF(_xlpm.k&gt;0,_xlpm.k,IF(IFERROR(--LEFT(SUBSTITUTE(JO74,"x","х"),FIND("х",SUBSTITUTE(JO74,"x","х"))-1),3)&gt;3,Каталог!$S$9,1))))</f>
        <v>1</v>
      </c>
      <c r="JV74">
        <f t="shared" si="271"/>
        <v>0</v>
      </c>
      <c r="JW74" t="str">
        <f t="shared" si="272"/>
        <v>авто</v>
      </c>
      <c r="JX74" t="str">
        <f t="shared" si="273"/>
        <v/>
      </c>
      <c r="JY74">
        <f t="shared" si="274"/>
        <v>0</v>
      </c>
      <c r="JZ74">
        <f t="shared" si="275"/>
        <v>1</v>
      </c>
    </row>
    <row r="75" spans="1:286" x14ac:dyDescent="0.3">
      <c r="A75" t="s">
        <v>747</v>
      </c>
      <c r="B75" t="s">
        <v>1388</v>
      </c>
      <c r="C75" t="s">
        <v>1660</v>
      </c>
      <c r="D75">
        <v>1</v>
      </c>
      <c r="E75">
        <v>1.9</v>
      </c>
      <c r="G75">
        <v>16</v>
      </c>
      <c r="H75" t="str">
        <f>Линии[[#This Row],[_авто управление]]</f>
        <v/>
      </c>
      <c r="I75" t="str">
        <f>Линии[[#This Row],[_авто аппараты]]</f>
        <v/>
      </c>
      <c r="J75">
        <v>2.5</v>
      </c>
      <c r="K75">
        <v>35</v>
      </c>
      <c r="L75" t="str">
        <f>Линии[[#This Row],[_авто фаза]]</f>
        <v>L3</v>
      </c>
      <c r="M75" t="s">
        <v>484</v>
      </c>
      <c r="N75" t="str">
        <f t="shared" si="138"/>
        <v/>
      </c>
      <c r="O75" s="6" cm="1">
        <f t="array" ref="O75">IF(B75="","",IF(BH75&lt;&gt;"",IFERROR(_xlfn.XLOOKUP(BH75,Щиты[Щит],Щиты[Iр, А]),""),IF(BP75=1,IF(OR(N(_xlfn.XLOOKUP(A75,Щиты[Щит],Щиты[Вводов],1))&lt;=1,LOWER(TRIM(_xlfn.XLOOKUP(A75,Щиты[Щит],Щиты[АВР],"")&amp;""))="да"),IFERROR(_xlfn.XLOOKUP(A75,Щиты[Щит],Щиты[Iр, А]),""),IFERROR(N(BS75)*_xlfn.XLOOKUP(A75,Щиты[Щит],Щиты[Кс итог])/(SQRT(3)*Uн_лин*_xlfn.XLOOKUP(A75,Щиты[Щит],Щиты[cos φ])),"")),IF(BV75=1,IFERROR(BS75*1000/BU75,""),IFERROR(_xlfn.IFS(BX75=1,BS75/((Uн_лин/SQRT(3))*CE75),BX75=3,BS75/(SQRT(3)*Uн_лин*CE75)),"")))))</f>
        <v>10.284051669940206</v>
      </c>
      <c r="P75" s="7">
        <f>IF(B75="","",IFERROR(IF(VLOOKUP(BC75,Потребители_обозначение,4,FALSE)=1,VLOOKUP(BC75,Потребители_обозначение,3,FALSE)*(MAX(1,N(D75))*2-1)+EI75+VLOOKUP(BE75,Этаж_обозначение,3,FALSE)+VLOOKUP(BE75,Этаж_обозначение,4,FALSE),VLOOKUP(BC75,Потребители_обозначение,3,FALSE)*(MAX(1,N(D75))*2-1)+EI75),EI75))</f>
        <v>35</v>
      </c>
      <c r="Q75" s="6">
        <f t="shared" si="139"/>
        <v>2.9099999999999997</v>
      </c>
      <c r="R75" t="str">
        <f t="shared" si="140"/>
        <v>ВВГнг(А)-LS (3х2,5)</v>
      </c>
      <c r="S75" t="str">
        <f>IF(BM75="","",IF(BN75="вводной узел","узел ","")&amp;"л."&amp;(INT((BM75-1)/Столбцов_на_лист)+1)&amp;" / "&amp;(MOD(BM75-1,Столбцов_на_лист)+1))</f>
        <v>л.3 / 5</v>
      </c>
      <c r="T75" s="119">
        <f t="shared" si="141"/>
        <v>4.5</v>
      </c>
      <c r="U75" s="7" t="str">
        <f>IF(OR(CG75=0,N(BV75)+N(IB75)=0),"",ROUNDUP(Запас_БП*(N(HY75)+N(HZ75)),0))</f>
        <v/>
      </c>
      <c r="V75" s="119" t="str">
        <f t="shared" si="142"/>
        <v/>
      </c>
      <c r="W75" s="7" t="str">
        <f>IFERROR(IF(OR(B75="",BP75=1,BV75=1,NOT(ISNUMBER(EN75)),N(DT75)=0),"",MAX(0,ROUNDDOWN((c_min*(Uн_лин*1000/SQRT(3))/(HT75*N(DT75))-_xlfn.XLOOKUP(A75,Щиты[Щит],Щиты[Zпетли на шинах, Ом]))*EN75/(2*ρкз_Cu),0))),"")</f>
        <v/>
      </c>
      <c r="Y75" t="str">
        <f>Линии[[#This Row],[_авто утечка]]</f>
        <v/>
      </c>
      <c r="Z75">
        <v>1</v>
      </c>
      <c r="AA75">
        <v>230</v>
      </c>
      <c r="AB75" t="s">
        <v>598</v>
      </c>
      <c r="AC75">
        <v>0.5</v>
      </c>
      <c r="AG75" t="s">
        <v>810</v>
      </c>
      <c r="AI75" t="s">
        <v>576</v>
      </c>
      <c r="AK75" t="str">
        <f>Линии[[#This Row],[_авто модуль]]</f>
        <v/>
      </c>
      <c r="AM75">
        <v>39</v>
      </c>
      <c r="AN75" t="s">
        <v>11</v>
      </c>
      <c r="AO75">
        <v>3</v>
      </c>
      <c r="AR75">
        <v>31</v>
      </c>
      <c r="AT75">
        <v>1</v>
      </c>
      <c r="BA75" cm="1">
        <f t="array" ref="BA75">ROW()-ROW(Линии[#Headers])</f>
        <v>73</v>
      </c>
      <c r="BC75" s="6" t="str">
        <f t="shared" si="143"/>
        <v>K</v>
      </c>
      <c r="BD75" t="str">
        <f t="shared" si="144"/>
        <v>7</v>
      </c>
      <c r="BE75" t="str">
        <f t="shared" si="145"/>
        <v>7</v>
      </c>
      <c r="BF75" t="str">
        <f t="shared" si="146"/>
        <v/>
      </c>
      <c r="BG75" t="str">
        <f t="shared" si="147"/>
        <v/>
      </c>
      <c r="BH75" t="str">
        <f>IF(X75&lt;&gt;"",X75,IF(AND(B75&lt;&gt;"",B75&lt;&gt;A75,ISNUMBER(_xlfn.XMATCH(B75,Щиты[Щит]))),B75,""))</f>
        <v/>
      </c>
      <c r="BI75" t="str" cm="1">
        <f t="array" ref="BI75">IF(B75="","",IF(BH75&lt;&gt;"","Щит "&amp;BH75,_xlfn.LET(_xlpm.nm,IFERROR(_xlfn.XLOOKUP(BC75,Коды_код,Коды_имя)&amp;"",""),_xlpm.md,IFERROR(N(_xlfn.XLOOKUP(BC75,Коды_код,Коды_режим)),1),_xlpm.ex,IF(Имя_режим="по экспликации",IFERROR(_xlfn.XLOOKUP(BE75&amp;"|"&amp;BG75,Экспликация[Этаж]&amp;"|"&amp;Экспликация[Помещение],Экспликация[Название])&amp;"",""),""),_xlpm.rm,IF(BG75="","",IF(_xlpm.ex&lt;&gt;"",". "&amp;_xlpm.ex&amp;IF(Имя_пом="нет"," ("&amp;BG75&amp;")"," (пом. "&amp;BG75&amp;")"),IF(Имя_пом="нет"," ",", пом. ")&amp;BG75)),IF(_xlpm.nm="","",IF(_xlpm.md=2,_xlpm.nm&amp;" шлейф "&amp;BE75,_xlpm.nm&amp;_xlpm.rm)))))</f>
        <v>Внутренний блок кондиционирования</v>
      </c>
      <c r="BJ75" t="str">
        <f t="shared" si="148"/>
        <v>Внешний блок кондиционирования Пом. Венткиосок</v>
      </c>
      <c r="BK75">
        <f>IFERROR(_xlfn.XMATCH(A75,Щиты[Щит]),0)</f>
        <v>4</v>
      </c>
      <c r="BL75">
        <f>_xlfn.LET(_xlpm.k,IFERROR(_xlfn.XLOOKUP(A75,Щиты[Щит],Щиты[Мест под вводной узел]),""),IF(_xlpm.k="",Столбцов_на_лист,N(_xlpm.k)))</f>
        <v>13</v>
      </c>
      <c r="BM75">
        <f t="shared" si="149"/>
        <v>39</v>
      </c>
      <c r="BN75" t="str">
        <f t="shared" si="150"/>
        <v>линии</v>
      </c>
      <c r="BO75" s="6">
        <f>IFERROR(N(_xlfn.XLOOKUP(BC75,Коды_код,Коды_квт)),0)</f>
        <v>0</v>
      </c>
      <c r="BP75">
        <f t="shared" si="151"/>
        <v>0</v>
      </c>
      <c r="BQ75" t="str">
        <f>IF(B75="","",IF(BH75&lt;&gt;"",IFERROR(_xlfn.XLOOKUP(BH75,Щиты[Щит],Щиты[Руст, кВт]),0),IF(BP75=1,IF(OR(N(_xlfn.XLOOKUP(A75,Щиты[Щит],Щиты[Вводов],1))&lt;=1,LOWER(TRIM(_xlfn.XLOOKUP(A75,Щиты[Щит],Щиты[АВР],"")&amp;""))="да"),IFERROR(_xlfn.XLOOKUP(A75,Щиты[Щит],Щиты[Руст, кВт]),0),SUMIFS(Линии[_Р для вводов],Линии[Щит],A75,Линии[Источник для режимов],GF75)),IF(BO75&gt;0,ROUND(BO75*MAX(1,N(D75)),3),""))))</f>
        <v/>
      </c>
      <c r="BR75">
        <f t="shared" si="152"/>
        <v>1.9</v>
      </c>
      <c r="BS75" s="6">
        <f>IF(B75="","",IF(BH75&lt;&gt;"",IFERROR(_xlfn.XLOOKUP(BH75,Щиты[Щит],Щиты[Руст, кВт]),0),N(BR75)))</f>
        <v>1.9</v>
      </c>
      <c r="BT75" t="str">
        <f>IF(B75="","",IFERROR(IF(VLOOKUP(BC75,Потребители_обозначение,8,FALSE)=0,"",VLOOKUP(BC75,Потребители_обозначение,8,FALSE)),""))</f>
        <v/>
      </c>
      <c r="BU75">
        <f t="shared" si="153"/>
        <v>230</v>
      </c>
      <c r="BV75">
        <f t="shared" si="154"/>
        <v>0</v>
      </c>
      <c r="BW75">
        <f>IF(B75="","",IF(BH75&lt;&gt;"",3,IFERROR(IF(N(VLOOKUP(BC75,Потребители_обозначение,9,FALSE))=0,1,VLOOKUP(BC75,Потребители_обозначение,9,FALSE)),1)))</f>
        <v>1</v>
      </c>
      <c r="BX75">
        <f t="shared" si="155"/>
        <v>1</v>
      </c>
      <c r="BY75" t="str">
        <f>IF(B75="","",_xlfn.LET(_xlpm.bc,IFERROR(IF(VLOOKUP(BC75,Потребители_обозначение,6,FALSE)=0,"",VLOOKUP(BC75,Потребители_обозначение,6,FALSE)&amp;""),""),IF(AND(GA75="да",OR(_xlpm.bc="",_xlpm.bc="мс")),Марка_пож,IF(AND(_xlpm.bc="",BH75&lt;&gt;""),"мс",_xlpm.bc))))</f>
        <v/>
      </c>
      <c r="BZ75" t="str">
        <f t="shared" si="156"/>
        <v>мс</v>
      </c>
      <c r="CA75">
        <f>IF(B75="","",_xlfn.LET(_xlpm.cc,IFERROR(N(VLOOKUP(BC75,Потребители_обозначение,7,FALSE)),0),IF(_xlpm.cc&gt;0,_xlpm.cc,IF(BZ75="","",IF(BV75=1,2,IF(N(BX75)=3,5,3))))))</f>
        <v>3</v>
      </c>
      <c r="CB75">
        <f t="shared" si="157"/>
        <v>3</v>
      </c>
      <c r="CC75">
        <f>IFERROR(N(VLOOKUP(BC75,Потребители_обозначение,10,FALSE)),0)</f>
        <v>0</v>
      </c>
      <c r="CD75">
        <f>IFERROR(VLOOKUP(BC75,Потребители_обозначение,5,FALSE),0)</f>
        <v>1</v>
      </c>
      <c r="CE75" s="6" cm="1">
        <f t="array" ref="CE75">IF(B75="","",IF(BH75&lt;&gt;"",IFERROR(_xlfn.XLOOKUP(BH75,Щиты[Щит],Щиты[cos φ]),0.95),IF(BP75=1,IFERROR(_xlfn.XLOOKUP(A75,Щиты[Щит],Щиты[cos φ]),0.95),IF(ISNUMBER(AD75),AD75,IFERROR(IF(CD75=2,_xlfn.IFS(BX75=3,VLOOKUP(BS75,Справочная_двигатели,8,FALSE),BX75=1,VLOOKUP(BS75,Справочная_двигатели,10,TRUE)),IF(AND(Методика="нормы 2026",FG75="Сил"),0.8,0.95)),0.95)))))</f>
        <v>0.8</v>
      </c>
      <c r="CF75">
        <f t="shared" si="158"/>
        <v>0</v>
      </c>
      <c r="CG75">
        <f t="shared" si="159"/>
        <v>1</v>
      </c>
      <c r="CH75">
        <f t="shared" si="160"/>
        <v>0</v>
      </c>
      <c r="CI75">
        <f>IF(B75="","",IF(BV75=1,IFERROR(BS75/((Uн_лин/SQRT(3))*MAX(0.5,N(CE75))),0),N(O75)))</f>
        <v>10.284051669940206</v>
      </c>
      <c r="CJ75">
        <f t="shared" si="161"/>
        <v>0</v>
      </c>
      <c r="CK75">
        <f t="shared" si="162"/>
        <v>0</v>
      </c>
      <c r="CL75">
        <f t="shared" si="163"/>
        <v>0</v>
      </c>
      <c r="CM75">
        <f t="shared" si="164"/>
        <v>0</v>
      </c>
      <c r="CN75">
        <f t="shared" si="165"/>
        <v>0</v>
      </c>
      <c r="CO75">
        <f>IF(BC75="",0,_xlfn.LET(_xlpm.v,IFERROR(_xlfn.XLOOKUP(B75,Коды_код,Коды_мА),IFERROR(_xlfn.XLOOKUP(BC75,Коды_код,Коды_мА),IFERROR(_xlfn.XLOOKUP(LEFT(BC75,2),Коды_код,Коды_мА),""))),IF(_xlpm.v="да",30,IF(ISNUMBER(_xlpm.v),_xlpm.v,0))))</f>
        <v>0</v>
      </c>
      <c r="CP75" t="str">
        <f t="shared" si="166"/>
        <v/>
      </c>
      <c r="CQ75" t="str">
        <f>_xlfn.LET(_xlpm.k,IFERROR(_xlfn.XLOOKUP(BC75,Коды_код,Коды_утечка)&amp;"",""),IF(_xlpm.k="","дифавтомат",_xlpm.k))</f>
        <v>дифавтомат</v>
      </c>
      <c r="CR75" t="str" cm="1">
        <f t="array" ref="CR75">IF(CG75=0,"",_xlfn.LET(_xlpm.sg,TRIM(_xlfn.TEXTSPLIT(DD75&amp;"",";")),_xlpm.f_,_xlfn._xlws.FILTER(_xlpm.sg,LEFT(_xlpm.sg,3)="УЗО",""),IFERROR(INDEX(_xlpm.f_,1)&amp;"","")))</f>
        <v/>
      </c>
      <c r="CS75" t="str">
        <f t="shared" si="167"/>
        <v/>
      </c>
      <c r="CT75" s="6" t="str" cm="1">
        <f t="array" ref="CT75">IF(CR75="","",_xlfn.LET(_xlpm.tk,_xlfn.TEXTSPLIT(UPPER(CR75)," ",,TRUE),_xlpm.a_,_xlfn._xlws.FILTER(_xlpm.tk,ISNUMBER(--LEFT(_xlpm.tk,1))*((ISNUMBER(SEARCH("А",_xlpm.tk))+ISNUMBER(SEARCH("A",_xlpm.tk)))&gt;0)*NOT(ISNUMBER(SEARCH("МА",_xlpm.tk)))*NOT(ISNUMBER(SEARCH("MA",_xlpm.tk))),""),IFERROR(--SUBSTITUTE(SUBSTITUTE(INDEX(_xlpm.a_,1),"А",""),"A",""),"")))</f>
        <v/>
      </c>
      <c r="CU75" t="str" cm="1">
        <f t="array" ref="CU75">IF(CR75="","",_xlfn.LET(_xlpm.tk,_xlfn.TEXTSPLIT(UPPER(CR75)," ",,TRUE),_xlpm.a_,_xlfn._xlws.FILTER(_xlpm.tk,ISNUMBER(--LEFT(_xlpm.tk,1))*((ISNUMBER(SEARCH("МА",_xlpm.tk))+ISNUMBER(SEARCH("MA",_xlpm.tk)))&gt;0),""),IFERROR(--SUBSTITUTE(SUBSTITUTE(INDEX(_xlpm.a_,1),"МА",""),"MA",""),30)))</f>
        <v/>
      </c>
      <c r="CV75" t="str">
        <f>IF(CS75="","",IFERROR(_xlfn.XLOOKUP(CS75,Линии[_n],Линии[_УЗО, мА]),30))</f>
        <v/>
      </c>
      <c r="CW75">
        <f>IF(CS75="",0,IF(ISNUMBER(SEARCH("4P",IFERROR(_xlfn.XLOOKUP(CS75,Линии[_n],Линии[_УЗО строки])&amp;"",""))),0,1))</f>
        <v>0</v>
      </c>
      <c r="CX75" t="str">
        <f>IF(AND(CS75&lt;&gt;"",CS75=BA75),SUMIFS(Линии[_ток на 230 В],Линии[_блок УЗО],BA75,Линии[Щит],A75),"")</f>
        <v/>
      </c>
      <c r="CY75" t="str">
        <f>IF(AND(CS75&lt;&gt;"",CS75=BA75),SUMIFS(Линии[_ток утечки линии, мА],Линии[_блок УЗО],BA75,Линии[Щит],A75),"")</f>
        <v/>
      </c>
      <c r="CZ75">
        <f t="shared" si="168"/>
        <v>0</v>
      </c>
      <c r="DA75">
        <f t="shared" si="169"/>
        <v>0</v>
      </c>
      <c r="DB75">
        <f>IF(B75="",0,IFERROR(--_xlfn.XLOOKUP(B75,Коды_код,Коды_минавт),IFERROR(--_xlfn.XLOOKUP(BC75,Коды_код,Коды_минавт),IFERROR(--_xlfn.XLOOKUP(LEFT(BC75,2),Коды_код,Коды_минавт),0))))</f>
        <v>0</v>
      </c>
      <c r="DC75" t="str">
        <f>IF(B75="","",IFERROR(_xlfn.XLOOKUP(BC75,Коды_код,Коды_апп)&amp;"",""))</f>
        <v/>
      </c>
      <c r="DD75" t="str">
        <f t="shared" si="170"/>
        <v/>
      </c>
      <c r="DE75" t="str" cm="1">
        <f t="array" ref="DE75">IF(TRIM(DD75&amp;"")="","",IFERROR(TRIM(INDEX(_xlfn.TEXTSPLIT(DD75&amp;";;;",";"),1)),""))</f>
        <v/>
      </c>
      <c r="DF75" t="str" cm="1">
        <f t="array" ref="DF75">IF(TRIM(DD75&amp;"")="","",IFERROR(TRIM(INDEX(_xlfn.TEXTSPLIT(DD75&amp;";;;",";"),2)),""))</f>
        <v/>
      </c>
      <c r="DG75" t="str" cm="1">
        <f t="array" ref="DG75">IF(TRIM(DD75&amp;"")="","",IFERROR(TRIM(INDEX(_xlfn.TEXTSPLIT(DD75&amp;";;;",";"),3)),""))</f>
        <v/>
      </c>
      <c r="DH75">
        <f t="shared" si="171"/>
        <v>0</v>
      </c>
      <c r="DI75" t="str">
        <f>IF(B75="","",_xlfn.LET(_xlpm.t,LOWER(AZ75&amp;""),IF(ISNUMBER(SEARCH("dim",_xlpm.t)),"DIM",IF(ISNUMBER(SEARCH("dali",_xlpm.t)),"DALI",IF(OR(ISNUMBER(SEARCH("relay",_xlpm.t)),ISNUMBER(SEARCH("реле",_xlpm.t))),"Relay",IF(ISNUMBER(SEARCH("кнопк",_xlpm.t)),"",IFERROR(_xlfn.XLOOKUP(BC75,Коды_код,Коды_упр)&amp;"","")))))))</f>
        <v/>
      </c>
      <c r="DJ75" t="str">
        <f t="shared" si="172"/>
        <v/>
      </c>
      <c r="DK75">
        <f>IF(B75="","",_xlfn.LET(_xlpm.ig,IF(N(CX75)&gt;0,N(CX75),N(CI75)+IF(AJ75="вручную",0,N(CJ75))),_xlpm.n0,IFERROR(VLOOKUP(_xlpm.ig,Автомат_номиналы,2,TRUE),0),_xlpm.mn,MAX(DB75,IF(AJ75="вручную",0,N(CM75))),MAX(_xlpm.n0,_xlpm.mn,IF(DH75=1,Мин_автомат_БП,0))))</f>
        <v>16</v>
      </c>
      <c r="DL75">
        <f t="shared" si="173"/>
        <v>1</v>
      </c>
      <c r="DM75" t="str">
        <f t="shared" si="174"/>
        <v>1P</v>
      </c>
      <c r="DN75" t="str">
        <f>_xlfn.LET(_xlpm.cc,UPPER(TRIM(IFERROR(_xlfn.XLOOKUP(BC75,Коды_код,Коды_хар)&amp;"",""))),IF(OR(_xlpm.cc="B",_xlpm.cc="В"),"B",IF(_xlpm.cc="D","D","С")))</f>
        <v>С</v>
      </c>
      <c r="DO75" t="str">
        <f t="shared" si="175"/>
        <v>1P С16А</v>
      </c>
      <c r="DP75">
        <f t="shared" si="176"/>
        <v>16</v>
      </c>
      <c r="DQ75" t="str">
        <f t="shared" si="177"/>
        <v>1P С16А</v>
      </c>
      <c r="DR75" cm="1">
        <f t="array" ref="DR75">IF(DQ75="","",_xlfn.LET(_xlpm.t,SUBSTITUTE(SUBSTITUTE(SUBSTITUTE(UPPER(DQ75),"С","C"),"А","A"),"В","B"),_xlpm.tk,_xlfn.TEXTSPLIT(_xlpm.t," "),_xlpm.f,_xlfn._xlws.FILTER(_xlpm.tk,ISNUMBER(--MID(_xlpm.tk,2,1))*ISNUMBER(SEARCH(LEFT(_xlpm.tk,1)&amp;"#","B#C#D#"))*(LEN(_xlpm.tk)&gt;1),""),_xlpm.x,INDEX(_xlpm.f,1),IFERROR(--SUBSTITUTE(MID(_xlpm.x,2,9),"A",""),IFERROR(--SUBSTITUTE(INDEX(_xlfn._xlws.FILTER(_xlpm.tk,ISNUMBER(--SUBSTITUTE(_xlpm.tk,"A","")),""),1),"A",""),""))))</f>
        <v>16</v>
      </c>
      <c r="DS75" t="str">
        <f t="shared" si="178"/>
        <v>ok</v>
      </c>
      <c r="DT75">
        <f t="shared" si="179"/>
        <v>16</v>
      </c>
      <c r="DU75" t="str">
        <f t="shared" si="180"/>
        <v>1P С16А</v>
      </c>
      <c r="DV75">
        <f t="shared" si="181"/>
        <v>0</v>
      </c>
      <c r="DW75">
        <f t="shared" si="182"/>
        <v>0</v>
      </c>
      <c r="DX75">
        <f t="shared" si="183"/>
        <v>0</v>
      </c>
      <c r="DY75">
        <f t="shared" si="184"/>
        <v>10.284051669940206</v>
      </c>
      <c r="DZ75">
        <f t="shared" si="185"/>
        <v>1</v>
      </c>
      <c r="EA75">
        <f>IF(ISNUMBER(AP75),AP75,К_прокл)</f>
        <v>1</v>
      </c>
      <c r="EB75">
        <f t="shared" si="186"/>
        <v>2</v>
      </c>
      <c r="EC75">
        <f>IFERROR(N(VLOOKUP(BZ75,Кабель_обозначение,3,FALSE)),1)</f>
        <v>1</v>
      </c>
      <c r="ED75">
        <f>IFERROR(N(_xlfn.XLOOKUP(A75,Щиты[Щит],Щиты[ΔU до шин, %])),0)</f>
        <v>0.64</v>
      </c>
      <c r="EE75" t="str">
        <f>IFERROR(_xlfn.XLOOKUP(A75,Щиты[Щит],Щиты[Zпетли на шинах, Ом]),"")</f>
        <v/>
      </c>
      <c r="EF75">
        <f>IFERROR(N(_xlfn.XLOOKUP(A75,Щиты[Щит],Щиты[ΔU до шин (подбор), %])),0)</f>
        <v>0.75</v>
      </c>
      <c r="EG75" t="str">
        <f>IFERROR(_xlfn.XLOOKUP(A75,Щиты[Щит],Щиты[Zпетли на шинах (подбор), Ом]),"")</f>
        <v/>
      </c>
      <c r="EH75" t="str">
        <f t="shared" si="187"/>
        <v/>
      </c>
      <c r="EI75">
        <f t="shared" si="188"/>
        <v>35</v>
      </c>
      <c r="EJ75">
        <f t="shared" si="189"/>
        <v>2</v>
      </c>
      <c r="EK75">
        <f t="shared" si="190"/>
        <v>0.6</v>
      </c>
      <c r="EL75" s="6">
        <f>IF(B75="","",IF(BV75=1,dU_LED,IF(IFERROR(_xlfn.XLOOKUP(BC75,Коды_код,Коды_уго),"")="Светильник",3,4)+IF(Методика="нормы 2026",MIN(0.5,MAX(0,N(P75)-100)*0.005),0)))</f>
        <v>4</v>
      </c>
      <c r="EM75" cm="1">
        <f t="array" ref="EM75">IF(OR(B75="",BZ75="",EC75&lt;&gt;1),"",_xlfn.LET(_xlpm.sz,Iдоп_S,_xlpm.t_,CHOOSE(EB75,Iдоп_1ж,Iдоп_2ж,Iдоп_3ж)*DZ75*EA75,_xlpm.dcx,BV75=1,_xlpm.inn,IF(_xlpm.dcx,N(O75),N(DT75)),_xlpm.smin,MAX(1.5,CC75),_xlpm.L_,N(P75)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75)/N(BU75)*100,999),IFERROR(N(EJ75)*(_xlpm.rho*_xlpm.L_/_xlpm.sz*N(CE75)+_xlpm.xx*_xlpm.L_*N(EK75)/1000)*N(O75)/((Uн_лин/SQRT(3))*1000)*100,999)),_xlpm.kz,IF(OR(_xlpm.dcx,DW75=1,NOT(ISNUMBER(EG75)),_xlpm.L_=0,_xlpm.inn=0),1,IFERROR(--(c_min*(Uн_лин*1000/SQRT(3))/(EG75+2*ρкз_Cu*_xlpm.L_/_xlpm.sz)&gt;=HT75*_xlpm.inn),0)),_xlpm.ok,IFERROR((_xlpm.sz&gt;=_xlpm.smin)*(_xlpm.t_&gt;=_xlpm.inn)*IF(_xlpm.L_&gt;0,(_xlpm.du_+IF(_xlpm.dcx,0,EF75)&lt;=EL75+0.00001),1)*_xlpm.kz,0),_xlpm.r_,_xlfn._xlws.FILTER(_xlpm.sz,_xlpm.ok,"не подобрано"),INDEX(_xlpm.r_,1)))</f>
        <v>2.5</v>
      </c>
      <c r="EN75">
        <f t="shared" si="191"/>
        <v>2.5</v>
      </c>
      <c r="EO75" cm="1">
        <f t="array" ref="EO75">IF(OR(B75="",BZ75="",EC75&lt;&gt;1),"",_xlfn.LET(_xlpm.sz,Iдоп_S,_xlpm.t_,CHOOSE(EB75,Iдоп_1ж,Iдоп_2ж,Iдоп_3ж)*DZ75*EA75,_xlpm.ok,IFERROR((_xlpm.sz&gt;=MAX(1.5,CC75))*(_xlpm.t_&gt;=N(DT75)),0),_xlpm.r_,_xlfn._xlws.FILTER(_xlpm.sz,_xlpm.ok,""),INDEX(_xlpm.r_,1)))</f>
        <v>1.5</v>
      </c>
      <c r="EP75" s="6" cm="1">
        <f t="array" ref="EP75">IFERROR(ROUNDUP(N(EJ75)*(_xlfn.XLOOKUP(EO75,INDEX(Кабель_сопротивление,0,1),INDEX(Кабель_сопротивление,0,3))*N(P75)/EO75*N(CE75)+_xlfn.XLOOKUP(EO75,INDEX(Кабель_сопротивление,0,1),INDEX(Кабель_сопротивление,0,2))*N(P75)*N(EK75)/1000)*N(O75)/((Uн_лин/SQRT(3))*1000)*100,2),"")</f>
        <v>3.7699999999999996</v>
      </c>
      <c r="EQ75">
        <f>IFERROR(2*ρкз_Cu*N(P75)/EO75,"")</f>
        <v>1.2273333333333334</v>
      </c>
      <c r="ER75">
        <f>IFERROR(VLOOKUP(EN75,Кабель_сопротивление,3,FALSE),"")</f>
        <v>2.2499999999999999E-2</v>
      </c>
      <c r="ES75">
        <f>IFERROR(VLOOKUP(EN75,Кабель_сопротивление,2,FALSE),"")</f>
        <v>0.1</v>
      </c>
      <c r="ET75">
        <f t="shared" si="192"/>
        <v>31</v>
      </c>
      <c r="EU75">
        <f t="shared" si="193"/>
        <v>0</v>
      </c>
      <c r="EV75">
        <f t="shared" si="194"/>
        <v>5.2263550586636125</v>
      </c>
      <c r="EW75" s="6">
        <f>IFERROR(ROUNDUP(EV75/IF(BV75=1,BU75,(Uн_лин/SQRT(3))*1000)*100,2),"")</f>
        <v>2.2699999999999996</v>
      </c>
      <c r="EX75" t="str">
        <f>IFERROR(VLOOKUP(BZ75,Кабель_обозначение,2,FALSE),"")</f>
        <v>ВВГнг(А)-LS</v>
      </c>
      <c r="EY75" t="str">
        <f t="shared" si="195"/>
        <v>ВВГнг(А)-LS (3х2,5)</v>
      </c>
      <c r="EZ75" t="str">
        <f t="shared" si="196"/>
        <v>ВВГнг(А)-LS (3х2,5)
L=35-2,27%</v>
      </c>
      <c r="FA75">
        <f>IFERROR(2*ρкз_Cu*P75/EN75,"")</f>
        <v>0.73639999999999994</v>
      </c>
      <c r="FB75">
        <f t="shared" si="197"/>
        <v>0.24500000000000002</v>
      </c>
      <c r="FC75" s="6" t="str">
        <f>IFERROR(IF(OR(B75="",BV75=1,NOT(ISNUMBER(EN75)),N(P75)=0),"",_xlfn.XLOOKUP(A75,Щиты[Щит],Щиты[Zпетли на шинах, Ом])+FA75),"")</f>
        <v/>
      </c>
      <c r="FD75" s="6" t="str">
        <f>IF(ISNUMBER(FC75),c_min*(Uн_лин*1000/SQRT(3))/FC75,"")</f>
        <v/>
      </c>
      <c r="FE75" s="6" t="str">
        <f>IFERROR(IF(OR(B75="",NOT(ISNUMBER(EN75))),"",1.05*(Uн_лин*1000/SQRT(3))/(_xlfn.XLOOKUP(A75,Щиты[Щит],Щиты[Zmax на шинах, Ом])+FB75)/1000),"")</f>
        <v/>
      </c>
      <c r="FF75" s="6" t="str">
        <f>IF(B75="","",IF(ISNUMBER(AC75),"Сил",IF(IFERROR(_xlfn.XLOOKUP(BC75,Коды_код,Коды_группа)&amp;"","")="","Быт",_xlfn.XLOOKUP(BC75,Коды_код,Коды_группа)&amp;"")))</f>
        <v>Сил</v>
      </c>
      <c r="FG75" s="6" t="str">
        <f t="shared" si="198"/>
        <v>Сил</v>
      </c>
      <c r="FH75" s="6">
        <f>IF(FG75="Щит","щит",IF(FG75="","",IF(FG75="Быт",IFERROR(_xlfn.XLOOKUP(A75,Щиты[Щит],Щиты[Кс быт]),1),IF(FG75="Сил",IF(ISNUMBER(AC75),AC75,IF(Методика="нормы 2026",IFERROR(_xlfn.XLOOKUP(A75,Щиты[Щит],Щиты[Кс силовых (табл. 7.5)]),1),1)),IF(OR(FG75="Пост",FG75="Отоп"),1,IF(FG75="ВНГ",0.7,0))))))</f>
        <v>0.5</v>
      </c>
      <c r="FI75">
        <f>IF(FG75="","",IF(AND(BP75=1,TRIM(AE75&amp;"")=""),IF(COUNTIFS(Линии[Щит],A75,Линии[Секция (1/2/3)],"&gt;=2")&gt;0,MIN(3,MAX(1,IFERROR(--BD75,1))),1),IFERROR(MIN(3,MAX(1,INT(--AE75))),1)))</f>
        <v>1</v>
      </c>
      <c r="FJ75">
        <f t="shared" si="199"/>
        <v>1.9</v>
      </c>
      <c r="FK75">
        <f t="shared" si="200"/>
        <v>0</v>
      </c>
      <c r="FL75">
        <f t="shared" si="201"/>
        <v>0.95</v>
      </c>
      <c r="FM75">
        <f t="shared" si="202"/>
        <v>0</v>
      </c>
      <c r="FN75">
        <f t="shared" si="203"/>
        <v>0</v>
      </c>
      <c r="FO75">
        <f t="shared" si="204"/>
        <v>0</v>
      </c>
      <c r="FP75">
        <f t="shared" si="205"/>
        <v>1.9</v>
      </c>
      <c r="FQ75">
        <f t="shared" si="206"/>
        <v>1.9</v>
      </c>
      <c r="FR75">
        <f t="shared" si="207"/>
        <v>1.52</v>
      </c>
      <c r="FS75">
        <f>IF(CG75=1,IF(AND(CH75=1,CW75=1),0,IF(AND(CS75&lt;&gt;"",CS75=BA75,CW75=1),SUMIFS(Линии[_Р линии, кВт],Линии[_блок УЗО],BA75,Линии[Щит],A75),N(BS75)+IF(AJ75="вручную",0,N(CK75)))),0)</f>
        <v>1.9</v>
      </c>
      <c r="FT75" t="str">
        <f t="shared" si="208"/>
        <v/>
      </c>
      <c r="FU75" t="str">
        <f>IF(B75="","",IF(CG75=0,IF(BA75=1,"",FW74),IF(AND(CH75=1,CW75=1,CS75&lt;&gt;""),IFERROR(_xlfn.XLOOKUP(CS75,Линии[_n],Линии[_фаза итог]),"L1"),IF(OR(N(DL75)&gt;=3,N(BX75)&gt;=3),"L1,L2,L3",IFERROR(_xlfn.TEXTBEFORE(_xlfn.TEXTAFTER(_xlfn.XLOOKUP(A75,Щиты[Щит],Щиты[_фазы авто]),";"&amp;BA75&amp;":"),";"),"L1")))))</f>
        <v>L3</v>
      </c>
      <c r="FV75" t="str">
        <f t="shared" si="209"/>
        <v>L3</v>
      </c>
      <c r="FW75" t="str">
        <f t="shared" si="210"/>
        <v>L3</v>
      </c>
      <c r="FX75" cm="1">
        <f t="array" ref="FX75">IFERROR(IF(CD75=2,_xlfn.IFS(BX75=3,VLOOKUP(BS75,Справочная_двигатели,3,FALSE),BX75=1,VLOOKUP(BS75,Справочная_двигатели,5,TRUE)),0),0)</f>
        <v>0</v>
      </c>
      <c r="FY75">
        <f>IFERROR(IF(CD75=3,VLOOKUP(BS75,Справочная_ЛЭД,2,TRUE),0),0)</f>
        <v>0</v>
      </c>
      <c r="FZ75" s="6">
        <f t="shared" si="211"/>
        <v>0</v>
      </c>
      <c r="GA75" t="str">
        <f>IF(B75="","",IF(TRIM(AH75&amp;"")&lt;&gt;"",IF(LOWER(TRIM(AH75&amp;""))="да","да","нет"),IF(IFERROR(_xlfn.XLOOKUP(BC75,Коды_код,Коды_пожарная),"")="да","да","нет")))</f>
        <v>нет</v>
      </c>
      <c r="GB75" t="str">
        <f t="shared" si="212"/>
        <v/>
      </c>
      <c r="GC75" t="str">
        <f t="shared" si="213"/>
        <v>основная</v>
      </c>
      <c r="GD75">
        <f>IF(AND(BP75=1,TRIM(AE75&amp;"")=""),IF(COUNTIFS(Линии[Щит],A75,Линии[Секция (1/2/3)],"&gt;=2")&gt;0,MIN(3,MAX(1,IFERROR(--BD75,1))),1),IFERROR(MIN(3,MAX(1,INT(--AE75))),1))</f>
        <v>1</v>
      </c>
      <c r="GE75" t="str" cm="1">
        <f t="array" ref="GE75">IF(B75="","",_xlfn.LET(_xlpm.t,IFERROR(_xlfn.XLOOKUP(1,(Шины[Шина]=GC75)*(((Шины[Щит]=A75)+(Шины[Щит]=""))&gt;0),Шины[Тип]),"")&amp;"",IF(_xlpm.t&lt;&gt;"",_xlpm.t,IF(ISNUMBER(SEARCH("ИБП",GC75)),"ИБП",IF(ISNUMBER(SEARCH("ДГУ",GC75)),"ДГУ","Ввод "&amp;GD75)))))</f>
        <v>Ввод 1</v>
      </c>
      <c r="GF75" t="str">
        <f t="shared" si="214"/>
        <v>Ввод 1</v>
      </c>
      <c r="GG75" t="str">
        <f>IF(BP75=0,"",IF(TRIM(AG75&amp;"")&lt;&gt;"",TRIM(AG75&amp;""),IF(OR(GE75="ИБП",GE75="ДГУ"),"I особая",_xlfn.XLOOKUP(A75,Щиты[Щит],Щиты[Категория шины «Ввод»],"III"))))</f>
        <v/>
      </c>
      <c r="GH75" t="str">
        <f>IF(A75="","",_xlfn.XLOOKUP(A75,Щиты[Щит],Щиты[Путь],""))</f>
        <v>|ГРЩ-ЖД|ЩОВ-001|</v>
      </c>
      <c r="GI75" t="str">
        <f>IF(B75="","",IF(AI75&lt;&gt;"",AI75,IF(IFERROR(_xlfn.XLOOKUP(BC75,Коды_код,Коды_вид)&amp;"","")="","Прочее",_xlfn.XLOOKUP(BC75,Коды_код,Коды_вид)&amp;"")))</f>
        <v>Кондиционирование и увлажнение</v>
      </c>
      <c r="GJ75">
        <f>IF(BM75="","",INT((BM75-1)/Столбцов_на_лист)+1)</f>
        <v>3</v>
      </c>
      <c r="GK75" t="str">
        <f t="shared" si="215"/>
        <v>ВВГнг(А)-LS (3х2,5) L=35-2,27%</v>
      </c>
      <c r="GL75">
        <f t="shared" si="216"/>
        <v>1.9</v>
      </c>
      <c r="GM75">
        <f t="shared" si="217"/>
        <v>10.29</v>
      </c>
      <c r="GN75">
        <f t="shared" si="218"/>
        <v>1</v>
      </c>
      <c r="GO75">
        <f t="shared" si="219"/>
        <v>0</v>
      </c>
      <c r="GP75">
        <f t="shared" si="220"/>
        <v>1</v>
      </c>
      <c r="GQ75">
        <f>IF(BM75="","",IF(AND(CG75=1,GP75=1),COUNTIFS(A$3:A75,A75,CG$3:CG75,1,GP$3:GP75,1),IF(OR(OR(BA75=1,A75&lt;&gt;A74),AJ75="вручную",GP75=0),"",IF(BA75=1,"",GR74))))</f>
        <v>22</v>
      </c>
      <c r="GR75">
        <f t="shared" si="221"/>
        <v>22</v>
      </c>
      <c r="GS75">
        <f>IF(B75="","",IFERROR(LOOKUP(INDEX(CHOOSE(EB75,Iдоп_1ж,Iдоп_2ж,Iдоп_3ж),MATCH(EN75,Iдоп_S,0))*DZ75*EA75,{6,10,16,20,25,32,40,50,63,80,100,125,160,200,250,315,400,500,630}),""))</f>
        <v>25</v>
      </c>
      <c r="GT75" t="str">
        <f t="shared" si="222"/>
        <v>QF22</v>
      </c>
      <c r="GU75" t="str">
        <f t="shared" si="223"/>
        <v>QF22</v>
      </c>
      <c r="GV75" t="str">
        <f t="shared" si="224"/>
        <v/>
      </c>
      <c r="GW75">
        <f t="shared" si="225"/>
        <v>0</v>
      </c>
      <c r="GX75" t="str">
        <f>IF(OR(B75="",DJ75=""),"",IFERROR(_xlfn.XLOOKUP(DJ75,Модули_умолч[Управление],Модули_умолч[Модель])&amp;"",""))</f>
        <v/>
      </c>
      <c r="GY75">
        <f>IF(DJ75="",1,IFERROR(MAX(0,N(_xlfn.XLOOKUP(DJ75,Модули_умолч[Управление],Модули_умолч[Каналов на линию]))),1))</f>
        <v>1</v>
      </c>
      <c r="GZ75" t="str">
        <f t="shared" si="226"/>
        <v/>
      </c>
      <c r="HA75" t="str">
        <f t="shared" si="227"/>
        <v/>
      </c>
      <c r="HB75" t="str">
        <f t="shared" si="228"/>
        <v/>
      </c>
      <c r="HC75">
        <f>IF(HB75="",0,IFERROR(N(VLOOKUP(HB75,Модули_спр,3,FALSE)),0))</f>
        <v>0</v>
      </c>
      <c r="HD75" t="str">
        <f t="shared" si="229"/>
        <v/>
      </c>
      <c r="HE75" t="str">
        <f t="shared" si="230"/>
        <v/>
      </c>
      <c r="HF75" t="str">
        <f>IF(OR(HE75="",HE75="-"),"",IFERROR(VLOOKUP(HE75,Модули_спр,2,FALSE),"R"))</f>
        <v/>
      </c>
      <c r="HG75" t="str">
        <f>IF(HF75="","",HF75&amp;"."&amp;COUNTIFS(A$3:A75,A75,HF$3:HF75,HF75))</f>
        <v/>
      </c>
      <c r="HH75" t="str">
        <f t="shared" si="231"/>
        <v/>
      </c>
      <c r="HI75" t="str">
        <f t="shared" si="232"/>
        <v/>
      </c>
      <c r="HJ75" t="str">
        <f t="shared" si="233"/>
        <v/>
      </c>
      <c r="HK75" t="str">
        <f t="shared" si="234"/>
        <v/>
      </c>
      <c r="HL75">
        <f t="shared" si="235"/>
        <v>1</v>
      </c>
      <c r="HM75" t="str">
        <f>IF(HL75=1,"XT"&amp;COUNTIFS(A$3:A75,A75,HL$3:HL75,1),"")</f>
        <v>XT22</v>
      </c>
      <c r="HN75" t="str">
        <f t="shared" si="236"/>
        <v/>
      </c>
      <c r="HO75" t="str">
        <f t="shared" si="237"/>
        <v>QF22</v>
      </c>
      <c r="HP75" t="str">
        <f t="shared" si="238"/>
        <v/>
      </c>
      <c r="HQ75" t="str">
        <f t="shared" si="239"/>
        <v>ok</v>
      </c>
      <c r="HR75" t="str">
        <f>IF(OR(HJ75="",HH75=""),"",IF(HJ75+MAX(0,GY75-1)&gt;IFERROR(VLOOKUP(HI75,Модули_спр,3,FALSE),99),"ЛИШНИЙ КАНАЛ",IF(AND(AL75&lt;&gt;"=",GY75&gt;0,COUNTIFS(Линии[_модуль гр.],HH75,Линии[Канал (итог)],HJ75,Линии[Канал],"&lt;&gt;=",Линии[Щит],A75)&gt;1),"ДУБЛЬ КАНАЛА","")))</f>
        <v/>
      </c>
      <c r="HS75" s="6" t="str">
        <f t="shared" si="240"/>
        <v/>
      </c>
      <c r="HT75">
        <f t="shared" si="241"/>
        <v>10</v>
      </c>
      <c r="HU75" t="str">
        <f t="shared" si="242"/>
        <v/>
      </c>
      <c r="HV75">
        <f t="shared" si="243"/>
        <v>4.4636206679760821</v>
      </c>
      <c r="HW75">
        <f t="shared" si="244"/>
        <v>0</v>
      </c>
      <c r="HX75">
        <f t="shared" si="245"/>
        <v>0</v>
      </c>
      <c r="HY75">
        <f t="shared" si="246"/>
        <v>0</v>
      </c>
      <c r="HZ75">
        <f t="shared" si="247"/>
        <v>0</v>
      </c>
      <c r="IA75">
        <f t="shared" si="248"/>
        <v>0</v>
      </c>
      <c r="IB75">
        <f t="shared" si="249"/>
        <v>0</v>
      </c>
      <c r="IC75" t="str">
        <f t="shared" si="250"/>
        <v/>
      </c>
      <c r="ID75" t="str" cm="1">
        <f t="array" ref="ID75">IF(IC75="","",_xlfn.LET(_xlpm.tk,_xlfn.TEXTSPLIT(SUBSTITUTE(SUBSTITUTE(IC75,";"," "),"→"," ")," ",,TRUE),_xlpm.w_,_xlfn._xlws.FILTER(_xlpm.tk,ISNUMBER(--LEFT(_xlpm.tk,1))*((ISNUMBER(SEARCH("W",_xlpm.tk))+ISNUMBER(SEARCH("Вт",_xlpm.tk)))&gt;0),""),IFERROR(--SUBSTITUTE(SUBSTITUTE(UPPER(INDEX(_xlpm.w_,1)),"W",""),"ВТ",""),"")))</f>
        <v/>
      </c>
      <c r="IE75" t="str" cm="1">
        <f t="array" ref="IE75">IF(IC75="","",_xlfn.LET(_xlpm.tk,_xlfn.TEXTSPLIT(SUBSTITUTE(SUBSTITUTE(IC75,";"," "),"→"," ")," ",,TRUE),_xlpm.v_,_xlfn._xlws.FILTER(_xlpm.tk,ISNUMBER(--LEFT(_xlpm.tk,1))*((ISNUMBER(SEARCH("V",_xlpm.tk))+(RIGHT(UPPER(_xlpm.tk))="В"))&gt;0),""),IFERROR(--SUBSTITUTE(SUBSTITUTE(UPPER(INDEX(_xlpm.v_,1)),"V",""),"В",""),"")))</f>
        <v/>
      </c>
      <c r="IF75" s="6" t="str">
        <f>IF(OR(BV75=0,HI75="",HJ75=""),"",IFERROR(N(_xlfn.XLOOKUP(HI75,Каталог!$C$4:$C$500,Каталог!$Q$4:$Q$500)),""))</f>
        <v/>
      </c>
      <c r="IG75" s="6" t="str">
        <f>IF(N(IF75)=0,"",SUMIFS(Линии[Iр, А],Линии[Щит],A75,Линии[_модуль гр.],HH75,Линии[Канал (итог)],HJ75))</f>
        <v/>
      </c>
      <c r="IH75" t="str">
        <f>IF(AND(B75="",HO75=""),"",_xlfn.TEXTJOIN("; ",TRUE,IF(AND(B75&lt;&gt;"",FV75=""),"нет фазы",""),IF(AND(B75&lt;&gt;"",N(GL75)=0,FG75&lt;&gt;"Нет"),"нет мощности",""),IF(AND(HN75&lt;&gt;"",COUNTIFS(Линии[Щит],A75,Линии[Клемма (итог)],HN75)&gt;1),"дубль клеммы "&amp;HN75,""),IF(AND(HQ75&lt;&gt;"",HQ75&lt;&gt;"ok"),HQ75,""),IF(HR75&lt;&gt;"",HR75,""),IF(AND(N(CB75)&gt;=4,N(BX75)=1),CB75&amp;" жил на 1 фазе",""),IF(AND(BC75="R",CG75=1,IF(CS75&lt;&gt;"",N(CV75)&gt;30,OR(N(DA75)=0,N(DA75)&gt;30))),"розетка без дифзащиты до 30 мА",""),IF(AND(CG75=1,N(DA75)&gt;0,ISNUMBER(T75)),IF(T75&gt;N(DA75)/3,"ток утечки "&amp;FIXED(T75,1)&amp;" мА &gt; 1/3 уставки ("&amp;DA75&amp;" мА)",""),""),IF(AND(CH75=1,CS75=""),"«узо»: нет строки с УЗО выше (УЗО 2P 40А 30мА в «Аппаратах»)",""),IF(AND(CS75&lt;&gt;"",CS75=BA75),IF(CT75="","впишите номинал УЗО (УЗО 2P 40А 30мА)",IF(N(CT75)&lt;N(DT75),"УЗО "&amp;CT75&amp;" А &lt; автомата "&amp;DT75&amp;" А перед ним",IF(N(CT75)&lt;N(CX75),"УЗО "&amp;CT75&amp;" А &lt; тока блока "&amp;FIXED(CX75,1)&amp;" А",""))),""),IF(AND(CS75&lt;&gt;"",CS75=BA75,ISNUMBER(CY75)),IF(CY75&gt;N(CV75)/3,"ток утечки блока УЗО "&amp;FIXED(CY75,1)&amp;" мА &gt; 1/3 уставки ("&amp;CV75&amp;" мА)",""),""),IF(AND(CG75=1,N(BV75)+N(IB75)&gt;0,IC75=""),"линии до 50 В без БП: впишите в «Аппараты» (БП 24V 480W)",""),IF(AND(CG75=1,ISNUMBER(ID75),ISNUMBER(U75)),IF(U75&gt;ID75,"БП "&amp;ID75&amp;" Вт &lt; нужно "&amp;U75&amp;" Вт (×"&amp;Запас_БП&amp;")",""),""),IF(AND(CG75=1,ISNUMBER(IE75),N(BV75)=1),IF(IE75&lt;&gt;N(BU75),"БП на "&amp;IE75&amp;" В, линия "&amp;BU75&amp;" В",""),""),IF(AND(N(IF75)&gt;0,N(IG75)&gt;N(IF75)),HH75&amp;" канал "&amp;HJ75&amp;": "&amp;FIXED(IG75,1)&amp;" А &gt; "&amp;IF75&amp;" А",""),IFERROR(IF(AND(ISNUMBER(Q75),Q75&gt;EL75),"потери "&amp;FIXED(Q75,1)&amp;" % &gt; "&amp;EL75&amp;" %",""),""),IFERROR(IF(LEFT(HU75,4)="мало","Iкз мало — отключение &gt; 0,4 с",""),""),IF(AND(B75&lt;&gt;"",BM75=""),"не на схеме",""),IF(AND(CG75=0,B75&lt;&gt;"",FV75&lt;&gt;"",IF(BA75=1,"",FW74)&lt;&gt;"",FV75&lt;&gt;IF(BA75=1,"",FW74)),"фаза не как у автомата группы ("&amp;IF(BA75=1,"",FW74)&amp;")","")))</f>
        <v/>
      </c>
      <c r="II75" s="6">
        <f>IF(OR(CG75=0,DQ75=""),"",_xlfn.LET(_xlpm.t,IFERROR(_xlfn.XLOOKUP(DQ75,Каталог!$U$4:$U$500,Каталог!$G$4:$G$500),""),_xlpm.k,SEARCH("кА",_xlpm.t),IFERROR(--TRIM(RIGHT(SUBSTITUTE(MID(_xlpm.t,MAX(1,_xlpm.k-4),_xlpm.k-MAX(1,_xlpm.k-4))," ",REPT(" ",9)),5)),"")))</f>
        <v>6</v>
      </c>
      <c r="IJ75" t="str">
        <f>IF(OR(II75="",CG75=0),"",IF(_xlfn.XLOOKUP(A75,Щиты[Щит],Щиты[Iкз max на шинах, кА],"")="","",IF(II75&lt;_xlfn.XLOOKUP(A75,Щиты[Щит],Щиты[Iкз max на шинах, кА]),"Icu "&amp;II75&amp;" кА &lt; Iкз max","ok")))</f>
        <v/>
      </c>
      <c r="IK75" t="str">
        <f t="shared" si="251"/>
        <v/>
      </c>
      <c r="IL75" t="str">
        <f t="shared" si="252"/>
        <v>QF22</v>
      </c>
      <c r="IM75" t="str">
        <f t="shared" si="253"/>
        <v>QF22|кабель ВВГнг(А)-LS (3х2,5) → Внешний блок кондиционирования Пом. Венткиосок</v>
      </c>
      <c r="IN75" t="str" cm="1">
        <f t="array" ref="IN75">IF(IM75="","",_xlfn.LET(_xlpm.nd,_xlfn.TEXTSPLIT(IM75,"|"),IF(COLUMNS(_xlpm.nd)&gt;1,A75&amp;"¦"&amp;INDEX(_xlpm.nd,1)&amp;"¦"&amp;INDEX(_xlpm.nd,2),"")))</f>
        <v>ЩОВ-001¦QF22¦кабель ВВГнг(А)-LS (3х2,5) → Внешний блок кондиционирования Пом. Венткиосок</v>
      </c>
      <c r="IO75" t="str">
        <f t="shared" si="254"/>
        <v>K.7¦Внешний блок кондиционирования Пом. Венткиосок</v>
      </c>
      <c r="IP75" t="str" cm="1">
        <f t="array" ref="IP75">IF(IM75="","",_xlfn.LET(_xlpm.nd,_xlfn.TEXTSPLIT(IM75,"|"),IF(COLUMNS(_xlpm.nd)&gt;2,A75&amp;"¦"&amp;INDEX(_xlpm.nd,2)&amp;"¦"&amp;INDEX(_xlpm.nd,3),"")))</f>
        <v/>
      </c>
      <c r="IQ75" t="str">
        <f t="shared" si="255"/>
        <v/>
      </c>
      <c r="IR75" t="str" cm="1">
        <f t="array" ref="IR75">IF(IM75="","",_xlfn.LET(_xlpm.nd,_xlfn.TEXTSPLIT(IM75,"|"),IF(COLUMNS(_xlpm.nd)&gt;3,A75&amp;"¦"&amp;INDEX(_xlpm.nd,3)&amp;"¦"&amp;INDEX(_xlpm.nd,4),"")))</f>
        <v/>
      </c>
      <c r="IS75" t="str">
        <f t="shared" si="256"/>
        <v/>
      </c>
      <c r="IT75" t="str" cm="1">
        <f t="array" ref="IT75">IF(IM75="","",_xlfn.LET(_xlpm.nd,_xlfn.TEXTSPLIT(IM75,"|"),IF(COLUMNS(_xlpm.nd)&gt;4,A75&amp;"¦"&amp;INDEX(_xlpm.nd,4)&amp;"¦"&amp;INDEX(_xlpm.nd,5),"")))</f>
        <v/>
      </c>
      <c r="IU75" t="str">
        <f t="shared" si="257"/>
        <v/>
      </c>
      <c r="IV75" t="str" cm="1">
        <f t="array" ref="IV75">IF(IM75="","",_xlfn.LET(_xlpm.nd,_xlfn.TEXTSPLIT(IM75,"|"),IF(COLUMNS(_xlpm.nd)&gt;5,A75&amp;"¦"&amp;INDEX(_xlpm.nd,5)&amp;"¦"&amp;INDEX(_xlpm.nd,6),"")))</f>
        <v/>
      </c>
      <c r="IW75" t="str">
        <f t="shared" si="258"/>
        <v/>
      </c>
      <c r="IX75" t="str" cm="1">
        <f t="array" ref="IX75">IF(IM75="","",_xlfn.LET(_xlpm.nd,_xlfn.TEXTSPLIT(IM75,"|"),IF(COLUMNS(_xlpm.nd)&gt;6,A75&amp;"¦"&amp;INDEX(_xlpm.nd,6)&amp;"¦"&amp;INDEX(_xlpm.nd,7),"")))</f>
        <v/>
      </c>
      <c r="IY75" t="str">
        <f t="shared" si="259"/>
        <v/>
      </c>
      <c r="IZ75" t="str">
        <f t="shared" si="260"/>
        <v/>
      </c>
      <c r="JA75" t="str">
        <f t="shared" si="261"/>
        <v>QF22</v>
      </c>
      <c r="JB75">
        <f t="shared" si="262"/>
        <v>0</v>
      </c>
      <c r="JC75">
        <f t="shared" si="263"/>
        <v>0</v>
      </c>
      <c r="JD75" t="str">
        <f t="shared" si="264"/>
        <v/>
      </c>
      <c r="JE75" t="str">
        <f t="shared" si="265"/>
        <v/>
      </c>
      <c r="JF75" t="str">
        <f t="shared" si="266"/>
        <v/>
      </c>
      <c r="JG75" t="str">
        <f t="shared" si="267"/>
        <v/>
      </c>
      <c r="JH75">
        <f>IF(B75="","",IFERROR(_xlfn.XLOOKUP(B75,Коды_код,Коды_уго),IFERROR(_xlfn.XLOOKUP(BC75,Коды_код,Коды_уго),IFERROR(_xlfn.XLOOKUP(LEFT(BC75,2),Коды_код,Коды_уго),""))))</f>
        <v>0</v>
      </c>
      <c r="JI75" t="str">
        <f>IF(B75="","",IF(OR(JH75="",JH75=0),"BOX",IFERROR(IF(VLOOKUP(JH75,УГО_блоки,3,FALSE)&amp;""&lt;&gt;"",VLOOKUP(JH75,УГО_блоки,3,FALSE),VLOOKUP(JH75,УГО_блоки,2,FALSE)),JH75)))</f>
        <v>BOX</v>
      </c>
      <c r="JJ75">
        <f t="shared" si="268"/>
        <v>1</v>
      </c>
      <c r="JK75" t="str">
        <f>IF(DQ75="","",IF(COUNTIF(DQ$3:DQ75,DQ75)=1,MAX(JK$2:JK74)+1,""))</f>
        <v/>
      </c>
      <c r="JL75" t="str">
        <f>IF(DE75="","",IF(COUNTIF(DE$3:DE75,DE75)+COUNTIF(DF$2:DF74,DE75)+COUNTIF(DG$2:DG74,DE75)=1,MAX(JL$2:JN74)+1,""))</f>
        <v/>
      </c>
      <c r="JM75" t="str">
        <f>IF(DF75="","",IF(COUNTIF(DE$3:DE75,DF75)+COUNTIF(DF$3:DF75,DF75)+COUNTIF(DG$2:DG74,DF75)=1,MAX(JL$2:JN74,JL75)+1,""))</f>
        <v/>
      </c>
      <c r="JN75" t="str">
        <f>IF(DG75="","",IF(COUNTIF(DE$3:DE75,DG75)+COUNTIF(DF$3:DF75,DG75)+COUNTIF(DG$3:DG75,DG75)=1,MAX(JL$2:JN74,JL75,JM75)+1,""))</f>
        <v/>
      </c>
      <c r="JO75" t="str">
        <f t="shared" si="269"/>
        <v>3х2,5</v>
      </c>
      <c r="JP75" t="str">
        <f>IF(JO75="","",IF(COUNTIF(JO$3:JO75,JO75)=1,MAX(JP$2:JP74)+1,""))</f>
        <v/>
      </c>
      <c r="JQ75" t="str">
        <f>IF(HG75="","",COUNTIF(HG$3:HG75,"?*"))</f>
        <v/>
      </c>
      <c r="JR75" t="str">
        <f>IF(OR(HG75="",HI75=""),"",IF(COUNTIFS(HG$3:HG75,"?*",HI$3:HI75,HI75)=1,MAX(JR$2:JR74)+1,""))</f>
        <v/>
      </c>
      <c r="JS75">
        <f t="shared" si="270"/>
        <v>0</v>
      </c>
      <c r="JT75">
        <f>IF(B75="","",COUNTIF(B$3:B75,"?*"))</f>
        <v>73</v>
      </c>
      <c r="JU75">
        <f>IF(HL75&lt;&gt;1,0,_xlfn.LET(_xlpm.k,MAX(IFERROR(--_xlfn.XLOOKUP(B75,Коды_код,Коды_3L),0),IFERROR(--_xlfn.XLOOKUP(BC75,Коды_код,Коды_3L),0),IFERROR(--_xlfn.XLOOKUP(LEFT(BC75,2),Коды_код,Коды_3L),0)),IF(_xlpm.k&gt;0,_xlpm.k,IF(IFERROR(--LEFT(SUBSTITUTE(JO75,"x","х"),FIND("х",SUBSTITUTE(JO75,"x","х"))-1),3)&gt;3,Каталог!$S$9,1))))</f>
        <v>1</v>
      </c>
      <c r="JV75">
        <f t="shared" si="271"/>
        <v>0</v>
      </c>
      <c r="JW75" t="str">
        <f t="shared" si="272"/>
        <v>авто</v>
      </c>
      <c r="JX75" t="str">
        <f t="shared" si="273"/>
        <v/>
      </c>
      <c r="JY75">
        <f t="shared" si="274"/>
        <v>0</v>
      </c>
      <c r="JZ75">
        <f t="shared" si="275"/>
        <v>1</v>
      </c>
    </row>
    <row r="76" spans="1:286" x14ac:dyDescent="0.3">
      <c r="A76" t="s">
        <v>747</v>
      </c>
      <c r="B76" t="s">
        <v>1389</v>
      </c>
      <c r="C76" t="s">
        <v>1660</v>
      </c>
      <c r="D76">
        <v>1</v>
      </c>
      <c r="E76">
        <v>1.9</v>
      </c>
      <c r="G76">
        <v>16</v>
      </c>
      <c r="H76" t="str">
        <f>Линии[[#This Row],[_авто управление]]</f>
        <v/>
      </c>
      <c r="I76" t="str">
        <f>Линии[[#This Row],[_авто аппараты]]</f>
        <v/>
      </c>
      <c r="J76">
        <v>2.5</v>
      </c>
      <c r="K76">
        <v>35</v>
      </c>
      <c r="L76" t="str">
        <f>Линии[[#This Row],[_авто фаза]]</f>
        <v>L1</v>
      </c>
      <c r="M76" t="s">
        <v>484</v>
      </c>
      <c r="N76" t="str">
        <f t="shared" si="138"/>
        <v/>
      </c>
      <c r="O76" s="6" cm="1">
        <f t="array" ref="O76">IF(B76="","",IF(BH76&lt;&gt;"",IFERROR(_xlfn.XLOOKUP(BH76,Щиты[Щит],Щиты[Iр, А]),""),IF(BP76=1,IF(OR(N(_xlfn.XLOOKUP(A76,Щиты[Щит],Щиты[Вводов],1))&lt;=1,LOWER(TRIM(_xlfn.XLOOKUP(A76,Щиты[Щит],Щиты[АВР],"")&amp;""))="да"),IFERROR(_xlfn.XLOOKUP(A76,Щиты[Щит],Щиты[Iр, А]),""),IFERROR(N(BS76)*_xlfn.XLOOKUP(A76,Щиты[Щит],Щиты[Кс итог])/(SQRT(3)*Uн_лин*_xlfn.XLOOKUP(A76,Щиты[Щит],Щиты[cos φ])),"")),IF(BV76=1,IFERROR(BS76*1000/BU76,""),IFERROR(_xlfn.IFS(BX76=1,BS76/((Uн_лин/SQRT(3))*CE76),BX76=3,BS76/(SQRT(3)*Uн_лин*CE76)),"")))))</f>
        <v>10.284051669940206</v>
      </c>
      <c r="P76" s="7">
        <f>IF(B76="","",IFERROR(IF(VLOOKUP(BC76,Потребители_обозначение,4,FALSE)=1,VLOOKUP(BC76,Потребители_обозначение,3,FALSE)*(MAX(1,N(D76))*2-1)+EI76+VLOOKUP(BE76,Этаж_обозначение,3,FALSE)+VLOOKUP(BE76,Этаж_обозначение,4,FALSE),VLOOKUP(BC76,Потребители_обозначение,3,FALSE)*(MAX(1,N(D76))*2-1)+EI76),EI76))</f>
        <v>35</v>
      </c>
      <c r="Q76" s="6">
        <f t="shared" si="139"/>
        <v>2.9099999999999997</v>
      </c>
      <c r="R76" t="str">
        <f t="shared" si="140"/>
        <v>ВВГнг(А)-LS (3х2,5)</v>
      </c>
      <c r="S76" t="str">
        <f>IF(BM76="","",IF(BN76="вводной узел","узел ","")&amp;"л."&amp;(INT((BM76-1)/Столбцов_на_лист)+1)&amp;" / "&amp;(MOD(BM76-1,Столбцов_на_лист)+1))</f>
        <v>л.3 / 6</v>
      </c>
      <c r="T76" s="119">
        <f t="shared" si="141"/>
        <v>4.5</v>
      </c>
      <c r="U76" s="7" t="str">
        <f>IF(OR(CG76=0,N(BV76)+N(IB76)=0),"",ROUNDUP(Запас_БП*(N(HY76)+N(HZ76)),0))</f>
        <v/>
      </c>
      <c r="V76" s="119" t="str">
        <f t="shared" si="142"/>
        <v/>
      </c>
      <c r="W76" s="7" t="str">
        <f>IFERROR(IF(OR(B76="",BP76=1,BV76=1,NOT(ISNUMBER(EN76)),N(DT76)=0),"",MAX(0,ROUNDDOWN((c_min*(Uн_лин*1000/SQRT(3))/(HT76*N(DT76))-_xlfn.XLOOKUP(A76,Щиты[Щит],Щиты[Zпетли на шинах, Ом]))*EN76/(2*ρкз_Cu),0))),"")</f>
        <v/>
      </c>
      <c r="Y76" t="str">
        <f>Линии[[#This Row],[_авто утечка]]</f>
        <v/>
      </c>
      <c r="Z76">
        <v>1</v>
      </c>
      <c r="AA76">
        <v>230</v>
      </c>
      <c r="AB76" t="s">
        <v>598</v>
      </c>
      <c r="AC76">
        <v>0.5</v>
      </c>
      <c r="AG76" t="s">
        <v>810</v>
      </c>
      <c r="AI76" t="s">
        <v>576</v>
      </c>
      <c r="AK76" t="str">
        <f>Линии[[#This Row],[_авто модуль]]</f>
        <v/>
      </c>
      <c r="AM76">
        <v>40</v>
      </c>
      <c r="AN76" t="s">
        <v>11</v>
      </c>
      <c r="AO76">
        <v>3</v>
      </c>
      <c r="AR76">
        <v>31</v>
      </c>
      <c r="AT76">
        <v>1</v>
      </c>
      <c r="BA76" cm="1">
        <f t="array" ref="BA76">ROW()-ROW(Линии[#Headers])</f>
        <v>74</v>
      </c>
      <c r="BC76" s="6" t="str">
        <f t="shared" si="143"/>
        <v>K</v>
      </c>
      <c r="BD76" t="str">
        <f t="shared" si="144"/>
        <v>8</v>
      </c>
      <c r="BE76" t="str">
        <f t="shared" si="145"/>
        <v>8</v>
      </c>
      <c r="BF76" t="str">
        <f t="shared" si="146"/>
        <v/>
      </c>
      <c r="BG76" t="str">
        <f t="shared" si="147"/>
        <v/>
      </c>
      <c r="BH76" t="str">
        <f>IF(X76&lt;&gt;"",X76,IF(AND(B76&lt;&gt;"",B76&lt;&gt;A76,ISNUMBER(_xlfn.XMATCH(B76,Щиты[Щит]))),B76,""))</f>
        <v/>
      </c>
      <c r="BI76" t="str" cm="1">
        <f t="array" ref="BI76">IF(B76="","",IF(BH76&lt;&gt;"","Щит "&amp;BH76,_xlfn.LET(_xlpm.nm,IFERROR(_xlfn.XLOOKUP(BC76,Коды_код,Коды_имя)&amp;"",""),_xlpm.md,IFERROR(N(_xlfn.XLOOKUP(BC76,Коды_код,Коды_режим)),1),_xlpm.ex,IF(Имя_режим="по экспликации",IFERROR(_xlfn.XLOOKUP(BE76&amp;"|"&amp;BG76,Экспликация[Этаж]&amp;"|"&amp;Экспликация[Помещение],Экспликация[Название])&amp;"",""),""),_xlpm.rm,IF(BG76="","",IF(_xlpm.ex&lt;&gt;"",". "&amp;_xlpm.ex&amp;IF(Имя_пом="нет"," ("&amp;BG76&amp;")"," (пом. "&amp;BG76&amp;")"),IF(Имя_пом="нет"," ",", пом. ")&amp;BG76)),IF(_xlpm.nm="","",IF(_xlpm.md=2,_xlpm.nm&amp;" шлейф "&amp;BE76,_xlpm.nm&amp;_xlpm.rm)))))</f>
        <v>Внутренний блок кондиционирования</v>
      </c>
      <c r="BJ76" t="str">
        <f t="shared" si="148"/>
        <v>Внешний блок кондиционирования Пом. Венткиосок</v>
      </c>
      <c r="BK76">
        <f>IFERROR(_xlfn.XMATCH(A76,Щиты[Щит]),0)</f>
        <v>4</v>
      </c>
      <c r="BL76">
        <f>_xlfn.LET(_xlpm.k,IFERROR(_xlfn.XLOOKUP(A76,Щиты[Щит],Щиты[Мест под вводной узел]),""),IF(_xlpm.k="",Столбцов_на_лист,N(_xlpm.k)))</f>
        <v>13</v>
      </c>
      <c r="BM76">
        <f t="shared" si="149"/>
        <v>40</v>
      </c>
      <c r="BN76" t="str">
        <f t="shared" si="150"/>
        <v>линии</v>
      </c>
      <c r="BO76" s="6">
        <f>IFERROR(N(_xlfn.XLOOKUP(BC76,Коды_код,Коды_квт)),0)</f>
        <v>0</v>
      </c>
      <c r="BP76">
        <f t="shared" si="151"/>
        <v>0</v>
      </c>
      <c r="BQ76" t="str">
        <f>IF(B76="","",IF(BH76&lt;&gt;"",IFERROR(_xlfn.XLOOKUP(BH76,Щиты[Щит],Щиты[Руст, кВт]),0),IF(BP76=1,IF(OR(N(_xlfn.XLOOKUP(A76,Щиты[Щит],Щиты[Вводов],1))&lt;=1,LOWER(TRIM(_xlfn.XLOOKUP(A76,Щиты[Щит],Щиты[АВР],"")&amp;""))="да"),IFERROR(_xlfn.XLOOKUP(A76,Щиты[Щит],Щиты[Руст, кВт]),0),SUMIFS(Линии[_Р для вводов],Линии[Щит],A76,Линии[Источник для режимов],GF76)),IF(BO76&gt;0,ROUND(BO76*MAX(1,N(D76)),3),""))))</f>
        <v/>
      </c>
      <c r="BR76">
        <f t="shared" si="152"/>
        <v>1.9</v>
      </c>
      <c r="BS76" s="6">
        <f>IF(B76="","",IF(BH76&lt;&gt;"",IFERROR(_xlfn.XLOOKUP(BH76,Щиты[Щит],Щиты[Руст, кВт]),0),N(BR76)))</f>
        <v>1.9</v>
      </c>
      <c r="BT76" t="str">
        <f>IF(B76="","",IFERROR(IF(VLOOKUP(BC76,Потребители_обозначение,8,FALSE)=0,"",VLOOKUP(BC76,Потребители_обозначение,8,FALSE)),""))</f>
        <v/>
      </c>
      <c r="BU76">
        <f t="shared" si="153"/>
        <v>230</v>
      </c>
      <c r="BV76">
        <f t="shared" si="154"/>
        <v>0</v>
      </c>
      <c r="BW76">
        <f>IF(B76="","",IF(BH76&lt;&gt;"",3,IFERROR(IF(N(VLOOKUP(BC76,Потребители_обозначение,9,FALSE))=0,1,VLOOKUP(BC76,Потребители_обозначение,9,FALSE)),1)))</f>
        <v>1</v>
      </c>
      <c r="BX76">
        <f t="shared" si="155"/>
        <v>1</v>
      </c>
      <c r="BY76" t="str">
        <f>IF(B76="","",_xlfn.LET(_xlpm.bc,IFERROR(IF(VLOOKUP(BC76,Потребители_обозначение,6,FALSE)=0,"",VLOOKUP(BC76,Потребители_обозначение,6,FALSE)&amp;""),""),IF(AND(GA76="да",OR(_xlpm.bc="",_xlpm.bc="мс")),Марка_пож,IF(AND(_xlpm.bc="",BH76&lt;&gt;""),"мс",_xlpm.bc))))</f>
        <v/>
      </c>
      <c r="BZ76" t="str">
        <f t="shared" si="156"/>
        <v>мс</v>
      </c>
      <c r="CA76">
        <f>IF(B76="","",_xlfn.LET(_xlpm.cc,IFERROR(N(VLOOKUP(BC76,Потребители_обозначение,7,FALSE)),0),IF(_xlpm.cc&gt;0,_xlpm.cc,IF(BZ76="","",IF(BV76=1,2,IF(N(BX76)=3,5,3))))))</f>
        <v>3</v>
      </c>
      <c r="CB76">
        <f t="shared" si="157"/>
        <v>3</v>
      </c>
      <c r="CC76">
        <f>IFERROR(N(VLOOKUP(BC76,Потребители_обозначение,10,FALSE)),0)</f>
        <v>0</v>
      </c>
      <c r="CD76">
        <f>IFERROR(VLOOKUP(BC76,Потребители_обозначение,5,FALSE),0)</f>
        <v>1</v>
      </c>
      <c r="CE76" s="6" cm="1">
        <f t="array" ref="CE76">IF(B76="","",IF(BH76&lt;&gt;"",IFERROR(_xlfn.XLOOKUP(BH76,Щиты[Щит],Щиты[cos φ]),0.95),IF(BP76=1,IFERROR(_xlfn.XLOOKUP(A76,Щиты[Щит],Щиты[cos φ]),0.95),IF(ISNUMBER(AD76),AD76,IFERROR(IF(CD76=2,_xlfn.IFS(BX76=3,VLOOKUP(BS76,Справочная_двигатели,8,FALSE),BX76=1,VLOOKUP(BS76,Справочная_двигатели,10,TRUE)),IF(AND(Методика="нормы 2026",FG76="Сил"),0.8,0.95)),0.95)))))</f>
        <v>0.8</v>
      </c>
      <c r="CF76">
        <f t="shared" si="158"/>
        <v>0</v>
      </c>
      <c r="CG76">
        <f t="shared" si="159"/>
        <v>1</v>
      </c>
      <c r="CH76">
        <f t="shared" si="160"/>
        <v>0</v>
      </c>
      <c r="CI76">
        <f>IF(B76="","",IF(BV76=1,IFERROR(BS76/((Uн_лин/SQRT(3))*MAX(0.5,N(CE76))),0),N(O76)))</f>
        <v>10.284051669940206</v>
      </c>
      <c r="CJ76">
        <f t="shared" si="161"/>
        <v>0</v>
      </c>
      <c r="CK76">
        <f t="shared" si="162"/>
        <v>0</v>
      </c>
      <c r="CL76">
        <f t="shared" si="163"/>
        <v>0</v>
      </c>
      <c r="CM76">
        <f t="shared" si="164"/>
        <v>0</v>
      </c>
      <c r="CN76">
        <f t="shared" si="165"/>
        <v>0</v>
      </c>
      <c r="CO76">
        <f>IF(BC76="",0,_xlfn.LET(_xlpm.v,IFERROR(_xlfn.XLOOKUP(B76,Коды_код,Коды_мА),IFERROR(_xlfn.XLOOKUP(BC76,Коды_код,Коды_мА),IFERROR(_xlfn.XLOOKUP(LEFT(BC76,2),Коды_код,Коды_мА),""))),IF(_xlpm.v="да",30,IF(ISNUMBER(_xlpm.v),_xlpm.v,0))))</f>
        <v>0</v>
      </c>
      <c r="CP76" t="str">
        <f t="shared" si="166"/>
        <v/>
      </c>
      <c r="CQ76" t="str">
        <f>_xlfn.LET(_xlpm.k,IFERROR(_xlfn.XLOOKUP(BC76,Коды_код,Коды_утечка)&amp;"",""),IF(_xlpm.k="","дифавтомат",_xlpm.k))</f>
        <v>дифавтомат</v>
      </c>
      <c r="CR76" t="str" cm="1">
        <f t="array" ref="CR76">IF(CG76=0,"",_xlfn.LET(_xlpm.sg,TRIM(_xlfn.TEXTSPLIT(DD76&amp;"",";")),_xlpm.f_,_xlfn._xlws.FILTER(_xlpm.sg,LEFT(_xlpm.sg,3)="УЗО",""),IFERROR(INDEX(_xlpm.f_,1)&amp;"","")))</f>
        <v/>
      </c>
      <c r="CS76" t="str">
        <f t="shared" si="167"/>
        <v/>
      </c>
      <c r="CT76" s="6" t="str" cm="1">
        <f t="array" ref="CT76">IF(CR76="","",_xlfn.LET(_xlpm.tk,_xlfn.TEXTSPLIT(UPPER(CR76)," ",,TRUE),_xlpm.a_,_xlfn._xlws.FILTER(_xlpm.tk,ISNUMBER(--LEFT(_xlpm.tk,1))*((ISNUMBER(SEARCH("А",_xlpm.tk))+ISNUMBER(SEARCH("A",_xlpm.tk)))&gt;0)*NOT(ISNUMBER(SEARCH("МА",_xlpm.tk)))*NOT(ISNUMBER(SEARCH("MA",_xlpm.tk))),""),IFERROR(--SUBSTITUTE(SUBSTITUTE(INDEX(_xlpm.a_,1),"А",""),"A",""),"")))</f>
        <v/>
      </c>
      <c r="CU76" t="str" cm="1">
        <f t="array" ref="CU76">IF(CR76="","",_xlfn.LET(_xlpm.tk,_xlfn.TEXTSPLIT(UPPER(CR76)," ",,TRUE),_xlpm.a_,_xlfn._xlws.FILTER(_xlpm.tk,ISNUMBER(--LEFT(_xlpm.tk,1))*((ISNUMBER(SEARCH("МА",_xlpm.tk))+ISNUMBER(SEARCH("MA",_xlpm.tk)))&gt;0),""),IFERROR(--SUBSTITUTE(SUBSTITUTE(INDEX(_xlpm.a_,1),"МА",""),"MA",""),30)))</f>
        <v/>
      </c>
      <c r="CV76" t="str">
        <f>IF(CS76="","",IFERROR(_xlfn.XLOOKUP(CS76,Линии[_n],Линии[_УЗО, мА]),30))</f>
        <v/>
      </c>
      <c r="CW76">
        <f>IF(CS76="",0,IF(ISNUMBER(SEARCH("4P",IFERROR(_xlfn.XLOOKUP(CS76,Линии[_n],Линии[_УЗО строки])&amp;"",""))),0,1))</f>
        <v>0</v>
      </c>
      <c r="CX76" t="str">
        <f>IF(AND(CS76&lt;&gt;"",CS76=BA76),SUMIFS(Линии[_ток на 230 В],Линии[_блок УЗО],BA76,Линии[Щит],A76),"")</f>
        <v/>
      </c>
      <c r="CY76" t="str">
        <f>IF(AND(CS76&lt;&gt;"",CS76=BA76),SUMIFS(Линии[_ток утечки линии, мА],Линии[_блок УЗО],BA76,Линии[Щит],A76),"")</f>
        <v/>
      </c>
      <c r="CZ76">
        <f t="shared" si="168"/>
        <v>0</v>
      </c>
      <c r="DA76">
        <f t="shared" si="169"/>
        <v>0</v>
      </c>
      <c r="DB76">
        <f>IF(B76="",0,IFERROR(--_xlfn.XLOOKUP(B76,Коды_код,Коды_минавт),IFERROR(--_xlfn.XLOOKUP(BC76,Коды_код,Коды_минавт),IFERROR(--_xlfn.XLOOKUP(LEFT(BC76,2),Коды_код,Коды_минавт),0))))</f>
        <v>0</v>
      </c>
      <c r="DC76" t="str">
        <f>IF(B76="","",IFERROR(_xlfn.XLOOKUP(BC76,Коды_код,Коды_апп)&amp;"",""))</f>
        <v/>
      </c>
      <c r="DD76" t="str">
        <f t="shared" si="170"/>
        <v/>
      </c>
      <c r="DE76" t="str" cm="1">
        <f t="array" ref="DE76">IF(TRIM(DD76&amp;"")="","",IFERROR(TRIM(INDEX(_xlfn.TEXTSPLIT(DD76&amp;";;;",";"),1)),""))</f>
        <v/>
      </c>
      <c r="DF76" t="str" cm="1">
        <f t="array" ref="DF76">IF(TRIM(DD76&amp;"")="","",IFERROR(TRIM(INDEX(_xlfn.TEXTSPLIT(DD76&amp;";;;",";"),2)),""))</f>
        <v/>
      </c>
      <c r="DG76" t="str" cm="1">
        <f t="array" ref="DG76">IF(TRIM(DD76&amp;"")="","",IFERROR(TRIM(INDEX(_xlfn.TEXTSPLIT(DD76&amp;";;;",";"),3)),""))</f>
        <v/>
      </c>
      <c r="DH76">
        <f t="shared" si="171"/>
        <v>0</v>
      </c>
      <c r="DI76" t="str">
        <f>IF(B76="","",_xlfn.LET(_xlpm.t,LOWER(AZ76&amp;""),IF(ISNUMBER(SEARCH("dim",_xlpm.t)),"DIM",IF(ISNUMBER(SEARCH("dali",_xlpm.t)),"DALI",IF(OR(ISNUMBER(SEARCH("relay",_xlpm.t)),ISNUMBER(SEARCH("реле",_xlpm.t))),"Relay",IF(ISNUMBER(SEARCH("кнопк",_xlpm.t)),"",IFERROR(_xlfn.XLOOKUP(BC76,Коды_код,Коды_упр)&amp;"","")))))))</f>
        <v/>
      </c>
      <c r="DJ76" t="str">
        <f t="shared" si="172"/>
        <v/>
      </c>
      <c r="DK76">
        <f>IF(B76="","",_xlfn.LET(_xlpm.ig,IF(N(CX76)&gt;0,N(CX76),N(CI76)+IF(AJ76="вручную",0,N(CJ76))),_xlpm.n0,IFERROR(VLOOKUP(_xlpm.ig,Автомат_номиналы,2,TRUE),0),_xlpm.mn,MAX(DB76,IF(AJ76="вручную",0,N(CM76))),MAX(_xlpm.n0,_xlpm.mn,IF(DH76=1,Мин_автомат_БП,0))))</f>
        <v>16</v>
      </c>
      <c r="DL76">
        <f t="shared" si="173"/>
        <v>1</v>
      </c>
      <c r="DM76" t="str">
        <f t="shared" si="174"/>
        <v>1P</v>
      </c>
      <c r="DN76" t="str">
        <f>_xlfn.LET(_xlpm.cc,UPPER(TRIM(IFERROR(_xlfn.XLOOKUP(BC76,Коды_код,Коды_хар)&amp;"",""))),IF(OR(_xlpm.cc="B",_xlpm.cc="В"),"B",IF(_xlpm.cc="D","D","С")))</f>
        <v>С</v>
      </c>
      <c r="DO76" t="str">
        <f t="shared" si="175"/>
        <v>1P С16А</v>
      </c>
      <c r="DP76">
        <f t="shared" si="176"/>
        <v>16</v>
      </c>
      <c r="DQ76" t="str">
        <f t="shared" si="177"/>
        <v>1P С16А</v>
      </c>
      <c r="DR76" cm="1">
        <f t="array" ref="DR76">IF(DQ76="","",_xlfn.LET(_xlpm.t,SUBSTITUTE(SUBSTITUTE(SUBSTITUTE(UPPER(DQ76),"С","C"),"А","A"),"В","B"),_xlpm.tk,_xlfn.TEXTSPLIT(_xlpm.t," "),_xlpm.f,_xlfn._xlws.FILTER(_xlpm.tk,ISNUMBER(--MID(_xlpm.tk,2,1))*ISNUMBER(SEARCH(LEFT(_xlpm.tk,1)&amp;"#","B#C#D#"))*(LEN(_xlpm.tk)&gt;1),""),_xlpm.x,INDEX(_xlpm.f,1),IFERROR(--SUBSTITUTE(MID(_xlpm.x,2,9),"A",""),IFERROR(--SUBSTITUTE(INDEX(_xlfn._xlws.FILTER(_xlpm.tk,ISNUMBER(--SUBSTITUTE(_xlpm.tk,"A","")),""),1),"A",""),""))))</f>
        <v>16</v>
      </c>
      <c r="DS76" t="str">
        <f t="shared" si="178"/>
        <v>ok</v>
      </c>
      <c r="DT76">
        <f t="shared" si="179"/>
        <v>16</v>
      </c>
      <c r="DU76" t="str">
        <f t="shared" si="180"/>
        <v>1P С16А</v>
      </c>
      <c r="DV76">
        <f t="shared" si="181"/>
        <v>0</v>
      </c>
      <c r="DW76">
        <f t="shared" si="182"/>
        <v>0</v>
      </c>
      <c r="DX76">
        <f t="shared" si="183"/>
        <v>0</v>
      </c>
      <c r="DY76">
        <f t="shared" si="184"/>
        <v>10.284051669940206</v>
      </c>
      <c r="DZ76">
        <f t="shared" si="185"/>
        <v>1</v>
      </c>
      <c r="EA76">
        <f>IF(ISNUMBER(AP76),AP76,К_прокл)</f>
        <v>1</v>
      </c>
      <c r="EB76">
        <f t="shared" si="186"/>
        <v>2</v>
      </c>
      <c r="EC76">
        <f>IFERROR(N(VLOOKUP(BZ76,Кабель_обозначение,3,FALSE)),1)</f>
        <v>1</v>
      </c>
      <c r="ED76">
        <f>IFERROR(N(_xlfn.XLOOKUP(A76,Щиты[Щит],Щиты[ΔU до шин, %])),0)</f>
        <v>0.64</v>
      </c>
      <c r="EE76" t="str">
        <f>IFERROR(_xlfn.XLOOKUP(A76,Щиты[Щит],Щиты[Zпетли на шинах, Ом]),"")</f>
        <v/>
      </c>
      <c r="EF76">
        <f>IFERROR(N(_xlfn.XLOOKUP(A76,Щиты[Щит],Щиты[ΔU до шин (подбор), %])),0)</f>
        <v>0.75</v>
      </c>
      <c r="EG76" t="str">
        <f>IFERROR(_xlfn.XLOOKUP(A76,Щиты[Щит],Щиты[Zпетли на шинах (подбор), Ом]),"")</f>
        <v/>
      </c>
      <c r="EH76" t="str">
        <f t="shared" si="187"/>
        <v/>
      </c>
      <c r="EI76">
        <f t="shared" si="188"/>
        <v>35</v>
      </c>
      <c r="EJ76">
        <f t="shared" si="189"/>
        <v>2</v>
      </c>
      <c r="EK76">
        <f t="shared" si="190"/>
        <v>0.6</v>
      </c>
      <c r="EL76" s="6">
        <f>IF(B76="","",IF(BV76=1,dU_LED,IF(IFERROR(_xlfn.XLOOKUP(BC76,Коды_код,Коды_уго),"")="Светильник",3,4)+IF(Методика="нормы 2026",MIN(0.5,MAX(0,N(P76)-100)*0.005),0)))</f>
        <v>4</v>
      </c>
      <c r="EM76" cm="1">
        <f t="array" ref="EM76">IF(OR(B76="",BZ76="",EC76&lt;&gt;1),"",_xlfn.LET(_xlpm.sz,Iдоп_S,_xlpm.t_,CHOOSE(EB76,Iдоп_1ж,Iдоп_2ж,Iдоп_3ж)*DZ76*EA76,_xlpm.dcx,BV76=1,_xlpm.inn,IF(_xlpm.dcx,N(O76),N(DT76)),_xlpm.smin,MAX(1.5,CC76),_xlpm.L_,N(P76)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76)/N(BU76)*100,999),IFERROR(N(EJ76)*(_xlpm.rho*_xlpm.L_/_xlpm.sz*N(CE76)+_xlpm.xx*_xlpm.L_*N(EK76)/1000)*N(O76)/((Uн_лин/SQRT(3))*1000)*100,999)),_xlpm.kz,IF(OR(_xlpm.dcx,DW76=1,NOT(ISNUMBER(EG76)),_xlpm.L_=0,_xlpm.inn=0),1,IFERROR(--(c_min*(Uн_лин*1000/SQRT(3))/(EG76+2*ρкз_Cu*_xlpm.L_/_xlpm.sz)&gt;=HT76*_xlpm.inn),0)),_xlpm.ok,IFERROR((_xlpm.sz&gt;=_xlpm.smin)*(_xlpm.t_&gt;=_xlpm.inn)*IF(_xlpm.L_&gt;0,(_xlpm.du_+IF(_xlpm.dcx,0,EF76)&lt;=EL76+0.00001),1)*_xlpm.kz,0),_xlpm.r_,_xlfn._xlws.FILTER(_xlpm.sz,_xlpm.ok,"не подобрано"),INDEX(_xlpm.r_,1)))</f>
        <v>2.5</v>
      </c>
      <c r="EN76">
        <f t="shared" si="191"/>
        <v>2.5</v>
      </c>
      <c r="EO76" cm="1">
        <f t="array" ref="EO76">IF(OR(B76="",BZ76="",EC76&lt;&gt;1),"",_xlfn.LET(_xlpm.sz,Iдоп_S,_xlpm.t_,CHOOSE(EB76,Iдоп_1ж,Iдоп_2ж,Iдоп_3ж)*DZ76*EA76,_xlpm.ok,IFERROR((_xlpm.sz&gt;=MAX(1.5,CC76))*(_xlpm.t_&gt;=N(DT76)),0),_xlpm.r_,_xlfn._xlws.FILTER(_xlpm.sz,_xlpm.ok,""),INDEX(_xlpm.r_,1)))</f>
        <v>1.5</v>
      </c>
      <c r="EP76" s="6" cm="1">
        <f t="array" ref="EP76">IFERROR(ROUNDUP(N(EJ76)*(_xlfn.XLOOKUP(EO76,INDEX(Кабель_сопротивление,0,1),INDEX(Кабель_сопротивление,0,3))*N(P76)/EO76*N(CE76)+_xlfn.XLOOKUP(EO76,INDEX(Кабель_сопротивление,0,1),INDEX(Кабель_сопротивление,0,2))*N(P76)*N(EK76)/1000)*N(O76)/((Uн_лин/SQRT(3))*1000)*100,2),"")</f>
        <v>3.7699999999999996</v>
      </c>
      <c r="EQ76">
        <f>IFERROR(2*ρкз_Cu*N(P76)/EO76,"")</f>
        <v>1.2273333333333334</v>
      </c>
      <c r="ER76">
        <f>IFERROR(VLOOKUP(EN76,Кабель_сопротивление,3,FALSE),"")</f>
        <v>2.2499999999999999E-2</v>
      </c>
      <c r="ES76">
        <f>IFERROR(VLOOKUP(EN76,Кабель_сопротивление,2,FALSE),"")</f>
        <v>0.1</v>
      </c>
      <c r="ET76">
        <f t="shared" si="192"/>
        <v>31</v>
      </c>
      <c r="EU76">
        <f t="shared" si="193"/>
        <v>0</v>
      </c>
      <c r="EV76">
        <f t="shared" si="194"/>
        <v>5.2263550586636125</v>
      </c>
      <c r="EW76" s="6">
        <f>IFERROR(ROUNDUP(EV76/IF(BV76=1,BU76,(Uн_лин/SQRT(3))*1000)*100,2),"")</f>
        <v>2.2699999999999996</v>
      </c>
      <c r="EX76" t="str">
        <f>IFERROR(VLOOKUP(BZ76,Кабель_обозначение,2,FALSE),"")</f>
        <v>ВВГнг(А)-LS</v>
      </c>
      <c r="EY76" t="str">
        <f t="shared" si="195"/>
        <v>ВВГнг(А)-LS (3х2,5)</v>
      </c>
      <c r="EZ76" t="str">
        <f t="shared" si="196"/>
        <v>ВВГнг(А)-LS (3х2,5)
L=35-2,27%</v>
      </c>
      <c r="FA76">
        <f>IFERROR(2*ρкз_Cu*P76/EN76,"")</f>
        <v>0.73639999999999994</v>
      </c>
      <c r="FB76">
        <f t="shared" si="197"/>
        <v>0.24500000000000002</v>
      </c>
      <c r="FC76" s="6" t="str">
        <f>IFERROR(IF(OR(B76="",BV76=1,NOT(ISNUMBER(EN76)),N(P76)=0),"",_xlfn.XLOOKUP(A76,Щиты[Щит],Щиты[Zпетли на шинах, Ом])+FA76),"")</f>
        <v/>
      </c>
      <c r="FD76" s="6" t="str">
        <f>IF(ISNUMBER(FC76),c_min*(Uн_лин*1000/SQRT(3))/FC76,"")</f>
        <v/>
      </c>
      <c r="FE76" s="6" t="str">
        <f>IFERROR(IF(OR(B76="",NOT(ISNUMBER(EN76))),"",1.05*(Uн_лин*1000/SQRT(3))/(_xlfn.XLOOKUP(A76,Щиты[Щит],Щиты[Zmax на шинах, Ом])+FB76)/1000),"")</f>
        <v/>
      </c>
      <c r="FF76" s="6" t="str">
        <f>IF(B76="","",IF(ISNUMBER(AC76),"Сил",IF(IFERROR(_xlfn.XLOOKUP(BC76,Коды_код,Коды_группа)&amp;"","")="","Быт",_xlfn.XLOOKUP(BC76,Коды_код,Коды_группа)&amp;"")))</f>
        <v>Сил</v>
      </c>
      <c r="FG76" s="6" t="str">
        <f t="shared" si="198"/>
        <v>Сил</v>
      </c>
      <c r="FH76" s="6">
        <f>IF(FG76="Щит","щит",IF(FG76="","",IF(FG76="Быт",IFERROR(_xlfn.XLOOKUP(A76,Щиты[Щит],Щиты[Кс быт]),1),IF(FG76="Сил",IF(ISNUMBER(AC76),AC76,IF(Методика="нормы 2026",IFERROR(_xlfn.XLOOKUP(A76,Щиты[Щит],Щиты[Кс силовых (табл. 7.5)]),1),1)),IF(OR(FG76="Пост",FG76="Отоп"),1,IF(FG76="ВНГ",0.7,0))))))</f>
        <v>0.5</v>
      </c>
      <c r="FI76">
        <f>IF(FG76="","",IF(AND(BP76=1,TRIM(AE76&amp;"")=""),IF(COUNTIFS(Линии[Щит],A76,Линии[Секция (1/2/3)],"&gt;=2")&gt;0,MIN(3,MAX(1,IFERROR(--BD76,1))),1),IFERROR(MIN(3,MAX(1,INT(--AE76))),1)))</f>
        <v>1</v>
      </c>
      <c r="FJ76">
        <f t="shared" si="199"/>
        <v>1.9</v>
      </c>
      <c r="FK76">
        <f t="shared" si="200"/>
        <v>0</v>
      </c>
      <c r="FL76">
        <f t="shared" si="201"/>
        <v>0.95</v>
      </c>
      <c r="FM76">
        <f t="shared" si="202"/>
        <v>0</v>
      </c>
      <c r="FN76">
        <f t="shared" si="203"/>
        <v>0</v>
      </c>
      <c r="FO76">
        <f t="shared" si="204"/>
        <v>0</v>
      </c>
      <c r="FP76">
        <f t="shared" si="205"/>
        <v>1.9</v>
      </c>
      <c r="FQ76">
        <f t="shared" si="206"/>
        <v>1.9</v>
      </c>
      <c r="FR76">
        <f t="shared" si="207"/>
        <v>1.52</v>
      </c>
      <c r="FS76">
        <f>IF(CG76=1,IF(AND(CH76=1,CW76=1),0,IF(AND(CS76&lt;&gt;"",CS76=BA76,CW76=1),SUMIFS(Линии[_Р линии, кВт],Линии[_блок УЗО],BA76,Линии[Щит],A76),N(BS76)+IF(AJ76="вручную",0,N(CK76)))),0)</f>
        <v>1.9</v>
      </c>
      <c r="FT76" t="str">
        <f t="shared" si="208"/>
        <v/>
      </c>
      <c r="FU76" t="str">
        <f>IF(B76="","",IF(CG76=0,IF(BA76=1,"",FW75),IF(AND(CH76=1,CW76=1,CS76&lt;&gt;""),IFERROR(_xlfn.XLOOKUP(CS76,Линии[_n],Линии[_фаза итог]),"L1"),IF(OR(N(DL76)&gt;=3,N(BX76)&gt;=3),"L1,L2,L3",IFERROR(_xlfn.TEXTBEFORE(_xlfn.TEXTAFTER(_xlfn.XLOOKUP(A76,Щиты[Щит],Щиты[_фазы авто]),";"&amp;BA76&amp;":"),";"),"L1")))))</f>
        <v>L1</v>
      </c>
      <c r="FV76" t="str">
        <f t="shared" si="209"/>
        <v>L1</v>
      </c>
      <c r="FW76" t="str">
        <f t="shared" si="210"/>
        <v>L1</v>
      </c>
      <c r="FX76" cm="1">
        <f t="array" ref="FX76">IFERROR(IF(CD76=2,_xlfn.IFS(BX76=3,VLOOKUP(BS76,Справочная_двигатели,3,FALSE),BX76=1,VLOOKUP(BS76,Справочная_двигатели,5,TRUE)),0),0)</f>
        <v>0</v>
      </c>
      <c r="FY76">
        <f>IFERROR(IF(CD76=3,VLOOKUP(BS76,Справочная_ЛЭД,2,TRUE),0),0)</f>
        <v>0</v>
      </c>
      <c r="FZ76" s="6">
        <f t="shared" si="211"/>
        <v>0</v>
      </c>
      <c r="GA76" t="str">
        <f>IF(B76="","",IF(TRIM(AH76&amp;"")&lt;&gt;"",IF(LOWER(TRIM(AH76&amp;""))="да","да","нет"),IF(IFERROR(_xlfn.XLOOKUP(BC76,Коды_код,Коды_пожарная),"")="да","да","нет")))</f>
        <v>нет</v>
      </c>
      <c r="GB76" t="str">
        <f t="shared" si="212"/>
        <v/>
      </c>
      <c r="GC76" t="str">
        <f t="shared" si="213"/>
        <v>основная</v>
      </c>
      <c r="GD76">
        <f>IF(AND(BP76=1,TRIM(AE76&amp;"")=""),IF(COUNTIFS(Линии[Щит],A76,Линии[Секция (1/2/3)],"&gt;=2")&gt;0,MIN(3,MAX(1,IFERROR(--BD76,1))),1),IFERROR(MIN(3,MAX(1,INT(--AE76))),1))</f>
        <v>1</v>
      </c>
      <c r="GE76" t="str" cm="1">
        <f t="array" ref="GE76">IF(B76="","",_xlfn.LET(_xlpm.t,IFERROR(_xlfn.XLOOKUP(1,(Шины[Шина]=GC76)*(((Шины[Щит]=A76)+(Шины[Щит]=""))&gt;0),Шины[Тип]),"")&amp;"",IF(_xlpm.t&lt;&gt;"",_xlpm.t,IF(ISNUMBER(SEARCH("ИБП",GC76)),"ИБП",IF(ISNUMBER(SEARCH("ДГУ",GC76)),"ДГУ","Ввод "&amp;GD76)))))</f>
        <v>Ввод 1</v>
      </c>
      <c r="GF76" t="str">
        <f t="shared" si="214"/>
        <v>Ввод 1</v>
      </c>
      <c r="GG76" t="str">
        <f>IF(BP76=0,"",IF(TRIM(AG76&amp;"")&lt;&gt;"",TRIM(AG76&amp;""),IF(OR(GE76="ИБП",GE76="ДГУ"),"I особая",_xlfn.XLOOKUP(A76,Щиты[Щит],Щиты[Категория шины «Ввод»],"III"))))</f>
        <v/>
      </c>
      <c r="GH76" t="str">
        <f>IF(A76="","",_xlfn.XLOOKUP(A76,Щиты[Щит],Щиты[Путь],""))</f>
        <v>|ГРЩ-ЖД|ЩОВ-001|</v>
      </c>
      <c r="GI76" t="str">
        <f>IF(B76="","",IF(AI76&lt;&gt;"",AI76,IF(IFERROR(_xlfn.XLOOKUP(BC76,Коды_код,Коды_вид)&amp;"","")="","Прочее",_xlfn.XLOOKUP(BC76,Коды_код,Коды_вид)&amp;"")))</f>
        <v>Кондиционирование и увлажнение</v>
      </c>
      <c r="GJ76">
        <f>IF(BM76="","",INT((BM76-1)/Столбцов_на_лист)+1)</f>
        <v>3</v>
      </c>
      <c r="GK76" t="str">
        <f t="shared" si="215"/>
        <v>ВВГнг(А)-LS (3х2,5) L=35-2,27%</v>
      </c>
      <c r="GL76">
        <f t="shared" si="216"/>
        <v>1.9</v>
      </c>
      <c r="GM76">
        <f t="shared" si="217"/>
        <v>10.29</v>
      </c>
      <c r="GN76">
        <f t="shared" si="218"/>
        <v>1</v>
      </c>
      <c r="GO76">
        <f t="shared" si="219"/>
        <v>0</v>
      </c>
      <c r="GP76">
        <f t="shared" si="220"/>
        <v>1</v>
      </c>
      <c r="GQ76">
        <f>IF(BM76="","",IF(AND(CG76=1,GP76=1),COUNTIFS(A$3:A76,A76,CG$3:CG76,1,GP$3:GP76,1),IF(OR(OR(BA76=1,A76&lt;&gt;A75),AJ76="вручную",GP76=0),"",IF(BA76=1,"",GR75))))</f>
        <v>23</v>
      </c>
      <c r="GR76">
        <f t="shared" si="221"/>
        <v>23</v>
      </c>
      <c r="GS76">
        <f>IF(B76="","",IFERROR(LOOKUP(INDEX(CHOOSE(EB76,Iдоп_1ж,Iдоп_2ж,Iдоп_3ж),MATCH(EN76,Iдоп_S,0))*DZ76*EA76,{6,10,16,20,25,32,40,50,63,80,100,125,160,200,250,315,400,500,630}),""))</f>
        <v>25</v>
      </c>
      <c r="GT76" t="str">
        <f t="shared" si="222"/>
        <v>QF23</v>
      </c>
      <c r="GU76" t="str">
        <f t="shared" si="223"/>
        <v>QF23</v>
      </c>
      <c r="GV76" t="str">
        <f t="shared" si="224"/>
        <v/>
      </c>
      <c r="GW76">
        <f t="shared" si="225"/>
        <v>0</v>
      </c>
      <c r="GX76" t="str">
        <f>IF(OR(B76="",DJ76=""),"",IFERROR(_xlfn.XLOOKUP(DJ76,Модули_умолч[Управление],Модули_умолч[Модель])&amp;"",""))</f>
        <v/>
      </c>
      <c r="GY76">
        <f>IF(DJ76="",1,IFERROR(MAX(0,N(_xlfn.XLOOKUP(DJ76,Модули_умолч[Управление],Модули_умолч[Каналов на линию]))),1))</f>
        <v>1</v>
      </c>
      <c r="GZ76" t="str">
        <f t="shared" si="226"/>
        <v/>
      </c>
      <c r="HA76" t="str">
        <f t="shared" si="227"/>
        <v/>
      </c>
      <c r="HB76" t="str">
        <f t="shared" si="228"/>
        <v/>
      </c>
      <c r="HC76">
        <f>IF(HB76="",0,IFERROR(N(VLOOKUP(HB76,Модули_спр,3,FALSE)),0))</f>
        <v>0</v>
      </c>
      <c r="HD76" t="str">
        <f t="shared" si="229"/>
        <v/>
      </c>
      <c r="HE76" t="str">
        <f t="shared" si="230"/>
        <v/>
      </c>
      <c r="HF76" t="str">
        <f>IF(OR(HE76="",HE76="-"),"",IFERROR(VLOOKUP(HE76,Модули_спр,2,FALSE),"R"))</f>
        <v/>
      </c>
      <c r="HG76" t="str">
        <f>IF(HF76="","",HF76&amp;"."&amp;COUNTIFS(A$3:A76,A76,HF$3:HF76,HF76))</f>
        <v/>
      </c>
      <c r="HH76" t="str">
        <f t="shared" si="231"/>
        <v/>
      </c>
      <c r="HI76" t="str">
        <f t="shared" si="232"/>
        <v/>
      </c>
      <c r="HJ76" t="str">
        <f t="shared" si="233"/>
        <v/>
      </c>
      <c r="HK76" t="str">
        <f t="shared" si="234"/>
        <v/>
      </c>
      <c r="HL76">
        <f t="shared" si="235"/>
        <v>1</v>
      </c>
      <c r="HM76" t="str">
        <f>IF(HL76=1,"XT"&amp;COUNTIFS(A$3:A76,A76,HL$3:HL76,1),"")</f>
        <v>XT23</v>
      </c>
      <c r="HN76" t="str">
        <f t="shared" si="236"/>
        <v/>
      </c>
      <c r="HO76" t="str">
        <f t="shared" si="237"/>
        <v>QF23</v>
      </c>
      <c r="HP76" t="str">
        <f t="shared" si="238"/>
        <v/>
      </c>
      <c r="HQ76" t="str">
        <f t="shared" si="239"/>
        <v>ok</v>
      </c>
      <c r="HR76" t="str">
        <f>IF(OR(HJ76="",HH76=""),"",IF(HJ76+MAX(0,GY76-1)&gt;IFERROR(VLOOKUP(HI76,Модули_спр,3,FALSE),99),"ЛИШНИЙ КАНАЛ",IF(AND(AL76&lt;&gt;"=",GY76&gt;0,COUNTIFS(Линии[_модуль гр.],HH76,Линии[Канал (итог)],HJ76,Линии[Канал],"&lt;&gt;=",Линии[Щит],A76)&gt;1),"ДУБЛЬ КАНАЛА","")))</f>
        <v/>
      </c>
      <c r="HS76" s="6" t="str">
        <f t="shared" si="240"/>
        <v/>
      </c>
      <c r="HT76">
        <f t="shared" si="241"/>
        <v>10</v>
      </c>
      <c r="HU76" t="str">
        <f t="shared" si="242"/>
        <v/>
      </c>
      <c r="HV76">
        <f t="shared" si="243"/>
        <v>4.4636206679760821</v>
      </c>
      <c r="HW76">
        <f t="shared" si="244"/>
        <v>0</v>
      </c>
      <c r="HX76">
        <f t="shared" si="245"/>
        <v>0</v>
      </c>
      <c r="HY76">
        <f t="shared" si="246"/>
        <v>0</v>
      </c>
      <c r="HZ76">
        <f t="shared" si="247"/>
        <v>0</v>
      </c>
      <c r="IA76">
        <f t="shared" si="248"/>
        <v>0</v>
      </c>
      <c r="IB76">
        <f t="shared" si="249"/>
        <v>0</v>
      </c>
      <c r="IC76" t="str">
        <f t="shared" si="250"/>
        <v/>
      </c>
      <c r="ID76" t="str" cm="1">
        <f t="array" ref="ID76">IF(IC76="","",_xlfn.LET(_xlpm.tk,_xlfn.TEXTSPLIT(SUBSTITUTE(SUBSTITUTE(IC76,";"," "),"→"," ")," ",,TRUE),_xlpm.w_,_xlfn._xlws.FILTER(_xlpm.tk,ISNUMBER(--LEFT(_xlpm.tk,1))*((ISNUMBER(SEARCH("W",_xlpm.tk))+ISNUMBER(SEARCH("Вт",_xlpm.tk)))&gt;0),""),IFERROR(--SUBSTITUTE(SUBSTITUTE(UPPER(INDEX(_xlpm.w_,1)),"W",""),"ВТ",""),"")))</f>
        <v/>
      </c>
      <c r="IE76" t="str" cm="1">
        <f t="array" ref="IE76">IF(IC76="","",_xlfn.LET(_xlpm.tk,_xlfn.TEXTSPLIT(SUBSTITUTE(SUBSTITUTE(IC76,";"," "),"→"," ")," ",,TRUE),_xlpm.v_,_xlfn._xlws.FILTER(_xlpm.tk,ISNUMBER(--LEFT(_xlpm.tk,1))*((ISNUMBER(SEARCH("V",_xlpm.tk))+(RIGHT(UPPER(_xlpm.tk))="В"))&gt;0),""),IFERROR(--SUBSTITUTE(SUBSTITUTE(UPPER(INDEX(_xlpm.v_,1)),"V",""),"В",""),"")))</f>
        <v/>
      </c>
      <c r="IF76" s="6" t="str">
        <f>IF(OR(BV76=0,HI76="",HJ76=""),"",IFERROR(N(_xlfn.XLOOKUP(HI76,Каталог!$C$4:$C$500,Каталог!$Q$4:$Q$500)),""))</f>
        <v/>
      </c>
      <c r="IG76" s="6" t="str">
        <f>IF(N(IF76)=0,"",SUMIFS(Линии[Iр, А],Линии[Щит],A76,Линии[_модуль гр.],HH76,Линии[Канал (итог)],HJ76))</f>
        <v/>
      </c>
      <c r="IH76" t="str">
        <f>IF(AND(B76="",HO76=""),"",_xlfn.TEXTJOIN("; ",TRUE,IF(AND(B76&lt;&gt;"",FV76=""),"нет фазы",""),IF(AND(B76&lt;&gt;"",N(GL76)=0,FG76&lt;&gt;"Нет"),"нет мощности",""),IF(AND(HN76&lt;&gt;"",COUNTIFS(Линии[Щит],A76,Линии[Клемма (итог)],HN76)&gt;1),"дубль клеммы "&amp;HN76,""),IF(AND(HQ76&lt;&gt;"",HQ76&lt;&gt;"ok"),HQ76,""),IF(HR76&lt;&gt;"",HR76,""),IF(AND(N(CB76)&gt;=4,N(BX76)=1),CB76&amp;" жил на 1 фазе",""),IF(AND(BC76="R",CG76=1,IF(CS76&lt;&gt;"",N(CV76)&gt;30,OR(N(DA76)=0,N(DA76)&gt;30))),"розетка без дифзащиты до 30 мА",""),IF(AND(CG76=1,N(DA76)&gt;0,ISNUMBER(T76)),IF(T76&gt;N(DA76)/3,"ток утечки "&amp;FIXED(T76,1)&amp;" мА &gt; 1/3 уставки ("&amp;DA76&amp;" мА)",""),""),IF(AND(CH76=1,CS76=""),"«узо»: нет строки с УЗО выше (УЗО 2P 40А 30мА в «Аппаратах»)",""),IF(AND(CS76&lt;&gt;"",CS76=BA76),IF(CT76="","впишите номинал УЗО (УЗО 2P 40А 30мА)",IF(N(CT76)&lt;N(DT76),"УЗО "&amp;CT76&amp;" А &lt; автомата "&amp;DT76&amp;" А перед ним",IF(N(CT76)&lt;N(CX76),"УЗО "&amp;CT76&amp;" А &lt; тока блока "&amp;FIXED(CX76,1)&amp;" А",""))),""),IF(AND(CS76&lt;&gt;"",CS76=BA76,ISNUMBER(CY76)),IF(CY76&gt;N(CV76)/3,"ток утечки блока УЗО "&amp;FIXED(CY76,1)&amp;" мА &gt; 1/3 уставки ("&amp;CV76&amp;" мА)",""),""),IF(AND(CG76=1,N(BV76)+N(IB76)&gt;0,IC76=""),"линии до 50 В без БП: впишите в «Аппараты» (БП 24V 480W)",""),IF(AND(CG76=1,ISNUMBER(ID76),ISNUMBER(U76)),IF(U76&gt;ID76,"БП "&amp;ID76&amp;" Вт &lt; нужно "&amp;U76&amp;" Вт (×"&amp;Запас_БП&amp;")",""),""),IF(AND(CG76=1,ISNUMBER(IE76),N(BV76)=1),IF(IE76&lt;&gt;N(BU76),"БП на "&amp;IE76&amp;" В, линия "&amp;BU76&amp;" В",""),""),IF(AND(N(IF76)&gt;0,N(IG76)&gt;N(IF76)),HH76&amp;" канал "&amp;HJ76&amp;": "&amp;FIXED(IG76,1)&amp;" А &gt; "&amp;IF76&amp;" А",""),IFERROR(IF(AND(ISNUMBER(Q76),Q76&gt;EL76),"потери "&amp;FIXED(Q76,1)&amp;" % &gt; "&amp;EL76&amp;" %",""),""),IFERROR(IF(LEFT(HU76,4)="мало","Iкз мало — отключение &gt; 0,4 с",""),""),IF(AND(B76&lt;&gt;"",BM76=""),"не на схеме",""),IF(AND(CG76=0,B76&lt;&gt;"",FV76&lt;&gt;"",IF(BA76=1,"",FW75)&lt;&gt;"",FV76&lt;&gt;IF(BA76=1,"",FW75)),"фаза не как у автомата группы ("&amp;IF(BA76=1,"",FW75)&amp;")","")))</f>
        <v/>
      </c>
      <c r="II76" s="6">
        <f>IF(OR(CG76=0,DQ76=""),"",_xlfn.LET(_xlpm.t,IFERROR(_xlfn.XLOOKUP(DQ76,Каталог!$U$4:$U$500,Каталог!$G$4:$G$500),""),_xlpm.k,SEARCH("кА",_xlpm.t),IFERROR(--TRIM(RIGHT(SUBSTITUTE(MID(_xlpm.t,MAX(1,_xlpm.k-4),_xlpm.k-MAX(1,_xlpm.k-4))," ",REPT(" ",9)),5)),"")))</f>
        <v>6</v>
      </c>
      <c r="IJ76" t="str">
        <f>IF(OR(II76="",CG76=0),"",IF(_xlfn.XLOOKUP(A76,Щиты[Щит],Щиты[Iкз max на шинах, кА],"")="","",IF(II76&lt;_xlfn.XLOOKUP(A76,Щиты[Щит],Щиты[Iкз max на шинах, кА]),"Icu "&amp;II76&amp;" кА &lt; Iкз max","ok")))</f>
        <v/>
      </c>
      <c r="IK76" t="str">
        <f t="shared" si="251"/>
        <v/>
      </c>
      <c r="IL76" t="str">
        <f t="shared" si="252"/>
        <v>QF23</v>
      </c>
      <c r="IM76" t="str">
        <f t="shared" si="253"/>
        <v>QF23|кабель ВВГнг(А)-LS (3х2,5) → Внешний блок кондиционирования Пом. Венткиосок</v>
      </c>
      <c r="IN76" t="str" cm="1">
        <f t="array" ref="IN76">IF(IM76="","",_xlfn.LET(_xlpm.nd,_xlfn.TEXTSPLIT(IM76,"|"),IF(COLUMNS(_xlpm.nd)&gt;1,A76&amp;"¦"&amp;INDEX(_xlpm.nd,1)&amp;"¦"&amp;INDEX(_xlpm.nd,2),"")))</f>
        <v>ЩОВ-001¦QF23¦кабель ВВГнг(А)-LS (3х2,5) → Внешний блок кондиционирования Пом. Венткиосок</v>
      </c>
      <c r="IO76" t="str">
        <f t="shared" si="254"/>
        <v>K.8¦Внешний блок кондиционирования Пом. Венткиосок</v>
      </c>
      <c r="IP76" t="str" cm="1">
        <f t="array" ref="IP76">IF(IM76="","",_xlfn.LET(_xlpm.nd,_xlfn.TEXTSPLIT(IM76,"|"),IF(COLUMNS(_xlpm.nd)&gt;2,A76&amp;"¦"&amp;INDEX(_xlpm.nd,2)&amp;"¦"&amp;INDEX(_xlpm.nd,3),"")))</f>
        <v/>
      </c>
      <c r="IQ76" t="str">
        <f t="shared" si="255"/>
        <v/>
      </c>
      <c r="IR76" t="str" cm="1">
        <f t="array" ref="IR76">IF(IM76="","",_xlfn.LET(_xlpm.nd,_xlfn.TEXTSPLIT(IM76,"|"),IF(COLUMNS(_xlpm.nd)&gt;3,A76&amp;"¦"&amp;INDEX(_xlpm.nd,3)&amp;"¦"&amp;INDEX(_xlpm.nd,4),"")))</f>
        <v/>
      </c>
      <c r="IS76" t="str">
        <f t="shared" si="256"/>
        <v/>
      </c>
      <c r="IT76" t="str" cm="1">
        <f t="array" ref="IT76">IF(IM76="","",_xlfn.LET(_xlpm.nd,_xlfn.TEXTSPLIT(IM76,"|"),IF(COLUMNS(_xlpm.nd)&gt;4,A76&amp;"¦"&amp;INDEX(_xlpm.nd,4)&amp;"¦"&amp;INDEX(_xlpm.nd,5),"")))</f>
        <v/>
      </c>
      <c r="IU76" t="str">
        <f t="shared" si="257"/>
        <v/>
      </c>
      <c r="IV76" t="str" cm="1">
        <f t="array" ref="IV76">IF(IM76="","",_xlfn.LET(_xlpm.nd,_xlfn.TEXTSPLIT(IM76,"|"),IF(COLUMNS(_xlpm.nd)&gt;5,A76&amp;"¦"&amp;INDEX(_xlpm.nd,5)&amp;"¦"&amp;INDEX(_xlpm.nd,6),"")))</f>
        <v/>
      </c>
      <c r="IW76" t="str">
        <f t="shared" si="258"/>
        <v/>
      </c>
      <c r="IX76" t="str" cm="1">
        <f t="array" ref="IX76">IF(IM76="","",_xlfn.LET(_xlpm.nd,_xlfn.TEXTSPLIT(IM76,"|"),IF(COLUMNS(_xlpm.nd)&gt;6,A76&amp;"¦"&amp;INDEX(_xlpm.nd,6)&amp;"¦"&amp;INDEX(_xlpm.nd,7),"")))</f>
        <v/>
      </c>
      <c r="IY76" t="str">
        <f t="shared" si="259"/>
        <v/>
      </c>
      <c r="IZ76" t="str">
        <f t="shared" si="260"/>
        <v/>
      </c>
      <c r="JA76" t="str">
        <f t="shared" si="261"/>
        <v>QF23</v>
      </c>
      <c r="JB76">
        <f t="shared" si="262"/>
        <v>0</v>
      </c>
      <c r="JC76">
        <f t="shared" si="263"/>
        <v>0</v>
      </c>
      <c r="JD76" t="str">
        <f t="shared" si="264"/>
        <v/>
      </c>
      <c r="JE76" t="str">
        <f t="shared" si="265"/>
        <v/>
      </c>
      <c r="JF76" t="str">
        <f t="shared" si="266"/>
        <v/>
      </c>
      <c r="JG76" t="str">
        <f t="shared" si="267"/>
        <v/>
      </c>
      <c r="JH76">
        <f>IF(B76="","",IFERROR(_xlfn.XLOOKUP(B76,Коды_код,Коды_уго),IFERROR(_xlfn.XLOOKUP(BC76,Коды_код,Коды_уго),IFERROR(_xlfn.XLOOKUP(LEFT(BC76,2),Коды_код,Коды_уго),""))))</f>
        <v>0</v>
      </c>
      <c r="JI76" t="str">
        <f>IF(B76="","",IF(OR(JH76="",JH76=0),"BOX",IFERROR(IF(VLOOKUP(JH76,УГО_блоки,3,FALSE)&amp;""&lt;&gt;"",VLOOKUP(JH76,УГО_блоки,3,FALSE),VLOOKUP(JH76,УГО_блоки,2,FALSE)),JH76)))</f>
        <v>BOX</v>
      </c>
      <c r="JJ76">
        <f t="shared" si="268"/>
        <v>1</v>
      </c>
      <c r="JK76" t="str">
        <f>IF(DQ76="","",IF(COUNTIF(DQ$3:DQ76,DQ76)=1,MAX(JK$2:JK75)+1,""))</f>
        <v/>
      </c>
      <c r="JL76" t="str">
        <f>IF(DE76="","",IF(COUNTIF(DE$3:DE76,DE76)+COUNTIF(DF$2:DF75,DE76)+COUNTIF(DG$2:DG75,DE76)=1,MAX(JL$2:JN75)+1,""))</f>
        <v/>
      </c>
      <c r="JM76" t="str">
        <f>IF(DF76="","",IF(COUNTIF(DE$3:DE76,DF76)+COUNTIF(DF$3:DF76,DF76)+COUNTIF(DG$2:DG75,DF76)=1,MAX(JL$2:JN75,JL76)+1,""))</f>
        <v/>
      </c>
      <c r="JN76" t="str">
        <f>IF(DG76="","",IF(COUNTIF(DE$3:DE76,DG76)+COUNTIF(DF$3:DF76,DG76)+COUNTIF(DG$3:DG76,DG76)=1,MAX(JL$2:JN75,JL76,JM76)+1,""))</f>
        <v/>
      </c>
      <c r="JO76" t="str">
        <f t="shared" si="269"/>
        <v>3х2,5</v>
      </c>
      <c r="JP76" t="str">
        <f>IF(JO76="","",IF(COUNTIF(JO$3:JO76,JO76)=1,MAX(JP$2:JP75)+1,""))</f>
        <v/>
      </c>
      <c r="JQ76" t="str">
        <f>IF(HG76="","",COUNTIF(HG$3:HG76,"?*"))</f>
        <v/>
      </c>
      <c r="JR76" t="str">
        <f>IF(OR(HG76="",HI76=""),"",IF(COUNTIFS(HG$3:HG76,"?*",HI$3:HI76,HI76)=1,MAX(JR$2:JR75)+1,""))</f>
        <v/>
      </c>
      <c r="JS76">
        <f t="shared" si="270"/>
        <v>0</v>
      </c>
      <c r="JT76">
        <f>IF(B76="","",COUNTIF(B$3:B76,"?*"))</f>
        <v>74</v>
      </c>
      <c r="JU76">
        <f>IF(HL76&lt;&gt;1,0,_xlfn.LET(_xlpm.k,MAX(IFERROR(--_xlfn.XLOOKUP(B76,Коды_код,Коды_3L),0),IFERROR(--_xlfn.XLOOKUP(BC76,Коды_код,Коды_3L),0),IFERROR(--_xlfn.XLOOKUP(LEFT(BC76,2),Коды_код,Коды_3L),0)),IF(_xlpm.k&gt;0,_xlpm.k,IF(IFERROR(--LEFT(SUBSTITUTE(JO76,"x","х"),FIND("х",SUBSTITUTE(JO76,"x","х"))-1),3)&gt;3,Каталог!$S$9,1))))</f>
        <v>1</v>
      </c>
      <c r="JV76">
        <f t="shared" si="271"/>
        <v>0</v>
      </c>
      <c r="JW76" t="str">
        <f t="shared" si="272"/>
        <v>авто</v>
      </c>
      <c r="JX76" t="str">
        <f t="shared" si="273"/>
        <v/>
      </c>
      <c r="JY76">
        <f t="shared" si="274"/>
        <v>0</v>
      </c>
      <c r="JZ76">
        <f t="shared" si="275"/>
        <v>1</v>
      </c>
    </row>
    <row r="77" spans="1:286" x14ac:dyDescent="0.3">
      <c r="A77" t="s">
        <v>747</v>
      </c>
      <c r="B77" t="s">
        <v>1390</v>
      </c>
      <c r="C77" t="s">
        <v>1660</v>
      </c>
      <c r="D77">
        <v>1</v>
      </c>
      <c r="E77">
        <v>1.9</v>
      </c>
      <c r="G77">
        <v>16</v>
      </c>
      <c r="H77" t="str">
        <f>Линии[[#This Row],[_авто управление]]</f>
        <v/>
      </c>
      <c r="I77" t="str">
        <f>Линии[[#This Row],[_авто аппараты]]</f>
        <v/>
      </c>
      <c r="J77">
        <v>2.5</v>
      </c>
      <c r="K77">
        <v>32</v>
      </c>
      <c r="L77" t="str">
        <f>Линии[[#This Row],[_авто фаза]]</f>
        <v>L2</v>
      </c>
      <c r="M77" t="s">
        <v>484</v>
      </c>
      <c r="N77" t="str">
        <f t="shared" si="138"/>
        <v/>
      </c>
      <c r="O77" s="6" cm="1">
        <f t="array" ref="O77">IF(B77="","",IF(BH77&lt;&gt;"",IFERROR(_xlfn.XLOOKUP(BH77,Щиты[Щит],Щиты[Iр, А]),""),IF(BP77=1,IF(OR(N(_xlfn.XLOOKUP(A77,Щиты[Щит],Щиты[Вводов],1))&lt;=1,LOWER(TRIM(_xlfn.XLOOKUP(A77,Щиты[Щит],Щиты[АВР],"")&amp;""))="да"),IFERROR(_xlfn.XLOOKUP(A77,Щиты[Щит],Щиты[Iр, А]),""),IFERROR(N(BS77)*_xlfn.XLOOKUP(A77,Щиты[Щит],Щиты[Кс итог])/(SQRT(3)*Uн_лин*_xlfn.XLOOKUP(A77,Щиты[Щит],Щиты[cos φ])),"")),IF(BV77=1,IFERROR(BS77*1000/BU77,""),IFERROR(_xlfn.IFS(BX77=1,BS77/((Uн_лин/SQRT(3))*CE77),BX77=3,BS77/(SQRT(3)*Uн_лин*CE77)),"")))))</f>
        <v>10.284051669940206</v>
      </c>
      <c r="P77" s="7">
        <f>IF(B77="","",IFERROR(IF(VLOOKUP(BC77,Потребители_обозначение,4,FALSE)=1,VLOOKUP(BC77,Потребители_обозначение,3,FALSE)*(MAX(1,N(D77))*2-1)+EI77+VLOOKUP(BE77,Этаж_обозначение,3,FALSE)+VLOOKUP(BE77,Этаж_обозначение,4,FALSE),VLOOKUP(BC77,Потребители_обозначение,3,FALSE)*(MAX(1,N(D77))*2-1)+EI77),EI77))</f>
        <v>32</v>
      </c>
      <c r="Q77" s="6">
        <f t="shared" si="139"/>
        <v>2.71</v>
      </c>
      <c r="R77" t="str">
        <f t="shared" si="140"/>
        <v>ВВГнг(А)-LS (3х2,5)</v>
      </c>
      <c r="S77" t="str">
        <f>IF(BM77="","",IF(BN77="вводной узел","узел ","")&amp;"л."&amp;(INT((BM77-1)/Столбцов_на_лист)+1)&amp;" / "&amp;(MOD(BM77-1,Столбцов_на_лист)+1))</f>
        <v>л.3 / 7</v>
      </c>
      <c r="T77" s="119">
        <f t="shared" si="141"/>
        <v>4.4000000000000004</v>
      </c>
      <c r="U77" s="7" t="str">
        <f>IF(OR(CG77=0,N(BV77)+N(IB77)=0),"",ROUNDUP(Запас_БП*(N(HY77)+N(HZ77)),0))</f>
        <v/>
      </c>
      <c r="V77" s="119" t="str">
        <f t="shared" si="142"/>
        <v/>
      </c>
      <c r="W77" s="7" t="str">
        <f>IFERROR(IF(OR(B77="",BP77=1,BV77=1,NOT(ISNUMBER(EN77)),N(DT77)=0),"",MAX(0,ROUNDDOWN((c_min*(Uн_лин*1000/SQRT(3))/(HT77*N(DT77))-_xlfn.XLOOKUP(A77,Щиты[Щит],Щиты[Zпетли на шинах, Ом]))*EN77/(2*ρкз_Cu),0))),"")</f>
        <v/>
      </c>
      <c r="Y77" t="str">
        <f>Линии[[#This Row],[_авто утечка]]</f>
        <v/>
      </c>
      <c r="Z77">
        <v>1</v>
      </c>
      <c r="AA77">
        <v>230</v>
      </c>
      <c r="AB77" t="s">
        <v>598</v>
      </c>
      <c r="AC77">
        <v>0.5</v>
      </c>
      <c r="AG77" t="s">
        <v>810</v>
      </c>
      <c r="AI77" t="s">
        <v>576</v>
      </c>
      <c r="AK77" t="str">
        <f>Линии[[#This Row],[_авто модуль]]</f>
        <v/>
      </c>
      <c r="AM77">
        <v>41</v>
      </c>
      <c r="AN77" t="s">
        <v>11</v>
      </c>
      <c r="AO77">
        <v>3</v>
      </c>
      <c r="AR77">
        <v>28</v>
      </c>
      <c r="AT77">
        <v>1</v>
      </c>
      <c r="BA77" cm="1">
        <f t="array" ref="BA77">ROW()-ROW(Линии[#Headers])</f>
        <v>75</v>
      </c>
      <c r="BC77" s="6" t="str">
        <f t="shared" si="143"/>
        <v>K</v>
      </c>
      <c r="BD77" t="str">
        <f t="shared" si="144"/>
        <v>9</v>
      </c>
      <c r="BE77" t="str">
        <f t="shared" si="145"/>
        <v>9</v>
      </c>
      <c r="BF77" t="str">
        <f t="shared" si="146"/>
        <v/>
      </c>
      <c r="BG77" t="str">
        <f t="shared" si="147"/>
        <v/>
      </c>
      <c r="BH77" t="str">
        <f>IF(X77&lt;&gt;"",X77,IF(AND(B77&lt;&gt;"",B77&lt;&gt;A77,ISNUMBER(_xlfn.XMATCH(B77,Щиты[Щит]))),B77,""))</f>
        <v/>
      </c>
      <c r="BI77" t="str" cm="1">
        <f t="array" ref="BI77">IF(B77="","",IF(BH77&lt;&gt;"","Щит "&amp;BH77,_xlfn.LET(_xlpm.nm,IFERROR(_xlfn.XLOOKUP(BC77,Коды_код,Коды_имя)&amp;"",""),_xlpm.md,IFERROR(N(_xlfn.XLOOKUP(BC77,Коды_код,Коды_режим)),1),_xlpm.ex,IF(Имя_режим="по экспликации",IFERROR(_xlfn.XLOOKUP(BE77&amp;"|"&amp;BG77,Экспликация[Этаж]&amp;"|"&amp;Экспликация[Помещение],Экспликация[Название])&amp;"",""),""),_xlpm.rm,IF(BG77="","",IF(_xlpm.ex&lt;&gt;"",". "&amp;_xlpm.ex&amp;IF(Имя_пом="нет"," ("&amp;BG77&amp;")"," (пом. "&amp;BG77&amp;")"),IF(Имя_пом="нет"," ",", пом. ")&amp;BG77)),IF(_xlpm.nm="","",IF(_xlpm.md=2,_xlpm.nm&amp;" шлейф "&amp;BE77,_xlpm.nm&amp;_xlpm.rm)))))</f>
        <v>Внутренний блок кондиционирования</v>
      </c>
      <c r="BJ77" t="str">
        <f t="shared" si="148"/>
        <v>Внешний блок кондиционирования Пом. Венткиосок</v>
      </c>
      <c r="BK77">
        <f>IFERROR(_xlfn.XMATCH(A77,Щиты[Щит]),0)</f>
        <v>4</v>
      </c>
      <c r="BL77">
        <f>_xlfn.LET(_xlpm.k,IFERROR(_xlfn.XLOOKUP(A77,Щиты[Щит],Щиты[Мест под вводной узел]),""),IF(_xlpm.k="",Столбцов_на_лист,N(_xlpm.k)))</f>
        <v>13</v>
      </c>
      <c r="BM77">
        <f t="shared" si="149"/>
        <v>41</v>
      </c>
      <c r="BN77" t="str">
        <f t="shared" si="150"/>
        <v>линии</v>
      </c>
      <c r="BO77" s="6">
        <f>IFERROR(N(_xlfn.XLOOKUP(BC77,Коды_код,Коды_квт)),0)</f>
        <v>0</v>
      </c>
      <c r="BP77">
        <f t="shared" si="151"/>
        <v>0</v>
      </c>
      <c r="BQ77" t="str">
        <f>IF(B77="","",IF(BH77&lt;&gt;"",IFERROR(_xlfn.XLOOKUP(BH77,Щиты[Щит],Щиты[Руст, кВт]),0),IF(BP77=1,IF(OR(N(_xlfn.XLOOKUP(A77,Щиты[Щит],Щиты[Вводов],1))&lt;=1,LOWER(TRIM(_xlfn.XLOOKUP(A77,Щиты[Щит],Щиты[АВР],"")&amp;""))="да"),IFERROR(_xlfn.XLOOKUP(A77,Щиты[Щит],Щиты[Руст, кВт]),0),SUMIFS(Линии[_Р для вводов],Линии[Щит],A77,Линии[Источник для режимов],GF77)),IF(BO77&gt;0,ROUND(BO77*MAX(1,N(D77)),3),""))))</f>
        <v/>
      </c>
      <c r="BR77">
        <f t="shared" si="152"/>
        <v>1.9</v>
      </c>
      <c r="BS77" s="6">
        <f>IF(B77="","",IF(BH77&lt;&gt;"",IFERROR(_xlfn.XLOOKUP(BH77,Щиты[Щит],Щиты[Руст, кВт]),0),N(BR77)))</f>
        <v>1.9</v>
      </c>
      <c r="BT77" t="str">
        <f>IF(B77="","",IFERROR(IF(VLOOKUP(BC77,Потребители_обозначение,8,FALSE)=0,"",VLOOKUP(BC77,Потребители_обозначение,8,FALSE)),""))</f>
        <v/>
      </c>
      <c r="BU77">
        <f t="shared" si="153"/>
        <v>230</v>
      </c>
      <c r="BV77">
        <f t="shared" si="154"/>
        <v>0</v>
      </c>
      <c r="BW77">
        <f>IF(B77="","",IF(BH77&lt;&gt;"",3,IFERROR(IF(N(VLOOKUP(BC77,Потребители_обозначение,9,FALSE))=0,1,VLOOKUP(BC77,Потребители_обозначение,9,FALSE)),1)))</f>
        <v>1</v>
      </c>
      <c r="BX77">
        <f t="shared" si="155"/>
        <v>1</v>
      </c>
      <c r="BY77" t="str">
        <f>IF(B77="","",_xlfn.LET(_xlpm.bc,IFERROR(IF(VLOOKUP(BC77,Потребители_обозначение,6,FALSE)=0,"",VLOOKUP(BC77,Потребители_обозначение,6,FALSE)&amp;""),""),IF(AND(GA77="да",OR(_xlpm.bc="",_xlpm.bc="мс")),Марка_пож,IF(AND(_xlpm.bc="",BH77&lt;&gt;""),"мс",_xlpm.bc))))</f>
        <v/>
      </c>
      <c r="BZ77" t="str">
        <f t="shared" si="156"/>
        <v>мс</v>
      </c>
      <c r="CA77">
        <f>IF(B77="","",_xlfn.LET(_xlpm.cc,IFERROR(N(VLOOKUP(BC77,Потребители_обозначение,7,FALSE)),0),IF(_xlpm.cc&gt;0,_xlpm.cc,IF(BZ77="","",IF(BV77=1,2,IF(N(BX77)=3,5,3))))))</f>
        <v>3</v>
      </c>
      <c r="CB77">
        <f t="shared" si="157"/>
        <v>3</v>
      </c>
      <c r="CC77">
        <f>IFERROR(N(VLOOKUP(BC77,Потребители_обозначение,10,FALSE)),0)</f>
        <v>0</v>
      </c>
      <c r="CD77">
        <f>IFERROR(VLOOKUP(BC77,Потребители_обозначение,5,FALSE),0)</f>
        <v>1</v>
      </c>
      <c r="CE77" s="6" cm="1">
        <f t="array" ref="CE77">IF(B77="","",IF(BH77&lt;&gt;"",IFERROR(_xlfn.XLOOKUP(BH77,Щиты[Щит],Щиты[cos φ]),0.95),IF(BP77=1,IFERROR(_xlfn.XLOOKUP(A77,Щиты[Щит],Щиты[cos φ]),0.95),IF(ISNUMBER(AD77),AD77,IFERROR(IF(CD77=2,_xlfn.IFS(BX77=3,VLOOKUP(BS77,Справочная_двигатели,8,FALSE),BX77=1,VLOOKUP(BS77,Справочная_двигатели,10,TRUE)),IF(AND(Методика="нормы 2026",FG77="Сил"),0.8,0.95)),0.95)))))</f>
        <v>0.8</v>
      </c>
      <c r="CF77">
        <f t="shared" si="158"/>
        <v>0</v>
      </c>
      <c r="CG77">
        <f t="shared" si="159"/>
        <v>1</v>
      </c>
      <c r="CH77">
        <f t="shared" si="160"/>
        <v>0</v>
      </c>
      <c r="CI77">
        <f>IF(B77="","",IF(BV77=1,IFERROR(BS77/((Uн_лин/SQRT(3))*MAX(0.5,N(CE77))),0),N(O77)))</f>
        <v>10.284051669940206</v>
      </c>
      <c r="CJ77">
        <f t="shared" si="161"/>
        <v>0</v>
      </c>
      <c r="CK77">
        <f t="shared" si="162"/>
        <v>0</v>
      </c>
      <c r="CL77">
        <f t="shared" si="163"/>
        <v>0</v>
      </c>
      <c r="CM77">
        <f t="shared" si="164"/>
        <v>0</v>
      </c>
      <c r="CN77">
        <f t="shared" si="165"/>
        <v>0</v>
      </c>
      <c r="CO77">
        <f>IF(BC77="",0,_xlfn.LET(_xlpm.v,IFERROR(_xlfn.XLOOKUP(B77,Коды_код,Коды_мА),IFERROR(_xlfn.XLOOKUP(BC77,Коды_код,Коды_мА),IFERROR(_xlfn.XLOOKUP(LEFT(BC77,2),Коды_код,Коды_мА),""))),IF(_xlpm.v="да",30,IF(ISNUMBER(_xlpm.v),_xlpm.v,0))))</f>
        <v>0</v>
      </c>
      <c r="CP77" t="str">
        <f t="shared" si="166"/>
        <v/>
      </c>
      <c r="CQ77" t="str">
        <f>_xlfn.LET(_xlpm.k,IFERROR(_xlfn.XLOOKUP(BC77,Коды_код,Коды_утечка)&amp;"",""),IF(_xlpm.k="","дифавтомат",_xlpm.k))</f>
        <v>дифавтомат</v>
      </c>
      <c r="CR77" t="str" cm="1">
        <f t="array" ref="CR77">IF(CG77=0,"",_xlfn.LET(_xlpm.sg,TRIM(_xlfn.TEXTSPLIT(DD77&amp;"",";")),_xlpm.f_,_xlfn._xlws.FILTER(_xlpm.sg,LEFT(_xlpm.sg,3)="УЗО",""),IFERROR(INDEX(_xlpm.f_,1)&amp;"","")))</f>
        <v/>
      </c>
      <c r="CS77" t="str">
        <f t="shared" si="167"/>
        <v/>
      </c>
      <c r="CT77" s="6" t="str" cm="1">
        <f t="array" ref="CT77">IF(CR77="","",_xlfn.LET(_xlpm.tk,_xlfn.TEXTSPLIT(UPPER(CR77)," ",,TRUE),_xlpm.a_,_xlfn._xlws.FILTER(_xlpm.tk,ISNUMBER(--LEFT(_xlpm.tk,1))*((ISNUMBER(SEARCH("А",_xlpm.tk))+ISNUMBER(SEARCH("A",_xlpm.tk)))&gt;0)*NOT(ISNUMBER(SEARCH("МА",_xlpm.tk)))*NOT(ISNUMBER(SEARCH("MA",_xlpm.tk))),""),IFERROR(--SUBSTITUTE(SUBSTITUTE(INDEX(_xlpm.a_,1),"А",""),"A",""),"")))</f>
        <v/>
      </c>
      <c r="CU77" t="str" cm="1">
        <f t="array" ref="CU77">IF(CR77="","",_xlfn.LET(_xlpm.tk,_xlfn.TEXTSPLIT(UPPER(CR77)," ",,TRUE),_xlpm.a_,_xlfn._xlws.FILTER(_xlpm.tk,ISNUMBER(--LEFT(_xlpm.tk,1))*((ISNUMBER(SEARCH("МА",_xlpm.tk))+ISNUMBER(SEARCH("MA",_xlpm.tk)))&gt;0),""),IFERROR(--SUBSTITUTE(SUBSTITUTE(INDEX(_xlpm.a_,1),"МА",""),"MA",""),30)))</f>
        <v/>
      </c>
      <c r="CV77" t="str">
        <f>IF(CS77="","",IFERROR(_xlfn.XLOOKUP(CS77,Линии[_n],Линии[_УЗО, мА]),30))</f>
        <v/>
      </c>
      <c r="CW77">
        <f>IF(CS77="",0,IF(ISNUMBER(SEARCH("4P",IFERROR(_xlfn.XLOOKUP(CS77,Линии[_n],Линии[_УЗО строки])&amp;"",""))),0,1))</f>
        <v>0</v>
      </c>
      <c r="CX77" t="str">
        <f>IF(AND(CS77&lt;&gt;"",CS77=BA77),SUMIFS(Линии[_ток на 230 В],Линии[_блок УЗО],BA77,Линии[Щит],A77),"")</f>
        <v/>
      </c>
      <c r="CY77" t="str">
        <f>IF(AND(CS77&lt;&gt;"",CS77=BA77),SUMIFS(Линии[_ток утечки линии, мА],Линии[_блок УЗО],BA77,Линии[Щит],A77),"")</f>
        <v/>
      </c>
      <c r="CZ77">
        <f t="shared" si="168"/>
        <v>0</v>
      </c>
      <c r="DA77">
        <f t="shared" si="169"/>
        <v>0</v>
      </c>
      <c r="DB77">
        <f>IF(B77="",0,IFERROR(--_xlfn.XLOOKUP(B77,Коды_код,Коды_минавт),IFERROR(--_xlfn.XLOOKUP(BC77,Коды_код,Коды_минавт),IFERROR(--_xlfn.XLOOKUP(LEFT(BC77,2),Коды_код,Коды_минавт),0))))</f>
        <v>0</v>
      </c>
      <c r="DC77" t="str">
        <f>IF(B77="","",IFERROR(_xlfn.XLOOKUP(BC77,Коды_код,Коды_апп)&amp;"",""))</f>
        <v/>
      </c>
      <c r="DD77" t="str">
        <f t="shared" si="170"/>
        <v/>
      </c>
      <c r="DE77" t="str" cm="1">
        <f t="array" ref="DE77">IF(TRIM(DD77&amp;"")="","",IFERROR(TRIM(INDEX(_xlfn.TEXTSPLIT(DD77&amp;";;;",";"),1)),""))</f>
        <v/>
      </c>
      <c r="DF77" t="str" cm="1">
        <f t="array" ref="DF77">IF(TRIM(DD77&amp;"")="","",IFERROR(TRIM(INDEX(_xlfn.TEXTSPLIT(DD77&amp;";;;",";"),2)),""))</f>
        <v/>
      </c>
      <c r="DG77" t="str" cm="1">
        <f t="array" ref="DG77">IF(TRIM(DD77&amp;"")="","",IFERROR(TRIM(INDEX(_xlfn.TEXTSPLIT(DD77&amp;";;;",";"),3)),""))</f>
        <v/>
      </c>
      <c r="DH77">
        <f t="shared" si="171"/>
        <v>0</v>
      </c>
      <c r="DI77" t="str">
        <f>IF(B77="","",_xlfn.LET(_xlpm.t,LOWER(AZ77&amp;""),IF(ISNUMBER(SEARCH("dim",_xlpm.t)),"DIM",IF(ISNUMBER(SEARCH("dali",_xlpm.t)),"DALI",IF(OR(ISNUMBER(SEARCH("relay",_xlpm.t)),ISNUMBER(SEARCH("реле",_xlpm.t))),"Relay",IF(ISNUMBER(SEARCH("кнопк",_xlpm.t)),"",IFERROR(_xlfn.XLOOKUP(BC77,Коды_код,Коды_упр)&amp;"","")))))))</f>
        <v/>
      </c>
      <c r="DJ77" t="str">
        <f t="shared" si="172"/>
        <v/>
      </c>
      <c r="DK77">
        <f>IF(B77="","",_xlfn.LET(_xlpm.ig,IF(N(CX77)&gt;0,N(CX77),N(CI77)+IF(AJ77="вручную",0,N(CJ77))),_xlpm.n0,IFERROR(VLOOKUP(_xlpm.ig,Автомат_номиналы,2,TRUE),0),_xlpm.mn,MAX(DB77,IF(AJ77="вручную",0,N(CM77))),MAX(_xlpm.n0,_xlpm.mn,IF(DH77=1,Мин_автомат_БП,0))))</f>
        <v>16</v>
      </c>
      <c r="DL77">
        <f t="shared" si="173"/>
        <v>1</v>
      </c>
      <c r="DM77" t="str">
        <f t="shared" si="174"/>
        <v>1P</v>
      </c>
      <c r="DN77" t="str">
        <f>_xlfn.LET(_xlpm.cc,UPPER(TRIM(IFERROR(_xlfn.XLOOKUP(BC77,Коды_код,Коды_хар)&amp;"",""))),IF(OR(_xlpm.cc="B",_xlpm.cc="В"),"B",IF(_xlpm.cc="D","D","С")))</f>
        <v>С</v>
      </c>
      <c r="DO77" t="str">
        <f t="shared" si="175"/>
        <v>1P С16А</v>
      </c>
      <c r="DP77">
        <f t="shared" si="176"/>
        <v>16</v>
      </c>
      <c r="DQ77" t="str">
        <f t="shared" si="177"/>
        <v>1P С16А</v>
      </c>
      <c r="DR77" cm="1">
        <f t="array" ref="DR77">IF(DQ77="","",_xlfn.LET(_xlpm.t,SUBSTITUTE(SUBSTITUTE(SUBSTITUTE(UPPER(DQ77),"С","C"),"А","A"),"В","B"),_xlpm.tk,_xlfn.TEXTSPLIT(_xlpm.t," "),_xlpm.f,_xlfn._xlws.FILTER(_xlpm.tk,ISNUMBER(--MID(_xlpm.tk,2,1))*ISNUMBER(SEARCH(LEFT(_xlpm.tk,1)&amp;"#","B#C#D#"))*(LEN(_xlpm.tk)&gt;1),""),_xlpm.x,INDEX(_xlpm.f,1),IFERROR(--SUBSTITUTE(MID(_xlpm.x,2,9),"A",""),IFERROR(--SUBSTITUTE(INDEX(_xlfn._xlws.FILTER(_xlpm.tk,ISNUMBER(--SUBSTITUTE(_xlpm.tk,"A","")),""),1),"A",""),""))))</f>
        <v>16</v>
      </c>
      <c r="DS77" t="str">
        <f t="shared" si="178"/>
        <v>ok</v>
      </c>
      <c r="DT77">
        <f t="shared" si="179"/>
        <v>16</v>
      </c>
      <c r="DU77" t="str">
        <f t="shared" si="180"/>
        <v>1P С16А</v>
      </c>
      <c r="DV77">
        <f t="shared" si="181"/>
        <v>0</v>
      </c>
      <c r="DW77">
        <f t="shared" si="182"/>
        <v>0</v>
      </c>
      <c r="DX77">
        <f t="shared" si="183"/>
        <v>0</v>
      </c>
      <c r="DY77">
        <f t="shared" si="184"/>
        <v>10.284051669940206</v>
      </c>
      <c r="DZ77">
        <f t="shared" si="185"/>
        <v>1</v>
      </c>
      <c r="EA77">
        <f>IF(ISNUMBER(AP77),AP77,К_прокл)</f>
        <v>1</v>
      </c>
      <c r="EB77">
        <f t="shared" si="186"/>
        <v>2</v>
      </c>
      <c r="EC77">
        <f>IFERROR(N(VLOOKUP(BZ77,Кабель_обозначение,3,FALSE)),1)</f>
        <v>1</v>
      </c>
      <c r="ED77">
        <f>IFERROR(N(_xlfn.XLOOKUP(A77,Щиты[Щит],Щиты[ΔU до шин, %])),0)</f>
        <v>0.64</v>
      </c>
      <c r="EE77" t="str">
        <f>IFERROR(_xlfn.XLOOKUP(A77,Щиты[Щит],Щиты[Zпетли на шинах, Ом]),"")</f>
        <v/>
      </c>
      <c r="EF77">
        <f>IFERROR(N(_xlfn.XLOOKUP(A77,Щиты[Щит],Щиты[ΔU до шин (подбор), %])),0)</f>
        <v>0.75</v>
      </c>
      <c r="EG77" t="str">
        <f>IFERROR(_xlfn.XLOOKUP(A77,Щиты[Щит],Щиты[Zпетли на шинах (подбор), Ом]),"")</f>
        <v/>
      </c>
      <c r="EH77" t="str">
        <f t="shared" si="187"/>
        <v/>
      </c>
      <c r="EI77">
        <f t="shared" si="188"/>
        <v>32</v>
      </c>
      <c r="EJ77">
        <f t="shared" si="189"/>
        <v>2</v>
      </c>
      <c r="EK77">
        <f t="shared" si="190"/>
        <v>0.6</v>
      </c>
      <c r="EL77" s="6">
        <f>IF(B77="","",IF(BV77=1,dU_LED,IF(IFERROR(_xlfn.XLOOKUP(BC77,Коды_код,Коды_уго),"")="Светильник",3,4)+IF(Методика="нормы 2026",MIN(0.5,MAX(0,N(P77)-100)*0.005),0)))</f>
        <v>4</v>
      </c>
      <c r="EM77" cm="1">
        <f t="array" ref="EM77">IF(OR(B77="",BZ77="",EC77&lt;&gt;1),"",_xlfn.LET(_xlpm.sz,Iдоп_S,_xlpm.t_,CHOOSE(EB77,Iдоп_1ж,Iдоп_2ж,Iдоп_3ж)*DZ77*EA77,_xlpm.dcx,BV77=1,_xlpm.inn,IF(_xlpm.dcx,N(O77),N(DT77)),_xlpm.smin,MAX(1.5,CC77),_xlpm.L_,N(P77)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77)/N(BU77)*100,999),IFERROR(N(EJ77)*(_xlpm.rho*_xlpm.L_/_xlpm.sz*N(CE77)+_xlpm.xx*_xlpm.L_*N(EK77)/1000)*N(O77)/((Uн_лин/SQRT(3))*1000)*100,999)),_xlpm.kz,IF(OR(_xlpm.dcx,DW77=1,NOT(ISNUMBER(EG77)),_xlpm.L_=0,_xlpm.inn=0),1,IFERROR(--(c_min*(Uн_лин*1000/SQRT(3))/(EG77+2*ρкз_Cu*_xlpm.L_/_xlpm.sz)&gt;=HT77*_xlpm.inn),0)),_xlpm.ok,IFERROR((_xlpm.sz&gt;=_xlpm.smin)*(_xlpm.t_&gt;=_xlpm.inn)*IF(_xlpm.L_&gt;0,(_xlpm.du_+IF(_xlpm.dcx,0,EF77)&lt;=EL77+0.00001),1)*_xlpm.kz,0),_xlpm.r_,_xlfn._xlws.FILTER(_xlpm.sz,_xlpm.ok,"не подобрано"),INDEX(_xlpm.r_,1)))</f>
        <v>2.5</v>
      </c>
      <c r="EN77">
        <f t="shared" si="191"/>
        <v>2.5</v>
      </c>
      <c r="EO77" cm="1">
        <f t="array" ref="EO77">IF(OR(B77="",BZ77="",EC77&lt;&gt;1),"",_xlfn.LET(_xlpm.sz,Iдоп_S,_xlpm.t_,CHOOSE(EB77,Iдоп_1ж,Iдоп_2ж,Iдоп_3ж)*DZ77*EA77,_xlpm.ok,IFERROR((_xlpm.sz&gt;=MAX(1.5,CC77))*(_xlpm.t_&gt;=N(DT77)),0),_xlpm.r_,_xlfn._xlws.FILTER(_xlpm.sz,_xlpm.ok,""),INDEX(_xlpm.r_,1)))</f>
        <v>1.5</v>
      </c>
      <c r="EP77" s="6" cm="1">
        <f t="array" ref="EP77">IFERROR(ROUNDUP(N(EJ77)*(_xlfn.XLOOKUP(EO77,INDEX(Кабель_сопротивление,0,1),INDEX(Кабель_сопротивление,0,3))*N(P77)/EO77*N(CE77)+_xlfn.XLOOKUP(EO77,INDEX(Кабель_сопротивление,0,1),INDEX(Кабель_сопротивление,0,2))*N(P77)*N(EK77)/1000)*N(O77)/((Uн_лин/SQRT(3))*1000)*100,2),"")</f>
        <v>3.44</v>
      </c>
      <c r="EQ77">
        <f>IFERROR(2*ρкз_Cu*N(P77)/EO77,"")</f>
        <v>1.1221333333333334</v>
      </c>
      <c r="ER77">
        <f>IFERROR(VLOOKUP(EN77,Кабель_сопротивление,3,FALSE),"")</f>
        <v>2.2499999999999999E-2</v>
      </c>
      <c r="ES77">
        <f>IFERROR(VLOOKUP(EN77,Кабель_сопротивление,2,FALSE),"")</f>
        <v>0.1</v>
      </c>
      <c r="ET77">
        <f t="shared" si="192"/>
        <v>28</v>
      </c>
      <c r="EU77">
        <f t="shared" si="193"/>
        <v>0</v>
      </c>
      <c r="EV77">
        <f t="shared" si="194"/>
        <v>4.778381767921017</v>
      </c>
      <c r="EW77" s="6">
        <f>IFERROR(ROUNDUP(EV77/IF(BV77=1,BU77,(Uн_лин/SQRT(3))*1000)*100,2),"")</f>
        <v>2.0699999999999998</v>
      </c>
      <c r="EX77" t="str">
        <f>IFERROR(VLOOKUP(BZ77,Кабель_обозначение,2,FALSE),"")</f>
        <v>ВВГнг(А)-LS</v>
      </c>
      <c r="EY77" t="str">
        <f t="shared" si="195"/>
        <v>ВВГнг(А)-LS (3х2,5)</v>
      </c>
      <c r="EZ77" t="str">
        <f t="shared" si="196"/>
        <v>ВВГнг(А)-LS (3х2,5)
L=32-2,07%</v>
      </c>
      <c r="FA77">
        <f>IFERROR(2*ρкз_Cu*P77/EN77,"")</f>
        <v>0.67327999999999999</v>
      </c>
      <c r="FB77">
        <f t="shared" si="197"/>
        <v>0.22400000000000003</v>
      </c>
      <c r="FC77" s="6" t="str">
        <f>IFERROR(IF(OR(B77="",BV77=1,NOT(ISNUMBER(EN77)),N(P77)=0),"",_xlfn.XLOOKUP(A77,Щиты[Щит],Щиты[Zпетли на шинах, Ом])+FA77),"")</f>
        <v/>
      </c>
      <c r="FD77" s="6" t="str">
        <f>IF(ISNUMBER(FC77),c_min*(Uн_лин*1000/SQRT(3))/FC77,"")</f>
        <v/>
      </c>
      <c r="FE77" s="6" t="str">
        <f>IFERROR(IF(OR(B77="",NOT(ISNUMBER(EN77))),"",1.05*(Uн_лин*1000/SQRT(3))/(_xlfn.XLOOKUP(A77,Щиты[Щит],Щиты[Zmax на шинах, Ом])+FB77)/1000),"")</f>
        <v/>
      </c>
      <c r="FF77" s="6" t="str">
        <f>IF(B77="","",IF(ISNUMBER(AC77),"Сил",IF(IFERROR(_xlfn.XLOOKUP(BC77,Коды_код,Коды_группа)&amp;"","")="","Быт",_xlfn.XLOOKUP(BC77,Коды_код,Коды_группа)&amp;"")))</f>
        <v>Сил</v>
      </c>
      <c r="FG77" s="6" t="str">
        <f t="shared" si="198"/>
        <v>Сил</v>
      </c>
      <c r="FH77" s="6">
        <f>IF(FG77="Щит","щит",IF(FG77="","",IF(FG77="Быт",IFERROR(_xlfn.XLOOKUP(A77,Щиты[Щит],Щиты[Кс быт]),1),IF(FG77="Сил",IF(ISNUMBER(AC77),AC77,IF(Методика="нормы 2026",IFERROR(_xlfn.XLOOKUP(A77,Щиты[Щит],Щиты[Кс силовых (табл. 7.5)]),1),1)),IF(OR(FG77="Пост",FG77="Отоп"),1,IF(FG77="ВНГ",0.7,0))))))</f>
        <v>0.5</v>
      </c>
      <c r="FI77">
        <f>IF(FG77="","",IF(AND(BP77=1,TRIM(AE77&amp;"")=""),IF(COUNTIFS(Линии[Щит],A77,Линии[Секция (1/2/3)],"&gt;=2")&gt;0,MIN(3,MAX(1,IFERROR(--BD77,1))),1),IFERROR(MIN(3,MAX(1,INT(--AE77))),1)))</f>
        <v>1</v>
      </c>
      <c r="FJ77">
        <f t="shared" si="199"/>
        <v>1.9</v>
      </c>
      <c r="FK77">
        <f t="shared" si="200"/>
        <v>0</v>
      </c>
      <c r="FL77">
        <f t="shared" si="201"/>
        <v>0.95</v>
      </c>
      <c r="FM77">
        <f t="shared" si="202"/>
        <v>0</v>
      </c>
      <c r="FN77">
        <f t="shared" si="203"/>
        <v>0</v>
      </c>
      <c r="FO77">
        <f t="shared" si="204"/>
        <v>0</v>
      </c>
      <c r="FP77">
        <f t="shared" si="205"/>
        <v>1.9</v>
      </c>
      <c r="FQ77">
        <f t="shared" si="206"/>
        <v>1.9</v>
      </c>
      <c r="FR77">
        <f t="shared" si="207"/>
        <v>1.52</v>
      </c>
      <c r="FS77">
        <f>IF(CG77=1,IF(AND(CH77=1,CW77=1),0,IF(AND(CS77&lt;&gt;"",CS77=BA77,CW77=1),SUMIFS(Линии[_Р линии, кВт],Линии[_блок УЗО],BA77,Линии[Щит],A77),N(BS77)+IF(AJ77="вручную",0,N(CK77)))),0)</f>
        <v>1.9</v>
      </c>
      <c r="FT77" t="str">
        <f t="shared" si="208"/>
        <v/>
      </c>
      <c r="FU77" t="str">
        <f>IF(B77="","",IF(CG77=0,IF(BA77=1,"",FW76),IF(AND(CH77=1,CW77=1,CS77&lt;&gt;""),IFERROR(_xlfn.XLOOKUP(CS77,Линии[_n],Линии[_фаза итог]),"L1"),IF(OR(N(DL77)&gt;=3,N(BX77)&gt;=3),"L1,L2,L3",IFERROR(_xlfn.TEXTBEFORE(_xlfn.TEXTAFTER(_xlfn.XLOOKUP(A77,Щиты[Щит],Щиты[_фазы авто]),";"&amp;BA77&amp;":"),";"),"L1")))))</f>
        <v>L2</v>
      </c>
      <c r="FV77" t="str">
        <f t="shared" si="209"/>
        <v>L2</v>
      </c>
      <c r="FW77" t="str">
        <f t="shared" si="210"/>
        <v>L2</v>
      </c>
      <c r="FX77" cm="1">
        <f t="array" ref="FX77">IFERROR(IF(CD77=2,_xlfn.IFS(BX77=3,VLOOKUP(BS77,Справочная_двигатели,3,FALSE),BX77=1,VLOOKUP(BS77,Справочная_двигатели,5,TRUE)),0),0)</f>
        <v>0</v>
      </c>
      <c r="FY77">
        <f>IFERROR(IF(CD77=3,VLOOKUP(BS77,Справочная_ЛЭД,2,TRUE),0),0)</f>
        <v>0</v>
      </c>
      <c r="FZ77" s="6">
        <f t="shared" si="211"/>
        <v>0</v>
      </c>
      <c r="GA77" t="str">
        <f>IF(B77="","",IF(TRIM(AH77&amp;"")&lt;&gt;"",IF(LOWER(TRIM(AH77&amp;""))="да","да","нет"),IF(IFERROR(_xlfn.XLOOKUP(BC77,Коды_код,Коды_пожарная),"")="да","да","нет")))</f>
        <v>нет</v>
      </c>
      <c r="GB77" t="str">
        <f t="shared" si="212"/>
        <v/>
      </c>
      <c r="GC77" t="str">
        <f t="shared" si="213"/>
        <v>основная</v>
      </c>
      <c r="GD77">
        <f>IF(AND(BP77=1,TRIM(AE77&amp;"")=""),IF(COUNTIFS(Линии[Щит],A77,Линии[Секция (1/2/3)],"&gt;=2")&gt;0,MIN(3,MAX(1,IFERROR(--BD77,1))),1),IFERROR(MIN(3,MAX(1,INT(--AE77))),1))</f>
        <v>1</v>
      </c>
      <c r="GE77" t="str" cm="1">
        <f t="array" ref="GE77">IF(B77="","",_xlfn.LET(_xlpm.t,IFERROR(_xlfn.XLOOKUP(1,(Шины[Шина]=GC77)*(((Шины[Щит]=A77)+(Шины[Щит]=""))&gt;0),Шины[Тип]),"")&amp;"",IF(_xlpm.t&lt;&gt;"",_xlpm.t,IF(ISNUMBER(SEARCH("ИБП",GC77)),"ИБП",IF(ISNUMBER(SEARCH("ДГУ",GC77)),"ДГУ","Ввод "&amp;GD77)))))</f>
        <v>Ввод 1</v>
      </c>
      <c r="GF77" t="str">
        <f t="shared" si="214"/>
        <v>Ввод 1</v>
      </c>
      <c r="GG77" t="str">
        <f>IF(BP77=0,"",IF(TRIM(AG77&amp;"")&lt;&gt;"",TRIM(AG77&amp;""),IF(OR(GE77="ИБП",GE77="ДГУ"),"I особая",_xlfn.XLOOKUP(A77,Щиты[Щит],Щиты[Категория шины «Ввод»],"III"))))</f>
        <v/>
      </c>
      <c r="GH77" t="str">
        <f>IF(A77="","",_xlfn.XLOOKUP(A77,Щиты[Щит],Щиты[Путь],""))</f>
        <v>|ГРЩ-ЖД|ЩОВ-001|</v>
      </c>
      <c r="GI77" t="str">
        <f>IF(B77="","",IF(AI77&lt;&gt;"",AI77,IF(IFERROR(_xlfn.XLOOKUP(BC77,Коды_код,Коды_вид)&amp;"","")="","Прочее",_xlfn.XLOOKUP(BC77,Коды_код,Коды_вид)&amp;"")))</f>
        <v>Кондиционирование и увлажнение</v>
      </c>
      <c r="GJ77">
        <f>IF(BM77="","",INT((BM77-1)/Столбцов_на_лист)+1)</f>
        <v>3</v>
      </c>
      <c r="GK77" t="str">
        <f t="shared" si="215"/>
        <v>ВВГнг(А)-LS (3х2,5) L=32-2,07%</v>
      </c>
      <c r="GL77">
        <f t="shared" si="216"/>
        <v>1.9</v>
      </c>
      <c r="GM77">
        <f t="shared" si="217"/>
        <v>10.29</v>
      </c>
      <c r="GN77">
        <f t="shared" si="218"/>
        <v>1</v>
      </c>
      <c r="GO77">
        <f t="shared" si="219"/>
        <v>0</v>
      </c>
      <c r="GP77">
        <f t="shared" si="220"/>
        <v>1</v>
      </c>
      <c r="GQ77">
        <f>IF(BM77="","",IF(AND(CG77=1,GP77=1),COUNTIFS(A$3:A77,A77,CG$3:CG77,1,GP$3:GP77,1),IF(OR(OR(BA77=1,A77&lt;&gt;A76),AJ77="вручную",GP77=0),"",IF(BA77=1,"",GR76))))</f>
        <v>24</v>
      </c>
      <c r="GR77">
        <f t="shared" si="221"/>
        <v>24</v>
      </c>
      <c r="GS77">
        <f>IF(B77="","",IFERROR(LOOKUP(INDEX(CHOOSE(EB77,Iдоп_1ж,Iдоп_2ж,Iдоп_3ж),MATCH(EN77,Iдоп_S,0))*DZ77*EA77,{6,10,16,20,25,32,40,50,63,80,100,125,160,200,250,315,400,500,630}),""))</f>
        <v>25</v>
      </c>
      <c r="GT77" t="str">
        <f t="shared" si="222"/>
        <v>QF24</v>
      </c>
      <c r="GU77" t="str">
        <f t="shared" si="223"/>
        <v>QF24</v>
      </c>
      <c r="GV77" t="str">
        <f t="shared" si="224"/>
        <v/>
      </c>
      <c r="GW77">
        <f t="shared" si="225"/>
        <v>0</v>
      </c>
      <c r="GX77" t="str">
        <f>IF(OR(B77="",DJ77=""),"",IFERROR(_xlfn.XLOOKUP(DJ77,Модули_умолч[Управление],Модули_умолч[Модель])&amp;"",""))</f>
        <v/>
      </c>
      <c r="GY77">
        <f>IF(DJ77="",1,IFERROR(MAX(0,N(_xlfn.XLOOKUP(DJ77,Модули_умолч[Управление],Модули_умолч[Каналов на линию]))),1))</f>
        <v>1</v>
      </c>
      <c r="GZ77" t="str">
        <f t="shared" si="226"/>
        <v/>
      </c>
      <c r="HA77" t="str">
        <f t="shared" si="227"/>
        <v/>
      </c>
      <c r="HB77" t="str">
        <f t="shared" si="228"/>
        <v/>
      </c>
      <c r="HC77">
        <f>IF(HB77="",0,IFERROR(N(VLOOKUP(HB77,Модули_спр,3,FALSE)),0))</f>
        <v>0</v>
      </c>
      <c r="HD77" t="str">
        <f t="shared" si="229"/>
        <v/>
      </c>
      <c r="HE77" t="str">
        <f t="shared" si="230"/>
        <v/>
      </c>
      <c r="HF77" t="str">
        <f>IF(OR(HE77="",HE77="-"),"",IFERROR(VLOOKUP(HE77,Модули_спр,2,FALSE),"R"))</f>
        <v/>
      </c>
      <c r="HG77" t="str">
        <f>IF(HF77="","",HF77&amp;"."&amp;COUNTIFS(A$3:A77,A77,HF$3:HF77,HF77))</f>
        <v/>
      </c>
      <c r="HH77" t="str">
        <f t="shared" si="231"/>
        <v/>
      </c>
      <c r="HI77" t="str">
        <f t="shared" si="232"/>
        <v/>
      </c>
      <c r="HJ77" t="str">
        <f t="shared" si="233"/>
        <v/>
      </c>
      <c r="HK77" t="str">
        <f t="shared" si="234"/>
        <v/>
      </c>
      <c r="HL77">
        <f t="shared" si="235"/>
        <v>1</v>
      </c>
      <c r="HM77" t="str">
        <f>IF(HL77=1,"XT"&amp;COUNTIFS(A$3:A77,A77,HL$3:HL77,1),"")</f>
        <v>XT24</v>
      </c>
      <c r="HN77" t="str">
        <f t="shared" si="236"/>
        <v/>
      </c>
      <c r="HO77" t="str">
        <f t="shared" si="237"/>
        <v>QF24</v>
      </c>
      <c r="HP77" t="str">
        <f t="shared" si="238"/>
        <v/>
      </c>
      <c r="HQ77" t="str">
        <f t="shared" si="239"/>
        <v>ok</v>
      </c>
      <c r="HR77" t="str">
        <f>IF(OR(HJ77="",HH77=""),"",IF(HJ77+MAX(0,GY77-1)&gt;IFERROR(VLOOKUP(HI77,Модули_спр,3,FALSE),99),"ЛИШНИЙ КАНАЛ",IF(AND(AL77&lt;&gt;"=",GY77&gt;0,COUNTIFS(Линии[_модуль гр.],HH77,Линии[Канал (итог)],HJ77,Линии[Канал],"&lt;&gt;=",Линии[Щит],A77)&gt;1),"ДУБЛЬ КАНАЛА","")))</f>
        <v/>
      </c>
      <c r="HS77" s="6" t="str">
        <f t="shared" si="240"/>
        <v/>
      </c>
      <c r="HT77">
        <f t="shared" si="241"/>
        <v>10</v>
      </c>
      <c r="HU77" t="str">
        <f t="shared" si="242"/>
        <v/>
      </c>
      <c r="HV77">
        <f t="shared" si="243"/>
        <v>4.4336206679760828</v>
      </c>
      <c r="HW77">
        <f t="shared" si="244"/>
        <v>0</v>
      </c>
      <c r="HX77">
        <f t="shared" si="245"/>
        <v>0</v>
      </c>
      <c r="HY77">
        <f t="shared" si="246"/>
        <v>0</v>
      </c>
      <c r="HZ77">
        <f t="shared" si="247"/>
        <v>0</v>
      </c>
      <c r="IA77">
        <f t="shared" si="248"/>
        <v>0</v>
      </c>
      <c r="IB77">
        <f t="shared" si="249"/>
        <v>0</v>
      </c>
      <c r="IC77" t="str">
        <f t="shared" si="250"/>
        <v/>
      </c>
      <c r="ID77" t="str" cm="1">
        <f t="array" ref="ID77">IF(IC77="","",_xlfn.LET(_xlpm.tk,_xlfn.TEXTSPLIT(SUBSTITUTE(SUBSTITUTE(IC77,";"," "),"→"," ")," ",,TRUE),_xlpm.w_,_xlfn._xlws.FILTER(_xlpm.tk,ISNUMBER(--LEFT(_xlpm.tk,1))*((ISNUMBER(SEARCH("W",_xlpm.tk))+ISNUMBER(SEARCH("Вт",_xlpm.tk)))&gt;0),""),IFERROR(--SUBSTITUTE(SUBSTITUTE(UPPER(INDEX(_xlpm.w_,1)),"W",""),"ВТ",""),"")))</f>
        <v/>
      </c>
      <c r="IE77" t="str" cm="1">
        <f t="array" ref="IE77">IF(IC77="","",_xlfn.LET(_xlpm.tk,_xlfn.TEXTSPLIT(SUBSTITUTE(SUBSTITUTE(IC77,";"," "),"→"," ")," ",,TRUE),_xlpm.v_,_xlfn._xlws.FILTER(_xlpm.tk,ISNUMBER(--LEFT(_xlpm.tk,1))*((ISNUMBER(SEARCH("V",_xlpm.tk))+(RIGHT(UPPER(_xlpm.tk))="В"))&gt;0),""),IFERROR(--SUBSTITUTE(SUBSTITUTE(UPPER(INDEX(_xlpm.v_,1)),"V",""),"В",""),"")))</f>
        <v/>
      </c>
      <c r="IF77" s="6" t="str">
        <f>IF(OR(BV77=0,HI77="",HJ77=""),"",IFERROR(N(_xlfn.XLOOKUP(HI77,Каталог!$C$4:$C$500,Каталог!$Q$4:$Q$500)),""))</f>
        <v/>
      </c>
      <c r="IG77" s="6" t="str">
        <f>IF(N(IF77)=0,"",SUMIFS(Линии[Iр, А],Линии[Щит],A77,Линии[_модуль гр.],HH77,Линии[Канал (итог)],HJ77))</f>
        <v/>
      </c>
      <c r="IH77" t="str">
        <f>IF(AND(B77="",HO77=""),"",_xlfn.TEXTJOIN("; ",TRUE,IF(AND(B77&lt;&gt;"",FV77=""),"нет фазы",""),IF(AND(B77&lt;&gt;"",N(GL77)=0,FG77&lt;&gt;"Нет"),"нет мощности",""),IF(AND(HN77&lt;&gt;"",COUNTIFS(Линии[Щит],A77,Линии[Клемма (итог)],HN77)&gt;1),"дубль клеммы "&amp;HN77,""),IF(AND(HQ77&lt;&gt;"",HQ77&lt;&gt;"ok"),HQ77,""),IF(HR77&lt;&gt;"",HR77,""),IF(AND(N(CB77)&gt;=4,N(BX77)=1),CB77&amp;" жил на 1 фазе",""),IF(AND(BC77="R",CG77=1,IF(CS77&lt;&gt;"",N(CV77)&gt;30,OR(N(DA77)=0,N(DA77)&gt;30))),"розетка без дифзащиты до 30 мА",""),IF(AND(CG77=1,N(DA77)&gt;0,ISNUMBER(T77)),IF(T77&gt;N(DA77)/3,"ток утечки "&amp;FIXED(T77,1)&amp;" мА &gt; 1/3 уставки ("&amp;DA77&amp;" мА)",""),""),IF(AND(CH77=1,CS77=""),"«узо»: нет строки с УЗО выше (УЗО 2P 40А 30мА в «Аппаратах»)",""),IF(AND(CS77&lt;&gt;"",CS77=BA77),IF(CT77="","впишите номинал УЗО (УЗО 2P 40А 30мА)",IF(N(CT77)&lt;N(DT77),"УЗО "&amp;CT77&amp;" А &lt; автомата "&amp;DT77&amp;" А перед ним",IF(N(CT77)&lt;N(CX77),"УЗО "&amp;CT77&amp;" А &lt; тока блока "&amp;FIXED(CX77,1)&amp;" А",""))),""),IF(AND(CS77&lt;&gt;"",CS77=BA77,ISNUMBER(CY77)),IF(CY77&gt;N(CV77)/3,"ток утечки блока УЗО "&amp;FIXED(CY77,1)&amp;" мА &gt; 1/3 уставки ("&amp;CV77&amp;" мА)",""),""),IF(AND(CG77=1,N(BV77)+N(IB77)&gt;0,IC77=""),"линии до 50 В без БП: впишите в «Аппараты» (БП 24V 480W)",""),IF(AND(CG77=1,ISNUMBER(ID77),ISNUMBER(U77)),IF(U77&gt;ID77,"БП "&amp;ID77&amp;" Вт &lt; нужно "&amp;U77&amp;" Вт (×"&amp;Запас_БП&amp;")",""),""),IF(AND(CG77=1,ISNUMBER(IE77),N(BV77)=1),IF(IE77&lt;&gt;N(BU77),"БП на "&amp;IE77&amp;" В, линия "&amp;BU77&amp;" В",""),""),IF(AND(N(IF77)&gt;0,N(IG77)&gt;N(IF77)),HH77&amp;" канал "&amp;HJ77&amp;": "&amp;FIXED(IG77,1)&amp;" А &gt; "&amp;IF77&amp;" А",""),IFERROR(IF(AND(ISNUMBER(Q77),Q77&gt;EL77),"потери "&amp;FIXED(Q77,1)&amp;" % &gt; "&amp;EL77&amp;" %",""),""),IFERROR(IF(LEFT(HU77,4)="мало","Iкз мало — отключение &gt; 0,4 с",""),""),IF(AND(B77&lt;&gt;"",BM77=""),"не на схеме",""),IF(AND(CG77=0,B77&lt;&gt;"",FV77&lt;&gt;"",IF(BA77=1,"",FW76)&lt;&gt;"",FV77&lt;&gt;IF(BA77=1,"",FW76)),"фаза не как у автомата группы ("&amp;IF(BA77=1,"",FW76)&amp;")","")))</f>
        <v/>
      </c>
      <c r="II77" s="6">
        <f>IF(OR(CG77=0,DQ77=""),"",_xlfn.LET(_xlpm.t,IFERROR(_xlfn.XLOOKUP(DQ77,Каталог!$U$4:$U$500,Каталог!$G$4:$G$500),""),_xlpm.k,SEARCH("кА",_xlpm.t),IFERROR(--TRIM(RIGHT(SUBSTITUTE(MID(_xlpm.t,MAX(1,_xlpm.k-4),_xlpm.k-MAX(1,_xlpm.k-4))," ",REPT(" ",9)),5)),"")))</f>
        <v>6</v>
      </c>
      <c r="IJ77" t="str">
        <f>IF(OR(II77="",CG77=0),"",IF(_xlfn.XLOOKUP(A77,Щиты[Щит],Щиты[Iкз max на шинах, кА],"")="","",IF(II77&lt;_xlfn.XLOOKUP(A77,Щиты[Щит],Щиты[Iкз max на шинах, кА]),"Icu "&amp;II77&amp;" кА &lt; Iкз max","ok")))</f>
        <v/>
      </c>
      <c r="IK77" t="str">
        <f t="shared" si="251"/>
        <v/>
      </c>
      <c r="IL77" t="str">
        <f t="shared" si="252"/>
        <v>QF24</v>
      </c>
      <c r="IM77" t="str">
        <f t="shared" si="253"/>
        <v>QF24|кабель ВВГнг(А)-LS (3х2,5) → Внешний блок кондиционирования Пом. Венткиосок</v>
      </c>
      <c r="IN77" t="str" cm="1">
        <f t="array" ref="IN77">IF(IM77="","",_xlfn.LET(_xlpm.nd,_xlfn.TEXTSPLIT(IM77,"|"),IF(COLUMNS(_xlpm.nd)&gt;1,A77&amp;"¦"&amp;INDEX(_xlpm.nd,1)&amp;"¦"&amp;INDEX(_xlpm.nd,2),"")))</f>
        <v>ЩОВ-001¦QF24¦кабель ВВГнг(А)-LS (3х2,5) → Внешний блок кондиционирования Пом. Венткиосок</v>
      </c>
      <c r="IO77" t="str">
        <f t="shared" si="254"/>
        <v>K.9¦Внешний блок кондиционирования Пом. Венткиосок</v>
      </c>
      <c r="IP77" t="str" cm="1">
        <f t="array" ref="IP77">IF(IM77="","",_xlfn.LET(_xlpm.nd,_xlfn.TEXTSPLIT(IM77,"|"),IF(COLUMNS(_xlpm.nd)&gt;2,A77&amp;"¦"&amp;INDEX(_xlpm.nd,2)&amp;"¦"&amp;INDEX(_xlpm.nd,3),"")))</f>
        <v/>
      </c>
      <c r="IQ77" t="str">
        <f t="shared" si="255"/>
        <v/>
      </c>
      <c r="IR77" t="str" cm="1">
        <f t="array" ref="IR77">IF(IM77="","",_xlfn.LET(_xlpm.nd,_xlfn.TEXTSPLIT(IM77,"|"),IF(COLUMNS(_xlpm.nd)&gt;3,A77&amp;"¦"&amp;INDEX(_xlpm.nd,3)&amp;"¦"&amp;INDEX(_xlpm.nd,4),"")))</f>
        <v/>
      </c>
      <c r="IS77" t="str">
        <f t="shared" si="256"/>
        <v/>
      </c>
      <c r="IT77" t="str" cm="1">
        <f t="array" ref="IT77">IF(IM77="","",_xlfn.LET(_xlpm.nd,_xlfn.TEXTSPLIT(IM77,"|"),IF(COLUMNS(_xlpm.nd)&gt;4,A77&amp;"¦"&amp;INDEX(_xlpm.nd,4)&amp;"¦"&amp;INDEX(_xlpm.nd,5),"")))</f>
        <v/>
      </c>
      <c r="IU77" t="str">
        <f t="shared" si="257"/>
        <v/>
      </c>
      <c r="IV77" t="str" cm="1">
        <f t="array" ref="IV77">IF(IM77="","",_xlfn.LET(_xlpm.nd,_xlfn.TEXTSPLIT(IM77,"|"),IF(COLUMNS(_xlpm.nd)&gt;5,A77&amp;"¦"&amp;INDEX(_xlpm.nd,5)&amp;"¦"&amp;INDEX(_xlpm.nd,6),"")))</f>
        <v/>
      </c>
      <c r="IW77" t="str">
        <f t="shared" si="258"/>
        <v/>
      </c>
      <c r="IX77" t="str" cm="1">
        <f t="array" ref="IX77">IF(IM77="","",_xlfn.LET(_xlpm.nd,_xlfn.TEXTSPLIT(IM77,"|"),IF(COLUMNS(_xlpm.nd)&gt;6,A77&amp;"¦"&amp;INDEX(_xlpm.nd,6)&amp;"¦"&amp;INDEX(_xlpm.nd,7),"")))</f>
        <v/>
      </c>
      <c r="IY77" t="str">
        <f t="shared" si="259"/>
        <v/>
      </c>
      <c r="IZ77" t="str">
        <f t="shared" si="260"/>
        <v/>
      </c>
      <c r="JA77" t="str">
        <f t="shared" si="261"/>
        <v>QF24</v>
      </c>
      <c r="JB77">
        <f t="shared" si="262"/>
        <v>0</v>
      </c>
      <c r="JC77">
        <f t="shared" si="263"/>
        <v>0</v>
      </c>
      <c r="JD77" t="str">
        <f t="shared" si="264"/>
        <v/>
      </c>
      <c r="JE77" t="str">
        <f t="shared" si="265"/>
        <v/>
      </c>
      <c r="JF77" t="str">
        <f t="shared" si="266"/>
        <v/>
      </c>
      <c r="JG77" t="str">
        <f t="shared" si="267"/>
        <v/>
      </c>
      <c r="JH77">
        <f>IF(B77="","",IFERROR(_xlfn.XLOOKUP(B77,Коды_код,Коды_уго),IFERROR(_xlfn.XLOOKUP(BC77,Коды_код,Коды_уго),IFERROR(_xlfn.XLOOKUP(LEFT(BC77,2),Коды_код,Коды_уго),""))))</f>
        <v>0</v>
      </c>
      <c r="JI77" t="str">
        <f>IF(B77="","",IF(OR(JH77="",JH77=0),"BOX",IFERROR(IF(VLOOKUP(JH77,УГО_блоки,3,FALSE)&amp;""&lt;&gt;"",VLOOKUP(JH77,УГО_блоки,3,FALSE),VLOOKUP(JH77,УГО_блоки,2,FALSE)),JH77)))</f>
        <v>BOX</v>
      </c>
      <c r="JJ77">
        <f t="shared" si="268"/>
        <v>1</v>
      </c>
      <c r="JK77" t="str">
        <f>IF(DQ77="","",IF(COUNTIF(DQ$3:DQ77,DQ77)=1,MAX(JK$2:JK76)+1,""))</f>
        <v/>
      </c>
      <c r="JL77" t="str">
        <f>IF(DE77="","",IF(COUNTIF(DE$3:DE77,DE77)+COUNTIF(DF$2:DF76,DE77)+COUNTIF(DG$2:DG76,DE77)=1,MAX(JL$2:JN76)+1,""))</f>
        <v/>
      </c>
      <c r="JM77" t="str">
        <f>IF(DF77="","",IF(COUNTIF(DE$3:DE77,DF77)+COUNTIF(DF$3:DF77,DF77)+COUNTIF(DG$2:DG76,DF77)=1,MAX(JL$2:JN76,JL77)+1,""))</f>
        <v/>
      </c>
      <c r="JN77" t="str">
        <f>IF(DG77="","",IF(COUNTIF(DE$3:DE77,DG77)+COUNTIF(DF$3:DF77,DG77)+COUNTIF(DG$3:DG77,DG77)=1,MAX(JL$2:JN76,JL77,JM77)+1,""))</f>
        <v/>
      </c>
      <c r="JO77" t="str">
        <f t="shared" si="269"/>
        <v>3х2,5</v>
      </c>
      <c r="JP77" t="str">
        <f>IF(JO77="","",IF(COUNTIF(JO$3:JO77,JO77)=1,MAX(JP$2:JP76)+1,""))</f>
        <v/>
      </c>
      <c r="JQ77" t="str">
        <f>IF(HG77="","",COUNTIF(HG$3:HG77,"?*"))</f>
        <v/>
      </c>
      <c r="JR77" t="str">
        <f>IF(OR(HG77="",HI77=""),"",IF(COUNTIFS(HG$3:HG77,"?*",HI$3:HI77,HI77)=1,MAX(JR$2:JR76)+1,""))</f>
        <v/>
      </c>
      <c r="JS77">
        <f t="shared" si="270"/>
        <v>0</v>
      </c>
      <c r="JT77">
        <f>IF(B77="","",COUNTIF(B$3:B77,"?*"))</f>
        <v>75</v>
      </c>
      <c r="JU77">
        <f>IF(HL77&lt;&gt;1,0,_xlfn.LET(_xlpm.k,MAX(IFERROR(--_xlfn.XLOOKUP(B77,Коды_код,Коды_3L),0),IFERROR(--_xlfn.XLOOKUP(BC77,Коды_код,Коды_3L),0),IFERROR(--_xlfn.XLOOKUP(LEFT(BC77,2),Коды_код,Коды_3L),0)),IF(_xlpm.k&gt;0,_xlpm.k,IF(IFERROR(--LEFT(SUBSTITUTE(JO77,"x","х"),FIND("х",SUBSTITUTE(JO77,"x","х"))-1),3)&gt;3,Каталог!$S$9,1))))</f>
        <v>1</v>
      </c>
      <c r="JV77">
        <f t="shared" si="271"/>
        <v>0</v>
      </c>
      <c r="JW77" t="str">
        <f t="shared" si="272"/>
        <v>авто</v>
      </c>
      <c r="JX77" t="str">
        <f t="shared" si="273"/>
        <v/>
      </c>
      <c r="JY77">
        <f t="shared" si="274"/>
        <v>0</v>
      </c>
      <c r="JZ77">
        <f t="shared" si="275"/>
        <v>1</v>
      </c>
    </row>
    <row r="78" spans="1:286" x14ac:dyDescent="0.3">
      <c r="A78" t="s">
        <v>747</v>
      </c>
      <c r="B78" t="s">
        <v>1391</v>
      </c>
      <c r="C78" t="s">
        <v>1660</v>
      </c>
      <c r="D78">
        <v>1</v>
      </c>
      <c r="E78">
        <v>1.9</v>
      </c>
      <c r="G78">
        <v>16</v>
      </c>
      <c r="H78" t="str">
        <f>Линии[[#This Row],[_авто управление]]</f>
        <v/>
      </c>
      <c r="I78" t="str">
        <f>Линии[[#This Row],[_авто аппараты]]</f>
        <v/>
      </c>
      <c r="J78">
        <v>2.5</v>
      </c>
      <c r="K78">
        <v>32</v>
      </c>
      <c r="L78" t="str">
        <f>Линии[[#This Row],[_авто фаза]]</f>
        <v>L3</v>
      </c>
      <c r="M78" t="s">
        <v>484</v>
      </c>
      <c r="N78" t="str">
        <f t="shared" si="138"/>
        <v/>
      </c>
      <c r="O78" s="6" cm="1">
        <f t="array" ref="O78">IF(B78="","",IF(BH78&lt;&gt;"",IFERROR(_xlfn.XLOOKUP(BH78,Щиты[Щит],Щиты[Iр, А]),""),IF(BP78=1,IF(OR(N(_xlfn.XLOOKUP(A78,Щиты[Щит],Щиты[Вводов],1))&lt;=1,LOWER(TRIM(_xlfn.XLOOKUP(A78,Щиты[Щит],Щиты[АВР],"")&amp;""))="да"),IFERROR(_xlfn.XLOOKUP(A78,Щиты[Щит],Щиты[Iр, А]),""),IFERROR(N(BS78)*_xlfn.XLOOKUP(A78,Щиты[Щит],Щиты[Кс итог])/(SQRT(3)*Uн_лин*_xlfn.XLOOKUP(A78,Щиты[Щит],Щиты[cos φ])),"")),IF(BV78=1,IFERROR(BS78*1000/BU78,""),IFERROR(_xlfn.IFS(BX78=1,BS78/((Uн_лин/SQRT(3))*CE78),BX78=3,BS78/(SQRT(3)*Uн_лин*CE78)),"")))))</f>
        <v>10.284051669940206</v>
      </c>
      <c r="P78" s="7">
        <f>IF(B78="","",IFERROR(IF(VLOOKUP(BC78,Потребители_обозначение,4,FALSE)=1,VLOOKUP(BC78,Потребители_обозначение,3,FALSE)*(MAX(1,N(D78))*2-1)+EI78+VLOOKUP(BE78,Этаж_обозначение,3,FALSE)+VLOOKUP(BE78,Этаж_обозначение,4,FALSE),VLOOKUP(BC78,Потребители_обозначение,3,FALSE)*(MAX(1,N(D78))*2-1)+EI78),EI78))</f>
        <v>32</v>
      </c>
      <c r="Q78" s="6">
        <f t="shared" si="139"/>
        <v>2.71</v>
      </c>
      <c r="R78" t="str">
        <f t="shared" si="140"/>
        <v>ВВГнг(А)-LS (3х2,5)</v>
      </c>
      <c r="S78" t="str">
        <f>IF(BM78="","",IF(BN78="вводной узел","узел ","")&amp;"л."&amp;(INT((BM78-1)/Столбцов_на_лист)+1)&amp;" / "&amp;(MOD(BM78-1,Столбцов_на_лист)+1))</f>
        <v>л.3 / 8</v>
      </c>
      <c r="T78" s="119">
        <f t="shared" si="141"/>
        <v>4.4000000000000004</v>
      </c>
      <c r="U78" s="7" t="str">
        <f>IF(OR(CG78=0,N(BV78)+N(IB78)=0),"",ROUNDUP(Запас_БП*(N(HY78)+N(HZ78)),0))</f>
        <v/>
      </c>
      <c r="V78" s="119" t="str">
        <f t="shared" si="142"/>
        <v/>
      </c>
      <c r="W78" s="7" t="str">
        <f>IFERROR(IF(OR(B78="",BP78=1,BV78=1,NOT(ISNUMBER(EN78)),N(DT78)=0),"",MAX(0,ROUNDDOWN((c_min*(Uн_лин*1000/SQRT(3))/(HT78*N(DT78))-_xlfn.XLOOKUP(A78,Щиты[Щит],Щиты[Zпетли на шинах, Ом]))*EN78/(2*ρкз_Cu),0))),"")</f>
        <v/>
      </c>
      <c r="Y78" t="str">
        <f>Линии[[#This Row],[_авто утечка]]</f>
        <v/>
      </c>
      <c r="Z78">
        <v>1</v>
      </c>
      <c r="AA78">
        <v>230</v>
      </c>
      <c r="AB78" t="s">
        <v>598</v>
      </c>
      <c r="AC78">
        <v>0.5</v>
      </c>
      <c r="AG78" t="s">
        <v>810</v>
      </c>
      <c r="AI78" t="s">
        <v>576</v>
      </c>
      <c r="AK78" t="str">
        <f>Линии[[#This Row],[_авто модуль]]</f>
        <v/>
      </c>
      <c r="AM78">
        <v>42</v>
      </c>
      <c r="AN78" t="s">
        <v>11</v>
      </c>
      <c r="AO78">
        <v>3</v>
      </c>
      <c r="AR78">
        <v>28</v>
      </c>
      <c r="AT78">
        <v>1</v>
      </c>
      <c r="BA78" cm="1">
        <f t="array" ref="BA78">ROW()-ROW(Линии[#Headers])</f>
        <v>76</v>
      </c>
      <c r="BC78" s="6" t="str">
        <f t="shared" si="143"/>
        <v>K</v>
      </c>
      <c r="BD78" t="str">
        <f t="shared" si="144"/>
        <v>10</v>
      </c>
      <c r="BE78" t="str">
        <f t="shared" si="145"/>
        <v>10</v>
      </c>
      <c r="BF78" t="str">
        <f t="shared" si="146"/>
        <v/>
      </c>
      <c r="BG78" t="str">
        <f t="shared" si="147"/>
        <v/>
      </c>
      <c r="BH78" t="str">
        <f>IF(X78&lt;&gt;"",X78,IF(AND(B78&lt;&gt;"",B78&lt;&gt;A78,ISNUMBER(_xlfn.XMATCH(B78,Щиты[Щит]))),B78,""))</f>
        <v/>
      </c>
      <c r="BI78" t="str" cm="1">
        <f t="array" ref="BI78">IF(B78="","",IF(BH78&lt;&gt;"","Щит "&amp;BH78,_xlfn.LET(_xlpm.nm,IFERROR(_xlfn.XLOOKUP(BC78,Коды_код,Коды_имя)&amp;"",""),_xlpm.md,IFERROR(N(_xlfn.XLOOKUP(BC78,Коды_код,Коды_режим)),1),_xlpm.ex,IF(Имя_режим="по экспликации",IFERROR(_xlfn.XLOOKUP(BE78&amp;"|"&amp;BG78,Экспликация[Этаж]&amp;"|"&amp;Экспликация[Помещение],Экспликация[Название])&amp;"",""),""),_xlpm.rm,IF(BG78="","",IF(_xlpm.ex&lt;&gt;"",". "&amp;_xlpm.ex&amp;IF(Имя_пом="нет"," ("&amp;BG78&amp;")"," (пом. "&amp;BG78&amp;")"),IF(Имя_пом="нет"," ",", пом. ")&amp;BG78)),IF(_xlpm.nm="","",IF(_xlpm.md=2,_xlpm.nm&amp;" шлейф "&amp;BE78,_xlpm.nm&amp;_xlpm.rm)))))</f>
        <v>Внутренний блок кондиционирования</v>
      </c>
      <c r="BJ78" t="str">
        <f t="shared" si="148"/>
        <v>Внешний блок кондиционирования Пом. Венткиосок</v>
      </c>
      <c r="BK78">
        <f>IFERROR(_xlfn.XMATCH(A78,Щиты[Щит]),0)</f>
        <v>4</v>
      </c>
      <c r="BL78">
        <f>_xlfn.LET(_xlpm.k,IFERROR(_xlfn.XLOOKUP(A78,Щиты[Щит],Щиты[Мест под вводной узел]),""),IF(_xlpm.k="",Столбцов_на_лист,N(_xlpm.k)))</f>
        <v>13</v>
      </c>
      <c r="BM78">
        <f t="shared" si="149"/>
        <v>42</v>
      </c>
      <c r="BN78" t="str">
        <f t="shared" si="150"/>
        <v>линии</v>
      </c>
      <c r="BO78" s="6">
        <f>IFERROR(N(_xlfn.XLOOKUP(BC78,Коды_код,Коды_квт)),0)</f>
        <v>0</v>
      </c>
      <c r="BP78">
        <f t="shared" si="151"/>
        <v>0</v>
      </c>
      <c r="BQ78" t="str">
        <f>IF(B78="","",IF(BH78&lt;&gt;"",IFERROR(_xlfn.XLOOKUP(BH78,Щиты[Щит],Щиты[Руст, кВт]),0),IF(BP78=1,IF(OR(N(_xlfn.XLOOKUP(A78,Щиты[Щит],Щиты[Вводов],1))&lt;=1,LOWER(TRIM(_xlfn.XLOOKUP(A78,Щиты[Щит],Щиты[АВР],"")&amp;""))="да"),IFERROR(_xlfn.XLOOKUP(A78,Щиты[Щит],Щиты[Руст, кВт]),0),SUMIFS(Линии[_Р для вводов],Линии[Щит],A78,Линии[Источник для режимов],GF78)),IF(BO78&gt;0,ROUND(BO78*MAX(1,N(D78)),3),""))))</f>
        <v/>
      </c>
      <c r="BR78">
        <f t="shared" si="152"/>
        <v>1.9</v>
      </c>
      <c r="BS78" s="6">
        <f>IF(B78="","",IF(BH78&lt;&gt;"",IFERROR(_xlfn.XLOOKUP(BH78,Щиты[Щит],Щиты[Руст, кВт]),0),N(BR78)))</f>
        <v>1.9</v>
      </c>
      <c r="BT78" t="str">
        <f>IF(B78="","",IFERROR(IF(VLOOKUP(BC78,Потребители_обозначение,8,FALSE)=0,"",VLOOKUP(BC78,Потребители_обозначение,8,FALSE)),""))</f>
        <v/>
      </c>
      <c r="BU78">
        <f t="shared" si="153"/>
        <v>230</v>
      </c>
      <c r="BV78">
        <f t="shared" si="154"/>
        <v>0</v>
      </c>
      <c r="BW78">
        <f>IF(B78="","",IF(BH78&lt;&gt;"",3,IFERROR(IF(N(VLOOKUP(BC78,Потребители_обозначение,9,FALSE))=0,1,VLOOKUP(BC78,Потребители_обозначение,9,FALSE)),1)))</f>
        <v>1</v>
      </c>
      <c r="BX78">
        <f t="shared" si="155"/>
        <v>1</v>
      </c>
      <c r="BY78" t="str">
        <f>IF(B78="","",_xlfn.LET(_xlpm.bc,IFERROR(IF(VLOOKUP(BC78,Потребители_обозначение,6,FALSE)=0,"",VLOOKUP(BC78,Потребители_обозначение,6,FALSE)&amp;""),""),IF(AND(GA78="да",OR(_xlpm.bc="",_xlpm.bc="мс")),Марка_пож,IF(AND(_xlpm.bc="",BH78&lt;&gt;""),"мс",_xlpm.bc))))</f>
        <v/>
      </c>
      <c r="BZ78" t="str">
        <f t="shared" si="156"/>
        <v>мс</v>
      </c>
      <c r="CA78">
        <f>IF(B78="","",_xlfn.LET(_xlpm.cc,IFERROR(N(VLOOKUP(BC78,Потребители_обозначение,7,FALSE)),0),IF(_xlpm.cc&gt;0,_xlpm.cc,IF(BZ78="","",IF(BV78=1,2,IF(N(BX78)=3,5,3))))))</f>
        <v>3</v>
      </c>
      <c r="CB78">
        <f t="shared" si="157"/>
        <v>3</v>
      </c>
      <c r="CC78">
        <f>IFERROR(N(VLOOKUP(BC78,Потребители_обозначение,10,FALSE)),0)</f>
        <v>0</v>
      </c>
      <c r="CD78">
        <f>IFERROR(VLOOKUP(BC78,Потребители_обозначение,5,FALSE),0)</f>
        <v>1</v>
      </c>
      <c r="CE78" s="6" cm="1">
        <f t="array" ref="CE78">IF(B78="","",IF(BH78&lt;&gt;"",IFERROR(_xlfn.XLOOKUP(BH78,Щиты[Щит],Щиты[cos φ]),0.95),IF(BP78=1,IFERROR(_xlfn.XLOOKUP(A78,Щиты[Щит],Щиты[cos φ]),0.95),IF(ISNUMBER(AD78),AD78,IFERROR(IF(CD78=2,_xlfn.IFS(BX78=3,VLOOKUP(BS78,Справочная_двигатели,8,FALSE),BX78=1,VLOOKUP(BS78,Справочная_двигатели,10,TRUE)),IF(AND(Методика="нормы 2026",FG78="Сил"),0.8,0.95)),0.95)))))</f>
        <v>0.8</v>
      </c>
      <c r="CF78">
        <f t="shared" si="158"/>
        <v>0</v>
      </c>
      <c r="CG78">
        <f t="shared" si="159"/>
        <v>1</v>
      </c>
      <c r="CH78">
        <f t="shared" si="160"/>
        <v>0</v>
      </c>
      <c r="CI78">
        <f>IF(B78="","",IF(BV78=1,IFERROR(BS78/((Uн_лин/SQRT(3))*MAX(0.5,N(CE78))),0),N(O78)))</f>
        <v>10.284051669940206</v>
      </c>
      <c r="CJ78">
        <f t="shared" si="161"/>
        <v>0</v>
      </c>
      <c r="CK78">
        <f t="shared" si="162"/>
        <v>0</v>
      </c>
      <c r="CL78">
        <f t="shared" si="163"/>
        <v>0</v>
      </c>
      <c r="CM78">
        <f t="shared" si="164"/>
        <v>0</v>
      </c>
      <c r="CN78">
        <f t="shared" si="165"/>
        <v>0</v>
      </c>
      <c r="CO78">
        <f>IF(BC78="",0,_xlfn.LET(_xlpm.v,IFERROR(_xlfn.XLOOKUP(B78,Коды_код,Коды_мА),IFERROR(_xlfn.XLOOKUP(BC78,Коды_код,Коды_мА),IFERROR(_xlfn.XLOOKUP(LEFT(BC78,2),Коды_код,Коды_мА),""))),IF(_xlpm.v="да",30,IF(ISNUMBER(_xlpm.v),_xlpm.v,0))))</f>
        <v>0</v>
      </c>
      <c r="CP78" t="str">
        <f t="shared" si="166"/>
        <v/>
      </c>
      <c r="CQ78" t="str">
        <f>_xlfn.LET(_xlpm.k,IFERROR(_xlfn.XLOOKUP(BC78,Коды_код,Коды_утечка)&amp;"",""),IF(_xlpm.k="","дифавтомат",_xlpm.k))</f>
        <v>дифавтомат</v>
      </c>
      <c r="CR78" t="str" cm="1">
        <f t="array" ref="CR78">IF(CG78=0,"",_xlfn.LET(_xlpm.sg,TRIM(_xlfn.TEXTSPLIT(DD78&amp;"",";")),_xlpm.f_,_xlfn._xlws.FILTER(_xlpm.sg,LEFT(_xlpm.sg,3)="УЗО",""),IFERROR(INDEX(_xlpm.f_,1)&amp;"","")))</f>
        <v/>
      </c>
      <c r="CS78" t="str">
        <f t="shared" si="167"/>
        <v/>
      </c>
      <c r="CT78" s="6" t="str" cm="1">
        <f t="array" ref="CT78">IF(CR78="","",_xlfn.LET(_xlpm.tk,_xlfn.TEXTSPLIT(UPPER(CR78)," ",,TRUE),_xlpm.a_,_xlfn._xlws.FILTER(_xlpm.tk,ISNUMBER(--LEFT(_xlpm.tk,1))*((ISNUMBER(SEARCH("А",_xlpm.tk))+ISNUMBER(SEARCH("A",_xlpm.tk)))&gt;0)*NOT(ISNUMBER(SEARCH("МА",_xlpm.tk)))*NOT(ISNUMBER(SEARCH("MA",_xlpm.tk))),""),IFERROR(--SUBSTITUTE(SUBSTITUTE(INDEX(_xlpm.a_,1),"А",""),"A",""),"")))</f>
        <v/>
      </c>
      <c r="CU78" t="str" cm="1">
        <f t="array" ref="CU78">IF(CR78="","",_xlfn.LET(_xlpm.tk,_xlfn.TEXTSPLIT(UPPER(CR78)," ",,TRUE),_xlpm.a_,_xlfn._xlws.FILTER(_xlpm.tk,ISNUMBER(--LEFT(_xlpm.tk,1))*((ISNUMBER(SEARCH("МА",_xlpm.tk))+ISNUMBER(SEARCH("MA",_xlpm.tk)))&gt;0),""),IFERROR(--SUBSTITUTE(SUBSTITUTE(INDEX(_xlpm.a_,1),"МА",""),"MA",""),30)))</f>
        <v/>
      </c>
      <c r="CV78" t="str">
        <f>IF(CS78="","",IFERROR(_xlfn.XLOOKUP(CS78,Линии[_n],Линии[_УЗО, мА]),30))</f>
        <v/>
      </c>
      <c r="CW78">
        <f>IF(CS78="",0,IF(ISNUMBER(SEARCH("4P",IFERROR(_xlfn.XLOOKUP(CS78,Линии[_n],Линии[_УЗО строки])&amp;"",""))),0,1))</f>
        <v>0</v>
      </c>
      <c r="CX78" t="str">
        <f>IF(AND(CS78&lt;&gt;"",CS78=BA78),SUMIFS(Линии[_ток на 230 В],Линии[_блок УЗО],BA78,Линии[Щит],A78),"")</f>
        <v/>
      </c>
      <c r="CY78" t="str">
        <f>IF(AND(CS78&lt;&gt;"",CS78=BA78),SUMIFS(Линии[_ток утечки линии, мА],Линии[_блок УЗО],BA78,Линии[Щит],A78),"")</f>
        <v/>
      </c>
      <c r="CZ78">
        <f t="shared" si="168"/>
        <v>0</v>
      </c>
      <c r="DA78">
        <f t="shared" si="169"/>
        <v>0</v>
      </c>
      <c r="DB78">
        <f>IF(B78="",0,IFERROR(--_xlfn.XLOOKUP(B78,Коды_код,Коды_минавт),IFERROR(--_xlfn.XLOOKUP(BC78,Коды_код,Коды_минавт),IFERROR(--_xlfn.XLOOKUP(LEFT(BC78,2),Коды_код,Коды_минавт),0))))</f>
        <v>0</v>
      </c>
      <c r="DC78" t="str">
        <f>IF(B78="","",IFERROR(_xlfn.XLOOKUP(BC78,Коды_код,Коды_апп)&amp;"",""))</f>
        <v/>
      </c>
      <c r="DD78" t="str">
        <f t="shared" si="170"/>
        <v/>
      </c>
      <c r="DE78" t="str" cm="1">
        <f t="array" ref="DE78">IF(TRIM(DD78&amp;"")="","",IFERROR(TRIM(INDEX(_xlfn.TEXTSPLIT(DD78&amp;";;;",";"),1)),""))</f>
        <v/>
      </c>
      <c r="DF78" t="str" cm="1">
        <f t="array" ref="DF78">IF(TRIM(DD78&amp;"")="","",IFERROR(TRIM(INDEX(_xlfn.TEXTSPLIT(DD78&amp;";;;",";"),2)),""))</f>
        <v/>
      </c>
      <c r="DG78" t="str" cm="1">
        <f t="array" ref="DG78">IF(TRIM(DD78&amp;"")="","",IFERROR(TRIM(INDEX(_xlfn.TEXTSPLIT(DD78&amp;";;;",";"),3)),""))</f>
        <v/>
      </c>
      <c r="DH78">
        <f t="shared" si="171"/>
        <v>0</v>
      </c>
      <c r="DI78" t="str">
        <f>IF(B78="","",_xlfn.LET(_xlpm.t,LOWER(AZ78&amp;""),IF(ISNUMBER(SEARCH("dim",_xlpm.t)),"DIM",IF(ISNUMBER(SEARCH("dali",_xlpm.t)),"DALI",IF(OR(ISNUMBER(SEARCH("relay",_xlpm.t)),ISNUMBER(SEARCH("реле",_xlpm.t))),"Relay",IF(ISNUMBER(SEARCH("кнопк",_xlpm.t)),"",IFERROR(_xlfn.XLOOKUP(BC78,Коды_код,Коды_упр)&amp;"","")))))))</f>
        <v/>
      </c>
      <c r="DJ78" t="str">
        <f t="shared" si="172"/>
        <v/>
      </c>
      <c r="DK78">
        <f>IF(B78="","",_xlfn.LET(_xlpm.ig,IF(N(CX78)&gt;0,N(CX78),N(CI78)+IF(AJ78="вручную",0,N(CJ78))),_xlpm.n0,IFERROR(VLOOKUP(_xlpm.ig,Автомат_номиналы,2,TRUE),0),_xlpm.mn,MAX(DB78,IF(AJ78="вручную",0,N(CM78))),MAX(_xlpm.n0,_xlpm.mn,IF(DH78=1,Мин_автомат_БП,0))))</f>
        <v>16</v>
      </c>
      <c r="DL78">
        <f t="shared" si="173"/>
        <v>1</v>
      </c>
      <c r="DM78" t="str">
        <f t="shared" si="174"/>
        <v>1P</v>
      </c>
      <c r="DN78" t="str">
        <f>_xlfn.LET(_xlpm.cc,UPPER(TRIM(IFERROR(_xlfn.XLOOKUP(BC78,Коды_код,Коды_хар)&amp;"",""))),IF(OR(_xlpm.cc="B",_xlpm.cc="В"),"B",IF(_xlpm.cc="D","D","С")))</f>
        <v>С</v>
      </c>
      <c r="DO78" t="str">
        <f t="shared" si="175"/>
        <v>1P С16А</v>
      </c>
      <c r="DP78">
        <f t="shared" si="176"/>
        <v>16</v>
      </c>
      <c r="DQ78" t="str">
        <f t="shared" si="177"/>
        <v>1P С16А</v>
      </c>
      <c r="DR78" cm="1">
        <f t="array" ref="DR78">IF(DQ78="","",_xlfn.LET(_xlpm.t,SUBSTITUTE(SUBSTITUTE(SUBSTITUTE(UPPER(DQ78),"С","C"),"А","A"),"В","B"),_xlpm.tk,_xlfn.TEXTSPLIT(_xlpm.t," "),_xlpm.f,_xlfn._xlws.FILTER(_xlpm.tk,ISNUMBER(--MID(_xlpm.tk,2,1))*ISNUMBER(SEARCH(LEFT(_xlpm.tk,1)&amp;"#","B#C#D#"))*(LEN(_xlpm.tk)&gt;1),""),_xlpm.x,INDEX(_xlpm.f,1),IFERROR(--SUBSTITUTE(MID(_xlpm.x,2,9),"A",""),IFERROR(--SUBSTITUTE(INDEX(_xlfn._xlws.FILTER(_xlpm.tk,ISNUMBER(--SUBSTITUTE(_xlpm.tk,"A","")),""),1),"A",""),""))))</f>
        <v>16</v>
      </c>
      <c r="DS78" t="str">
        <f t="shared" si="178"/>
        <v>ok</v>
      </c>
      <c r="DT78">
        <f t="shared" si="179"/>
        <v>16</v>
      </c>
      <c r="DU78" t="str">
        <f t="shared" si="180"/>
        <v>1P С16А</v>
      </c>
      <c r="DV78">
        <f t="shared" si="181"/>
        <v>0</v>
      </c>
      <c r="DW78">
        <f t="shared" si="182"/>
        <v>0</v>
      </c>
      <c r="DX78">
        <f t="shared" si="183"/>
        <v>0</v>
      </c>
      <c r="DY78">
        <f t="shared" si="184"/>
        <v>10.284051669940206</v>
      </c>
      <c r="DZ78">
        <f t="shared" si="185"/>
        <v>1</v>
      </c>
      <c r="EA78">
        <f>IF(ISNUMBER(AP78),AP78,К_прокл)</f>
        <v>1</v>
      </c>
      <c r="EB78">
        <f t="shared" si="186"/>
        <v>2</v>
      </c>
      <c r="EC78">
        <f>IFERROR(N(VLOOKUP(BZ78,Кабель_обозначение,3,FALSE)),1)</f>
        <v>1</v>
      </c>
      <c r="ED78">
        <f>IFERROR(N(_xlfn.XLOOKUP(A78,Щиты[Щит],Щиты[ΔU до шин, %])),0)</f>
        <v>0.64</v>
      </c>
      <c r="EE78" t="str">
        <f>IFERROR(_xlfn.XLOOKUP(A78,Щиты[Щит],Щиты[Zпетли на шинах, Ом]),"")</f>
        <v/>
      </c>
      <c r="EF78">
        <f>IFERROR(N(_xlfn.XLOOKUP(A78,Щиты[Щит],Щиты[ΔU до шин (подбор), %])),0)</f>
        <v>0.75</v>
      </c>
      <c r="EG78" t="str">
        <f>IFERROR(_xlfn.XLOOKUP(A78,Щиты[Щит],Щиты[Zпетли на шинах (подбор), Ом]),"")</f>
        <v/>
      </c>
      <c r="EH78" t="str">
        <f t="shared" si="187"/>
        <v/>
      </c>
      <c r="EI78">
        <f t="shared" si="188"/>
        <v>32</v>
      </c>
      <c r="EJ78">
        <f t="shared" si="189"/>
        <v>2</v>
      </c>
      <c r="EK78">
        <f t="shared" si="190"/>
        <v>0.6</v>
      </c>
      <c r="EL78" s="6">
        <f>IF(B78="","",IF(BV78=1,dU_LED,IF(IFERROR(_xlfn.XLOOKUP(BC78,Коды_код,Коды_уго),"")="Светильник",3,4)+IF(Методика="нормы 2026",MIN(0.5,MAX(0,N(P78)-100)*0.005),0)))</f>
        <v>4</v>
      </c>
      <c r="EM78" cm="1">
        <f t="array" ref="EM78">IF(OR(B78="",BZ78="",EC78&lt;&gt;1),"",_xlfn.LET(_xlpm.sz,Iдоп_S,_xlpm.t_,CHOOSE(EB78,Iдоп_1ж,Iдоп_2ж,Iдоп_3ж)*DZ78*EA78,_xlpm.dcx,BV78=1,_xlpm.inn,IF(_xlpm.dcx,N(O78),N(DT78)),_xlpm.smin,MAX(1.5,CC78),_xlpm.L_,N(P78)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78)/N(BU78)*100,999),IFERROR(N(EJ78)*(_xlpm.rho*_xlpm.L_/_xlpm.sz*N(CE78)+_xlpm.xx*_xlpm.L_*N(EK78)/1000)*N(O78)/((Uн_лин/SQRT(3))*1000)*100,999)),_xlpm.kz,IF(OR(_xlpm.dcx,DW78=1,NOT(ISNUMBER(EG78)),_xlpm.L_=0,_xlpm.inn=0),1,IFERROR(--(c_min*(Uн_лин*1000/SQRT(3))/(EG78+2*ρкз_Cu*_xlpm.L_/_xlpm.sz)&gt;=HT78*_xlpm.inn),0)),_xlpm.ok,IFERROR((_xlpm.sz&gt;=_xlpm.smin)*(_xlpm.t_&gt;=_xlpm.inn)*IF(_xlpm.L_&gt;0,(_xlpm.du_+IF(_xlpm.dcx,0,EF78)&lt;=EL78+0.00001),1)*_xlpm.kz,0),_xlpm.r_,_xlfn._xlws.FILTER(_xlpm.sz,_xlpm.ok,"не подобрано"),INDEX(_xlpm.r_,1)))</f>
        <v>2.5</v>
      </c>
      <c r="EN78">
        <f t="shared" si="191"/>
        <v>2.5</v>
      </c>
      <c r="EO78" cm="1">
        <f t="array" ref="EO78">IF(OR(B78="",BZ78="",EC78&lt;&gt;1),"",_xlfn.LET(_xlpm.sz,Iдоп_S,_xlpm.t_,CHOOSE(EB78,Iдоп_1ж,Iдоп_2ж,Iдоп_3ж)*DZ78*EA78,_xlpm.ok,IFERROR((_xlpm.sz&gt;=MAX(1.5,CC78))*(_xlpm.t_&gt;=N(DT78)),0),_xlpm.r_,_xlfn._xlws.FILTER(_xlpm.sz,_xlpm.ok,""),INDEX(_xlpm.r_,1)))</f>
        <v>1.5</v>
      </c>
      <c r="EP78" s="6" cm="1">
        <f t="array" ref="EP78">IFERROR(ROUNDUP(N(EJ78)*(_xlfn.XLOOKUP(EO78,INDEX(Кабель_сопротивление,0,1),INDEX(Кабель_сопротивление,0,3))*N(P78)/EO78*N(CE78)+_xlfn.XLOOKUP(EO78,INDEX(Кабель_сопротивление,0,1),INDEX(Кабель_сопротивление,0,2))*N(P78)*N(EK78)/1000)*N(O78)/((Uн_лин/SQRT(3))*1000)*100,2),"")</f>
        <v>3.44</v>
      </c>
      <c r="EQ78">
        <f>IFERROR(2*ρкз_Cu*N(P78)/EO78,"")</f>
        <v>1.1221333333333334</v>
      </c>
      <c r="ER78">
        <f>IFERROR(VLOOKUP(EN78,Кабель_сопротивление,3,FALSE),"")</f>
        <v>2.2499999999999999E-2</v>
      </c>
      <c r="ES78">
        <f>IFERROR(VLOOKUP(EN78,Кабель_сопротивление,2,FALSE),"")</f>
        <v>0.1</v>
      </c>
      <c r="ET78">
        <f t="shared" si="192"/>
        <v>28</v>
      </c>
      <c r="EU78">
        <f t="shared" si="193"/>
        <v>0</v>
      </c>
      <c r="EV78">
        <f t="shared" si="194"/>
        <v>4.778381767921017</v>
      </c>
      <c r="EW78" s="6">
        <f>IFERROR(ROUNDUP(EV78/IF(BV78=1,BU78,(Uн_лин/SQRT(3))*1000)*100,2),"")</f>
        <v>2.0699999999999998</v>
      </c>
      <c r="EX78" t="str">
        <f>IFERROR(VLOOKUP(BZ78,Кабель_обозначение,2,FALSE),"")</f>
        <v>ВВГнг(А)-LS</v>
      </c>
      <c r="EY78" t="str">
        <f t="shared" si="195"/>
        <v>ВВГнг(А)-LS (3х2,5)</v>
      </c>
      <c r="EZ78" t="str">
        <f t="shared" si="196"/>
        <v>ВВГнг(А)-LS (3х2,5)
L=32-2,07%</v>
      </c>
      <c r="FA78">
        <f>IFERROR(2*ρкз_Cu*P78/EN78,"")</f>
        <v>0.67327999999999999</v>
      </c>
      <c r="FB78">
        <f t="shared" si="197"/>
        <v>0.22400000000000003</v>
      </c>
      <c r="FC78" s="6" t="str">
        <f>IFERROR(IF(OR(B78="",BV78=1,NOT(ISNUMBER(EN78)),N(P78)=0),"",_xlfn.XLOOKUP(A78,Щиты[Щит],Щиты[Zпетли на шинах, Ом])+FA78),"")</f>
        <v/>
      </c>
      <c r="FD78" s="6" t="str">
        <f>IF(ISNUMBER(FC78),c_min*(Uн_лин*1000/SQRT(3))/FC78,"")</f>
        <v/>
      </c>
      <c r="FE78" s="6" t="str">
        <f>IFERROR(IF(OR(B78="",NOT(ISNUMBER(EN78))),"",1.05*(Uн_лин*1000/SQRT(3))/(_xlfn.XLOOKUP(A78,Щиты[Щит],Щиты[Zmax на шинах, Ом])+FB78)/1000),"")</f>
        <v/>
      </c>
      <c r="FF78" s="6" t="str">
        <f>IF(B78="","",IF(ISNUMBER(AC78),"Сил",IF(IFERROR(_xlfn.XLOOKUP(BC78,Коды_код,Коды_группа)&amp;"","")="","Быт",_xlfn.XLOOKUP(BC78,Коды_код,Коды_группа)&amp;"")))</f>
        <v>Сил</v>
      </c>
      <c r="FG78" s="6" t="str">
        <f t="shared" si="198"/>
        <v>Сил</v>
      </c>
      <c r="FH78" s="6">
        <f>IF(FG78="Щит","щит",IF(FG78="","",IF(FG78="Быт",IFERROR(_xlfn.XLOOKUP(A78,Щиты[Щит],Щиты[Кс быт]),1),IF(FG78="Сил",IF(ISNUMBER(AC78),AC78,IF(Методика="нормы 2026",IFERROR(_xlfn.XLOOKUP(A78,Щиты[Щит],Щиты[Кс силовых (табл. 7.5)]),1),1)),IF(OR(FG78="Пост",FG78="Отоп"),1,IF(FG78="ВНГ",0.7,0))))))</f>
        <v>0.5</v>
      </c>
      <c r="FI78">
        <f>IF(FG78="","",IF(AND(BP78=1,TRIM(AE78&amp;"")=""),IF(COUNTIFS(Линии[Щит],A78,Линии[Секция (1/2/3)],"&gt;=2")&gt;0,MIN(3,MAX(1,IFERROR(--BD78,1))),1),IFERROR(MIN(3,MAX(1,INT(--AE78))),1)))</f>
        <v>1</v>
      </c>
      <c r="FJ78">
        <f t="shared" si="199"/>
        <v>1.9</v>
      </c>
      <c r="FK78">
        <f t="shared" si="200"/>
        <v>0</v>
      </c>
      <c r="FL78">
        <f t="shared" si="201"/>
        <v>0.95</v>
      </c>
      <c r="FM78">
        <f t="shared" si="202"/>
        <v>0</v>
      </c>
      <c r="FN78">
        <f t="shared" si="203"/>
        <v>0</v>
      </c>
      <c r="FO78">
        <f t="shared" si="204"/>
        <v>0</v>
      </c>
      <c r="FP78">
        <f t="shared" si="205"/>
        <v>1.9</v>
      </c>
      <c r="FQ78">
        <f t="shared" si="206"/>
        <v>1.9</v>
      </c>
      <c r="FR78">
        <f t="shared" si="207"/>
        <v>1.52</v>
      </c>
      <c r="FS78">
        <f>IF(CG78=1,IF(AND(CH78=1,CW78=1),0,IF(AND(CS78&lt;&gt;"",CS78=BA78,CW78=1),SUMIFS(Линии[_Р линии, кВт],Линии[_блок УЗО],BA78,Линии[Щит],A78),N(BS78)+IF(AJ78="вручную",0,N(CK78)))),0)</f>
        <v>1.9</v>
      </c>
      <c r="FT78" t="str">
        <f t="shared" si="208"/>
        <v/>
      </c>
      <c r="FU78" t="str">
        <f>IF(B78="","",IF(CG78=0,IF(BA78=1,"",FW77),IF(AND(CH78=1,CW78=1,CS78&lt;&gt;""),IFERROR(_xlfn.XLOOKUP(CS78,Линии[_n],Линии[_фаза итог]),"L1"),IF(OR(N(DL78)&gt;=3,N(BX78)&gt;=3),"L1,L2,L3",IFERROR(_xlfn.TEXTBEFORE(_xlfn.TEXTAFTER(_xlfn.XLOOKUP(A78,Щиты[Щит],Щиты[_фазы авто]),";"&amp;BA78&amp;":"),";"),"L1")))))</f>
        <v>L3</v>
      </c>
      <c r="FV78" t="str">
        <f t="shared" si="209"/>
        <v>L3</v>
      </c>
      <c r="FW78" t="str">
        <f t="shared" si="210"/>
        <v>L3</v>
      </c>
      <c r="FX78" cm="1">
        <f t="array" ref="FX78">IFERROR(IF(CD78=2,_xlfn.IFS(BX78=3,VLOOKUP(BS78,Справочная_двигатели,3,FALSE),BX78=1,VLOOKUP(BS78,Справочная_двигатели,5,TRUE)),0),0)</f>
        <v>0</v>
      </c>
      <c r="FY78">
        <f>IFERROR(IF(CD78=3,VLOOKUP(BS78,Справочная_ЛЭД,2,TRUE),0),0)</f>
        <v>0</v>
      </c>
      <c r="FZ78" s="6">
        <f t="shared" si="211"/>
        <v>0</v>
      </c>
      <c r="GA78" t="str">
        <f>IF(B78="","",IF(TRIM(AH78&amp;"")&lt;&gt;"",IF(LOWER(TRIM(AH78&amp;""))="да","да","нет"),IF(IFERROR(_xlfn.XLOOKUP(BC78,Коды_код,Коды_пожарная),"")="да","да","нет")))</f>
        <v>нет</v>
      </c>
      <c r="GB78" t="str">
        <f t="shared" si="212"/>
        <v/>
      </c>
      <c r="GC78" t="str">
        <f t="shared" si="213"/>
        <v>основная</v>
      </c>
      <c r="GD78">
        <f>IF(AND(BP78=1,TRIM(AE78&amp;"")=""),IF(COUNTIFS(Линии[Щит],A78,Линии[Секция (1/2/3)],"&gt;=2")&gt;0,MIN(3,MAX(1,IFERROR(--BD78,1))),1),IFERROR(MIN(3,MAX(1,INT(--AE78))),1))</f>
        <v>1</v>
      </c>
      <c r="GE78" t="str" cm="1">
        <f t="array" ref="GE78">IF(B78="","",_xlfn.LET(_xlpm.t,IFERROR(_xlfn.XLOOKUP(1,(Шины[Шина]=GC78)*(((Шины[Щит]=A78)+(Шины[Щит]=""))&gt;0),Шины[Тип]),"")&amp;"",IF(_xlpm.t&lt;&gt;"",_xlpm.t,IF(ISNUMBER(SEARCH("ИБП",GC78)),"ИБП",IF(ISNUMBER(SEARCH("ДГУ",GC78)),"ДГУ","Ввод "&amp;GD78)))))</f>
        <v>Ввод 1</v>
      </c>
      <c r="GF78" t="str">
        <f t="shared" si="214"/>
        <v>Ввод 1</v>
      </c>
      <c r="GG78" t="str">
        <f>IF(BP78=0,"",IF(TRIM(AG78&amp;"")&lt;&gt;"",TRIM(AG78&amp;""),IF(OR(GE78="ИБП",GE78="ДГУ"),"I особая",_xlfn.XLOOKUP(A78,Щиты[Щит],Щиты[Категория шины «Ввод»],"III"))))</f>
        <v/>
      </c>
      <c r="GH78" t="str">
        <f>IF(A78="","",_xlfn.XLOOKUP(A78,Щиты[Щит],Щиты[Путь],""))</f>
        <v>|ГРЩ-ЖД|ЩОВ-001|</v>
      </c>
      <c r="GI78" t="str">
        <f>IF(B78="","",IF(AI78&lt;&gt;"",AI78,IF(IFERROR(_xlfn.XLOOKUP(BC78,Коды_код,Коды_вид)&amp;"","")="","Прочее",_xlfn.XLOOKUP(BC78,Коды_код,Коды_вид)&amp;"")))</f>
        <v>Кондиционирование и увлажнение</v>
      </c>
      <c r="GJ78">
        <f>IF(BM78="","",INT((BM78-1)/Столбцов_на_лист)+1)</f>
        <v>3</v>
      </c>
      <c r="GK78" t="str">
        <f t="shared" si="215"/>
        <v>ВВГнг(А)-LS (3х2,5) L=32-2,07%</v>
      </c>
      <c r="GL78">
        <f t="shared" si="216"/>
        <v>1.9</v>
      </c>
      <c r="GM78">
        <f t="shared" si="217"/>
        <v>10.29</v>
      </c>
      <c r="GN78">
        <f t="shared" si="218"/>
        <v>1</v>
      </c>
      <c r="GO78">
        <f t="shared" si="219"/>
        <v>0</v>
      </c>
      <c r="GP78">
        <f t="shared" si="220"/>
        <v>1</v>
      </c>
      <c r="GQ78">
        <f>IF(BM78="","",IF(AND(CG78=1,GP78=1),COUNTIFS(A$3:A78,A78,CG$3:CG78,1,GP$3:GP78,1),IF(OR(OR(BA78=1,A78&lt;&gt;A77),AJ78="вручную",GP78=0),"",IF(BA78=1,"",GR77))))</f>
        <v>25</v>
      </c>
      <c r="GR78">
        <f t="shared" si="221"/>
        <v>25</v>
      </c>
      <c r="GS78">
        <f>IF(B78="","",IFERROR(LOOKUP(INDEX(CHOOSE(EB78,Iдоп_1ж,Iдоп_2ж,Iдоп_3ж),MATCH(EN78,Iдоп_S,0))*DZ78*EA78,{6,10,16,20,25,32,40,50,63,80,100,125,160,200,250,315,400,500,630}),""))</f>
        <v>25</v>
      </c>
      <c r="GT78" t="str">
        <f t="shared" si="222"/>
        <v>QF25</v>
      </c>
      <c r="GU78" t="str">
        <f t="shared" si="223"/>
        <v>QF25</v>
      </c>
      <c r="GV78" t="str">
        <f t="shared" si="224"/>
        <v/>
      </c>
      <c r="GW78">
        <f t="shared" si="225"/>
        <v>0</v>
      </c>
      <c r="GX78" t="str">
        <f>IF(OR(B78="",DJ78=""),"",IFERROR(_xlfn.XLOOKUP(DJ78,Модули_умолч[Управление],Модули_умолч[Модель])&amp;"",""))</f>
        <v/>
      </c>
      <c r="GY78">
        <f>IF(DJ78="",1,IFERROR(MAX(0,N(_xlfn.XLOOKUP(DJ78,Модули_умолч[Управление],Модули_умолч[Каналов на линию]))),1))</f>
        <v>1</v>
      </c>
      <c r="GZ78" t="str">
        <f t="shared" si="226"/>
        <v/>
      </c>
      <c r="HA78" t="str">
        <f t="shared" si="227"/>
        <v/>
      </c>
      <c r="HB78" t="str">
        <f t="shared" si="228"/>
        <v/>
      </c>
      <c r="HC78">
        <f>IF(HB78="",0,IFERROR(N(VLOOKUP(HB78,Модули_спр,3,FALSE)),0))</f>
        <v>0</v>
      </c>
      <c r="HD78" t="str">
        <f t="shared" si="229"/>
        <v/>
      </c>
      <c r="HE78" t="str">
        <f t="shared" si="230"/>
        <v/>
      </c>
      <c r="HF78" t="str">
        <f>IF(OR(HE78="",HE78="-"),"",IFERROR(VLOOKUP(HE78,Модули_спр,2,FALSE),"R"))</f>
        <v/>
      </c>
      <c r="HG78" t="str">
        <f>IF(HF78="","",HF78&amp;"."&amp;COUNTIFS(A$3:A78,A78,HF$3:HF78,HF78))</f>
        <v/>
      </c>
      <c r="HH78" t="str">
        <f t="shared" si="231"/>
        <v/>
      </c>
      <c r="HI78" t="str">
        <f t="shared" si="232"/>
        <v/>
      </c>
      <c r="HJ78" t="str">
        <f t="shared" si="233"/>
        <v/>
      </c>
      <c r="HK78" t="str">
        <f t="shared" si="234"/>
        <v/>
      </c>
      <c r="HL78">
        <f t="shared" si="235"/>
        <v>1</v>
      </c>
      <c r="HM78" t="str">
        <f>IF(HL78=1,"XT"&amp;COUNTIFS(A$3:A78,A78,HL$3:HL78,1),"")</f>
        <v>XT25</v>
      </c>
      <c r="HN78" t="str">
        <f t="shared" si="236"/>
        <v/>
      </c>
      <c r="HO78" t="str">
        <f t="shared" si="237"/>
        <v>QF25</v>
      </c>
      <c r="HP78" t="str">
        <f t="shared" si="238"/>
        <v/>
      </c>
      <c r="HQ78" t="str">
        <f t="shared" si="239"/>
        <v>ok</v>
      </c>
      <c r="HR78" t="str">
        <f>IF(OR(HJ78="",HH78=""),"",IF(HJ78+MAX(0,GY78-1)&gt;IFERROR(VLOOKUP(HI78,Модули_спр,3,FALSE),99),"ЛИШНИЙ КАНАЛ",IF(AND(AL78&lt;&gt;"=",GY78&gt;0,COUNTIFS(Линии[_модуль гр.],HH78,Линии[Канал (итог)],HJ78,Линии[Канал],"&lt;&gt;=",Линии[Щит],A78)&gt;1),"ДУБЛЬ КАНАЛА","")))</f>
        <v/>
      </c>
      <c r="HS78" s="6" t="str">
        <f t="shared" si="240"/>
        <v/>
      </c>
      <c r="HT78">
        <f t="shared" si="241"/>
        <v>10</v>
      </c>
      <c r="HU78" t="str">
        <f t="shared" si="242"/>
        <v/>
      </c>
      <c r="HV78">
        <f t="shared" si="243"/>
        <v>4.4336206679760828</v>
      </c>
      <c r="HW78">
        <f t="shared" si="244"/>
        <v>0</v>
      </c>
      <c r="HX78">
        <f t="shared" si="245"/>
        <v>0</v>
      </c>
      <c r="HY78">
        <f t="shared" si="246"/>
        <v>0</v>
      </c>
      <c r="HZ78">
        <f t="shared" si="247"/>
        <v>0</v>
      </c>
      <c r="IA78">
        <f t="shared" si="248"/>
        <v>0</v>
      </c>
      <c r="IB78">
        <f t="shared" si="249"/>
        <v>0</v>
      </c>
      <c r="IC78" t="str">
        <f t="shared" si="250"/>
        <v/>
      </c>
      <c r="ID78" t="str" cm="1">
        <f t="array" ref="ID78">IF(IC78="","",_xlfn.LET(_xlpm.tk,_xlfn.TEXTSPLIT(SUBSTITUTE(SUBSTITUTE(IC78,";"," "),"→"," ")," ",,TRUE),_xlpm.w_,_xlfn._xlws.FILTER(_xlpm.tk,ISNUMBER(--LEFT(_xlpm.tk,1))*((ISNUMBER(SEARCH("W",_xlpm.tk))+ISNUMBER(SEARCH("Вт",_xlpm.tk)))&gt;0),""),IFERROR(--SUBSTITUTE(SUBSTITUTE(UPPER(INDEX(_xlpm.w_,1)),"W",""),"ВТ",""),"")))</f>
        <v/>
      </c>
      <c r="IE78" t="str" cm="1">
        <f t="array" ref="IE78">IF(IC78="","",_xlfn.LET(_xlpm.tk,_xlfn.TEXTSPLIT(SUBSTITUTE(SUBSTITUTE(IC78,";"," "),"→"," ")," ",,TRUE),_xlpm.v_,_xlfn._xlws.FILTER(_xlpm.tk,ISNUMBER(--LEFT(_xlpm.tk,1))*((ISNUMBER(SEARCH("V",_xlpm.tk))+(RIGHT(UPPER(_xlpm.tk))="В"))&gt;0),""),IFERROR(--SUBSTITUTE(SUBSTITUTE(UPPER(INDEX(_xlpm.v_,1)),"V",""),"В",""),"")))</f>
        <v/>
      </c>
      <c r="IF78" s="6" t="str">
        <f>IF(OR(BV78=0,HI78="",HJ78=""),"",IFERROR(N(_xlfn.XLOOKUP(HI78,Каталог!$C$4:$C$500,Каталог!$Q$4:$Q$500)),""))</f>
        <v/>
      </c>
      <c r="IG78" s="6" t="str">
        <f>IF(N(IF78)=0,"",SUMIFS(Линии[Iр, А],Линии[Щит],A78,Линии[_модуль гр.],HH78,Линии[Канал (итог)],HJ78))</f>
        <v/>
      </c>
      <c r="IH78" t="str">
        <f>IF(AND(B78="",HO78=""),"",_xlfn.TEXTJOIN("; ",TRUE,IF(AND(B78&lt;&gt;"",FV78=""),"нет фазы",""),IF(AND(B78&lt;&gt;"",N(GL78)=0,FG78&lt;&gt;"Нет"),"нет мощности",""),IF(AND(HN78&lt;&gt;"",COUNTIFS(Линии[Щит],A78,Линии[Клемма (итог)],HN78)&gt;1),"дубль клеммы "&amp;HN78,""),IF(AND(HQ78&lt;&gt;"",HQ78&lt;&gt;"ok"),HQ78,""),IF(HR78&lt;&gt;"",HR78,""),IF(AND(N(CB78)&gt;=4,N(BX78)=1),CB78&amp;" жил на 1 фазе",""),IF(AND(BC78="R",CG78=1,IF(CS78&lt;&gt;"",N(CV78)&gt;30,OR(N(DA78)=0,N(DA78)&gt;30))),"розетка без дифзащиты до 30 мА",""),IF(AND(CG78=1,N(DA78)&gt;0,ISNUMBER(T78)),IF(T78&gt;N(DA78)/3,"ток утечки "&amp;FIXED(T78,1)&amp;" мА &gt; 1/3 уставки ("&amp;DA78&amp;" мА)",""),""),IF(AND(CH78=1,CS78=""),"«узо»: нет строки с УЗО выше (УЗО 2P 40А 30мА в «Аппаратах»)",""),IF(AND(CS78&lt;&gt;"",CS78=BA78),IF(CT78="","впишите номинал УЗО (УЗО 2P 40А 30мА)",IF(N(CT78)&lt;N(DT78),"УЗО "&amp;CT78&amp;" А &lt; автомата "&amp;DT78&amp;" А перед ним",IF(N(CT78)&lt;N(CX78),"УЗО "&amp;CT78&amp;" А &lt; тока блока "&amp;FIXED(CX78,1)&amp;" А",""))),""),IF(AND(CS78&lt;&gt;"",CS78=BA78,ISNUMBER(CY78)),IF(CY78&gt;N(CV78)/3,"ток утечки блока УЗО "&amp;FIXED(CY78,1)&amp;" мА &gt; 1/3 уставки ("&amp;CV78&amp;" мА)",""),""),IF(AND(CG78=1,N(BV78)+N(IB78)&gt;0,IC78=""),"линии до 50 В без БП: впишите в «Аппараты» (БП 24V 480W)",""),IF(AND(CG78=1,ISNUMBER(ID78),ISNUMBER(U78)),IF(U78&gt;ID78,"БП "&amp;ID78&amp;" Вт &lt; нужно "&amp;U78&amp;" Вт (×"&amp;Запас_БП&amp;")",""),""),IF(AND(CG78=1,ISNUMBER(IE78),N(BV78)=1),IF(IE78&lt;&gt;N(BU78),"БП на "&amp;IE78&amp;" В, линия "&amp;BU78&amp;" В",""),""),IF(AND(N(IF78)&gt;0,N(IG78)&gt;N(IF78)),HH78&amp;" канал "&amp;HJ78&amp;": "&amp;FIXED(IG78,1)&amp;" А &gt; "&amp;IF78&amp;" А",""),IFERROR(IF(AND(ISNUMBER(Q78),Q78&gt;EL78),"потери "&amp;FIXED(Q78,1)&amp;" % &gt; "&amp;EL78&amp;" %",""),""),IFERROR(IF(LEFT(HU78,4)="мало","Iкз мало — отключение &gt; 0,4 с",""),""),IF(AND(B78&lt;&gt;"",BM78=""),"не на схеме",""),IF(AND(CG78=0,B78&lt;&gt;"",FV78&lt;&gt;"",IF(BA78=1,"",FW77)&lt;&gt;"",FV78&lt;&gt;IF(BA78=1,"",FW77)),"фаза не как у автомата группы ("&amp;IF(BA78=1,"",FW77)&amp;")","")))</f>
        <v/>
      </c>
      <c r="II78" s="6">
        <f>IF(OR(CG78=0,DQ78=""),"",_xlfn.LET(_xlpm.t,IFERROR(_xlfn.XLOOKUP(DQ78,Каталог!$U$4:$U$500,Каталог!$G$4:$G$500),""),_xlpm.k,SEARCH("кА",_xlpm.t),IFERROR(--TRIM(RIGHT(SUBSTITUTE(MID(_xlpm.t,MAX(1,_xlpm.k-4),_xlpm.k-MAX(1,_xlpm.k-4))," ",REPT(" ",9)),5)),"")))</f>
        <v>6</v>
      </c>
      <c r="IJ78" t="str">
        <f>IF(OR(II78="",CG78=0),"",IF(_xlfn.XLOOKUP(A78,Щиты[Щит],Щиты[Iкз max на шинах, кА],"")="","",IF(II78&lt;_xlfn.XLOOKUP(A78,Щиты[Щит],Щиты[Iкз max на шинах, кА]),"Icu "&amp;II78&amp;" кА &lt; Iкз max","ok")))</f>
        <v/>
      </c>
      <c r="IK78" t="str">
        <f t="shared" si="251"/>
        <v/>
      </c>
      <c r="IL78" t="str">
        <f t="shared" si="252"/>
        <v>QF25</v>
      </c>
      <c r="IM78" t="str">
        <f t="shared" si="253"/>
        <v>QF25|кабель ВВГнг(А)-LS (3х2,5) → Внешний блок кондиционирования Пом. Венткиосок</v>
      </c>
      <c r="IN78" t="str" cm="1">
        <f t="array" ref="IN78">IF(IM78="","",_xlfn.LET(_xlpm.nd,_xlfn.TEXTSPLIT(IM78,"|"),IF(COLUMNS(_xlpm.nd)&gt;1,A78&amp;"¦"&amp;INDEX(_xlpm.nd,1)&amp;"¦"&amp;INDEX(_xlpm.nd,2),"")))</f>
        <v>ЩОВ-001¦QF25¦кабель ВВГнг(А)-LS (3х2,5) → Внешний блок кондиционирования Пом. Венткиосок</v>
      </c>
      <c r="IO78" t="str">
        <f t="shared" si="254"/>
        <v>K.10¦Внешний блок кондиционирования Пом. Венткиосок</v>
      </c>
      <c r="IP78" t="str" cm="1">
        <f t="array" ref="IP78">IF(IM78="","",_xlfn.LET(_xlpm.nd,_xlfn.TEXTSPLIT(IM78,"|"),IF(COLUMNS(_xlpm.nd)&gt;2,A78&amp;"¦"&amp;INDEX(_xlpm.nd,2)&amp;"¦"&amp;INDEX(_xlpm.nd,3),"")))</f>
        <v/>
      </c>
      <c r="IQ78" t="str">
        <f t="shared" si="255"/>
        <v/>
      </c>
      <c r="IR78" t="str" cm="1">
        <f t="array" ref="IR78">IF(IM78="","",_xlfn.LET(_xlpm.nd,_xlfn.TEXTSPLIT(IM78,"|"),IF(COLUMNS(_xlpm.nd)&gt;3,A78&amp;"¦"&amp;INDEX(_xlpm.nd,3)&amp;"¦"&amp;INDEX(_xlpm.nd,4),"")))</f>
        <v/>
      </c>
      <c r="IS78" t="str">
        <f t="shared" si="256"/>
        <v/>
      </c>
      <c r="IT78" t="str" cm="1">
        <f t="array" ref="IT78">IF(IM78="","",_xlfn.LET(_xlpm.nd,_xlfn.TEXTSPLIT(IM78,"|"),IF(COLUMNS(_xlpm.nd)&gt;4,A78&amp;"¦"&amp;INDEX(_xlpm.nd,4)&amp;"¦"&amp;INDEX(_xlpm.nd,5),"")))</f>
        <v/>
      </c>
      <c r="IU78" t="str">
        <f t="shared" si="257"/>
        <v/>
      </c>
      <c r="IV78" t="str" cm="1">
        <f t="array" ref="IV78">IF(IM78="","",_xlfn.LET(_xlpm.nd,_xlfn.TEXTSPLIT(IM78,"|"),IF(COLUMNS(_xlpm.nd)&gt;5,A78&amp;"¦"&amp;INDEX(_xlpm.nd,5)&amp;"¦"&amp;INDEX(_xlpm.nd,6),"")))</f>
        <v/>
      </c>
      <c r="IW78" t="str">
        <f t="shared" si="258"/>
        <v/>
      </c>
      <c r="IX78" t="str" cm="1">
        <f t="array" ref="IX78">IF(IM78="","",_xlfn.LET(_xlpm.nd,_xlfn.TEXTSPLIT(IM78,"|"),IF(COLUMNS(_xlpm.nd)&gt;6,A78&amp;"¦"&amp;INDEX(_xlpm.nd,6)&amp;"¦"&amp;INDEX(_xlpm.nd,7),"")))</f>
        <v/>
      </c>
      <c r="IY78" t="str">
        <f t="shared" si="259"/>
        <v/>
      </c>
      <c r="IZ78" t="str">
        <f t="shared" si="260"/>
        <v/>
      </c>
      <c r="JA78" t="str">
        <f t="shared" si="261"/>
        <v>QF25</v>
      </c>
      <c r="JB78">
        <f t="shared" si="262"/>
        <v>0</v>
      </c>
      <c r="JC78">
        <f t="shared" si="263"/>
        <v>0</v>
      </c>
      <c r="JD78" t="str">
        <f t="shared" si="264"/>
        <v/>
      </c>
      <c r="JE78" t="str">
        <f t="shared" si="265"/>
        <v/>
      </c>
      <c r="JF78" t="str">
        <f t="shared" si="266"/>
        <v/>
      </c>
      <c r="JG78" t="str">
        <f t="shared" si="267"/>
        <v/>
      </c>
      <c r="JH78">
        <f>IF(B78="","",IFERROR(_xlfn.XLOOKUP(B78,Коды_код,Коды_уго),IFERROR(_xlfn.XLOOKUP(BC78,Коды_код,Коды_уго),IFERROR(_xlfn.XLOOKUP(LEFT(BC78,2),Коды_код,Коды_уго),""))))</f>
        <v>0</v>
      </c>
      <c r="JI78" t="str">
        <f>IF(B78="","",IF(OR(JH78="",JH78=0),"BOX",IFERROR(IF(VLOOKUP(JH78,УГО_блоки,3,FALSE)&amp;""&lt;&gt;"",VLOOKUP(JH78,УГО_блоки,3,FALSE),VLOOKUP(JH78,УГО_блоки,2,FALSE)),JH78)))</f>
        <v>BOX</v>
      </c>
      <c r="JJ78">
        <f t="shared" si="268"/>
        <v>1</v>
      </c>
      <c r="JK78" t="str">
        <f>IF(DQ78="","",IF(COUNTIF(DQ$3:DQ78,DQ78)=1,MAX(JK$2:JK77)+1,""))</f>
        <v/>
      </c>
      <c r="JL78" t="str">
        <f>IF(DE78="","",IF(COUNTIF(DE$3:DE78,DE78)+COUNTIF(DF$2:DF77,DE78)+COUNTIF(DG$2:DG77,DE78)=1,MAX(JL$2:JN77)+1,""))</f>
        <v/>
      </c>
      <c r="JM78" t="str">
        <f>IF(DF78="","",IF(COUNTIF(DE$3:DE78,DF78)+COUNTIF(DF$3:DF78,DF78)+COUNTIF(DG$2:DG77,DF78)=1,MAX(JL$2:JN77,JL78)+1,""))</f>
        <v/>
      </c>
      <c r="JN78" t="str">
        <f>IF(DG78="","",IF(COUNTIF(DE$3:DE78,DG78)+COUNTIF(DF$3:DF78,DG78)+COUNTIF(DG$3:DG78,DG78)=1,MAX(JL$2:JN77,JL78,JM78)+1,""))</f>
        <v/>
      </c>
      <c r="JO78" t="str">
        <f t="shared" si="269"/>
        <v>3х2,5</v>
      </c>
      <c r="JP78" t="str">
        <f>IF(JO78="","",IF(COUNTIF(JO$3:JO78,JO78)=1,MAX(JP$2:JP77)+1,""))</f>
        <v/>
      </c>
      <c r="JQ78" t="str">
        <f>IF(HG78="","",COUNTIF(HG$3:HG78,"?*"))</f>
        <v/>
      </c>
      <c r="JR78" t="str">
        <f>IF(OR(HG78="",HI78=""),"",IF(COUNTIFS(HG$3:HG78,"?*",HI$3:HI78,HI78)=1,MAX(JR$2:JR77)+1,""))</f>
        <v/>
      </c>
      <c r="JS78">
        <f t="shared" si="270"/>
        <v>0</v>
      </c>
      <c r="JT78">
        <f>IF(B78="","",COUNTIF(B$3:B78,"?*"))</f>
        <v>76</v>
      </c>
      <c r="JU78">
        <f>IF(HL78&lt;&gt;1,0,_xlfn.LET(_xlpm.k,MAX(IFERROR(--_xlfn.XLOOKUP(B78,Коды_код,Коды_3L),0),IFERROR(--_xlfn.XLOOKUP(BC78,Коды_код,Коды_3L),0),IFERROR(--_xlfn.XLOOKUP(LEFT(BC78,2),Коды_код,Коды_3L),0)),IF(_xlpm.k&gt;0,_xlpm.k,IF(IFERROR(--LEFT(SUBSTITUTE(JO78,"x","х"),FIND("х",SUBSTITUTE(JO78,"x","х"))-1),3)&gt;3,Каталог!$S$9,1))))</f>
        <v>1</v>
      </c>
      <c r="JV78">
        <f t="shared" si="271"/>
        <v>0</v>
      </c>
      <c r="JW78" t="str">
        <f t="shared" si="272"/>
        <v>авто</v>
      </c>
      <c r="JX78" t="str">
        <f t="shared" si="273"/>
        <v/>
      </c>
      <c r="JY78">
        <f t="shared" si="274"/>
        <v>0</v>
      </c>
      <c r="JZ78">
        <f t="shared" si="275"/>
        <v>1</v>
      </c>
    </row>
    <row r="79" spans="1:286" x14ac:dyDescent="0.3">
      <c r="A79" t="s">
        <v>747</v>
      </c>
      <c r="B79" t="s">
        <v>1392</v>
      </c>
      <c r="C79" t="s">
        <v>1660</v>
      </c>
      <c r="D79">
        <v>1</v>
      </c>
      <c r="E79">
        <v>1.9</v>
      </c>
      <c r="G79">
        <v>16</v>
      </c>
      <c r="H79" t="str">
        <f>Линии[[#This Row],[_авто управление]]</f>
        <v/>
      </c>
      <c r="I79" t="str">
        <f>Линии[[#This Row],[_авто аппараты]]</f>
        <v/>
      </c>
      <c r="J79">
        <v>2.5</v>
      </c>
      <c r="K79">
        <v>32</v>
      </c>
      <c r="L79" t="str">
        <f>Линии[[#This Row],[_авто фаза]]</f>
        <v>L1</v>
      </c>
      <c r="M79" t="s">
        <v>484</v>
      </c>
      <c r="N79" t="str">
        <f t="shared" si="138"/>
        <v/>
      </c>
      <c r="O79" s="6" cm="1">
        <f t="array" ref="O79">IF(B79="","",IF(BH79&lt;&gt;"",IFERROR(_xlfn.XLOOKUP(BH79,Щиты[Щит],Щиты[Iр, А]),""),IF(BP79=1,IF(OR(N(_xlfn.XLOOKUP(A79,Щиты[Щит],Щиты[Вводов],1))&lt;=1,LOWER(TRIM(_xlfn.XLOOKUP(A79,Щиты[Щит],Щиты[АВР],"")&amp;""))="да"),IFERROR(_xlfn.XLOOKUP(A79,Щиты[Щит],Щиты[Iр, А]),""),IFERROR(N(BS79)*_xlfn.XLOOKUP(A79,Щиты[Щит],Щиты[Кс итог])/(SQRT(3)*Uн_лин*_xlfn.XLOOKUP(A79,Щиты[Щит],Щиты[cos φ])),"")),IF(BV79=1,IFERROR(BS79*1000/BU79,""),IFERROR(_xlfn.IFS(BX79=1,BS79/((Uн_лин/SQRT(3))*CE79),BX79=3,BS79/(SQRT(3)*Uн_лин*CE79)),"")))))</f>
        <v>10.284051669940206</v>
      </c>
      <c r="P79" s="7">
        <f>IF(B79="","",IFERROR(IF(VLOOKUP(BC79,Потребители_обозначение,4,FALSE)=1,VLOOKUP(BC79,Потребители_обозначение,3,FALSE)*(MAX(1,N(D79))*2-1)+EI79+VLOOKUP(BE79,Этаж_обозначение,3,FALSE)+VLOOKUP(BE79,Этаж_обозначение,4,FALSE),VLOOKUP(BC79,Потребители_обозначение,3,FALSE)*(MAX(1,N(D79))*2-1)+EI79),EI79))</f>
        <v>32</v>
      </c>
      <c r="Q79" s="6">
        <f t="shared" si="139"/>
        <v>2.71</v>
      </c>
      <c r="R79" t="str">
        <f t="shared" si="140"/>
        <v>ВВГнг(А)-LS (3х2,5)</v>
      </c>
      <c r="S79" t="str">
        <f>IF(BM79="","",IF(BN79="вводной узел","узел ","")&amp;"л."&amp;(INT((BM79-1)/Столбцов_на_лист)+1)&amp;" / "&amp;(MOD(BM79-1,Столбцов_на_лист)+1))</f>
        <v>л.3 / 9</v>
      </c>
      <c r="T79" s="119">
        <f t="shared" si="141"/>
        <v>4.4000000000000004</v>
      </c>
      <c r="U79" s="7" t="str">
        <f>IF(OR(CG79=0,N(BV79)+N(IB79)=0),"",ROUNDUP(Запас_БП*(N(HY79)+N(HZ79)),0))</f>
        <v/>
      </c>
      <c r="V79" s="119" t="str">
        <f t="shared" si="142"/>
        <v/>
      </c>
      <c r="W79" s="7" t="str">
        <f>IFERROR(IF(OR(B79="",BP79=1,BV79=1,NOT(ISNUMBER(EN79)),N(DT79)=0),"",MAX(0,ROUNDDOWN((c_min*(Uн_лин*1000/SQRT(3))/(HT79*N(DT79))-_xlfn.XLOOKUP(A79,Щиты[Щит],Щиты[Zпетли на шинах, Ом]))*EN79/(2*ρкз_Cu),0))),"")</f>
        <v/>
      </c>
      <c r="Y79" t="str">
        <f>Линии[[#This Row],[_авто утечка]]</f>
        <v/>
      </c>
      <c r="Z79">
        <v>1</v>
      </c>
      <c r="AA79">
        <v>230</v>
      </c>
      <c r="AB79" t="s">
        <v>598</v>
      </c>
      <c r="AC79">
        <v>0.5</v>
      </c>
      <c r="AG79" t="s">
        <v>810</v>
      </c>
      <c r="AI79" t="s">
        <v>576</v>
      </c>
      <c r="AK79" t="str">
        <f>Линии[[#This Row],[_авто модуль]]</f>
        <v/>
      </c>
      <c r="AM79">
        <v>43</v>
      </c>
      <c r="AN79" t="s">
        <v>11</v>
      </c>
      <c r="AO79">
        <v>3</v>
      </c>
      <c r="AR79">
        <v>28</v>
      </c>
      <c r="AT79">
        <v>1</v>
      </c>
      <c r="BA79" cm="1">
        <f t="array" ref="BA79">ROW()-ROW(Линии[#Headers])</f>
        <v>77</v>
      </c>
      <c r="BC79" s="6" t="str">
        <f t="shared" si="143"/>
        <v>K</v>
      </c>
      <c r="BD79" t="str">
        <f t="shared" si="144"/>
        <v>11</v>
      </c>
      <c r="BE79" t="str">
        <f t="shared" si="145"/>
        <v>11</v>
      </c>
      <c r="BF79" t="str">
        <f t="shared" si="146"/>
        <v/>
      </c>
      <c r="BG79" t="str">
        <f t="shared" si="147"/>
        <v/>
      </c>
      <c r="BH79" t="str">
        <f>IF(X79&lt;&gt;"",X79,IF(AND(B79&lt;&gt;"",B79&lt;&gt;A79,ISNUMBER(_xlfn.XMATCH(B79,Щиты[Щит]))),B79,""))</f>
        <v/>
      </c>
      <c r="BI79" t="str" cm="1">
        <f t="array" ref="BI79">IF(B79="","",IF(BH79&lt;&gt;"","Щит "&amp;BH79,_xlfn.LET(_xlpm.nm,IFERROR(_xlfn.XLOOKUP(BC79,Коды_код,Коды_имя)&amp;"",""),_xlpm.md,IFERROR(N(_xlfn.XLOOKUP(BC79,Коды_код,Коды_режим)),1),_xlpm.ex,IF(Имя_режим="по экспликации",IFERROR(_xlfn.XLOOKUP(BE79&amp;"|"&amp;BG79,Экспликация[Этаж]&amp;"|"&amp;Экспликация[Помещение],Экспликация[Название])&amp;"",""),""),_xlpm.rm,IF(BG79="","",IF(_xlpm.ex&lt;&gt;"",". "&amp;_xlpm.ex&amp;IF(Имя_пом="нет"," ("&amp;BG79&amp;")"," (пом. "&amp;BG79&amp;")"),IF(Имя_пом="нет"," ",", пом. ")&amp;BG79)),IF(_xlpm.nm="","",IF(_xlpm.md=2,_xlpm.nm&amp;" шлейф "&amp;BE79,_xlpm.nm&amp;_xlpm.rm)))))</f>
        <v>Внутренний блок кондиционирования</v>
      </c>
      <c r="BJ79" t="str">
        <f t="shared" si="148"/>
        <v>Внешний блок кондиционирования Пом. Венткиосок</v>
      </c>
      <c r="BK79">
        <f>IFERROR(_xlfn.XMATCH(A79,Щиты[Щит]),0)</f>
        <v>4</v>
      </c>
      <c r="BL79">
        <f>_xlfn.LET(_xlpm.k,IFERROR(_xlfn.XLOOKUP(A79,Щиты[Щит],Щиты[Мест под вводной узел]),""),IF(_xlpm.k="",Столбцов_на_лист,N(_xlpm.k)))</f>
        <v>13</v>
      </c>
      <c r="BM79">
        <f t="shared" si="149"/>
        <v>43</v>
      </c>
      <c r="BN79" t="str">
        <f t="shared" si="150"/>
        <v>линии</v>
      </c>
      <c r="BO79" s="6">
        <f>IFERROR(N(_xlfn.XLOOKUP(BC79,Коды_код,Коды_квт)),0)</f>
        <v>0</v>
      </c>
      <c r="BP79">
        <f t="shared" si="151"/>
        <v>0</v>
      </c>
      <c r="BQ79" t="str">
        <f>IF(B79="","",IF(BH79&lt;&gt;"",IFERROR(_xlfn.XLOOKUP(BH79,Щиты[Щит],Щиты[Руст, кВт]),0),IF(BP79=1,IF(OR(N(_xlfn.XLOOKUP(A79,Щиты[Щит],Щиты[Вводов],1))&lt;=1,LOWER(TRIM(_xlfn.XLOOKUP(A79,Щиты[Щит],Щиты[АВР],"")&amp;""))="да"),IFERROR(_xlfn.XLOOKUP(A79,Щиты[Щит],Щиты[Руст, кВт]),0),SUMIFS(Линии[_Р для вводов],Линии[Щит],A79,Линии[Источник для режимов],GF79)),IF(BO79&gt;0,ROUND(BO79*MAX(1,N(D79)),3),""))))</f>
        <v/>
      </c>
      <c r="BR79">
        <f t="shared" si="152"/>
        <v>1.9</v>
      </c>
      <c r="BS79" s="6">
        <f>IF(B79="","",IF(BH79&lt;&gt;"",IFERROR(_xlfn.XLOOKUP(BH79,Щиты[Щит],Щиты[Руст, кВт]),0),N(BR79)))</f>
        <v>1.9</v>
      </c>
      <c r="BT79" t="str">
        <f>IF(B79="","",IFERROR(IF(VLOOKUP(BC79,Потребители_обозначение,8,FALSE)=0,"",VLOOKUP(BC79,Потребители_обозначение,8,FALSE)),""))</f>
        <v/>
      </c>
      <c r="BU79">
        <f t="shared" si="153"/>
        <v>230</v>
      </c>
      <c r="BV79">
        <f t="shared" si="154"/>
        <v>0</v>
      </c>
      <c r="BW79">
        <f>IF(B79="","",IF(BH79&lt;&gt;"",3,IFERROR(IF(N(VLOOKUP(BC79,Потребители_обозначение,9,FALSE))=0,1,VLOOKUP(BC79,Потребители_обозначение,9,FALSE)),1)))</f>
        <v>1</v>
      </c>
      <c r="BX79">
        <f t="shared" si="155"/>
        <v>1</v>
      </c>
      <c r="BY79" t="str">
        <f>IF(B79="","",_xlfn.LET(_xlpm.bc,IFERROR(IF(VLOOKUP(BC79,Потребители_обозначение,6,FALSE)=0,"",VLOOKUP(BC79,Потребители_обозначение,6,FALSE)&amp;""),""),IF(AND(GA79="да",OR(_xlpm.bc="",_xlpm.bc="мс")),Марка_пож,IF(AND(_xlpm.bc="",BH79&lt;&gt;""),"мс",_xlpm.bc))))</f>
        <v/>
      </c>
      <c r="BZ79" t="str">
        <f t="shared" si="156"/>
        <v>мс</v>
      </c>
      <c r="CA79">
        <f>IF(B79="","",_xlfn.LET(_xlpm.cc,IFERROR(N(VLOOKUP(BC79,Потребители_обозначение,7,FALSE)),0),IF(_xlpm.cc&gt;0,_xlpm.cc,IF(BZ79="","",IF(BV79=1,2,IF(N(BX79)=3,5,3))))))</f>
        <v>3</v>
      </c>
      <c r="CB79">
        <f t="shared" si="157"/>
        <v>3</v>
      </c>
      <c r="CC79">
        <f>IFERROR(N(VLOOKUP(BC79,Потребители_обозначение,10,FALSE)),0)</f>
        <v>0</v>
      </c>
      <c r="CD79">
        <f>IFERROR(VLOOKUP(BC79,Потребители_обозначение,5,FALSE),0)</f>
        <v>1</v>
      </c>
      <c r="CE79" s="6" cm="1">
        <f t="array" ref="CE79">IF(B79="","",IF(BH79&lt;&gt;"",IFERROR(_xlfn.XLOOKUP(BH79,Щиты[Щит],Щиты[cos φ]),0.95),IF(BP79=1,IFERROR(_xlfn.XLOOKUP(A79,Щиты[Щит],Щиты[cos φ]),0.95),IF(ISNUMBER(AD79),AD79,IFERROR(IF(CD79=2,_xlfn.IFS(BX79=3,VLOOKUP(BS79,Справочная_двигатели,8,FALSE),BX79=1,VLOOKUP(BS79,Справочная_двигатели,10,TRUE)),IF(AND(Методика="нормы 2026",FG79="Сил"),0.8,0.95)),0.95)))))</f>
        <v>0.8</v>
      </c>
      <c r="CF79">
        <f t="shared" si="158"/>
        <v>0</v>
      </c>
      <c r="CG79">
        <f t="shared" si="159"/>
        <v>1</v>
      </c>
      <c r="CH79">
        <f t="shared" si="160"/>
        <v>0</v>
      </c>
      <c r="CI79">
        <f>IF(B79="","",IF(BV79=1,IFERROR(BS79/((Uн_лин/SQRT(3))*MAX(0.5,N(CE79))),0),N(O79)))</f>
        <v>10.284051669940206</v>
      </c>
      <c r="CJ79">
        <f t="shared" si="161"/>
        <v>0</v>
      </c>
      <c r="CK79">
        <f t="shared" si="162"/>
        <v>0</v>
      </c>
      <c r="CL79">
        <f t="shared" si="163"/>
        <v>0</v>
      </c>
      <c r="CM79">
        <f t="shared" si="164"/>
        <v>0</v>
      </c>
      <c r="CN79">
        <f t="shared" si="165"/>
        <v>0</v>
      </c>
      <c r="CO79">
        <f>IF(BC79="",0,_xlfn.LET(_xlpm.v,IFERROR(_xlfn.XLOOKUP(B79,Коды_код,Коды_мА),IFERROR(_xlfn.XLOOKUP(BC79,Коды_код,Коды_мА),IFERROR(_xlfn.XLOOKUP(LEFT(BC79,2),Коды_код,Коды_мА),""))),IF(_xlpm.v="да",30,IF(ISNUMBER(_xlpm.v),_xlpm.v,0))))</f>
        <v>0</v>
      </c>
      <c r="CP79" t="str">
        <f t="shared" si="166"/>
        <v/>
      </c>
      <c r="CQ79" t="str">
        <f>_xlfn.LET(_xlpm.k,IFERROR(_xlfn.XLOOKUP(BC79,Коды_код,Коды_утечка)&amp;"",""),IF(_xlpm.k="","дифавтомат",_xlpm.k))</f>
        <v>дифавтомат</v>
      </c>
      <c r="CR79" t="str" cm="1">
        <f t="array" ref="CR79">IF(CG79=0,"",_xlfn.LET(_xlpm.sg,TRIM(_xlfn.TEXTSPLIT(DD79&amp;"",";")),_xlpm.f_,_xlfn._xlws.FILTER(_xlpm.sg,LEFT(_xlpm.sg,3)="УЗО",""),IFERROR(INDEX(_xlpm.f_,1)&amp;"","")))</f>
        <v/>
      </c>
      <c r="CS79" t="str">
        <f t="shared" si="167"/>
        <v/>
      </c>
      <c r="CT79" s="6" t="str" cm="1">
        <f t="array" ref="CT79">IF(CR79="","",_xlfn.LET(_xlpm.tk,_xlfn.TEXTSPLIT(UPPER(CR79)," ",,TRUE),_xlpm.a_,_xlfn._xlws.FILTER(_xlpm.tk,ISNUMBER(--LEFT(_xlpm.tk,1))*((ISNUMBER(SEARCH("А",_xlpm.tk))+ISNUMBER(SEARCH("A",_xlpm.tk)))&gt;0)*NOT(ISNUMBER(SEARCH("МА",_xlpm.tk)))*NOT(ISNUMBER(SEARCH("MA",_xlpm.tk))),""),IFERROR(--SUBSTITUTE(SUBSTITUTE(INDEX(_xlpm.a_,1),"А",""),"A",""),"")))</f>
        <v/>
      </c>
      <c r="CU79" t="str" cm="1">
        <f t="array" ref="CU79">IF(CR79="","",_xlfn.LET(_xlpm.tk,_xlfn.TEXTSPLIT(UPPER(CR79)," ",,TRUE),_xlpm.a_,_xlfn._xlws.FILTER(_xlpm.tk,ISNUMBER(--LEFT(_xlpm.tk,1))*((ISNUMBER(SEARCH("МА",_xlpm.tk))+ISNUMBER(SEARCH("MA",_xlpm.tk)))&gt;0),""),IFERROR(--SUBSTITUTE(SUBSTITUTE(INDEX(_xlpm.a_,1),"МА",""),"MA",""),30)))</f>
        <v/>
      </c>
      <c r="CV79" t="str">
        <f>IF(CS79="","",IFERROR(_xlfn.XLOOKUP(CS79,Линии[_n],Линии[_УЗО, мА]),30))</f>
        <v/>
      </c>
      <c r="CW79">
        <f>IF(CS79="",0,IF(ISNUMBER(SEARCH("4P",IFERROR(_xlfn.XLOOKUP(CS79,Линии[_n],Линии[_УЗО строки])&amp;"",""))),0,1))</f>
        <v>0</v>
      </c>
      <c r="CX79" t="str">
        <f>IF(AND(CS79&lt;&gt;"",CS79=BA79),SUMIFS(Линии[_ток на 230 В],Линии[_блок УЗО],BA79,Линии[Щит],A79),"")</f>
        <v/>
      </c>
      <c r="CY79" t="str">
        <f>IF(AND(CS79&lt;&gt;"",CS79=BA79),SUMIFS(Линии[_ток утечки линии, мА],Линии[_блок УЗО],BA79,Линии[Щит],A79),"")</f>
        <v/>
      </c>
      <c r="CZ79">
        <f t="shared" si="168"/>
        <v>0</v>
      </c>
      <c r="DA79">
        <f t="shared" si="169"/>
        <v>0</v>
      </c>
      <c r="DB79">
        <f>IF(B79="",0,IFERROR(--_xlfn.XLOOKUP(B79,Коды_код,Коды_минавт),IFERROR(--_xlfn.XLOOKUP(BC79,Коды_код,Коды_минавт),IFERROR(--_xlfn.XLOOKUP(LEFT(BC79,2),Коды_код,Коды_минавт),0))))</f>
        <v>0</v>
      </c>
      <c r="DC79" t="str">
        <f>IF(B79="","",IFERROR(_xlfn.XLOOKUP(BC79,Коды_код,Коды_апп)&amp;"",""))</f>
        <v/>
      </c>
      <c r="DD79" t="str">
        <f t="shared" si="170"/>
        <v/>
      </c>
      <c r="DE79" t="str" cm="1">
        <f t="array" ref="DE79">IF(TRIM(DD79&amp;"")="","",IFERROR(TRIM(INDEX(_xlfn.TEXTSPLIT(DD79&amp;";;;",";"),1)),""))</f>
        <v/>
      </c>
      <c r="DF79" t="str" cm="1">
        <f t="array" ref="DF79">IF(TRIM(DD79&amp;"")="","",IFERROR(TRIM(INDEX(_xlfn.TEXTSPLIT(DD79&amp;";;;",";"),2)),""))</f>
        <v/>
      </c>
      <c r="DG79" t="str" cm="1">
        <f t="array" ref="DG79">IF(TRIM(DD79&amp;"")="","",IFERROR(TRIM(INDEX(_xlfn.TEXTSPLIT(DD79&amp;";;;",";"),3)),""))</f>
        <v/>
      </c>
      <c r="DH79">
        <f t="shared" si="171"/>
        <v>0</v>
      </c>
      <c r="DI79" t="str">
        <f>IF(B79="","",_xlfn.LET(_xlpm.t,LOWER(AZ79&amp;""),IF(ISNUMBER(SEARCH("dim",_xlpm.t)),"DIM",IF(ISNUMBER(SEARCH("dali",_xlpm.t)),"DALI",IF(OR(ISNUMBER(SEARCH("relay",_xlpm.t)),ISNUMBER(SEARCH("реле",_xlpm.t))),"Relay",IF(ISNUMBER(SEARCH("кнопк",_xlpm.t)),"",IFERROR(_xlfn.XLOOKUP(BC79,Коды_код,Коды_упр)&amp;"","")))))))</f>
        <v/>
      </c>
      <c r="DJ79" t="str">
        <f t="shared" si="172"/>
        <v/>
      </c>
      <c r="DK79">
        <f>IF(B79="","",_xlfn.LET(_xlpm.ig,IF(N(CX79)&gt;0,N(CX79),N(CI79)+IF(AJ79="вручную",0,N(CJ79))),_xlpm.n0,IFERROR(VLOOKUP(_xlpm.ig,Автомат_номиналы,2,TRUE),0),_xlpm.mn,MAX(DB79,IF(AJ79="вручную",0,N(CM79))),MAX(_xlpm.n0,_xlpm.mn,IF(DH79=1,Мин_автомат_БП,0))))</f>
        <v>16</v>
      </c>
      <c r="DL79">
        <f t="shared" si="173"/>
        <v>1</v>
      </c>
      <c r="DM79" t="str">
        <f t="shared" si="174"/>
        <v>1P</v>
      </c>
      <c r="DN79" t="str">
        <f>_xlfn.LET(_xlpm.cc,UPPER(TRIM(IFERROR(_xlfn.XLOOKUP(BC79,Коды_код,Коды_хар)&amp;"",""))),IF(OR(_xlpm.cc="B",_xlpm.cc="В"),"B",IF(_xlpm.cc="D","D","С")))</f>
        <v>С</v>
      </c>
      <c r="DO79" t="str">
        <f t="shared" si="175"/>
        <v>1P С16А</v>
      </c>
      <c r="DP79">
        <f t="shared" si="176"/>
        <v>16</v>
      </c>
      <c r="DQ79" t="str">
        <f t="shared" si="177"/>
        <v>1P С16А</v>
      </c>
      <c r="DR79" cm="1">
        <f t="array" ref="DR79">IF(DQ79="","",_xlfn.LET(_xlpm.t,SUBSTITUTE(SUBSTITUTE(SUBSTITUTE(UPPER(DQ79),"С","C"),"А","A"),"В","B"),_xlpm.tk,_xlfn.TEXTSPLIT(_xlpm.t," "),_xlpm.f,_xlfn._xlws.FILTER(_xlpm.tk,ISNUMBER(--MID(_xlpm.tk,2,1))*ISNUMBER(SEARCH(LEFT(_xlpm.tk,1)&amp;"#","B#C#D#"))*(LEN(_xlpm.tk)&gt;1),""),_xlpm.x,INDEX(_xlpm.f,1),IFERROR(--SUBSTITUTE(MID(_xlpm.x,2,9),"A",""),IFERROR(--SUBSTITUTE(INDEX(_xlfn._xlws.FILTER(_xlpm.tk,ISNUMBER(--SUBSTITUTE(_xlpm.tk,"A","")),""),1),"A",""),""))))</f>
        <v>16</v>
      </c>
      <c r="DS79" t="str">
        <f t="shared" si="178"/>
        <v>ok</v>
      </c>
      <c r="DT79">
        <f t="shared" si="179"/>
        <v>16</v>
      </c>
      <c r="DU79" t="str">
        <f t="shared" si="180"/>
        <v>1P С16А</v>
      </c>
      <c r="DV79">
        <f t="shared" si="181"/>
        <v>0</v>
      </c>
      <c r="DW79">
        <f t="shared" si="182"/>
        <v>0</v>
      </c>
      <c r="DX79">
        <f t="shared" si="183"/>
        <v>0</v>
      </c>
      <c r="DY79">
        <f t="shared" si="184"/>
        <v>10.284051669940206</v>
      </c>
      <c r="DZ79">
        <f t="shared" si="185"/>
        <v>1</v>
      </c>
      <c r="EA79">
        <f>IF(ISNUMBER(AP79),AP79,К_прокл)</f>
        <v>1</v>
      </c>
      <c r="EB79">
        <f t="shared" si="186"/>
        <v>2</v>
      </c>
      <c r="EC79">
        <f>IFERROR(N(VLOOKUP(BZ79,Кабель_обозначение,3,FALSE)),1)</f>
        <v>1</v>
      </c>
      <c r="ED79">
        <f>IFERROR(N(_xlfn.XLOOKUP(A79,Щиты[Щит],Щиты[ΔU до шин, %])),0)</f>
        <v>0.64</v>
      </c>
      <c r="EE79" t="str">
        <f>IFERROR(_xlfn.XLOOKUP(A79,Щиты[Щит],Щиты[Zпетли на шинах, Ом]),"")</f>
        <v/>
      </c>
      <c r="EF79">
        <f>IFERROR(N(_xlfn.XLOOKUP(A79,Щиты[Щит],Щиты[ΔU до шин (подбор), %])),0)</f>
        <v>0.75</v>
      </c>
      <c r="EG79" t="str">
        <f>IFERROR(_xlfn.XLOOKUP(A79,Щиты[Щит],Щиты[Zпетли на шинах (подбор), Ом]),"")</f>
        <v/>
      </c>
      <c r="EH79" t="str">
        <f t="shared" si="187"/>
        <v/>
      </c>
      <c r="EI79">
        <f t="shared" si="188"/>
        <v>32</v>
      </c>
      <c r="EJ79">
        <f t="shared" si="189"/>
        <v>2</v>
      </c>
      <c r="EK79">
        <f t="shared" si="190"/>
        <v>0.6</v>
      </c>
      <c r="EL79" s="6">
        <f>IF(B79="","",IF(BV79=1,dU_LED,IF(IFERROR(_xlfn.XLOOKUP(BC79,Коды_код,Коды_уго),"")="Светильник",3,4)+IF(Методика="нормы 2026",MIN(0.5,MAX(0,N(P79)-100)*0.005),0)))</f>
        <v>4</v>
      </c>
      <c r="EM79" cm="1">
        <f t="array" ref="EM79">IF(OR(B79="",BZ79="",EC79&lt;&gt;1),"",_xlfn.LET(_xlpm.sz,Iдоп_S,_xlpm.t_,CHOOSE(EB79,Iдоп_1ж,Iдоп_2ж,Iдоп_3ж)*DZ79*EA79,_xlpm.dcx,BV79=1,_xlpm.inn,IF(_xlpm.dcx,N(O79),N(DT79)),_xlpm.smin,MAX(1.5,CC79),_xlpm.L_,N(P79)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79)/N(BU79)*100,999),IFERROR(N(EJ79)*(_xlpm.rho*_xlpm.L_/_xlpm.sz*N(CE79)+_xlpm.xx*_xlpm.L_*N(EK79)/1000)*N(O79)/((Uн_лин/SQRT(3))*1000)*100,999)),_xlpm.kz,IF(OR(_xlpm.dcx,DW79=1,NOT(ISNUMBER(EG79)),_xlpm.L_=0,_xlpm.inn=0),1,IFERROR(--(c_min*(Uн_лин*1000/SQRT(3))/(EG79+2*ρкз_Cu*_xlpm.L_/_xlpm.sz)&gt;=HT79*_xlpm.inn),0)),_xlpm.ok,IFERROR((_xlpm.sz&gt;=_xlpm.smin)*(_xlpm.t_&gt;=_xlpm.inn)*IF(_xlpm.L_&gt;0,(_xlpm.du_+IF(_xlpm.dcx,0,EF79)&lt;=EL79+0.00001),1)*_xlpm.kz,0),_xlpm.r_,_xlfn._xlws.FILTER(_xlpm.sz,_xlpm.ok,"не подобрано"),INDEX(_xlpm.r_,1)))</f>
        <v>2.5</v>
      </c>
      <c r="EN79">
        <f t="shared" si="191"/>
        <v>2.5</v>
      </c>
      <c r="EO79" cm="1">
        <f t="array" ref="EO79">IF(OR(B79="",BZ79="",EC79&lt;&gt;1),"",_xlfn.LET(_xlpm.sz,Iдоп_S,_xlpm.t_,CHOOSE(EB79,Iдоп_1ж,Iдоп_2ж,Iдоп_3ж)*DZ79*EA79,_xlpm.ok,IFERROR((_xlpm.sz&gt;=MAX(1.5,CC79))*(_xlpm.t_&gt;=N(DT79)),0),_xlpm.r_,_xlfn._xlws.FILTER(_xlpm.sz,_xlpm.ok,""),INDEX(_xlpm.r_,1)))</f>
        <v>1.5</v>
      </c>
      <c r="EP79" s="6" cm="1">
        <f t="array" ref="EP79">IFERROR(ROUNDUP(N(EJ79)*(_xlfn.XLOOKUP(EO79,INDEX(Кабель_сопротивление,0,1),INDEX(Кабель_сопротивление,0,3))*N(P79)/EO79*N(CE79)+_xlfn.XLOOKUP(EO79,INDEX(Кабель_сопротивление,0,1),INDEX(Кабель_сопротивление,0,2))*N(P79)*N(EK79)/1000)*N(O79)/((Uн_лин/SQRT(3))*1000)*100,2),"")</f>
        <v>3.44</v>
      </c>
      <c r="EQ79">
        <f>IFERROR(2*ρкз_Cu*N(P79)/EO79,"")</f>
        <v>1.1221333333333334</v>
      </c>
      <c r="ER79">
        <f>IFERROR(VLOOKUP(EN79,Кабель_сопротивление,3,FALSE),"")</f>
        <v>2.2499999999999999E-2</v>
      </c>
      <c r="ES79">
        <f>IFERROR(VLOOKUP(EN79,Кабель_сопротивление,2,FALSE),"")</f>
        <v>0.1</v>
      </c>
      <c r="ET79">
        <f t="shared" si="192"/>
        <v>28</v>
      </c>
      <c r="EU79">
        <f t="shared" si="193"/>
        <v>0</v>
      </c>
      <c r="EV79">
        <f t="shared" si="194"/>
        <v>4.778381767921017</v>
      </c>
      <c r="EW79" s="6">
        <f>IFERROR(ROUNDUP(EV79/IF(BV79=1,BU79,(Uн_лин/SQRT(3))*1000)*100,2),"")</f>
        <v>2.0699999999999998</v>
      </c>
      <c r="EX79" t="str">
        <f>IFERROR(VLOOKUP(BZ79,Кабель_обозначение,2,FALSE),"")</f>
        <v>ВВГнг(А)-LS</v>
      </c>
      <c r="EY79" t="str">
        <f t="shared" si="195"/>
        <v>ВВГнг(А)-LS (3х2,5)</v>
      </c>
      <c r="EZ79" t="str">
        <f t="shared" si="196"/>
        <v>ВВГнг(А)-LS (3х2,5)
L=32-2,07%</v>
      </c>
      <c r="FA79">
        <f>IFERROR(2*ρкз_Cu*P79/EN79,"")</f>
        <v>0.67327999999999999</v>
      </c>
      <c r="FB79">
        <f t="shared" si="197"/>
        <v>0.22400000000000003</v>
      </c>
      <c r="FC79" s="6" t="str">
        <f>IFERROR(IF(OR(B79="",BV79=1,NOT(ISNUMBER(EN79)),N(P79)=0),"",_xlfn.XLOOKUP(A79,Щиты[Щит],Щиты[Zпетли на шинах, Ом])+FA79),"")</f>
        <v/>
      </c>
      <c r="FD79" s="6" t="str">
        <f>IF(ISNUMBER(FC79),c_min*(Uн_лин*1000/SQRT(3))/FC79,"")</f>
        <v/>
      </c>
      <c r="FE79" s="6" t="str">
        <f>IFERROR(IF(OR(B79="",NOT(ISNUMBER(EN79))),"",1.05*(Uн_лин*1000/SQRT(3))/(_xlfn.XLOOKUP(A79,Щиты[Щит],Щиты[Zmax на шинах, Ом])+FB79)/1000),"")</f>
        <v/>
      </c>
      <c r="FF79" s="6" t="str">
        <f>IF(B79="","",IF(ISNUMBER(AC79),"Сил",IF(IFERROR(_xlfn.XLOOKUP(BC79,Коды_код,Коды_группа)&amp;"","")="","Быт",_xlfn.XLOOKUP(BC79,Коды_код,Коды_группа)&amp;"")))</f>
        <v>Сил</v>
      </c>
      <c r="FG79" s="6" t="str">
        <f t="shared" si="198"/>
        <v>Сил</v>
      </c>
      <c r="FH79" s="6">
        <f>IF(FG79="Щит","щит",IF(FG79="","",IF(FG79="Быт",IFERROR(_xlfn.XLOOKUP(A79,Щиты[Щит],Щиты[Кс быт]),1),IF(FG79="Сил",IF(ISNUMBER(AC79),AC79,IF(Методика="нормы 2026",IFERROR(_xlfn.XLOOKUP(A79,Щиты[Щит],Щиты[Кс силовых (табл. 7.5)]),1),1)),IF(OR(FG79="Пост",FG79="Отоп"),1,IF(FG79="ВНГ",0.7,0))))))</f>
        <v>0.5</v>
      </c>
      <c r="FI79">
        <f>IF(FG79="","",IF(AND(BP79=1,TRIM(AE79&amp;"")=""),IF(COUNTIFS(Линии[Щит],A79,Линии[Секция (1/2/3)],"&gt;=2")&gt;0,MIN(3,MAX(1,IFERROR(--BD79,1))),1),IFERROR(MIN(3,MAX(1,INT(--AE79))),1)))</f>
        <v>1</v>
      </c>
      <c r="FJ79">
        <f t="shared" si="199"/>
        <v>1.9</v>
      </c>
      <c r="FK79">
        <f t="shared" si="200"/>
        <v>0</v>
      </c>
      <c r="FL79">
        <f t="shared" si="201"/>
        <v>0.95</v>
      </c>
      <c r="FM79">
        <f t="shared" si="202"/>
        <v>0</v>
      </c>
      <c r="FN79">
        <f t="shared" si="203"/>
        <v>0</v>
      </c>
      <c r="FO79">
        <f t="shared" si="204"/>
        <v>0</v>
      </c>
      <c r="FP79">
        <f t="shared" si="205"/>
        <v>1.9</v>
      </c>
      <c r="FQ79">
        <f t="shared" si="206"/>
        <v>1.9</v>
      </c>
      <c r="FR79">
        <f t="shared" si="207"/>
        <v>1.52</v>
      </c>
      <c r="FS79">
        <f>IF(CG79=1,IF(AND(CH79=1,CW79=1),0,IF(AND(CS79&lt;&gt;"",CS79=BA79,CW79=1),SUMIFS(Линии[_Р линии, кВт],Линии[_блок УЗО],BA79,Линии[Щит],A79),N(BS79)+IF(AJ79="вручную",0,N(CK79)))),0)</f>
        <v>1.9</v>
      </c>
      <c r="FT79" t="str">
        <f t="shared" si="208"/>
        <v/>
      </c>
      <c r="FU79" t="str">
        <f>IF(B79="","",IF(CG79=0,IF(BA79=1,"",FW78),IF(AND(CH79=1,CW79=1,CS79&lt;&gt;""),IFERROR(_xlfn.XLOOKUP(CS79,Линии[_n],Линии[_фаза итог]),"L1"),IF(OR(N(DL79)&gt;=3,N(BX79)&gt;=3),"L1,L2,L3",IFERROR(_xlfn.TEXTBEFORE(_xlfn.TEXTAFTER(_xlfn.XLOOKUP(A79,Щиты[Щит],Щиты[_фазы авто]),";"&amp;BA79&amp;":"),";"),"L1")))))</f>
        <v>L1</v>
      </c>
      <c r="FV79" t="str">
        <f t="shared" si="209"/>
        <v>L1</v>
      </c>
      <c r="FW79" t="str">
        <f t="shared" si="210"/>
        <v>L1</v>
      </c>
      <c r="FX79" cm="1">
        <f t="array" ref="FX79">IFERROR(IF(CD79=2,_xlfn.IFS(BX79=3,VLOOKUP(BS79,Справочная_двигатели,3,FALSE),BX79=1,VLOOKUP(BS79,Справочная_двигатели,5,TRUE)),0),0)</f>
        <v>0</v>
      </c>
      <c r="FY79">
        <f>IFERROR(IF(CD79=3,VLOOKUP(BS79,Справочная_ЛЭД,2,TRUE),0),0)</f>
        <v>0</v>
      </c>
      <c r="FZ79" s="6">
        <f t="shared" si="211"/>
        <v>0</v>
      </c>
      <c r="GA79" t="str">
        <f>IF(B79="","",IF(TRIM(AH79&amp;"")&lt;&gt;"",IF(LOWER(TRIM(AH79&amp;""))="да","да","нет"),IF(IFERROR(_xlfn.XLOOKUP(BC79,Коды_код,Коды_пожарная),"")="да","да","нет")))</f>
        <v>нет</v>
      </c>
      <c r="GB79" t="str">
        <f t="shared" si="212"/>
        <v/>
      </c>
      <c r="GC79" t="str">
        <f t="shared" si="213"/>
        <v>основная</v>
      </c>
      <c r="GD79">
        <f>IF(AND(BP79=1,TRIM(AE79&amp;"")=""),IF(COUNTIFS(Линии[Щит],A79,Линии[Секция (1/2/3)],"&gt;=2")&gt;0,MIN(3,MAX(1,IFERROR(--BD79,1))),1),IFERROR(MIN(3,MAX(1,INT(--AE79))),1))</f>
        <v>1</v>
      </c>
      <c r="GE79" t="str" cm="1">
        <f t="array" ref="GE79">IF(B79="","",_xlfn.LET(_xlpm.t,IFERROR(_xlfn.XLOOKUP(1,(Шины[Шина]=GC79)*(((Шины[Щит]=A79)+(Шины[Щит]=""))&gt;0),Шины[Тип]),"")&amp;"",IF(_xlpm.t&lt;&gt;"",_xlpm.t,IF(ISNUMBER(SEARCH("ИБП",GC79)),"ИБП",IF(ISNUMBER(SEARCH("ДГУ",GC79)),"ДГУ","Ввод "&amp;GD79)))))</f>
        <v>Ввод 1</v>
      </c>
      <c r="GF79" t="str">
        <f t="shared" si="214"/>
        <v>Ввод 1</v>
      </c>
      <c r="GG79" t="str">
        <f>IF(BP79=0,"",IF(TRIM(AG79&amp;"")&lt;&gt;"",TRIM(AG79&amp;""),IF(OR(GE79="ИБП",GE79="ДГУ"),"I особая",_xlfn.XLOOKUP(A79,Щиты[Щит],Щиты[Категория шины «Ввод»],"III"))))</f>
        <v/>
      </c>
      <c r="GH79" t="str">
        <f>IF(A79="","",_xlfn.XLOOKUP(A79,Щиты[Щит],Щиты[Путь],""))</f>
        <v>|ГРЩ-ЖД|ЩОВ-001|</v>
      </c>
      <c r="GI79" t="str">
        <f>IF(B79="","",IF(AI79&lt;&gt;"",AI79,IF(IFERROR(_xlfn.XLOOKUP(BC79,Коды_код,Коды_вид)&amp;"","")="","Прочее",_xlfn.XLOOKUP(BC79,Коды_код,Коды_вид)&amp;"")))</f>
        <v>Кондиционирование и увлажнение</v>
      </c>
      <c r="GJ79">
        <f>IF(BM79="","",INT((BM79-1)/Столбцов_на_лист)+1)</f>
        <v>3</v>
      </c>
      <c r="GK79" t="str">
        <f t="shared" si="215"/>
        <v>ВВГнг(А)-LS (3х2,5) L=32-2,07%</v>
      </c>
      <c r="GL79">
        <f t="shared" si="216"/>
        <v>1.9</v>
      </c>
      <c r="GM79">
        <f t="shared" si="217"/>
        <v>10.29</v>
      </c>
      <c r="GN79">
        <f t="shared" si="218"/>
        <v>1</v>
      </c>
      <c r="GO79">
        <f t="shared" si="219"/>
        <v>0</v>
      </c>
      <c r="GP79">
        <f t="shared" si="220"/>
        <v>1</v>
      </c>
      <c r="GQ79">
        <f>IF(BM79="","",IF(AND(CG79=1,GP79=1),COUNTIFS(A$3:A79,A79,CG$3:CG79,1,GP$3:GP79,1),IF(OR(OR(BA79=1,A79&lt;&gt;A78),AJ79="вручную",GP79=0),"",IF(BA79=1,"",GR78))))</f>
        <v>26</v>
      </c>
      <c r="GR79">
        <f t="shared" si="221"/>
        <v>26</v>
      </c>
      <c r="GS79">
        <f>IF(B79="","",IFERROR(LOOKUP(INDEX(CHOOSE(EB79,Iдоп_1ж,Iдоп_2ж,Iдоп_3ж),MATCH(EN79,Iдоп_S,0))*DZ79*EA79,{6,10,16,20,25,32,40,50,63,80,100,125,160,200,250,315,400,500,630}),""))</f>
        <v>25</v>
      </c>
      <c r="GT79" t="str">
        <f t="shared" si="222"/>
        <v>QF26</v>
      </c>
      <c r="GU79" t="str">
        <f t="shared" si="223"/>
        <v>QF26</v>
      </c>
      <c r="GV79" t="str">
        <f t="shared" si="224"/>
        <v/>
      </c>
      <c r="GW79">
        <f t="shared" si="225"/>
        <v>0</v>
      </c>
      <c r="GX79" t="str">
        <f>IF(OR(B79="",DJ79=""),"",IFERROR(_xlfn.XLOOKUP(DJ79,Модули_умолч[Управление],Модули_умолч[Модель])&amp;"",""))</f>
        <v/>
      </c>
      <c r="GY79">
        <f>IF(DJ79="",1,IFERROR(MAX(0,N(_xlfn.XLOOKUP(DJ79,Модули_умолч[Управление],Модули_умолч[Каналов на линию]))),1))</f>
        <v>1</v>
      </c>
      <c r="GZ79" t="str">
        <f t="shared" si="226"/>
        <v/>
      </c>
      <c r="HA79" t="str">
        <f t="shared" si="227"/>
        <v/>
      </c>
      <c r="HB79" t="str">
        <f t="shared" si="228"/>
        <v/>
      </c>
      <c r="HC79">
        <f>IF(HB79="",0,IFERROR(N(VLOOKUP(HB79,Модули_спр,3,FALSE)),0))</f>
        <v>0</v>
      </c>
      <c r="HD79" t="str">
        <f t="shared" si="229"/>
        <v/>
      </c>
      <c r="HE79" t="str">
        <f t="shared" si="230"/>
        <v/>
      </c>
      <c r="HF79" t="str">
        <f>IF(OR(HE79="",HE79="-"),"",IFERROR(VLOOKUP(HE79,Модули_спр,2,FALSE),"R"))</f>
        <v/>
      </c>
      <c r="HG79" t="str">
        <f>IF(HF79="","",HF79&amp;"."&amp;COUNTIFS(A$3:A79,A79,HF$3:HF79,HF79))</f>
        <v/>
      </c>
      <c r="HH79" t="str">
        <f t="shared" si="231"/>
        <v/>
      </c>
      <c r="HI79" t="str">
        <f t="shared" si="232"/>
        <v/>
      </c>
      <c r="HJ79" t="str">
        <f t="shared" si="233"/>
        <v/>
      </c>
      <c r="HK79" t="str">
        <f t="shared" si="234"/>
        <v/>
      </c>
      <c r="HL79">
        <f t="shared" si="235"/>
        <v>1</v>
      </c>
      <c r="HM79" t="str">
        <f>IF(HL79=1,"XT"&amp;COUNTIFS(A$3:A79,A79,HL$3:HL79,1),"")</f>
        <v>XT26</v>
      </c>
      <c r="HN79" t="str">
        <f t="shared" si="236"/>
        <v/>
      </c>
      <c r="HO79" t="str">
        <f t="shared" si="237"/>
        <v>QF26</v>
      </c>
      <c r="HP79" t="str">
        <f t="shared" si="238"/>
        <v/>
      </c>
      <c r="HQ79" t="str">
        <f t="shared" si="239"/>
        <v>ok</v>
      </c>
      <c r="HR79" t="str">
        <f>IF(OR(HJ79="",HH79=""),"",IF(HJ79+MAX(0,GY79-1)&gt;IFERROR(VLOOKUP(HI79,Модули_спр,3,FALSE),99),"ЛИШНИЙ КАНАЛ",IF(AND(AL79&lt;&gt;"=",GY79&gt;0,COUNTIFS(Линии[_модуль гр.],HH79,Линии[Канал (итог)],HJ79,Линии[Канал],"&lt;&gt;=",Линии[Щит],A79)&gt;1),"ДУБЛЬ КАНАЛА","")))</f>
        <v/>
      </c>
      <c r="HS79" s="6" t="str">
        <f t="shared" si="240"/>
        <v/>
      </c>
      <c r="HT79">
        <f t="shared" si="241"/>
        <v>10</v>
      </c>
      <c r="HU79" t="str">
        <f t="shared" si="242"/>
        <v/>
      </c>
      <c r="HV79">
        <f t="shared" si="243"/>
        <v>4.4336206679760828</v>
      </c>
      <c r="HW79">
        <f t="shared" si="244"/>
        <v>0</v>
      </c>
      <c r="HX79">
        <f t="shared" si="245"/>
        <v>0</v>
      </c>
      <c r="HY79">
        <f t="shared" si="246"/>
        <v>0</v>
      </c>
      <c r="HZ79">
        <f t="shared" si="247"/>
        <v>0</v>
      </c>
      <c r="IA79">
        <f t="shared" si="248"/>
        <v>0</v>
      </c>
      <c r="IB79">
        <f t="shared" si="249"/>
        <v>0</v>
      </c>
      <c r="IC79" t="str">
        <f t="shared" si="250"/>
        <v/>
      </c>
      <c r="ID79" t="str" cm="1">
        <f t="array" ref="ID79">IF(IC79="","",_xlfn.LET(_xlpm.tk,_xlfn.TEXTSPLIT(SUBSTITUTE(SUBSTITUTE(IC79,";"," "),"→"," ")," ",,TRUE),_xlpm.w_,_xlfn._xlws.FILTER(_xlpm.tk,ISNUMBER(--LEFT(_xlpm.tk,1))*((ISNUMBER(SEARCH("W",_xlpm.tk))+ISNUMBER(SEARCH("Вт",_xlpm.tk)))&gt;0),""),IFERROR(--SUBSTITUTE(SUBSTITUTE(UPPER(INDEX(_xlpm.w_,1)),"W",""),"ВТ",""),"")))</f>
        <v/>
      </c>
      <c r="IE79" t="str" cm="1">
        <f t="array" ref="IE79">IF(IC79="","",_xlfn.LET(_xlpm.tk,_xlfn.TEXTSPLIT(SUBSTITUTE(SUBSTITUTE(IC79,";"," "),"→"," ")," ",,TRUE),_xlpm.v_,_xlfn._xlws.FILTER(_xlpm.tk,ISNUMBER(--LEFT(_xlpm.tk,1))*((ISNUMBER(SEARCH("V",_xlpm.tk))+(RIGHT(UPPER(_xlpm.tk))="В"))&gt;0),""),IFERROR(--SUBSTITUTE(SUBSTITUTE(UPPER(INDEX(_xlpm.v_,1)),"V",""),"В",""),"")))</f>
        <v/>
      </c>
      <c r="IF79" s="6" t="str">
        <f>IF(OR(BV79=0,HI79="",HJ79=""),"",IFERROR(N(_xlfn.XLOOKUP(HI79,Каталог!$C$4:$C$500,Каталог!$Q$4:$Q$500)),""))</f>
        <v/>
      </c>
      <c r="IG79" s="6" t="str">
        <f>IF(N(IF79)=0,"",SUMIFS(Линии[Iр, А],Линии[Щит],A79,Линии[_модуль гр.],HH79,Линии[Канал (итог)],HJ79))</f>
        <v/>
      </c>
      <c r="IH79" t="str">
        <f>IF(AND(B79="",HO79=""),"",_xlfn.TEXTJOIN("; ",TRUE,IF(AND(B79&lt;&gt;"",FV79=""),"нет фазы",""),IF(AND(B79&lt;&gt;"",N(GL79)=0,FG79&lt;&gt;"Нет"),"нет мощности",""),IF(AND(HN79&lt;&gt;"",COUNTIFS(Линии[Щит],A79,Линии[Клемма (итог)],HN79)&gt;1),"дубль клеммы "&amp;HN79,""),IF(AND(HQ79&lt;&gt;"",HQ79&lt;&gt;"ok"),HQ79,""),IF(HR79&lt;&gt;"",HR79,""),IF(AND(N(CB79)&gt;=4,N(BX79)=1),CB79&amp;" жил на 1 фазе",""),IF(AND(BC79="R",CG79=1,IF(CS79&lt;&gt;"",N(CV79)&gt;30,OR(N(DA79)=0,N(DA79)&gt;30))),"розетка без дифзащиты до 30 мА",""),IF(AND(CG79=1,N(DA79)&gt;0,ISNUMBER(T79)),IF(T79&gt;N(DA79)/3,"ток утечки "&amp;FIXED(T79,1)&amp;" мА &gt; 1/3 уставки ("&amp;DA79&amp;" мА)",""),""),IF(AND(CH79=1,CS79=""),"«узо»: нет строки с УЗО выше (УЗО 2P 40А 30мА в «Аппаратах»)",""),IF(AND(CS79&lt;&gt;"",CS79=BA79),IF(CT79="","впишите номинал УЗО (УЗО 2P 40А 30мА)",IF(N(CT79)&lt;N(DT79),"УЗО "&amp;CT79&amp;" А &lt; автомата "&amp;DT79&amp;" А перед ним",IF(N(CT79)&lt;N(CX79),"УЗО "&amp;CT79&amp;" А &lt; тока блока "&amp;FIXED(CX79,1)&amp;" А",""))),""),IF(AND(CS79&lt;&gt;"",CS79=BA79,ISNUMBER(CY79)),IF(CY79&gt;N(CV79)/3,"ток утечки блока УЗО "&amp;FIXED(CY79,1)&amp;" мА &gt; 1/3 уставки ("&amp;CV79&amp;" мА)",""),""),IF(AND(CG79=1,N(BV79)+N(IB79)&gt;0,IC79=""),"линии до 50 В без БП: впишите в «Аппараты» (БП 24V 480W)",""),IF(AND(CG79=1,ISNUMBER(ID79),ISNUMBER(U79)),IF(U79&gt;ID79,"БП "&amp;ID79&amp;" Вт &lt; нужно "&amp;U79&amp;" Вт (×"&amp;Запас_БП&amp;")",""),""),IF(AND(CG79=1,ISNUMBER(IE79),N(BV79)=1),IF(IE79&lt;&gt;N(BU79),"БП на "&amp;IE79&amp;" В, линия "&amp;BU79&amp;" В",""),""),IF(AND(N(IF79)&gt;0,N(IG79)&gt;N(IF79)),HH79&amp;" канал "&amp;HJ79&amp;": "&amp;FIXED(IG79,1)&amp;" А &gt; "&amp;IF79&amp;" А",""),IFERROR(IF(AND(ISNUMBER(Q79),Q79&gt;EL79),"потери "&amp;FIXED(Q79,1)&amp;" % &gt; "&amp;EL79&amp;" %",""),""),IFERROR(IF(LEFT(HU79,4)="мало","Iкз мало — отключение &gt; 0,4 с",""),""),IF(AND(B79&lt;&gt;"",BM79=""),"не на схеме",""),IF(AND(CG79=0,B79&lt;&gt;"",FV79&lt;&gt;"",IF(BA79=1,"",FW78)&lt;&gt;"",FV79&lt;&gt;IF(BA79=1,"",FW78)),"фаза не как у автомата группы ("&amp;IF(BA79=1,"",FW78)&amp;")","")))</f>
        <v/>
      </c>
      <c r="II79" s="6">
        <f>IF(OR(CG79=0,DQ79=""),"",_xlfn.LET(_xlpm.t,IFERROR(_xlfn.XLOOKUP(DQ79,Каталог!$U$4:$U$500,Каталог!$G$4:$G$500),""),_xlpm.k,SEARCH("кА",_xlpm.t),IFERROR(--TRIM(RIGHT(SUBSTITUTE(MID(_xlpm.t,MAX(1,_xlpm.k-4),_xlpm.k-MAX(1,_xlpm.k-4))," ",REPT(" ",9)),5)),"")))</f>
        <v>6</v>
      </c>
      <c r="IJ79" t="str">
        <f>IF(OR(II79="",CG79=0),"",IF(_xlfn.XLOOKUP(A79,Щиты[Щит],Щиты[Iкз max на шинах, кА],"")="","",IF(II79&lt;_xlfn.XLOOKUP(A79,Щиты[Щит],Щиты[Iкз max на шинах, кА]),"Icu "&amp;II79&amp;" кА &lt; Iкз max","ok")))</f>
        <v/>
      </c>
      <c r="IK79" t="str">
        <f t="shared" si="251"/>
        <v/>
      </c>
      <c r="IL79" t="str">
        <f t="shared" si="252"/>
        <v>QF26</v>
      </c>
      <c r="IM79" t="str">
        <f t="shared" si="253"/>
        <v>QF26|кабель ВВГнг(А)-LS (3х2,5) → Внешний блок кондиционирования Пом. Венткиосок</v>
      </c>
      <c r="IN79" t="str" cm="1">
        <f t="array" ref="IN79">IF(IM79="","",_xlfn.LET(_xlpm.nd,_xlfn.TEXTSPLIT(IM79,"|"),IF(COLUMNS(_xlpm.nd)&gt;1,A79&amp;"¦"&amp;INDEX(_xlpm.nd,1)&amp;"¦"&amp;INDEX(_xlpm.nd,2),"")))</f>
        <v>ЩОВ-001¦QF26¦кабель ВВГнг(А)-LS (3х2,5) → Внешний блок кондиционирования Пом. Венткиосок</v>
      </c>
      <c r="IO79" t="str">
        <f t="shared" si="254"/>
        <v>K.11¦Внешний блок кондиционирования Пом. Венткиосок</v>
      </c>
      <c r="IP79" t="str" cm="1">
        <f t="array" ref="IP79">IF(IM79="","",_xlfn.LET(_xlpm.nd,_xlfn.TEXTSPLIT(IM79,"|"),IF(COLUMNS(_xlpm.nd)&gt;2,A79&amp;"¦"&amp;INDEX(_xlpm.nd,2)&amp;"¦"&amp;INDEX(_xlpm.nd,3),"")))</f>
        <v/>
      </c>
      <c r="IQ79" t="str">
        <f t="shared" si="255"/>
        <v/>
      </c>
      <c r="IR79" t="str" cm="1">
        <f t="array" ref="IR79">IF(IM79="","",_xlfn.LET(_xlpm.nd,_xlfn.TEXTSPLIT(IM79,"|"),IF(COLUMNS(_xlpm.nd)&gt;3,A79&amp;"¦"&amp;INDEX(_xlpm.nd,3)&amp;"¦"&amp;INDEX(_xlpm.nd,4),"")))</f>
        <v/>
      </c>
      <c r="IS79" t="str">
        <f t="shared" si="256"/>
        <v/>
      </c>
      <c r="IT79" t="str" cm="1">
        <f t="array" ref="IT79">IF(IM79="","",_xlfn.LET(_xlpm.nd,_xlfn.TEXTSPLIT(IM79,"|"),IF(COLUMNS(_xlpm.nd)&gt;4,A79&amp;"¦"&amp;INDEX(_xlpm.nd,4)&amp;"¦"&amp;INDEX(_xlpm.nd,5),"")))</f>
        <v/>
      </c>
      <c r="IU79" t="str">
        <f t="shared" si="257"/>
        <v/>
      </c>
      <c r="IV79" t="str" cm="1">
        <f t="array" ref="IV79">IF(IM79="","",_xlfn.LET(_xlpm.nd,_xlfn.TEXTSPLIT(IM79,"|"),IF(COLUMNS(_xlpm.nd)&gt;5,A79&amp;"¦"&amp;INDEX(_xlpm.nd,5)&amp;"¦"&amp;INDEX(_xlpm.nd,6),"")))</f>
        <v/>
      </c>
      <c r="IW79" t="str">
        <f t="shared" si="258"/>
        <v/>
      </c>
      <c r="IX79" t="str" cm="1">
        <f t="array" ref="IX79">IF(IM79="","",_xlfn.LET(_xlpm.nd,_xlfn.TEXTSPLIT(IM79,"|"),IF(COLUMNS(_xlpm.nd)&gt;6,A79&amp;"¦"&amp;INDEX(_xlpm.nd,6)&amp;"¦"&amp;INDEX(_xlpm.nd,7),"")))</f>
        <v/>
      </c>
      <c r="IY79" t="str">
        <f t="shared" si="259"/>
        <v/>
      </c>
      <c r="IZ79" t="str">
        <f t="shared" si="260"/>
        <v/>
      </c>
      <c r="JA79" t="str">
        <f t="shared" si="261"/>
        <v>QF26</v>
      </c>
      <c r="JB79">
        <f t="shared" si="262"/>
        <v>0</v>
      </c>
      <c r="JC79">
        <f t="shared" si="263"/>
        <v>0</v>
      </c>
      <c r="JD79" t="str">
        <f t="shared" si="264"/>
        <v/>
      </c>
      <c r="JE79" t="str">
        <f t="shared" si="265"/>
        <v/>
      </c>
      <c r="JF79" t="str">
        <f t="shared" si="266"/>
        <v/>
      </c>
      <c r="JG79" t="str">
        <f t="shared" si="267"/>
        <v/>
      </c>
      <c r="JH79">
        <f>IF(B79="","",IFERROR(_xlfn.XLOOKUP(B79,Коды_код,Коды_уго),IFERROR(_xlfn.XLOOKUP(BC79,Коды_код,Коды_уго),IFERROR(_xlfn.XLOOKUP(LEFT(BC79,2),Коды_код,Коды_уго),""))))</f>
        <v>0</v>
      </c>
      <c r="JI79" t="str">
        <f>IF(B79="","",IF(OR(JH79="",JH79=0),"BOX",IFERROR(IF(VLOOKUP(JH79,УГО_блоки,3,FALSE)&amp;""&lt;&gt;"",VLOOKUP(JH79,УГО_блоки,3,FALSE),VLOOKUP(JH79,УГО_блоки,2,FALSE)),JH79)))</f>
        <v>BOX</v>
      </c>
      <c r="JJ79">
        <f t="shared" si="268"/>
        <v>1</v>
      </c>
      <c r="JK79" t="str">
        <f>IF(DQ79="","",IF(COUNTIF(DQ$3:DQ79,DQ79)=1,MAX(JK$2:JK78)+1,""))</f>
        <v/>
      </c>
      <c r="JL79" t="str">
        <f>IF(DE79="","",IF(COUNTIF(DE$3:DE79,DE79)+COUNTIF(DF$2:DF78,DE79)+COUNTIF(DG$2:DG78,DE79)=1,MAX(JL$2:JN78)+1,""))</f>
        <v/>
      </c>
      <c r="JM79" t="str">
        <f>IF(DF79="","",IF(COUNTIF(DE$3:DE79,DF79)+COUNTIF(DF$3:DF79,DF79)+COUNTIF(DG$2:DG78,DF79)=1,MAX(JL$2:JN78,JL79)+1,""))</f>
        <v/>
      </c>
      <c r="JN79" t="str">
        <f>IF(DG79="","",IF(COUNTIF(DE$3:DE79,DG79)+COUNTIF(DF$3:DF79,DG79)+COUNTIF(DG$3:DG79,DG79)=1,MAX(JL$2:JN78,JL79,JM79)+1,""))</f>
        <v/>
      </c>
      <c r="JO79" t="str">
        <f t="shared" si="269"/>
        <v>3х2,5</v>
      </c>
      <c r="JP79" t="str">
        <f>IF(JO79="","",IF(COUNTIF(JO$3:JO79,JO79)=1,MAX(JP$2:JP78)+1,""))</f>
        <v/>
      </c>
      <c r="JQ79" t="str">
        <f>IF(HG79="","",COUNTIF(HG$3:HG79,"?*"))</f>
        <v/>
      </c>
      <c r="JR79" t="str">
        <f>IF(OR(HG79="",HI79=""),"",IF(COUNTIFS(HG$3:HG79,"?*",HI$3:HI79,HI79)=1,MAX(JR$2:JR78)+1,""))</f>
        <v/>
      </c>
      <c r="JS79">
        <f t="shared" si="270"/>
        <v>0</v>
      </c>
      <c r="JT79">
        <f>IF(B79="","",COUNTIF(B$3:B79,"?*"))</f>
        <v>77</v>
      </c>
      <c r="JU79">
        <f>IF(HL79&lt;&gt;1,0,_xlfn.LET(_xlpm.k,MAX(IFERROR(--_xlfn.XLOOKUP(B79,Коды_код,Коды_3L),0),IFERROR(--_xlfn.XLOOKUP(BC79,Коды_код,Коды_3L),0),IFERROR(--_xlfn.XLOOKUP(LEFT(BC79,2),Коды_код,Коды_3L),0)),IF(_xlpm.k&gt;0,_xlpm.k,IF(IFERROR(--LEFT(SUBSTITUTE(JO79,"x","х"),FIND("х",SUBSTITUTE(JO79,"x","х"))-1),3)&gt;3,Каталог!$S$9,1))))</f>
        <v>1</v>
      </c>
      <c r="JV79">
        <f t="shared" si="271"/>
        <v>0</v>
      </c>
      <c r="JW79" t="str">
        <f t="shared" si="272"/>
        <v>авто</v>
      </c>
      <c r="JX79" t="str">
        <f t="shared" si="273"/>
        <v/>
      </c>
      <c r="JY79">
        <f t="shared" si="274"/>
        <v>0</v>
      </c>
      <c r="JZ79">
        <f t="shared" si="275"/>
        <v>1</v>
      </c>
    </row>
    <row r="80" spans="1:286" x14ac:dyDescent="0.3">
      <c r="A80" t="s">
        <v>747</v>
      </c>
      <c r="B80" t="s">
        <v>1393</v>
      </c>
      <c r="C80" t="s">
        <v>1660</v>
      </c>
      <c r="D80">
        <v>1</v>
      </c>
      <c r="E80">
        <v>28</v>
      </c>
      <c r="G80">
        <v>63</v>
      </c>
      <c r="H80" t="str">
        <f>Линии[[#This Row],[_авто управление]]</f>
        <v/>
      </c>
      <c r="I80" t="str">
        <f>Линии[[#This Row],[_авто аппараты]]</f>
        <v/>
      </c>
      <c r="J80">
        <v>25</v>
      </c>
      <c r="K80">
        <v>34</v>
      </c>
      <c r="L80" t="str">
        <f>Линии[[#This Row],[_авто фаза]]</f>
        <v>L1,L2,L3</v>
      </c>
      <c r="M80" t="s">
        <v>484</v>
      </c>
      <c r="N80" t="str">
        <f t="shared" si="138"/>
        <v/>
      </c>
      <c r="O80" s="6" cm="1">
        <f t="array" ref="O80">IF(B80="","",IF(BH80&lt;&gt;"",IFERROR(_xlfn.XLOOKUP(BH80,Щиты[Щит],Щиты[Iр, А]),""),IF(BP80=1,IF(OR(N(_xlfn.XLOOKUP(A80,Щиты[Щит],Щиты[Вводов],1))&lt;=1,LOWER(TRIM(_xlfn.XLOOKUP(A80,Щиты[Щит],Щиты[АВР],"")&amp;""))="да"),IFERROR(_xlfn.XLOOKUP(A80,Щиты[Щит],Щиты[Iр, А]),""),IFERROR(N(BS80)*_xlfn.XLOOKUP(A80,Щиты[Щит],Щиты[Кс итог])/(SQRT(3)*Uн_лин*_xlfn.XLOOKUP(A80,Щиты[Щит],Щиты[cos φ])),"")),IF(BV80=1,IFERROR(BS80*1000/BU80,""),IFERROR(_xlfn.IFS(BX80=1,BS80/((Uн_лин/SQRT(3))*CE80),BX80=3,BS80/(SQRT(3)*Uн_лин*CE80)),"")))))</f>
        <v>50.518148554092257</v>
      </c>
      <c r="P80" s="7">
        <f>IF(B80="","",IFERROR(IF(VLOOKUP(BC80,Потребители_обозначение,4,FALSE)=1,VLOOKUP(BC80,Потребители_обозначение,3,FALSE)*(MAX(1,N(D80))*2-1)+EI80+VLOOKUP(BE80,Этаж_обозначение,3,FALSE)+VLOOKUP(BE80,Этаж_обозначение,4,FALSE),VLOOKUP(BC80,Потребители_обозначение,3,FALSE)*(MAX(1,N(D80))*2-1)+EI80),EI80))</f>
        <v>34</v>
      </c>
      <c r="Q80" s="6">
        <f t="shared" si="139"/>
        <v>1.21</v>
      </c>
      <c r="R80" t="str">
        <f t="shared" si="140"/>
        <v>ВВГнг(А)-LS (5х25)</v>
      </c>
      <c r="S80" t="str">
        <f>IF(BM80="","",IF(BN80="вводной узел","узел ","")&amp;"л."&amp;(INT((BM80-1)/Столбцов_на_лист)+1)&amp;" / "&amp;(MOD(BM80-1,Столбцов_на_лист)+1))</f>
        <v>л.3 / 13</v>
      </c>
      <c r="T80" s="119">
        <f t="shared" si="141"/>
        <v>20.5</v>
      </c>
      <c r="U80" s="7" t="str">
        <f>IF(OR(CG80=0,N(BV80)+N(IB80)=0),"",ROUNDUP(Запас_БП*(N(HY80)+N(HZ80)),0))</f>
        <v/>
      </c>
      <c r="V80" s="119" t="str">
        <f t="shared" si="142"/>
        <v/>
      </c>
      <c r="W80" s="7" t="str">
        <f>IFERROR(IF(OR(B80="",BP80=1,BV80=1,NOT(ISNUMBER(EN80)),N(DT80)=0),"",MAX(0,ROUNDDOWN((c_min*(Uн_лин*1000/SQRT(3))/(HT80*N(DT80))-_xlfn.XLOOKUP(A80,Щиты[Щит],Щиты[Zпетли на шинах, Ом]))*EN80/(2*ρкз_Cu),0))),"")</f>
        <v/>
      </c>
      <c r="Y80" t="str">
        <f>Линии[[#This Row],[_авто утечка]]</f>
        <v/>
      </c>
      <c r="Z80">
        <v>3</v>
      </c>
      <c r="AA80">
        <v>400</v>
      </c>
      <c r="AB80" t="s">
        <v>598</v>
      </c>
      <c r="AC80">
        <v>0.5</v>
      </c>
      <c r="AG80" t="s">
        <v>810</v>
      </c>
      <c r="AI80" t="s">
        <v>576</v>
      </c>
      <c r="AK80" t="str">
        <f>Линии[[#This Row],[_авто модуль]]</f>
        <v/>
      </c>
      <c r="AM80">
        <v>47</v>
      </c>
      <c r="AN80" t="s">
        <v>11</v>
      </c>
      <c r="AO80">
        <v>5</v>
      </c>
      <c r="AQ80">
        <v>0</v>
      </c>
      <c r="AR80">
        <v>30</v>
      </c>
      <c r="AS80">
        <v>0</v>
      </c>
      <c r="AT80">
        <v>1</v>
      </c>
      <c r="BA80" cm="1">
        <f t="array" ref="BA80">ROW()-ROW(Линии[#Headers])</f>
        <v>78</v>
      </c>
      <c r="BC80" s="6" t="str">
        <f t="shared" si="143"/>
        <v>ККБ-1</v>
      </c>
      <c r="BD80" t="str">
        <f t="shared" si="144"/>
        <v/>
      </c>
      <c r="BE80" t="str">
        <f t="shared" si="145"/>
        <v/>
      </c>
      <c r="BF80" t="str">
        <f t="shared" si="146"/>
        <v/>
      </c>
      <c r="BG80" t="str">
        <f t="shared" si="147"/>
        <v/>
      </c>
      <c r="BH80" t="str">
        <f>IF(X80&lt;&gt;"",X80,IF(AND(B80&lt;&gt;"",B80&lt;&gt;A80,ISNUMBER(_xlfn.XMATCH(B80,Щиты[Щит]))),B80,""))</f>
        <v/>
      </c>
      <c r="BI80" t="str" cm="1">
        <f t="array" ref="BI80">IF(B80="","",IF(BH80&lt;&gt;"","Щит "&amp;BH80,_xlfn.LET(_xlpm.nm,IFERROR(_xlfn.XLOOKUP(BC80,Коды_код,Коды_имя)&amp;"",""),_xlpm.md,IFERROR(N(_xlfn.XLOOKUP(BC80,Коды_код,Коды_режим)),1),_xlpm.ex,IF(Имя_режим="по экспликации",IFERROR(_xlfn.XLOOKUP(BE80&amp;"|"&amp;BG80,Экспликация[Этаж]&amp;"|"&amp;Экспликация[Помещение],Экспликация[Название])&amp;"",""),""),_xlpm.rm,IF(BG80="","",IF(_xlpm.ex&lt;&gt;"",". "&amp;_xlpm.ex&amp;IF(Имя_пом="нет"," ("&amp;BG80&amp;")"," (пом. "&amp;BG80&amp;")"),IF(Имя_пом="нет"," ",", пом. ")&amp;BG80)),IF(_xlpm.nm="","",IF(_xlpm.md=2,_xlpm.nm&amp;" шлейф "&amp;BE80,_xlpm.nm&amp;_xlpm.rm)))))</f>
        <v/>
      </c>
      <c r="BJ80" t="str">
        <f t="shared" si="148"/>
        <v>Внешний блок кондиционирования Пом. Венткиосок</v>
      </c>
      <c r="BK80">
        <f>IFERROR(_xlfn.XMATCH(A80,Щиты[Щит]),0)</f>
        <v>4</v>
      </c>
      <c r="BL80">
        <f>_xlfn.LET(_xlpm.k,IFERROR(_xlfn.XLOOKUP(A80,Щиты[Щит],Щиты[Мест под вводной узел]),""),IF(_xlpm.k="",Столбцов_на_лист,N(_xlpm.k)))</f>
        <v>13</v>
      </c>
      <c r="BM80">
        <f t="shared" si="149"/>
        <v>47</v>
      </c>
      <c r="BN80" t="str">
        <f t="shared" si="150"/>
        <v>линии</v>
      </c>
      <c r="BO80" s="6">
        <f>IFERROR(N(_xlfn.XLOOKUP(BC80,Коды_код,Коды_квт)),0)</f>
        <v>0</v>
      </c>
      <c r="BP80">
        <f t="shared" si="151"/>
        <v>0</v>
      </c>
      <c r="BQ80" t="str">
        <f>IF(B80="","",IF(BH80&lt;&gt;"",IFERROR(_xlfn.XLOOKUP(BH80,Щиты[Щит],Щиты[Руст, кВт]),0),IF(BP80=1,IF(OR(N(_xlfn.XLOOKUP(A80,Щиты[Щит],Щиты[Вводов],1))&lt;=1,LOWER(TRIM(_xlfn.XLOOKUP(A80,Щиты[Щит],Щиты[АВР],"")&amp;""))="да"),IFERROR(_xlfn.XLOOKUP(A80,Щиты[Щит],Щиты[Руст, кВт]),0),SUMIFS(Линии[_Р для вводов],Линии[Щит],A80,Линии[Источник для режимов],GF80)),IF(BO80&gt;0,ROUND(BO80*MAX(1,N(D80)),3),""))))</f>
        <v/>
      </c>
      <c r="BR80">
        <f t="shared" si="152"/>
        <v>28</v>
      </c>
      <c r="BS80" s="6">
        <f>IF(B80="","",IF(BH80&lt;&gt;"",IFERROR(_xlfn.XLOOKUP(BH80,Щиты[Щит],Щиты[Руст, кВт]),0),N(BR80)))</f>
        <v>28</v>
      </c>
      <c r="BT80" t="str">
        <f>IF(B80="","",IFERROR(IF(VLOOKUP(BC80,Потребители_обозначение,8,FALSE)=0,"",VLOOKUP(BC80,Потребители_обозначение,8,FALSE)),""))</f>
        <v/>
      </c>
      <c r="BU80">
        <f t="shared" si="153"/>
        <v>400</v>
      </c>
      <c r="BV80">
        <f t="shared" si="154"/>
        <v>0</v>
      </c>
      <c r="BW80">
        <f>IF(B80="","",IF(BH80&lt;&gt;"",3,IFERROR(IF(N(VLOOKUP(BC80,Потребители_обозначение,9,FALSE))=0,1,VLOOKUP(BC80,Потребители_обозначение,9,FALSE)),1)))</f>
        <v>1</v>
      </c>
      <c r="BX80">
        <f t="shared" si="155"/>
        <v>3</v>
      </c>
      <c r="BY80" t="str">
        <f>IF(B80="","",_xlfn.LET(_xlpm.bc,IFERROR(IF(VLOOKUP(BC80,Потребители_обозначение,6,FALSE)=0,"",VLOOKUP(BC80,Потребители_обозначение,6,FALSE)&amp;""),""),IF(AND(GA80="да",OR(_xlpm.bc="",_xlpm.bc="мс")),Марка_пож,IF(AND(_xlpm.bc="",BH80&lt;&gt;""),"мс",_xlpm.bc))))</f>
        <v/>
      </c>
      <c r="BZ80" t="str">
        <f t="shared" si="156"/>
        <v>мс</v>
      </c>
      <c r="CA80">
        <f>IF(B80="","",_xlfn.LET(_xlpm.cc,IFERROR(N(VLOOKUP(BC80,Потребители_обозначение,7,FALSE)),0),IF(_xlpm.cc&gt;0,_xlpm.cc,IF(BZ80="","",IF(BV80=1,2,IF(N(BX80)=3,5,3))))))</f>
        <v>5</v>
      </c>
      <c r="CB80">
        <f t="shared" si="157"/>
        <v>5</v>
      </c>
      <c r="CC80">
        <f>IFERROR(N(VLOOKUP(BC80,Потребители_обозначение,10,FALSE)),0)</f>
        <v>0</v>
      </c>
      <c r="CD80">
        <f>IFERROR(VLOOKUP(BC80,Потребители_обозначение,5,FALSE),0)</f>
        <v>0</v>
      </c>
      <c r="CE80" s="6" cm="1">
        <f t="array" ref="CE80">IF(B80="","",IF(BH80&lt;&gt;"",IFERROR(_xlfn.XLOOKUP(BH80,Щиты[Щит],Щиты[cos φ]),0.95),IF(BP80=1,IFERROR(_xlfn.XLOOKUP(A80,Щиты[Щит],Щиты[cos φ]),0.95),IF(ISNUMBER(AD80),AD80,IFERROR(IF(CD80=2,_xlfn.IFS(BX80=3,VLOOKUP(BS80,Справочная_двигатели,8,FALSE),BX80=1,VLOOKUP(BS80,Справочная_двигатели,10,TRUE)),IF(AND(Методика="нормы 2026",FG80="Сил"),0.8,0.95)),0.95)))))</f>
        <v>0.8</v>
      </c>
      <c r="CF80">
        <f t="shared" si="158"/>
        <v>0</v>
      </c>
      <c r="CG80">
        <f t="shared" si="159"/>
        <v>1</v>
      </c>
      <c r="CH80">
        <f t="shared" si="160"/>
        <v>0</v>
      </c>
      <c r="CI80">
        <f>IF(B80="","",IF(BV80=1,IFERROR(BS80/((Uн_лин/SQRT(3))*MAX(0.5,N(CE80))),0),N(O80)))</f>
        <v>50.518148554092257</v>
      </c>
      <c r="CJ80">
        <f t="shared" si="161"/>
        <v>0</v>
      </c>
      <c r="CK80">
        <f t="shared" si="162"/>
        <v>0</v>
      </c>
      <c r="CL80">
        <f t="shared" si="163"/>
        <v>0</v>
      </c>
      <c r="CM80">
        <f t="shared" si="164"/>
        <v>0</v>
      </c>
      <c r="CN80">
        <f t="shared" si="165"/>
        <v>0</v>
      </c>
      <c r="CO80">
        <f>IF(BC80="",0,_xlfn.LET(_xlpm.v,IFERROR(_xlfn.XLOOKUP(B80,Коды_код,Коды_мА),IFERROR(_xlfn.XLOOKUP(BC80,Коды_код,Коды_мА),IFERROR(_xlfn.XLOOKUP(LEFT(BC80,2),Коды_код,Коды_мА),""))),IF(_xlpm.v="да",30,IF(ISNUMBER(_xlpm.v),_xlpm.v,0))))</f>
        <v>0</v>
      </c>
      <c r="CP80" t="str">
        <f t="shared" si="166"/>
        <v/>
      </c>
      <c r="CQ80" t="str">
        <f>_xlfn.LET(_xlpm.k,IFERROR(_xlfn.XLOOKUP(BC80,Коды_код,Коды_утечка)&amp;"",""),IF(_xlpm.k="","дифавтомат",_xlpm.k))</f>
        <v>дифавтомат</v>
      </c>
      <c r="CR80" t="str" cm="1">
        <f t="array" ref="CR80">IF(CG80=0,"",_xlfn.LET(_xlpm.sg,TRIM(_xlfn.TEXTSPLIT(DD80&amp;"",";")),_xlpm.f_,_xlfn._xlws.FILTER(_xlpm.sg,LEFT(_xlpm.sg,3)="УЗО",""),IFERROR(INDEX(_xlpm.f_,1)&amp;"","")))</f>
        <v/>
      </c>
      <c r="CS80" t="str">
        <f t="shared" si="167"/>
        <v/>
      </c>
      <c r="CT80" s="6" t="str" cm="1">
        <f t="array" ref="CT80">IF(CR80="","",_xlfn.LET(_xlpm.tk,_xlfn.TEXTSPLIT(UPPER(CR80)," ",,TRUE),_xlpm.a_,_xlfn._xlws.FILTER(_xlpm.tk,ISNUMBER(--LEFT(_xlpm.tk,1))*((ISNUMBER(SEARCH("А",_xlpm.tk))+ISNUMBER(SEARCH("A",_xlpm.tk)))&gt;0)*NOT(ISNUMBER(SEARCH("МА",_xlpm.tk)))*NOT(ISNUMBER(SEARCH("MA",_xlpm.tk))),""),IFERROR(--SUBSTITUTE(SUBSTITUTE(INDEX(_xlpm.a_,1),"А",""),"A",""),"")))</f>
        <v/>
      </c>
      <c r="CU80" t="str" cm="1">
        <f t="array" ref="CU80">IF(CR80="","",_xlfn.LET(_xlpm.tk,_xlfn.TEXTSPLIT(UPPER(CR80)," ",,TRUE),_xlpm.a_,_xlfn._xlws.FILTER(_xlpm.tk,ISNUMBER(--LEFT(_xlpm.tk,1))*((ISNUMBER(SEARCH("МА",_xlpm.tk))+ISNUMBER(SEARCH("MA",_xlpm.tk)))&gt;0),""),IFERROR(--SUBSTITUTE(SUBSTITUTE(INDEX(_xlpm.a_,1),"МА",""),"MA",""),30)))</f>
        <v/>
      </c>
      <c r="CV80" t="str">
        <f>IF(CS80="","",IFERROR(_xlfn.XLOOKUP(CS80,Линии[_n],Линии[_УЗО, мА]),30))</f>
        <v/>
      </c>
      <c r="CW80">
        <f>IF(CS80="",0,IF(ISNUMBER(SEARCH("4P",IFERROR(_xlfn.XLOOKUP(CS80,Линии[_n],Линии[_УЗО строки])&amp;"",""))),0,1))</f>
        <v>0</v>
      </c>
      <c r="CX80" t="str">
        <f>IF(AND(CS80&lt;&gt;"",CS80=BA80),SUMIFS(Линии[_ток на 230 В],Линии[_блок УЗО],BA80,Линии[Щит],A80),"")</f>
        <v/>
      </c>
      <c r="CY80" t="str">
        <f>IF(AND(CS80&lt;&gt;"",CS80=BA80),SUMIFS(Линии[_ток утечки линии, мА],Линии[_блок УЗО],BA80,Линии[Щит],A80),"")</f>
        <v/>
      </c>
      <c r="CZ80">
        <f t="shared" si="168"/>
        <v>0</v>
      </c>
      <c r="DA80">
        <f t="shared" si="169"/>
        <v>0</v>
      </c>
      <c r="DB80">
        <f>IF(B80="",0,IFERROR(--_xlfn.XLOOKUP(B80,Коды_код,Коды_минавт),IFERROR(--_xlfn.XLOOKUP(BC80,Коды_код,Коды_минавт),IFERROR(--_xlfn.XLOOKUP(LEFT(BC80,2),Коды_код,Коды_минавт),0))))</f>
        <v>0</v>
      </c>
      <c r="DC80" t="str">
        <f>IF(B80="","",IFERROR(_xlfn.XLOOKUP(BC80,Коды_код,Коды_апп)&amp;"",""))</f>
        <v/>
      </c>
      <c r="DD80" t="str">
        <f t="shared" si="170"/>
        <v/>
      </c>
      <c r="DE80" t="str" cm="1">
        <f t="array" ref="DE80">IF(TRIM(DD80&amp;"")="","",IFERROR(TRIM(INDEX(_xlfn.TEXTSPLIT(DD80&amp;";;;",";"),1)),""))</f>
        <v/>
      </c>
      <c r="DF80" t="str" cm="1">
        <f t="array" ref="DF80">IF(TRIM(DD80&amp;"")="","",IFERROR(TRIM(INDEX(_xlfn.TEXTSPLIT(DD80&amp;";;;",";"),2)),""))</f>
        <v/>
      </c>
      <c r="DG80" t="str" cm="1">
        <f t="array" ref="DG80">IF(TRIM(DD80&amp;"")="","",IFERROR(TRIM(INDEX(_xlfn.TEXTSPLIT(DD80&amp;";;;",";"),3)),""))</f>
        <v/>
      </c>
      <c r="DH80">
        <f t="shared" si="171"/>
        <v>0</v>
      </c>
      <c r="DI80" t="str">
        <f>IF(B80="","",_xlfn.LET(_xlpm.t,LOWER(AZ80&amp;""),IF(ISNUMBER(SEARCH("dim",_xlpm.t)),"DIM",IF(ISNUMBER(SEARCH("dali",_xlpm.t)),"DALI",IF(OR(ISNUMBER(SEARCH("relay",_xlpm.t)),ISNUMBER(SEARCH("реле",_xlpm.t))),"Relay",IF(ISNUMBER(SEARCH("кнопк",_xlpm.t)),"",IFERROR(_xlfn.XLOOKUP(BC80,Коды_код,Коды_упр)&amp;"","")))))))</f>
        <v/>
      </c>
      <c r="DJ80" t="str">
        <f t="shared" si="172"/>
        <v/>
      </c>
      <c r="DK80">
        <f>IF(B80="","",_xlfn.LET(_xlpm.ig,IF(N(CX80)&gt;0,N(CX80),N(CI80)+IF(AJ80="вручную",0,N(CJ80))),_xlpm.n0,IFERROR(VLOOKUP(_xlpm.ig,Автомат_номиналы,2,TRUE),0),_xlpm.mn,MAX(DB80,IF(AJ80="вручную",0,N(CM80))),MAX(_xlpm.n0,_xlpm.mn,IF(DH80=1,Мин_автомат_БП,0))))</f>
        <v>63</v>
      </c>
      <c r="DL80">
        <f t="shared" si="173"/>
        <v>3</v>
      </c>
      <c r="DM80" t="str">
        <f t="shared" si="174"/>
        <v>3P</v>
      </c>
      <c r="DN80" t="str">
        <f>_xlfn.LET(_xlpm.cc,UPPER(TRIM(IFERROR(_xlfn.XLOOKUP(BC80,Коды_код,Коды_хар)&amp;"",""))),IF(OR(_xlpm.cc="B",_xlpm.cc="В"),"B",IF(_xlpm.cc="D","D","С")))</f>
        <v>С</v>
      </c>
      <c r="DO80" t="str">
        <f t="shared" si="175"/>
        <v>3P С63А</v>
      </c>
      <c r="DP80">
        <f t="shared" si="176"/>
        <v>63</v>
      </c>
      <c r="DQ80" t="str">
        <f t="shared" si="177"/>
        <v>3P С63А</v>
      </c>
      <c r="DR80" cm="1">
        <f t="array" ref="DR80">IF(DQ80="","",_xlfn.LET(_xlpm.t,SUBSTITUTE(SUBSTITUTE(SUBSTITUTE(UPPER(DQ80),"С","C"),"А","A"),"В","B"),_xlpm.tk,_xlfn.TEXTSPLIT(_xlpm.t," "),_xlpm.f,_xlfn._xlws.FILTER(_xlpm.tk,ISNUMBER(--MID(_xlpm.tk,2,1))*ISNUMBER(SEARCH(LEFT(_xlpm.tk,1)&amp;"#","B#C#D#"))*(LEN(_xlpm.tk)&gt;1),""),_xlpm.x,INDEX(_xlpm.f,1),IFERROR(--SUBSTITUTE(MID(_xlpm.x,2,9),"A",""),IFERROR(--SUBSTITUTE(INDEX(_xlfn._xlws.FILTER(_xlpm.tk,ISNUMBER(--SUBSTITUTE(_xlpm.tk,"A","")),""),1),"A",""),""))))</f>
        <v>63</v>
      </c>
      <c r="DS80" t="str">
        <f t="shared" si="178"/>
        <v>ok</v>
      </c>
      <c r="DT80">
        <f t="shared" si="179"/>
        <v>63</v>
      </c>
      <c r="DU80" t="str">
        <f t="shared" si="180"/>
        <v>3P С63А</v>
      </c>
      <c r="DV80">
        <f t="shared" si="181"/>
        <v>0</v>
      </c>
      <c r="DW80">
        <f t="shared" si="182"/>
        <v>0</v>
      </c>
      <c r="DX80">
        <f t="shared" si="183"/>
        <v>0</v>
      </c>
      <c r="DY80">
        <f t="shared" si="184"/>
        <v>50.518148554092257</v>
      </c>
      <c r="DZ80">
        <f t="shared" si="185"/>
        <v>0.92</v>
      </c>
      <c r="EA80">
        <f>IF(ISNUMBER(AP80),AP80,К_прокл)</f>
        <v>1</v>
      </c>
      <c r="EB80">
        <f t="shared" si="186"/>
        <v>3</v>
      </c>
      <c r="EC80">
        <f>IFERROR(N(VLOOKUP(BZ80,Кабель_обозначение,3,FALSE)),1)</f>
        <v>1</v>
      </c>
      <c r="ED80">
        <f>IFERROR(N(_xlfn.XLOOKUP(A80,Щиты[Щит],Щиты[ΔU до шин, %])),0)</f>
        <v>0.64</v>
      </c>
      <c r="EE80" t="str">
        <f>IFERROR(_xlfn.XLOOKUP(A80,Щиты[Щит],Щиты[Zпетли на шинах, Ом]),"")</f>
        <v/>
      </c>
      <c r="EF80">
        <f>IFERROR(N(_xlfn.XLOOKUP(A80,Щиты[Щит],Щиты[ΔU до шин (подбор), %])),0)</f>
        <v>0.75</v>
      </c>
      <c r="EG80" t="str">
        <f>IFERROR(_xlfn.XLOOKUP(A80,Щиты[Щит],Щиты[Zпетли на шинах (подбор), Ом]),"")</f>
        <v/>
      </c>
      <c r="EH80" t="str">
        <f t="shared" si="187"/>
        <v/>
      </c>
      <c r="EI80">
        <f t="shared" si="188"/>
        <v>34</v>
      </c>
      <c r="EJ80">
        <f t="shared" si="189"/>
        <v>1</v>
      </c>
      <c r="EK80">
        <f t="shared" si="190"/>
        <v>0.6</v>
      </c>
      <c r="EL80" s="6">
        <f>IF(B80="","",IF(BV80=1,dU_LED,IF(IFERROR(_xlfn.XLOOKUP(BC80,Коды_код,Коды_уго),"")="Светильник",3,4)+IF(Методика="нормы 2026",MIN(0.5,MAX(0,N(P80)-100)*0.005),0)))</f>
        <v>4</v>
      </c>
      <c r="EM80" cm="1">
        <f t="array" ref="EM80">IF(OR(B80="",BZ80="",EC80&lt;&gt;1),"",_xlfn.LET(_xlpm.sz,Iдоп_S,_xlpm.t_,CHOOSE(EB80,Iдоп_1ж,Iдоп_2ж,Iдоп_3ж)*DZ80*EA80,_xlpm.dcx,BV80=1,_xlpm.inn,IF(_xlpm.dcx,N(O80),N(DT80)),_xlpm.smin,MAX(1.5,CC80),_xlpm.L_,N(P80)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80)/N(BU80)*100,999),IFERROR(N(EJ80)*(_xlpm.rho*_xlpm.L_/_xlpm.sz*N(CE80)+_xlpm.xx*_xlpm.L_*N(EK80)/1000)*N(O80)/((Uн_лин/SQRT(3))*1000)*100,999)),_xlpm.kz,IF(OR(_xlpm.dcx,DW80=1,NOT(ISNUMBER(EG80)),_xlpm.L_=0,_xlpm.inn=0),1,IFERROR(--(c_min*(Uн_лин*1000/SQRT(3))/(EG80+2*ρкз_Cu*_xlpm.L_/_xlpm.sz)&gt;=HT80*_xlpm.inn),0)),_xlpm.ok,IFERROR((_xlpm.sz&gt;=_xlpm.smin)*(_xlpm.t_&gt;=_xlpm.inn)*IF(_xlpm.L_&gt;0,(_xlpm.du_+IF(_xlpm.dcx,0,EF80)&lt;=EL80+0.00001),1)*_xlpm.kz,0),_xlpm.r_,_xlfn._xlws.FILTER(_xlpm.sz,_xlpm.ok,"не подобрано"),INDEX(_xlpm.r_,1)))</f>
        <v>16</v>
      </c>
      <c r="EN80">
        <f t="shared" si="191"/>
        <v>25</v>
      </c>
      <c r="EO80" cm="1">
        <f t="array" ref="EO80">IF(OR(B80="",BZ80="",EC80&lt;&gt;1),"",_xlfn.LET(_xlpm.sz,Iдоп_S,_xlpm.t_,CHOOSE(EB80,Iдоп_1ж,Iдоп_2ж,Iдоп_3ж)*DZ80*EA80,_xlpm.ok,IFERROR((_xlpm.sz&gt;=MAX(1.5,CC80))*(_xlpm.t_&gt;=N(DT80)),0),_xlpm.r_,_xlfn._xlws.FILTER(_xlpm.sz,_xlpm.ok,""),INDEX(_xlpm.r_,1)))</f>
        <v>16</v>
      </c>
      <c r="EP80" s="6" cm="1">
        <f t="array" ref="EP80">IFERROR(ROUNDUP(N(EJ80)*(_xlfn.XLOOKUP(EO80,INDEX(Кабель_сопротивление,0,1),INDEX(Кабель_сопротивление,0,3))*N(P80)/EO80*N(CE80)+_xlfn.XLOOKUP(EO80,INDEX(Кабель_сопротивление,0,1),INDEX(Кабель_сопротивление,0,2))*N(P80)*N(EK80)/1000)*N(O80)/((Uн_лин/SQRT(3))*1000)*100,2),"")</f>
        <v>0.87</v>
      </c>
      <c r="EQ80">
        <f>IFERROR(2*ρкз_Cu*N(P80)/EO80,"")</f>
        <v>0.111775</v>
      </c>
      <c r="ER80">
        <f>IFERROR(VLOOKUP(EN80,Кабель_сопротивление,3,FALSE),"")</f>
        <v>2.2499999999999999E-2</v>
      </c>
      <c r="ES80">
        <f>IFERROR(VLOOKUP(EN80,Кабель_сопротивление,2,FALSE),"")</f>
        <v>6.6199999999999995E-2</v>
      </c>
      <c r="ET80">
        <f t="shared" si="192"/>
        <v>30</v>
      </c>
      <c r="EU80">
        <f t="shared" si="193"/>
        <v>0</v>
      </c>
      <c r="EV80">
        <f t="shared" si="194"/>
        <v>1.3049080258635091</v>
      </c>
      <c r="EW80" s="6">
        <f>IFERROR(ROUNDUP(EV80/IF(BV80=1,BU80,(Uн_лин/SQRT(3))*1000)*100,2),"")</f>
        <v>0.57000000000000006</v>
      </c>
      <c r="EX80" t="str">
        <f>IFERROR(VLOOKUP(BZ80,Кабель_обозначение,2,FALSE),"")</f>
        <v>ВВГнг(А)-LS</v>
      </c>
      <c r="EY80" t="str">
        <f t="shared" si="195"/>
        <v>ВВГнг(А)-LS (5х25)</v>
      </c>
      <c r="EZ80" t="str">
        <f t="shared" si="196"/>
        <v>ВВГнг(А)-LS (5х25)
L=34-0,57%</v>
      </c>
      <c r="FA80">
        <f>IFERROR(2*ρкз_Cu*P80/EN80,"")</f>
        <v>7.1536000000000002E-2</v>
      </c>
      <c r="FB80">
        <f t="shared" si="197"/>
        <v>2.3800000000000002E-2</v>
      </c>
      <c r="FC80" s="6" t="str">
        <f>IFERROR(IF(OR(B80="",BV80=1,NOT(ISNUMBER(EN80)),N(P80)=0),"",_xlfn.XLOOKUP(A80,Щиты[Щит],Щиты[Zпетли на шинах, Ом])+FA80),"")</f>
        <v/>
      </c>
      <c r="FD80" s="6" t="str">
        <f>IF(ISNUMBER(FC80),c_min*(Uн_лин*1000/SQRT(3))/FC80,"")</f>
        <v/>
      </c>
      <c r="FE80" s="6" t="str">
        <f>IFERROR(IF(OR(B80="",NOT(ISNUMBER(EN80))),"",1.05*(Uн_лин*1000/SQRT(3))/(_xlfn.XLOOKUP(A80,Щиты[Щит],Щиты[Zmax на шинах, Ом])+FB80)/1000),"")</f>
        <v/>
      </c>
      <c r="FF80" s="6" t="str">
        <f>IF(B80="","",IF(ISNUMBER(AC80),"Сил",IF(IFERROR(_xlfn.XLOOKUP(BC80,Коды_код,Коды_группа)&amp;"","")="","Быт",_xlfn.XLOOKUP(BC80,Коды_код,Коды_группа)&amp;"")))</f>
        <v>Сил</v>
      </c>
      <c r="FG80" s="6" t="str">
        <f t="shared" si="198"/>
        <v>Сил</v>
      </c>
      <c r="FH80" s="6">
        <f>IF(FG80="Щит","щит",IF(FG80="","",IF(FG80="Быт",IFERROR(_xlfn.XLOOKUP(A80,Щиты[Щит],Щиты[Кс быт]),1),IF(FG80="Сил",IF(ISNUMBER(AC80),AC80,IF(Методика="нормы 2026",IFERROR(_xlfn.XLOOKUP(A80,Щиты[Щит],Щиты[Кс силовых (табл. 7.5)]),1),1)),IF(OR(FG80="Пост",FG80="Отоп"),1,IF(FG80="ВНГ",0.7,0))))))</f>
        <v>0.5</v>
      </c>
      <c r="FI80">
        <f>IF(FG80="","",IF(AND(BP80=1,TRIM(AE80&amp;"")=""),IF(COUNTIFS(Линии[Щит],A80,Линии[Секция (1/2/3)],"&gt;=2")&gt;0,MIN(3,MAX(1,IFERROR(--BD80,1))),1),IFERROR(MIN(3,MAX(1,INT(--AE80))),1)))</f>
        <v>1</v>
      </c>
      <c r="FJ80">
        <f t="shared" si="199"/>
        <v>28</v>
      </c>
      <c r="FK80">
        <f t="shared" si="200"/>
        <v>0</v>
      </c>
      <c r="FL80">
        <f t="shared" si="201"/>
        <v>14</v>
      </c>
      <c r="FM80">
        <f t="shared" si="202"/>
        <v>0</v>
      </c>
      <c r="FN80">
        <f t="shared" si="203"/>
        <v>0</v>
      </c>
      <c r="FO80">
        <f t="shared" si="204"/>
        <v>0</v>
      </c>
      <c r="FP80">
        <f t="shared" si="205"/>
        <v>28</v>
      </c>
      <c r="FQ80">
        <f t="shared" si="206"/>
        <v>28</v>
      </c>
      <c r="FR80">
        <f t="shared" si="207"/>
        <v>22.400000000000002</v>
      </c>
      <c r="FS80">
        <f>IF(CG80=1,IF(AND(CH80=1,CW80=1),0,IF(AND(CS80&lt;&gt;"",CS80=BA80,CW80=1),SUMIFS(Линии[_Р линии, кВт],Линии[_блок УЗО],BA80,Линии[Щит],A80),N(BS80)+IF(AJ80="вручную",0,N(CK80)))),0)</f>
        <v>28</v>
      </c>
      <c r="FT80" t="str">
        <f t="shared" si="208"/>
        <v/>
      </c>
      <c r="FU80" t="str">
        <f>IF(B80="","",IF(CG80=0,IF(BA80=1,"",FW79),IF(AND(CH80=1,CW80=1,CS80&lt;&gt;""),IFERROR(_xlfn.XLOOKUP(CS80,Линии[_n],Линии[_фаза итог]),"L1"),IF(OR(N(DL80)&gt;=3,N(BX80)&gt;=3),"L1,L2,L3",IFERROR(_xlfn.TEXTBEFORE(_xlfn.TEXTAFTER(_xlfn.XLOOKUP(A80,Щиты[Щит],Щиты[_фазы авто]),";"&amp;BA80&amp;":"),";"),"L1")))))</f>
        <v>L1,L2,L3</v>
      </c>
      <c r="FV80" t="str">
        <f t="shared" si="209"/>
        <v>L1,L2,L3</v>
      </c>
      <c r="FW80" t="str">
        <f t="shared" si="210"/>
        <v>L1,L2,L3</v>
      </c>
      <c r="FX80" cm="1">
        <f t="array" ref="FX80">IFERROR(IF(CD80=2,_xlfn.IFS(BX80=3,VLOOKUP(BS80,Справочная_двигатели,3,FALSE),BX80=1,VLOOKUP(BS80,Справочная_двигатели,5,TRUE)),0),0)</f>
        <v>0</v>
      </c>
      <c r="FY80">
        <f>IFERROR(IF(CD80=3,VLOOKUP(BS80,Справочная_ЛЭД,2,TRUE),0),0)</f>
        <v>0</v>
      </c>
      <c r="FZ80" s="6">
        <f t="shared" si="211"/>
        <v>0</v>
      </c>
      <c r="GA80" t="str">
        <f>IF(B80="","",IF(TRIM(AH80&amp;"")&lt;&gt;"",IF(LOWER(TRIM(AH80&amp;""))="да","да","нет"),IF(IFERROR(_xlfn.XLOOKUP(BC80,Коды_код,Коды_пожарная),"")="да","да","нет")))</f>
        <v>нет</v>
      </c>
      <c r="GB80" t="str">
        <f t="shared" si="212"/>
        <v/>
      </c>
      <c r="GC80" t="str">
        <f t="shared" si="213"/>
        <v>основная</v>
      </c>
      <c r="GD80">
        <f>IF(AND(BP80=1,TRIM(AE80&amp;"")=""),IF(COUNTIFS(Линии[Щит],A80,Линии[Секция (1/2/3)],"&gt;=2")&gt;0,MIN(3,MAX(1,IFERROR(--BD80,1))),1),IFERROR(MIN(3,MAX(1,INT(--AE80))),1))</f>
        <v>1</v>
      </c>
      <c r="GE80" t="str" cm="1">
        <f t="array" ref="GE80">IF(B80="","",_xlfn.LET(_xlpm.t,IFERROR(_xlfn.XLOOKUP(1,(Шины[Шина]=GC80)*(((Шины[Щит]=A80)+(Шины[Щит]=""))&gt;0),Шины[Тип]),"")&amp;"",IF(_xlpm.t&lt;&gt;"",_xlpm.t,IF(ISNUMBER(SEARCH("ИБП",GC80)),"ИБП",IF(ISNUMBER(SEARCH("ДГУ",GC80)),"ДГУ","Ввод "&amp;GD80)))))</f>
        <v>Ввод 1</v>
      </c>
      <c r="GF80" t="str">
        <f t="shared" si="214"/>
        <v>Ввод 1</v>
      </c>
      <c r="GG80" t="str">
        <f>IF(BP80=0,"",IF(TRIM(AG80&amp;"")&lt;&gt;"",TRIM(AG80&amp;""),IF(OR(GE80="ИБП",GE80="ДГУ"),"I особая",_xlfn.XLOOKUP(A80,Щиты[Щит],Щиты[Категория шины «Ввод»],"III"))))</f>
        <v/>
      </c>
      <c r="GH80" t="str">
        <f>IF(A80="","",_xlfn.XLOOKUP(A80,Щиты[Щит],Щиты[Путь],""))</f>
        <v>|ГРЩ-ЖД|ЩОВ-001|</v>
      </c>
      <c r="GI80" t="str">
        <f>IF(B80="","",IF(AI80&lt;&gt;"",AI80,IF(IFERROR(_xlfn.XLOOKUP(BC80,Коды_код,Коды_вид)&amp;"","")="","Прочее",_xlfn.XLOOKUP(BC80,Коды_код,Коды_вид)&amp;"")))</f>
        <v>Кондиционирование и увлажнение</v>
      </c>
      <c r="GJ80">
        <f>IF(BM80="","",INT((BM80-1)/Столбцов_на_лист)+1)</f>
        <v>3</v>
      </c>
      <c r="GK80" t="str">
        <f t="shared" si="215"/>
        <v>ВВГнг(А)-LS (5х25) L=34-0,57%</v>
      </c>
      <c r="GL80">
        <f t="shared" si="216"/>
        <v>28</v>
      </c>
      <c r="GM80">
        <f t="shared" si="217"/>
        <v>50.519999999999996</v>
      </c>
      <c r="GN80">
        <f t="shared" si="218"/>
        <v>3</v>
      </c>
      <c r="GO80">
        <f t="shared" si="219"/>
        <v>0</v>
      </c>
      <c r="GP80">
        <f t="shared" si="220"/>
        <v>1</v>
      </c>
      <c r="GQ80">
        <f>IF(BM80="","",IF(AND(CG80=1,GP80=1),COUNTIFS(A$3:A80,A80,CG$3:CG80,1,GP$3:GP80,1),IF(OR(OR(BA80=1,A80&lt;&gt;A79),AJ80="вручную",GP80=0),"",IF(BA80=1,"",GR79))))</f>
        <v>27</v>
      </c>
      <c r="GR80">
        <f t="shared" si="221"/>
        <v>27</v>
      </c>
      <c r="GS80">
        <f>IF(B80="","",IFERROR(LOOKUP(INDEX(CHOOSE(EB80,Iдоп_1ж,Iдоп_2ж,Iдоп_3ж),MATCH(EN80,Iдоп_S,0))*DZ80*EA80,{6,10,16,20,25,32,40,50,63,80,100,125,160,200,250,315,400,500,630}),""))</f>
        <v>80</v>
      </c>
      <c r="GT80" t="str">
        <f t="shared" si="222"/>
        <v>QF27</v>
      </c>
      <c r="GU80" t="str">
        <f t="shared" si="223"/>
        <v>QF27</v>
      </c>
      <c r="GV80" t="str">
        <f t="shared" si="224"/>
        <v/>
      </c>
      <c r="GW80">
        <f t="shared" si="225"/>
        <v>0</v>
      </c>
      <c r="GX80" t="str">
        <f>IF(OR(B80="",DJ80=""),"",IFERROR(_xlfn.XLOOKUP(DJ80,Модули_умолч[Управление],Модули_умолч[Модель])&amp;"",""))</f>
        <v/>
      </c>
      <c r="GY80">
        <f>IF(DJ80="",1,IFERROR(MAX(0,N(_xlfn.XLOOKUP(DJ80,Модули_умолч[Управление],Модули_умолч[Каналов на линию]))),1))</f>
        <v>1</v>
      </c>
      <c r="GZ80" t="str">
        <f t="shared" si="226"/>
        <v/>
      </c>
      <c r="HA80" t="str">
        <f t="shared" si="227"/>
        <v/>
      </c>
      <c r="HB80" t="str">
        <f t="shared" si="228"/>
        <v/>
      </c>
      <c r="HC80">
        <f>IF(HB80="",0,IFERROR(N(VLOOKUP(HB80,Модули_спр,3,FALSE)),0))</f>
        <v>0</v>
      </c>
      <c r="HD80" t="str">
        <f t="shared" si="229"/>
        <v/>
      </c>
      <c r="HE80" t="str">
        <f t="shared" si="230"/>
        <v/>
      </c>
      <c r="HF80" t="str">
        <f>IF(OR(HE80="",HE80="-"),"",IFERROR(VLOOKUP(HE80,Модули_спр,2,FALSE),"R"))</f>
        <v/>
      </c>
      <c r="HG80" t="str">
        <f>IF(HF80="","",HF80&amp;"."&amp;COUNTIFS(A$3:A80,A80,HF$3:HF80,HF80))</f>
        <v/>
      </c>
      <c r="HH80" t="str">
        <f t="shared" si="231"/>
        <v/>
      </c>
      <c r="HI80" t="str">
        <f t="shared" si="232"/>
        <v/>
      </c>
      <c r="HJ80" t="str">
        <f t="shared" si="233"/>
        <v/>
      </c>
      <c r="HK80" t="str">
        <f t="shared" si="234"/>
        <v/>
      </c>
      <c r="HL80">
        <f t="shared" si="235"/>
        <v>1</v>
      </c>
      <c r="HM80" t="str">
        <f>IF(HL80=1,"XT"&amp;COUNTIFS(A$3:A80,A80,HL$3:HL80,1),"")</f>
        <v>XT27</v>
      </c>
      <c r="HN80" t="str">
        <f t="shared" si="236"/>
        <v/>
      </c>
      <c r="HO80" t="str">
        <f t="shared" si="237"/>
        <v>QF27</v>
      </c>
      <c r="HP80" t="str">
        <f t="shared" si="238"/>
        <v/>
      </c>
      <c r="HQ80" t="str">
        <f t="shared" si="239"/>
        <v>ok</v>
      </c>
      <c r="HR80" t="str">
        <f>IF(OR(HJ80="",HH80=""),"",IF(HJ80+MAX(0,GY80-1)&gt;IFERROR(VLOOKUP(HI80,Модули_спр,3,FALSE),99),"ЛИШНИЙ КАНАЛ",IF(AND(AL80&lt;&gt;"=",GY80&gt;0,COUNTIFS(Линии[_модуль гр.],HH80,Линии[Канал (итог)],HJ80,Линии[Канал],"&lt;&gt;=",Линии[Щит],A80)&gt;1),"ДУБЛЬ КАНАЛА","")))</f>
        <v/>
      </c>
      <c r="HS80" s="6" t="str">
        <f t="shared" si="240"/>
        <v/>
      </c>
      <c r="HT80">
        <f t="shared" si="241"/>
        <v>10</v>
      </c>
      <c r="HU80" t="str">
        <f t="shared" si="242"/>
        <v/>
      </c>
      <c r="HV80">
        <f t="shared" si="243"/>
        <v>20.547259421636905</v>
      </c>
      <c r="HW80">
        <f t="shared" si="244"/>
        <v>0</v>
      </c>
      <c r="HX80">
        <f t="shared" si="245"/>
        <v>0</v>
      </c>
      <c r="HY80">
        <f t="shared" si="246"/>
        <v>0</v>
      </c>
      <c r="HZ80">
        <f t="shared" si="247"/>
        <v>0</v>
      </c>
      <c r="IA80">
        <f t="shared" si="248"/>
        <v>0</v>
      </c>
      <c r="IB80">
        <f t="shared" si="249"/>
        <v>0</v>
      </c>
      <c r="IC80" t="str">
        <f t="shared" si="250"/>
        <v/>
      </c>
      <c r="ID80" t="str" cm="1">
        <f t="array" ref="ID80">IF(IC80="","",_xlfn.LET(_xlpm.tk,_xlfn.TEXTSPLIT(SUBSTITUTE(SUBSTITUTE(IC80,";"," "),"→"," ")," ",,TRUE),_xlpm.w_,_xlfn._xlws.FILTER(_xlpm.tk,ISNUMBER(--LEFT(_xlpm.tk,1))*((ISNUMBER(SEARCH("W",_xlpm.tk))+ISNUMBER(SEARCH("Вт",_xlpm.tk)))&gt;0),""),IFERROR(--SUBSTITUTE(SUBSTITUTE(UPPER(INDEX(_xlpm.w_,1)),"W",""),"ВТ",""),"")))</f>
        <v/>
      </c>
      <c r="IE80" t="str" cm="1">
        <f t="array" ref="IE80">IF(IC80="","",_xlfn.LET(_xlpm.tk,_xlfn.TEXTSPLIT(SUBSTITUTE(SUBSTITUTE(IC80,";"," "),"→"," ")," ",,TRUE),_xlpm.v_,_xlfn._xlws.FILTER(_xlpm.tk,ISNUMBER(--LEFT(_xlpm.tk,1))*((ISNUMBER(SEARCH("V",_xlpm.tk))+(RIGHT(UPPER(_xlpm.tk))="В"))&gt;0),""),IFERROR(--SUBSTITUTE(SUBSTITUTE(UPPER(INDEX(_xlpm.v_,1)),"V",""),"В",""),"")))</f>
        <v/>
      </c>
      <c r="IF80" s="6" t="str">
        <f>IF(OR(BV80=0,HI80="",HJ80=""),"",IFERROR(N(_xlfn.XLOOKUP(HI80,Каталог!$C$4:$C$500,Каталог!$Q$4:$Q$500)),""))</f>
        <v/>
      </c>
      <c r="IG80" s="6" t="str">
        <f>IF(N(IF80)=0,"",SUMIFS(Линии[Iр, А],Линии[Щит],A80,Линии[_модуль гр.],HH80,Линии[Канал (итог)],HJ80))</f>
        <v/>
      </c>
      <c r="IH80" t="str">
        <f>IF(AND(B80="",HO80=""),"",_xlfn.TEXTJOIN("; ",TRUE,IF(AND(B80&lt;&gt;"",FV80=""),"нет фазы",""),IF(AND(B80&lt;&gt;"",N(GL80)=0,FG80&lt;&gt;"Нет"),"нет мощности",""),IF(AND(HN80&lt;&gt;"",COUNTIFS(Линии[Щит],A80,Линии[Клемма (итог)],HN80)&gt;1),"дубль клеммы "&amp;HN80,""),IF(AND(HQ80&lt;&gt;"",HQ80&lt;&gt;"ok"),HQ80,""),IF(HR80&lt;&gt;"",HR80,""),IF(AND(N(CB80)&gt;=4,N(BX80)=1),CB80&amp;" жил на 1 фазе",""),IF(AND(BC80="R",CG80=1,IF(CS80&lt;&gt;"",N(CV80)&gt;30,OR(N(DA80)=0,N(DA80)&gt;30))),"розетка без дифзащиты до 30 мА",""),IF(AND(CG80=1,N(DA80)&gt;0,ISNUMBER(T80)),IF(T80&gt;N(DA80)/3,"ток утечки "&amp;FIXED(T80,1)&amp;" мА &gt; 1/3 уставки ("&amp;DA80&amp;" мА)",""),""),IF(AND(CH80=1,CS80=""),"«узо»: нет строки с УЗО выше (УЗО 2P 40А 30мА в «Аппаратах»)",""),IF(AND(CS80&lt;&gt;"",CS80=BA80),IF(CT80="","впишите номинал УЗО (УЗО 2P 40А 30мА)",IF(N(CT80)&lt;N(DT80),"УЗО "&amp;CT80&amp;" А &lt; автомата "&amp;DT80&amp;" А перед ним",IF(N(CT80)&lt;N(CX80),"УЗО "&amp;CT80&amp;" А &lt; тока блока "&amp;FIXED(CX80,1)&amp;" А",""))),""),IF(AND(CS80&lt;&gt;"",CS80=BA80,ISNUMBER(CY80)),IF(CY80&gt;N(CV80)/3,"ток утечки блока УЗО "&amp;FIXED(CY80,1)&amp;" мА &gt; 1/3 уставки ("&amp;CV80&amp;" мА)",""),""),IF(AND(CG80=1,N(BV80)+N(IB80)&gt;0,IC80=""),"линии до 50 В без БП: впишите в «Аппараты» (БП 24V 480W)",""),IF(AND(CG80=1,ISNUMBER(ID80),ISNUMBER(U80)),IF(U80&gt;ID80,"БП "&amp;ID80&amp;" Вт &lt; нужно "&amp;U80&amp;" Вт (×"&amp;Запас_БП&amp;")",""),""),IF(AND(CG80=1,ISNUMBER(IE80),N(BV80)=1),IF(IE80&lt;&gt;N(BU80),"БП на "&amp;IE80&amp;" В, линия "&amp;BU80&amp;" В",""),""),IF(AND(N(IF80)&gt;0,N(IG80)&gt;N(IF80)),HH80&amp;" канал "&amp;HJ80&amp;": "&amp;FIXED(IG80,1)&amp;" А &gt; "&amp;IF80&amp;" А",""),IFERROR(IF(AND(ISNUMBER(Q80),Q80&gt;EL80),"потери "&amp;FIXED(Q80,1)&amp;" % &gt; "&amp;EL80&amp;" %",""),""),IFERROR(IF(LEFT(HU80,4)="мало","Iкз мало — отключение &gt; 0,4 с",""),""),IF(AND(B80&lt;&gt;"",BM80=""),"не на схеме",""),IF(AND(CG80=0,B80&lt;&gt;"",FV80&lt;&gt;"",IF(BA80=1,"",FW79)&lt;&gt;"",FV80&lt;&gt;IF(BA80=1,"",FW79)),"фаза не как у автомата группы ("&amp;IF(BA80=1,"",FW79)&amp;")","")))</f>
        <v/>
      </c>
      <c r="II80" s="6" t="str">
        <f>IF(OR(CG80=0,DQ80=""),"",_xlfn.LET(_xlpm.t,IFERROR(_xlfn.XLOOKUP(DQ80,Каталог!$U$4:$U$500,Каталог!$G$4:$G$500),""),_xlpm.k,SEARCH("кА",_xlpm.t),IFERROR(--TRIM(RIGHT(SUBSTITUTE(MID(_xlpm.t,MAX(1,_xlpm.k-4),_xlpm.k-MAX(1,_xlpm.k-4))," ",REPT(" ",9)),5)),"")))</f>
        <v/>
      </c>
      <c r="IJ80" t="str">
        <f>IF(OR(II80="",CG80=0),"",IF(_xlfn.XLOOKUP(A80,Щиты[Щит],Щиты[Iкз max на шинах, кА],"")="","",IF(II80&lt;_xlfn.XLOOKUP(A80,Щиты[Щит],Щиты[Iкз max на шинах, кА]),"Icu "&amp;II80&amp;" кА &lt; Iкз max","ok")))</f>
        <v/>
      </c>
      <c r="IK80" t="str">
        <f t="shared" si="251"/>
        <v/>
      </c>
      <c r="IL80" t="str">
        <f t="shared" si="252"/>
        <v>QF27</v>
      </c>
      <c r="IM80" t="str">
        <f t="shared" si="253"/>
        <v>QF27|кабель ВВГнг(А)-LS (5х25) → Внешний блок кондиционирования Пом. Венткиосок</v>
      </c>
      <c r="IN80" t="str" cm="1">
        <f t="array" ref="IN80">IF(IM80="","",_xlfn.LET(_xlpm.nd,_xlfn.TEXTSPLIT(IM80,"|"),IF(COLUMNS(_xlpm.nd)&gt;1,A80&amp;"¦"&amp;INDEX(_xlpm.nd,1)&amp;"¦"&amp;INDEX(_xlpm.nd,2),"")))</f>
        <v>ЩОВ-001¦QF27¦кабель ВВГнг(А)-LS (5х25) → Внешний блок кондиционирования Пом. Венткиосок</v>
      </c>
      <c r="IO80" t="str">
        <f t="shared" si="254"/>
        <v>ККБ-1¦Внешний блок кондиционирования Пом. Венткиосок</v>
      </c>
      <c r="IP80" t="str" cm="1">
        <f t="array" ref="IP80">IF(IM80="","",_xlfn.LET(_xlpm.nd,_xlfn.TEXTSPLIT(IM80,"|"),IF(COLUMNS(_xlpm.nd)&gt;2,A80&amp;"¦"&amp;INDEX(_xlpm.nd,2)&amp;"¦"&amp;INDEX(_xlpm.nd,3),"")))</f>
        <v/>
      </c>
      <c r="IQ80" t="str">
        <f t="shared" si="255"/>
        <v/>
      </c>
      <c r="IR80" t="str" cm="1">
        <f t="array" ref="IR80">IF(IM80="","",_xlfn.LET(_xlpm.nd,_xlfn.TEXTSPLIT(IM80,"|"),IF(COLUMNS(_xlpm.nd)&gt;3,A80&amp;"¦"&amp;INDEX(_xlpm.nd,3)&amp;"¦"&amp;INDEX(_xlpm.nd,4),"")))</f>
        <v/>
      </c>
      <c r="IS80" t="str">
        <f t="shared" si="256"/>
        <v/>
      </c>
      <c r="IT80" t="str" cm="1">
        <f t="array" ref="IT80">IF(IM80="","",_xlfn.LET(_xlpm.nd,_xlfn.TEXTSPLIT(IM80,"|"),IF(COLUMNS(_xlpm.nd)&gt;4,A80&amp;"¦"&amp;INDEX(_xlpm.nd,4)&amp;"¦"&amp;INDEX(_xlpm.nd,5),"")))</f>
        <v/>
      </c>
      <c r="IU80" t="str">
        <f t="shared" si="257"/>
        <v/>
      </c>
      <c r="IV80" t="str" cm="1">
        <f t="array" ref="IV80">IF(IM80="","",_xlfn.LET(_xlpm.nd,_xlfn.TEXTSPLIT(IM80,"|"),IF(COLUMNS(_xlpm.nd)&gt;5,A80&amp;"¦"&amp;INDEX(_xlpm.nd,5)&amp;"¦"&amp;INDEX(_xlpm.nd,6),"")))</f>
        <v/>
      </c>
      <c r="IW80" t="str">
        <f t="shared" si="258"/>
        <v/>
      </c>
      <c r="IX80" t="str" cm="1">
        <f t="array" ref="IX80">IF(IM80="","",_xlfn.LET(_xlpm.nd,_xlfn.TEXTSPLIT(IM80,"|"),IF(COLUMNS(_xlpm.nd)&gt;6,A80&amp;"¦"&amp;INDEX(_xlpm.nd,6)&amp;"¦"&amp;INDEX(_xlpm.nd,7),"")))</f>
        <v/>
      </c>
      <c r="IY80" t="str">
        <f t="shared" si="259"/>
        <v/>
      </c>
      <c r="IZ80" t="str">
        <f t="shared" si="260"/>
        <v/>
      </c>
      <c r="JA80" t="str">
        <f t="shared" si="261"/>
        <v>QF27</v>
      </c>
      <c r="JB80">
        <f t="shared" si="262"/>
        <v>0</v>
      </c>
      <c r="JC80">
        <f t="shared" si="263"/>
        <v>0</v>
      </c>
      <c r="JD80" t="str">
        <f t="shared" si="264"/>
        <v/>
      </c>
      <c r="JE80" t="str">
        <f t="shared" si="265"/>
        <v/>
      </c>
      <c r="JF80" t="str">
        <f t="shared" si="266"/>
        <v/>
      </c>
      <c r="JG80" t="str">
        <f t="shared" si="267"/>
        <v/>
      </c>
      <c r="JH80" t="str">
        <f>IF(B80="","",IFERROR(_xlfn.XLOOKUP(B80,Коды_код,Коды_уго),IFERROR(_xlfn.XLOOKUP(BC80,Коды_код,Коды_уго),IFERROR(_xlfn.XLOOKUP(LEFT(BC80,2),Коды_код,Коды_уго),""))))</f>
        <v/>
      </c>
      <c r="JI80" t="str">
        <f>IF(B80="","",IF(OR(JH80="",JH80=0),"BOX",IFERROR(IF(VLOOKUP(JH80,УГО_блоки,3,FALSE)&amp;""&lt;&gt;"",VLOOKUP(JH80,УГО_блоки,3,FALSE),VLOOKUP(JH80,УГО_блоки,2,FALSE)),JH80)))</f>
        <v>BOX</v>
      </c>
      <c r="JJ80">
        <f t="shared" si="268"/>
        <v>1</v>
      </c>
      <c r="JK80" t="str">
        <f>IF(DQ80="","",IF(COUNTIF(DQ$3:DQ80,DQ80)=1,MAX(JK$2:JK79)+1,""))</f>
        <v/>
      </c>
      <c r="JL80" t="str">
        <f>IF(DE80="","",IF(COUNTIF(DE$3:DE80,DE80)+COUNTIF(DF$2:DF79,DE80)+COUNTIF(DG$2:DG79,DE80)=1,MAX(JL$2:JN79)+1,""))</f>
        <v/>
      </c>
      <c r="JM80" t="str">
        <f>IF(DF80="","",IF(COUNTIF(DE$3:DE80,DF80)+COUNTIF(DF$3:DF80,DF80)+COUNTIF(DG$2:DG79,DF80)=1,MAX(JL$2:JN79,JL80)+1,""))</f>
        <v/>
      </c>
      <c r="JN80" t="str">
        <f>IF(DG80="","",IF(COUNTIF(DE$3:DE80,DG80)+COUNTIF(DF$3:DF80,DG80)+COUNTIF(DG$3:DG80,DG80)=1,MAX(JL$2:JN79,JL80,JM80)+1,""))</f>
        <v/>
      </c>
      <c r="JO80" t="str">
        <f t="shared" si="269"/>
        <v>5х25</v>
      </c>
      <c r="JP80">
        <f>IF(JO80="","",IF(COUNTIF(JO$3:JO80,JO80)=1,MAX(JP$2:JP79)+1,""))</f>
        <v>12</v>
      </c>
      <c r="JQ80" t="str">
        <f>IF(HG80="","",COUNTIF(HG$3:HG80,"?*"))</f>
        <v/>
      </c>
      <c r="JR80" t="str">
        <f>IF(OR(HG80="",HI80=""),"",IF(COUNTIFS(HG$3:HG80,"?*",HI$3:HI80,HI80)=1,MAX(JR$2:JR79)+1,""))</f>
        <v/>
      </c>
      <c r="JS80">
        <f t="shared" si="270"/>
        <v>0</v>
      </c>
      <c r="JT80">
        <f>IF(B80="","",COUNTIF(B$3:B80,"?*"))</f>
        <v>78</v>
      </c>
      <c r="JU80">
        <f>IF(HL80&lt;&gt;1,0,_xlfn.LET(_xlpm.k,MAX(IFERROR(--_xlfn.XLOOKUP(B80,Коды_код,Коды_3L),0),IFERROR(--_xlfn.XLOOKUP(BC80,Коды_код,Коды_3L),0),IFERROR(--_xlfn.XLOOKUP(LEFT(BC80,2),Коды_код,Коды_3L),0)),IF(_xlpm.k&gt;0,_xlpm.k,IF(IFERROR(--LEFT(SUBSTITUTE(JO80,"x","х"),FIND("х",SUBSTITUTE(JO80,"x","х"))-1),3)&gt;3,Каталог!$S$9,1))))</f>
        <v>1</v>
      </c>
      <c r="JV80">
        <f t="shared" si="271"/>
        <v>2</v>
      </c>
      <c r="JW80" t="str">
        <f t="shared" si="272"/>
        <v>авто</v>
      </c>
      <c r="JX80" t="str">
        <f t="shared" si="273"/>
        <v/>
      </c>
      <c r="JY80">
        <f t="shared" si="274"/>
        <v>0</v>
      </c>
      <c r="JZ80">
        <f t="shared" si="275"/>
        <v>1</v>
      </c>
    </row>
    <row r="81" spans="1:286" x14ac:dyDescent="0.3">
      <c r="A81" t="s">
        <v>747</v>
      </c>
      <c r="B81" t="s">
        <v>1394</v>
      </c>
      <c r="C81" t="s">
        <v>1660</v>
      </c>
      <c r="D81">
        <v>1</v>
      </c>
      <c r="E81">
        <v>28</v>
      </c>
      <c r="G81">
        <v>63</v>
      </c>
      <c r="H81" t="str">
        <f>Линии[[#This Row],[_авто управление]]</f>
        <v/>
      </c>
      <c r="I81" t="str">
        <f>Линии[[#This Row],[_авто аппараты]]</f>
        <v/>
      </c>
      <c r="J81">
        <v>25</v>
      </c>
      <c r="K81">
        <v>37</v>
      </c>
      <c r="L81" t="str">
        <f>Линии[[#This Row],[_авто фаза]]</f>
        <v>L1,L2,L3</v>
      </c>
      <c r="M81" t="str">
        <f>Линии[[#This Row],[_авто клемма]]</f>
        <v>XT28</v>
      </c>
      <c r="N81" t="str">
        <f t="shared" si="138"/>
        <v/>
      </c>
      <c r="O81" s="6" cm="1">
        <f t="array" ref="O81">IF(B81="","",IF(BH81&lt;&gt;"",IFERROR(_xlfn.XLOOKUP(BH81,Щиты[Щит],Щиты[Iр, А]),""),IF(BP81=1,IF(OR(N(_xlfn.XLOOKUP(A81,Щиты[Щит],Щиты[Вводов],1))&lt;=1,LOWER(TRIM(_xlfn.XLOOKUP(A81,Щиты[Щит],Щиты[АВР],"")&amp;""))="да"),IFERROR(_xlfn.XLOOKUP(A81,Щиты[Щит],Щиты[Iр, А]),""),IFERROR(N(BS81)*_xlfn.XLOOKUP(A81,Щиты[Щит],Щиты[Кс итог])/(SQRT(3)*Uн_лин*_xlfn.XLOOKUP(A81,Щиты[Щит],Щиты[cos φ])),"")),IF(BV81=1,IFERROR(BS81*1000/BU81,""),IFERROR(_xlfn.IFS(BX81=1,BS81/((Uн_лин/SQRT(3))*CE81),BX81=3,BS81/(SQRT(3)*Uн_лин*CE81)),"")))))</f>
        <v>50.518148554092257</v>
      </c>
      <c r="P81" s="7">
        <f>IF(B81="","",IFERROR(IF(VLOOKUP(BC81,Потребители_обозначение,4,FALSE)=1,VLOOKUP(BC81,Потребители_обозначение,3,FALSE)*(MAX(1,N(D81))*2-1)+EI81+VLOOKUP(BE81,Этаж_обозначение,3,FALSE)+VLOOKUP(BE81,Этаж_обозначение,4,FALSE),VLOOKUP(BC81,Потребители_обозначение,3,FALSE)*(MAX(1,N(D81))*2-1)+EI81),EI81))</f>
        <v>37</v>
      </c>
      <c r="Q81" s="6">
        <f t="shared" si="139"/>
        <v>1.26</v>
      </c>
      <c r="R81" t="str">
        <f t="shared" si="140"/>
        <v>ВВГнг(А)-LS (5х25)</v>
      </c>
      <c r="S81" t="str">
        <f>IF(BM81="","",IF(BN81="вводной узел","узел ","")&amp;"л."&amp;(INT((BM81-1)/Столбцов_на_лист)+1)&amp;" / "&amp;(MOD(BM81-1,Столбцов_на_лист)+1))</f>
        <v>л.3 / 14</v>
      </c>
      <c r="T81" s="119">
        <f t="shared" si="141"/>
        <v>20.6</v>
      </c>
      <c r="U81" s="7" t="str">
        <f>IF(OR(CG81=0,N(BV81)+N(IB81)=0),"",ROUNDUP(Запас_БП*(N(HY81)+N(HZ81)),0))</f>
        <v/>
      </c>
      <c r="V81" s="119" t="str">
        <f t="shared" si="142"/>
        <v/>
      </c>
      <c r="W81" s="7" t="str">
        <f>IFERROR(IF(OR(B81="",BP81=1,BV81=1,NOT(ISNUMBER(EN81)),N(DT81)=0),"",MAX(0,ROUNDDOWN((c_min*(Uн_лин*1000/SQRT(3))/(HT81*N(DT81))-_xlfn.XLOOKUP(A81,Щиты[Щит],Щиты[Zпетли на шинах, Ом]))*EN81/(2*ρкз_Cu),0))),"")</f>
        <v/>
      </c>
      <c r="Y81" t="str">
        <f>Линии[[#This Row],[_авто утечка]]</f>
        <v/>
      </c>
      <c r="Z81">
        <v>3</v>
      </c>
      <c r="AA81">
        <v>400</v>
      </c>
      <c r="AB81" t="s">
        <v>598</v>
      </c>
      <c r="AC81">
        <v>0.5</v>
      </c>
      <c r="AG81" t="s">
        <v>810</v>
      </c>
      <c r="AI81" t="s">
        <v>576</v>
      </c>
      <c r="AK81" t="str">
        <f>Линии[[#This Row],[_авто модуль]]</f>
        <v/>
      </c>
      <c r="AM81">
        <v>48</v>
      </c>
      <c r="AN81" t="s">
        <v>11</v>
      </c>
      <c r="AO81">
        <v>5</v>
      </c>
      <c r="AQ81">
        <v>0</v>
      </c>
      <c r="AR81">
        <v>33</v>
      </c>
      <c r="AS81">
        <v>0</v>
      </c>
      <c r="AT81">
        <v>1</v>
      </c>
      <c r="BA81" cm="1">
        <f t="array" ref="BA81">ROW()-ROW(Линии[#Headers])</f>
        <v>79</v>
      </c>
      <c r="BC81" s="6" t="str">
        <f t="shared" si="143"/>
        <v>ККБ-2</v>
      </c>
      <c r="BD81" t="str">
        <f t="shared" si="144"/>
        <v/>
      </c>
      <c r="BE81" t="str">
        <f t="shared" si="145"/>
        <v/>
      </c>
      <c r="BF81" t="str">
        <f t="shared" si="146"/>
        <v/>
      </c>
      <c r="BG81" t="str">
        <f t="shared" si="147"/>
        <v/>
      </c>
      <c r="BH81" t="str">
        <f>IF(X81&lt;&gt;"",X81,IF(AND(B81&lt;&gt;"",B81&lt;&gt;A81,ISNUMBER(_xlfn.XMATCH(B81,Щиты[Щит]))),B81,""))</f>
        <v/>
      </c>
      <c r="BI81" t="str" cm="1">
        <f t="array" ref="BI81">IF(B81="","",IF(BH81&lt;&gt;"","Щит "&amp;BH81,_xlfn.LET(_xlpm.nm,IFERROR(_xlfn.XLOOKUP(BC81,Коды_код,Коды_имя)&amp;"",""),_xlpm.md,IFERROR(N(_xlfn.XLOOKUP(BC81,Коды_код,Коды_режим)),1),_xlpm.ex,IF(Имя_режим="по экспликации",IFERROR(_xlfn.XLOOKUP(BE81&amp;"|"&amp;BG81,Экспликация[Этаж]&amp;"|"&amp;Экспликация[Помещение],Экспликация[Название])&amp;"",""),""),_xlpm.rm,IF(BG81="","",IF(_xlpm.ex&lt;&gt;"",". "&amp;_xlpm.ex&amp;IF(Имя_пом="нет"," ("&amp;BG81&amp;")"," (пом. "&amp;BG81&amp;")"),IF(Имя_пом="нет"," ",", пом. ")&amp;BG81)),IF(_xlpm.nm="","",IF(_xlpm.md=2,_xlpm.nm&amp;" шлейф "&amp;BE81,_xlpm.nm&amp;_xlpm.rm)))))</f>
        <v/>
      </c>
      <c r="BJ81" t="str">
        <f t="shared" si="148"/>
        <v>Внешний блок кондиционирования Пом. Венткиосок</v>
      </c>
      <c r="BK81">
        <f>IFERROR(_xlfn.XMATCH(A81,Щиты[Щит]),0)</f>
        <v>4</v>
      </c>
      <c r="BL81">
        <f>_xlfn.LET(_xlpm.k,IFERROR(_xlfn.XLOOKUP(A81,Щиты[Щит],Щиты[Мест под вводной узел]),""),IF(_xlpm.k="",Столбцов_на_лист,N(_xlpm.k)))</f>
        <v>13</v>
      </c>
      <c r="BM81">
        <f t="shared" si="149"/>
        <v>48</v>
      </c>
      <c r="BN81" t="str">
        <f t="shared" si="150"/>
        <v>линии</v>
      </c>
      <c r="BO81" s="6">
        <f>IFERROR(N(_xlfn.XLOOKUP(BC81,Коды_код,Коды_квт)),0)</f>
        <v>0</v>
      </c>
      <c r="BP81">
        <f t="shared" si="151"/>
        <v>0</v>
      </c>
      <c r="BQ81" t="str">
        <f>IF(B81="","",IF(BH81&lt;&gt;"",IFERROR(_xlfn.XLOOKUP(BH81,Щиты[Щит],Щиты[Руст, кВт]),0),IF(BP81=1,IF(OR(N(_xlfn.XLOOKUP(A81,Щиты[Щит],Щиты[Вводов],1))&lt;=1,LOWER(TRIM(_xlfn.XLOOKUP(A81,Щиты[Щит],Щиты[АВР],"")&amp;""))="да"),IFERROR(_xlfn.XLOOKUP(A81,Щиты[Щит],Щиты[Руст, кВт]),0),SUMIFS(Линии[_Р для вводов],Линии[Щит],A81,Линии[Источник для режимов],GF81)),IF(BO81&gt;0,ROUND(BO81*MAX(1,N(D81)),3),""))))</f>
        <v/>
      </c>
      <c r="BR81">
        <f t="shared" si="152"/>
        <v>28</v>
      </c>
      <c r="BS81" s="6">
        <f>IF(B81="","",IF(BH81&lt;&gt;"",IFERROR(_xlfn.XLOOKUP(BH81,Щиты[Щит],Щиты[Руст, кВт]),0),N(BR81)))</f>
        <v>28</v>
      </c>
      <c r="BT81" t="str">
        <f>IF(B81="","",IFERROR(IF(VLOOKUP(BC81,Потребители_обозначение,8,FALSE)=0,"",VLOOKUP(BC81,Потребители_обозначение,8,FALSE)),""))</f>
        <v/>
      </c>
      <c r="BU81">
        <f t="shared" si="153"/>
        <v>400</v>
      </c>
      <c r="BV81">
        <f t="shared" si="154"/>
        <v>0</v>
      </c>
      <c r="BW81">
        <f>IF(B81="","",IF(BH81&lt;&gt;"",3,IFERROR(IF(N(VLOOKUP(BC81,Потребители_обозначение,9,FALSE))=0,1,VLOOKUP(BC81,Потребители_обозначение,9,FALSE)),1)))</f>
        <v>1</v>
      </c>
      <c r="BX81">
        <f t="shared" si="155"/>
        <v>3</v>
      </c>
      <c r="BY81" t="str">
        <f>IF(B81="","",_xlfn.LET(_xlpm.bc,IFERROR(IF(VLOOKUP(BC81,Потребители_обозначение,6,FALSE)=0,"",VLOOKUP(BC81,Потребители_обозначение,6,FALSE)&amp;""),""),IF(AND(GA81="да",OR(_xlpm.bc="",_xlpm.bc="мс")),Марка_пож,IF(AND(_xlpm.bc="",BH81&lt;&gt;""),"мс",_xlpm.bc))))</f>
        <v/>
      </c>
      <c r="BZ81" t="str">
        <f t="shared" si="156"/>
        <v>мс</v>
      </c>
      <c r="CA81">
        <f>IF(B81="","",_xlfn.LET(_xlpm.cc,IFERROR(N(VLOOKUP(BC81,Потребители_обозначение,7,FALSE)),0),IF(_xlpm.cc&gt;0,_xlpm.cc,IF(BZ81="","",IF(BV81=1,2,IF(N(BX81)=3,5,3))))))</f>
        <v>5</v>
      </c>
      <c r="CB81">
        <f t="shared" si="157"/>
        <v>5</v>
      </c>
      <c r="CC81">
        <f>IFERROR(N(VLOOKUP(BC81,Потребители_обозначение,10,FALSE)),0)</f>
        <v>0</v>
      </c>
      <c r="CD81">
        <f>IFERROR(VLOOKUP(BC81,Потребители_обозначение,5,FALSE),0)</f>
        <v>0</v>
      </c>
      <c r="CE81" s="6" cm="1">
        <f t="array" ref="CE81">IF(B81="","",IF(BH81&lt;&gt;"",IFERROR(_xlfn.XLOOKUP(BH81,Щиты[Щит],Щиты[cos φ]),0.95),IF(BP81=1,IFERROR(_xlfn.XLOOKUP(A81,Щиты[Щит],Щиты[cos φ]),0.95),IF(ISNUMBER(AD81),AD81,IFERROR(IF(CD81=2,_xlfn.IFS(BX81=3,VLOOKUP(BS81,Справочная_двигатели,8,FALSE),BX81=1,VLOOKUP(BS81,Справочная_двигатели,10,TRUE)),IF(AND(Методика="нормы 2026",FG81="Сил"),0.8,0.95)),0.95)))))</f>
        <v>0.8</v>
      </c>
      <c r="CF81">
        <f t="shared" si="158"/>
        <v>0</v>
      </c>
      <c r="CG81">
        <f t="shared" si="159"/>
        <v>1</v>
      </c>
      <c r="CH81">
        <f t="shared" si="160"/>
        <v>0</v>
      </c>
      <c r="CI81">
        <f>IF(B81="","",IF(BV81=1,IFERROR(BS81/((Uн_лин/SQRT(3))*MAX(0.5,N(CE81))),0),N(O81)))</f>
        <v>50.518148554092257</v>
      </c>
      <c r="CJ81">
        <f t="shared" si="161"/>
        <v>0</v>
      </c>
      <c r="CK81">
        <f t="shared" si="162"/>
        <v>0</v>
      </c>
      <c r="CL81">
        <f t="shared" si="163"/>
        <v>0</v>
      </c>
      <c r="CM81">
        <f t="shared" si="164"/>
        <v>0</v>
      </c>
      <c r="CN81">
        <f t="shared" si="165"/>
        <v>0</v>
      </c>
      <c r="CO81">
        <f>IF(BC81="",0,_xlfn.LET(_xlpm.v,IFERROR(_xlfn.XLOOKUP(B81,Коды_код,Коды_мА),IFERROR(_xlfn.XLOOKUP(BC81,Коды_код,Коды_мА),IFERROR(_xlfn.XLOOKUP(LEFT(BC81,2),Коды_код,Коды_мА),""))),IF(_xlpm.v="да",30,IF(ISNUMBER(_xlpm.v),_xlpm.v,0))))</f>
        <v>0</v>
      </c>
      <c r="CP81" t="str">
        <f t="shared" si="166"/>
        <v/>
      </c>
      <c r="CQ81" t="str">
        <f>_xlfn.LET(_xlpm.k,IFERROR(_xlfn.XLOOKUP(BC81,Коды_код,Коды_утечка)&amp;"",""),IF(_xlpm.k="","дифавтомат",_xlpm.k))</f>
        <v>дифавтомат</v>
      </c>
      <c r="CR81" t="str" cm="1">
        <f t="array" ref="CR81">IF(CG81=0,"",_xlfn.LET(_xlpm.sg,TRIM(_xlfn.TEXTSPLIT(DD81&amp;"",";")),_xlpm.f_,_xlfn._xlws.FILTER(_xlpm.sg,LEFT(_xlpm.sg,3)="УЗО",""),IFERROR(INDEX(_xlpm.f_,1)&amp;"","")))</f>
        <v/>
      </c>
      <c r="CS81" t="str">
        <f t="shared" si="167"/>
        <v/>
      </c>
      <c r="CT81" s="6" t="str" cm="1">
        <f t="array" ref="CT81">IF(CR81="","",_xlfn.LET(_xlpm.tk,_xlfn.TEXTSPLIT(UPPER(CR81)," ",,TRUE),_xlpm.a_,_xlfn._xlws.FILTER(_xlpm.tk,ISNUMBER(--LEFT(_xlpm.tk,1))*((ISNUMBER(SEARCH("А",_xlpm.tk))+ISNUMBER(SEARCH("A",_xlpm.tk)))&gt;0)*NOT(ISNUMBER(SEARCH("МА",_xlpm.tk)))*NOT(ISNUMBER(SEARCH("MA",_xlpm.tk))),""),IFERROR(--SUBSTITUTE(SUBSTITUTE(INDEX(_xlpm.a_,1),"А",""),"A",""),"")))</f>
        <v/>
      </c>
      <c r="CU81" t="str" cm="1">
        <f t="array" ref="CU81">IF(CR81="","",_xlfn.LET(_xlpm.tk,_xlfn.TEXTSPLIT(UPPER(CR81)," ",,TRUE),_xlpm.a_,_xlfn._xlws.FILTER(_xlpm.tk,ISNUMBER(--LEFT(_xlpm.tk,1))*((ISNUMBER(SEARCH("МА",_xlpm.tk))+ISNUMBER(SEARCH("MA",_xlpm.tk)))&gt;0),""),IFERROR(--SUBSTITUTE(SUBSTITUTE(INDEX(_xlpm.a_,1),"МА",""),"MA",""),30)))</f>
        <v/>
      </c>
      <c r="CV81" t="str">
        <f>IF(CS81="","",IFERROR(_xlfn.XLOOKUP(CS81,Линии[_n],Линии[_УЗО, мА]),30))</f>
        <v/>
      </c>
      <c r="CW81">
        <f>IF(CS81="",0,IF(ISNUMBER(SEARCH("4P",IFERROR(_xlfn.XLOOKUP(CS81,Линии[_n],Линии[_УЗО строки])&amp;"",""))),0,1))</f>
        <v>0</v>
      </c>
      <c r="CX81" t="str">
        <f>IF(AND(CS81&lt;&gt;"",CS81=BA81),SUMIFS(Линии[_ток на 230 В],Линии[_блок УЗО],BA81,Линии[Щит],A81),"")</f>
        <v/>
      </c>
      <c r="CY81" t="str">
        <f>IF(AND(CS81&lt;&gt;"",CS81=BA81),SUMIFS(Линии[_ток утечки линии, мА],Линии[_блок УЗО],BA81,Линии[Щит],A81),"")</f>
        <v/>
      </c>
      <c r="CZ81">
        <f t="shared" si="168"/>
        <v>0</v>
      </c>
      <c r="DA81">
        <f t="shared" si="169"/>
        <v>0</v>
      </c>
      <c r="DB81">
        <f>IF(B81="",0,IFERROR(--_xlfn.XLOOKUP(B81,Коды_код,Коды_минавт),IFERROR(--_xlfn.XLOOKUP(BC81,Коды_код,Коды_минавт),IFERROR(--_xlfn.XLOOKUP(LEFT(BC81,2),Коды_код,Коды_минавт),0))))</f>
        <v>0</v>
      </c>
      <c r="DC81" t="str">
        <f>IF(B81="","",IFERROR(_xlfn.XLOOKUP(BC81,Коды_код,Коды_апп)&amp;"",""))</f>
        <v/>
      </c>
      <c r="DD81" t="str">
        <f t="shared" si="170"/>
        <v/>
      </c>
      <c r="DE81" t="str" cm="1">
        <f t="array" ref="DE81">IF(TRIM(DD81&amp;"")="","",IFERROR(TRIM(INDEX(_xlfn.TEXTSPLIT(DD81&amp;";;;",";"),1)),""))</f>
        <v/>
      </c>
      <c r="DF81" t="str" cm="1">
        <f t="array" ref="DF81">IF(TRIM(DD81&amp;"")="","",IFERROR(TRIM(INDEX(_xlfn.TEXTSPLIT(DD81&amp;";;;",";"),2)),""))</f>
        <v/>
      </c>
      <c r="DG81" t="str" cm="1">
        <f t="array" ref="DG81">IF(TRIM(DD81&amp;"")="","",IFERROR(TRIM(INDEX(_xlfn.TEXTSPLIT(DD81&amp;";;;",";"),3)),""))</f>
        <v/>
      </c>
      <c r="DH81">
        <f t="shared" si="171"/>
        <v>0</v>
      </c>
      <c r="DI81" t="str">
        <f>IF(B81="","",_xlfn.LET(_xlpm.t,LOWER(AZ81&amp;""),IF(ISNUMBER(SEARCH("dim",_xlpm.t)),"DIM",IF(ISNUMBER(SEARCH("dali",_xlpm.t)),"DALI",IF(OR(ISNUMBER(SEARCH("relay",_xlpm.t)),ISNUMBER(SEARCH("реле",_xlpm.t))),"Relay",IF(ISNUMBER(SEARCH("кнопк",_xlpm.t)),"",IFERROR(_xlfn.XLOOKUP(BC81,Коды_код,Коды_упр)&amp;"","")))))))</f>
        <v/>
      </c>
      <c r="DJ81" t="str">
        <f t="shared" si="172"/>
        <v/>
      </c>
      <c r="DK81">
        <f>IF(B81="","",_xlfn.LET(_xlpm.ig,IF(N(CX81)&gt;0,N(CX81),N(CI81)+IF(AJ81="вручную",0,N(CJ81))),_xlpm.n0,IFERROR(VLOOKUP(_xlpm.ig,Автомат_номиналы,2,TRUE),0),_xlpm.mn,MAX(DB81,IF(AJ81="вручную",0,N(CM81))),MAX(_xlpm.n0,_xlpm.mn,IF(DH81=1,Мин_автомат_БП,0))))</f>
        <v>63</v>
      </c>
      <c r="DL81">
        <f t="shared" si="173"/>
        <v>3</v>
      </c>
      <c r="DM81" t="str">
        <f t="shared" si="174"/>
        <v>3P</v>
      </c>
      <c r="DN81" t="str">
        <f>_xlfn.LET(_xlpm.cc,UPPER(TRIM(IFERROR(_xlfn.XLOOKUP(BC81,Коды_код,Коды_хар)&amp;"",""))),IF(OR(_xlpm.cc="B",_xlpm.cc="В"),"B",IF(_xlpm.cc="D","D","С")))</f>
        <v>С</v>
      </c>
      <c r="DO81" t="str">
        <f t="shared" si="175"/>
        <v>3P С63А</v>
      </c>
      <c r="DP81">
        <f t="shared" si="176"/>
        <v>63</v>
      </c>
      <c r="DQ81" t="str">
        <f t="shared" si="177"/>
        <v>3P С63А</v>
      </c>
      <c r="DR81" cm="1">
        <f t="array" ref="DR81">IF(DQ81="","",_xlfn.LET(_xlpm.t,SUBSTITUTE(SUBSTITUTE(SUBSTITUTE(UPPER(DQ81),"С","C"),"А","A"),"В","B"),_xlpm.tk,_xlfn.TEXTSPLIT(_xlpm.t," "),_xlpm.f,_xlfn._xlws.FILTER(_xlpm.tk,ISNUMBER(--MID(_xlpm.tk,2,1))*ISNUMBER(SEARCH(LEFT(_xlpm.tk,1)&amp;"#","B#C#D#"))*(LEN(_xlpm.tk)&gt;1),""),_xlpm.x,INDEX(_xlpm.f,1),IFERROR(--SUBSTITUTE(MID(_xlpm.x,2,9),"A",""),IFERROR(--SUBSTITUTE(INDEX(_xlfn._xlws.FILTER(_xlpm.tk,ISNUMBER(--SUBSTITUTE(_xlpm.tk,"A","")),""),1),"A",""),""))))</f>
        <v>63</v>
      </c>
      <c r="DS81" t="str">
        <f t="shared" si="178"/>
        <v>ok</v>
      </c>
      <c r="DT81">
        <f t="shared" si="179"/>
        <v>63</v>
      </c>
      <c r="DU81" t="str">
        <f t="shared" si="180"/>
        <v>3P С63А</v>
      </c>
      <c r="DV81">
        <f t="shared" si="181"/>
        <v>0</v>
      </c>
      <c r="DW81">
        <f t="shared" si="182"/>
        <v>0</v>
      </c>
      <c r="DX81">
        <f t="shared" si="183"/>
        <v>0</v>
      </c>
      <c r="DY81">
        <f t="shared" si="184"/>
        <v>50.518148554092257</v>
      </c>
      <c r="DZ81">
        <f t="shared" si="185"/>
        <v>0.92</v>
      </c>
      <c r="EA81">
        <f>IF(ISNUMBER(AP81),AP81,К_прокл)</f>
        <v>1</v>
      </c>
      <c r="EB81">
        <f t="shared" si="186"/>
        <v>3</v>
      </c>
      <c r="EC81">
        <f>IFERROR(N(VLOOKUP(BZ81,Кабель_обозначение,3,FALSE)),1)</f>
        <v>1</v>
      </c>
      <c r="ED81">
        <f>IFERROR(N(_xlfn.XLOOKUP(A81,Щиты[Щит],Щиты[ΔU до шин, %])),0)</f>
        <v>0.64</v>
      </c>
      <c r="EE81" t="str">
        <f>IFERROR(_xlfn.XLOOKUP(A81,Щиты[Щит],Щиты[Zпетли на шинах, Ом]),"")</f>
        <v/>
      </c>
      <c r="EF81">
        <f>IFERROR(N(_xlfn.XLOOKUP(A81,Щиты[Щит],Щиты[ΔU до шин (подбор), %])),0)</f>
        <v>0.75</v>
      </c>
      <c r="EG81" t="str">
        <f>IFERROR(_xlfn.XLOOKUP(A81,Щиты[Щит],Щиты[Zпетли на шинах (подбор), Ом]),"")</f>
        <v/>
      </c>
      <c r="EH81" t="str">
        <f t="shared" si="187"/>
        <v/>
      </c>
      <c r="EI81">
        <f t="shared" si="188"/>
        <v>37</v>
      </c>
      <c r="EJ81">
        <f t="shared" si="189"/>
        <v>1</v>
      </c>
      <c r="EK81">
        <f t="shared" si="190"/>
        <v>0.6</v>
      </c>
      <c r="EL81" s="6">
        <f>IF(B81="","",IF(BV81=1,dU_LED,IF(IFERROR(_xlfn.XLOOKUP(BC81,Коды_код,Коды_уго),"")="Светильник",3,4)+IF(Методика="нормы 2026",MIN(0.5,MAX(0,N(P81)-100)*0.005),0)))</f>
        <v>4</v>
      </c>
      <c r="EM81" cm="1">
        <f t="array" ref="EM81">IF(OR(B81="",BZ81="",EC81&lt;&gt;1),"",_xlfn.LET(_xlpm.sz,Iдоп_S,_xlpm.t_,CHOOSE(EB81,Iдоп_1ж,Iдоп_2ж,Iдоп_3ж)*DZ81*EA81,_xlpm.dcx,BV81=1,_xlpm.inn,IF(_xlpm.dcx,N(O81),N(DT81)),_xlpm.smin,MAX(1.5,CC81),_xlpm.L_,N(P81)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81)/N(BU81)*100,999),IFERROR(N(EJ81)*(_xlpm.rho*_xlpm.L_/_xlpm.sz*N(CE81)+_xlpm.xx*_xlpm.L_*N(EK81)/1000)*N(O81)/((Uн_лин/SQRT(3))*1000)*100,999)),_xlpm.kz,IF(OR(_xlpm.dcx,DW81=1,NOT(ISNUMBER(EG81)),_xlpm.L_=0,_xlpm.inn=0),1,IFERROR(--(c_min*(Uн_лин*1000/SQRT(3))/(EG81+2*ρкз_Cu*_xlpm.L_/_xlpm.sz)&gt;=HT81*_xlpm.inn),0)),_xlpm.ok,IFERROR((_xlpm.sz&gt;=_xlpm.smin)*(_xlpm.t_&gt;=_xlpm.inn)*IF(_xlpm.L_&gt;0,(_xlpm.du_+IF(_xlpm.dcx,0,EF81)&lt;=EL81+0.00001),1)*_xlpm.kz,0),_xlpm.r_,_xlfn._xlws.FILTER(_xlpm.sz,_xlpm.ok,"не подобрано"),INDEX(_xlpm.r_,1)))</f>
        <v>16</v>
      </c>
      <c r="EN81">
        <f t="shared" si="191"/>
        <v>25</v>
      </c>
      <c r="EO81" cm="1">
        <f t="array" ref="EO81">IF(OR(B81="",BZ81="",EC81&lt;&gt;1),"",_xlfn.LET(_xlpm.sz,Iдоп_S,_xlpm.t_,CHOOSE(EB81,Iдоп_1ж,Iдоп_2ж,Iдоп_3ж)*DZ81*EA81,_xlpm.ok,IFERROR((_xlpm.sz&gt;=MAX(1.5,CC81))*(_xlpm.t_&gt;=N(DT81)),0),_xlpm.r_,_xlfn._xlws.FILTER(_xlpm.sz,_xlpm.ok,""),INDEX(_xlpm.r_,1)))</f>
        <v>16</v>
      </c>
      <c r="EP81" s="6" cm="1">
        <f t="array" ref="EP81">IFERROR(ROUNDUP(N(EJ81)*(_xlfn.XLOOKUP(EO81,INDEX(Кабель_сопротивление,0,1),INDEX(Кабель_сопротивление,0,3))*N(P81)/EO81*N(CE81)+_xlfn.XLOOKUP(EO81,INDEX(Кабель_сопротивление,0,1),INDEX(Кабель_сопротивление,0,2))*N(P81)*N(EK81)/1000)*N(O81)/((Uн_лин/SQRT(3))*1000)*100,2),"")</f>
        <v>0.95</v>
      </c>
      <c r="EQ81">
        <f>IFERROR(2*ρкз_Cu*N(P81)/EO81,"")</f>
        <v>0.1216375</v>
      </c>
      <c r="ER81">
        <f>IFERROR(VLOOKUP(EN81,Кабель_сопротивление,3,FALSE),"")</f>
        <v>2.2499999999999999E-2</v>
      </c>
      <c r="ES81">
        <f>IFERROR(VLOOKUP(EN81,Кабель_сопротивление,2,FALSE),"")</f>
        <v>6.6199999999999995E-2</v>
      </c>
      <c r="ET81">
        <f t="shared" si="192"/>
        <v>33</v>
      </c>
      <c r="EU81">
        <f t="shared" si="193"/>
        <v>0</v>
      </c>
      <c r="EV81">
        <f t="shared" si="194"/>
        <v>1.4200469693220541</v>
      </c>
      <c r="EW81" s="6">
        <f>IFERROR(ROUNDUP(EV81/IF(BV81=1,BU81,(Uн_лин/SQRT(3))*1000)*100,2),"")</f>
        <v>0.62</v>
      </c>
      <c r="EX81" t="str">
        <f>IFERROR(VLOOKUP(BZ81,Кабель_обозначение,2,FALSE),"")</f>
        <v>ВВГнг(А)-LS</v>
      </c>
      <c r="EY81" t="str">
        <f t="shared" si="195"/>
        <v>ВВГнг(А)-LS (5х25)</v>
      </c>
      <c r="EZ81" t="str">
        <f t="shared" si="196"/>
        <v>ВВГнг(А)-LS (5х25)
L=37-0,62%</v>
      </c>
      <c r="FA81">
        <f>IFERROR(2*ρкз_Cu*P81/EN81,"")</f>
        <v>7.7848000000000001E-2</v>
      </c>
      <c r="FB81">
        <f t="shared" si="197"/>
        <v>2.5900000000000003E-2</v>
      </c>
      <c r="FC81" s="6" t="str">
        <f>IFERROR(IF(OR(B81="",BV81=1,NOT(ISNUMBER(EN81)),N(P81)=0),"",_xlfn.XLOOKUP(A81,Щиты[Щит],Щиты[Zпетли на шинах, Ом])+FA81),"")</f>
        <v/>
      </c>
      <c r="FD81" s="6" t="str">
        <f>IF(ISNUMBER(FC81),c_min*(Uн_лин*1000/SQRT(3))/FC81,"")</f>
        <v/>
      </c>
      <c r="FE81" s="6" t="str">
        <f>IFERROR(IF(OR(B81="",NOT(ISNUMBER(EN81))),"",1.05*(Uн_лин*1000/SQRT(3))/(_xlfn.XLOOKUP(A81,Щиты[Щит],Щиты[Zmax на шинах, Ом])+FB81)/1000),"")</f>
        <v/>
      </c>
      <c r="FF81" s="6" t="str">
        <f>IF(B81="","",IF(ISNUMBER(AC81),"Сил",IF(IFERROR(_xlfn.XLOOKUP(BC81,Коды_код,Коды_группа)&amp;"","")="","Быт",_xlfn.XLOOKUP(BC81,Коды_код,Коды_группа)&amp;"")))</f>
        <v>Сил</v>
      </c>
      <c r="FG81" s="6" t="str">
        <f t="shared" si="198"/>
        <v>Сил</v>
      </c>
      <c r="FH81" s="6">
        <f>IF(FG81="Щит","щит",IF(FG81="","",IF(FG81="Быт",IFERROR(_xlfn.XLOOKUP(A81,Щиты[Щит],Щиты[Кс быт]),1),IF(FG81="Сил",IF(ISNUMBER(AC81),AC81,IF(Методика="нормы 2026",IFERROR(_xlfn.XLOOKUP(A81,Щиты[Щит],Щиты[Кс силовых (табл. 7.5)]),1),1)),IF(OR(FG81="Пост",FG81="Отоп"),1,IF(FG81="ВНГ",0.7,0))))))</f>
        <v>0.5</v>
      </c>
      <c r="FI81">
        <f>IF(FG81="","",IF(AND(BP81=1,TRIM(AE81&amp;"")=""),IF(COUNTIFS(Линии[Щит],A81,Линии[Секция (1/2/3)],"&gt;=2")&gt;0,MIN(3,MAX(1,IFERROR(--BD81,1))),1),IFERROR(MIN(3,MAX(1,INT(--AE81))),1)))</f>
        <v>1</v>
      </c>
      <c r="FJ81">
        <f t="shared" si="199"/>
        <v>28</v>
      </c>
      <c r="FK81">
        <f t="shared" si="200"/>
        <v>0</v>
      </c>
      <c r="FL81">
        <f t="shared" si="201"/>
        <v>14</v>
      </c>
      <c r="FM81">
        <f t="shared" si="202"/>
        <v>0</v>
      </c>
      <c r="FN81">
        <f t="shared" si="203"/>
        <v>0</v>
      </c>
      <c r="FO81">
        <f t="shared" si="204"/>
        <v>0</v>
      </c>
      <c r="FP81">
        <f t="shared" si="205"/>
        <v>28</v>
      </c>
      <c r="FQ81">
        <f t="shared" si="206"/>
        <v>28</v>
      </c>
      <c r="FR81">
        <f t="shared" si="207"/>
        <v>22.400000000000002</v>
      </c>
      <c r="FS81">
        <f>IF(CG81=1,IF(AND(CH81=1,CW81=1),0,IF(AND(CS81&lt;&gt;"",CS81=BA81,CW81=1),SUMIFS(Линии[_Р линии, кВт],Линии[_блок УЗО],BA81,Линии[Щит],A81),N(BS81)+IF(AJ81="вручную",0,N(CK81)))),0)</f>
        <v>28</v>
      </c>
      <c r="FT81" t="str">
        <f t="shared" si="208"/>
        <v/>
      </c>
      <c r="FU81" t="str">
        <f>IF(B81="","",IF(CG81=0,IF(BA81=1,"",FW80),IF(AND(CH81=1,CW81=1,CS81&lt;&gt;""),IFERROR(_xlfn.XLOOKUP(CS81,Линии[_n],Линии[_фаза итог]),"L1"),IF(OR(N(DL81)&gt;=3,N(BX81)&gt;=3),"L1,L2,L3",IFERROR(_xlfn.TEXTBEFORE(_xlfn.TEXTAFTER(_xlfn.XLOOKUP(A81,Щиты[Щит],Щиты[_фазы авто]),";"&amp;BA81&amp;":"),";"),"L1")))))</f>
        <v>L1,L2,L3</v>
      </c>
      <c r="FV81" t="str">
        <f t="shared" si="209"/>
        <v>L1,L2,L3</v>
      </c>
      <c r="FW81" t="str">
        <f t="shared" si="210"/>
        <v>L1,L2,L3</v>
      </c>
      <c r="FX81" cm="1">
        <f t="array" ref="FX81">IFERROR(IF(CD81=2,_xlfn.IFS(BX81=3,VLOOKUP(BS81,Справочная_двигатели,3,FALSE),BX81=1,VLOOKUP(BS81,Справочная_двигатели,5,TRUE)),0),0)</f>
        <v>0</v>
      </c>
      <c r="FY81">
        <f>IFERROR(IF(CD81=3,VLOOKUP(BS81,Справочная_ЛЭД,2,TRUE),0),0)</f>
        <v>0</v>
      </c>
      <c r="FZ81" s="6">
        <f t="shared" si="211"/>
        <v>0</v>
      </c>
      <c r="GA81" t="str">
        <f>IF(B81="","",IF(TRIM(AH81&amp;"")&lt;&gt;"",IF(LOWER(TRIM(AH81&amp;""))="да","да","нет"),IF(IFERROR(_xlfn.XLOOKUP(BC81,Коды_код,Коды_пожарная),"")="да","да","нет")))</f>
        <v>нет</v>
      </c>
      <c r="GB81" t="str">
        <f t="shared" si="212"/>
        <v/>
      </c>
      <c r="GC81" t="str">
        <f t="shared" si="213"/>
        <v>основная</v>
      </c>
      <c r="GD81">
        <f>IF(AND(BP81=1,TRIM(AE81&amp;"")=""),IF(COUNTIFS(Линии[Щит],A81,Линии[Секция (1/2/3)],"&gt;=2")&gt;0,MIN(3,MAX(1,IFERROR(--BD81,1))),1),IFERROR(MIN(3,MAX(1,INT(--AE81))),1))</f>
        <v>1</v>
      </c>
      <c r="GE81" t="str" cm="1">
        <f t="array" ref="GE81">IF(B81="","",_xlfn.LET(_xlpm.t,IFERROR(_xlfn.XLOOKUP(1,(Шины[Шина]=GC81)*(((Шины[Щит]=A81)+(Шины[Щит]=""))&gt;0),Шины[Тип]),"")&amp;"",IF(_xlpm.t&lt;&gt;"",_xlpm.t,IF(ISNUMBER(SEARCH("ИБП",GC81)),"ИБП",IF(ISNUMBER(SEARCH("ДГУ",GC81)),"ДГУ","Ввод "&amp;GD81)))))</f>
        <v>Ввод 1</v>
      </c>
      <c r="GF81" t="str">
        <f t="shared" si="214"/>
        <v>Ввод 1</v>
      </c>
      <c r="GG81" t="str">
        <f>IF(BP81=0,"",IF(TRIM(AG81&amp;"")&lt;&gt;"",TRIM(AG81&amp;""),IF(OR(GE81="ИБП",GE81="ДГУ"),"I особая",_xlfn.XLOOKUP(A81,Щиты[Щит],Щиты[Категория шины «Ввод»],"III"))))</f>
        <v/>
      </c>
      <c r="GH81" t="str">
        <f>IF(A81="","",_xlfn.XLOOKUP(A81,Щиты[Щит],Щиты[Путь],""))</f>
        <v>|ГРЩ-ЖД|ЩОВ-001|</v>
      </c>
      <c r="GI81" t="str">
        <f>IF(B81="","",IF(AI81&lt;&gt;"",AI81,IF(IFERROR(_xlfn.XLOOKUP(BC81,Коды_код,Коды_вид)&amp;"","")="","Прочее",_xlfn.XLOOKUP(BC81,Коды_код,Коды_вид)&amp;"")))</f>
        <v>Кондиционирование и увлажнение</v>
      </c>
      <c r="GJ81">
        <f>IF(BM81="","",INT((BM81-1)/Столбцов_на_лист)+1)</f>
        <v>3</v>
      </c>
      <c r="GK81" t="str">
        <f t="shared" si="215"/>
        <v>ВВГнг(А)-LS (5х25) L=37-0,62%</v>
      </c>
      <c r="GL81">
        <f t="shared" si="216"/>
        <v>28</v>
      </c>
      <c r="GM81">
        <f t="shared" si="217"/>
        <v>50.519999999999996</v>
      </c>
      <c r="GN81">
        <f t="shared" si="218"/>
        <v>3</v>
      </c>
      <c r="GO81">
        <f t="shared" si="219"/>
        <v>0</v>
      </c>
      <c r="GP81">
        <f t="shared" si="220"/>
        <v>1</v>
      </c>
      <c r="GQ81">
        <f>IF(BM81="","",IF(AND(CG81=1,GP81=1),COUNTIFS(A$3:A81,A81,CG$3:CG81,1,GP$3:GP81,1),IF(OR(OR(BA81=1,A81&lt;&gt;A80),AJ81="вручную",GP81=0),"",IF(BA81=1,"",GR80))))</f>
        <v>28</v>
      </c>
      <c r="GR81">
        <f t="shared" si="221"/>
        <v>28</v>
      </c>
      <c r="GS81">
        <f>IF(B81="","",IFERROR(LOOKUP(INDEX(CHOOSE(EB81,Iдоп_1ж,Iдоп_2ж,Iдоп_3ж),MATCH(EN81,Iдоп_S,0))*DZ81*EA81,{6,10,16,20,25,32,40,50,63,80,100,125,160,200,250,315,400,500,630}),""))</f>
        <v>80</v>
      </c>
      <c r="GT81" t="str">
        <f t="shared" si="222"/>
        <v>QF28</v>
      </c>
      <c r="GU81" t="str">
        <f t="shared" si="223"/>
        <v>QF28</v>
      </c>
      <c r="GV81" t="str">
        <f t="shared" si="224"/>
        <v/>
      </c>
      <c r="GW81">
        <f t="shared" si="225"/>
        <v>0</v>
      </c>
      <c r="GX81" t="str">
        <f>IF(OR(B81="",DJ81=""),"",IFERROR(_xlfn.XLOOKUP(DJ81,Модули_умолч[Управление],Модули_умолч[Модель])&amp;"",""))</f>
        <v/>
      </c>
      <c r="GY81">
        <f>IF(DJ81="",1,IFERROR(MAX(0,N(_xlfn.XLOOKUP(DJ81,Модули_умолч[Управление],Модули_умолч[Каналов на линию]))),1))</f>
        <v>1</v>
      </c>
      <c r="GZ81" t="str">
        <f t="shared" si="226"/>
        <v/>
      </c>
      <c r="HA81" t="str">
        <f t="shared" si="227"/>
        <v/>
      </c>
      <c r="HB81" t="str">
        <f t="shared" si="228"/>
        <v/>
      </c>
      <c r="HC81">
        <f>IF(HB81="",0,IFERROR(N(VLOOKUP(HB81,Модули_спр,3,FALSE)),0))</f>
        <v>0</v>
      </c>
      <c r="HD81" t="str">
        <f t="shared" si="229"/>
        <v/>
      </c>
      <c r="HE81" t="str">
        <f t="shared" si="230"/>
        <v/>
      </c>
      <c r="HF81" t="str">
        <f>IF(OR(HE81="",HE81="-"),"",IFERROR(VLOOKUP(HE81,Модули_спр,2,FALSE),"R"))</f>
        <v/>
      </c>
      <c r="HG81" t="str">
        <f>IF(HF81="","",HF81&amp;"."&amp;COUNTIFS(A$3:A81,A81,HF$3:HF81,HF81))</f>
        <v/>
      </c>
      <c r="HH81" t="str">
        <f t="shared" si="231"/>
        <v/>
      </c>
      <c r="HI81" t="str">
        <f t="shared" si="232"/>
        <v/>
      </c>
      <c r="HJ81" t="str">
        <f t="shared" si="233"/>
        <v/>
      </c>
      <c r="HK81" t="str">
        <f t="shared" si="234"/>
        <v/>
      </c>
      <c r="HL81">
        <f t="shared" si="235"/>
        <v>1</v>
      </c>
      <c r="HM81" t="str">
        <f>IF(HL81=1,"XT"&amp;COUNTIFS(A$3:A81,A81,HL$3:HL81,1),"")</f>
        <v>XT28</v>
      </c>
      <c r="HN81" t="str">
        <f t="shared" si="236"/>
        <v>XT28</v>
      </c>
      <c r="HO81" t="str">
        <f t="shared" si="237"/>
        <v>QF28</v>
      </c>
      <c r="HP81" t="str">
        <f t="shared" si="238"/>
        <v/>
      </c>
      <c r="HQ81" t="str">
        <f t="shared" si="239"/>
        <v>ok</v>
      </c>
      <c r="HR81" t="str">
        <f>IF(OR(HJ81="",HH81=""),"",IF(HJ81+MAX(0,GY81-1)&gt;IFERROR(VLOOKUP(HI81,Модули_спр,3,FALSE),99),"ЛИШНИЙ КАНАЛ",IF(AND(AL81&lt;&gt;"=",GY81&gt;0,COUNTIFS(Линии[_модуль гр.],HH81,Линии[Канал (итог)],HJ81,Линии[Канал],"&lt;&gt;=",Линии[Щит],A81)&gt;1),"ДУБЛЬ КАНАЛА","")))</f>
        <v/>
      </c>
      <c r="HS81" s="6" t="str">
        <f t="shared" si="240"/>
        <v/>
      </c>
      <c r="HT81">
        <f t="shared" si="241"/>
        <v>10</v>
      </c>
      <c r="HU81" t="str">
        <f t="shared" si="242"/>
        <v/>
      </c>
      <c r="HV81">
        <f t="shared" si="243"/>
        <v>20.577259421636906</v>
      </c>
      <c r="HW81">
        <f t="shared" si="244"/>
        <v>0</v>
      </c>
      <c r="HX81">
        <f t="shared" si="245"/>
        <v>0</v>
      </c>
      <c r="HY81">
        <f t="shared" si="246"/>
        <v>0</v>
      </c>
      <c r="HZ81">
        <f t="shared" si="247"/>
        <v>0</v>
      </c>
      <c r="IA81">
        <f t="shared" si="248"/>
        <v>0</v>
      </c>
      <c r="IB81">
        <f t="shared" si="249"/>
        <v>0</v>
      </c>
      <c r="IC81" t="str">
        <f t="shared" si="250"/>
        <v/>
      </c>
      <c r="ID81" t="str" cm="1">
        <f t="array" ref="ID81">IF(IC81="","",_xlfn.LET(_xlpm.tk,_xlfn.TEXTSPLIT(SUBSTITUTE(SUBSTITUTE(IC81,";"," "),"→"," ")," ",,TRUE),_xlpm.w_,_xlfn._xlws.FILTER(_xlpm.tk,ISNUMBER(--LEFT(_xlpm.tk,1))*((ISNUMBER(SEARCH("W",_xlpm.tk))+ISNUMBER(SEARCH("Вт",_xlpm.tk)))&gt;0),""),IFERROR(--SUBSTITUTE(SUBSTITUTE(UPPER(INDEX(_xlpm.w_,1)),"W",""),"ВТ",""),"")))</f>
        <v/>
      </c>
      <c r="IE81" t="str" cm="1">
        <f t="array" ref="IE81">IF(IC81="","",_xlfn.LET(_xlpm.tk,_xlfn.TEXTSPLIT(SUBSTITUTE(SUBSTITUTE(IC81,";"," "),"→"," ")," ",,TRUE),_xlpm.v_,_xlfn._xlws.FILTER(_xlpm.tk,ISNUMBER(--LEFT(_xlpm.tk,1))*((ISNUMBER(SEARCH("V",_xlpm.tk))+(RIGHT(UPPER(_xlpm.tk))="В"))&gt;0),""),IFERROR(--SUBSTITUTE(SUBSTITUTE(UPPER(INDEX(_xlpm.v_,1)),"V",""),"В",""),"")))</f>
        <v/>
      </c>
      <c r="IF81" s="6" t="str">
        <f>IF(OR(BV81=0,HI81="",HJ81=""),"",IFERROR(N(_xlfn.XLOOKUP(HI81,Каталог!$C$4:$C$500,Каталог!$Q$4:$Q$500)),""))</f>
        <v/>
      </c>
      <c r="IG81" s="6" t="str">
        <f>IF(N(IF81)=0,"",SUMIFS(Линии[Iр, А],Линии[Щит],A81,Линии[_модуль гр.],HH81,Линии[Канал (итог)],HJ81))</f>
        <v/>
      </c>
      <c r="IH81" t="str">
        <f>IF(AND(B81="",HO81=""),"",_xlfn.TEXTJOIN("; ",TRUE,IF(AND(B81&lt;&gt;"",FV81=""),"нет фазы",""),IF(AND(B81&lt;&gt;"",N(GL81)=0,FG81&lt;&gt;"Нет"),"нет мощности",""),IF(AND(HN81&lt;&gt;"",COUNTIFS(Линии[Щит],A81,Линии[Клемма (итог)],HN81)&gt;1),"дубль клеммы "&amp;HN81,""),IF(AND(HQ81&lt;&gt;"",HQ81&lt;&gt;"ok"),HQ81,""),IF(HR81&lt;&gt;"",HR81,""),IF(AND(N(CB81)&gt;=4,N(BX81)=1),CB81&amp;" жил на 1 фазе",""),IF(AND(BC81="R",CG81=1,IF(CS81&lt;&gt;"",N(CV81)&gt;30,OR(N(DA81)=0,N(DA81)&gt;30))),"розетка без дифзащиты до 30 мА",""),IF(AND(CG81=1,N(DA81)&gt;0,ISNUMBER(T81)),IF(T81&gt;N(DA81)/3,"ток утечки "&amp;FIXED(T81,1)&amp;" мА &gt; 1/3 уставки ("&amp;DA81&amp;" мА)",""),""),IF(AND(CH81=1,CS81=""),"«узо»: нет строки с УЗО выше (УЗО 2P 40А 30мА в «Аппаратах»)",""),IF(AND(CS81&lt;&gt;"",CS81=BA81),IF(CT81="","впишите номинал УЗО (УЗО 2P 40А 30мА)",IF(N(CT81)&lt;N(DT81),"УЗО "&amp;CT81&amp;" А &lt; автомата "&amp;DT81&amp;" А перед ним",IF(N(CT81)&lt;N(CX81),"УЗО "&amp;CT81&amp;" А &lt; тока блока "&amp;FIXED(CX81,1)&amp;" А",""))),""),IF(AND(CS81&lt;&gt;"",CS81=BA81,ISNUMBER(CY81)),IF(CY81&gt;N(CV81)/3,"ток утечки блока УЗО "&amp;FIXED(CY81,1)&amp;" мА &gt; 1/3 уставки ("&amp;CV81&amp;" мА)",""),""),IF(AND(CG81=1,N(BV81)+N(IB81)&gt;0,IC81=""),"линии до 50 В без БП: впишите в «Аппараты» (БП 24V 480W)",""),IF(AND(CG81=1,ISNUMBER(ID81),ISNUMBER(U81)),IF(U81&gt;ID81,"БП "&amp;ID81&amp;" Вт &lt; нужно "&amp;U81&amp;" Вт (×"&amp;Запас_БП&amp;")",""),""),IF(AND(CG81=1,ISNUMBER(IE81),N(BV81)=1),IF(IE81&lt;&gt;N(BU81),"БП на "&amp;IE81&amp;" В, линия "&amp;BU81&amp;" В",""),""),IF(AND(N(IF81)&gt;0,N(IG81)&gt;N(IF81)),HH81&amp;" канал "&amp;HJ81&amp;": "&amp;FIXED(IG81,1)&amp;" А &gt; "&amp;IF81&amp;" А",""),IFERROR(IF(AND(ISNUMBER(Q81),Q81&gt;EL81),"потери "&amp;FIXED(Q81,1)&amp;" % &gt; "&amp;EL81&amp;" %",""),""),IFERROR(IF(LEFT(HU81,4)="мало","Iкз мало — отключение &gt; 0,4 с",""),""),IF(AND(B81&lt;&gt;"",BM81=""),"не на схеме",""),IF(AND(CG81=0,B81&lt;&gt;"",FV81&lt;&gt;"",IF(BA81=1,"",FW80)&lt;&gt;"",FV81&lt;&gt;IF(BA81=1,"",FW80)),"фаза не как у автомата группы ("&amp;IF(BA81=1,"",FW80)&amp;")","")))</f>
        <v/>
      </c>
      <c r="II81" s="6" t="str">
        <f>IF(OR(CG81=0,DQ81=""),"",_xlfn.LET(_xlpm.t,IFERROR(_xlfn.XLOOKUP(DQ81,Каталог!$U$4:$U$500,Каталог!$G$4:$G$500),""),_xlpm.k,SEARCH("кА",_xlpm.t),IFERROR(--TRIM(RIGHT(SUBSTITUTE(MID(_xlpm.t,MAX(1,_xlpm.k-4),_xlpm.k-MAX(1,_xlpm.k-4))," ",REPT(" ",9)),5)),"")))</f>
        <v/>
      </c>
      <c r="IJ81" t="str">
        <f>IF(OR(II81="",CG81=0),"",IF(_xlfn.XLOOKUP(A81,Щиты[Щит],Щиты[Iкз max на шинах, кА],"")="","",IF(II81&lt;_xlfn.XLOOKUP(A81,Щиты[Щит],Щиты[Iкз max на шинах, кА]),"Icu "&amp;II81&amp;" кА &lt; Iкз max","ok")))</f>
        <v/>
      </c>
      <c r="IK81" t="str">
        <f t="shared" si="251"/>
        <v/>
      </c>
      <c r="IL81" t="str">
        <f t="shared" si="252"/>
        <v>QF28|XT28</v>
      </c>
      <c r="IM81" t="str">
        <f t="shared" si="253"/>
        <v>QF28|XT28|кабель ВВГнг(А)-LS (5х25) → Внешний блок кондиционирования Пом. Венткиосок</v>
      </c>
      <c r="IN81" t="str" cm="1">
        <f t="array" ref="IN81">IF(IM81="","",_xlfn.LET(_xlpm.nd,_xlfn.TEXTSPLIT(IM81,"|"),IF(COLUMNS(_xlpm.nd)&gt;1,A81&amp;"¦"&amp;INDEX(_xlpm.nd,1)&amp;"¦"&amp;INDEX(_xlpm.nd,2),"")))</f>
        <v>ЩОВ-001¦QF28¦XT28</v>
      </c>
      <c r="IO81" t="str">
        <f t="shared" si="254"/>
        <v>ККБ-2¦Внешний блок кондиционирования Пом. Венткиосок</v>
      </c>
      <c r="IP81" t="str" cm="1">
        <f t="array" ref="IP81">IF(IM81="","",_xlfn.LET(_xlpm.nd,_xlfn.TEXTSPLIT(IM81,"|"),IF(COLUMNS(_xlpm.nd)&gt;2,A81&amp;"¦"&amp;INDEX(_xlpm.nd,2)&amp;"¦"&amp;INDEX(_xlpm.nd,3),"")))</f>
        <v>ЩОВ-001¦XT28¦кабель ВВГнг(А)-LS (5х25) → Внешний блок кондиционирования Пом. Венткиосок</v>
      </c>
      <c r="IQ81" t="str">
        <f t="shared" si="255"/>
        <v>ККБ-2¦Внешний блок кондиционирования Пом. Венткиосок</v>
      </c>
      <c r="IR81" t="str" cm="1">
        <f t="array" ref="IR81">IF(IM81="","",_xlfn.LET(_xlpm.nd,_xlfn.TEXTSPLIT(IM81,"|"),IF(COLUMNS(_xlpm.nd)&gt;3,A81&amp;"¦"&amp;INDEX(_xlpm.nd,3)&amp;"¦"&amp;INDEX(_xlpm.nd,4),"")))</f>
        <v/>
      </c>
      <c r="IS81" t="str">
        <f t="shared" si="256"/>
        <v/>
      </c>
      <c r="IT81" t="str" cm="1">
        <f t="array" ref="IT81">IF(IM81="","",_xlfn.LET(_xlpm.nd,_xlfn.TEXTSPLIT(IM81,"|"),IF(COLUMNS(_xlpm.nd)&gt;4,A81&amp;"¦"&amp;INDEX(_xlpm.nd,4)&amp;"¦"&amp;INDEX(_xlpm.nd,5),"")))</f>
        <v/>
      </c>
      <c r="IU81" t="str">
        <f t="shared" si="257"/>
        <v/>
      </c>
      <c r="IV81" t="str" cm="1">
        <f t="array" ref="IV81">IF(IM81="","",_xlfn.LET(_xlpm.nd,_xlfn.TEXTSPLIT(IM81,"|"),IF(COLUMNS(_xlpm.nd)&gt;5,A81&amp;"¦"&amp;INDEX(_xlpm.nd,5)&amp;"¦"&amp;INDEX(_xlpm.nd,6),"")))</f>
        <v/>
      </c>
      <c r="IW81" t="str">
        <f t="shared" si="258"/>
        <v/>
      </c>
      <c r="IX81" t="str" cm="1">
        <f t="array" ref="IX81">IF(IM81="","",_xlfn.LET(_xlpm.nd,_xlfn.TEXTSPLIT(IM81,"|"),IF(COLUMNS(_xlpm.nd)&gt;6,A81&amp;"¦"&amp;INDEX(_xlpm.nd,6)&amp;"¦"&amp;INDEX(_xlpm.nd,7),"")))</f>
        <v/>
      </c>
      <c r="IY81" t="str">
        <f t="shared" si="259"/>
        <v/>
      </c>
      <c r="IZ81" t="str">
        <f t="shared" si="260"/>
        <v/>
      </c>
      <c r="JA81" t="str">
        <f t="shared" si="261"/>
        <v>QF28 → XT28</v>
      </c>
      <c r="JB81">
        <f t="shared" si="262"/>
        <v>0</v>
      </c>
      <c r="JC81">
        <f t="shared" si="263"/>
        <v>0</v>
      </c>
      <c r="JD81" t="str">
        <f t="shared" si="264"/>
        <v/>
      </c>
      <c r="JE81" t="str">
        <f t="shared" si="265"/>
        <v/>
      </c>
      <c r="JF81" t="str">
        <f t="shared" si="266"/>
        <v/>
      </c>
      <c r="JG81" t="str">
        <f t="shared" si="267"/>
        <v/>
      </c>
      <c r="JH81" t="str">
        <f>IF(B81="","",IFERROR(_xlfn.XLOOKUP(B81,Коды_код,Коды_уго),IFERROR(_xlfn.XLOOKUP(BC81,Коды_код,Коды_уго),IFERROR(_xlfn.XLOOKUP(LEFT(BC81,2),Коды_код,Коды_уго),""))))</f>
        <v/>
      </c>
      <c r="JI81" t="str">
        <f>IF(B81="","",IF(OR(JH81="",JH81=0),"BOX",IFERROR(IF(VLOOKUP(JH81,УГО_блоки,3,FALSE)&amp;""&lt;&gt;"",VLOOKUP(JH81,УГО_блоки,3,FALSE),VLOOKUP(JH81,УГО_блоки,2,FALSE)),JH81)))</f>
        <v>BOX</v>
      </c>
      <c r="JJ81">
        <f t="shared" si="268"/>
        <v>1</v>
      </c>
      <c r="JK81" t="str">
        <f>IF(DQ81="","",IF(COUNTIF(DQ$3:DQ81,DQ81)=1,MAX(JK$2:JK80)+1,""))</f>
        <v/>
      </c>
      <c r="JL81" t="str">
        <f>IF(DE81="","",IF(COUNTIF(DE$3:DE81,DE81)+COUNTIF(DF$2:DF80,DE81)+COUNTIF(DG$2:DG80,DE81)=1,MAX(JL$2:JN80)+1,""))</f>
        <v/>
      </c>
      <c r="JM81" t="str">
        <f>IF(DF81="","",IF(COUNTIF(DE$3:DE81,DF81)+COUNTIF(DF$3:DF81,DF81)+COUNTIF(DG$2:DG80,DF81)=1,MAX(JL$2:JN80,JL81)+1,""))</f>
        <v/>
      </c>
      <c r="JN81" t="str">
        <f>IF(DG81="","",IF(COUNTIF(DE$3:DE81,DG81)+COUNTIF(DF$3:DF81,DG81)+COUNTIF(DG$3:DG81,DG81)=1,MAX(JL$2:JN80,JL81,JM81)+1,""))</f>
        <v/>
      </c>
      <c r="JO81" t="str">
        <f t="shared" si="269"/>
        <v>5х25</v>
      </c>
      <c r="JP81" t="str">
        <f>IF(JO81="","",IF(COUNTIF(JO$3:JO81,JO81)=1,MAX(JP$2:JP80)+1,""))</f>
        <v/>
      </c>
      <c r="JQ81" t="str">
        <f>IF(HG81="","",COUNTIF(HG$3:HG81,"?*"))</f>
        <v/>
      </c>
      <c r="JR81" t="str">
        <f>IF(OR(HG81="",HI81=""),"",IF(COUNTIFS(HG$3:HG81,"?*",HI$3:HI81,HI81)=1,MAX(JR$2:JR80)+1,""))</f>
        <v/>
      </c>
      <c r="JS81">
        <f t="shared" si="270"/>
        <v>0</v>
      </c>
      <c r="JT81">
        <f>IF(B81="","",COUNTIF(B$3:B81,"?*"))</f>
        <v>79</v>
      </c>
      <c r="JU81">
        <f>IF(HL81&lt;&gt;1,0,_xlfn.LET(_xlpm.k,MAX(IFERROR(--_xlfn.XLOOKUP(B81,Коды_код,Коды_3L),0),IFERROR(--_xlfn.XLOOKUP(BC81,Коды_код,Коды_3L),0),IFERROR(--_xlfn.XLOOKUP(LEFT(BC81,2),Коды_код,Коды_3L),0)),IF(_xlpm.k&gt;0,_xlpm.k,IF(IFERROR(--LEFT(SUBSTITUTE(JO81,"x","х"),FIND("х",SUBSTITUTE(JO81,"x","х"))-1),3)&gt;3,Каталог!$S$9,1))))</f>
        <v>1</v>
      </c>
      <c r="JV81">
        <f t="shared" si="271"/>
        <v>2</v>
      </c>
      <c r="JW81" t="str">
        <f t="shared" si="272"/>
        <v>авто</v>
      </c>
      <c r="JX81" t="str">
        <f t="shared" si="273"/>
        <v/>
      </c>
      <c r="JY81">
        <f t="shared" si="274"/>
        <v>0</v>
      </c>
      <c r="JZ81">
        <f t="shared" si="275"/>
        <v>1</v>
      </c>
    </row>
    <row r="82" spans="1:286" x14ac:dyDescent="0.3">
      <c r="A82" t="s">
        <v>747</v>
      </c>
      <c r="B82" t="s">
        <v>1395</v>
      </c>
      <c r="C82" t="s">
        <v>1660</v>
      </c>
      <c r="D82">
        <v>1</v>
      </c>
      <c r="E82">
        <v>27.79</v>
      </c>
      <c r="G82">
        <v>63</v>
      </c>
      <c r="H82" t="str">
        <f>Линии[[#This Row],[_авто управление]]</f>
        <v/>
      </c>
      <c r="I82" t="str">
        <f>Линии[[#This Row],[_авто аппараты]]</f>
        <v/>
      </c>
      <c r="J82">
        <v>25</v>
      </c>
      <c r="K82">
        <v>51</v>
      </c>
      <c r="L82" t="str">
        <f>Линии[[#This Row],[_авто фаза]]</f>
        <v>L1,L2,L3</v>
      </c>
      <c r="M82" t="str">
        <f>Линии[[#This Row],[_авто клемма]]</f>
        <v>XT29</v>
      </c>
      <c r="N82" t="str">
        <f t="shared" si="138"/>
        <v/>
      </c>
      <c r="O82" s="6" cm="1">
        <f t="array" ref="O82">IF(B82="","",IF(BH82&lt;&gt;"",IFERROR(_xlfn.XLOOKUP(BH82,Щиты[Щит],Щиты[Iр, А]),""),IF(BP82=1,IF(OR(N(_xlfn.XLOOKUP(A82,Щиты[Щит],Щиты[Вводов],1))&lt;=1,LOWER(TRIM(_xlfn.XLOOKUP(A82,Щиты[Щит],Щиты[АВР],"")&amp;""))="да"),IFERROR(_xlfn.XLOOKUP(A82,Щиты[Щит],Щиты[Iр, А]),""),IFERROR(N(BS82)*_xlfn.XLOOKUP(A82,Щиты[Щит],Щиты[Кс итог])/(SQRT(3)*Uн_лин*_xlfn.XLOOKUP(A82,Щиты[Щит],Щиты[cos φ])),"")),IF(BV82=1,IFERROR(BS82*1000/BU82,""),IFERROR(_xlfn.IFS(BX82=1,BS82/((Uн_лин/SQRT(3))*CE82),BX82=3,BS82/(SQRT(3)*Uн_лин*CE82)),"")))))</f>
        <v>50.139262439936559</v>
      </c>
      <c r="P82" s="7">
        <f>IF(B82="","",IFERROR(IF(VLOOKUP(BC82,Потребители_обозначение,4,FALSE)=1,VLOOKUP(BC82,Потребители_обозначение,3,FALSE)*(MAX(1,N(D82))*2-1)+EI82+VLOOKUP(BE82,Этаж_обозначение,3,FALSE)+VLOOKUP(BE82,Этаж_обозначение,4,FALSE),VLOOKUP(BC82,Потребители_обозначение,3,FALSE)*(MAX(1,N(D82))*2-1)+EI82),EI82))</f>
        <v>51</v>
      </c>
      <c r="Q82" s="6">
        <f t="shared" si="139"/>
        <v>1.49</v>
      </c>
      <c r="R82" t="str">
        <f t="shared" si="140"/>
        <v>ВВГнг(А)-LS (5х25)</v>
      </c>
      <c r="S82" t="str">
        <f>IF(BM82="","",IF(BN82="вводной узел","узел ","")&amp;"л."&amp;(INT((BM82-1)/Столбцов_на_лист)+1)&amp;" / "&amp;(MOD(BM82-1,Столбцов_на_лист)+1))</f>
        <v>л.3 / 15</v>
      </c>
      <c r="T82" s="119">
        <f t="shared" si="141"/>
        <v>20.6</v>
      </c>
      <c r="U82" s="7" t="str">
        <f>IF(OR(CG82=0,N(BV82)+N(IB82)=0),"",ROUNDUP(Запас_БП*(N(HY82)+N(HZ82)),0))</f>
        <v/>
      </c>
      <c r="V82" s="119" t="str">
        <f t="shared" si="142"/>
        <v/>
      </c>
      <c r="W82" s="7" t="str">
        <f>IFERROR(IF(OR(B82="",BP82=1,BV82=1,NOT(ISNUMBER(EN82)),N(DT82)=0),"",MAX(0,ROUNDDOWN((c_min*(Uн_лин*1000/SQRT(3))/(HT82*N(DT82))-_xlfn.XLOOKUP(A82,Щиты[Щит],Щиты[Zпетли на шинах, Ом]))*EN82/(2*ρкз_Cu),0))),"")</f>
        <v/>
      </c>
      <c r="Y82" t="str">
        <f>Линии[[#This Row],[_авто утечка]]</f>
        <v/>
      </c>
      <c r="Z82">
        <v>3</v>
      </c>
      <c r="AA82">
        <v>400</v>
      </c>
      <c r="AB82" t="s">
        <v>598</v>
      </c>
      <c r="AC82">
        <v>0.5</v>
      </c>
      <c r="AG82" t="s">
        <v>810</v>
      </c>
      <c r="AI82" t="s">
        <v>576</v>
      </c>
      <c r="AK82" t="str">
        <f>Линии[[#This Row],[_авто модуль]]</f>
        <v/>
      </c>
      <c r="AM82">
        <v>49</v>
      </c>
      <c r="AN82" t="s">
        <v>11</v>
      </c>
      <c r="AO82">
        <v>5</v>
      </c>
      <c r="AQ82">
        <v>0</v>
      </c>
      <c r="AR82">
        <v>47</v>
      </c>
      <c r="AS82">
        <v>0</v>
      </c>
      <c r="AT82">
        <v>1</v>
      </c>
      <c r="BA82" cm="1">
        <f t="array" ref="BA82">ROW()-ROW(Линии[#Headers])</f>
        <v>80</v>
      </c>
      <c r="BC82" s="6" t="str">
        <f t="shared" si="143"/>
        <v>НБ-1</v>
      </c>
      <c r="BD82" t="str">
        <f t="shared" si="144"/>
        <v/>
      </c>
      <c r="BE82" t="str">
        <f t="shared" si="145"/>
        <v/>
      </c>
      <c r="BF82" t="str">
        <f t="shared" si="146"/>
        <v/>
      </c>
      <c r="BG82" t="str">
        <f t="shared" si="147"/>
        <v/>
      </c>
      <c r="BH82" t="str">
        <f>IF(X82&lt;&gt;"",X82,IF(AND(B82&lt;&gt;"",B82&lt;&gt;A82,ISNUMBER(_xlfn.XMATCH(B82,Щиты[Щит]))),B82,""))</f>
        <v/>
      </c>
      <c r="BI82" t="str" cm="1">
        <f t="array" ref="BI82">IF(B82="","",IF(BH82&lt;&gt;"","Щит "&amp;BH82,_xlfn.LET(_xlpm.nm,IFERROR(_xlfn.XLOOKUP(BC82,Коды_код,Коды_имя)&amp;"",""),_xlpm.md,IFERROR(N(_xlfn.XLOOKUP(BC82,Коды_код,Коды_режим)),1),_xlpm.ex,IF(Имя_режим="по экспликации",IFERROR(_xlfn.XLOOKUP(BE82&amp;"|"&amp;BG82,Экспликация[Этаж]&amp;"|"&amp;Экспликация[Помещение],Экспликация[Название])&amp;"",""),""),_xlpm.rm,IF(BG82="","",IF(_xlpm.ex&lt;&gt;"",". "&amp;_xlpm.ex&amp;IF(Имя_пом="нет"," ("&amp;BG82&amp;")"," (пом. "&amp;BG82&amp;")"),IF(Имя_пом="нет"," ",", пом. ")&amp;BG82)),IF(_xlpm.nm="","",IF(_xlpm.md=2,_xlpm.nm&amp;" шлейф "&amp;BE82,_xlpm.nm&amp;_xlpm.rm)))))</f>
        <v/>
      </c>
      <c r="BJ82" t="str">
        <f t="shared" si="148"/>
        <v>Внешний блок кондиционирования Пом. Венткиосок</v>
      </c>
      <c r="BK82">
        <f>IFERROR(_xlfn.XMATCH(A82,Щиты[Щит]),0)</f>
        <v>4</v>
      </c>
      <c r="BL82">
        <f>_xlfn.LET(_xlpm.k,IFERROR(_xlfn.XLOOKUP(A82,Щиты[Щит],Щиты[Мест под вводной узел]),""),IF(_xlpm.k="",Столбцов_на_лист,N(_xlpm.k)))</f>
        <v>13</v>
      </c>
      <c r="BM82">
        <f t="shared" si="149"/>
        <v>49</v>
      </c>
      <c r="BN82" t="str">
        <f t="shared" si="150"/>
        <v>линии</v>
      </c>
      <c r="BO82" s="6">
        <f>IFERROR(N(_xlfn.XLOOKUP(BC82,Коды_код,Коды_квт)),0)</f>
        <v>0</v>
      </c>
      <c r="BP82">
        <f t="shared" si="151"/>
        <v>0</v>
      </c>
      <c r="BQ82" t="str">
        <f>IF(B82="","",IF(BH82&lt;&gt;"",IFERROR(_xlfn.XLOOKUP(BH82,Щиты[Щит],Щиты[Руст, кВт]),0),IF(BP82=1,IF(OR(N(_xlfn.XLOOKUP(A82,Щиты[Щит],Щиты[Вводов],1))&lt;=1,LOWER(TRIM(_xlfn.XLOOKUP(A82,Щиты[Щит],Щиты[АВР],"")&amp;""))="да"),IFERROR(_xlfn.XLOOKUP(A82,Щиты[Щит],Щиты[Руст, кВт]),0),SUMIFS(Линии[_Р для вводов],Линии[Щит],A82,Линии[Источник для режимов],GF82)),IF(BO82&gt;0,ROUND(BO82*MAX(1,N(D82)),3),""))))</f>
        <v/>
      </c>
      <c r="BR82">
        <f t="shared" si="152"/>
        <v>27.79</v>
      </c>
      <c r="BS82" s="6">
        <f>IF(B82="","",IF(BH82&lt;&gt;"",IFERROR(_xlfn.XLOOKUP(BH82,Щиты[Щит],Щиты[Руст, кВт]),0),N(BR82)))</f>
        <v>27.79</v>
      </c>
      <c r="BT82" t="str">
        <f>IF(B82="","",IFERROR(IF(VLOOKUP(BC82,Потребители_обозначение,8,FALSE)=0,"",VLOOKUP(BC82,Потребители_обозначение,8,FALSE)),""))</f>
        <v/>
      </c>
      <c r="BU82">
        <f t="shared" si="153"/>
        <v>400</v>
      </c>
      <c r="BV82">
        <f t="shared" si="154"/>
        <v>0</v>
      </c>
      <c r="BW82">
        <f>IF(B82="","",IF(BH82&lt;&gt;"",3,IFERROR(IF(N(VLOOKUP(BC82,Потребители_обозначение,9,FALSE))=0,1,VLOOKUP(BC82,Потребители_обозначение,9,FALSE)),1)))</f>
        <v>1</v>
      </c>
      <c r="BX82">
        <f t="shared" si="155"/>
        <v>3</v>
      </c>
      <c r="BY82" t="str">
        <f>IF(B82="","",_xlfn.LET(_xlpm.bc,IFERROR(IF(VLOOKUP(BC82,Потребители_обозначение,6,FALSE)=0,"",VLOOKUP(BC82,Потребители_обозначение,6,FALSE)&amp;""),""),IF(AND(GA82="да",OR(_xlpm.bc="",_xlpm.bc="мс")),Марка_пож,IF(AND(_xlpm.bc="",BH82&lt;&gt;""),"мс",_xlpm.bc))))</f>
        <v/>
      </c>
      <c r="BZ82" t="str">
        <f t="shared" si="156"/>
        <v>мс</v>
      </c>
      <c r="CA82">
        <f>IF(B82="","",_xlfn.LET(_xlpm.cc,IFERROR(N(VLOOKUP(BC82,Потребители_обозначение,7,FALSE)),0),IF(_xlpm.cc&gt;0,_xlpm.cc,IF(BZ82="","",IF(BV82=1,2,IF(N(BX82)=3,5,3))))))</f>
        <v>5</v>
      </c>
      <c r="CB82">
        <f t="shared" si="157"/>
        <v>5</v>
      </c>
      <c r="CC82">
        <f>IFERROR(N(VLOOKUP(BC82,Потребители_обозначение,10,FALSE)),0)</f>
        <v>0</v>
      </c>
      <c r="CD82">
        <f>IFERROR(VLOOKUP(BC82,Потребители_обозначение,5,FALSE),0)</f>
        <v>0</v>
      </c>
      <c r="CE82" s="6" cm="1">
        <f t="array" ref="CE82">IF(B82="","",IF(BH82&lt;&gt;"",IFERROR(_xlfn.XLOOKUP(BH82,Щиты[Щит],Щиты[cos φ]),0.95),IF(BP82=1,IFERROR(_xlfn.XLOOKUP(A82,Щиты[Щит],Щиты[cos φ]),0.95),IF(ISNUMBER(AD82),AD82,IFERROR(IF(CD82=2,_xlfn.IFS(BX82=3,VLOOKUP(BS82,Справочная_двигатели,8,FALSE),BX82=1,VLOOKUP(BS82,Справочная_двигатели,10,TRUE)),IF(AND(Методика="нормы 2026",FG82="Сил"),0.8,0.95)),0.95)))))</f>
        <v>0.8</v>
      </c>
      <c r="CF82">
        <f t="shared" si="158"/>
        <v>0</v>
      </c>
      <c r="CG82">
        <f t="shared" si="159"/>
        <v>1</v>
      </c>
      <c r="CH82">
        <f t="shared" si="160"/>
        <v>0</v>
      </c>
      <c r="CI82">
        <f>IF(B82="","",IF(BV82=1,IFERROR(BS82/((Uн_лин/SQRT(3))*MAX(0.5,N(CE82))),0),N(O82)))</f>
        <v>50.139262439936559</v>
      </c>
      <c r="CJ82">
        <f t="shared" si="161"/>
        <v>0</v>
      </c>
      <c r="CK82">
        <f t="shared" si="162"/>
        <v>0</v>
      </c>
      <c r="CL82">
        <f t="shared" si="163"/>
        <v>0</v>
      </c>
      <c r="CM82">
        <f t="shared" si="164"/>
        <v>0</v>
      </c>
      <c r="CN82">
        <f t="shared" si="165"/>
        <v>0</v>
      </c>
      <c r="CO82">
        <f>IF(BC82="",0,_xlfn.LET(_xlpm.v,IFERROR(_xlfn.XLOOKUP(B82,Коды_код,Коды_мА),IFERROR(_xlfn.XLOOKUP(BC82,Коды_код,Коды_мА),IFERROR(_xlfn.XLOOKUP(LEFT(BC82,2),Коды_код,Коды_мА),""))),IF(_xlpm.v="да",30,IF(ISNUMBER(_xlpm.v),_xlpm.v,0))))</f>
        <v>0</v>
      </c>
      <c r="CP82" t="str">
        <f t="shared" si="166"/>
        <v/>
      </c>
      <c r="CQ82" t="str">
        <f>_xlfn.LET(_xlpm.k,IFERROR(_xlfn.XLOOKUP(BC82,Коды_код,Коды_утечка)&amp;"",""),IF(_xlpm.k="","дифавтомат",_xlpm.k))</f>
        <v>дифавтомат</v>
      </c>
      <c r="CR82" t="str" cm="1">
        <f t="array" ref="CR82">IF(CG82=0,"",_xlfn.LET(_xlpm.sg,TRIM(_xlfn.TEXTSPLIT(DD82&amp;"",";")),_xlpm.f_,_xlfn._xlws.FILTER(_xlpm.sg,LEFT(_xlpm.sg,3)="УЗО",""),IFERROR(INDEX(_xlpm.f_,1)&amp;"","")))</f>
        <v/>
      </c>
      <c r="CS82" t="str">
        <f t="shared" si="167"/>
        <v/>
      </c>
      <c r="CT82" s="6" t="str" cm="1">
        <f t="array" ref="CT82">IF(CR82="","",_xlfn.LET(_xlpm.tk,_xlfn.TEXTSPLIT(UPPER(CR82)," ",,TRUE),_xlpm.a_,_xlfn._xlws.FILTER(_xlpm.tk,ISNUMBER(--LEFT(_xlpm.tk,1))*((ISNUMBER(SEARCH("А",_xlpm.tk))+ISNUMBER(SEARCH("A",_xlpm.tk)))&gt;0)*NOT(ISNUMBER(SEARCH("МА",_xlpm.tk)))*NOT(ISNUMBER(SEARCH("MA",_xlpm.tk))),""),IFERROR(--SUBSTITUTE(SUBSTITUTE(INDEX(_xlpm.a_,1),"А",""),"A",""),"")))</f>
        <v/>
      </c>
      <c r="CU82" t="str" cm="1">
        <f t="array" ref="CU82">IF(CR82="","",_xlfn.LET(_xlpm.tk,_xlfn.TEXTSPLIT(UPPER(CR82)," ",,TRUE),_xlpm.a_,_xlfn._xlws.FILTER(_xlpm.tk,ISNUMBER(--LEFT(_xlpm.tk,1))*((ISNUMBER(SEARCH("МА",_xlpm.tk))+ISNUMBER(SEARCH("MA",_xlpm.tk)))&gt;0),""),IFERROR(--SUBSTITUTE(SUBSTITUTE(INDEX(_xlpm.a_,1),"МА",""),"MA",""),30)))</f>
        <v/>
      </c>
      <c r="CV82" t="str">
        <f>IF(CS82="","",IFERROR(_xlfn.XLOOKUP(CS82,Линии[_n],Линии[_УЗО, мА]),30))</f>
        <v/>
      </c>
      <c r="CW82">
        <f>IF(CS82="",0,IF(ISNUMBER(SEARCH("4P",IFERROR(_xlfn.XLOOKUP(CS82,Линии[_n],Линии[_УЗО строки])&amp;"",""))),0,1))</f>
        <v>0</v>
      </c>
      <c r="CX82" t="str">
        <f>IF(AND(CS82&lt;&gt;"",CS82=BA82),SUMIFS(Линии[_ток на 230 В],Линии[_блок УЗО],BA82,Линии[Щит],A82),"")</f>
        <v/>
      </c>
      <c r="CY82" t="str">
        <f>IF(AND(CS82&lt;&gt;"",CS82=BA82),SUMIFS(Линии[_ток утечки линии, мА],Линии[_блок УЗО],BA82,Линии[Щит],A82),"")</f>
        <v/>
      </c>
      <c r="CZ82">
        <f t="shared" si="168"/>
        <v>0</v>
      </c>
      <c r="DA82">
        <f t="shared" si="169"/>
        <v>0</v>
      </c>
      <c r="DB82">
        <f>IF(B82="",0,IFERROR(--_xlfn.XLOOKUP(B82,Коды_код,Коды_минавт),IFERROR(--_xlfn.XLOOKUP(BC82,Коды_код,Коды_минавт),IFERROR(--_xlfn.XLOOKUP(LEFT(BC82,2),Коды_код,Коды_минавт),0))))</f>
        <v>0</v>
      </c>
      <c r="DC82" t="str">
        <f>IF(B82="","",IFERROR(_xlfn.XLOOKUP(BC82,Коды_код,Коды_апп)&amp;"",""))</f>
        <v/>
      </c>
      <c r="DD82" t="str">
        <f t="shared" si="170"/>
        <v/>
      </c>
      <c r="DE82" t="str" cm="1">
        <f t="array" ref="DE82">IF(TRIM(DD82&amp;"")="","",IFERROR(TRIM(INDEX(_xlfn.TEXTSPLIT(DD82&amp;";;;",";"),1)),""))</f>
        <v/>
      </c>
      <c r="DF82" t="str" cm="1">
        <f t="array" ref="DF82">IF(TRIM(DD82&amp;"")="","",IFERROR(TRIM(INDEX(_xlfn.TEXTSPLIT(DD82&amp;";;;",";"),2)),""))</f>
        <v/>
      </c>
      <c r="DG82" t="str" cm="1">
        <f t="array" ref="DG82">IF(TRIM(DD82&amp;"")="","",IFERROR(TRIM(INDEX(_xlfn.TEXTSPLIT(DD82&amp;";;;",";"),3)),""))</f>
        <v/>
      </c>
      <c r="DH82">
        <f t="shared" si="171"/>
        <v>0</v>
      </c>
      <c r="DI82" t="str">
        <f>IF(B82="","",_xlfn.LET(_xlpm.t,LOWER(AZ82&amp;""),IF(ISNUMBER(SEARCH("dim",_xlpm.t)),"DIM",IF(ISNUMBER(SEARCH("dali",_xlpm.t)),"DALI",IF(OR(ISNUMBER(SEARCH("relay",_xlpm.t)),ISNUMBER(SEARCH("реле",_xlpm.t))),"Relay",IF(ISNUMBER(SEARCH("кнопк",_xlpm.t)),"",IFERROR(_xlfn.XLOOKUP(BC82,Коды_код,Коды_упр)&amp;"","")))))))</f>
        <v/>
      </c>
      <c r="DJ82" t="str">
        <f t="shared" si="172"/>
        <v/>
      </c>
      <c r="DK82">
        <f>IF(B82="","",_xlfn.LET(_xlpm.ig,IF(N(CX82)&gt;0,N(CX82),N(CI82)+IF(AJ82="вручную",0,N(CJ82))),_xlpm.n0,IFERROR(VLOOKUP(_xlpm.ig,Автомат_номиналы,2,TRUE),0),_xlpm.mn,MAX(DB82,IF(AJ82="вручную",0,N(CM82))),MAX(_xlpm.n0,_xlpm.mn,IF(DH82=1,Мин_автомат_БП,0))))</f>
        <v>63</v>
      </c>
      <c r="DL82">
        <f t="shared" si="173"/>
        <v>3</v>
      </c>
      <c r="DM82" t="str">
        <f t="shared" si="174"/>
        <v>3P</v>
      </c>
      <c r="DN82" t="str">
        <f>_xlfn.LET(_xlpm.cc,UPPER(TRIM(IFERROR(_xlfn.XLOOKUP(BC82,Коды_код,Коды_хар)&amp;"",""))),IF(OR(_xlpm.cc="B",_xlpm.cc="В"),"B",IF(_xlpm.cc="D","D","С")))</f>
        <v>С</v>
      </c>
      <c r="DO82" t="str">
        <f t="shared" si="175"/>
        <v>3P С63А</v>
      </c>
      <c r="DP82">
        <f t="shared" si="176"/>
        <v>63</v>
      </c>
      <c r="DQ82" t="str">
        <f t="shared" si="177"/>
        <v>3P С63А</v>
      </c>
      <c r="DR82" cm="1">
        <f t="array" ref="DR82">IF(DQ82="","",_xlfn.LET(_xlpm.t,SUBSTITUTE(SUBSTITUTE(SUBSTITUTE(UPPER(DQ82),"С","C"),"А","A"),"В","B"),_xlpm.tk,_xlfn.TEXTSPLIT(_xlpm.t," "),_xlpm.f,_xlfn._xlws.FILTER(_xlpm.tk,ISNUMBER(--MID(_xlpm.tk,2,1))*ISNUMBER(SEARCH(LEFT(_xlpm.tk,1)&amp;"#","B#C#D#"))*(LEN(_xlpm.tk)&gt;1),""),_xlpm.x,INDEX(_xlpm.f,1),IFERROR(--SUBSTITUTE(MID(_xlpm.x,2,9),"A",""),IFERROR(--SUBSTITUTE(INDEX(_xlfn._xlws.FILTER(_xlpm.tk,ISNUMBER(--SUBSTITUTE(_xlpm.tk,"A","")),""),1),"A",""),""))))</f>
        <v>63</v>
      </c>
      <c r="DS82" t="str">
        <f t="shared" si="178"/>
        <v>ok</v>
      </c>
      <c r="DT82">
        <f t="shared" si="179"/>
        <v>63</v>
      </c>
      <c r="DU82" t="str">
        <f t="shared" si="180"/>
        <v>3P С63А</v>
      </c>
      <c r="DV82">
        <f t="shared" si="181"/>
        <v>0</v>
      </c>
      <c r="DW82">
        <f t="shared" si="182"/>
        <v>0</v>
      </c>
      <c r="DX82">
        <f t="shared" si="183"/>
        <v>0</v>
      </c>
      <c r="DY82">
        <f t="shared" si="184"/>
        <v>50.139262439936559</v>
      </c>
      <c r="DZ82">
        <f t="shared" si="185"/>
        <v>0.92</v>
      </c>
      <c r="EA82">
        <f>IF(ISNUMBER(AP82),AP82,К_прокл)</f>
        <v>1</v>
      </c>
      <c r="EB82">
        <f t="shared" si="186"/>
        <v>3</v>
      </c>
      <c r="EC82">
        <f>IFERROR(N(VLOOKUP(BZ82,Кабель_обозначение,3,FALSE)),1)</f>
        <v>1</v>
      </c>
      <c r="ED82">
        <f>IFERROR(N(_xlfn.XLOOKUP(A82,Щиты[Щит],Щиты[ΔU до шин, %])),0)</f>
        <v>0.64</v>
      </c>
      <c r="EE82" t="str">
        <f>IFERROR(_xlfn.XLOOKUP(A82,Щиты[Щит],Щиты[Zпетли на шинах, Ом]),"")</f>
        <v/>
      </c>
      <c r="EF82">
        <f>IFERROR(N(_xlfn.XLOOKUP(A82,Щиты[Щит],Щиты[ΔU до шин (подбор), %])),0)</f>
        <v>0.75</v>
      </c>
      <c r="EG82" t="str">
        <f>IFERROR(_xlfn.XLOOKUP(A82,Щиты[Щит],Щиты[Zпетли на шинах (подбор), Ом]),"")</f>
        <v/>
      </c>
      <c r="EH82" t="str">
        <f t="shared" si="187"/>
        <v/>
      </c>
      <c r="EI82">
        <f t="shared" si="188"/>
        <v>51</v>
      </c>
      <c r="EJ82">
        <f t="shared" si="189"/>
        <v>1</v>
      </c>
      <c r="EK82">
        <f t="shared" si="190"/>
        <v>0.6</v>
      </c>
      <c r="EL82" s="6">
        <f>IF(B82="","",IF(BV82=1,dU_LED,IF(IFERROR(_xlfn.XLOOKUP(BC82,Коды_код,Коды_уго),"")="Светильник",3,4)+IF(Методика="нормы 2026",MIN(0.5,MAX(0,N(P82)-100)*0.005),0)))</f>
        <v>4</v>
      </c>
      <c r="EM82" cm="1">
        <f t="array" ref="EM82">IF(OR(B82="",BZ82="",EC82&lt;&gt;1),"",_xlfn.LET(_xlpm.sz,Iдоп_S,_xlpm.t_,CHOOSE(EB82,Iдоп_1ж,Iдоп_2ж,Iдоп_3ж)*DZ82*EA82,_xlpm.dcx,BV82=1,_xlpm.inn,IF(_xlpm.dcx,N(O82),N(DT82)),_xlpm.smin,MAX(1.5,CC82),_xlpm.L_,N(P82)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82)/N(BU82)*100,999),IFERROR(N(EJ82)*(_xlpm.rho*_xlpm.L_/_xlpm.sz*N(CE82)+_xlpm.xx*_xlpm.L_*N(EK82)/1000)*N(O82)/((Uн_лин/SQRT(3))*1000)*100,999)),_xlpm.kz,IF(OR(_xlpm.dcx,DW82=1,NOT(ISNUMBER(EG82)),_xlpm.L_=0,_xlpm.inn=0),1,IFERROR(--(c_min*(Uн_лин*1000/SQRT(3))/(EG82+2*ρкз_Cu*_xlpm.L_/_xlpm.sz)&gt;=HT82*_xlpm.inn),0)),_xlpm.ok,IFERROR((_xlpm.sz&gt;=_xlpm.smin)*(_xlpm.t_&gt;=_xlpm.inn)*IF(_xlpm.L_&gt;0,(_xlpm.du_+IF(_xlpm.dcx,0,EF82)&lt;=EL82+0.00001),1)*_xlpm.kz,0),_xlpm.r_,_xlfn._xlws.FILTER(_xlpm.sz,_xlpm.ok,"не подобрано"),INDEX(_xlpm.r_,1)))</f>
        <v>16</v>
      </c>
      <c r="EN82">
        <f t="shared" si="191"/>
        <v>25</v>
      </c>
      <c r="EO82" cm="1">
        <f t="array" ref="EO82">IF(OR(B82="",BZ82="",EC82&lt;&gt;1),"",_xlfn.LET(_xlpm.sz,Iдоп_S,_xlpm.t_,CHOOSE(EB82,Iдоп_1ж,Iдоп_2ж,Iдоп_3ж)*DZ82*EA82,_xlpm.ok,IFERROR((_xlpm.sz&gt;=MAX(1.5,CC82))*(_xlpm.t_&gt;=N(DT82)),0),_xlpm.r_,_xlfn._xlws.FILTER(_xlpm.sz,_xlpm.ok,""),INDEX(_xlpm.r_,1)))</f>
        <v>16</v>
      </c>
      <c r="EP82" s="6" cm="1">
        <f t="array" ref="EP82">IFERROR(ROUNDUP(N(EJ82)*(_xlfn.XLOOKUP(EO82,INDEX(Кабель_сопротивление,0,1),INDEX(Кабель_сопротивление,0,3))*N(P82)/EO82*N(CE82)+_xlfn.XLOOKUP(EO82,INDEX(Кабель_сопротивление,0,1),INDEX(Кабель_сопротивление,0,2))*N(P82)*N(EK82)/1000)*N(O82)/((Uн_лин/SQRT(3))*1000)*100,2),"")</f>
        <v>1.3</v>
      </c>
      <c r="EQ82">
        <f>IFERROR(2*ρкз_Cu*N(P82)/EO82,"")</f>
        <v>0.16766249999999999</v>
      </c>
      <c r="ER82">
        <f>IFERROR(VLOOKUP(EN82,Кабель_сопротивление,3,FALSE),"")</f>
        <v>2.2499999999999999E-2</v>
      </c>
      <c r="ES82">
        <f>IFERROR(VLOOKUP(EN82,Кабель_сопротивление,2,FALSE),"")</f>
        <v>6.6199999999999995E-2</v>
      </c>
      <c r="ET82">
        <f t="shared" si="192"/>
        <v>47</v>
      </c>
      <c r="EU82">
        <f t="shared" si="193"/>
        <v>0</v>
      </c>
      <c r="EV82">
        <f t="shared" si="194"/>
        <v>1.9426818235042986</v>
      </c>
      <c r="EW82" s="6">
        <f>IFERROR(ROUNDUP(EV82/IF(BV82=1,BU82,(Uн_лин/SQRT(3))*1000)*100,2),"")</f>
        <v>0.85</v>
      </c>
      <c r="EX82" t="str">
        <f>IFERROR(VLOOKUP(BZ82,Кабель_обозначение,2,FALSE),"")</f>
        <v>ВВГнг(А)-LS</v>
      </c>
      <c r="EY82" t="str">
        <f t="shared" si="195"/>
        <v>ВВГнг(А)-LS (5х25)</v>
      </c>
      <c r="EZ82" t="str">
        <f t="shared" si="196"/>
        <v>ВВГнг(А)-LS (5х25)
L=51-0,85%</v>
      </c>
      <c r="FA82">
        <f>IFERROR(2*ρкз_Cu*P82/EN82,"")</f>
        <v>0.107304</v>
      </c>
      <c r="FB82">
        <f t="shared" si="197"/>
        <v>3.5700000000000003E-2</v>
      </c>
      <c r="FC82" s="6" t="str">
        <f>IFERROR(IF(OR(B82="",BV82=1,NOT(ISNUMBER(EN82)),N(P82)=0),"",_xlfn.XLOOKUP(A82,Щиты[Щит],Щиты[Zпетли на шинах, Ом])+FA82),"")</f>
        <v/>
      </c>
      <c r="FD82" s="6" t="str">
        <f>IF(ISNUMBER(FC82),c_min*(Uн_лин*1000/SQRT(3))/FC82,"")</f>
        <v/>
      </c>
      <c r="FE82" s="6" t="str">
        <f>IFERROR(IF(OR(B82="",NOT(ISNUMBER(EN82))),"",1.05*(Uн_лин*1000/SQRT(3))/(_xlfn.XLOOKUP(A82,Щиты[Щит],Щиты[Zmax на шинах, Ом])+FB82)/1000),"")</f>
        <v/>
      </c>
      <c r="FF82" s="6" t="str">
        <f>IF(B82="","",IF(ISNUMBER(AC82),"Сил",IF(IFERROR(_xlfn.XLOOKUP(BC82,Коды_код,Коды_группа)&amp;"","")="","Быт",_xlfn.XLOOKUP(BC82,Коды_код,Коды_группа)&amp;"")))</f>
        <v>Сил</v>
      </c>
      <c r="FG82" s="6" t="str">
        <f t="shared" si="198"/>
        <v>Сил</v>
      </c>
      <c r="FH82" s="6">
        <f>IF(FG82="Щит","щит",IF(FG82="","",IF(FG82="Быт",IFERROR(_xlfn.XLOOKUP(A82,Щиты[Щит],Щиты[Кс быт]),1),IF(FG82="Сил",IF(ISNUMBER(AC82),AC82,IF(Методика="нормы 2026",IFERROR(_xlfn.XLOOKUP(A82,Щиты[Щит],Щиты[Кс силовых (табл. 7.5)]),1),1)),IF(OR(FG82="Пост",FG82="Отоп"),1,IF(FG82="ВНГ",0.7,0))))))</f>
        <v>0.5</v>
      </c>
      <c r="FI82">
        <f>IF(FG82="","",IF(AND(BP82=1,TRIM(AE82&amp;"")=""),IF(COUNTIFS(Линии[Щит],A82,Линии[Секция (1/2/3)],"&gt;=2")&gt;0,MIN(3,MAX(1,IFERROR(--BD82,1))),1),IFERROR(MIN(3,MAX(1,INT(--AE82))),1)))</f>
        <v>1</v>
      </c>
      <c r="FJ82">
        <f t="shared" si="199"/>
        <v>27.79</v>
      </c>
      <c r="FK82">
        <f t="shared" si="200"/>
        <v>0</v>
      </c>
      <c r="FL82">
        <f t="shared" si="201"/>
        <v>13.895</v>
      </c>
      <c r="FM82">
        <f t="shared" si="202"/>
        <v>0</v>
      </c>
      <c r="FN82">
        <f t="shared" si="203"/>
        <v>0</v>
      </c>
      <c r="FO82">
        <f t="shared" si="204"/>
        <v>0</v>
      </c>
      <c r="FP82">
        <f t="shared" si="205"/>
        <v>27.79</v>
      </c>
      <c r="FQ82">
        <f t="shared" si="206"/>
        <v>27.79</v>
      </c>
      <c r="FR82">
        <f t="shared" si="207"/>
        <v>22.231999999999999</v>
      </c>
      <c r="FS82">
        <f>IF(CG82=1,IF(AND(CH82=1,CW82=1),0,IF(AND(CS82&lt;&gt;"",CS82=BA82,CW82=1),SUMIFS(Линии[_Р линии, кВт],Линии[_блок УЗО],BA82,Линии[Щит],A82),N(BS82)+IF(AJ82="вручную",0,N(CK82)))),0)</f>
        <v>27.79</v>
      </c>
      <c r="FT82" t="str">
        <f t="shared" si="208"/>
        <v/>
      </c>
      <c r="FU82" t="str">
        <f>IF(B82="","",IF(CG82=0,IF(BA82=1,"",FW81),IF(AND(CH82=1,CW82=1,CS82&lt;&gt;""),IFERROR(_xlfn.XLOOKUP(CS82,Линии[_n],Линии[_фаза итог]),"L1"),IF(OR(N(DL82)&gt;=3,N(BX82)&gt;=3),"L1,L2,L3",IFERROR(_xlfn.TEXTBEFORE(_xlfn.TEXTAFTER(_xlfn.XLOOKUP(A82,Щиты[Щит],Щиты[_фазы авто]),";"&amp;BA82&amp;":"),";"),"L1")))))</f>
        <v>L1,L2,L3</v>
      </c>
      <c r="FV82" t="str">
        <f t="shared" si="209"/>
        <v>L1,L2,L3</v>
      </c>
      <c r="FW82" t="str">
        <f t="shared" si="210"/>
        <v>L1,L2,L3</v>
      </c>
      <c r="FX82" cm="1">
        <f t="array" ref="FX82">IFERROR(IF(CD82=2,_xlfn.IFS(BX82=3,VLOOKUP(BS82,Справочная_двигатели,3,FALSE),BX82=1,VLOOKUP(BS82,Справочная_двигатели,5,TRUE)),0),0)</f>
        <v>0</v>
      </c>
      <c r="FY82">
        <f>IFERROR(IF(CD82=3,VLOOKUP(BS82,Справочная_ЛЭД,2,TRUE),0),0)</f>
        <v>0</v>
      </c>
      <c r="FZ82" s="6">
        <f t="shared" si="211"/>
        <v>0</v>
      </c>
      <c r="GA82" t="str">
        <f>IF(B82="","",IF(TRIM(AH82&amp;"")&lt;&gt;"",IF(LOWER(TRIM(AH82&amp;""))="да","да","нет"),IF(IFERROR(_xlfn.XLOOKUP(BC82,Коды_код,Коды_пожарная),"")="да","да","нет")))</f>
        <v>нет</v>
      </c>
      <c r="GB82" t="str">
        <f t="shared" si="212"/>
        <v/>
      </c>
      <c r="GC82" t="str">
        <f t="shared" si="213"/>
        <v>основная</v>
      </c>
      <c r="GD82">
        <f>IF(AND(BP82=1,TRIM(AE82&amp;"")=""),IF(COUNTIFS(Линии[Щит],A82,Линии[Секция (1/2/3)],"&gt;=2")&gt;0,MIN(3,MAX(1,IFERROR(--BD82,1))),1),IFERROR(MIN(3,MAX(1,INT(--AE82))),1))</f>
        <v>1</v>
      </c>
      <c r="GE82" t="str" cm="1">
        <f t="array" ref="GE82">IF(B82="","",_xlfn.LET(_xlpm.t,IFERROR(_xlfn.XLOOKUP(1,(Шины[Шина]=GC82)*(((Шины[Щит]=A82)+(Шины[Щит]=""))&gt;0),Шины[Тип]),"")&amp;"",IF(_xlpm.t&lt;&gt;"",_xlpm.t,IF(ISNUMBER(SEARCH("ИБП",GC82)),"ИБП",IF(ISNUMBER(SEARCH("ДГУ",GC82)),"ДГУ","Ввод "&amp;GD82)))))</f>
        <v>Ввод 1</v>
      </c>
      <c r="GF82" t="str">
        <f t="shared" si="214"/>
        <v>Ввод 1</v>
      </c>
      <c r="GG82" t="str">
        <f>IF(BP82=0,"",IF(TRIM(AG82&amp;"")&lt;&gt;"",TRIM(AG82&amp;""),IF(OR(GE82="ИБП",GE82="ДГУ"),"I особая",_xlfn.XLOOKUP(A82,Щиты[Щит],Щиты[Категория шины «Ввод»],"III"))))</f>
        <v/>
      </c>
      <c r="GH82" t="str">
        <f>IF(A82="","",_xlfn.XLOOKUP(A82,Щиты[Щит],Щиты[Путь],""))</f>
        <v>|ГРЩ-ЖД|ЩОВ-001|</v>
      </c>
      <c r="GI82" t="str">
        <f>IF(B82="","",IF(AI82&lt;&gt;"",AI82,IF(IFERROR(_xlfn.XLOOKUP(BC82,Коды_код,Коды_вид)&amp;"","")="","Прочее",_xlfn.XLOOKUP(BC82,Коды_код,Коды_вид)&amp;"")))</f>
        <v>Кондиционирование и увлажнение</v>
      </c>
      <c r="GJ82">
        <f>IF(BM82="","",INT((BM82-1)/Столбцов_на_лист)+1)</f>
        <v>3</v>
      </c>
      <c r="GK82" t="str">
        <f t="shared" si="215"/>
        <v>ВВГнг(А)-LS (5х25) L=51-0,85%</v>
      </c>
      <c r="GL82">
        <f t="shared" si="216"/>
        <v>27.79</v>
      </c>
      <c r="GM82">
        <f t="shared" si="217"/>
        <v>50.14</v>
      </c>
      <c r="GN82">
        <f t="shared" si="218"/>
        <v>3</v>
      </c>
      <c r="GO82">
        <f t="shared" si="219"/>
        <v>0</v>
      </c>
      <c r="GP82">
        <f t="shared" si="220"/>
        <v>1</v>
      </c>
      <c r="GQ82">
        <f>IF(BM82="","",IF(AND(CG82=1,GP82=1),COUNTIFS(A$3:A82,A82,CG$3:CG82,1,GP$3:GP82,1),IF(OR(OR(BA82=1,A82&lt;&gt;A81),AJ82="вручную",GP82=0),"",IF(BA82=1,"",GR81))))</f>
        <v>29</v>
      </c>
      <c r="GR82">
        <f t="shared" si="221"/>
        <v>29</v>
      </c>
      <c r="GS82">
        <f>IF(B82="","",IFERROR(LOOKUP(INDEX(CHOOSE(EB82,Iдоп_1ж,Iдоп_2ж,Iдоп_3ж),MATCH(EN82,Iдоп_S,0))*DZ82*EA82,{6,10,16,20,25,32,40,50,63,80,100,125,160,200,250,315,400,500,630}),""))</f>
        <v>80</v>
      </c>
      <c r="GT82" t="str">
        <f t="shared" si="222"/>
        <v>QF29</v>
      </c>
      <c r="GU82" t="str">
        <f t="shared" si="223"/>
        <v>QF29</v>
      </c>
      <c r="GV82" t="str">
        <f t="shared" si="224"/>
        <v/>
      </c>
      <c r="GW82">
        <f t="shared" si="225"/>
        <v>0</v>
      </c>
      <c r="GX82" t="str">
        <f>IF(OR(B82="",DJ82=""),"",IFERROR(_xlfn.XLOOKUP(DJ82,Модули_умолч[Управление],Модули_умолч[Модель])&amp;"",""))</f>
        <v/>
      </c>
      <c r="GY82">
        <f>IF(DJ82="",1,IFERROR(MAX(0,N(_xlfn.XLOOKUP(DJ82,Модули_умолч[Управление],Модули_умолч[Каналов на линию]))),1))</f>
        <v>1</v>
      </c>
      <c r="GZ82" t="str">
        <f t="shared" si="226"/>
        <v/>
      </c>
      <c r="HA82" t="str">
        <f t="shared" si="227"/>
        <v/>
      </c>
      <c r="HB82" t="str">
        <f t="shared" si="228"/>
        <v/>
      </c>
      <c r="HC82">
        <f>IF(HB82="",0,IFERROR(N(VLOOKUP(HB82,Модули_спр,3,FALSE)),0))</f>
        <v>0</v>
      </c>
      <c r="HD82" t="str">
        <f t="shared" si="229"/>
        <v/>
      </c>
      <c r="HE82" t="str">
        <f t="shared" si="230"/>
        <v/>
      </c>
      <c r="HF82" t="str">
        <f>IF(OR(HE82="",HE82="-"),"",IFERROR(VLOOKUP(HE82,Модули_спр,2,FALSE),"R"))</f>
        <v/>
      </c>
      <c r="HG82" t="str">
        <f>IF(HF82="","",HF82&amp;"."&amp;COUNTIFS(A$3:A82,A82,HF$3:HF82,HF82))</f>
        <v/>
      </c>
      <c r="HH82" t="str">
        <f t="shared" si="231"/>
        <v/>
      </c>
      <c r="HI82" t="str">
        <f t="shared" si="232"/>
        <v/>
      </c>
      <c r="HJ82" t="str">
        <f t="shared" si="233"/>
        <v/>
      </c>
      <c r="HK82" t="str">
        <f t="shared" si="234"/>
        <v/>
      </c>
      <c r="HL82">
        <f t="shared" si="235"/>
        <v>1</v>
      </c>
      <c r="HM82" t="str">
        <f>IF(HL82=1,"XT"&amp;COUNTIFS(A$3:A82,A82,HL$3:HL82,1),"")</f>
        <v>XT29</v>
      </c>
      <c r="HN82" t="str">
        <f t="shared" si="236"/>
        <v>XT29</v>
      </c>
      <c r="HO82" t="str">
        <f t="shared" si="237"/>
        <v>QF29</v>
      </c>
      <c r="HP82" t="str">
        <f t="shared" si="238"/>
        <v/>
      </c>
      <c r="HQ82" t="str">
        <f t="shared" si="239"/>
        <v>ok</v>
      </c>
      <c r="HR82" t="str">
        <f>IF(OR(HJ82="",HH82=""),"",IF(HJ82+MAX(0,GY82-1)&gt;IFERROR(VLOOKUP(HI82,Модули_спр,3,FALSE),99),"ЛИШНИЙ КАНАЛ",IF(AND(AL82&lt;&gt;"=",GY82&gt;0,COUNTIFS(Линии[_модуль гр.],HH82,Линии[Канал (итог)],HJ82,Линии[Канал],"&lt;&gt;=",Линии[Щит],A82)&gt;1),"ДУБЛЬ КАНАЛА","")))</f>
        <v/>
      </c>
      <c r="HS82" s="6" t="str">
        <f t="shared" si="240"/>
        <v/>
      </c>
      <c r="HT82">
        <f t="shared" si="241"/>
        <v>10</v>
      </c>
      <c r="HU82" t="str">
        <f t="shared" si="242"/>
        <v/>
      </c>
      <c r="HV82">
        <f t="shared" si="243"/>
        <v>20.565704975974626</v>
      </c>
      <c r="HW82">
        <f t="shared" si="244"/>
        <v>0</v>
      </c>
      <c r="HX82">
        <f t="shared" si="245"/>
        <v>0</v>
      </c>
      <c r="HY82">
        <f t="shared" si="246"/>
        <v>0</v>
      </c>
      <c r="HZ82">
        <f t="shared" si="247"/>
        <v>0</v>
      </c>
      <c r="IA82">
        <f t="shared" si="248"/>
        <v>0</v>
      </c>
      <c r="IB82">
        <f t="shared" si="249"/>
        <v>0</v>
      </c>
      <c r="IC82" t="str">
        <f t="shared" si="250"/>
        <v/>
      </c>
      <c r="ID82" t="str" cm="1">
        <f t="array" ref="ID82">IF(IC82="","",_xlfn.LET(_xlpm.tk,_xlfn.TEXTSPLIT(SUBSTITUTE(SUBSTITUTE(IC82,";"," "),"→"," ")," ",,TRUE),_xlpm.w_,_xlfn._xlws.FILTER(_xlpm.tk,ISNUMBER(--LEFT(_xlpm.tk,1))*((ISNUMBER(SEARCH("W",_xlpm.tk))+ISNUMBER(SEARCH("Вт",_xlpm.tk)))&gt;0),""),IFERROR(--SUBSTITUTE(SUBSTITUTE(UPPER(INDEX(_xlpm.w_,1)),"W",""),"ВТ",""),"")))</f>
        <v/>
      </c>
      <c r="IE82" t="str" cm="1">
        <f t="array" ref="IE82">IF(IC82="","",_xlfn.LET(_xlpm.tk,_xlfn.TEXTSPLIT(SUBSTITUTE(SUBSTITUTE(IC82,";"," "),"→"," ")," ",,TRUE),_xlpm.v_,_xlfn._xlws.FILTER(_xlpm.tk,ISNUMBER(--LEFT(_xlpm.tk,1))*((ISNUMBER(SEARCH("V",_xlpm.tk))+(RIGHT(UPPER(_xlpm.tk))="В"))&gt;0),""),IFERROR(--SUBSTITUTE(SUBSTITUTE(UPPER(INDEX(_xlpm.v_,1)),"V",""),"В",""),"")))</f>
        <v/>
      </c>
      <c r="IF82" s="6" t="str">
        <f>IF(OR(BV82=0,HI82="",HJ82=""),"",IFERROR(N(_xlfn.XLOOKUP(HI82,Каталог!$C$4:$C$500,Каталог!$Q$4:$Q$500)),""))</f>
        <v/>
      </c>
      <c r="IG82" s="6" t="str">
        <f>IF(N(IF82)=0,"",SUMIFS(Линии[Iр, А],Линии[Щит],A82,Линии[_модуль гр.],HH82,Линии[Канал (итог)],HJ82))</f>
        <v/>
      </c>
      <c r="IH82" t="str">
        <f>IF(AND(B82="",HO82=""),"",_xlfn.TEXTJOIN("; ",TRUE,IF(AND(B82&lt;&gt;"",FV82=""),"нет фазы",""),IF(AND(B82&lt;&gt;"",N(GL82)=0,FG82&lt;&gt;"Нет"),"нет мощности",""),IF(AND(HN82&lt;&gt;"",COUNTIFS(Линии[Щит],A82,Линии[Клемма (итог)],HN82)&gt;1),"дубль клеммы "&amp;HN82,""),IF(AND(HQ82&lt;&gt;"",HQ82&lt;&gt;"ok"),HQ82,""),IF(HR82&lt;&gt;"",HR82,""),IF(AND(N(CB82)&gt;=4,N(BX82)=1),CB82&amp;" жил на 1 фазе",""),IF(AND(BC82="R",CG82=1,IF(CS82&lt;&gt;"",N(CV82)&gt;30,OR(N(DA82)=0,N(DA82)&gt;30))),"розетка без дифзащиты до 30 мА",""),IF(AND(CG82=1,N(DA82)&gt;0,ISNUMBER(T82)),IF(T82&gt;N(DA82)/3,"ток утечки "&amp;FIXED(T82,1)&amp;" мА &gt; 1/3 уставки ("&amp;DA82&amp;" мА)",""),""),IF(AND(CH82=1,CS82=""),"«узо»: нет строки с УЗО выше (УЗО 2P 40А 30мА в «Аппаратах»)",""),IF(AND(CS82&lt;&gt;"",CS82=BA82),IF(CT82="","впишите номинал УЗО (УЗО 2P 40А 30мА)",IF(N(CT82)&lt;N(DT82),"УЗО "&amp;CT82&amp;" А &lt; автомата "&amp;DT82&amp;" А перед ним",IF(N(CT82)&lt;N(CX82),"УЗО "&amp;CT82&amp;" А &lt; тока блока "&amp;FIXED(CX82,1)&amp;" А",""))),""),IF(AND(CS82&lt;&gt;"",CS82=BA82,ISNUMBER(CY82)),IF(CY82&gt;N(CV82)/3,"ток утечки блока УЗО "&amp;FIXED(CY82,1)&amp;" мА &gt; 1/3 уставки ("&amp;CV82&amp;" мА)",""),""),IF(AND(CG82=1,N(BV82)+N(IB82)&gt;0,IC82=""),"линии до 50 В без БП: впишите в «Аппараты» (БП 24V 480W)",""),IF(AND(CG82=1,ISNUMBER(ID82),ISNUMBER(U82)),IF(U82&gt;ID82,"БП "&amp;ID82&amp;" Вт &lt; нужно "&amp;U82&amp;" Вт (×"&amp;Запас_БП&amp;")",""),""),IF(AND(CG82=1,ISNUMBER(IE82),N(BV82)=1),IF(IE82&lt;&gt;N(BU82),"БП на "&amp;IE82&amp;" В, линия "&amp;BU82&amp;" В",""),""),IF(AND(N(IF82)&gt;0,N(IG82)&gt;N(IF82)),HH82&amp;" канал "&amp;HJ82&amp;": "&amp;FIXED(IG82,1)&amp;" А &gt; "&amp;IF82&amp;" А",""),IFERROR(IF(AND(ISNUMBER(Q82),Q82&gt;EL82),"потери "&amp;FIXED(Q82,1)&amp;" % &gt; "&amp;EL82&amp;" %",""),""),IFERROR(IF(LEFT(HU82,4)="мало","Iкз мало — отключение &gt; 0,4 с",""),""),IF(AND(B82&lt;&gt;"",BM82=""),"не на схеме",""),IF(AND(CG82=0,B82&lt;&gt;"",FV82&lt;&gt;"",IF(BA82=1,"",FW81)&lt;&gt;"",FV82&lt;&gt;IF(BA82=1,"",FW81)),"фаза не как у автомата группы ("&amp;IF(BA82=1,"",FW81)&amp;")","")))</f>
        <v/>
      </c>
      <c r="II82" s="6" t="str">
        <f>IF(OR(CG82=0,DQ82=""),"",_xlfn.LET(_xlpm.t,IFERROR(_xlfn.XLOOKUP(DQ82,Каталог!$U$4:$U$500,Каталог!$G$4:$G$500),""),_xlpm.k,SEARCH("кА",_xlpm.t),IFERROR(--TRIM(RIGHT(SUBSTITUTE(MID(_xlpm.t,MAX(1,_xlpm.k-4),_xlpm.k-MAX(1,_xlpm.k-4))," ",REPT(" ",9)),5)),"")))</f>
        <v/>
      </c>
      <c r="IJ82" t="str">
        <f>IF(OR(II82="",CG82=0),"",IF(_xlfn.XLOOKUP(A82,Щиты[Щит],Щиты[Iкз max на шинах, кА],"")="","",IF(II82&lt;_xlfn.XLOOKUP(A82,Щиты[Щит],Щиты[Iкз max на шинах, кА]),"Icu "&amp;II82&amp;" кА &lt; Iкз max","ok")))</f>
        <v/>
      </c>
      <c r="IK82" t="str">
        <f t="shared" si="251"/>
        <v/>
      </c>
      <c r="IL82" t="str">
        <f t="shared" si="252"/>
        <v>QF29|XT29</v>
      </c>
      <c r="IM82" t="str">
        <f t="shared" si="253"/>
        <v>QF29|XT29|кабель ВВГнг(А)-LS (5х25) → Внешний блок кондиционирования Пом. Венткиосок</v>
      </c>
      <c r="IN82" t="str" cm="1">
        <f t="array" ref="IN82">IF(IM82="","",_xlfn.LET(_xlpm.nd,_xlfn.TEXTSPLIT(IM82,"|"),IF(COLUMNS(_xlpm.nd)&gt;1,A82&amp;"¦"&amp;INDEX(_xlpm.nd,1)&amp;"¦"&amp;INDEX(_xlpm.nd,2),"")))</f>
        <v>ЩОВ-001¦QF29¦XT29</v>
      </c>
      <c r="IO82" t="str">
        <f t="shared" si="254"/>
        <v>НБ-1¦Внешний блок кондиционирования Пом. Венткиосок</v>
      </c>
      <c r="IP82" t="str" cm="1">
        <f t="array" ref="IP82">IF(IM82="","",_xlfn.LET(_xlpm.nd,_xlfn.TEXTSPLIT(IM82,"|"),IF(COLUMNS(_xlpm.nd)&gt;2,A82&amp;"¦"&amp;INDEX(_xlpm.nd,2)&amp;"¦"&amp;INDEX(_xlpm.nd,3),"")))</f>
        <v>ЩОВ-001¦XT29¦кабель ВВГнг(А)-LS (5х25) → Внешний блок кондиционирования Пом. Венткиосок</v>
      </c>
      <c r="IQ82" t="str">
        <f t="shared" si="255"/>
        <v>НБ-1¦Внешний блок кондиционирования Пом. Венткиосок</v>
      </c>
      <c r="IR82" t="str" cm="1">
        <f t="array" ref="IR82">IF(IM82="","",_xlfn.LET(_xlpm.nd,_xlfn.TEXTSPLIT(IM82,"|"),IF(COLUMNS(_xlpm.nd)&gt;3,A82&amp;"¦"&amp;INDEX(_xlpm.nd,3)&amp;"¦"&amp;INDEX(_xlpm.nd,4),"")))</f>
        <v/>
      </c>
      <c r="IS82" t="str">
        <f t="shared" si="256"/>
        <v/>
      </c>
      <c r="IT82" t="str" cm="1">
        <f t="array" ref="IT82">IF(IM82="","",_xlfn.LET(_xlpm.nd,_xlfn.TEXTSPLIT(IM82,"|"),IF(COLUMNS(_xlpm.nd)&gt;4,A82&amp;"¦"&amp;INDEX(_xlpm.nd,4)&amp;"¦"&amp;INDEX(_xlpm.nd,5),"")))</f>
        <v/>
      </c>
      <c r="IU82" t="str">
        <f t="shared" si="257"/>
        <v/>
      </c>
      <c r="IV82" t="str" cm="1">
        <f t="array" ref="IV82">IF(IM82="","",_xlfn.LET(_xlpm.nd,_xlfn.TEXTSPLIT(IM82,"|"),IF(COLUMNS(_xlpm.nd)&gt;5,A82&amp;"¦"&amp;INDEX(_xlpm.nd,5)&amp;"¦"&amp;INDEX(_xlpm.nd,6),"")))</f>
        <v/>
      </c>
      <c r="IW82" t="str">
        <f t="shared" si="258"/>
        <v/>
      </c>
      <c r="IX82" t="str" cm="1">
        <f t="array" ref="IX82">IF(IM82="","",_xlfn.LET(_xlpm.nd,_xlfn.TEXTSPLIT(IM82,"|"),IF(COLUMNS(_xlpm.nd)&gt;6,A82&amp;"¦"&amp;INDEX(_xlpm.nd,6)&amp;"¦"&amp;INDEX(_xlpm.nd,7),"")))</f>
        <v/>
      </c>
      <c r="IY82" t="str">
        <f t="shared" si="259"/>
        <v/>
      </c>
      <c r="IZ82" t="str">
        <f t="shared" si="260"/>
        <v/>
      </c>
      <c r="JA82" t="str">
        <f t="shared" si="261"/>
        <v>QF29 → XT29</v>
      </c>
      <c r="JB82">
        <f t="shared" si="262"/>
        <v>0</v>
      </c>
      <c r="JC82">
        <f t="shared" si="263"/>
        <v>0</v>
      </c>
      <c r="JD82" t="str">
        <f t="shared" si="264"/>
        <v/>
      </c>
      <c r="JE82" t="str">
        <f t="shared" si="265"/>
        <v/>
      </c>
      <c r="JF82" t="str">
        <f t="shared" si="266"/>
        <v/>
      </c>
      <c r="JG82" t="str">
        <f t="shared" si="267"/>
        <v/>
      </c>
      <c r="JH82" t="str">
        <f>IF(B82="","",IFERROR(_xlfn.XLOOKUP(B82,Коды_код,Коды_уго),IFERROR(_xlfn.XLOOKUP(BC82,Коды_код,Коды_уго),IFERROR(_xlfn.XLOOKUP(LEFT(BC82,2),Коды_код,Коды_уго),""))))</f>
        <v>Привод (двигатель)</v>
      </c>
      <c r="JI82" t="str">
        <f>IF(B82="","",IF(OR(JH82="",JH82=0),"BOX",IFERROR(IF(VLOOKUP(JH82,УГО_блоки,3,FALSE)&amp;""&lt;&gt;"",VLOOKUP(JH82,УГО_блоки,3,FALSE),VLOOKUP(JH82,УГО_блоки,2,FALSE)),JH82)))</f>
        <v>MOTOR</v>
      </c>
      <c r="JJ82">
        <f t="shared" si="268"/>
        <v>1</v>
      </c>
      <c r="JK82" t="str">
        <f>IF(DQ82="","",IF(COUNTIF(DQ$3:DQ82,DQ82)=1,MAX(JK$2:JK81)+1,""))</f>
        <v/>
      </c>
      <c r="JL82" t="str">
        <f>IF(DE82="","",IF(COUNTIF(DE$3:DE82,DE82)+COUNTIF(DF$2:DF81,DE82)+COUNTIF(DG$2:DG81,DE82)=1,MAX(JL$2:JN81)+1,""))</f>
        <v/>
      </c>
      <c r="JM82" t="str">
        <f>IF(DF82="","",IF(COUNTIF(DE$3:DE82,DF82)+COUNTIF(DF$3:DF82,DF82)+COUNTIF(DG$2:DG81,DF82)=1,MAX(JL$2:JN81,JL82)+1,""))</f>
        <v/>
      </c>
      <c r="JN82" t="str">
        <f>IF(DG82="","",IF(COUNTIF(DE$3:DE82,DG82)+COUNTIF(DF$3:DF82,DG82)+COUNTIF(DG$3:DG82,DG82)=1,MAX(JL$2:JN81,JL82,JM82)+1,""))</f>
        <v/>
      </c>
      <c r="JO82" t="str">
        <f t="shared" si="269"/>
        <v>5х25</v>
      </c>
      <c r="JP82" t="str">
        <f>IF(JO82="","",IF(COUNTIF(JO$3:JO82,JO82)=1,MAX(JP$2:JP81)+1,""))</f>
        <v/>
      </c>
      <c r="JQ82" t="str">
        <f>IF(HG82="","",COUNTIF(HG$3:HG82,"?*"))</f>
        <v/>
      </c>
      <c r="JR82" t="str">
        <f>IF(OR(HG82="",HI82=""),"",IF(COUNTIFS(HG$3:HG82,"?*",HI$3:HI82,HI82)=1,MAX(JR$2:JR81)+1,""))</f>
        <v/>
      </c>
      <c r="JS82">
        <f t="shared" si="270"/>
        <v>0</v>
      </c>
      <c r="JT82">
        <f>IF(B82="","",COUNTIF(B$3:B82,"?*"))</f>
        <v>80</v>
      </c>
      <c r="JU82">
        <f>IF(HL82&lt;&gt;1,0,_xlfn.LET(_xlpm.k,MAX(IFERROR(--_xlfn.XLOOKUP(B82,Коды_код,Коды_3L),0),IFERROR(--_xlfn.XLOOKUP(BC82,Коды_код,Коды_3L),0),IFERROR(--_xlfn.XLOOKUP(LEFT(BC82,2),Коды_код,Коды_3L),0)),IF(_xlpm.k&gt;0,_xlpm.k,IF(IFERROR(--LEFT(SUBSTITUTE(JO82,"x","х"),FIND("х",SUBSTITUTE(JO82,"x","х"))-1),3)&gt;3,Каталог!$S$9,1))))</f>
        <v>1</v>
      </c>
      <c r="JV82">
        <f t="shared" si="271"/>
        <v>2</v>
      </c>
      <c r="JW82" t="str">
        <f t="shared" si="272"/>
        <v>авто</v>
      </c>
      <c r="JX82" t="str">
        <f t="shared" si="273"/>
        <v/>
      </c>
      <c r="JY82">
        <f t="shared" si="274"/>
        <v>0</v>
      </c>
      <c r="JZ82">
        <f t="shared" si="275"/>
        <v>1</v>
      </c>
    </row>
    <row r="83" spans="1:286" x14ac:dyDescent="0.3">
      <c r="A83" t="s">
        <v>747</v>
      </c>
      <c r="B83" t="s">
        <v>1396</v>
      </c>
      <c r="C83" t="s">
        <v>1660</v>
      </c>
      <c r="D83">
        <v>1</v>
      </c>
      <c r="E83">
        <v>28</v>
      </c>
      <c r="G83">
        <v>63</v>
      </c>
      <c r="H83" t="str">
        <f>Линии[[#This Row],[_авто управление]]</f>
        <v/>
      </c>
      <c r="I83" t="str">
        <f>Линии[[#This Row],[_авто аппараты]]</f>
        <v/>
      </c>
      <c r="J83">
        <v>25</v>
      </c>
      <c r="K83">
        <v>36</v>
      </c>
      <c r="L83" t="str">
        <f>Линии[[#This Row],[_авто фаза]]</f>
        <v>L1,L2,L3</v>
      </c>
      <c r="M83" t="str">
        <f>Линии[[#This Row],[_авто клемма]]</f>
        <v>XT30</v>
      </c>
      <c r="N83" t="str">
        <f t="shared" si="138"/>
        <v/>
      </c>
      <c r="O83" s="6" cm="1">
        <f t="array" ref="O83">IF(B83="","",IF(BH83&lt;&gt;"",IFERROR(_xlfn.XLOOKUP(BH83,Щиты[Щит],Щиты[Iр, А]),""),IF(BP83=1,IF(OR(N(_xlfn.XLOOKUP(A83,Щиты[Щит],Щиты[Вводов],1))&lt;=1,LOWER(TRIM(_xlfn.XLOOKUP(A83,Щиты[Щит],Щиты[АВР],"")&amp;""))="да"),IFERROR(_xlfn.XLOOKUP(A83,Щиты[Щит],Щиты[Iр, А]),""),IFERROR(N(BS83)*_xlfn.XLOOKUP(A83,Щиты[Щит],Щиты[Кс итог])/(SQRT(3)*Uн_лин*_xlfn.XLOOKUP(A83,Щиты[Щит],Щиты[cos φ])),"")),IF(BV83=1,IFERROR(BS83*1000/BU83,""),IFERROR(_xlfn.IFS(BX83=1,BS83/((Uн_лин/SQRT(3))*CE83),BX83=3,BS83/(SQRT(3)*Uн_лин*CE83)),"")))))</f>
        <v>50.518148554092257</v>
      </c>
      <c r="P83" s="7">
        <f>IF(B83="","",IFERROR(IF(VLOOKUP(BC83,Потребители_обозначение,4,FALSE)=1,VLOOKUP(BC83,Потребители_обозначение,3,FALSE)*(MAX(1,N(D83))*2-1)+EI83+VLOOKUP(BE83,Этаж_обозначение,3,FALSE)+VLOOKUP(BE83,Этаж_обозначение,4,FALSE),VLOOKUP(BC83,Потребители_обозначение,3,FALSE)*(MAX(1,N(D83))*2-1)+EI83),EI83))</f>
        <v>36</v>
      </c>
      <c r="Q83" s="6">
        <f t="shared" si="139"/>
        <v>1.24</v>
      </c>
      <c r="R83" t="str">
        <f t="shared" si="140"/>
        <v>ВВГнг(А)-LS (5х25)</v>
      </c>
      <c r="S83" t="str">
        <f>IF(BM83="","",IF(BN83="вводной узел","узел ","")&amp;"л."&amp;(INT((BM83-1)/Столбцов_на_лист)+1)&amp;" / "&amp;(MOD(BM83-1,Столбцов_на_лист)+1))</f>
        <v>л.4 / 6</v>
      </c>
      <c r="T83" s="119">
        <f t="shared" si="141"/>
        <v>20.6</v>
      </c>
      <c r="U83" s="7" t="str">
        <f>IF(OR(CG83=0,N(BV83)+N(IB83)=0),"",ROUNDUP(Запас_БП*(N(HY83)+N(HZ83)),0))</f>
        <v/>
      </c>
      <c r="V83" s="119" t="str">
        <f t="shared" si="142"/>
        <v/>
      </c>
      <c r="W83" s="7" t="str">
        <f>IFERROR(IF(OR(B83="",BP83=1,BV83=1,NOT(ISNUMBER(EN83)),N(DT83)=0),"",MAX(0,ROUNDDOWN((c_min*(Uн_лин*1000/SQRT(3))/(HT83*N(DT83))-_xlfn.XLOOKUP(A83,Щиты[Щит],Щиты[Zпетли на шинах, Ом]))*EN83/(2*ρкз_Cu),0))),"")</f>
        <v/>
      </c>
      <c r="Y83" t="str">
        <f>Линии[[#This Row],[_авто утечка]]</f>
        <v/>
      </c>
      <c r="Z83">
        <v>3</v>
      </c>
      <c r="AA83">
        <v>400</v>
      </c>
      <c r="AB83" t="s">
        <v>598</v>
      </c>
      <c r="AC83">
        <v>0.5</v>
      </c>
      <c r="AG83" t="s">
        <v>810</v>
      </c>
      <c r="AI83" t="s">
        <v>576</v>
      </c>
      <c r="AK83" t="str">
        <f>Линии[[#This Row],[_авто модуль]]</f>
        <v/>
      </c>
      <c r="AM83">
        <v>57</v>
      </c>
      <c r="AN83" t="s">
        <v>11</v>
      </c>
      <c r="AO83">
        <v>5</v>
      </c>
      <c r="AQ83">
        <v>0</v>
      </c>
      <c r="AR83">
        <v>32</v>
      </c>
      <c r="AS83">
        <v>0</v>
      </c>
      <c r="AT83">
        <v>1</v>
      </c>
      <c r="BA83" cm="1">
        <f t="array" ref="BA83">ROW()-ROW(Линии[#Headers])</f>
        <v>81</v>
      </c>
      <c r="BC83" s="6" t="str">
        <f t="shared" si="143"/>
        <v>ККБ-3</v>
      </c>
      <c r="BD83" t="str">
        <f t="shared" si="144"/>
        <v/>
      </c>
      <c r="BE83" t="str">
        <f t="shared" si="145"/>
        <v/>
      </c>
      <c r="BF83" t="str">
        <f t="shared" si="146"/>
        <v/>
      </c>
      <c r="BG83" t="str">
        <f t="shared" si="147"/>
        <v/>
      </c>
      <c r="BH83" t="str">
        <f>IF(X83&lt;&gt;"",X83,IF(AND(B83&lt;&gt;"",B83&lt;&gt;A83,ISNUMBER(_xlfn.XMATCH(B83,Щиты[Щит]))),B83,""))</f>
        <v/>
      </c>
      <c r="BI83" t="str" cm="1">
        <f t="array" ref="BI83">IF(B83="","",IF(BH83&lt;&gt;"","Щит "&amp;BH83,_xlfn.LET(_xlpm.nm,IFERROR(_xlfn.XLOOKUP(BC83,Коды_код,Коды_имя)&amp;"",""),_xlpm.md,IFERROR(N(_xlfn.XLOOKUP(BC83,Коды_код,Коды_режим)),1),_xlpm.ex,IF(Имя_режим="по экспликации",IFERROR(_xlfn.XLOOKUP(BE83&amp;"|"&amp;BG83,Экспликация[Этаж]&amp;"|"&amp;Экспликация[Помещение],Экспликация[Название])&amp;"",""),""),_xlpm.rm,IF(BG83="","",IF(_xlpm.ex&lt;&gt;"",". "&amp;_xlpm.ex&amp;IF(Имя_пом="нет"," ("&amp;BG83&amp;")"," (пом. "&amp;BG83&amp;")"),IF(Имя_пом="нет"," ",", пом. ")&amp;BG83)),IF(_xlpm.nm="","",IF(_xlpm.md=2,_xlpm.nm&amp;" шлейф "&amp;BE83,_xlpm.nm&amp;_xlpm.rm)))))</f>
        <v/>
      </c>
      <c r="BJ83" t="str">
        <f t="shared" si="148"/>
        <v>Внешний блок кондиционирования Пом. Венткиосок</v>
      </c>
      <c r="BK83">
        <f>IFERROR(_xlfn.XMATCH(A83,Щиты[Щит]),0)</f>
        <v>4</v>
      </c>
      <c r="BL83">
        <f>_xlfn.LET(_xlpm.k,IFERROR(_xlfn.XLOOKUP(A83,Щиты[Щит],Щиты[Мест под вводной узел]),""),IF(_xlpm.k="",Столбцов_на_лист,N(_xlpm.k)))</f>
        <v>13</v>
      </c>
      <c r="BM83">
        <f t="shared" si="149"/>
        <v>57</v>
      </c>
      <c r="BN83" t="str">
        <f t="shared" si="150"/>
        <v>линии</v>
      </c>
      <c r="BO83" s="6">
        <f>IFERROR(N(_xlfn.XLOOKUP(BC83,Коды_код,Коды_квт)),0)</f>
        <v>0</v>
      </c>
      <c r="BP83">
        <f t="shared" si="151"/>
        <v>0</v>
      </c>
      <c r="BQ83" t="str">
        <f>IF(B83="","",IF(BH83&lt;&gt;"",IFERROR(_xlfn.XLOOKUP(BH83,Щиты[Щит],Щиты[Руст, кВт]),0),IF(BP83=1,IF(OR(N(_xlfn.XLOOKUP(A83,Щиты[Щит],Щиты[Вводов],1))&lt;=1,LOWER(TRIM(_xlfn.XLOOKUP(A83,Щиты[Щит],Щиты[АВР],"")&amp;""))="да"),IFERROR(_xlfn.XLOOKUP(A83,Щиты[Щит],Щиты[Руст, кВт]),0),SUMIFS(Линии[_Р для вводов],Линии[Щит],A83,Линии[Источник для режимов],GF83)),IF(BO83&gt;0,ROUND(BO83*MAX(1,N(D83)),3),""))))</f>
        <v/>
      </c>
      <c r="BR83">
        <f t="shared" si="152"/>
        <v>28</v>
      </c>
      <c r="BS83" s="6">
        <f>IF(B83="","",IF(BH83&lt;&gt;"",IFERROR(_xlfn.XLOOKUP(BH83,Щиты[Щит],Щиты[Руст, кВт]),0),N(BR83)))</f>
        <v>28</v>
      </c>
      <c r="BT83" t="str">
        <f>IF(B83="","",IFERROR(IF(VLOOKUP(BC83,Потребители_обозначение,8,FALSE)=0,"",VLOOKUP(BC83,Потребители_обозначение,8,FALSE)),""))</f>
        <v/>
      </c>
      <c r="BU83">
        <f t="shared" si="153"/>
        <v>400</v>
      </c>
      <c r="BV83">
        <f t="shared" si="154"/>
        <v>0</v>
      </c>
      <c r="BW83">
        <f>IF(B83="","",IF(BH83&lt;&gt;"",3,IFERROR(IF(N(VLOOKUP(BC83,Потребители_обозначение,9,FALSE))=0,1,VLOOKUP(BC83,Потребители_обозначение,9,FALSE)),1)))</f>
        <v>1</v>
      </c>
      <c r="BX83">
        <f t="shared" si="155"/>
        <v>3</v>
      </c>
      <c r="BY83" t="str">
        <f>IF(B83="","",_xlfn.LET(_xlpm.bc,IFERROR(IF(VLOOKUP(BC83,Потребители_обозначение,6,FALSE)=0,"",VLOOKUP(BC83,Потребители_обозначение,6,FALSE)&amp;""),""),IF(AND(GA83="да",OR(_xlpm.bc="",_xlpm.bc="мс")),Марка_пож,IF(AND(_xlpm.bc="",BH83&lt;&gt;""),"мс",_xlpm.bc))))</f>
        <v/>
      </c>
      <c r="BZ83" t="str">
        <f t="shared" si="156"/>
        <v>мс</v>
      </c>
      <c r="CA83">
        <f>IF(B83="","",_xlfn.LET(_xlpm.cc,IFERROR(N(VLOOKUP(BC83,Потребители_обозначение,7,FALSE)),0),IF(_xlpm.cc&gt;0,_xlpm.cc,IF(BZ83="","",IF(BV83=1,2,IF(N(BX83)=3,5,3))))))</f>
        <v>5</v>
      </c>
      <c r="CB83">
        <f t="shared" si="157"/>
        <v>5</v>
      </c>
      <c r="CC83">
        <f>IFERROR(N(VLOOKUP(BC83,Потребители_обозначение,10,FALSE)),0)</f>
        <v>0</v>
      </c>
      <c r="CD83">
        <f>IFERROR(VLOOKUP(BC83,Потребители_обозначение,5,FALSE),0)</f>
        <v>0</v>
      </c>
      <c r="CE83" s="6" cm="1">
        <f t="array" ref="CE83">IF(B83="","",IF(BH83&lt;&gt;"",IFERROR(_xlfn.XLOOKUP(BH83,Щиты[Щит],Щиты[cos φ]),0.95),IF(BP83=1,IFERROR(_xlfn.XLOOKUP(A83,Щиты[Щит],Щиты[cos φ]),0.95),IF(ISNUMBER(AD83),AD83,IFERROR(IF(CD83=2,_xlfn.IFS(BX83=3,VLOOKUP(BS83,Справочная_двигатели,8,FALSE),BX83=1,VLOOKUP(BS83,Справочная_двигатели,10,TRUE)),IF(AND(Методика="нормы 2026",FG83="Сил"),0.8,0.95)),0.95)))))</f>
        <v>0.8</v>
      </c>
      <c r="CF83">
        <f t="shared" si="158"/>
        <v>0</v>
      </c>
      <c r="CG83">
        <f t="shared" si="159"/>
        <v>1</v>
      </c>
      <c r="CH83">
        <f t="shared" si="160"/>
        <v>0</v>
      </c>
      <c r="CI83">
        <f>IF(B83="","",IF(BV83=1,IFERROR(BS83/((Uн_лин/SQRT(3))*MAX(0.5,N(CE83))),0),N(O83)))</f>
        <v>50.518148554092257</v>
      </c>
      <c r="CJ83">
        <f t="shared" si="161"/>
        <v>0</v>
      </c>
      <c r="CK83">
        <f t="shared" si="162"/>
        <v>0</v>
      </c>
      <c r="CL83">
        <f t="shared" si="163"/>
        <v>0</v>
      </c>
      <c r="CM83">
        <f t="shared" si="164"/>
        <v>0</v>
      </c>
      <c r="CN83">
        <f t="shared" si="165"/>
        <v>0</v>
      </c>
      <c r="CO83">
        <f>IF(BC83="",0,_xlfn.LET(_xlpm.v,IFERROR(_xlfn.XLOOKUP(B83,Коды_код,Коды_мА),IFERROR(_xlfn.XLOOKUP(BC83,Коды_код,Коды_мА),IFERROR(_xlfn.XLOOKUP(LEFT(BC83,2),Коды_код,Коды_мА),""))),IF(_xlpm.v="да",30,IF(ISNUMBER(_xlpm.v),_xlpm.v,0))))</f>
        <v>0</v>
      </c>
      <c r="CP83" t="str">
        <f t="shared" si="166"/>
        <v/>
      </c>
      <c r="CQ83" t="str">
        <f>_xlfn.LET(_xlpm.k,IFERROR(_xlfn.XLOOKUP(BC83,Коды_код,Коды_утечка)&amp;"",""),IF(_xlpm.k="","дифавтомат",_xlpm.k))</f>
        <v>дифавтомат</v>
      </c>
      <c r="CR83" t="str" cm="1">
        <f t="array" ref="CR83">IF(CG83=0,"",_xlfn.LET(_xlpm.sg,TRIM(_xlfn.TEXTSPLIT(DD83&amp;"",";")),_xlpm.f_,_xlfn._xlws.FILTER(_xlpm.sg,LEFT(_xlpm.sg,3)="УЗО",""),IFERROR(INDEX(_xlpm.f_,1)&amp;"","")))</f>
        <v/>
      </c>
      <c r="CS83" t="str">
        <f t="shared" si="167"/>
        <v/>
      </c>
      <c r="CT83" s="6" t="str" cm="1">
        <f t="array" ref="CT83">IF(CR83="","",_xlfn.LET(_xlpm.tk,_xlfn.TEXTSPLIT(UPPER(CR83)," ",,TRUE),_xlpm.a_,_xlfn._xlws.FILTER(_xlpm.tk,ISNUMBER(--LEFT(_xlpm.tk,1))*((ISNUMBER(SEARCH("А",_xlpm.tk))+ISNUMBER(SEARCH("A",_xlpm.tk)))&gt;0)*NOT(ISNUMBER(SEARCH("МА",_xlpm.tk)))*NOT(ISNUMBER(SEARCH("MA",_xlpm.tk))),""),IFERROR(--SUBSTITUTE(SUBSTITUTE(INDEX(_xlpm.a_,1),"А",""),"A",""),"")))</f>
        <v/>
      </c>
      <c r="CU83" t="str" cm="1">
        <f t="array" ref="CU83">IF(CR83="","",_xlfn.LET(_xlpm.tk,_xlfn.TEXTSPLIT(UPPER(CR83)," ",,TRUE),_xlpm.a_,_xlfn._xlws.FILTER(_xlpm.tk,ISNUMBER(--LEFT(_xlpm.tk,1))*((ISNUMBER(SEARCH("МА",_xlpm.tk))+ISNUMBER(SEARCH("MA",_xlpm.tk)))&gt;0),""),IFERROR(--SUBSTITUTE(SUBSTITUTE(INDEX(_xlpm.a_,1),"МА",""),"MA",""),30)))</f>
        <v/>
      </c>
      <c r="CV83" t="str">
        <f>IF(CS83="","",IFERROR(_xlfn.XLOOKUP(CS83,Линии[_n],Линии[_УЗО, мА]),30))</f>
        <v/>
      </c>
      <c r="CW83">
        <f>IF(CS83="",0,IF(ISNUMBER(SEARCH("4P",IFERROR(_xlfn.XLOOKUP(CS83,Линии[_n],Линии[_УЗО строки])&amp;"",""))),0,1))</f>
        <v>0</v>
      </c>
      <c r="CX83" t="str">
        <f>IF(AND(CS83&lt;&gt;"",CS83=BA83),SUMIFS(Линии[_ток на 230 В],Линии[_блок УЗО],BA83,Линии[Щит],A83),"")</f>
        <v/>
      </c>
      <c r="CY83" t="str">
        <f>IF(AND(CS83&lt;&gt;"",CS83=BA83),SUMIFS(Линии[_ток утечки линии, мА],Линии[_блок УЗО],BA83,Линии[Щит],A83),"")</f>
        <v/>
      </c>
      <c r="CZ83">
        <f t="shared" si="168"/>
        <v>0</v>
      </c>
      <c r="DA83">
        <f t="shared" si="169"/>
        <v>0</v>
      </c>
      <c r="DB83">
        <f>IF(B83="",0,IFERROR(--_xlfn.XLOOKUP(B83,Коды_код,Коды_минавт),IFERROR(--_xlfn.XLOOKUP(BC83,Коды_код,Коды_минавт),IFERROR(--_xlfn.XLOOKUP(LEFT(BC83,2),Коды_код,Коды_минавт),0))))</f>
        <v>0</v>
      </c>
      <c r="DC83" t="str">
        <f>IF(B83="","",IFERROR(_xlfn.XLOOKUP(BC83,Коды_код,Коды_апп)&amp;"",""))</f>
        <v/>
      </c>
      <c r="DD83" t="str">
        <f t="shared" si="170"/>
        <v/>
      </c>
      <c r="DE83" t="str" cm="1">
        <f t="array" ref="DE83">IF(TRIM(DD83&amp;"")="","",IFERROR(TRIM(INDEX(_xlfn.TEXTSPLIT(DD83&amp;";;;",";"),1)),""))</f>
        <v/>
      </c>
      <c r="DF83" t="str" cm="1">
        <f t="array" ref="DF83">IF(TRIM(DD83&amp;"")="","",IFERROR(TRIM(INDEX(_xlfn.TEXTSPLIT(DD83&amp;";;;",";"),2)),""))</f>
        <v/>
      </c>
      <c r="DG83" t="str" cm="1">
        <f t="array" ref="DG83">IF(TRIM(DD83&amp;"")="","",IFERROR(TRIM(INDEX(_xlfn.TEXTSPLIT(DD83&amp;";;;",";"),3)),""))</f>
        <v/>
      </c>
      <c r="DH83">
        <f t="shared" si="171"/>
        <v>0</v>
      </c>
      <c r="DI83" t="str">
        <f>IF(B83="","",_xlfn.LET(_xlpm.t,LOWER(AZ83&amp;""),IF(ISNUMBER(SEARCH("dim",_xlpm.t)),"DIM",IF(ISNUMBER(SEARCH("dali",_xlpm.t)),"DALI",IF(OR(ISNUMBER(SEARCH("relay",_xlpm.t)),ISNUMBER(SEARCH("реле",_xlpm.t))),"Relay",IF(ISNUMBER(SEARCH("кнопк",_xlpm.t)),"",IFERROR(_xlfn.XLOOKUP(BC83,Коды_код,Коды_упр)&amp;"","")))))))</f>
        <v/>
      </c>
      <c r="DJ83" t="str">
        <f t="shared" si="172"/>
        <v/>
      </c>
      <c r="DK83">
        <f>IF(B83="","",_xlfn.LET(_xlpm.ig,IF(N(CX83)&gt;0,N(CX83),N(CI83)+IF(AJ83="вручную",0,N(CJ83))),_xlpm.n0,IFERROR(VLOOKUP(_xlpm.ig,Автомат_номиналы,2,TRUE),0),_xlpm.mn,MAX(DB83,IF(AJ83="вручную",0,N(CM83))),MAX(_xlpm.n0,_xlpm.mn,IF(DH83=1,Мин_автомат_БП,0))))</f>
        <v>63</v>
      </c>
      <c r="DL83">
        <f t="shared" si="173"/>
        <v>3</v>
      </c>
      <c r="DM83" t="str">
        <f t="shared" si="174"/>
        <v>3P</v>
      </c>
      <c r="DN83" t="str">
        <f>_xlfn.LET(_xlpm.cc,UPPER(TRIM(IFERROR(_xlfn.XLOOKUP(BC83,Коды_код,Коды_хар)&amp;"",""))),IF(OR(_xlpm.cc="B",_xlpm.cc="В"),"B",IF(_xlpm.cc="D","D","С")))</f>
        <v>С</v>
      </c>
      <c r="DO83" t="str">
        <f t="shared" si="175"/>
        <v>3P С63А</v>
      </c>
      <c r="DP83">
        <f t="shared" si="176"/>
        <v>63</v>
      </c>
      <c r="DQ83" t="str">
        <f t="shared" si="177"/>
        <v>3P С63А</v>
      </c>
      <c r="DR83" cm="1">
        <f t="array" ref="DR83">IF(DQ83="","",_xlfn.LET(_xlpm.t,SUBSTITUTE(SUBSTITUTE(SUBSTITUTE(UPPER(DQ83),"С","C"),"А","A"),"В","B"),_xlpm.tk,_xlfn.TEXTSPLIT(_xlpm.t," "),_xlpm.f,_xlfn._xlws.FILTER(_xlpm.tk,ISNUMBER(--MID(_xlpm.tk,2,1))*ISNUMBER(SEARCH(LEFT(_xlpm.tk,1)&amp;"#","B#C#D#"))*(LEN(_xlpm.tk)&gt;1),""),_xlpm.x,INDEX(_xlpm.f,1),IFERROR(--SUBSTITUTE(MID(_xlpm.x,2,9),"A",""),IFERROR(--SUBSTITUTE(INDEX(_xlfn._xlws.FILTER(_xlpm.tk,ISNUMBER(--SUBSTITUTE(_xlpm.tk,"A","")),""),1),"A",""),""))))</f>
        <v>63</v>
      </c>
      <c r="DS83" t="str">
        <f t="shared" si="178"/>
        <v>ok</v>
      </c>
      <c r="DT83">
        <f t="shared" si="179"/>
        <v>63</v>
      </c>
      <c r="DU83" t="str">
        <f t="shared" si="180"/>
        <v>3P С63А</v>
      </c>
      <c r="DV83">
        <f t="shared" si="181"/>
        <v>0</v>
      </c>
      <c r="DW83">
        <f t="shared" si="182"/>
        <v>0</v>
      </c>
      <c r="DX83">
        <f t="shared" si="183"/>
        <v>0</v>
      </c>
      <c r="DY83">
        <f t="shared" si="184"/>
        <v>50.518148554092257</v>
      </c>
      <c r="DZ83">
        <f t="shared" si="185"/>
        <v>0.92</v>
      </c>
      <c r="EA83">
        <f>IF(ISNUMBER(AP83),AP83,К_прокл)</f>
        <v>1</v>
      </c>
      <c r="EB83">
        <f t="shared" si="186"/>
        <v>3</v>
      </c>
      <c r="EC83">
        <f>IFERROR(N(VLOOKUP(BZ83,Кабель_обозначение,3,FALSE)),1)</f>
        <v>1</v>
      </c>
      <c r="ED83">
        <f>IFERROR(N(_xlfn.XLOOKUP(A83,Щиты[Щит],Щиты[ΔU до шин, %])),0)</f>
        <v>0.64</v>
      </c>
      <c r="EE83" t="str">
        <f>IFERROR(_xlfn.XLOOKUP(A83,Щиты[Щит],Щиты[Zпетли на шинах, Ом]),"")</f>
        <v/>
      </c>
      <c r="EF83">
        <f>IFERROR(N(_xlfn.XLOOKUP(A83,Щиты[Щит],Щиты[ΔU до шин (подбор), %])),0)</f>
        <v>0.75</v>
      </c>
      <c r="EG83" t="str">
        <f>IFERROR(_xlfn.XLOOKUP(A83,Щиты[Щит],Щиты[Zпетли на шинах (подбор), Ом]),"")</f>
        <v/>
      </c>
      <c r="EH83" t="str">
        <f t="shared" si="187"/>
        <v/>
      </c>
      <c r="EI83">
        <f t="shared" si="188"/>
        <v>36</v>
      </c>
      <c r="EJ83">
        <f t="shared" si="189"/>
        <v>1</v>
      </c>
      <c r="EK83">
        <f t="shared" si="190"/>
        <v>0.6</v>
      </c>
      <c r="EL83" s="6">
        <f>IF(B83="","",IF(BV83=1,dU_LED,IF(IFERROR(_xlfn.XLOOKUP(BC83,Коды_код,Коды_уго),"")="Светильник",3,4)+IF(Методика="нормы 2026",MIN(0.5,MAX(0,N(P83)-100)*0.005),0)))</f>
        <v>4</v>
      </c>
      <c r="EM83" cm="1">
        <f t="array" ref="EM83">IF(OR(B83="",BZ83="",EC83&lt;&gt;1),"",_xlfn.LET(_xlpm.sz,Iдоп_S,_xlpm.t_,CHOOSE(EB83,Iдоп_1ж,Iдоп_2ж,Iдоп_3ж)*DZ83*EA83,_xlpm.dcx,BV83=1,_xlpm.inn,IF(_xlpm.dcx,N(O83),N(DT83)),_xlpm.smin,MAX(1.5,CC83),_xlpm.L_,N(P83)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83)/N(BU83)*100,999),IFERROR(N(EJ83)*(_xlpm.rho*_xlpm.L_/_xlpm.sz*N(CE83)+_xlpm.xx*_xlpm.L_*N(EK83)/1000)*N(O83)/((Uн_лин/SQRT(3))*1000)*100,999)),_xlpm.kz,IF(OR(_xlpm.dcx,DW83=1,NOT(ISNUMBER(EG83)),_xlpm.L_=0,_xlpm.inn=0),1,IFERROR(--(c_min*(Uн_лин*1000/SQRT(3))/(EG83+2*ρкз_Cu*_xlpm.L_/_xlpm.sz)&gt;=HT83*_xlpm.inn),0)),_xlpm.ok,IFERROR((_xlpm.sz&gt;=_xlpm.smin)*(_xlpm.t_&gt;=_xlpm.inn)*IF(_xlpm.L_&gt;0,(_xlpm.du_+IF(_xlpm.dcx,0,EF83)&lt;=EL83+0.00001),1)*_xlpm.kz,0),_xlpm.r_,_xlfn._xlws.FILTER(_xlpm.sz,_xlpm.ok,"не подобрано"),INDEX(_xlpm.r_,1)))</f>
        <v>16</v>
      </c>
      <c r="EN83">
        <f t="shared" si="191"/>
        <v>25</v>
      </c>
      <c r="EO83" cm="1">
        <f t="array" ref="EO83">IF(OR(B83="",BZ83="",EC83&lt;&gt;1),"",_xlfn.LET(_xlpm.sz,Iдоп_S,_xlpm.t_,CHOOSE(EB83,Iдоп_1ж,Iдоп_2ж,Iдоп_3ж)*DZ83*EA83,_xlpm.ok,IFERROR((_xlpm.sz&gt;=MAX(1.5,CC83))*(_xlpm.t_&gt;=N(DT83)),0),_xlpm.r_,_xlfn._xlws.FILTER(_xlpm.sz,_xlpm.ok,""),INDEX(_xlpm.r_,1)))</f>
        <v>16</v>
      </c>
      <c r="EP83" s="6" cm="1">
        <f t="array" ref="EP83">IFERROR(ROUNDUP(N(EJ83)*(_xlfn.XLOOKUP(EO83,INDEX(Кабель_сопротивление,0,1),INDEX(Кабель_сопротивление,0,3))*N(P83)/EO83*N(CE83)+_xlfn.XLOOKUP(EO83,INDEX(Кабель_сопротивление,0,1),INDEX(Кабель_сопротивление,0,2))*N(P83)*N(EK83)/1000)*N(O83)/((Uн_лин/SQRT(3))*1000)*100,2),"")</f>
        <v>0.92</v>
      </c>
      <c r="EQ83">
        <f>IFERROR(2*ρкз_Cu*N(P83)/EO83,"")</f>
        <v>0.11835</v>
      </c>
      <c r="ER83">
        <f>IFERROR(VLOOKUP(EN83,Кабель_сопротивление,3,FALSE),"")</f>
        <v>2.2499999999999999E-2</v>
      </c>
      <c r="ES83">
        <f>IFERROR(VLOOKUP(EN83,Кабель_сопротивление,2,FALSE),"")</f>
        <v>6.6199999999999995E-2</v>
      </c>
      <c r="ET83">
        <f t="shared" si="192"/>
        <v>32</v>
      </c>
      <c r="EU83">
        <f t="shared" si="193"/>
        <v>0</v>
      </c>
      <c r="EV83">
        <f t="shared" si="194"/>
        <v>1.3816673215025388</v>
      </c>
      <c r="EW83" s="6">
        <f>IFERROR(ROUNDUP(EV83/IF(BV83=1,BU83,(Uн_лин/SQRT(3))*1000)*100,2),"")</f>
        <v>0.6</v>
      </c>
      <c r="EX83" t="str">
        <f>IFERROR(VLOOKUP(BZ83,Кабель_обозначение,2,FALSE),"")</f>
        <v>ВВГнг(А)-LS</v>
      </c>
      <c r="EY83" t="str">
        <f t="shared" si="195"/>
        <v>ВВГнг(А)-LS (5х25)</v>
      </c>
      <c r="EZ83" t="str">
        <f t="shared" si="196"/>
        <v>ВВГнг(А)-LS (5х25)
L=36-0,6%</v>
      </c>
      <c r="FA83">
        <f>IFERROR(2*ρкз_Cu*P83/EN83,"")</f>
        <v>7.5743999999999992E-2</v>
      </c>
      <c r="FB83">
        <f t="shared" si="197"/>
        <v>2.5200000000000004E-2</v>
      </c>
      <c r="FC83" s="6" t="str">
        <f>IFERROR(IF(OR(B83="",BV83=1,NOT(ISNUMBER(EN83)),N(P83)=0),"",_xlfn.XLOOKUP(A83,Щиты[Щит],Щиты[Zпетли на шинах, Ом])+FA83),"")</f>
        <v/>
      </c>
      <c r="FD83" s="6" t="str">
        <f>IF(ISNUMBER(FC83),c_min*(Uн_лин*1000/SQRT(3))/FC83,"")</f>
        <v/>
      </c>
      <c r="FE83" s="6" t="str">
        <f>IFERROR(IF(OR(B83="",NOT(ISNUMBER(EN83))),"",1.05*(Uн_лин*1000/SQRT(3))/(_xlfn.XLOOKUP(A83,Щиты[Щит],Щиты[Zmax на шинах, Ом])+FB83)/1000),"")</f>
        <v/>
      </c>
      <c r="FF83" s="6" t="str">
        <f>IF(B83="","",IF(ISNUMBER(AC83),"Сил",IF(IFERROR(_xlfn.XLOOKUP(BC83,Коды_код,Коды_группа)&amp;"","")="","Быт",_xlfn.XLOOKUP(BC83,Коды_код,Коды_группа)&amp;"")))</f>
        <v>Сил</v>
      </c>
      <c r="FG83" s="6" t="str">
        <f t="shared" si="198"/>
        <v>Сил</v>
      </c>
      <c r="FH83" s="6">
        <f>IF(FG83="Щит","щит",IF(FG83="","",IF(FG83="Быт",IFERROR(_xlfn.XLOOKUP(A83,Щиты[Щит],Щиты[Кс быт]),1),IF(FG83="Сил",IF(ISNUMBER(AC83),AC83,IF(Методика="нормы 2026",IFERROR(_xlfn.XLOOKUP(A83,Щиты[Щит],Щиты[Кс силовых (табл. 7.5)]),1),1)),IF(OR(FG83="Пост",FG83="Отоп"),1,IF(FG83="ВНГ",0.7,0))))))</f>
        <v>0.5</v>
      </c>
      <c r="FI83">
        <f>IF(FG83="","",IF(AND(BP83=1,TRIM(AE83&amp;"")=""),IF(COUNTIFS(Линии[Щит],A83,Линии[Секция (1/2/3)],"&gt;=2")&gt;0,MIN(3,MAX(1,IFERROR(--BD83,1))),1),IFERROR(MIN(3,MAX(1,INT(--AE83))),1)))</f>
        <v>1</v>
      </c>
      <c r="FJ83">
        <f t="shared" si="199"/>
        <v>28</v>
      </c>
      <c r="FK83">
        <f t="shared" si="200"/>
        <v>0</v>
      </c>
      <c r="FL83">
        <f t="shared" si="201"/>
        <v>14</v>
      </c>
      <c r="FM83">
        <f t="shared" si="202"/>
        <v>0</v>
      </c>
      <c r="FN83">
        <f t="shared" si="203"/>
        <v>0</v>
      </c>
      <c r="FO83">
        <f t="shared" si="204"/>
        <v>0</v>
      </c>
      <c r="FP83">
        <f t="shared" si="205"/>
        <v>28</v>
      </c>
      <c r="FQ83">
        <f t="shared" si="206"/>
        <v>28</v>
      </c>
      <c r="FR83">
        <f t="shared" si="207"/>
        <v>22.400000000000002</v>
      </c>
      <c r="FS83">
        <f>IF(CG83=1,IF(AND(CH83=1,CW83=1),0,IF(AND(CS83&lt;&gt;"",CS83=BA83,CW83=1),SUMIFS(Линии[_Р линии, кВт],Линии[_блок УЗО],BA83,Линии[Щит],A83),N(BS83)+IF(AJ83="вручную",0,N(CK83)))),0)</f>
        <v>28</v>
      </c>
      <c r="FT83" t="str">
        <f t="shared" si="208"/>
        <v/>
      </c>
      <c r="FU83" t="str">
        <f>IF(B83="","",IF(CG83=0,IF(BA83=1,"",FW82),IF(AND(CH83=1,CW83=1,CS83&lt;&gt;""),IFERROR(_xlfn.XLOOKUP(CS83,Линии[_n],Линии[_фаза итог]),"L1"),IF(OR(N(DL83)&gt;=3,N(BX83)&gt;=3),"L1,L2,L3",IFERROR(_xlfn.TEXTBEFORE(_xlfn.TEXTAFTER(_xlfn.XLOOKUP(A83,Щиты[Щит],Щиты[_фазы авто]),";"&amp;BA83&amp;":"),";"),"L1")))))</f>
        <v>L1,L2,L3</v>
      </c>
      <c r="FV83" t="str">
        <f t="shared" si="209"/>
        <v>L1,L2,L3</v>
      </c>
      <c r="FW83" t="str">
        <f t="shared" si="210"/>
        <v>L1,L2,L3</v>
      </c>
      <c r="FX83" cm="1">
        <f t="array" ref="FX83">IFERROR(IF(CD83=2,_xlfn.IFS(BX83=3,VLOOKUP(BS83,Справочная_двигатели,3,FALSE),BX83=1,VLOOKUP(BS83,Справочная_двигатели,5,TRUE)),0),0)</f>
        <v>0</v>
      </c>
      <c r="FY83">
        <f>IFERROR(IF(CD83=3,VLOOKUP(BS83,Справочная_ЛЭД,2,TRUE),0),0)</f>
        <v>0</v>
      </c>
      <c r="FZ83" s="6">
        <f t="shared" si="211"/>
        <v>0</v>
      </c>
      <c r="GA83" t="str">
        <f>IF(B83="","",IF(TRIM(AH83&amp;"")&lt;&gt;"",IF(LOWER(TRIM(AH83&amp;""))="да","да","нет"),IF(IFERROR(_xlfn.XLOOKUP(BC83,Коды_код,Коды_пожарная),"")="да","да","нет")))</f>
        <v>нет</v>
      </c>
      <c r="GB83" t="str">
        <f t="shared" si="212"/>
        <v/>
      </c>
      <c r="GC83" t="str">
        <f t="shared" si="213"/>
        <v>основная</v>
      </c>
      <c r="GD83">
        <f>IF(AND(BP83=1,TRIM(AE83&amp;"")=""),IF(COUNTIFS(Линии[Щит],A83,Линии[Секция (1/2/3)],"&gt;=2")&gt;0,MIN(3,MAX(1,IFERROR(--BD83,1))),1),IFERROR(MIN(3,MAX(1,INT(--AE83))),1))</f>
        <v>1</v>
      </c>
      <c r="GE83" t="str" cm="1">
        <f t="array" ref="GE83">IF(B83="","",_xlfn.LET(_xlpm.t,IFERROR(_xlfn.XLOOKUP(1,(Шины[Шина]=GC83)*(((Шины[Щит]=A83)+(Шины[Щит]=""))&gt;0),Шины[Тип]),"")&amp;"",IF(_xlpm.t&lt;&gt;"",_xlpm.t,IF(ISNUMBER(SEARCH("ИБП",GC83)),"ИБП",IF(ISNUMBER(SEARCH("ДГУ",GC83)),"ДГУ","Ввод "&amp;GD83)))))</f>
        <v>Ввод 1</v>
      </c>
      <c r="GF83" t="str">
        <f t="shared" si="214"/>
        <v>Ввод 1</v>
      </c>
      <c r="GG83" t="str">
        <f>IF(BP83=0,"",IF(TRIM(AG83&amp;"")&lt;&gt;"",TRIM(AG83&amp;""),IF(OR(GE83="ИБП",GE83="ДГУ"),"I особая",_xlfn.XLOOKUP(A83,Щиты[Щит],Щиты[Категория шины «Ввод»],"III"))))</f>
        <v/>
      </c>
      <c r="GH83" t="str">
        <f>IF(A83="","",_xlfn.XLOOKUP(A83,Щиты[Щит],Щиты[Путь],""))</f>
        <v>|ГРЩ-ЖД|ЩОВ-001|</v>
      </c>
      <c r="GI83" t="str">
        <f>IF(B83="","",IF(AI83&lt;&gt;"",AI83,IF(IFERROR(_xlfn.XLOOKUP(BC83,Коды_код,Коды_вид)&amp;"","")="","Прочее",_xlfn.XLOOKUP(BC83,Коды_код,Коды_вид)&amp;"")))</f>
        <v>Кондиционирование и увлажнение</v>
      </c>
      <c r="GJ83">
        <f>IF(BM83="","",INT((BM83-1)/Столбцов_на_лист)+1)</f>
        <v>4</v>
      </c>
      <c r="GK83" t="str">
        <f t="shared" si="215"/>
        <v>ВВГнг(А)-LS (5х25) L=36-0,6%</v>
      </c>
      <c r="GL83">
        <f t="shared" si="216"/>
        <v>28</v>
      </c>
      <c r="GM83">
        <f t="shared" si="217"/>
        <v>50.519999999999996</v>
      </c>
      <c r="GN83">
        <f t="shared" si="218"/>
        <v>3</v>
      </c>
      <c r="GO83">
        <f t="shared" si="219"/>
        <v>0</v>
      </c>
      <c r="GP83">
        <f t="shared" si="220"/>
        <v>1</v>
      </c>
      <c r="GQ83">
        <f>IF(BM83="","",IF(AND(CG83=1,GP83=1),COUNTIFS(A$3:A83,A83,CG$3:CG83,1,GP$3:GP83,1),IF(OR(OR(BA83=1,A83&lt;&gt;A82),AJ83="вручную",GP83=0),"",IF(BA83=1,"",GR82))))</f>
        <v>30</v>
      </c>
      <c r="GR83">
        <f t="shared" si="221"/>
        <v>30</v>
      </c>
      <c r="GS83">
        <f>IF(B83="","",IFERROR(LOOKUP(INDEX(CHOOSE(EB83,Iдоп_1ж,Iдоп_2ж,Iдоп_3ж),MATCH(EN83,Iдоп_S,0))*DZ83*EA83,{6,10,16,20,25,32,40,50,63,80,100,125,160,200,250,315,400,500,630}),""))</f>
        <v>80</v>
      </c>
      <c r="GT83" t="str">
        <f t="shared" si="222"/>
        <v>QF30</v>
      </c>
      <c r="GU83" t="str">
        <f t="shared" si="223"/>
        <v>QF30</v>
      </c>
      <c r="GV83" t="str">
        <f t="shared" si="224"/>
        <v/>
      </c>
      <c r="GW83">
        <f t="shared" si="225"/>
        <v>0</v>
      </c>
      <c r="GX83" t="str">
        <f>IF(OR(B83="",DJ83=""),"",IFERROR(_xlfn.XLOOKUP(DJ83,Модули_умолч[Управление],Модули_умолч[Модель])&amp;"",""))</f>
        <v/>
      </c>
      <c r="GY83">
        <f>IF(DJ83="",1,IFERROR(MAX(0,N(_xlfn.XLOOKUP(DJ83,Модули_умолч[Управление],Модули_умолч[Каналов на линию]))),1))</f>
        <v>1</v>
      </c>
      <c r="GZ83" t="str">
        <f t="shared" si="226"/>
        <v/>
      </c>
      <c r="HA83" t="str">
        <f t="shared" si="227"/>
        <v/>
      </c>
      <c r="HB83" t="str">
        <f t="shared" si="228"/>
        <v/>
      </c>
      <c r="HC83">
        <f>IF(HB83="",0,IFERROR(N(VLOOKUP(HB83,Модули_спр,3,FALSE)),0))</f>
        <v>0</v>
      </c>
      <c r="HD83" t="str">
        <f t="shared" si="229"/>
        <v/>
      </c>
      <c r="HE83" t="str">
        <f t="shared" si="230"/>
        <v/>
      </c>
      <c r="HF83" t="str">
        <f>IF(OR(HE83="",HE83="-"),"",IFERROR(VLOOKUP(HE83,Модули_спр,2,FALSE),"R"))</f>
        <v/>
      </c>
      <c r="HG83" t="str">
        <f>IF(HF83="","",HF83&amp;"."&amp;COUNTIFS(A$3:A83,A83,HF$3:HF83,HF83))</f>
        <v/>
      </c>
      <c r="HH83" t="str">
        <f t="shared" si="231"/>
        <v/>
      </c>
      <c r="HI83" t="str">
        <f t="shared" si="232"/>
        <v/>
      </c>
      <c r="HJ83" t="str">
        <f t="shared" si="233"/>
        <v/>
      </c>
      <c r="HK83" t="str">
        <f t="shared" si="234"/>
        <v/>
      </c>
      <c r="HL83">
        <f t="shared" si="235"/>
        <v>1</v>
      </c>
      <c r="HM83" t="str">
        <f>IF(HL83=1,"XT"&amp;COUNTIFS(A$3:A83,A83,HL$3:HL83,1),"")</f>
        <v>XT30</v>
      </c>
      <c r="HN83" t="str">
        <f t="shared" si="236"/>
        <v>XT30</v>
      </c>
      <c r="HO83" t="str">
        <f t="shared" si="237"/>
        <v>QF30</v>
      </c>
      <c r="HP83" t="str">
        <f t="shared" si="238"/>
        <v/>
      </c>
      <c r="HQ83" t="str">
        <f t="shared" si="239"/>
        <v>ok</v>
      </c>
      <c r="HR83" t="str">
        <f>IF(OR(HJ83="",HH83=""),"",IF(HJ83+MAX(0,GY83-1)&gt;IFERROR(VLOOKUP(HI83,Модули_спр,3,FALSE),99),"ЛИШНИЙ КАНАЛ",IF(AND(AL83&lt;&gt;"=",GY83&gt;0,COUNTIFS(Линии[_модуль гр.],HH83,Линии[Канал (итог)],HJ83,Линии[Канал],"&lt;&gt;=",Линии[Щит],A83)&gt;1),"ДУБЛЬ КАНАЛА","")))</f>
        <v/>
      </c>
      <c r="HS83" s="6" t="str">
        <f t="shared" si="240"/>
        <v/>
      </c>
      <c r="HT83">
        <f t="shared" si="241"/>
        <v>10</v>
      </c>
      <c r="HU83" t="str">
        <f t="shared" si="242"/>
        <v/>
      </c>
      <c r="HV83">
        <f t="shared" si="243"/>
        <v>20.567259421636905</v>
      </c>
      <c r="HW83">
        <f t="shared" si="244"/>
        <v>0</v>
      </c>
      <c r="HX83">
        <f t="shared" si="245"/>
        <v>0</v>
      </c>
      <c r="HY83">
        <f t="shared" si="246"/>
        <v>0</v>
      </c>
      <c r="HZ83">
        <f t="shared" si="247"/>
        <v>0</v>
      </c>
      <c r="IA83">
        <f t="shared" si="248"/>
        <v>0</v>
      </c>
      <c r="IB83">
        <f t="shared" si="249"/>
        <v>0</v>
      </c>
      <c r="IC83" t="str">
        <f t="shared" si="250"/>
        <v/>
      </c>
      <c r="ID83" t="str" cm="1">
        <f t="array" ref="ID83">IF(IC83="","",_xlfn.LET(_xlpm.tk,_xlfn.TEXTSPLIT(SUBSTITUTE(SUBSTITUTE(IC83,";"," "),"→"," ")," ",,TRUE),_xlpm.w_,_xlfn._xlws.FILTER(_xlpm.tk,ISNUMBER(--LEFT(_xlpm.tk,1))*((ISNUMBER(SEARCH("W",_xlpm.tk))+ISNUMBER(SEARCH("Вт",_xlpm.tk)))&gt;0),""),IFERROR(--SUBSTITUTE(SUBSTITUTE(UPPER(INDEX(_xlpm.w_,1)),"W",""),"ВТ",""),"")))</f>
        <v/>
      </c>
      <c r="IE83" t="str" cm="1">
        <f t="array" ref="IE83">IF(IC83="","",_xlfn.LET(_xlpm.tk,_xlfn.TEXTSPLIT(SUBSTITUTE(SUBSTITUTE(IC83,";"," "),"→"," ")," ",,TRUE),_xlpm.v_,_xlfn._xlws.FILTER(_xlpm.tk,ISNUMBER(--LEFT(_xlpm.tk,1))*((ISNUMBER(SEARCH("V",_xlpm.tk))+(RIGHT(UPPER(_xlpm.tk))="В"))&gt;0),""),IFERROR(--SUBSTITUTE(SUBSTITUTE(UPPER(INDEX(_xlpm.v_,1)),"V",""),"В",""),"")))</f>
        <v/>
      </c>
      <c r="IF83" s="6" t="str">
        <f>IF(OR(BV83=0,HI83="",HJ83=""),"",IFERROR(N(_xlfn.XLOOKUP(HI83,Каталог!$C$4:$C$500,Каталог!$Q$4:$Q$500)),""))</f>
        <v/>
      </c>
      <c r="IG83" s="6" t="str">
        <f>IF(N(IF83)=0,"",SUMIFS(Линии[Iр, А],Линии[Щит],A83,Линии[_модуль гр.],HH83,Линии[Канал (итог)],HJ83))</f>
        <v/>
      </c>
      <c r="IH83" t="str">
        <f>IF(AND(B83="",HO83=""),"",_xlfn.TEXTJOIN("; ",TRUE,IF(AND(B83&lt;&gt;"",FV83=""),"нет фазы",""),IF(AND(B83&lt;&gt;"",N(GL83)=0,FG83&lt;&gt;"Нет"),"нет мощности",""),IF(AND(HN83&lt;&gt;"",COUNTIFS(Линии[Щит],A83,Линии[Клемма (итог)],HN83)&gt;1),"дубль клеммы "&amp;HN83,""),IF(AND(HQ83&lt;&gt;"",HQ83&lt;&gt;"ok"),HQ83,""),IF(HR83&lt;&gt;"",HR83,""),IF(AND(N(CB83)&gt;=4,N(BX83)=1),CB83&amp;" жил на 1 фазе",""),IF(AND(BC83="R",CG83=1,IF(CS83&lt;&gt;"",N(CV83)&gt;30,OR(N(DA83)=0,N(DA83)&gt;30))),"розетка без дифзащиты до 30 мА",""),IF(AND(CG83=1,N(DA83)&gt;0,ISNUMBER(T83)),IF(T83&gt;N(DA83)/3,"ток утечки "&amp;FIXED(T83,1)&amp;" мА &gt; 1/3 уставки ("&amp;DA83&amp;" мА)",""),""),IF(AND(CH83=1,CS83=""),"«узо»: нет строки с УЗО выше (УЗО 2P 40А 30мА в «Аппаратах»)",""),IF(AND(CS83&lt;&gt;"",CS83=BA83),IF(CT83="","впишите номинал УЗО (УЗО 2P 40А 30мА)",IF(N(CT83)&lt;N(DT83),"УЗО "&amp;CT83&amp;" А &lt; автомата "&amp;DT83&amp;" А перед ним",IF(N(CT83)&lt;N(CX83),"УЗО "&amp;CT83&amp;" А &lt; тока блока "&amp;FIXED(CX83,1)&amp;" А",""))),""),IF(AND(CS83&lt;&gt;"",CS83=BA83,ISNUMBER(CY83)),IF(CY83&gt;N(CV83)/3,"ток утечки блока УЗО "&amp;FIXED(CY83,1)&amp;" мА &gt; 1/3 уставки ("&amp;CV83&amp;" мА)",""),""),IF(AND(CG83=1,N(BV83)+N(IB83)&gt;0,IC83=""),"линии до 50 В без БП: впишите в «Аппараты» (БП 24V 480W)",""),IF(AND(CG83=1,ISNUMBER(ID83),ISNUMBER(U83)),IF(U83&gt;ID83,"БП "&amp;ID83&amp;" Вт &lt; нужно "&amp;U83&amp;" Вт (×"&amp;Запас_БП&amp;")",""),""),IF(AND(CG83=1,ISNUMBER(IE83),N(BV83)=1),IF(IE83&lt;&gt;N(BU83),"БП на "&amp;IE83&amp;" В, линия "&amp;BU83&amp;" В",""),""),IF(AND(N(IF83)&gt;0,N(IG83)&gt;N(IF83)),HH83&amp;" канал "&amp;HJ83&amp;": "&amp;FIXED(IG83,1)&amp;" А &gt; "&amp;IF83&amp;" А",""),IFERROR(IF(AND(ISNUMBER(Q83),Q83&gt;EL83),"потери "&amp;FIXED(Q83,1)&amp;" % &gt; "&amp;EL83&amp;" %",""),""),IFERROR(IF(LEFT(HU83,4)="мало","Iкз мало — отключение &gt; 0,4 с",""),""),IF(AND(B83&lt;&gt;"",BM83=""),"не на схеме",""),IF(AND(CG83=0,B83&lt;&gt;"",FV83&lt;&gt;"",IF(BA83=1,"",FW82)&lt;&gt;"",FV83&lt;&gt;IF(BA83=1,"",FW82)),"фаза не как у автомата группы ("&amp;IF(BA83=1,"",FW82)&amp;")","")))</f>
        <v/>
      </c>
      <c r="II83" s="6" t="str">
        <f>IF(OR(CG83=0,DQ83=""),"",_xlfn.LET(_xlpm.t,IFERROR(_xlfn.XLOOKUP(DQ83,Каталог!$U$4:$U$500,Каталог!$G$4:$G$500),""),_xlpm.k,SEARCH("кА",_xlpm.t),IFERROR(--TRIM(RIGHT(SUBSTITUTE(MID(_xlpm.t,MAX(1,_xlpm.k-4),_xlpm.k-MAX(1,_xlpm.k-4))," ",REPT(" ",9)),5)),"")))</f>
        <v/>
      </c>
      <c r="IJ83" t="str">
        <f>IF(OR(II83="",CG83=0),"",IF(_xlfn.XLOOKUP(A83,Щиты[Щит],Щиты[Iкз max на шинах, кА],"")="","",IF(II83&lt;_xlfn.XLOOKUP(A83,Щиты[Щит],Щиты[Iкз max на шинах, кА]),"Icu "&amp;II83&amp;" кА &lt; Iкз max","ok")))</f>
        <v/>
      </c>
      <c r="IK83" t="str">
        <f t="shared" si="251"/>
        <v/>
      </c>
      <c r="IL83" t="str">
        <f t="shared" si="252"/>
        <v>QF30|XT30</v>
      </c>
      <c r="IM83" t="str">
        <f t="shared" si="253"/>
        <v>QF30|XT30|кабель ВВГнг(А)-LS (5х25) → Внешний блок кондиционирования Пом. Венткиосок</v>
      </c>
      <c r="IN83" t="str" cm="1">
        <f t="array" ref="IN83">IF(IM83="","",_xlfn.LET(_xlpm.nd,_xlfn.TEXTSPLIT(IM83,"|"),IF(COLUMNS(_xlpm.nd)&gt;1,A83&amp;"¦"&amp;INDEX(_xlpm.nd,1)&amp;"¦"&amp;INDEX(_xlpm.nd,2),"")))</f>
        <v>ЩОВ-001¦QF30¦XT30</v>
      </c>
      <c r="IO83" t="str">
        <f t="shared" si="254"/>
        <v>ККБ-3¦Внешний блок кондиционирования Пом. Венткиосок</v>
      </c>
      <c r="IP83" t="str" cm="1">
        <f t="array" ref="IP83">IF(IM83="","",_xlfn.LET(_xlpm.nd,_xlfn.TEXTSPLIT(IM83,"|"),IF(COLUMNS(_xlpm.nd)&gt;2,A83&amp;"¦"&amp;INDEX(_xlpm.nd,2)&amp;"¦"&amp;INDEX(_xlpm.nd,3),"")))</f>
        <v>ЩОВ-001¦XT30¦кабель ВВГнг(А)-LS (5х25) → Внешний блок кондиционирования Пом. Венткиосок</v>
      </c>
      <c r="IQ83" t="str">
        <f t="shared" si="255"/>
        <v>ККБ-3¦Внешний блок кондиционирования Пом. Венткиосок</v>
      </c>
      <c r="IR83" t="str" cm="1">
        <f t="array" ref="IR83">IF(IM83="","",_xlfn.LET(_xlpm.nd,_xlfn.TEXTSPLIT(IM83,"|"),IF(COLUMNS(_xlpm.nd)&gt;3,A83&amp;"¦"&amp;INDEX(_xlpm.nd,3)&amp;"¦"&amp;INDEX(_xlpm.nd,4),"")))</f>
        <v/>
      </c>
      <c r="IS83" t="str">
        <f t="shared" si="256"/>
        <v/>
      </c>
      <c r="IT83" t="str" cm="1">
        <f t="array" ref="IT83">IF(IM83="","",_xlfn.LET(_xlpm.nd,_xlfn.TEXTSPLIT(IM83,"|"),IF(COLUMNS(_xlpm.nd)&gt;4,A83&amp;"¦"&amp;INDEX(_xlpm.nd,4)&amp;"¦"&amp;INDEX(_xlpm.nd,5),"")))</f>
        <v/>
      </c>
      <c r="IU83" t="str">
        <f t="shared" si="257"/>
        <v/>
      </c>
      <c r="IV83" t="str" cm="1">
        <f t="array" ref="IV83">IF(IM83="","",_xlfn.LET(_xlpm.nd,_xlfn.TEXTSPLIT(IM83,"|"),IF(COLUMNS(_xlpm.nd)&gt;5,A83&amp;"¦"&amp;INDEX(_xlpm.nd,5)&amp;"¦"&amp;INDEX(_xlpm.nd,6),"")))</f>
        <v/>
      </c>
      <c r="IW83" t="str">
        <f t="shared" si="258"/>
        <v/>
      </c>
      <c r="IX83" t="str" cm="1">
        <f t="array" ref="IX83">IF(IM83="","",_xlfn.LET(_xlpm.nd,_xlfn.TEXTSPLIT(IM83,"|"),IF(COLUMNS(_xlpm.nd)&gt;6,A83&amp;"¦"&amp;INDEX(_xlpm.nd,6)&amp;"¦"&amp;INDEX(_xlpm.nd,7),"")))</f>
        <v/>
      </c>
      <c r="IY83" t="str">
        <f t="shared" si="259"/>
        <v/>
      </c>
      <c r="IZ83" t="str">
        <f t="shared" si="260"/>
        <v/>
      </c>
      <c r="JA83" t="str">
        <f t="shared" si="261"/>
        <v>QF30 → XT30</v>
      </c>
      <c r="JB83">
        <f t="shared" si="262"/>
        <v>0</v>
      </c>
      <c r="JC83">
        <f t="shared" si="263"/>
        <v>0</v>
      </c>
      <c r="JD83" t="str">
        <f t="shared" si="264"/>
        <v/>
      </c>
      <c r="JE83" t="str">
        <f t="shared" si="265"/>
        <v/>
      </c>
      <c r="JF83" t="str">
        <f t="shared" si="266"/>
        <v/>
      </c>
      <c r="JG83" t="str">
        <f t="shared" si="267"/>
        <v/>
      </c>
      <c r="JH83" t="str">
        <f>IF(B83="","",IFERROR(_xlfn.XLOOKUP(B83,Коды_код,Коды_уго),IFERROR(_xlfn.XLOOKUP(BC83,Коды_код,Коды_уго),IFERROR(_xlfn.XLOOKUP(LEFT(BC83,2),Коды_код,Коды_уго),""))))</f>
        <v/>
      </c>
      <c r="JI83" t="str">
        <f>IF(B83="","",IF(OR(JH83="",JH83=0),"BOX",IFERROR(IF(VLOOKUP(JH83,УГО_блоки,3,FALSE)&amp;""&lt;&gt;"",VLOOKUP(JH83,УГО_блоки,3,FALSE),VLOOKUP(JH83,УГО_блоки,2,FALSE)),JH83)))</f>
        <v>BOX</v>
      </c>
      <c r="JJ83">
        <f t="shared" si="268"/>
        <v>1</v>
      </c>
      <c r="JK83" t="str">
        <f>IF(DQ83="","",IF(COUNTIF(DQ$3:DQ83,DQ83)=1,MAX(JK$2:JK82)+1,""))</f>
        <v/>
      </c>
      <c r="JL83" t="str">
        <f>IF(DE83="","",IF(COUNTIF(DE$3:DE83,DE83)+COUNTIF(DF$2:DF82,DE83)+COUNTIF(DG$2:DG82,DE83)=1,MAX(JL$2:JN82)+1,""))</f>
        <v/>
      </c>
      <c r="JM83" t="str">
        <f>IF(DF83="","",IF(COUNTIF(DE$3:DE83,DF83)+COUNTIF(DF$3:DF83,DF83)+COUNTIF(DG$2:DG82,DF83)=1,MAX(JL$2:JN82,JL83)+1,""))</f>
        <v/>
      </c>
      <c r="JN83" t="str">
        <f>IF(DG83="","",IF(COUNTIF(DE$3:DE83,DG83)+COUNTIF(DF$3:DF83,DG83)+COUNTIF(DG$3:DG83,DG83)=1,MAX(JL$2:JN82,JL83,JM83)+1,""))</f>
        <v/>
      </c>
      <c r="JO83" t="str">
        <f t="shared" si="269"/>
        <v>5х25</v>
      </c>
      <c r="JP83" t="str">
        <f>IF(JO83="","",IF(COUNTIF(JO$3:JO83,JO83)=1,MAX(JP$2:JP82)+1,""))</f>
        <v/>
      </c>
      <c r="JQ83" t="str">
        <f>IF(HG83="","",COUNTIF(HG$3:HG83,"?*"))</f>
        <v/>
      </c>
      <c r="JR83" t="str">
        <f>IF(OR(HG83="",HI83=""),"",IF(COUNTIFS(HG$3:HG83,"?*",HI$3:HI83,HI83)=1,MAX(JR$2:JR82)+1,""))</f>
        <v/>
      </c>
      <c r="JS83">
        <f t="shared" si="270"/>
        <v>0</v>
      </c>
      <c r="JT83">
        <f>IF(B83="","",COUNTIF(B$3:B83,"?*"))</f>
        <v>81</v>
      </c>
      <c r="JU83">
        <f>IF(HL83&lt;&gt;1,0,_xlfn.LET(_xlpm.k,MAX(IFERROR(--_xlfn.XLOOKUP(B83,Коды_код,Коды_3L),0),IFERROR(--_xlfn.XLOOKUP(BC83,Коды_код,Коды_3L),0),IFERROR(--_xlfn.XLOOKUP(LEFT(BC83,2),Коды_код,Коды_3L),0)),IF(_xlpm.k&gt;0,_xlpm.k,IF(IFERROR(--LEFT(SUBSTITUTE(JO83,"x","х"),FIND("х",SUBSTITUTE(JO83,"x","х"))-1),3)&gt;3,Каталог!$S$9,1))))</f>
        <v>1</v>
      </c>
      <c r="JV83">
        <f t="shared" si="271"/>
        <v>2</v>
      </c>
      <c r="JW83" t="str">
        <f t="shared" si="272"/>
        <v>авто</v>
      </c>
      <c r="JX83" t="str">
        <f t="shared" si="273"/>
        <v/>
      </c>
      <c r="JY83">
        <f t="shared" si="274"/>
        <v>0</v>
      </c>
      <c r="JZ83">
        <f t="shared" si="275"/>
        <v>1</v>
      </c>
    </row>
    <row r="84" spans="1:286" x14ac:dyDescent="0.3">
      <c r="A84" t="s">
        <v>747</v>
      </c>
      <c r="B84" t="s">
        <v>1397</v>
      </c>
      <c r="C84" t="s">
        <v>1660</v>
      </c>
      <c r="D84">
        <v>1</v>
      </c>
      <c r="E84">
        <v>28</v>
      </c>
      <c r="G84">
        <v>63</v>
      </c>
      <c r="H84" t="str">
        <f>Линии[[#This Row],[_авто управление]]</f>
        <v/>
      </c>
      <c r="I84" t="str">
        <f>Линии[[#This Row],[_авто аппараты]]</f>
        <v/>
      </c>
      <c r="J84">
        <v>25</v>
      </c>
      <c r="K84">
        <v>40</v>
      </c>
      <c r="L84" t="str">
        <f>Линии[[#This Row],[_авто фаза]]</f>
        <v>L1,L2,L3</v>
      </c>
      <c r="M84" t="str">
        <f>Линии[[#This Row],[_авто клемма]]</f>
        <v>XT31</v>
      </c>
      <c r="N84" t="str">
        <f t="shared" si="138"/>
        <v/>
      </c>
      <c r="O84" s="6" cm="1">
        <f t="array" ref="O84">IF(B84="","",IF(BH84&lt;&gt;"",IFERROR(_xlfn.XLOOKUP(BH84,Щиты[Щит],Щиты[Iр, А]),""),IF(BP84=1,IF(OR(N(_xlfn.XLOOKUP(A84,Щиты[Щит],Щиты[Вводов],1))&lt;=1,LOWER(TRIM(_xlfn.XLOOKUP(A84,Щиты[Щит],Щиты[АВР],"")&amp;""))="да"),IFERROR(_xlfn.XLOOKUP(A84,Щиты[Щит],Щиты[Iр, А]),""),IFERROR(N(BS84)*_xlfn.XLOOKUP(A84,Щиты[Щит],Щиты[Кс итог])/(SQRT(3)*Uн_лин*_xlfn.XLOOKUP(A84,Щиты[Щит],Щиты[cos φ])),"")),IF(BV84=1,IFERROR(BS84*1000/BU84,""),IFERROR(_xlfn.IFS(BX84=1,BS84/((Uн_лин/SQRT(3))*CE84),BX84=3,BS84/(SQRT(3)*Uн_лин*CE84)),"")))))</f>
        <v>50.518148554092257</v>
      </c>
      <c r="P84" s="7">
        <f>IF(B84="","",IFERROR(IF(VLOOKUP(BC84,Потребители_обозначение,4,FALSE)=1,VLOOKUP(BC84,Потребители_обозначение,3,FALSE)*(MAX(1,N(D84))*2-1)+EI84+VLOOKUP(BE84,Этаж_обозначение,3,FALSE)+VLOOKUP(BE84,Этаж_обозначение,4,FALSE),VLOOKUP(BC84,Потребители_обозначение,3,FALSE)*(MAX(1,N(D84))*2-1)+EI84),EI84))</f>
        <v>40</v>
      </c>
      <c r="Q84" s="6">
        <f t="shared" si="139"/>
        <v>1.31</v>
      </c>
      <c r="R84" t="str">
        <f t="shared" si="140"/>
        <v>ВВГнг(А)-LS (5х25)</v>
      </c>
      <c r="S84" t="str">
        <f>IF(BM84="","",IF(BN84="вводной узел","узел ","")&amp;"л."&amp;(INT((BM84-1)/Столбцов_на_лист)+1)&amp;" / "&amp;(MOD(BM84-1,Столбцов_на_лист)+1))</f>
        <v>л.4 / 7</v>
      </c>
      <c r="T84" s="119">
        <f t="shared" si="141"/>
        <v>20.6</v>
      </c>
      <c r="U84" s="7" t="str">
        <f>IF(OR(CG84=0,N(BV84)+N(IB84)=0),"",ROUNDUP(Запас_БП*(N(HY84)+N(HZ84)),0))</f>
        <v/>
      </c>
      <c r="V84" s="119" t="str">
        <f t="shared" si="142"/>
        <v/>
      </c>
      <c r="W84" s="7" t="str">
        <f>IFERROR(IF(OR(B84="",BP84=1,BV84=1,NOT(ISNUMBER(EN84)),N(DT84)=0),"",MAX(0,ROUNDDOWN((c_min*(Uн_лин*1000/SQRT(3))/(HT84*N(DT84))-_xlfn.XLOOKUP(A84,Щиты[Щит],Щиты[Zпетли на шинах, Ом]))*EN84/(2*ρкз_Cu),0))),"")</f>
        <v/>
      </c>
      <c r="Y84" t="str">
        <f>Линии[[#This Row],[_авто утечка]]</f>
        <v/>
      </c>
      <c r="Z84">
        <v>3</v>
      </c>
      <c r="AA84">
        <v>400</v>
      </c>
      <c r="AB84" t="s">
        <v>598</v>
      </c>
      <c r="AC84">
        <v>0.5</v>
      </c>
      <c r="AG84" t="s">
        <v>810</v>
      </c>
      <c r="AI84" t="s">
        <v>576</v>
      </c>
      <c r="AK84" t="str">
        <f>Линии[[#This Row],[_авто модуль]]</f>
        <v/>
      </c>
      <c r="AM84">
        <v>58</v>
      </c>
      <c r="AN84" t="s">
        <v>11</v>
      </c>
      <c r="AO84">
        <v>5</v>
      </c>
      <c r="AQ84">
        <v>0</v>
      </c>
      <c r="AR84">
        <v>36</v>
      </c>
      <c r="AS84">
        <v>0</v>
      </c>
      <c r="AT84">
        <v>1</v>
      </c>
      <c r="BA84" cm="1">
        <f t="array" ref="BA84">ROW()-ROW(Линии[#Headers])</f>
        <v>82</v>
      </c>
      <c r="BC84" s="6" t="str">
        <f t="shared" si="143"/>
        <v>ККБ-4</v>
      </c>
      <c r="BD84" t="str">
        <f t="shared" si="144"/>
        <v/>
      </c>
      <c r="BE84" t="str">
        <f t="shared" si="145"/>
        <v/>
      </c>
      <c r="BF84" t="str">
        <f t="shared" si="146"/>
        <v/>
      </c>
      <c r="BG84" t="str">
        <f t="shared" si="147"/>
        <v/>
      </c>
      <c r="BH84" t="str">
        <f>IF(X84&lt;&gt;"",X84,IF(AND(B84&lt;&gt;"",B84&lt;&gt;A84,ISNUMBER(_xlfn.XMATCH(B84,Щиты[Щит]))),B84,""))</f>
        <v/>
      </c>
      <c r="BI84" t="str" cm="1">
        <f t="array" ref="BI84">IF(B84="","",IF(BH84&lt;&gt;"","Щит "&amp;BH84,_xlfn.LET(_xlpm.nm,IFERROR(_xlfn.XLOOKUP(BC84,Коды_код,Коды_имя)&amp;"",""),_xlpm.md,IFERROR(N(_xlfn.XLOOKUP(BC84,Коды_код,Коды_режим)),1),_xlpm.ex,IF(Имя_режим="по экспликации",IFERROR(_xlfn.XLOOKUP(BE84&amp;"|"&amp;BG84,Экспликация[Этаж]&amp;"|"&amp;Экспликация[Помещение],Экспликация[Название])&amp;"",""),""),_xlpm.rm,IF(BG84="","",IF(_xlpm.ex&lt;&gt;"",". "&amp;_xlpm.ex&amp;IF(Имя_пом="нет"," ("&amp;BG84&amp;")"," (пом. "&amp;BG84&amp;")"),IF(Имя_пом="нет"," ",", пом. ")&amp;BG84)),IF(_xlpm.nm="","",IF(_xlpm.md=2,_xlpm.nm&amp;" шлейф "&amp;BE84,_xlpm.nm&amp;_xlpm.rm)))))</f>
        <v/>
      </c>
      <c r="BJ84" t="str">
        <f t="shared" si="148"/>
        <v>Внешний блок кондиционирования Пом. Венткиосок</v>
      </c>
      <c r="BK84">
        <f>IFERROR(_xlfn.XMATCH(A84,Щиты[Щит]),0)</f>
        <v>4</v>
      </c>
      <c r="BL84">
        <f>_xlfn.LET(_xlpm.k,IFERROR(_xlfn.XLOOKUP(A84,Щиты[Щит],Щиты[Мест под вводной узел]),""),IF(_xlpm.k="",Столбцов_на_лист,N(_xlpm.k)))</f>
        <v>13</v>
      </c>
      <c r="BM84">
        <f t="shared" si="149"/>
        <v>58</v>
      </c>
      <c r="BN84" t="str">
        <f t="shared" si="150"/>
        <v>линии</v>
      </c>
      <c r="BO84" s="6">
        <f>IFERROR(N(_xlfn.XLOOKUP(BC84,Коды_код,Коды_квт)),0)</f>
        <v>0</v>
      </c>
      <c r="BP84">
        <f t="shared" si="151"/>
        <v>0</v>
      </c>
      <c r="BQ84" t="str">
        <f>IF(B84="","",IF(BH84&lt;&gt;"",IFERROR(_xlfn.XLOOKUP(BH84,Щиты[Щит],Щиты[Руст, кВт]),0),IF(BP84=1,IF(OR(N(_xlfn.XLOOKUP(A84,Щиты[Щит],Щиты[Вводов],1))&lt;=1,LOWER(TRIM(_xlfn.XLOOKUP(A84,Щиты[Щит],Щиты[АВР],"")&amp;""))="да"),IFERROR(_xlfn.XLOOKUP(A84,Щиты[Щит],Щиты[Руст, кВт]),0),SUMIFS(Линии[_Р для вводов],Линии[Щит],A84,Линии[Источник для режимов],GF84)),IF(BO84&gt;0,ROUND(BO84*MAX(1,N(D84)),3),""))))</f>
        <v/>
      </c>
      <c r="BR84">
        <f t="shared" si="152"/>
        <v>28</v>
      </c>
      <c r="BS84" s="6">
        <f>IF(B84="","",IF(BH84&lt;&gt;"",IFERROR(_xlfn.XLOOKUP(BH84,Щиты[Щит],Щиты[Руст, кВт]),0),N(BR84)))</f>
        <v>28</v>
      </c>
      <c r="BT84" t="str">
        <f>IF(B84="","",IFERROR(IF(VLOOKUP(BC84,Потребители_обозначение,8,FALSE)=0,"",VLOOKUP(BC84,Потребители_обозначение,8,FALSE)),""))</f>
        <v/>
      </c>
      <c r="BU84">
        <f t="shared" si="153"/>
        <v>400</v>
      </c>
      <c r="BV84">
        <f t="shared" si="154"/>
        <v>0</v>
      </c>
      <c r="BW84">
        <f>IF(B84="","",IF(BH84&lt;&gt;"",3,IFERROR(IF(N(VLOOKUP(BC84,Потребители_обозначение,9,FALSE))=0,1,VLOOKUP(BC84,Потребители_обозначение,9,FALSE)),1)))</f>
        <v>1</v>
      </c>
      <c r="BX84">
        <f t="shared" si="155"/>
        <v>3</v>
      </c>
      <c r="BY84" t="str">
        <f>IF(B84="","",_xlfn.LET(_xlpm.bc,IFERROR(IF(VLOOKUP(BC84,Потребители_обозначение,6,FALSE)=0,"",VLOOKUP(BC84,Потребители_обозначение,6,FALSE)&amp;""),""),IF(AND(GA84="да",OR(_xlpm.bc="",_xlpm.bc="мс")),Марка_пож,IF(AND(_xlpm.bc="",BH84&lt;&gt;""),"мс",_xlpm.bc))))</f>
        <v/>
      </c>
      <c r="BZ84" t="str">
        <f t="shared" si="156"/>
        <v>мс</v>
      </c>
      <c r="CA84">
        <f>IF(B84="","",_xlfn.LET(_xlpm.cc,IFERROR(N(VLOOKUP(BC84,Потребители_обозначение,7,FALSE)),0),IF(_xlpm.cc&gt;0,_xlpm.cc,IF(BZ84="","",IF(BV84=1,2,IF(N(BX84)=3,5,3))))))</f>
        <v>5</v>
      </c>
      <c r="CB84">
        <f t="shared" si="157"/>
        <v>5</v>
      </c>
      <c r="CC84">
        <f>IFERROR(N(VLOOKUP(BC84,Потребители_обозначение,10,FALSE)),0)</f>
        <v>0</v>
      </c>
      <c r="CD84">
        <f>IFERROR(VLOOKUP(BC84,Потребители_обозначение,5,FALSE),0)</f>
        <v>0</v>
      </c>
      <c r="CE84" s="6" cm="1">
        <f t="array" ref="CE84">IF(B84="","",IF(BH84&lt;&gt;"",IFERROR(_xlfn.XLOOKUP(BH84,Щиты[Щит],Щиты[cos φ]),0.95),IF(BP84=1,IFERROR(_xlfn.XLOOKUP(A84,Щиты[Щит],Щиты[cos φ]),0.95),IF(ISNUMBER(AD84),AD84,IFERROR(IF(CD84=2,_xlfn.IFS(BX84=3,VLOOKUP(BS84,Справочная_двигатели,8,FALSE),BX84=1,VLOOKUP(BS84,Справочная_двигатели,10,TRUE)),IF(AND(Методика="нормы 2026",FG84="Сил"),0.8,0.95)),0.95)))))</f>
        <v>0.8</v>
      </c>
      <c r="CF84">
        <f t="shared" si="158"/>
        <v>0</v>
      </c>
      <c r="CG84">
        <f t="shared" si="159"/>
        <v>1</v>
      </c>
      <c r="CH84">
        <f t="shared" si="160"/>
        <v>0</v>
      </c>
      <c r="CI84">
        <f>IF(B84="","",IF(BV84=1,IFERROR(BS84/((Uн_лин/SQRT(3))*MAX(0.5,N(CE84))),0),N(O84)))</f>
        <v>50.518148554092257</v>
      </c>
      <c r="CJ84">
        <f t="shared" si="161"/>
        <v>0</v>
      </c>
      <c r="CK84">
        <f t="shared" si="162"/>
        <v>0</v>
      </c>
      <c r="CL84">
        <f t="shared" si="163"/>
        <v>0</v>
      </c>
      <c r="CM84">
        <f t="shared" si="164"/>
        <v>0</v>
      </c>
      <c r="CN84">
        <f t="shared" si="165"/>
        <v>0</v>
      </c>
      <c r="CO84">
        <f>IF(BC84="",0,_xlfn.LET(_xlpm.v,IFERROR(_xlfn.XLOOKUP(B84,Коды_код,Коды_мА),IFERROR(_xlfn.XLOOKUP(BC84,Коды_код,Коды_мА),IFERROR(_xlfn.XLOOKUP(LEFT(BC84,2),Коды_код,Коды_мА),""))),IF(_xlpm.v="да",30,IF(ISNUMBER(_xlpm.v),_xlpm.v,0))))</f>
        <v>0</v>
      </c>
      <c r="CP84" t="str">
        <f t="shared" si="166"/>
        <v/>
      </c>
      <c r="CQ84" t="str">
        <f>_xlfn.LET(_xlpm.k,IFERROR(_xlfn.XLOOKUP(BC84,Коды_код,Коды_утечка)&amp;"",""),IF(_xlpm.k="","дифавтомат",_xlpm.k))</f>
        <v>дифавтомат</v>
      </c>
      <c r="CR84" t="str" cm="1">
        <f t="array" ref="CR84">IF(CG84=0,"",_xlfn.LET(_xlpm.sg,TRIM(_xlfn.TEXTSPLIT(DD84&amp;"",";")),_xlpm.f_,_xlfn._xlws.FILTER(_xlpm.sg,LEFT(_xlpm.sg,3)="УЗО",""),IFERROR(INDEX(_xlpm.f_,1)&amp;"","")))</f>
        <v/>
      </c>
      <c r="CS84" t="str">
        <f t="shared" si="167"/>
        <v/>
      </c>
      <c r="CT84" s="6" t="str" cm="1">
        <f t="array" ref="CT84">IF(CR84="","",_xlfn.LET(_xlpm.tk,_xlfn.TEXTSPLIT(UPPER(CR84)," ",,TRUE),_xlpm.a_,_xlfn._xlws.FILTER(_xlpm.tk,ISNUMBER(--LEFT(_xlpm.tk,1))*((ISNUMBER(SEARCH("А",_xlpm.tk))+ISNUMBER(SEARCH("A",_xlpm.tk)))&gt;0)*NOT(ISNUMBER(SEARCH("МА",_xlpm.tk)))*NOT(ISNUMBER(SEARCH("MA",_xlpm.tk))),""),IFERROR(--SUBSTITUTE(SUBSTITUTE(INDEX(_xlpm.a_,1),"А",""),"A",""),"")))</f>
        <v/>
      </c>
      <c r="CU84" t="str" cm="1">
        <f t="array" ref="CU84">IF(CR84="","",_xlfn.LET(_xlpm.tk,_xlfn.TEXTSPLIT(UPPER(CR84)," ",,TRUE),_xlpm.a_,_xlfn._xlws.FILTER(_xlpm.tk,ISNUMBER(--LEFT(_xlpm.tk,1))*((ISNUMBER(SEARCH("МА",_xlpm.tk))+ISNUMBER(SEARCH("MA",_xlpm.tk)))&gt;0),""),IFERROR(--SUBSTITUTE(SUBSTITUTE(INDEX(_xlpm.a_,1),"МА",""),"MA",""),30)))</f>
        <v/>
      </c>
      <c r="CV84" t="str">
        <f>IF(CS84="","",IFERROR(_xlfn.XLOOKUP(CS84,Линии[_n],Линии[_УЗО, мА]),30))</f>
        <v/>
      </c>
      <c r="CW84">
        <f>IF(CS84="",0,IF(ISNUMBER(SEARCH("4P",IFERROR(_xlfn.XLOOKUP(CS84,Линии[_n],Линии[_УЗО строки])&amp;"",""))),0,1))</f>
        <v>0</v>
      </c>
      <c r="CX84" t="str">
        <f>IF(AND(CS84&lt;&gt;"",CS84=BA84),SUMIFS(Линии[_ток на 230 В],Линии[_блок УЗО],BA84,Линии[Щит],A84),"")</f>
        <v/>
      </c>
      <c r="CY84" t="str">
        <f>IF(AND(CS84&lt;&gt;"",CS84=BA84),SUMIFS(Линии[_ток утечки линии, мА],Линии[_блок УЗО],BA84,Линии[Щит],A84),"")</f>
        <v/>
      </c>
      <c r="CZ84">
        <f t="shared" si="168"/>
        <v>0</v>
      </c>
      <c r="DA84">
        <f t="shared" si="169"/>
        <v>0</v>
      </c>
      <c r="DB84">
        <f>IF(B84="",0,IFERROR(--_xlfn.XLOOKUP(B84,Коды_код,Коды_минавт),IFERROR(--_xlfn.XLOOKUP(BC84,Коды_код,Коды_минавт),IFERROR(--_xlfn.XLOOKUP(LEFT(BC84,2),Коды_код,Коды_минавт),0))))</f>
        <v>0</v>
      </c>
      <c r="DC84" t="str">
        <f>IF(B84="","",IFERROR(_xlfn.XLOOKUP(BC84,Коды_код,Коды_апп)&amp;"",""))</f>
        <v/>
      </c>
      <c r="DD84" t="str">
        <f t="shared" si="170"/>
        <v/>
      </c>
      <c r="DE84" t="str" cm="1">
        <f t="array" ref="DE84">IF(TRIM(DD84&amp;"")="","",IFERROR(TRIM(INDEX(_xlfn.TEXTSPLIT(DD84&amp;";;;",";"),1)),""))</f>
        <v/>
      </c>
      <c r="DF84" t="str" cm="1">
        <f t="array" ref="DF84">IF(TRIM(DD84&amp;"")="","",IFERROR(TRIM(INDEX(_xlfn.TEXTSPLIT(DD84&amp;";;;",";"),2)),""))</f>
        <v/>
      </c>
      <c r="DG84" t="str" cm="1">
        <f t="array" ref="DG84">IF(TRIM(DD84&amp;"")="","",IFERROR(TRIM(INDEX(_xlfn.TEXTSPLIT(DD84&amp;";;;",";"),3)),""))</f>
        <v/>
      </c>
      <c r="DH84">
        <f t="shared" si="171"/>
        <v>0</v>
      </c>
      <c r="DI84" t="str">
        <f>IF(B84="","",_xlfn.LET(_xlpm.t,LOWER(AZ84&amp;""),IF(ISNUMBER(SEARCH("dim",_xlpm.t)),"DIM",IF(ISNUMBER(SEARCH("dali",_xlpm.t)),"DALI",IF(OR(ISNUMBER(SEARCH("relay",_xlpm.t)),ISNUMBER(SEARCH("реле",_xlpm.t))),"Relay",IF(ISNUMBER(SEARCH("кнопк",_xlpm.t)),"",IFERROR(_xlfn.XLOOKUP(BC84,Коды_код,Коды_упр)&amp;"","")))))))</f>
        <v/>
      </c>
      <c r="DJ84" t="str">
        <f t="shared" si="172"/>
        <v/>
      </c>
      <c r="DK84">
        <f>IF(B84="","",_xlfn.LET(_xlpm.ig,IF(N(CX84)&gt;0,N(CX84),N(CI84)+IF(AJ84="вручную",0,N(CJ84))),_xlpm.n0,IFERROR(VLOOKUP(_xlpm.ig,Автомат_номиналы,2,TRUE),0),_xlpm.mn,MAX(DB84,IF(AJ84="вручную",0,N(CM84))),MAX(_xlpm.n0,_xlpm.mn,IF(DH84=1,Мин_автомат_БП,0))))</f>
        <v>63</v>
      </c>
      <c r="DL84">
        <f t="shared" si="173"/>
        <v>3</v>
      </c>
      <c r="DM84" t="str">
        <f t="shared" si="174"/>
        <v>3P</v>
      </c>
      <c r="DN84" t="str">
        <f>_xlfn.LET(_xlpm.cc,UPPER(TRIM(IFERROR(_xlfn.XLOOKUP(BC84,Коды_код,Коды_хар)&amp;"",""))),IF(OR(_xlpm.cc="B",_xlpm.cc="В"),"B",IF(_xlpm.cc="D","D","С")))</f>
        <v>С</v>
      </c>
      <c r="DO84" t="str">
        <f t="shared" si="175"/>
        <v>3P С63А</v>
      </c>
      <c r="DP84">
        <f t="shared" si="176"/>
        <v>63</v>
      </c>
      <c r="DQ84" t="str">
        <f t="shared" si="177"/>
        <v>3P С63А</v>
      </c>
      <c r="DR84" cm="1">
        <f t="array" ref="DR84">IF(DQ84="","",_xlfn.LET(_xlpm.t,SUBSTITUTE(SUBSTITUTE(SUBSTITUTE(UPPER(DQ84),"С","C"),"А","A"),"В","B"),_xlpm.tk,_xlfn.TEXTSPLIT(_xlpm.t," "),_xlpm.f,_xlfn._xlws.FILTER(_xlpm.tk,ISNUMBER(--MID(_xlpm.tk,2,1))*ISNUMBER(SEARCH(LEFT(_xlpm.tk,1)&amp;"#","B#C#D#"))*(LEN(_xlpm.tk)&gt;1),""),_xlpm.x,INDEX(_xlpm.f,1),IFERROR(--SUBSTITUTE(MID(_xlpm.x,2,9),"A",""),IFERROR(--SUBSTITUTE(INDEX(_xlfn._xlws.FILTER(_xlpm.tk,ISNUMBER(--SUBSTITUTE(_xlpm.tk,"A","")),""),1),"A",""),""))))</f>
        <v>63</v>
      </c>
      <c r="DS84" t="str">
        <f t="shared" si="178"/>
        <v>ok</v>
      </c>
      <c r="DT84">
        <f t="shared" si="179"/>
        <v>63</v>
      </c>
      <c r="DU84" t="str">
        <f t="shared" si="180"/>
        <v>3P С63А</v>
      </c>
      <c r="DV84">
        <f t="shared" si="181"/>
        <v>0</v>
      </c>
      <c r="DW84">
        <f t="shared" si="182"/>
        <v>0</v>
      </c>
      <c r="DX84">
        <f t="shared" si="183"/>
        <v>0</v>
      </c>
      <c r="DY84">
        <f t="shared" si="184"/>
        <v>50.518148554092257</v>
      </c>
      <c r="DZ84">
        <f t="shared" si="185"/>
        <v>0.92</v>
      </c>
      <c r="EA84">
        <f>IF(ISNUMBER(AP84),AP84,К_прокл)</f>
        <v>1</v>
      </c>
      <c r="EB84">
        <f t="shared" si="186"/>
        <v>3</v>
      </c>
      <c r="EC84">
        <f>IFERROR(N(VLOOKUP(BZ84,Кабель_обозначение,3,FALSE)),1)</f>
        <v>1</v>
      </c>
      <c r="ED84">
        <f>IFERROR(N(_xlfn.XLOOKUP(A84,Щиты[Щит],Щиты[ΔU до шин, %])),0)</f>
        <v>0.64</v>
      </c>
      <c r="EE84" t="str">
        <f>IFERROR(_xlfn.XLOOKUP(A84,Щиты[Щит],Щиты[Zпетли на шинах, Ом]),"")</f>
        <v/>
      </c>
      <c r="EF84">
        <f>IFERROR(N(_xlfn.XLOOKUP(A84,Щиты[Щит],Щиты[ΔU до шин (подбор), %])),0)</f>
        <v>0.75</v>
      </c>
      <c r="EG84" t="str">
        <f>IFERROR(_xlfn.XLOOKUP(A84,Щиты[Щит],Щиты[Zпетли на шинах (подбор), Ом]),"")</f>
        <v/>
      </c>
      <c r="EH84" t="str">
        <f t="shared" si="187"/>
        <v/>
      </c>
      <c r="EI84">
        <f t="shared" si="188"/>
        <v>40</v>
      </c>
      <c r="EJ84">
        <f t="shared" si="189"/>
        <v>1</v>
      </c>
      <c r="EK84">
        <f t="shared" si="190"/>
        <v>0.6</v>
      </c>
      <c r="EL84" s="6">
        <f>IF(B84="","",IF(BV84=1,dU_LED,IF(IFERROR(_xlfn.XLOOKUP(BC84,Коды_код,Коды_уго),"")="Светильник",3,4)+IF(Методика="нормы 2026",MIN(0.5,MAX(0,N(P84)-100)*0.005),0)))</f>
        <v>4</v>
      </c>
      <c r="EM84" cm="1">
        <f t="array" ref="EM84">IF(OR(B84="",BZ84="",EC84&lt;&gt;1),"",_xlfn.LET(_xlpm.sz,Iдоп_S,_xlpm.t_,CHOOSE(EB84,Iдоп_1ж,Iдоп_2ж,Iдоп_3ж)*DZ84*EA84,_xlpm.dcx,BV84=1,_xlpm.inn,IF(_xlpm.dcx,N(O84),N(DT84)),_xlpm.smin,MAX(1.5,CC84),_xlpm.L_,N(P84)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84)/N(BU84)*100,999),IFERROR(N(EJ84)*(_xlpm.rho*_xlpm.L_/_xlpm.sz*N(CE84)+_xlpm.xx*_xlpm.L_*N(EK84)/1000)*N(O84)/((Uн_лин/SQRT(3))*1000)*100,999)),_xlpm.kz,IF(OR(_xlpm.dcx,DW84=1,NOT(ISNUMBER(EG84)),_xlpm.L_=0,_xlpm.inn=0),1,IFERROR(--(c_min*(Uн_лин*1000/SQRT(3))/(EG84+2*ρкз_Cu*_xlpm.L_/_xlpm.sz)&gt;=HT84*_xlpm.inn),0)),_xlpm.ok,IFERROR((_xlpm.sz&gt;=_xlpm.smin)*(_xlpm.t_&gt;=_xlpm.inn)*IF(_xlpm.L_&gt;0,(_xlpm.du_+IF(_xlpm.dcx,0,EF84)&lt;=EL84+0.00001),1)*_xlpm.kz,0),_xlpm.r_,_xlfn._xlws.FILTER(_xlpm.sz,_xlpm.ok,"не подобрано"),INDEX(_xlpm.r_,1)))</f>
        <v>16</v>
      </c>
      <c r="EN84">
        <f t="shared" si="191"/>
        <v>25</v>
      </c>
      <c r="EO84" cm="1">
        <f t="array" ref="EO84">IF(OR(B84="",BZ84="",EC84&lt;&gt;1),"",_xlfn.LET(_xlpm.sz,Iдоп_S,_xlpm.t_,CHOOSE(EB84,Iдоп_1ж,Iдоп_2ж,Iдоп_3ж)*DZ84*EA84,_xlpm.ok,IFERROR((_xlpm.sz&gt;=MAX(1.5,CC84))*(_xlpm.t_&gt;=N(DT84)),0),_xlpm.r_,_xlfn._xlws.FILTER(_xlpm.sz,_xlpm.ok,""),INDEX(_xlpm.r_,1)))</f>
        <v>16</v>
      </c>
      <c r="EP84" s="6" cm="1">
        <f t="array" ref="EP84">IFERROR(ROUNDUP(N(EJ84)*(_xlfn.XLOOKUP(EO84,INDEX(Кабель_сопротивление,0,1),INDEX(Кабель_сопротивление,0,3))*N(P84)/EO84*N(CE84)+_xlfn.XLOOKUP(EO84,INDEX(Кабель_сопротивление,0,1),INDEX(Кабель_сопротивление,0,2))*N(P84)*N(EK84)/1000)*N(O84)/((Uн_лин/SQRT(3))*1000)*100,2),"")</f>
        <v>1.02</v>
      </c>
      <c r="EQ84">
        <f>IFERROR(2*ρкз_Cu*N(P84)/EO84,"")</f>
        <v>0.13150000000000001</v>
      </c>
      <c r="ER84">
        <f>IFERROR(VLOOKUP(EN84,Кабель_сопротивление,3,FALSE),"")</f>
        <v>2.2499999999999999E-2</v>
      </c>
      <c r="ES84">
        <f>IFERROR(VLOOKUP(EN84,Кабель_сопротивление,2,FALSE),"")</f>
        <v>6.6199999999999995E-2</v>
      </c>
      <c r="ET84">
        <f t="shared" si="192"/>
        <v>36</v>
      </c>
      <c r="EU84">
        <f t="shared" si="193"/>
        <v>0</v>
      </c>
      <c r="EV84">
        <f t="shared" si="194"/>
        <v>1.5351859127805987</v>
      </c>
      <c r="EW84" s="6">
        <f>IFERROR(ROUNDUP(EV84/IF(BV84=1,BU84,(Uн_лин/SQRT(3))*1000)*100,2),"")</f>
        <v>0.67</v>
      </c>
      <c r="EX84" t="str">
        <f>IFERROR(VLOOKUP(BZ84,Кабель_обозначение,2,FALSE),"")</f>
        <v>ВВГнг(А)-LS</v>
      </c>
      <c r="EY84" t="str">
        <f t="shared" si="195"/>
        <v>ВВГнг(А)-LS (5х25)</v>
      </c>
      <c r="EZ84" t="str">
        <f t="shared" si="196"/>
        <v>ВВГнг(А)-LS (5х25)
L=40-0,67%</v>
      </c>
      <c r="FA84">
        <f>IFERROR(2*ρкз_Cu*P84/EN84,"")</f>
        <v>8.4159999999999999E-2</v>
      </c>
      <c r="FB84">
        <f t="shared" si="197"/>
        <v>2.8000000000000004E-2</v>
      </c>
      <c r="FC84" s="6" t="str">
        <f>IFERROR(IF(OR(B84="",BV84=1,NOT(ISNUMBER(EN84)),N(P84)=0),"",_xlfn.XLOOKUP(A84,Щиты[Щит],Щиты[Zпетли на шинах, Ом])+FA84),"")</f>
        <v/>
      </c>
      <c r="FD84" s="6" t="str">
        <f>IF(ISNUMBER(FC84),c_min*(Uн_лин*1000/SQRT(3))/FC84,"")</f>
        <v/>
      </c>
      <c r="FE84" s="6" t="str">
        <f>IFERROR(IF(OR(B84="",NOT(ISNUMBER(EN84))),"",1.05*(Uн_лин*1000/SQRT(3))/(_xlfn.XLOOKUP(A84,Щиты[Щит],Щиты[Zmax на шинах, Ом])+FB84)/1000),"")</f>
        <v/>
      </c>
      <c r="FF84" s="6" t="str">
        <f>IF(B84="","",IF(ISNUMBER(AC84),"Сил",IF(IFERROR(_xlfn.XLOOKUP(BC84,Коды_код,Коды_группа)&amp;"","")="","Быт",_xlfn.XLOOKUP(BC84,Коды_код,Коды_группа)&amp;"")))</f>
        <v>Сил</v>
      </c>
      <c r="FG84" s="6" t="str">
        <f t="shared" si="198"/>
        <v>Сил</v>
      </c>
      <c r="FH84" s="6">
        <f>IF(FG84="Щит","щит",IF(FG84="","",IF(FG84="Быт",IFERROR(_xlfn.XLOOKUP(A84,Щиты[Щит],Щиты[Кс быт]),1),IF(FG84="Сил",IF(ISNUMBER(AC84),AC84,IF(Методика="нормы 2026",IFERROR(_xlfn.XLOOKUP(A84,Щиты[Щит],Щиты[Кс силовых (табл. 7.5)]),1),1)),IF(OR(FG84="Пост",FG84="Отоп"),1,IF(FG84="ВНГ",0.7,0))))))</f>
        <v>0.5</v>
      </c>
      <c r="FI84">
        <f>IF(FG84="","",IF(AND(BP84=1,TRIM(AE84&amp;"")=""),IF(COUNTIFS(Линии[Щит],A84,Линии[Секция (1/2/3)],"&gt;=2")&gt;0,MIN(3,MAX(1,IFERROR(--BD84,1))),1),IFERROR(MIN(3,MAX(1,INT(--AE84))),1)))</f>
        <v>1</v>
      </c>
      <c r="FJ84">
        <f t="shared" si="199"/>
        <v>28</v>
      </c>
      <c r="FK84">
        <f t="shared" si="200"/>
        <v>0</v>
      </c>
      <c r="FL84">
        <f t="shared" si="201"/>
        <v>14</v>
      </c>
      <c r="FM84">
        <f t="shared" si="202"/>
        <v>0</v>
      </c>
      <c r="FN84">
        <f t="shared" si="203"/>
        <v>0</v>
      </c>
      <c r="FO84">
        <f t="shared" si="204"/>
        <v>0</v>
      </c>
      <c r="FP84">
        <f t="shared" si="205"/>
        <v>28</v>
      </c>
      <c r="FQ84">
        <f t="shared" si="206"/>
        <v>28</v>
      </c>
      <c r="FR84">
        <f t="shared" si="207"/>
        <v>22.400000000000002</v>
      </c>
      <c r="FS84">
        <f>IF(CG84=1,IF(AND(CH84=1,CW84=1),0,IF(AND(CS84&lt;&gt;"",CS84=BA84,CW84=1),SUMIFS(Линии[_Р линии, кВт],Линии[_блок УЗО],BA84,Линии[Щит],A84),N(BS84)+IF(AJ84="вручную",0,N(CK84)))),0)</f>
        <v>28</v>
      </c>
      <c r="FT84" t="str">
        <f t="shared" si="208"/>
        <v/>
      </c>
      <c r="FU84" t="str">
        <f>IF(B84="","",IF(CG84=0,IF(BA84=1,"",FW83),IF(AND(CH84=1,CW84=1,CS84&lt;&gt;""),IFERROR(_xlfn.XLOOKUP(CS84,Линии[_n],Линии[_фаза итог]),"L1"),IF(OR(N(DL84)&gt;=3,N(BX84)&gt;=3),"L1,L2,L3",IFERROR(_xlfn.TEXTBEFORE(_xlfn.TEXTAFTER(_xlfn.XLOOKUP(A84,Щиты[Щит],Щиты[_фазы авто]),";"&amp;BA84&amp;":"),";"),"L1")))))</f>
        <v>L1,L2,L3</v>
      </c>
      <c r="FV84" t="str">
        <f t="shared" si="209"/>
        <v>L1,L2,L3</v>
      </c>
      <c r="FW84" t="str">
        <f t="shared" si="210"/>
        <v>L1,L2,L3</v>
      </c>
      <c r="FX84" cm="1">
        <f t="array" ref="FX84">IFERROR(IF(CD84=2,_xlfn.IFS(BX84=3,VLOOKUP(BS84,Справочная_двигатели,3,FALSE),BX84=1,VLOOKUP(BS84,Справочная_двигатели,5,TRUE)),0),0)</f>
        <v>0</v>
      </c>
      <c r="FY84">
        <f>IFERROR(IF(CD84=3,VLOOKUP(BS84,Справочная_ЛЭД,2,TRUE),0),0)</f>
        <v>0</v>
      </c>
      <c r="FZ84" s="6">
        <f t="shared" si="211"/>
        <v>0</v>
      </c>
      <c r="GA84" t="str">
        <f>IF(B84="","",IF(TRIM(AH84&amp;"")&lt;&gt;"",IF(LOWER(TRIM(AH84&amp;""))="да","да","нет"),IF(IFERROR(_xlfn.XLOOKUP(BC84,Коды_код,Коды_пожарная),"")="да","да","нет")))</f>
        <v>нет</v>
      </c>
      <c r="GB84" t="str">
        <f t="shared" si="212"/>
        <v/>
      </c>
      <c r="GC84" t="str">
        <f t="shared" si="213"/>
        <v>основная</v>
      </c>
      <c r="GD84">
        <f>IF(AND(BP84=1,TRIM(AE84&amp;"")=""),IF(COUNTIFS(Линии[Щит],A84,Линии[Секция (1/2/3)],"&gt;=2")&gt;0,MIN(3,MAX(1,IFERROR(--BD84,1))),1),IFERROR(MIN(3,MAX(1,INT(--AE84))),1))</f>
        <v>1</v>
      </c>
      <c r="GE84" t="str" cm="1">
        <f t="array" ref="GE84">IF(B84="","",_xlfn.LET(_xlpm.t,IFERROR(_xlfn.XLOOKUP(1,(Шины[Шина]=GC84)*(((Шины[Щит]=A84)+(Шины[Щит]=""))&gt;0),Шины[Тип]),"")&amp;"",IF(_xlpm.t&lt;&gt;"",_xlpm.t,IF(ISNUMBER(SEARCH("ИБП",GC84)),"ИБП",IF(ISNUMBER(SEARCH("ДГУ",GC84)),"ДГУ","Ввод "&amp;GD84)))))</f>
        <v>Ввод 1</v>
      </c>
      <c r="GF84" t="str">
        <f t="shared" si="214"/>
        <v>Ввод 1</v>
      </c>
      <c r="GG84" t="str">
        <f>IF(BP84=0,"",IF(TRIM(AG84&amp;"")&lt;&gt;"",TRIM(AG84&amp;""),IF(OR(GE84="ИБП",GE84="ДГУ"),"I особая",_xlfn.XLOOKUP(A84,Щиты[Щит],Щиты[Категория шины «Ввод»],"III"))))</f>
        <v/>
      </c>
      <c r="GH84" t="str">
        <f>IF(A84="","",_xlfn.XLOOKUP(A84,Щиты[Щит],Щиты[Путь],""))</f>
        <v>|ГРЩ-ЖД|ЩОВ-001|</v>
      </c>
      <c r="GI84" t="str">
        <f>IF(B84="","",IF(AI84&lt;&gt;"",AI84,IF(IFERROR(_xlfn.XLOOKUP(BC84,Коды_код,Коды_вид)&amp;"","")="","Прочее",_xlfn.XLOOKUP(BC84,Коды_код,Коды_вид)&amp;"")))</f>
        <v>Кондиционирование и увлажнение</v>
      </c>
      <c r="GJ84">
        <f>IF(BM84="","",INT((BM84-1)/Столбцов_на_лист)+1)</f>
        <v>4</v>
      </c>
      <c r="GK84" t="str">
        <f t="shared" si="215"/>
        <v>ВВГнг(А)-LS (5х25) L=40-0,67%</v>
      </c>
      <c r="GL84">
        <f t="shared" si="216"/>
        <v>28</v>
      </c>
      <c r="GM84">
        <f t="shared" si="217"/>
        <v>50.519999999999996</v>
      </c>
      <c r="GN84">
        <f t="shared" si="218"/>
        <v>3</v>
      </c>
      <c r="GO84">
        <f t="shared" si="219"/>
        <v>0</v>
      </c>
      <c r="GP84">
        <f t="shared" si="220"/>
        <v>1</v>
      </c>
      <c r="GQ84">
        <f>IF(BM84="","",IF(AND(CG84=1,GP84=1),COUNTIFS(A$3:A84,A84,CG$3:CG84,1,GP$3:GP84,1),IF(OR(OR(BA84=1,A84&lt;&gt;A83),AJ84="вручную",GP84=0),"",IF(BA84=1,"",GR83))))</f>
        <v>31</v>
      </c>
      <c r="GR84">
        <f t="shared" si="221"/>
        <v>31</v>
      </c>
      <c r="GS84">
        <f>IF(B84="","",IFERROR(LOOKUP(INDEX(CHOOSE(EB84,Iдоп_1ж,Iдоп_2ж,Iдоп_3ж),MATCH(EN84,Iдоп_S,0))*DZ84*EA84,{6,10,16,20,25,32,40,50,63,80,100,125,160,200,250,315,400,500,630}),""))</f>
        <v>80</v>
      </c>
      <c r="GT84" t="str">
        <f t="shared" si="222"/>
        <v>QF31</v>
      </c>
      <c r="GU84" t="str">
        <f t="shared" si="223"/>
        <v>QF31</v>
      </c>
      <c r="GV84" t="str">
        <f t="shared" si="224"/>
        <v/>
      </c>
      <c r="GW84">
        <f t="shared" si="225"/>
        <v>0</v>
      </c>
      <c r="GX84" t="str">
        <f>IF(OR(B84="",DJ84=""),"",IFERROR(_xlfn.XLOOKUP(DJ84,Модули_умолч[Управление],Модули_умолч[Модель])&amp;"",""))</f>
        <v/>
      </c>
      <c r="GY84">
        <f>IF(DJ84="",1,IFERROR(MAX(0,N(_xlfn.XLOOKUP(DJ84,Модули_умолч[Управление],Модули_умолч[Каналов на линию]))),1))</f>
        <v>1</v>
      </c>
      <c r="GZ84" t="str">
        <f t="shared" si="226"/>
        <v/>
      </c>
      <c r="HA84" t="str">
        <f t="shared" si="227"/>
        <v/>
      </c>
      <c r="HB84" t="str">
        <f t="shared" si="228"/>
        <v/>
      </c>
      <c r="HC84">
        <f>IF(HB84="",0,IFERROR(N(VLOOKUP(HB84,Модули_спр,3,FALSE)),0))</f>
        <v>0</v>
      </c>
      <c r="HD84" t="str">
        <f t="shared" si="229"/>
        <v/>
      </c>
      <c r="HE84" t="str">
        <f t="shared" si="230"/>
        <v/>
      </c>
      <c r="HF84" t="str">
        <f>IF(OR(HE84="",HE84="-"),"",IFERROR(VLOOKUP(HE84,Модули_спр,2,FALSE),"R"))</f>
        <v/>
      </c>
      <c r="HG84" t="str">
        <f>IF(HF84="","",HF84&amp;"."&amp;COUNTIFS(A$3:A84,A84,HF$3:HF84,HF84))</f>
        <v/>
      </c>
      <c r="HH84" t="str">
        <f t="shared" si="231"/>
        <v/>
      </c>
      <c r="HI84" t="str">
        <f t="shared" si="232"/>
        <v/>
      </c>
      <c r="HJ84" t="str">
        <f t="shared" si="233"/>
        <v/>
      </c>
      <c r="HK84" t="str">
        <f t="shared" si="234"/>
        <v/>
      </c>
      <c r="HL84">
        <f t="shared" si="235"/>
        <v>1</v>
      </c>
      <c r="HM84" t="str">
        <f>IF(HL84=1,"XT"&amp;COUNTIFS(A$3:A84,A84,HL$3:HL84,1),"")</f>
        <v>XT31</v>
      </c>
      <c r="HN84" t="str">
        <f t="shared" si="236"/>
        <v>XT31</v>
      </c>
      <c r="HO84" t="str">
        <f t="shared" si="237"/>
        <v>QF31</v>
      </c>
      <c r="HP84" t="str">
        <f t="shared" si="238"/>
        <v/>
      </c>
      <c r="HQ84" t="str">
        <f t="shared" si="239"/>
        <v>ok</v>
      </c>
      <c r="HR84" t="str">
        <f>IF(OR(HJ84="",HH84=""),"",IF(HJ84+MAX(0,GY84-1)&gt;IFERROR(VLOOKUP(HI84,Модули_спр,3,FALSE),99),"ЛИШНИЙ КАНАЛ",IF(AND(AL84&lt;&gt;"=",GY84&gt;0,COUNTIFS(Линии[_модуль гр.],HH84,Линии[Канал (итог)],HJ84,Линии[Канал],"&lt;&gt;=",Линии[Щит],A84)&gt;1),"ДУБЛЬ КАНАЛА","")))</f>
        <v/>
      </c>
      <c r="HS84" s="6" t="str">
        <f t="shared" si="240"/>
        <v/>
      </c>
      <c r="HT84">
        <f t="shared" si="241"/>
        <v>10</v>
      </c>
      <c r="HU84" t="str">
        <f t="shared" si="242"/>
        <v/>
      </c>
      <c r="HV84">
        <f t="shared" si="243"/>
        <v>20.607259421636904</v>
      </c>
      <c r="HW84">
        <f t="shared" si="244"/>
        <v>0</v>
      </c>
      <c r="HX84">
        <f t="shared" si="245"/>
        <v>0</v>
      </c>
      <c r="HY84">
        <f t="shared" si="246"/>
        <v>0</v>
      </c>
      <c r="HZ84">
        <f t="shared" si="247"/>
        <v>0</v>
      </c>
      <c r="IA84">
        <f t="shared" si="248"/>
        <v>0</v>
      </c>
      <c r="IB84">
        <f t="shared" si="249"/>
        <v>0</v>
      </c>
      <c r="IC84" t="str">
        <f t="shared" si="250"/>
        <v/>
      </c>
      <c r="ID84" t="str" cm="1">
        <f t="array" ref="ID84">IF(IC84="","",_xlfn.LET(_xlpm.tk,_xlfn.TEXTSPLIT(SUBSTITUTE(SUBSTITUTE(IC84,";"," "),"→"," ")," ",,TRUE),_xlpm.w_,_xlfn._xlws.FILTER(_xlpm.tk,ISNUMBER(--LEFT(_xlpm.tk,1))*((ISNUMBER(SEARCH("W",_xlpm.tk))+ISNUMBER(SEARCH("Вт",_xlpm.tk)))&gt;0),""),IFERROR(--SUBSTITUTE(SUBSTITUTE(UPPER(INDEX(_xlpm.w_,1)),"W",""),"ВТ",""),"")))</f>
        <v/>
      </c>
      <c r="IE84" t="str" cm="1">
        <f t="array" ref="IE84">IF(IC84="","",_xlfn.LET(_xlpm.tk,_xlfn.TEXTSPLIT(SUBSTITUTE(SUBSTITUTE(IC84,";"," "),"→"," ")," ",,TRUE),_xlpm.v_,_xlfn._xlws.FILTER(_xlpm.tk,ISNUMBER(--LEFT(_xlpm.tk,1))*((ISNUMBER(SEARCH("V",_xlpm.tk))+(RIGHT(UPPER(_xlpm.tk))="В"))&gt;0),""),IFERROR(--SUBSTITUTE(SUBSTITUTE(UPPER(INDEX(_xlpm.v_,1)),"V",""),"В",""),"")))</f>
        <v/>
      </c>
      <c r="IF84" s="6" t="str">
        <f>IF(OR(BV84=0,HI84="",HJ84=""),"",IFERROR(N(_xlfn.XLOOKUP(HI84,Каталог!$C$4:$C$500,Каталог!$Q$4:$Q$500)),""))</f>
        <v/>
      </c>
      <c r="IG84" s="6" t="str">
        <f>IF(N(IF84)=0,"",SUMIFS(Линии[Iр, А],Линии[Щит],A84,Линии[_модуль гр.],HH84,Линии[Канал (итог)],HJ84))</f>
        <v/>
      </c>
      <c r="IH84" t="str">
        <f>IF(AND(B84="",HO84=""),"",_xlfn.TEXTJOIN("; ",TRUE,IF(AND(B84&lt;&gt;"",FV84=""),"нет фазы",""),IF(AND(B84&lt;&gt;"",N(GL84)=0,FG84&lt;&gt;"Нет"),"нет мощности",""),IF(AND(HN84&lt;&gt;"",COUNTIFS(Линии[Щит],A84,Линии[Клемма (итог)],HN84)&gt;1),"дубль клеммы "&amp;HN84,""),IF(AND(HQ84&lt;&gt;"",HQ84&lt;&gt;"ok"),HQ84,""),IF(HR84&lt;&gt;"",HR84,""),IF(AND(N(CB84)&gt;=4,N(BX84)=1),CB84&amp;" жил на 1 фазе",""),IF(AND(BC84="R",CG84=1,IF(CS84&lt;&gt;"",N(CV84)&gt;30,OR(N(DA84)=0,N(DA84)&gt;30))),"розетка без дифзащиты до 30 мА",""),IF(AND(CG84=1,N(DA84)&gt;0,ISNUMBER(T84)),IF(T84&gt;N(DA84)/3,"ток утечки "&amp;FIXED(T84,1)&amp;" мА &gt; 1/3 уставки ("&amp;DA84&amp;" мА)",""),""),IF(AND(CH84=1,CS84=""),"«узо»: нет строки с УЗО выше (УЗО 2P 40А 30мА в «Аппаратах»)",""),IF(AND(CS84&lt;&gt;"",CS84=BA84),IF(CT84="","впишите номинал УЗО (УЗО 2P 40А 30мА)",IF(N(CT84)&lt;N(DT84),"УЗО "&amp;CT84&amp;" А &lt; автомата "&amp;DT84&amp;" А перед ним",IF(N(CT84)&lt;N(CX84),"УЗО "&amp;CT84&amp;" А &lt; тока блока "&amp;FIXED(CX84,1)&amp;" А",""))),""),IF(AND(CS84&lt;&gt;"",CS84=BA84,ISNUMBER(CY84)),IF(CY84&gt;N(CV84)/3,"ток утечки блока УЗО "&amp;FIXED(CY84,1)&amp;" мА &gt; 1/3 уставки ("&amp;CV84&amp;" мА)",""),""),IF(AND(CG84=1,N(BV84)+N(IB84)&gt;0,IC84=""),"линии до 50 В без БП: впишите в «Аппараты» (БП 24V 480W)",""),IF(AND(CG84=1,ISNUMBER(ID84),ISNUMBER(U84)),IF(U84&gt;ID84,"БП "&amp;ID84&amp;" Вт &lt; нужно "&amp;U84&amp;" Вт (×"&amp;Запас_БП&amp;")",""),""),IF(AND(CG84=1,ISNUMBER(IE84),N(BV84)=1),IF(IE84&lt;&gt;N(BU84),"БП на "&amp;IE84&amp;" В, линия "&amp;BU84&amp;" В",""),""),IF(AND(N(IF84)&gt;0,N(IG84)&gt;N(IF84)),HH84&amp;" канал "&amp;HJ84&amp;": "&amp;FIXED(IG84,1)&amp;" А &gt; "&amp;IF84&amp;" А",""),IFERROR(IF(AND(ISNUMBER(Q84),Q84&gt;EL84),"потери "&amp;FIXED(Q84,1)&amp;" % &gt; "&amp;EL84&amp;" %",""),""),IFERROR(IF(LEFT(HU84,4)="мало","Iкз мало — отключение &gt; 0,4 с",""),""),IF(AND(B84&lt;&gt;"",BM84=""),"не на схеме",""),IF(AND(CG84=0,B84&lt;&gt;"",FV84&lt;&gt;"",IF(BA84=1,"",FW83)&lt;&gt;"",FV84&lt;&gt;IF(BA84=1,"",FW83)),"фаза не как у автомата группы ("&amp;IF(BA84=1,"",FW83)&amp;")","")))</f>
        <v/>
      </c>
      <c r="II84" s="6" t="str">
        <f>IF(OR(CG84=0,DQ84=""),"",_xlfn.LET(_xlpm.t,IFERROR(_xlfn.XLOOKUP(DQ84,Каталог!$U$4:$U$500,Каталог!$G$4:$G$500),""),_xlpm.k,SEARCH("кА",_xlpm.t),IFERROR(--TRIM(RIGHT(SUBSTITUTE(MID(_xlpm.t,MAX(1,_xlpm.k-4),_xlpm.k-MAX(1,_xlpm.k-4))," ",REPT(" ",9)),5)),"")))</f>
        <v/>
      </c>
      <c r="IJ84" t="str">
        <f>IF(OR(II84="",CG84=0),"",IF(_xlfn.XLOOKUP(A84,Щиты[Щит],Щиты[Iкз max на шинах, кА],"")="","",IF(II84&lt;_xlfn.XLOOKUP(A84,Щиты[Щит],Щиты[Iкз max на шинах, кА]),"Icu "&amp;II84&amp;" кА &lt; Iкз max","ok")))</f>
        <v/>
      </c>
      <c r="IK84" t="str">
        <f t="shared" si="251"/>
        <v/>
      </c>
      <c r="IL84" t="str">
        <f t="shared" si="252"/>
        <v>QF31|XT31</v>
      </c>
      <c r="IM84" t="str">
        <f t="shared" si="253"/>
        <v>QF31|XT31|кабель ВВГнг(А)-LS (5х25) → Внешний блок кондиционирования Пом. Венткиосок</v>
      </c>
      <c r="IN84" t="str" cm="1">
        <f t="array" ref="IN84">IF(IM84="","",_xlfn.LET(_xlpm.nd,_xlfn.TEXTSPLIT(IM84,"|"),IF(COLUMNS(_xlpm.nd)&gt;1,A84&amp;"¦"&amp;INDEX(_xlpm.nd,1)&amp;"¦"&amp;INDEX(_xlpm.nd,2),"")))</f>
        <v>ЩОВ-001¦QF31¦XT31</v>
      </c>
      <c r="IO84" t="str">
        <f t="shared" si="254"/>
        <v>ККБ-4¦Внешний блок кондиционирования Пом. Венткиосок</v>
      </c>
      <c r="IP84" t="str" cm="1">
        <f t="array" ref="IP84">IF(IM84="","",_xlfn.LET(_xlpm.nd,_xlfn.TEXTSPLIT(IM84,"|"),IF(COLUMNS(_xlpm.nd)&gt;2,A84&amp;"¦"&amp;INDEX(_xlpm.nd,2)&amp;"¦"&amp;INDEX(_xlpm.nd,3),"")))</f>
        <v>ЩОВ-001¦XT31¦кабель ВВГнг(А)-LS (5х25) → Внешний блок кондиционирования Пом. Венткиосок</v>
      </c>
      <c r="IQ84" t="str">
        <f t="shared" si="255"/>
        <v>ККБ-4¦Внешний блок кондиционирования Пом. Венткиосок</v>
      </c>
      <c r="IR84" t="str" cm="1">
        <f t="array" ref="IR84">IF(IM84="","",_xlfn.LET(_xlpm.nd,_xlfn.TEXTSPLIT(IM84,"|"),IF(COLUMNS(_xlpm.nd)&gt;3,A84&amp;"¦"&amp;INDEX(_xlpm.nd,3)&amp;"¦"&amp;INDEX(_xlpm.nd,4),"")))</f>
        <v/>
      </c>
      <c r="IS84" t="str">
        <f t="shared" si="256"/>
        <v/>
      </c>
      <c r="IT84" t="str" cm="1">
        <f t="array" ref="IT84">IF(IM84="","",_xlfn.LET(_xlpm.nd,_xlfn.TEXTSPLIT(IM84,"|"),IF(COLUMNS(_xlpm.nd)&gt;4,A84&amp;"¦"&amp;INDEX(_xlpm.nd,4)&amp;"¦"&amp;INDEX(_xlpm.nd,5),"")))</f>
        <v/>
      </c>
      <c r="IU84" t="str">
        <f t="shared" si="257"/>
        <v/>
      </c>
      <c r="IV84" t="str" cm="1">
        <f t="array" ref="IV84">IF(IM84="","",_xlfn.LET(_xlpm.nd,_xlfn.TEXTSPLIT(IM84,"|"),IF(COLUMNS(_xlpm.nd)&gt;5,A84&amp;"¦"&amp;INDEX(_xlpm.nd,5)&amp;"¦"&amp;INDEX(_xlpm.nd,6),"")))</f>
        <v/>
      </c>
      <c r="IW84" t="str">
        <f t="shared" si="258"/>
        <v/>
      </c>
      <c r="IX84" t="str" cm="1">
        <f t="array" ref="IX84">IF(IM84="","",_xlfn.LET(_xlpm.nd,_xlfn.TEXTSPLIT(IM84,"|"),IF(COLUMNS(_xlpm.nd)&gt;6,A84&amp;"¦"&amp;INDEX(_xlpm.nd,6)&amp;"¦"&amp;INDEX(_xlpm.nd,7),"")))</f>
        <v/>
      </c>
      <c r="IY84" t="str">
        <f t="shared" si="259"/>
        <v/>
      </c>
      <c r="IZ84" t="str">
        <f t="shared" si="260"/>
        <v/>
      </c>
      <c r="JA84" t="str">
        <f t="shared" si="261"/>
        <v>QF31 → XT31</v>
      </c>
      <c r="JB84">
        <f t="shared" si="262"/>
        <v>0</v>
      </c>
      <c r="JC84">
        <f t="shared" si="263"/>
        <v>0</v>
      </c>
      <c r="JD84" t="str">
        <f t="shared" si="264"/>
        <v/>
      </c>
      <c r="JE84" t="str">
        <f t="shared" si="265"/>
        <v/>
      </c>
      <c r="JF84" t="str">
        <f t="shared" si="266"/>
        <v/>
      </c>
      <c r="JG84" t="str">
        <f t="shared" si="267"/>
        <v/>
      </c>
      <c r="JH84" t="str">
        <f>IF(B84="","",IFERROR(_xlfn.XLOOKUP(B84,Коды_код,Коды_уго),IFERROR(_xlfn.XLOOKUP(BC84,Коды_код,Коды_уго),IFERROR(_xlfn.XLOOKUP(LEFT(BC84,2),Коды_код,Коды_уго),""))))</f>
        <v/>
      </c>
      <c r="JI84" t="str">
        <f>IF(B84="","",IF(OR(JH84="",JH84=0),"BOX",IFERROR(IF(VLOOKUP(JH84,УГО_блоки,3,FALSE)&amp;""&lt;&gt;"",VLOOKUP(JH84,УГО_блоки,3,FALSE),VLOOKUP(JH84,УГО_блоки,2,FALSE)),JH84)))</f>
        <v>BOX</v>
      </c>
      <c r="JJ84">
        <f t="shared" si="268"/>
        <v>1</v>
      </c>
      <c r="JK84" t="str">
        <f>IF(DQ84="","",IF(COUNTIF(DQ$3:DQ84,DQ84)=1,MAX(JK$2:JK83)+1,""))</f>
        <v/>
      </c>
      <c r="JL84" t="str">
        <f>IF(DE84="","",IF(COUNTIF(DE$3:DE84,DE84)+COUNTIF(DF$2:DF83,DE84)+COUNTIF(DG$2:DG83,DE84)=1,MAX(JL$2:JN83)+1,""))</f>
        <v/>
      </c>
      <c r="JM84" t="str">
        <f>IF(DF84="","",IF(COUNTIF(DE$3:DE84,DF84)+COUNTIF(DF$3:DF84,DF84)+COUNTIF(DG$2:DG83,DF84)=1,MAX(JL$2:JN83,JL84)+1,""))</f>
        <v/>
      </c>
      <c r="JN84" t="str">
        <f>IF(DG84="","",IF(COUNTIF(DE$3:DE84,DG84)+COUNTIF(DF$3:DF84,DG84)+COUNTIF(DG$3:DG84,DG84)=1,MAX(JL$2:JN83,JL84,JM84)+1,""))</f>
        <v/>
      </c>
      <c r="JO84" t="str">
        <f t="shared" si="269"/>
        <v>5х25</v>
      </c>
      <c r="JP84" t="str">
        <f>IF(JO84="","",IF(COUNTIF(JO$3:JO84,JO84)=1,MAX(JP$2:JP83)+1,""))</f>
        <v/>
      </c>
      <c r="JQ84" t="str">
        <f>IF(HG84="","",COUNTIF(HG$3:HG84,"?*"))</f>
        <v/>
      </c>
      <c r="JR84" t="str">
        <f>IF(OR(HG84="",HI84=""),"",IF(COUNTIFS(HG$3:HG84,"?*",HI$3:HI84,HI84)=1,MAX(JR$2:JR83)+1,""))</f>
        <v/>
      </c>
      <c r="JS84">
        <f t="shared" si="270"/>
        <v>0</v>
      </c>
      <c r="JT84">
        <f>IF(B84="","",COUNTIF(B$3:B84,"?*"))</f>
        <v>82</v>
      </c>
      <c r="JU84">
        <f>IF(HL84&lt;&gt;1,0,_xlfn.LET(_xlpm.k,MAX(IFERROR(--_xlfn.XLOOKUP(B84,Коды_код,Коды_3L),0),IFERROR(--_xlfn.XLOOKUP(BC84,Коды_код,Коды_3L),0),IFERROR(--_xlfn.XLOOKUP(LEFT(BC84,2),Коды_код,Коды_3L),0)),IF(_xlpm.k&gt;0,_xlpm.k,IF(IFERROR(--LEFT(SUBSTITUTE(JO84,"x","х"),FIND("х",SUBSTITUTE(JO84,"x","х"))-1),3)&gt;3,Каталог!$S$9,1))))</f>
        <v>1</v>
      </c>
      <c r="JV84">
        <f t="shared" si="271"/>
        <v>2</v>
      </c>
      <c r="JW84" t="str">
        <f t="shared" si="272"/>
        <v>авто</v>
      </c>
      <c r="JX84" t="str">
        <f t="shared" si="273"/>
        <v/>
      </c>
      <c r="JY84">
        <f t="shared" si="274"/>
        <v>0</v>
      </c>
      <c r="JZ84">
        <f t="shared" si="275"/>
        <v>1</v>
      </c>
    </row>
    <row r="85" spans="1:286" x14ac:dyDescent="0.3">
      <c r="A85" t="s">
        <v>747</v>
      </c>
      <c r="B85" t="s">
        <v>1398</v>
      </c>
      <c r="C85" t="s">
        <v>1660</v>
      </c>
      <c r="D85">
        <v>1</v>
      </c>
      <c r="E85">
        <v>27.79</v>
      </c>
      <c r="G85">
        <v>63</v>
      </c>
      <c r="H85" t="str">
        <f>Линии[[#This Row],[_авто управление]]</f>
        <v/>
      </c>
      <c r="I85" t="str">
        <f>Линии[[#This Row],[_авто аппараты]]</f>
        <v/>
      </c>
      <c r="J85">
        <v>25</v>
      </c>
      <c r="K85">
        <v>44</v>
      </c>
      <c r="L85" t="str">
        <f>Линии[[#This Row],[_авто фаза]]</f>
        <v>L1,L2,L3</v>
      </c>
      <c r="M85" t="str">
        <f>Линии[[#This Row],[_авто клемма]]</f>
        <v>XT32</v>
      </c>
      <c r="N85" t="str">
        <f t="shared" si="138"/>
        <v/>
      </c>
      <c r="O85" s="6" cm="1">
        <f t="array" ref="O85">IF(B85="","",IF(BH85&lt;&gt;"",IFERROR(_xlfn.XLOOKUP(BH85,Щиты[Щит],Щиты[Iр, А]),""),IF(BP85=1,IF(OR(N(_xlfn.XLOOKUP(A85,Щиты[Щит],Щиты[Вводов],1))&lt;=1,LOWER(TRIM(_xlfn.XLOOKUP(A85,Щиты[Щит],Щиты[АВР],"")&amp;""))="да"),IFERROR(_xlfn.XLOOKUP(A85,Щиты[Щит],Щиты[Iр, А]),""),IFERROR(N(BS85)*_xlfn.XLOOKUP(A85,Щиты[Щит],Щиты[Кс итог])/(SQRT(3)*Uн_лин*_xlfn.XLOOKUP(A85,Щиты[Щит],Щиты[cos φ])),"")),IF(BV85=1,IFERROR(BS85*1000/BU85,""),IFERROR(_xlfn.IFS(BX85=1,BS85/((Uн_лин/SQRT(3))*CE85),BX85=3,BS85/(SQRT(3)*Uн_лин*CE85)),"")))))</f>
        <v>50.139262439936559</v>
      </c>
      <c r="P85" s="7">
        <f>IF(B85="","",IFERROR(IF(VLOOKUP(BC85,Потребители_обозначение,4,FALSE)=1,VLOOKUP(BC85,Потребители_обозначение,3,FALSE)*(MAX(1,N(D85))*2-1)+EI85+VLOOKUP(BE85,Этаж_обозначение,3,FALSE)+VLOOKUP(BE85,Этаж_обозначение,4,FALSE),VLOOKUP(BC85,Потребители_обозначение,3,FALSE)*(MAX(1,N(D85))*2-1)+EI85),EI85))</f>
        <v>44</v>
      </c>
      <c r="Q85" s="6">
        <f t="shared" si="139"/>
        <v>1.37</v>
      </c>
      <c r="R85" t="str">
        <f t="shared" si="140"/>
        <v>ВВГнг(А)-LS (5х25)</v>
      </c>
      <c r="S85" t="str">
        <f>IF(BM85="","",IF(BN85="вводной узел","узел ","")&amp;"л."&amp;(INT((BM85-1)/Столбцов_на_лист)+1)&amp;" / "&amp;(MOD(BM85-1,Столбцов_на_лист)+1))</f>
        <v>л.4 / 8</v>
      </c>
      <c r="T85" s="119">
        <f t="shared" si="141"/>
        <v>20.5</v>
      </c>
      <c r="U85" s="7" t="str">
        <f>IF(OR(CG85=0,N(BV85)+N(IB85)=0),"",ROUNDUP(Запас_БП*(N(HY85)+N(HZ85)),0))</f>
        <v/>
      </c>
      <c r="V85" s="119" t="str">
        <f t="shared" si="142"/>
        <v/>
      </c>
      <c r="W85" s="7" t="str">
        <f>IFERROR(IF(OR(B85="",BP85=1,BV85=1,NOT(ISNUMBER(EN85)),N(DT85)=0),"",MAX(0,ROUNDDOWN((c_min*(Uн_лин*1000/SQRT(3))/(HT85*N(DT85))-_xlfn.XLOOKUP(A85,Щиты[Щит],Щиты[Zпетли на шинах, Ом]))*EN85/(2*ρкз_Cu),0))),"")</f>
        <v/>
      </c>
      <c r="Y85" t="str">
        <f>Линии[[#This Row],[_авто утечка]]</f>
        <v/>
      </c>
      <c r="Z85">
        <v>3</v>
      </c>
      <c r="AA85">
        <v>400</v>
      </c>
      <c r="AB85" t="s">
        <v>598</v>
      </c>
      <c r="AC85">
        <v>0.5</v>
      </c>
      <c r="AG85" t="s">
        <v>810</v>
      </c>
      <c r="AI85" t="s">
        <v>576</v>
      </c>
      <c r="AK85" t="str">
        <f>Линии[[#This Row],[_авто модуль]]</f>
        <v/>
      </c>
      <c r="AM85">
        <v>59</v>
      </c>
      <c r="AN85" t="s">
        <v>11</v>
      </c>
      <c r="AO85">
        <v>5</v>
      </c>
      <c r="AQ85">
        <v>0</v>
      </c>
      <c r="AR85">
        <v>40</v>
      </c>
      <c r="AS85">
        <v>0</v>
      </c>
      <c r="AT85">
        <v>1</v>
      </c>
      <c r="BA85" cm="1">
        <f t="array" ref="BA85">ROW()-ROW(Линии[#Headers])</f>
        <v>83</v>
      </c>
      <c r="BC85" s="6" t="str">
        <f t="shared" si="143"/>
        <v>НБ-2</v>
      </c>
      <c r="BD85" t="str">
        <f t="shared" si="144"/>
        <v/>
      </c>
      <c r="BE85" t="str">
        <f t="shared" si="145"/>
        <v/>
      </c>
      <c r="BF85" t="str">
        <f t="shared" si="146"/>
        <v/>
      </c>
      <c r="BG85" t="str">
        <f t="shared" si="147"/>
        <v/>
      </c>
      <c r="BH85" t="str">
        <f>IF(X85&lt;&gt;"",X85,IF(AND(B85&lt;&gt;"",B85&lt;&gt;A85,ISNUMBER(_xlfn.XMATCH(B85,Щиты[Щит]))),B85,""))</f>
        <v/>
      </c>
      <c r="BI85" t="str" cm="1">
        <f t="array" ref="BI85">IF(B85="","",IF(BH85&lt;&gt;"","Щит "&amp;BH85,_xlfn.LET(_xlpm.nm,IFERROR(_xlfn.XLOOKUP(BC85,Коды_код,Коды_имя)&amp;"",""),_xlpm.md,IFERROR(N(_xlfn.XLOOKUP(BC85,Коды_код,Коды_режим)),1),_xlpm.ex,IF(Имя_режим="по экспликации",IFERROR(_xlfn.XLOOKUP(BE85&amp;"|"&amp;BG85,Экспликация[Этаж]&amp;"|"&amp;Экспликация[Помещение],Экспликация[Название])&amp;"",""),""),_xlpm.rm,IF(BG85="","",IF(_xlpm.ex&lt;&gt;"",". "&amp;_xlpm.ex&amp;IF(Имя_пом="нет"," ("&amp;BG85&amp;")"," (пом. "&amp;BG85&amp;")"),IF(Имя_пом="нет"," ",", пом. ")&amp;BG85)),IF(_xlpm.nm="","",IF(_xlpm.md=2,_xlpm.nm&amp;" шлейф "&amp;BE85,_xlpm.nm&amp;_xlpm.rm)))))</f>
        <v/>
      </c>
      <c r="BJ85" t="str">
        <f t="shared" si="148"/>
        <v>Внешний блок кондиционирования Пом. Венткиосок</v>
      </c>
      <c r="BK85">
        <f>IFERROR(_xlfn.XMATCH(A85,Щиты[Щит]),0)</f>
        <v>4</v>
      </c>
      <c r="BL85">
        <f>_xlfn.LET(_xlpm.k,IFERROR(_xlfn.XLOOKUP(A85,Щиты[Щит],Щиты[Мест под вводной узел]),""),IF(_xlpm.k="",Столбцов_на_лист,N(_xlpm.k)))</f>
        <v>13</v>
      </c>
      <c r="BM85">
        <f t="shared" si="149"/>
        <v>59</v>
      </c>
      <c r="BN85" t="str">
        <f t="shared" si="150"/>
        <v>линии</v>
      </c>
      <c r="BO85" s="6">
        <f>IFERROR(N(_xlfn.XLOOKUP(BC85,Коды_код,Коды_квт)),0)</f>
        <v>0</v>
      </c>
      <c r="BP85">
        <f t="shared" si="151"/>
        <v>0</v>
      </c>
      <c r="BQ85" t="str">
        <f>IF(B85="","",IF(BH85&lt;&gt;"",IFERROR(_xlfn.XLOOKUP(BH85,Щиты[Щит],Щиты[Руст, кВт]),0),IF(BP85=1,IF(OR(N(_xlfn.XLOOKUP(A85,Щиты[Щит],Щиты[Вводов],1))&lt;=1,LOWER(TRIM(_xlfn.XLOOKUP(A85,Щиты[Щит],Щиты[АВР],"")&amp;""))="да"),IFERROR(_xlfn.XLOOKUP(A85,Щиты[Щит],Щиты[Руст, кВт]),0),SUMIFS(Линии[_Р для вводов],Линии[Щит],A85,Линии[Источник для режимов],GF85)),IF(BO85&gt;0,ROUND(BO85*MAX(1,N(D85)),3),""))))</f>
        <v/>
      </c>
      <c r="BR85">
        <f t="shared" si="152"/>
        <v>27.79</v>
      </c>
      <c r="BS85" s="6">
        <f>IF(B85="","",IF(BH85&lt;&gt;"",IFERROR(_xlfn.XLOOKUP(BH85,Щиты[Щит],Щиты[Руст, кВт]),0),N(BR85)))</f>
        <v>27.79</v>
      </c>
      <c r="BT85" t="str">
        <f>IF(B85="","",IFERROR(IF(VLOOKUP(BC85,Потребители_обозначение,8,FALSE)=0,"",VLOOKUP(BC85,Потребители_обозначение,8,FALSE)),""))</f>
        <v/>
      </c>
      <c r="BU85">
        <f t="shared" si="153"/>
        <v>400</v>
      </c>
      <c r="BV85">
        <f t="shared" si="154"/>
        <v>0</v>
      </c>
      <c r="BW85">
        <f>IF(B85="","",IF(BH85&lt;&gt;"",3,IFERROR(IF(N(VLOOKUP(BC85,Потребители_обозначение,9,FALSE))=0,1,VLOOKUP(BC85,Потребители_обозначение,9,FALSE)),1)))</f>
        <v>1</v>
      </c>
      <c r="BX85">
        <f t="shared" si="155"/>
        <v>3</v>
      </c>
      <c r="BY85" t="str">
        <f>IF(B85="","",_xlfn.LET(_xlpm.bc,IFERROR(IF(VLOOKUP(BC85,Потребители_обозначение,6,FALSE)=0,"",VLOOKUP(BC85,Потребители_обозначение,6,FALSE)&amp;""),""),IF(AND(GA85="да",OR(_xlpm.bc="",_xlpm.bc="мс")),Марка_пож,IF(AND(_xlpm.bc="",BH85&lt;&gt;""),"мс",_xlpm.bc))))</f>
        <v/>
      </c>
      <c r="BZ85" t="str">
        <f t="shared" si="156"/>
        <v>мс</v>
      </c>
      <c r="CA85">
        <f>IF(B85="","",_xlfn.LET(_xlpm.cc,IFERROR(N(VLOOKUP(BC85,Потребители_обозначение,7,FALSE)),0),IF(_xlpm.cc&gt;0,_xlpm.cc,IF(BZ85="","",IF(BV85=1,2,IF(N(BX85)=3,5,3))))))</f>
        <v>5</v>
      </c>
      <c r="CB85">
        <f t="shared" si="157"/>
        <v>5</v>
      </c>
      <c r="CC85">
        <f>IFERROR(N(VLOOKUP(BC85,Потребители_обозначение,10,FALSE)),0)</f>
        <v>0</v>
      </c>
      <c r="CD85">
        <f>IFERROR(VLOOKUP(BC85,Потребители_обозначение,5,FALSE),0)</f>
        <v>0</v>
      </c>
      <c r="CE85" s="6" cm="1">
        <f t="array" ref="CE85">IF(B85="","",IF(BH85&lt;&gt;"",IFERROR(_xlfn.XLOOKUP(BH85,Щиты[Щит],Щиты[cos φ]),0.95),IF(BP85=1,IFERROR(_xlfn.XLOOKUP(A85,Щиты[Щит],Щиты[cos φ]),0.95),IF(ISNUMBER(AD85),AD85,IFERROR(IF(CD85=2,_xlfn.IFS(BX85=3,VLOOKUP(BS85,Справочная_двигатели,8,FALSE),BX85=1,VLOOKUP(BS85,Справочная_двигатели,10,TRUE)),IF(AND(Методика="нормы 2026",FG85="Сил"),0.8,0.95)),0.95)))))</f>
        <v>0.8</v>
      </c>
      <c r="CF85">
        <f t="shared" si="158"/>
        <v>0</v>
      </c>
      <c r="CG85">
        <f t="shared" si="159"/>
        <v>1</v>
      </c>
      <c r="CH85">
        <f t="shared" si="160"/>
        <v>0</v>
      </c>
      <c r="CI85">
        <f>IF(B85="","",IF(BV85=1,IFERROR(BS85/((Uн_лин/SQRT(3))*MAX(0.5,N(CE85))),0),N(O85)))</f>
        <v>50.139262439936559</v>
      </c>
      <c r="CJ85">
        <f t="shared" si="161"/>
        <v>0</v>
      </c>
      <c r="CK85">
        <f t="shared" si="162"/>
        <v>0</v>
      </c>
      <c r="CL85">
        <f t="shared" si="163"/>
        <v>0</v>
      </c>
      <c r="CM85">
        <f t="shared" si="164"/>
        <v>0</v>
      </c>
      <c r="CN85">
        <f t="shared" si="165"/>
        <v>0</v>
      </c>
      <c r="CO85">
        <f>IF(BC85="",0,_xlfn.LET(_xlpm.v,IFERROR(_xlfn.XLOOKUP(B85,Коды_код,Коды_мА),IFERROR(_xlfn.XLOOKUP(BC85,Коды_код,Коды_мА),IFERROR(_xlfn.XLOOKUP(LEFT(BC85,2),Коды_код,Коды_мА),""))),IF(_xlpm.v="да",30,IF(ISNUMBER(_xlpm.v),_xlpm.v,0))))</f>
        <v>0</v>
      </c>
      <c r="CP85" t="str">
        <f t="shared" si="166"/>
        <v/>
      </c>
      <c r="CQ85" t="str">
        <f>_xlfn.LET(_xlpm.k,IFERROR(_xlfn.XLOOKUP(BC85,Коды_код,Коды_утечка)&amp;"",""),IF(_xlpm.k="","дифавтомат",_xlpm.k))</f>
        <v>дифавтомат</v>
      </c>
      <c r="CR85" t="str" cm="1">
        <f t="array" ref="CR85">IF(CG85=0,"",_xlfn.LET(_xlpm.sg,TRIM(_xlfn.TEXTSPLIT(DD85&amp;"",";")),_xlpm.f_,_xlfn._xlws.FILTER(_xlpm.sg,LEFT(_xlpm.sg,3)="УЗО",""),IFERROR(INDEX(_xlpm.f_,1)&amp;"","")))</f>
        <v/>
      </c>
      <c r="CS85" t="str">
        <f t="shared" si="167"/>
        <v/>
      </c>
      <c r="CT85" s="6" t="str" cm="1">
        <f t="array" ref="CT85">IF(CR85="","",_xlfn.LET(_xlpm.tk,_xlfn.TEXTSPLIT(UPPER(CR85)," ",,TRUE),_xlpm.a_,_xlfn._xlws.FILTER(_xlpm.tk,ISNUMBER(--LEFT(_xlpm.tk,1))*((ISNUMBER(SEARCH("А",_xlpm.tk))+ISNUMBER(SEARCH("A",_xlpm.tk)))&gt;0)*NOT(ISNUMBER(SEARCH("МА",_xlpm.tk)))*NOT(ISNUMBER(SEARCH("MA",_xlpm.tk))),""),IFERROR(--SUBSTITUTE(SUBSTITUTE(INDEX(_xlpm.a_,1),"А",""),"A",""),"")))</f>
        <v/>
      </c>
      <c r="CU85" t="str" cm="1">
        <f t="array" ref="CU85">IF(CR85="","",_xlfn.LET(_xlpm.tk,_xlfn.TEXTSPLIT(UPPER(CR85)," ",,TRUE),_xlpm.a_,_xlfn._xlws.FILTER(_xlpm.tk,ISNUMBER(--LEFT(_xlpm.tk,1))*((ISNUMBER(SEARCH("МА",_xlpm.tk))+ISNUMBER(SEARCH("MA",_xlpm.tk)))&gt;0),""),IFERROR(--SUBSTITUTE(SUBSTITUTE(INDEX(_xlpm.a_,1),"МА",""),"MA",""),30)))</f>
        <v/>
      </c>
      <c r="CV85" t="str">
        <f>IF(CS85="","",IFERROR(_xlfn.XLOOKUP(CS85,Линии[_n],Линии[_УЗО, мА]),30))</f>
        <v/>
      </c>
      <c r="CW85">
        <f>IF(CS85="",0,IF(ISNUMBER(SEARCH("4P",IFERROR(_xlfn.XLOOKUP(CS85,Линии[_n],Линии[_УЗО строки])&amp;"",""))),0,1))</f>
        <v>0</v>
      </c>
      <c r="CX85" t="str">
        <f>IF(AND(CS85&lt;&gt;"",CS85=BA85),SUMIFS(Линии[_ток на 230 В],Линии[_блок УЗО],BA85,Линии[Щит],A85),"")</f>
        <v/>
      </c>
      <c r="CY85" t="str">
        <f>IF(AND(CS85&lt;&gt;"",CS85=BA85),SUMIFS(Линии[_ток утечки линии, мА],Линии[_блок УЗО],BA85,Линии[Щит],A85),"")</f>
        <v/>
      </c>
      <c r="CZ85">
        <f t="shared" si="168"/>
        <v>0</v>
      </c>
      <c r="DA85">
        <f t="shared" si="169"/>
        <v>0</v>
      </c>
      <c r="DB85">
        <f>IF(B85="",0,IFERROR(--_xlfn.XLOOKUP(B85,Коды_код,Коды_минавт),IFERROR(--_xlfn.XLOOKUP(BC85,Коды_код,Коды_минавт),IFERROR(--_xlfn.XLOOKUP(LEFT(BC85,2),Коды_код,Коды_минавт),0))))</f>
        <v>0</v>
      </c>
      <c r="DC85" t="str">
        <f>IF(B85="","",IFERROR(_xlfn.XLOOKUP(BC85,Коды_код,Коды_апп)&amp;"",""))</f>
        <v/>
      </c>
      <c r="DD85" t="str">
        <f t="shared" si="170"/>
        <v/>
      </c>
      <c r="DE85" t="str" cm="1">
        <f t="array" ref="DE85">IF(TRIM(DD85&amp;"")="","",IFERROR(TRIM(INDEX(_xlfn.TEXTSPLIT(DD85&amp;";;;",";"),1)),""))</f>
        <v/>
      </c>
      <c r="DF85" t="str" cm="1">
        <f t="array" ref="DF85">IF(TRIM(DD85&amp;"")="","",IFERROR(TRIM(INDEX(_xlfn.TEXTSPLIT(DD85&amp;";;;",";"),2)),""))</f>
        <v/>
      </c>
      <c r="DG85" t="str" cm="1">
        <f t="array" ref="DG85">IF(TRIM(DD85&amp;"")="","",IFERROR(TRIM(INDEX(_xlfn.TEXTSPLIT(DD85&amp;";;;",";"),3)),""))</f>
        <v/>
      </c>
      <c r="DH85">
        <f t="shared" si="171"/>
        <v>0</v>
      </c>
      <c r="DI85" t="str">
        <f>IF(B85="","",_xlfn.LET(_xlpm.t,LOWER(AZ85&amp;""),IF(ISNUMBER(SEARCH("dim",_xlpm.t)),"DIM",IF(ISNUMBER(SEARCH("dali",_xlpm.t)),"DALI",IF(OR(ISNUMBER(SEARCH("relay",_xlpm.t)),ISNUMBER(SEARCH("реле",_xlpm.t))),"Relay",IF(ISNUMBER(SEARCH("кнопк",_xlpm.t)),"",IFERROR(_xlfn.XLOOKUP(BC85,Коды_код,Коды_упр)&amp;"","")))))))</f>
        <v/>
      </c>
      <c r="DJ85" t="str">
        <f t="shared" si="172"/>
        <v/>
      </c>
      <c r="DK85">
        <f>IF(B85="","",_xlfn.LET(_xlpm.ig,IF(N(CX85)&gt;0,N(CX85),N(CI85)+IF(AJ85="вручную",0,N(CJ85))),_xlpm.n0,IFERROR(VLOOKUP(_xlpm.ig,Автомат_номиналы,2,TRUE),0),_xlpm.mn,MAX(DB85,IF(AJ85="вручную",0,N(CM85))),MAX(_xlpm.n0,_xlpm.mn,IF(DH85=1,Мин_автомат_БП,0))))</f>
        <v>63</v>
      </c>
      <c r="DL85">
        <f t="shared" si="173"/>
        <v>3</v>
      </c>
      <c r="DM85" t="str">
        <f t="shared" si="174"/>
        <v>3P</v>
      </c>
      <c r="DN85" t="str">
        <f>_xlfn.LET(_xlpm.cc,UPPER(TRIM(IFERROR(_xlfn.XLOOKUP(BC85,Коды_код,Коды_хар)&amp;"",""))),IF(OR(_xlpm.cc="B",_xlpm.cc="В"),"B",IF(_xlpm.cc="D","D","С")))</f>
        <v>С</v>
      </c>
      <c r="DO85" t="str">
        <f t="shared" si="175"/>
        <v>3P С63А</v>
      </c>
      <c r="DP85">
        <f t="shared" si="176"/>
        <v>63</v>
      </c>
      <c r="DQ85" t="str">
        <f t="shared" si="177"/>
        <v>3P С63А</v>
      </c>
      <c r="DR85" cm="1">
        <f t="array" ref="DR85">IF(DQ85="","",_xlfn.LET(_xlpm.t,SUBSTITUTE(SUBSTITUTE(SUBSTITUTE(UPPER(DQ85),"С","C"),"А","A"),"В","B"),_xlpm.tk,_xlfn.TEXTSPLIT(_xlpm.t," "),_xlpm.f,_xlfn._xlws.FILTER(_xlpm.tk,ISNUMBER(--MID(_xlpm.tk,2,1))*ISNUMBER(SEARCH(LEFT(_xlpm.tk,1)&amp;"#","B#C#D#"))*(LEN(_xlpm.tk)&gt;1),""),_xlpm.x,INDEX(_xlpm.f,1),IFERROR(--SUBSTITUTE(MID(_xlpm.x,2,9),"A",""),IFERROR(--SUBSTITUTE(INDEX(_xlfn._xlws.FILTER(_xlpm.tk,ISNUMBER(--SUBSTITUTE(_xlpm.tk,"A","")),""),1),"A",""),""))))</f>
        <v>63</v>
      </c>
      <c r="DS85" t="str">
        <f t="shared" si="178"/>
        <v>ok</v>
      </c>
      <c r="DT85">
        <f t="shared" si="179"/>
        <v>63</v>
      </c>
      <c r="DU85" t="str">
        <f t="shared" si="180"/>
        <v>3P С63А</v>
      </c>
      <c r="DV85">
        <f t="shared" si="181"/>
        <v>0</v>
      </c>
      <c r="DW85">
        <f t="shared" si="182"/>
        <v>0</v>
      </c>
      <c r="DX85">
        <f t="shared" si="183"/>
        <v>0</v>
      </c>
      <c r="DY85">
        <f t="shared" si="184"/>
        <v>50.139262439936559</v>
      </c>
      <c r="DZ85">
        <f t="shared" si="185"/>
        <v>0.92</v>
      </c>
      <c r="EA85">
        <f>IF(ISNUMBER(AP85),AP85,К_прокл)</f>
        <v>1</v>
      </c>
      <c r="EB85">
        <f t="shared" si="186"/>
        <v>3</v>
      </c>
      <c r="EC85">
        <f>IFERROR(N(VLOOKUP(BZ85,Кабель_обозначение,3,FALSE)),1)</f>
        <v>1</v>
      </c>
      <c r="ED85">
        <f>IFERROR(N(_xlfn.XLOOKUP(A85,Щиты[Щит],Щиты[ΔU до шин, %])),0)</f>
        <v>0.64</v>
      </c>
      <c r="EE85" t="str">
        <f>IFERROR(_xlfn.XLOOKUP(A85,Щиты[Щит],Щиты[Zпетли на шинах, Ом]),"")</f>
        <v/>
      </c>
      <c r="EF85">
        <f>IFERROR(N(_xlfn.XLOOKUP(A85,Щиты[Щит],Щиты[ΔU до шин (подбор), %])),0)</f>
        <v>0.75</v>
      </c>
      <c r="EG85" t="str">
        <f>IFERROR(_xlfn.XLOOKUP(A85,Щиты[Щит],Щиты[Zпетли на шинах (подбор), Ом]),"")</f>
        <v/>
      </c>
      <c r="EH85" t="str">
        <f t="shared" si="187"/>
        <v/>
      </c>
      <c r="EI85">
        <f t="shared" si="188"/>
        <v>44</v>
      </c>
      <c r="EJ85">
        <f t="shared" si="189"/>
        <v>1</v>
      </c>
      <c r="EK85">
        <f t="shared" si="190"/>
        <v>0.6</v>
      </c>
      <c r="EL85" s="6">
        <f>IF(B85="","",IF(BV85=1,dU_LED,IF(IFERROR(_xlfn.XLOOKUP(BC85,Коды_код,Коды_уго),"")="Светильник",3,4)+IF(Методика="нормы 2026",MIN(0.5,MAX(0,N(P85)-100)*0.005),0)))</f>
        <v>4</v>
      </c>
      <c r="EM85" cm="1">
        <f t="array" ref="EM85">IF(OR(B85="",BZ85="",EC85&lt;&gt;1),"",_xlfn.LET(_xlpm.sz,Iдоп_S,_xlpm.t_,CHOOSE(EB85,Iдоп_1ж,Iдоп_2ж,Iдоп_3ж)*DZ85*EA85,_xlpm.dcx,BV85=1,_xlpm.inn,IF(_xlpm.dcx,N(O85),N(DT85)),_xlpm.smin,MAX(1.5,CC85),_xlpm.L_,N(P85)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85)/N(BU85)*100,999),IFERROR(N(EJ85)*(_xlpm.rho*_xlpm.L_/_xlpm.sz*N(CE85)+_xlpm.xx*_xlpm.L_*N(EK85)/1000)*N(O85)/((Uн_лин/SQRT(3))*1000)*100,999)),_xlpm.kz,IF(OR(_xlpm.dcx,DW85=1,NOT(ISNUMBER(EG85)),_xlpm.L_=0,_xlpm.inn=0),1,IFERROR(--(c_min*(Uн_лин*1000/SQRT(3))/(EG85+2*ρкз_Cu*_xlpm.L_/_xlpm.sz)&gt;=HT85*_xlpm.inn),0)),_xlpm.ok,IFERROR((_xlpm.sz&gt;=_xlpm.smin)*(_xlpm.t_&gt;=_xlpm.inn)*IF(_xlpm.L_&gt;0,(_xlpm.du_+IF(_xlpm.dcx,0,EF85)&lt;=EL85+0.00001),1)*_xlpm.kz,0),_xlpm.r_,_xlfn._xlws.FILTER(_xlpm.sz,_xlpm.ok,"не подобрано"),INDEX(_xlpm.r_,1)))</f>
        <v>16</v>
      </c>
      <c r="EN85">
        <f t="shared" si="191"/>
        <v>25</v>
      </c>
      <c r="EO85" cm="1">
        <f t="array" ref="EO85">IF(OR(B85="",BZ85="",EC85&lt;&gt;1),"",_xlfn.LET(_xlpm.sz,Iдоп_S,_xlpm.t_,CHOOSE(EB85,Iдоп_1ж,Iдоп_2ж,Iдоп_3ж)*DZ85*EA85,_xlpm.ok,IFERROR((_xlpm.sz&gt;=MAX(1.5,CC85))*(_xlpm.t_&gt;=N(DT85)),0),_xlpm.r_,_xlfn._xlws.FILTER(_xlpm.sz,_xlpm.ok,""),INDEX(_xlpm.r_,1)))</f>
        <v>16</v>
      </c>
      <c r="EP85" s="6" cm="1">
        <f t="array" ref="EP85">IFERROR(ROUNDUP(N(EJ85)*(_xlfn.XLOOKUP(EO85,INDEX(Кабель_сопротивление,0,1),INDEX(Кабель_сопротивление,0,3))*N(P85)/EO85*N(CE85)+_xlfn.XLOOKUP(EO85,INDEX(Кабель_сопротивление,0,1),INDEX(Кабель_сопротивление,0,2))*N(P85)*N(EK85)/1000)*N(O85)/((Uн_лин/SQRT(3))*1000)*100,2),"")</f>
        <v>1.1200000000000001</v>
      </c>
      <c r="EQ85">
        <f>IFERROR(2*ρкз_Cu*N(P85)/EO85,"")</f>
        <v>0.14465</v>
      </c>
      <c r="ER85">
        <f>IFERROR(VLOOKUP(EN85,Кабель_сопротивление,3,FALSE),"")</f>
        <v>2.2499999999999999E-2</v>
      </c>
      <c r="ES85">
        <f>IFERROR(VLOOKUP(EN85,Кабель_сопротивление,2,FALSE),"")</f>
        <v>6.6199999999999995E-2</v>
      </c>
      <c r="ET85">
        <f t="shared" si="192"/>
        <v>40</v>
      </c>
      <c r="EU85">
        <f t="shared" si="193"/>
        <v>0</v>
      </c>
      <c r="EV85">
        <f t="shared" si="194"/>
        <v>1.6760392202782186</v>
      </c>
      <c r="EW85" s="6">
        <f>IFERROR(ROUNDUP(EV85/IF(BV85=1,BU85,(Uн_лин/SQRT(3))*1000)*100,2),"")</f>
        <v>0.73</v>
      </c>
      <c r="EX85" t="str">
        <f>IFERROR(VLOOKUP(BZ85,Кабель_обозначение,2,FALSE),"")</f>
        <v>ВВГнг(А)-LS</v>
      </c>
      <c r="EY85" t="str">
        <f t="shared" si="195"/>
        <v>ВВГнг(А)-LS (5х25)</v>
      </c>
      <c r="EZ85" t="str">
        <f t="shared" si="196"/>
        <v>ВВГнг(А)-LS (5х25)
L=44-0,73%</v>
      </c>
      <c r="FA85">
        <f>IFERROR(2*ρкз_Cu*P85/EN85,"")</f>
        <v>9.2576000000000006E-2</v>
      </c>
      <c r="FB85">
        <f t="shared" si="197"/>
        <v>3.0800000000000001E-2</v>
      </c>
      <c r="FC85" s="6" t="str">
        <f>IFERROR(IF(OR(B85="",BV85=1,NOT(ISNUMBER(EN85)),N(P85)=0),"",_xlfn.XLOOKUP(A85,Щиты[Щит],Щиты[Zпетли на шинах, Ом])+FA85),"")</f>
        <v/>
      </c>
      <c r="FD85" s="6" t="str">
        <f>IF(ISNUMBER(FC85),c_min*(Uн_лин*1000/SQRT(3))/FC85,"")</f>
        <v/>
      </c>
      <c r="FE85" s="6" t="str">
        <f>IFERROR(IF(OR(B85="",NOT(ISNUMBER(EN85))),"",1.05*(Uн_лин*1000/SQRT(3))/(_xlfn.XLOOKUP(A85,Щиты[Щит],Щиты[Zmax на шинах, Ом])+FB85)/1000),"")</f>
        <v/>
      </c>
      <c r="FF85" s="6" t="str">
        <f>IF(B85="","",IF(ISNUMBER(AC85),"Сил",IF(IFERROR(_xlfn.XLOOKUP(BC85,Коды_код,Коды_группа)&amp;"","")="","Быт",_xlfn.XLOOKUP(BC85,Коды_код,Коды_группа)&amp;"")))</f>
        <v>Сил</v>
      </c>
      <c r="FG85" s="6" t="str">
        <f t="shared" si="198"/>
        <v>Сил</v>
      </c>
      <c r="FH85" s="6">
        <f>IF(FG85="Щит","щит",IF(FG85="","",IF(FG85="Быт",IFERROR(_xlfn.XLOOKUP(A85,Щиты[Щит],Щиты[Кс быт]),1),IF(FG85="Сил",IF(ISNUMBER(AC85),AC85,IF(Методика="нормы 2026",IFERROR(_xlfn.XLOOKUP(A85,Щиты[Щит],Щиты[Кс силовых (табл. 7.5)]),1),1)),IF(OR(FG85="Пост",FG85="Отоп"),1,IF(FG85="ВНГ",0.7,0))))))</f>
        <v>0.5</v>
      </c>
      <c r="FI85">
        <f>IF(FG85="","",IF(AND(BP85=1,TRIM(AE85&amp;"")=""),IF(COUNTIFS(Линии[Щит],A85,Линии[Секция (1/2/3)],"&gt;=2")&gt;0,MIN(3,MAX(1,IFERROR(--BD85,1))),1),IFERROR(MIN(3,MAX(1,INT(--AE85))),1)))</f>
        <v>1</v>
      </c>
      <c r="FJ85">
        <f t="shared" si="199"/>
        <v>27.79</v>
      </c>
      <c r="FK85">
        <f t="shared" si="200"/>
        <v>0</v>
      </c>
      <c r="FL85">
        <f t="shared" si="201"/>
        <v>13.895</v>
      </c>
      <c r="FM85">
        <f t="shared" si="202"/>
        <v>0</v>
      </c>
      <c r="FN85">
        <f t="shared" si="203"/>
        <v>0</v>
      </c>
      <c r="FO85">
        <f t="shared" si="204"/>
        <v>0</v>
      </c>
      <c r="FP85">
        <f t="shared" si="205"/>
        <v>27.79</v>
      </c>
      <c r="FQ85">
        <f t="shared" si="206"/>
        <v>27.79</v>
      </c>
      <c r="FR85">
        <f t="shared" si="207"/>
        <v>22.231999999999999</v>
      </c>
      <c r="FS85">
        <f>IF(CG85=1,IF(AND(CH85=1,CW85=1),0,IF(AND(CS85&lt;&gt;"",CS85=BA85,CW85=1),SUMIFS(Линии[_Р линии, кВт],Линии[_блок УЗО],BA85,Линии[Щит],A85),N(BS85)+IF(AJ85="вручную",0,N(CK85)))),0)</f>
        <v>27.79</v>
      </c>
      <c r="FT85" t="str">
        <f t="shared" si="208"/>
        <v/>
      </c>
      <c r="FU85" t="str">
        <f>IF(B85="","",IF(CG85=0,IF(BA85=1,"",FW84),IF(AND(CH85=1,CW85=1,CS85&lt;&gt;""),IFERROR(_xlfn.XLOOKUP(CS85,Линии[_n],Линии[_фаза итог]),"L1"),IF(OR(N(DL85)&gt;=3,N(BX85)&gt;=3),"L1,L2,L3",IFERROR(_xlfn.TEXTBEFORE(_xlfn.TEXTAFTER(_xlfn.XLOOKUP(A85,Щиты[Щит],Щиты[_фазы авто]),";"&amp;BA85&amp;":"),";"),"L1")))))</f>
        <v>L1,L2,L3</v>
      </c>
      <c r="FV85" t="str">
        <f t="shared" si="209"/>
        <v>L1,L2,L3</v>
      </c>
      <c r="FW85" t="str">
        <f t="shared" si="210"/>
        <v>L1,L2,L3</v>
      </c>
      <c r="FX85" cm="1">
        <f t="array" ref="FX85">IFERROR(IF(CD85=2,_xlfn.IFS(BX85=3,VLOOKUP(BS85,Справочная_двигатели,3,FALSE),BX85=1,VLOOKUP(BS85,Справочная_двигатели,5,TRUE)),0),0)</f>
        <v>0</v>
      </c>
      <c r="FY85">
        <f>IFERROR(IF(CD85=3,VLOOKUP(BS85,Справочная_ЛЭД,2,TRUE),0),0)</f>
        <v>0</v>
      </c>
      <c r="FZ85" s="6">
        <f t="shared" si="211"/>
        <v>0</v>
      </c>
      <c r="GA85" t="str">
        <f>IF(B85="","",IF(TRIM(AH85&amp;"")&lt;&gt;"",IF(LOWER(TRIM(AH85&amp;""))="да","да","нет"),IF(IFERROR(_xlfn.XLOOKUP(BC85,Коды_код,Коды_пожарная),"")="да","да","нет")))</f>
        <v>нет</v>
      </c>
      <c r="GB85" t="str">
        <f t="shared" si="212"/>
        <v/>
      </c>
      <c r="GC85" t="str">
        <f t="shared" si="213"/>
        <v>основная</v>
      </c>
      <c r="GD85">
        <f>IF(AND(BP85=1,TRIM(AE85&amp;"")=""),IF(COUNTIFS(Линии[Щит],A85,Линии[Секция (1/2/3)],"&gt;=2")&gt;0,MIN(3,MAX(1,IFERROR(--BD85,1))),1),IFERROR(MIN(3,MAX(1,INT(--AE85))),1))</f>
        <v>1</v>
      </c>
      <c r="GE85" t="str" cm="1">
        <f t="array" ref="GE85">IF(B85="","",_xlfn.LET(_xlpm.t,IFERROR(_xlfn.XLOOKUP(1,(Шины[Шина]=GC85)*(((Шины[Щит]=A85)+(Шины[Щит]=""))&gt;0),Шины[Тип]),"")&amp;"",IF(_xlpm.t&lt;&gt;"",_xlpm.t,IF(ISNUMBER(SEARCH("ИБП",GC85)),"ИБП",IF(ISNUMBER(SEARCH("ДГУ",GC85)),"ДГУ","Ввод "&amp;GD85)))))</f>
        <v>Ввод 1</v>
      </c>
      <c r="GF85" t="str">
        <f t="shared" si="214"/>
        <v>Ввод 1</v>
      </c>
      <c r="GG85" t="str">
        <f>IF(BP85=0,"",IF(TRIM(AG85&amp;"")&lt;&gt;"",TRIM(AG85&amp;""),IF(OR(GE85="ИБП",GE85="ДГУ"),"I особая",_xlfn.XLOOKUP(A85,Щиты[Щит],Щиты[Категория шины «Ввод»],"III"))))</f>
        <v/>
      </c>
      <c r="GH85" t="str">
        <f>IF(A85="","",_xlfn.XLOOKUP(A85,Щиты[Щит],Щиты[Путь],""))</f>
        <v>|ГРЩ-ЖД|ЩОВ-001|</v>
      </c>
      <c r="GI85" t="str">
        <f>IF(B85="","",IF(AI85&lt;&gt;"",AI85,IF(IFERROR(_xlfn.XLOOKUP(BC85,Коды_код,Коды_вид)&amp;"","")="","Прочее",_xlfn.XLOOKUP(BC85,Коды_код,Коды_вид)&amp;"")))</f>
        <v>Кондиционирование и увлажнение</v>
      </c>
      <c r="GJ85">
        <f>IF(BM85="","",INT((BM85-1)/Столбцов_на_лист)+1)</f>
        <v>4</v>
      </c>
      <c r="GK85" t="str">
        <f t="shared" si="215"/>
        <v>ВВГнг(А)-LS (5х25) L=44-0,73%</v>
      </c>
      <c r="GL85">
        <f t="shared" si="216"/>
        <v>27.79</v>
      </c>
      <c r="GM85">
        <f t="shared" si="217"/>
        <v>50.14</v>
      </c>
      <c r="GN85">
        <f t="shared" si="218"/>
        <v>3</v>
      </c>
      <c r="GO85">
        <f t="shared" si="219"/>
        <v>0</v>
      </c>
      <c r="GP85">
        <f t="shared" si="220"/>
        <v>1</v>
      </c>
      <c r="GQ85">
        <f>IF(BM85="","",IF(AND(CG85=1,GP85=1),COUNTIFS(A$3:A85,A85,CG$3:CG85,1,GP$3:GP85,1),IF(OR(OR(BA85=1,A85&lt;&gt;A84),AJ85="вручную",GP85=0),"",IF(BA85=1,"",GR84))))</f>
        <v>32</v>
      </c>
      <c r="GR85">
        <f t="shared" si="221"/>
        <v>32</v>
      </c>
      <c r="GS85">
        <f>IF(B85="","",IFERROR(LOOKUP(INDEX(CHOOSE(EB85,Iдоп_1ж,Iдоп_2ж,Iдоп_3ж),MATCH(EN85,Iдоп_S,0))*DZ85*EA85,{6,10,16,20,25,32,40,50,63,80,100,125,160,200,250,315,400,500,630}),""))</f>
        <v>80</v>
      </c>
      <c r="GT85" t="str">
        <f t="shared" si="222"/>
        <v>QF32</v>
      </c>
      <c r="GU85" t="str">
        <f t="shared" si="223"/>
        <v>QF32</v>
      </c>
      <c r="GV85" t="str">
        <f t="shared" si="224"/>
        <v/>
      </c>
      <c r="GW85">
        <f t="shared" si="225"/>
        <v>0</v>
      </c>
      <c r="GX85" t="str">
        <f>IF(OR(B85="",DJ85=""),"",IFERROR(_xlfn.XLOOKUP(DJ85,Модули_умолч[Управление],Модули_умолч[Модель])&amp;"",""))</f>
        <v/>
      </c>
      <c r="GY85">
        <f>IF(DJ85="",1,IFERROR(MAX(0,N(_xlfn.XLOOKUP(DJ85,Модули_умолч[Управление],Модули_умолч[Каналов на линию]))),1))</f>
        <v>1</v>
      </c>
      <c r="GZ85" t="str">
        <f t="shared" si="226"/>
        <v/>
      </c>
      <c r="HA85" t="str">
        <f t="shared" si="227"/>
        <v/>
      </c>
      <c r="HB85" t="str">
        <f t="shared" si="228"/>
        <v/>
      </c>
      <c r="HC85">
        <f>IF(HB85="",0,IFERROR(N(VLOOKUP(HB85,Модули_спр,3,FALSE)),0))</f>
        <v>0</v>
      </c>
      <c r="HD85" t="str">
        <f t="shared" si="229"/>
        <v/>
      </c>
      <c r="HE85" t="str">
        <f t="shared" si="230"/>
        <v/>
      </c>
      <c r="HF85" t="str">
        <f>IF(OR(HE85="",HE85="-"),"",IFERROR(VLOOKUP(HE85,Модули_спр,2,FALSE),"R"))</f>
        <v/>
      </c>
      <c r="HG85" t="str">
        <f>IF(HF85="","",HF85&amp;"."&amp;COUNTIFS(A$3:A85,A85,HF$3:HF85,HF85))</f>
        <v/>
      </c>
      <c r="HH85" t="str">
        <f t="shared" si="231"/>
        <v/>
      </c>
      <c r="HI85" t="str">
        <f t="shared" si="232"/>
        <v/>
      </c>
      <c r="HJ85" t="str">
        <f t="shared" si="233"/>
        <v/>
      </c>
      <c r="HK85" t="str">
        <f t="shared" si="234"/>
        <v/>
      </c>
      <c r="HL85">
        <f t="shared" si="235"/>
        <v>1</v>
      </c>
      <c r="HM85" t="str">
        <f>IF(HL85=1,"XT"&amp;COUNTIFS(A$3:A85,A85,HL$3:HL85,1),"")</f>
        <v>XT32</v>
      </c>
      <c r="HN85" t="str">
        <f t="shared" si="236"/>
        <v>XT32</v>
      </c>
      <c r="HO85" t="str">
        <f t="shared" si="237"/>
        <v>QF32</v>
      </c>
      <c r="HP85" t="str">
        <f t="shared" si="238"/>
        <v/>
      </c>
      <c r="HQ85" t="str">
        <f t="shared" si="239"/>
        <v>ok</v>
      </c>
      <c r="HR85" t="str">
        <f>IF(OR(HJ85="",HH85=""),"",IF(HJ85+MAX(0,GY85-1)&gt;IFERROR(VLOOKUP(HI85,Модули_спр,3,FALSE),99),"ЛИШНИЙ КАНАЛ",IF(AND(AL85&lt;&gt;"=",GY85&gt;0,COUNTIFS(Линии[_модуль гр.],HH85,Линии[Канал (итог)],HJ85,Линии[Канал],"&lt;&gt;=",Линии[Щит],A85)&gt;1),"ДУБЛЬ КАНАЛА","")))</f>
        <v/>
      </c>
      <c r="HS85" s="6" t="str">
        <f t="shared" si="240"/>
        <v/>
      </c>
      <c r="HT85">
        <f t="shared" si="241"/>
        <v>10</v>
      </c>
      <c r="HU85" t="str">
        <f t="shared" si="242"/>
        <v/>
      </c>
      <c r="HV85">
        <f t="shared" si="243"/>
        <v>20.495704975974625</v>
      </c>
      <c r="HW85">
        <f t="shared" si="244"/>
        <v>0</v>
      </c>
      <c r="HX85">
        <f t="shared" si="245"/>
        <v>0</v>
      </c>
      <c r="HY85">
        <f t="shared" si="246"/>
        <v>0</v>
      </c>
      <c r="HZ85">
        <f t="shared" si="247"/>
        <v>0</v>
      </c>
      <c r="IA85">
        <f t="shared" si="248"/>
        <v>0</v>
      </c>
      <c r="IB85">
        <f t="shared" si="249"/>
        <v>0</v>
      </c>
      <c r="IC85" t="str">
        <f t="shared" si="250"/>
        <v/>
      </c>
      <c r="ID85" t="str" cm="1">
        <f t="array" ref="ID85">IF(IC85="","",_xlfn.LET(_xlpm.tk,_xlfn.TEXTSPLIT(SUBSTITUTE(SUBSTITUTE(IC85,";"," "),"→"," ")," ",,TRUE),_xlpm.w_,_xlfn._xlws.FILTER(_xlpm.tk,ISNUMBER(--LEFT(_xlpm.tk,1))*((ISNUMBER(SEARCH("W",_xlpm.tk))+ISNUMBER(SEARCH("Вт",_xlpm.tk)))&gt;0),""),IFERROR(--SUBSTITUTE(SUBSTITUTE(UPPER(INDEX(_xlpm.w_,1)),"W",""),"ВТ",""),"")))</f>
        <v/>
      </c>
      <c r="IE85" t="str" cm="1">
        <f t="array" ref="IE85">IF(IC85="","",_xlfn.LET(_xlpm.tk,_xlfn.TEXTSPLIT(SUBSTITUTE(SUBSTITUTE(IC85,";"," "),"→"," ")," ",,TRUE),_xlpm.v_,_xlfn._xlws.FILTER(_xlpm.tk,ISNUMBER(--LEFT(_xlpm.tk,1))*((ISNUMBER(SEARCH("V",_xlpm.tk))+(RIGHT(UPPER(_xlpm.tk))="В"))&gt;0),""),IFERROR(--SUBSTITUTE(SUBSTITUTE(UPPER(INDEX(_xlpm.v_,1)),"V",""),"В",""),"")))</f>
        <v/>
      </c>
      <c r="IF85" s="6" t="str">
        <f>IF(OR(BV85=0,HI85="",HJ85=""),"",IFERROR(N(_xlfn.XLOOKUP(HI85,Каталог!$C$4:$C$500,Каталог!$Q$4:$Q$500)),""))</f>
        <v/>
      </c>
      <c r="IG85" s="6" t="str">
        <f>IF(N(IF85)=0,"",SUMIFS(Линии[Iр, А],Линии[Щит],A85,Линии[_модуль гр.],HH85,Линии[Канал (итог)],HJ85))</f>
        <v/>
      </c>
      <c r="IH85" t="str">
        <f>IF(AND(B85="",HO85=""),"",_xlfn.TEXTJOIN("; ",TRUE,IF(AND(B85&lt;&gt;"",FV85=""),"нет фазы",""),IF(AND(B85&lt;&gt;"",N(GL85)=0,FG85&lt;&gt;"Нет"),"нет мощности",""),IF(AND(HN85&lt;&gt;"",COUNTIFS(Линии[Щит],A85,Линии[Клемма (итог)],HN85)&gt;1),"дубль клеммы "&amp;HN85,""),IF(AND(HQ85&lt;&gt;"",HQ85&lt;&gt;"ok"),HQ85,""),IF(HR85&lt;&gt;"",HR85,""),IF(AND(N(CB85)&gt;=4,N(BX85)=1),CB85&amp;" жил на 1 фазе",""),IF(AND(BC85="R",CG85=1,IF(CS85&lt;&gt;"",N(CV85)&gt;30,OR(N(DA85)=0,N(DA85)&gt;30))),"розетка без дифзащиты до 30 мА",""),IF(AND(CG85=1,N(DA85)&gt;0,ISNUMBER(T85)),IF(T85&gt;N(DA85)/3,"ток утечки "&amp;FIXED(T85,1)&amp;" мА &gt; 1/3 уставки ("&amp;DA85&amp;" мА)",""),""),IF(AND(CH85=1,CS85=""),"«узо»: нет строки с УЗО выше (УЗО 2P 40А 30мА в «Аппаратах»)",""),IF(AND(CS85&lt;&gt;"",CS85=BA85),IF(CT85="","впишите номинал УЗО (УЗО 2P 40А 30мА)",IF(N(CT85)&lt;N(DT85),"УЗО "&amp;CT85&amp;" А &lt; автомата "&amp;DT85&amp;" А перед ним",IF(N(CT85)&lt;N(CX85),"УЗО "&amp;CT85&amp;" А &lt; тока блока "&amp;FIXED(CX85,1)&amp;" А",""))),""),IF(AND(CS85&lt;&gt;"",CS85=BA85,ISNUMBER(CY85)),IF(CY85&gt;N(CV85)/3,"ток утечки блока УЗО "&amp;FIXED(CY85,1)&amp;" мА &gt; 1/3 уставки ("&amp;CV85&amp;" мА)",""),""),IF(AND(CG85=1,N(BV85)+N(IB85)&gt;0,IC85=""),"линии до 50 В без БП: впишите в «Аппараты» (БП 24V 480W)",""),IF(AND(CG85=1,ISNUMBER(ID85),ISNUMBER(U85)),IF(U85&gt;ID85,"БП "&amp;ID85&amp;" Вт &lt; нужно "&amp;U85&amp;" Вт (×"&amp;Запас_БП&amp;")",""),""),IF(AND(CG85=1,ISNUMBER(IE85),N(BV85)=1),IF(IE85&lt;&gt;N(BU85),"БП на "&amp;IE85&amp;" В, линия "&amp;BU85&amp;" В",""),""),IF(AND(N(IF85)&gt;0,N(IG85)&gt;N(IF85)),HH85&amp;" канал "&amp;HJ85&amp;": "&amp;FIXED(IG85,1)&amp;" А &gt; "&amp;IF85&amp;" А",""),IFERROR(IF(AND(ISNUMBER(Q85),Q85&gt;EL85),"потери "&amp;FIXED(Q85,1)&amp;" % &gt; "&amp;EL85&amp;" %",""),""),IFERROR(IF(LEFT(HU85,4)="мало","Iкз мало — отключение &gt; 0,4 с",""),""),IF(AND(B85&lt;&gt;"",BM85=""),"не на схеме",""),IF(AND(CG85=0,B85&lt;&gt;"",FV85&lt;&gt;"",IF(BA85=1,"",FW84)&lt;&gt;"",FV85&lt;&gt;IF(BA85=1,"",FW84)),"фаза не как у автомата группы ("&amp;IF(BA85=1,"",FW84)&amp;")","")))</f>
        <v/>
      </c>
      <c r="II85" s="6" t="str">
        <f>IF(OR(CG85=0,DQ85=""),"",_xlfn.LET(_xlpm.t,IFERROR(_xlfn.XLOOKUP(DQ85,Каталог!$U$4:$U$500,Каталог!$G$4:$G$500),""),_xlpm.k,SEARCH("кА",_xlpm.t),IFERROR(--TRIM(RIGHT(SUBSTITUTE(MID(_xlpm.t,MAX(1,_xlpm.k-4),_xlpm.k-MAX(1,_xlpm.k-4))," ",REPT(" ",9)),5)),"")))</f>
        <v/>
      </c>
      <c r="IJ85" t="str">
        <f>IF(OR(II85="",CG85=0),"",IF(_xlfn.XLOOKUP(A85,Щиты[Щит],Щиты[Iкз max на шинах, кА],"")="","",IF(II85&lt;_xlfn.XLOOKUP(A85,Щиты[Щит],Щиты[Iкз max на шинах, кА]),"Icu "&amp;II85&amp;" кА &lt; Iкз max","ok")))</f>
        <v/>
      </c>
      <c r="IK85" t="str">
        <f t="shared" si="251"/>
        <v/>
      </c>
      <c r="IL85" t="str">
        <f t="shared" si="252"/>
        <v>QF32|XT32</v>
      </c>
      <c r="IM85" t="str">
        <f t="shared" si="253"/>
        <v>QF32|XT32|кабель ВВГнг(А)-LS (5х25) → Внешний блок кондиционирования Пом. Венткиосок</v>
      </c>
      <c r="IN85" t="str" cm="1">
        <f t="array" ref="IN85">IF(IM85="","",_xlfn.LET(_xlpm.nd,_xlfn.TEXTSPLIT(IM85,"|"),IF(COLUMNS(_xlpm.nd)&gt;1,A85&amp;"¦"&amp;INDEX(_xlpm.nd,1)&amp;"¦"&amp;INDEX(_xlpm.nd,2),"")))</f>
        <v>ЩОВ-001¦QF32¦XT32</v>
      </c>
      <c r="IO85" t="str">
        <f t="shared" si="254"/>
        <v>НБ-2¦Внешний блок кондиционирования Пом. Венткиосок</v>
      </c>
      <c r="IP85" t="str" cm="1">
        <f t="array" ref="IP85">IF(IM85="","",_xlfn.LET(_xlpm.nd,_xlfn.TEXTSPLIT(IM85,"|"),IF(COLUMNS(_xlpm.nd)&gt;2,A85&amp;"¦"&amp;INDEX(_xlpm.nd,2)&amp;"¦"&amp;INDEX(_xlpm.nd,3),"")))</f>
        <v>ЩОВ-001¦XT32¦кабель ВВГнг(А)-LS (5х25) → Внешний блок кондиционирования Пом. Венткиосок</v>
      </c>
      <c r="IQ85" t="str">
        <f t="shared" si="255"/>
        <v>НБ-2¦Внешний блок кондиционирования Пом. Венткиосок</v>
      </c>
      <c r="IR85" t="str" cm="1">
        <f t="array" ref="IR85">IF(IM85="","",_xlfn.LET(_xlpm.nd,_xlfn.TEXTSPLIT(IM85,"|"),IF(COLUMNS(_xlpm.nd)&gt;3,A85&amp;"¦"&amp;INDEX(_xlpm.nd,3)&amp;"¦"&amp;INDEX(_xlpm.nd,4),"")))</f>
        <v/>
      </c>
      <c r="IS85" t="str">
        <f t="shared" si="256"/>
        <v/>
      </c>
      <c r="IT85" t="str" cm="1">
        <f t="array" ref="IT85">IF(IM85="","",_xlfn.LET(_xlpm.nd,_xlfn.TEXTSPLIT(IM85,"|"),IF(COLUMNS(_xlpm.nd)&gt;4,A85&amp;"¦"&amp;INDEX(_xlpm.nd,4)&amp;"¦"&amp;INDEX(_xlpm.nd,5),"")))</f>
        <v/>
      </c>
      <c r="IU85" t="str">
        <f t="shared" si="257"/>
        <v/>
      </c>
      <c r="IV85" t="str" cm="1">
        <f t="array" ref="IV85">IF(IM85="","",_xlfn.LET(_xlpm.nd,_xlfn.TEXTSPLIT(IM85,"|"),IF(COLUMNS(_xlpm.nd)&gt;5,A85&amp;"¦"&amp;INDEX(_xlpm.nd,5)&amp;"¦"&amp;INDEX(_xlpm.nd,6),"")))</f>
        <v/>
      </c>
      <c r="IW85" t="str">
        <f t="shared" si="258"/>
        <v/>
      </c>
      <c r="IX85" t="str" cm="1">
        <f t="array" ref="IX85">IF(IM85="","",_xlfn.LET(_xlpm.nd,_xlfn.TEXTSPLIT(IM85,"|"),IF(COLUMNS(_xlpm.nd)&gt;6,A85&amp;"¦"&amp;INDEX(_xlpm.nd,6)&amp;"¦"&amp;INDEX(_xlpm.nd,7),"")))</f>
        <v/>
      </c>
      <c r="IY85" t="str">
        <f t="shared" si="259"/>
        <v/>
      </c>
      <c r="IZ85" t="str">
        <f t="shared" si="260"/>
        <v/>
      </c>
      <c r="JA85" t="str">
        <f t="shared" si="261"/>
        <v>QF32 → XT32</v>
      </c>
      <c r="JB85">
        <f t="shared" si="262"/>
        <v>0</v>
      </c>
      <c r="JC85">
        <f t="shared" si="263"/>
        <v>0</v>
      </c>
      <c r="JD85" t="str">
        <f t="shared" si="264"/>
        <v/>
      </c>
      <c r="JE85" t="str">
        <f t="shared" si="265"/>
        <v/>
      </c>
      <c r="JF85" t="str">
        <f t="shared" si="266"/>
        <v/>
      </c>
      <c r="JG85" t="str">
        <f t="shared" si="267"/>
        <v/>
      </c>
      <c r="JH85" t="str">
        <f>IF(B85="","",IFERROR(_xlfn.XLOOKUP(B85,Коды_код,Коды_уго),IFERROR(_xlfn.XLOOKUP(BC85,Коды_код,Коды_уго),IFERROR(_xlfn.XLOOKUP(LEFT(BC85,2),Коды_код,Коды_уго),""))))</f>
        <v>Привод (двигатель)</v>
      </c>
      <c r="JI85" t="str">
        <f>IF(B85="","",IF(OR(JH85="",JH85=0),"BOX",IFERROR(IF(VLOOKUP(JH85,УГО_блоки,3,FALSE)&amp;""&lt;&gt;"",VLOOKUP(JH85,УГО_блоки,3,FALSE),VLOOKUP(JH85,УГО_блоки,2,FALSE)),JH85)))</f>
        <v>MOTOR</v>
      </c>
      <c r="JJ85">
        <f t="shared" si="268"/>
        <v>1</v>
      </c>
      <c r="JK85" t="str">
        <f>IF(DQ85="","",IF(COUNTIF(DQ$3:DQ85,DQ85)=1,MAX(JK$2:JK84)+1,""))</f>
        <v/>
      </c>
      <c r="JL85" t="str">
        <f>IF(DE85="","",IF(COUNTIF(DE$3:DE85,DE85)+COUNTIF(DF$2:DF84,DE85)+COUNTIF(DG$2:DG84,DE85)=1,MAX(JL$2:JN84)+1,""))</f>
        <v/>
      </c>
      <c r="JM85" t="str">
        <f>IF(DF85="","",IF(COUNTIF(DE$3:DE85,DF85)+COUNTIF(DF$3:DF85,DF85)+COUNTIF(DG$2:DG84,DF85)=1,MAX(JL$2:JN84,JL85)+1,""))</f>
        <v/>
      </c>
      <c r="JN85" t="str">
        <f>IF(DG85="","",IF(COUNTIF(DE$3:DE85,DG85)+COUNTIF(DF$3:DF85,DG85)+COUNTIF(DG$3:DG85,DG85)=1,MAX(JL$2:JN84,JL85,JM85)+1,""))</f>
        <v/>
      </c>
      <c r="JO85" t="str">
        <f t="shared" si="269"/>
        <v>5х25</v>
      </c>
      <c r="JP85" t="str">
        <f>IF(JO85="","",IF(COUNTIF(JO$3:JO85,JO85)=1,MAX(JP$2:JP84)+1,""))</f>
        <v/>
      </c>
      <c r="JQ85" t="str">
        <f>IF(HG85="","",COUNTIF(HG$3:HG85,"?*"))</f>
        <v/>
      </c>
      <c r="JR85" t="str">
        <f>IF(OR(HG85="",HI85=""),"",IF(COUNTIFS(HG$3:HG85,"?*",HI$3:HI85,HI85)=1,MAX(JR$2:JR84)+1,""))</f>
        <v/>
      </c>
      <c r="JS85">
        <f t="shared" si="270"/>
        <v>0</v>
      </c>
      <c r="JT85">
        <f>IF(B85="","",COUNTIF(B$3:B85,"?*"))</f>
        <v>83</v>
      </c>
      <c r="JU85">
        <f>IF(HL85&lt;&gt;1,0,_xlfn.LET(_xlpm.k,MAX(IFERROR(--_xlfn.XLOOKUP(B85,Коды_код,Коды_3L),0),IFERROR(--_xlfn.XLOOKUP(BC85,Коды_код,Коды_3L),0),IFERROR(--_xlfn.XLOOKUP(LEFT(BC85,2),Коды_код,Коды_3L),0)),IF(_xlpm.k&gt;0,_xlpm.k,IF(IFERROR(--LEFT(SUBSTITUTE(JO85,"x","х"),FIND("х",SUBSTITUTE(JO85,"x","х"))-1),3)&gt;3,Каталог!$S$9,1))))</f>
        <v>1</v>
      </c>
      <c r="JV85">
        <f t="shared" si="271"/>
        <v>2</v>
      </c>
      <c r="JW85" t="str">
        <f t="shared" si="272"/>
        <v>авто</v>
      </c>
      <c r="JX85" t="str">
        <f t="shared" si="273"/>
        <v/>
      </c>
      <c r="JY85">
        <f t="shared" si="274"/>
        <v>0</v>
      </c>
      <c r="JZ85">
        <f t="shared" si="275"/>
        <v>1</v>
      </c>
    </row>
    <row r="86" spans="1:286" x14ac:dyDescent="0.3">
      <c r="A86" t="s">
        <v>747</v>
      </c>
      <c r="B86" t="s">
        <v>1399</v>
      </c>
      <c r="C86" t="s">
        <v>1660</v>
      </c>
      <c r="D86">
        <v>1</v>
      </c>
      <c r="E86">
        <v>10.69</v>
      </c>
      <c r="G86">
        <v>25</v>
      </c>
      <c r="H86" t="str">
        <f>Линии[[#This Row],[_авто управление]]</f>
        <v/>
      </c>
      <c r="I86" t="str">
        <f>Линии[[#This Row],[_авто аппараты]]</f>
        <v/>
      </c>
      <c r="J86">
        <v>6</v>
      </c>
      <c r="K86">
        <v>47</v>
      </c>
      <c r="L86" t="str">
        <f>Линии[[#This Row],[_авто фаза]]</f>
        <v>L1,L2,L3</v>
      </c>
      <c r="M86" t="str">
        <f>Линии[[#This Row],[_авто клемма]]</f>
        <v>XT33</v>
      </c>
      <c r="N86" t="str">
        <f t="shared" si="138"/>
        <v/>
      </c>
      <c r="O86" s="6" cm="1">
        <f t="array" ref="O86">IF(B86="","",IF(BH86&lt;&gt;"",IFERROR(_xlfn.XLOOKUP(BH86,Щиты[Щит],Щиты[Iр, А]),""),IF(BP86=1,IF(OR(N(_xlfn.XLOOKUP(A86,Щиты[Щит],Щиты[Вводов],1))&lt;=1,LOWER(TRIM(_xlfn.XLOOKUP(A86,Щиты[Щит],Щиты[АВР],"")&amp;""))="да"),IFERROR(_xlfn.XLOOKUP(A86,Щиты[Щит],Щиты[Iр, А]),""),IFERROR(N(BS86)*_xlfn.XLOOKUP(A86,Щиты[Щит],Щиты[Кс итог])/(SQRT(3)*Uн_лин*_xlfn.XLOOKUP(A86,Щиты[Щит],Щиты[cos φ])),"")),IF(BV86=1,IFERROR(BS86*1000/BU86,""),IFERROR(_xlfn.IFS(BX86=1,BS86/((Uн_лин/SQRT(3))*CE86),BX86=3,BS86/(SQRT(3)*Uн_лин*CE86)),"")))))</f>
        <v>19.287107430115935</v>
      </c>
      <c r="P86" s="7">
        <f>IF(B86="","",IFERROR(IF(VLOOKUP(BC86,Потребители_обозначение,4,FALSE)=1,VLOOKUP(BC86,Потребители_обозначение,3,FALSE)*(MAX(1,N(D86))*2-1)+EI86+VLOOKUP(BE86,Этаж_обозначение,3,FALSE)+VLOOKUP(BE86,Этаж_обозначение,4,FALSE),VLOOKUP(BC86,Потребители_обозначение,3,FALSE)*(MAX(1,N(D86))*2-1)+EI86),EI86))</f>
        <v>47</v>
      </c>
      <c r="Q86" s="6">
        <f t="shared" si="139"/>
        <v>1.8399999999999999</v>
      </c>
      <c r="R86" t="str">
        <f t="shared" si="140"/>
        <v>ВВГнг(А)-LS (5х6)</v>
      </c>
      <c r="S86" t="str">
        <f>IF(BM86="","",IF(BN86="вводной узел","узел ","")&amp;"л."&amp;(INT((BM86-1)/Столбцов_на_лист)+1)&amp;" / "&amp;(MOD(BM86-1,Столбцов_на_лист)+1))</f>
        <v>л.4 / 9</v>
      </c>
      <c r="T86" s="119">
        <f t="shared" si="141"/>
        <v>8.1999999999999993</v>
      </c>
      <c r="U86" s="7" t="str">
        <f>IF(OR(CG86=0,N(BV86)+N(IB86)=0),"",ROUNDUP(Запас_БП*(N(HY86)+N(HZ86)),0))</f>
        <v/>
      </c>
      <c r="V86" s="119" t="str">
        <f t="shared" si="142"/>
        <v/>
      </c>
      <c r="W86" s="7" t="str">
        <f>IFERROR(IF(OR(B86="",BP86=1,BV86=1,NOT(ISNUMBER(EN86)),N(DT86)=0),"",MAX(0,ROUNDDOWN((c_min*(Uн_лин*1000/SQRT(3))/(HT86*N(DT86))-_xlfn.XLOOKUP(A86,Щиты[Щит],Щиты[Zпетли на шинах, Ом]))*EN86/(2*ρкз_Cu),0))),"")</f>
        <v/>
      </c>
      <c r="Y86" t="str">
        <f>Линии[[#This Row],[_авто утечка]]</f>
        <v/>
      </c>
      <c r="Z86">
        <v>3</v>
      </c>
      <c r="AA86">
        <v>400</v>
      </c>
      <c r="AB86" t="s">
        <v>598</v>
      </c>
      <c r="AC86">
        <v>0.5</v>
      </c>
      <c r="AG86" t="s">
        <v>810</v>
      </c>
      <c r="AI86" t="s">
        <v>576</v>
      </c>
      <c r="AK86" t="str">
        <f>Линии[[#This Row],[_авто модуль]]</f>
        <v/>
      </c>
      <c r="AM86">
        <v>60</v>
      </c>
      <c r="AN86" t="s">
        <v>11</v>
      </c>
      <c r="AO86">
        <v>5</v>
      </c>
      <c r="AQ86">
        <v>0</v>
      </c>
      <c r="AR86">
        <v>43</v>
      </c>
      <c r="AS86">
        <v>0</v>
      </c>
      <c r="AT86">
        <v>1</v>
      </c>
      <c r="BA86" cm="1">
        <f t="array" ref="BA86">ROW()-ROW(Линии[#Headers])</f>
        <v>84</v>
      </c>
      <c r="BC86" s="6" t="str">
        <f t="shared" si="143"/>
        <v>НБ-3</v>
      </c>
      <c r="BD86" t="str">
        <f t="shared" si="144"/>
        <v/>
      </c>
      <c r="BE86" t="str">
        <f t="shared" si="145"/>
        <v/>
      </c>
      <c r="BF86" t="str">
        <f t="shared" si="146"/>
        <v/>
      </c>
      <c r="BG86" t="str">
        <f t="shared" si="147"/>
        <v/>
      </c>
      <c r="BH86" t="str">
        <f>IF(X86&lt;&gt;"",X86,IF(AND(B86&lt;&gt;"",B86&lt;&gt;A86,ISNUMBER(_xlfn.XMATCH(B86,Щиты[Щит]))),B86,""))</f>
        <v/>
      </c>
      <c r="BI86" t="str" cm="1">
        <f t="array" ref="BI86">IF(B86="","",IF(BH86&lt;&gt;"","Щит "&amp;BH86,_xlfn.LET(_xlpm.nm,IFERROR(_xlfn.XLOOKUP(BC86,Коды_код,Коды_имя)&amp;"",""),_xlpm.md,IFERROR(N(_xlfn.XLOOKUP(BC86,Коды_код,Коды_режим)),1),_xlpm.ex,IF(Имя_режим="по экспликации",IFERROR(_xlfn.XLOOKUP(BE86&amp;"|"&amp;BG86,Экспликация[Этаж]&amp;"|"&amp;Экспликация[Помещение],Экспликация[Название])&amp;"",""),""),_xlpm.rm,IF(BG86="","",IF(_xlpm.ex&lt;&gt;"",". "&amp;_xlpm.ex&amp;IF(Имя_пом="нет"," ("&amp;BG86&amp;")"," (пом. "&amp;BG86&amp;")"),IF(Имя_пом="нет"," ",", пом. ")&amp;BG86)),IF(_xlpm.nm="","",IF(_xlpm.md=2,_xlpm.nm&amp;" шлейф "&amp;BE86,_xlpm.nm&amp;_xlpm.rm)))))</f>
        <v/>
      </c>
      <c r="BJ86" t="str">
        <f t="shared" si="148"/>
        <v>Внешний блок кондиционирования Пом. Венткиосок</v>
      </c>
      <c r="BK86">
        <f>IFERROR(_xlfn.XMATCH(A86,Щиты[Щит]),0)</f>
        <v>4</v>
      </c>
      <c r="BL86">
        <f>_xlfn.LET(_xlpm.k,IFERROR(_xlfn.XLOOKUP(A86,Щиты[Щит],Щиты[Мест под вводной узел]),""),IF(_xlpm.k="",Столбцов_на_лист,N(_xlpm.k)))</f>
        <v>13</v>
      </c>
      <c r="BM86">
        <f t="shared" si="149"/>
        <v>60</v>
      </c>
      <c r="BN86" t="str">
        <f t="shared" si="150"/>
        <v>линии</v>
      </c>
      <c r="BO86" s="6">
        <f>IFERROR(N(_xlfn.XLOOKUP(BC86,Коды_код,Коды_квт)),0)</f>
        <v>0</v>
      </c>
      <c r="BP86">
        <f t="shared" si="151"/>
        <v>0</v>
      </c>
      <c r="BQ86" t="str">
        <f>IF(B86="","",IF(BH86&lt;&gt;"",IFERROR(_xlfn.XLOOKUP(BH86,Щиты[Щит],Щиты[Руст, кВт]),0),IF(BP86=1,IF(OR(N(_xlfn.XLOOKUP(A86,Щиты[Щит],Щиты[Вводов],1))&lt;=1,LOWER(TRIM(_xlfn.XLOOKUP(A86,Щиты[Щит],Щиты[АВР],"")&amp;""))="да"),IFERROR(_xlfn.XLOOKUP(A86,Щиты[Щит],Щиты[Руст, кВт]),0),SUMIFS(Линии[_Р для вводов],Линии[Щит],A86,Линии[Источник для режимов],GF86)),IF(BO86&gt;0,ROUND(BO86*MAX(1,N(D86)),3),""))))</f>
        <v/>
      </c>
      <c r="BR86">
        <f t="shared" si="152"/>
        <v>10.69</v>
      </c>
      <c r="BS86" s="6">
        <f>IF(B86="","",IF(BH86&lt;&gt;"",IFERROR(_xlfn.XLOOKUP(BH86,Щиты[Щит],Щиты[Руст, кВт]),0),N(BR86)))</f>
        <v>10.69</v>
      </c>
      <c r="BT86" t="str">
        <f>IF(B86="","",IFERROR(IF(VLOOKUP(BC86,Потребители_обозначение,8,FALSE)=0,"",VLOOKUP(BC86,Потребители_обозначение,8,FALSE)),""))</f>
        <v/>
      </c>
      <c r="BU86">
        <f t="shared" si="153"/>
        <v>400</v>
      </c>
      <c r="BV86">
        <f t="shared" si="154"/>
        <v>0</v>
      </c>
      <c r="BW86">
        <f>IF(B86="","",IF(BH86&lt;&gt;"",3,IFERROR(IF(N(VLOOKUP(BC86,Потребители_обозначение,9,FALSE))=0,1,VLOOKUP(BC86,Потребители_обозначение,9,FALSE)),1)))</f>
        <v>1</v>
      </c>
      <c r="BX86">
        <f t="shared" si="155"/>
        <v>3</v>
      </c>
      <c r="BY86" t="str">
        <f>IF(B86="","",_xlfn.LET(_xlpm.bc,IFERROR(IF(VLOOKUP(BC86,Потребители_обозначение,6,FALSE)=0,"",VLOOKUP(BC86,Потребители_обозначение,6,FALSE)&amp;""),""),IF(AND(GA86="да",OR(_xlpm.bc="",_xlpm.bc="мс")),Марка_пож,IF(AND(_xlpm.bc="",BH86&lt;&gt;""),"мс",_xlpm.bc))))</f>
        <v/>
      </c>
      <c r="BZ86" t="str">
        <f t="shared" si="156"/>
        <v>мс</v>
      </c>
      <c r="CA86">
        <f>IF(B86="","",_xlfn.LET(_xlpm.cc,IFERROR(N(VLOOKUP(BC86,Потребители_обозначение,7,FALSE)),0),IF(_xlpm.cc&gt;0,_xlpm.cc,IF(BZ86="","",IF(BV86=1,2,IF(N(BX86)=3,5,3))))))</f>
        <v>5</v>
      </c>
      <c r="CB86">
        <f t="shared" si="157"/>
        <v>5</v>
      </c>
      <c r="CC86">
        <f>IFERROR(N(VLOOKUP(BC86,Потребители_обозначение,10,FALSE)),0)</f>
        <v>0</v>
      </c>
      <c r="CD86">
        <f>IFERROR(VLOOKUP(BC86,Потребители_обозначение,5,FALSE),0)</f>
        <v>0</v>
      </c>
      <c r="CE86" s="6" cm="1">
        <f t="array" ref="CE86">IF(B86="","",IF(BH86&lt;&gt;"",IFERROR(_xlfn.XLOOKUP(BH86,Щиты[Щит],Щиты[cos φ]),0.95),IF(BP86=1,IFERROR(_xlfn.XLOOKUP(A86,Щиты[Щит],Щиты[cos φ]),0.95),IF(ISNUMBER(AD86),AD86,IFERROR(IF(CD86=2,_xlfn.IFS(BX86=3,VLOOKUP(BS86,Справочная_двигатели,8,FALSE),BX86=1,VLOOKUP(BS86,Справочная_двигатели,10,TRUE)),IF(AND(Методика="нормы 2026",FG86="Сил"),0.8,0.95)),0.95)))))</f>
        <v>0.8</v>
      </c>
      <c r="CF86">
        <f t="shared" si="158"/>
        <v>0</v>
      </c>
      <c r="CG86">
        <f t="shared" si="159"/>
        <v>1</v>
      </c>
      <c r="CH86">
        <f t="shared" si="160"/>
        <v>0</v>
      </c>
      <c r="CI86">
        <f>IF(B86="","",IF(BV86=1,IFERROR(BS86/((Uн_лин/SQRT(3))*MAX(0.5,N(CE86))),0),N(O86)))</f>
        <v>19.287107430115935</v>
      </c>
      <c r="CJ86">
        <f t="shared" si="161"/>
        <v>0</v>
      </c>
      <c r="CK86">
        <f t="shared" si="162"/>
        <v>0</v>
      </c>
      <c r="CL86">
        <f t="shared" si="163"/>
        <v>0</v>
      </c>
      <c r="CM86">
        <f t="shared" si="164"/>
        <v>0</v>
      </c>
      <c r="CN86">
        <f t="shared" si="165"/>
        <v>0</v>
      </c>
      <c r="CO86">
        <f>IF(BC86="",0,_xlfn.LET(_xlpm.v,IFERROR(_xlfn.XLOOKUP(B86,Коды_код,Коды_мА),IFERROR(_xlfn.XLOOKUP(BC86,Коды_код,Коды_мА),IFERROR(_xlfn.XLOOKUP(LEFT(BC86,2),Коды_код,Коды_мА),""))),IF(_xlpm.v="да",30,IF(ISNUMBER(_xlpm.v),_xlpm.v,0))))</f>
        <v>0</v>
      </c>
      <c r="CP86" t="str">
        <f t="shared" si="166"/>
        <v/>
      </c>
      <c r="CQ86" t="str">
        <f>_xlfn.LET(_xlpm.k,IFERROR(_xlfn.XLOOKUP(BC86,Коды_код,Коды_утечка)&amp;"",""),IF(_xlpm.k="","дифавтомат",_xlpm.k))</f>
        <v>дифавтомат</v>
      </c>
      <c r="CR86" t="str" cm="1">
        <f t="array" ref="CR86">IF(CG86=0,"",_xlfn.LET(_xlpm.sg,TRIM(_xlfn.TEXTSPLIT(DD86&amp;"",";")),_xlpm.f_,_xlfn._xlws.FILTER(_xlpm.sg,LEFT(_xlpm.sg,3)="УЗО",""),IFERROR(INDEX(_xlpm.f_,1)&amp;"","")))</f>
        <v/>
      </c>
      <c r="CS86" t="str">
        <f t="shared" si="167"/>
        <v/>
      </c>
      <c r="CT86" s="6" t="str" cm="1">
        <f t="array" ref="CT86">IF(CR86="","",_xlfn.LET(_xlpm.tk,_xlfn.TEXTSPLIT(UPPER(CR86)," ",,TRUE),_xlpm.a_,_xlfn._xlws.FILTER(_xlpm.tk,ISNUMBER(--LEFT(_xlpm.tk,1))*((ISNUMBER(SEARCH("А",_xlpm.tk))+ISNUMBER(SEARCH("A",_xlpm.tk)))&gt;0)*NOT(ISNUMBER(SEARCH("МА",_xlpm.tk)))*NOT(ISNUMBER(SEARCH("MA",_xlpm.tk))),""),IFERROR(--SUBSTITUTE(SUBSTITUTE(INDEX(_xlpm.a_,1),"А",""),"A",""),"")))</f>
        <v/>
      </c>
      <c r="CU86" t="str" cm="1">
        <f t="array" ref="CU86">IF(CR86="","",_xlfn.LET(_xlpm.tk,_xlfn.TEXTSPLIT(UPPER(CR86)," ",,TRUE),_xlpm.a_,_xlfn._xlws.FILTER(_xlpm.tk,ISNUMBER(--LEFT(_xlpm.tk,1))*((ISNUMBER(SEARCH("МА",_xlpm.tk))+ISNUMBER(SEARCH("MA",_xlpm.tk)))&gt;0),""),IFERROR(--SUBSTITUTE(SUBSTITUTE(INDEX(_xlpm.a_,1),"МА",""),"MA",""),30)))</f>
        <v/>
      </c>
      <c r="CV86" t="str">
        <f>IF(CS86="","",IFERROR(_xlfn.XLOOKUP(CS86,Линии[_n],Линии[_УЗО, мА]),30))</f>
        <v/>
      </c>
      <c r="CW86">
        <f>IF(CS86="",0,IF(ISNUMBER(SEARCH("4P",IFERROR(_xlfn.XLOOKUP(CS86,Линии[_n],Линии[_УЗО строки])&amp;"",""))),0,1))</f>
        <v>0</v>
      </c>
      <c r="CX86" t="str">
        <f>IF(AND(CS86&lt;&gt;"",CS86=BA86),SUMIFS(Линии[_ток на 230 В],Линии[_блок УЗО],BA86,Линии[Щит],A86),"")</f>
        <v/>
      </c>
      <c r="CY86" t="str">
        <f>IF(AND(CS86&lt;&gt;"",CS86=BA86),SUMIFS(Линии[_ток утечки линии, мА],Линии[_блок УЗО],BA86,Линии[Щит],A86),"")</f>
        <v/>
      </c>
      <c r="CZ86">
        <f t="shared" si="168"/>
        <v>0</v>
      </c>
      <c r="DA86">
        <f t="shared" si="169"/>
        <v>0</v>
      </c>
      <c r="DB86">
        <f>IF(B86="",0,IFERROR(--_xlfn.XLOOKUP(B86,Коды_код,Коды_минавт),IFERROR(--_xlfn.XLOOKUP(BC86,Коды_код,Коды_минавт),IFERROR(--_xlfn.XLOOKUP(LEFT(BC86,2),Коды_код,Коды_минавт),0))))</f>
        <v>0</v>
      </c>
      <c r="DC86" t="str">
        <f>IF(B86="","",IFERROR(_xlfn.XLOOKUP(BC86,Коды_код,Коды_апп)&amp;"",""))</f>
        <v/>
      </c>
      <c r="DD86" t="str">
        <f t="shared" si="170"/>
        <v/>
      </c>
      <c r="DE86" t="str" cm="1">
        <f t="array" ref="DE86">IF(TRIM(DD86&amp;"")="","",IFERROR(TRIM(INDEX(_xlfn.TEXTSPLIT(DD86&amp;";;;",";"),1)),""))</f>
        <v/>
      </c>
      <c r="DF86" t="str" cm="1">
        <f t="array" ref="DF86">IF(TRIM(DD86&amp;"")="","",IFERROR(TRIM(INDEX(_xlfn.TEXTSPLIT(DD86&amp;";;;",";"),2)),""))</f>
        <v/>
      </c>
      <c r="DG86" t="str" cm="1">
        <f t="array" ref="DG86">IF(TRIM(DD86&amp;"")="","",IFERROR(TRIM(INDEX(_xlfn.TEXTSPLIT(DD86&amp;";;;",";"),3)),""))</f>
        <v/>
      </c>
      <c r="DH86">
        <f t="shared" si="171"/>
        <v>0</v>
      </c>
      <c r="DI86" t="str">
        <f>IF(B86="","",_xlfn.LET(_xlpm.t,LOWER(AZ86&amp;""),IF(ISNUMBER(SEARCH("dim",_xlpm.t)),"DIM",IF(ISNUMBER(SEARCH("dali",_xlpm.t)),"DALI",IF(OR(ISNUMBER(SEARCH("relay",_xlpm.t)),ISNUMBER(SEARCH("реле",_xlpm.t))),"Relay",IF(ISNUMBER(SEARCH("кнопк",_xlpm.t)),"",IFERROR(_xlfn.XLOOKUP(BC86,Коды_код,Коды_упр)&amp;"","")))))))</f>
        <v/>
      </c>
      <c r="DJ86" t="str">
        <f t="shared" si="172"/>
        <v/>
      </c>
      <c r="DK86">
        <f>IF(B86="","",_xlfn.LET(_xlpm.ig,IF(N(CX86)&gt;0,N(CX86),N(CI86)+IF(AJ86="вручную",0,N(CJ86))),_xlpm.n0,IFERROR(VLOOKUP(_xlpm.ig,Автомат_номиналы,2,TRUE),0),_xlpm.mn,MAX(DB86,IF(AJ86="вручную",0,N(CM86))),MAX(_xlpm.n0,_xlpm.mn,IF(DH86=1,Мин_автомат_БП,0))))</f>
        <v>25</v>
      </c>
      <c r="DL86">
        <f t="shared" si="173"/>
        <v>3</v>
      </c>
      <c r="DM86" t="str">
        <f t="shared" si="174"/>
        <v>3P</v>
      </c>
      <c r="DN86" t="str">
        <f>_xlfn.LET(_xlpm.cc,UPPER(TRIM(IFERROR(_xlfn.XLOOKUP(BC86,Коды_код,Коды_хар)&amp;"",""))),IF(OR(_xlpm.cc="B",_xlpm.cc="В"),"B",IF(_xlpm.cc="D","D","С")))</f>
        <v>С</v>
      </c>
      <c r="DO86" t="str">
        <f t="shared" si="175"/>
        <v>3P С25А</v>
      </c>
      <c r="DP86">
        <f t="shared" si="176"/>
        <v>25</v>
      </c>
      <c r="DQ86" t="str">
        <f t="shared" si="177"/>
        <v>3P С25А</v>
      </c>
      <c r="DR86" cm="1">
        <f t="array" ref="DR86">IF(DQ86="","",_xlfn.LET(_xlpm.t,SUBSTITUTE(SUBSTITUTE(SUBSTITUTE(UPPER(DQ86),"С","C"),"А","A"),"В","B"),_xlpm.tk,_xlfn.TEXTSPLIT(_xlpm.t," "),_xlpm.f,_xlfn._xlws.FILTER(_xlpm.tk,ISNUMBER(--MID(_xlpm.tk,2,1))*ISNUMBER(SEARCH(LEFT(_xlpm.tk,1)&amp;"#","B#C#D#"))*(LEN(_xlpm.tk)&gt;1),""),_xlpm.x,INDEX(_xlpm.f,1),IFERROR(--SUBSTITUTE(MID(_xlpm.x,2,9),"A",""),IFERROR(--SUBSTITUTE(INDEX(_xlfn._xlws.FILTER(_xlpm.tk,ISNUMBER(--SUBSTITUTE(_xlpm.tk,"A","")),""),1),"A",""),""))))</f>
        <v>25</v>
      </c>
      <c r="DS86" t="str">
        <f t="shared" si="178"/>
        <v>ok</v>
      </c>
      <c r="DT86">
        <f t="shared" si="179"/>
        <v>25</v>
      </c>
      <c r="DU86" t="str">
        <f t="shared" si="180"/>
        <v>3P С25А</v>
      </c>
      <c r="DV86">
        <f t="shared" si="181"/>
        <v>0</v>
      </c>
      <c r="DW86">
        <f t="shared" si="182"/>
        <v>0</v>
      </c>
      <c r="DX86">
        <f t="shared" si="183"/>
        <v>0</v>
      </c>
      <c r="DY86">
        <f t="shared" si="184"/>
        <v>19.287107430115935</v>
      </c>
      <c r="DZ86">
        <f t="shared" si="185"/>
        <v>0.92</v>
      </c>
      <c r="EA86">
        <f>IF(ISNUMBER(AP86),AP86,К_прокл)</f>
        <v>1</v>
      </c>
      <c r="EB86">
        <f t="shared" si="186"/>
        <v>3</v>
      </c>
      <c r="EC86">
        <f>IFERROR(N(VLOOKUP(BZ86,Кабель_обозначение,3,FALSE)),1)</f>
        <v>1</v>
      </c>
      <c r="ED86">
        <f>IFERROR(N(_xlfn.XLOOKUP(A86,Щиты[Щит],Щиты[ΔU до шин, %])),0)</f>
        <v>0.64</v>
      </c>
      <c r="EE86" t="str">
        <f>IFERROR(_xlfn.XLOOKUP(A86,Щиты[Щит],Щиты[Zпетли на шинах, Ом]),"")</f>
        <v/>
      </c>
      <c r="EF86">
        <f>IFERROR(N(_xlfn.XLOOKUP(A86,Щиты[Щит],Щиты[ΔU до шин (подбор), %])),0)</f>
        <v>0.75</v>
      </c>
      <c r="EG86" t="str">
        <f>IFERROR(_xlfn.XLOOKUP(A86,Щиты[Щит],Щиты[Zпетли на шинах (подбор), Ом]),"")</f>
        <v/>
      </c>
      <c r="EH86" t="str">
        <f t="shared" si="187"/>
        <v/>
      </c>
      <c r="EI86">
        <f t="shared" si="188"/>
        <v>47</v>
      </c>
      <c r="EJ86">
        <f t="shared" si="189"/>
        <v>1</v>
      </c>
      <c r="EK86">
        <f t="shared" si="190"/>
        <v>0.6</v>
      </c>
      <c r="EL86" s="6">
        <f>IF(B86="","",IF(BV86=1,dU_LED,IF(IFERROR(_xlfn.XLOOKUP(BC86,Коды_код,Коды_уго),"")="Светильник",3,4)+IF(Методика="нормы 2026",MIN(0.5,MAX(0,N(P86)-100)*0.005),0)))</f>
        <v>4</v>
      </c>
      <c r="EM86" cm="1">
        <f t="array" ref="EM86">IF(OR(B86="",BZ86="",EC86&lt;&gt;1),"",_xlfn.LET(_xlpm.sz,Iдоп_S,_xlpm.t_,CHOOSE(EB86,Iдоп_1ж,Iдоп_2ж,Iдоп_3ж)*DZ86*EA86,_xlpm.dcx,BV86=1,_xlpm.inn,IF(_xlpm.dcx,N(O86),N(DT86)),_xlpm.smin,MAX(1.5,CC86),_xlpm.L_,N(P86)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86)/N(BU86)*100,999),IFERROR(N(EJ86)*(_xlpm.rho*_xlpm.L_/_xlpm.sz*N(CE86)+_xlpm.xx*_xlpm.L_*N(EK86)/1000)*N(O86)/((Uн_лин/SQRT(3))*1000)*100,999)),_xlpm.kz,IF(OR(_xlpm.dcx,DW86=1,NOT(ISNUMBER(EG86)),_xlpm.L_=0,_xlpm.inn=0),1,IFERROR(--(c_min*(Uн_лин*1000/SQRT(3))/(EG86+2*ρкз_Cu*_xlpm.L_/_xlpm.sz)&gt;=HT86*_xlpm.inn),0)),_xlpm.ok,IFERROR((_xlpm.sz&gt;=_xlpm.smin)*(_xlpm.t_&gt;=_xlpm.inn)*IF(_xlpm.L_&gt;0,(_xlpm.du_+IF(_xlpm.dcx,0,EF86)&lt;=EL86+0.00001),1)*_xlpm.kz,0),_xlpm.r_,_xlfn._xlws.FILTER(_xlpm.sz,_xlpm.ok,"не подобрано"),INDEX(_xlpm.r_,1)))</f>
        <v>4</v>
      </c>
      <c r="EN86">
        <f t="shared" si="191"/>
        <v>6</v>
      </c>
      <c r="EO86" cm="1">
        <f t="array" ref="EO86">IF(OR(B86="",BZ86="",EC86&lt;&gt;1),"",_xlfn.LET(_xlpm.sz,Iдоп_S,_xlpm.t_,CHOOSE(EB86,Iдоп_1ж,Iдоп_2ж,Iдоп_3ж)*DZ86*EA86,_xlpm.ok,IFERROR((_xlpm.sz&gt;=MAX(1.5,CC86))*(_xlpm.t_&gt;=N(DT86)),0),_xlpm.r_,_xlfn._xlws.FILTER(_xlpm.sz,_xlpm.ok,""),INDEX(_xlpm.r_,1)))</f>
        <v>4</v>
      </c>
      <c r="EP86" s="6" cm="1">
        <f t="array" ref="EP86">IFERROR(ROUNDUP(N(EJ86)*(_xlfn.XLOOKUP(EO86,INDEX(Кабель_сопротивление,0,1),INDEX(Кабель_сопротивление,0,3))*N(P86)/EO86*N(CE86)+_xlfn.XLOOKUP(EO86,INDEX(Кабель_сопротивление,0,1),INDEX(Кабель_сопротивление,0,2))*N(P86)*N(EK86)/1000)*N(O86)/((Uн_лин/SQRT(3))*1000)*100,2),"")</f>
        <v>1.79</v>
      </c>
      <c r="EQ86">
        <f>IFERROR(2*ρкз_Cu*N(P86)/EO86,"")</f>
        <v>0.61804999999999999</v>
      </c>
      <c r="ER86">
        <f>IFERROR(VLOOKUP(EN86,Кабель_сопротивление,3,FALSE),"")</f>
        <v>2.2499999999999999E-2</v>
      </c>
      <c r="ES86">
        <f>IFERROR(VLOOKUP(EN86,Кабель_сопротивление,2,FALSE),"")</f>
        <v>0.09</v>
      </c>
      <c r="ET86">
        <f t="shared" si="192"/>
        <v>43</v>
      </c>
      <c r="EU86">
        <f t="shared" si="193"/>
        <v>0</v>
      </c>
      <c r="EV86">
        <f t="shared" si="194"/>
        <v>2.768432826303981</v>
      </c>
      <c r="EW86" s="6">
        <f>IFERROR(ROUNDUP(EV86/IF(BV86=1,BU86,(Uн_лин/SQRT(3))*1000)*100,2),"")</f>
        <v>1.2</v>
      </c>
      <c r="EX86" t="str">
        <f>IFERROR(VLOOKUP(BZ86,Кабель_обозначение,2,FALSE),"")</f>
        <v>ВВГнг(А)-LS</v>
      </c>
      <c r="EY86" t="str">
        <f t="shared" si="195"/>
        <v>ВВГнг(А)-LS (5х6)</v>
      </c>
      <c r="EZ86" t="str">
        <f t="shared" si="196"/>
        <v>ВВГнг(А)-LS (5х6)
L=47-1,2%</v>
      </c>
      <c r="FA86">
        <f>IFERROR(2*ρкз_Cu*P86/EN86,"")</f>
        <v>0.41203333333333331</v>
      </c>
      <c r="FB86">
        <f t="shared" si="197"/>
        <v>0.13708333333333336</v>
      </c>
      <c r="FC86" s="6" t="str">
        <f>IFERROR(IF(OR(B86="",BV86=1,NOT(ISNUMBER(EN86)),N(P86)=0),"",_xlfn.XLOOKUP(A86,Щиты[Щит],Щиты[Zпетли на шинах, Ом])+FA86),"")</f>
        <v/>
      </c>
      <c r="FD86" s="6" t="str">
        <f>IF(ISNUMBER(FC86),c_min*(Uн_лин*1000/SQRT(3))/FC86,"")</f>
        <v/>
      </c>
      <c r="FE86" s="6" t="str">
        <f>IFERROR(IF(OR(B86="",NOT(ISNUMBER(EN86))),"",1.05*(Uн_лин*1000/SQRT(3))/(_xlfn.XLOOKUP(A86,Щиты[Щит],Щиты[Zmax на шинах, Ом])+FB86)/1000),"")</f>
        <v/>
      </c>
      <c r="FF86" s="6" t="str">
        <f>IF(B86="","",IF(ISNUMBER(AC86),"Сил",IF(IFERROR(_xlfn.XLOOKUP(BC86,Коды_код,Коды_группа)&amp;"","")="","Быт",_xlfn.XLOOKUP(BC86,Коды_код,Коды_группа)&amp;"")))</f>
        <v>Сил</v>
      </c>
      <c r="FG86" s="6" t="str">
        <f t="shared" si="198"/>
        <v>Сил</v>
      </c>
      <c r="FH86" s="6">
        <f>IF(FG86="Щит","щит",IF(FG86="","",IF(FG86="Быт",IFERROR(_xlfn.XLOOKUP(A86,Щиты[Щит],Щиты[Кс быт]),1),IF(FG86="Сил",IF(ISNUMBER(AC86),AC86,IF(Методика="нормы 2026",IFERROR(_xlfn.XLOOKUP(A86,Щиты[Щит],Щиты[Кс силовых (табл. 7.5)]),1),1)),IF(OR(FG86="Пост",FG86="Отоп"),1,IF(FG86="ВНГ",0.7,0))))))</f>
        <v>0.5</v>
      </c>
      <c r="FI86">
        <f>IF(FG86="","",IF(AND(BP86=1,TRIM(AE86&amp;"")=""),IF(COUNTIFS(Линии[Щит],A86,Линии[Секция (1/2/3)],"&gt;=2")&gt;0,MIN(3,MAX(1,IFERROR(--BD86,1))),1),IFERROR(MIN(3,MAX(1,INT(--AE86))),1)))</f>
        <v>1</v>
      </c>
      <c r="FJ86">
        <f t="shared" si="199"/>
        <v>10.69</v>
      </c>
      <c r="FK86">
        <f t="shared" si="200"/>
        <v>0</v>
      </c>
      <c r="FL86">
        <f t="shared" si="201"/>
        <v>5.3449999999999998</v>
      </c>
      <c r="FM86">
        <f t="shared" si="202"/>
        <v>0</v>
      </c>
      <c r="FN86">
        <f t="shared" si="203"/>
        <v>0</v>
      </c>
      <c r="FO86">
        <f t="shared" si="204"/>
        <v>0</v>
      </c>
      <c r="FP86">
        <f t="shared" si="205"/>
        <v>10.69</v>
      </c>
      <c r="FQ86">
        <f t="shared" si="206"/>
        <v>10.69</v>
      </c>
      <c r="FR86">
        <f t="shared" si="207"/>
        <v>8.5519999999999996</v>
      </c>
      <c r="FS86">
        <f>IF(CG86=1,IF(AND(CH86=1,CW86=1),0,IF(AND(CS86&lt;&gt;"",CS86=BA86,CW86=1),SUMIFS(Линии[_Р линии, кВт],Линии[_блок УЗО],BA86,Линии[Щит],A86),N(BS86)+IF(AJ86="вручную",0,N(CK86)))),0)</f>
        <v>10.69</v>
      </c>
      <c r="FT86" t="str">
        <f t="shared" si="208"/>
        <v/>
      </c>
      <c r="FU86" t="str">
        <f>IF(B86="","",IF(CG86=0,IF(BA86=1,"",FW85),IF(AND(CH86=1,CW86=1,CS86&lt;&gt;""),IFERROR(_xlfn.XLOOKUP(CS86,Линии[_n],Линии[_фаза итог]),"L1"),IF(OR(N(DL86)&gt;=3,N(BX86)&gt;=3),"L1,L2,L3",IFERROR(_xlfn.TEXTBEFORE(_xlfn.TEXTAFTER(_xlfn.XLOOKUP(A86,Щиты[Щит],Щиты[_фазы авто]),";"&amp;BA86&amp;":"),";"),"L1")))))</f>
        <v>L1,L2,L3</v>
      </c>
      <c r="FV86" t="str">
        <f t="shared" si="209"/>
        <v>L1,L2,L3</v>
      </c>
      <c r="FW86" t="str">
        <f t="shared" si="210"/>
        <v>L1,L2,L3</v>
      </c>
      <c r="FX86" cm="1">
        <f t="array" ref="FX86">IFERROR(IF(CD86=2,_xlfn.IFS(BX86=3,VLOOKUP(BS86,Справочная_двигатели,3,FALSE),BX86=1,VLOOKUP(BS86,Справочная_двигатели,5,TRUE)),0),0)</f>
        <v>0</v>
      </c>
      <c r="FY86">
        <f>IFERROR(IF(CD86=3,VLOOKUP(BS86,Справочная_ЛЭД,2,TRUE),0),0)</f>
        <v>0</v>
      </c>
      <c r="FZ86" s="6">
        <f t="shared" si="211"/>
        <v>0</v>
      </c>
      <c r="GA86" t="str">
        <f>IF(B86="","",IF(TRIM(AH86&amp;"")&lt;&gt;"",IF(LOWER(TRIM(AH86&amp;""))="да","да","нет"),IF(IFERROR(_xlfn.XLOOKUP(BC86,Коды_код,Коды_пожарная),"")="да","да","нет")))</f>
        <v>нет</v>
      </c>
      <c r="GB86" t="str">
        <f t="shared" si="212"/>
        <v/>
      </c>
      <c r="GC86" t="str">
        <f t="shared" si="213"/>
        <v>основная</v>
      </c>
      <c r="GD86">
        <f>IF(AND(BP86=1,TRIM(AE86&amp;"")=""),IF(COUNTIFS(Линии[Щит],A86,Линии[Секция (1/2/3)],"&gt;=2")&gt;0,MIN(3,MAX(1,IFERROR(--BD86,1))),1),IFERROR(MIN(3,MAX(1,INT(--AE86))),1))</f>
        <v>1</v>
      </c>
      <c r="GE86" t="str" cm="1">
        <f t="array" ref="GE86">IF(B86="","",_xlfn.LET(_xlpm.t,IFERROR(_xlfn.XLOOKUP(1,(Шины[Шина]=GC86)*(((Шины[Щит]=A86)+(Шины[Щит]=""))&gt;0),Шины[Тип]),"")&amp;"",IF(_xlpm.t&lt;&gt;"",_xlpm.t,IF(ISNUMBER(SEARCH("ИБП",GC86)),"ИБП",IF(ISNUMBER(SEARCH("ДГУ",GC86)),"ДГУ","Ввод "&amp;GD86)))))</f>
        <v>Ввод 1</v>
      </c>
      <c r="GF86" t="str">
        <f t="shared" si="214"/>
        <v>Ввод 1</v>
      </c>
      <c r="GG86" t="str">
        <f>IF(BP86=0,"",IF(TRIM(AG86&amp;"")&lt;&gt;"",TRIM(AG86&amp;""),IF(OR(GE86="ИБП",GE86="ДГУ"),"I особая",_xlfn.XLOOKUP(A86,Щиты[Щит],Щиты[Категория шины «Ввод»],"III"))))</f>
        <v/>
      </c>
      <c r="GH86" t="str">
        <f>IF(A86="","",_xlfn.XLOOKUP(A86,Щиты[Щит],Щиты[Путь],""))</f>
        <v>|ГРЩ-ЖД|ЩОВ-001|</v>
      </c>
      <c r="GI86" t="str">
        <f>IF(B86="","",IF(AI86&lt;&gt;"",AI86,IF(IFERROR(_xlfn.XLOOKUP(BC86,Коды_код,Коды_вид)&amp;"","")="","Прочее",_xlfn.XLOOKUP(BC86,Коды_код,Коды_вид)&amp;"")))</f>
        <v>Кондиционирование и увлажнение</v>
      </c>
      <c r="GJ86">
        <f>IF(BM86="","",INT((BM86-1)/Столбцов_на_лист)+1)</f>
        <v>4</v>
      </c>
      <c r="GK86" t="str">
        <f t="shared" si="215"/>
        <v>ВВГнг(А)-LS (5х6) L=47-1,2%</v>
      </c>
      <c r="GL86">
        <f t="shared" si="216"/>
        <v>10.69</v>
      </c>
      <c r="GM86">
        <f t="shared" si="217"/>
        <v>19.290000000000003</v>
      </c>
      <c r="GN86">
        <f t="shared" si="218"/>
        <v>3</v>
      </c>
      <c r="GO86">
        <f t="shared" si="219"/>
        <v>0</v>
      </c>
      <c r="GP86">
        <f t="shared" si="220"/>
        <v>1</v>
      </c>
      <c r="GQ86">
        <f>IF(BM86="","",IF(AND(CG86=1,GP86=1),COUNTIFS(A$3:A86,A86,CG$3:CG86,1,GP$3:GP86,1),IF(OR(OR(BA86=1,A86&lt;&gt;A85),AJ86="вручную",GP86=0),"",IF(BA86=1,"",GR85))))</f>
        <v>33</v>
      </c>
      <c r="GR86">
        <f t="shared" si="221"/>
        <v>33</v>
      </c>
      <c r="GS86">
        <f>IF(B86="","",IFERROR(LOOKUP(INDEX(CHOOSE(EB86,Iдоп_1ж,Iдоп_2ж,Iдоп_3ж),MATCH(EN86,Iдоп_S,0))*DZ86*EA86,{6,10,16,20,25,32,40,50,63,80,100,125,160,200,250,315,400,500,630}),""))</f>
        <v>32</v>
      </c>
      <c r="GT86" t="str">
        <f t="shared" si="222"/>
        <v>QF33</v>
      </c>
      <c r="GU86" t="str">
        <f t="shared" si="223"/>
        <v>QF33</v>
      </c>
      <c r="GV86" t="str">
        <f t="shared" si="224"/>
        <v/>
      </c>
      <c r="GW86">
        <f t="shared" si="225"/>
        <v>0</v>
      </c>
      <c r="GX86" t="str">
        <f>IF(OR(B86="",DJ86=""),"",IFERROR(_xlfn.XLOOKUP(DJ86,Модули_умолч[Управление],Модули_умолч[Модель])&amp;"",""))</f>
        <v/>
      </c>
      <c r="GY86">
        <f>IF(DJ86="",1,IFERROR(MAX(0,N(_xlfn.XLOOKUP(DJ86,Модули_умолч[Управление],Модули_умолч[Каналов на линию]))),1))</f>
        <v>1</v>
      </c>
      <c r="GZ86" t="str">
        <f t="shared" si="226"/>
        <v/>
      </c>
      <c r="HA86" t="str">
        <f t="shared" si="227"/>
        <v/>
      </c>
      <c r="HB86" t="str">
        <f t="shared" si="228"/>
        <v/>
      </c>
      <c r="HC86">
        <f>IF(HB86="",0,IFERROR(N(VLOOKUP(HB86,Модули_спр,3,FALSE)),0))</f>
        <v>0</v>
      </c>
      <c r="HD86" t="str">
        <f t="shared" si="229"/>
        <v/>
      </c>
      <c r="HE86" t="str">
        <f t="shared" si="230"/>
        <v/>
      </c>
      <c r="HF86" t="str">
        <f>IF(OR(HE86="",HE86="-"),"",IFERROR(VLOOKUP(HE86,Модули_спр,2,FALSE),"R"))</f>
        <v/>
      </c>
      <c r="HG86" t="str">
        <f>IF(HF86="","",HF86&amp;"."&amp;COUNTIFS(A$3:A86,A86,HF$3:HF86,HF86))</f>
        <v/>
      </c>
      <c r="HH86" t="str">
        <f t="shared" si="231"/>
        <v/>
      </c>
      <c r="HI86" t="str">
        <f t="shared" si="232"/>
        <v/>
      </c>
      <c r="HJ86" t="str">
        <f t="shared" si="233"/>
        <v/>
      </c>
      <c r="HK86" t="str">
        <f t="shared" si="234"/>
        <v/>
      </c>
      <c r="HL86">
        <f t="shared" si="235"/>
        <v>1</v>
      </c>
      <c r="HM86" t="str">
        <f>IF(HL86=1,"XT"&amp;COUNTIFS(A$3:A86,A86,HL$3:HL86,1),"")</f>
        <v>XT33</v>
      </c>
      <c r="HN86" t="str">
        <f t="shared" si="236"/>
        <v>XT33</v>
      </c>
      <c r="HO86" t="str">
        <f t="shared" si="237"/>
        <v>QF33</v>
      </c>
      <c r="HP86" t="str">
        <f t="shared" si="238"/>
        <v/>
      </c>
      <c r="HQ86" t="str">
        <f t="shared" si="239"/>
        <v>ok</v>
      </c>
      <c r="HR86" t="str">
        <f>IF(OR(HJ86="",HH86=""),"",IF(HJ86+MAX(0,GY86-1)&gt;IFERROR(VLOOKUP(HI86,Модули_спр,3,FALSE),99),"ЛИШНИЙ КАНАЛ",IF(AND(AL86&lt;&gt;"=",GY86&gt;0,COUNTIFS(Линии[_модуль гр.],HH86,Линии[Канал (итог)],HJ86,Линии[Канал],"&lt;&gt;=",Линии[Щит],A86)&gt;1),"ДУБЛЬ КАНАЛА","")))</f>
        <v/>
      </c>
      <c r="HS86" s="6" t="str">
        <f t="shared" si="240"/>
        <v/>
      </c>
      <c r="HT86">
        <f t="shared" si="241"/>
        <v>10</v>
      </c>
      <c r="HU86" t="str">
        <f t="shared" si="242"/>
        <v/>
      </c>
      <c r="HV86">
        <f t="shared" si="243"/>
        <v>8.1848429720463738</v>
      </c>
      <c r="HW86">
        <f t="shared" si="244"/>
        <v>0</v>
      </c>
      <c r="HX86">
        <f t="shared" si="245"/>
        <v>0</v>
      </c>
      <c r="HY86">
        <f t="shared" si="246"/>
        <v>0</v>
      </c>
      <c r="HZ86">
        <f t="shared" si="247"/>
        <v>0</v>
      </c>
      <c r="IA86">
        <f t="shared" si="248"/>
        <v>0</v>
      </c>
      <c r="IB86">
        <f t="shared" si="249"/>
        <v>0</v>
      </c>
      <c r="IC86" t="str">
        <f t="shared" si="250"/>
        <v/>
      </c>
      <c r="ID86" t="str" cm="1">
        <f t="array" ref="ID86">IF(IC86="","",_xlfn.LET(_xlpm.tk,_xlfn.TEXTSPLIT(SUBSTITUTE(SUBSTITUTE(IC86,";"," "),"→"," ")," ",,TRUE),_xlpm.w_,_xlfn._xlws.FILTER(_xlpm.tk,ISNUMBER(--LEFT(_xlpm.tk,1))*((ISNUMBER(SEARCH("W",_xlpm.tk))+ISNUMBER(SEARCH("Вт",_xlpm.tk)))&gt;0),""),IFERROR(--SUBSTITUTE(SUBSTITUTE(UPPER(INDEX(_xlpm.w_,1)),"W",""),"ВТ",""),"")))</f>
        <v/>
      </c>
      <c r="IE86" t="str" cm="1">
        <f t="array" ref="IE86">IF(IC86="","",_xlfn.LET(_xlpm.tk,_xlfn.TEXTSPLIT(SUBSTITUTE(SUBSTITUTE(IC86,";"," "),"→"," ")," ",,TRUE),_xlpm.v_,_xlfn._xlws.FILTER(_xlpm.tk,ISNUMBER(--LEFT(_xlpm.tk,1))*((ISNUMBER(SEARCH("V",_xlpm.tk))+(RIGHT(UPPER(_xlpm.tk))="В"))&gt;0),""),IFERROR(--SUBSTITUTE(SUBSTITUTE(UPPER(INDEX(_xlpm.v_,1)),"V",""),"В",""),"")))</f>
        <v/>
      </c>
      <c r="IF86" s="6" t="str">
        <f>IF(OR(BV86=0,HI86="",HJ86=""),"",IFERROR(N(_xlfn.XLOOKUP(HI86,Каталог!$C$4:$C$500,Каталог!$Q$4:$Q$500)),""))</f>
        <v/>
      </c>
      <c r="IG86" s="6" t="str">
        <f>IF(N(IF86)=0,"",SUMIFS(Линии[Iр, А],Линии[Щит],A86,Линии[_модуль гр.],HH86,Линии[Канал (итог)],HJ86))</f>
        <v/>
      </c>
      <c r="IH86" t="str">
        <f>IF(AND(B86="",HO86=""),"",_xlfn.TEXTJOIN("; ",TRUE,IF(AND(B86&lt;&gt;"",FV86=""),"нет фазы",""),IF(AND(B86&lt;&gt;"",N(GL86)=0,FG86&lt;&gt;"Нет"),"нет мощности",""),IF(AND(HN86&lt;&gt;"",COUNTIFS(Линии[Щит],A86,Линии[Клемма (итог)],HN86)&gt;1),"дубль клеммы "&amp;HN86,""),IF(AND(HQ86&lt;&gt;"",HQ86&lt;&gt;"ok"),HQ86,""),IF(HR86&lt;&gt;"",HR86,""),IF(AND(N(CB86)&gt;=4,N(BX86)=1),CB86&amp;" жил на 1 фазе",""),IF(AND(BC86="R",CG86=1,IF(CS86&lt;&gt;"",N(CV86)&gt;30,OR(N(DA86)=0,N(DA86)&gt;30))),"розетка без дифзащиты до 30 мА",""),IF(AND(CG86=1,N(DA86)&gt;0,ISNUMBER(T86)),IF(T86&gt;N(DA86)/3,"ток утечки "&amp;FIXED(T86,1)&amp;" мА &gt; 1/3 уставки ("&amp;DA86&amp;" мА)",""),""),IF(AND(CH86=1,CS86=""),"«узо»: нет строки с УЗО выше (УЗО 2P 40А 30мА в «Аппаратах»)",""),IF(AND(CS86&lt;&gt;"",CS86=BA86),IF(CT86="","впишите номинал УЗО (УЗО 2P 40А 30мА)",IF(N(CT86)&lt;N(DT86),"УЗО "&amp;CT86&amp;" А &lt; автомата "&amp;DT86&amp;" А перед ним",IF(N(CT86)&lt;N(CX86),"УЗО "&amp;CT86&amp;" А &lt; тока блока "&amp;FIXED(CX86,1)&amp;" А",""))),""),IF(AND(CS86&lt;&gt;"",CS86=BA86,ISNUMBER(CY86)),IF(CY86&gt;N(CV86)/3,"ток утечки блока УЗО "&amp;FIXED(CY86,1)&amp;" мА &gt; 1/3 уставки ("&amp;CV86&amp;" мА)",""),""),IF(AND(CG86=1,N(BV86)+N(IB86)&gt;0,IC86=""),"линии до 50 В без БП: впишите в «Аппараты» (БП 24V 480W)",""),IF(AND(CG86=1,ISNUMBER(ID86),ISNUMBER(U86)),IF(U86&gt;ID86,"БП "&amp;ID86&amp;" Вт &lt; нужно "&amp;U86&amp;" Вт (×"&amp;Запас_БП&amp;")",""),""),IF(AND(CG86=1,ISNUMBER(IE86),N(BV86)=1),IF(IE86&lt;&gt;N(BU86),"БП на "&amp;IE86&amp;" В, линия "&amp;BU86&amp;" В",""),""),IF(AND(N(IF86)&gt;0,N(IG86)&gt;N(IF86)),HH86&amp;" канал "&amp;HJ86&amp;": "&amp;FIXED(IG86,1)&amp;" А &gt; "&amp;IF86&amp;" А",""),IFERROR(IF(AND(ISNUMBER(Q86),Q86&gt;EL86),"потери "&amp;FIXED(Q86,1)&amp;" % &gt; "&amp;EL86&amp;" %",""),""),IFERROR(IF(LEFT(HU86,4)="мало","Iкз мало — отключение &gt; 0,4 с",""),""),IF(AND(B86&lt;&gt;"",BM86=""),"не на схеме",""),IF(AND(CG86=0,B86&lt;&gt;"",FV86&lt;&gt;"",IF(BA86=1,"",FW85)&lt;&gt;"",FV86&lt;&gt;IF(BA86=1,"",FW85)),"фаза не как у автомата группы ("&amp;IF(BA86=1,"",FW85)&amp;")","")))</f>
        <v/>
      </c>
      <c r="II86" s="6" t="str">
        <f>IF(OR(CG86=0,DQ86=""),"",_xlfn.LET(_xlpm.t,IFERROR(_xlfn.XLOOKUP(DQ86,Каталог!$U$4:$U$500,Каталог!$G$4:$G$500),""),_xlpm.k,SEARCH("кА",_xlpm.t),IFERROR(--TRIM(RIGHT(SUBSTITUTE(MID(_xlpm.t,MAX(1,_xlpm.k-4),_xlpm.k-MAX(1,_xlpm.k-4))," ",REPT(" ",9)),5)),"")))</f>
        <v/>
      </c>
      <c r="IJ86" t="str">
        <f>IF(OR(II86="",CG86=0),"",IF(_xlfn.XLOOKUP(A86,Щиты[Щит],Щиты[Iкз max на шинах, кА],"")="","",IF(II86&lt;_xlfn.XLOOKUP(A86,Щиты[Щит],Щиты[Iкз max на шинах, кА]),"Icu "&amp;II86&amp;" кА &lt; Iкз max","ok")))</f>
        <v/>
      </c>
      <c r="IK86" t="str">
        <f t="shared" si="251"/>
        <v/>
      </c>
      <c r="IL86" t="str">
        <f t="shared" si="252"/>
        <v>QF33|XT33</v>
      </c>
      <c r="IM86" t="str">
        <f t="shared" si="253"/>
        <v>QF33|XT33|кабель ВВГнг(А)-LS (5х6) → Внешний блок кондиционирования Пом. Венткиосок</v>
      </c>
      <c r="IN86" t="str" cm="1">
        <f t="array" ref="IN86">IF(IM86="","",_xlfn.LET(_xlpm.nd,_xlfn.TEXTSPLIT(IM86,"|"),IF(COLUMNS(_xlpm.nd)&gt;1,A86&amp;"¦"&amp;INDEX(_xlpm.nd,1)&amp;"¦"&amp;INDEX(_xlpm.nd,2),"")))</f>
        <v>ЩОВ-001¦QF33¦XT33</v>
      </c>
      <c r="IO86" t="str">
        <f t="shared" si="254"/>
        <v>НБ-3¦Внешний блок кондиционирования Пом. Венткиосок</v>
      </c>
      <c r="IP86" t="str" cm="1">
        <f t="array" ref="IP86">IF(IM86="","",_xlfn.LET(_xlpm.nd,_xlfn.TEXTSPLIT(IM86,"|"),IF(COLUMNS(_xlpm.nd)&gt;2,A86&amp;"¦"&amp;INDEX(_xlpm.nd,2)&amp;"¦"&amp;INDEX(_xlpm.nd,3),"")))</f>
        <v>ЩОВ-001¦XT33¦кабель ВВГнг(А)-LS (5х6) → Внешний блок кондиционирования Пом. Венткиосок</v>
      </c>
      <c r="IQ86" t="str">
        <f t="shared" si="255"/>
        <v>НБ-3¦Внешний блок кондиционирования Пом. Венткиосок</v>
      </c>
      <c r="IR86" t="str" cm="1">
        <f t="array" ref="IR86">IF(IM86="","",_xlfn.LET(_xlpm.nd,_xlfn.TEXTSPLIT(IM86,"|"),IF(COLUMNS(_xlpm.nd)&gt;3,A86&amp;"¦"&amp;INDEX(_xlpm.nd,3)&amp;"¦"&amp;INDEX(_xlpm.nd,4),"")))</f>
        <v/>
      </c>
      <c r="IS86" t="str">
        <f t="shared" si="256"/>
        <v/>
      </c>
      <c r="IT86" t="str" cm="1">
        <f t="array" ref="IT86">IF(IM86="","",_xlfn.LET(_xlpm.nd,_xlfn.TEXTSPLIT(IM86,"|"),IF(COLUMNS(_xlpm.nd)&gt;4,A86&amp;"¦"&amp;INDEX(_xlpm.nd,4)&amp;"¦"&amp;INDEX(_xlpm.nd,5),"")))</f>
        <v/>
      </c>
      <c r="IU86" t="str">
        <f t="shared" si="257"/>
        <v/>
      </c>
      <c r="IV86" t="str" cm="1">
        <f t="array" ref="IV86">IF(IM86="","",_xlfn.LET(_xlpm.nd,_xlfn.TEXTSPLIT(IM86,"|"),IF(COLUMNS(_xlpm.nd)&gt;5,A86&amp;"¦"&amp;INDEX(_xlpm.nd,5)&amp;"¦"&amp;INDEX(_xlpm.nd,6),"")))</f>
        <v/>
      </c>
      <c r="IW86" t="str">
        <f t="shared" si="258"/>
        <v/>
      </c>
      <c r="IX86" t="str" cm="1">
        <f t="array" ref="IX86">IF(IM86="","",_xlfn.LET(_xlpm.nd,_xlfn.TEXTSPLIT(IM86,"|"),IF(COLUMNS(_xlpm.nd)&gt;6,A86&amp;"¦"&amp;INDEX(_xlpm.nd,6)&amp;"¦"&amp;INDEX(_xlpm.nd,7),"")))</f>
        <v/>
      </c>
      <c r="IY86" t="str">
        <f t="shared" si="259"/>
        <v/>
      </c>
      <c r="IZ86" t="str">
        <f t="shared" si="260"/>
        <v/>
      </c>
      <c r="JA86" t="str">
        <f t="shared" si="261"/>
        <v>QF33 → XT33</v>
      </c>
      <c r="JB86">
        <f t="shared" si="262"/>
        <v>0</v>
      </c>
      <c r="JC86">
        <f t="shared" si="263"/>
        <v>0</v>
      </c>
      <c r="JD86" t="str">
        <f t="shared" si="264"/>
        <v/>
      </c>
      <c r="JE86" t="str">
        <f t="shared" si="265"/>
        <v/>
      </c>
      <c r="JF86" t="str">
        <f t="shared" si="266"/>
        <v/>
      </c>
      <c r="JG86" t="str">
        <f t="shared" si="267"/>
        <v/>
      </c>
      <c r="JH86" t="str">
        <f>IF(B86="","",IFERROR(_xlfn.XLOOKUP(B86,Коды_код,Коды_уго),IFERROR(_xlfn.XLOOKUP(BC86,Коды_код,Коды_уго),IFERROR(_xlfn.XLOOKUP(LEFT(BC86,2),Коды_код,Коды_уго),""))))</f>
        <v>Привод (двигатель)</v>
      </c>
      <c r="JI86" t="str">
        <f>IF(B86="","",IF(OR(JH86="",JH86=0),"BOX",IFERROR(IF(VLOOKUP(JH86,УГО_блоки,3,FALSE)&amp;""&lt;&gt;"",VLOOKUP(JH86,УГО_блоки,3,FALSE),VLOOKUP(JH86,УГО_блоки,2,FALSE)),JH86)))</f>
        <v>MOTOR</v>
      </c>
      <c r="JJ86">
        <f t="shared" si="268"/>
        <v>1</v>
      </c>
      <c r="JK86" t="str">
        <f>IF(DQ86="","",IF(COUNTIF(DQ$3:DQ86,DQ86)=1,MAX(JK$2:JK85)+1,""))</f>
        <v/>
      </c>
      <c r="JL86" t="str">
        <f>IF(DE86="","",IF(COUNTIF(DE$3:DE86,DE86)+COUNTIF(DF$2:DF85,DE86)+COUNTIF(DG$2:DG85,DE86)=1,MAX(JL$2:JN85)+1,""))</f>
        <v/>
      </c>
      <c r="JM86" t="str">
        <f>IF(DF86="","",IF(COUNTIF(DE$3:DE86,DF86)+COUNTIF(DF$3:DF86,DF86)+COUNTIF(DG$2:DG85,DF86)=1,MAX(JL$2:JN85,JL86)+1,""))</f>
        <v/>
      </c>
      <c r="JN86" t="str">
        <f>IF(DG86="","",IF(COUNTIF(DE$3:DE86,DG86)+COUNTIF(DF$3:DF86,DG86)+COUNTIF(DG$3:DG86,DG86)=1,MAX(JL$2:JN85,JL86,JM86)+1,""))</f>
        <v/>
      </c>
      <c r="JO86" t="str">
        <f t="shared" si="269"/>
        <v>5х6</v>
      </c>
      <c r="JP86" t="str">
        <f>IF(JO86="","",IF(COUNTIF(JO$3:JO86,JO86)=1,MAX(JP$2:JP85)+1,""))</f>
        <v/>
      </c>
      <c r="JQ86" t="str">
        <f>IF(HG86="","",COUNTIF(HG$3:HG86,"?*"))</f>
        <v/>
      </c>
      <c r="JR86" t="str">
        <f>IF(OR(HG86="",HI86=""),"",IF(COUNTIFS(HG$3:HG86,"?*",HI$3:HI86,HI86)=1,MAX(JR$2:JR85)+1,""))</f>
        <v/>
      </c>
      <c r="JS86">
        <f t="shared" si="270"/>
        <v>0</v>
      </c>
      <c r="JT86">
        <f>IF(B86="","",COUNTIF(B$3:B86,"?*"))</f>
        <v>84</v>
      </c>
      <c r="JU86">
        <f>IF(HL86&lt;&gt;1,0,_xlfn.LET(_xlpm.k,MAX(IFERROR(--_xlfn.XLOOKUP(B86,Коды_код,Коды_3L),0),IFERROR(--_xlfn.XLOOKUP(BC86,Коды_код,Коды_3L),0),IFERROR(--_xlfn.XLOOKUP(LEFT(BC86,2),Коды_код,Коды_3L),0)),IF(_xlpm.k&gt;0,_xlpm.k,IF(IFERROR(--LEFT(SUBSTITUTE(JO86,"x","х"),FIND("х",SUBSTITUTE(JO86,"x","х"))-1),3)&gt;3,Каталог!$S$9,1))))</f>
        <v>1</v>
      </c>
      <c r="JV86">
        <f t="shared" si="271"/>
        <v>2</v>
      </c>
      <c r="JW86" t="str">
        <f t="shared" si="272"/>
        <v>авто</v>
      </c>
      <c r="JX86" t="str">
        <f t="shared" si="273"/>
        <v/>
      </c>
      <c r="JY86">
        <f t="shared" si="274"/>
        <v>0</v>
      </c>
      <c r="JZ86">
        <f t="shared" si="275"/>
        <v>1</v>
      </c>
    </row>
    <row r="87" spans="1:286" x14ac:dyDescent="0.3">
      <c r="A87" t="s">
        <v>747</v>
      </c>
      <c r="B87" t="s">
        <v>1400</v>
      </c>
      <c r="C87" t="s">
        <v>1660</v>
      </c>
      <c r="D87">
        <v>1</v>
      </c>
      <c r="E87">
        <v>5.8</v>
      </c>
      <c r="G87">
        <v>16</v>
      </c>
      <c r="H87" t="str">
        <f>Линии[[#This Row],[_авто управление]]</f>
        <v/>
      </c>
      <c r="I87" t="str">
        <f>Линии[[#This Row],[_авто аппараты]]</f>
        <v/>
      </c>
      <c r="J87">
        <v>4</v>
      </c>
      <c r="K87">
        <v>45</v>
      </c>
      <c r="L87" t="str">
        <f>Линии[[#This Row],[_авто фаза]]</f>
        <v>L1,L2,L3</v>
      </c>
      <c r="M87" t="str">
        <f>Линии[[#This Row],[_авто клемма]]</f>
        <v>XT34</v>
      </c>
      <c r="N87" t="str">
        <f t="shared" si="138"/>
        <v/>
      </c>
      <c r="O87" s="6" cm="1">
        <f t="array" ref="O87">IF(B87="","",IF(BH87&lt;&gt;"",IFERROR(_xlfn.XLOOKUP(BH87,Щиты[Щит],Щиты[Iр, А]),""),IF(BP87=1,IF(OR(N(_xlfn.XLOOKUP(A87,Щиты[Щит],Щиты[Вводов],1))&lt;=1,LOWER(TRIM(_xlfn.XLOOKUP(A87,Щиты[Щит],Щиты[АВР],"")&amp;""))="да"),IFERROR(_xlfn.XLOOKUP(A87,Щиты[Щит],Щиты[Iр, А]),""),IFERROR(N(BS87)*_xlfn.XLOOKUP(A87,Щиты[Щит],Щиты[Кс итог])/(SQRT(3)*Uн_лин*_xlfn.XLOOKUP(A87,Щиты[Щит],Щиты[cos φ])),"")),IF(BV87=1,IFERROR(BS87*1000/BU87,""),IFERROR(_xlfn.IFS(BX87=1,BS87/((Uн_лин/SQRT(3))*CE87),BX87=3,BS87/(SQRT(3)*Uн_лин*CE87)),"")))))</f>
        <v>10.464473629061967</v>
      </c>
      <c r="P87" s="7">
        <f>IF(B87="","",IFERROR(IF(VLOOKUP(BC87,Потребители_обозначение,4,FALSE)=1,VLOOKUP(BC87,Потребители_обозначение,3,FALSE)*(MAX(1,N(D87))*2-1)+EI87+VLOOKUP(BE87,Этаж_обозначение,3,FALSE)+VLOOKUP(BE87,Этаж_обозначение,4,FALSE),VLOOKUP(BC87,Потребители_обозначение,3,FALSE)*(MAX(1,N(D87))*2-1)+EI87),EI87))</f>
        <v>45</v>
      </c>
      <c r="Q87" s="6">
        <f t="shared" si="139"/>
        <v>1.57</v>
      </c>
      <c r="R87" t="str">
        <f t="shared" si="140"/>
        <v>ВВГнг(А)-LS (5х4)</v>
      </c>
      <c r="S87" t="str">
        <f>IF(BM87="","",IF(BN87="вводной узел","узел ","")&amp;"л."&amp;(INT((BM87-1)/Столбцов_на_лист)+1)&amp;" / "&amp;(MOD(BM87-1,Столбцов_на_лист)+1))</f>
        <v>л.4 / 10</v>
      </c>
      <c r="T87" s="119">
        <f t="shared" si="141"/>
        <v>4.5999999999999996</v>
      </c>
      <c r="U87" s="7" t="str">
        <f>IF(OR(CG87=0,N(BV87)+N(IB87)=0),"",ROUNDUP(Запас_БП*(N(HY87)+N(HZ87)),0))</f>
        <v/>
      </c>
      <c r="V87" s="119" t="str">
        <f t="shared" si="142"/>
        <v/>
      </c>
      <c r="W87" s="7" t="str">
        <f>IFERROR(IF(OR(B87="",BP87=1,BV87=1,NOT(ISNUMBER(EN87)),N(DT87)=0),"",MAX(0,ROUNDDOWN((c_min*(Uн_лин*1000/SQRT(3))/(HT87*N(DT87))-_xlfn.XLOOKUP(A87,Щиты[Щит],Щиты[Zпетли на шинах, Ом]))*EN87/(2*ρкз_Cu),0))),"")</f>
        <v/>
      </c>
      <c r="Y87" t="str">
        <f>Линии[[#This Row],[_авто утечка]]</f>
        <v/>
      </c>
      <c r="Z87">
        <v>3</v>
      </c>
      <c r="AA87">
        <v>400</v>
      </c>
      <c r="AB87" t="s">
        <v>598</v>
      </c>
      <c r="AC87">
        <v>0.5</v>
      </c>
      <c r="AG87" t="s">
        <v>810</v>
      </c>
      <c r="AI87" t="s">
        <v>576</v>
      </c>
      <c r="AK87" t="str">
        <f>Линии[[#This Row],[_авто модуль]]</f>
        <v/>
      </c>
      <c r="AM87">
        <v>61</v>
      </c>
      <c r="AN87" t="s">
        <v>11</v>
      </c>
      <c r="AO87">
        <v>5</v>
      </c>
      <c r="AQ87">
        <v>0</v>
      </c>
      <c r="AR87">
        <v>41</v>
      </c>
      <c r="AS87">
        <v>0</v>
      </c>
      <c r="AT87">
        <v>1</v>
      </c>
      <c r="BA87" cm="1">
        <f t="array" ref="BA87">ROW()-ROW(Линии[#Headers])</f>
        <v>85</v>
      </c>
      <c r="BC87" s="6" t="str">
        <f t="shared" si="143"/>
        <v>НБ-4</v>
      </c>
      <c r="BD87" t="str">
        <f t="shared" si="144"/>
        <v/>
      </c>
      <c r="BE87" t="str">
        <f t="shared" si="145"/>
        <v/>
      </c>
      <c r="BF87" t="str">
        <f t="shared" si="146"/>
        <v/>
      </c>
      <c r="BG87" t="str">
        <f t="shared" si="147"/>
        <v/>
      </c>
      <c r="BH87" t="str">
        <f>IF(X87&lt;&gt;"",X87,IF(AND(B87&lt;&gt;"",B87&lt;&gt;A87,ISNUMBER(_xlfn.XMATCH(B87,Щиты[Щит]))),B87,""))</f>
        <v/>
      </c>
      <c r="BI87" t="str" cm="1">
        <f t="array" ref="BI87">IF(B87="","",IF(BH87&lt;&gt;"","Щит "&amp;BH87,_xlfn.LET(_xlpm.nm,IFERROR(_xlfn.XLOOKUP(BC87,Коды_код,Коды_имя)&amp;"",""),_xlpm.md,IFERROR(N(_xlfn.XLOOKUP(BC87,Коды_код,Коды_режим)),1),_xlpm.ex,IF(Имя_режим="по экспликации",IFERROR(_xlfn.XLOOKUP(BE87&amp;"|"&amp;BG87,Экспликация[Этаж]&amp;"|"&amp;Экспликация[Помещение],Экспликация[Название])&amp;"",""),""),_xlpm.rm,IF(BG87="","",IF(_xlpm.ex&lt;&gt;"",". "&amp;_xlpm.ex&amp;IF(Имя_пом="нет"," ("&amp;BG87&amp;")"," (пом. "&amp;BG87&amp;")"),IF(Имя_пом="нет"," ",", пом. ")&amp;BG87)),IF(_xlpm.nm="","",IF(_xlpm.md=2,_xlpm.nm&amp;" шлейф "&amp;BE87,_xlpm.nm&amp;_xlpm.rm)))))</f>
        <v/>
      </c>
      <c r="BJ87" t="str">
        <f t="shared" si="148"/>
        <v>Внешний блок кондиционирования Пом. Венткиосок</v>
      </c>
      <c r="BK87">
        <f>IFERROR(_xlfn.XMATCH(A87,Щиты[Щит]),0)</f>
        <v>4</v>
      </c>
      <c r="BL87">
        <f>_xlfn.LET(_xlpm.k,IFERROR(_xlfn.XLOOKUP(A87,Щиты[Щит],Щиты[Мест под вводной узел]),""),IF(_xlpm.k="",Столбцов_на_лист,N(_xlpm.k)))</f>
        <v>13</v>
      </c>
      <c r="BM87">
        <f t="shared" si="149"/>
        <v>61</v>
      </c>
      <c r="BN87" t="str">
        <f t="shared" si="150"/>
        <v>линии</v>
      </c>
      <c r="BO87" s="6">
        <f>IFERROR(N(_xlfn.XLOOKUP(BC87,Коды_код,Коды_квт)),0)</f>
        <v>0</v>
      </c>
      <c r="BP87">
        <f t="shared" si="151"/>
        <v>0</v>
      </c>
      <c r="BQ87" t="str">
        <f>IF(B87="","",IF(BH87&lt;&gt;"",IFERROR(_xlfn.XLOOKUP(BH87,Щиты[Щит],Щиты[Руст, кВт]),0),IF(BP87=1,IF(OR(N(_xlfn.XLOOKUP(A87,Щиты[Щит],Щиты[Вводов],1))&lt;=1,LOWER(TRIM(_xlfn.XLOOKUP(A87,Щиты[Щит],Щиты[АВР],"")&amp;""))="да"),IFERROR(_xlfn.XLOOKUP(A87,Щиты[Щит],Щиты[Руст, кВт]),0),SUMIFS(Линии[_Р для вводов],Линии[Щит],A87,Линии[Источник для режимов],GF87)),IF(BO87&gt;0,ROUND(BO87*MAX(1,N(D87)),3),""))))</f>
        <v/>
      </c>
      <c r="BR87">
        <f t="shared" si="152"/>
        <v>5.8</v>
      </c>
      <c r="BS87" s="6">
        <f>IF(B87="","",IF(BH87&lt;&gt;"",IFERROR(_xlfn.XLOOKUP(BH87,Щиты[Щит],Щиты[Руст, кВт]),0),N(BR87)))</f>
        <v>5.8</v>
      </c>
      <c r="BT87" t="str">
        <f>IF(B87="","",IFERROR(IF(VLOOKUP(BC87,Потребители_обозначение,8,FALSE)=0,"",VLOOKUP(BC87,Потребители_обозначение,8,FALSE)),""))</f>
        <v/>
      </c>
      <c r="BU87">
        <f t="shared" si="153"/>
        <v>400</v>
      </c>
      <c r="BV87">
        <f t="shared" si="154"/>
        <v>0</v>
      </c>
      <c r="BW87">
        <f>IF(B87="","",IF(BH87&lt;&gt;"",3,IFERROR(IF(N(VLOOKUP(BC87,Потребители_обозначение,9,FALSE))=0,1,VLOOKUP(BC87,Потребители_обозначение,9,FALSE)),1)))</f>
        <v>1</v>
      </c>
      <c r="BX87">
        <f t="shared" si="155"/>
        <v>3</v>
      </c>
      <c r="BY87" t="str">
        <f>IF(B87="","",_xlfn.LET(_xlpm.bc,IFERROR(IF(VLOOKUP(BC87,Потребители_обозначение,6,FALSE)=0,"",VLOOKUP(BC87,Потребители_обозначение,6,FALSE)&amp;""),""),IF(AND(GA87="да",OR(_xlpm.bc="",_xlpm.bc="мс")),Марка_пож,IF(AND(_xlpm.bc="",BH87&lt;&gt;""),"мс",_xlpm.bc))))</f>
        <v/>
      </c>
      <c r="BZ87" t="str">
        <f t="shared" si="156"/>
        <v>мс</v>
      </c>
      <c r="CA87">
        <f>IF(B87="","",_xlfn.LET(_xlpm.cc,IFERROR(N(VLOOKUP(BC87,Потребители_обозначение,7,FALSE)),0),IF(_xlpm.cc&gt;0,_xlpm.cc,IF(BZ87="","",IF(BV87=1,2,IF(N(BX87)=3,5,3))))))</f>
        <v>5</v>
      </c>
      <c r="CB87">
        <f t="shared" si="157"/>
        <v>5</v>
      </c>
      <c r="CC87">
        <f>IFERROR(N(VLOOKUP(BC87,Потребители_обозначение,10,FALSE)),0)</f>
        <v>0</v>
      </c>
      <c r="CD87">
        <f>IFERROR(VLOOKUP(BC87,Потребители_обозначение,5,FALSE),0)</f>
        <v>0</v>
      </c>
      <c r="CE87" s="6" cm="1">
        <f t="array" ref="CE87">IF(B87="","",IF(BH87&lt;&gt;"",IFERROR(_xlfn.XLOOKUP(BH87,Щиты[Щит],Щиты[cos φ]),0.95),IF(BP87=1,IFERROR(_xlfn.XLOOKUP(A87,Щиты[Щит],Щиты[cos φ]),0.95),IF(ISNUMBER(AD87),AD87,IFERROR(IF(CD87=2,_xlfn.IFS(BX87=3,VLOOKUP(BS87,Справочная_двигатели,8,FALSE),BX87=1,VLOOKUP(BS87,Справочная_двигатели,10,TRUE)),IF(AND(Методика="нормы 2026",FG87="Сил"),0.8,0.95)),0.95)))))</f>
        <v>0.8</v>
      </c>
      <c r="CF87">
        <f t="shared" si="158"/>
        <v>0</v>
      </c>
      <c r="CG87">
        <f t="shared" si="159"/>
        <v>1</v>
      </c>
      <c r="CH87">
        <f t="shared" si="160"/>
        <v>0</v>
      </c>
      <c r="CI87">
        <f>IF(B87="","",IF(BV87=1,IFERROR(BS87/((Uн_лин/SQRT(3))*MAX(0.5,N(CE87))),0),N(O87)))</f>
        <v>10.464473629061967</v>
      </c>
      <c r="CJ87">
        <f t="shared" si="161"/>
        <v>0</v>
      </c>
      <c r="CK87">
        <f t="shared" si="162"/>
        <v>0</v>
      </c>
      <c r="CL87">
        <f t="shared" si="163"/>
        <v>0</v>
      </c>
      <c r="CM87">
        <f t="shared" si="164"/>
        <v>0</v>
      </c>
      <c r="CN87">
        <f t="shared" si="165"/>
        <v>0</v>
      </c>
      <c r="CO87">
        <f>IF(BC87="",0,_xlfn.LET(_xlpm.v,IFERROR(_xlfn.XLOOKUP(B87,Коды_код,Коды_мА),IFERROR(_xlfn.XLOOKUP(BC87,Коды_код,Коды_мА),IFERROR(_xlfn.XLOOKUP(LEFT(BC87,2),Коды_код,Коды_мА),""))),IF(_xlpm.v="да",30,IF(ISNUMBER(_xlpm.v),_xlpm.v,0))))</f>
        <v>0</v>
      </c>
      <c r="CP87" t="str">
        <f t="shared" si="166"/>
        <v/>
      </c>
      <c r="CQ87" t="str">
        <f>_xlfn.LET(_xlpm.k,IFERROR(_xlfn.XLOOKUP(BC87,Коды_код,Коды_утечка)&amp;"",""),IF(_xlpm.k="","дифавтомат",_xlpm.k))</f>
        <v>дифавтомат</v>
      </c>
      <c r="CR87" t="str" cm="1">
        <f t="array" ref="CR87">IF(CG87=0,"",_xlfn.LET(_xlpm.sg,TRIM(_xlfn.TEXTSPLIT(DD87&amp;"",";")),_xlpm.f_,_xlfn._xlws.FILTER(_xlpm.sg,LEFT(_xlpm.sg,3)="УЗО",""),IFERROR(INDEX(_xlpm.f_,1)&amp;"","")))</f>
        <v/>
      </c>
      <c r="CS87" t="str">
        <f t="shared" si="167"/>
        <v/>
      </c>
      <c r="CT87" s="6" t="str" cm="1">
        <f t="array" ref="CT87">IF(CR87="","",_xlfn.LET(_xlpm.tk,_xlfn.TEXTSPLIT(UPPER(CR87)," ",,TRUE),_xlpm.a_,_xlfn._xlws.FILTER(_xlpm.tk,ISNUMBER(--LEFT(_xlpm.tk,1))*((ISNUMBER(SEARCH("А",_xlpm.tk))+ISNUMBER(SEARCH("A",_xlpm.tk)))&gt;0)*NOT(ISNUMBER(SEARCH("МА",_xlpm.tk)))*NOT(ISNUMBER(SEARCH("MA",_xlpm.tk))),""),IFERROR(--SUBSTITUTE(SUBSTITUTE(INDEX(_xlpm.a_,1),"А",""),"A",""),"")))</f>
        <v/>
      </c>
      <c r="CU87" t="str" cm="1">
        <f t="array" ref="CU87">IF(CR87="","",_xlfn.LET(_xlpm.tk,_xlfn.TEXTSPLIT(UPPER(CR87)," ",,TRUE),_xlpm.a_,_xlfn._xlws.FILTER(_xlpm.tk,ISNUMBER(--LEFT(_xlpm.tk,1))*((ISNUMBER(SEARCH("МА",_xlpm.tk))+ISNUMBER(SEARCH("MA",_xlpm.tk)))&gt;0),""),IFERROR(--SUBSTITUTE(SUBSTITUTE(INDEX(_xlpm.a_,1),"МА",""),"MA",""),30)))</f>
        <v/>
      </c>
      <c r="CV87" t="str">
        <f>IF(CS87="","",IFERROR(_xlfn.XLOOKUP(CS87,Линии[_n],Линии[_УЗО, мА]),30))</f>
        <v/>
      </c>
      <c r="CW87">
        <f>IF(CS87="",0,IF(ISNUMBER(SEARCH("4P",IFERROR(_xlfn.XLOOKUP(CS87,Линии[_n],Линии[_УЗО строки])&amp;"",""))),0,1))</f>
        <v>0</v>
      </c>
      <c r="CX87" t="str">
        <f>IF(AND(CS87&lt;&gt;"",CS87=BA87),SUMIFS(Линии[_ток на 230 В],Линии[_блок УЗО],BA87,Линии[Щит],A87),"")</f>
        <v/>
      </c>
      <c r="CY87" t="str">
        <f>IF(AND(CS87&lt;&gt;"",CS87=BA87),SUMIFS(Линии[_ток утечки линии, мА],Линии[_блок УЗО],BA87,Линии[Щит],A87),"")</f>
        <v/>
      </c>
      <c r="CZ87">
        <f t="shared" si="168"/>
        <v>0</v>
      </c>
      <c r="DA87">
        <f t="shared" si="169"/>
        <v>0</v>
      </c>
      <c r="DB87">
        <f>IF(B87="",0,IFERROR(--_xlfn.XLOOKUP(B87,Коды_код,Коды_минавт),IFERROR(--_xlfn.XLOOKUP(BC87,Коды_код,Коды_минавт),IFERROR(--_xlfn.XLOOKUP(LEFT(BC87,2),Коды_код,Коды_минавт),0))))</f>
        <v>0</v>
      </c>
      <c r="DC87" t="str">
        <f>IF(B87="","",IFERROR(_xlfn.XLOOKUP(BC87,Коды_код,Коды_апп)&amp;"",""))</f>
        <v/>
      </c>
      <c r="DD87" t="str">
        <f t="shared" si="170"/>
        <v/>
      </c>
      <c r="DE87" t="str" cm="1">
        <f t="array" ref="DE87">IF(TRIM(DD87&amp;"")="","",IFERROR(TRIM(INDEX(_xlfn.TEXTSPLIT(DD87&amp;";;;",";"),1)),""))</f>
        <v/>
      </c>
      <c r="DF87" t="str" cm="1">
        <f t="array" ref="DF87">IF(TRIM(DD87&amp;"")="","",IFERROR(TRIM(INDEX(_xlfn.TEXTSPLIT(DD87&amp;";;;",";"),2)),""))</f>
        <v/>
      </c>
      <c r="DG87" t="str" cm="1">
        <f t="array" ref="DG87">IF(TRIM(DD87&amp;"")="","",IFERROR(TRIM(INDEX(_xlfn.TEXTSPLIT(DD87&amp;";;;",";"),3)),""))</f>
        <v/>
      </c>
      <c r="DH87">
        <f t="shared" si="171"/>
        <v>0</v>
      </c>
      <c r="DI87" t="str">
        <f>IF(B87="","",_xlfn.LET(_xlpm.t,LOWER(AZ87&amp;""),IF(ISNUMBER(SEARCH("dim",_xlpm.t)),"DIM",IF(ISNUMBER(SEARCH("dali",_xlpm.t)),"DALI",IF(OR(ISNUMBER(SEARCH("relay",_xlpm.t)),ISNUMBER(SEARCH("реле",_xlpm.t))),"Relay",IF(ISNUMBER(SEARCH("кнопк",_xlpm.t)),"",IFERROR(_xlfn.XLOOKUP(BC87,Коды_код,Коды_упр)&amp;"","")))))))</f>
        <v/>
      </c>
      <c r="DJ87" t="str">
        <f t="shared" si="172"/>
        <v/>
      </c>
      <c r="DK87">
        <f>IF(B87="","",_xlfn.LET(_xlpm.ig,IF(N(CX87)&gt;0,N(CX87),N(CI87)+IF(AJ87="вручную",0,N(CJ87))),_xlpm.n0,IFERROR(VLOOKUP(_xlpm.ig,Автомат_номиналы,2,TRUE),0),_xlpm.mn,MAX(DB87,IF(AJ87="вручную",0,N(CM87))),MAX(_xlpm.n0,_xlpm.mn,IF(DH87=1,Мин_автомат_БП,0))))</f>
        <v>16</v>
      </c>
      <c r="DL87">
        <f t="shared" si="173"/>
        <v>3</v>
      </c>
      <c r="DM87" t="str">
        <f t="shared" si="174"/>
        <v>3P</v>
      </c>
      <c r="DN87" t="str">
        <f>_xlfn.LET(_xlpm.cc,UPPER(TRIM(IFERROR(_xlfn.XLOOKUP(BC87,Коды_код,Коды_хар)&amp;"",""))),IF(OR(_xlpm.cc="B",_xlpm.cc="В"),"B",IF(_xlpm.cc="D","D","С")))</f>
        <v>С</v>
      </c>
      <c r="DO87" t="str">
        <f t="shared" si="175"/>
        <v>3P С16А</v>
      </c>
      <c r="DP87">
        <f t="shared" si="176"/>
        <v>16</v>
      </c>
      <c r="DQ87" t="str">
        <f t="shared" si="177"/>
        <v>3P С16А</v>
      </c>
      <c r="DR87" cm="1">
        <f t="array" ref="DR87">IF(DQ87="","",_xlfn.LET(_xlpm.t,SUBSTITUTE(SUBSTITUTE(SUBSTITUTE(UPPER(DQ87),"С","C"),"А","A"),"В","B"),_xlpm.tk,_xlfn.TEXTSPLIT(_xlpm.t," "),_xlpm.f,_xlfn._xlws.FILTER(_xlpm.tk,ISNUMBER(--MID(_xlpm.tk,2,1))*ISNUMBER(SEARCH(LEFT(_xlpm.tk,1)&amp;"#","B#C#D#"))*(LEN(_xlpm.tk)&gt;1),""),_xlpm.x,INDEX(_xlpm.f,1),IFERROR(--SUBSTITUTE(MID(_xlpm.x,2,9),"A",""),IFERROR(--SUBSTITUTE(INDEX(_xlfn._xlws.FILTER(_xlpm.tk,ISNUMBER(--SUBSTITUTE(_xlpm.tk,"A","")),""),1),"A",""),""))))</f>
        <v>16</v>
      </c>
      <c r="DS87" t="str">
        <f t="shared" si="178"/>
        <v>ok</v>
      </c>
      <c r="DT87">
        <f t="shared" si="179"/>
        <v>16</v>
      </c>
      <c r="DU87" t="str">
        <f t="shared" si="180"/>
        <v>3P С16А</v>
      </c>
      <c r="DV87">
        <f t="shared" si="181"/>
        <v>0</v>
      </c>
      <c r="DW87">
        <f t="shared" si="182"/>
        <v>0</v>
      </c>
      <c r="DX87">
        <f t="shared" si="183"/>
        <v>0</v>
      </c>
      <c r="DY87">
        <f t="shared" si="184"/>
        <v>10.464473629061967</v>
      </c>
      <c r="DZ87">
        <f t="shared" si="185"/>
        <v>0.92</v>
      </c>
      <c r="EA87">
        <f>IF(ISNUMBER(AP87),AP87,К_прокл)</f>
        <v>1</v>
      </c>
      <c r="EB87">
        <f t="shared" si="186"/>
        <v>3</v>
      </c>
      <c r="EC87">
        <f>IFERROR(N(VLOOKUP(BZ87,Кабель_обозначение,3,FALSE)),1)</f>
        <v>1</v>
      </c>
      <c r="ED87">
        <f>IFERROR(N(_xlfn.XLOOKUP(A87,Щиты[Щит],Щиты[ΔU до шин, %])),0)</f>
        <v>0.64</v>
      </c>
      <c r="EE87" t="str">
        <f>IFERROR(_xlfn.XLOOKUP(A87,Щиты[Щит],Щиты[Zпетли на шинах, Ом]),"")</f>
        <v/>
      </c>
      <c r="EF87">
        <f>IFERROR(N(_xlfn.XLOOKUP(A87,Щиты[Щит],Щиты[ΔU до шин (подбор), %])),0)</f>
        <v>0.75</v>
      </c>
      <c r="EG87" t="str">
        <f>IFERROR(_xlfn.XLOOKUP(A87,Щиты[Щит],Щиты[Zпетли на шинах (подбор), Ом]),"")</f>
        <v/>
      </c>
      <c r="EH87" t="str">
        <f t="shared" si="187"/>
        <v/>
      </c>
      <c r="EI87">
        <f t="shared" si="188"/>
        <v>45</v>
      </c>
      <c r="EJ87">
        <f t="shared" si="189"/>
        <v>1</v>
      </c>
      <c r="EK87">
        <f t="shared" si="190"/>
        <v>0.6</v>
      </c>
      <c r="EL87" s="6">
        <f>IF(B87="","",IF(BV87=1,dU_LED,IF(IFERROR(_xlfn.XLOOKUP(BC87,Коды_код,Коды_уго),"")="Светильник",3,4)+IF(Методика="нормы 2026",MIN(0.5,MAX(0,N(P87)-100)*0.005),0)))</f>
        <v>4</v>
      </c>
      <c r="EM87" cm="1">
        <f t="array" ref="EM87">IF(OR(B87="",BZ87="",EC87&lt;&gt;1),"",_xlfn.LET(_xlpm.sz,Iдоп_S,_xlpm.t_,CHOOSE(EB87,Iдоп_1ж,Iдоп_2ж,Iдоп_3ж)*DZ87*EA87,_xlpm.dcx,BV87=1,_xlpm.inn,IF(_xlpm.dcx,N(O87),N(DT87)),_xlpm.smin,MAX(1.5,CC87),_xlpm.L_,N(P87)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87)/N(BU87)*100,999),IFERROR(N(EJ87)*(_xlpm.rho*_xlpm.L_/_xlpm.sz*N(CE87)+_xlpm.xx*_xlpm.L_*N(EK87)/1000)*N(O87)/((Uн_лин/SQRT(3))*1000)*100,999)),_xlpm.kz,IF(OR(_xlpm.dcx,DW87=1,NOT(ISNUMBER(EG87)),_xlpm.L_=0,_xlpm.inn=0),1,IFERROR(--(c_min*(Uн_лин*1000/SQRT(3))/(EG87+2*ρкз_Cu*_xlpm.L_/_xlpm.sz)&gt;=HT87*_xlpm.inn),0)),_xlpm.ok,IFERROR((_xlpm.sz&gt;=_xlpm.smin)*(_xlpm.t_&gt;=_xlpm.inn)*IF(_xlpm.L_&gt;0,(_xlpm.du_+IF(_xlpm.dcx,0,EF87)&lt;=EL87+0.00001),1)*_xlpm.kz,0),_xlpm.r_,_xlfn._xlws.FILTER(_xlpm.sz,_xlpm.ok,"не подобрано"),INDEX(_xlpm.r_,1)))</f>
        <v>1.5</v>
      </c>
      <c r="EN87">
        <f t="shared" si="191"/>
        <v>4</v>
      </c>
      <c r="EO87" cm="1">
        <f t="array" ref="EO87">IF(OR(B87="",BZ87="",EC87&lt;&gt;1),"",_xlfn.LET(_xlpm.sz,Iдоп_S,_xlpm.t_,CHOOSE(EB87,Iдоп_1ж,Iдоп_2ж,Iдоп_3ж)*DZ87*EA87,_xlpm.ok,IFERROR((_xlpm.sz&gt;=MAX(1.5,CC87))*(_xlpm.t_&gt;=N(DT87)),0),_xlpm.r_,_xlfn._xlws.FILTER(_xlpm.sz,_xlpm.ok,""),INDEX(_xlpm.r_,1)))</f>
        <v>1.5</v>
      </c>
      <c r="EP87" s="6" cm="1">
        <f t="array" ref="EP87">IFERROR(ROUNDUP(N(EJ87)*(_xlfn.XLOOKUP(EO87,INDEX(Кабель_сопротивление,0,1),INDEX(Кабель_сопротивление,0,3))*N(P87)/EO87*N(CE87)+_xlfn.XLOOKUP(EO87,INDEX(Кабель_сопротивление,0,1),INDEX(Кабель_сопротивление,0,2))*N(P87)*N(EK87)/1000)*N(O87)/((Uн_лин/SQRT(3))*1000)*100,2),"")</f>
        <v>2.4699999999999998</v>
      </c>
      <c r="EQ87">
        <f>IFERROR(2*ρкз_Cu*N(P87)/EO87,"")</f>
        <v>1.5780000000000001</v>
      </c>
      <c r="ER87">
        <f>IFERROR(VLOOKUP(EN87,Кабель_сопротивление,3,FALSE),"")</f>
        <v>2.2499999999999999E-2</v>
      </c>
      <c r="ES87">
        <f>IFERROR(VLOOKUP(EN87,Кабель_сопротивление,2,FALSE),"")</f>
        <v>9.5000000000000001E-2</v>
      </c>
      <c r="ET87">
        <f t="shared" si="192"/>
        <v>41</v>
      </c>
      <c r="EU87">
        <f t="shared" si="193"/>
        <v>0</v>
      </c>
      <c r="EV87">
        <f t="shared" si="194"/>
        <v>2.1458972847435924</v>
      </c>
      <c r="EW87" s="6">
        <f>IFERROR(ROUNDUP(EV87/IF(BV87=1,BU87,(Uн_лин/SQRT(3))*1000)*100,2),"")</f>
        <v>0.93</v>
      </c>
      <c r="EX87" t="str">
        <f>IFERROR(VLOOKUP(BZ87,Кабель_обозначение,2,FALSE),"")</f>
        <v>ВВГнг(А)-LS</v>
      </c>
      <c r="EY87" t="str">
        <f t="shared" si="195"/>
        <v>ВВГнг(А)-LS (5х4)</v>
      </c>
      <c r="EZ87" t="str">
        <f t="shared" si="196"/>
        <v>ВВГнг(А)-LS (5х4)
L=45-0,93%</v>
      </c>
      <c r="FA87">
        <f>IFERROR(2*ρкз_Cu*P87/EN87,"")</f>
        <v>0.59175</v>
      </c>
      <c r="FB87">
        <f t="shared" si="197"/>
        <v>0.19687500000000002</v>
      </c>
      <c r="FC87" s="6" t="str">
        <f>IFERROR(IF(OR(B87="",BV87=1,NOT(ISNUMBER(EN87)),N(P87)=0),"",_xlfn.XLOOKUP(A87,Щиты[Щит],Щиты[Zпетли на шинах, Ом])+FA87),"")</f>
        <v/>
      </c>
      <c r="FD87" s="6" t="str">
        <f>IF(ISNUMBER(FC87),c_min*(Uн_лин*1000/SQRT(3))/FC87,"")</f>
        <v/>
      </c>
      <c r="FE87" s="6" t="str">
        <f>IFERROR(IF(OR(B87="",NOT(ISNUMBER(EN87))),"",1.05*(Uн_лин*1000/SQRT(3))/(_xlfn.XLOOKUP(A87,Щиты[Щит],Щиты[Zmax на шинах, Ом])+FB87)/1000),"")</f>
        <v/>
      </c>
      <c r="FF87" s="6" t="str">
        <f>IF(B87="","",IF(ISNUMBER(AC87),"Сил",IF(IFERROR(_xlfn.XLOOKUP(BC87,Коды_код,Коды_группа)&amp;"","")="","Быт",_xlfn.XLOOKUP(BC87,Коды_код,Коды_группа)&amp;"")))</f>
        <v>Сил</v>
      </c>
      <c r="FG87" s="6" t="str">
        <f t="shared" si="198"/>
        <v>Сил</v>
      </c>
      <c r="FH87" s="6">
        <f>IF(FG87="Щит","щит",IF(FG87="","",IF(FG87="Быт",IFERROR(_xlfn.XLOOKUP(A87,Щиты[Щит],Щиты[Кс быт]),1),IF(FG87="Сил",IF(ISNUMBER(AC87),AC87,IF(Методика="нормы 2026",IFERROR(_xlfn.XLOOKUP(A87,Щиты[Щит],Щиты[Кс силовых (табл. 7.5)]),1),1)),IF(OR(FG87="Пост",FG87="Отоп"),1,IF(FG87="ВНГ",0.7,0))))))</f>
        <v>0.5</v>
      </c>
      <c r="FI87">
        <f>IF(FG87="","",IF(AND(BP87=1,TRIM(AE87&amp;"")=""),IF(COUNTIFS(Линии[Щит],A87,Линии[Секция (1/2/3)],"&gt;=2")&gt;0,MIN(3,MAX(1,IFERROR(--BD87,1))),1),IFERROR(MIN(3,MAX(1,INT(--AE87))),1)))</f>
        <v>1</v>
      </c>
      <c r="FJ87">
        <f t="shared" si="199"/>
        <v>5.8</v>
      </c>
      <c r="FK87">
        <f t="shared" si="200"/>
        <v>0</v>
      </c>
      <c r="FL87">
        <f t="shared" si="201"/>
        <v>2.9</v>
      </c>
      <c r="FM87">
        <f t="shared" si="202"/>
        <v>0</v>
      </c>
      <c r="FN87">
        <f t="shared" si="203"/>
        <v>0</v>
      </c>
      <c r="FO87">
        <f t="shared" si="204"/>
        <v>0</v>
      </c>
      <c r="FP87">
        <f t="shared" si="205"/>
        <v>5.8</v>
      </c>
      <c r="FQ87">
        <f t="shared" si="206"/>
        <v>5.8</v>
      </c>
      <c r="FR87">
        <f t="shared" si="207"/>
        <v>4.6399999999999997</v>
      </c>
      <c r="FS87">
        <f>IF(CG87=1,IF(AND(CH87=1,CW87=1),0,IF(AND(CS87&lt;&gt;"",CS87=BA87,CW87=1),SUMIFS(Линии[_Р линии, кВт],Линии[_блок УЗО],BA87,Линии[Щит],A87),N(BS87)+IF(AJ87="вручную",0,N(CK87)))),0)</f>
        <v>5.8</v>
      </c>
      <c r="FT87" t="str">
        <f t="shared" si="208"/>
        <v/>
      </c>
      <c r="FU87" t="str">
        <f>IF(B87="","",IF(CG87=0,IF(BA87=1,"",FW86),IF(AND(CH87=1,CW87=1,CS87&lt;&gt;""),IFERROR(_xlfn.XLOOKUP(CS87,Линии[_n],Линии[_фаза итог]),"L1"),IF(OR(N(DL87)&gt;=3,N(BX87)&gt;=3),"L1,L2,L3",IFERROR(_xlfn.TEXTBEFORE(_xlfn.TEXTAFTER(_xlfn.XLOOKUP(A87,Щиты[Щит],Щиты[_фазы авто]),";"&amp;BA87&amp;":"),";"),"L1")))))</f>
        <v>L1,L2,L3</v>
      </c>
      <c r="FV87" t="str">
        <f t="shared" si="209"/>
        <v>L1,L2,L3</v>
      </c>
      <c r="FW87" t="str">
        <f t="shared" si="210"/>
        <v>L1,L2,L3</v>
      </c>
      <c r="FX87" cm="1">
        <f t="array" ref="FX87">IFERROR(IF(CD87=2,_xlfn.IFS(BX87=3,VLOOKUP(BS87,Справочная_двигатели,3,FALSE),BX87=1,VLOOKUP(BS87,Справочная_двигатели,5,TRUE)),0),0)</f>
        <v>0</v>
      </c>
      <c r="FY87">
        <f>IFERROR(IF(CD87=3,VLOOKUP(BS87,Справочная_ЛЭД,2,TRUE),0),0)</f>
        <v>0</v>
      </c>
      <c r="FZ87" s="6">
        <f t="shared" si="211"/>
        <v>0</v>
      </c>
      <c r="GA87" t="str">
        <f>IF(B87="","",IF(TRIM(AH87&amp;"")&lt;&gt;"",IF(LOWER(TRIM(AH87&amp;""))="да","да","нет"),IF(IFERROR(_xlfn.XLOOKUP(BC87,Коды_код,Коды_пожарная),"")="да","да","нет")))</f>
        <v>нет</v>
      </c>
      <c r="GB87" t="str">
        <f t="shared" si="212"/>
        <v/>
      </c>
      <c r="GC87" t="str">
        <f t="shared" si="213"/>
        <v>основная</v>
      </c>
      <c r="GD87">
        <f>IF(AND(BP87=1,TRIM(AE87&amp;"")=""),IF(COUNTIFS(Линии[Щит],A87,Линии[Секция (1/2/3)],"&gt;=2")&gt;0,MIN(3,MAX(1,IFERROR(--BD87,1))),1),IFERROR(MIN(3,MAX(1,INT(--AE87))),1))</f>
        <v>1</v>
      </c>
      <c r="GE87" t="str" cm="1">
        <f t="array" ref="GE87">IF(B87="","",_xlfn.LET(_xlpm.t,IFERROR(_xlfn.XLOOKUP(1,(Шины[Шина]=GC87)*(((Шины[Щит]=A87)+(Шины[Щит]=""))&gt;0),Шины[Тип]),"")&amp;"",IF(_xlpm.t&lt;&gt;"",_xlpm.t,IF(ISNUMBER(SEARCH("ИБП",GC87)),"ИБП",IF(ISNUMBER(SEARCH("ДГУ",GC87)),"ДГУ","Ввод "&amp;GD87)))))</f>
        <v>Ввод 1</v>
      </c>
      <c r="GF87" t="str">
        <f t="shared" si="214"/>
        <v>Ввод 1</v>
      </c>
      <c r="GG87" t="str">
        <f>IF(BP87=0,"",IF(TRIM(AG87&amp;"")&lt;&gt;"",TRIM(AG87&amp;""),IF(OR(GE87="ИБП",GE87="ДГУ"),"I особая",_xlfn.XLOOKUP(A87,Щиты[Щит],Щиты[Категория шины «Ввод»],"III"))))</f>
        <v/>
      </c>
      <c r="GH87" t="str">
        <f>IF(A87="","",_xlfn.XLOOKUP(A87,Щиты[Щит],Щиты[Путь],""))</f>
        <v>|ГРЩ-ЖД|ЩОВ-001|</v>
      </c>
      <c r="GI87" t="str">
        <f>IF(B87="","",IF(AI87&lt;&gt;"",AI87,IF(IFERROR(_xlfn.XLOOKUP(BC87,Коды_код,Коды_вид)&amp;"","")="","Прочее",_xlfn.XLOOKUP(BC87,Коды_код,Коды_вид)&amp;"")))</f>
        <v>Кондиционирование и увлажнение</v>
      </c>
      <c r="GJ87">
        <f>IF(BM87="","",INT((BM87-1)/Столбцов_на_лист)+1)</f>
        <v>4</v>
      </c>
      <c r="GK87" t="str">
        <f t="shared" si="215"/>
        <v>ВВГнг(А)-LS (5х4) L=45-0,93%</v>
      </c>
      <c r="GL87">
        <f t="shared" si="216"/>
        <v>5.8</v>
      </c>
      <c r="GM87">
        <f t="shared" si="217"/>
        <v>10.47</v>
      </c>
      <c r="GN87">
        <f t="shared" si="218"/>
        <v>3</v>
      </c>
      <c r="GO87">
        <f t="shared" si="219"/>
        <v>0</v>
      </c>
      <c r="GP87">
        <f t="shared" si="220"/>
        <v>1</v>
      </c>
      <c r="GQ87">
        <f>IF(BM87="","",IF(AND(CG87=1,GP87=1),COUNTIFS(A$3:A87,A87,CG$3:CG87,1,GP$3:GP87,1),IF(OR(OR(BA87=1,A87&lt;&gt;A86),AJ87="вручную",GP87=0),"",IF(BA87=1,"",GR86))))</f>
        <v>34</v>
      </c>
      <c r="GR87">
        <f t="shared" si="221"/>
        <v>34</v>
      </c>
      <c r="GS87">
        <f>IF(B87="","",IFERROR(LOOKUP(INDEX(CHOOSE(EB87,Iдоп_1ж,Iдоп_2ж,Iдоп_3ж),MATCH(EN87,Iдоп_S,0))*DZ87*EA87,{6,10,16,20,25,32,40,50,63,80,100,125,160,200,250,315,400,500,630}),""))</f>
        <v>32</v>
      </c>
      <c r="GT87" t="str">
        <f t="shared" si="222"/>
        <v>QF34</v>
      </c>
      <c r="GU87" t="str">
        <f t="shared" si="223"/>
        <v>QF34</v>
      </c>
      <c r="GV87" t="str">
        <f t="shared" si="224"/>
        <v/>
      </c>
      <c r="GW87">
        <f t="shared" si="225"/>
        <v>0</v>
      </c>
      <c r="GX87" t="str">
        <f>IF(OR(B87="",DJ87=""),"",IFERROR(_xlfn.XLOOKUP(DJ87,Модули_умолч[Управление],Модули_умолч[Модель])&amp;"",""))</f>
        <v/>
      </c>
      <c r="GY87">
        <f>IF(DJ87="",1,IFERROR(MAX(0,N(_xlfn.XLOOKUP(DJ87,Модули_умолч[Управление],Модули_умолч[Каналов на линию]))),1))</f>
        <v>1</v>
      </c>
      <c r="GZ87" t="str">
        <f t="shared" si="226"/>
        <v/>
      </c>
      <c r="HA87" t="str">
        <f t="shared" si="227"/>
        <v/>
      </c>
      <c r="HB87" t="str">
        <f t="shared" si="228"/>
        <v/>
      </c>
      <c r="HC87">
        <f>IF(HB87="",0,IFERROR(N(VLOOKUP(HB87,Модули_спр,3,FALSE)),0))</f>
        <v>0</v>
      </c>
      <c r="HD87" t="str">
        <f t="shared" si="229"/>
        <v/>
      </c>
      <c r="HE87" t="str">
        <f t="shared" si="230"/>
        <v/>
      </c>
      <c r="HF87" t="str">
        <f>IF(OR(HE87="",HE87="-"),"",IFERROR(VLOOKUP(HE87,Модули_спр,2,FALSE),"R"))</f>
        <v/>
      </c>
      <c r="HG87" t="str">
        <f>IF(HF87="","",HF87&amp;"."&amp;COUNTIFS(A$3:A87,A87,HF$3:HF87,HF87))</f>
        <v/>
      </c>
      <c r="HH87" t="str">
        <f t="shared" si="231"/>
        <v/>
      </c>
      <c r="HI87" t="str">
        <f t="shared" si="232"/>
        <v/>
      </c>
      <c r="HJ87" t="str">
        <f t="shared" si="233"/>
        <v/>
      </c>
      <c r="HK87" t="str">
        <f t="shared" si="234"/>
        <v/>
      </c>
      <c r="HL87">
        <f t="shared" si="235"/>
        <v>1</v>
      </c>
      <c r="HM87" t="str">
        <f>IF(HL87=1,"XT"&amp;COUNTIFS(A$3:A87,A87,HL$3:HL87,1),"")</f>
        <v>XT34</v>
      </c>
      <c r="HN87" t="str">
        <f t="shared" si="236"/>
        <v>XT34</v>
      </c>
      <c r="HO87" t="str">
        <f t="shared" si="237"/>
        <v>QF34</v>
      </c>
      <c r="HP87" t="str">
        <f t="shared" si="238"/>
        <v/>
      </c>
      <c r="HQ87" t="str">
        <f t="shared" si="239"/>
        <v>ok</v>
      </c>
      <c r="HR87" t="str">
        <f>IF(OR(HJ87="",HH87=""),"",IF(HJ87+MAX(0,GY87-1)&gt;IFERROR(VLOOKUP(HI87,Модули_спр,3,FALSE),99),"ЛИШНИЙ КАНАЛ",IF(AND(AL87&lt;&gt;"=",GY87&gt;0,COUNTIFS(Линии[_модуль гр.],HH87,Линии[Канал (итог)],HJ87,Линии[Канал],"&lt;&gt;=",Линии[Щит],A87)&gt;1),"ДУБЛЬ КАНАЛА","")))</f>
        <v/>
      </c>
      <c r="HS87" s="6" t="str">
        <f t="shared" si="240"/>
        <v/>
      </c>
      <c r="HT87">
        <f t="shared" si="241"/>
        <v>10</v>
      </c>
      <c r="HU87" t="str">
        <f t="shared" si="242"/>
        <v/>
      </c>
      <c r="HV87">
        <f t="shared" si="243"/>
        <v>4.6357894516247873</v>
      </c>
      <c r="HW87">
        <f t="shared" si="244"/>
        <v>0</v>
      </c>
      <c r="HX87">
        <f t="shared" si="245"/>
        <v>0</v>
      </c>
      <c r="HY87">
        <f t="shared" si="246"/>
        <v>0</v>
      </c>
      <c r="HZ87">
        <f t="shared" si="247"/>
        <v>0</v>
      </c>
      <c r="IA87">
        <f t="shared" si="248"/>
        <v>0</v>
      </c>
      <c r="IB87">
        <f t="shared" si="249"/>
        <v>0</v>
      </c>
      <c r="IC87" t="str">
        <f t="shared" si="250"/>
        <v/>
      </c>
      <c r="ID87" t="str" cm="1">
        <f t="array" ref="ID87">IF(IC87="","",_xlfn.LET(_xlpm.tk,_xlfn.TEXTSPLIT(SUBSTITUTE(SUBSTITUTE(IC87,";"," "),"→"," ")," ",,TRUE),_xlpm.w_,_xlfn._xlws.FILTER(_xlpm.tk,ISNUMBER(--LEFT(_xlpm.tk,1))*((ISNUMBER(SEARCH("W",_xlpm.tk))+ISNUMBER(SEARCH("Вт",_xlpm.tk)))&gt;0),""),IFERROR(--SUBSTITUTE(SUBSTITUTE(UPPER(INDEX(_xlpm.w_,1)),"W",""),"ВТ",""),"")))</f>
        <v/>
      </c>
      <c r="IE87" t="str" cm="1">
        <f t="array" ref="IE87">IF(IC87="","",_xlfn.LET(_xlpm.tk,_xlfn.TEXTSPLIT(SUBSTITUTE(SUBSTITUTE(IC87,";"," "),"→"," ")," ",,TRUE),_xlpm.v_,_xlfn._xlws.FILTER(_xlpm.tk,ISNUMBER(--LEFT(_xlpm.tk,1))*((ISNUMBER(SEARCH("V",_xlpm.tk))+(RIGHT(UPPER(_xlpm.tk))="В"))&gt;0),""),IFERROR(--SUBSTITUTE(SUBSTITUTE(UPPER(INDEX(_xlpm.v_,1)),"V",""),"В",""),"")))</f>
        <v/>
      </c>
      <c r="IF87" s="6" t="str">
        <f>IF(OR(BV87=0,HI87="",HJ87=""),"",IFERROR(N(_xlfn.XLOOKUP(HI87,Каталог!$C$4:$C$500,Каталог!$Q$4:$Q$500)),""))</f>
        <v/>
      </c>
      <c r="IG87" s="6" t="str">
        <f>IF(N(IF87)=0,"",SUMIFS(Линии[Iр, А],Линии[Щит],A87,Линии[_модуль гр.],HH87,Линии[Канал (итог)],HJ87))</f>
        <v/>
      </c>
      <c r="IH87" t="str">
        <f>IF(AND(B87="",HO87=""),"",_xlfn.TEXTJOIN("; ",TRUE,IF(AND(B87&lt;&gt;"",FV87=""),"нет фазы",""),IF(AND(B87&lt;&gt;"",N(GL87)=0,FG87&lt;&gt;"Нет"),"нет мощности",""),IF(AND(HN87&lt;&gt;"",COUNTIFS(Линии[Щит],A87,Линии[Клемма (итог)],HN87)&gt;1),"дубль клеммы "&amp;HN87,""),IF(AND(HQ87&lt;&gt;"",HQ87&lt;&gt;"ok"),HQ87,""),IF(HR87&lt;&gt;"",HR87,""),IF(AND(N(CB87)&gt;=4,N(BX87)=1),CB87&amp;" жил на 1 фазе",""),IF(AND(BC87="R",CG87=1,IF(CS87&lt;&gt;"",N(CV87)&gt;30,OR(N(DA87)=0,N(DA87)&gt;30))),"розетка без дифзащиты до 30 мА",""),IF(AND(CG87=1,N(DA87)&gt;0,ISNUMBER(T87)),IF(T87&gt;N(DA87)/3,"ток утечки "&amp;FIXED(T87,1)&amp;" мА &gt; 1/3 уставки ("&amp;DA87&amp;" мА)",""),""),IF(AND(CH87=1,CS87=""),"«узо»: нет строки с УЗО выше (УЗО 2P 40А 30мА в «Аппаратах»)",""),IF(AND(CS87&lt;&gt;"",CS87=BA87),IF(CT87="","впишите номинал УЗО (УЗО 2P 40А 30мА)",IF(N(CT87)&lt;N(DT87),"УЗО "&amp;CT87&amp;" А &lt; автомата "&amp;DT87&amp;" А перед ним",IF(N(CT87)&lt;N(CX87),"УЗО "&amp;CT87&amp;" А &lt; тока блока "&amp;FIXED(CX87,1)&amp;" А",""))),""),IF(AND(CS87&lt;&gt;"",CS87=BA87,ISNUMBER(CY87)),IF(CY87&gt;N(CV87)/3,"ток утечки блока УЗО "&amp;FIXED(CY87,1)&amp;" мА &gt; 1/3 уставки ("&amp;CV87&amp;" мА)",""),""),IF(AND(CG87=1,N(BV87)+N(IB87)&gt;0,IC87=""),"линии до 50 В без БП: впишите в «Аппараты» (БП 24V 480W)",""),IF(AND(CG87=1,ISNUMBER(ID87),ISNUMBER(U87)),IF(U87&gt;ID87,"БП "&amp;ID87&amp;" Вт &lt; нужно "&amp;U87&amp;" Вт (×"&amp;Запас_БП&amp;")",""),""),IF(AND(CG87=1,ISNUMBER(IE87),N(BV87)=1),IF(IE87&lt;&gt;N(BU87),"БП на "&amp;IE87&amp;" В, линия "&amp;BU87&amp;" В",""),""),IF(AND(N(IF87)&gt;0,N(IG87)&gt;N(IF87)),HH87&amp;" канал "&amp;HJ87&amp;": "&amp;FIXED(IG87,1)&amp;" А &gt; "&amp;IF87&amp;" А",""),IFERROR(IF(AND(ISNUMBER(Q87),Q87&gt;EL87),"потери "&amp;FIXED(Q87,1)&amp;" % &gt; "&amp;EL87&amp;" %",""),""),IFERROR(IF(LEFT(HU87,4)="мало","Iкз мало — отключение &gt; 0,4 с",""),""),IF(AND(B87&lt;&gt;"",BM87=""),"не на схеме",""),IF(AND(CG87=0,B87&lt;&gt;"",FV87&lt;&gt;"",IF(BA87=1,"",FW86)&lt;&gt;"",FV87&lt;&gt;IF(BA87=1,"",FW86)),"фаза не как у автомата группы ("&amp;IF(BA87=1,"",FW86)&amp;")","")))</f>
        <v/>
      </c>
      <c r="II87" s="6" t="str">
        <f>IF(OR(CG87=0,DQ87=""),"",_xlfn.LET(_xlpm.t,IFERROR(_xlfn.XLOOKUP(DQ87,Каталог!$U$4:$U$500,Каталог!$G$4:$G$500),""),_xlpm.k,SEARCH("кА",_xlpm.t),IFERROR(--TRIM(RIGHT(SUBSTITUTE(MID(_xlpm.t,MAX(1,_xlpm.k-4),_xlpm.k-MAX(1,_xlpm.k-4))," ",REPT(" ",9)),5)),"")))</f>
        <v/>
      </c>
      <c r="IJ87" t="str">
        <f>IF(OR(II87="",CG87=0),"",IF(_xlfn.XLOOKUP(A87,Щиты[Щит],Щиты[Iкз max на шинах, кА],"")="","",IF(II87&lt;_xlfn.XLOOKUP(A87,Щиты[Щит],Щиты[Iкз max на шинах, кА]),"Icu "&amp;II87&amp;" кА &lt; Iкз max","ok")))</f>
        <v/>
      </c>
      <c r="IK87" t="str">
        <f t="shared" si="251"/>
        <v/>
      </c>
      <c r="IL87" t="str">
        <f t="shared" si="252"/>
        <v>QF34|XT34</v>
      </c>
      <c r="IM87" t="str">
        <f t="shared" si="253"/>
        <v>QF34|XT34|кабель ВВГнг(А)-LS (5х4) → Внешний блок кондиционирования Пом. Венткиосок</v>
      </c>
      <c r="IN87" t="str" cm="1">
        <f t="array" ref="IN87">IF(IM87="","",_xlfn.LET(_xlpm.nd,_xlfn.TEXTSPLIT(IM87,"|"),IF(COLUMNS(_xlpm.nd)&gt;1,A87&amp;"¦"&amp;INDEX(_xlpm.nd,1)&amp;"¦"&amp;INDEX(_xlpm.nd,2),"")))</f>
        <v>ЩОВ-001¦QF34¦XT34</v>
      </c>
      <c r="IO87" t="str">
        <f t="shared" si="254"/>
        <v>НБ-4¦Внешний блок кондиционирования Пом. Венткиосок</v>
      </c>
      <c r="IP87" t="str" cm="1">
        <f t="array" ref="IP87">IF(IM87="","",_xlfn.LET(_xlpm.nd,_xlfn.TEXTSPLIT(IM87,"|"),IF(COLUMNS(_xlpm.nd)&gt;2,A87&amp;"¦"&amp;INDEX(_xlpm.nd,2)&amp;"¦"&amp;INDEX(_xlpm.nd,3),"")))</f>
        <v>ЩОВ-001¦XT34¦кабель ВВГнг(А)-LS (5х4) → Внешний блок кондиционирования Пом. Венткиосок</v>
      </c>
      <c r="IQ87" t="str">
        <f t="shared" si="255"/>
        <v>НБ-4¦Внешний блок кондиционирования Пом. Венткиосок</v>
      </c>
      <c r="IR87" t="str" cm="1">
        <f t="array" ref="IR87">IF(IM87="","",_xlfn.LET(_xlpm.nd,_xlfn.TEXTSPLIT(IM87,"|"),IF(COLUMNS(_xlpm.nd)&gt;3,A87&amp;"¦"&amp;INDEX(_xlpm.nd,3)&amp;"¦"&amp;INDEX(_xlpm.nd,4),"")))</f>
        <v/>
      </c>
      <c r="IS87" t="str">
        <f t="shared" si="256"/>
        <v/>
      </c>
      <c r="IT87" t="str" cm="1">
        <f t="array" ref="IT87">IF(IM87="","",_xlfn.LET(_xlpm.nd,_xlfn.TEXTSPLIT(IM87,"|"),IF(COLUMNS(_xlpm.nd)&gt;4,A87&amp;"¦"&amp;INDEX(_xlpm.nd,4)&amp;"¦"&amp;INDEX(_xlpm.nd,5),"")))</f>
        <v/>
      </c>
      <c r="IU87" t="str">
        <f t="shared" si="257"/>
        <v/>
      </c>
      <c r="IV87" t="str" cm="1">
        <f t="array" ref="IV87">IF(IM87="","",_xlfn.LET(_xlpm.nd,_xlfn.TEXTSPLIT(IM87,"|"),IF(COLUMNS(_xlpm.nd)&gt;5,A87&amp;"¦"&amp;INDEX(_xlpm.nd,5)&amp;"¦"&amp;INDEX(_xlpm.nd,6),"")))</f>
        <v/>
      </c>
      <c r="IW87" t="str">
        <f t="shared" si="258"/>
        <v/>
      </c>
      <c r="IX87" t="str" cm="1">
        <f t="array" ref="IX87">IF(IM87="","",_xlfn.LET(_xlpm.nd,_xlfn.TEXTSPLIT(IM87,"|"),IF(COLUMNS(_xlpm.nd)&gt;6,A87&amp;"¦"&amp;INDEX(_xlpm.nd,6)&amp;"¦"&amp;INDEX(_xlpm.nd,7),"")))</f>
        <v/>
      </c>
      <c r="IY87" t="str">
        <f t="shared" si="259"/>
        <v/>
      </c>
      <c r="IZ87" t="str">
        <f t="shared" si="260"/>
        <v/>
      </c>
      <c r="JA87" t="str">
        <f t="shared" si="261"/>
        <v>QF34 → XT34</v>
      </c>
      <c r="JB87">
        <f t="shared" si="262"/>
        <v>0</v>
      </c>
      <c r="JC87">
        <f t="shared" si="263"/>
        <v>0</v>
      </c>
      <c r="JD87" t="str">
        <f t="shared" si="264"/>
        <v/>
      </c>
      <c r="JE87" t="str">
        <f t="shared" si="265"/>
        <v/>
      </c>
      <c r="JF87" t="str">
        <f t="shared" si="266"/>
        <v/>
      </c>
      <c r="JG87" t="str">
        <f t="shared" si="267"/>
        <v/>
      </c>
      <c r="JH87" t="str">
        <f>IF(B87="","",IFERROR(_xlfn.XLOOKUP(B87,Коды_код,Коды_уго),IFERROR(_xlfn.XLOOKUP(BC87,Коды_код,Коды_уго),IFERROR(_xlfn.XLOOKUP(LEFT(BC87,2),Коды_код,Коды_уго),""))))</f>
        <v>Привод (двигатель)</v>
      </c>
      <c r="JI87" t="str">
        <f>IF(B87="","",IF(OR(JH87="",JH87=0),"BOX",IFERROR(IF(VLOOKUP(JH87,УГО_блоки,3,FALSE)&amp;""&lt;&gt;"",VLOOKUP(JH87,УГО_блоки,3,FALSE),VLOOKUP(JH87,УГО_блоки,2,FALSE)),JH87)))</f>
        <v>MOTOR</v>
      </c>
      <c r="JJ87">
        <f t="shared" si="268"/>
        <v>1</v>
      </c>
      <c r="JK87" t="str">
        <f>IF(DQ87="","",IF(COUNTIF(DQ$3:DQ87,DQ87)=1,MAX(JK$2:JK86)+1,""))</f>
        <v/>
      </c>
      <c r="JL87" t="str">
        <f>IF(DE87="","",IF(COUNTIF(DE$3:DE87,DE87)+COUNTIF(DF$2:DF86,DE87)+COUNTIF(DG$2:DG86,DE87)=1,MAX(JL$2:JN86)+1,""))</f>
        <v/>
      </c>
      <c r="JM87" t="str">
        <f>IF(DF87="","",IF(COUNTIF(DE$3:DE87,DF87)+COUNTIF(DF$3:DF87,DF87)+COUNTIF(DG$2:DG86,DF87)=1,MAX(JL$2:JN86,JL87)+1,""))</f>
        <v/>
      </c>
      <c r="JN87" t="str">
        <f>IF(DG87="","",IF(COUNTIF(DE$3:DE87,DG87)+COUNTIF(DF$3:DF87,DG87)+COUNTIF(DG$3:DG87,DG87)=1,MAX(JL$2:JN86,JL87,JM87)+1,""))</f>
        <v/>
      </c>
      <c r="JO87" t="str">
        <f t="shared" si="269"/>
        <v>5х4</v>
      </c>
      <c r="JP87" t="str">
        <f>IF(JO87="","",IF(COUNTIF(JO$3:JO87,JO87)=1,MAX(JP$2:JP86)+1,""))</f>
        <v/>
      </c>
      <c r="JQ87" t="str">
        <f>IF(HG87="","",COUNTIF(HG$3:HG87,"?*"))</f>
        <v/>
      </c>
      <c r="JR87" t="str">
        <f>IF(OR(HG87="",HI87=""),"",IF(COUNTIFS(HG$3:HG87,"?*",HI$3:HI87,HI87)=1,MAX(JR$2:JR86)+1,""))</f>
        <v/>
      </c>
      <c r="JS87">
        <f t="shared" si="270"/>
        <v>0</v>
      </c>
      <c r="JT87">
        <f>IF(B87="","",COUNTIF(B$3:B87,"?*"))</f>
        <v>85</v>
      </c>
      <c r="JU87">
        <f>IF(HL87&lt;&gt;1,0,_xlfn.LET(_xlpm.k,MAX(IFERROR(--_xlfn.XLOOKUP(B87,Коды_код,Коды_3L),0),IFERROR(--_xlfn.XLOOKUP(BC87,Коды_код,Коды_3L),0),IFERROR(--_xlfn.XLOOKUP(LEFT(BC87,2),Коды_код,Коды_3L),0)),IF(_xlpm.k&gt;0,_xlpm.k,IF(IFERROR(--LEFT(SUBSTITUTE(JO87,"x","х"),FIND("х",SUBSTITUTE(JO87,"x","х"))-1),3)&gt;3,Каталог!$S$9,1))))</f>
        <v>1</v>
      </c>
      <c r="JV87">
        <f t="shared" si="271"/>
        <v>2</v>
      </c>
      <c r="JW87" t="str">
        <f t="shared" si="272"/>
        <v>авто</v>
      </c>
      <c r="JX87" t="str">
        <f t="shared" si="273"/>
        <v/>
      </c>
      <c r="JY87">
        <f t="shared" si="274"/>
        <v>0</v>
      </c>
      <c r="JZ87">
        <f t="shared" si="275"/>
        <v>1</v>
      </c>
    </row>
    <row r="88" spans="1:286" x14ac:dyDescent="0.3">
      <c r="A88" t="s">
        <v>749</v>
      </c>
      <c r="B88" t="s">
        <v>741</v>
      </c>
      <c r="C88" t="s">
        <v>52</v>
      </c>
      <c r="D88">
        <v>1</v>
      </c>
      <c r="E88">
        <f>Линии[[#This Row],[_авто Р]]</f>
        <v>6.99</v>
      </c>
      <c r="G88">
        <v>16</v>
      </c>
      <c r="H88" t="str">
        <f>Линии[[#This Row],[_авто управление]]</f>
        <v/>
      </c>
      <c r="I88" t="str">
        <f>Линии[[#This Row],[_авто аппараты]]</f>
        <v/>
      </c>
      <c r="J88">
        <v>4</v>
      </c>
      <c r="K88">
        <v>34</v>
      </c>
      <c r="L88" t="str">
        <f>Линии[[#This Row],[_авто фаза]]</f>
        <v>L1,L2,L3</v>
      </c>
      <c r="M88" t="str">
        <f>Линии[[#This Row],[_авто клемма]]</f>
        <v/>
      </c>
      <c r="N88" t="str">
        <f t="shared" si="138"/>
        <v/>
      </c>
      <c r="O88" s="6" cm="1">
        <f t="array" ref="O88">IF(B88="","",IF(BH88&lt;&gt;"",IFERROR(_xlfn.XLOOKUP(BH88,Щиты[Щит],Щиты[Iр, А]),""),IF(BP88=1,IF(OR(N(_xlfn.XLOOKUP(A88,Щиты[Щит],Щиты[Вводов],1))&lt;=1,LOWER(TRIM(_xlfn.XLOOKUP(A88,Щиты[Щит],Щиты[АВР],"")&amp;""))="да"),IFERROR(_xlfn.XLOOKUP(A88,Щиты[Щит],Щиты[Iр, А]),""),IFERROR(N(BS88)*_xlfn.XLOOKUP(A88,Щиты[Щит],Щиты[Кс итог])/(SQRT(3)*Uн_лин*_xlfn.XLOOKUP(A88,Щиты[Щит],Щиты[cos φ])),"")),IF(BV88=1,IFERROR(BS88*1000/BU88,""),IFERROR(_xlfn.IFS(BX88=1,BS88/((Uн_лин/SQRT(3))*CE88),BX88=3,BS88/(SQRT(3)*Uн_лин*CE88)),"")))))</f>
        <v>8.1189881604791125</v>
      </c>
      <c r="P88" s="7">
        <f>IF(B88="","",IFERROR(IF(VLOOKUP(BC88,Потребители_обозначение,4,FALSE)=1,VLOOKUP(BC88,Потребители_обозначение,3,FALSE)*(MAX(1,N(D88))*2-1)+EI88+VLOOKUP(BE88,Этаж_обозначение,3,FALSE)+VLOOKUP(BE88,Этаж_обозначение,4,FALSE),VLOOKUP(BC88,Потребители_обозначение,3,FALSE)*(MAX(1,N(D88))*2-1)+EI88),EI88))</f>
        <v>34</v>
      </c>
      <c r="Q88" s="6">
        <f t="shared" si="139"/>
        <v>1.29</v>
      </c>
      <c r="R88" t="str">
        <f t="shared" si="140"/>
        <v>ВВГнг(А)-LS (5х4)</v>
      </c>
      <c r="S88" t="str">
        <f>IF(BM88="","",IF(BN88="вводной узел","узел ","")&amp;"л."&amp;(INT((BM88-1)/Столбцов_на_лист)+1)&amp;" / "&amp;(MOD(BM88-1,Столбцов_на_лист)+1))</f>
        <v>узел л.1 / 2</v>
      </c>
      <c r="T88" s="119" t="str">
        <f t="shared" si="141"/>
        <v/>
      </c>
      <c r="U88" s="7" t="str">
        <f>IF(OR(CG88=0,N(BV88)+N(IB88)=0),"",ROUNDUP(Запас_БП*(N(HY88)+N(HZ88)),0))</f>
        <v/>
      </c>
      <c r="V88" s="119" t="str">
        <f t="shared" si="142"/>
        <v/>
      </c>
      <c r="W88" s="7" t="str">
        <f>IFERROR(IF(OR(B88="",BP88=1,BV88=1,NOT(ISNUMBER(EN88)),N(DT88)=0),"",MAX(0,ROUNDDOWN((c_min*(Uн_лин*1000/SQRT(3))/(HT88*N(DT88))-_xlfn.XLOOKUP(A88,Щиты[Щит],Щиты[Zпетли на шинах, Ом]))*EN88/(2*ρкз_Cu),0))),"")</f>
        <v/>
      </c>
      <c r="Y88" t="str">
        <f>Линии[[#This Row],[_авто утечка]]</f>
        <v/>
      </c>
      <c r="Z88">
        <v>3</v>
      </c>
      <c r="AA88">
        <v>400</v>
      </c>
      <c r="AB88" t="s">
        <v>547</v>
      </c>
      <c r="AJ88" t="s">
        <v>1344</v>
      </c>
      <c r="AK88" t="str">
        <f>Линии[[#This Row],[_авто модуль]]</f>
        <v/>
      </c>
      <c r="AM88">
        <v>2</v>
      </c>
      <c r="AN88" t="s">
        <v>11</v>
      </c>
      <c r="AO88">
        <v>5</v>
      </c>
      <c r="AQ88">
        <v>16</v>
      </c>
      <c r="AR88">
        <v>18</v>
      </c>
      <c r="AT88">
        <v>1</v>
      </c>
      <c r="BA88" cm="1">
        <f t="array" ref="BA88">ROW()-ROW(Линии[#Headers])</f>
        <v>86</v>
      </c>
      <c r="BC88" s="6" t="str">
        <f t="shared" si="143"/>
        <v>Ввод</v>
      </c>
      <c r="BD88" t="str">
        <f t="shared" si="144"/>
        <v>1</v>
      </c>
      <c r="BE88" t="str">
        <f t="shared" si="145"/>
        <v>1</v>
      </c>
      <c r="BF88" t="str">
        <f t="shared" si="146"/>
        <v/>
      </c>
      <c r="BG88" t="str">
        <f t="shared" si="147"/>
        <v/>
      </c>
      <c r="BH88" t="str">
        <f>IF(X88&lt;&gt;"",X88,IF(AND(B88&lt;&gt;"",B88&lt;&gt;A88,ISNUMBER(_xlfn.XMATCH(B88,Щиты[Щит]))),B88,""))</f>
        <v/>
      </c>
      <c r="BI88" t="str" cm="1">
        <f t="array" ref="BI88">IF(B88="","",IF(BH88&lt;&gt;"","Щит "&amp;BH88,_xlfn.LET(_xlpm.nm,IFERROR(_xlfn.XLOOKUP(BC88,Коды_код,Коды_имя)&amp;"",""),_xlpm.md,IFERROR(N(_xlfn.XLOOKUP(BC88,Коды_код,Коды_режим)),1),_xlpm.ex,IF(Имя_режим="по экспликации",IFERROR(_xlfn.XLOOKUP(BE88&amp;"|"&amp;BG88,Экспликация[Этаж]&amp;"|"&amp;Экспликация[Помещение],Экспликация[Название])&amp;"",""),""),_xlpm.rm,IF(BG88="","",IF(_xlpm.ex&lt;&gt;"",". "&amp;_xlpm.ex&amp;IF(Имя_пом="нет"," ("&amp;BG88&amp;")"," (пом. "&amp;BG88&amp;")"),IF(Имя_пом="нет"," ",", пом. ")&amp;BG88)),IF(_xlpm.nm="","",IF(_xlpm.md=2,_xlpm.nm&amp;" шлейф "&amp;BE88,_xlpm.nm&amp;_xlpm.rm)))))</f>
        <v>Вводной кабель шлейф 1</v>
      </c>
      <c r="BJ88" t="str">
        <f t="shared" si="148"/>
        <v>Ввод</v>
      </c>
      <c r="BK88">
        <f>IFERROR(_xlfn.XMATCH(A88,Щиты[Щит]),0)</f>
        <v>5</v>
      </c>
      <c r="BL88">
        <f>_xlfn.LET(_xlpm.k,IFERROR(_xlfn.XLOOKUP(A88,Щиты[Щит],Щиты[Мест под вводной узел]),""),IF(_xlpm.k="",Столбцов_на_лист,N(_xlpm.k)))</f>
        <v>18</v>
      </c>
      <c r="BM88">
        <f t="shared" si="149"/>
        <v>2</v>
      </c>
      <c r="BN88" t="str">
        <f t="shared" si="150"/>
        <v>вводной узел</v>
      </c>
      <c r="BO88" s="6">
        <f>IFERROR(N(_xlfn.XLOOKUP(BC88,Коды_код,Коды_квт)),0)</f>
        <v>0</v>
      </c>
      <c r="BP88">
        <f t="shared" si="151"/>
        <v>1</v>
      </c>
      <c r="BQ88">
        <f>IF(B88="","",IF(BH88&lt;&gt;"",IFERROR(_xlfn.XLOOKUP(BH88,Щиты[Щит],Щиты[Руст, кВт]),0),IF(BP88=1,IF(OR(N(_xlfn.XLOOKUP(A88,Щиты[Щит],Щиты[Вводов],1))&lt;=1,LOWER(TRIM(_xlfn.XLOOKUP(A88,Щиты[Щит],Щиты[АВР],"")&amp;""))="да"),IFERROR(_xlfn.XLOOKUP(A88,Щиты[Щит],Щиты[Руст, кВт]),0),SUMIFS(Линии[_Р для вводов],Линии[Щит],A88,Линии[Источник для режимов],GF88)),IF(BO88&gt;0,ROUND(BO88*MAX(1,N(D88)),3),""))))</f>
        <v>6.99</v>
      </c>
      <c r="BR88">
        <f t="shared" si="152"/>
        <v>6.99</v>
      </c>
      <c r="BS88" s="6">
        <f>IF(B88="","",IF(BH88&lt;&gt;"",IFERROR(_xlfn.XLOOKUP(BH88,Щиты[Щит],Щиты[Руст, кВт]),0),N(BR88)))</f>
        <v>6.99</v>
      </c>
      <c r="BT88" t="str">
        <f>IF(B88="","",IFERROR(IF(VLOOKUP(BC88,Потребители_обозначение,8,FALSE)=0,"",VLOOKUP(BC88,Потребители_обозначение,8,FALSE)),""))</f>
        <v/>
      </c>
      <c r="BU88">
        <f t="shared" si="153"/>
        <v>400</v>
      </c>
      <c r="BV88">
        <f t="shared" si="154"/>
        <v>0</v>
      </c>
      <c r="BW88">
        <f>IF(B88="","",IF(BH88&lt;&gt;"",3,IFERROR(IF(N(VLOOKUP(BC88,Потребители_обозначение,9,FALSE))=0,1,VLOOKUP(BC88,Потребители_обозначение,9,FALSE)),1)))</f>
        <v>1</v>
      </c>
      <c r="BX88">
        <f t="shared" si="155"/>
        <v>3</v>
      </c>
      <c r="BY88" t="str">
        <f>IF(B88="","",_xlfn.LET(_xlpm.bc,IFERROR(IF(VLOOKUP(BC88,Потребители_обозначение,6,FALSE)=0,"",VLOOKUP(BC88,Потребители_обозначение,6,FALSE)&amp;""),""),IF(AND(GA88="да",OR(_xlpm.bc="",_xlpm.bc="мс")),Марка_пож,IF(AND(_xlpm.bc="",BH88&lt;&gt;""),"мс",_xlpm.bc))))</f>
        <v/>
      </c>
      <c r="BZ88" t="str">
        <f t="shared" si="156"/>
        <v>мс</v>
      </c>
      <c r="CA88">
        <f>IF(B88="","",_xlfn.LET(_xlpm.cc,IFERROR(N(VLOOKUP(BC88,Потребители_обозначение,7,FALSE)),0),IF(_xlpm.cc&gt;0,_xlpm.cc,IF(BZ88="","",IF(BV88=1,2,IF(N(BX88)=3,5,3))))))</f>
        <v>5</v>
      </c>
      <c r="CB88">
        <f t="shared" si="157"/>
        <v>5</v>
      </c>
      <c r="CC88">
        <f>IFERROR(N(VLOOKUP(BC88,Потребители_обозначение,10,FALSE)),0)</f>
        <v>0</v>
      </c>
      <c r="CD88">
        <f>IFERROR(VLOOKUP(BC88,Потребители_обозначение,5,FALSE),0)</f>
        <v>1</v>
      </c>
      <c r="CE88" s="6" cm="1">
        <f t="array" ref="CE88">IF(B88="","",IF(BH88&lt;&gt;"",IFERROR(_xlfn.XLOOKUP(BH88,Щиты[Щит],Щиты[cos φ]),0.95),IF(BP88=1,IFERROR(_xlfn.XLOOKUP(A88,Щиты[Щит],Щиты[cos φ]),0.95),IF(ISNUMBER(AD88),AD88,IFERROR(IF(CD88=2,_xlfn.IFS(BX88=3,VLOOKUP(BS88,Справочная_двигатели,8,FALSE),BX88=1,VLOOKUP(BS88,Справочная_двигатели,10,TRUE)),IF(AND(Методика="нормы 2026",FG88="Сил"),0.8,0.95)),0.95)))))</f>
        <v>0.79999999999999982</v>
      </c>
      <c r="CF88">
        <f t="shared" si="158"/>
        <v>0</v>
      </c>
      <c r="CG88">
        <f t="shared" si="159"/>
        <v>1</v>
      </c>
      <c r="CH88">
        <f t="shared" si="160"/>
        <v>0</v>
      </c>
      <c r="CI88">
        <f>IF(B88="","",IF(BV88=1,IFERROR(BS88/((Uн_лин/SQRT(3))*MAX(0.5,N(CE88))),0),N(O88)))</f>
        <v>8.1189881604791125</v>
      </c>
      <c r="CJ88">
        <f t="shared" si="161"/>
        <v>0</v>
      </c>
      <c r="CK88">
        <f t="shared" si="162"/>
        <v>0</v>
      </c>
      <c r="CL88">
        <f t="shared" si="163"/>
        <v>0</v>
      </c>
      <c r="CM88">
        <f t="shared" si="164"/>
        <v>0</v>
      </c>
      <c r="CN88">
        <f t="shared" si="165"/>
        <v>0</v>
      </c>
      <c r="CO88">
        <f>IF(BC88="",0,_xlfn.LET(_xlpm.v,IFERROR(_xlfn.XLOOKUP(B88,Коды_код,Коды_мА),IFERROR(_xlfn.XLOOKUP(BC88,Коды_код,Коды_мА),IFERROR(_xlfn.XLOOKUP(LEFT(BC88,2),Коды_код,Коды_мА),""))),IF(_xlpm.v="да",30,IF(ISNUMBER(_xlpm.v),_xlpm.v,0))))</f>
        <v>0</v>
      </c>
      <c r="CP88" t="str">
        <f t="shared" si="166"/>
        <v/>
      </c>
      <c r="CQ88" t="str">
        <f>_xlfn.LET(_xlpm.k,IFERROR(_xlfn.XLOOKUP(BC88,Коды_код,Коды_утечка)&amp;"",""),IF(_xlpm.k="","дифавтомат",_xlpm.k))</f>
        <v>дифавтомат</v>
      </c>
      <c r="CR88" t="str" cm="1">
        <f t="array" ref="CR88">IF(CG88=0,"",_xlfn.LET(_xlpm.sg,TRIM(_xlfn.TEXTSPLIT(DD88&amp;"",";")),_xlpm.f_,_xlfn._xlws.FILTER(_xlpm.sg,LEFT(_xlpm.sg,3)="УЗО",""),IFERROR(INDEX(_xlpm.f_,1)&amp;"","")))</f>
        <v/>
      </c>
      <c r="CS88" t="str">
        <f t="shared" si="167"/>
        <v/>
      </c>
      <c r="CT88" s="6" t="str" cm="1">
        <f t="array" ref="CT88">IF(CR88="","",_xlfn.LET(_xlpm.tk,_xlfn.TEXTSPLIT(UPPER(CR88)," ",,TRUE),_xlpm.a_,_xlfn._xlws.FILTER(_xlpm.tk,ISNUMBER(--LEFT(_xlpm.tk,1))*((ISNUMBER(SEARCH("А",_xlpm.tk))+ISNUMBER(SEARCH("A",_xlpm.tk)))&gt;0)*NOT(ISNUMBER(SEARCH("МА",_xlpm.tk)))*NOT(ISNUMBER(SEARCH("MA",_xlpm.tk))),""),IFERROR(--SUBSTITUTE(SUBSTITUTE(INDEX(_xlpm.a_,1),"А",""),"A",""),"")))</f>
        <v/>
      </c>
      <c r="CU88" t="str" cm="1">
        <f t="array" ref="CU88">IF(CR88="","",_xlfn.LET(_xlpm.tk,_xlfn.TEXTSPLIT(UPPER(CR88)," ",,TRUE),_xlpm.a_,_xlfn._xlws.FILTER(_xlpm.tk,ISNUMBER(--LEFT(_xlpm.tk,1))*((ISNUMBER(SEARCH("МА",_xlpm.tk))+ISNUMBER(SEARCH("MA",_xlpm.tk)))&gt;0),""),IFERROR(--SUBSTITUTE(SUBSTITUTE(INDEX(_xlpm.a_,1),"МА",""),"MA",""),30)))</f>
        <v/>
      </c>
      <c r="CV88" t="str">
        <f>IF(CS88="","",IFERROR(_xlfn.XLOOKUP(CS88,Линии[_n],Линии[_УЗО, мА]),30))</f>
        <v/>
      </c>
      <c r="CW88">
        <f>IF(CS88="",0,IF(ISNUMBER(SEARCH("4P",IFERROR(_xlfn.XLOOKUP(CS88,Линии[_n],Линии[_УЗО строки])&amp;"",""))),0,1))</f>
        <v>0</v>
      </c>
      <c r="CX88" t="str">
        <f>IF(AND(CS88&lt;&gt;"",CS88=BA88),SUMIFS(Линии[_ток на 230 В],Линии[_блок УЗО],BA88,Линии[Щит],A88),"")</f>
        <v/>
      </c>
      <c r="CY88" t="str">
        <f>IF(AND(CS88&lt;&gt;"",CS88=BA88),SUMIFS(Линии[_ток утечки линии, мА],Линии[_блок УЗО],BA88,Линии[Щит],A88),"")</f>
        <v/>
      </c>
      <c r="CZ88">
        <f t="shared" si="168"/>
        <v>0</v>
      </c>
      <c r="DA88">
        <f t="shared" si="169"/>
        <v>0</v>
      </c>
      <c r="DB88">
        <f>IF(B88="",0,IFERROR(--_xlfn.XLOOKUP(B88,Коды_код,Коды_минавт),IFERROR(--_xlfn.XLOOKUP(BC88,Коды_код,Коды_минавт),IFERROR(--_xlfn.XLOOKUP(LEFT(BC88,2),Коды_код,Коды_минавт),0))))</f>
        <v>0</v>
      </c>
      <c r="DC88" t="str">
        <f>IF(B88="","",IFERROR(_xlfn.XLOOKUP(BC88,Коды_код,Коды_апп)&amp;"",""))</f>
        <v/>
      </c>
      <c r="DD88" t="str">
        <f t="shared" si="170"/>
        <v/>
      </c>
      <c r="DE88" t="str" cm="1">
        <f t="array" ref="DE88">IF(TRIM(DD88&amp;"")="","",IFERROR(TRIM(INDEX(_xlfn.TEXTSPLIT(DD88&amp;";;;",";"),1)),""))</f>
        <v/>
      </c>
      <c r="DF88" t="str" cm="1">
        <f t="array" ref="DF88">IF(TRIM(DD88&amp;"")="","",IFERROR(TRIM(INDEX(_xlfn.TEXTSPLIT(DD88&amp;";;;",";"),2)),""))</f>
        <v/>
      </c>
      <c r="DG88" t="str" cm="1">
        <f t="array" ref="DG88">IF(TRIM(DD88&amp;"")="","",IFERROR(TRIM(INDEX(_xlfn.TEXTSPLIT(DD88&amp;";;;",";"),3)),""))</f>
        <v/>
      </c>
      <c r="DH88">
        <f t="shared" si="171"/>
        <v>0</v>
      </c>
      <c r="DI88" t="str">
        <f>IF(B88="","",_xlfn.LET(_xlpm.t,LOWER(AZ88&amp;""),IF(ISNUMBER(SEARCH("dim",_xlpm.t)),"DIM",IF(ISNUMBER(SEARCH("dali",_xlpm.t)),"DALI",IF(OR(ISNUMBER(SEARCH("relay",_xlpm.t)),ISNUMBER(SEARCH("реле",_xlpm.t))),"Relay",IF(ISNUMBER(SEARCH("кнопк",_xlpm.t)),"",IFERROR(_xlfn.XLOOKUP(BC88,Коды_код,Коды_упр)&amp;"","")))))))</f>
        <v/>
      </c>
      <c r="DJ88" t="str">
        <f t="shared" si="172"/>
        <v/>
      </c>
      <c r="DK88">
        <f>IF(B88="","",_xlfn.LET(_xlpm.ig,IF(N(CX88)&gt;0,N(CX88),N(CI88)+IF(AJ88="вручную",0,N(CJ88))),_xlpm.n0,IFERROR(VLOOKUP(_xlpm.ig,Автомат_номиналы,2,TRUE),0),_xlpm.mn,MAX(DB88,IF(AJ88="вручную",0,N(CM88))),MAX(_xlpm.n0,_xlpm.mn,IF(DH88=1,Мин_автомат_БП,0))))</f>
        <v>10</v>
      </c>
      <c r="DL88">
        <f t="shared" si="173"/>
        <v>3</v>
      </c>
      <c r="DM88" t="str">
        <f t="shared" si="174"/>
        <v>3P</v>
      </c>
      <c r="DN88" t="str">
        <f>_xlfn.LET(_xlpm.cc,UPPER(TRIM(IFERROR(_xlfn.XLOOKUP(BC88,Коды_код,Коды_хар)&amp;"",""))),IF(OR(_xlpm.cc="B",_xlpm.cc="В"),"B",IF(_xlpm.cc="D","D","С")))</f>
        <v>С</v>
      </c>
      <c r="DO88" t="str">
        <f t="shared" si="175"/>
        <v>3P С10А</v>
      </c>
      <c r="DP88">
        <f t="shared" si="176"/>
        <v>16</v>
      </c>
      <c r="DQ88" t="str">
        <f t="shared" si="177"/>
        <v>3P С16А</v>
      </c>
      <c r="DR88" cm="1">
        <f t="array" ref="DR88">IF(DQ88="","",_xlfn.LET(_xlpm.t,SUBSTITUTE(SUBSTITUTE(SUBSTITUTE(UPPER(DQ88),"С","C"),"А","A"),"В","B"),_xlpm.tk,_xlfn.TEXTSPLIT(_xlpm.t," "),_xlpm.f,_xlfn._xlws.FILTER(_xlpm.tk,ISNUMBER(--MID(_xlpm.tk,2,1))*ISNUMBER(SEARCH(LEFT(_xlpm.tk,1)&amp;"#","B#C#D#"))*(LEN(_xlpm.tk)&gt;1),""),_xlpm.x,INDEX(_xlpm.f,1),IFERROR(--SUBSTITUTE(MID(_xlpm.x,2,9),"A",""),IFERROR(--SUBSTITUTE(INDEX(_xlfn._xlws.FILTER(_xlpm.tk,ISNUMBER(--SUBSTITUTE(_xlpm.tk,"A","")),""),1),"A",""),""))))</f>
        <v>16</v>
      </c>
      <c r="DS88" t="str">
        <f t="shared" si="178"/>
        <v>узел</v>
      </c>
      <c r="DT88">
        <f t="shared" si="179"/>
        <v>16</v>
      </c>
      <c r="DU88" t="str">
        <f t="shared" si="180"/>
        <v>3P С16А</v>
      </c>
      <c r="DV88">
        <f t="shared" si="181"/>
        <v>0</v>
      </c>
      <c r="DW88">
        <f t="shared" si="182"/>
        <v>0</v>
      </c>
      <c r="DX88">
        <f t="shared" si="183"/>
        <v>0</v>
      </c>
      <c r="DY88">
        <f t="shared" si="184"/>
        <v>8.1189881604791125</v>
      </c>
      <c r="DZ88">
        <f t="shared" si="185"/>
        <v>0.92</v>
      </c>
      <c r="EA88">
        <f>IF(ISNUMBER(AP88),AP88,К_прокл)</f>
        <v>1</v>
      </c>
      <c r="EB88">
        <f t="shared" si="186"/>
        <v>3</v>
      </c>
      <c r="EC88">
        <f>IFERROR(N(VLOOKUP(BZ88,Кабель_обозначение,3,FALSE)),1)</f>
        <v>1</v>
      </c>
      <c r="ED88">
        <f>IFERROR(N(_xlfn.XLOOKUP(A88,Щиты[Щит],Щиты[ΔU до шин, %])),0)</f>
        <v>0.74</v>
      </c>
      <c r="EE88" t="str">
        <f>IFERROR(_xlfn.XLOOKUP(A88,Щиты[Щит],Щиты[Zпетли на шинах, Ом]),"")</f>
        <v/>
      </c>
      <c r="EF88">
        <f>IFERROR(N(_xlfn.XLOOKUP(A88,Щиты[Щит],Щиты[ΔU до шин (подбор), %])),0)</f>
        <v>1.96</v>
      </c>
      <c r="EG88" t="str">
        <f>IFERROR(_xlfn.XLOOKUP(A88,Щиты[Щит],Щиты[Zпетли на шинах (подбор), Ом]),"")</f>
        <v/>
      </c>
      <c r="EH88" t="str">
        <f t="shared" si="187"/>
        <v/>
      </c>
      <c r="EI88">
        <f t="shared" si="188"/>
        <v>34</v>
      </c>
      <c r="EJ88">
        <f t="shared" si="189"/>
        <v>1</v>
      </c>
      <c r="EK88">
        <f t="shared" si="190"/>
        <v>0.6</v>
      </c>
      <c r="EL88" s="6">
        <f>IF(B88="","",IF(BV88=1,dU_LED,IF(IFERROR(_xlfn.XLOOKUP(BC88,Коды_код,Коды_уго),"")="Светильник",3,4)+IF(Методика="нормы 2026",MIN(0.5,MAX(0,N(P88)-100)*0.005),0)))</f>
        <v>4</v>
      </c>
      <c r="EM88" cm="1">
        <f t="array" ref="EM88">IF(OR(B88="",BZ88="",EC88&lt;&gt;1),"",_xlfn.LET(_xlpm.sz,Iдоп_S,_xlpm.t_,CHOOSE(EB88,Iдоп_1ж,Iдоп_2ж,Iдоп_3ж)*DZ88*EA88,_xlpm.dcx,BV88=1,_xlpm.inn,IF(_xlpm.dcx,N(O88),N(DT88)),_xlpm.smin,MAX(1.5,CC88),_xlpm.L_,N(P88)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88)/N(BU88)*100,999),IFERROR(N(EJ88)*(_xlpm.rho*_xlpm.L_/_xlpm.sz*N(CE88)+_xlpm.xx*_xlpm.L_*N(EK88)/1000)*N(O88)/((Uн_лин/SQRT(3))*1000)*100,999)),_xlpm.kz,IF(OR(_xlpm.dcx,DW88=1,NOT(ISNUMBER(EG88)),_xlpm.L_=0,_xlpm.inn=0),1,IFERROR(--(c_min*(Uн_лин*1000/SQRT(3))/(EG88+2*ρкз_Cu*_xlpm.L_/_xlpm.sz)&gt;=HT88*_xlpm.inn),0)),_xlpm.ok,IFERROR((_xlpm.sz&gt;=_xlpm.smin)*(_xlpm.t_&gt;=_xlpm.inn)*IF(_xlpm.L_&gt;0,(_xlpm.du_+IF(_xlpm.dcx,0,EF88)&lt;=EL88+0.00001),1)*_xlpm.kz,0),_xlpm.r_,_xlfn._xlws.FILTER(_xlpm.sz,_xlpm.ok,"не подобрано"),INDEX(_xlpm.r_,1)))</f>
        <v>1.5</v>
      </c>
      <c r="EN88">
        <f t="shared" si="191"/>
        <v>4</v>
      </c>
      <c r="EO88" cm="1">
        <f t="array" ref="EO88">IF(OR(B88="",BZ88="",EC88&lt;&gt;1),"",_xlfn.LET(_xlpm.sz,Iдоп_S,_xlpm.t_,CHOOSE(EB88,Iдоп_1ж,Iдоп_2ж,Iдоп_3ж)*DZ88*EA88,_xlpm.ok,IFERROR((_xlpm.sz&gt;=MAX(1.5,CC88))*(_xlpm.t_&gt;=N(DT88)),0),_xlpm.r_,_xlfn._xlws.FILTER(_xlpm.sz,_xlpm.ok,""),INDEX(_xlpm.r_,1)))</f>
        <v>1.5</v>
      </c>
      <c r="EP88" s="6" cm="1">
        <f t="array" ref="EP88">IFERROR(ROUNDUP(N(EJ88)*(_xlfn.XLOOKUP(EO88,INDEX(Кабель_сопротивление,0,1),INDEX(Кабель_сопротивление,0,3))*N(P88)/EO88*N(CE88)+_xlfn.XLOOKUP(EO88,INDEX(Кабель_сопротивление,0,1),INDEX(Кабель_сопротивление,0,2))*N(P88)*N(EK88)/1000)*N(O88)/((Uн_лин/SQRT(3))*1000)*100,2),"")</f>
        <v>1.45</v>
      </c>
      <c r="EQ88">
        <f>IFERROR(2*ρкз_Cu*N(P88)/EO88,"")</f>
        <v>1.1922666666666666</v>
      </c>
      <c r="ER88">
        <f>IFERROR(VLOOKUP(EN88,Кабель_сопротивление,3,FALSE),"")</f>
        <v>2.2499999999999999E-2</v>
      </c>
      <c r="ES88">
        <f>IFERROR(VLOOKUP(EN88,Кабель_сопротивление,2,FALSE),"")</f>
        <v>9.5000000000000001E-2</v>
      </c>
      <c r="ET88">
        <f t="shared" si="192"/>
        <v>18</v>
      </c>
      <c r="EU88">
        <f t="shared" si="193"/>
        <v>0</v>
      </c>
      <c r="EV88">
        <f t="shared" si="194"/>
        <v>1.2579397876083125</v>
      </c>
      <c r="EW88" s="6">
        <f>IFERROR(ROUNDUP(EV88/IF(BV88=1,BU88,(Uн_лин/SQRT(3))*1000)*100,2),"")</f>
        <v>0.55000000000000004</v>
      </c>
      <c r="EX88" t="str">
        <f>IFERROR(VLOOKUP(BZ88,Кабель_обозначение,2,FALSE),"")</f>
        <v>ВВГнг(А)-LS</v>
      </c>
      <c r="EY88" t="str">
        <f t="shared" si="195"/>
        <v>ВВГнг(А)-LS (5х4)</v>
      </c>
      <c r="EZ88" t="str">
        <f t="shared" si="196"/>
        <v>ВВГнг(А)-LS (5х4)
L=34-0,55%</v>
      </c>
      <c r="FA88">
        <f>IFERROR(2*ρкз_Cu*P88/EN88,"")</f>
        <v>0.4471</v>
      </c>
      <c r="FB88">
        <f t="shared" si="197"/>
        <v>0.14875000000000002</v>
      </c>
      <c r="FC88" s="6" t="str">
        <f>IFERROR(IF(OR(B88="",BV88=1,NOT(ISNUMBER(EN88)),N(P88)=0),"",_xlfn.XLOOKUP(A88,Щиты[Щит],Щиты[Zпетли на шинах, Ом])+FA88),"")</f>
        <v/>
      </c>
      <c r="FD88" s="6" t="str">
        <f>IF(ISNUMBER(FC88),c_min*(Uн_лин*1000/SQRT(3))/FC88,"")</f>
        <v/>
      </c>
      <c r="FE88" s="6" t="str">
        <f>IFERROR(IF(OR(B88="",NOT(ISNUMBER(EN88))),"",1.05*(Uн_лин*1000/SQRT(3))/(_xlfn.XLOOKUP(A88,Щиты[Щит],Щиты[Zmax на шинах, Ом])+FB88)/1000),"")</f>
        <v/>
      </c>
      <c r="FF88" s="6" t="str">
        <f>IF(B88="","",IF(ISNUMBER(AC88),"Сил",IF(IFERROR(_xlfn.XLOOKUP(BC88,Коды_код,Коды_группа)&amp;"","")="","Быт",_xlfn.XLOOKUP(BC88,Коды_код,Коды_группа)&amp;"")))</f>
        <v>Быт</v>
      </c>
      <c r="FG88" s="6" t="str">
        <f t="shared" si="198"/>
        <v>Нет</v>
      </c>
      <c r="FH88" s="6">
        <f>IF(FG88="Щит","щит",IF(FG88="","",IF(FG88="Быт",IFERROR(_xlfn.XLOOKUP(A88,Щиты[Щит],Щиты[Кс быт]),1),IF(FG88="Сил",IF(ISNUMBER(AC88),AC88,IF(Методика="нормы 2026",IFERROR(_xlfn.XLOOKUP(A88,Щиты[Щит],Щиты[Кс силовых (табл. 7.5)]),1),1)),IF(OR(FG88="Пост",FG88="Отоп"),1,IF(FG88="ВНГ",0.7,0))))))</f>
        <v>0</v>
      </c>
      <c r="FI88">
        <f>IF(FG88="","",IF(AND(BP88=1,TRIM(AE88&amp;"")=""),IF(COUNTIFS(Линии[Щит],A88,Линии[Секция (1/2/3)],"&gt;=2")&gt;0,MIN(3,MAX(1,IFERROR(--BD88,1))),1),IFERROR(MIN(3,MAX(1,INT(--AE88))),1)))</f>
        <v>1</v>
      </c>
      <c r="FJ88">
        <f t="shared" si="199"/>
        <v>0</v>
      </c>
      <c r="FK88">
        <f t="shared" si="200"/>
        <v>0</v>
      </c>
      <c r="FL88">
        <f t="shared" si="201"/>
        <v>0</v>
      </c>
      <c r="FM88">
        <f t="shared" si="202"/>
        <v>0</v>
      </c>
      <c r="FN88">
        <f t="shared" si="203"/>
        <v>0</v>
      </c>
      <c r="FO88">
        <f t="shared" si="204"/>
        <v>0</v>
      </c>
      <c r="FP88">
        <f t="shared" si="205"/>
        <v>0</v>
      </c>
      <c r="FQ88">
        <f t="shared" si="206"/>
        <v>0</v>
      </c>
      <c r="FR88">
        <f t="shared" si="207"/>
        <v>0</v>
      </c>
      <c r="FS88">
        <f>IF(CG88=1,IF(AND(CH88=1,CW88=1),0,IF(AND(CS88&lt;&gt;"",CS88=BA88,CW88=1),SUMIFS(Линии[_Р линии, кВт],Линии[_блок УЗО],BA88,Линии[Щит],A88),N(BS88)+IF(AJ88="вручную",0,N(CK88)))),0)</f>
        <v>6.99</v>
      </c>
      <c r="FT88" t="str">
        <f t="shared" si="208"/>
        <v/>
      </c>
      <c r="FU88" t="str">
        <f>IF(B88="","",IF(CG88=0,IF(BA88=1,"",FW87),IF(AND(CH88=1,CW88=1,CS88&lt;&gt;""),IFERROR(_xlfn.XLOOKUP(CS88,Линии[_n],Линии[_фаза итог]),"L1"),IF(OR(N(DL88)&gt;=3,N(BX88)&gt;=3),"L1,L2,L3",IFERROR(_xlfn.TEXTBEFORE(_xlfn.TEXTAFTER(_xlfn.XLOOKUP(A88,Щиты[Щит],Щиты[_фазы авто]),";"&amp;BA88&amp;":"),";"),"L1")))))</f>
        <v>L1,L2,L3</v>
      </c>
      <c r="FV88" t="str">
        <f t="shared" si="209"/>
        <v>L1,L2,L3</v>
      </c>
      <c r="FW88" t="str">
        <f t="shared" si="210"/>
        <v>L1,L2,L3</v>
      </c>
      <c r="FX88" cm="1">
        <f t="array" ref="FX88">IFERROR(IF(CD88=2,_xlfn.IFS(BX88=3,VLOOKUP(BS88,Справочная_двигатели,3,FALSE),BX88=1,VLOOKUP(BS88,Справочная_двигатели,5,TRUE)),0),0)</f>
        <v>0</v>
      </c>
      <c r="FY88">
        <f>IFERROR(IF(CD88=3,VLOOKUP(BS88,Справочная_ЛЭД,2,TRUE),0),0)</f>
        <v>0</v>
      </c>
      <c r="FZ88" s="6">
        <f t="shared" si="211"/>
        <v>0</v>
      </c>
      <c r="GA88" t="str">
        <f>IF(B88="","",IF(TRIM(AH88&amp;"")&lt;&gt;"",IF(LOWER(TRIM(AH88&amp;""))="да","да","нет"),IF(IFERROR(_xlfn.XLOOKUP(BC88,Коды_код,Коды_пожарная),"")="да","да","нет")))</f>
        <v>нет</v>
      </c>
      <c r="GB88" t="str">
        <f t="shared" si="212"/>
        <v/>
      </c>
      <c r="GC88" t="str">
        <f t="shared" si="213"/>
        <v>основная</v>
      </c>
      <c r="GD88">
        <f>IF(AND(BP88=1,TRIM(AE88&amp;"")=""),IF(COUNTIFS(Линии[Щит],A88,Линии[Секция (1/2/3)],"&gt;=2")&gt;0,MIN(3,MAX(1,IFERROR(--BD88,1))),1),IFERROR(MIN(3,MAX(1,INT(--AE88))),1))</f>
        <v>1</v>
      </c>
      <c r="GE88" t="str" cm="1">
        <f t="array" ref="GE88">IF(B88="","",_xlfn.LET(_xlpm.t,IFERROR(_xlfn.XLOOKUP(1,(Шины[Шина]=GC88)*(((Шины[Щит]=A88)+(Шины[Щит]=""))&gt;0),Шины[Тип]),"")&amp;"",IF(_xlpm.t&lt;&gt;"",_xlpm.t,IF(ISNUMBER(SEARCH("ИБП",GC88)),"ИБП",IF(ISNUMBER(SEARCH("ДГУ",GC88)),"ДГУ","Ввод "&amp;GD88)))))</f>
        <v>Ввод 1</v>
      </c>
      <c r="GF88" t="str">
        <f t="shared" si="214"/>
        <v>Ввод 1</v>
      </c>
      <c r="GG88" t="str">
        <f>IF(BP88=0,"",IF(TRIM(AG88&amp;"")&lt;&gt;"",TRIM(AG88&amp;""),IF(OR(GE88="ИБП",GE88="ДГУ"),"I особая",_xlfn.XLOOKUP(A88,Щиты[Щит],Щиты[Категория шины «Ввод»],"III"))))</f>
        <v>II</v>
      </c>
      <c r="GH88" t="str">
        <f>IF(A88="","",_xlfn.XLOOKUP(A88,Щиты[Щит],Щиты[Путь],""))</f>
        <v>|ГРЩ-ЖД|ЩОВ-002|</v>
      </c>
      <c r="GI88" t="str">
        <f>IF(B88="","",IF(AI88&lt;&gt;"",AI88,IF(IFERROR(_xlfn.XLOOKUP(BC88,Коды_код,Коды_вид)&amp;"","")="","Прочее",_xlfn.XLOOKUP(BC88,Коды_код,Коды_вид)&amp;"")))</f>
        <v>Прочее</v>
      </c>
      <c r="GJ88">
        <f>IF(BM88="","",INT((BM88-1)/Столбцов_на_лист)+1)</f>
        <v>1</v>
      </c>
      <c r="GK88" t="str">
        <f t="shared" si="215"/>
        <v>ВВГнг(А)-LS (5х4) L=34-0,55%</v>
      </c>
      <c r="GL88">
        <f t="shared" si="216"/>
        <v>6.99</v>
      </c>
      <c r="GM88">
        <f t="shared" si="217"/>
        <v>8.1199999999999992</v>
      </c>
      <c r="GN88">
        <f t="shared" si="218"/>
        <v>3</v>
      </c>
      <c r="GO88">
        <f t="shared" si="219"/>
        <v>0</v>
      </c>
      <c r="GP88">
        <f t="shared" si="220"/>
        <v>0</v>
      </c>
      <c r="GQ88" t="str">
        <f>IF(BM88="","",IF(AND(CG88=1,GP88=1),COUNTIFS(A$3:A88,A88,CG$3:CG88,1,GP$3:GP88,1),IF(OR(OR(BA88=1,A88&lt;&gt;A87),AJ88="вручную",GP88=0),"",IF(BA88=1,"",GR87))))</f>
        <v/>
      </c>
      <c r="GR88" t="str">
        <f t="shared" si="221"/>
        <v/>
      </c>
      <c r="GS88">
        <f>IF(B88="","",IFERROR(LOOKUP(INDEX(CHOOSE(EB88,Iдоп_1ж,Iдоп_2ж,Iдоп_3ж),MATCH(EN88,Iдоп_S,0))*DZ88*EA88,{6,10,16,20,25,32,40,50,63,80,100,125,160,200,250,315,400,500,630}),""))</f>
        <v>32</v>
      </c>
      <c r="GT88" t="str">
        <f t="shared" si="222"/>
        <v/>
      </c>
      <c r="GU88" t="str">
        <f t="shared" si="223"/>
        <v/>
      </c>
      <c r="GV88" t="str">
        <f t="shared" si="224"/>
        <v/>
      </c>
      <c r="GW88">
        <f t="shared" si="225"/>
        <v>0</v>
      </c>
      <c r="GX88" t="str">
        <f>IF(OR(B88="",DJ88=""),"",IFERROR(_xlfn.XLOOKUP(DJ88,Модули_умолч[Управление],Модули_умолч[Модель])&amp;"",""))</f>
        <v/>
      </c>
      <c r="GY88">
        <f>IF(DJ88="",1,IFERROR(MAX(0,N(_xlfn.XLOOKUP(DJ88,Модули_умолч[Управление],Модули_умолч[Каналов на линию]))),1))</f>
        <v>1</v>
      </c>
      <c r="GZ88" t="str">
        <f t="shared" si="226"/>
        <v/>
      </c>
      <c r="HA88" t="str">
        <f t="shared" si="227"/>
        <v/>
      </c>
      <c r="HB88" t="str">
        <f t="shared" si="228"/>
        <v/>
      </c>
      <c r="HC88">
        <f>IF(HB88="",0,IFERROR(N(VLOOKUP(HB88,Модули_спр,3,FALSE)),0))</f>
        <v>0</v>
      </c>
      <c r="HD88" t="str">
        <f t="shared" si="229"/>
        <v/>
      </c>
      <c r="HE88" t="str">
        <f t="shared" si="230"/>
        <v/>
      </c>
      <c r="HF88" t="str">
        <f>IF(OR(HE88="",HE88="-"),"",IFERROR(VLOOKUP(HE88,Модули_спр,2,FALSE),"R"))</f>
        <v/>
      </c>
      <c r="HG88" t="str">
        <f>IF(HF88="","",HF88&amp;"."&amp;COUNTIFS(A$3:A88,A88,HF$3:HF88,HF88))</f>
        <v/>
      </c>
      <c r="HH88" t="str">
        <f t="shared" si="231"/>
        <v/>
      </c>
      <c r="HI88" t="str">
        <f t="shared" si="232"/>
        <v/>
      </c>
      <c r="HJ88" t="str">
        <f t="shared" si="233"/>
        <v/>
      </c>
      <c r="HK88" t="str">
        <f t="shared" si="234"/>
        <v/>
      </c>
      <c r="HL88">
        <f t="shared" si="235"/>
        <v>0</v>
      </c>
      <c r="HM88" t="str">
        <f>IF(HL88=1,"XT"&amp;COUNTIFS(A$3:A88,A88,HL$3:HL88,1),"")</f>
        <v/>
      </c>
      <c r="HN88" t="str">
        <f t="shared" si="236"/>
        <v/>
      </c>
      <c r="HO88" t="str">
        <f t="shared" si="237"/>
        <v/>
      </c>
      <c r="HP88" t="str">
        <f t="shared" si="238"/>
        <v/>
      </c>
      <c r="HQ88" t="str">
        <f t="shared" si="239"/>
        <v>ok</v>
      </c>
      <c r="HR88" t="str">
        <f>IF(OR(HJ88="",HH88=""),"",IF(HJ88+MAX(0,GY88-1)&gt;IFERROR(VLOOKUP(HI88,Модули_спр,3,FALSE),99),"ЛИШНИЙ КАНАЛ",IF(AND(AL88&lt;&gt;"=",GY88&gt;0,COUNTIFS(Линии[_модуль гр.],HH88,Линии[Канал (итог)],HJ88,Линии[Канал],"&lt;&gt;=",Линии[Щит],A88)&gt;1),"ДУБЛЬ КАНАЛА","")))</f>
        <v/>
      </c>
      <c r="HS88" s="6" t="str">
        <f t="shared" si="240"/>
        <v/>
      </c>
      <c r="HT88">
        <f t="shared" si="241"/>
        <v>10</v>
      </c>
      <c r="HU88" t="str">
        <f t="shared" si="242"/>
        <v/>
      </c>
      <c r="HV88">
        <f t="shared" si="243"/>
        <v>0</v>
      </c>
      <c r="HW88">
        <f t="shared" si="244"/>
        <v>0</v>
      </c>
      <c r="HX88">
        <f t="shared" si="245"/>
        <v>0</v>
      </c>
      <c r="HY88">
        <f t="shared" si="246"/>
        <v>0</v>
      </c>
      <c r="HZ88">
        <f t="shared" si="247"/>
        <v>0</v>
      </c>
      <c r="IA88">
        <f t="shared" si="248"/>
        <v>0</v>
      </c>
      <c r="IB88">
        <f t="shared" si="249"/>
        <v>0</v>
      </c>
      <c r="IC88" t="str">
        <f t="shared" si="250"/>
        <v/>
      </c>
      <c r="ID88" t="str" cm="1">
        <f t="array" ref="ID88">IF(IC88="","",_xlfn.LET(_xlpm.tk,_xlfn.TEXTSPLIT(SUBSTITUTE(SUBSTITUTE(IC88,";"," "),"→"," ")," ",,TRUE),_xlpm.w_,_xlfn._xlws.FILTER(_xlpm.tk,ISNUMBER(--LEFT(_xlpm.tk,1))*((ISNUMBER(SEARCH("W",_xlpm.tk))+ISNUMBER(SEARCH("Вт",_xlpm.tk)))&gt;0),""),IFERROR(--SUBSTITUTE(SUBSTITUTE(UPPER(INDEX(_xlpm.w_,1)),"W",""),"ВТ",""),"")))</f>
        <v/>
      </c>
      <c r="IE88" t="str" cm="1">
        <f t="array" ref="IE88">IF(IC88="","",_xlfn.LET(_xlpm.tk,_xlfn.TEXTSPLIT(SUBSTITUTE(SUBSTITUTE(IC88,";"," "),"→"," ")," ",,TRUE),_xlpm.v_,_xlfn._xlws.FILTER(_xlpm.tk,ISNUMBER(--LEFT(_xlpm.tk,1))*((ISNUMBER(SEARCH("V",_xlpm.tk))+(RIGHT(UPPER(_xlpm.tk))="В"))&gt;0),""),IFERROR(--SUBSTITUTE(SUBSTITUTE(UPPER(INDEX(_xlpm.v_,1)),"V",""),"В",""),"")))</f>
        <v/>
      </c>
      <c r="IF88" s="6" t="str">
        <f>IF(OR(BV88=0,HI88="",HJ88=""),"",IFERROR(N(_xlfn.XLOOKUP(HI88,Каталог!$C$4:$C$500,Каталог!$Q$4:$Q$500)),""))</f>
        <v/>
      </c>
      <c r="IG88" s="6" t="str">
        <f>IF(N(IF88)=0,"",SUMIFS(Линии[Iр, А],Линии[Щит],A88,Линии[_модуль гр.],HH88,Линии[Канал (итог)],HJ88))</f>
        <v/>
      </c>
      <c r="IH88" t="str">
        <f>IF(AND(B88="",HO88=""),"",_xlfn.TEXTJOIN("; ",TRUE,IF(AND(B88&lt;&gt;"",FV88=""),"нет фазы",""),IF(AND(B88&lt;&gt;"",N(GL88)=0,FG88&lt;&gt;"Нет"),"нет мощности",""),IF(AND(HN88&lt;&gt;"",COUNTIFS(Линии[Щит],A88,Линии[Клемма (итог)],HN88)&gt;1),"дубль клеммы "&amp;HN88,""),IF(AND(HQ88&lt;&gt;"",HQ88&lt;&gt;"ok"),HQ88,""),IF(HR88&lt;&gt;"",HR88,""),IF(AND(N(CB88)&gt;=4,N(BX88)=1),CB88&amp;" жил на 1 фазе",""),IF(AND(BC88="R",CG88=1,IF(CS88&lt;&gt;"",N(CV88)&gt;30,OR(N(DA88)=0,N(DA88)&gt;30))),"розетка без дифзащиты до 30 мА",""),IF(AND(CG88=1,N(DA88)&gt;0,ISNUMBER(T88)),IF(T88&gt;N(DA88)/3,"ток утечки "&amp;FIXED(T88,1)&amp;" мА &gt; 1/3 уставки ("&amp;DA88&amp;" мА)",""),""),IF(AND(CH88=1,CS88=""),"«узо»: нет строки с УЗО выше (УЗО 2P 40А 30мА в «Аппаратах»)",""),IF(AND(CS88&lt;&gt;"",CS88=BA88),IF(CT88="","впишите номинал УЗО (УЗО 2P 40А 30мА)",IF(N(CT88)&lt;N(DT88),"УЗО "&amp;CT88&amp;" А &lt; автомата "&amp;DT88&amp;" А перед ним",IF(N(CT88)&lt;N(CX88),"УЗО "&amp;CT88&amp;" А &lt; тока блока "&amp;FIXED(CX88,1)&amp;" А",""))),""),IF(AND(CS88&lt;&gt;"",CS88=BA88,ISNUMBER(CY88)),IF(CY88&gt;N(CV88)/3,"ток утечки блока УЗО "&amp;FIXED(CY88,1)&amp;" мА &gt; 1/3 уставки ("&amp;CV88&amp;" мА)",""),""),IF(AND(CG88=1,N(BV88)+N(IB88)&gt;0,IC88=""),"линии до 50 В без БП: впишите в «Аппараты» (БП 24V 480W)",""),IF(AND(CG88=1,ISNUMBER(ID88),ISNUMBER(U88)),IF(U88&gt;ID88,"БП "&amp;ID88&amp;" Вт &lt; нужно "&amp;U88&amp;" Вт (×"&amp;Запас_БП&amp;")",""),""),IF(AND(CG88=1,ISNUMBER(IE88),N(BV88)=1),IF(IE88&lt;&gt;N(BU88),"БП на "&amp;IE88&amp;" В, линия "&amp;BU88&amp;" В",""),""),IF(AND(N(IF88)&gt;0,N(IG88)&gt;N(IF88)),HH88&amp;" канал "&amp;HJ88&amp;": "&amp;FIXED(IG88,1)&amp;" А &gt; "&amp;IF88&amp;" А",""),IFERROR(IF(AND(ISNUMBER(Q88),Q88&gt;EL88),"потери "&amp;FIXED(Q88,1)&amp;" % &gt; "&amp;EL88&amp;" %",""),""),IFERROR(IF(LEFT(HU88,4)="мало","Iкз мало — отключение &gt; 0,4 с",""),""),IF(AND(B88&lt;&gt;"",BM88=""),"не на схеме",""),IF(AND(CG88=0,B88&lt;&gt;"",FV88&lt;&gt;"",IF(BA88=1,"",FW87)&lt;&gt;"",FV88&lt;&gt;IF(BA88=1,"",FW87)),"фаза не как у автомата группы ("&amp;IF(BA88=1,"",FW87)&amp;")","")))</f>
        <v/>
      </c>
      <c r="II88" s="6" t="str">
        <f>IF(OR(CG88=0,DQ88=""),"",_xlfn.LET(_xlpm.t,IFERROR(_xlfn.XLOOKUP(DQ88,Каталог!$U$4:$U$500,Каталог!$G$4:$G$500),""),_xlpm.k,SEARCH("кА",_xlpm.t),IFERROR(--TRIM(RIGHT(SUBSTITUTE(MID(_xlpm.t,MAX(1,_xlpm.k-4),_xlpm.k-MAX(1,_xlpm.k-4))," ",REPT(" ",9)),5)),"")))</f>
        <v/>
      </c>
      <c r="IJ88" t="str">
        <f>IF(OR(II88="",CG88=0),"",IF(_xlfn.XLOOKUP(A88,Щиты[Щит],Щиты[Iкз max на шинах, кА],"")="","",IF(II88&lt;_xlfn.XLOOKUP(A88,Щиты[Щит],Щиты[Iкз max на шинах, кА]),"Icu "&amp;II88&amp;" кА &lt; Iкз max","ok")))</f>
        <v/>
      </c>
      <c r="IK88" t="str">
        <f t="shared" si="251"/>
        <v/>
      </c>
      <c r="IL88" t="str">
        <f t="shared" si="252"/>
        <v/>
      </c>
      <c r="IM88" t="str">
        <f t="shared" si="253"/>
        <v/>
      </c>
      <c r="IN88" t="str" cm="1">
        <f t="array" ref="IN88">IF(IM88="","",_xlfn.LET(_xlpm.nd,_xlfn.TEXTSPLIT(IM88,"|"),IF(COLUMNS(_xlpm.nd)&gt;1,A88&amp;"¦"&amp;INDEX(_xlpm.nd,1)&amp;"¦"&amp;INDEX(_xlpm.nd,2),"")))</f>
        <v/>
      </c>
      <c r="IO88" t="str">
        <f t="shared" si="254"/>
        <v/>
      </c>
      <c r="IP88" t="str" cm="1">
        <f t="array" ref="IP88">IF(IM88="","",_xlfn.LET(_xlpm.nd,_xlfn.TEXTSPLIT(IM88,"|"),IF(COLUMNS(_xlpm.nd)&gt;2,A88&amp;"¦"&amp;INDEX(_xlpm.nd,2)&amp;"¦"&amp;INDEX(_xlpm.nd,3),"")))</f>
        <v/>
      </c>
      <c r="IQ88" t="str">
        <f t="shared" si="255"/>
        <v/>
      </c>
      <c r="IR88" t="str" cm="1">
        <f t="array" ref="IR88">IF(IM88="","",_xlfn.LET(_xlpm.nd,_xlfn.TEXTSPLIT(IM88,"|"),IF(COLUMNS(_xlpm.nd)&gt;3,A88&amp;"¦"&amp;INDEX(_xlpm.nd,3)&amp;"¦"&amp;INDEX(_xlpm.nd,4),"")))</f>
        <v/>
      </c>
      <c r="IS88" t="str">
        <f t="shared" si="256"/>
        <v/>
      </c>
      <c r="IT88" t="str" cm="1">
        <f t="array" ref="IT88">IF(IM88="","",_xlfn.LET(_xlpm.nd,_xlfn.TEXTSPLIT(IM88,"|"),IF(COLUMNS(_xlpm.nd)&gt;4,A88&amp;"¦"&amp;INDEX(_xlpm.nd,4)&amp;"¦"&amp;INDEX(_xlpm.nd,5),"")))</f>
        <v/>
      </c>
      <c r="IU88" t="str">
        <f t="shared" si="257"/>
        <v/>
      </c>
      <c r="IV88" t="str" cm="1">
        <f t="array" ref="IV88">IF(IM88="","",_xlfn.LET(_xlpm.nd,_xlfn.TEXTSPLIT(IM88,"|"),IF(COLUMNS(_xlpm.nd)&gt;5,A88&amp;"¦"&amp;INDEX(_xlpm.nd,5)&amp;"¦"&amp;INDEX(_xlpm.nd,6),"")))</f>
        <v/>
      </c>
      <c r="IW88" t="str">
        <f t="shared" si="258"/>
        <v/>
      </c>
      <c r="IX88" t="str" cm="1">
        <f t="array" ref="IX88">IF(IM88="","",_xlfn.LET(_xlpm.nd,_xlfn.TEXTSPLIT(IM88,"|"),IF(COLUMNS(_xlpm.nd)&gt;6,A88&amp;"¦"&amp;INDEX(_xlpm.nd,6)&amp;"¦"&amp;INDEX(_xlpm.nd,7),"")))</f>
        <v/>
      </c>
      <c r="IY88" t="str">
        <f t="shared" si="259"/>
        <v/>
      </c>
      <c r="IZ88" t="str">
        <f t="shared" si="260"/>
        <v/>
      </c>
      <c r="JA88" t="str">
        <f t="shared" si="261"/>
        <v/>
      </c>
      <c r="JB88">
        <f t="shared" si="262"/>
        <v>0</v>
      </c>
      <c r="JC88">
        <f t="shared" si="263"/>
        <v>0</v>
      </c>
      <c r="JD88" t="str">
        <f t="shared" si="264"/>
        <v/>
      </c>
      <c r="JE88" t="str">
        <f t="shared" si="265"/>
        <v/>
      </c>
      <c r="JF88" t="str">
        <f t="shared" si="266"/>
        <v/>
      </c>
      <c r="JG88" t="str">
        <f t="shared" si="267"/>
        <v/>
      </c>
      <c r="JH88">
        <f>IF(B88="","",IFERROR(_xlfn.XLOOKUP(B88,Коды_код,Коды_уго),IFERROR(_xlfn.XLOOKUP(BC88,Коды_код,Коды_уго),IFERROR(_xlfn.XLOOKUP(LEFT(BC88,2),Коды_код,Коды_уго),""))))</f>
        <v>0</v>
      </c>
      <c r="JI88" t="str">
        <f>IF(B88="","",IF(OR(JH88="",JH88=0),"BOX",IFERROR(IF(VLOOKUP(JH88,УГО_блоки,3,FALSE)&amp;""&lt;&gt;"",VLOOKUP(JH88,УГО_блоки,3,FALSE),VLOOKUP(JH88,УГО_блоки,2,FALSE)),JH88)))</f>
        <v>BOX</v>
      </c>
      <c r="JJ88">
        <f t="shared" si="268"/>
        <v>1</v>
      </c>
      <c r="JK88" t="str">
        <f>IF(DQ88="","",IF(COUNTIF(DQ$3:DQ88,DQ88)=1,MAX(JK$2:JK87)+1,""))</f>
        <v/>
      </c>
      <c r="JL88" t="str">
        <f>IF(DE88="","",IF(COUNTIF(DE$3:DE88,DE88)+COUNTIF(DF$2:DF87,DE88)+COUNTIF(DG$2:DG87,DE88)=1,MAX(JL$2:JN87)+1,""))</f>
        <v/>
      </c>
      <c r="JM88" t="str">
        <f>IF(DF88="","",IF(COUNTIF(DE$3:DE88,DF88)+COUNTIF(DF$3:DF88,DF88)+COUNTIF(DG$2:DG87,DF88)=1,MAX(JL$2:JN87,JL88)+1,""))</f>
        <v/>
      </c>
      <c r="JN88" t="str">
        <f>IF(DG88="","",IF(COUNTIF(DE$3:DE88,DG88)+COUNTIF(DF$3:DF88,DG88)+COUNTIF(DG$3:DG88,DG88)=1,MAX(JL$2:JN87,JL88,JM88)+1,""))</f>
        <v/>
      </c>
      <c r="JO88" t="str">
        <f t="shared" si="269"/>
        <v/>
      </c>
      <c r="JP88" t="str">
        <f>IF(JO88="","",IF(COUNTIF(JO$3:JO88,JO88)=1,MAX(JP$2:JP87)+1,""))</f>
        <v/>
      </c>
      <c r="JQ88" t="str">
        <f>IF(HG88="","",COUNTIF(HG$3:HG88,"?*"))</f>
        <v/>
      </c>
      <c r="JR88" t="str">
        <f>IF(OR(HG88="",HI88=""),"",IF(COUNTIFS(HG$3:HG88,"?*",HI$3:HI88,HI88)=1,MAX(JR$2:JR87)+1,""))</f>
        <v/>
      </c>
      <c r="JS88">
        <f t="shared" si="270"/>
        <v>0</v>
      </c>
      <c r="JT88">
        <f>IF(B88="","",COUNTIF(B$3:B88,"?*"))</f>
        <v>86</v>
      </c>
      <c r="JU88">
        <f>IF(HL88&lt;&gt;1,0,_xlfn.LET(_xlpm.k,MAX(IFERROR(--_xlfn.XLOOKUP(B88,Коды_код,Коды_3L),0),IFERROR(--_xlfn.XLOOKUP(BC88,Коды_код,Коды_3L),0),IFERROR(--_xlfn.XLOOKUP(LEFT(BC88,2),Коды_код,Коды_3L),0)),IF(_xlpm.k&gt;0,_xlpm.k,IF(IFERROR(--LEFT(SUBSTITUTE(JO88,"x","х"),FIND("х",SUBSTITUTE(JO88,"x","х"))-1),3)&gt;3,Каталог!$S$9,1))))</f>
        <v>0</v>
      </c>
      <c r="JV88">
        <f t="shared" si="271"/>
        <v>0</v>
      </c>
      <c r="JW88" t="str">
        <f t="shared" si="272"/>
        <v>авто</v>
      </c>
      <c r="JX88" t="str">
        <f t="shared" si="273"/>
        <v/>
      </c>
      <c r="JY88">
        <f t="shared" si="274"/>
        <v>0</v>
      </c>
      <c r="JZ88">
        <f t="shared" si="275"/>
        <v>1</v>
      </c>
    </row>
    <row r="89" spans="1:286" x14ac:dyDescent="0.3">
      <c r="A89" t="s">
        <v>749</v>
      </c>
      <c r="B89" t="s">
        <v>1401</v>
      </c>
      <c r="C89" t="s">
        <v>1661</v>
      </c>
      <c r="D89">
        <v>1</v>
      </c>
      <c r="E89">
        <v>0.55000000000000004</v>
      </c>
      <c r="G89">
        <v>10</v>
      </c>
      <c r="H89" t="str">
        <f>Линии[[#This Row],[_авто управление]]</f>
        <v/>
      </c>
      <c r="I89" t="str">
        <f>Линии[[#This Row],[_авто аппараты]]</f>
        <v/>
      </c>
      <c r="J89">
        <v>1.5</v>
      </c>
      <c r="K89">
        <v>19</v>
      </c>
      <c r="L89">
        <v>1</v>
      </c>
      <c r="M89" t="s">
        <v>484</v>
      </c>
      <c r="N89" t="str">
        <f t="shared" si="138"/>
        <v/>
      </c>
      <c r="O89" s="6" cm="1">
        <f t="array" ref="O89">IF(B89="","",IF(BH89&lt;&gt;"",IFERROR(_xlfn.XLOOKUP(BH89,Щиты[Щит],Щиты[Iр, А]),""),IF(BP89=1,IF(OR(N(_xlfn.XLOOKUP(A89,Щиты[Щит],Щиты[Вводов],1))&lt;=1,LOWER(TRIM(_xlfn.XLOOKUP(A89,Щиты[Щит],Щиты[АВР],"")&amp;""))="да"),IFERROR(_xlfn.XLOOKUP(A89,Щиты[Щит],Щиты[Iр, А]),""),IFERROR(N(BS89)*_xlfn.XLOOKUP(A89,Щиты[Щит],Щиты[Кс итог])/(SQRT(3)*Uн_лин*_xlfn.XLOOKUP(A89,Щиты[Щит],Щиты[cos φ])),"")),IF(BV89=1,IFERROR(BS89*1000/BU89,""),IFERROR(_xlfn.IFS(BX89=1,BS89/((Uн_лин/SQRT(3))*CE89),BX89=3,BS89/(SQRT(3)*Uн_лин*CE89)),"")))))</f>
        <v>2.9769623255090076</v>
      </c>
      <c r="P89" s="7">
        <f>IF(B89="","",IFERROR(IF(VLOOKUP(BC89,Потребители_обозначение,4,FALSE)=1,VLOOKUP(BC89,Потребители_обозначение,3,FALSE)*(MAX(1,N(D89))*2-1)+EI89+VLOOKUP(BE89,Этаж_обозначение,3,FALSE)+VLOOKUP(BE89,Этаж_обозначение,4,FALSE),VLOOKUP(BC89,Потребители_обозначение,3,FALSE)*(MAX(1,N(D89))*2-1)+EI89),EI89))</f>
        <v>23</v>
      </c>
      <c r="Q89" s="6">
        <f t="shared" si="139"/>
        <v>1.46</v>
      </c>
      <c r="R89" t="str">
        <f t="shared" si="140"/>
        <v>ВВГнг(А)-LS (3х1,5)</v>
      </c>
      <c r="S89" t="str">
        <f>IF(BM89="","",IF(BN89="вводной узел","узел ","")&amp;"л."&amp;(INT((BM89-1)/Столбцов_на_лист)+1)&amp;" / "&amp;(MOD(BM89-1,Столбцов_на_лист)+1))</f>
        <v>л.2 / 2</v>
      </c>
      <c r="T89" s="119">
        <f t="shared" si="141"/>
        <v>1.4</v>
      </c>
      <c r="U89" s="7" t="str">
        <f>IF(OR(CG89=0,N(BV89)+N(IB89)=0),"",ROUNDUP(Запас_БП*(N(HY89)+N(HZ89)),0))</f>
        <v/>
      </c>
      <c r="V89" s="119" t="str">
        <f t="shared" si="142"/>
        <v/>
      </c>
      <c r="W89" s="7" t="str">
        <f>IFERROR(IF(OR(B89="",BP89=1,BV89=1,NOT(ISNUMBER(EN89)),N(DT89)=0),"",MAX(0,ROUNDDOWN((c_min*(Uн_лин*1000/SQRT(3))/(HT89*N(DT89))-_xlfn.XLOOKUP(A89,Щиты[Щит],Щиты[Zпетли на шинах, Ом]))*EN89/(2*ρкз_Cu),0))),"")</f>
        <v/>
      </c>
      <c r="Y89" t="str">
        <f>Линии[[#This Row],[_авто утечка]]</f>
        <v/>
      </c>
      <c r="Z89">
        <v>1</v>
      </c>
      <c r="AA89">
        <v>230</v>
      </c>
      <c r="AB89" t="s">
        <v>598</v>
      </c>
      <c r="AC89">
        <v>0.5</v>
      </c>
      <c r="AG89" t="s">
        <v>810</v>
      </c>
      <c r="AI89" t="s">
        <v>580</v>
      </c>
      <c r="AK89" t="str">
        <f>Линии[[#This Row],[_авто модуль]]</f>
        <v/>
      </c>
      <c r="AM89">
        <v>19</v>
      </c>
      <c r="AN89" t="s">
        <v>11</v>
      </c>
      <c r="AO89">
        <v>3</v>
      </c>
      <c r="AQ89">
        <v>0</v>
      </c>
      <c r="AR89">
        <v>23</v>
      </c>
      <c r="AT89">
        <v>1</v>
      </c>
      <c r="BA89" cm="1">
        <f t="array" ref="BA89">ROW()-ROW(Линии[#Headers])</f>
        <v>87</v>
      </c>
      <c r="BC89" s="6" t="str">
        <f t="shared" si="143"/>
        <v>В</v>
      </c>
      <c r="BD89" t="str">
        <f t="shared" si="144"/>
        <v>7</v>
      </c>
      <c r="BE89" t="str">
        <f t="shared" si="145"/>
        <v>7</v>
      </c>
      <c r="BF89" t="str">
        <f t="shared" si="146"/>
        <v/>
      </c>
      <c r="BG89" t="str">
        <f t="shared" si="147"/>
        <v/>
      </c>
      <c r="BH89" t="str">
        <f>IF(X89&lt;&gt;"",X89,IF(AND(B89&lt;&gt;"",B89&lt;&gt;A89,ISNUMBER(_xlfn.XMATCH(B89,Щиты[Щит]))),B89,""))</f>
        <v/>
      </c>
      <c r="BI89" t="str" cm="1">
        <f t="array" ref="BI89">IF(B89="","",IF(BH89&lt;&gt;"","Щит "&amp;BH89,_xlfn.LET(_xlpm.nm,IFERROR(_xlfn.XLOOKUP(BC89,Коды_код,Коды_имя)&amp;"",""),_xlpm.md,IFERROR(N(_xlfn.XLOOKUP(BC89,Коды_код,Коды_режим)),1),_xlpm.ex,IF(Имя_режим="по экспликации",IFERROR(_xlfn.XLOOKUP(BE89&amp;"|"&amp;BG89,Экспликация[Этаж]&amp;"|"&amp;Экспликация[Помещение],Экспликация[Название])&amp;"",""),""),_xlpm.rm,IF(BG89="","",IF(_xlpm.ex&lt;&gt;"",". "&amp;_xlpm.ex&amp;IF(Имя_пом="нет"," ("&amp;BG89&amp;")"," (пом. "&amp;BG89&amp;")"),IF(Имя_пом="нет"," ",", пом. ")&amp;BG89)),IF(_xlpm.nm="","",IF(_xlpm.md=2,_xlpm.nm&amp;" шлейф "&amp;BE89,_xlpm.nm&amp;_xlpm.rm)))))</f>
        <v>Вытяжная установка шлейф 7</v>
      </c>
      <c r="BJ89" t="str">
        <f t="shared" si="148"/>
        <v>Вытяжная установка Шлейф Подвальный этаж Пом. №003Т</v>
      </c>
      <c r="BK89">
        <f>IFERROR(_xlfn.XMATCH(A89,Щиты[Щит]),0)</f>
        <v>5</v>
      </c>
      <c r="BL89">
        <f>_xlfn.LET(_xlpm.k,IFERROR(_xlfn.XLOOKUP(A89,Щиты[Щит],Щиты[Мест под вводной узел]),""),IF(_xlpm.k="",Столбцов_на_лист,N(_xlpm.k)))</f>
        <v>18</v>
      </c>
      <c r="BM89">
        <f t="shared" si="149"/>
        <v>19</v>
      </c>
      <c r="BN89" t="str">
        <f t="shared" si="150"/>
        <v>линии</v>
      </c>
      <c r="BO89" s="6">
        <f>IFERROR(N(_xlfn.XLOOKUP(BC89,Коды_код,Коды_квт)),0)</f>
        <v>0</v>
      </c>
      <c r="BP89">
        <f t="shared" si="151"/>
        <v>0</v>
      </c>
      <c r="BQ89" t="str">
        <f>IF(B89="","",IF(BH89&lt;&gt;"",IFERROR(_xlfn.XLOOKUP(BH89,Щиты[Щит],Щиты[Руст, кВт]),0),IF(BP89=1,IF(OR(N(_xlfn.XLOOKUP(A89,Щиты[Щит],Щиты[Вводов],1))&lt;=1,LOWER(TRIM(_xlfn.XLOOKUP(A89,Щиты[Щит],Щиты[АВР],"")&amp;""))="да"),IFERROR(_xlfn.XLOOKUP(A89,Щиты[Щит],Щиты[Руст, кВт]),0),SUMIFS(Линии[_Р для вводов],Линии[Щит],A89,Линии[Источник для режимов],GF89)),IF(BO89&gt;0,ROUND(BO89*MAX(1,N(D89)),3),""))))</f>
        <v/>
      </c>
      <c r="BR89">
        <f t="shared" si="152"/>
        <v>0.55000000000000004</v>
      </c>
      <c r="BS89" s="6">
        <f>IF(B89="","",IF(BH89&lt;&gt;"",IFERROR(_xlfn.XLOOKUP(BH89,Щиты[Щит],Щиты[Руст, кВт]),0),N(BR89)))</f>
        <v>0.55000000000000004</v>
      </c>
      <c r="BT89" t="str">
        <f>IF(B89="","",IFERROR(IF(VLOOKUP(BC89,Потребители_обозначение,8,FALSE)=0,"",VLOOKUP(BC89,Потребители_обозначение,8,FALSE)),""))</f>
        <v/>
      </c>
      <c r="BU89">
        <f t="shared" si="153"/>
        <v>230</v>
      </c>
      <c r="BV89">
        <f t="shared" si="154"/>
        <v>0</v>
      </c>
      <c r="BW89">
        <f>IF(B89="","",IF(BH89&lt;&gt;"",3,IFERROR(IF(N(VLOOKUP(BC89,Потребители_обозначение,9,FALSE))=0,1,VLOOKUP(BC89,Потребители_обозначение,9,FALSE)),1)))</f>
        <v>1</v>
      </c>
      <c r="BX89">
        <f t="shared" si="155"/>
        <v>1</v>
      </c>
      <c r="BY89" t="str">
        <f>IF(B89="","",_xlfn.LET(_xlpm.bc,IFERROR(IF(VLOOKUP(BC89,Потребители_обозначение,6,FALSE)=0,"",VLOOKUP(BC89,Потребители_обозначение,6,FALSE)&amp;""),""),IF(AND(GA89="да",OR(_xlpm.bc="",_xlpm.bc="мс")),Марка_пож,IF(AND(_xlpm.bc="",BH89&lt;&gt;""),"мс",_xlpm.bc))))</f>
        <v/>
      </c>
      <c r="BZ89" t="str">
        <f t="shared" si="156"/>
        <v>мс</v>
      </c>
      <c r="CA89">
        <f>IF(B89="","",_xlfn.LET(_xlpm.cc,IFERROR(N(VLOOKUP(BC89,Потребители_обозначение,7,FALSE)),0),IF(_xlpm.cc&gt;0,_xlpm.cc,IF(BZ89="","",IF(BV89=1,2,IF(N(BX89)=3,5,3))))))</f>
        <v>3</v>
      </c>
      <c r="CB89">
        <f t="shared" si="157"/>
        <v>3</v>
      </c>
      <c r="CC89">
        <f>IFERROR(N(VLOOKUP(BC89,Потребители_обозначение,10,FALSE)),0)</f>
        <v>0</v>
      </c>
      <c r="CD89">
        <f>IFERROR(VLOOKUP(BC89,Потребители_обозначение,5,FALSE),0)</f>
        <v>1</v>
      </c>
      <c r="CE89" s="6" cm="1">
        <f t="array" ref="CE89">IF(B89="","",IF(BH89&lt;&gt;"",IFERROR(_xlfn.XLOOKUP(BH89,Щиты[Щит],Щиты[cos φ]),0.95),IF(BP89=1,IFERROR(_xlfn.XLOOKUP(A89,Щиты[Щит],Щиты[cos φ]),0.95),IF(ISNUMBER(AD89),AD89,IFERROR(IF(CD89=2,_xlfn.IFS(BX89=3,VLOOKUP(BS89,Справочная_двигатели,8,FALSE),BX89=1,VLOOKUP(BS89,Справочная_двигатели,10,TRUE)),IF(AND(Методика="нормы 2026",FG89="Сил"),0.8,0.95)),0.95)))))</f>
        <v>0.8</v>
      </c>
      <c r="CF89">
        <f t="shared" si="158"/>
        <v>0</v>
      </c>
      <c r="CG89">
        <f t="shared" si="159"/>
        <v>1</v>
      </c>
      <c r="CH89">
        <f t="shared" si="160"/>
        <v>0</v>
      </c>
      <c r="CI89">
        <f>IF(B89="","",IF(BV89=1,IFERROR(BS89/((Uн_лин/SQRT(3))*MAX(0.5,N(CE89))),0),N(O89)))</f>
        <v>2.9769623255090076</v>
      </c>
      <c r="CJ89">
        <f t="shared" si="161"/>
        <v>0</v>
      </c>
      <c r="CK89">
        <f t="shared" si="162"/>
        <v>0</v>
      </c>
      <c r="CL89">
        <f t="shared" si="163"/>
        <v>0</v>
      </c>
      <c r="CM89">
        <f t="shared" si="164"/>
        <v>0</v>
      </c>
      <c r="CN89">
        <f t="shared" si="165"/>
        <v>0</v>
      </c>
      <c r="CO89">
        <f>IF(BC89="",0,_xlfn.LET(_xlpm.v,IFERROR(_xlfn.XLOOKUP(B89,Коды_код,Коды_мА),IFERROR(_xlfn.XLOOKUP(BC89,Коды_код,Коды_мА),IFERROR(_xlfn.XLOOKUP(LEFT(BC89,2),Коды_код,Коды_мА),""))),IF(_xlpm.v="да",30,IF(ISNUMBER(_xlpm.v),_xlpm.v,0))))</f>
        <v>0</v>
      </c>
      <c r="CP89" t="str">
        <f t="shared" si="166"/>
        <v/>
      </c>
      <c r="CQ89" t="str">
        <f>_xlfn.LET(_xlpm.k,IFERROR(_xlfn.XLOOKUP(BC89,Коды_код,Коды_утечка)&amp;"",""),IF(_xlpm.k="","дифавтомат",_xlpm.k))</f>
        <v>дифавтомат</v>
      </c>
      <c r="CR89" t="str" cm="1">
        <f t="array" ref="CR89">IF(CG89=0,"",_xlfn.LET(_xlpm.sg,TRIM(_xlfn.TEXTSPLIT(DD89&amp;"",";")),_xlpm.f_,_xlfn._xlws.FILTER(_xlpm.sg,LEFT(_xlpm.sg,3)="УЗО",""),IFERROR(INDEX(_xlpm.f_,1)&amp;"","")))</f>
        <v/>
      </c>
      <c r="CS89" t="str">
        <f t="shared" si="167"/>
        <v/>
      </c>
      <c r="CT89" s="6" t="str" cm="1">
        <f t="array" ref="CT89">IF(CR89="","",_xlfn.LET(_xlpm.tk,_xlfn.TEXTSPLIT(UPPER(CR89)," ",,TRUE),_xlpm.a_,_xlfn._xlws.FILTER(_xlpm.tk,ISNUMBER(--LEFT(_xlpm.tk,1))*((ISNUMBER(SEARCH("А",_xlpm.tk))+ISNUMBER(SEARCH("A",_xlpm.tk)))&gt;0)*NOT(ISNUMBER(SEARCH("МА",_xlpm.tk)))*NOT(ISNUMBER(SEARCH("MA",_xlpm.tk))),""),IFERROR(--SUBSTITUTE(SUBSTITUTE(INDEX(_xlpm.a_,1),"А",""),"A",""),"")))</f>
        <v/>
      </c>
      <c r="CU89" t="str" cm="1">
        <f t="array" ref="CU89">IF(CR89="","",_xlfn.LET(_xlpm.tk,_xlfn.TEXTSPLIT(UPPER(CR89)," ",,TRUE),_xlpm.a_,_xlfn._xlws.FILTER(_xlpm.tk,ISNUMBER(--LEFT(_xlpm.tk,1))*((ISNUMBER(SEARCH("МА",_xlpm.tk))+ISNUMBER(SEARCH("MA",_xlpm.tk)))&gt;0),""),IFERROR(--SUBSTITUTE(SUBSTITUTE(INDEX(_xlpm.a_,1),"МА",""),"MA",""),30)))</f>
        <v/>
      </c>
      <c r="CV89" t="str">
        <f>IF(CS89="","",IFERROR(_xlfn.XLOOKUP(CS89,Линии[_n],Линии[_УЗО, мА]),30))</f>
        <v/>
      </c>
      <c r="CW89">
        <f>IF(CS89="",0,IF(ISNUMBER(SEARCH("4P",IFERROR(_xlfn.XLOOKUP(CS89,Линии[_n],Линии[_УЗО строки])&amp;"",""))),0,1))</f>
        <v>0</v>
      </c>
      <c r="CX89" t="str">
        <f>IF(AND(CS89&lt;&gt;"",CS89=BA89),SUMIFS(Линии[_ток на 230 В],Линии[_блок УЗО],BA89,Линии[Щит],A89),"")</f>
        <v/>
      </c>
      <c r="CY89" t="str">
        <f>IF(AND(CS89&lt;&gt;"",CS89=BA89),SUMIFS(Линии[_ток утечки линии, мА],Линии[_блок УЗО],BA89,Линии[Щит],A89),"")</f>
        <v/>
      </c>
      <c r="CZ89">
        <f t="shared" si="168"/>
        <v>0</v>
      </c>
      <c r="DA89">
        <f t="shared" si="169"/>
        <v>0</v>
      </c>
      <c r="DB89">
        <f>IF(B89="",0,IFERROR(--_xlfn.XLOOKUP(B89,Коды_код,Коды_минавт),IFERROR(--_xlfn.XLOOKUP(BC89,Коды_код,Коды_минавт),IFERROR(--_xlfn.XLOOKUP(LEFT(BC89,2),Коды_код,Коды_минавт),0))))</f>
        <v>0</v>
      </c>
      <c r="DC89" t="str">
        <f>IF(B89="","",IFERROR(_xlfn.XLOOKUP(BC89,Коды_код,Коды_апп)&amp;"",""))</f>
        <v/>
      </c>
      <c r="DD89" t="str">
        <f t="shared" si="170"/>
        <v/>
      </c>
      <c r="DE89" t="str" cm="1">
        <f t="array" ref="DE89">IF(TRIM(DD89&amp;"")="","",IFERROR(TRIM(INDEX(_xlfn.TEXTSPLIT(DD89&amp;";;;",";"),1)),""))</f>
        <v/>
      </c>
      <c r="DF89" t="str" cm="1">
        <f t="array" ref="DF89">IF(TRIM(DD89&amp;"")="","",IFERROR(TRIM(INDEX(_xlfn.TEXTSPLIT(DD89&amp;";;;",";"),2)),""))</f>
        <v/>
      </c>
      <c r="DG89" t="str" cm="1">
        <f t="array" ref="DG89">IF(TRIM(DD89&amp;"")="","",IFERROR(TRIM(INDEX(_xlfn.TEXTSPLIT(DD89&amp;";;;",";"),3)),""))</f>
        <v/>
      </c>
      <c r="DH89">
        <f t="shared" si="171"/>
        <v>0</v>
      </c>
      <c r="DI89" t="str">
        <f>IF(B89="","",_xlfn.LET(_xlpm.t,LOWER(AZ89&amp;""),IF(ISNUMBER(SEARCH("dim",_xlpm.t)),"DIM",IF(ISNUMBER(SEARCH("dali",_xlpm.t)),"DALI",IF(OR(ISNUMBER(SEARCH("relay",_xlpm.t)),ISNUMBER(SEARCH("реле",_xlpm.t))),"Relay",IF(ISNUMBER(SEARCH("кнопк",_xlpm.t)),"",IFERROR(_xlfn.XLOOKUP(BC89,Коды_код,Коды_упр)&amp;"","")))))))</f>
        <v/>
      </c>
      <c r="DJ89" t="str">
        <f t="shared" si="172"/>
        <v/>
      </c>
      <c r="DK89">
        <f>IF(B89="","",_xlfn.LET(_xlpm.ig,IF(N(CX89)&gt;0,N(CX89),N(CI89)+IF(AJ89="вручную",0,N(CJ89))),_xlpm.n0,IFERROR(VLOOKUP(_xlpm.ig,Автомат_номиналы,2,TRUE),0),_xlpm.mn,MAX(DB89,IF(AJ89="вручную",0,N(CM89))),MAX(_xlpm.n0,_xlpm.mn,IF(DH89=1,Мин_автомат_БП,0))))</f>
        <v>6</v>
      </c>
      <c r="DL89">
        <f t="shared" si="173"/>
        <v>1</v>
      </c>
      <c r="DM89" t="str">
        <f t="shared" si="174"/>
        <v>1P</v>
      </c>
      <c r="DN89" t="str">
        <f>_xlfn.LET(_xlpm.cc,UPPER(TRIM(IFERROR(_xlfn.XLOOKUP(BC89,Коды_код,Коды_хар)&amp;"",""))),IF(OR(_xlpm.cc="B",_xlpm.cc="В"),"B",IF(_xlpm.cc="D","D","С")))</f>
        <v>С</v>
      </c>
      <c r="DO89" t="str">
        <f t="shared" si="175"/>
        <v>1P С6А</v>
      </c>
      <c r="DP89">
        <f t="shared" si="176"/>
        <v>10</v>
      </c>
      <c r="DQ89" t="str">
        <f t="shared" si="177"/>
        <v>1P С10А</v>
      </c>
      <c r="DR89" cm="1">
        <f t="array" ref="DR89">IF(DQ89="","",_xlfn.LET(_xlpm.t,SUBSTITUTE(SUBSTITUTE(SUBSTITUTE(UPPER(DQ89),"С","C"),"А","A"),"В","B"),_xlpm.tk,_xlfn.TEXTSPLIT(_xlpm.t," "),_xlpm.f,_xlfn._xlws.FILTER(_xlpm.tk,ISNUMBER(--MID(_xlpm.tk,2,1))*ISNUMBER(SEARCH(LEFT(_xlpm.tk,1)&amp;"#","B#C#D#"))*(LEN(_xlpm.tk)&gt;1),""),_xlpm.x,INDEX(_xlpm.f,1),IFERROR(--SUBSTITUTE(MID(_xlpm.x,2,9),"A",""),IFERROR(--SUBSTITUTE(INDEX(_xlfn._xlws.FILTER(_xlpm.tk,ISNUMBER(--SUBSTITUTE(_xlpm.tk,"A","")),""),1),"A",""),""))))</f>
        <v>10</v>
      </c>
      <c r="DS89" t="str">
        <f t="shared" si="178"/>
        <v>ok</v>
      </c>
      <c r="DT89">
        <f t="shared" si="179"/>
        <v>10</v>
      </c>
      <c r="DU89" t="str">
        <f t="shared" si="180"/>
        <v>1P С10А</v>
      </c>
      <c r="DV89">
        <f t="shared" si="181"/>
        <v>0</v>
      </c>
      <c r="DW89">
        <f t="shared" si="182"/>
        <v>0</v>
      </c>
      <c r="DX89">
        <f t="shared" si="183"/>
        <v>0</v>
      </c>
      <c r="DY89">
        <f t="shared" si="184"/>
        <v>2.9769623255090076</v>
      </c>
      <c r="DZ89">
        <f t="shared" si="185"/>
        <v>1</v>
      </c>
      <c r="EA89">
        <f>IF(ISNUMBER(AP89),AP89,К_прокл)</f>
        <v>1</v>
      </c>
      <c r="EB89">
        <f t="shared" si="186"/>
        <v>2</v>
      </c>
      <c r="EC89">
        <f>IFERROR(N(VLOOKUP(BZ89,Кабель_обозначение,3,FALSE)),1)</f>
        <v>1</v>
      </c>
      <c r="ED89">
        <f>IFERROR(N(_xlfn.XLOOKUP(A89,Щиты[Щит],Щиты[ΔU до шин, %])),0)</f>
        <v>0.74</v>
      </c>
      <c r="EE89" t="str">
        <f>IFERROR(_xlfn.XLOOKUP(A89,Щиты[Щит],Щиты[Zпетли на шинах, Ом]),"")</f>
        <v/>
      </c>
      <c r="EF89">
        <f>IFERROR(N(_xlfn.XLOOKUP(A89,Щиты[Щит],Щиты[ΔU до шин (подбор), %])),0)</f>
        <v>1.96</v>
      </c>
      <c r="EG89" t="str">
        <f>IFERROR(_xlfn.XLOOKUP(A89,Щиты[Щит],Щиты[Zпетли на шинах (подбор), Ом]),"")</f>
        <v/>
      </c>
      <c r="EH89" t="str">
        <f t="shared" si="187"/>
        <v/>
      </c>
      <c r="EI89">
        <f t="shared" si="188"/>
        <v>19</v>
      </c>
      <c r="EJ89">
        <f t="shared" si="189"/>
        <v>2</v>
      </c>
      <c r="EK89">
        <f t="shared" si="190"/>
        <v>0.6</v>
      </c>
      <c r="EL89" s="6">
        <f>IF(B89="","",IF(BV89=1,dU_LED,IF(IFERROR(_xlfn.XLOOKUP(BC89,Коды_код,Коды_уго),"")="Светильник",3,4)+IF(Методика="нормы 2026",MIN(0.5,MAX(0,N(P89)-100)*0.005),0)))</f>
        <v>4</v>
      </c>
      <c r="EM89" cm="1">
        <f t="array" ref="EM89">IF(OR(B89="",BZ89="",EC89&lt;&gt;1),"",_xlfn.LET(_xlpm.sz,Iдоп_S,_xlpm.t_,CHOOSE(EB89,Iдоп_1ж,Iдоп_2ж,Iдоп_3ж)*DZ89*EA89,_xlpm.dcx,BV89=1,_xlpm.inn,IF(_xlpm.dcx,N(O89),N(DT89)),_xlpm.smin,MAX(1.5,CC89),_xlpm.L_,N(P89)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89)/N(BU89)*100,999),IFERROR(N(EJ89)*(_xlpm.rho*_xlpm.L_/_xlpm.sz*N(CE89)+_xlpm.xx*_xlpm.L_*N(EK89)/1000)*N(O89)/((Uн_лин/SQRT(3))*1000)*100,999)),_xlpm.kz,IF(OR(_xlpm.dcx,DW89=1,NOT(ISNUMBER(EG89)),_xlpm.L_=0,_xlpm.inn=0),1,IFERROR(--(c_min*(Uн_лин*1000/SQRT(3))/(EG89+2*ρкз_Cu*_xlpm.L_/_xlpm.sz)&gt;=HT89*_xlpm.inn),0)),_xlpm.ok,IFERROR((_xlpm.sz&gt;=_xlpm.smin)*(_xlpm.t_&gt;=_xlpm.inn)*IF(_xlpm.L_&gt;0,(_xlpm.du_+IF(_xlpm.dcx,0,EF89)&lt;=EL89+0.00001),1)*_xlpm.kz,0),_xlpm.r_,_xlfn._xlws.FILTER(_xlpm.sz,_xlpm.ok,"не подобрано"),INDEX(_xlpm.r_,1)))</f>
        <v>1.5</v>
      </c>
      <c r="EN89">
        <f t="shared" si="191"/>
        <v>1.5</v>
      </c>
      <c r="EO89" cm="1">
        <f t="array" ref="EO89">IF(OR(B89="",BZ89="",EC89&lt;&gt;1),"",_xlfn.LET(_xlpm.sz,Iдоп_S,_xlpm.t_,CHOOSE(EB89,Iдоп_1ж,Iдоп_2ж,Iдоп_3ж)*DZ89*EA89,_xlpm.ok,IFERROR((_xlpm.sz&gt;=MAX(1.5,CC89))*(_xlpm.t_&gt;=N(DT89)),0),_xlpm.r_,_xlfn._xlws.FILTER(_xlpm.sz,_xlpm.ok,""),INDEX(_xlpm.r_,1)))</f>
        <v>1.5</v>
      </c>
      <c r="EP89" s="6" cm="1">
        <f t="array" ref="EP89">IFERROR(ROUNDUP(N(EJ89)*(_xlfn.XLOOKUP(EO89,INDEX(Кабель_сопротивление,0,1),INDEX(Кабель_сопротивление,0,3))*N(P89)/EO89*N(CE89)+_xlfn.XLOOKUP(EO89,INDEX(Кабель_сопротивление,0,1),INDEX(Кабель_сопротивление,0,2))*N(P89)*N(EK89)/1000)*N(O89)/((Uн_лин/SQRT(3))*1000)*100,2),"")</f>
        <v>0.72</v>
      </c>
      <c r="EQ89">
        <f>IFERROR(2*ρкз_Cu*N(P89)/EO89,"")</f>
        <v>0.80653333333333332</v>
      </c>
      <c r="ER89">
        <f>IFERROR(VLOOKUP(EN89,Кабель_сопротивление,3,FALSE),"")</f>
        <v>2.2499999999999999E-2</v>
      </c>
      <c r="ES89">
        <f>IFERROR(VLOOKUP(EN89,Кабель_сопротивление,2,FALSE),"")</f>
        <v>0.11</v>
      </c>
      <c r="ET89">
        <f t="shared" si="192"/>
        <v>23</v>
      </c>
      <c r="EU89">
        <f t="shared" si="193"/>
        <v>0</v>
      </c>
      <c r="EV89">
        <f t="shared" si="194"/>
        <v>1.6523212613012175</v>
      </c>
      <c r="EW89" s="6">
        <f>IFERROR(ROUNDUP(EV89/IF(BV89=1,BU89,(Uн_лин/SQRT(3))*1000)*100,2),"")</f>
        <v>0.72</v>
      </c>
      <c r="EX89" t="str">
        <f>IFERROR(VLOOKUP(BZ89,Кабель_обозначение,2,FALSE),"")</f>
        <v>ВВГнг(А)-LS</v>
      </c>
      <c r="EY89" t="str">
        <f t="shared" si="195"/>
        <v>ВВГнг(А)-LS (3х1,5)</v>
      </c>
      <c r="EZ89" t="str">
        <f t="shared" si="196"/>
        <v>ВВГнг(А)-LS (3х1,5)
L=23-0,72%</v>
      </c>
      <c r="FA89">
        <f>IFERROR(2*ρкз_Cu*P89/EN89,"")</f>
        <v>0.80653333333333332</v>
      </c>
      <c r="FB89">
        <f t="shared" si="197"/>
        <v>0.26833333333333337</v>
      </c>
      <c r="FC89" s="6" t="str">
        <f>IFERROR(IF(OR(B89="",BV89=1,NOT(ISNUMBER(EN89)),N(P89)=0),"",_xlfn.XLOOKUP(A89,Щиты[Щит],Щиты[Zпетли на шинах, Ом])+FA89),"")</f>
        <v/>
      </c>
      <c r="FD89" s="6" t="str">
        <f>IF(ISNUMBER(FC89),c_min*(Uн_лин*1000/SQRT(3))/FC89,"")</f>
        <v/>
      </c>
      <c r="FE89" s="6" t="str">
        <f>IFERROR(IF(OR(B89="",NOT(ISNUMBER(EN89))),"",1.05*(Uн_лин*1000/SQRT(3))/(_xlfn.XLOOKUP(A89,Щиты[Щит],Щиты[Zmax на шинах, Ом])+FB89)/1000),"")</f>
        <v/>
      </c>
      <c r="FF89" s="6" t="str">
        <f>IF(B89="","",IF(ISNUMBER(AC89),"Сил",IF(IFERROR(_xlfn.XLOOKUP(BC89,Коды_код,Коды_группа)&amp;"","")="","Быт",_xlfn.XLOOKUP(BC89,Коды_код,Коды_группа)&amp;"")))</f>
        <v>Сил</v>
      </c>
      <c r="FG89" s="6" t="str">
        <f t="shared" si="198"/>
        <v>Сил</v>
      </c>
      <c r="FH89" s="6">
        <f>IF(FG89="Щит","щит",IF(FG89="","",IF(FG89="Быт",IFERROR(_xlfn.XLOOKUP(A89,Щиты[Щит],Щиты[Кс быт]),1),IF(FG89="Сил",IF(ISNUMBER(AC89),AC89,IF(Методика="нормы 2026",IFERROR(_xlfn.XLOOKUP(A89,Щиты[Щит],Щиты[Кс силовых (табл. 7.5)]),1),1)),IF(OR(FG89="Пост",FG89="Отоп"),1,IF(FG89="ВНГ",0.7,0))))))</f>
        <v>0.5</v>
      </c>
      <c r="FI89">
        <f>IF(FG89="","",IF(AND(BP89=1,TRIM(AE89&amp;"")=""),IF(COUNTIFS(Линии[Щит],A89,Линии[Секция (1/2/3)],"&gt;=2")&gt;0,MIN(3,MAX(1,IFERROR(--BD89,1))),1),IFERROR(MIN(3,MAX(1,INT(--AE89))),1)))</f>
        <v>1</v>
      </c>
      <c r="FJ89">
        <f t="shared" si="199"/>
        <v>0.55000000000000004</v>
      </c>
      <c r="FK89">
        <f t="shared" si="200"/>
        <v>0</v>
      </c>
      <c r="FL89">
        <f t="shared" si="201"/>
        <v>0.27500000000000002</v>
      </c>
      <c r="FM89">
        <f t="shared" si="202"/>
        <v>0</v>
      </c>
      <c r="FN89">
        <f t="shared" si="203"/>
        <v>0</v>
      </c>
      <c r="FO89">
        <f t="shared" si="204"/>
        <v>0</v>
      </c>
      <c r="FP89">
        <f t="shared" si="205"/>
        <v>0.55000000000000004</v>
      </c>
      <c r="FQ89">
        <f t="shared" si="206"/>
        <v>0.55000000000000004</v>
      </c>
      <c r="FR89">
        <f t="shared" si="207"/>
        <v>0.44000000000000006</v>
      </c>
      <c r="FS89">
        <f>IF(CG89=1,IF(AND(CH89=1,CW89=1),0,IF(AND(CS89&lt;&gt;"",CS89=BA89,CW89=1),SUMIFS(Линии[_Р линии, кВт],Линии[_блок УЗО],BA89,Линии[Щит],A89),N(BS89)+IF(AJ89="вручную",0,N(CK89)))),0)</f>
        <v>0.55000000000000004</v>
      </c>
      <c r="FT89" t="str">
        <f t="shared" si="208"/>
        <v>L1</v>
      </c>
      <c r="FU89" t="str">
        <f>IF(B89="","",IF(CG89=0,IF(BA89=1,"",FW88),IF(AND(CH89=1,CW89=1,CS89&lt;&gt;""),IFERROR(_xlfn.XLOOKUP(CS89,Линии[_n],Линии[_фаза итог]),"L1"),IF(OR(N(DL89)&gt;=3,N(BX89)&gt;=3),"L1,L2,L3",IFERROR(_xlfn.TEXTBEFORE(_xlfn.TEXTAFTER(_xlfn.XLOOKUP(A89,Щиты[Щит],Щиты[_фазы авто]),";"&amp;BA89&amp;":"),";"),"L1")))))</f>
        <v>L1</v>
      </c>
      <c r="FV89" t="str">
        <f t="shared" si="209"/>
        <v>L1</v>
      </c>
      <c r="FW89" t="str">
        <f t="shared" si="210"/>
        <v>L1</v>
      </c>
      <c r="FX89" cm="1">
        <f t="array" ref="FX89">IFERROR(IF(CD89=2,_xlfn.IFS(BX89=3,VLOOKUP(BS89,Справочная_двигатели,3,FALSE),BX89=1,VLOOKUP(BS89,Справочная_двигатели,5,TRUE)),0),0)</f>
        <v>0</v>
      </c>
      <c r="FY89">
        <f>IFERROR(IF(CD89=3,VLOOKUP(BS89,Справочная_ЛЭД,2,TRUE),0),0)</f>
        <v>0</v>
      </c>
      <c r="FZ89" s="6">
        <f t="shared" si="211"/>
        <v>0</v>
      </c>
      <c r="GA89" t="str">
        <f>IF(B89="","",IF(TRIM(AH89&amp;"")&lt;&gt;"",IF(LOWER(TRIM(AH89&amp;""))="да","да","нет"),IF(IFERROR(_xlfn.XLOOKUP(BC89,Коды_код,Коды_пожарная),"")="да","да","нет")))</f>
        <v>нет</v>
      </c>
      <c r="GB89" t="str">
        <f t="shared" si="212"/>
        <v/>
      </c>
      <c r="GC89" t="str">
        <f t="shared" si="213"/>
        <v>основная</v>
      </c>
      <c r="GD89">
        <f>IF(AND(BP89=1,TRIM(AE89&amp;"")=""),IF(COUNTIFS(Линии[Щит],A89,Линии[Секция (1/2/3)],"&gt;=2")&gt;0,MIN(3,MAX(1,IFERROR(--BD89,1))),1),IFERROR(MIN(3,MAX(1,INT(--AE89))),1))</f>
        <v>1</v>
      </c>
      <c r="GE89" t="str" cm="1">
        <f t="array" ref="GE89">IF(B89="","",_xlfn.LET(_xlpm.t,IFERROR(_xlfn.XLOOKUP(1,(Шины[Шина]=GC89)*(((Шины[Щит]=A89)+(Шины[Щит]=""))&gt;0),Шины[Тип]),"")&amp;"",IF(_xlpm.t&lt;&gt;"",_xlpm.t,IF(ISNUMBER(SEARCH("ИБП",GC89)),"ИБП",IF(ISNUMBER(SEARCH("ДГУ",GC89)),"ДГУ","Ввод "&amp;GD89)))))</f>
        <v>Ввод 1</v>
      </c>
      <c r="GF89" t="str">
        <f t="shared" si="214"/>
        <v>Ввод 1</v>
      </c>
      <c r="GG89" t="str">
        <f>IF(BP89=0,"",IF(TRIM(AG89&amp;"")&lt;&gt;"",TRIM(AG89&amp;""),IF(OR(GE89="ИБП",GE89="ДГУ"),"I особая",_xlfn.XLOOKUP(A89,Щиты[Щит],Щиты[Категория шины «Ввод»],"III"))))</f>
        <v/>
      </c>
      <c r="GH89" t="str">
        <f>IF(A89="","",_xlfn.XLOOKUP(A89,Щиты[Щит],Щиты[Путь],""))</f>
        <v>|ГРЩ-ЖД|ЩОВ-002|</v>
      </c>
      <c r="GI89" t="str">
        <f>IF(B89="","",IF(AI89&lt;&gt;"",AI89,IF(IFERROR(_xlfn.XLOOKUP(BC89,Коды_код,Коды_вид)&amp;"","")="","Прочее",_xlfn.XLOOKUP(BC89,Коды_код,Коды_вид)&amp;"")))</f>
        <v>Вентиляция</v>
      </c>
      <c r="GJ89">
        <f>IF(BM89="","",INT((BM89-1)/Столбцов_на_лист)+1)</f>
        <v>2</v>
      </c>
      <c r="GK89" t="str">
        <f t="shared" si="215"/>
        <v>ВВГнг(А)-LS (3х1,5) L=23-0,72%</v>
      </c>
      <c r="GL89">
        <f t="shared" si="216"/>
        <v>0.55000000000000004</v>
      </c>
      <c r="GM89">
        <f t="shared" si="217"/>
        <v>2.98</v>
      </c>
      <c r="GN89">
        <f t="shared" si="218"/>
        <v>1</v>
      </c>
      <c r="GO89">
        <f t="shared" si="219"/>
        <v>0</v>
      </c>
      <c r="GP89">
        <f t="shared" si="220"/>
        <v>1</v>
      </c>
      <c r="GQ89">
        <f>IF(BM89="","",IF(AND(CG89=1,GP89=1),COUNTIFS(A$3:A89,A89,CG$3:CG89,1,GP$3:GP89,1),IF(OR(OR(BA89=1,A89&lt;&gt;A88),AJ89="вручную",GP89=0),"",IF(BA89=1,"",GR88))))</f>
        <v>1</v>
      </c>
      <c r="GR89">
        <f t="shared" si="221"/>
        <v>1</v>
      </c>
      <c r="GS89">
        <f>IF(B89="","",IFERROR(LOOKUP(INDEX(CHOOSE(EB89,Iдоп_1ж,Iдоп_2ж,Iдоп_3ж),MATCH(EN89,Iдоп_S,0))*DZ89*EA89,{6,10,16,20,25,32,40,50,63,80,100,125,160,200,250,315,400,500,630}),""))</f>
        <v>16</v>
      </c>
      <c r="GT89" t="str">
        <f t="shared" si="222"/>
        <v>QF1</v>
      </c>
      <c r="GU89" t="str">
        <f t="shared" si="223"/>
        <v>QF1</v>
      </c>
      <c r="GV89" t="str">
        <f t="shared" si="224"/>
        <v/>
      </c>
      <c r="GW89">
        <f t="shared" si="225"/>
        <v>0</v>
      </c>
      <c r="GX89" t="str">
        <f>IF(OR(B89="",DJ89=""),"",IFERROR(_xlfn.XLOOKUP(DJ89,Модули_умолч[Управление],Модули_умолч[Модель])&amp;"",""))</f>
        <v/>
      </c>
      <c r="GY89">
        <f>IF(DJ89="",1,IFERROR(MAX(0,N(_xlfn.XLOOKUP(DJ89,Модули_умолч[Управление],Модули_умолч[Каналов на линию]))),1))</f>
        <v>1</v>
      </c>
      <c r="GZ89" t="str">
        <f t="shared" si="226"/>
        <v/>
      </c>
      <c r="HA89" t="str">
        <f t="shared" si="227"/>
        <v/>
      </c>
      <c r="HB89" t="str">
        <f t="shared" si="228"/>
        <v/>
      </c>
      <c r="HC89">
        <f>IF(HB89="",0,IFERROR(N(VLOOKUP(HB89,Модули_спр,3,FALSE)),0))</f>
        <v>0</v>
      </c>
      <c r="HD89" t="str">
        <f t="shared" si="229"/>
        <v/>
      </c>
      <c r="HE89" t="str">
        <f t="shared" si="230"/>
        <v/>
      </c>
      <c r="HF89" t="str">
        <f>IF(OR(HE89="",HE89="-"),"",IFERROR(VLOOKUP(HE89,Модули_спр,2,FALSE),"R"))</f>
        <v/>
      </c>
      <c r="HG89" t="str">
        <f>IF(HF89="","",HF89&amp;"."&amp;COUNTIFS(A$3:A89,A89,HF$3:HF89,HF89))</f>
        <v/>
      </c>
      <c r="HH89" t="str">
        <f t="shared" si="231"/>
        <v/>
      </c>
      <c r="HI89" t="str">
        <f t="shared" si="232"/>
        <v/>
      </c>
      <c r="HJ89" t="str">
        <f t="shared" si="233"/>
        <v/>
      </c>
      <c r="HK89" t="str">
        <f t="shared" si="234"/>
        <v/>
      </c>
      <c r="HL89">
        <f t="shared" si="235"/>
        <v>1</v>
      </c>
      <c r="HM89" t="str">
        <f>IF(HL89=1,"XT"&amp;COUNTIFS(A$3:A89,A89,HL$3:HL89,1),"")</f>
        <v>XT1</v>
      </c>
      <c r="HN89" t="str">
        <f t="shared" si="236"/>
        <v/>
      </c>
      <c r="HO89" t="str">
        <f t="shared" si="237"/>
        <v>QF1</v>
      </c>
      <c r="HP89" t="str">
        <f t="shared" si="238"/>
        <v/>
      </c>
      <c r="HQ89" t="str">
        <f t="shared" si="239"/>
        <v>ok</v>
      </c>
      <c r="HR89" t="str">
        <f>IF(OR(HJ89="",HH89=""),"",IF(HJ89+MAX(0,GY89-1)&gt;IFERROR(VLOOKUP(HI89,Модули_спр,3,FALSE),99),"ЛИШНИЙ КАНАЛ",IF(AND(AL89&lt;&gt;"=",GY89&gt;0,COUNTIFS(Линии[_модуль гр.],HH89,Линии[Канал (итог)],HJ89,Линии[Канал],"&lt;&gt;=",Линии[Щит],A89)&gt;1),"ДУБЛЬ КАНАЛА","")))</f>
        <v/>
      </c>
      <c r="HS89" s="6" t="str">
        <f t="shared" si="240"/>
        <v/>
      </c>
      <c r="HT89">
        <f t="shared" si="241"/>
        <v>10</v>
      </c>
      <c r="HU89" t="str">
        <f t="shared" si="242"/>
        <v/>
      </c>
      <c r="HV89">
        <f t="shared" si="243"/>
        <v>1.4207849302036031</v>
      </c>
      <c r="HW89">
        <f t="shared" si="244"/>
        <v>0</v>
      </c>
      <c r="HX89">
        <f t="shared" si="245"/>
        <v>0</v>
      </c>
      <c r="HY89">
        <f t="shared" si="246"/>
        <v>0</v>
      </c>
      <c r="HZ89">
        <f t="shared" si="247"/>
        <v>0</v>
      </c>
      <c r="IA89">
        <f t="shared" si="248"/>
        <v>0</v>
      </c>
      <c r="IB89">
        <f t="shared" si="249"/>
        <v>0</v>
      </c>
      <c r="IC89" t="str">
        <f t="shared" si="250"/>
        <v/>
      </c>
      <c r="ID89" t="str" cm="1">
        <f t="array" ref="ID89">IF(IC89="","",_xlfn.LET(_xlpm.tk,_xlfn.TEXTSPLIT(SUBSTITUTE(SUBSTITUTE(IC89,";"," "),"→"," ")," ",,TRUE),_xlpm.w_,_xlfn._xlws.FILTER(_xlpm.tk,ISNUMBER(--LEFT(_xlpm.tk,1))*((ISNUMBER(SEARCH("W",_xlpm.tk))+ISNUMBER(SEARCH("Вт",_xlpm.tk)))&gt;0),""),IFERROR(--SUBSTITUTE(SUBSTITUTE(UPPER(INDEX(_xlpm.w_,1)),"W",""),"ВТ",""),"")))</f>
        <v/>
      </c>
      <c r="IE89" t="str" cm="1">
        <f t="array" ref="IE89">IF(IC89="","",_xlfn.LET(_xlpm.tk,_xlfn.TEXTSPLIT(SUBSTITUTE(SUBSTITUTE(IC89,";"," "),"→"," ")," ",,TRUE),_xlpm.v_,_xlfn._xlws.FILTER(_xlpm.tk,ISNUMBER(--LEFT(_xlpm.tk,1))*((ISNUMBER(SEARCH("V",_xlpm.tk))+(RIGHT(UPPER(_xlpm.tk))="В"))&gt;0),""),IFERROR(--SUBSTITUTE(SUBSTITUTE(UPPER(INDEX(_xlpm.v_,1)),"V",""),"В",""),"")))</f>
        <v/>
      </c>
      <c r="IF89" s="6" t="str">
        <f>IF(OR(BV89=0,HI89="",HJ89=""),"",IFERROR(N(_xlfn.XLOOKUP(HI89,Каталог!$C$4:$C$500,Каталог!$Q$4:$Q$500)),""))</f>
        <v/>
      </c>
      <c r="IG89" s="6" t="str">
        <f>IF(N(IF89)=0,"",SUMIFS(Линии[Iр, А],Линии[Щит],A89,Линии[_модуль гр.],HH89,Линии[Канал (итог)],HJ89))</f>
        <v/>
      </c>
      <c r="IH89" t="str">
        <f>IF(AND(B89="",HO89=""),"",_xlfn.TEXTJOIN("; ",TRUE,IF(AND(B89&lt;&gt;"",FV89=""),"нет фазы",""),IF(AND(B89&lt;&gt;"",N(GL89)=0,FG89&lt;&gt;"Нет"),"нет мощности",""),IF(AND(HN89&lt;&gt;"",COUNTIFS(Линии[Щит],A89,Линии[Клемма (итог)],HN89)&gt;1),"дубль клеммы "&amp;HN89,""),IF(AND(HQ89&lt;&gt;"",HQ89&lt;&gt;"ok"),HQ89,""),IF(HR89&lt;&gt;"",HR89,""),IF(AND(N(CB89)&gt;=4,N(BX89)=1),CB89&amp;" жил на 1 фазе",""),IF(AND(BC89="R",CG89=1,IF(CS89&lt;&gt;"",N(CV89)&gt;30,OR(N(DA89)=0,N(DA89)&gt;30))),"розетка без дифзащиты до 30 мА",""),IF(AND(CG89=1,N(DA89)&gt;0,ISNUMBER(T89)),IF(T89&gt;N(DA89)/3,"ток утечки "&amp;FIXED(T89,1)&amp;" мА &gt; 1/3 уставки ("&amp;DA89&amp;" мА)",""),""),IF(AND(CH89=1,CS89=""),"«узо»: нет строки с УЗО выше (УЗО 2P 40А 30мА в «Аппаратах»)",""),IF(AND(CS89&lt;&gt;"",CS89=BA89),IF(CT89="","впишите номинал УЗО (УЗО 2P 40А 30мА)",IF(N(CT89)&lt;N(DT89),"УЗО "&amp;CT89&amp;" А &lt; автомата "&amp;DT89&amp;" А перед ним",IF(N(CT89)&lt;N(CX89),"УЗО "&amp;CT89&amp;" А &lt; тока блока "&amp;FIXED(CX89,1)&amp;" А",""))),""),IF(AND(CS89&lt;&gt;"",CS89=BA89,ISNUMBER(CY89)),IF(CY89&gt;N(CV89)/3,"ток утечки блока УЗО "&amp;FIXED(CY89,1)&amp;" мА &gt; 1/3 уставки ("&amp;CV89&amp;" мА)",""),""),IF(AND(CG89=1,N(BV89)+N(IB89)&gt;0,IC89=""),"линии до 50 В без БП: впишите в «Аппараты» (БП 24V 480W)",""),IF(AND(CG89=1,ISNUMBER(ID89),ISNUMBER(U89)),IF(U89&gt;ID89,"БП "&amp;ID89&amp;" Вт &lt; нужно "&amp;U89&amp;" Вт (×"&amp;Запас_БП&amp;")",""),""),IF(AND(CG89=1,ISNUMBER(IE89),N(BV89)=1),IF(IE89&lt;&gt;N(BU89),"БП на "&amp;IE89&amp;" В, линия "&amp;BU89&amp;" В",""),""),IF(AND(N(IF89)&gt;0,N(IG89)&gt;N(IF89)),HH89&amp;" канал "&amp;HJ89&amp;": "&amp;FIXED(IG89,1)&amp;" А &gt; "&amp;IF89&amp;" А",""),IFERROR(IF(AND(ISNUMBER(Q89),Q89&gt;EL89),"потери "&amp;FIXED(Q89,1)&amp;" % &gt; "&amp;EL89&amp;" %",""),""),IFERROR(IF(LEFT(HU89,4)="мало","Iкз мало — отключение &gt; 0,4 с",""),""),IF(AND(B89&lt;&gt;"",BM89=""),"не на схеме",""),IF(AND(CG89=0,B89&lt;&gt;"",FV89&lt;&gt;"",IF(BA89=1,"",FW88)&lt;&gt;"",FV89&lt;&gt;IF(BA89=1,"",FW88)),"фаза не как у автомата группы ("&amp;IF(BA89=1,"",FW88)&amp;")","")))</f>
        <v/>
      </c>
      <c r="II89" s="6">
        <f>IF(OR(CG89=0,DQ89=""),"",_xlfn.LET(_xlpm.t,IFERROR(_xlfn.XLOOKUP(DQ89,Каталог!$U$4:$U$500,Каталог!$G$4:$G$500),""),_xlpm.k,SEARCH("кА",_xlpm.t),IFERROR(--TRIM(RIGHT(SUBSTITUTE(MID(_xlpm.t,MAX(1,_xlpm.k-4),_xlpm.k-MAX(1,_xlpm.k-4))," ",REPT(" ",9)),5)),"")))</f>
        <v>6</v>
      </c>
      <c r="IJ89" t="str">
        <f>IF(OR(II89="",CG89=0),"",IF(_xlfn.XLOOKUP(A89,Щиты[Щит],Щиты[Iкз max на шинах, кА],"")="","",IF(II89&lt;_xlfn.XLOOKUP(A89,Щиты[Щит],Щиты[Iкз max на шинах, кА]),"Icu "&amp;II89&amp;" кА &lt; Iкз max","ok")))</f>
        <v/>
      </c>
      <c r="IK89" t="str">
        <f t="shared" si="251"/>
        <v/>
      </c>
      <c r="IL89" t="str">
        <f t="shared" si="252"/>
        <v>QF1</v>
      </c>
      <c r="IM89" t="str">
        <f t="shared" si="253"/>
        <v>QF1|кабель ВВГнг(А)-LS (3х1,5) → Вытяжная установка Шлейф Подвальный этаж Пом. №003Т</v>
      </c>
      <c r="IN89" t="str" cm="1">
        <f t="array" ref="IN89">IF(IM89="","",_xlfn.LET(_xlpm.nd,_xlfn.TEXTSPLIT(IM89,"|"),IF(COLUMNS(_xlpm.nd)&gt;1,A89&amp;"¦"&amp;INDEX(_xlpm.nd,1)&amp;"¦"&amp;INDEX(_xlpm.nd,2),"")))</f>
        <v>ЩОВ-002¦QF1¦кабель ВВГнг(А)-LS (3х1,5) → Вытяжная установка Шлейф Подвальный этаж Пом. №003Т</v>
      </c>
      <c r="IO89" t="str">
        <f t="shared" si="254"/>
        <v>В.7¦Вытяжная установка Шлейф Подвальный этаж Пом. №003Т</v>
      </c>
      <c r="IP89" t="str" cm="1">
        <f t="array" ref="IP89">IF(IM89="","",_xlfn.LET(_xlpm.nd,_xlfn.TEXTSPLIT(IM89,"|"),IF(COLUMNS(_xlpm.nd)&gt;2,A89&amp;"¦"&amp;INDEX(_xlpm.nd,2)&amp;"¦"&amp;INDEX(_xlpm.nd,3),"")))</f>
        <v/>
      </c>
      <c r="IQ89" t="str">
        <f t="shared" si="255"/>
        <v/>
      </c>
      <c r="IR89" t="str" cm="1">
        <f t="array" ref="IR89">IF(IM89="","",_xlfn.LET(_xlpm.nd,_xlfn.TEXTSPLIT(IM89,"|"),IF(COLUMNS(_xlpm.nd)&gt;3,A89&amp;"¦"&amp;INDEX(_xlpm.nd,3)&amp;"¦"&amp;INDEX(_xlpm.nd,4),"")))</f>
        <v/>
      </c>
      <c r="IS89" t="str">
        <f t="shared" si="256"/>
        <v/>
      </c>
      <c r="IT89" t="str" cm="1">
        <f t="array" ref="IT89">IF(IM89="","",_xlfn.LET(_xlpm.nd,_xlfn.TEXTSPLIT(IM89,"|"),IF(COLUMNS(_xlpm.nd)&gt;4,A89&amp;"¦"&amp;INDEX(_xlpm.nd,4)&amp;"¦"&amp;INDEX(_xlpm.nd,5),"")))</f>
        <v/>
      </c>
      <c r="IU89" t="str">
        <f t="shared" si="257"/>
        <v/>
      </c>
      <c r="IV89" t="str" cm="1">
        <f t="array" ref="IV89">IF(IM89="","",_xlfn.LET(_xlpm.nd,_xlfn.TEXTSPLIT(IM89,"|"),IF(COLUMNS(_xlpm.nd)&gt;5,A89&amp;"¦"&amp;INDEX(_xlpm.nd,5)&amp;"¦"&amp;INDEX(_xlpm.nd,6),"")))</f>
        <v/>
      </c>
      <c r="IW89" t="str">
        <f t="shared" si="258"/>
        <v/>
      </c>
      <c r="IX89" t="str" cm="1">
        <f t="array" ref="IX89">IF(IM89="","",_xlfn.LET(_xlpm.nd,_xlfn.TEXTSPLIT(IM89,"|"),IF(COLUMNS(_xlpm.nd)&gt;6,A89&amp;"¦"&amp;INDEX(_xlpm.nd,6)&amp;"¦"&amp;INDEX(_xlpm.nd,7),"")))</f>
        <v/>
      </c>
      <c r="IY89" t="str">
        <f t="shared" si="259"/>
        <v/>
      </c>
      <c r="IZ89" t="str">
        <f t="shared" si="260"/>
        <v/>
      </c>
      <c r="JA89" t="str">
        <f t="shared" si="261"/>
        <v>QF1</v>
      </c>
      <c r="JB89">
        <f t="shared" si="262"/>
        <v>0</v>
      </c>
      <c r="JC89">
        <f t="shared" si="263"/>
        <v>0</v>
      </c>
      <c r="JD89" t="str">
        <f t="shared" si="264"/>
        <v/>
      </c>
      <c r="JE89" t="str">
        <f t="shared" si="265"/>
        <v/>
      </c>
      <c r="JF89" t="str">
        <f t="shared" si="266"/>
        <v/>
      </c>
      <c r="JG89" t="str">
        <f t="shared" si="267"/>
        <v/>
      </c>
      <c r="JH89" t="str">
        <f>IF(B89="","",IFERROR(_xlfn.XLOOKUP(B89,Коды_код,Коды_уго),IFERROR(_xlfn.XLOOKUP(BC89,Коды_код,Коды_уго),IFERROR(_xlfn.XLOOKUP(LEFT(BC89,2),Коды_код,Коды_уго),""))))</f>
        <v>Привод (двигатель)</v>
      </c>
      <c r="JI89" t="str">
        <f>IF(B89="","",IF(OR(JH89="",JH89=0),"BOX",IFERROR(IF(VLOOKUP(JH89,УГО_блоки,3,FALSE)&amp;""&lt;&gt;"",VLOOKUP(JH89,УГО_блоки,3,FALSE),VLOOKUP(JH89,УГО_блоки,2,FALSE)),JH89)))</f>
        <v>MOTOR</v>
      </c>
      <c r="JJ89">
        <f t="shared" si="268"/>
        <v>1</v>
      </c>
      <c r="JK89" t="str">
        <f>IF(DQ89="","",IF(COUNTIF(DQ$3:DQ89,DQ89)=1,MAX(JK$2:JK88)+1,""))</f>
        <v/>
      </c>
      <c r="JL89" t="str">
        <f>IF(DE89="","",IF(COUNTIF(DE$3:DE89,DE89)+COUNTIF(DF$2:DF88,DE89)+COUNTIF(DG$2:DG88,DE89)=1,MAX(JL$2:JN88)+1,""))</f>
        <v/>
      </c>
      <c r="JM89" t="str">
        <f>IF(DF89="","",IF(COUNTIF(DE$3:DE89,DF89)+COUNTIF(DF$3:DF89,DF89)+COUNTIF(DG$2:DG88,DF89)=1,MAX(JL$2:JN88,JL89)+1,""))</f>
        <v/>
      </c>
      <c r="JN89" t="str">
        <f>IF(DG89="","",IF(COUNTIF(DE$3:DE89,DG89)+COUNTIF(DF$3:DF89,DG89)+COUNTIF(DG$3:DG89,DG89)=1,MAX(JL$2:JN88,JL89,JM89)+1,""))</f>
        <v/>
      </c>
      <c r="JO89" t="str">
        <f t="shared" si="269"/>
        <v>3х1,5</v>
      </c>
      <c r="JP89" t="str">
        <f>IF(JO89="","",IF(COUNTIF(JO$3:JO89,JO89)=1,MAX(JP$2:JP88)+1,""))</f>
        <v/>
      </c>
      <c r="JQ89" t="str">
        <f>IF(HG89="","",COUNTIF(HG$3:HG89,"?*"))</f>
        <v/>
      </c>
      <c r="JR89" t="str">
        <f>IF(OR(HG89="",HI89=""),"",IF(COUNTIFS(HG$3:HG89,"?*",HI$3:HI89,HI89)=1,MAX(JR$2:JR88)+1,""))</f>
        <v/>
      </c>
      <c r="JS89">
        <f t="shared" si="270"/>
        <v>0</v>
      </c>
      <c r="JT89">
        <f>IF(B89="","",COUNTIF(B$3:B89,"?*"))</f>
        <v>87</v>
      </c>
      <c r="JU89">
        <f>IF(HL89&lt;&gt;1,0,_xlfn.LET(_xlpm.k,MAX(IFERROR(--_xlfn.XLOOKUP(B89,Коды_код,Коды_3L),0),IFERROR(--_xlfn.XLOOKUP(BC89,Коды_код,Коды_3L),0),IFERROR(--_xlfn.XLOOKUP(LEFT(BC89,2),Коды_код,Коды_3L),0)),IF(_xlpm.k&gt;0,_xlpm.k,IF(IFERROR(--LEFT(SUBSTITUTE(JO89,"x","х"),FIND("х",SUBSTITUTE(JO89,"x","х"))-1),3)&gt;3,Каталог!$S$9,1))))</f>
        <v>1</v>
      </c>
      <c r="JV89">
        <f t="shared" si="271"/>
        <v>0</v>
      </c>
      <c r="JW89" t="str">
        <f t="shared" si="272"/>
        <v>авто</v>
      </c>
      <c r="JX89" t="str">
        <f t="shared" si="273"/>
        <v/>
      </c>
      <c r="JY89">
        <f t="shared" si="274"/>
        <v>0</v>
      </c>
      <c r="JZ89">
        <f t="shared" si="275"/>
        <v>1</v>
      </c>
    </row>
    <row r="90" spans="1:286" x14ac:dyDescent="0.3">
      <c r="A90" t="s">
        <v>749</v>
      </c>
      <c r="B90" t="s">
        <v>1402</v>
      </c>
      <c r="C90" t="s">
        <v>1662</v>
      </c>
      <c r="D90">
        <v>1</v>
      </c>
      <c r="E90">
        <v>2.1</v>
      </c>
      <c r="G90">
        <v>16</v>
      </c>
      <c r="H90" t="str">
        <f>Линии[[#This Row],[_авто управление]]</f>
        <v/>
      </c>
      <c r="I90" t="str">
        <f>Линии[[#This Row],[_авто аппараты]]</f>
        <v/>
      </c>
      <c r="J90">
        <v>2.5</v>
      </c>
      <c r="K90">
        <v>15</v>
      </c>
      <c r="L90">
        <v>2</v>
      </c>
      <c r="M90" t="str">
        <f>Линии[[#This Row],[_авто клемма]]</f>
        <v>XT2</v>
      </c>
      <c r="N90" t="str">
        <f t="shared" si="138"/>
        <v/>
      </c>
      <c r="O90" s="6" cm="1">
        <f t="array" ref="O90">IF(B90="","",IF(BH90&lt;&gt;"",IFERROR(_xlfn.XLOOKUP(BH90,Щиты[Щит],Щиты[Iр, А]),""),IF(BP90=1,IF(OR(N(_xlfn.XLOOKUP(A90,Щиты[Щит],Щиты[Вводов],1))&lt;=1,LOWER(TRIM(_xlfn.XLOOKUP(A90,Щиты[Щит],Щиты[АВР],"")&amp;""))="да"),IFERROR(_xlfn.XLOOKUP(A90,Щиты[Щит],Щиты[Iр, А]),""),IFERROR(N(BS90)*_xlfn.XLOOKUP(A90,Щиты[Щит],Щиты[Кс итог])/(SQRT(3)*Uн_лин*_xlfn.XLOOKUP(A90,Щиты[Щит],Щиты[cos φ])),"")),IF(BV90=1,IFERROR(BS90*1000/BU90,""),IFERROR(_xlfn.IFS(BX90=1,BS90/((Uн_лин/SQRT(3))*CE90),BX90=3,BS90/(SQRT(3)*Uн_лин*CE90)),"")))))</f>
        <v>11.366583424670756</v>
      </c>
      <c r="P90" s="7">
        <f>IF(B90="","",IFERROR(IF(VLOOKUP(BC90,Потребители_обозначение,4,FALSE)=1,VLOOKUP(BC90,Потребители_обозначение,3,FALSE)*(MAX(1,N(D90))*2-1)+EI90+VLOOKUP(BE90,Этаж_обозначение,3,FALSE)+VLOOKUP(BE90,Этаж_обозначение,4,FALSE),VLOOKUP(BC90,Потребители_обозначение,3,FALSE)*(MAX(1,N(D90))*2-1)+EI90),EI90))</f>
        <v>19</v>
      </c>
      <c r="Q90" s="6">
        <f t="shared" si="139"/>
        <v>2.1</v>
      </c>
      <c r="R90" t="str">
        <f t="shared" si="140"/>
        <v>ВВГнг(А)-LS (3х2,5)</v>
      </c>
      <c r="S90" t="str">
        <f>IF(BM90="","",IF(BN90="вводной узел","узел ","")&amp;"л."&amp;(INT((BM90-1)/Столбцов_на_лист)+1)&amp;" / "&amp;(MOD(BM90-1,Столбцов_на_лист)+1))</f>
        <v>л.2 / 3</v>
      </c>
      <c r="T90" s="119">
        <f t="shared" si="141"/>
        <v>4.7</v>
      </c>
      <c r="U90" s="7" t="str">
        <f>IF(OR(CG90=0,N(BV90)+N(IB90)=0),"",ROUNDUP(Запас_БП*(N(HY90)+N(HZ90)),0))</f>
        <v/>
      </c>
      <c r="V90" s="119" t="str">
        <f t="shared" si="142"/>
        <v/>
      </c>
      <c r="W90" s="7" t="str">
        <f>IFERROR(IF(OR(B90="",BP90=1,BV90=1,NOT(ISNUMBER(EN90)),N(DT90)=0),"",MAX(0,ROUNDDOWN((c_min*(Uн_лин*1000/SQRT(3))/(HT90*N(DT90))-_xlfn.XLOOKUP(A90,Щиты[Щит],Щиты[Zпетли на шинах, Ом]))*EN90/(2*ρкз_Cu),0))),"")</f>
        <v/>
      </c>
      <c r="Y90" t="str">
        <f>Линии[[#This Row],[_авто утечка]]</f>
        <v/>
      </c>
      <c r="Z90">
        <v>1</v>
      </c>
      <c r="AA90">
        <v>230</v>
      </c>
      <c r="AB90" t="s">
        <v>598</v>
      </c>
      <c r="AC90">
        <v>0.5</v>
      </c>
      <c r="AG90" t="s">
        <v>810</v>
      </c>
      <c r="AI90" t="s">
        <v>580</v>
      </c>
      <c r="AK90" t="str">
        <f>Линии[[#This Row],[_авто модуль]]</f>
        <v/>
      </c>
      <c r="AM90">
        <v>20</v>
      </c>
      <c r="AN90" t="s">
        <v>11</v>
      </c>
      <c r="AO90">
        <v>3</v>
      </c>
      <c r="AQ90">
        <v>0</v>
      </c>
      <c r="AR90">
        <v>19</v>
      </c>
      <c r="AT90">
        <v>1</v>
      </c>
      <c r="BA90" cm="1">
        <f t="array" ref="BA90">ROW()-ROW(Линии[#Headers])</f>
        <v>88</v>
      </c>
      <c r="BC90" s="6" t="str">
        <f t="shared" si="143"/>
        <v>ПВ</v>
      </c>
      <c r="BD90" t="str">
        <f t="shared" si="144"/>
        <v>1</v>
      </c>
      <c r="BE90" t="str">
        <f t="shared" si="145"/>
        <v>1</v>
      </c>
      <c r="BF90" t="str">
        <f t="shared" si="146"/>
        <v/>
      </c>
      <c r="BG90" t="str">
        <f t="shared" si="147"/>
        <v/>
      </c>
      <c r="BH90" t="str">
        <f>IF(X90&lt;&gt;"",X90,IF(AND(B90&lt;&gt;"",B90&lt;&gt;A90,ISNUMBER(_xlfn.XMATCH(B90,Щиты[Щит]))),B90,""))</f>
        <v/>
      </c>
      <c r="BI90" t="str" cm="1">
        <f t="array" ref="BI90">IF(B90="","",IF(BH90&lt;&gt;"","Щит "&amp;BH90,_xlfn.LET(_xlpm.nm,IFERROR(_xlfn.XLOOKUP(BC90,Коды_код,Коды_имя)&amp;"",""),_xlpm.md,IFERROR(N(_xlfn.XLOOKUP(BC90,Коды_код,Коды_режим)),1),_xlpm.ex,IF(Имя_режим="по экспликации",IFERROR(_xlfn.XLOOKUP(BE90&amp;"|"&amp;BG90,Экспликация[Этаж]&amp;"|"&amp;Экспликация[Помещение],Экспликация[Название])&amp;"",""),""),_xlpm.rm,IF(BG90="","",IF(_xlpm.ex&lt;&gt;"",". "&amp;_xlpm.ex&amp;IF(Имя_пом="нет"," ("&amp;BG90&amp;")"," (пом. "&amp;BG90&amp;")"),IF(Имя_пом="нет"," ",", пом. ")&amp;BG90)),IF(_xlpm.nm="","",IF(_xlpm.md=2,_xlpm.nm&amp;" шлейф "&amp;BE90,_xlpm.nm&amp;_xlpm.rm)))))</f>
        <v>Приточно-вытяжная установка шлейф 1</v>
      </c>
      <c r="BJ90" t="str">
        <f t="shared" si="148"/>
        <v>Приточно-вытяжная установка Подвальный этаж Пом. №003Т</v>
      </c>
      <c r="BK90">
        <f>IFERROR(_xlfn.XMATCH(A90,Щиты[Щит]),0)</f>
        <v>5</v>
      </c>
      <c r="BL90">
        <f>_xlfn.LET(_xlpm.k,IFERROR(_xlfn.XLOOKUP(A90,Щиты[Щит],Щиты[Мест под вводной узел]),""),IF(_xlpm.k="",Столбцов_на_лист,N(_xlpm.k)))</f>
        <v>18</v>
      </c>
      <c r="BM90">
        <f t="shared" si="149"/>
        <v>20</v>
      </c>
      <c r="BN90" t="str">
        <f t="shared" si="150"/>
        <v>линии</v>
      </c>
      <c r="BO90" s="6">
        <f>IFERROR(N(_xlfn.XLOOKUP(BC90,Коды_код,Коды_квт)),0)</f>
        <v>0</v>
      </c>
      <c r="BP90">
        <f t="shared" si="151"/>
        <v>0</v>
      </c>
      <c r="BQ90" t="str">
        <f>IF(B90="","",IF(BH90&lt;&gt;"",IFERROR(_xlfn.XLOOKUP(BH90,Щиты[Щит],Щиты[Руст, кВт]),0),IF(BP90=1,IF(OR(N(_xlfn.XLOOKUP(A90,Щиты[Щит],Щиты[Вводов],1))&lt;=1,LOWER(TRIM(_xlfn.XLOOKUP(A90,Щиты[Щит],Щиты[АВР],"")&amp;""))="да"),IFERROR(_xlfn.XLOOKUP(A90,Щиты[Щит],Щиты[Руст, кВт]),0),SUMIFS(Линии[_Р для вводов],Линии[Щит],A90,Линии[Источник для режимов],GF90)),IF(BO90&gt;0,ROUND(BO90*MAX(1,N(D90)),3),""))))</f>
        <v/>
      </c>
      <c r="BR90">
        <f t="shared" si="152"/>
        <v>2.1</v>
      </c>
      <c r="BS90" s="6">
        <f>IF(B90="","",IF(BH90&lt;&gt;"",IFERROR(_xlfn.XLOOKUP(BH90,Щиты[Щит],Щиты[Руст, кВт]),0),N(BR90)))</f>
        <v>2.1</v>
      </c>
      <c r="BT90" t="str">
        <f>IF(B90="","",IFERROR(IF(VLOOKUP(BC90,Потребители_обозначение,8,FALSE)=0,"",VLOOKUP(BC90,Потребители_обозначение,8,FALSE)),""))</f>
        <v/>
      </c>
      <c r="BU90">
        <f t="shared" si="153"/>
        <v>230</v>
      </c>
      <c r="BV90">
        <f t="shared" si="154"/>
        <v>0</v>
      </c>
      <c r="BW90">
        <f>IF(B90="","",IF(BH90&lt;&gt;"",3,IFERROR(IF(N(VLOOKUP(BC90,Потребители_обозначение,9,FALSE))=0,1,VLOOKUP(BC90,Потребители_обозначение,9,FALSE)),1)))</f>
        <v>1</v>
      </c>
      <c r="BX90">
        <f t="shared" si="155"/>
        <v>1</v>
      </c>
      <c r="BY90" t="str">
        <f>IF(B90="","",_xlfn.LET(_xlpm.bc,IFERROR(IF(VLOOKUP(BC90,Потребители_обозначение,6,FALSE)=0,"",VLOOKUP(BC90,Потребители_обозначение,6,FALSE)&amp;""),""),IF(AND(GA90="да",OR(_xlpm.bc="",_xlpm.bc="мс")),Марка_пож,IF(AND(_xlpm.bc="",BH90&lt;&gt;""),"мс",_xlpm.bc))))</f>
        <v/>
      </c>
      <c r="BZ90" t="str">
        <f t="shared" si="156"/>
        <v>мс</v>
      </c>
      <c r="CA90">
        <f>IF(B90="","",_xlfn.LET(_xlpm.cc,IFERROR(N(VLOOKUP(BC90,Потребители_обозначение,7,FALSE)),0),IF(_xlpm.cc&gt;0,_xlpm.cc,IF(BZ90="","",IF(BV90=1,2,IF(N(BX90)=3,5,3))))))</f>
        <v>3</v>
      </c>
      <c r="CB90">
        <f t="shared" si="157"/>
        <v>3</v>
      </c>
      <c r="CC90">
        <f>IFERROR(N(VLOOKUP(BC90,Потребители_обозначение,10,FALSE)),0)</f>
        <v>0</v>
      </c>
      <c r="CD90">
        <f>IFERROR(VLOOKUP(BC90,Потребители_обозначение,5,FALSE),0)</f>
        <v>1</v>
      </c>
      <c r="CE90" s="6" cm="1">
        <f t="array" ref="CE90">IF(B90="","",IF(BH90&lt;&gt;"",IFERROR(_xlfn.XLOOKUP(BH90,Щиты[Щит],Щиты[cos φ]),0.95),IF(BP90=1,IFERROR(_xlfn.XLOOKUP(A90,Щиты[Щит],Щиты[cos φ]),0.95),IF(ISNUMBER(AD90),AD90,IFERROR(IF(CD90=2,_xlfn.IFS(BX90=3,VLOOKUP(BS90,Справочная_двигатели,8,FALSE),BX90=1,VLOOKUP(BS90,Справочная_двигатели,10,TRUE)),IF(AND(Методика="нормы 2026",FG90="Сил"),0.8,0.95)),0.95)))))</f>
        <v>0.8</v>
      </c>
      <c r="CF90">
        <f t="shared" si="158"/>
        <v>0</v>
      </c>
      <c r="CG90">
        <f t="shared" si="159"/>
        <v>1</v>
      </c>
      <c r="CH90">
        <f t="shared" si="160"/>
        <v>0</v>
      </c>
      <c r="CI90">
        <f>IF(B90="","",IF(BV90=1,IFERROR(BS90/((Uн_лин/SQRT(3))*MAX(0.5,N(CE90))),0),N(O90)))</f>
        <v>11.366583424670756</v>
      </c>
      <c r="CJ90">
        <f t="shared" si="161"/>
        <v>0</v>
      </c>
      <c r="CK90">
        <f t="shared" si="162"/>
        <v>0</v>
      </c>
      <c r="CL90">
        <f t="shared" si="163"/>
        <v>0</v>
      </c>
      <c r="CM90">
        <f t="shared" si="164"/>
        <v>0</v>
      </c>
      <c r="CN90">
        <f t="shared" si="165"/>
        <v>0</v>
      </c>
      <c r="CO90">
        <f>IF(BC90="",0,_xlfn.LET(_xlpm.v,IFERROR(_xlfn.XLOOKUP(B90,Коды_код,Коды_мА),IFERROR(_xlfn.XLOOKUP(BC90,Коды_код,Коды_мА),IFERROR(_xlfn.XLOOKUP(LEFT(BC90,2),Коды_код,Коды_мА),""))),IF(_xlpm.v="да",30,IF(ISNUMBER(_xlpm.v),_xlpm.v,0))))</f>
        <v>0</v>
      </c>
      <c r="CP90" t="str">
        <f t="shared" si="166"/>
        <v/>
      </c>
      <c r="CQ90" t="str">
        <f>_xlfn.LET(_xlpm.k,IFERROR(_xlfn.XLOOKUP(BC90,Коды_код,Коды_утечка)&amp;"",""),IF(_xlpm.k="","дифавтомат",_xlpm.k))</f>
        <v>дифавтомат</v>
      </c>
      <c r="CR90" t="str" cm="1">
        <f t="array" ref="CR90">IF(CG90=0,"",_xlfn.LET(_xlpm.sg,TRIM(_xlfn.TEXTSPLIT(DD90&amp;"",";")),_xlpm.f_,_xlfn._xlws.FILTER(_xlpm.sg,LEFT(_xlpm.sg,3)="УЗО",""),IFERROR(INDEX(_xlpm.f_,1)&amp;"","")))</f>
        <v/>
      </c>
      <c r="CS90" t="str">
        <f t="shared" si="167"/>
        <v/>
      </c>
      <c r="CT90" s="6" t="str" cm="1">
        <f t="array" ref="CT90">IF(CR90="","",_xlfn.LET(_xlpm.tk,_xlfn.TEXTSPLIT(UPPER(CR90)," ",,TRUE),_xlpm.a_,_xlfn._xlws.FILTER(_xlpm.tk,ISNUMBER(--LEFT(_xlpm.tk,1))*((ISNUMBER(SEARCH("А",_xlpm.tk))+ISNUMBER(SEARCH("A",_xlpm.tk)))&gt;0)*NOT(ISNUMBER(SEARCH("МА",_xlpm.tk)))*NOT(ISNUMBER(SEARCH("MA",_xlpm.tk))),""),IFERROR(--SUBSTITUTE(SUBSTITUTE(INDEX(_xlpm.a_,1),"А",""),"A",""),"")))</f>
        <v/>
      </c>
      <c r="CU90" t="str" cm="1">
        <f t="array" ref="CU90">IF(CR90="","",_xlfn.LET(_xlpm.tk,_xlfn.TEXTSPLIT(UPPER(CR90)," ",,TRUE),_xlpm.a_,_xlfn._xlws.FILTER(_xlpm.tk,ISNUMBER(--LEFT(_xlpm.tk,1))*((ISNUMBER(SEARCH("МА",_xlpm.tk))+ISNUMBER(SEARCH("MA",_xlpm.tk)))&gt;0),""),IFERROR(--SUBSTITUTE(SUBSTITUTE(INDEX(_xlpm.a_,1),"МА",""),"MA",""),30)))</f>
        <v/>
      </c>
      <c r="CV90" t="str">
        <f>IF(CS90="","",IFERROR(_xlfn.XLOOKUP(CS90,Линии[_n],Линии[_УЗО, мА]),30))</f>
        <v/>
      </c>
      <c r="CW90">
        <f>IF(CS90="",0,IF(ISNUMBER(SEARCH("4P",IFERROR(_xlfn.XLOOKUP(CS90,Линии[_n],Линии[_УЗО строки])&amp;"",""))),0,1))</f>
        <v>0</v>
      </c>
      <c r="CX90" t="str">
        <f>IF(AND(CS90&lt;&gt;"",CS90=BA90),SUMIFS(Линии[_ток на 230 В],Линии[_блок УЗО],BA90,Линии[Щит],A90),"")</f>
        <v/>
      </c>
      <c r="CY90" t="str">
        <f>IF(AND(CS90&lt;&gt;"",CS90=BA90),SUMIFS(Линии[_ток утечки линии, мА],Линии[_блок УЗО],BA90,Линии[Щит],A90),"")</f>
        <v/>
      </c>
      <c r="CZ90">
        <f t="shared" si="168"/>
        <v>0</v>
      </c>
      <c r="DA90">
        <f t="shared" si="169"/>
        <v>0</v>
      </c>
      <c r="DB90">
        <f>IF(B90="",0,IFERROR(--_xlfn.XLOOKUP(B90,Коды_код,Коды_минавт),IFERROR(--_xlfn.XLOOKUP(BC90,Коды_код,Коды_минавт),IFERROR(--_xlfn.XLOOKUP(LEFT(BC90,2),Коды_код,Коды_минавт),0))))</f>
        <v>0</v>
      </c>
      <c r="DC90" t="str">
        <f>IF(B90="","",IFERROR(_xlfn.XLOOKUP(BC90,Коды_код,Коды_апп)&amp;"",""))</f>
        <v/>
      </c>
      <c r="DD90" t="str">
        <f t="shared" si="170"/>
        <v/>
      </c>
      <c r="DE90" t="str" cm="1">
        <f t="array" ref="DE90">IF(TRIM(DD90&amp;"")="","",IFERROR(TRIM(INDEX(_xlfn.TEXTSPLIT(DD90&amp;";;;",";"),1)),""))</f>
        <v/>
      </c>
      <c r="DF90" t="str" cm="1">
        <f t="array" ref="DF90">IF(TRIM(DD90&amp;"")="","",IFERROR(TRIM(INDEX(_xlfn.TEXTSPLIT(DD90&amp;";;;",";"),2)),""))</f>
        <v/>
      </c>
      <c r="DG90" t="str" cm="1">
        <f t="array" ref="DG90">IF(TRIM(DD90&amp;"")="","",IFERROR(TRIM(INDEX(_xlfn.TEXTSPLIT(DD90&amp;";;;",";"),3)),""))</f>
        <v/>
      </c>
      <c r="DH90">
        <f t="shared" si="171"/>
        <v>0</v>
      </c>
      <c r="DI90" t="str">
        <f>IF(B90="","",_xlfn.LET(_xlpm.t,LOWER(AZ90&amp;""),IF(ISNUMBER(SEARCH("dim",_xlpm.t)),"DIM",IF(ISNUMBER(SEARCH("dali",_xlpm.t)),"DALI",IF(OR(ISNUMBER(SEARCH("relay",_xlpm.t)),ISNUMBER(SEARCH("реле",_xlpm.t))),"Relay",IF(ISNUMBER(SEARCH("кнопк",_xlpm.t)),"",IFERROR(_xlfn.XLOOKUP(BC90,Коды_код,Коды_упр)&amp;"","")))))))</f>
        <v/>
      </c>
      <c r="DJ90" t="str">
        <f t="shared" si="172"/>
        <v/>
      </c>
      <c r="DK90">
        <f>IF(B90="","",_xlfn.LET(_xlpm.ig,IF(N(CX90)&gt;0,N(CX90),N(CI90)+IF(AJ90="вручную",0,N(CJ90))),_xlpm.n0,IFERROR(VLOOKUP(_xlpm.ig,Автомат_номиналы,2,TRUE),0),_xlpm.mn,MAX(DB90,IF(AJ90="вручную",0,N(CM90))),MAX(_xlpm.n0,_xlpm.mn,IF(DH90=1,Мин_автомат_БП,0))))</f>
        <v>16</v>
      </c>
      <c r="DL90">
        <f t="shared" si="173"/>
        <v>1</v>
      </c>
      <c r="DM90" t="str">
        <f t="shared" si="174"/>
        <v>1P</v>
      </c>
      <c r="DN90" t="str">
        <f>_xlfn.LET(_xlpm.cc,UPPER(TRIM(IFERROR(_xlfn.XLOOKUP(BC90,Коды_код,Коды_хар)&amp;"",""))),IF(OR(_xlpm.cc="B",_xlpm.cc="В"),"B",IF(_xlpm.cc="D","D","С")))</f>
        <v>С</v>
      </c>
      <c r="DO90" t="str">
        <f t="shared" si="175"/>
        <v>1P С16А</v>
      </c>
      <c r="DP90">
        <f t="shared" si="176"/>
        <v>16</v>
      </c>
      <c r="DQ90" t="str">
        <f t="shared" si="177"/>
        <v>1P С16А</v>
      </c>
      <c r="DR90" cm="1">
        <f t="array" ref="DR90">IF(DQ90="","",_xlfn.LET(_xlpm.t,SUBSTITUTE(SUBSTITUTE(SUBSTITUTE(UPPER(DQ90),"С","C"),"А","A"),"В","B"),_xlpm.tk,_xlfn.TEXTSPLIT(_xlpm.t," "),_xlpm.f,_xlfn._xlws.FILTER(_xlpm.tk,ISNUMBER(--MID(_xlpm.tk,2,1))*ISNUMBER(SEARCH(LEFT(_xlpm.tk,1)&amp;"#","B#C#D#"))*(LEN(_xlpm.tk)&gt;1),""),_xlpm.x,INDEX(_xlpm.f,1),IFERROR(--SUBSTITUTE(MID(_xlpm.x,2,9),"A",""),IFERROR(--SUBSTITUTE(INDEX(_xlfn._xlws.FILTER(_xlpm.tk,ISNUMBER(--SUBSTITUTE(_xlpm.tk,"A","")),""),1),"A",""),""))))</f>
        <v>16</v>
      </c>
      <c r="DS90" t="str">
        <f t="shared" si="178"/>
        <v>ok</v>
      </c>
      <c r="DT90">
        <f t="shared" si="179"/>
        <v>16</v>
      </c>
      <c r="DU90" t="str">
        <f t="shared" si="180"/>
        <v>1P С16А</v>
      </c>
      <c r="DV90">
        <f t="shared" si="181"/>
        <v>0</v>
      </c>
      <c r="DW90">
        <f t="shared" si="182"/>
        <v>0</v>
      </c>
      <c r="DX90">
        <f t="shared" si="183"/>
        <v>0</v>
      </c>
      <c r="DY90">
        <f t="shared" si="184"/>
        <v>11.366583424670756</v>
      </c>
      <c r="DZ90">
        <f t="shared" si="185"/>
        <v>1</v>
      </c>
      <c r="EA90">
        <f>IF(ISNUMBER(AP90),AP90,К_прокл)</f>
        <v>1</v>
      </c>
      <c r="EB90">
        <f t="shared" si="186"/>
        <v>2</v>
      </c>
      <c r="EC90">
        <f>IFERROR(N(VLOOKUP(BZ90,Кабель_обозначение,3,FALSE)),1)</f>
        <v>1</v>
      </c>
      <c r="ED90">
        <f>IFERROR(N(_xlfn.XLOOKUP(A90,Щиты[Щит],Щиты[ΔU до шин, %])),0)</f>
        <v>0.74</v>
      </c>
      <c r="EE90" t="str">
        <f>IFERROR(_xlfn.XLOOKUP(A90,Щиты[Щит],Щиты[Zпетли на шинах, Ом]),"")</f>
        <v/>
      </c>
      <c r="EF90">
        <f>IFERROR(N(_xlfn.XLOOKUP(A90,Щиты[Щит],Щиты[ΔU до шин (подбор), %])),0)</f>
        <v>1.96</v>
      </c>
      <c r="EG90" t="str">
        <f>IFERROR(_xlfn.XLOOKUP(A90,Щиты[Щит],Щиты[Zпетли на шинах (подбор), Ом]),"")</f>
        <v/>
      </c>
      <c r="EH90" t="str">
        <f t="shared" si="187"/>
        <v/>
      </c>
      <c r="EI90">
        <f t="shared" si="188"/>
        <v>15</v>
      </c>
      <c r="EJ90">
        <f t="shared" si="189"/>
        <v>2</v>
      </c>
      <c r="EK90">
        <f t="shared" si="190"/>
        <v>0.6</v>
      </c>
      <c r="EL90" s="6">
        <f>IF(B90="","",IF(BV90=1,dU_LED,IF(IFERROR(_xlfn.XLOOKUP(BC90,Коды_код,Коды_уго),"")="Светильник",3,4)+IF(Методика="нормы 2026",MIN(0.5,MAX(0,N(P90)-100)*0.005),0)))</f>
        <v>4</v>
      </c>
      <c r="EM90" cm="1">
        <f t="array" ref="EM90">IF(OR(B90="",BZ90="",EC90&lt;&gt;1),"",_xlfn.LET(_xlpm.sz,Iдоп_S,_xlpm.t_,CHOOSE(EB90,Iдоп_1ж,Iдоп_2ж,Iдоп_3ж)*DZ90*EA90,_xlpm.dcx,BV90=1,_xlpm.inn,IF(_xlpm.dcx,N(O90),N(DT90)),_xlpm.smin,MAX(1.5,CC90),_xlpm.L_,N(P90)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90)/N(BU90)*100,999),IFERROR(N(EJ90)*(_xlpm.rho*_xlpm.L_/_xlpm.sz*N(CE90)+_xlpm.xx*_xlpm.L_*N(EK90)/1000)*N(O90)/((Uн_лин/SQRT(3))*1000)*100,999)),_xlpm.kz,IF(OR(_xlpm.dcx,DW90=1,NOT(ISNUMBER(EG90)),_xlpm.L_=0,_xlpm.inn=0),1,IFERROR(--(c_min*(Uн_лин*1000/SQRT(3))/(EG90+2*ρкз_Cu*_xlpm.L_/_xlpm.sz)&gt;=HT90*_xlpm.inn),0)),_xlpm.ok,IFERROR((_xlpm.sz&gt;=_xlpm.smin)*(_xlpm.t_&gt;=_xlpm.inn)*IF(_xlpm.L_&gt;0,(_xlpm.du_+IF(_xlpm.dcx,0,EF90)&lt;=EL90+0.00001),1)*_xlpm.kz,0),_xlpm.r_,_xlfn._xlws.FILTER(_xlpm.sz,_xlpm.ok,"не подобрано"),INDEX(_xlpm.r_,1)))</f>
        <v>2.5</v>
      </c>
      <c r="EN90">
        <f t="shared" si="191"/>
        <v>2.5</v>
      </c>
      <c r="EO90" cm="1">
        <f t="array" ref="EO90">IF(OR(B90="",BZ90="",EC90&lt;&gt;1),"",_xlfn.LET(_xlpm.sz,Iдоп_S,_xlpm.t_,CHOOSE(EB90,Iдоп_1ж,Iдоп_2ж,Iдоп_3ж)*DZ90*EA90,_xlpm.ok,IFERROR((_xlpm.sz&gt;=MAX(1.5,CC90))*(_xlpm.t_&gt;=N(DT90)),0),_xlpm.r_,_xlfn._xlws.FILTER(_xlpm.sz,_xlpm.ok,""),INDEX(_xlpm.r_,1)))</f>
        <v>1.5</v>
      </c>
      <c r="EP90" s="6" cm="1">
        <f t="array" ref="EP90">IFERROR(ROUNDUP(N(EJ90)*(_xlfn.XLOOKUP(EO90,INDEX(Кабель_сопротивление,0,1),INDEX(Кабель_сопротивление,0,3))*N(P90)/EO90*N(CE90)+_xlfn.XLOOKUP(EO90,INDEX(Кабель_сопротивление,0,1),INDEX(Кабель_сопротивление,0,2))*N(P90)*N(EK90)/1000)*N(O90)/((Uн_лин/SQRT(3))*1000)*100,2),"")</f>
        <v>2.2599999999999998</v>
      </c>
      <c r="EQ90">
        <f>IFERROR(2*ρкз_Cu*N(P90)/EO90,"")</f>
        <v>0.66626666666666667</v>
      </c>
      <c r="ER90">
        <f>IFERROR(VLOOKUP(EN90,Кабель_сопротивление,3,FALSE),"")</f>
        <v>2.2499999999999999E-2</v>
      </c>
      <c r="ES90">
        <f>IFERROR(VLOOKUP(EN90,Кабель_сопротивление,2,FALSE),"")</f>
        <v>0.1</v>
      </c>
      <c r="ET90">
        <f t="shared" si="192"/>
        <v>19</v>
      </c>
      <c r="EU90">
        <f t="shared" si="193"/>
        <v>0</v>
      </c>
      <c r="EV90">
        <f t="shared" si="194"/>
        <v>3.1358130351981681</v>
      </c>
      <c r="EW90" s="6">
        <f>IFERROR(ROUNDUP(EV90/IF(BV90=1,BU90,(Uн_лин/SQRT(3))*1000)*100,2),"")</f>
        <v>1.36</v>
      </c>
      <c r="EX90" t="str">
        <f>IFERROR(VLOOKUP(BZ90,Кабель_обозначение,2,FALSE),"")</f>
        <v>ВВГнг(А)-LS</v>
      </c>
      <c r="EY90" t="str">
        <f t="shared" si="195"/>
        <v>ВВГнг(А)-LS (3х2,5)</v>
      </c>
      <c r="EZ90" t="str">
        <f t="shared" si="196"/>
        <v>ВВГнг(А)-LS (3х2,5)
L=19-1,36%</v>
      </c>
      <c r="FA90">
        <f>IFERROR(2*ρкз_Cu*P90/EN90,"")</f>
        <v>0.39976</v>
      </c>
      <c r="FB90">
        <f t="shared" si="197"/>
        <v>0.13300000000000001</v>
      </c>
      <c r="FC90" s="6" t="str">
        <f>IFERROR(IF(OR(B90="",BV90=1,NOT(ISNUMBER(EN90)),N(P90)=0),"",_xlfn.XLOOKUP(A90,Щиты[Щит],Щиты[Zпетли на шинах, Ом])+FA90),"")</f>
        <v/>
      </c>
      <c r="FD90" s="6" t="str">
        <f>IF(ISNUMBER(FC90),c_min*(Uн_лин*1000/SQRT(3))/FC90,"")</f>
        <v/>
      </c>
      <c r="FE90" s="6" t="str">
        <f>IFERROR(IF(OR(B90="",NOT(ISNUMBER(EN90))),"",1.05*(Uн_лин*1000/SQRT(3))/(_xlfn.XLOOKUP(A90,Щиты[Щит],Щиты[Zmax на шинах, Ом])+FB90)/1000),"")</f>
        <v/>
      </c>
      <c r="FF90" s="6" t="str">
        <f>IF(B90="","",IF(ISNUMBER(AC90),"Сил",IF(IFERROR(_xlfn.XLOOKUP(BC90,Коды_код,Коды_группа)&amp;"","")="","Быт",_xlfn.XLOOKUP(BC90,Коды_код,Коды_группа)&amp;"")))</f>
        <v>Сил</v>
      </c>
      <c r="FG90" s="6" t="str">
        <f t="shared" si="198"/>
        <v>Сил</v>
      </c>
      <c r="FH90" s="6">
        <f>IF(FG90="Щит","щит",IF(FG90="","",IF(FG90="Быт",IFERROR(_xlfn.XLOOKUP(A90,Щиты[Щит],Щиты[Кс быт]),1),IF(FG90="Сил",IF(ISNUMBER(AC90),AC90,IF(Методика="нормы 2026",IFERROR(_xlfn.XLOOKUP(A90,Щиты[Щит],Щиты[Кс силовых (табл. 7.5)]),1),1)),IF(OR(FG90="Пост",FG90="Отоп"),1,IF(FG90="ВНГ",0.7,0))))))</f>
        <v>0.5</v>
      </c>
      <c r="FI90">
        <f>IF(FG90="","",IF(AND(BP90=1,TRIM(AE90&amp;"")=""),IF(COUNTIFS(Линии[Щит],A90,Линии[Секция (1/2/3)],"&gt;=2")&gt;0,MIN(3,MAX(1,IFERROR(--BD90,1))),1),IFERROR(MIN(3,MAX(1,INT(--AE90))),1)))</f>
        <v>1</v>
      </c>
      <c r="FJ90">
        <f t="shared" si="199"/>
        <v>2.1</v>
      </c>
      <c r="FK90">
        <f t="shared" si="200"/>
        <v>0</v>
      </c>
      <c r="FL90">
        <f t="shared" si="201"/>
        <v>1.05</v>
      </c>
      <c r="FM90">
        <f t="shared" si="202"/>
        <v>0</v>
      </c>
      <c r="FN90">
        <f t="shared" si="203"/>
        <v>0</v>
      </c>
      <c r="FO90">
        <f t="shared" si="204"/>
        <v>0</v>
      </c>
      <c r="FP90">
        <f t="shared" si="205"/>
        <v>2.1</v>
      </c>
      <c r="FQ90">
        <f t="shared" si="206"/>
        <v>2.1</v>
      </c>
      <c r="FR90">
        <f t="shared" si="207"/>
        <v>1.6800000000000002</v>
      </c>
      <c r="FS90">
        <f>IF(CG90=1,IF(AND(CH90=1,CW90=1),0,IF(AND(CS90&lt;&gt;"",CS90=BA90,CW90=1),SUMIFS(Линии[_Р линии, кВт],Линии[_блок УЗО],BA90,Линии[Щит],A90),N(BS90)+IF(AJ90="вручную",0,N(CK90)))),0)</f>
        <v>2.1</v>
      </c>
      <c r="FT90" t="str">
        <f t="shared" si="208"/>
        <v>L2</v>
      </c>
      <c r="FU90" t="str">
        <f>IF(B90="","",IF(CG90=0,IF(BA90=1,"",FW89),IF(AND(CH90=1,CW90=1,CS90&lt;&gt;""),IFERROR(_xlfn.XLOOKUP(CS90,Линии[_n],Линии[_фаза итог]),"L1"),IF(OR(N(DL90)&gt;=3,N(BX90)&gt;=3),"L1,L2,L3",IFERROR(_xlfn.TEXTBEFORE(_xlfn.TEXTAFTER(_xlfn.XLOOKUP(A90,Щиты[Щит],Щиты[_фазы авто]),";"&amp;BA90&amp;":"),";"),"L1")))))</f>
        <v>L1</v>
      </c>
      <c r="FV90" t="str">
        <f t="shared" si="209"/>
        <v>L2</v>
      </c>
      <c r="FW90" t="str">
        <f t="shared" si="210"/>
        <v>L2</v>
      </c>
      <c r="FX90" cm="1">
        <f t="array" ref="FX90">IFERROR(IF(CD90=2,_xlfn.IFS(BX90=3,VLOOKUP(BS90,Справочная_двигатели,3,FALSE),BX90=1,VLOOKUP(BS90,Справочная_двигатели,5,TRUE)),0),0)</f>
        <v>0</v>
      </c>
      <c r="FY90">
        <f>IFERROR(IF(CD90=3,VLOOKUP(BS90,Справочная_ЛЭД,2,TRUE),0),0)</f>
        <v>0</v>
      </c>
      <c r="FZ90" s="6">
        <f t="shared" si="211"/>
        <v>0</v>
      </c>
      <c r="GA90" t="str">
        <f>IF(B90="","",IF(TRIM(AH90&amp;"")&lt;&gt;"",IF(LOWER(TRIM(AH90&amp;""))="да","да","нет"),IF(IFERROR(_xlfn.XLOOKUP(BC90,Коды_код,Коды_пожарная),"")="да","да","нет")))</f>
        <v>нет</v>
      </c>
      <c r="GB90" t="str">
        <f t="shared" si="212"/>
        <v/>
      </c>
      <c r="GC90" t="str">
        <f t="shared" si="213"/>
        <v>основная</v>
      </c>
      <c r="GD90">
        <f>IF(AND(BP90=1,TRIM(AE90&amp;"")=""),IF(COUNTIFS(Линии[Щит],A90,Линии[Секция (1/2/3)],"&gt;=2")&gt;0,MIN(3,MAX(1,IFERROR(--BD90,1))),1),IFERROR(MIN(3,MAX(1,INT(--AE90))),1))</f>
        <v>1</v>
      </c>
      <c r="GE90" t="str" cm="1">
        <f t="array" ref="GE90">IF(B90="","",_xlfn.LET(_xlpm.t,IFERROR(_xlfn.XLOOKUP(1,(Шины[Шина]=GC90)*(((Шины[Щит]=A90)+(Шины[Щит]=""))&gt;0),Шины[Тип]),"")&amp;"",IF(_xlpm.t&lt;&gt;"",_xlpm.t,IF(ISNUMBER(SEARCH("ИБП",GC90)),"ИБП",IF(ISNUMBER(SEARCH("ДГУ",GC90)),"ДГУ","Ввод "&amp;GD90)))))</f>
        <v>Ввод 1</v>
      </c>
      <c r="GF90" t="str">
        <f t="shared" si="214"/>
        <v>Ввод 1</v>
      </c>
      <c r="GG90" t="str">
        <f>IF(BP90=0,"",IF(TRIM(AG90&amp;"")&lt;&gt;"",TRIM(AG90&amp;""),IF(OR(GE90="ИБП",GE90="ДГУ"),"I особая",_xlfn.XLOOKUP(A90,Щиты[Щит],Щиты[Категория шины «Ввод»],"III"))))</f>
        <v/>
      </c>
      <c r="GH90" t="str">
        <f>IF(A90="","",_xlfn.XLOOKUP(A90,Щиты[Щит],Щиты[Путь],""))</f>
        <v>|ГРЩ-ЖД|ЩОВ-002|</v>
      </c>
      <c r="GI90" t="str">
        <f>IF(B90="","",IF(AI90&lt;&gt;"",AI90,IF(IFERROR(_xlfn.XLOOKUP(BC90,Коды_код,Коды_вид)&amp;"","")="","Прочее",_xlfn.XLOOKUP(BC90,Коды_код,Коды_вид)&amp;"")))</f>
        <v>Вентиляция</v>
      </c>
      <c r="GJ90">
        <f>IF(BM90="","",INT((BM90-1)/Столбцов_на_лист)+1)</f>
        <v>2</v>
      </c>
      <c r="GK90" t="str">
        <f t="shared" si="215"/>
        <v>ВВГнг(А)-LS (3х2,5) L=19-1,36%</v>
      </c>
      <c r="GL90">
        <f t="shared" si="216"/>
        <v>2.1</v>
      </c>
      <c r="GM90">
        <f t="shared" si="217"/>
        <v>11.37</v>
      </c>
      <c r="GN90">
        <f t="shared" si="218"/>
        <v>1</v>
      </c>
      <c r="GO90">
        <f t="shared" si="219"/>
        <v>0</v>
      </c>
      <c r="GP90">
        <f t="shared" si="220"/>
        <v>1</v>
      </c>
      <c r="GQ90">
        <f>IF(BM90="","",IF(AND(CG90=1,GP90=1),COUNTIFS(A$3:A90,A90,CG$3:CG90,1,GP$3:GP90,1),IF(OR(OR(BA90=1,A90&lt;&gt;A89),AJ90="вручную",GP90=0),"",IF(BA90=1,"",GR89))))</f>
        <v>2</v>
      </c>
      <c r="GR90">
        <f t="shared" si="221"/>
        <v>2</v>
      </c>
      <c r="GS90">
        <f>IF(B90="","",IFERROR(LOOKUP(INDEX(CHOOSE(EB90,Iдоп_1ж,Iдоп_2ж,Iдоп_3ж),MATCH(EN90,Iдоп_S,0))*DZ90*EA90,{6,10,16,20,25,32,40,50,63,80,100,125,160,200,250,315,400,500,630}),""))</f>
        <v>25</v>
      </c>
      <c r="GT90" t="str">
        <f t="shared" si="222"/>
        <v>QF2</v>
      </c>
      <c r="GU90" t="str">
        <f t="shared" si="223"/>
        <v>QF2</v>
      </c>
      <c r="GV90" t="str">
        <f t="shared" si="224"/>
        <v/>
      </c>
      <c r="GW90">
        <f t="shared" si="225"/>
        <v>0</v>
      </c>
      <c r="GX90" t="str">
        <f>IF(OR(B90="",DJ90=""),"",IFERROR(_xlfn.XLOOKUP(DJ90,Модули_умолч[Управление],Модули_умолч[Модель])&amp;"",""))</f>
        <v/>
      </c>
      <c r="GY90">
        <f>IF(DJ90="",1,IFERROR(MAX(0,N(_xlfn.XLOOKUP(DJ90,Модули_умолч[Управление],Модули_умолч[Каналов на линию]))),1))</f>
        <v>1</v>
      </c>
      <c r="GZ90" t="str">
        <f t="shared" si="226"/>
        <v/>
      </c>
      <c r="HA90" t="str">
        <f t="shared" si="227"/>
        <v/>
      </c>
      <c r="HB90" t="str">
        <f t="shared" si="228"/>
        <v/>
      </c>
      <c r="HC90">
        <f>IF(HB90="",0,IFERROR(N(VLOOKUP(HB90,Модули_спр,3,FALSE)),0))</f>
        <v>0</v>
      </c>
      <c r="HD90" t="str">
        <f t="shared" si="229"/>
        <v/>
      </c>
      <c r="HE90" t="str">
        <f t="shared" si="230"/>
        <v/>
      </c>
      <c r="HF90" t="str">
        <f>IF(OR(HE90="",HE90="-"),"",IFERROR(VLOOKUP(HE90,Модули_спр,2,FALSE),"R"))</f>
        <v/>
      </c>
      <c r="HG90" t="str">
        <f>IF(HF90="","",HF90&amp;"."&amp;COUNTIFS(A$3:A90,A90,HF$3:HF90,HF90))</f>
        <v/>
      </c>
      <c r="HH90" t="str">
        <f t="shared" si="231"/>
        <v/>
      </c>
      <c r="HI90" t="str">
        <f t="shared" si="232"/>
        <v/>
      </c>
      <c r="HJ90" t="str">
        <f t="shared" si="233"/>
        <v/>
      </c>
      <c r="HK90" t="str">
        <f t="shared" si="234"/>
        <v/>
      </c>
      <c r="HL90">
        <f t="shared" si="235"/>
        <v>1</v>
      </c>
      <c r="HM90" t="str">
        <f>IF(HL90=1,"XT"&amp;COUNTIFS(A$3:A90,A90,HL$3:HL90,1),"")</f>
        <v>XT2</v>
      </c>
      <c r="HN90" t="str">
        <f t="shared" si="236"/>
        <v>XT2</v>
      </c>
      <c r="HO90" t="str">
        <f t="shared" si="237"/>
        <v>QF2</v>
      </c>
      <c r="HP90" t="str">
        <f t="shared" si="238"/>
        <v/>
      </c>
      <c r="HQ90" t="str">
        <f t="shared" si="239"/>
        <v>ok</v>
      </c>
      <c r="HR90" t="str">
        <f>IF(OR(HJ90="",HH90=""),"",IF(HJ90+MAX(0,GY90-1)&gt;IFERROR(VLOOKUP(HI90,Модули_спр,3,FALSE),99),"ЛИШНИЙ КАНАЛ",IF(AND(AL90&lt;&gt;"=",GY90&gt;0,COUNTIFS(Линии[_модуль гр.],HH90,Линии[Канал (итог)],HJ90,Линии[Канал],"&lt;&gt;=",Линии[Щит],A90)&gt;1),"ДУБЛЬ КАНАЛА","")))</f>
        <v/>
      </c>
      <c r="HS90" s="6" t="str">
        <f t="shared" si="240"/>
        <v/>
      </c>
      <c r="HT90">
        <f t="shared" si="241"/>
        <v>10</v>
      </c>
      <c r="HU90" t="str">
        <f t="shared" si="242"/>
        <v/>
      </c>
      <c r="HV90">
        <f t="shared" si="243"/>
        <v>4.7366333698683025</v>
      </c>
      <c r="HW90">
        <f t="shared" si="244"/>
        <v>0</v>
      </c>
      <c r="HX90">
        <f t="shared" si="245"/>
        <v>0</v>
      </c>
      <c r="HY90">
        <f t="shared" si="246"/>
        <v>0</v>
      </c>
      <c r="HZ90">
        <f t="shared" si="247"/>
        <v>0</v>
      </c>
      <c r="IA90">
        <f t="shared" si="248"/>
        <v>0</v>
      </c>
      <c r="IB90">
        <f t="shared" si="249"/>
        <v>0</v>
      </c>
      <c r="IC90" t="str">
        <f t="shared" si="250"/>
        <v/>
      </c>
      <c r="ID90" t="str" cm="1">
        <f t="array" ref="ID90">IF(IC90="","",_xlfn.LET(_xlpm.tk,_xlfn.TEXTSPLIT(SUBSTITUTE(SUBSTITUTE(IC90,";"," "),"→"," ")," ",,TRUE),_xlpm.w_,_xlfn._xlws.FILTER(_xlpm.tk,ISNUMBER(--LEFT(_xlpm.tk,1))*((ISNUMBER(SEARCH("W",_xlpm.tk))+ISNUMBER(SEARCH("Вт",_xlpm.tk)))&gt;0),""),IFERROR(--SUBSTITUTE(SUBSTITUTE(UPPER(INDEX(_xlpm.w_,1)),"W",""),"ВТ",""),"")))</f>
        <v/>
      </c>
      <c r="IE90" t="str" cm="1">
        <f t="array" ref="IE90">IF(IC90="","",_xlfn.LET(_xlpm.tk,_xlfn.TEXTSPLIT(SUBSTITUTE(SUBSTITUTE(IC90,";"," "),"→"," ")," ",,TRUE),_xlpm.v_,_xlfn._xlws.FILTER(_xlpm.tk,ISNUMBER(--LEFT(_xlpm.tk,1))*((ISNUMBER(SEARCH("V",_xlpm.tk))+(RIGHT(UPPER(_xlpm.tk))="В"))&gt;0),""),IFERROR(--SUBSTITUTE(SUBSTITUTE(UPPER(INDEX(_xlpm.v_,1)),"V",""),"В",""),"")))</f>
        <v/>
      </c>
      <c r="IF90" s="6" t="str">
        <f>IF(OR(BV90=0,HI90="",HJ90=""),"",IFERROR(N(_xlfn.XLOOKUP(HI90,Каталог!$C$4:$C$500,Каталог!$Q$4:$Q$500)),""))</f>
        <v/>
      </c>
      <c r="IG90" s="6" t="str">
        <f>IF(N(IF90)=0,"",SUMIFS(Линии[Iр, А],Линии[Щит],A90,Линии[_модуль гр.],HH90,Линии[Канал (итог)],HJ90))</f>
        <v/>
      </c>
      <c r="IH90" t="str">
        <f>IF(AND(B90="",HO90=""),"",_xlfn.TEXTJOIN("; ",TRUE,IF(AND(B90&lt;&gt;"",FV90=""),"нет фазы",""),IF(AND(B90&lt;&gt;"",N(GL90)=0,FG90&lt;&gt;"Нет"),"нет мощности",""),IF(AND(HN90&lt;&gt;"",COUNTIFS(Линии[Щит],A90,Линии[Клемма (итог)],HN90)&gt;1),"дубль клеммы "&amp;HN90,""),IF(AND(HQ90&lt;&gt;"",HQ90&lt;&gt;"ok"),HQ90,""),IF(HR90&lt;&gt;"",HR90,""),IF(AND(N(CB90)&gt;=4,N(BX90)=1),CB90&amp;" жил на 1 фазе",""),IF(AND(BC90="R",CG90=1,IF(CS90&lt;&gt;"",N(CV90)&gt;30,OR(N(DA90)=0,N(DA90)&gt;30))),"розетка без дифзащиты до 30 мА",""),IF(AND(CG90=1,N(DA90)&gt;0,ISNUMBER(T90)),IF(T90&gt;N(DA90)/3,"ток утечки "&amp;FIXED(T90,1)&amp;" мА &gt; 1/3 уставки ("&amp;DA90&amp;" мА)",""),""),IF(AND(CH90=1,CS90=""),"«узо»: нет строки с УЗО выше (УЗО 2P 40А 30мА в «Аппаратах»)",""),IF(AND(CS90&lt;&gt;"",CS90=BA90),IF(CT90="","впишите номинал УЗО (УЗО 2P 40А 30мА)",IF(N(CT90)&lt;N(DT90),"УЗО "&amp;CT90&amp;" А &lt; автомата "&amp;DT90&amp;" А перед ним",IF(N(CT90)&lt;N(CX90),"УЗО "&amp;CT90&amp;" А &lt; тока блока "&amp;FIXED(CX90,1)&amp;" А",""))),""),IF(AND(CS90&lt;&gt;"",CS90=BA90,ISNUMBER(CY90)),IF(CY90&gt;N(CV90)/3,"ток утечки блока УЗО "&amp;FIXED(CY90,1)&amp;" мА &gt; 1/3 уставки ("&amp;CV90&amp;" мА)",""),""),IF(AND(CG90=1,N(BV90)+N(IB90)&gt;0,IC90=""),"линии до 50 В без БП: впишите в «Аппараты» (БП 24V 480W)",""),IF(AND(CG90=1,ISNUMBER(ID90),ISNUMBER(U90)),IF(U90&gt;ID90,"БП "&amp;ID90&amp;" Вт &lt; нужно "&amp;U90&amp;" Вт (×"&amp;Запас_БП&amp;")",""),""),IF(AND(CG90=1,ISNUMBER(IE90),N(BV90)=1),IF(IE90&lt;&gt;N(BU90),"БП на "&amp;IE90&amp;" В, линия "&amp;BU90&amp;" В",""),""),IF(AND(N(IF90)&gt;0,N(IG90)&gt;N(IF90)),HH90&amp;" канал "&amp;HJ90&amp;": "&amp;FIXED(IG90,1)&amp;" А &gt; "&amp;IF90&amp;" А",""),IFERROR(IF(AND(ISNUMBER(Q90),Q90&gt;EL90),"потери "&amp;FIXED(Q90,1)&amp;" % &gt; "&amp;EL90&amp;" %",""),""),IFERROR(IF(LEFT(HU90,4)="мало","Iкз мало — отключение &gt; 0,4 с",""),""),IF(AND(B90&lt;&gt;"",BM90=""),"не на схеме",""),IF(AND(CG90=0,B90&lt;&gt;"",FV90&lt;&gt;"",IF(BA90=1,"",FW89)&lt;&gt;"",FV90&lt;&gt;IF(BA90=1,"",FW89)),"фаза не как у автомата группы ("&amp;IF(BA90=1,"",FW89)&amp;")","")))</f>
        <v/>
      </c>
      <c r="II90" s="6">
        <f>IF(OR(CG90=0,DQ90=""),"",_xlfn.LET(_xlpm.t,IFERROR(_xlfn.XLOOKUP(DQ90,Каталог!$U$4:$U$500,Каталог!$G$4:$G$500),""),_xlpm.k,SEARCH("кА",_xlpm.t),IFERROR(--TRIM(RIGHT(SUBSTITUTE(MID(_xlpm.t,MAX(1,_xlpm.k-4),_xlpm.k-MAX(1,_xlpm.k-4))," ",REPT(" ",9)),5)),"")))</f>
        <v>6</v>
      </c>
      <c r="IJ90" t="str">
        <f>IF(OR(II90="",CG90=0),"",IF(_xlfn.XLOOKUP(A90,Щиты[Щит],Щиты[Iкз max на шинах, кА],"")="","",IF(II90&lt;_xlfn.XLOOKUP(A90,Щиты[Щит],Щиты[Iкз max на шинах, кА]),"Icu "&amp;II90&amp;" кА &lt; Iкз max","ok")))</f>
        <v/>
      </c>
      <c r="IK90" t="str">
        <f t="shared" si="251"/>
        <v/>
      </c>
      <c r="IL90" t="str">
        <f t="shared" si="252"/>
        <v>QF2|XT2</v>
      </c>
      <c r="IM90" t="str">
        <f t="shared" si="253"/>
        <v>QF2|XT2|кабель ВВГнг(А)-LS (3х2,5) → Приточно-вытяжная установка Подвальный этаж Пом. №003Т</v>
      </c>
      <c r="IN90" t="str" cm="1">
        <f t="array" ref="IN90">IF(IM90="","",_xlfn.LET(_xlpm.nd,_xlfn.TEXTSPLIT(IM90,"|"),IF(COLUMNS(_xlpm.nd)&gt;1,A90&amp;"¦"&amp;INDEX(_xlpm.nd,1)&amp;"¦"&amp;INDEX(_xlpm.nd,2),"")))</f>
        <v>ЩОВ-002¦QF2¦XT2</v>
      </c>
      <c r="IO90" t="str">
        <f t="shared" si="254"/>
        <v>ПВ.1¦Приточно-вытяжная установка Подвальный этаж Пом. №003Т</v>
      </c>
      <c r="IP90" t="str" cm="1">
        <f t="array" ref="IP90">IF(IM90="","",_xlfn.LET(_xlpm.nd,_xlfn.TEXTSPLIT(IM90,"|"),IF(COLUMNS(_xlpm.nd)&gt;2,A90&amp;"¦"&amp;INDEX(_xlpm.nd,2)&amp;"¦"&amp;INDEX(_xlpm.nd,3),"")))</f>
        <v>ЩОВ-002¦XT2¦кабель ВВГнг(А)-LS (3х2,5) → Приточно-вытяжная установка Подвальный этаж Пом. №003Т</v>
      </c>
      <c r="IQ90" t="str">
        <f t="shared" si="255"/>
        <v>ПВ.1¦Приточно-вытяжная установка Подвальный этаж Пом. №003Т</v>
      </c>
      <c r="IR90" t="str" cm="1">
        <f t="array" ref="IR90">IF(IM90="","",_xlfn.LET(_xlpm.nd,_xlfn.TEXTSPLIT(IM90,"|"),IF(COLUMNS(_xlpm.nd)&gt;3,A90&amp;"¦"&amp;INDEX(_xlpm.nd,3)&amp;"¦"&amp;INDEX(_xlpm.nd,4),"")))</f>
        <v/>
      </c>
      <c r="IS90" t="str">
        <f t="shared" si="256"/>
        <v/>
      </c>
      <c r="IT90" t="str" cm="1">
        <f t="array" ref="IT90">IF(IM90="","",_xlfn.LET(_xlpm.nd,_xlfn.TEXTSPLIT(IM90,"|"),IF(COLUMNS(_xlpm.nd)&gt;4,A90&amp;"¦"&amp;INDEX(_xlpm.nd,4)&amp;"¦"&amp;INDEX(_xlpm.nd,5),"")))</f>
        <v/>
      </c>
      <c r="IU90" t="str">
        <f t="shared" si="257"/>
        <v/>
      </c>
      <c r="IV90" t="str" cm="1">
        <f t="array" ref="IV90">IF(IM90="","",_xlfn.LET(_xlpm.nd,_xlfn.TEXTSPLIT(IM90,"|"),IF(COLUMNS(_xlpm.nd)&gt;5,A90&amp;"¦"&amp;INDEX(_xlpm.nd,5)&amp;"¦"&amp;INDEX(_xlpm.nd,6),"")))</f>
        <v/>
      </c>
      <c r="IW90" t="str">
        <f t="shared" si="258"/>
        <v/>
      </c>
      <c r="IX90" t="str" cm="1">
        <f t="array" ref="IX90">IF(IM90="","",_xlfn.LET(_xlpm.nd,_xlfn.TEXTSPLIT(IM90,"|"),IF(COLUMNS(_xlpm.nd)&gt;6,A90&amp;"¦"&amp;INDEX(_xlpm.nd,6)&amp;"¦"&amp;INDEX(_xlpm.nd,7),"")))</f>
        <v/>
      </c>
      <c r="IY90" t="str">
        <f t="shared" si="259"/>
        <v/>
      </c>
      <c r="IZ90" t="str">
        <f t="shared" si="260"/>
        <v/>
      </c>
      <c r="JA90" t="str">
        <f t="shared" si="261"/>
        <v>QF2 → XT2</v>
      </c>
      <c r="JB90">
        <f t="shared" si="262"/>
        <v>0</v>
      </c>
      <c r="JC90">
        <f t="shared" si="263"/>
        <v>0</v>
      </c>
      <c r="JD90" t="str">
        <f t="shared" si="264"/>
        <v/>
      </c>
      <c r="JE90" t="str">
        <f t="shared" si="265"/>
        <v/>
      </c>
      <c r="JF90" t="str">
        <f t="shared" si="266"/>
        <v/>
      </c>
      <c r="JG90" t="str">
        <f t="shared" si="267"/>
        <v/>
      </c>
      <c r="JH90" t="str">
        <f>IF(B90="","",IFERROR(_xlfn.XLOOKUP(B90,Коды_код,Коды_уго),IFERROR(_xlfn.XLOOKUP(BC90,Коды_код,Коды_уго),IFERROR(_xlfn.XLOOKUP(LEFT(BC90,2),Коды_код,Коды_уго),""))))</f>
        <v>Привод (двигатель)</v>
      </c>
      <c r="JI90" t="str">
        <f>IF(B90="","",IF(OR(JH90="",JH90=0),"BOX",IFERROR(IF(VLOOKUP(JH90,УГО_блоки,3,FALSE)&amp;""&lt;&gt;"",VLOOKUP(JH90,УГО_блоки,3,FALSE),VLOOKUP(JH90,УГО_блоки,2,FALSE)),JH90)))</f>
        <v>MOTOR</v>
      </c>
      <c r="JJ90">
        <f t="shared" si="268"/>
        <v>1</v>
      </c>
      <c r="JK90" t="str">
        <f>IF(DQ90="","",IF(COUNTIF(DQ$3:DQ90,DQ90)=1,MAX(JK$2:JK89)+1,""))</f>
        <v/>
      </c>
      <c r="JL90" t="str">
        <f>IF(DE90="","",IF(COUNTIF(DE$3:DE90,DE90)+COUNTIF(DF$2:DF89,DE90)+COUNTIF(DG$2:DG89,DE90)=1,MAX(JL$2:JN89)+1,""))</f>
        <v/>
      </c>
      <c r="JM90" t="str">
        <f>IF(DF90="","",IF(COUNTIF(DE$3:DE90,DF90)+COUNTIF(DF$3:DF90,DF90)+COUNTIF(DG$2:DG89,DF90)=1,MAX(JL$2:JN89,JL90)+1,""))</f>
        <v/>
      </c>
      <c r="JN90" t="str">
        <f>IF(DG90="","",IF(COUNTIF(DE$3:DE90,DG90)+COUNTIF(DF$3:DF90,DG90)+COUNTIF(DG$3:DG90,DG90)=1,MAX(JL$2:JN89,JL90,JM90)+1,""))</f>
        <v/>
      </c>
      <c r="JO90" t="str">
        <f t="shared" si="269"/>
        <v>3х2,5</v>
      </c>
      <c r="JP90" t="str">
        <f>IF(JO90="","",IF(COUNTIF(JO$3:JO90,JO90)=1,MAX(JP$2:JP89)+1,""))</f>
        <v/>
      </c>
      <c r="JQ90" t="str">
        <f>IF(HG90="","",COUNTIF(HG$3:HG90,"?*"))</f>
        <v/>
      </c>
      <c r="JR90" t="str">
        <f>IF(OR(HG90="",HI90=""),"",IF(COUNTIFS(HG$3:HG90,"?*",HI$3:HI90,HI90)=1,MAX(JR$2:JR89)+1,""))</f>
        <v/>
      </c>
      <c r="JS90">
        <f t="shared" si="270"/>
        <v>0</v>
      </c>
      <c r="JT90">
        <f>IF(B90="","",COUNTIF(B$3:B90,"?*"))</f>
        <v>88</v>
      </c>
      <c r="JU90">
        <f>IF(HL90&lt;&gt;1,0,_xlfn.LET(_xlpm.k,MAX(IFERROR(--_xlfn.XLOOKUP(B90,Коды_код,Коды_3L),0),IFERROR(--_xlfn.XLOOKUP(BC90,Коды_код,Коды_3L),0),IFERROR(--_xlfn.XLOOKUP(LEFT(BC90,2),Коды_код,Коды_3L),0)),IF(_xlpm.k&gt;0,_xlpm.k,IF(IFERROR(--LEFT(SUBSTITUTE(JO90,"x","х"),FIND("х",SUBSTITUTE(JO90,"x","х"))-1),3)&gt;3,Каталог!$S$9,1))))</f>
        <v>1</v>
      </c>
      <c r="JV90">
        <f t="shared" si="271"/>
        <v>0</v>
      </c>
      <c r="JW90" t="str">
        <f t="shared" si="272"/>
        <v>авто</v>
      </c>
      <c r="JX90" t="str">
        <f t="shared" si="273"/>
        <v/>
      </c>
      <c r="JY90">
        <f t="shared" si="274"/>
        <v>0</v>
      </c>
      <c r="JZ90">
        <f t="shared" si="275"/>
        <v>1</v>
      </c>
    </row>
    <row r="91" spans="1:286" x14ac:dyDescent="0.3">
      <c r="A91" t="s">
        <v>749</v>
      </c>
      <c r="B91" t="s">
        <v>1403</v>
      </c>
      <c r="C91" t="s">
        <v>1662</v>
      </c>
      <c r="D91">
        <v>1</v>
      </c>
      <c r="E91">
        <v>0.35</v>
      </c>
      <c r="G91">
        <v>10</v>
      </c>
      <c r="H91" t="str">
        <f>Линии[[#This Row],[_авто управление]]</f>
        <v/>
      </c>
      <c r="I91" t="str">
        <f>Линии[[#This Row],[_авто аппараты]]</f>
        <v/>
      </c>
      <c r="J91">
        <v>1.5</v>
      </c>
      <c r="K91">
        <v>12</v>
      </c>
      <c r="L91">
        <v>1</v>
      </c>
      <c r="M91" t="s">
        <v>484</v>
      </c>
      <c r="N91" t="str">
        <f t="shared" si="138"/>
        <v/>
      </c>
      <c r="O91" s="6" cm="1">
        <f t="array" ref="O91">IF(B91="","",IF(BH91&lt;&gt;"",IFERROR(_xlfn.XLOOKUP(BH91,Щиты[Щит],Щиты[Iр, А]),""),IF(BP91=1,IF(OR(N(_xlfn.XLOOKUP(A91,Щиты[Щит],Щиты[Вводов],1))&lt;=1,LOWER(TRIM(_xlfn.XLOOKUP(A91,Щиты[Щит],Щиты[АВР],"")&amp;""))="да"),IFERROR(_xlfn.XLOOKUP(A91,Щиты[Щит],Щиты[Iр, А]),""),IFERROR(N(BS91)*_xlfn.XLOOKUP(A91,Щиты[Щит],Щиты[Кс итог])/(SQRT(3)*Uн_лин*_xlfn.XLOOKUP(A91,Щиты[Щит],Щиты[cos φ])),"")),IF(BV91=1,IFERROR(BS91*1000/BU91,""),IFERROR(_xlfn.IFS(BX91=1,BS91/((Uн_лин/SQRT(3))*CE91),BX91=3,BS91/(SQRT(3)*Uн_лин*CE91)),"")))))</f>
        <v>1.894430570778459</v>
      </c>
      <c r="P91" s="7">
        <f>IF(B91="","",IFERROR(IF(VLOOKUP(BC91,Потребители_обозначение,4,FALSE)=1,VLOOKUP(BC91,Потребители_обозначение,3,FALSE)*(MAX(1,N(D91))*2-1)+EI91+VLOOKUP(BE91,Этаж_обозначение,3,FALSE)+VLOOKUP(BE91,Этаж_обозначение,4,FALSE),VLOOKUP(BC91,Потребители_обозначение,3,FALSE)*(MAX(1,N(D91))*2-1)+EI91),EI91))</f>
        <v>16</v>
      </c>
      <c r="Q91" s="6">
        <f t="shared" si="139"/>
        <v>1.06</v>
      </c>
      <c r="R91" t="str">
        <f t="shared" si="140"/>
        <v>ВВГнг(А)-LS (3х1,5)</v>
      </c>
      <c r="S91" t="str">
        <f>IF(BM91="","",IF(BN91="вводной узел","узел ","")&amp;"л."&amp;(INT((BM91-1)/Столбцов_на_лист)+1)&amp;" / "&amp;(MOD(BM91-1,Столбцов_на_лист)+1))</f>
        <v>л.2 / 4</v>
      </c>
      <c r="T91" s="119">
        <f t="shared" si="141"/>
        <v>0.9</v>
      </c>
      <c r="U91" s="7" t="str">
        <f>IF(OR(CG91=0,N(BV91)+N(IB91)=0),"",ROUNDUP(Запас_БП*(N(HY91)+N(HZ91)),0))</f>
        <v/>
      </c>
      <c r="V91" s="119" t="str">
        <f t="shared" si="142"/>
        <v/>
      </c>
      <c r="W91" s="7" t="str">
        <f>IFERROR(IF(OR(B91="",BP91=1,BV91=1,NOT(ISNUMBER(EN91)),N(DT91)=0),"",MAX(0,ROUNDDOWN((c_min*(Uн_лин*1000/SQRT(3))/(HT91*N(DT91))-_xlfn.XLOOKUP(A91,Щиты[Щит],Щиты[Zпетли на шинах, Ом]))*EN91/(2*ρкз_Cu),0))),"")</f>
        <v/>
      </c>
      <c r="Y91" t="str">
        <f>Линии[[#This Row],[_авто утечка]]</f>
        <v/>
      </c>
      <c r="Z91">
        <v>1</v>
      </c>
      <c r="AA91">
        <v>230</v>
      </c>
      <c r="AB91" t="s">
        <v>598</v>
      </c>
      <c r="AC91">
        <v>0.5</v>
      </c>
      <c r="AG91" t="s">
        <v>810</v>
      </c>
      <c r="AI91" t="s">
        <v>580</v>
      </c>
      <c r="AK91" t="str">
        <f>Линии[[#This Row],[_авто модуль]]</f>
        <v/>
      </c>
      <c r="AM91">
        <v>21</v>
      </c>
      <c r="AN91" t="s">
        <v>11</v>
      </c>
      <c r="AO91">
        <v>3</v>
      </c>
      <c r="AQ91">
        <v>0</v>
      </c>
      <c r="AR91">
        <v>16</v>
      </c>
      <c r="AT91">
        <v>1</v>
      </c>
      <c r="BA91" cm="1">
        <f t="array" ref="BA91">ROW()-ROW(Линии[#Headers])</f>
        <v>89</v>
      </c>
      <c r="BC91" s="6" t="str">
        <f t="shared" si="143"/>
        <v>ПВ</v>
      </c>
      <c r="BD91" t="str">
        <f t="shared" si="144"/>
        <v>К</v>
      </c>
      <c r="BE91" t="str">
        <f t="shared" si="145"/>
        <v>К</v>
      </c>
      <c r="BF91" t="str">
        <f t="shared" si="146"/>
        <v/>
      </c>
      <c r="BG91" t="str">
        <f t="shared" si="147"/>
        <v/>
      </c>
      <c r="BH91" t="str">
        <f>IF(X91&lt;&gt;"",X91,IF(AND(B91&lt;&gt;"",B91&lt;&gt;A91,ISNUMBER(_xlfn.XMATCH(B91,Щиты[Щит]))),B91,""))</f>
        <v/>
      </c>
      <c r="BI91" t="str" cm="1">
        <f t="array" ref="BI91">IF(B91="","",IF(BH91&lt;&gt;"","Щит "&amp;BH91,_xlfn.LET(_xlpm.nm,IFERROR(_xlfn.XLOOKUP(BC91,Коды_код,Коды_имя)&amp;"",""),_xlpm.md,IFERROR(N(_xlfn.XLOOKUP(BC91,Коды_код,Коды_режим)),1),_xlpm.ex,IF(Имя_режим="по экспликации",IFERROR(_xlfn.XLOOKUP(BE91&amp;"|"&amp;BG91,Экспликация[Этаж]&amp;"|"&amp;Экспликация[Помещение],Экспликация[Название])&amp;"",""),""),_xlpm.rm,IF(BG91="","",IF(_xlpm.ex&lt;&gt;"",". "&amp;_xlpm.ex&amp;IF(Имя_пом="нет"," ("&amp;BG91&amp;")"," (пом. "&amp;BG91&amp;")"),IF(Имя_пом="нет"," ",", пом. ")&amp;BG91)),IF(_xlpm.nm="","",IF(_xlpm.md=2,_xlpm.nm&amp;" шлейф "&amp;BE91,_xlpm.nm&amp;_xlpm.rm)))))</f>
        <v>Приточно-вытяжная установка шлейф К</v>
      </c>
      <c r="BJ91" t="str">
        <f t="shared" si="148"/>
        <v>Приточно-вытяжная установка Подвальный этаж Пом. №003Т</v>
      </c>
      <c r="BK91">
        <f>IFERROR(_xlfn.XMATCH(A91,Щиты[Щит]),0)</f>
        <v>5</v>
      </c>
      <c r="BL91">
        <f>_xlfn.LET(_xlpm.k,IFERROR(_xlfn.XLOOKUP(A91,Щиты[Щит],Щиты[Мест под вводной узел]),""),IF(_xlpm.k="",Столбцов_на_лист,N(_xlpm.k)))</f>
        <v>18</v>
      </c>
      <c r="BM91">
        <f t="shared" si="149"/>
        <v>21</v>
      </c>
      <c r="BN91" t="str">
        <f t="shared" si="150"/>
        <v>линии</v>
      </c>
      <c r="BO91" s="6">
        <f>IFERROR(N(_xlfn.XLOOKUP(BC91,Коды_код,Коды_квт)),0)</f>
        <v>0</v>
      </c>
      <c r="BP91">
        <f t="shared" si="151"/>
        <v>0</v>
      </c>
      <c r="BQ91" t="str">
        <f>IF(B91="","",IF(BH91&lt;&gt;"",IFERROR(_xlfn.XLOOKUP(BH91,Щиты[Щит],Щиты[Руст, кВт]),0),IF(BP91=1,IF(OR(N(_xlfn.XLOOKUP(A91,Щиты[Щит],Щиты[Вводов],1))&lt;=1,LOWER(TRIM(_xlfn.XLOOKUP(A91,Щиты[Щит],Щиты[АВР],"")&amp;""))="да"),IFERROR(_xlfn.XLOOKUP(A91,Щиты[Щит],Щиты[Руст, кВт]),0),SUMIFS(Линии[_Р для вводов],Линии[Щит],A91,Линии[Источник для режимов],GF91)),IF(BO91&gt;0,ROUND(BO91*MAX(1,N(D91)),3),""))))</f>
        <v/>
      </c>
      <c r="BR91">
        <f t="shared" si="152"/>
        <v>0.35</v>
      </c>
      <c r="BS91" s="6">
        <f>IF(B91="","",IF(BH91&lt;&gt;"",IFERROR(_xlfn.XLOOKUP(BH91,Щиты[Щит],Щиты[Руст, кВт]),0),N(BR91)))</f>
        <v>0.35</v>
      </c>
      <c r="BT91" t="str">
        <f>IF(B91="","",IFERROR(IF(VLOOKUP(BC91,Потребители_обозначение,8,FALSE)=0,"",VLOOKUP(BC91,Потребители_обозначение,8,FALSE)),""))</f>
        <v/>
      </c>
      <c r="BU91">
        <f t="shared" si="153"/>
        <v>230</v>
      </c>
      <c r="BV91">
        <f t="shared" si="154"/>
        <v>0</v>
      </c>
      <c r="BW91">
        <f>IF(B91="","",IF(BH91&lt;&gt;"",3,IFERROR(IF(N(VLOOKUP(BC91,Потребители_обозначение,9,FALSE))=0,1,VLOOKUP(BC91,Потребители_обозначение,9,FALSE)),1)))</f>
        <v>1</v>
      </c>
      <c r="BX91">
        <f t="shared" si="155"/>
        <v>1</v>
      </c>
      <c r="BY91" t="str">
        <f>IF(B91="","",_xlfn.LET(_xlpm.bc,IFERROR(IF(VLOOKUP(BC91,Потребители_обозначение,6,FALSE)=0,"",VLOOKUP(BC91,Потребители_обозначение,6,FALSE)&amp;""),""),IF(AND(GA91="да",OR(_xlpm.bc="",_xlpm.bc="мс")),Марка_пож,IF(AND(_xlpm.bc="",BH91&lt;&gt;""),"мс",_xlpm.bc))))</f>
        <v/>
      </c>
      <c r="BZ91" t="str">
        <f t="shared" si="156"/>
        <v>мс</v>
      </c>
      <c r="CA91">
        <f>IF(B91="","",_xlfn.LET(_xlpm.cc,IFERROR(N(VLOOKUP(BC91,Потребители_обозначение,7,FALSE)),0),IF(_xlpm.cc&gt;0,_xlpm.cc,IF(BZ91="","",IF(BV91=1,2,IF(N(BX91)=3,5,3))))))</f>
        <v>3</v>
      </c>
      <c r="CB91">
        <f t="shared" si="157"/>
        <v>3</v>
      </c>
      <c r="CC91">
        <f>IFERROR(N(VLOOKUP(BC91,Потребители_обозначение,10,FALSE)),0)</f>
        <v>0</v>
      </c>
      <c r="CD91">
        <f>IFERROR(VLOOKUP(BC91,Потребители_обозначение,5,FALSE),0)</f>
        <v>1</v>
      </c>
      <c r="CE91" s="6" cm="1">
        <f t="array" ref="CE91">IF(B91="","",IF(BH91&lt;&gt;"",IFERROR(_xlfn.XLOOKUP(BH91,Щиты[Щит],Щиты[cos φ]),0.95),IF(BP91=1,IFERROR(_xlfn.XLOOKUP(A91,Щиты[Щит],Щиты[cos φ]),0.95),IF(ISNUMBER(AD91),AD91,IFERROR(IF(CD91=2,_xlfn.IFS(BX91=3,VLOOKUP(BS91,Справочная_двигатели,8,FALSE),BX91=1,VLOOKUP(BS91,Справочная_двигатели,10,TRUE)),IF(AND(Методика="нормы 2026",FG91="Сил"),0.8,0.95)),0.95)))))</f>
        <v>0.8</v>
      </c>
      <c r="CF91">
        <f t="shared" si="158"/>
        <v>0</v>
      </c>
      <c r="CG91">
        <f t="shared" si="159"/>
        <v>1</v>
      </c>
      <c r="CH91">
        <f t="shared" si="160"/>
        <v>0</v>
      </c>
      <c r="CI91">
        <f>IF(B91="","",IF(BV91=1,IFERROR(BS91/((Uн_лин/SQRT(3))*MAX(0.5,N(CE91))),0),N(O91)))</f>
        <v>1.894430570778459</v>
      </c>
      <c r="CJ91">
        <f t="shared" si="161"/>
        <v>0</v>
      </c>
      <c r="CK91">
        <f t="shared" si="162"/>
        <v>0</v>
      </c>
      <c r="CL91">
        <f t="shared" si="163"/>
        <v>0</v>
      </c>
      <c r="CM91">
        <f t="shared" si="164"/>
        <v>0</v>
      </c>
      <c r="CN91">
        <f t="shared" si="165"/>
        <v>0</v>
      </c>
      <c r="CO91">
        <f>IF(BC91="",0,_xlfn.LET(_xlpm.v,IFERROR(_xlfn.XLOOKUP(B91,Коды_код,Коды_мА),IFERROR(_xlfn.XLOOKUP(BC91,Коды_код,Коды_мА),IFERROR(_xlfn.XLOOKUP(LEFT(BC91,2),Коды_код,Коды_мА),""))),IF(_xlpm.v="да",30,IF(ISNUMBER(_xlpm.v),_xlpm.v,0))))</f>
        <v>0</v>
      </c>
      <c r="CP91" t="str">
        <f t="shared" si="166"/>
        <v/>
      </c>
      <c r="CQ91" t="str">
        <f>_xlfn.LET(_xlpm.k,IFERROR(_xlfn.XLOOKUP(BC91,Коды_код,Коды_утечка)&amp;"",""),IF(_xlpm.k="","дифавтомат",_xlpm.k))</f>
        <v>дифавтомат</v>
      </c>
      <c r="CR91" t="str" cm="1">
        <f t="array" ref="CR91">IF(CG91=0,"",_xlfn.LET(_xlpm.sg,TRIM(_xlfn.TEXTSPLIT(DD91&amp;"",";")),_xlpm.f_,_xlfn._xlws.FILTER(_xlpm.sg,LEFT(_xlpm.sg,3)="УЗО",""),IFERROR(INDEX(_xlpm.f_,1)&amp;"","")))</f>
        <v/>
      </c>
      <c r="CS91" t="str">
        <f t="shared" si="167"/>
        <v/>
      </c>
      <c r="CT91" s="6" t="str" cm="1">
        <f t="array" ref="CT91">IF(CR91="","",_xlfn.LET(_xlpm.tk,_xlfn.TEXTSPLIT(UPPER(CR91)," ",,TRUE),_xlpm.a_,_xlfn._xlws.FILTER(_xlpm.tk,ISNUMBER(--LEFT(_xlpm.tk,1))*((ISNUMBER(SEARCH("А",_xlpm.tk))+ISNUMBER(SEARCH("A",_xlpm.tk)))&gt;0)*NOT(ISNUMBER(SEARCH("МА",_xlpm.tk)))*NOT(ISNUMBER(SEARCH("MA",_xlpm.tk))),""),IFERROR(--SUBSTITUTE(SUBSTITUTE(INDEX(_xlpm.a_,1),"А",""),"A",""),"")))</f>
        <v/>
      </c>
      <c r="CU91" t="str" cm="1">
        <f t="array" ref="CU91">IF(CR91="","",_xlfn.LET(_xlpm.tk,_xlfn.TEXTSPLIT(UPPER(CR91)," ",,TRUE),_xlpm.a_,_xlfn._xlws.FILTER(_xlpm.tk,ISNUMBER(--LEFT(_xlpm.tk,1))*((ISNUMBER(SEARCH("МА",_xlpm.tk))+ISNUMBER(SEARCH("MA",_xlpm.tk)))&gt;0),""),IFERROR(--SUBSTITUTE(SUBSTITUTE(INDEX(_xlpm.a_,1),"МА",""),"MA",""),30)))</f>
        <v/>
      </c>
      <c r="CV91" t="str">
        <f>IF(CS91="","",IFERROR(_xlfn.XLOOKUP(CS91,Линии[_n],Линии[_УЗО, мА]),30))</f>
        <v/>
      </c>
      <c r="CW91">
        <f>IF(CS91="",0,IF(ISNUMBER(SEARCH("4P",IFERROR(_xlfn.XLOOKUP(CS91,Линии[_n],Линии[_УЗО строки])&amp;"",""))),0,1))</f>
        <v>0</v>
      </c>
      <c r="CX91" t="str">
        <f>IF(AND(CS91&lt;&gt;"",CS91=BA91),SUMIFS(Линии[_ток на 230 В],Линии[_блок УЗО],BA91,Линии[Щит],A91),"")</f>
        <v/>
      </c>
      <c r="CY91" t="str">
        <f>IF(AND(CS91&lt;&gt;"",CS91=BA91),SUMIFS(Линии[_ток утечки линии, мА],Линии[_блок УЗО],BA91,Линии[Щит],A91),"")</f>
        <v/>
      </c>
      <c r="CZ91">
        <f t="shared" si="168"/>
        <v>0</v>
      </c>
      <c r="DA91">
        <f t="shared" si="169"/>
        <v>0</v>
      </c>
      <c r="DB91">
        <f>IF(B91="",0,IFERROR(--_xlfn.XLOOKUP(B91,Коды_код,Коды_минавт),IFERROR(--_xlfn.XLOOKUP(BC91,Коды_код,Коды_минавт),IFERROR(--_xlfn.XLOOKUP(LEFT(BC91,2),Коды_код,Коды_минавт),0))))</f>
        <v>0</v>
      </c>
      <c r="DC91" t="str">
        <f>IF(B91="","",IFERROR(_xlfn.XLOOKUP(BC91,Коды_код,Коды_апп)&amp;"",""))</f>
        <v/>
      </c>
      <c r="DD91" t="str">
        <f t="shared" si="170"/>
        <v/>
      </c>
      <c r="DE91" t="str" cm="1">
        <f t="array" ref="DE91">IF(TRIM(DD91&amp;"")="","",IFERROR(TRIM(INDEX(_xlfn.TEXTSPLIT(DD91&amp;";;;",";"),1)),""))</f>
        <v/>
      </c>
      <c r="DF91" t="str" cm="1">
        <f t="array" ref="DF91">IF(TRIM(DD91&amp;"")="","",IFERROR(TRIM(INDEX(_xlfn.TEXTSPLIT(DD91&amp;";;;",";"),2)),""))</f>
        <v/>
      </c>
      <c r="DG91" t="str" cm="1">
        <f t="array" ref="DG91">IF(TRIM(DD91&amp;"")="","",IFERROR(TRIM(INDEX(_xlfn.TEXTSPLIT(DD91&amp;";;;",";"),3)),""))</f>
        <v/>
      </c>
      <c r="DH91">
        <f t="shared" si="171"/>
        <v>0</v>
      </c>
      <c r="DI91" t="str">
        <f>IF(B91="","",_xlfn.LET(_xlpm.t,LOWER(AZ91&amp;""),IF(ISNUMBER(SEARCH("dim",_xlpm.t)),"DIM",IF(ISNUMBER(SEARCH("dali",_xlpm.t)),"DALI",IF(OR(ISNUMBER(SEARCH("relay",_xlpm.t)),ISNUMBER(SEARCH("реле",_xlpm.t))),"Relay",IF(ISNUMBER(SEARCH("кнопк",_xlpm.t)),"",IFERROR(_xlfn.XLOOKUP(BC91,Коды_код,Коды_упр)&amp;"","")))))))</f>
        <v/>
      </c>
      <c r="DJ91" t="str">
        <f t="shared" si="172"/>
        <v/>
      </c>
      <c r="DK91">
        <f>IF(B91="","",_xlfn.LET(_xlpm.ig,IF(N(CX91)&gt;0,N(CX91),N(CI91)+IF(AJ91="вручную",0,N(CJ91))),_xlpm.n0,IFERROR(VLOOKUP(_xlpm.ig,Автомат_номиналы,2,TRUE),0),_xlpm.mn,MAX(DB91,IF(AJ91="вручную",0,N(CM91))),MAX(_xlpm.n0,_xlpm.mn,IF(DH91=1,Мин_автомат_БП,0))))</f>
        <v>6</v>
      </c>
      <c r="DL91">
        <f t="shared" si="173"/>
        <v>1</v>
      </c>
      <c r="DM91" t="str">
        <f t="shared" si="174"/>
        <v>1P</v>
      </c>
      <c r="DN91" t="str">
        <f>_xlfn.LET(_xlpm.cc,UPPER(TRIM(IFERROR(_xlfn.XLOOKUP(BC91,Коды_код,Коды_хар)&amp;"",""))),IF(OR(_xlpm.cc="B",_xlpm.cc="В"),"B",IF(_xlpm.cc="D","D","С")))</f>
        <v>С</v>
      </c>
      <c r="DO91" t="str">
        <f t="shared" si="175"/>
        <v>1P С6А</v>
      </c>
      <c r="DP91">
        <f t="shared" si="176"/>
        <v>10</v>
      </c>
      <c r="DQ91" t="str">
        <f t="shared" si="177"/>
        <v>1P С10А</v>
      </c>
      <c r="DR91" cm="1">
        <f t="array" ref="DR91">IF(DQ91="","",_xlfn.LET(_xlpm.t,SUBSTITUTE(SUBSTITUTE(SUBSTITUTE(UPPER(DQ91),"С","C"),"А","A"),"В","B"),_xlpm.tk,_xlfn.TEXTSPLIT(_xlpm.t," "),_xlpm.f,_xlfn._xlws.FILTER(_xlpm.tk,ISNUMBER(--MID(_xlpm.tk,2,1))*ISNUMBER(SEARCH(LEFT(_xlpm.tk,1)&amp;"#","B#C#D#"))*(LEN(_xlpm.tk)&gt;1),""),_xlpm.x,INDEX(_xlpm.f,1),IFERROR(--SUBSTITUTE(MID(_xlpm.x,2,9),"A",""),IFERROR(--SUBSTITUTE(INDEX(_xlfn._xlws.FILTER(_xlpm.tk,ISNUMBER(--SUBSTITUTE(_xlpm.tk,"A","")),""),1),"A",""),""))))</f>
        <v>10</v>
      </c>
      <c r="DS91" t="str">
        <f t="shared" si="178"/>
        <v>ok</v>
      </c>
      <c r="DT91">
        <f t="shared" si="179"/>
        <v>10</v>
      </c>
      <c r="DU91" t="str">
        <f t="shared" si="180"/>
        <v>1P С10А</v>
      </c>
      <c r="DV91">
        <f t="shared" si="181"/>
        <v>0</v>
      </c>
      <c r="DW91">
        <f t="shared" si="182"/>
        <v>0</v>
      </c>
      <c r="DX91">
        <f t="shared" si="183"/>
        <v>0</v>
      </c>
      <c r="DY91">
        <f t="shared" si="184"/>
        <v>1.894430570778459</v>
      </c>
      <c r="DZ91">
        <f t="shared" si="185"/>
        <v>1</v>
      </c>
      <c r="EA91">
        <f>IF(ISNUMBER(AP91),AP91,К_прокл)</f>
        <v>1</v>
      </c>
      <c r="EB91">
        <f t="shared" si="186"/>
        <v>2</v>
      </c>
      <c r="EC91">
        <f>IFERROR(N(VLOOKUP(BZ91,Кабель_обозначение,3,FALSE)),1)</f>
        <v>1</v>
      </c>
      <c r="ED91">
        <f>IFERROR(N(_xlfn.XLOOKUP(A91,Щиты[Щит],Щиты[ΔU до шин, %])),0)</f>
        <v>0.74</v>
      </c>
      <c r="EE91" t="str">
        <f>IFERROR(_xlfn.XLOOKUP(A91,Щиты[Щит],Щиты[Zпетли на шинах, Ом]),"")</f>
        <v/>
      </c>
      <c r="EF91">
        <f>IFERROR(N(_xlfn.XLOOKUP(A91,Щиты[Щит],Щиты[ΔU до шин (подбор), %])),0)</f>
        <v>1.96</v>
      </c>
      <c r="EG91" t="str">
        <f>IFERROR(_xlfn.XLOOKUP(A91,Щиты[Щит],Щиты[Zпетли на шинах (подбор), Ом]),"")</f>
        <v/>
      </c>
      <c r="EH91" t="str">
        <f t="shared" si="187"/>
        <v/>
      </c>
      <c r="EI91">
        <f t="shared" si="188"/>
        <v>12</v>
      </c>
      <c r="EJ91">
        <f t="shared" si="189"/>
        <v>2</v>
      </c>
      <c r="EK91">
        <f t="shared" si="190"/>
        <v>0.6</v>
      </c>
      <c r="EL91" s="6">
        <f>IF(B91="","",IF(BV91=1,dU_LED,IF(IFERROR(_xlfn.XLOOKUP(BC91,Коды_код,Коды_уго),"")="Светильник",3,4)+IF(Методика="нормы 2026",MIN(0.5,MAX(0,N(P91)-100)*0.005),0)))</f>
        <v>4</v>
      </c>
      <c r="EM91" cm="1">
        <f t="array" ref="EM91">IF(OR(B91="",BZ91="",EC91&lt;&gt;1),"",_xlfn.LET(_xlpm.sz,Iдоп_S,_xlpm.t_,CHOOSE(EB91,Iдоп_1ж,Iдоп_2ж,Iдоп_3ж)*DZ91*EA91,_xlpm.dcx,BV91=1,_xlpm.inn,IF(_xlpm.dcx,N(O91),N(DT91)),_xlpm.smin,MAX(1.5,CC91),_xlpm.L_,N(P91)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91)/N(BU91)*100,999),IFERROR(N(EJ91)*(_xlpm.rho*_xlpm.L_/_xlpm.sz*N(CE91)+_xlpm.xx*_xlpm.L_*N(EK91)/1000)*N(O91)/((Uн_лин/SQRT(3))*1000)*100,999)),_xlpm.kz,IF(OR(_xlpm.dcx,DW91=1,NOT(ISNUMBER(EG91)),_xlpm.L_=0,_xlpm.inn=0),1,IFERROR(--(c_min*(Uн_лин*1000/SQRT(3))/(EG91+2*ρкз_Cu*_xlpm.L_/_xlpm.sz)&gt;=HT91*_xlpm.inn),0)),_xlpm.ok,IFERROR((_xlpm.sz&gt;=_xlpm.smin)*(_xlpm.t_&gt;=_xlpm.inn)*IF(_xlpm.L_&gt;0,(_xlpm.du_+IF(_xlpm.dcx,0,EF91)&lt;=EL91+0.00001),1)*_xlpm.kz,0),_xlpm.r_,_xlfn._xlws.FILTER(_xlpm.sz,_xlpm.ok,"не подобрано"),INDEX(_xlpm.r_,1)))</f>
        <v>1.5</v>
      </c>
      <c r="EN91">
        <f t="shared" si="191"/>
        <v>1.5</v>
      </c>
      <c r="EO91" cm="1">
        <f t="array" ref="EO91">IF(OR(B91="",BZ91="",EC91&lt;&gt;1),"",_xlfn.LET(_xlpm.sz,Iдоп_S,_xlpm.t_,CHOOSE(EB91,Iдоп_1ж,Iдоп_2ж,Iдоп_3ж)*DZ91*EA91,_xlpm.ok,IFERROR((_xlpm.sz&gt;=MAX(1.5,CC91))*(_xlpm.t_&gt;=N(DT91)),0),_xlpm.r_,_xlfn._xlws.FILTER(_xlpm.sz,_xlpm.ok,""),INDEX(_xlpm.r_,1)))</f>
        <v>1.5</v>
      </c>
      <c r="EP91" s="6" cm="1">
        <f t="array" ref="EP91">IFERROR(ROUNDUP(N(EJ91)*(_xlfn.XLOOKUP(EO91,INDEX(Кабель_сопротивление,0,1),INDEX(Кабель_сопротивление,0,3))*N(P91)/EO91*N(CE91)+_xlfn.XLOOKUP(EO91,INDEX(Кабель_сопротивление,0,1),INDEX(Кабель_сопротивление,0,2))*N(P91)*N(EK91)/1000)*N(O91)/((Uн_лин/SQRT(3))*1000)*100,2),"")</f>
        <v>0.32</v>
      </c>
      <c r="EQ91">
        <f>IFERROR(2*ρкз_Cu*N(P91)/EO91,"")</f>
        <v>0.56106666666666671</v>
      </c>
      <c r="ER91">
        <f>IFERROR(VLOOKUP(EN91,Кабель_сопротивление,3,FALSE),"")</f>
        <v>2.2499999999999999E-2</v>
      </c>
      <c r="ES91">
        <f>IFERROR(VLOOKUP(EN91,Кабель_сопротивление,2,FALSE),"")</f>
        <v>0.11</v>
      </c>
      <c r="ET91">
        <f t="shared" si="192"/>
        <v>16</v>
      </c>
      <c r="EU91">
        <f t="shared" si="193"/>
        <v>0</v>
      </c>
      <c r="EV91">
        <f t="shared" si="194"/>
        <v>0.73146237654441237</v>
      </c>
      <c r="EW91" s="6">
        <f>IFERROR(ROUNDUP(EV91/IF(BV91=1,BU91,(Uн_лин/SQRT(3))*1000)*100,2),"")</f>
        <v>0.32</v>
      </c>
      <c r="EX91" t="str">
        <f>IFERROR(VLOOKUP(BZ91,Кабель_обозначение,2,FALSE),"")</f>
        <v>ВВГнг(А)-LS</v>
      </c>
      <c r="EY91" t="str">
        <f t="shared" si="195"/>
        <v>ВВГнг(А)-LS (3х1,5)</v>
      </c>
      <c r="EZ91" t="str">
        <f t="shared" si="196"/>
        <v>ВВГнг(А)-LS (3х1,5)
L=16-0,32%</v>
      </c>
      <c r="FA91">
        <f>IFERROR(2*ρкз_Cu*P91/EN91,"")</f>
        <v>0.56106666666666671</v>
      </c>
      <c r="FB91">
        <f t="shared" si="197"/>
        <v>0.18666666666666668</v>
      </c>
      <c r="FC91" s="6" t="str">
        <f>IFERROR(IF(OR(B91="",BV91=1,NOT(ISNUMBER(EN91)),N(P91)=0),"",_xlfn.XLOOKUP(A91,Щиты[Щит],Щиты[Zпетли на шинах, Ом])+FA91),"")</f>
        <v/>
      </c>
      <c r="FD91" s="6" t="str">
        <f>IF(ISNUMBER(FC91),c_min*(Uн_лин*1000/SQRT(3))/FC91,"")</f>
        <v/>
      </c>
      <c r="FE91" s="6" t="str">
        <f>IFERROR(IF(OR(B91="",NOT(ISNUMBER(EN91))),"",1.05*(Uн_лин*1000/SQRT(3))/(_xlfn.XLOOKUP(A91,Щиты[Щит],Щиты[Zmax на шинах, Ом])+FB91)/1000),"")</f>
        <v/>
      </c>
      <c r="FF91" s="6" t="str">
        <f>IF(B91="","",IF(ISNUMBER(AC91),"Сил",IF(IFERROR(_xlfn.XLOOKUP(BC91,Коды_код,Коды_группа)&amp;"","")="","Быт",_xlfn.XLOOKUP(BC91,Коды_код,Коды_группа)&amp;"")))</f>
        <v>Сил</v>
      </c>
      <c r="FG91" s="6" t="str">
        <f t="shared" si="198"/>
        <v>Сил</v>
      </c>
      <c r="FH91" s="6">
        <f>IF(FG91="Щит","щит",IF(FG91="","",IF(FG91="Быт",IFERROR(_xlfn.XLOOKUP(A91,Щиты[Щит],Щиты[Кс быт]),1),IF(FG91="Сил",IF(ISNUMBER(AC91),AC91,IF(Методика="нормы 2026",IFERROR(_xlfn.XLOOKUP(A91,Щиты[Щит],Щиты[Кс силовых (табл. 7.5)]),1),1)),IF(OR(FG91="Пост",FG91="Отоп"),1,IF(FG91="ВНГ",0.7,0))))))</f>
        <v>0.5</v>
      </c>
      <c r="FI91">
        <f>IF(FG91="","",IF(AND(BP91=1,TRIM(AE91&amp;"")=""),IF(COUNTIFS(Линии[Щит],A91,Линии[Секция (1/2/3)],"&gt;=2")&gt;0,MIN(3,MAX(1,IFERROR(--BD91,1))),1),IFERROR(MIN(3,MAX(1,INT(--AE91))),1)))</f>
        <v>1</v>
      </c>
      <c r="FJ91">
        <f t="shared" si="199"/>
        <v>0.35</v>
      </c>
      <c r="FK91">
        <f t="shared" si="200"/>
        <v>0</v>
      </c>
      <c r="FL91">
        <f t="shared" si="201"/>
        <v>0.17499999999999999</v>
      </c>
      <c r="FM91">
        <f t="shared" si="202"/>
        <v>0</v>
      </c>
      <c r="FN91">
        <f t="shared" si="203"/>
        <v>0</v>
      </c>
      <c r="FO91">
        <f t="shared" si="204"/>
        <v>0</v>
      </c>
      <c r="FP91">
        <f t="shared" si="205"/>
        <v>0.35</v>
      </c>
      <c r="FQ91">
        <f t="shared" si="206"/>
        <v>0.35</v>
      </c>
      <c r="FR91">
        <f t="shared" si="207"/>
        <v>0.27999999999999997</v>
      </c>
      <c r="FS91">
        <f>IF(CG91=1,IF(AND(CH91=1,CW91=1),0,IF(AND(CS91&lt;&gt;"",CS91=BA91,CW91=1),SUMIFS(Линии[_Р линии, кВт],Линии[_блок УЗО],BA91,Линии[Щит],A91),N(BS91)+IF(AJ91="вручную",0,N(CK91)))),0)</f>
        <v>0.35</v>
      </c>
      <c r="FT91" t="str">
        <f t="shared" si="208"/>
        <v>L1</v>
      </c>
      <c r="FU91" t="str">
        <f>IF(B91="","",IF(CG91=0,IF(BA91=1,"",FW90),IF(AND(CH91=1,CW91=1,CS91&lt;&gt;""),IFERROR(_xlfn.XLOOKUP(CS91,Линии[_n],Линии[_фаза итог]),"L1"),IF(OR(N(DL91)&gt;=3,N(BX91)&gt;=3),"L1,L2,L3",IFERROR(_xlfn.TEXTBEFORE(_xlfn.TEXTAFTER(_xlfn.XLOOKUP(A91,Щиты[Щит],Щиты[_фазы авто]),";"&amp;BA91&amp;":"),";"),"L1")))))</f>
        <v>L1</v>
      </c>
      <c r="FV91" t="str">
        <f t="shared" si="209"/>
        <v>L1</v>
      </c>
      <c r="FW91" t="str">
        <f t="shared" si="210"/>
        <v>L1</v>
      </c>
      <c r="FX91" cm="1">
        <f t="array" ref="FX91">IFERROR(IF(CD91=2,_xlfn.IFS(BX91=3,VLOOKUP(BS91,Справочная_двигатели,3,FALSE),BX91=1,VLOOKUP(BS91,Справочная_двигатели,5,TRUE)),0),0)</f>
        <v>0</v>
      </c>
      <c r="FY91">
        <f>IFERROR(IF(CD91=3,VLOOKUP(BS91,Справочная_ЛЭД,2,TRUE),0),0)</f>
        <v>0</v>
      </c>
      <c r="FZ91" s="6">
        <f t="shared" si="211"/>
        <v>0</v>
      </c>
      <c r="GA91" t="str">
        <f>IF(B91="","",IF(TRIM(AH91&amp;"")&lt;&gt;"",IF(LOWER(TRIM(AH91&amp;""))="да","да","нет"),IF(IFERROR(_xlfn.XLOOKUP(BC91,Коды_код,Коды_пожарная),"")="да","да","нет")))</f>
        <v>нет</v>
      </c>
      <c r="GB91" t="str">
        <f t="shared" si="212"/>
        <v/>
      </c>
      <c r="GC91" t="str">
        <f t="shared" si="213"/>
        <v>основная</v>
      </c>
      <c r="GD91">
        <f>IF(AND(BP91=1,TRIM(AE91&amp;"")=""),IF(COUNTIFS(Линии[Щит],A91,Линии[Секция (1/2/3)],"&gt;=2")&gt;0,MIN(3,MAX(1,IFERROR(--BD91,1))),1),IFERROR(MIN(3,MAX(1,INT(--AE91))),1))</f>
        <v>1</v>
      </c>
      <c r="GE91" t="str" cm="1">
        <f t="array" ref="GE91">IF(B91="","",_xlfn.LET(_xlpm.t,IFERROR(_xlfn.XLOOKUP(1,(Шины[Шина]=GC91)*(((Шины[Щит]=A91)+(Шины[Щит]=""))&gt;0),Шины[Тип]),"")&amp;"",IF(_xlpm.t&lt;&gt;"",_xlpm.t,IF(ISNUMBER(SEARCH("ИБП",GC91)),"ИБП",IF(ISNUMBER(SEARCH("ДГУ",GC91)),"ДГУ","Ввод "&amp;GD91)))))</f>
        <v>Ввод 1</v>
      </c>
      <c r="GF91" t="str">
        <f t="shared" si="214"/>
        <v>Ввод 1</v>
      </c>
      <c r="GG91" t="str">
        <f>IF(BP91=0,"",IF(TRIM(AG91&amp;"")&lt;&gt;"",TRIM(AG91&amp;""),IF(OR(GE91="ИБП",GE91="ДГУ"),"I особая",_xlfn.XLOOKUP(A91,Щиты[Щит],Щиты[Категория шины «Ввод»],"III"))))</f>
        <v/>
      </c>
      <c r="GH91" t="str">
        <f>IF(A91="","",_xlfn.XLOOKUP(A91,Щиты[Щит],Щиты[Путь],""))</f>
        <v>|ГРЩ-ЖД|ЩОВ-002|</v>
      </c>
      <c r="GI91" t="str">
        <f>IF(B91="","",IF(AI91&lt;&gt;"",AI91,IF(IFERROR(_xlfn.XLOOKUP(BC91,Коды_код,Коды_вид)&amp;"","")="","Прочее",_xlfn.XLOOKUP(BC91,Коды_код,Коды_вид)&amp;"")))</f>
        <v>Вентиляция</v>
      </c>
      <c r="GJ91">
        <f>IF(BM91="","",INT((BM91-1)/Столбцов_на_лист)+1)</f>
        <v>2</v>
      </c>
      <c r="GK91" t="str">
        <f t="shared" si="215"/>
        <v>ВВГнг(А)-LS (3х1,5) L=16-0,32%</v>
      </c>
      <c r="GL91">
        <f t="shared" si="216"/>
        <v>0.35</v>
      </c>
      <c r="GM91">
        <f t="shared" si="217"/>
        <v>1.9</v>
      </c>
      <c r="GN91">
        <f t="shared" si="218"/>
        <v>1</v>
      </c>
      <c r="GO91">
        <f t="shared" si="219"/>
        <v>0</v>
      </c>
      <c r="GP91">
        <f t="shared" si="220"/>
        <v>1</v>
      </c>
      <c r="GQ91">
        <f>IF(BM91="","",IF(AND(CG91=1,GP91=1),COUNTIFS(A$3:A91,A91,CG$3:CG91,1,GP$3:GP91,1),IF(OR(OR(BA91=1,A91&lt;&gt;A90),AJ91="вручную",GP91=0),"",IF(BA91=1,"",GR90))))</f>
        <v>3</v>
      </c>
      <c r="GR91">
        <f t="shared" si="221"/>
        <v>3</v>
      </c>
      <c r="GS91">
        <f>IF(B91="","",IFERROR(LOOKUP(INDEX(CHOOSE(EB91,Iдоп_1ж,Iдоп_2ж,Iдоп_3ж),MATCH(EN91,Iдоп_S,0))*DZ91*EA91,{6,10,16,20,25,32,40,50,63,80,100,125,160,200,250,315,400,500,630}),""))</f>
        <v>16</v>
      </c>
      <c r="GT91" t="str">
        <f t="shared" si="222"/>
        <v>QF3</v>
      </c>
      <c r="GU91" t="str">
        <f t="shared" si="223"/>
        <v>QF3</v>
      </c>
      <c r="GV91" t="str">
        <f t="shared" si="224"/>
        <v/>
      </c>
      <c r="GW91">
        <f t="shared" si="225"/>
        <v>0</v>
      </c>
      <c r="GX91" t="str">
        <f>IF(OR(B91="",DJ91=""),"",IFERROR(_xlfn.XLOOKUP(DJ91,Модули_умолч[Управление],Модули_умолч[Модель])&amp;"",""))</f>
        <v/>
      </c>
      <c r="GY91">
        <f>IF(DJ91="",1,IFERROR(MAX(0,N(_xlfn.XLOOKUP(DJ91,Модули_умолч[Управление],Модули_умолч[Каналов на линию]))),1))</f>
        <v>1</v>
      </c>
      <c r="GZ91" t="str">
        <f t="shared" si="226"/>
        <v/>
      </c>
      <c r="HA91" t="str">
        <f t="shared" si="227"/>
        <v/>
      </c>
      <c r="HB91" t="str">
        <f t="shared" si="228"/>
        <v/>
      </c>
      <c r="HC91">
        <f>IF(HB91="",0,IFERROR(N(VLOOKUP(HB91,Модули_спр,3,FALSE)),0))</f>
        <v>0</v>
      </c>
      <c r="HD91" t="str">
        <f t="shared" si="229"/>
        <v/>
      </c>
      <c r="HE91" t="str">
        <f t="shared" si="230"/>
        <v/>
      </c>
      <c r="HF91" t="str">
        <f>IF(OR(HE91="",HE91="-"),"",IFERROR(VLOOKUP(HE91,Модули_спр,2,FALSE),"R"))</f>
        <v/>
      </c>
      <c r="HG91" t="str">
        <f>IF(HF91="","",HF91&amp;"."&amp;COUNTIFS(A$3:A91,A91,HF$3:HF91,HF91))</f>
        <v/>
      </c>
      <c r="HH91" t="str">
        <f t="shared" si="231"/>
        <v/>
      </c>
      <c r="HI91" t="str">
        <f t="shared" si="232"/>
        <v/>
      </c>
      <c r="HJ91" t="str">
        <f t="shared" si="233"/>
        <v/>
      </c>
      <c r="HK91" t="str">
        <f t="shared" si="234"/>
        <v/>
      </c>
      <c r="HL91">
        <f t="shared" si="235"/>
        <v>1</v>
      </c>
      <c r="HM91" t="str">
        <f>IF(HL91=1,"XT"&amp;COUNTIFS(A$3:A91,A91,HL$3:HL91,1),"")</f>
        <v>XT3</v>
      </c>
      <c r="HN91" t="str">
        <f t="shared" si="236"/>
        <v/>
      </c>
      <c r="HO91" t="str">
        <f t="shared" si="237"/>
        <v>QF3</v>
      </c>
      <c r="HP91" t="str">
        <f t="shared" si="238"/>
        <v/>
      </c>
      <c r="HQ91" t="str">
        <f t="shared" si="239"/>
        <v>ok</v>
      </c>
      <c r="HR91" t="str">
        <f>IF(OR(HJ91="",HH91=""),"",IF(HJ91+MAX(0,GY91-1)&gt;IFERROR(VLOOKUP(HI91,Модули_спр,3,FALSE),99),"ЛИШНИЙ КАНАЛ",IF(AND(AL91&lt;&gt;"=",GY91&gt;0,COUNTIFS(Линии[_модуль гр.],HH91,Линии[Канал (итог)],HJ91,Линии[Канал],"&lt;&gt;=",Линии[Щит],A91)&gt;1),"ДУБЛЬ КАНАЛА","")))</f>
        <v/>
      </c>
      <c r="HS91" s="6" t="str">
        <f t="shared" si="240"/>
        <v/>
      </c>
      <c r="HT91">
        <f t="shared" si="241"/>
        <v>10</v>
      </c>
      <c r="HU91" t="str">
        <f t="shared" si="242"/>
        <v/>
      </c>
      <c r="HV91">
        <f t="shared" si="243"/>
        <v>0.91777222831138372</v>
      </c>
      <c r="HW91">
        <f t="shared" si="244"/>
        <v>0</v>
      </c>
      <c r="HX91">
        <f t="shared" si="245"/>
        <v>0</v>
      </c>
      <c r="HY91">
        <f t="shared" si="246"/>
        <v>0</v>
      </c>
      <c r="HZ91">
        <f t="shared" si="247"/>
        <v>0</v>
      </c>
      <c r="IA91">
        <f t="shared" si="248"/>
        <v>0</v>
      </c>
      <c r="IB91">
        <f t="shared" si="249"/>
        <v>0</v>
      </c>
      <c r="IC91" t="str">
        <f t="shared" si="250"/>
        <v/>
      </c>
      <c r="ID91" t="str" cm="1">
        <f t="array" ref="ID91">IF(IC91="","",_xlfn.LET(_xlpm.tk,_xlfn.TEXTSPLIT(SUBSTITUTE(SUBSTITUTE(IC91,";"," "),"→"," ")," ",,TRUE),_xlpm.w_,_xlfn._xlws.FILTER(_xlpm.tk,ISNUMBER(--LEFT(_xlpm.tk,1))*((ISNUMBER(SEARCH("W",_xlpm.tk))+ISNUMBER(SEARCH("Вт",_xlpm.tk)))&gt;0),""),IFERROR(--SUBSTITUTE(SUBSTITUTE(UPPER(INDEX(_xlpm.w_,1)),"W",""),"ВТ",""),"")))</f>
        <v/>
      </c>
      <c r="IE91" t="str" cm="1">
        <f t="array" ref="IE91">IF(IC91="","",_xlfn.LET(_xlpm.tk,_xlfn.TEXTSPLIT(SUBSTITUTE(SUBSTITUTE(IC91,";"," "),"→"," ")," ",,TRUE),_xlpm.v_,_xlfn._xlws.FILTER(_xlpm.tk,ISNUMBER(--LEFT(_xlpm.tk,1))*((ISNUMBER(SEARCH("V",_xlpm.tk))+(RIGHT(UPPER(_xlpm.tk))="В"))&gt;0),""),IFERROR(--SUBSTITUTE(SUBSTITUTE(UPPER(INDEX(_xlpm.v_,1)),"V",""),"В",""),"")))</f>
        <v/>
      </c>
      <c r="IF91" s="6" t="str">
        <f>IF(OR(BV91=0,HI91="",HJ91=""),"",IFERROR(N(_xlfn.XLOOKUP(HI91,Каталог!$C$4:$C$500,Каталог!$Q$4:$Q$500)),""))</f>
        <v/>
      </c>
      <c r="IG91" s="6" t="str">
        <f>IF(N(IF91)=0,"",SUMIFS(Линии[Iр, А],Линии[Щит],A91,Линии[_модуль гр.],HH91,Линии[Канал (итог)],HJ91))</f>
        <v/>
      </c>
      <c r="IH91" t="str">
        <f>IF(AND(B91="",HO91=""),"",_xlfn.TEXTJOIN("; ",TRUE,IF(AND(B91&lt;&gt;"",FV91=""),"нет фазы",""),IF(AND(B91&lt;&gt;"",N(GL91)=0,FG91&lt;&gt;"Нет"),"нет мощности",""),IF(AND(HN91&lt;&gt;"",COUNTIFS(Линии[Щит],A91,Линии[Клемма (итог)],HN91)&gt;1),"дубль клеммы "&amp;HN91,""),IF(AND(HQ91&lt;&gt;"",HQ91&lt;&gt;"ok"),HQ91,""),IF(HR91&lt;&gt;"",HR91,""),IF(AND(N(CB91)&gt;=4,N(BX91)=1),CB91&amp;" жил на 1 фазе",""),IF(AND(BC91="R",CG91=1,IF(CS91&lt;&gt;"",N(CV91)&gt;30,OR(N(DA91)=0,N(DA91)&gt;30))),"розетка без дифзащиты до 30 мА",""),IF(AND(CG91=1,N(DA91)&gt;0,ISNUMBER(T91)),IF(T91&gt;N(DA91)/3,"ток утечки "&amp;FIXED(T91,1)&amp;" мА &gt; 1/3 уставки ("&amp;DA91&amp;" мА)",""),""),IF(AND(CH91=1,CS91=""),"«узо»: нет строки с УЗО выше (УЗО 2P 40А 30мА в «Аппаратах»)",""),IF(AND(CS91&lt;&gt;"",CS91=BA91),IF(CT91="","впишите номинал УЗО (УЗО 2P 40А 30мА)",IF(N(CT91)&lt;N(DT91),"УЗО "&amp;CT91&amp;" А &lt; автомата "&amp;DT91&amp;" А перед ним",IF(N(CT91)&lt;N(CX91),"УЗО "&amp;CT91&amp;" А &lt; тока блока "&amp;FIXED(CX91,1)&amp;" А",""))),""),IF(AND(CS91&lt;&gt;"",CS91=BA91,ISNUMBER(CY91)),IF(CY91&gt;N(CV91)/3,"ток утечки блока УЗО "&amp;FIXED(CY91,1)&amp;" мА &gt; 1/3 уставки ("&amp;CV91&amp;" мА)",""),""),IF(AND(CG91=1,N(BV91)+N(IB91)&gt;0,IC91=""),"линии до 50 В без БП: впишите в «Аппараты» (БП 24V 480W)",""),IF(AND(CG91=1,ISNUMBER(ID91),ISNUMBER(U91)),IF(U91&gt;ID91,"БП "&amp;ID91&amp;" Вт &lt; нужно "&amp;U91&amp;" Вт (×"&amp;Запас_БП&amp;")",""),""),IF(AND(CG91=1,ISNUMBER(IE91),N(BV91)=1),IF(IE91&lt;&gt;N(BU91),"БП на "&amp;IE91&amp;" В, линия "&amp;BU91&amp;" В",""),""),IF(AND(N(IF91)&gt;0,N(IG91)&gt;N(IF91)),HH91&amp;" канал "&amp;HJ91&amp;": "&amp;FIXED(IG91,1)&amp;" А &gt; "&amp;IF91&amp;" А",""),IFERROR(IF(AND(ISNUMBER(Q91),Q91&gt;EL91),"потери "&amp;FIXED(Q91,1)&amp;" % &gt; "&amp;EL91&amp;" %",""),""),IFERROR(IF(LEFT(HU91,4)="мало","Iкз мало — отключение &gt; 0,4 с",""),""),IF(AND(B91&lt;&gt;"",BM91=""),"не на схеме",""),IF(AND(CG91=0,B91&lt;&gt;"",FV91&lt;&gt;"",IF(BA91=1,"",FW90)&lt;&gt;"",FV91&lt;&gt;IF(BA91=1,"",FW90)),"фаза не как у автомата группы ("&amp;IF(BA91=1,"",FW90)&amp;")","")))</f>
        <v/>
      </c>
      <c r="II91" s="6">
        <f>IF(OR(CG91=0,DQ91=""),"",_xlfn.LET(_xlpm.t,IFERROR(_xlfn.XLOOKUP(DQ91,Каталог!$U$4:$U$500,Каталог!$G$4:$G$500),""),_xlpm.k,SEARCH("кА",_xlpm.t),IFERROR(--TRIM(RIGHT(SUBSTITUTE(MID(_xlpm.t,MAX(1,_xlpm.k-4),_xlpm.k-MAX(1,_xlpm.k-4))," ",REPT(" ",9)),5)),"")))</f>
        <v>6</v>
      </c>
      <c r="IJ91" t="str">
        <f>IF(OR(II91="",CG91=0),"",IF(_xlfn.XLOOKUP(A91,Щиты[Щит],Щиты[Iкз max на шинах, кА],"")="","",IF(II91&lt;_xlfn.XLOOKUP(A91,Щиты[Щит],Щиты[Iкз max на шинах, кА]),"Icu "&amp;II91&amp;" кА &lt; Iкз max","ok")))</f>
        <v/>
      </c>
      <c r="IK91" t="str">
        <f t="shared" si="251"/>
        <v/>
      </c>
      <c r="IL91" t="str">
        <f t="shared" si="252"/>
        <v>QF3</v>
      </c>
      <c r="IM91" t="str">
        <f t="shared" si="253"/>
        <v>QF3|кабель ВВГнг(А)-LS (3х1,5) → Приточно-вытяжная установка Подвальный этаж Пом. №003Т</v>
      </c>
      <c r="IN91" t="str" cm="1">
        <f t="array" ref="IN91">IF(IM91="","",_xlfn.LET(_xlpm.nd,_xlfn.TEXTSPLIT(IM91,"|"),IF(COLUMNS(_xlpm.nd)&gt;1,A91&amp;"¦"&amp;INDEX(_xlpm.nd,1)&amp;"¦"&amp;INDEX(_xlpm.nd,2),"")))</f>
        <v>ЩОВ-002¦QF3¦кабель ВВГнг(А)-LS (3х1,5) → Приточно-вытяжная установка Подвальный этаж Пом. №003Т</v>
      </c>
      <c r="IO91" t="str">
        <f t="shared" si="254"/>
        <v>ПВ.К¦Приточно-вытяжная установка Подвальный этаж Пом. №003Т</v>
      </c>
      <c r="IP91" t="str" cm="1">
        <f t="array" ref="IP91">IF(IM91="","",_xlfn.LET(_xlpm.nd,_xlfn.TEXTSPLIT(IM91,"|"),IF(COLUMNS(_xlpm.nd)&gt;2,A91&amp;"¦"&amp;INDEX(_xlpm.nd,2)&amp;"¦"&amp;INDEX(_xlpm.nd,3),"")))</f>
        <v/>
      </c>
      <c r="IQ91" t="str">
        <f t="shared" si="255"/>
        <v/>
      </c>
      <c r="IR91" t="str" cm="1">
        <f t="array" ref="IR91">IF(IM91="","",_xlfn.LET(_xlpm.nd,_xlfn.TEXTSPLIT(IM91,"|"),IF(COLUMNS(_xlpm.nd)&gt;3,A91&amp;"¦"&amp;INDEX(_xlpm.nd,3)&amp;"¦"&amp;INDEX(_xlpm.nd,4),"")))</f>
        <v/>
      </c>
      <c r="IS91" t="str">
        <f t="shared" si="256"/>
        <v/>
      </c>
      <c r="IT91" t="str" cm="1">
        <f t="array" ref="IT91">IF(IM91="","",_xlfn.LET(_xlpm.nd,_xlfn.TEXTSPLIT(IM91,"|"),IF(COLUMNS(_xlpm.nd)&gt;4,A91&amp;"¦"&amp;INDEX(_xlpm.nd,4)&amp;"¦"&amp;INDEX(_xlpm.nd,5),"")))</f>
        <v/>
      </c>
      <c r="IU91" t="str">
        <f t="shared" si="257"/>
        <v/>
      </c>
      <c r="IV91" t="str" cm="1">
        <f t="array" ref="IV91">IF(IM91="","",_xlfn.LET(_xlpm.nd,_xlfn.TEXTSPLIT(IM91,"|"),IF(COLUMNS(_xlpm.nd)&gt;5,A91&amp;"¦"&amp;INDEX(_xlpm.nd,5)&amp;"¦"&amp;INDEX(_xlpm.nd,6),"")))</f>
        <v/>
      </c>
      <c r="IW91" t="str">
        <f t="shared" si="258"/>
        <v/>
      </c>
      <c r="IX91" t="str" cm="1">
        <f t="array" ref="IX91">IF(IM91="","",_xlfn.LET(_xlpm.nd,_xlfn.TEXTSPLIT(IM91,"|"),IF(COLUMNS(_xlpm.nd)&gt;6,A91&amp;"¦"&amp;INDEX(_xlpm.nd,6)&amp;"¦"&amp;INDEX(_xlpm.nd,7),"")))</f>
        <v/>
      </c>
      <c r="IY91" t="str">
        <f t="shared" si="259"/>
        <v/>
      </c>
      <c r="IZ91" t="str">
        <f t="shared" si="260"/>
        <v/>
      </c>
      <c r="JA91" t="str">
        <f t="shared" si="261"/>
        <v>QF3</v>
      </c>
      <c r="JB91">
        <f t="shared" si="262"/>
        <v>0</v>
      </c>
      <c r="JC91">
        <f t="shared" si="263"/>
        <v>0</v>
      </c>
      <c r="JD91" t="str">
        <f t="shared" si="264"/>
        <v/>
      </c>
      <c r="JE91" t="str">
        <f t="shared" si="265"/>
        <v/>
      </c>
      <c r="JF91" t="str">
        <f t="shared" si="266"/>
        <v/>
      </c>
      <c r="JG91" t="str">
        <f t="shared" si="267"/>
        <v/>
      </c>
      <c r="JH91" t="str">
        <f>IF(B91="","",IFERROR(_xlfn.XLOOKUP(B91,Коды_код,Коды_уго),IFERROR(_xlfn.XLOOKUP(BC91,Коды_код,Коды_уго),IFERROR(_xlfn.XLOOKUP(LEFT(BC91,2),Коды_код,Коды_уго),""))))</f>
        <v>Привод (двигатель)</v>
      </c>
      <c r="JI91" t="str">
        <f>IF(B91="","",IF(OR(JH91="",JH91=0),"BOX",IFERROR(IF(VLOOKUP(JH91,УГО_блоки,3,FALSE)&amp;""&lt;&gt;"",VLOOKUP(JH91,УГО_блоки,3,FALSE),VLOOKUP(JH91,УГО_блоки,2,FALSE)),JH91)))</f>
        <v>MOTOR</v>
      </c>
      <c r="JJ91">
        <f t="shared" si="268"/>
        <v>1</v>
      </c>
      <c r="JK91" t="str">
        <f>IF(DQ91="","",IF(COUNTIF(DQ$3:DQ91,DQ91)=1,MAX(JK$2:JK90)+1,""))</f>
        <v/>
      </c>
      <c r="JL91" t="str">
        <f>IF(DE91="","",IF(COUNTIF(DE$3:DE91,DE91)+COUNTIF(DF$2:DF90,DE91)+COUNTIF(DG$2:DG90,DE91)=1,MAX(JL$2:JN90)+1,""))</f>
        <v/>
      </c>
      <c r="JM91" t="str">
        <f>IF(DF91="","",IF(COUNTIF(DE$3:DE91,DF91)+COUNTIF(DF$3:DF91,DF91)+COUNTIF(DG$2:DG90,DF91)=1,MAX(JL$2:JN90,JL91)+1,""))</f>
        <v/>
      </c>
      <c r="JN91" t="str">
        <f>IF(DG91="","",IF(COUNTIF(DE$3:DE91,DG91)+COUNTIF(DF$3:DF91,DG91)+COUNTIF(DG$3:DG91,DG91)=1,MAX(JL$2:JN90,JL91,JM91)+1,""))</f>
        <v/>
      </c>
      <c r="JO91" t="str">
        <f t="shared" si="269"/>
        <v>3х1,5</v>
      </c>
      <c r="JP91" t="str">
        <f>IF(JO91="","",IF(COUNTIF(JO$3:JO91,JO91)=1,MAX(JP$2:JP90)+1,""))</f>
        <v/>
      </c>
      <c r="JQ91" t="str">
        <f>IF(HG91="","",COUNTIF(HG$3:HG91,"?*"))</f>
        <v/>
      </c>
      <c r="JR91" t="str">
        <f>IF(OR(HG91="",HI91=""),"",IF(COUNTIFS(HG$3:HG91,"?*",HI$3:HI91,HI91)=1,MAX(JR$2:JR90)+1,""))</f>
        <v/>
      </c>
      <c r="JS91">
        <f t="shared" si="270"/>
        <v>0</v>
      </c>
      <c r="JT91">
        <f>IF(B91="","",COUNTIF(B$3:B91,"?*"))</f>
        <v>89</v>
      </c>
      <c r="JU91">
        <f>IF(HL91&lt;&gt;1,0,_xlfn.LET(_xlpm.k,MAX(IFERROR(--_xlfn.XLOOKUP(B91,Коды_код,Коды_3L),0),IFERROR(--_xlfn.XLOOKUP(BC91,Коды_код,Коды_3L),0),IFERROR(--_xlfn.XLOOKUP(LEFT(BC91,2),Коды_код,Коды_3L),0)),IF(_xlpm.k&gt;0,_xlpm.k,IF(IFERROR(--LEFT(SUBSTITUTE(JO91,"x","х"),FIND("х",SUBSTITUTE(JO91,"x","х"))-1),3)&gt;3,Каталог!$S$9,1))))</f>
        <v>1</v>
      </c>
      <c r="JV91">
        <f t="shared" si="271"/>
        <v>0</v>
      </c>
      <c r="JW91" t="str">
        <f t="shared" si="272"/>
        <v>авто</v>
      </c>
      <c r="JX91" t="str">
        <f t="shared" si="273"/>
        <v/>
      </c>
      <c r="JY91">
        <f t="shared" si="274"/>
        <v>0</v>
      </c>
      <c r="JZ91">
        <f t="shared" si="275"/>
        <v>1</v>
      </c>
    </row>
    <row r="92" spans="1:286" x14ac:dyDescent="0.3">
      <c r="A92" t="s">
        <v>749</v>
      </c>
      <c r="B92" t="s">
        <v>1404</v>
      </c>
      <c r="C92" t="s">
        <v>1663</v>
      </c>
      <c r="D92">
        <v>1</v>
      </c>
      <c r="E92">
        <v>3</v>
      </c>
      <c r="G92">
        <v>16</v>
      </c>
      <c r="H92" t="str">
        <f>Линии[[#This Row],[_авто управление]]</f>
        <v/>
      </c>
      <c r="I92" t="str">
        <f>Линии[[#This Row],[_авто аппараты]]</f>
        <v/>
      </c>
      <c r="J92">
        <v>4</v>
      </c>
      <c r="K92">
        <v>29</v>
      </c>
      <c r="L92" t="str">
        <f>Линии[[#This Row],[_авто фаза]]</f>
        <v>L3</v>
      </c>
      <c r="M92" t="s">
        <v>484</v>
      </c>
      <c r="N92" t="str">
        <f t="shared" si="138"/>
        <v>ПЕРЕГРУЗ</v>
      </c>
      <c r="O92" s="6" cm="1">
        <f t="array" ref="O92">IF(B92="","",IF(BH92&lt;&gt;"",IFERROR(_xlfn.XLOOKUP(BH92,Щиты[Щит],Щиты[Iр, А]),""),IF(BP92=1,IF(OR(N(_xlfn.XLOOKUP(A92,Щиты[Щит],Щиты[Вводов],1))&lt;=1,LOWER(TRIM(_xlfn.XLOOKUP(A92,Щиты[Щит],Щиты[АВР],"")&amp;""))="да"),IFERROR(_xlfn.XLOOKUP(A92,Щиты[Щит],Щиты[Iр, А]),""),IFERROR(N(BS92)*_xlfn.XLOOKUP(A92,Щиты[Щит],Щиты[Кс итог])/(SQRT(3)*Uн_лин*_xlfn.XLOOKUP(A92,Щиты[Щит],Щиты[cos φ])),"")),IF(BV92=1,IFERROR(BS92*1000/BU92,""),IFERROR(_xlfn.IFS(BX92=1,BS92/((Uн_лин/SQRT(3))*CE92),BX92=3,BS92/(SQRT(3)*Uн_лин*CE92)),"")))))</f>
        <v>16.237976320958222</v>
      </c>
      <c r="P92" s="7">
        <f>IF(B92="","",IFERROR(IF(VLOOKUP(BC92,Потребители_обозначение,4,FALSE)=1,VLOOKUP(BC92,Потребители_обозначение,3,FALSE)*(MAX(1,N(D92))*2-1)+EI92+VLOOKUP(BE92,Этаж_обозначение,3,FALSE)+VLOOKUP(BE92,Этаж_обозначение,4,FALSE),VLOOKUP(BC92,Потребители_обозначение,3,FALSE)*(MAX(1,N(D92))*2-1)+EI92),EI92))</f>
        <v>33</v>
      </c>
      <c r="Q92" s="6">
        <f t="shared" si="139"/>
        <v>2.8599999999999994</v>
      </c>
      <c r="R92" t="str">
        <f t="shared" si="140"/>
        <v>ВВГнг(А)-LS (3х4)</v>
      </c>
      <c r="S92" t="str">
        <f>IF(BM92="","",IF(BN92="вводной узел","узел ","")&amp;"л."&amp;(INT((BM92-1)/Столбцов_на_лист)+1)&amp;" / "&amp;(MOD(BM92-1,Столбцов_на_лист)+1))</f>
        <v>л.2 / 5</v>
      </c>
      <c r="T92" s="119">
        <f t="shared" si="141"/>
        <v>6.8</v>
      </c>
      <c r="U92" s="7" t="str">
        <f>IF(OR(CG92=0,N(BV92)+N(IB92)=0),"",ROUNDUP(Запас_БП*(N(HY92)+N(HZ92)),0))</f>
        <v/>
      </c>
      <c r="V92" s="119" t="str">
        <f t="shared" si="142"/>
        <v/>
      </c>
      <c r="W92" s="7" t="str">
        <f>IFERROR(IF(OR(B92="",BP92=1,BV92=1,NOT(ISNUMBER(EN92)),N(DT92)=0),"",MAX(0,ROUNDDOWN((c_min*(Uн_лин*1000/SQRT(3))/(HT92*N(DT92))-_xlfn.XLOOKUP(A92,Щиты[Щит],Щиты[Zпетли на шинах, Ом]))*EN92/(2*ρкз_Cu),0))),"")</f>
        <v/>
      </c>
      <c r="Y92" t="str">
        <f>Линии[[#This Row],[_авто утечка]]</f>
        <v/>
      </c>
      <c r="Z92">
        <v>1</v>
      </c>
      <c r="AA92">
        <v>230</v>
      </c>
      <c r="AB92" t="s">
        <v>598</v>
      </c>
      <c r="AC92">
        <v>0.5</v>
      </c>
      <c r="AG92" t="s">
        <v>810</v>
      </c>
      <c r="AI92" t="s">
        <v>580</v>
      </c>
      <c r="AK92" t="str">
        <f>Линии[[#This Row],[_авто модуль]]</f>
        <v/>
      </c>
      <c r="AM92">
        <v>22</v>
      </c>
      <c r="AN92" t="s">
        <v>11</v>
      </c>
      <c r="AO92">
        <v>3</v>
      </c>
      <c r="AQ92">
        <v>11</v>
      </c>
      <c r="AR92">
        <v>22</v>
      </c>
      <c r="AT92">
        <v>1</v>
      </c>
      <c r="BA92" cm="1">
        <f t="array" ref="BA92">ROW()-ROW(Линии[#Headers])</f>
        <v>90</v>
      </c>
      <c r="BC92" s="6" t="str">
        <f t="shared" si="143"/>
        <v>ПВ</v>
      </c>
      <c r="BD92" t="str">
        <f t="shared" si="144"/>
        <v>10</v>
      </c>
      <c r="BE92" t="str">
        <f t="shared" si="145"/>
        <v>10</v>
      </c>
      <c r="BF92" t="str">
        <f t="shared" si="146"/>
        <v/>
      </c>
      <c r="BG92" t="str">
        <f t="shared" si="147"/>
        <v/>
      </c>
      <c r="BH92" t="str">
        <f>IF(X92&lt;&gt;"",X92,IF(AND(B92&lt;&gt;"",B92&lt;&gt;A92,ISNUMBER(_xlfn.XMATCH(B92,Щиты[Щит]))),B92,""))</f>
        <v/>
      </c>
      <c r="BI92" t="str" cm="1">
        <f t="array" ref="BI92">IF(B92="","",IF(BH92&lt;&gt;"","Щит "&amp;BH92,_xlfn.LET(_xlpm.nm,IFERROR(_xlfn.XLOOKUP(BC92,Коды_код,Коды_имя)&amp;"",""),_xlpm.md,IFERROR(N(_xlfn.XLOOKUP(BC92,Коды_код,Коды_режим)),1),_xlpm.ex,IF(Имя_режим="по экспликации",IFERROR(_xlfn.XLOOKUP(BE92&amp;"|"&amp;BG92,Экспликация[Этаж]&amp;"|"&amp;Экспликация[Помещение],Экспликация[Название])&amp;"",""),""),_xlpm.rm,IF(BG92="","",IF(_xlpm.ex&lt;&gt;"",". "&amp;_xlpm.ex&amp;IF(Имя_пом="нет"," ("&amp;BG92&amp;")"," (пом. "&amp;BG92&amp;")"),IF(Имя_пом="нет"," ",", пом. ")&amp;BG92)),IF(_xlpm.nm="","",IF(_xlpm.md=2,_xlpm.nm&amp;" шлейф "&amp;BE92,_xlpm.nm&amp;_xlpm.rm)))))</f>
        <v>Приточно-вытяжная установка шлейф 10</v>
      </c>
      <c r="BJ92" t="str">
        <f t="shared" si="148"/>
        <v>Приточно-вытяжная установка Подвальный этаж Пом. №005Т</v>
      </c>
      <c r="BK92">
        <f>IFERROR(_xlfn.XMATCH(A92,Щиты[Щит]),0)</f>
        <v>5</v>
      </c>
      <c r="BL92">
        <f>_xlfn.LET(_xlpm.k,IFERROR(_xlfn.XLOOKUP(A92,Щиты[Щит],Щиты[Мест под вводной узел]),""),IF(_xlpm.k="",Столбцов_на_лист,N(_xlpm.k)))</f>
        <v>18</v>
      </c>
      <c r="BM92">
        <f t="shared" si="149"/>
        <v>22</v>
      </c>
      <c r="BN92" t="str">
        <f t="shared" si="150"/>
        <v>линии</v>
      </c>
      <c r="BO92" s="6">
        <f>IFERROR(N(_xlfn.XLOOKUP(BC92,Коды_код,Коды_квт)),0)</f>
        <v>0</v>
      </c>
      <c r="BP92">
        <f t="shared" si="151"/>
        <v>0</v>
      </c>
      <c r="BQ92" t="str">
        <f>IF(B92="","",IF(BH92&lt;&gt;"",IFERROR(_xlfn.XLOOKUP(BH92,Щиты[Щит],Щиты[Руст, кВт]),0),IF(BP92=1,IF(OR(N(_xlfn.XLOOKUP(A92,Щиты[Щит],Щиты[Вводов],1))&lt;=1,LOWER(TRIM(_xlfn.XLOOKUP(A92,Щиты[Щит],Щиты[АВР],"")&amp;""))="да"),IFERROR(_xlfn.XLOOKUP(A92,Щиты[Щит],Щиты[Руст, кВт]),0),SUMIFS(Линии[_Р для вводов],Линии[Щит],A92,Линии[Источник для режимов],GF92)),IF(BO92&gt;0,ROUND(BO92*MAX(1,N(D92)),3),""))))</f>
        <v/>
      </c>
      <c r="BR92">
        <f t="shared" si="152"/>
        <v>3</v>
      </c>
      <c r="BS92" s="6">
        <f>IF(B92="","",IF(BH92&lt;&gt;"",IFERROR(_xlfn.XLOOKUP(BH92,Щиты[Щит],Щиты[Руст, кВт]),0),N(BR92)))</f>
        <v>3</v>
      </c>
      <c r="BT92" t="str">
        <f>IF(B92="","",IFERROR(IF(VLOOKUP(BC92,Потребители_обозначение,8,FALSE)=0,"",VLOOKUP(BC92,Потребители_обозначение,8,FALSE)),""))</f>
        <v/>
      </c>
      <c r="BU92">
        <f t="shared" si="153"/>
        <v>230</v>
      </c>
      <c r="BV92">
        <f t="shared" si="154"/>
        <v>0</v>
      </c>
      <c r="BW92">
        <f>IF(B92="","",IF(BH92&lt;&gt;"",3,IFERROR(IF(N(VLOOKUP(BC92,Потребители_обозначение,9,FALSE))=0,1,VLOOKUP(BC92,Потребители_обозначение,9,FALSE)),1)))</f>
        <v>1</v>
      </c>
      <c r="BX92">
        <f t="shared" si="155"/>
        <v>1</v>
      </c>
      <c r="BY92" t="str">
        <f>IF(B92="","",_xlfn.LET(_xlpm.bc,IFERROR(IF(VLOOKUP(BC92,Потребители_обозначение,6,FALSE)=0,"",VLOOKUP(BC92,Потребители_обозначение,6,FALSE)&amp;""),""),IF(AND(GA92="да",OR(_xlpm.bc="",_xlpm.bc="мс")),Марка_пож,IF(AND(_xlpm.bc="",BH92&lt;&gt;""),"мс",_xlpm.bc))))</f>
        <v/>
      </c>
      <c r="BZ92" t="str">
        <f t="shared" si="156"/>
        <v>мс</v>
      </c>
      <c r="CA92">
        <f>IF(B92="","",_xlfn.LET(_xlpm.cc,IFERROR(N(VLOOKUP(BC92,Потребители_обозначение,7,FALSE)),0),IF(_xlpm.cc&gt;0,_xlpm.cc,IF(BZ92="","",IF(BV92=1,2,IF(N(BX92)=3,5,3))))))</f>
        <v>3</v>
      </c>
      <c r="CB92">
        <f t="shared" si="157"/>
        <v>3</v>
      </c>
      <c r="CC92">
        <f>IFERROR(N(VLOOKUP(BC92,Потребители_обозначение,10,FALSE)),0)</f>
        <v>0</v>
      </c>
      <c r="CD92">
        <f>IFERROR(VLOOKUP(BC92,Потребители_обозначение,5,FALSE),0)</f>
        <v>1</v>
      </c>
      <c r="CE92" s="6" cm="1">
        <f t="array" ref="CE92">IF(B92="","",IF(BH92&lt;&gt;"",IFERROR(_xlfn.XLOOKUP(BH92,Щиты[Щит],Щиты[cos φ]),0.95),IF(BP92=1,IFERROR(_xlfn.XLOOKUP(A92,Щиты[Щит],Щиты[cos φ]),0.95),IF(ISNUMBER(AD92),AD92,IFERROR(IF(CD92=2,_xlfn.IFS(BX92=3,VLOOKUP(BS92,Справочная_двигатели,8,FALSE),BX92=1,VLOOKUP(BS92,Справочная_двигатели,10,TRUE)),IF(AND(Методика="нормы 2026",FG92="Сил"),0.8,0.95)),0.95)))))</f>
        <v>0.8</v>
      </c>
      <c r="CF92">
        <f t="shared" si="158"/>
        <v>0</v>
      </c>
      <c r="CG92">
        <f t="shared" si="159"/>
        <v>1</v>
      </c>
      <c r="CH92">
        <f t="shared" si="160"/>
        <v>0</v>
      </c>
      <c r="CI92">
        <f>IF(B92="","",IF(BV92=1,IFERROR(BS92/((Uн_лин/SQRT(3))*MAX(0.5,N(CE92))),0),N(O92)))</f>
        <v>16.237976320958222</v>
      </c>
      <c r="CJ92">
        <f t="shared" si="161"/>
        <v>0</v>
      </c>
      <c r="CK92">
        <f t="shared" si="162"/>
        <v>0</v>
      </c>
      <c r="CL92">
        <f t="shared" si="163"/>
        <v>0</v>
      </c>
      <c r="CM92">
        <f t="shared" si="164"/>
        <v>0</v>
      </c>
      <c r="CN92">
        <f t="shared" si="165"/>
        <v>0</v>
      </c>
      <c r="CO92">
        <f>IF(BC92="",0,_xlfn.LET(_xlpm.v,IFERROR(_xlfn.XLOOKUP(B92,Коды_код,Коды_мА),IFERROR(_xlfn.XLOOKUP(BC92,Коды_код,Коды_мА),IFERROR(_xlfn.XLOOKUP(LEFT(BC92,2),Коды_код,Коды_мА),""))),IF(_xlpm.v="да",30,IF(ISNUMBER(_xlpm.v),_xlpm.v,0))))</f>
        <v>0</v>
      </c>
      <c r="CP92" t="str">
        <f t="shared" si="166"/>
        <v/>
      </c>
      <c r="CQ92" t="str">
        <f>_xlfn.LET(_xlpm.k,IFERROR(_xlfn.XLOOKUP(BC92,Коды_код,Коды_утечка)&amp;"",""),IF(_xlpm.k="","дифавтомат",_xlpm.k))</f>
        <v>дифавтомат</v>
      </c>
      <c r="CR92" t="str" cm="1">
        <f t="array" ref="CR92">IF(CG92=0,"",_xlfn.LET(_xlpm.sg,TRIM(_xlfn.TEXTSPLIT(DD92&amp;"",";")),_xlpm.f_,_xlfn._xlws.FILTER(_xlpm.sg,LEFT(_xlpm.sg,3)="УЗО",""),IFERROR(INDEX(_xlpm.f_,1)&amp;"","")))</f>
        <v/>
      </c>
      <c r="CS92" t="str">
        <f t="shared" si="167"/>
        <v/>
      </c>
      <c r="CT92" s="6" t="str" cm="1">
        <f t="array" ref="CT92">IF(CR92="","",_xlfn.LET(_xlpm.tk,_xlfn.TEXTSPLIT(UPPER(CR92)," ",,TRUE),_xlpm.a_,_xlfn._xlws.FILTER(_xlpm.tk,ISNUMBER(--LEFT(_xlpm.tk,1))*((ISNUMBER(SEARCH("А",_xlpm.tk))+ISNUMBER(SEARCH("A",_xlpm.tk)))&gt;0)*NOT(ISNUMBER(SEARCH("МА",_xlpm.tk)))*NOT(ISNUMBER(SEARCH("MA",_xlpm.tk))),""),IFERROR(--SUBSTITUTE(SUBSTITUTE(INDEX(_xlpm.a_,1),"А",""),"A",""),"")))</f>
        <v/>
      </c>
      <c r="CU92" t="str" cm="1">
        <f t="array" ref="CU92">IF(CR92="","",_xlfn.LET(_xlpm.tk,_xlfn.TEXTSPLIT(UPPER(CR92)," ",,TRUE),_xlpm.a_,_xlfn._xlws.FILTER(_xlpm.tk,ISNUMBER(--LEFT(_xlpm.tk,1))*((ISNUMBER(SEARCH("МА",_xlpm.tk))+ISNUMBER(SEARCH("MA",_xlpm.tk)))&gt;0),""),IFERROR(--SUBSTITUTE(SUBSTITUTE(INDEX(_xlpm.a_,1),"МА",""),"MA",""),30)))</f>
        <v/>
      </c>
      <c r="CV92" t="str">
        <f>IF(CS92="","",IFERROR(_xlfn.XLOOKUP(CS92,Линии[_n],Линии[_УЗО, мА]),30))</f>
        <v/>
      </c>
      <c r="CW92">
        <f>IF(CS92="",0,IF(ISNUMBER(SEARCH("4P",IFERROR(_xlfn.XLOOKUP(CS92,Линии[_n],Линии[_УЗО строки])&amp;"",""))),0,1))</f>
        <v>0</v>
      </c>
      <c r="CX92" t="str">
        <f>IF(AND(CS92&lt;&gt;"",CS92=BA92),SUMIFS(Линии[_ток на 230 В],Линии[_блок УЗО],BA92,Линии[Щит],A92),"")</f>
        <v/>
      </c>
      <c r="CY92" t="str">
        <f>IF(AND(CS92&lt;&gt;"",CS92=BA92),SUMIFS(Линии[_ток утечки линии, мА],Линии[_блок УЗО],BA92,Линии[Щит],A92),"")</f>
        <v/>
      </c>
      <c r="CZ92">
        <f t="shared" si="168"/>
        <v>0</v>
      </c>
      <c r="DA92">
        <f t="shared" si="169"/>
        <v>0</v>
      </c>
      <c r="DB92">
        <f>IF(B92="",0,IFERROR(--_xlfn.XLOOKUP(B92,Коды_код,Коды_минавт),IFERROR(--_xlfn.XLOOKUP(BC92,Коды_код,Коды_минавт),IFERROR(--_xlfn.XLOOKUP(LEFT(BC92,2),Коды_код,Коды_минавт),0))))</f>
        <v>0</v>
      </c>
      <c r="DC92" t="str">
        <f>IF(B92="","",IFERROR(_xlfn.XLOOKUP(BC92,Коды_код,Коды_апп)&amp;"",""))</f>
        <v/>
      </c>
      <c r="DD92" t="str">
        <f t="shared" si="170"/>
        <v/>
      </c>
      <c r="DE92" t="str" cm="1">
        <f t="array" ref="DE92">IF(TRIM(DD92&amp;"")="","",IFERROR(TRIM(INDEX(_xlfn.TEXTSPLIT(DD92&amp;";;;",";"),1)),""))</f>
        <v/>
      </c>
      <c r="DF92" t="str" cm="1">
        <f t="array" ref="DF92">IF(TRIM(DD92&amp;"")="","",IFERROR(TRIM(INDEX(_xlfn.TEXTSPLIT(DD92&amp;";;;",";"),2)),""))</f>
        <v/>
      </c>
      <c r="DG92" t="str" cm="1">
        <f t="array" ref="DG92">IF(TRIM(DD92&amp;"")="","",IFERROR(TRIM(INDEX(_xlfn.TEXTSPLIT(DD92&amp;";;;",";"),3)),""))</f>
        <v/>
      </c>
      <c r="DH92">
        <f t="shared" si="171"/>
        <v>0</v>
      </c>
      <c r="DI92" t="str">
        <f>IF(B92="","",_xlfn.LET(_xlpm.t,LOWER(AZ92&amp;""),IF(ISNUMBER(SEARCH("dim",_xlpm.t)),"DIM",IF(ISNUMBER(SEARCH("dali",_xlpm.t)),"DALI",IF(OR(ISNUMBER(SEARCH("relay",_xlpm.t)),ISNUMBER(SEARCH("реле",_xlpm.t))),"Relay",IF(ISNUMBER(SEARCH("кнопк",_xlpm.t)),"",IFERROR(_xlfn.XLOOKUP(BC92,Коды_код,Коды_упр)&amp;"","")))))))</f>
        <v/>
      </c>
      <c r="DJ92" t="str">
        <f t="shared" si="172"/>
        <v/>
      </c>
      <c r="DK92">
        <f>IF(B92="","",_xlfn.LET(_xlpm.ig,IF(N(CX92)&gt;0,N(CX92),N(CI92)+IF(AJ92="вручную",0,N(CJ92))),_xlpm.n0,IFERROR(VLOOKUP(_xlpm.ig,Автомат_номиналы,2,TRUE),0),_xlpm.mn,MAX(DB92,IF(AJ92="вручную",0,N(CM92))),MAX(_xlpm.n0,_xlpm.mn,IF(DH92=1,Мин_автомат_БП,0))))</f>
        <v>20</v>
      </c>
      <c r="DL92">
        <f t="shared" si="173"/>
        <v>1</v>
      </c>
      <c r="DM92" t="str">
        <f t="shared" si="174"/>
        <v>1P</v>
      </c>
      <c r="DN92" t="str">
        <f>_xlfn.LET(_xlpm.cc,UPPER(TRIM(IFERROR(_xlfn.XLOOKUP(BC92,Коды_код,Коды_хар)&amp;"",""))),IF(OR(_xlpm.cc="B",_xlpm.cc="В"),"B",IF(_xlpm.cc="D","D","С")))</f>
        <v>С</v>
      </c>
      <c r="DO92" t="str">
        <f t="shared" si="175"/>
        <v>1P С20А</v>
      </c>
      <c r="DP92">
        <f t="shared" si="176"/>
        <v>16</v>
      </c>
      <c r="DQ92" t="str">
        <f t="shared" si="177"/>
        <v>1P С16А</v>
      </c>
      <c r="DR92" cm="1">
        <f t="array" ref="DR92">IF(DQ92="","",_xlfn.LET(_xlpm.t,SUBSTITUTE(SUBSTITUTE(SUBSTITUTE(UPPER(DQ92),"С","C"),"А","A"),"В","B"),_xlpm.tk,_xlfn.TEXTSPLIT(_xlpm.t," "),_xlpm.f,_xlfn._xlws.FILTER(_xlpm.tk,ISNUMBER(--MID(_xlpm.tk,2,1))*ISNUMBER(SEARCH(LEFT(_xlpm.tk,1)&amp;"#","B#C#D#"))*(LEN(_xlpm.tk)&gt;1),""),_xlpm.x,INDEX(_xlpm.f,1),IFERROR(--SUBSTITUTE(MID(_xlpm.x,2,9),"A",""),IFERROR(--SUBSTITUTE(INDEX(_xlfn._xlws.FILTER(_xlpm.tk,ISNUMBER(--SUBSTITUTE(_xlpm.tk,"A","")),""),1),"A",""),""))))</f>
        <v>16</v>
      </c>
      <c r="DS92" t="str">
        <f t="shared" si="178"/>
        <v>ok</v>
      </c>
      <c r="DT92">
        <f t="shared" si="179"/>
        <v>16</v>
      </c>
      <c r="DU92" t="str">
        <f t="shared" si="180"/>
        <v>1P С16А</v>
      </c>
      <c r="DV92">
        <f t="shared" si="181"/>
        <v>0</v>
      </c>
      <c r="DW92">
        <f t="shared" si="182"/>
        <v>0</v>
      </c>
      <c r="DX92">
        <f t="shared" si="183"/>
        <v>0</v>
      </c>
      <c r="DY92">
        <f t="shared" si="184"/>
        <v>16.237976320958222</v>
      </c>
      <c r="DZ92">
        <f t="shared" si="185"/>
        <v>1</v>
      </c>
      <c r="EA92">
        <f>IF(ISNUMBER(AP92),AP92,К_прокл)</f>
        <v>1</v>
      </c>
      <c r="EB92">
        <f t="shared" si="186"/>
        <v>2</v>
      </c>
      <c r="EC92">
        <f>IFERROR(N(VLOOKUP(BZ92,Кабель_обозначение,3,FALSE)),1)</f>
        <v>1</v>
      </c>
      <c r="ED92">
        <f>IFERROR(N(_xlfn.XLOOKUP(A92,Щиты[Щит],Щиты[ΔU до шин, %])),0)</f>
        <v>0.74</v>
      </c>
      <c r="EE92" t="str">
        <f>IFERROR(_xlfn.XLOOKUP(A92,Щиты[Щит],Щиты[Zпетли на шинах, Ом]),"")</f>
        <v/>
      </c>
      <c r="EF92">
        <f>IFERROR(N(_xlfn.XLOOKUP(A92,Щиты[Щит],Щиты[ΔU до шин (подбор), %])),0)</f>
        <v>1.96</v>
      </c>
      <c r="EG92" t="str">
        <f>IFERROR(_xlfn.XLOOKUP(A92,Щиты[Щит],Щиты[Zпетли на шинах (подбор), Ом]),"")</f>
        <v/>
      </c>
      <c r="EH92" t="str">
        <f t="shared" si="187"/>
        <v/>
      </c>
      <c r="EI92">
        <f t="shared" si="188"/>
        <v>29</v>
      </c>
      <c r="EJ92">
        <f t="shared" si="189"/>
        <v>2</v>
      </c>
      <c r="EK92">
        <f t="shared" si="190"/>
        <v>0.6</v>
      </c>
      <c r="EL92" s="6">
        <f>IF(B92="","",IF(BV92=1,dU_LED,IF(IFERROR(_xlfn.XLOOKUP(BC92,Коды_код,Коды_уго),"")="Светильник",3,4)+IF(Методика="нормы 2026",MIN(0.5,MAX(0,N(P92)-100)*0.005),0)))</f>
        <v>4</v>
      </c>
      <c r="EM92" cm="1">
        <f t="array" ref="EM92">IF(OR(B92="",BZ92="",EC92&lt;&gt;1),"",_xlfn.LET(_xlpm.sz,Iдоп_S,_xlpm.t_,CHOOSE(EB92,Iдоп_1ж,Iдоп_2ж,Iдоп_3ж)*DZ92*EA92,_xlpm.dcx,BV92=1,_xlpm.inn,IF(_xlpm.dcx,N(O92),N(DT92)),_xlpm.smin,MAX(1.5,CC92),_xlpm.L_,N(P92)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92)/N(BU92)*100,999),IFERROR(N(EJ92)*(_xlpm.rho*_xlpm.L_/_xlpm.sz*N(CE92)+_xlpm.xx*_xlpm.L_*N(EK92)/1000)*N(O92)/((Uн_лин/SQRT(3))*1000)*100,999)),_xlpm.kz,IF(OR(_xlpm.dcx,DW92=1,NOT(ISNUMBER(EG92)),_xlpm.L_=0,_xlpm.inn=0),1,IFERROR(--(c_min*(Uн_лин*1000/SQRT(3))/(EG92+2*ρкз_Cu*_xlpm.L_/_xlpm.sz)&gt;=HT92*_xlpm.inn),0)),_xlpm.ok,IFERROR((_xlpm.sz&gt;=_xlpm.smin)*(_xlpm.t_&gt;=_xlpm.inn)*IF(_xlpm.L_&gt;0,(_xlpm.du_+IF(_xlpm.dcx,0,EF92)&lt;=EL92+0.00001),1)*_xlpm.kz,0),_xlpm.r_,_xlfn._xlws.FILTER(_xlpm.sz,_xlpm.ok,"не подобрано"),INDEX(_xlpm.r_,1)))</f>
        <v>6</v>
      </c>
      <c r="EN92">
        <f t="shared" si="191"/>
        <v>4</v>
      </c>
      <c r="EO92" cm="1">
        <f t="array" ref="EO92">IF(OR(B92="",BZ92="",EC92&lt;&gt;1),"",_xlfn.LET(_xlpm.sz,Iдоп_S,_xlpm.t_,CHOOSE(EB92,Iдоп_1ж,Iдоп_2ж,Iдоп_3ж)*DZ92*EA92,_xlpm.ok,IFERROR((_xlpm.sz&gt;=MAX(1.5,CC92))*(_xlpm.t_&gt;=N(DT92)),0),_xlpm.r_,_xlfn._xlws.FILTER(_xlpm.sz,_xlpm.ok,""),INDEX(_xlpm.r_,1)))</f>
        <v>1.5</v>
      </c>
      <c r="EP92" s="6" cm="1">
        <f t="array" ref="EP92">IFERROR(ROUNDUP(N(EJ92)*(_xlfn.XLOOKUP(EO92,INDEX(Кабель_сопротивление,0,1),INDEX(Кабель_сопротивление,0,3))*N(P92)/EO92*N(CE92)+_xlfn.XLOOKUP(EO92,INDEX(Кабель_сопротивление,0,1),INDEX(Кабель_сопротивление,0,2))*N(P92)*N(EK92)/1000)*N(O92)/((Uн_лин/SQRT(3))*1000)*100,2),"")</f>
        <v>5.6</v>
      </c>
      <c r="EQ92">
        <f>IFERROR(2*ρкз_Cu*N(P92)/EO92,"")</f>
        <v>1.1572</v>
      </c>
      <c r="ER92">
        <f>IFERROR(VLOOKUP(EN92,Кабель_сопротивление,3,FALSE),"")</f>
        <v>2.2499999999999999E-2</v>
      </c>
      <c r="ES92">
        <f>IFERROR(VLOOKUP(EN92,Кабель_сопротивление,2,FALSE),"")</f>
        <v>9.5000000000000001E-2</v>
      </c>
      <c r="ET92">
        <f t="shared" si="192"/>
        <v>22</v>
      </c>
      <c r="EU92">
        <f t="shared" si="193"/>
        <v>0</v>
      </c>
      <c r="EV92">
        <f t="shared" si="194"/>
        <v>4.8837662342440362</v>
      </c>
      <c r="EW92" s="6">
        <f>IFERROR(ROUNDUP(EV92/IF(BV92=1,BU92,(Uн_лин/SQRT(3))*1000)*100,2),"")</f>
        <v>2.1199999999999997</v>
      </c>
      <c r="EX92" t="str">
        <f>IFERROR(VLOOKUP(BZ92,Кабель_обозначение,2,FALSE),"")</f>
        <v>ВВГнг(А)-LS</v>
      </c>
      <c r="EY92" t="str">
        <f t="shared" si="195"/>
        <v>ВВГнг(А)-LS (3х4)</v>
      </c>
      <c r="EZ92" t="str">
        <f t="shared" si="196"/>
        <v>ВВГнг(А)-LS (3х4)
L=33-2,12%</v>
      </c>
      <c r="FA92">
        <f>IFERROR(2*ρкз_Cu*P92/EN92,"")</f>
        <v>0.43395</v>
      </c>
      <c r="FB92">
        <f t="shared" si="197"/>
        <v>0.144375</v>
      </c>
      <c r="FC92" s="6" t="str">
        <f>IFERROR(IF(OR(B92="",BV92=1,NOT(ISNUMBER(EN92)),N(P92)=0),"",_xlfn.XLOOKUP(A92,Щиты[Щит],Щиты[Zпетли на шинах, Ом])+FA92),"")</f>
        <v/>
      </c>
      <c r="FD92" s="6" t="str">
        <f>IF(ISNUMBER(FC92),c_min*(Uн_лин*1000/SQRT(3))/FC92,"")</f>
        <v/>
      </c>
      <c r="FE92" s="6" t="str">
        <f>IFERROR(IF(OR(B92="",NOT(ISNUMBER(EN92))),"",1.05*(Uн_лин*1000/SQRT(3))/(_xlfn.XLOOKUP(A92,Щиты[Щит],Щиты[Zmax на шинах, Ом])+FB92)/1000),"")</f>
        <v/>
      </c>
      <c r="FF92" s="6" t="str">
        <f>IF(B92="","",IF(ISNUMBER(AC92),"Сил",IF(IFERROR(_xlfn.XLOOKUP(BC92,Коды_код,Коды_группа)&amp;"","")="","Быт",_xlfn.XLOOKUP(BC92,Коды_код,Коды_группа)&amp;"")))</f>
        <v>Сил</v>
      </c>
      <c r="FG92" s="6" t="str">
        <f t="shared" si="198"/>
        <v>Сил</v>
      </c>
      <c r="FH92" s="6">
        <f>IF(FG92="Щит","щит",IF(FG92="","",IF(FG92="Быт",IFERROR(_xlfn.XLOOKUP(A92,Щиты[Щит],Щиты[Кс быт]),1),IF(FG92="Сил",IF(ISNUMBER(AC92),AC92,IF(Методика="нормы 2026",IFERROR(_xlfn.XLOOKUP(A92,Щиты[Щит],Щиты[Кс силовых (табл. 7.5)]),1),1)),IF(OR(FG92="Пост",FG92="Отоп"),1,IF(FG92="ВНГ",0.7,0))))))</f>
        <v>0.5</v>
      </c>
      <c r="FI92">
        <f>IF(FG92="","",IF(AND(BP92=1,TRIM(AE92&amp;"")=""),IF(COUNTIFS(Линии[Щит],A92,Линии[Секция (1/2/3)],"&gt;=2")&gt;0,MIN(3,MAX(1,IFERROR(--BD92,1))),1),IFERROR(MIN(3,MAX(1,INT(--AE92))),1)))</f>
        <v>1</v>
      </c>
      <c r="FJ92">
        <f t="shared" si="199"/>
        <v>3</v>
      </c>
      <c r="FK92">
        <f t="shared" si="200"/>
        <v>0</v>
      </c>
      <c r="FL92">
        <f t="shared" si="201"/>
        <v>1.5</v>
      </c>
      <c r="FM92">
        <f t="shared" si="202"/>
        <v>0</v>
      </c>
      <c r="FN92">
        <f t="shared" si="203"/>
        <v>0</v>
      </c>
      <c r="FO92">
        <f t="shared" si="204"/>
        <v>0</v>
      </c>
      <c r="FP92">
        <f t="shared" si="205"/>
        <v>3</v>
      </c>
      <c r="FQ92">
        <f t="shared" si="206"/>
        <v>3</v>
      </c>
      <c r="FR92">
        <f t="shared" si="207"/>
        <v>2.4000000000000004</v>
      </c>
      <c r="FS92">
        <f>IF(CG92=1,IF(AND(CH92=1,CW92=1),0,IF(AND(CS92&lt;&gt;"",CS92=BA92,CW92=1),SUMIFS(Линии[_Р линии, кВт],Линии[_блок УЗО],BA92,Линии[Щит],A92),N(BS92)+IF(AJ92="вручную",0,N(CK92)))),0)</f>
        <v>3</v>
      </c>
      <c r="FT92" t="str">
        <f t="shared" si="208"/>
        <v/>
      </c>
      <c r="FU92" t="str">
        <f>IF(B92="","",IF(CG92=0,IF(BA92=1,"",FW91),IF(AND(CH92=1,CW92=1,CS92&lt;&gt;""),IFERROR(_xlfn.XLOOKUP(CS92,Линии[_n],Линии[_фаза итог]),"L1"),IF(OR(N(DL92)&gt;=3,N(BX92)&gt;=3),"L1,L2,L3",IFERROR(_xlfn.TEXTBEFORE(_xlfn.TEXTAFTER(_xlfn.XLOOKUP(A92,Щиты[Щит],Щиты[_фазы авто]),";"&amp;BA92&amp;":"),";"),"L1")))))</f>
        <v>L3</v>
      </c>
      <c r="FV92" t="str">
        <f t="shared" si="209"/>
        <v>L3</v>
      </c>
      <c r="FW92" t="str">
        <f t="shared" si="210"/>
        <v>L3</v>
      </c>
      <c r="FX92" cm="1">
        <f t="array" ref="FX92">IFERROR(IF(CD92=2,_xlfn.IFS(BX92=3,VLOOKUP(BS92,Справочная_двигатели,3,FALSE),BX92=1,VLOOKUP(BS92,Справочная_двигатели,5,TRUE)),0),0)</f>
        <v>0</v>
      </c>
      <c r="FY92">
        <f>IFERROR(IF(CD92=3,VLOOKUP(BS92,Справочная_ЛЭД,2,TRUE),0),0)</f>
        <v>0</v>
      </c>
      <c r="FZ92" s="6">
        <f t="shared" si="211"/>
        <v>0</v>
      </c>
      <c r="GA92" t="str">
        <f>IF(B92="","",IF(TRIM(AH92&amp;"")&lt;&gt;"",IF(LOWER(TRIM(AH92&amp;""))="да","да","нет"),IF(IFERROR(_xlfn.XLOOKUP(BC92,Коды_код,Коды_пожарная),"")="да","да","нет")))</f>
        <v>нет</v>
      </c>
      <c r="GB92" t="str">
        <f t="shared" si="212"/>
        <v/>
      </c>
      <c r="GC92" t="str">
        <f t="shared" si="213"/>
        <v>основная</v>
      </c>
      <c r="GD92">
        <f>IF(AND(BP92=1,TRIM(AE92&amp;"")=""),IF(COUNTIFS(Линии[Щит],A92,Линии[Секция (1/2/3)],"&gt;=2")&gt;0,MIN(3,MAX(1,IFERROR(--BD92,1))),1),IFERROR(MIN(3,MAX(1,INT(--AE92))),1))</f>
        <v>1</v>
      </c>
      <c r="GE92" t="str" cm="1">
        <f t="array" ref="GE92">IF(B92="","",_xlfn.LET(_xlpm.t,IFERROR(_xlfn.XLOOKUP(1,(Шины[Шина]=GC92)*(((Шины[Щит]=A92)+(Шины[Щит]=""))&gt;0),Шины[Тип]),"")&amp;"",IF(_xlpm.t&lt;&gt;"",_xlpm.t,IF(ISNUMBER(SEARCH("ИБП",GC92)),"ИБП",IF(ISNUMBER(SEARCH("ДГУ",GC92)),"ДГУ","Ввод "&amp;GD92)))))</f>
        <v>Ввод 1</v>
      </c>
      <c r="GF92" t="str">
        <f t="shared" si="214"/>
        <v>Ввод 1</v>
      </c>
      <c r="GG92" t="str">
        <f>IF(BP92=0,"",IF(TRIM(AG92&amp;"")&lt;&gt;"",TRIM(AG92&amp;""),IF(OR(GE92="ИБП",GE92="ДГУ"),"I особая",_xlfn.XLOOKUP(A92,Щиты[Щит],Щиты[Категория шины «Ввод»],"III"))))</f>
        <v/>
      </c>
      <c r="GH92" t="str">
        <f>IF(A92="","",_xlfn.XLOOKUP(A92,Щиты[Щит],Щиты[Путь],""))</f>
        <v>|ГРЩ-ЖД|ЩОВ-002|</v>
      </c>
      <c r="GI92" t="str">
        <f>IF(B92="","",IF(AI92&lt;&gt;"",AI92,IF(IFERROR(_xlfn.XLOOKUP(BC92,Коды_код,Коды_вид)&amp;"","")="","Прочее",_xlfn.XLOOKUP(BC92,Коды_код,Коды_вид)&amp;"")))</f>
        <v>Вентиляция</v>
      </c>
      <c r="GJ92">
        <f>IF(BM92="","",INT((BM92-1)/Столбцов_на_лист)+1)</f>
        <v>2</v>
      </c>
      <c r="GK92" t="str">
        <f t="shared" si="215"/>
        <v>ВВГнг(А)-LS (3х4) L=33-2,12%</v>
      </c>
      <c r="GL92">
        <f t="shared" si="216"/>
        <v>3</v>
      </c>
      <c r="GM92">
        <f t="shared" si="217"/>
        <v>16.240000000000002</v>
      </c>
      <c r="GN92">
        <f t="shared" si="218"/>
        <v>1</v>
      </c>
      <c r="GO92">
        <f t="shared" si="219"/>
        <v>0</v>
      </c>
      <c r="GP92">
        <f t="shared" si="220"/>
        <v>1</v>
      </c>
      <c r="GQ92">
        <f>IF(BM92="","",IF(AND(CG92=1,GP92=1),COUNTIFS(A$3:A92,A92,CG$3:CG92,1,GP$3:GP92,1),IF(OR(OR(BA92=1,A92&lt;&gt;A91),AJ92="вручную",GP92=0),"",IF(BA92=1,"",GR91))))</f>
        <v>4</v>
      </c>
      <c r="GR92">
        <f t="shared" si="221"/>
        <v>4</v>
      </c>
      <c r="GS92">
        <f>IF(B92="","",IFERROR(LOOKUP(INDEX(CHOOSE(EB92,Iдоп_1ж,Iдоп_2ж,Iдоп_3ж),MATCH(EN92,Iдоп_S,0))*DZ92*EA92,{6,10,16,20,25,32,40,50,63,80,100,125,160,200,250,315,400,500,630}),""))</f>
        <v>32</v>
      </c>
      <c r="GT92" t="str">
        <f t="shared" si="222"/>
        <v>QF4</v>
      </c>
      <c r="GU92" t="str">
        <f t="shared" si="223"/>
        <v>QF4</v>
      </c>
      <c r="GV92" t="str">
        <f t="shared" si="224"/>
        <v/>
      </c>
      <c r="GW92">
        <f t="shared" si="225"/>
        <v>0</v>
      </c>
      <c r="GX92" t="str">
        <f>IF(OR(B92="",DJ92=""),"",IFERROR(_xlfn.XLOOKUP(DJ92,Модули_умолч[Управление],Модули_умолч[Модель])&amp;"",""))</f>
        <v/>
      </c>
      <c r="GY92">
        <f>IF(DJ92="",1,IFERROR(MAX(0,N(_xlfn.XLOOKUP(DJ92,Модули_умолч[Управление],Модули_умолч[Каналов на линию]))),1))</f>
        <v>1</v>
      </c>
      <c r="GZ92" t="str">
        <f t="shared" si="226"/>
        <v/>
      </c>
      <c r="HA92" t="str">
        <f t="shared" si="227"/>
        <v/>
      </c>
      <c r="HB92" t="str">
        <f t="shared" si="228"/>
        <v/>
      </c>
      <c r="HC92">
        <f>IF(HB92="",0,IFERROR(N(VLOOKUP(HB92,Модули_спр,3,FALSE)),0))</f>
        <v>0</v>
      </c>
      <c r="HD92" t="str">
        <f t="shared" si="229"/>
        <v/>
      </c>
      <c r="HE92" t="str">
        <f t="shared" si="230"/>
        <v/>
      </c>
      <c r="HF92" t="str">
        <f>IF(OR(HE92="",HE92="-"),"",IFERROR(VLOOKUP(HE92,Модули_спр,2,FALSE),"R"))</f>
        <v/>
      </c>
      <c r="HG92" t="str">
        <f>IF(HF92="","",HF92&amp;"."&amp;COUNTIFS(A$3:A92,A92,HF$3:HF92,HF92))</f>
        <v/>
      </c>
      <c r="HH92" t="str">
        <f t="shared" si="231"/>
        <v/>
      </c>
      <c r="HI92" t="str">
        <f t="shared" si="232"/>
        <v/>
      </c>
      <c r="HJ92" t="str">
        <f t="shared" si="233"/>
        <v/>
      </c>
      <c r="HK92" t="str">
        <f t="shared" si="234"/>
        <v/>
      </c>
      <c r="HL92">
        <f t="shared" si="235"/>
        <v>1</v>
      </c>
      <c r="HM92" t="str">
        <f>IF(HL92=1,"XT"&amp;COUNTIFS(A$3:A92,A92,HL$3:HL92,1),"")</f>
        <v>XT4</v>
      </c>
      <c r="HN92" t="str">
        <f t="shared" si="236"/>
        <v/>
      </c>
      <c r="HO92" t="str">
        <f t="shared" si="237"/>
        <v>QF4</v>
      </c>
      <c r="HP92" t="str">
        <f t="shared" si="238"/>
        <v/>
      </c>
      <c r="HQ92" t="str">
        <f t="shared" si="239"/>
        <v>ПЕРЕГРУЗ</v>
      </c>
      <c r="HR92" t="str">
        <f>IF(OR(HJ92="",HH92=""),"",IF(HJ92+MAX(0,GY92-1)&gt;IFERROR(VLOOKUP(HI92,Модули_спр,3,FALSE),99),"ЛИШНИЙ КАНАЛ",IF(AND(AL92&lt;&gt;"=",GY92&gt;0,COUNTIFS(Линии[_модуль гр.],HH92,Линии[Канал (итог)],HJ92,Линии[Канал],"&lt;&gt;=",Линии[Щит],A92)&gt;1),"ДУБЛЬ КАНАЛА","")))</f>
        <v/>
      </c>
      <c r="HS92" s="6" t="str">
        <f t="shared" si="240"/>
        <v/>
      </c>
      <c r="HT92">
        <f t="shared" si="241"/>
        <v>10</v>
      </c>
      <c r="HU92" t="str">
        <f t="shared" si="242"/>
        <v/>
      </c>
      <c r="HV92">
        <f t="shared" si="243"/>
        <v>6.8251905283832892</v>
      </c>
      <c r="HW92">
        <f t="shared" si="244"/>
        <v>0</v>
      </c>
      <c r="HX92">
        <f t="shared" si="245"/>
        <v>0</v>
      </c>
      <c r="HY92">
        <f t="shared" si="246"/>
        <v>0</v>
      </c>
      <c r="HZ92">
        <f t="shared" si="247"/>
        <v>0</v>
      </c>
      <c r="IA92">
        <f t="shared" si="248"/>
        <v>0</v>
      </c>
      <c r="IB92">
        <f t="shared" si="249"/>
        <v>0</v>
      </c>
      <c r="IC92" t="str">
        <f t="shared" si="250"/>
        <v/>
      </c>
      <c r="ID92" t="str" cm="1">
        <f t="array" ref="ID92">IF(IC92="","",_xlfn.LET(_xlpm.tk,_xlfn.TEXTSPLIT(SUBSTITUTE(SUBSTITUTE(IC92,";"," "),"→"," ")," ",,TRUE),_xlpm.w_,_xlfn._xlws.FILTER(_xlpm.tk,ISNUMBER(--LEFT(_xlpm.tk,1))*((ISNUMBER(SEARCH("W",_xlpm.tk))+ISNUMBER(SEARCH("Вт",_xlpm.tk)))&gt;0),""),IFERROR(--SUBSTITUTE(SUBSTITUTE(UPPER(INDEX(_xlpm.w_,1)),"W",""),"ВТ",""),"")))</f>
        <v/>
      </c>
      <c r="IE92" t="str" cm="1">
        <f t="array" ref="IE92">IF(IC92="","",_xlfn.LET(_xlpm.tk,_xlfn.TEXTSPLIT(SUBSTITUTE(SUBSTITUTE(IC92,";"," "),"→"," ")," ",,TRUE),_xlpm.v_,_xlfn._xlws.FILTER(_xlpm.tk,ISNUMBER(--LEFT(_xlpm.tk,1))*((ISNUMBER(SEARCH("V",_xlpm.tk))+(RIGHT(UPPER(_xlpm.tk))="В"))&gt;0),""),IFERROR(--SUBSTITUTE(SUBSTITUTE(UPPER(INDEX(_xlpm.v_,1)),"V",""),"В",""),"")))</f>
        <v/>
      </c>
      <c r="IF92" s="6" t="str">
        <f>IF(OR(BV92=0,HI92="",HJ92=""),"",IFERROR(N(_xlfn.XLOOKUP(HI92,Каталог!$C$4:$C$500,Каталог!$Q$4:$Q$500)),""))</f>
        <v/>
      </c>
      <c r="IG92" s="6" t="str">
        <f>IF(N(IF92)=0,"",SUMIFS(Линии[Iр, А],Линии[Щит],A92,Линии[_модуль гр.],HH92,Линии[Канал (итог)],HJ92))</f>
        <v/>
      </c>
      <c r="IH92" t="str">
        <f>IF(AND(B92="",HO92=""),"",_xlfn.TEXTJOIN("; ",TRUE,IF(AND(B92&lt;&gt;"",FV92=""),"нет фазы",""),IF(AND(B92&lt;&gt;"",N(GL92)=0,FG92&lt;&gt;"Нет"),"нет мощности",""),IF(AND(HN92&lt;&gt;"",COUNTIFS(Линии[Щит],A92,Линии[Клемма (итог)],HN92)&gt;1),"дубль клеммы "&amp;HN92,""),IF(AND(HQ92&lt;&gt;"",HQ92&lt;&gt;"ok"),HQ92,""),IF(HR92&lt;&gt;"",HR92,""),IF(AND(N(CB92)&gt;=4,N(BX92)=1),CB92&amp;" жил на 1 фазе",""),IF(AND(BC92="R",CG92=1,IF(CS92&lt;&gt;"",N(CV92)&gt;30,OR(N(DA92)=0,N(DA92)&gt;30))),"розетка без дифзащиты до 30 мА",""),IF(AND(CG92=1,N(DA92)&gt;0,ISNUMBER(T92)),IF(T92&gt;N(DA92)/3,"ток утечки "&amp;FIXED(T92,1)&amp;" мА &gt; 1/3 уставки ("&amp;DA92&amp;" мА)",""),""),IF(AND(CH92=1,CS92=""),"«узо»: нет строки с УЗО выше (УЗО 2P 40А 30мА в «Аппаратах»)",""),IF(AND(CS92&lt;&gt;"",CS92=BA92),IF(CT92="","впишите номинал УЗО (УЗО 2P 40А 30мА)",IF(N(CT92)&lt;N(DT92),"УЗО "&amp;CT92&amp;" А &lt; автомата "&amp;DT92&amp;" А перед ним",IF(N(CT92)&lt;N(CX92),"УЗО "&amp;CT92&amp;" А &lt; тока блока "&amp;FIXED(CX92,1)&amp;" А",""))),""),IF(AND(CS92&lt;&gt;"",CS92=BA92,ISNUMBER(CY92)),IF(CY92&gt;N(CV92)/3,"ток утечки блока УЗО "&amp;FIXED(CY92,1)&amp;" мА &gt; 1/3 уставки ("&amp;CV92&amp;" мА)",""),""),IF(AND(CG92=1,N(BV92)+N(IB92)&gt;0,IC92=""),"линии до 50 В без БП: впишите в «Аппараты» (БП 24V 480W)",""),IF(AND(CG92=1,ISNUMBER(ID92),ISNUMBER(U92)),IF(U92&gt;ID92,"БП "&amp;ID92&amp;" Вт &lt; нужно "&amp;U92&amp;" Вт (×"&amp;Запас_БП&amp;")",""),""),IF(AND(CG92=1,ISNUMBER(IE92),N(BV92)=1),IF(IE92&lt;&gt;N(BU92),"БП на "&amp;IE92&amp;" В, линия "&amp;BU92&amp;" В",""),""),IF(AND(N(IF92)&gt;0,N(IG92)&gt;N(IF92)),HH92&amp;" канал "&amp;HJ92&amp;": "&amp;FIXED(IG92,1)&amp;" А &gt; "&amp;IF92&amp;" А",""),IFERROR(IF(AND(ISNUMBER(Q92),Q92&gt;EL92),"потери "&amp;FIXED(Q92,1)&amp;" % &gt; "&amp;EL92&amp;" %",""),""),IFERROR(IF(LEFT(HU92,4)="мало","Iкз мало — отключение &gt; 0,4 с",""),""),IF(AND(B92&lt;&gt;"",BM92=""),"не на схеме",""),IF(AND(CG92=0,B92&lt;&gt;"",FV92&lt;&gt;"",IF(BA92=1,"",FW91)&lt;&gt;"",FV92&lt;&gt;IF(BA92=1,"",FW91)),"фаза не как у автомата группы ("&amp;IF(BA92=1,"",FW91)&amp;")","")))</f>
        <v>ПЕРЕГРУЗ</v>
      </c>
      <c r="II92" s="6">
        <f>IF(OR(CG92=0,DQ92=""),"",_xlfn.LET(_xlpm.t,IFERROR(_xlfn.XLOOKUP(DQ92,Каталог!$U$4:$U$500,Каталог!$G$4:$G$500),""),_xlpm.k,SEARCH("кА",_xlpm.t),IFERROR(--TRIM(RIGHT(SUBSTITUTE(MID(_xlpm.t,MAX(1,_xlpm.k-4),_xlpm.k-MAX(1,_xlpm.k-4))," ",REPT(" ",9)),5)),"")))</f>
        <v>6</v>
      </c>
      <c r="IJ92" t="str">
        <f>IF(OR(II92="",CG92=0),"",IF(_xlfn.XLOOKUP(A92,Щиты[Щит],Щиты[Iкз max на шинах, кА],"")="","",IF(II92&lt;_xlfn.XLOOKUP(A92,Щиты[Щит],Щиты[Iкз max на шинах, кА]),"Icu "&amp;II92&amp;" кА &lt; Iкз max","ok")))</f>
        <v/>
      </c>
      <c r="IK92" t="str">
        <f t="shared" si="251"/>
        <v/>
      </c>
      <c r="IL92" t="str">
        <f t="shared" si="252"/>
        <v>QF4</v>
      </c>
      <c r="IM92" t="str">
        <f t="shared" si="253"/>
        <v>QF4|кабель ВВГнг(А)-LS (3х4) → Приточно-вытяжная установка Подвальный этаж Пом. №005Т</v>
      </c>
      <c r="IN92" t="str" cm="1">
        <f t="array" ref="IN92">IF(IM92="","",_xlfn.LET(_xlpm.nd,_xlfn.TEXTSPLIT(IM92,"|"),IF(COLUMNS(_xlpm.nd)&gt;1,A92&amp;"¦"&amp;INDEX(_xlpm.nd,1)&amp;"¦"&amp;INDEX(_xlpm.nd,2),"")))</f>
        <v>ЩОВ-002¦QF4¦кабель ВВГнг(А)-LS (3х4) → Приточно-вытяжная установка Подвальный этаж Пом. №005Т</v>
      </c>
      <c r="IO92" t="str">
        <f t="shared" si="254"/>
        <v>ПВ.10¦Приточно-вытяжная установка Подвальный этаж Пом. №005Т</v>
      </c>
      <c r="IP92" t="str" cm="1">
        <f t="array" ref="IP92">IF(IM92="","",_xlfn.LET(_xlpm.nd,_xlfn.TEXTSPLIT(IM92,"|"),IF(COLUMNS(_xlpm.nd)&gt;2,A92&amp;"¦"&amp;INDEX(_xlpm.nd,2)&amp;"¦"&amp;INDEX(_xlpm.nd,3),"")))</f>
        <v/>
      </c>
      <c r="IQ92" t="str">
        <f t="shared" si="255"/>
        <v/>
      </c>
      <c r="IR92" t="str" cm="1">
        <f t="array" ref="IR92">IF(IM92="","",_xlfn.LET(_xlpm.nd,_xlfn.TEXTSPLIT(IM92,"|"),IF(COLUMNS(_xlpm.nd)&gt;3,A92&amp;"¦"&amp;INDEX(_xlpm.nd,3)&amp;"¦"&amp;INDEX(_xlpm.nd,4),"")))</f>
        <v/>
      </c>
      <c r="IS92" t="str">
        <f t="shared" si="256"/>
        <v/>
      </c>
      <c r="IT92" t="str" cm="1">
        <f t="array" ref="IT92">IF(IM92="","",_xlfn.LET(_xlpm.nd,_xlfn.TEXTSPLIT(IM92,"|"),IF(COLUMNS(_xlpm.nd)&gt;4,A92&amp;"¦"&amp;INDEX(_xlpm.nd,4)&amp;"¦"&amp;INDEX(_xlpm.nd,5),"")))</f>
        <v/>
      </c>
      <c r="IU92" t="str">
        <f t="shared" si="257"/>
        <v/>
      </c>
      <c r="IV92" t="str" cm="1">
        <f t="array" ref="IV92">IF(IM92="","",_xlfn.LET(_xlpm.nd,_xlfn.TEXTSPLIT(IM92,"|"),IF(COLUMNS(_xlpm.nd)&gt;5,A92&amp;"¦"&amp;INDEX(_xlpm.nd,5)&amp;"¦"&amp;INDEX(_xlpm.nd,6),"")))</f>
        <v/>
      </c>
      <c r="IW92" t="str">
        <f t="shared" si="258"/>
        <v/>
      </c>
      <c r="IX92" t="str" cm="1">
        <f t="array" ref="IX92">IF(IM92="","",_xlfn.LET(_xlpm.nd,_xlfn.TEXTSPLIT(IM92,"|"),IF(COLUMNS(_xlpm.nd)&gt;6,A92&amp;"¦"&amp;INDEX(_xlpm.nd,6)&amp;"¦"&amp;INDEX(_xlpm.nd,7),"")))</f>
        <v/>
      </c>
      <c r="IY92" t="str">
        <f t="shared" si="259"/>
        <v/>
      </c>
      <c r="IZ92" t="str">
        <f t="shared" si="260"/>
        <v/>
      </c>
      <c r="JA92" t="str">
        <f t="shared" si="261"/>
        <v>QF4</v>
      </c>
      <c r="JB92">
        <f t="shared" si="262"/>
        <v>0</v>
      </c>
      <c r="JC92">
        <f t="shared" si="263"/>
        <v>0</v>
      </c>
      <c r="JD92" t="str">
        <f t="shared" si="264"/>
        <v/>
      </c>
      <c r="JE92" t="str">
        <f t="shared" si="265"/>
        <v/>
      </c>
      <c r="JF92" t="str">
        <f t="shared" si="266"/>
        <v/>
      </c>
      <c r="JG92" t="str">
        <f t="shared" si="267"/>
        <v/>
      </c>
      <c r="JH92" t="str">
        <f>IF(B92="","",IFERROR(_xlfn.XLOOKUP(B92,Коды_код,Коды_уго),IFERROR(_xlfn.XLOOKUP(BC92,Коды_код,Коды_уго),IFERROR(_xlfn.XLOOKUP(LEFT(BC92,2),Коды_код,Коды_уго),""))))</f>
        <v>Привод (двигатель)</v>
      </c>
      <c r="JI92" t="str">
        <f>IF(B92="","",IF(OR(JH92="",JH92=0),"BOX",IFERROR(IF(VLOOKUP(JH92,УГО_блоки,3,FALSE)&amp;""&lt;&gt;"",VLOOKUP(JH92,УГО_блоки,3,FALSE),VLOOKUP(JH92,УГО_блоки,2,FALSE)),JH92)))</f>
        <v>MOTOR</v>
      </c>
      <c r="JJ92">
        <f t="shared" si="268"/>
        <v>1</v>
      </c>
      <c r="JK92" t="str">
        <f>IF(DQ92="","",IF(COUNTIF(DQ$3:DQ92,DQ92)=1,MAX(JK$2:JK91)+1,""))</f>
        <v/>
      </c>
      <c r="JL92" t="str">
        <f>IF(DE92="","",IF(COUNTIF(DE$3:DE92,DE92)+COUNTIF(DF$2:DF91,DE92)+COUNTIF(DG$2:DG91,DE92)=1,MAX(JL$2:JN91)+1,""))</f>
        <v/>
      </c>
      <c r="JM92" t="str">
        <f>IF(DF92="","",IF(COUNTIF(DE$3:DE92,DF92)+COUNTIF(DF$3:DF92,DF92)+COUNTIF(DG$2:DG91,DF92)=1,MAX(JL$2:JN91,JL92)+1,""))</f>
        <v/>
      </c>
      <c r="JN92" t="str">
        <f>IF(DG92="","",IF(COUNTIF(DE$3:DE92,DG92)+COUNTIF(DF$3:DF92,DG92)+COUNTIF(DG$3:DG92,DG92)=1,MAX(JL$2:JN91,JL92,JM92)+1,""))</f>
        <v/>
      </c>
      <c r="JO92" t="str">
        <f t="shared" si="269"/>
        <v>3х4</v>
      </c>
      <c r="JP92" t="str">
        <f>IF(JO92="","",IF(COUNTIF(JO$3:JO92,JO92)=1,MAX(JP$2:JP91)+1,""))</f>
        <v/>
      </c>
      <c r="JQ92" t="str">
        <f>IF(HG92="","",COUNTIF(HG$3:HG92,"?*"))</f>
        <v/>
      </c>
      <c r="JR92" t="str">
        <f>IF(OR(HG92="",HI92=""),"",IF(COUNTIFS(HG$3:HG92,"?*",HI$3:HI92,HI92)=1,MAX(JR$2:JR91)+1,""))</f>
        <v/>
      </c>
      <c r="JS92">
        <f t="shared" si="270"/>
        <v>2</v>
      </c>
      <c r="JT92">
        <f>IF(B92="","",COUNTIF(B$3:B92,"?*"))</f>
        <v>90</v>
      </c>
      <c r="JU92">
        <f>IF(HL92&lt;&gt;1,0,_xlfn.LET(_xlpm.k,MAX(IFERROR(--_xlfn.XLOOKUP(B92,Коды_код,Коды_3L),0),IFERROR(--_xlfn.XLOOKUP(BC92,Коды_код,Коды_3L),0),IFERROR(--_xlfn.XLOOKUP(LEFT(BC92,2),Коды_код,Коды_3L),0)),IF(_xlpm.k&gt;0,_xlpm.k,IF(IFERROR(--LEFT(SUBSTITUTE(JO92,"x","х"),FIND("х",SUBSTITUTE(JO92,"x","х"))-1),3)&gt;3,Каталог!$S$9,1))))</f>
        <v>1</v>
      </c>
      <c r="JV92">
        <f t="shared" si="271"/>
        <v>0</v>
      </c>
      <c r="JW92" t="str">
        <f t="shared" si="272"/>
        <v>авто</v>
      </c>
      <c r="JX92" t="str">
        <f t="shared" si="273"/>
        <v/>
      </c>
      <c r="JY92">
        <f t="shared" si="274"/>
        <v>0</v>
      </c>
      <c r="JZ92">
        <f t="shared" si="275"/>
        <v>1</v>
      </c>
    </row>
    <row r="93" spans="1:286" x14ac:dyDescent="0.3">
      <c r="A93" t="s">
        <v>749</v>
      </c>
      <c r="B93" t="s">
        <v>1405</v>
      </c>
      <c r="C93" t="s">
        <v>1664</v>
      </c>
      <c r="D93">
        <v>1</v>
      </c>
      <c r="E93">
        <v>0.151</v>
      </c>
      <c r="G93">
        <v>10</v>
      </c>
      <c r="H93" t="str">
        <f>Линии[[#This Row],[_авто управление]]</f>
        <v/>
      </c>
      <c r="I93" t="str">
        <f>Линии[[#This Row],[_авто аппараты]]</f>
        <v/>
      </c>
      <c r="J93">
        <v>1.5</v>
      </c>
      <c r="K93">
        <v>20</v>
      </c>
      <c r="L93">
        <v>1</v>
      </c>
      <c r="M93" t="s">
        <v>484</v>
      </c>
      <c r="N93" t="str">
        <f t="shared" si="138"/>
        <v/>
      </c>
      <c r="O93" s="6" cm="1">
        <f t="array" ref="O93">IF(B93="","",IF(BH93&lt;&gt;"",IFERROR(_xlfn.XLOOKUP(BH93,Щиты[Щит],Щиты[Iр, А]),""),IF(BP93=1,IF(OR(N(_xlfn.XLOOKUP(A93,Щиты[Щит],Щиты[Вводов],1))&lt;=1,LOWER(TRIM(_xlfn.XLOOKUP(A93,Щиты[Щит],Щиты[АВР],"")&amp;""))="да"),IFERROR(_xlfn.XLOOKUP(A93,Щиты[Щит],Щиты[Iр, А]),""),IFERROR(N(BS93)*_xlfn.XLOOKUP(A93,Щиты[Щит],Щиты[Кс итог])/(SQRT(3)*Uн_лин*_xlfn.XLOOKUP(A93,Щиты[Щит],Щиты[cos φ])),"")),IF(BV93=1,IFERROR(BS93*1000/BU93,""),IFERROR(_xlfn.IFS(BX93=1,BS93/((Uн_лин/SQRT(3))*CE93),BX93=3,BS93/(SQRT(3)*Uн_лин*CE93)),"")))))</f>
        <v>0.81731147482156374</v>
      </c>
      <c r="P93" s="7">
        <f>IF(B93="","",IFERROR(IF(VLOOKUP(BC93,Потребители_обозначение,4,FALSE)=1,VLOOKUP(BC93,Потребители_обозначение,3,FALSE)*(MAX(1,N(D93))*2-1)+EI93+VLOOKUP(BE93,Этаж_обозначение,3,FALSE)+VLOOKUP(BE93,Этаж_обозначение,4,FALSE),VLOOKUP(BC93,Потребители_обозначение,3,FALSE)*(MAX(1,N(D93))*2-1)+EI93),EI93))</f>
        <v>22</v>
      </c>
      <c r="Q93" s="6">
        <f t="shared" si="139"/>
        <v>0.92999999999999994</v>
      </c>
      <c r="R93" t="str">
        <f t="shared" si="140"/>
        <v>ВВГнг(А)-LS (3х1,5)</v>
      </c>
      <c r="S93" t="str">
        <f>IF(BM93="","",IF(BN93="вводной узел","узел ","")&amp;"л."&amp;(INT((BM93-1)/Столбцов_на_лист)+1)&amp;" / "&amp;(MOD(BM93-1,Столбцов_на_лист)+1))</f>
        <v>л.2 / 6</v>
      </c>
      <c r="T93" s="119">
        <f t="shared" si="141"/>
        <v>0.5</v>
      </c>
      <c r="U93" s="7" t="str">
        <f>IF(OR(CG93=0,N(BV93)+N(IB93)=0),"",ROUNDUP(Запас_БП*(N(HY93)+N(HZ93)),0))</f>
        <v/>
      </c>
      <c r="V93" s="119" t="str">
        <f t="shared" si="142"/>
        <v/>
      </c>
      <c r="W93" s="7" t="str">
        <f>IFERROR(IF(OR(B93="",BP93=1,BV93=1,NOT(ISNUMBER(EN93)),N(DT93)=0),"",MAX(0,ROUNDDOWN((c_min*(Uн_лин*1000/SQRT(3))/(HT93*N(DT93))-_xlfn.XLOOKUP(A93,Щиты[Щит],Щиты[Zпетли на шинах, Ом]))*EN93/(2*ρкз_Cu),0))),"")</f>
        <v/>
      </c>
      <c r="Y93" t="str">
        <f>Линии[[#This Row],[_авто утечка]]</f>
        <v/>
      </c>
      <c r="Z93">
        <v>1</v>
      </c>
      <c r="AA93">
        <v>230</v>
      </c>
      <c r="AB93" t="s">
        <v>598</v>
      </c>
      <c r="AC93">
        <v>0.5</v>
      </c>
      <c r="AG93" t="s">
        <v>810</v>
      </c>
      <c r="AI93" t="s">
        <v>576</v>
      </c>
      <c r="AK93" t="str">
        <f>Линии[[#This Row],[_авто модуль]]</f>
        <v/>
      </c>
      <c r="AM93">
        <v>23</v>
      </c>
      <c r="AN93" t="s">
        <v>11</v>
      </c>
      <c r="AO93">
        <v>3</v>
      </c>
      <c r="AQ93">
        <v>11</v>
      </c>
      <c r="AR93">
        <v>11</v>
      </c>
      <c r="AT93">
        <v>1</v>
      </c>
      <c r="BA93" cm="1">
        <f t="array" ref="BA93">ROW()-ROW(Линии[#Headers])</f>
        <v>91</v>
      </c>
      <c r="BC93" s="6" t="str">
        <f t="shared" si="143"/>
        <v>K</v>
      </c>
      <c r="BD93" t="str">
        <f t="shared" si="144"/>
        <v>0.002A</v>
      </c>
      <c r="BE93" t="str">
        <f t="shared" si="145"/>
        <v>0</v>
      </c>
      <c r="BF93" t="str">
        <f t="shared" si="146"/>
        <v>002A</v>
      </c>
      <c r="BG93" t="str">
        <f t="shared" si="147"/>
        <v>002A</v>
      </c>
      <c r="BH93" t="str">
        <f>IF(X93&lt;&gt;"",X93,IF(AND(B93&lt;&gt;"",B93&lt;&gt;A93,ISNUMBER(_xlfn.XMATCH(B93,Щиты[Щит]))),B93,""))</f>
        <v/>
      </c>
      <c r="BI93" t="str" cm="1">
        <f t="array" ref="BI93">IF(B93="","",IF(BH93&lt;&gt;"","Щит "&amp;BH93,_xlfn.LET(_xlpm.nm,IFERROR(_xlfn.XLOOKUP(BC93,Коды_код,Коды_имя)&amp;"",""),_xlpm.md,IFERROR(N(_xlfn.XLOOKUP(BC93,Коды_код,Коды_режим)),1),_xlpm.ex,IF(Имя_режим="по экспликации",IFERROR(_xlfn.XLOOKUP(BE93&amp;"|"&amp;BG93,Экспликация[Этаж]&amp;"|"&amp;Экспликация[Помещение],Экспликация[Название])&amp;"",""),""),_xlpm.rm,IF(BG93="","",IF(_xlpm.ex&lt;&gt;"",". "&amp;_xlpm.ex&amp;IF(Имя_пом="нет"," ("&amp;BG93&amp;")"," (пом. "&amp;BG93&amp;")"),IF(Имя_пом="нет"," ",", пом. ")&amp;BG93)),IF(_xlpm.nm="","",IF(_xlpm.md=2,_xlpm.nm&amp;" шлейф "&amp;BE93,_xlpm.nm&amp;_xlpm.rm)))))</f>
        <v>Внутренний блок кондиционирования, пом. 002A</v>
      </c>
      <c r="BJ93" t="str">
        <f t="shared" si="148"/>
        <v>Внутренний блок кондиционирования Подвальный этаж Пом. №005Т</v>
      </c>
      <c r="BK93">
        <f>IFERROR(_xlfn.XMATCH(A93,Щиты[Щит]),0)</f>
        <v>5</v>
      </c>
      <c r="BL93">
        <f>_xlfn.LET(_xlpm.k,IFERROR(_xlfn.XLOOKUP(A93,Щиты[Щит],Щиты[Мест под вводной узел]),""),IF(_xlpm.k="",Столбцов_на_лист,N(_xlpm.k)))</f>
        <v>18</v>
      </c>
      <c r="BM93">
        <f t="shared" si="149"/>
        <v>23</v>
      </c>
      <c r="BN93" t="str">
        <f t="shared" si="150"/>
        <v>линии</v>
      </c>
      <c r="BO93" s="6">
        <f>IFERROR(N(_xlfn.XLOOKUP(BC93,Коды_код,Коды_квт)),0)</f>
        <v>0</v>
      </c>
      <c r="BP93">
        <f t="shared" si="151"/>
        <v>0</v>
      </c>
      <c r="BQ93" t="str">
        <f>IF(B93="","",IF(BH93&lt;&gt;"",IFERROR(_xlfn.XLOOKUP(BH93,Щиты[Щит],Щиты[Руст, кВт]),0),IF(BP93=1,IF(OR(N(_xlfn.XLOOKUP(A93,Щиты[Щит],Щиты[Вводов],1))&lt;=1,LOWER(TRIM(_xlfn.XLOOKUP(A93,Щиты[Щит],Щиты[АВР],"")&amp;""))="да"),IFERROR(_xlfn.XLOOKUP(A93,Щиты[Щит],Щиты[Руст, кВт]),0),SUMIFS(Линии[_Р для вводов],Линии[Щит],A93,Линии[Источник для режимов],GF93)),IF(BO93&gt;0,ROUND(BO93*MAX(1,N(D93)),3),""))))</f>
        <v/>
      </c>
      <c r="BR93">
        <f t="shared" si="152"/>
        <v>0.151</v>
      </c>
      <c r="BS93" s="6">
        <f>IF(B93="","",IF(BH93&lt;&gt;"",IFERROR(_xlfn.XLOOKUP(BH93,Щиты[Щит],Щиты[Руст, кВт]),0),N(BR93)))</f>
        <v>0.151</v>
      </c>
      <c r="BT93" t="str">
        <f>IF(B93="","",IFERROR(IF(VLOOKUP(BC93,Потребители_обозначение,8,FALSE)=0,"",VLOOKUP(BC93,Потребители_обозначение,8,FALSE)),""))</f>
        <v/>
      </c>
      <c r="BU93">
        <f t="shared" si="153"/>
        <v>230</v>
      </c>
      <c r="BV93">
        <f t="shared" si="154"/>
        <v>0</v>
      </c>
      <c r="BW93">
        <f>IF(B93="","",IF(BH93&lt;&gt;"",3,IFERROR(IF(N(VLOOKUP(BC93,Потребители_обозначение,9,FALSE))=0,1,VLOOKUP(BC93,Потребители_обозначение,9,FALSE)),1)))</f>
        <v>1</v>
      </c>
      <c r="BX93">
        <f t="shared" si="155"/>
        <v>1</v>
      </c>
      <c r="BY93" t="str">
        <f>IF(B93="","",_xlfn.LET(_xlpm.bc,IFERROR(IF(VLOOKUP(BC93,Потребители_обозначение,6,FALSE)=0,"",VLOOKUP(BC93,Потребители_обозначение,6,FALSE)&amp;""),""),IF(AND(GA93="да",OR(_xlpm.bc="",_xlpm.bc="мс")),Марка_пож,IF(AND(_xlpm.bc="",BH93&lt;&gt;""),"мс",_xlpm.bc))))</f>
        <v/>
      </c>
      <c r="BZ93" t="str">
        <f t="shared" si="156"/>
        <v>мс</v>
      </c>
      <c r="CA93">
        <f>IF(B93="","",_xlfn.LET(_xlpm.cc,IFERROR(N(VLOOKUP(BC93,Потребители_обозначение,7,FALSE)),0),IF(_xlpm.cc&gt;0,_xlpm.cc,IF(BZ93="","",IF(BV93=1,2,IF(N(BX93)=3,5,3))))))</f>
        <v>3</v>
      </c>
      <c r="CB93">
        <f t="shared" si="157"/>
        <v>3</v>
      </c>
      <c r="CC93">
        <f>IFERROR(N(VLOOKUP(BC93,Потребители_обозначение,10,FALSE)),0)</f>
        <v>0</v>
      </c>
      <c r="CD93">
        <f>IFERROR(VLOOKUP(BC93,Потребители_обозначение,5,FALSE),0)</f>
        <v>1</v>
      </c>
      <c r="CE93" s="6" cm="1">
        <f t="array" ref="CE93">IF(B93="","",IF(BH93&lt;&gt;"",IFERROR(_xlfn.XLOOKUP(BH93,Щиты[Щит],Щиты[cos φ]),0.95),IF(BP93=1,IFERROR(_xlfn.XLOOKUP(A93,Щиты[Щит],Щиты[cos φ]),0.95),IF(ISNUMBER(AD93),AD93,IFERROR(IF(CD93=2,_xlfn.IFS(BX93=3,VLOOKUP(BS93,Справочная_двигатели,8,FALSE),BX93=1,VLOOKUP(BS93,Справочная_двигатели,10,TRUE)),IF(AND(Методика="нормы 2026",FG93="Сил"),0.8,0.95)),0.95)))))</f>
        <v>0.8</v>
      </c>
      <c r="CF93">
        <f t="shared" si="158"/>
        <v>0</v>
      </c>
      <c r="CG93">
        <f t="shared" si="159"/>
        <v>1</v>
      </c>
      <c r="CH93">
        <f t="shared" si="160"/>
        <v>0</v>
      </c>
      <c r="CI93">
        <f>IF(B93="","",IF(BV93=1,IFERROR(BS93/((Uн_лин/SQRT(3))*MAX(0.5,N(CE93))),0),N(O93)))</f>
        <v>0.81731147482156374</v>
      </c>
      <c r="CJ93">
        <f t="shared" si="161"/>
        <v>0</v>
      </c>
      <c r="CK93">
        <f t="shared" si="162"/>
        <v>0</v>
      </c>
      <c r="CL93">
        <f t="shared" si="163"/>
        <v>0</v>
      </c>
      <c r="CM93">
        <f t="shared" si="164"/>
        <v>0</v>
      </c>
      <c r="CN93">
        <f t="shared" si="165"/>
        <v>0</v>
      </c>
      <c r="CO93">
        <f>IF(BC93="",0,_xlfn.LET(_xlpm.v,IFERROR(_xlfn.XLOOKUP(B93,Коды_код,Коды_мА),IFERROR(_xlfn.XLOOKUP(BC93,Коды_код,Коды_мА),IFERROR(_xlfn.XLOOKUP(LEFT(BC93,2),Коды_код,Коды_мА),""))),IF(_xlpm.v="да",30,IF(ISNUMBER(_xlpm.v),_xlpm.v,0))))</f>
        <v>0</v>
      </c>
      <c r="CP93" t="str">
        <f t="shared" si="166"/>
        <v/>
      </c>
      <c r="CQ93" t="str">
        <f>_xlfn.LET(_xlpm.k,IFERROR(_xlfn.XLOOKUP(BC93,Коды_код,Коды_утечка)&amp;"",""),IF(_xlpm.k="","дифавтомат",_xlpm.k))</f>
        <v>дифавтомат</v>
      </c>
      <c r="CR93" t="str" cm="1">
        <f t="array" ref="CR93">IF(CG93=0,"",_xlfn.LET(_xlpm.sg,TRIM(_xlfn.TEXTSPLIT(DD93&amp;"",";")),_xlpm.f_,_xlfn._xlws.FILTER(_xlpm.sg,LEFT(_xlpm.sg,3)="УЗО",""),IFERROR(INDEX(_xlpm.f_,1)&amp;"","")))</f>
        <v/>
      </c>
      <c r="CS93" t="str">
        <f t="shared" si="167"/>
        <v/>
      </c>
      <c r="CT93" s="6" t="str" cm="1">
        <f t="array" ref="CT93">IF(CR93="","",_xlfn.LET(_xlpm.tk,_xlfn.TEXTSPLIT(UPPER(CR93)," ",,TRUE),_xlpm.a_,_xlfn._xlws.FILTER(_xlpm.tk,ISNUMBER(--LEFT(_xlpm.tk,1))*((ISNUMBER(SEARCH("А",_xlpm.tk))+ISNUMBER(SEARCH("A",_xlpm.tk)))&gt;0)*NOT(ISNUMBER(SEARCH("МА",_xlpm.tk)))*NOT(ISNUMBER(SEARCH("MA",_xlpm.tk))),""),IFERROR(--SUBSTITUTE(SUBSTITUTE(INDEX(_xlpm.a_,1),"А",""),"A",""),"")))</f>
        <v/>
      </c>
      <c r="CU93" t="str" cm="1">
        <f t="array" ref="CU93">IF(CR93="","",_xlfn.LET(_xlpm.tk,_xlfn.TEXTSPLIT(UPPER(CR93)," ",,TRUE),_xlpm.a_,_xlfn._xlws.FILTER(_xlpm.tk,ISNUMBER(--LEFT(_xlpm.tk,1))*((ISNUMBER(SEARCH("МА",_xlpm.tk))+ISNUMBER(SEARCH("MA",_xlpm.tk)))&gt;0),""),IFERROR(--SUBSTITUTE(SUBSTITUTE(INDEX(_xlpm.a_,1),"МА",""),"MA",""),30)))</f>
        <v/>
      </c>
      <c r="CV93" t="str">
        <f>IF(CS93="","",IFERROR(_xlfn.XLOOKUP(CS93,Линии[_n],Линии[_УЗО, мА]),30))</f>
        <v/>
      </c>
      <c r="CW93">
        <f>IF(CS93="",0,IF(ISNUMBER(SEARCH("4P",IFERROR(_xlfn.XLOOKUP(CS93,Линии[_n],Линии[_УЗО строки])&amp;"",""))),0,1))</f>
        <v>0</v>
      </c>
      <c r="CX93" t="str">
        <f>IF(AND(CS93&lt;&gt;"",CS93=BA93),SUMIFS(Линии[_ток на 230 В],Линии[_блок УЗО],BA93,Линии[Щит],A93),"")</f>
        <v/>
      </c>
      <c r="CY93" t="str">
        <f>IF(AND(CS93&lt;&gt;"",CS93=BA93),SUMIFS(Линии[_ток утечки линии, мА],Линии[_блок УЗО],BA93,Линии[Щит],A93),"")</f>
        <v/>
      </c>
      <c r="CZ93">
        <f t="shared" si="168"/>
        <v>0</v>
      </c>
      <c r="DA93">
        <f t="shared" si="169"/>
        <v>0</v>
      </c>
      <c r="DB93">
        <f>IF(B93="",0,IFERROR(--_xlfn.XLOOKUP(B93,Коды_код,Коды_минавт),IFERROR(--_xlfn.XLOOKUP(BC93,Коды_код,Коды_минавт),IFERROR(--_xlfn.XLOOKUP(LEFT(BC93,2),Коды_код,Коды_минавт),0))))</f>
        <v>0</v>
      </c>
      <c r="DC93" t="str">
        <f>IF(B93="","",IFERROR(_xlfn.XLOOKUP(BC93,Коды_код,Коды_апп)&amp;"",""))</f>
        <v/>
      </c>
      <c r="DD93" t="str">
        <f t="shared" si="170"/>
        <v/>
      </c>
      <c r="DE93" t="str" cm="1">
        <f t="array" ref="DE93">IF(TRIM(DD93&amp;"")="","",IFERROR(TRIM(INDEX(_xlfn.TEXTSPLIT(DD93&amp;";;;",";"),1)),""))</f>
        <v/>
      </c>
      <c r="DF93" t="str" cm="1">
        <f t="array" ref="DF93">IF(TRIM(DD93&amp;"")="","",IFERROR(TRIM(INDEX(_xlfn.TEXTSPLIT(DD93&amp;";;;",";"),2)),""))</f>
        <v/>
      </c>
      <c r="DG93" t="str" cm="1">
        <f t="array" ref="DG93">IF(TRIM(DD93&amp;"")="","",IFERROR(TRIM(INDEX(_xlfn.TEXTSPLIT(DD93&amp;";;;",";"),3)),""))</f>
        <v/>
      </c>
      <c r="DH93">
        <f t="shared" si="171"/>
        <v>0</v>
      </c>
      <c r="DI93" t="str">
        <f>IF(B93="","",_xlfn.LET(_xlpm.t,LOWER(AZ93&amp;""),IF(ISNUMBER(SEARCH("dim",_xlpm.t)),"DIM",IF(ISNUMBER(SEARCH("dali",_xlpm.t)),"DALI",IF(OR(ISNUMBER(SEARCH("relay",_xlpm.t)),ISNUMBER(SEARCH("реле",_xlpm.t))),"Relay",IF(ISNUMBER(SEARCH("кнопк",_xlpm.t)),"",IFERROR(_xlfn.XLOOKUP(BC93,Коды_код,Коды_упр)&amp;"","")))))))</f>
        <v/>
      </c>
      <c r="DJ93" t="str">
        <f t="shared" si="172"/>
        <v/>
      </c>
      <c r="DK93">
        <f>IF(B93="","",_xlfn.LET(_xlpm.ig,IF(N(CX93)&gt;0,N(CX93),N(CI93)+IF(AJ93="вручную",0,N(CJ93))),_xlpm.n0,IFERROR(VLOOKUP(_xlpm.ig,Автомат_номиналы,2,TRUE),0),_xlpm.mn,MAX(DB93,IF(AJ93="вручную",0,N(CM93))),MAX(_xlpm.n0,_xlpm.mn,IF(DH93=1,Мин_автомат_БП,0))))</f>
        <v>6</v>
      </c>
      <c r="DL93">
        <f t="shared" si="173"/>
        <v>1</v>
      </c>
      <c r="DM93" t="str">
        <f t="shared" si="174"/>
        <v>1P</v>
      </c>
      <c r="DN93" t="str">
        <f>_xlfn.LET(_xlpm.cc,UPPER(TRIM(IFERROR(_xlfn.XLOOKUP(BC93,Коды_код,Коды_хар)&amp;"",""))),IF(OR(_xlpm.cc="B",_xlpm.cc="В"),"B",IF(_xlpm.cc="D","D","С")))</f>
        <v>С</v>
      </c>
      <c r="DO93" t="str">
        <f t="shared" si="175"/>
        <v>1P С6А</v>
      </c>
      <c r="DP93">
        <f t="shared" si="176"/>
        <v>10</v>
      </c>
      <c r="DQ93" t="str">
        <f t="shared" si="177"/>
        <v>1P С10А</v>
      </c>
      <c r="DR93" cm="1">
        <f t="array" ref="DR93">IF(DQ93="","",_xlfn.LET(_xlpm.t,SUBSTITUTE(SUBSTITUTE(SUBSTITUTE(UPPER(DQ93),"С","C"),"А","A"),"В","B"),_xlpm.tk,_xlfn.TEXTSPLIT(_xlpm.t," "),_xlpm.f,_xlfn._xlws.FILTER(_xlpm.tk,ISNUMBER(--MID(_xlpm.tk,2,1))*ISNUMBER(SEARCH(LEFT(_xlpm.tk,1)&amp;"#","B#C#D#"))*(LEN(_xlpm.tk)&gt;1),""),_xlpm.x,INDEX(_xlpm.f,1),IFERROR(--SUBSTITUTE(MID(_xlpm.x,2,9),"A",""),IFERROR(--SUBSTITUTE(INDEX(_xlfn._xlws.FILTER(_xlpm.tk,ISNUMBER(--SUBSTITUTE(_xlpm.tk,"A","")),""),1),"A",""),""))))</f>
        <v>10</v>
      </c>
      <c r="DS93" t="str">
        <f t="shared" si="178"/>
        <v>ok</v>
      </c>
      <c r="DT93">
        <f t="shared" si="179"/>
        <v>10</v>
      </c>
      <c r="DU93" t="str">
        <f t="shared" si="180"/>
        <v>1P С10А</v>
      </c>
      <c r="DV93">
        <f t="shared" si="181"/>
        <v>0</v>
      </c>
      <c r="DW93">
        <f t="shared" si="182"/>
        <v>0</v>
      </c>
      <c r="DX93">
        <f t="shared" si="183"/>
        <v>0</v>
      </c>
      <c r="DY93">
        <f t="shared" si="184"/>
        <v>0.81731147482156374</v>
      </c>
      <c r="DZ93">
        <f t="shared" si="185"/>
        <v>1</v>
      </c>
      <c r="EA93">
        <f>IF(ISNUMBER(AP93),AP93,К_прокл)</f>
        <v>1</v>
      </c>
      <c r="EB93">
        <f t="shared" si="186"/>
        <v>2</v>
      </c>
      <c r="EC93">
        <f>IFERROR(N(VLOOKUP(BZ93,Кабель_обозначение,3,FALSE)),1)</f>
        <v>1</v>
      </c>
      <c r="ED93">
        <f>IFERROR(N(_xlfn.XLOOKUP(A93,Щиты[Щит],Щиты[ΔU до шин, %])),0)</f>
        <v>0.74</v>
      </c>
      <c r="EE93" t="str">
        <f>IFERROR(_xlfn.XLOOKUP(A93,Щиты[Щит],Щиты[Zпетли на шинах, Ом]),"")</f>
        <v/>
      </c>
      <c r="EF93">
        <f>IFERROR(N(_xlfn.XLOOKUP(A93,Щиты[Щит],Щиты[ΔU до шин (подбор), %])),0)</f>
        <v>1.96</v>
      </c>
      <c r="EG93" t="str">
        <f>IFERROR(_xlfn.XLOOKUP(A93,Щиты[Щит],Щиты[Zпетли на шинах (подбор), Ом]),"")</f>
        <v/>
      </c>
      <c r="EH93" t="str">
        <f t="shared" si="187"/>
        <v/>
      </c>
      <c r="EI93">
        <f t="shared" si="188"/>
        <v>20</v>
      </c>
      <c r="EJ93">
        <f t="shared" si="189"/>
        <v>2</v>
      </c>
      <c r="EK93">
        <f t="shared" si="190"/>
        <v>0.6</v>
      </c>
      <c r="EL93" s="6">
        <f>IF(B93="","",IF(BV93=1,dU_LED,IF(IFERROR(_xlfn.XLOOKUP(BC93,Коды_код,Коды_уго),"")="Светильник",3,4)+IF(Методика="нормы 2026",MIN(0.5,MAX(0,N(P93)-100)*0.005),0)))</f>
        <v>4</v>
      </c>
      <c r="EM93" cm="1">
        <f t="array" ref="EM93">IF(OR(B93="",BZ93="",EC93&lt;&gt;1),"",_xlfn.LET(_xlpm.sz,Iдоп_S,_xlpm.t_,CHOOSE(EB93,Iдоп_1ж,Iдоп_2ж,Iдоп_3ж)*DZ93*EA93,_xlpm.dcx,BV93=1,_xlpm.inn,IF(_xlpm.dcx,N(O93),N(DT93)),_xlpm.smin,MAX(1.5,CC93),_xlpm.L_,N(P93)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93)/N(BU93)*100,999),IFERROR(N(EJ93)*(_xlpm.rho*_xlpm.L_/_xlpm.sz*N(CE93)+_xlpm.xx*_xlpm.L_*N(EK93)/1000)*N(O93)/((Uн_лин/SQRT(3))*1000)*100,999)),_xlpm.kz,IF(OR(_xlpm.dcx,DW93=1,NOT(ISNUMBER(EG93)),_xlpm.L_=0,_xlpm.inn=0),1,IFERROR(--(c_min*(Uн_лин*1000/SQRT(3))/(EG93+2*ρкз_Cu*_xlpm.L_/_xlpm.sz)&gt;=HT93*_xlpm.inn),0)),_xlpm.ok,IFERROR((_xlpm.sz&gt;=_xlpm.smin)*(_xlpm.t_&gt;=_xlpm.inn)*IF(_xlpm.L_&gt;0,(_xlpm.du_+IF(_xlpm.dcx,0,EF93)&lt;=EL93+0.00001),1)*_xlpm.kz,0),_xlpm.r_,_xlfn._xlws.FILTER(_xlpm.sz,_xlpm.ok,"не подобрано"),INDEX(_xlpm.r_,1)))</f>
        <v>1.5</v>
      </c>
      <c r="EN93">
        <f t="shared" si="191"/>
        <v>1.5</v>
      </c>
      <c r="EO93" cm="1">
        <f t="array" ref="EO93">IF(OR(B93="",BZ93="",EC93&lt;&gt;1),"",_xlfn.LET(_xlpm.sz,Iдоп_S,_xlpm.t_,CHOOSE(EB93,Iдоп_1ж,Iдоп_2ж,Iдоп_3ж)*DZ93*EA93,_xlpm.ok,IFERROR((_xlpm.sz&gt;=MAX(1.5,CC93))*(_xlpm.t_&gt;=N(DT93)),0),_xlpm.r_,_xlfn._xlws.FILTER(_xlpm.sz,_xlpm.ok,""),INDEX(_xlpm.r_,1)))</f>
        <v>1.5</v>
      </c>
      <c r="EP93" s="6" cm="1">
        <f t="array" ref="EP93">IFERROR(ROUNDUP(N(EJ93)*(_xlfn.XLOOKUP(EO93,INDEX(Кабель_сопротивление,0,1),INDEX(Кабель_сопротивление,0,3))*N(P93)/EO93*N(CE93)+_xlfn.XLOOKUP(EO93,INDEX(Кабель_сопротивление,0,1),INDEX(Кабель_сопротивление,0,2))*N(P93)*N(EK93)/1000)*N(O93)/((Uн_лин/SQRT(3))*1000)*100,2),"")</f>
        <v>0.19</v>
      </c>
      <c r="EQ93">
        <f>IFERROR(2*ρкз_Cu*N(P93)/EO93,"")</f>
        <v>0.77146666666666663</v>
      </c>
      <c r="ER93">
        <f>IFERROR(VLOOKUP(EN93,Кабель_сопротивление,3,FALSE),"")</f>
        <v>2.2499999999999999E-2</v>
      </c>
      <c r="ES93">
        <f>IFERROR(VLOOKUP(EN93,Кабель_сопротивление,2,FALSE),"")</f>
        <v>0.11</v>
      </c>
      <c r="ET93">
        <f t="shared" si="192"/>
        <v>11</v>
      </c>
      <c r="EU93">
        <f t="shared" si="193"/>
        <v>0</v>
      </c>
      <c r="EV93">
        <f t="shared" si="194"/>
        <v>0.4339139312286675</v>
      </c>
      <c r="EW93" s="6">
        <f>IFERROR(ROUNDUP(EV93/IF(BV93=1,BU93,(Uн_лин/SQRT(3))*1000)*100,2),"")</f>
        <v>0.19</v>
      </c>
      <c r="EX93" t="str">
        <f>IFERROR(VLOOKUP(BZ93,Кабель_обозначение,2,FALSE),"")</f>
        <v>ВВГнг(А)-LS</v>
      </c>
      <c r="EY93" t="str">
        <f t="shared" si="195"/>
        <v>ВВГнг(А)-LS (3х1,5)</v>
      </c>
      <c r="EZ93" t="str">
        <f t="shared" si="196"/>
        <v>ВВГнг(А)-LS (3х1,5)
L=22-0,19%</v>
      </c>
      <c r="FA93">
        <f>IFERROR(2*ρкз_Cu*P93/EN93,"")</f>
        <v>0.77146666666666663</v>
      </c>
      <c r="FB93">
        <f t="shared" si="197"/>
        <v>0.25666666666666665</v>
      </c>
      <c r="FC93" s="6" t="str">
        <f>IFERROR(IF(OR(B93="",BV93=1,NOT(ISNUMBER(EN93)),N(P93)=0),"",_xlfn.XLOOKUP(A93,Щиты[Щит],Щиты[Zпетли на шинах, Ом])+FA93),"")</f>
        <v/>
      </c>
      <c r="FD93" s="6" t="str">
        <f>IF(ISNUMBER(FC93),c_min*(Uн_лин*1000/SQRT(3))/FC93,"")</f>
        <v/>
      </c>
      <c r="FE93" s="6" t="str">
        <f>IFERROR(IF(OR(B93="",NOT(ISNUMBER(EN93))),"",1.05*(Uн_лин*1000/SQRT(3))/(_xlfn.XLOOKUP(A93,Щиты[Щит],Щиты[Zmax на шинах, Ом])+FB93)/1000),"")</f>
        <v/>
      </c>
      <c r="FF93" s="6" t="str">
        <f>IF(B93="","",IF(ISNUMBER(AC93),"Сил",IF(IFERROR(_xlfn.XLOOKUP(BC93,Коды_код,Коды_группа)&amp;"","")="","Быт",_xlfn.XLOOKUP(BC93,Коды_код,Коды_группа)&amp;"")))</f>
        <v>Сил</v>
      </c>
      <c r="FG93" s="6" t="str">
        <f t="shared" si="198"/>
        <v>Сил</v>
      </c>
      <c r="FH93" s="6">
        <f>IF(FG93="Щит","щит",IF(FG93="","",IF(FG93="Быт",IFERROR(_xlfn.XLOOKUP(A93,Щиты[Щит],Щиты[Кс быт]),1),IF(FG93="Сил",IF(ISNUMBER(AC93),AC93,IF(Методика="нормы 2026",IFERROR(_xlfn.XLOOKUP(A93,Щиты[Щит],Щиты[Кс силовых (табл. 7.5)]),1),1)),IF(OR(FG93="Пост",FG93="Отоп"),1,IF(FG93="ВНГ",0.7,0))))))</f>
        <v>0.5</v>
      </c>
      <c r="FI93">
        <f>IF(FG93="","",IF(AND(BP93=1,TRIM(AE93&amp;"")=""),IF(COUNTIFS(Линии[Щит],A93,Линии[Секция (1/2/3)],"&gt;=2")&gt;0,MIN(3,MAX(1,IFERROR(--BD93,1))),1),IFERROR(MIN(3,MAX(1,INT(--AE93))),1)))</f>
        <v>1</v>
      </c>
      <c r="FJ93">
        <f t="shared" si="199"/>
        <v>0.151</v>
      </c>
      <c r="FK93">
        <f t="shared" si="200"/>
        <v>0</v>
      </c>
      <c r="FL93">
        <f t="shared" si="201"/>
        <v>7.5499999999999998E-2</v>
      </c>
      <c r="FM93">
        <f t="shared" si="202"/>
        <v>0</v>
      </c>
      <c r="FN93">
        <f t="shared" si="203"/>
        <v>0</v>
      </c>
      <c r="FO93">
        <f t="shared" si="204"/>
        <v>0</v>
      </c>
      <c r="FP93">
        <f t="shared" si="205"/>
        <v>0.151</v>
      </c>
      <c r="FQ93">
        <f t="shared" si="206"/>
        <v>0.151</v>
      </c>
      <c r="FR93">
        <f t="shared" si="207"/>
        <v>0.1208</v>
      </c>
      <c r="FS93">
        <f>IF(CG93=1,IF(AND(CH93=1,CW93=1),0,IF(AND(CS93&lt;&gt;"",CS93=BA93,CW93=1),SUMIFS(Линии[_Р линии, кВт],Линии[_блок УЗО],BA93,Линии[Щит],A93),N(BS93)+IF(AJ93="вручную",0,N(CK93)))),0)</f>
        <v>0.151</v>
      </c>
      <c r="FT93" t="str">
        <f t="shared" si="208"/>
        <v>L1</v>
      </c>
      <c r="FU93" t="str">
        <f>IF(B93="","",IF(CG93=0,IF(BA93=1,"",FW92),IF(AND(CH93=1,CW93=1,CS93&lt;&gt;""),IFERROR(_xlfn.XLOOKUP(CS93,Линии[_n],Линии[_фаза итог]),"L1"),IF(OR(N(DL93)&gt;=3,N(BX93)&gt;=3),"L1,L2,L3",IFERROR(_xlfn.TEXTBEFORE(_xlfn.TEXTAFTER(_xlfn.XLOOKUP(A93,Щиты[Щит],Щиты[_фазы авто]),";"&amp;BA93&amp;":"),";"),"L1")))))</f>
        <v>L1</v>
      </c>
      <c r="FV93" t="str">
        <f t="shared" si="209"/>
        <v>L1</v>
      </c>
      <c r="FW93" t="str">
        <f t="shared" si="210"/>
        <v>L1</v>
      </c>
      <c r="FX93" cm="1">
        <f t="array" ref="FX93">IFERROR(IF(CD93=2,_xlfn.IFS(BX93=3,VLOOKUP(BS93,Справочная_двигатели,3,FALSE),BX93=1,VLOOKUP(BS93,Справочная_двигатели,5,TRUE)),0),0)</f>
        <v>0</v>
      </c>
      <c r="FY93">
        <f>IFERROR(IF(CD93=3,VLOOKUP(BS93,Справочная_ЛЭД,2,TRUE),0),0)</f>
        <v>0</v>
      </c>
      <c r="FZ93" s="6">
        <f t="shared" si="211"/>
        <v>0</v>
      </c>
      <c r="GA93" t="str">
        <f>IF(B93="","",IF(TRIM(AH93&amp;"")&lt;&gt;"",IF(LOWER(TRIM(AH93&amp;""))="да","да","нет"),IF(IFERROR(_xlfn.XLOOKUP(BC93,Коды_код,Коды_пожарная),"")="да","да","нет")))</f>
        <v>нет</v>
      </c>
      <c r="GB93" t="str">
        <f t="shared" si="212"/>
        <v/>
      </c>
      <c r="GC93" t="str">
        <f t="shared" si="213"/>
        <v>основная</v>
      </c>
      <c r="GD93">
        <f>IF(AND(BP93=1,TRIM(AE93&amp;"")=""),IF(COUNTIFS(Линии[Щит],A93,Линии[Секция (1/2/3)],"&gt;=2")&gt;0,MIN(3,MAX(1,IFERROR(--BD93,1))),1),IFERROR(MIN(3,MAX(1,INT(--AE93))),1))</f>
        <v>1</v>
      </c>
      <c r="GE93" t="str" cm="1">
        <f t="array" ref="GE93">IF(B93="","",_xlfn.LET(_xlpm.t,IFERROR(_xlfn.XLOOKUP(1,(Шины[Шина]=GC93)*(((Шины[Щит]=A93)+(Шины[Щит]=""))&gt;0),Шины[Тип]),"")&amp;"",IF(_xlpm.t&lt;&gt;"",_xlpm.t,IF(ISNUMBER(SEARCH("ИБП",GC93)),"ИБП",IF(ISNUMBER(SEARCH("ДГУ",GC93)),"ДГУ","Ввод "&amp;GD93)))))</f>
        <v>Ввод 1</v>
      </c>
      <c r="GF93" t="str">
        <f t="shared" si="214"/>
        <v>Ввод 1</v>
      </c>
      <c r="GG93" t="str">
        <f>IF(BP93=0,"",IF(TRIM(AG93&amp;"")&lt;&gt;"",TRIM(AG93&amp;""),IF(OR(GE93="ИБП",GE93="ДГУ"),"I особая",_xlfn.XLOOKUP(A93,Щиты[Щит],Щиты[Категория шины «Ввод»],"III"))))</f>
        <v/>
      </c>
      <c r="GH93" t="str">
        <f>IF(A93="","",_xlfn.XLOOKUP(A93,Щиты[Щит],Щиты[Путь],""))</f>
        <v>|ГРЩ-ЖД|ЩОВ-002|</v>
      </c>
      <c r="GI93" t="str">
        <f>IF(B93="","",IF(AI93&lt;&gt;"",AI93,IF(IFERROR(_xlfn.XLOOKUP(BC93,Коды_код,Коды_вид)&amp;"","")="","Прочее",_xlfn.XLOOKUP(BC93,Коды_код,Коды_вид)&amp;"")))</f>
        <v>Кондиционирование и увлажнение</v>
      </c>
      <c r="GJ93">
        <f>IF(BM93="","",INT((BM93-1)/Столбцов_на_лист)+1)</f>
        <v>2</v>
      </c>
      <c r="GK93" t="str">
        <f t="shared" si="215"/>
        <v>ВВГнг(А)-LS (3х1,5) L=22-0,19%</v>
      </c>
      <c r="GL93">
        <f t="shared" si="216"/>
        <v>0.151</v>
      </c>
      <c r="GM93">
        <f t="shared" si="217"/>
        <v>0.82000000000000006</v>
      </c>
      <c r="GN93">
        <f t="shared" si="218"/>
        <v>1</v>
      </c>
      <c r="GO93">
        <f t="shared" si="219"/>
        <v>0</v>
      </c>
      <c r="GP93">
        <f t="shared" si="220"/>
        <v>1</v>
      </c>
      <c r="GQ93">
        <f>IF(BM93="","",IF(AND(CG93=1,GP93=1),COUNTIFS(A$3:A93,A93,CG$3:CG93,1,GP$3:GP93,1),IF(OR(OR(BA93=1,A93&lt;&gt;A92),AJ93="вручную",GP93=0),"",IF(BA93=1,"",GR92))))</f>
        <v>5</v>
      </c>
      <c r="GR93">
        <f t="shared" si="221"/>
        <v>5</v>
      </c>
      <c r="GS93">
        <f>IF(B93="","",IFERROR(LOOKUP(INDEX(CHOOSE(EB93,Iдоп_1ж,Iдоп_2ж,Iдоп_3ж),MATCH(EN93,Iдоп_S,0))*DZ93*EA93,{6,10,16,20,25,32,40,50,63,80,100,125,160,200,250,315,400,500,630}),""))</f>
        <v>16</v>
      </c>
      <c r="GT93" t="str">
        <f t="shared" si="222"/>
        <v>QF5</v>
      </c>
      <c r="GU93" t="str">
        <f t="shared" si="223"/>
        <v>QF5</v>
      </c>
      <c r="GV93" t="str">
        <f t="shared" si="224"/>
        <v/>
      </c>
      <c r="GW93">
        <f t="shared" si="225"/>
        <v>0</v>
      </c>
      <c r="GX93" t="str">
        <f>IF(OR(B93="",DJ93=""),"",IFERROR(_xlfn.XLOOKUP(DJ93,Модули_умолч[Управление],Модули_умолч[Модель])&amp;"",""))</f>
        <v/>
      </c>
      <c r="GY93">
        <f>IF(DJ93="",1,IFERROR(MAX(0,N(_xlfn.XLOOKUP(DJ93,Модули_умолч[Управление],Модули_умолч[Каналов на линию]))),1))</f>
        <v>1</v>
      </c>
      <c r="GZ93" t="str">
        <f t="shared" si="226"/>
        <v/>
      </c>
      <c r="HA93" t="str">
        <f t="shared" si="227"/>
        <v/>
      </c>
      <c r="HB93" t="str">
        <f t="shared" si="228"/>
        <v/>
      </c>
      <c r="HC93">
        <f>IF(HB93="",0,IFERROR(N(VLOOKUP(HB93,Модули_спр,3,FALSE)),0))</f>
        <v>0</v>
      </c>
      <c r="HD93" t="str">
        <f t="shared" si="229"/>
        <v/>
      </c>
      <c r="HE93" t="str">
        <f t="shared" si="230"/>
        <v/>
      </c>
      <c r="HF93" t="str">
        <f>IF(OR(HE93="",HE93="-"),"",IFERROR(VLOOKUP(HE93,Модули_спр,2,FALSE),"R"))</f>
        <v/>
      </c>
      <c r="HG93" t="str">
        <f>IF(HF93="","",HF93&amp;"."&amp;COUNTIFS(A$3:A93,A93,HF$3:HF93,HF93))</f>
        <v/>
      </c>
      <c r="HH93" t="str">
        <f t="shared" si="231"/>
        <v/>
      </c>
      <c r="HI93" t="str">
        <f t="shared" si="232"/>
        <v/>
      </c>
      <c r="HJ93" t="str">
        <f t="shared" si="233"/>
        <v/>
      </c>
      <c r="HK93" t="str">
        <f t="shared" si="234"/>
        <v/>
      </c>
      <c r="HL93">
        <f t="shared" si="235"/>
        <v>1</v>
      </c>
      <c r="HM93" t="str">
        <f>IF(HL93=1,"XT"&amp;COUNTIFS(A$3:A93,A93,HL$3:HL93,1),"")</f>
        <v>XT5</v>
      </c>
      <c r="HN93" t="str">
        <f t="shared" si="236"/>
        <v/>
      </c>
      <c r="HO93" t="str">
        <f t="shared" si="237"/>
        <v>QF5</v>
      </c>
      <c r="HP93" t="str">
        <f t="shared" si="238"/>
        <v/>
      </c>
      <c r="HQ93" t="str">
        <f t="shared" si="239"/>
        <v>ok</v>
      </c>
      <c r="HR93" t="str">
        <f>IF(OR(HJ93="",HH93=""),"",IF(HJ93+MAX(0,GY93-1)&gt;IFERROR(VLOOKUP(HI93,Модули_спр,3,FALSE),99),"ЛИШНИЙ КАНАЛ",IF(AND(AL93&lt;&gt;"=",GY93&gt;0,COUNTIFS(Линии[_модуль гр.],HH93,Линии[Канал (итог)],HJ93,Линии[Канал],"&lt;&gt;=",Линии[Щит],A93)&gt;1),"ДУБЛЬ КАНАЛА","")))</f>
        <v/>
      </c>
      <c r="HS93" s="6" t="str">
        <f t="shared" si="240"/>
        <v/>
      </c>
      <c r="HT93">
        <f t="shared" si="241"/>
        <v>10</v>
      </c>
      <c r="HU93" t="str">
        <f t="shared" si="242"/>
        <v/>
      </c>
      <c r="HV93">
        <f t="shared" si="243"/>
        <v>0.54692458992862547</v>
      </c>
      <c r="HW93">
        <f t="shared" si="244"/>
        <v>0</v>
      </c>
      <c r="HX93">
        <f t="shared" si="245"/>
        <v>0</v>
      </c>
      <c r="HY93">
        <f t="shared" si="246"/>
        <v>0</v>
      </c>
      <c r="HZ93">
        <f t="shared" si="247"/>
        <v>0</v>
      </c>
      <c r="IA93">
        <f t="shared" si="248"/>
        <v>0</v>
      </c>
      <c r="IB93">
        <f t="shared" si="249"/>
        <v>0</v>
      </c>
      <c r="IC93" t="str">
        <f t="shared" si="250"/>
        <v/>
      </c>
      <c r="ID93" t="str" cm="1">
        <f t="array" ref="ID93">IF(IC93="","",_xlfn.LET(_xlpm.tk,_xlfn.TEXTSPLIT(SUBSTITUTE(SUBSTITUTE(IC93,";"," "),"→"," ")," ",,TRUE),_xlpm.w_,_xlfn._xlws.FILTER(_xlpm.tk,ISNUMBER(--LEFT(_xlpm.tk,1))*((ISNUMBER(SEARCH("W",_xlpm.tk))+ISNUMBER(SEARCH("Вт",_xlpm.tk)))&gt;0),""),IFERROR(--SUBSTITUTE(SUBSTITUTE(UPPER(INDEX(_xlpm.w_,1)),"W",""),"ВТ",""),"")))</f>
        <v/>
      </c>
      <c r="IE93" t="str" cm="1">
        <f t="array" ref="IE93">IF(IC93="","",_xlfn.LET(_xlpm.tk,_xlfn.TEXTSPLIT(SUBSTITUTE(SUBSTITUTE(IC93,";"," "),"→"," ")," ",,TRUE),_xlpm.v_,_xlfn._xlws.FILTER(_xlpm.tk,ISNUMBER(--LEFT(_xlpm.tk,1))*((ISNUMBER(SEARCH("V",_xlpm.tk))+(RIGHT(UPPER(_xlpm.tk))="В"))&gt;0),""),IFERROR(--SUBSTITUTE(SUBSTITUTE(UPPER(INDEX(_xlpm.v_,1)),"V",""),"В",""),"")))</f>
        <v/>
      </c>
      <c r="IF93" s="6" t="str">
        <f>IF(OR(BV93=0,HI93="",HJ93=""),"",IFERROR(N(_xlfn.XLOOKUP(HI93,Каталог!$C$4:$C$500,Каталог!$Q$4:$Q$500)),""))</f>
        <v/>
      </c>
      <c r="IG93" s="6" t="str">
        <f>IF(N(IF93)=0,"",SUMIFS(Линии[Iр, А],Линии[Щит],A93,Линии[_модуль гр.],HH93,Линии[Канал (итог)],HJ93))</f>
        <v/>
      </c>
      <c r="IH93" t="str">
        <f>IF(AND(B93="",HO93=""),"",_xlfn.TEXTJOIN("; ",TRUE,IF(AND(B93&lt;&gt;"",FV93=""),"нет фазы",""),IF(AND(B93&lt;&gt;"",N(GL93)=0,FG93&lt;&gt;"Нет"),"нет мощности",""),IF(AND(HN93&lt;&gt;"",COUNTIFS(Линии[Щит],A93,Линии[Клемма (итог)],HN93)&gt;1),"дубль клеммы "&amp;HN93,""),IF(AND(HQ93&lt;&gt;"",HQ93&lt;&gt;"ok"),HQ93,""),IF(HR93&lt;&gt;"",HR93,""),IF(AND(N(CB93)&gt;=4,N(BX93)=1),CB93&amp;" жил на 1 фазе",""),IF(AND(BC93="R",CG93=1,IF(CS93&lt;&gt;"",N(CV93)&gt;30,OR(N(DA93)=0,N(DA93)&gt;30))),"розетка без дифзащиты до 30 мА",""),IF(AND(CG93=1,N(DA93)&gt;0,ISNUMBER(T93)),IF(T93&gt;N(DA93)/3,"ток утечки "&amp;FIXED(T93,1)&amp;" мА &gt; 1/3 уставки ("&amp;DA93&amp;" мА)",""),""),IF(AND(CH93=1,CS93=""),"«узо»: нет строки с УЗО выше (УЗО 2P 40А 30мА в «Аппаратах»)",""),IF(AND(CS93&lt;&gt;"",CS93=BA93),IF(CT93="","впишите номинал УЗО (УЗО 2P 40А 30мА)",IF(N(CT93)&lt;N(DT93),"УЗО "&amp;CT93&amp;" А &lt; автомата "&amp;DT93&amp;" А перед ним",IF(N(CT93)&lt;N(CX93),"УЗО "&amp;CT93&amp;" А &lt; тока блока "&amp;FIXED(CX93,1)&amp;" А",""))),""),IF(AND(CS93&lt;&gt;"",CS93=BA93,ISNUMBER(CY93)),IF(CY93&gt;N(CV93)/3,"ток утечки блока УЗО "&amp;FIXED(CY93,1)&amp;" мА &gt; 1/3 уставки ("&amp;CV93&amp;" мА)",""),""),IF(AND(CG93=1,N(BV93)+N(IB93)&gt;0,IC93=""),"линии до 50 В без БП: впишите в «Аппараты» (БП 24V 480W)",""),IF(AND(CG93=1,ISNUMBER(ID93),ISNUMBER(U93)),IF(U93&gt;ID93,"БП "&amp;ID93&amp;" Вт &lt; нужно "&amp;U93&amp;" Вт (×"&amp;Запас_БП&amp;")",""),""),IF(AND(CG93=1,ISNUMBER(IE93),N(BV93)=1),IF(IE93&lt;&gt;N(BU93),"БП на "&amp;IE93&amp;" В, линия "&amp;BU93&amp;" В",""),""),IF(AND(N(IF93)&gt;0,N(IG93)&gt;N(IF93)),HH93&amp;" канал "&amp;HJ93&amp;": "&amp;FIXED(IG93,1)&amp;" А &gt; "&amp;IF93&amp;" А",""),IFERROR(IF(AND(ISNUMBER(Q93),Q93&gt;EL93),"потери "&amp;FIXED(Q93,1)&amp;" % &gt; "&amp;EL93&amp;" %",""),""),IFERROR(IF(LEFT(HU93,4)="мало","Iкз мало — отключение &gt; 0,4 с",""),""),IF(AND(B93&lt;&gt;"",BM93=""),"не на схеме",""),IF(AND(CG93=0,B93&lt;&gt;"",FV93&lt;&gt;"",IF(BA93=1,"",FW92)&lt;&gt;"",FV93&lt;&gt;IF(BA93=1,"",FW92)),"фаза не как у автомата группы ("&amp;IF(BA93=1,"",FW92)&amp;")","")))</f>
        <v/>
      </c>
      <c r="II93" s="6">
        <f>IF(OR(CG93=0,DQ93=""),"",_xlfn.LET(_xlpm.t,IFERROR(_xlfn.XLOOKUP(DQ93,Каталог!$U$4:$U$500,Каталог!$G$4:$G$500),""),_xlpm.k,SEARCH("кА",_xlpm.t),IFERROR(--TRIM(RIGHT(SUBSTITUTE(MID(_xlpm.t,MAX(1,_xlpm.k-4),_xlpm.k-MAX(1,_xlpm.k-4))," ",REPT(" ",9)),5)),"")))</f>
        <v>6</v>
      </c>
      <c r="IJ93" t="str">
        <f>IF(OR(II93="",CG93=0),"",IF(_xlfn.XLOOKUP(A93,Щиты[Щит],Щиты[Iкз max на шинах, кА],"")="","",IF(II93&lt;_xlfn.XLOOKUP(A93,Щиты[Щит],Щиты[Iкз max на шинах, кА]),"Icu "&amp;II93&amp;" кА &lt; Iкз max","ok")))</f>
        <v/>
      </c>
      <c r="IK93" t="str">
        <f t="shared" si="251"/>
        <v/>
      </c>
      <c r="IL93" t="str">
        <f t="shared" si="252"/>
        <v>QF5</v>
      </c>
      <c r="IM93" t="str">
        <f t="shared" si="253"/>
        <v>QF5|кабель ВВГнг(А)-LS (3х1,5) → Внутренний блок кондиционирования Подвальный этаж Пом. №005Т</v>
      </c>
      <c r="IN93" t="str" cm="1">
        <f t="array" ref="IN93">IF(IM93="","",_xlfn.LET(_xlpm.nd,_xlfn.TEXTSPLIT(IM93,"|"),IF(COLUMNS(_xlpm.nd)&gt;1,A93&amp;"¦"&amp;INDEX(_xlpm.nd,1)&amp;"¦"&amp;INDEX(_xlpm.nd,2),"")))</f>
        <v>ЩОВ-002¦QF5¦кабель ВВГнг(А)-LS (3х1,5) → Внутренний блок кондиционирования Подвальный этаж Пом. №005Т</v>
      </c>
      <c r="IO93" t="str">
        <f t="shared" si="254"/>
        <v>K.0.002A¦Внутренний блок кондиционирования Подвальный этаж Пом. №005Т</v>
      </c>
      <c r="IP93" t="str" cm="1">
        <f t="array" ref="IP93">IF(IM93="","",_xlfn.LET(_xlpm.nd,_xlfn.TEXTSPLIT(IM93,"|"),IF(COLUMNS(_xlpm.nd)&gt;2,A93&amp;"¦"&amp;INDEX(_xlpm.nd,2)&amp;"¦"&amp;INDEX(_xlpm.nd,3),"")))</f>
        <v/>
      </c>
      <c r="IQ93" t="str">
        <f t="shared" si="255"/>
        <v/>
      </c>
      <c r="IR93" t="str" cm="1">
        <f t="array" ref="IR93">IF(IM93="","",_xlfn.LET(_xlpm.nd,_xlfn.TEXTSPLIT(IM93,"|"),IF(COLUMNS(_xlpm.nd)&gt;3,A93&amp;"¦"&amp;INDEX(_xlpm.nd,3)&amp;"¦"&amp;INDEX(_xlpm.nd,4),"")))</f>
        <v/>
      </c>
      <c r="IS93" t="str">
        <f t="shared" si="256"/>
        <v/>
      </c>
      <c r="IT93" t="str" cm="1">
        <f t="array" ref="IT93">IF(IM93="","",_xlfn.LET(_xlpm.nd,_xlfn.TEXTSPLIT(IM93,"|"),IF(COLUMNS(_xlpm.nd)&gt;4,A93&amp;"¦"&amp;INDEX(_xlpm.nd,4)&amp;"¦"&amp;INDEX(_xlpm.nd,5),"")))</f>
        <v/>
      </c>
      <c r="IU93" t="str">
        <f t="shared" si="257"/>
        <v/>
      </c>
      <c r="IV93" t="str" cm="1">
        <f t="array" ref="IV93">IF(IM93="","",_xlfn.LET(_xlpm.nd,_xlfn.TEXTSPLIT(IM93,"|"),IF(COLUMNS(_xlpm.nd)&gt;5,A93&amp;"¦"&amp;INDEX(_xlpm.nd,5)&amp;"¦"&amp;INDEX(_xlpm.nd,6),"")))</f>
        <v/>
      </c>
      <c r="IW93" t="str">
        <f t="shared" si="258"/>
        <v/>
      </c>
      <c r="IX93" t="str" cm="1">
        <f t="array" ref="IX93">IF(IM93="","",_xlfn.LET(_xlpm.nd,_xlfn.TEXTSPLIT(IM93,"|"),IF(COLUMNS(_xlpm.nd)&gt;6,A93&amp;"¦"&amp;INDEX(_xlpm.nd,6)&amp;"¦"&amp;INDEX(_xlpm.nd,7),"")))</f>
        <v/>
      </c>
      <c r="IY93" t="str">
        <f t="shared" si="259"/>
        <v/>
      </c>
      <c r="IZ93" t="str">
        <f t="shared" si="260"/>
        <v/>
      </c>
      <c r="JA93" t="str">
        <f t="shared" si="261"/>
        <v>QF5</v>
      </c>
      <c r="JB93">
        <f t="shared" si="262"/>
        <v>0</v>
      </c>
      <c r="JC93">
        <f t="shared" si="263"/>
        <v>0</v>
      </c>
      <c r="JD93" t="str">
        <f t="shared" si="264"/>
        <v/>
      </c>
      <c r="JE93" t="str">
        <f t="shared" si="265"/>
        <v/>
      </c>
      <c r="JF93" t="str">
        <f t="shared" si="266"/>
        <v/>
      </c>
      <c r="JG93" t="str">
        <f t="shared" si="267"/>
        <v/>
      </c>
      <c r="JH93">
        <f>IF(B93="","",IFERROR(_xlfn.XLOOKUP(B93,Коды_код,Коды_уго),IFERROR(_xlfn.XLOOKUP(BC93,Коды_код,Коды_уго),IFERROR(_xlfn.XLOOKUP(LEFT(BC93,2),Коды_код,Коды_уго),""))))</f>
        <v>0</v>
      </c>
      <c r="JI93" t="str">
        <f>IF(B93="","",IF(OR(JH93="",JH93=0),"BOX",IFERROR(IF(VLOOKUP(JH93,УГО_блоки,3,FALSE)&amp;""&lt;&gt;"",VLOOKUP(JH93,УГО_блоки,3,FALSE),VLOOKUP(JH93,УГО_блоки,2,FALSE)),JH93)))</f>
        <v>BOX</v>
      </c>
      <c r="JJ93">
        <f t="shared" si="268"/>
        <v>1</v>
      </c>
      <c r="JK93" t="str">
        <f>IF(DQ93="","",IF(COUNTIF(DQ$3:DQ93,DQ93)=1,MAX(JK$2:JK92)+1,""))</f>
        <v/>
      </c>
      <c r="JL93" t="str">
        <f>IF(DE93="","",IF(COUNTIF(DE$3:DE93,DE93)+COUNTIF(DF$2:DF92,DE93)+COUNTIF(DG$2:DG92,DE93)=1,MAX(JL$2:JN92)+1,""))</f>
        <v/>
      </c>
      <c r="JM93" t="str">
        <f>IF(DF93="","",IF(COUNTIF(DE$3:DE93,DF93)+COUNTIF(DF$3:DF93,DF93)+COUNTIF(DG$2:DG92,DF93)=1,MAX(JL$2:JN92,JL93)+1,""))</f>
        <v/>
      </c>
      <c r="JN93" t="str">
        <f>IF(DG93="","",IF(COUNTIF(DE$3:DE93,DG93)+COUNTIF(DF$3:DF93,DG93)+COUNTIF(DG$3:DG93,DG93)=1,MAX(JL$2:JN92,JL93,JM93)+1,""))</f>
        <v/>
      </c>
      <c r="JO93" t="str">
        <f t="shared" si="269"/>
        <v>3х1,5</v>
      </c>
      <c r="JP93" t="str">
        <f>IF(JO93="","",IF(COUNTIF(JO$3:JO93,JO93)=1,MAX(JP$2:JP92)+1,""))</f>
        <v/>
      </c>
      <c r="JQ93" t="str">
        <f>IF(HG93="","",COUNTIF(HG$3:HG93,"?*"))</f>
        <v/>
      </c>
      <c r="JR93" t="str">
        <f>IF(OR(HG93="",HI93=""),"",IF(COUNTIFS(HG$3:HG93,"?*",HI$3:HI93,HI93)=1,MAX(JR$2:JR92)+1,""))</f>
        <v/>
      </c>
      <c r="JS93">
        <f t="shared" si="270"/>
        <v>0</v>
      </c>
      <c r="JT93">
        <f>IF(B93="","",COUNTIF(B$3:B93,"?*"))</f>
        <v>91</v>
      </c>
      <c r="JU93">
        <f>IF(HL93&lt;&gt;1,0,_xlfn.LET(_xlpm.k,MAX(IFERROR(--_xlfn.XLOOKUP(B93,Коды_код,Коды_3L),0),IFERROR(--_xlfn.XLOOKUP(BC93,Коды_код,Коды_3L),0),IFERROR(--_xlfn.XLOOKUP(LEFT(BC93,2),Коды_код,Коды_3L),0)),IF(_xlpm.k&gt;0,_xlpm.k,IF(IFERROR(--LEFT(SUBSTITUTE(JO93,"x","х"),FIND("х",SUBSTITUTE(JO93,"x","х"))-1),3)&gt;3,Каталог!$S$9,1))))</f>
        <v>1</v>
      </c>
      <c r="JV93">
        <f t="shared" si="271"/>
        <v>0</v>
      </c>
      <c r="JW93" t="str">
        <f t="shared" si="272"/>
        <v>авто</v>
      </c>
      <c r="JX93" t="str">
        <f t="shared" si="273"/>
        <v/>
      </c>
      <c r="JY93">
        <f t="shared" si="274"/>
        <v>0</v>
      </c>
      <c r="JZ93">
        <f t="shared" si="275"/>
        <v>1</v>
      </c>
    </row>
    <row r="94" spans="1:286" x14ac:dyDescent="0.3">
      <c r="A94" t="s">
        <v>749</v>
      </c>
      <c r="B94" t="s">
        <v>1406</v>
      </c>
      <c r="C94" t="s">
        <v>1664</v>
      </c>
      <c r="D94">
        <v>1</v>
      </c>
      <c r="E94">
        <v>0.111</v>
      </c>
      <c r="G94">
        <v>10</v>
      </c>
      <c r="H94" t="str">
        <f>Линии[[#This Row],[_авто управление]]</f>
        <v/>
      </c>
      <c r="I94" t="str">
        <f>Линии[[#This Row],[_авто аппараты]]</f>
        <v/>
      </c>
      <c r="J94">
        <v>1.5</v>
      </c>
      <c r="K94">
        <v>24</v>
      </c>
      <c r="L94">
        <v>1</v>
      </c>
      <c r="M94" t="s">
        <v>484</v>
      </c>
      <c r="N94" t="str">
        <f t="shared" si="138"/>
        <v/>
      </c>
      <c r="O94" s="6" cm="1">
        <f t="array" ref="O94">IF(B94="","",IF(BH94&lt;&gt;"",IFERROR(_xlfn.XLOOKUP(BH94,Щиты[Щит],Щиты[Iр, А]),""),IF(BP94=1,IF(OR(N(_xlfn.XLOOKUP(A94,Щиты[Щит],Щиты[Вводов],1))&lt;=1,LOWER(TRIM(_xlfn.XLOOKUP(A94,Щиты[Щит],Щиты[АВР],"")&amp;""))="да"),IFERROR(_xlfn.XLOOKUP(A94,Щиты[Щит],Щиты[Iр, А]),""),IFERROR(N(BS94)*_xlfn.XLOOKUP(A94,Щиты[Щит],Щиты[Кс итог])/(SQRT(3)*Uн_лин*_xlfn.XLOOKUP(A94,Щиты[Щит],Щиты[cos φ])),"")),IF(BV94=1,IFERROR(BS94*1000/BU94,""),IFERROR(_xlfn.IFS(BX94=1,BS94/((Uн_лин/SQRT(3))*CE94),BX94=3,BS94/(SQRT(3)*Uн_лин*CE94)),"")))))</f>
        <v>0.60080512387545415</v>
      </c>
      <c r="P94" s="7">
        <f>IF(B94="","",IFERROR(IF(VLOOKUP(BC94,Потребители_обозначение,4,FALSE)=1,VLOOKUP(BC94,Потребители_обозначение,3,FALSE)*(MAX(1,N(D94))*2-1)+EI94+VLOOKUP(BE94,Этаж_обозначение,3,FALSE)+VLOOKUP(BE94,Этаж_обозначение,4,FALSE),VLOOKUP(BC94,Потребители_обозначение,3,FALSE)*(MAX(1,N(D94))*2-1)+EI94),EI94))</f>
        <v>26</v>
      </c>
      <c r="Q94" s="6">
        <f t="shared" si="139"/>
        <v>0.91</v>
      </c>
      <c r="R94" t="str">
        <f t="shared" si="140"/>
        <v>ВВГнг(А)-LS (3х1,5)</v>
      </c>
      <c r="S94" t="str">
        <f>IF(BM94="","",IF(BN94="вводной узел","узел ","")&amp;"л."&amp;(INT((BM94-1)/Столбцов_на_лист)+1)&amp;" / "&amp;(MOD(BM94-1,Столбцов_на_лист)+1))</f>
        <v>л.2 / 7</v>
      </c>
      <c r="T94" s="119">
        <f t="shared" si="141"/>
        <v>0.5</v>
      </c>
      <c r="U94" s="7" t="str">
        <f>IF(OR(CG94=0,N(BV94)+N(IB94)=0),"",ROUNDUP(Запас_БП*(N(HY94)+N(HZ94)),0))</f>
        <v/>
      </c>
      <c r="V94" s="119" t="str">
        <f t="shared" si="142"/>
        <v/>
      </c>
      <c r="W94" s="7" t="str">
        <f>IFERROR(IF(OR(B94="",BP94=1,BV94=1,NOT(ISNUMBER(EN94)),N(DT94)=0),"",MAX(0,ROUNDDOWN((c_min*(Uн_лин*1000/SQRT(3))/(HT94*N(DT94))-_xlfn.XLOOKUP(A94,Щиты[Щит],Щиты[Zпетли на шинах, Ом]))*EN94/(2*ρкз_Cu),0))),"")</f>
        <v/>
      </c>
      <c r="Y94" t="str">
        <f>Линии[[#This Row],[_авто утечка]]</f>
        <v/>
      </c>
      <c r="Z94">
        <v>1</v>
      </c>
      <c r="AA94">
        <v>230</v>
      </c>
      <c r="AB94" t="s">
        <v>598</v>
      </c>
      <c r="AC94">
        <v>0.5</v>
      </c>
      <c r="AG94" t="s">
        <v>810</v>
      </c>
      <c r="AI94" t="s">
        <v>576</v>
      </c>
      <c r="AK94" t="str">
        <f>Линии[[#This Row],[_авто модуль]]</f>
        <v/>
      </c>
      <c r="AM94">
        <v>24</v>
      </c>
      <c r="AN94" t="s">
        <v>11</v>
      </c>
      <c r="AO94">
        <v>3</v>
      </c>
      <c r="AQ94">
        <v>11</v>
      </c>
      <c r="AR94">
        <v>15</v>
      </c>
      <c r="AT94">
        <v>1</v>
      </c>
      <c r="BA94" cm="1">
        <f t="array" ref="BA94">ROW()-ROW(Линии[#Headers])</f>
        <v>92</v>
      </c>
      <c r="BC94" s="6" t="str">
        <f t="shared" si="143"/>
        <v>K</v>
      </c>
      <c r="BD94" t="str">
        <f t="shared" si="144"/>
        <v>0.006A</v>
      </c>
      <c r="BE94" t="str">
        <f t="shared" si="145"/>
        <v>0</v>
      </c>
      <c r="BF94" t="str">
        <f t="shared" si="146"/>
        <v>006A</v>
      </c>
      <c r="BG94" t="str">
        <f t="shared" si="147"/>
        <v>006A</v>
      </c>
      <c r="BH94" t="str">
        <f>IF(X94&lt;&gt;"",X94,IF(AND(B94&lt;&gt;"",B94&lt;&gt;A94,ISNUMBER(_xlfn.XMATCH(B94,Щиты[Щит]))),B94,""))</f>
        <v/>
      </c>
      <c r="BI94" t="str" cm="1">
        <f t="array" ref="BI94">IF(B94="","",IF(BH94&lt;&gt;"","Щит "&amp;BH94,_xlfn.LET(_xlpm.nm,IFERROR(_xlfn.XLOOKUP(BC94,Коды_код,Коды_имя)&amp;"",""),_xlpm.md,IFERROR(N(_xlfn.XLOOKUP(BC94,Коды_код,Коды_режим)),1),_xlpm.ex,IF(Имя_режим="по экспликации",IFERROR(_xlfn.XLOOKUP(BE94&amp;"|"&amp;BG94,Экспликация[Этаж]&amp;"|"&amp;Экспликация[Помещение],Экспликация[Название])&amp;"",""),""),_xlpm.rm,IF(BG94="","",IF(_xlpm.ex&lt;&gt;"",". "&amp;_xlpm.ex&amp;IF(Имя_пом="нет"," ("&amp;BG94&amp;")"," (пом. "&amp;BG94&amp;")"),IF(Имя_пом="нет"," ",", пом. ")&amp;BG94)),IF(_xlpm.nm="","",IF(_xlpm.md=2,_xlpm.nm&amp;" шлейф "&amp;BE94,_xlpm.nm&amp;_xlpm.rm)))))</f>
        <v>Внутренний блок кондиционирования, пом. 006A</v>
      </c>
      <c r="BJ94" t="str">
        <f t="shared" si="148"/>
        <v>Внутренний блок кондиционирования Подвальный этаж Пом. №005Т</v>
      </c>
      <c r="BK94">
        <f>IFERROR(_xlfn.XMATCH(A94,Щиты[Щит]),0)</f>
        <v>5</v>
      </c>
      <c r="BL94">
        <f>_xlfn.LET(_xlpm.k,IFERROR(_xlfn.XLOOKUP(A94,Щиты[Щит],Щиты[Мест под вводной узел]),""),IF(_xlpm.k="",Столбцов_на_лист,N(_xlpm.k)))</f>
        <v>18</v>
      </c>
      <c r="BM94">
        <f t="shared" si="149"/>
        <v>24</v>
      </c>
      <c r="BN94" t="str">
        <f t="shared" si="150"/>
        <v>линии</v>
      </c>
      <c r="BO94" s="6">
        <f>IFERROR(N(_xlfn.XLOOKUP(BC94,Коды_код,Коды_квт)),0)</f>
        <v>0</v>
      </c>
      <c r="BP94">
        <f t="shared" si="151"/>
        <v>0</v>
      </c>
      <c r="BQ94" t="str">
        <f>IF(B94="","",IF(BH94&lt;&gt;"",IFERROR(_xlfn.XLOOKUP(BH94,Щиты[Щит],Щиты[Руст, кВт]),0),IF(BP94=1,IF(OR(N(_xlfn.XLOOKUP(A94,Щиты[Щит],Щиты[Вводов],1))&lt;=1,LOWER(TRIM(_xlfn.XLOOKUP(A94,Щиты[Щит],Щиты[АВР],"")&amp;""))="да"),IFERROR(_xlfn.XLOOKUP(A94,Щиты[Щит],Щиты[Руст, кВт]),0),SUMIFS(Линии[_Р для вводов],Линии[Щит],A94,Линии[Источник для режимов],GF94)),IF(BO94&gt;0,ROUND(BO94*MAX(1,N(D94)),3),""))))</f>
        <v/>
      </c>
      <c r="BR94">
        <f t="shared" si="152"/>
        <v>0.111</v>
      </c>
      <c r="BS94" s="6">
        <f>IF(B94="","",IF(BH94&lt;&gt;"",IFERROR(_xlfn.XLOOKUP(BH94,Щиты[Щит],Щиты[Руст, кВт]),0),N(BR94)))</f>
        <v>0.111</v>
      </c>
      <c r="BT94" t="str">
        <f>IF(B94="","",IFERROR(IF(VLOOKUP(BC94,Потребители_обозначение,8,FALSE)=0,"",VLOOKUP(BC94,Потребители_обозначение,8,FALSE)),""))</f>
        <v/>
      </c>
      <c r="BU94">
        <f t="shared" si="153"/>
        <v>230</v>
      </c>
      <c r="BV94">
        <f t="shared" si="154"/>
        <v>0</v>
      </c>
      <c r="BW94">
        <f>IF(B94="","",IF(BH94&lt;&gt;"",3,IFERROR(IF(N(VLOOKUP(BC94,Потребители_обозначение,9,FALSE))=0,1,VLOOKUP(BC94,Потребители_обозначение,9,FALSE)),1)))</f>
        <v>1</v>
      </c>
      <c r="BX94">
        <f t="shared" si="155"/>
        <v>1</v>
      </c>
      <c r="BY94" t="str">
        <f>IF(B94="","",_xlfn.LET(_xlpm.bc,IFERROR(IF(VLOOKUP(BC94,Потребители_обозначение,6,FALSE)=0,"",VLOOKUP(BC94,Потребители_обозначение,6,FALSE)&amp;""),""),IF(AND(GA94="да",OR(_xlpm.bc="",_xlpm.bc="мс")),Марка_пож,IF(AND(_xlpm.bc="",BH94&lt;&gt;""),"мс",_xlpm.bc))))</f>
        <v/>
      </c>
      <c r="BZ94" t="str">
        <f t="shared" si="156"/>
        <v>мс</v>
      </c>
      <c r="CA94">
        <f>IF(B94="","",_xlfn.LET(_xlpm.cc,IFERROR(N(VLOOKUP(BC94,Потребители_обозначение,7,FALSE)),0),IF(_xlpm.cc&gt;0,_xlpm.cc,IF(BZ94="","",IF(BV94=1,2,IF(N(BX94)=3,5,3))))))</f>
        <v>3</v>
      </c>
      <c r="CB94">
        <f t="shared" si="157"/>
        <v>3</v>
      </c>
      <c r="CC94">
        <f>IFERROR(N(VLOOKUP(BC94,Потребители_обозначение,10,FALSE)),0)</f>
        <v>0</v>
      </c>
      <c r="CD94">
        <f>IFERROR(VLOOKUP(BC94,Потребители_обозначение,5,FALSE),0)</f>
        <v>1</v>
      </c>
      <c r="CE94" s="6" cm="1">
        <f t="array" ref="CE94">IF(B94="","",IF(BH94&lt;&gt;"",IFERROR(_xlfn.XLOOKUP(BH94,Щиты[Щит],Щиты[cos φ]),0.95),IF(BP94=1,IFERROR(_xlfn.XLOOKUP(A94,Щиты[Щит],Щиты[cos φ]),0.95),IF(ISNUMBER(AD94),AD94,IFERROR(IF(CD94=2,_xlfn.IFS(BX94=3,VLOOKUP(BS94,Справочная_двигатели,8,FALSE),BX94=1,VLOOKUP(BS94,Справочная_двигатели,10,TRUE)),IF(AND(Методика="нормы 2026",FG94="Сил"),0.8,0.95)),0.95)))))</f>
        <v>0.8</v>
      </c>
      <c r="CF94">
        <f t="shared" si="158"/>
        <v>0</v>
      </c>
      <c r="CG94">
        <f t="shared" si="159"/>
        <v>1</v>
      </c>
      <c r="CH94">
        <f t="shared" si="160"/>
        <v>0</v>
      </c>
      <c r="CI94">
        <f>IF(B94="","",IF(BV94=1,IFERROR(BS94/((Uн_лин/SQRT(3))*MAX(0.5,N(CE94))),0),N(O94)))</f>
        <v>0.60080512387545415</v>
      </c>
      <c r="CJ94">
        <f t="shared" si="161"/>
        <v>0</v>
      </c>
      <c r="CK94">
        <f t="shared" si="162"/>
        <v>0</v>
      </c>
      <c r="CL94">
        <f t="shared" si="163"/>
        <v>0</v>
      </c>
      <c r="CM94">
        <f t="shared" si="164"/>
        <v>0</v>
      </c>
      <c r="CN94">
        <f t="shared" si="165"/>
        <v>0</v>
      </c>
      <c r="CO94">
        <f>IF(BC94="",0,_xlfn.LET(_xlpm.v,IFERROR(_xlfn.XLOOKUP(B94,Коды_код,Коды_мА),IFERROR(_xlfn.XLOOKUP(BC94,Коды_код,Коды_мА),IFERROR(_xlfn.XLOOKUP(LEFT(BC94,2),Коды_код,Коды_мА),""))),IF(_xlpm.v="да",30,IF(ISNUMBER(_xlpm.v),_xlpm.v,0))))</f>
        <v>0</v>
      </c>
      <c r="CP94" t="str">
        <f t="shared" si="166"/>
        <v/>
      </c>
      <c r="CQ94" t="str">
        <f>_xlfn.LET(_xlpm.k,IFERROR(_xlfn.XLOOKUP(BC94,Коды_код,Коды_утечка)&amp;"",""),IF(_xlpm.k="","дифавтомат",_xlpm.k))</f>
        <v>дифавтомат</v>
      </c>
      <c r="CR94" t="str" cm="1">
        <f t="array" ref="CR94">IF(CG94=0,"",_xlfn.LET(_xlpm.sg,TRIM(_xlfn.TEXTSPLIT(DD94&amp;"",";")),_xlpm.f_,_xlfn._xlws.FILTER(_xlpm.sg,LEFT(_xlpm.sg,3)="УЗО",""),IFERROR(INDEX(_xlpm.f_,1)&amp;"","")))</f>
        <v/>
      </c>
      <c r="CS94" t="str">
        <f t="shared" si="167"/>
        <v/>
      </c>
      <c r="CT94" s="6" t="str" cm="1">
        <f t="array" ref="CT94">IF(CR94="","",_xlfn.LET(_xlpm.tk,_xlfn.TEXTSPLIT(UPPER(CR94)," ",,TRUE),_xlpm.a_,_xlfn._xlws.FILTER(_xlpm.tk,ISNUMBER(--LEFT(_xlpm.tk,1))*((ISNUMBER(SEARCH("А",_xlpm.tk))+ISNUMBER(SEARCH("A",_xlpm.tk)))&gt;0)*NOT(ISNUMBER(SEARCH("МА",_xlpm.tk)))*NOT(ISNUMBER(SEARCH("MA",_xlpm.tk))),""),IFERROR(--SUBSTITUTE(SUBSTITUTE(INDEX(_xlpm.a_,1),"А",""),"A",""),"")))</f>
        <v/>
      </c>
      <c r="CU94" t="str" cm="1">
        <f t="array" ref="CU94">IF(CR94="","",_xlfn.LET(_xlpm.tk,_xlfn.TEXTSPLIT(UPPER(CR94)," ",,TRUE),_xlpm.a_,_xlfn._xlws.FILTER(_xlpm.tk,ISNUMBER(--LEFT(_xlpm.tk,1))*((ISNUMBER(SEARCH("МА",_xlpm.tk))+ISNUMBER(SEARCH("MA",_xlpm.tk)))&gt;0),""),IFERROR(--SUBSTITUTE(SUBSTITUTE(INDEX(_xlpm.a_,1),"МА",""),"MA",""),30)))</f>
        <v/>
      </c>
      <c r="CV94" t="str">
        <f>IF(CS94="","",IFERROR(_xlfn.XLOOKUP(CS94,Линии[_n],Линии[_УЗО, мА]),30))</f>
        <v/>
      </c>
      <c r="CW94">
        <f>IF(CS94="",0,IF(ISNUMBER(SEARCH("4P",IFERROR(_xlfn.XLOOKUP(CS94,Линии[_n],Линии[_УЗО строки])&amp;"",""))),0,1))</f>
        <v>0</v>
      </c>
      <c r="CX94" t="str">
        <f>IF(AND(CS94&lt;&gt;"",CS94=BA94),SUMIFS(Линии[_ток на 230 В],Линии[_блок УЗО],BA94,Линии[Щит],A94),"")</f>
        <v/>
      </c>
      <c r="CY94" t="str">
        <f>IF(AND(CS94&lt;&gt;"",CS94=BA94),SUMIFS(Линии[_ток утечки линии, мА],Линии[_блок УЗО],BA94,Линии[Щит],A94),"")</f>
        <v/>
      </c>
      <c r="CZ94">
        <f t="shared" si="168"/>
        <v>0</v>
      </c>
      <c r="DA94">
        <f t="shared" si="169"/>
        <v>0</v>
      </c>
      <c r="DB94">
        <f>IF(B94="",0,IFERROR(--_xlfn.XLOOKUP(B94,Коды_код,Коды_минавт),IFERROR(--_xlfn.XLOOKUP(BC94,Коды_код,Коды_минавт),IFERROR(--_xlfn.XLOOKUP(LEFT(BC94,2),Коды_код,Коды_минавт),0))))</f>
        <v>0</v>
      </c>
      <c r="DC94" t="str">
        <f>IF(B94="","",IFERROR(_xlfn.XLOOKUP(BC94,Коды_код,Коды_апп)&amp;"",""))</f>
        <v/>
      </c>
      <c r="DD94" t="str">
        <f t="shared" si="170"/>
        <v/>
      </c>
      <c r="DE94" t="str" cm="1">
        <f t="array" ref="DE94">IF(TRIM(DD94&amp;"")="","",IFERROR(TRIM(INDEX(_xlfn.TEXTSPLIT(DD94&amp;";;;",";"),1)),""))</f>
        <v/>
      </c>
      <c r="DF94" t="str" cm="1">
        <f t="array" ref="DF94">IF(TRIM(DD94&amp;"")="","",IFERROR(TRIM(INDEX(_xlfn.TEXTSPLIT(DD94&amp;";;;",";"),2)),""))</f>
        <v/>
      </c>
      <c r="DG94" t="str" cm="1">
        <f t="array" ref="DG94">IF(TRIM(DD94&amp;"")="","",IFERROR(TRIM(INDEX(_xlfn.TEXTSPLIT(DD94&amp;";;;",";"),3)),""))</f>
        <v/>
      </c>
      <c r="DH94">
        <f t="shared" si="171"/>
        <v>0</v>
      </c>
      <c r="DI94" t="str">
        <f>IF(B94="","",_xlfn.LET(_xlpm.t,LOWER(AZ94&amp;""),IF(ISNUMBER(SEARCH("dim",_xlpm.t)),"DIM",IF(ISNUMBER(SEARCH("dali",_xlpm.t)),"DALI",IF(OR(ISNUMBER(SEARCH("relay",_xlpm.t)),ISNUMBER(SEARCH("реле",_xlpm.t))),"Relay",IF(ISNUMBER(SEARCH("кнопк",_xlpm.t)),"",IFERROR(_xlfn.XLOOKUP(BC94,Коды_код,Коды_упр)&amp;"","")))))))</f>
        <v/>
      </c>
      <c r="DJ94" t="str">
        <f t="shared" si="172"/>
        <v/>
      </c>
      <c r="DK94">
        <f>IF(B94="","",_xlfn.LET(_xlpm.ig,IF(N(CX94)&gt;0,N(CX94),N(CI94)+IF(AJ94="вручную",0,N(CJ94))),_xlpm.n0,IFERROR(VLOOKUP(_xlpm.ig,Автомат_номиналы,2,TRUE),0),_xlpm.mn,MAX(DB94,IF(AJ94="вручную",0,N(CM94))),MAX(_xlpm.n0,_xlpm.mn,IF(DH94=1,Мин_автомат_БП,0))))</f>
        <v>6</v>
      </c>
      <c r="DL94">
        <f t="shared" si="173"/>
        <v>1</v>
      </c>
      <c r="DM94" t="str">
        <f t="shared" si="174"/>
        <v>1P</v>
      </c>
      <c r="DN94" t="str">
        <f>_xlfn.LET(_xlpm.cc,UPPER(TRIM(IFERROR(_xlfn.XLOOKUP(BC94,Коды_код,Коды_хар)&amp;"",""))),IF(OR(_xlpm.cc="B",_xlpm.cc="В"),"B",IF(_xlpm.cc="D","D","С")))</f>
        <v>С</v>
      </c>
      <c r="DO94" t="str">
        <f t="shared" si="175"/>
        <v>1P С6А</v>
      </c>
      <c r="DP94">
        <f t="shared" si="176"/>
        <v>10</v>
      </c>
      <c r="DQ94" t="str">
        <f t="shared" si="177"/>
        <v>1P С10А</v>
      </c>
      <c r="DR94" cm="1">
        <f t="array" ref="DR94">IF(DQ94="","",_xlfn.LET(_xlpm.t,SUBSTITUTE(SUBSTITUTE(SUBSTITUTE(UPPER(DQ94),"С","C"),"А","A"),"В","B"),_xlpm.tk,_xlfn.TEXTSPLIT(_xlpm.t," "),_xlpm.f,_xlfn._xlws.FILTER(_xlpm.tk,ISNUMBER(--MID(_xlpm.tk,2,1))*ISNUMBER(SEARCH(LEFT(_xlpm.tk,1)&amp;"#","B#C#D#"))*(LEN(_xlpm.tk)&gt;1),""),_xlpm.x,INDEX(_xlpm.f,1),IFERROR(--SUBSTITUTE(MID(_xlpm.x,2,9),"A",""),IFERROR(--SUBSTITUTE(INDEX(_xlfn._xlws.FILTER(_xlpm.tk,ISNUMBER(--SUBSTITUTE(_xlpm.tk,"A","")),""),1),"A",""),""))))</f>
        <v>10</v>
      </c>
      <c r="DS94" t="str">
        <f t="shared" si="178"/>
        <v>ok</v>
      </c>
      <c r="DT94">
        <f t="shared" si="179"/>
        <v>10</v>
      </c>
      <c r="DU94" t="str">
        <f t="shared" si="180"/>
        <v>1P С10А</v>
      </c>
      <c r="DV94">
        <f t="shared" si="181"/>
        <v>0</v>
      </c>
      <c r="DW94">
        <f t="shared" si="182"/>
        <v>0</v>
      </c>
      <c r="DX94">
        <f t="shared" si="183"/>
        <v>0</v>
      </c>
      <c r="DY94">
        <f t="shared" si="184"/>
        <v>0.60080512387545415</v>
      </c>
      <c r="DZ94">
        <f t="shared" si="185"/>
        <v>1</v>
      </c>
      <c r="EA94">
        <f>IF(ISNUMBER(AP94),AP94,К_прокл)</f>
        <v>1</v>
      </c>
      <c r="EB94">
        <f t="shared" si="186"/>
        <v>2</v>
      </c>
      <c r="EC94">
        <f>IFERROR(N(VLOOKUP(BZ94,Кабель_обозначение,3,FALSE)),1)</f>
        <v>1</v>
      </c>
      <c r="ED94">
        <f>IFERROR(N(_xlfn.XLOOKUP(A94,Щиты[Щит],Щиты[ΔU до шин, %])),0)</f>
        <v>0.74</v>
      </c>
      <c r="EE94" t="str">
        <f>IFERROR(_xlfn.XLOOKUP(A94,Щиты[Щит],Щиты[Zпетли на шинах, Ом]),"")</f>
        <v/>
      </c>
      <c r="EF94">
        <f>IFERROR(N(_xlfn.XLOOKUP(A94,Щиты[Щит],Щиты[ΔU до шин (подбор), %])),0)</f>
        <v>1.96</v>
      </c>
      <c r="EG94" t="str">
        <f>IFERROR(_xlfn.XLOOKUP(A94,Щиты[Щит],Щиты[Zпетли на шинах (подбор), Ом]),"")</f>
        <v/>
      </c>
      <c r="EH94" t="str">
        <f t="shared" si="187"/>
        <v/>
      </c>
      <c r="EI94">
        <f t="shared" si="188"/>
        <v>24</v>
      </c>
      <c r="EJ94">
        <f t="shared" si="189"/>
        <v>2</v>
      </c>
      <c r="EK94">
        <f t="shared" si="190"/>
        <v>0.6</v>
      </c>
      <c r="EL94" s="6">
        <f>IF(B94="","",IF(BV94=1,dU_LED,IF(IFERROR(_xlfn.XLOOKUP(BC94,Коды_код,Коды_уго),"")="Светильник",3,4)+IF(Методика="нормы 2026",MIN(0.5,MAX(0,N(P94)-100)*0.005),0)))</f>
        <v>4</v>
      </c>
      <c r="EM94" cm="1">
        <f t="array" ref="EM94">IF(OR(B94="",BZ94="",EC94&lt;&gt;1),"",_xlfn.LET(_xlpm.sz,Iдоп_S,_xlpm.t_,CHOOSE(EB94,Iдоп_1ж,Iдоп_2ж,Iдоп_3ж)*DZ94*EA94,_xlpm.dcx,BV94=1,_xlpm.inn,IF(_xlpm.dcx,N(O94),N(DT94)),_xlpm.smin,MAX(1.5,CC94),_xlpm.L_,N(P94)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94)/N(BU94)*100,999),IFERROR(N(EJ94)*(_xlpm.rho*_xlpm.L_/_xlpm.sz*N(CE94)+_xlpm.xx*_xlpm.L_*N(EK94)/1000)*N(O94)/((Uн_лин/SQRT(3))*1000)*100,999)),_xlpm.kz,IF(OR(_xlpm.dcx,DW94=1,NOT(ISNUMBER(EG94)),_xlpm.L_=0,_xlpm.inn=0),1,IFERROR(--(c_min*(Uн_лин*1000/SQRT(3))/(EG94+2*ρкз_Cu*_xlpm.L_/_xlpm.sz)&gt;=HT94*_xlpm.inn),0)),_xlpm.ok,IFERROR((_xlpm.sz&gt;=_xlpm.smin)*(_xlpm.t_&gt;=_xlpm.inn)*IF(_xlpm.L_&gt;0,(_xlpm.du_+IF(_xlpm.dcx,0,EF94)&lt;=EL94+0.00001),1)*_xlpm.kz,0),_xlpm.r_,_xlfn._xlws.FILTER(_xlpm.sz,_xlpm.ok,"не подобрано"),INDEX(_xlpm.r_,1)))</f>
        <v>1.5</v>
      </c>
      <c r="EN94">
        <f t="shared" si="191"/>
        <v>1.5</v>
      </c>
      <c r="EO94" cm="1">
        <f t="array" ref="EO94">IF(OR(B94="",BZ94="",EC94&lt;&gt;1),"",_xlfn.LET(_xlpm.sz,Iдоп_S,_xlpm.t_,CHOOSE(EB94,Iдоп_1ж,Iдоп_2ж,Iдоп_3ж)*DZ94*EA94,_xlpm.ok,IFERROR((_xlpm.sz&gt;=MAX(1.5,CC94))*(_xlpm.t_&gt;=N(DT94)),0),_xlpm.r_,_xlfn._xlws.FILTER(_xlpm.sz,_xlpm.ok,""),INDEX(_xlpm.r_,1)))</f>
        <v>1.5</v>
      </c>
      <c r="EP94" s="6" cm="1">
        <f t="array" ref="EP94">IFERROR(ROUNDUP(N(EJ94)*(_xlfn.XLOOKUP(EO94,INDEX(Кабель_сопротивление,0,1),INDEX(Кабель_сопротивление,0,3))*N(P94)/EO94*N(CE94)+_xlfn.XLOOKUP(EO94,INDEX(Кабель_сопротивление,0,1),INDEX(Кабель_сопротивление,0,2))*N(P94)*N(EK94)/1000)*N(O94)/((Uн_лин/SQRT(3))*1000)*100,2),"")</f>
        <v>0.17</v>
      </c>
      <c r="EQ94">
        <f>IFERROR(2*ρкз_Cu*N(P94)/EO94,"")</f>
        <v>0.91173333333333328</v>
      </c>
      <c r="ER94">
        <f>IFERROR(VLOOKUP(EN94,Кабель_сопротивление,3,FALSE),"")</f>
        <v>2.2499999999999999E-2</v>
      </c>
      <c r="ES94">
        <f>IFERROR(VLOOKUP(EN94,Кабель_сопротивление,2,FALSE),"")</f>
        <v>0.11</v>
      </c>
      <c r="ET94">
        <f t="shared" si="192"/>
        <v>15</v>
      </c>
      <c r="EU94">
        <f t="shared" si="193"/>
        <v>0</v>
      </c>
      <c r="EV94">
        <f t="shared" si="194"/>
        <v>0.37696436048342397</v>
      </c>
      <c r="EW94" s="6">
        <f>IFERROR(ROUNDUP(EV94/IF(BV94=1,BU94,(Uн_лин/SQRT(3))*1000)*100,2),"")</f>
        <v>0.17</v>
      </c>
      <c r="EX94" t="str">
        <f>IFERROR(VLOOKUP(BZ94,Кабель_обозначение,2,FALSE),"")</f>
        <v>ВВГнг(А)-LS</v>
      </c>
      <c r="EY94" t="str">
        <f t="shared" si="195"/>
        <v>ВВГнг(А)-LS (3х1,5)</v>
      </c>
      <c r="EZ94" t="str">
        <f t="shared" si="196"/>
        <v>ВВГнг(А)-LS (3х1,5)
L=26-0,17%</v>
      </c>
      <c r="FA94">
        <f>IFERROR(2*ρкз_Cu*P94/EN94,"")</f>
        <v>0.91173333333333328</v>
      </c>
      <c r="FB94">
        <f t="shared" si="197"/>
        <v>0.3033333333333334</v>
      </c>
      <c r="FC94" s="6" t="str">
        <f>IFERROR(IF(OR(B94="",BV94=1,NOT(ISNUMBER(EN94)),N(P94)=0),"",_xlfn.XLOOKUP(A94,Щиты[Щит],Щиты[Zпетли на шинах, Ом])+FA94),"")</f>
        <v/>
      </c>
      <c r="FD94" s="6" t="str">
        <f>IF(ISNUMBER(FC94),c_min*(Uн_лин*1000/SQRT(3))/FC94,"")</f>
        <v/>
      </c>
      <c r="FE94" s="6" t="str">
        <f>IFERROR(IF(OR(B94="",NOT(ISNUMBER(EN94))),"",1.05*(Uн_лин*1000/SQRT(3))/(_xlfn.XLOOKUP(A94,Щиты[Щит],Щиты[Zmax на шинах, Ом])+FB94)/1000),"")</f>
        <v/>
      </c>
      <c r="FF94" s="6" t="str">
        <f>IF(B94="","",IF(ISNUMBER(AC94),"Сил",IF(IFERROR(_xlfn.XLOOKUP(BC94,Коды_код,Коды_группа)&amp;"","")="","Быт",_xlfn.XLOOKUP(BC94,Коды_код,Коды_группа)&amp;"")))</f>
        <v>Сил</v>
      </c>
      <c r="FG94" s="6" t="str">
        <f t="shared" si="198"/>
        <v>Сил</v>
      </c>
      <c r="FH94" s="6">
        <f>IF(FG94="Щит","щит",IF(FG94="","",IF(FG94="Быт",IFERROR(_xlfn.XLOOKUP(A94,Щиты[Щит],Щиты[Кс быт]),1),IF(FG94="Сил",IF(ISNUMBER(AC94),AC94,IF(Методика="нормы 2026",IFERROR(_xlfn.XLOOKUP(A94,Щиты[Щит],Щиты[Кс силовых (табл. 7.5)]),1),1)),IF(OR(FG94="Пост",FG94="Отоп"),1,IF(FG94="ВНГ",0.7,0))))))</f>
        <v>0.5</v>
      </c>
      <c r="FI94">
        <f>IF(FG94="","",IF(AND(BP94=1,TRIM(AE94&amp;"")=""),IF(COUNTIFS(Линии[Щит],A94,Линии[Секция (1/2/3)],"&gt;=2")&gt;0,MIN(3,MAX(1,IFERROR(--BD94,1))),1),IFERROR(MIN(3,MAX(1,INT(--AE94))),1)))</f>
        <v>1</v>
      </c>
      <c r="FJ94">
        <f t="shared" si="199"/>
        <v>0.111</v>
      </c>
      <c r="FK94">
        <f t="shared" si="200"/>
        <v>0</v>
      </c>
      <c r="FL94">
        <f t="shared" si="201"/>
        <v>5.5500000000000001E-2</v>
      </c>
      <c r="FM94">
        <f t="shared" si="202"/>
        <v>0</v>
      </c>
      <c r="FN94">
        <f t="shared" si="203"/>
        <v>0</v>
      </c>
      <c r="FO94">
        <f t="shared" si="204"/>
        <v>0</v>
      </c>
      <c r="FP94">
        <f t="shared" si="205"/>
        <v>0.111</v>
      </c>
      <c r="FQ94">
        <f t="shared" si="206"/>
        <v>0.111</v>
      </c>
      <c r="FR94">
        <f t="shared" si="207"/>
        <v>8.8800000000000004E-2</v>
      </c>
      <c r="FS94">
        <f>IF(CG94=1,IF(AND(CH94=1,CW94=1),0,IF(AND(CS94&lt;&gt;"",CS94=BA94,CW94=1),SUMIFS(Линии[_Р линии, кВт],Линии[_блок УЗО],BA94,Линии[Щит],A94),N(BS94)+IF(AJ94="вручную",0,N(CK94)))),0)</f>
        <v>0.111</v>
      </c>
      <c r="FT94" t="str">
        <f t="shared" si="208"/>
        <v>L1</v>
      </c>
      <c r="FU94" t="str">
        <f>IF(B94="","",IF(CG94=0,IF(BA94=1,"",FW93),IF(AND(CH94=1,CW94=1,CS94&lt;&gt;""),IFERROR(_xlfn.XLOOKUP(CS94,Линии[_n],Линии[_фаза итог]),"L1"),IF(OR(N(DL94)&gt;=3,N(BX94)&gt;=3),"L1,L2,L3",IFERROR(_xlfn.TEXTBEFORE(_xlfn.TEXTAFTER(_xlfn.XLOOKUP(A94,Щиты[Щит],Щиты[_фазы авто]),";"&amp;BA94&amp;":"),";"),"L1")))))</f>
        <v>L1</v>
      </c>
      <c r="FV94" t="str">
        <f t="shared" si="209"/>
        <v>L1</v>
      </c>
      <c r="FW94" t="str">
        <f t="shared" si="210"/>
        <v>L1</v>
      </c>
      <c r="FX94" cm="1">
        <f t="array" ref="FX94">IFERROR(IF(CD94=2,_xlfn.IFS(BX94=3,VLOOKUP(BS94,Справочная_двигатели,3,FALSE),BX94=1,VLOOKUP(BS94,Справочная_двигатели,5,TRUE)),0),0)</f>
        <v>0</v>
      </c>
      <c r="FY94">
        <f>IFERROR(IF(CD94=3,VLOOKUP(BS94,Справочная_ЛЭД,2,TRUE),0),0)</f>
        <v>0</v>
      </c>
      <c r="FZ94" s="6">
        <f t="shared" si="211"/>
        <v>0</v>
      </c>
      <c r="GA94" t="str">
        <f>IF(B94="","",IF(TRIM(AH94&amp;"")&lt;&gt;"",IF(LOWER(TRIM(AH94&amp;""))="да","да","нет"),IF(IFERROR(_xlfn.XLOOKUP(BC94,Коды_код,Коды_пожарная),"")="да","да","нет")))</f>
        <v>нет</v>
      </c>
      <c r="GB94" t="str">
        <f t="shared" si="212"/>
        <v/>
      </c>
      <c r="GC94" t="str">
        <f t="shared" si="213"/>
        <v>основная</v>
      </c>
      <c r="GD94">
        <f>IF(AND(BP94=1,TRIM(AE94&amp;"")=""),IF(COUNTIFS(Линии[Щит],A94,Линии[Секция (1/2/3)],"&gt;=2")&gt;0,MIN(3,MAX(1,IFERROR(--BD94,1))),1),IFERROR(MIN(3,MAX(1,INT(--AE94))),1))</f>
        <v>1</v>
      </c>
      <c r="GE94" t="str" cm="1">
        <f t="array" ref="GE94">IF(B94="","",_xlfn.LET(_xlpm.t,IFERROR(_xlfn.XLOOKUP(1,(Шины[Шина]=GC94)*(((Шины[Щит]=A94)+(Шины[Щит]=""))&gt;0),Шины[Тип]),"")&amp;"",IF(_xlpm.t&lt;&gt;"",_xlpm.t,IF(ISNUMBER(SEARCH("ИБП",GC94)),"ИБП",IF(ISNUMBER(SEARCH("ДГУ",GC94)),"ДГУ","Ввод "&amp;GD94)))))</f>
        <v>Ввод 1</v>
      </c>
      <c r="GF94" t="str">
        <f t="shared" si="214"/>
        <v>Ввод 1</v>
      </c>
      <c r="GG94" t="str">
        <f>IF(BP94=0,"",IF(TRIM(AG94&amp;"")&lt;&gt;"",TRIM(AG94&amp;""),IF(OR(GE94="ИБП",GE94="ДГУ"),"I особая",_xlfn.XLOOKUP(A94,Щиты[Щит],Щиты[Категория шины «Ввод»],"III"))))</f>
        <v/>
      </c>
      <c r="GH94" t="str">
        <f>IF(A94="","",_xlfn.XLOOKUP(A94,Щиты[Щит],Щиты[Путь],""))</f>
        <v>|ГРЩ-ЖД|ЩОВ-002|</v>
      </c>
      <c r="GI94" t="str">
        <f>IF(B94="","",IF(AI94&lt;&gt;"",AI94,IF(IFERROR(_xlfn.XLOOKUP(BC94,Коды_код,Коды_вид)&amp;"","")="","Прочее",_xlfn.XLOOKUP(BC94,Коды_код,Коды_вид)&amp;"")))</f>
        <v>Кондиционирование и увлажнение</v>
      </c>
      <c r="GJ94">
        <f>IF(BM94="","",INT((BM94-1)/Столбцов_на_лист)+1)</f>
        <v>2</v>
      </c>
      <c r="GK94" t="str">
        <f t="shared" si="215"/>
        <v>ВВГнг(А)-LS (3х1,5) L=26-0,17%</v>
      </c>
      <c r="GL94">
        <f t="shared" si="216"/>
        <v>0.111</v>
      </c>
      <c r="GM94">
        <f t="shared" si="217"/>
        <v>0.61</v>
      </c>
      <c r="GN94">
        <f t="shared" si="218"/>
        <v>1</v>
      </c>
      <c r="GO94">
        <f t="shared" si="219"/>
        <v>0</v>
      </c>
      <c r="GP94">
        <f t="shared" si="220"/>
        <v>1</v>
      </c>
      <c r="GQ94">
        <f>IF(BM94="","",IF(AND(CG94=1,GP94=1),COUNTIFS(A$3:A94,A94,CG$3:CG94,1,GP$3:GP94,1),IF(OR(OR(BA94=1,A94&lt;&gt;A93),AJ94="вручную",GP94=0),"",IF(BA94=1,"",GR93))))</f>
        <v>6</v>
      </c>
      <c r="GR94">
        <f t="shared" si="221"/>
        <v>6</v>
      </c>
      <c r="GS94">
        <f>IF(B94="","",IFERROR(LOOKUP(INDEX(CHOOSE(EB94,Iдоп_1ж,Iдоп_2ж,Iдоп_3ж),MATCH(EN94,Iдоп_S,0))*DZ94*EA94,{6,10,16,20,25,32,40,50,63,80,100,125,160,200,250,315,400,500,630}),""))</f>
        <v>16</v>
      </c>
      <c r="GT94" t="str">
        <f t="shared" si="222"/>
        <v>QF6</v>
      </c>
      <c r="GU94" t="str">
        <f t="shared" si="223"/>
        <v>QF6</v>
      </c>
      <c r="GV94" t="str">
        <f t="shared" si="224"/>
        <v/>
      </c>
      <c r="GW94">
        <f t="shared" si="225"/>
        <v>0</v>
      </c>
      <c r="GX94" t="str">
        <f>IF(OR(B94="",DJ94=""),"",IFERROR(_xlfn.XLOOKUP(DJ94,Модули_умолч[Управление],Модули_умолч[Модель])&amp;"",""))</f>
        <v/>
      </c>
      <c r="GY94">
        <f>IF(DJ94="",1,IFERROR(MAX(0,N(_xlfn.XLOOKUP(DJ94,Модули_умолч[Управление],Модули_умолч[Каналов на линию]))),1))</f>
        <v>1</v>
      </c>
      <c r="GZ94" t="str">
        <f t="shared" si="226"/>
        <v/>
      </c>
      <c r="HA94" t="str">
        <f t="shared" si="227"/>
        <v/>
      </c>
      <c r="HB94" t="str">
        <f t="shared" si="228"/>
        <v/>
      </c>
      <c r="HC94">
        <f>IF(HB94="",0,IFERROR(N(VLOOKUP(HB94,Модули_спр,3,FALSE)),0))</f>
        <v>0</v>
      </c>
      <c r="HD94" t="str">
        <f t="shared" si="229"/>
        <v/>
      </c>
      <c r="HE94" t="str">
        <f t="shared" si="230"/>
        <v/>
      </c>
      <c r="HF94" t="str">
        <f>IF(OR(HE94="",HE94="-"),"",IFERROR(VLOOKUP(HE94,Модули_спр,2,FALSE),"R"))</f>
        <v/>
      </c>
      <c r="HG94" t="str">
        <f>IF(HF94="","",HF94&amp;"."&amp;COUNTIFS(A$3:A94,A94,HF$3:HF94,HF94))</f>
        <v/>
      </c>
      <c r="HH94" t="str">
        <f t="shared" si="231"/>
        <v/>
      </c>
      <c r="HI94" t="str">
        <f t="shared" si="232"/>
        <v/>
      </c>
      <c r="HJ94" t="str">
        <f t="shared" si="233"/>
        <v/>
      </c>
      <c r="HK94" t="str">
        <f t="shared" si="234"/>
        <v/>
      </c>
      <c r="HL94">
        <f t="shared" si="235"/>
        <v>1</v>
      </c>
      <c r="HM94" t="str">
        <f>IF(HL94=1,"XT"&amp;COUNTIFS(A$3:A94,A94,HL$3:HL94,1),"")</f>
        <v>XT6</v>
      </c>
      <c r="HN94" t="str">
        <f t="shared" si="236"/>
        <v/>
      </c>
      <c r="HO94" t="str">
        <f t="shared" si="237"/>
        <v>QF6</v>
      </c>
      <c r="HP94" t="str">
        <f t="shared" si="238"/>
        <v/>
      </c>
      <c r="HQ94" t="str">
        <f t="shared" si="239"/>
        <v>ok</v>
      </c>
      <c r="HR94" t="str">
        <f>IF(OR(HJ94="",HH94=""),"",IF(HJ94+MAX(0,GY94-1)&gt;IFERROR(VLOOKUP(HI94,Модули_спр,3,FALSE),99),"ЛИШНИЙ КАНАЛ",IF(AND(AL94&lt;&gt;"=",GY94&gt;0,COUNTIFS(Линии[_модуль гр.],HH94,Линии[Канал (итог)],HJ94,Линии[Канал],"&lt;&gt;=",Линии[Щит],A94)&gt;1),"ДУБЛЬ КАНАЛА","")))</f>
        <v/>
      </c>
      <c r="HS94" s="6" t="str">
        <f t="shared" si="240"/>
        <v/>
      </c>
      <c r="HT94">
        <f t="shared" si="241"/>
        <v>10</v>
      </c>
      <c r="HU94" t="str">
        <f t="shared" si="242"/>
        <v/>
      </c>
      <c r="HV94">
        <f t="shared" si="243"/>
        <v>0.50032204955018167</v>
      </c>
      <c r="HW94">
        <f t="shared" si="244"/>
        <v>0</v>
      </c>
      <c r="HX94">
        <f t="shared" si="245"/>
        <v>0</v>
      </c>
      <c r="HY94">
        <f t="shared" si="246"/>
        <v>0</v>
      </c>
      <c r="HZ94">
        <f t="shared" si="247"/>
        <v>0</v>
      </c>
      <c r="IA94">
        <f t="shared" si="248"/>
        <v>0</v>
      </c>
      <c r="IB94">
        <f t="shared" si="249"/>
        <v>0</v>
      </c>
      <c r="IC94" t="str">
        <f t="shared" si="250"/>
        <v/>
      </c>
      <c r="ID94" t="str" cm="1">
        <f t="array" ref="ID94">IF(IC94="","",_xlfn.LET(_xlpm.tk,_xlfn.TEXTSPLIT(SUBSTITUTE(SUBSTITUTE(IC94,";"," "),"→"," ")," ",,TRUE),_xlpm.w_,_xlfn._xlws.FILTER(_xlpm.tk,ISNUMBER(--LEFT(_xlpm.tk,1))*((ISNUMBER(SEARCH("W",_xlpm.tk))+ISNUMBER(SEARCH("Вт",_xlpm.tk)))&gt;0),""),IFERROR(--SUBSTITUTE(SUBSTITUTE(UPPER(INDEX(_xlpm.w_,1)),"W",""),"ВТ",""),"")))</f>
        <v/>
      </c>
      <c r="IE94" t="str" cm="1">
        <f t="array" ref="IE94">IF(IC94="","",_xlfn.LET(_xlpm.tk,_xlfn.TEXTSPLIT(SUBSTITUTE(SUBSTITUTE(IC94,";"," "),"→"," ")," ",,TRUE),_xlpm.v_,_xlfn._xlws.FILTER(_xlpm.tk,ISNUMBER(--LEFT(_xlpm.tk,1))*((ISNUMBER(SEARCH("V",_xlpm.tk))+(RIGHT(UPPER(_xlpm.tk))="В"))&gt;0),""),IFERROR(--SUBSTITUTE(SUBSTITUTE(UPPER(INDEX(_xlpm.v_,1)),"V",""),"В",""),"")))</f>
        <v/>
      </c>
      <c r="IF94" s="6" t="str">
        <f>IF(OR(BV94=0,HI94="",HJ94=""),"",IFERROR(N(_xlfn.XLOOKUP(HI94,Каталог!$C$4:$C$500,Каталог!$Q$4:$Q$500)),""))</f>
        <v/>
      </c>
      <c r="IG94" s="6" t="str">
        <f>IF(N(IF94)=0,"",SUMIFS(Линии[Iр, А],Линии[Щит],A94,Линии[_модуль гр.],HH94,Линии[Канал (итог)],HJ94))</f>
        <v/>
      </c>
      <c r="IH94" t="str">
        <f>IF(AND(B94="",HO94=""),"",_xlfn.TEXTJOIN("; ",TRUE,IF(AND(B94&lt;&gt;"",FV94=""),"нет фазы",""),IF(AND(B94&lt;&gt;"",N(GL94)=0,FG94&lt;&gt;"Нет"),"нет мощности",""),IF(AND(HN94&lt;&gt;"",COUNTIFS(Линии[Щит],A94,Линии[Клемма (итог)],HN94)&gt;1),"дубль клеммы "&amp;HN94,""),IF(AND(HQ94&lt;&gt;"",HQ94&lt;&gt;"ok"),HQ94,""),IF(HR94&lt;&gt;"",HR94,""),IF(AND(N(CB94)&gt;=4,N(BX94)=1),CB94&amp;" жил на 1 фазе",""),IF(AND(BC94="R",CG94=1,IF(CS94&lt;&gt;"",N(CV94)&gt;30,OR(N(DA94)=0,N(DA94)&gt;30))),"розетка без дифзащиты до 30 мА",""),IF(AND(CG94=1,N(DA94)&gt;0,ISNUMBER(T94)),IF(T94&gt;N(DA94)/3,"ток утечки "&amp;FIXED(T94,1)&amp;" мА &gt; 1/3 уставки ("&amp;DA94&amp;" мА)",""),""),IF(AND(CH94=1,CS94=""),"«узо»: нет строки с УЗО выше (УЗО 2P 40А 30мА в «Аппаратах»)",""),IF(AND(CS94&lt;&gt;"",CS94=BA94),IF(CT94="","впишите номинал УЗО (УЗО 2P 40А 30мА)",IF(N(CT94)&lt;N(DT94),"УЗО "&amp;CT94&amp;" А &lt; автомата "&amp;DT94&amp;" А перед ним",IF(N(CT94)&lt;N(CX94),"УЗО "&amp;CT94&amp;" А &lt; тока блока "&amp;FIXED(CX94,1)&amp;" А",""))),""),IF(AND(CS94&lt;&gt;"",CS94=BA94,ISNUMBER(CY94)),IF(CY94&gt;N(CV94)/3,"ток утечки блока УЗО "&amp;FIXED(CY94,1)&amp;" мА &gt; 1/3 уставки ("&amp;CV94&amp;" мА)",""),""),IF(AND(CG94=1,N(BV94)+N(IB94)&gt;0,IC94=""),"линии до 50 В без БП: впишите в «Аппараты» (БП 24V 480W)",""),IF(AND(CG94=1,ISNUMBER(ID94),ISNUMBER(U94)),IF(U94&gt;ID94,"БП "&amp;ID94&amp;" Вт &lt; нужно "&amp;U94&amp;" Вт (×"&amp;Запас_БП&amp;")",""),""),IF(AND(CG94=1,ISNUMBER(IE94),N(BV94)=1),IF(IE94&lt;&gt;N(BU94),"БП на "&amp;IE94&amp;" В, линия "&amp;BU94&amp;" В",""),""),IF(AND(N(IF94)&gt;0,N(IG94)&gt;N(IF94)),HH94&amp;" канал "&amp;HJ94&amp;": "&amp;FIXED(IG94,1)&amp;" А &gt; "&amp;IF94&amp;" А",""),IFERROR(IF(AND(ISNUMBER(Q94),Q94&gt;EL94),"потери "&amp;FIXED(Q94,1)&amp;" % &gt; "&amp;EL94&amp;" %",""),""),IFERROR(IF(LEFT(HU94,4)="мало","Iкз мало — отключение &gt; 0,4 с",""),""),IF(AND(B94&lt;&gt;"",BM94=""),"не на схеме",""),IF(AND(CG94=0,B94&lt;&gt;"",FV94&lt;&gt;"",IF(BA94=1,"",FW93)&lt;&gt;"",FV94&lt;&gt;IF(BA94=1,"",FW93)),"фаза не как у автомата группы ("&amp;IF(BA94=1,"",FW93)&amp;")","")))</f>
        <v/>
      </c>
      <c r="II94" s="6">
        <f>IF(OR(CG94=0,DQ94=""),"",_xlfn.LET(_xlpm.t,IFERROR(_xlfn.XLOOKUP(DQ94,Каталог!$U$4:$U$500,Каталог!$G$4:$G$500),""),_xlpm.k,SEARCH("кА",_xlpm.t),IFERROR(--TRIM(RIGHT(SUBSTITUTE(MID(_xlpm.t,MAX(1,_xlpm.k-4),_xlpm.k-MAX(1,_xlpm.k-4))," ",REPT(" ",9)),5)),"")))</f>
        <v>6</v>
      </c>
      <c r="IJ94" t="str">
        <f>IF(OR(II94="",CG94=0),"",IF(_xlfn.XLOOKUP(A94,Щиты[Щит],Щиты[Iкз max на шинах, кА],"")="","",IF(II94&lt;_xlfn.XLOOKUP(A94,Щиты[Щит],Щиты[Iкз max на шинах, кА]),"Icu "&amp;II94&amp;" кА &lt; Iкз max","ok")))</f>
        <v/>
      </c>
      <c r="IK94" t="str">
        <f t="shared" si="251"/>
        <v/>
      </c>
      <c r="IL94" t="str">
        <f t="shared" si="252"/>
        <v>QF6</v>
      </c>
      <c r="IM94" t="str">
        <f t="shared" si="253"/>
        <v>QF6|кабель ВВГнг(А)-LS (3х1,5) → Внутренний блок кондиционирования Подвальный этаж Пом. №005Т</v>
      </c>
      <c r="IN94" t="str" cm="1">
        <f t="array" ref="IN94">IF(IM94="","",_xlfn.LET(_xlpm.nd,_xlfn.TEXTSPLIT(IM94,"|"),IF(COLUMNS(_xlpm.nd)&gt;1,A94&amp;"¦"&amp;INDEX(_xlpm.nd,1)&amp;"¦"&amp;INDEX(_xlpm.nd,2),"")))</f>
        <v>ЩОВ-002¦QF6¦кабель ВВГнг(А)-LS (3х1,5) → Внутренний блок кондиционирования Подвальный этаж Пом. №005Т</v>
      </c>
      <c r="IO94" t="str">
        <f t="shared" si="254"/>
        <v>K.0.006A¦Внутренний блок кондиционирования Подвальный этаж Пом. №005Т</v>
      </c>
      <c r="IP94" t="str" cm="1">
        <f t="array" ref="IP94">IF(IM94="","",_xlfn.LET(_xlpm.nd,_xlfn.TEXTSPLIT(IM94,"|"),IF(COLUMNS(_xlpm.nd)&gt;2,A94&amp;"¦"&amp;INDEX(_xlpm.nd,2)&amp;"¦"&amp;INDEX(_xlpm.nd,3),"")))</f>
        <v/>
      </c>
      <c r="IQ94" t="str">
        <f t="shared" si="255"/>
        <v/>
      </c>
      <c r="IR94" t="str" cm="1">
        <f t="array" ref="IR94">IF(IM94="","",_xlfn.LET(_xlpm.nd,_xlfn.TEXTSPLIT(IM94,"|"),IF(COLUMNS(_xlpm.nd)&gt;3,A94&amp;"¦"&amp;INDEX(_xlpm.nd,3)&amp;"¦"&amp;INDEX(_xlpm.nd,4),"")))</f>
        <v/>
      </c>
      <c r="IS94" t="str">
        <f t="shared" si="256"/>
        <v/>
      </c>
      <c r="IT94" t="str" cm="1">
        <f t="array" ref="IT94">IF(IM94="","",_xlfn.LET(_xlpm.nd,_xlfn.TEXTSPLIT(IM94,"|"),IF(COLUMNS(_xlpm.nd)&gt;4,A94&amp;"¦"&amp;INDEX(_xlpm.nd,4)&amp;"¦"&amp;INDEX(_xlpm.nd,5),"")))</f>
        <v/>
      </c>
      <c r="IU94" t="str">
        <f t="shared" si="257"/>
        <v/>
      </c>
      <c r="IV94" t="str" cm="1">
        <f t="array" ref="IV94">IF(IM94="","",_xlfn.LET(_xlpm.nd,_xlfn.TEXTSPLIT(IM94,"|"),IF(COLUMNS(_xlpm.nd)&gt;5,A94&amp;"¦"&amp;INDEX(_xlpm.nd,5)&amp;"¦"&amp;INDEX(_xlpm.nd,6),"")))</f>
        <v/>
      </c>
      <c r="IW94" t="str">
        <f t="shared" si="258"/>
        <v/>
      </c>
      <c r="IX94" t="str" cm="1">
        <f t="array" ref="IX94">IF(IM94="","",_xlfn.LET(_xlpm.nd,_xlfn.TEXTSPLIT(IM94,"|"),IF(COLUMNS(_xlpm.nd)&gt;6,A94&amp;"¦"&amp;INDEX(_xlpm.nd,6)&amp;"¦"&amp;INDEX(_xlpm.nd,7),"")))</f>
        <v/>
      </c>
      <c r="IY94" t="str">
        <f t="shared" si="259"/>
        <v/>
      </c>
      <c r="IZ94" t="str">
        <f t="shared" si="260"/>
        <v/>
      </c>
      <c r="JA94" t="str">
        <f t="shared" si="261"/>
        <v>QF6</v>
      </c>
      <c r="JB94">
        <f t="shared" si="262"/>
        <v>0</v>
      </c>
      <c r="JC94">
        <f t="shared" si="263"/>
        <v>0</v>
      </c>
      <c r="JD94" t="str">
        <f t="shared" si="264"/>
        <v/>
      </c>
      <c r="JE94" t="str">
        <f t="shared" si="265"/>
        <v/>
      </c>
      <c r="JF94" t="str">
        <f t="shared" si="266"/>
        <v/>
      </c>
      <c r="JG94" t="str">
        <f t="shared" si="267"/>
        <v/>
      </c>
      <c r="JH94">
        <f>IF(B94="","",IFERROR(_xlfn.XLOOKUP(B94,Коды_код,Коды_уго),IFERROR(_xlfn.XLOOKUP(BC94,Коды_код,Коды_уго),IFERROR(_xlfn.XLOOKUP(LEFT(BC94,2),Коды_код,Коды_уго),""))))</f>
        <v>0</v>
      </c>
      <c r="JI94" t="str">
        <f>IF(B94="","",IF(OR(JH94="",JH94=0),"BOX",IFERROR(IF(VLOOKUP(JH94,УГО_блоки,3,FALSE)&amp;""&lt;&gt;"",VLOOKUP(JH94,УГО_блоки,3,FALSE),VLOOKUP(JH94,УГО_блоки,2,FALSE)),JH94)))</f>
        <v>BOX</v>
      </c>
      <c r="JJ94">
        <f t="shared" si="268"/>
        <v>1</v>
      </c>
      <c r="JK94" t="str">
        <f>IF(DQ94="","",IF(COUNTIF(DQ$3:DQ94,DQ94)=1,MAX(JK$2:JK93)+1,""))</f>
        <v/>
      </c>
      <c r="JL94" t="str">
        <f>IF(DE94="","",IF(COUNTIF(DE$3:DE94,DE94)+COUNTIF(DF$2:DF93,DE94)+COUNTIF(DG$2:DG93,DE94)=1,MAX(JL$2:JN93)+1,""))</f>
        <v/>
      </c>
      <c r="JM94" t="str">
        <f>IF(DF94="","",IF(COUNTIF(DE$3:DE94,DF94)+COUNTIF(DF$3:DF94,DF94)+COUNTIF(DG$2:DG93,DF94)=1,MAX(JL$2:JN93,JL94)+1,""))</f>
        <v/>
      </c>
      <c r="JN94" t="str">
        <f>IF(DG94="","",IF(COUNTIF(DE$3:DE94,DG94)+COUNTIF(DF$3:DF94,DG94)+COUNTIF(DG$3:DG94,DG94)=1,MAX(JL$2:JN93,JL94,JM94)+1,""))</f>
        <v/>
      </c>
      <c r="JO94" t="str">
        <f t="shared" si="269"/>
        <v>3х1,5</v>
      </c>
      <c r="JP94" t="str">
        <f>IF(JO94="","",IF(COUNTIF(JO$3:JO94,JO94)=1,MAX(JP$2:JP93)+1,""))</f>
        <v/>
      </c>
      <c r="JQ94" t="str">
        <f>IF(HG94="","",COUNTIF(HG$3:HG94,"?*"))</f>
        <v/>
      </c>
      <c r="JR94" t="str">
        <f>IF(OR(HG94="",HI94=""),"",IF(COUNTIFS(HG$3:HG94,"?*",HI$3:HI94,HI94)=1,MAX(JR$2:JR93)+1,""))</f>
        <v/>
      </c>
      <c r="JS94">
        <f t="shared" si="270"/>
        <v>0</v>
      </c>
      <c r="JT94">
        <f>IF(B94="","",COUNTIF(B$3:B94,"?*"))</f>
        <v>92</v>
      </c>
      <c r="JU94">
        <f>IF(HL94&lt;&gt;1,0,_xlfn.LET(_xlpm.k,MAX(IFERROR(--_xlfn.XLOOKUP(B94,Коды_код,Коды_3L),0),IFERROR(--_xlfn.XLOOKUP(BC94,Коды_код,Коды_3L),0),IFERROR(--_xlfn.XLOOKUP(LEFT(BC94,2),Коды_код,Коды_3L),0)),IF(_xlpm.k&gt;0,_xlpm.k,IF(IFERROR(--LEFT(SUBSTITUTE(JO94,"x","х"),FIND("х",SUBSTITUTE(JO94,"x","х"))-1),3)&gt;3,Каталог!$S$9,1))))</f>
        <v>1</v>
      </c>
      <c r="JV94">
        <f t="shared" si="271"/>
        <v>0</v>
      </c>
      <c r="JW94" t="str">
        <f t="shared" si="272"/>
        <v>авто</v>
      </c>
      <c r="JX94" t="str">
        <f t="shared" si="273"/>
        <v/>
      </c>
      <c r="JY94">
        <f t="shared" si="274"/>
        <v>0</v>
      </c>
      <c r="JZ94">
        <f t="shared" si="275"/>
        <v>1</v>
      </c>
    </row>
    <row r="95" spans="1:286" x14ac:dyDescent="0.3">
      <c r="A95" t="s">
        <v>749</v>
      </c>
      <c r="B95" t="s">
        <v>1407</v>
      </c>
      <c r="C95" t="s">
        <v>1664</v>
      </c>
      <c r="D95">
        <v>1</v>
      </c>
      <c r="E95">
        <v>0.104</v>
      </c>
      <c r="G95">
        <v>10</v>
      </c>
      <c r="H95" t="str">
        <f>Линии[[#This Row],[_авто управление]]</f>
        <v/>
      </c>
      <c r="I95" t="str">
        <f>Линии[[#This Row],[_авто аппараты]]</f>
        <v/>
      </c>
      <c r="J95">
        <v>1.5</v>
      </c>
      <c r="K95">
        <v>25</v>
      </c>
      <c r="L95">
        <v>1</v>
      </c>
      <c r="M95" t="s">
        <v>484</v>
      </c>
      <c r="N95" t="str">
        <f t="shared" si="138"/>
        <v/>
      </c>
      <c r="O95" s="6" cm="1">
        <f t="array" ref="O95">IF(B95="","",IF(BH95&lt;&gt;"",IFERROR(_xlfn.XLOOKUP(BH95,Щиты[Щит],Щиты[Iр, А]),""),IF(BP95=1,IF(OR(N(_xlfn.XLOOKUP(A95,Щиты[Щит],Щиты[Вводов],1))&lt;=1,LOWER(TRIM(_xlfn.XLOOKUP(A95,Щиты[Щит],Щиты[АВР],"")&amp;""))="да"),IFERROR(_xlfn.XLOOKUP(A95,Щиты[Щит],Щиты[Iр, А]),""),IFERROR(N(BS95)*_xlfn.XLOOKUP(A95,Щиты[Щит],Щиты[Кс итог])/(SQRT(3)*Uн_лин*_xlfn.XLOOKUP(A95,Щиты[Щит],Щиты[cos φ])),"")),IF(BV95=1,IFERROR(BS95*1000/BU95,""),IFERROR(_xlfn.IFS(BX95=1,BS95/((Uн_лин/SQRT(3))*CE95),BX95=3,BS95/(SQRT(3)*Uн_лин*CE95)),"")))))</f>
        <v>0.56291651245988494</v>
      </c>
      <c r="P95" s="7">
        <f>IF(B95="","",IFERROR(IF(VLOOKUP(BC95,Потребители_обозначение,4,FALSE)=1,VLOOKUP(BC95,Потребители_обозначение,3,FALSE)*(MAX(1,N(D95))*2-1)+EI95+VLOOKUP(BE95,Этаж_обозначение,3,FALSE)+VLOOKUP(BE95,Этаж_обозначение,4,FALSE),VLOOKUP(BC95,Потребители_обозначение,3,FALSE)*(MAX(1,N(D95))*2-1)+EI95),EI95))</f>
        <v>27</v>
      </c>
      <c r="Q95" s="6">
        <f t="shared" si="139"/>
        <v>0.9</v>
      </c>
      <c r="R95" t="str">
        <f t="shared" si="140"/>
        <v>ВВГнг(А)-LS (3х1,5)</v>
      </c>
      <c r="S95" t="str">
        <f>IF(BM95="","",IF(BN95="вводной узел","узел ","")&amp;"л."&amp;(INT((BM95-1)/Столбцов_на_лист)+1)&amp;" / "&amp;(MOD(BM95-1,Столбцов_на_лист)+1))</f>
        <v>л.2 / 8</v>
      </c>
      <c r="T95" s="119">
        <f t="shared" si="141"/>
        <v>0.5</v>
      </c>
      <c r="U95" s="7" t="str">
        <f>IF(OR(CG95=0,N(BV95)+N(IB95)=0),"",ROUNDUP(Запас_БП*(N(HY95)+N(HZ95)),0))</f>
        <v/>
      </c>
      <c r="V95" s="119" t="str">
        <f t="shared" si="142"/>
        <v/>
      </c>
      <c r="W95" s="7" t="str">
        <f>IFERROR(IF(OR(B95="",BP95=1,BV95=1,NOT(ISNUMBER(EN95)),N(DT95)=0),"",MAX(0,ROUNDDOWN((c_min*(Uн_лин*1000/SQRT(3))/(HT95*N(DT95))-_xlfn.XLOOKUP(A95,Щиты[Щит],Щиты[Zпетли на шинах, Ом]))*EN95/(2*ρкз_Cu),0))),"")</f>
        <v/>
      </c>
      <c r="Y95" t="str">
        <f>Линии[[#This Row],[_авто утечка]]</f>
        <v/>
      </c>
      <c r="Z95">
        <v>1</v>
      </c>
      <c r="AA95">
        <v>230</v>
      </c>
      <c r="AB95" t="s">
        <v>598</v>
      </c>
      <c r="AC95">
        <v>0.5</v>
      </c>
      <c r="AG95" t="s">
        <v>810</v>
      </c>
      <c r="AI95" t="s">
        <v>576</v>
      </c>
      <c r="AK95" t="str">
        <f>Линии[[#This Row],[_авто модуль]]</f>
        <v/>
      </c>
      <c r="AM95">
        <v>25</v>
      </c>
      <c r="AN95" t="s">
        <v>11</v>
      </c>
      <c r="AO95">
        <v>3</v>
      </c>
      <c r="AQ95">
        <v>11</v>
      </c>
      <c r="AR95">
        <v>16</v>
      </c>
      <c r="AT95">
        <v>1</v>
      </c>
      <c r="BA95" cm="1">
        <f t="array" ref="BA95">ROW()-ROW(Линии[#Headers])</f>
        <v>93</v>
      </c>
      <c r="BC95" s="6" t="str">
        <f t="shared" si="143"/>
        <v>K</v>
      </c>
      <c r="BD95" t="str">
        <f t="shared" si="144"/>
        <v>00.001A</v>
      </c>
      <c r="BE95" t="str">
        <f t="shared" si="145"/>
        <v>00</v>
      </c>
      <c r="BF95" t="str">
        <f t="shared" si="146"/>
        <v>001A</v>
      </c>
      <c r="BG95" t="str">
        <f t="shared" si="147"/>
        <v>001A</v>
      </c>
      <c r="BH95" t="str">
        <f>IF(X95&lt;&gt;"",X95,IF(AND(B95&lt;&gt;"",B95&lt;&gt;A95,ISNUMBER(_xlfn.XMATCH(B95,Щиты[Щит]))),B95,""))</f>
        <v/>
      </c>
      <c r="BI95" t="str" cm="1">
        <f t="array" ref="BI95">IF(B95="","",IF(BH95&lt;&gt;"","Щит "&amp;BH95,_xlfn.LET(_xlpm.nm,IFERROR(_xlfn.XLOOKUP(BC95,Коды_код,Коды_имя)&amp;"",""),_xlpm.md,IFERROR(N(_xlfn.XLOOKUP(BC95,Коды_код,Коды_режим)),1),_xlpm.ex,IF(Имя_режим="по экспликации",IFERROR(_xlfn.XLOOKUP(BE95&amp;"|"&amp;BG95,Экспликация[Этаж]&amp;"|"&amp;Экспликация[Помещение],Экспликация[Название])&amp;"",""),""),_xlpm.rm,IF(BG95="","",IF(_xlpm.ex&lt;&gt;"",". "&amp;_xlpm.ex&amp;IF(Имя_пом="нет"," ("&amp;BG95&amp;")"," (пом. "&amp;BG95&amp;")"),IF(Имя_пом="нет"," ",", пом. ")&amp;BG95)),IF(_xlpm.nm="","",IF(_xlpm.md=2,_xlpm.nm&amp;" шлейф "&amp;BE95,_xlpm.nm&amp;_xlpm.rm)))))</f>
        <v>Внутренний блок кондиционирования, пом. 001A</v>
      </c>
      <c r="BJ95" t="str">
        <f t="shared" si="148"/>
        <v>Внутренний блок кондиционирования Подвальный этаж Пом. №005Т</v>
      </c>
      <c r="BK95">
        <f>IFERROR(_xlfn.XMATCH(A95,Щиты[Щит]),0)</f>
        <v>5</v>
      </c>
      <c r="BL95">
        <f>_xlfn.LET(_xlpm.k,IFERROR(_xlfn.XLOOKUP(A95,Щиты[Щит],Щиты[Мест под вводной узел]),""),IF(_xlpm.k="",Столбцов_на_лист,N(_xlpm.k)))</f>
        <v>18</v>
      </c>
      <c r="BM95">
        <f t="shared" si="149"/>
        <v>25</v>
      </c>
      <c r="BN95" t="str">
        <f t="shared" si="150"/>
        <v>линии</v>
      </c>
      <c r="BO95" s="6">
        <f>IFERROR(N(_xlfn.XLOOKUP(BC95,Коды_код,Коды_квт)),0)</f>
        <v>0</v>
      </c>
      <c r="BP95">
        <f t="shared" si="151"/>
        <v>0</v>
      </c>
      <c r="BQ95" t="str">
        <f>IF(B95="","",IF(BH95&lt;&gt;"",IFERROR(_xlfn.XLOOKUP(BH95,Щиты[Щит],Щиты[Руст, кВт]),0),IF(BP95=1,IF(OR(N(_xlfn.XLOOKUP(A95,Щиты[Щит],Щиты[Вводов],1))&lt;=1,LOWER(TRIM(_xlfn.XLOOKUP(A95,Щиты[Щит],Щиты[АВР],"")&amp;""))="да"),IFERROR(_xlfn.XLOOKUP(A95,Щиты[Щит],Щиты[Руст, кВт]),0),SUMIFS(Линии[_Р для вводов],Линии[Щит],A95,Линии[Источник для режимов],GF95)),IF(BO95&gt;0,ROUND(BO95*MAX(1,N(D95)),3),""))))</f>
        <v/>
      </c>
      <c r="BR95">
        <f t="shared" si="152"/>
        <v>0.104</v>
      </c>
      <c r="BS95" s="6">
        <f>IF(B95="","",IF(BH95&lt;&gt;"",IFERROR(_xlfn.XLOOKUP(BH95,Щиты[Щит],Щиты[Руст, кВт]),0),N(BR95)))</f>
        <v>0.104</v>
      </c>
      <c r="BT95" t="str">
        <f>IF(B95="","",IFERROR(IF(VLOOKUP(BC95,Потребители_обозначение,8,FALSE)=0,"",VLOOKUP(BC95,Потребители_обозначение,8,FALSE)),""))</f>
        <v/>
      </c>
      <c r="BU95">
        <f t="shared" si="153"/>
        <v>230</v>
      </c>
      <c r="BV95">
        <f t="shared" si="154"/>
        <v>0</v>
      </c>
      <c r="BW95">
        <f>IF(B95="","",IF(BH95&lt;&gt;"",3,IFERROR(IF(N(VLOOKUP(BC95,Потребители_обозначение,9,FALSE))=0,1,VLOOKUP(BC95,Потребители_обозначение,9,FALSE)),1)))</f>
        <v>1</v>
      </c>
      <c r="BX95">
        <f t="shared" si="155"/>
        <v>1</v>
      </c>
      <c r="BY95" t="str">
        <f>IF(B95="","",_xlfn.LET(_xlpm.bc,IFERROR(IF(VLOOKUP(BC95,Потребители_обозначение,6,FALSE)=0,"",VLOOKUP(BC95,Потребители_обозначение,6,FALSE)&amp;""),""),IF(AND(GA95="да",OR(_xlpm.bc="",_xlpm.bc="мс")),Марка_пож,IF(AND(_xlpm.bc="",BH95&lt;&gt;""),"мс",_xlpm.bc))))</f>
        <v/>
      </c>
      <c r="BZ95" t="str">
        <f t="shared" si="156"/>
        <v>мс</v>
      </c>
      <c r="CA95">
        <f>IF(B95="","",_xlfn.LET(_xlpm.cc,IFERROR(N(VLOOKUP(BC95,Потребители_обозначение,7,FALSE)),0),IF(_xlpm.cc&gt;0,_xlpm.cc,IF(BZ95="","",IF(BV95=1,2,IF(N(BX95)=3,5,3))))))</f>
        <v>3</v>
      </c>
      <c r="CB95">
        <f t="shared" si="157"/>
        <v>3</v>
      </c>
      <c r="CC95">
        <f>IFERROR(N(VLOOKUP(BC95,Потребители_обозначение,10,FALSE)),0)</f>
        <v>0</v>
      </c>
      <c r="CD95">
        <f>IFERROR(VLOOKUP(BC95,Потребители_обозначение,5,FALSE),0)</f>
        <v>1</v>
      </c>
      <c r="CE95" s="6" cm="1">
        <f t="array" ref="CE95">IF(B95="","",IF(BH95&lt;&gt;"",IFERROR(_xlfn.XLOOKUP(BH95,Щиты[Щит],Щиты[cos φ]),0.95),IF(BP95=1,IFERROR(_xlfn.XLOOKUP(A95,Щиты[Щит],Щиты[cos φ]),0.95),IF(ISNUMBER(AD95),AD95,IFERROR(IF(CD95=2,_xlfn.IFS(BX95=3,VLOOKUP(BS95,Справочная_двигатели,8,FALSE),BX95=1,VLOOKUP(BS95,Справочная_двигатели,10,TRUE)),IF(AND(Методика="нормы 2026",FG95="Сил"),0.8,0.95)),0.95)))))</f>
        <v>0.8</v>
      </c>
      <c r="CF95">
        <f t="shared" si="158"/>
        <v>0</v>
      </c>
      <c r="CG95">
        <f t="shared" si="159"/>
        <v>1</v>
      </c>
      <c r="CH95">
        <f t="shared" si="160"/>
        <v>0</v>
      </c>
      <c r="CI95">
        <f>IF(B95="","",IF(BV95=1,IFERROR(BS95/((Uн_лин/SQRT(3))*MAX(0.5,N(CE95))),0),N(O95)))</f>
        <v>0.56291651245988494</v>
      </c>
      <c r="CJ95">
        <f t="shared" si="161"/>
        <v>0</v>
      </c>
      <c r="CK95">
        <f t="shared" si="162"/>
        <v>0</v>
      </c>
      <c r="CL95">
        <f t="shared" si="163"/>
        <v>0</v>
      </c>
      <c r="CM95">
        <f t="shared" si="164"/>
        <v>0</v>
      </c>
      <c r="CN95">
        <f t="shared" si="165"/>
        <v>0</v>
      </c>
      <c r="CO95">
        <f>IF(BC95="",0,_xlfn.LET(_xlpm.v,IFERROR(_xlfn.XLOOKUP(B95,Коды_код,Коды_мА),IFERROR(_xlfn.XLOOKUP(BC95,Коды_код,Коды_мА),IFERROR(_xlfn.XLOOKUP(LEFT(BC95,2),Коды_код,Коды_мА),""))),IF(_xlpm.v="да",30,IF(ISNUMBER(_xlpm.v),_xlpm.v,0))))</f>
        <v>0</v>
      </c>
      <c r="CP95" t="str">
        <f t="shared" si="166"/>
        <v/>
      </c>
      <c r="CQ95" t="str">
        <f>_xlfn.LET(_xlpm.k,IFERROR(_xlfn.XLOOKUP(BC95,Коды_код,Коды_утечка)&amp;"",""),IF(_xlpm.k="","дифавтомат",_xlpm.k))</f>
        <v>дифавтомат</v>
      </c>
      <c r="CR95" t="str" cm="1">
        <f t="array" ref="CR95">IF(CG95=0,"",_xlfn.LET(_xlpm.sg,TRIM(_xlfn.TEXTSPLIT(DD95&amp;"",";")),_xlpm.f_,_xlfn._xlws.FILTER(_xlpm.sg,LEFT(_xlpm.sg,3)="УЗО",""),IFERROR(INDEX(_xlpm.f_,1)&amp;"","")))</f>
        <v/>
      </c>
      <c r="CS95" t="str">
        <f t="shared" si="167"/>
        <v/>
      </c>
      <c r="CT95" s="6" t="str" cm="1">
        <f t="array" ref="CT95">IF(CR95="","",_xlfn.LET(_xlpm.tk,_xlfn.TEXTSPLIT(UPPER(CR95)," ",,TRUE),_xlpm.a_,_xlfn._xlws.FILTER(_xlpm.tk,ISNUMBER(--LEFT(_xlpm.tk,1))*((ISNUMBER(SEARCH("А",_xlpm.tk))+ISNUMBER(SEARCH("A",_xlpm.tk)))&gt;0)*NOT(ISNUMBER(SEARCH("МА",_xlpm.tk)))*NOT(ISNUMBER(SEARCH("MA",_xlpm.tk))),""),IFERROR(--SUBSTITUTE(SUBSTITUTE(INDEX(_xlpm.a_,1),"А",""),"A",""),"")))</f>
        <v/>
      </c>
      <c r="CU95" t="str" cm="1">
        <f t="array" ref="CU95">IF(CR95="","",_xlfn.LET(_xlpm.tk,_xlfn.TEXTSPLIT(UPPER(CR95)," ",,TRUE),_xlpm.a_,_xlfn._xlws.FILTER(_xlpm.tk,ISNUMBER(--LEFT(_xlpm.tk,1))*((ISNUMBER(SEARCH("МА",_xlpm.tk))+ISNUMBER(SEARCH("MA",_xlpm.tk)))&gt;0),""),IFERROR(--SUBSTITUTE(SUBSTITUTE(INDEX(_xlpm.a_,1),"МА",""),"MA",""),30)))</f>
        <v/>
      </c>
      <c r="CV95" t="str">
        <f>IF(CS95="","",IFERROR(_xlfn.XLOOKUP(CS95,Линии[_n],Линии[_УЗО, мА]),30))</f>
        <v/>
      </c>
      <c r="CW95">
        <f>IF(CS95="",0,IF(ISNUMBER(SEARCH("4P",IFERROR(_xlfn.XLOOKUP(CS95,Линии[_n],Линии[_УЗО строки])&amp;"",""))),0,1))</f>
        <v>0</v>
      </c>
      <c r="CX95" t="str">
        <f>IF(AND(CS95&lt;&gt;"",CS95=BA95),SUMIFS(Линии[_ток на 230 В],Линии[_блок УЗО],BA95,Линии[Щит],A95),"")</f>
        <v/>
      </c>
      <c r="CY95" t="str">
        <f>IF(AND(CS95&lt;&gt;"",CS95=BA95),SUMIFS(Линии[_ток утечки линии, мА],Линии[_блок УЗО],BA95,Линии[Щит],A95),"")</f>
        <v/>
      </c>
      <c r="CZ95">
        <f t="shared" si="168"/>
        <v>0</v>
      </c>
      <c r="DA95">
        <f t="shared" si="169"/>
        <v>0</v>
      </c>
      <c r="DB95">
        <f>IF(B95="",0,IFERROR(--_xlfn.XLOOKUP(B95,Коды_код,Коды_минавт),IFERROR(--_xlfn.XLOOKUP(BC95,Коды_код,Коды_минавт),IFERROR(--_xlfn.XLOOKUP(LEFT(BC95,2),Коды_код,Коды_минавт),0))))</f>
        <v>0</v>
      </c>
      <c r="DC95" t="str">
        <f>IF(B95="","",IFERROR(_xlfn.XLOOKUP(BC95,Коды_код,Коды_апп)&amp;"",""))</f>
        <v/>
      </c>
      <c r="DD95" t="str">
        <f t="shared" si="170"/>
        <v/>
      </c>
      <c r="DE95" t="str" cm="1">
        <f t="array" ref="DE95">IF(TRIM(DD95&amp;"")="","",IFERROR(TRIM(INDEX(_xlfn.TEXTSPLIT(DD95&amp;";;;",";"),1)),""))</f>
        <v/>
      </c>
      <c r="DF95" t="str" cm="1">
        <f t="array" ref="DF95">IF(TRIM(DD95&amp;"")="","",IFERROR(TRIM(INDEX(_xlfn.TEXTSPLIT(DD95&amp;";;;",";"),2)),""))</f>
        <v/>
      </c>
      <c r="DG95" t="str" cm="1">
        <f t="array" ref="DG95">IF(TRIM(DD95&amp;"")="","",IFERROR(TRIM(INDEX(_xlfn.TEXTSPLIT(DD95&amp;";;;",";"),3)),""))</f>
        <v/>
      </c>
      <c r="DH95">
        <f t="shared" si="171"/>
        <v>0</v>
      </c>
      <c r="DI95" t="str">
        <f>IF(B95="","",_xlfn.LET(_xlpm.t,LOWER(AZ95&amp;""),IF(ISNUMBER(SEARCH("dim",_xlpm.t)),"DIM",IF(ISNUMBER(SEARCH("dali",_xlpm.t)),"DALI",IF(OR(ISNUMBER(SEARCH("relay",_xlpm.t)),ISNUMBER(SEARCH("реле",_xlpm.t))),"Relay",IF(ISNUMBER(SEARCH("кнопк",_xlpm.t)),"",IFERROR(_xlfn.XLOOKUP(BC95,Коды_код,Коды_упр)&amp;"","")))))))</f>
        <v/>
      </c>
      <c r="DJ95" t="str">
        <f t="shared" si="172"/>
        <v/>
      </c>
      <c r="DK95">
        <f>IF(B95="","",_xlfn.LET(_xlpm.ig,IF(N(CX95)&gt;0,N(CX95),N(CI95)+IF(AJ95="вручную",0,N(CJ95))),_xlpm.n0,IFERROR(VLOOKUP(_xlpm.ig,Автомат_номиналы,2,TRUE),0),_xlpm.mn,MAX(DB95,IF(AJ95="вручную",0,N(CM95))),MAX(_xlpm.n0,_xlpm.mn,IF(DH95=1,Мин_автомат_БП,0))))</f>
        <v>6</v>
      </c>
      <c r="DL95">
        <f t="shared" si="173"/>
        <v>1</v>
      </c>
      <c r="DM95" t="str">
        <f t="shared" si="174"/>
        <v>1P</v>
      </c>
      <c r="DN95" t="str">
        <f>_xlfn.LET(_xlpm.cc,UPPER(TRIM(IFERROR(_xlfn.XLOOKUP(BC95,Коды_код,Коды_хар)&amp;"",""))),IF(OR(_xlpm.cc="B",_xlpm.cc="В"),"B",IF(_xlpm.cc="D","D","С")))</f>
        <v>С</v>
      </c>
      <c r="DO95" t="str">
        <f t="shared" si="175"/>
        <v>1P С6А</v>
      </c>
      <c r="DP95">
        <f t="shared" si="176"/>
        <v>10</v>
      </c>
      <c r="DQ95" t="str">
        <f t="shared" si="177"/>
        <v>1P С10А</v>
      </c>
      <c r="DR95" cm="1">
        <f t="array" ref="DR95">IF(DQ95="","",_xlfn.LET(_xlpm.t,SUBSTITUTE(SUBSTITUTE(SUBSTITUTE(UPPER(DQ95),"С","C"),"А","A"),"В","B"),_xlpm.tk,_xlfn.TEXTSPLIT(_xlpm.t," "),_xlpm.f,_xlfn._xlws.FILTER(_xlpm.tk,ISNUMBER(--MID(_xlpm.tk,2,1))*ISNUMBER(SEARCH(LEFT(_xlpm.tk,1)&amp;"#","B#C#D#"))*(LEN(_xlpm.tk)&gt;1),""),_xlpm.x,INDEX(_xlpm.f,1),IFERROR(--SUBSTITUTE(MID(_xlpm.x,2,9),"A",""),IFERROR(--SUBSTITUTE(INDEX(_xlfn._xlws.FILTER(_xlpm.tk,ISNUMBER(--SUBSTITUTE(_xlpm.tk,"A","")),""),1),"A",""),""))))</f>
        <v>10</v>
      </c>
      <c r="DS95" t="str">
        <f t="shared" si="178"/>
        <v>ok</v>
      </c>
      <c r="DT95">
        <f t="shared" si="179"/>
        <v>10</v>
      </c>
      <c r="DU95" t="str">
        <f t="shared" si="180"/>
        <v>1P С10А</v>
      </c>
      <c r="DV95">
        <f t="shared" si="181"/>
        <v>0</v>
      </c>
      <c r="DW95">
        <f t="shared" si="182"/>
        <v>0</v>
      </c>
      <c r="DX95">
        <f t="shared" si="183"/>
        <v>0</v>
      </c>
      <c r="DY95">
        <f t="shared" si="184"/>
        <v>0.56291651245988494</v>
      </c>
      <c r="DZ95">
        <f t="shared" si="185"/>
        <v>1</v>
      </c>
      <c r="EA95">
        <f>IF(ISNUMBER(AP95),AP95,К_прокл)</f>
        <v>1</v>
      </c>
      <c r="EB95">
        <f t="shared" si="186"/>
        <v>2</v>
      </c>
      <c r="EC95">
        <f>IFERROR(N(VLOOKUP(BZ95,Кабель_обозначение,3,FALSE)),1)</f>
        <v>1</v>
      </c>
      <c r="ED95">
        <f>IFERROR(N(_xlfn.XLOOKUP(A95,Щиты[Щит],Щиты[ΔU до шин, %])),0)</f>
        <v>0.74</v>
      </c>
      <c r="EE95" t="str">
        <f>IFERROR(_xlfn.XLOOKUP(A95,Щиты[Щит],Щиты[Zпетли на шинах, Ом]),"")</f>
        <v/>
      </c>
      <c r="EF95">
        <f>IFERROR(N(_xlfn.XLOOKUP(A95,Щиты[Щит],Щиты[ΔU до шин (подбор), %])),0)</f>
        <v>1.96</v>
      </c>
      <c r="EG95" t="str">
        <f>IFERROR(_xlfn.XLOOKUP(A95,Щиты[Щит],Щиты[Zпетли на шинах (подбор), Ом]),"")</f>
        <v/>
      </c>
      <c r="EH95" t="str">
        <f t="shared" si="187"/>
        <v/>
      </c>
      <c r="EI95">
        <f t="shared" si="188"/>
        <v>25</v>
      </c>
      <c r="EJ95">
        <f t="shared" si="189"/>
        <v>2</v>
      </c>
      <c r="EK95">
        <f t="shared" si="190"/>
        <v>0.6</v>
      </c>
      <c r="EL95" s="6">
        <f>IF(B95="","",IF(BV95=1,dU_LED,IF(IFERROR(_xlfn.XLOOKUP(BC95,Коды_код,Коды_уго),"")="Светильник",3,4)+IF(Методика="нормы 2026",MIN(0.5,MAX(0,N(P95)-100)*0.005),0)))</f>
        <v>4</v>
      </c>
      <c r="EM95" cm="1">
        <f t="array" ref="EM95">IF(OR(B95="",BZ95="",EC95&lt;&gt;1),"",_xlfn.LET(_xlpm.sz,Iдоп_S,_xlpm.t_,CHOOSE(EB95,Iдоп_1ж,Iдоп_2ж,Iдоп_3ж)*DZ95*EA95,_xlpm.dcx,BV95=1,_xlpm.inn,IF(_xlpm.dcx,N(O95),N(DT95)),_xlpm.smin,MAX(1.5,CC95),_xlpm.L_,N(P95)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95)/N(BU95)*100,999),IFERROR(N(EJ95)*(_xlpm.rho*_xlpm.L_/_xlpm.sz*N(CE95)+_xlpm.xx*_xlpm.L_*N(EK95)/1000)*N(O95)/((Uн_лин/SQRT(3))*1000)*100,999)),_xlpm.kz,IF(OR(_xlpm.dcx,DW95=1,NOT(ISNUMBER(EG95)),_xlpm.L_=0,_xlpm.inn=0),1,IFERROR(--(c_min*(Uн_лин*1000/SQRT(3))/(EG95+2*ρкз_Cu*_xlpm.L_/_xlpm.sz)&gt;=HT95*_xlpm.inn),0)),_xlpm.ok,IFERROR((_xlpm.sz&gt;=_xlpm.smin)*(_xlpm.t_&gt;=_xlpm.inn)*IF(_xlpm.L_&gt;0,(_xlpm.du_+IF(_xlpm.dcx,0,EF95)&lt;=EL95+0.00001),1)*_xlpm.kz,0),_xlpm.r_,_xlfn._xlws.FILTER(_xlpm.sz,_xlpm.ok,"не подобрано"),INDEX(_xlpm.r_,1)))</f>
        <v>1.5</v>
      </c>
      <c r="EN95">
        <f t="shared" si="191"/>
        <v>1.5</v>
      </c>
      <c r="EO95" cm="1">
        <f t="array" ref="EO95">IF(OR(B95="",BZ95="",EC95&lt;&gt;1),"",_xlfn.LET(_xlpm.sz,Iдоп_S,_xlpm.t_,CHOOSE(EB95,Iдоп_1ж,Iдоп_2ж,Iдоп_3ж)*DZ95*EA95,_xlpm.ok,IFERROR((_xlpm.sz&gt;=MAX(1.5,CC95))*(_xlpm.t_&gt;=N(DT95)),0),_xlpm.r_,_xlfn._xlws.FILTER(_xlpm.sz,_xlpm.ok,""),INDEX(_xlpm.r_,1)))</f>
        <v>1.5</v>
      </c>
      <c r="EP95" s="6" cm="1">
        <f t="array" ref="EP95">IFERROR(ROUNDUP(N(EJ95)*(_xlfn.XLOOKUP(EO95,INDEX(Кабель_сопротивление,0,1),INDEX(Кабель_сопротивление,0,3))*N(P95)/EO95*N(CE95)+_xlfn.XLOOKUP(EO95,INDEX(Кабель_сопротивление,0,1),INDEX(Кабель_сопротивление,0,2))*N(P95)*N(EK95)/1000)*N(O95)/((Uн_лин/SQRT(3))*1000)*100,2),"")</f>
        <v>0.16</v>
      </c>
      <c r="EQ95">
        <f>IFERROR(2*ρкз_Cu*N(P95)/EO95,"")</f>
        <v>0.94680000000000009</v>
      </c>
      <c r="ER95">
        <f>IFERROR(VLOOKUP(EN95,Кабель_сопротивление,3,FALSE),"")</f>
        <v>2.2499999999999999E-2</v>
      </c>
      <c r="ES95">
        <f>IFERROR(VLOOKUP(EN95,Кабель_сопротивление,2,FALSE),"")</f>
        <v>0.11</v>
      </c>
      <c r="ET95">
        <f t="shared" si="192"/>
        <v>16</v>
      </c>
      <c r="EU95">
        <f t="shared" si="193"/>
        <v>0</v>
      </c>
      <c r="EV95">
        <f t="shared" si="194"/>
        <v>0.36677613452441249</v>
      </c>
      <c r="EW95" s="6">
        <f>IFERROR(ROUNDUP(EV95/IF(BV95=1,BU95,(Uн_лин/SQRT(3))*1000)*100,2),"")</f>
        <v>0.16</v>
      </c>
      <c r="EX95" t="str">
        <f>IFERROR(VLOOKUP(BZ95,Кабель_обозначение,2,FALSE),"")</f>
        <v>ВВГнг(А)-LS</v>
      </c>
      <c r="EY95" t="str">
        <f t="shared" si="195"/>
        <v>ВВГнг(А)-LS (3х1,5)</v>
      </c>
      <c r="EZ95" t="str">
        <f t="shared" si="196"/>
        <v>ВВГнг(А)-LS (3х1,5)
L=27-0,16%</v>
      </c>
      <c r="FA95">
        <f>IFERROR(2*ρкз_Cu*P95/EN95,"")</f>
        <v>0.94680000000000009</v>
      </c>
      <c r="FB95">
        <f t="shared" si="197"/>
        <v>0.315</v>
      </c>
      <c r="FC95" s="6" t="str">
        <f>IFERROR(IF(OR(B95="",BV95=1,NOT(ISNUMBER(EN95)),N(P95)=0),"",_xlfn.XLOOKUP(A95,Щиты[Щит],Щиты[Zпетли на шинах, Ом])+FA95),"")</f>
        <v/>
      </c>
      <c r="FD95" s="6" t="str">
        <f>IF(ISNUMBER(FC95),c_min*(Uн_лин*1000/SQRT(3))/FC95,"")</f>
        <v/>
      </c>
      <c r="FE95" s="6" t="str">
        <f>IFERROR(IF(OR(B95="",NOT(ISNUMBER(EN95))),"",1.05*(Uн_лин*1000/SQRT(3))/(_xlfn.XLOOKUP(A95,Щиты[Щит],Щиты[Zmax на шинах, Ом])+FB95)/1000),"")</f>
        <v/>
      </c>
      <c r="FF95" s="6" t="str">
        <f>IF(B95="","",IF(ISNUMBER(AC95),"Сил",IF(IFERROR(_xlfn.XLOOKUP(BC95,Коды_код,Коды_группа)&amp;"","")="","Быт",_xlfn.XLOOKUP(BC95,Коды_код,Коды_группа)&amp;"")))</f>
        <v>Сил</v>
      </c>
      <c r="FG95" s="6" t="str">
        <f t="shared" si="198"/>
        <v>Сил</v>
      </c>
      <c r="FH95" s="6">
        <f>IF(FG95="Щит","щит",IF(FG95="","",IF(FG95="Быт",IFERROR(_xlfn.XLOOKUP(A95,Щиты[Щит],Щиты[Кс быт]),1),IF(FG95="Сил",IF(ISNUMBER(AC95),AC95,IF(Методика="нормы 2026",IFERROR(_xlfn.XLOOKUP(A95,Щиты[Щит],Щиты[Кс силовых (табл. 7.5)]),1),1)),IF(OR(FG95="Пост",FG95="Отоп"),1,IF(FG95="ВНГ",0.7,0))))))</f>
        <v>0.5</v>
      </c>
      <c r="FI95">
        <f>IF(FG95="","",IF(AND(BP95=1,TRIM(AE95&amp;"")=""),IF(COUNTIFS(Линии[Щит],A95,Линии[Секция (1/2/3)],"&gt;=2")&gt;0,MIN(3,MAX(1,IFERROR(--BD95,1))),1),IFERROR(MIN(3,MAX(1,INT(--AE95))),1)))</f>
        <v>1</v>
      </c>
      <c r="FJ95">
        <f t="shared" si="199"/>
        <v>0.104</v>
      </c>
      <c r="FK95">
        <f t="shared" si="200"/>
        <v>0</v>
      </c>
      <c r="FL95">
        <f t="shared" si="201"/>
        <v>5.1999999999999998E-2</v>
      </c>
      <c r="FM95">
        <f t="shared" si="202"/>
        <v>0</v>
      </c>
      <c r="FN95">
        <f t="shared" si="203"/>
        <v>0</v>
      </c>
      <c r="FO95">
        <f t="shared" si="204"/>
        <v>0</v>
      </c>
      <c r="FP95">
        <f t="shared" si="205"/>
        <v>0.104</v>
      </c>
      <c r="FQ95">
        <f t="shared" si="206"/>
        <v>0.104</v>
      </c>
      <c r="FR95">
        <f t="shared" si="207"/>
        <v>8.3199999999999996E-2</v>
      </c>
      <c r="FS95">
        <f>IF(CG95=1,IF(AND(CH95=1,CW95=1),0,IF(AND(CS95&lt;&gt;"",CS95=BA95,CW95=1),SUMIFS(Линии[_Р линии, кВт],Линии[_блок УЗО],BA95,Линии[Щит],A95),N(BS95)+IF(AJ95="вручную",0,N(CK95)))),0)</f>
        <v>0.104</v>
      </c>
      <c r="FT95" t="str">
        <f t="shared" si="208"/>
        <v>L1</v>
      </c>
      <c r="FU95" t="str">
        <f>IF(B95="","",IF(CG95=0,IF(BA95=1,"",FW94),IF(AND(CH95=1,CW95=1,CS95&lt;&gt;""),IFERROR(_xlfn.XLOOKUP(CS95,Линии[_n],Линии[_фаза итог]),"L1"),IF(OR(N(DL95)&gt;=3,N(BX95)&gt;=3),"L1,L2,L3",IFERROR(_xlfn.TEXTBEFORE(_xlfn.TEXTAFTER(_xlfn.XLOOKUP(A95,Щиты[Щит],Щиты[_фазы авто]),";"&amp;BA95&amp;":"),";"),"L1")))))</f>
        <v>L1</v>
      </c>
      <c r="FV95" t="str">
        <f t="shared" si="209"/>
        <v>L1</v>
      </c>
      <c r="FW95" t="str">
        <f t="shared" si="210"/>
        <v>L1</v>
      </c>
      <c r="FX95" cm="1">
        <f t="array" ref="FX95">IFERROR(IF(CD95=2,_xlfn.IFS(BX95=3,VLOOKUP(BS95,Справочная_двигатели,3,FALSE),BX95=1,VLOOKUP(BS95,Справочная_двигатели,5,TRUE)),0),0)</f>
        <v>0</v>
      </c>
      <c r="FY95">
        <f>IFERROR(IF(CD95=3,VLOOKUP(BS95,Справочная_ЛЭД,2,TRUE),0),0)</f>
        <v>0</v>
      </c>
      <c r="FZ95" s="6">
        <f t="shared" si="211"/>
        <v>0</v>
      </c>
      <c r="GA95" t="str">
        <f>IF(B95="","",IF(TRIM(AH95&amp;"")&lt;&gt;"",IF(LOWER(TRIM(AH95&amp;""))="да","да","нет"),IF(IFERROR(_xlfn.XLOOKUP(BC95,Коды_код,Коды_пожарная),"")="да","да","нет")))</f>
        <v>нет</v>
      </c>
      <c r="GB95" t="str">
        <f t="shared" si="212"/>
        <v/>
      </c>
      <c r="GC95" t="str">
        <f t="shared" si="213"/>
        <v>основная</v>
      </c>
      <c r="GD95">
        <f>IF(AND(BP95=1,TRIM(AE95&amp;"")=""),IF(COUNTIFS(Линии[Щит],A95,Линии[Секция (1/2/3)],"&gt;=2")&gt;0,MIN(3,MAX(1,IFERROR(--BD95,1))),1),IFERROR(MIN(3,MAX(1,INT(--AE95))),1))</f>
        <v>1</v>
      </c>
      <c r="GE95" t="str" cm="1">
        <f t="array" ref="GE95">IF(B95="","",_xlfn.LET(_xlpm.t,IFERROR(_xlfn.XLOOKUP(1,(Шины[Шина]=GC95)*(((Шины[Щит]=A95)+(Шины[Щит]=""))&gt;0),Шины[Тип]),"")&amp;"",IF(_xlpm.t&lt;&gt;"",_xlpm.t,IF(ISNUMBER(SEARCH("ИБП",GC95)),"ИБП",IF(ISNUMBER(SEARCH("ДГУ",GC95)),"ДГУ","Ввод "&amp;GD95)))))</f>
        <v>Ввод 1</v>
      </c>
      <c r="GF95" t="str">
        <f t="shared" si="214"/>
        <v>Ввод 1</v>
      </c>
      <c r="GG95" t="str">
        <f>IF(BP95=0,"",IF(TRIM(AG95&amp;"")&lt;&gt;"",TRIM(AG95&amp;""),IF(OR(GE95="ИБП",GE95="ДГУ"),"I особая",_xlfn.XLOOKUP(A95,Щиты[Щит],Щиты[Категория шины «Ввод»],"III"))))</f>
        <v/>
      </c>
      <c r="GH95" t="str">
        <f>IF(A95="","",_xlfn.XLOOKUP(A95,Щиты[Щит],Щиты[Путь],""))</f>
        <v>|ГРЩ-ЖД|ЩОВ-002|</v>
      </c>
      <c r="GI95" t="str">
        <f>IF(B95="","",IF(AI95&lt;&gt;"",AI95,IF(IFERROR(_xlfn.XLOOKUP(BC95,Коды_код,Коды_вид)&amp;"","")="","Прочее",_xlfn.XLOOKUP(BC95,Коды_код,Коды_вид)&amp;"")))</f>
        <v>Кондиционирование и увлажнение</v>
      </c>
      <c r="GJ95">
        <f>IF(BM95="","",INT((BM95-1)/Столбцов_на_лист)+1)</f>
        <v>2</v>
      </c>
      <c r="GK95" t="str">
        <f t="shared" si="215"/>
        <v>ВВГнг(А)-LS (3х1,5) L=27-0,16%</v>
      </c>
      <c r="GL95">
        <f t="shared" si="216"/>
        <v>0.104</v>
      </c>
      <c r="GM95">
        <f t="shared" si="217"/>
        <v>0.57000000000000006</v>
      </c>
      <c r="GN95">
        <f t="shared" si="218"/>
        <v>1</v>
      </c>
      <c r="GO95">
        <f t="shared" si="219"/>
        <v>0</v>
      </c>
      <c r="GP95">
        <f t="shared" si="220"/>
        <v>1</v>
      </c>
      <c r="GQ95">
        <f>IF(BM95="","",IF(AND(CG95=1,GP95=1),COUNTIFS(A$3:A95,A95,CG$3:CG95,1,GP$3:GP95,1),IF(OR(OR(BA95=1,A95&lt;&gt;A94),AJ95="вручную",GP95=0),"",IF(BA95=1,"",GR94))))</f>
        <v>7</v>
      </c>
      <c r="GR95">
        <f t="shared" si="221"/>
        <v>7</v>
      </c>
      <c r="GS95">
        <f>IF(B95="","",IFERROR(LOOKUP(INDEX(CHOOSE(EB95,Iдоп_1ж,Iдоп_2ж,Iдоп_3ж),MATCH(EN95,Iдоп_S,0))*DZ95*EA95,{6,10,16,20,25,32,40,50,63,80,100,125,160,200,250,315,400,500,630}),""))</f>
        <v>16</v>
      </c>
      <c r="GT95" t="str">
        <f t="shared" si="222"/>
        <v>QF7</v>
      </c>
      <c r="GU95" t="str">
        <f t="shared" si="223"/>
        <v>QF7</v>
      </c>
      <c r="GV95" t="str">
        <f t="shared" si="224"/>
        <v/>
      </c>
      <c r="GW95">
        <f t="shared" si="225"/>
        <v>0</v>
      </c>
      <c r="GX95" t="str">
        <f>IF(OR(B95="",DJ95=""),"",IFERROR(_xlfn.XLOOKUP(DJ95,Модули_умолч[Управление],Модули_умолч[Модель])&amp;"",""))</f>
        <v/>
      </c>
      <c r="GY95">
        <f>IF(DJ95="",1,IFERROR(MAX(0,N(_xlfn.XLOOKUP(DJ95,Модули_умолч[Управление],Модули_умолч[Каналов на линию]))),1))</f>
        <v>1</v>
      </c>
      <c r="GZ95" t="str">
        <f t="shared" si="226"/>
        <v/>
      </c>
      <c r="HA95" t="str">
        <f t="shared" si="227"/>
        <v/>
      </c>
      <c r="HB95" t="str">
        <f t="shared" si="228"/>
        <v/>
      </c>
      <c r="HC95">
        <f>IF(HB95="",0,IFERROR(N(VLOOKUP(HB95,Модули_спр,3,FALSE)),0))</f>
        <v>0</v>
      </c>
      <c r="HD95" t="str">
        <f t="shared" si="229"/>
        <v/>
      </c>
      <c r="HE95" t="str">
        <f t="shared" si="230"/>
        <v/>
      </c>
      <c r="HF95" t="str">
        <f>IF(OR(HE95="",HE95="-"),"",IFERROR(VLOOKUP(HE95,Модули_спр,2,FALSE),"R"))</f>
        <v/>
      </c>
      <c r="HG95" t="str">
        <f>IF(HF95="","",HF95&amp;"."&amp;COUNTIFS(A$3:A95,A95,HF$3:HF95,HF95))</f>
        <v/>
      </c>
      <c r="HH95" t="str">
        <f t="shared" si="231"/>
        <v/>
      </c>
      <c r="HI95" t="str">
        <f t="shared" si="232"/>
        <v/>
      </c>
      <c r="HJ95" t="str">
        <f t="shared" si="233"/>
        <v/>
      </c>
      <c r="HK95" t="str">
        <f t="shared" si="234"/>
        <v/>
      </c>
      <c r="HL95">
        <f t="shared" si="235"/>
        <v>1</v>
      </c>
      <c r="HM95" t="str">
        <f>IF(HL95=1,"XT"&amp;COUNTIFS(A$3:A95,A95,HL$3:HL95,1),"")</f>
        <v>XT7</v>
      </c>
      <c r="HN95" t="str">
        <f t="shared" si="236"/>
        <v/>
      </c>
      <c r="HO95" t="str">
        <f t="shared" si="237"/>
        <v>QF7</v>
      </c>
      <c r="HP95" t="str">
        <f t="shared" si="238"/>
        <v/>
      </c>
      <c r="HQ95" t="str">
        <f t="shared" si="239"/>
        <v>ok</v>
      </c>
      <c r="HR95" t="str">
        <f>IF(OR(HJ95="",HH95=""),"",IF(HJ95+MAX(0,GY95-1)&gt;IFERROR(VLOOKUP(HI95,Модули_спр,3,FALSE),99),"ЛИШНИЙ КАНАЛ",IF(AND(AL95&lt;&gt;"=",GY95&gt;0,COUNTIFS(Линии[_модуль гр.],HH95,Линии[Канал (итог)],HJ95,Линии[Канал],"&lt;&gt;=",Линии[Щит],A95)&gt;1),"ДУБЛЬ КАНАЛА","")))</f>
        <v/>
      </c>
      <c r="HS95" s="6" t="str">
        <f t="shared" si="240"/>
        <v/>
      </c>
      <c r="HT95">
        <f t="shared" si="241"/>
        <v>10</v>
      </c>
      <c r="HU95" t="str">
        <f t="shared" si="242"/>
        <v/>
      </c>
      <c r="HV95">
        <f t="shared" si="243"/>
        <v>0.49516660498395404</v>
      </c>
      <c r="HW95">
        <f t="shared" si="244"/>
        <v>0</v>
      </c>
      <c r="HX95">
        <f t="shared" si="245"/>
        <v>0</v>
      </c>
      <c r="HY95">
        <f t="shared" si="246"/>
        <v>0</v>
      </c>
      <c r="HZ95">
        <f t="shared" si="247"/>
        <v>0</v>
      </c>
      <c r="IA95">
        <f t="shared" si="248"/>
        <v>0</v>
      </c>
      <c r="IB95">
        <f t="shared" si="249"/>
        <v>0</v>
      </c>
      <c r="IC95" t="str">
        <f t="shared" si="250"/>
        <v/>
      </c>
      <c r="ID95" t="str" cm="1">
        <f t="array" ref="ID95">IF(IC95="","",_xlfn.LET(_xlpm.tk,_xlfn.TEXTSPLIT(SUBSTITUTE(SUBSTITUTE(IC95,";"," "),"→"," ")," ",,TRUE),_xlpm.w_,_xlfn._xlws.FILTER(_xlpm.tk,ISNUMBER(--LEFT(_xlpm.tk,1))*((ISNUMBER(SEARCH("W",_xlpm.tk))+ISNUMBER(SEARCH("Вт",_xlpm.tk)))&gt;0),""),IFERROR(--SUBSTITUTE(SUBSTITUTE(UPPER(INDEX(_xlpm.w_,1)),"W",""),"ВТ",""),"")))</f>
        <v/>
      </c>
      <c r="IE95" t="str" cm="1">
        <f t="array" ref="IE95">IF(IC95="","",_xlfn.LET(_xlpm.tk,_xlfn.TEXTSPLIT(SUBSTITUTE(SUBSTITUTE(IC95,";"," "),"→"," ")," ",,TRUE),_xlpm.v_,_xlfn._xlws.FILTER(_xlpm.tk,ISNUMBER(--LEFT(_xlpm.tk,1))*((ISNUMBER(SEARCH("V",_xlpm.tk))+(RIGHT(UPPER(_xlpm.tk))="В"))&gt;0),""),IFERROR(--SUBSTITUTE(SUBSTITUTE(UPPER(INDEX(_xlpm.v_,1)),"V",""),"В",""),"")))</f>
        <v/>
      </c>
      <c r="IF95" s="6" t="str">
        <f>IF(OR(BV95=0,HI95="",HJ95=""),"",IFERROR(N(_xlfn.XLOOKUP(HI95,Каталог!$C$4:$C$500,Каталог!$Q$4:$Q$500)),""))</f>
        <v/>
      </c>
      <c r="IG95" s="6" t="str">
        <f>IF(N(IF95)=0,"",SUMIFS(Линии[Iр, А],Линии[Щит],A95,Линии[_модуль гр.],HH95,Линии[Канал (итог)],HJ95))</f>
        <v/>
      </c>
      <c r="IH95" t="str">
        <f>IF(AND(B95="",HO95=""),"",_xlfn.TEXTJOIN("; ",TRUE,IF(AND(B95&lt;&gt;"",FV95=""),"нет фазы",""),IF(AND(B95&lt;&gt;"",N(GL95)=0,FG95&lt;&gt;"Нет"),"нет мощности",""),IF(AND(HN95&lt;&gt;"",COUNTIFS(Линии[Щит],A95,Линии[Клемма (итог)],HN95)&gt;1),"дубль клеммы "&amp;HN95,""),IF(AND(HQ95&lt;&gt;"",HQ95&lt;&gt;"ok"),HQ95,""),IF(HR95&lt;&gt;"",HR95,""),IF(AND(N(CB95)&gt;=4,N(BX95)=1),CB95&amp;" жил на 1 фазе",""),IF(AND(BC95="R",CG95=1,IF(CS95&lt;&gt;"",N(CV95)&gt;30,OR(N(DA95)=0,N(DA95)&gt;30))),"розетка без дифзащиты до 30 мА",""),IF(AND(CG95=1,N(DA95)&gt;0,ISNUMBER(T95)),IF(T95&gt;N(DA95)/3,"ток утечки "&amp;FIXED(T95,1)&amp;" мА &gt; 1/3 уставки ("&amp;DA95&amp;" мА)",""),""),IF(AND(CH95=1,CS95=""),"«узо»: нет строки с УЗО выше (УЗО 2P 40А 30мА в «Аппаратах»)",""),IF(AND(CS95&lt;&gt;"",CS95=BA95),IF(CT95="","впишите номинал УЗО (УЗО 2P 40А 30мА)",IF(N(CT95)&lt;N(DT95),"УЗО "&amp;CT95&amp;" А &lt; автомата "&amp;DT95&amp;" А перед ним",IF(N(CT95)&lt;N(CX95),"УЗО "&amp;CT95&amp;" А &lt; тока блока "&amp;FIXED(CX95,1)&amp;" А",""))),""),IF(AND(CS95&lt;&gt;"",CS95=BA95,ISNUMBER(CY95)),IF(CY95&gt;N(CV95)/3,"ток утечки блока УЗО "&amp;FIXED(CY95,1)&amp;" мА &gt; 1/3 уставки ("&amp;CV95&amp;" мА)",""),""),IF(AND(CG95=1,N(BV95)+N(IB95)&gt;0,IC95=""),"линии до 50 В без БП: впишите в «Аппараты» (БП 24V 480W)",""),IF(AND(CG95=1,ISNUMBER(ID95),ISNUMBER(U95)),IF(U95&gt;ID95,"БП "&amp;ID95&amp;" Вт &lt; нужно "&amp;U95&amp;" Вт (×"&amp;Запас_БП&amp;")",""),""),IF(AND(CG95=1,ISNUMBER(IE95),N(BV95)=1),IF(IE95&lt;&gt;N(BU95),"БП на "&amp;IE95&amp;" В, линия "&amp;BU95&amp;" В",""),""),IF(AND(N(IF95)&gt;0,N(IG95)&gt;N(IF95)),HH95&amp;" канал "&amp;HJ95&amp;": "&amp;FIXED(IG95,1)&amp;" А &gt; "&amp;IF95&amp;" А",""),IFERROR(IF(AND(ISNUMBER(Q95),Q95&gt;EL95),"потери "&amp;FIXED(Q95,1)&amp;" % &gt; "&amp;EL95&amp;" %",""),""),IFERROR(IF(LEFT(HU95,4)="мало","Iкз мало — отключение &gt; 0,4 с",""),""),IF(AND(B95&lt;&gt;"",BM95=""),"не на схеме",""),IF(AND(CG95=0,B95&lt;&gt;"",FV95&lt;&gt;"",IF(BA95=1,"",FW94)&lt;&gt;"",FV95&lt;&gt;IF(BA95=1,"",FW94)),"фаза не как у автомата группы ("&amp;IF(BA95=1,"",FW94)&amp;")","")))</f>
        <v/>
      </c>
      <c r="II95" s="6">
        <f>IF(OR(CG95=0,DQ95=""),"",_xlfn.LET(_xlpm.t,IFERROR(_xlfn.XLOOKUP(DQ95,Каталог!$U$4:$U$500,Каталог!$G$4:$G$500),""),_xlpm.k,SEARCH("кА",_xlpm.t),IFERROR(--TRIM(RIGHT(SUBSTITUTE(MID(_xlpm.t,MAX(1,_xlpm.k-4),_xlpm.k-MAX(1,_xlpm.k-4))," ",REPT(" ",9)),5)),"")))</f>
        <v>6</v>
      </c>
      <c r="IJ95" t="str">
        <f>IF(OR(II95="",CG95=0),"",IF(_xlfn.XLOOKUP(A95,Щиты[Щит],Щиты[Iкз max на шинах, кА],"")="","",IF(II95&lt;_xlfn.XLOOKUP(A95,Щиты[Щит],Щиты[Iкз max на шинах, кА]),"Icu "&amp;II95&amp;" кА &lt; Iкз max","ok")))</f>
        <v/>
      </c>
      <c r="IK95" t="str">
        <f t="shared" si="251"/>
        <v/>
      </c>
      <c r="IL95" t="str">
        <f t="shared" si="252"/>
        <v>QF7</v>
      </c>
      <c r="IM95" t="str">
        <f t="shared" si="253"/>
        <v>QF7|кабель ВВГнг(А)-LS (3х1,5) → Внутренний блок кондиционирования Подвальный этаж Пом. №005Т</v>
      </c>
      <c r="IN95" t="str" cm="1">
        <f t="array" ref="IN95">IF(IM95="","",_xlfn.LET(_xlpm.nd,_xlfn.TEXTSPLIT(IM95,"|"),IF(COLUMNS(_xlpm.nd)&gt;1,A95&amp;"¦"&amp;INDEX(_xlpm.nd,1)&amp;"¦"&amp;INDEX(_xlpm.nd,2),"")))</f>
        <v>ЩОВ-002¦QF7¦кабель ВВГнг(А)-LS (3х1,5) → Внутренний блок кондиционирования Подвальный этаж Пом. №005Т</v>
      </c>
      <c r="IO95" t="str">
        <f t="shared" si="254"/>
        <v>K.00.001A¦Внутренний блок кондиционирования Подвальный этаж Пом. №005Т</v>
      </c>
      <c r="IP95" t="str" cm="1">
        <f t="array" ref="IP95">IF(IM95="","",_xlfn.LET(_xlpm.nd,_xlfn.TEXTSPLIT(IM95,"|"),IF(COLUMNS(_xlpm.nd)&gt;2,A95&amp;"¦"&amp;INDEX(_xlpm.nd,2)&amp;"¦"&amp;INDEX(_xlpm.nd,3),"")))</f>
        <v/>
      </c>
      <c r="IQ95" t="str">
        <f t="shared" si="255"/>
        <v/>
      </c>
      <c r="IR95" t="str" cm="1">
        <f t="array" ref="IR95">IF(IM95="","",_xlfn.LET(_xlpm.nd,_xlfn.TEXTSPLIT(IM95,"|"),IF(COLUMNS(_xlpm.nd)&gt;3,A95&amp;"¦"&amp;INDEX(_xlpm.nd,3)&amp;"¦"&amp;INDEX(_xlpm.nd,4),"")))</f>
        <v/>
      </c>
      <c r="IS95" t="str">
        <f t="shared" si="256"/>
        <v/>
      </c>
      <c r="IT95" t="str" cm="1">
        <f t="array" ref="IT95">IF(IM95="","",_xlfn.LET(_xlpm.nd,_xlfn.TEXTSPLIT(IM95,"|"),IF(COLUMNS(_xlpm.nd)&gt;4,A95&amp;"¦"&amp;INDEX(_xlpm.nd,4)&amp;"¦"&amp;INDEX(_xlpm.nd,5),"")))</f>
        <v/>
      </c>
      <c r="IU95" t="str">
        <f t="shared" si="257"/>
        <v/>
      </c>
      <c r="IV95" t="str" cm="1">
        <f t="array" ref="IV95">IF(IM95="","",_xlfn.LET(_xlpm.nd,_xlfn.TEXTSPLIT(IM95,"|"),IF(COLUMNS(_xlpm.nd)&gt;5,A95&amp;"¦"&amp;INDEX(_xlpm.nd,5)&amp;"¦"&amp;INDEX(_xlpm.nd,6),"")))</f>
        <v/>
      </c>
      <c r="IW95" t="str">
        <f t="shared" si="258"/>
        <v/>
      </c>
      <c r="IX95" t="str" cm="1">
        <f t="array" ref="IX95">IF(IM95="","",_xlfn.LET(_xlpm.nd,_xlfn.TEXTSPLIT(IM95,"|"),IF(COLUMNS(_xlpm.nd)&gt;6,A95&amp;"¦"&amp;INDEX(_xlpm.nd,6)&amp;"¦"&amp;INDEX(_xlpm.nd,7),"")))</f>
        <v/>
      </c>
      <c r="IY95" t="str">
        <f t="shared" si="259"/>
        <v/>
      </c>
      <c r="IZ95" t="str">
        <f t="shared" si="260"/>
        <v/>
      </c>
      <c r="JA95" t="str">
        <f t="shared" si="261"/>
        <v>QF7</v>
      </c>
      <c r="JB95">
        <f t="shared" si="262"/>
        <v>0</v>
      </c>
      <c r="JC95">
        <f t="shared" si="263"/>
        <v>0</v>
      </c>
      <c r="JD95" t="str">
        <f t="shared" si="264"/>
        <v/>
      </c>
      <c r="JE95" t="str">
        <f t="shared" si="265"/>
        <v/>
      </c>
      <c r="JF95" t="str">
        <f t="shared" si="266"/>
        <v/>
      </c>
      <c r="JG95" t="str">
        <f t="shared" si="267"/>
        <v/>
      </c>
      <c r="JH95">
        <f>IF(B95="","",IFERROR(_xlfn.XLOOKUP(B95,Коды_код,Коды_уго),IFERROR(_xlfn.XLOOKUP(BC95,Коды_код,Коды_уго),IFERROR(_xlfn.XLOOKUP(LEFT(BC95,2),Коды_код,Коды_уго),""))))</f>
        <v>0</v>
      </c>
      <c r="JI95" t="str">
        <f>IF(B95="","",IF(OR(JH95="",JH95=0),"BOX",IFERROR(IF(VLOOKUP(JH95,УГО_блоки,3,FALSE)&amp;""&lt;&gt;"",VLOOKUP(JH95,УГО_блоки,3,FALSE),VLOOKUP(JH95,УГО_блоки,2,FALSE)),JH95)))</f>
        <v>BOX</v>
      </c>
      <c r="JJ95">
        <f t="shared" si="268"/>
        <v>1</v>
      </c>
      <c r="JK95" t="str">
        <f>IF(DQ95="","",IF(COUNTIF(DQ$3:DQ95,DQ95)=1,MAX(JK$2:JK94)+1,""))</f>
        <v/>
      </c>
      <c r="JL95" t="str">
        <f>IF(DE95="","",IF(COUNTIF(DE$3:DE95,DE95)+COUNTIF(DF$2:DF94,DE95)+COUNTIF(DG$2:DG94,DE95)=1,MAX(JL$2:JN94)+1,""))</f>
        <v/>
      </c>
      <c r="JM95" t="str">
        <f>IF(DF95="","",IF(COUNTIF(DE$3:DE95,DF95)+COUNTIF(DF$3:DF95,DF95)+COUNTIF(DG$2:DG94,DF95)=1,MAX(JL$2:JN94,JL95)+1,""))</f>
        <v/>
      </c>
      <c r="JN95" t="str">
        <f>IF(DG95="","",IF(COUNTIF(DE$3:DE95,DG95)+COUNTIF(DF$3:DF95,DG95)+COUNTIF(DG$3:DG95,DG95)=1,MAX(JL$2:JN94,JL95,JM95)+1,""))</f>
        <v/>
      </c>
      <c r="JO95" t="str">
        <f t="shared" si="269"/>
        <v>3х1,5</v>
      </c>
      <c r="JP95" t="str">
        <f>IF(JO95="","",IF(COUNTIF(JO$3:JO95,JO95)=1,MAX(JP$2:JP94)+1,""))</f>
        <v/>
      </c>
      <c r="JQ95" t="str">
        <f>IF(HG95="","",COUNTIF(HG$3:HG95,"?*"))</f>
        <v/>
      </c>
      <c r="JR95" t="str">
        <f>IF(OR(HG95="",HI95=""),"",IF(COUNTIFS(HG$3:HG95,"?*",HI$3:HI95,HI95)=1,MAX(JR$2:JR94)+1,""))</f>
        <v/>
      </c>
      <c r="JS95">
        <f t="shared" si="270"/>
        <v>0</v>
      </c>
      <c r="JT95">
        <f>IF(B95="","",COUNTIF(B$3:B95,"?*"))</f>
        <v>93</v>
      </c>
      <c r="JU95">
        <f>IF(HL95&lt;&gt;1,0,_xlfn.LET(_xlpm.k,MAX(IFERROR(--_xlfn.XLOOKUP(B95,Коды_код,Коды_3L),0),IFERROR(--_xlfn.XLOOKUP(BC95,Коды_код,Коды_3L),0),IFERROR(--_xlfn.XLOOKUP(LEFT(BC95,2),Коды_код,Коды_3L),0)),IF(_xlpm.k&gt;0,_xlpm.k,IF(IFERROR(--LEFT(SUBSTITUTE(JO95,"x","х"),FIND("х",SUBSTITUTE(JO95,"x","х"))-1),3)&gt;3,Каталог!$S$9,1))))</f>
        <v>1</v>
      </c>
      <c r="JV95">
        <f t="shared" si="271"/>
        <v>0</v>
      </c>
      <c r="JW95" t="str">
        <f t="shared" si="272"/>
        <v>авто</v>
      </c>
      <c r="JX95" t="str">
        <f t="shared" si="273"/>
        <v/>
      </c>
      <c r="JY95">
        <f t="shared" si="274"/>
        <v>0</v>
      </c>
      <c r="JZ95">
        <f t="shared" si="275"/>
        <v>1</v>
      </c>
    </row>
    <row r="96" spans="1:286" x14ac:dyDescent="0.3">
      <c r="A96" t="s">
        <v>749</v>
      </c>
      <c r="B96" t="s">
        <v>1408</v>
      </c>
      <c r="C96" t="s">
        <v>1665</v>
      </c>
      <c r="D96">
        <v>1</v>
      </c>
      <c r="E96">
        <v>0.104</v>
      </c>
      <c r="G96">
        <v>10</v>
      </c>
      <c r="H96" t="str">
        <f>Линии[[#This Row],[_авто управление]]</f>
        <v/>
      </c>
      <c r="I96" t="str">
        <f>Линии[[#This Row],[_авто аппараты]]</f>
        <v/>
      </c>
      <c r="J96">
        <v>1.5</v>
      </c>
      <c r="K96">
        <v>30</v>
      </c>
      <c r="L96">
        <v>1</v>
      </c>
      <c r="M96" t="s">
        <v>484</v>
      </c>
      <c r="N96" t="str">
        <f t="shared" si="138"/>
        <v/>
      </c>
      <c r="O96" s="6" cm="1">
        <f t="array" ref="O96">IF(B96="","",IF(BH96&lt;&gt;"",IFERROR(_xlfn.XLOOKUP(BH96,Щиты[Щит],Щиты[Iр, А]),""),IF(BP96=1,IF(OR(N(_xlfn.XLOOKUP(A96,Щиты[Щит],Щиты[Вводов],1))&lt;=1,LOWER(TRIM(_xlfn.XLOOKUP(A96,Щиты[Щит],Щиты[АВР],"")&amp;""))="да"),IFERROR(_xlfn.XLOOKUP(A96,Щиты[Щит],Щиты[Iр, А]),""),IFERROR(N(BS96)*_xlfn.XLOOKUP(A96,Щиты[Щит],Щиты[Кс итог])/(SQRT(3)*Uн_лин*_xlfn.XLOOKUP(A96,Щиты[Щит],Щиты[cos φ])),"")),IF(BV96=1,IFERROR(BS96*1000/BU96,""),IFERROR(_xlfn.IFS(BX96=1,BS96/((Uн_лин/SQRT(3))*CE96),BX96=3,BS96/(SQRT(3)*Uн_лин*CE96)),"")))))</f>
        <v>0.56291651245988494</v>
      </c>
      <c r="P96" s="7">
        <f>IF(B96="","",IFERROR(IF(VLOOKUP(BC96,Потребители_обозначение,4,FALSE)=1,VLOOKUP(BC96,Потребители_обозначение,3,FALSE)*(MAX(1,N(D96))*2-1)+EI96+VLOOKUP(BE96,Этаж_обозначение,3,FALSE)+VLOOKUP(BE96,Этаж_обозначение,4,FALSE),VLOOKUP(BC96,Потребители_обозначение,3,FALSE)*(MAX(1,N(D96))*2-1)+EI96),EI96))</f>
        <v>32</v>
      </c>
      <c r="Q96" s="6">
        <f t="shared" si="139"/>
        <v>0.92999999999999994</v>
      </c>
      <c r="R96" t="str">
        <f t="shared" si="140"/>
        <v>ВВГнг(А)-LS (3х1,5)</v>
      </c>
      <c r="S96" t="str">
        <f>IF(BM96="","",IF(BN96="вводной узел","узел ","")&amp;"л."&amp;(INT((BM96-1)/Столбцов_на_лист)+1)&amp;" / "&amp;(MOD(BM96-1,Столбцов_на_лист)+1))</f>
        <v>л.2 / 9</v>
      </c>
      <c r="T96" s="119">
        <f t="shared" si="141"/>
        <v>0.5</v>
      </c>
      <c r="U96" s="7" t="str">
        <f>IF(OR(CG96=0,N(BV96)+N(IB96)=0),"",ROUNDUP(Запас_БП*(N(HY96)+N(HZ96)),0))</f>
        <v/>
      </c>
      <c r="V96" s="119" t="str">
        <f t="shared" si="142"/>
        <v/>
      </c>
      <c r="W96" s="7" t="str">
        <f>IFERROR(IF(OR(B96="",BP96=1,BV96=1,NOT(ISNUMBER(EN96)),N(DT96)=0),"",MAX(0,ROUNDDOWN((c_min*(Uн_лин*1000/SQRT(3))/(HT96*N(DT96))-_xlfn.XLOOKUP(A96,Щиты[Щит],Щиты[Zпетли на шинах, Ом]))*EN96/(2*ρкз_Cu),0))),"")</f>
        <v/>
      </c>
      <c r="Y96" t="str">
        <f>Линии[[#This Row],[_авто утечка]]</f>
        <v/>
      </c>
      <c r="Z96">
        <v>1</v>
      </c>
      <c r="AA96">
        <v>230</v>
      </c>
      <c r="AB96" t="s">
        <v>598</v>
      </c>
      <c r="AC96">
        <v>0.5</v>
      </c>
      <c r="AG96" t="s">
        <v>810</v>
      </c>
      <c r="AI96" t="s">
        <v>576</v>
      </c>
      <c r="AK96" t="str">
        <f>Линии[[#This Row],[_авто модуль]]</f>
        <v/>
      </c>
      <c r="AM96">
        <v>26</v>
      </c>
      <c r="AN96" t="s">
        <v>11</v>
      </c>
      <c r="AO96">
        <v>3</v>
      </c>
      <c r="AQ96">
        <v>14</v>
      </c>
      <c r="AR96">
        <v>18</v>
      </c>
      <c r="AT96">
        <v>1</v>
      </c>
      <c r="BA96" cm="1">
        <f t="array" ref="BA96">ROW()-ROW(Линии[#Headers])</f>
        <v>94</v>
      </c>
      <c r="BC96" s="6" t="str">
        <f t="shared" si="143"/>
        <v>K</v>
      </c>
      <c r="BD96" t="str">
        <f t="shared" si="144"/>
        <v>00.004A</v>
      </c>
      <c r="BE96" t="str">
        <f t="shared" si="145"/>
        <v>00</v>
      </c>
      <c r="BF96" t="str">
        <f t="shared" si="146"/>
        <v>004A</v>
      </c>
      <c r="BG96" t="str">
        <f t="shared" si="147"/>
        <v>004A</v>
      </c>
      <c r="BH96" t="str">
        <f>IF(X96&lt;&gt;"",X96,IF(AND(B96&lt;&gt;"",B96&lt;&gt;A96,ISNUMBER(_xlfn.XMATCH(B96,Щиты[Щит]))),B96,""))</f>
        <v/>
      </c>
      <c r="BI96" t="str" cm="1">
        <f t="array" ref="BI96">IF(B96="","",IF(BH96&lt;&gt;"","Щит "&amp;BH96,_xlfn.LET(_xlpm.nm,IFERROR(_xlfn.XLOOKUP(BC96,Коды_код,Коды_имя)&amp;"",""),_xlpm.md,IFERROR(N(_xlfn.XLOOKUP(BC96,Коды_код,Коды_режим)),1),_xlpm.ex,IF(Имя_режим="по экспликации",IFERROR(_xlfn.XLOOKUP(BE96&amp;"|"&amp;BG96,Экспликация[Этаж]&amp;"|"&amp;Экспликация[Помещение],Экспликация[Название])&amp;"",""),""),_xlpm.rm,IF(BG96="","",IF(_xlpm.ex&lt;&gt;"",". "&amp;_xlpm.ex&amp;IF(Имя_пом="нет"," ("&amp;BG96&amp;")"," (пом. "&amp;BG96&amp;")"),IF(Имя_пом="нет"," ",", пом. ")&amp;BG96)),IF(_xlpm.nm="","",IF(_xlpm.md=2,_xlpm.nm&amp;" шлейф "&amp;BE96,_xlpm.nm&amp;_xlpm.rm)))))</f>
        <v>Внутренний блок кондиционирования, пом. 004A</v>
      </c>
      <c r="BJ96" t="str">
        <f t="shared" si="148"/>
        <v>Внутренний блок кондиционирования Подвальный этаж Пом. №002Б</v>
      </c>
      <c r="BK96">
        <f>IFERROR(_xlfn.XMATCH(A96,Щиты[Щит]),0)</f>
        <v>5</v>
      </c>
      <c r="BL96">
        <f>_xlfn.LET(_xlpm.k,IFERROR(_xlfn.XLOOKUP(A96,Щиты[Щит],Щиты[Мест под вводной узел]),""),IF(_xlpm.k="",Столбцов_на_лист,N(_xlpm.k)))</f>
        <v>18</v>
      </c>
      <c r="BM96">
        <f t="shared" si="149"/>
        <v>26</v>
      </c>
      <c r="BN96" t="str">
        <f t="shared" si="150"/>
        <v>линии</v>
      </c>
      <c r="BO96" s="6">
        <f>IFERROR(N(_xlfn.XLOOKUP(BC96,Коды_код,Коды_квт)),0)</f>
        <v>0</v>
      </c>
      <c r="BP96">
        <f t="shared" si="151"/>
        <v>0</v>
      </c>
      <c r="BQ96" t="str">
        <f>IF(B96="","",IF(BH96&lt;&gt;"",IFERROR(_xlfn.XLOOKUP(BH96,Щиты[Щит],Щиты[Руст, кВт]),0),IF(BP96=1,IF(OR(N(_xlfn.XLOOKUP(A96,Щиты[Щит],Щиты[Вводов],1))&lt;=1,LOWER(TRIM(_xlfn.XLOOKUP(A96,Щиты[Щит],Щиты[АВР],"")&amp;""))="да"),IFERROR(_xlfn.XLOOKUP(A96,Щиты[Щит],Щиты[Руст, кВт]),0),SUMIFS(Линии[_Р для вводов],Линии[Щит],A96,Линии[Источник для режимов],GF96)),IF(BO96&gt;0,ROUND(BO96*MAX(1,N(D96)),3),""))))</f>
        <v/>
      </c>
      <c r="BR96">
        <f t="shared" si="152"/>
        <v>0.104</v>
      </c>
      <c r="BS96" s="6">
        <f>IF(B96="","",IF(BH96&lt;&gt;"",IFERROR(_xlfn.XLOOKUP(BH96,Щиты[Щит],Щиты[Руст, кВт]),0),N(BR96)))</f>
        <v>0.104</v>
      </c>
      <c r="BT96" t="str">
        <f>IF(B96="","",IFERROR(IF(VLOOKUP(BC96,Потребители_обозначение,8,FALSE)=0,"",VLOOKUP(BC96,Потребители_обозначение,8,FALSE)),""))</f>
        <v/>
      </c>
      <c r="BU96">
        <f t="shared" si="153"/>
        <v>230</v>
      </c>
      <c r="BV96">
        <f t="shared" si="154"/>
        <v>0</v>
      </c>
      <c r="BW96">
        <f>IF(B96="","",IF(BH96&lt;&gt;"",3,IFERROR(IF(N(VLOOKUP(BC96,Потребители_обозначение,9,FALSE))=0,1,VLOOKUP(BC96,Потребители_обозначение,9,FALSE)),1)))</f>
        <v>1</v>
      </c>
      <c r="BX96">
        <f t="shared" si="155"/>
        <v>1</v>
      </c>
      <c r="BY96" t="str">
        <f>IF(B96="","",_xlfn.LET(_xlpm.bc,IFERROR(IF(VLOOKUP(BC96,Потребители_обозначение,6,FALSE)=0,"",VLOOKUP(BC96,Потребители_обозначение,6,FALSE)&amp;""),""),IF(AND(GA96="да",OR(_xlpm.bc="",_xlpm.bc="мс")),Марка_пож,IF(AND(_xlpm.bc="",BH96&lt;&gt;""),"мс",_xlpm.bc))))</f>
        <v/>
      </c>
      <c r="BZ96" t="str">
        <f t="shared" si="156"/>
        <v>мс</v>
      </c>
      <c r="CA96">
        <f>IF(B96="","",_xlfn.LET(_xlpm.cc,IFERROR(N(VLOOKUP(BC96,Потребители_обозначение,7,FALSE)),0),IF(_xlpm.cc&gt;0,_xlpm.cc,IF(BZ96="","",IF(BV96=1,2,IF(N(BX96)=3,5,3))))))</f>
        <v>3</v>
      </c>
      <c r="CB96">
        <f t="shared" si="157"/>
        <v>3</v>
      </c>
      <c r="CC96">
        <f>IFERROR(N(VLOOKUP(BC96,Потребители_обозначение,10,FALSE)),0)</f>
        <v>0</v>
      </c>
      <c r="CD96">
        <f>IFERROR(VLOOKUP(BC96,Потребители_обозначение,5,FALSE),0)</f>
        <v>1</v>
      </c>
      <c r="CE96" s="6" cm="1">
        <f t="array" ref="CE96">IF(B96="","",IF(BH96&lt;&gt;"",IFERROR(_xlfn.XLOOKUP(BH96,Щиты[Щит],Щиты[cos φ]),0.95),IF(BP96=1,IFERROR(_xlfn.XLOOKUP(A96,Щиты[Щит],Щиты[cos φ]),0.95),IF(ISNUMBER(AD96),AD96,IFERROR(IF(CD96=2,_xlfn.IFS(BX96=3,VLOOKUP(BS96,Справочная_двигатели,8,FALSE),BX96=1,VLOOKUP(BS96,Справочная_двигатели,10,TRUE)),IF(AND(Методика="нормы 2026",FG96="Сил"),0.8,0.95)),0.95)))))</f>
        <v>0.8</v>
      </c>
      <c r="CF96">
        <f t="shared" si="158"/>
        <v>0</v>
      </c>
      <c r="CG96">
        <f t="shared" si="159"/>
        <v>1</v>
      </c>
      <c r="CH96">
        <f t="shared" si="160"/>
        <v>0</v>
      </c>
      <c r="CI96">
        <f>IF(B96="","",IF(BV96=1,IFERROR(BS96/((Uн_лин/SQRT(3))*MAX(0.5,N(CE96))),0),N(O96)))</f>
        <v>0.56291651245988494</v>
      </c>
      <c r="CJ96">
        <f t="shared" si="161"/>
        <v>0</v>
      </c>
      <c r="CK96">
        <f t="shared" si="162"/>
        <v>0</v>
      </c>
      <c r="CL96">
        <f t="shared" si="163"/>
        <v>0</v>
      </c>
      <c r="CM96">
        <f t="shared" si="164"/>
        <v>0</v>
      </c>
      <c r="CN96">
        <f t="shared" si="165"/>
        <v>0</v>
      </c>
      <c r="CO96">
        <f>IF(BC96="",0,_xlfn.LET(_xlpm.v,IFERROR(_xlfn.XLOOKUP(B96,Коды_код,Коды_мА),IFERROR(_xlfn.XLOOKUP(BC96,Коды_код,Коды_мА),IFERROR(_xlfn.XLOOKUP(LEFT(BC96,2),Коды_код,Коды_мА),""))),IF(_xlpm.v="да",30,IF(ISNUMBER(_xlpm.v),_xlpm.v,0))))</f>
        <v>0</v>
      </c>
      <c r="CP96" t="str">
        <f t="shared" si="166"/>
        <v/>
      </c>
      <c r="CQ96" t="str">
        <f>_xlfn.LET(_xlpm.k,IFERROR(_xlfn.XLOOKUP(BC96,Коды_код,Коды_утечка)&amp;"",""),IF(_xlpm.k="","дифавтомат",_xlpm.k))</f>
        <v>дифавтомат</v>
      </c>
      <c r="CR96" t="str" cm="1">
        <f t="array" ref="CR96">IF(CG96=0,"",_xlfn.LET(_xlpm.sg,TRIM(_xlfn.TEXTSPLIT(DD96&amp;"",";")),_xlpm.f_,_xlfn._xlws.FILTER(_xlpm.sg,LEFT(_xlpm.sg,3)="УЗО",""),IFERROR(INDEX(_xlpm.f_,1)&amp;"","")))</f>
        <v/>
      </c>
      <c r="CS96" t="str">
        <f t="shared" si="167"/>
        <v/>
      </c>
      <c r="CT96" s="6" t="str" cm="1">
        <f t="array" ref="CT96">IF(CR96="","",_xlfn.LET(_xlpm.tk,_xlfn.TEXTSPLIT(UPPER(CR96)," ",,TRUE),_xlpm.a_,_xlfn._xlws.FILTER(_xlpm.tk,ISNUMBER(--LEFT(_xlpm.tk,1))*((ISNUMBER(SEARCH("А",_xlpm.tk))+ISNUMBER(SEARCH("A",_xlpm.tk)))&gt;0)*NOT(ISNUMBER(SEARCH("МА",_xlpm.tk)))*NOT(ISNUMBER(SEARCH("MA",_xlpm.tk))),""),IFERROR(--SUBSTITUTE(SUBSTITUTE(INDEX(_xlpm.a_,1),"А",""),"A",""),"")))</f>
        <v/>
      </c>
      <c r="CU96" t="str" cm="1">
        <f t="array" ref="CU96">IF(CR96="","",_xlfn.LET(_xlpm.tk,_xlfn.TEXTSPLIT(UPPER(CR96)," ",,TRUE),_xlpm.a_,_xlfn._xlws.FILTER(_xlpm.tk,ISNUMBER(--LEFT(_xlpm.tk,1))*((ISNUMBER(SEARCH("МА",_xlpm.tk))+ISNUMBER(SEARCH("MA",_xlpm.tk)))&gt;0),""),IFERROR(--SUBSTITUTE(SUBSTITUTE(INDEX(_xlpm.a_,1),"МА",""),"MA",""),30)))</f>
        <v/>
      </c>
      <c r="CV96" t="str">
        <f>IF(CS96="","",IFERROR(_xlfn.XLOOKUP(CS96,Линии[_n],Линии[_УЗО, мА]),30))</f>
        <v/>
      </c>
      <c r="CW96">
        <f>IF(CS96="",0,IF(ISNUMBER(SEARCH("4P",IFERROR(_xlfn.XLOOKUP(CS96,Линии[_n],Линии[_УЗО строки])&amp;"",""))),0,1))</f>
        <v>0</v>
      </c>
      <c r="CX96" t="str">
        <f>IF(AND(CS96&lt;&gt;"",CS96=BA96),SUMIFS(Линии[_ток на 230 В],Линии[_блок УЗО],BA96,Линии[Щит],A96),"")</f>
        <v/>
      </c>
      <c r="CY96" t="str">
        <f>IF(AND(CS96&lt;&gt;"",CS96=BA96),SUMIFS(Линии[_ток утечки линии, мА],Линии[_блок УЗО],BA96,Линии[Щит],A96),"")</f>
        <v/>
      </c>
      <c r="CZ96">
        <f t="shared" si="168"/>
        <v>0</v>
      </c>
      <c r="DA96">
        <f t="shared" si="169"/>
        <v>0</v>
      </c>
      <c r="DB96">
        <f>IF(B96="",0,IFERROR(--_xlfn.XLOOKUP(B96,Коды_код,Коды_минавт),IFERROR(--_xlfn.XLOOKUP(BC96,Коды_код,Коды_минавт),IFERROR(--_xlfn.XLOOKUP(LEFT(BC96,2),Коды_код,Коды_минавт),0))))</f>
        <v>0</v>
      </c>
      <c r="DC96" t="str">
        <f>IF(B96="","",IFERROR(_xlfn.XLOOKUP(BC96,Коды_код,Коды_апп)&amp;"",""))</f>
        <v/>
      </c>
      <c r="DD96" t="str">
        <f t="shared" si="170"/>
        <v/>
      </c>
      <c r="DE96" t="str" cm="1">
        <f t="array" ref="DE96">IF(TRIM(DD96&amp;"")="","",IFERROR(TRIM(INDEX(_xlfn.TEXTSPLIT(DD96&amp;";;;",";"),1)),""))</f>
        <v/>
      </c>
      <c r="DF96" t="str" cm="1">
        <f t="array" ref="DF96">IF(TRIM(DD96&amp;"")="","",IFERROR(TRIM(INDEX(_xlfn.TEXTSPLIT(DD96&amp;";;;",";"),2)),""))</f>
        <v/>
      </c>
      <c r="DG96" t="str" cm="1">
        <f t="array" ref="DG96">IF(TRIM(DD96&amp;"")="","",IFERROR(TRIM(INDEX(_xlfn.TEXTSPLIT(DD96&amp;";;;",";"),3)),""))</f>
        <v/>
      </c>
      <c r="DH96">
        <f t="shared" si="171"/>
        <v>0</v>
      </c>
      <c r="DI96" t="str">
        <f>IF(B96="","",_xlfn.LET(_xlpm.t,LOWER(AZ96&amp;""),IF(ISNUMBER(SEARCH("dim",_xlpm.t)),"DIM",IF(ISNUMBER(SEARCH("dali",_xlpm.t)),"DALI",IF(OR(ISNUMBER(SEARCH("relay",_xlpm.t)),ISNUMBER(SEARCH("реле",_xlpm.t))),"Relay",IF(ISNUMBER(SEARCH("кнопк",_xlpm.t)),"",IFERROR(_xlfn.XLOOKUP(BC96,Коды_код,Коды_упр)&amp;"","")))))))</f>
        <v/>
      </c>
      <c r="DJ96" t="str">
        <f t="shared" si="172"/>
        <v/>
      </c>
      <c r="DK96">
        <f>IF(B96="","",_xlfn.LET(_xlpm.ig,IF(N(CX96)&gt;0,N(CX96),N(CI96)+IF(AJ96="вручную",0,N(CJ96))),_xlpm.n0,IFERROR(VLOOKUP(_xlpm.ig,Автомат_номиналы,2,TRUE),0),_xlpm.mn,MAX(DB96,IF(AJ96="вручную",0,N(CM96))),MAX(_xlpm.n0,_xlpm.mn,IF(DH96=1,Мин_автомат_БП,0))))</f>
        <v>6</v>
      </c>
      <c r="DL96">
        <f t="shared" si="173"/>
        <v>1</v>
      </c>
      <c r="DM96" t="str">
        <f t="shared" si="174"/>
        <v>1P</v>
      </c>
      <c r="DN96" t="str">
        <f>_xlfn.LET(_xlpm.cc,UPPER(TRIM(IFERROR(_xlfn.XLOOKUP(BC96,Коды_код,Коды_хар)&amp;"",""))),IF(OR(_xlpm.cc="B",_xlpm.cc="В"),"B",IF(_xlpm.cc="D","D","С")))</f>
        <v>С</v>
      </c>
      <c r="DO96" t="str">
        <f t="shared" si="175"/>
        <v>1P С6А</v>
      </c>
      <c r="DP96">
        <f t="shared" si="176"/>
        <v>10</v>
      </c>
      <c r="DQ96" t="str">
        <f t="shared" si="177"/>
        <v>1P С10А</v>
      </c>
      <c r="DR96" cm="1">
        <f t="array" ref="DR96">IF(DQ96="","",_xlfn.LET(_xlpm.t,SUBSTITUTE(SUBSTITUTE(SUBSTITUTE(UPPER(DQ96),"С","C"),"А","A"),"В","B"),_xlpm.tk,_xlfn.TEXTSPLIT(_xlpm.t," "),_xlpm.f,_xlfn._xlws.FILTER(_xlpm.tk,ISNUMBER(--MID(_xlpm.tk,2,1))*ISNUMBER(SEARCH(LEFT(_xlpm.tk,1)&amp;"#","B#C#D#"))*(LEN(_xlpm.tk)&gt;1),""),_xlpm.x,INDEX(_xlpm.f,1),IFERROR(--SUBSTITUTE(MID(_xlpm.x,2,9),"A",""),IFERROR(--SUBSTITUTE(INDEX(_xlfn._xlws.FILTER(_xlpm.tk,ISNUMBER(--SUBSTITUTE(_xlpm.tk,"A","")),""),1),"A",""),""))))</f>
        <v>10</v>
      </c>
      <c r="DS96" t="str">
        <f t="shared" si="178"/>
        <v>ok</v>
      </c>
      <c r="DT96">
        <f t="shared" si="179"/>
        <v>10</v>
      </c>
      <c r="DU96" t="str">
        <f t="shared" si="180"/>
        <v>1P С10А</v>
      </c>
      <c r="DV96">
        <f t="shared" si="181"/>
        <v>0</v>
      </c>
      <c r="DW96">
        <f t="shared" si="182"/>
        <v>0</v>
      </c>
      <c r="DX96">
        <f t="shared" si="183"/>
        <v>0</v>
      </c>
      <c r="DY96">
        <f t="shared" si="184"/>
        <v>0.56291651245988494</v>
      </c>
      <c r="DZ96">
        <f t="shared" si="185"/>
        <v>1</v>
      </c>
      <c r="EA96">
        <f>IF(ISNUMBER(AP96),AP96,К_прокл)</f>
        <v>1</v>
      </c>
      <c r="EB96">
        <f t="shared" si="186"/>
        <v>2</v>
      </c>
      <c r="EC96">
        <f>IFERROR(N(VLOOKUP(BZ96,Кабель_обозначение,3,FALSE)),1)</f>
        <v>1</v>
      </c>
      <c r="ED96">
        <f>IFERROR(N(_xlfn.XLOOKUP(A96,Щиты[Щит],Щиты[ΔU до шин, %])),0)</f>
        <v>0.74</v>
      </c>
      <c r="EE96" t="str">
        <f>IFERROR(_xlfn.XLOOKUP(A96,Щиты[Щит],Щиты[Zпетли на шинах, Ом]),"")</f>
        <v/>
      </c>
      <c r="EF96">
        <f>IFERROR(N(_xlfn.XLOOKUP(A96,Щиты[Щит],Щиты[ΔU до шин (подбор), %])),0)</f>
        <v>1.96</v>
      </c>
      <c r="EG96" t="str">
        <f>IFERROR(_xlfn.XLOOKUP(A96,Щиты[Щит],Щиты[Zпетли на шинах (подбор), Ом]),"")</f>
        <v/>
      </c>
      <c r="EH96" t="str">
        <f t="shared" si="187"/>
        <v/>
      </c>
      <c r="EI96">
        <f t="shared" si="188"/>
        <v>30</v>
      </c>
      <c r="EJ96">
        <f t="shared" si="189"/>
        <v>2</v>
      </c>
      <c r="EK96">
        <f t="shared" si="190"/>
        <v>0.6</v>
      </c>
      <c r="EL96" s="6">
        <f>IF(B96="","",IF(BV96=1,dU_LED,IF(IFERROR(_xlfn.XLOOKUP(BC96,Коды_код,Коды_уго),"")="Светильник",3,4)+IF(Методика="нормы 2026",MIN(0.5,MAX(0,N(P96)-100)*0.005),0)))</f>
        <v>4</v>
      </c>
      <c r="EM96" cm="1">
        <f t="array" ref="EM96">IF(OR(B96="",BZ96="",EC96&lt;&gt;1),"",_xlfn.LET(_xlpm.sz,Iдоп_S,_xlpm.t_,CHOOSE(EB96,Iдоп_1ж,Iдоп_2ж,Iдоп_3ж)*DZ96*EA96,_xlpm.dcx,BV96=1,_xlpm.inn,IF(_xlpm.dcx,N(O96),N(DT96)),_xlpm.smin,MAX(1.5,CC96),_xlpm.L_,N(P96)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96)/N(BU96)*100,999),IFERROR(N(EJ96)*(_xlpm.rho*_xlpm.L_/_xlpm.sz*N(CE96)+_xlpm.xx*_xlpm.L_*N(EK96)/1000)*N(O96)/((Uн_лин/SQRT(3))*1000)*100,999)),_xlpm.kz,IF(OR(_xlpm.dcx,DW96=1,NOT(ISNUMBER(EG96)),_xlpm.L_=0,_xlpm.inn=0),1,IFERROR(--(c_min*(Uн_лин*1000/SQRT(3))/(EG96+2*ρкз_Cu*_xlpm.L_/_xlpm.sz)&gt;=HT96*_xlpm.inn),0)),_xlpm.ok,IFERROR((_xlpm.sz&gt;=_xlpm.smin)*(_xlpm.t_&gt;=_xlpm.inn)*IF(_xlpm.L_&gt;0,(_xlpm.du_+IF(_xlpm.dcx,0,EF96)&lt;=EL96+0.00001),1)*_xlpm.kz,0),_xlpm.r_,_xlfn._xlws.FILTER(_xlpm.sz,_xlpm.ok,"не подобрано"),INDEX(_xlpm.r_,1)))</f>
        <v>1.5</v>
      </c>
      <c r="EN96">
        <f t="shared" si="191"/>
        <v>1.5</v>
      </c>
      <c r="EO96" cm="1">
        <f t="array" ref="EO96">IF(OR(B96="",BZ96="",EC96&lt;&gt;1),"",_xlfn.LET(_xlpm.sz,Iдоп_S,_xlpm.t_,CHOOSE(EB96,Iдоп_1ж,Iдоп_2ж,Iдоп_3ж)*DZ96*EA96,_xlpm.ok,IFERROR((_xlpm.sz&gt;=MAX(1.5,CC96))*(_xlpm.t_&gt;=N(DT96)),0),_xlpm.r_,_xlfn._xlws.FILTER(_xlpm.sz,_xlpm.ok,""),INDEX(_xlpm.r_,1)))</f>
        <v>1.5</v>
      </c>
      <c r="EP96" s="6" cm="1">
        <f t="array" ref="EP96">IFERROR(ROUNDUP(N(EJ96)*(_xlfn.XLOOKUP(EO96,INDEX(Кабель_сопротивление,0,1),INDEX(Кабель_сопротивление,0,3))*N(P96)/EO96*N(CE96)+_xlfn.XLOOKUP(EO96,INDEX(Кабель_сопротивление,0,1),INDEX(Кабель_сопротивление,0,2))*N(P96)*N(EK96)/1000)*N(O96)/((Uн_лин/SQRT(3))*1000)*100,2),"")</f>
        <v>0.19</v>
      </c>
      <c r="EQ96">
        <f>IFERROR(2*ρкз_Cu*N(P96)/EO96,"")</f>
        <v>1.1221333333333334</v>
      </c>
      <c r="ER96">
        <f>IFERROR(VLOOKUP(EN96,Кабель_сопротивление,3,FALSE),"")</f>
        <v>2.2499999999999999E-2</v>
      </c>
      <c r="ES96">
        <f>IFERROR(VLOOKUP(EN96,Кабель_сопротивление,2,FALSE),"")</f>
        <v>0.11</v>
      </c>
      <c r="ET96">
        <f t="shared" si="192"/>
        <v>18</v>
      </c>
      <c r="EU96">
        <f t="shared" si="193"/>
        <v>0</v>
      </c>
      <c r="EV96">
        <f t="shared" si="194"/>
        <v>0.4346976409178222</v>
      </c>
      <c r="EW96" s="6">
        <f>IFERROR(ROUNDUP(EV96/IF(BV96=1,BU96,(Uн_лин/SQRT(3))*1000)*100,2),"")</f>
        <v>0.19</v>
      </c>
      <c r="EX96" t="str">
        <f>IFERROR(VLOOKUP(BZ96,Кабель_обозначение,2,FALSE),"")</f>
        <v>ВВГнг(А)-LS</v>
      </c>
      <c r="EY96" t="str">
        <f t="shared" si="195"/>
        <v>ВВГнг(А)-LS (3х1,5)</v>
      </c>
      <c r="EZ96" t="str">
        <f t="shared" si="196"/>
        <v>ВВГнг(А)-LS (3х1,5)
L=32-0,19%</v>
      </c>
      <c r="FA96">
        <f>IFERROR(2*ρкз_Cu*P96/EN96,"")</f>
        <v>1.1221333333333334</v>
      </c>
      <c r="FB96">
        <f t="shared" si="197"/>
        <v>0.37333333333333335</v>
      </c>
      <c r="FC96" s="6" t="str">
        <f>IFERROR(IF(OR(B96="",BV96=1,NOT(ISNUMBER(EN96)),N(P96)=0),"",_xlfn.XLOOKUP(A96,Щиты[Щит],Щиты[Zпетли на шинах, Ом])+FA96),"")</f>
        <v/>
      </c>
      <c r="FD96" s="6" t="str">
        <f>IF(ISNUMBER(FC96),c_min*(Uн_лин*1000/SQRT(3))/FC96,"")</f>
        <v/>
      </c>
      <c r="FE96" s="6" t="str">
        <f>IFERROR(IF(OR(B96="",NOT(ISNUMBER(EN96))),"",1.05*(Uн_лин*1000/SQRT(3))/(_xlfn.XLOOKUP(A96,Щиты[Щит],Щиты[Zmax на шинах, Ом])+FB96)/1000),"")</f>
        <v/>
      </c>
      <c r="FF96" s="6" t="str">
        <f>IF(B96="","",IF(ISNUMBER(AC96),"Сил",IF(IFERROR(_xlfn.XLOOKUP(BC96,Коды_код,Коды_группа)&amp;"","")="","Быт",_xlfn.XLOOKUP(BC96,Коды_код,Коды_группа)&amp;"")))</f>
        <v>Сил</v>
      </c>
      <c r="FG96" s="6" t="str">
        <f t="shared" si="198"/>
        <v>Сил</v>
      </c>
      <c r="FH96" s="6">
        <f>IF(FG96="Щит","щит",IF(FG96="","",IF(FG96="Быт",IFERROR(_xlfn.XLOOKUP(A96,Щиты[Щит],Щиты[Кс быт]),1),IF(FG96="Сил",IF(ISNUMBER(AC96),AC96,IF(Методика="нормы 2026",IFERROR(_xlfn.XLOOKUP(A96,Щиты[Щит],Щиты[Кс силовых (табл. 7.5)]),1),1)),IF(OR(FG96="Пост",FG96="Отоп"),1,IF(FG96="ВНГ",0.7,0))))))</f>
        <v>0.5</v>
      </c>
      <c r="FI96">
        <f>IF(FG96="","",IF(AND(BP96=1,TRIM(AE96&amp;"")=""),IF(COUNTIFS(Линии[Щит],A96,Линии[Секция (1/2/3)],"&gt;=2")&gt;0,MIN(3,MAX(1,IFERROR(--BD96,1))),1),IFERROR(MIN(3,MAX(1,INT(--AE96))),1)))</f>
        <v>1</v>
      </c>
      <c r="FJ96">
        <f t="shared" si="199"/>
        <v>0.104</v>
      </c>
      <c r="FK96">
        <f t="shared" si="200"/>
        <v>0</v>
      </c>
      <c r="FL96">
        <f t="shared" si="201"/>
        <v>5.1999999999999998E-2</v>
      </c>
      <c r="FM96">
        <f t="shared" si="202"/>
        <v>0</v>
      </c>
      <c r="FN96">
        <f t="shared" si="203"/>
        <v>0</v>
      </c>
      <c r="FO96">
        <f t="shared" si="204"/>
        <v>0</v>
      </c>
      <c r="FP96">
        <f t="shared" si="205"/>
        <v>0.104</v>
      </c>
      <c r="FQ96">
        <f t="shared" si="206"/>
        <v>0.104</v>
      </c>
      <c r="FR96">
        <f t="shared" si="207"/>
        <v>8.3199999999999996E-2</v>
      </c>
      <c r="FS96">
        <f>IF(CG96=1,IF(AND(CH96=1,CW96=1),0,IF(AND(CS96&lt;&gt;"",CS96=BA96,CW96=1),SUMIFS(Линии[_Р линии, кВт],Линии[_блок УЗО],BA96,Линии[Щит],A96),N(BS96)+IF(AJ96="вручную",0,N(CK96)))),0)</f>
        <v>0.104</v>
      </c>
      <c r="FT96" t="str">
        <f t="shared" si="208"/>
        <v>L1</v>
      </c>
      <c r="FU96" t="str">
        <f>IF(B96="","",IF(CG96=0,IF(BA96=1,"",FW95),IF(AND(CH96=1,CW96=1,CS96&lt;&gt;""),IFERROR(_xlfn.XLOOKUP(CS96,Линии[_n],Линии[_фаза итог]),"L1"),IF(OR(N(DL96)&gt;=3,N(BX96)&gt;=3),"L1,L2,L3",IFERROR(_xlfn.TEXTBEFORE(_xlfn.TEXTAFTER(_xlfn.XLOOKUP(A96,Щиты[Щит],Щиты[_фазы авто]),";"&amp;BA96&amp;":"),";"),"L1")))))</f>
        <v>L1</v>
      </c>
      <c r="FV96" t="str">
        <f t="shared" si="209"/>
        <v>L1</v>
      </c>
      <c r="FW96" t="str">
        <f t="shared" si="210"/>
        <v>L1</v>
      </c>
      <c r="FX96" cm="1">
        <f t="array" ref="FX96">IFERROR(IF(CD96=2,_xlfn.IFS(BX96=3,VLOOKUP(BS96,Справочная_двигатели,3,FALSE),BX96=1,VLOOKUP(BS96,Справочная_двигатели,5,TRUE)),0),0)</f>
        <v>0</v>
      </c>
      <c r="FY96">
        <f>IFERROR(IF(CD96=3,VLOOKUP(BS96,Справочная_ЛЭД,2,TRUE),0),0)</f>
        <v>0</v>
      </c>
      <c r="FZ96" s="6">
        <f t="shared" si="211"/>
        <v>0</v>
      </c>
      <c r="GA96" t="str">
        <f>IF(B96="","",IF(TRIM(AH96&amp;"")&lt;&gt;"",IF(LOWER(TRIM(AH96&amp;""))="да","да","нет"),IF(IFERROR(_xlfn.XLOOKUP(BC96,Коды_код,Коды_пожарная),"")="да","да","нет")))</f>
        <v>нет</v>
      </c>
      <c r="GB96" t="str">
        <f t="shared" si="212"/>
        <v/>
      </c>
      <c r="GC96" t="str">
        <f t="shared" si="213"/>
        <v>основная</v>
      </c>
      <c r="GD96">
        <f>IF(AND(BP96=1,TRIM(AE96&amp;"")=""),IF(COUNTIFS(Линии[Щит],A96,Линии[Секция (1/2/3)],"&gt;=2")&gt;0,MIN(3,MAX(1,IFERROR(--BD96,1))),1),IFERROR(MIN(3,MAX(1,INT(--AE96))),1))</f>
        <v>1</v>
      </c>
      <c r="GE96" t="str" cm="1">
        <f t="array" ref="GE96">IF(B96="","",_xlfn.LET(_xlpm.t,IFERROR(_xlfn.XLOOKUP(1,(Шины[Шина]=GC96)*(((Шины[Щит]=A96)+(Шины[Щит]=""))&gt;0),Шины[Тип]),"")&amp;"",IF(_xlpm.t&lt;&gt;"",_xlpm.t,IF(ISNUMBER(SEARCH("ИБП",GC96)),"ИБП",IF(ISNUMBER(SEARCH("ДГУ",GC96)),"ДГУ","Ввод "&amp;GD96)))))</f>
        <v>Ввод 1</v>
      </c>
      <c r="GF96" t="str">
        <f t="shared" si="214"/>
        <v>Ввод 1</v>
      </c>
      <c r="GG96" t="str">
        <f>IF(BP96=0,"",IF(TRIM(AG96&amp;"")&lt;&gt;"",TRIM(AG96&amp;""),IF(OR(GE96="ИБП",GE96="ДГУ"),"I особая",_xlfn.XLOOKUP(A96,Щиты[Щит],Щиты[Категория шины «Ввод»],"III"))))</f>
        <v/>
      </c>
      <c r="GH96" t="str">
        <f>IF(A96="","",_xlfn.XLOOKUP(A96,Щиты[Щит],Щиты[Путь],""))</f>
        <v>|ГРЩ-ЖД|ЩОВ-002|</v>
      </c>
      <c r="GI96" t="str">
        <f>IF(B96="","",IF(AI96&lt;&gt;"",AI96,IF(IFERROR(_xlfn.XLOOKUP(BC96,Коды_код,Коды_вид)&amp;"","")="","Прочее",_xlfn.XLOOKUP(BC96,Коды_код,Коды_вид)&amp;"")))</f>
        <v>Кондиционирование и увлажнение</v>
      </c>
      <c r="GJ96">
        <f>IF(BM96="","",INT((BM96-1)/Столбцов_на_лист)+1)</f>
        <v>2</v>
      </c>
      <c r="GK96" t="str">
        <f t="shared" si="215"/>
        <v>ВВГнг(А)-LS (3х1,5) L=32-0,19%</v>
      </c>
      <c r="GL96">
        <f t="shared" si="216"/>
        <v>0.104</v>
      </c>
      <c r="GM96">
        <f t="shared" si="217"/>
        <v>0.57000000000000006</v>
      </c>
      <c r="GN96">
        <f t="shared" si="218"/>
        <v>1</v>
      </c>
      <c r="GO96">
        <f t="shared" si="219"/>
        <v>0</v>
      </c>
      <c r="GP96">
        <f t="shared" si="220"/>
        <v>1</v>
      </c>
      <c r="GQ96">
        <f>IF(BM96="","",IF(AND(CG96=1,GP96=1),COUNTIFS(A$3:A96,A96,CG$3:CG96,1,GP$3:GP96,1),IF(OR(OR(BA96=1,A96&lt;&gt;A95),AJ96="вручную",GP96=0),"",IF(BA96=1,"",GR95))))</f>
        <v>8</v>
      </c>
      <c r="GR96">
        <f t="shared" si="221"/>
        <v>8</v>
      </c>
      <c r="GS96">
        <f>IF(B96="","",IFERROR(LOOKUP(INDEX(CHOOSE(EB96,Iдоп_1ж,Iдоп_2ж,Iдоп_3ж),MATCH(EN96,Iдоп_S,0))*DZ96*EA96,{6,10,16,20,25,32,40,50,63,80,100,125,160,200,250,315,400,500,630}),""))</f>
        <v>16</v>
      </c>
      <c r="GT96" t="str">
        <f t="shared" si="222"/>
        <v>QF8</v>
      </c>
      <c r="GU96" t="str">
        <f t="shared" si="223"/>
        <v>QF8</v>
      </c>
      <c r="GV96" t="str">
        <f t="shared" si="224"/>
        <v/>
      </c>
      <c r="GW96">
        <f t="shared" si="225"/>
        <v>0</v>
      </c>
      <c r="GX96" t="str">
        <f>IF(OR(B96="",DJ96=""),"",IFERROR(_xlfn.XLOOKUP(DJ96,Модули_умолч[Управление],Модули_умолч[Модель])&amp;"",""))</f>
        <v/>
      </c>
      <c r="GY96">
        <f>IF(DJ96="",1,IFERROR(MAX(0,N(_xlfn.XLOOKUP(DJ96,Модули_умолч[Управление],Модули_умолч[Каналов на линию]))),1))</f>
        <v>1</v>
      </c>
      <c r="GZ96" t="str">
        <f t="shared" si="226"/>
        <v/>
      </c>
      <c r="HA96" t="str">
        <f t="shared" si="227"/>
        <v/>
      </c>
      <c r="HB96" t="str">
        <f t="shared" si="228"/>
        <v/>
      </c>
      <c r="HC96">
        <f>IF(HB96="",0,IFERROR(N(VLOOKUP(HB96,Модули_спр,3,FALSE)),0))</f>
        <v>0</v>
      </c>
      <c r="HD96" t="str">
        <f t="shared" si="229"/>
        <v/>
      </c>
      <c r="HE96" t="str">
        <f t="shared" si="230"/>
        <v/>
      </c>
      <c r="HF96" t="str">
        <f>IF(OR(HE96="",HE96="-"),"",IFERROR(VLOOKUP(HE96,Модули_спр,2,FALSE),"R"))</f>
        <v/>
      </c>
      <c r="HG96" t="str">
        <f>IF(HF96="","",HF96&amp;"."&amp;COUNTIFS(A$3:A96,A96,HF$3:HF96,HF96))</f>
        <v/>
      </c>
      <c r="HH96" t="str">
        <f t="shared" si="231"/>
        <v/>
      </c>
      <c r="HI96" t="str">
        <f t="shared" si="232"/>
        <v/>
      </c>
      <c r="HJ96" t="str">
        <f t="shared" si="233"/>
        <v/>
      </c>
      <c r="HK96" t="str">
        <f t="shared" si="234"/>
        <v/>
      </c>
      <c r="HL96">
        <f t="shared" si="235"/>
        <v>1</v>
      </c>
      <c r="HM96" t="str">
        <f>IF(HL96=1,"XT"&amp;COUNTIFS(A$3:A96,A96,HL$3:HL96,1),"")</f>
        <v>XT8</v>
      </c>
      <c r="HN96" t="str">
        <f t="shared" si="236"/>
        <v/>
      </c>
      <c r="HO96" t="str">
        <f t="shared" si="237"/>
        <v>QF8</v>
      </c>
      <c r="HP96" t="str">
        <f t="shared" si="238"/>
        <v/>
      </c>
      <c r="HQ96" t="str">
        <f t="shared" si="239"/>
        <v>ok</v>
      </c>
      <c r="HR96" t="str">
        <f>IF(OR(HJ96="",HH96=""),"",IF(HJ96+MAX(0,GY96-1)&gt;IFERROR(VLOOKUP(HI96,Модули_спр,3,FALSE),99),"ЛИШНИЙ КАНАЛ",IF(AND(AL96&lt;&gt;"=",GY96&gt;0,COUNTIFS(Линии[_модуль гр.],HH96,Линии[Канал (итог)],HJ96,Линии[Канал],"&lt;&gt;=",Линии[Щит],A96)&gt;1),"ДУБЛЬ КАНАЛА","")))</f>
        <v/>
      </c>
      <c r="HS96" s="6" t="str">
        <f t="shared" si="240"/>
        <v/>
      </c>
      <c r="HT96">
        <f t="shared" si="241"/>
        <v>10</v>
      </c>
      <c r="HU96" t="str">
        <f t="shared" si="242"/>
        <v/>
      </c>
      <c r="HV96">
        <f t="shared" si="243"/>
        <v>0.54516660498395397</v>
      </c>
      <c r="HW96">
        <f t="shared" si="244"/>
        <v>0</v>
      </c>
      <c r="HX96">
        <f t="shared" si="245"/>
        <v>0</v>
      </c>
      <c r="HY96">
        <f t="shared" si="246"/>
        <v>0</v>
      </c>
      <c r="HZ96">
        <f t="shared" si="247"/>
        <v>0</v>
      </c>
      <c r="IA96">
        <f t="shared" si="248"/>
        <v>0</v>
      </c>
      <c r="IB96">
        <f t="shared" si="249"/>
        <v>0</v>
      </c>
      <c r="IC96" t="str">
        <f t="shared" si="250"/>
        <v/>
      </c>
      <c r="ID96" t="str" cm="1">
        <f t="array" ref="ID96">IF(IC96="","",_xlfn.LET(_xlpm.tk,_xlfn.TEXTSPLIT(SUBSTITUTE(SUBSTITUTE(IC96,";"," "),"→"," ")," ",,TRUE),_xlpm.w_,_xlfn._xlws.FILTER(_xlpm.tk,ISNUMBER(--LEFT(_xlpm.tk,1))*((ISNUMBER(SEARCH("W",_xlpm.tk))+ISNUMBER(SEARCH("Вт",_xlpm.tk)))&gt;0),""),IFERROR(--SUBSTITUTE(SUBSTITUTE(UPPER(INDEX(_xlpm.w_,1)),"W",""),"ВТ",""),"")))</f>
        <v/>
      </c>
      <c r="IE96" t="str" cm="1">
        <f t="array" ref="IE96">IF(IC96="","",_xlfn.LET(_xlpm.tk,_xlfn.TEXTSPLIT(SUBSTITUTE(SUBSTITUTE(IC96,";"," "),"→"," ")," ",,TRUE),_xlpm.v_,_xlfn._xlws.FILTER(_xlpm.tk,ISNUMBER(--LEFT(_xlpm.tk,1))*((ISNUMBER(SEARCH("V",_xlpm.tk))+(RIGHT(UPPER(_xlpm.tk))="В"))&gt;0),""),IFERROR(--SUBSTITUTE(SUBSTITUTE(UPPER(INDEX(_xlpm.v_,1)),"V",""),"В",""),"")))</f>
        <v/>
      </c>
      <c r="IF96" s="6" t="str">
        <f>IF(OR(BV96=0,HI96="",HJ96=""),"",IFERROR(N(_xlfn.XLOOKUP(HI96,Каталог!$C$4:$C$500,Каталог!$Q$4:$Q$500)),""))</f>
        <v/>
      </c>
      <c r="IG96" s="6" t="str">
        <f>IF(N(IF96)=0,"",SUMIFS(Линии[Iр, А],Линии[Щит],A96,Линии[_модуль гр.],HH96,Линии[Канал (итог)],HJ96))</f>
        <v/>
      </c>
      <c r="IH96" t="str">
        <f>IF(AND(B96="",HO96=""),"",_xlfn.TEXTJOIN("; ",TRUE,IF(AND(B96&lt;&gt;"",FV96=""),"нет фазы",""),IF(AND(B96&lt;&gt;"",N(GL96)=0,FG96&lt;&gt;"Нет"),"нет мощности",""),IF(AND(HN96&lt;&gt;"",COUNTIFS(Линии[Щит],A96,Линии[Клемма (итог)],HN96)&gt;1),"дубль клеммы "&amp;HN96,""),IF(AND(HQ96&lt;&gt;"",HQ96&lt;&gt;"ok"),HQ96,""),IF(HR96&lt;&gt;"",HR96,""),IF(AND(N(CB96)&gt;=4,N(BX96)=1),CB96&amp;" жил на 1 фазе",""),IF(AND(BC96="R",CG96=1,IF(CS96&lt;&gt;"",N(CV96)&gt;30,OR(N(DA96)=0,N(DA96)&gt;30))),"розетка без дифзащиты до 30 мА",""),IF(AND(CG96=1,N(DA96)&gt;0,ISNUMBER(T96)),IF(T96&gt;N(DA96)/3,"ток утечки "&amp;FIXED(T96,1)&amp;" мА &gt; 1/3 уставки ("&amp;DA96&amp;" мА)",""),""),IF(AND(CH96=1,CS96=""),"«узо»: нет строки с УЗО выше (УЗО 2P 40А 30мА в «Аппаратах»)",""),IF(AND(CS96&lt;&gt;"",CS96=BA96),IF(CT96="","впишите номинал УЗО (УЗО 2P 40А 30мА)",IF(N(CT96)&lt;N(DT96),"УЗО "&amp;CT96&amp;" А &lt; автомата "&amp;DT96&amp;" А перед ним",IF(N(CT96)&lt;N(CX96),"УЗО "&amp;CT96&amp;" А &lt; тока блока "&amp;FIXED(CX96,1)&amp;" А",""))),""),IF(AND(CS96&lt;&gt;"",CS96=BA96,ISNUMBER(CY96)),IF(CY96&gt;N(CV96)/3,"ток утечки блока УЗО "&amp;FIXED(CY96,1)&amp;" мА &gt; 1/3 уставки ("&amp;CV96&amp;" мА)",""),""),IF(AND(CG96=1,N(BV96)+N(IB96)&gt;0,IC96=""),"линии до 50 В без БП: впишите в «Аппараты» (БП 24V 480W)",""),IF(AND(CG96=1,ISNUMBER(ID96),ISNUMBER(U96)),IF(U96&gt;ID96,"БП "&amp;ID96&amp;" Вт &lt; нужно "&amp;U96&amp;" Вт (×"&amp;Запас_БП&amp;")",""),""),IF(AND(CG96=1,ISNUMBER(IE96),N(BV96)=1),IF(IE96&lt;&gt;N(BU96),"БП на "&amp;IE96&amp;" В, линия "&amp;BU96&amp;" В",""),""),IF(AND(N(IF96)&gt;0,N(IG96)&gt;N(IF96)),HH96&amp;" канал "&amp;HJ96&amp;": "&amp;FIXED(IG96,1)&amp;" А &gt; "&amp;IF96&amp;" А",""),IFERROR(IF(AND(ISNUMBER(Q96),Q96&gt;EL96),"потери "&amp;FIXED(Q96,1)&amp;" % &gt; "&amp;EL96&amp;" %",""),""),IFERROR(IF(LEFT(HU96,4)="мало","Iкз мало — отключение &gt; 0,4 с",""),""),IF(AND(B96&lt;&gt;"",BM96=""),"не на схеме",""),IF(AND(CG96=0,B96&lt;&gt;"",FV96&lt;&gt;"",IF(BA96=1,"",FW95)&lt;&gt;"",FV96&lt;&gt;IF(BA96=1,"",FW95)),"фаза не как у автомата группы ("&amp;IF(BA96=1,"",FW95)&amp;")","")))</f>
        <v/>
      </c>
      <c r="II96" s="6">
        <f>IF(OR(CG96=0,DQ96=""),"",_xlfn.LET(_xlpm.t,IFERROR(_xlfn.XLOOKUP(DQ96,Каталог!$U$4:$U$500,Каталог!$G$4:$G$500),""),_xlpm.k,SEARCH("кА",_xlpm.t),IFERROR(--TRIM(RIGHT(SUBSTITUTE(MID(_xlpm.t,MAX(1,_xlpm.k-4),_xlpm.k-MAX(1,_xlpm.k-4))," ",REPT(" ",9)),5)),"")))</f>
        <v>6</v>
      </c>
      <c r="IJ96" t="str">
        <f>IF(OR(II96="",CG96=0),"",IF(_xlfn.XLOOKUP(A96,Щиты[Щит],Щиты[Iкз max на шинах, кА],"")="","",IF(II96&lt;_xlfn.XLOOKUP(A96,Щиты[Щит],Щиты[Iкз max на шинах, кА]),"Icu "&amp;II96&amp;" кА &lt; Iкз max","ok")))</f>
        <v/>
      </c>
      <c r="IK96" t="str">
        <f t="shared" si="251"/>
        <v/>
      </c>
      <c r="IL96" t="str">
        <f t="shared" si="252"/>
        <v>QF8</v>
      </c>
      <c r="IM96" t="str">
        <f t="shared" si="253"/>
        <v>QF8|кабель ВВГнг(А)-LS (3х1,5) → Внутренний блок кондиционирования Подвальный этаж Пом. №002Б</v>
      </c>
      <c r="IN96" t="str" cm="1">
        <f t="array" ref="IN96">IF(IM96="","",_xlfn.LET(_xlpm.nd,_xlfn.TEXTSPLIT(IM96,"|"),IF(COLUMNS(_xlpm.nd)&gt;1,A96&amp;"¦"&amp;INDEX(_xlpm.nd,1)&amp;"¦"&amp;INDEX(_xlpm.nd,2),"")))</f>
        <v>ЩОВ-002¦QF8¦кабель ВВГнг(А)-LS (3х1,5) → Внутренний блок кондиционирования Подвальный этаж Пом. №002Б</v>
      </c>
      <c r="IO96" t="str">
        <f t="shared" si="254"/>
        <v>K.00.004A¦Внутренний блок кондиционирования Подвальный этаж Пом. №002Б</v>
      </c>
      <c r="IP96" t="str" cm="1">
        <f t="array" ref="IP96">IF(IM96="","",_xlfn.LET(_xlpm.nd,_xlfn.TEXTSPLIT(IM96,"|"),IF(COLUMNS(_xlpm.nd)&gt;2,A96&amp;"¦"&amp;INDEX(_xlpm.nd,2)&amp;"¦"&amp;INDEX(_xlpm.nd,3),"")))</f>
        <v/>
      </c>
      <c r="IQ96" t="str">
        <f t="shared" si="255"/>
        <v/>
      </c>
      <c r="IR96" t="str" cm="1">
        <f t="array" ref="IR96">IF(IM96="","",_xlfn.LET(_xlpm.nd,_xlfn.TEXTSPLIT(IM96,"|"),IF(COLUMNS(_xlpm.nd)&gt;3,A96&amp;"¦"&amp;INDEX(_xlpm.nd,3)&amp;"¦"&amp;INDEX(_xlpm.nd,4),"")))</f>
        <v/>
      </c>
      <c r="IS96" t="str">
        <f t="shared" si="256"/>
        <v/>
      </c>
      <c r="IT96" t="str" cm="1">
        <f t="array" ref="IT96">IF(IM96="","",_xlfn.LET(_xlpm.nd,_xlfn.TEXTSPLIT(IM96,"|"),IF(COLUMNS(_xlpm.nd)&gt;4,A96&amp;"¦"&amp;INDEX(_xlpm.nd,4)&amp;"¦"&amp;INDEX(_xlpm.nd,5),"")))</f>
        <v/>
      </c>
      <c r="IU96" t="str">
        <f t="shared" si="257"/>
        <v/>
      </c>
      <c r="IV96" t="str" cm="1">
        <f t="array" ref="IV96">IF(IM96="","",_xlfn.LET(_xlpm.nd,_xlfn.TEXTSPLIT(IM96,"|"),IF(COLUMNS(_xlpm.nd)&gt;5,A96&amp;"¦"&amp;INDEX(_xlpm.nd,5)&amp;"¦"&amp;INDEX(_xlpm.nd,6),"")))</f>
        <v/>
      </c>
      <c r="IW96" t="str">
        <f t="shared" si="258"/>
        <v/>
      </c>
      <c r="IX96" t="str" cm="1">
        <f t="array" ref="IX96">IF(IM96="","",_xlfn.LET(_xlpm.nd,_xlfn.TEXTSPLIT(IM96,"|"),IF(COLUMNS(_xlpm.nd)&gt;6,A96&amp;"¦"&amp;INDEX(_xlpm.nd,6)&amp;"¦"&amp;INDEX(_xlpm.nd,7),"")))</f>
        <v/>
      </c>
      <c r="IY96" t="str">
        <f t="shared" si="259"/>
        <v/>
      </c>
      <c r="IZ96" t="str">
        <f t="shared" si="260"/>
        <v/>
      </c>
      <c r="JA96" t="str">
        <f t="shared" si="261"/>
        <v>QF8</v>
      </c>
      <c r="JB96">
        <f t="shared" si="262"/>
        <v>0</v>
      </c>
      <c r="JC96">
        <f t="shared" si="263"/>
        <v>0</v>
      </c>
      <c r="JD96" t="str">
        <f t="shared" si="264"/>
        <v/>
      </c>
      <c r="JE96" t="str">
        <f t="shared" si="265"/>
        <v/>
      </c>
      <c r="JF96" t="str">
        <f t="shared" si="266"/>
        <v/>
      </c>
      <c r="JG96" t="str">
        <f t="shared" si="267"/>
        <v/>
      </c>
      <c r="JH96">
        <f>IF(B96="","",IFERROR(_xlfn.XLOOKUP(B96,Коды_код,Коды_уго),IFERROR(_xlfn.XLOOKUP(BC96,Коды_код,Коды_уго),IFERROR(_xlfn.XLOOKUP(LEFT(BC96,2),Коды_код,Коды_уго),""))))</f>
        <v>0</v>
      </c>
      <c r="JI96" t="str">
        <f>IF(B96="","",IF(OR(JH96="",JH96=0),"BOX",IFERROR(IF(VLOOKUP(JH96,УГО_блоки,3,FALSE)&amp;""&lt;&gt;"",VLOOKUP(JH96,УГО_блоки,3,FALSE),VLOOKUP(JH96,УГО_блоки,2,FALSE)),JH96)))</f>
        <v>BOX</v>
      </c>
      <c r="JJ96">
        <f t="shared" si="268"/>
        <v>1</v>
      </c>
      <c r="JK96" t="str">
        <f>IF(DQ96="","",IF(COUNTIF(DQ$3:DQ96,DQ96)=1,MAX(JK$2:JK95)+1,""))</f>
        <v/>
      </c>
      <c r="JL96" t="str">
        <f>IF(DE96="","",IF(COUNTIF(DE$3:DE96,DE96)+COUNTIF(DF$2:DF95,DE96)+COUNTIF(DG$2:DG95,DE96)=1,MAX(JL$2:JN95)+1,""))</f>
        <v/>
      </c>
      <c r="JM96" t="str">
        <f>IF(DF96="","",IF(COUNTIF(DE$3:DE96,DF96)+COUNTIF(DF$3:DF96,DF96)+COUNTIF(DG$2:DG95,DF96)=1,MAX(JL$2:JN95,JL96)+1,""))</f>
        <v/>
      </c>
      <c r="JN96" t="str">
        <f>IF(DG96="","",IF(COUNTIF(DE$3:DE96,DG96)+COUNTIF(DF$3:DF96,DG96)+COUNTIF(DG$3:DG96,DG96)=1,MAX(JL$2:JN95,JL96,JM96)+1,""))</f>
        <v/>
      </c>
      <c r="JO96" t="str">
        <f t="shared" si="269"/>
        <v>3х1,5</v>
      </c>
      <c r="JP96" t="str">
        <f>IF(JO96="","",IF(COUNTIF(JO$3:JO96,JO96)=1,MAX(JP$2:JP95)+1,""))</f>
        <v/>
      </c>
      <c r="JQ96" t="str">
        <f>IF(HG96="","",COUNTIF(HG$3:HG96,"?*"))</f>
        <v/>
      </c>
      <c r="JR96" t="str">
        <f>IF(OR(HG96="",HI96=""),"",IF(COUNTIFS(HG$3:HG96,"?*",HI$3:HI96,HI96)=1,MAX(JR$2:JR95)+1,""))</f>
        <v/>
      </c>
      <c r="JS96">
        <f t="shared" si="270"/>
        <v>0</v>
      </c>
      <c r="JT96">
        <f>IF(B96="","",COUNTIF(B$3:B96,"?*"))</f>
        <v>94</v>
      </c>
      <c r="JU96">
        <f>IF(HL96&lt;&gt;1,0,_xlfn.LET(_xlpm.k,MAX(IFERROR(--_xlfn.XLOOKUP(B96,Коды_код,Коды_3L),0),IFERROR(--_xlfn.XLOOKUP(BC96,Коды_код,Коды_3L),0),IFERROR(--_xlfn.XLOOKUP(LEFT(BC96,2),Коды_код,Коды_3L),0)),IF(_xlpm.k&gt;0,_xlpm.k,IF(IFERROR(--LEFT(SUBSTITUTE(JO96,"x","х"),FIND("х",SUBSTITUTE(JO96,"x","х"))-1),3)&gt;3,Каталог!$S$9,1))))</f>
        <v>1</v>
      </c>
      <c r="JV96">
        <f t="shared" si="271"/>
        <v>0</v>
      </c>
      <c r="JW96" t="str">
        <f t="shared" si="272"/>
        <v>авто</v>
      </c>
      <c r="JX96" t="str">
        <f t="shared" si="273"/>
        <v/>
      </c>
      <c r="JY96">
        <f t="shared" si="274"/>
        <v>0</v>
      </c>
      <c r="JZ96">
        <f t="shared" si="275"/>
        <v>1</v>
      </c>
    </row>
    <row r="97" spans="1:286" x14ac:dyDescent="0.3">
      <c r="A97" t="s">
        <v>749</v>
      </c>
      <c r="B97" t="s">
        <v>1409</v>
      </c>
      <c r="C97" t="s">
        <v>1666</v>
      </c>
      <c r="D97">
        <v>1</v>
      </c>
      <c r="E97">
        <v>0.104</v>
      </c>
      <c r="G97">
        <v>10</v>
      </c>
      <c r="H97" t="str">
        <f>Линии[[#This Row],[_авто управление]]</f>
        <v/>
      </c>
      <c r="I97" t="str">
        <f>Линии[[#This Row],[_авто аппараты]]</f>
        <v/>
      </c>
      <c r="J97">
        <v>1.5</v>
      </c>
      <c r="K97">
        <v>14</v>
      </c>
      <c r="L97">
        <v>1</v>
      </c>
      <c r="M97" t="s">
        <v>484</v>
      </c>
      <c r="N97" t="str">
        <f t="shared" si="138"/>
        <v/>
      </c>
      <c r="O97" s="6" cm="1">
        <f t="array" ref="O97">IF(B97="","",IF(BH97&lt;&gt;"",IFERROR(_xlfn.XLOOKUP(BH97,Щиты[Щит],Щиты[Iр, А]),""),IF(BP97=1,IF(OR(N(_xlfn.XLOOKUP(A97,Щиты[Щит],Щиты[Вводов],1))&lt;=1,LOWER(TRIM(_xlfn.XLOOKUP(A97,Щиты[Щит],Щиты[АВР],"")&amp;""))="да"),IFERROR(_xlfn.XLOOKUP(A97,Щиты[Щит],Щиты[Iр, А]),""),IFERROR(N(BS97)*_xlfn.XLOOKUP(A97,Щиты[Щит],Щиты[Кс итог])/(SQRT(3)*Uн_лин*_xlfn.XLOOKUP(A97,Щиты[Щит],Щиты[cos φ])),"")),IF(BV97=1,IFERROR(BS97*1000/BU97,""),IFERROR(_xlfn.IFS(BX97=1,BS97/((Uн_лин/SQRT(3))*CE97),BX97=3,BS97/(SQRT(3)*Uн_лин*CE97)),"")))))</f>
        <v>0.56291651245988494</v>
      </c>
      <c r="P97" s="7">
        <f>IF(B97="","",IFERROR(IF(VLOOKUP(BC97,Потребители_обозначение,4,FALSE)=1,VLOOKUP(BC97,Потребители_обозначение,3,FALSE)*(MAX(1,N(D97))*2-1)+EI97+VLOOKUP(BE97,Этаж_обозначение,3,FALSE)+VLOOKUP(BE97,Этаж_обозначение,4,FALSE),VLOOKUP(BC97,Потребители_обозначение,3,FALSE)*(MAX(1,N(D97))*2-1)+EI97),EI97))</f>
        <v>16</v>
      </c>
      <c r="Q97" s="6">
        <f t="shared" si="139"/>
        <v>0.84</v>
      </c>
      <c r="R97" t="str">
        <f t="shared" si="140"/>
        <v>ВВГнг(А)-LS (3х1,5)</v>
      </c>
      <c r="S97" t="str">
        <f>IF(BM97="","",IF(BN97="вводной узел","узел ","")&amp;"л."&amp;(INT((BM97-1)/Столбцов_на_лист)+1)&amp;" / "&amp;(MOD(BM97-1,Столбцов_на_лист)+1))</f>
        <v>л.2 / 10</v>
      </c>
      <c r="T97" s="119">
        <f t="shared" si="141"/>
        <v>0.4</v>
      </c>
      <c r="U97" s="7" t="str">
        <f>IF(OR(CG97=0,N(BV97)+N(IB97)=0),"",ROUNDUP(Запас_БП*(N(HY97)+N(HZ97)),0))</f>
        <v/>
      </c>
      <c r="V97" s="119" t="str">
        <f t="shared" si="142"/>
        <v/>
      </c>
      <c r="W97" s="7" t="str">
        <f>IFERROR(IF(OR(B97="",BP97=1,BV97=1,NOT(ISNUMBER(EN97)),N(DT97)=0),"",MAX(0,ROUNDDOWN((c_min*(Uн_лин*1000/SQRT(3))/(HT97*N(DT97))-_xlfn.XLOOKUP(A97,Щиты[Щит],Щиты[Zпетли на шинах, Ом]))*EN97/(2*ρкз_Cu),0))),"")</f>
        <v/>
      </c>
      <c r="Y97" t="str">
        <f>Линии[[#This Row],[_авто утечка]]</f>
        <v/>
      </c>
      <c r="Z97">
        <v>1</v>
      </c>
      <c r="AA97">
        <v>230</v>
      </c>
      <c r="AB97" t="s">
        <v>598</v>
      </c>
      <c r="AC97">
        <v>0.5</v>
      </c>
      <c r="AG97" t="s">
        <v>810</v>
      </c>
      <c r="AI97" t="s">
        <v>576</v>
      </c>
      <c r="AK97" t="str">
        <f>Линии[[#This Row],[_авто модуль]]</f>
        <v/>
      </c>
      <c r="AM97">
        <v>27</v>
      </c>
      <c r="AN97" t="s">
        <v>11</v>
      </c>
      <c r="AO97">
        <v>3</v>
      </c>
      <c r="AQ97">
        <v>4</v>
      </c>
      <c r="AR97">
        <v>12</v>
      </c>
      <c r="AT97">
        <v>1</v>
      </c>
      <c r="BA97" cm="1">
        <f t="array" ref="BA97">ROW()-ROW(Линии[#Headers])</f>
        <v>95</v>
      </c>
      <c r="BC97" s="6" t="str">
        <f t="shared" si="143"/>
        <v>K</v>
      </c>
      <c r="BD97" t="str">
        <f t="shared" si="144"/>
        <v>00.004T.1</v>
      </c>
      <c r="BE97" t="str">
        <f t="shared" si="145"/>
        <v>00</v>
      </c>
      <c r="BF97" t="str">
        <f t="shared" si="146"/>
        <v>004T.1</v>
      </c>
      <c r="BG97" t="str">
        <f t="shared" si="147"/>
        <v>004T</v>
      </c>
      <c r="BH97" t="str">
        <f>IF(X97&lt;&gt;"",X97,IF(AND(B97&lt;&gt;"",B97&lt;&gt;A97,ISNUMBER(_xlfn.XMATCH(B97,Щиты[Щит]))),B97,""))</f>
        <v/>
      </c>
      <c r="BI97" t="str" cm="1">
        <f t="array" ref="BI97">IF(B97="","",IF(BH97&lt;&gt;"","Щит "&amp;BH97,_xlfn.LET(_xlpm.nm,IFERROR(_xlfn.XLOOKUP(BC97,Коды_код,Коды_имя)&amp;"",""),_xlpm.md,IFERROR(N(_xlfn.XLOOKUP(BC97,Коды_код,Коды_режим)),1),_xlpm.ex,IF(Имя_режим="по экспликации",IFERROR(_xlfn.XLOOKUP(BE97&amp;"|"&amp;BG97,Экспликация[Этаж]&amp;"|"&amp;Экспликация[Помещение],Экспликация[Название])&amp;"",""),""),_xlpm.rm,IF(BG97="","",IF(_xlpm.ex&lt;&gt;"",". "&amp;_xlpm.ex&amp;IF(Имя_пом="нет"," ("&amp;BG97&amp;")"," (пом. "&amp;BG97&amp;")"),IF(Имя_пом="нет"," ",", пом. ")&amp;BG97)),IF(_xlpm.nm="","",IF(_xlpm.md=2,_xlpm.nm&amp;" шлейф "&amp;BE97,_xlpm.nm&amp;_xlpm.rm)))))</f>
        <v>Внутренний блок кондиционирования, пом. 004T</v>
      </c>
      <c r="BJ97" t="str">
        <f t="shared" si="148"/>
        <v>Внутренний блок кондиционирования Подвальный этаж Пом. №004Т</v>
      </c>
      <c r="BK97">
        <f>IFERROR(_xlfn.XMATCH(A97,Щиты[Щит]),0)</f>
        <v>5</v>
      </c>
      <c r="BL97">
        <f>_xlfn.LET(_xlpm.k,IFERROR(_xlfn.XLOOKUP(A97,Щиты[Щит],Щиты[Мест под вводной узел]),""),IF(_xlpm.k="",Столбцов_на_лист,N(_xlpm.k)))</f>
        <v>18</v>
      </c>
      <c r="BM97">
        <f t="shared" si="149"/>
        <v>27</v>
      </c>
      <c r="BN97" t="str">
        <f t="shared" si="150"/>
        <v>линии</v>
      </c>
      <c r="BO97" s="6">
        <f>IFERROR(N(_xlfn.XLOOKUP(BC97,Коды_код,Коды_квт)),0)</f>
        <v>0</v>
      </c>
      <c r="BP97">
        <f t="shared" si="151"/>
        <v>0</v>
      </c>
      <c r="BQ97" t="str">
        <f>IF(B97="","",IF(BH97&lt;&gt;"",IFERROR(_xlfn.XLOOKUP(BH97,Щиты[Щит],Щиты[Руст, кВт]),0),IF(BP97=1,IF(OR(N(_xlfn.XLOOKUP(A97,Щиты[Щит],Щиты[Вводов],1))&lt;=1,LOWER(TRIM(_xlfn.XLOOKUP(A97,Щиты[Щит],Щиты[АВР],"")&amp;""))="да"),IFERROR(_xlfn.XLOOKUP(A97,Щиты[Щит],Щиты[Руст, кВт]),0),SUMIFS(Линии[_Р для вводов],Линии[Щит],A97,Линии[Источник для режимов],GF97)),IF(BO97&gt;0,ROUND(BO97*MAX(1,N(D97)),3),""))))</f>
        <v/>
      </c>
      <c r="BR97">
        <f t="shared" si="152"/>
        <v>0.104</v>
      </c>
      <c r="BS97" s="6">
        <f>IF(B97="","",IF(BH97&lt;&gt;"",IFERROR(_xlfn.XLOOKUP(BH97,Щиты[Щит],Щиты[Руст, кВт]),0),N(BR97)))</f>
        <v>0.104</v>
      </c>
      <c r="BT97" t="str">
        <f>IF(B97="","",IFERROR(IF(VLOOKUP(BC97,Потребители_обозначение,8,FALSE)=0,"",VLOOKUP(BC97,Потребители_обозначение,8,FALSE)),""))</f>
        <v/>
      </c>
      <c r="BU97">
        <f t="shared" si="153"/>
        <v>230</v>
      </c>
      <c r="BV97">
        <f t="shared" si="154"/>
        <v>0</v>
      </c>
      <c r="BW97">
        <f>IF(B97="","",IF(BH97&lt;&gt;"",3,IFERROR(IF(N(VLOOKUP(BC97,Потребители_обозначение,9,FALSE))=0,1,VLOOKUP(BC97,Потребители_обозначение,9,FALSE)),1)))</f>
        <v>1</v>
      </c>
      <c r="BX97">
        <f t="shared" si="155"/>
        <v>1</v>
      </c>
      <c r="BY97" t="str">
        <f>IF(B97="","",_xlfn.LET(_xlpm.bc,IFERROR(IF(VLOOKUP(BC97,Потребители_обозначение,6,FALSE)=0,"",VLOOKUP(BC97,Потребители_обозначение,6,FALSE)&amp;""),""),IF(AND(GA97="да",OR(_xlpm.bc="",_xlpm.bc="мс")),Марка_пож,IF(AND(_xlpm.bc="",BH97&lt;&gt;""),"мс",_xlpm.bc))))</f>
        <v/>
      </c>
      <c r="BZ97" t="str">
        <f t="shared" si="156"/>
        <v>мс</v>
      </c>
      <c r="CA97">
        <f>IF(B97="","",_xlfn.LET(_xlpm.cc,IFERROR(N(VLOOKUP(BC97,Потребители_обозначение,7,FALSE)),0),IF(_xlpm.cc&gt;0,_xlpm.cc,IF(BZ97="","",IF(BV97=1,2,IF(N(BX97)=3,5,3))))))</f>
        <v>3</v>
      </c>
      <c r="CB97">
        <f t="shared" si="157"/>
        <v>3</v>
      </c>
      <c r="CC97">
        <f>IFERROR(N(VLOOKUP(BC97,Потребители_обозначение,10,FALSE)),0)</f>
        <v>0</v>
      </c>
      <c r="CD97">
        <f>IFERROR(VLOOKUP(BC97,Потребители_обозначение,5,FALSE),0)</f>
        <v>1</v>
      </c>
      <c r="CE97" s="6" cm="1">
        <f t="array" ref="CE97">IF(B97="","",IF(BH97&lt;&gt;"",IFERROR(_xlfn.XLOOKUP(BH97,Щиты[Щит],Щиты[cos φ]),0.95),IF(BP97=1,IFERROR(_xlfn.XLOOKUP(A97,Щиты[Щит],Щиты[cos φ]),0.95),IF(ISNUMBER(AD97),AD97,IFERROR(IF(CD97=2,_xlfn.IFS(BX97=3,VLOOKUP(BS97,Справочная_двигатели,8,FALSE),BX97=1,VLOOKUP(BS97,Справочная_двигатели,10,TRUE)),IF(AND(Методика="нормы 2026",FG97="Сил"),0.8,0.95)),0.95)))))</f>
        <v>0.8</v>
      </c>
      <c r="CF97">
        <f t="shared" si="158"/>
        <v>0</v>
      </c>
      <c r="CG97">
        <f t="shared" si="159"/>
        <v>1</v>
      </c>
      <c r="CH97">
        <f t="shared" si="160"/>
        <v>0</v>
      </c>
      <c r="CI97">
        <f>IF(B97="","",IF(BV97=1,IFERROR(BS97/((Uн_лин/SQRT(3))*MAX(0.5,N(CE97))),0),N(O97)))</f>
        <v>0.56291651245988494</v>
      </c>
      <c r="CJ97">
        <f t="shared" si="161"/>
        <v>0</v>
      </c>
      <c r="CK97">
        <f t="shared" si="162"/>
        <v>0</v>
      </c>
      <c r="CL97">
        <f t="shared" si="163"/>
        <v>0</v>
      </c>
      <c r="CM97">
        <f t="shared" si="164"/>
        <v>0</v>
      </c>
      <c r="CN97">
        <f t="shared" si="165"/>
        <v>0</v>
      </c>
      <c r="CO97">
        <f>IF(BC97="",0,_xlfn.LET(_xlpm.v,IFERROR(_xlfn.XLOOKUP(B97,Коды_код,Коды_мА),IFERROR(_xlfn.XLOOKUP(BC97,Коды_код,Коды_мА),IFERROR(_xlfn.XLOOKUP(LEFT(BC97,2),Коды_код,Коды_мА),""))),IF(_xlpm.v="да",30,IF(ISNUMBER(_xlpm.v),_xlpm.v,0))))</f>
        <v>0</v>
      </c>
      <c r="CP97" t="str">
        <f t="shared" si="166"/>
        <v/>
      </c>
      <c r="CQ97" t="str">
        <f>_xlfn.LET(_xlpm.k,IFERROR(_xlfn.XLOOKUP(BC97,Коды_код,Коды_утечка)&amp;"",""),IF(_xlpm.k="","дифавтомат",_xlpm.k))</f>
        <v>дифавтомат</v>
      </c>
      <c r="CR97" t="str" cm="1">
        <f t="array" ref="CR97">IF(CG97=0,"",_xlfn.LET(_xlpm.sg,TRIM(_xlfn.TEXTSPLIT(DD97&amp;"",";")),_xlpm.f_,_xlfn._xlws.FILTER(_xlpm.sg,LEFT(_xlpm.sg,3)="УЗО",""),IFERROR(INDEX(_xlpm.f_,1)&amp;"","")))</f>
        <v/>
      </c>
      <c r="CS97" t="str">
        <f t="shared" si="167"/>
        <v/>
      </c>
      <c r="CT97" s="6" t="str" cm="1">
        <f t="array" ref="CT97">IF(CR97="","",_xlfn.LET(_xlpm.tk,_xlfn.TEXTSPLIT(UPPER(CR97)," ",,TRUE),_xlpm.a_,_xlfn._xlws.FILTER(_xlpm.tk,ISNUMBER(--LEFT(_xlpm.tk,1))*((ISNUMBER(SEARCH("А",_xlpm.tk))+ISNUMBER(SEARCH("A",_xlpm.tk)))&gt;0)*NOT(ISNUMBER(SEARCH("МА",_xlpm.tk)))*NOT(ISNUMBER(SEARCH("MA",_xlpm.tk))),""),IFERROR(--SUBSTITUTE(SUBSTITUTE(INDEX(_xlpm.a_,1),"А",""),"A",""),"")))</f>
        <v/>
      </c>
      <c r="CU97" t="str" cm="1">
        <f t="array" ref="CU97">IF(CR97="","",_xlfn.LET(_xlpm.tk,_xlfn.TEXTSPLIT(UPPER(CR97)," ",,TRUE),_xlpm.a_,_xlfn._xlws.FILTER(_xlpm.tk,ISNUMBER(--LEFT(_xlpm.tk,1))*((ISNUMBER(SEARCH("МА",_xlpm.tk))+ISNUMBER(SEARCH("MA",_xlpm.tk)))&gt;0),""),IFERROR(--SUBSTITUTE(SUBSTITUTE(INDEX(_xlpm.a_,1),"МА",""),"MA",""),30)))</f>
        <v/>
      </c>
      <c r="CV97" t="str">
        <f>IF(CS97="","",IFERROR(_xlfn.XLOOKUP(CS97,Линии[_n],Линии[_УЗО, мА]),30))</f>
        <v/>
      </c>
      <c r="CW97">
        <f>IF(CS97="",0,IF(ISNUMBER(SEARCH("4P",IFERROR(_xlfn.XLOOKUP(CS97,Линии[_n],Линии[_УЗО строки])&amp;"",""))),0,1))</f>
        <v>0</v>
      </c>
      <c r="CX97" t="str">
        <f>IF(AND(CS97&lt;&gt;"",CS97=BA97),SUMIFS(Линии[_ток на 230 В],Линии[_блок УЗО],BA97,Линии[Щит],A97),"")</f>
        <v/>
      </c>
      <c r="CY97" t="str">
        <f>IF(AND(CS97&lt;&gt;"",CS97=BA97),SUMIFS(Линии[_ток утечки линии, мА],Линии[_блок УЗО],BA97,Линии[Щит],A97),"")</f>
        <v/>
      </c>
      <c r="CZ97">
        <f t="shared" si="168"/>
        <v>0</v>
      </c>
      <c r="DA97">
        <f t="shared" si="169"/>
        <v>0</v>
      </c>
      <c r="DB97">
        <f>IF(B97="",0,IFERROR(--_xlfn.XLOOKUP(B97,Коды_код,Коды_минавт),IFERROR(--_xlfn.XLOOKUP(BC97,Коды_код,Коды_минавт),IFERROR(--_xlfn.XLOOKUP(LEFT(BC97,2),Коды_код,Коды_минавт),0))))</f>
        <v>0</v>
      </c>
      <c r="DC97" t="str">
        <f>IF(B97="","",IFERROR(_xlfn.XLOOKUP(BC97,Коды_код,Коды_апп)&amp;"",""))</f>
        <v/>
      </c>
      <c r="DD97" t="str">
        <f t="shared" si="170"/>
        <v/>
      </c>
      <c r="DE97" t="str" cm="1">
        <f t="array" ref="DE97">IF(TRIM(DD97&amp;"")="","",IFERROR(TRIM(INDEX(_xlfn.TEXTSPLIT(DD97&amp;";;;",";"),1)),""))</f>
        <v/>
      </c>
      <c r="DF97" t="str" cm="1">
        <f t="array" ref="DF97">IF(TRIM(DD97&amp;"")="","",IFERROR(TRIM(INDEX(_xlfn.TEXTSPLIT(DD97&amp;";;;",";"),2)),""))</f>
        <v/>
      </c>
      <c r="DG97" t="str" cm="1">
        <f t="array" ref="DG97">IF(TRIM(DD97&amp;"")="","",IFERROR(TRIM(INDEX(_xlfn.TEXTSPLIT(DD97&amp;";;;",";"),3)),""))</f>
        <v/>
      </c>
      <c r="DH97">
        <f t="shared" si="171"/>
        <v>0</v>
      </c>
      <c r="DI97" t="str">
        <f>IF(B97="","",_xlfn.LET(_xlpm.t,LOWER(AZ97&amp;""),IF(ISNUMBER(SEARCH("dim",_xlpm.t)),"DIM",IF(ISNUMBER(SEARCH("dali",_xlpm.t)),"DALI",IF(OR(ISNUMBER(SEARCH("relay",_xlpm.t)),ISNUMBER(SEARCH("реле",_xlpm.t))),"Relay",IF(ISNUMBER(SEARCH("кнопк",_xlpm.t)),"",IFERROR(_xlfn.XLOOKUP(BC97,Коды_код,Коды_упр)&amp;"","")))))))</f>
        <v/>
      </c>
      <c r="DJ97" t="str">
        <f t="shared" si="172"/>
        <v/>
      </c>
      <c r="DK97">
        <f>IF(B97="","",_xlfn.LET(_xlpm.ig,IF(N(CX97)&gt;0,N(CX97),N(CI97)+IF(AJ97="вручную",0,N(CJ97))),_xlpm.n0,IFERROR(VLOOKUP(_xlpm.ig,Автомат_номиналы,2,TRUE),0),_xlpm.mn,MAX(DB97,IF(AJ97="вручную",0,N(CM97))),MAX(_xlpm.n0,_xlpm.mn,IF(DH97=1,Мин_автомат_БП,0))))</f>
        <v>6</v>
      </c>
      <c r="DL97">
        <f t="shared" si="173"/>
        <v>1</v>
      </c>
      <c r="DM97" t="str">
        <f t="shared" si="174"/>
        <v>1P</v>
      </c>
      <c r="DN97" t="str">
        <f>_xlfn.LET(_xlpm.cc,UPPER(TRIM(IFERROR(_xlfn.XLOOKUP(BC97,Коды_код,Коды_хар)&amp;"",""))),IF(OR(_xlpm.cc="B",_xlpm.cc="В"),"B",IF(_xlpm.cc="D","D","С")))</f>
        <v>С</v>
      </c>
      <c r="DO97" t="str">
        <f t="shared" si="175"/>
        <v>1P С6А</v>
      </c>
      <c r="DP97">
        <f t="shared" si="176"/>
        <v>10</v>
      </c>
      <c r="DQ97" t="str">
        <f t="shared" si="177"/>
        <v>1P С10А</v>
      </c>
      <c r="DR97" cm="1">
        <f t="array" ref="DR97">IF(DQ97="","",_xlfn.LET(_xlpm.t,SUBSTITUTE(SUBSTITUTE(SUBSTITUTE(UPPER(DQ97),"С","C"),"А","A"),"В","B"),_xlpm.tk,_xlfn.TEXTSPLIT(_xlpm.t," "),_xlpm.f,_xlfn._xlws.FILTER(_xlpm.tk,ISNUMBER(--MID(_xlpm.tk,2,1))*ISNUMBER(SEARCH(LEFT(_xlpm.tk,1)&amp;"#","B#C#D#"))*(LEN(_xlpm.tk)&gt;1),""),_xlpm.x,INDEX(_xlpm.f,1),IFERROR(--SUBSTITUTE(MID(_xlpm.x,2,9),"A",""),IFERROR(--SUBSTITUTE(INDEX(_xlfn._xlws.FILTER(_xlpm.tk,ISNUMBER(--SUBSTITUTE(_xlpm.tk,"A","")),""),1),"A",""),""))))</f>
        <v>10</v>
      </c>
      <c r="DS97" t="str">
        <f t="shared" si="178"/>
        <v>ok</v>
      </c>
      <c r="DT97">
        <f t="shared" si="179"/>
        <v>10</v>
      </c>
      <c r="DU97" t="str">
        <f t="shared" si="180"/>
        <v>1P С10А</v>
      </c>
      <c r="DV97">
        <f t="shared" si="181"/>
        <v>0</v>
      </c>
      <c r="DW97">
        <f t="shared" si="182"/>
        <v>0</v>
      </c>
      <c r="DX97">
        <f t="shared" si="183"/>
        <v>0</v>
      </c>
      <c r="DY97">
        <f t="shared" si="184"/>
        <v>0.56291651245988494</v>
      </c>
      <c r="DZ97">
        <f t="shared" si="185"/>
        <v>1</v>
      </c>
      <c r="EA97">
        <f>IF(ISNUMBER(AP97),AP97,К_прокл)</f>
        <v>1</v>
      </c>
      <c r="EB97">
        <f t="shared" si="186"/>
        <v>2</v>
      </c>
      <c r="EC97">
        <f>IFERROR(N(VLOOKUP(BZ97,Кабель_обозначение,3,FALSE)),1)</f>
        <v>1</v>
      </c>
      <c r="ED97">
        <f>IFERROR(N(_xlfn.XLOOKUP(A97,Щиты[Щит],Щиты[ΔU до шин, %])),0)</f>
        <v>0.74</v>
      </c>
      <c r="EE97" t="str">
        <f>IFERROR(_xlfn.XLOOKUP(A97,Щиты[Щит],Щиты[Zпетли на шинах, Ом]),"")</f>
        <v/>
      </c>
      <c r="EF97">
        <f>IFERROR(N(_xlfn.XLOOKUP(A97,Щиты[Щит],Щиты[ΔU до шин (подбор), %])),0)</f>
        <v>1.96</v>
      </c>
      <c r="EG97" t="str">
        <f>IFERROR(_xlfn.XLOOKUP(A97,Щиты[Щит],Щиты[Zпетли на шинах (подбор), Ом]),"")</f>
        <v/>
      </c>
      <c r="EH97" t="str">
        <f t="shared" si="187"/>
        <v/>
      </c>
      <c r="EI97">
        <f t="shared" si="188"/>
        <v>14</v>
      </c>
      <c r="EJ97">
        <f t="shared" si="189"/>
        <v>2</v>
      </c>
      <c r="EK97">
        <f t="shared" si="190"/>
        <v>0.6</v>
      </c>
      <c r="EL97" s="6">
        <f>IF(B97="","",IF(BV97=1,dU_LED,IF(IFERROR(_xlfn.XLOOKUP(BC97,Коды_код,Коды_уго),"")="Светильник",3,4)+IF(Методика="нормы 2026",MIN(0.5,MAX(0,N(P97)-100)*0.005),0)))</f>
        <v>4</v>
      </c>
      <c r="EM97" cm="1">
        <f t="array" ref="EM97">IF(OR(B97="",BZ97="",EC97&lt;&gt;1),"",_xlfn.LET(_xlpm.sz,Iдоп_S,_xlpm.t_,CHOOSE(EB97,Iдоп_1ж,Iдоп_2ж,Iдоп_3ж)*DZ97*EA97,_xlpm.dcx,BV97=1,_xlpm.inn,IF(_xlpm.dcx,N(O97),N(DT97)),_xlpm.smin,MAX(1.5,CC97),_xlpm.L_,N(P97)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97)/N(BU97)*100,999),IFERROR(N(EJ97)*(_xlpm.rho*_xlpm.L_/_xlpm.sz*N(CE97)+_xlpm.xx*_xlpm.L_*N(EK97)/1000)*N(O97)/((Uн_лин/SQRT(3))*1000)*100,999)),_xlpm.kz,IF(OR(_xlpm.dcx,DW97=1,NOT(ISNUMBER(EG97)),_xlpm.L_=0,_xlpm.inn=0),1,IFERROR(--(c_min*(Uн_лин*1000/SQRT(3))/(EG97+2*ρкз_Cu*_xlpm.L_/_xlpm.sz)&gt;=HT97*_xlpm.inn),0)),_xlpm.ok,IFERROR((_xlpm.sz&gt;=_xlpm.smin)*(_xlpm.t_&gt;=_xlpm.inn)*IF(_xlpm.L_&gt;0,(_xlpm.du_+IF(_xlpm.dcx,0,EF97)&lt;=EL97+0.00001),1)*_xlpm.kz,0),_xlpm.r_,_xlfn._xlws.FILTER(_xlpm.sz,_xlpm.ok,"не подобрано"),INDEX(_xlpm.r_,1)))</f>
        <v>1.5</v>
      </c>
      <c r="EN97">
        <f t="shared" si="191"/>
        <v>1.5</v>
      </c>
      <c r="EO97" cm="1">
        <f t="array" ref="EO97">IF(OR(B97="",BZ97="",EC97&lt;&gt;1),"",_xlfn.LET(_xlpm.sz,Iдоп_S,_xlpm.t_,CHOOSE(EB97,Iдоп_1ж,Iдоп_2ж,Iдоп_3ж)*DZ97*EA97,_xlpm.ok,IFERROR((_xlpm.sz&gt;=MAX(1.5,CC97))*(_xlpm.t_&gt;=N(DT97)),0),_xlpm.r_,_xlfn._xlws.FILTER(_xlpm.sz,_xlpm.ok,""),INDEX(_xlpm.r_,1)))</f>
        <v>1.5</v>
      </c>
      <c r="EP97" s="6" cm="1">
        <f t="array" ref="EP97">IFERROR(ROUNDUP(N(EJ97)*(_xlfn.XLOOKUP(EO97,INDEX(Кабель_сопротивление,0,1),INDEX(Кабель_сопротивление,0,3))*N(P97)/EO97*N(CE97)+_xlfn.XLOOKUP(EO97,INDEX(Кабель_сопротивление,0,1),INDEX(Кабель_сопротивление,0,2))*N(P97)*N(EK97)/1000)*N(O97)/((Uн_лин/SQRT(3))*1000)*100,2),"")</f>
        <v>9.9999999999999992E-2</v>
      </c>
      <c r="EQ97">
        <f>IFERROR(2*ρкз_Cu*N(P97)/EO97,"")</f>
        <v>0.56106666666666671</v>
      </c>
      <c r="ER97">
        <f>IFERROR(VLOOKUP(EN97,Кабель_сопротивление,3,FALSE),"")</f>
        <v>2.2499999999999999E-2</v>
      </c>
      <c r="ES97">
        <f>IFERROR(VLOOKUP(EN97,Кабель_сопротивление,2,FALSE),"")</f>
        <v>0.11</v>
      </c>
      <c r="ET97">
        <f t="shared" si="192"/>
        <v>12</v>
      </c>
      <c r="EU97">
        <f t="shared" si="193"/>
        <v>0</v>
      </c>
      <c r="EV97">
        <f t="shared" si="194"/>
        <v>0.2173488204589111</v>
      </c>
      <c r="EW97" s="6">
        <f>IFERROR(ROUNDUP(EV97/IF(BV97=1,BU97,(Uн_лин/SQRT(3))*1000)*100,2),"")</f>
        <v>9.9999999999999992E-2</v>
      </c>
      <c r="EX97" t="str">
        <f>IFERROR(VLOOKUP(BZ97,Кабель_обозначение,2,FALSE),"")</f>
        <v>ВВГнг(А)-LS</v>
      </c>
      <c r="EY97" t="str">
        <f t="shared" si="195"/>
        <v>ВВГнг(А)-LS (3х1,5)</v>
      </c>
      <c r="EZ97" t="str">
        <f t="shared" si="196"/>
        <v>ВВГнг(А)-LS (3х1,5)
L=16-0,1%</v>
      </c>
      <c r="FA97">
        <f>IFERROR(2*ρкз_Cu*P97/EN97,"")</f>
        <v>0.56106666666666671</v>
      </c>
      <c r="FB97">
        <f t="shared" si="197"/>
        <v>0.18666666666666668</v>
      </c>
      <c r="FC97" s="6" t="str">
        <f>IFERROR(IF(OR(B97="",BV97=1,NOT(ISNUMBER(EN97)),N(P97)=0),"",_xlfn.XLOOKUP(A97,Щиты[Щит],Щиты[Zпетли на шинах, Ом])+FA97),"")</f>
        <v/>
      </c>
      <c r="FD97" s="6" t="str">
        <f>IF(ISNUMBER(FC97),c_min*(Uн_лин*1000/SQRT(3))/FC97,"")</f>
        <v/>
      </c>
      <c r="FE97" s="6" t="str">
        <f>IFERROR(IF(OR(B97="",NOT(ISNUMBER(EN97))),"",1.05*(Uн_лин*1000/SQRT(3))/(_xlfn.XLOOKUP(A97,Щиты[Щит],Щиты[Zmax на шинах, Ом])+FB97)/1000),"")</f>
        <v/>
      </c>
      <c r="FF97" s="6" t="str">
        <f>IF(B97="","",IF(ISNUMBER(AC97),"Сил",IF(IFERROR(_xlfn.XLOOKUP(BC97,Коды_код,Коды_группа)&amp;"","")="","Быт",_xlfn.XLOOKUP(BC97,Коды_код,Коды_группа)&amp;"")))</f>
        <v>Сил</v>
      </c>
      <c r="FG97" s="6" t="str">
        <f t="shared" si="198"/>
        <v>Сил</v>
      </c>
      <c r="FH97" s="6">
        <f>IF(FG97="Щит","щит",IF(FG97="","",IF(FG97="Быт",IFERROR(_xlfn.XLOOKUP(A97,Щиты[Щит],Щиты[Кс быт]),1),IF(FG97="Сил",IF(ISNUMBER(AC97),AC97,IF(Методика="нормы 2026",IFERROR(_xlfn.XLOOKUP(A97,Щиты[Щит],Щиты[Кс силовых (табл. 7.5)]),1),1)),IF(OR(FG97="Пост",FG97="Отоп"),1,IF(FG97="ВНГ",0.7,0))))))</f>
        <v>0.5</v>
      </c>
      <c r="FI97">
        <f>IF(FG97="","",IF(AND(BP97=1,TRIM(AE97&amp;"")=""),IF(COUNTIFS(Линии[Щит],A97,Линии[Секция (1/2/3)],"&gt;=2")&gt;0,MIN(3,MAX(1,IFERROR(--BD97,1))),1),IFERROR(MIN(3,MAX(1,INT(--AE97))),1)))</f>
        <v>1</v>
      </c>
      <c r="FJ97">
        <f t="shared" si="199"/>
        <v>0.104</v>
      </c>
      <c r="FK97">
        <f t="shared" si="200"/>
        <v>0</v>
      </c>
      <c r="FL97">
        <f t="shared" si="201"/>
        <v>5.1999999999999998E-2</v>
      </c>
      <c r="FM97">
        <f t="shared" si="202"/>
        <v>0</v>
      </c>
      <c r="FN97">
        <f t="shared" si="203"/>
        <v>0</v>
      </c>
      <c r="FO97">
        <f t="shared" si="204"/>
        <v>0</v>
      </c>
      <c r="FP97">
        <f t="shared" si="205"/>
        <v>0.104</v>
      </c>
      <c r="FQ97">
        <f t="shared" si="206"/>
        <v>0.104</v>
      </c>
      <c r="FR97">
        <f t="shared" si="207"/>
        <v>8.3199999999999996E-2</v>
      </c>
      <c r="FS97">
        <f>IF(CG97=1,IF(AND(CH97=1,CW97=1),0,IF(AND(CS97&lt;&gt;"",CS97=BA97,CW97=1),SUMIFS(Линии[_Р линии, кВт],Линии[_блок УЗО],BA97,Линии[Щит],A97),N(BS97)+IF(AJ97="вручную",0,N(CK97)))),0)</f>
        <v>0.104</v>
      </c>
      <c r="FT97" t="str">
        <f t="shared" si="208"/>
        <v>L1</v>
      </c>
      <c r="FU97" t="str">
        <f>IF(B97="","",IF(CG97=0,IF(BA97=1,"",FW96),IF(AND(CH97=1,CW97=1,CS97&lt;&gt;""),IFERROR(_xlfn.XLOOKUP(CS97,Линии[_n],Линии[_фаза итог]),"L1"),IF(OR(N(DL97)&gt;=3,N(BX97)&gt;=3),"L1,L2,L3",IFERROR(_xlfn.TEXTBEFORE(_xlfn.TEXTAFTER(_xlfn.XLOOKUP(A97,Щиты[Щит],Щиты[_фазы авто]),";"&amp;BA97&amp;":"),";"),"L1")))))</f>
        <v>L1</v>
      </c>
      <c r="FV97" t="str">
        <f t="shared" si="209"/>
        <v>L1</v>
      </c>
      <c r="FW97" t="str">
        <f t="shared" si="210"/>
        <v>L1</v>
      </c>
      <c r="FX97" cm="1">
        <f t="array" ref="FX97">IFERROR(IF(CD97=2,_xlfn.IFS(BX97=3,VLOOKUP(BS97,Справочная_двигатели,3,FALSE),BX97=1,VLOOKUP(BS97,Справочная_двигатели,5,TRUE)),0),0)</f>
        <v>0</v>
      </c>
      <c r="FY97">
        <f>IFERROR(IF(CD97=3,VLOOKUP(BS97,Справочная_ЛЭД,2,TRUE),0),0)</f>
        <v>0</v>
      </c>
      <c r="FZ97" s="6">
        <f t="shared" si="211"/>
        <v>0</v>
      </c>
      <c r="GA97" t="str">
        <f>IF(B97="","",IF(TRIM(AH97&amp;"")&lt;&gt;"",IF(LOWER(TRIM(AH97&amp;""))="да","да","нет"),IF(IFERROR(_xlfn.XLOOKUP(BC97,Коды_код,Коды_пожарная),"")="да","да","нет")))</f>
        <v>нет</v>
      </c>
      <c r="GB97" t="str">
        <f t="shared" si="212"/>
        <v/>
      </c>
      <c r="GC97" t="str">
        <f t="shared" si="213"/>
        <v>основная</v>
      </c>
      <c r="GD97">
        <f>IF(AND(BP97=1,TRIM(AE97&amp;"")=""),IF(COUNTIFS(Линии[Щит],A97,Линии[Секция (1/2/3)],"&gt;=2")&gt;0,MIN(3,MAX(1,IFERROR(--BD97,1))),1),IFERROR(MIN(3,MAX(1,INT(--AE97))),1))</f>
        <v>1</v>
      </c>
      <c r="GE97" t="str" cm="1">
        <f t="array" ref="GE97">IF(B97="","",_xlfn.LET(_xlpm.t,IFERROR(_xlfn.XLOOKUP(1,(Шины[Шина]=GC97)*(((Шины[Щит]=A97)+(Шины[Щит]=""))&gt;0),Шины[Тип]),"")&amp;"",IF(_xlpm.t&lt;&gt;"",_xlpm.t,IF(ISNUMBER(SEARCH("ИБП",GC97)),"ИБП",IF(ISNUMBER(SEARCH("ДГУ",GC97)),"ДГУ","Ввод "&amp;GD97)))))</f>
        <v>Ввод 1</v>
      </c>
      <c r="GF97" t="str">
        <f t="shared" si="214"/>
        <v>Ввод 1</v>
      </c>
      <c r="GG97" t="str">
        <f>IF(BP97=0,"",IF(TRIM(AG97&amp;"")&lt;&gt;"",TRIM(AG97&amp;""),IF(OR(GE97="ИБП",GE97="ДГУ"),"I особая",_xlfn.XLOOKUP(A97,Щиты[Щит],Щиты[Категория шины «Ввод»],"III"))))</f>
        <v/>
      </c>
      <c r="GH97" t="str">
        <f>IF(A97="","",_xlfn.XLOOKUP(A97,Щиты[Щит],Щиты[Путь],""))</f>
        <v>|ГРЩ-ЖД|ЩОВ-002|</v>
      </c>
      <c r="GI97" t="str">
        <f>IF(B97="","",IF(AI97&lt;&gt;"",AI97,IF(IFERROR(_xlfn.XLOOKUP(BC97,Коды_код,Коды_вид)&amp;"","")="","Прочее",_xlfn.XLOOKUP(BC97,Коды_код,Коды_вид)&amp;"")))</f>
        <v>Кондиционирование и увлажнение</v>
      </c>
      <c r="GJ97">
        <f>IF(BM97="","",INT((BM97-1)/Столбцов_на_лист)+1)</f>
        <v>2</v>
      </c>
      <c r="GK97" t="str">
        <f t="shared" si="215"/>
        <v>ВВГнг(А)-LS (3х1,5) L=16-0,1%</v>
      </c>
      <c r="GL97">
        <f t="shared" si="216"/>
        <v>0.104</v>
      </c>
      <c r="GM97">
        <f t="shared" si="217"/>
        <v>0.57000000000000006</v>
      </c>
      <c r="GN97">
        <f t="shared" si="218"/>
        <v>1</v>
      </c>
      <c r="GO97">
        <f t="shared" si="219"/>
        <v>0</v>
      </c>
      <c r="GP97">
        <f t="shared" si="220"/>
        <v>1</v>
      </c>
      <c r="GQ97">
        <f>IF(BM97="","",IF(AND(CG97=1,GP97=1),COUNTIFS(A$3:A97,A97,CG$3:CG97,1,GP$3:GP97,1),IF(OR(OR(BA97=1,A97&lt;&gt;A96),AJ97="вручную",GP97=0),"",IF(BA97=1,"",GR96))))</f>
        <v>9</v>
      </c>
      <c r="GR97">
        <f t="shared" si="221"/>
        <v>9</v>
      </c>
      <c r="GS97">
        <f>IF(B97="","",IFERROR(LOOKUP(INDEX(CHOOSE(EB97,Iдоп_1ж,Iдоп_2ж,Iдоп_3ж),MATCH(EN97,Iдоп_S,0))*DZ97*EA97,{6,10,16,20,25,32,40,50,63,80,100,125,160,200,250,315,400,500,630}),""))</f>
        <v>16</v>
      </c>
      <c r="GT97" t="str">
        <f t="shared" si="222"/>
        <v>QF9</v>
      </c>
      <c r="GU97" t="str">
        <f t="shared" si="223"/>
        <v>QF9</v>
      </c>
      <c r="GV97" t="str">
        <f t="shared" si="224"/>
        <v/>
      </c>
      <c r="GW97">
        <f t="shared" si="225"/>
        <v>0</v>
      </c>
      <c r="GX97" t="str">
        <f>IF(OR(B97="",DJ97=""),"",IFERROR(_xlfn.XLOOKUP(DJ97,Модули_умолч[Управление],Модули_умолч[Модель])&amp;"",""))</f>
        <v/>
      </c>
      <c r="GY97">
        <f>IF(DJ97="",1,IFERROR(MAX(0,N(_xlfn.XLOOKUP(DJ97,Модули_умолч[Управление],Модули_умолч[Каналов на линию]))),1))</f>
        <v>1</v>
      </c>
      <c r="GZ97" t="str">
        <f t="shared" si="226"/>
        <v/>
      </c>
      <c r="HA97" t="str">
        <f t="shared" si="227"/>
        <v/>
      </c>
      <c r="HB97" t="str">
        <f t="shared" si="228"/>
        <v/>
      </c>
      <c r="HC97">
        <f>IF(HB97="",0,IFERROR(N(VLOOKUP(HB97,Модули_спр,3,FALSE)),0))</f>
        <v>0</v>
      </c>
      <c r="HD97" t="str">
        <f t="shared" si="229"/>
        <v/>
      </c>
      <c r="HE97" t="str">
        <f t="shared" si="230"/>
        <v/>
      </c>
      <c r="HF97" t="str">
        <f>IF(OR(HE97="",HE97="-"),"",IFERROR(VLOOKUP(HE97,Модули_спр,2,FALSE),"R"))</f>
        <v/>
      </c>
      <c r="HG97" t="str">
        <f>IF(HF97="","",HF97&amp;"."&amp;COUNTIFS(A$3:A97,A97,HF$3:HF97,HF97))</f>
        <v/>
      </c>
      <c r="HH97" t="str">
        <f t="shared" si="231"/>
        <v/>
      </c>
      <c r="HI97" t="str">
        <f t="shared" si="232"/>
        <v/>
      </c>
      <c r="HJ97" t="str">
        <f t="shared" si="233"/>
        <v/>
      </c>
      <c r="HK97" t="str">
        <f t="shared" si="234"/>
        <v/>
      </c>
      <c r="HL97">
        <f t="shared" si="235"/>
        <v>1</v>
      </c>
      <c r="HM97" t="str">
        <f>IF(HL97=1,"XT"&amp;COUNTIFS(A$3:A97,A97,HL$3:HL97,1),"")</f>
        <v>XT9</v>
      </c>
      <c r="HN97" t="str">
        <f t="shared" si="236"/>
        <v/>
      </c>
      <c r="HO97" t="str">
        <f t="shared" si="237"/>
        <v>QF9</v>
      </c>
      <c r="HP97" t="str">
        <f t="shared" si="238"/>
        <v/>
      </c>
      <c r="HQ97" t="str">
        <f t="shared" si="239"/>
        <v>ok</v>
      </c>
      <c r="HR97" t="str">
        <f>IF(OR(HJ97="",HH97=""),"",IF(HJ97+MAX(0,GY97-1)&gt;IFERROR(VLOOKUP(HI97,Модули_спр,3,FALSE),99),"ЛИШНИЙ КАНАЛ",IF(AND(AL97&lt;&gt;"=",GY97&gt;0,COUNTIFS(Линии[_модуль гр.],HH97,Линии[Канал (итог)],HJ97,Линии[Канал],"&lt;&gt;=",Линии[Щит],A97)&gt;1),"ДУБЛЬ КАНАЛА","")))</f>
        <v/>
      </c>
      <c r="HS97" s="6" t="str">
        <f t="shared" si="240"/>
        <v/>
      </c>
      <c r="HT97">
        <f t="shared" si="241"/>
        <v>10</v>
      </c>
      <c r="HU97" t="str">
        <f t="shared" si="242"/>
        <v/>
      </c>
      <c r="HV97">
        <f t="shared" si="243"/>
        <v>0.385166604983954</v>
      </c>
      <c r="HW97">
        <f t="shared" si="244"/>
        <v>0</v>
      </c>
      <c r="HX97">
        <f t="shared" si="245"/>
        <v>0</v>
      </c>
      <c r="HY97">
        <f t="shared" si="246"/>
        <v>0</v>
      </c>
      <c r="HZ97">
        <f t="shared" si="247"/>
        <v>0</v>
      </c>
      <c r="IA97">
        <f t="shared" si="248"/>
        <v>0</v>
      </c>
      <c r="IB97">
        <f t="shared" si="249"/>
        <v>0</v>
      </c>
      <c r="IC97" t="str">
        <f t="shared" si="250"/>
        <v/>
      </c>
      <c r="ID97" t="str" cm="1">
        <f t="array" ref="ID97">IF(IC97="","",_xlfn.LET(_xlpm.tk,_xlfn.TEXTSPLIT(SUBSTITUTE(SUBSTITUTE(IC97,";"," "),"→"," ")," ",,TRUE),_xlpm.w_,_xlfn._xlws.FILTER(_xlpm.tk,ISNUMBER(--LEFT(_xlpm.tk,1))*((ISNUMBER(SEARCH("W",_xlpm.tk))+ISNUMBER(SEARCH("Вт",_xlpm.tk)))&gt;0),""),IFERROR(--SUBSTITUTE(SUBSTITUTE(UPPER(INDEX(_xlpm.w_,1)),"W",""),"ВТ",""),"")))</f>
        <v/>
      </c>
      <c r="IE97" t="str" cm="1">
        <f t="array" ref="IE97">IF(IC97="","",_xlfn.LET(_xlpm.tk,_xlfn.TEXTSPLIT(SUBSTITUTE(SUBSTITUTE(IC97,";"," "),"→"," ")," ",,TRUE),_xlpm.v_,_xlfn._xlws.FILTER(_xlpm.tk,ISNUMBER(--LEFT(_xlpm.tk,1))*((ISNUMBER(SEARCH("V",_xlpm.tk))+(RIGHT(UPPER(_xlpm.tk))="В"))&gt;0),""),IFERROR(--SUBSTITUTE(SUBSTITUTE(UPPER(INDEX(_xlpm.v_,1)),"V",""),"В",""),"")))</f>
        <v/>
      </c>
      <c r="IF97" s="6" t="str">
        <f>IF(OR(BV97=0,HI97="",HJ97=""),"",IFERROR(N(_xlfn.XLOOKUP(HI97,Каталог!$C$4:$C$500,Каталог!$Q$4:$Q$500)),""))</f>
        <v/>
      </c>
      <c r="IG97" s="6" t="str">
        <f>IF(N(IF97)=0,"",SUMIFS(Линии[Iр, А],Линии[Щит],A97,Линии[_модуль гр.],HH97,Линии[Канал (итог)],HJ97))</f>
        <v/>
      </c>
      <c r="IH97" t="str">
        <f>IF(AND(B97="",HO97=""),"",_xlfn.TEXTJOIN("; ",TRUE,IF(AND(B97&lt;&gt;"",FV97=""),"нет фазы",""),IF(AND(B97&lt;&gt;"",N(GL97)=0,FG97&lt;&gt;"Нет"),"нет мощности",""),IF(AND(HN97&lt;&gt;"",COUNTIFS(Линии[Щит],A97,Линии[Клемма (итог)],HN97)&gt;1),"дубль клеммы "&amp;HN97,""),IF(AND(HQ97&lt;&gt;"",HQ97&lt;&gt;"ok"),HQ97,""),IF(HR97&lt;&gt;"",HR97,""),IF(AND(N(CB97)&gt;=4,N(BX97)=1),CB97&amp;" жил на 1 фазе",""),IF(AND(BC97="R",CG97=1,IF(CS97&lt;&gt;"",N(CV97)&gt;30,OR(N(DA97)=0,N(DA97)&gt;30))),"розетка без дифзащиты до 30 мА",""),IF(AND(CG97=1,N(DA97)&gt;0,ISNUMBER(T97)),IF(T97&gt;N(DA97)/3,"ток утечки "&amp;FIXED(T97,1)&amp;" мА &gt; 1/3 уставки ("&amp;DA97&amp;" мА)",""),""),IF(AND(CH97=1,CS97=""),"«узо»: нет строки с УЗО выше (УЗО 2P 40А 30мА в «Аппаратах»)",""),IF(AND(CS97&lt;&gt;"",CS97=BA97),IF(CT97="","впишите номинал УЗО (УЗО 2P 40А 30мА)",IF(N(CT97)&lt;N(DT97),"УЗО "&amp;CT97&amp;" А &lt; автомата "&amp;DT97&amp;" А перед ним",IF(N(CT97)&lt;N(CX97),"УЗО "&amp;CT97&amp;" А &lt; тока блока "&amp;FIXED(CX97,1)&amp;" А",""))),""),IF(AND(CS97&lt;&gt;"",CS97=BA97,ISNUMBER(CY97)),IF(CY97&gt;N(CV97)/3,"ток утечки блока УЗО "&amp;FIXED(CY97,1)&amp;" мА &gt; 1/3 уставки ("&amp;CV97&amp;" мА)",""),""),IF(AND(CG97=1,N(BV97)+N(IB97)&gt;0,IC97=""),"линии до 50 В без БП: впишите в «Аппараты» (БП 24V 480W)",""),IF(AND(CG97=1,ISNUMBER(ID97),ISNUMBER(U97)),IF(U97&gt;ID97,"БП "&amp;ID97&amp;" Вт &lt; нужно "&amp;U97&amp;" Вт (×"&amp;Запас_БП&amp;")",""),""),IF(AND(CG97=1,ISNUMBER(IE97),N(BV97)=1),IF(IE97&lt;&gt;N(BU97),"БП на "&amp;IE97&amp;" В, линия "&amp;BU97&amp;" В",""),""),IF(AND(N(IF97)&gt;0,N(IG97)&gt;N(IF97)),HH97&amp;" канал "&amp;HJ97&amp;": "&amp;FIXED(IG97,1)&amp;" А &gt; "&amp;IF97&amp;" А",""),IFERROR(IF(AND(ISNUMBER(Q97),Q97&gt;EL97),"потери "&amp;FIXED(Q97,1)&amp;" % &gt; "&amp;EL97&amp;" %",""),""),IFERROR(IF(LEFT(HU97,4)="мало","Iкз мало — отключение &gt; 0,4 с",""),""),IF(AND(B97&lt;&gt;"",BM97=""),"не на схеме",""),IF(AND(CG97=0,B97&lt;&gt;"",FV97&lt;&gt;"",IF(BA97=1,"",FW96)&lt;&gt;"",FV97&lt;&gt;IF(BA97=1,"",FW96)),"фаза не как у автомата группы ("&amp;IF(BA97=1,"",FW96)&amp;")","")))</f>
        <v/>
      </c>
      <c r="II97" s="6">
        <f>IF(OR(CG97=0,DQ97=""),"",_xlfn.LET(_xlpm.t,IFERROR(_xlfn.XLOOKUP(DQ97,Каталог!$U$4:$U$500,Каталог!$G$4:$G$500),""),_xlpm.k,SEARCH("кА",_xlpm.t),IFERROR(--TRIM(RIGHT(SUBSTITUTE(MID(_xlpm.t,MAX(1,_xlpm.k-4),_xlpm.k-MAX(1,_xlpm.k-4))," ",REPT(" ",9)),5)),"")))</f>
        <v>6</v>
      </c>
      <c r="IJ97" t="str">
        <f>IF(OR(II97="",CG97=0),"",IF(_xlfn.XLOOKUP(A97,Щиты[Щит],Щиты[Iкз max на шинах, кА],"")="","",IF(II97&lt;_xlfn.XLOOKUP(A97,Щиты[Щит],Щиты[Iкз max на шинах, кА]),"Icu "&amp;II97&amp;" кА &lt; Iкз max","ok")))</f>
        <v/>
      </c>
      <c r="IK97" t="str">
        <f t="shared" si="251"/>
        <v/>
      </c>
      <c r="IL97" t="str">
        <f t="shared" si="252"/>
        <v>QF9</v>
      </c>
      <c r="IM97" t="str">
        <f t="shared" si="253"/>
        <v>QF9|кабель ВВГнг(А)-LS (3х1,5) → Внутренний блок кондиционирования Подвальный этаж Пом. №004Т</v>
      </c>
      <c r="IN97" t="str" cm="1">
        <f t="array" ref="IN97">IF(IM97="","",_xlfn.LET(_xlpm.nd,_xlfn.TEXTSPLIT(IM97,"|"),IF(COLUMNS(_xlpm.nd)&gt;1,A97&amp;"¦"&amp;INDEX(_xlpm.nd,1)&amp;"¦"&amp;INDEX(_xlpm.nd,2),"")))</f>
        <v>ЩОВ-002¦QF9¦кабель ВВГнг(А)-LS (3х1,5) → Внутренний блок кондиционирования Подвальный этаж Пом. №004Т</v>
      </c>
      <c r="IO97" t="str">
        <f t="shared" si="254"/>
        <v>K.00.004T.1¦Внутренний блок кондиционирования Подвальный этаж Пом. №004Т</v>
      </c>
      <c r="IP97" t="str" cm="1">
        <f t="array" ref="IP97">IF(IM97="","",_xlfn.LET(_xlpm.nd,_xlfn.TEXTSPLIT(IM97,"|"),IF(COLUMNS(_xlpm.nd)&gt;2,A97&amp;"¦"&amp;INDEX(_xlpm.nd,2)&amp;"¦"&amp;INDEX(_xlpm.nd,3),"")))</f>
        <v/>
      </c>
      <c r="IQ97" t="str">
        <f t="shared" si="255"/>
        <v/>
      </c>
      <c r="IR97" t="str" cm="1">
        <f t="array" ref="IR97">IF(IM97="","",_xlfn.LET(_xlpm.nd,_xlfn.TEXTSPLIT(IM97,"|"),IF(COLUMNS(_xlpm.nd)&gt;3,A97&amp;"¦"&amp;INDEX(_xlpm.nd,3)&amp;"¦"&amp;INDEX(_xlpm.nd,4),"")))</f>
        <v/>
      </c>
      <c r="IS97" t="str">
        <f t="shared" si="256"/>
        <v/>
      </c>
      <c r="IT97" t="str" cm="1">
        <f t="array" ref="IT97">IF(IM97="","",_xlfn.LET(_xlpm.nd,_xlfn.TEXTSPLIT(IM97,"|"),IF(COLUMNS(_xlpm.nd)&gt;4,A97&amp;"¦"&amp;INDEX(_xlpm.nd,4)&amp;"¦"&amp;INDEX(_xlpm.nd,5),"")))</f>
        <v/>
      </c>
      <c r="IU97" t="str">
        <f t="shared" si="257"/>
        <v/>
      </c>
      <c r="IV97" t="str" cm="1">
        <f t="array" ref="IV97">IF(IM97="","",_xlfn.LET(_xlpm.nd,_xlfn.TEXTSPLIT(IM97,"|"),IF(COLUMNS(_xlpm.nd)&gt;5,A97&amp;"¦"&amp;INDEX(_xlpm.nd,5)&amp;"¦"&amp;INDEX(_xlpm.nd,6),"")))</f>
        <v/>
      </c>
      <c r="IW97" t="str">
        <f t="shared" si="258"/>
        <v/>
      </c>
      <c r="IX97" t="str" cm="1">
        <f t="array" ref="IX97">IF(IM97="","",_xlfn.LET(_xlpm.nd,_xlfn.TEXTSPLIT(IM97,"|"),IF(COLUMNS(_xlpm.nd)&gt;6,A97&amp;"¦"&amp;INDEX(_xlpm.nd,6)&amp;"¦"&amp;INDEX(_xlpm.nd,7),"")))</f>
        <v/>
      </c>
      <c r="IY97" t="str">
        <f t="shared" si="259"/>
        <v/>
      </c>
      <c r="IZ97" t="str">
        <f t="shared" si="260"/>
        <v/>
      </c>
      <c r="JA97" t="str">
        <f t="shared" si="261"/>
        <v>QF9</v>
      </c>
      <c r="JB97">
        <f t="shared" si="262"/>
        <v>0</v>
      </c>
      <c r="JC97">
        <f t="shared" si="263"/>
        <v>0</v>
      </c>
      <c r="JD97" t="str">
        <f t="shared" si="264"/>
        <v/>
      </c>
      <c r="JE97" t="str">
        <f t="shared" si="265"/>
        <v/>
      </c>
      <c r="JF97" t="str">
        <f t="shared" si="266"/>
        <v/>
      </c>
      <c r="JG97" t="str">
        <f t="shared" si="267"/>
        <v/>
      </c>
      <c r="JH97">
        <f>IF(B97="","",IFERROR(_xlfn.XLOOKUP(B97,Коды_код,Коды_уго),IFERROR(_xlfn.XLOOKUP(BC97,Коды_код,Коды_уго),IFERROR(_xlfn.XLOOKUP(LEFT(BC97,2),Коды_код,Коды_уго),""))))</f>
        <v>0</v>
      </c>
      <c r="JI97" t="str">
        <f>IF(B97="","",IF(OR(JH97="",JH97=0),"BOX",IFERROR(IF(VLOOKUP(JH97,УГО_блоки,3,FALSE)&amp;""&lt;&gt;"",VLOOKUP(JH97,УГО_блоки,3,FALSE),VLOOKUP(JH97,УГО_блоки,2,FALSE)),JH97)))</f>
        <v>BOX</v>
      </c>
      <c r="JJ97">
        <f t="shared" si="268"/>
        <v>1</v>
      </c>
      <c r="JK97" t="str">
        <f>IF(DQ97="","",IF(COUNTIF(DQ$3:DQ97,DQ97)=1,MAX(JK$2:JK96)+1,""))</f>
        <v/>
      </c>
      <c r="JL97" t="str">
        <f>IF(DE97="","",IF(COUNTIF(DE$3:DE97,DE97)+COUNTIF(DF$2:DF96,DE97)+COUNTIF(DG$2:DG96,DE97)=1,MAX(JL$2:JN96)+1,""))</f>
        <v/>
      </c>
      <c r="JM97" t="str">
        <f>IF(DF97="","",IF(COUNTIF(DE$3:DE97,DF97)+COUNTIF(DF$3:DF97,DF97)+COUNTIF(DG$2:DG96,DF97)=1,MAX(JL$2:JN96,JL97)+1,""))</f>
        <v/>
      </c>
      <c r="JN97" t="str">
        <f>IF(DG97="","",IF(COUNTIF(DE$3:DE97,DG97)+COUNTIF(DF$3:DF97,DG97)+COUNTIF(DG$3:DG97,DG97)=1,MAX(JL$2:JN96,JL97,JM97)+1,""))</f>
        <v/>
      </c>
      <c r="JO97" t="str">
        <f t="shared" si="269"/>
        <v>3х1,5</v>
      </c>
      <c r="JP97" t="str">
        <f>IF(JO97="","",IF(COUNTIF(JO$3:JO97,JO97)=1,MAX(JP$2:JP96)+1,""))</f>
        <v/>
      </c>
      <c r="JQ97" t="str">
        <f>IF(HG97="","",COUNTIF(HG$3:HG97,"?*"))</f>
        <v/>
      </c>
      <c r="JR97" t="str">
        <f>IF(OR(HG97="",HI97=""),"",IF(COUNTIFS(HG$3:HG97,"?*",HI$3:HI97,HI97)=1,MAX(JR$2:JR96)+1,""))</f>
        <v/>
      </c>
      <c r="JS97">
        <f t="shared" si="270"/>
        <v>0</v>
      </c>
      <c r="JT97">
        <f>IF(B97="","",COUNTIF(B$3:B97,"?*"))</f>
        <v>95</v>
      </c>
      <c r="JU97">
        <f>IF(HL97&lt;&gt;1,0,_xlfn.LET(_xlpm.k,MAX(IFERROR(--_xlfn.XLOOKUP(B97,Коды_код,Коды_3L),0),IFERROR(--_xlfn.XLOOKUP(BC97,Коды_код,Коды_3L),0),IFERROR(--_xlfn.XLOOKUP(LEFT(BC97,2),Коды_код,Коды_3L),0)),IF(_xlpm.k&gt;0,_xlpm.k,IF(IFERROR(--LEFT(SUBSTITUTE(JO97,"x","х"),FIND("х",SUBSTITUTE(JO97,"x","х"))-1),3)&gt;3,Каталог!$S$9,1))))</f>
        <v>1</v>
      </c>
      <c r="JV97">
        <f t="shared" si="271"/>
        <v>0</v>
      </c>
      <c r="JW97" t="str">
        <f t="shared" si="272"/>
        <v>авто</v>
      </c>
      <c r="JX97" t="str">
        <f t="shared" si="273"/>
        <v/>
      </c>
      <c r="JY97">
        <f t="shared" si="274"/>
        <v>0</v>
      </c>
      <c r="JZ97">
        <f t="shared" si="275"/>
        <v>1</v>
      </c>
    </row>
    <row r="98" spans="1:286" x14ac:dyDescent="0.3">
      <c r="A98" t="s">
        <v>749</v>
      </c>
      <c r="B98" t="s">
        <v>1410</v>
      </c>
      <c r="C98" t="s">
        <v>1666</v>
      </c>
      <c r="D98">
        <v>1</v>
      </c>
      <c r="E98">
        <v>0.104</v>
      </c>
      <c r="G98">
        <v>10</v>
      </c>
      <c r="H98" t="str">
        <f>Линии[[#This Row],[_авто управление]]</f>
        <v/>
      </c>
      <c r="I98" t="str">
        <f>Линии[[#This Row],[_авто аппараты]]</f>
        <v/>
      </c>
      <c r="J98">
        <v>1.5</v>
      </c>
      <c r="K98">
        <v>16</v>
      </c>
      <c r="L98">
        <v>1</v>
      </c>
      <c r="M98" t="s">
        <v>484</v>
      </c>
      <c r="N98" t="str">
        <f t="shared" si="138"/>
        <v/>
      </c>
      <c r="O98" s="6" cm="1">
        <f t="array" ref="O98">IF(B98="","",IF(BH98&lt;&gt;"",IFERROR(_xlfn.XLOOKUP(BH98,Щиты[Щит],Щиты[Iр, А]),""),IF(BP98=1,IF(OR(N(_xlfn.XLOOKUP(A98,Щиты[Щит],Щиты[Вводов],1))&lt;=1,LOWER(TRIM(_xlfn.XLOOKUP(A98,Щиты[Щит],Щиты[АВР],"")&amp;""))="да"),IFERROR(_xlfn.XLOOKUP(A98,Щиты[Щит],Щиты[Iр, А]),""),IFERROR(N(BS98)*_xlfn.XLOOKUP(A98,Щиты[Щит],Щиты[Кс итог])/(SQRT(3)*Uн_лин*_xlfn.XLOOKUP(A98,Щиты[Щит],Щиты[cos φ])),"")),IF(BV98=1,IFERROR(BS98*1000/BU98,""),IFERROR(_xlfn.IFS(BX98=1,BS98/((Uн_лин/SQRT(3))*CE98),BX98=3,BS98/(SQRT(3)*Uн_лин*CE98)),"")))))</f>
        <v>0.56291651245988494</v>
      </c>
      <c r="P98" s="7">
        <f>IF(B98="","",IFERROR(IF(VLOOKUP(BC98,Потребители_обозначение,4,FALSE)=1,VLOOKUP(BC98,Потребители_обозначение,3,FALSE)*(MAX(1,N(D98))*2-1)+EI98+VLOOKUP(BE98,Этаж_обозначение,3,FALSE)+VLOOKUP(BE98,Этаж_обозначение,4,FALSE),VLOOKUP(BC98,Потребители_обозначение,3,FALSE)*(MAX(1,N(D98))*2-1)+EI98),EI98))</f>
        <v>18</v>
      </c>
      <c r="Q98" s="6">
        <f t="shared" si="139"/>
        <v>0.85</v>
      </c>
      <c r="R98" t="str">
        <f t="shared" si="140"/>
        <v>ВВГнг(А)-LS (3х1,5)</v>
      </c>
      <c r="S98" t="str">
        <f>IF(BM98="","",IF(BN98="вводной узел","узел ","")&amp;"л."&amp;(INT((BM98-1)/Столбцов_на_лист)+1)&amp;" / "&amp;(MOD(BM98-1,Столбцов_на_лист)+1))</f>
        <v>л.2 / 11</v>
      </c>
      <c r="T98" s="119">
        <f t="shared" si="141"/>
        <v>0.4</v>
      </c>
      <c r="U98" s="7" t="str">
        <f>IF(OR(CG98=0,N(BV98)+N(IB98)=0),"",ROUNDUP(Запас_БП*(N(HY98)+N(HZ98)),0))</f>
        <v/>
      </c>
      <c r="V98" s="119" t="str">
        <f t="shared" si="142"/>
        <v/>
      </c>
      <c r="W98" s="7" t="str">
        <f>IFERROR(IF(OR(B98="",BP98=1,BV98=1,NOT(ISNUMBER(EN98)),N(DT98)=0),"",MAX(0,ROUNDDOWN((c_min*(Uн_лин*1000/SQRT(3))/(HT98*N(DT98))-_xlfn.XLOOKUP(A98,Щиты[Щит],Щиты[Zпетли на шинах, Ом]))*EN98/(2*ρкз_Cu),0))),"")</f>
        <v/>
      </c>
      <c r="Y98" t="str">
        <f>Линии[[#This Row],[_авто утечка]]</f>
        <v/>
      </c>
      <c r="Z98">
        <v>1</v>
      </c>
      <c r="AA98">
        <v>230</v>
      </c>
      <c r="AB98" t="s">
        <v>598</v>
      </c>
      <c r="AC98">
        <v>0.5</v>
      </c>
      <c r="AG98" t="s">
        <v>810</v>
      </c>
      <c r="AI98" t="s">
        <v>576</v>
      </c>
      <c r="AK98" t="str">
        <f>Линии[[#This Row],[_авто модуль]]</f>
        <v/>
      </c>
      <c r="AM98">
        <v>28</v>
      </c>
      <c r="AN98" t="s">
        <v>11</v>
      </c>
      <c r="AO98">
        <v>3</v>
      </c>
      <c r="AQ98">
        <v>6</v>
      </c>
      <c r="AR98">
        <v>12</v>
      </c>
      <c r="AT98">
        <v>1</v>
      </c>
      <c r="BA98" cm="1">
        <f t="array" ref="BA98">ROW()-ROW(Линии[#Headers])</f>
        <v>96</v>
      </c>
      <c r="BC98" s="6" t="str">
        <f t="shared" si="143"/>
        <v>K</v>
      </c>
      <c r="BD98" t="str">
        <f t="shared" si="144"/>
        <v>00.004T.2</v>
      </c>
      <c r="BE98" t="str">
        <f t="shared" si="145"/>
        <v>00</v>
      </c>
      <c r="BF98" t="str">
        <f t="shared" si="146"/>
        <v>004T.2</v>
      </c>
      <c r="BG98" t="str">
        <f t="shared" si="147"/>
        <v>004T</v>
      </c>
      <c r="BH98" t="str">
        <f>IF(X98&lt;&gt;"",X98,IF(AND(B98&lt;&gt;"",B98&lt;&gt;A98,ISNUMBER(_xlfn.XMATCH(B98,Щиты[Щит]))),B98,""))</f>
        <v/>
      </c>
      <c r="BI98" t="str" cm="1">
        <f t="array" ref="BI98">IF(B98="","",IF(BH98&lt;&gt;"","Щит "&amp;BH98,_xlfn.LET(_xlpm.nm,IFERROR(_xlfn.XLOOKUP(BC98,Коды_код,Коды_имя)&amp;"",""),_xlpm.md,IFERROR(N(_xlfn.XLOOKUP(BC98,Коды_код,Коды_режим)),1),_xlpm.ex,IF(Имя_режим="по экспликации",IFERROR(_xlfn.XLOOKUP(BE98&amp;"|"&amp;BG98,Экспликация[Этаж]&amp;"|"&amp;Экспликация[Помещение],Экспликация[Название])&amp;"",""),""),_xlpm.rm,IF(BG98="","",IF(_xlpm.ex&lt;&gt;"",". "&amp;_xlpm.ex&amp;IF(Имя_пом="нет"," ("&amp;BG98&amp;")"," (пом. "&amp;BG98&amp;")"),IF(Имя_пом="нет"," ",", пом. ")&amp;BG98)),IF(_xlpm.nm="","",IF(_xlpm.md=2,_xlpm.nm&amp;" шлейф "&amp;BE98,_xlpm.nm&amp;_xlpm.rm)))))</f>
        <v>Внутренний блок кондиционирования, пом. 004T</v>
      </c>
      <c r="BJ98" t="str">
        <f t="shared" si="148"/>
        <v>Внутренний блок кондиционирования Подвальный этаж Пом. №004Т</v>
      </c>
      <c r="BK98">
        <f>IFERROR(_xlfn.XMATCH(A98,Щиты[Щит]),0)</f>
        <v>5</v>
      </c>
      <c r="BL98">
        <f>_xlfn.LET(_xlpm.k,IFERROR(_xlfn.XLOOKUP(A98,Щиты[Щит],Щиты[Мест под вводной узел]),""),IF(_xlpm.k="",Столбцов_на_лист,N(_xlpm.k)))</f>
        <v>18</v>
      </c>
      <c r="BM98">
        <f t="shared" si="149"/>
        <v>28</v>
      </c>
      <c r="BN98" t="str">
        <f t="shared" si="150"/>
        <v>линии</v>
      </c>
      <c r="BO98" s="6">
        <f>IFERROR(N(_xlfn.XLOOKUP(BC98,Коды_код,Коды_квт)),0)</f>
        <v>0</v>
      </c>
      <c r="BP98">
        <f t="shared" si="151"/>
        <v>0</v>
      </c>
      <c r="BQ98" t="str">
        <f>IF(B98="","",IF(BH98&lt;&gt;"",IFERROR(_xlfn.XLOOKUP(BH98,Щиты[Щит],Щиты[Руст, кВт]),0),IF(BP98=1,IF(OR(N(_xlfn.XLOOKUP(A98,Щиты[Щит],Щиты[Вводов],1))&lt;=1,LOWER(TRIM(_xlfn.XLOOKUP(A98,Щиты[Щит],Щиты[АВР],"")&amp;""))="да"),IFERROR(_xlfn.XLOOKUP(A98,Щиты[Щит],Щиты[Руст, кВт]),0),SUMIFS(Линии[_Р для вводов],Линии[Щит],A98,Линии[Источник для режимов],GF98)),IF(BO98&gt;0,ROUND(BO98*MAX(1,N(D98)),3),""))))</f>
        <v/>
      </c>
      <c r="BR98">
        <f t="shared" si="152"/>
        <v>0.104</v>
      </c>
      <c r="BS98" s="6">
        <f>IF(B98="","",IF(BH98&lt;&gt;"",IFERROR(_xlfn.XLOOKUP(BH98,Щиты[Щит],Щиты[Руст, кВт]),0),N(BR98)))</f>
        <v>0.104</v>
      </c>
      <c r="BT98" t="str">
        <f>IF(B98="","",IFERROR(IF(VLOOKUP(BC98,Потребители_обозначение,8,FALSE)=0,"",VLOOKUP(BC98,Потребители_обозначение,8,FALSE)),""))</f>
        <v/>
      </c>
      <c r="BU98">
        <f t="shared" si="153"/>
        <v>230</v>
      </c>
      <c r="BV98">
        <f t="shared" si="154"/>
        <v>0</v>
      </c>
      <c r="BW98">
        <f>IF(B98="","",IF(BH98&lt;&gt;"",3,IFERROR(IF(N(VLOOKUP(BC98,Потребители_обозначение,9,FALSE))=0,1,VLOOKUP(BC98,Потребители_обозначение,9,FALSE)),1)))</f>
        <v>1</v>
      </c>
      <c r="BX98">
        <f t="shared" si="155"/>
        <v>1</v>
      </c>
      <c r="BY98" t="str">
        <f>IF(B98="","",_xlfn.LET(_xlpm.bc,IFERROR(IF(VLOOKUP(BC98,Потребители_обозначение,6,FALSE)=0,"",VLOOKUP(BC98,Потребители_обозначение,6,FALSE)&amp;""),""),IF(AND(GA98="да",OR(_xlpm.bc="",_xlpm.bc="мс")),Марка_пож,IF(AND(_xlpm.bc="",BH98&lt;&gt;""),"мс",_xlpm.bc))))</f>
        <v/>
      </c>
      <c r="BZ98" t="str">
        <f t="shared" si="156"/>
        <v>мс</v>
      </c>
      <c r="CA98">
        <f>IF(B98="","",_xlfn.LET(_xlpm.cc,IFERROR(N(VLOOKUP(BC98,Потребители_обозначение,7,FALSE)),0),IF(_xlpm.cc&gt;0,_xlpm.cc,IF(BZ98="","",IF(BV98=1,2,IF(N(BX98)=3,5,3))))))</f>
        <v>3</v>
      </c>
      <c r="CB98">
        <f t="shared" si="157"/>
        <v>3</v>
      </c>
      <c r="CC98">
        <f>IFERROR(N(VLOOKUP(BC98,Потребители_обозначение,10,FALSE)),0)</f>
        <v>0</v>
      </c>
      <c r="CD98">
        <f>IFERROR(VLOOKUP(BC98,Потребители_обозначение,5,FALSE),0)</f>
        <v>1</v>
      </c>
      <c r="CE98" s="6" cm="1">
        <f t="array" ref="CE98">IF(B98="","",IF(BH98&lt;&gt;"",IFERROR(_xlfn.XLOOKUP(BH98,Щиты[Щит],Щиты[cos φ]),0.95),IF(BP98=1,IFERROR(_xlfn.XLOOKUP(A98,Щиты[Щит],Щиты[cos φ]),0.95),IF(ISNUMBER(AD98),AD98,IFERROR(IF(CD98=2,_xlfn.IFS(BX98=3,VLOOKUP(BS98,Справочная_двигатели,8,FALSE),BX98=1,VLOOKUP(BS98,Справочная_двигатели,10,TRUE)),IF(AND(Методика="нормы 2026",FG98="Сил"),0.8,0.95)),0.95)))))</f>
        <v>0.8</v>
      </c>
      <c r="CF98">
        <f t="shared" si="158"/>
        <v>0</v>
      </c>
      <c r="CG98">
        <f t="shared" si="159"/>
        <v>1</v>
      </c>
      <c r="CH98">
        <f t="shared" si="160"/>
        <v>0</v>
      </c>
      <c r="CI98">
        <f>IF(B98="","",IF(BV98=1,IFERROR(BS98/((Uн_лин/SQRT(3))*MAX(0.5,N(CE98))),0),N(O98)))</f>
        <v>0.56291651245988494</v>
      </c>
      <c r="CJ98">
        <f t="shared" si="161"/>
        <v>0</v>
      </c>
      <c r="CK98">
        <f t="shared" si="162"/>
        <v>0</v>
      </c>
      <c r="CL98">
        <f t="shared" si="163"/>
        <v>0</v>
      </c>
      <c r="CM98">
        <f t="shared" si="164"/>
        <v>0</v>
      </c>
      <c r="CN98">
        <f t="shared" si="165"/>
        <v>0</v>
      </c>
      <c r="CO98">
        <f>IF(BC98="",0,_xlfn.LET(_xlpm.v,IFERROR(_xlfn.XLOOKUP(B98,Коды_код,Коды_мА),IFERROR(_xlfn.XLOOKUP(BC98,Коды_код,Коды_мА),IFERROR(_xlfn.XLOOKUP(LEFT(BC98,2),Коды_код,Коды_мА),""))),IF(_xlpm.v="да",30,IF(ISNUMBER(_xlpm.v),_xlpm.v,0))))</f>
        <v>0</v>
      </c>
      <c r="CP98" t="str">
        <f t="shared" si="166"/>
        <v/>
      </c>
      <c r="CQ98" t="str">
        <f>_xlfn.LET(_xlpm.k,IFERROR(_xlfn.XLOOKUP(BC98,Коды_код,Коды_утечка)&amp;"",""),IF(_xlpm.k="","дифавтомат",_xlpm.k))</f>
        <v>дифавтомат</v>
      </c>
      <c r="CR98" t="str" cm="1">
        <f t="array" ref="CR98">IF(CG98=0,"",_xlfn.LET(_xlpm.sg,TRIM(_xlfn.TEXTSPLIT(DD98&amp;"",";")),_xlpm.f_,_xlfn._xlws.FILTER(_xlpm.sg,LEFT(_xlpm.sg,3)="УЗО",""),IFERROR(INDEX(_xlpm.f_,1)&amp;"","")))</f>
        <v/>
      </c>
      <c r="CS98" t="str">
        <f t="shared" si="167"/>
        <v/>
      </c>
      <c r="CT98" s="6" t="str" cm="1">
        <f t="array" ref="CT98">IF(CR98="","",_xlfn.LET(_xlpm.tk,_xlfn.TEXTSPLIT(UPPER(CR98)," ",,TRUE),_xlpm.a_,_xlfn._xlws.FILTER(_xlpm.tk,ISNUMBER(--LEFT(_xlpm.tk,1))*((ISNUMBER(SEARCH("А",_xlpm.tk))+ISNUMBER(SEARCH("A",_xlpm.tk)))&gt;0)*NOT(ISNUMBER(SEARCH("МА",_xlpm.tk)))*NOT(ISNUMBER(SEARCH("MA",_xlpm.tk))),""),IFERROR(--SUBSTITUTE(SUBSTITUTE(INDEX(_xlpm.a_,1),"А",""),"A",""),"")))</f>
        <v/>
      </c>
      <c r="CU98" t="str" cm="1">
        <f t="array" ref="CU98">IF(CR98="","",_xlfn.LET(_xlpm.tk,_xlfn.TEXTSPLIT(UPPER(CR98)," ",,TRUE),_xlpm.a_,_xlfn._xlws.FILTER(_xlpm.tk,ISNUMBER(--LEFT(_xlpm.tk,1))*((ISNUMBER(SEARCH("МА",_xlpm.tk))+ISNUMBER(SEARCH("MA",_xlpm.tk)))&gt;0),""),IFERROR(--SUBSTITUTE(SUBSTITUTE(INDEX(_xlpm.a_,1),"МА",""),"MA",""),30)))</f>
        <v/>
      </c>
      <c r="CV98" t="str">
        <f>IF(CS98="","",IFERROR(_xlfn.XLOOKUP(CS98,Линии[_n],Линии[_УЗО, мА]),30))</f>
        <v/>
      </c>
      <c r="CW98">
        <f>IF(CS98="",0,IF(ISNUMBER(SEARCH("4P",IFERROR(_xlfn.XLOOKUP(CS98,Линии[_n],Линии[_УЗО строки])&amp;"",""))),0,1))</f>
        <v>0</v>
      </c>
      <c r="CX98" t="str">
        <f>IF(AND(CS98&lt;&gt;"",CS98=BA98),SUMIFS(Линии[_ток на 230 В],Линии[_блок УЗО],BA98,Линии[Щит],A98),"")</f>
        <v/>
      </c>
      <c r="CY98" t="str">
        <f>IF(AND(CS98&lt;&gt;"",CS98=BA98),SUMIFS(Линии[_ток утечки линии, мА],Линии[_блок УЗО],BA98,Линии[Щит],A98),"")</f>
        <v/>
      </c>
      <c r="CZ98">
        <f t="shared" si="168"/>
        <v>0</v>
      </c>
      <c r="DA98">
        <f t="shared" si="169"/>
        <v>0</v>
      </c>
      <c r="DB98">
        <f>IF(B98="",0,IFERROR(--_xlfn.XLOOKUP(B98,Коды_код,Коды_минавт),IFERROR(--_xlfn.XLOOKUP(BC98,Коды_код,Коды_минавт),IFERROR(--_xlfn.XLOOKUP(LEFT(BC98,2),Коды_код,Коды_минавт),0))))</f>
        <v>0</v>
      </c>
      <c r="DC98" t="str">
        <f>IF(B98="","",IFERROR(_xlfn.XLOOKUP(BC98,Коды_код,Коды_апп)&amp;"",""))</f>
        <v/>
      </c>
      <c r="DD98" t="str">
        <f t="shared" si="170"/>
        <v/>
      </c>
      <c r="DE98" t="str" cm="1">
        <f t="array" ref="DE98">IF(TRIM(DD98&amp;"")="","",IFERROR(TRIM(INDEX(_xlfn.TEXTSPLIT(DD98&amp;";;;",";"),1)),""))</f>
        <v/>
      </c>
      <c r="DF98" t="str" cm="1">
        <f t="array" ref="DF98">IF(TRIM(DD98&amp;"")="","",IFERROR(TRIM(INDEX(_xlfn.TEXTSPLIT(DD98&amp;";;;",";"),2)),""))</f>
        <v/>
      </c>
      <c r="DG98" t="str" cm="1">
        <f t="array" ref="DG98">IF(TRIM(DD98&amp;"")="","",IFERROR(TRIM(INDEX(_xlfn.TEXTSPLIT(DD98&amp;";;;",";"),3)),""))</f>
        <v/>
      </c>
      <c r="DH98">
        <f t="shared" si="171"/>
        <v>0</v>
      </c>
      <c r="DI98" t="str">
        <f>IF(B98="","",_xlfn.LET(_xlpm.t,LOWER(AZ98&amp;""),IF(ISNUMBER(SEARCH("dim",_xlpm.t)),"DIM",IF(ISNUMBER(SEARCH("dali",_xlpm.t)),"DALI",IF(OR(ISNUMBER(SEARCH("relay",_xlpm.t)),ISNUMBER(SEARCH("реле",_xlpm.t))),"Relay",IF(ISNUMBER(SEARCH("кнопк",_xlpm.t)),"",IFERROR(_xlfn.XLOOKUP(BC98,Коды_код,Коды_упр)&amp;"","")))))))</f>
        <v/>
      </c>
      <c r="DJ98" t="str">
        <f t="shared" si="172"/>
        <v/>
      </c>
      <c r="DK98">
        <f>IF(B98="","",_xlfn.LET(_xlpm.ig,IF(N(CX98)&gt;0,N(CX98),N(CI98)+IF(AJ98="вручную",0,N(CJ98))),_xlpm.n0,IFERROR(VLOOKUP(_xlpm.ig,Автомат_номиналы,2,TRUE),0),_xlpm.mn,MAX(DB98,IF(AJ98="вручную",0,N(CM98))),MAX(_xlpm.n0,_xlpm.mn,IF(DH98=1,Мин_автомат_БП,0))))</f>
        <v>6</v>
      </c>
      <c r="DL98">
        <f t="shared" si="173"/>
        <v>1</v>
      </c>
      <c r="DM98" t="str">
        <f t="shared" si="174"/>
        <v>1P</v>
      </c>
      <c r="DN98" t="str">
        <f>_xlfn.LET(_xlpm.cc,UPPER(TRIM(IFERROR(_xlfn.XLOOKUP(BC98,Коды_код,Коды_хар)&amp;"",""))),IF(OR(_xlpm.cc="B",_xlpm.cc="В"),"B",IF(_xlpm.cc="D","D","С")))</f>
        <v>С</v>
      </c>
      <c r="DO98" t="str">
        <f t="shared" si="175"/>
        <v>1P С6А</v>
      </c>
      <c r="DP98">
        <f t="shared" si="176"/>
        <v>10</v>
      </c>
      <c r="DQ98" t="str">
        <f t="shared" si="177"/>
        <v>1P С10А</v>
      </c>
      <c r="DR98" cm="1">
        <f t="array" ref="DR98">IF(DQ98="","",_xlfn.LET(_xlpm.t,SUBSTITUTE(SUBSTITUTE(SUBSTITUTE(UPPER(DQ98),"С","C"),"А","A"),"В","B"),_xlpm.tk,_xlfn.TEXTSPLIT(_xlpm.t," "),_xlpm.f,_xlfn._xlws.FILTER(_xlpm.tk,ISNUMBER(--MID(_xlpm.tk,2,1))*ISNUMBER(SEARCH(LEFT(_xlpm.tk,1)&amp;"#","B#C#D#"))*(LEN(_xlpm.tk)&gt;1),""),_xlpm.x,INDEX(_xlpm.f,1),IFERROR(--SUBSTITUTE(MID(_xlpm.x,2,9),"A",""),IFERROR(--SUBSTITUTE(INDEX(_xlfn._xlws.FILTER(_xlpm.tk,ISNUMBER(--SUBSTITUTE(_xlpm.tk,"A","")),""),1),"A",""),""))))</f>
        <v>10</v>
      </c>
      <c r="DS98" t="str">
        <f t="shared" si="178"/>
        <v>ok</v>
      </c>
      <c r="DT98">
        <f t="shared" si="179"/>
        <v>10</v>
      </c>
      <c r="DU98" t="str">
        <f t="shared" si="180"/>
        <v>1P С10А</v>
      </c>
      <c r="DV98">
        <f t="shared" si="181"/>
        <v>0</v>
      </c>
      <c r="DW98">
        <f t="shared" si="182"/>
        <v>0</v>
      </c>
      <c r="DX98">
        <f t="shared" si="183"/>
        <v>0</v>
      </c>
      <c r="DY98">
        <f t="shared" si="184"/>
        <v>0.56291651245988494</v>
      </c>
      <c r="DZ98">
        <f t="shared" si="185"/>
        <v>1</v>
      </c>
      <c r="EA98">
        <f>IF(ISNUMBER(AP98),AP98,К_прокл)</f>
        <v>1</v>
      </c>
      <c r="EB98">
        <f t="shared" si="186"/>
        <v>2</v>
      </c>
      <c r="EC98">
        <f>IFERROR(N(VLOOKUP(BZ98,Кабель_обозначение,3,FALSE)),1)</f>
        <v>1</v>
      </c>
      <c r="ED98">
        <f>IFERROR(N(_xlfn.XLOOKUP(A98,Щиты[Щит],Щиты[ΔU до шин, %])),0)</f>
        <v>0.74</v>
      </c>
      <c r="EE98" t="str">
        <f>IFERROR(_xlfn.XLOOKUP(A98,Щиты[Щит],Щиты[Zпетли на шинах, Ом]),"")</f>
        <v/>
      </c>
      <c r="EF98">
        <f>IFERROR(N(_xlfn.XLOOKUP(A98,Щиты[Щит],Щиты[ΔU до шин (подбор), %])),0)</f>
        <v>1.96</v>
      </c>
      <c r="EG98" t="str">
        <f>IFERROR(_xlfn.XLOOKUP(A98,Щиты[Щит],Щиты[Zпетли на шинах (подбор), Ом]),"")</f>
        <v/>
      </c>
      <c r="EH98" t="str">
        <f t="shared" si="187"/>
        <v/>
      </c>
      <c r="EI98">
        <f t="shared" si="188"/>
        <v>16</v>
      </c>
      <c r="EJ98">
        <f t="shared" si="189"/>
        <v>2</v>
      </c>
      <c r="EK98">
        <f t="shared" si="190"/>
        <v>0.6</v>
      </c>
      <c r="EL98" s="6">
        <f>IF(B98="","",IF(BV98=1,dU_LED,IF(IFERROR(_xlfn.XLOOKUP(BC98,Коды_код,Коды_уго),"")="Светильник",3,4)+IF(Методика="нормы 2026",MIN(0.5,MAX(0,N(P98)-100)*0.005),0)))</f>
        <v>4</v>
      </c>
      <c r="EM98" cm="1">
        <f t="array" ref="EM98">IF(OR(B98="",BZ98="",EC98&lt;&gt;1),"",_xlfn.LET(_xlpm.sz,Iдоп_S,_xlpm.t_,CHOOSE(EB98,Iдоп_1ж,Iдоп_2ж,Iдоп_3ж)*DZ98*EA98,_xlpm.dcx,BV98=1,_xlpm.inn,IF(_xlpm.dcx,N(O98),N(DT98)),_xlpm.smin,MAX(1.5,CC98),_xlpm.L_,N(P98)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98)/N(BU98)*100,999),IFERROR(N(EJ98)*(_xlpm.rho*_xlpm.L_/_xlpm.sz*N(CE98)+_xlpm.xx*_xlpm.L_*N(EK98)/1000)*N(O98)/((Uн_лин/SQRT(3))*1000)*100,999)),_xlpm.kz,IF(OR(_xlpm.dcx,DW98=1,NOT(ISNUMBER(EG98)),_xlpm.L_=0,_xlpm.inn=0),1,IFERROR(--(c_min*(Uн_лин*1000/SQRT(3))/(EG98+2*ρкз_Cu*_xlpm.L_/_xlpm.sz)&gt;=HT98*_xlpm.inn),0)),_xlpm.ok,IFERROR((_xlpm.sz&gt;=_xlpm.smin)*(_xlpm.t_&gt;=_xlpm.inn)*IF(_xlpm.L_&gt;0,(_xlpm.du_+IF(_xlpm.dcx,0,EF98)&lt;=EL98+0.00001),1)*_xlpm.kz,0),_xlpm.r_,_xlfn._xlws.FILTER(_xlpm.sz,_xlpm.ok,"не подобрано"),INDEX(_xlpm.r_,1)))</f>
        <v>1.5</v>
      </c>
      <c r="EN98">
        <f t="shared" si="191"/>
        <v>1.5</v>
      </c>
      <c r="EO98" cm="1">
        <f t="array" ref="EO98">IF(OR(B98="",BZ98="",EC98&lt;&gt;1),"",_xlfn.LET(_xlpm.sz,Iдоп_S,_xlpm.t_,CHOOSE(EB98,Iдоп_1ж,Iдоп_2ж,Iдоп_3ж)*DZ98*EA98,_xlpm.ok,IFERROR((_xlpm.sz&gt;=MAX(1.5,CC98))*(_xlpm.t_&gt;=N(DT98)),0),_xlpm.r_,_xlfn._xlws.FILTER(_xlpm.sz,_xlpm.ok,""),INDEX(_xlpm.r_,1)))</f>
        <v>1.5</v>
      </c>
      <c r="EP98" s="6" cm="1">
        <f t="array" ref="EP98">IFERROR(ROUNDUP(N(EJ98)*(_xlfn.XLOOKUP(EO98,INDEX(Кабель_сопротивление,0,1),INDEX(Кабель_сопротивление,0,3))*N(P98)/EO98*N(CE98)+_xlfn.XLOOKUP(EO98,INDEX(Кабель_сопротивление,0,1),INDEX(Кабель_сопротивление,0,2))*N(P98)*N(EK98)/1000)*N(O98)/((Uн_лин/SQRT(3))*1000)*100,2),"")</f>
        <v>0.11</v>
      </c>
      <c r="EQ98">
        <f>IFERROR(2*ρкз_Cu*N(P98)/EO98,"")</f>
        <v>0.63119999999999998</v>
      </c>
      <c r="ER98">
        <f>IFERROR(VLOOKUP(EN98,Кабель_сопротивление,3,FALSE),"")</f>
        <v>2.2499999999999999E-2</v>
      </c>
      <c r="ES98">
        <f>IFERROR(VLOOKUP(EN98,Кабель_сопротивление,2,FALSE),"")</f>
        <v>0.11</v>
      </c>
      <c r="ET98">
        <f t="shared" si="192"/>
        <v>12</v>
      </c>
      <c r="EU98">
        <f t="shared" si="193"/>
        <v>0</v>
      </c>
      <c r="EV98">
        <f t="shared" si="194"/>
        <v>0.24451742301627494</v>
      </c>
      <c r="EW98" s="6">
        <f>IFERROR(ROUNDUP(EV98/IF(BV98=1,BU98,(Uн_лин/SQRT(3))*1000)*100,2),"")</f>
        <v>0.11</v>
      </c>
      <c r="EX98" t="str">
        <f>IFERROR(VLOOKUP(BZ98,Кабель_обозначение,2,FALSE),"")</f>
        <v>ВВГнг(А)-LS</v>
      </c>
      <c r="EY98" t="str">
        <f t="shared" si="195"/>
        <v>ВВГнг(А)-LS (3х1,5)</v>
      </c>
      <c r="EZ98" t="str">
        <f t="shared" si="196"/>
        <v>ВВГнг(А)-LS (3х1,5)
L=18-0,11%</v>
      </c>
      <c r="FA98">
        <f>IFERROR(2*ρкз_Cu*P98/EN98,"")</f>
        <v>0.63119999999999998</v>
      </c>
      <c r="FB98">
        <f t="shared" si="197"/>
        <v>0.21000000000000005</v>
      </c>
      <c r="FC98" s="6" t="str">
        <f>IFERROR(IF(OR(B98="",BV98=1,NOT(ISNUMBER(EN98)),N(P98)=0),"",_xlfn.XLOOKUP(A98,Щиты[Щит],Щиты[Zпетли на шинах, Ом])+FA98),"")</f>
        <v/>
      </c>
      <c r="FD98" s="6" t="str">
        <f>IF(ISNUMBER(FC98),c_min*(Uн_лин*1000/SQRT(3))/FC98,"")</f>
        <v/>
      </c>
      <c r="FE98" s="6" t="str">
        <f>IFERROR(IF(OR(B98="",NOT(ISNUMBER(EN98))),"",1.05*(Uн_лин*1000/SQRT(3))/(_xlfn.XLOOKUP(A98,Щиты[Щит],Щиты[Zmax на шинах, Ом])+FB98)/1000),"")</f>
        <v/>
      </c>
      <c r="FF98" s="6" t="str">
        <f>IF(B98="","",IF(ISNUMBER(AC98),"Сил",IF(IFERROR(_xlfn.XLOOKUP(BC98,Коды_код,Коды_группа)&amp;"","")="","Быт",_xlfn.XLOOKUP(BC98,Коды_код,Коды_группа)&amp;"")))</f>
        <v>Сил</v>
      </c>
      <c r="FG98" s="6" t="str">
        <f t="shared" si="198"/>
        <v>Сил</v>
      </c>
      <c r="FH98" s="6">
        <f>IF(FG98="Щит","щит",IF(FG98="","",IF(FG98="Быт",IFERROR(_xlfn.XLOOKUP(A98,Щиты[Щит],Щиты[Кс быт]),1),IF(FG98="Сил",IF(ISNUMBER(AC98),AC98,IF(Методика="нормы 2026",IFERROR(_xlfn.XLOOKUP(A98,Щиты[Щит],Щиты[Кс силовых (табл. 7.5)]),1),1)),IF(OR(FG98="Пост",FG98="Отоп"),1,IF(FG98="ВНГ",0.7,0))))))</f>
        <v>0.5</v>
      </c>
      <c r="FI98">
        <f>IF(FG98="","",IF(AND(BP98=1,TRIM(AE98&amp;"")=""),IF(COUNTIFS(Линии[Щит],A98,Линии[Секция (1/2/3)],"&gt;=2")&gt;0,MIN(3,MAX(1,IFERROR(--BD98,1))),1),IFERROR(MIN(3,MAX(1,INT(--AE98))),1)))</f>
        <v>1</v>
      </c>
      <c r="FJ98">
        <f t="shared" si="199"/>
        <v>0.104</v>
      </c>
      <c r="FK98">
        <f t="shared" si="200"/>
        <v>0</v>
      </c>
      <c r="FL98">
        <f t="shared" si="201"/>
        <v>5.1999999999999998E-2</v>
      </c>
      <c r="FM98">
        <f t="shared" si="202"/>
        <v>0</v>
      </c>
      <c r="FN98">
        <f t="shared" si="203"/>
        <v>0</v>
      </c>
      <c r="FO98">
        <f t="shared" si="204"/>
        <v>0</v>
      </c>
      <c r="FP98">
        <f t="shared" si="205"/>
        <v>0.104</v>
      </c>
      <c r="FQ98">
        <f t="shared" si="206"/>
        <v>0.104</v>
      </c>
      <c r="FR98">
        <f t="shared" si="207"/>
        <v>8.3199999999999996E-2</v>
      </c>
      <c r="FS98">
        <f>IF(CG98=1,IF(AND(CH98=1,CW98=1),0,IF(AND(CS98&lt;&gt;"",CS98=BA98,CW98=1),SUMIFS(Линии[_Р линии, кВт],Линии[_блок УЗО],BA98,Линии[Щит],A98),N(BS98)+IF(AJ98="вручную",0,N(CK98)))),0)</f>
        <v>0.104</v>
      </c>
      <c r="FT98" t="str">
        <f t="shared" si="208"/>
        <v>L1</v>
      </c>
      <c r="FU98" t="str">
        <f>IF(B98="","",IF(CG98=0,IF(BA98=1,"",FW97),IF(AND(CH98=1,CW98=1,CS98&lt;&gt;""),IFERROR(_xlfn.XLOOKUP(CS98,Линии[_n],Линии[_фаза итог]),"L1"),IF(OR(N(DL98)&gt;=3,N(BX98)&gt;=3),"L1,L2,L3",IFERROR(_xlfn.TEXTBEFORE(_xlfn.TEXTAFTER(_xlfn.XLOOKUP(A98,Щиты[Щит],Щиты[_фазы авто]),";"&amp;BA98&amp;":"),";"),"L1")))))</f>
        <v>L1</v>
      </c>
      <c r="FV98" t="str">
        <f t="shared" si="209"/>
        <v>L1</v>
      </c>
      <c r="FW98" t="str">
        <f t="shared" si="210"/>
        <v>L1</v>
      </c>
      <c r="FX98" cm="1">
        <f t="array" ref="FX98">IFERROR(IF(CD98=2,_xlfn.IFS(BX98=3,VLOOKUP(BS98,Справочная_двигатели,3,FALSE),BX98=1,VLOOKUP(BS98,Справочная_двигатели,5,TRUE)),0),0)</f>
        <v>0</v>
      </c>
      <c r="FY98">
        <f>IFERROR(IF(CD98=3,VLOOKUP(BS98,Справочная_ЛЭД,2,TRUE),0),0)</f>
        <v>0</v>
      </c>
      <c r="FZ98" s="6">
        <f t="shared" si="211"/>
        <v>0</v>
      </c>
      <c r="GA98" t="str">
        <f>IF(B98="","",IF(TRIM(AH98&amp;"")&lt;&gt;"",IF(LOWER(TRIM(AH98&amp;""))="да","да","нет"),IF(IFERROR(_xlfn.XLOOKUP(BC98,Коды_код,Коды_пожарная),"")="да","да","нет")))</f>
        <v>нет</v>
      </c>
      <c r="GB98" t="str">
        <f t="shared" si="212"/>
        <v/>
      </c>
      <c r="GC98" t="str">
        <f t="shared" si="213"/>
        <v>основная</v>
      </c>
      <c r="GD98">
        <f>IF(AND(BP98=1,TRIM(AE98&amp;"")=""),IF(COUNTIFS(Линии[Щит],A98,Линии[Секция (1/2/3)],"&gt;=2")&gt;0,MIN(3,MAX(1,IFERROR(--BD98,1))),1),IFERROR(MIN(3,MAX(1,INT(--AE98))),1))</f>
        <v>1</v>
      </c>
      <c r="GE98" t="str" cm="1">
        <f t="array" ref="GE98">IF(B98="","",_xlfn.LET(_xlpm.t,IFERROR(_xlfn.XLOOKUP(1,(Шины[Шина]=GC98)*(((Шины[Щит]=A98)+(Шины[Щит]=""))&gt;0),Шины[Тип]),"")&amp;"",IF(_xlpm.t&lt;&gt;"",_xlpm.t,IF(ISNUMBER(SEARCH("ИБП",GC98)),"ИБП",IF(ISNUMBER(SEARCH("ДГУ",GC98)),"ДГУ","Ввод "&amp;GD98)))))</f>
        <v>Ввод 1</v>
      </c>
      <c r="GF98" t="str">
        <f t="shared" si="214"/>
        <v>Ввод 1</v>
      </c>
      <c r="GG98" t="str">
        <f>IF(BP98=0,"",IF(TRIM(AG98&amp;"")&lt;&gt;"",TRIM(AG98&amp;""),IF(OR(GE98="ИБП",GE98="ДГУ"),"I особая",_xlfn.XLOOKUP(A98,Щиты[Щит],Щиты[Категория шины «Ввод»],"III"))))</f>
        <v/>
      </c>
      <c r="GH98" t="str">
        <f>IF(A98="","",_xlfn.XLOOKUP(A98,Щиты[Щит],Щиты[Путь],""))</f>
        <v>|ГРЩ-ЖД|ЩОВ-002|</v>
      </c>
      <c r="GI98" t="str">
        <f>IF(B98="","",IF(AI98&lt;&gt;"",AI98,IF(IFERROR(_xlfn.XLOOKUP(BC98,Коды_код,Коды_вид)&amp;"","")="","Прочее",_xlfn.XLOOKUP(BC98,Коды_код,Коды_вид)&amp;"")))</f>
        <v>Кондиционирование и увлажнение</v>
      </c>
      <c r="GJ98">
        <f>IF(BM98="","",INT((BM98-1)/Столбцов_на_лист)+1)</f>
        <v>2</v>
      </c>
      <c r="GK98" t="str">
        <f t="shared" si="215"/>
        <v>ВВГнг(А)-LS (3х1,5) L=18-0,11%</v>
      </c>
      <c r="GL98">
        <f t="shared" si="216"/>
        <v>0.104</v>
      </c>
      <c r="GM98">
        <f t="shared" si="217"/>
        <v>0.57000000000000006</v>
      </c>
      <c r="GN98">
        <f t="shared" si="218"/>
        <v>1</v>
      </c>
      <c r="GO98">
        <f t="shared" si="219"/>
        <v>0</v>
      </c>
      <c r="GP98">
        <f t="shared" si="220"/>
        <v>1</v>
      </c>
      <c r="GQ98">
        <f>IF(BM98="","",IF(AND(CG98=1,GP98=1),COUNTIFS(A$3:A98,A98,CG$3:CG98,1,GP$3:GP98,1),IF(OR(OR(BA98=1,A98&lt;&gt;A97),AJ98="вручную",GP98=0),"",IF(BA98=1,"",GR97))))</f>
        <v>10</v>
      </c>
      <c r="GR98">
        <f t="shared" si="221"/>
        <v>10</v>
      </c>
      <c r="GS98">
        <f>IF(B98="","",IFERROR(LOOKUP(INDEX(CHOOSE(EB98,Iдоп_1ж,Iдоп_2ж,Iдоп_3ж),MATCH(EN98,Iдоп_S,0))*DZ98*EA98,{6,10,16,20,25,32,40,50,63,80,100,125,160,200,250,315,400,500,630}),""))</f>
        <v>16</v>
      </c>
      <c r="GT98" t="str">
        <f t="shared" si="222"/>
        <v>QF10</v>
      </c>
      <c r="GU98" t="str">
        <f t="shared" si="223"/>
        <v>QF10</v>
      </c>
      <c r="GV98" t="str">
        <f t="shared" si="224"/>
        <v/>
      </c>
      <c r="GW98">
        <f t="shared" si="225"/>
        <v>0</v>
      </c>
      <c r="GX98" t="str">
        <f>IF(OR(B98="",DJ98=""),"",IFERROR(_xlfn.XLOOKUP(DJ98,Модули_умолч[Управление],Модули_умолч[Модель])&amp;"",""))</f>
        <v/>
      </c>
      <c r="GY98">
        <f>IF(DJ98="",1,IFERROR(MAX(0,N(_xlfn.XLOOKUP(DJ98,Модули_умолч[Управление],Модули_умолч[Каналов на линию]))),1))</f>
        <v>1</v>
      </c>
      <c r="GZ98" t="str">
        <f t="shared" si="226"/>
        <v/>
      </c>
      <c r="HA98" t="str">
        <f t="shared" si="227"/>
        <v/>
      </c>
      <c r="HB98" t="str">
        <f t="shared" si="228"/>
        <v/>
      </c>
      <c r="HC98">
        <f>IF(HB98="",0,IFERROR(N(VLOOKUP(HB98,Модули_спр,3,FALSE)),0))</f>
        <v>0</v>
      </c>
      <c r="HD98" t="str">
        <f t="shared" si="229"/>
        <v/>
      </c>
      <c r="HE98" t="str">
        <f t="shared" si="230"/>
        <v/>
      </c>
      <c r="HF98" t="str">
        <f>IF(OR(HE98="",HE98="-"),"",IFERROR(VLOOKUP(HE98,Модули_спр,2,FALSE),"R"))</f>
        <v/>
      </c>
      <c r="HG98" t="str">
        <f>IF(HF98="","",HF98&amp;"."&amp;COUNTIFS(A$3:A98,A98,HF$3:HF98,HF98))</f>
        <v/>
      </c>
      <c r="HH98" t="str">
        <f t="shared" si="231"/>
        <v/>
      </c>
      <c r="HI98" t="str">
        <f t="shared" si="232"/>
        <v/>
      </c>
      <c r="HJ98" t="str">
        <f t="shared" si="233"/>
        <v/>
      </c>
      <c r="HK98" t="str">
        <f t="shared" si="234"/>
        <v/>
      </c>
      <c r="HL98">
        <f t="shared" si="235"/>
        <v>1</v>
      </c>
      <c r="HM98" t="str">
        <f>IF(HL98=1,"XT"&amp;COUNTIFS(A$3:A98,A98,HL$3:HL98,1),"")</f>
        <v>XT10</v>
      </c>
      <c r="HN98" t="str">
        <f t="shared" si="236"/>
        <v/>
      </c>
      <c r="HO98" t="str">
        <f t="shared" si="237"/>
        <v>QF10</v>
      </c>
      <c r="HP98" t="str">
        <f t="shared" si="238"/>
        <v/>
      </c>
      <c r="HQ98" t="str">
        <f t="shared" si="239"/>
        <v>ok</v>
      </c>
      <c r="HR98" t="str">
        <f>IF(OR(HJ98="",HH98=""),"",IF(HJ98+MAX(0,GY98-1)&gt;IFERROR(VLOOKUP(HI98,Модули_спр,3,FALSE),99),"ЛИШНИЙ КАНАЛ",IF(AND(AL98&lt;&gt;"=",GY98&gt;0,COUNTIFS(Линии[_модуль гр.],HH98,Линии[Канал (итог)],HJ98,Линии[Канал],"&lt;&gt;=",Линии[Щит],A98)&gt;1),"ДУБЛЬ КАНАЛА","")))</f>
        <v/>
      </c>
      <c r="HS98" s="6" t="str">
        <f t="shared" si="240"/>
        <v/>
      </c>
      <c r="HT98">
        <f t="shared" si="241"/>
        <v>10</v>
      </c>
      <c r="HU98" t="str">
        <f t="shared" si="242"/>
        <v/>
      </c>
      <c r="HV98">
        <f t="shared" si="243"/>
        <v>0.40516660498395396</v>
      </c>
      <c r="HW98">
        <f t="shared" si="244"/>
        <v>0</v>
      </c>
      <c r="HX98">
        <f t="shared" si="245"/>
        <v>0</v>
      </c>
      <c r="HY98">
        <f t="shared" si="246"/>
        <v>0</v>
      </c>
      <c r="HZ98">
        <f t="shared" si="247"/>
        <v>0</v>
      </c>
      <c r="IA98">
        <f t="shared" si="248"/>
        <v>0</v>
      </c>
      <c r="IB98">
        <f t="shared" si="249"/>
        <v>0</v>
      </c>
      <c r="IC98" t="str">
        <f t="shared" si="250"/>
        <v/>
      </c>
      <c r="ID98" t="str" cm="1">
        <f t="array" ref="ID98">IF(IC98="","",_xlfn.LET(_xlpm.tk,_xlfn.TEXTSPLIT(SUBSTITUTE(SUBSTITUTE(IC98,";"," "),"→"," ")," ",,TRUE),_xlpm.w_,_xlfn._xlws.FILTER(_xlpm.tk,ISNUMBER(--LEFT(_xlpm.tk,1))*((ISNUMBER(SEARCH("W",_xlpm.tk))+ISNUMBER(SEARCH("Вт",_xlpm.tk)))&gt;0),""),IFERROR(--SUBSTITUTE(SUBSTITUTE(UPPER(INDEX(_xlpm.w_,1)),"W",""),"ВТ",""),"")))</f>
        <v/>
      </c>
      <c r="IE98" t="str" cm="1">
        <f t="array" ref="IE98">IF(IC98="","",_xlfn.LET(_xlpm.tk,_xlfn.TEXTSPLIT(SUBSTITUTE(SUBSTITUTE(IC98,";"," "),"→"," ")," ",,TRUE),_xlpm.v_,_xlfn._xlws.FILTER(_xlpm.tk,ISNUMBER(--LEFT(_xlpm.tk,1))*((ISNUMBER(SEARCH("V",_xlpm.tk))+(RIGHT(UPPER(_xlpm.tk))="В"))&gt;0),""),IFERROR(--SUBSTITUTE(SUBSTITUTE(UPPER(INDEX(_xlpm.v_,1)),"V",""),"В",""),"")))</f>
        <v/>
      </c>
      <c r="IF98" s="6" t="str">
        <f>IF(OR(BV98=0,HI98="",HJ98=""),"",IFERROR(N(_xlfn.XLOOKUP(HI98,Каталог!$C$4:$C$500,Каталог!$Q$4:$Q$500)),""))</f>
        <v/>
      </c>
      <c r="IG98" s="6" t="str">
        <f>IF(N(IF98)=0,"",SUMIFS(Линии[Iр, А],Линии[Щит],A98,Линии[_модуль гр.],HH98,Линии[Канал (итог)],HJ98))</f>
        <v/>
      </c>
      <c r="IH98" t="str">
        <f>IF(AND(B98="",HO98=""),"",_xlfn.TEXTJOIN("; ",TRUE,IF(AND(B98&lt;&gt;"",FV98=""),"нет фазы",""),IF(AND(B98&lt;&gt;"",N(GL98)=0,FG98&lt;&gt;"Нет"),"нет мощности",""),IF(AND(HN98&lt;&gt;"",COUNTIFS(Линии[Щит],A98,Линии[Клемма (итог)],HN98)&gt;1),"дубль клеммы "&amp;HN98,""),IF(AND(HQ98&lt;&gt;"",HQ98&lt;&gt;"ok"),HQ98,""),IF(HR98&lt;&gt;"",HR98,""),IF(AND(N(CB98)&gt;=4,N(BX98)=1),CB98&amp;" жил на 1 фазе",""),IF(AND(BC98="R",CG98=1,IF(CS98&lt;&gt;"",N(CV98)&gt;30,OR(N(DA98)=0,N(DA98)&gt;30))),"розетка без дифзащиты до 30 мА",""),IF(AND(CG98=1,N(DA98)&gt;0,ISNUMBER(T98)),IF(T98&gt;N(DA98)/3,"ток утечки "&amp;FIXED(T98,1)&amp;" мА &gt; 1/3 уставки ("&amp;DA98&amp;" мА)",""),""),IF(AND(CH98=1,CS98=""),"«узо»: нет строки с УЗО выше (УЗО 2P 40А 30мА в «Аппаратах»)",""),IF(AND(CS98&lt;&gt;"",CS98=BA98),IF(CT98="","впишите номинал УЗО (УЗО 2P 40А 30мА)",IF(N(CT98)&lt;N(DT98),"УЗО "&amp;CT98&amp;" А &lt; автомата "&amp;DT98&amp;" А перед ним",IF(N(CT98)&lt;N(CX98),"УЗО "&amp;CT98&amp;" А &lt; тока блока "&amp;FIXED(CX98,1)&amp;" А",""))),""),IF(AND(CS98&lt;&gt;"",CS98=BA98,ISNUMBER(CY98)),IF(CY98&gt;N(CV98)/3,"ток утечки блока УЗО "&amp;FIXED(CY98,1)&amp;" мА &gt; 1/3 уставки ("&amp;CV98&amp;" мА)",""),""),IF(AND(CG98=1,N(BV98)+N(IB98)&gt;0,IC98=""),"линии до 50 В без БП: впишите в «Аппараты» (БП 24V 480W)",""),IF(AND(CG98=1,ISNUMBER(ID98),ISNUMBER(U98)),IF(U98&gt;ID98,"БП "&amp;ID98&amp;" Вт &lt; нужно "&amp;U98&amp;" Вт (×"&amp;Запас_БП&amp;")",""),""),IF(AND(CG98=1,ISNUMBER(IE98),N(BV98)=1),IF(IE98&lt;&gt;N(BU98),"БП на "&amp;IE98&amp;" В, линия "&amp;BU98&amp;" В",""),""),IF(AND(N(IF98)&gt;0,N(IG98)&gt;N(IF98)),HH98&amp;" канал "&amp;HJ98&amp;": "&amp;FIXED(IG98,1)&amp;" А &gt; "&amp;IF98&amp;" А",""),IFERROR(IF(AND(ISNUMBER(Q98),Q98&gt;EL98),"потери "&amp;FIXED(Q98,1)&amp;" % &gt; "&amp;EL98&amp;" %",""),""),IFERROR(IF(LEFT(HU98,4)="мало","Iкз мало — отключение &gt; 0,4 с",""),""),IF(AND(B98&lt;&gt;"",BM98=""),"не на схеме",""),IF(AND(CG98=0,B98&lt;&gt;"",FV98&lt;&gt;"",IF(BA98=1,"",FW97)&lt;&gt;"",FV98&lt;&gt;IF(BA98=1,"",FW97)),"фаза не как у автомата группы ("&amp;IF(BA98=1,"",FW97)&amp;")","")))</f>
        <v/>
      </c>
      <c r="II98" s="6">
        <f>IF(OR(CG98=0,DQ98=""),"",_xlfn.LET(_xlpm.t,IFERROR(_xlfn.XLOOKUP(DQ98,Каталог!$U$4:$U$500,Каталог!$G$4:$G$500),""),_xlpm.k,SEARCH("кА",_xlpm.t),IFERROR(--TRIM(RIGHT(SUBSTITUTE(MID(_xlpm.t,MAX(1,_xlpm.k-4),_xlpm.k-MAX(1,_xlpm.k-4))," ",REPT(" ",9)),5)),"")))</f>
        <v>6</v>
      </c>
      <c r="IJ98" t="str">
        <f>IF(OR(II98="",CG98=0),"",IF(_xlfn.XLOOKUP(A98,Щиты[Щит],Щиты[Iкз max на шинах, кА],"")="","",IF(II98&lt;_xlfn.XLOOKUP(A98,Щиты[Щит],Щиты[Iкз max на шинах, кА]),"Icu "&amp;II98&amp;" кА &lt; Iкз max","ok")))</f>
        <v/>
      </c>
      <c r="IK98" t="str">
        <f t="shared" si="251"/>
        <v/>
      </c>
      <c r="IL98" t="str">
        <f t="shared" si="252"/>
        <v>QF10</v>
      </c>
      <c r="IM98" t="str">
        <f t="shared" si="253"/>
        <v>QF10|кабель ВВГнг(А)-LS (3х1,5) → Внутренний блок кондиционирования Подвальный этаж Пом. №004Т</v>
      </c>
      <c r="IN98" t="str" cm="1">
        <f t="array" ref="IN98">IF(IM98="","",_xlfn.LET(_xlpm.nd,_xlfn.TEXTSPLIT(IM98,"|"),IF(COLUMNS(_xlpm.nd)&gt;1,A98&amp;"¦"&amp;INDEX(_xlpm.nd,1)&amp;"¦"&amp;INDEX(_xlpm.nd,2),"")))</f>
        <v>ЩОВ-002¦QF10¦кабель ВВГнг(А)-LS (3х1,5) → Внутренний блок кондиционирования Подвальный этаж Пом. №004Т</v>
      </c>
      <c r="IO98" t="str">
        <f t="shared" si="254"/>
        <v>K.00.004T.2¦Внутренний блок кондиционирования Подвальный этаж Пом. №004Т</v>
      </c>
      <c r="IP98" t="str" cm="1">
        <f t="array" ref="IP98">IF(IM98="","",_xlfn.LET(_xlpm.nd,_xlfn.TEXTSPLIT(IM98,"|"),IF(COLUMNS(_xlpm.nd)&gt;2,A98&amp;"¦"&amp;INDEX(_xlpm.nd,2)&amp;"¦"&amp;INDEX(_xlpm.nd,3),"")))</f>
        <v/>
      </c>
      <c r="IQ98" t="str">
        <f t="shared" si="255"/>
        <v/>
      </c>
      <c r="IR98" t="str" cm="1">
        <f t="array" ref="IR98">IF(IM98="","",_xlfn.LET(_xlpm.nd,_xlfn.TEXTSPLIT(IM98,"|"),IF(COLUMNS(_xlpm.nd)&gt;3,A98&amp;"¦"&amp;INDEX(_xlpm.nd,3)&amp;"¦"&amp;INDEX(_xlpm.nd,4),"")))</f>
        <v/>
      </c>
      <c r="IS98" t="str">
        <f t="shared" si="256"/>
        <v/>
      </c>
      <c r="IT98" t="str" cm="1">
        <f t="array" ref="IT98">IF(IM98="","",_xlfn.LET(_xlpm.nd,_xlfn.TEXTSPLIT(IM98,"|"),IF(COLUMNS(_xlpm.nd)&gt;4,A98&amp;"¦"&amp;INDEX(_xlpm.nd,4)&amp;"¦"&amp;INDEX(_xlpm.nd,5),"")))</f>
        <v/>
      </c>
      <c r="IU98" t="str">
        <f t="shared" si="257"/>
        <v/>
      </c>
      <c r="IV98" t="str" cm="1">
        <f t="array" ref="IV98">IF(IM98="","",_xlfn.LET(_xlpm.nd,_xlfn.TEXTSPLIT(IM98,"|"),IF(COLUMNS(_xlpm.nd)&gt;5,A98&amp;"¦"&amp;INDEX(_xlpm.nd,5)&amp;"¦"&amp;INDEX(_xlpm.nd,6),"")))</f>
        <v/>
      </c>
      <c r="IW98" t="str">
        <f t="shared" si="258"/>
        <v/>
      </c>
      <c r="IX98" t="str" cm="1">
        <f t="array" ref="IX98">IF(IM98="","",_xlfn.LET(_xlpm.nd,_xlfn.TEXTSPLIT(IM98,"|"),IF(COLUMNS(_xlpm.nd)&gt;6,A98&amp;"¦"&amp;INDEX(_xlpm.nd,6)&amp;"¦"&amp;INDEX(_xlpm.nd,7),"")))</f>
        <v/>
      </c>
      <c r="IY98" t="str">
        <f t="shared" si="259"/>
        <v/>
      </c>
      <c r="IZ98" t="str">
        <f t="shared" si="260"/>
        <v/>
      </c>
      <c r="JA98" t="str">
        <f t="shared" si="261"/>
        <v>QF10</v>
      </c>
      <c r="JB98">
        <f t="shared" si="262"/>
        <v>0</v>
      </c>
      <c r="JC98">
        <f t="shared" si="263"/>
        <v>0</v>
      </c>
      <c r="JD98" t="str">
        <f t="shared" si="264"/>
        <v/>
      </c>
      <c r="JE98" t="str">
        <f t="shared" si="265"/>
        <v/>
      </c>
      <c r="JF98" t="str">
        <f t="shared" si="266"/>
        <v/>
      </c>
      <c r="JG98" t="str">
        <f t="shared" si="267"/>
        <v/>
      </c>
      <c r="JH98">
        <f>IF(B98="","",IFERROR(_xlfn.XLOOKUP(B98,Коды_код,Коды_уго),IFERROR(_xlfn.XLOOKUP(BC98,Коды_код,Коды_уго),IFERROR(_xlfn.XLOOKUP(LEFT(BC98,2),Коды_код,Коды_уго),""))))</f>
        <v>0</v>
      </c>
      <c r="JI98" t="str">
        <f>IF(B98="","",IF(OR(JH98="",JH98=0),"BOX",IFERROR(IF(VLOOKUP(JH98,УГО_блоки,3,FALSE)&amp;""&lt;&gt;"",VLOOKUP(JH98,УГО_блоки,3,FALSE),VLOOKUP(JH98,УГО_блоки,2,FALSE)),JH98)))</f>
        <v>BOX</v>
      </c>
      <c r="JJ98">
        <f t="shared" si="268"/>
        <v>1</v>
      </c>
      <c r="JK98" t="str">
        <f>IF(DQ98="","",IF(COUNTIF(DQ$3:DQ98,DQ98)=1,MAX(JK$2:JK97)+1,""))</f>
        <v/>
      </c>
      <c r="JL98" t="str">
        <f>IF(DE98="","",IF(COUNTIF(DE$3:DE98,DE98)+COUNTIF(DF$2:DF97,DE98)+COUNTIF(DG$2:DG97,DE98)=1,MAX(JL$2:JN97)+1,""))</f>
        <v/>
      </c>
      <c r="JM98" t="str">
        <f>IF(DF98="","",IF(COUNTIF(DE$3:DE98,DF98)+COUNTIF(DF$3:DF98,DF98)+COUNTIF(DG$2:DG97,DF98)=1,MAX(JL$2:JN97,JL98)+1,""))</f>
        <v/>
      </c>
      <c r="JN98" t="str">
        <f>IF(DG98="","",IF(COUNTIF(DE$3:DE98,DG98)+COUNTIF(DF$3:DF98,DG98)+COUNTIF(DG$3:DG98,DG98)=1,MAX(JL$2:JN97,JL98,JM98)+1,""))</f>
        <v/>
      </c>
      <c r="JO98" t="str">
        <f t="shared" si="269"/>
        <v>3х1,5</v>
      </c>
      <c r="JP98" t="str">
        <f>IF(JO98="","",IF(COUNTIF(JO$3:JO98,JO98)=1,MAX(JP$2:JP97)+1,""))</f>
        <v/>
      </c>
      <c r="JQ98" t="str">
        <f>IF(HG98="","",COUNTIF(HG$3:HG98,"?*"))</f>
        <v/>
      </c>
      <c r="JR98" t="str">
        <f>IF(OR(HG98="",HI98=""),"",IF(COUNTIFS(HG$3:HG98,"?*",HI$3:HI98,HI98)=1,MAX(JR$2:JR97)+1,""))</f>
        <v/>
      </c>
      <c r="JS98">
        <f t="shared" si="270"/>
        <v>0</v>
      </c>
      <c r="JT98">
        <f>IF(B98="","",COUNTIF(B$3:B98,"?*"))</f>
        <v>96</v>
      </c>
      <c r="JU98">
        <f>IF(HL98&lt;&gt;1,0,_xlfn.LET(_xlpm.k,MAX(IFERROR(--_xlfn.XLOOKUP(B98,Коды_код,Коды_3L),0),IFERROR(--_xlfn.XLOOKUP(BC98,Коды_код,Коды_3L),0),IFERROR(--_xlfn.XLOOKUP(LEFT(BC98,2),Коды_код,Коды_3L),0)),IF(_xlpm.k&gt;0,_xlpm.k,IF(IFERROR(--LEFT(SUBSTITUTE(JO98,"x","х"),FIND("х",SUBSTITUTE(JO98,"x","х"))-1),3)&gt;3,Каталог!$S$9,1))))</f>
        <v>1</v>
      </c>
      <c r="JV98">
        <f t="shared" si="271"/>
        <v>0</v>
      </c>
      <c r="JW98" t="str">
        <f t="shared" si="272"/>
        <v>авто</v>
      </c>
      <c r="JX98" t="str">
        <f t="shared" si="273"/>
        <v/>
      </c>
      <c r="JY98">
        <f t="shared" si="274"/>
        <v>0</v>
      </c>
      <c r="JZ98">
        <f t="shared" si="275"/>
        <v>1</v>
      </c>
    </row>
    <row r="99" spans="1:286" x14ac:dyDescent="0.3">
      <c r="A99" t="s">
        <v>749</v>
      </c>
      <c r="B99" t="s">
        <v>1411</v>
      </c>
      <c r="C99" t="s">
        <v>1665</v>
      </c>
      <c r="D99">
        <v>1</v>
      </c>
      <c r="E99">
        <v>0.104</v>
      </c>
      <c r="G99">
        <v>10</v>
      </c>
      <c r="H99" t="str">
        <f>Линии[[#This Row],[_авто управление]]</f>
        <v/>
      </c>
      <c r="I99" t="str">
        <f>Линии[[#This Row],[_авто аппараты]]</f>
        <v/>
      </c>
      <c r="J99">
        <v>1.5</v>
      </c>
      <c r="K99">
        <v>31</v>
      </c>
      <c r="L99">
        <v>1</v>
      </c>
      <c r="M99" t="s">
        <v>484</v>
      </c>
      <c r="N99" t="str">
        <f t="shared" si="138"/>
        <v/>
      </c>
      <c r="O99" s="6" cm="1">
        <f t="array" ref="O99">IF(B99="","",IF(BH99&lt;&gt;"",IFERROR(_xlfn.XLOOKUP(BH99,Щиты[Щит],Щиты[Iр, А]),""),IF(BP99=1,IF(OR(N(_xlfn.XLOOKUP(A99,Щиты[Щит],Щиты[Вводов],1))&lt;=1,LOWER(TRIM(_xlfn.XLOOKUP(A99,Щиты[Щит],Щиты[АВР],"")&amp;""))="да"),IFERROR(_xlfn.XLOOKUP(A99,Щиты[Щит],Щиты[Iр, А]),""),IFERROR(N(BS99)*_xlfn.XLOOKUP(A99,Щиты[Щит],Щиты[Кс итог])/(SQRT(3)*Uн_лин*_xlfn.XLOOKUP(A99,Щиты[Щит],Щиты[cos φ])),"")),IF(BV99=1,IFERROR(BS99*1000/BU99,""),IFERROR(_xlfn.IFS(BX99=1,BS99/((Uн_лин/SQRT(3))*CE99),BX99=3,BS99/(SQRT(3)*Uн_лин*CE99)),"")))))</f>
        <v>0.56291651245988494</v>
      </c>
      <c r="P99" s="7">
        <f>IF(B99="","",IFERROR(IF(VLOOKUP(BC99,Потребители_обозначение,4,FALSE)=1,VLOOKUP(BC99,Потребители_обозначение,3,FALSE)*(MAX(1,N(D99))*2-1)+EI99+VLOOKUP(BE99,Этаж_обозначение,3,FALSE)+VLOOKUP(BE99,Этаж_обозначение,4,FALSE),VLOOKUP(BC99,Потребители_обозначение,3,FALSE)*(MAX(1,N(D99))*2-1)+EI99),EI99))</f>
        <v>33</v>
      </c>
      <c r="Q99" s="6">
        <f t="shared" si="139"/>
        <v>0.94</v>
      </c>
      <c r="R99" t="str">
        <f t="shared" si="140"/>
        <v>ВВГнг(А)-LS (3х1,5)</v>
      </c>
      <c r="S99" t="str">
        <f>IF(BM99="","",IF(BN99="вводной узел","узел ","")&amp;"л."&amp;(INT((BM99-1)/Столбцов_на_лист)+1)&amp;" / "&amp;(MOD(BM99-1,Столбцов_на_лист)+1))</f>
        <v>л.2 / 12</v>
      </c>
      <c r="T99" s="119">
        <f t="shared" si="141"/>
        <v>0.6</v>
      </c>
      <c r="U99" s="7" t="str">
        <f>IF(OR(CG99=0,N(BV99)+N(IB99)=0),"",ROUNDUP(Запас_БП*(N(HY99)+N(HZ99)),0))</f>
        <v/>
      </c>
      <c r="V99" s="119" t="str">
        <f t="shared" si="142"/>
        <v/>
      </c>
      <c r="W99" s="7" t="str">
        <f>IFERROR(IF(OR(B99="",BP99=1,BV99=1,NOT(ISNUMBER(EN99)),N(DT99)=0),"",MAX(0,ROUNDDOWN((c_min*(Uн_лин*1000/SQRT(3))/(HT99*N(DT99))-_xlfn.XLOOKUP(A99,Щиты[Щит],Щиты[Zпетли на шинах, Ом]))*EN99/(2*ρкз_Cu),0))),"")</f>
        <v/>
      </c>
      <c r="Y99" t="str">
        <f>Линии[[#This Row],[_авто утечка]]</f>
        <v/>
      </c>
      <c r="Z99">
        <v>1</v>
      </c>
      <c r="AA99">
        <v>230</v>
      </c>
      <c r="AB99" t="s">
        <v>598</v>
      </c>
      <c r="AC99">
        <v>0.5</v>
      </c>
      <c r="AG99" t="s">
        <v>810</v>
      </c>
      <c r="AI99" t="s">
        <v>576</v>
      </c>
      <c r="AK99" t="str">
        <f>Линии[[#This Row],[_авто модуль]]</f>
        <v/>
      </c>
      <c r="AM99">
        <v>29</v>
      </c>
      <c r="AN99" t="s">
        <v>11</v>
      </c>
      <c r="AO99">
        <v>3</v>
      </c>
      <c r="AQ99">
        <v>14</v>
      </c>
      <c r="AR99">
        <v>19</v>
      </c>
      <c r="AT99">
        <v>1</v>
      </c>
      <c r="BA99" cm="1">
        <f t="array" ref="BA99">ROW()-ROW(Линии[#Headers])</f>
        <v>97</v>
      </c>
      <c r="BC99" s="6" t="str">
        <f t="shared" si="143"/>
        <v>K</v>
      </c>
      <c r="BD99" t="str">
        <f t="shared" si="144"/>
        <v>00.007A</v>
      </c>
      <c r="BE99" t="str">
        <f t="shared" si="145"/>
        <v>00</v>
      </c>
      <c r="BF99" t="str">
        <f t="shared" si="146"/>
        <v>007A</v>
      </c>
      <c r="BG99" t="str">
        <f t="shared" si="147"/>
        <v>007A</v>
      </c>
      <c r="BH99" t="str">
        <f>IF(X99&lt;&gt;"",X99,IF(AND(B99&lt;&gt;"",B99&lt;&gt;A99,ISNUMBER(_xlfn.XMATCH(B99,Щиты[Щит]))),B99,""))</f>
        <v/>
      </c>
      <c r="BI99" t="str" cm="1">
        <f t="array" ref="BI99">IF(B99="","",IF(BH99&lt;&gt;"","Щит "&amp;BH99,_xlfn.LET(_xlpm.nm,IFERROR(_xlfn.XLOOKUP(BC99,Коды_код,Коды_имя)&amp;"",""),_xlpm.md,IFERROR(N(_xlfn.XLOOKUP(BC99,Коды_код,Коды_режим)),1),_xlpm.ex,IF(Имя_режим="по экспликации",IFERROR(_xlfn.XLOOKUP(BE99&amp;"|"&amp;BG99,Экспликация[Этаж]&amp;"|"&amp;Экспликация[Помещение],Экспликация[Название])&amp;"",""),""),_xlpm.rm,IF(BG99="","",IF(_xlpm.ex&lt;&gt;"",". "&amp;_xlpm.ex&amp;IF(Имя_пом="нет"," ("&amp;BG99&amp;")"," (пом. "&amp;BG99&amp;")"),IF(Имя_пом="нет"," ",", пом. ")&amp;BG99)),IF(_xlpm.nm="","",IF(_xlpm.md=2,_xlpm.nm&amp;" шлейф "&amp;BE99,_xlpm.nm&amp;_xlpm.rm)))))</f>
        <v>Внутренний блок кондиционирования, пом. 007A</v>
      </c>
      <c r="BJ99" t="str">
        <f t="shared" si="148"/>
        <v>Внутренний блок кондиционирования Подвальный этаж Пом. №002Б</v>
      </c>
      <c r="BK99">
        <f>IFERROR(_xlfn.XMATCH(A99,Щиты[Щит]),0)</f>
        <v>5</v>
      </c>
      <c r="BL99">
        <f>_xlfn.LET(_xlpm.k,IFERROR(_xlfn.XLOOKUP(A99,Щиты[Щит],Щиты[Мест под вводной узел]),""),IF(_xlpm.k="",Столбцов_на_лист,N(_xlpm.k)))</f>
        <v>18</v>
      </c>
      <c r="BM99">
        <f t="shared" si="149"/>
        <v>29</v>
      </c>
      <c r="BN99" t="str">
        <f t="shared" si="150"/>
        <v>линии</v>
      </c>
      <c r="BO99" s="6">
        <f>IFERROR(N(_xlfn.XLOOKUP(BC99,Коды_код,Коды_квт)),0)</f>
        <v>0</v>
      </c>
      <c r="BP99">
        <f t="shared" si="151"/>
        <v>0</v>
      </c>
      <c r="BQ99" t="str">
        <f>IF(B99="","",IF(BH99&lt;&gt;"",IFERROR(_xlfn.XLOOKUP(BH99,Щиты[Щит],Щиты[Руст, кВт]),0),IF(BP99=1,IF(OR(N(_xlfn.XLOOKUP(A99,Щиты[Щит],Щиты[Вводов],1))&lt;=1,LOWER(TRIM(_xlfn.XLOOKUP(A99,Щиты[Щит],Щиты[АВР],"")&amp;""))="да"),IFERROR(_xlfn.XLOOKUP(A99,Щиты[Щит],Щиты[Руст, кВт]),0),SUMIFS(Линии[_Р для вводов],Линии[Щит],A99,Линии[Источник для режимов],GF99)),IF(BO99&gt;0,ROUND(BO99*MAX(1,N(D99)),3),""))))</f>
        <v/>
      </c>
      <c r="BR99">
        <f t="shared" si="152"/>
        <v>0.104</v>
      </c>
      <c r="BS99" s="6">
        <f>IF(B99="","",IF(BH99&lt;&gt;"",IFERROR(_xlfn.XLOOKUP(BH99,Щиты[Щит],Щиты[Руст, кВт]),0),N(BR99)))</f>
        <v>0.104</v>
      </c>
      <c r="BT99" t="str">
        <f>IF(B99="","",IFERROR(IF(VLOOKUP(BC99,Потребители_обозначение,8,FALSE)=0,"",VLOOKUP(BC99,Потребители_обозначение,8,FALSE)),""))</f>
        <v/>
      </c>
      <c r="BU99">
        <f t="shared" si="153"/>
        <v>230</v>
      </c>
      <c r="BV99">
        <f t="shared" si="154"/>
        <v>0</v>
      </c>
      <c r="BW99">
        <f>IF(B99="","",IF(BH99&lt;&gt;"",3,IFERROR(IF(N(VLOOKUP(BC99,Потребители_обозначение,9,FALSE))=0,1,VLOOKUP(BC99,Потребители_обозначение,9,FALSE)),1)))</f>
        <v>1</v>
      </c>
      <c r="BX99">
        <f t="shared" si="155"/>
        <v>1</v>
      </c>
      <c r="BY99" t="str">
        <f>IF(B99="","",_xlfn.LET(_xlpm.bc,IFERROR(IF(VLOOKUP(BC99,Потребители_обозначение,6,FALSE)=0,"",VLOOKUP(BC99,Потребители_обозначение,6,FALSE)&amp;""),""),IF(AND(GA99="да",OR(_xlpm.bc="",_xlpm.bc="мс")),Марка_пож,IF(AND(_xlpm.bc="",BH99&lt;&gt;""),"мс",_xlpm.bc))))</f>
        <v/>
      </c>
      <c r="BZ99" t="str">
        <f t="shared" si="156"/>
        <v>мс</v>
      </c>
      <c r="CA99">
        <f>IF(B99="","",_xlfn.LET(_xlpm.cc,IFERROR(N(VLOOKUP(BC99,Потребители_обозначение,7,FALSE)),0),IF(_xlpm.cc&gt;0,_xlpm.cc,IF(BZ99="","",IF(BV99=1,2,IF(N(BX99)=3,5,3))))))</f>
        <v>3</v>
      </c>
      <c r="CB99">
        <f t="shared" si="157"/>
        <v>3</v>
      </c>
      <c r="CC99">
        <f>IFERROR(N(VLOOKUP(BC99,Потребители_обозначение,10,FALSE)),0)</f>
        <v>0</v>
      </c>
      <c r="CD99">
        <f>IFERROR(VLOOKUP(BC99,Потребители_обозначение,5,FALSE),0)</f>
        <v>1</v>
      </c>
      <c r="CE99" s="6" cm="1">
        <f t="array" ref="CE99">IF(B99="","",IF(BH99&lt;&gt;"",IFERROR(_xlfn.XLOOKUP(BH99,Щиты[Щит],Щиты[cos φ]),0.95),IF(BP99=1,IFERROR(_xlfn.XLOOKUP(A99,Щиты[Щит],Щиты[cos φ]),0.95),IF(ISNUMBER(AD99),AD99,IFERROR(IF(CD99=2,_xlfn.IFS(BX99=3,VLOOKUP(BS99,Справочная_двигатели,8,FALSE),BX99=1,VLOOKUP(BS99,Справочная_двигатели,10,TRUE)),IF(AND(Методика="нормы 2026",FG99="Сил"),0.8,0.95)),0.95)))))</f>
        <v>0.8</v>
      </c>
      <c r="CF99">
        <f t="shared" si="158"/>
        <v>0</v>
      </c>
      <c r="CG99">
        <f t="shared" si="159"/>
        <v>1</v>
      </c>
      <c r="CH99">
        <f t="shared" si="160"/>
        <v>0</v>
      </c>
      <c r="CI99">
        <f>IF(B99="","",IF(BV99=1,IFERROR(BS99/((Uн_лин/SQRT(3))*MAX(0.5,N(CE99))),0),N(O99)))</f>
        <v>0.56291651245988494</v>
      </c>
      <c r="CJ99">
        <f t="shared" si="161"/>
        <v>0</v>
      </c>
      <c r="CK99">
        <f t="shared" si="162"/>
        <v>0</v>
      </c>
      <c r="CL99">
        <f t="shared" si="163"/>
        <v>0</v>
      </c>
      <c r="CM99">
        <f t="shared" si="164"/>
        <v>0</v>
      </c>
      <c r="CN99">
        <f t="shared" si="165"/>
        <v>0</v>
      </c>
      <c r="CO99">
        <f>IF(BC99="",0,_xlfn.LET(_xlpm.v,IFERROR(_xlfn.XLOOKUP(B99,Коды_код,Коды_мА),IFERROR(_xlfn.XLOOKUP(BC99,Коды_код,Коды_мА),IFERROR(_xlfn.XLOOKUP(LEFT(BC99,2),Коды_код,Коды_мА),""))),IF(_xlpm.v="да",30,IF(ISNUMBER(_xlpm.v),_xlpm.v,0))))</f>
        <v>0</v>
      </c>
      <c r="CP99" t="str">
        <f t="shared" si="166"/>
        <v/>
      </c>
      <c r="CQ99" t="str">
        <f>_xlfn.LET(_xlpm.k,IFERROR(_xlfn.XLOOKUP(BC99,Коды_код,Коды_утечка)&amp;"",""),IF(_xlpm.k="","дифавтомат",_xlpm.k))</f>
        <v>дифавтомат</v>
      </c>
      <c r="CR99" t="str" cm="1">
        <f t="array" ref="CR99">IF(CG99=0,"",_xlfn.LET(_xlpm.sg,TRIM(_xlfn.TEXTSPLIT(DD99&amp;"",";")),_xlpm.f_,_xlfn._xlws.FILTER(_xlpm.sg,LEFT(_xlpm.sg,3)="УЗО",""),IFERROR(INDEX(_xlpm.f_,1)&amp;"","")))</f>
        <v/>
      </c>
      <c r="CS99" t="str">
        <f t="shared" si="167"/>
        <v/>
      </c>
      <c r="CT99" s="6" t="str" cm="1">
        <f t="array" ref="CT99">IF(CR99="","",_xlfn.LET(_xlpm.tk,_xlfn.TEXTSPLIT(UPPER(CR99)," ",,TRUE),_xlpm.a_,_xlfn._xlws.FILTER(_xlpm.tk,ISNUMBER(--LEFT(_xlpm.tk,1))*((ISNUMBER(SEARCH("А",_xlpm.tk))+ISNUMBER(SEARCH("A",_xlpm.tk)))&gt;0)*NOT(ISNUMBER(SEARCH("МА",_xlpm.tk)))*NOT(ISNUMBER(SEARCH("MA",_xlpm.tk))),""),IFERROR(--SUBSTITUTE(SUBSTITUTE(INDEX(_xlpm.a_,1),"А",""),"A",""),"")))</f>
        <v/>
      </c>
      <c r="CU99" t="str" cm="1">
        <f t="array" ref="CU99">IF(CR99="","",_xlfn.LET(_xlpm.tk,_xlfn.TEXTSPLIT(UPPER(CR99)," ",,TRUE),_xlpm.a_,_xlfn._xlws.FILTER(_xlpm.tk,ISNUMBER(--LEFT(_xlpm.tk,1))*((ISNUMBER(SEARCH("МА",_xlpm.tk))+ISNUMBER(SEARCH("MA",_xlpm.tk)))&gt;0),""),IFERROR(--SUBSTITUTE(SUBSTITUTE(INDEX(_xlpm.a_,1),"МА",""),"MA",""),30)))</f>
        <v/>
      </c>
      <c r="CV99" t="str">
        <f>IF(CS99="","",IFERROR(_xlfn.XLOOKUP(CS99,Линии[_n],Линии[_УЗО, мА]),30))</f>
        <v/>
      </c>
      <c r="CW99">
        <f>IF(CS99="",0,IF(ISNUMBER(SEARCH("4P",IFERROR(_xlfn.XLOOKUP(CS99,Линии[_n],Линии[_УЗО строки])&amp;"",""))),0,1))</f>
        <v>0</v>
      </c>
      <c r="CX99" t="str">
        <f>IF(AND(CS99&lt;&gt;"",CS99=BA99),SUMIFS(Линии[_ток на 230 В],Линии[_блок УЗО],BA99,Линии[Щит],A99),"")</f>
        <v/>
      </c>
      <c r="CY99" t="str">
        <f>IF(AND(CS99&lt;&gt;"",CS99=BA99),SUMIFS(Линии[_ток утечки линии, мА],Линии[_блок УЗО],BA99,Линии[Щит],A99),"")</f>
        <v/>
      </c>
      <c r="CZ99">
        <f t="shared" si="168"/>
        <v>0</v>
      </c>
      <c r="DA99">
        <f t="shared" si="169"/>
        <v>0</v>
      </c>
      <c r="DB99">
        <f>IF(B99="",0,IFERROR(--_xlfn.XLOOKUP(B99,Коды_код,Коды_минавт),IFERROR(--_xlfn.XLOOKUP(BC99,Коды_код,Коды_минавт),IFERROR(--_xlfn.XLOOKUP(LEFT(BC99,2),Коды_код,Коды_минавт),0))))</f>
        <v>0</v>
      </c>
      <c r="DC99" t="str">
        <f>IF(B99="","",IFERROR(_xlfn.XLOOKUP(BC99,Коды_код,Коды_апп)&amp;"",""))</f>
        <v/>
      </c>
      <c r="DD99" t="str">
        <f t="shared" si="170"/>
        <v/>
      </c>
      <c r="DE99" t="str" cm="1">
        <f t="array" ref="DE99">IF(TRIM(DD99&amp;"")="","",IFERROR(TRIM(INDEX(_xlfn.TEXTSPLIT(DD99&amp;";;;",";"),1)),""))</f>
        <v/>
      </c>
      <c r="DF99" t="str" cm="1">
        <f t="array" ref="DF99">IF(TRIM(DD99&amp;"")="","",IFERROR(TRIM(INDEX(_xlfn.TEXTSPLIT(DD99&amp;";;;",";"),2)),""))</f>
        <v/>
      </c>
      <c r="DG99" t="str" cm="1">
        <f t="array" ref="DG99">IF(TRIM(DD99&amp;"")="","",IFERROR(TRIM(INDEX(_xlfn.TEXTSPLIT(DD99&amp;";;;",";"),3)),""))</f>
        <v/>
      </c>
      <c r="DH99">
        <f t="shared" si="171"/>
        <v>0</v>
      </c>
      <c r="DI99" t="str">
        <f>IF(B99="","",_xlfn.LET(_xlpm.t,LOWER(AZ99&amp;""),IF(ISNUMBER(SEARCH("dim",_xlpm.t)),"DIM",IF(ISNUMBER(SEARCH("dali",_xlpm.t)),"DALI",IF(OR(ISNUMBER(SEARCH("relay",_xlpm.t)),ISNUMBER(SEARCH("реле",_xlpm.t))),"Relay",IF(ISNUMBER(SEARCH("кнопк",_xlpm.t)),"",IFERROR(_xlfn.XLOOKUP(BC99,Коды_код,Коды_упр)&amp;"","")))))))</f>
        <v/>
      </c>
      <c r="DJ99" t="str">
        <f t="shared" si="172"/>
        <v/>
      </c>
      <c r="DK99">
        <f>IF(B99="","",_xlfn.LET(_xlpm.ig,IF(N(CX99)&gt;0,N(CX99),N(CI99)+IF(AJ99="вручную",0,N(CJ99))),_xlpm.n0,IFERROR(VLOOKUP(_xlpm.ig,Автомат_номиналы,2,TRUE),0),_xlpm.mn,MAX(DB99,IF(AJ99="вручную",0,N(CM99))),MAX(_xlpm.n0,_xlpm.mn,IF(DH99=1,Мин_автомат_БП,0))))</f>
        <v>6</v>
      </c>
      <c r="DL99">
        <f t="shared" si="173"/>
        <v>1</v>
      </c>
      <c r="DM99" t="str">
        <f t="shared" si="174"/>
        <v>1P</v>
      </c>
      <c r="DN99" t="str">
        <f>_xlfn.LET(_xlpm.cc,UPPER(TRIM(IFERROR(_xlfn.XLOOKUP(BC99,Коды_код,Коды_хар)&amp;"",""))),IF(OR(_xlpm.cc="B",_xlpm.cc="В"),"B",IF(_xlpm.cc="D","D","С")))</f>
        <v>С</v>
      </c>
      <c r="DO99" t="str">
        <f t="shared" si="175"/>
        <v>1P С6А</v>
      </c>
      <c r="DP99">
        <f t="shared" si="176"/>
        <v>10</v>
      </c>
      <c r="DQ99" t="str">
        <f t="shared" si="177"/>
        <v>1P С10А</v>
      </c>
      <c r="DR99" cm="1">
        <f t="array" ref="DR99">IF(DQ99="","",_xlfn.LET(_xlpm.t,SUBSTITUTE(SUBSTITUTE(SUBSTITUTE(UPPER(DQ99),"С","C"),"А","A"),"В","B"),_xlpm.tk,_xlfn.TEXTSPLIT(_xlpm.t," "),_xlpm.f,_xlfn._xlws.FILTER(_xlpm.tk,ISNUMBER(--MID(_xlpm.tk,2,1))*ISNUMBER(SEARCH(LEFT(_xlpm.tk,1)&amp;"#","B#C#D#"))*(LEN(_xlpm.tk)&gt;1),""),_xlpm.x,INDEX(_xlpm.f,1),IFERROR(--SUBSTITUTE(MID(_xlpm.x,2,9),"A",""),IFERROR(--SUBSTITUTE(INDEX(_xlfn._xlws.FILTER(_xlpm.tk,ISNUMBER(--SUBSTITUTE(_xlpm.tk,"A","")),""),1),"A",""),""))))</f>
        <v>10</v>
      </c>
      <c r="DS99" t="str">
        <f t="shared" si="178"/>
        <v>ok</v>
      </c>
      <c r="DT99">
        <f t="shared" si="179"/>
        <v>10</v>
      </c>
      <c r="DU99" t="str">
        <f t="shared" si="180"/>
        <v>1P С10А</v>
      </c>
      <c r="DV99">
        <f t="shared" si="181"/>
        <v>0</v>
      </c>
      <c r="DW99">
        <f t="shared" si="182"/>
        <v>0</v>
      </c>
      <c r="DX99">
        <f t="shared" si="183"/>
        <v>0</v>
      </c>
      <c r="DY99">
        <f t="shared" si="184"/>
        <v>0.56291651245988494</v>
      </c>
      <c r="DZ99">
        <f t="shared" si="185"/>
        <v>1</v>
      </c>
      <c r="EA99">
        <f>IF(ISNUMBER(AP99),AP99,К_прокл)</f>
        <v>1</v>
      </c>
      <c r="EB99">
        <f t="shared" si="186"/>
        <v>2</v>
      </c>
      <c r="EC99">
        <f>IFERROR(N(VLOOKUP(BZ99,Кабель_обозначение,3,FALSE)),1)</f>
        <v>1</v>
      </c>
      <c r="ED99">
        <f>IFERROR(N(_xlfn.XLOOKUP(A99,Щиты[Щит],Щиты[ΔU до шин, %])),0)</f>
        <v>0.74</v>
      </c>
      <c r="EE99" t="str">
        <f>IFERROR(_xlfn.XLOOKUP(A99,Щиты[Щит],Щиты[Zпетли на шинах, Ом]),"")</f>
        <v/>
      </c>
      <c r="EF99">
        <f>IFERROR(N(_xlfn.XLOOKUP(A99,Щиты[Щит],Щиты[ΔU до шин (подбор), %])),0)</f>
        <v>1.96</v>
      </c>
      <c r="EG99" t="str">
        <f>IFERROR(_xlfn.XLOOKUP(A99,Щиты[Щит],Щиты[Zпетли на шинах (подбор), Ом]),"")</f>
        <v/>
      </c>
      <c r="EH99" t="str">
        <f t="shared" si="187"/>
        <v/>
      </c>
      <c r="EI99">
        <f t="shared" si="188"/>
        <v>31</v>
      </c>
      <c r="EJ99">
        <f t="shared" si="189"/>
        <v>2</v>
      </c>
      <c r="EK99">
        <f t="shared" si="190"/>
        <v>0.6</v>
      </c>
      <c r="EL99" s="6">
        <f>IF(B99="","",IF(BV99=1,dU_LED,IF(IFERROR(_xlfn.XLOOKUP(BC99,Коды_код,Коды_уго),"")="Светильник",3,4)+IF(Методика="нормы 2026",MIN(0.5,MAX(0,N(P99)-100)*0.005),0)))</f>
        <v>4</v>
      </c>
      <c r="EM99" cm="1">
        <f t="array" ref="EM99">IF(OR(B99="",BZ99="",EC99&lt;&gt;1),"",_xlfn.LET(_xlpm.sz,Iдоп_S,_xlpm.t_,CHOOSE(EB99,Iдоп_1ж,Iдоп_2ж,Iдоп_3ж)*DZ99*EA99,_xlpm.dcx,BV99=1,_xlpm.inn,IF(_xlpm.dcx,N(O99),N(DT99)),_xlpm.smin,MAX(1.5,CC99),_xlpm.L_,N(P99)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99)/N(BU99)*100,999),IFERROR(N(EJ99)*(_xlpm.rho*_xlpm.L_/_xlpm.sz*N(CE99)+_xlpm.xx*_xlpm.L_*N(EK99)/1000)*N(O99)/((Uн_лин/SQRT(3))*1000)*100,999)),_xlpm.kz,IF(OR(_xlpm.dcx,DW99=1,NOT(ISNUMBER(EG99)),_xlpm.L_=0,_xlpm.inn=0),1,IFERROR(--(c_min*(Uн_лин*1000/SQRT(3))/(EG99+2*ρкз_Cu*_xlpm.L_/_xlpm.sz)&gt;=HT99*_xlpm.inn),0)),_xlpm.ok,IFERROR((_xlpm.sz&gt;=_xlpm.smin)*(_xlpm.t_&gt;=_xlpm.inn)*IF(_xlpm.L_&gt;0,(_xlpm.du_+IF(_xlpm.dcx,0,EF99)&lt;=EL99+0.00001),1)*_xlpm.kz,0),_xlpm.r_,_xlfn._xlws.FILTER(_xlpm.sz,_xlpm.ok,"не подобрано"),INDEX(_xlpm.r_,1)))</f>
        <v>1.5</v>
      </c>
      <c r="EN99">
        <f t="shared" si="191"/>
        <v>1.5</v>
      </c>
      <c r="EO99" cm="1">
        <f t="array" ref="EO99">IF(OR(B99="",BZ99="",EC99&lt;&gt;1),"",_xlfn.LET(_xlpm.sz,Iдоп_S,_xlpm.t_,CHOOSE(EB99,Iдоп_1ж,Iдоп_2ж,Iдоп_3ж)*DZ99*EA99,_xlpm.ok,IFERROR((_xlpm.sz&gt;=MAX(1.5,CC99))*(_xlpm.t_&gt;=N(DT99)),0),_xlpm.r_,_xlfn._xlws.FILTER(_xlpm.sz,_xlpm.ok,""),INDEX(_xlpm.r_,1)))</f>
        <v>1.5</v>
      </c>
      <c r="EP99" s="6" cm="1">
        <f t="array" ref="EP99">IFERROR(ROUNDUP(N(EJ99)*(_xlfn.XLOOKUP(EO99,INDEX(Кабель_сопротивление,0,1),INDEX(Кабель_сопротивление,0,3))*N(P99)/EO99*N(CE99)+_xlfn.XLOOKUP(EO99,INDEX(Кабель_сопротивление,0,1),INDEX(Кабель_сопротивление,0,2))*N(P99)*N(EK99)/1000)*N(O99)/((Uн_лин/SQRT(3))*1000)*100,2),"")</f>
        <v>0.2</v>
      </c>
      <c r="EQ99">
        <f>IFERROR(2*ρкз_Cu*N(P99)/EO99,"")</f>
        <v>1.1572</v>
      </c>
      <c r="ER99">
        <f>IFERROR(VLOOKUP(EN99,Кабель_сопротивление,3,FALSE),"")</f>
        <v>2.2499999999999999E-2</v>
      </c>
      <c r="ES99">
        <f>IFERROR(VLOOKUP(EN99,Кабель_сопротивление,2,FALSE),"")</f>
        <v>0.11</v>
      </c>
      <c r="ET99">
        <f t="shared" si="192"/>
        <v>19</v>
      </c>
      <c r="EU99">
        <f t="shared" si="193"/>
        <v>0</v>
      </c>
      <c r="EV99">
        <f t="shared" si="194"/>
        <v>0.44828194219650414</v>
      </c>
      <c r="EW99" s="6">
        <f>IFERROR(ROUNDUP(EV99/IF(BV99=1,BU99,(Uн_лин/SQRT(3))*1000)*100,2),"")</f>
        <v>0.2</v>
      </c>
      <c r="EX99" t="str">
        <f>IFERROR(VLOOKUP(BZ99,Кабель_обозначение,2,FALSE),"")</f>
        <v>ВВГнг(А)-LS</v>
      </c>
      <c r="EY99" t="str">
        <f t="shared" si="195"/>
        <v>ВВГнг(А)-LS (3х1,5)</v>
      </c>
      <c r="EZ99" t="str">
        <f t="shared" si="196"/>
        <v>ВВГнг(А)-LS (3х1,5)
L=33-0,2%</v>
      </c>
      <c r="FA99">
        <f>IFERROR(2*ρкз_Cu*P99/EN99,"")</f>
        <v>1.1572</v>
      </c>
      <c r="FB99">
        <f t="shared" si="197"/>
        <v>0.38500000000000001</v>
      </c>
      <c r="FC99" s="6" t="str">
        <f>IFERROR(IF(OR(B99="",BV99=1,NOT(ISNUMBER(EN99)),N(P99)=0),"",_xlfn.XLOOKUP(A99,Щиты[Щит],Щиты[Zпетли на шинах, Ом])+FA99),"")</f>
        <v/>
      </c>
      <c r="FD99" s="6" t="str">
        <f>IF(ISNUMBER(FC99),c_min*(Uн_лин*1000/SQRT(3))/FC99,"")</f>
        <v/>
      </c>
      <c r="FE99" s="6" t="str">
        <f>IFERROR(IF(OR(B99="",NOT(ISNUMBER(EN99))),"",1.05*(Uн_лин*1000/SQRT(3))/(_xlfn.XLOOKUP(A99,Щиты[Щит],Щиты[Zmax на шинах, Ом])+FB99)/1000),"")</f>
        <v/>
      </c>
      <c r="FF99" s="6" t="str">
        <f>IF(B99="","",IF(ISNUMBER(AC99),"Сил",IF(IFERROR(_xlfn.XLOOKUP(BC99,Коды_код,Коды_группа)&amp;"","")="","Быт",_xlfn.XLOOKUP(BC99,Коды_код,Коды_группа)&amp;"")))</f>
        <v>Сил</v>
      </c>
      <c r="FG99" s="6" t="str">
        <f t="shared" si="198"/>
        <v>Сил</v>
      </c>
      <c r="FH99" s="6">
        <f>IF(FG99="Щит","щит",IF(FG99="","",IF(FG99="Быт",IFERROR(_xlfn.XLOOKUP(A99,Щиты[Щит],Щиты[Кс быт]),1),IF(FG99="Сил",IF(ISNUMBER(AC99),AC99,IF(Методика="нормы 2026",IFERROR(_xlfn.XLOOKUP(A99,Щиты[Щит],Щиты[Кс силовых (табл. 7.5)]),1),1)),IF(OR(FG99="Пост",FG99="Отоп"),1,IF(FG99="ВНГ",0.7,0))))))</f>
        <v>0.5</v>
      </c>
      <c r="FI99">
        <f>IF(FG99="","",IF(AND(BP99=1,TRIM(AE99&amp;"")=""),IF(COUNTIFS(Линии[Щит],A99,Линии[Секция (1/2/3)],"&gt;=2")&gt;0,MIN(3,MAX(1,IFERROR(--BD99,1))),1),IFERROR(MIN(3,MAX(1,INT(--AE99))),1)))</f>
        <v>1</v>
      </c>
      <c r="FJ99">
        <f t="shared" si="199"/>
        <v>0.104</v>
      </c>
      <c r="FK99">
        <f t="shared" si="200"/>
        <v>0</v>
      </c>
      <c r="FL99">
        <f t="shared" si="201"/>
        <v>5.1999999999999998E-2</v>
      </c>
      <c r="FM99">
        <f t="shared" si="202"/>
        <v>0</v>
      </c>
      <c r="FN99">
        <f t="shared" si="203"/>
        <v>0</v>
      </c>
      <c r="FO99">
        <f t="shared" si="204"/>
        <v>0</v>
      </c>
      <c r="FP99">
        <f t="shared" si="205"/>
        <v>0.104</v>
      </c>
      <c r="FQ99">
        <f t="shared" si="206"/>
        <v>0.104</v>
      </c>
      <c r="FR99">
        <f t="shared" si="207"/>
        <v>8.3199999999999996E-2</v>
      </c>
      <c r="FS99">
        <f>IF(CG99=1,IF(AND(CH99=1,CW99=1),0,IF(AND(CS99&lt;&gt;"",CS99=BA99,CW99=1),SUMIFS(Линии[_Р линии, кВт],Линии[_блок УЗО],BA99,Линии[Щит],A99),N(BS99)+IF(AJ99="вручную",0,N(CK99)))),0)</f>
        <v>0.104</v>
      </c>
      <c r="FT99" t="str">
        <f t="shared" si="208"/>
        <v>L1</v>
      </c>
      <c r="FU99" t="str">
        <f>IF(B99="","",IF(CG99=0,IF(BA99=1,"",FW98),IF(AND(CH99=1,CW99=1,CS99&lt;&gt;""),IFERROR(_xlfn.XLOOKUP(CS99,Линии[_n],Линии[_фаза итог]),"L1"),IF(OR(N(DL99)&gt;=3,N(BX99)&gt;=3),"L1,L2,L3",IFERROR(_xlfn.TEXTBEFORE(_xlfn.TEXTAFTER(_xlfn.XLOOKUP(A99,Щиты[Щит],Щиты[_фазы авто]),";"&amp;BA99&amp;":"),";"),"L1")))))</f>
        <v>L1</v>
      </c>
      <c r="FV99" t="str">
        <f t="shared" si="209"/>
        <v>L1</v>
      </c>
      <c r="FW99" t="str">
        <f t="shared" si="210"/>
        <v>L1</v>
      </c>
      <c r="FX99" cm="1">
        <f t="array" ref="FX99">IFERROR(IF(CD99=2,_xlfn.IFS(BX99=3,VLOOKUP(BS99,Справочная_двигатели,3,FALSE),BX99=1,VLOOKUP(BS99,Справочная_двигатели,5,TRUE)),0),0)</f>
        <v>0</v>
      </c>
      <c r="FY99">
        <f>IFERROR(IF(CD99=3,VLOOKUP(BS99,Справочная_ЛЭД,2,TRUE),0),0)</f>
        <v>0</v>
      </c>
      <c r="FZ99" s="6">
        <f t="shared" si="211"/>
        <v>0</v>
      </c>
      <c r="GA99" t="str">
        <f>IF(B99="","",IF(TRIM(AH99&amp;"")&lt;&gt;"",IF(LOWER(TRIM(AH99&amp;""))="да","да","нет"),IF(IFERROR(_xlfn.XLOOKUP(BC99,Коды_код,Коды_пожарная),"")="да","да","нет")))</f>
        <v>нет</v>
      </c>
      <c r="GB99" t="str">
        <f t="shared" si="212"/>
        <v/>
      </c>
      <c r="GC99" t="str">
        <f t="shared" si="213"/>
        <v>основная</v>
      </c>
      <c r="GD99">
        <f>IF(AND(BP99=1,TRIM(AE99&amp;"")=""),IF(COUNTIFS(Линии[Щит],A99,Линии[Секция (1/2/3)],"&gt;=2")&gt;0,MIN(3,MAX(1,IFERROR(--BD99,1))),1),IFERROR(MIN(3,MAX(1,INT(--AE99))),1))</f>
        <v>1</v>
      </c>
      <c r="GE99" t="str" cm="1">
        <f t="array" ref="GE99">IF(B99="","",_xlfn.LET(_xlpm.t,IFERROR(_xlfn.XLOOKUP(1,(Шины[Шина]=GC99)*(((Шины[Щит]=A99)+(Шины[Щит]=""))&gt;0),Шины[Тип]),"")&amp;"",IF(_xlpm.t&lt;&gt;"",_xlpm.t,IF(ISNUMBER(SEARCH("ИБП",GC99)),"ИБП",IF(ISNUMBER(SEARCH("ДГУ",GC99)),"ДГУ","Ввод "&amp;GD99)))))</f>
        <v>Ввод 1</v>
      </c>
      <c r="GF99" t="str">
        <f t="shared" si="214"/>
        <v>Ввод 1</v>
      </c>
      <c r="GG99" t="str">
        <f>IF(BP99=0,"",IF(TRIM(AG99&amp;"")&lt;&gt;"",TRIM(AG99&amp;""),IF(OR(GE99="ИБП",GE99="ДГУ"),"I особая",_xlfn.XLOOKUP(A99,Щиты[Щит],Щиты[Категория шины «Ввод»],"III"))))</f>
        <v/>
      </c>
      <c r="GH99" t="str">
        <f>IF(A99="","",_xlfn.XLOOKUP(A99,Щиты[Щит],Щиты[Путь],""))</f>
        <v>|ГРЩ-ЖД|ЩОВ-002|</v>
      </c>
      <c r="GI99" t="str">
        <f>IF(B99="","",IF(AI99&lt;&gt;"",AI99,IF(IFERROR(_xlfn.XLOOKUP(BC99,Коды_код,Коды_вид)&amp;"","")="","Прочее",_xlfn.XLOOKUP(BC99,Коды_код,Коды_вид)&amp;"")))</f>
        <v>Кондиционирование и увлажнение</v>
      </c>
      <c r="GJ99">
        <f>IF(BM99="","",INT((BM99-1)/Столбцов_на_лист)+1)</f>
        <v>2</v>
      </c>
      <c r="GK99" t="str">
        <f t="shared" si="215"/>
        <v>ВВГнг(А)-LS (3х1,5) L=33-0,2%</v>
      </c>
      <c r="GL99">
        <f t="shared" si="216"/>
        <v>0.104</v>
      </c>
      <c r="GM99">
        <f t="shared" si="217"/>
        <v>0.57000000000000006</v>
      </c>
      <c r="GN99">
        <f t="shared" si="218"/>
        <v>1</v>
      </c>
      <c r="GO99">
        <f t="shared" si="219"/>
        <v>0</v>
      </c>
      <c r="GP99">
        <f t="shared" si="220"/>
        <v>1</v>
      </c>
      <c r="GQ99">
        <f>IF(BM99="","",IF(AND(CG99=1,GP99=1),COUNTIFS(A$3:A99,A99,CG$3:CG99,1,GP$3:GP99,1),IF(OR(OR(BA99=1,A99&lt;&gt;A98),AJ99="вручную",GP99=0),"",IF(BA99=1,"",GR98))))</f>
        <v>11</v>
      </c>
      <c r="GR99">
        <f t="shared" si="221"/>
        <v>11</v>
      </c>
      <c r="GS99">
        <f>IF(B99="","",IFERROR(LOOKUP(INDEX(CHOOSE(EB99,Iдоп_1ж,Iдоп_2ж,Iдоп_3ж),MATCH(EN99,Iдоп_S,0))*DZ99*EA99,{6,10,16,20,25,32,40,50,63,80,100,125,160,200,250,315,400,500,630}),""))</f>
        <v>16</v>
      </c>
      <c r="GT99" t="str">
        <f t="shared" si="222"/>
        <v>QF11</v>
      </c>
      <c r="GU99" t="str">
        <f t="shared" si="223"/>
        <v>QF11</v>
      </c>
      <c r="GV99" t="str">
        <f t="shared" si="224"/>
        <v/>
      </c>
      <c r="GW99">
        <f t="shared" si="225"/>
        <v>0</v>
      </c>
      <c r="GX99" t="str">
        <f>IF(OR(B99="",DJ99=""),"",IFERROR(_xlfn.XLOOKUP(DJ99,Модули_умолч[Управление],Модули_умолч[Модель])&amp;"",""))</f>
        <v/>
      </c>
      <c r="GY99">
        <f>IF(DJ99="",1,IFERROR(MAX(0,N(_xlfn.XLOOKUP(DJ99,Модули_умолч[Управление],Модули_умолч[Каналов на линию]))),1))</f>
        <v>1</v>
      </c>
      <c r="GZ99" t="str">
        <f t="shared" si="226"/>
        <v/>
      </c>
      <c r="HA99" t="str">
        <f t="shared" si="227"/>
        <v/>
      </c>
      <c r="HB99" t="str">
        <f t="shared" si="228"/>
        <v/>
      </c>
      <c r="HC99">
        <f>IF(HB99="",0,IFERROR(N(VLOOKUP(HB99,Модули_спр,3,FALSE)),0))</f>
        <v>0</v>
      </c>
      <c r="HD99" t="str">
        <f t="shared" si="229"/>
        <v/>
      </c>
      <c r="HE99" t="str">
        <f t="shared" si="230"/>
        <v/>
      </c>
      <c r="HF99" t="str">
        <f>IF(OR(HE99="",HE99="-"),"",IFERROR(VLOOKUP(HE99,Модули_спр,2,FALSE),"R"))</f>
        <v/>
      </c>
      <c r="HG99" t="str">
        <f>IF(HF99="","",HF99&amp;"."&amp;COUNTIFS(A$3:A99,A99,HF$3:HF99,HF99))</f>
        <v/>
      </c>
      <c r="HH99" t="str">
        <f t="shared" si="231"/>
        <v/>
      </c>
      <c r="HI99" t="str">
        <f t="shared" si="232"/>
        <v/>
      </c>
      <c r="HJ99" t="str">
        <f t="shared" si="233"/>
        <v/>
      </c>
      <c r="HK99" t="str">
        <f t="shared" si="234"/>
        <v/>
      </c>
      <c r="HL99">
        <f t="shared" si="235"/>
        <v>1</v>
      </c>
      <c r="HM99" t="str">
        <f>IF(HL99=1,"XT"&amp;COUNTIFS(A$3:A99,A99,HL$3:HL99,1),"")</f>
        <v>XT11</v>
      </c>
      <c r="HN99" t="str">
        <f t="shared" si="236"/>
        <v/>
      </c>
      <c r="HO99" t="str">
        <f t="shared" si="237"/>
        <v>QF11</v>
      </c>
      <c r="HP99" t="str">
        <f t="shared" si="238"/>
        <v/>
      </c>
      <c r="HQ99" t="str">
        <f t="shared" si="239"/>
        <v>ok</v>
      </c>
      <c r="HR99" t="str">
        <f>IF(OR(HJ99="",HH99=""),"",IF(HJ99+MAX(0,GY99-1)&gt;IFERROR(VLOOKUP(HI99,Модули_спр,3,FALSE),99),"ЛИШНИЙ КАНАЛ",IF(AND(AL99&lt;&gt;"=",GY99&gt;0,COUNTIFS(Линии[_модуль гр.],HH99,Линии[Канал (итог)],HJ99,Линии[Канал],"&lt;&gt;=",Линии[Щит],A99)&gt;1),"ДУБЛЬ КАНАЛА","")))</f>
        <v/>
      </c>
      <c r="HS99" s="6" t="str">
        <f t="shared" si="240"/>
        <v/>
      </c>
      <c r="HT99">
        <f t="shared" si="241"/>
        <v>10</v>
      </c>
      <c r="HU99" t="str">
        <f t="shared" si="242"/>
        <v/>
      </c>
      <c r="HV99">
        <f t="shared" si="243"/>
        <v>0.55516660498395398</v>
      </c>
      <c r="HW99">
        <f t="shared" si="244"/>
        <v>0</v>
      </c>
      <c r="HX99">
        <f t="shared" si="245"/>
        <v>0</v>
      </c>
      <c r="HY99">
        <f t="shared" si="246"/>
        <v>0</v>
      </c>
      <c r="HZ99">
        <f t="shared" si="247"/>
        <v>0</v>
      </c>
      <c r="IA99">
        <f t="shared" si="248"/>
        <v>0</v>
      </c>
      <c r="IB99">
        <f t="shared" si="249"/>
        <v>0</v>
      </c>
      <c r="IC99" t="str">
        <f t="shared" si="250"/>
        <v/>
      </c>
      <c r="ID99" t="str" cm="1">
        <f t="array" ref="ID99">IF(IC99="","",_xlfn.LET(_xlpm.tk,_xlfn.TEXTSPLIT(SUBSTITUTE(SUBSTITUTE(IC99,";"," "),"→"," ")," ",,TRUE),_xlpm.w_,_xlfn._xlws.FILTER(_xlpm.tk,ISNUMBER(--LEFT(_xlpm.tk,1))*((ISNUMBER(SEARCH("W",_xlpm.tk))+ISNUMBER(SEARCH("Вт",_xlpm.tk)))&gt;0),""),IFERROR(--SUBSTITUTE(SUBSTITUTE(UPPER(INDEX(_xlpm.w_,1)),"W",""),"ВТ",""),"")))</f>
        <v/>
      </c>
      <c r="IE99" t="str" cm="1">
        <f t="array" ref="IE99">IF(IC99="","",_xlfn.LET(_xlpm.tk,_xlfn.TEXTSPLIT(SUBSTITUTE(SUBSTITUTE(IC99,";"," "),"→"," ")," ",,TRUE),_xlpm.v_,_xlfn._xlws.FILTER(_xlpm.tk,ISNUMBER(--LEFT(_xlpm.tk,1))*((ISNUMBER(SEARCH("V",_xlpm.tk))+(RIGHT(UPPER(_xlpm.tk))="В"))&gt;0),""),IFERROR(--SUBSTITUTE(SUBSTITUTE(UPPER(INDEX(_xlpm.v_,1)),"V",""),"В",""),"")))</f>
        <v/>
      </c>
      <c r="IF99" s="6" t="str">
        <f>IF(OR(BV99=0,HI99="",HJ99=""),"",IFERROR(N(_xlfn.XLOOKUP(HI99,Каталог!$C$4:$C$500,Каталог!$Q$4:$Q$500)),""))</f>
        <v/>
      </c>
      <c r="IG99" s="6" t="str">
        <f>IF(N(IF99)=0,"",SUMIFS(Линии[Iр, А],Линии[Щит],A99,Линии[_модуль гр.],HH99,Линии[Канал (итог)],HJ99))</f>
        <v/>
      </c>
      <c r="IH99" t="str">
        <f>IF(AND(B99="",HO99=""),"",_xlfn.TEXTJOIN("; ",TRUE,IF(AND(B99&lt;&gt;"",FV99=""),"нет фазы",""),IF(AND(B99&lt;&gt;"",N(GL99)=0,FG99&lt;&gt;"Нет"),"нет мощности",""),IF(AND(HN99&lt;&gt;"",COUNTIFS(Линии[Щит],A99,Линии[Клемма (итог)],HN99)&gt;1),"дубль клеммы "&amp;HN99,""),IF(AND(HQ99&lt;&gt;"",HQ99&lt;&gt;"ok"),HQ99,""),IF(HR99&lt;&gt;"",HR99,""),IF(AND(N(CB99)&gt;=4,N(BX99)=1),CB99&amp;" жил на 1 фазе",""),IF(AND(BC99="R",CG99=1,IF(CS99&lt;&gt;"",N(CV99)&gt;30,OR(N(DA99)=0,N(DA99)&gt;30))),"розетка без дифзащиты до 30 мА",""),IF(AND(CG99=1,N(DA99)&gt;0,ISNUMBER(T99)),IF(T99&gt;N(DA99)/3,"ток утечки "&amp;FIXED(T99,1)&amp;" мА &gt; 1/3 уставки ("&amp;DA99&amp;" мА)",""),""),IF(AND(CH99=1,CS99=""),"«узо»: нет строки с УЗО выше (УЗО 2P 40А 30мА в «Аппаратах»)",""),IF(AND(CS99&lt;&gt;"",CS99=BA99),IF(CT99="","впишите номинал УЗО (УЗО 2P 40А 30мА)",IF(N(CT99)&lt;N(DT99),"УЗО "&amp;CT99&amp;" А &lt; автомата "&amp;DT99&amp;" А перед ним",IF(N(CT99)&lt;N(CX99),"УЗО "&amp;CT99&amp;" А &lt; тока блока "&amp;FIXED(CX99,1)&amp;" А",""))),""),IF(AND(CS99&lt;&gt;"",CS99=BA99,ISNUMBER(CY99)),IF(CY99&gt;N(CV99)/3,"ток утечки блока УЗО "&amp;FIXED(CY99,1)&amp;" мА &gt; 1/3 уставки ("&amp;CV99&amp;" мА)",""),""),IF(AND(CG99=1,N(BV99)+N(IB99)&gt;0,IC99=""),"линии до 50 В без БП: впишите в «Аппараты» (БП 24V 480W)",""),IF(AND(CG99=1,ISNUMBER(ID99),ISNUMBER(U99)),IF(U99&gt;ID99,"БП "&amp;ID99&amp;" Вт &lt; нужно "&amp;U99&amp;" Вт (×"&amp;Запас_БП&amp;")",""),""),IF(AND(CG99=1,ISNUMBER(IE99),N(BV99)=1),IF(IE99&lt;&gt;N(BU99),"БП на "&amp;IE99&amp;" В, линия "&amp;BU99&amp;" В",""),""),IF(AND(N(IF99)&gt;0,N(IG99)&gt;N(IF99)),HH99&amp;" канал "&amp;HJ99&amp;": "&amp;FIXED(IG99,1)&amp;" А &gt; "&amp;IF99&amp;" А",""),IFERROR(IF(AND(ISNUMBER(Q99),Q99&gt;EL99),"потери "&amp;FIXED(Q99,1)&amp;" % &gt; "&amp;EL99&amp;" %",""),""),IFERROR(IF(LEFT(HU99,4)="мало","Iкз мало — отключение &gt; 0,4 с",""),""),IF(AND(B99&lt;&gt;"",BM99=""),"не на схеме",""),IF(AND(CG99=0,B99&lt;&gt;"",FV99&lt;&gt;"",IF(BA99=1,"",FW98)&lt;&gt;"",FV99&lt;&gt;IF(BA99=1,"",FW98)),"фаза не как у автомата группы ("&amp;IF(BA99=1,"",FW98)&amp;")","")))</f>
        <v/>
      </c>
      <c r="II99" s="6">
        <f>IF(OR(CG99=0,DQ99=""),"",_xlfn.LET(_xlpm.t,IFERROR(_xlfn.XLOOKUP(DQ99,Каталог!$U$4:$U$500,Каталог!$G$4:$G$500),""),_xlpm.k,SEARCH("кА",_xlpm.t),IFERROR(--TRIM(RIGHT(SUBSTITUTE(MID(_xlpm.t,MAX(1,_xlpm.k-4),_xlpm.k-MAX(1,_xlpm.k-4))," ",REPT(" ",9)),5)),"")))</f>
        <v>6</v>
      </c>
      <c r="IJ99" t="str">
        <f>IF(OR(II99="",CG99=0),"",IF(_xlfn.XLOOKUP(A99,Щиты[Щит],Щиты[Iкз max на шинах, кА],"")="","",IF(II99&lt;_xlfn.XLOOKUP(A99,Щиты[Щит],Щиты[Iкз max на шинах, кА]),"Icu "&amp;II99&amp;" кА &lt; Iкз max","ok")))</f>
        <v/>
      </c>
      <c r="IK99" t="str">
        <f t="shared" si="251"/>
        <v/>
      </c>
      <c r="IL99" t="str">
        <f t="shared" si="252"/>
        <v>QF11</v>
      </c>
      <c r="IM99" t="str">
        <f t="shared" si="253"/>
        <v>QF11|кабель ВВГнг(А)-LS (3х1,5) → Внутренний блок кондиционирования Подвальный этаж Пом. №002Б</v>
      </c>
      <c r="IN99" t="str" cm="1">
        <f t="array" ref="IN99">IF(IM99="","",_xlfn.LET(_xlpm.nd,_xlfn.TEXTSPLIT(IM99,"|"),IF(COLUMNS(_xlpm.nd)&gt;1,A99&amp;"¦"&amp;INDEX(_xlpm.nd,1)&amp;"¦"&amp;INDEX(_xlpm.nd,2),"")))</f>
        <v>ЩОВ-002¦QF11¦кабель ВВГнг(А)-LS (3х1,5) → Внутренний блок кондиционирования Подвальный этаж Пом. №002Б</v>
      </c>
      <c r="IO99" t="str">
        <f t="shared" si="254"/>
        <v>K.00.007A¦Внутренний блок кондиционирования Подвальный этаж Пом. №002Б</v>
      </c>
      <c r="IP99" t="str" cm="1">
        <f t="array" ref="IP99">IF(IM99="","",_xlfn.LET(_xlpm.nd,_xlfn.TEXTSPLIT(IM99,"|"),IF(COLUMNS(_xlpm.nd)&gt;2,A99&amp;"¦"&amp;INDEX(_xlpm.nd,2)&amp;"¦"&amp;INDEX(_xlpm.nd,3),"")))</f>
        <v/>
      </c>
      <c r="IQ99" t="str">
        <f t="shared" si="255"/>
        <v/>
      </c>
      <c r="IR99" t="str" cm="1">
        <f t="array" ref="IR99">IF(IM99="","",_xlfn.LET(_xlpm.nd,_xlfn.TEXTSPLIT(IM99,"|"),IF(COLUMNS(_xlpm.nd)&gt;3,A99&amp;"¦"&amp;INDEX(_xlpm.nd,3)&amp;"¦"&amp;INDEX(_xlpm.nd,4),"")))</f>
        <v/>
      </c>
      <c r="IS99" t="str">
        <f t="shared" si="256"/>
        <v/>
      </c>
      <c r="IT99" t="str" cm="1">
        <f t="array" ref="IT99">IF(IM99="","",_xlfn.LET(_xlpm.nd,_xlfn.TEXTSPLIT(IM99,"|"),IF(COLUMNS(_xlpm.nd)&gt;4,A99&amp;"¦"&amp;INDEX(_xlpm.nd,4)&amp;"¦"&amp;INDEX(_xlpm.nd,5),"")))</f>
        <v/>
      </c>
      <c r="IU99" t="str">
        <f t="shared" si="257"/>
        <v/>
      </c>
      <c r="IV99" t="str" cm="1">
        <f t="array" ref="IV99">IF(IM99="","",_xlfn.LET(_xlpm.nd,_xlfn.TEXTSPLIT(IM99,"|"),IF(COLUMNS(_xlpm.nd)&gt;5,A99&amp;"¦"&amp;INDEX(_xlpm.nd,5)&amp;"¦"&amp;INDEX(_xlpm.nd,6),"")))</f>
        <v/>
      </c>
      <c r="IW99" t="str">
        <f t="shared" si="258"/>
        <v/>
      </c>
      <c r="IX99" t="str" cm="1">
        <f t="array" ref="IX99">IF(IM99="","",_xlfn.LET(_xlpm.nd,_xlfn.TEXTSPLIT(IM99,"|"),IF(COLUMNS(_xlpm.nd)&gt;6,A99&amp;"¦"&amp;INDEX(_xlpm.nd,6)&amp;"¦"&amp;INDEX(_xlpm.nd,7),"")))</f>
        <v/>
      </c>
      <c r="IY99" t="str">
        <f t="shared" si="259"/>
        <v/>
      </c>
      <c r="IZ99" t="str">
        <f t="shared" si="260"/>
        <v/>
      </c>
      <c r="JA99" t="str">
        <f t="shared" si="261"/>
        <v>QF11</v>
      </c>
      <c r="JB99">
        <f t="shared" si="262"/>
        <v>0</v>
      </c>
      <c r="JC99">
        <f t="shared" si="263"/>
        <v>0</v>
      </c>
      <c r="JD99" t="str">
        <f t="shared" si="264"/>
        <v/>
      </c>
      <c r="JE99" t="str">
        <f t="shared" si="265"/>
        <v/>
      </c>
      <c r="JF99" t="str">
        <f t="shared" si="266"/>
        <v/>
      </c>
      <c r="JG99" t="str">
        <f t="shared" si="267"/>
        <v/>
      </c>
      <c r="JH99">
        <f>IF(B99="","",IFERROR(_xlfn.XLOOKUP(B99,Коды_код,Коды_уго),IFERROR(_xlfn.XLOOKUP(BC99,Коды_код,Коды_уго),IFERROR(_xlfn.XLOOKUP(LEFT(BC99,2),Коды_код,Коды_уго),""))))</f>
        <v>0</v>
      </c>
      <c r="JI99" t="str">
        <f>IF(B99="","",IF(OR(JH99="",JH99=0),"BOX",IFERROR(IF(VLOOKUP(JH99,УГО_блоки,3,FALSE)&amp;""&lt;&gt;"",VLOOKUP(JH99,УГО_блоки,3,FALSE),VLOOKUP(JH99,УГО_блоки,2,FALSE)),JH99)))</f>
        <v>BOX</v>
      </c>
      <c r="JJ99">
        <f t="shared" si="268"/>
        <v>1</v>
      </c>
      <c r="JK99" t="str">
        <f>IF(DQ99="","",IF(COUNTIF(DQ$3:DQ99,DQ99)=1,MAX(JK$2:JK98)+1,""))</f>
        <v/>
      </c>
      <c r="JL99" t="str">
        <f>IF(DE99="","",IF(COUNTIF(DE$3:DE99,DE99)+COUNTIF(DF$2:DF98,DE99)+COUNTIF(DG$2:DG98,DE99)=1,MAX(JL$2:JN98)+1,""))</f>
        <v/>
      </c>
      <c r="JM99" t="str">
        <f>IF(DF99="","",IF(COUNTIF(DE$3:DE99,DF99)+COUNTIF(DF$3:DF99,DF99)+COUNTIF(DG$2:DG98,DF99)=1,MAX(JL$2:JN98,JL99)+1,""))</f>
        <v/>
      </c>
      <c r="JN99" t="str">
        <f>IF(DG99="","",IF(COUNTIF(DE$3:DE99,DG99)+COUNTIF(DF$3:DF99,DG99)+COUNTIF(DG$3:DG99,DG99)=1,MAX(JL$2:JN98,JL99,JM99)+1,""))</f>
        <v/>
      </c>
      <c r="JO99" t="str">
        <f t="shared" si="269"/>
        <v>3х1,5</v>
      </c>
      <c r="JP99" t="str">
        <f>IF(JO99="","",IF(COUNTIF(JO$3:JO99,JO99)=1,MAX(JP$2:JP98)+1,""))</f>
        <v/>
      </c>
      <c r="JQ99" t="str">
        <f>IF(HG99="","",COUNTIF(HG$3:HG99,"?*"))</f>
        <v/>
      </c>
      <c r="JR99" t="str">
        <f>IF(OR(HG99="",HI99=""),"",IF(COUNTIFS(HG$3:HG99,"?*",HI$3:HI99,HI99)=1,MAX(JR$2:JR98)+1,""))</f>
        <v/>
      </c>
      <c r="JS99">
        <f t="shared" si="270"/>
        <v>0</v>
      </c>
      <c r="JT99">
        <f>IF(B99="","",COUNTIF(B$3:B99,"?*"))</f>
        <v>97</v>
      </c>
      <c r="JU99">
        <f>IF(HL99&lt;&gt;1,0,_xlfn.LET(_xlpm.k,MAX(IFERROR(--_xlfn.XLOOKUP(B99,Коды_код,Коды_3L),0),IFERROR(--_xlfn.XLOOKUP(BC99,Коды_код,Коды_3L),0),IFERROR(--_xlfn.XLOOKUP(LEFT(BC99,2),Коды_код,Коды_3L),0)),IF(_xlpm.k&gt;0,_xlpm.k,IF(IFERROR(--LEFT(SUBSTITUTE(JO99,"x","х"),FIND("х",SUBSTITUTE(JO99,"x","х"))-1),3)&gt;3,Каталог!$S$9,1))))</f>
        <v>1</v>
      </c>
      <c r="JV99">
        <f t="shared" si="271"/>
        <v>0</v>
      </c>
      <c r="JW99" t="str">
        <f t="shared" si="272"/>
        <v>авто</v>
      </c>
      <c r="JX99" t="str">
        <f t="shared" si="273"/>
        <v/>
      </c>
      <c r="JY99">
        <f t="shared" si="274"/>
        <v>0</v>
      </c>
      <c r="JZ99">
        <f t="shared" si="275"/>
        <v>1</v>
      </c>
    </row>
    <row r="100" spans="1:286" x14ac:dyDescent="0.3">
      <c r="A100" t="s">
        <v>749</v>
      </c>
      <c r="B100" t="s">
        <v>1412</v>
      </c>
      <c r="C100" t="s">
        <v>1667</v>
      </c>
      <c r="D100">
        <v>1</v>
      </c>
      <c r="E100">
        <v>0.104</v>
      </c>
      <c r="G100">
        <v>10</v>
      </c>
      <c r="H100" t="str">
        <f>Линии[[#This Row],[_авто управление]]</f>
        <v/>
      </c>
      <c r="I100" t="str">
        <f>Линии[[#This Row],[_авто аппараты]]</f>
        <v/>
      </c>
      <c r="J100">
        <v>1.5</v>
      </c>
      <c r="K100">
        <v>26</v>
      </c>
      <c r="L100">
        <v>1</v>
      </c>
      <c r="M100" t="s">
        <v>484</v>
      </c>
      <c r="N100" t="str">
        <f t="shared" si="138"/>
        <v/>
      </c>
      <c r="O100" s="6" cm="1">
        <f t="array" ref="O100">IF(B100="","",IF(BH100&lt;&gt;"",IFERROR(_xlfn.XLOOKUP(BH100,Щиты[Щит],Щиты[Iр, А]),""),IF(BP100=1,IF(OR(N(_xlfn.XLOOKUP(A100,Щиты[Щит],Щиты[Вводов],1))&lt;=1,LOWER(TRIM(_xlfn.XLOOKUP(A100,Щиты[Щит],Щиты[АВР],"")&amp;""))="да"),IFERROR(_xlfn.XLOOKUP(A100,Щиты[Щит],Щиты[Iр, А]),""),IFERROR(N(BS100)*_xlfn.XLOOKUP(A100,Щиты[Щит],Щиты[Кс итог])/(SQRT(3)*Uн_лин*_xlfn.XLOOKUP(A100,Щиты[Щит],Щиты[cos φ])),"")),IF(BV100=1,IFERROR(BS100*1000/BU100,""),IFERROR(_xlfn.IFS(BX100=1,BS100/((Uн_лин/SQRT(3))*CE100),BX100=3,BS100/(SQRT(3)*Uн_лин*CE100)),"")))))</f>
        <v>0.56291651245988494</v>
      </c>
      <c r="P100" s="7">
        <f>IF(B100="","",IFERROR(IF(VLOOKUP(BC100,Потребители_обозначение,4,FALSE)=1,VLOOKUP(BC100,Потребители_обозначение,3,FALSE)*(MAX(1,N(D100))*2-1)+EI100+VLOOKUP(BE100,Этаж_обозначение,3,FALSE)+VLOOKUP(BE100,Этаж_обозначение,4,FALSE),VLOOKUP(BC100,Потребители_обозначение,3,FALSE)*(MAX(1,N(D100))*2-1)+EI100),EI100))</f>
        <v>28</v>
      </c>
      <c r="Q100" s="6">
        <f t="shared" si="139"/>
        <v>0.91</v>
      </c>
      <c r="R100" t="str">
        <f t="shared" si="140"/>
        <v>ВВГнг(А)-LS (3х1,5)</v>
      </c>
      <c r="S100" t="str">
        <f>IF(BM100="","",IF(BN100="вводной узел","узел ","")&amp;"л."&amp;(INT((BM100-1)/Столбцов_на_лист)+1)&amp;" / "&amp;(MOD(BM100-1,Столбцов_на_лист)+1))</f>
        <v>л.2 / 13</v>
      </c>
      <c r="T100" s="119">
        <f t="shared" si="141"/>
        <v>0.5</v>
      </c>
      <c r="U100" s="7" t="str">
        <f>IF(OR(CG100=0,N(BV100)+N(IB100)=0),"",ROUNDUP(Запас_БП*(N(HY100)+N(HZ100)),0))</f>
        <v/>
      </c>
      <c r="V100" s="119" t="str">
        <f t="shared" si="142"/>
        <v/>
      </c>
      <c r="W100" s="7" t="str">
        <f>IFERROR(IF(OR(B100="",BP100=1,BV100=1,NOT(ISNUMBER(EN100)),N(DT100)=0),"",MAX(0,ROUNDDOWN((c_min*(Uн_лин*1000/SQRT(3))/(HT100*N(DT100))-_xlfn.XLOOKUP(A100,Щиты[Щит],Щиты[Zпетли на шинах, Ом]))*EN100/(2*ρкз_Cu),0))),"")</f>
        <v/>
      </c>
      <c r="Y100" t="str">
        <f>Линии[[#This Row],[_авто утечка]]</f>
        <v/>
      </c>
      <c r="Z100">
        <v>1</v>
      </c>
      <c r="AA100">
        <v>230</v>
      </c>
      <c r="AB100" t="s">
        <v>598</v>
      </c>
      <c r="AC100">
        <v>0.5</v>
      </c>
      <c r="AG100" t="s">
        <v>810</v>
      </c>
      <c r="AI100" t="s">
        <v>576</v>
      </c>
      <c r="AK100" t="str">
        <f>Линии[[#This Row],[_авто модуль]]</f>
        <v/>
      </c>
      <c r="AM100">
        <v>30</v>
      </c>
      <c r="AN100" t="s">
        <v>11</v>
      </c>
      <c r="AO100">
        <v>3</v>
      </c>
      <c r="AQ100">
        <v>6</v>
      </c>
      <c r="AR100">
        <v>22</v>
      </c>
      <c r="AT100">
        <v>1</v>
      </c>
      <c r="BA100" cm="1">
        <f t="array" ref="BA100">ROW()-ROW(Линии[#Headers])</f>
        <v>98</v>
      </c>
      <c r="BC100" s="6" t="str">
        <f t="shared" si="143"/>
        <v>K</v>
      </c>
      <c r="BD100" t="str">
        <f t="shared" si="144"/>
        <v>00.007T.1</v>
      </c>
      <c r="BE100" t="str">
        <f t="shared" si="145"/>
        <v>00</v>
      </c>
      <c r="BF100" t="str">
        <f t="shared" si="146"/>
        <v>007T.1</v>
      </c>
      <c r="BG100" t="str">
        <f t="shared" si="147"/>
        <v>007T</v>
      </c>
      <c r="BH100" t="str">
        <f>IF(X100&lt;&gt;"",X100,IF(AND(B100&lt;&gt;"",B100&lt;&gt;A100,ISNUMBER(_xlfn.XMATCH(B100,Щиты[Щит]))),B100,""))</f>
        <v/>
      </c>
      <c r="BI100" t="str" cm="1">
        <f t="array" ref="BI100">IF(B100="","",IF(BH100&lt;&gt;"","Щит "&amp;BH100,_xlfn.LET(_xlpm.nm,IFERROR(_xlfn.XLOOKUP(BC100,Коды_код,Коды_имя)&amp;"",""),_xlpm.md,IFERROR(N(_xlfn.XLOOKUP(BC100,Коды_код,Коды_режим)),1),_xlpm.ex,IF(Имя_режим="по экспликации",IFERROR(_xlfn.XLOOKUP(BE100&amp;"|"&amp;BG100,Экспликация[Этаж]&amp;"|"&amp;Экспликация[Помещение],Экспликация[Название])&amp;"",""),""),_xlpm.rm,IF(BG100="","",IF(_xlpm.ex&lt;&gt;"",". "&amp;_xlpm.ex&amp;IF(Имя_пом="нет"," ("&amp;BG100&amp;")"," (пом. "&amp;BG100&amp;")"),IF(Имя_пом="нет"," ",", пом. ")&amp;BG100)),IF(_xlpm.nm="","",IF(_xlpm.md=2,_xlpm.nm&amp;" шлейф "&amp;BE100,_xlpm.nm&amp;_xlpm.rm)))))</f>
        <v>Внутренний блок кондиционирования, пом. 007T</v>
      </c>
      <c r="BJ100" t="str">
        <f t="shared" si="148"/>
        <v>Внутренний блок кондиционирования Подвальный этаж Пом. №007Т</v>
      </c>
      <c r="BK100">
        <f>IFERROR(_xlfn.XMATCH(A100,Щиты[Щит]),0)</f>
        <v>5</v>
      </c>
      <c r="BL100">
        <f>_xlfn.LET(_xlpm.k,IFERROR(_xlfn.XLOOKUP(A100,Щиты[Щит],Щиты[Мест под вводной узел]),""),IF(_xlpm.k="",Столбцов_на_лист,N(_xlpm.k)))</f>
        <v>18</v>
      </c>
      <c r="BM100">
        <f t="shared" si="149"/>
        <v>30</v>
      </c>
      <c r="BN100" t="str">
        <f t="shared" si="150"/>
        <v>линии</v>
      </c>
      <c r="BO100" s="6">
        <f>IFERROR(N(_xlfn.XLOOKUP(BC100,Коды_код,Коды_квт)),0)</f>
        <v>0</v>
      </c>
      <c r="BP100">
        <f t="shared" si="151"/>
        <v>0</v>
      </c>
      <c r="BQ100" t="str">
        <f>IF(B100="","",IF(BH100&lt;&gt;"",IFERROR(_xlfn.XLOOKUP(BH100,Щиты[Щит],Щиты[Руст, кВт]),0),IF(BP100=1,IF(OR(N(_xlfn.XLOOKUP(A100,Щиты[Щит],Щиты[Вводов],1))&lt;=1,LOWER(TRIM(_xlfn.XLOOKUP(A100,Щиты[Щит],Щиты[АВР],"")&amp;""))="да"),IFERROR(_xlfn.XLOOKUP(A100,Щиты[Щит],Щиты[Руст, кВт]),0),SUMIFS(Линии[_Р для вводов],Линии[Щит],A100,Линии[Источник для режимов],GF100)),IF(BO100&gt;0,ROUND(BO100*MAX(1,N(D100)),3),""))))</f>
        <v/>
      </c>
      <c r="BR100">
        <f t="shared" si="152"/>
        <v>0.104</v>
      </c>
      <c r="BS100" s="6">
        <f>IF(B100="","",IF(BH100&lt;&gt;"",IFERROR(_xlfn.XLOOKUP(BH100,Щиты[Щит],Щиты[Руст, кВт]),0),N(BR100)))</f>
        <v>0.104</v>
      </c>
      <c r="BT100" t="str">
        <f>IF(B100="","",IFERROR(IF(VLOOKUP(BC100,Потребители_обозначение,8,FALSE)=0,"",VLOOKUP(BC100,Потребители_обозначение,8,FALSE)),""))</f>
        <v/>
      </c>
      <c r="BU100">
        <f t="shared" si="153"/>
        <v>230</v>
      </c>
      <c r="BV100">
        <f t="shared" si="154"/>
        <v>0</v>
      </c>
      <c r="BW100">
        <f>IF(B100="","",IF(BH100&lt;&gt;"",3,IFERROR(IF(N(VLOOKUP(BC100,Потребители_обозначение,9,FALSE))=0,1,VLOOKUP(BC100,Потребители_обозначение,9,FALSE)),1)))</f>
        <v>1</v>
      </c>
      <c r="BX100">
        <f t="shared" si="155"/>
        <v>1</v>
      </c>
      <c r="BY100" t="str">
        <f>IF(B100="","",_xlfn.LET(_xlpm.bc,IFERROR(IF(VLOOKUP(BC100,Потребители_обозначение,6,FALSE)=0,"",VLOOKUP(BC100,Потребители_обозначение,6,FALSE)&amp;""),""),IF(AND(GA100="да",OR(_xlpm.bc="",_xlpm.bc="мс")),Марка_пож,IF(AND(_xlpm.bc="",BH100&lt;&gt;""),"мс",_xlpm.bc))))</f>
        <v/>
      </c>
      <c r="BZ100" t="str">
        <f t="shared" si="156"/>
        <v>мс</v>
      </c>
      <c r="CA100">
        <f>IF(B100="","",_xlfn.LET(_xlpm.cc,IFERROR(N(VLOOKUP(BC100,Потребители_обозначение,7,FALSE)),0),IF(_xlpm.cc&gt;0,_xlpm.cc,IF(BZ100="","",IF(BV100=1,2,IF(N(BX100)=3,5,3))))))</f>
        <v>3</v>
      </c>
      <c r="CB100">
        <f t="shared" si="157"/>
        <v>3</v>
      </c>
      <c r="CC100">
        <f>IFERROR(N(VLOOKUP(BC100,Потребители_обозначение,10,FALSE)),0)</f>
        <v>0</v>
      </c>
      <c r="CD100">
        <f>IFERROR(VLOOKUP(BC100,Потребители_обозначение,5,FALSE),0)</f>
        <v>1</v>
      </c>
      <c r="CE100" s="6" cm="1">
        <f t="array" ref="CE100">IF(B100="","",IF(BH100&lt;&gt;"",IFERROR(_xlfn.XLOOKUP(BH100,Щиты[Щит],Щиты[cos φ]),0.95),IF(BP100=1,IFERROR(_xlfn.XLOOKUP(A100,Щиты[Щит],Щиты[cos φ]),0.95),IF(ISNUMBER(AD100),AD100,IFERROR(IF(CD100=2,_xlfn.IFS(BX100=3,VLOOKUP(BS100,Справочная_двигатели,8,FALSE),BX100=1,VLOOKUP(BS100,Справочная_двигатели,10,TRUE)),IF(AND(Методика="нормы 2026",FG100="Сил"),0.8,0.95)),0.95)))))</f>
        <v>0.8</v>
      </c>
      <c r="CF100">
        <f t="shared" si="158"/>
        <v>0</v>
      </c>
      <c r="CG100">
        <f t="shared" si="159"/>
        <v>1</v>
      </c>
      <c r="CH100">
        <f t="shared" si="160"/>
        <v>0</v>
      </c>
      <c r="CI100">
        <f>IF(B100="","",IF(BV100=1,IFERROR(BS100/((Uн_лин/SQRT(3))*MAX(0.5,N(CE100))),0),N(O100)))</f>
        <v>0.56291651245988494</v>
      </c>
      <c r="CJ100">
        <f t="shared" si="161"/>
        <v>0</v>
      </c>
      <c r="CK100">
        <f t="shared" si="162"/>
        <v>0</v>
      </c>
      <c r="CL100">
        <f t="shared" si="163"/>
        <v>0</v>
      </c>
      <c r="CM100">
        <f t="shared" si="164"/>
        <v>0</v>
      </c>
      <c r="CN100">
        <f t="shared" si="165"/>
        <v>0</v>
      </c>
      <c r="CO100">
        <f>IF(BC100="",0,_xlfn.LET(_xlpm.v,IFERROR(_xlfn.XLOOKUP(B100,Коды_код,Коды_мА),IFERROR(_xlfn.XLOOKUP(BC100,Коды_код,Коды_мА),IFERROR(_xlfn.XLOOKUP(LEFT(BC100,2),Коды_код,Коды_мА),""))),IF(_xlpm.v="да",30,IF(ISNUMBER(_xlpm.v),_xlpm.v,0))))</f>
        <v>0</v>
      </c>
      <c r="CP100" t="str">
        <f t="shared" si="166"/>
        <v/>
      </c>
      <c r="CQ100" t="str">
        <f>_xlfn.LET(_xlpm.k,IFERROR(_xlfn.XLOOKUP(BC100,Коды_код,Коды_утечка)&amp;"",""),IF(_xlpm.k="","дифавтомат",_xlpm.k))</f>
        <v>дифавтомат</v>
      </c>
      <c r="CR100" t="str" cm="1">
        <f t="array" ref="CR100">IF(CG100=0,"",_xlfn.LET(_xlpm.sg,TRIM(_xlfn.TEXTSPLIT(DD100&amp;"",";")),_xlpm.f_,_xlfn._xlws.FILTER(_xlpm.sg,LEFT(_xlpm.sg,3)="УЗО",""),IFERROR(INDEX(_xlpm.f_,1)&amp;"","")))</f>
        <v/>
      </c>
      <c r="CS100" t="str">
        <f t="shared" si="167"/>
        <v/>
      </c>
      <c r="CT100" s="6" t="str" cm="1">
        <f t="array" ref="CT100">IF(CR100="","",_xlfn.LET(_xlpm.tk,_xlfn.TEXTSPLIT(UPPER(CR100)," ",,TRUE),_xlpm.a_,_xlfn._xlws.FILTER(_xlpm.tk,ISNUMBER(--LEFT(_xlpm.tk,1))*((ISNUMBER(SEARCH("А",_xlpm.tk))+ISNUMBER(SEARCH("A",_xlpm.tk)))&gt;0)*NOT(ISNUMBER(SEARCH("МА",_xlpm.tk)))*NOT(ISNUMBER(SEARCH("MA",_xlpm.tk))),""),IFERROR(--SUBSTITUTE(SUBSTITUTE(INDEX(_xlpm.a_,1),"А",""),"A",""),"")))</f>
        <v/>
      </c>
      <c r="CU100" t="str" cm="1">
        <f t="array" ref="CU100">IF(CR100="","",_xlfn.LET(_xlpm.tk,_xlfn.TEXTSPLIT(UPPER(CR100)," ",,TRUE),_xlpm.a_,_xlfn._xlws.FILTER(_xlpm.tk,ISNUMBER(--LEFT(_xlpm.tk,1))*((ISNUMBER(SEARCH("МА",_xlpm.tk))+ISNUMBER(SEARCH("MA",_xlpm.tk)))&gt;0),""),IFERROR(--SUBSTITUTE(SUBSTITUTE(INDEX(_xlpm.a_,1),"МА",""),"MA",""),30)))</f>
        <v/>
      </c>
      <c r="CV100" t="str">
        <f>IF(CS100="","",IFERROR(_xlfn.XLOOKUP(CS100,Линии[_n],Линии[_УЗО, мА]),30))</f>
        <v/>
      </c>
      <c r="CW100">
        <f>IF(CS100="",0,IF(ISNUMBER(SEARCH("4P",IFERROR(_xlfn.XLOOKUP(CS100,Линии[_n],Линии[_УЗО строки])&amp;"",""))),0,1))</f>
        <v>0</v>
      </c>
      <c r="CX100" t="str">
        <f>IF(AND(CS100&lt;&gt;"",CS100=BA100),SUMIFS(Линии[_ток на 230 В],Линии[_блок УЗО],BA100,Линии[Щит],A100),"")</f>
        <v/>
      </c>
      <c r="CY100" t="str">
        <f>IF(AND(CS100&lt;&gt;"",CS100=BA100),SUMIFS(Линии[_ток утечки линии, мА],Линии[_блок УЗО],BA100,Линии[Щит],A100),"")</f>
        <v/>
      </c>
      <c r="CZ100">
        <f t="shared" si="168"/>
        <v>0</v>
      </c>
      <c r="DA100">
        <f t="shared" si="169"/>
        <v>0</v>
      </c>
      <c r="DB100">
        <f>IF(B100="",0,IFERROR(--_xlfn.XLOOKUP(B100,Коды_код,Коды_минавт),IFERROR(--_xlfn.XLOOKUP(BC100,Коды_код,Коды_минавт),IFERROR(--_xlfn.XLOOKUP(LEFT(BC100,2),Коды_код,Коды_минавт),0))))</f>
        <v>0</v>
      </c>
      <c r="DC100" t="str">
        <f>IF(B100="","",IFERROR(_xlfn.XLOOKUP(BC100,Коды_код,Коды_апп)&amp;"",""))</f>
        <v/>
      </c>
      <c r="DD100" t="str">
        <f t="shared" si="170"/>
        <v/>
      </c>
      <c r="DE100" t="str" cm="1">
        <f t="array" ref="DE100">IF(TRIM(DD100&amp;"")="","",IFERROR(TRIM(INDEX(_xlfn.TEXTSPLIT(DD100&amp;";;;",";"),1)),""))</f>
        <v/>
      </c>
      <c r="DF100" t="str" cm="1">
        <f t="array" ref="DF100">IF(TRIM(DD100&amp;"")="","",IFERROR(TRIM(INDEX(_xlfn.TEXTSPLIT(DD100&amp;";;;",";"),2)),""))</f>
        <v/>
      </c>
      <c r="DG100" t="str" cm="1">
        <f t="array" ref="DG100">IF(TRIM(DD100&amp;"")="","",IFERROR(TRIM(INDEX(_xlfn.TEXTSPLIT(DD100&amp;";;;",";"),3)),""))</f>
        <v/>
      </c>
      <c r="DH100">
        <f t="shared" si="171"/>
        <v>0</v>
      </c>
      <c r="DI100" t="str">
        <f>IF(B100="","",_xlfn.LET(_xlpm.t,LOWER(AZ100&amp;""),IF(ISNUMBER(SEARCH("dim",_xlpm.t)),"DIM",IF(ISNUMBER(SEARCH("dali",_xlpm.t)),"DALI",IF(OR(ISNUMBER(SEARCH("relay",_xlpm.t)),ISNUMBER(SEARCH("реле",_xlpm.t))),"Relay",IF(ISNUMBER(SEARCH("кнопк",_xlpm.t)),"",IFERROR(_xlfn.XLOOKUP(BC100,Коды_код,Коды_упр)&amp;"","")))))))</f>
        <v/>
      </c>
      <c r="DJ100" t="str">
        <f t="shared" si="172"/>
        <v/>
      </c>
      <c r="DK100">
        <f>IF(B100="","",_xlfn.LET(_xlpm.ig,IF(N(CX100)&gt;0,N(CX100),N(CI100)+IF(AJ100="вручную",0,N(CJ100))),_xlpm.n0,IFERROR(VLOOKUP(_xlpm.ig,Автомат_номиналы,2,TRUE),0),_xlpm.mn,MAX(DB100,IF(AJ100="вручную",0,N(CM100))),MAX(_xlpm.n0,_xlpm.mn,IF(DH100=1,Мин_автомат_БП,0))))</f>
        <v>6</v>
      </c>
      <c r="DL100">
        <f t="shared" si="173"/>
        <v>1</v>
      </c>
      <c r="DM100" t="str">
        <f t="shared" si="174"/>
        <v>1P</v>
      </c>
      <c r="DN100" t="str">
        <f>_xlfn.LET(_xlpm.cc,UPPER(TRIM(IFERROR(_xlfn.XLOOKUP(BC100,Коды_код,Коды_хар)&amp;"",""))),IF(OR(_xlpm.cc="B",_xlpm.cc="В"),"B",IF(_xlpm.cc="D","D","С")))</f>
        <v>С</v>
      </c>
      <c r="DO100" t="str">
        <f t="shared" si="175"/>
        <v>1P С6А</v>
      </c>
      <c r="DP100">
        <f t="shared" si="176"/>
        <v>10</v>
      </c>
      <c r="DQ100" t="str">
        <f t="shared" si="177"/>
        <v>1P С10А</v>
      </c>
      <c r="DR100" cm="1">
        <f t="array" ref="DR100">IF(DQ100="","",_xlfn.LET(_xlpm.t,SUBSTITUTE(SUBSTITUTE(SUBSTITUTE(UPPER(DQ100),"С","C"),"А","A"),"В","B"),_xlpm.tk,_xlfn.TEXTSPLIT(_xlpm.t," "),_xlpm.f,_xlfn._xlws.FILTER(_xlpm.tk,ISNUMBER(--MID(_xlpm.tk,2,1))*ISNUMBER(SEARCH(LEFT(_xlpm.tk,1)&amp;"#","B#C#D#"))*(LEN(_xlpm.tk)&gt;1),""),_xlpm.x,INDEX(_xlpm.f,1),IFERROR(--SUBSTITUTE(MID(_xlpm.x,2,9),"A",""),IFERROR(--SUBSTITUTE(INDEX(_xlfn._xlws.FILTER(_xlpm.tk,ISNUMBER(--SUBSTITUTE(_xlpm.tk,"A","")),""),1),"A",""),""))))</f>
        <v>10</v>
      </c>
      <c r="DS100" t="str">
        <f t="shared" si="178"/>
        <v>ok</v>
      </c>
      <c r="DT100">
        <f t="shared" si="179"/>
        <v>10</v>
      </c>
      <c r="DU100" t="str">
        <f t="shared" si="180"/>
        <v>1P С10А</v>
      </c>
      <c r="DV100">
        <f t="shared" si="181"/>
        <v>0</v>
      </c>
      <c r="DW100">
        <f t="shared" si="182"/>
        <v>0</v>
      </c>
      <c r="DX100">
        <f t="shared" si="183"/>
        <v>0</v>
      </c>
      <c r="DY100">
        <f t="shared" si="184"/>
        <v>0.56291651245988494</v>
      </c>
      <c r="DZ100">
        <f t="shared" si="185"/>
        <v>1</v>
      </c>
      <c r="EA100">
        <f>IF(ISNUMBER(AP100),AP100,К_прокл)</f>
        <v>1</v>
      </c>
      <c r="EB100">
        <f t="shared" si="186"/>
        <v>2</v>
      </c>
      <c r="EC100">
        <f>IFERROR(N(VLOOKUP(BZ100,Кабель_обозначение,3,FALSE)),1)</f>
        <v>1</v>
      </c>
      <c r="ED100">
        <f>IFERROR(N(_xlfn.XLOOKUP(A100,Щиты[Щит],Щиты[ΔU до шин, %])),0)</f>
        <v>0.74</v>
      </c>
      <c r="EE100" t="str">
        <f>IFERROR(_xlfn.XLOOKUP(A100,Щиты[Щит],Щиты[Zпетли на шинах, Ом]),"")</f>
        <v/>
      </c>
      <c r="EF100">
        <f>IFERROR(N(_xlfn.XLOOKUP(A100,Щиты[Щит],Щиты[ΔU до шин (подбор), %])),0)</f>
        <v>1.96</v>
      </c>
      <c r="EG100" t="str">
        <f>IFERROR(_xlfn.XLOOKUP(A100,Щиты[Щит],Щиты[Zпетли на шинах (подбор), Ом]),"")</f>
        <v/>
      </c>
      <c r="EH100" t="str">
        <f t="shared" si="187"/>
        <v/>
      </c>
      <c r="EI100">
        <f t="shared" si="188"/>
        <v>26</v>
      </c>
      <c r="EJ100">
        <f t="shared" si="189"/>
        <v>2</v>
      </c>
      <c r="EK100">
        <f t="shared" si="190"/>
        <v>0.6</v>
      </c>
      <c r="EL100" s="6">
        <f>IF(B100="","",IF(BV100=1,dU_LED,IF(IFERROR(_xlfn.XLOOKUP(BC100,Коды_код,Коды_уго),"")="Светильник",3,4)+IF(Методика="нормы 2026",MIN(0.5,MAX(0,N(P100)-100)*0.005),0)))</f>
        <v>4</v>
      </c>
      <c r="EM100" cm="1">
        <f t="array" ref="EM100">IF(OR(B100="",BZ100="",EC100&lt;&gt;1),"",_xlfn.LET(_xlpm.sz,Iдоп_S,_xlpm.t_,CHOOSE(EB100,Iдоп_1ж,Iдоп_2ж,Iдоп_3ж)*DZ100*EA100,_xlpm.dcx,BV100=1,_xlpm.inn,IF(_xlpm.dcx,N(O100),N(DT100)),_xlpm.smin,MAX(1.5,CC100),_xlpm.L_,N(P100)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100)/N(BU100)*100,999),IFERROR(N(EJ100)*(_xlpm.rho*_xlpm.L_/_xlpm.sz*N(CE100)+_xlpm.xx*_xlpm.L_*N(EK100)/1000)*N(O100)/((Uн_лин/SQRT(3))*1000)*100,999)),_xlpm.kz,IF(OR(_xlpm.dcx,DW100=1,NOT(ISNUMBER(EG100)),_xlpm.L_=0,_xlpm.inn=0),1,IFERROR(--(c_min*(Uн_лин*1000/SQRT(3))/(EG100+2*ρкз_Cu*_xlpm.L_/_xlpm.sz)&gt;=HT100*_xlpm.inn),0)),_xlpm.ok,IFERROR((_xlpm.sz&gt;=_xlpm.smin)*(_xlpm.t_&gt;=_xlpm.inn)*IF(_xlpm.L_&gt;0,(_xlpm.du_+IF(_xlpm.dcx,0,EF100)&lt;=EL100+0.00001),1)*_xlpm.kz,0),_xlpm.r_,_xlfn._xlws.FILTER(_xlpm.sz,_xlpm.ok,"не подобрано"),INDEX(_xlpm.r_,1)))</f>
        <v>1.5</v>
      </c>
      <c r="EN100">
        <f t="shared" si="191"/>
        <v>1.5</v>
      </c>
      <c r="EO100" cm="1">
        <f t="array" ref="EO100">IF(OR(B100="",BZ100="",EC100&lt;&gt;1),"",_xlfn.LET(_xlpm.sz,Iдоп_S,_xlpm.t_,CHOOSE(EB100,Iдоп_1ж,Iдоп_2ж,Iдоп_3ж)*DZ100*EA100,_xlpm.ok,IFERROR((_xlpm.sz&gt;=MAX(1.5,CC100))*(_xlpm.t_&gt;=N(DT100)),0),_xlpm.r_,_xlfn._xlws.FILTER(_xlpm.sz,_xlpm.ok,""),INDEX(_xlpm.r_,1)))</f>
        <v>1.5</v>
      </c>
      <c r="EP100" s="6" cm="1">
        <f t="array" ref="EP100">IFERROR(ROUNDUP(N(EJ100)*(_xlfn.XLOOKUP(EO100,INDEX(Кабель_сопротивление,0,1),INDEX(Кабель_сопротивление,0,3))*N(P100)/EO100*N(CE100)+_xlfn.XLOOKUP(EO100,INDEX(Кабель_сопротивление,0,1),INDEX(Кабель_сопротивление,0,2))*N(P100)*N(EK100)/1000)*N(O100)/((Uн_лин/SQRT(3))*1000)*100,2),"")</f>
        <v>0.17</v>
      </c>
      <c r="EQ100">
        <f>IFERROR(2*ρкз_Cu*N(P100)/EO100,"")</f>
        <v>0.98186666666666678</v>
      </c>
      <c r="ER100">
        <f>IFERROR(VLOOKUP(EN100,Кабель_сопротивление,3,FALSE),"")</f>
        <v>2.2499999999999999E-2</v>
      </c>
      <c r="ES100">
        <f>IFERROR(VLOOKUP(EN100,Кабель_сопротивление,2,FALSE),"")</f>
        <v>0.11</v>
      </c>
      <c r="ET100">
        <f t="shared" si="192"/>
        <v>22</v>
      </c>
      <c r="EU100">
        <f t="shared" si="193"/>
        <v>0</v>
      </c>
      <c r="EV100">
        <f t="shared" si="194"/>
        <v>0.38036043580309448</v>
      </c>
      <c r="EW100" s="6">
        <f>IFERROR(ROUNDUP(EV100/IF(BV100=1,BU100,(Uн_лин/SQRT(3))*1000)*100,2),"")</f>
        <v>0.17</v>
      </c>
      <c r="EX100" t="str">
        <f>IFERROR(VLOOKUP(BZ100,Кабель_обозначение,2,FALSE),"")</f>
        <v>ВВГнг(А)-LS</v>
      </c>
      <c r="EY100" t="str">
        <f t="shared" si="195"/>
        <v>ВВГнг(А)-LS (3х1,5)</v>
      </c>
      <c r="EZ100" t="str">
        <f t="shared" si="196"/>
        <v>ВВГнг(А)-LS (3х1,5)
L=28-0,17%</v>
      </c>
      <c r="FA100">
        <f>IFERROR(2*ρкз_Cu*P100/EN100,"")</f>
        <v>0.98186666666666678</v>
      </c>
      <c r="FB100">
        <f t="shared" si="197"/>
        <v>0.32666666666666672</v>
      </c>
      <c r="FC100" s="6" t="str">
        <f>IFERROR(IF(OR(B100="",BV100=1,NOT(ISNUMBER(EN100)),N(P100)=0),"",_xlfn.XLOOKUP(A100,Щиты[Щит],Щиты[Zпетли на шинах, Ом])+FA100),"")</f>
        <v/>
      </c>
      <c r="FD100" s="6" t="str">
        <f>IF(ISNUMBER(FC100),c_min*(Uн_лин*1000/SQRT(3))/FC100,"")</f>
        <v/>
      </c>
      <c r="FE100" s="6" t="str">
        <f>IFERROR(IF(OR(B100="",NOT(ISNUMBER(EN100))),"",1.05*(Uн_лин*1000/SQRT(3))/(_xlfn.XLOOKUP(A100,Щиты[Щит],Щиты[Zmax на шинах, Ом])+FB100)/1000),"")</f>
        <v/>
      </c>
      <c r="FF100" s="6" t="str">
        <f>IF(B100="","",IF(ISNUMBER(AC100),"Сил",IF(IFERROR(_xlfn.XLOOKUP(BC100,Коды_код,Коды_группа)&amp;"","")="","Быт",_xlfn.XLOOKUP(BC100,Коды_код,Коды_группа)&amp;"")))</f>
        <v>Сил</v>
      </c>
      <c r="FG100" s="6" t="str">
        <f t="shared" si="198"/>
        <v>Сил</v>
      </c>
      <c r="FH100" s="6">
        <f>IF(FG100="Щит","щит",IF(FG100="","",IF(FG100="Быт",IFERROR(_xlfn.XLOOKUP(A100,Щиты[Щит],Щиты[Кс быт]),1),IF(FG100="Сил",IF(ISNUMBER(AC100),AC100,IF(Методика="нормы 2026",IFERROR(_xlfn.XLOOKUP(A100,Щиты[Щит],Щиты[Кс силовых (табл. 7.5)]),1),1)),IF(OR(FG100="Пост",FG100="Отоп"),1,IF(FG100="ВНГ",0.7,0))))))</f>
        <v>0.5</v>
      </c>
      <c r="FI100">
        <f>IF(FG100="","",IF(AND(BP100=1,TRIM(AE100&amp;"")=""),IF(COUNTIFS(Линии[Щит],A100,Линии[Секция (1/2/3)],"&gt;=2")&gt;0,MIN(3,MAX(1,IFERROR(--BD100,1))),1),IFERROR(MIN(3,MAX(1,INT(--AE100))),1)))</f>
        <v>1</v>
      </c>
      <c r="FJ100">
        <f t="shared" si="199"/>
        <v>0.104</v>
      </c>
      <c r="FK100">
        <f t="shared" si="200"/>
        <v>0</v>
      </c>
      <c r="FL100">
        <f t="shared" si="201"/>
        <v>5.1999999999999998E-2</v>
      </c>
      <c r="FM100">
        <f t="shared" si="202"/>
        <v>0</v>
      </c>
      <c r="FN100">
        <f t="shared" si="203"/>
        <v>0</v>
      </c>
      <c r="FO100">
        <f t="shared" si="204"/>
        <v>0</v>
      </c>
      <c r="FP100">
        <f t="shared" si="205"/>
        <v>0.104</v>
      </c>
      <c r="FQ100">
        <f t="shared" si="206"/>
        <v>0.104</v>
      </c>
      <c r="FR100">
        <f t="shared" si="207"/>
        <v>8.3199999999999996E-2</v>
      </c>
      <c r="FS100">
        <f>IF(CG100=1,IF(AND(CH100=1,CW100=1),0,IF(AND(CS100&lt;&gt;"",CS100=BA100,CW100=1),SUMIFS(Линии[_Р линии, кВт],Линии[_блок УЗО],BA100,Линии[Щит],A100),N(BS100)+IF(AJ100="вручную",0,N(CK100)))),0)</f>
        <v>0.104</v>
      </c>
      <c r="FT100" t="str">
        <f t="shared" si="208"/>
        <v>L1</v>
      </c>
      <c r="FU100" t="str">
        <f>IF(B100="","",IF(CG100=0,IF(BA100=1,"",FW99),IF(AND(CH100=1,CW100=1,CS100&lt;&gt;""),IFERROR(_xlfn.XLOOKUP(CS100,Линии[_n],Линии[_фаза итог]),"L1"),IF(OR(N(DL100)&gt;=3,N(BX100)&gt;=3),"L1,L2,L3",IFERROR(_xlfn.TEXTBEFORE(_xlfn.TEXTAFTER(_xlfn.XLOOKUP(A100,Щиты[Щит],Щиты[_фазы авто]),";"&amp;BA100&amp;":"),";"),"L1")))))</f>
        <v>L1</v>
      </c>
      <c r="FV100" t="str">
        <f t="shared" si="209"/>
        <v>L1</v>
      </c>
      <c r="FW100" t="str">
        <f t="shared" si="210"/>
        <v>L1</v>
      </c>
      <c r="FX100" cm="1">
        <f t="array" ref="FX100">IFERROR(IF(CD100=2,_xlfn.IFS(BX100=3,VLOOKUP(BS100,Справочная_двигатели,3,FALSE),BX100=1,VLOOKUP(BS100,Справочная_двигатели,5,TRUE)),0),0)</f>
        <v>0</v>
      </c>
      <c r="FY100">
        <f>IFERROR(IF(CD100=3,VLOOKUP(BS100,Справочная_ЛЭД,2,TRUE),0),0)</f>
        <v>0</v>
      </c>
      <c r="FZ100" s="6">
        <f t="shared" si="211"/>
        <v>0</v>
      </c>
      <c r="GA100" t="str">
        <f>IF(B100="","",IF(TRIM(AH100&amp;"")&lt;&gt;"",IF(LOWER(TRIM(AH100&amp;""))="да","да","нет"),IF(IFERROR(_xlfn.XLOOKUP(BC100,Коды_код,Коды_пожарная),"")="да","да","нет")))</f>
        <v>нет</v>
      </c>
      <c r="GB100" t="str">
        <f t="shared" si="212"/>
        <v/>
      </c>
      <c r="GC100" t="str">
        <f t="shared" si="213"/>
        <v>основная</v>
      </c>
      <c r="GD100">
        <f>IF(AND(BP100=1,TRIM(AE100&amp;"")=""),IF(COUNTIFS(Линии[Щит],A100,Линии[Секция (1/2/3)],"&gt;=2")&gt;0,MIN(3,MAX(1,IFERROR(--BD100,1))),1),IFERROR(MIN(3,MAX(1,INT(--AE100))),1))</f>
        <v>1</v>
      </c>
      <c r="GE100" t="str" cm="1">
        <f t="array" ref="GE100">IF(B100="","",_xlfn.LET(_xlpm.t,IFERROR(_xlfn.XLOOKUP(1,(Шины[Шина]=GC100)*(((Шины[Щит]=A100)+(Шины[Щит]=""))&gt;0),Шины[Тип]),"")&amp;"",IF(_xlpm.t&lt;&gt;"",_xlpm.t,IF(ISNUMBER(SEARCH("ИБП",GC100)),"ИБП",IF(ISNUMBER(SEARCH("ДГУ",GC100)),"ДГУ","Ввод "&amp;GD100)))))</f>
        <v>Ввод 1</v>
      </c>
      <c r="GF100" t="str">
        <f t="shared" si="214"/>
        <v>Ввод 1</v>
      </c>
      <c r="GG100" t="str">
        <f>IF(BP100=0,"",IF(TRIM(AG100&amp;"")&lt;&gt;"",TRIM(AG100&amp;""),IF(OR(GE100="ИБП",GE100="ДГУ"),"I особая",_xlfn.XLOOKUP(A100,Щиты[Щит],Щиты[Категория шины «Ввод»],"III"))))</f>
        <v/>
      </c>
      <c r="GH100" t="str">
        <f>IF(A100="","",_xlfn.XLOOKUP(A100,Щиты[Щит],Щиты[Путь],""))</f>
        <v>|ГРЩ-ЖД|ЩОВ-002|</v>
      </c>
      <c r="GI100" t="str">
        <f>IF(B100="","",IF(AI100&lt;&gt;"",AI100,IF(IFERROR(_xlfn.XLOOKUP(BC100,Коды_код,Коды_вид)&amp;"","")="","Прочее",_xlfn.XLOOKUP(BC100,Коды_код,Коды_вид)&amp;"")))</f>
        <v>Кондиционирование и увлажнение</v>
      </c>
      <c r="GJ100">
        <f>IF(BM100="","",INT((BM100-1)/Столбцов_на_лист)+1)</f>
        <v>2</v>
      </c>
      <c r="GK100" t="str">
        <f t="shared" si="215"/>
        <v>ВВГнг(А)-LS (3х1,5) L=28-0,17%</v>
      </c>
      <c r="GL100">
        <f t="shared" si="216"/>
        <v>0.104</v>
      </c>
      <c r="GM100">
        <f t="shared" si="217"/>
        <v>0.57000000000000006</v>
      </c>
      <c r="GN100">
        <f t="shared" si="218"/>
        <v>1</v>
      </c>
      <c r="GO100">
        <f t="shared" si="219"/>
        <v>0</v>
      </c>
      <c r="GP100">
        <f t="shared" si="220"/>
        <v>1</v>
      </c>
      <c r="GQ100">
        <f>IF(BM100="","",IF(AND(CG100=1,GP100=1),COUNTIFS(A$3:A100,A100,CG$3:CG100,1,GP$3:GP100,1),IF(OR(OR(BA100=1,A100&lt;&gt;A99),AJ100="вручную",GP100=0),"",IF(BA100=1,"",GR99))))</f>
        <v>12</v>
      </c>
      <c r="GR100">
        <f t="shared" si="221"/>
        <v>12</v>
      </c>
      <c r="GS100">
        <f>IF(B100="","",IFERROR(LOOKUP(INDEX(CHOOSE(EB100,Iдоп_1ж,Iдоп_2ж,Iдоп_3ж),MATCH(EN100,Iдоп_S,0))*DZ100*EA100,{6,10,16,20,25,32,40,50,63,80,100,125,160,200,250,315,400,500,630}),""))</f>
        <v>16</v>
      </c>
      <c r="GT100" t="str">
        <f t="shared" si="222"/>
        <v>QF12</v>
      </c>
      <c r="GU100" t="str">
        <f t="shared" si="223"/>
        <v>QF12</v>
      </c>
      <c r="GV100" t="str">
        <f t="shared" si="224"/>
        <v/>
      </c>
      <c r="GW100">
        <f t="shared" si="225"/>
        <v>0</v>
      </c>
      <c r="GX100" t="str">
        <f>IF(OR(B100="",DJ100=""),"",IFERROR(_xlfn.XLOOKUP(DJ100,Модули_умолч[Управление],Модули_умолч[Модель])&amp;"",""))</f>
        <v/>
      </c>
      <c r="GY100">
        <f>IF(DJ100="",1,IFERROR(MAX(0,N(_xlfn.XLOOKUP(DJ100,Модули_умолч[Управление],Модули_умолч[Каналов на линию]))),1))</f>
        <v>1</v>
      </c>
      <c r="GZ100" t="str">
        <f t="shared" si="226"/>
        <v/>
      </c>
      <c r="HA100" t="str">
        <f t="shared" si="227"/>
        <v/>
      </c>
      <c r="HB100" t="str">
        <f t="shared" si="228"/>
        <v/>
      </c>
      <c r="HC100">
        <f>IF(HB100="",0,IFERROR(N(VLOOKUP(HB100,Модули_спр,3,FALSE)),0))</f>
        <v>0</v>
      </c>
      <c r="HD100" t="str">
        <f t="shared" si="229"/>
        <v/>
      </c>
      <c r="HE100" t="str">
        <f t="shared" si="230"/>
        <v/>
      </c>
      <c r="HF100" t="str">
        <f>IF(OR(HE100="",HE100="-"),"",IFERROR(VLOOKUP(HE100,Модули_спр,2,FALSE),"R"))</f>
        <v/>
      </c>
      <c r="HG100" t="str">
        <f>IF(HF100="","",HF100&amp;"."&amp;COUNTIFS(A$3:A100,A100,HF$3:HF100,HF100))</f>
        <v/>
      </c>
      <c r="HH100" t="str">
        <f t="shared" si="231"/>
        <v/>
      </c>
      <c r="HI100" t="str">
        <f t="shared" si="232"/>
        <v/>
      </c>
      <c r="HJ100" t="str">
        <f t="shared" si="233"/>
        <v/>
      </c>
      <c r="HK100" t="str">
        <f t="shared" si="234"/>
        <v/>
      </c>
      <c r="HL100">
        <f t="shared" si="235"/>
        <v>1</v>
      </c>
      <c r="HM100" t="str">
        <f>IF(HL100=1,"XT"&amp;COUNTIFS(A$3:A100,A100,HL$3:HL100,1),"")</f>
        <v>XT12</v>
      </c>
      <c r="HN100" t="str">
        <f t="shared" si="236"/>
        <v/>
      </c>
      <c r="HO100" t="str">
        <f t="shared" si="237"/>
        <v>QF12</v>
      </c>
      <c r="HP100" t="str">
        <f t="shared" si="238"/>
        <v/>
      </c>
      <c r="HQ100" t="str">
        <f t="shared" si="239"/>
        <v>ok</v>
      </c>
      <c r="HR100" t="str">
        <f>IF(OR(HJ100="",HH100=""),"",IF(HJ100+MAX(0,GY100-1)&gt;IFERROR(VLOOKUP(HI100,Модули_спр,3,FALSE),99),"ЛИШНИЙ КАНАЛ",IF(AND(AL100&lt;&gt;"=",GY100&gt;0,COUNTIFS(Линии[_модуль гр.],HH100,Линии[Канал (итог)],HJ100,Линии[Канал],"&lt;&gt;=",Линии[Щит],A100)&gt;1),"ДУБЛЬ КАНАЛА","")))</f>
        <v/>
      </c>
      <c r="HS100" s="6" t="str">
        <f t="shared" si="240"/>
        <v/>
      </c>
      <c r="HT100">
        <f t="shared" si="241"/>
        <v>10</v>
      </c>
      <c r="HU100" t="str">
        <f t="shared" si="242"/>
        <v/>
      </c>
      <c r="HV100">
        <f t="shared" si="243"/>
        <v>0.50516660498395405</v>
      </c>
      <c r="HW100">
        <f t="shared" si="244"/>
        <v>0</v>
      </c>
      <c r="HX100">
        <f t="shared" si="245"/>
        <v>0</v>
      </c>
      <c r="HY100">
        <f t="shared" si="246"/>
        <v>0</v>
      </c>
      <c r="HZ100">
        <f t="shared" si="247"/>
        <v>0</v>
      </c>
      <c r="IA100">
        <f t="shared" si="248"/>
        <v>0</v>
      </c>
      <c r="IB100">
        <f t="shared" si="249"/>
        <v>0</v>
      </c>
      <c r="IC100" t="str">
        <f t="shared" si="250"/>
        <v/>
      </c>
      <c r="ID100" t="str" cm="1">
        <f t="array" ref="ID100">IF(IC100="","",_xlfn.LET(_xlpm.tk,_xlfn.TEXTSPLIT(SUBSTITUTE(SUBSTITUTE(IC100,";"," "),"→"," ")," ",,TRUE),_xlpm.w_,_xlfn._xlws.FILTER(_xlpm.tk,ISNUMBER(--LEFT(_xlpm.tk,1))*((ISNUMBER(SEARCH("W",_xlpm.tk))+ISNUMBER(SEARCH("Вт",_xlpm.tk)))&gt;0),""),IFERROR(--SUBSTITUTE(SUBSTITUTE(UPPER(INDEX(_xlpm.w_,1)),"W",""),"ВТ",""),"")))</f>
        <v/>
      </c>
      <c r="IE100" t="str" cm="1">
        <f t="array" ref="IE100">IF(IC100="","",_xlfn.LET(_xlpm.tk,_xlfn.TEXTSPLIT(SUBSTITUTE(SUBSTITUTE(IC100,";"," "),"→"," ")," ",,TRUE),_xlpm.v_,_xlfn._xlws.FILTER(_xlpm.tk,ISNUMBER(--LEFT(_xlpm.tk,1))*((ISNUMBER(SEARCH("V",_xlpm.tk))+(RIGHT(UPPER(_xlpm.tk))="В"))&gt;0),""),IFERROR(--SUBSTITUTE(SUBSTITUTE(UPPER(INDEX(_xlpm.v_,1)),"V",""),"В",""),"")))</f>
        <v/>
      </c>
      <c r="IF100" s="6" t="str">
        <f>IF(OR(BV100=0,HI100="",HJ100=""),"",IFERROR(N(_xlfn.XLOOKUP(HI100,Каталог!$C$4:$C$500,Каталог!$Q$4:$Q$500)),""))</f>
        <v/>
      </c>
      <c r="IG100" s="6" t="str">
        <f>IF(N(IF100)=0,"",SUMIFS(Линии[Iр, А],Линии[Щит],A100,Линии[_модуль гр.],HH100,Линии[Канал (итог)],HJ100))</f>
        <v/>
      </c>
      <c r="IH100" t="str">
        <f>IF(AND(B100="",HO100=""),"",_xlfn.TEXTJOIN("; ",TRUE,IF(AND(B100&lt;&gt;"",FV100=""),"нет фазы",""),IF(AND(B100&lt;&gt;"",N(GL100)=0,FG100&lt;&gt;"Нет"),"нет мощности",""),IF(AND(HN100&lt;&gt;"",COUNTIFS(Линии[Щит],A100,Линии[Клемма (итог)],HN100)&gt;1),"дубль клеммы "&amp;HN100,""),IF(AND(HQ100&lt;&gt;"",HQ100&lt;&gt;"ok"),HQ100,""),IF(HR100&lt;&gt;"",HR100,""),IF(AND(N(CB100)&gt;=4,N(BX100)=1),CB100&amp;" жил на 1 фазе",""),IF(AND(BC100="R",CG100=1,IF(CS100&lt;&gt;"",N(CV100)&gt;30,OR(N(DA100)=0,N(DA100)&gt;30))),"розетка без дифзащиты до 30 мА",""),IF(AND(CG100=1,N(DA100)&gt;0,ISNUMBER(T100)),IF(T100&gt;N(DA100)/3,"ток утечки "&amp;FIXED(T100,1)&amp;" мА &gt; 1/3 уставки ("&amp;DA100&amp;" мА)",""),""),IF(AND(CH100=1,CS100=""),"«узо»: нет строки с УЗО выше (УЗО 2P 40А 30мА в «Аппаратах»)",""),IF(AND(CS100&lt;&gt;"",CS100=BA100),IF(CT100="","впишите номинал УЗО (УЗО 2P 40А 30мА)",IF(N(CT100)&lt;N(DT100),"УЗО "&amp;CT100&amp;" А &lt; автомата "&amp;DT100&amp;" А перед ним",IF(N(CT100)&lt;N(CX100),"УЗО "&amp;CT100&amp;" А &lt; тока блока "&amp;FIXED(CX100,1)&amp;" А",""))),""),IF(AND(CS100&lt;&gt;"",CS100=BA100,ISNUMBER(CY100)),IF(CY100&gt;N(CV100)/3,"ток утечки блока УЗО "&amp;FIXED(CY100,1)&amp;" мА &gt; 1/3 уставки ("&amp;CV100&amp;" мА)",""),""),IF(AND(CG100=1,N(BV100)+N(IB100)&gt;0,IC100=""),"линии до 50 В без БП: впишите в «Аппараты» (БП 24V 480W)",""),IF(AND(CG100=1,ISNUMBER(ID100),ISNUMBER(U100)),IF(U100&gt;ID100,"БП "&amp;ID100&amp;" Вт &lt; нужно "&amp;U100&amp;" Вт (×"&amp;Запас_БП&amp;")",""),""),IF(AND(CG100=1,ISNUMBER(IE100),N(BV100)=1),IF(IE100&lt;&gt;N(BU100),"БП на "&amp;IE100&amp;" В, линия "&amp;BU100&amp;" В",""),""),IF(AND(N(IF100)&gt;0,N(IG100)&gt;N(IF100)),HH100&amp;" канал "&amp;HJ100&amp;": "&amp;FIXED(IG100,1)&amp;" А &gt; "&amp;IF100&amp;" А",""),IFERROR(IF(AND(ISNUMBER(Q100),Q100&gt;EL100),"потери "&amp;FIXED(Q100,1)&amp;" % &gt; "&amp;EL100&amp;" %",""),""),IFERROR(IF(LEFT(HU100,4)="мало","Iкз мало — отключение &gt; 0,4 с",""),""),IF(AND(B100&lt;&gt;"",BM100=""),"не на схеме",""),IF(AND(CG100=0,B100&lt;&gt;"",FV100&lt;&gt;"",IF(BA100=1,"",FW99)&lt;&gt;"",FV100&lt;&gt;IF(BA100=1,"",FW99)),"фаза не как у автомата группы ("&amp;IF(BA100=1,"",FW99)&amp;")","")))</f>
        <v/>
      </c>
      <c r="II100" s="6">
        <f>IF(OR(CG100=0,DQ100=""),"",_xlfn.LET(_xlpm.t,IFERROR(_xlfn.XLOOKUP(DQ100,Каталог!$U$4:$U$500,Каталог!$G$4:$G$500),""),_xlpm.k,SEARCH("кА",_xlpm.t),IFERROR(--TRIM(RIGHT(SUBSTITUTE(MID(_xlpm.t,MAX(1,_xlpm.k-4),_xlpm.k-MAX(1,_xlpm.k-4))," ",REPT(" ",9)),5)),"")))</f>
        <v>6</v>
      </c>
      <c r="IJ100" t="str">
        <f>IF(OR(II100="",CG100=0),"",IF(_xlfn.XLOOKUP(A100,Щиты[Щит],Щиты[Iкз max на шинах, кА],"")="","",IF(II100&lt;_xlfn.XLOOKUP(A100,Щиты[Щит],Щиты[Iкз max на шинах, кА]),"Icu "&amp;II100&amp;" кА &lt; Iкз max","ok")))</f>
        <v/>
      </c>
      <c r="IK100" t="str">
        <f t="shared" si="251"/>
        <v/>
      </c>
      <c r="IL100" t="str">
        <f t="shared" si="252"/>
        <v>QF12</v>
      </c>
      <c r="IM100" t="str">
        <f t="shared" si="253"/>
        <v>QF12|кабель ВВГнг(А)-LS (3х1,5) → Внутренний блок кондиционирования Подвальный этаж Пом. №007Т</v>
      </c>
      <c r="IN100" t="str" cm="1">
        <f t="array" ref="IN100">IF(IM100="","",_xlfn.LET(_xlpm.nd,_xlfn.TEXTSPLIT(IM100,"|"),IF(COLUMNS(_xlpm.nd)&gt;1,A100&amp;"¦"&amp;INDEX(_xlpm.nd,1)&amp;"¦"&amp;INDEX(_xlpm.nd,2),"")))</f>
        <v>ЩОВ-002¦QF12¦кабель ВВГнг(А)-LS (3х1,5) → Внутренний блок кондиционирования Подвальный этаж Пом. №007Т</v>
      </c>
      <c r="IO100" t="str">
        <f t="shared" si="254"/>
        <v>K.00.007T.1¦Внутренний блок кондиционирования Подвальный этаж Пом. №007Т</v>
      </c>
      <c r="IP100" t="str" cm="1">
        <f t="array" ref="IP100">IF(IM100="","",_xlfn.LET(_xlpm.nd,_xlfn.TEXTSPLIT(IM100,"|"),IF(COLUMNS(_xlpm.nd)&gt;2,A100&amp;"¦"&amp;INDEX(_xlpm.nd,2)&amp;"¦"&amp;INDEX(_xlpm.nd,3),"")))</f>
        <v/>
      </c>
      <c r="IQ100" t="str">
        <f t="shared" si="255"/>
        <v/>
      </c>
      <c r="IR100" t="str" cm="1">
        <f t="array" ref="IR100">IF(IM100="","",_xlfn.LET(_xlpm.nd,_xlfn.TEXTSPLIT(IM100,"|"),IF(COLUMNS(_xlpm.nd)&gt;3,A100&amp;"¦"&amp;INDEX(_xlpm.nd,3)&amp;"¦"&amp;INDEX(_xlpm.nd,4),"")))</f>
        <v/>
      </c>
      <c r="IS100" t="str">
        <f t="shared" si="256"/>
        <v/>
      </c>
      <c r="IT100" t="str" cm="1">
        <f t="array" ref="IT100">IF(IM100="","",_xlfn.LET(_xlpm.nd,_xlfn.TEXTSPLIT(IM100,"|"),IF(COLUMNS(_xlpm.nd)&gt;4,A100&amp;"¦"&amp;INDEX(_xlpm.nd,4)&amp;"¦"&amp;INDEX(_xlpm.nd,5),"")))</f>
        <v/>
      </c>
      <c r="IU100" t="str">
        <f t="shared" si="257"/>
        <v/>
      </c>
      <c r="IV100" t="str" cm="1">
        <f t="array" ref="IV100">IF(IM100="","",_xlfn.LET(_xlpm.nd,_xlfn.TEXTSPLIT(IM100,"|"),IF(COLUMNS(_xlpm.nd)&gt;5,A100&amp;"¦"&amp;INDEX(_xlpm.nd,5)&amp;"¦"&amp;INDEX(_xlpm.nd,6),"")))</f>
        <v/>
      </c>
      <c r="IW100" t="str">
        <f t="shared" si="258"/>
        <v/>
      </c>
      <c r="IX100" t="str" cm="1">
        <f t="array" ref="IX100">IF(IM100="","",_xlfn.LET(_xlpm.nd,_xlfn.TEXTSPLIT(IM100,"|"),IF(COLUMNS(_xlpm.nd)&gt;6,A100&amp;"¦"&amp;INDEX(_xlpm.nd,6)&amp;"¦"&amp;INDEX(_xlpm.nd,7),"")))</f>
        <v/>
      </c>
      <c r="IY100" t="str">
        <f t="shared" si="259"/>
        <v/>
      </c>
      <c r="IZ100" t="str">
        <f t="shared" si="260"/>
        <v/>
      </c>
      <c r="JA100" t="str">
        <f t="shared" si="261"/>
        <v>QF12</v>
      </c>
      <c r="JB100">
        <f t="shared" si="262"/>
        <v>0</v>
      </c>
      <c r="JC100">
        <f t="shared" si="263"/>
        <v>0</v>
      </c>
      <c r="JD100" t="str">
        <f t="shared" si="264"/>
        <v/>
      </c>
      <c r="JE100" t="str">
        <f t="shared" si="265"/>
        <v/>
      </c>
      <c r="JF100" t="str">
        <f t="shared" si="266"/>
        <v/>
      </c>
      <c r="JG100" t="str">
        <f t="shared" si="267"/>
        <v/>
      </c>
      <c r="JH100">
        <f>IF(B100="","",IFERROR(_xlfn.XLOOKUP(B100,Коды_код,Коды_уго),IFERROR(_xlfn.XLOOKUP(BC100,Коды_код,Коды_уго),IFERROR(_xlfn.XLOOKUP(LEFT(BC100,2),Коды_код,Коды_уго),""))))</f>
        <v>0</v>
      </c>
      <c r="JI100" t="str">
        <f>IF(B100="","",IF(OR(JH100="",JH100=0),"BOX",IFERROR(IF(VLOOKUP(JH100,УГО_блоки,3,FALSE)&amp;""&lt;&gt;"",VLOOKUP(JH100,УГО_блоки,3,FALSE),VLOOKUP(JH100,УГО_блоки,2,FALSE)),JH100)))</f>
        <v>BOX</v>
      </c>
      <c r="JJ100">
        <f t="shared" si="268"/>
        <v>1</v>
      </c>
      <c r="JK100" t="str">
        <f>IF(DQ100="","",IF(COUNTIF(DQ$3:DQ100,DQ100)=1,MAX(JK$2:JK99)+1,""))</f>
        <v/>
      </c>
      <c r="JL100" t="str">
        <f>IF(DE100="","",IF(COUNTIF(DE$3:DE100,DE100)+COUNTIF(DF$2:DF99,DE100)+COUNTIF(DG$2:DG99,DE100)=1,MAX(JL$2:JN99)+1,""))</f>
        <v/>
      </c>
      <c r="JM100" t="str">
        <f>IF(DF100="","",IF(COUNTIF(DE$3:DE100,DF100)+COUNTIF(DF$3:DF100,DF100)+COUNTIF(DG$2:DG99,DF100)=1,MAX(JL$2:JN99,JL100)+1,""))</f>
        <v/>
      </c>
      <c r="JN100" t="str">
        <f>IF(DG100="","",IF(COUNTIF(DE$3:DE100,DG100)+COUNTIF(DF$3:DF100,DG100)+COUNTIF(DG$3:DG100,DG100)=1,MAX(JL$2:JN99,JL100,JM100)+1,""))</f>
        <v/>
      </c>
      <c r="JO100" t="str">
        <f t="shared" si="269"/>
        <v>3х1,5</v>
      </c>
      <c r="JP100" t="str">
        <f>IF(JO100="","",IF(COUNTIF(JO$3:JO100,JO100)=1,MAX(JP$2:JP99)+1,""))</f>
        <v/>
      </c>
      <c r="JQ100" t="str">
        <f>IF(HG100="","",COUNTIF(HG$3:HG100,"?*"))</f>
        <v/>
      </c>
      <c r="JR100" t="str">
        <f>IF(OR(HG100="",HI100=""),"",IF(COUNTIFS(HG$3:HG100,"?*",HI$3:HI100,HI100)=1,MAX(JR$2:JR99)+1,""))</f>
        <v/>
      </c>
      <c r="JS100">
        <f t="shared" si="270"/>
        <v>0</v>
      </c>
      <c r="JT100">
        <f>IF(B100="","",COUNTIF(B$3:B100,"?*"))</f>
        <v>98</v>
      </c>
      <c r="JU100">
        <f>IF(HL100&lt;&gt;1,0,_xlfn.LET(_xlpm.k,MAX(IFERROR(--_xlfn.XLOOKUP(B100,Коды_код,Коды_3L),0),IFERROR(--_xlfn.XLOOKUP(BC100,Коды_код,Коды_3L),0),IFERROR(--_xlfn.XLOOKUP(LEFT(BC100,2),Коды_код,Коды_3L),0)),IF(_xlpm.k&gt;0,_xlpm.k,IF(IFERROR(--LEFT(SUBSTITUTE(JO100,"x","х"),FIND("х",SUBSTITUTE(JO100,"x","х"))-1),3)&gt;3,Каталог!$S$9,1))))</f>
        <v>1</v>
      </c>
      <c r="JV100">
        <f t="shared" si="271"/>
        <v>0</v>
      </c>
      <c r="JW100" t="str">
        <f t="shared" si="272"/>
        <v>авто</v>
      </c>
      <c r="JX100" t="str">
        <f t="shared" si="273"/>
        <v/>
      </c>
      <c r="JY100">
        <f t="shared" si="274"/>
        <v>0</v>
      </c>
      <c r="JZ100">
        <f t="shared" si="275"/>
        <v>1</v>
      </c>
    </row>
    <row r="101" spans="1:286" x14ac:dyDescent="0.3">
      <c r="A101" t="s">
        <v>749</v>
      </c>
      <c r="B101" t="s">
        <v>1413</v>
      </c>
      <c r="C101" t="s">
        <v>1667</v>
      </c>
      <c r="D101">
        <v>1</v>
      </c>
      <c r="E101">
        <v>0.104</v>
      </c>
      <c r="G101">
        <v>10</v>
      </c>
      <c r="H101" t="str">
        <f>Линии[[#This Row],[_авто управление]]</f>
        <v/>
      </c>
      <c r="I101" t="str">
        <f>Линии[[#This Row],[_авто аппараты]]</f>
        <v/>
      </c>
      <c r="J101">
        <v>1.5</v>
      </c>
      <c r="K101">
        <v>25</v>
      </c>
      <c r="L101">
        <v>1</v>
      </c>
      <c r="M101" t="s">
        <v>484</v>
      </c>
      <c r="N101" t="str">
        <f t="shared" si="138"/>
        <v/>
      </c>
      <c r="O101" s="6" cm="1">
        <f t="array" ref="O101">IF(B101="","",IF(BH101&lt;&gt;"",IFERROR(_xlfn.XLOOKUP(BH101,Щиты[Щит],Щиты[Iр, А]),""),IF(BP101=1,IF(OR(N(_xlfn.XLOOKUP(A101,Щиты[Щит],Щиты[Вводов],1))&lt;=1,LOWER(TRIM(_xlfn.XLOOKUP(A101,Щиты[Щит],Щиты[АВР],"")&amp;""))="да"),IFERROR(_xlfn.XLOOKUP(A101,Щиты[Щит],Щиты[Iр, А]),""),IFERROR(N(BS101)*_xlfn.XLOOKUP(A101,Щиты[Щит],Щиты[Кс итог])/(SQRT(3)*Uн_лин*_xlfn.XLOOKUP(A101,Щиты[Щит],Щиты[cos φ])),"")),IF(BV101=1,IFERROR(BS101*1000/BU101,""),IFERROR(_xlfn.IFS(BX101=1,BS101/((Uн_лин/SQRT(3))*CE101),BX101=3,BS101/(SQRT(3)*Uн_лин*CE101)),"")))))</f>
        <v>0.56291651245988494</v>
      </c>
      <c r="P101" s="7">
        <f>IF(B101="","",IFERROR(IF(VLOOKUP(BC101,Потребители_обозначение,4,FALSE)=1,VLOOKUP(BC101,Потребители_обозначение,3,FALSE)*(MAX(1,N(D101))*2-1)+EI101+VLOOKUP(BE101,Этаж_обозначение,3,FALSE)+VLOOKUP(BE101,Этаж_обозначение,4,FALSE),VLOOKUP(BC101,Потребители_обозначение,3,FALSE)*(MAX(1,N(D101))*2-1)+EI101),EI101))</f>
        <v>27</v>
      </c>
      <c r="Q101" s="6">
        <f t="shared" si="139"/>
        <v>0.9</v>
      </c>
      <c r="R101" t="str">
        <f t="shared" si="140"/>
        <v>ВВГнг(А)-LS (3х1,5)</v>
      </c>
      <c r="S101" t="str">
        <f>IF(BM101="","",IF(BN101="вводной узел","узел ","")&amp;"л."&amp;(INT((BM101-1)/Столбцов_на_лист)+1)&amp;" / "&amp;(MOD(BM101-1,Столбцов_на_лист)+1))</f>
        <v>л.2 / 14</v>
      </c>
      <c r="T101" s="119">
        <f t="shared" si="141"/>
        <v>0.5</v>
      </c>
      <c r="U101" s="7" t="str">
        <f>IF(OR(CG101=0,N(BV101)+N(IB101)=0),"",ROUNDUP(Запас_БП*(N(HY101)+N(HZ101)),0))</f>
        <v/>
      </c>
      <c r="V101" s="119" t="str">
        <f t="shared" si="142"/>
        <v/>
      </c>
      <c r="W101" s="7" t="str">
        <f>IFERROR(IF(OR(B101="",BP101=1,BV101=1,NOT(ISNUMBER(EN101)),N(DT101)=0),"",MAX(0,ROUNDDOWN((c_min*(Uн_лин*1000/SQRT(3))/(HT101*N(DT101))-_xlfn.XLOOKUP(A101,Щиты[Щит],Щиты[Zпетли на шинах, Ом]))*EN101/(2*ρкз_Cu),0))),"")</f>
        <v/>
      </c>
      <c r="Y101" t="str">
        <f>Линии[[#This Row],[_авто утечка]]</f>
        <v/>
      </c>
      <c r="Z101">
        <v>1</v>
      </c>
      <c r="AA101">
        <v>230</v>
      </c>
      <c r="AB101" t="s">
        <v>598</v>
      </c>
      <c r="AC101">
        <v>0.5</v>
      </c>
      <c r="AG101" t="s">
        <v>810</v>
      </c>
      <c r="AI101" t="s">
        <v>576</v>
      </c>
      <c r="AK101" t="str">
        <f>Линии[[#This Row],[_авто модуль]]</f>
        <v/>
      </c>
      <c r="AM101">
        <v>31</v>
      </c>
      <c r="AN101" t="s">
        <v>11</v>
      </c>
      <c r="AO101">
        <v>3</v>
      </c>
      <c r="AQ101">
        <v>6</v>
      </c>
      <c r="AR101">
        <v>21</v>
      </c>
      <c r="AT101">
        <v>1</v>
      </c>
      <c r="BA101" cm="1">
        <f t="array" ref="BA101">ROW()-ROW(Линии[#Headers])</f>
        <v>99</v>
      </c>
      <c r="BC101" s="6" t="str">
        <f t="shared" si="143"/>
        <v>K</v>
      </c>
      <c r="BD101" t="str">
        <f t="shared" si="144"/>
        <v>00.007T.2</v>
      </c>
      <c r="BE101" t="str">
        <f t="shared" si="145"/>
        <v>00</v>
      </c>
      <c r="BF101" t="str">
        <f t="shared" si="146"/>
        <v>007T.2</v>
      </c>
      <c r="BG101" t="str">
        <f t="shared" si="147"/>
        <v>007T</v>
      </c>
      <c r="BH101" t="str">
        <f>IF(X101&lt;&gt;"",X101,IF(AND(B101&lt;&gt;"",B101&lt;&gt;A101,ISNUMBER(_xlfn.XMATCH(B101,Щиты[Щит]))),B101,""))</f>
        <v/>
      </c>
      <c r="BI101" t="str" cm="1">
        <f t="array" ref="BI101">IF(B101="","",IF(BH101&lt;&gt;"","Щит "&amp;BH101,_xlfn.LET(_xlpm.nm,IFERROR(_xlfn.XLOOKUP(BC101,Коды_код,Коды_имя)&amp;"",""),_xlpm.md,IFERROR(N(_xlfn.XLOOKUP(BC101,Коды_код,Коды_режим)),1),_xlpm.ex,IF(Имя_режим="по экспликации",IFERROR(_xlfn.XLOOKUP(BE101&amp;"|"&amp;BG101,Экспликация[Этаж]&amp;"|"&amp;Экспликация[Помещение],Экспликация[Название])&amp;"",""),""),_xlpm.rm,IF(BG101="","",IF(_xlpm.ex&lt;&gt;"",". "&amp;_xlpm.ex&amp;IF(Имя_пом="нет"," ("&amp;BG101&amp;")"," (пом. "&amp;BG101&amp;")"),IF(Имя_пом="нет"," ",", пом. ")&amp;BG101)),IF(_xlpm.nm="","",IF(_xlpm.md=2,_xlpm.nm&amp;" шлейф "&amp;BE101,_xlpm.nm&amp;_xlpm.rm)))))</f>
        <v>Внутренний блок кондиционирования, пом. 007T</v>
      </c>
      <c r="BJ101" t="str">
        <f t="shared" si="148"/>
        <v>Внутренний блок кондиционирования Подвальный этаж Пом. №007Т</v>
      </c>
      <c r="BK101">
        <f>IFERROR(_xlfn.XMATCH(A101,Щиты[Щит]),0)</f>
        <v>5</v>
      </c>
      <c r="BL101">
        <f>_xlfn.LET(_xlpm.k,IFERROR(_xlfn.XLOOKUP(A101,Щиты[Щит],Щиты[Мест под вводной узел]),""),IF(_xlpm.k="",Столбцов_на_лист,N(_xlpm.k)))</f>
        <v>18</v>
      </c>
      <c r="BM101">
        <f t="shared" si="149"/>
        <v>31</v>
      </c>
      <c r="BN101" t="str">
        <f t="shared" si="150"/>
        <v>линии</v>
      </c>
      <c r="BO101" s="6">
        <f>IFERROR(N(_xlfn.XLOOKUP(BC101,Коды_код,Коды_квт)),0)</f>
        <v>0</v>
      </c>
      <c r="BP101">
        <f t="shared" si="151"/>
        <v>0</v>
      </c>
      <c r="BQ101" t="str">
        <f>IF(B101="","",IF(BH101&lt;&gt;"",IFERROR(_xlfn.XLOOKUP(BH101,Щиты[Щит],Щиты[Руст, кВт]),0),IF(BP101=1,IF(OR(N(_xlfn.XLOOKUP(A101,Щиты[Щит],Щиты[Вводов],1))&lt;=1,LOWER(TRIM(_xlfn.XLOOKUP(A101,Щиты[Щит],Щиты[АВР],"")&amp;""))="да"),IFERROR(_xlfn.XLOOKUP(A101,Щиты[Щит],Щиты[Руст, кВт]),0),SUMIFS(Линии[_Р для вводов],Линии[Щит],A101,Линии[Источник для режимов],GF101)),IF(BO101&gt;0,ROUND(BO101*MAX(1,N(D101)),3),""))))</f>
        <v/>
      </c>
      <c r="BR101">
        <f t="shared" si="152"/>
        <v>0.104</v>
      </c>
      <c r="BS101" s="6">
        <f>IF(B101="","",IF(BH101&lt;&gt;"",IFERROR(_xlfn.XLOOKUP(BH101,Щиты[Щит],Щиты[Руст, кВт]),0),N(BR101)))</f>
        <v>0.104</v>
      </c>
      <c r="BT101" t="str">
        <f>IF(B101="","",IFERROR(IF(VLOOKUP(BC101,Потребители_обозначение,8,FALSE)=0,"",VLOOKUP(BC101,Потребители_обозначение,8,FALSE)),""))</f>
        <v/>
      </c>
      <c r="BU101">
        <f t="shared" si="153"/>
        <v>230</v>
      </c>
      <c r="BV101">
        <f t="shared" si="154"/>
        <v>0</v>
      </c>
      <c r="BW101">
        <f>IF(B101="","",IF(BH101&lt;&gt;"",3,IFERROR(IF(N(VLOOKUP(BC101,Потребители_обозначение,9,FALSE))=0,1,VLOOKUP(BC101,Потребители_обозначение,9,FALSE)),1)))</f>
        <v>1</v>
      </c>
      <c r="BX101">
        <f t="shared" si="155"/>
        <v>1</v>
      </c>
      <c r="BY101" t="str">
        <f>IF(B101="","",_xlfn.LET(_xlpm.bc,IFERROR(IF(VLOOKUP(BC101,Потребители_обозначение,6,FALSE)=0,"",VLOOKUP(BC101,Потребители_обозначение,6,FALSE)&amp;""),""),IF(AND(GA101="да",OR(_xlpm.bc="",_xlpm.bc="мс")),Марка_пож,IF(AND(_xlpm.bc="",BH101&lt;&gt;""),"мс",_xlpm.bc))))</f>
        <v/>
      </c>
      <c r="BZ101" t="str">
        <f t="shared" si="156"/>
        <v>мс</v>
      </c>
      <c r="CA101">
        <f>IF(B101="","",_xlfn.LET(_xlpm.cc,IFERROR(N(VLOOKUP(BC101,Потребители_обозначение,7,FALSE)),0),IF(_xlpm.cc&gt;0,_xlpm.cc,IF(BZ101="","",IF(BV101=1,2,IF(N(BX101)=3,5,3))))))</f>
        <v>3</v>
      </c>
      <c r="CB101">
        <f t="shared" si="157"/>
        <v>3</v>
      </c>
      <c r="CC101">
        <f>IFERROR(N(VLOOKUP(BC101,Потребители_обозначение,10,FALSE)),0)</f>
        <v>0</v>
      </c>
      <c r="CD101">
        <f>IFERROR(VLOOKUP(BC101,Потребители_обозначение,5,FALSE),0)</f>
        <v>1</v>
      </c>
      <c r="CE101" s="6" cm="1">
        <f t="array" ref="CE101">IF(B101="","",IF(BH101&lt;&gt;"",IFERROR(_xlfn.XLOOKUP(BH101,Щиты[Щит],Щиты[cos φ]),0.95),IF(BP101=1,IFERROR(_xlfn.XLOOKUP(A101,Щиты[Щит],Щиты[cos φ]),0.95),IF(ISNUMBER(AD101),AD101,IFERROR(IF(CD101=2,_xlfn.IFS(BX101=3,VLOOKUP(BS101,Справочная_двигатели,8,FALSE),BX101=1,VLOOKUP(BS101,Справочная_двигатели,10,TRUE)),IF(AND(Методика="нормы 2026",FG101="Сил"),0.8,0.95)),0.95)))))</f>
        <v>0.8</v>
      </c>
      <c r="CF101">
        <f t="shared" si="158"/>
        <v>0</v>
      </c>
      <c r="CG101">
        <f t="shared" si="159"/>
        <v>1</v>
      </c>
      <c r="CH101">
        <f t="shared" si="160"/>
        <v>0</v>
      </c>
      <c r="CI101">
        <f>IF(B101="","",IF(BV101=1,IFERROR(BS101/((Uн_лин/SQRT(3))*MAX(0.5,N(CE101))),0),N(O101)))</f>
        <v>0.56291651245988494</v>
      </c>
      <c r="CJ101">
        <f t="shared" si="161"/>
        <v>0</v>
      </c>
      <c r="CK101">
        <f t="shared" si="162"/>
        <v>0</v>
      </c>
      <c r="CL101">
        <f t="shared" si="163"/>
        <v>0</v>
      </c>
      <c r="CM101">
        <f t="shared" si="164"/>
        <v>0</v>
      </c>
      <c r="CN101">
        <f t="shared" si="165"/>
        <v>0</v>
      </c>
      <c r="CO101">
        <f>IF(BC101="",0,_xlfn.LET(_xlpm.v,IFERROR(_xlfn.XLOOKUP(B101,Коды_код,Коды_мА),IFERROR(_xlfn.XLOOKUP(BC101,Коды_код,Коды_мА),IFERROR(_xlfn.XLOOKUP(LEFT(BC101,2),Коды_код,Коды_мА),""))),IF(_xlpm.v="да",30,IF(ISNUMBER(_xlpm.v),_xlpm.v,0))))</f>
        <v>0</v>
      </c>
      <c r="CP101" t="str">
        <f t="shared" si="166"/>
        <v/>
      </c>
      <c r="CQ101" t="str">
        <f>_xlfn.LET(_xlpm.k,IFERROR(_xlfn.XLOOKUP(BC101,Коды_код,Коды_утечка)&amp;"",""),IF(_xlpm.k="","дифавтомат",_xlpm.k))</f>
        <v>дифавтомат</v>
      </c>
      <c r="CR101" t="str" cm="1">
        <f t="array" ref="CR101">IF(CG101=0,"",_xlfn.LET(_xlpm.sg,TRIM(_xlfn.TEXTSPLIT(DD101&amp;"",";")),_xlpm.f_,_xlfn._xlws.FILTER(_xlpm.sg,LEFT(_xlpm.sg,3)="УЗО",""),IFERROR(INDEX(_xlpm.f_,1)&amp;"","")))</f>
        <v/>
      </c>
      <c r="CS101" t="str">
        <f t="shared" si="167"/>
        <v/>
      </c>
      <c r="CT101" s="6" t="str" cm="1">
        <f t="array" ref="CT101">IF(CR101="","",_xlfn.LET(_xlpm.tk,_xlfn.TEXTSPLIT(UPPER(CR101)," ",,TRUE),_xlpm.a_,_xlfn._xlws.FILTER(_xlpm.tk,ISNUMBER(--LEFT(_xlpm.tk,1))*((ISNUMBER(SEARCH("А",_xlpm.tk))+ISNUMBER(SEARCH("A",_xlpm.tk)))&gt;0)*NOT(ISNUMBER(SEARCH("МА",_xlpm.tk)))*NOT(ISNUMBER(SEARCH("MA",_xlpm.tk))),""),IFERROR(--SUBSTITUTE(SUBSTITUTE(INDEX(_xlpm.a_,1),"А",""),"A",""),"")))</f>
        <v/>
      </c>
      <c r="CU101" t="str" cm="1">
        <f t="array" ref="CU101">IF(CR101="","",_xlfn.LET(_xlpm.tk,_xlfn.TEXTSPLIT(UPPER(CR101)," ",,TRUE),_xlpm.a_,_xlfn._xlws.FILTER(_xlpm.tk,ISNUMBER(--LEFT(_xlpm.tk,1))*((ISNUMBER(SEARCH("МА",_xlpm.tk))+ISNUMBER(SEARCH("MA",_xlpm.tk)))&gt;0),""),IFERROR(--SUBSTITUTE(SUBSTITUTE(INDEX(_xlpm.a_,1),"МА",""),"MA",""),30)))</f>
        <v/>
      </c>
      <c r="CV101" t="str">
        <f>IF(CS101="","",IFERROR(_xlfn.XLOOKUP(CS101,Линии[_n],Линии[_УЗО, мА]),30))</f>
        <v/>
      </c>
      <c r="CW101">
        <f>IF(CS101="",0,IF(ISNUMBER(SEARCH("4P",IFERROR(_xlfn.XLOOKUP(CS101,Линии[_n],Линии[_УЗО строки])&amp;"",""))),0,1))</f>
        <v>0</v>
      </c>
      <c r="CX101" t="str">
        <f>IF(AND(CS101&lt;&gt;"",CS101=BA101),SUMIFS(Линии[_ток на 230 В],Линии[_блок УЗО],BA101,Линии[Щит],A101),"")</f>
        <v/>
      </c>
      <c r="CY101" t="str">
        <f>IF(AND(CS101&lt;&gt;"",CS101=BA101),SUMIFS(Линии[_ток утечки линии, мА],Линии[_блок УЗО],BA101,Линии[Щит],A101),"")</f>
        <v/>
      </c>
      <c r="CZ101">
        <f t="shared" si="168"/>
        <v>0</v>
      </c>
      <c r="DA101">
        <f t="shared" si="169"/>
        <v>0</v>
      </c>
      <c r="DB101">
        <f>IF(B101="",0,IFERROR(--_xlfn.XLOOKUP(B101,Коды_код,Коды_минавт),IFERROR(--_xlfn.XLOOKUP(BC101,Коды_код,Коды_минавт),IFERROR(--_xlfn.XLOOKUP(LEFT(BC101,2),Коды_код,Коды_минавт),0))))</f>
        <v>0</v>
      </c>
      <c r="DC101" t="str">
        <f>IF(B101="","",IFERROR(_xlfn.XLOOKUP(BC101,Коды_код,Коды_апп)&amp;"",""))</f>
        <v/>
      </c>
      <c r="DD101" t="str">
        <f t="shared" si="170"/>
        <v/>
      </c>
      <c r="DE101" t="str" cm="1">
        <f t="array" ref="DE101">IF(TRIM(DD101&amp;"")="","",IFERROR(TRIM(INDEX(_xlfn.TEXTSPLIT(DD101&amp;";;;",";"),1)),""))</f>
        <v/>
      </c>
      <c r="DF101" t="str" cm="1">
        <f t="array" ref="DF101">IF(TRIM(DD101&amp;"")="","",IFERROR(TRIM(INDEX(_xlfn.TEXTSPLIT(DD101&amp;";;;",";"),2)),""))</f>
        <v/>
      </c>
      <c r="DG101" t="str" cm="1">
        <f t="array" ref="DG101">IF(TRIM(DD101&amp;"")="","",IFERROR(TRIM(INDEX(_xlfn.TEXTSPLIT(DD101&amp;";;;",";"),3)),""))</f>
        <v/>
      </c>
      <c r="DH101">
        <f t="shared" si="171"/>
        <v>0</v>
      </c>
      <c r="DI101" t="str">
        <f>IF(B101="","",_xlfn.LET(_xlpm.t,LOWER(AZ101&amp;""),IF(ISNUMBER(SEARCH("dim",_xlpm.t)),"DIM",IF(ISNUMBER(SEARCH("dali",_xlpm.t)),"DALI",IF(OR(ISNUMBER(SEARCH("relay",_xlpm.t)),ISNUMBER(SEARCH("реле",_xlpm.t))),"Relay",IF(ISNUMBER(SEARCH("кнопк",_xlpm.t)),"",IFERROR(_xlfn.XLOOKUP(BC101,Коды_код,Коды_упр)&amp;"","")))))))</f>
        <v/>
      </c>
      <c r="DJ101" t="str">
        <f t="shared" si="172"/>
        <v/>
      </c>
      <c r="DK101">
        <f>IF(B101="","",_xlfn.LET(_xlpm.ig,IF(N(CX101)&gt;0,N(CX101),N(CI101)+IF(AJ101="вручную",0,N(CJ101))),_xlpm.n0,IFERROR(VLOOKUP(_xlpm.ig,Автомат_номиналы,2,TRUE),0),_xlpm.mn,MAX(DB101,IF(AJ101="вручную",0,N(CM101))),MAX(_xlpm.n0,_xlpm.mn,IF(DH101=1,Мин_автомат_БП,0))))</f>
        <v>6</v>
      </c>
      <c r="DL101">
        <f t="shared" si="173"/>
        <v>1</v>
      </c>
      <c r="DM101" t="str">
        <f t="shared" si="174"/>
        <v>1P</v>
      </c>
      <c r="DN101" t="str">
        <f>_xlfn.LET(_xlpm.cc,UPPER(TRIM(IFERROR(_xlfn.XLOOKUP(BC101,Коды_код,Коды_хар)&amp;"",""))),IF(OR(_xlpm.cc="B",_xlpm.cc="В"),"B",IF(_xlpm.cc="D","D","С")))</f>
        <v>С</v>
      </c>
      <c r="DO101" t="str">
        <f t="shared" si="175"/>
        <v>1P С6А</v>
      </c>
      <c r="DP101">
        <f t="shared" si="176"/>
        <v>10</v>
      </c>
      <c r="DQ101" t="str">
        <f t="shared" si="177"/>
        <v>1P С10А</v>
      </c>
      <c r="DR101" cm="1">
        <f t="array" ref="DR101">IF(DQ101="","",_xlfn.LET(_xlpm.t,SUBSTITUTE(SUBSTITUTE(SUBSTITUTE(UPPER(DQ101),"С","C"),"А","A"),"В","B"),_xlpm.tk,_xlfn.TEXTSPLIT(_xlpm.t," "),_xlpm.f,_xlfn._xlws.FILTER(_xlpm.tk,ISNUMBER(--MID(_xlpm.tk,2,1))*ISNUMBER(SEARCH(LEFT(_xlpm.tk,1)&amp;"#","B#C#D#"))*(LEN(_xlpm.tk)&gt;1),""),_xlpm.x,INDEX(_xlpm.f,1),IFERROR(--SUBSTITUTE(MID(_xlpm.x,2,9),"A",""),IFERROR(--SUBSTITUTE(INDEX(_xlfn._xlws.FILTER(_xlpm.tk,ISNUMBER(--SUBSTITUTE(_xlpm.tk,"A","")),""),1),"A",""),""))))</f>
        <v>10</v>
      </c>
      <c r="DS101" t="str">
        <f t="shared" si="178"/>
        <v>ok</v>
      </c>
      <c r="DT101">
        <f t="shared" si="179"/>
        <v>10</v>
      </c>
      <c r="DU101" t="str">
        <f t="shared" si="180"/>
        <v>1P С10А</v>
      </c>
      <c r="DV101">
        <f t="shared" si="181"/>
        <v>0</v>
      </c>
      <c r="DW101">
        <f t="shared" si="182"/>
        <v>0</v>
      </c>
      <c r="DX101">
        <f t="shared" si="183"/>
        <v>0</v>
      </c>
      <c r="DY101">
        <f t="shared" si="184"/>
        <v>0.56291651245988494</v>
      </c>
      <c r="DZ101">
        <f t="shared" si="185"/>
        <v>1</v>
      </c>
      <c r="EA101">
        <f>IF(ISNUMBER(AP101),AP101,К_прокл)</f>
        <v>1</v>
      </c>
      <c r="EB101">
        <f t="shared" si="186"/>
        <v>2</v>
      </c>
      <c r="EC101">
        <f>IFERROR(N(VLOOKUP(BZ101,Кабель_обозначение,3,FALSE)),1)</f>
        <v>1</v>
      </c>
      <c r="ED101">
        <f>IFERROR(N(_xlfn.XLOOKUP(A101,Щиты[Щит],Щиты[ΔU до шин, %])),0)</f>
        <v>0.74</v>
      </c>
      <c r="EE101" t="str">
        <f>IFERROR(_xlfn.XLOOKUP(A101,Щиты[Щит],Щиты[Zпетли на шинах, Ом]),"")</f>
        <v/>
      </c>
      <c r="EF101">
        <f>IFERROR(N(_xlfn.XLOOKUP(A101,Щиты[Щит],Щиты[ΔU до шин (подбор), %])),0)</f>
        <v>1.96</v>
      </c>
      <c r="EG101" t="str">
        <f>IFERROR(_xlfn.XLOOKUP(A101,Щиты[Щит],Щиты[Zпетли на шинах (подбор), Ом]),"")</f>
        <v/>
      </c>
      <c r="EH101" t="str">
        <f t="shared" si="187"/>
        <v/>
      </c>
      <c r="EI101">
        <f t="shared" si="188"/>
        <v>25</v>
      </c>
      <c r="EJ101">
        <f t="shared" si="189"/>
        <v>2</v>
      </c>
      <c r="EK101">
        <f t="shared" si="190"/>
        <v>0.6</v>
      </c>
      <c r="EL101" s="6">
        <f>IF(B101="","",IF(BV101=1,dU_LED,IF(IFERROR(_xlfn.XLOOKUP(BC101,Коды_код,Коды_уго),"")="Светильник",3,4)+IF(Методика="нормы 2026",MIN(0.5,MAX(0,N(P101)-100)*0.005),0)))</f>
        <v>4</v>
      </c>
      <c r="EM101" cm="1">
        <f t="array" ref="EM101">IF(OR(B101="",BZ101="",EC101&lt;&gt;1),"",_xlfn.LET(_xlpm.sz,Iдоп_S,_xlpm.t_,CHOOSE(EB101,Iдоп_1ж,Iдоп_2ж,Iдоп_3ж)*DZ101*EA101,_xlpm.dcx,BV101=1,_xlpm.inn,IF(_xlpm.dcx,N(O101),N(DT101)),_xlpm.smin,MAX(1.5,CC101),_xlpm.L_,N(P101)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101)/N(BU101)*100,999),IFERROR(N(EJ101)*(_xlpm.rho*_xlpm.L_/_xlpm.sz*N(CE101)+_xlpm.xx*_xlpm.L_*N(EK101)/1000)*N(O101)/((Uн_лин/SQRT(3))*1000)*100,999)),_xlpm.kz,IF(OR(_xlpm.dcx,DW101=1,NOT(ISNUMBER(EG101)),_xlpm.L_=0,_xlpm.inn=0),1,IFERROR(--(c_min*(Uн_лин*1000/SQRT(3))/(EG101+2*ρкз_Cu*_xlpm.L_/_xlpm.sz)&gt;=HT101*_xlpm.inn),0)),_xlpm.ok,IFERROR((_xlpm.sz&gt;=_xlpm.smin)*(_xlpm.t_&gt;=_xlpm.inn)*IF(_xlpm.L_&gt;0,(_xlpm.du_+IF(_xlpm.dcx,0,EF101)&lt;=EL101+0.00001),1)*_xlpm.kz,0),_xlpm.r_,_xlfn._xlws.FILTER(_xlpm.sz,_xlpm.ok,"не подобрано"),INDEX(_xlpm.r_,1)))</f>
        <v>1.5</v>
      </c>
      <c r="EN101">
        <f t="shared" si="191"/>
        <v>1.5</v>
      </c>
      <c r="EO101" cm="1">
        <f t="array" ref="EO101">IF(OR(B101="",BZ101="",EC101&lt;&gt;1),"",_xlfn.LET(_xlpm.sz,Iдоп_S,_xlpm.t_,CHOOSE(EB101,Iдоп_1ж,Iдоп_2ж,Iдоп_3ж)*DZ101*EA101,_xlpm.ok,IFERROR((_xlpm.sz&gt;=MAX(1.5,CC101))*(_xlpm.t_&gt;=N(DT101)),0),_xlpm.r_,_xlfn._xlws.FILTER(_xlpm.sz,_xlpm.ok,""),INDEX(_xlpm.r_,1)))</f>
        <v>1.5</v>
      </c>
      <c r="EP101" s="6" cm="1">
        <f t="array" ref="EP101">IFERROR(ROUNDUP(N(EJ101)*(_xlfn.XLOOKUP(EO101,INDEX(Кабель_сопротивление,0,1),INDEX(Кабель_сопротивление,0,3))*N(P101)/EO101*N(CE101)+_xlfn.XLOOKUP(EO101,INDEX(Кабель_сопротивление,0,1),INDEX(Кабель_сопротивление,0,2))*N(P101)*N(EK101)/1000)*N(O101)/((Uн_лин/SQRT(3))*1000)*100,2),"")</f>
        <v>0.16</v>
      </c>
      <c r="EQ101">
        <f>IFERROR(2*ρкз_Cu*N(P101)/EO101,"")</f>
        <v>0.94680000000000009</v>
      </c>
      <c r="ER101">
        <f>IFERROR(VLOOKUP(EN101,Кабель_сопротивление,3,FALSE),"")</f>
        <v>2.2499999999999999E-2</v>
      </c>
      <c r="ES101">
        <f>IFERROR(VLOOKUP(EN101,Кабель_сопротивление,2,FALSE),"")</f>
        <v>0.11</v>
      </c>
      <c r="ET101">
        <f t="shared" si="192"/>
        <v>21</v>
      </c>
      <c r="EU101">
        <f t="shared" si="193"/>
        <v>0</v>
      </c>
      <c r="EV101">
        <f t="shared" si="194"/>
        <v>0.36677613452441249</v>
      </c>
      <c r="EW101" s="6">
        <f>IFERROR(ROUNDUP(EV101/IF(BV101=1,BU101,(Uн_лин/SQRT(3))*1000)*100,2),"")</f>
        <v>0.16</v>
      </c>
      <c r="EX101" t="str">
        <f>IFERROR(VLOOKUP(BZ101,Кабель_обозначение,2,FALSE),"")</f>
        <v>ВВГнг(А)-LS</v>
      </c>
      <c r="EY101" t="str">
        <f t="shared" si="195"/>
        <v>ВВГнг(А)-LS (3х1,5)</v>
      </c>
      <c r="EZ101" t="str">
        <f t="shared" si="196"/>
        <v>ВВГнг(А)-LS (3х1,5)
L=27-0,16%</v>
      </c>
      <c r="FA101">
        <f>IFERROR(2*ρкз_Cu*P101/EN101,"")</f>
        <v>0.94680000000000009</v>
      </c>
      <c r="FB101">
        <f t="shared" si="197"/>
        <v>0.315</v>
      </c>
      <c r="FC101" s="6" t="str">
        <f>IFERROR(IF(OR(B101="",BV101=1,NOT(ISNUMBER(EN101)),N(P101)=0),"",_xlfn.XLOOKUP(A101,Щиты[Щит],Щиты[Zпетли на шинах, Ом])+FA101),"")</f>
        <v/>
      </c>
      <c r="FD101" s="6" t="str">
        <f>IF(ISNUMBER(FC101),c_min*(Uн_лин*1000/SQRT(3))/FC101,"")</f>
        <v/>
      </c>
      <c r="FE101" s="6" t="str">
        <f>IFERROR(IF(OR(B101="",NOT(ISNUMBER(EN101))),"",1.05*(Uн_лин*1000/SQRT(3))/(_xlfn.XLOOKUP(A101,Щиты[Щит],Щиты[Zmax на шинах, Ом])+FB101)/1000),"")</f>
        <v/>
      </c>
      <c r="FF101" s="6" t="str">
        <f>IF(B101="","",IF(ISNUMBER(AC101),"Сил",IF(IFERROR(_xlfn.XLOOKUP(BC101,Коды_код,Коды_группа)&amp;"","")="","Быт",_xlfn.XLOOKUP(BC101,Коды_код,Коды_группа)&amp;"")))</f>
        <v>Сил</v>
      </c>
      <c r="FG101" s="6" t="str">
        <f t="shared" si="198"/>
        <v>Сил</v>
      </c>
      <c r="FH101" s="6">
        <f>IF(FG101="Щит","щит",IF(FG101="","",IF(FG101="Быт",IFERROR(_xlfn.XLOOKUP(A101,Щиты[Щит],Щиты[Кс быт]),1),IF(FG101="Сил",IF(ISNUMBER(AC101),AC101,IF(Методика="нормы 2026",IFERROR(_xlfn.XLOOKUP(A101,Щиты[Щит],Щиты[Кс силовых (табл. 7.5)]),1),1)),IF(OR(FG101="Пост",FG101="Отоп"),1,IF(FG101="ВНГ",0.7,0))))))</f>
        <v>0.5</v>
      </c>
      <c r="FI101">
        <f>IF(FG101="","",IF(AND(BP101=1,TRIM(AE101&amp;"")=""),IF(COUNTIFS(Линии[Щит],A101,Линии[Секция (1/2/3)],"&gt;=2")&gt;0,MIN(3,MAX(1,IFERROR(--BD101,1))),1),IFERROR(MIN(3,MAX(1,INT(--AE101))),1)))</f>
        <v>1</v>
      </c>
      <c r="FJ101">
        <f t="shared" si="199"/>
        <v>0.104</v>
      </c>
      <c r="FK101">
        <f t="shared" si="200"/>
        <v>0</v>
      </c>
      <c r="FL101">
        <f t="shared" si="201"/>
        <v>5.1999999999999998E-2</v>
      </c>
      <c r="FM101">
        <f t="shared" si="202"/>
        <v>0</v>
      </c>
      <c r="FN101">
        <f t="shared" si="203"/>
        <v>0</v>
      </c>
      <c r="FO101">
        <f t="shared" si="204"/>
        <v>0</v>
      </c>
      <c r="FP101">
        <f t="shared" si="205"/>
        <v>0.104</v>
      </c>
      <c r="FQ101">
        <f t="shared" si="206"/>
        <v>0.104</v>
      </c>
      <c r="FR101">
        <f t="shared" si="207"/>
        <v>8.3199999999999996E-2</v>
      </c>
      <c r="FS101">
        <f>IF(CG101=1,IF(AND(CH101=1,CW101=1),0,IF(AND(CS101&lt;&gt;"",CS101=BA101,CW101=1),SUMIFS(Линии[_Р линии, кВт],Линии[_блок УЗО],BA101,Линии[Щит],A101),N(BS101)+IF(AJ101="вручную",0,N(CK101)))),0)</f>
        <v>0.104</v>
      </c>
      <c r="FT101" t="str">
        <f t="shared" si="208"/>
        <v>L1</v>
      </c>
      <c r="FU101" t="str">
        <f>IF(B101="","",IF(CG101=0,IF(BA101=1,"",FW100),IF(AND(CH101=1,CW101=1,CS101&lt;&gt;""),IFERROR(_xlfn.XLOOKUP(CS101,Линии[_n],Линии[_фаза итог]),"L1"),IF(OR(N(DL101)&gt;=3,N(BX101)&gt;=3),"L1,L2,L3",IFERROR(_xlfn.TEXTBEFORE(_xlfn.TEXTAFTER(_xlfn.XLOOKUP(A101,Щиты[Щит],Щиты[_фазы авто]),";"&amp;BA101&amp;":"),";"),"L1")))))</f>
        <v>L1</v>
      </c>
      <c r="FV101" t="str">
        <f t="shared" si="209"/>
        <v>L1</v>
      </c>
      <c r="FW101" t="str">
        <f t="shared" si="210"/>
        <v>L1</v>
      </c>
      <c r="FX101" cm="1">
        <f t="array" ref="FX101">IFERROR(IF(CD101=2,_xlfn.IFS(BX101=3,VLOOKUP(BS101,Справочная_двигатели,3,FALSE),BX101=1,VLOOKUP(BS101,Справочная_двигатели,5,TRUE)),0),0)</f>
        <v>0</v>
      </c>
      <c r="FY101">
        <f>IFERROR(IF(CD101=3,VLOOKUP(BS101,Справочная_ЛЭД,2,TRUE),0),0)</f>
        <v>0</v>
      </c>
      <c r="FZ101" s="6">
        <f t="shared" si="211"/>
        <v>0</v>
      </c>
      <c r="GA101" t="str">
        <f>IF(B101="","",IF(TRIM(AH101&amp;"")&lt;&gt;"",IF(LOWER(TRIM(AH101&amp;""))="да","да","нет"),IF(IFERROR(_xlfn.XLOOKUP(BC101,Коды_код,Коды_пожарная),"")="да","да","нет")))</f>
        <v>нет</v>
      </c>
      <c r="GB101" t="str">
        <f t="shared" si="212"/>
        <v/>
      </c>
      <c r="GC101" t="str">
        <f t="shared" si="213"/>
        <v>основная</v>
      </c>
      <c r="GD101">
        <f>IF(AND(BP101=1,TRIM(AE101&amp;"")=""),IF(COUNTIFS(Линии[Щит],A101,Линии[Секция (1/2/3)],"&gt;=2")&gt;0,MIN(3,MAX(1,IFERROR(--BD101,1))),1),IFERROR(MIN(3,MAX(1,INT(--AE101))),1))</f>
        <v>1</v>
      </c>
      <c r="GE101" t="str" cm="1">
        <f t="array" ref="GE101">IF(B101="","",_xlfn.LET(_xlpm.t,IFERROR(_xlfn.XLOOKUP(1,(Шины[Шина]=GC101)*(((Шины[Щит]=A101)+(Шины[Щит]=""))&gt;0),Шины[Тип]),"")&amp;"",IF(_xlpm.t&lt;&gt;"",_xlpm.t,IF(ISNUMBER(SEARCH("ИБП",GC101)),"ИБП",IF(ISNUMBER(SEARCH("ДГУ",GC101)),"ДГУ","Ввод "&amp;GD101)))))</f>
        <v>Ввод 1</v>
      </c>
      <c r="GF101" t="str">
        <f t="shared" si="214"/>
        <v>Ввод 1</v>
      </c>
      <c r="GG101" t="str">
        <f>IF(BP101=0,"",IF(TRIM(AG101&amp;"")&lt;&gt;"",TRIM(AG101&amp;""),IF(OR(GE101="ИБП",GE101="ДГУ"),"I особая",_xlfn.XLOOKUP(A101,Щиты[Щит],Щиты[Категория шины «Ввод»],"III"))))</f>
        <v/>
      </c>
      <c r="GH101" t="str">
        <f>IF(A101="","",_xlfn.XLOOKUP(A101,Щиты[Щит],Щиты[Путь],""))</f>
        <v>|ГРЩ-ЖД|ЩОВ-002|</v>
      </c>
      <c r="GI101" t="str">
        <f>IF(B101="","",IF(AI101&lt;&gt;"",AI101,IF(IFERROR(_xlfn.XLOOKUP(BC101,Коды_код,Коды_вид)&amp;"","")="","Прочее",_xlfn.XLOOKUP(BC101,Коды_код,Коды_вид)&amp;"")))</f>
        <v>Кондиционирование и увлажнение</v>
      </c>
      <c r="GJ101">
        <f>IF(BM101="","",INT((BM101-1)/Столбцов_на_лист)+1)</f>
        <v>2</v>
      </c>
      <c r="GK101" t="str">
        <f t="shared" si="215"/>
        <v>ВВГнг(А)-LS (3х1,5) L=27-0,16%</v>
      </c>
      <c r="GL101">
        <f t="shared" si="216"/>
        <v>0.104</v>
      </c>
      <c r="GM101">
        <f t="shared" si="217"/>
        <v>0.57000000000000006</v>
      </c>
      <c r="GN101">
        <f t="shared" si="218"/>
        <v>1</v>
      </c>
      <c r="GO101">
        <f t="shared" si="219"/>
        <v>0</v>
      </c>
      <c r="GP101">
        <f t="shared" si="220"/>
        <v>1</v>
      </c>
      <c r="GQ101">
        <f>IF(BM101="","",IF(AND(CG101=1,GP101=1),COUNTIFS(A$3:A101,A101,CG$3:CG101,1,GP$3:GP101,1),IF(OR(OR(BA101=1,A101&lt;&gt;A100),AJ101="вручную",GP101=0),"",IF(BA101=1,"",GR100))))</f>
        <v>13</v>
      </c>
      <c r="GR101">
        <f t="shared" si="221"/>
        <v>13</v>
      </c>
      <c r="GS101">
        <f>IF(B101="","",IFERROR(LOOKUP(INDEX(CHOOSE(EB101,Iдоп_1ж,Iдоп_2ж,Iдоп_3ж),MATCH(EN101,Iдоп_S,0))*DZ101*EA101,{6,10,16,20,25,32,40,50,63,80,100,125,160,200,250,315,400,500,630}),""))</f>
        <v>16</v>
      </c>
      <c r="GT101" t="str">
        <f t="shared" si="222"/>
        <v>QF13</v>
      </c>
      <c r="GU101" t="str">
        <f t="shared" si="223"/>
        <v>QF13</v>
      </c>
      <c r="GV101" t="str">
        <f t="shared" si="224"/>
        <v/>
      </c>
      <c r="GW101">
        <f t="shared" si="225"/>
        <v>0</v>
      </c>
      <c r="GX101" t="str">
        <f>IF(OR(B101="",DJ101=""),"",IFERROR(_xlfn.XLOOKUP(DJ101,Модули_умолч[Управление],Модули_умолч[Модель])&amp;"",""))</f>
        <v/>
      </c>
      <c r="GY101">
        <f>IF(DJ101="",1,IFERROR(MAX(0,N(_xlfn.XLOOKUP(DJ101,Модули_умолч[Управление],Модули_умолч[Каналов на линию]))),1))</f>
        <v>1</v>
      </c>
      <c r="GZ101" t="str">
        <f t="shared" si="226"/>
        <v/>
      </c>
      <c r="HA101" t="str">
        <f t="shared" si="227"/>
        <v/>
      </c>
      <c r="HB101" t="str">
        <f t="shared" si="228"/>
        <v/>
      </c>
      <c r="HC101">
        <f>IF(HB101="",0,IFERROR(N(VLOOKUP(HB101,Модули_спр,3,FALSE)),0))</f>
        <v>0</v>
      </c>
      <c r="HD101" t="str">
        <f t="shared" si="229"/>
        <v/>
      </c>
      <c r="HE101" t="str">
        <f t="shared" si="230"/>
        <v/>
      </c>
      <c r="HF101" t="str">
        <f>IF(OR(HE101="",HE101="-"),"",IFERROR(VLOOKUP(HE101,Модули_спр,2,FALSE),"R"))</f>
        <v/>
      </c>
      <c r="HG101" t="str">
        <f>IF(HF101="","",HF101&amp;"."&amp;COUNTIFS(A$3:A101,A101,HF$3:HF101,HF101))</f>
        <v/>
      </c>
      <c r="HH101" t="str">
        <f t="shared" si="231"/>
        <v/>
      </c>
      <c r="HI101" t="str">
        <f t="shared" si="232"/>
        <v/>
      </c>
      <c r="HJ101" t="str">
        <f t="shared" si="233"/>
        <v/>
      </c>
      <c r="HK101" t="str">
        <f t="shared" si="234"/>
        <v/>
      </c>
      <c r="HL101">
        <f t="shared" si="235"/>
        <v>1</v>
      </c>
      <c r="HM101" t="str">
        <f>IF(HL101=1,"XT"&amp;COUNTIFS(A$3:A101,A101,HL$3:HL101,1),"")</f>
        <v>XT13</v>
      </c>
      <c r="HN101" t="str">
        <f t="shared" si="236"/>
        <v/>
      </c>
      <c r="HO101" t="str">
        <f t="shared" si="237"/>
        <v>QF13</v>
      </c>
      <c r="HP101" t="str">
        <f t="shared" si="238"/>
        <v/>
      </c>
      <c r="HQ101" t="str">
        <f t="shared" si="239"/>
        <v>ok</v>
      </c>
      <c r="HR101" t="str">
        <f>IF(OR(HJ101="",HH101=""),"",IF(HJ101+MAX(0,GY101-1)&gt;IFERROR(VLOOKUP(HI101,Модули_спр,3,FALSE),99),"ЛИШНИЙ КАНАЛ",IF(AND(AL101&lt;&gt;"=",GY101&gt;0,COUNTIFS(Линии[_модуль гр.],HH101,Линии[Канал (итог)],HJ101,Линии[Канал],"&lt;&gt;=",Линии[Щит],A101)&gt;1),"ДУБЛЬ КАНАЛА","")))</f>
        <v/>
      </c>
      <c r="HS101" s="6" t="str">
        <f t="shared" si="240"/>
        <v/>
      </c>
      <c r="HT101">
        <f t="shared" si="241"/>
        <v>10</v>
      </c>
      <c r="HU101" t="str">
        <f t="shared" si="242"/>
        <v/>
      </c>
      <c r="HV101">
        <f t="shared" si="243"/>
        <v>0.49516660498395404</v>
      </c>
      <c r="HW101">
        <f t="shared" si="244"/>
        <v>0</v>
      </c>
      <c r="HX101">
        <f t="shared" si="245"/>
        <v>0</v>
      </c>
      <c r="HY101">
        <f t="shared" si="246"/>
        <v>0</v>
      </c>
      <c r="HZ101">
        <f t="shared" si="247"/>
        <v>0</v>
      </c>
      <c r="IA101">
        <f t="shared" si="248"/>
        <v>0</v>
      </c>
      <c r="IB101">
        <f t="shared" si="249"/>
        <v>0</v>
      </c>
      <c r="IC101" t="str">
        <f t="shared" si="250"/>
        <v/>
      </c>
      <c r="ID101" t="str" cm="1">
        <f t="array" ref="ID101">IF(IC101="","",_xlfn.LET(_xlpm.tk,_xlfn.TEXTSPLIT(SUBSTITUTE(SUBSTITUTE(IC101,";"," "),"→"," ")," ",,TRUE),_xlpm.w_,_xlfn._xlws.FILTER(_xlpm.tk,ISNUMBER(--LEFT(_xlpm.tk,1))*((ISNUMBER(SEARCH("W",_xlpm.tk))+ISNUMBER(SEARCH("Вт",_xlpm.tk)))&gt;0),""),IFERROR(--SUBSTITUTE(SUBSTITUTE(UPPER(INDEX(_xlpm.w_,1)),"W",""),"ВТ",""),"")))</f>
        <v/>
      </c>
      <c r="IE101" t="str" cm="1">
        <f t="array" ref="IE101">IF(IC101="","",_xlfn.LET(_xlpm.tk,_xlfn.TEXTSPLIT(SUBSTITUTE(SUBSTITUTE(IC101,";"," "),"→"," ")," ",,TRUE),_xlpm.v_,_xlfn._xlws.FILTER(_xlpm.tk,ISNUMBER(--LEFT(_xlpm.tk,1))*((ISNUMBER(SEARCH("V",_xlpm.tk))+(RIGHT(UPPER(_xlpm.tk))="В"))&gt;0),""),IFERROR(--SUBSTITUTE(SUBSTITUTE(UPPER(INDEX(_xlpm.v_,1)),"V",""),"В",""),"")))</f>
        <v/>
      </c>
      <c r="IF101" s="6" t="str">
        <f>IF(OR(BV101=0,HI101="",HJ101=""),"",IFERROR(N(_xlfn.XLOOKUP(HI101,Каталог!$C$4:$C$500,Каталог!$Q$4:$Q$500)),""))</f>
        <v/>
      </c>
      <c r="IG101" s="6" t="str">
        <f>IF(N(IF101)=0,"",SUMIFS(Линии[Iр, А],Линии[Щит],A101,Линии[_модуль гр.],HH101,Линии[Канал (итог)],HJ101))</f>
        <v/>
      </c>
      <c r="IH101" t="str">
        <f>IF(AND(B101="",HO101=""),"",_xlfn.TEXTJOIN("; ",TRUE,IF(AND(B101&lt;&gt;"",FV101=""),"нет фазы",""),IF(AND(B101&lt;&gt;"",N(GL101)=0,FG101&lt;&gt;"Нет"),"нет мощности",""),IF(AND(HN101&lt;&gt;"",COUNTIFS(Линии[Щит],A101,Линии[Клемма (итог)],HN101)&gt;1),"дубль клеммы "&amp;HN101,""),IF(AND(HQ101&lt;&gt;"",HQ101&lt;&gt;"ok"),HQ101,""),IF(HR101&lt;&gt;"",HR101,""),IF(AND(N(CB101)&gt;=4,N(BX101)=1),CB101&amp;" жил на 1 фазе",""),IF(AND(BC101="R",CG101=1,IF(CS101&lt;&gt;"",N(CV101)&gt;30,OR(N(DA101)=0,N(DA101)&gt;30))),"розетка без дифзащиты до 30 мА",""),IF(AND(CG101=1,N(DA101)&gt;0,ISNUMBER(T101)),IF(T101&gt;N(DA101)/3,"ток утечки "&amp;FIXED(T101,1)&amp;" мА &gt; 1/3 уставки ("&amp;DA101&amp;" мА)",""),""),IF(AND(CH101=1,CS101=""),"«узо»: нет строки с УЗО выше (УЗО 2P 40А 30мА в «Аппаратах»)",""),IF(AND(CS101&lt;&gt;"",CS101=BA101),IF(CT101="","впишите номинал УЗО (УЗО 2P 40А 30мА)",IF(N(CT101)&lt;N(DT101),"УЗО "&amp;CT101&amp;" А &lt; автомата "&amp;DT101&amp;" А перед ним",IF(N(CT101)&lt;N(CX101),"УЗО "&amp;CT101&amp;" А &lt; тока блока "&amp;FIXED(CX101,1)&amp;" А",""))),""),IF(AND(CS101&lt;&gt;"",CS101=BA101,ISNUMBER(CY101)),IF(CY101&gt;N(CV101)/3,"ток утечки блока УЗО "&amp;FIXED(CY101,1)&amp;" мА &gt; 1/3 уставки ("&amp;CV101&amp;" мА)",""),""),IF(AND(CG101=1,N(BV101)+N(IB101)&gt;0,IC101=""),"линии до 50 В без БП: впишите в «Аппараты» (БП 24V 480W)",""),IF(AND(CG101=1,ISNUMBER(ID101),ISNUMBER(U101)),IF(U101&gt;ID101,"БП "&amp;ID101&amp;" Вт &lt; нужно "&amp;U101&amp;" Вт (×"&amp;Запас_БП&amp;")",""),""),IF(AND(CG101=1,ISNUMBER(IE101),N(BV101)=1),IF(IE101&lt;&gt;N(BU101),"БП на "&amp;IE101&amp;" В, линия "&amp;BU101&amp;" В",""),""),IF(AND(N(IF101)&gt;0,N(IG101)&gt;N(IF101)),HH101&amp;" канал "&amp;HJ101&amp;": "&amp;FIXED(IG101,1)&amp;" А &gt; "&amp;IF101&amp;" А",""),IFERROR(IF(AND(ISNUMBER(Q101),Q101&gt;EL101),"потери "&amp;FIXED(Q101,1)&amp;" % &gt; "&amp;EL101&amp;" %",""),""),IFERROR(IF(LEFT(HU101,4)="мало","Iкз мало — отключение &gt; 0,4 с",""),""),IF(AND(B101&lt;&gt;"",BM101=""),"не на схеме",""),IF(AND(CG101=0,B101&lt;&gt;"",FV101&lt;&gt;"",IF(BA101=1,"",FW100)&lt;&gt;"",FV101&lt;&gt;IF(BA101=1,"",FW100)),"фаза не как у автомата группы ("&amp;IF(BA101=1,"",FW100)&amp;")","")))</f>
        <v/>
      </c>
      <c r="II101" s="6">
        <f>IF(OR(CG101=0,DQ101=""),"",_xlfn.LET(_xlpm.t,IFERROR(_xlfn.XLOOKUP(DQ101,Каталог!$U$4:$U$500,Каталог!$G$4:$G$500),""),_xlpm.k,SEARCH("кА",_xlpm.t),IFERROR(--TRIM(RIGHT(SUBSTITUTE(MID(_xlpm.t,MAX(1,_xlpm.k-4),_xlpm.k-MAX(1,_xlpm.k-4))," ",REPT(" ",9)),5)),"")))</f>
        <v>6</v>
      </c>
      <c r="IJ101" t="str">
        <f>IF(OR(II101="",CG101=0),"",IF(_xlfn.XLOOKUP(A101,Щиты[Щит],Щиты[Iкз max на шинах, кА],"")="","",IF(II101&lt;_xlfn.XLOOKUP(A101,Щиты[Щит],Щиты[Iкз max на шинах, кА]),"Icu "&amp;II101&amp;" кА &lt; Iкз max","ok")))</f>
        <v/>
      </c>
      <c r="IK101" t="str">
        <f t="shared" si="251"/>
        <v/>
      </c>
      <c r="IL101" t="str">
        <f t="shared" si="252"/>
        <v>QF13</v>
      </c>
      <c r="IM101" t="str">
        <f t="shared" si="253"/>
        <v>QF13|кабель ВВГнг(А)-LS (3х1,5) → Внутренний блок кондиционирования Подвальный этаж Пом. №007Т</v>
      </c>
      <c r="IN101" t="str" cm="1">
        <f t="array" ref="IN101">IF(IM101="","",_xlfn.LET(_xlpm.nd,_xlfn.TEXTSPLIT(IM101,"|"),IF(COLUMNS(_xlpm.nd)&gt;1,A101&amp;"¦"&amp;INDEX(_xlpm.nd,1)&amp;"¦"&amp;INDEX(_xlpm.nd,2),"")))</f>
        <v>ЩОВ-002¦QF13¦кабель ВВГнг(А)-LS (3х1,5) → Внутренний блок кондиционирования Подвальный этаж Пом. №007Т</v>
      </c>
      <c r="IO101" t="str">
        <f t="shared" si="254"/>
        <v>K.00.007T.2¦Внутренний блок кондиционирования Подвальный этаж Пом. №007Т</v>
      </c>
      <c r="IP101" t="str" cm="1">
        <f t="array" ref="IP101">IF(IM101="","",_xlfn.LET(_xlpm.nd,_xlfn.TEXTSPLIT(IM101,"|"),IF(COLUMNS(_xlpm.nd)&gt;2,A101&amp;"¦"&amp;INDEX(_xlpm.nd,2)&amp;"¦"&amp;INDEX(_xlpm.nd,3),"")))</f>
        <v/>
      </c>
      <c r="IQ101" t="str">
        <f t="shared" si="255"/>
        <v/>
      </c>
      <c r="IR101" t="str" cm="1">
        <f t="array" ref="IR101">IF(IM101="","",_xlfn.LET(_xlpm.nd,_xlfn.TEXTSPLIT(IM101,"|"),IF(COLUMNS(_xlpm.nd)&gt;3,A101&amp;"¦"&amp;INDEX(_xlpm.nd,3)&amp;"¦"&amp;INDEX(_xlpm.nd,4),"")))</f>
        <v/>
      </c>
      <c r="IS101" t="str">
        <f t="shared" si="256"/>
        <v/>
      </c>
      <c r="IT101" t="str" cm="1">
        <f t="array" ref="IT101">IF(IM101="","",_xlfn.LET(_xlpm.nd,_xlfn.TEXTSPLIT(IM101,"|"),IF(COLUMNS(_xlpm.nd)&gt;4,A101&amp;"¦"&amp;INDEX(_xlpm.nd,4)&amp;"¦"&amp;INDEX(_xlpm.nd,5),"")))</f>
        <v/>
      </c>
      <c r="IU101" t="str">
        <f t="shared" si="257"/>
        <v/>
      </c>
      <c r="IV101" t="str" cm="1">
        <f t="array" ref="IV101">IF(IM101="","",_xlfn.LET(_xlpm.nd,_xlfn.TEXTSPLIT(IM101,"|"),IF(COLUMNS(_xlpm.nd)&gt;5,A101&amp;"¦"&amp;INDEX(_xlpm.nd,5)&amp;"¦"&amp;INDEX(_xlpm.nd,6),"")))</f>
        <v/>
      </c>
      <c r="IW101" t="str">
        <f t="shared" si="258"/>
        <v/>
      </c>
      <c r="IX101" t="str" cm="1">
        <f t="array" ref="IX101">IF(IM101="","",_xlfn.LET(_xlpm.nd,_xlfn.TEXTSPLIT(IM101,"|"),IF(COLUMNS(_xlpm.nd)&gt;6,A101&amp;"¦"&amp;INDEX(_xlpm.nd,6)&amp;"¦"&amp;INDEX(_xlpm.nd,7),"")))</f>
        <v/>
      </c>
      <c r="IY101" t="str">
        <f t="shared" si="259"/>
        <v/>
      </c>
      <c r="IZ101" t="str">
        <f t="shared" si="260"/>
        <v/>
      </c>
      <c r="JA101" t="str">
        <f t="shared" si="261"/>
        <v>QF13</v>
      </c>
      <c r="JB101">
        <f t="shared" si="262"/>
        <v>0</v>
      </c>
      <c r="JC101">
        <f t="shared" si="263"/>
        <v>0</v>
      </c>
      <c r="JD101" t="str">
        <f t="shared" si="264"/>
        <v/>
      </c>
      <c r="JE101" t="str">
        <f t="shared" si="265"/>
        <v/>
      </c>
      <c r="JF101" t="str">
        <f t="shared" si="266"/>
        <v/>
      </c>
      <c r="JG101" t="str">
        <f t="shared" si="267"/>
        <v/>
      </c>
      <c r="JH101">
        <f>IF(B101="","",IFERROR(_xlfn.XLOOKUP(B101,Коды_код,Коды_уго),IFERROR(_xlfn.XLOOKUP(BC101,Коды_код,Коды_уго),IFERROR(_xlfn.XLOOKUP(LEFT(BC101,2),Коды_код,Коды_уго),""))))</f>
        <v>0</v>
      </c>
      <c r="JI101" t="str">
        <f>IF(B101="","",IF(OR(JH101="",JH101=0),"BOX",IFERROR(IF(VLOOKUP(JH101,УГО_блоки,3,FALSE)&amp;""&lt;&gt;"",VLOOKUP(JH101,УГО_блоки,3,FALSE),VLOOKUP(JH101,УГО_блоки,2,FALSE)),JH101)))</f>
        <v>BOX</v>
      </c>
      <c r="JJ101">
        <f t="shared" si="268"/>
        <v>1</v>
      </c>
      <c r="JK101" t="str">
        <f>IF(DQ101="","",IF(COUNTIF(DQ$3:DQ101,DQ101)=1,MAX(JK$2:JK100)+1,""))</f>
        <v/>
      </c>
      <c r="JL101" t="str">
        <f>IF(DE101="","",IF(COUNTIF(DE$3:DE101,DE101)+COUNTIF(DF$2:DF100,DE101)+COUNTIF(DG$2:DG100,DE101)=1,MAX(JL$2:JN100)+1,""))</f>
        <v/>
      </c>
      <c r="JM101" t="str">
        <f>IF(DF101="","",IF(COUNTIF(DE$3:DE101,DF101)+COUNTIF(DF$3:DF101,DF101)+COUNTIF(DG$2:DG100,DF101)=1,MAX(JL$2:JN100,JL101)+1,""))</f>
        <v/>
      </c>
      <c r="JN101" t="str">
        <f>IF(DG101="","",IF(COUNTIF(DE$3:DE101,DG101)+COUNTIF(DF$3:DF101,DG101)+COUNTIF(DG$3:DG101,DG101)=1,MAX(JL$2:JN100,JL101,JM101)+1,""))</f>
        <v/>
      </c>
      <c r="JO101" t="str">
        <f t="shared" si="269"/>
        <v>3х1,5</v>
      </c>
      <c r="JP101" t="str">
        <f>IF(JO101="","",IF(COUNTIF(JO$3:JO101,JO101)=1,MAX(JP$2:JP100)+1,""))</f>
        <v/>
      </c>
      <c r="JQ101" t="str">
        <f>IF(HG101="","",COUNTIF(HG$3:HG101,"?*"))</f>
        <v/>
      </c>
      <c r="JR101" t="str">
        <f>IF(OR(HG101="",HI101=""),"",IF(COUNTIFS(HG$3:HG101,"?*",HI$3:HI101,HI101)=1,MAX(JR$2:JR100)+1,""))</f>
        <v/>
      </c>
      <c r="JS101">
        <f t="shared" si="270"/>
        <v>0</v>
      </c>
      <c r="JT101">
        <f>IF(B101="","",COUNTIF(B$3:B101,"?*"))</f>
        <v>99</v>
      </c>
      <c r="JU101">
        <f>IF(HL101&lt;&gt;1,0,_xlfn.LET(_xlpm.k,MAX(IFERROR(--_xlfn.XLOOKUP(B101,Коды_код,Коды_3L),0),IFERROR(--_xlfn.XLOOKUP(BC101,Коды_код,Коды_3L),0),IFERROR(--_xlfn.XLOOKUP(LEFT(BC101,2),Коды_код,Коды_3L),0)),IF(_xlpm.k&gt;0,_xlpm.k,IF(IFERROR(--LEFT(SUBSTITUTE(JO101,"x","х"),FIND("х",SUBSTITUTE(JO101,"x","х"))-1),3)&gt;3,Каталог!$S$9,1))))</f>
        <v>1</v>
      </c>
      <c r="JV101">
        <f t="shared" si="271"/>
        <v>0</v>
      </c>
      <c r="JW101" t="str">
        <f t="shared" si="272"/>
        <v>авто</v>
      </c>
      <c r="JX101" t="str">
        <f t="shared" si="273"/>
        <v/>
      </c>
      <c r="JY101">
        <f t="shared" si="274"/>
        <v>0</v>
      </c>
      <c r="JZ101">
        <f t="shared" si="275"/>
        <v>1</v>
      </c>
    </row>
    <row r="102" spans="1:286" x14ac:dyDescent="0.3">
      <c r="A102" t="s">
        <v>745</v>
      </c>
      <c r="B102" t="s">
        <v>741</v>
      </c>
      <c r="C102" t="s">
        <v>52</v>
      </c>
      <c r="D102">
        <v>1</v>
      </c>
      <c r="E102">
        <f>Линии[[#This Row],[_авто Р]]</f>
        <v>13.172999999999996</v>
      </c>
      <c r="G102">
        <v>25</v>
      </c>
      <c r="H102" t="str">
        <f>Линии[[#This Row],[_авто управление]]</f>
        <v/>
      </c>
      <c r="I102" t="str">
        <f>Линии[[#This Row],[_авто аппараты]]</f>
        <v/>
      </c>
      <c r="J102">
        <v>6</v>
      </c>
      <c r="K102">
        <v>14</v>
      </c>
      <c r="L102" t="str">
        <f>Линии[[#This Row],[_авто фаза]]</f>
        <v>L1,L2,L3</v>
      </c>
      <c r="M102" t="str">
        <f>Линии[[#This Row],[_авто клемма]]</f>
        <v/>
      </c>
      <c r="N102" t="str">
        <f t="shared" si="138"/>
        <v/>
      </c>
      <c r="O102" s="6" cm="1">
        <f t="array" ref="O102">IF(B102="","",IF(BH102&lt;&gt;"",IFERROR(_xlfn.XLOOKUP(BH102,Щиты[Щит],Щиты[Iр, А]),""),IF(BP102=1,IF(OR(N(_xlfn.XLOOKUP(A102,Щиты[Щит],Щиты[Вводов],1))&lt;=1,LOWER(TRIM(_xlfn.XLOOKUP(A102,Щиты[Щит],Щиты[АВР],"")&amp;""))="да"),IFERROR(_xlfn.XLOOKUP(A102,Щиты[Щит],Щиты[Iр, А]),""),IFERROR(N(BS102)*_xlfn.XLOOKUP(A102,Щиты[Щит],Щиты[Кс итог])/(SQRT(3)*Uн_лин*_xlfn.XLOOKUP(A102,Щиты[Щит],Щиты[cos φ])),"")),IF(BV102=1,IFERROR(BS102*1000/BU102,""),IFERROR(_xlfn.IFS(BX102=1,BS102/((Uн_лин/SQRT(3))*CE102),BX102=3,BS102/(SQRT(3)*Uн_лин*CE102)),"")))))</f>
        <v>11.927695717539414</v>
      </c>
      <c r="P102" s="7">
        <f>IF(B102="","",IFERROR(IF(VLOOKUP(BC102,Потребители_обозначение,4,FALSE)=1,VLOOKUP(BC102,Потребители_обозначение,3,FALSE)*(MAX(1,N(D102))*2-1)+EI102+VLOOKUP(BE102,Этаж_обозначение,3,FALSE)+VLOOKUP(BE102,Этаж_обозначение,4,FALSE),VLOOKUP(BC102,Потребители_обозначение,3,FALSE)*(MAX(1,N(D102))*2-1)+EI102),EI102))</f>
        <v>14</v>
      </c>
      <c r="Q102" s="6">
        <f t="shared" si="139"/>
        <v>0.47000000000000003</v>
      </c>
      <c r="R102" t="str">
        <f t="shared" si="140"/>
        <v>ВВГнг(А)-LS (5х6)</v>
      </c>
      <c r="S102" t="str">
        <f>IF(BM102="","",IF(BN102="вводной узел","узел ","")&amp;"л."&amp;(INT((BM102-1)/Столбцов_на_лист)+1)&amp;" / "&amp;(MOD(BM102-1,Столбцов_на_лист)+1))</f>
        <v>узел л.1 / 2</v>
      </c>
      <c r="T102" s="119" t="str">
        <f t="shared" si="141"/>
        <v/>
      </c>
      <c r="U102" s="7" t="str">
        <f>IF(OR(CG102=0,N(BV102)+N(IB102)=0),"",ROUNDUP(Запас_БП*(N(HY102)+N(HZ102)),0))</f>
        <v/>
      </c>
      <c r="V102" s="119" t="str">
        <f t="shared" si="142"/>
        <v/>
      </c>
      <c r="W102" s="7" t="str">
        <f>IFERROR(IF(OR(B102="",BP102=1,BV102=1,NOT(ISNUMBER(EN102)),N(DT102)=0),"",MAX(0,ROUNDDOWN((c_min*(Uн_лин*1000/SQRT(3))/(HT102*N(DT102))-_xlfn.XLOOKUP(A102,Щиты[Щит],Щиты[Zпетли на шинах, Ом]))*EN102/(2*ρкз_Cu),0))),"")</f>
        <v/>
      </c>
      <c r="Y102" t="str">
        <f>Линии[[#This Row],[_авто утечка]]</f>
        <v/>
      </c>
      <c r="Z102">
        <v>3</v>
      </c>
      <c r="AA102">
        <v>400</v>
      </c>
      <c r="AB102" t="s">
        <v>547</v>
      </c>
      <c r="AJ102" t="s">
        <v>1344</v>
      </c>
      <c r="AK102" t="str">
        <f>Линии[[#This Row],[_авто модуль]]</f>
        <v/>
      </c>
      <c r="AM102">
        <v>2</v>
      </c>
      <c r="AN102" t="s">
        <v>11</v>
      </c>
      <c r="AO102">
        <v>5</v>
      </c>
      <c r="AR102">
        <v>14</v>
      </c>
      <c r="AT102">
        <v>1</v>
      </c>
      <c r="BA102" cm="1">
        <f t="array" ref="BA102">ROW()-ROW(Линии[#Headers])</f>
        <v>100</v>
      </c>
      <c r="BC102" s="6" t="str">
        <f t="shared" si="143"/>
        <v>Ввод</v>
      </c>
      <c r="BD102" t="str">
        <f t="shared" si="144"/>
        <v>1</v>
      </c>
      <c r="BE102" t="str">
        <f t="shared" si="145"/>
        <v>1</v>
      </c>
      <c r="BF102" t="str">
        <f t="shared" si="146"/>
        <v/>
      </c>
      <c r="BG102" t="str">
        <f t="shared" si="147"/>
        <v/>
      </c>
      <c r="BH102" t="str">
        <f>IF(X102&lt;&gt;"",X102,IF(AND(B102&lt;&gt;"",B102&lt;&gt;A102,ISNUMBER(_xlfn.XMATCH(B102,Щиты[Щит]))),B102,""))</f>
        <v/>
      </c>
      <c r="BI102" t="str" cm="1">
        <f t="array" ref="BI102">IF(B102="","",IF(BH102&lt;&gt;"","Щит "&amp;BH102,_xlfn.LET(_xlpm.nm,IFERROR(_xlfn.XLOOKUP(BC102,Коды_код,Коды_имя)&amp;"",""),_xlpm.md,IFERROR(N(_xlfn.XLOOKUP(BC102,Коды_код,Коды_режим)),1),_xlpm.ex,IF(Имя_режим="по экспликации",IFERROR(_xlfn.XLOOKUP(BE102&amp;"|"&amp;BG102,Экспликация[Этаж]&amp;"|"&amp;Экспликация[Помещение],Экспликация[Название])&amp;"",""),""),_xlpm.rm,IF(BG102="","",IF(_xlpm.ex&lt;&gt;"",". "&amp;_xlpm.ex&amp;IF(Имя_пом="нет"," ("&amp;BG102&amp;")"," (пом. "&amp;BG102&amp;")"),IF(Имя_пом="нет"," ",", пом. ")&amp;BG102)),IF(_xlpm.nm="","",IF(_xlpm.md=2,_xlpm.nm&amp;" шлейф "&amp;BE102,_xlpm.nm&amp;_xlpm.rm)))))</f>
        <v>Вводной кабель шлейф 1</v>
      </c>
      <c r="BJ102" t="str">
        <f t="shared" si="148"/>
        <v>Ввод</v>
      </c>
      <c r="BK102">
        <f>IFERROR(_xlfn.XMATCH(A102,Щиты[Щит]),0)</f>
        <v>6</v>
      </c>
      <c r="BL102">
        <f>_xlfn.LET(_xlpm.k,IFERROR(_xlfn.XLOOKUP(A102,Щиты[Щит],Щиты[Мест под вводной узел]),""),IF(_xlpm.k="",Столбцов_на_лист,N(_xlpm.k)))</f>
        <v>12</v>
      </c>
      <c r="BM102">
        <f t="shared" si="149"/>
        <v>2</v>
      </c>
      <c r="BN102" t="str">
        <f t="shared" si="150"/>
        <v>вводной узел</v>
      </c>
      <c r="BO102" s="6">
        <f>IFERROR(N(_xlfn.XLOOKUP(BC102,Коды_код,Коды_квт)),0)</f>
        <v>0</v>
      </c>
      <c r="BP102">
        <f t="shared" si="151"/>
        <v>1</v>
      </c>
      <c r="BQ102">
        <f>IF(B102="","",IF(BH102&lt;&gt;"",IFERROR(_xlfn.XLOOKUP(BH102,Щиты[Щит],Щиты[Руст, кВт]),0),IF(BP102=1,IF(OR(N(_xlfn.XLOOKUP(A102,Щиты[Щит],Щиты[Вводов],1))&lt;=1,LOWER(TRIM(_xlfn.XLOOKUP(A102,Щиты[Щит],Щиты[АВР],"")&amp;""))="да"),IFERROR(_xlfn.XLOOKUP(A102,Щиты[Щит],Щиты[Руст, кВт]),0),SUMIFS(Линии[_Р для вводов],Линии[Щит],A102,Линии[Источник для режимов],GF102)),IF(BO102&gt;0,ROUND(BO102*MAX(1,N(D102)),3),""))))</f>
        <v>13.172999999999996</v>
      </c>
      <c r="BR102">
        <f t="shared" si="152"/>
        <v>13.172999999999996</v>
      </c>
      <c r="BS102" s="6">
        <f>IF(B102="","",IF(BH102&lt;&gt;"",IFERROR(_xlfn.XLOOKUP(BH102,Щиты[Щит],Щиты[Руст, кВт]),0),N(BR102)))</f>
        <v>13.172999999999996</v>
      </c>
      <c r="BT102" t="str">
        <f>IF(B102="","",IFERROR(IF(VLOOKUP(BC102,Потребители_обозначение,8,FALSE)=0,"",VLOOKUP(BC102,Потребители_обозначение,8,FALSE)),""))</f>
        <v/>
      </c>
      <c r="BU102">
        <f t="shared" si="153"/>
        <v>400</v>
      </c>
      <c r="BV102">
        <f t="shared" si="154"/>
        <v>0</v>
      </c>
      <c r="BW102">
        <f>IF(B102="","",IF(BH102&lt;&gt;"",3,IFERROR(IF(N(VLOOKUP(BC102,Потребители_обозначение,9,FALSE))=0,1,VLOOKUP(BC102,Потребители_обозначение,9,FALSE)),1)))</f>
        <v>1</v>
      </c>
      <c r="BX102">
        <f t="shared" si="155"/>
        <v>3</v>
      </c>
      <c r="BY102" t="str">
        <f>IF(B102="","",_xlfn.LET(_xlpm.bc,IFERROR(IF(VLOOKUP(BC102,Потребители_обозначение,6,FALSE)=0,"",VLOOKUP(BC102,Потребители_обозначение,6,FALSE)&amp;""),""),IF(AND(GA102="да",OR(_xlpm.bc="",_xlpm.bc="мс")),Марка_пож,IF(AND(_xlpm.bc="",BH102&lt;&gt;""),"мс",_xlpm.bc))))</f>
        <v/>
      </c>
      <c r="BZ102" t="str">
        <f t="shared" si="156"/>
        <v>мс</v>
      </c>
      <c r="CA102">
        <f>IF(B102="","",_xlfn.LET(_xlpm.cc,IFERROR(N(VLOOKUP(BC102,Потребители_обозначение,7,FALSE)),0),IF(_xlpm.cc&gt;0,_xlpm.cc,IF(BZ102="","",IF(BV102=1,2,IF(N(BX102)=3,5,3))))))</f>
        <v>5</v>
      </c>
      <c r="CB102">
        <f t="shared" si="157"/>
        <v>5</v>
      </c>
      <c r="CC102">
        <f>IFERROR(N(VLOOKUP(BC102,Потребители_обозначение,10,FALSE)),0)</f>
        <v>0</v>
      </c>
      <c r="CD102">
        <f>IFERROR(VLOOKUP(BC102,Потребители_обозначение,5,FALSE),0)</f>
        <v>1</v>
      </c>
      <c r="CE102" s="6" cm="1">
        <f t="array" ref="CE102">IF(B102="","",IF(BH102&lt;&gt;"",IFERROR(_xlfn.XLOOKUP(BH102,Щиты[Щит],Щиты[cos φ]),0.95),IF(BP102=1,IFERROR(_xlfn.XLOOKUP(A102,Щиты[Щит],Щиты[cos φ]),0.95),IF(ISNUMBER(AD102),AD102,IFERROR(IF(CD102=2,_xlfn.IFS(BX102=3,VLOOKUP(BS102,Справочная_двигатели,8,FALSE),BX102=1,VLOOKUP(BS102,Справочная_двигатели,10,TRUE)),IF(AND(Методика="нормы 2026",FG102="Сил"),0.8,0.95)),0.95)))))</f>
        <v>0.80000000000000071</v>
      </c>
      <c r="CF102">
        <f t="shared" si="158"/>
        <v>0</v>
      </c>
      <c r="CG102">
        <f t="shared" si="159"/>
        <v>1</v>
      </c>
      <c r="CH102">
        <f t="shared" si="160"/>
        <v>0</v>
      </c>
      <c r="CI102">
        <f>IF(B102="","",IF(BV102=1,IFERROR(BS102/((Uн_лин/SQRT(3))*MAX(0.5,N(CE102))),0),N(O102)))</f>
        <v>11.927695717539414</v>
      </c>
      <c r="CJ102">
        <f t="shared" si="161"/>
        <v>0</v>
      </c>
      <c r="CK102">
        <f t="shared" si="162"/>
        <v>0</v>
      </c>
      <c r="CL102">
        <f t="shared" si="163"/>
        <v>0</v>
      </c>
      <c r="CM102">
        <f t="shared" si="164"/>
        <v>0</v>
      </c>
      <c r="CN102">
        <f t="shared" si="165"/>
        <v>0</v>
      </c>
      <c r="CO102">
        <f>IF(BC102="",0,_xlfn.LET(_xlpm.v,IFERROR(_xlfn.XLOOKUP(B102,Коды_код,Коды_мА),IFERROR(_xlfn.XLOOKUP(BC102,Коды_код,Коды_мА),IFERROR(_xlfn.XLOOKUP(LEFT(BC102,2),Коды_код,Коды_мА),""))),IF(_xlpm.v="да",30,IF(ISNUMBER(_xlpm.v),_xlpm.v,0))))</f>
        <v>0</v>
      </c>
      <c r="CP102" t="str">
        <f t="shared" si="166"/>
        <v/>
      </c>
      <c r="CQ102" t="str">
        <f>_xlfn.LET(_xlpm.k,IFERROR(_xlfn.XLOOKUP(BC102,Коды_код,Коды_утечка)&amp;"",""),IF(_xlpm.k="","дифавтомат",_xlpm.k))</f>
        <v>дифавтомат</v>
      </c>
      <c r="CR102" t="str" cm="1">
        <f t="array" ref="CR102">IF(CG102=0,"",_xlfn.LET(_xlpm.sg,TRIM(_xlfn.TEXTSPLIT(DD102&amp;"",";")),_xlpm.f_,_xlfn._xlws.FILTER(_xlpm.sg,LEFT(_xlpm.sg,3)="УЗО",""),IFERROR(INDEX(_xlpm.f_,1)&amp;"","")))</f>
        <v/>
      </c>
      <c r="CS102" t="str">
        <f t="shared" si="167"/>
        <v/>
      </c>
      <c r="CT102" s="6" t="str" cm="1">
        <f t="array" ref="CT102">IF(CR102="","",_xlfn.LET(_xlpm.tk,_xlfn.TEXTSPLIT(UPPER(CR102)," ",,TRUE),_xlpm.a_,_xlfn._xlws.FILTER(_xlpm.tk,ISNUMBER(--LEFT(_xlpm.tk,1))*((ISNUMBER(SEARCH("А",_xlpm.tk))+ISNUMBER(SEARCH("A",_xlpm.tk)))&gt;0)*NOT(ISNUMBER(SEARCH("МА",_xlpm.tk)))*NOT(ISNUMBER(SEARCH("MA",_xlpm.tk))),""),IFERROR(--SUBSTITUTE(SUBSTITUTE(INDEX(_xlpm.a_,1),"А",""),"A",""),"")))</f>
        <v/>
      </c>
      <c r="CU102" t="str" cm="1">
        <f t="array" ref="CU102">IF(CR102="","",_xlfn.LET(_xlpm.tk,_xlfn.TEXTSPLIT(UPPER(CR102)," ",,TRUE),_xlpm.a_,_xlfn._xlws.FILTER(_xlpm.tk,ISNUMBER(--LEFT(_xlpm.tk,1))*((ISNUMBER(SEARCH("МА",_xlpm.tk))+ISNUMBER(SEARCH("MA",_xlpm.tk)))&gt;0),""),IFERROR(--SUBSTITUTE(SUBSTITUTE(INDEX(_xlpm.a_,1),"МА",""),"MA",""),30)))</f>
        <v/>
      </c>
      <c r="CV102" t="str">
        <f>IF(CS102="","",IFERROR(_xlfn.XLOOKUP(CS102,Линии[_n],Линии[_УЗО, мА]),30))</f>
        <v/>
      </c>
      <c r="CW102">
        <f>IF(CS102="",0,IF(ISNUMBER(SEARCH("4P",IFERROR(_xlfn.XLOOKUP(CS102,Линии[_n],Линии[_УЗО строки])&amp;"",""))),0,1))</f>
        <v>0</v>
      </c>
      <c r="CX102" t="str">
        <f>IF(AND(CS102&lt;&gt;"",CS102=BA102),SUMIFS(Линии[_ток на 230 В],Линии[_блок УЗО],BA102,Линии[Щит],A102),"")</f>
        <v/>
      </c>
      <c r="CY102" t="str">
        <f>IF(AND(CS102&lt;&gt;"",CS102=BA102),SUMIFS(Линии[_ток утечки линии, мА],Линии[_блок УЗО],BA102,Линии[Щит],A102),"")</f>
        <v/>
      </c>
      <c r="CZ102">
        <f t="shared" si="168"/>
        <v>0</v>
      </c>
      <c r="DA102">
        <f t="shared" si="169"/>
        <v>0</v>
      </c>
      <c r="DB102">
        <f>IF(B102="",0,IFERROR(--_xlfn.XLOOKUP(B102,Коды_код,Коды_минавт),IFERROR(--_xlfn.XLOOKUP(BC102,Коды_код,Коды_минавт),IFERROR(--_xlfn.XLOOKUP(LEFT(BC102,2),Коды_код,Коды_минавт),0))))</f>
        <v>0</v>
      </c>
      <c r="DC102" t="str">
        <f>IF(B102="","",IFERROR(_xlfn.XLOOKUP(BC102,Коды_код,Коды_апп)&amp;"",""))</f>
        <v/>
      </c>
      <c r="DD102" t="str">
        <f t="shared" si="170"/>
        <v/>
      </c>
      <c r="DE102" t="str" cm="1">
        <f t="array" ref="DE102">IF(TRIM(DD102&amp;"")="","",IFERROR(TRIM(INDEX(_xlfn.TEXTSPLIT(DD102&amp;";;;",";"),1)),""))</f>
        <v/>
      </c>
      <c r="DF102" t="str" cm="1">
        <f t="array" ref="DF102">IF(TRIM(DD102&amp;"")="","",IFERROR(TRIM(INDEX(_xlfn.TEXTSPLIT(DD102&amp;";;;",";"),2)),""))</f>
        <v/>
      </c>
      <c r="DG102" t="str" cm="1">
        <f t="array" ref="DG102">IF(TRIM(DD102&amp;"")="","",IFERROR(TRIM(INDEX(_xlfn.TEXTSPLIT(DD102&amp;";;;",";"),3)),""))</f>
        <v/>
      </c>
      <c r="DH102">
        <f t="shared" si="171"/>
        <v>0</v>
      </c>
      <c r="DI102" t="str">
        <f>IF(B102="","",_xlfn.LET(_xlpm.t,LOWER(AZ102&amp;""),IF(ISNUMBER(SEARCH("dim",_xlpm.t)),"DIM",IF(ISNUMBER(SEARCH("dali",_xlpm.t)),"DALI",IF(OR(ISNUMBER(SEARCH("relay",_xlpm.t)),ISNUMBER(SEARCH("реле",_xlpm.t))),"Relay",IF(ISNUMBER(SEARCH("кнопк",_xlpm.t)),"",IFERROR(_xlfn.XLOOKUP(BC102,Коды_код,Коды_упр)&amp;"","")))))))</f>
        <v/>
      </c>
      <c r="DJ102" t="str">
        <f t="shared" si="172"/>
        <v/>
      </c>
      <c r="DK102">
        <f>IF(B102="","",_xlfn.LET(_xlpm.ig,IF(N(CX102)&gt;0,N(CX102),N(CI102)+IF(AJ102="вручную",0,N(CJ102))),_xlpm.n0,IFERROR(VLOOKUP(_xlpm.ig,Автомат_номиналы,2,TRUE),0),_xlpm.mn,MAX(DB102,IF(AJ102="вручную",0,N(CM102))),MAX(_xlpm.n0,_xlpm.mn,IF(DH102=1,Мин_автомат_БП,0))))</f>
        <v>16</v>
      </c>
      <c r="DL102">
        <f t="shared" si="173"/>
        <v>3</v>
      </c>
      <c r="DM102" t="str">
        <f t="shared" si="174"/>
        <v>3P</v>
      </c>
      <c r="DN102" t="str">
        <f>_xlfn.LET(_xlpm.cc,UPPER(TRIM(IFERROR(_xlfn.XLOOKUP(BC102,Коды_код,Коды_хар)&amp;"",""))),IF(OR(_xlpm.cc="B",_xlpm.cc="В"),"B",IF(_xlpm.cc="D","D","С")))</f>
        <v>С</v>
      </c>
      <c r="DO102" t="str">
        <f t="shared" si="175"/>
        <v>3P С16А</v>
      </c>
      <c r="DP102">
        <f t="shared" si="176"/>
        <v>25</v>
      </c>
      <c r="DQ102" t="str">
        <f t="shared" si="177"/>
        <v>3P С25А</v>
      </c>
      <c r="DR102" cm="1">
        <f t="array" ref="DR102">IF(DQ102="","",_xlfn.LET(_xlpm.t,SUBSTITUTE(SUBSTITUTE(SUBSTITUTE(UPPER(DQ102),"С","C"),"А","A"),"В","B"),_xlpm.tk,_xlfn.TEXTSPLIT(_xlpm.t," "),_xlpm.f,_xlfn._xlws.FILTER(_xlpm.tk,ISNUMBER(--MID(_xlpm.tk,2,1))*ISNUMBER(SEARCH(LEFT(_xlpm.tk,1)&amp;"#","B#C#D#"))*(LEN(_xlpm.tk)&gt;1),""),_xlpm.x,INDEX(_xlpm.f,1),IFERROR(--SUBSTITUTE(MID(_xlpm.x,2,9),"A",""),IFERROR(--SUBSTITUTE(INDEX(_xlfn._xlws.FILTER(_xlpm.tk,ISNUMBER(--SUBSTITUTE(_xlpm.tk,"A","")),""),1),"A",""),""))))</f>
        <v>25</v>
      </c>
      <c r="DS102" t="str">
        <f t="shared" si="178"/>
        <v>узел</v>
      </c>
      <c r="DT102">
        <f t="shared" si="179"/>
        <v>25</v>
      </c>
      <c r="DU102" t="str">
        <f t="shared" si="180"/>
        <v>3P С25А</v>
      </c>
      <c r="DV102">
        <f t="shared" si="181"/>
        <v>0</v>
      </c>
      <c r="DW102">
        <f t="shared" si="182"/>
        <v>0</v>
      </c>
      <c r="DX102">
        <f t="shared" si="183"/>
        <v>0</v>
      </c>
      <c r="DY102">
        <f t="shared" si="184"/>
        <v>11.927695717539414</v>
      </c>
      <c r="DZ102">
        <f t="shared" si="185"/>
        <v>0.92</v>
      </c>
      <c r="EA102">
        <f>IF(ISNUMBER(AP102),AP102,К_прокл)</f>
        <v>1</v>
      </c>
      <c r="EB102">
        <f t="shared" si="186"/>
        <v>3</v>
      </c>
      <c r="EC102">
        <f>IFERROR(N(VLOOKUP(BZ102,Кабель_обозначение,3,FALSE)),1)</f>
        <v>1</v>
      </c>
      <c r="ED102">
        <f>IFERROR(N(_xlfn.XLOOKUP(A102,Щиты[Щит],Щиты[ΔU до шин, %])),0)</f>
        <v>0.24000000000000002</v>
      </c>
      <c r="EE102" t="str">
        <f>IFERROR(_xlfn.XLOOKUP(A102,Щиты[Щит],Щиты[Zпетли на шинах, Ом]),"")</f>
        <v/>
      </c>
      <c r="EF102">
        <f>IFERROR(N(_xlfn.XLOOKUP(A102,Щиты[Щит],Щиты[ΔU до шин (подбор), %])),0)</f>
        <v>0.36</v>
      </c>
      <c r="EG102" t="str">
        <f>IFERROR(_xlfn.XLOOKUP(A102,Щиты[Щит],Щиты[Zпетли на шинах (подбор), Ом]),"")</f>
        <v/>
      </c>
      <c r="EH102" t="str">
        <f t="shared" si="187"/>
        <v/>
      </c>
      <c r="EI102">
        <f t="shared" si="188"/>
        <v>14</v>
      </c>
      <c r="EJ102">
        <f t="shared" si="189"/>
        <v>1</v>
      </c>
      <c r="EK102">
        <f t="shared" si="190"/>
        <v>0.6</v>
      </c>
      <c r="EL102" s="6">
        <f>IF(B102="","",IF(BV102=1,dU_LED,IF(IFERROR(_xlfn.XLOOKUP(BC102,Коды_код,Коды_уго),"")="Светильник",3,4)+IF(Методика="нормы 2026",MIN(0.5,MAX(0,N(P102)-100)*0.005),0)))</f>
        <v>4</v>
      </c>
      <c r="EM102" cm="1">
        <f t="array" ref="EM102">IF(OR(B102="",BZ102="",EC102&lt;&gt;1),"",_xlfn.LET(_xlpm.sz,Iдоп_S,_xlpm.t_,CHOOSE(EB102,Iдоп_1ж,Iдоп_2ж,Iдоп_3ж)*DZ102*EA102,_xlpm.dcx,BV102=1,_xlpm.inn,IF(_xlpm.dcx,N(O102),N(DT102)),_xlpm.smin,MAX(1.5,CC102),_xlpm.L_,N(P102)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102)/N(BU102)*100,999),IFERROR(N(EJ102)*(_xlpm.rho*_xlpm.L_/_xlpm.sz*N(CE102)+_xlpm.xx*_xlpm.L_*N(EK102)/1000)*N(O102)/((Uн_лин/SQRT(3))*1000)*100,999)),_xlpm.kz,IF(OR(_xlpm.dcx,DW102=1,NOT(ISNUMBER(EG102)),_xlpm.L_=0,_xlpm.inn=0),1,IFERROR(--(c_min*(Uн_лин*1000/SQRT(3))/(EG102+2*ρкз_Cu*_xlpm.L_/_xlpm.sz)&gt;=HT102*_xlpm.inn),0)),_xlpm.ok,IFERROR((_xlpm.sz&gt;=_xlpm.smin)*(_xlpm.t_&gt;=_xlpm.inn)*IF(_xlpm.L_&gt;0,(_xlpm.du_+IF(_xlpm.dcx,0,EF102)&lt;=EL102+0.00001),1)*_xlpm.kz,0),_xlpm.r_,_xlfn._xlws.FILTER(_xlpm.sz,_xlpm.ok,"не подобрано"),INDEX(_xlpm.r_,1)))</f>
        <v>4</v>
      </c>
      <c r="EN102">
        <f t="shared" si="191"/>
        <v>6</v>
      </c>
      <c r="EO102" cm="1">
        <f t="array" ref="EO102">IF(OR(B102="",BZ102="",EC102&lt;&gt;1),"",_xlfn.LET(_xlpm.sz,Iдоп_S,_xlpm.t_,CHOOSE(EB102,Iдоп_1ж,Iдоп_2ж,Iдоп_3ж)*DZ102*EA102,_xlpm.ok,IFERROR((_xlpm.sz&gt;=MAX(1.5,CC102))*(_xlpm.t_&gt;=N(DT102)),0),_xlpm.r_,_xlfn._xlws.FILTER(_xlpm.sz,_xlpm.ok,""),INDEX(_xlpm.r_,1)))</f>
        <v>4</v>
      </c>
      <c r="EP102" s="6" cm="1">
        <f t="array" ref="EP102">IFERROR(ROUNDUP(N(EJ102)*(_xlfn.XLOOKUP(EO102,INDEX(Кабель_сопротивление,0,1),INDEX(Кабель_сопротивление,0,3))*N(P102)/EO102*N(CE102)+_xlfn.XLOOKUP(EO102,INDEX(Кабель_сопротивление,0,1),INDEX(Кабель_сопротивление,0,2))*N(P102)*N(EK102)/1000)*N(O102)/((Uн_лин/SQRT(3))*1000)*100,2),"")</f>
        <v>0.33</v>
      </c>
      <c r="EQ102">
        <f>IFERROR(2*ρкз_Cu*N(P102)/EO102,"")</f>
        <v>0.18410000000000001</v>
      </c>
      <c r="ER102">
        <f>IFERROR(VLOOKUP(EN102,Кабель_сопротивление,3,FALSE),"")</f>
        <v>2.2499999999999999E-2</v>
      </c>
      <c r="ES102">
        <f>IFERROR(VLOOKUP(EN102,Кабель_сопротивление,2,FALSE),"")</f>
        <v>0.09</v>
      </c>
      <c r="ET102">
        <f t="shared" si="192"/>
        <v>14</v>
      </c>
      <c r="EU102">
        <f t="shared" si="193"/>
        <v>0</v>
      </c>
      <c r="EV102">
        <f t="shared" si="194"/>
        <v>0.50998055809911569</v>
      </c>
      <c r="EW102" s="6">
        <f>IFERROR(ROUNDUP(EV102/IF(BV102=1,BU102,(Uн_лин/SQRT(3))*1000)*100,2),"")</f>
        <v>0.23</v>
      </c>
      <c r="EX102" t="str">
        <f>IFERROR(VLOOKUP(BZ102,Кабель_обозначение,2,FALSE),"")</f>
        <v>ВВГнг(А)-LS</v>
      </c>
      <c r="EY102" t="str">
        <f t="shared" si="195"/>
        <v>ВВГнг(А)-LS (5х6)</v>
      </c>
      <c r="EZ102" t="str">
        <f t="shared" si="196"/>
        <v>ВВГнг(А)-LS (5х6)
L=14-0,23%</v>
      </c>
      <c r="FA102">
        <f>IFERROR(2*ρкз_Cu*P102/EN102,"")</f>
        <v>0.12273333333333335</v>
      </c>
      <c r="FB102">
        <f t="shared" si="197"/>
        <v>4.083333333333334E-2</v>
      </c>
      <c r="FC102" s="6" t="str">
        <f>IFERROR(IF(OR(B102="",BV102=1,NOT(ISNUMBER(EN102)),N(P102)=0),"",_xlfn.XLOOKUP(A102,Щиты[Щит],Щиты[Zпетли на шинах, Ом])+FA102),"")</f>
        <v/>
      </c>
      <c r="FD102" s="6" t="str">
        <f>IF(ISNUMBER(FC102),c_min*(Uн_лин*1000/SQRT(3))/FC102,"")</f>
        <v/>
      </c>
      <c r="FE102" s="6" t="str">
        <f>IFERROR(IF(OR(B102="",NOT(ISNUMBER(EN102))),"",1.05*(Uн_лин*1000/SQRT(3))/(_xlfn.XLOOKUP(A102,Щиты[Щит],Щиты[Zmax на шинах, Ом])+FB102)/1000),"")</f>
        <v/>
      </c>
      <c r="FF102" s="6" t="str">
        <f>IF(B102="","",IF(ISNUMBER(AC102),"Сил",IF(IFERROR(_xlfn.XLOOKUP(BC102,Коды_код,Коды_группа)&amp;"","")="","Быт",_xlfn.XLOOKUP(BC102,Коды_код,Коды_группа)&amp;"")))</f>
        <v>Быт</v>
      </c>
      <c r="FG102" s="6" t="str">
        <f t="shared" si="198"/>
        <v>Нет</v>
      </c>
      <c r="FH102" s="6">
        <f>IF(FG102="Щит","щит",IF(FG102="","",IF(FG102="Быт",IFERROR(_xlfn.XLOOKUP(A102,Щиты[Щит],Щиты[Кс быт]),1),IF(FG102="Сил",IF(ISNUMBER(AC102),AC102,IF(Методика="нормы 2026",IFERROR(_xlfn.XLOOKUP(A102,Щиты[Щит],Щиты[Кс силовых (табл. 7.5)]),1),1)),IF(OR(FG102="Пост",FG102="Отоп"),1,IF(FG102="ВНГ",0.7,0))))))</f>
        <v>0</v>
      </c>
      <c r="FI102">
        <f>IF(FG102="","",IF(AND(BP102=1,TRIM(AE102&amp;"")=""),IF(COUNTIFS(Линии[Щит],A102,Линии[Секция (1/2/3)],"&gt;=2")&gt;0,MIN(3,MAX(1,IFERROR(--BD102,1))),1),IFERROR(MIN(3,MAX(1,INT(--AE102))),1)))</f>
        <v>1</v>
      </c>
      <c r="FJ102">
        <f t="shared" si="199"/>
        <v>0</v>
      </c>
      <c r="FK102">
        <f t="shared" si="200"/>
        <v>0</v>
      </c>
      <c r="FL102">
        <f t="shared" si="201"/>
        <v>0</v>
      </c>
      <c r="FM102">
        <f t="shared" si="202"/>
        <v>0</v>
      </c>
      <c r="FN102">
        <f t="shared" si="203"/>
        <v>0</v>
      </c>
      <c r="FO102">
        <f t="shared" si="204"/>
        <v>0</v>
      </c>
      <c r="FP102">
        <f t="shared" si="205"/>
        <v>0</v>
      </c>
      <c r="FQ102">
        <f t="shared" si="206"/>
        <v>0</v>
      </c>
      <c r="FR102">
        <f t="shared" si="207"/>
        <v>0</v>
      </c>
      <c r="FS102">
        <f>IF(CG102=1,IF(AND(CH102=1,CW102=1),0,IF(AND(CS102&lt;&gt;"",CS102=BA102,CW102=1),SUMIFS(Линии[_Р линии, кВт],Линии[_блок УЗО],BA102,Линии[Щит],A102),N(BS102)+IF(AJ102="вручную",0,N(CK102)))),0)</f>
        <v>13.172999999999996</v>
      </c>
      <c r="FT102" t="str">
        <f t="shared" si="208"/>
        <v/>
      </c>
      <c r="FU102" t="str">
        <f>IF(B102="","",IF(CG102=0,IF(BA102=1,"",FW101),IF(AND(CH102=1,CW102=1,CS102&lt;&gt;""),IFERROR(_xlfn.XLOOKUP(CS102,Линии[_n],Линии[_фаза итог]),"L1"),IF(OR(N(DL102)&gt;=3,N(BX102)&gt;=3),"L1,L2,L3",IFERROR(_xlfn.TEXTBEFORE(_xlfn.TEXTAFTER(_xlfn.XLOOKUP(A102,Щиты[Щит],Щиты[_фазы авто]),";"&amp;BA102&amp;":"),";"),"L1")))))</f>
        <v>L1,L2,L3</v>
      </c>
      <c r="FV102" t="str">
        <f t="shared" si="209"/>
        <v>L1,L2,L3</v>
      </c>
      <c r="FW102" t="str">
        <f t="shared" si="210"/>
        <v>L1,L2,L3</v>
      </c>
      <c r="FX102" cm="1">
        <f t="array" ref="FX102">IFERROR(IF(CD102=2,_xlfn.IFS(BX102=3,VLOOKUP(BS102,Справочная_двигатели,3,FALSE),BX102=1,VLOOKUP(BS102,Справочная_двигатели,5,TRUE)),0),0)</f>
        <v>0</v>
      </c>
      <c r="FY102">
        <f>IFERROR(IF(CD102=3,VLOOKUP(BS102,Справочная_ЛЭД,2,TRUE),0),0)</f>
        <v>0</v>
      </c>
      <c r="FZ102" s="6">
        <f t="shared" si="211"/>
        <v>0</v>
      </c>
      <c r="GA102" t="str">
        <f>IF(B102="","",IF(TRIM(AH102&amp;"")&lt;&gt;"",IF(LOWER(TRIM(AH102&amp;""))="да","да","нет"),IF(IFERROR(_xlfn.XLOOKUP(BC102,Коды_код,Коды_пожарная),"")="да","да","нет")))</f>
        <v>нет</v>
      </c>
      <c r="GB102" t="str">
        <f t="shared" si="212"/>
        <v/>
      </c>
      <c r="GC102" t="str">
        <f t="shared" si="213"/>
        <v>основная</v>
      </c>
      <c r="GD102">
        <f>IF(AND(BP102=1,TRIM(AE102&amp;"")=""),IF(COUNTIFS(Линии[Щит],A102,Линии[Секция (1/2/3)],"&gt;=2")&gt;0,MIN(3,MAX(1,IFERROR(--BD102,1))),1),IFERROR(MIN(3,MAX(1,INT(--AE102))),1))</f>
        <v>1</v>
      </c>
      <c r="GE102" t="str" cm="1">
        <f t="array" ref="GE102">IF(B102="","",_xlfn.LET(_xlpm.t,IFERROR(_xlfn.XLOOKUP(1,(Шины[Шина]=GC102)*(((Шины[Щит]=A102)+(Шины[Щит]=""))&gt;0),Шины[Тип]),"")&amp;"",IF(_xlpm.t&lt;&gt;"",_xlpm.t,IF(ISNUMBER(SEARCH("ИБП",GC102)),"ИБП",IF(ISNUMBER(SEARCH("ДГУ",GC102)),"ДГУ","Ввод "&amp;GD102)))))</f>
        <v>Ввод 1</v>
      </c>
      <c r="GF102" t="str">
        <f t="shared" si="214"/>
        <v>Ввод 1</v>
      </c>
      <c r="GG102" t="str">
        <f>IF(BP102=0,"",IF(TRIM(AG102&amp;"")&lt;&gt;"",TRIM(AG102&amp;""),IF(OR(GE102="ИБП",GE102="ДГУ"),"I особая",_xlfn.XLOOKUP(A102,Щиты[Щит],Щиты[Категория шины «Ввод»],"III"))))</f>
        <v>II</v>
      </c>
      <c r="GH102" t="str">
        <f>IF(A102="","",_xlfn.XLOOKUP(A102,Щиты[Щит],Щиты[Путь],""))</f>
        <v>|ГРЩ-ЖД|ЩОВ-01|</v>
      </c>
      <c r="GI102" t="str">
        <f>IF(B102="","",IF(AI102&lt;&gt;"",AI102,IF(IFERROR(_xlfn.XLOOKUP(BC102,Коды_код,Коды_вид)&amp;"","")="","Прочее",_xlfn.XLOOKUP(BC102,Коды_код,Коды_вид)&amp;"")))</f>
        <v>Прочее</v>
      </c>
      <c r="GJ102">
        <f>IF(BM102="","",INT((BM102-1)/Столбцов_на_лист)+1)</f>
        <v>1</v>
      </c>
      <c r="GK102" t="str">
        <f t="shared" si="215"/>
        <v>ВВГнг(А)-LS (5х6) L=14-0,23%</v>
      </c>
      <c r="GL102">
        <f t="shared" si="216"/>
        <v>13.172999999999996</v>
      </c>
      <c r="GM102">
        <f t="shared" si="217"/>
        <v>11.93</v>
      </c>
      <c r="GN102">
        <f t="shared" si="218"/>
        <v>3</v>
      </c>
      <c r="GO102">
        <f t="shared" si="219"/>
        <v>0</v>
      </c>
      <c r="GP102">
        <f t="shared" si="220"/>
        <v>0</v>
      </c>
      <c r="GQ102" t="str">
        <f>IF(BM102="","",IF(AND(CG102=1,GP102=1),COUNTIFS(A$3:A102,A102,CG$3:CG102,1,GP$3:GP102,1),IF(OR(OR(BA102=1,A102&lt;&gt;A101),AJ102="вручную",GP102=0),"",IF(BA102=1,"",GR101))))</f>
        <v/>
      </c>
      <c r="GR102" t="str">
        <f t="shared" si="221"/>
        <v/>
      </c>
      <c r="GS102">
        <f>IF(B102="","",IFERROR(LOOKUP(INDEX(CHOOSE(EB102,Iдоп_1ж,Iдоп_2ж,Iдоп_3ж),MATCH(EN102,Iдоп_S,0))*DZ102*EA102,{6,10,16,20,25,32,40,50,63,80,100,125,160,200,250,315,400,500,630}),""))</f>
        <v>32</v>
      </c>
      <c r="GT102" t="str">
        <f t="shared" si="222"/>
        <v/>
      </c>
      <c r="GU102" t="str">
        <f t="shared" si="223"/>
        <v/>
      </c>
      <c r="GV102" t="str">
        <f t="shared" si="224"/>
        <v/>
      </c>
      <c r="GW102">
        <f t="shared" si="225"/>
        <v>0</v>
      </c>
      <c r="GX102" t="str">
        <f>IF(OR(B102="",DJ102=""),"",IFERROR(_xlfn.XLOOKUP(DJ102,Модули_умолч[Управление],Модули_умолч[Модель])&amp;"",""))</f>
        <v/>
      </c>
      <c r="GY102">
        <f>IF(DJ102="",1,IFERROR(MAX(0,N(_xlfn.XLOOKUP(DJ102,Модули_умолч[Управление],Модули_умолч[Каналов на линию]))),1))</f>
        <v>1</v>
      </c>
      <c r="GZ102" t="str">
        <f t="shared" si="226"/>
        <v/>
      </c>
      <c r="HA102" t="str">
        <f t="shared" si="227"/>
        <v/>
      </c>
      <c r="HB102" t="str">
        <f t="shared" si="228"/>
        <v/>
      </c>
      <c r="HC102">
        <f>IF(HB102="",0,IFERROR(N(VLOOKUP(HB102,Модули_спр,3,FALSE)),0))</f>
        <v>0</v>
      </c>
      <c r="HD102" t="str">
        <f t="shared" si="229"/>
        <v/>
      </c>
      <c r="HE102" t="str">
        <f t="shared" si="230"/>
        <v/>
      </c>
      <c r="HF102" t="str">
        <f>IF(OR(HE102="",HE102="-"),"",IFERROR(VLOOKUP(HE102,Модули_спр,2,FALSE),"R"))</f>
        <v/>
      </c>
      <c r="HG102" t="str">
        <f>IF(HF102="","",HF102&amp;"."&amp;COUNTIFS(A$3:A102,A102,HF$3:HF102,HF102))</f>
        <v/>
      </c>
      <c r="HH102" t="str">
        <f t="shared" si="231"/>
        <v/>
      </c>
      <c r="HI102" t="str">
        <f t="shared" si="232"/>
        <v/>
      </c>
      <c r="HJ102" t="str">
        <f t="shared" si="233"/>
        <v/>
      </c>
      <c r="HK102" t="str">
        <f t="shared" si="234"/>
        <v/>
      </c>
      <c r="HL102">
        <f t="shared" si="235"/>
        <v>0</v>
      </c>
      <c r="HM102" t="str">
        <f>IF(HL102=1,"XT"&amp;COUNTIFS(A$3:A102,A102,HL$3:HL102,1),"")</f>
        <v/>
      </c>
      <c r="HN102" t="str">
        <f t="shared" si="236"/>
        <v/>
      </c>
      <c r="HO102" t="str">
        <f t="shared" si="237"/>
        <v/>
      </c>
      <c r="HP102" t="str">
        <f t="shared" si="238"/>
        <v/>
      </c>
      <c r="HQ102" t="str">
        <f t="shared" si="239"/>
        <v>ok</v>
      </c>
      <c r="HR102" t="str">
        <f>IF(OR(HJ102="",HH102=""),"",IF(HJ102+MAX(0,GY102-1)&gt;IFERROR(VLOOKUP(HI102,Модули_спр,3,FALSE),99),"ЛИШНИЙ КАНАЛ",IF(AND(AL102&lt;&gt;"=",GY102&gt;0,COUNTIFS(Линии[_модуль гр.],HH102,Линии[Канал (итог)],HJ102,Линии[Канал],"&lt;&gt;=",Линии[Щит],A102)&gt;1),"ДУБЛЬ КАНАЛА","")))</f>
        <v/>
      </c>
      <c r="HS102" s="6" t="str">
        <f t="shared" si="240"/>
        <v/>
      </c>
      <c r="HT102">
        <f t="shared" si="241"/>
        <v>10</v>
      </c>
      <c r="HU102" t="str">
        <f t="shared" si="242"/>
        <v/>
      </c>
      <c r="HV102">
        <f t="shared" si="243"/>
        <v>0</v>
      </c>
      <c r="HW102">
        <f t="shared" si="244"/>
        <v>0</v>
      </c>
      <c r="HX102">
        <f t="shared" si="245"/>
        <v>0</v>
      </c>
      <c r="HY102">
        <f t="shared" si="246"/>
        <v>0</v>
      </c>
      <c r="HZ102">
        <f t="shared" si="247"/>
        <v>0</v>
      </c>
      <c r="IA102">
        <f t="shared" si="248"/>
        <v>0</v>
      </c>
      <c r="IB102">
        <f t="shared" si="249"/>
        <v>0</v>
      </c>
      <c r="IC102" t="str">
        <f t="shared" si="250"/>
        <v/>
      </c>
      <c r="ID102" t="str" cm="1">
        <f t="array" ref="ID102">IF(IC102="","",_xlfn.LET(_xlpm.tk,_xlfn.TEXTSPLIT(SUBSTITUTE(SUBSTITUTE(IC102,";"," "),"→"," ")," ",,TRUE),_xlpm.w_,_xlfn._xlws.FILTER(_xlpm.tk,ISNUMBER(--LEFT(_xlpm.tk,1))*((ISNUMBER(SEARCH("W",_xlpm.tk))+ISNUMBER(SEARCH("Вт",_xlpm.tk)))&gt;0),""),IFERROR(--SUBSTITUTE(SUBSTITUTE(UPPER(INDEX(_xlpm.w_,1)),"W",""),"ВТ",""),"")))</f>
        <v/>
      </c>
      <c r="IE102" t="str" cm="1">
        <f t="array" ref="IE102">IF(IC102="","",_xlfn.LET(_xlpm.tk,_xlfn.TEXTSPLIT(SUBSTITUTE(SUBSTITUTE(IC102,";"," "),"→"," ")," ",,TRUE),_xlpm.v_,_xlfn._xlws.FILTER(_xlpm.tk,ISNUMBER(--LEFT(_xlpm.tk,1))*((ISNUMBER(SEARCH("V",_xlpm.tk))+(RIGHT(UPPER(_xlpm.tk))="В"))&gt;0),""),IFERROR(--SUBSTITUTE(SUBSTITUTE(UPPER(INDEX(_xlpm.v_,1)),"V",""),"В",""),"")))</f>
        <v/>
      </c>
      <c r="IF102" s="6" t="str">
        <f>IF(OR(BV102=0,HI102="",HJ102=""),"",IFERROR(N(_xlfn.XLOOKUP(HI102,Каталог!$C$4:$C$500,Каталог!$Q$4:$Q$500)),""))</f>
        <v/>
      </c>
      <c r="IG102" s="6" t="str">
        <f>IF(N(IF102)=0,"",SUMIFS(Линии[Iр, А],Линии[Щит],A102,Линии[_модуль гр.],HH102,Линии[Канал (итог)],HJ102))</f>
        <v/>
      </c>
      <c r="IH102" t="str">
        <f>IF(AND(B102="",HO102=""),"",_xlfn.TEXTJOIN("; ",TRUE,IF(AND(B102&lt;&gt;"",FV102=""),"нет фазы",""),IF(AND(B102&lt;&gt;"",N(GL102)=0,FG102&lt;&gt;"Нет"),"нет мощности",""),IF(AND(HN102&lt;&gt;"",COUNTIFS(Линии[Щит],A102,Линии[Клемма (итог)],HN102)&gt;1),"дубль клеммы "&amp;HN102,""),IF(AND(HQ102&lt;&gt;"",HQ102&lt;&gt;"ok"),HQ102,""),IF(HR102&lt;&gt;"",HR102,""),IF(AND(N(CB102)&gt;=4,N(BX102)=1),CB102&amp;" жил на 1 фазе",""),IF(AND(BC102="R",CG102=1,IF(CS102&lt;&gt;"",N(CV102)&gt;30,OR(N(DA102)=0,N(DA102)&gt;30))),"розетка без дифзащиты до 30 мА",""),IF(AND(CG102=1,N(DA102)&gt;0,ISNUMBER(T102)),IF(T102&gt;N(DA102)/3,"ток утечки "&amp;FIXED(T102,1)&amp;" мА &gt; 1/3 уставки ("&amp;DA102&amp;" мА)",""),""),IF(AND(CH102=1,CS102=""),"«узо»: нет строки с УЗО выше (УЗО 2P 40А 30мА в «Аппаратах»)",""),IF(AND(CS102&lt;&gt;"",CS102=BA102),IF(CT102="","впишите номинал УЗО (УЗО 2P 40А 30мА)",IF(N(CT102)&lt;N(DT102),"УЗО "&amp;CT102&amp;" А &lt; автомата "&amp;DT102&amp;" А перед ним",IF(N(CT102)&lt;N(CX102),"УЗО "&amp;CT102&amp;" А &lt; тока блока "&amp;FIXED(CX102,1)&amp;" А",""))),""),IF(AND(CS102&lt;&gt;"",CS102=BA102,ISNUMBER(CY102)),IF(CY102&gt;N(CV102)/3,"ток утечки блока УЗО "&amp;FIXED(CY102,1)&amp;" мА &gt; 1/3 уставки ("&amp;CV102&amp;" мА)",""),""),IF(AND(CG102=1,N(BV102)+N(IB102)&gt;0,IC102=""),"линии до 50 В без БП: впишите в «Аппараты» (БП 24V 480W)",""),IF(AND(CG102=1,ISNUMBER(ID102),ISNUMBER(U102)),IF(U102&gt;ID102,"БП "&amp;ID102&amp;" Вт &lt; нужно "&amp;U102&amp;" Вт (×"&amp;Запас_БП&amp;")",""),""),IF(AND(CG102=1,ISNUMBER(IE102),N(BV102)=1),IF(IE102&lt;&gt;N(BU102),"БП на "&amp;IE102&amp;" В, линия "&amp;BU102&amp;" В",""),""),IF(AND(N(IF102)&gt;0,N(IG102)&gt;N(IF102)),HH102&amp;" канал "&amp;HJ102&amp;": "&amp;FIXED(IG102,1)&amp;" А &gt; "&amp;IF102&amp;" А",""),IFERROR(IF(AND(ISNUMBER(Q102),Q102&gt;EL102),"потери "&amp;FIXED(Q102,1)&amp;" % &gt; "&amp;EL102&amp;" %",""),""),IFERROR(IF(LEFT(HU102,4)="мало","Iкз мало — отключение &gt; 0,4 с",""),""),IF(AND(B102&lt;&gt;"",BM102=""),"не на схеме",""),IF(AND(CG102=0,B102&lt;&gt;"",FV102&lt;&gt;"",IF(BA102=1,"",FW101)&lt;&gt;"",FV102&lt;&gt;IF(BA102=1,"",FW101)),"фаза не как у автомата группы ("&amp;IF(BA102=1,"",FW101)&amp;")","")))</f>
        <v/>
      </c>
      <c r="II102" s="6" t="str">
        <f>IF(OR(CG102=0,DQ102=""),"",_xlfn.LET(_xlpm.t,IFERROR(_xlfn.XLOOKUP(DQ102,Каталог!$U$4:$U$500,Каталог!$G$4:$G$500),""),_xlpm.k,SEARCH("кА",_xlpm.t),IFERROR(--TRIM(RIGHT(SUBSTITUTE(MID(_xlpm.t,MAX(1,_xlpm.k-4),_xlpm.k-MAX(1,_xlpm.k-4))," ",REPT(" ",9)),5)),"")))</f>
        <v/>
      </c>
      <c r="IJ102" t="str">
        <f>IF(OR(II102="",CG102=0),"",IF(_xlfn.XLOOKUP(A102,Щиты[Щит],Щиты[Iкз max на шинах, кА],"")="","",IF(II102&lt;_xlfn.XLOOKUP(A102,Щиты[Щит],Щиты[Iкз max на шинах, кА]),"Icu "&amp;II102&amp;" кА &lt; Iкз max","ok")))</f>
        <v/>
      </c>
      <c r="IK102" t="str">
        <f t="shared" si="251"/>
        <v/>
      </c>
      <c r="IL102" t="str">
        <f t="shared" si="252"/>
        <v/>
      </c>
      <c r="IM102" t="str">
        <f t="shared" si="253"/>
        <v/>
      </c>
      <c r="IN102" t="str" cm="1">
        <f t="array" ref="IN102">IF(IM102="","",_xlfn.LET(_xlpm.nd,_xlfn.TEXTSPLIT(IM102,"|"),IF(COLUMNS(_xlpm.nd)&gt;1,A102&amp;"¦"&amp;INDEX(_xlpm.nd,1)&amp;"¦"&amp;INDEX(_xlpm.nd,2),"")))</f>
        <v/>
      </c>
      <c r="IO102" t="str">
        <f t="shared" si="254"/>
        <v/>
      </c>
      <c r="IP102" t="str" cm="1">
        <f t="array" ref="IP102">IF(IM102="","",_xlfn.LET(_xlpm.nd,_xlfn.TEXTSPLIT(IM102,"|"),IF(COLUMNS(_xlpm.nd)&gt;2,A102&amp;"¦"&amp;INDEX(_xlpm.nd,2)&amp;"¦"&amp;INDEX(_xlpm.nd,3),"")))</f>
        <v/>
      </c>
      <c r="IQ102" t="str">
        <f t="shared" si="255"/>
        <v/>
      </c>
      <c r="IR102" t="str" cm="1">
        <f t="array" ref="IR102">IF(IM102="","",_xlfn.LET(_xlpm.nd,_xlfn.TEXTSPLIT(IM102,"|"),IF(COLUMNS(_xlpm.nd)&gt;3,A102&amp;"¦"&amp;INDEX(_xlpm.nd,3)&amp;"¦"&amp;INDEX(_xlpm.nd,4),"")))</f>
        <v/>
      </c>
      <c r="IS102" t="str">
        <f t="shared" si="256"/>
        <v/>
      </c>
      <c r="IT102" t="str" cm="1">
        <f t="array" ref="IT102">IF(IM102="","",_xlfn.LET(_xlpm.nd,_xlfn.TEXTSPLIT(IM102,"|"),IF(COLUMNS(_xlpm.nd)&gt;4,A102&amp;"¦"&amp;INDEX(_xlpm.nd,4)&amp;"¦"&amp;INDEX(_xlpm.nd,5),"")))</f>
        <v/>
      </c>
      <c r="IU102" t="str">
        <f t="shared" si="257"/>
        <v/>
      </c>
      <c r="IV102" t="str" cm="1">
        <f t="array" ref="IV102">IF(IM102="","",_xlfn.LET(_xlpm.nd,_xlfn.TEXTSPLIT(IM102,"|"),IF(COLUMNS(_xlpm.nd)&gt;5,A102&amp;"¦"&amp;INDEX(_xlpm.nd,5)&amp;"¦"&amp;INDEX(_xlpm.nd,6),"")))</f>
        <v/>
      </c>
      <c r="IW102" t="str">
        <f t="shared" si="258"/>
        <v/>
      </c>
      <c r="IX102" t="str" cm="1">
        <f t="array" ref="IX102">IF(IM102="","",_xlfn.LET(_xlpm.nd,_xlfn.TEXTSPLIT(IM102,"|"),IF(COLUMNS(_xlpm.nd)&gt;6,A102&amp;"¦"&amp;INDEX(_xlpm.nd,6)&amp;"¦"&amp;INDEX(_xlpm.nd,7),"")))</f>
        <v/>
      </c>
      <c r="IY102" t="str">
        <f t="shared" si="259"/>
        <v/>
      </c>
      <c r="IZ102" t="str">
        <f t="shared" si="260"/>
        <v/>
      </c>
      <c r="JA102" t="str">
        <f t="shared" si="261"/>
        <v/>
      </c>
      <c r="JB102">
        <f t="shared" si="262"/>
        <v>0</v>
      </c>
      <c r="JC102">
        <f t="shared" si="263"/>
        <v>0</v>
      </c>
      <c r="JD102" t="str">
        <f t="shared" si="264"/>
        <v/>
      </c>
      <c r="JE102" t="str">
        <f t="shared" si="265"/>
        <v/>
      </c>
      <c r="JF102" t="str">
        <f t="shared" si="266"/>
        <v/>
      </c>
      <c r="JG102" t="str">
        <f t="shared" si="267"/>
        <v/>
      </c>
      <c r="JH102">
        <f>IF(B102="","",IFERROR(_xlfn.XLOOKUP(B102,Коды_код,Коды_уго),IFERROR(_xlfn.XLOOKUP(BC102,Коды_код,Коды_уго),IFERROR(_xlfn.XLOOKUP(LEFT(BC102,2),Коды_код,Коды_уго),""))))</f>
        <v>0</v>
      </c>
      <c r="JI102" t="str">
        <f>IF(B102="","",IF(OR(JH102="",JH102=0),"BOX",IFERROR(IF(VLOOKUP(JH102,УГО_блоки,3,FALSE)&amp;""&lt;&gt;"",VLOOKUP(JH102,УГО_блоки,3,FALSE),VLOOKUP(JH102,УГО_блоки,2,FALSE)),JH102)))</f>
        <v>BOX</v>
      </c>
      <c r="JJ102">
        <f t="shared" si="268"/>
        <v>1</v>
      </c>
      <c r="JK102" t="str">
        <f>IF(DQ102="","",IF(COUNTIF(DQ$3:DQ102,DQ102)=1,MAX(JK$2:JK101)+1,""))</f>
        <v/>
      </c>
      <c r="JL102" t="str">
        <f>IF(DE102="","",IF(COUNTIF(DE$3:DE102,DE102)+COUNTIF(DF$2:DF101,DE102)+COUNTIF(DG$2:DG101,DE102)=1,MAX(JL$2:JN101)+1,""))</f>
        <v/>
      </c>
      <c r="JM102" t="str">
        <f>IF(DF102="","",IF(COUNTIF(DE$3:DE102,DF102)+COUNTIF(DF$3:DF102,DF102)+COUNTIF(DG$2:DG101,DF102)=1,MAX(JL$2:JN101,JL102)+1,""))</f>
        <v/>
      </c>
      <c r="JN102" t="str">
        <f>IF(DG102="","",IF(COUNTIF(DE$3:DE102,DG102)+COUNTIF(DF$3:DF102,DG102)+COUNTIF(DG$3:DG102,DG102)=1,MAX(JL$2:JN101,JL102,JM102)+1,""))</f>
        <v/>
      </c>
      <c r="JO102" t="str">
        <f t="shared" si="269"/>
        <v/>
      </c>
      <c r="JP102" t="str">
        <f>IF(JO102="","",IF(COUNTIF(JO$3:JO102,JO102)=1,MAX(JP$2:JP101)+1,""))</f>
        <v/>
      </c>
      <c r="JQ102" t="str">
        <f>IF(HG102="","",COUNTIF(HG$3:HG102,"?*"))</f>
        <v/>
      </c>
      <c r="JR102" t="str">
        <f>IF(OR(HG102="",HI102=""),"",IF(COUNTIFS(HG$3:HG102,"?*",HI$3:HI102,HI102)=1,MAX(JR$2:JR101)+1,""))</f>
        <v/>
      </c>
      <c r="JS102">
        <f t="shared" si="270"/>
        <v>0</v>
      </c>
      <c r="JT102">
        <f>IF(B102="","",COUNTIF(B$3:B102,"?*"))</f>
        <v>100</v>
      </c>
      <c r="JU102">
        <f>IF(HL102&lt;&gt;1,0,_xlfn.LET(_xlpm.k,MAX(IFERROR(--_xlfn.XLOOKUP(B102,Коды_код,Коды_3L),0),IFERROR(--_xlfn.XLOOKUP(BC102,Коды_код,Коды_3L),0),IFERROR(--_xlfn.XLOOKUP(LEFT(BC102,2),Коды_код,Коды_3L),0)),IF(_xlpm.k&gt;0,_xlpm.k,IF(IFERROR(--LEFT(SUBSTITUTE(JO102,"x","х"),FIND("х",SUBSTITUTE(JO102,"x","х"))-1),3)&gt;3,Каталог!$S$9,1))))</f>
        <v>0</v>
      </c>
      <c r="JV102">
        <f t="shared" si="271"/>
        <v>0</v>
      </c>
      <c r="JW102" t="str">
        <f t="shared" si="272"/>
        <v>авто</v>
      </c>
      <c r="JX102" t="str">
        <f t="shared" si="273"/>
        <v/>
      </c>
      <c r="JY102">
        <f t="shared" si="274"/>
        <v>0</v>
      </c>
      <c r="JZ102">
        <f t="shared" si="275"/>
        <v>1</v>
      </c>
    </row>
    <row r="103" spans="1:286" x14ac:dyDescent="0.3">
      <c r="A103" t="s">
        <v>745</v>
      </c>
      <c r="B103" t="s">
        <v>1414</v>
      </c>
      <c r="C103" t="s">
        <v>1668</v>
      </c>
      <c r="D103">
        <v>1</v>
      </c>
      <c r="E103">
        <v>0.33</v>
      </c>
      <c r="G103">
        <v>10</v>
      </c>
      <c r="H103" t="str">
        <f>Линии[[#This Row],[_авто управление]]</f>
        <v/>
      </c>
      <c r="I103" t="str">
        <f>Линии[[#This Row],[_авто аппараты]]</f>
        <v/>
      </c>
      <c r="J103">
        <v>1.5</v>
      </c>
      <c r="K103">
        <v>32</v>
      </c>
      <c r="L103" t="str">
        <f>Линии[[#This Row],[_авто фаза]]</f>
        <v>L3</v>
      </c>
      <c r="M103" t="str">
        <f>Линии[[#This Row],[_авто клемма]]</f>
        <v>XT1</v>
      </c>
      <c r="N103" t="str">
        <f t="shared" si="138"/>
        <v/>
      </c>
      <c r="O103" s="6" cm="1">
        <f t="array" ref="O103">IF(B103="","",IF(BH103&lt;&gt;"",IFERROR(_xlfn.XLOOKUP(BH103,Щиты[Щит],Щиты[Iр, А]),""),IF(BP103=1,IF(OR(N(_xlfn.XLOOKUP(A103,Щиты[Щит],Щиты[Вводов],1))&lt;=1,LOWER(TRIM(_xlfn.XLOOKUP(A103,Щиты[Щит],Щиты[АВР],"")&amp;""))="да"),IFERROR(_xlfn.XLOOKUP(A103,Щиты[Щит],Щиты[Iр, А]),""),IFERROR(N(BS103)*_xlfn.XLOOKUP(A103,Щиты[Щит],Щиты[Кс итог])/(SQRT(3)*Uн_лин*_xlfn.XLOOKUP(A103,Щиты[Щит],Щиты[cos φ])),"")),IF(BV103=1,IFERROR(BS103*1000/BU103,""),IFERROR(_xlfn.IFS(BX103=1,BS103/((Uн_лин/SQRT(3))*CE103),BX103=3,BS103/(SQRT(3)*Uн_лин*CE103)),"")))))</f>
        <v>1.7861773953054043</v>
      </c>
      <c r="P103" s="7">
        <f>IF(B103="","",IFERROR(IF(VLOOKUP(BC103,Потребители_обозначение,4,FALSE)=1,VLOOKUP(BC103,Потребители_обозначение,3,FALSE)*(MAX(1,N(D103))*2-1)+EI103+VLOOKUP(BE103,Этаж_обозначение,3,FALSE)+VLOOKUP(BE103,Этаж_обозначение,4,FALSE),VLOOKUP(BC103,Потребители_обозначение,3,FALSE)*(MAX(1,N(D103))*2-1)+EI103),EI103))</f>
        <v>36</v>
      </c>
      <c r="Q103" s="6">
        <f t="shared" si="139"/>
        <v>0.92</v>
      </c>
      <c r="R103" t="str">
        <f t="shared" si="140"/>
        <v>ВВГнг(А)-LS (3х1,5)</v>
      </c>
      <c r="S103" t="str">
        <f>IF(BM103="","",IF(BN103="вводной узел","узел ","")&amp;"л."&amp;(INT((BM103-1)/Столбцов_на_лист)+1)&amp;" / "&amp;(MOD(BM103-1,Столбцов_на_лист)+1))</f>
        <v>л.1 / 13</v>
      </c>
      <c r="T103" s="119">
        <f t="shared" si="141"/>
        <v>1.1000000000000001</v>
      </c>
      <c r="U103" s="7" t="str">
        <f>IF(OR(CG103=0,N(BV103)+N(IB103)=0),"",ROUNDUP(Запас_БП*(N(HY103)+N(HZ103)),0))</f>
        <v/>
      </c>
      <c r="V103" s="119" t="str">
        <f t="shared" si="142"/>
        <v/>
      </c>
      <c r="W103" s="7" t="str">
        <f>IFERROR(IF(OR(B103="",BP103=1,BV103=1,NOT(ISNUMBER(EN103)),N(DT103)=0),"",MAX(0,ROUNDDOWN((c_min*(Uн_лин*1000/SQRT(3))/(HT103*N(DT103))-_xlfn.XLOOKUP(A103,Щиты[Щит],Щиты[Zпетли на шинах, Ом]))*EN103/(2*ρкз_Cu),0))),"")</f>
        <v/>
      </c>
      <c r="Y103" t="str">
        <f>Линии[[#This Row],[_авто утечка]]</f>
        <v/>
      </c>
      <c r="Z103">
        <v>1</v>
      </c>
      <c r="AA103">
        <v>230</v>
      </c>
      <c r="AB103" t="s">
        <v>598</v>
      </c>
      <c r="AC103">
        <v>0.5</v>
      </c>
      <c r="AG103" t="s">
        <v>810</v>
      </c>
      <c r="AI103" t="s">
        <v>580</v>
      </c>
      <c r="AK103" t="str">
        <f>Линии[[#This Row],[_авто модуль]]</f>
        <v/>
      </c>
      <c r="AM103">
        <v>13</v>
      </c>
      <c r="AN103" t="s">
        <v>11</v>
      </c>
      <c r="AO103">
        <v>3</v>
      </c>
      <c r="AQ103">
        <v>20</v>
      </c>
      <c r="AR103">
        <v>16</v>
      </c>
      <c r="AT103">
        <v>1</v>
      </c>
      <c r="BA103" cm="1">
        <f t="array" ref="BA103">ROW()-ROW(Линии[#Headers])</f>
        <v>101</v>
      </c>
      <c r="BC103" s="6" t="str">
        <f t="shared" si="143"/>
        <v>П</v>
      </c>
      <c r="BD103" t="str">
        <f t="shared" si="144"/>
        <v>6</v>
      </c>
      <c r="BE103" t="str">
        <f t="shared" si="145"/>
        <v>6</v>
      </c>
      <c r="BF103" t="str">
        <f t="shared" si="146"/>
        <v/>
      </c>
      <c r="BG103" t="str">
        <f t="shared" si="147"/>
        <v/>
      </c>
      <c r="BH103" t="str">
        <f>IF(X103&lt;&gt;"",X103,IF(AND(B103&lt;&gt;"",B103&lt;&gt;A103,ISNUMBER(_xlfn.XMATCH(B103,Щиты[Щит]))),B103,""))</f>
        <v/>
      </c>
      <c r="BI103" t="str" cm="1">
        <f t="array" ref="BI103">IF(B103="","",IF(BH103&lt;&gt;"","Щит "&amp;BH103,_xlfn.LET(_xlpm.nm,IFERROR(_xlfn.XLOOKUP(BC103,Коды_код,Коды_имя)&amp;"",""),_xlpm.md,IFERROR(N(_xlfn.XLOOKUP(BC103,Коды_код,Коды_режим)),1),_xlpm.ex,IF(Имя_режим="по экспликации",IFERROR(_xlfn.XLOOKUP(BE103&amp;"|"&amp;BG103,Экспликация[Этаж]&amp;"|"&amp;Экспликация[Помещение],Экспликация[Название])&amp;"",""),""),_xlpm.rm,IF(BG103="","",IF(_xlpm.ex&lt;&gt;"",". "&amp;_xlpm.ex&amp;IF(Имя_пом="нет"," ("&amp;BG103&amp;")"," (пом. "&amp;BG103&amp;")"),IF(Имя_пом="нет"," ",", пом. ")&amp;BG103)),IF(_xlpm.nm="","",IF(_xlpm.md=2,_xlpm.nm&amp;" шлейф "&amp;BE103,_xlpm.nm&amp;_xlpm.rm)))))</f>
        <v>Приточная установка шлейф 6</v>
      </c>
      <c r="BJ103" t="str">
        <f t="shared" si="148"/>
        <v>Приточная установка Цокольный этаж Пом №001Тб</v>
      </c>
      <c r="BK103">
        <f>IFERROR(_xlfn.XMATCH(A103,Щиты[Щит]),0)</f>
        <v>6</v>
      </c>
      <c r="BL103">
        <f>_xlfn.LET(_xlpm.k,IFERROR(_xlfn.XLOOKUP(A103,Щиты[Щит],Щиты[Мест под вводной узел]),""),IF(_xlpm.k="",Столбцов_на_лист,N(_xlpm.k)))</f>
        <v>12</v>
      </c>
      <c r="BM103">
        <f t="shared" si="149"/>
        <v>13</v>
      </c>
      <c r="BN103" t="str">
        <f t="shared" si="150"/>
        <v>линии</v>
      </c>
      <c r="BO103" s="6">
        <f>IFERROR(N(_xlfn.XLOOKUP(BC103,Коды_код,Коды_квт)),0)</f>
        <v>0</v>
      </c>
      <c r="BP103">
        <f t="shared" si="151"/>
        <v>0</v>
      </c>
      <c r="BQ103" t="str">
        <f>IF(B103="","",IF(BH103&lt;&gt;"",IFERROR(_xlfn.XLOOKUP(BH103,Щиты[Щит],Щиты[Руст, кВт]),0),IF(BP103=1,IF(OR(N(_xlfn.XLOOKUP(A103,Щиты[Щит],Щиты[Вводов],1))&lt;=1,LOWER(TRIM(_xlfn.XLOOKUP(A103,Щиты[Щит],Щиты[АВР],"")&amp;""))="да"),IFERROR(_xlfn.XLOOKUP(A103,Щиты[Щит],Щиты[Руст, кВт]),0),SUMIFS(Линии[_Р для вводов],Линии[Щит],A103,Линии[Источник для режимов],GF103)),IF(BO103&gt;0,ROUND(BO103*MAX(1,N(D103)),3),""))))</f>
        <v/>
      </c>
      <c r="BR103">
        <f t="shared" si="152"/>
        <v>0.33</v>
      </c>
      <c r="BS103" s="6">
        <f>IF(B103="","",IF(BH103&lt;&gt;"",IFERROR(_xlfn.XLOOKUP(BH103,Щиты[Щит],Щиты[Руст, кВт]),0),N(BR103)))</f>
        <v>0.33</v>
      </c>
      <c r="BT103" t="str">
        <f>IF(B103="","",IFERROR(IF(VLOOKUP(BC103,Потребители_обозначение,8,FALSE)=0,"",VLOOKUP(BC103,Потребители_обозначение,8,FALSE)),""))</f>
        <v/>
      </c>
      <c r="BU103">
        <f t="shared" si="153"/>
        <v>230</v>
      </c>
      <c r="BV103">
        <f t="shared" si="154"/>
        <v>0</v>
      </c>
      <c r="BW103">
        <f>IF(B103="","",IF(BH103&lt;&gt;"",3,IFERROR(IF(N(VLOOKUP(BC103,Потребители_обозначение,9,FALSE))=0,1,VLOOKUP(BC103,Потребители_обозначение,9,FALSE)),1)))</f>
        <v>1</v>
      </c>
      <c r="BX103">
        <f t="shared" si="155"/>
        <v>1</v>
      </c>
      <c r="BY103" t="str">
        <f>IF(B103="","",_xlfn.LET(_xlpm.bc,IFERROR(IF(VLOOKUP(BC103,Потребители_обозначение,6,FALSE)=0,"",VLOOKUP(BC103,Потребители_обозначение,6,FALSE)&amp;""),""),IF(AND(GA103="да",OR(_xlpm.bc="",_xlpm.bc="мс")),Марка_пож,IF(AND(_xlpm.bc="",BH103&lt;&gt;""),"мс",_xlpm.bc))))</f>
        <v/>
      </c>
      <c r="BZ103" t="str">
        <f t="shared" si="156"/>
        <v>мс</v>
      </c>
      <c r="CA103">
        <f>IF(B103="","",_xlfn.LET(_xlpm.cc,IFERROR(N(VLOOKUP(BC103,Потребители_обозначение,7,FALSE)),0),IF(_xlpm.cc&gt;0,_xlpm.cc,IF(BZ103="","",IF(BV103=1,2,IF(N(BX103)=3,5,3))))))</f>
        <v>3</v>
      </c>
      <c r="CB103">
        <f t="shared" si="157"/>
        <v>3</v>
      </c>
      <c r="CC103">
        <f>IFERROR(N(VLOOKUP(BC103,Потребители_обозначение,10,FALSE)),0)</f>
        <v>0</v>
      </c>
      <c r="CD103">
        <f>IFERROR(VLOOKUP(BC103,Потребители_обозначение,5,FALSE),0)</f>
        <v>1</v>
      </c>
      <c r="CE103" s="6" cm="1">
        <f t="array" ref="CE103">IF(B103="","",IF(BH103&lt;&gt;"",IFERROR(_xlfn.XLOOKUP(BH103,Щиты[Щит],Щиты[cos φ]),0.95),IF(BP103=1,IFERROR(_xlfn.XLOOKUP(A103,Щиты[Щит],Щиты[cos φ]),0.95),IF(ISNUMBER(AD103),AD103,IFERROR(IF(CD103=2,_xlfn.IFS(BX103=3,VLOOKUP(BS103,Справочная_двигатели,8,FALSE),BX103=1,VLOOKUP(BS103,Справочная_двигатели,10,TRUE)),IF(AND(Методика="нормы 2026",FG103="Сил"),0.8,0.95)),0.95)))))</f>
        <v>0.8</v>
      </c>
      <c r="CF103">
        <f t="shared" si="158"/>
        <v>0</v>
      </c>
      <c r="CG103">
        <f t="shared" si="159"/>
        <v>1</v>
      </c>
      <c r="CH103">
        <f t="shared" si="160"/>
        <v>0</v>
      </c>
      <c r="CI103">
        <f>IF(B103="","",IF(BV103=1,IFERROR(BS103/((Uн_лин/SQRT(3))*MAX(0.5,N(CE103))),0),N(O103)))</f>
        <v>1.7861773953054043</v>
      </c>
      <c r="CJ103">
        <f t="shared" si="161"/>
        <v>0</v>
      </c>
      <c r="CK103">
        <f t="shared" si="162"/>
        <v>0</v>
      </c>
      <c r="CL103">
        <f t="shared" si="163"/>
        <v>0</v>
      </c>
      <c r="CM103">
        <f t="shared" si="164"/>
        <v>0</v>
      </c>
      <c r="CN103">
        <f t="shared" si="165"/>
        <v>0</v>
      </c>
      <c r="CO103">
        <f>IF(BC103="",0,_xlfn.LET(_xlpm.v,IFERROR(_xlfn.XLOOKUP(B103,Коды_код,Коды_мА),IFERROR(_xlfn.XLOOKUP(BC103,Коды_код,Коды_мА),IFERROR(_xlfn.XLOOKUP(LEFT(BC103,2),Коды_код,Коды_мА),""))),IF(_xlpm.v="да",30,IF(ISNUMBER(_xlpm.v),_xlpm.v,0))))</f>
        <v>0</v>
      </c>
      <c r="CP103" t="str">
        <f t="shared" si="166"/>
        <v/>
      </c>
      <c r="CQ103" t="str">
        <f>_xlfn.LET(_xlpm.k,IFERROR(_xlfn.XLOOKUP(BC103,Коды_код,Коды_утечка)&amp;"",""),IF(_xlpm.k="","дифавтомат",_xlpm.k))</f>
        <v>дифавтомат</v>
      </c>
      <c r="CR103" t="str" cm="1">
        <f t="array" ref="CR103">IF(CG103=0,"",_xlfn.LET(_xlpm.sg,TRIM(_xlfn.TEXTSPLIT(DD103&amp;"",";")),_xlpm.f_,_xlfn._xlws.FILTER(_xlpm.sg,LEFT(_xlpm.sg,3)="УЗО",""),IFERROR(INDEX(_xlpm.f_,1)&amp;"","")))</f>
        <v/>
      </c>
      <c r="CS103" t="str">
        <f t="shared" si="167"/>
        <v/>
      </c>
      <c r="CT103" s="6" t="str" cm="1">
        <f t="array" ref="CT103">IF(CR103="","",_xlfn.LET(_xlpm.tk,_xlfn.TEXTSPLIT(UPPER(CR103)," ",,TRUE),_xlpm.a_,_xlfn._xlws.FILTER(_xlpm.tk,ISNUMBER(--LEFT(_xlpm.tk,1))*((ISNUMBER(SEARCH("А",_xlpm.tk))+ISNUMBER(SEARCH("A",_xlpm.tk)))&gt;0)*NOT(ISNUMBER(SEARCH("МА",_xlpm.tk)))*NOT(ISNUMBER(SEARCH("MA",_xlpm.tk))),""),IFERROR(--SUBSTITUTE(SUBSTITUTE(INDEX(_xlpm.a_,1),"А",""),"A",""),"")))</f>
        <v/>
      </c>
      <c r="CU103" t="str" cm="1">
        <f t="array" ref="CU103">IF(CR103="","",_xlfn.LET(_xlpm.tk,_xlfn.TEXTSPLIT(UPPER(CR103)," ",,TRUE),_xlpm.a_,_xlfn._xlws.FILTER(_xlpm.tk,ISNUMBER(--LEFT(_xlpm.tk,1))*((ISNUMBER(SEARCH("МА",_xlpm.tk))+ISNUMBER(SEARCH("MA",_xlpm.tk)))&gt;0),""),IFERROR(--SUBSTITUTE(SUBSTITUTE(INDEX(_xlpm.a_,1),"МА",""),"MA",""),30)))</f>
        <v/>
      </c>
      <c r="CV103" t="str">
        <f>IF(CS103="","",IFERROR(_xlfn.XLOOKUP(CS103,Линии[_n],Линии[_УЗО, мА]),30))</f>
        <v/>
      </c>
      <c r="CW103">
        <f>IF(CS103="",0,IF(ISNUMBER(SEARCH("4P",IFERROR(_xlfn.XLOOKUP(CS103,Линии[_n],Линии[_УЗО строки])&amp;"",""))),0,1))</f>
        <v>0</v>
      </c>
      <c r="CX103" t="str">
        <f>IF(AND(CS103&lt;&gt;"",CS103=BA103),SUMIFS(Линии[_ток на 230 В],Линии[_блок УЗО],BA103,Линии[Щит],A103),"")</f>
        <v/>
      </c>
      <c r="CY103" t="str">
        <f>IF(AND(CS103&lt;&gt;"",CS103=BA103),SUMIFS(Линии[_ток утечки линии, мА],Линии[_блок УЗО],BA103,Линии[Щит],A103),"")</f>
        <v/>
      </c>
      <c r="CZ103">
        <f t="shared" si="168"/>
        <v>0</v>
      </c>
      <c r="DA103">
        <f t="shared" si="169"/>
        <v>0</v>
      </c>
      <c r="DB103">
        <f>IF(B103="",0,IFERROR(--_xlfn.XLOOKUP(B103,Коды_код,Коды_минавт),IFERROR(--_xlfn.XLOOKUP(BC103,Коды_код,Коды_минавт),IFERROR(--_xlfn.XLOOKUP(LEFT(BC103,2),Коды_код,Коды_минавт),0))))</f>
        <v>0</v>
      </c>
      <c r="DC103" t="str">
        <f>IF(B103="","",IFERROR(_xlfn.XLOOKUP(BC103,Коды_код,Коды_апп)&amp;"",""))</f>
        <v/>
      </c>
      <c r="DD103" t="str">
        <f t="shared" si="170"/>
        <v/>
      </c>
      <c r="DE103" t="str" cm="1">
        <f t="array" ref="DE103">IF(TRIM(DD103&amp;"")="","",IFERROR(TRIM(INDEX(_xlfn.TEXTSPLIT(DD103&amp;";;;",";"),1)),""))</f>
        <v/>
      </c>
      <c r="DF103" t="str" cm="1">
        <f t="array" ref="DF103">IF(TRIM(DD103&amp;"")="","",IFERROR(TRIM(INDEX(_xlfn.TEXTSPLIT(DD103&amp;";;;",";"),2)),""))</f>
        <v/>
      </c>
      <c r="DG103" t="str" cm="1">
        <f t="array" ref="DG103">IF(TRIM(DD103&amp;"")="","",IFERROR(TRIM(INDEX(_xlfn.TEXTSPLIT(DD103&amp;";;;",";"),3)),""))</f>
        <v/>
      </c>
      <c r="DH103">
        <f t="shared" si="171"/>
        <v>0</v>
      </c>
      <c r="DI103" t="str">
        <f>IF(B103="","",_xlfn.LET(_xlpm.t,LOWER(AZ103&amp;""),IF(ISNUMBER(SEARCH("dim",_xlpm.t)),"DIM",IF(ISNUMBER(SEARCH("dali",_xlpm.t)),"DALI",IF(OR(ISNUMBER(SEARCH("relay",_xlpm.t)),ISNUMBER(SEARCH("реле",_xlpm.t))),"Relay",IF(ISNUMBER(SEARCH("кнопк",_xlpm.t)),"",IFERROR(_xlfn.XLOOKUP(BC103,Коды_код,Коды_упр)&amp;"","")))))))</f>
        <v/>
      </c>
      <c r="DJ103" t="str">
        <f t="shared" si="172"/>
        <v/>
      </c>
      <c r="DK103">
        <f>IF(B103="","",_xlfn.LET(_xlpm.ig,IF(N(CX103)&gt;0,N(CX103),N(CI103)+IF(AJ103="вручную",0,N(CJ103))),_xlpm.n0,IFERROR(VLOOKUP(_xlpm.ig,Автомат_номиналы,2,TRUE),0),_xlpm.mn,MAX(DB103,IF(AJ103="вручную",0,N(CM103))),MAX(_xlpm.n0,_xlpm.mn,IF(DH103=1,Мин_автомат_БП,0))))</f>
        <v>6</v>
      </c>
      <c r="DL103">
        <f t="shared" si="173"/>
        <v>1</v>
      </c>
      <c r="DM103" t="str">
        <f t="shared" si="174"/>
        <v>1P</v>
      </c>
      <c r="DN103" t="str">
        <f>_xlfn.LET(_xlpm.cc,UPPER(TRIM(IFERROR(_xlfn.XLOOKUP(BC103,Коды_код,Коды_хар)&amp;"",""))),IF(OR(_xlpm.cc="B",_xlpm.cc="В"),"B",IF(_xlpm.cc="D","D","С")))</f>
        <v>С</v>
      </c>
      <c r="DO103" t="str">
        <f t="shared" si="175"/>
        <v>1P С6А</v>
      </c>
      <c r="DP103">
        <f t="shared" si="176"/>
        <v>10</v>
      </c>
      <c r="DQ103" t="str">
        <f t="shared" si="177"/>
        <v>1P С10А</v>
      </c>
      <c r="DR103" cm="1">
        <f t="array" ref="DR103">IF(DQ103="","",_xlfn.LET(_xlpm.t,SUBSTITUTE(SUBSTITUTE(SUBSTITUTE(UPPER(DQ103),"С","C"),"А","A"),"В","B"),_xlpm.tk,_xlfn.TEXTSPLIT(_xlpm.t," "),_xlpm.f,_xlfn._xlws.FILTER(_xlpm.tk,ISNUMBER(--MID(_xlpm.tk,2,1))*ISNUMBER(SEARCH(LEFT(_xlpm.tk,1)&amp;"#","B#C#D#"))*(LEN(_xlpm.tk)&gt;1),""),_xlpm.x,INDEX(_xlpm.f,1),IFERROR(--SUBSTITUTE(MID(_xlpm.x,2,9),"A",""),IFERROR(--SUBSTITUTE(INDEX(_xlfn._xlws.FILTER(_xlpm.tk,ISNUMBER(--SUBSTITUTE(_xlpm.tk,"A","")),""),1),"A",""),""))))</f>
        <v>10</v>
      </c>
      <c r="DS103" t="str">
        <f t="shared" si="178"/>
        <v>ok</v>
      </c>
      <c r="DT103">
        <f t="shared" si="179"/>
        <v>10</v>
      </c>
      <c r="DU103" t="str">
        <f t="shared" si="180"/>
        <v>1P С10А</v>
      </c>
      <c r="DV103">
        <f t="shared" si="181"/>
        <v>0</v>
      </c>
      <c r="DW103">
        <f t="shared" si="182"/>
        <v>0</v>
      </c>
      <c r="DX103">
        <f t="shared" si="183"/>
        <v>0</v>
      </c>
      <c r="DY103">
        <f t="shared" si="184"/>
        <v>1.7861773953054043</v>
      </c>
      <c r="DZ103">
        <f t="shared" si="185"/>
        <v>1</v>
      </c>
      <c r="EA103">
        <f>IF(ISNUMBER(AP103),AP103,К_прокл)</f>
        <v>1</v>
      </c>
      <c r="EB103">
        <f t="shared" si="186"/>
        <v>2</v>
      </c>
      <c r="EC103">
        <f>IFERROR(N(VLOOKUP(BZ103,Кабель_обозначение,3,FALSE)),1)</f>
        <v>1</v>
      </c>
      <c r="ED103">
        <f>IFERROR(N(_xlfn.XLOOKUP(A103,Щиты[Щит],Щиты[ΔU до шин, %])),0)</f>
        <v>0.24000000000000002</v>
      </c>
      <c r="EE103" t="str">
        <f>IFERROR(_xlfn.XLOOKUP(A103,Щиты[Щит],Щиты[Zпетли на шинах, Ом]),"")</f>
        <v/>
      </c>
      <c r="EF103">
        <f>IFERROR(N(_xlfn.XLOOKUP(A103,Щиты[Щит],Щиты[ΔU до шин (подбор), %])),0)</f>
        <v>0.36</v>
      </c>
      <c r="EG103" t="str">
        <f>IFERROR(_xlfn.XLOOKUP(A103,Щиты[Щит],Щиты[Zпетли на шинах (подбор), Ом]),"")</f>
        <v/>
      </c>
      <c r="EH103" t="str">
        <f t="shared" si="187"/>
        <v/>
      </c>
      <c r="EI103">
        <f t="shared" si="188"/>
        <v>32</v>
      </c>
      <c r="EJ103">
        <f t="shared" si="189"/>
        <v>2</v>
      </c>
      <c r="EK103">
        <f t="shared" si="190"/>
        <v>0.6</v>
      </c>
      <c r="EL103" s="6">
        <f>IF(B103="","",IF(BV103=1,dU_LED,IF(IFERROR(_xlfn.XLOOKUP(BC103,Коды_код,Коды_уго),"")="Светильник",3,4)+IF(Методика="нормы 2026",MIN(0.5,MAX(0,N(P103)-100)*0.005),0)))</f>
        <v>4</v>
      </c>
      <c r="EM103" cm="1">
        <f t="array" ref="EM103">IF(OR(B103="",BZ103="",EC103&lt;&gt;1),"",_xlfn.LET(_xlpm.sz,Iдоп_S,_xlpm.t_,CHOOSE(EB103,Iдоп_1ж,Iдоп_2ж,Iдоп_3ж)*DZ103*EA103,_xlpm.dcx,BV103=1,_xlpm.inn,IF(_xlpm.dcx,N(O103),N(DT103)),_xlpm.smin,MAX(1.5,CC103),_xlpm.L_,N(P103)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103)/N(BU103)*100,999),IFERROR(N(EJ103)*(_xlpm.rho*_xlpm.L_/_xlpm.sz*N(CE103)+_xlpm.xx*_xlpm.L_*N(EK103)/1000)*N(O103)/((Uн_лин/SQRT(3))*1000)*100,999)),_xlpm.kz,IF(OR(_xlpm.dcx,DW103=1,NOT(ISNUMBER(EG103)),_xlpm.L_=0,_xlpm.inn=0),1,IFERROR(--(c_min*(Uн_лин*1000/SQRT(3))/(EG103+2*ρкз_Cu*_xlpm.L_/_xlpm.sz)&gt;=HT103*_xlpm.inn),0)),_xlpm.ok,IFERROR((_xlpm.sz&gt;=_xlpm.smin)*(_xlpm.t_&gt;=_xlpm.inn)*IF(_xlpm.L_&gt;0,(_xlpm.du_+IF(_xlpm.dcx,0,EF103)&lt;=EL103+0.00001),1)*_xlpm.kz,0),_xlpm.r_,_xlfn._xlws.FILTER(_xlpm.sz,_xlpm.ok,"не подобрано"),INDEX(_xlpm.r_,1)))</f>
        <v>1.5</v>
      </c>
      <c r="EN103">
        <f t="shared" si="191"/>
        <v>1.5</v>
      </c>
      <c r="EO103" cm="1">
        <f t="array" ref="EO103">IF(OR(B103="",BZ103="",EC103&lt;&gt;1),"",_xlfn.LET(_xlpm.sz,Iдоп_S,_xlpm.t_,CHOOSE(EB103,Iдоп_1ж,Iдоп_2ж,Iдоп_3ж)*DZ103*EA103,_xlpm.ok,IFERROR((_xlpm.sz&gt;=MAX(1.5,CC103))*(_xlpm.t_&gt;=N(DT103)),0),_xlpm.r_,_xlfn._xlws.FILTER(_xlpm.sz,_xlpm.ok,""),INDEX(_xlpm.r_,1)))</f>
        <v>1.5</v>
      </c>
      <c r="EP103" s="6" cm="1">
        <f t="array" ref="EP103">IFERROR(ROUNDUP(N(EJ103)*(_xlfn.XLOOKUP(EO103,INDEX(Кабель_сопротивление,0,1),INDEX(Кабель_сопротивление,0,3))*N(P103)/EO103*N(CE103)+_xlfn.XLOOKUP(EO103,INDEX(Кабель_сопротивление,0,1),INDEX(Кабель_сопротивление,0,2))*N(P103)*N(EK103)/1000)*N(O103)/((Uн_лин/SQRT(3))*1000)*100,2),"")</f>
        <v>0.68</v>
      </c>
      <c r="EQ103">
        <f>IFERROR(2*ρкз_Cu*N(P103)/EO103,"")</f>
        <v>1.2624</v>
      </c>
      <c r="ER103">
        <f>IFERROR(VLOOKUP(EN103,Кабель_сопротивление,3,FALSE),"")</f>
        <v>2.2499999999999999E-2</v>
      </c>
      <c r="ES103">
        <f>IFERROR(VLOOKUP(EN103,Кабель_сопротивление,2,FALSE),"")</f>
        <v>0.11</v>
      </c>
      <c r="ET103">
        <f t="shared" si="192"/>
        <v>16</v>
      </c>
      <c r="EU103">
        <f t="shared" si="193"/>
        <v>0</v>
      </c>
      <c r="EV103">
        <f t="shared" si="194"/>
        <v>1.5517451845263603</v>
      </c>
      <c r="EW103" s="6">
        <f>IFERROR(ROUNDUP(EV103/IF(BV103=1,BU103,(Uн_лин/SQRT(3))*1000)*100,2),"")</f>
        <v>0.68</v>
      </c>
      <c r="EX103" t="str">
        <f>IFERROR(VLOOKUP(BZ103,Кабель_обозначение,2,FALSE),"")</f>
        <v>ВВГнг(А)-LS</v>
      </c>
      <c r="EY103" t="str">
        <f t="shared" si="195"/>
        <v>ВВГнг(А)-LS (3х1,5)</v>
      </c>
      <c r="EZ103" t="str">
        <f t="shared" si="196"/>
        <v>ВВГнг(А)-LS (3х1,5)
L=36-0,68%</v>
      </c>
      <c r="FA103">
        <f>IFERROR(2*ρкз_Cu*P103/EN103,"")</f>
        <v>1.2624</v>
      </c>
      <c r="FB103">
        <f t="shared" si="197"/>
        <v>0.4200000000000001</v>
      </c>
      <c r="FC103" s="6" t="str">
        <f>IFERROR(IF(OR(B103="",BV103=1,NOT(ISNUMBER(EN103)),N(P103)=0),"",_xlfn.XLOOKUP(A103,Щиты[Щит],Щиты[Zпетли на шинах, Ом])+FA103),"")</f>
        <v/>
      </c>
      <c r="FD103" s="6" t="str">
        <f>IF(ISNUMBER(FC103),c_min*(Uн_лин*1000/SQRT(3))/FC103,"")</f>
        <v/>
      </c>
      <c r="FE103" s="6" t="str">
        <f>IFERROR(IF(OR(B103="",NOT(ISNUMBER(EN103))),"",1.05*(Uн_лин*1000/SQRT(3))/(_xlfn.XLOOKUP(A103,Щиты[Щит],Щиты[Zmax на шинах, Ом])+FB103)/1000),"")</f>
        <v/>
      </c>
      <c r="FF103" s="6" t="str">
        <f>IF(B103="","",IF(ISNUMBER(AC103),"Сил",IF(IFERROR(_xlfn.XLOOKUP(BC103,Коды_код,Коды_группа)&amp;"","")="","Быт",_xlfn.XLOOKUP(BC103,Коды_код,Коды_группа)&amp;"")))</f>
        <v>Сил</v>
      </c>
      <c r="FG103" s="6" t="str">
        <f t="shared" si="198"/>
        <v>Сил</v>
      </c>
      <c r="FH103" s="6">
        <f>IF(FG103="Щит","щит",IF(FG103="","",IF(FG103="Быт",IFERROR(_xlfn.XLOOKUP(A103,Щиты[Щит],Щиты[Кс быт]),1),IF(FG103="Сил",IF(ISNUMBER(AC103),AC103,IF(Методика="нормы 2026",IFERROR(_xlfn.XLOOKUP(A103,Щиты[Щит],Щиты[Кс силовых (табл. 7.5)]),1),1)),IF(OR(FG103="Пост",FG103="Отоп"),1,IF(FG103="ВНГ",0.7,0))))))</f>
        <v>0.5</v>
      </c>
      <c r="FI103">
        <f>IF(FG103="","",IF(AND(BP103=1,TRIM(AE103&amp;"")=""),IF(COUNTIFS(Линии[Щит],A103,Линии[Секция (1/2/3)],"&gt;=2")&gt;0,MIN(3,MAX(1,IFERROR(--BD103,1))),1),IFERROR(MIN(3,MAX(1,INT(--AE103))),1)))</f>
        <v>1</v>
      </c>
      <c r="FJ103">
        <f t="shared" si="199"/>
        <v>0.33</v>
      </c>
      <c r="FK103">
        <f t="shared" si="200"/>
        <v>0</v>
      </c>
      <c r="FL103">
        <f t="shared" si="201"/>
        <v>0.16500000000000001</v>
      </c>
      <c r="FM103">
        <f t="shared" si="202"/>
        <v>0</v>
      </c>
      <c r="FN103">
        <f t="shared" si="203"/>
        <v>0</v>
      </c>
      <c r="FO103">
        <f t="shared" si="204"/>
        <v>0</v>
      </c>
      <c r="FP103">
        <f t="shared" si="205"/>
        <v>0.33</v>
      </c>
      <c r="FQ103">
        <f t="shared" si="206"/>
        <v>0.33</v>
      </c>
      <c r="FR103">
        <f t="shared" si="207"/>
        <v>0.26400000000000001</v>
      </c>
      <c r="FS103">
        <f>IF(CG103=1,IF(AND(CH103=1,CW103=1),0,IF(AND(CS103&lt;&gt;"",CS103=BA103,CW103=1),SUMIFS(Линии[_Р линии, кВт],Линии[_блок УЗО],BA103,Линии[Щит],A103),N(BS103)+IF(AJ103="вручную",0,N(CK103)))),0)</f>
        <v>0.33</v>
      </c>
      <c r="FT103" t="str">
        <f t="shared" si="208"/>
        <v/>
      </c>
      <c r="FU103" t="str">
        <f>IF(B103="","",IF(CG103=0,IF(BA103=1,"",FW102),IF(AND(CH103=1,CW103=1,CS103&lt;&gt;""),IFERROR(_xlfn.XLOOKUP(CS103,Линии[_n],Линии[_фаза итог]),"L1"),IF(OR(N(DL103)&gt;=3,N(BX103)&gt;=3),"L1,L2,L3",IFERROR(_xlfn.TEXTBEFORE(_xlfn.TEXTAFTER(_xlfn.XLOOKUP(A103,Щиты[Щит],Щиты[_фазы авто]),";"&amp;BA103&amp;":"),";"),"L1")))))</f>
        <v>L3</v>
      </c>
      <c r="FV103" t="str">
        <f t="shared" si="209"/>
        <v>L3</v>
      </c>
      <c r="FW103" t="str">
        <f t="shared" si="210"/>
        <v>L3</v>
      </c>
      <c r="FX103" cm="1">
        <f t="array" ref="FX103">IFERROR(IF(CD103=2,_xlfn.IFS(BX103=3,VLOOKUP(BS103,Справочная_двигатели,3,FALSE),BX103=1,VLOOKUP(BS103,Справочная_двигатели,5,TRUE)),0),0)</f>
        <v>0</v>
      </c>
      <c r="FY103">
        <f>IFERROR(IF(CD103=3,VLOOKUP(BS103,Справочная_ЛЭД,2,TRUE),0),0)</f>
        <v>0</v>
      </c>
      <c r="FZ103" s="6">
        <f t="shared" si="211"/>
        <v>0</v>
      </c>
      <c r="GA103" t="str">
        <f>IF(B103="","",IF(TRIM(AH103&amp;"")&lt;&gt;"",IF(LOWER(TRIM(AH103&amp;""))="да","да","нет"),IF(IFERROR(_xlfn.XLOOKUP(BC103,Коды_код,Коды_пожарная),"")="да","да","нет")))</f>
        <v>нет</v>
      </c>
      <c r="GB103" t="str">
        <f t="shared" si="212"/>
        <v/>
      </c>
      <c r="GC103" t="str">
        <f t="shared" si="213"/>
        <v>основная</v>
      </c>
      <c r="GD103">
        <f>IF(AND(BP103=1,TRIM(AE103&amp;"")=""),IF(COUNTIFS(Линии[Щит],A103,Линии[Секция (1/2/3)],"&gt;=2")&gt;0,MIN(3,MAX(1,IFERROR(--BD103,1))),1),IFERROR(MIN(3,MAX(1,INT(--AE103))),1))</f>
        <v>1</v>
      </c>
      <c r="GE103" t="str" cm="1">
        <f t="array" ref="GE103">IF(B103="","",_xlfn.LET(_xlpm.t,IFERROR(_xlfn.XLOOKUP(1,(Шины[Шина]=GC103)*(((Шины[Щит]=A103)+(Шины[Щит]=""))&gt;0),Шины[Тип]),"")&amp;"",IF(_xlpm.t&lt;&gt;"",_xlpm.t,IF(ISNUMBER(SEARCH("ИБП",GC103)),"ИБП",IF(ISNUMBER(SEARCH("ДГУ",GC103)),"ДГУ","Ввод "&amp;GD103)))))</f>
        <v>Ввод 1</v>
      </c>
      <c r="GF103" t="str">
        <f t="shared" si="214"/>
        <v>Ввод 1</v>
      </c>
      <c r="GG103" t="str">
        <f>IF(BP103=0,"",IF(TRIM(AG103&amp;"")&lt;&gt;"",TRIM(AG103&amp;""),IF(OR(GE103="ИБП",GE103="ДГУ"),"I особая",_xlfn.XLOOKUP(A103,Щиты[Щит],Щиты[Категория шины «Ввод»],"III"))))</f>
        <v/>
      </c>
      <c r="GH103" t="str">
        <f>IF(A103="","",_xlfn.XLOOKUP(A103,Щиты[Щит],Щиты[Путь],""))</f>
        <v>|ГРЩ-ЖД|ЩОВ-01|</v>
      </c>
      <c r="GI103" t="str">
        <f>IF(B103="","",IF(AI103&lt;&gt;"",AI103,IF(IFERROR(_xlfn.XLOOKUP(BC103,Коды_код,Коды_вид)&amp;"","")="","Прочее",_xlfn.XLOOKUP(BC103,Коды_код,Коды_вид)&amp;"")))</f>
        <v>Вентиляция</v>
      </c>
      <c r="GJ103">
        <f>IF(BM103="","",INT((BM103-1)/Столбцов_на_лист)+1)</f>
        <v>1</v>
      </c>
      <c r="GK103" t="str">
        <f t="shared" si="215"/>
        <v>ВВГнг(А)-LS (3х1,5) L=36-0,68%</v>
      </c>
      <c r="GL103">
        <f t="shared" si="216"/>
        <v>0.33</v>
      </c>
      <c r="GM103">
        <f t="shared" si="217"/>
        <v>1.79</v>
      </c>
      <c r="GN103">
        <f t="shared" si="218"/>
        <v>1</v>
      </c>
      <c r="GO103">
        <f t="shared" si="219"/>
        <v>0</v>
      </c>
      <c r="GP103">
        <f t="shared" si="220"/>
        <v>1</v>
      </c>
      <c r="GQ103">
        <f>IF(BM103="","",IF(AND(CG103=1,GP103=1),COUNTIFS(A$3:A103,A103,CG$3:CG103,1,GP$3:GP103,1),IF(OR(OR(BA103=1,A103&lt;&gt;A102),AJ103="вручную",GP103=0),"",IF(BA103=1,"",GR102))))</f>
        <v>1</v>
      </c>
      <c r="GR103">
        <f t="shared" si="221"/>
        <v>1</v>
      </c>
      <c r="GS103">
        <f>IF(B103="","",IFERROR(LOOKUP(INDEX(CHOOSE(EB103,Iдоп_1ж,Iдоп_2ж,Iдоп_3ж),MATCH(EN103,Iдоп_S,0))*DZ103*EA103,{6,10,16,20,25,32,40,50,63,80,100,125,160,200,250,315,400,500,630}),""))</f>
        <v>16</v>
      </c>
      <c r="GT103" t="str">
        <f t="shared" si="222"/>
        <v>QF1</v>
      </c>
      <c r="GU103" t="str">
        <f t="shared" si="223"/>
        <v>QF1</v>
      </c>
      <c r="GV103" t="str">
        <f t="shared" si="224"/>
        <v/>
      </c>
      <c r="GW103">
        <f t="shared" si="225"/>
        <v>0</v>
      </c>
      <c r="GX103" t="str">
        <f>IF(OR(B103="",DJ103=""),"",IFERROR(_xlfn.XLOOKUP(DJ103,Модули_умолч[Управление],Модули_умолч[Модель])&amp;"",""))</f>
        <v/>
      </c>
      <c r="GY103">
        <f>IF(DJ103="",1,IFERROR(MAX(0,N(_xlfn.XLOOKUP(DJ103,Модули_умолч[Управление],Модули_умолч[Каналов на линию]))),1))</f>
        <v>1</v>
      </c>
      <c r="GZ103" t="str">
        <f t="shared" si="226"/>
        <v/>
      </c>
      <c r="HA103" t="str">
        <f t="shared" si="227"/>
        <v/>
      </c>
      <c r="HB103" t="str">
        <f t="shared" si="228"/>
        <v/>
      </c>
      <c r="HC103">
        <f>IF(HB103="",0,IFERROR(N(VLOOKUP(HB103,Модули_спр,3,FALSE)),0))</f>
        <v>0</v>
      </c>
      <c r="HD103" t="str">
        <f t="shared" si="229"/>
        <v/>
      </c>
      <c r="HE103" t="str">
        <f t="shared" si="230"/>
        <v/>
      </c>
      <c r="HF103" t="str">
        <f>IF(OR(HE103="",HE103="-"),"",IFERROR(VLOOKUP(HE103,Модули_спр,2,FALSE),"R"))</f>
        <v/>
      </c>
      <c r="HG103" t="str">
        <f>IF(HF103="","",HF103&amp;"."&amp;COUNTIFS(A$3:A103,A103,HF$3:HF103,HF103))</f>
        <v/>
      </c>
      <c r="HH103" t="str">
        <f t="shared" si="231"/>
        <v/>
      </c>
      <c r="HI103" t="str">
        <f t="shared" si="232"/>
        <v/>
      </c>
      <c r="HJ103" t="str">
        <f t="shared" si="233"/>
        <v/>
      </c>
      <c r="HK103" t="str">
        <f t="shared" si="234"/>
        <v/>
      </c>
      <c r="HL103">
        <f t="shared" si="235"/>
        <v>1</v>
      </c>
      <c r="HM103" t="str">
        <f>IF(HL103=1,"XT"&amp;COUNTIFS(A$3:A103,A103,HL$3:HL103,1),"")</f>
        <v>XT1</v>
      </c>
      <c r="HN103" t="str">
        <f t="shared" si="236"/>
        <v>XT1</v>
      </c>
      <c r="HO103" t="str">
        <f t="shared" si="237"/>
        <v>QF1</v>
      </c>
      <c r="HP103" t="str">
        <f t="shared" si="238"/>
        <v/>
      </c>
      <c r="HQ103" t="str">
        <f t="shared" si="239"/>
        <v>ok</v>
      </c>
      <c r="HR103" t="str">
        <f>IF(OR(HJ103="",HH103=""),"",IF(HJ103+MAX(0,GY103-1)&gt;IFERROR(VLOOKUP(HI103,Модули_спр,3,FALSE),99),"ЛИШНИЙ КАНАЛ",IF(AND(AL103&lt;&gt;"=",GY103&gt;0,COUNTIFS(Линии[_модуль гр.],HH103,Линии[Канал (итог)],HJ103,Линии[Канал],"&lt;&gt;=",Линии[Щит],A103)&gt;1),"ДУБЛЬ КАНАЛА","")))</f>
        <v/>
      </c>
      <c r="HS103" s="6" t="str">
        <f t="shared" si="240"/>
        <v/>
      </c>
      <c r="HT103">
        <f t="shared" si="241"/>
        <v>10</v>
      </c>
      <c r="HU103" t="str">
        <f t="shared" si="242"/>
        <v/>
      </c>
      <c r="HV103">
        <f t="shared" si="243"/>
        <v>1.0744709581221619</v>
      </c>
      <c r="HW103">
        <f t="shared" si="244"/>
        <v>0</v>
      </c>
      <c r="HX103">
        <f t="shared" si="245"/>
        <v>0</v>
      </c>
      <c r="HY103">
        <f t="shared" si="246"/>
        <v>0</v>
      </c>
      <c r="HZ103">
        <f t="shared" si="247"/>
        <v>0</v>
      </c>
      <c r="IA103">
        <f t="shared" si="248"/>
        <v>0</v>
      </c>
      <c r="IB103">
        <f t="shared" si="249"/>
        <v>0</v>
      </c>
      <c r="IC103" t="str">
        <f t="shared" si="250"/>
        <v/>
      </c>
      <c r="ID103" t="str" cm="1">
        <f t="array" ref="ID103">IF(IC103="","",_xlfn.LET(_xlpm.tk,_xlfn.TEXTSPLIT(SUBSTITUTE(SUBSTITUTE(IC103,";"," "),"→"," ")," ",,TRUE),_xlpm.w_,_xlfn._xlws.FILTER(_xlpm.tk,ISNUMBER(--LEFT(_xlpm.tk,1))*((ISNUMBER(SEARCH("W",_xlpm.tk))+ISNUMBER(SEARCH("Вт",_xlpm.tk)))&gt;0),""),IFERROR(--SUBSTITUTE(SUBSTITUTE(UPPER(INDEX(_xlpm.w_,1)),"W",""),"ВТ",""),"")))</f>
        <v/>
      </c>
      <c r="IE103" t="str" cm="1">
        <f t="array" ref="IE103">IF(IC103="","",_xlfn.LET(_xlpm.tk,_xlfn.TEXTSPLIT(SUBSTITUTE(SUBSTITUTE(IC103,";"," "),"→"," ")," ",,TRUE),_xlpm.v_,_xlfn._xlws.FILTER(_xlpm.tk,ISNUMBER(--LEFT(_xlpm.tk,1))*((ISNUMBER(SEARCH("V",_xlpm.tk))+(RIGHT(UPPER(_xlpm.tk))="В"))&gt;0),""),IFERROR(--SUBSTITUTE(SUBSTITUTE(UPPER(INDEX(_xlpm.v_,1)),"V",""),"В",""),"")))</f>
        <v/>
      </c>
      <c r="IF103" s="6" t="str">
        <f>IF(OR(BV103=0,HI103="",HJ103=""),"",IFERROR(N(_xlfn.XLOOKUP(HI103,Каталог!$C$4:$C$500,Каталог!$Q$4:$Q$500)),""))</f>
        <v/>
      </c>
      <c r="IG103" s="6" t="str">
        <f>IF(N(IF103)=0,"",SUMIFS(Линии[Iр, А],Линии[Щит],A103,Линии[_модуль гр.],HH103,Линии[Канал (итог)],HJ103))</f>
        <v/>
      </c>
      <c r="IH103" t="str">
        <f>IF(AND(B103="",HO103=""),"",_xlfn.TEXTJOIN("; ",TRUE,IF(AND(B103&lt;&gt;"",FV103=""),"нет фазы",""),IF(AND(B103&lt;&gt;"",N(GL103)=0,FG103&lt;&gt;"Нет"),"нет мощности",""),IF(AND(HN103&lt;&gt;"",COUNTIFS(Линии[Щит],A103,Линии[Клемма (итог)],HN103)&gt;1),"дубль клеммы "&amp;HN103,""),IF(AND(HQ103&lt;&gt;"",HQ103&lt;&gt;"ok"),HQ103,""),IF(HR103&lt;&gt;"",HR103,""),IF(AND(N(CB103)&gt;=4,N(BX103)=1),CB103&amp;" жил на 1 фазе",""),IF(AND(BC103="R",CG103=1,IF(CS103&lt;&gt;"",N(CV103)&gt;30,OR(N(DA103)=0,N(DA103)&gt;30))),"розетка без дифзащиты до 30 мА",""),IF(AND(CG103=1,N(DA103)&gt;0,ISNUMBER(T103)),IF(T103&gt;N(DA103)/3,"ток утечки "&amp;FIXED(T103,1)&amp;" мА &gt; 1/3 уставки ("&amp;DA103&amp;" мА)",""),""),IF(AND(CH103=1,CS103=""),"«узо»: нет строки с УЗО выше (УЗО 2P 40А 30мА в «Аппаратах»)",""),IF(AND(CS103&lt;&gt;"",CS103=BA103),IF(CT103="","впишите номинал УЗО (УЗО 2P 40А 30мА)",IF(N(CT103)&lt;N(DT103),"УЗО "&amp;CT103&amp;" А &lt; автомата "&amp;DT103&amp;" А перед ним",IF(N(CT103)&lt;N(CX103),"УЗО "&amp;CT103&amp;" А &lt; тока блока "&amp;FIXED(CX103,1)&amp;" А",""))),""),IF(AND(CS103&lt;&gt;"",CS103=BA103,ISNUMBER(CY103)),IF(CY103&gt;N(CV103)/3,"ток утечки блока УЗО "&amp;FIXED(CY103,1)&amp;" мА &gt; 1/3 уставки ("&amp;CV103&amp;" мА)",""),""),IF(AND(CG103=1,N(BV103)+N(IB103)&gt;0,IC103=""),"линии до 50 В без БП: впишите в «Аппараты» (БП 24V 480W)",""),IF(AND(CG103=1,ISNUMBER(ID103),ISNUMBER(U103)),IF(U103&gt;ID103,"БП "&amp;ID103&amp;" Вт &lt; нужно "&amp;U103&amp;" Вт (×"&amp;Запас_БП&amp;")",""),""),IF(AND(CG103=1,ISNUMBER(IE103),N(BV103)=1),IF(IE103&lt;&gt;N(BU103),"БП на "&amp;IE103&amp;" В, линия "&amp;BU103&amp;" В",""),""),IF(AND(N(IF103)&gt;0,N(IG103)&gt;N(IF103)),HH103&amp;" канал "&amp;HJ103&amp;": "&amp;FIXED(IG103,1)&amp;" А &gt; "&amp;IF103&amp;" А",""),IFERROR(IF(AND(ISNUMBER(Q103),Q103&gt;EL103),"потери "&amp;FIXED(Q103,1)&amp;" % &gt; "&amp;EL103&amp;" %",""),""),IFERROR(IF(LEFT(HU103,4)="мало","Iкз мало — отключение &gt; 0,4 с",""),""),IF(AND(B103&lt;&gt;"",BM103=""),"не на схеме",""),IF(AND(CG103=0,B103&lt;&gt;"",FV103&lt;&gt;"",IF(BA103=1,"",FW102)&lt;&gt;"",FV103&lt;&gt;IF(BA103=1,"",FW102)),"фаза не как у автомата группы ("&amp;IF(BA103=1,"",FW102)&amp;")","")))</f>
        <v/>
      </c>
      <c r="II103" s="6">
        <f>IF(OR(CG103=0,DQ103=""),"",_xlfn.LET(_xlpm.t,IFERROR(_xlfn.XLOOKUP(DQ103,Каталог!$U$4:$U$500,Каталог!$G$4:$G$500),""),_xlpm.k,SEARCH("кА",_xlpm.t),IFERROR(--TRIM(RIGHT(SUBSTITUTE(MID(_xlpm.t,MAX(1,_xlpm.k-4),_xlpm.k-MAX(1,_xlpm.k-4))," ",REPT(" ",9)),5)),"")))</f>
        <v>6</v>
      </c>
      <c r="IJ103" t="str">
        <f>IF(OR(II103="",CG103=0),"",IF(_xlfn.XLOOKUP(A103,Щиты[Щит],Щиты[Iкз max на шинах, кА],"")="","",IF(II103&lt;_xlfn.XLOOKUP(A103,Щиты[Щит],Щиты[Iкз max на шинах, кА]),"Icu "&amp;II103&amp;" кА &lt; Iкз max","ok")))</f>
        <v/>
      </c>
      <c r="IK103" t="str">
        <f t="shared" si="251"/>
        <v/>
      </c>
      <c r="IL103" t="str">
        <f t="shared" si="252"/>
        <v>QF1|XT1</v>
      </c>
      <c r="IM103" t="str">
        <f t="shared" si="253"/>
        <v>QF1|XT1|кабель ВВГнг(А)-LS (3х1,5) → Приточная установка Цокольный этаж Пом №001Тб</v>
      </c>
      <c r="IN103" t="str" cm="1">
        <f t="array" ref="IN103">IF(IM103="","",_xlfn.LET(_xlpm.nd,_xlfn.TEXTSPLIT(IM103,"|"),IF(COLUMNS(_xlpm.nd)&gt;1,A103&amp;"¦"&amp;INDEX(_xlpm.nd,1)&amp;"¦"&amp;INDEX(_xlpm.nd,2),"")))</f>
        <v>ЩОВ-01¦QF1¦XT1</v>
      </c>
      <c r="IO103" t="str">
        <f t="shared" si="254"/>
        <v>П.6¦Приточная установка Цокольный этаж Пом №001Тб</v>
      </c>
      <c r="IP103" t="str" cm="1">
        <f t="array" ref="IP103">IF(IM103="","",_xlfn.LET(_xlpm.nd,_xlfn.TEXTSPLIT(IM103,"|"),IF(COLUMNS(_xlpm.nd)&gt;2,A103&amp;"¦"&amp;INDEX(_xlpm.nd,2)&amp;"¦"&amp;INDEX(_xlpm.nd,3),"")))</f>
        <v>ЩОВ-01¦XT1¦кабель ВВГнг(А)-LS (3х1,5) → Приточная установка Цокольный этаж Пом №001Тб</v>
      </c>
      <c r="IQ103" t="str">
        <f t="shared" si="255"/>
        <v>П.6¦Приточная установка Цокольный этаж Пом №001Тб</v>
      </c>
      <c r="IR103" t="str" cm="1">
        <f t="array" ref="IR103">IF(IM103="","",_xlfn.LET(_xlpm.nd,_xlfn.TEXTSPLIT(IM103,"|"),IF(COLUMNS(_xlpm.nd)&gt;3,A103&amp;"¦"&amp;INDEX(_xlpm.nd,3)&amp;"¦"&amp;INDEX(_xlpm.nd,4),"")))</f>
        <v/>
      </c>
      <c r="IS103" t="str">
        <f t="shared" si="256"/>
        <v/>
      </c>
      <c r="IT103" t="str" cm="1">
        <f t="array" ref="IT103">IF(IM103="","",_xlfn.LET(_xlpm.nd,_xlfn.TEXTSPLIT(IM103,"|"),IF(COLUMNS(_xlpm.nd)&gt;4,A103&amp;"¦"&amp;INDEX(_xlpm.nd,4)&amp;"¦"&amp;INDEX(_xlpm.nd,5),"")))</f>
        <v/>
      </c>
      <c r="IU103" t="str">
        <f t="shared" si="257"/>
        <v/>
      </c>
      <c r="IV103" t="str" cm="1">
        <f t="array" ref="IV103">IF(IM103="","",_xlfn.LET(_xlpm.nd,_xlfn.TEXTSPLIT(IM103,"|"),IF(COLUMNS(_xlpm.nd)&gt;5,A103&amp;"¦"&amp;INDEX(_xlpm.nd,5)&amp;"¦"&amp;INDEX(_xlpm.nd,6),"")))</f>
        <v/>
      </c>
      <c r="IW103" t="str">
        <f t="shared" si="258"/>
        <v/>
      </c>
      <c r="IX103" t="str" cm="1">
        <f t="array" ref="IX103">IF(IM103="","",_xlfn.LET(_xlpm.nd,_xlfn.TEXTSPLIT(IM103,"|"),IF(COLUMNS(_xlpm.nd)&gt;6,A103&amp;"¦"&amp;INDEX(_xlpm.nd,6)&amp;"¦"&amp;INDEX(_xlpm.nd,7),"")))</f>
        <v/>
      </c>
      <c r="IY103" t="str">
        <f t="shared" si="259"/>
        <v/>
      </c>
      <c r="IZ103" t="str">
        <f t="shared" si="260"/>
        <v/>
      </c>
      <c r="JA103" t="str">
        <f t="shared" si="261"/>
        <v>QF1 → XT1</v>
      </c>
      <c r="JB103">
        <f t="shared" si="262"/>
        <v>0</v>
      </c>
      <c r="JC103">
        <f t="shared" si="263"/>
        <v>0</v>
      </c>
      <c r="JD103" t="str">
        <f t="shared" si="264"/>
        <v/>
      </c>
      <c r="JE103" t="str">
        <f t="shared" si="265"/>
        <v/>
      </c>
      <c r="JF103" t="str">
        <f t="shared" si="266"/>
        <v/>
      </c>
      <c r="JG103" t="str">
        <f t="shared" si="267"/>
        <v/>
      </c>
      <c r="JH103" t="str">
        <f>IF(B103="","",IFERROR(_xlfn.XLOOKUP(B103,Коды_код,Коды_уго),IFERROR(_xlfn.XLOOKUP(BC103,Коды_код,Коды_уго),IFERROR(_xlfn.XLOOKUP(LEFT(BC103,2),Коды_код,Коды_уго),""))))</f>
        <v>Привод (двигатель)</v>
      </c>
      <c r="JI103" t="str">
        <f>IF(B103="","",IF(OR(JH103="",JH103=0),"BOX",IFERROR(IF(VLOOKUP(JH103,УГО_блоки,3,FALSE)&amp;""&lt;&gt;"",VLOOKUP(JH103,УГО_блоки,3,FALSE),VLOOKUP(JH103,УГО_блоки,2,FALSE)),JH103)))</f>
        <v>MOTOR</v>
      </c>
      <c r="JJ103">
        <f t="shared" si="268"/>
        <v>1</v>
      </c>
      <c r="JK103" t="str">
        <f>IF(DQ103="","",IF(COUNTIF(DQ$3:DQ103,DQ103)=1,MAX(JK$2:JK102)+1,""))</f>
        <v/>
      </c>
      <c r="JL103" t="str">
        <f>IF(DE103="","",IF(COUNTIF(DE$3:DE103,DE103)+COUNTIF(DF$2:DF102,DE103)+COUNTIF(DG$2:DG102,DE103)=1,MAX(JL$2:JN102)+1,""))</f>
        <v/>
      </c>
      <c r="JM103" t="str">
        <f>IF(DF103="","",IF(COUNTIF(DE$3:DE103,DF103)+COUNTIF(DF$3:DF103,DF103)+COUNTIF(DG$2:DG102,DF103)=1,MAX(JL$2:JN102,JL103)+1,""))</f>
        <v/>
      </c>
      <c r="JN103" t="str">
        <f>IF(DG103="","",IF(COUNTIF(DE$3:DE103,DG103)+COUNTIF(DF$3:DF103,DG103)+COUNTIF(DG$3:DG103,DG103)=1,MAX(JL$2:JN102,JL103,JM103)+1,""))</f>
        <v/>
      </c>
      <c r="JO103" t="str">
        <f t="shared" si="269"/>
        <v>3х1,5</v>
      </c>
      <c r="JP103" t="str">
        <f>IF(JO103="","",IF(COUNTIF(JO$3:JO103,JO103)=1,MAX(JP$2:JP102)+1,""))</f>
        <v/>
      </c>
      <c r="JQ103" t="str">
        <f>IF(HG103="","",COUNTIF(HG$3:HG103,"?*"))</f>
        <v/>
      </c>
      <c r="JR103" t="str">
        <f>IF(OR(HG103="",HI103=""),"",IF(COUNTIFS(HG$3:HG103,"?*",HI$3:HI103,HI103)=1,MAX(JR$2:JR102)+1,""))</f>
        <v/>
      </c>
      <c r="JS103">
        <f t="shared" si="270"/>
        <v>0</v>
      </c>
      <c r="JT103">
        <f>IF(B103="","",COUNTIF(B$3:B103,"?*"))</f>
        <v>101</v>
      </c>
      <c r="JU103">
        <f>IF(HL103&lt;&gt;1,0,_xlfn.LET(_xlpm.k,MAX(IFERROR(--_xlfn.XLOOKUP(B103,Коды_код,Коды_3L),0),IFERROR(--_xlfn.XLOOKUP(BC103,Коды_код,Коды_3L),0),IFERROR(--_xlfn.XLOOKUP(LEFT(BC103,2),Коды_код,Коды_3L),0)),IF(_xlpm.k&gt;0,_xlpm.k,IF(IFERROR(--LEFT(SUBSTITUTE(JO103,"x","х"),FIND("х",SUBSTITUTE(JO103,"x","х"))-1),3)&gt;3,Каталог!$S$9,1))))</f>
        <v>1</v>
      </c>
      <c r="JV103">
        <f t="shared" si="271"/>
        <v>0</v>
      </c>
      <c r="JW103" t="str">
        <f t="shared" si="272"/>
        <v>авто</v>
      </c>
      <c r="JX103" t="str">
        <f t="shared" si="273"/>
        <v/>
      </c>
      <c r="JY103">
        <f t="shared" si="274"/>
        <v>0</v>
      </c>
      <c r="JZ103">
        <f t="shared" si="275"/>
        <v>1</v>
      </c>
    </row>
    <row r="104" spans="1:286" x14ac:dyDescent="0.3">
      <c r="A104" t="s">
        <v>745</v>
      </c>
      <c r="B104" t="s">
        <v>1415</v>
      </c>
      <c r="C104" t="s">
        <v>1669</v>
      </c>
      <c r="D104">
        <v>1</v>
      </c>
      <c r="E104">
        <v>7</v>
      </c>
      <c r="G104">
        <v>16</v>
      </c>
      <c r="H104" t="str">
        <f>Линии[[#This Row],[_авто управление]]</f>
        <v/>
      </c>
      <c r="I104" t="str">
        <f>Линии[[#This Row],[_авто аппараты]]</f>
        <v/>
      </c>
      <c r="J104">
        <v>2.5</v>
      </c>
      <c r="K104">
        <v>38</v>
      </c>
      <c r="L104" t="str">
        <f>Линии[[#This Row],[_авто фаза]]</f>
        <v>L1,L2,L3</v>
      </c>
      <c r="M104" t="str">
        <f>Линии[[#This Row],[_авто клемма]]</f>
        <v>XT2</v>
      </c>
      <c r="N104" t="str">
        <f t="shared" si="138"/>
        <v/>
      </c>
      <c r="O104" s="6" cm="1">
        <f t="array" ref="O104">IF(B104="","",IF(BH104&lt;&gt;"",IFERROR(_xlfn.XLOOKUP(BH104,Щиты[Щит],Щиты[Iр, А]),""),IF(BP104=1,IF(OR(N(_xlfn.XLOOKUP(A104,Щиты[Щит],Щиты[Вводов],1))&lt;=1,LOWER(TRIM(_xlfn.XLOOKUP(A104,Щиты[Щит],Щиты[АВР],"")&amp;""))="да"),IFERROR(_xlfn.XLOOKUP(A104,Щиты[Щит],Щиты[Iр, А]),""),IFERROR(N(BS104)*_xlfn.XLOOKUP(A104,Щиты[Щит],Щиты[Кс итог])/(SQRT(3)*Uн_лин*_xlfn.XLOOKUP(A104,Щиты[Щит],Щиты[cos φ])),"")),IF(BV104=1,IFERROR(BS104*1000/BU104,""),IFERROR(_xlfn.IFS(BX104=1,BS104/((Uн_лин/SQRT(3))*CE104),BX104=3,BS104/(SQRT(3)*Uн_лин*CE104)),"")))))</f>
        <v>12.629537138523064</v>
      </c>
      <c r="P104" s="7">
        <f>IF(B104="","",IFERROR(IF(VLOOKUP(BC104,Потребители_обозначение,4,FALSE)=1,VLOOKUP(BC104,Потребители_обозначение,3,FALSE)*(MAX(1,N(D104))*2-1)+EI104+VLOOKUP(BE104,Этаж_обозначение,3,FALSE)+VLOOKUP(BE104,Этаж_обозначение,4,FALSE),VLOOKUP(BC104,Потребители_обозначение,3,FALSE)*(MAX(1,N(D104))*2-1)+EI104),EI104))</f>
        <v>42</v>
      </c>
      <c r="Q104" s="6">
        <f t="shared" si="139"/>
        <v>1.91</v>
      </c>
      <c r="R104" t="str">
        <f t="shared" si="140"/>
        <v>ВВГнг(А)-LS (5х2,5)</v>
      </c>
      <c r="S104" t="str">
        <f>IF(BM104="","",IF(BN104="вводной узел","узел ","")&amp;"л."&amp;(INT((BM104-1)/Столбцов_на_лист)+1)&amp;" / "&amp;(MOD(BM104-1,Столбцов_на_лист)+1))</f>
        <v>л.1 / 14</v>
      </c>
      <c r="T104" s="119">
        <f t="shared" si="141"/>
        <v>5.5</v>
      </c>
      <c r="U104" s="7" t="str">
        <f>IF(OR(CG104=0,N(BV104)+N(IB104)=0),"",ROUNDUP(Запас_БП*(N(HY104)+N(HZ104)),0))</f>
        <v/>
      </c>
      <c r="V104" s="119" t="str">
        <f t="shared" si="142"/>
        <v/>
      </c>
      <c r="W104" s="7" t="str">
        <f>IFERROR(IF(OR(B104="",BP104=1,BV104=1,NOT(ISNUMBER(EN104)),N(DT104)=0),"",MAX(0,ROUNDDOWN((c_min*(Uн_лин*1000/SQRT(3))/(HT104*N(DT104))-_xlfn.XLOOKUP(A104,Щиты[Щит],Щиты[Zпетли на шинах, Ом]))*EN104/(2*ρкз_Cu),0))),"")</f>
        <v/>
      </c>
      <c r="Y104" t="str">
        <f>Линии[[#This Row],[_авто утечка]]</f>
        <v/>
      </c>
      <c r="Z104">
        <v>3</v>
      </c>
      <c r="AA104">
        <v>400</v>
      </c>
      <c r="AB104" t="s">
        <v>598</v>
      </c>
      <c r="AC104">
        <v>0.5</v>
      </c>
      <c r="AG104" t="s">
        <v>810</v>
      </c>
      <c r="AI104" t="s">
        <v>580</v>
      </c>
      <c r="AK104" t="str">
        <f>Линии[[#This Row],[_авто модуль]]</f>
        <v/>
      </c>
      <c r="AM104">
        <v>14</v>
      </c>
      <c r="AN104" t="s">
        <v>11</v>
      </c>
      <c r="AO104">
        <v>5</v>
      </c>
      <c r="AQ104">
        <v>20</v>
      </c>
      <c r="AR104">
        <v>22</v>
      </c>
      <c r="AT104">
        <v>1</v>
      </c>
      <c r="BA104" cm="1">
        <f t="array" ref="BA104">ROW()-ROW(Линии[#Headers])</f>
        <v>102</v>
      </c>
      <c r="BC104" s="6" t="str">
        <f t="shared" si="143"/>
        <v>ПВ</v>
      </c>
      <c r="BD104" t="str">
        <f t="shared" si="144"/>
        <v>6</v>
      </c>
      <c r="BE104" t="str">
        <f t="shared" si="145"/>
        <v>6</v>
      </c>
      <c r="BF104" t="str">
        <f t="shared" si="146"/>
        <v/>
      </c>
      <c r="BG104" t="str">
        <f t="shared" si="147"/>
        <v/>
      </c>
      <c r="BH104" t="str">
        <f>IF(X104&lt;&gt;"",X104,IF(AND(B104&lt;&gt;"",B104&lt;&gt;A104,ISNUMBER(_xlfn.XMATCH(B104,Щиты[Щит]))),B104,""))</f>
        <v/>
      </c>
      <c r="BI104" t="str" cm="1">
        <f t="array" ref="BI104">IF(B104="","",IF(BH104&lt;&gt;"","Щит "&amp;BH104,_xlfn.LET(_xlpm.nm,IFERROR(_xlfn.XLOOKUP(BC104,Коды_код,Коды_имя)&amp;"",""),_xlpm.md,IFERROR(N(_xlfn.XLOOKUP(BC104,Коды_код,Коды_режим)),1),_xlpm.ex,IF(Имя_режим="по экспликации",IFERROR(_xlfn.XLOOKUP(BE104&amp;"|"&amp;BG104,Экспликация[Этаж]&amp;"|"&amp;Экспликация[Помещение],Экспликация[Название])&amp;"",""),""),_xlpm.rm,IF(BG104="","",IF(_xlpm.ex&lt;&gt;"",". "&amp;_xlpm.ex&amp;IF(Имя_пом="нет"," ("&amp;BG104&amp;")"," (пом. "&amp;BG104&amp;")"),IF(Имя_пом="нет"," ",", пом. ")&amp;BG104)),IF(_xlpm.nm="","",IF(_xlpm.md=2,_xlpm.nm&amp;" шлейф "&amp;BE104,_xlpm.nm&amp;_xlpm.rm)))))</f>
        <v>Приточно-вытяжная установка шлейф 6</v>
      </c>
      <c r="BJ104" t="str">
        <f t="shared" si="148"/>
        <v>Приточно-вытяжная установка цокольный этаж Пом №001Тб</v>
      </c>
      <c r="BK104">
        <f>IFERROR(_xlfn.XMATCH(A104,Щиты[Щит]),0)</f>
        <v>6</v>
      </c>
      <c r="BL104">
        <f>_xlfn.LET(_xlpm.k,IFERROR(_xlfn.XLOOKUP(A104,Щиты[Щит],Щиты[Мест под вводной узел]),""),IF(_xlpm.k="",Столбцов_на_лист,N(_xlpm.k)))</f>
        <v>12</v>
      </c>
      <c r="BM104">
        <f t="shared" si="149"/>
        <v>14</v>
      </c>
      <c r="BN104" t="str">
        <f t="shared" si="150"/>
        <v>линии</v>
      </c>
      <c r="BO104" s="6">
        <f>IFERROR(N(_xlfn.XLOOKUP(BC104,Коды_код,Коды_квт)),0)</f>
        <v>0</v>
      </c>
      <c r="BP104">
        <f t="shared" si="151"/>
        <v>0</v>
      </c>
      <c r="BQ104" t="str">
        <f>IF(B104="","",IF(BH104&lt;&gt;"",IFERROR(_xlfn.XLOOKUP(BH104,Щиты[Щит],Щиты[Руст, кВт]),0),IF(BP104=1,IF(OR(N(_xlfn.XLOOKUP(A104,Щиты[Щит],Щиты[Вводов],1))&lt;=1,LOWER(TRIM(_xlfn.XLOOKUP(A104,Щиты[Щит],Щиты[АВР],"")&amp;""))="да"),IFERROR(_xlfn.XLOOKUP(A104,Щиты[Щит],Щиты[Руст, кВт]),0),SUMIFS(Линии[_Р для вводов],Линии[Щит],A104,Линии[Источник для режимов],GF104)),IF(BO104&gt;0,ROUND(BO104*MAX(1,N(D104)),3),""))))</f>
        <v/>
      </c>
      <c r="BR104">
        <f t="shared" si="152"/>
        <v>7</v>
      </c>
      <c r="BS104" s="6">
        <f>IF(B104="","",IF(BH104&lt;&gt;"",IFERROR(_xlfn.XLOOKUP(BH104,Щиты[Щит],Щиты[Руст, кВт]),0),N(BR104)))</f>
        <v>7</v>
      </c>
      <c r="BT104" t="str">
        <f>IF(B104="","",IFERROR(IF(VLOOKUP(BC104,Потребители_обозначение,8,FALSE)=0,"",VLOOKUP(BC104,Потребители_обозначение,8,FALSE)),""))</f>
        <v/>
      </c>
      <c r="BU104">
        <f t="shared" si="153"/>
        <v>400</v>
      </c>
      <c r="BV104">
        <f t="shared" si="154"/>
        <v>0</v>
      </c>
      <c r="BW104">
        <f>IF(B104="","",IF(BH104&lt;&gt;"",3,IFERROR(IF(N(VLOOKUP(BC104,Потребители_обозначение,9,FALSE))=0,1,VLOOKUP(BC104,Потребители_обозначение,9,FALSE)),1)))</f>
        <v>1</v>
      </c>
      <c r="BX104">
        <f t="shared" si="155"/>
        <v>3</v>
      </c>
      <c r="BY104" t="str">
        <f>IF(B104="","",_xlfn.LET(_xlpm.bc,IFERROR(IF(VLOOKUP(BC104,Потребители_обозначение,6,FALSE)=0,"",VLOOKUP(BC104,Потребители_обозначение,6,FALSE)&amp;""),""),IF(AND(GA104="да",OR(_xlpm.bc="",_xlpm.bc="мс")),Марка_пож,IF(AND(_xlpm.bc="",BH104&lt;&gt;""),"мс",_xlpm.bc))))</f>
        <v/>
      </c>
      <c r="BZ104" t="str">
        <f t="shared" si="156"/>
        <v>мс</v>
      </c>
      <c r="CA104">
        <f>IF(B104="","",_xlfn.LET(_xlpm.cc,IFERROR(N(VLOOKUP(BC104,Потребители_обозначение,7,FALSE)),0),IF(_xlpm.cc&gt;0,_xlpm.cc,IF(BZ104="","",IF(BV104=1,2,IF(N(BX104)=3,5,3))))))</f>
        <v>5</v>
      </c>
      <c r="CB104">
        <f t="shared" si="157"/>
        <v>5</v>
      </c>
      <c r="CC104">
        <f>IFERROR(N(VLOOKUP(BC104,Потребители_обозначение,10,FALSE)),0)</f>
        <v>0</v>
      </c>
      <c r="CD104">
        <f>IFERROR(VLOOKUP(BC104,Потребители_обозначение,5,FALSE),0)</f>
        <v>1</v>
      </c>
      <c r="CE104" s="6" cm="1">
        <f t="array" ref="CE104">IF(B104="","",IF(BH104&lt;&gt;"",IFERROR(_xlfn.XLOOKUP(BH104,Щиты[Щит],Щиты[cos φ]),0.95),IF(BP104=1,IFERROR(_xlfn.XLOOKUP(A104,Щиты[Щит],Щиты[cos φ]),0.95),IF(ISNUMBER(AD104),AD104,IFERROR(IF(CD104=2,_xlfn.IFS(BX104=3,VLOOKUP(BS104,Справочная_двигатели,8,FALSE),BX104=1,VLOOKUP(BS104,Справочная_двигатели,10,TRUE)),IF(AND(Методика="нормы 2026",FG104="Сил"),0.8,0.95)),0.95)))))</f>
        <v>0.8</v>
      </c>
      <c r="CF104">
        <f t="shared" si="158"/>
        <v>0</v>
      </c>
      <c r="CG104">
        <f t="shared" si="159"/>
        <v>1</v>
      </c>
      <c r="CH104">
        <f t="shared" si="160"/>
        <v>0</v>
      </c>
      <c r="CI104">
        <f>IF(B104="","",IF(BV104=1,IFERROR(BS104/((Uн_лин/SQRT(3))*MAX(0.5,N(CE104))),0),N(O104)))</f>
        <v>12.629537138523064</v>
      </c>
      <c r="CJ104">
        <f t="shared" si="161"/>
        <v>0</v>
      </c>
      <c r="CK104">
        <f t="shared" si="162"/>
        <v>0</v>
      </c>
      <c r="CL104">
        <f t="shared" si="163"/>
        <v>0</v>
      </c>
      <c r="CM104">
        <f t="shared" si="164"/>
        <v>0</v>
      </c>
      <c r="CN104">
        <f t="shared" si="165"/>
        <v>0</v>
      </c>
      <c r="CO104">
        <f>IF(BC104="",0,_xlfn.LET(_xlpm.v,IFERROR(_xlfn.XLOOKUP(B104,Коды_код,Коды_мА),IFERROR(_xlfn.XLOOKUP(BC104,Коды_код,Коды_мА),IFERROR(_xlfn.XLOOKUP(LEFT(BC104,2),Коды_код,Коды_мА),""))),IF(_xlpm.v="да",30,IF(ISNUMBER(_xlpm.v),_xlpm.v,0))))</f>
        <v>0</v>
      </c>
      <c r="CP104" t="str">
        <f t="shared" si="166"/>
        <v/>
      </c>
      <c r="CQ104" t="str">
        <f>_xlfn.LET(_xlpm.k,IFERROR(_xlfn.XLOOKUP(BC104,Коды_код,Коды_утечка)&amp;"",""),IF(_xlpm.k="","дифавтомат",_xlpm.k))</f>
        <v>дифавтомат</v>
      </c>
      <c r="CR104" t="str" cm="1">
        <f t="array" ref="CR104">IF(CG104=0,"",_xlfn.LET(_xlpm.sg,TRIM(_xlfn.TEXTSPLIT(DD104&amp;"",";")),_xlpm.f_,_xlfn._xlws.FILTER(_xlpm.sg,LEFT(_xlpm.sg,3)="УЗО",""),IFERROR(INDEX(_xlpm.f_,1)&amp;"","")))</f>
        <v/>
      </c>
      <c r="CS104" t="str">
        <f t="shared" si="167"/>
        <v/>
      </c>
      <c r="CT104" s="6" t="str" cm="1">
        <f t="array" ref="CT104">IF(CR104="","",_xlfn.LET(_xlpm.tk,_xlfn.TEXTSPLIT(UPPER(CR104)," ",,TRUE),_xlpm.a_,_xlfn._xlws.FILTER(_xlpm.tk,ISNUMBER(--LEFT(_xlpm.tk,1))*((ISNUMBER(SEARCH("А",_xlpm.tk))+ISNUMBER(SEARCH("A",_xlpm.tk)))&gt;0)*NOT(ISNUMBER(SEARCH("МА",_xlpm.tk)))*NOT(ISNUMBER(SEARCH("MA",_xlpm.tk))),""),IFERROR(--SUBSTITUTE(SUBSTITUTE(INDEX(_xlpm.a_,1),"А",""),"A",""),"")))</f>
        <v/>
      </c>
      <c r="CU104" t="str" cm="1">
        <f t="array" ref="CU104">IF(CR104="","",_xlfn.LET(_xlpm.tk,_xlfn.TEXTSPLIT(UPPER(CR104)," ",,TRUE),_xlpm.a_,_xlfn._xlws.FILTER(_xlpm.tk,ISNUMBER(--LEFT(_xlpm.tk,1))*((ISNUMBER(SEARCH("МА",_xlpm.tk))+ISNUMBER(SEARCH("MA",_xlpm.tk)))&gt;0),""),IFERROR(--SUBSTITUTE(SUBSTITUTE(INDEX(_xlpm.a_,1),"МА",""),"MA",""),30)))</f>
        <v/>
      </c>
      <c r="CV104" t="str">
        <f>IF(CS104="","",IFERROR(_xlfn.XLOOKUP(CS104,Линии[_n],Линии[_УЗО, мА]),30))</f>
        <v/>
      </c>
      <c r="CW104">
        <f>IF(CS104="",0,IF(ISNUMBER(SEARCH("4P",IFERROR(_xlfn.XLOOKUP(CS104,Линии[_n],Линии[_УЗО строки])&amp;"",""))),0,1))</f>
        <v>0</v>
      </c>
      <c r="CX104" t="str">
        <f>IF(AND(CS104&lt;&gt;"",CS104=BA104),SUMIFS(Линии[_ток на 230 В],Линии[_блок УЗО],BA104,Линии[Щит],A104),"")</f>
        <v/>
      </c>
      <c r="CY104" t="str">
        <f>IF(AND(CS104&lt;&gt;"",CS104=BA104),SUMIFS(Линии[_ток утечки линии, мА],Линии[_блок УЗО],BA104,Линии[Щит],A104),"")</f>
        <v/>
      </c>
      <c r="CZ104">
        <f t="shared" si="168"/>
        <v>0</v>
      </c>
      <c r="DA104">
        <f t="shared" si="169"/>
        <v>0</v>
      </c>
      <c r="DB104">
        <f>IF(B104="",0,IFERROR(--_xlfn.XLOOKUP(B104,Коды_код,Коды_минавт),IFERROR(--_xlfn.XLOOKUP(BC104,Коды_код,Коды_минавт),IFERROR(--_xlfn.XLOOKUP(LEFT(BC104,2),Коды_код,Коды_минавт),0))))</f>
        <v>0</v>
      </c>
      <c r="DC104" t="str">
        <f>IF(B104="","",IFERROR(_xlfn.XLOOKUP(BC104,Коды_код,Коды_апп)&amp;"",""))</f>
        <v/>
      </c>
      <c r="DD104" t="str">
        <f t="shared" si="170"/>
        <v/>
      </c>
      <c r="DE104" t="str" cm="1">
        <f t="array" ref="DE104">IF(TRIM(DD104&amp;"")="","",IFERROR(TRIM(INDEX(_xlfn.TEXTSPLIT(DD104&amp;";;;",";"),1)),""))</f>
        <v/>
      </c>
      <c r="DF104" t="str" cm="1">
        <f t="array" ref="DF104">IF(TRIM(DD104&amp;"")="","",IFERROR(TRIM(INDEX(_xlfn.TEXTSPLIT(DD104&amp;";;;",";"),2)),""))</f>
        <v/>
      </c>
      <c r="DG104" t="str" cm="1">
        <f t="array" ref="DG104">IF(TRIM(DD104&amp;"")="","",IFERROR(TRIM(INDEX(_xlfn.TEXTSPLIT(DD104&amp;";;;",";"),3)),""))</f>
        <v/>
      </c>
      <c r="DH104">
        <f t="shared" si="171"/>
        <v>0</v>
      </c>
      <c r="DI104" t="str">
        <f>IF(B104="","",_xlfn.LET(_xlpm.t,LOWER(AZ104&amp;""),IF(ISNUMBER(SEARCH("dim",_xlpm.t)),"DIM",IF(ISNUMBER(SEARCH("dali",_xlpm.t)),"DALI",IF(OR(ISNUMBER(SEARCH("relay",_xlpm.t)),ISNUMBER(SEARCH("реле",_xlpm.t))),"Relay",IF(ISNUMBER(SEARCH("кнопк",_xlpm.t)),"",IFERROR(_xlfn.XLOOKUP(BC104,Коды_код,Коды_упр)&amp;"","")))))))</f>
        <v/>
      </c>
      <c r="DJ104" t="str">
        <f t="shared" si="172"/>
        <v/>
      </c>
      <c r="DK104">
        <f>IF(B104="","",_xlfn.LET(_xlpm.ig,IF(N(CX104)&gt;0,N(CX104),N(CI104)+IF(AJ104="вручную",0,N(CJ104))),_xlpm.n0,IFERROR(VLOOKUP(_xlpm.ig,Автомат_номиналы,2,TRUE),0),_xlpm.mn,MAX(DB104,IF(AJ104="вручную",0,N(CM104))),MAX(_xlpm.n0,_xlpm.mn,IF(DH104=1,Мин_автомат_БП,0))))</f>
        <v>16</v>
      </c>
      <c r="DL104">
        <f t="shared" si="173"/>
        <v>3</v>
      </c>
      <c r="DM104" t="str">
        <f t="shared" si="174"/>
        <v>3P</v>
      </c>
      <c r="DN104" t="str">
        <f>_xlfn.LET(_xlpm.cc,UPPER(TRIM(IFERROR(_xlfn.XLOOKUP(BC104,Коды_код,Коды_хар)&amp;"",""))),IF(OR(_xlpm.cc="B",_xlpm.cc="В"),"B",IF(_xlpm.cc="D","D","С")))</f>
        <v>С</v>
      </c>
      <c r="DO104" t="str">
        <f t="shared" si="175"/>
        <v>3P С16А</v>
      </c>
      <c r="DP104">
        <f t="shared" si="176"/>
        <v>16</v>
      </c>
      <c r="DQ104" t="str">
        <f t="shared" si="177"/>
        <v>3P С16А</v>
      </c>
      <c r="DR104" cm="1">
        <f t="array" ref="DR104">IF(DQ104="","",_xlfn.LET(_xlpm.t,SUBSTITUTE(SUBSTITUTE(SUBSTITUTE(UPPER(DQ104),"С","C"),"А","A"),"В","B"),_xlpm.tk,_xlfn.TEXTSPLIT(_xlpm.t," "),_xlpm.f,_xlfn._xlws.FILTER(_xlpm.tk,ISNUMBER(--MID(_xlpm.tk,2,1))*ISNUMBER(SEARCH(LEFT(_xlpm.tk,1)&amp;"#","B#C#D#"))*(LEN(_xlpm.tk)&gt;1),""),_xlpm.x,INDEX(_xlpm.f,1),IFERROR(--SUBSTITUTE(MID(_xlpm.x,2,9),"A",""),IFERROR(--SUBSTITUTE(INDEX(_xlfn._xlws.FILTER(_xlpm.tk,ISNUMBER(--SUBSTITUTE(_xlpm.tk,"A","")),""),1),"A",""),""))))</f>
        <v>16</v>
      </c>
      <c r="DS104" t="str">
        <f t="shared" si="178"/>
        <v>ok</v>
      </c>
      <c r="DT104">
        <f t="shared" si="179"/>
        <v>16</v>
      </c>
      <c r="DU104" t="str">
        <f t="shared" si="180"/>
        <v>3P С16А</v>
      </c>
      <c r="DV104">
        <f t="shared" si="181"/>
        <v>0</v>
      </c>
      <c r="DW104">
        <f t="shared" si="182"/>
        <v>0</v>
      </c>
      <c r="DX104">
        <f t="shared" si="183"/>
        <v>0</v>
      </c>
      <c r="DY104">
        <f t="shared" si="184"/>
        <v>12.629537138523064</v>
      </c>
      <c r="DZ104">
        <f t="shared" si="185"/>
        <v>0.92</v>
      </c>
      <c r="EA104">
        <f>IF(ISNUMBER(AP104),AP104,К_прокл)</f>
        <v>1</v>
      </c>
      <c r="EB104">
        <f t="shared" si="186"/>
        <v>3</v>
      </c>
      <c r="EC104">
        <f>IFERROR(N(VLOOKUP(BZ104,Кабель_обозначение,3,FALSE)),1)</f>
        <v>1</v>
      </c>
      <c r="ED104">
        <f>IFERROR(N(_xlfn.XLOOKUP(A104,Щиты[Щит],Щиты[ΔU до шин, %])),0)</f>
        <v>0.24000000000000002</v>
      </c>
      <c r="EE104" t="str">
        <f>IFERROR(_xlfn.XLOOKUP(A104,Щиты[Щит],Щиты[Zпетли на шинах, Ом]),"")</f>
        <v/>
      </c>
      <c r="EF104">
        <f>IFERROR(N(_xlfn.XLOOKUP(A104,Щиты[Щит],Щиты[ΔU до шин (подбор), %])),0)</f>
        <v>0.36</v>
      </c>
      <c r="EG104" t="str">
        <f>IFERROR(_xlfn.XLOOKUP(A104,Щиты[Щит],Щиты[Zпетли на шинах (подбор), Ом]),"")</f>
        <v/>
      </c>
      <c r="EH104" t="str">
        <f t="shared" si="187"/>
        <v/>
      </c>
      <c r="EI104">
        <f t="shared" si="188"/>
        <v>38</v>
      </c>
      <c r="EJ104">
        <f t="shared" si="189"/>
        <v>1</v>
      </c>
      <c r="EK104">
        <f t="shared" si="190"/>
        <v>0.6</v>
      </c>
      <c r="EL104" s="6">
        <f>IF(B104="","",IF(BV104=1,dU_LED,IF(IFERROR(_xlfn.XLOOKUP(BC104,Коды_код,Коды_уго),"")="Светильник",3,4)+IF(Методика="нормы 2026",MIN(0.5,MAX(0,N(P104)-100)*0.005),0)))</f>
        <v>4</v>
      </c>
      <c r="EM104" cm="1">
        <f t="array" ref="EM104">IF(OR(B104="",BZ104="",EC104&lt;&gt;1),"",_xlfn.LET(_xlpm.sz,Iдоп_S,_xlpm.t_,CHOOSE(EB104,Iдоп_1ж,Iдоп_2ж,Iдоп_3ж)*DZ104*EA104,_xlpm.dcx,BV104=1,_xlpm.inn,IF(_xlpm.dcx,N(O104),N(DT104)),_xlpm.smin,MAX(1.5,CC104),_xlpm.L_,N(P104)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104)/N(BU104)*100,999),IFERROR(N(EJ104)*(_xlpm.rho*_xlpm.L_/_xlpm.sz*N(CE104)+_xlpm.xx*_xlpm.L_*N(EK104)/1000)*N(O104)/((Uн_лин/SQRT(3))*1000)*100,999)),_xlpm.kz,IF(OR(_xlpm.dcx,DW104=1,NOT(ISNUMBER(EG104)),_xlpm.L_=0,_xlpm.inn=0),1,IFERROR(--(c_min*(Uн_лин*1000/SQRT(3))/(EG104+2*ρкз_Cu*_xlpm.L_/_xlpm.sz)&gt;=HT104*_xlpm.inn),0)),_xlpm.ok,IFERROR((_xlpm.sz&gt;=_xlpm.smin)*(_xlpm.t_&gt;=_xlpm.inn)*IF(_xlpm.L_&gt;0,(_xlpm.du_+IF(_xlpm.dcx,0,EF104)&lt;=EL104+0.00001),1)*_xlpm.kz,0),_xlpm.r_,_xlfn._xlws.FILTER(_xlpm.sz,_xlpm.ok,"не подобрано"),INDEX(_xlpm.r_,1)))</f>
        <v>1.5</v>
      </c>
      <c r="EN104">
        <f t="shared" si="191"/>
        <v>2.5</v>
      </c>
      <c r="EO104" cm="1">
        <f t="array" ref="EO104">IF(OR(B104="",BZ104="",EC104&lt;&gt;1),"",_xlfn.LET(_xlpm.sz,Iдоп_S,_xlpm.t_,CHOOSE(EB104,Iдоп_1ж,Iдоп_2ж,Iдоп_3ж)*DZ104*EA104,_xlpm.ok,IFERROR((_xlpm.sz&gt;=MAX(1.5,CC104))*(_xlpm.t_&gt;=N(DT104)),0),_xlpm.r_,_xlfn._xlws.FILTER(_xlpm.sz,_xlpm.ok,""),INDEX(_xlpm.r_,1)))</f>
        <v>1.5</v>
      </c>
      <c r="EP104" s="6" cm="1">
        <f t="array" ref="EP104">IFERROR(ROUNDUP(N(EJ104)*(_xlfn.XLOOKUP(EO104,INDEX(Кабель_сопротивление,0,1),INDEX(Кабель_сопротивление,0,3))*N(P104)/EO104*N(CE104)+_xlfn.XLOOKUP(EO104,INDEX(Кабель_сопротивление,0,1),INDEX(Кабель_сопротивление,0,2))*N(P104)*N(EK104)/1000)*N(O104)/((Uн_лин/SQRT(3))*1000)*100,2),"")</f>
        <v>2.78</v>
      </c>
      <c r="EQ104">
        <f>IFERROR(2*ρкз_Cu*N(P104)/EO104,"")</f>
        <v>1.4728000000000001</v>
      </c>
      <c r="ER104">
        <f>IFERROR(VLOOKUP(EN104,Кабель_сопротивление,3,FALSE),"")</f>
        <v>2.2499999999999999E-2</v>
      </c>
      <c r="ES104">
        <f>IFERROR(VLOOKUP(EN104,Кабель_сопротивление,2,FALSE),"")</f>
        <v>0.1</v>
      </c>
      <c r="ET104">
        <f t="shared" si="192"/>
        <v>22</v>
      </c>
      <c r="EU104">
        <f t="shared" si="193"/>
        <v>0</v>
      </c>
      <c r="EV104">
        <f t="shared" si="194"/>
        <v>3.8509984642784532</v>
      </c>
      <c r="EW104" s="6">
        <f>IFERROR(ROUNDUP(EV104/IF(BV104=1,BU104,(Uн_лин/SQRT(3))*1000)*100,2),"")</f>
        <v>1.67</v>
      </c>
      <c r="EX104" t="str">
        <f>IFERROR(VLOOKUP(BZ104,Кабель_обозначение,2,FALSE),"")</f>
        <v>ВВГнг(А)-LS</v>
      </c>
      <c r="EY104" t="str">
        <f t="shared" si="195"/>
        <v>ВВГнг(А)-LS (5х2,5)</v>
      </c>
      <c r="EZ104" t="str">
        <f t="shared" si="196"/>
        <v>ВВГнг(А)-LS (5х2,5)
L=42-1,67%</v>
      </c>
      <c r="FA104">
        <f>IFERROR(2*ρкз_Cu*P104/EN104,"")</f>
        <v>0.88368000000000002</v>
      </c>
      <c r="FB104">
        <f t="shared" si="197"/>
        <v>0.29400000000000004</v>
      </c>
      <c r="FC104" s="6" t="str">
        <f>IFERROR(IF(OR(B104="",BV104=1,NOT(ISNUMBER(EN104)),N(P104)=0),"",_xlfn.XLOOKUP(A104,Щиты[Щит],Щиты[Zпетли на шинах, Ом])+FA104),"")</f>
        <v/>
      </c>
      <c r="FD104" s="6" t="str">
        <f>IF(ISNUMBER(FC104),c_min*(Uн_лин*1000/SQRT(3))/FC104,"")</f>
        <v/>
      </c>
      <c r="FE104" s="6" t="str">
        <f>IFERROR(IF(OR(B104="",NOT(ISNUMBER(EN104))),"",1.05*(Uн_лин*1000/SQRT(3))/(_xlfn.XLOOKUP(A104,Щиты[Щит],Щиты[Zmax на шинах, Ом])+FB104)/1000),"")</f>
        <v/>
      </c>
      <c r="FF104" s="6" t="str">
        <f>IF(B104="","",IF(ISNUMBER(AC104),"Сил",IF(IFERROR(_xlfn.XLOOKUP(BC104,Коды_код,Коды_группа)&amp;"","")="","Быт",_xlfn.XLOOKUP(BC104,Коды_код,Коды_группа)&amp;"")))</f>
        <v>Сил</v>
      </c>
      <c r="FG104" s="6" t="str">
        <f t="shared" si="198"/>
        <v>Сил</v>
      </c>
      <c r="FH104" s="6">
        <f>IF(FG104="Щит","щит",IF(FG104="","",IF(FG104="Быт",IFERROR(_xlfn.XLOOKUP(A104,Щиты[Щит],Щиты[Кс быт]),1),IF(FG104="Сил",IF(ISNUMBER(AC104),AC104,IF(Методика="нормы 2026",IFERROR(_xlfn.XLOOKUP(A104,Щиты[Щит],Щиты[Кс силовых (табл. 7.5)]),1),1)),IF(OR(FG104="Пост",FG104="Отоп"),1,IF(FG104="ВНГ",0.7,0))))))</f>
        <v>0.5</v>
      </c>
      <c r="FI104">
        <f>IF(FG104="","",IF(AND(BP104=1,TRIM(AE104&amp;"")=""),IF(COUNTIFS(Линии[Щит],A104,Линии[Секция (1/2/3)],"&gt;=2")&gt;0,MIN(3,MAX(1,IFERROR(--BD104,1))),1),IFERROR(MIN(3,MAX(1,INT(--AE104))),1)))</f>
        <v>1</v>
      </c>
      <c r="FJ104">
        <f t="shared" si="199"/>
        <v>7</v>
      </c>
      <c r="FK104">
        <f t="shared" si="200"/>
        <v>0</v>
      </c>
      <c r="FL104">
        <f t="shared" si="201"/>
        <v>3.5</v>
      </c>
      <c r="FM104">
        <f t="shared" si="202"/>
        <v>0</v>
      </c>
      <c r="FN104">
        <f t="shared" si="203"/>
        <v>0</v>
      </c>
      <c r="FO104">
        <f t="shared" si="204"/>
        <v>0</v>
      </c>
      <c r="FP104">
        <f t="shared" si="205"/>
        <v>7</v>
      </c>
      <c r="FQ104">
        <f t="shared" si="206"/>
        <v>7</v>
      </c>
      <c r="FR104">
        <f t="shared" si="207"/>
        <v>5.6000000000000005</v>
      </c>
      <c r="FS104">
        <f>IF(CG104=1,IF(AND(CH104=1,CW104=1),0,IF(AND(CS104&lt;&gt;"",CS104=BA104,CW104=1),SUMIFS(Линии[_Р линии, кВт],Линии[_блок УЗО],BA104,Линии[Щит],A104),N(BS104)+IF(AJ104="вручную",0,N(CK104)))),0)</f>
        <v>7</v>
      </c>
      <c r="FT104" t="str">
        <f t="shared" si="208"/>
        <v/>
      </c>
      <c r="FU104" t="str">
        <f>IF(B104="","",IF(CG104=0,IF(BA104=1,"",FW103),IF(AND(CH104=1,CW104=1,CS104&lt;&gt;""),IFERROR(_xlfn.XLOOKUP(CS104,Линии[_n],Линии[_фаза итог]),"L1"),IF(OR(N(DL104)&gt;=3,N(BX104)&gt;=3),"L1,L2,L3",IFERROR(_xlfn.TEXTBEFORE(_xlfn.TEXTAFTER(_xlfn.XLOOKUP(A104,Щиты[Щит],Щиты[_фазы авто]),";"&amp;BA104&amp;":"),";"),"L1")))))</f>
        <v>L1,L2,L3</v>
      </c>
      <c r="FV104" t="str">
        <f t="shared" si="209"/>
        <v>L1,L2,L3</v>
      </c>
      <c r="FW104" t="str">
        <f t="shared" si="210"/>
        <v>L1,L2,L3</v>
      </c>
      <c r="FX104" cm="1">
        <f t="array" ref="FX104">IFERROR(IF(CD104=2,_xlfn.IFS(BX104=3,VLOOKUP(BS104,Справочная_двигатели,3,FALSE),BX104=1,VLOOKUP(BS104,Справочная_двигатели,5,TRUE)),0),0)</f>
        <v>0</v>
      </c>
      <c r="FY104">
        <f>IFERROR(IF(CD104=3,VLOOKUP(BS104,Справочная_ЛЭД,2,TRUE),0),0)</f>
        <v>0</v>
      </c>
      <c r="FZ104" s="6">
        <f t="shared" si="211"/>
        <v>0</v>
      </c>
      <c r="GA104" t="str">
        <f>IF(B104="","",IF(TRIM(AH104&amp;"")&lt;&gt;"",IF(LOWER(TRIM(AH104&amp;""))="да","да","нет"),IF(IFERROR(_xlfn.XLOOKUP(BC104,Коды_код,Коды_пожарная),"")="да","да","нет")))</f>
        <v>нет</v>
      </c>
      <c r="GB104" t="str">
        <f t="shared" si="212"/>
        <v/>
      </c>
      <c r="GC104" t="str">
        <f t="shared" si="213"/>
        <v>основная</v>
      </c>
      <c r="GD104">
        <f>IF(AND(BP104=1,TRIM(AE104&amp;"")=""),IF(COUNTIFS(Линии[Щит],A104,Линии[Секция (1/2/3)],"&gt;=2")&gt;0,MIN(3,MAX(1,IFERROR(--BD104,1))),1),IFERROR(MIN(3,MAX(1,INT(--AE104))),1))</f>
        <v>1</v>
      </c>
      <c r="GE104" t="str" cm="1">
        <f t="array" ref="GE104">IF(B104="","",_xlfn.LET(_xlpm.t,IFERROR(_xlfn.XLOOKUP(1,(Шины[Шина]=GC104)*(((Шины[Щит]=A104)+(Шины[Щит]=""))&gt;0),Шины[Тип]),"")&amp;"",IF(_xlpm.t&lt;&gt;"",_xlpm.t,IF(ISNUMBER(SEARCH("ИБП",GC104)),"ИБП",IF(ISNUMBER(SEARCH("ДГУ",GC104)),"ДГУ","Ввод "&amp;GD104)))))</f>
        <v>Ввод 1</v>
      </c>
      <c r="GF104" t="str">
        <f t="shared" si="214"/>
        <v>Ввод 1</v>
      </c>
      <c r="GG104" t="str">
        <f>IF(BP104=0,"",IF(TRIM(AG104&amp;"")&lt;&gt;"",TRIM(AG104&amp;""),IF(OR(GE104="ИБП",GE104="ДГУ"),"I особая",_xlfn.XLOOKUP(A104,Щиты[Щит],Щиты[Категория шины «Ввод»],"III"))))</f>
        <v/>
      </c>
      <c r="GH104" t="str">
        <f>IF(A104="","",_xlfn.XLOOKUP(A104,Щиты[Щит],Щиты[Путь],""))</f>
        <v>|ГРЩ-ЖД|ЩОВ-01|</v>
      </c>
      <c r="GI104" t="str">
        <f>IF(B104="","",IF(AI104&lt;&gt;"",AI104,IF(IFERROR(_xlfn.XLOOKUP(BC104,Коды_код,Коды_вид)&amp;"","")="","Прочее",_xlfn.XLOOKUP(BC104,Коды_код,Коды_вид)&amp;"")))</f>
        <v>Вентиляция</v>
      </c>
      <c r="GJ104">
        <f>IF(BM104="","",INT((BM104-1)/Столбцов_на_лист)+1)</f>
        <v>1</v>
      </c>
      <c r="GK104" t="str">
        <f t="shared" si="215"/>
        <v>ВВГнг(А)-LS (5х2,5) L=42-1,67%</v>
      </c>
      <c r="GL104">
        <f t="shared" si="216"/>
        <v>7</v>
      </c>
      <c r="GM104">
        <f t="shared" si="217"/>
        <v>12.629999999999999</v>
      </c>
      <c r="GN104">
        <f t="shared" si="218"/>
        <v>3</v>
      </c>
      <c r="GO104">
        <f t="shared" si="219"/>
        <v>0</v>
      </c>
      <c r="GP104">
        <f t="shared" si="220"/>
        <v>1</v>
      </c>
      <c r="GQ104">
        <f>IF(BM104="","",IF(AND(CG104=1,GP104=1),COUNTIFS(A$3:A104,A104,CG$3:CG104,1,GP$3:GP104,1),IF(OR(OR(BA104=1,A104&lt;&gt;A103),AJ104="вручную",GP104=0),"",IF(BA104=1,"",GR103))))</f>
        <v>2</v>
      </c>
      <c r="GR104">
        <f t="shared" si="221"/>
        <v>2</v>
      </c>
      <c r="GS104">
        <f>IF(B104="","",IFERROR(LOOKUP(INDEX(CHOOSE(EB104,Iдоп_1ж,Iдоп_2ж,Iдоп_3ж),MATCH(EN104,Iдоп_S,0))*DZ104*EA104,{6,10,16,20,25,32,40,50,63,80,100,125,160,200,250,315,400,500,630}),""))</f>
        <v>20</v>
      </c>
      <c r="GT104" t="str">
        <f t="shared" si="222"/>
        <v>QF2</v>
      </c>
      <c r="GU104" t="str">
        <f t="shared" si="223"/>
        <v>QF2</v>
      </c>
      <c r="GV104" t="str">
        <f t="shared" si="224"/>
        <v/>
      </c>
      <c r="GW104">
        <f t="shared" si="225"/>
        <v>0</v>
      </c>
      <c r="GX104" t="str">
        <f>IF(OR(B104="",DJ104=""),"",IFERROR(_xlfn.XLOOKUP(DJ104,Модули_умолч[Управление],Модули_умолч[Модель])&amp;"",""))</f>
        <v/>
      </c>
      <c r="GY104">
        <f>IF(DJ104="",1,IFERROR(MAX(0,N(_xlfn.XLOOKUP(DJ104,Модули_умолч[Управление],Модули_умолч[Каналов на линию]))),1))</f>
        <v>1</v>
      </c>
      <c r="GZ104" t="str">
        <f t="shared" si="226"/>
        <v/>
      </c>
      <c r="HA104" t="str">
        <f t="shared" si="227"/>
        <v/>
      </c>
      <c r="HB104" t="str">
        <f t="shared" si="228"/>
        <v/>
      </c>
      <c r="HC104">
        <f>IF(HB104="",0,IFERROR(N(VLOOKUP(HB104,Модули_спр,3,FALSE)),0))</f>
        <v>0</v>
      </c>
      <c r="HD104" t="str">
        <f t="shared" si="229"/>
        <v/>
      </c>
      <c r="HE104" t="str">
        <f t="shared" si="230"/>
        <v/>
      </c>
      <c r="HF104" t="str">
        <f>IF(OR(HE104="",HE104="-"),"",IFERROR(VLOOKUP(HE104,Модули_спр,2,FALSE),"R"))</f>
        <v/>
      </c>
      <c r="HG104" t="str">
        <f>IF(HF104="","",HF104&amp;"."&amp;COUNTIFS(A$3:A104,A104,HF$3:HF104,HF104))</f>
        <v/>
      </c>
      <c r="HH104" t="str">
        <f t="shared" si="231"/>
        <v/>
      </c>
      <c r="HI104" t="str">
        <f t="shared" si="232"/>
        <v/>
      </c>
      <c r="HJ104" t="str">
        <f t="shared" si="233"/>
        <v/>
      </c>
      <c r="HK104" t="str">
        <f t="shared" si="234"/>
        <v/>
      </c>
      <c r="HL104">
        <f t="shared" si="235"/>
        <v>1</v>
      </c>
      <c r="HM104" t="str">
        <f>IF(HL104=1,"XT"&amp;COUNTIFS(A$3:A104,A104,HL$3:HL104,1),"")</f>
        <v>XT2</v>
      </c>
      <c r="HN104" t="str">
        <f t="shared" si="236"/>
        <v>XT2</v>
      </c>
      <c r="HO104" t="str">
        <f t="shared" si="237"/>
        <v>QF2</v>
      </c>
      <c r="HP104" t="str">
        <f t="shared" si="238"/>
        <v/>
      </c>
      <c r="HQ104" t="str">
        <f t="shared" si="239"/>
        <v>ok</v>
      </c>
      <c r="HR104" t="str">
        <f>IF(OR(HJ104="",HH104=""),"",IF(HJ104+MAX(0,GY104-1)&gt;IFERROR(VLOOKUP(HI104,Модули_спр,3,FALSE),99),"ЛИШНИЙ КАНАЛ",IF(AND(AL104&lt;&gt;"=",GY104&gt;0,COUNTIFS(Линии[_модуль гр.],HH104,Линии[Канал (итог)],HJ104,Линии[Канал],"&lt;&gt;=",Линии[Щит],A104)&gt;1),"ДУБЛЬ КАНАЛА","")))</f>
        <v/>
      </c>
      <c r="HS104" s="6" t="str">
        <f t="shared" si="240"/>
        <v/>
      </c>
      <c r="HT104">
        <f t="shared" si="241"/>
        <v>10</v>
      </c>
      <c r="HU104" t="str">
        <f t="shared" si="242"/>
        <v/>
      </c>
      <c r="HV104">
        <f t="shared" si="243"/>
        <v>5.4718148554092263</v>
      </c>
      <c r="HW104">
        <f t="shared" si="244"/>
        <v>0</v>
      </c>
      <c r="HX104">
        <f t="shared" si="245"/>
        <v>0</v>
      </c>
      <c r="HY104">
        <f t="shared" si="246"/>
        <v>0</v>
      </c>
      <c r="HZ104">
        <f t="shared" si="247"/>
        <v>0</v>
      </c>
      <c r="IA104">
        <f t="shared" si="248"/>
        <v>0</v>
      </c>
      <c r="IB104">
        <f t="shared" si="249"/>
        <v>0</v>
      </c>
      <c r="IC104" t="str">
        <f t="shared" si="250"/>
        <v/>
      </c>
      <c r="ID104" t="str" cm="1">
        <f t="array" ref="ID104">IF(IC104="","",_xlfn.LET(_xlpm.tk,_xlfn.TEXTSPLIT(SUBSTITUTE(SUBSTITUTE(IC104,";"," "),"→"," ")," ",,TRUE),_xlpm.w_,_xlfn._xlws.FILTER(_xlpm.tk,ISNUMBER(--LEFT(_xlpm.tk,1))*((ISNUMBER(SEARCH("W",_xlpm.tk))+ISNUMBER(SEARCH("Вт",_xlpm.tk)))&gt;0),""),IFERROR(--SUBSTITUTE(SUBSTITUTE(UPPER(INDEX(_xlpm.w_,1)),"W",""),"ВТ",""),"")))</f>
        <v/>
      </c>
      <c r="IE104" t="str" cm="1">
        <f t="array" ref="IE104">IF(IC104="","",_xlfn.LET(_xlpm.tk,_xlfn.TEXTSPLIT(SUBSTITUTE(SUBSTITUTE(IC104,";"," "),"→"," ")," ",,TRUE),_xlpm.v_,_xlfn._xlws.FILTER(_xlpm.tk,ISNUMBER(--LEFT(_xlpm.tk,1))*((ISNUMBER(SEARCH("V",_xlpm.tk))+(RIGHT(UPPER(_xlpm.tk))="В"))&gt;0),""),IFERROR(--SUBSTITUTE(SUBSTITUTE(UPPER(INDEX(_xlpm.v_,1)),"V",""),"В",""),"")))</f>
        <v/>
      </c>
      <c r="IF104" s="6" t="str">
        <f>IF(OR(BV104=0,HI104="",HJ104=""),"",IFERROR(N(_xlfn.XLOOKUP(HI104,Каталог!$C$4:$C$500,Каталог!$Q$4:$Q$500)),""))</f>
        <v/>
      </c>
      <c r="IG104" s="6" t="str">
        <f>IF(N(IF104)=0,"",SUMIFS(Линии[Iр, А],Линии[Щит],A104,Линии[_модуль гр.],HH104,Линии[Канал (итог)],HJ104))</f>
        <v/>
      </c>
      <c r="IH104" t="str">
        <f>IF(AND(B104="",HO104=""),"",_xlfn.TEXTJOIN("; ",TRUE,IF(AND(B104&lt;&gt;"",FV104=""),"нет фазы",""),IF(AND(B104&lt;&gt;"",N(GL104)=0,FG104&lt;&gt;"Нет"),"нет мощности",""),IF(AND(HN104&lt;&gt;"",COUNTIFS(Линии[Щит],A104,Линии[Клемма (итог)],HN104)&gt;1),"дубль клеммы "&amp;HN104,""),IF(AND(HQ104&lt;&gt;"",HQ104&lt;&gt;"ok"),HQ104,""),IF(HR104&lt;&gt;"",HR104,""),IF(AND(N(CB104)&gt;=4,N(BX104)=1),CB104&amp;" жил на 1 фазе",""),IF(AND(BC104="R",CG104=1,IF(CS104&lt;&gt;"",N(CV104)&gt;30,OR(N(DA104)=0,N(DA104)&gt;30))),"розетка без дифзащиты до 30 мА",""),IF(AND(CG104=1,N(DA104)&gt;0,ISNUMBER(T104)),IF(T104&gt;N(DA104)/3,"ток утечки "&amp;FIXED(T104,1)&amp;" мА &gt; 1/3 уставки ("&amp;DA104&amp;" мА)",""),""),IF(AND(CH104=1,CS104=""),"«узо»: нет строки с УЗО выше (УЗО 2P 40А 30мА в «Аппаратах»)",""),IF(AND(CS104&lt;&gt;"",CS104=BA104),IF(CT104="","впишите номинал УЗО (УЗО 2P 40А 30мА)",IF(N(CT104)&lt;N(DT104),"УЗО "&amp;CT104&amp;" А &lt; автомата "&amp;DT104&amp;" А перед ним",IF(N(CT104)&lt;N(CX104),"УЗО "&amp;CT104&amp;" А &lt; тока блока "&amp;FIXED(CX104,1)&amp;" А",""))),""),IF(AND(CS104&lt;&gt;"",CS104=BA104,ISNUMBER(CY104)),IF(CY104&gt;N(CV104)/3,"ток утечки блока УЗО "&amp;FIXED(CY104,1)&amp;" мА &gt; 1/3 уставки ("&amp;CV104&amp;" мА)",""),""),IF(AND(CG104=1,N(BV104)+N(IB104)&gt;0,IC104=""),"линии до 50 В без БП: впишите в «Аппараты» (БП 24V 480W)",""),IF(AND(CG104=1,ISNUMBER(ID104),ISNUMBER(U104)),IF(U104&gt;ID104,"БП "&amp;ID104&amp;" Вт &lt; нужно "&amp;U104&amp;" Вт (×"&amp;Запас_БП&amp;")",""),""),IF(AND(CG104=1,ISNUMBER(IE104),N(BV104)=1),IF(IE104&lt;&gt;N(BU104),"БП на "&amp;IE104&amp;" В, линия "&amp;BU104&amp;" В",""),""),IF(AND(N(IF104)&gt;0,N(IG104)&gt;N(IF104)),HH104&amp;" канал "&amp;HJ104&amp;": "&amp;FIXED(IG104,1)&amp;" А &gt; "&amp;IF104&amp;" А",""),IFERROR(IF(AND(ISNUMBER(Q104),Q104&gt;EL104),"потери "&amp;FIXED(Q104,1)&amp;" % &gt; "&amp;EL104&amp;" %",""),""),IFERROR(IF(LEFT(HU104,4)="мало","Iкз мало — отключение &gt; 0,4 с",""),""),IF(AND(B104&lt;&gt;"",BM104=""),"не на схеме",""),IF(AND(CG104=0,B104&lt;&gt;"",FV104&lt;&gt;"",IF(BA104=1,"",FW103)&lt;&gt;"",FV104&lt;&gt;IF(BA104=1,"",FW103)),"фаза не как у автомата группы ("&amp;IF(BA104=1,"",FW103)&amp;")","")))</f>
        <v/>
      </c>
      <c r="II104" s="6" t="str">
        <f>IF(OR(CG104=0,DQ104=""),"",_xlfn.LET(_xlpm.t,IFERROR(_xlfn.XLOOKUP(DQ104,Каталог!$U$4:$U$500,Каталог!$G$4:$G$500),""),_xlpm.k,SEARCH("кА",_xlpm.t),IFERROR(--TRIM(RIGHT(SUBSTITUTE(MID(_xlpm.t,MAX(1,_xlpm.k-4),_xlpm.k-MAX(1,_xlpm.k-4))," ",REPT(" ",9)),5)),"")))</f>
        <v/>
      </c>
      <c r="IJ104" t="str">
        <f>IF(OR(II104="",CG104=0),"",IF(_xlfn.XLOOKUP(A104,Щиты[Щит],Щиты[Iкз max на шинах, кА],"")="","",IF(II104&lt;_xlfn.XLOOKUP(A104,Щиты[Щит],Щиты[Iкз max на шинах, кА]),"Icu "&amp;II104&amp;" кА &lt; Iкз max","ok")))</f>
        <v/>
      </c>
      <c r="IK104" t="str">
        <f t="shared" si="251"/>
        <v/>
      </c>
      <c r="IL104" t="str">
        <f t="shared" si="252"/>
        <v>QF2|XT2</v>
      </c>
      <c r="IM104" t="str">
        <f t="shared" si="253"/>
        <v>QF2|XT2|кабель ВВГнг(А)-LS (5х2,5) → Приточно-вытяжная установка цокольный этаж Пом №001Тб</v>
      </c>
      <c r="IN104" t="str" cm="1">
        <f t="array" ref="IN104">IF(IM104="","",_xlfn.LET(_xlpm.nd,_xlfn.TEXTSPLIT(IM104,"|"),IF(COLUMNS(_xlpm.nd)&gt;1,A104&amp;"¦"&amp;INDEX(_xlpm.nd,1)&amp;"¦"&amp;INDEX(_xlpm.nd,2),"")))</f>
        <v>ЩОВ-01¦QF2¦XT2</v>
      </c>
      <c r="IO104" t="str">
        <f t="shared" si="254"/>
        <v>ПВ.6¦Приточно-вытяжная установка цокольный этаж Пом №001Тб</v>
      </c>
      <c r="IP104" t="str" cm="1">
        <f t="array" ref="IP104">IF(IM104="","",_xlfn.LET(_xlpm.nd,_xlfn.TEXTSPLIT(IM104,"|"),IF(COLUMNS(_xlpm.nd)&gt;2,A104&amp;"¦"&amp;INDEX(_xlpm.nd,2)&amp;"¦"&amp;INDEX(_xlpm.nd,3),"")))</f>
        <v>ЩОВ-01¦XT2¦кабель ВВГнг(А)-LS (5х2,5) → Приточно-вытяжная установка цокольный этаж Пом №001Тб</v>
      </c>
      <c r="IQ104" t="str">
        <f t="shared" si="255"/>
        <v>ПВ.6¦Приточно-вытяжная установка цокольный этаж Пом №001Тб</v>
      </c>
      <c r="IR104" t="str" cm="1">
        <f t="array" ref="IR104">IF(IM104="","",_xlfn.LET(_xlpm.nd,_xlfn.TEXTSPLIT(IM104,"|"),IF(COLUMNS(_xlpm.nd)&gt;3,A104&amp;"¦"&amp;INDEX(_xlpm.nd,3)&amp;"¦"&amp;INDEX(_xlpm.nd,4),"")))</f>
        <v/>
      </c>
      <c r="IS104" t="str">
        <f t="shared" si="256"/>
        <v/>
      </c>
      <c r="IT104" t="str" cm="1">
        <f t="array" ref="IT104">IF(IM104="","",_xlfn.LET(_xlpm.nd,_xlfn.TEXTSPLIT(IM104,"|"),IF(COLUMNS(_xlpm.nd)&gt;4,A104&amp;"¦"&amp;INDEX(_xlpm.nd,4)&amp;"¦"&amp;INDEX(_xlpm.nd,5),"")))</f>
        <v/>
      </c>
      <c r="IU104" t="str">
        <f t="shared" si="257"/>
        <v/>
      </c>
      <c r="IV104" t="str" cm="1">
        <f t="array" ref="IV104">IF(IM104="","",_xlfn.LET(_xlpm.nd,_xlfn.TEXTSPLIT(IM104,"|"),IF(COLUMNS(_xlpm.nd)&gt;5,A104&amp;"¦"&amp;INDEX(_xlpm.nd,5)&amp;"¦"&amp;INDEX(_xlpm.nd,6),"")))</f>
        <v/>
      </c>
      <c r="IW104" t="str">
        <f t="shared" si="258"/>
        <v/>
      </c>
      <c r="IX104" t="str" cm="1">
        <f t="array" ref="IX104">IF(IM104="","",_xlfn.LET(_xlpm.nd,_xlfn.TEXTSPLIT(IM104,"|"),IF(COLUMNS(_xlpm.nd)&gt;6,A104&amp;"¦"&amp;INDEX(_xlpm.nd,6)&amp;"¦"&amp;INDEX(_xlpm.nd,7),"")))</f>
        <v/>
      </c>
      <c r="IY104" t="str">
        <f t="shared" si="259"/>
        <v/>
      </c>
      <c r="IZ104" t="str">
        <f t="shared" si="260"/>
        <v/>
      </c>
      <c r="JA104" t="str">
        <f t="shared" si="261"/>
        <v>QF2 → XT2</v>
      </c>
      <c r="JB104">
        <f t="shared" si="262"/>
        <v>0</v>
      </c>
      <c r="JC104">
        <f t="shared" si="263"/>
        <v>0</v>
      </c>
      <c r="JD104" t="str">
        <f t="shared" si="264"/>
        <v/>
      </c>
      <c r="JE104" t="str">
        <f t="shared" si="265"/>
        <v/>
      </c>
      <c r="JF104" t="str">
        <f t="shared" si="266"/>
        <v/>
      </c>
      <c r="JG104" t="str">
        <f t="shared" si="267"/>
        <v/>
      </c>
      <c r="JH104" t="str">
        <f>IF(B104="","",IFERROR(_xlfn.XLOOKUP(B104,Коды_код,Коды_уго),IFERROR(_xlfn.XLOOKUP(BC104,Коды_код,Коды_уго),IFERROR(_xlfn.XLOOKUP(LEFT(BC104,2),Коды_код,Коды_уго),""))))</f>
        <v>Привод (двигатель)</v>
      </c>
      <c r="JI104" t="str">
        <f>IF(B104="","",IF(OR(JH104="",JH104=0),"BOX",IFERROR(IF(VLOOKUP(JH104,УГО_блоки,3,FALSE)&amp;""&lt;&gt;"",VLOOKUP(JH104,УГО_блоки,3,FALSE),VLOOKUP(JH104,УГО_блоки,2,FALSE)),JH104)))</f>
        <v>MOTOR</v>
      </c>
      <c r="JJ104">
        <f t="shared" si="268"/>
        <v>1</v>
      </c>
      <c r="JK104" t="str">
        <f>IF(DQ104="","",IF(COUNTIF(DQ$3:DQ104,DQ104)=1,MAX(JK$2:JK103)+1,""))</f>
        <v/>
      </c>
      <c r="JL104" t="str">
        <f>IF(DE104="","",IF(COUNTIF(DE$3:DE104,DE104)+COUNTIF(DF$2:DF103,DE104)+COUNTIF(DG$2:DG103,DE104)=1,MAX(JL$2:JN103)+1,""))</f>
        <v/>
      </c>
      <c r="JM104" t="str">
        <f>IF(DF104="","",IF(COUNTIF(DE$3:DE104,DF104)+COUNTIF(DF$3:DF104,DF104)+COUNTIF(DG$2:DG103,DF104)=1,MAX(JL$2:JN103,JL104)+1,""))</f>
        <v/>
      </c>
      <c r="JN104" t="str">
        <f>IF(DG104="","",IF(COUNTIF(DE$3:DE104,DG104)+COUNTIF(DF$3:DF104,DG104)+COUNTIF(DG$3:DG104,DG104)=1,MAX(JL$2:JN103,JL104,JM104)+1,""))</f>
        <v/>
      </c>
      <c r="JO104" t="str">
        <f t="shared" si="269"/>
        <v>5х2,5</v>
      </c>
      <c r="JP104">
        <f>IF(JO104="","",IF(COUNTIF(JO$3:JO104,JO104)=1,MAX(JP$2:JP103)+1,""))</f>
        <v>13</v>
      </c>
      <c r="JQ104" t="str">
        <f>IF(HG104="","",COUNTIF(HG$3:HG104,"?*"))</f>
        <v/>
      </c>
      <c r="JR104" t="str">
        <f>IF(OR(HG104="",HI104=""),"",IF(COUNTIFS(HG$3:HG104,"?*",HI$3:HI104,HI104)=1,MAX(JR$2:JR103)+1,""))</f>
        <v/>
      </c>
      <c r="JS104">
        <f t="shared" si="270"/>
        <v>0</v>
      </c>
      <c r="JT104">
        <f>IF(B104="","",COUNTIF(B$3:B104,"?*"))</f>
        <v>102</v>
      </c>
      <c r="JU104">
        <f>IF(HL104&lt;&gt;1,0,_xlfn.LET(_xlpm.k,MAX(IFERROR(--_xlfn.XLOOKUP(B104,Коды_код,Коды_3L),0),IFERROR(--_xlfn.XLOOKUP(BC104,Коды_код,Коды_3L),0),IFERROR(--_xlfn.XLOOKUP(LEFT(BC104,2),Коды_код,Коды_3L),0)),IF(_xlpm.k&gt;0,_xlpm.k,IF(IFERROR(--LEFT(SUBSTITUTE(JO104,"x","х"),FIND("х",SUBSTITUTE(JO104,"x","х"))-1),3)&gt;3,Каталог!$S$9,1))))</f>
        <v>1</v>
      </c>
      <c r="JV104">
        <f t="shared" si="271"/>
        <v>2</v>
      </c>
      <c r="JW104" t="str">
        <f t="shared" si="272"/>
        <v>авто</v>
      </c>
      <c r="JX104" t="str">
        <f t="shared" si="273"/>
        <v/>
      </c>
      <c r="JY104">
        <f t="shared" si="274"/>
        <v>0</v>
      </c>
      <c r="JZ104">
        <f t="shared" si="275"/>
        <v>1</v>
      </c>
    </row>
    <row r="105" spans="1:286" x14ac:dyDescent="0.3">
      <c r="A105" t="s">
        <v>745</v>
      </c>
      <c r="B105" t="s">
        <v>1416</v>
      </c>
      <c r="C105" t="s">
        <v>1669</v>
      </c>
      <c r="D105">
        <v>1</v>
      </c>
      <c r="E105">
        <v>0.78</v>
      </c>
      <c r="G105">
        <v>10</v>
      </c>
      <c r="H105" t="str">
        <f>Линии[[#This Row],[_авто управление]]</f>
        <v/>
      </c>
      <c r="I105" t="str">
        <f>Линии[[#This Row],[_авто аппараты]]</f>
        <v/>
      </c>
      <c r="J105">
        <v>1.5</v>
      </c>
      <c r="K105">
        <v>40</v>
      </c>
      <c r="L105">
        <v>2</v>
      </c>
      <c r="M105" t="str">
        <f>Линии[[#This Row],[_авто клемма]]</f>
        <v>XT3</v>
      </c>
      <c r="N105" t="str">
        <f t="shared" si="138"/>
        <v/>
      </c>
      <c r="O105" s="6" cm="1">
        <f t="array" ref="O105">IF(B105="","",IF(BH105&lt;&gt;"",IFERROR(_xlfn.XLOOKUP(BH105,Щиты[Щит],Щиты[Iр, А]),""),IF(BP105=1,IF(OR(N(_xlfn.XLOOKUP(A105,Щиты[Щит],Щиты[Вводов],1))&lt;=1,LOWER(TRIM(_xlfn.XLOOKUP(A105,Щиты[Щит],Щиты[АВР],"")&amp;""))="да"),IFERROR(_xlfn.XLOOKUP(A105,Щиты[Щит],Щиты[Iр, А]),""),IFERROR(N(BS105)*_xlfn.XLOOKUP(A105,Щиты[Щит],Щиты[Кс итог])/(SQRT(3)*Uн_лин*_xlfn.XLOOKUP(A105,Щиты[Щит],Щиты[cos φ])),"")),IF(BV105=1,IFERROR(BS105*1000/BU105,""),IFERROR(_xlfn.IFS(BX105=1,BS105/((Uн_лин/SQRT(3))*CE105),BX105=3,BS105/(SQRT(3)*Uн_лин*CE105)),"")))))</f>
        <v>4.2218738434491376</v>
      </c>
      <c r="P105" s="7">
        <f>IF(B105="","",IFERROR(IF(VLOOKUP(BC105,Потребители_обозначение,4,FALSE)=1,VLOOKUP(BC105,Потребители_обозначение,3,FALSE)*(MAX(1,N(D105))*2-1)+EI105+VLOOKUP(BE105,Этаж_обозначение,3,FALSE)+VLOOKUP(BE105,Этаж_обозначение,4,FALSE),VLOOKUP(BC105,Потребители_обозначение,3,FALSE)*(MAX(1,N(D105))*2-1)+EI105),EI105))</f>
        <v>44</v>
      </c>
      <c r="Q105" s="6">
        <f t="shared" si="139"/>
        <v>2.19</v>
      </c>
      <c r="R105" t="str">
        <f t="shared" si="140"/>
        <v>ВВГнг(А)-LS (3х1,5)</v>
      </c>
      <c r="S105" t="str">
        <f>IF(BM105="","",IF(BN105="вводной узел","узел ","")&amp;"л."&amp;(INT((BM105-1)/Столбцов_на_лист)+1)&amp;" / "&amp;(MOD(BM105-1,Столбцов_на_лист)+1))</f>
        <v>л.1 / 15</v>
      </c>
      <c r="T105" s="119">
        <f t="shared" si="141"/>
        <v>2.1</v>
      </c>
      <c r="U105" s="7" t="str">
        <f>IF(OR(CG105=0,N(BV105)+N(IB105)=0),"",ROUNDUP(Запас_БП*(N(HY105)+N(HZ105)),0))</f>
        <v/>
      </c>
      <c r="V105" s="119" t="str">
        <f t="shared" si="142"/>
        <v/>
      </c>
      <c r="W105" s="7" t="str">
        <f>IFERROR(IF(OR(B105="",BP105=1,BV105=1,NOT(ISNUMBER(EN105)),N(DT105)=0),"",MAX(0,ROUNDDOWN((c_min*(Uн_лин*1000/SQRT(3))/(HT105*N(DT105))-_xlfn.XLOOKUP(A105,Щиты[Щит],Щиты[Zпетли на шинах, Ом]))*EN105/(2*ρкз_Cu),0))),"")</f>
        <v/>
      </c>
      <c r="Y105" t="str">
        <f>Линии[[#This Row],[_авто утечка]]</f>
        <v/>
      </c>
      <c r="Z105">
        <v>1</v>
      </c>
      <c r="AA105">
        <v>230</v>
      </c>
      <c r="AB105" t="s">
        <v>598</v>
      </c>
      <c r="AC105">
        <v>0.5</v>
      </c>
      <c r="AG105" t="s">
        <v>810</v>
      </c>
      <c r="AI105" t="s">
        <v>580</v>
      </c>
      <c r="AK105" t="str">
        <f>Линии[[#This Row],[_авто модуль]]</f>
        <v/>
      </c>
      <c r="AM105">
        <v>15</v>
      </c>
      <c r="AN105" t="s">
        <v>11</v>
      </c>
      <c r="AO105">
        <v>3</v>
      </c>
      <c r="AQ105">
        <v>20</v>
      </c>
      <c r="AR105">
        <v>24</v>
      </c>
      <c r="AT105">
        <v>1</v>
      </c>
      <c r="BA105" cm="1">
        <f t="array" ref="BA105">ROW()-ROW(Линии[#Headers])</f>
        <v>103</v>
      </c>
      <c r="BC105" s="6" t="str">
        <f t="shared" si="143"/>
        <v>ПВ</v>
      </c>
      <c r="BD105" t="str">
        <f t="shared" si="144"/>
        <v>9</v>
      </c>
      <c r="BE105" t="str">
        <f t="shared" si="145"/>
        <v>9</v>
      </c>
      <c r="BF105" t="str">
        <f t="shared" si="146"/>
        <v/>
      </c>
      <c r="BG105" t="str">
        <f t="shared" si="147"/>
        <v/>
      </c>
      <c r="BH105" t="str">
        <f>IF(X105&lt;&gt;"",X105,IF(AND(B105&lt;&gt;"",B105&lt;&gt;A105,ISNUMBER(_xlfn.XMATCH(B105,Щиты[Щит]))),B105,""))</f>
        <v/>
      </c>
      <c r="BI105" t="str" cm="1">
        <f t="array" ref="BI105">IF(B105="","",IF(BH105&lt;&gt;"","Щит "&amp;BH105,_xlfn.LET(_xlpm.nm,IFERROR(_xlfn.XLOOKUP(BC105,Коды_код,Коды_имя)&amp;"",""),_xlpm.md,IFERROR(N(_xlfn.XLOOKUP(BC105,Коды_код,Коды_режим)),1),_xlpm.ex,IF(Имя_режим="по экспликации",IFERROR(_xlfn.XLOOKUP(BE105&amp;"|"&amp;BG105,Экспликация[Этаж]&amp;"|"&amp;Экспликация[Помещение],Экспликация[Название])&amp;"",""),""),_xlpm.rm,IF(BG105="","",IF(_xlpm.ex&lt;&gt;"",". "&amp;_xlpm.ex&amp;IF(Имя_пом="нет"," ("&amp;BG105&amp;")"," (пом. "&amp;BG105&amp;")"),IF(Имя_пом="нет"," ",", пом. ")&amp;BG105)),IF(_xlpm.nm="","",IF(_xlpm.md=2,_xlpm.nm&amp;" шлейф "&amp;BE105,_xlpm.nm&amp;_xlpm.rm)))))</f>
        <v>Приточно-вытяжная установка шлейф 9</v>
      </c>
      <c r="BJ105" t="str">
        <f t="shared" si="148"/>
        <v>Приточно-вытяжная установка цокольный этаж Пом №001Тб</v>
      </c>
      <c r="BK105">
        <f>IFERROR(_xlfn.XMATCH(A105,Щиты[Щит]),0)</f>
        <v>6</v>
      </c>
      <c r="BL105">
        <f>_xlfn.LET(_xlpm.k,IFERROR(_xlfn.XLOOKUP(A105,Щиты[Щит],Щиты[Мест под вводной узел]),""),IF(_xlpm.k="",Столбцов_на_лист,N(_xlpm.k)))</f>
        <v>12</v>
      </c>
      <c r="BM105">
        <f t="shared" si="149"/>
        <v>15</v>
      </c>
      <c r="BN105" t="str">
        <f t="shared" si="150"/>
        <v>линии</v>
      </c>
      <c r="BO105" s="6">
        <f>IFERROR(N(_xlfn.XLOOKUP(BC105,Коды_код,Коды_квт)),0)</f>
        <v>0</v>
      </c>
      <c r="BP105">
        <f t="shared" si="151"/>
        <v>0</v>
      </c>
      <c r="BQ105" t="str">
        <f>IF(B105="","",IF(BH105&lt;&gt;"",IFERROR(_xlfn.XLOOKUP(BH105,Щиты[Щит],Щиты[Руст, кВт]),0),IF(BP105=1,IF(OR(N(_xlfn.XLOOKUP(A105,Щиты[Щит],Щиты[Вводов],1))&lt;=1,LOWER(TRIM(_xlfn.XLOOKUP(A105,Щиты[Щит],Щиты[АВР],"")&amp;""))="да"),IFERROR(_xlfn.XLOOKUP(A105,Щиты[Щит],Щиты[Руст, кВт]),0),SUMIFS(Линии[_Р для вводов],Линии[Щит],A105,Линии[Источник для режимов],GF105)),IF(BO105&gt;0,ROUND(BO105*MAX(1,N(D105)),3),""))))</f>
        <v/>
      </c>
      <c r="BR105">
        <f t="shared" si="152"/>
        <v>0.78</v>
      </c>
      <c r="BS105" s="6">
        <f>IF(B105="","",IF(BH105&lt;&gt;"",IFERROR(_xlfn.XLOOKUP(BH105,Щиты[Щит],Щиты[Руст, кВт]),0),N(BR105)))</f>
        <v>0.78</v>
      </c>
      <c r="BT105" t="str">
        <f>IF(B105="","",IFERROR(IF(VLOOKUP(BC105,Потребители_обозначение,8,FALSE)=0,"",VLOOKUP(BC105,Потребители_обозначение,8,FALSE)),""))</f>
        <v/>
      </c>
      <c r="BU105">
        <f t="shared" si="153"/>
        <v>230</v>
      </c>
      <c r="BV105">
        <f t="shared" si="154"/>
        <v>0</v>
      </c>
      <c r="BW105">
        <f>IF(B105="","",IF(BH105&lt;&gt;"",3,IFERROR(IF(N(VLOOKUP(BC105,Потребители_обозначение,9,FALSE))=0,1,VLOOKUP(BC105,Потребители_обозначение,9,FALSE)),1)))</f>
        <v>1</v>
      </c>
      <c r="BX105">
        <f t="shared" si="155"/>
        <v>1</v>
      </c>
      <c r="BY105" t="str">
        <f>IF(B105="","",_xlfn.LET(_xlpm.bc,IFERROR(IF(VLOOKUP(BC105,Потребители_обозначение,6,FALSE)=0,"",VLOOKUP(BC105,Потребители_обозначение,6,FALSE)&amp;""),""),IF(AND(GA105="да",OR(_xlpm.bc="",_xlpm.bc="мс")),Марка_пож,IF(AND(_xlpm.bc="",BH105&lt;&gt;""),"мс",_xlpm.bc))))</f>
        <v/>
      </c>
      <c r="BZ105" t="str">
        <f t="shared" si="156"/>
        <v>мс</v>
      </c>
      <c r="CA105">
        <f>IF(B105="","",_xlfn.LET(_xlpm.cc,IFERROR(N(VLOOKUP(BC105,Потребители_обозначение,7,FALSE)),0),IF(_xlpm.cc&gt;0,_xlpm.cc,IF(BZ105="","",IF(BV105=1,2,IF(N(BX105)=3,5,3))))))</f>
        <v>3</v>
      </c>
      <c r="CB105">
        <f t="shared" si="157"/>
        <v>3</v>
      </c>
      <c r="CC105">
        <f>IFERROR(N(VLOOKUP(BC105,Потребители_обозначение,10,FALSE)),0)</f>
        <v>0</v>
      </c>
      <c r="CD105">
        <f>IFERROR(VLOOKUP(BC105,Потребители_обозначение,5,FALSE),0)</f>
        <v>1</v>
      </c>
      <c r="CE105" s="6" cm="1">
        <f t="array" ref="CE105">IF(B105="","",IF(BH105&lt;&gt;"",IFERROR(_xlfn.XLOOKUP(BH105,Щиты[Щит],Щиты[cos φ]),0.95),IF(BP105=1,IFERROR(_xlfn.XLOOKUP(A105,Щиты[Щит],Щиты[cos φ]),0.95),IF(ISNUMBER(AD105),AD105,IFERROR(IF(CD105=2,_xlfn.IFS(BX105=3,VLOOKUP(BS105,Справочная_двигатели,8,FALSE),BX105=1,VLOOKUP(BS105,Справочная_двигатели,10,TRUE)),IF(AND(Методика="нормы 2026",FG105="Сил"),0.8,0.95)),0.95)))))</f>
        <v>0.8</v>
      </c>
      <c r="CF105">
        <f t="shared" si="158"/>
        <v>0</v>
      </c>
      <c r="CG105">
        <f t="shared" si="159"/>
        <v>1</v>
      </c>
      <c r="CH105">
        <f t="shared" si="160"/>
        <v>0</v>
      </c>
      <c r="CI105">
        <f>IF(B105="","",IF(BV105=1,IFERROR(BS105/((Uн_лин/SQRT(3))*MAX(0.5,N(CE105))),0),N(O105)))</f>
        <v>4.2218738434491376</v>
      </c>
      <c r="CJ105">
        <f t="shared" si="161"/>
        <v>0</v>
      </c>
      <c r="CK105">
        <f t="shared" si="162"/>
        <v>0</v>
      </c>
      <c r="CL105">
        <f t="shared" si="163"/>
        <v>0</v>
      </c>
      <c r="CM105">
        <f t="shared" si="164"/>
        <v>0</v>
      </c>
      <c r="CN105">
        <f t="shared" si="165"/>
        <v>0</v>
      </c>
      <c r="CO105">
        <f>IF(BC105="",0,_xlfn.LET(_xlpm.v,IFERROR(_xlfn.XLOOKUP(B105,Коды_код,Коды_мА),IFERROR(_xlfn.XLOOKUP(BC105,Коды_код,Коды_мА),IFERROR(_xlfn.XLOOKUP(LEFT(BC105,2),Коды_код,Коды_мА),""))),IF(_xlpm.v="да",30,IF(ISNUMBER(_xlpm.v),_xlpm.v,0))))</f>
        <v>0</v>
      </c>
      <c r="CP105" t="str">
        <f t="shared" si="166"/>
        <v/>
      </c>
      <c r="CQ105" t="str">
        <f>_xlfn.LET(_xlpm.k,IFERROR(_xlfn.XLOOKUP(BC105,Коды_код,Коды_утечка)&amp;"",""),IF(_xlpm.k="","дифавтомат",_xlpm.k))</f>
        <v>дифавтомат</v>
      </c>
      <c r="CR105" t="str" cm="1">
        <f t="array" ref="CR105">IF(CG105=0,"",_xlfn.LET(_xlpm.sg,TRIM(_xlfn.TEXTSPLIT(DD105&amp;"",";")),_xlpm.f_,_xlfn._xlws.FILTER(_xlpm.sg,LEFT(_xlpm.sg,3)="УЗО",""),IFERROR(INDEX(_xlpm.f_,1)&amp;"","")))</f>
        <v/>
      </c>
      <c r="CS105" t="str">
        <f t="shared" si="167"/>
        <v/>
      </c>
      <c r="CT105" s="6" t="str" cm="1">
        <f t="array" ref="CT105">IF(CR105="","",_xlfn.LET(_xlpm.tk,_xlfn.TEXTSPLIT(UPPER(CR105)," ",,TRUE),_xlpm.a_,_xlfn._xlws.FILTER(_xlpm.tk,ISNUMBER(--LEFT(_xlpm.tk,1))*((ISNUMBER(SEARCH("А",_xlpm.tk))+ISNUMBER(SEARCH("A",_xlpm.tk)))&gt;0)*NOT(ISNUMBER(SEARCH("МА",_xlpm.tk)))*NOT(ISNUMBER(SEARCH("MA",_xlpm.tk))),""),IFERROR(--SUBSTITUTE(SUBSTITUTE(INDEX(_xlpm.a_,1),"А",""),"A",""),"")))</f>
        <v/>
      </c>
      <c r="CU105" t="str" cm="1">
        <f t="array" ref="CU105">IF(CR105="","",_xlfn.LET(_xlpm.tk,_xlfn.TEXTSPLIT(UPPER(CR105)," ",,TRUE),_xlpm.a_,_xlfn._xlws.FILTER(_xlpm.tk,ISNUMBER(--LEFT(_xlpm.tk,1))*((ISNUMBER(SEARCH("МА",_xlpm.tk))+ISNUMBER(SEARCH("MA",_xlpm.tk)))&gt;0),""),IFERROR(--SUBSTITUTE(SUBSTITUTE(INDEX(_xlpm.a_,1),"МА",""),"MA",""),30)))</f>
        <v/>
      </c>
      <c r="CV105" t="str">
        <f>IF(CS105="","",IFERROR(_xlfn.XLOOKUP(CS105,Линии[_n],Линии[_УЗО, мА]),30))</f>
        <v/>
      </c>
      <c r="CW105">
        <f>IF(CS105="",0,IF(ISNUMBER(SEARCH("4P",IFERROR(_xlfn.XLOOKUP(CS105,Линии[_n],Линии[_УЗО строки])&amp;"",""))),0,1))</f>
        <v>0</v>
      </c>
      <c r="CX105" t="str">
        <f>IF(AND(CS105&lt;&gt;"",CS105=BA105),SUMIFS(Линии[_ток на 230 В],Линии[_блок УЗО],BA105,Линии[Щит],A105),"")</f>
        <v/>
      </c>
      <c r="CY105" t="str">
        <f>IF(AND(CS105&lt;&gt;"",CS105=BA105),SUMIFS(Линии[_ток утечки линии, мА],Линии[_блок УЗО],BA105,Линии[Щит],A105),"")</f>
        <v/>
      </c>
      <c r="CZ105">
        <f t="shared" si="168"/>
        <v>0</v>
      </c>
      <c r="DA105">
        <f t="shared" si="169"/>
        <v>0</v>
      </c>
      <c r="DB105">
        <f>IF(B105="",0,IFERROR(--_xlfn.XLOOKUP(B105,Коды_код,Коды_минавт),IFERROR(--_xlfn.XLOOKUP(BC105,Коды_код,Коды_минавт),IFERROR(--_xlfn.XLOOKUP(LEFT(BC105,2),Коды_код,Коды_минавт),0))))</f>
        <v>0</v>
      </c>
      <c r="DC105" t="str">
        <f>IF(B105="","",IFERROR(_xlfn.XLOOKUP(BC105,Коды_код,Коды_апп)&amp;"",""))</f>
        <v/>
      </c>
      <c r="DD105" t="str">
        <f t="shared" si="170"/>
        <v/>
      </c>
      <c r="DE105" t="str" cm="1">
        <f t="array" ref="DE105">IF(TRIM(DD105&amp;"")="","",IFERROR(TRIM(INDEX(_xlfn.TEXTSPLIT(DD105&amp;";;;",";"),1)),""))</f>
        <v/>
      </c>
      <c r="DF105" t="str" cm="1">
        <f t="array" ref="DF105">IF(TRIM(DD105&amp;"")="","",IFERROR(TRIM(INDEX(_xlfn.TEXTSPLIT(DD105&amp;";;;",";"),2)),""))</f>
        <v/>
      </c>
      <c r="DG105" t="str" cm="1">
        <f t="array" ref="DG105">IF(TRIM(DD105&amp;"")="","",IFERROR(TRIM(INDEX(_xlfn.TEXTSPLIT(DD105&amp;";;;",";"),3)),""))</f>
        <v/>
      </c>
      <c r="DH105">
        <f t="shared" si="171"/>
        <v>0</v>
      </c>
      <c r="DI105" t="str">
        <f>IF(B105="","",_xlfn.LET(_xlpm.t,LOWER(AZ105&amp;""),IF(ISNUMBER(SEARCH("dim",_xlpm.t)),"DIM",IF(ISNUMBER(SEARCH("dali",_xlpm.t)),"DALI",IF(OR(ISNUMBER(SEARCH("relay",_xlpm.t)),ISNUMBER(SEARCH("реле",_xlpm.t))),"Relay",IF(ISNUMBER(SEARCH("кнопк",_xlpm.t)),"",IFERROR(_xlfn.XLOOKUP(BC105,Коды_код,Коды_упр)&amp;"","")))))))</f>
        <v/>
      </c>
      <c r="DJ105" t="str">
        <f t="shared" si="172"/>
        <v/>
      </c>
      <c r="DK105">
        <f>IF(B105="","",_xlfn.LET(_xlpm.ig,IF(N(CX105)&gt;0,N(CX105),N(CI105)+IF(AJ105="вручную",0,N(CJ105))),_xlpm.n0,IFERROR(VLOOKUP(_xlpm.ig,Автомат_номиналы,2,TRUE),0),_xlpm.mn,MAX(DB105,IF(AJ105="вручную",0,N(CM105))),MAX(_xlpm.n0,_xlpm.mn,IF(DH105=1,Мин_автомат_БП,0))))</f>
        <v>6</v>
      </c>
      <c r="DL105">
        <f t="shared" si="173"/>
        <v>1</v>
      </c>
      <c r="DM105" t="str">
        <f t="shared" si="174"/>
        <v>1P</v>
      </c>
      <c r="DN105" t="str">
        <f>_xlfn.LET(_xlpm.cc,UPPER(TRIM(IFERROR(_xlfn.XLOOKUP(BC105,Коды_код,Коды_хар)&amp;"",""))),IF(OR(_xlpm.cc="B",_xlpm.cc="В"),"B",IF(_xlpm.cc="D","D","С")))</f>
        <v>С</v>
      </c>
      <c r="DO105" t="str">
        <f t="shared" si="175"/>
        <v>1P С6А</v>
      </c>
      <c r="DP105">
        <f t="shared" si="176"/>
        <v>10</v>
      </c>
      <c r="DQ105" t="str">
        <f t="shared" si="177"/>
        <v>1P С10А</v>
      </c>
      <c r="DR105" cm="1">
        <f t="array" ref="DR105">IF(DQ105="","",_xlfn.LET(_xlpm.t,SUBSTITUTE(SUBSTITUTE(SUBSTITUTE(UPPER(DQ105),"С","C"),"А","A"),"В","B"),_xlpm.tk,_xlfn.TEXTSPLIT(_xlpm.t," "),_xlpm.f,_xlfn._xlws.FILTER(_xlpm.tk,ISNUMBER(--MID(_xlpm.tk,2,1))*ISNUMBER(SEARCH(LEFT(_xlpm.tk,1)&amp;"#","B#C#D#"))*(LEN(_xlpm.tk)&gt;1),""),_xlpm.x,INDEX(_xlpm.f,1),IFERROR(--SUBSTITUTE(MID(_xlpm.x,2,9),"A",""),IFERROR(--SUBSTITUTE(INDEX(_xlfn._xlws.FILTER(_xlpm.tk,ISNUMBER(--SUBSTITUTE(_xlpm.tk,"A","")),""),1),"A",""),""))))</f>
        <v>10</v>
      </c>
      <c r="DS105" t="str">
        <f t="shared" si="178"/>
        <v>ok</v>
      </c>
      <c r="DT105">
        <f t="shared" si="179"/>
        <v>10</v>
      </c>
      <c r="DU105" t="str">
        <f t="shared" si="180"/>
        <v>1P С10А</v>
      </c>
      <c r="DV105">
        <f t="shared" si="181"/>
        <v>0</v>
      </c>
      <c r="DW105">
        <f t="shared" si="182"/>
        <v>0</v>
      </c>
      <c r="DX105">
        <f t="shared" si="183"/>
        <v>0</v>
      </c>
      <c r="DY105">
        <f t="shared" si="184"/>
        <v>4.2218738434491376</v>
      </c>
      <c r="DZ105">
        <f t="shared" si="185"/>
        <v>1</v>
      </c>
      <c r="EA105">
        <f>IF(ISNUMBER(AP105),AP105,К_прокл)</f>
        <v>1</v>
      </c>
      <c r="EB105">
        <f t="shared" si="186"/>
        <v>2</v>
      </c>
      <c r="EC105">
        <f>IFERROR(N(VLOOKUP(BZ105,Кабель_обозначение,3,FALSE)),1)</f>
        <v>1</v>
      </c>
      <c r="ED105">
        <f>IFERROR(N(_xlfn.XLOOKUP(A105,Щиты[Щит],Щиты[ΔU до шин, %])),0)</f>
        <v>0.24000000000000002</v>
      </c>
      <c r="EE105" t="str">
        <f>IFERROR(_xlfn.XLOOKUP(A105,Щиты[Щит],Щиты[Zпетли на шинах, Ом]),"")</f>
        <v/>
      </c>
      <c r="EF105">
        <f>IFERROR(N(_xlfn.XLOOKUP(A105,Щиты[Щит],Щиты[ΔU до шин (подбор), %])),0)</f>
        <v>0.36</v>
      </c>
      <c r="EG105" t="str">
        <f>IFERROR(_xlfn.XLOOKUP(A105,Щиты[Щит],Щиты[Zпетли на шинах (подбор), Ом]),"")</f>
        <v/>
      </c>
      <c r="EH105" t="str">
        <f t="shared" si="187"/>
        <v/>
      </c>
      <c r="EI105">
        <f t="shared" si="188"/>
        <v>40</v>
      </c>
      <c r="EJ105">
        <f t="shared" si="189"/>
        <v>2</v>
      </c>
      <c r="EK105">
        <f t="shared" si="190"/>
        <v>0.6</v>
      </c>
      <c r="EL105" s="6">
        <f>IF(B105="","",IF(BV105=1,dU_LED,IF(IFERROR(_xlfn.XLOOKUP(BC105,Коды_код,Коды_уго),"")="Светильник",3,4)+IF(Методика="нормы 2026",MIN(0.5,MAX(0,N(P105)-100)*0.005),0)))</f>
        <v>4</v>
      </c>
      <c r="EM105" cm="1">
        <f t="array" ref="EM105">IF(OR(B105="",BZ105="",EC105&lt;&gt;1),"",_xlfn.LET(_xlpm.sz,Iдоп_S,_xlpm.t_,CHOOSE(EB105,Iдоп_1ж,Iдоп_2ж,Iдоп_3ж)*DZ105*EA105,_xlpm.dcx,BV105=1,_xlpm.inn,IF(_xlpm.dcx,N(O105),N(DT105)),_xlpm.smin,MAX(1.5,CC105),_xlpm.L_,N(P105)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105)/N(BU105)*100,999),IFERROR(N(EJ105)*(_xlpm.rho*_xlpm.L_/_xlpm.sz*N(CE105)+_xlpm.xx*_xlpm.L_*N(EK105)/1000)*N(O105)/((Uн_лин/SQRT(3))*1000)*100,999)),_xlpm.kz,IF(OR(_xlpm.dcx,DW105=1,NOT(ISNUMBER(EG105)),_xlpm.L_=0,_xlpm.inn=0),1,IFERROR(--(c_min*(Uн_лин*1000/SQRT(3))/(EG105+2*ρкз_Cu*_xlpm.L_/_xlpm.sz)&gt;=HT105*_xlpm.inn),0)),_xlpm.ok,IFERROR((_xlpm.sz&gt;=_xlpm.smin)*(_xlpm.t_&gt;=_xlpm.inn)*IF(_xlpm.L_&gt;0,(_xlpm.du_+IF(_xlpm.dcx,0,EF105)&lt;=EL105+0.00001),1)*_xlpm.kz,0),_xlpm.r_,_xlfn._xlws.FILTER(_xlpm.sz,_xlpm.ok,"не подобрано"),INDEX(_xlpm.r_,1)))</f>
        <v>1.5</v>
      </c>
      <c r="EN105">
        <f t="shared" si="191"/>
        <v>1.5</v>
      </c>
      <c r="EO105" cm="1">
        <f t="array" ref="EO105">IF(OR(B105="",BZ105="",EC105&lt;&gt;1),"",_xlfn.LET(_xlpm.sz,Iдоп_S,_xlpm.t_,CHOOSE(EB105,Iдоп_1ж,Iдоп_2ж,Iдоп_3ж)*DZ105*EA105,_xlpm.ok,IFERROR((_xlpm.sz&gt;=MAX(1.5,CC105))*(_xlpm.t_&gt;=N(DT105)),0),_xlpm.r_,_xlfn._xlws.FILTER(_xlpm.sz,_xlpm.ok,""),INDEX(_xlpm.r_,1)))</f>
        <v>1.5</v>
      </c>
      <c r="EP105" s="6" cm="1">
        <f t="array" ref="EP105">IFERROR(ROUNDUP(N(EJ105)*(_xlfn.XLOOKUP(EO105,INDEX(Кабель_сопротивление,0,1),INDEX(Кабель_сопротивление,0,3))*N(P105)/EO105*N(CE105)+_xlfn.XLOOKUP(EO105,INDEX(Кабель_сопротивление,0,1),INDEX(Кабель_сопротивление,0,2))*N(P105)*N(EK105)/1000)*N(O105)/((Uн_лин/SQRT(3))*1000)*100,2),"")</f>
        <v>1.95</v>
      </c>
      <c r="EQ105">
        <f>IFERROR(2*ρкз_Cu*N(P105)/EO105,"")</f>
        <v>1.5429333333333333</v>
      </c>
      <c r="ER105">
        <f>IFERROR(VLOOKUP(EN105,Кабель_сопротивление,3,FALSE),"")</f>
        <v>2.2499999999999999E-2</v>
      </c>
      <c r="ES105">
        <f>IFERROR(VLOOKUP(EN105,Кабель_сопротивление,2,FALSE),"")</f>
        <v>0.11</v>
      </c>
      <c r="ET105">
        <f t="shared" si="192"/>
        <v>24</v>
      </c>
      <c r="EU105">
        <f t="shared" si="193"/>
        <v>0</v>
      </c>
      <c r="EV105">
        <f t="shared" si="194"/>
        <v>4.4828194219650426</v>
      </c>
      <c r="EW105" s="6">
        <f>IFERROR(ROUNDUP(EV105/IF(BV105=1,BU105,(Uн_лин/SQRT(3))*1000)*100,2),"")</f>
        <v>1.95</v>
      </c>
      <c r="EX105" t="str">
        <f>IFERROR(VLOOKUP(BZ105,Кабель_обозначение,2,FALSE),"")</f>
        <v>ВВГнг(А)-LS</v>
      </c>
      <c r="EY105" t="str">
        <f t="shared" si="195"/>
        <v>ВВГнг(А)-LS (3х1,5)</v>
      </c>
      <c r="EZ105" t="str">
        <f t="shared" si="196"/>
        <v>ВВГнг(А)-LS (3х1,5)
L=44-1,95%</v>
      </c>
      <c r="FA105">
        <f>IFERROR(2*ρкз_Cu*P105/EN105,"")</f>
        <v>1.5429333333333333</v>
      </c>
      <c r="FB105">
        <f t="shared" si="197"/>
        <v>0.51333333333333331</v>
      </c>
      <c r="FC105" s="6" t="str">
        <f>IFERROR(IF(OR(B105="",BV105=1,NOT(ISNUMBER(EN105)),N(P105)=0),"",_xlfn.XLOOKUP(A105,Щиты[Щит],Щиты[Zпетли на шинах, Ом])+FA105),"")</f>
        <v/>
      </c>
      <c r="FD105" s="6" t="str">
        <f>IF(ISNUMBER(FC105),c_min*(Uн_лин*1000/SQRT(3))/FC105,"")</f>
        <v/>
      </c>
      <c r="FE105" s="6" t="str">
        <f>IFERROR(IF(OR(B105="",NOT(ISNUMBER(EN105))),"",1.05*(Uн_лин*1000/SQRT(3))/(_xlfn.XLOOKUP(A105,Щиты[Щит],Щиты[Zmax на шинах, Ом])+FB105)/1000),"")</f>
        <v/>
      </c>
      <c r="FF105" s="6" t="str">
        <f>IF(B105="","",IF(ISNUMBER(AC105),"Сил",IF(IFERROR(_xlfn.XLOOKUP(BC105,Коды_код,Коды_группа)&amp;"","")="","Быт",_xlfn.XLOOKUP(BC105,Коды_код,Коды_группа)&amp;"")))</f>
        <v>Сил</v>
      </c>
      <c r="FG105" s="6" t="str">
        <f t="shared" si="198"/>
        <v>Сил</v>
      </c>
      <c r="FH105" s="6">
        <f>IF(FG105="Щит","щит",IF(FG105="","",IF(FG105="Быт",IFERROR(_xlfn.XLOOKUP(A105,Щиты[Щит],Щиты[Кс быт]),1),IF(FG105="Сил",IF(ISNUMBER(AC105),AC105,IF(Методика="нормы 2026",IFERROR(_xlfn.XLOOKUP(A105,Щиты[Щит],Щиты[Кс силовых (табл. 7.5)]),1),1)),IF(OR(FG105="Пост",FG105="Отоп"),1,IF(FG105="ВНГ",0.7,0))))))</f>
        <v>0.5</v>
      </c>
      <c r="FI105">
        <f>IF(FG105="","",IF(AND(BP105=1,TRIM(AE105&amp;"")=""),IF(COUNTIFS(Линии[Щит],A105,Линии[Секция (1/2/3)],"&gt;=2")&gt;0,MIN(3,MAX(1,IFERROR(--BD105,1))),1),IFERROR(MIN(3,MAX(1,INT(--AE105))),1)))</f>
        <v>1</v>
      </c>
      <c r="FJ105">
        <f t="shared" si="199"/>
        <v>0.78</v>
      </c>
      <c r="FK105">
        <f t="shared" si="200"/>
        <v>0</v>
      </c>
      <c r="FL105">
        <f t="shared" si="201"/>
        <v>0.39</v>
      </c>
      <c r="FM105">
        <f t="shared" si="202"/>
        <v>0</v>
      </c>
      <c r="FN105">
        <f t="shared" si="203"/>
        <v>0</v>
      </c>
      <c r="FO105">
        <f t="shared" si="204"/>
        <v>0</v>
      </c>
      <c r="FP105">
        <f t="shared" si="205"/>
        <v>0.78</v>
      </c>
      <c r="FQ105">
        <f t="shared" si="206"/>
        <v>0.78</v>
      </c>
      <c r="FR105">
        <f t="shared" si="207"/>
        <v>0.62400000000000011</v>
      </c>
      <c r="FS105">
        <f>IF(CG105=1,IF(AND(CH105=1,CW105=1),0,IF(AND(CS105&lt;&gt;"",CS105=BA105,CW105=1),SUMIFS(Линии[_Р линии, кВт],Линии[_блок УЗО],BA105,Линии[Щит],A105),N(BS105)+IF(AJ105="вручную",0,N(CK105)))),0)</f>
        <v>0.78</v>
      </c>
      <c r="FT105" t="str">
        <f t="shared" si="208"/>
        <v>L2</v>
      </c>
      <c r="FU105" t="str">
        <f>IF(B105="","",IF(CG105=0,IF(BA105=1,"",FW104),IF(AND(CH105=1,CW105=1,CS105&lt;&gt;""),IFERROR(_xlfn.XLOOKUP(CS105,Линии[_n],Линии[_фаза итог]),"L1"),IF(OR(N(DL105)&gt;=3,N(BX105)&gt;=3),"L1,L2,L3",IFERROR(_xlfn.TEXTBEFORE(_xlfn.TEXTAFTER(_xlfn.XLOOKUP(A105,Щиты[Щит],Щиты[_фазы авто]),";"&amp;BA105&amp;":"),";"),"L1")))))</f>
        <v>L1</v>
      </c>
      <c r="FV105" t="str">
        <f t="shared" si="209"/>
        <v>L2</v>
      </c>
      <c r="FW105" t="str">
        <f t="shared" si="210"/>
        <v>L2</v>
      </c>
      <c r="FX105" cm="1">
        <f t="array" ref="FX105">IFERROR(IF(CD105=2,_xlfn.IFS(BX105=3,VLOOKUP(BS105,Справочная_двигатели,3,FALSE),BX105=1,VLOOKUP(BS105,Справочная_двигатели,5,TRUE)),0),0)</f>
        <v>0</v>
      </c>
      <c r="FY105">
        <f>IFERROR(IF(CD105=3,VLOOKUP(BS105,Справочная_ЛЭД,2,TRUE),0),0)</f>
        <v>0</v>
      </c>
      <c r="FZ105" s="6">
        <f t="shared" si="211"/>
        <v>0</v>
      </c>
      <c r="GA105" t="str">
        <f>IF(B105="","",IF(TRIM(AH105&amp;"")&lt;&gt;"",IF(LOWER(TRIM(AH105&amp;""))="да","да","нет"),IF(IFERROR(_xlfn.XLOOKUP(BC105,Коды_код,Коды_пожарная),"")="да","да","нет")))</f>
        <v>нет</v>
      </c>
      <c r="GB105" t="str">
        <f t="shared" si="212"/>
        <v/>
      </c>
      <c r="GC105" t="str">
        <f t="shared" si="213"/>
        <v>основная</v>
      </c>
      <c r="GD105">
        <f>IF(AND(BP105=1,TRIM(AE105&amp;"")=""),IF(COUNTIFS(Линии[Щит],A105,Линии[Секция (1/2/3)],"&gt;=2")&gt;0,MIN(3,MAX(1,IFERROR(--BD105,1))),1),IFERROR(MIN(3,MAX(1,INT(--AE105))),1))</f>
        <v>1</v>
      </c>
      <c r="GE105" t="str" cm="1">
        <f t="array" ref="GE105">IF(B105="","",_xlfn.LET(_xlpm.t,IFERROR(_xlfn.XLOOKUP(1,(Шины[Шина]=GC105)*(((Шины[Щит]=A105)+(Шины[Щит]=""))&gt;0),Шины[Тип]),"")&amp;"",IF(_xlpm.t&lt;&gt;"",_xlpm.t,IF(ISNUMBER(SEARCH("ИБП",GC105)),"ИБП",IF(ISNUMBER(SEARCH("ДГУ",GC105)),"ДГУ","Ввод "&amp;GD105)))))</f>
        <v>Ввод 1</v>
      </c>
      <c r="GF105" t="str">
        <f t="shared" si="214"/>
        <v>Ввод 1</v>
      </c>
      <c r="GG105" t="str">
        <f>IF(BP105=0,"",IF(TRIM(AG105&amp;"")&lt;&gt;"",TRIM(AG105&amp;""),IF(OR(GE105="ИБП",GE105="ДГУ"),"I особая",_xlfn.XLOOKUP(A105,Щиты[Щит],Щиты[Категория шины «Ввод»],"III"))))</f>
        <v/>
      </c>
      <c r="GH105" t="str">
        <f>IF(A105="","",_xlfn.XLOOKUP(A105,Щиты[Щит],Щиты[Путь],""))</f>
        <v>|ГРЩ-ЖД|ЩОВ-01|</v>
      </c>
      <c r="GI105" t="str">
        <f>IF(B105="","",IF(AI105&lt;&gt;"",AI105,IF(IFERROR(_xlfn.XLOOKUP(BC105,Коды_код,Коды_вид)&amp;"","")="","Прочее",_xlfn.XLOOKUP(BC105,Коды_код,Коды_вид)&amp;"")))</f>
        <v>Вентиляция</v>
      </c>
      <c r="GJ105">
        <f>IF(BM105="","",INT((BM105-1)/Столбцов_на_лист)+1)</f>
        <v>1</v>
      </c>
      <c r="GK105" t="str">
        <f t="shared" si="215"/>
        <v>ВВГнг(А)-LS (3х1,5) L=44-1,95%</v>
      </c>
      <c r="GL105">
        <f t="shared" si="216"/>
        <v>0.78</v>
      </c>
      <c r="GM105">
        <f t="shared" si="217"/>
        <v>4.2299999999999995</v>
      </c>
      <c r="GN105">
        <f t="shared" si="218"/>
        <v>1</v>
      </c>
      <c r="GO105">
        <f t="shared" si="219"/>
        <v>0</v>
      </c>
      <c r="GP105">
        <f t="shared" si="220"/>
        <v>1</v>
      </c>
      <c r="GQ105">
        <f>IF(BM105="","",IF(AND(CG105=1,GP105=1),COUNTIFS(A$3:A105,A105,CG$3:CG105,1,GP$3:GP105,1),IF(OR(OR(BA105=1,A105&lt;&gt;A104),AJ105="вручную",GP105=0),"",IF(BA105=1,"",GR104))))</f>
        <v>3</v>
      </c>
      <c r="GR105">
        <f t="shared" si="221"/>
        <v>3</v>
      </c>
      <c r="GS105">
        <f>IF(B105="","",IFERROR(LOOKUP(INDEX(CHOOSE(EB105,Iдоп_1ж,Iдоп_2ж,Iдоп_3ж),MATCH(EN105,Iдоп_S,0))*DZ105*EA105,{6,10,16,20,25,32,40,50,63,80,100,125,160,200,250,315,400,500,630}),""))</f>
        <v>16</v>
      </c>
      <c r="GT105" t="str">
        <f t="shared" si="222"/>
        <v>QF3</v>
      </c>
      <c r="GU105" t="str">
        <f t="shared" si="223"/>
        <v>QF3</v>
      </c>
      <c r="GV105" t="str">
        <f t="shared" si="224"/>
        <v/>
      </c>
      <c r="GW105">
        <f t="shared" si="225"/>
        <v>0</v>
      </c>
      <c r="GX105" t="str">
        <f>IF(OR(B105="",DJ105=""),"",IFERROR(_xlfn.XLOOKUP(DJ105,Модули_умолч[Управление],Модули_умолч[Модель])&amp;"",""))</f>
        <v/>
      </c>
      <c r="GY105">
        <f>IF(DJ105="",1,IFERROR(MAX(0,N(_xlfn.XLOOKUP(DJ105,Модули_умолч[Управление],Модули_умолч[Каналов на линию]))),1))</f>
        <v>1</v>
      </c>
      <c r="GZ105" t="str">
        <f t="shared" si="226"/>
        <v/>
      </c>
      <c r="HA105" t="str">
        <f t="shared" si="227"/>
        <v/>
      </c>
      <c r="HB105" t="str">
        <f t="shared" si="228"/>
        <v/>
      </c>
      <c r="HC105">
        <f>IF(HB105="",0,IFERROR(N(VLOOKUP(HB105,Модули_спр,3,FALSE)),0))</f>
        <v>0</v>
      </c>
      <c r="HD105" t="str">
        <f t="shared" si="229"/>
        <v/>
      </c>
      <c r="HE105" t="str">
        <f t="shared" si="230"/>
        <v/>
      </c>
      <c r="HF105" t="str">
        <f>IF(OR(HE105="",HE105="-"),"",IFERROR(VLOOKUP(HE105,Модули_спр,2,FALSE),"R"))</f>
        <v/>
      </c>
      <c r="HG105" t="str">
        <f>IF(HF105="","",HF105&amp;"."&amp;COUNTIFS(A$3:A105,A105,HF$3:HF105,HF105))</f>
        <v/>
      </c>
      <c r="HH105" t="str">
        <f t="shared" si="231"/>
        <v/>
      </c>
      <c r="HI105" t="str">
        <f t="shared" si="232"/>
        <v/>
      </c>
      <c r="HJ105" t="str">
        <f t="shared" si="233"/>
        <v/>
      </c>
      <c r="HK105" t="str">
        <f t="shared" si="234"/>
        <v/>
      </c>
      <c r="HL105">
        <f t="shared" si="235"/>
        <v>1</v>
      </c>
      <c r="HM105" t="str">
        <f>IF(HL105=1,"XT"&amp;COUNTIFS(A$3:A105,A105,HL$3:HL105,1),"")</f>
        <v>XT3</v>
      </c>
      <c r="HN105" t="str">
        <f t="shared" si="236"/>
        <v>XT3</v>
      </c>
      <c r="HO105" t="str">
        <f t="shared" si="237"/>
        <v>QF3</v>
      </c>
      <c r="HP105" t="str">
        <f t="shared" si="238"/>
        <v/>
      </c>
      <c r="HQ105" t="str">
        <f t="shared" si="239"/>
        <v>ok</v>
      </c>
      <c r="HR105" t="str">
        <f>IF(OR(HJ105="",HH105=""),"",IF(HJ105+MAX(0,GY105-1)&gt;IFERROR(VLOOKUP(HI105,Модули_спр,3,FALSE),99),"ЛИШНИЙ КАНАЛ",IF(AND(AL105&lt;&gt;"=",GY105&gt;0,COUNTIFS(Линии[_модуль гр.],HH105,Линии[Канал (итог)],HJ105,Линии[Канал],"&lt;&gt;=",Линии[Щит],A105)&gt;1),"ДУБЛЬ КАНАЛА","")))</f>
        <v/>
      </c>
      <c r="HS105" s="6" t="str">
        <f t="shared" si="240"/>
        <v/>
      </c>
      <c r="HT105">
        <f t="shared" si="241"/>
        <v>10</v>
      </c>
      <c r="HU105" t="str">
        <f t="shared" si="242"/>
        <v/>
      </c>
      <c r="HV105">
        <f t="shared" si="243"/>
        <v>2.128749537379655</v>
      </c>
      <c r="HW105">
        <f t="shared" si="244"/>
        <v>0</v>
      </c>
      <c r="HX105">
        <f t="shared" si="245"/>
        <v>0</v>
      </c>
      <c r="HY105">
        <f t="shared" si="246"/>
        <v>0</v>
      </c>
      <c r="HZ105">
        <f t="shared" si="247"/>
        <v>0</v>
      </c>
      <c r="IA105">
        <f t="shared" si="248"/>
        <v>0</v>
      </c>
      <c r="IB105">
        <f t="shared" si="249"/>
        <v>0</v>
      </c>
      <c r="IC105" t="str">
        <f t="shared" si="250"/>
        <v/>
      </c>
      <c r="ID105" t="str" cm="1">
        <f t="array" ref="ID105">IF(IC105="","",_xlfn.LET(_xlpm.tk,_xlfn.TEXTSPLIT(SUBSTITUTE(SUBSTITUTE(IC105,";"," "),"→"," ")," ",,TRUE),_xlpm.w_,_xlfn._xlws.FILTER(_xlpm.tk,ISNUMBER(--LEFT(_xlpm.tk,1))*((ISNUMBER(SEARCH("W",_xlpm.tk))+ISNUMBER(SEARCH("Вт",_xlpm.tk)))&gt;0),""),IFERROR(--SUBSTITUTE(SUBSTITUTE(UPPER(INDEX(_xlpm.w_,1)),"W",""),"ВТ",""),"")))</f>
        <v/>
      </c>
      <c r="IE105" t="str" cm="1">
        <f t="array" ref="IE105">IF(IC105="","",_xlfn.LET(_xlpm.tk,_xlfn.TEXTSPLIT(SUBSTITUTE(SUBSTITUTE(IC105,";"," "),"→"," ")," ",,TRUE),_xlpm.v_,_xlfn._xlws.FILTER(_xlpm.tk,ISNUMBER(--LEFT(_xlpm.tk,1))*((ISNUMBER(SEARCH("V",_xlpm.tk))+(RIGHT(UPPER(_xlpm.tk))="В"))&gt;0),""),IFERROR(--SUBSTITUTE(SUBSTITUTE(UPPER(INDEX(_xlpm.v_,1)),"V",""),"В",""),"")))</f>
        <v/>
      </c>
      <c r="IF105" s="6" t="str">
        <f>IF(OR(BV105=0,HI105="",HJ105=""),"",IFERROR(N(_xlfn.XLOOKUP(HI105,Каталог!$C$4:$C$500,Каталог!$Q$4:$Q$500)),""))</f>
        <v/>
      </c>
      <c r="IG105" s="6" t="str">
        <f>IF(N(IF105)=0,"",SUMIFS(Линии[Iр, А],Линии[Щит],A105,Линии[_модуль гр.],HH105,Линии[Канал (итог)],HJ105))</f>
        <v/>
      </c>
      <c r="IH105" t="str">
        <f>IF(AND(B105="",HO105=""),"",_xlfn.TEXTJOIN("; ",TRUE,IF(AND(B105&lt;&gt;"",FV105=""),"нет фазы",""),IF(AND(B105&lt;&gt;"",N(GL105)=0,FG105&lt;&gt;"Нет"),"нет мощности",""),IF(AND(HN105&lt;&gt;"",COUNTIFS(Линии[Щит],A105,Линии[Клемма (итог)],HN105)&gt;1),"дубль клеммы "&amp;HN105,""),IF(AND(HQ105&lt;&gt;"",HQ105&lt;&gt;"ok"),HQ105,""),IF(HR105&lt;&gt;"",HR105,""),IF(AND(N(CB105)&gt;=4,N(BX105)=1),CB105&amp;" жил на 1 фазе",""),IF(AND(BC105="R",CG105=1,IF(CS105&lt;&gt;"",N(CV105)&gt;30,OR(N(DA105)=0,N(DA105)&gt;30))),"розетка без дифзащиты до 30 мА",""),IF(AND(CG105=1,N(DA105)&gt;0,ISNUMBER(T105)),IF(T105&gt;N(DA105)/3,"ток утечки "&amp;FIXED(T105,1)&amp;" мА &gt; 1/3 уставки ("&amp;DA105&amp;" мА)",""),""),IF(AND(CH105=1,CS105=""),"«узо»: нет строки с УЗО выше (УЗО 2P 40А 30мА в «Аппаратах»)",""),IF(AND(CS105&lt;&gt;"",CS105=BA105),IF(CT105="","впишите номинал УЗО (УЗО 2P 40А 30мА)",IF(N(CT105)&lt;N(DT105),"УЗО "&amp;CT105&amp;" А &lt; автомата "&amp;DT105&amp;" А перед ним",IF(N(CT105)&lt;N(CX105),"УЗО "&amp;CT105&amp;" А &lt; тока блока "&amp;FIXED(CX105,1)&amp;" А",""))),""),IF(AND(CS105&lt;&gt;"",CS105=BA105,ISNUMBER(CY105)),IF(CY105&gt;N(CV105)/3,"ток утечки блока УЗО "&amp;FIXED(CY105,1)&amp;" мА &gt; 1/3 уставки ("&amp;CV105&amp;" мА)",""),""),IF(AND(CG105=1,N(BV105)+N(IB105)&gt;0,IC105=""),"линии до 50 В без БП: впишите в «Аппараты» (БП 24V 480W)",""),IF(AND(CG105=1,ISNUMBER(ID105),ISNUMBER(U105)),IF(U105&gt;ID105,"БП "&amp;ID105&amp;" Вт &lt; нужно "&amp;U105&amp;" Вт (×"&amp;Запас_БП&amp;")",""),""),IF(AND(CG105=1,ISNUMBER(IE105),N(BV105)=1),IF(IE105&lt;&gt;N(BU105),"БП на "&amp;IE105&amp;" В, линия "&amp;BU105&amp;" В",""),""),IF(AND(N(IF105)&gt;0,N(IG105)&gt;N(IF105)),HH105&amp;" канал "&amp;HJ105&amp;": "&amp;FIXED(IG105,1)&amp;" А &gt; "&amp;IF105&amp;" А",""),IFERROR(IF(AND(ISNUMBER(Q105),Q105&gt;EL105),"потери "&amp;FIXED(Q105,1)&amp;" % &gt; "&amp;EL105&amp;" %",""),""),IFERROR(IF(LEFT(HU105,4)="мало","Iкз мало — отключение &gt; 0,4 с",""),""),IF(AND(B105&lt;&gt;"",BM105=""),"не на схеме",""),IF(AND(CG105=0,B105&lt;&gt;"",FV105&lt;&gt;"",IF(BA105=1,"",FW104)&lt;&gt;"",FV105&lt;&gt;IF(BA105=1,"",FW104)),"фаза не как у автомата группы ("&amp;IF(BA105=1,"",FW104)&amp;")","")))</f>
        <v/>
      </c>
      <c r="II105" s="6">
        <f>IF(OR(CG105=0,DQ105=""),"",_xlfn.LET(_xlpm.t,IFERROR(_xlfn.XLOOKUP(DQ105,Каталог!$U$4:$U$500,Каталог!$G$4:$G$500),""),_xlpm.k,SEARCH("кА",_xlpm.t),IFERROR(--TRIM(RIGHT(SUBSTITUTE(MID(_xlpm.t,MAX(1,_xlpm.k-4),_xlpm.k-MAX(1,_xlpm.k-4))," ",REPT(" ",9)),5)),"")))</f>
        <v>6</v>
      </c>
      <c r="IJ105" t="str">
        <f>IF(OR(II105="",CG105=0),"",IF(_xlfn.XLOOKUP(A105,Щиты[Щит],Щиты[Iкз max на шинах, кА],"")="","",IF(II105&lt;_xlfn.XLOOKUP(A105,Щиты[Щит],Щиты[Iкз max на шинах, кА]),"Icu "&amp;II105&amp;" кА &lt; Iкз max","ok")))</f>
        <v/>
      </c>
      <c r="IK105" t="str">
        <f t="shared" si="251"/>
        <v/>
      </c>
      <c r="IL105" t="str">
        <f t="shared" si="252"/>
        <v>QF3|XT3</v>
      </c>
      <c r="IM105" t="str">
        <f t="shared" si="253"/>
        <v>QF3|XT3|кабель ВВГнг(А)-LS (3х1,5) → Приточно-вытяжная установка цокольный этаж Пом №001Тб</v>
      </c>
      <c r="IN105" t="str" cm="1">
        <f t="array" ref="IN105">IF(IM105="","",_xlfn.LET(_xlpm.nd,_xlfn.TEXTSPLIT(IM105,"|"),IF(COLUMNS(_xlpm.nd)&gt;1,A105&amp;"¦"&amp;INDEX(_xlpm.nd,1)&amp;"¦"&amp;INDEX(_xlpm.nd,2),"")))</f>
        <v>ЩОВ-01¦QF3¦XT3</v>
      </c>
      <c r="IO105" t="str">
        <f t="shared" si="254"/>
        <v>ПВ.9¦Приточно-вытяжная установка цокольный этаж Пом №001Тб</v>
      </c>
      <c r="IP105" t="str" cm="1">
        <f t="array" ref="IP105">IF(IM105="","",_xlfn.LET(_xlpm.nd,_xlfn.TEXTSPLIT(IM105,"|"),IF(COLUMNS(_xlpm.nd)&gt;2,A105&amp;"¦"&amp;INDEX(_xlpm.nd,2)&amp;"¦"&amp;INDEX(_xlpm.nd,3),"")))</f>
        <v>ЩОВ-01¦XT3¦кабель ВВГнг(А)-LS (3х1,5) → Приточно-вытяжная установка цокольный этаж Пом №001Тб</v>
      </c>
      <c r="IQ105" t="str">
        <f t="shared" si="255"/>
        <v>ПВ.9¦Приточно-вытяжная установка цокольный этаж Пом №001Тб</v>
      </c>
      <c r="IR105" t="str" cm="1">
        <f t="array" ref="IR105">IF(IM105="","",_xlfn.LET(_xlpm.nd,_xlfn.TEXTSPLIT(IM105,"|"),IF(COLUMNS(_xlpm.nd)&gt;3,A105&amp;"¦"&amp;INDEX(_xlpm.nd,3)&amp;"¦"&amp;INDEX(_xlpm.nd,4),"")))</f>
        <v/>
      </c>
      <c r="IS105" t="str">
        <f t="shared" si="256"/>
        <v/>
      </c>
      <c r="IT105" t="str" cm="1">
        <f t="array" ref="IT105">IF(IM105="","",_xlfn.LET(_xlpm.nd,_xlfn.TEXTSPLIT(IM105,"|"),IF(COLUMNS(_xlpm.nd)&gt;4,A105&amp;"¦"&amp;INDEX(_xlpm.nd,4)&amp;"¦"&amp;INDEX(_xlpm.nd,5),"")))</f>
        <v/>
      </c>
      <c r="IU105" t="str">
        <f t="shared" si="257"/>
        <v/>
      </c>
      <c r="IV105" t="str" cm="1">
        <f t="array" ref="IV105">IF(IM105="","",_xlfn.LET(_xlpm.nd,_xlfn.TEXTSPLIT(IM105,"|"),IF(COLUMNS(_xlpm.nd)&gt;5,A105&amp;"¦"&amp;INDEX(_xlpm.nd,5)&amp;"¦"&amp;INDEX(_xlpm.nd,6),"")))</f>
        <v/>
      </c>
      <c r="IW105" t="str">
        <f t="shared" si="258"/>
        <v/>
      </c>
      <c r="IX105" t="str" cm="1">
        <f t="array" ref="IX105">IF(IM105="","",_xlfn.LET(_xlpm.nd,_xlfn.TEXTSPLIT(IM105,"|"),IF(COLUMNS(_xlpm.nd)&gt;6,A105&amp;"¦"&amp;INDEX(_xlpm.nd,6)&amp;"¦"&amp;INDEX(_xlpm.nd,7),"")))</f>
        <v/>
      </c>
      <c r="IY105" t="str">
        <f t="shared" si="259"/>
        <v/>
      </c>
      <c r="IZ105" t="str">
        <f t="shared" si="260"/>
        <v/>
      </c>
      <c r="JA105" t="str">
        <f t="shared" si="261"/>
        <v>QF3 → XT3</v>
      </c>
      <c r="JB105">
        <f t="shared" si="262"/>
        <v>0</v>
      </c>
      <c r="JC105">
        <f t="shared" si="263"/>
        <v>0</v>
      </c>
      <c r="JD105" t="str">
        <f t="shared" si="264"/>
        <v/>
      </c>
      <c r="JE105" t="str">
        <f t="shared" si="265"/>
        <v/>
      </c>
      <c r="JF105" t="str">
        <f t="shared" si="266"/>
        <v/>
      </c>
      <c r="JG105" t="str">
        <f t="shared" si="267"/>
        <v/>
      </c>
      <c r="JH105" t="str">
        <f>IF(B105="","",IFERROR(_xlfn.XLOOKUP(B105,Коды_код,Коды_уго),IFERROR(_xlfn.XLOOKUP(BC105,Коды_код,Коды_уго),IFERROR(_xlfn.XLOOKUP(LEFT(BC105,2),Коды_код,Коды_уго),""))))</f>
        <v>Привод (двигатель)</v>
      </c>
      <c r="JI105" t="str">
        <f>IF(B105="","",IF(OR(JH105="",JH105=0),"BOX",IFERROR(IF(VLOOKUP(JH105,УГО_блоки,3,FALSE)&amp;""&lt;&gt;"",VLOOKUP(JH105,УГО_блоки,3,FALSE),VLOOKUP(JH105,УГО_блоки,2,FALSE)),JH105)))</f>
        <v>MOTOR</v>
      </c>
      <c r="JJ105">
        <f t="shared" si="268"/>
        <v>1</v>
      </c>
      <c r="JK105" t="str">
        <f>IF(DQ105="","",IF(COUNTIF(DQ$3:DQ105,DQ105)=1,MAX(JK$2:JK104)+1,""))</f>
        <v/>
      </c>
      <c r="JL105" t="str">
        <f>IF(DE105="","",IF(COUNTIF(DE$3:DE105,DE105)+COUNTIF(DF$2:DF104,DE105)+COUNTIF(DG$2:DG104,DE105)=1,MAX(JL$2:JN104)+1,""))</f>
        <v/>
      </c>
      <c r="JM105" t="str">
        <f>IF(DF105="","",IF(COUNTIF(DE$3:DE105,DF105)+COUNTIF(DF$3:DF105,DF105)+COUNTIF(DG$2:DG104,DF105)=1,MAX(JL$2:JN104,JL105)+1,""))</f>
        <v/>
      </c>
      <c r="JN105" t="str">
        <f>IF(DG105="","",IF(COUNTIF(DE$3:DE105,DG105)+COUNTIF(DF$3:DF105,DG105)+COUNTIF(DG$3:DG105,DG105)=1,MAX(JL$2:JN104,JL105,JM105)+1,""))</f>
        <v/>
      </c>
      <c r="JO105" t="str">
        <f t="shared" si="269"/>
        <v>3х1,5</v>
      </c>
      <c r="JP105" t="str">
        <f>IF(JO105="","",IF(COUNTIF(JO$3:JO105,JO105)=1,MAX(JP$2:JP104)+1,""))</f>
        <v/>
      </c>
      <c r="JQ105" t="str">
        <f>IF(HG105="","",COUNTIF(HG$3:HG105,"?*"))</f>
        <v/>
      </c>
      <c r="JR105" t="str">
        <f>IF(OR(HG105="",HI105=""),"",IF(COUNTIFS(HG$3:HG105,"?*",HI$3:HI105,HI105)=1,MAX(JR$2:JR104)+1,""))</f>
        <v/>
      </c>
      <c r="JS105">
        <f t="shared" si="270"/>
        <v>0</v>
      </c>
      <c r="JT105">
        <f>IF(B105="","",COUNTIF(B$3:B105,"?*"))</f>
        <v>103</v>
      </c>
      <c r="JU105">
        <f>IF(HL105&lt;&gt;1,0,_xlfn.LET(_xlpm.k,MAX(IFERROR(--_xlfn.XLOOKUP(B105,Коды_код,Коды_3L),0),IFERROR(--_xlfn.XLOOKUP(BC105,Коды_код,Коды_3L),0),IFERROR(--_xlfn.XLOOKUP(LEFT(BC105,2),Коды_код,Коды_3L),0)),IF(_xlpm.k&gt;0,_xlpm.k,IF(IFERROR(--LEFT(SUBSTITUTE(JO105,"x","х"),FIND("х",SUBSTITUTE(JO105,"x","х"))-1),3)&gt;3,Каталог!$S$9,1))))</f>
        <v>1</v>
      </c>
      <c r="JV105">
        <f t="shared" si="271"/>
        <v>0</v>
      </c>
      <c r="JW105" t="str">
        <f t="shared" si="272"/>
        <v>авто</v>
      </c>
      <c r="JX105" t="str">
        <f t="shared" si="273"/>
        <v/>
      </c>
      <c r="JY105">
        <f t="shared" si="274"/>
        <v>0</v>
      </c>
      <c r="JZ105">
        <f t="shared" si="275"/>
        <v>1</v>
      </c>
    </row>
    <row r="106" spans="1:286" x14ac:dyDescent="0.3">
      <c r="A106" t="s">
        <v>745</v>
      </c>
      <c r="B106" t="s">
        <v>1417</v>
      </c>
      <c r="C106" t="s">
        <v>1670</v>
      </c>
      <c r="D106">
        <v>1</v>
      </c>
      <c r="E106">
        <v>0.3</v>
      </c>
      <c r="G106">
        <v>10</v>
      </c>
      <c r="H106" t="str">
        <f>Линии[[#This Row],[_авто управление]]</f>
        <v/>
      </c>
      <c r="I106" t="str">
        <f>Линии[[#This Row],[_авто аппараты]]</f>
        <v/>
      </c>
      <c r="J106">
        <v>1.5</v>
      </c>
      <c r="K106">
        <v>38</v>
      </c>
      <c r="L106" t="str">
        <f>Линии[[#This Row],[_авто фаза]]</f>
        <v>L2</v>
      </c>
      <c r="M106" t="str">
        <f>Линии[[#This Row],[_авто клемма]]</f>
        <v>XT4</v>
      </c>
      <c r="N106" t="str">
        <f t="shared" si="138"/>
        <v/>
      </c>
      <c r="O106" s="6" cm="1">
        <f t="array" ref="O106">IF(B106="","",IF(BH106&lt;&gt;"",IFERROR(_xlfn.XLOOKUP(BH106,Щиты[Щит],Щиты[Iр, А]),""),IF(BP106=1,IF(OR(N(_xlfn.XLOOKUP(A106,Щиты[Щит],Щиты[Вводов],1))&lt;=1,LOWER(TRIM(_xlfn.XLOOKUP(A106,Щиты[Щит],Щиты[АВР],"")&amp;""))="да"),IFERROR(_xlfn.XLOOKUP(A106,Щиты[Щит],Щиты[Iр, А]),""),IFERROR(N(BS106)*_xlfn.XLOOKUP(A106,Щиты[Щит],Щиты[Кс итог])/(SQRT(3)*Uн_лин*_xlfn.XLOOKUP(A106,Щиты[Щит],Щиты[cos φ])),"")),IF(BV106=1,IFERROR(BS106*1000/BU106,""),IFERROR(_xlfn.IFS(BX106=1,BS106/((Uн_лин/SQRT(3))*CE106),BX106=3,BS106/(SQRT(3)*Uн_лин*CE106)),"")))))</f>
        <v>1.6237976320958221</v>
      </c>
      <c r="P106" s="7">
        <f>IF(B106="","",IFERROR(IF(VLOOKUP(BC106,Потребители_обозначение,4,FALSE)=1,VLOOKUP(BC106,Потребители_обозначение,3,FALSE)*(MAX(1,N(D106))*2-1)+EI106+VLOOKUP(BE106,Этаж_обозначение,3,FALSE)+VLOOKUP(BE106,Этаж_обозначение,4,FALSE),VLOOKUP(BC106,Потребители_обозначение,3,FALSE)*(MAX(1,N(D106))*2-1)+EI106),EI106))</f>
        <v>42</v>
      </c>
      <c r="Q106" s="6">
        <f t="shared" si="139"/>
        <v>0.96</v>
      </c>
      <c r="R106" t="str">
        <f t="shared" si="140"/>
        <v>ВВГнг(А)-LS (3х1,5)</v>
      </c>
      <c r="S106" t="str">
        <f>IF(BM106="","",IF(BN106="вводной узел","узел ","")&amp;"л."&amp;(INT((BM106-1)/Столбцов_на_лист)+1)&amp;" / "&amp;(MOD(BM106-1,Столбцов_на_лист)+1))</f>
        <v>л.1 / 16</v>
      </c>
      <c r="T106" s="119">
        <f t="shared" si="141"/>
        <v>1.1000000000000001</v>
      </c>
      <c r="U106" s="7" t="str">
        <f>IF(OR(CG106=0,N(BV106)+N(IB106)=0),"",ROUNDUP(Запас_БП*(N(HY106)+N(HZ106)),0))</f>
        <v/>
      </c>
      <c r="V106" s="119" t="str">
        <f t="shared" si="142"/>
        <v/>
      </c>
      <c r="W106" s="7" t="str">
        <f>IFERROR(IF(OR(B106="",BP106=1,BV106=1,NOT(ISNUMBER(EN106)),N(DT106)=0),"",MAX(0,ROUNDDOWN((c_min*(Uн_лин*1000/SQRT(3))/(HT106*N(DT106))-_xlfn.XLOOKUP(A106,Щиты[Щит],Щиты[Zпетли на шинах, Ом]))*EN106/(2*ρкз_Cu),0))),"")</f>
        <v/>
      </c>
      <c r="Y106" t="str">
        <f>Линии[[#This Row],[_авто утечка]]</f>
        <v/>
      </c>
      <c r="Z106">
        <v>1</v>
      </c>
      <c r="AA106">
        <v>230</v>
      </c>
      <c r="AB106" t="s">
        <v>598</v>
      </c>
      <c r="AC106">
        <v>0.5</v>
      </c>
      <c r="AG106" t="s">
        <v>810</v>
      </c>
      <c r="AI106" t="s">
        <v>580</v>
      </c>
      <c r="AK106" t="str">
        <f>Линии[[#This Row],[_авто модуль]]</f>
        <v/>
      </c>
      <c r="AM106">
        <v>16</v>
      </c>
      <c r="AN106" t="s">
        <v>11</v>
      </c>
      <c r="AO106">
        <v>3</v>
      </c>
      <c r="AQ106">
        <v>32</v>
      </c>
      <c r="AR106">
        <v>10</v>
      </c>
      <c r="AT106">
        <v>1</v>
      </c>
      <c r="BA106" cm="1">
        <f t="array" ref="BA106">ROW()-ROW(Линии[#Headers])</f>
        <v>104</v>
      </c>
      <c r="BC106" s="6" t="str">
        <f t="shared" si="143"/>
        <v>В</v>
      </c>
      <c r="BD106" t="str">
        <f t="shared" si="144"/>
        <v>2</v>
      </c>
      <c r="BE106" t="str">
        <f t="shared" si="145"/>
        <v>2</v>
      </c>
      <c r="BF106" t="str">
        <f t="shared" si="146"/>
        <v/>
      </c>
      <c r="BG106" t="str">
        <f t="shared" si="147"/>
        <v/>
      </c>
      <c r="BH106" t="str">
        <f>IF(X106&lt;&gt;"",X106,IF(AND(B106&lt;&gt;"",B106&lt;&gt;A106,ISNUMBER(_xlfn.XMATCH(B106,Щиты[Щит]))),B106,""))</f>
        <v/>
      </c>
      <c r="BI106" t="str" cm="1">
        <f t="array" ref="BI106">IF(B106="","",IF(BH106&lt;&gt;"","Щит "&amp;BH106,_xlfn.LET(_xlpm.nm,IFERROR(_xlfn.XLOOKUP(BC106,Коды_код,Коды_имя)&amp;"",""),_xlpm.md,IFERROR(N(_xlfn.XLOOKUP(BC106,Коды_код,Коды_режим)),1),_xlpm.ex,IF(Имя_режим="по экспликации",IFERROR(_xlfn.XLOOKUP(BE106&amp;"|"&amp;BG106,Экспликация[Этаж]&amp;"|"&amp;Экспликация[Помещение],Экспликация[Название])&amp;"",""),""),_xlpm.rm,IF(BG106="","",IF(_xlpm.ex&lt;&gt;"",". "&amp;_xlpm.ex&amp;IF(Имя_пом="нет"," ("&amp;BG106&amp;")"," (пом. "&amp;BG106&amp;")"),IF(Имя_пом="нет"," ",", пом. ")&amp;BG106)),IF(_xlpm.nm="","",IF(_xlpm.md=2,_xlpm.nm&amp;" шлейф "&amp;BE106,_xlpm.nm&amp;_xlpm.rm)))))</f>
        <v>Вытяжная установка шлейф 2</v>
      </c>
      <c r="BJ106" t="str">
        <f t="shared" si="148"/>
        <v>Вытяжная установка Пом. №003Б</v>
      </c>
      <c r="BK106">
        <f>IFERROR(_xlfn.XMATCH(A106,Щиты[Щит]),0)</f>
        <v>6</v>
      </c>
      <c r="BL106">
        <f>_xlfn.LET(_xlpm.k,IFERROR(_xlfn.XLOOKUP(A106,Щиты[Щит],Щиты[Мест под вводной узел]),""),IF(_xlpm.k="",Столбцов_на_лист,N(_xlpm.k)))</f>
        <v>12</v>
      </c>
      <c r="BM106">
        <f t="shared" si="149"/>
        <v>16</v>
      </c>
      <c r="BN106" t="str">
        <f t="shared" si="150"/>
        <v>линии</v>
      </c>
      <c r="BO106" s="6">
        <f>IFERROR(N(_xlfn.XLOOKUP(BC106,Коды_код,Коды_квт)),0)</f>
        <v>0</v>
      </c>
      <c r="BP106">
        <f t="shared" si="151"/>
        <v>0</v>
      </c>
      <c r="BQ106" t="str">
        <f>IF(B106="","",IF(BH106&lt;&gt;"",IFERROR(_xlfn.XLOOKUP(BH106,Щиты[Щит],Щиты[Руст, кВт]),0),IF(BP106=1,IF(OR(N(_xlfn.XLOOKUP(A106,Щиты[Щит],Щиты[Вводов],1))&lt;=1,LOWER(TRIM(_xlfn.XLOOKUP(A106,Щиты[Щит],Щиты[АВР],"")&amp;""))="да"),IFERROR(_xlfn.XLOOKUP(A106,Щиты[Щит],Щиты[Руст, кВт]),0),SUMIFS(Линии[_Р для вводов],Линии[Щит],A106,Линии[Источник для режимов],GF106)),IF(BO106&gt;0,ROUND(BO106*MAX(1,N(D106)),3),""))))</f>
        <v/>
      </c>
      <c r="BR106">
        <f t="shared" si="152"/>
        <v>0.3</v>
      </c>
      <c r="BS106" s="6">
        <f>IF(B106="","",IF(BH106&lt;&gt;"",IFERROR(_xlfn.XLOOKUP(BH106,Щиты[Щит],Щиты[Руст, кВт]),0),N(BR106)))</f>
        <v>0.3</v>
      </c>
      <c r="BT106" t="str">
        <f>IF(B106="","",IFERROR(IF(VLOOKUP(BC106,Потребители_обозначение,8,FALSE)=0,"",VLOOKUP(BC106,Потребители_обозначение,8,FALSE)),""))</f>
        <v/>
      </c>
      <c r="BU106">
        <f t="shared" si="153"/>
        <v>230</v>
      </c>
      <c r="BV106">
        <f t="shared" si="154"/>
        <v>0</v>
      </c>
      <c r="BW106">
        <f>IF(B106="","",IF(BH106&lt;&gt;"",3,IFERROR(IF(N(VLOOKUP(BC106,Потребители_обозначение,9,FALSE))=0,1,VLOOKUP(BC106,Потребители_обозначение,9,FALSE)),1)))</f>
        <v>1</v>
      </c>
      <c r="BX106">
        <f t="shared" si="155"/>
        <v>1</v>
      </c>
      <c r="BY106" t="str">
        <f>IF(B106="","",_xlfn.LET(_xlpm.bc,IFERROR(IF(VLOOKUP(BC106,Потребители_обозначение,6,FALSE)=0,"",VLOOKUP(BC106,Потребители_обозначение,6,FALSE)&amp;""),""),IF(AND(GA106="да",OR(_xlpm.bc="",_xlpm.bc="мс")),Марка_пож,IF(AND(_xlpm.bc="",BH106&lt;&gt;""),"мс",_xlpm.bc))))</f>
        <v/>
      </c>
      <c r="BZ106" t="str">
        <f t="shared" si="156"/>
        <v>мс</v>
      </c>
      <c r="CA106">
        <f>IF(B106="","",_xlfn.LET(_xlpm.cc,IFERROR(N(VLOOKUP(BC106,Потребители_обозначение,7,FALSE)),0),IF(_xlpm.cc&gt;0,_xlpm.cc,IF(BZ106="","",IF(BV106=1,2,IF(N(BX106)=3,5,3))))))</f>
        <v>3</v>
      </c>
      <c r="CB106">
        <f t="shared" si="157"/>
        <v>3</v>
      </c>
      <c r="CC106">
        <f>IFERROR(N(VLOOKUP(BC106,Потребители_обозначение,10,FALSE)),0)</f>
        <v>0</v>
      </c>
      <c r="CD106">
        <f>IFERROR(VLOOKUP(BC106,Потребители_обозначение,5,FALSE),0)</f>
        <v>1</v>
      </c>
      <c r="CE106" s="6" cm="1">
        <f t="array" ref="CE106">IF(B106="","",IF(BH106&lt;&gt;"",IFERROR(_xlfn.XLOOKUP(BH106,Щиты[Щит],Щиты[cos φ]),0.95),IF(BP106=1,IFERROR(_xlfn.XLOOKUP(A106,Щиты[Щит],Щиты[cos φ]),0.95),IF(ISNUMBER(AD106),AD106,IFERROR(IF(CD106=2,_xlfn.IFS(BX106=3,VLOOKUP(BS106,Справочная_двигатели,8,FALSE),BX106=1,VLOOKUP(BS106,Справочная_двигатели,10,TRUE)),IF(AND(Методика="нормы 2026",FG106="Сил"),0.8,0.95)),0.95)))))</f>
        <v>0.8</v>
      </c>
      <c r="CF106">
        <f t="shared" si="158"/>
        <v>0</v>
      </c>
      <c r="CG106">
        <f t="shared" si="159"/>
        <v>1</v>
      </c>
      <c r="CH106">
        <f t="shared" si="160"/>
        <v>0</v>
      </c>
      <c r="CI106">
        <f>IF(B106="","",IF(BV106=1,IFERROR(BS106/((Uн_лин/SQRT(3))*MAX(0.5,N(CE106))),0),N(O106)))</f>
        <v>1.6237976320958221</v>
      </c>
      <c r="CJ106">
        <f t="shared" si="161"/>
        <v>0</v>
      </c>
      <c r="CK106">
        <f t="shared" si="162"/>
        <v>0</v>
      </c>
      <c r="CL106">
        <f t="shared" si="163"/>
        <v>0</v>
      </c>
      <c r="CM106">
        <f t="shared" si="164"/>
        <v>0</v>
      </c>
      <c r="CN106">
        <f t="shared" si="165"/>
        <v>0</v>
      </c>
      <c r="CO106">
        <f>IF(BC106="",0,_xlfn.LET(_xlpm.v,IFERROR(_xlfn.XLOOKUP(B106,Коды_код,Коды_мА),IFERROR(_xlfn.XLOOKUP(BC106,Коды_код,Коды_мА),IFERROR(_xlfn.XLOOKUP(LEFT(BC106,2),Коды_код,Коды_мА),""))),IF(_xlpm.v="да",30,IF(ISNUMBER(_xlpm.v),_xlpm.v,0))))</f>
        <v>0</v>
      </c>
      <c r="CP106" t="str">
        <f t="shared" si="166"/>
        <v/>
      </c>
      <c r="CQ106" t="str">
        <f>_xlfn.LET(_xlpm.k,IFERROR(_xlfn.XLOOKUP(BC106,Коды_код,Коды_утечка)&amp;"",""),IF(_xlpm.k="","дифавтомат",_xlpm.k))</f>
        <v>дифавтомат</v>
      </c>
      <c r="CR106" t="str" cm="1">
        <f t="array" ref="CR106">IF(CG106=0,"",_xlfn.LET(_xlpm.sg,TRIM(_xlfn.TEXTSPLIT(DD106&amp;"",";")),_xlpm.f_,_xlfn._xlws.FILTER(_xlpm.sg,LEFT(_xlpm.sg,3)="УЗО",""),IFERROR(INDEX(_xlpm.f_,1)&amp;"","")))</f>
        <v/>
      </c>
      <c r="CS106" t="str">
        <f t="shared" si="167"/>
        <v/>
      </c>
      <c r="CT106" s="6" t="str" cm="1">
        <f t="array" ref="CT106">IF(CR106="","",_xlfn.LET(_xlpm.tk,_xlfn.TEXTSPLIT(UPPER(CR106)," ",,TRUE),_xlpm.a_,_xlfn._xlws.FILTER(_xlpm.tk,ISNUMBER(--LEFT(_xlpm.tk,1))*((ISNUMBER(SEARCH("А",_xlpm.tk))+ISNUMBER(SEARCH("A",_xlpm.tk)))&gt;0)*NOT(ISNUMBER(SEARCH("МА",_xlpm.tk)))*NOT(ISNUMBER(SEARCH("MA",_xlpm.tk))),""),IFERROR(--SUBSTITUTE(SUBSTITUTE(INDEX(_xlpm.a_,1),"А",""),"A",""),"")))</f>
        <v/>
      </c>
      <c r="CU106" t="str" cm="1">
        <f t="array" ref="CU106">IF(CR106="","",_xlfn.LET(_xlpm.tk,_xlfn.TEXTSPLIT(UPPER(CR106)," ",,TRUE),_xlpm.a_,_xlfn._xlws.FILTER(_xlpm.tk,ISNUMBER(--LEFT(_xlpm.tk,1))*((ISNUMBER(SEARCH("МА",_xlpm.tk))+ISNUMBER(SEARCH("MA",_xlpm.tk)))&gt;0),""),IFERROR(--SUBSTITUTE(SUBSTITUTE(INDEX(_xlpm.a_,1),"МА",""),"MA",""),30)))</f>
        <v/>
      </c>
      <c r="CV106" t="str">
        <f>IF(CS106="","",IFERROR(_xlfn.XLOOKUP(CS106,Линии[_n],Линии[_УЗО, мА]),30))</f>
        <v/>
      </c>
      <c r="CW106">
        <f>IF(CS106="",0,IF(ISNUMBER(SEARCH("4P",IFERROR(_xlfn.XLOOKUP(CS106,Линии[_n],Линии[_УЗО строки])&amp;"",""))),0,1))</f>
        <v>0</v>
      </c>
      <c r="CX106" t="str">
        <f>IF(AND(CS106&lt;&gt;"",CS106=BA106),SUMIFS(Линии[_ток на 230 В],Линии[_блок УЗО],BA106,Линии[Щит],A106),"")</f>
        <v/>
      </c>
      <c r="CY106" t="str">
        <f>IF(AND(CS106&lt;&gt;"",CS106=BA106),SUMIFS(Линии[_ток утечки линии, мА],Линии[_блок УЗО],BA106,Линии[Щит],A106),"")</f>
        <v/>
      </c>
      <c r="CZ106">
        <f t="shared" si="168"/>
        <v>0</v>
      </c>
      <c r="DA106">
        <f t="shared" si="169"/>
        <v>0</v>
      </c>
      <c r="DB106">
        <f>IF(B106="",0,IFERROR(--_xlfn.XLOOKUP(B106,Коды_код,Коды_минавт),IFERROR(--_xlfn.XLOOKUP(BC106,Коды_код,Коды_минавт),IFERROR(--_xlfn.XLOOKUP(LEFT(BC106,2),Коды_код,Коды_минавт),0))))</f>
        <v>0</v>
      </c>
      <c r="DC106" t="str">
        <f>IF(B106="","",IFERROR(_xlfn.XLOOKUP(BC106,Коды_код,Коды_апп)&amp;"",""))</f>
        <v/>
      </c>
      <c r="DD106" t="str">
        <f t="shared" si="170"/>
        <v/>
      </c>
      <c r="DE106" t="str" cm="1">
        <f t="array" ref="DE106">IF(TRIM(DD106&amp;"")="","",IFERROR(TRIM(INDEX(_xlfn.TEXTSPLIT(DD106&amp;";;;",";"),1)),""))</f>
        <v/>
      </c>
      <c r="DF106" t="str" cm="1">
        <f t="array" ref="DF106">IF(TRIM(DD106&amp;"")="","",IFERROR(TRIM(INDEX(_xlfn.TEXTSPLIT(DD106&amp;";;;",";"),2)),""))</f>
        <v/>
      </c>
      <c r="DG106" t="str" cm="1">
        <f t="array" ref="DG106">IF(TRIM(DD106&amp;"")="","",IFERROR(TRIM(INDEX(_xlfn.TEXTSPLIT(DD106&amp;";;;",";"),3)),""))</f>
        <v/>
      </c>
      <c r="DH106">
        <f t="shared" si="171"/>
        <v>0</v>
      </c>
      <c r="DI106" t="str">
        <f>IF(B106="","",_xlfn.LET(_xlpm.t,LOWER(AZ106&amp;""),IF(ISNUMBER(SEARCH("dim",_xlpm.t)),"DIM",IF(ISNUMBER(SEARCH("dali",_xlpm.t)),"DALI",IF(OR(ISNUMBER(SEARCH("relay",_xlpm.t)),ISNUMBER(SEARCH("реле",_xlpm.t))),"Relay",IF(ISNUMBER(SEARCH("кнопк",_xlpm.t)),"",IFERROR(_xlfn.XLOOKUP(BC106,Коды_код,Коды_упр)&amp;"","")))))))</f>
        <v/>
      </c>
      <c r="DJ106" t="str">
        <f t="shared" si="172"/>
        <v/>
      </c>
      <c r="DK106">
        <f>IF(B106="","",_xlfn.LET(_xlpm.ig,IF(N(CX106)&gt;0,N(CX106),N(CI106)+IF(AJ106="вручную",0,N(CJ106))),_xlpm.n0,IFERROR(VLOOKUP(_xlpm.ig,Автомат_номиналы,2,TRUE),0),_xlpm.mn,MAX(DB106,IF(AJ106="вручную",0,N(CM106))),MAX(_xlpm.n0,_xlpm.mn,IF(DH106=1,Мин_автомат_БП,0))))</f>
        <v>6</v>
      </c>
      <c r="DL106">
        <f t="shared" si="173"/>
        <v>1</v>
      </c>
      <c r="DM106" t="str">
        <f t="shared" si="174"/>
        <v>1P</v>
      </c>
      <c r="DN106" t="str">
        <f>_xlfn.LET(_xlpm.cc,UPPER(TRIM(IFERROR(_xlfn.XLOOKUP(BC106,Коды_код,Коды_хар)&amp;"",""))),IF(OR(_xlpm.cc="B",_xlpm.cc="В"),"B",IF(_xlpm.cc="D","D","С")))</f>
        <v>С</v>
      </c>
      <c r="DO106" t="str">
        <f t="shared" si="175"/>
        <v>1P С6А</v>
      </c>
      <c r="DP106">
        <f t="shared" si="176"/>
        <v>10</v>
      </c>
      <c r="DQ106" t="str">
        <f t="shared" si="177"/>
        <v>1P С10А</v>
      </c>
      <c r="DR106" cm="1">
        <f t="array" ref="DR106">IF(DQ106="","",_xlfn.LET(_xlpm.t,SUBSTITUTE(SUBSTITUTE(SUBSTITUTE(UPPER(DQ106),"С","C"),"А","A"),"В","B"),_xlpm.tk,_xlfn.TEXTSPLIT(_xlpm.t," "),_xlpm.f,_xlfn._xlws.FILTER(_xlpm.tk,ISNUMBER(--MID(_xlpm.tk,2,1))*ISNUMBER(SEARCH(LEFT(_xlpm.tk,1)&amp;"#","B#C#D#"))*(LEN(_xlpm.tk)&gt;1),""),_xlpm.x,INDEX(_xlpm.f,1),IFERROR(--SUBSTITUTE(MID(_xlpm.x,2,9),"A",""),IFERROR(--SUBSTITUTE(INDEX(_xlfn._xlws.FILTER(_xlpm.tk,ISNUMBER(--SUBSTITUTE(_xlpm.tk,"A","")),""),1),"A",""),""))))</f>
        <v>10</v>
      </c>
      <c r="DS106" t="str">
        <f t="shared" si="178"/>
        <v>ok</v>
      </c>
      <c r="DT106">
        <f t="shared" si="179"/>
        <v>10</v>
      </c>
      <c r="DU106" t="str">
        <f t="shared" si="180"/>
        <v>1P С10А</v>
      </c>
      <c r="DV106">
        <f t="shared" si="181"/>
        <v>0</v>
      </c>
      <c r="DW106">
        <f t="shared" si="182"/>
        <v>0</v>
      </c>
      <c r="DX106">
        <f t="shared" si="183"/>
        <v>0</v>
      </c>
      <c r="DY106">
        <f t="shared" si="184"/>
        <v>1.6237976320958221</v>
      </c>
      <c r="DZ106">
        <f t="shared" si="185"/>
        <v>1</v>
      </c>
      <c r="EA106">
        <f>IF(ISNUMBER(AP106),AP106,К_прокл)</f>
        <v>1</v>
      </c>
      <c r="EB106">
        <f t="shared" si="186"/>
        <v>2</v>
      </c>
      <c r="EC106">
        <f>IFERROR(N(VLOOKUP(BZ106,Кабель_обозначение,3,FALSE)),1)</f>
        <v>1</v>
      </c>
      <c r="ED106">
        <f>IFERROR(N(_xlfn.XLOOKUP(A106,Щиты[Щит],Щиты[ΔU до шин, %])),0)</f>
        <v>0.24000000000000002</v>
      </c>
      <c r="EE106" t="str">
        <f>IFERROR(_xlfn.XLOOKUP(A106,Щиты[Щит],Щиты[Zпетли на шинах, Ом]),"")</f>
        <v/>
      </c>
      <c r="EF106">
        <f>IFERROR(N(_xlfn.XLOOKUP(A106,Щиты[Щит],Щиты[ΔU до шин (подбор), %])),0)</f>
        <v>0.36</v>
      </c>
      <c r="EG106" t="str">
        <f>IFERROR(_xlfn.XLOOKUP(A106,Щиты[Щит],Щиты[Zпетли на шинах (подбор), Ом]),"")</f>
        <v/>
      </c>
      <c r="EH106" t="str">
        <f t="shared" si="187"/>
        <v/>
      </c>
      <c r="EI106">
        <f t="shared" si="188"/>
        <v>38</v>
      </c>
      <c r="EJ106">
        <f t="shared" si="189"/>
        <v>2</v>
      </c>
      <c r="EK106">
        <f t="shared" si="190"/>
        <v>0.6</v>
      </c>
      <c r="EL106" s="6">
        <f>IF(B106="","",IF(BV106=1,dU_LED,IF(IFERROR(_xlfn.XLOOKUP(BC106,Коды_код,Коды_уго),"")="Светильник",3,4)+IF(Методика="нормы 2026",MIN(0.5,MAX(0,N(P106)-100)*0.005),0)))</f>
        <v>4</v>
      </c>
      <c r="EM106" cm="1">
        <f t="array" ref="EM106">IF(OR(B106="",BZ106="",EC106&lt;&gt;1),"",_xlfn.LET(_xlpm.sz,Iдоп_S,_xlpm.t_,CHOOSE(EB106,Iдоп_1ж,Iдоп_2ж,Iдоп_3ж)*DZ106*EA106,_xlpm.dcx,BV106=1,_xlpm.inn,IF(_xlpm.dcx,N(O106),N(DT106)),_xlpm.smin,MAX(1.5,CC106),_xlpm.L_,N(P106)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106)/N(BU106)*100,999),IFERROR(N(EJ106)*(_xlpm.rho*_xlpm.L_/_xlpm.sz*N(CE106)+_xlpm.xx*_xlpm.L_*N(EK106)/1000)*N(O106)/((Uн_лин/SQRT(3))*1000)*100,999)),_xlpm.kz,IF(OR(_xlpm.dcx,DW106=1,NOT(ISNUMBER(EG106)),_xlpm.L_=0,_xlpm.inn=0),1,IFERROR(--(c_min*(Uн_лин*1000/SQRT(3))/(EG106+2*ρкз_Cu*_xlpm.L_/_xlpm.sz)&gt;=HT106*_xlpm.inn),0)),_xlpm.ok,IFERROR((_xlpm.sz&gt;=_xlpm.smin)*(_xlpm.t_&gt;=_xlpm.inn)*IF(_xlpm.L_&gt;0,(_xlpm.du_+IF(_xlpm.dcx,0,EF106)&lt;=EL106+0.00001),1)*_xlpm.kz,0),_xlpm.r_,_xlfn._xlws.FILTER(_xlpm.sz,_xlpm.ok,"не подобрано"),INDEX(_xlpm.r_,1)))</f>
        <v>1.5</v>
      </c>
      <c r="EN106">
        <f t="shared" si="191"/>
        <v>1.5</v>
      </c>
      <c r="EO106" cm="1">
        <f t="array" ref="EO106">IF(OR(B106="",BZ106="",EC106&lt;&gt;1),"",_xlfn.LET(_xlpm.sz,Iдоп_S,_xlpm.t_,CHOOSE(EB106,Iдоп_1ж,Iдоп_2ж,Iдоп_3ж)*DZ106*EA106,_xlpm.ok,IFERROR((_xlpm.sz&gt;=MAX(1.5,CC106))*(_xlpm.t_&gt;=N(DT106)),0),_xlpm.r_,_xlfn._xlws.FILTER(_xlpm.sz,_xlpm.ok,""),INDEX(_xlpm.r_,1)))</f>
        <v>1.5</v>
      </c>
      <c r="EP106" s="6" cm="1">
        <f t="array" ref="EP106">IFERROR(ROUNDUP(N(EJ106)*(_xlfn.XLOOKUP(EO106,INDEX(Кабель_сопротивление,0,1),INDEX(Кабель_сопротивление,0,3))*N(P106)/EO106*N(CE106)+_xlfn.XLOOKUP(EO106,INDEX(Кабель_сопротивление,0,1),INDEX(Кабель_сопротивление,0,2))*N(P106)*N(EK106)/1000)*N(O106)/((Uн_лин/SQRT(3))*1000)*100,2),"")</f>
        <v>0.72</v>
      </c>
      <c r="EQ106">
        <f>IFERROR(2*ρкз_Cu*N(P106)/EO106,"")</f>
        <v>1.4728000000000001</v>
      </c>
      <c r="ER106">
        <f>IFERROR(VLOOKUP(EN106,Кабель_сопротивление,3,FALSE),"")</f>
        <v>2.2499999999999999E-2</v>
      </c>
      <c r="ES106">
        <f>IFERROR(VLOOKUP(EN106,Кабель_сопротивление,2,FALSE),"")</f>
        <v>0.11</v>
      </c>
      <c r="ET106">
        <f t="shared" si="192"/>
        <v>10</v>
      </c>
      <c r="EU106">
        <f t="shared" si="193"/>
        <v>0</v>
      </c>
      <c r="EV106">
        <f t="shared" si="194"/>
        <v>1.6457903472249278</v>
      </c>
      <c r="EW106" s="6">
        <f>IFERROR(ROUNDUP(EV106/IF(BV106=1,BU106,(Uн_лин/SQRT(3))*1000)*100,2),"")</f>
        <v>0.72</v>
      </c>
      <c r="EX106" t="str">
        <f>IFERROR(VLOOKUP(BZ106,Кабель_обозначение,2,FALSE),"")</f>
        <v>ВВГнг(А)-LS</v>
      </c>
      <c r="EY106" t="str">
        <f t="shared" si="195"/>
        <v>ВВГнг(А)-LS (3х1,5)</v>
      </c>
      <c r="EZ106" t="str">
        <f t="shared" si="196"/>
        <v>ВВГнг(А)-LS (3х1,5)
L=42-0,72%</v>
      </c>
      <c r="FA106">
        <f>IFERROR(2*ρкз_Cu*P106/EN106,"")</f>
        <v>1.4728000000000001</v>
      </c>
      <c r="FB106">
        <f t="shared" si="197"/>
        <v>0.49000000000000005</v>
      </c>
      <c r="FC106" s="6" t="str">
        <f>IFERROR(IF(OR(B106="",BV106=1,NOT(ISNUMBER(EN106)),N(P106)=0),"",_xlfn.XLOOKUP(A106,Щиты[Щит],Щиты[Zпетли на шинах, Ом])+FA106),"")</f>
        <v/>
      </c>
      <c r="FD106" s="6" t="str">
        <f>IF(ISNUMBER(FC106),c_min*(Uн_лин*1000/SQRT(3))/FC106,"")</f>
        <v/>
      </c>
      <c r="FE106" s="6" t="str">
        <f>IFERROR(IF(OR(B106="",NOT(ISNUMBER(EN106))),"",1.05*(Uн_лин*1000/SQRT(3))/(_xlfn.XLOOKUP(A106,Щиты[Щит],Щиты[Zmax на шинах, Ом])+FB106)/1000),"")</f>
        <v/>
      </c>
      <c r="FF106" s="6" t="str">
        <f>IF(B106="","",IF(ISNUMBER(AC106),"Сил",IF(IFERROR(_xlfn.XLOOKUP(BC106,Коды_код,Коды_группа)&amp;"","")="","Быт",_xlfn.XLOOKUP(BC106,Коды_код,Коды_группа)&amp;"")))</f>
        <v>Сил</v>
      </c>
      <c r="FG106" s="6" t="str">
        <f t="shared" si="198"/>
        <v>Сил</v>
      </c>
      <c r="FH106" s="6">
        <f>IF(FG106="Щит","щит",IF(FG106="","",IF(FG106="Быт",IFERROR(_xlfn.XLOOKUP(A106,Щиты[Щит],Щиты[Кс быт]),1),IF(FG106="Сил",IF(ISNUMBER(AC106),AC106,IF(Методика="нормы 2026",IFERROR(_xlfn.XLOOKUP(A106,Щиты[Щит],Щиты[Кс силовых (табл. 7.5)]),1),1)),IF(OR(FG106="Пост",FG106="Отоп"),1,IF(FG106="ВНГ",0.7,0))))))</f>
        <v>0.5</v>
      </c>
      <c r="FI106">
        <f>IF(FG106="","",IF(AND(BP106=1,TRIM(AE106&amp;"")=""),IF(COUNTIFS(Линии[Щит],A106,Линии[Секция (1/2/3)],"&gt;=2")&gt;0,MIN(3,MAX(1,IFERROR(--BD106,1))),1),IFERROR(MIN(3,MAX(1,INT(--AE106))),1)))</f>
        <v>1</v>
      </c>
      <c r="FJ106">
        <f t="shared" si="199"/>
        <v>0.3</v>
      </c>
      <c r="FK106">
        <f t="shared" si="200"/>
        <v>0</v>
      </c>
      <c r="FL106">
        <f t="shared" si="201"/>
        <v>0.15</v>
      </c>
      <c r="FM106">
        <f t="shared" si="202"/>
        <v>0</v>
      </c>
      <c r="FN106">
        <f t="shared" si="203"/>
        <v>0</v>
      </c>
      <c r="FO106">
        <f t="shared" si="204"/>
        <v>0</v>
      </c>
      <c r="FP106">
        <f t="shared" si="205"/>
        <v>0.3</v>
      </c>
      <c r="FQ106">
        <f t="shared" si="206"/>
        <v>0.3</v>
      </c>
      <c r="FR106">
        <f t="shared" si="207"/>
        <v>0.24</v>
      </c>
      <c r="FS106">
        <f>IF(CG106=1,IF(AND(CH106=1,CW106=1),0,IF(AND(CS106&lt;&gt;"",CS106=BA106,CW106=1),SUMIFS(Линии[_Р линии, кВт],Линии[_блок УЗО],BA106,Линии[Щит],A106),N(BS106)+IF(AJ106="вручную",0,N(CK106)))),0)</f>
        <v>0.3</v>
      </c>
      <c r="FT106" t="str">
        <f t="shared" si="208"/>
        <v/>
      </c>
      <c r="FU106" t="str">
        <f>IF(B106="","",IF(CG106=0,IF(BA106=1,"",FW105),IF(AND(CH106=1,CW106=1,CS106&lt;&gt;""),IFERROR(_xlfn.XLOOKUP(CS106,Линии[_n],Линии[_фаза итог]),"L1"),IF(OR(N(DL106)&gt;=3,N(BX106)&gt;=3),"L1,L2,L3",IFERROR(_xlfn.TEXTBEFORE(_xlfn.TEXTAFTER(_xlfn.XLOOKUP(A106,Щиты[Щит],Щиты[_фазы авто]),";"&amp;BA106&amp;":"),";"),"L1")))))</f>
        <v>L2</v>
      </c>
      <c r="FV106" t="str">
        <f t="shared" si="209"/>
        <v>L2</v>
      </c>
      <c r="FW106" t="str">
        <f t="shared" si="210"/>
        <v>L2</v>
      </c>
      <c r="FX106" cm="1">
        <f t="array" ref="FX106">IFERROR(IF(CD106=2,_xlfn.IFS(BX106=3,VLOOKUP(BS106,Справочная_двигатели,3,FALSE),BX106=1,VLOOKUP(BS106,Справочная_двигатели,5,TRUE)),0),0)</f>
        <v>0</v>
      </c>
      <c r="FY106">
        <f>IFERROR(IF(CD106=3,VLOOKUP(BS106,Справочная_ЛЭД,2,TRUE),0),0)</f>
        <v>0</v>
      </c>
      <c r="FZ106" s="6">
        <f t="shared" si="211"/>
        <v>0</v>
      </c>
      <c r="GA106" t="str">
        <f>IF(B106="","",IF(TRIM(AH106&amp;"")&lt;&gt;"",IF(LOWER(TRIM(AH106&amp;""))="да","да","нет"),IF(IFERROR(_xlfn.XLOOKUP(BC106,Коды_код,Коды_пожарная),"")="да","да","нет")))</f>
        <v>нет</v>
      </c>
      <c r="GB106" t="str">
        <f t="shared" si="212"/>
        <v/>
      </c>
      <c r="GC106" t="str">
        <f t="shared" si="213"/>
        <v>основная</v>
      </c>
      <c r="GD106">
        <f>IF(AND(BP106=1,TRIM(AE106&amp;"")=""),IF(COUNTIFS(Линии[Щит],A106,Линии[Секция (1/2/3)],"&gt;=2")&gt;0,MIN(3,MAX(1,IFERROR(--BD106,1))),1),IFERROR(MIN(3,MAX(1,INT(--AE106))),1))</f>
        <v>1</v>
      </c>
      <c r="GE106" t="str" cm="1">
        <f t="array" ref="GE106">IF(B106="","",_xlfn.LET(_xlpm.t,IFERROR(_xlfn.XLOOKUP(1,(Шины[Шина]=GC106)*(((Шины[Щит]=A106)+(Шины[Щит]=""))&gt;0),Шины[Тип]),"")&amp;"",IF(_xlpm.t&lt;&gt;"",_xlpm.t,IF(ISNUMBER(SEARCH("ИБП",GC106)),"ИБП",IF(ISNUMBER(SEARCH("ДГУ",GC106)),"ДГУ","Ввод "&amp;GD106)))))</f>
        <v>Ввод 1</v>
      </c>
      <c r="GF106" t="str">
        <f t="shared" si="214"/>
        <v>Ввод 1</v>
      </c>
      <c r="GG106" t="str">
        <f>IF(BP106=0,"",IF(TRIM(AG106&amp;"")&lt;&gt;"",TRIM(AG106&amp;""),IF(OR(GE106="ИБП",GE106="ДГУ"),"I особая",_xlfn.XLOOKUP(A106,Щиты[Щит],Щиты[Категория шины «Ввод»],"III"))))</f>
        <v/>
      </c>
      <c r="GH106" t="str">
        <f>IF(A106="","",_xlfn.XLOOKUP(A106,Щиты[Щит],Щиты[Путь],""))</f>
        <v>|ГРЩ-ЖД|ЩОВ-01|</v>
      </c>
      <c r="GI106" t="str">
        <f>IF(B106="","",IF(AI106&lt;&gt;"",AI106,IF(IFERROR(_xlfn.XLOOKUP(BC106,Коды_код,Коды_вид)&amp;"","")="","Прочее",_xlfn.XLOOKUP(BC106,Коды_код,Коды_вид)&amp;"")))</f>
        <v>Вентиляция</v>
      </c>
      <c r="GJ106">
        <f>IF(BM106="","",INT((BM106-1)/Столбцов_на_лист)+1)</f>
        <v>1</v>
      </c>
      <c r="GK106" t="str">
        <f t="shared" si="215"/>
        <v>ВВГнг(А)-LS (3х1,5) L=42-0,72%</v>
      </c>
      <c r="GL106">
        <f t="shared" si="216"/>
        <v>0.3</v>
      </c>
      <c r="GM106">
        <f t="shared" si="217"/>
        <v>1.6300000000000001</v>
      </c>
      <c r="GN106">
        <f t="shared" si="218"/>
        <v>1</v>
      </c>
      <c r="GO106">
        <f t="shared" si="219"/>
        <v>0</v>
      </c>
      <c r="GP106">
        <f t="shared" si="220"/>
        <v>1</v>
      </c>
      <c r="GQ106">
        <f>IF(BM106="","",IF(AND(CG106=1,GP106=1),COUNTIFS(A$3:A106,A106,CG$3:CG106,1,GP$3:GP106,1),IF(OR(OR(BA106=1,A106&lt;&gt;A105),AJ106="вручную",GP106=0),"",IF(BA106=1,"",GR105))))</f>
        <v>4</v>
      </c>
      <c r="GR106">
        <f t="shared" si="221"/>
        <v>4</v>
      </c>
      <c r="GS106">
        <f>IF(B106="","",IFERROR(LOOKUP(INDEX(CHOOSE(EB106,Iдоп_1ж,Iдоп_2ж,Iдоп_3ж),MATCH(EN106,Iдоп_S,0))*DZ106*EA106,{6,10,16,20,25,32,40,50,63,80,100,125,160,200,250,315,400,500,630}),""))</f>
        <v>16</v>
      </c>
      <c r="GT106" t="str">
        <f t="shared" si="222"/>
        <v>QF4</v>
      </c>
      <c r="GU106" t="str">
        <f t="shared" si="223"/>
        <v>QF4</v>
      </c>
      <c r="GV106" t="str">
        <f t="shared" si="224"/>
        <v/>
      </c>
      <c r="GW106">
        <f t="shared" si="225"/>
        <v>0</v>
      </c>
      <c r="GX106" t="str">
        <f>IF(OR(B106="",DJ106=""),"",IFERROR(_xlfn.XLOOKUP(DJ106,Модули_умолч[Управление],Модули_умолч[Модель])&amp;"",""))</f>
        <v/>
      </c>
      <c r="GY106">
        <f>IF(DJ106="",1,IFERROR(MAX(0,N(_xlfn.XLOOKUP(DJ106,Модули_умолч[Управление],Модули_умолч[Каналов на линию]))),1))</f>
        <v>1</v>
      </c>
      <c r="GZ106" t="str">
        <f t="shared" si="226"/>
        <v/>
      </c>
      <c r="HA106" t="str">
        <f t="shared" si="227"/>
        <v/>
      </c>
      <c r="HB106" t="str">
        <f t="shared" si="228"/>
        <v/>
      </c>
      <c r="HC106">
        <f>IF(HB106="",0,IFERROR(N(VLOOKUP(HB106,Модули_спр,3,FALSE)),0))</f>
        <v>0</v>
      </c>
      <c r="HD106" t="str">
        <f t="shared" si="229"/>
        <v/>
      </c>
      <c r="HE106" t="str">
        <f t="shared" si="230"/>
        <v/>
      </c>
      <c r="HF106" t="str">
        <f>IF(OR(HE106="",HE106="-"),"",IFERROR(VLOOKUP(HE106,Модули_спр,2,FALSE),"R"))</f>
        <v/>
      </c>
      <c r="HG106" t="str">
        <f>IF(HF106="","",HF106&amp;"."&amp;COUNTIFS(A$3:A106,A106,HF$3:HF106,HF106))</f>
        <v/>
      </c>
      <c r="HH106" t="str">
        <f t="shared" si="231"/>
        <v/>
      </c>
      <c r="HI106" t="str">
        <f t="shared" si="232"/>
        <v/>
      </c>
      <c r="HJ106" t="str">
        <f t="shared" si="233"/>
        <v/>
      </c>
      <c r="HK106" t="str">
        <f t="shared" si="234"/>
        <v/>
      </c>
      <c r="HL106">
        <f t="shared" si="235"/>
        <v>1</v>
      </c>
      <c r="HM106" t="str">
        <f>IF(HL106=1,"XT"&amp;COUNTIFS(A$3:A106,A106,HL$3:HL106,1),"")</f>
        <v>XT4</v>
      </c>
      <c r="HN106" t="str">
        <f t="shared" si="236"/>
        <v>XT4</v>
      </c>
      <c r="HO106" t="str">
        <f t="shared" si="237"/>
        <v>QF4</v>
      </c>
      <c r="HP106" t="str">
        <f t="shared" si="238"/>
        <v/>
      </c>
      <c r="HQ106" t="str">
        <f t="shared" si="239"/>
        <v>ok</v>
      </c>
      <c r="HR106" t="str">
        <f>IF(OR(HJ106="",HH106=""),"",IF(HJ106+MAX(0,GY106-1)&gt;IFERROR(VLOOKUP(HI106,Модули_спр,3,FALSE),99),"ЛИШНИЙ КАНАЛ",IF(AND(AL106&lt;&gt;"=",GY106&gt;0,COUNTIFS(Линии[_модуль гр.],HH106,Линии[Канал (итог)],HJ106,Линии[Канал],"&lt;&gt;=",Линии[Щит],A106)&gt;1),"ДУБЛЬ КАНАЛА","")))</f>
        <v/>
      </c>
      <c r="HS106" s="6" t="str">
        <f t="shared" si="240"/>
        <v/>
      </c>
      <c r="HT106">
        <f t="shared" si="241"/>
        <v>10</v>
      </c>
      <c r="HU106" t="str">
        <f t="shared" si="242"/>
        <v/>
      </c>
      <c r="HV106">
        <f t="shared" si="243"/>
        <v>1.0695190528383289</v>
      </c>
      <c r="HW106">
        <f t="shared" si="244"/>
        <v>0</v>
      </c>
      <c r="HX106">
        <f t="shared" si="245"/>
        <v>0</v>
      </c>
      <c r="HY106">
        <f t="shared" si="246"/>
        <v>0</v>
      </c>
      <c r="HZ106">
        <f t="shared" si="247"/>
        <v>0</v>
      </c>
      <c r="IA106">
        <f t="shared" si="248"/>
        <v>0</v>
      </c>
      <c r="IB106">
        <f t="shared" si="249"/>
        <v>0</v>
      </c>
      <c r="IC106" t="str">
        <f t="shared" si="250"/>
        <v/>
      </c>
      <c r="ID106" t="str" cm="1">
        <f t="array" ref="ID106">IF(IC106="","",_xlfn.LET(_xlpm.tk,_xlfn.TEXTSPLIT(SUBSTITUTE(SUBSTITUTE(IC106,";"," "),"→"," ")," ",,TRUE),_xlpm.w_,_xlfn._xlws.FILTER(_xlpm.tk,ISNUMBER(--LEFT(_xlpm.tk,1))*((ISNUMBER(SEARCH("W",_xlpm.tk))+ISNUMBER(SEARCH("Вт",_xlpm.tk)))&gt;0),""),IFERROR(--SUBSTITUTE(SUBSTITUTE(UPPER(INDEX(_xlpm.w_,1)),"W",""),"ВТ",""),"")))</f>
        <v/>
      </c>
      <c r="IE106" t="str" cm="1">
        <f t="array" ref="IE106">IF(IC106="","",_xlfn.LET(_xlpm.tk,_xlfn.TEXTSPLIT(SUBSTITUTE(SUBSTITUTE(IC106,";"," "),"→"," ")," ",,TRUE),_xlpm.v_,_xlfn._xlws.FILTER(_xlpm.tk,ISNUMBER(--LEFT(_xlpm.tk,1))*((ISNUMBER(SEARCH("V",_xlpm.tk))+(RIGHT(UPPER(_xlpm.tk))="В"))&gt;0),""),IFERROR(--SUBSTITUTE(SUBSTITUTE(UPPER(INDEX(_xlpm.v_,1)),"V",""),"В",""),"")))</f>
        <v/>
      </c>
      <c r="IF106" s="6" t="str">
        <f>IF(OR(BV106=0,HI106="",HJ106=""),"",IFERROR(N(_xlfn.XLOOKUP(HI106,Каталог!$C$4:$C$500,Каталог!$Q$4:$Q$500)),""))</f>
        <v/>
      </c>
      <c r="IG106" s="6" t="str">
        <f>IF(N(IF106)=0,"",SUMIFS(Линии[Iр, А],Линии[Щит],A106,Линии[_модуль гр.],HH106,Линии[Канал (итог)],HJ106))</f>
        <v/>
      </c>
      <c r="IH106" t="str">
        <f>IF(AND(B106="",HO106=""),"",_xlfn.TEXTJOIN("; ",TRUE,IF(AND(B106&lt;&gt;"",FV106=""),"нет фазы",""),IF(AND(B106&lt;&gt;"",N(GL106)=0,FG106&lt;&gt;"Нет"),"нет мощности",""),IF(AND(HN106&lt;&gt;"",COUNTIFS(Линии[Щит],A106,Линии[Клемма (итог)],HN106)&gt;1),"дубль клеммы "&amp;HN106,""),IF(AND(HQ106&lt;&gt;"",HQ106&lt;&gt;"ok"),HQ106,""),IF(HR106&lt;&gt;"",HR106,""),IF(AND(N(CB106)&gt;=4,N(BX106)=1),CB106&amp;" жил на 1 фазе",""),IF(AND(BC106="R",CG106=1,IF(CS106&lt;&gt;"",N(CV106)&gt;30,OR(N(DA106)=0,N(DA106)&gt;30))),"розетка без дифзащиты до 30 мА",""),IF(AND(CG106=1,N(DA106)&gt;0,ISNUMBER(T106)),IF(T106&gt;N(DA106)/3,"ток утечки "&amp;FIXED(T106,1)&amp;" мА &gt; 1/3 уставки ("&amp;DA106&amp;" мА)",""),""),IF(AND(CH106=1,CS106=""),"«узо»: нет строки с УЗО выше (УЗО 2P 40А 30мА в «Аппаратах»)",""),IF(AND(CS106&lt;&gt;"",CS106=BA106),IF(CT106="","впишите номинал УЗО (УЗО 2P 40А 30мА)",IF(N(CT106)&lt;N(DT106),"УЗО "&amp;CT106&amp;" А &lt; автомата "&amp;DT106&amp;" А перед ним",IF(N(CT106)&lt;N(CX106),"УЗО "&amp;CT106&amp;" А &lt; тока блока "&amp;FIXED(CX106,1)&amp;" А",""))),""),IF(AND(CS106&lt;&gt;"",CS106=BA106,ISNUMBER(CY106)),IF(CY106&gt;N(CV106)/3,"ток утечки блока УЗО "&amp;FIXED(CY106,1)&amp;" мА &gt; 1/3 уставки ("&amp;CV106&amp;" мА)",""),""),IF(AND(CG106=1,N(BV106)+N(IB106)&gt;0,IC106=""),"линии до 50 В без БП: впишите в «Аппараты» (БП 24V 480W)",""),IF(AND(CG106=1,ISNUMBER(ID106),ISNUMBER(U106)),IF(U106&gt;ID106,"БП "&amp;ID106&amp;" Вт &lt; нужно "&amp;U106&amp;" Вт (×"&amp;Запас_БП&amp;")",""),""),IF(AND(CG106=1,ISNUMBER(IE106),N(BV106)=1),IF(IE106&lt;&gt;N(BU106),"БП на "&amp;IE106&amp;" В, линия "&amp;BU106&amp;" В",""),""),IF(AND(N(IF106)&gt;0,N(IG106)&gt;N(IF106)),HH106&amp;" канал "&amp;HJ106&amp;": "&amp;FIXED(IG106,1)&amp;" А &gt; "&amp;IF106&amp;" А",""),IFERROR(IF(AND(ISNUMBER(Q106),Q106&gt;EL106),"потери "&amp;FIXED(Q106,1)&amp;" % &gt; "&amp;EL106&amp;" %",""),""),IFERROR(IF(LEFT(HU106,4)="мало","Iкз мало — отключение &gt; 0,4 с",""),""),IF(AND(B106&lt;&gt;"",BM106=""),"не на схеме",""),IF(AND(CG106=0,B106&lt;&gt;"",FV106&lt;&gt;"",IF(BA106=1,"",FW105)&lt;&gt;"",FV106&lt;&gt;IF(BA106=1,"",FW105)),"фаза не как у автомата группы ("&amp;IF(BA106=1,"",FW105)&amp;")","")))</f>
        <v/>
      </c>
      <c r="II106" s="6">
        <f>IF(OR(CG106=0,DQ106=""),"",_xlfn.LET(_xlpm.t,IFERROR(_xlfn.XLOOKUP(DQ106,Каталог!$U$4:$U$500,Каталог!$G$4:$G$500),""),_xlpm.k,SEARCH("кА",_xlpm.t),IFERROR(--TRIM(RIGHT(SUBSTITUTE(MID(_xlpm.t,MAX(1,_xlpm.k-4),_xlpm.k-MAX(1,_xlpm.k-4))," ",REPT(" ",9)),5)),"")))</f>
        <v>6</v>
      </c>
      <c r="IJ106" t="str">
        <f>IF(OR(II106="",CG106=0),"",IF(_xlfn.XLOOKUP(A106,Щиты[Щит],Щиты[Iкз max на шинах, кА],"")="","",IF(II106&lt;_xlfn.XLOOKUP(A106,Щиты[Щит],Щиты[Iкз max на шинах, кА]),"Icu "&amp;II106&amp;" кА &lt; Iкз max","ok")))</f>
        <v/>
      </c>
      <c r="IK106" t="str">
        <f t="shared" si="251"/>
        <v/>
      </c>
      <c r="IL106" t="str">
        <f t="shared" si="252"/>
        <v>QF4|XT4</v>
      </c>
      <c r="IM106" t="str">
        <f t="shared" si="253"/>
        <v>QF4|XT4|кабель ВВГнг(А)-LS (3х1,5) → Вытяжная установка Пом. №003Б</v>
      </c>
      <c r="IN106" t="str" cm="1">
        <f t="array" ref="IN106">IF(IM106="","",_xlfn.LET(_xlpm.nd,_xlfn.TEXTSPLIT(IM106,"|"),IF(COLUMNS(_xlpm.nd)&gt;1,A106&amp;"¦"&amp;INDEX(_xlpm.nd,1)&amp;"¦"&amp;INDEX(_xlpm.nd,2),"")))</f>
        <v>ЩОВ-01¦QF4¦XT4</v>
      </c>
      <c r="IO106" t="str">
        <f t="shared" si="254"/>
        <v>В.2¦Вытяжная установка Пом. №003Б</v>
      </c>
      <c r="IP106" t="str" cm="1">
        <f t="array" ref="IP106">IF(IM106="","",_xlfn.LET(_xlpm.nd,_xlfn.TEXTSPLIT(IM106,"|"),IF(COLUMNS(_xlpm.nd)&gt;2,A106&amp;"¦"&amp;INDEX(_xlpm.nd,2)&amp;"¦"&amp;INDEX(_xlpm.nd,3),"")))</f>
        <v>ЩОВ-01¦XT4¦кабель ВВГнг(А)-LS (3х1,5) → Вытяжная установка Пом. №003Б</v>
      </c>
      <c r="IQ106" t="str">
        <f t="shared" si="255"/>
        <v>В.2¦Вытяжная установка Пом. №003Б</v>
      </c>
      <c r="IR106" t="str" cm="1">
        <f t="array" ref="IR106">IF(IM106="","",_xlfn.LET(_xlpm.nd,_xlfn.TEXTSPLIT(IM106,"|"),IF(COLUMNS(_xlpm.nd)&gt;3,A106&amp;"¦"&amp;INDEX(_xlpm.nd,3)&amp;"¦"&amp;INDEX(_xlpm.nd,4),"")))</f>
        <v/>
      </c>
      <c r="IS106" t="str">
        <f t="shared" si="256"/>
        <v/>
      </c>
      <c r="IT106" t="str" cm="1">
        <f t="array" ref="IT106">IF(IM106="","",_xlfn.LET(_xlpm.nd,_xlfn.TEXTSPLIT(IM106,"|"),IF(COLUMNS(_xlpm.nd)&gt;4,A106&amp;"¦"&amp;INDEX(_xlpm.nd,4)&amp;"¦"&amp;INDEX(_xlpm.nd,5),"")))</f>
        <v/>
      </c>
      <c r="IU106" t="str">
        <f t="shared" si="257"/>
        <v/>
      </c>
      <c r="IV106" t="str" cm="1">
        <f t="array" ref="IV106">IF(IM106="","",_xlfn.LET(_xlpm.nd,_xlfn.TEXTSPLIT(IM106,"|"),IF(COLUMNS(_xlpm.nd)&gt;5,A106&amp;"¦"&amp;INDEX(_xlpm.nd,5)&amp;"¦"&amp;INDEX(_xlpm.nd,6),"")))</f>
        <v/>
      </c>
      <c r="IW106" t="str">
        <f t="shared" si="258"/>
        <v/>
      </c>
      <c r="IX106" t="str" cm="1">
        <f t="array" ref="IX106">IF(IM106="","",_xlfn.LET(_xlpm.nd,_xlfn.TEXTSPLIT(IM106,"|"),IF(COLUMNS(_xlpm.nd)&gt;6,A106&amp;"¦"&amp;INDEX(_xlpm.nd,6)&amp;"¦"&amp;INDEX(_xlpm.nd,7),"")))</f>
        <v/>
      </c>
      <c r="IY106" t="str">
        <f t="shared" si="259"/>
        <v/>
      </c>
      <c r="IZ106" t="str">
        <f t="shared" si="260"/>
        <v/>
      </c>
      <c r="JA106" t="str">
        <f t="shared" si="261"/>
        <v>QF4 → XT4</v>
      </c>
      <c r="JB106">
        <f t="shared" si="262"/>
        <v>0</v>
      </c>
      <c r="JC106">
        <f t="shared" si="263"/>
        <v>0</v>
      </c>
      <c r="JD106" t="str">
        <f t="shared" si="264"/>
        <v/>
      </c>
      <c r="JE106" t="str">
        <f t="shared" si="265"/>
        <v/>
      </c>
      <c r="JF106" t="str">
        <f t="shared" si="266"/>
        <v/>
      </c>
      <c r="JG106" t="str">
        <f t="shared" si="267"/>
        <v/>
      </c>
      <c r="JH106" t="str">
        <f>IF(B106="","",IFERROR(_xlfn.XLOOKUP(B106,Коды_код,Коды_уго),IFERROR(_xlfn.XLOOKUP(BC106,Коды_код,Коды_уго),IFERROR(_xlfn.XLOOKUP(LEFT(BC106,2),Коды_код,Коды_уго),""))))</f>
        <v>Привод (двигатель)</v>
      </c>
      <c r="JI106" t="str">
        <f>IF(B106="","",IF(OR(JH106="",JH106=0),"BOX",IFERROR(IF(VLOOKUP(JH106,УГО_блоки,3,FALSE)&amp;""&lt;&gt;"",VLOOKUP(JH106,УГО_блоки,3,FALSE),VLOOKUP(JH106,УГО_блоки,2,FALSE)),JH106)))</f>
        <v>MOTOR</v>
      </c>
      <c r="JJ106">
        <f t="shared" si="268"/>
        <v>1</v>
      </c>
      <c r="JK106" t="str">
        <f>IF(DQ106="","",IF(COUNTIF(DQ$3:DQ106,DQ106)=1,MAX(JK$2:JK105)+1,""))</f>
        <v/>
      </c>
      <c r="JL106" t="str">
        <f>IF(DE106="","",IF(COUNTIF(DE$3:DE106,DE106)+COUNTIF(DF$2:DF105,DE106)+COUNTIF(DG$2:DG105,DE106)=1,MAX(JL$2:JN105)+1,""))</f>
        <v/>
      </c>
      <c r="JM106" t="str">
        <f>IF(DF106="","",IF(COUNTIF(DE$3:DE106,DF106)+COUNTIF(DF$3:DF106,DF106)+COUNTIF(DG$2:DG105,DF106)=1,MAX(JL$2:JN105,JL106)+1,""))</f>
        <v/>
      </c>
      <c r="JN106" t="str">
        <f>IF(DG106="","",IF(COUNTIF(DE$3:DE106,DG106)+COUNTIF(DF$3:DF106,DG106)+COUNTIF(DG$3:DG106,DG106)=1,MAX(JL$2:JN105,JL106,JM106)+1,""))</f>
        <v/>
      </c>
      <c r="JO106" t="str">
        <f t="shared" si="269"/>
        <v>3х1,5</v>
      </c>
      <c r="JP106" t="str">
        <f>IF(JO106="","",IF(COUNTIF(JO$3:JO106,JO106)=1,MAX(JP$2:JP105)+1,""))</f>
        <v/>
      </c>
      <c r="JQ106" t="str">
        <f>IF(HG106="","",COUNTIF(HG$3:HG106,"?*"))</f>
        <v/>
      </c>
      <c r="JR106" t="str">
        <f>IF(OR(HG106="",HI106=""),"",IF(COUNTIFS(HG$3:HG106,"?*",HI$3:HI106,HI106)=1,MAX(JR$2:JR105)+1,""))</f>
        <v/>
      </c>
      <c r="JS106">
        <f t="shared" si="270"/>
        <v>0</v>
      </c>
      <c r="JT106">
        <f>IF(B106="","",COUNTIF(B$3:B106,"?*"))</f>
        <v>104</v>
      </c>
      <c r="JU106">
        <f>IF(HL106&lt;&gt;1,0,_xlfn.LET(_xlpm.k,MAX(IFERROR(--_xlfn.XLOOKUP(B106,Коды_код,Коды_3L),0),IFERROR(--_xlfn.XLOOKUP(BC106,Коды_код,Коды_3L),0),IFERROR(--_xlfn.XLOOKUP(LEFT(BC106,2),Коды_код,Коды_3L),0)),IF(_xlpm.k&gt;0,_xlpm.k,IF(IFERROR(--LEFT(SUBSTITUTE(JO106,"x","х"),FIND("х",SUBSTITUTE(JO106,"x","х"))-1),3)&gt;3,Каталог!$S$9,1))))</f>
        <v>1</v>
      </c>
      <c r="JV106">
        <f t="shared" si="271"/>
        <v>0</v>
      </c>
      <c r="JW106" t="str">
        <f t="shared" si="272"/>
        <v>авто</v>
      </c>
      <c r="JX106" t="str">
        <f t="shared" si="273"/>
        <v/>
      </c>
      <c r="JY106">
        <f t="shared" si="274"/>
        <v>0</v>
      </c>
      <c r="JZ106">
        <f t="shared" si="275"/>
        <v>1</v>
      </c>
    </row>
    <row r="107" spans="1:286" x14ac:dyDescent="0.3">
      <c r="A107" t="s">
        <v>745</v>
      </c>
      <c r="B107" t="s">
        <v>1418</v>
      </c>
      <c r="C107" t="s">
        <v>1671</v>
      </c>
      <c r="D107">
        <v>1</v>
      </c>
      <c r="E107">
        <v>0.27</v>
      </c>
      <c r="G107">
        <v>10</v>
      </c>
      <c r="H107" t="str">
        <f>Линии[[#This Row],[_авто управление]]</f>
        <v/>
      </c>
      <c r="I107" t="str">
        <f>Линии[[#This Row],[_авто аппараты]]</f>
        <v/>
      </c>
      <c r="J107">
        <v>1.5</v>
      </c>
      <c r="K107">
        <v>34</v>
      </c>
      <c r="L107" t="str">
        <f>Линии[[#This Row],[_авто фаза]]</f>
        <v>L2</v>
      </c>
      <c r="M107" t="s">
        <v>484</v>
      </c>
      <c r="N107" t="str">
        <f t="shared" si="138"/>
        <v/>
      </c>
      <c r="O107" s="6" cm="1">
        <f t="array" ref="O107">IF(B107="","",IF(BH107&lt;&gt;"",IFERROR(_xlfn.XLOOKUP(BH107,Щиты[Щит],Щиты[Iр, А]),""),IF(BP107=1,IF(OR(N(_xlfn.XLOOKUP(A107,Щиты[Щит],Щиты[Вводов],1))&lt;=1,LOWER(TRIM(_xlfn.XLOOKUP(A107,Щиты[Щит],Щиты[АВР],"")&amp;""))="да"),IFERROR(_xlfn.XLOOKUP(A107,Щиты[Щит],Щиты[Iр, А]),""),IFERROR(N(BS107)*_xlfn.XLOOKUP(A107,Щиты[Щит],Щиты[Кс итог])/(SQRT(3)*Uн_лин*_xlfn.XLOOKUP(A107,Щиты[Щит],Щиты[cos φ])),"")),IF(BV107=1,IFERROR(BS107*1000/BU107,""),IFERROR(_xlfn.IFS(BX107=1,BS107/((Uн_лин/SQRT(3))*CE107),BX107=3,BS107/(SQRT(3)*Uн_лин*CE107)),"")))))</f>
        <v>1.46141786888624</v>
      </c>
      <c r="P107" s="7">
        <f>IF(B107="","",IFERROR(IF(VLOOKUP(BC107,Потребители_обозначение,4,FALSE)=1,VLOOKUP(BC107,Потребители_обозначение,3,FALSE)*(MAX(1,N(D107))*2-1)+EI107+VLOOKUP(BE107,Этаж_обозначение,3,FALSE)+VLOOKUP(BE107,Этаж_обозначение,4,FALSE),VLOOKUP(BC107,Потребители_обозначение,3,FALSE)*(MAX(1,N(D107))*2-1)+EI107),EI107))</f>
        <v>38</v>
      </c>
      <c r="Q107" s="6">
        <f t="shared" si="139"/>
        <v>0.83</v>
      </c>
      <c r="R107" t="str">
        <f t="shared" si="140"/>
        <v>ВВГнг(А)-LS (3х1,5)</v>
      </c>
      <c r="S107" t="str">
        <f>IF(BM107="","",IF(BN107="вводной узел","узел ","")&amp;"л."&amp;(INT((BM107-1)/Столбцов_на_лист)+1)&amp;" / "&amp;(MOD(BM107-1,Столбцов_на_лист)+1))</f>
        <v>л.2 / 2</v>
      </c>
      <c r="T107" s="119">
        <f t="shared" si="141"/>
        <v>1</v>
      </c>
      <c r="U107" s="7" t="str">
        <f>IF(OR(CG107=0,N(BV107)+N(IB107)=0),"",ROUNDUP(Запас_БП*(N(HY107)+N(HZ107)),0))</f>
        <v/>
      </c>
      <c r="V107" s="119" t="str">
        <f t="shared" si="142"/>
        <v/>
      </c>
      <c r="W107" s="7" t="str">
        <f>IFERROR(IF(OR(B107="",BP107=1,BV107=1,NOT(ISNUMBER(EN107)),N(DT107)=0),"",MAX(0,ROUNDDOWN((c_min*(Uн_лин*1000/SQRT(3))/(HT107*N(DT107))-_xlfn.XLOOKUP(A107,Щиты[Щит],Щиты[Zпетли на шинах, Ом]))*EN107/(2*ρкз_Cu),0))),"")</f>
        <v/>
      </c>
      <c r="Y107" t="str">
        <f>Линии[[#This Row],[_авто утечка]]</f>
        <v/>
      </c>
      <c r="Z107">
        <v>1</v>
      </c>
      <c r="AA107">
        <v>230</v>
      </c>
      <c r="AB107" t="s">
        <v>598</v>
      </c>
      <c r="AC107">
        <v>0.5</v>
      </c>
      <c r="AG107" t="s">
        <v>810</v>
      </c>
      <c r="AI107" t="s">
        <v>580</v>
      </c>
      <c r="AK107" t="str">
        <f>Линии[[#This Row],[_авто модуль]]</f>
        <v/>
      </c>
      <c r="AM107">
        <v>19</v>
      </c>
      <c r="AN107" t="s">
        <v>11</v>
      </c>
      <c r="AO107">
        <v>3</v>
      </c>
      <c r="AQ107">
        <v>29</v>
      </c>
      <c r="AR107">
        <v>9</v>
      </c>
      <c r="AT107">
        <v>1</v>
      </c>
      <c r="BA107" cm="1">
        <f t="array" ref="BA107">ROW()-ROW(Линии[#Headers])</f>
        <v>105</v>
      </c>
      <c r="BC107" s="6" t="str">
        <f t="shared" si="143"/>
        <v>В</v>
      </c>
      <c r="BD107" t="str">
        <f t="shared" si="144"/>
        <v>10</v>
      </c>
      <c r="BE107" t="str">
        <f t="shared" si="145"/>
        <v>10</v>
      </c>
      <c r="BF107" t="str">
        <f t="shared" si="146"/>
        <v/>
      </c>
      <c r="BG107" t="str">
        <f t="shared" si="147"/>
        <v/>
      </c>
      <c r="BH107" t="str">
        <f>IF(X107&lt;&gt;"",X107,IF(AND(B107&lt;&gt;"",B107&lt;&gt;A107,ISNUMBER(_xlfn.XMATCH(B107,Щиты[Щит]))),B107,""))</f>
        <v/>
      </c>
      <c r="BI107" t="str" cm="1">
        <f t="array" ref="BI107">IF(B107="","",IF(BH107&lt;&gt;"","Щит "&amp;BH107,_xlfn.LET(_xlpm.nm,IFERROR(_xlfn.XLOOKUP(BC107,Коды_код,Коды_имя)&amp;"",""),_xlpm.md,IFERROR(N(_xlfn.XLOOKUP(BC107,Коды_код,Коды_режим)),1),_xlpm.ex,IF(Имя_режим="по экспликации",IFERROR(_xlfn.XLOOKUP(BE107&amp;"|"&amp;BG107,Экспликация[Этаж]&amp;"|"&amp;Экспликация[Помещение],Экспликация[Название])&amp;"",""),""),_xlpm.rm,IF(BG107="","",IF(_xlpm.ex&lt;&gt;"",". "&amp;_xlpm.ex&amp;IF(Имя_пом="нет"," ("&amp;BG107&amp;")"," (пом. "&amp;BG107&amp;")"),IF(Имя_пом="нет"," ",", пом. ")&amp;BG107)),IF(_xlpm.nm="","",IF(_xlpm.md=2,_xlpm.nm&amp;" шлейф "&amp;BE107,_xlpm.nm&amp;_xlpm.rm)))))</f>
        <v>Вытяжная установка шлейф 10</v>
      </c>
      <c r="BJ107" t="str">
        <f t="shared" si="148"/>
        <v>Вытяжная установка Пом. №019Б</v>
      </c>
      <c r="BK107">
        <f>IFERROR(_xlfn.XMATCH(A107,Щиты[Щит]),0)</f>
        <v>6</v>
      </c>
      <c r="BL107">
        <f>_xlfn.LET(_xlpm.k,IFERROR(_xlfn.XLOOKUP(A107,Щиты[Щит],Щиты[Мест под вводной узел]),""),IF(_xlpm.k="",Столбцов_на_лист,N(_xlpm.k)))</f>
        <v>12</v>
      </c>
      <c r="BM107">
        <f t="shared" si="149"/>
        <v>19</v>
      </c>
      <c r="BN107" t="str">
        <f t="shared" si="150"/>
        <v>линии</v>
      </c>
      <c r="BO107" s="6">
        <f>IFERROR(N(_xlfn.XLOOKUP(BC107,Коды_код,Коды_квт)),0)</f>
        <v>0</v>
      </c>
      <c r="BP107">
        <f t="shared" si="151"/>
        <v>0</v>
      </c>
      <c r="BQ107" t="str">
        <f>IF(B107="","",IF(BH107&lt;&gt;"",IFERROR(_xlfn.XLOOKUP(BH107,Щиты[Щит],Щиты[Руст, кВт]),0),IF(BP107=1,IF(OR(N(_xlfn.XLOOKUP(A107,Щиты[Щит],Щиты[Вводов],1))&lt;=1,LOWER(TRIM(_xlfn.XLOOKUP(A107,Щиты[Щит],Щиты[АВР],"")&amp;""))="да"),IFERROR(_xlfn.XLOOKUP(A107,Щиты[Щит],Щиты[Руст, кВт]),0),SUMIFS(Линии[_Р для вводов],Линии[Щит],A107,Линии[Источник для режимов],GF107)),IF(BO107&gt;0,ROUND(BO107*MAX(1,N(D107)),3),""))))</f>
        <v/>
      </c>
      <c r="BR107">
        <f t="shared" si="152"/>
        <v>0.27</v>
      </c>
      <c r="BS107" s="6">
        <f>IF(B107="","",IF(BH107&lt;&gt;"",IFERROR(_xlfn.XLOOKUP(BH107,Щиты[Щит],Щиты[Руст, кВт]),0),N(BR107)))</f>
        <v>0.27</v>
      </c>
      <c r="BT107" t="str">
        <f>IF(B107="","",IFERROR(IF(VLOOKUP(BC107,Потребители_обозначение,8,FALSE)=0,"",VLOOKUP(BC107,Потребители_обозначение,8,FALSE)),""))</f>
        <v/>
      </c>
      <c r="BU107">
        <f t="shared" si="153"/>
        <v>230</v>
      </c>
      <c r="BV107">
        <f t="shared" si="154"/>
        <v>0</v>
      </c>
      <c r="BW107">
        <f>IF(B107="","",IF(BH107&lt;&gt;"",3,IFERROR(IF(N(VLOOKUP(BC107,Потребители_обозначение,9,FALSE))=0,1,VLOOKUP(BC107,Потребители_обозначение,9,FALSE)),1)))</f>
        <v>1</v>
      </c>
      <c r="BX107">
        <f t="shared" si="155"/>
        <v>1</v>
      </c>
      <c r="BY107" t="str">
        <f>IF(B107="","",_xlfn.LET(_xlpm.bc,IFERROR(IF(VLOOKUP(BC107,Потребители_обозначение,6,FALSE)=0,"",VLOOKUP(BC107,Потребители_обозначение,6,FALSE)&amp;""),""),IF(AND(GA107="да",OR(_xlpm.bc="",_xlpm.bc="мс")),Марка_пож,IF(AND(_xlpm.bc="",BH107&lt;&gt;""),"мс",_xlpm.bc))))</f>
        <v/>
      </c>
      <c r="BZ107" t="str">
        <f t="shared" si="156"/>
        <v>мс</v>
      </c>
      <c r="CA107">
        <f>IF(B107="","",_xlfn.LET(_xlpm.cc,IFERROR(N(VLOOKUP(BC107,Потребители_обозначение,7,FALSE)),0),IF(_xlpm.cc&gt;0,_xlpm.cc,IF(BZ107="","",IF(BV107=1,2,IF(N(BX107)=3,5,3))))))</f>
        <v>3</v>
      </c>
      <c r="CB107">
        <f t="shared" si="157"/>
        <v>3</v>
      </c>
      <c r="CC107">
        <f>IFERROR(N(VLOOKUP(BC107,Потребители_обозначение,10,FALSE)),0)</f>
        <v>0</v>
      </c>
      <c r="CD107">
        <f>IFERROR(VLOOKUP(BC107,Потребители_обозначение,5,FALSE),0)</f>
        <v>1</v>
      </c>
      <c r="CE107" s="6" cm="1">
        <f t="array" ref="CE107">IF(B107="","",IF(BH107&lt;&gt;"",IFERROR(_xlfn.XLOOKUP(BH107,Щиты[Щит],Щиты[cos φ]),0.95),IF(BP107=1,IFERROR(_xlfn.XLOOKUP(A107,Щиты[Щит],Щиты[cos φ]),0.95),IF(ISNUMBER(AD107),AD107,IFERROR(IF(CD107=2,_xlfn.IFS(BX107=3,VLOOKUP(BS107,Справочная_двигатели,8,FALSE),BX107=1,VLOOKUP(BS107,Справочная_двигатели,10,TRUE)),IF(AND(Методика="нормы 2026",FG107="Сил"),0.8,0.95)),0.95)))))</f>
        <v>0.8</v>
      </c>
      <c r="CF107">
        <f t="shared" si="158"/>
        <v>0</v>
      </c>
      <c r="CG107">
        <f t="shared" si="159"/>
        <v>1</v>
      </c>
      <c r="CH107">
        <f t="shared" si="160"/>
        <v>0</v>
      </c>
      <c r="CI107">
        <f>IF(B107="","",IF(BV107=1,IFERROR(BS107/((Uн_лин/SQRT(3))*MAX(0.5,N(CE107))),0),N(O107)))</f>
        <v>1.46141786888624</v>
      </c>
      <c r="CJ107">
        <f t="shared" si="161"/>
        <v>0</v>
      </c>
      <c r="CK107">
        <f t="shared" si="162"/>
        <v>0</v>
      </c>
      <c r="CL107">
        <f t="shared" si="163"/>
        <v>0</v>
      </c>
      <c r="CM107">
        <f t="shared" si="164"/>
        <v>0</v>
      </c>
      <c r="CN107">
        <f t="shared" si="165"/>
        <v>0</v>
      </c>
      <c r="CO107">
        <f>IF(BC107="",0,_xlfn.LET(_xlpm.v,IFERROR(_xlfn.XLOOKUP(B107,Коды_код,Коды_мА),IFERROR(_xlfn.XLOOKUP(BC107,Коды_код,Коды_мА),IFERROR(_xlfn.XLOOKUP(LEFT(BC107,2),Коды_код,Коды_мА),""))),IF(_xlpm.v="да",30,IF(ISNUMBER(_xlpm.v),_xlpm.v,0))))</f>
        <v>0</v>
      </c>
      <c r="CP107" t="str">
        <f t="shared" si="166"/>
        <v/>
      </c>
      <c r="CQ107" t="str">
        <f>_xlfn.LET(_xlpm.k,IFERROR(_xlfn.XLOOKUP(BC107,Коды_код,Коды_утечка)&amp;"",""),IF(_xlpm.k="","дифавтомат",_xlpm.k))</f>
        <v>дифавтомат</v>
      </c>
      <c r="CR107" t="str" cm="1">
        <f t="array" ref="CR107">IF(CG107=0,"",_xlfn.LET(_xlpm.sg,TRIM(_xlfn.TEXTSPLIT(DD107&amp;"",";")),_xlpm.f_,_xlfn._xlws.FILTER(_xlpm.sg,LEFT(_xlpm.sg,3)="УЗО",""),IFERROR(INDEX(_xlpm.f_,1)&amp;"","")))</f>
        <v/>
      </c>
      <c r="CS107" t="str">
        <f t="shared" si="167"/>
        <v/>
      </c>
      <c r="CT107" s="6" t="str" cm="1">
        <f t="array" ref="CT107">IF(CR107="","",_xlfn.LET(_xlpm.tk,_xlfn.TEXTSPLIT(UPPER(CR107)," ",,TRUE),_xlpm.a_,_xlfn._xlws.FILTER(_xlpm.tk,ISNUMBER(--LEFT(_xlpm.tk,1))*((ISNUMBER(SEARCH("А",_xlpm.tk))+ISNUMBER(SEARCH("A",_xlpm.tk)))&gt;0)*NOT(ISNUMBER(SEARCH("МА",_xlpm.tk)))*NOT(ISNUMBER(SEARCH("MA",_xlpm.tk))),""),IFERROR(--SUBSTITUTE(SUBSTITUTE(INDEX(_xlpm.a_,1),"А",""),"A",""),"")))</f>
        <v/>
      </c>
      <c r="CU107" t="str" cm="1">
        <f t="array" ref="CU107">IF(CR107="","",_xlfn.LET(_xlpm.tk,_xlfn.TEXTSPLIT(UPPER(CR107)," ",,TRUE),_xlpm.a_,_xlfn._xlws.FILTER(_xlpm.tk,ISNUMBER(--LEFT(_xlpm.tk,1))*((ISNUMBER(SEARCH("МА",_xlpm.tk))+ISNUMBER(SEARCH("MA",_xlpm.tk)))&gt;0),""),IFERROR(--SUBSTITUTE(SUBSTITUTE(INDEX(_xlpm.a_,1),"МА",""),"MA",""),30)))</f>
        <v/>
      </c>
      <c r="CV107" t="str">
        <f>IF(CS107="","",IFERROR(_xlfn.XLOOKUP(CS107,Линии[_n],Линии[_УЗО, мА]),30))</f>
        <v/>
      </c>
      <c r="CW107">
        <f>IF(CS107="",0,IF(ISNUMBER(SEARCH("4P",IFERROR(_xlfn.XLOOKUP(CS107,Линии[_n],Линии[_УЗО строки])&amp;"",""))),0,1))</f>
        <v>0</v>
      </c>
      <c r="CX107" t="str">
        <f>IF(AND(CS107&lt;&gt;"",CS107=BA107),SUMIFS(Линии[_ток на 230 В],Линии[_блок УЗО],BA107,Линии[Щит],A107),"")</f>
        <v/>
      </c>
      <c r="CY107" t="str">
        <f>IF(AND(CS107&lt;&gt;"",CS107=BA107),SUMIFS(Линии[_ток утечки линии, мА],Линии[_блок УЗО],BA107,Линии[Щит],A107),"")</f>
        <v/>
      </c>
      <c r="CZ107">
        <f t="shared" si="168"/>
        <v>0</v>
      </c>
      <c r="DA107">
        <f t="shared" si="169"/>
        <v>0</v>
      </c>
      <c r="DB107">
        <f>IF(B107="",0,IFERROR(--_xlfn.XLOOKUP(B107,Коды_код,Коды_минавт),IFERROR(--_xlfn.XLOOKUP(BC107,Коды_код,Коды_минавт),IFERROR(--_xlfn.XLOOKUP(LEFT(BC107,2),Коды_код,Коды_минавт),0))))</f>
        <v>0</v>
      </c>
      <c r="DC107" t="str">
        <f>IF(B107="","",IFERROR(_xlfn.XLOOKUP(BC107,Коды_код,Коды_апп)&amp;"",""))</f>
        <v/>
      </c>
      <c r="DD107" t="str">
        <f t="shared" si="170"/>
        <v/>
      </c>
      <c r="DE107" t="str" cm="1">
        <f t="array" ref="DE107">IF(TRIM(DD107&amp;"")="","",IFERROR(TRIM(INDEX(_xlfn.TEXTSPLIT(DD107&amp;";;;",";"),1)),""))</f>
        <v/>
      </c>
      <c r="DF107" t="str" cm="1">
        <f t="array" ref="DF107">IF(TRIM(DD107&amp;"")="","",IFERROR(TRIM(INDEX(_xlfn.TEXTSPLIT(DD107&amp;";;;",";"),2)),""))</f>
        <v/>
      </c>
      <c r="DG107" t="str" cm="1">
        <f t="array" ref="DG107">IF(TRIM(DD107&amp;"")="","",IFERROR(TRIM(INDEX(_xlfn.TEXTSPLIT(DD107&amp;";;;",";"),3)),""))</f>
        <v/>
      </c>
      <c r="DH107">
        <f t="shared" si="171"/>
        <v>0</v>
      </c>
      <c r="DI107" t="str">
        <f>IF(B107="","",_xlfn.LET(_xlpm.t,LOWER(AZ107&amp;""),IF(ISNUMBER(SEARCH("dim",_xlpm.t)),"DIM",IF(ISNUMBER(SEARCH("dali",_xlpm.t)),"DALI",IF(OR(ISNUMBER(SEARCH("relay",_xlpm.t)),ISNUMBER(SEARCH("реле",_xlpm.t))),"Relay",IF(ISNUMBER(SEARCH("кнопк",_xlpm.t)),"",IFERROR(_xlfn.XLOOKUP(BC107,Коды_код,Коды_упр)&amp;"","")))))))</f>
        <v/>
      </c>
      <c r="DJ107" t="str">
        <f t="shared" si="172"/>
        <v/>
      </c>
      <c r="DK107">
        <f>IF(B107="","",_xlfn.LET(_xlpm.ig,IF(N(CX107)&gt;0,N(CX107),N(CI107)+IF(AJ107="вручную",0,N(CJ107))),_xlpm.n0,IFERROR(VLOOKUP(_xlpm.ig,Автомат_номиналы,2,TRUE),0),_xlpm.mn,MAX(DB107,IF(AJ107="вручную",0,N(CM107))),MAX(_xlpm.n0,_xlpm.mn,IF(DH107=1,Мин_автомат_БП,0))))</f>
        <v>6</v>
      </c>
      <c r="DL107">
        <f t="shared" si="173"/>
        <v>1</v>
      </c>
      <c r="DM107" t="str">
        <f t="shared" si="174"/>
        <v>1P</v>
      </c>
      <c r="DN107" t="str">
        <f>_xlfn.LET(_xlpm.cc,UPPER(TRIM(IFERROR(_xlfn.XLOOKUP(BC107,Коды_код,Коды_хар)&amp;"",""))),IF(OR(_xlpm.cc="B",_xlpm.cc="В"),"B",IF(_xlpm.cc="D","D","С")))</f>
        <v>С</v>
      </c>
      <c r="DO107" t="str">
        <f t="shared" si="175"/>
        <v>1P С6А</v>
      </c>
      <c r="DP107">
        <f t="shared" si="176"/>
        <v>10</v>
      </c>
      <c r="DQ107" t="str">
        <f t="shared" si="177"/>
        <v>1P С10А</v>
      </c>
      <c r="DR107" cm="1">
        <f t="array" ref="DR107">IF(DQ107="","",_xlfn.LET(_xlpm.t,SUBSTITUTE(SUBSTITUTE(SUBSTITUTE(UPPER(DQ107),"С","C"),"А","A"),"В","B"),_xlpm.tk,_xlfn.TEXTSPLIT(_xlpm.t," "),_xlpm.f,_xlfn._xlws.FILTER(_xlpm.tk,ISNUMBER(--MID(_xlpm.tk,2,1))*ISNUMBER(SEARCH(LEFT(_xlpm.tk,1)&amp;"#","B#C#D#"))*(LEN(_xlpm.tk)&gt;1),""),_xlpm.x,INDEX(_xlpm.f,1),IFERROR(--SUBSTITUTE(MID(_xlpm.x,2,9),"A",""),IFERROR(--SUBSTITUTE(INDEX(_xlfn._xlws.FILTER(_xlpm.tk,ISNUMBER(--SUBSTITUTE(_xlpm.tk,"A","")),""),1),"A",""),""))))</f>
        <v>10</v>
      </c>
      <c r="DS107" t="str">
        <f t="shared" si="178"/>
        <v>ok</v>
      </c>
      <c r="DT107">
        <f t="shared" si="179"/>
        <v>10</v>
      </c>
      <c r="DU107" t="str">
        <f t="shared" si="180"/>
        <v>1P С10А</v>
      </c>
      <c r="DV107">
        <f t="shared" si="181"/>
        <v>0</v>
      </c>
      <c r="DW107">
        <f t="shared" si="182"/>
        <v>0</v>
      </c>
      <c r="DX107">
        <f t="shared" si="183"/>
        <v>0</v>
      </c>
      <c r="DY107">
        <f t="shared" si="184"/>
        <v>1.46141786888624</v>
      </c>
      <c r="DZ107">
        <f t="shared" si="185"/>
        <v>1</v>
      </c>
      <c r="EA107">
        <f>IF(ISNUMBER(AP107),AP107,К_прокл)</f>
        <v>1</v>
      </c>
      <c r="EB107">
        <f t="shared" si="186"/>
        <v>2</v>
      </c>
      <c r="EC107">
        <f>IFERROR(N(VLOOKUP(BZ107,Кабель_обозначение,3,FALSE)),1)</f>
        <v>1</v>
      </c>
      <c r="ED107">
        <f>IFERROR(N(_xlfn.XLOOKUP(A107,Щиты[Щит],Щиты[ΔU до шин, %])),0)</f>
        <v>0.24000000000000002</v>
      </c>
      <c r="EE107" t="str">
        <f>IFERROR(_xlfn.XLOOKUP(A107,Щиты[Щит],Щиты[Zпетли на шинах, Ом]),"")</f>
        <v/>
      </c>
      <c r="EF107">
        <f>IFERROR(N(_xlfn.XLOOKUP(A107,Щиты[Щит],Щиты[ΔU до шин (подбор), %])),0)</f>
        <v>0.36</v>
      </c>
      <c r="EG107" t="str">
        <f>IFERROR(_xlfn.XLOOKUP(A107,Щиты[Щит],Щиты[Zпетли на шинах (подбор), Ом]),"")</f>
        <v/>
      </c>
      <c r="EH107" t="str">
        <f t="shared" si="187"/>
        <v/>
      </c>
      <c r="EI107">
        <f t="shared" si="188"/>
        <v>34</v>
      </c>
      <c r="EJ107">
        <f t="shared" si="189"/>
        <v>2</v>
      </c>
      <c r="EK107">
        <f t="shared" si="190"/>
        <v>0.6</v>
      </c>
      <c r="EL107" s="6">
        <f>IF(B107="","",IF(BV107=1,dU_LED,IF(IFERROR(_xlfn.XLOOKUP(BC107,Коды_код,Коды_уго),"")="Светильник",3,4)+IF(Методика="нормы 2026",MIN(0.5,MAX(0,N(P107)-100)*0.005),0)))</f>
        <v>4</v>
      </c>
      <c r="EM107" cm="1">
        <f t="array" ref="EM107">IF(OR(B107="",BZ107="",EC107&lt;&gt;1),"",_xlfn.LET(_xlpm.sz,Iдоп_S,_xlpm.t_,CHOOSE(EB107,Iдоп_1ж,Iдоп_2ж,Iдоп_3ж)*DZ107*EA107,_xlpm.dcx,BV107=1,_xlpm.inn,IF(_xlpm.dcx,N(O107),N(DT107)),_xlpm.smin,MAX(1.5,CC107),_xlpm.L_,N(P107)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107)/N(BU107)*100,999),IFERROR(N(EJ107)*(_xlpm.rho*_xlpm.L_/_xlpm.sz*N(CE107)+_xlpm.xx*_xlpm.L_*N(EK107)/1000)*N(O107)/((Uн_лин/SQRT(3))*1000)*100,999)),_xlpm.kz,IF(OR(_xlpm.dcx,DW107=1,NOT(ISNUMBER(EG107)),_xlpm.L_=0,_xlpm.inn=0),1,IFERROR(--(c_min*(Uн_лин*1000/SQRT(3))/(EG107+2*ρкз_Cu*_xlpm.L_/_xlpm.sz)&gt;=HT107*_xlpm.inn),0)),_xlpm.ok,IFERROR((_xlpm.sz&gt;=_xlpm.smin)*(_xlpm.t_&gt;=_xlpm.inn)*IF(_xlpm.L_&gt;0,(_xlpm.du_+IF(_xlpm.dcx,0,EF107)&lt;=EL107+0.00001),1)*_xlpm.kz,0),_xlpm.r_,_xlfn._xlws.FILTER(_xlpm.sz,_xlpm.ok,"не подобрано"),INDEX(_xlpm.r_,1)))</f>
        <v>1.5</v>
      </c>
      <c r="EN107">
        <f t="shared" si="191"/>
        <v>1.5</v>
      </c>
      <c r="EO107" cm="1">
        <f t="array" ref="EO107">IF(OR(B107="",BZ107="",EC107&lt;&gt;1),"",_xlfn.LET(_xlpm.sz,Iдоп_S,_xlpm.t_,CHOOSE(EB107,Iдоп_1ж,Iдоп_2ж,Iдоп_3ж)*DZ107*EA107,_xlpm.ok,IFERROR((_xlpm.sz&gt;=MAX(1.5,CC107))*(_xlpm.t_&gt;=N(DT107)),0),_xlpm.r_,_xlfn._xlws.FILTER(_xlpm.sz,_xlpm.ok,""),INDEX(_xlpm.r_,1)))</f>
        <v>1.5</v>
      </c>
      <c r="EP107" s="6" cm="1">
        <f t="array" ref="EP107">IFERROR(ROUNDUP(N(EJ107)*(_xlfn.XLOOKUP(EO107,INDEX(Кабель_сопротивление,0,1),INDEX(Кабель_сопротивление,0,3))*N(P107)/EO107*N(CE107)+_xlfn.XLOOKUP(EO107,INDEX(Кабель_сопротивление,0,1),INDEX(Кабель_сопротивление,0,2))*N(P107)*N(EK107)/1000)*N(O107)/((Uн_лин/SQRT(3))*1000)*100,2),"")</f>
        <v>0.59</v>
      </c>
      <c r="EQ107">
        <f>IFERROR(2*ρкз_Cu*N(P107)/EO107,"")</f>
        <v>1.3325333333333333</v>
      </c>
      <c r="ER107">
        <f>IFERROR(VLOOKUP(EN107,Кабель_сопротивление,3,FALSE),"")</f>
        <v>2.2499999999999999E-2</v>
      </c>
      <c r="ES107">
        <f>IFERROR(VLOOKUP(EN107,Кабель_сопротивление,2,FALSE),"")</f>
        <v>0.11</v>
      </c>
      <c r="ET107">
        <f t="shared" si="192"/>
        <v>9</v>
      </c>
      <c r="EU107">
        <f t="shared" si="193"/>
        <v>0</v>
      </c>
      <c r="EV107">
        <f t="shared" si="194"/>
        <v>1.3401435684545842</v>
      </c>
      <c r="EW107" s="6">
        <f>IFERROR(ROUNDUP(EV107/IF(BV107=1,BU107,(Uн_лин/SQRT(3))*1000)*100,2),"")</f>
        <v>0.59</v>
      </c>
      <c r="EX107" t="str">
        <f>IFERROR(VLOOKUP(BZ107,Кабель_обозначение,2,FALSE),"")</f>
        <v>ВВГнг(А)-LS</v>
      </c>
      <c r="EY107" t="str">
        <f t="shared" si="195"/>
        <v>ВВГнг(А)-LS (3х1,5)</v>
      </c>
      <c r="EZ107" t="str">
        <f t="shared" si="196"/>
        <v>ВВГнг(А)-LS (3х1,5)
L=38-0,59%</v>
      </c>
      <c r="FA107">
        <f>IFERROR(2*ρкз_Cu*P107/EN107,"")</f>
        <v>1.3325333333333333</v>
      </c>
      <c r="FB107">
        <f t="shared" si="197"/>
        <v>0.44333333333333336</v>
      </c>
      <c r="FC107" s="6" t="str">
        <f>IFERROR(IF(OR(B107="",BV107=1,NOT(ISNUMBER(EN107)),N(P107)=0),"",_xlfn.XLOOKUP(A107,Щиты[Щит],Щиты[Zпетли на шинах, Ом])+FA107),"")</f>
        <v/>
      </c>
      <c r="FD107" s="6" t="str">
        <f>IF(ISNUMBER(FC107),c_min*(Uн_лин*1000/SQRT(3))/FC107,"")</f>
        <v/>
      </c>
      <c r="FE107" s="6" t="str">
        <f>IFERROR(IF(OR(B107="",NOT(ISNUMBER(EN107))),"",1.05*(Uн_лин*1000/SQRT(3))/(_xlfn.XLOOKUP(A107,Щиты[Щит],Щиты[Zmax на шинах, Ом])+FB107)/1000),"")</f>
        <v/>
      </c>
      <c r="FF107" s="6" t="str">
        <f>IF(B107="","",IF(ISNUMBER(AC107),"Сил",IF(IFERROR(_xlfn.XLOOKUP(BC107,Коды_код,Коды_группа)&amp;"","")="","Быт",_xlfn.XLOOKUP(BC107,Коды_код,Коды_группа)&amp;"")))</f>
        <v>Сил</v>
      </c>
      <c r="FG107" s="6" t="str">
        <f t="shared" si="198"/>
        <v>Сил</v>
      </c>
      <c r="FH107" s="6">
        <f>IF(FG107="Щит","щит",IF(FG107="","",IF(FG107="Быт",IFERROR(_xlfn.XLOOKUP(A107,Щиты[Щит],Щиты[Кс быт]),1),IF(FG107="Сил",IF(ISNUMBER(AC107),AC107,IF(Методика="нормы 2026",IFERROR(_xlfn.XLOOKUP(A107,Щиты[Щит],Щиты[Кс силовых (табл. 7.5)]),1),1)),IF(OR(FG107="Пост",FG107="Отоп"),1,IF(FG107="ВНГ",0.7,0))))))</f>
        <v>0.5</v>
      </c>
      <c r="FI107">
        <f>IF(FG107="","",IF(AND(BP107=1,TRIM(AE107&amp;"")=""),IF(COUNTIFS(Линии[Щит],A107,Линии[Секция (1/2/3)],"&gt;=2")&gt;0,MIN(3,MAX(1,IFERROR(--BD107,1))),1),IFERROR(MIN(3,MAX(1,INT(--AE107))),1)))</f>
        <v>1</v>
      </c>
      <c r="FJ107">
        <f t="shared" si="199"/>
        <v>0.27</v>
      </c>
      <c r="FK107">
        <f t="shared" si="200"/>
        <v>0</v>
      </c>
      <c r="FL107">
        <f t="shared" si="201"/>
        <v>0.13500000000000001</v>
      </c>
      <c r="FM107">
        <f t="shared" si="202"/>
        <v>0</v>
      </c>
      <c r="FN107">
        <f t="shared" si="203"/>
        <v>0</v>
      </c>
      <c r="FO107">
        <f t="shared" si="204"/>
        <v>0</v>
      </c>
      <c r="FP107">
        <f t="shared" si="205"/>
        <v>0.27</v>
      </c>
      <c r="FQ107">
        <f t="shared" si="206"/>
        <v>0.27</v>
      </c>
      <c r="FR107">
        <f t="shared" si="207"/>
        <v>0.21600000000000003</v>
      </c>
      <c r="FS107">
        <f>IF(CG107=1,IF(AND(CH107=1,CW107=1),0,IF(AND(CS107&lt;&gt;"",CS107=BA107,CW107=1),SUMIFS(Линии[_Р линии, кВт],Линии[_блок УЗО],BA107,Линии[Щит],A107),N(BS107)+IF(AJ107="вручную",0,N(CK107)))),0)</f>
        <v>0.27</v>
      </c>
      <c r="FT107" t="str">
        <f t="shared" si="208"/>
        <v/>
      </c>
      <c r="FU107" t="str">
        <f>IF(B107="","",IF(CG107=0,IF(BA107=1,"",FW106),IF(AND(CH107=1,CW107=1,CS107&lt;&gt;""),IFERROR(_xlfn.XLOOKUP(CS107,Линии[_n],Линии[_фаза итог]),"L1"),IF(OR(N(DL107)&gt;=3,N(BX107)&gt;=3),"L1,L2,L3",IFERROR(_xlfn.TEXTBEFORE(_xlfn.TEXTAFTER(_xlfn.XLOOKUP(A107,Щиты[Щит],Щиты[_фазы авто]),";"&amp;BA107&amp;":"),";"),"L1")))))</f>
        <v>L2</v>
      </c>
      <c r="FV107" t="str">
        <f t="shared" si="209"/>
        <v>L2</v>
      </c>
      <c r="FW107" t="str">
        <f t="shared" si="210"/>
        <v>L2</v>
      </c>
      <c r="FX107" cm="1">
        <f t="array" ref="FX107">IFERROR(IF(CD107=2,_xlfn.IFS(BX107=3,VLOOKUP(BS107,Справочная_двигатели,3,FALSE),BX107=1,VLOOKUP(BS107,Справочная_двигатели,5,TRUE)),0),0)</f>
        <v>0</v>
      </c>
      <c r="FY107">
        <f>IFERROR(IF(CD107=3,VLOOKUP(BS107,Справочная_ЛЭД,2,TRUE),0),0)</f>
        <v>0</v>
      </c>
      <c r="FZ107" s="6">
        <f t="shared" si="211"/>
        <v>0</v>
      </c>
      <c r="GA107" t="str">
        <f>IF(B107="","",IF(TRIM(AH107&amp;"")&lt;&gt;"",IF(LOWER(TRIM(AH107&amp;""))="да","да","нет"),IF(IFERROR(_xlfn.XLOOKUP(BC107,Коды_код,Коды_пожарная),"")="да","да","нет")))</f>
        <v>нет</v>
      </c>
      <c r="GB107" t="str">
        <f t="shared" si="212"/>
        <v/>
      </c>
      <c r="GC107" t="str">
        <f t="shared" si="213"/>
        <v>основная</v>
      </c>
      <c r="GD107">
        <f>IF(AND(BP107=1,TRIM(AE107&amp;"")=""),IF(COUNTIFS(Линии[Щит],A107,Линии[Секция (1/2/3)],"&gt;=2")&gt;0,MIN(3,MAX(1,IFERROR(--BD107,1))),1),IFERROR(MIN(3,MAX(1,INT(--AE107))),1))</f>
        <v>1</v>
      </c>
      <c r="GE107" t="str" cm="1">
        <f t="array" ref="GE107">IF(B107="","",_xlfn.LET(_xlpm.t,IFERROR(_xlfn.XLOOKUP(1,(Шины[Шина]=GC107)*(((Шины[Щит]=A107)+(Шины[Щит]=""))&gt;0),Шины[Тип]),"")&amp;"",IF(_xlpm.t&lt;&gt;"",_xlpm.t,IF(ISNUMBER(SEARCH("ИБП",GC107)),"ИБП",IF(ISNUMBER(SEARCH("ДГУ",GC107)),"ДГУ","Ввод "&amp;GD107)))))</f>
        <v>Ввод 1</v>
      </c>
      <c r="GF107" t="str">
        <f t="shared" si="214"/>
        <v>Ввод 1</v>
      </c>
      <c r="GG107" t="str">
        <f>IF(BP107=0,"",IF(TRIM(AG107&amp;"")&lt;&gt;"",TRIM(AG107&amp;""),IF(OR(GE107="ИБП",GE107="ДГУ"),"I особая",_xlfn.XLOOKUP(A107,Щиты[Щит],Щиты[Категория шины «Ввод»],"III"))))</f>
        <v/>
      </c>
      <c r="GH107" t="str">
        <f>IF(A107="","",_xlfn.XLOOKUP(A107,Щиты[Щит],Щиты[Путь],""))</f>
        <v>|ГРЩ-ЖД|ЩОВ-01|</v>
      </c>
      <c r="GI107" t="str">
        <f>IF(B107="","",IF(AI107&lt;&gt;"",AI107,IF(IFERROR(_xlfn.XLOOKUP(BC107,Коды_код,Коды_вид)&amp;"","")="","Прочее",_xlfn.XLOOKUP(BC107,Коды_код,Коды_вид)&amp;"")))</f>
        <v>Вентиляция</v>
      </c>
      <c r="GJ107">
        <f>IF(BM107="","",INT((BM107-1)/Столбцов_на_лист)+1)</f>
        <v>2</v>
      </c>
      <c r="GK107" t="str">
        <f t="shared" si="215"/>
        <v>ВВГнг(А)-LS (3х1,5) L=38-0,59%</v>
      </c>
      <c r="GL107">
        <f t="shared" si="216"/>
        <v>0.27</v>
      </c>
      <c r="GM107">
        <f t="shared" si="217"/>
        <v>1.47</v>
      </c>
      <c r="GN107">
        <f t="shared" si="218"/>
        <v>1</v>
      </c>
      <c r="GO107">
        <f t="shared" si="219"/>
        <v>0</v>
      </c>
      <c r="GP107">
        <f t="shared" si="220"/>
        <v>1</v>
      </c>
      <c r="GQ107">
        <f>IF(BM107="","",IF(AND(CG107=1,GP107=1),COUNTIFS(A$3:A107,A107,CG$3:CG107,1,GP$3:GP107,1),IF(OR(OR(BA107=1,A107&lt;&gt;A106),AJ107="вручную",GP107=0),"",IF(BA107=1,"",GR106))))</f>
        <v>5</v>
      </c>
      <c r="GR107">
        <f t="shared" si="221"/>
        <v>5</v>
      </c>
      <c r="GS107">
        <f>IF(B107="","",IFERROR(LOOKUP(INDEX(CHOOSE(EB107,Iдоп_1ж,Iдоп_2ж,Iдоп_3ж),MATCH(EN107,Iдоп_S,0))*DZ107*EA107,{6,10,16,20,25,32,40,50,63,80,100,125,160,200,250,315,400,500,630}),""))</f>
        <v>16</v>
      </c>
      <c r="GT107" t="str">
        <f t="shared" si="222"/>
        <v>QF5</v>
      </c>
      <c r="GU107" t="str">
        <f t="shared" si="223"/>
        <v>QF5</v>
      </c>
      <c r="GV107" t="str">
        <f t="shared" si="224"/>
        <v/>
      </c>
      <c r="GW107">
        <f t="shared" si="225"/>
        <v>0</v>
      </c>
      <c r="GX107" t="str">
        <f>IF(OR(B107="",DJ107=""),"",IFERROR(_xlfn.XLOOKUP(DJ107,Модули_умолч[Управление],Модули_умолч[Модель])&amp;"",""))</f>
        <v/>
      </c>
      <c r="GY107">
        <f>IF(DJ107="",1,IFERROR(MAX(0,N(_xlfn.XLOOKUP(DJ107,Модули_умолч[Управление],Модули_умолч[Каналов на линию]))),1))</f>
        <v>1</v>
      </c>
      <c r="GZ107" t="str">
        <f t="shared" si="226"/>
        <v/>
      </c>
      <c r="HA107" t="str">
        <f t="shared" si="227"/>
        <v/>
      </c>
      <c r="HB107" t="str">
        <f t="shared" si="228"/>
        <v/>
      </c>
      <c r="HC107">
        <f>IF(HB107="",0,IFERROR(N(VLOOKUP(HB107,Модули_спр,3,FALSE)),0))</f>
        <v>0</v>
      </c>
      <c r="HD107" t="str">
        <f t="shared" si="229"/>
        <v/>
      </c>
      <c r="HE107" t="str">
        <f t="shared" si="230"/>
        <v/>
      </c>
      <c r="HF107" t="str">
        <f>IF(OR(HE107="",HE107="-"),"",IFERROR(VLOOKUP(HE107,Модули_спр,2,FALSE),"R"))</f>
        <v/>
      </c>
      <c r="HG107" t="str">
        <f>IF(HF107="","",HF107&amp;"."&amp;COUNTIFS(A$3:A107,A107,HF$3:HF107,HF107))</f>
        <v/>
      </c>
      <c r="HH107" t="str">
        <f t="shared" si="231"/>
        <v/>
      </c>
      <c r="HI107" t="str">
        <f t="shared" si="232"/>
        <v/>
      </c>
      <c r="HJ107" t="str">
        <f t="shared" si="233"/>
        <v/>
      </c>
      <c r="HK107" t="str">
        <f t="shared" si="234"/>
        <v/>
      </c>
      <c r="HL107">
        <f t="shared" si="235"/>
        <v>1</v>
      </c>
      <c r="HM107" t="str">
        <f>IF(HL107=1,"XT"&amp;COUNTIFS(A$3:A107,A107,HL$3:HL107,1),"")</f>
        <v>XT5</v>
      </c>
      <c r="HN107" t="str">
        <f t="shared" si="236"/>
        <v/>
      </c>
      <c r="HO107" t="str">
        <f t="shared" si="237"/>
        <v>QF5</v>
      </c>
      <c r="HP107" t="str">
        <f t="shared" si="238"/>
        <v/>
      </c>
      <c r="HQ107" t="str">
        <f t="shared" si="239"/>
        <v>ok</v>
      </c>
      <c r="HR107" t="str">
        <f>IF(OR(HJ107="",HH107=""),"",IF(HJ107+MAX(0,GY107-1)&gt;IFERROR(VLOOKUP(HI107,Модули_спр,3,FALSE),99),"ЛИШНИЙ КАНАЛ",IF(AND(AL107&lt;&gt;"=",GY107&gt;0,COUNTIFS(Линии[_модуль гр.],HH107,Линии[Канал (итог)],HJ107,Линии[Канал],"&lt;&gt;=",Линии[Щит],A107)&gt;1),"ДУБЛЬ КАНАЛА","")))</f>
        <v/>
      </c>
      <c r="HS107" s="6" t="str">
        <f t="shared" si="240"/>
        <v/>
      </c>
      <c r="HT107">
        <f t="shared" si="241"/>
        <v>10</v>
      </c>
      <c r="HU107" t="str">
        <f t="shared" si="242"/>
        <v/>
      </c>
      <c r="HV107">
        <f t="shared" si="243"/>
        <v>0.96456714755449602</v>
      </c>
      <c r="HW107">
        <f t="shared" si="244"/>
        <v>0</v>
      </c>
      <c r="HX107">
        <f t="shared" si="245"/>
        <v>0</v>
      </c>
      <c r="HY107">
        <f t="shared" si="246"/>
        <v>0</v>
      </c>
      <c r="HZ107">
        <f t="shared" si="247"/>
        <v>0</v>
      </c>
      <c r="IA107">
        <f t="shared" si="248"/>
        <v>0</v>
      </c>
      <c r="IB107">
        <f t="shared" si="249"/>
        <v>0</v>
      </c>
      <c r="IC107" t="str">
        <f t="shared" si="250"/>
        <v/>
      </c>
      <c r="ID107" t="str" cm="1">
        <f t="array" ref="ID107">IF(IC107="","",_xlfn.LET(_xlpm.tk,_xlfn.TEXTSPLIT(SUBSTITUTE(SUBSTITUTE(IC107,";"," "),"→"," ")," ",,TRUE),_xlpm.w_,_xlfn._xlws.FILTER(_xlpm.tk,ISNUMBER(--LEFT(_xlpm.tk,1))*((ISNUMBER(SEARCH("W",_xlpm.tk))+ISNUMBER(SEARCH("Вт",_xlpm.tk)))&gt;0),""),IFERROR(--SUBSTITUTE(SUBSTITUTE(UPPER(INDEX(_xlpm.w_,1)),"W",""),"ВТ",""),"")))</f>
        <v/>
      </c>
      <c r="IE107" t="str" cm="1">
        <f t="array" ref="IE107">IF(IC107="","",_xlfn.LET(_xlpm.tk,_xlfn.TEXTSPLIT(SUBSTITUTE(SUBSTITUTE(IC107,";"," "),"→"," ")," ",,TRUE),_xlpm.v_,_xlfn._xlws.FILTER(_xlpm.tk,ISNUMBER(--LEFT(_xlpm.tk,1))*((ISNUMBER(SEARCH("V",_xlpm.tk))+(RIGHT(UPPER(_xlpm.tk))="В"))&gt;0),""),IFERROR(--SUBSTITUTE(SUBSTITUTE(UPPER(INDEX(_xlpm.v_,1)),"V",""),"В",""),"")))</f>
        <v/>
      </c>
      <c r="IF107" s="6" t="str">
        <f>IF(OR(BV107=0,HI107="",HJ107=""),"",IFERROR(N(_xlfn.XLOOKUP(HI107,Каталог!$C$4:$C$500,Каталог!$Q$4:$Q$500)),""))</f>
        <v/>
      </c>
      <c r="IG107" s="6" t="str">
        <f>IF(N(IF107)=0,"",SUMIFS(Линии[Iр, А],Линии[Щит],A107,Линии[_модуль гр.],HH107,Линии[Канал (итог)],HJ107))</f>
        <v/>
      </c>
      <c r="IH107" t="str">
        <f>IF(AND(B107="",HO107=""),"",_xlfn.TEXTJOIN("; ",TRUE,IF(AND(B107&lt;&gt;"",FV107=""),"нет фазы",""),IF(AND(B107&lt;&gt;"",N(GL107)=0,FG107&lt;&gt;"Нет"),"нет мощности",""),IF(AND(HN107&lt;&gt;"",COUNTIFS(Линии[Щит],A107,Линии[Клемма (итог)],HN107)&gt;1),"дубль клеммы "&amp;HN107,""),IF(AND(HQ107&lt;&gt;"",HQ107&lt;&gt;"ok"),HQ107,""),IF(HR107&lt;&gt;"",HR107,""),IF(AND(N(CB107)&gt;=4,N(BX107)=1),CB107&amp;" жил на 1 фазе",""),IF(AND(BC107="R",CG107=1,IF(CS107&lt;&gt;"",N(CV107)&gt;30,OR(N(DA107)=0,N(DA107)&gt;30))),"розетка без дифзащиты до 30 мА",""),IF(AND(CG107=1,N(DA107)&gt;0,ISNUMBER(T107)),IF(T107&gt;N(DA107)/3,"ток утечки "&amp;FIXED(T107,1)&amp;" мА &gt; 1/3 уставки ("&amp;DA107&amp;" мА)",""),""),IF(AND(CH107=1,CS107=""),"«узо»: нет строки с УЗО выше (УЗО 2P 40А 30мА в «Аппаратах»)",""),IF(AND(CS107&lt;&gt;"",CS107=BA107),IF(CT107="","впишите номинал УЗО (УЗО 2P 40А 30мА)",IF(N(CT107)&lt;N(DT107),"УЗО "&amp;CT107&amp;" А &lt; автомата "&amp;DT107&amp;" А перед ним",IF(N(CT107)&lt;N(CX107),"УЗО "&amp;CT107&amp;" А &lt; тока блока "&amp;FIXED(CX107,1)&amp;" А",""))),""),IF(AND(CS107&lt;&gt;"",CS107=BA107,ISNUMBER(CY107)),IF(CY107&gt;N(CV107)/3,"ток утечки блока УЗО "&amp;FIXED(CY107,1)&amp;" мА &gt; 1/3 уставки ("&amp;CV107&amp;" мА)",""),""),IF(AND(CG107=1,N(BV107)+N(IB107)&gt;0,IC107=""),"линии до 50 В без БП: впишите в «Аппараты» (БП 24V 480W)",""),IF(AND(CG107=1,ISNUMBER(ID107),ISNUMBER(U107)),IF(U107&gt;ID107,"БП "&amp;ID107&amp;" Вт &lt; нужно "&amp;U107&amp;" Вт (×"&amp;Запас_БП&amp;")",""),""),IF(AND(CG107=1,ISNUMBER(IE107),N(BV107)=1),IF(IE107&lt;&gt;N(BU107),"БП на "&amp;IE107&amp;" В, линия "&amp;BU107&amp;" В",""),""),IF(AND(N(IF107)&gt;0,N(IG107)&gt;N(IF107)),HH107&amp;" канал "&amp;HJ107&amp;": "&amp;FIXED(IG107,1)&amp;" А &gt; "&amp;IF107&amp;" А",""),IFERROR(IF(AND(ISNUMBER(Q107),Q107&gt;EL107),"потери "&amp;FIXED(Q107,1)&amp;" % &gt; "&amp;EL107&amp;" %",""),""),IFERROR(IF(LEFT(HU107,4)="мало","Iкз мало — отключение &gt; 0,4 с",""),""),IF(AND(B107&lt;&gt;"",BM107=""),"не на схеме",""),IF(AND(CG107=0,B107&lt;&gt;"",FV107&lt;&gt;"",IF(BA107=1,"",FW106)&lt;&gt;"",FV107&lt;&gt;IF(BA107=1,"",FW106)),"фаза не как у автомата группы ("&amp;IF(BA107=1,"",FW106)&amp;")","")))</f>
        <v/>
      </c>
      <c r="II107" s="6">
        <f>IF(OR(CG107=0,DQ107=""),"",_xlfn.LET(_xlpm.t,IFERROR(_xlfn.XLOOKUP(DQ107,Каталог!$U$4:$U$500,Каталог!$G$4:$G$500),""),_xlpm.k,SEARCH("кА",_xlpm.t),IFERROR(--TRIM(RIGHT(SUBSTITUTE(MID(_xlpm.t,MAX(1,_xlpm.k-4),_xlpm.k-MAX(1,_xlpm.k-4))," ",REPT(" ",9)),5)),"")))</f>
        <v>6</v>
      </c>
      <c r="IJ107" t="str">
        <f>IF(OR(II107="",CG107=0),"",IF(_xlfn.XLOOKUP(A107,Щиты[Щит],Щиты[Iкз max на шинах, кА],"")="","",IF(II107&lt;_xlfn.XLOOKUP(A107,Щиты[Щит],Щиты[Iкз max на шинах, кА]),"Icu "&amp;II107&amp;" кА &lt; Iкз max","ok")))</f>
        <v/>
      </c>
      <c r="IK107" t="str">
        <f t="shared" si="251"/>
        <v/>
      </c>
      <c r="IL107" t="str">
        <f t="shared" si="252"/>
        <v>QF5</v>
      </c>
      <c r="IM107" t="str">
        <f t="shared" si="253"/>
        <v>QF5|кабель ВВГнг(А)-LS (3х1,5) → Вытяжная установка Пом. №019Б</v>
      </c>
      <c r="IN107" t="str" cm="1">
        <f t="array" ref="IN107">IF(IM107="","",_xlfn.LET(_xlpm.nd,_xlfn.TEXTSPLIT(IM107,"|"),IF(COLUMNS(_xlpm.nd)&gt;1,A107&amp;"¦"&amp;INDEX(_xlpm.nd,1)&amp;"¦"&amp;INDEX(_xlpm.nd,2),"")))</f>
        <v>ЩОВ-01¦QF5¦кабель ВВГнг(А)-LS (3х1,5) → Вытяжная установка Пом. №019Б</v>
      </c>
      <c r="IO107" t="str">
        <f t="shared" si="254"/>
        <v>В.10¦Вытяжная установка Пом. №019Б</v>
      </c>
      <c r="IP107" t="str" cm="1">
        <f t="array" ref="IP107">IF(IM107="","",_xlfn.LET(_xlpm.nd,_xlfn.TEXTSPLIT(IM107,"|"),IF(COLUMNS(_xlpm.nd)&gt;2,A107&amp;"¦"&amp;INDEX(_xlpm.nd,2)&amp;"¦"&amp;INDEX(_xlpm.nd,3),"")))</f>
        <v/>
      </c>
      <c r="IQ107" t="str">
        <f t="shared" si="255"/>
        <v/>
      </c>
      <c r="IR107" t="str" cm="1">
        <f t="array" ref="IR107">IF(IM107="","",_xlfn.LET(_xlpm.nd,_xlfn.TEXTSPLIT(IM107,"|"),IF(COLUMNS(_xlpm.nd)&gt;3,A107&amp;"¦"&amp;INDEX(_xlpm.nd,3)&amp;"¦"&amp;INDEX(_xlpm.nd,4),"")))</f>
        <v/>
      </c>
      <c r="IS107" t="str">
        <f t="shared" si="256"/>
        <v/>
      </c>
      <c r="IT107" t="str" cm="1">
        <f t="array" ref="IT107">IF(IM107="","",_xlfn.LET(_xlpm.nd,_xlfn.TEXTSPLIT(IM107,"|"),IF(COLUMNS(_xlpm.nd)&gt;4,A107&amp;"¦"&amp;INDEX(_xlpm.nd,4)&amp;"¦"&amp;INDEX(_xlpm.nd,5),"")))</f>
        <v/>
      </c>
      <c r="IU107" t="str">
        <f t="shared" si="257"/>
        <v/>
      </c>
      <c r="IV107" t="str" cm="1">
        <f t="array" ref="IV107">IF(IM107="","",_xlfn.LET(_xlpm.nd,_xlfn.TEXTSPLIT(IM107,"|"),IF(COLUMNS(_xlpm.nd)&gt;5,A107&amp;"¦"&amp;INDEX(_xlpm.nd,5)&amp;"¦"&amp;INDEX(_xlpm.nd,6),"")))</f>
        <v/>
      </c>
      <c r="IW107" t="str">
        <f t="shared" si="258"/>
        <v/>
      </c>
      <c r="IX107" t="str" cm="1">
        <f t="array" ref="IX107">IF(IM107="","",_xlfn.LET(_xlpm.nd,_xlfn.TEXTSPLIT(IM107,"|"),IF(COLUMNS(_xlpm.nd)&gt;6,A107&amp;"¦"&amp;INDEX(_xlpm.nd,6)&amp;"¦"&amp;INDEX(_xlpm.nd,7),"")))</f>
        <v/>
      </c>
      <c r="IY107" t="str">
        <f t="shared" si="259"/>
        <v/>
      </c>
      <c r="IZ107" t="str">
        <f t="shared" si="260"/>
        <v/>
      </c>
      <c r="JA107" t="str">
        <f t="shared" si="261"/>
        <v>QF5</v>
      </c>
      <c r="JB107">
        <f t="shared" si="262"/>
        <v>0</v>
      </c>
      <c r="JC107">
        <f t="shared" si="263"/>
        <v>0</v>
      </c>
      <c r="JD107" t="str">
        <f t="shared" si="264"/>
        <v/>
      </c>
      <c r="JE107" t="str">
        <f t="shared" si="265"/>
        <v/>
      </c>
      <c r="JF107" t="str">
        <f t="shared" si="266"/>
        <v/>
      </c>
      <c r="JG107" t="str">
        <f t="shared" si="267"/>
        <v/>
      </c>
      <c r="JH107" t="str">
        <f>IF(B107="","",IFERROR(_xlfn.XLOOKUP(B107,Коды_код,Коды_уго),IFERROR(_xlfn.XLOOKUP(BC107,Коды_код,Коды_уго),IFERROR(_xlfn.XLOOKUP(LEFT(BC107,2),Коды_код,Коды_уго),""))))</f>
        <v>Привод (двигатель)</v>
      </c>
      <c r="JI107" t="str">
        <f>IF(B107="","",IF(OR(JH107="",JH107=0),"BOX",IFERROR(IF(VLOOKUP(JH107,УГО_блоки,3,FALSE)&amp;""&lt;&gt;"",VLOOKUP(JH107,УГО_блоки,3,FALSE),VLOOKUP(JH107,УГО_блоки,2,FALSE)),JH107)))</f>
        <v>MOTOR</v>
      </c>
      <c r="JJ107">
        <f t="shared" si="268"/>
        <v>1</v>
      </c>
      <c r="JK107" t="str">
        <f>IF(DQ107="","",IF(COUNTIF(DQ$3:DQ107,DQ107)=1,MAX(JK$2:JK106)+1,""))</f>
        <v/>
      </c>
      <c r="JL107" t="str">
        <f>IF(DE107="","",IF(COUNTIF(DE$3:DE107,DE107)+COUNTIF(DF$2:DF106,DE107)+COUNTIF(DG$2:DG106,DE107)=1,MAX(JL$2:JN106)+1,""))</f>
        <v/>
      </c>
      <c r="JM107" t="str">
        <f>IF(DF107="","",IF(COUNTIF(DE$3:DE107,DF107)+COUNTIF(DF$3:DF107,DF107)+COUNTIF(DG$2:DG106,DF107)=1,MAX(JL$2:JN106,JL107)+1,""))</f>
        <v/>
      </c>
      <c r="JN107" t="str">
        <f>IF(DG107="","",IF(COUNTIF(DE$3:DE107,DG107)+COUNTIF(DF$3:DF107,DG107)+COUNTIF(DG$3:DG107,DG107)=1,MAX(JL$2:JN106,JL107,JM107)+1,""))</f>
        <v/>
      </c>
      <c r="JO107" t="str">
        <f t="shared" si="269"/>
        <v>3х1,5</v>
      </c>
      <c r="JP107" t="str">
        <f>IF(JO107="","",IF(COUNTIF(JO$3:JO107,JO107)=1,MAX(JP$2:JP106)+1,""))</f>
        <v/>
      </c>
      <c r="JQ107" t="str">
        <f>IF(HG107="","",COUNTIF(HG$3:HG107,"?*"))</f>
        <v/>
      </c>
      <c r="JR107" t="str">
        <f>IF(OR(HG107="",HI107=""),"",IF(COUNTIFS(HG$3:HG107,"?*",HI$3:HI107,HI107)=1,MAX(JR$2:JR106)+1,""))</f>
        <v/>
      </c>
      <c r="JS107">
        <f t="shared" si="270"/>
        <v>0</v>
      </c>
      <c r="JT107">
        <f>IF(B107="","",COUNTIF(B$3:B107,"?*"))</f>
        <v>105</v>
      </c>
      <c r="JU107">
        <f>IF(HL107&lt;&gt;1,0,_xlfn.LET(_xlpm.k,MAX(IFERROR(--_xlfn.XLOOKUP(B107,Коды_код,Коды_3L),0),IFERROR(--_xlfn.XLOOKUP(BC107,Коды_код,Коды_3L),0),IFERROR(--_xlfn.XLOOKUP(LEFT(BC107,2),Коды_код,Коды_3L),0)),IF(_xlpm.k&gt;0,_xlpm.k,IF(IFERROR(--LEFT(SUBSTITUTE(JO107,"x","х"),FIND("х",SUBSTITUTE(JO107,"x","х"))-1),3)&gt;3,Каталог!$S$9,1))))</f>
        <v>1</v>
      </c>
      <c r="JV107">
        <f t="shared" si="271"/>
        <v>0</v>
      </c>
      <c r="JW107" t="str">
        <f t="shared" si="272"/>
        <v>авто</v>
      </c>
      <c r="JX107" t="str">
        <f t="shared" si="273"/>
        <v/>
      </c>
      <c r="JY107">
        <f t="shared" si="274"/>
        <v>0</v>
      </c>
      <c r="JZ107">
        <f t="shared" si="275"/>
        <v>1</v>
      </c>
    </row>
    <row r="108" spans="1:286" x14ac:dyDescent="0.3">
      <c r="A108" t="s">
        <v>745</v>
      </c>
      <c r="B108" t="s">
        <v>1419</v>
      </c>
      <c r="C108" t="s">
        <v>1672</v>
      </c>
      <c r="D108">
        <v>1</v>
      </c>
      <c r="E108">
        <v>0.27</v>
      </c>
      <c r="G108">
        <v>10</v>
      </c>
      <c r="H108" t="str">
        <f>Линии[[#This Row],[_авто управление]]</f>
        <v/>
      </c>
      <c r="I108" t="str">
        <f>Линии[[#This Row],[_авто аппараты]]</f>
        <v/>
      </c>
      <c r="J108">
        <v>1.5</v>
      </c>
      <c r="K108">
        <v>30</v>
      </c>
      <c r="L108" t="str">
        <f>Линии[[#This Row],[_авто фаза]]</f>
        <v>L3</v>
      </c>
      <c r="M108" t="str">
        <f>Линии[[#This Row],[_авто клемма]]</f>
        <v>XT6</v>
      </c>
      <c r="N108" t="str">
        <f t="shared" si="138"/>
        <v/>
      </c>
      <c r="O108" s="6" cm="1">
        <f t="array" ref="O108">IF(B108="","",IF(BH108&lt;&gt;"",IFERROR(_xlfn.XLOOKUP(BH108,Щиты[Щит],Щиты[Iр, А]),""),IF(BP108=1,IF(OR(N(_xlfn.XLOOKUP(A108,Щиты[Щит],Щиты[Вводов],1))&lt;=1,LOWER(TRIM(_xlfn.XLOOKUP(A108,Щиты[Щит],Щиты[АВР],"")&amp;""))="да"),IFERROR(_xlfn.XLOOKUP(A108,Щиты[Щит],Щиты[Iр, А]),""),IFERROR(N(BS108)*_xlfn.XLOOKUP(A108,Щиты[Щит],Щиты[Кс итог])/(SQRT(3)*Uн_лин*_xlfn.XLOOKUP(A108,Щиты[Щит],Щиты[cos φ])),"")),IF(BV108=1,IFERROR(BS108*1000/BU108,""),IFERROR(_xlfn.IFS(BX108=1,BS108/((Uн_лин/SQRT(3))*CE108),BX108=3,BS108/(SQRT(3)*Uн_лин*CE108)),"")))))</f>
        <v>1.46141786888624</v>
      </c>
      <c r="P108" s="7">
        <f>IF(B108="","",IFERROR(IF(VLOOKUP(BC108,Потребители_обозначение,4,FALSE)=1,VLOOKUP(BC108,Потребители_обозначение,3,FALSE)*(MAX(1,N(D108))*2-1)+EI108+VLOOKUP(BE108,Этаж_обозначение,3,FALSE)+VLOOKUP(BE108,Этаж_обозначение,4,FALSE),VLOOKUP(BC108,Потребители_обозначение,3,FALSE)*(MAX(1,N(D108))*2-1)+EI108),EI108))</f>
        <v>34</v>
      </c>
      <c r="Q108" s="6">
        <f t="shared" si="139"/>
        <v>0.76</v>
      </c>
      <c r="R108" t="str">
        <f t="shared" si="140"/>
        <v>ВВГнг(А)-LS (3х1,5)</v>
      </c>
      <c r="S108" t="str">
        <f>IF(BM108="","",IF(BN108="вводной узел","узел ","")&amp;"л."&amp;(INT((BM108-1)/Столбцов_на_лист)+1)&amp;" / "&amp;(MOD(BM108-1,Столбцов_на_лист)+1))</f>
        <v>л.2 / 3</v>
      </c>
      <c r="T108" s="119">
        <f t="shared" si="141"/>
        <v>0.9</v>
      </c>
      <c r="U108" s="7" t="str">
        <f>IF(OR(CG108=0,N(BV108)+N(IB108)=0),"",ROUNDUP(Запас_БП*(N(HY108)+N(HZ108)),0))</f>
        <v/>
      </c>
      <c r="V108" s="119" t="str">
        <f t="shared" si="142"/>
        <v/>
      </c>
      <c r="W108" s="7" t="str">
        <f>IFERROR(IF(OR(B108="",BP108=1,BV108=1,NOT(ISNUMBER(EN108)),N(DT108)=0),"",MAX(0,ROUNDDOWN((c_min*(Uн_лин*1000/SQRT(3))/(HT108*N(DT108))-_xlfn.XLOOKUP(A108,Щиты[Щит],Щиты[Zпетли на шинах, Ом]))*EN108/(2*ρкз_Cu),0))),"")</f>
        <v/>
      </c>
      <c r="Y108" t="str">
        <f>Линии[[#This Row],[_авто утечка]]</f>
        <v/>
      </c>
      <c r="Z108">
        <v>1</v>
      </c>
      <c r="AA108">
        <v>230</v>
      </c>
      <c r="AB108" t="s">
        <v>598</v>
      </c>
      <c r="AC108">
        <v>0.5</v>
      </c>
      <c r="AG108" t="s">
        <v>810</v>
      </c>
      <c r="AI108" t="s">
        <v>580</v>
      </c>
      <c r="AK108" t="str">
        <f>Линии[[#This Row],[_авто модуль]]</f>
        <v/>
      </c>
      <c r="AM108">
        <v>20</v>
      </c>
      <c r="AN108" t="s">
        <v>11</v>
      </c>
      <c r="AO108">
        <v>3</v>
      </c>
      <c r="AQ108">
        <v>20</v>
      </c>
      <c r="AR108">
        <v>14</v>
      </c>
      <c r="AT108">
        <v>1</v>
      </c>
      <c r="BA108" cm="1">
        <f t="array" ref="BA108">ROW()-ROW(Линии[#Headers])</f>
        <v>106</v>
      </c>
      <c r="BC108" s="6" t="str">
        <f t="shared" si="143"/>
        <v>В</v>
      </c>
      <c r="BD108" t="str">
        <f t="shared" si="144"/>
        <v>24</v>
      </c>
      <c r="BE108" t="str">
        <f t="shared" si="145"/>
        <v>24</v>
      </c>
      <c r="BF108" t="str">
        <f t="shared" si="146"/>
        <v/>
      </c>
      <c r="BG108" t="str">
        <f t="shared" si="147"/>
        <v/>
      </c>
      <c r="BH108" t="str">
        <f>IF(X108&lt;&gt;"",X108,IF(AND(B108&lt;&gt;"",B108&lt;&gt;A108,ISNUMBER(_xlfn.XMATCH(B108,Щиты[Щит]))),B108,""))</f>
        <v/>
      </c>
      <c r="BI108" t="str" cm="1">
        <f t="array" ref="BI108">IF(B108="","",IF(BH108&lt;&gt;"","Щит "&amp;BH108,_xlfn.LET(_xlpm.nm,IFERROR(_xlfn.XLOOKUP(BC108,Коды_код,Коды_имя)&amp;"",""),_xlpm.md,IFERROR(N(_xlfn.XLOOKUP(BC108,Коды_код,Коды_режим)),1),_xlpm.ex,IF(Имя_режим="по экспликации",IFERROR(_xlfn.XLOOKUP(BE108&amp;"|"&amp;BG108,Экспликация[Этаж]&amp;"|"&amp;Экспликация[Помещение],Экспликация[Название])&amp;"",""),""),_xlpm.rm,IF(BG108="","",IF(_xlpm.ex&lt;&gt;"",". "&amp;_xlpm.ex&amp;IF(Имя_пом="нет"," ("&amp;BG108&amp;")"," (пом. "&amp;BG108&amp;")"),IF(Имя_пом="нет"," ",", пом. ")&amp;BG108)),IF(_xlpm.nm="","",IF(_xlpm.md=2,_xlpm.nm&amp;" шлейф "&amp;BE108,_xlpm.nm&amp;_xlpm.rm)))))</f>
        <v>Вытяжная установка шлейф 24</v>
      </c>
      <c r="BJ108" t="str">
        <f t="shared" si="148"/>
        <v>Внутренний блок кондиционирования подвальный этаж Пом. №0001Тб</v>
      </c>
      <c r="BK108">
        <f>IFERROR(_xlfn.XMATCH(A108,Щиты[Щит]),0)</f>
        <v>6</v>
      </c>
      <c r="BL108">
        <f>_xlfn.LET(_xlpm.k,IFERROR(_xlfn.XLOOKUP(A108,Щиты[Щит],Щиты[Мест под вводной узел]),""),IF(_xlpm.k="",Столбцов_на_лист,N(_xlpm.k)))</f>
        <v>12</v>
      </c>
      <c r="BM108">
        <f t="shared" si="149"/>
        <v>20</v>
      </c>
      <c r="BN108" t="str">
        <f t="shared" si="150"/>
        <v>линии</v>
      </c>
      <c r="BO108" s="6">
        <f>IFERROR(N(_xlfn.XLOOKUP(BC108,Коды_код,Коды_квт)),0)</f>
        <v>0</v>
      </c>
      <c r="BP108">
        <f t="shared" si="151"/>
        <v>0</v>
      </c>
      <c r="BQ108" t="str">
        <f>IF(B108="","",IF(BH108&lt;&gt;"",IFERROR(_xlfn.XLOOKUP(BH108,Щиты[Щит],Щиты[Руст, кВт]),0),IF(BP108=1,IF(OR(N(_xlfn.XLOOKUP(A108,Щиты[Щит],Щиты[Вводов],1))&lt;=1,LOWER(TRIM(_xlfn.XLOOKUP(A108,Щиты[Щит],Щиты[АВР],"")&amp;""))="да"),IFERROR(_xlfn.XLOOKUP(A108,Щиты[Щит],Щиты[Руст, кВт]),0),SUMIFS(Линии[_Р для вводов],Линии[Щит],A108,Линии[Источник для режимов],GF108)),IF(BO108&gt;0,ROUND(BO108*MAX(1,N(D108)),3),""))))</f>
        <v/>
      </c>
      <c r="BR108">
        <f t="shared" si="152"/>
        <v>0.27</v>
      </c>
      <c r="BS108" s="6">
        <f>IF(B108="","",IF(BH108&lt;&gt;"",IFERROR(_xlfn.XLOOKUP(BH108,Щиты[Щит],Щиты[Руст, кВт]),0),N(BR108)))</f>
        <v>0.27</v>
      </c>
      <c r="BT108" t="str">
        <f>IF(B108="","",IFERROR(IF(VLOOKUP(BC108,Потребители_обозначение,8,FALSE)=0,"",VLOOKUP(BC108,Потребители_обозначение,8,FALSE)),""))</f>
        <v/>
      </c>
      <c r="BU108">
        <f t="shared" si="153"/>
        <v>230</v>
      </c>
      <c r="BV108">
        <f t="shared" si="154"/>
        <v>0</v>
      </c>
      <c r="BW108">
        <f>IF(B108="","",IF(BH108&lt;&gt;"",3,IFERROR(IF(N(VLOOKUP(BC108,Потребители_обозначение,9,FALSE))=0,1,VLOOKUP(BC108,Потребители_обозначение,9,FALSE)),1)))</f>
        <v>1</v>
      </c>
      <c r="BX108">
        <f t="shared" si="155"/>
        <v>1</v>
      </c>
      <c r="BY108" t="str">
        <f>IF(B108="","",_xlfn.LET(_xlpm.bc,IFERROR(IF(VLOOKUP(BC108,Потребители_обозначение,6,FALSE)=0,"",VLOOKUP(BC108,Потребители_обозначение,6,FALSE)&amp;""),""),IF(AND(GA108="да",OR(_xlpm.bc="",_xlpm.bc="мс")),Марка_пож,IF(AND(_xlpm.bc="",BH108&lt;&gt;""),"мс",_xlpm.bc))))</f>
        <v/>
      </c>
      <c r="BZ108" t="str">
        <f t="shared" si="156"/>
        <v>мс</v>
      </c>
      <c r="CA108">
        <f>IF(B108="","",_xlfn.LET(_xlpm.cc,IFERROR(N(VLOOKUP(BC108,Потребители_обозначение,7,FALSE)),0),IF(_xlpm.cc&gt;0,_xlpm.cc,IF(BZ108="","",IF(BV108=1,2,IF(N(BX108)=3,5,3))))))</f>
        <v>3</v>
      </c>
      <c r="CB108">
        <f t="shared" si="157"/>
        <v>3</v>
      </c>
      <c r="CC108">
        <f>IFERROR(N(VLOOKUP(BC108,Потребители_обозначение,10,FALSE)),0)</f>
        <v>0</v>
      </c>
      <c r="CD108">
        <f>IFERROR(VLOOKUP(BC108,Потребители_обозначение,5,FALSE),0)</f>
        <v>1</v>
      </c>
      <c r="CE108" s="6" cm="1">
        <f t="array" ref="CE108">IF(B108="","",IF(BH108&lt;&gt;"",IFERROR(_xlfn.XLOOKUP(BH108,Щиты[Щит],Щиты[cos φ]),0.95),IF(BP108=1,IFERROR(_xlfn.XLOOKUP(A108,Щиты[Щит],Щиты[cos φ]),0.95),IF(ISNUMBER(AD108),AD108,IFERROR(IF(CD108=2,_xlfn.IFS(BX108=3,VLOOKUP(BS108,Справочная_двигатели,8,FALSE),BX108=1,VLOOKUP(BS108,Справочная_двигатели,10,TRUE)),IF(AND(Методика="нормы 2026",FG108="Сил"),0.8,0.95)),0.95)))))</f>
        <v>0.8</v>
      </c>
      <c r="CF108">
        <f t="shared" si="158"/>
        <v>0</v>
      </c>
      <c r="CG108">
        <f t="shared" si="159"/>
        <v>1</v>
      </c>
      <c r="CH108">
        <f t="shared" si="160"/>
        <v>0</v>
      </c>
      <c r="CI108">
        <f>IF(B108="","",IF(BV108=1,IFERROR(BS108/((Uн_лин/SQRT(3))*MAX(0.5,N(CE108))),0),N(O108)))</f>
        <v>1.46141786888624</v>
      </c>
      <c r="CJ108">
        <f t="shared" si="161"/>
        <v>0</v>
      </c>
      <c r="CK108">
        <f t="shared" si="162"/>
        <v>0</v>
      </c>
      <c r="CL108">
        <f t="shared" si="163"/>
        <v>0</v>
      </c>
      <c r="CM108">
        <f t="shared" si="164"/>
        <v>0</v>
      </c>
      <c r="CN108">
        <f t="shared" si="165"/>
        <v>0</v>
      </c>
      <c r="CO108">
        <f>IF(BC108="",0,_xlfn.LET(_xlpm.v,IFERROR(_xlfn.XLOOKUP(B108,Коды_код,Коды_мА),IFERROR(_xlfn.XLOOKUP(BC108,Коды_код,Коды_мА),IFERROR(_xlfn.XLOOKUP(LEFT(BC108,2),Коды_код,Коды_мА),""))),IF(_xlpm.v="да",30,IF(ISNUMBER(_xlpm.v),_xlpm.v,0))))</f>
        <v>0</v>
      </c>
      <c r="CP108" t="str">
        <f t="shared" si="166"/>
        <v/>
      </c>
      <c r="CQ108" t="str">
        <f>_xlfn.LET(_xlpm.k,IFERROR(_xlfn.XLOOKUP(BC108,Коды_код,Коды_утечка)&amp;"",""),IF(_xlpm.k="","дифавтомат",_xlpm.k))</f>
        <v>дифавтомат</v>
      </c>
      <c r="CR108" t="str" cm="1">
        <f t="array" ref="CR108">IF(CG108=0,"",_xlfn.LET(_xlpm.sg,TRIM(_xlfn.TEXTSPLIT(DD108&amp;"",";")),_xlpm.f_,_xlfn._xlws.FILTER(_xlpm.sg,LEFT(_xlpm.sg,3)="УЗО",""),IFERROR(INDEX(_xlpm.f_,1)&amp;"","")))</f>
        <v/>
      </c>
      <c r="CS108" t="str">
        <f t="shared" si="167"/>
        <v/>
      </c>
      <c r="CT108" s="6" t="str" cm="1">
        <f t="array" ref="CT108">IF(CR108="","",_xlfn.LET(_xlpm.tk,_xlfn.TEXTSPLIT(UPPER(CR108)," ",,TRUE),_xlpm.a_,_xlfn._xlws.FILTER(_xlpm.tk,ISNUMBER(--LEFT(_xlpm.tk,1))*((ISNUMBER(SEARCH("А",_xlpm.tk))+ISNUMBER(SEARCH("A",_xlpm.tk)))&gt;0)*NOT(ISNUMBER(SEARCH("МА",_xlpm.tk)))*NOT(ISNUMBER(SEARCH("MA",_xlpm.tk))),""),IFERROR(--SUBSTITUTE(SUBSTITUTE(INDEX(_xlpm.a_,1),"А",""),"A",""),"")))</f>
        <v/>
      </c>
      <c r="CU108" t="str" cm="1">
        <f t="array" ref="CU108">IF(CR108="","",_xlfn.LET(_xlpm.tk,_xlfn.TEXTSPLIT(UPPER(CR108)," ",,TRUE),_xlpm.a_,_xlfn._xlws.FILTER(_xlpm.tk,ISNUMBER(--LEFT(_xlpm.tk,1))*((ISNUMBER(SEARCH("МА",_xlpm.tk))+ISNUMBER(SEARCH("MA",_xlpm.tk)))&gt;0),""),IFERROR(--SUBSTITUTE(SUBSTITUTE(INDEX(_xlpm.a_,1),"МА",""),"MA",""),30)))</f>
        <v/>
      </c>
      <c r="CV108" t="str">
        <f>IF(CS108="","",IFERROR(_xlfn.XLOOKUP(CS108,Линии[_n],Линии[_УЗО, мА]),30))</f>
        <v/>
      </c>
      <c r="CW108">
        <f>IF(CS108="",0,IF(ISNUMBER(SEARCH("4P",IFERROR(_xlfn.XLOOKUP(CS108,Линии[_n],Линии[_УЗО строки])&amp;"",""))),0,1))</f>
        <v>0</v>
      </c>
      <c r="CX108" t="str">
        <f>IF(AND(CS108&lt;&gt;"",CS108=BA108),SUMIFS(Линии[_ток на 230 В],Линии[_блок УЗО],BA108,Линии[Щит],A108),"")</f>
        <v/>
      </c>
      <c r="CY108" t="str">
        <f>IF(AND(CS108&lt;&gt;"",CS108=BA108),SUMIFS(Линии[_ток утечки линии, мА],Линии[_блок УЗО],BA108,Линии[Щит],A108),"")</f>
        <v/>
      </c>
      <c r="CZ108">
        <f t="shared" si="168"/>
        <v>0</v>
      </c>
      <c r="DA108">
        <f t="shared" si="169"/>
        <v>0</v>
      </c>
      <c r="DB108">
        <f>IF(B108="",0,IFERROR(--_xlfn.XLOOKUP(B108,Коды_код,Коды_минавт),IFERROR(--_xlfn.XLOOKUP(BC108,Коды_код,Коды_минавт),IFERROR(--_xlfn.XLOOKUP(LEFT(BC108,2),Коды_код,Коды_минавт),0))))</f>
        <v>0</v>
      </c>
      <c r="DC108" t="str">
        <f>IF(B108="","",IFERROR(_xlfn.XLOOKUP(BC108,Коды_код,Коды_апп)&amp;"",""))</f>
        <v/>
      </c>
      <c r="DD108" t="str">
        <f t="shared" si="170"/>
        <v/>
      </c>
      <c r="DE108" t="str" cm="1">
        <f t="array" ref="DE108">IF(TRIM(DD108&amp;"")="","",IFERROR(TRIM(INDEX(_xlfn.TEXTSPLIT(DD108&amp;";;;",";"),1)),""))</f>
        <v/>
      </c>
      <c r="DF108" t="str" cm="1">
        <f t="array" ref="DF108">IF(TRIM(DD108&amp;"")="","",IFERROR(TRIM(INDEX(_xlfn.TEXTSPLIT(DD108&amp;";;;",";"),2)),""))</f>
        <v/>
      </c>
      <c r="DG108" t="str" cm="1">
        <f t="array" ref="DG108">IF(TRIM(DD108&amp;"")="","",IFERROR(TRIM(INDEX(_xlfn.TEXTSPLIT(DD108&amp;";;;",";"),3)),""))</f>
        <v/>
      </c>
      <c r="DH108">
        <f t="shared" si="171"/>
        <v>0</v>
      </c>
      <c r="DI108" t="str">
        <f>IF(B108="","",_xlfn.LET(_xlpm.t,LOWER(AZ108&amp;""),IF(ISNUMBER(SEARCH("dim",_xlpm.t)),"DIM",IF(ISNUMBER(SEARCH("dali",_xlpm.t)),"DALI",IF(OR(ISNUMBER(SEARCH("relay",_xlpm.t)),ISNUMBER(SEARCH("реле",_xlpm.t))),"Relay",IF(ISNUMBER(SEARCH("кнопк",_xlpm.t)),"",IFERROR(_xlfn.XLOOKUP(BC108,Коды_код,Коды_упр)&amp;"","")))))))</f>
        <v/>
      </c>
      <c r="DJ108" t="str">
        <f t="shared" si="172"/>
        <v/>
      </c>
      <c r="DK108">
        <f>IF(B108="","",_xlfn.LET(_xlpm.ig,IF(N(CX108)&gt;0,N(CX108),N(CI108)+IF(AJ108="вручную",0,N(CJ108))),_xlpm.n0,IFERROR(VLOOKUP(_xlpm.ig,Автомат_номиналы,2,TRUE),0),_xlpm.mn,MAX(DB108,IF(AJ108="вручную",0,N(CM108))),MAX(_xlpm.n0,_xlpm.mn,IF(DH108=1,Мин_автомат_БП,0))))</f>
        <v>6</v>
      </c>
      <c r="DL108">
        <f t="shared" si="173"/>
        <v>1</v>
      </c>
      <c r="DM108" t="str">
        <f t="shared" si="174"/>
        <v>1P</v>
      </c>
      <c r="DN108" t="str">
        <f>_xlfn.LET(_xlpm.cc,UPPER(TRIM(IFERROR(_xlfn.XLOOKUP(BC108,Коды_код,Коды_хар)&amp;"",""))),IF(OR(_xlpm.cc="B",_xlpm.cc="В"),"B",IF(_xlpm.cc="D","D","С")))</f>
        <v>С</v>
      </c>
      <c r="DO108" t="str">
        <f t="shared" si="175"/>
        <v>1P С6А</v>
      </c>
      <c r="DP108">
        <f t="shared" si="176"/>
        <v>10</v>
      </c>
      <c r="DQ108" t="str">
        <f t="shared" si="177"/>
        <v>1P С10А</v>
      </c>
      <c r="DR108" cm="1">
        <f t="array" ref="DR108">IF(DQ108="","",_xlfn.LET(_xlpm.t,SUBSTITUTE(SUBSTITUTE(SUBSTITUTE(UPPER(DQ108),"С","C"),"А","A"),"В","B"),_xlpm.tk,_xlfn.TEXTSPLIT(_xlpm.t," "),_xlpm.f,_xlfn._xlws.FILTER(_xlpm.tk,ISNUMBER(--MID(_xlpm.tk,2,1))*ISNUMBER(SEARCH(LEFT(_xlpm.tk,1)&amp;"#","B#C#D#"))*(LEN(_xlpm.tk)&gt;1),""),_xlpm.x,INDEX(_xlpm.f,1),IFERROR(--SUBSTITUTE(MID(_xlpm.x,2,9),"A",""),IFERROR(--SUBSTITUTE(INDEX(_xlfn._xlws.FILTER(_xlpm.tk,ISNUMBER(--SUBSTITUTE(_xlpm.tk,"A","")),""),1),"A",""),""))))</f>
        <v>10</v>
      </c>
      <c r="DS108" t="str">
        <f t="shared" si="178"/>
        <v>ok</v>
      </c>
      <c r="DT108">
        <f t="shared" si="179"/>
        <v>10</v>
      </c>
      <c r="DU108" t="str">
        <f t="shared" si="180"/>
        <v>1P С10А</v>
      </c>
      <c r="DV108">
        <f t="shared" si="181"/>
        <v>0</v>
      </c>
      <c r="DW108">
        <f t="shared" si="182"/>
        <v>0</v>
      </c>
      <c r="DX108">
        <f t="shared" si="183"/>
        <v>0</v>
      </c>
      <c r="DY108">
        <f t="shared" si="184"/>
        <v>1.46141786888624</v>
      </c>
      <c r="DZ108">
        <f t="shared" si="185"/>
        <v>1</v>
      </c>
      <c r="EA108">
        <f>IF(ISNUMBER(AP108),AP108,К_прокл)</f>
        <v>1</v>
      </c>
      <c r="EB108">
        <f t="shared" si="186"/>
        <v>2</v>
      </c>
      <c r="EC108">
        <f>IFERROR(N(VLOOKUP(BZ108,Кабель_обозначение,3,FALSE)),1)</f>
        <v>1</v>
      </c>
      <c r="ED108">
        <f>IFERROR(N(_xlfn.XLOOKUP(A108,Щиты[Щит],Щиты[ΔU до шин, %])),0)</f>
        <v>0.24000000000000002</v>
      </c>
      <c r="EE108" t="str">
        <f>IFERROR(_xlfn.XLOOKUP(A108,Щиты[Щит],Щиты[Zпетли на шинах, Ом]),"")</f>
        <v/>
      </c>
      <c r="EF108">
        <f>IFERROR(N(_xlfn.XLOOKUP(A108,Щиты[Щит],Щиты[ΔU до шин (подбор), %])),0)</f>
        <v>0.36</v>
      </c>
      <c r="EG108" t="str">
        <f>IFERROR(_xlfn.XLOOKUP(A108,Щиты[Щит],Щиты[Zпетли на шинах (подбор), Ом]),"")</f>
        <v/>
      </c>
      <c r="EH108" t="str">
        <f t="shared" si="187"/>
        <v/>
      </c>
      <c r="EI108">
        <f t="shared" si="188"/>
        <v>30</v>
      </c>
      <c r="EJ108">
        <f t="shared" si="189"/>
        <v>2</v>
      </c>
      <c r="EK108">
        <f t="shared" si="190"/>
        <v>0.6</v>
      </c>
      <c r="EL108" s="6">
        <f>IF(B108="","",IF(BV108=1,dU_LED,IF(IFERROR(_xlfn.XLOOKUP(BC108,Коды_код,Коды_уго),"")="Светильник",3,4)+IF(Методика="нормы 2026",MIN(0.5,MAX(0,N(P108)-100)*0.005),0)))</f>
        <v>4</v>
      </c>
      <c r="EM108" cm="1">
        <f t="array" ref="EM108">IF(OR(B108="",BZ108="",EC108&lt;&gt;1),"",_xlfn.LET(_xlpm.sz,Iдоп_S,_xlpm.t_,CHOOSE(EB108,Iдоп_1ж,Iдоп_2ж,Iдоп_3ж)*DZ108*EA108,_xlpm.dcx,BV108=1,_xlpm.inn,IF(_xlpm.dcx,N(O108),N(DT108)),_xlpm.smin,MAX(1.5,CC108),_xlpm.L_,N(P108)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108)/N(BU108)*100,999),IFERROR(N(EJ108)*(_xlpm.rho*_xlpm.L_/_xlpm.sz*N(CE108)+_xlpm.xx*_xlpm.L_*N(EK108)/1000)*N(O108)/((Uн_лин/SQRT(3))*1000)*100,999)),_xlpm.kz,IF(OR(_xlpm.dcx,DW108=1,NOT(ISNUMBER(EG108)),_xlpm.L_=0,_xlpm.inn=0),1,IFERROR(--(c_min*(Uн_лин*1000/SQRT(3))/(EG108+2*ρкз_Cu*_xlpm.L_/_xlpm.sz)&gt;=HT108*_xlpm.inn),0)),_xlpm.ok,IFERROR((_xlpm.sz&gt;=_xlpm.smin)*(_xlpm.t_&gt;=_xlpm.inn)*IF(_xlpm.L_&gt;0,(_xlpm.du_+IF(_xlpm.dcx,0,EF108)&lt;=EL108+0.00001),1)*_xlpm.kz,0),_xlpm.r_,_xlfn._xlws.FILTER(_xlpm.sz,_xlpm.ok,"не подобрано"),INDEX(_xlpm.r_,1)))</f>
        <v>1.5</v>
      </c>
      <c r="EN108">
        <f t="shared" si="191"/>
        <v>1.5</v>
      </c>
      <c r="EO108" cm="1">
        <f t="array" ref="EO108">IF(OR(B108="",BZ108="",EC108&lt;&gt;1),"",_xlfn.LET(_xlpm.sz,Iдоп_S,_xlpm.t_,CHOOSE(EB108,Iдоп_1ж,Iдоп_2ж,Iдоп_3ж)*DZ108*EA108,_xlpm.ok,IFERROR((_xlpm.sz&gt;=MAX(1.5,CC108))*(_xlpm.t_&gt;=N(DT108)),0),_xlpm.r_,_xlfn._xlws.FILTER(_xlpm.sz,_xlpm.ok,""),INDEX(_xlpm.r_,1)))</f>
        <v>1.5</v>
      </c>
      <c r="EP108" s="6" cm="1">
        <f t="array" ref="EP108">IFERROR(ROUNDUP(N(EJ108)*(_xlfn.XLOOKUP(EO108,INDEX(Кабель_сопротивление,0,1),INDEX(Кабель_сопротивление,0,3))*N(P108)/EO108*N(CE108)+_xlfn.XLOOKUP(EO108,INDEX(Кабель_сопротивление,0,1),INDEX(Кабель_сопротивление,0,2))*N(P108)*N(EK108)/1000)*N(O108)/((Uн_лин/SQRT(3))*1000)*100,2),"")</f>
        <v>0.52</v>
      </c>
      <c r="EQ108">
        <f>IFERROR(2*ρкз_Cu*N(P108)/EO108,"")</f>
        <v>1.1922666666666666</v>
      </c>
      <c r="ER108">
        <f>IFERROR(VLOOKUP(EN108,Кабель_сопротивление,3,FALSE),"")</f>
        <v>2.2499999999999999E-2</v>
      </c>
      <c r="ES108">
        <f>IFERROR(VLOOKUP(EN108,Кабель_сопротивление,2,FALSE),"")</f>
        <v>0.11</v>
      </c>
      <c r="ET108">
        <f t="shared" si="192"/>
        <v>14</v>
      </c>
      <c r="EU108">
        <f t="shared" si="193"/>
        <v>0</v>
      </c>
      <c r="EV108">
        <f t="shared" si="194"/>
        <v>1.1990758244067334</v>
      </c>
      <c r="EW108" s="6">
        <f>IFERROR(ROUNDUP(EV108/IF(BV108=1,BU108,(Uн_лин/SQRT(3))*1000)*100,2),"")</f>
        <v>0.52</v>
      </c>
      <c r="EX108" t="str">
        <f>IFERROR(VLOOKUP(BZ108,Кабель_обозначение,2,FALSE),"")</f>
        <v>ВВГнг(А)-LS</v>
      </c>
      <c r="EY108" t="str">
        <f t="shared" si="195"/>
        <v>ВВГнг(А)-LS (3х1,5)</v>
      </c>
      <c r="EZ108" t="str">
        <f t="shared" si="196"/>
        <v>ВВГнг(А)-LS (3х1,5)
L=34-0,52%</v>
      </c>
      <c r="FA108">
        <f>IFERROR(2*ρкз_Cu*P108/EN108,"")</f>
        <v>1.1922666666666666</v>
      </c>
      <c r="FB108">
        <f t="shared" si="197"/>
        <v>0.39666666666666672</v>
      </c>
      <c r="FC108" s="6" t="str">
        <f>IFERROR(IF(OR(B108="",BV108=1,NOT(ISNUMBER(EN108)),N(P108)=0),"",_xlfn.XLOOKUP(A108,Щиты[Щит],Щиты[Zпетли на шинах, Ом])+FA108),"")</f>
        <v/>
      </c>
      <c r="FD108" s="6" t="str">
        <f>IF(ISNUMBER(FC108),c_min*(Uн_лин*1000/SQRT(3))/FC108,"")</f>
        <v/>
      </c>
      <c r="FE108" s="6" t="str">
        <f>IFERROR(IF(OR(B108="",NOT(ISNUMBER(EN108))),"",1.05*(Uн_лин*1000/SQRT(3))/(_xlfn.XLOOKUP(A108,Щиты[Щит],Щиты[Zmax на шинах, Ом])+FB108)/1000),"")</f>
        <v/>
      </c>
      <c r="FF108" s="6" t="str">
        <f>IF(B108="","",IF(ISNUMBER(AC108),"Сил",IF(IFERROR(_xlfn.XLOOKUP(BC108,Коды_код,Коды_группа)&amp;"","")="","Быт",_xlfn.XLOOKUP(BC108,Коды_код,Коды_группа)&amp;"")))</f>
        <v>Сил</v>
      </c>
      <c r="FG108" s="6" t="str">
        <f t="shared" si="198"/>
        <v>Сил</v>
      </c>
      <c r="FH108" s="6">
        <f>IF(FG108="Щит","щит",IF(FG108="","",IF(FG108="Быт",IFERROR(_xlfn.XLOOKUP(A108,Щиты[Щит],Щиты[Кс быт]),1),IF(FG108="Сил",IF(ISNUMBER(AC108),AC108,IF(Методика="нормы 2026",IFERROR(_xlfn.XLOOKUP(A108,Щиты[Щит],Щиты[Кс силовых (табл. 7.5)]),1),1)),IF(OR(FG108="Пост",FG108="Отоп"),1,IF(FG108="ВНГ",0.7,0))))))</f>
        <v>0.5</v>
      </c>
      <c r="FI108">
        <f>IF(FG108="","",IF(AND(BP108=1,TRIM(AE108&amp;"")=""),IF(COUNTIFS(Линии[Щит],A108,Линии[Секция (1/2/3)],"&gt;=2")&gt;0,MIN(3,MAX(1,IFERROR(--BD108,1))),1),IFERROR(MIN(3,MAX(1,INT(--AE108))),1)))</f>
        <v>1</v>
      </c>
      <c r="FJ108">
        <f t="shared" si="199"/>
        <v>0.27</v>
      </c>
      <c r="FK108">
        <f t="shared" si="200"/>
        <v>0</v>
      </c>
      <c r="FL108">
        <f t="shared" si="201"/>
        <v>0.13500000000000001</v>
      </c>
      <c r="FM108">
        <f t="shared" si="202"/>
        <v>0</v>
      </c>
      <c r="FN108">
        <f t="shared" si="203"/>
        <v>0</v>
      </c>
      <c r="FO108">
        <f t="shared" si="204"/>
        <v>0</v>
      </c>
      <c r="FP108">
        <f t="shared" si="205"/>
        <v>0.27</v>
      </c>
      <c r="FQ108">
        <f t="shared" si="206"/>
        <v>0.27</v>
      </c>
      <c r="FR108">
        <f t="shared" si="207"/>
        <v>0.21600000000000003</v>
      </c>
      <c r="FS108">
        <f>IF(CG108=1,IF(AND(CH108=1,CW108=1),0,IF(AND(CS108&lt;&gt;"",CS108=BA108,CW108=1),SUMIFS(Линии[_Р линии, кВт],Линии[_блок УЗО],BA108,Линии[Щит],A108),N(BS108)+IF(AJ108="вручную",0,N(CK108)))),0)</f>
        <v>0.27</v>
      </c>
      <c r="FT108" t="str">
        <f t="shared" si="208"/>
        <v/>
      </c>
      <c r="FU108" t="str">
        <f>IF(B108="","",IF(CG108=0,IF(BA108=1,"",FW107),IF(AND(CH108=1,CW108=1,CS108&lt;&gt;""),IFERROR(_xlfn.XLOOKUP(CS108,Линии[_n],Линии[_фаза итог]),"L1"),IF(OR(N(DL108)&gt;=3,N(BX108)&gt;=3),"L1,L2,L3",IFERROR(_xlfn.TEXTBEFORE(_xlfn.TEXTAFTER(_xlfn.XLOOKUP(A108,Щиты[Щит],Щиты[_фазы авто]),";"&amp;BA108&amp;":"),";"),"L1")))))</f>
        <v>L3</v>
      </c>
      <c r="FV108" t="str">
        <f t="shared" si="209"/>
        <v>L3</v>
      </c>
      <c r="FW108" t="str">
        <f t="shared" si="210"/>
        <v>L3</v>
      </c>
      <c r="FX108" cm="1">
        <f t="array" ref="FX108">IFERROR(IF(CD108=2,_xlfn.IFS(BX108=3,VLOOKUP(BS108,Справочная_двигатели,3,FALSE),BX108=1,VLOOKUP(BS108,Справочная_двигатели,5,TRUE)),0),0)</f>
        <v>0</v>
      </c>
      <c r="FY108">
        <f>IFERROR(IF(CD108=3,VLOOKUP(BS108,Справочная_ЛЭД,2,TRUE),0),0)</f>
        <v>0</v>
      </c>
      <c r="FZ108" s="6">
        <f t="shared" si="211"/>
        <v>0</v>
      </c>
      <c r="GA108" t="str">
        <f>IF(B108="","",IF(TRIM(AH108&amp;"")&lt;&gt;"",IF(LOWER(TRIM(AH108&amp;""))="да","да","нет"),IF(IFERROR(_xlfn.XLOOKUP(BC108,Коды_код,Коды_пожарная),"")="да","да","нет")))</f>
        <v>нет</v>
      </c>
      <c r="GB108" t="str">
        <f t="shared" si="212"/>
        <v/>
      </c>
      <c r="GC108" t="str">
        <f t="shared" si="213"/>
        <v>основная</v>
      </c>
      <c r="GD108">
        <f>IF(AND(BP108=1,TRIM(AE108&amp;"")=""),IF(COUNTIFS(Линии[Щит],A108,Линии[Секция (1/2/3)],"&gt;=2")&gt;0,MIN(3,MAX(1,IFERROR(--BD108,1))),1),IFERROR(MIN(3,MAX(1,INT(--AE108))),1))</f>
        <v>1</v>
      </c>
      <c r="GE108" t="str" cm="1">
        <f t="array" ref="GE108">IF(B108="","",_xlfn.LET(_xlpm.t,IFERROR(_xlfn.XLOOKUP(1,(Шины[Шина]=GC108)*(((Шины[Щит]=A108)+(Шины[Щит]=""))&gt;0),Шины[Тип]),"")&amp;"",IF(_xlpm.t&lt;&gt;"",_xlpm.t,IF(ISNUMBER(SEARCH("ИБП",GC108)),"ИБП",IF(ISNUMBER(SEARCH("ДГУ",GC108)),"ДГУ","Ввод "&amp;GD108)))))</f>
        <v>Ввод 1</v>
      </c>
      <c r="GF108" t="str">
        <f t="shared" si="214"/>
        <v>Ввод 1</v>
      </c>
      <c r="GG108" t="str">
        <f>IF(BP108=0,"",IF(TRIM(AG108&amp;"")&lt;&gt;"",TRIM(AG108&amp;""),IF(OR(GE108="ИБП",GE108="ДГУ"),"I особая",_xlfn.XLOOKUP(A108,Щиты[Щит],Щиты[Категория шины «Ввод»],"III"))))</f>
        <v/>
      </c>
      <c r="GH108" t="str">
        <f>IF(A108="","",_xlfn.XLOOKUP(A108,Щиты[Щит],Щиты[Путь],""))</f>
        <v>|ГРЩ-ЖД|ЩОВ-01|</v>
      </c>
      <c r="GI108" t="str">
        <f>IF(B108="","",IF(AI108&lt;&gt;"",AI108,IF(IFERROR(_xlfn.XLOOKUP(BC108,Коды_код,Коды_вид)&amp;"","")="","Прочее",_xlfn.XLOOKUP(BC108,Коды_код,Коды_вид)&amp;"")))</f>
        <v>Вентиляция</v>
      </c>
      <c r="GJ108">
        <f>IF(BM108="","",INT((BM108-1)/Столбцов_на_лист)+1)</f>
        <v>2</v>
      </c>
      <c r="GK108" t="str">
        <f t="shared" si="215"/>
        <v>ВВГнг(А)-LS (3х1,5) L=34-0,52%</v>
      </c>
      <c r="GL108">
        <f t="shared" si="216"/>
        <v>0.27</v>
      </c>
      <c r="GM108">
        <f t="shared" si="217"/>
        <v>1.47</v>
      </c>
      <c r="GN108">
        <f t="shared" si="218"/>
        <v>1</v>
      </c>
      <c r="GO108">
        <f t="shared" si="219"/>
        <v>0</v>
      </c>
      <c r="GP108">
        <f t="shared" si="220"/>
        <v>1</v>
      </c>
      <c r="GQ108">
        <f>IF(BM108="","",IF(AND(CG108=1,GP108=1),COUNTIFS(A$3:A108,A108,CG$3:CG108,1,GP$3:GP108,1),IF(OR(OR(BA108=1,A108&lt;&gt;A107),AJ108="вручную",GP108=0),"",IF(BA108=1,"",GR107))))</f>
        <v>6</v>
      </c>
      <c r="GR108">
        <f t="shared" si="221"/>
        <v>6</v>
      </c>
      <c r="GS108">
        <f>IF(B108="","",IFERROR(LOOKUP(INDEX(CHOOSE(EB108,Iдоп_1ж,Iдоп_2ж,Iдоп_3ж),MATCH(EN108,Iдоп_S,0))*DZ108*EA108,{6,10,16,20,25,32,40,50,63,80,100,125,160,200,250,315,400,500,630}),""))</f>
        <v>16</v>
      </c>
      <c r="GT108" t="str">
        <f t="shared" si="222"/>
        <v>QF6</v>
      </c>
      <c r="GU108" t="str">
        <f t="shared" si="223"/>
        <v>QF6</v>
      </c>
      <c r="GV108" t="str">
        <f t="shared" si="224"/>
        <v/>
      </c>
      <c r="GW108">
        <f t="shared" si="225"/>
        <v>0</v>
      </c>
      <c r="GX108" t="str">
        <f>IF(OR(B108="",DJ108=""),"",IFERROR(_xlfn.XLOOKUP(DJ108,Модули_умолч[Управление],Модули_умолч[Модель])&amp;"",""))</f>
        <v/>
      </c>
      <c r="GY108">
        <f>IF(DJ108="",1,IFERROR(MAX(0,N(_xlfn.XLOOKUP(DJ108,Модули_умолч[Управление],Модули_умолч[Каналов на линию]))),1))</f>
        <v>1</v>
      </c>
      <c r="GZ108" t="str">
        <f t="shared" si="226"/>
        <v/>
      </c>
      <c r="HA108" t="str">
        <f t="shared" si="227"/>
        <v/>
      </c>
      <c r="HB108" t="str">
        <f t="shared" si="228"/>
        <v/>
      </c>
      <c r="HC108">
        <f>IF(HB108="",0,IFERROR(N(VLOOKUP(HB108,Модули_спр,3,FALSE)),0))</f>
        <v>0</v>
      </c>
      <c r="HD108" t="str">
        <f t="shared" si="229"/>
        <v/>
      </c>
      <c r="HE108" t="str">
        <f t="shared" si="230"/>
        <v/>
      </c>
      <c r="HF108" t="str">
        <f>IF(OR(HE108="",HE108="-"),"",IFERROR(VLOOKUP(HE108,Модули_спр,2,FALSE),"R"))</f>
        <v/>
      </c>
      <c r="HG108" t="str">
        <f>IF(HF108="","",HF108&amp;"."&amp;COUNTIFS(A$3:A108,A108,HF$3:HF108,HF108))</f>
        <v/>
      </c>
      <c r="HH108" t="str">
        <f t="shared" si="231"/>
        <v/>
      </c>
      <c r="HI108" t="str">
        <f t="shared" si="232"/>
        <v/>
      </c>
      <c r="HJ108" t="str">
        <f t="shared" si="233"/>
        <v/>
      </c>
      <c r="HK108" t="str">
        <f t="shared" si="234"/>
        <v/>
      </c>
      <c r="HL108">
        <f t="shared" si="235"/>
        <v>1</v>
      </c>
      <c r="HM108" t="str">
        <f>IF(HL108=1,"XT"&amp;COUNTIFS(A$3:A108,A108,HL$3:HL108,1),"")</f>
        <v>XT6</v>
      </c>
      <c r="HN108" t="str">
        <f t="shared" si="236"/>
        <v>XT6</v>
      </c>
      <c r="HO108" t="str">
        <f t="shared" si="237"/>
        <v>QF6</v>
      </c>
      <c r="HP108" t="str">
        <f t="shared" si="238"/>
        <v/>
      </c>
      <c r="HQ108" t="str">
        <f t="shared" si="239"/>
        <v>ok</v>
      </c>
      <c r="HR108" t="str">
        <f>IF(OR(HJ108="",HH108=""),"",IF(HJ108+MAX(0,GY108-1)&gt;IFERROR(VLOOKUP(HI108,Модули_спр,3,FALSE),99),"ЛИШНИЙ КАНАЛ",IF(AND(AL108&lt;&gt;"=",GY108&gt;0,COUNTIFS(Линии[_модуль гр.],HH108,Линии[Канал (итог)],HJ108,Линии[Канал],"&lt;&gt;=",Линии[Щит],A108)&gt;1),"ДУБЛЬ КАНАЛА","")))</f>
        <v/>
      </c>
      <c r="HS108" s="6" t="str">
        <f t="shared" si="240"/>
        <v/>
      </c>
      <c r="HT108">
        <f t="shared" si="241"/>
        <v>10</v>
      </c>
      <c r="HU108" t="str">
        <f t="shared" si="242"/>
        <v/>
      </c>
      <c r="HV108">
        <f t="shared" si="243"/>
        <v>0.92456714755449609</v>
      </c>
      <c r="HW108">
        <f t="shared" si="244"/>
        <v>0</v>
      </c>
      <c r="HX108">
        <f t="shared" si="245"/>
        <v>0</v>
      </c>
      <c r="HY108">
        <f t="shared" si="246"/>
        <v>0</v>
      </c>
      <c r="HZ108">
        <f t="shared" si="247"/>
        <v>0</v>
      </c>
      <c r="IA108">
        <f t="shared" si="248"/>
        <v>0</v>
      </c>
      <c r="IB108">
        <f t="shared" si="249"/>
        <v>0</v>
      </c>
      <c r="IC108" t="str">
        <f t="shared" si="250"/>
        <v/>
      </c>
      <c r="ID108" t="str" cm="1">
        <f t="array" ref="ID108">IF(IC108="","",_xlfn.LET(_xlpm.tk,_xlfn.TEXTSPLIT(SUBSTITUTE(SUBSTITUTE(IC108,";"," "),"→"," ")," ",,TRUE),_xlpm.w_,_xlfn._xlws.FILTER(_xlpm.tk,ISNUMBER(--LEFT(_xlpm.tk,1))*((ISNUMBER(SEARCH("W",_xlpm.tk))+ISNUMBER(SEARCH("Вт",_xlpm.tk)))&gt;0),""),IFERROR(--SUBSTITUTE(SUBSTITUTE(UPPER(INDEX(_xlpm.w_,1)),"W",""),"ВТ",""),"")))</f>
        <v/>
      </c>
      <c r="IE108" t="str" cm="1">
        <f t="array" ref="IE108">IF(IC108="","",_xlfn.LET(_xlpm.tk,_xlfn.TEXTSPLIT(SUBSTITUTE(SUBSTITUTE(IC108,";"," "),"→"," ")," ",,TRUE),_xlpm.v_,_xlfn._xlws.FILTER(_xlpm.tk,ISNUMBER(--LEFT(_xlpm.tk,1))*((ISNUMBER(SEARCH("V",_xlpm.tk))+(RIGHT(UPPER(_xlpm.tk))="В"))&gt;0),""),IFERROR(--SUBSTITUTE(SUBSTITUTE(UPPER(INDEX(_xlpm.v_,1)),"V",""),"В",""),"")))</f>
        <v/>
      </c>
      <c r="IF108" s="6" t="str">
        <f>IF(OR(BV108=0,HI108="",HJ108=""),"",IFERROR(N(_xlfn.XLOOKUP(HI108,Каталог!$C$4:$C$500,Каталог!$Q$4:$Q$500)),""))</f>
        <v/>
      </c>
      <c r="IG108" s="6" t="str">
        <f>IF(N(IF108)=0,"",SUMIFS(Линии[Iр, А],Линии[Щит],A108,Линии[_модуль гр.],HH108,Линии[Канал (итог)],HJ108))</f>
        <v/>
      </c>
      <c r="IH108" t="str">
        <f>IF(AND(B108="",HO108=""),"",_xlfn.TEXTJOIN("; ",TRUE,IF(AND(B108&lt;&gt;"",FV108=""),"нет фазы",""),IF(AND(B108&lt;&gt;"",N(GL108)=0,FG108&lt;&gt;"Нет"),"нет мощности",""),IF(AND(HN108&lt;&gt;"",COUNTIFS(Линии[Щит],A108,Линии[Клемма (итог)],HN108)&gt;1),"дубль клеммы "&amp;HN108,""),IF(AND(HQ108&lt;&gt;"",HQ108&lt;&gt;"ok"),HQ108,""),IF(HR108&lt;&gt;"",HR108,""),IF(AND(N(CB108)&gt;=4,N(BX108)=1),CB108&amp;" жил на 1 фазе",""),IF(AND(BC108="R",CG108=1,IF(CS108&lt;&gt;"",N(CV108)&gt;30,OR(N(DA108)=0,N(DA108)&gt;30))),"розетка без дифзащиты до 30 мА",""),IF(AND(CG108=1,N(DA108)&gt;0,ISNUMBER(T108)),IF(T108&gt;N(DA108)/3,"ток утечки "&amp;FIXED(T108,1)&amp;" мА &gt; 1/3 уставки ("&amp;DA108&amp;" мА)",""),""),IF(AND(CH108=1,CS108=""),"«узо»: нет строки с УЗО выше (УЗО 2P 40А 30мА в «Аппаратах»)",""),IF(AND(CS108&lt;&gt;"",CS108=BA108),IF(CT108="","впишите номинал УЗО (УЗО 2P 40А 30мА)",IF(N(CT108)&lt;N(DT108),"УЗО "&amp;CT108&amp;" А &lt; автомата "&amp;DT108&amp;" А перед ним",IF(N(CT108)&lt;N(CX108),"УЗО "&amp;CT108&amp;" А &lt; тока блока "&amp;FIXED(CX108,1)&amp;" А",""))),""),IF(AND(CS108&lt;&gt;"",CS108=BA108,ISNUMBER(CY108)),IF(CY108&gt;N(CV108)/3,"ток утечки блока УЗО "&amp;FIXED(CY108,1)&amp;" мА &gt; 1/3 уставки ("&amp;CV108&amp;" мА)",""),""),IF(AND(CG108=1,N(BV108)+N(IB108)&gt;0,IC108=""),"линии до 50 В без БП: впишите в «Аппараты» (БП 24V 480W)",""),IF(AND(CG108=1,ISNUMBER(ID108),ISNUMBER(U108)),IF(U108&gt;ID108,"БП "&amp;ID108&amp;" Вт &lt; нужно "&amp;U108&amp;" Вт (×"&amp;Запас_БП&amp;")",""),""),IF(AND(CG108=1,ISNUMBER(IE108),N(BV108)=1),IF(IE108&lt;&gt;N(BU108),"БП на "&amp;IE108&amp;" В, линия "&amp;BU108&amp;" В",""),""),IF(AND(N(IF108)&gt;0,N(IG108)&gt;N(IF108)),HH108&amp;" канал "&amp;HJ108&amp;": "&amp;FIXED(IG108,1)&amp;" А &gt; "&amp;IF108&amp;" А",""),IFERROR(IF(AND(ISNUMBER(Q108),Q108&gt;EL108),"потери "&amp;FIXED(Q108,1)&amp;" % &gt; "&amp;EL108&amp;" %",""),""),IFERROR(IF(LEFT(HU108,4)="мало","Iкз мало — отключение &gt; 0,4 с",""),""),IF(AND(B108&lt;&gt;"",BM108=""),"не на схеме",""),IF(AND(CG108=0,B108&lt;&gt;"",FV108&lt;&gt;"",IF(BA108=1,"",FW107)&lt;&gt;"",FV108&lt;&gt;IF(BA108=1,"",FW107)),"фаза не как у автомата группы ("&amp;IF(BA108=1,"",FW107)&amp;")","")))</f>
        <v/>
      </c>
      <c r="II108" s="6">
        <f>IF(OR(CG108=0,DQ108=""),"",_xlfn.LET(_xlpm.t,IFERROR(_xlfn.XLOOKUP(DQ108,Каталог!$U$4:$U$500,Каталог!$G$4:$G$500),""),_xlpm.k,SEARCH("кА",_xlpm.t),IFERROR(--TRIM(RIGHT(SUBSTITUTE(MID(_xlpm.t,MAX(1,_xlpm.k-4),_xlpm.k-MAX(1,_xlpm.k-4))," ",REPT(" ",9)),5)),"")))</f>
        <v>6</v>
      </c>
      <c r="IJ108" t="str">
        <f>IF(OR(II108="",CG108=0),"",IF(_xlfn.XLOOKUP(A108,Щиты[Щит],Щиты[Iкз max на шинах, кА],"")="","",IF(II108&lt;_xlfn.XLOOKUP(A108,Щиты[Щит],Щиты[Iкз max на шинах, кА]),"Icu "&amp;II108&amp;" кА &lt; Iкз max","ok")))</f>
        <v/>
      </c>
      <c r="IK108" t="str">
        <f t="shared" si="251"/>
        <v/>
      </c>
      <c r="IL108" t="str">
        <f t="shared" si="252"/>
        <v>QF6|XT6</v>
      </c>
      <c r="IM108" t="str">
        <f t="shared" si="253"/>
        <v>QF6|XT6|кабель ВВГнг(А)-LS (3х1,5) → Внутренний блок кондиционирования подвальный этаж Пом. №0001Тб</v>
      </c>
      <c r="IN108" t="str" cm="1">
        <f t="array" ref="IN108">IF(IM108="","",_xlfn.LET(_xlpm.nd,_xlfn.TEXTSPLIT(IM108,"|"),IF(COLUMNS(_xlpm.nd)&gt;1,A108&amp;"¦"&amp;INDEX(_xlpm.nd,1)&amp;"¦"&amp;INDEX(_xlpm.nd,2),"")))</f>
        <v>ЩОВ-01¦QF6¦XT6</v>
      </c>
      <c r="IO108" t="str">
        <f t="shared" si="254"/>
        <v>В.24¦Внутренний блок кондиционирования подвальный этаж Пом. №0001Тб</v>
      </c>
      <c r="IP108" t="str" cm="1">
        <f t="array" ref="IP108">IF(IM108="","",_xlfn.LET(_xlpm.nd,_xlfn.TEXTSPLIT(IM108,"|"),IF(COLUMNS(_xlpm.nd)&gt;2,A108&amp;"¦"&amp;INDEX(_xlpm.nd,2)&amp;"¦"&amp;INDEX(_xlpm.nd,3),"")))</f>
        <v>ЩОВ-01¦XT6¦кабель ВВГнг(А)-LS (3х1,5) → Внутренний блок кондиционирования подвальный этаж Пом. №0001Тб</v>
      </c>
      <c r="IQ108" t="str">
        <f t="shared" si="255"/>
        <v>В.24¦Внутренний блок кондиционирования подвальный этаж Пом. №0001Тб</v>
      </c>
      <c r="IR108" t="str" cm="1">
        <f t="array" ref="IR108">IF(IM108="","",_xlfn.LET(_xlpm.nd,_xlfn.TEXTSPLIT(IM108,"|"),IF(COLUMNS(_xlpm.nd)&gt;3,A108&amp;"¦"&amp;INDEX(_xlpm.nd,3)&amp;"¦"&amp;INDEX(_xlpm.nd,4),"")))</f>
        <v/>
      </c>
      <c r="IS108" t="str">
        <f t="shared" si="256"/>
        <v/>
      </c>
      <c r="IT108" t="str" cm="1">
        <f t="array" ref="IT108">IF(IM108="","",_xlfn.LET(_xlpm.nd,_xlfn.TEXTSPLIT(IM108,"|"),IF(COLUMNS(_xlpm.nd)&gt;4,A108&amp;"¦"&amp;INDEX(_xlpm.nd,4)&amp;"¦"&amp;INDEX(_xlpm.nd,5),"")))</f>
        <v/>
      </c>
      <c r="IU108" t="str">
        <f t="shared" si="257"/>
        <v/>
      </c>
      <c r="IV108" t="str" cm="1">
        <f t="array" ref="IV108">IF(IM108="","",_xlfn.LET(_xlpm.nd,_xlfn.TEXTSPLIT(IM108,"|"),IF(COLUMNS(_xlpm.nd)&gt;5,A108&amp;"¦"&amp;INDEX(_xlpm.nd,5)&amp;"¦"&amp;INDEX(_xlpm.nd,6),"")))</f>
        <v/>
      </c>
      <c r="IW108" t="str">
        <f t="shared" si="258"/>
        <v/>
      </c>
      <c r="IX108" t="str" cm="1">
        <f t="array" ref="IX108">IF(IM108="","",_xlfn.LET(_xlpm.nd,_xlfn.TEXTSPLIT(IM108,"|"),IF(COLUMNS(_xlpm.nd)&gt;6,A108&amp;"¦"&amp;INDEX(_xlpm.nd,6)&amp;"¦"&amp;INDEX(_xlpm.nd,7),"")))</f>
        <v/>
      </c>
      <c r="IY108" t="str">
        <f t="shared" si="259"/>
        <v/>
      </c>
      <c r="IZ108" t="str">
        <f t="shared" si="260"/>
        <v/>
      </c>
      <c r="JA108" t="str">
        <f t="shared" si="261"/>
        <v>QF6 → XT6</v>
      </c>
      <c r="JB108">
        <f t="shared" si="262"/>
        <v>0</v>
      </c>
      <c r="JC108">
        <f t="shared" si="263"/>
        <v>0</v>
      </c>
      <c r="JD108" t="str">
        <f t="shared" si="264"/>
        <v/>
      </c>
      <c r="JE108" t="str">
        <f t="shared" si="265"/>
        <v/>
      </c>
      <c r="JF108" t="str">
        <f t="shared" si="266"/>
        <v/>
      </c>
      <c r="JG108" t="str">
        <f t="shared" si="267"/>
        <v/>
      </c>
      <c r="JH108" t="str">
        <f>IF(B108="","",IFERROR(_xlfn.XLOOKUP(B108,Коды_код,Коды_уго),IFERROR(_xlfn.XLOOKUP(BC108,Коды_код,Коды_уго),IFERROR(_xlfn.XLOOKUP(LEFT(BC108,2),Коды_код,Коды_уго),""))))</f>
        <v>Привод (двигатель)</v>
      </c>
      <c r="JI108" t="str">
        <f>IF(B108="","",IF(OR(JH108="",JH108=0),"BOX",IFERROR(IF(VLOOKUP(JH108,УГО_блоки,3,FALSE)&amp;""&lt;&gt;"",VLOOKUP(JH108,УГО_блоки,3,FALSE),VLOOKUP(JH108,УГО_блоки,2,FALSE)),JH108)))</f>
        <v>MOTOR</v>
      </c>
      <c r="JJ108">
        <f t="shared" si="268"/>
        <v>1</v>
      </c>
      <c r="JK108" t="str">
        <f>IF(DQ108="","",IF(COUNTIF(DQ$3:DQ108,DQ108)=1,MAX(JK$2:JK107)+1,""))</f>
        <v/>
      </c>
      <c r="JL108" t="str">
        <f>IF(DE108="","",IF(COUNTIF(DE$3:DE108,DE108)+COUNTIF(DF$2:DF107,DE108)+COUNTIF(DG$2:DG107,DE108)=1,MAX(JL$2:JN107)+1,""))</f>
        <v/>
      </c>
      <c r="JM108" t="str">
        <f>IF(DF108="","",IF(COUNTIF(DE$3:DE108,DF108)+COUNTIF(DF$3:DF108,DF108)+COUNTIF(DG$2:DG107,DF108)=1,MAX(JL$2:JN107,JL108)+1,""))</f>
        <v/>
      </c>
      <c r="JN108" t="str">
        <f>IF(DG108="","",IF(COUNTIF(DE$3:DE108,DG108)+COUNTIF(DF$3:DF108,DG108)+COUNTIF(DG$3:DG108,DG108)=1,MAX(JL$2:JN107,JL108,JM108)+1,""))</f>
        <v/>
      </c>
      <c r="JO108" t="str">
        <f t="shared" si="269"/>
        <v>3х1,5</v>
      </c>
      <c r="JP108" t="str">
        <f>IF(JO108="","",IF(COUNTIF(JO$3:JO108,JO108)=1,MAX(JP$2:JP107)+1,""))</f>
        <v/>
      </c>
      <c r="JQ108" t="str">
        <f>IF(HG108="","",COUNTIF(HG$3:HG108,"?*"))</f>
        <v/>
      </c>
      <c r="JR108" t="str">
        <f>IF(OR(HG108="",HI108=""),"",IF(COUNTIFS(HG$3:HG108,"?*",HI$3:HI108,HI108)=1,MAX(JR$2:JR107)+1,""))</f>
        <v/>
      </c>
      <c r="JS108">
        <f t="shared" si="270"/>
        <v>0</v>
      </c>
      <c r="JT108">
        <f>IF(B108="","",COUNTIF(B$3:B108,"?*"))</f>
        <v>106</v>
      </c>
      <c r="JU108">
        <f>IF(HL108&lt;&gt;1,0,_xlfn.LET(_xlpm.k,MAX(IFERROR(--_xlfn.XLOOKUP(B108,Коды_код,Коды_3L),0),IFERROR(--_xlfn.XLOOKUP(BC108,Коды_код,Коды_3L),0),IFERROR(--_xlfn.XLOOKUP(LEFT(BC108,2),Коды_код,Коды_3L),0)),IF(_xlpm.k&gt;0,_xlpm.k,IF(IFERROR(--LEFT(SUBSTITUTE(JO108,"x","х"),FIND("х",SUBSTITUTE(JO108,"x","х"))-1),3)&gt;3,Каталог!$S$9,1))))</f>
        <v>1</v>
      </c>
      <c r="JV108">
        <f t="shared" si="271"/>
        <v>0</v>
      </c>
      <c r="JW108" t="str">
        <f t="shared" si="272"/>
        <v>авто</v>
      </c>
      <c r="JX108" t="str">
        <f t="shared" si="273"/>
        <v/>
      </c>
      <c r="JY108">
        <f t="shared" si="274"/>
        <v>0</v>
      </c>
      <c r="JZ108">
        <f t="shared" si="275"/>
        <v>1</v>
      </c>
    </row>
    <row r="109" spans="1:286" x14ac:dyDescent="0.3">
      <c r="A109" t="s">
        <v>745</v>
      </c>
      <c r="B109" t="s">
        <v>1420</v>
      </c>
      <c r="C109" t="s">
        <v>1673</v>
      </c>
      <c r="D109">
        <v>1</v>
      </c>
      <c r="E109">
        <v>0.27</v>
      </c>
      <c r="G109">
        <v>10</v>
      </c>
      <c r="H109" t="str">
        <f>Линии[[#This Row],[_авто управление]]</f>
        <v/>
      </c>
      <c r="I109" t="str">
        <f>Линии[[#This Row],[_авто аппараты]]</f>
        <v/>
      </c>
      <c r="J109">
        <v>1.5</v>
      </c>
      <c r="K109">
        <v>30</v>
      </c>
      <c r="L109" t="str">
        <f>Линии[[#This Row],[_авто фаза]]</f>
        <v>L1</v>
      </c>
      <c r="M109" t="s">
        <v>484</v>
      </c>
      <c r="N109" t="str">
        <f t="shared" si="138"/>
        <v/>
      </c>
      <c r="O109" s="6" cm="1">
        <f t="array" ref="O109">IF(B109="","",IF(BH109&lt;&gt;"",IFERROR(_xlfn.XLOOKUP(BH109,Щиты[Щит],Щиты[Iр, А]),""),IF(BP109=1,IF(OR(N(_xlfn.XLOOKUP(A109,Щиты[Щит],Щиты[Вводов],1))&lt;=1,LOWER(TRIM(_xlfn.XLOOKUP(A109,Щиты[Щит],Щиты[АВР],"")&amp;""))="да"),IFERROR(_xlfn.XLOOKUP(A109,Щиты[Щит],Щиты[Iр, А]),""),IFERROR(N(BS109)*_xlfn.XLOOKUP(A109,Щиты[Щит],Щиты[Кс итог])/(SQRT(3)*Uн_лин*_xlfn.XLOOKUP(A109,Щиты[Щит],Щиты[cos φ])),"")),IF(BV109=1,IFERROR(BS109*1000/BU109,""),IFERROR(_xlfn.IFS(BX109=1,BS109/((Uн_лин/SQRT(3))*CE109),BX109=3,BS109/(SQRT(3)*Uн_лин*CE109)),"")))))</f>
        <v>1.46141786888624</v>
      </c>
      <c r="P109" s="7">
        <f>IF(B109="","",IFERROR(IF(VLOOKUP(BC109,Потребители_обозначение,4,FALSE)=1,VLOOKUP(BC109,Потребители_обозначение,3,FALSE)*(MAX(1,N(D109))*2-1)+EI109+VLOOKUP(BE109,Этаж_обозначение,3,FALSE)+VLOOKUP(BE109,Этаж_обозначение,4,FALSE),VLOOKUP(BC109,Потребители_обозначение,3,FALSE)*(MAX(1,N(D109))*2-1)+EI109),EI109))</f>
        <v>34</v>
      </c>
      <c r="Q109" s="6">
        <f t="shared" si="139"/>
        <v>0.76</v>
      </c>
      <c r="R109" t="str">
        <f t="shared" si="140"/>
        <v>ВВГнг(А)-LS (3х1,5)</v>
      </c>
      <c r="S109" t="str">
        <f>IF(BM109="","",IF(BN109="вводной узел","узел ","")&amp;"л."&amp;(INT((BM109-1)/Столбцов_на_лист)+1)&amp;" / "&amp;(MOD(BM109-1,Столбцов_на_лист)+1))</f>
        <v>л.2 / 4</v>
      </c>
      <c r="T109" s="119">
        <f t="shared" si="141"/>
        <v>0.9</v>
      </c>
      <c r="U109" s="7" t="str">
        <f>IF(OR(CG109=0,N(BV109)+N(IB109)=0),"",ROUNDUP(Запас_БП*(N(HY109)+N(HZ109)),0))</f>
        <v/>
      </c>
      <c r="V109" s="119" t="str">
        <f t="shared" si="142"/>
        <v/>
      </c>
      <c r="W109" s="7" t="str">
        <f>IFERROR(IF(OR(B109="",BP109=1,BV109=1,NOT(ISNUMBER(EN109)),N(DT109)=0),"",MAX(0,ROUNDDOWN((c_min*(Uн_лин*1000/SQRT(3))/(HT109*N(DT109))-_xlfn.XLOOKUP(A109,Щиты[Щит],Щиты[Zпетли на шинах, Ом]))*EN109/(2*ρкз_Cu),0))),"")</f>
        <v/>
      </c>
      <c r="Y109" t="str">
        <f>Линии[[#This Row],[_авто утечка]]</f>
        <v/>
      </c>
      <c r="Z109">
        <v>1</v>
      </c>
      <c r="AA109">
        <v>230</v>
      </c>
      <c r="AB109" t="s">
        <v>598</v>
      </c>
      <c r="AC109">
        <v>0.5</v>
      </c>
      <c r="AG109" t="s">
        <v>810</v>
      </c>
      <c r="AI109" t="s">
        <v>580</v>
      </c>
      <c r="AK109" t="str">
        <f>Линии[[#This Row],[_авто модуль]]</f>
        <v/>
      </c>
      <c r="AM109">
        <v>21</v>
      </c>
      <c r="AN109" t="s">
        <v>11</v>
      </c>
      <c r="AO109">
        <v>3</v>
      </c>
      <c r="AQ109">
        <v>20</v>
      </c>
      <c r="AR109">
        <v>14</v>
      </c>
      <c r="AT109">
        <v>1</v>
      </c>
      <c r="BA109" cm="1">
        <f t="array" ref="BA109">ROW()-ROW(Линии[#Headers])</f>
        <v>107</v>
      </c>
      <c r="BC109" s="6" t="str">
        <f t="shared" si="143"/>
        <v>В</v>
      </c>
      <c r="BD109" t="str">
        <f t="shared" si="144"/>
        <v>25</v>
      </c>
      <c r="BE109" t="str">
        <f t="shared" si="145"/>
        <v>25</v>
      </c>
      <c r="BF109" t="str">
        <f t="shared" si="146"/>
        <v/>
      </c>
      <c r="BG109" t="str">
        <f t="shared" si="147"/>
        <v/>
      </c>
      <c r="BH109" t="str">
        <f>IF(X109&lt;&gt;"",X109,IF(AND(B109&lt;&gt;"",B109&lt;&gt;A109,ISNUMBER(_xlfn.XMATCH(B109,Щиты[Щит]))),B109,""))</f>
        <v/>
      </c>
      <c r="BI109" t="str" cm="1">
        <f t="array" ref="BI109">IF(B109="","",IF(BH109&lt;&gt;"","Щит "&amp;BH109,_xlfn.LET(_xlpm.nm,IFERROR(_xlfn.XLOOKUP(BC109,Коды_код,Коды_имя)&amp;"",""),_xlpm.md,IFERROR(N(_xlfn.XLOOKUP(BC109,Коды_код,Коды_режим)),1),_xlpm.ex,IF(Имя_режим="по экспликации",IFERROR(_xlfn.XLOOKUP(BE109&amp;"|"&amp;BG109,Экспликация[Этаж]&amp;"|"&amp;Экспликация[Помещение],Экспликация[Название])&amp;"",""),""),_xlpm.rm,IF(BG109="","",IF(_xlpm.ex&lt;&gt;"",". "&amp;_xlpm.ex&amp;IF(Имя_пом="нет"," ("&amp;BG109&amp;")"," (пом. "&amp;BG109&amp;")"),IF(Имя_пом="нет"," ",", пом. ")&amp;BG109)),IF(_xlpm.nm="","",IF(_xlpm.md=2,_xlpm.nm&amp;" шлейф "&amp;BE109,_xlpm.nm&amp;_xlpm.rm)))))</f>
        <v>Вытяжная установка шлейф 25</v>
      </c>
      <c r="BJ109" t="str">
        <f t="shared" si="148"/>
        <v>Внутренний блок кондиционирования подвальный этаж Пом. №01Тб</v>
      </c>
      <c r="BK109">
        <f>IFERROR(_xlfn.XMATCH(A109,Щиты[Щит]),0)</f>
        <v>6</v>
      </c>
      <c r="BL109">
        <f>_xlfn.LET(_xlpm.k,IFERROR(_xlfn.XLOOKUP(A109,Щиты[Щит],Щиты[Мест под вводной узел]),""),IF(_xlpm.k="",Столбцов_на_лист,N(_xlpm.k)))</f>
        <v>12</v>
      </c>
      <c r="BM109">
        <f t="shared" si="149"/>
        <v>21</v>
      </c>
      <c r="BN109" t="str">
        <f t="shared" si="150"/>
        <v>линии</v>
      </c>
      <c r="BO109" s="6">
        <f>IFERROR(N(_xlfn.XLOOKUP(BC109,Коды_код,Коды_квт)),0)</f>
        <v>0</v>
      </c>
      <c r="BP109">
        <f t="shared" si="151"/>
        <v>0</v>
      </c>
      <c r="BQ109" t="str">
        <f>IF(B109="","",IF(BH109&lt;&gt;"",IFERROR(_xlfn.XLOOKUP(BH109,Щиты[Щит],Щиты[Руст, кВт]),0),IF(BP109=1,IF(OR(N(_xlfn.XLOOKUP(A109,Щиты[Щит],Щиты[Вводов],1))&lt;=1,LOWER(TRIM(_xlfn.XLOOKUP(A109,Щиты[Щит],Щиты[АВР],"")&amp;""))="да"),IFERROR(_xlfn.XLOOKUP(A109,Щиты[Щит],Щиты[Руст, кВт]),0),SUMIFS(Линии[_Р для вводов],Линии[Щит],A109,Линии[Источник для режимов],GF109)),IF(BO109&gt;0,ROUND(BO109*MAX(1,N(D109)),3),""))))</f>
        <v/>
      </c>
      <c r="BR109">
        <f t="shared" si="152"/>
        <v>0.27</v>
      </c>
      <c r="BS109" s="6">
        <f>IF(B109="","",IF(BH109&lt;&gt;"",IFERROR(_xlfn.XLOOKUP(BH109,Щиты[Щит],Щиты[Руст, кВт]),0),N(BR109)))</f>
        <v>0.27</v>
      </c>
      <c r="BT109" t="str">
        <f>IF(B109="","",IFERROR(IF(VLOOKUP(BC109,Потребители_обозначение,8,FALSE)=0,"",VLOOKUP(BC109,Потребители_обозначение,8,FALSE)),""))</f>
        <v/>
      </c>
      <c r="BU109">
        <f t="shared" si="153"/>
        <v>230</v>
      </c>
      <c r="BV109">
        <f t="shared" si="154"/>
        <v>0</v>
      </c>
      <c r="BW109">
        <f>IF(B109="","",IF(BH109&lt;&gt;"",3,IFERROR(IF(N(VLOOKUP(BC109,Потребители_обозначение,9,FALSE))=0,1,VLOOKUP(BC109,Потребители_обозначение,9,FALSE)),1)))</f>
        <v>1</v>
      </c>
      <c r="BX109">
        <f t="shared" si="155"/>
        <v>1</v>
      </c>
      <c r="BY109" t="str">
        <f>IF(B109="","",_xlfn.LET(_xlpm.bc,IFERROR(IF(VLOOKUP(BC109,Потребители_обозначение,6,FALSE)=0,"",VLOOKUP(BC109,Потребители_обозначение,6,FALSE)&amp;""),""),IF(AND(GA109="да",OR(_xlpm.bc="",_xlpm.bc="мс")),Марка_пож,IF(AND(_xlpm.bc="",BH109&lt;&gt;""),"мс",_xlpm.bc))))</f>
        <v/>
      </c>
      <c r="BZ109" t="str">
        <f t="shared" si="156"/>
        <v>мс</v>
      </c>
      <c r="CA109">
        <f>IF(B109="","",_xlfn.LET(_xlpm.cc,IFERROR(N(VLOOKUP(BC109,Потребители_обозначение,7,FALSE)),0),IF(_xlpm.cc&gt;0,_xlpm.cc,IF(BZ109="","",IF(BV109=1,2,IF(N(BX109)=3,5,3))))))</f>
        <v>3</v>
      </c>
      <c r="CB109">
        <f t="shared" si="157"/>
        <v>3</v>
      </c>
      <c r="CC109">
        <f>IFERROR(N(VLOOKUP(BC109,Потребители_обозначение,10,FALSE)),0)</f>
        <v>0</v>
      </c>
      <c r="CD109">
        <f>IFERROR(VLOOKUP(BC109,Потребители_обозначение,5,FALSE),0)</f>
        <v>1</v>
      </c>
      <c r="CE109" s="6" cm="1">
        <f t="array" ref="CE109">IF(B109="","",IF(BH109&lt;&gt;"",IFERROR(_xlfn.XLOOKUP(BH109,Щиты[Щит],Щиты[cos φ]),0.95),IF(BP109=1,IFERROR(_xlfn.XLOOKUP(A109,Щиты[Щит],Щиты[cos φ]),0.95),IF(ISNUMBER(AD109),AD109,IFERROR(IF(CD109=2,_xlfn.IFS(BX109=3,VLOOKUP(BS109,Справочная_двигатели,8,FALSE),BX109=1,VLOOKUP(BS109,Справочная_двигатели,10,TRUE)),IF(AND(Методика="нормы 2026",FG109="Сил"),0.8,0.95)),0.95)))))</f>
        <v>0.8</v>
      </c>
      <c r="CF109">
        <f t="shared" si="158"/>
        <v>0</v>
      </c>
      <c r="CG109">
        <f t="shared" si="159"/>
        <v>1</v>
      </c>
      <c r="CH109">
        <f t="shared" si="160"/>
        <v>0</v>
      </c>
      <c r="CI109">
        <f>IF(B109="","",IF(BV109=1,IFERROR(BS109/((Uн_лин/SQRT(3))*MAX(0.5,N(CE109))),0),N(O109)))</f>
        <v>1.46141786888624</v>
      </c>
      <c r="CJ109">
        <f t="shared" si="161"/>
        <v>0</v>
      </c>
      <c r="CK109">
        <f t="shared" si="162"/>
        <v>0</v>
      </c>
      <c r="CL109">
        <f t="shared" si="163"/>
        <v>0</v>
      </c>
      <c r="CM109">
        <f t="shared" si="164"/>
        <v>0</v>
      </c>
      <c r="CN109">
        <f t="shared" si="165"/>
        <v>0</v>
      </c>
      <c r="CO109">
        <f>IF(BC109="",0,_xlfn.LET(_xlpm.v,IFERROR(_xlfn.XLOOKUP(B109,Коды_код,Коды_мА),IFERROR(_xlfn.XLOOKUP(BC109,Коды_код,Коды_мА),IFERROR(_xlfn.XLOOKUP(LEFT(BC109,2),Коды_код,Коды_мА),""))),IF(_xlpm.v="да",30,IF(ISNUMBER(_xlpm.v),_xlpm.v,0))))</f>
        <v>0</v>
      </c>
      <c r="CP109" t="str">
        <f t="shared" si="166"/>
        <v/>
      </c>
      <c r="CQ109" t="str">
        <f>_xlfn.LET(_xlpm.k,IFERROR(_xlfn.XLOOKUP(BC109,Коды_код,Коды_утечка)&amp;"",""),IF(_xlpm.k="","дифавтомат",_xlpm.k))</f>
        <v>дифавтомат</v>
      </c>
      <c r="CR109" t="str" cm="1">
        <f t="array" ref="CR109">IF(CG109=0,"",_xlfn.LET(_xlpm.sg,TRIM(_xlfn.TEXTSPLIT(DD109&amp;"",";")),_xlpm.f_,_xlfn._xlws.FILTER(_xlpm.sg,LEFT(_xlpm.sg,3)="УЗО",""),IFERROR(INDEX(_xlpm.f_,1)&amp;"","")))</f>
        <v/>
      </c>
      <c r="CS109" t="str">
        <f t="shared" si="167"/>
        <v/>
      </c>
      <c r="CT109" s="6" t="str" cm="1">
        <f t="array" ref="CT109">IF(CR109="","",_xlfn.LET(_xlpm.tk,_xlfn.TEXTSPLIT(UPPER(CR109)," ",,TRUE),_xlpm.a_,_xlfn._xlws.FILTER(_xlpm.tk,ISNUMBER(--LEFT(_xlpm.tk,1))*((ISNUMBER(SEARCH("А",_xlpm.tk))+ISNUMBER(SEARCH("A",_xlpm.tk)))&gt;0)*NOT(ISNUMBER(SEARCH("МА",_xlpm.tk)))*NOT(ISNUMBER(SEARCH("MA",_xlpm.tk))),""),IFERROR(--SUBSTITUTE(SUBSTITUTE(INDEX(_xlpm.a_,1),"А",""),"A",""),"")))</f>
        <v/>
      </c>
      <c r="CU109" t="str" cm="1">
        <f t="array" ref="CU109">IF(CR109="","",_xlfn.LET(_xlpm.tk,_xlfn.TEXTSPLIT(UPPER(CR109)," ",,TRUE),_xlpm.a_,_xlfn._xlws.FILTER(_xlpm.tk,ISNUMBER(--LEFT(_xlpm.tk,1))*((ISNUMBER(SEARCH("МА",_xlpm.tk))+ISNUMBER(SEARCH("MA",_xlpm.tk)))&gt;0),""),IFERROR(--SUBSTITUTE(SUBSTITUTE(INDEX(_xlpm.a_,1),"МА",""),"MA",""),30)))</f>
        <v/>
      </c>
      <c r="CV109" t="str">
        <f>IF(CS109="","",IFERROR(_xlfn.XLOOKUP(CS109,Линии[_n],Линии[_УЗО, мА]),30))</f>
        <v/>
      </c>
      <c r="CW109">
        <f>IF(CS109="",0,IF(ISNUMBER(SEARCH("4P",IFERROR(_xlfn.XLOOKUP(CS109,Линии[_n],Линии[_УЗО строки])&amp;"",""))),0,1))</f>
        <v>0</v>
      </c>
      <c r="CX109" t="str">
        <f>IF(AND(CS109&lt;&gt;"",CS109=BA109),SUMIFS(Линии[_ток на 230 В],Линии[_блок УЗО],BA109,Линии[Щит],A109),"")</f>
        <v/>
      </c>
      <c r="CY109" t="str">
        <f>IF(AND(CS109&lt;&gt;"",CS109=BA109),SUMIFS(Линии[_ток утечки линии, мА],Линии[_блок УЗО],BA109,Линии[Щит],A109),"")</f>
        <v/>
      </c>
      <c r="CZ109">
        <f t="shared" si="168"/>
        <v>0</v>
      </c>
      <c r="DA109">
        <f t="shared" si="169"/>
        <v>0</v>
      </c>
      <c r="DB109">
        <f>IF(B109="",0,IFERROR(--_xlfn.XLOOKUP(B109,Коды_код,Коды_минавт),IFERROR(--_xlfn.XLOOKUP(BC109,Коды_код,Коды_минавт),IFERROR(--_xlfn.XLOOKUP(LEFT(BC109,2),Коды_код,Коды_минавт),0))))</f>
        <v>0</v>
      </c>
      <c r="DC109" t="str">
        <f>IF(B109="","",IFERROR(_xlfn.XLOOKUP(BC109,Коды_код,Коды_апп)&amp;"",""))</f>
        <v/>
      </c>
      <c r="DD109" t="str">
        <f t="shared" si="170"/>
        <v/>
      </c>
      <c r="DE109" t="str" cm="1">
        <f t="array" ref="DE109">IF(TRIM(DD109&amp;"")="","",IFERROR(TRIM(INDEX(_xlfn.TEXTSPLIT(DD109&amp;";;;",";"),1)),""))</f>
        <v/>
      </c>
      <c r="DF109" t="str" cm="1">
        <f t="array" ref="DF109">IF(TRIM(DD109&amp;"")="","",IFERROR(TRIM(INDEX(_xlfn.TEXTSPLIT(DD109&amp;";;;",";"),2)),""))</f>
        <v/>
      </c>
      <c r="DG109" t="str" cm="1">
        <f t="array" ref="DG109">IF(TRIM(DD109&amp;"")="","",IFERROR(TRIM(INDEX(_xlfn.TEXTSPLIT(DD109&amp;";;;",";"),3)),""))</f>
        <v/>
      </c>
      <c r="DH109">
        <f t="shared" si="171"/>
        <v>0</v>
      </c>
      <c r="DI109" t="str">
        <f>IF(B109="","",_xlfn.LET(_xlpm.t,LOWER(AZ109&amp;""),IF(ISNUMBER(SEARCH("dim",_xlpm.t)),"DIM",IF(ISNUMBER(SEARCH("dali",_xlpm.t)),"DALI",IF(OR(ISNUMBER(SEARCH("relay",_xlpm.t)),ISNUMBER(SEARCH("реле",_xlpm.t))),"Relay",IF(ISNUMBER(SEARCH("кнопк",_xlpm.t)),"",IFERROR(_xlfn.XLOOKUP(BC109,Коды_код,Коды_упр)&amp;"","")))))))</f>
        <v/>
      </c>
      <c r="DJ109" t="str">
        <f t="shared" si="172"/>
        <v/>
      </c>
      <c r="DK109">
        <f>IF(B109="","",_xlfn.LET(_xlpm.ig,IF(N(CX109)&gt;0,N(CX109),N(CI109)+IF(AJ109="вручную",0,N(CJ109))),_xlpm.n0,IFERROR(VLOOKUP(_xlpm.ig,Автомат_номиналы,2,TRUE),0),_xlpm.mn,MAX(DB109,IF(AJ109="вручную",0,N(CM109))),MAX(_xlpm.n0,_xlpm.mn,IF(DH109=1,Мин_автомат_БП,0))))</f>
        <v>6</v>
      </c>
      <c r="DL109">
        <f t="shared" si="173"/>
        <v>1</v>
      </c>
      <c r="DM109" t="str">
        <f t="shared" si="174"/>
        <v>1P</v>
      </c>
      <c r="DN109" t="str">
        <f>_xlfn.LET(_xlpm.cc,UPPER(TRIM(IFERROR(_xlfn.XLOOKUP(BC109,Коды_код,Коды_хар)&amp;"",""))),IF(OR(_xlpm.cc="B",_xlpm.cc="В"),"B",IF(_xlpm.cc="D","D","С")))</f>
        <v>С</v>
      </c>
      <c r="DO109" t="str">
        <f t="shared" si="175"/>
        <v>1P С6А</v>
      </c>
      <c r="DP109">
        <f t="shared" si="176"/>
        <v>10</v>
      </c>
      <c r="DQ109" t="str">
        <f t="shared" si="177"/>
        <v>1P С10А</v>
      </c>
      <c r="DR109" cm="1">
        <f t="array" ref="DR109">IF(DQ109="","",_xlfn.LET(_xlpm.t,SUBSTITUTE(SUBSTITUTE(SUBSTITUTE(UPPER(DQ109),"С","C"),"А","A"),"В","B"),_xlpm.tk,_xlfn.TEXTSPLIT(_xlpm.t," "),_xlpm.f,_xlfn._xlws.FILTER(_xlpm.tk,ISNUMBER(--MID(_xlpm.tk,2,1))*ISNUMBER(SEARCH(LEFT(_xlpm.tk,1)&amp;"#","B#C#D#"))*(LEN(_xlpm.tk)&gt;1),""),_xlpm.x,INDEX(_xlpm.f,1),IFERROR(--SUBSTITUTE(MID(_xlpm.x,2,9),"A",""),IFERROR(--SUBSTITUTE(INDEX(_xlfn._xlws.FILTER(_xlpm.tk,ISNUMBER(--SUBSTITUTE(_xlpm.tk,"A","")),""),1),"A",""),""))))</f>
        <v>10</v>
      </c>
      <c r="DS109" t="str">
        <f t="shared" si="178"/>
        <v>ok</v>
      </c>
      <c r="DT109">
        <f t="shared" si="179"/>
        <v>10</v>
      </c>
      <c r="DU109" t="str">
        <f t="shared" si="180"/>
        <v>1P С10А</v>
      </c>
      <c r="DV109">
        <f t="shared" si="181"/>
        <v>0</v>
      </c>
      <c r="DW109">
        <f t="shared" si="182"/>
        <v>0</v>
      </c>
      <c r="DX109">
        <f t="shared" si="183"/>
        <v>0</v>
      </c>
      <c r="DY109">
        <f t="shared" si="184"/>
        <v>1.46141786888624</v>
      </c>
      <c r="DZ109">
        <f t="shared" si="185"/>
        <v>1</v>
      </c>
      <c r="EA109">
        <f>IF(ISNUMBER(AP109),AP109,К_прокл)</f>
        <v>1</v>
      </c>
      <c r="EB109">
        <f t="shared" si="186"/>
        <v>2</v>
      </c>
      <c r="EC109">
        <f>IFERROR(N(VLOOKUP(BZ109,Кабель_обозначение,3,FALSE)),1)</f>
        <v>1</v>
      </c>
      <c r="ED109">
        <f>IFERROR(N(_xlfn.XLOOKUP(A109,Щиты[Щит],Щиты[ΔU до шин, %])),0)</f>
        <v>0.24000000000000002</v>
      </c>
      <c r="EE109" t="str">
        <f>IFERROR(_xlfn.XLOOKUP(A109,Щиты[Щит],Щиты[Zпетли на шинах, Ом]),"")</f>
        <v/>
      </c>
      <c r="EF109">
        <f>IFERROR(N(_xlfn.XLOOKUP(A109,Щиты[Щит],Щиты[ΔU до шин (подбор), %])),0)</f>
        <v>0.36</v>
      </c>
      <c r="EG109" t="str">
        <f>IFERROR(_xlfn.XLOOKUP(A109,Щиты[Щит],Щиты[Zпетли на шинах (подбор), Ом]),"")</f>
        <v/>
      </c>
      <c r="EH109" t="str">
        <f t="shared" si="187"/>
        <v/>
      </c>
      <c r="EI109">
        <f t="shared" si="188"/>
        <v>30</v>
      </c>
      <c r="EJ109">
        <f t="shared" si="189"/>
        <v>2</v>
      </c>
      <c r="EK109">
        <f t="shared" si="190"/>
        <v>0.6</v>
      </c>
      <c r="EL109" s="6">
        <f>IF(B109="","",IF(BV109=1,dU_LED,IF(IFERROR(_xlfn.XLOOKUP(BC109,Коды_код,Коды_уго),"")="Светильник",3,4)+IF(Методика="нормы 2026",MIN(0.5,MAX(0,N(P109)-100)*0.005),0)))</f>
        <v>4</v>
      </c>
      <c r="EM109" cm="1">
        <f t="array" ref="EM109">IF(OR(B109="",BZ109="",EC109&lt;&gt;1),"",_xlfn.LET(_xlpm.sz,Iдоп_S,_xlpm.t_,CHOOSE(EB109,Iдоп_1ж,Iдоп_2ж,Iдоп_3ж)*DZ109*EA109,_xlpm.dcx,BV109=1,_xlpm.inn,IF(_xlpm.dcx,N(O109),N(DT109)),_xlpm.smin,MAX(1.5,CC109),_xlpm.L_,N(P109)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109)/N(BU109)*100,999),IFERROR(N(EJ109)*(_xlpm.rho*_xlpm.L_/_xlpm.sz*N(CE109)+_xlpm.xx*_xlpm.L_*N(EK109)/1000)*N(O109)/((Uн_лин/SQRT(3))*1000)*100,999)),_xlpm.kz,IF(OR(_xlpm.dcx,DW109=1,NOT(ISNUMBER(EG109)),_xlpm.L_=0,_xlpm.inn=0),1,IFERROR(--(c_min*(Uн_лин*1000/SQRT(3))/(EG109+2*ρкз_Cu*_xlpm.L_/_xlpm.sz)&gt;=HT109*_xlpm.inn),0)),_xlpm.ok,IFERROR((_xlpm.sz&gt;=_xlpm.smin)*(_xlpm.t_&gt;=_xlpm.inn)*IF(_xlpm.L_&gt;0,(_xlpm.du_+IF(_xlpm.dcx,0,EF109)&lt;=EL109+0.00001),1)*_xlpm.kz,0),_xlpm.r_,_xlfn._xlws.FILTER(_xlpm.sz,_xlpm.ok,"не подобрано"),INDEX(_xlpm.r_,1)))</f>
        <v>1.5</v>
      </c>
      <c r="EN109">
        <f t="shared" si="191"/>
        <v>1.5</v>
      </c>
      <c r="EO109" cm="1">
        <f t="array" ref="EO109">IF(OR(B109="",BZ109="",EC109&lt;&gt;1),"",_xlfn.LET(_xlpm.sz,Iдоп_S,_xlpm.t_,CHOOSE(EB109,Iдоп_1ж,Iдоп_2ж,Iдоп_3ж)*DZ109*EA109,_xlpm.ok,IFERROR((_xlpm.sz&gt;=MAX(1.5,CC109))*(_xlpm.t_&gt;=N(DT109)),0),_xlpm.r_,_xlfn._xlws.FILTER(_xlpm.sz,_xlpm.ok,""),INDEX(_xlpm.r_,1)))</f>
        <v>1.5</v>
      </c>
      <c r="EP109" s="6" cm="1">
        <f t="array" ref="EP109">IFERROR(ROUNDUP(N(EJ109)*(_xlfn.XLOOKUP(EO109,INDEX(Кабель_сопротивление,0,1),INDEX(Кабель_сопротивление,0,3))*N(P109)/EO109*N(CE109)+_xlfn.XLOOKUP(EO109,INDEX(Кабель_сопротивление,0,1),INDEX(Кабель_сопротивление,0,2))*N(P109)*N(EK109)/1000)*N(O109)/((Uн_лин/SQRT(3))*1000)*100,2),"")</f>
        <v>0.52</v>
      </c>
      <c r="EQ109">
        <f>IFERROR(2*ρкз_Cu*N(P109)/EO109,"")</f>
        <v>1.1922666666666666</v>
      </c>
      <c r="ER109">
        <f>IFERROR(VLOOKUP(EN109,Кабель_сопротивление,3,FALSE),"")</f>
        <v>2.2499999999999999E-2</v>
      </c>
      <c r="ES109">
        <f>IFERROR(VLOOKUP(EN109,Кабель_сопротивление,2,FALSE),"")</f>
        <v>0.11</v>
      </c>
      <c r="ET109">
        <f t="shared" si="192"/>
        <v>14</v>
      </c>
      <c r="EU109">
        <f t="shared" si="193"/>
        <v>0</v>
      </c>
      <c r="EV109">
        <f t="shared" si="194"/>
        <v>1.1990758244067334</v>
      </c>
      <c r="EW109" s="6">
        <f>IFERROR(ROUNDUP(EV109/IF(BV109=1,BU109,(Uн_лин/SQRT(3))*1000)*100,2),"")</f>
        <v>0.52</v>
      </c>
      <c r="EX109" t="str">
        <f>IFERROR(VLOOKUP(BZ109,Кабель_обозначение,2,FALSE),"")</f>
        <v>ВВГнг(А)-LS</v>
      </c>
      <c r="EY109" t="str">
        <f t="shared" si="195"/>
        <v>ВВГнг(А)-LS (3х1,5)</v>
      </c>
      <c r="EZ109" t="str">
        <f t="shared" si="196"/>
        <v>ВВГнг(А)-LS (3х1,5)
L=34-0,52%</v>
      </c>
      <c r="FA109">
        <f>IFERROR(2*ρкз_Cu*P109/EN109,"")</f>
        <v>1.1922666666666666</v>
      </c>
      <c r="FB109">
        <f t="shared" si="197"/>
        <v>0.39666666666666672</v>
      </c>
      <c r="FC109" s="6" t="str">
        <f>IFERROR(IF(OR(B109="",BV109=1,NOT(ISNUMBER(EN109)),N(P109)=0),"",_xlfn.XLOOKUP(A109,Щиты[Щит],Щиты[Zпетли на шинах, Ом])+FA109),"")</f>
        <v/>
      </c>
      <c r="FD109" s="6" t="str">
        <f>IF(ISNUMBER(FC109),c_min*(Uн_лин*1000/SQRT(3))/FC109,"")</f>
        <v/>
      </c>
      <c r="FE109" s="6" t="str">
        <f>IFERROR(IF(OR(B109="",NOT(ISNUMBER(EN109))),"",1.05*(Uн_лин*1000/SQRT(3))/(_xlfn.XLOOKUP(A109,Щиты[Щит],Щиты[Zmax на шинах, Ом])+FB109)/1000),"")</f>
        <v/>
      </c>
      <c r="FF109" s="6" t="str">
        <f>IF(B109="","",IF(ISNUMBER(AC109),"Сил",IF(IFERROR(_xlfn.XLOOKUP(BC109,Коды_код,Коды_группа)&amp;"","")="","Быт",_xlfn.XLOOKUP(BC109,Коды_код,Коды_группа)&amp;"")))</f>
        <v>Сил</v>
      </c>
      <c r="FG109" s="6" t="str">
        <f t="shared" si="198"/>
        <v>Сил</v>
      </c>
      <c r="FH109" s="6">
        <f>IF(FG109="Щит","щит",IF(FG109="","",IF(FG109="Быт",IFERROR(_xlfn.XLOOKUP(A109,Щиты[Щит],Щиты[Кс быт]),1),IF(FG109="Сил",IF(ISNUMBER(AC109),AC109,IF(Методика="нормы 2026",IFERROR(_xlfn.XLOOKUP(A109,Щиты[Щит],Щиты[Кс силовых (табл. 7.5)]),1),1)),IF(OR(FG109="Пост",FG109="Отоп"),1,IF(FG109="ВНГ",0.7,0))))))</f>
        <v>0.5</v>
      </c>
      <c r="FI109">
        <f>IF(FG109="","",IF(AND(BP109=1,TRIM(AE109&amp;"")=""),IF(COUNTIFS(Линии[Щит],A109,Линии[Секция (1/2/3)],"&gt;=2")&gt;0,MIN(3,MAX(1,IFERROR(--BD109,1))),1),IFERROR(MIN(3,MAX(1,INT(--AE109))),1)))</f>
        <v>1</v>
      </c>
      <c r="FJ109">
        <f t="shared" si="199"/>
        <v>0.27</v>
      </c>
      <c r="FK109">
        <f t="shared" si="200"/>
        <v>0</v>
      </c>
      <c r="FL109">
        <f t="shared" si="201"/>
        <v>0.13500000000000001</v>
      </c>
      <c r="FM109">
        <f t="shared" si="202"/>
        <v>0</v>
      </c>
      <c r="FN109">
        <f t="shared" si="203"/>
        <v>0</v>
      </c>
      <c r="FO109">
        <f t="shared" si="204"/>
        <v>0</v>
      </c>
      <c r="FP109">
        <f t="shared" si="205"/>
        <v>0.27</v>
      </c>
      <c r="FQ109">
        <f t="shared" si="206"/>
        <v>0.27</v>
      </c>
      <c r="FR109">
        <f t="shared" si="207"/>
        <v>0.21600000000000003</v>
      </c>
      <c r="FS109">
        <f>IF(CG109=1,IF(AND(CH109=1,CW109=1),0,IF(AND(CS109&lt;&gt;"",CS109=BA109,CW109=1),SUMIFS(Линии[_Р линии, кВт],Линии[_блок УЗО],BA109,Линии[Щит],A109),N(BS109)+IF(AJ109="вручную",0,N(CK109)))),0)</f>
        <v>0.27</v>
      </c>
      <c r="FT109" t="str">
        <f t="shared" si="208"/>
        <v/>
      </c>
      <c r="FU109" t="str">
        <f>IF(B109="","",IF(CG109=0,IF(BA109=1,"",FW108),IF(AND(CH109=1,CW109=1,CS109&lt;&gt;""),IFERROR(_xlfn.XLOOKUP(CS109,Линии[_n],Линии[_фаза итог]),"L1"),IF(OR(N(DL109)&gt;=3,N(BX109)&gt;=3),"L1,L2,L3",IFERROR(_xlfn.TEXTBEFORE(_xlfn.TEXTAFTER(_xlfn.XLOOKUP(A109,Щиты[Щит],Щиты[_фазы авто]),";"&amp;BA109&amp;":"),";"),"L1")))))</f>
        <v>L1</v>
      </c>
      <c r="FV109" t="str">
        <f t="shared" si="209"/>
        <v>L1</v>
      </c>
      <c r="FW109" t="str">
        <f t="shared" si="210"/>
        <v>L1</v>
      </c>
      <c r="FX109" cm="1">
        <f t="array" ref="FX109">IFERROR(IF(CD109=2,_xlfn.IFS(BX109=3,VLOOKUP(BS109,Справочная_двигатели,3,FALSE),BX109=1,VLOOKUP(BS109,Справочная_двигатели,5,TRUE)),0),0)</f>
        <v>0</v>
      </c>
      <c r="FY109">
        <f>IFERROR(IF(CD109=3,VLOOKUP(BS109,Справочная_ЛЭД,2,TRUE),0),0)</f>
        <v>0</v>
      </c>
      <c r="FZ109" s="6">
        <f t="shared" si="211"/>
        <v>0</v>
      </c>
      <c r="GA109" t="str">
        <f>IF(B109="","",IF(TRIM(AH109&amp;"")&lt;&gt;"",IF(LOWER(TRIM(AH109&amp;""))="да","да","нет"),IF(IFERROR(_xlfn.XLOOKUP(BC109,Коды_код,Коды_пожарная),"")="да","да","нет")))</f>
        <v>нет</v>
      </c>
      <c r="GB109" t="str">
        <f t="shared" si="212"/>
        <v/>
      </c>
      <c r="GC109" t="str">
        <f t="shared" si="213"/>
        <v>основная</v>
      </c>
      <c r="GD109">
        <f>IF(AND(BP109=1,TRIM(AE109&amp;"")=""),IF(COUNTIFS(Линии[Щит],A109,Линии[Секция (1/2/3)],"&gt;=2")&gt;0,MIN(3,MAX(1,IFERROR(--BD109,1))),1),IFERROR(MIN(3,MAX(1,INT(--AE109))),1))</f>
        <v>1</v>
      </c>
      <c r="GE109" t="str" cm="1">
        <f t="array" ref="GE109">IF(B109="","",_xlfn.LET(_xlpm.t,IFERROR(_xlfn.XLOOKUP(1,(Шины[Шина]=GC109)*(((Шины[Щит]=A109)+(Шины[Щит]=""))&gt;0),Шины[Тип]),"")&amp;"",IF(_xlpm.t&lt;&gt;"",_xlpm.t,IF(ISNUMBER(SEARCH("ИБП",GC109)),"ИБП",IF(ISNUMBER(SEARCH("ДГУ",GC109)),"ДГУ","Ввод "&amp;GD109)))))</f>
        <v>Ввод 1</v>
      </c>
      <c r="GF109" t="str">
        <f t="shared" si="214"/>
        <v>Ввод 1</v>
      </c>
      <c r="GG109" t="str">
        <f>IF(BP109=0,"",IF(TRIM(AG109&amp;"")&lt;&gt;"",TRIM(AG109&amp;""),IF(OR(GE109="ИБП",GE109="ДГУ"),"I особая",_xlfn.XLOOKUP(A109,Щиты[Щит],Щиты[Категория шины «Ввод»],"III"))))</f>
        <v/>
      </c>
      <c r="GH109" t="str">
        <f>IF(A109="","",_xlfn.XLOOKUP(A109,Щиты[Щит],Щиты[Путь],""))</f>
        <v>|ГРЩ-ЖД|ЩОВ-01|</v>
      </c>
      <c r="GI109" t="str">
        <f>IF(B109="","",IF(AI109&lt;&gt;"",AI109,IF(IFERROR(_xlfn.XLOOKUP(BC109,Коды_код,Коды_вид)&amp;"","")="","Прочее",_xlfn.XLOOKUP(BC109,Коды_код,Коды_вид)&amp;"")))</f>
        <v>Вентиляция</v>
      </c>
      <c r="GJ109">
        <f>IF(BM109="","",INT((BM109-1)/Столбцов_на_лист)+1)</f>
        <v>2</v>
      </c>
      <c r="GK109" t="str">
        <f t="shared" si="215"/>
        <v>ВВГнг(А)-LS (3х1,5) L=34-0,52%</v>
      </c>
      <c r="GL109">
        <f t="shared" si="216"/>
        <v>0.27</v>
      </c>
      <c r="GM109">
        <f t="shared" si="217"/>
        <v>1.47</v>
      </c>
      <c r="GN109">
        <f t="shared" si="218"/>
        <v>1</v>
      </c>
      <c r="GO109">
        <f t="shared" si="219"/>
        <v>0</v>
      </c>
      <c r="GP109">
        <f t="shared" si="220"/>
        <v>1</v>
      </c>
      <c r="GQ109">
        <f>IF(BM109="","",IF(AND(CG109=1,GP109=1),COUNTIFS(A$3:A109,A109,CG$3:CG109,1,GP$3:GP109,1),IF(OR(OR(BA109=1,A109&lt;&gt;A108),AJ109="вручную",GP109=0),"",IF(BA109=1,"",GR108))))</f>
        <v>7</v>
      </c>
      <c r="GR109">
        <f t="shared" si="221"/>
        <v>7</v>
      </c>
      <c r="GS109">
        <f>IF(B109="","",IFERROR(LOOKUP(INDEX(CHOOSE(EB109,Iдоп_1ж,Iдоп_2ж,Iдоп_3ж),MATCH(EN109,Iдоп_S,0))*DZ109*EA109,{6,10,16,20,25,32,40,50,63,80,100,125,160,200,250,315,400,500,630}),""))</f>
        <v>16</v>
      </c>
      <c r="GT109" t="str">
        <f t="shared" si="222"/>
        <v>QF7</v>
      </c>
      <c r="GU109" t="str">
        <f t="shared" si="223"/>
        <v>QF7</v>
      </c>
      <c r="GV109" t="str">
        <f t="shared" si="224"/>
        <v/>
      </c>
      <c r="GW109">
        <f t="shared" si="225"/>
        <v>0</v>
      </c>
      <c r="GX109" t="str">
        <f>IF(OR(B109="",DJ109=""),"",IFERROR(_xlfn.XLOOKUP(DJ109,Модули_умолч[Управление],Модули_умолч[Модель])&amp;"",""))</f>
        <v/>
      </c>
      <c r="GY109">
        <f>IF(DJ109="",1,IFERROR(MAX(0,N(_xlfn.XLOOKUP(DJ109,Модули_умолч[Управление],Модули_умолч[Каналов на линию]))),1))</f>
        <v>1</v>
      </c>
      <c r="GZ109" t="str">
        <f t="shared" si="226"/>
        <v/>
      </c>
      <c r="HA109" t="str">
        <f t="shared" si="227"/>
        <v/>
      </c>
      <c r="HB109" t="str">
        <f t="shared" si="228"/>
        <v/>
      </c>
      <c r="HC109">
        <f>IF(HB109="",0,IFERROR(N(VLOOKUP(HB109,Модули_спр,3,FALSE)),0))</f>
        <v>0</v>
      </c>
      <c r="HD109" t="str">
        <f t="shared" si="229"/>
        <v/>
      </c>
      <c r="HE109" t="str">
        <f t="shared" si="230"/>
        <v/>
      </c>
      <c r="HF109" t="str">
        <f>IF(OR(HE109="",HE109="-"),"",IFERROR(VLOOKUP(HE109,Модули_спр,2,FALSE),"R"))</f>
        <v/>
      </c>
      <c r="HG109" t="str">
        <f>IF(HF109="","",HF109&amp;"."&amp;COUNTIFS(A$3:A109,A109,HF$3:HF109,HF109))</f>
        <v/>
      </c>
      <c r="HH109" t="str">
        <f t="shared" si="231"/>
        <v/>
      </c>
      <c r="HI109" t="str">
        <f t="shared" si="232"/>
        <v/>
      </c>
      <c r="HJ109" t="str">
        <f t="shared" si="233"/>
        <v/>
      </c>
      <c r="HK109" t="str">
        <f t="shared" si="234"/>
        <v/>
      </c>
      <c r="HL109">
        <f t="shared" si="235"/>
        <v>1</v>
      </c>
      <c r="HM109" t="str">
        <f>IF(HL109=1,"XT"&amp;COUNTIFS(A$3:A109,A109,HL$3:HL109,1),"")</f>
        <v>XT7</v>
      </c>
      <c r="HN109" t="str">
        <f t="shared" si="236"/>
        <v/>
      </c>
      <c r="HO109" t="str">
        <f t="shared" si="237"/>
        <v>QF7</v>
      </c>
      <c r="HP109" t="str">
        <f t="shared" si="238"/>
        <v/>
      </c>
      <c r="HQ109" t="str">
        <f t="shared" si="239"/>
        <v>ok</v>
      </c>
      <c r="HR109" t="str">
        <f>IF(OR(HJ109="",HH109=""),"",IF(HJ109+MAX(0,GY109-1)&gt;IFERROR(VLOOKUP(HI109,Модули_спр,3,FALSE),99),"ЛИШНИЙ КАНАЛ",IF(AND(AL109&lt;&gt;"=",GY109&gt;0,COUNTIFS(Линии[_модуль гр.],HH109,Линии[Канал (итог)],HJ109,Линии[Канал],"&lt;&gt;=",Линии[Щит],A109)&gt;1),"ДУБЛЬ КАНАЛА","")))</f>
        <v/>
      </c>
      <c r="HS109" s="6" t="str">
        <f t="shared" si="240"/>
        <v/>
      </c>
      <c r="HT109">
        <f t="shared" si="241"/>
        <v>10</v>
      </c>
      <c r="HU109" t="str">
        <f t="shared" si="242"/>
        <v/>
      </c>
      <c r="HV109">
        <f t="shared" si="243"/>
        <v>0.92456714755449609</v>
      </c>
      <c r="HW109">
        <f t="shared" si="244"/>
        <v>0</v>
      </c>
      <c r="HX109">
        <f t="shared" si="245"/>
        <v>0</v>
      </c>
      <c r="HY109">
        <f t="shared" si="246"/>
        <v>0</v>
      </c>
      <c r="HZ109">
        <f t="shared" si="247"/>
        <v>0</v>
      </c>
      <c r="IA109">
        <f t="shared" si="248"/>
        <v>0</v>
      </c>
      <c r="IB109">
        <f t="shared" si="249"/>
        <v>0</v>
      </c>
      <c r="IC109" t="str">
        <f t="shared" si="250"/>
        <v/>
      </c>
      <c r="ID109" t="str" cm="1">
        <f t="array" ref="ID109">IF(IC109="","",_xlfn.LET(_xlpm.tk,_xlfn.TEXTSPLIT(SUBSTITUTE(SUBSTITUTE(IC109,";"," "),"→"," ")," ",,TRUE),_xlpm.w_,_xlfn._xlws.FILTER(_xlpm.tk,ISNUMBER(--LEFT(_xlpm.tk,1))*((ISNUMBER(SEARCH("W",_xlpm.tk))+ISNUMBER(SEARCH("Вт",_xlpm.tk)))&gt;0),""),IFERROR(--SUBSTITUTE(SUBSTITUTE(UPPER(INDEX(_xlpm.w_,1)),"W",""),"ВТ",""),"")))</f>
        <v/>
      </c>
      <c r="IE109" t="str" cm="1">
        <f t="array" ref="IE109">IF(IC109="","",_xlfn.LET(_xlpm.tk,_xlfn.TEXTSPLIT(SUBSTITUTE(SUBSTITUTE(IC109,";"," "),"→"," ")," ",,TRUE),_xlpm.v_,_xlfn._xlws.FILTER(_xlpm.tk,ISNUMBER(--LEFT(_xlpm.tk,1))*((ISNUMBER(SEARCH("V",_xlpm.tk))+(RIGHT(UPPER(_xlpm.tk))="В"))&gt;0),""),IFERROR(--SUBSTITUTE(SUBSTITUTE(UPPER(INDEX(_xlpm.v_,1)),"V",""),"В",""),"")))</f>
        <v/>
      </c>
      <c r="IF109" s="6" t="str">
        <f>IF(OR(BV109=0,HI109="",HJ109=""),"",IFERROR(N(_xlfn.XLOOKUP(HI109,Каталог!$C$4:$C$500,Каталог!$Q$4:$Q$500)),""))</f>
        <v/>
      </c>
      <c r="IG109" s="6" t="str">
        <f>IF(N(IF109)=0,"",SUMIFS(Линии[Iр, А],Линии[Щит],A109,Линии[_модуль гр.],HH109,Линии[Канал (итог)],HJ109))</f>
        <v/>
      </c>
      <c r="IH109" t="str">
        <f>IF(AND(B109="",HO109=""),"",_xlfn.TEXTJOIN("; ",TRUE,IF(AND(B109&lt;&gt;"",FV109=""),"нет фазы",""),IF(AND(B109&lt;&gt;"",N(GL109)=0,FG109&lt;&gt;"Нет"),"нет мощности",""),IF(AND(HN109&lt;&gt;"",COUNTIFS(Линии[Щит],A109,Линии[Клемма (итог)],HN109)&gt;1),"дубль клеммы "&amp;HN109,""),IF(AND(HQ109&lt;&gt;"",HQ109&lt;&gt;"ok"),HQ109,""),IF(HR109&lt;&gt;"",HR109,""),IF(AND(N(CB109)&gt;=4,N(BX109)=1),CB109&amp;" жил на 1 фазе",""),IF(AND(BC109="R",CG109=1,IF(CS109&lt;&gt;"",N(CV109)&gt;30,OR(N(DA109)=0,N(DA109)&gt;30))),"розетка без дифзащиты до 30 мА",""),IF(AND(CG109=1,N(DA109)&gt;0,ISNUMBER(T109)),IF(T109&gt;N(DA109)/3,"ток утечки "&amp;FIXED(T109,1)&amp;" мА &gt; 1/3 уставки ("&amp;DA109&amp;" мА)",""),""),IF(AND(CH109=1,CS109=""),"«узо»: нет строки с УЗО выше (УЗО 2P 40А 30мА в «Аппаратах»)",""),IF(AND(CS109&lt;&gt;"",CS109=BA109),IF(CT109="","впишите номинал УЗО (УЗО 2P 40А 30мА)",IF(N(CT109)&lt;N(DT109),"УЗО "&amp;CT109&amp;" А &lt; автомата "&amp;DT109&amp;" А перед ним",IF(N(CT109)&lt;N(CX109),"УЗО "&amp;CT109&amp;" А &lt; тока блока "&amp;FIXED(CX109,1)&amp;" А",""))),""),IF(AND(CS109&lt;&gt;"",CS109=BA109,ISNUMBER(CY109)),IF(CY109&gt;N(CV109)/3,"ток утечки блока УЗО "&amp;FIXED(CY109,1)&amp;" мА &gt; 1/3 уставки ("&amp;CV109&amp;" мА)",""),""),IF(AND(CG109=1,N(BV109)+N(IB109)&gt;0,IC109=""),"линии до 50 В без БП: впишите в «Аппараты» (БП 24V 480W)",""),IF(AND(CG109=1,ISNUMBER(ID109),ISNUMBER(U109)),IF(U109&gt;ID109,"БП "&amp;ID109&amp;" Вт &lt; нужно "&amp;U109&amp;" Вт (×"&amp;Запас_БП&amp;")",""),""),IF(AND(CG109=1,ISNUMBER(IE109),N(BV109)=1),IF(IE109&lt;&gt;N(BU109),"БП на "&amp;IE109&amp;" В, линия "&amp;BU109&amp;" В",""),""),IF(AND(N(IF109)&gt;0,N(IG109)&gt;N(IF109)),HH109&amp;" канал "&amp;HJ109&amp;": "&amp;FIXED(IG109,1)&amp;" А &gt; "&amp;IF109&amp;" А",""),IFERROR(IF(AND(ISNUMBER(Q109),Q109&gt;EL109),"потери "&amp;FIXED(Q109,1)&amp;" % &gt; "&amp;EL109&amp;" %",""),""),IFERROR(IF(LEFT(HU109,4)="мало","Iкз мало — отключение &gt; 0,4 с",""),""),IF(AND(B109&lt;&gt;"",BM109=""),"не на схеме",""),IF(AND(CG109=0,B109&lt;&gt;"",FV109&lt;&gt;"",IF(BA109=1,"",FW108)&lt;&gt;"",FV109&lt;&gt;IF(BA109=1,"",FW108)),"фаза не как у автомата группы ("&amp;IF(BA109=1,"",FW108)&amp;")","")))</f>
        <v/>
      </c>
      <c r="II109" s="6">
        <f>IF(OR(CG109=0,DQ109=""),"",_xlfn.LET(_xlpm.t,IFERROR(_xlfn.XLOOKUP(DQ109,Каталог!$U$4:$U$500,Каталог!$G$4:$G$500),""),_xlpm.k,SEARCH("кА",_xlpm.t),IFERROR(--TRIM(RIGHT(SUBSTITUTE(MID(_xlpm.t,MAX(1,_xlpm.k-4),_xlpm.k-MAX(1,_xlpm.k-4))," ",REPT(" ",9)),5)),"")))</f>
        <v>6</v>
      </c>
      <c r="IJ109" t="str">
        <f>IF(OR(II109="",CG109=0),"",IF(_xlfn.XLOOKUP(A109,Щиты[Щит],Щиты[Iкз max на шинах, кА],"")="","",IF(II109&lt;_xlfn.XLOOKUP(A109,Щиты[Щит],Щиты[Iкз max на шинах, кА]),"Icu "&amp;II109&amp;" кА &lt; Iкз max","ok")))</f>
        <v/>
      </c>
      <c r="IK109" t="str">
        <f t="shared" si="251"/>
        <v/>
      </c>
      <c r="IL109" t="str">
        <f t="shared" si="252"/>
        <v>QF7</v>
      </c>
      <c r="IM109" t="str">
        <f t="shared" si="253"/>
        <v>QF7|кабель ВВГнг(А)-LS (3х1,5) → Внутренний блок кондиционирования подвальный этаж Пом. №01Тб</v>
      </c>
      <c r="IN109" t="str" cm="1">
        <f t="array" ref="IN109">IF(IM109="","",_xlfn.LET(_xlpm.nd,_xlfn.TEXTSPLIT(IM109,"|"),IF(COLUMNS(_xlpm.nd)&gt;1,A109&amp;"¦"&amp;INDEX(_xlpm.nd,1)&amp;"¦"&amp;INDEX(_xlpm.nd,2),"")))</f>
        <v>ЩОВ-01¦QF7¦кабель ВВГнг(А)-LS (3х1,5) → Внутренний блок кондиционирования подвальный этаж Пом. №01Тб</v>
      </c>
      <c r="IO109" t="str">
        <f t="shared" si="254"/>
        <v>В.25¦Внутренний блок кондиционирования подвальный этаж Пом. №01Тб</v>
      </c>
      <c r="IP109" t="str" cm="1">
        <f t="array" ref="IP109">IF(IM109="","",_xlfn.LET(_xlpm.nd,_xlfn.TEXTSPLIT(IM109,"|"),IF(COLUMNS(_xlpm.nd)&gt;2,A109&amp;"¦"&amp;INDEX(_xlpm.nd,2)&amp;"¦"&amp;INDEX(_xlpm.nd,3),"")))</f>
        <v/>
      </c>
      <c r="IQ109" t="str">
        <f t="shared" si="255"/>
        <v/>
      </c>
      <c r="IR109" t="str" cm="1">
        <f t="array" ref="IR109">IF(IM109="","",_xlfn.LET(_xlpm.nd,_xlfn.TEXTSPLIT(IM109,"|"),IF(COLUMNS(_xlpm.nd)&gt;3,A109&amp;"¦"&amp;INDEX(_xlpm.nd,3)&amp;"¦"&amp;INDEX(_xlpm.nd,4),"")))</f>
        <v/>
      </c>
      <c r="IS109" t="str">
        <f t="shared" si="256"/>
        <v/>
      </c>
      <c r="IT109" t="str" cm="1">
        <f t="array" ref="IT109">IF(IM109="","",_xlfn.LET(_xlpm.nd,_xlfn.TEXTSPLIT(IM109,"|"),IF(COLUMNS(_xlpm.nd)&gt;4,A109&amp;"¦"&amp;INDEX(_xlpm.nd,4)&amp;"¦"&amp;INDEX(_xlpm.nd,5),"")))</f>
        <v/>
      </c>
      <c r="IU109" t="str">
        <f t="shared" si="257"/>
        <v/>
      </c>
      <c r="IV109" t="str" cm="1">
        <f t="array" ref="IV109">IF(IM109="","",_xlfn.LET(_xlpm.nd,_xlfn.TEXTSPLIT(IM109,"|"),IF(COLUMNS(_xlpm.nd)&gt;5,A109&amp;"¦"&amp;INDEX(_xlpm.nd,5)&amp;"¦"&amp;INDEX(_xlpm.nd,6),"")))</f>
        <v/>
      </c>
      <c r="IW109" t="str">
        <f t="shared" si="258"/>
        <v/>
      </c>
      <c r="IX109" t="str" cm="1">
        <f t="array" ref="IX109">IF(IM109="","",_xlfn.LET(_xlpm.nd,_xlfn.TEXTSPLIT(IM109,"|"),IF(COLUMNS(_xlpm.nd)&gt;6,A109&amp;"¦"&amp;INDEX(_xlpm.nd,6)&amp;"¦"&amp;INDEX(_xlpm.nd,7),"")))</f>
        <v/>
      </c>
      <c r="IY109" t="str">
        <f t="shared" si="259"/>
        <v/>
      </c>
      <c r="IZ109" t="str">
        <f t="shared" si="260"/>
        <v/>
      </c>
      <c r="JA109" t="str">
        <f t="shared" si="261"/>
        <v>QF7</v>
      </c>
      <c r="JB109">
        <f t="shared" si="262"/>
        <v>0</v>
      </c>
      <c r="JC109">
        <f t="shared" si="263"/>
        <v>0</v>
      </c>
      <c r="JD109" t="str">
        <f t="shared" si="264"/>
        <v/>
      </c>
      <c r="JE109" t="str">
        <f t="shared" si="265"/>
        <v/>
      </c>
      <c r="JF109" t="str">
        <f t="shared" si="266"/>
        <v/>
      </c>
      <c r="JG109" t="str">
        <f t="shared" si="267"/>
        <v/>
      </c>
      <c r="JH109" t="str">
        <f>IF(B109="","",IFERROR(_xlfn.XLOOKUP(B109,Коды_код,Коды_уго),IFERROR(_xlfn.XLOOKUP(BC109,Коды_код,Коды_уго),IFERROR(_xlfn.XLOOKUP(LEFT(BC109,2),Коды_код,Коды_уго),""))))</f>
        <v>Привод (двигатель)</v>
      </c>
      <c r="JI109" t="str">
        <f>IF(B109="","",IF(OR(JH109="",JH109=0),"BOX",IFERROR(IF(VLOOKUP(JH109,УГО_блоки,3,FALSE)&amp;""&lt;&gt;"",VLOOKUP(JH109,УГО_блоки,3,FALSE),VLOOKUP(JH109,УГО_блоки,2,FALSE)),JH109)))</f>
        <v>MOTOR</v>
      </c>
      <c r="JJ109">
        <f t="shared" si="268"/>
        <v>1</v>
      </c>
      <c r="JK109" t="str">
        <f>IF(DQ109="","",IF(COUNTIF(DQ$3:DQ109,DQ109)=1,MAX(JK$2:JK108)+1,""))</f>
        <v/>
      </c>
      <c r="JL109" t="str">
        <f>IF(DE109="","",IF(COUNTIF(DE$3:DE109,DE109)+COUNTIF(DF$2:DF108,DE109)+COUNTIF(DG$2:DG108,DE109)=1,MAX(JL$2:JN108)+1,""))</f>
        <v/>
      </c>
      <c r="JM109" t="str">
        <f>IF(DF109="","",IF(COUNTIF(DE$3:DE109,DF109)+COUNTIF(DF$3:DF109,DF109)+COUNTIF(DG$2:DG108,DF109)=1,MAX(JL$2:JN108,JL109)+1,""))</f>
        <v/>
      </c>
      <c r="JN109" t="str">
        <f>IF(DG109="","",IF(COUNTIF(DE$3:DE109,DG109)+COUNTIF(DF$3:DF109,DG109)+COUNTIF(DG$3:DG109,DG109)=1,MAX(JL$2:JN108,JL109,JM109)+1,""))</f>
        <v/>
      </c>
      <c r="JO109" t="str">
        <f t="shared" si="269"/>
        <v>3х1,5</v>
      </c>
      <c r="JP109" t="str">
        <f>IF(JO109="","",IF(COUNTIF(JO$3:JO109,JO109)=1,MAX(JP$2:JP108)+1,""))</f>
        <v/>
      </c>
      <c r="JQ109" t="str">
        <f>IF(HG109="","",COUNTIF(HG$3:HG109,"?*"))</f>
        <v/>
      </c>
      <c r="JR109" t="str">
        <f>IF(OR(HG109="",HI109=""),"",IF(COUNTIFS(HG$3:HG109,"?*",HI$3:HI109,HI109)=1,MAX(JR$2:JR108)+1,""))</f>
        <v/>
      </c>
      <c r="JS109">
        <f t="shared" si="270"/>
        <v>0</v>
      </c>
      <c r="JT109">
        <f>IF(B109="","",COUNTIF(B$3:B109,"?*"))</f>
        <v>107</v>
      </c>
      <c r="JU109">
        <f>IF(HL109&lt;&gt;1,0,_xlfn.LET(_xlpm.k,MAX(IFERROR(--_xlfn.XLOOKUP(B109,Коды_код,Коды_3L),0),IFERROR(--_xlfn.XLOOKUP(BC109,Коды_код,Коды_3L),0),IFERROR(--_xlfn.XLOOKUP(LEFT(BC109,2),Коды_код,Коды_3L),0)),IF(_xlpm.k&gt;0,_xlpm.k,IF(IFERROR(--LEFT(SUBSTITUTE(JO109,"x","х"),FIND("х",SUBSTITUTE(JO109,"x","х"))-1),3)&gt;3,Каталог!$S$9,1))))</f>
        <v>1</v>
      </c>
      <c r="JV109">
        <f t="shared" si="271"/>
        <v>0</v>
      </c>
      <c r="JW109" t="str">
        <f t="shared" si="272"/>
        <v>авто</v>
      </c>
      <c r="JX109" t="str">
        <f t="shared" si="273"/>
        <v/>
      </c>
      <c r="JY109">
        <f t="shared" si="274"/>
        <v>0</v>
      </c>
      <c r="JZ109">
        <f t="shared" si="275"/>
        <v>1</v>
      </c>
    </row>
    <row r="110" spans="1:286" x14ac:dyDescent="0.3">
      <c r="A110" t="s">
        <v>745</v>
      </c>
      <c r="B110" t="s">
        <v>1421</v>
      </c>
      <c r="C110" t="s">
        <v>1674</v>
      </c>
      <c r="D110">
        <v>1</v>
      </c>
      <c r="E110">
        <v>0.104</v>
      </c>
      <c r="G110">
        <v>10</v>
      </c>
      <c r="H110" t="str">
        <f>Линии[[#This Row],[_авто управление]]</f>
        <v/>
      </c>
      <c r="I110" t="str">
        <f>Линии[[#This Row],[_авто аппараты]]</f>
        <v/>
      </c>
      <c r="J110">
        <v>1.5</v>
      </c>
      <c r="K110">
        <v>9</v>
      </c>
      <c r="L110" t="str">
        <f>Линии[[#This Row],[_авто фаза]]</f>
        <v>L3</v>
      </c>
      <c r="M110" t="s">
        <v>484</v>
      </c>
      <c r="N110" t="str">
        <f t="shared" si="138"/>
        <v/>
      </c>
      <c r="O110" s="6" cm="1">
        <f t="array" ref="O110">IF(B110="","",IF(BH110&lt;&gt;"",IFERROR(_xlfn.XLOOKUP(BH110,Щиты[Щит],Щиты[Iр, А]),""),IF(BP110=1,IF(OR(N(_xlfn.XLOOKUP(A110,Щиты[Щит],Щиты[Вводов],1))&lt;=1,LOWER(TRIM(_xlfn.XLOOKUP(A110,Щиты[Щит],Щиты[АВР],"")&amp;""))="да"),IFERROR(_xlfn.XLOOKUP(A110,Щиты[Щит],Щиты[Iр, А]),""),IFERROR(N(BS110)*_xlfn.XLOOKUP(A110,Щиты[Щит],Щиты[Кс итог])/(SQRT(3)*Uн_лин*_xlfn.XLOOKUP(A110,Щиты[Щит],Щиты[cos φ])),"")),IF(BV110=1,IFERROR(BS110*1000/BU110,""),IFERROR(_xlfn.IFS(BX110=1,BS110/((Uн_лин/SQRT(3))*CE110),BX110=3,BS110/(SQRT(3)*Uн_лин*CE110)),"")))))</f>
        <v>0.56291651245988494</v>
      </c>
      <c r="P110" s="7">
        <f>IF(B110="","",IFERROR(IF(VLOOKUP(BC110,Потребители_обозначение,4,FALSE)=1,VLOOKUP(BC110,Потребители_обозначение,3,FALSE)*(MAX(1,N(D110))*2-1)+EI110+VLOOKUP(BE110,Этаж_обозначение,3,FALSE)+VLOOKUP(BE110,Этаж_обозначение,4,FALSE),VLOOKUP(BC110,Потребители_обозначение,3,FALSE)*(MAX(1,N(D110))*2-1)+EI110),EI110))</f>
        <v>11</v>
      </c>
      <c r="Q110" s="6">
        <f t="shared" si="139"/>
        <v>0.31</v>
      </c>
      <c r="R110" t="str">
        <f t="shared" si="140"/>
        <v>ВВГнг(А)-LS (3х1,5)</v>
      </c>
      <c r="S110" t="str">
        <f>IF(BM110="","",IF(BN110="вводной узел","узел ","")&amp;"л."&amp;(INT((BM110-1)/Столбцов_на_лист)+1)&amp;" / "&amp;(MOD(BM110-1,Столбцов_на_лист)+1))</f>
        <v>л.2 / 5</v>
      </c>
      <c r="T110" s="119">
        <f t="shared" si="141"/>
        <v>0.3</v>
      </c>
      <c r="U110" s="7" t="str">
        <f>IF(OR(CG110=0,N(BV110)+N(IB110)=0),"",ROUNDUP(Запас_БП*(N(HY110)+N(HZ110)),0))</f>
        <v/>
      </c>
      <c r="V110" s="119" t="str">
        <f t="shared" si="142"/>
        <v/>
      </c>
      <c r="W110" s="7" t="str">
        <f>IFERROR(IF(OR(B110="",BP110=1,BV110=1,NOT(ISNUMBER(EN110)),N(DT110)=0),"",MAX(0,ROUNDDOWN((c_min*(Uн_лин*1000/SQRT(3))/(HT110*N(DT110))-_xlfn.XLOOKUP(A110,Щиты[Щит],Щиты[Zпетли на шинах, Ом]))*EN110/(2*ρкз_Cu),0))),"")</f>
        <v/>
      </c>
      <c r="Y110" t="str">
        <f>Линии[[#This Row],[_авто утечка]]</f>
        <v/>
      </c>
      <c r="Z110">
        <v>1</v>
      </c>
      <c r="AA110">
        <v>230</v>
      </c>
      <c r="AB110" t="s">
        <v>598</v>
      </c>
      <c r="AC110">
        <v>0.5</v>
      </c>
      <c r="AG110" t="s">
        <v>810</v>
      </c>
      <c r="AI110" t="s">
        <v>576</v>
      </c>
      <c r="AK110" t="str">
        <f>Линии[[#This Row],[_авто модуль]]</f>
        <v/>
      </c>
      <c r="AM110">
        <v>22</v>
      </c>
      <c r="AN110" t="s">
        <v>11</v>
      </c>
      <c r="AO110">
        <v>3</v>
      </c>
      <c r="AQ110">
        <v>2</v>
      </c>
      <c r="AR110">
        <v>9</v>
      </c>
      <c r="AT110">
        <v>1</v>
      </c>
      <c r="BA110" cm="1">
        <f t="array" ref="BA110">ROW()-ROW(Линии[#Headers])</f>
        <v>108</v>
      </c>
      <c r="BC110" s="6" t="str">
        <f t="shared" si="143"/>
        <v>K</v>
      </c>
      <c r="BD110" t="str">
        <f t="shared" si="144"/>
        <v>0.001T.1</v>
      </c>
      <c r="BE110" t="str">
        <f t="shared" si="145"/>
        <v>0</v>
      </c>
      <c r="BF110" t="str">
        <f t="shared" si="146"/>
        <v>001T.1</v>
      </c>
      <c r="BG110" t="str">
        <f t="shared" si="147"/>
        <v>001T</v>
      </c>
      <c r="BH110" t="str">
        <f>IF(X110&lt;&gt;"",X110,IF(AND(B110&lt;&gt;"",B110&lt;&gt;A110,ISNUMBER(_xlfn.XMATCH(B110,Щиты[Щит]))),B110,""))</f>
        <v/>
      </c>
      <c r="BI110" t="str" cm="1">
        <f t="array" ref="BI110">IF(B110="","",IF(BH110&lt;&gt;"","Щит "&amp;BH110,_xlfn.LET(_xlpm.nm,IFERROR(_xlfn.XLOOKUP(BC110,Коды_код,Коды_имя)&amp;"",""),_xlpm.md,IFERROR(N(_xlfn.XLOOKUP(BC110,Коды_код,Коды_режим)),1),_xlpm.ex,IF(Имя_режим="по экспликации",IFERROR(_xlfn.XLOOKUP(BE110&amp;"|"&amp;BG110,Экспликация[Этаж]&amp;"|"&amp;Экспликация[Помещение],Экспликация[Название])&amp;"",""),""),_xlpm.rm,IF(BG110="","",IF(_xlpm.ex&lt;&gt;"",". "&amp;_xlpm.ex&amp;IF(Имя_пом="нет"," ("&amp;BG110&amp;")"," (пом. "&amp;BG110&amp;")"),IF(Имя_пом="нет"," ",", пом. ")&amp;BG110)),IF(_xlpm.nm="","",IF(_xlpm.md=2,_xlpm.nm&amp;" шлейф "&amp;BE110,_xlpm.nm&amp;_xlpm.rm)))))</f>
        <v>Внутренний блок кондиционирования, пом. 001T</v>
      </c>
      <c r="BJ110" t="str">
        <f t="shared" si="148"/>
        <v>Внутренний блок кондиционирования цокольный этаж Пом. №001Т</v>
      </c>
      <c r="BK110">
        <f>IFERROR(_xlfn.XMATCH(A110,Щиты[Щит]),0)</f>
        <v>6</v>
      </c>
      <c r="BL110">
        <f>_xlfn.LET(_xlpm.k,IFERROR(_xlfn.XLOOKUP(A110,Щиты[Щит],Щиты[Мест под вводной узел]),""),IF(_xlpm.k="",Столбцов_на_лист,N(_xlpm.k)))</f>
        <v>12</v>
      </c>
      <c r="BM110">
        <f t="shared" si="149"/>
        <v>22</v>
      </c>
      <c r="BN110" t="str">
        <f t="shared" si="150"/>
        <v>линии</v>
      </c>
      <c r="BO110" s="6">
        <f>IFERROR(N(_xlfn.XLOOKUP(BC110,Коды_код,Коды_квт)),0)</f>
        <v>0</v>
      </c>
      <c r="BP110">
        <f t="shared" si="151"/>
        <v>0</v>
      </c>
      <c r="BQ110" t="str">
        <f>IF(B110="","",IF(BH110&lt;&gt;"",IFERROR(_xlfn.XLOOKUP(BH110,Щиты[Щит],Щиты[Руст, кВт]),0),IF(BP110=1,IF(OR(N(_xlfn.XLOOKUP(A110,Щиты[Щит],Щиты[Вводов],1))&lt;=1,LOWER(TRIM(_xlfn.XLOOKUP(A110,Щиты[Щит],Щиты[АВР],"")&amp;""))="да"),IFERROR(_xlfn.XLOOKUP(A110,Щиты[Щит],Щиты[Руст, кВт]),0),SUMIFS(Линии[_Р для вводов],Линии[Щит],A110,Линии[Источник для режимов],GF110)),IF(BO110&gt;0,ROUND(BO110*MAX(1,N(D110)),3),""))))</f>
        <v/>
      </c>
      <c r="BR110">
        <f t="shared" si="152"/>
        <v>0.104</v>
      </c>
      <c r="BS110" s="6">
        <f>IF(B110="","",IF(BH110&lt;&gt;"",IFERROR(_xlfn.XLOOKUP(BH110,Щиты[Щит],Щиты[Руст, кВт]),0),N(BR110)))</f>
        <v>0.104</v>
      </c>
      <c r="BT110" t="str">
        <f>IF(B110="","",IFERROR(IF(VLOOKUP(BC110,Потребители_обозначение,8,FALSE)=0,"",VLOOKUP(BC110,Потребители_обозначение,8,FALSE)),""))</f>
        <v/>
      </c>
      <c r="BU110">
        <f t="shared" si="153"/>
        <v>230</v>
      </c>
      <c r="BV110">
        <f t="shared" si="154"/>
        <v>0</v>
      </c>
      <c r="BW110">
        <f>IF(B110="","",IF(BH110&lt;&gt;"",3,IFERROR(IF(N(VLOOKUP(BC110,Потребители_обозначение,9,FALSE))=0,1,VLOOKUP(BC110,Потребители_обозначение,9,FALSE)),1)))</f>
        <v>1</v>
      </c>
      <c r="BX110">
        <f t="shared" si="155"/>
        <v>1</v>
      </c>
      <c r="BY110" t="str">
        <f>IF(B110="","",_xlfn.LET(_xlpm.bc,IFERROR(IF(VLOOKUP(BC110,Потребители_обозначение,6,FALSE)=0,"",VLOOKUP(BC110,Потребители_обозначение,6,FALSE)&amp;""),""),IF(AND(GA110="да",OR(_xlpm.bc="",_xlpm.bc="мс")),Марка_пож,IF(AND(_xlpm.bc="",BH110&lt;&gt;""),"мс",_xlpm.bc))))</f>
        <v/>
      </c>
      <c r="BZ110" t="str">
        <f t="shared" si="156"/>
        <v>мс</v>
      </c>
      <c r="CA110">
        <f>IF(B110="","",_xlfn.LET(_xlpm.cc,IFERROR(N(VLOOKUP(BC110,Потребители_обозначение,7,FALSE)),0),IF(_xlpm.cc&gt;0,_xlpm.cc,IF(BZ110="","",IF(BV110=1,2,IF(N(BX110)=3,5,3))))))</f>
        <v>3</v>
      </c>
      <c r="CB110">
        <f t="shared" si="157"/>
        <v>3</v>
      </c>
      <c r="CC110">
        <f>IFERROR(N(VLOOKUP(BC110,Потребители_обозначение,10,FALSE)),0)</f>
        <v>0</v>
      </c>
      <c r="CD110">
        <f>IFERROR(VLOOKUP(BC110,Потребители_обозначение,5,FALSE),0)</f>
        <v>1</v>
      </c>
      <c r="CE110" s="6" cm="1">
        <f t="array" ref="CE110">IF(B110="","",IF(BH110&lt;&gt;"",IFERROR(_xlfn.XLOOKUP(BH110,Щиты[Щит],Щиты[cos φ]),0.95),IF(BP110=1,IFERROR(_xlfn.XLOOKUP(A110,Щиты[Щит],Щиты[cos φ]),0.95),IF(ISNUMBER(AD110),AD110,IFERROR(IF(CD110=2,_xlfn.IFS(BX110=3,VLOOKUP(BS110,Справочная_двигатели,8,FALSE),BX110=1,VLOOKUP(BS110,Справочная_двигатели,10,TRUE)),IF(AND(Методика="нормы 2026",FG110="Сил"),0.8,0.95)),0.95)))))</f>
        <v>0.8</v>
      </c>
      <c r="CF110">
        <f t="shared" si="158"/>
        <v>0</v>
      </c>
      <c r="CG110">
        <f t="shared" si="159"/>
        <v>1</v>
      </c>
      <c r="CH110">
        <f t="shared" si="160"/>
        <v>0</v>
      </c>
      <c r="CI110">
        <f>IF(B110="","",IF(BV110=1,IFERROR(BS110/((Uн_лин/SQRT(3))*MAX(0.5,N(CE110))),0),N(O110)))</f>
        <v>0.56291651245988494</v>
      </c>
      <c r="CJ110">
        <f t="shared" si="161"/>
        <v>0</v>
      </c>
      <c r="CK110">
        <f t="shared" si="162"/>
        <v>0</v>
      </c>
      <c r="CL110">
        <f t="shared" si="163"/>
        <v>0</v>
      </c>
      <c r="CM110">
        <f t="shared" si="164"/>
        <v>0</v>
      </c>
      <c r="CN110">
        <f t="shared" si="165"/>
        <v>0</v>
      </c>
      <c r="CO110">
        <f>IF(BC110="",0,_xlfn.LET(_xlpm.v,IFERROR(_xlfn.XLOOKUP(B110,Коды_код,Коды_мА),IFERROR(_xlfn.XLOOKUP(BC110,Коды_код,Коды_мА),IFERROR(_xlfn.XLOOKUP(LEFT(BC110,2),Коды_код,Коды_мА),""))),IF(_xlpm.v="да",30,IF(ISNUMBER(_xlpm.v),_xlpm.v,0))))</f>
        <v>0</v>
      </c>
      <c r="CP110" t="str">
        <f t="shared" si="166"/>
        <v/>
      </c>
      <c r="CQ110" t="str">
        <f>_xlfn.LET(_xlpm.k,IFERROR(_xlfn.XLOOKUP(BC110,Коды_код,Коды_утечка)&amp;"",""),IF(_xlpm.k="","дифавтомат",_xlpm.k))</f>
        <v>дифавтомат</v>
      </c>
      <c r="CR110" t="str" cm="1">
        <f t="array" ref="CR110">IF(CG110=0,"",_xlfn.LET(_xlpm.sg,TRIM(_xlfn.TEXTSPLIT(DD110&amp;"",";")),_xlpm.f_,_xlfn._xlws.FILTER(_xlpm.sg,LEFT(_xlpm.sg,3)="УЗО",""),IFERROR(INDEX(_xlpm.f_,1)&amp;"","")))</f>
        <v/>
      </c>
      <c r="CS110" t="str">
        <f t="shared" si="167"/>
        <v/>
      </c>
      <c r="CT110" s="6" t="str" cm="1">
        <f t="array" ref="CT110">IF(CR110="","",_xlfn.LET(_xlpm.tk,_xlfn.TEXTSPLIT(UPPER(CR110)," ",,TRUE),_xlpm.a_,_xlfn._xlws.FILTER(_xlpm.tk,ISNUMBER(--LEFT(_xlpm.tk,1))*((ISNUMBER(SEARCH("А",_xlpm.tk))+ISNUMBER(SEARCH("A",_xlpm.tk)))&gt;0)*NOT(ISNUMBER(SEARCH("МА",_xlpm.tk)))*NOT(ISNUMBER(SEARCH("MA",_xlpm.tk))),""),IFERROR(--SUBSTITUTE(SUBSTITUTE(INDEX(_xlpm.a_,1),"А",""),"A",""),"")))</f>
        <v/>
      </c>
      <c r="CU110" t="str" cm="1">
        <f t="array" ref="CU110">IF(CR110="","",_xlfn.LET(_xlpm.tk,_xlfn.TEXTSPLIT(UPPER(CR110)," ",,TRUE),_xlpm.a_,_xlfn._xlws.FILTER(_xlpm.tk,ISNUMBER(--LEFT(_xlpm.tk,1))*((ISNUMBER(SEARCH("МА",_xlpm.tk))+ISNUMBER(SEARCH("MA",_xlpm.tk)))&gt;0),""),IFERROR(--SUBSTITUTE(SUBSTITUTE(INDEX(_xlpm.a_,1),"МА",""),"MA",""),30)))</f>
        <v/>
      </c>
      <c r="CV110" t="str">
        <f>IF(CS110="","",IFERROR(_xlfn.XLOOKUP(CS110,Линии[_n],Линии[_УЗО, мА]),30))</f>
        <v/>
      </c>
      <c r="CW110">
        <f>IF(CS110="",0,IF(ISNUMBER(SEARCH("4P",IFERROR(_xlfn.XLOOKUP(CS110,Линии[_n],Линии[_УЗО строки])&amp;"",""))),0,1))</f>
        <v>0</v>
      </c>
      <c r="CX110" t="str">
        <f>IF(AND(CS110&lt;&gt;"",CS110=BA110),SUMIFS(Линии[_ток на 230 В],Линии[_блок УЗО],BA110,Линии[Щит],A110),"")</f>
        <v/>
      </c>
      <c r="CY110" t="str">
        <f>IF(AND(CS110&lt;&gt;"",CS110=BA110),SUMIFS(Линии[_ток утечки линии, мА],Линии[_блок УЗО],BA110,Линии[Щит],A110),"")</f>
        <v/>
      </c>
      <c r="CZ110">
        <f t="shared" si="168"/>
        <v>0</v>
      </c>
      <c r="DA110">
        <f t="shared" si="169"/>
        <v>0</v>
      </c>
      <c r="DB110">
        <f>IF(B110="",0,IFERROR(--_xlfn.XLOOKUP(B110,Коды_код,Коды_минавт),IFERROR(--_xlfn.XLOOKUP(BC110,Коды_код,Коды_минавт),IFERROR(--_xlfn.XLOOKUP(LEFT(BC110,2),Коды_код,Коды_минавт),0))))</f>
        <v>0</v>
      </c>
      <c r="DC110" t="str">
        <f>IF(B110="","",IFERROR(_xlfn.XLOOKUP(BC110,Коды_код,Коды_апп)&amp;"",""))</f>
        <v/>
      </c>
      <c r="DD110" t="str">
        <f t="shared" si="170"/>
        <v/>
      </c>
      <c r="DE110" t="str" cm="1">
        <f t="array" ref="DE110">IF(TRIM(DD110&amp;"")="","",IFERROR(TRIM(INDEX(_xlfn.TEXTSPLIT(DD110&amp;";;;",";"),1)),""))</f>
        <v/>
      </c>
      <c r="DF110" t="str" cm="1">
        <f t="array" ref="DF110">IF(TRIM(DD110&amp;"")="","",IFERROR(TRIM(INDEX(_xlfn.TEXTSPLIT(DD110&amp;";;;",";"),2)),""))</f>
        <v/>
      </c>
      <c r="DG110" t="str" cm="1">
        <f t="array" ref="DG110">IF(TRIM(DD110&amp;"")="","",IFERROR(TRIM(INDEX(_xlfn.TEXTSPLIT(DD110&amp;";;;",";"),3)),""))</f>
        <v/>
      </c>
      <c r="DH110">
        <f t="shared" si="171"/>
        <v>0</v>
      </c>
      <c r="DI110" t="str">
        <f>IF(B110="","",_xlfn.LET(_xlpm.t,LOWER(AZ110&amp;""),IF(ISNUMBER(SEARCH("dim",_xlpm.t)),"DIM",IF(ISNUMBER(SEARCH("dali",_xlpm.t)),"DALI",IF(OR(ISNUMBER(SEARCH("relay",_xlpm.t)),ISNUMBER(SEARCH("реле",_xlpm.t))),"Relay",IF(ISNUMBER(SEARCH("кнопк",_xlpm.t)),"",IFERROR(_xlfn.XLOOKUP(BC110,Коды_код,Коды_упр)&amp;"","")))))))</f>
        <v/>
      </c>
      <c r="DJ110" t="str">
        <f t="shared" si="172"/>
        <v/>
      </c>
      <c r="DK110">
        <f>IF(B110="","",_xlfn.LET(_xlpm.ig,IF(N(CX110)&gt;0,N(CX110),N(CI110)+IF(AJ110="вручную",0,N(CJ110))),_xlpm.n0,IFERROR(VLOOKUP(_xlpm.ig,Автомат_номиналы,2,TRUE),0),_xlpm.mn,MAX(DB110,IF(AJ110="вручную",0,N(CM110))),MAX(_xlpm.n0,_xlpm.mn,IF(DH110=1,Мин_автомат_БП,0))))</f>
        <v>6</v>
      </c>
      <c r="DL110">
        <f t="shared" si="173"/>
        <v>1</v>
      </c>
      <c r="DM110" t="str">
        <f t="shared" si="174"/>
        <v>1P</v>
      </c>
      <c r="DN110" t="str">
        <f>_xlfn.LET(_xlpm.cc,UPPER(TRIM(IFERROR(_xlfn.XLOOKUP(BC110,Коды_код,Коды_хар)&amp;"",""))),IF(OR(_xlpm.cc="B",_xlpm.cc="В"),"B",IF(_xlpm.cc="D","D","С")))</f>
        <v>С</v>
      </c>
      <c r="DO110" t="str">
        <f t="shared" si="175"/>
        <v>1P С6А</v>
      </c>
      <c r="DP110">
        <f t="shared" si="176"/>
        <v>10</v>
      </c>
      <c r="DQ110" t="str">
        <f t="shared" si="177"/>
        <v>1P С10А</v>
      </c>
      <c r="DR110" cm="1">
        <f t="array" ref="DR110">IF(DQ110="","",_xlfn.LET(_xlpm.t,SUBSTITUTE(SUBSTITUTE(SUBSTITUTE(UPPER(DQ110),"С","C"),"А","A"),"В","B"),_xlpm.tk,_xlfn.TEXTSPLIT(_xlpm.t," "),_xlpm.f,_xlfn._xlws.FILTER(_xlpm.tk,ISNUMBER(--MID(_xlpm.tk,2,1))*ISNUMBER(SEARCH(LEFT(_xlpm.tk,1)&amp;"#","B#C#D#"))*(LEN(_xlpm.tk)&gt;1),""),_xlpm.x,INDEX(_xlpm.f,1),IFERROR(--SUBSTITUTE(MID(_xlpm.x,2,9),"A",""),IFERROR(--SUBSTITUTE(INDEX(_xlfn._xlws.FILTER(_xlpm.tk,ISNUMBER(--SUBSTITUTE(_xlpm.tk,"A","")),""),1),"A",""),""))))</f>
        <v>10</v>
      </c>
      <c r="DS110" t="str">
        <f t="shared" si="178"/>
        <v>ok</v>
      </c>
      <c r="DT110">
        <f t="shared" si="179"/>
        <v>10</v>
      </c>
      <c r="DU110" t="str">
        <f t="shared" si="180"/>
        <v>1P С10А</v>
      </c>
      <c r="DV110">
        <f t="shared" si="181"/>
        <v>0</v>
      </c>
      <c r="DW110">
        <f t="shared" si="182"/>
        <v>0</v>
      </c>
      <c r="DX110">
        <f t="shared" si="183"/>
        <v>0</v>
      </c>
      <c r="DY110">
        <f t="shared" si="184"/>
        <v>0.56291651245988494</v>
      </c>
      <c r="DZ110">
        <f t="shared" si="185"/>
        <v>1</v>
      </c>
      <c r="EA110">
        <f>IF(ISNUMBER(AP110),AP110,К_прокл)</f>
        <v>1</v>
      </c>
      <c r="EB110">
        <f t="shared" si="186"/>
        <v>2</v>
      </c>
      <c r="EC110">
        <f>IFERROR(N(VLOOKUP(BZ110,Кабель_обозначение,3,FALSE)),1)</f>
        <v>1</v>
      </c>
      <c r="ED110">
        <f>IFERROR(N(_xlfn.XLOOKUP(A110,Щиты[Щит],Щиты[ΔU до шин, %])),0)</f>
        <v>0.24000000000000002</v>
      </c>
      <c r="EE110" t="str">
        <f>IFERROR(_xlfn.XLOOKUP(A110,Щиты[Щит],Щиты[Zпетли на шинах, Ом]),"")</f>
        <v/>
      </c>
      <c r="EF110">
        <f>IFERROR(N(_xlfn.XLOOKUP(A110,Щиты[Щит],Щиты[ΔU до шин (подбор), %])),0)</f>
        <v>0.36</v>
      </c>
      <c r="EG110" t="str">
        <f>IFERROR(_xlfn.XLOOKUP(A110,Щиты[Щит],Щиты[Zпетли на шинах (подбор), Ом]),"")</f>
        <v/>
      </c>
      <c r="EH110" t="str">
        <f t="shared" si="187"/>
        <v/>
      </c>
      <c r="EI110">
        <f t="shared" si="188"/>
        <v>9</v>
      </c>
      <c r="EJ110">
        <f t="shared" si="189"/>
        <v>2</v>
      </c>
      <c r="EK110">
        <f t="shared" si="190"/>
        <v>0.6</v>
      </c>
      <c r="EL110" s="6">
        <f>IF(B110="","",IF(BV110=1,dU_LED,IF(IFERROR(_xlfn.XLOOKUP(BC110,Коды_код,Коды_уго),"")="Светильник",3,4)+IF(Методика="нормы 2026",MIN(0.5,MAX(0,N(P110)-100)*0.005),0)))</f>
        <v>4</v>
      </c>
      <c r="EM110" cm="1">
        <f t="array" ref="EM110">IF(OR(B110="",BZ110="",EC110&lt;&gt;1),"",_xlfn.LET(_xlpm.sz,Iдоп_S,_xlpm.t_,CHOOSE(EB110,Iдоп_1ж,Iдоп_2ж,Iдоп_3ж)*DZ110*EA110,_xlpm.dcx,BV110=1,_xlpm.inn,IF(_xlpm.dcx,N(O110),N(DT110)),_xlpm.smin,MAX(1.5,CC110),_xlpm.L_,N(P110)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110)/N(BU110)*100,999),IFERROR(N(EJ110)*(_xlpm.rho*_xlpm.L_/_xlpm.sz*N(CE110)+_xlpm.xx*_xlpm.L_*N(EK110)/1000)*N(O110)/((Uн_лин/SQRT(3))*1000)*100,999)),_xlpm.kz,IF(OR(_xlpm.dcx,DW110=1,NOT(ISNUMBER(EG110)),_xlpm.L_=0,_xlpm.inn=0),1,IFERROR(--(c_min*(Uн_лин*1000/SQRT(3))/(EG110+2*ρкз_Cu*_xlpm.L_/_xlpm.sz)&gt;=HT110*_xlpm.inn),0)),_xlpm.ok,IFERROR((_xlpm.sz&gt;=_xlpm.smin)*(_xlpm.t_&gt;=_xlpm.inn)*IF(_xlpm.L_&gt;0,(_xlpm.du_+IF(_xlpm.dcx,0,EF110)&lt;=EL110+0.00001),1)*_xlpm.kz,0),_xlpm.r_,_xlfn._xlws.FILTER(_xlpm.sz,_xlpm.ok,"не подобрано"),INDEX(_xlpm.r_,1)))</f>
        <v>1.5</v>
      </c>
      <c r="EN110">
        <f t="shared" si="191"/>
        <v>1.5</v>
      </c>
      <c r="EO110" cm="1">
        <f t="array" ref="EO110">IF(OR(B110="",BZ110="",EC110&lt;&gt;1),"",_xlfn.LET(_xlpm.sz,Iдоп_S,_xlpm.t_,CHOOSE(EB110,Iдоп_1ж,Iдоп_2ж,Iдоп_3ж)*DZ110*EA110,_xlpm.ok,IFERROR((_xlpm.sz&gt;=MAX(1.5,CC110))*(_xlpm.t_&gt;=N(DT110)),0),_xlpm.r_,_xlfn._xlws.FILTER(_xlpm.sz,_xlpm.ok,""),INDEX(_xlpm.r_,1)))</f>
        <v>1.5</v>
      </c>
      <c r="EP110" s="6" cm="1">
        <f t="array" ref="EP110">IFERROR(ROUNDUP(N(EJ110)*(_xlfn.XLOOKUP(EO110,INDEX(Кабель_сопротивление,0,1),INDEX(Кабель_сопротивление,0,3))*N(P110)/EO110*N(CE110)+_xlfn.XLOOKUP(EO110,INDEX(Кабель_сопротивление,0,1),INDEX(Кабель_сопротивление,0,2))*N(P110)*N(EK110)/1000)*N(O110)/((Uн_лин/SQRT(3))*1000)*100,2),"")</f>
        <v>6.9999999999999993E-2</v>
      </c>
      <c r="EQ110">
        <f>IFERROR(2*ρкз_Cu*N(P110)/EO110,"")</f>
        <v>0.38573333333333332</v>
      </c>
      <c r="ER110">
        <f>IFERROR(VLOOKUP(EN110,Кабель_сопротивление,3,FALSE),"")</f>
        <v>2.2499999999999999E-2</v>
      </c>
      <c r="ES110">
        <f>IFERROR(VLOOKUP(EN110,Кабель_сопротивление,2,FALSE),"")</f>
        <v>0.11</v>
      </c>
      <c r="ET110">
        <f t="shared" si="192"/>
        <v>9</v>
      </c>
      <c r="EU110">
        <f t="shared" si="193"/>
        <v>0</v>
      </c>
      <c r="EV110">
        <f t="shared" si="194"/>
        <v>0.14942731406550139</v>
      </c>
      <c r="EW110" s="6">
        <f>IFERROR(ROUNDUP(EV110/IF(BV110=1,BU110,(Uн_лин/SQRT(3))*1000)*100,2),"")</f>
        <v>6.9999999999999993E-2</v>
      </c>
      <c r="EX110" t="str">
        <f>IFERROR(VLOOKUP(BZ110,Кабель_обозначение,2,FALSE),"")</f>
        <v>ВВГнг(А)-LS</v>
      </c>
      <c r="EY110" t="str">
        <f t="shared" si="195"/>
        <v>ВВГнг(А)-LS (3х1,5)</v>
      </c>
      <c r="EZ110" t="str">
        <f t="shared" si="196"/>
        <v>ВВГнг(А)-LS (3х1,5)
L=11-0,07%</v>
      </c>
      <c r="FA110">
        <f>IFERROR(2*ρкз_Cu*P110/EN110,"")</f>
        <v>0.38573333333333332</v>
      </c>
      <c r="FB110">
        <f t="shared" si="197"/>
        <v>0.12833333333333333</v>
      </c>
      <c r="FC110" s="6" t="str">
        <f>IFERROR(IF(OR(B110="",BV110=1,NOT(ISNUMBER(EN110)),N(P110)=0),"",_xlfn.XLOOKUP(A110,Щиты[Щит],Щиты[Zпетли на шинах, Ом])+FA110),"")</f>
        <v/>
      </c>
      <c r="FD110" s="6" t="str">
        <f>IF(ISNUMBER(FC110),c_min*(Uн_лин*1000/SQRT(3))/FC110,"")</f>
        <v/>
      </c>
      <c r="FE110" s="6" t="str">
        <f>IFERROR(IF(OR(B110="",NOT(ISNUMBER(EN110))),"",1.05*(Uн_лин*1000/SQRT(3))/(_xlfn.XLOOKUP(A110,Щиты[Щит],Щиты[Zmax на шинах, Ом])+FB110)/1000),"")</f>
        <v/>
      </c>
      <c r="FF110" s="6" t="str">
        <f>IF(B110="","",IF(ISNUMBER(AC110),"Сил",IF(IFERROR(_xlfn.XLOOKUP(BC110,Коды_код,Коды_группа)&amp;"","")="","Быт",_xlfn.XLOOKUP(BC110,Коды_код,Коды_группа)&amp;"")))</f>
        <v>Сил</v>
      </c>
      <c r="FG110" s="6" t="str">
        <f t="shared" si="198"/>
        <v>Сил</v>
      </c>
      <c r="FH110" s="6">
        <f>IF(FG110="Щит","щит",IF(FG110="","",IF(FG110="Быт",IFERROR(_xlfn.XLOOKUP(A110,Щиты[Щит],Щиты[Кс быт]),1),IF(FG110="Сил",IF(ISNUMBER(AC110),AC110,IF(Методика="нормы 2026",IFERROR(_xlfn.XLOOKUP(A110,Щиты[Щит],Щиты[Кс силовых (табл. 7.5)]),1),1)),IF(OR(FG110="Пост",FG110="Отоп"),1,IF(FG110="ВНГ",0.7,0))))))</f>
        <v>0.5</v>
      </c>
      <c r="FI110">
        <f>IF(FG110="","",IF(AND(BP110=1,TRIM(AE110&amp;"")=""),IF(COUNTIFS(Линии[Щит],A110,Линии[Секция (1/2/3)],"&gt;=2")&gt;0,MIN(3,MAX(1,IFERROR(--BD110,1))),1),IFERROR(MIN(3,MAX(1,INT(--AE110))),1)))</f>
        <v>1</v>
      </c>
      <c r="FJ110">
        <f t="shared" si="199"/>
        <v>0.104</v>
      </c>
      <c r="FK110">
        <f t="shared" si="200"/>
        <v>0</v>
      </c>
      <c r="FL110">
        <f t="shared" si="201"/>
        <v>5.1999999999999998E-2</v>
      </c>
      <c r="FM110">
        <f t="shared" si="202"/>
        <v>0</v>
      </c>
      <c r="FN110">
        <f t="shared" si="203"/>
        <v>0</v>
      </c>
      <c r="FO110">
        <f t="shared" si="204"/>
        <v>0</v>
      </c>
      <c r="FP110">
        <f t="shared" si="205"/>
        <v>0.104</v>
      </c>
      <c r="FQ110">
        <f t="shared" si="206"/>
        <v>0.104</v>
      </c>
      <c r="FR110">
        <f t="shared" si="207"/>
        <v>8.3199999999999996E-2</v>
      </c>
      <c r="FS110">
        <f>IF(CG110=1,IF(AND(CH110=1,CW110=1),0,IF(AND(CS110&lt;&gt;"",CS110=BA110,CW110=1),SUMIFS(Линии[_Р линии, кВт],Линии[_блок УЗО],BA110,Линии[Щит],A110),N(BS110)+IF(AJ110="вручную",0,N(CK110)))),0)</f>
        <v>0.104</v>
      </c>
      <c r="FT110" t="str">
        <f t="shared" si="208"/>
        <v/>
      </c>
      <c r="FU110" t="str">
        <f>IF(B110="","",IF(CG110=0,IF(BA110=1,"",FW109),IF(AND(CH110=1,CW110=1,CS110&lt;&gt;""),IFERROR(_xlfn.XLOOKUP(CS110,Линии[_n],Линии[_фаза итог]),"L1"),IF(OR(N(DL110)&gt;=3,N(BX110)&gt;=3),"L1,L2,L3",IFERROR(_xlfn.TEXTBEFORE(_xlfn.TEXTAFTER(_xlfn.XLOOKUP(A110,Щиты[Щит],Щиты[_фазы авто]),";"&amp;BA110&amp;":"),";"),"L1")))))</f>
        <v>L3</v>
      </c>
      <c r="FV110" t="str">
        <f t="shared" si="209"/>
        <v>L3</v>
      </c>
      <c r="FW110" t="str">
        <f t="shared" si="210"/>
        <v>L3</v>
      </c>
      <c r="FX110" cm="1">
        <f t="array" ref="FX110">IFERROR(IF(CD110=2,_xlfn.IFS(BX110=3,VLOOKUP(BS110,Справочная_двигатели,3,FALSE),BX110=1,VLOOKUP(BS110,Справочная_двигатели,5,TRUE)),0),0)</f>
        <v>0</v>
      </c>
      <c r="FY110">
        <f>IFERROR(IF(CD110=3,VLOOKUP(BS110,Справочная_ЛЭД,2,TRUE),0),0)</f>
        <v>0</v>
      </c>
      <c r="FZ110" s="6">
        <f t="shared" si="211"/>
        <v>0</v>
      </c>
      <c r="GA110" t="str">
        <f>IF(B110="","",IF(TRIM(AH110&amp;"")&lt;&gt;"",IF(LOWER(TRIM(AH110&amp;""))="да","да","нет"),IF(IFERROR(_xlfn.XLOOKUP(BC110,Коды_код,Коды_пожарная),"")="да","да","нет")))</f>
        <v>нет</v>
      </c>
      <c r="GB110" t="str">
        <f t="shared" si="212"/>
        <v/>
      </c>
      <c r="GC110" t="str">
        <f t="shared" si="213"/>
        <v>основная</v>
      </c>
      <c r="GD110">
        <f>IF(AND(BP110=1,TRIM(AE110&amp;"")=""),IF(COUNTIFS(Линии[Щит],A110,Линии[Секция (1/2/3)],"&gt;=2")&gt;0,MIN(3,MAX(1,IFERROR(--BD110,1))),1),IFERROR(MIN(3,MAX(1,INT(--AE110))),1))</f>
        <v>1</v>
      </c>
      <c r="GE110" t="str" cm="1">
        <f t="array" ref="GE110">IF(B110="","",_xlfn.LET(_xlpm.t,IFERROR(_xlfn.XLOOKUP(1,(Шины[Шина]=GC110)*(((Шины[Щит]=A110)+(Шины[Щит]=""))&gt;0),Шины[Тип]),"")&amp;"",IF(_xlpm.t&lt;&gt;"",_xlpm.t,IF(ISNUMBER(SEARCH("ИБП",GC110)),"ИБП",IF(ISNUMBER(SEARCH("ДГУ",GC110)),"ДГУ","Ввод "&amp;GD110)))))</f>
        <v>Ввод 1</v>
      </c>
      <c r="GF110" t="str">
        <f t="shared" si="214"/>
        <v>Ввод 1</v>
      </c>
      <c r="GG110" t="str">
        <f>IF(BP110=0,"",IF(TRIM(AG110&amp;"")&lt;&gt;"",TRIM(AG110&amp;""),IF(OR(GE110="ИБП",GE110="ДГУ"),"I особая",_xlfn.XLOOKUP(A110,Щиты[Щит],Щиты[Категория шины «Ввод»],"III"))))</f>
        <v/>
      </c>
      <c r="GH110" t="str">
        <f>IF(A110="","",_xlfn.XLOOKUP(A110,Щиты[Щит],Щиты[Путь],""))</f>
        <v>|ГРЩ-ЖД|ЩОВ-01|</v>
      </c>
      <c r="GI110" t="str">
        <f>IF(B110="","",IF(AI110&lt;&gt;"",AI110,IF(IFERROR(_xlfn.XLOOKUP(BC110,Коды_код,Коды_вид)&amp;"","")="","Прочее",_xlfn.XLOOKUP(BC110,Коды_код,Коды_вид)&amp;"")))</f>
        <v>Кондиционирование и увлажнение</v>
      </c>
      <c r="GJ110">
        <f>IF(BM110="","",INT((BM110-1)/Столбцов_на_лист)+1)</f>
        <v>2</v>
      </c>
      <c r="GK110" t="str">
        <f t="shared" si="215"/>
        <v>ВВГнг(А)-LS (3х1,5) L=11-0,07%</v>
      </c>
      <c r="GL110">
        <f t="shared" si="216"/>
        <v>0.104</v>
      </c>
      <c r="GM110">
        <f t="shared" si="217"/>
        <v>0.57000000000000006</v>
      </c>
      <c r="GN110">
        <f t="shared" si="218"/>
        <v>1</v>
      </c>
      <c r="GO110">
        <f t="shared" si="219"/>
        <v>0</v>
      </c>
      <c r="GP110">
        <f t="shared" si="220"/>
        <v>1</v>
      </c>
      <c r="GQ110">
        <f>IF(BM110="","",IF(AND(CG110=1,GP110=1),COUNTIFS(A$3:A110,A110,CG$3:CG110,1,GP$3:GP110,1),IF(OR(OR(BA110=1,A110&lt;&gt;A109),AJ110="вручную",GP110=0),"",IF(BA110=1,"",GR109))))</f>
        <v>8</v>
      </c>
      <c r="GR110">
        <f t="shared" si="221"/>
        <v>8</v>
      </c>
      <c r="GS110">
        <f>IF(B110="","",IFERROR(LOOKUP(INDEX(CHOOSE(EB110,Iдоп_1ж,Iдоп_2ж,Iдоп_3ж),MATCH(EN110,Iдоп_S,0))*DZ110*EA110,{6,10,16,20,25,32,40,50,63,80,100,125,160,200,250,315,400,500,630}),""))</f>
        <v>16</v>
      </c>
      <c r="GT110" t="str">
        <f t="shared" si="222"/>
        <v>QF8</v>
      </c>
      <c r="GU110" t="str">
        <f t="shared" si="223"/>
        <v>QF8</v>
      </c>
      <c r="GV110" t="str">
        <f t="shared" si="224"/>
        <v/>
      </c>
      <c r="GW110">
        <f t="shared" si="225"/>
        <v>0</v>
      </c>
      <c r="GX110" t="str">
        <f>IF(OR(B110="",DJ110=""),"",IFERROR(_xlfn.XLOOKUP(DJ110,Модули_умолч[Управление],Модули_умолч[Модель])&amp;"",""))</f>
        <v/>
      </c>
      <c r="GY110">
        <f>IF(DJ110="",1,IFERROR(MAX(0,N(_xlfn.XLOOKUP(DJ110,Модули_умолч[Управление],Модули_умолч[Каналов на линию]))),1))</f>
        <v>1</v>
      </c>
      <c r="GZ110" t="str">
        <f t="shared" si="226"/>
        <v/>
      </c>
      <c r="HA110" t="str">
        <f t="shared" si="227"/>
        <v/>
      </c>
      <c r="HB110" t="str">
        <f t="shared" si="228"/>
        <v/>
      </c>
      <c r="HC110">
        <f>IF(HB110="",0,IFERROR(N(VLOOKUP(HB110,Модули_спр,3,FALSE)),0))</f>
        <v>0</v>
      </c>
      <c r="HD110" t="str">
        <f t="shared" si="229"/>
        <v/>
      </c>
      <c r="HE110" t="str">
        <f t="shared" si="230"/>
        <v/>
      </c>
      <c r="HF110" t="str">
        <f>IF(OR(HE110="",HE110="-"),"",IFERROR(VLOOKUP(HE110,Модули_спр,2,FALSE),"R"))</f>
        <v/>
      </c>
      <c r="HG110" t="str">
        <f>IF(HF110="","",HF110&amp;"."&amp;COUNTIFS(A$3:A110,A110,HF$3:HF110,HF110))</f>
        <v/>
      </c>
      <c r="HH110" t="str">
        <f t="shared" si="231"/>
        <v/>
      </c>
      <c r="HI110" t="str">
        <f t="shared" si="232"/>
        <v/>
      </c>
      <c r="HJ110" t="str">
        <f t="shared" si="233"/>
        <v/>
      </c>
      <c r="HK110" t="str">
        <f t="shared" si="234"/>
        <v/>
      </c>
      <c r="HL110">
        <f t="shared" si="235"/>
        <v>1</v>
      </c>
      <c r="HM110" t="str">
        <f>IF(HL110=1,"XT"&amp;COUNTIFS(A$3:A110,A110,HL$3:HL110,1),"")</f>
        <v>XT8</v>
      </c>
      <c r="HN110" t="str">
        <f t="shared" si="236"/>
        <v/>
      </c>
      <c r="HO110" t="str">
        <f t="shared" si="237"/>
        <v>QF8</v>
      </c>
      <c r="HP110" t="str">
        <f t="shared" si="238"/>
        <v/>
      </c>
      <c r="HQ110" t="str">
        <f t="shared" si="239"/>
        <v>ok</v>
      </c>
      <c r="HR110" t="str">
        <f>IF(OR(HJ110="",HH110=""),"",IF(HJ110+MAX(0,GY110-1)&gt;IFERROR(VLOOKUP(HI110,Модули_спр,3,FALSE),99),"ЛИШНИЙ КАНАЛ",IF(AND(AL110&lt;&gt;"=",GY110&gt;0,COUNTIFS(Линии[_модуль гр.],HH110,Линии[Канал (итог)],HJ110,Линии[Канал],"&lt;&gt;=",Линии[Щит],A110)&gt;1),"ДУБЛЬ КАНАЛА","")))</f>
        <v/>
      </c>
      <c r="HS110" s="6" t="str">
        <f t="shared" si="240"/>
        <v/>
      </c>
      <c r="HT110">
        <f t="shared" si="241"/>
        <v>10</v>
      </c>
      <c r="HU110" t="str">
        <f t="shared" si="242"/>
        <v/>
      </c>
      <c r="HV110">
        <f t="shared" si="243"/>
        <v>0.33516660498395401</v>
      </c>
      <c r="HW110">
        <f t="shared" si="244"/>
        <v>0</v>
      </c>
      <c r="HX110">
        <f t="shared" si="245"/>
        <v>0</v>
      </c>
      <c r="HY110">
        <f t="shared" si="246"/>
        <v>0</v>
      </c>
      <c r="HZ110">
        <f t="shared" si="247"/>
        <v>0</v>
      </c>
      <c r="IA110">
        <f t="shared" si="248"/>
        <v>0</v>
      </c>
      <c r="IB110">
        <f t="shared" si="249"/>
        <v>0</v>
      </c>
      <c r="IC110" t="str">
        <f t="shared" si="250"/>
        <v/>
      </c>
      <c r="ID110" t="str" cm="1">
        <f t="array" ref="ID110">IF(IC110="","",_xlfn.LET(_xlpm.tk,_xlfn.TEXTSPLIT(SUBSTITUTE(SUBSTITUTE(IC110,";"," "),"→"," ")," ",,TRUE),_xlpm.w_,_xlfn._xlws.FILTER(_xlpm.tk,ISNUMBER(--LEFT(_xlpm.tk,1))*((ISNUMBER(SEARCH("W",_xlpm.tk))+ISNUMBER(SEARCH("Вт",_xlpm.tk)))&gt;0),""),IFERROR(--SUBSTITUTE(SUBSTITUTE(UPPER(INDEX(_xlpm.w_,1)),"W",""),"ВТ",""),"")))</f>
        <v/>
      </c>
      <c r="IE110" t="str" cm="1">
        <f t="array" ref="IE110">IF(IC110="","",_xlfn.LET(_xlpm.tk,_xlfn.TEXTSPLIT(SUBSTITUTE(SUBSTITUTE(IC110,";"," "),"→"," ")," ",,TRUE),_xlpm.v_,_xlfn._xlws.FILTER(_xlpm.tk,ISNUMBER(--LEFT(_xlpm.tk,1))*((ISNUMBER(SEARCH("V",_xlpm.tk))+(RIGHT(UPPER(_xlpm.tk))="В"))&gt;0),""),IFERROR(--SUBSTITUTE(SUBSTITUTE(UPPER(INDEX(_xlpm.v_,1)),"V",""),"В",""),"")))</f>
        <v/>
      </c>
      <c r="IF110" s="6" t="str">
        <f>IF(OR(BV110=0,HI110="",HJ110=""),"",IFERROR(N(_xlfn.XLOOKUP(HI110,Каталог!$C$4:$C$500,Каталог!$Q$4:$Q$500)),""))</f>
        <v/>
      </c>
      <c r="IG110" s="6" t="str">
        <f>IF(N(IF110)=0,"",SUMIFS(Линии[Iр, А],Линии[Щит],A110,Линии[_модуль гр.],HH110,Линии[Канал (итог)],HJ110))</f>
        <v/>
      </c>
      <c r="IH110" t="str">
        <f>IF(AND(B110="",HO110=""),"",_xlfn.TEXTJOIN("; ",TRUE,IF(AND(B110&lt;&gt;"",FV110=""),"нет фазы",""),IF(AND(B110&lt;&gt;"",N(GL110)=0,FG110&lt;&gt;"Нет"),"нет мощности",""),IF(AND(HN110&lt;&gt;"",COUNTIFS(Линии[Щит],A110,Линии[Клемма (итог)],HN110)&gt;1),"дубль клеммы "&amp;HN110,""),IF(AND(HQ110&lt;&gt;"",HQ110&lt;&gt;"ok"),HQ110,""),IF(HR110&lt;&gt;"",HR110,""),IF(AND(N(CB110)&gt;=4,N(BX110)=1),CB110&amp;" жил на 1 фазе",""),IF(AND(BC110="R",CG110=1,IF(CS110&lt;&gt;"",N(CV110)&gt;30,OR(N(DA110)=0,N(DA110)&gt;30))),"розетка без дифзащиты до 30 мА",""),IF(AND(CG110=1,N(DA110)&gt;0,ISNUMBER(T110)),IF(T110&gt;N(DA110)/3,"ток утечки "&amp;FIXED(T110,1)&amp;" мА &gt; 1/3 уставки ("&amp;DA110&amp;" мА)",""),""),IF(AND(CH110=1,CS110=""),"«узо»: нет строки с УЗО выше (УЗО 2P 40А 30мА в «Аппаратах»)",""),IF(AND(CS110&lt;&gt;"",CS110=BA110),IF(CT110="","впишите номинал УЗО (УЗО 2P 40А 30мА)",IF(N(CT110)&lt;N(DT110),"УЗО "&amp;CT110&amp;" А &lt; автомата "&amp;DT110&amp;" А перед ним",IF(N(CT110)&lt;N(CX110),"УЗО "&amp;CT110&amp;" А &lt; тока блока "&amp;FIXED(CX110,1)&amp;" А",""))),""),IF(AND(CS110&lt;&gt;"",CS110=BA110,ISNUMBER(CY110)),IF(CY110&gt;N(CV110)/3,"ток утечки блока УЗО "&amp;FIXED(CY110,1)&amp;" мА &gt; 1/3 уставки ("&amp;CV110&amp;" мА)",""),""),IF(AND(CG110=1,N(BV110)+N(IB110)&gt;0,IC110=""),"линии до 50 В без БП: впишите в «Аппараты» (БП 24V 480W)",""),IF(AND(CG110=1,ISNUMBER(ID110),ISNUMBER(U110)),IF(U110&gt;ID110,"БП "&amp;ID110&amp;" Вт &lt; нужно "&amp;U110&amp;" Вт (×"&amp;Запас_БП&amp;")",""),""),IF(AND(CG110=1,ISNUMBER(IE110),N(BV110)=1),IF(IE110&lt;&gt;N(BU110),"БП на "&amp;IE110&amp;" В, линия "&amp;BU110&amp;" В",""),""),IF(AND(N(IF110)&gt;0,N(IG110)&gt;N(IF110)),HH110&amp;" канал "&amp;HJ110&amp;": "&amp;FIXED(IG110,1)&amp;" А &gt; "&amp;IF110&amp;" А",""),IFERROR(IF(AND(ISNUMBER(Q110),Q110&gt;EL110),"потери "&amp;FIXED(Q110,1)&amp;" % &gt; "&amp;EL110&amp;" %",""),""),IFERROR(IF(LEFT(HU110,4)="мало","Iкз мало — отключение &gt; 0,4 с",""),""),IF(AND(B110&lt;&gt;"",BM110=""),"не на схеме",""),IF(AND(CG110=0,B110&lt;&gt;"",FV110&lt;&gt;"",IF(BA110=1,"",FW109)&lt;&gt;"",FV110&lt;&gt;IF(BA110=1,"",FW109)),"фаза не как у автомата группы ("&amp;IF(BA110=1,"",FW109)&amp;")","")))</f>
        <v/>
      </c>
      <c r="II110" s="6">
        <f>IF(OR(CG110=0,DQ110=""),"",_xlfn.LET(_xlpm.t,IFERROR(_xlfn.XLOOKUP(DQ110,Каталог!$U$4:$U$500,Каталог!$G$4:$G$500),""),_xlpm.k,SEARCH("кА",_xlpm.t),IFERROR(--TRIM(RIGHT(SUBSTITUTE(MID(_xlpm.t,MAX(1,_xlpm.k-4),_xlpm.k-MAX(1,_xlpm.k-4))," ",REPT(" ",9)),5)),"")))</f>
        <v>6</v>
      </c>
      <c r="IJ110" t="str">
        <f>IF(OR(II110="",CG110=0),"",IF(_xlfn.XLOOKUP(A110,Щиты[Щит],Щиты[Iкз max на шинах, кА],"")="","",IF(II110&lt;_xlfn.XLOOKUP(A110,Щиты[Щит],Щиты[Iкз max на шинах, кА]),"Icu "&amp;II110&amp;" кА &lt; Iкз max","ok")))</f>
        <v/>
      </c>
      <c r="IK110" t="str">
        <f t="shared" si="251"/>
        <v/>
      </c>
      <c r="IL110" t="str">
        <f t="shared" si="252"/>
        <v>QF8</v>
      </c>
      <c r="IM110" t="str">
        <f t="shared" si="253"/>
        <v>QF8|кабель ВВГнг(А)-LS (3х1,5) → Внутренний блок кондиционирования цокольный этаж Пом. №001Т</v>
      </c>
      <c r="IN110" t="str" cm="1">
        <f t="array" ref="IN110">IF(IM110="","",_xlfn.LET(_xlpm.nd,_xlfn.TEXTSPLIT(IM110,"|"),IF(COLUMNS(_xlpm.nd)&gt;1,A110&amp;"¦"&amp;INDEX(_xlpm.nd,1)&amp;"¦"&amp;INDEX(_xlpm.nd,2),"")))</f>
        <v>ЩОВ-01¦QF8¦кабель ВВГнг(А)-LS (3х1,5) → Внутренний блок кондиционирования цокольный этаж Пом. №001Т</v>
      </c>
      <c r="IO110" t="str">
        <f t="shared" si="254"/>
        <v>K.0.001T.1¦Внутренний блок кондиционирования цокольный этаж Пом. №001Т</v>
      </c>
      <c r="IP110" t="str" cm="1">
        <f t="array" ref="IP110">IF(IM110="","",_xlfn.LET(_xlpm.nd,_xlfn.TEXTSPLIT(IM110,"|"),IF(COLUMNS(_xlpm.nd)&gt;2,A110&amp;"¦"&amp;INDEX(_xlpm.nd,2)&amp;"¦"&amp;INDEX(_xlpm.nd,3),"")))</f>
        <v/>
      </c>
      <c r="IQ110" t="str">
        <f t="shared" si="255"/>
        <v/>
      </c>
      <c r="IR110" t="str" cm="1">
        <f t="array" ref="IR110">IF(IM110="","",_xlfn.LET(_xlpm.nd,_xlfn.TEXTSPLIT(IM110,"|"),IF(COLUMNS(_xlpm.nd)&gt;3,A110&amp;"¦"&amp;INDEX(_xlpm.nd,3)&amp;"¦"&amp;INDEX(_xlpm.nd,4),"")))</f>
        <v/>
      </c>
      <c r="IS110" t="str">
        <f t="shared" si="256"/>
        <v/>
      </c>
      <c r="IT110" t="str" cm="1">
        <f t="array" ref="IT110">IF(IM110="","",_xlfn.LET(_xlpm.nd,_xlfn.TEXTSPLIT(IM110,"|"),IF(COLUMNS(_xlpm.nd)&gt;4,A110&amp;"¦"&amp;INDEX(_xlpm.nd,4)&amp;"¦"&amp;INDEX(_xlpm.nd,5),"")))</f>
        <v/>
      </c>
      <c r="IU110" t="str">
        <f t="shared" si="257"/>
        <v/>
      </c>
      <c r="IV110" t="str" cm="1">
        <f t="array" ref="IV110">IF(IM110="","",_xlfn.LET(_xlpm.nd,_xlfn.TEXTSPLIT(IM110,"|"),IF(COLUMNS(_xlpm.nd)&gt;5,A110&amp;"¦"&amp;INDEX(_xlpm.nd,5)&amp;"¦"&amp;INDEX(_xlpm.nd,6),"")))</f>
        <v/>
      </c>
      <c r="IW110" t="str">
        <f t="shared" si="258"/>
        <v/>
      </c>
      <c r="IX110" t="str" cm="1">
        <f t="array" ref="IX110">IF(IM110="","",_xlfn.LET(_xlpm.nd,_xlfn.TEXTSPLIT(IM110,"|"),IF(COLUMNS(_xlpm.nd)&gt;6,A110&amp;"¦"&amp;INDEX(_xlpm.nd,6)&amp;"¦"&amp;INDEX(_xlpm.nd,7),"")))</f>
        <v/>
      </c>
      <c r="IY110" t="str">
        <f t="shared" si="259"/>
        <v/>
      </c>
      <c r="IZ110" t="str">
        <f t="shared" si="260"/>
        <v/>
      </c>
      <c r="JA110" t="str">
        <f t="shared" si="261"/>
        <v>QF8</v>
      </c>
      <c r="JB110">
        <f t="shared" si="262"/>
        <v>0</v>
      </c>
      <c r="JC110">
        <f t="shared" si="263"/>
        <v>0</v>
      </c>
      <c r="JD110" t="str">
        <f t="shared" si="264"/>
        <v/>
      </c>
      <c r="JE110" t="str">
        <f t="shared" si="265"/>
        <v/>
      </c>
      <c r="JF110" t="str">
        <f t="shared" si="266"/>
        <v/>
      </c>
      <c r="JG110" t="str">
        <f t="shared" si="267"/>
        <v/>
      </c>
      <c r="JH110">
        <f>IF(B110="","",IFERROR(_xlfn.XLOOKUP(B110,Коды_код,Коды_уго),IFERROR(_xlfn.XLOOKUP(BC110,Коды_код,Коды_уго),IFERROR(_xlfn.XLOOKUP(LEFT(BC110,2),Коды_код,Коды_уго),""))))</f>
        <v>0</v>
      </c>
      <c r="JI110" t="str">
        <f>IF(B110="","",IF(OR(JH110="",JH110=0),"BOX",IFERROR(IF(VLOOKUP(JH110,УГО_блоки,3,FALSE)&amp;""&lt;&gt;"",VLOOKUP(JH110,УГО_блоки,3,FALSE),VLOOKUP(JH110,УГО_блоки,2,FALSE)),JH110)))</f>
        <v>BOX</v>
      </c>
      <c r="JJ110">
        <f t="shared" si="268"/>
        <v>1</v>
      </c>
      <c r="JK110" t="str">
        <f>IF(DQ110="","",IF(COUNTIF(DQ$3:DQ110,DQ110)=1,MAX(JK$2:JK109)+1,""))</f>
        <v/>
      </c>
      <c r="JL110" t="str">
        <f>IF(DE110="","",IF(COUNTIF(DE$3:DE110,DE110)+COUNTIF(DF$2:DF109,DE110)+COUNTIF(DG$2:DG109,DE110)=1,MAX(JL$2:JN109)+1,""))</f>
        <v/>
      </c>
      <c r="JM110" t="str">
        <f>IF(DF110="","",IF(COUNTIF(DE$3:DE110,DF110)+COUNTIF(DF$3:DF110,DF110)+COUNTIF(DG$2:DG109,DF110)=1,MAX(JL$2:JN109,JL110)+1,""))</f>
        <v/>
      </c>
      <c r="JN110" t="str">
        <f>IF(DG110="","",IF(COUNTIF(DE$3:DE110,DG110)+COUNTIF(DF$3:DF110,DG110)+COUNTIF(DG$3:DG110,DG110)=1,MAX(JL$2:JN109,JL110,JM110)+1,""))</f>
        <v/>
      </c>
      <c r="JO110" t="str">
        <f t="shared" si="269"/>
        <v>3х1,5</v>
      </c>
      <c r="JP110" t="str">
        <f>IF(JO110="","",IF(COUNTIF(JO$3:JO110,JO110)=1,MAX(JP$2:JP109)+1,""))</f>
        <v/>
      </c>
      <c r="JQ110" t="str">
        <f>IF(HG110="","",COUNTIF(HG$3:HG110,"?*"))</f>
        <v/>
      </c>
      <c r="JR110" t="str">
        <f>IF(OR(HG110="",HI110=""),"",IF(COUNTIFS(HG$3:HG110,"?*",HI$3:HI110,HI110)=1,MAX(JR$2:JR109)+1,""))</f>
        <v/>
      </c>
      <c r="JS110">
        <f t="shared" si="270"/>
        <v>0</v>
      </c>
      <c r="JT110">
        <f>IF(B110="","",COUNTIF(B$3:B110,"?*"))</f>
        <v>108</v>
      </c>
      <c r="JU110">
        <f>IF(HL110&lt;&gt;1,0,_xlfn.LET(_xlpm.k,MAX(IFERROR(--_xlfn.XLOOKUP(B110,Коды_код,Коды_3L),0),IFERROR(--_xlfn.XLOOKUP(BC110,Коды_код,Коды_3L),0),IFERROR(--_xlfn.XLOOKUP(LEFT(BC110,2),Коды_код,Коды_3L),0)),IF(_xlpm.k&gt;0,_xlpm.k,IF(IFERROR(--LEFT(SUBSTITUTE(JO110,"x","х"),FIND("х",SUBSTITUTE(JO110,"x","х"))-1),3)&gt;3,Каталог!$S$9,1))))</f>
        <v>1</v>
      </c>
      <c r="JV110">
        <f t="shared" si="271"/>
        <v>0</v>
      </c>
      <c r="JW110" t="str">
        <f t="shared" si="272"/>
        <v>авто</v>
      </c>
      <c r="JX110" t="str">
        <f t="shared" si="273"/>
        <v/>
      </c>
      <c r="JY110">
        <f t="shared" si="274"/>
        <v>0</v>
      </c>
      <c r="JZ110">
        <f t="shared" si="275"/>
        <v>1</v>
      </c>
    </row>
    <row r="111" spans="1:286" x14ac:dyDescent="0.3">
      <c r="A111" t="s">
        <v>745</v>
      </c>
      <c r="B111" t="s">
        <v>1422</v>
      </c>
      <c r="C111" t="s">
        <v>1674</v>
      </c>
      <c r="D111">
        <v>1</v>
      </c>
      <c r="E111">
        <v>0.104</v>
      </c>
      <c r="G111">
        <v>10</v>
      </c>
      <c r="H111" t="str">
        <f>Линии[[#This Row],[_авто управление]]</f>
        <v/>
      </c>
      <c r="I111" t="str">
        <f>Линии[[#This Row],[_авто аппараты]]</f>
        <v/>
      </c>
      <c r="J111">
        <v>1.5</v>
      </c>
      <c r="K111">
        <v>10</v>
      </c>
      <c r="L111" t="str">
        <f>Линии[[#This Row],[_авто фаза]]</f>
        <v>L2</v>
      </c>
      <c r="M111" t="s">
        <v>484</v>
      </c>
      <c r="N111" t="str">
        <f t="shared" si="138"/>
        <v/>
      </c>
      <c r="O111" s="6" cm="1">
        <f t="array" ref="O111">IF(B111="","",IF(BH111&lt;&gt;"",IFERROR(_xlfn.XLOOKUP(BH111,Щиты[Щит],Щиты[Iр, А]),""),IF(BP111=1,IF(OR(N(_xlfn.XLOOKUP(A111,Щиты[Щит],Щиты[Вводов],1))&lt;=1,LOWER(TRIM(_xlfn.XLOOKUP(A111,Щиты[Щит],Щиты[АВР],"")&amp;""))="да"),IFERROR(_xlfn.XLOOKUP(A111,Щиты[Щит],Щиты[Iр, А]),""),IFERROR(N(BS111)*_xlfn.XLOOKUP(A111,Щиты[Щит],Щиты[Кс итог])/(SQRT(3)*Uн_лин*_xlfn.XLOOKUP(A111,Щиты[Щит],Щиты[cos φ])),"")),IF(BV111=1,IFERROR(BS111*1000/BU111,""),IFERROR(_xlfn.IFS(BX111=1,BS111/((Uн_лин/SQRT(3))*CE111),BX111=3,BS111/(SQRT(3)*Uн_лин*CE111)),"")))))</f>
        <v>0.56291651245988494</v>
      </c>
      <c r="P111" s="7">
        <f>IF(B111="","",IFERROR(IF(VLOOKUP(BC111,Потребители_обозначение,4,FALSE)=1,VLOOKUP(BC111,Потребители_обозначение,3,FALSE)*(MAX(1,N(D111))*2-1)+EI111+VLOOKUP(BE111,Этаж_обозначение,3,FALSE)+VLOOKUP(BE111,Этаж_обозначение,4,FALSE),VLOOKUP(BC111,Потребители_обозначение,3,FALSE)*(MAX(1,N(D111))*2-1)+EI111),EI111))</f>
        <v>12</v>
      </c>
      <c r="Q111" s="6">
        <f t="shared" si="139"/>
        <v>0.32</v>
      </c>
      <c r="R111" t="str">
        <f t="shared" si="140"/>
        <v>ВВГнг(А)-LS (3х1,5)</v>
      </c>
      <c r="S111" t="str">
        <f>IF(BM111="","",IF(BN111="вводной узел","узел ","")&amp;"л."&amp;(INT((BM111-1)/Столбцов_на_лист)+1)&amp;" / "&amp;(MOD(BM111-1,Столбцов_на_лист)+1))</f>
        <v>л.2 / 6</v>
      </c>
      <c r="T111" s="119">
        <f t="shared" si="141"/>
        <v>0.3</v>
      </c>
      <c r="U111" s="7" t="str">
        <f>IF(OR(CG111=0,N(BV111)+N(IB111)=0),"",ROUNDUP(Запас_БП*(N(HY111)+N(HZ111)),0))</f>
        <v/>
      </c>
      <c r="V111" s="119" t="str">
        <f t="shared" si="142"/>
        <v/>
      </c>
      <c r="W111" s="7" t="str">
        <f>IFERROR(IF(OR(B111="",BP111=1,BV111=1,NOT(ISNUMBER(EN111)),N(DT111)=0),"",MAX(0,ROUNDDOWN((c_min*(Uн_лин*1000/SQRT(3))/(HT111*N(DT111))-_xlfn.XLOOKUP(A111,Щиты[Щит],Щиты[Zпетли на шинах, Ом]))*EN111/(2*ρкз_Cu),0))),"")</f>
        <v/>
      </c>
      <c r="Y111" t="str">
        <f>Линии[[#This Row],[_авто утечка]]</f>
        <v/>
      </c>
      <c r="Z111">
        <v>1</v>
      </c>
      <c r="AA111">
        <v>230</v>
      </c>
      <c r="AB111" t="s">
        <v>598</v>
      </c>
      <c r="AC111">
        <v>0.5</v>
      </c>
      <c r="AG111" t="s">
        <v>810</v>
      </c>
      <c r="AI111" t="s">
        <v>576</v>
      </c>
      <c r="AK111" t="str">
        <f>Линии[[#This Row],[_авто модуль]]</f>
        <v/>
      </c>
      <c r="AM111">
        <v>23</v>
      </c>
      <c r="AN111" t="s">
        <v>11</v>
      </c>
      <c r="AO111">
        <v>3</v>
      </c>
      <c r="AQ111">
        <v>3</v>
      </c>
      <c r="AR111">
        <v>9</v>
      </c>
      <c r="AT111">
        <v>1</v>
      </c>
      <c r="BA111" cm="1">
        <f t="array" ref="BA111">ROW()-ROW(Линии[#Headers])</f>
        <v>109</v>
      </c>
      <c r="BC111" s="6" t="str">
        <f t="shared" si="143"/>
        <v>K</v>
      </c>
      <c r="BD111" t="str">
        <f t="shared" si="144"/>
        <v>0.001T.2</v>
      </c>
      <c r="BE111" t="str">
        <f t="shared" si="145"/>
        <v>0</v>
      </c>
      <c r="BF111" t="str">
        <f t="shared" si="146"/>
        <v>001T.2</v>
      </c>
      <c r="BG111" t="str">
        <f t="shared" si="147"/>
        <v>001T</v>
      </c>
      <c r="BH111" t="str">
        <f>IF(X111&lt;&gt;"",X111,IF(AND(B111&lt;&gt;"",B111&lt;&gt;A111,ISNUMBER(_xlfn.XMATCH(B111,Щиты[Щит]))),B111,""))</f>
        <v/>
      </c>
      <c r="BI111" t="str" cm="1">
        <f t="array" ref="BI111">IF(B111="","",IF(BH111&lt;&gt;"","Щит "&amp;BH111,_xlfn.LET(_xlpm.nm,IFERROR(_xlfn.XLOOKUP(BC111,Коды_код,Коды_имя)&amp;"",""),_xlpm.md,IFERROR(N(_xlfn.XLOOKUP(BC111,Коды_код,Коды_режим)),1),_xlpm.ex,IF(Имя_режим="по экспликации",IFERROR(_xlfn.XLOOKUP(BE111&amp;"|"&amp;BG111,Экспликация[Этаж]&amp;"|"&amp;Экспликация[Помещение],Экспликация[Название])&amp;"",""),""),_xlpm.rm,IF(BG111="","",IF(_xlpm.ex&lt;&gt;"",". "&amp;_xlpm.ex&amp;IF(Имя_пом="нет"," ("&amp;BG111&amp;")"," (пом. "&amp;BG111&amp;")"),IF(Имя_пом="нет"," ",", пом. ")&amp;BG111)),IF(_xlpm.nm="","",IF(_xlpm.md=2,_xlpm.nm&amp;" шлейф "&amp;BE111,_xlpm.nm&amp;_xlpm.rm)))))</f>
        <v>Внутренний блок кондиционирования, пом. 001T</v>
      </c>
      <c r="BJ111" t="str">
        <f t="shared" si="148"/>
        <v>Внутренний блок кондиционирования цокольный этаж Пом. №001Т</v>
      </c>
      <c r="BK111">
        <f>IFERROR(_xlfn.XMATCH(A111,Щиты[Щит]),0)</f>
        <v>6</v>
      </c>
      <c r="BL111">
        <f>_xlfn.LET(_xlpm.k,IFERROR(_xlfn.XLOOKUP(A111,Щиты[Щит],Щиты[Мест под вводной узел]),""),IF(_xlpm.k="",Столбцов_на_лист,N(_xlpm.k)))</f>
        <v>12</v>
      </c>
      <c r="BM111">
        <f t="shared" si="149"/>
        <v>23</v>
      </c>
      <c r="BN111" t="str">
        <f t="shared" si="150"/>
        <v>линии</v>
      </c>
      <c r="BO111" s="6">
        <f>IFERROR(N(_xlfn.XLOOKUP(BC111,Коды_код,Коды_квт)),0)</f>
        <v>0</v>
      </c>
      <c r="BP111">
        <f t="shared" si="151"/>
        <v>0</v>
      </c>
      <c r="BQ111" t="str">
        <f>IF(B111="","",IF(BH111&lt;&gt;"",IFERROR(_xlfn.XLOOKUP(BH111,Щиты[Щит],Щиты[Руст, кВт]),0),IF(BP111=1,IF(OR(N(_xlfn.XLOOKUP(A111,Щиты[Щит],Щиты[Вводов],1))&lt;=1,LOWER(TRIM(_xlfn.XLOOKUP(A111,Щиты[Щит],Щиты[АВР],"")&amp;""))="да"),IFERROR(_xlfn.XLOOKUP(A111,Щиты[Щит],Щиты[Руст, кВт]),0),SUMIFS(Линии[_Р для вводов],Линии[Щит],A111,Линии[Источник для режимов],GF111)),IF(BO111&gt;0,ROUND(BO111*MAX(1,N(D111)),3),""))))</f>
        <v/>
      </c>
      <c r="BR111">
        <f t="shared" si="152"/>
        <v>0.104</v>
      </c>
      <c r="BS111" s="6">
        <f>IF(B111="","",IF(BH111&lt;&gt;"",IFERROR(_xlfn.XLOOKUP(BH111,Щиты[Щит],Щиты[Руст, кВт]),0),N(BR111)))</f>
        <v>0.104</v>
      </c>
      <c r="BT111" t="str">
        <f>IF(B111="","",IFERROR(IF(VLOOKUP(BC111,Потребители_обозначение,8,FALSE)=0,"",VLOOKUP(BC111,Потребители_обозначение,8,FALSE)),""))</f>
        <v/>
      </c>
      <c r="BU111">
        <f t="shared" si="153"/>
        <v>230</v>
      </c>
      <c r="BV111">
        <f t="shared" si="154"/>
        <v>0</v>
      </c>
      <c r="BW111">
        <f>IF(B111="","",IF(BH111&lt;&gt;"",3,IFERROR(IF(N(VLOOKUP(BC111,Потребители_обозначение,9,FALSE))=0,1,VLOOKUP(BC111,Потребители_обозначение,9,FALSE)),1)))</f>
        <v>1</v>
      </c>
      <c r="BX111">
        <f t="shared" si="155"/>
        <v>1</v>
      </c>
      <c r="BY111" t="str">
        <f>IF(B111="","",_xlfn.LET(_xlpm.bc,IFERROR(IF(VLOOKUP(BC111,Потребители_обозначение,6,FALSE)=0,"",VLOOKUP(BC111,Потребители_обозначение,6,FALSE)&amp;""),""),IF(AND(GA111="да",OR(_xlpm.bc="",_xlpm.bc="мс")),Марка_пож,IF(AND(_xlpm.bc="",BH111&lt;&gt;""),"мс",_xlpm.bc))))</f>
        <v/>
      </c>
      <c r="BZ111" t="str">
        <f t="shared" si="156"/>
        <v>мс</v>
      </c>
      <c r="CA111">
        <f>IF(B111="","",_xlfn.LET(_xlpm.cc,IFERROR(N(VLOOKUP(BC111,Потребители_обозначение,7,FALSE)),0),IF(_xlpm.cc&gt;0,_xlpm.cc,IF(BZ111="","",IF(BV111=1,2,IF(N(BX111)=3,5,3))))))</f>
        <v>3</v>
      </c>
      <c r="CB111">
        <f t="shared" si="157"/>
        <v>3</v>
      </c>
      <c r="CC111">
        <f>IFERROR(N(VLOOKUP(BC111,Потребители_обозначение,10,FALSE)),0)</f>
        <v>0</v>
      </c>
      <c r="CD111">
        <f>IFERROR(VLOOKUP(BC111,Потребители_обозначение,5,FALSE),0)</f>
        <v>1</v>
      </c>
      <c r="CE111" s="6" cm="1">
        <f t="array" ref="CE111">IF(B111="","",IF(BH111&lt;&gt;"",IFERROR(_xlfn.XLOOKUP(BH111,Щиты[Щит],Щиты[cos φ]),0.95),IF(BP111=1,IFERROR(_xlfn.XLOOKUP(A111,Щиты[Щит],Щиты[cos φ]),0.95),IF(ISNUMBER(AD111),AD111,IFERROR(IF(CD111=2,_xlfn.IFS(BX111=3,VLOOKUP(BS111,Справочная_двигатели,8,FALSE),BX111=1,VLOOKUP(BS111,Справочная_двигатели,10,TRUE)),IF(AND(Методика="нормы 2026",FG111="Сил"),0.8,0.95)),0.95)))))</f>
        <v>0.8</v>
      </c>
      <c r="CF111">
        <f t="shared" si="158"/>
        <v>0</v>
      </c>
      <c r="CG111">
        <f t="shared" si="159"/>
        <v>1</v>
      </c>
      <c r="CH111">
        <f t="shared" si="160"/>
        <v>0</v>
      </c>
      <c r="CI111">
        <f>IF(B111="","",IF(BV111=1,IFERROR(BS111/((Uн_лин/SQRT(3))*MAX(0.5,N(CE111))),0),N(O111)))</f>
        <v>0.56291651245988494</v>
      </c>
      <c r="CJ111">
        <f t="shared" si="161"/>
        <v>0</v>
      </c>
      <c r="CK111">
        <f t="shared" si="162"/>
        <v>0</v>
      </c>
      <c r="CL111">
        <f t="shared" si="163"/>
        <v>0</v>
      </c>
      <c r="CM111">
        <f t="shared" si="164"/>
        <v>0</v>
      </c>
      <c r="CN111">
        <f t="shared" si="165"/>
        <v>0</v>
      </c>
      <c r="CO111">
        <f>IF(BC111="",0,_xlfn.LET(_xlpm.v,IFERROR(_xlfn.XLOOKUP(B111,Коды_код,Коды_мА),IFERROR(_xlfn.XLOOKUP(BC111,Коды_код,Коды_мА),IFERROR(_xlfn.XLOOKUP(LEFT(BC111,2),Коды_код,Коды_мА),""))),IF(_xlpm.v="да",30,IF(ISNUMBER(_xlpm.v),_xlpm.v,0))))</f>
        <v>0</v>
      </c>
      <c r="CP111" t="str">
        <f t="shared" si="166"/>
        <v/>
      </c>
      <c r="CQ111" t="str">
        <f>_xlfn.LET(_xlpm.k,IFERROR(_xlfn.XLOOKUP(BC111,Коды_код,Коды_утечка)&amp;"",""),IF(_xlpm.k="","дифавтомат",_xlpm.k))</f>
        <v>дифавтомат</v>
      </c>
      <c r="CR111" t="str" cm="1">
        <f t="array" ref="CR111">IF(CG111=0,"",_xlfn.LET(_xlpm.sg,TRIM(_xlfn.TEXTSPLIT(DD111&amp;"",";")),_xlpm.f_,_xlfn._xlws.FILTER(_xlpm.sg,LEFT(_xlpm.sg,3)="УЗО",""),IFERROR(INDEX(_xlpm.f_,1)&amp;"","")))</f>
        <v/>
      </c>
      <c r="CS111" t="str">
        <f t="shared" si="167"/>
        <v/>
      </c>
      <c r="CT111" s="6" t="str" cm="1">
        <f t="array" ref="CT111">IF(CR111="","",_xlfn.LET(_xlpm.tk,_xlfn.TEXTSPLIT(UPPER(CR111)," ",,TRUE),_xlpm.a_,_xlfn._xlws.FILTER(_xlpm.tk,ISNUMBER(--LEFT(_xlpm.tk,1))*((ISNUMBER(SEARCH("А",_xlpm.tk))+ISNUMBER(SEARCH("A",_xlpm.tk)))&gt;0)*NOT(ISNUMBER(SEARCH("МА",_xlpm.tk)))*NOT(ISNUMBER(SEARCH("MA",_xlpm.tk))),""),IFERROR(--SUBSTITUTE(SUBSTITUTE(INDEX(_xlpm.a_,1),"А",""),"A",""),"")))</f>
        <v/>
      </c>
      <c r="CU111" t="str" cm="1">
        <f t="array" ref="CU111">IF(CR111="","",_xlfn.LET(_xlpm.tk,_xlfn.TEXTSPLIT(UPPER(CR111)," ",,TRUE),_xlpm.a_,_xlfn._xlws.FILTER(_xlpm.tk,ISNUMBER(--LEFT(_xlpm.tk,1))*((ISNUMBER(SEARCH("МА",_xlpm.tk))+ISNUMBER(SEARCH("MA",_xlpm.tk)))&gt;0),""),IFERROR(--SUBSTITUTE(SUBSTITUTE(INDEX(_xlpm.a_,1),"МА",""),"MA",""),30)))</f>
        <v/>
      </c>
      <c r="CV111" t="str">
        <f>IF(CS111="","",IFERROR(_xlfn.XLOOKUP(CS111,Линии[_n],Линии[_УЗО, мА]),30))</f>
        <v/>
      </c>
      <c r="CW111">
        <f>IF(CS111="",0,IF(ISNUMBER(SEARCH("4P",IFERROR(_xlfn.XLOOKUP(CS111,Линии[_n],Линии[_УЗО строки])&amp;"",""))),0,1))</f>
        <v>0</v>
      </c>
      <c r="CX111" t="str">
        <f>IF(AND(CS111&lt;&gt;"",CS111=BA111),SUMIFS(Линии[_ток на 230 В],Линии[_блок УЗО],BA111,Линии[Щит],A111),"")</f>
        <v/>
      </c>
      <c r="CY111" t="str">
        <f>IF(AND(CS111&lt;&gt;"",CS111=BA111),SUMIFS(Линии[_ток утечки линии, мА],Линии[_блок УЗО],BA111,Линии[Щит],A111),"")</f>
        <v/>
      </c>
      <c r="CZ111">
        <f t="shared" si="168"/>
        <v>0</v>
      </c>
      <c r="DA111">
        <f t="shared" si="169"/>
        <v>0</v>
      </c>
      <c r="DB111">
        <f>IF(B111="",0,IFERROR(--_xlfn.XLOOKUP(B111,Коды_код,Коды_минавт),IFERROR(--_xlfn.XLOOKUP(BC111,Коды_код,Коды_минавт),IFERROR(--_xlfn.XLOOKUP(LEFT(BC111,2),Коды_код,Коды_минавт),0))))</f>
        <v>0</v>
      </c>
      <c r="DC111" t="str">
        <f>IF(B111="","",IFERROR(_xlfn.XLOOKUP(BC111,Коды_код,Коды_апп)&amp;"",""))</f>
        <v/>
      </c>
      <c r="DD111" t="str">
        <f t="shared" si="170"/>
        <v/>
      </c>
      <c r="DE111" t="str" cm="1">
        <f t="array" ref="DE111">IF(TRIM(DD111&amp;"")="","",IFERROR(TRIM(INDEX(_xlfn.TEXTSPLIT(DD111&amp;";;;",";"),1)),""))</f>
        <v/>
      </c>
      <c r="DF111" t="str" cm="1">
        <f t="array" ref="DF111">IF(TRIM(DD111&amp;"")="","",IFERROR(TRIM(INDEX(_xlfn.TEXTSPLIT(DD111&amp;";;;",";"),2)),""))</f>
        <v/>
      </c>
      <c r="DG111" t="str" cm="1">
        <f t="array" ref="DG111">IF(TRIM(DD111&amp;"")="","",IFERROR(TRIM(INDEX(_xlfn.TEXTSPLIT(DD111&amp;";;;",";"),3)),""))</f>
        <v/>
      </c>
      <c r="DH111">
        <f t="shared" si="171"/>
        <v>0</v>
      </c>
      <c r="DI111" t="str">
        <f>IF(B111="","",_xlfn.LET(_xlpm.t,LOWER(AZ111&amp;""),IF(ISNUMBER(SEARCH("dim",_xlpm.t)),"DIM",IF(ISNUMBER(SEARCH("dali",_xlpm.t)),"DALI",IF(OR(ISNUMBER(SEARCH("relay",_xlpm.t)),ISNUMBER(SEARCH("реле",_xlpm.t))),"Relay",IF(ISNUMBER(SEARCH("кнопк",_xlpm.t)),"",IFERROR(_xlfn.XLOOKUP(BC111,Коды_код,Коды_упр)&amp;"","")))))))</f>
        <v/>
      </c>
      <c r="DJ111" t="str">
        <f t="shared" si="172"/>
        <v/>
      </c>
      <c r="DK111">
        <f>IF(B111="","",_xlfn.LET(_xlpm.ig,IF(N(CX111)&gt;0,N(CX111),N(CI111)+IF(AJ111="вручную",0,N(CJ111))),_xlpm.n0,IFERROR(VLOOKUP(_xlpm.ig,Автомат_номиналы,2,TRUE),0),_xlpm.mn,MAX(DB111,IF(AJ111="вручную",0,N(CM111))),MAX(_xlpm.n0,_xlpm.mn,IF(DH111=1,Мин_автомат_БП,0))))</f>
        <v>6</v>
      </c>
      <c r="DL111">
        <f t="shared" si="173"/>
        <v>1</v>
      </c>
      <c r="DM111" t="str">
        <f t="shared" si="174"/>
        <v>1P</v>
      </c>
      <c r="DN111" t="str">
        <f>_xlfn.LET(_xlpm.cc,UPPER(TRIM(IFERROR(_xlfn.XLOOKUP(BC111,Коды_код,Коды_хар)&amp;"",""))),IF(OR(_xlpm.cc="B",_xlpm.cc="В"),"B",IF(_xlpm.cc="D","D","С")))</f>
        <v>С</v>
      </c>
      <c r="DO111" t="str">
        <f t="shared" si="175"/>
        <v>1P С6А</v>
      </c>
      <c r="DP111">
        <f t="shared" si="176"/>
        <v>10</v>
      </c>
      <c r="DQ111" t="str">
        <f t="shared" si="177"/>
        <v>1P С10А</v>
      </c>
      <c r="DR111" cm="1">
        <f t="array" ref="DR111">IF(DQ111="","",_xlfn.LET(_xlpm.t,SUBSTITUTE(SUBSTITUTE(SUBSTITUTE(UPPER(DQ111),"С","C"),"А","A"),"В","B"),_xlpm.tk,_xlfn.TEXTSPLIT(_xlpm.t," "),_xlpm.f,_xlfn._xlws.FILTER(_xlpm.tk,ISNUMBER(--MID(_xlpm.tk,2,1))*ISNUMBER(SEARCH(LEFT(_xlpm.tk,1)&amp;"#","B#C#D#"))*(LEN(_xlpm.tk)&gt;1),""),_xlpm.x,INDEX(_xlpm.f,1),IFERROR(--SUBSTITUTE(MID(_xlpm.x,2,9),"A",""),IFERROR(--SUBSTITUTE(INDEX(_xlfn._xlws.FILTER(_xlpm.tk,ISNUMBER(--SUBSTITUTE(_xlpm.tk,"A","")),""),1),"A",""),""))))</f>
        <v>10</v>
      </c>
      <c r="DS111" t="str">
        <f t="shared" si="178"/>
        <v>ok</v>
      </c>
      <c r="DT111">
        <f t="shared" si="179"/>
        <v>10</v>
      </c>
      <c r="DU111" t="str">
        <f t="shared" si="180"/>
        <v>1P С10А</v>
      </c>
      <c r="DV111">
        <f t="shared" si="181"/>
        <v>0</v>
      </c>
      <c r="DW111">
        <f t="shared" si="182"/>
        <v>0</v>
      </c>
      <c r="DX111">
        <f t="shared" si="183"/>
        <v>0</v>
      </c>
      <c r="DY111">
        <f t="shared" si="184"/>
        <v>0.56291651245988494</v>
      </c>
      <c r="DZ111">
        <f t="shared" si="185"/>
        <v>1</v>
      </c>
      <c r="EA111">
        <f>IF(ISNUMBER(AP111),AP111,К_прокл)</f>
        <v>1</v>
      </c>
      <c r="EB111">
        <f t="shared" si="186"/>
        <v>2</v>
      </c>
      <c r="EC111">
        <f>IFERROR(N(VLOOKUP(BZ111,Кабель_обозначение,3,FALSE)),1)</f>
        <v>1</v>
      </c>
      <c r="ED111">
        <f>IFERROR(N(_xlfn.XLOOKUP(A111,Щиты[Щит],Щиты[ΔU до шин, %])),0)</f>
        <v>0.24000000000000002</v>
      </c>
      <c r="EE111" t="str">
        <f>IFERROR(_xlfn.XLOOKUP(A111,Щиты[Щит],Щиты[Zпетли на шинах, Ом]),"")</f>
        <v/>
      </c>
      <c r="EF111">
        <f>IFERROR(N(_xlfn.XLOOKUP(A111,Щиты[Щит],Щиты[ΔU до шин (подбор), %])),0)</f>
        <v>0.36</v>
      </c>
      <c r="EG111" t="str">
        <f>IFERROR(_xlfn.XLOOKUP(A111,Щиты[Щит],Щиты[Zпетли на шинах (подбор), Ом]),"")</f>
        <v/>
      </c>
      <c r="EH111" t="str">
        <f t="shared" si="187"/>
        <v/>
      </c>
      <c r="EI111">
        <f t="shared" si="188"/>
        <v>10</v>
      </c>
      <c r="EJ111">
        <f t="shared" si="189"/>
        <v>2</v>
      </c>
      <c r="EK111">
        <f t="shared" si="190"/>
        <v>0.6</v>
      </c>
      <c r="EL111" s="6">
        <f>IF(B111="","",IF(BV111=1,dU_LED,IF(IFERROR(_xlfn.XLOOKUP(BC111,Коды_код,Коды_уго),"")="Светильник",3,4)+IF(Методика="нормы 2026",MIN(0.5,MAX(0,N(P111)-100)*0.005),0)))</f>
        <v>4</v>
      </c>
      <c r="EM111" cm="1">
        <f t="array" ref="EM111">IF(OR(B111="",BZ111="",EC111&lt;&gt;1),"",_xlfn.LET(_xlpm.sz,Iдоп_S,_xlpm.t_,CHOOSE(EB111,Iдоп_1ж,Iдоп_2ж,Iдоп_3ж)*DZ111*EA111,_xlpm.dcx,BV111=1,_xlpm.inn,IF(_xlpm.dcx,N(O111),N(DT111)),_xlpm.smin,MAX(1.5,CC111),_xlpm.L_,N(P111)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111)/N(BU111)*100,999),IFERROR(N(EJ111)*(_xlpm.rho*_xlpm.L_/_xlpm.sz*N(CE111)+_xlpm.xx*_xlpm.L_*N(EK111)/1000)*N(O111)/((Uн_лин/SQRT(3))*1000)*100,999)),_xlpm.kz,IF(OR(_xlpm.dcx,DW111=1,NOT(ISNUMBER(EG111)),_xlpm.L_=0,_xlpm.inn=0),1,IFERROR(--(c_min*(Uн_лин*1000/SQRT(3))/(EG111+2*ρкз_Cu*_xlpm.L_/_xlpm.sz)&gt;=HT111*_xlpm.inn),0)),_xlpm.ok,IFERROR((_xlpm.sz&gt;=_xlpm.smin)*(_xlpm.t_&gt;=_xlpm.inn)*IF(_xlpm.L_&gt;0,(_xlpm.du_+IF(_xlpm.dcx,0,EF111)&lt;=EL111+0.00001),1)*_xlpm.kz,0),_xlpm.r_,_xlfn._xlws.FILTER(_xlpm.sz,_xlpm.ok,"не подобрано"),INDEX(_xlpm.r_,1)))</f>
        <v>1.5</v>
      </c>
      <c r="EN111">
        <f t="shared" si="191"/>
        <v>1.5</v>
      </c>
      <c r="EO111" cm="1">
        <f t="array" ref="EO111">IF(OR(B111="",BZ111="",EC111&lt;&gt;1),"",_xlfn.LET(_xlpm.sz,Iдоп_S,_xlpm.t_,CHOOSE(EB111,Iдоп_1ж,Iдоп_2ж,Iдоп_3ж)*DZ111*EA111,_xlpm.ok,IFERROR((_xlpm.sz&gt;=MAX(1.5,CC111))*(_xlpm.t_&gt;=N(DT111)),0),_xlpm.r_,_xlfn._xlws.FILTER(_xlpm.sz,_xlpm.ok,""),INDEX(_xlpm.r_,1)))</f>
        <v>1.5</v>
      </c>
      <c r="EP111" s="6" cm="1">
        <f t="array" ref="EP111">IFERROR(ROUNDUP(N(EJ111)*(_xlfn.XLOOKUP(EO111,INDEX(Кабель_сопротивление,0,1),INDEX(Кабель_сопротивление,0,3))*N(P111)/EO111*N(CE111)+_xlfn.XLOOKUP(EO111,INDEX(Кабель_сопротивление,0,1),INDEX(Кабель_сопротивление,0,2))*N(P111)*N(EK111)/1000)*N(O111)/((Uн_лин/SQRT(3))*1000)*100,2),"")</f>
        <v>0.08</v>
      </c>
      <c r="EQ111">
        <f>IFERROR(2*ρкз_Cu*N(P111)/EO111,"")</f>
        <v>0.42080000000000001</v>
      </c>
      <c r="ER111">
        <f>IFERROR(VLOOKUP(EN111,Кабель_сопротивление,3,FALSE),"")</f>
        <v>2.2499999999999999E-2</v>
      </c>
      <c r="ES111">
        <f>IFERROR(VLOOKUP(EN111,Кабель_сопротивление,2,FALSE),"")</f>
        <v>0.11</v>
      </c>
      <c r="ET111">
        <f t="shared" si="192"/>
        <v>9</v>
      </c>
      <c r="EU111">
        <f t="shared" si="193"/>
        <v>0</v>
      </c>
      <c r="EV111">
        <f t="shared" si="194"/>
        <v>0.16301161534418332</v>
      </c>
      <c r="EW111" s="6">
        <f>IFERROR(ROUNDUP(EV111/IF(BV111=1,BU111,(Uн_лин/SQRT(3))*1000)*100,2),"")</f>
        <v>0.08</v>
      </c>
      <c r="EX111" t="str">
        <f>IFERROR(VLOOKUP(BZ111,Кабель_обозначение,2,FALSE),"")</f>
        <v>ВВГнг(А)-LS</v>
      </c>
      <c r="EY111" t="str">
        <f t="shared" si="195"/>
        <v>ВВГнг(А)-LS (3х1,5)</v>
      </c>
      <c r="EZ111" t="str">
        <f t="shared" si="196"/>
        <v>ВВГнг(А)-LS (3х1,5)
L=12-0,08%</v>
      </c>
      <c r="FA111">
        <f>IFERROR(2*ρкз_Cu*P111/EN111,"")</f>
        <v>0.42080000000000001</v>
      </c>
      <c r="FB111">
        <f t="shared" si="197"/>
        <v>0.14000000000000001</v>
      </c>
      <c r="FC111" s="6" t="str">
        <f>IFERROR(IF(OR(B111="",BV111=1,NOT(ISNUMBER(EN111)),N(P111)=0),"",_xlfn.XLOOKUP(A111,Щиты[Щит],Щиты[Zпетли на шинах, Ом])+FA111),"")</f>
        <v/>
      </c>
      <c r="FD111" s="6" t="str">
        <f>IF(ISNUMBER(FC111),c_min*(Uн_лин*1000/SQRT(3))/FC111,"")</f>
        <v/>
      </c>
      <c r="FE111" s="6" t="str">
        <f>IFERROR(IF(OR(B111="",NOT(ISNUMBER(EN111))),"",1.05*(Uн_лин*1000/SQRT(3))/(_xlfn.XLOOKUP(A111,Щиты[Щит],Щиты[Zmax на шинах, Ом])+FB111)/1000),"")</f>
        <v/>
      </c>
      <c r="FF111" s="6" t="str">
        <f>IF(B111="","",IF(ISNUMBER(AC111),"Сил",IF(IFERROR(_xlfn.XLOOKUP(BC111,Коды_код,Коды_группа)&amp;"","")="","Быт",_xlfn.XLOOKUP(BC111,Коды_код,Коды_группа)&amp;"")))</f>
        <v>Сил</v>
      </c>
      <c r="FG111" s="6" t="str">
        <f t="shared" si="198"/>
        <v>Сил</v>
      </c>
      <c r="FH111" s="6">
        <f>IF(FG111="Щит","щит",IF(FG111="","",IF(FG111="Быт",IFERROR(_xlfn.XLOOKUP(A111,Щиты[Щит],Щиты[Кс быт]),1),IF(FG111="Сил",IF(ISNUMBER(AC111),AC111,IF(Методика="нормы 2026",IFERROR(_xlfn.XLOOKUP(A111,Щиты[Щит],Щиты[Кс силовых (табл. 7.5)]),1),1)),IF(OR(FG111="Пост",FG111="Отоп"),1,IF(FG111="ВНГ",0.7,0))))))</f>
        <v>0.5</v>
      </c>
      <c r="FI111">
        <f>IF(FG111="","",IF(AND(BP111=1,TRIM(AE111&amp;"")=""),IF(COUNTIFS(Линии[Щит],A111,Линии[Секция (1/2/3)],"&gt;=2")&gt;0,MIN(3,MAX(1,IFERROR(--BD111,1))),1),IFERROR(MIN(3,MAX(1,INT(--AE111))),1)))</f>
        <v>1</v>
      </c>
      <c r="FJ111">
        <f t="shared" si="199"/>
        <v>0.104</v>
      </c>
      <c r="FK111">
        <f t="shared" si="200"/>
        <v>0</v>
      </c>
      <c r="FL111">
        <f t="shared" si="201"/>
        <v>5.1999999999999998E-2</v>
      </c>
      <c r="FM111">
        <f t="shared" si="202"/>
        <v>0</v>
      </c>
      <c r="FN111">
        <f t="shared" si="203"/>
        <v>0</v>
      </c>
      <c r="FO111">
        <f t="shared" si="204"/>
        <v>0</v>
      </c>
      <c r="FP111">
        <f t="shared" si="205"/>
        <v>0.104</v>
      </c>
      <c r="FQ111">
        <f t="shared" si="206"/>
        <v>0.104</v>
      </c>
      <c r="FR111">
        <f t="shared" si="207"/>
        <v>8.3199999999999996E-2</v>
      </c>
      <c r="FS111">
        <f>IF(CG111=1,IF(AND(CH111=1,CW111=1),0,IF(AND(CS111&lt;&gt;"",CS111=BA111,CW111=1),SUMIFS(Линии[_Р линии, кВт],Линии[_блок УЗО],BA111,Линии[Щит],A111),N(BS111)+IF(AJ111="вручную",0,N(CK111)))),0)</f>
        <v>0.104</v>
      </c>
      <c r="FT111" t="str">
        <f t="shared" si="208"/>
        <v/>
      </c>
      <c r="FU111" t="str">
        <f>IF(B111="","",IF(CG111=0,IF(BA111=1,"",FW110),IF(AND(CH111=1,CW111=1,CS111&lt;&gt;""),IFERROR(_xlfn.XLOOKUP(CS111,Линии[_n],Линии[_фаза итог]),"L1"),IF(OR(N(DL111)&gt;=3,N(BX111)&gt;=3),"L1,L2,L3",IFERROR(_xlfn.TEXTBEFORE(_xlfn.TEXTAFTER(_xlfn.XLOOKUP(A111,Щиты[Щит],Щиты[_фазы авто]),";"&amp;BA111&amp;":"),";"),"L1")))))</f>
        <v>L2</v>
      </c>
      <c r="FV111" t="str">
        <f t="shared" si="209"/>
        <v>L2</v>
      </c>
      <c r="FW111" t="str">
        <f t="shared" si="210"/>
        <v>L2</v>
      </c>
      <c r="FX111" cm="1">
        <f t="array" ref="FX111">IFERROR(IF(CD111=2,_xlfn.IFS(BX111=3,VLOOKUP(BS111,Справочная_двигатели,3,FALSE),BX111=1,VLOOKUP(BS111,Справочная_двигатели,5,TRUE)),0),0)</f>
        <v>0</v>
      </c>
      <c r="FY111">
        <f>IFERROR(IF(CD111=3,VLOOKUP(BS111,Справочная_ЛЭД,2,TRUE),0),0)</f>
        <v>0</v>
      </c>
      <c r="FZ111" s="6">
        <f t="shared" si="211"/>
        <v>0</v>
      </c>
      <c r="GA111" t="str">
        <f>IF(B111="","",IF(TRIM(AH111&amp;"")&lt;&gt;"",IF(LOWER(TRIM(AH111&amp;""))="да","да","нет"),IF(IFERROR(_xlfn.XLOOKUP(BC111,Коды_код,Коды_пожарная),"")="да","да","нет")))</f>
        <v>нет</v>
      </c>
      <c r="GB111" t="str">
        <f t="shared" si="212"/>
        <v/>
      </c>
      <c r="GC111" t="str">
        <f t="shared" si="213"/>
        <v>основная</v>
      </c>
      <c r="GD111">
        <f>IF(AND(BP111=1,TRIM(AE111&amp;"")=""),IF(COUNTIFS(Линии[Щит],A111,Линии[Секция (1/2/3)],"&gt;=2")&gt;0,MIN(3,MAX(1,IFERROR(--BD111,1))),1),IFERROR(MIN(3,MAX(1,INT(--AE111))),1))</f>
        <v>1</v>
      </c>
      <c r="GE111" t="str" cm="1">
        <f t="array" ref="GE111">IF(B111="","",_xlfn.LET(_xlpm.t,IFERROR(_xlfn.XLOOKUP(1,(Шины[Шина]=GC111)*(((Шины[Щит]=A111)+(Шины[Щит]=""))&gt;0),Шины[Тип]),"")&amp;"",IF(_xlpm.t&lt;&gt;"",_xlpm.t,IF(ISNUMBER(SEARCH("ИБП",GC111)),"ИБП",IF(ISNUMBER(SEARCH("ДГУ",GC111)),"ДГУ","Ввод "&amp;GD111)))))</f>
        <v>Ввод 1</v>
      </c>
      <c r="GF111" t="str">
        <f t="shared" si="214"/>
        <v>Ввод 1</v>
      </c>
      <c r="GG111" t="str">
        <f>IF(BP111=0,"",IF(TRIM(AG111&amp;"")&lt;&gt;"",TRIM(AG111&amp;""),IF(OR(GE111="ИБП",GE111="ДГУ"),"I особая",_xlfn.XLOOKUP(A111,Щиты[Щит],Щиты[Категория шины «Ввод»],"III"))))</f>
        <v/>
      </c>
      <c r="GH111" t="str">
        <f>IF(A111="","",_xlfn.XLOOKUP(A111,Щиты[Щит],Щиты[Путь],""))</f>
        <v>|ГРЩ-ЖД|ЩОВ-01|</v>
      </c>
      <c r="GI111" t="str">
        <f>IF(B111="","",IF(AI111&lt;&gt;"",AI111,IF(IFERROR(_xlfn.XLOOKUP(BC111,Коды_код,Коды_вид)&amp;"","")="","Прочее",_xlfn.XLOOKUP(BC111,Коды_код,Коды_вид)&amp;"")))</f>
        <v>Кондиционирование и увлажнение</v>
      </c>
      <c r="GJ111">
        <f>IF(BM111="","",INT((BM111-1)/Столбцов_на_лист)+1)</f>
        <v>2</v>
      </c>
      <c r="GK111" t="str">
        <f t="shared" si="215"/>
        <v>ВВГнг(А)-LS (3х1,5) L=12-0,08%</v>
      </c>
      <c r="GL111">
        <f t="shared" si="216"/>
        <v>0.104</v>
      </c>
      <c r="GM111">
        <f t="shared" si="217"/>
        <v>0.57000000000000006</v>
      </c>
      <c r="GN111">
        <f t="shared" si="218"/>
        <v>1</v>
      </c>
      <c r="GO111">
        <f t="shared" si="219"/>
        <v>0</v>
      </c>
      <c r="GP111">
        <f t="shared" si="220"/>
        <v>1</v>
      </c>
      <c r="GQ111">
        <f>IF(BM111="","",IF(AND(CG111=1,GP111=1),COUNTIFS(A$3:A111,A111,CG$3:CG111,1,GP$3:GP111,1),IF(OR(OR(BA111=1,A111&lt;&gt;A110),AJ111="вручную",GP111=0),"",IF(BA111=1,"",GR110))))</f>
        <v>9</v>
      </c>
      <c r="GR111">
        <f t="shared" si="221"/>
        <v>9</v>
      </c>
      <c r="GS111">
        <f>IF(B111="","",IFERROR(LOOKUP(INDEX(CHOOSE(EB111,Iдоп_1ж,Iдоп_2ж,Iдоп_3ж),MATCH(EN111,Iдоп_S,0))*DZ111*EA111,{6,10,16,20,25,32,40,50,63,80,100,125,160,200,250,315,400,500,630}),""))</f>
        <v>16</v>
      </c>
      <c r="GT111" t="str">
        <f t="shared" si="222"/>
        <v>QF9</v>
      </c>
      <c r="GU111" t="str">
        <f t="shared" si="223"/>
        <v>QF9</v>
      </c>
      <c r="GV111" t="str">
        <f t="shared" si="224"/>
        <v/>
      </c>
      <c r="GW111">
        <f t="shared" si="225"/>
        <v>0</v>
      </c>
      <c r="GX111" t="str">
        <f>IF(OR(B111="",DJ111=""),"",IFERROR(_xlfn.XLOOKUP(DJ111,Модули_умолч[Управление],Модули_умолч[Модель])&amp;"",""))</f>
        <v/>
      </c>
      <c r="GY111">
        <f>IF(DJ111="",1,IFERROR(MAX(0,N(_xlfn.XLOOKUP(DJ111,Модули_умолч[Управление],Модули_умолч[Каналов на линию]))),1))</f>
        <v>1</v>
      </c>
      <c r="GZ111" t="str">
        <f t="shared" si="226"/>
        <v/>
      </c>
      <c r="HA111" t="str">
        <f t="shared" si="227"/>
        <v/>
      </c>
      <c r="HB111" t="str">
        <f t="shared" si="228"/>
        <v/>
      </c>
      <c r="HC111">
        <f>IF(HB111="",0,IFERROR(N(VLOOKUP(HB111,Модули_спр,3,FALSE)),0))</f>
        <v>0</v>
      </c>
      <c r="HD111" t="str">
        <f t="shared" si="229"/>
        <v/>
      </c>
      <c r="HE111" t="str">
        <f t="shared" si="230"/>
        <v/>
      </c>
      <c r="HF111" t="str">
        <f>IF(OR(HE111="",HE111="-"),"",IFERROR(VLOOKUP(HE111,Модули_спр,2,FALSE),"R"))</f>
        <v/>
      </c>
      <c r="HG111" t="str">
        <f>IF(HF111="","",HF111&amp;"."&amp;COUNTIFS(A$3:A111,A111,HF$3:HF111,HF111))</f>
        <v/>
      </c>
      <c r="HH111" t="str">
        <f t="shared" si="231"/>
        <v/>
      </c>
      <c r="HI111" t="str">
        <f t="shared" si="232"/>
        <v/>
      </c>
      <c r="HJ111" t="str">
        <f t="shared" si="233"/>
        <v/>
      </c>
      <c r="HK111" t="str">
        <f t="shared" si="234"/>
        <v/>
      </c>
      <c r="HL111">
        <f t="shared" si="235"/>
        <v>1</v>
      </c>
      <c r="HM111" t="str">
        <f>IF(HL111=1,"XT"&amp;COUNTIFS(A$3:A111,A111,HL$3:HL111,1),"")</f>
        <v>XT9</v>
      </c>
      <c r="HN111" t="str">
        <f t="shared" si="236"/>
        <v/>
      </c>
      <c r="HO111" t="str">
        <f t="shared" si="237"/>
        <v>QF9</v>
      </c>
      <c r="HP111" t="str">
        <f t="shared" si="238"/>
        <v/>
      </c>
      <c r="HQ111" t="str">
        <f t="shared" si="239"/>
        <v>ok</v>
      </c>
      <c r="HR111" t="str">
        <f>IF(OR(HJ111="",HH111=""),"",IF(HJ111+MAX(0,GY111-1)&gt;IFERROR(VLOOKUP(HI111,Модули_спр,3,FALSE),99),"ЛИШНИЙ КАНАЛ",IF(AND(AL111&lt;&gt;"=",GY111&gt;0,COUNTIFS(Линии[_модуль гр.],HH111,Линии[Канал (итог)],HJ111,Линии[Канал],"&lt;&gt;=",Линии[Щит],A111)&gt;1),"ДУБЛЬ КАНАЛА","")))</f>
        <v/>
      </c>
      <c r="HS111" s="6" t="str">
        <f t="shared" si="240"/>
        <v/>
      </c>
      <c r="HT111">
        <f t="shared" si="241"/>
        <v>10</v>
      </c>
      <c r="HU111" t="str">
        <f t="shared" si="242"/>
        <v/>
      </c>
      <c r="HV111">
        <f t="shared" si="243"/>
        <v>0.34516660498395402</v>
      </c>
      <c r="HW111">
        <f t="shared" si="244"/>
        <v>0</v>
      </c>
      <c r="HX111">
        <f t="shared" si="245"/>
        <v>0</v>
      </c>
      <c r="HY111">
        <f t="shared" si="246"/>
        <v>0</v>
      </c>
      <c r="HZ111">
        <f t="shared" si="247"/>
        <v>0</v>
      </c>
      <c r="IA111">
        <f t="shared" si="248"/>
        <v>0</v>
      </c>
      <c r="IB111">
        <f t="shared" si="249"/>
        <v>0</v>
      </c>
      <c r="IC111" t="str">
        <f t="shared" si="250"/>
        <v/>
      </c>
      <c r="ID111" t="str" cm="1">
        <f t="array" ref="ID111">IF(IC111="","",_xlfn.LET(_xlpm.tk,_xlfn.TEXTSPLIT(SUBSTITUTE(SUBSTITUTE(IC111,";"," "),"→"," ")," ",,TRUE),_xlpm.w_,_xlfn._xlws.FILTER(_xlpm.tk,ISNUMBER(--LEFT(_xlpm.tk,1))*((ISNUMBER(SEARCH("W",_xlpm.tk))+ISNUMBER(SEARCH("Вт",_xlpm.tk)))&gt;0),""),IFERROR(--SUBSTITUTE(SUBSTITUTE(UPPER(INDEX(_xlpm.w_,1)),"W",""),"ВТ",""),"")))</f>
        <v/>
      </c>
      <c r="IE111" t="str" cm="1">
        <f t="array" ref="IE111">IF(IC111="","",_xlfn.LET(_xlpm.tk,_xlfn.TEXTSPLIT(SUBSTITUTE(SUBSTITUTE(IC111,";"," "),"→"," ")," ",,TRUE),_xlpm.v_,_xlfn._xlws.FILTER(_xlpm.tk,ISNUMBER(--LEFT(_xlpm.tk,1))*((ISNUMBER(SEARCH("V",_xlpm.tk))+(RIGHT(UPPER(_xlpm.tk))="В"))&gt;0),""),IFERROR(--SUBSTITUTE(SUBSTITUTE(UPPER(INDEX(_xlpm.v_,1)),"V",""),"В",""),"")))</f>
        <v/>
      </c>
      <c r="IF111" s="6" t="str">
        <f>IF(OR(BV111=0,HI111="",HJ111=""),"",IFERROR(N(_xlfn.XLOOKUP(HI111,Каталог!$C$4:$C$500,Каталог!$Q$4:$Q$500)),""))</f>
        <v/>
      </c>
      <c r="IG111" s="6" t="str">
        <f>IF(N(IF111)=0,"",SUMIFS(Линии[Iр, А],Линии[Щит],A111,Линии[_модуль гр.],HH111,Линии[Канал (итог)],HJ111))</f>
        <v/>
      </c>
      <c r="IH111" t="str">
        <f>IF(AND(B111="",HO111=""),"",_xlfn.TEXTJOIN("; ",TRUE,IF(AND(B111&lt;&gt;"",FV111=""),"нет фазы",""),IF(AND(B111&lt;&gt;"",N(GL111)=0,FG111&lt;&gt;"Нет"),"нет мощности",""),IF(AND(HN111&lt;&gt;"",COUNTIFS(Линии[Щит],A111,Линии[Клемма (итог)],HN111)&gt;1),"дубль клеммы "&amp;HN111,""),IF(AND(HQ111&lt;&gt;"",HQ111&lt;&gt;"ok"),HQ111,""),IF(HR111&lt;&gt;"",HR111,""),IF(AND(N(CB111)&gt;=4,N(BX111)=1),CB111&amp;" жил на 1 фазе",""),IF(AND(BC111="R",CG111=1,IF(CS111&lt;&gt;"",N(CV111)&gt;30,OR(N(DA111)=0,N(DA111)&gt;30))),"розетка без дифзащиты до 30 мА",""),IF(AND(CG111=1,N(DA111)&gt;0,ISNUMBER(T111)),IF(T111&gt;N(DA111)/3,"ток утечки "&amp;FIXED(T111,1)&amp;" мА &gt; 1/3 уставки ("&amp;DA111&amp;" мА)",""),""),IF(AND(CH111=1,CS111=""),"«узо»: нет строки с УЗО выше (УЗО 2P 40А 30мА в «Аппаратах»)",""),IF(AND(CS111&lt;&gt;"",CS111=BA111),IF(CT111="","впишите номинал УЗО (УЗО 2P 40А 30мА)",IF(N(CT111)&lt;N(DT111),"УЗО "&amp;CT111&amp;" А &lt; автомата "&amp;DT111&amp;" А перед ним",IF(N(CT111)&lt;N(CX111),"УЗО "&amp;CT111&amp;" А &lt; тока блока "&amp;FIXED(CX111,1)&amp;" А",""))),""),IF(AND(CS111&lt;&gt;"",CS111=BA111,ISNUMBER(CY111)),IF(CY111&gt;N(CV111)/3,"ток утечки блока УЗО "&amp;FIXED(CY111,1)&amp;" мА &gt; 1/3 уставки ("&amp;CV111&amp;" мА)",""),""),IF(AND(CG111=1,N(BV111)+N(IB111)&gt;0,IC111=""),"линии до 50 В без БП: впишите в «Аппараты» (БП 24V 480W)",""),IF(AND(CG111=1,ISNUMBER(ID111),ISNUMBER(U111)),IF(U111&gt;ID111,"БП "&amp;ID111&amp;" Вт &lt; нужно "&amp;U111&amp;" Вт (×"&amp;Запас_БП&amp;")",""),""),IF(AND(CG111=1,ISNUMBER(IE111),N(BV111)=1),IF(IE111&lt;&gt;N(BU111),"БП на "&amp;IE111&amp;" В, линия "&amp;BU111&amp;" В",""),""),IF(AND(N(IF111)&gt;0,N(IG111)&gt;N(IF111)),HH111&amp;" канал "&amp;HJ111&amp;": "&amp;FIXED(IG111,1)&amp;" А &gt; "&amp;IF111&amp;" А",""),IFERROR(IF(AND(ISNUMBER(Q111),Q111&gt;EL111),"потери "&amp;FIXED(Q111,1)&amp;" % &gt; "&amp;EL111&amp;" %",""),""),IFERROR(IF(LEFT(HU111,4)="мало","Iкз мало — отключение &gt; 0,4 с",""),""),IF(AND(B111&lt;&gt;"",BM111=""),"не на схеме",""),IF(AND(CG111=0,B111&lt;&gt;"",FV111&lt;&gt;"",IF(BA111=1,"",FW110)&lt;&gt;"",FV111&lt;&gt;IF(BA111=1,"",FW110)),"фаза не как у автомата группы ("&amp;IF(BA111=1,"",FW110)&amp;")","")))</f>
        <v/>
      </c>
      <c r="II111" s="6">
        <f>IF(OR(CG111=0,DQ111=""),"",_xlfn.LET(_xlpm.t,IFERROR(_xlfn.XLOOKUP(DQ111,Каталог!$U$4:$U$500,Каталог!$G$4:$G$500),""),_xlpm.k,SEARCH("кА",_xlpm.t),IFERROR(--TRIM(RIGHT(SUBSTITUTE(MID(_xlpm.t,MAX(1,_xlpm.k-4),_xlpm.k-MAX(1,_xlpm.k-4))," ",REPT(" ",9)),5)),"")))</f>
        <v>6</v>
      </c>
      <c r="IJ111" t="str">
        <f>IF(OR(II111="",CG111=0),"",IF(_xlfn.XLOOKUP(A111,Щиты[Щит],Щиты[Iкз max на шинах, кА],"")="","",IF(II111&lt;_xlfn.XLOOKUP(A111,Щиты[Щит],Щиты[Iкз max на шинах, кА]),"Icu "&amp;II111&amp;" кА &lt; Iкз max","ok")))</f>
        <v/>
      </c>
      <c r="IK111" t="str">
        <f t="shared" si="251"/>
        <v/>
      </c>
      <c r="IL111" t="str">
        <f t="shared" si="252"/>
        <v>QF9</v>
      </c>
      <c r="IM111" t="str">
        <f t="shared" si="253"/>
        <v>QF9|кабель ВВГнг(А)-LS (3х1,5) → Внутренний блок кондиционирования цокольный этаж Пом. №001Т</v>
      </c>
      <c r="IN111" t="str" cm="1">
        <f t="array" ref="IN111">IF(IM111="","",_xlfn.LET(_xlpm.nd,_xlfn.TEXTSPLIT(IM111,"|"),IF(COLUMNS(_xlpm.nd)&gt;1,A111&amp;"¦"&amp;INDEX(_xlpm.nd,1)&amp;"¦"&amp;INDEX(_xlpm.nd,2),"")))</f>
        <v>ЩОВ-01¦QF9¦кабель ВВГнг(А)-LS (3х1,5) → Внутренний блок кондиционирования цокольный этаж Пом. №001Т</v>
      </c>
      <c r="IO111" t="str">
        <f t="shared" si="254"/>
        <v>K.0.001T.2¦Внутренний блок кондиционирования цокольный этаж Пом. №001Т</v>
      </c>
      <c r="IP111" t="str" cm="1">
        <f t="array" ref="IP111">IF(IM111="","",_xlfn.LET(_xlpm.nd,_xlfn.TEXTSPLIT(IM111,"|"),IF(COLUMNS(_xlpm.nd)&gt;2,A111&amp;"¦"&amp;INDEX(_xlpm.nd,2)&amp;"¦"&amp;INDEX(_xlpm.nd,3),"")))</f>
        <v/>
      </c>
      <c r="IQ111" t="str">
        <f t="shared" si="255"/>
        <v/>
      </c>
      <c r="IR111" t="str" cm="1">
        <f t="array" ref="IR111">IF(IM111="","",_xlfn.LET(_xlpm.nd,_xlfn.TEXTSPLIT(IM111,"|"),IF(COLUMNS(_xlpm.nd)&gt;3,A111&amp;"¦"&amp;INDEX(_xlpm.nd,3)&amp;"¦"&amp;INDEX(_xlpm.nd,4),"")))</f>
        <v/>
      </c>
      <c r="IS111" t="str">
        <f t="shared" si="256"/>
        <v/>
      </c>
      <c r="IT111" t="str" cm="1">
        <f t="array" ref="IT111">IF(IM111="","",_xlfn.LET(_xlpm.nd,_xlfn.TEXTSPLIT(IM111,"|"),IF(COLUMNS(_xlpm.nd)&gt;4,A111&amp;"¦"&amp;INDEX(_xlpm.nd,4)&amp;"¦"&amp;INDEX(_xlpm.nd,5),"")))</f>
        <v/>
      </c>
      <c r="IU111" t="str">
        <f t="shared" si="257"/>
        <v/>
      </c>
      <c r="IV111" t="str" cm="1">
        <f t="array" ref="IV111">IF(IM111="","",_xlfn.LET(_xlpm.nd,_xlfn.TEXTSPLIT(IM111,"|"),IF(COLUMNS(_xlpm.nd)&gt;5,A111&amp;"¦"&amp;INDEX(_xlpm.nd,5)&amp;"¦"&amp;INDEX(_xlpm.nd,6),"")))</f>
        <v/>
      </c>
      <c r="IW111" t="str">
        <f t="shared" si="258"/>
        <v/>
      </c>
      <c r="IX111" t="str" cm="1">
        <f t="array" ref="IX111">IF(IM111="","",_xlfn.LET(_xlpm.nd,_xlfn.TEXTSPLIT(IM111,"|"),IF(COLUMNS(_xlpm.nd)&gt;6,A111&amp;"¦"&amp;INDEX(_xlpm.nd,6)&amp;"¦"&amp;INDEX(_xlpm.nd,7),"")))</f>
        <v/>
      </c>
      <c r="IY111" t="str">
        <f t="shared" si="259"/>
        <v/>
      </c>
      <c r="IZ111" t="str">
        <f t="shared" si="260"/>
        <v/>
      </c>
      <c r="JA111" t="str">
        <f t="shared" si="261"/>
        <v>QF9</v>
      </c>
      <c r="JB111">
        <f t="shared" si="262"/>
        <v>0</v>
      </c>
      <c r="JC111">
        <f t="shared" si="263"/>
        <v>0</v>
      </c>
      <c r="JD111" t="str">
        <f t="shared" si="264"/>
        <v/>
      </c>
      <c r="JE111" t="str">
        <f t="shared" si="265"/>
        <v/>
      </c>
      <c r="JF111" t="str">
        <f t="shared" si="266"/>
        <v/>
      </c>
      <c r="JG111" t="str">
        <f t="shared" si="267"/>
        <v/>
      </c>
      <c r="JH111">
        <f>IF(B111="","",IFERROR(_xlfn.XLOOKUP(B111,Коды_код,Коды_уго),IFERROR(_xlfn.XLOOKUP(BC111,Коды_код,Коды_уго),IFERROR(_xlfn.XLOOKUP(LEFT(BC111,2),Коды_код,Коды_уго),""))))</f>
        <v>0</v>
      </c>
      <c r="JI111" t="str">
        <f>IF(B111="","",IF(OR(JH111="",JH111=0),"BOX",IFERROR(IF(VLOOKUP(JH111,УГО_блоки,3,FALSE)&amp;""&lt;&gt;"",VLOOKUP(JH111,УГО_блоки,3,FALSE),VLOOKUP(JH111,УГО_блоки,2,FALSE)),JH111)))</f>
        <v>BOX</v>
      </c>
      <c r="JJ111">
        <f t="shared" si="268"/>
        <v>1</v>
      </c>
      <c r="JK111" t="str">
        <f>IF(DQ111="","",IF(COUNTIF(DQ$3:DQ111,DQ111)=1,MAX(JK$2:JK110)+1,""))</f>
        <v/>
      </c>
      <c r="JL111" t="str">
        <f>IF(DE111="","",IF(COUNTIF(DE$3:DE111,DE111)+COUNTIF(DF$2:DF110,DE111)+COUNTIF(DG$2:DG110,DE111)=1,MAX(JL$2:JN110)+1,""))</f>
        <v/>
      </c>
      <c r="JM111" t="str">
        <f>IF(DF111="","",IF(COUNTIF(DE$3:DE111,DF111)+COUNTIF(DF$3:DF111,DF111)+COUNTIF(DG$2:DG110,DF111)=1,MAX(JL$2:JN110,JL111)+1,""))</f>
        <v/>
      </c>
      <c r="JN111" t="str">
        <f>IF(DG111="","",IF(COUNTIF(DE$3:DE111,DG111)+COUNTIF(DF$3:DF111,DG111)+COUNTIF(DG$3:DG111,DG111)=1,MAX(JL$2:JN110,JL111,JM111)+1,""))</f>
        <v/>
      </c>
      <c r="JO111" t="str">
        <f t="shared" si="269"/>
        <v>3х1,5</v>
      </c>
      <c r="JP111" t="str">
        <f>IF(JO111="","",IF(COUNTIF(JO$3:JO111,JO111)=1,MAX(JP$2:JP110)+1,""))</f>
        <v/>
      </c>
      <c r="JQ111" t="str">
        <f>IF(HG111="","",COUNTIF(HG$3:HG111,"?*"))</f>
        <v/>
      </c>
      <c r="JR111" t="str">
        <f>IF(OR(HG111="",HI111=""),"",IF(COUNTIFS(HG$3:HG111,"?*",HI$3:HI111,HI111)=1,MAX(JR$2:JR110)+1,""))</f>
        <v/>
      </c>
      <c r="JS111">
        <f t="shared" si="270"/>
        <v>0</v>
      </c>
      <c r="JT111">
        <f>IF(B111="","",COUNTIF(B$3:B111,"?*"))</f>
        <v>109</v>
      </c>
      <c r="JU111">
        <f>IF(HL111&lt;&gt;1,0,_xlfn.LET(_xlpm.k,MAX(IFERROR(--_xlfn.XLOOKUP(B111,Коды_код,Коды_3L),0),IFERROR(--_xlfn.XLOOKUP(BC111,Коды_код,Коды_3L),0),IFERROR(--_xlfn.XLOOKUP(LEFT(BC111,2),Коды_код,Коды_3L),0)),IF(_xlpm.k&gt;0,_xlpm.k,IF(IFERROR(--LEFT(SUBSTITUTE(JO111,"x","х"),FIND("х",SUBSTITUTE(JO111,"x","х"))-1),3)&gt;3,Каталог!$S$9,1))))</f>
        <v>1</v>
      </c>
      <c r="JV111">
        <f t="shared" si="271"/>
        <v>0</v>
      </c>
      <c r="JW111" t="str">
        <f t="shared" si="272"/>
        <v>авто</v>
      </c>
      <c r="JX111" t="str">
        <f t="shared" si="273"/>
        <v/>
      </c>
      <c r="JY111">
        <f t="shared" si="274"/>
        <v>0</v>
      </c>
      <c r="JZ111">
        <f t="shared" si="275"/>
        <v>1</v>
      </c>
    </row>
    <row r="112" spans="1:286" x14ac:dyDescent="0.3">
      <c r="A112" t="s">
        <v>745</v>
      </c>
      <c r="B112" t="s">
        <v>1423</v>
      </c>
      <c r="C112" t="s">
        <v>1675</v>
      </c>
      <c r="D112">
        <v>1</v>
      </c>
      <c r="E112">
        <v>0.151</v>
      </c>
      <c r="G112">
        <v>10</v>
      </c>
      <c r="H112" t="str">
        <f>Линии[[#This Row],[_авто управление]]</f>
        <v/>
      </c>
      <c r="I112" t="str">
        <f>Линии[[#This Row],[_авто аппараты]]</f>
        <v/>
      </c>
      <c r="J112">
        <v>1.5</v>
      </c>
      <c r="K112">
        <v>25</v>
      </c>
      <c r="L112" t="str">
        <f>Линии[[#This Row],[_авто фаза]]</f>
        <v>L3</v>
      </c>
      <c r="M112" t="s">
        <v>484</v>
      </c>
      <c r="N112" t="str">
        <f t="shared" si="138"/>
        <v/>
      </c>
      <c r="O112" s="6" cm="1">
        <f t="array" ref="O112">IF(B112="","",IF(BH112&lt;&gt;"",IFERROR(_xlfn.XLOOKUP(BH112,Щиты[Щит],Щиты[Iр, А]),""),IF(BP112=1,IF(OR(N(_xlfn.XLOOKUP(A112,Щиты[Щит],Щиты[Вводов],1))&lt;=1,LOWER(TRIM(_xlfn.XLOOKUP(A112,Щиты[Щит],Щиты[АВР],"")&amp;""))="да"),IFERROR(_xlfn.XLOOKUP(A112,Щиты[Щит],Щиты[Iр, А]),""),IFERROR(N(BS112)*_xlfn.XLOOKUP(A112,Щиты[Щит],Щиты[Кс итог])/(SQRT(3)*Uн_лин*_xlfn.XLOOKUP(A112,Щиты[Щит],Щиты[cos φ])),"")),IF(BV112=1,IFERROR(BS112*1000/BU112,""),IFERROR(_xlfn.IFS(BX112=1,BS112/((Uн_лин/SQRT(3))*CE112),BX112=3,BS112/(SQRT(3)*Uн_лин*CE112)),"")))))</f>
        <v>0.81731147482156374</v>
      </c>
      <c r="P112" s="7">
        <f>IF(B112="","",IFERROR(IF(VLOOKUP(BC112,Потребители_обозначение,4,FALSE)=1,VLOOKUP(BC112,Потребители_обозначение,3,FALSE)*(MAX(1,N(D112))*2-1)+EI112+VLOOKUP(BE112,Этаж_обозначение,3,FALSE)+VLOOKUP(BE112,Этаж_обозначение,4,FALSE),VLOOKUP(BC112,Потребители_обозначение,3,FALSE)*(MAX(1,N(D112))*2-1)+EI112),EI112))</f>
        <v>27</v>
      </c>
      <c r="Q112" s="6">
        <f t="shared" si="139"/>
        <v>0.48000000000000004</v>
      </c>
      <c r="R112" t="str">
        <f t="shared" si="140"/>
        <v>ВВГнг(А)-LS (3х1,5)</v>
      </c>
      <c r="S112" t="str">
        <f>IF(BM112="","",IF(BN112="вводной узел","узел ","")&amp;"л."&amp;(INT((BM112-1)/Столбцов_на_лист)+1)&amp;" / "&amp;(MOD(BM112-1,Столбцов_на_лист)+1))</f>
        <v>л.2 / 7</v>
      </c>
      <c r="T112" s="119">
        <f t="shared" si="141"/>
        <v>0.6</v>
      </c>
      <c r="U112" s="7" t="str">
        <f>IF(OR(CG112=0,N(BV112)+N(IB112)=0),"",ROUNDUP(Запас_БП*(N(HY112)+N(HZ112)),0))</f>
        <v/>
      </c>
      <c r="V112" s="119" t="str">
        <f t="shared" si="142"/>
        <v/>
      </c>
      <c r="W112" s="7" t="str">
        <f>IFERROR(IF(OR(B112="",BP112=1,BV112=1,NOT(ISNUMBER(EN112)),N(DT112)=0),"",MAX(0,ROUNDDOWN((c_min*(Uн_лин*1000/SQRT(3))/(HT112*N(DT112))-_xlfn.XLOOKUP(A112,Щиты[Щит],Щиты[Zпетли на шинах, Ом]))*EN112/(2*ρкз_Cu),0))),"")</f>
        <v/>
      </c>
      <c r="Y112" t="str">
        <f>Линии[[#This Row],[_авто утечка]]</f>
        <v/>
      </c>
      <c r="Z112">
        <v>1</v>
      </c>
      <c r="AA112">
        <v>230</v>
      </c>
      <c r="AB112" t="s">
        <v>598</v>
      </c>
      <c r="AC112">
        <v>0.5</v>
      </c>
      <c r="AG112" t="s">
        <v>810</v>
      </c>
      <c r="AI112" t="s">
        <v>576</v>
      </c>
      <c r="AK112" t="str">
        <f>Линии[[#This Row],[_авто модуль]]</f>
        <v/>
      </c>
      <c r="AM112">
        <v>24</v>
      </c>
      <c r="AN112" t="s">
        <v>11</v>
      </c>
      <c r="AO112">
        <v>3</v>
      </c>
      <c r="AQ112">
        <v>17</v>
      </c>
      <c r="AR112">
        <v>10</v>
      </c>
      <c r="AT112">
        <v>1</v>
      </c>
      <c r="BA112" cm="1">
        <f t="array" ref="BA112">ROW()-ROW(Линии[#Headers])</f>
        <v>110</v>
      </c>
      <c r="BC112" s="6" t="str">
        <f t="shared" si="143"/>
        <v>K</v>
      </c>
      <c r="BD112" t="str">
        <f t="shared" si="144"/>
        <v>0.002T.1</v>
      </c>
      <c r="BE112" t="str">
        <f t="shared" si="145"/>
        <v>0</v>
      </c>
      <c r="BF112" t="str">
        <f t="shared" si="146"/>
        <v>002T.1</v>
      </c>
      <c r="BG112" t="str">
        <f t="shared" si="147"/>
        <v>002T</v>
      </c>
      <c r="BH112" t="str">
        <f>IF(X112&lt;&gt;"",X112,IF(AND(B112&lt;&gt;"",B112&lt;&gt;A112,ISNUMBER(_xlfn.XMATCH(B112,Щиты[Щит]))),B112,""))</f>
        <v/>
      </c>
      <c r="BI112" t="str" cm="1">
        <f t="array" ref="BI112">IF(B112="","",IF(BH112&lt;&gt;"","Щит "&amp;BH112,_xlfn.LET(_xlpm.nm,IFERROR(_xlfn.XLOOKUP(BC112,Коды_код,Коды_имя)&amp;"",""),_xlpm.md,IFERROR(N(_xlfn.XLOOKUP(BC112,Коды_код,Коды_режим)),1),_xlpm.ex,IF(Имя_режим="по экспликации",IFERROR(_xlfn.XLOOKUP(BE112&amp;"|"&amp;BG112,Экспликация[Этаж]&amp;"|"&amp;Экспликация[Помещение],Экспликация[Название])&amp;"",""),""),_xlpm.rm,IF(BG112="","",IF(_xlpm.ex&lt;&gt;"",". "&amp;_xlpm.ex&amp;IF(Имя_пом="нет"," ("&amp;BG112&amp;")"," (пом. "&amp;BG112&amp;")"),IF(Имя_пом="нет"," ",", пом. ")&amp;BG112)),IF(_xlpm.nm="","",IF(_xlpm.md=2,_xlpm.nm&amp;" шлейф "&amp;BE112,_xlpm.nm&amp;_xlpm.rm)))))</f>
        <v>Внутренний блок кондиционирования, пом. 002T</v>
      </c>
      <c r="BJ112" t="str">
        <f t="shared" si="148"/>
        <v>Внутренний блок кондиционирования цокольный этаж Пом. №002Т</v>
      </c>
      <c r="BK112">
        <f>IFERROR(_xlfn.XMATCH(A112,Щиты[Щит]),0)</f>
        <v>6</v>
      </c>
      <c r="BL112">
        <f>_xlfn.LET(_xlpm.k,IFERROR(_xlfn.XLOOKUP(A112,Щиты[Щит],Щиты[Мест под вводной узел]),""),IF(_xlpm.k="",Столбцов_на_лист,N(_xlpm.k)))</f>
        <v>12</v>
      </c>
      <c r="BM112">
        <f t="shared" si="149"/>
        <v>24</v>
      </c>
      <c r="BN112" t="str">
        <f t="shared" si="150"/>
        <v>линии</v>
      </c>
      <c r="BO112" s="6">
        <f>IFERROR(N(_xlfn.XLOOKUP(BC112,Коды_код,Коды_квт)),0)</f>
        <v>0</v>
      </c>
      <c r="BP112">
        <f t="shared" si="151"/>
        <v>0</v>
      </c>
      <c r="BQ112" t="str">
        <f>IF(B112="","",IF(BH112&lt;&gt;"",IFERROR(_xlfn.XLOOKUP(BH112,Щиты[Щит],Щиты[Руст, кВт]),0),IF(BP112=1,IF(OR(N(_xlfn.XLOOKUP(A112,Щиты[Щит],Щиты[Вводов],1))&lt;=1,LOWER(TRIM(_xlfn.XLOOKUP(A112,Щиты[Щит],Щиты[АВР],"")&amp;""))="да"),IFERROR(_xlfn.XLOOKUP(A112,Щиты[Щит],Щиты[Руст, кВт]),0),SUMIFS(Линии[_Р для вводов],Линии[Щит],A112,Линии[Источник для режимов],GF112)),IF(BO112&gt;0,ROUND(BO112*MAX(1,N(D112)),3),""))))</f>
        <v/>
      </c>
      <c r="BR112">
        <f t="shared" si="152"/>
        <v>0.151</v>
      </c>
      <c r="BS112" s="6">
        <f>IF(B112="","",IF(BH112&lt;&gt;"",IFERROR(_xlfn.XLOOKUP(BH112,Щиты[Щит],Щиты[Руст, кВт]),0),N(BR112)))</f>
        <v>0.151</v>
      </c>
      <c r="BT112" t="str">
        <f>IF(B112="","",IFERROR(IF(VLOOKUP(BC112,Потребители_обозначение,8,FALSE)=0,"",VLOOKUP(BC112,Потребители_обозначение,8,FALSE)),""))</f>
        <v/>
      </c>
      <c r="BU112">
        <f t="shared" si="153"/>
        <v>230</v>
      </c>
      <c r="BV112">
        <f t="shared" si="154"/>
        <v>0</v>
      </c>
      <c r="BW112">
        <f>IF(B112="","",IF(BH112&lt;&gt;"",3,IFERROR(IF(N(VLOOKUP(BC112,Потребители_обозначение,9,FALSE))=0,1,VLOOKUP(BC112,Потребители_обозначение,9,FALSE)),1)))</f>
        <v>1</v>
      </c>
      <c r="BX112">
        <f t="shared" si="155"/>
        <v>1</v>
      </c>
      <c r="BY112" t="str">
        <f>IF(B112="","",_xlfn.LET(_xlpm.bc,IFERROR(IF(VLOOKUP(BC112,Потребители_обозначение,6,FALSE)=0,"",VLOOKUP(BC112,Потребители_обозначение,6,FALSE)&amp;""),""),IF(AND(GA112="да",OR(_xlpm.bc="",_xlpm.bc="мс")),Марка_пож,IF(AND(_xlpm.bc="",BH112&lt;&gt;""),"мс",_xlpm.bc))))</f>
        <v/>
      </c>
      <c r="BZ112" t="str">
        <f t="shared" si="156"/>
        <v>мс</v>
      </c>
      <c r="CA112">
        <f>IF(B112="","",_xlfn.LET(_xlpm.cc,IFERROR(N(VLOOKUP(BC112,Потребители_обозначение,7,FALSE)),0),IF(_xlpm.cc&gt;0,_xlpm.cc,IF(BZ112="","",IF(BV112=1,2,IF(N(BX112)=3,5,3))))))</f>
        <v>3</v>
      </c>
      <c r="CB112">
        <f t="shared" si="157"/>
        <v>3</v>
      </c>
      <c r="CC112">
        <f>IFERROR(N(VLOOKUP(BC112,Потребители_обозначение,10,FALSE)),0)</f>
        <v>0</v>
      </c>
      <c r="CD112">
        <f>IFERROR(VLOOKUP(BC112,Потребители_обозначение,5,FALSE),0)</f>
        <v>1</v>
      </c>
      <c r="CE112" s="6" cm="1">
        <f t="array" ref="CE112">IF(B112="","",IF(BH112&lt;&gt;"",IFERROR(_xlfn.XLOOKUP(BH112,Щиты[Щит],Щиты[cos φ]),0.95),IF(BP112=1,IFERROR(_xlfn.XLOOKUP(A112,Щиты[Щит],Щиты[cos φ]),0.95),IF(ISNUMBER(AD112),AD112,IFERROR(IF(CD112=2,_xlfn.IFS(BX112=3,VLOOKUP(BS112,Справочная_двигатели,8,FALSE),BX112=1,VLOOKUP(BS112,Справочная_двигатели,10,TRUE)),IF(AND(Методика="нормы 2026",FG112="Сил"),0.8,0.95)),0.95)))))</f>
        <v>0.8</v>
      </c>
      <c r="CF112">
        <f t="shared" si="158"/>
        <v>0</v>
      </c>
      <c r="CG112">
        <f t="shared" si="159"/>
        <v>1</v>
      </c>
      <c r="CH112">
        <f t="shared" si="160"/>
        <v>0</v>
      </c>
      <c r="CI112">
        <f>IF(B112="","",IF(BV112=1,IFERROR(BS112/((Uн_лин/SQRT(3))*MAX(0.5,N(CE112))),0),N(O112)))</f>
        <v>0.81731147482156374</v>
      </c>
      <c r="CJ112">
        <f t="shared" si="161"/>
        <v>0</v>
      </c>
      <c r="CK112">
        <f t="shared" si="162"/>
        <v>0</v>
      </c>
      <c r="CL112">
        <f t="shared" si="163"/>
        <v>0</v>
      </c>
      <c r="CM112">
        <f t="shared" si="164"/>
        <v>0</v>
      </c>
      <c r="CN112">
        <f t="shared" si="165"/>
        <v>0</v>
      </c>
      <c r="CO112">
        <f>IF(BC112="",0,_xlfn.LET(_xlpm.v,IFERROR(_xlfn.XLOOKUP(B112,Коды_код,Коды_мА),IFERROR(_xlfn.XLOOKUP(BC112,Коды_код,Коды_мА),IFERROR(_xlfn.XLOOKUP(LEFT(BC112,2),Коды_код,Коды_мА),""))),IF(_xlpm.v="да",30,IF(ISNUMBER(_xlpm.v),_xlpm.v,0))))</f>
        <v>0</v>
      </c>
      <c r="CP112" t="str">
        <f t="shared" si="166"/>
        <v/>
      </c>
      <c r="CQ112" t="str">
        <f>_xlfn.LET(_xlpm.k,IFERROR(_xlfn.XLOOKUP(BC112,Коды_код,Коды_утечка)&amp;"",""),IF(_xlpm.k="","дифавтомат",_xlpm.k))</f>
        <v>дифавтомат</v>
      </c>
      <c r="CR112" t="str" cm="1">
        <f t="array" ref="CR112">IF(CG112=0,"",_xlfn.LET(_xlpm.sg,TRIM(_xlfn.TEXTSPLIT(DD112&amp;"",";")),_xlpm.f_,_xlfn._xlws.FILTER(_xlpm.sg,LEFT(_xlpm.sg,3)="УЗО",""),IFERROR(INDEX(_xlpm.f_,1)&amp;"","")))</f>
        <v/>
      </c>
      <c r="CS112" t="str">
        <f t="shared" si="167"/>
        <v/>
      </c>
      <c r="CT112" s="6" t="str" cm="1">
        <f t="array" ref="CT112">IF(CR112="","",_xlfn.LET(_xlpm.tk,_xlfn.TEXTSPLIT(UPPER(CR112)," ",,TRUE),_xlpm.a_,_xlfn._xlws.FILTER(_xlpm.tk,ISNUMBER(--LEFT(_xlpm.tk,1))*((ISNUMBER(SEARCH("А",_xlpm.tk))+ISNUMBER(SEARCH("A",_xlpm.tk)))&gt;0)*NOT(ISNUMBER(SEARCH("МА",_xlpm.tk)))*NOT(ISNUMBER(SEARCH("MA",_xlpm.tk))),""),IFERROR(--SUBSTITUTE(SUBSTITUTE(INDEX(_xlpm.a_,1),"А",""),"A",""),"")))</f>
        <v/>
      </c>
      <c r="CU112" t="str" cm="1">
        <f t="array" ref="CU112">IF(CR112="","",_xlfn.LET(_xlpm.tk,_xlfn.TEXTSPLIT(UPPER(CR112)," ",,TRUE),_xlpm.a_,_xlfn._xlws.FILTER(_xlpm.tk,ISNUMBER(--LEFT(_xlpm.tk,1))*((ISNUMBER(SEARCH("МА",_xlpm.tk))+ISNUMBER(SEARCH("MA",_xlpm.tk)))&gt;0),""),IFERROR(--SUBSTITUTE(SUBSTITUTE(INDEX(_xlpm.a_,1),"МА",""),"MA",""),30)))</f>
        <v/>
      </c>
      <c r="CV112" t="str">
        <f>IF(CS112="","",IFERROR(_xlfn.XLOOKUP(CS112,Линии[_n],Линии[_УЗО, мА]),30))</f>
        <v/>
      </c>
      <c r="CW112">
        <f>IF(CS112="",0,IF(ISNUMBER(SEARCH("4P",IFERROR(_xlfn.XLOOKUP(CS112,Линии[_n],Линии[_УЗО строки])&amp;"",""))),0,1))</f>
        <v>0</v>
      </c>
      <c r="CX112" t="str">
        <f>IF(AND(CS112&lt;&gt;"",CS112=BA112),SUMIFS(Линии[_ток на 230 В],Линии[_блок УЗО],BA112,Линии[Щит],A112),"")</f>
        <v/>
      </c>
      <c r="CY112" t="str">
        <f>IF(AND(CS112&lt;&gt;"",CS112=BA112),SUMIFS(Линии[_ток утечки линии, мА],Линии[_блок УЗО],BA112,Линии[Щит],A112),"")</f>
        <v/>
      </c>
      <c r="CZ112">
        <f t="shared" si="168"/>
        <v>0</v>
      </c>
      <c r="DA112">
        <f t="shared" si="169"/>
        <v>0</v>
      </c>
      <c r="DB112">
        <f>IF(B112="",0,IFERROR(--_xlfn.XLOOKUP(B112,Коды_код,Коды_минавт),IFERROR(--_xlfn.XLOOKUP(BC112,Коды_код,Коды_минавт),IFERROR(--_xlfn.XLOOKUP(LEFT(BC112,2),Коды_код,Коды_минавт),0))))</f>
        <v>0</v>
      </c>
      <c r="DC112" t="str">
        <f>IF(B112="","",IFERROR(_xlfn.XLOOKUP(BC112,Коды_код,Коды_апп)&amp;"",""))</f>
        <v/>
      </c>
      <c r="DD112" t="str">
        <f t="shared" si="170"/>
        <v/>
      </c>
      <c r="DE112" t="str" cm="1">
        <f t="array" ref="DE112">IF(TRIM(DD112&amp;"")="","",IFERROR(TRIM(INDEX(_xlfn.TEXTSPLIT(DD112&amp;";;;",";"),1)),""))</f>
        <v/>
      </c>
      <c r="DF112" t="str" cm="1">
        <f t="array" ref="DF112">IF(TRIM(DD112&amp;"")="","",IFERROR(TRIM(INDEX(_xlfn.TEXTSPLIT(DD112&amp;";;;",";"),2)),""))</f>
        <v/>
      </c>
      <c r="DG112" t="str" cm="1">
        <f t="array" ref="DG112">IF(TRIM(DD112&amp;"")="","",IFERROR(TRIM(INDEX(_xlfn.TEXTSPLIT(DD112&amp;";;;",";"),3)),""))</f>
        <v/>
      </c>
      <c r="DH112">
        <f t="shared" si="171"/>
        <v>0</v>
      </c>
      <c r="DI112" t="str">
        <f>IF(B112="","",_xlfn.LET(_xlpm.t,LOWER(AZ112&amp;""),IF(ISNUMBER(SEARCH("dim",_xlpm.t)),"DIM",IF(ISNUMBER(SEARCH("dali",_xlpm.t)),"DALI",IF(OR(ISNUMBER(SEARCH("relay",_xlpm.t)),ISNUMBER(SEARCH("реле",_xlpm.t))),"Relay",IF(ISNUMBER(SEARCH("кнопк",_xlpm.t)),"",IFERROR(_xlfn.XLOOKUP(BC112,Коды_код,Коды_упр)&amp;"","")))))))</f>
        <v/>
      </c>
      <c r="DJ112" t="str">
        <f t="shared" si="172"/>
        <v/>
      </c>
      <c r="DK112">
        <f>IF(B112="","",_xlfn.LET(_xlpm.ig,IF(N(CX112)&gt;0,N(CX112),N(CI112)+IF(AJ112="вручную",0,N(CJ112))),_xlpm.n0,IFERROR(VLOOKUP(_xlpm.ig,Автомат_номиналы,2,TRUE),0),_xlpm.mn,MAX(DB112,IF(AJ112="вручную",0,N(CM112))),MAX(_xlpm.n0,_xlpm.mn,IF(DH112=1,Мин_автомат_БП,0))))</f>
        <v>6</v>
      </c>
      <c r="DL112">
        <f t="shared" si="173"/>
        <v>1</v>
      </c>
      <c r="DM112" t="str">
        <f t="shared" si="174"/>
        <v>1P</v>
      </c>
      <c r="DN112" t="str">
        <f>_xlfn.LET(_xlpm.cc,UPPER(TRIM(IFERROR(_xlfn.XLOOKUP(BC112,Коды_код,Коды_хар)&amp;"",""))),IF(OR(_xlpm.cc="B",_xlpm.cc="В"),"B",IF(_xlpm.cc="D","D","С")))</f>
        <v>С</v>
      </c>
      <c r="DO112" t="str">
        <f t="shared" si="175"/>
        <v>1P С6А</v>
      </c>
      <c r="DP112">
        <f t="shared" si="176"/>
        <v>10</v>
      </c>
      <c r="DQ112" t="str">
        <f t="shared" si="177"/>
        <v>1P С10А</v>
      </c>
      <c r="DR112" cm="1">
        <f t="array" ref="DR112">IF(DQ112="","",_xlfn.LET(_xlpm.t,SUBSTITUTE(SUBSTITUTE(SUBSTITUTE(UPPER(DQ112),"С","C"),"А","A"),"В","B"),_xlpm.tk,_xlfn.TEXTSPLIT(_xlpm.t," "),_xlpm.f,_xlfn._xlws.FILTER(_xlpm.tk,ISNUMBER(--MID(_xlpm.tk,2,1))*ISNUMBER(SEARCH(LEFT(_xlpm.tk,1)&amp;"#","B#C#D#"))*(LEN(_xlpm.tk)&gt;1),""),_xlpm.x,INDEX(_xlpm.f,1),IFERROR(--SUBSTITUTE(MID(_xlpm.x,2,9),"A",""),IFERROR(--SUBSTITUTE(INDEX(_xlfn._xlws.FILTER(_xlpm.tk,ISNUMBER(--SUBSTITUTE(_xlpm.tk,"A","")),""),1),"A",""),""))))</f>
        <v>10</v>
      </c>
      <c r="DS112" t="str">
        <f t="shared" si="178"/>
        <v>ok</v>
      </c>
      <c r="DT112">
        <f t="shared" si="179"/>
        <v>10</v>
      </c>
      <c r="DU112" t="str">
        <f t="shared" si="180"/>
        <v>1P С10А</v>
      </c>
      <c r="DV112">
        <f t="shared" si="181"/>
        <v>0</v>
      </c>
      <c r="DW112">
        <f t="shared" si="182"/>
        <v>0</v>
      </c>
      <c r="DX112">
        <f t="shared" si="183"/>
        <v>0</v>
      </c>
      <c r="DY112">
        <f t="shared" si="184"/>
        <v>0.81731147482156374</v>
      </c>
      <c r="DZ112">
        <f t="shared" si="185"/>
        <v>1</v>
      </c>
      <c r="EA112">
        <f>IF(ISNUMBER(AP112),AP112,К_прокл)</f>
        <v>1</v>
      </c>
      <c r="EB112">
        <f t="shared" si="186"/>
        <v>2</v>
      </c>
      <c r="EC112">
        <f>IFERROR(N(VLOOKUP(BZ112,Кабель_обозначение,3,FALSE)),1)</f>
        <v>1</v>
      </c>
      <c r="ED112">
        <f>IFERROR(N(_xlfn.XLOOKUP(A112,Щиты[Щит],Щиты[ΔU до шин, %])),0)</f>
        <v>0.24000000000000002</v>
      </c>
      <c r="EE112" t="str">
        <f>IFERROR(_xlfn.XLOOKUP(A112,Щиты[Щит],Щиты[Zпетли на шинах, Ом]),"")</f>
        <v/>
      </c>
      <c r="EF112">
        <f>IFERROR(N(_xlfn.XLOOKUP(A112,Щиты[Щит],Щиты[ΔU до шин (подбор), %])),0)</f>
        <v>0.36</v>
      </c>
      <c r="EG112" t="str">
        <f>IFERROR(_xlfn.XLOOKUP(A112,Щиты[Щит],Щиты[Zпетли на шинах (подбор), Ом]),"")</f>
        <v/>
      </c>
      <c r="EH112" t="str">
        <f t="shared" si="187"/>
        <v/>
      </c>
      <c r="EI112">
        <f t="shared" si="188"/>
        <v>25</v>
      </c>
      <c r="EJ112">
        <f t="shared" si="189"/>
        <v>2</v>
      </c>
      <c r="EK112">
        <f t="shared" si="190"/>
        <v>0.6</v>
      </c>
      <c r="EL112" s="6">
        <f>IF(B112="","",IF(BV112=1,dU_LED,IF(IFERROR(_xlfn.XLOOKUP(BC112,Коды_код,Коды_уго),"")="Светильник",3,4)+IF(Методика="нормы 2026",MIN(0.5,MAX(0,N(P112)-100)*0.005),0)))</f>
        <v>4</v>
      </c>
      <c r="EM112" cm="1">
        <f t="array" ref="EM112">IF(OR(B112="",BZ112="",EC112&lt;&gt;1),"",_xlfn.LET(_xlpm.sz,Iдоп_S,_xlpm.t_,CHOOSE(EB112,Iдоп_1ж,Iдоп_2ж,Iдоп_3ж)*DZ112*EA112,_xlpm.dcx,BV112=1,_xlpm.inn,IF(_xlpm.dcx,N(O112),N(DT112)),_xlpm.smin,MAX(1.5,CC112),_xlpm.L_,N(P112)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112)/N(BU112)*100,999),IFERROR(N(EJ112)*(_xlpm.rho*_xlpm.L_/_xlpm.sz*N(CE112)+_xlpm.xx*_xlpm.L_*N(EK112)/1000)*N(O112)/((Uн_лин/SQRT(3))*1000)*100,999)),_xlpm.kz,IF(OR(_xlpm.dcx,DW112=1,NOT(ISNUMBER(EG112)),_xlpm.L_=0,_xlpm.inn=0),1,IFERROR(--(c_min*(Uн_лин*1000/SQRT(3))/(EG112+2*ρкз_Cu*_xlpm.L_/_xlpm.sz)&gt;=HT112*_xlpm.inn),0)),_xlpm.ok,IFERROR((_xlpm.sz&gt;=_xlpm.smin)*(_xlpm.t_&gt;=_xlpm.inn)*IF(_xlpm.L_&gt;0,(_xlpm.du_+IF(_xlpm.dcx,0,EF112)&lt;=EL112+0.00001),1)*_xlpm.kz,0),_xlpm.r_,_xlfn._xlws.FILTER(_xlpm.sz,_xlpm.ok,"не подобрано"),INDEX(_xlpm.r_,1)))</f>
        <v>1.5</v>
      </c>
      <c r="EN112">
        <f t="shared" si="191"/>
        <v>1.5</v>
      </c>
      <c r="EO112" cm="1">
        <f t="array" ref="EO112">IF(OR(B112="",BZ112="",EC112&lt;&gt;1),"",_xlfn.LET(_xlpm.sz,Iдоп_S,_xlpm.t_,CHOOSE(EB112,Iдоп_1ж,Iдоп_2ж,Iдоп_3ж)*DZ112*EA112,_xlpm.ok,IFERROR((_xlpm.sz&gt;=MAX(1.5,CC112))*(_xlpm.t_&gt;=N(DT112)),0),_xlpm.r_,_xlfn._xlws.FILTER(_xlpm.sz,_xlpm.ok,""),INDEX(_xlpm.r_,1)))</f>
        <v>1.5</v>
      </c>
      <c r="EP112" s="6" cm="1">
        <f t="array" ref="EP112">IFERROR(ROUNDUP(N(EJ112)*(_xlfn.XLOOKUP(EO112,INDEX(Кабель_сопротивление,0,1),INDEX(Кабель_сопротивление,0,3))*N(P112)/EO112*N(CE112)+_xlfn.XLOOKUP(EO112,INDEX(Кабель_сопротивление,0,1),INDEX(Кабель_сопротивление,0,2))*N(P112)*N(EK112)/1000)*N(O112)/((Uн_лин/SQRT(3))*1000)*100,2),"")</f>
        <v>0.24000000000000002</v>
      </c>
      <c r="EQ112">
        <f>IFERROR(2*ρкз_Cu*N(P112)/EO112,"")</f>
        <v>0.94680000000000009</v>
      </c>
      <c r="ER112">
        <f>IFERROR(VLOOKUP(EN112,Кабель_сопротивление,3,FALSE),"")</f>
        <v>2.2499999999999999E-2</v>
      </c>
      <c r="ES112">
        <f>IFERROR(VLOOKUP(EN112,Кабель_сопротивление,2,FALSE),"")</f>
        <v>0.11</v>
      </c>
      <c r="ET112">
        <f t="shared" si="192"/>
        <v>10</v>
      </c>
      <c r="EU112">
        <f t="shared" si="193"/>
        <v>0</v>
      </c>
      <c r="EV112">
        <f t="shared" si="194"/>
        <v>0.53253073378063742</v>
      </c>
      <c r="EW112" s="6">
        <f>IFERROR(ROUNDUP(EV112/IF(BV112=1,BU112,(Uн_лин/SQRT(3))*1000)*100,2),"")</f>
        <v>0.24000000000000002</v>
      </c>
      <c r="EX112" t="str">
        <f>IFERROR(VLOOKUP(BZ112,Кабель_обозначение,2,FALSE),"")</f>
        <v>ВВГнг(А)-LS</v>
      </c>
      <c r="EY112" t="str">
        <f t="shared" si="195"/>
        <v>ВВГнг(А)-LS (3х1,5)</v>
      </c>
      <c r="EZ112" t="str">
        <f t="shared" si="196"/>
        <v>ВВГнг(А)-LS (3х1,5)
L=27-0,24%</v>
      </c>
      <c r="FA112">
        <f>IFERROR(2*ρкз_Cu*P112/EN112,"")</f>
        <v>0.94680000000000009</v>
      </c>
      <c r="FB112">
        <f t="shared" si="197"/>
        <v>0.315</v>
      </c>
      <c r="FC112" s="6" t="str">
        <f>IFERROR(IF(OR(B112="",BV112=1,NOT(ISNUMBER(EN112)),N(P112)=0),"",_xlfn.XLOOKUP(A112,Щиты[Щит],Щиты[Zпетли на шинах, Ом])+FA112),"")</f>
        <v/>
      </c>
      <c r="FD112" s="6" t="str">
        <f>IF(ISNUMBER(FC112),c_min*(Uн_лин*1000/SQRT(3))/FC112,"")</f>
        <v/>
      </c>
      <c r="FE112" s="6" t="str">
        <f>IFERROR(IF(OR(B112="",NOT(ISNUMBER(EN112))),"",1.05*(Uн_лин*1000/SQRT(3))/(_xlfn.XLOOKUP(A112,Щиты[Щит],Щиты[Zmax на шинах, Ом])+FB112)/1000),"")</f>
        <v/>
      </c>
      <c r="FF112" s="6" t="str">
        <f>IF(B112="","",IF(ISNUMBER(AC112),"Сил",IF(IFERROR(_xlfn.XLOOKUP(BC112,Коды_код,Коды_группа)&amp;"","")="","Быт",_xlfn.XLOOKUP(BC112,Коды_код,Коды_группа)&amp;"")))</f>
        <v>Сил</v>
      </c>
      <c r="FG112" s="6" t="str">
        <f t="shared" si="198"/>
        <v>Сил</v>
      </c>
      <c r="FH112" s="6">
        <f>IF(FG112="Щит","щит",IF(FG112="","",IF(FG112="Быт",IFERROR(_xlfn.XLOOKUP(A112,Щиты[Щит],Щиты[Кс быт]),1),IF(FG112="Сил",IF(ISNUMBER(AC112),AC112,IF(Методика="нормы 2026",IFERROR(_xlfn.XLOOKUP(A112,Щиты[Щит],Щиты[Кс силовых (табл. 7.5)]),1),1)),IF(OR(FG112="Пост",FG112="Отоп"),1,IF(FG112="ВНГ",0.7,0))))))</f>
        <v>0.5</v>
      </c>
      <c r="FI112">
        <f>IF(FG112="","",IF(AND(BP112=1,TRIM(AE112&amp;"")=""),IF(COUNTIFS(Линии[Щит],A112,Линии[Секция (1/2/3)],"&gt;=2")&gt;0,MIN(3,MAX(1,IFERROR(--BD112,1))),1),IFERROR(MIN(3,MAX(1,INT(--AE112))),1)))</f>
        <v>1</v>
      </c>
      <c r="FJ112">
        <f t="shared" si="199"/>
        <v>0.151</v>
      </c>
      <c r="FK112">
        <f t="shared" si="200"/>
        <v>0</v>
      </c>
      <c r="FL112">
        <f t="shared" si="201"/>
        <v>7.5499999999999998E-2</v>
      </c>
      <c r="FM112">
        <f t="shared" si="202"/>
        <v>0</v>
      </c>
      <c r="FN112">
        <f t="shared" si="203"/>
        <v>0</v>
      </c>
      <c r="FO112">
        <f t="shared" si="204"/>
        <v>0</v>
      </c>
      <c r="FP112">
        <f t="shared" si="205"/>
        <v>0.151</v>
      </c>
      <c r="FQ112">
        <f t="shared" si="206"/>
        <v>0.151</v>
      </c>
      <c r="FR112">
        <f t="shared" si="207"/>
        <v>0.1208</v>
      </c>
      <c r="FS112">
        <f>IF(CG112=1,IF(AND(CH112=1,CW112=1),0,IF(AND(CS112&lt;&gt;"",CS112=BA112,CW112=1),SUMIFS(Линии[_Р линии, кВт],Линии[_блок УЗО],BA112,Линии[Щит],A112),N(BS112)+IF(AJ112="вручную",0,N(CK112)))),0)</f>
        <v>0.151</v>
      </c>
      <c r="FT112" t="str">
        <f t="shared" si="208"/>
        <v/>
      </c>
      <c r="FU112" t="str">
        <f>IF(B112="","",IF(CG112=0,IF(BA112=1,"",FW111),IF(AND(CH112=1,CW112=1,CS112&lt;&gt;""),IFERROR(_xlfn.XLOOKUP(CS112,Линии[_n],Линии[_фаза итог]),"L1"),IF(OR(N(DL112)&gt;=3,N(BX112)&gt;=3),"L1,L2,L3",IFERROR(_xlfn.TEXTBEFORE(_xlfn.TEXTAFTER(_xlfn.XLOOKUP(A112,Щиты[Щит],Щиты[_фазы авто]),";"&amp;BA112&amp;":"),";"),"L1")))))</f>
        <v>L3</v>
      </c>
      <c r="FV112" t="str">
        <f t="shared" si="209"/>
        <v>L3</v>
      </c>
      <c r="FW112" t="str">
        <f t="shared" si="210"/>
        <v>L3</v>
      </c>
      <c r="FX112" cm="1">
        <f t="array" ref="FX112">IFERROR(IF(CD112=2,_xlfn.IFS(BX112=3,VLOOKUP(BS112,Справочная_двигатели,3,FALSE),BX112=1,VLOOKUP(BS112,Справочная_двигатели,5,TRUE)),0),0)</f>
        <v>0</v>
      </c>
      <c r="FY112">
        <f>IFERROR(IF(CD112=3,VLOOKUP(BS112,Справочная_ЛЭД,2,TRUE),0),0)</f>
        <v>0</v>
      </c>
      <c r="FZ112" s="6">
        <f t="shared" si="211"/>
        <v>0</v>
      </c>
      <c r="GA112" t="str">
        <f>IF(B112="","",IF(TRIM(AH112&amp;"")&lt;&gt;"",IF(LOWER(TRIM(AH112&amp;""))="да","да","нет"),IF(IFERROR(_xlfn.XLOOKUP(BC112,Коды_код,Коды_пожарная),"")="да","да","нет")))</f>
        <v>нет</v>
      </c>
      <c r="GB112" t="str">
        <f t="shared" si="212"/>
        <v/>
      </c>
      <c r="GC112" t="str">
        <f t="shared" si="213"/>
        <v>основная</v>
      </c>
      <c r="GD112">
        <f>IF(AND(BP112=1,TRIM(AE112&amp;"")=""),IF(COUNTIFS(Линии[Щит],A112,Линии[Секция (1/2/3)],"&gt;=2")&gt;0,MIN(3,MAX(1,IFERROR(--BD112,1))),1),IFERROR(MIN(3,MAX(1,INT(--AE112))),1))</f>
        <v>1</v>
      </c>
      <c r="GE112" t="str" cm="1">
        <f t="array" ref="GE112">IF(B112="","",_xlfn.LET(_xlpm.t,IFERROR(_xlfn.XLOOKUP(1,(Шины[Шина]=GC112)*(((Шины[Щит]=A112)+(Шины[Щит]=""))&gt;0),Шины[Тип]),"")&amp;"",IF(_xlpm.t&lt;&gt;"",_xlpm.t,IF(ISNUMBER(SEARCH("ИБП",GC112)),"ИБП",IF(ISNUMBER(SEARCH("ДГУ",GC112)),"ДГУ","Ввод "&amp;GD112)))))</f>
        <v>Ввод 1</v>
      </c>
      <c r="GF112" t="str">
        <f t="shared" si="214"/>
        <v>Ввод 1</v>
      </c>
      <c r="GG112" t="str">
        <f>IF(BP112=0,"",IF(TRIM(AG112&amp;"")&lt;&gt;"",TRIM(AG112&amp;""),IF(OR(GE112="ИБП",GE112="ДГУ"),"I особая",_xlfn.XLOOKUP(A112,Щиты[Щит],Щиты[Категория шины «Ввод»],"III"))))</f>
        <v/>
      </c>
      <c r="GH112" t="str">
        <f>IF(A112="","",_xlfn.XLOOKUP(A112,Щиты[Щит],Щиты[Путь],""))</f>
        <v>|ГРЩ-ЖД|ЩОВ-01|</v>
      </c>
      <c r="GI112" t="str">
        <f>IF(B112="","",IF(AI112&lt;&gt;"",AI112,IF(IFERROR(_xlfn.XLOOKUP(BC112,Коды_код,Коды_вид)&amp;"","")="","Прочее",_xlfn.XLOOKUP(BC112,Коды_код,Коды_вид)&amp;"")))</f>
        <v>Кондиционирование и увлажнение</v>
      </c>
      <c r="GJ112">
        <f>IF(BM112="","",INT((BM112-1)/Столбцов_на_лист)+1)</f>
        <v>2</v>
      </c>
      <c r="GK112" t="str">
        <f t="shared" si="215"/>
        <v>ВВГнг(А)-LS (3х1,5) L=27-0,24%</v>
      </c>
      <c r="GL112">
        <f t="shared" si="216"/>
        <v>0.151</v>
      </c>
      <c r="GM112">
        <f t="shared" si="217"/>
        <v>0.82000000000000006</v>
      </c>
      <c r="GN112">
        <f t="shared" si="218"/>
        <v>1</v>
      </c>
      <c r="GO112">
        <f t="shared" si="219"/>
        <v>0</v>
      </c>
      <c r="GP112">
        <f t="shared" si="220"/>
        <v>1</v>
      </c>
      <c r="GQ112">
        <f>IF(BM112="","",IF(AND(CG112=1,GP112=1),COUNTIFS(A$3:A112,A112,CG$3:CG112,1,GP$3:GP112,1),IF(OR(OR(BA112=1,A112&lt;&gt;A111),AJ112="вручную",GP112=0),"",IF(BA112=1,"",GR111))))</f>
        <v>10</v>
      </c>
      <c r="GR112">
        <f t="shared" si="221"/>
        <v>10</v>
      </c>
      <c r="GS112">
        <f>IF(B112="","",IFERROR(LOOKUP(INDEX(CHOOSE(EB112,Iдоп_1ж,Iдоп_2ж,Iдоп_3ж),MATCH(EN112,Iдоп_S,0))*DZ112*EA112,{6,10,16,20,25,32,40,50,63,80,100,125,160,200,250,315,400,500,630}),""))</f>
        <v>16</v>
      </c>
      <c r="GT112" t="str">
        <f t="shared" si="222"/>
        <v>QF10</v>
      </c>
      <c r="GU112" t="str">
        <f t="shared" si="223"/>
        <v>QF10</v>
      </c>
      <c r="GV112" t="str">
        <f t="shared" si="224"/>
        <v/>
      </c>
      <c r="GW112">
        <f t="shared" si="225"/>
        <v>0</v>
      </c>
      <c r="GX112" t="str">
        <f>IF(OR(B112="",DJ112=""),"",IFERROR(_xlfn.XLOOKUP(DJ112,Модули_умолч[Управление],Модули_умолч[Модель])&amp;"",""))</f>
        <v/>
      </c>
      <c r="GY112">
        <f>IF(DJ112="",1,IFERROR(MAX(0,N(_xlfn.XLOOKUP(DJ112,Модули_умолч[Управление],Модули_умолч[Каналов на линию]))),1))</f>
        <v>1</v>
      </c>
      <c r="GZ112" t="str">
        <f t="shared" si="226"/>
        <v/>
      </c>
      <c r="HA112" t="str">
        <f t="shared" si="227"/>
        <v/>
      </c>
      <c r="HB112" t="str">
        <f t="shared" si="228"/>
        <v/>
      </c>
      <c r="HC112">
        <f>IF(HB112="",0,IFERROR(N(VLOOKUP(HB112,Модули_спр,3,FALSE)),0))</f>
        <v>0</v>
      </c>
      <c r="HD112" t="str">
        <f t="shared" si="229"/>
        <v/>
      </c>
      <c r="HE112" t="str">
        <f t="shared" si="230"/>
        <v/>
      </c>
      <c r="HF112" t="str">
        <f>IF(OR(HE112="",HE112="-"),"",IFERROR(VLOOKUP(HE112,Модули_спр,2,FALSE),"R"))</f>
        <v/>
      </c>
      <c r="HG112" t="str">
        <f>IF(HF112="","",HF112&amp;"."&amp;COUNTIFS(A$3:A112,A112,HF$3:HF112,HF112))</f>
        <v/>
      </c>
      <c r="HH112" t="str">
        <f t="shared" si="231"/>
        <v/>
      </c>
      <c r="HI112" t="str">
        <f t="shared" si="232"/>
        <v/>
      </c>
      <c r="HJ112" t="str">
        <f t="shared" si="233"/>
        <v/>
      </c>
      <c r="HK112" t="str">
        <f t="shared" si="234"/>
        <v/>
      </c>
      <c r="HL112">
        <f t="shared" si="235"/>
        <v>1</v>
      </c>
      <c r="HM112" t="str">
        <f>IF(HL112=1,"XT"&amp;COUNTIFS(A$3:A112,A112,HL$3:HL112,1),"")</f>
        <v>XT10</v>
      </c>
      <c r="HN112" t="str">
        <f t="shared" si="236"/>
        <v/>
      </c>
      <c r="HO112" t="str">
        <f t="shared" si="237"/>
        <v>QF10</v>
      </c>
      <c r="HP112" t="str">
        <f t="shared" si="238"/>
        <v/>
      </c>
      <c r="HQ112" t="str">
        <f t="shared" si="239"/>
        <v>ok</v>
      </c>
      <c r="HR112" t="str">
        <f>IF(OR(HJ112="",HH112=""),"",IF(HJ112+MAX(0,GY112-1)&gt;IFERROR(VLOOKUP(HI112,Модули_спр,3,FALSE),99),"ЛИШНИЙ КАНАЛ",IF(AND(AL112&lt;&gt;"=",GY112&gt;0,COUNTIFS(Линии[_модуль гр.],HH112,Линии[Канал (итог)],HJ112,Линии[Канал],"&lt;&gt;=",Линии[Щит],A112)&gt;1),"ДУБЛЬ КАНАЛА","")))</f>
        <v/>
      </c>
      <c r="HS112" s="6" t="str">
        <f t="shared" si="240"/>
        <v/>
      </c>
      <c r="HT112">
        <f t="shared" si="241"/>
        <v>10</v>
      </c>
      <c r="HU112" t="str">
        <f t="shared" si="242"/>
        <v/>
      </c>
      <c r="HV112">
        <f t="shared" si="243"/>
        <v>0.59692458992862552</v>
      </c>
      <c r="HW112">
        <f t="shared" si="244"/>
        <v>0</v>
      </c>
      <c r="HX112">
        <f t="shared" si="245"/>
        <v>0</v>
      </c>
      <c r="HY112">
        <f t="shared" si="246"/>
        <v>0</v>
      </c>
      <c r="HZ112">
        <f t="shared" si="247"/>
        <v>0</v>
      </c>
      <c r="IA112">
        <f t="shared" si="248"/>
        <v>0</v>
      </c>
      <c r="IB112">
        <f t="shared" si="249"/>
        <v>0</v>
      </c>
      <c r="IC112" t="str">
        <f t="shared" si="250"/>
        <v/>
      </c>
      <c r="ID112" t="str" cm="1">
        <f t="array" ref="ID112">IF(IC112="","",_xlfn.LET(_xlpm.tk,_xlfn.TEXTSPLIT(SUBSTITUTE(SUBSTITUTE(IC112,";"," "),"→"," ")," ",,TRUE),_xlpm.w_,_xlfn._xlws.FILTER(_xlpm.tk,ISNUMBER(--LEFT(_xlpm.tk,1))*((ISNUMBER(SEARCH("W",_xlpm.tk))+ISNUMBER(SEARCH("Вт",_xlpm.tk)))&gt;0),""),IFERROR(--SUBSTITUTE(SUBSTITUTE(UPPER(INDEX(_xlpm.w_,1)),"W",""),"ВТ",""),"")))</f>
        <v/>
      </c>
      <c r="IE112" t="str" cm="1">
        <f t="array" ref="IE112">IF(IC112="","",_xlfn.LET(_xlpm.tk,_xlfn.TEXTSPLIT(SUBSTITUTE(SUBSTITUTE(IC112,";"," "),"→"," ")," ",,TRUE),_xlpm.v_,_xlfn._xlws.FILTER(_xlpm.tk,ISNUMBER(--LEFT(_xlpm.tk,1))*((ISNUMBER(SEARCH("V",_xlpm.tk))+(RIGHT(UPPER(_xlpm.tk))="В"))&gt;0),""),IFERROR(--SUBSTITUTE(SUBSTITUTE(UPPER(INDEX(_xlpm.v_,1)),"V",""),"В",""),"")))</f>
        <v/>
      </c>
      <c r="IF112" s="6" t="str">
        <f>IF(OR(BV112=0,HI112="",HJ112=""),"",IFERROR(N(_xlfn.XLOOKUP(HI112,Каталог!$C$4:$C$500,Каталог!$Q$4:$Q$500)),""))</f>
        <v/>
      </c>
      <c r="IG112" s="6" t="str">
        <f>IF(N(IF112)=0,"",SUMIFS(Линии[Iр, А],Линии[Щит],A112,Линии[_модуль гр.],HH112,Линии[Канал (итог)],HJ112))</f>
        <v/>
      </c>
      <c r="IH112" t="str">
        <f>IF(AND(B112="",HO112=""),"",_xlfn.TEXTJOIN("; ",TRUE,IF(AND(B112&lt;&gt;"",FV112=""),"нет фазы",""),IF(AND(B112&lt;&gt;"",N(GL112)=0,FG112&lt;&gt;"Нет"),"нет мощности",""),IF(AND(HN112&lt;&gt;"",COUNTIFS(Линии[Щит],A112,Линии[Клемма (итог)],HN112)&gt;1),"дубль клеммы "&amp;HN112,""),IF(AND(HQ112&lt;&gt;"",HQ112&lt;&gt;"ok"),HQ112,""),IF(HR112&lt;&gt;"",HR112,""),IF(AND(N(CB112)&gt;=4,N(BX112)=1),CB112&amp;" жил на 1 фазе",""),IF(AND(BC112="R",CG112=1,IF(CS112&lt;&gt;"",N(CV112)&gt;30,OR(N(DA112)=0,N(DA112)&gt;30))),"розетка без дифзащиты до 30 мА",""),IF(AND(CG112=1,N(DA112)&gt;0,ISNUMBER(T112)),IF(T112&gt;N(DA112)/3,"ток утечки "&amp;FIXED(T112,1)&amp;" мА &gt; 1/3 уставки ("&amp;DA112&amp;" мА)",""),""),IF(AND(CH112=1,CS112=""),"«узо»: нет строки с УЗО выше (УЗО 2P 40А 30мА в «Аппаратах»)",""),IF(AND(CS112&lt;&gt;"",CS112=BA112),IF(CT112="","впишите номинал УЗО (УЗО 2P 40А 30мА)",IF(N(CT112)&lt;N(DT112),"УЗО "&amp;CT112&amp;" А &lt; автомата "&amp;DT112&amp;" А перед ним",IF(N(CT112)&lt;N(CX112),"УЗО "&amp;CT112&amp;" А &lt; тока блока "&amp;FIXED(CX112,1)&amp;" А",""))),""),IF(AND(CS112&lt;&gt;"",CS112=BA112,ISNUMBER(CY112)),IF(CY112&gt;N(CV112)/3,"ток утечки блока УЗО "&amp;FIXED(CY112,1)&amp;" мА &gt; 1/3 уставки ("&amp;CV112&amp;" мА)",""),""),IF(AND(CG112=1,N(BV112)+N(IB112)&gt;0,IC112=""),"линии до 50 В без БП: впишите в «Аппараты» (БП 24V 480W)",""),IF(AND(CG112=1,ISNUMBER(ID112),ISNUMBER(U112)),IF(U112&gt;ID112,"БП "&amp;ID112&amp;" Вт &lt; нужно "&amp;U112&amp;" Вт (×"&amp;Запас_БП&amp;")",""),""),IF(AND(CG112=1,ISNUMBER(IE112),N(BV112)=1),IF(IE112&lt;&gt;N(BU112),"БП на "&amp;IE112&amp;" В, линия "&amp;BU112&amp;" В",""),""),IF(AND(N(IF112)&gt;0,N(IG112)&gt;N(IF112)),HH112&amp;" канал "&amp;HJ112&amp;": "&amp;FIXED(IG112,1)&amp;" А &gt; "&amp;IF112&amp;" А",""),IFERROR(IF(AND(ISNUMBER(Q112),Q112&gt;EL112),"потери "&amp;FIXED(Q112,1)&amp;" % &gt; "&amp;EL112&amp;" %",""),""),IFERROR(IF(LEFT(HU112,4)="мало","Iкз мало — отключение &gt; 0,4 с",""),""),IF(AND(B112&lt;&gt;"",BM112=""),"не на схеме",""),IF(AND(CG112=0,B112&lt;&gt;"",FV112&lt;&gt;"",IF(BA112=1,"",FW111)&lt;&gt;"",FV112&lt;&gt;IF(BA112=1,"",FW111)),"фаза не как у автомата группы ("&amp;IF(BA112=1,"",FW111)&amp;")","")))</f>
        <v/>
      </c>
      <c r="II112" s="6">
        <f>IF(OR(CG112=0,DQ112=""),"",_xlfn.LET(_xlpm.t,IFERROR(_xlfn.XLOOKUP(DQ112,Каталог!$U$4:$U$500,Каталог!$G$4:$G$500),""),_xlpm.k,SEARCH("кА",_xlpm.t),IFERROR(--TRIM(RIGHT(SUBSTITUTE(MID(_xlpm.t,MAX(1,_xlpm.k-4),_xlpm.k-MAX(1,_xlpm.k-4))," ",REPT(" ",9)),5)),"")))</f>
        <v>6</v>
      </c>
      <c r="IJ112" t="str">
        <f>IF(OR(II112="",CG112=0),"",IF(_xlfn.XLOOKUP(A112,Щиты[Щит],Щиты[Iкз max на шинах, кА],"")="","",IF(II112&lt;_xlfn.XLOOKUP(A112,Щиты[Щит],Щиты[Iкз max на шинах, кА]),"Icu "&amp;II112&amp;" кА &lt; Iкз max","ok")))</f>
        <v/>
      </c>
      <c r="IK112" t="str">
        <f t="shared" si="251"/>
        <v/>
      </c>
      <c r="IL112" t="str">
        <f t="shared" si="252"/>
        <v>QF10</v>
      </c>
      <c r="IM112" t="str">
        <f t="shared" si="253"/>
        <v>QF10|кабель ВВГнг(А)-LS (3х1,5) → Внутренний блок кондиционирования цокольный этаж Пом. №002Т</v>
      </c>
      <c r="IN112" t="str" cm="1">
        <f t="array" ref="IN112">IF(IM112="","",_xlfn.LET(_xlpm.nd,_xlfn.TEXTSPLIT(IM112,"|"),IF(COLUMNS(_xlpm.nd)&gt;1,A112&amp;"¦"&amp;INDEX(_xlpm.nd,1)&amp;"¦"&amp;INDEX(_xlpm.nd,2),"")))</f>
        <v>ЩОВ-01¦QF10¦кабель ВВГнг(А)-LS (3х1,5) → Внутренний блок кондиционирования цокольный этаж Пом. №002Т</v>
      </c>
      <c r="IO112" t="str">
        <f t="shared" si="254"/>
        <v>K.0.002T.1¦Внутренний блок кондиционирования цокольный этаж Пом. №002Т</v>
      </c>
      <c r="IP112" t="str" cm="1">
        <f t="array" ref="IP112">IF(IM112="","",_xlfn.LET(_xlpm.nd,_xlfn.TEXTSPLIT(IM112,"|"),IF(COLUMNS(_xlpm.nd)&gt;2,A112&amp;"¦"&amp;INDEX(_xlpm.nd,2)&amp;"¦"&amp;INDEX(_xlpm.nd,3),"")))</f>
        <v/>
      </c>
      <c r="IQ112" t="str">
        <f t="shared" si="255"/>
        <v/>
      </c>
      <c r="IR112" t="str" cm="1">
        <f t="array" ref="IR112">IF(IM112="","",_xlfn.LET(_xlpm.nd,_xlfn.TEXTSPLIT(IM112,"|"),IF(COLUMNS(_xlpm.nd)&gt;3,A112&amp;"¦"&amp;INDEX(_xlpm.nd,3)&amp;"¦"&amp;INDEX(_xlpm.nd,4),"")))</f>
        <v/>
      </c>
      <c r="IS112" t="str">
        <f t="shared" si="256"/>
        <v/>
      </c>
      <c r="IT112" t="str" cm="1">
        <f t="array" ref="IT112">IF(IM112="","",_xlfn.LET(_xlpm.nd,_xlfn.TEXTSPLIT(IM112,"|"),IF(COLUMNS(_xlpm.nd)&gt;4,A112&amp;"¦"&amp;INDEX(_xlpm.nd,4)&amp;"¦"&amp;INDEX(_xlpm.nd,5),"")))</f>
        <v/>
      </c>
      <c r="IU112" t="str">
        <f t="shared" si="257"/>
        <v/>
      </c>
      <c r="IV112" t="str" cm="1">
        <f t="array" ref="IV112">IF(IM112="","",_xlfn.LET(_xlpm.nd,_xlfn.TEXTSPLIT(IM112,"|"),IF(COLUMNS(_xlpm.nd)&gt;5,A112&amp;"¦"&amp;INDEX(_xlpm.nd,5)&amp;"¦"&amp;INDEX(_xlpm.nd,6),"")))</f>
        <v/>
      </c>
      <c r="IW112" t="str">
        <f t="shared" si="258"/>
        <v/>
      </c>
      <c r="IX112" t="str" cm="1">
        <f t="array" ref="IX112">IF(IM112="","",_xlfn.LET(_xlpm.nd,_xlfn.TEXTSPLIT(IM112,"|"),IF(COLUMNS(_xlpm.nd)&gt;6,A112&amp;"¦"&amp;INDEX(_xlpm.nd,6)&amp;"¦"&amp;INDEX(_xlpm.nd,7),"")))</f>
        <v/>
      </c>
      <c r="IY112" t="str">
        <f t="shared" si="259"/>
        <v/>
      </c>
      <c r="IZ112" t="str">
        <f t="shared" si="260"/>
        <v/>
      </c>
      <c r="JA112" t="str">
        <f t="shared" si="261"/>
        <v>QF10</v>
      </c>
      <c r="JB112">
        <f t="shared" si="262"/>
        <v>0</v>
      </c>
      <c r="JC112">
        <f t="shared" si="263"/>
        <v>0</v>
      </c>
      <c r="JD112" t="str">
        <f t="shared" si="264"/>
        <v/>
      </c>
      <c r="JE112" t="str">
        <f t="shared" si="265"/>
        <v/>
      </c>
      <c r="JF112" t="str">
        <f t="shared" si="266"/>
        <v/>
      </c>
      <c r="JG112" t="str">
        <f t="shared" si="267"/>
        <v/>
      </c>
      <c r="JH112">
        <f>IF(B112="","",IFERROR(_xlfn.XLOOKUP(B112,Коды_код,Коды_уго),IFERROR(_xlfn.XLOOKUP(BC112,Коды_код,Коды_уго),IFERROR(_xlfn.XLOOKUP(LEFT(BC112,2),Коды_код,Коды_уго),""))))</f>
        <v>0</v>
      </c>
      <c r="JI112" t="str">
        <f>IF(B112="","",IF(OR(JH112="",JH112=0),"BOX",IFERROR(IF(VLOOKUP(JH112,УГО_блоки,3,FALSE)&amp;""&lt;&gt;"",VLOOKUP(JH112,УГО_блоки,3,FALSE),VLOOKUP(JH112,УГО_блоки,2,FALSE)),JH112)))</f>
        <v>BOX</v>
      </c>
      <c r="JJ112">
        <f t="shared" si="268"/>
        <v>1</v>
      </c>
      <c r="JK112" t="str">
        <f>IF(DQ112="","",IF(COUNTIF(DQ$3:DQ112,DQ112)=1,MAX(JK$2:JK111)+1,""))</f>
        <v/>
      </c>
      <c r="JL112" t="str">
        <f>IF(DE112="","",IF(COUNTIF(DE$3:DE112,DE112)+COUNTIF(DF$2:DF111,DE112)+COUNTIF(DG$2:DG111,DE112)=1,MAX(JL$2:JN111)+1,""))</f>
        <v/>
      </c>
      <c r="JM112" t="str">
        <f>IF(DF112="","",IF(COUNTIF(DE$3:DE112,DF112)+COUNTIF(DF$3:DF112,DF112)+COUNTIF(DG$2:DG111,DF112)=1,MAX(JL$2:JN111,JL112)+1,""))</f>
        <v/>
      </c>
      <c r="JN112" t="str">
        <f>IF(DG112="","",IF(COUNTIF(DE$3:DE112,DG112)+COUNTIF(DF$3:DF112,DG112)+COUNTIF(DG$3:DG112,DG112)=1,MAX(JL$2:JN111,JL112,JM112)+1,""))</f>
        <v/>
      </c>
      <c r="JO112" t="str">
        <f t="shared" si="269"/>
        <v>3х1,5</v>
      </c>
      <c r="JP112" t="str">
        <f>IF(JO112="","",IF(COUNTIF(JO$3:JO112,JO112)=1,MAX(JP$2:JP111)+1,""))</f>
        <v/>
      </c>
      <c r="JQ112" t="str">
        <f>IF(HG112="","",COUNTIF(HG$3:HG112,"?*"))</f>
        <v/>
      </c>
      <c r="JR112" t="str">
        <f>IF(OR(HG112="",HI112=""),"",IF(COUNTIFS(HG$3:HG112,"?*",HI$3:HI112,HI112)=1,MAX(JR$2:JR111)+1,""))</f>
        <v/>
      </c>
      <c r="JS112">
        <f t="shared" si="270"/>
        <v>0</v>
      </c>
      <c r="JT112">
        <f>IF(B112="","",COUNTIF(B$3:B112,"?*"))</f>
        <v>110</v>
      </c>
      <c r="JU112">
        <f>IF(HL112&lt;&gt;1,0,_xlfn.LET(_xlpm.k,MAX(IFERROR(--_xlfn.XLOOKUP(B112,Коды_код,Коды_3L),0),IFERROR(--_xlfn.XLOOKUP(BC112,Коды_код,Коды_3L),0),IFERROR(--_xlfn.XLOOKUP(LEFT(BC112,2),Коды_код,Коды_3L),0)),IF(_xlpm.k&gt;0,_xlpm.k,IF(IFERROR(--LEFT(SUBSTITUTE(JO112,"x","х"),FIND("х",SUBSTITUTE(JO112,"x","х"))-1),3)&gt;3,Каталог!$S$9,1))))</f>
        <v>1</v>
      </c>
      <c r="JV112">
        <f t="shared" si="271"/>
        <v>0</v>
      </c>
      <c r="JW112" t="str">
        <f t="shared" si="272"/>
        <v>авто</v>
      </c>
      <c r="JX112" t="str">
        <f t="shared" si="273"/>
        <v/>
      </c>
      <c r="JY112">
        <f t="shared" si="274"/>
        <v>0</v>
      </c>
      <c r="JZ112">
        <f t="shared" si="275"/>
        <v>1</v>
      </c>
    </row>
    <row r="113" spans="1:286" x14ac:dyDescent="0.3">
      <c r="A113" t="s">
        <v>745</v>
      </c>
      <c r="B113" t="s">
        <v>1424</v>
      </c>
      <c r="C113" t="s">
        <v>1675</v>
      </c>
      <c r="D113">
        <v>1</v>
      </c>
      <c r="E113">
        <v>0.151</v>
      </c>
      <c r="G113">
        <v>10</v>
      </c>
      <c r="H113" t="str">
        <f>Линии[[#This Row],[_авто управление]]</f>
        <v/>
      </c>
      <c r="I113" t="str">
        <f>Линии[[#This Row],[_авто аппараты]]</f>
        <v/>
      </c>
      <c r="J113">
        <v>1.5</v>
      </c>
      <c r="K113">
        <v>23</v>
      </c>
      <c r="L113" t="str">
        <f>Линии[[#This Row],[_авто фаза]]</f>
        <v>L1</v>
      </c>
      <c r="M113" t="s">
        <v>484</v>
      </c>
      <c r="N113" t="str">
        <f t="shared" si="138"/>
        <v/>
      </c>
      <c r="O113" s="6" cm="1">
        <f t="array" ref="O113">IF(B113="","",IF(BH113&lt;&gt;"",IFERROR(_xlfn.XLOOKUP(BH113,Щиты[Щит],Щиты[Iр, А]),""),IF(BP113=1,IF(OR(N(_xlfn.XLOOKUP(A113,Щиты[Щит],Щиты[Вводов],1))&lt;=1,LOWER(TRIM(_xlfn.XLOOKUP(A113,Щиты[Щит],Щиты[АВР],"")&amp;""))="да"),IFERROR(_xlfn.XLOOKUP(A113,Щиты[Щит],Щиты[Iр, А]),""),IFERROR(N(BS113)*_xlfn.XLOOKUP(A113,Щиты[Щит],Щиты[Кс итог])/(SQRT(3)*Uн_лин*_xlfn.XLOOKUP(A113,Щиты[Щит],Щиты[cos φ])),"")),IF(BV113=1,IFERROR(BS113*1000/BU113,""),IFERROR(_xlfn.IFS(BX113=1,BS113/((Uн_лин/SQRT(3))*CE113),BX113=3,BS113/(SQRT(3)*Uн_лин*CE113)),"")))))</f>
        <v>0.81731147482156374</v>
      </c>
      <c r="P113" s="7">
        <f>IF(B113="","",IFERROR(IF(VLOOKUP(BC113,Потребители_обозначение,4,FALSE)=1,VLOOKUP(BC113,Потребители_обозначение,3,FALSE)*(MAX(1,N(D113))*2-1)+EI113+VLOOKUP(BE113,Этаж_обозначение,3,FALSE)+VLOOKUP(BE113,Этаж_обозначение,4,FALSE),VLOOKUP(BC113,Потребители_обозначение,3,FALSE)*(MAX(1,N(D113))*2-1)+EI113),EI113))</f>
        <v>25</v>
      </c>
      <c r="Q113" s="6">
        <f t="shared" si="139"/>
        <v>0.46</v>
      </c>
      <c r="R113" t="str">
        <f t="shared" si="140"/>
        <v>ВВГнг(А)-LS (3х1,5)</v>
      </c>
      <c r="S113" t="str">
        <f>IF(BM113="","",IF(BN113="вводной узел","узел ","")&amp;"л."&amp;(INT((BM113-1)/Столбцов_на_лист)+1)&amp;" / "&amp;(MOD(BM113-1,Столбцов_на_лист)+1))</f>
        <v>л.2 / 8</v>
      </c>
      <c r="T113" s="119">
        <f t="shared" si="141"/>
        <v>0.6</v>
      </c>
      <c r="U113" s="7" t="str">
        <f>IF(OR(CG113=0,N(BV113)+N(IB113)=0),"",ROUNDUP(Запас_БП*(N(HY113)+N(HZ113)),0))</f>
        <v/>
      </c>
      <c r="V113" s="119" t="str">
        <f t="shared" si="142"/>
        <v/>
      </c>
      <c r="W113" s="7" t="str">
        <f>IFERROR(IF(OR(B113="",BP113=1,BV113=1,NOT(ISNUMBER(EN113)),N(DT113)=0),"",MAX(0,ROUNDDOWN((c_min*(Uн_лин*1000/SQRT(3))/(HT113*N(DT113))-_xlfn.XLOOKUP(A113,Щиты[Щит],Щиты[Zпетли на шинах, Ом]))*EN113/(2*ρкз_Cu),0))),"")</f>
        <v/>
      </c>
      <c r="Y113" t="str">
        <f>Линии[[#This Row],[_авто утечка]]</f>
        <v/>
      </c>
      <c r="Z113">
        <v>1</v>
      </c>
      <c r="AA113">
        <v>230</v>
      </c>
      <c r="AB113" t="s">
        <v>598</v>
      </c>
      <c r="AC113">
        <v>0.5</v>
      </c>
      <c r="AG113" t="s">
        <v>810</v>
      </c>
      <c r="AI113" t="s">
        <v>576</v>
      </c>
      <c r="AK113" t="str">
        <f>Линии[[#This Row],[_авто модуль]]</f>
        <v/>
      </c>
      <c r="AM113">
        <v>25</v>
      </c>
      <c r="AN113" t="s">
        <v>11</v>
      </c>
      <c r="AO113">
        <v>3</v>
      </c>
      <c r="AQ113">
        <v>15</v>
      </c>
      <c r="AR113">
        <v>10</v>
      </c>
      <c r="AT113">
        <v>1</v>
      </c>
      <c r="BA113" cm="1">
        <f t="array" ref="BA113">ROW()-ROW(Линии[#Headers])</f>
        <v>111</v>
      </c>
      <c r="BC113" s="6" t="str">
        <f t="shared" si="143"/>
        <v>K</v>
      </c>
      <c r="BD113" t="str">
        <f t="shared" si="144"/>
        <v>0.002T.2</v>
      </c>
      <c r="BE113" t="str">
        <f t="shared" si="145"/>
        <v>0</v>
      </c>
      <c r="BF113" t="str">
        <f t="shared" si="146"/>
        <v>002T.2</v>
      </c>
      <c r="BG113" t="str">
        <f t="shared" si="147"/>
        <v>002T</v>
      </c>
      <c r="BH113" t="str">
        <f>IF(X113&lt;&gt;"",X113,IF(AND(B113&lt;&gt;"",B113&lt;&gt;A113,ISNUMBER(_xlfn.XMATCH(B113,Щиты[Щит]))),B113,""))</f>
        <v/>
      </c>
      <c r="BI113" t="str" cm="1">
        <f t="array" ref="BI113">IF(B113="","",IF(BH113&lt;&gt;"","Щит "&amp;BH113,_xlfn.LET(_xlpm.nm,IFERROR(_xlfn.XLOOKUP(BC113,Коды_код,Коды_имя)&amp;"",""),_xlpm.md,IFERROR(N(_xlfn.XLOOKUP(BC113,Коды_код,Коды_режим)),1),_xlpm.ex,IF(Имя_режим="по экспликации",IFERROR(_xlfn.XLOOKUP(BE113&amp;"|"&amp;BG113,Экспликация[Этаж]&amp;"|"&amp;Экспликация[Помещение],Экспликация[Название])&amp;"",""),""),_xlpm.rm,IF(BG113="","",IF(_xlpm.ex&lt;&gt;"",". "&amp;_xlpm.ex&amp;IF(Имя_пом="нет"," ("&amp;BG113&amp;")"," (пом. "&amp;BG113&amp;")"),IF(Имя_пом="нет"," ",", пом. ")&amp;BG113)),IF(_xlpm.nm="","",IF(_xlpm.md=2,_xlpm.nm&amp;" шлейф "&amp;BE113,_xlpm.nm&amp;_xlpm.rm)))))</f>
        <v>Внутренний блок кондиционирования, пом. 002T</v>
      </c>
      <c r="BJ113" t="str">
        <f t="shared" si="148"/>
        <v>Внутренний блок кондиционирования цокольный этаж Пом. №002Т</v>
      </c>
      <c r="BK113">
        <f>IFERROR(_xlfn.XMATCH(A113,Щиты[Щит]),0)</f>
        <v>6</v>
      </c>
      <c r="BL113">
        <f>_xlfn.LET(_xlpm.k,IFERROR(_xlfn.XLOOKUP(A113,Щиты[Щит],Щиты[Мест под вводной узел]),""),IF(_xlpm.k="",Столбцов_на_лист,N(_xlpm.k)))</f>
        <v>12</v>
      </c>
      <c r="BM113">
        <f t="shared" si="149"/>
        <v>25</v>
      </c>
      <c r="BN113" t="str">
        <f t="shared" si="150"/>
        <v>линии</v>
      </c>
      <c r="BO113" s="6">
        <f>IFERROR(N(_xlfn.XLOOKUP(BC113,Коды_код,Коды_квт)),0)</f>
        <v>0</v>
      </c>
      <c r="BP113">
        <f t="shared" si="151"/>
        <v>0</v>
      </c>
      <c r="BQ113" t="str">
        <f>IF(B113="","",IF(BH113&lt;&gt;"",IFERROR(_xlfn.XLOOKUP(BH113,Щиты[Щит],Щиты[Руст, кВт]),0),IF(BP113=1,IF(OR(N(_xlfn.XLOOKUP(A113,Щиты[Щит],Щиты[Вводов],1))&lt;=1,LOWER(TRIM(_xlfn.XLOOKUP(A113,Щиты[Щит],Щиты[АВР],"")&amp;""))="да"),IFERROR(_xlfn.XLOOKUP(A113,Щиты[Щит],Щиты[Руст, кВт]),0),SUMIFS(Линии[_Р для вводов],Линии[Щит],A113,Линии[Источник для режимов],GF113)),IF(BO113&gt;0,ROUND(BO113*MAX(1,N(D113)),3),""))))</f>
        <v/>
      </c>
      <c r="BR113">
        <f t="shared" si="152"/>
        <v>0.151</v>
      </c>
      <c r="BS113" s="6">
        <f>IF(B113="","",IF(BH113&lt;&gt;"",IFERROR(_xlfn.XLOOKUP(BH113,Щиты[Щит],Щиты[Руст, кВт]),0),N(BR113)))</f>
        <v>0.151</v>
      </c>
      <c r="BT113" t="str">
        <f>IF(B113="","",IFERROR(IF(VLOOKUP(BC113,Потребители_обозначение,8,FALSE)=0,"",VLOOKUP(BC113,Потребители_обозначение,8,FALSE)),""))</f>
        <v/>
      </c>
      <c r="BU113">
        <f t="shared" si="153"/>
        <v>230</v>
      </c>
      <c r="BV113">
        <f t="shared" si="154"/>
        <v>0</v>
      </c>
      <c r="BW113">
        <f>IF(B113="","",IF(BH113&lt;&gt;"",3,IFERROR(IF(N(VLOOKUP(BC113,Потребители_обозначение,9,FALSE))=0,1,VLOOKUP(BC113,Потребители_обозначение,9,FALSE)),1)))</f>
        <v>1</v>
      </c>
      <c r="BX113">
        <f t="shared" si="155"/>
        <v>1</v>
      </c>
      <c r="BY113" t="str">
        <f>IF(B113="","",_xlfn.LET(_xlpm.bc,IFERROR(IF(VLOOKUP(BC113,Потребители_обозначение,6,FALSE)=0,"",VLOOKUP(BC113,Потребители_обозначение,6,FALSE)&amp;""),""),IF(AND(GA113="да",OR(_xlpm.bc="",_xlpm.bc="мс")),Марка_пож,IF(AND(_xlpm.bc="",BH113&lt;&gt;""),"мс",_xlpm.bc))))</f>
        <v/>
      </c>
      <c r="BZ113" t="str">
        <f t="shared" si="156"/>
        <v>мс</v>
      </c>
      <c r="CA113">
        <f>IF(B113="","",_xlfn.LET(_xlpm.cc,IFERROR(N(VLOOKUP(BC113,Потребители_обозначение,7,FALSE)),0),IF(_xlpm.cc&gt;0,_xlpm.cc,IF(BZ113="","",IF(BV113=1,2,IF(N(BX113)=3,5,3))))))</f>
        <v>3</v>
      </c>
      <c r="CB113">
        <f t="shared" si="157"/>
        <v>3</v>
      </c>
      <c r="CC113">
        <f>IFERROR(N(VLOOKUP(BC113,Потребители_обозначение,10,FALSE)),0)</f>
        <v>0</v>
      </c>
      <c r="CD113">
        <f>IFERROR(VLOOKUP(BC113,Потребители_обозначение,5,FALSE),0)</f>
        <v>1</v>
      </c>
      <c r="CE113" s="6" cm="1">
        <f t="array" ref="CE113">IF(B113="","",IF(BH113&lt;&gt;"",IFERROR(_xlfn.XLOOKUP(BH113,Щиты[Щит],Щиты[cos φ]),0.95),IF(BP113=1,IFERROR(_xlfn.XLOOKUP(A113,Щиты[Щит],Щиты[cos φ]),0.95),IF(ISNUMBER(AD113),AD113,IFERROR(IF(CD113=2,_xlfn.IFS(BX113=3,VLOOKUP(BS113,Справочная_двигатели,8,FALSE),BX113=1,VLOOKUP(BS113,Справочная_двигатели,10,TRUE)),IF(AND(Методика="нормы 2026",FG113="Сил"),0.8,0.95)),0.95)))))</f>
        <v>0.8</v>
      </c>
      <c r="CF113">
        <f t="shared" si="158"/>
        <v>0</v>
      </c>
      <c r="CG113">
        <f t="shared" si="159"/>
        <v>1</v>
      </c>
      <c r="CH113">
        <f t="shared" si="160"/>
        <v>0</v>
      </c>
      <c r="CI113">
        <f>IF(B113="","",IF(BV113=1,IFERROR(BS113/((Uн_лин/SQRT(3))*MAX(0.5,N(CE113))),0),N(O113)))</f>
        <v>0.81731147482156374</v>
      </c>
      <c r="CJ113">
        <f t="shared" si="161"/>
        <v>0</v>
      </c>
      <c r="CK113">
        <f t="shared" si="162"/>
        <v>0</v>
      </c>
      <c r="CL113">
        <f t="shared" si="163"/>
        <v>0</v>
      </c>
      <c r="CM113">
        <f t="shared" si="164"/>
        <v>0</v>
      </c>
      <c r="CN113">
        <f t="shared" si="165"/>
        <v>0</v>
      </c>
      <c r="CO113">
        <f>IF(BC113="",0,_xlfn.LET(_xlpm.v,IFERROR(_xlfn.XLOOKUP(B113,Коды_код,Коды_мА),IFERROR(_xlfn.XLOOKUP(BC113,Коды_код,Коды_мА),IFERROR(_xlfn.XLOOKUP(LEFT(BC113,2),Коды_код,Коды_мА),""))),IF(_xlpm.v="да",30,IF(ISNUMBER(_xlpm.v),_xlpm.v,0))))</f>
        <v>0</v>
      </c>
      <c r="CP113" t="str">
        <f t="shared" si="166"/>
        <v/>
      </c>
      <c r="CQ113" t="str">
        <f>_xlfn.LET(_xlpm.k,IFERROR(_xlfn.XLOOKUP(BC113,Коды_код,Коды_утечка)&amp;"",""),IF(_xlpm.k="","дифавтомат",_xlpm.k))</f>
        <v>дифавтомат</v>
      </c>
      <c r="CR113" t="str" cm="1">
        <f t="array" ref="CR113">IF(CG113=0,"",_xlfn.LET(_xlpm.sg,TRIM(_xlfn.TEXTSPLIT(DD113&amp;"",";")),_xlpm.f_,_xlfn._xlws.FILTER(_xlpm.sg,LEFT(_xlpm.sg,3)="УЗО",""),IFERROR(INDEX(_xlpm.f_,1)&amp;"","")))</f>
        <v/>
      </c>
      <c r="CS113" t="str">
        <f t="shared" si="167"/>
        <v/>
      </c>
      <c r="CT113" s="6" t="str" cm="1">
        <f t="array" ref="CT113">IF(CR113="","",_xlfn.LET(_xlpm.tk,_xlfn.TEXTSPLIT(UPPER(CR113)," ",,TRUE),_xlpm.a_,_xlfn._xlws.FILTER(_xlpm.tk,ISNUMBER(--LEFT(_xlpm.tk,1))*((ISNUMBER(SEARCH("А",_xlpm.tk))+ISNUMBER(SEARCH("A",_xlpm.tk)))&gt;0)*NOT(ISNUMBER(SEARCH("МА",_xlpm.tk)))*NOT(ISNUMBER(SEARCH("MA",_xlpm.tk))),""),IFERROR(--SUBSTITUTE(SUBSTITUTE(INDEX(_xlpm.a_,1),"А",""),"A",""),"")))</f>
        <v/>
      </c>
      <c r="CU113" t="str" cm="1">
        <f t="array" ref="CU113">IF(CR113="","",_xlfn.LET(_xlpm.tk,_xlfn.TEXTSPLIT(UPPER(CR113)," ",,TRUE),_xlpm.a_,_xlfn._xlws.FILTER(_xlpm.tk,ISNUMBER(--LEFT(_xlpm.tk,1))*((ISNUMBER(SEARCH("МА",_xlpm.tk))+ISNUMBER(SEARCH("MA",_xlpm.tk)))&gt;0),""),IFERROR(--SUBSTITUTE(SUBSTITUTE(INDEX(_xlpm.a_,1),"МА",""),"MA",""),30)))</f>
        <v/>
      </c>
      <c r="CV113" t="str">
        <f>IF(CS113="","",IFERROR(_xlfn.XLOOKUP(CS113,Линии[_n],Линии[_УЗО, мА]),30))</f>
        <v/>
      </c>
      <c r="CW113">
        <f>IF(CS113="",0,IF(ISNUMBER(SEARCH("4P",IFERROR(_xlfn.XLOOKUP(CS113,Линии[_n],Линии[_УЗО строки])&amp;"",""))),0,1))</f>
        <v>0</v>
      </c>
      <c r="CX113" t="str">
        <f>IF(AND(CS113&lt;&gt;"",CS113=BA113),SUMIFS(Линии[_ток на 230 В],Линии[_блок УЗО],BA113,Линии[Щит],A113),"")</f>
        <v/>
      </c>
      <c r="CY113" t="str">
        <f>IF(AND(CS113&lt;&gt;"",CS113=BA113),SUMIFS(Линии[_ток утечки линии, мА],Линии[_блок УЗО],BA113,Линии[Щит],A113),"")</f>
        <v/>
      </c>
      <c r="CZ113">
        <f t="shared" si="168"/>
        <v>0</v>
      </c>
      <c r="DA113">
        <f t="shared" si="169"/>
        <v>0</v>
      </c>
      <c r="DB113">
        <f>IF(B113="",0,IFERROR(--_xlfn.XLOOKUP(B113,Коды_код,Коды_минавт),IFERROR(--_xlfn.XLOOKUP(BC113,Коды_код,Коды_минавт),IFERROR(--_xlfn.XLOOKUP(LEFT(BC113,2),Коды_код,Коды_минавт),0))))</f>
        <v>0</v>
      </c>
      <c r="DC113" t="str">
        <f>IF(B113="","",IFERROR(_xlfn.XLOOKUP(BC113,Коды_код,Коды_апп)&amp;"",""))</f>
        <v/>
      </c>
      <c r="DD113" t="str">
        <f t="shared" si="170"/>
        <v/>
      </c>
      <c r="DE113" t="str" cm="1">
        <f t="array" ref="DE113">IF(TRIM(DD113&amp;"")="","",IFERROR(TRIM(INDEX(_xlfn.TEXTSPLIT(DD113&amp;";;;",";"),1)),""))</f>
        <v/>
      </c>
      <c r="DF113" t="str" cm="1">
        <f t="array" ref="DF113">IF(TRIM(DD113&amp;"")="","",IFERROR(TRIM(INDEX(_xlfn.TEXTSPLIT(DD113&amp;";;;",";"),2)),""))</f>
        <v/>
      </c>
      <c r="DG113" t="str" cm="1">
        <f t="array" ref="DG113">IF(TRIM(DD113&amp;"")="","",IFERROR(TRIM(INDEX(_xlfn.TEXTSPLIT(DD113&amp;";;;",";"),3)),""))</f>
        <v/>
      </c>
      <c r="DH113">
        <f t="shared" si="171"/>
        <v>0</v>
      </c>
      <c r="DI113" t="str">
        <f>IF(B113="","",_xlfn.LET(_xlpm.t,LOWER(AZ113&amp;""),IF(ISNUMBER(SEARCH("dim",_xlpm.t)),"DIM",IF(ISNUMBER(SEARCH("dali",_xlpm.t)),"DALI",IF(OR(ISNUMBER(SEARCH("relay",_xlpm.t)),ISNUMBER(SEARCH("реле",_xlpm.t))),"Relay",IF(ISNUMBER(SEARCH("кнопк",_xlpm.t)),"",IFERROR(_xlfn.XLOOKUP(BC113,Коды_код,Коды_упр)&amp;"","")))))))</f>
        <v/>
      </c>
      <c r="DJ113" t="str">
        <f t="shared" si="172"/>
        <v/>
      </c>
      <c r="DK113">
        <f>IF(B113="","",_xlfn.LET(_xlpm.ig,IF(N(CX113)&gt;0,N(CX113),N(CI113)+IF(AJ113="вручную",0,N(CJ113))),_xlpm.n0,IFERROR(VLOOKUP(_xlpm.ig,Автомат_номиналы,2,TRUE),0),_xlpm.mn,MAX(DB113,IF(AJ113="вручную",0,N(CM113))),MAX(_xlpm.n0,_xlpm.mn,IF(DH113=1,Мин_автомат_БП,0))))</f>
        <v>6</v>
      </c>
      <c r="DL113">
        <f t="shared" si="173"/>
        <v>1</v>
      </c>
      <c r="DM113" t="str">
        <f t="shared" si="174"/>
        <v>1P</v>
      </c>
      <c r="DN113" t="str">
        <f>_xlfn.LET(_xlpm.cc,UPPER(TRIM(IFERROR(_xlfn.XLOOKUP(BC113,Коды_код,Коды_хар)&amp;"",""))),IF(OR(_xlpm.cc="B",_xlpm.cc="В"),"B",IF(_xlpm.cc="D","D","С")))</f>
        <v>С</v>
      </c>
      <c r="DO113" t="str">
        <f t="shared" si="175"/>
        <v>1P С6А</v>
      </c>
      <c r="DP113">
        <f t="shared" si="176"/>
        <v>10</v>
      </c>
      <c r="DQ113" t="str">
        <f t="shared" si="177"/>
        <v>1P С10А</v>
      </c>
      <c r="DR113" cm="1">
        <f t="array" ref="DR113">IF(DQ113="","",_xlfn.LET(_xlpm.t,SUBSTITUTE(SUBSTITUTE(SUBSTITUTE(UPPER(DQ113),"С","C"),"А","A"),"В","B"),_xlpm.tk,_xlfn.TEXTSPLIT(_xlpm.t," "),_xlpm.f,_xlfn._xlws.FILTER(_xlpm.tk,ISNUMBER(--MID(_xlpm.tk,2,1))*ISNUMBER(SEARCH(LEFT(_xlpm.tk,1)&amp;"#","B#C#D#"))*(LEN(_xlpm.tk)&gt;1),""),_xlpm.x,INDEX(_xlpm.f,1),IFERROR(--SUBSTITUTE(MID(_xlpm.x,2,9),"A",""),IFERROR(--SUBSTITUTE(INDEX(_xlfn._xlws.FILTER(_xlpm.tk,ISNUMBER(--SUBSTITUTE(_xlpm.tk,"A","")),""),1),"A",""),""))))</f>
        <v>10</v>
      </c>
      <c r="DS113" t="str">
        <f t="shared" si="178"/>
        <v>ok</v>
      </c>
      <c r="DT113">
        <f t="shared" si="179"/>
        <v>10</v>
      </c>
      <c r="DU113" t="str">
        <f t="shared" si="180"/>
        <v>1P С10А</v>
      </c>
      <c r="DV113">
        <f t="shared" si="181"/>
        <v>0</v>
      </c>
      <c r="DW113">
        <f t="shared" si="182"/>
        <v>0</v>
      </c>
      <c r="DX113">
        <f t="shared" si="183"/>
        <v>0</v>
      </c>
      <c r="DY113">
        <f t="shared" si="184"/>
        <v>0.81731147482156374</v>
      </c>
      <c r="DZ113">
        <f t="shared" si="185"/>
        <v>1</v>
      </c>
      <c r="EA113">
        <f>IF(ISNUMBER(AP113),AP113,К_прокл)</f>
        <v>1</v>
      </c>
      <c r="EB113">
        <f t="shared" si="186"/>
        <v>2</v>
      </c>
      <c r="EC113">
        <f>IFERROR(N(VLOOKUP(BZ113,Кабель_обозначение,3,FALSE)),1)</f>
        <v>1</v>
      </c>
      <c r="ED113">
        <f>IFERROR(N(_xlfn.XLOOKUP(A113,Щиты[Щит],Щиты[ΔU до шин, %])),0)</f>
        <v>0.24000000000000002</v>
      </c>
      <c r="EE113" t="str">
        <f>IFERROR(_xlfn.XLOOKUP(A113,Щиты[Щит],Щиты[Zпетли на шинах, Ом]),"")</f>
        <v/>
      </c>
      <c r="EF113">
        <f>IFERROR(N(_xlfn.XLOOKUP(A113,Щиты[Щит],Щиты[ΔU до шин (подбор), %])),0)</f>
        <v>0.36</v>
      </c>
      <c r="EG113" t="str">
        <f>IFERROR(_xlfn.XLOOKUP(A113,Щиты[Щит],Щиты[Zпетли на шинах (подбор), Ом]),"")</f>
        <v/>
      </c>
      <c r="EH113" t="str">
        <f t="shared" si="187"/>
        <v/>
      </c>
      <c r="EI113">
        <f t="shared" si="188"/>
        <v>23</v>
      </c>
      <c r="EJ113">
        <f t="shared" si="189"/>
        <v>2</v>
      </c>
      <c r="EK113">
        <f t="shared" si="190"/>
        <v>0.6</v>
      </c>
      <c r="EL113" s="6">
        <f>IF(B113="","",IF(BV113=1,dU_LED,IF(IFERROR(_xlfn.XLOOKUP(BC113,Коды_код,Коды_уго),"")="Светильник",3,4)+IF(Методика="нормы 2026",MIN(0.5,MAX(0,N(P113)-100)*0.005),0)))</f>
        <v>4</v>
      </c>
      <c r="EM113" cm="1">
        <f t="array" ref="EM113">IF(OR(B113="",BZ113="",EC113&lt;&gt;1),"",_xlfn.LET(_xlpm.sz,Iдоп_S,_xlpm.t_,CHOOSE(EB113,Iдоп_1ж,Iдоп_2ж,Iдоп_3ж)*DZ113*EA113,_xlpm.dcx,BV113=1,_xlpm.inn,IF(_xlpm.dcx,N(O113),N(DT113)),_xlpm.smin,MAX(1.5,CC113),_xlpm.L_,N(P113)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113)/N(BU113)*100,999),IFERROR(N(EJ113)*(_xlpm.rho*_xlpm.L_/_xlpm.sz*N(CE113)+_xlpm.xx*_xlpm.L_*N(EK113)/1000)*N(O113)/((Uн_лин/SQRT(3))*1000)*100,999)),_xlpm.kz,IF(OR(_xlpm.dcx,DW113=1,NOT(ISNUMBER(EG113)),_xlpm.L_=0,_xlpm.inn=0),1,IFERROR(--(c_min*(Uн_лин*1000/SQRT(3))/(EG113+2*ρкз_Cu*_xlpm.L_/_xlpm.sz)&gt;=HT113*_xlpm.inn),0)),_xlpm.ok,IFERROR((_xlpm.sz&gt;=_xlpm.smin)*(_xlpm.t_&gt;=_xlpm.inn)*IF(_xlpm.L_&gt;0,(_xlpm.du_+IF(_xlpm.dcx,0,EF113)&lt;=EL113+0.00001),1)*_xlpm.kz,0),_xlpm.r_,_xlfn._xlws.FILTER(_xlpm.sz,_xlpm.ok,"не подобрано"),INDEX(_xlpm.r_,1)))</f>
        <v>1.5</v>
      </c>
      <c r="EN113">
        <f t="shared" si="191"/>
        <v>1.5</v>
      </c>
      <c r="EO113" cm="1">
        <f t="array" ref="EO113">IF(OR(B113="",BZ113="",EC113&lt;&gt;1),"",_xlfn.LET(_xlpm.sz,Iдоп_S,_xlpm.t_,CHOOSE(EB113,Iдоп_1ж,Iдоп_2ж,Iдоп_3ж)*DZ113*EA113,_xlpm.ok,IFERROR((_xlpm.sz&gt;=MAX(1.5,CC113))*(_xlpm.t_&gt;=N(DT113)),0),_xlpm.r_,_xlfn._xlws.FILTER(_xlpm.sz,_xlpm.ok,""),INDEX(_xlpm.r_,1)))</f>
        <v>1.5</v>
      </c>
      <c r="EP113" s="6" cm="1">
        <f t="array" ref="EP113">IFERROR(ROUNDUP(N(EJ113)*(_xlfn.XLOOKUP(EO113,INDEX(Кабель_сопротивление,0,1),INDEX(Кабель_сопротивление,0,3))*N(P113)/EO113*N(CE113)+_xlfn.XLOOKUP(EO113,INDEX(Кабель_сопротивление,0,1),INDEX(Кабель_сопротивление,0,2))*N(P113)*N(EK113)/1000)*N(O113)/((Uн_лин/SQRT(3))*1000)*100,2),"")</f>
        <v>0.22</v>
      </c>
      <c r="EQ113">
        <f>IFERROR(2*ρкз_Cu*N(P113)/EO113,"")</f>
        <v>0.87666666666666659</v>
      </c>
      <c r="ER113">
        <f>IFERROR(VLOOKUP(EN113,Кабель_сопротивление,3,FALSE),"")</f>
        <v>2.2499999999999999E-2</v>
      </c>
      <c r="ES113">
        <f>IFERROR(VLOOKUP(EN113,Кабель_сопротивление,2,FALSE),"")</f>
        <v>0.11</v>
      </c>
      <c r="ET113">
        <f t="shared" si="192"/>
        <v>10</v>
      </c>
      <c r="EU113">
        <f t="shared" si="193"/>
        <v>0</v>
      </c>
      <c r="EV113">
        <f t="shared" si="194"/>
        <v>0.49308401275984948</v>
      </c>
      <c r="EW113" s="6">
        <f>IFERROR(ROUNDUP(EV113/IF(BV113=1,BU113,(Uн_лин/SQRT(3))*1000)*100,2),"")</f>
        <v>0.22</v>
      </c>
      <c r="EX113" t="str">
        <f>IFERROR(VLOOKUP(BZ113,Кабель_обозначение,2,FALSE),"")</f>
        <v>ВВГнг(А)-LS</v>
      </c>
      <c r="EY113" t="str">
        <f t="shared" si="195"/>
        <v>ВВГнг(А)-LS (3х1,5)</v>
      </c>
      <c r="EZ113" t="str">
        <f t="shared" si="196"/>
        <v>ВВГнг(А)-LS (3х1,5)
L=25-0,22%</v>
      </c>
      <c r="FA113">
        <f>IFERROR(2*ρкз_Cu*P113/EN113,"")</f>
        <v>0.87666666666666659</v>
      </c>
      <c r="FB113">
        <f t="shared" si="197"/>
        <v>0.29166666666666669</v>
      </c>
      <c r="FC113" s="6" t="str">
        <f>IFERROR(IF(OR(B113="",BV113=1,NOT(ISNUMBER(EN113)),N(P113)=0),"",_xlfn.XLOOKUP(A113,Щиты[Щит],Щиты[Zпетли на шинах, Ом])+FA113),"")</f>
        <v/>
      </c>
      <c r="FD113" s="6" t="str">
        <f>IF(ISNUMBER(FC113),c_min*(Uн_лин*1000/SQRT(3))/FC113,"")</f>
        <v/>
      </c>
      <c r="FE113" s="6" t="str">
        <f>IFERROR(IF(OR(B113="",NOT(ISNUMBER(EN113))),"",1.05*(Uн_лин*1000/SQRT(3))/(_xlfn.XLOOKUP(A113,Щиты[Щит],Щиты[Zmax на шинах, Ом])+FB113)/1000),"")</f>
        <v/>
      </c>
      <c r="FF113" s="6" t="str">
        <f>IF(B113="","",IF(ISNUMBER(AC113),"Сил",IF(IFERROR(_xlfn.XLOOKUP(BC113,Коды_код,Коды_группа)&amp;"","")="","Быт",_xlfn.XLOOKUP(BC113,Коды_код,Коды_группа)&amp;"")))</f>
        <v>Сил</v>
      </c>
      <c r="FG113" s="6" t="str">
        <f t="shared" si="198"/>
        <v>Сил</v>
      </c>
      <c r="FH113" s="6">
        <f>IF(FG113="Щит","щит",IF(FG113="","",IF(FG113="Быт",IFERROR(_xlfn.XLOOKUP(A113,Щиты[Щит],Щиты[Кс быт]),1),IF(FG113="Сил",IF(ISNUMBER(AC113),AC113,IF(Методика="нормы 2026",IFERROR(_xlfn.XLOOKUP(A113,Щиты[Щит],Щиты[Кс силовых (табл. 7.5)]),1),1)),IF(OR(FG113="Пост",FG113="Отоп"),1,IF(FG113="ВНГ",0.7,0))))))</f>
        <v>0.5</v>
      </c>
      <c r="FI113">
        <f>IF(FG113="","",IF(AND(BP113=1,TRIM(AE113&amp;"")=""),IF(COUNTIFS(Линии[Щит],A113,Линии[Секция (1/2/3)],"&gt;=2")&gt;0,MIN(3,MAX(1,IFERROR(--BD113,1))),1),IFERROR(MIN(3,MAX(1,INT(--AE113))),1)))</f>
        <v>1</v>
      </c>
      <c r="FJ113">
        <f t="shared" si="199"/>
        <v>0.151</v>
      </c>
      <c r="FK113">
        <f t="shared" si="200"/>
        <v>0</v>
      </c>
      <c r="FL113">
        <f t="shared" si="201"/>
        <v>7.5499999999999998E-2</v>
      </c>
      <c r="FM113">
        <f t="shared" si="202"/>
        <v>0</v>
      </c>
      <c r="FN113">
        <f t="shared" si="203"/>
        <v>0</v>
      </c>
      <c r="FO113">
        <f t="shared" si="204"/>
        <v>0</v>
      </c>
      <c r="FP113">
        <f t="shared" si="205"/>
        <v>0.151</v>
      </c>
      <c r="FQ113">
        <f t="shared" si="206"/>
        <v>0.151</v>
      </c>
      <c r="FR113">
        <f t="shared" si="207"/>
        <v>0.1208</v>
      </c>
      <c r="FS113">
        <f>IF(CG113=1,IF(AND(CH113=1,CW113=1),0,IF(AND(CS113&lt;&gt;"",CS113=BA113,CW113=1),SUMIFS(Линии[_Р линии, кВт],Линии[_блок УЗО],BA113,Линии[Щит],A113),N(BS113)+IF(AJ113="вручную",0,N(CK113)))),0)</f>
        <v>0.151</v>
      </c>
      <c r="FT113" t="str">
        <f t="shared" si="208"/>
        <v/>
      </c>
      <c r="FU113" t="str">
        <f>IF(B113="","",IF(CG113=0,IF(BA113=1,"",FW112),IF(AND(CH113=1,CW113=1,CS113&lt;&gt;""),IFERROR(_xlfn.XLOOKUP(CS113,Линии[_n],Линии[_фаза итог]),"L1"),IF(OR(N(DL113)&gt;=3,N(BX113)&gt;=3),"L1,L2,L3",IFERROR(_xlfn.TEXTBEFORE(_xlfn.TEXTAFTER(_xlfn.XLOOKUP(A113,Щиты[Щит],Щиты[_фазы авто]),";"&amp;BA113&amp;":"),";"),"L1")))))</f>
        <v>L1</v>
      </c>
      <c r="FV113" t="str">
        <f t="shared" si="209"/>
        <v>L1</v>
      </c>
      <c r="FW113" t="str">
        <f t="shared" si="210"/>
        <v>L1</v>
      </c>
      <c r="FX113" cm="1">
        <f t="array" ref="FX113">IFERROR(IF(CD113=2,_xlfn.IFS(BX113=3,VLOOKUP(BS113,Справочная_двигатели,3,FALSE),BX113=1,VLOOKUP(BS113,Справочная_двигатели,5,TRUE)),0),0)</f>
        <v>0</v>
      </c>
      <c r="FY113">
        <f>IFERROR(IF(CD113=3,VLOOKUP(BS113,Справочная_ЛЭД,2,TRUE),0),0)</f>
        <v>0</v>
      </c>
      <c r="FZ113" s="6">
        <f t="shared" si="211"/>
        <v>0</v>
      </c>
      <c r="GA113" t="str">
        <f>IF(B113="","",IF(TRIM(AH113&amp;"")&lt;&gt;"",IF(LOWER(TRIM(AH113&amp;""))="да","да","нет"),IF(IFERROR(_xlfn.XLOOKUP(BC113,Коды_код,Коды_пожарная),"")="да","да","нет")))</f>
        <v>нет</v>
      </c>
      <c r="GB113" t="str">
        <f t="shared" si="212"/>
        <v/>
      </c>
      <c r="GC113" t="str">
        <f t="shared" si="213"/>
        <v>основная</v>
      </c>
      <c r="GD113">
        <f>IF(AND(BP113=1,TRIM(AE113&amp;"")=""),IF(COUNTIFS(Линии[Щит],A113,Линии[Секция (1/2/3)],"&gt;=2")&gt;0,MIN(3,MAX(1,IFERROR(--BD113,1))),1),IFERROR(MIN(3,MAX(1,INT(--AE113))),1))</f>
        <v>1</v>
      </c>
      <c r="GE113" t="str" cm="1">
        <f t="array" ref="GE113">IF(B113="","",_xlfn.LET(_xlpm.t,IFERROR(_xlfn.XLOOKUP(1,(Шины[Шина]=GC113)*(((Шины[Щит]=A113)+(Шины[Щит]=""))&gt;0),Шины[Тип]),"")&amp;"",IF(_xlpm.t&lt;&gt;"",_xlpm.t,IF(ISNUMBER(SEARCH("ИБП",GC113)),"ИБП",IF(ISNUMBER(SEARCH("ДГУ",GC113)),"ДГУ","Ввод "&amp;GD113)))))</f>
        <v>Ввод 1</v>
      </c>
      <c r="GF113" t="str">
        <f t="shared" si="214"/>
        <v>Ввод 1</v>
      </c>
      <c r="GG113" t="str">
        <f>IF(BP113=0,"",IF(TRIM(AG113&amp;"")&lt;&gt;"",TRIM(AG113&amp;""),IF(OR(GE113="ИБП",GE113="ДГУ"),"I особая",_xlfn.XLOOKUP(A113,Щиты[Щит],Щиты[Категория шины «Ввод»],"III"))))</f>
        <v/>
      </c>
      <c r="GH113" t="str">
        <f>IF(A113="","",_xlfn.XLOOKUP(A113,Щиты[Щит],Щиты[Путь],""))</f>
        <v>|ГРЩ-ЖД|ЩОВ-01|</v>
      </c>
      <c r="GI113" t="str">
        <f>IF(B113="","",IF(AI113&lt;&gt;"",AI113,IF(IFERROR(_xlfn.XLOOKUP(BC113,Коды_код,Коды_вид)&amp;"","")="","Прочее",_xlfn.XLOOKUP(BC113,Коды_код,Коды_вид)&amp;"")))</f>
        <v>Кондиционирование и увлажнение</v>
      </c>
      <c r="GJ113">
        <f>IF(BM113="","",INT((BM113-1)/Столбцов_на_лист)+1)</f>
        <v>2</v>
      </c>
      <c r="GK113" t="str">
        <f t="shared" si="215"/>
        <v>ВВГнг(А)-LS (3х1,5) L=25-0,22%</v>
      </c>
      <c r="GL113">
        <f t="shared" si="216"/>
        <v>0.151</v>
      </c>
      <c r="GM113">
        <f t="shared" si="217"/>
        <v>0.82000000000000006</v>
      </c>
      <c r="GN113">
        <f t="shared" si="218"/>
        <v>1</v>
      </c>
      <c r="GO113">
        <f t="shared" si="219"/>
        <v>0</v>
      </c>
      <c r="GP113">
        <f t="shared" si="220"/>
        <v>1</v>
      </c>
      <c r="GQ113">
        <f>IF(BM113="","",IF(AND(CG113=1,GP113=1),COUNTIFS(A$3:A113,A113,CG$3:CG113,1,GP$3:GP113,1),IF(OR(OR(BA113=1,A113&lt;&gt;A112),AJ113="вручную",GP113=0),"",IF(BA113=1,"",GR112))))</f>
        <v>11</v>
      </c>
      <c r="GR113">
        <f t="shared" si="221"/>
        <v>11</v>
      </c>
      <c r="GS113">
        <f>IF(B113="","",IFERROR(LOOKUP(INDEX(CHOOSE(EB113,Iдоп_1ж,Iдоп_2ж,Iдоп_3ж),MATCH(EN113,Iдоп_S,0))*DZ113*EA113,{6,10,16,20,25,32,40,50,63,80,100,125,160,200,250,315,400,500,630}),""))</f>
        <v>16</v>
      </c>
      <c r="GT113" t="str">
        <f t="shared" si="222"/>
        <v>QF11</v>
      </c>
      <c r="GU113" t="str">
        <f t="shared" si="223"/>
        <v>QF11</v>
      </c>
      <c r="GV113" t="str">
        <f t="shared" si="224"/>
        <v/>
      </c>
      <c r="GW113">
        <f t="shared" si="225"/>
        <v>0</v>
      </c>
      <c r="GX113" t="str">
        <f>IF(OR(B113="",DJ113=""),"",IFERROR(_xlfn.XLOOKUP(DJ113,Модули_умолч[Управление],Модули_умолч[Модель])&amp;"",""))</f>
        <v/>
      </c>
      <c r="GY113">
        <f>IF(DJ113="",1,IFERROR(MAX(0,N(_xlfn.XLOOKUP(DJ113,Модули_умолч[Управление],Модули_умолч[Каналов на линию]))),1))</f>
        <v>1</v>
      </c>
      <c r="GZ113" t="str">
        <f t="shared" si="226"/>
        <v/>
      </c>
      <c r="HA113" t="str">
        <f t="shared" si="227"/>
        <v/>
      </c>
      <c r="HB113" t="str">
        <f t="shared" si="228"/>
        <v/>
      </c>
      <c r="HC113">
        <f>IF(HB113="",0,IFERROR(N(VLOOKUP(HB113,Модули_спр,3,FALSE)),0))</f>
        <v>0</v>
      </c>
      <c r="HD113" t="str">
        <f t="shared" si="229"/>
        <v/>
      </c>
      <c r="HE113" t="str">
        <f t="shared" si="230"/>
        <v/>
      </c>
      <c r="HF113" t="str">
        <f>IF(OR(HE113="",HE113="-"),"",IFERROR(VLOOKUP(HE113,Модули_спр,2,FALSE),"R"))</f>
        <v/>
      </c>
      <c r="HG113" t="str">
        <f>IF(HF113="","",HF113&amp;"."&amp;COUNTIFS(A$3:A113,A113,HF$3:HF113,HF113))</f>
        <v/>
      </c>
      <c r="HH113" t="str">
        <f t="shared" si="231"/>
        <v/>
      </c>
      <c r="HI113" t="str">
        <f t="shared" si="232"/>
        <v/>
      </c>
      <c r="HJ113" t="str">
        <f t="shared" si="233"/>
        <v/>
      </c>
      <c r="HK113" t="str">
        <f t="shared" si="234"/>
        <v/>
      </c>
      <c r="HL113">
        <f t="shared" si="235"/>
        <v>1</v>
      </c>
      <c r="HM113" t="str">
        <f>IF(HL113=1,"XT"&amp;COUNTIFS(A$3:A113,A113,HL$3:HL113,1),"")</f>
        <v>XT11</v>
      </c>
      <c r="HN113" t="str">
        <f t="shared" si="236"/>
        <v/>
      </c>
      <c r="HO113" t="str">
        <f t="shared" si="237"/>
        <v>QF11</v>
      </c>
      <c r="HP113" t="str">
        <f t="shared" si="238"/>
        <v/>
      </c>
      <c r="HQ113" t="str">
        <f t="shared" si="239"/>
        <v>ok</v>
      </c>
      <c r="HR113" t="str">
        <f>IF(OR(HJ113="",HH113=""),"",IF(HJ113+MAX(0,GY113-1)&gt;IFERROR(VLOOKUP(HI113,Модули_спр,3,FALSE),99),"ЛИШНИЙ КАНАЛ",IF(AND(AL113&lt;&gt;"=",GY113&gt;0,COUNTIFS(Линии[_модуль гр.],HH113,Линии[Канал (итог)],HJ113,Линии[Канал],"&lt;&gt;=",Линии[Щит],A113)&gt;1),"ДУБЛЬ КАНАЛА","")))</f>
        <v/>
      </c>
      <c r="HS113" s="6" t="str">
        <f t="shared" si="240"/>
        <v/>
      </c>
      <c r="HT113">
        <f t="shared" si="241"/>
        <v>10</v>
      </c>
      <c r="HU113" t="str">
        <f t="shared" si="242"/>
        <v/>
      </c>
      <c r="HV113">
        <f t="shared" si="243"/>
        <v>0.5769245899286255</v>
      </c>
      <c r="HW113">
        <f t="shared" si="244"/>
        <v>0</v>
      </c>
      <c r="HX113">
        <f t="shared" si="245"/>
        <v>0</v>
      </c>
      <c r="HY113">
        <f t="shared" si="246"/>
        <v>0</v>
      </c>
      <c r="HZ113">
        <f t="shared" si="247"/>
        <v>0</v>
      </c>
      <c r="IA113">
        <f t="shared" si="248"/>
        <v>0</v>
      </c>
      <c r="IB113">
        <f t="shared" si="249"/>
        <v>0</v>
      </c>
      <c r="IC113" t="str">
        <f t="shared" si="250"/>
        <v/>
      </c>
      <c r="ID113" t="str" cm="1">
        <f t="array" ref="ID113">IF(IC113="","",_xlfn.LET(_xlpm.tk,_xlfn.TEXTSPLIT(SUBSTITUTE(SUBSTITUTE(IC113,";"," "),"→"," ")," ",,TRUE),_xlpm.w_,_xlfn._xlws.FILTER(_xlpm.tk,ISNUMBER(--LEFT(_xlpm.tk,1))*((ISNUMBER(SEARCH("W",_xlpm.tk))+ISNUMBER(SEARCH("Вт",_xlpm.tk)))&gt;0),""),IFERROR(--SUBSTITUTE(SUBSTITUTE(UPPER(INDEX(_xlpm.w_,1)),"W",""),"ВТ",""),"")))</f>
        <v/>
      </c>
      <c r="IE113" t="str" cm="1">
        <f t="array" ref="IE113">IF(IC113="","",_xlfn.LET(_xlpm.tk,_xlfn.TEXTSPLIT(SUBSTITUTE(SUBSTITUTE(IC113,";"," "),"→"," ")," ",,TRUE),_xlpm.v_,_xlfn._xlws.FILTER(_xlpm.tk,ISNUMBER(--LEFT(_xlpm.tk,1))*((ISNUMBER(SEARCH("V",_xlpm.tk))+(RIGHT(UPPER(_xlpm.tk))="В"))&gt;0),""),IFERROR(--SUBSTITUTE(SUBSTITUTE(UPPER(INDEX(_xlpm.v_,1)),"V",""),"В",""),"")))</f>
        <v/>
      </c>
      <c r="IF113" s="6" t="str">
        <f>IF(OR(BV113=0,HI113="",HJ113=""),"",IFERROR(N(_xlfn.XLOOKUP(HI113,Каталог!$C$4:$C$500,Каталог!$Q$4:$Q$500)),""))</f>
        <v/>
      </c>
      <c r="IG113" s="6" t="str">
        <f>IF(N(IF113)=0,"",SUMIFS(Линии[Iр, А],Линии[Щит],A113,Линии[_модуль гр.],HH113,Линии[Канал (итог)],HJ113))</f>
        <v/>
      </c>
      <c r="IH113" t="str">
        <f>IF(AND(B113="",HO113=""),"",_xlfn.TEXTJOIN("; ",TRUE,IF(AND(B113&lt;&gt;"",FV113=""),"нет фазы",""),IF(AND(B113&lt;&gt;"",N(GL113)=0,FG113&lt;&gt;"Нет"),"нет мощности",""),IF(AND(HN113&lt;&gt;"",COUNTIFS(Линии[Щит],A113,Линии[Клемма (итог)],HN113)&gt;1),"дубль клеммы "&amp;HN113,""),IF(AND(HQ113&lt;&gt;"",HQ113&lt;&gt;"ok"),HQ113,""),IF(HR113&lt;&gt;"",HR113,""),IF(AND(N(CB113)&gt;=4,N(BX113)=1),CB113&amp;" жил на 1 фазе",""),IF(AND(BC113="R",CG113=1,IF(CS113&lt;&gt;"",N(CV113)&gt;30,OR(N(DA113)=0,N(DA113)&gt;30))),"розетка без дифзащиты до 30 мА",""),IF(AND(CG113=1,N(DA113)&gt;0,ISNUMBER(T113)),IF(T113&gt;N(DA113)/3,"ток утечки "&amp;FIXED(T113,1)&amp;" мА &gt; 1/3 уставки ("&amp;DA113&amp;" мА)",""),""),IF(AND(CH113=1,CS113=""),"«узо»: нет строки с УЗО выше (УЗО 2P 40А 30мА в «Аппаратах»)",""),IF(AND(CS113&lt;&gt;"",CS113=BA113),IF(CT113="","впишите номинал УЗО (УЗО 2P 40А 30мА)",IF(N(CT113)&lt;N(DT113),"УЗО "&amp;CT113&amp;" А &lt; автомата "&amp;DT113&amp;" А перед ним",IF(N(CT113)&lt;N(CX113),"УЗО "&amp;CT113&amp;" А &lt; тока блока "&amp;FIXED(CX113,1)&amp;" А",""))),""),IF(AND(CS113&lt;&gt;"",CS113=BA113,ISNUMBER(CY113)),IF(CY113&gt;N(CV113)/3,"ток утечки блока УЗО "&amp;FIXED(CY113,1)&amp;" мА &gt; 1/3 уставки ("&amp;CV113&amp;" мА)",""),""),IF(AND(CG113=1,N(BV113)+N(IB113)&gt;0,IC113=""),"линии до 50 В без БП: впишите в «Аппараты» (БП 24V 480W)",""),IF(AND(CG113=1,ISNUMBER(ID113),ISNUMBER(U113)),IF(U113&gt;ID113,"БП "&amp;ID113&amp;" Вт &lt; нужно "&amp;U113&amp;" Вт (×"&amp;Запас_БП&amp;")",""),""),IF(AND(CG113=1,ISNUMBER(IE113),N(BV113)=1),IF(IE113&lt;&gt;N(BU113),"БП на "&amp;IE113&amp;" В, линия "&amp;BU113&amp;" В",""),""),IF(AND(N(IF113)&gt;0,N(IG113)&gt;N(IF113)),HH113&amp;" канал "&amp;HJ113&amp;": "&amp;FIXED(IG113,1)&amp;" А &gt; "&amp;IF113&amp;" А",""),IFERROR(IF(AND(ISNUMBER(Q113),Q113&gt;EL113),"потери "&amp;FIXED(Q113,1)&amp;" % &gt; "&amp;EL113&amp;" %",""),""),IFERROR(IF(LEFT(HU113,4)="мало","Iкз мало — отключение &gt; 0,4 с",""),""),IF(AND(B113&lt;&gt;"",BM113=""),"не на схеме",""),IF(AND(CG113=0,B113&lt;&gt;"",FV113&lt;&gt;"",IF(BA113=1,"",FW112)&lt;&gt;"",FV113&lt;&gt;IF(BA113=1,"",FW112)),"фаза не как у автомата группы ("&amp;IF(BA113=1,"",FW112)&amp;")","")))</f>
        <v/>
      </c>
      <c r="II113" s="6">
        <f>IF(OR(CG113=0,DQ113=""),"",_xlfn.LET(_xlpm.t,IFERROR(_xlfn.XLOOKUP(DQ113,Каталог!$U$4:$U$500,Каталог!$G$4:$G$500),""),_xlpm.k,SEARCH("кА",_xlpm.t),IFERROR(--TRIM(RIGHT(SUBSTITUTE(MID(_xlpm.t,MAX(1,_xlpm.k-4),_xlpm.k-MAX(1,_xlpm.k-4))," ",REPT(" ",9)),5)),"")))</f>
        <v>6</v>
      </c>
      <c r="IJ113" t="str">
        <f>IF(OR(II113="",CG113=0),"",IF(_xlfn.XLOOKUP(A113,Щиты[Щит],Щиты[Iкз max на шинах, кА],"")="","",IF(II113&lt;_xlfn.XLOOKUP(A113,Щиты[Щит],Щиты[Iкз max на шинах, кА]),"Icu "&amp;II113&amp;" кА &lt; Iкз max","ok")))</f>
        <v/>
      </c>
      <c r="IK113" t="str">
        <f t="shared" si="251"/>
        <v/>
      </c>
      <c r="IL113" t="str">
        <f t="shared" si="252"/>
        <v>QF11</v>
      </c>
      <c r="IM113" t="str">
        <f t="shared" si="253"/>
        <v>QF11|кабель ВВГнг(А)-LS (3х1,5) → Внутренний блок кондиционирования цокольный этаж Пом. №002Т</v>
      </c>
      <c r="IN113" t="str" cm="1">
        <f t="array" ref="IN113">IF(IM113="","",_xlfn.LET(_xlpm.nd,_xlfn.TEXTSPLIT(IM113,"|"),IF(COLUMNS(_xlpm.nd)&gt;1,A113&amp;"¦"&amp;INDEX(_xlpm.nd,1)&amp;"¦"&amp;INDEX(_xlpm.nd,2),"")))</f>
        <v>ЩОВ-01¦QF11¦кабель ВВГнг(А)-LS (3х1,5) → Внутренний блок кондиционирования цокольный этаж Пом. №002Т</v>
      </c>
      <c r="IO113" t="str">
        <f t="shared" si="254"/>
        <v>K.0.002T.2¦Внутренний блок кондиционирования цокольный этаж Пом. №002Т</v>
      </c>
      <c r="IP113" t="str" cm="1">
        <f t="array" ref="IP113">IF(IM113="","",_xlfn.LET(_xlpm.nd,_xlfn.TEXTSPLIT(IM113,"|"),IF(COLUMNS(_xlpm.nd)&gt;2,A113&amp;"¦"&amp;INDEX(_xlpm.nd,2)&amp;"¦"&amp;INDEX(_xlpm.nd,3),"")))</f>
        <v/>
      </c>
      <c r="IQ113" t="str">
        <f t="shared" si="255"/>
        <v/>
      </c>
      <c r="IR113" t="str" cm="1">
        <f t="array" ref="IR113">IF(IM113="","",_xlfn.LET(_xlpm.nd,_xlfn.TEXTSPLIT(IM113,"|"),IF(COLUMNS(_xlpm.nd)&gt;3,A113&amp;"¦"&amp;INDEX(_xlpm.nd,3)&amp;"¦"&amp;INDEX(_xlpm.nd,4),"")))</f>
        <v/>
      </c>
      <c r="IS113" t="str">
        <f t="shared" si="256"/>
        <v/>
      </c>
      <c r="IT113" t="str" cm="1">
        <f t="array" ref="IT113">IF(IM113="","",_xlfn.LET(_xlpm.nd,_xlfn.TEXTSPLIT(IM113,"|"),IF(COLUMNS(_xlpm.nd)&gt;4,A113&amp;"¦"&amp;INDEX(_xlpm.nd,4)&amp;"¦"&amp;INDEX(_xlpm.nd,5),"")))</f>
        <v/>
      </c>
      <c r="IU113" t="str">
        <f t="shared" si="257"/>
        <v/>
      </c>
      <c r="IV113" t="str" cm="1">
        <f t="array" ref="IV113">IF(IM113="","",_xlfn.LET(_xlpm.nd,_xlfn.TEXTSPLIT(IM113,"|"),IF(COLUMNS(_xlpm.nd)&gt;5,A113&amp;"¦"&amp;INDEX(_xlpm.nd,5)&amp;"¦"&amp;INDEX(_xlpm.nd,6),"")))</f>
        <v/>
      </c>
      <c r="IW113" t="str">
        <f t="shared" si="258"/>
        <v/>
      </c>
      <c r="IX113" t="str" cm="1">
        <f t="array" ref="IX113">IF(IM113="","",_xlfn.LET(_xlpm.nd,_xlfn.TEXTSPLIT(IM113,"|"),IF(COLUMNS(_xlpm.nd)&gt;6,A113&amp;"¦"&amp;INDEX(_xlpm.nd,6)&amp;"¦"&amp;INDEX(_xlpm.nd,7),"")))</f>
        <v/>
      </c>
      <c r="IY113" t="str">
        <f t="shared" si="259"/>
        <v/>
      </c>
      <c r="IZ113" t="str">
        <f t="shared" si="260"/>
        <v/>
      </c>
      <c r="JA113" t="str">
        <f t="shared" si="261"/>
        <v>QF11</v>
      </c>
      <c r="JB113">
        <f t="shared" si="262"/>
        <v>0</v>
      </c>
      <c r="JC113">
        <f t="shared" si="263"/>
        <v>0</v>
      </c>
      <c r="JD113" t="str">
        <f t="shared" si="264"/>
        <v/>
      </c>
      <c r="JE113" t="str">
        <f t="shared" si="265"/>
        <v/>
      </c>
      <c r="JF113" t="str">
        <f t="shared" si="266"/>
        <v/>
      </c>
      <c r="JG113" t="str">
        <f t="shared" si="267"/>
        <v/>
      </c>
      <c r="JH113">
        <f>IF(B113="","",IFERROR(_xlfn.XLOOKUP(B113,Коды_код,Коды_уго),IFERROR(_xlfn.XLOOKUP(BC113,Коды_код,Коды_уго),IFERROR(_xlfn.XLOOKUP(LEFT(BC113,2),Коды_код,Коды_уго),""))))</f>
        <v>0</v>
      </c>
      <c r="JI113" t="str">
        <f>IF(B113="","",IF(OR(JH113="",JH113=0),"BOX",IFERROR(IF(VLOOKUP(JH113,УГО_блоки,3,FALSE)&amp;""&lt;&gt;"",VLOOKUP(JH113,УГО_блоки,3,FALSE),VLOOKUP(JH113,УГО_блоки,2,FALSE)),JH113)))</f>
        <v>BOX</v>
      </c>
      <c r="JJ113">
        <f t="shared" si="268"/>
        <v>1</v>
      </c>
      <c r="JK113" t="str">
        <f>IF(DQ113="","",IF(COUNTIF(DQ$3:DQ113,DQ113)=1,MAX(JK$2:JK112)+1,""))</f>
        <v/>
      </c>
      <c r="JL113" t="str">
        <f>IF(DE113="","",IF(COUNTIF(DE$3:DE113,DE113)+COUNTIF(DF$2:DF112,DE113)+COUNTIF(DG$2:DG112,DE113)=1,MAX(JL$2:JN112)+1,""))</f>
        <v/>
      </c>
      <c r="JM113" t="str">
        <f>IF(DF113="","",IF(COUNTIF(DE$3:DE113,DF113)+COUNTIF(DF$3:DF113,DF113)+COUNTIF(DG$2:DG112,DF113)=1,MAX(JL$2:JN112,JL113)+1,""))</f>
        <v/>
      </c>
      <c r="JN113" t="str">
        <f>IF(DG113="","",IF(COUNTIF(DE$3:DE113,DG113)+COUNTIF(DF$3:DF113,DG113)+COUNTIF(DG$3:DG113,DG113)=1,MAX(JL$2:JN112,JL113,JM113)+1,""))</f>
        <v/>
      </c>
      <c r="JO113" t="str">
        <f t="shared" si="269"/>
        <v>3х1,5</v>
      </c>
      <c r="JP113" t="str">
        <f>IF(JO113="","",IF(COUNTIF(JO$3:JO113,JO113)=1,MAX(JP$2:JP112)+1,""))</f>
        <v/>
      </c>
      <c r="JQ113" t="str">
        <f>IF(HG113="","",COUNTIF(HG$3:HG113,"?*"))</f>
        <v/>
      </c>
      <c r="JR113" t="str">
        <f>IF(OR(HG113="",HI113=""),"",IF(COUNTIFS(HG$3:HG113,"?*",HI$3:HI113,HI113)=1,MAX(JR$2:JR112)+1,""))</f>
        <v/>
      </c>
      <c r="JS113">
        <f t="shared" si="270"/>
        <v>0</v>
      </c>
      <c r="JT113">
        <f>IF(B113="","",COUNTIF(B$3:B113,"?*"))</f>
        <v>111</v>
      </c>
      <c r="JU113">
        <f>IF(HL113&lt;&gt;1,0,_xlfn.LET(_xlpm.k,MAX(IFERROR(--_xlfn.XLOOKUP(B113,Коды_код,Коды_3L),0),IFERROR(--_xlfn.XLOOKUP(BC113,Коды_код,Коды_3L),0),IFERROR(--_xlfn.XLOOKUP(LEFT(BC113,2),Коды_код,Коды_3L),0)),IF(_xlpm.k&gt;0,_xlpm.k,IF(IFERROR(--LEFT(SUBSTITUTE(JO113,"x","х"),FIND("х",SUBSTITUTE(JO113,"x","х"))-1),3)&gt;3,Каталог!$S$9,1))))</f>
        <v>1</v>
      </c>
      <c r="JV113">
        <f t="shared" si="271"/>
        <v>0</v>
      </c>
      <c r="JW113" t="str">
        <f t="shared" si="272"/>
        <v>авто</v>
      </c>
      <c r="JX113" t="str">
        <f t="shared" si="273"/>
        <v/>
      </c>
      <c r="JY113">
        <f t="shared" si="274"/>
        <v>0</v>
      </c>
      <c r="JZ113">
        <f t="shared" si="275"/>
        <v>1</v>
      </c>
    </row>
    <row r="114" spans="1:286" x14ac:dyDescent="0.3">
      <c r="A114" t="s">
        <v>745</v>
      </c>
      <c r="B114" t="s">
        <v>1425</v>
      </c>
      <c r="C114" t="s">
        <v>1676</v>
      </c>
      <c r="D114">
        <v>1</v>
      </c>
      <c r="E114">
        <v>0.16200000000000001</v>
      </c>
      <c r="G114">
        <v>10</v>
      </c>
      <c r="H114" t="str">
        <f>Линии[[#This Row],[_авто управление]]</f>
        <v/>
      </c>
      <c r="I114" t="str">
        <f>Линии[[#This Row],[_авто аппараты]]</f>
        <v/>
      </c>
      <c r="J114">
        <v>1.5</v>
      </c>
      <c r="K114">
        <v>52</v>
      </c>
      <c r="L114" t="str">
        <f>Линии[[#This Row],[_авто фаза]]</f>
        <v>L3</v>
      </c>
      <c r="M114" t="s">
        <v>484</v>
      </c>
      <c r="N114" t="str">
        <f t="shared" si="138"/>
        <v/>
      </c>
      <c r="O114" s="6" cm="1">
        <f t="array" ref="O114">IF(B114="","",IF(BH114&lt;&gt;"",IFERROR(_xlfn.XLOOKUP(BH114,Щиты[Щит],Щиты[Iр, А]),""),IF(BP114=1,IF(OR(N(_xlfn.XLOOKUP(A114,Щиты[Щит],Щиты[Вводов],1))&lt;=1,LOWER(TRIM(_xlfn.XLOOKUP(A114,Щиты[Щит],Щиты[АВР],"")&amp;""))="да"),IFERROR(_xlfn.XLOOKUP(A114,Щиты[Щит],Щиты[Iр, А]),""),IFERROR(N(BS114)*_xlfn.XLOOKUP(A114,Щиты[Щит],Щиты[Кс итог])/(SQRT(3)*Uн_лин*_xlfn.XLOOKUP(A114,Щиты[Щит],Щиты[cos φ])),"")),IF(BV114=1,IFERROR(BS114*1000/BU114,""),IFERROR(_xlfn.IFS(BX114=1,BS114/((Uн_лин/SQRT(3))*CE114),BX114=3,BS114/(SQRT(3)*Uн_лин*CE114)),"")))))</f>
        <v>0.87685072133174402</v>
      </c>
      <c r="P114" s="7">
        <f>IF(B114="","",IFERROR(IF(VLOOKUP(BC114,Потребители_обозначение,4,FALSE)=1,VLOOKUP(BC114,Потребители_обозначение,3,FALSE)*(MAX(1,N(D114))*2-1)+EI114+VLOOKUP(BE114,Этаж_обозначение,3,FALSE)+VLOOKUP(BE114,Этаж_обозначение,4,FALSE),VLOOKUP(BC114,Потребители_обозначение,3,FALSE)*(MAX(1,N(D114))*2-1)+EI114),EI114))</f>
        <v>54</v>
      </c>
      <c r="Q114" s="6">
        <f t="shared" si="139"/>
        <v>0.74</v>
      </c>
      <c r="R114" t="str">
        <f t="shared" si="140"/>
        <v>ВВГнг(А)-LS (3х1,5)</v>
      </c>
      <c r="S114" t="str">
        <f>IF(BM114="","",IF(BN114="вводной узел","узел ","")&amp;"л."&amp;(INT((BM114-1)/Столбцов_на_лист)+1)&amp;" / "&amp;(MOD(BM114-1,Столбцов_на_лист)+1))</f>
        <v>л.2 / 9</v>
      </c>
      <c r="T114" s="119">
        <f t="shared" si="141"/>
        <v>0.9</v>
      </c>
      <c r="U114" s="7" t="str">
        <f>IF(OR(CG114=0,N(BV114)+N(IB114)=0),"",ROUNDUP(Запас_БП*(N(HY114)+N(HZ114)),0))</f>
        <v/>
      </c>
      <c r="V114" s="119" t="str">
        <f t="shared" si="142"/>
        <v/>
      </c>
      <c r="W114" s="7" t="str">
        <f>IFERROR(IF(OR(B114="",BP114=1,BV114=1,NOT(ISNUMBER(EN114)),N(DT114)=0),"",MAX(0,ROUNDDOWN((c_min*(Uн_лин*1000/SQRT(3))/(HT114*N(DT114))-_xlfn.XLOOKUP(A114,Щиты[Щит],Щиты[Zпетли на шинах, Ом]))*EN114/(2*ρкз_Cu),0))),"")</f>
        <v/>
      </c>
      <c r="Y114" t="str">
        <f>Линии[[#This Row],[_авто утечка]]</f>
        <v/>
      </c>
      <c r="Z114">
        <v>1</v>
      </c>
      <c r="AA114">
        <v>230</v>
      </c>
      <c r="AB114" t="s">
        <v>598</v>
      </c>
      <c r="AC114">
        <v>0.5</v>
      </c>
      <c r="AG114" t="s">
        <v>810</v>
      </c>
      <c r="AI114" t="s">
        <v>576</v>
      </c>
      <c r="AK114" t="str">
        <f>Линии[[#This Row],[_авто модуль]]</f>
        <v/>
      </c>
      <c r="AM114">
        <v>26</v>
      </c>
      <c r="AN114" t="s">
        <v>11</v>
      </c>
      <c r="AO114">
        <v>3</v>
      </c>
      <c r="AQ114">
        <v>36</v>
      </c>
      <c r="AR114">
        <v>18</v>
      </c>
      <c r="AT114">
        <v>1</v>
      </c>
      <c r="BA114" cm="1">
        <f t="array" ref="BA114">ROW()-ROW(Линии[#Headers])</f>
        <v>112</v>
      </c>
      <c r="BC114" s="6" t="str">
        <f t="shared" si="143"/>
        <v>K</v>
      </c>
      <c r="BD114" t="str">
        <f t="shared" si="144"/>
        <v>0.004A-K.0.005A</v>
      </c>
      <c r="BE114" t="str">
        <f t="shared" si="145"/>
        <v>0</v>
      </c>
      <c r="BF114" t="str">
        <f t="shared" si="146"/>
        <v>004A-K.0.005A</v>
      </c>
      <c r="BG114" t="str">
        <f t="shared" si="147"/>
        <v>004A-K</v>
      </c>
      <c r="BH114" t="str">
        <f>IF(X114&lt;&gt;"",X114,IF(AND(B114&lt;&gt;"",B114&lt;&gt;A114,ISNUMBER(_xlfn.XMATCH(B114,Щиты[Щит]))),B114,""))</f>
        <v/>
      </c>
      <c r="BI114" t="str" cm="1">
        <f t="array" ref="BI114">IF(B114="","",IF(BH114&lt;&gt;"","Щит "&amp;BH114,_xlfn.LET(_xlpm.nm,IFERROR(_xlfn.XLOOKUP(BC114,Коды_код,Коды_имя)&amp;"",""),_xlpm.md,IFERROR(N(_xlfn.XLOOKUP(BC114,Коды_код,Коды_режим)),1),_xlpm.ex,IF(Имя_режим="по экспликации",IFERROR(_xlfn.XLOOKUP(BE114&amp;"|"&amp;BG114,Экспликация[Этаж]&amp;"|"&amp;Экспликация[Помещение],Экспликация[Название])&amp;"",""),""),_xlpm.rm,IF(BG114="","",IF(_xlpm.ex&lt;&gt;"",". "&amp;_xlpm.ex&amp;IF(Имя_пом="нет"," ("&amp;BG114&amp;")"," (пом. "&amp;BG114&amp;")"),IF(Имя_пом="нет"," ",", пом. ")&amp;BG114)),IF(_xlpm.nm="","",IF(_xlpm.md=2,_xlpm.nm&amp;" шлейф "&amp;BE114,_xlpm.nm&amp;_xlpm.rm)))))</f>
        <v>Внутренний блок кондиционирования, пом. 004A-K</v>
      </c>
      <c r="BJ114" t="str">
        <f t="shared" si="148"/>
        <v>Внутренний блок кондиционирования цокольный этаж Пом. №013.1Б</v>
      </c>
      <c r="BK114">
        <f>IFERROR(_xlfn.XMATCH(A114,Щиты[Щит]),0)</f>
        <v>6</v>
      </c>
      <c r="BL114">
        <f>_xlfn.LET(_xlpm.k,IFERROR(_xlfn.XLOOKUP(A114,Щиты[Щит],Щиты[Мест под вводной узел]),""),IF(_xlpm.k="",Столбцов_на_лист,N(_xlpm.k)))</f>
        <v>12</v>
      </c>
      <c r="BM114">
        <f t="shared" si="149"/>
        <v>26</v>
      </c>
      <c r="BN114" t="str">
        <f t="shared" si="150"/>
        <v>линии</v>
      </c>
      <c r="BO114" s="6">
        <f>IFERROR(N(_xlfn.XLOOKUP(BC114,Коды_код,Коды_квт)),0)</f>
        <v>0</v>
      </c>
      <c r="BP114">
        <f t="shared" si="151"/>
        <v>0</v>
      </c>
      <c r="BQ114" t="str">
        <f>IF(B114="","",IF(BH114&lt;&gt;"",IFERROR(_xlfn.XLOOKUP(BH114,Щиты[Щит],Щиты[Руст, кВт]),0),IF(BP114=1,IF(OR(N(_xlfn.XLOOKUP(A114,Щиты[Щит],Щиты[Вводов],1))&lt;=1,LOWER(TRIM(_xlfn.XLOOKUP(A114,Щиты[Щит],Щиты[АВР],"")&amp;""))="да"),IFERROR(_xlfn.XLOOKUP(A114,Щиты[Щит],Щиты[Руст, кВт]),0),SUMIFS(Линии[_Р для вводов],Линии[Щит],A114,Линии[Источник для режимов],GF114)),IF(BO114&gt;0,ROUND(BO114*MAX(1,N(D114)),3),""))))</f>
        <v/>
      </c>
      <c r="BR114">
        <f t="shared" si="152"/>
        <v>0.16200000000000001</v>
      </c>
      <c r="BS114" s="6">
        <f>IF(B114="","",IF(BH114&lt;&gt;"",IFERROR(_xlfn.XLOOKUP(BH114,Щиты[Щит],Щиты[Руст, кВт]),0),N(BR114)))</f>
        <v>0.16200000000000001</v>
      </c>
      <c r="BT114" t="str">
        <f>IF(B114="","",IFERROR(IF(VLOOKUP(BC114,Потребители_обозначение,8,FALSE)=0,"",VLOOKUP(BC114,Потребители_обозначение,8,FALSE)),""))</f>
        <v/>
      </c>
      <c r="BU114">
        <f t="shared" si="153"/>
        <v>230</v>
      </c>
      <c r="BV114">
        <f t="shared" si="154"/>
        <v>0</v>
      </c>
      <c r="BW114">
        <f>IF(B114="","",IF(BH114&lt;&gt;"",3,IFERROR(IF(N(VLOOKUP(BC114,Потребители_обозначение,9,FALSE))=0,1,VLOOKUP(BC114,Потребители_обозначение,9,FALSE)),1)))</f>
        <v>1</v>
      </c>
      <c r="BX114">
        <f t="shared" si="155"/>
        <v>1</v>
      </c>
      <c r="BY114" t="str">
        <f>IF(B114="","",_xlfn.LET(_xlpm.bc,IFERROR(IF(VLOOKUP(BC114,Потребители_обозначение,6,FALSE)=0,"",VLOOKUP(BC114,Потребители_обозначение,6,FALSE)&amp;""),""),IF(AND(GA114="да",OR(_xlpm.bc="",_xlpm.bc="мс")),Марка_пож,IF(AND(_xlpm.bc="",BH114&lt;&gt;""),"мс",_xlpm.bc))))</f>
        <v/>
      </c>
      <c r="BZ114" t="str">
        <f t="shared" si="156"/>
        <v>мс</v>
      </c>
      <c r="CA114">
        <f>IF(B114="","",_xlfn.LET(_xlpm.cc,IFERROR(N(VLOOKUP(BC114,Потребители_обозначение,7,FALSE)),0),IF(_xlpm.cc&gt;0,_xlpm.cc,IF(BZ114="","",IF(BV114=1,2,IF(N(BX114)=3,5,3))))))</f>
        <v>3</v>
      </c>
      <c r="CB114">
        <f t="shared" si="157"/>
        <v>3</v>
      </c>
      <c r="CC114">
        <f>IFERROR(N(VLOOKUP(BC114,Потребители_обозначение,10,FALSE)),0)</f>
        <v>0</v>
      </c>
      <c r="CD114">
        <f>IFERROR(VLOOKUP(BC114,Потребители_обозначение,5,FALSE),0)</f>
        <v>1</v>
      </c>
      <c r="CE114" s="6" cm="1">
        <f t="array" ref="CE114">IF(B114="","",IF(BH114&lt;&gt;"",IFERROR(_xlfn.XLOOKUP(BH114,Щиты[Щит],Щиты[cos φ]),0.95),IF(BP114=1,IFERROR(_xlfn.XLOOKUP(A114,Щиты[Щит],Щиты[cos φ]),0.95),IF(ISNUMBER(AD114),AD114,IFERROR(IF(CD114=2,_xlfn.IFS(BX114=3,VLOOKUP(BS114,Справочная_двигатели,8,FALSE),BX114=1,VLOOKUP(BS114,Справочная_двигатели,10,TRUE)),IF(AND(Методика="нормы 2026",FG114="Сил"),0.8,0.95)),0.95)))))</f>
        <v>0.8</v>
      </c>
      <c r="CF114">
        <f t="shared" si="158"/>
        <v>0</v>
      </c>
      <c r="CG114">
        <f t="shared" si="159"/>
        <v>1</v>
      </c>
      <c r="CH114">
        <f t="shared" si="160"/>
        <v>0</v>
      </c>
      <c r="CI114">
        <f>IF(B114="","",IF(BV114=1,IFERROR(BS114/((Uн_лин/SQRT(3))*MAX(0.5,N(CE114))),0),N(O114)))</f>
        <v>0.87685072133174402</v>
      </c>
      <c r="CJ114">
        <f t="shared" si="161"/>
        <v>0</v>
      </c>
      <c r="CK114">
        <f t="shared" si="162"/>
        <v>0</v>
      </c>
      <c r="CL114">
        <f t="shared" si="163"/>
        <v>0</v>
      </c>
      <c r="CM114">
        <f t="shared" si="164"/>
        <v>0</v>
      </c>
      <c r="CN114">
        <f t="shared" si="165"/>
        <v>0</v>
      </c>
      <c r="CO114">
        <f>IF(BC114="",0,_xlfn.LET(_xlpm.v,IFERROR(_xlfn.XLOOKUP(B114,Коды_код,Коды_мА),IFERROR(_xlfn.XLOOKUP(BC114,Коды_код,Коды_мА),IFERROR(_xlfn.XLOOKUP(LEFT(BC114,2),Коды_код,Коды_мА),""))),IF(_xlpm.v="да",30,IF(ISNUMBER(_xlpm.v),_xlpm.v,0))))</f>
        <v>0</v>
      </c>
      <c r="CP114" t="str">
        <f t="shared" si="166"/>
        <v/>
      </c>
      <c r="CQ114" t="str">
        <f>_xlfn.LET(_xlpm.k,IFERROR(_xlfn.XLOOKUP(BC114,Коды_код,Коды_утечка)&amp;"",""),IF(_xlpm.k="","дифавтомат",_xlpm.k))</f>
        <v>дифавтомат</v>
      </c>
      <c r="CR114" t="str" cm="1">
        <f t="array" ref="CR114">IF(CG114=0,"",_xlfn.LET(_xlpm.sg,TRIM(_xlfn.TEXTSPLIT(DD114&amp;"",";")),_xlpm.f_,_xlfn._xlws.FILTER(_xlpm.sg,LEFT(_xlpm.sg,3)="УЗО",""),IFERROR(INDEX(_xlpm.f_,1)&amp;"","")))</f>
        <v/>
      </c>
      <c r="CS114" t="str">
        <f t="shared" si="167"/>
        <v/>
      </c>
      <c r="CT114" s="6" t="str" cm="1">
        <f t="array" ref="CT114">IF(CR114="","",_xlfn.LET(_xlpm.tk,_xlfn.TEXTSPLIT(UPPER(CR114)," ",,TRUE),_xlpm.a_,_xlfn._xlws.FILTER(_xlpm.tk,ISNUMBER(--LEFT(_xlpm.tk,1))*((ISNUMBER(SEARCH("А",_xlpm.tk))+ISNUMBER(SEARCH("A",_xlpm.tk)))&gt;0)*NOT(ISNUMBER(SEARCH("МА",_xlpm.tk)))*NOT(ISNUMBER(SEARCH("MA",_xlpm.tk))),""),IFERROR(--SUBSTITUTE(SUBSTITUTE(INDEX(_xlpm.a_,1),"А",""),"A",""),"")))</f>
        <v/>
      </c>
      <c r="CU114" t="str" cm="1">
        <f t="array" ref="CU114">IF(CR114="","",_xlfn.LET(_xlpm.tk,_xlfn.TEXTSPLIT(UPPER(CR114)," ",,TRUE),_xlpm.a_,_xlfn._xlws.FILTER(_xlpm.tk,ISNUMBER(--LEFT(_xlpm.tk,1))*((ISNUMBER(SEARCH("МА",_xlpm.tk))+ISNUMBER(SEARCH("MA",_xlpm.tk)))&gt;0),""),IFERROR(--SUBSTITUTE(SUBSTITUTE(INDEX(_xlpm.a_,1),"МА",""),"MA",""),30)))</f>
        <v/>
      </c>
      <c r="CV114" t="str">
        <f>IF(CS114="","",IFERROR(_xlfn.XLOOKUP(CS114,Линии[_n],Линии[_УЗО, мА]),30))</f>
        <v/>
      </c>
      <c r="CW114">
        <f>IF(CS114="",0,IF(ISNUMBER(SEARCH("4P",IFERROR(_xlfn.XLOOKUP(CS114,Линии[_n],Линии[_УЗО строки])&amp;"",""))),0,1))</f>
        <v>0</v>
      </c>
      <c r="CX114" t="str">
        <f>IF(AND(CS114&lt;&gt;"",CS114=BA114),SUMIFS(Линии[_ток на 230 В],Линии[_блок УЗО],BA114,Линии[Щит],A114),"")</f>
        <v/>
      </c>
      <c r="CY114" t="str">
        <f>IF(AND(CS114&lt;&gt;"",CS114=BA114),SUMIFS(Линии[_ток утечки линии, мА],Линии[_блок УЗО],BA114,Линии[Щит],A114),"")</f>
        <v/>
      </c>
      <c r="CZ114">
        <f t="shared" si="168"/>
        <v>0</v>
      </c>
      <c r="DA114">
        <f t="shared" si="169"/>
        <v>0</v>
      </c>
      <c r="DB114">
        <f>IF(B114="",0,IFERROR(--_xlfn.XLOOKUP(B114,Коды_код,Коды_минавт),IFERROR(--_xlfn.XLOOKUP(BC114,Коды_код,Коды_минавт),IFERROR(--_xlfn.XLOOKUP(LEFT(BC114,2),Коды_код,Коды_минавт),0))))</f>
        <v>0</v>
      </c>
      <c r="DC114" t="str">
        <f>IF(B114="","",IFERROR(_xlfn.XLOOKUP(BC114,Коды_код,Коды_апп)&amp;"",""))</f>
        <v/>
      </c>
      <c r="DD114" t="str">
        <f t="shared" si="170"/>
        <v/>
      </c>
      <c r="DE114" t="str" cm="1">
        <f t="array" ref="DE114">IF(TRIM(DD114&amp;"")="","",IFERROR(TRIM(INDEX(_xlfn.TEXTSPLIT(DD114&amp;";;;",";"),1)),""))</f>
        <v/>
      </c>
      <c r="DF114" t="str" cm="1">
        <f t="array" ref="DF114">IF(TRIM(DD114&amp;"")="","",IFERROR(TRIM(INDEX(_xlfn.TEXTSPLIT(DD114&amp;";;;",";"),2)),""))</f>
        <v/>
      </c>
      <c r="DG114" t="str" cm="1">
        <f t="array" ref="DG114">IF(TRIM(DD114&amp;"")="","",IFERROR(TRIM(INDEX(_xlfn.TEXTSPLIT(DD114&amp;";;;",";"),3)),""))</f>
        <v/>
      </c>
      <c r="DH114">
        <f t="shared" si="171"/>
        <v>0</v>
      </c>
      <c r="DI114" t="str">
        <f>IF(B114="","",_xlfn.LET(_xlpm.t,LOWER(AZ114&amp;""),IF(ISNUMBER(SEARCH("dim",_xlpm.t)),"DIM",IF(ISNUMBER(SEARCH("dali",_xlpm.t)),"DALI",IF(OR(ISNUMBER(SEARCH("relay",_xlpm.t)),ISNUMBER(SEARCH("реле",_xlpm.t))),"Relay",IF(ISNUMBER(SEARCH("кнопк",_xlpm.t)),"",IFERROR(_xlfn.XLOOKUP(BC114,Коды_код,Коды_упр)&amp;"","")))))))</f>
        <v/>
      </c>
      <c r="DJ114" t="str">
        <f t="shared" si="172"/>
        <v/>
      </c>
      <c r="DK114">
        <f>IF(B114="","",_xlfn.LET(_xlpm.ig,IF(N(CX114)&gt;0,N(CX114),N(CI114)+IF(AJ114="вручную",0,N(CJ114))),_xlpm.n0,IFERROR(VLOOKUP(_xlpm.ig,Автомат_номиналы,2,TRUE),0),_xlpm.mn,MAX(DB114,IF(AJ114="вручную",0,N(CM114))),MAX(_xlpm.n0,_xlpm.mn,IF(DH114=1,Мин_автомат_БП,0))))</f>
        <v>6</v>
      </c>
      <c r="DL114">
        <f t="shared" si="173"/>
        <v>1</v>
      </c>
      <c r="DM114" t="str">
        <f t="shared" si="174"/>
        <v>1P</v>
      </c>
      <c r="DN114" t="str">
        <f>_xlfn.LET(_xlpm.cc,UPPER(TRIM(IFERROR(_xlfn.XLOOKUP(BC114,Коды_код,Коды_хар)&amp;"",""))),IF(OR(_xlpm.cc="B",_xlpm.cc="В"),"B",IF(_xlpm.cc="D","D","С")))</f>
        <v>С</v>
      </c>
      <c r="DO114" t="str">
        <f t="shared" si="175"/>
        <v>1P С6А</v>
      </c>
      <c r="DP114">
        <f t="shared" si="176"/>
        <v>10</v>
      </c>
      <c r="DQ114" t="str">
        <f t="shared" si="177"/>
        <v>1P С10А</v>
      </c>
      <c r="DR114" cm="1">
        <f t="array" ref="DR114">IF(DQ114="","",_xlfn.LET(_xlpm.t,SUBSTITUTE(SUBSTITUTE(SUBSTITUTE(UPPER(DQ114),"С","C"),"А","A"),"В","B"),_xlpm.tk,_xlfn.TEXTSPLIT(_xlpm.t," "),_xlpm.f,_xlfn._xlws.FILTER(_xlpm.tk,ISNUMBER(--MID(_xlpm.tk,2,1))*ISNUMBER(SEARCH(LEFT(_xlpm.tk,1)&amp;"#","B#C#D#"))*(LEN(_xlpm.tk)&gt;1),""),_xlpm.x,INDEX(_xlpm.f,1),IFERROR(--SUBSTITUTE(MID(_xlpm.x,2,9),"A",""),IFERROR(--SUBSTITUTE(INDEX(_xlfn._xlws.FILTER(_xlpm.tk,ISNUMBER(--SUBSTITUTE(_xlpm.tk,"A","")),""),1),"A",""),""))))</f>
        <v>10</v>
      </c>
      <c r="DS114" t="str">
        <f t="shared" si="178"/>
        <v>ok</v>
      </c>
      <c r="DT114">
        <f t="shared" si="179"/>
        <v>10</v>
      </c>
      <c r="DU114" t="str">
        <f t="shared" si="180"/>
        <v>1P С10А</v>
      </c>
      <c r="DV114">
        <f t="shared" si="181"/>
        <v>0</v>
      </c>
      <c r="DW114">
        <f t="shared" si="182"/>
        <v>0</v>
      </c>
      <c r="DX114">
        <f t="shared" si="183"/>
        <v>0</v>
      </c>
      <c r="DY114">
        <f t="shared" si="184"/>
        <v>0.87685072133174402</v>
      </c>
      <c r="DZ114">
        <f t="shared" si="185"/>
        <v>1</v>
      </c>
      <c r="EA114">
        <f>IF(ISNUMBER(AP114),AP114,К_прокл)</f>
        <v>1</v>
      </c>
      <c r="EB114">
        <f t="shared" si="186"/>
        <v>2</v>
      </c>
      <c r="EC114">
        <f>IFERROR(N(VLOOKUP(BZ114,Кабель_обозначение,3,FALSE)),1)</f>
        <v>1</v>
      </c>
      <c r="ED114">
        <f>IFERROR(N(_xlfn.XLOOKUP(A114,Щиты[Щит],Щиты[ΔU до шин, %])),0)</f>
        <v>0.24000000000000002</v>
      </c>
      <c r="EE114" t="str">
        <f>IFERROR(_xlfn.XLOOKUP(A114,Щиты[Щит],Щиты[Zпетли на шинах, Ом]),"")</f>
        <v/>
      </c>
      <c r="EF114">
        <f>IFERROR(N(_xlfn.XLOOKUP(A114,Щиты[Щит],Щиты[ΔU до шин (подбор), %])),0)</f>
        <v>0.36</v>
      </c>
      <c r="EG114" t="str">
        <f>IFERROR(_xlfn.XLOOKUP(A114,Щиты[Щит],Щиты[Zпетли на шинах (подбор), Ом]),"")</f>
        <v/>
      </c>
      <c r="EH114" t="str">
        <f t="shared" si="187"/>
        <v/>
      </c>
      <c r="EI114">
        <f t="shared" si="188"/>
        <v>52</v>
      </c>
      <c r="EJ114">
        <f t="shared" si="189"/>
        <v>2</v>
      </c>
      <c r="EK114">
        <f t="shared" si="190"/>
        <v>0.6</v>
      </c>
      <c r="EL114" s="6">
        <f>IF(B114="","",IF(BV114=1,dU_LED,IF(IFERROR(_xlfn.XLOOKUP(BC114,Коды_код,Коды_уго),"")="Светильник",3,4)+IF(Методика="нормы 2026",MIN(0.5,MAX(0,N(P114)-100)*0.005),0)))</f>
        <v>4</v>
      </c>
      <c r="EM114" cm="1">
        <f t="array" ref="EM114">IF(OR(B114="",BZ114="",EC114&lt;&gt;1),"",_xlfn.LET(_xlpm.sz,Iдоп_S,_xlpm.t_,CHOOSE(EB114,Iдоп_1ж,Iдоп_2ж,Iдоп_3ж)*DZ114*EA114,_xlpm.dcx,BV114=1,_xlpm.inn,IF(_xlpm.dcx,N(O114),N(DT114)),_xlpm.smin,MAX(1.5,CC114),_xlpm.L_,N(P114)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114)/N(BU114)*100,999),IFERROR(N(EJ114)*(_xlpm.rho*_xlpm.L_/_xlpm.sz*N(CE114)+_xlpm.xx*_xlpm.L_*N(EK114)/1000)*N(O114)/((Uн_лин/SQRT(3))*1000)*100,999)),_xlpm.kz,IF(OR(_xlpm.dcx,DW114=1,NOT(ISNUMBER(EG114)),_xlpm.L_=0,_xlpm.inn=0),1,IFERROR(--(c_min*(Uн_лин*1000/SQRT(3))/(EG114+2*ρкз_Cu*_xlpm.L_/_xlpm.sz)&gt;=HT114*_xlpm.inn),0)),_xlpm.ok,IFERROR((_xlpm.sz&gt;=_xlpm.smin)*(_xlpm.t_&gt;=_xlpm.inn)*IF(_xlpm.L_&gt;0,(_xlpm.du_+IF(_xlpm.dcx,0,EF114)&lt;=EL114+0.00001),1)*_xlpm.kz,0),_xlpm.r_,_xlfn._xlws.FILTER(_xlpm.sz,_xlpm.ok,"не подобрано"),INDEX(_xlpm.r_,1)))</f>
        <v>1.5</v>
      </c>
      <c r="EN114">
        <f t="shared" si="191"/>
        <v>1.5</v>
      </c>
      <c r="EO114" cm="1">
        <f t="array" ref="EO114">IF(OR(B114="",BZ114="",EC114&lt;&gt;1),"",_xlfn.LET(_xlpm.sz,Iдоп_S,_xlpm.t_,CHOOSE(EB114,Iдоп_1ж,Iдоп_2ж,Iдоп_3ж)*DZ114*EA114,_xlpm.ok,IFERROR((_xlpm.sz&gt;=MAX(1.5,CC114))*(_xlpm.t_&gt;=N(DT114)),0),_xlpm.r_,_xlfn._xlws.FILTER(_xlpm.sz,_xlpm.ok,""),INDEX(_xlpm.r_,1)))</f>
        <v>1.5</v>
      </c>
      <c r="EP114" s="6" cm="1">
        <f t="array" ref="EP114">IFERROR(ROUNDUP(N(EJ114)*(_xlfn.XLOOKUP(EO114,INDEX(Кабель_сопротивление,0,1),INDEX(Кабель_сопротивление,0,3))*N(P114)/EO114*N(CE114)+_xlfn.XLOOKUP(EO114,INDEX(Кабель_сопротивление,0,1),INDEX(Кабель_сопротивление,0,2))*N(P114)*N(EK114)/1000)*N(O114)/((Uн_лин/SQRT(3))*1000)*100,2),"")</f>
        <v>0.5</v>
      </c>
      <c r="EQ114">
        <f>IFERROR(2*ρкз_Cu*N(P114)/EO114,"")</f>
        <v>1.8936000000000002</v>
      </c>
      <c r="ER114">
        <f>IFERROR(VLOOKUP(EN114,Кабель_сопротивление,3,FALSE),"")</f>
        <v>2.2499999999999999E-2</v>
      </c>
      <c r="ES114">
        <f>IFERROR(VLOOKUP(EN114,Кабель_сопротивление,2,FALSE),"")</f>
        <v>0.11</v>
      </c>
      <c r="ET114">
        <f t="shared" si="192"/>
        <v>18</v>
      </c>
      <c r="EU114">
        <f t="shared" si="193"/>
        <v>0</v>
      </c>
      <c r="EV114">
        <f t="shared" si="194"/>
        <v>1.1426487267875929</v>
      </c>
      <c r="EW114" s="6">
        <f>IFERROR(ROUNDUP(EV114/IF(BV114=1,BU114,(Uн_лин/SQRT(3))*1000)*100,2),"")</f>
        <v>0.5</v>
      </c>
      <c r="EX114" t="str">
        <f>IFERROR(VLOOKUP(BZ114,Кабель_обозначение,2,FALSE),"")</f>
        <v>ВВГнг(А)-LS</v>
      </c>
      <c r="EY114" t="str">
        <f t="shared" si="195"/>
        <v>ВВГнг(А)-LS (3х1,5)</v>
      </c>
      <c r="EZ114" t="str">
        <f t="shared" si="196"/>
        <v>ВВГнг(А)-LS (3х1,5)
L=54-0,5%</v>
      </c>
      <c r="FA114">
        <f>IFERROR(2*ρкз_Cu*P114/EN114,"")</f>
        <v>1.8936000000000002</v>
      </c>
      <c r="FB114">
        <f t="shared" si="197"/>
        <v>0.63</v>
      </c>
      <c r="FC114" s="6" t="str">
        <f>IFERROR(IF(OR(B114="",BV114=1,NOT(ISNUMBER(EN114)),N(P114)=0),"",_xlfn.XLOOKUP(A114,Щиты[Щит],Щиты[Zпетли на шинах, Ом])+FA114),"")</f>
        <v/>
      </c>
      <c r="FD114" s="6" t="str">
        <f>IF(ISNUMBER(FC114),c_min*(Uн_лин*1000/SQRT(3))/FC114,"")</f>
        <v/>
      </c>
      <c r="FE114" s="6" t="str">
        <f>IFERROR(IF(OR(B114="",NOT(ISNUMBER(EN114))),"",1.05*(Uн_лин*1000/SQRT(3))/(_xlfn.XLOOKUP(A114,Щиты[Щит],Щиты[Zmax на шинах, Ом])+FB114)/1000),"")</f>
        <v/>
      </c>
      <c r="FF114" s="6" t="str">
        <f>IF(B114="","",IF(ISNUMBER(AC114),"Сил",IF(IFERROR(_xlfn.XLOOKUP(BC114,Коды_код,Коды_группа)&amp;"","")="","Быт",_xlfn.XLOOKUP(BC114,Коды_код,Коды_группа)&amp;"")))</f>
        <v>Сил</v>
      </c>
      <c r="FG114" s="6" t="str">
        <f t="shared" si="198"/>
        <v>Сил</v>
      </c>
      <c r="FH114" s="6">
        <f>IF(FG114="Щит","щит",IF(FG114="","",IF(FG114="Быт",IFERROR(_xlfn.XLOOKUP(A114,Щиты[Щит],Щиты[Кс быт]),1),IF(FG114="Сил",IF(ISNUMBER(AC114),AC114,IF(Методика="нормы 2026",IFERROR(_xlfn.XLOOKUP(A114,Щиты[Щит],Щиты[Кс силовых (табл. 7.5)]),1),1)),IF(OR(FG114="Пост",FG114="Отоп"),1,IF(FG114="ВНГ",0.7,0))))))</f>
        <v>0.5</v>
      </c>
      <c r="FI114">
        <f>IF(FG114="","",IF(AND(BP114=1,TRIM(AE114&amp;"")=""),IF(COUNTIFS(Линии[Щит],A114,Линии[Секция (1/2/3)],"&gt;=2")&gt;0,MIN(3,MAX(1,IFERROR(--BD114,1))),1),IFERROR(MIN(3,MAX(1,INT(--AE114))),1)))</f>
        <v>1</v>
      </c>
      <c r="FJ114">
        <f t="shared" si="199"/>
        <v>0.16200000000000001</v>
      </c>
      <c r="FK114">
        <f t="shared" si="200"/>
        <v>0</v>
      </c>
      <c r="FL114">
        <f t="shared" si="201"/>
        <v>8.1000000000000003E-2</v>
      </c>
      <c r="FM114">
        <f t="shared" si="202"/>
        <v>0</v>
      </c>
      <c r="FN114">
        <f t="shared" si="203"/>
        <v>0</v>
      </c>
      <c r="FO114">
        <f t="shared" si="204"/>
        <v>0</v>
      </c>
      <c r="FP114">
        <f t="shared" si="205"/>
        <v>0.16200000000000001</v>
      </c>
      <c r="FQ114">
        <f t="shared" si="206"/>
        <v>0.16200000000000001</v>
      </c>
      <c r="FR114">
        <f t="shared" si="207"/>
        <v>0.12960000000000002</v>
      </c>
      <c r="FS114">
        <f>IF(CG114=1,IF(AND(CH114=1,CW114=1),0,IF(AND(CS114&lt;&gt;"",CS114=BA114,CW114=1),SUMIFS(Линии[_Р линии, кВт],Линии[_блок УЗО],BA114,Линии[Щит],A114),N(BS114)+IF(AJ114="вручную",0,N(CK114)))),0)</f>
        <v>0.16200000000000001</v>
      </c>
      <c r="FT114" t="str">
        <f t="shared" si="208"/>
        <v/>
      </c>
      <c r="FU114" t="str">
        <f>IF(B114="","",IF(CG114=0,IF(BA114=1,"",FW113),IF(AND(CH114=1,CW114=1,CS114&lt;&gt;""),IFERROR(_xlfn.XLOOKUP(CS114,Линии[_n],Линии[_фаза итог]),"L1"),IF(OR(N(DL114)&gt;=3,N(BX114)&gt;=3),"L1,L2,L3",IFERROR(_xlfn.TEXTBEFORE(_xlfn.TEXTAFTER(_xlfn.XLOOKUP(A114,Щиты[Щит],Щиты[_фазы авто]),";"&amp;BA114&amp;":"),";"),"L1")))))</f>
        <v>L3</v>
      </c>
      <c r="FV114" t="str">
        <f t="shared" si="209"/>
        <v>L3</v>
      </c>
      <c r="FW114" t="str">
        <f t="shared" si="210"/>
        <v>L3</v>
      </c>
      <c r="FX114" cm="1">
        <f t="array" ref="FX114">IFERROR(IF(CD114=2,_xlfn.IFS(BX114=3,VLOOKUP(BS114,Справочная_двигатели,3,FALSE),BX114=1,VLOOKUP(BS114,Справочная_двигатели,5,TRUE)),0),0)</f>
        <v>0</v>
      </c>
      <c r="FY114">
        <f>IFERROR(IF(CD114=3,VLOOKUP(BS114,Справочная_ЛЭД,2,TRUE),0),0)</f>
        <v>0</v>
      </c>
      <c r="FZ114" s="6">
        <f t="shared" si="211"/>
        <v>0</v>
      </c>
      <c r="GA114" t="str">
        <f>IF(B114="","",IF(TRIM(AH114&amp;"")&lt;&gt;"",IF(LOWER(TRIM(AH114&amp;""))="да","да","нет"),IF(IFERROR(_xlfn.XLOOKUP(BC114,Коды_код,Коды_пожарная),"")="да","да","нет")))</f>
        <v>нет</v>
      </c>
      <c r="GB114" t="str">
        <f t="shared" si="212"/>
        <v/>
      </c>
      <c r="GC114" t="str">
        <f t="shared" si="213"/>
        <v>основная</v>
      </c>
      <c r="GD114">
        <f>IF(AND(BP114=1,TRIM(AE114&amp;"")=""),IF(COUNTIFS(Линии[Щит],A114,Линии[Секция (1/2/3)],"&gt;=2")&gt;0,MIN(3,MAX(1,IFERROR(--BD114,1))),1),IFERROR(MIN(3,MAX(1,INT(--AE114))),1))</f>
        <v>1</v>
      </c>
      <c r="GE114" t="str" cm="1">
        <f t="array" ref="GE114">IF(B114="","",_xlfn.LET(_xlpm.t,IFERROR(_xlfn.XLOOKUP(1,(Шины[Шина]=GC114)*(((Шины[Щит]=A114)+(Шины[Щит]=""))&gt;0),Шины[Тип]),"")&amp;"",IF(_xlpm.t&lt;&gt;"",_xlpm.t,IF(ISNUMBER(SEARCH("ИБП",GC114)),"ИБП",IF(ISNUMBER(SEARCH("ДГУ",GC114)),"ДГУ","Ввод "&amp;GD114)))))</f>
        <v>Ввод 1</v>
      </c>
      <c r="GF114" t="str">
        <f t="shared" si="214"/>
        <v>Ввод 1</v>
      </c>
      <c r="GG114" t="str">
        <f>IF(BP114=0,"",IF(TRIM(AG114&amp;"")&lt;&gt;"",TRIM(AG114&amp;""),IF(OR(GE114="ИБП",GE114="ДГУ"),"I особая",_xlfn.XLOOKUP(A114,Щиты[Щит],Щиты[Категория шины «Ввод»],"III"))))</f>
        <v/>
      </c>
      <c r="GH114" t="str">
        <f>IF(A114="","",_xlfn.XLOOKUP(A114,Щиты[Щит],Щиты[Путь],""))</f>
        <v>|ГРЩ-ЖД|ЩОВ-01|</v>
      </c>
      <c r="GI114" t="str">
        <f>IF(B114="","",IF(AI114&lt;&gt;"",AI114,IF(IFERROR(_xlfn.XLOOKUP(BC114,Коды_код,Коды_вид)&amp;"","")="","Прочее",_xlfn.XLOOKUP(BC114,Коды_код,Коды_вид)&amp;"")))</f>
        <v>Кондиционирование и увлажнение</v>
      </c>
      <c r="GJ114">
        <f>IF(BM114="","",INT((BM114-1)/Столбцов_на_лист)+1)</f>
        <v>2</v>
      </c>
      <c r="GK114" t="str">
        <f t="shared" si="215"/>
        <v>ВВГнг(А)-LS (3х1,5) L=54-0,5%</v>
      </c>
      <c r="GL114">
        <f t="shared" si="216"/>
        <v>0.16200000000000001</v>
      </c>
      <c r="GM114">
        <f t="shared" si="217"/>
        <v>0.88</v>
      </c>
      <c r="GN114">
        <f t="shared" si="218"/>
        <v>1</v>
      </c>
      <c r="GO114">
        <f t="shared" si="219"/>
        <v>0</v>
      </c>
      <c r="GP114">
        <f t="shared" si="220"/>
        <v>1</v>
      </c>
      <c r="GQ114">
        <f>IF(BM114="","",IF(AND(CG114=1,GP114=1),COUNTIFS(A$3:A114,A114,CG$3:CG114,1,GP$3:GP114,1),IF(OR(OR(BA114=1,A114&lt;&gt;A113),AJ114="вручную",GP114=0),"",IF(BA114=1,"",GR113))))</f>
        <v>12</v>
      </c>
      <c r="GR114">
        <f t="shared" si="221"/>
        <v>12</v>
      </c>
      <c r="GS114">
        <f>IF(B114="","",IFERROR(LOOKUP(INDEX(CHOOSE(EB114,Iдоп_1ж,Iдоп_2ж,Iдоп_3ж),MATCH(EN114,Iдоп_S,0))*DZ114*EA114,{6,10,16,20,25,32,40,50,63,80,100,125,160,200,250,315,400,500,630}),""))</f>
        <v>16</v>
      </c>
      <c r="GT114" t="str">
        <f t="shared" si="222"/>
        <v>QF12</v>
      </c>
      <c r="GU114" t="str">
        <f t="shared" si="223"/>
        <v>QF12</v>
      </c>
      <c r="GV114" t="str">
        <f t="shared" si="224"/>
        <v/>
      </c>
      <c r="GW114">
        <f t="shared" si="225"/>
        <v>0</v>
      </c>
      <c r="GX114" t="str">
        <f>IF(OR(B114="",DJ114=""),"",IFERROR(_xlfn.XLOOKUP(DJ114,Модули_умолч[Управление],Модули_умолч[Модель])&amp;"",""))</f>
        <v/>
      </c>
      <c r="GY114">
        <f>IF(DJ114="",1,IFERROR(MAX(0,N(_xlfn.XLOOKUP(DJ114,Модули_умолч[Управление],Модули_умолч[Каналов на линию]))),1))</f>
        <v>1</v>
      </c>
      <c r="GZ114" t="str">
        <f t="shared" si="226"/>
        <v/>
      </c>
      <c r="HA114" t="str">
        <f t="shared" si="227"/>
        <v/>
      </c>
      <c r="HB114" t="str">
        <f t="shared" si="228"/>
        <v/>
      </c>
      <c r="HC114">
        <f>IF(HB114="",0,IFERROR(N(VLOOKUP(HB114,Модули_спр,3,FALSE)),0))</f>
        <v>0</v>
      </c>
      <c r="HD114" t="str">
        <f t="shared" si="229"/>
        <v/>
      </c>
      <c r="HE114" t="str">
        <f t="shared" si="230"/>
        <v/>
      </c>
      <c r="HF114" t="str">
        <f>IF(OR(HE114="",HE114="-"),"",IFERROR(VLOOKUP(HE114,Модули_спр,2,FALSE),"R"))</f>
        <v/>
      </c>
      <c r="HG114" t="str">
        <f>IF(HF114="","",HF114&amp;"."&amp;COUNTIFS(A$3:A114,A114,HF$3:HF114,HF114))</f>
        <v/>
      </c>
      <c r="HH114" t="str">
        <f t="shared" si="231"/>
        <v/>
      </c>
      <c r="HI114" t="str">
        <f t="shared" si="232"/>
        <v/>
      </c>
      <c r="HJ114" t="str">
        <f t="shared" si="233"/>
        <v/>
      </c>
      <c r="HK114" t="str">
        <f t="shared" si="234"/>
        <v/>
      </c>
      <c r="HL114">
        <f t="shared" si="235"/>
        <v>1</v>
      </c>
      <c r="HM114" t="str">
        <f>IF(HL114=1,"XT"&amp;COUNTIFS(A$3:A114,A114,HL$3:HL114,1),"")</f>
        <v>XT12</v>
      </c>
      <c r="HN114" t="str">
        <f t="shared" si="236"/>
        <v/>
      </c>
      <c r="HO114" t="str">
        <f t="shared" si="237"/>
        <v>QF12</v>
      </c>
      <c r="HP114" t="str">
        <f t="shared" si="238"/>
        <v/>
      </c>
      <c r="HQ114" t="str">
        <f t="shared" si="239"/>
        <v>ok</v>
      </c>
      <c r="HR114" t="str">
        <f>IF(OR(HJ114="",HH114=""),"",IF(HJ114+MAX(0,GY114-1)&gt;IFERROR(VLOOKUP(HI114,Модули_спр,3,FALSE),99),"ЛИШНИЙ КАНАЛ",IF(AND(AL114&lt;&gt;"=",GY114&gt;0,COUNTIFS(Линии[_модуль гр.],HH114,Линии[Канал (итог)],HJ114,Линии[Канал],"&lt;&gt;=",Линии[Щит],A114)&gt;1),"ДУБЛЬ КАНАЛА","")))</f>
        <v/>
      </c>
      <c r="HS114" s="6" t="str">
        <f t="shared" si="240"/>
        <v/>
      </c>
      <c r="HT114">
        <f t="shared" si="241"/>
        <v>10</v>
      </c>
      <c r="HU114" t="str">
        <f t="shared" si="242"/>
        <v/>
      </c>
      <c r="HV114">
        <f t="shared" si="243"/>
        <v>0.8907402885326976</v>
      </c>
      <c r="HW114">
        <f t="shared" si="244"/>
        <v>0</v>
      </c>
      <c r="HX114">
        <f t="shared" si="245"/>
        <v>0</v>
      </c>
      <c r="HY114">
        <f t="shared" si="246"/>
        <v>0</v>
      </c>
      <c r="HZ114">
        <f t="shared" si="247"/>
        <v>0</v>
      </c>
      <c r="IA114">
        <f t="shared" si="248"/>
        <v>0</v>
      </c>
      <c r="IB114">
        <f t="shared" si="249"/>
        <v>0</v>
      </c>
      <c r="IC114" t="str">
        <f t="shared" si="250"/>
        <v/>
      </c>
      <c r="ID114" t="str" cm="1">
        <f t="array" ref="ID114">IF(IC114="","",_xlfn.LET(_xlpm.tk,_xlfn.TEXTSPLIT(SUBSTITUTE(SUBSTITUTE(IC114,";"," "),"→"," ")," ",,TRUE),_xlpm.w_,_xlfn._xlws.FILTER(_xlpm.tk,ISNUMBER(--LEFT(_xlpm.tk,1))*((ISNUMBER(SEARCH("W",_xlpm.tk))+ISNUMBER(SEARCH("Вт",_xlpm.tk)))&gt;0),""),IFERROR(--SUBSTITUTE(SUBSTITUTE(UPPER(INDEX(_xlpm.w_,1)),"W",""),"ВТ",""),"")))</f>
        <v/>
      </c>
      <c r="IE114" t="str" cm="1">
        <f t="array" ref="IE114">IF(IC114="","",_xlfn.LET(_xlpm.tk,_xlfn.TEXTSPLIT(SUBSTITUTE(SUBSTITUTE(IC114,";"," "),"→"," ")," ",,TRUE),_xlpm.v_,_xlfn._xlws.FILTER(_xlpm.tk,ISNUMBER(--LEFT(_xlpm.tk,1))*((ISNUMBER(SEARCH("V",_xlpm.tk))+(RIGHT(UPPER(_xlpm.tk))="В"))&gt;0),""),IFERROR(--SUBSTITUTE(SUBSTITUTE(UPPER(INDEX(_xlpm.v_,1)),"V",""),"В",""),"")))</f>
        <v/>
      </c>
      <c r="IF114" s="6" t="str">
        <f>IF(OR(BV114=0,HI114="",HJ114=""),"",IFERROR(N(_xlfn.XLOOKUP(HI114,Каталог!$C$4:$C$500,Каталог!$Q$4:$Q$500)),""))</f>
        <v/>
      </c>
      <c r="IG114" s="6" t="str">
        <f>IF(N(IF114)=0,"",SUMIFS(Линии[Iр, А],Линии[Щит],A114,Линии[_модуль гр.],HH114,Линии[Канал (итог)],HJ114))</f>
        <v/>
      </c>
      <c r="IH114" t="str">
        <f>IF(AND(B114="",HO114=""),"",_xlfn.TEXTJOIN("; ",TRUE,IF(AND(B114&lt;&gt;"",FV114=""),"нет фазы",""),IF(AND(B114&lt;&gt;"",N(GL114)=0,FG114&lt;&gt;"Нет"),"нет мощности",""),IF(AND(HN114&lt;&gt;"",COUNTIFS(Линии[Щит],A114,Линии[Клемма (итог)],HN114)&gt;1),"дубль клеммы "&amp;HN114,""),IF(AND(HQ114&lt;&gt;"",HQ114&lt;&gt;"ok"),HQ114,""),IF(HR114&lt;&gt;"",HR114,""),IF(AND(N(CB114)&gt;=4,N(BX114)=1),CB114&amp;" жил на 1 фазе",""),IF(AND(BC114="R",CG114=1,IF(CS114&lt;&gt;"",N(CV114)&gt;30,OR(N(DA114)=0,N(DA114)&gt;30))),"розетка без дифзащиты до 30 мА",""),IF(AND(CG114=1,N(DA114)&gt;0,ISNUMBER(T114)),IF(T114&gt;N(DA114)/3,"ток утечки "&amp;FIXED(T114,1)&amp;" мА &gt; 1/3 уставки ("&amp;DA114&amp;" мА)",""),""),IF(AND(CH114=1,CS114=""),"«узо»: нет строки с УЗО выше (УЗО 2P 40А 30мА в «Аппаратах»)",""),IF(AND(CS114&lt;&gt;"",CS114=BA114),IF(CT114="","впишите номинал УЗО (УЗО 2P 40А 30мА)",IF(N(CT114)&lt;N(DT114),"УЗО "&amp;CT114&amp;" А &lt; автомата "&amp;DT114&amp;" А перед ним",IF(N(CT114)&lt;N(CX114),"УЗО "&amp;CT114&amp;" А &lt; тока блока "&amp;FIXED(CX114,1)&amp;" А",""))),""),IF(AND(CS114&lt;&gt;"",CS114=BA114,ISNUMBER(CY114)),IF(CY114&gt;N(CV114)/3,"ток утечки блока УЗО "&amp;FIXED(CY114,1)&amp;" мА &gt; 1/3 уставки ("&amp;CV114&amp;" мА)",""),""),IF(AND(CG114=1,N(BV114)+N(IB114)&gt;0,IC114=""),"линии до 50 В без БП: впишите в «Аппараты» (БП 24V 480W)",""),IF(AND(CG114=1,ISNUMBER(ID114),ISNUMBER(U114)),IF(U114&gt;ID114,"БП "&amp;ID114&amp;" Вт &lt; нужно "&amp;U114&amp;" Вт (×"&amp;Запас_БП&amp;")",""),""),IF(AND(CG114=1,ISNUMBER(IE114),N(BV114)=1),IF(IE114&lt;&gt;N(BU114),"БП на "&amp;IE114&amp;" В, линия "&amp;BU114&amp;" В",""),""),IF(AND(N(IF114)&gt;0,N(IG114)&gt;N(IF114)),HH114&amp;" канал "&amp;HJ114&amp;": "&amp;FIXED(IG114,1)&amp;" А &gt; "&amp;IF114&amp;" А",""),IFERROR(IF(AND(ISNUMBER(Q114),Q114&gt;EL114),"потери "&amp;FIXED(Q114,1)&amp;" % &gt; "&amp;EL114&amp;" %",""),""),IFERROR(IF(LEFT(HU114,4)="мало","Iкз мало — отключение &gt; 0,4 с",""),""),IF(AND(B114&lt;&gt;"",BM114=""),"не на схеме",""),IF(AND(CG114=0,B114&lt;&gt;"",FV114&lt;&gt;"",IF(BA114=1,"",FW113)&lt;&gt;"",FV114&lt;&gt;IF(BA114=1,"",FW113)),"фаза не как у автомата группы ("&amp;IF(BA114=1,"",FW113)&amp;")","")))</f>
        <v/>
      </c>
      <c r="II114" s="6">
        <f>IF(OR(CG114=0,DQ114=""),"",_xlfn.LET(_xlpm.t,IFERROR(_xlfn.XLOOKUP(DQ114,Каталог!$U$4:$U$500,Каталог!$G$4:$G$500),""),_xlpm.k,SEARCH("кА",_xlpm.t),IFERROR(--TRIM(RIGHT(SUBSTITUTE(MID(_xlpm.t,MAX(1,_xlpm.k-4),_xlpm.k-MAX(1,_xlpm.k-4))," ",REPT(" ",9)),5)),"")))</f>
        <v>6</v>
      </c>
      <c r="IJ114" t="str">
        <f>IF(OR(II114="",CG114=0),"",IF(_xlfn.XLOOKUP(A114,Щиты[Щит],Щиты[Iкз max на шинах, кА],"")="","",IF(II114&lt;_xlfn.XLOOKUP(A114,Щиты[Щит],Щиты[Iкз max на шинах, кА]),"Icu "&amp;II114&amp;" кА &lt; Iкз max","ok")))</f>
        <v/>
      </c>
      <c r="IK114" t="str">
        <f t="shared" si="251"/>
        <v/>
      </c>
      <c r="IL114" t="str">
        <f t="shared" si="252"/>
        <v>QF12</v>
      </c>
      <c r="IM114" t="str">
        <f t="shared" si="253"/>
        <v>QF12|кабель ВВГнг(А)-LS (3х1,5) → Внутренний блок кондиционирования цокольный этаж Пом. №013.1Б</v>
      </c>
      <c r="IN114" t="str" cm="1">
        <f t="array" ref="IN114">IF(IM114="","",_xlfn.LET(_xlpm.nd,_xlfn.TEXTSPLIT(IM114,"|"),IF(COLUMNS(_xlpm.nd)&gt;1,A114&amp;"¦"&amp;INDEX(_xlpm.nd,1)&amp;"¦"&amp;INDEX(_xlpm.nd,2),"")))</f>
        <v>ЩОВ-01¦QF12¦кабель ВВГнг(А)-LS (3х1,5) → Внутренний блок кондиционирования цокольный этаж Пом. №013.1Б</v>
      </c>
      <c r="IO114" t="str">
        <f t="shared" si="254"/>
        <v>K.0.004A-K.0.005A¦Внутренний блок кондиционирования цокольный этаж Пом. №013.1Б</v>
      </c>
      <c r="IP114" t="str" cm="1">
        <f t="array" ref="IP114">IF(IM114="","",_xlfn.LET(_xlpm.nd,_xlfn.TEXTSPLIT(IM114,"|"),IF(COLUMNS(_xlpm.nd)&gt;2,A114&amp;"¦"&amp;INDEX(_xlpm.nd,2)&amp;"¦"&amp;INDEX(_xlpm.nd,3),"")))</f>
        <v/>
      </c>
      <c r="IQ114" t="str">
        <f t="shared" si="255"/>
        <v/>
      </c>
      <c r="IR114" t="str" cm="1">
        <f t="array" ref="IR114">IF(IM114="","",_xlfn.LET(_xlpm.nd,_xlfn.TEXTSPLIT(IM114,"|"),IF(COLUMNS(_xlpm.nd)&gt;3,A114&amp;"¦"&amp;INDEX(_xlpm.nd,3)&amp;"¦"&amp;INDEX(_xlpm.nd,4),"")))</f>
        <v/>
      </c>
      <c r="IS114" t="str">
        <f t="shared" si="256"/>
        <v/>
      </c>
      <c r="IT114" t="str" cm="1">
        <f t="array" ref="IT114">IF(IM114="","",_xlfn.LET(_xlpm.nd,_xlfn.TEXTSPLIT(IM114,"|"),IF(COLUMNS(_xlpm.nd)&gt;4,A114&amp;"¦"&amp;INDEX(_xlpm.nd,4)&amp;"¦"&amp;INDEX(_xlpm.nd,5),"")))</f>
        <v/>
      </c>
      <c r="IU114" t="str">
        <f t="shared" si="257"/>
        <v/>
      </c>
      <c r="IV114" t="str" cm="1">
        <f t="array" ref="IV114">IF(IM114="","",_xlfn.LET(_xlpm.nd,_xlfn.TEXTSPLIT(IM114,"|"),IF(COLUMNS(_xlpm.nd)&gt;5,A114&amp;"¦"&amp;INDEX(_xlpm.nd,5)&amp;"¦"&amp;INDEX(_xlpm.nd,6),"")))</f>
        <v/>
      </c>
      <c r="IW114" t="str">
        <f t="shared" si="258"/>
        <v/>
      </c>
      <c r="IX114" t="str" cm="1">
        <f t="array" ref="IX114">IF(IM114="","",_xlfn.LET(_xlpm.nd,_xlfn.TEXTSPLIT(IM114,"|"),IF(COLUMNS(_xlpm.nd)&gt;6,A114&amp;"¦"&amp;INDEX(_xlpm.nd,6)&amp;"¦"&amp;INDEX(_xlpm.nd,7),"")))</f>
        <v/>
      </c>
      <c r="IY114" t="str">
        <f t="shared" si="259"/>
        <v/>
      </c>
      <c r="IZ114" t="str">
        <f t="shared" si="260"/>
        <v/>
      </c>
      <c r="JA114" t="str">
        <f t="shared" si="261"/>
        <v>QF12</v>
      </c>
      <c r="JB114">
        <f t="shared" si="262"/>
        <v>0</v>
      </c>
      <c r="JC114">
        <f t="shared" si="263"/>
        <v>0</v>
      </c>
      <c r="JD114" t="str">
        <f t="shared" si="264"/>
        <v/>
      </c>
      <c r="JE114" t="str">
        <f t="shared" si="265"/>
        <v/>
      </c>
      <c r="JF114" t="str">
        <f t="shared" si="266"/>
        <v/>
      </c>
      <c r="JG114" t="str">
        <f t="shared" si="267"/>
        <v/>
      </c>
      <c r="JH114">
        <f>IF(B114="","",IFERROR(_xlfn.XLOOKUP(B114,Коды_код,Коды_уго),IFERROR(_xlfn.XLOOKUP(BC114,Коды_код,Коды_уго),IFERROR(_xlfn.XLOOKUP(LEFT(BC114,2),Коды_код,Коды_уго),""))))</f>
        <v>0</v>
      </c>
      <c r="JI114" t="str">
        <f>IF(B114="","",IF(OR(JH114="",JH114=0),"BOX",IFERROR(IF(VLOOKUP(JH114,УГО_блоки,3,FALSE)&amp;""&lt;&gt;"",VLOOKUP(JH114,УГО_блоки,3,FALSE),VLOOKUP(JH114,УГО_блоки,2,FALSE)),JH114)))</f>
        <v>BOX</v>
      </c>
      <c r="JJ114">
        <f t="shared" si="268"/>
        <v>1</v>
      </c>
      <c r="JK114" t="str">
        <f>IF(DQ114="","",IF(COUNTIF(DQ$3:DQ114,DQ114)=1,MAX(JK$2:JK113)+1,""))</f>
        <v/>
      </c>
      <c r="JL114" t="str">
        <f>IF(DE114="","",IF(COUNTIF(DE$3:DE114,DE114)+COUNTIF(DF$2:DF113,DE114)+COUNTIF(DG$2:DG113,DE114)=1,MAX(JL$2:JN113)+1,""))</f>
        <v/>
      </c>
      <c r="JM114" t="str">
        <f>IF(DF114="","",IF(COUNTIF(DE$3:DE114,DF114)+COUNTIF(DF$3:DF114,DF114)+COUNTIF(DG$2:DG113,DF114)=1,MAX(JL$2:JN113,JL114)+1,""))</f>
        <v/>
      </c>
      <c r="JN114" t="str">
        <f>IF(DG114="","",IF(COUNTIF(DE$3:DE114,DG114)+COUNTIF(DF$3:DF114,DG114)+COUNTIF(DG$3:DG114,DG114)=1,MAX(JL$2:JN113,JL114,JM114)+1,""))</f>
        <v/>
      </c>
      <c r="JO114" t="str">
        <f t="shared" si="269"/>
        <v>3х1,5</v>
      </c>
      <c r="JP114" t="str">
        <f>IF(JO114="","",IF(COUNTIF(JO$3:JO114,JO114)=1,MAX(JP$2:JP113)+1,""))</f>
        <v/>
      </c>
      <c r="JQ114" t="str">
        <f>IF(HG114="","",COUNTIF(HG$3:HG114,"?*"))</f>
        <v/>
      </c>
      <c r="JR114" t="str">
        <f>IF(OR(HG114="",HI114=""),"",IF(COUNTIFS(HG$3:HG114,"?*",HI$3:HI114,HI114)=1,MAX(JR$2:JR113)+1,""))</f>
        <v/>
      </c>
      <c r="JS114">
        <f t="shared" si="270"/>
        <v>0</v>
      </c>
      <c r="JT114">
        <f>IF(B114="","",COUNTIF(B$3:B114,"?*"))</f>
        <v>112</v>
      </c>
      <c r="JU114">
        <f>IF(HL114&lt;&gt;1,0,_xlfn.LET(_xlpm.k,MAX(IFERROR(--_xlfn.XLOOKUP(B114,Коды_код,Коды_3L),0),IFERROR(--_xlfn.XLOOKUP(BC114,Коды_код,Коды_3L),0),IFERROR(--_xlfn.XLOOKUP(LEFT(BC114,2),Коды_код,Коды_3L),0)),IF(_xlpm.k&gt;0,_xlpm.k,IF(IFERROR(--LEFT(SUBSTITUTE(JO114,"x","х"),FIND("х",SUBSTITUTE(JO114,"x","х"))-1),3)&gt;3,Каталог!$S$9,1))))</f>
        <v>1</v>
      </c>
      <c r="JV114">
        <f t="shared" si="271"/>
        <v>0</v>
      </c>
      <c r="JW114" t="str">
        <f t="shared" si="272"/>
        <v>авто</v>
      </c>
      <c r="JX114" t="str">
        <f t="shared" si="273"/>
        <v/>
      </c>
      <c r="JY114">
        <f t="shared" si="274"/>
        <v>0</v>
      </c>
      <c r="JZ114">
        <f t="shared" si="275"/>
        <v>1</v>
      </c>
    </row>
    <row r="115" spans="1:286" x14ac:dyDescent="0.3">
      <c r="A115" t="s">
        <v>745</v>
      </c>
      <c r="B115" t="s">
        <v>1426</v>
      </c>
      <c r="C115" t="s">
        <v>1677</v>
      </c>
      <c r="D115">
        <v>1</v>
      </c>
      <c r="E115">
        <v>0.16200000000000001</v>
      </c>
      <c r="G115">
        <v>10</v>
      </c>
      <c r="H115" t="str">
        <f>Линии[[#This Row],[_авто управление]]</f>
        <v/>
      </c>
      <c r="I115" t="str">
        <f>Линии[[#This Row],[_авто аппараты]]</f>
        <v/>
      </c>
      <c r="J115">
        <v>1.5</v>
      </c>
      <c r="K115">
        <v>40</v>
      </c>
      <c r="L115" t="str">
        <f>Линии[[#This Row],[_авто фаза]]</f>
        <v>L1</v>
      </c>
      <c r="M115" t="s">
        <v>484</v>
      </c>
      <c r="N115" t="str">
        <f t="shared" si="138"/>
        <v/>
      </c>
      <c r="O115" s="6" cm="1">
        <f t="array" ref="O115">IF(B115="","",IF(BH115&lt;&gt;"",IFERROR(_xlfn.XLOOKUP(BH115,Щиты[Щит],Щиты[Iр, А]),""),IF(BP115=1,IF(OR(N(_xlfn.XLOOKUP(A115,Щиты[Щит],Щиты[Вводов],1))&lt;=1,LOWER(TRIM(_xlfn.XLOOKUP(A115,Щиты[Щит],Щиты[АВР],"")&amp;""))="да"),IFERROR(_xlfn.XLOOKUP(A115,Щиты[Щит],Щиты[Iр, А]),""),IFERROR(N(BS115)*_xlfn.XLOOKUP(A115,Щиты[Щит],Щиты[Кс итог])/(SQRT(3)*Uн_лин*_xlfn.XLOOKUP(A115,Щиты[Щит],Щиты[cos φ])),"")),IF(BV115=1,IFERROR(BS115*1000/BU115,""),IFERROR(_xlfn.IFS(BX115=1,BS115/((Uн_лин/SQRT(3))*CE115),BX115=3,BS115/(SQRT(3)*Uн_лин*CE115)),"")))))</f>
        <v>0.87685072133174402</v>
      </c>
      <c r="P115" s="7">
        <f>IF(B115="","",IFERROR(IF(VLOOKUP(BC115,Потребители_обозначение,4,FALSE)=1,VLOOKUP(BC115,Потребители_обозначение,3,FALSE)*(MAX(1,N(D115))*2-1)+EI115+VLOOKUP(BE115,Этаж_обозначение,3,FALSE)+VLOOKUP(BE115,Этаж_обозначение,4,FALSE),VLOOKUP(BC115,Потребители_обозначение,3,FALSE)*(MAX(1,N(D115))*2-1)+EI115),EI115))</f>
        <v>42</v>
      </c>
      <c r="Q115" s="6">
        <f t="shared" si="139"/>
        <v>0.63</v>
      </c>
      <c r="R115" t="str">
        <f t="shared" si="140"/>
        <v>ВВГнг(А)-LS (3х1,5)</v>
      </c>
      <c r="S115" t="str">
        <f>IF(BM115="","",IF(BN115="вводной узел","узел ","")&amp;"л."&amp;(INT((BM115-1)/Столбцов_на_лист)+1)&amp;" / "&amp;(MOD(BM115-1,Столбцов_на_лист)+1))</f>
        <v>л.2 / 10</v>
      </c>
      <c r="T115" s="119">
        <f t="shared" si="141"/>
        <v>0.8</v>
      </c>
      <c r="U115" s="7" t="str">
        <f>IF(OR(CG115=0,N(BV115)+N(IB115)=0),"",ROUNDUP(Запас_БП*(N(HY115)+N(HZ115)),0))</f>
        <v/>
      </c>
      <c r="V115" s="119" t="str">
        <f t="shared" si="142"/>
        <v/>
      </c>
      <c r="W115" s="7" t="str">
        <f>IFERROR(IF(OR(B115="",BP115=1,BV115=1,NOT(ISNUMBER(EN115)),N(DT115)=0),"",MAX(0,ROUNDDOWN((c_min*(Uн_лин*1000/SQRT(3))/(HT115*N(DT115))-_xlfn.XLOOKUP(A115,Щиты[Щит],Щиты[Zпетли на шинах, Ом]))*EN115/(2*ρкз_Cu),0))),"")</f>
        <v/>
      </c>
      <c r="Y115" t="str">
        <f>Линии[[#This Row],[_авто утечка]]</f>
        <v/>
      </c>
      <c r="Z115">
        <v>1</v>
      </c>
      <c r="AA115">
        <v>230</v>
      </c>
      <c r="AB115" t="s">
        <v>598</v>
      </c>
      <c r="AC115">
        <v>0.5</v>
      </c>
      <c r="AG115" t="s">
        <v>810</v>
      </c>
      <c r="AI115" t="s">
        <v>576</v>
      </c>
      <c r="AK115" t="str">
        <f>Линии[[#This Row],[_авто модуль]]</f>
        <v/>
      </c>
      <c r="AM115">
        <v>27</v>
      </c>
      <c r="AN115" t="s">
        <v>11</v>
      </c>
      <c r="AO115">
        <v>3</v>
      </c>
      <c r="AQ115">
        <v>21</v>
      </c>
      <c r="AR115">
        <v>21</v>
      </c>
      <c r="AT115">
        <v>1</v>
      </c>
      <c r="BA115" cm="1">
        <f t="array" ref="BA115">ROW()-ROW(Линии[#Headers])</f>
        <v>113</v>
      </c>
      <c r="BC115" s="6" t="str">
        <f t="shared" si="143"/>
        <v>K</v>
      </c>
      <c r="BD115" t="str">
        <f t="shared" si="144"/>
        <v>0.005Б.1</v>
      </c>
      <c r="BE115" t="str">
        <f t="shared" si="145"/>
        <v>0</v>
      </c>
      <c r="BF115" t="str">
        <f t="shared" si="146"/>
        <v>005Б.1</v>
      </c>
      <c r="BG115" t="str">
        <f t="shared" si="147"/>
        <v>005Б</v>
      </c>
      <c r="BH115" t="str">
        <f>IF(X115&lt;&gt;"",X115,IF(AND(B115&lt;&gt;"",B115&lt;&gt;A115,ISNUMBER(_xlfn.XMATCH(B115,Щиты[Щит]))),B115,""))</f>
        <v/>
      </c>
      <c r="BI115" t="str" cm="1">
        <f t="array" ref="BI115">IF(B115="","",IF(BH115&lt;&gt;"","Щит "&amp;BH115,_xlfn.LET(_xlpm.nm,IFERROR(_xlfn.XLOOKUP(BC115,Коды_код,Коды_имя)&amp;"",""),_xlpm.md,IFERROR(N(_xlfn.XLOOKUP(BC115,Коды_код,Коды_режим)),1),_xlpm.ex,IF(Имя_режим="по экспликации",IFERROR(_xlfn.XLOOKUP(BE115&amp;"|"&amp;BG115,Экспликация[Этаж]&amp;"|"&amp;Экспликация[Помещение],Экспликация[Название])&amp;"",""),""),_xlpm.rm,IF(BG115="","",IF(_xlpm.ex&lt;&gt;"",". "&amp;_xlpm.ex&amp;IF(Имя_пом="нет"," ("&amp;BG115&amp;")"," (пом. "&amp;BG115&amp;")"),IF(Имя_пом="нет"," ",", пом. ")&amp;BG115)),IF(_xlpm.nm="","",IF(_xlpm.md=2,_xlpm.nm&amp;" шлейф "&amp;BE115,_xlpm.nm&amp;_xlpm.rm)))))</f>
        <v>Внутренний блок кондиционирования, пом. 005Б</v>
      </c>
      <c r="BJ115" t="str">
        <f t="shared" si="148"/>
        <v>Внутренний блок кондиционирования цокольный этаж Пом. №005Б</v>
      </c>
      <c r="BK115">
        <f>IFERROR(_xlfn.XMATCH(A115,Щиты[Щит]),0)</f>
        <v>6</v>
      </c>
      <c r="BL115">
        <f>_xlfn.LET(_xlpm.k,IFERROR(_xlfn.XLOOKUP(A115,Щиты[Щит],Щиты[Мест под вводной узел]),""),IF(_xlpm.k="",Столбцов_на_лист,N(_xlpm.k)))</f>
        <v>12</v>
      </c>
      <c r="BM115">
        <f t="shared" si="149"/>
        <v>27</v>
      </c>
      <c r="BN115" t="str">
        <f t="shared" si="150"/>
        <v>линии</v>
      </c>
      <c r="BO115" s="6">
        <f>IFERROR(N(_xlfn.XLOOKUP(BC115,Коды_код,Коды_квт)),0)</f>
        <v>0</v>
      </c>
      <c r="BP115">
        <f t="shared" si="151"/>
        <v>0</v>
      </c>
      <c r="BQ115" t="str">
        <f>IF(B115="","",IF(BH115&lt;&gt;"",IFERROR(_xlfn.XLOOKUP(BH115,Щиты[Щит],Щиты[Руст, кВт]),0),IF(BP115=1,IF(OR(N(_xlfn.XLOOKUP(A115,Щиты[Щит],Щиты[Вводов],1))&lt;=1,LOWER(TRIM(_xlfn.XLOOKUP(A115,Щиты[Щит],Щиты[АВР],"")&amp;""))="да"),IFERROR(_xlfn.XLOOKUP(A115,Щиты[Щит],Щиты[Руст, кВт]),0),SUMIFS(Линии[_Р для вводов],Линии[Щит],A115,Линии[Источник для режимов],GF115)),IF(BO115&gt;0,ROUND(BO115*MAX(1,N(D115)),3),""))))</f>
        <v/>
      </c>
      <c r="BR115">
        <f t="shared" si="152"/>
        <v>0.16200000000000001</v>
      </c>
      <c r="BS115" s="6">
        <f>IF(B115="","",IF(BH115&lt;&gt;"",IFERROR(_xlfn.XLOOKUP(BH115,Щиты[Щит],Щиты[Руст, кВт]),0),N(BR115)))</f>
        <v>0.16200000000000001</v>
      </c>
      <c r="BT115" t="str">
        <f>IF(B115="","",IFERROR(IF(VLOOKUP(BC115,Потребители_обозначение,8,FALSE)=0,"",VLOOKUP(BC115,Потребители_обозначение,8,FALSE)),""))</f>
        <v/>
      </c>
      <c r="BU115">
        <f t="shared" si="153"/>
        <v>230</v>
      </c>
      <c r="BV115">
        <f t="shared" si="154"/>
        <v>0</v>
      </c>
      <c r="BW115">
        <f>IF(B115="","",IF(BH115&lt;&gt;"",3,IFERROR(IF(N(VLOOKUP(BC115,Потребители_обозначение,9,FALSE))=0,1,VLOOKUP(BC115,Потребители_обозначение,9,FALSE)),1)))</f>
        <v>1</v>
      </c>
      <c r="BX115">
        <f t="shared" si="155"/>
        <v>1</v>
      </c>
      <c r="BY115" t="str">
        <f>IF(B115="","",_xlfn.LET(_xlpm.bc,IFERROR(IF(VLOOKUP(BC115,Потребители_обозначение,6,FALSE)=0,"",VLOOKUP(BC115,Потребители_обозначение,6,FALSE)&amp;""),""),IF(AND(GA115="да",OR(_xlpm.bc="",_xlpm.bc="мс")),Марка_пож,IF(AND(_xlpm.bc="",BH115&lt;&gt;""),"мс",_xlpm.bc))))</f>
        <v/>
      </c>
      <c r="BZ115" t="str">
        <f t="shared" si="156"/>
        <v>мс</v>
      </c>
      <c r="CA115">
        <f>IF(B115="","",_xlfn.LET(_xlpm.cc,IFERROR(N(VLOOKUP(BC115,Потребители_обозначение,7,FALSE)),0),IF(_xlpm.cc&gt;0,_xlpm.cc,IF(BZ115="","",IF(BV115=1,2,IF(N(BX115)=3,5,3))))))</f>
        <v>3</v>
      </c>
      <c r="CB115">
        <f t="shared" si="157"/>
        <v>3</v>
      </c>
      <c r="CC115">
        <f>IFERROR(N(VLOOKUP(BC115,Потребители_обозначение,10,FALSE)),0)</f>
        <v>0</v>
      </c>
      <c r="CD115">
        <f>IFERROR(VLOOKUP(BC115,Потребители_обозначение,5,FALSE),0)</f>
        <v>1</v>
      </c>
      <c r="CE115" s="6" cm="1">
        <f t="array" ref="CE115">IF(B115="","",IF(BH115&lt;&gt;"",IFERROR(_xlfn.XLOOKUP(BH115,Щиты[Щит],Щиты[cos φ]),0.95),IF(BP115=1,IFERROR(_xlfn.XLOOKUP(A115,Щиты[Щит],Щиты[cos φ]),0.95),IF(ISNUMBER(AD115),AD115,IFERROR(IF(CD115=2,_xlfn.IFS(BX115=3,VLOOKUP(BS115,Справочная_двигатели,8,FALSE),BX115=1,VLOOKUP(BS115,Справочная_двигатели,10,TRUE)),IF(AND(Методика="нормы 2026",FG115="Сил"),0.8,0.95)),0.95)))))</f>
        <v>0.8</v>
      </c>
      <c r="CF115">
        <f t="shared" si="158"/>
        <v>0</v>
      </c>
      <c r="CG115">
        <f t="shared" si="159"/>
        <v>1</v>
      </c>
      <c r="CH115">
        <f t="shared" si="160"/>
        <v>0</v>
      </c>
      <c r="CI115">
        <f>IF(B115="","",IF(BV115=1,IFERROR(BS115/((Uн_лин/SQRT(3))*MAX(0.5,N(CE115))),0),N(O115)))</f>
        <v>0.87685072133174402</v>
      </c>
      <c r="CJ115">
        <f t="shared" si="161"/>
        <v>0</v>
      </c>
      <c r="CK115">
        <f t="shared" si="162"/>
        <v>0</v>
      </c>
      <c r="CL115">
        <f t="shared" si="163"/>
        <v>0</v>
      </c>
      <c r="CM115">
        <f t="shared" si="164"/>
        <v>0</v>
      </c>
      <c r="CN115">
        <f t="shared" si="165"/>
        <v>0</v>
      </c>
      <c r="CO115">
        <f>IF(BC115="",0,_xlfn.LET(_xlpm.v,IFERROR(_xlfn.XLOOKUP(B115,Коды_код,Коды_мА),IFERROR(_xlfn.XLOOKUP(BC115,Коды_код,Коды_мА),IFERROR(_xlfn.XLOOKUP(LEFT(BC115,2),Коды_код,Коды_мА),""))),IF(_xlpm.v="да",30,IF(ISNUMBER(_xlpm.v),_xlpm.v,0))))</f>
        <v>0</v>
      </c>
      <c r="CP115" t="str">
        <f t="shared" si="166"/>
        <v/>
      </c>
      <c r="CQ115" t="str">
        <f>_xlfn.LET(_xlpm.k,IFERROR(_xlfn.XLOOKUP(BC115,Коды_код,Коды_утечка)&amp;"",""),IF(_xlpm.k="","дифавтомат",_xlpm.k))</f>
        <v>дифавтомат</v>
      </c>
      <c r="CR115" t="str" cm="1">
        <f t="array" ref="CR115">IF(CG115=0,"",_xlfn.LET(_xlpm.sg,TRIM(_xlfn.TEXTSPLIT(DD115&amp;"",";")),_xlpm.f_,_xlfn._xlws.FILTER(_xlpm.sg,LEFT(_xlpm.sg,3)="УЗО",""),IFERROR(INDEX(_xlpm.f_,1)&amp;"","")))</f>
        <v/>
      </c>
      <c r="CS115" t="str">
        <f t="shared" si="167"/>
        <v/>
      </c>
      <c r="CT115" s="6" t="str" cm="1">
        <f t="array" ref="CT115">IF(CR115="","",_xlfn.LET(_xlpm.tk,_xlfn.TEXTSPLIT(UPPER(CR115)," ",,TRUE),_xlpm.a_,_xlfn._xlws.FILTER(_xlpm.tk,ISNUMBER(--LEFT(_xlpm.tk,1))*((ISNUMBER(SEARCH("А",_xlpm.tk))+ISNUMBER(SEARCH("A",_xlpm.tk)))&gt;0)*NOT(ISNUMBER(SEARCH("МА",_xlpm.tk)))*NOT(ISNUMBER(SEARCH("MA",_xlpm.tk))),""),IFERROR(--SUBSTITUTE(SUBSTITUTE(INDEX(_xlpm.a_,1),"А",""),"A",""),"")))</f>
        <v/>
      </c>
      <c r="CU115" t="str" cm="1">
        <f t="array" ref="CU115">IF(CR115="","",_xlfn.LET(_xlpm.tk,_xlfn.TEXTSPLIT(UPPER(CR115)," ",,TRUE),_xlpm.a_,_xlfn._xlws.FILTER(_xlpm.tk,ISNUMBER(--LEFT(_xlpm.tk,1))*((ISNUMBER(SEARCH("МА",_xlpm.tk))+ISNUMBER(SEARCH("MA",_xlpm.tk)))&gt;0),""),IFERROR(--SUBSTITUTE(SUBSTITUTE(INDEX(_xlpm.a_,1),"МА",""),"MA",""),30)))</f>
        <v/>
      </c>
      <c r="CV115" t="str">
        <f>IF(CS115="","",IFERROR(_xlfn.XLOOKUP(CS115,Линии[_n],Линии[_УЗО, мА]),30))</f>
        <v/>
      </c>
      <c r="CW115">
        <f>IF(CS115="",0,IF(ISNUMBER(SEARCH("4P",IFERROR(_xlfn.XLOOKUP(CS115,Линии[_n],Линии[_УЗО строки])&amp;"",""))),0,1))</f>
        <v>0</v>
      </c>
      <c r="CX115" t="str">
        <f>IF(AND(CS115&lt;&gt;"",CS115=BA115),SUMIFS(Линии[_ток на 230 В],Линии[_блок УЗО],BA115,Линии[Щит],A115),"")</f>
        <v/>
      </c>
      <c r="CY115" t="str">
        <f>IF(AND(CS115&lt;&gt;"",CS115=BA115),SUMIFS(Линии[_ток утечки линии, мА],Линии[_блок УЗО],BA115,Линии[Щит],A115),"")</f>
        <v/>
      </c>
      <c r="CZ115">
        <f t="shared" si="168"/>
        <v>0</v>
      </c>
      <c r="DA115">
        <f t="shared" si="169"/>
        <v>0</v>
      </c>
      <c r="DB115">
        <f>IF(B115="",0,IFERROR(--_xlfn.XLOOKUP(B115,Коды_код,Коды_минавт),IFERROR(--_xlfn.XLOOKUP(BC115,Коды_код,Коды_минавт),IFERROR(--_xlfn.XLOOKUP(LEFT(BC115,2),Коды_код,Коды_минавт),0))))</f>
        <v>0</v>
      </c>
      <c r="DC115" t="str">
        <f>IF(B115="","",IFERROR(_xlfn.XLOOKUP(BC115,Коды_код,Коды_апп)&amp;"",""))</f>
        <v/>
      </c>
      <c r="DD115" t="str">
        <f t="shared" si="170"/>
        <v/>
      </c>
      <c r="DE115" t="str" cm="1">
        <f t="array" ref="DE115">IF(TRIM(DD115&amp;"")="","",IFERROR(TRIM(INDEX(_xlfn.TEXTSPLIT(DD115&amp;";;;",";"),1)),""))</f>
        <v/>
      </c>
      <c r="DF115" t="str" cm="1">
        <f t="array" ref="DF115">IF(TRIM(DD115&amp;"")="","",IFERROR(TRIM(INDEX(_xlfn.TEXTSPLIT(DD115&amp;";;;",";"),2)),""))</f>
        <v/>
      </c>
      <c r="DG115" t="str" cm="1">
        <f t="array" ref="DG115">IF(TRIM(DD115&amp;"")="","",IFERROR(TRIM(INDEX(_xlfn.TEXTSPLIT(DD115&amp;";;;",";"),3)),""))</f>
        <v/>
      </c>
      <c r="DH115">
        <f t="shared" si="171"/>
        <v>0</v>
      </c>
      <c r="DI115" t="str">
        <f>IF(B115="","",_xlfn.LET(_xlpm.t,LOWER(AZ115&amp;""),IF(ISNUMBER(SEARCH("dim",_xlpm.t)),"DIM",IF(ISNUMBER(SEARCH("dali",_xlpm.t)),"DALI",IF(OR(ISNUMBER(SEARCH("relay",_xlpm.t)),ISNUMBER(SEARCH("реле",_xlpm.t))),"Relay",IF(ISNUMBER(SEARCH("кнопк",_xlpm.t)),"",IFERROR(_xlfn.XLOOKUP(BC115,Коды_код,Коды_упр)&amp;"","")))))))</f>
        <v/>
      </c>
      <c r="DJ115" t="str">
        <f t="shared" si="172"/>
        <v/>
      </c>
      <c r="DK115">
        <f>IF(B115="","",_xlfn.LET(_xlpm.ig,IF(N(CX115)&gt;0,N(CX115),N(CI115)+IF(AJ115="вручную",0,N(CJ115))),_xlpm.n0,IFERROR(VLOOKUP(_xlpm.ig,Автомат_номиналы,2,TRUE),0),_xlpm.mn,MAX(DB115,IF(AJ115="вручную",0,N(CM115))),MAX(_xlpm.n0,_xlpm.mn,IF(DH115=1,Мин_автомат_БП,0))))</f>
        <v>6</v>
      </c>
      <c r="DL115">
        <f t="shared" si="173"/>
        <v>1</v>
      </c>
      <c r="DM115" t="str">
        <f t="shared" si="174"/>
        <v>1P</v>
      </c>
      <c r="DN115" t="str">
        <f>_xlfn.LET(_xlpm.cc,UPPER(TRIM(IFERROR(_xlfn.XLOOKUP(BC115,Коды_код,Коды_хар)&amp;"",""))),IF(OR(_xlpm.cc="B",_xlpm.cc="В"),"B",IF(_xlpm.cc="D","D","С")))</f>
        <v>С</v>
      </c>
      <c r="DO115" t="str">
        <f t="shared" si="175"/>
        <v>1P С6А</v>
      </c>
      <c r="DP115">
        <f t="shared" si="176"/>
        <v>10</v>
      </c>
      <c r="DQ115" t="str">
        <f t="shared" si="177"/>
        <v>1P С10А</v>
      </c>
      <c r="DR115" cm="1">
        <f t="array" ref="DR115">IF(DQ115="","",_xlfn.LET(_xlpm.t,SUBSTITUTE(SUBSTITUTE(SUBSTITUTE(UPPER(DQ115),"С","C"),"А","A"),"В","B"),_xlpm.tk,_xlfn.TEXTSPLIT(_xlpm.t," "),_xlpm.f,_xlfn._xlws.FILTER(_xlpm.tk,ISNUMBER(--MID(_xlpm.tk,2,1))*ISNUMBER(SEARCH(LEFT(_xlpm.tk,1)&amp;"#","B#C#D#"))*(LEN(_xlpm.tk)&gt;1),""),_xlpm.x,INDEX(_xlpm.f,1),IFERROR(--SUBSTITUTE(MID(_xlpm.x,2,9),"A",""),IFERROR(--SUBSTITUTE(INDEX(_xlfn._xlws.FILTER(_xlpm.tk,ISNUMBER(--SUBSTITUTE(_xlpm.tk,"A","")),""),1),"A",""),""))))</f>
        <v>10</v>
      </c>
      <c r="DS115" t="str">
        <f t="shared" si="178"/>
        <v>ok</v>
      </c>
      <c r="DT115">
        <f t="shared" si="179"/>
        <v>10</v>
      </c>
      <c r="DU115" t="str">
        <f t="shared" si="180"/>
        <v>1P С10А</v>
      </c>
      <c r="DV115">
        <f t="shared" si="181"/>
        <v>0</v>
      </c>
      <c r="DW115">
        <f t="shared" si="182"/>
        <v>0</v>
      </c>
      <c r="DX115">
        <f t="shared" si="183"/>
        <v>0</v>
      </c>
      <c r="DY115">
        <f t="shared" si="184"/>
        <v>0.87685072133174402</v>
      </c>
      <c r="DZ115">
        <f t="shared" si="185"/>
        <v>1</v>
      </c>
      <c r="EA115">
        <f>IF(ISNUMBER(AP115),AP115,К_прокл)</f>
        <v>1</v>
      </c>
      <c r="EB115">
        <f t="shared" si="186"/>
        <v>2</v>
      </c>
      <c r="EC115">
        <f>IFERROR(N(VLOOKUP(BZ115,Кабель_обозначение,3,FALSE)),1)</f>
        <v>1</v>
      </c>
      <c r="ED115">
        <f>IFERROR(N(_xlfn.XLOOKUP(A115,Щиты[Щит],Щиты[ΔU до шин, %])),0)</f>
        <v>0.24000000000000002</v>
      </c>
      <c r="EE115" t="str">
        <f>IFERROR(_xlfn.XLOOKUP(A115,Щиты[Щит],Щиты[Zпетли на шинах, Ом]),"")</f>
        <v/>
      </c>
      <c r="EF115">
        <f>IFERROR(N(_xlfn.XLOOKUP(A115,Щиты[Щит],Щиты[ΔU до шин (подбор), %])),0)</f>
        <v>0.36</v>
      </c>
      <c r="EG115" t="str">
        <f>IFERROR(_xlfn.XLOOKUP(A115,Щиты[Щит],Щиты[Zпетли на шинах (подбор), Ом]),"")</f>
        <v/>
      </c>
      <c r="EH115" t="str">
        <f t="shared" si="187"/>
        <v/>
      </c>
      <c r="EI115">
        <f t="shared" si="188"/>
        <v>40</v>
      </c>
      <c r="EJ115">
        <f t="shared" si="189"/>
        <v>2</v>
      </c>
      <c r="EK115">
        <f t="shared" si="190"/>
        <v>0.6</v>
      </c>
      <c r="EL115" s="6">
        <f>IF(B115="","",IF(BV115=1,dU_LED,IF(IFERROR(_xlfn.XLOOKUP(BC115,Коды_код,Коды_уго),"")="Светильник",3,4)+IF(Методика="нормы 2026",MIN(0.5,MAX(0,N(P115)-100)*0.005),0)))</f>
        <v>4</v>
      </c>
      <c r="EM115" cm="1">
        <f t="array" ref="EM115">IF(OR(B115="",BZ115="",EC115&lt;&gt;1),"",_xlfn.LET(_xlpm.sz,Iдоп_S,_xlpm.t_,CHOOSE(EB115,Iдоп_1ж,Iдоп_2ж,Iдоп_3ж)*DZ115*EA115,_xlpm.dcx,BV115=1,_xlpm.inn,IF(_xlpm.dcx,N(O115),N(DT115)),_xlpm.smin,MAX(1.5,CC115),_xlpm.L_,N(P115)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115)/N(BU115)*100,999),IFERROR(N(EJ115)*(_xlpm.rho*_xlpm.L_/_xlpm.sz*N(CE115)+_xlpm.xx*_xlpm.L_*N(EK115)/1000)*N(O115)/((Uн_лин/SQRT(3))*1000)*100,999)),_xlpm.kz,IF(OR(_xlpm.dcx,DW115=1,NOT(ISNUMBER(EG115)),_xlpm.L_=0,_xlpm.inn=0),1,IFERROR(--(c_min*(Uн_лин*1000/SQRT(3))/(EG115+2*ρкз_Cu*_xlpm.L_/_xlpm.sz)&gt;=HT115*_xlpm.inn),0)),_xlpm.ok,IFERROR((_xlpm.sz&gt;=_xlpm.smin)*(_xlpm.t_&gt;=_xlpm.inn)*IF(_xlpm.L_&gt;0,(_xlpm.du_+IF(_xlpm.dcx,0,EF115)&lt;=EL115+0.00001),1)*_xlpm.kz,0),_xlpm.r_,_xlfn._xlws.FILTER(_xlpm.sz,_xlpm.ok,"не подобрано"),INDEX(_xlpm.r_,1)))</f>
        <v>1.5</v>
      </c>
      <c r="EN115">
        <f t="shared" si="191"/>
        <v>1.5</v>
      </c>
      <c r="EO115" cm="1">
        <f t="array" ref="EO115">IF(OR(B115="",BZ115="",EC115&lt;&gt;1),"",_xlfn.LET(_xlpm.sz,Iдоп_S,_xlpm.t_,CHOOSE(EB115,Iдоп_1ж,Iдоп_2ж,Iдоп_3ж)*DZ115*EA115,_xlpm.ok,IFERROR((_xlpm.sz&gt;=MAX(1.5,CC115))*(_xlpm.t_&gt;=N(DT115)),0),_xlpm.r_,_xlfn._xlws.FILTER(_xlpm.sz,_xlpm.ok,""),INDEX(_xlpm.r_,1)))</f>
        <v>1.5</v>
      </c>
      <c r="EP115" s="6" cm="1">
        <f t="array" ref="EP115">IFERROR(ROUNDUP(N(EJ115)*(_xlfn.XLOOKUP(EO115,INDEX(Кабель_сопротивление,0,1),INDEX(Кабель_сопротивление,0,3))*N(P115)/EO115*N(CE115)+_xlfn.XLOOKUP(EO115,INDEX(Кабель_сопротивление,0,1),INDEX(Кабель_сопротивление,0,2))*N(P115)*N(EK115)/1000)*N(O115)/((Uн_лин/SQRT(3))*1000)*100,2),"")</f>
        <v>0.39</v>
      </c>
      <c r="EQ115">
        <f>IFERROR(2*ρкз_Cu*N(P115)/EO115,"")</f>
        <v>1.4728000000000001</v>
      </c>
      <c r="ER115">
        <f>IFERROR(VLOOKUP(EN115,Кабель_сопротивление,3,FALSE),"")</f>
        <v>2.2499999999999999E-2</v>
      </c>
      <c r="ES115">
        <f>IFERROR(VLOOKUP(EN115,Кабель_сопротивление,2,FALSE),"")</f>
        <v>0.11</v>
      </c>
      <c r="ET115">
        <f t="shared" si="192"/>
        <v>21</v>
      </c>
      <c r="EU115">
        <f t="shared" si="193"/>
        <v>0</v>
      </c>
      <c r="EV115">
        <f t="shared" si="194"/>
        <v>0.88872678750146117</v>
      </c>
      <c r="EW115" s="6">
        <f>IFERROR(ROUNDUP(EV115/IF(BV115=1,BU115,(Uн_лин/SQRT(3))*1000)*100,2),"")</f>
        <v>0.39</v>
      </c>
      <c r="EX115" t="str">
        <f>IFERROR(VLOOKUP(BZ115,Кабель_обозначение,2,FALSE),"")</f>
        <v>ВВГнг(А)-LS</v>
      </c>
      <c r="EY115" t="str">
        <f t="shared" si="195"/>
        <v>ВВГнг(А)-LS (3х1,5)</v>
      </c>
      <c r="EZ115" t="str">
        <f t="shared" si="196"/>
        <v>ВВГнг(А)-LS (3х1,5)
L=42-0,39%</v>
      </c>
      <c r="FA115">
        <f>IFERROR(2*ρкз_Cu*P115/EN115,"")</f>
        <v>1.4728000000000001</v>
      </c>
      <c r="FB115">
        <f t="shared" si="197"/>
        <v>0.49000000000000005</v>
      </c>
      <c r="FC115" s="6" t="str">
        <f>IFERROR(IF(OR(B115="",BV115=1,NOT(ISNUMBER(EN115)),N(P115)=0),"",_xlfn.XLOOKUP(A115,Щиты[Щит],Щиты[Zпетли на шинах, Ом])+FA115),"")</f>
        <v/>
      </c>
      <c r="FD115" s="6" t="str">
        <f>IF(ISNUMBER(FC115),c_min*(Uн_лин*1000/SQRT(3))/FC115,"")</f>
        <v/>
      </c>
      <c r="FE115" s="6" t="str">
        <f>IFERROR(IF(OR(B115="",NOT(ISNUMBER(EN115))),"",1.05*(Uн_лин*1000/SQRT(3))/(_xlfn.XLOOKUP(A115,Щиты[Щит],Щиты[Zmax на шинах, Ом])+FB115)/1000),"")</f>
        <v/>
      </c>
      <c r="FF115" s="6" t="str">
        <f>IF(B115="","",IF(ISNUMBER(AC115),"Сил",IF(IFERROR(_xlfn.XLOOKUP(BC115,Коды_код,Коды_группа)&amp;"","")="","Быт",_xlfn.XLOOKUP(BC115,Коды_код,Коды_группа)&amp;"")))</f>
        <v>Сил</v>
      </c>
      <c r="FG115" s="6" t="str">
        <f t="shared" si="198"/>
        <v>Сил</v>
      </c>
      <c r="FH115" s="6">
        <f>IF(FG115="Щит","щит",IF(FG115="","",IF(FG115="Быт",IFERROR(_xlfn.XLOOKUP(A115,Щиты[Щит],Щиты[Кс быт]),1),IF(FG115="Сил",IF(ISNUMBER(AC115),AC115,IF(Методика="нормы 2026",IFERROR(_xlfn.XLOOKUP(A115,Щиты[Щит],Щиты[Кс силовых (табл. 7.5)]),1),1)),IF(OR(FG115="Пост",FG115="Отоп"),1,IF(FG115="ВНГ",0.7,0))))))</f>
        <v>0.5</v>
      </c>
      <c r="FI115">
        <f>IF(FG115="","",IF(AND(BP115=1,TRIM(AE115&amp;"")=""),IF(COUNTIFS(Линии[Щит],A115,Линии[Секция (1/2/3)],"&gt;=2")&gt;0,MIN(3,MAX(1,IFERROR(--BD115,1))),1),IFERROR(MIN(3,MAX(1,INT(--AE115))),1)))</f>
        <v>1</v>
      </c>
      <c r="FJ115">
        <f t="shared" si="199"/>
        <v>0.16200000000000001</v>
      </c>
      <c r="FK115">
        <f t="shared" si="200"/>
        <v>0</v>
      </c>
      <c r="FL115">
        <f t="shared" si="201"/>
        <v>8.1000000000000003E-2</v>
      </c>
      <c r="FM115">
        <f t="shared" si="202"/>
        <v>0</v>
      </c>
      <c r="FN115">
        <f t="shared" si="203"/>
        <v>0</v>
      </c>
      <c r="FO115">
        <f t="shared" si="204"/>
        <v>0</v>
      </c>
      <c r="FP115">
        <f t="shared" si="205"/>
        <v>0.16200000000000001</v>
      </c>
      <c r="FQ115">
        <f t="shared" si="206"/>
        <v>0.16200000000000001</v>
      </c>
      <c r="FR115">
        <f t="shared" si="207"/>
        <v>0.12960000000000002</v>
      </c>
      <c r="FS115">
        <f>IF(CG115=1,IF(AND(CH115=1,CW115=1),0,IF(AND(CS115&lt;&gt;"",CS115=BA115,CW115=1),SUMIFS(Линии[_Р линии, кВт],Линии[_блок УЗО],BA115,Линии[Щит],A115),N(BS115)+IF(AJ115="вручную",0,N(CK115)))),0)</f>
        <v>0.16200000000000001</v>
      </c>
      <c r="FT115" t="str">
        <f t="shared" si="208"/>
        <v/>
      </c>
      <c r="FU115" t="str">
        <f>IF(B115="","",IF(CG115=0,IF(BA115=1,"",FW114),IF(AND(CH115=1,CW115=1,CS115&lt;&gt;""),IFERROR(_xlfn.XLOOKUP(CS115,Линии[_n],Линии[_фаза итог]),"L1"),IF(OR(N(DL115)&gt;=3,N(BX115)&gt;=3),"L1,L2,L3",IFERROR(_xlfn.TEXTBEFORE(_xlfn.TEXTAFTER(_xlfn.XLOOKUP(A115,Щиты[Щит],Щиты[_фазы авто]),";"&amp;BA115&amp;":"),";"),"L1")))))</f>
        <v>L1</v>
      </c>
      <c r="FV115" t="str">
        <f t="shared" si="209"/>
        <v>L1</v>
      </c>
      <c r="FW115" t="str">
        <f t="shared" si="210"/>
        <v>L1</v>
      </c>
      <c r="FX115" cm="1">
        <f t="array" ref="FX115">IFERROR(IF(CD115=2,_xlfn.IFS(BX115=3,VLOOKUP(BS115,Справочная_двигатели,3,FALSE),BX115=1,VLOOKUP(BS115,Справочная_двигатели,5,TRUE)),0),0)</f>
        <v>0</v>
      </c>
      <c r="FY115">
        <f>IFERROR(IF(CD115=3,VLOOKUP(BS115,Справочная_ЛЭД,2,TRUE),0),0)</f>
        <v>0</v>
      </c>
      <c r="FZ115" s="6">
        <f t="shared" si="211"/>
        <v>0</v>
      </c>
      <c r="GA115" t="str">
        <f>IF(B115="","",IF(TRIM(AH115&amp;"")&lt;&gt;"",IF(LOWER(TRIM(AH115&amp;""))="да","да","нет"),IF(IFERROR(_xlfn.XLOOKUP(BC115,Коды_код,Коды_пожарная),"")="да","да","нет")))</f>
        <v>нет</v>
      </c>
      <c r="GB115" t="str">
        <f t="shared" si="212"/>
        <v/>
      </c>
      <c r="GC115" t="str">
        <f t="shared" si="213"/>
        <v>основная</v>
      </c>
      <c r="GD115">
        <f>IF(AND(BP115=1,TRIM(AE115&amp;"")=""),IF(COUNTIFS(Линии[Щит],A115,Линии[Секция (1/2/3)],"&gt;=2")&gt;0,MIN(3,MAX(1,IFERROR(--BD115,1))),1),IFERROR(MIN(3,MAX(1,INT(--AE115))),1))</f>
        <v>1</v>
      </c>
      <c r="GE115" t="str" cm="1">
        <f t="array" ref="GE115">IF(B115="","",_xlfn.LET(_xlpm.t,IFERROR(_xlfn.XLOOKUP(1,(Шины[Шина]=GC115)*(((Шины[Щит]=A115)+(Шины[Щит]=""))&gt;0),Шины[Тип]),"")&amp;"",IF(_xlpm.t&lt;&gt;"",_xlpm.t,IF(ISNUMBER(SEARCH("ИБП",GC115)),"ИБП",IF(ISNUMBER(SEARCH("ДГУ",GC115)),"ДГУ","Ввод "&amp;GD115)))))</f>
        <v>Ввод 1</v>
      </c>
      <c r="GF115" t="str">
        <f t="shared" si="214"/>
        <v>Ввод 1</v>
      </c>
      <c r="GG115" t="str">
        <f>IF(BP115=0,"",IF(TRIM(AG115&amp;"")&lt;&gt;"",TRIM(AG115&amp;""),IF(OR(GE115="ИБП",GE115="ДГУ"),"I особая",_xlfn.XLOOKUP(A115,Щиты[Щит],Щиты[Категория шины «Ввод»],"III"))))</f>
        <v/>
      </c>
      <c r="GH115" t="str">
        <f>IF(A115="","",_xlfn.XLOOKUP(A115,Щиты[Щит],Щиты[Путь],""))</f>
        <v>|ГРЩ-ЖД|ЩОВ-01|</v>
      </c>
      <c r="GI115" t="str">
        <f>IF(B115="","",IF(AI115&lt;&gt;"",AI115,IF(IFERROR(_xlfn.XLOOKUP(BC115,Коды_код,Коды_вид)&amp;"","")="","Прочее",_xlfn.XLOOKUP(BC115,Коды_код,Коды_вид)&amp;"")))</f>
        <v>Кондиционирование и увлажнение</v>
      </c>
      <c r="GJ115">
        <f>IF(BM115="","",INT((BM115-1)/Столбцов_на_лист)+1)</f>
        <v>2</v>
      </c>
      <c r="GK115" t="str">
        <f t="shared" si="215"/>
        <v>ВВГнг(А)-LS (3х1,5) L=42-0,39%</v>
      </c>
      <c r="GL115">
        <f t="shared" si="216"/>
        <v>0.16200000000000001</v>
      </c>
      <c r="GM115">
        <f t="shared" si="217"/>
        <v>0.88</v>
      </c>
      <c r="GN115">
        <f t="shared" si="218"/>
        <v>1</v>
      </c>
      <c r="GO115">
        <f t="shared" si="219"/>
        <v>0</v>
      </c>
      <c r="GP115">
        <f t="shared" si="220"/>
        <v>1</v>
      </c>
      <c r="GQ115">
        <f>IF(BM115="","",IF(AND(CG115=1,GP115=1),COUNTIFS(A$3:A115,A115,CG$3:CG115,1,GP$3:GP115,1),IF(OR(OR(BA115=1,A115&lt;&gt;A114),AJ115="вручную",GP115=0),"",IF(BA115=1,"",GR114))))</f>
        <v>13</v>
      </c>
      <c r="GR115">
        <f t="shared" si="221"/>
        <v>13</v>
      </c>
      <c r="GS115">
        <f>IF(B115="","",IFERROR(LOOKUP(INDEX(CHOOSE(EB115,Iдоп_1ж,Iдоп_2ж,Iдоп_3ж),MATCH(EN115,Iдоп_S,0))*DZ115*EA115,{6,10,16,20,25,32,40,50,63,80,100,125,160,200,250,315,400,500,630}),""))</f>
        <v>16</v>
      </c>
      <c r="GT115" t="str">
        <f t="shared" si="222"/>
        <v>QF13</v>
      </c>
      <c r="GU115" t="str">
        <f t="shared" si="223"/>
        <v>QF13</v>
      </c>
      <c r="GV115" t="str">
        <f t="shared" si="224"/>
        <v/>
      </c>
      <c r="GW115">
        <f t="shared" si="225"/>
        <v>0</v>
      </c>
      <c r="GX115" t="str">
        <f>IF(OR(B115="",DJ115=""),"",IFERROR(_xlfn.XLOOKUP(DJ115,Модули_умолч[Управление],Модули_умолч[Модель])&amp;"",""))</f>
        <v/>
      </c>
      <c r="GY115">
        <f>IF(DJ115="",1,IFERROR(MAX(0,N(_xlfn.XLOOKUP(DJ115,Модули_умолч[Управление],Модули_умолч[Каналов на линию]))),1))</f>
        <v>1</v>
      </c>
      <c r="GZ115" t="str">
        <f t="shared" si="226"/>
        <v/>
      </c>
      <c r="HA115" t="str">
        <f t="shared" si="227"/>
        <v/>
      </c>
      <c r="HB115" t="str">
        <f t="shared" si="228"/>
        <v/>
      </c>
      <c r="HC115">
        <f>IF(HB115="",0,IFERROR(N(VLOOKUP(HB115,Модули_спр,3,FALSE)),0))</f>
        <v>0</v>
      </c>
      <c r="HD115" t="str">
        <f t="shared" si="229"/>
        <v/>
      </c>
      <c r="HE115" t="str">
        <f t="shared" si="230"/>
        <v/>
      </c>
      <c r="HF115" t="str">
        <f>IF(OR(HE115="",HE115="-"),"",IFERROR(VLOOKUP(HE115,Модули_спр,2,FALSE),"R"))</f>
        <v/>
      </c>
      <c r="HG115" t="str">
        <f>IF(HF115="","",HF115&amp;"."&amp;COUNTIFS(A$3:A115,A115,HF$3:HF115,HF115))</f>
        <v/>
      </c>
      <c r="HH115" t="str">
        <f t="shared" si="231"/>
        <v/>
      </c>
      <c r="HI115" t="str">
        <f t="shared" si="232"/>
        <v/>
      </c>
      <c r="HJ115" t="str">
        <f t="shared" si="233"/>
        <v/>
      </c>
      <c r="HK115" t="str">
        <f t="shared" si="234"/>
        <v/>
      </c>
      <c r="HL115">
        <f t="shared" si="235"/>
        <v>1</v>
      </c>
      <c r="HM115" t="str">
        <f>IF(HL115=1,"XT"&amp;COUNTIFS(A$3:A115,A115,HL$3:HL115,1),"")</f>
        <v>XT13</v>
      </c>
      <c r="HN115" t="str">
        <f t="shared" si="236"/>
        <v/>
      </c>
      <c r="HO115" t="str">
        <f t="shared" si="237"/>
        <v>QF13</v>
      </c>
      <c r="HP115" t="str">
        <f t="shared" si="238"/>
        <v/>
      </c>
      <c r="HQ115" t="str">
        <f t="shared" si="239"/>
        <v>ok</v>
      </c>
      <c r="HR115" t="str">
        <f>IF(OR(HJ115="",HH115=""),"",IF(HJ115+MAX(0,GY115-1)&gt;IFERROR(VLOOKUP(HI115,Модули_спр,3,FALSE),99),"ЛИШНИЙ КАНАЛ",IF(AND(AL115&lt;&gt;"=",GY115&gt;0,COUNTIFS(Линии[_модуль гр.],HH115,Линии[Канал (итог)],HJ115,Линии[Канал],"&lt;&gt;=",Линии[Щит],A115)&gt;1),"ДУБЛЬ КАНАЛА","")))</f>
        <v/>
      </c>
      <c r="HS115" s="6" t="str">
        <f t="shared" si="240"/>
        <v/>
      </c>
      <c r="HT115">
        <f t="shared" si="241"/>
        <v>10</v>
      </c>
      <c r="HU115" t="str">
        <f t="shared" si="242"/>
        <v/>
      </c>
      <c r="HV115">
        <f t="shared" si="243"/>
        <v>0.7707402885326976</v>
      </c>
      <c r="HW115">
        <f t="shared" si="244"/>
        <v>0</v>
      </c>
      <c r="HX115">
        <f t="shared" si="245"/>
        <v>0</v>
      </c>
      <c r="HY115">
        <f t="shared" si="246"/>
        <v>0</v>
      </c>
      <c r="HZ115">
        <f t="shared" si="247"/>
        <v>0</v>
      </c>
      <c r="IA115">
        <f t="shared" si="248"/>
        <v>0</v>
      </c>
      <c r="IB115">
        <f t="shared" si="249"/>
        <v>0</v>
      </c>
      <c r="IC115" t="str">
        <f t="shared" si="250"/>
        <v/>
      </c>
      <c r="ID115" t="str" cm="1">
        <f t="array" ref="ID115">IF(IC115="","",_xlfn.LET(_xlpm.tk,_xlfn.TEXTSPLIT(SUBSTITUTE(SUBSTITUTE(IC115,";"," "),"→"," ")," ",,TRUE),_xlpm.w_,_xlfn._xlws.FILTER(_xlpm.tk,ISNUMBER(--LEFT(_xlpm.tk,1))*((ISNUMBER(SEARCH("W",_xlpm.tk))+ISNUMBER(SEARCH("Вт",_xlpm.tk)))&gt;0),""),IFERROR(--SUBSTITUTE(SUBSTITUTE(UPPER(INDEX(_xlpm.w_,1)),"W",""),"ВТ",""),"")))</f>
        <v/>
      </c>
      <c r="IE115" t="str" cm="1">
        <f t="array" ref="IE115">IF(IC115="","",_xlfn.LET(_xlpm.tk,_xlfn.TEXTSPLIT(SUBSTITUTE(SUBSTITUTE(IC115,";"," "),"→"," ")," ",,TRUE),_xlpm.v_,_xlfn._xlws.FILTER(_xlpm.tk,ISNUMBER(--LEFT(_xlpm.tk,1))*((ISNUMBER(SEARCH("V",_xlpm.tk))+(RIGHT(UPPER(_xlpm.tk))="В"))&gt;0),""),IFERROR(--SUBSTITUTE(SUBSTITUTE(UPPER(INDEX(_xlpm.v_,1)),"V",""),"В",""),"")))</f>
        <v/>
      </c>
      <c r="IF115" s="6" t="str">
        <f>IF(OR(BV115=0,HI115="",HJ115=""),"",IFERROR(N(_xlfn.XLOOKUP(HI115,Каталог!$C$4:$C$500,Каталог!$Q$4:$Q$500)),""))</f>
        <v/>
      </c>
      <c r="IG115" s="6" t="str">
        <f>IF(N(IF115)=0,"",SUMIFS(Линии[Iр, А],Линии[Щит],A115,Линии[_модуль гр.],HH115,Линии[Канал (итог)],HJ115))</f>
        <v/>
      </c>
      <c r="IH115" t="str">
        <f>IF(AND(B115="",HO115=""),"",_xlfn.TEXTJOIN("; ",TRUE,IF(AND(B115&lt;&gt;"",FV115=""),"нет фазы",""),IF(AND(B115&lt;&gt;"",N(GL115)=0,FG115&lt;&gt;"Нет"),"нет мощности",""),IF(AND(HN115&lt;&gt;"",COUNTIFS(Линии[Щит],A115,Линии[Клемма (итог)],HN115)&gt;1),"дубль клеммы "&amp;HN115,""),IF(AND(HQ115&lt;&gt;"",HQ115&lt;&gt;"ok"),HQ115,""),IF(HR115&lt;&gt;"",HR115,""),IF(AND(N(CB115)&gt;=4,N(BX115)=1),CB115&amp;" жил на 1 фазе",""),IF(AND(BC115="R",CG115=1,IF(CS115&lt;&gt;"",N(CV115)&gt;30,OR(N(DA115)=0,N(DA115)&gt;30))),"розетка без дифзащиты до 30 мА",""),IF(AND(CG115=1,N(DA115)&gt;0,ISNUMBER(T115)),IF(T115&gt;N(DA115)/3,"ток утечки "&amp;FIXED(T115,1)&amp;" мА &gt; 1/3 уставки ("&amp;DA115&amp;" мА)",""),""),IF(AND(CH115=1,CS115=""),"«узо»: нет строки с УЗО выше (УЗО 2P 40А 30мА в «Аппаратах»)",""),IF(AND(CS115&lt;&gt;"",CS115=BA115),IF(CT115="","впишите номинал УЗО (УЗО 2P 40А 30мА)",IF(N(CT115)&lt;N(DT115),"УЗО "&amp;CT115&amp;" А &lt; автомата "&amp;DT115&amp;" А перед ним",IF(N(CT115)&lt;N(CX115),"УЗО "&amp;CT115&amp;" А &lt; тока блока "&amp;FIXED(CX115,1)&amp;" А",""))),""),IF(AND(CS115&lt;&gt;"",CS115=BA115,ISNUMBER(CY115)),IF(CY115&gt;N(CV115)/3,"ток утечки блока УЗО "&amp;FIXED(CY115,1)&amp;" мА &gt; 1/3 уставки ("&amp;CV115&amp;" мА)",""),""),IF(AND(CG115=1,N(BV115)+N(IB115)&gt;0,IC115=""),"линии до 50 В без БП: впишите в «Аппараты» (БП 24V 480W)",""),IF(AND(CG115=1,ISNUMBER(ID115),ISNUMBER(U115)),IF(U115&gt;ID115,"БП "&amp;ID115&amp;" Вт &lt; нужно "&amp;U115&amp;" Вт (×"&amp;Запас_БП&amp;")",""),""),IF(AND(CG115=1,ISNUMBER(IE115),N(BV115)=1),IF(IE115&lt;&gt;N(BU115),"БП на "&amp;IE115&amp;" В, линия "&amp;BU115&amp;" В",""),""),IF(AND(N(IF115)&gt;0,N(IG115)&gt;N(IF115)),HH115&amp;" канал "&amp;HJ115&amp;": "&amp;FIXED(IG115,1)&amp;" А &gt; "&amp;IF115&amp;" А",""),IFERROR(IF(AND(ISNUMBER(Q115),Q115&gt;EL115),"потери "&amp;FIXED(Q115,1)&amp;" % &gt; "&amp;EL115&amp;" %",""),""),IFERROR(IF(LEFT(HU115,4)="мало","Iкз мало — отключение &gt; 0,4 с",""),""),IF(AND(B115&lt;&gt;"",BM115=""),"не на схеме",""),IF(AND(CG115=0,B115&lt;&gt;"",FV115&lt;&gt;"",IF(BA115=1,"",FW114)&lt;&gt;"",FV115&lt;&gt;IF(BA115=1,"",FW114)),"фаза не как у автомата группы ("&amp;IF(BA115=1,"",FW114)&amp;")","")))</f>
        <v/>
      </c>
      <c r="II115" s="6">
        <f>IF(OR(CG115=0,DQ115=""),"",_xlfn.LET(_xlpm.t,IFERROR(_xlfn.XLOOKUP(DQ115,Каталог!$U$4:$U$500,Каталог!$G$4:$G$500),""),_xlpm.k,SEARCH("кА",_xlpm.t),IFERROR(--TRIM(RIGHT(SUBSTITUTE(MID(_xlpm.t,MAX(1,_xlpm.k-4),_xlpm.k-MAX(1,_xlpm.k-4))," ",REPT(" ",9)),5)),"")))</f>
        <v>6</v>
      </c>
      <c r="IJ115" t="str">
        <f>IF(OR(II115="",CG115=0),"",IF(_xlfn.XLOOKUP(A115,Щиты[Щит],Щиты[Iкз max на шинах, кА],"")="","",IF(II115&lt;_xlfn.XLOOKUP(A115,Щиты[Щит],Щиты[Iкз max на шинах, кА]),"Icu "&amp;II115&amp;" кА &lt; Iкз max","ok")))</f>
        <v/>
      </c>
      <c r="IK115" t="str">
        <f t="shared" si="251"/>
        <v/>
      </c>
      <c r="IL115" t="str">
        <f t="shared" si="252"/>
        <v>QF13</v>
      </c>
      <c r="IM115" t="str">
        <f t="shared" si="253"/>
        <v>QF13|кабель ВВГнг(А)-LS (3х1,5) → Внутренний блок кондиционирования цокольный этаж Пом. №005Б</v>
      </c>
      <c r="IN115" t="str" cm="1">
        <f t="array" ref="IN115">IF(IM115="","",_xlfn.LET(_xlpm.nd,_xlfn.TEXTSPLIT(IM115,"|"),IF(COLUMNS(_xlpm.nd)&gt;1,A115&amp;"¦"&amp;INDEX(_xlpm.nd,1)&amp;"¦"&amp;INDEX(_xlpm.nd,2),"")))</f>
        <v>ЩОВ-01¦QF13¦кабель ВВГнг(А)-LS (3х1,5) → Внутренний блок кондиционирования цокольный этаж Пом. №005Б</v>
      </c>
      <c r="IO115" t="str">
        <f t="shared" si="254"/>
        <v>K.0.005Б.1¦Внутренний блок кондиционирования цокольный этаж Пом. №005Б</v>
      </c>
      <c r="IP115" t="str" cm="1">
        <f t="array" ref="IP115">IF(IM115="","",_xlfn.LET(_xlpm.nd,_xlfn.TEXTSPLIT(IM115,"|"),IF(COLUMNS(_xlpm.nd)&gt;2,A115&amp;"¦"&amp;INDEX(_xlpm.nd,2)&amp;"¦"&amp;INDEX(_xlpm.nd,3),"")))</f>
        <v/>
      </c>
      <c r="IQ115" t="str">
        <f t="shared" si="255"/>
        <v/>
      </c>
      <c r="IR115" t="str" cm="1">
        <f t="array" ref="IR115">IF(IM115="","",_xlfn.LET(_xlpm.nd,_xlfn.TEXTSPLIT(IM115,"|"),IF(COLUMNS(_xlpm.nd)&gt;3,A115&amp;"¦"&amp;INDEX(_xlpm.nd,3)&amp;"¦"&amp;INDEX(_xlpm.nd,4),"")))</f>
        <v/>
      </c>
      <c r="IS115" t="str">
        <f t="shared" si="256"/>
        <v/>
      </c>
      <c r="IT115" t="str" cm="1">
        <f t="array" ref="IT115">IF(IM115="","",_xlfn.LET(_xlpm.nd,_xlfn.TEXTSPLIT(IM115,"|"),IF(COLUMNS(_xlpm.nd)&gt;4,A115&amp;"¦"&amp;INDEX(_xlpm.nd,4)&amp;"¦"&amp;INDEX(_xlpm.nd,5),"")))</f>
        <v/>
      </c>
      <c r="IU115" t="str">
        <f t="shared" si="257"/>
        <v/>
      </c>
      <c r="IV115" t="str" cm="1">
        <f t="array" ref="IV115">IF(IM115="","",_xlfn.LET(_xlpm.nd,_xlfn.TEXTSPLIT(IM115,"|"),IF(COLUMNS(_xlpm.nd)&gt;5,A115&amp;"¦"&amp;INDEX(_xlpm.nd,5)&amp;"¦"&amp;INDEX(_xlpm.nd,6),"")))</f>
        <v/>
      </c>
      <c r="IW115" t="str">
        <f t="shared" si="258"/>
        <v/>
      </c>
      <c r="IX115" t="str" cm="1">
        <f t="array" ref="IX115">IF(IM115="","",_xlfn.LET(_xlpm.nd,_xlfn.TEXTSPLIT(IM115,"|"),IF(COLUMNS(_xlpm.nd)&gt;6,A115&amp;"¦"&amp;INDEX(_xlpm.nd,6)&amp;"¦"&amp;INDEX(_xlpm.nd,7),"")))</f>
        <v/>
      </c>
      <c r="IY115" t="str">
        <f t="shared" si="259"/>
        <v/>
      </c>
      <c r="IZ115" t="str">
        <f t="shared" si="260"/>
        <v/>
      </c>
      <c r="JA115" t="str">
        <f t="shared" si="261"/>
        <v>QF13</v>
      </c>
      <c r="JB115">
        <f t="shared" si="262"/>
        <v>0</v>
      </c>
      <c r="JC115">
        <f t="shared" si="263"/>
        <v>0</v>
      </c>
      <c r="JD115" t="str">
        <f t="shared" si="264"/>
        <v/>
      </c>
      <c r="JE115" t="str">
        <f t="shared" si="265"/>
        <v/>
      </c>
      <c r="JF115" t="str">
        <f t="shared" si="266"/>
        <v/>
      </c>
      <c r="JG115" t="str">
        <f t="shared" si="267"/>
        <v/>
      </c>
      <c r="JH115">
        <f>IF(B115="","",IFERROR(_xlfn.XLOOKUP(B115,Коды_код,Коды_уго),IFERROR(_xlfn.XLOOKUP(BC115,Коды_код,Коды_уго),IFERROR(_xlfn.XLOOKUP(LEFT(BC115,2),Коды_код,Коды_уго),""))))</f>
        <v>0</v>
      </c>
      <c r="JI115" t="str">
        <f>IF(B115="","",IF(OR(JH115="",JH115=0),"BOX",IFERROR(IF(VLOOKUP(JH115,УГО_блоки,3,FALSE)&amp;""&lt;&gt;"",VLOOKUP(JH115,УГО_блоки,3,FALSE),VLOOKUP(JH115,УГО_блоки,2,FALSE)),JH115)))</f>
        <v>BOX</v>
      </c>
      <c r="JJ115">
        <f t="shared" si="268"/>
        <v>1</v>
      </c>
      <c r="JK115" t="str">
        <f>IF(DQ115="","",IF(COUNTIF(DQ$3:DQ115,DQ115)=1,MAX(JK$2:JK114)+1,""))</f>
        <v/>
      </c>
      <c r="JL115" t="str">
        <f>IF(DE115="","",IF(COUNTIF(DE$3:DE115,DE115)+COUNTIF(DF$2:DF114,DE115)+COUNTIF(DG$2:DG114,DE115)=1,MAX(JL$2:JN114)+1,""))</f>
        <v/>
      </c>
      <c r="JM115" t="str">
        <f>IF(DF115="","",IF(COUNTIF(DE$3:DE115,DF115)+COUNTIF(DF$3:DF115,DF115)+COUNTIF(DG$2:DG114,DF115)=1,MAX(JL$2:JN114,JL115)+1,""))</f>
        <v/>
      </c>
      <c r="JN115" t="str">
        <f>IF(DG115="","",IF(COUNTIF(DE$3:DE115,DG115)+COUNTIF(DF$3:DF115,DG115)+COUNTIF(DG$3:DG115,DG115)=1,MAX(JL$2:JN114,JL115,JM115)+1,""))</f>
        <v/>
      </c>
      <c r="JO115" t="str">
        <f t="shared" si="269"/>
        <v>3х1,5</v>
      </c>
      <c r="JP115" t="str">
        <f>IF(JO115="","",IF(COUNTIF(JO$3:JO115,JO115)=1,MAX(JP$2:JP114)+1,""))</f>
        <v/>
      </c>
      <c r="JQ115" t="str">
        <f>IF(HG115="","",COUNTIF(HG$3:HG115,"?*"))</f>
        <v/>
      </c>
      <c r="JR115" t="str">
        <f>IF(OR(HG115="",HI115=""),"",IF(COUNTIFS(HG$3:HG115,"?*",HI$3:HI115,HI115)=1,MAX(JR$2:JR114)+1,""))</f>
        <v/>
      </c>
      <c r="JS115">
        <f t="shared" si="270"/>
        <v>0</v>
      </c>
      <c r="JT115">
        <f>IF(B115="","",COUNTIF(B$3:B115,"?*"))</f>
        <v>113</v>
      </c>
      <c r="JU115">
        <f>IF(HL115&lt;&gt;1,0,_xlfn.LET(_xlpm.k,MAX(IFERROR(--_xlfn.XLOOKUP(B115,Коды_код,Коды_3L),0),IFERROR(--_xlfn.XLOOKUP(BC115,Коды_код,Коды_3L),0),IFERROR(--_xlfn.XLOOKUP(LEFT(BC115,2),Коды_код,Коды_3L),0)),IF(_xlpm.k&gt;0,_xlpm.k,IF(IFERROR(--LEFT(SUBSTITUTE(JO115,"x","х"),FIND("х",SUBSTITUTE(JO115,"x","х"))-1),3)&gt;3,Каталог!$S$9,1))))</f>
        <v>1</v>
      </c>
      <c r="JV115">
        <f t="shared" si="271"/>
        <v>0</v>
      </c>
      <c r="JW115" t="str">
        <f t="shared" si="272"/>
        <v>авто</v>
      </c>
      <c r="JX115" t="str">
        <f t="shared" si="273"/>
        <v/>
      </c>
      <c r="JY115">
        <f t="shared" si="274"/>
        <v>0</v>
      </c>
      <c r="JZ115">
        <f t="shared" si="275"/>
        <v>1</v>
      </c>
    </row>
    <row r="116" spans="1:286" x14ac:dyDescent="0.3">
      <c r="A116" t="s">
        <v>745</v>
      </c>
      <c r="B116" t="s">
        <v>1427</v>
      </c>
      <c r="C116" t="s">
        <v>1677</v>
      </c>
      <c r="D116">
        <v>1</v>
      </c>
      <c r="E116">
        <v>0.16200000000000001</v>
      </c>
      <c r="G116">
        <v>10</v>
      </c>
      <c r="H116" t="str">
        <f>Линии[[#This Row],[_авто управление]]</f>
        <v/>
      </c>
      <c r="I116" t="str">
        <f>Линии[[#This Row],[_авто аппараты]]</f>
        <v/>
      </c>
      <c r="J116">
        <v>1.5</v>
      </c>
      <c r="K116">
        <v>48</v>
      </c>
      <c r="L116" t="str">
        <f>Линии[[#This Row],[_авто фаза]]</f>
        <v>L2</v>
      </c>
      <c r="M116" t="s">
        <v>484</v>
      </c>
      <c r="N116" t="str">
        <f t="shared" si="138"/>
        <v/>
      </c>
      <c r="O116" s="6" cm="1">
        <f t="array" ref="O116">IF(B116="","",IF(BH116&lt;&gt;"",IFERROR(_xlfn.XLOOKUP(BH116,Щиты[Щит],Щиты[Iр, А]),""),IF(BP116=1,IF(OR(N(_xlfn.XLOOKUP(A116,Щиты[Щит],Щиты[Вводов],1))&lt;=1,LOWER(TRIM(_xlfn.XLOOKUP(A116,Щиты[Щит],Щиты[АВР],"")&amp;""))="да"),IFERROR(_xlfn.XLOOKUP(A116,Щиты[Щит],Щиты[Iр, А]),""),IFERROR(N(BS116)*_xlfn.XLOOKUP(A116,Щиты[Щит],Щиты[Кс итог])/(SQRT(3)*Uн_лин*_xlfn.XLOOKUP(A116,Щиты[Щит],Щиты[cos φ])),"")),IF(BV116=1,IFERROR(BS116*1000/BU116,""),IFERROR(_xlfn.IFS(BX116=1,BS116/((Uн_лин/SQRT(3))*CE116),BX116=3,BS116/(SQRT(3)*Uн_лин*CE116)),"")))))</f>
        <v>0.87685072133174402</v>
      </c>
      <c r="P116" s="7">
        <f>IF(B116="","",IFERROR(IF(VLOOKUP(BC116,Потребители_обозначение,4,FALSE)=1,VLOOKUP(BC116,Потребители_обозначение,3,FALSE)*(MAX(1,N(D116))*2-1)+EI116+VLOOKUP(BE116,Этаж_обозначение,3,FALSE)+VLOOKUP(BE116,Этаж_обозначение,4,FALSE),VLOOKUP(BC116,Потребители_обозначение,3,FALSE)*(MAX(1,N(D116))*2-1)+EI116),EI116))</f>
        <v>50</v>
      </c>
      <c r="Q116" s="6">
        <f t="shared" si="139"/>
        <v>0.70000000000000007</v>
      </c>
      <c r="R116" t="str">
        <f t="shared" si="140"/>
        <v>ВВГнг(А)-LS (3х1,5)</v>
      </c>
      <c r="S116" t="str">
        <f>IF(BM116="","",IF(BN116="вводной узел","узел ","")&amp;"л."&amp;(INT((BM116-1)/Столбцов_на_лист)+1)&amp;" / "&amp;(MOD(BM116-1,Столбцов_на_лист)+1))</f>
        <v>л.2 / 11</v>
      </c>
      <c r="T116" s="119">
        <f t="shared" si="141"/>
        <v>0.9</v>
      </c>
      <c r="U116" s="7" t="str">
        <f>IF(OR(CG116=0,N(BV116)+N(IB116)=0),"",ROUNDUP(Запас_БП*(N(HY116)+N(HZ116)),0))</f>
        <v/>
      </c>
      <c r="V116" s="119" t="str">
        <f t="shared" si="142"/>
        <v/>
      </c>
      <c r="W116" s="7" t="str">
        <f>IFERROR(IF(OR(B116="",BP116=1,BV116=1,NOT(ISNUMBER(EN116)),N(DT116)=0),"",MAX(0,ROUNDDOWN((c_min*(Uн_лин*1000/SQRT(3))/(HT116*N(DT116))-_xlfn.XLOOKUP(A116,Щиты[Щит],Щиты[Zпетли на шинах, Ом]))*EN116/(2*ρкз_Cu),0))),"")</f>
        <v/>
      </c>
      <c r="Y116" t="str">
        <f>Линии[[#This Row],[_авто утечка]]</f>
        <v/>
      </c>
      <c r="Z116">
        <v>1</v>
      </c>
      <c r="AA116">
        <v>230</v>
      </c>
      <c r="AB116" t="s">
        <v>598</v>
      </c>
      <c r="AC116">
        <v>0.5</v>
      </c>
      <c r="AG116" t="s">
        <v>810</v>
      </c>
      <c r="AI116" t="s">
        <v>576</v>
      </c>
      <c r="AK116" t="str">
        <f>Линии[[#This Row],[_авто модуль]]</f>
        <v/>
      </c>
      <c r="AM116">
        <v>28</v>
      </c>
      <c r="AN116" t="s">
        <v>11</v>
      </c>
      <c r="AO116">
        <v>3</v>
      </c>
      <c r="AQ116">
        <v>21</v>
      </c>
      <c r="AR116">
        <v>29</v>
      </c>
      <c r="AT116">
        <v>1</v>
      </c>
      <c r="BA116" cm="1">
        <f t="array" ref="BA116">ROW()-ROW(Линии[#Headers])</f>
        <v>114</v>
      </c>
      <c r="BC116" s="6" t="str">
        <f t="shared" si="143"/>
        <v>K</v>
      </c>
      <c r="BD116" t="str">
        <f t="shared" si="144"/>
        <v>0.005Б.2</v>
      </c>
      <c r="BE116" t="str">
        <f t="shared" si="145"/>
        <v>0</v>
      </c>
      <c r="BF116" t="str">
        <f t="shared" si="146"/>
        <v>005Б.2</v>
      </c>
      <c r="BG116" t="str">
        <f t="shared" si="147"/>
        <v>005Б</v>
      </c>
      <c r="BH116" t="str">
        <f>IF(X116&lt;&gt;"",X116,IF(AND(B116&lt;&gt;"",B116&lt;&gt;A116,ISNUMBER(_xlfn.XMATCH(B116,Щиты[Щит]))),B116,""))</f>
        <v/>
      </c>
      <c r="BI116" t="str" cm="1">
        <f t="array" ref="BI116">IF(B116="","",IF(BH116&lt;&gt;"","Щит "&amp;BH116,_xlfn.LET(_xlpm.nm,IFERROR(_xlfn.XLOOKUP(BC116,Коды_код,Коды_имя)&amp;"",""),_xlpm.md,IFERROR(N(_xlfn.XLOOKUP(BC116,Коды_код,Коды_режим)),1),_xlpm.ex,IF(Имя_режим="по экспликации",IFERROR(_xlfn.XLOOKUP(BE116&amp;"|"&amp;BG116,Экспликация[Этаж]&amp;"|"&amp;Экспликация[Помещение],Экспликация[Название])&amp;"",""),""),_xlpm.rm,IF(BG116="","",IF(_xlpm.ex&lt;&gt;"",". "&amp;_xlpm.ex&amp;IF(Имя_пом="нет"," ("&amp;BG116&amp;")"," (пом. "&amp;BG116&amp;")"),IF(Имя_пом="нет"," ",", пом. ")&amp;BG116)),IF(_xlpm.nm="","",IF(_xlpm.md=2,_xlpm.nm&amp;" шлейф "&amp;BE116,_xlpm.nm&amp;_xlpm.rm)))))</f>
        <v>Внутренний блок кондиционирования, пом. 005Б</v>
      </c>
      <c r="BJ116" t="str">
        <f t="shared" si="148"/>
        <v>Внутренний блок кондиционирования цокольный этаж Пом. №005Б</v>
      </c>
      <c r="BK116">
        <f>IFERROR(_xlfn.XMATCH(A116,Щиты[Щит]),0)</f>
        <v>6</v>
      </c>
      <c r="BL116">
        <f>_xlfn.LET(_xlpm.k,IFERROR(_xlfn.XLOOKUP(A116,Щиты[Щит],Щиты[Мест под вводной узел]),""),IF(_xlpm.k="",Столбцов_на_лист,N(_xlpm.k)))</f>
        <v>12</v>
      </c>
      <c r="BM116">
        <f t="shared" si="149"/>
        <v>28</v>
      </c>
      <c r="BN116" t="str">
        <f t="shared" si="150"/>
        <v>линии</v>
      </c>
      <c r="BO116" s="6">
        <f>IFERROR(N(_xlfn.XLOOKUP(BC116,Коды_код,Коды_квт)),0)</f>
        <v>0</v>
      </c>
      <c r="BP116">
        <f t="shared" si="151"/>
        <v>0</v>
      </c>
      <c r="BQ116" t="str">
        <f>IF(B116="","",IF(BH116&lt;&gt;"",IFERROR(_xlfn.XLOOKUP(BH116,Щиты[Щит],Щиты[Руст, кВт]),0),IF(BP116=1,IF(OR(N(_xlfn.XLOOKUP(A116,Щиты[Щит],Щиты[Вводов],1))&lt;=1,LOWER(TRIM(_xlfn.XLOOKUP(A116,Щиты[Щит],Щиты[АВР],"")&amp;""))="да"),IFERROR(_xlfn.XLOOKUP(A116,Щиты[Щит],Щиты[Руст, кВт]),0),SUMIFS(Линии[_Р для вводов],Линии[Щит],A116,Линии[Источник для режимов],GF116)),IF(BO116&gt;0,ROUND(BO116*MAX(1,N(D116)),3),""))))</f>
        <v/>
      </c>
      <c r="BR116">
        <f t="shared" si="152"/>
        <v>0.16200000000000001</v>
      </c>
      <c r="BS116" s="6">
        <f>IF(B116="","",IF(BH116&lt;&gt;"",IFERROR(_xlfn.XLOOKUP(BH116,Щиты[Щит],Щиты[Руст, кВт]),0),N(BR116)))</f>
        <v>0.16200000000000001</v>
      </c>
      <c r="BT116" t="str">
        <f>IF(B116="","",IFERROR(IF(VLOOKUP(BC116,Потребители_обозначение,8,FALSE)=0,"",VLOOKUP(BC116,Потребители_обозначение,8,FALSE)),""))</f>
        <v/>
      </c>
      <c r="BU116">
        <f t="shared" si="153"/>
        <v>230</v>
      </c>
      <c r="BV116">
        <f t="shared" si="154"/>
        <v>0</v>
      </c>
      <c r="BW116">
        <f>IF(B116="","",IF(BH116&lt;&gt;"",3,IFERROR(IF(N(VLOOKUP(BC116,Потребители_обозначение,9,FALSE))=0,1,VLOOKUP(BC116,Потребители_обозначение,9,FALSE)),1)))</f>
        <v>1</v>
      </c>
      <c r="BX116">
        <f t="shared" si="155"/>
        <v>1</v>
      </c>
      <c r="BY116" t="str">
        <f>IF(B116="","",_xlfn.LET(_xlpm.bc,IFERROR(IF(VLOOKUP(BC116,Потребители_обозначение,6,FALSE)=0,"",VLOOKUP(BC116,Потребители_обозначение,6,FALSE)&amp;""),""),IF(AND(GA116="да",OR(_xlpm.bc="",_xlpm.bc="мс")),Марка_пож,IF(AND(_xlpm.bc="",BH116&lt;&gt;""),"мс",_xlpm.bc))))</f>
        <v/>
      </c>
      <c r="BZ116" t="str">
        <f t="shared" si="156"/>
        <v>мс</v>
      </c>
      <c r="CA116">
        <f>IF(B116="","",_xlfn.LET(_xlpm.cc,IFERROR(N(VLOOKUP(BC116,Потребители_обозначение,7,FALSE)),0),IF(_xlpm.cc&gt;0,_xlpm.cc,IF(BZ116="","",IF(BV116=1,2,IF(N(BX116)=3,5,3))))))</f>
        <v>3</v>
      </c>
      <c r="CB116">
        <f t="shared" si="157"/>
        <v>3</v>
      </c>
      <c r="CC116">
        <f>IFERROR(N(VLOOKUP(BC116,Потребители_обозначение,10,FALSE)),0)</f>
        <v>0</v>
      </c>
      <c r="CD116">
        <f>IFERROR(VLOOKUP(BC116,Потребители_обозначение,5,FALSE),0)</f>
        <v>1</v>
      </c>
      <c r="CE116" s="6" cm="1">
        <f t="array" ref="CE116">IF(B116="","",IF(BH116&lt;&gt;"",IFERROR(_xlfn.XLOOKUP(BH116,Щиты[Щит],Щиты[cos φ]),0.95),IF(BP116=1,IFERROR(_xlfn.XLOOKUP(A116,Щиты[Щит],Щиты[cos φ]),0.95),IF(ISNUMBER(AD116),AD116,IFERROR(IF(CD116=2,_xlfn.IFS(BX116=3,VLOOKUP(BS116,Справочная_двигатели,8,FALSE),BX116=1,VLOOKUP(BS116,Справочная_двигатели,10,TRUE)),IF(AND(Методика="нормы 2026",FG116="Сил"),0.8,0.95)),0.95)))))</f>
        <v>0.8</v>
      </c>
      <c r="CF116">
        <f t="shared" si="158"/>
        <v>0</v>
      </c>
      <c r="CG116">
        <f t="shared" si="159"/>
        <v>1</v>
      </c>
      <c r="CH116">
        <f t="shared" si="160"/>
        <v>0</v>
      </c>
      <c r="CI116">
        <f>IF(B116="","",IF(BV116=1,IFERROR(BS116/((Uн_лин/SQRT(3))*MAX(0.5,N(CE116))),0),N(O116)))</f>
        <v>0.87685072133174402</v>
      </c>
      <c r="CJ116">
        <f t="shared" si="161"/>
        <v>0</v>
      </c>
      <c r="CK116">
        <f t="shared" si="162"/>
        <v>0</v>
      </c>
      <c r="CL116">
        <f t="shared" si="163"/>
        <v>0</v>
      </c>
      <c r="CM116">
        <f t="shared" si="164"/>
        <v>0</v>
      </c>
      <c r="CN116">
        <f t="shared" si="165"/>
        <v>0</v>
      </c>
      <c r="CO116">
        <f>IF(BC116="",0,_xlfn.LET(_xlpm.v,IFERROR(_xlfn.XLOOKUP(B116,Коды_код,Коды_мА),IFERROR(_xlfn.XLOOKUP(BC116,Коды_код,Коды_мА),IFERROR(_xlfn.XLOOKUP(LEFT(BC116,2),Коды_код,Коды_мА),""))),IF(_xlpm.v="да",30,IF(ISNUMBER(_xlpm.v),_xlpm.v,0))))</f>
        <v>0</v>
      </c>
      <c r="CP116" t="str">
        <f t="shared" si="166"/>
        <v/>
      </c>
      <c r="CQ116" t="str">
        <f>_xlfn.LET(_xlpm.k,IFERROR(_xlfn.XLOOKUP(BC116,Коды_код,Коды_утечка)&amp;"",""),IF(_xlpm.k="","дифавтомат",_xlpm.k))</f>
        <v>дифавтомат</v>
      </c>
      <c r="CR116" t="str" cm="1">
        <f t="array" ref="CR116">IF(CG116=0,"",_xlfn.LET(_xlpm.sg,TRIM(_xlfn.TEXTSPLIT(DD116&amp;"",";")),_xlpm.f_,_xlfn._xlws.FILTER(_xlpm.sg,LEFT(_xlpm.sg,3)="УЗО",""),IFERROR(INDEX(_xlpm.f_,1)&amp;"","")))</f>
        <v/>
      </c>
      <c r="CS116" t="str">
        <f t="shared" si="167"/>
        <v/>
      </c>
      <c r="CT116" s="6" t="str" cm="1">
        <f t="array" ref="CT116">IF(CR116="","",_xlfn.LET(_xlpm.tk,_xlfn.TEXTSPLIT(UPPER(CR116)," ",,TRUE),_xlpm.a_,_xlfn._xlws.FILTER(_xlpm.tk,ISNUMBER(--LEFT(_xlpm.tk,1))*((ISNUMBER(SEARCH("А",_xlpm.tk))+ISNUMBER(SEARCH("A",_xlpm.tk)))&gt;0)*NOT(ISNUMBER(SEARCH("МА",_xlpm.tk)))*NOT(ISNUMBER(SEARCH("MA",_xlpm.tk))),""),IFERROR(--SUBSTITUTE(SUBSTITUTE(INDEX(_xlpm.a_,1),"А",""),"A",""),"")))</f>
        <v/>
      </c>
      <c r="CU116" t="str" cm="1">
        <f t="array" ref="CU116">IF(CR116="","",_xlfn.LET(_xlpm.tk,_xlfn.TEXTSPLIT(UPPER(CR116)," ",,TRUE),_xlpm.a_,_xlfn._xlws.FILTER(_xlpm.tk,ISNUMBER(--LEFT(_xlpm.tk,1))*((ISNUMBER(SEARCH("МА",_xlpm.tk))+ISNUMBER(SEARCH("MA",_xlpm.tk)))&gt;0),""),IFERROR(--SUBSTITUTE(SUBSTITUTE(INDEX(_xlpm.a_,1),"МА",""),"MA",""),30)))</f>
        <v/>
      </c>
      <c r="CV116" t="str">
        <f>IF(CS116="","",IFERROR(_xlfn.XLOOKUP(CS116,Линии[_n],Линии[_УЗО, мА]),30))</f>
        <v/>
      </c>
      <c r="CW116">
        <f>IF(CS116="",0,IF(ISNUMBER(SEARCH("4P",IFERROR(_xlfn.XLOOKUP(CS116,Линии[_n],Линии[_УЗО строки])&amp;"",""))),0,1))</f>
        <v>0</v>
      </c>
      <c r="CX116" t="str">
        <f>IF(AND(CS116&lt;&gt;"",CS116=BA116),SUMIFS(Линии[_ток на 230 В],Линии[_блок УЗО],BA116,Линии[Щит],A116),"")</f>
        <v/>
      </c>
      <c r="CY116" t="str">
        <f>IF(AND(CS116&lt;&gt;"",CS116=BA116),SUMIFS(Линии[_ток утечки линии, мА],Линии[_блок УЗО],BA116,Линии[Щит],A116),"")</f>
        <v/>
      </c>
      <c r="CZ116">
        <f t="shared" si="168"/>
        <v>0</v>
      </c>
      <c r="DA116">
        <f t="shared" si="169"/>
        <v>0</v>
      </c>
      <c r="DB116">
        <f>IF(B116="",0,IFERROR(--_xlfn.XLOOKUP(B116,Коды_код,Коды_минавт),IFERROR(--_xlfn.XLOOKUP(BC116,Коды_код,Коды_минавт),IFERROR(--_xlfn.XLOOKUP(LEFT(BC116,2),Коды_код,Коды_минавт),0))))</f>
        <v>0</v>
      </c>
      <c r="DC116" t="str">
        <f>IF(B116="","",IFERROR(_xlfn.XLOOKUP(BC116,Коды_код,Коды_апп)&amp;"",""))</f>
        <v/>
      </c>
      <c r="DD116" t="str">
        <f t="shared" si="170"/>
        <v/>
      </c>
      <c r="DE116" t="str" cm="1">
        <f t="array" ref="DE116">IF(TRIM(DD116&amp;"")="","",IFERROR(TRIM(INDEX(_xlfn.TEXTSPLIT(DD116&amp;";;;",";"),1)),""))</f>
        <v/>
      </c>
      <c r="DF116" t="str" cm="1">
        <f t="array" ref="DF116">IF(TRIM(DD116&amp;"")="","",IFERROR(TRIM(INDEX(_xlfn.TEXTSPLIT(DD116&amp;";;;",";"),2)),""))</f>
        <v/>
      </c>
      <c r="DG116" t="str" cm="1">
        <f t="array" ref="DG116">IF(TRIM(DD116&amp;"")="","",IFERROR(TRIM(INDEX(_xlfn.TEXTSPLIT(DD116&amp;";;;",";"),3)),""))</f>
        <v/>
      </c>
      <c r="DH116">
        <f t="shared" si="171"/>
        <v>0</v>
      </c>
      <c r="DI116" t="str">
        <f>IF(B116="","",_xlfn.LET(_xlpm.t,LOWER(AZ116&amp;""),IF(ISNUMBER(SEARCH("dim",_xlpm.t)),"DIM",IF(ISNUMBER(SEARCH("dali",_xlpm.t)),"DALI",IF(OR(ISNUMBER(SEARCH("relay",_xlpm.t)),ISNUMBER(SEARCH("реле",_xlpm.t))),"Relay",IF(ISNUMBER(SEARCH("кнопк",_xlpm.t)),"",IFERROR(_xlfn.XLOOKUP(BC116,Коды_код,Коды_упр)&amp;"","")))))))</f>
        <v/>
      </c>
      <c r="DJ116" t="str">
        <f t="shared" si="172"/>
        <v/>
      </c>
      <c r="DK116">
        <f>IF(B116="","",_xlfn.LET(_xlpm.ig,IF(N(CX116)&gt;0,N(CX116),N(CI116)+IF(AJ116="вручную",0,N(CJ116))),_xlpm.n0,IFERROR(VLOOKUP(_xlpm.ig,Автомат_номиналы,2,TRUE),0),_xlpm.mn,MAX(DB116,IF(AJ116="вручную",0,N(CM116))),MAX(_xlpm.n0,_xlpm.mn,IF(DH116=1,Мин_автомат_БП,0))))</f>
        <v>6</v>
      </c>
      <c r="DL116">
        <f t="shared" si="173"/>
        <v>1</v>
      </c>
      <c r="DM116" t="str">
        <f t="shared" si="174"/>
        <v>1P</v>
      </c>
      <c r="DN116" t="str">
        <f>_xlfn.LET(_xlpm.cc,UPPER(TRIM(IFERROR(_xlfn.XLOOKUP(BC116,Коды_код,Коды_хар)&amp;"",""))),IF(OR(_xlpm.cc="B",_xlpm.cc="В"),"B",IF(_xlpm.cc="D","D","С")))</f>
        <v>С</v>
      </c>
      <c r="DO116" t="str">
        <f t="shared" si="175"/>
        <v>1P С6А</v>
      </c>
      <c r="DP116">
        <f t="shared" si="176"/>
        <v>10</v>
      </c>
      <c r="DQ116" t="str">
        <f t="shared" si="177"/>
        <v>1P С10А</v>
      </c>
      <c r="DR116" cm="1">
        <f t="array" ref="DR116">IF(DQ116="","",_xlfn.LET(_xlpm.t,SUBSTITUTE(SUBSTITUTE(SUBSTITUTE(UPPER(DQ116),"С","C"),"А","A"),"В","B"),_xlpm.tk,_xlfn.TEXTSPLIT(_xlpm.t," "),_xlpm.f,_xlfn._xlws.FILTER(_xlpm.tk,ISNUMBER(--MID(_xlpm.tk,2,1))*ISNUMBER(SEARCH(LEFT(_xlpm.tk,1)&amp;"#","B#C#D#"))*(LEN(_xlpm.tk)&gt;1),""),_xlpm.x,INDEX(_xlpm.f,1),IFERROR(--SUBSTITUTE(MID(_xlpm.x,2,9),"A",""),IFERROR(--SUBSTITUTE(INDEX(_xlfn._xlws.FILTER(_xlpm.tk,ISNUMBER(--SUBSTITUTE(_xlpm.tk,"A","")),""),1),"A",""),""))))</f>
        <v>10</v>
      </c>
      <c r="DS116" t="str">
        <f t="shared" si="178"/>
        <v>ok</v>
      </c>
      <c r="DT116">
        <f t="shared" si="179"/>
        <v>10</v>
      </c>
      <c r="DU116" t="str">
        <f t="shared" si="180"/>
        <v>1P С10А</v>
      </c>
      <c r="DV116">
        <f t="shared" si="181"/>
        <v>0</v>
      </c>
      <c r="DW116">
        <f t="shared" si="182"/>
        <v>0</v>
      </c>
      <c r="DX116">
        <f t="shared" si="183"/>
        <v>0</v>
      </c>
      <c r="DY116">
        <f t="shared" si="184"/>
        <v>0.87685072133174402</v>
      </c>
      <c r="DZ116">
        <f t="shared" si="185"/>
        <v>1</v>
      </c>
      <c r="EA116">
        <f>IF(ISNUMBER(AP116),AP116,К_прокл)</f>
        <v>1</v>
      </c>
      <c r="EB116">
        <f t="shared" si="186"/>
        <v>2</v>
      </c>
      <c r="EC116">
        <f>IFERROR(N(VLOOKUP(BZ116,Кабель_обозначение,3,FALSE)),1)</f>
        <v>1</v>
      </c>
      <c r="ED116">
        <f>IFERROR(N(_xlfn.XLOOKUP(A116,Щиты[Щит],Щиты[ΔU до шин, %])),0)</f>
        <v>0.24000000000000002</v>
      </c>
      <c r="EE116" t="str">
        <f>IFERROR(_xlfn.XLOOKUP(A116,Щиты[Щит],Щиты[Zпетли на шинах, Ом]),"")</f>
        <v/>
      </c>
      <c r="EF116">
        <f>IFERROR(N(_xlfn.XLOOKUP(A116,Щиты[Щит],Щиты[ΔU до шин (подбор), %])),0)</f>
        <v>0.36</v>
      </c>
      <c r="EG116" t="str">
        <f>IFERROR(_xlfn.XLOOKUP(A116,Щиты[Щит],Щиты[Zпетли на шинах (подбор), Ом]),"")</f>
        <v/>
      </c>
      <c r="EH116" t="str">
        <f t="shared" si="187"/>
        <v/>
      </c>
      <c r="EI116">
        <f t="shared" si="188"/>
        <v>48</v>
      </c>
      <c r="EJ116">
        <f t="shared" si="189"/>
        <v>2</v>
      </c>
      <c r="EK116">
        <f t="shared" si="190"/>
        <v>0.6</v>
      </c>
      <c r="EL116" s="6">
        <f>IF(B116="","",IF(BV116=1,dU_LED,IF(IFERROR(_xlfn.XLOOKUP(BC116,Коды_код,Коды_уго),"")="Светильник",3,4)+IF(Методика="нормы 2026",MIN(0.5,MAX(0,N(P116)-100)*0.005),0)))</f>
        <v>4</v>
      </c>
      <c r="EM116" cm="1">
        <f t="array" ref="EM116">IF(OR(B116="",BZ116="",EC116&lt;&gt;1),"",_xlfn.LET(_xlpm.sz,Iдоп_S,_xlpm.t_,CHOOSE(EB116,Iдоп_1ж,Iдоп_2ж,Iдоп_3ж)*DZ116*EA116,_xlpm.dcx,BV116=1,_xlpm.inn,IF(_xlpm.dcx,N(O116),N(DT116)),_xlpm.smin,MAX(1.5,CC116),_xlpm.L_,N(P116)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116)/N(BU116)*100,999),IFERROR(N(EJ116)*(_xlpm.rho*_xlpm.L_/_xlpm.sz*N(CE116)+_xlpm.xx*_xlpm.L_*N(EK116)/1000)*N(O116)/((Uн_лин/SQRT(3))*1000)*100,999)),_xlpm.kz,IF(OR(_xlpm.dcx,DW116=1,NOT(ISNUMBER(EG116)),_xlpm.L_=0,_xlpm.inn=0),1,IFERROR(--(c_min*(Uн_лин*1000/SQRT(3))/(EG116+2*ρкз_Cu*_xlpm.L_/_xlpm.sz)&gt;=HT116*_xlpm.inn),0)),_xlpm.ok,IFERROR((_xlpm.sz&gt;=_xlpm.smin)*(_xlpm.t_&gt;=_xlpm.inn)*IF(_xlpm.L_&gt;0,(_xlpm.du_+IF(_xlpm.dcx,0,EF116)&lt;=EL116+0.00001),1)*_xlpm.kz,0),_xlpm.r_,_xlfn._xlws.FILTER(_xlpm.sz,_xlpm.ok,"не подобрано"),INDEX(_xlpm.r_,1)))</f>
        <v>1.5</v>
      </c>
      <c r="EN116">
        <f t="shared" si="191"/>
        <v>1.5</v>
      </c>
      <c r="EO116" cm="1">
        <f t="array" ref="EO116">IF(OR(B116="",BZ116="",EC116&lt;&gt;1),"",_xlfn.LET(_xlpm.sz,Iдоп_S,_xlpm.t_,CHOOSE(EB116,Iдоп_1ж,Iдоп_2ж,Iдоп_3ж)*DZ116*EA116,_xlpm.ok,IFERROR((_xlpm.sz&gt;=MAX(1.5,CC116))*(_xlpm.t_&gt;=N(DT116)),0),_xlpm.r_,_xlfn._xlws.FILTER(_xlpm.sz,_xlpm.ok,""),INDEX(_xlpm.r_,1)))</f>
        <v>1.5</v>
      </c>
      <c r="EP116" s="6" cm="1">
        <f t="array" ref="EP116">IFERROR(ROUNDUP(N(EJ116)*(_xlfn.XLOOKUP(EO116,INDEX(Кабель_сопротивление,0,1),INDEX(Кабель_сопротивление,0,3))*N(P116)/EO116*N(CE116)+_xlfn.XLOOKUP(EO116,INDEX(Кабель_сопротивление,0,1),INDEX(Кабель_сопротивление,0,2))*N(P116)*N(EK116)/1000)*N(O116)/((Uн_лин/SQRT(3))*1000)*100,2),"")</f>
        <v>0.46</v>
      </c>
      <c r="EQ116">
        <f>IFERROR(2*ρкз_Cu*N(P116)/EO116,"")</f>
        <v>1.7533333333333332</v>
      </c>
      <c r="ER116">
        <f>IFERROR(VLOOKUP(EN116,Кабель_сопротивление,3,FALSE),"")</f>
        <v>2.2499999999999999E-2</v>
      </c>
      <c r="ES116">
        <f>IFERROR(VLOOKUP(EN116,Кабель_сопротивление,2,FALSE),"")</f>
        <v>0.11</v>
      </c>
      <c r="ET116">
        <f t="shared" si="192"/>
        <v>29</v>
      </c>
      <c r="EU116">
        <f t="shared" si="193"/>
        <v>0</v>
      </c>
      <c r="EV116">
        <f t="shared" si="194"/>
        <v>1.0580080803588825</v>
      </c>
      <c r="EW116" s="6">
        <f>IFERROR(ROUNDUP(EV116/IF(BV116=1,BU116,(Uн_лин/SQRT(3))*1000)*100,2),"")</f>
        <v>0.46</v>
      </c>
      <c r="EX116" t="str">
        <f>IFERROR(VLOOKUP(BZ116,Кабель_обозначение,2,FALSE),"")</f>
        <v>ВВГнг(А)-LS</v>
      </c>
      <c r="EY116" t="str">
        <f t="shared" si="195"/>
        <v>ВВГнг(А)-LS (3х1,5)</v>
      </c>
      <c r="EZ116" t="str">
        <f t="shared" si="196"/>
        <v>ВВГнг(А)-LS (3х1,5)
L=50-0,46%</v>
      </c>
      <c r="FA116">
        <f>IFERROR(2*ρкз_Cu*P116/EN116,"")</f>
        <v>1.7533333333333332</v>
      </c>
      <c r="FB116">
        <f t="shared" si="197"/>
        <v>0.58333333333333337</v>
      </c>
      <c r="FC116" s="6" t="str">
        <f>IFERROR(IF(OR(B116="",BV116=1,NOT(ISNUMBER(EN116)),N(P116)=0),"",_xlfn.XLOOKUP(A116,Щиты[Щит],Щиты[Zпетли на шинах, Ом])+FA116),"")</f>
        <v/>
      </c>
      <c r="FD116" s="6" t="str">
        <f>IF(ISNUMBER(FC116),c_min*(Uн_лин*1000/SQRT(3))/FC116,"")</f>
        <v/>
      </c>
      <c r="FE116" s="6" t="str">
        <f>IFERROR(IF(OR(B116="",NOT(ISNUMBER(EN116))),"",1.05*(Uн_лин*1000/SQRT(3))/(_xlfn.XLOOKUP(A116,Щиты[Щит],Щиты[Zmax на шинах, Ом])+FB116)/1000),"")</f>
        <v/>
      </c>
      <c r="FF116" s="6" t="str">
        <f>IF(B116="","",IF(ISNUMBER(AC116),"Сил",IF(IFERROR(_xlfn.XLOOKUP(BC116,Коды_код,Коды_группа)&amp;"","")="","Быт",_xlfn.XLOOKUP(BC116,Коды_код,Коды_группа)&amp;"")))</f>
        <v>Сил</v>
      </c>
      <c r="FG116" s="6" t="str">
        <f t="shared" si="198"/>
        <v>Сил</v>
      </c>
      <c r="FH116" s="6">
        <f>IF(FG116="Щит","щит",IF(FG116="","",IF(FG116="Быт",IFERROR(_xlfn.XLOOKUP(A116,Щиты[Щит],Щиты[Кс быт]),1),IF(FG116="Сил",IF(ISNUMBER(AC116),AC116,IF(Методика="нормы 2026",IFERROR(_xlfn.XLOOKUP(A116,Щиты[Щит],Щиты[Кс силовых (табл. 7.5)]),1),1)),IF(OR(FG116="Пост",FG116="Отоп"),1,IF(FG116="ВНГ",0.7,0))))))</f>
        <v>0.5</v>
      </c>
      <c r="FI116">
        <f>IF(FG116="","",IF(AND(BP116=1,TRIM(AE116&amp;"")=""),IF(COUNTIFS(Линии[Щит],A116,Линии[Секция (1/2/3)],"&gt;=2")&gt;0,MIN(3,MAX(1,IFERROR(--BD116,1))),1),IFERROR(MIN(3,MAX(1,INT(--AE116))),1)))</f>
        <v>1</v>
      </c>
      <c r="FJ116">
        <f t="shared" si="199"/>
        <v>0.16200000000000001</v>
      </c>
      <c r="FK116">
        <f t="shared" si="200"/>
        <v>0</v>
      </c>
      <c r="FL116">
        <f t="shared" si="201"/>
        <v>8.1000000000000003E-2</v>
      </c>
      <c r="FM116">
        <f t="shared" si="202"/>
        <v>0</v>
      </c>
      <c r="FN116">
        <f t="shared" si="203"/>
        <v>0</v>
      </c>
      <c r="FO116">
        <f t="shared" si="204"/>
        <v>0</v>
      </c>
      <c r="FP116">
        <f t="shared" si="205"/>
        <v>0.16200000000000001</v>
      </c>
      <c r="FQ116">
        <f t="shared" si="206"/>
        <v>0.16200000000000001</v>
      </c>
      <c r="FR116">
        <f t="shared" si="207"/>
        <v>0.12960000000000002</v>
      </c>
      <c r="FS116">
        <f>IF(CG116=1,IF(AND(CH116=1,CW116=1),0,IF(AND(CS116&lt;&gt;"",CS116=BA116,CW116=1),SUMIFS(Линии[_Р линии, кВт],Линии[_блок УЗО],BA116,Линии[Щит],A116),N(BS116)+IF(AJ116="вручную",0,N(CK116)))),0)</f>
        <v>0.16200000000000001</v>
      </c>
      <c r="FT116" t="str">
        <f t="shared" si="208"/>
        <v/>
      </c>
      <c r="FU116" t="str">
        <f>IF(B116="","",IF(CG116=0,IF(BA116=1,"",FW115),IF(AND(CH116=1,CW116=1,CS116&lt;&gt;""),IFERROR(_xlfn.XLOOKUP(CS116,Линии[_n],Линии[_фаза итог]),"L1"),IF(OR(N(DL116)&gt;=3,N(BX116)&gt;=3),"L1,L2,L3",IFERROR(_xlfn.TEXTBEFORE(_xlfn.TEXTAFTER(_xlfn.XLOOKUP(A116,Щиты[Щит],Щиты[_фазы авто]),";"&amp;BA116&amp;":"),";"),"L1")))))</f>
        <v>L2</v>
      </c>
      <c r="FV116" t="str">
        <f t="shared" si="209"/>
        <v>L2</v>
      </c>
      <c r="FW116" t="str">
        <f t="shared" si="210"/>
        <v>L2</v>
      </c>
      <c r="FX116" cm="1">
        <f t="array" ref="FX116">IFERROR(IF(CD116=2,_xlfn.IFS(BX116=3,VLOOKUP(BS116,Справочная_двигатели,3,FALSE),BX116=1,VLOOKUP(BS116,Справочная_двигатели,5,TRUE)),0),0)</f>
        <v>0</v>
      </c>
      <c r="FY116">
        <f>IFERROR(IF(CD116=3,VLOOKUP(BS116,Справочная_ЛЭД,2,TRUE),0),0)</f>
        <v>0</v>
      </c>
      <c r="FZ116" s="6">
        <f t="shared" si="211"/>
        <v>0</v>
      </c>
      <c r="GA116" t="str">
        <f>IF(B116="","",IF(TRIM(AH116&amp;"")&lt;&gt;"",IF(LOWER(TRIM(AH116&amp;""))="да","да","нет"),IF(IFERROR(_xlfn.XLOOKUP(BC116,Коды_код,Коды_пожарная),"")="да","да","нет")))</f>
        <v>нет</v>
      </c>
      <c r="GB116" t="str">
        <f t="shared" si="212"/>
        <v/>
      </c>
      <c r="GC116" t="str">
        <f t="shared" si="213"/>
        <v>основная</v>
      </c>
      <c r="GD116">
        <f>IF(AND(BP116=1,TRIM(AE116&amp;"")=""),IF(COUNTIFS(Линии[Щит],A116,Линии[Секция (1/2/3)],"&gt;=2")&gt;0,MIN(3,MAX(1,IFERROR(--BD116,1))),1),IFERROR(MIN(3,MAX(1,INT(--AE116))),1))</f>
        <v>1</v>
      </c>
      <c r="GE116" t="str" cm="1">
        <f t="array" ref="GE116">IF(B116="","",_xlfn.LET(_xlpm.t,IFERROR(_xlfn.XLOOKUP(1,(Шины[Шина]=GC116)*(((Шины[Щит]=A116)+(Шины[Щит]=""))&gt;0),Шины[Тип]),"")&amp;"",IF(_xlpm.t&lt;&gt;"",_xlpm.t,IF(ISNUMBER(SEARCH("ИБП",GC116)),"ИБП",IF(ISNUMBER(SEARCH("ДГУ",GC116)),"ДГУ","Ввод "&amp;GD116)))))</f>
        <v>Ввод 1</v>
      </c>
      <c r="GF116" t="str">
        <f t="shared" si="214"/>
        <v>Ввод 1</v>
      </c>
      <c r="GG116" t="str">
        <f>IF(BP116=0,"",IF(TRIM(AG116&amp;"")&lt;&gt;"",TRIM(AG116&amp;""),IF(OR(GE116="ИБП",GE116="ДГУ"),"I особая",_xlfn.XLOOKUP(A116,Щиты[Щит],Щиты[Категория шины «Ввод»],"III"))))</f>
        <v/>
      </c>
      <c r="GH116" t="str">
        <f>IF(A116="","",_xlfn.XLOOKUP(A116,Щиты[Щит],Щиты[Путь],""))</f>
        <v>|ГРЩ-ЖД|ЩОВ-01|</v>
      </c>
      <c r="GI116" t="str">
        <f>IF(B116="","",IF(AI116&lt;&gt;"",AI116,IF(IFERROR(_xlfn.XLOOKUP(BC116,Коды_код,Коды_вид)&amp;"","")="","Прочее",_xlfn.XLOOKUP(BC116,Коды_код,Коды_вид)&amp;"")))</f>
        <v>Кондиционирование и увлажнение</v>
      </c>
      <c r="GJ116">
        <f>IF(BM116="","",INT((BM116-1)/Столбцов_на_лист)+1)</f>
        <v>2</v>
      </c>
      <c r="GK116" t="str">
        <f t="shared" si="215"/>
        <v>ВВГнг(А)-LS (3х1,5) L=50-0,46%</v>
      </c>
      <c r="GL116">
        <f t="shared" si="216"/>
        <v>0.16200000000000001</v>
      </c>
      <c r="GM116">
        <f t="shared" si="217"/>
        <v>0.88</v>
      </c>
      <c r="GN116">
        <f t="shared" si="218"/>
        <v>1</v>
      </c>
      <c r="GO116">
        <f t="shared" si="219"/>
        <v>0</v>
      </c>
      <c r="GP116">
        <f t="shared" si="220"/>
        <v>1</v>
      </c>
      <c r="GQ116">
        <f>IF(BM116="","",IF(AND(CG116=1,GP116=1),COUNTIFS(A$3:A116,A116,CG$3:CG116,1,GP$3:GP116,1),IF(OR(OR(BA116=1,A116&lt;&gt;A115),AJ116="вручную",GP116=0),"",IF(BA116=1,"",GR115))))</f>
        <v>14</v>
      </c>
      <c r="GR116">
        <f t="shared" si="221"/>
        <v>14</v>
      </c>
      <c r="GS116">
        <f>IF(B116="","",IFERROR(LOOKUP(INDEX(CHOOSE(EB116,Iдоп_1ж,Iдоп_2ж,Iдоп_3ж),MATCH(EN116,Iдоп_S,0))*DZ116*EA116,{6,10,16,20,25,32,40,50,63,80,100,125,160,200,250,315,400,500,630}),""))</f>
        <v>16</v>
      </c>
      <c r="GT116" t="str">
        <f t="shared" si="222"/>
        <v>QF14</v>
      </c>
      <c r="GU116" t="str">
        <f t="shared" si="223"/>
        <v>QF14</v>
      </c>
      <c r="GV116" t="str">
        <f t="shared" si="224"/>
        <v/>
      </c>
      <c r="GW116">
        <f t="shared" si="225"/>
        <v>0</v>
      </c>
      <c r="GX116" t="str">
        <f>IF(OR(B116="",DJ116=""),"",IFERROR(_xlfn.XLOOKUP(DJ116,Модули_умолч[Управление],Модули_умолч[Модель])&amp;"",""))</f>
        <v/>
      </c>
      <c r="GY116">
        <f>IF(DJ116="",1,IFERROR(MAX(0,N(_xlfn.XLOOKUP(DJ116,Модули_умолч[Управление],Модули_умолч[Каналов на линию]))),1))</f>
        <v>1</v>
      </c>
      <c r="GZ116" t="str">
        <f t="shared" si="226"/>
        <v/>
      </c>
      <c r="HA116" t="str">
        <f t="shared" si="227"/>
        <v/>
      </c>
      <c r="HB116" t="str">
        <f t="shared" si="228"/>
        <v/>
      </c>
      <c r="HC116">
        <f>IF(HB116="",0,IFERROR(N(VLOOKUP(HB116,Модули_спр,3,FALSE)),0))</f>
        <v>0</v>
      </c>
      <c r="HD116" t="str">
        <f t="shared" si="229"/>
        <v/>
      </c>
      <c r="HE116" t="str">
        <f t="shared" si="230"/>
        <v/>
      </c>
      <c r="HF116" t="str">
        <f>IF(OR(HE116="",HE116="-"),"",IFERROR(VLOOKUP(HE116,Модули_спр,2,FALSE),"R"))</f>
        <v/>
      </c>
      <c r="HG116" t="str">
        <f>IF(HF116="","",HF116&amp;"."&amp;COUNTIFS(A$3:A116,A116,HF$3:HF116,HF116))</f>
        <v/>
      </c>
      <c r="HH116" t="str">
        <f t="shared" si="231"/>
        <v/>
      </c>
      <c r="HI116" t="str">
        <f t="shared" si="232"/>
        <v/>
      </c>
      <c r="HJ116" t="str">
        <f t="shared" si="233"/>
        <v/>
      </c>
      <c r="HK116" t="str">
        <f t="shared" si="234"/>
        <v/>
      </c>
      <c r="HL116">
        <f t="shared" si="235"/>
        <v>1</v>
      </c>
      <c r="HM116" t="str">
        <f>IF(HL116=1,"XT"&amp;COUNTIFS(A$3:A116,A116,HL$3:HL116,1),"")</f>
        <v>XT14</v>
      </c>
      <c r="HN116" t="str">
        <f t="shared" si="236"/>
        <v/>
      </c>
      <c r="HO116" t="str">
        <f t="shared" si="237"/>
        <v>QF14</v>
      </c>
      <c r="HP116" t="str">
        <f t="shared" si="238"/>
        <v/>
      </c>
      <c r="HQ116" t="str">
        <f t="shared" si="239"/>
        <v>ok</v>
      </c>
      <c r="HR116" t="str">
        <f>IF(OR(HJ116="",HH116=""),"",IF(HJ116+MAX(0,GY116-1)&gt;IFERROR(VLOOKUP(HI116,Модули_спр,3,FALSE),99),"ЛИШНИЙ КАНАЛ",IF(AND(AL116&lt;&gt;"=",GY116&gt;0,COUNTIFS(Линии[_модуль гр.],HH116,Линии[Канал (итог)],HJ116,Линии[Канал],"&lt;&gt;=",Линии[Щит],A116)&gt;1),"ДУБЛЬ КАНАЛА","")))</f>
        <v/>
      </c>
      <c r="HS116" s="6" t="str">
        <f t="shared" si="240"/>
        <v/>
      </c>
      <c r="HT116">
        <f t="shared" si="241"/>
        <v>10</v>
      </c>
      <c r="HU116" t="str">
        <f t="shared" si="242"/>
        <v/>
      </c>
      <c r="HV116">
        <f t="shared" si="243"/>
        <v>0.85074028853269756</v>
      </c>
      <c r="HW116">
        <f t="shared" si="244"/>
        <v>0</v>
      </c>
      <c r="HX116">
        <f t="shared" si="245"/>
        <v>0</v>
      </c>
      <c r="HY116">
        <f t="shared" si="246"/>
        <v>0</v>
      </c>
      <c r="HZ116">
        <f t="shared" si="247"/>
        <v>0</v>
      </c>
      <c r="IA116">
        <f t="shared" si="248"/>
        <v>0</v>
      </c>
      <c r="IB116">
        <f t="shared" si="249"/>
        <v>0</v>
      </c>
      <c r="IC116" t="str">
        <f t="shared" si="250"/>
        <v/>
      </c>
      <c r="ID116" t="str" cm="1">
        <f t="array" ref="ID116">IF(IC116="","",_xlfn.LET(_xlpm.tk,_xlfn.TEXTSPLIT(SUBSTITUTE(SUBSTITUTE(IC116,";"," "),"→"," ")," ",,TRUE),_xlpm.w_,_xlfn._xlws.FILTER(_xlpm.tk,ISNUMBER(--LEFT(_xlpm.tk,1))*((ISNUMBER(SEARCH("W",_xlpm.tk))+ISNUMBER(SEARCH("Вт",_xlpm.tk)))&gt;0),""),IFERROR(--SUBSTITUTE(SUBSTITUTE(UPPER(INDEX(_xlpm.w_,1)),"W",""),"ВТ",""),"")))</f>
        <v/>
      </c>
      <c r="IE116" t="str" cm="1">
        <f t="array" ref="IE116">IF(IC116="","",_xlfn.LET(_xlpm.tk,_xlfn.TEXTSPLIT(SUBSTITUTE(SUBSTITUTE(IC116,";"," "),"→"," ")," ",,TRUE),_xlpm.v_,_xlfn._xlws.FILTER(_xlpm.tk,ISNUMBER(--LEFT(_xlpm.tk,1))*((ISNUMBER(SEARCH("V",_xlpm.tk))+(RIGHT(UPPER(_xlpm.tk))="В"))&gt;0),""),IFERROR(--SUBSTITUTE(SUBSTITUTE(UPPER(INDEX(_xlpm.v_,1)),"V",""),"В",""),"")))</f>
        <v/>
      </c>
      <c r="IF116" s="6" t="str">
        <f>IF(OR(BV116=0,HI116="",HJ116=""),"",IFERROR(N(_xlfn.XLOOKUP(HI116,Каталог!$C$4:$C$500,Каталог!$Q$4:$Q$500)),""))</f>
        <v/>
      </c>
      <c r="IG116" s="6" t="str">
        <f>IF(N(IF116)=0,"",SUMIFS(Линии[Iр, А],Линии[Щит],A116,Линии[_модуль гр.],HH116,Линии[Канал (итог)],HJ116))</f>
        <v/>
      </c>
      <c r="IH116" t="str">
        <f>IF(AND(B116="",HO116=""),"",_xlfn.TEXTJOIN("; ",TRUE,IF(AND(B116&lt;&gt;"",FV116=""),"нет фазы",""),IF(AND(B116&lt;&gt;"",N(GL116)=0,FG116&lt;&gt;"Нет"),"нет мощности",""),IF(AND(HN116&lt;&gt;"",COUNTIFS(Линии[Щит],A116,Линии[Клемма (итог)],HN116)&gt;1),"дубль клеммы "&amp;HN116,""),IF(AND(HQ116&lt;&gt;"",HQ116&lt;&gt;"ok"),HQ116,""),IF(HR116&lt;&gt;"",HR116,""),IF(AND(N(CB116)&gt;=4,N(BX116)=1),CB116&amp;" жил на 1 фазе",""),IF(AND(BC116="R",CG116=1,IF(CS116&lt;&gt;"",N(CV116)&gt;30,OR(N(DA116)=0,N(DA116)&gt;30))),"розетка без дифзащиты до 30 мА",""),IF(AND(CG116=1,N(DA116)&gt;0,ISNUMBER(T116)),IF(T116&gt;N(DA116)/3,"ток утечки "&amp;FIXED(T116,1)&amp;" мА &gt; 1/3 уставки ("&amp;DA116&amp;" мА)",""),""),IF(AND(CH116=1,CS116=""),"«узо»: нет строки с УЗО выше (УЗО 2P 40А 30мА в «Аппаратах»)",""),IF(AND(CS116&lt;&gt;"",CS116=BA116),IF(CT116="","впишите номинал УЗО (УЗО 2P 40А 30мА)",IF(N(CT116)&lt;N(DT116),"УЗО "&amp;CT116&amp;" А &lt; автомата "&amp;DT116&amp;" А перед ним",IF(N(CT116)&lt;N(CX116),"УЗО "&amp;CT116&amp;" А &lt; тока блока "&amp;FIXED(CX116,1)&amp;" А",""))),""),IF(AND(CS116&lt;&gt;"",CS116=BA116,ISNUMBER(CY116)),IF(CY116&gt;N(CV116)/3,"ток утечки блока УЗО "&amp;FIXED(CY116,1)&amp;" мА &gt; 1/3 уставки ("&amp;CV116&amp;" мА)",""),""),IF(AND(CG116=1,N(BV116)+N(IB116)&gt;0,IC116=""),"линии до 50 В без БП: впишите в «Аппараты» (БП 24V 480W)",""),IF(AND(CG116=1,ISNUMBER(ID116),ISNUMBER(U116)),IF(U116&gt;ID116,"БП "&amp;ID116&amp;" Вт &lt; нужно "&amp;U116&amp;" Вт (×"&amp;Запас_БП&amp;")",""),""),IF(AND(CG116=1,ISNUMBER(IE116),N(BV116)=1),IF(IE116&lt;&gt;N(BU116),"БП на "&amp;IE116&amp;" В, линия "&amp;BU116&amp;" В",""),""),IF(AND(N(IF116)&gt;0,N(IG116)&gt;N(IF116)),HH116&amp;" канал "&amp;HJ116&amp;": "&amp;FIXED(IG116,1)&amp;" А &gt; "&amp;IF116&amp;" А",""),IFERROR(IF(AND(ISNUMBER(Q116),Q116&gt;EL116),"потери "&amp;FIXED(Q116,1)&amp;" % &gt; "&amp;EL116&amp;" %",""),""),IFERROR(IF(LEFT(HU116,4)="мало","Iкз мало — отключение &gt; 0,4 с",""),""),IF(AND(B116&lt;&gt;"",BM116=""),"не на схеме",""),IF(AND(CG116=0,B116&lt;&gt;"",FV116&lt;&gt;"",IF(BA116=1,"",FW115)&lt;&gt;"",FV116&lt;&gt;IF(BA116=1,"",FW115)),"фаза не как у автомата группы ("&amp;IF(BA116=1,"",FW115)&amp;")","")))</f>
        <v/>
      </c>
      <c r="II116" s="6">
        <f>IF(OR(CG116=0,DQ116=""),"",_xlfn.LET(_xlpm.t,IFERROR(_xlfn.XLOOKUP(DQ116,Каталог!$U$4:$U$500,Каталог!$G$4:$G$500),""),_xlpm.k,SEARCH("кА",_xlpm.t),IFERROR(--TRIM(RIGHT(SUBSTITUTE(MID(_xlpm.t,MAX(1,_xlpm.k-4),_xlpm.k-MAX(1,_xlpm.k-4))," ",REPT(" ",9)),5)),"")))</f>
        <v>6</v>
      </c>
      <c r="IJ116" t="str">
        <f>IF(OR(II116="",CG116=0),"",IF(_xlfn.XLOOKUP(A116,Щиты[Щит],Щиты[Iкз max на шинах, кА],"")="","",IF(II116&lt;_xlfn.XLOOKUP(A116,Щиты[Щит],Щиты[Iкз max на шинах, кА]),"Icu "&amp;II116&amp;" кА &lt; Iкз max","ok")))</f>
        <v/>
      </c>
      <c r="IK116" t="str">
        <f t="shared" si="251"/>
        <v/>
      </c>
      <c r="IL116" t="str">
        <f t="shared" si="252"/>
        <v>QF14</v>
      </c>
      <c r="IM116" t="str">
        <f t="shared" si="253"/>
        <v>QF14|кабель ВВГнг(А)-LS (3х1,5) → Внутренний блок кондиционирования цокольный этаж Пом. №005Б</v>
      </c>
      <c r="IN116" t="str" cm="1">
        <f t="array" ref="IN116">IF(IM116="","",_xlfn.LET(_xlpm.nd,_xlfn.TEXTSPLIT(IM116,"|"),IF(COLUMNS(_xlpm.nd)&gt;1,A116&amp;"¦"&amp;INDEX(_xlpm.nd,1)&amp;"¦"&amp;INDEX(_xlpm.nd,2),"")))</f>
        <v>ЩОВ-01¦QF14¦кабель ВВГнг(А)-LS (3х1,5) → Внутренний блок кондиционирования цокольный этаж Пом. №005Б</v>
      </c>
      <c r="IO116" t="str">
        <f t="shared" si="254"/>
        <v>K.0.005Б.2¦Внутренний блок кондиционирования цокольный этаж Пом. №005Б</v>
      </c>
      <c r="IP116" t="str" cm="1">
        <f t="array" ref="IP116">IF(IM116="","",_xlfn.LET(_xlpm.nd,_xlfn.TEXTSPLIT(IM116,"|"),IF(COLUMNS(_xlpm.nd)&gt;2,A116&amp;"¦"&amp;INDEX(_xlpm.nd,2)&amp;"¦"&amp;INDEX(_xlpm.nd,3),"")))</f>
        <v/>
      </c>
      <c r="IQ116" t="str">
        <f t="shared" si="255"/>
        <v/>
      </c>
      <c r="IR116" t="str" cm="1">
        <f t="array" ref="IR116">IF(IM116="","",_xlfn.LET(_xlpm.nd,_xlfn.TEXTSPLIT(IM116,"|"),IF(COLUMNS(_xlpm.nd)&gt;3,A116&amp;"¦"&amp;INDEX(_xlpm.nd,3)&amp;"¦"&amp;INDEX(_xlpm.nd,4),"")))</f>
        <v/>
      </c>
      <c r="IS116" t="str">
        <f t="shared" si="256"/>
        <v/>
      </c>
      <c r="IT116" t="str" cm="1">
        <f t="array" ref="IT116">IF(IM116="","",_xlfn.LET(_xlpm.nd,_xlfn.TEXTSPLIT(IM116,"|"),IF(COLUMNS(_xlpm.nd)&gt;4,A116&amp;"¦"&amp;INDEX(_xlpm.nd,4)&amp;"¦"&amp;INDEX(_xlpm.nd,5),"")))</f>
        <v/>
      </c>
      <c r="IU116" t="str">
        <f t="shared" si="257"/>
        <v/>
      </c>
      <c r="IV116" t="str" cm="1">
        <f t="array" ref="IV116">IF(IM116="","",_xlfn.LET(_xlpm.nd,_xlfn.TEXTSPLIT(IM116,"|"),IF(COLUMNS(_xlpm.nd)&gt;5,A116&amp;"¦"&amp;INDEX(_xlpm.nd,5)&amp;"¦"&amp;INDEX(_xlpm.nd,6),"")))</f>
        <v/>
      </c>
      <c r="IW116" t="str">
        <f t="shared" si="258"/>
        <v/>
      </c>
      <c r="IX116" t="str" cm="1">
        <f t="array" ref="IX116">IF(IM116="","",_xlfn.LET(_xlpm.nd,_xlfn.TEXTSPLIT(IM116,"|"),IF(COLUMNS(_xlpm.nd)&gt;6,A116&amp;"¦"&amp;INDEX(_xlpm.nd,6)&amp;"¦"&amp;INDEX(_xlpm.nd,7),"")))</f>
        <v/>
      </c>
      <c r="IY116" t="str">
        <f t="shared" si="259"/>
        <v/>
      </c>
      <c r="IZ116" t="str">
        <f t="shared" si="260"/>
        <v/>
      </c>
      <c r="JA116" t="str">
        <f t="shared" si="261"/>
        <v>QF14</v>
      </c>
      <c r="JB116">
        <f t="shared" si="262"/>
        <v>0</v>
      </c>
      <c r="JC116">
        <f t="shared" si="263"/>
        <v>0</v>
      </c>
      <c r="JD116" t="str">
        <f t="shared" si="264"/>
        <v/>
      </c>
      <c r="JE116" t="str">
        <f t="shared" si="265"/>
        <v/>
      </c>
      <c r="JF116" t="str">
        <f t="shared" si="266"/>
        <v/>
      </c>
      <c r="JG116" t="str">
        <f t="shared" si="267"/>
        <v/>
      </c>
      <c r="JH116">
        <f>IF(B116="","",IFERROR(_xlfn.XLOOKUP(B116,Коды_код,Коды_уго),IFERROR(_xlfn.XLOOKUP(BC116,Коды_код,Коды_уго),IFERROR(_xlfn.XLOOKUP(LEFT(BC116,2),Коды_код,Коды_уго),""))))</f>
        <v>0</v>
      </c>
      <c r="JI116" t="str">
        <f>IF(B116="","",IF(OR(JH116="",JH116=0),"BOX",IFERROR(IF(VLOOKUP(JH116,УГО_блоки,3,FALSE)&amp;""&lt;&gt;"",VLOOKUP(JH116,УГО_блоки,3,FALSE),VLOOKUP(JH116,УГО_блоки,2,FALSE)),JH116)))</f>
        <v>BOX</v>
      </c>
      <c r="JJ116">
        <f t="shared" si="268"/>
        <v>1</v>
      </c>
      <c r="JK116" t="str">
        <f>IF(DQ116="","",IF(COUNTIF(DQ$3:DQ116,DQ116)=1,MAX(JK$2:JK115)+1,""))</f>
        <v/>
      </c>
      <c r="JL116" t="str">
        <f>IF(DE116="","",IF(COUNTIF(DE$3:DE116,DE116)+COUNTIF(DF$2:DF115,DE116)+COUNTIF(DG$2:DG115,DE116)=1,MAX(JL$2:JN115)+1,""))</f>
        <v/>
      </c>
      <c r="JM116" t="str">
        <f>IF(DF116="","",IF(COUNTIF(DE$3:DE116,DF116)+COUNTIF(DF$3:DF116,DF116)+COUNTIF(DG$2:DG115,DF116)=1,MAX(JL$2:JN115,JL116)+1,""))</f>
        <v/>
      </c>
      <c r="JN116" t="str">
        <f>IF(DG116="","",IF(COUNTIF(DE$3:DE116,DG116)+COUNTIF(DF$3:DF116,DG116)+COUNTIF(DG$3:DG116,DG116)=1,MAX(JL$2:JN115,JL116,JM116)+1,""))</f>
        <v/>
      </c>
      <c r="JO116" t="str">
        <f t="shared" si="269"/>
        <v>3х1,5</v>
      </c>
      <c r="JP116" t="str">
        <f>IF(JO116="","",IF(COUNTIF(JO$3:JO116,JO116)=1,MAX(JP$2:JP115)+1,""))</f>
        <v/>
      </c>
      <c r="JQ116" t="str">
        <f>IF(HG116="","",COUNTIF(HG$3:HG116,"?*"))</f>
        <v/>
      </c>
      <c r="JR116" t="str">
        <f>IF(OR(HG116="",HI116=""),"",IF(COUNTIFS(HG$3:HG116,"?*",HI$3:HI116,HI116)=1,MAX(JR$2:JR115)+1,""))</f>
        <v/>
      </c>
      <c r="JS116">
        <f t="shared" si="270"/>
        <v>0</v>
      </c>
      <c r="JT116">
        <f>IF(B116="","",COUNTIF(B$3:B116,"?*"))</f>
        <v>114</v>
      </c>
      <c r="JU116">
        <f>IF(HL116&lt;&gt;1,0,_xlfn.LET(_xlpm.k,MAX(IFERROR(--_xlfn.XLOOKUP(B116,Коды_код,Коды_3L),0),IFERROR(--_xlfn.XLOOKUP(BC116,Коды_код,Коды_3L),0),IFERROR(--_xlfn.XLOOKUP(LEFT(BC116,2),Коды_код,Коды_3L),0)),IF(_xlpm.k&gt;0,_xlpm.k,IF(IFERROR(--LEFT(SUBSTITUTE(JO116,"x","х"),FIND("х",SUBSTITUTE(JO116,"x","х"))-1),3)&gt;3,Каталог!$S$9,1))))</f>
        <v>1</v>
      </c>
      <c r="JV116">
        <f t="shared" si="271"/>
        <v>0</v>
      </c>
      <c r="JW116" t="str">
        <f t="shared" si="272"/>
        <v>авто</v>
      </c>
      <c r="JX116" t="str">
        <f t="shared" si="273"/>
        <v/>
      </c>
      <c r="JY116">
        <f t="shared" si="274"/>
        <v>0</v>
      </c>
      <c r="JZ116">
        <f t="shared" si="275"/>
        <v>1</v>
      </c>
    </row>
    <row r="117" spans="1:286" x14ac:dyDescent="0.3">
      <c r="A117" t="s">
        <v>745</v>
      </c>
      <c r="B117" t="s">
        <v>1406</v>
      </c>
      <c r="C117" t="s">
        <v>1678</v>
      </c>
      <c r="D117">
        <v>1</v>
      </c>
      <c r="E117">
        <v>0.111</v>
      </c>
      <c r="G117">
        <v>10</v>
      </c>
      <c r="H117" t="str">
        <f>Линии[[#This Row],[_авто управление]]</f>
        <v/>
      </c>
      <c r="I117" t="str">
        <f>Линии[[#This Row],[_авто аппараты]]</f>
        <v/>
      </c>
      <c r="J117">
        <v>1.5</v>
      </c>
      <c r="K117">
        <v>50</v>
      </c>
      <c r="L117" t="str">
        <f>Линии[[#This Row],[_авто фаза]]</f>
        <v>L3</v>
      </c>
      <c r="M117" t="s">
        <v>484</v>
      </c>
      <c r="N117" t="str">
        <f t="shared" si="138"/>
        <v/>
      </c>
      <c r="O117" s="6" cm="1">
        <f t="array" ref="O117">IF(B117="","",IF(BH117&lt;&gt;"",IFERROR(_xlfn.XLOOKUP(BH117,Щиты[Щит],Щиты[Iр, А]),""),IF(BP117=1,IF(OR(N(_xlfn.XLOOKUP(A117,Щиты[Щит],Щиты[Вводов],1))&lt;=1,LOWER(TRIM(_xlfn.XLOOKUP(A117,Щиты[Щит],Щиты[АВР],"")&amp;""))="да"),IFERROR(_xlfn.XLOOKUP(A117,Щиты[Щит],Щиты[Iр, А]),""),IFERROR(N(BS117)*_xlfn.XLOOKUP(A117,Щиты[Щит],Щиты[Кс итог])/(SQRT(3)*Uн_лин*_xlfn.XLOOKUP(A117,Щиты[Щит],Щиты[cos φ])),"")),IF(BV117=1,IFERROR(BS117*1000/BU117,""),IFERROR(_xlfn.IFS(BX117=1,BS117/((Uн_лин/SQRT(3))*CE117),BX117=3,BS117/(SQRT(3)*Uн_лин*CE117)),"")))))</f>
        <v>0.60080512387545415</v>
      </c>
      <c r="P117" s="7">
        <f>IF(B117="","",IFERROR(IF(VLOOKUP(BC117,Потребители_обозначение,4,FALSE)=1,VLOOKUP(BC117,Потребители_обозначение,3,FALSE)*(MAX(1,N(D117))*2-1)+EI117+VLOOKUP(BE117,Этаж_обозначение,3,FALSE)+VLOOKUP(BE117,Этаж_обозначение,4,FALSE),VLOOKUP(BC117,Потребители_обозначение,3,FALSE)*(MAX(1,N(D117))*2-1)+EI117),EI117))</f>
        <v>52</v>
      </c>
      <c r="Q117" s="6">
        <f t="shared" si="139"/>
        <v>0.57000000000000006</v>
      </c>
      <c r="R117" t="str">
        <f t="shared" si="140"/>
        <v>ВВГнг(А)-LS (3х1,5)</v>
      </c>
      <c r="S117" t="str">
        <f>IF(BM117="","",IF(BN117="вводной узел","узел ","")&amp;"л."&amp;(INT((BM117-1)/Столбцов_на_лист)+1)&amp;" / "&amp;(MOD(BM117-1,Столбцов_на_лист)+1))</f>
        <v>л.2 / 12</v>
      </c>
      <c r="T117" s="119">
        <f t="shared" si="141"/>
        <v>0.8</v>
      </c>
      <c r="U117" s="7" t="str">
        <f>IF(OR(CG117=0,N(BV117)+N(IB117)=0),"",ROUNDUP(Запас_БП*(N(HY117)+N(HZ117)),0))</f>
        <v/>
      </c>
      <c r="V117" s="119" t="str">
        <f t="shared" si="142"/>
        <v/>
      </c>
      <c r="W117" s="7" t="str">
        <f>IFERROR(IF(OR(B117="",BP117=1,BV117=1,NOT(ISNUMBER(EN117)),N(DT117)=0),"",MAX(0,ROUNDDOWN((c_min*(Uн_лин*1000/SQRT(3))/(HT117*N(DT117))-_xlfn.XLOOKUP(A117,Щиты[Щит],Щиты[Zпетли на шинах, Ом]))*EN117/(2*ρкз_Cu),0))),"")</f>
        <v/>
      </c>
      <c r="Y117" t="str">
        <f>Линии[[#This Row],[_авто утечка]]</f>
        <v/>
      </c>
      <c r="Z117">
        <v>1</v>
      </c>
      <c r="AA117">
        <v>230</v>
      </c>
      <c r="AB117" t="s">
        <v>598</v>
      </c>
      <c r="AC117">
        <v>0.5</v>
      </c>
      <c r="AG117" t="s">
        <v>810</v>
      </c>
      <c r="AI117" t="s">
        <v>576</v>
      </c>
      <c r="AK117" t="str">
        <f>Линии[[#This Row],[_авто модуль]]</f>
        <v/>
      </c>
      <c r="AM117">
        <v>29</v>
      </c>
      <c r="AN117" t="s">
        <v>11</v>
      </c>
      <c r="AO117">
        <v>3</v>
      </c>
      <c r="AQ117">
        <v>36</v>
      </c>
      <c r="AR117">
        <v>16</v>
      </c>
      <c r="AT117">
        <v>1</v>
      </c>
      <c r="BA117" cm="1">
        <f t="array" ref="BA117">ROW()-ROW(Линии[#Headers])</f>
        <v>115</v>
      </c>
      <c r="BC117" s="6" t="str">
        <f t="shared" si="143"/>
        <v>K</v>
      </c>
      <c r="BD117" t="str">
        <f t="shared" si="144"/>
        <v>0.006A</v>
      </c>
      <c r="BE117" t="str">
        <f t="shared" si="145"/>
        <v>0</v>
      </c>
      <c r="BF117" t="str">
        <f t="shared" si="146"/>
        <v>006A</v>
      </c>
      <c r="BG117" t="str">
        <f t="shared" si="147"/>
        <v>006A</v>
      </c>
      <c r="BH117" t="str">
        <f>IF(X117&lt;&gt;"",X117,IF(AND(B117&lt;&gt;"",B117&lt;&gt;A117,ISNUMBER(_xlfn.XMATCH(B117,Щиты[Щит]))),B117,""))</f>
        <v/>
      </c>
      <c r="BI117" t="str" cm="1">
        <f t="array" ref="BI117">IF(B117="","",IF(BH117&lt;&gt;"","Щит "&amp;BH117,_xlfn.LET(_xlpm.nm,IFERROR(_xlfn.XLOOKUP(BC117,Коды_код,Коды_имя)&amp;"",""),_xlpm.md,IFERROR(N(_xlfn.XLOOKUP(BC117,Коды_код,Коды_режим)),1),_xlpm.ex,IF(Имя_режим="по экспликации",IFERROR(_xlfn.XLOOKUP(BE117&amp;"|"&amp;BG117,Экспликация[Этаж]&amp;"|"&amp;Экспликация[Помещение],Экспликация[Название])&amp;"",""),""),_xlpm.rm,IF(BG117="","",IF(_xlpm.ex&lt;&gt;"",". "&amp;_xlpm.ex&amp;IF(Имя_пом="нет"," ("&amp;BG117&amp;")"," (пом. "&amp;BG117&amp;")"),IF(Имя_пом="нет"," ",", пом. ")&amp;BG117)),IF(_xlpm.nm="","",IF(_xlpm.md=2,_xlpm.nm&amp;" шлейф "&amp;BE117,_xlpm.nm&amp;_xlpm.rm)))))</f>
        <v>Внутренний блок кондиционирования, пом. 006A</v>
      </c>
      <c r="BJ117" t="str">
        <f t="shared" si="148"/>
        <v>Внутренний блок кондиционирования цокольный этаж Пом. №014Б</v>
      </c>
      <c r="BK117">
        <f>IFERROR(_xlfn.XMATCH(A117,Щиты[Щит]),0)</f>
        <v>6</v>
      </c>
      <c r="BL117">
        <f>_xlfn.LET(_xlpm.k,IFERROR(_xlfn.XLOOKUP(A117,Щиты[Щит],Щиты[Мест под вводной узел]),""),IF(_xlpm.k="",Столбцов_на_лист,N(_xlpm.k)))</f>
        <v>12</v>
      </c>
      <c r="BM117">
        <f t="shared" si="149"/>
        <v>29</v>
      </c>
      <c r="BN117" t="str">
        <f t="shared" si="150"/>
        <v>линии</v>
      </c>
      <c r="BO117" s="6">
        <f>IFERROR(N(_xlfn.XLOOKUP(BC117,Коды_код,Коды_квт)),0)</f>
        <v>0</v>
      </c>
      <c r="BP117">
        <f t="shared" si="151"/>
        <v>0</v>
      </c>
      <c r="BQ117" t="str">
        <f>IF(B117="","",IF(BH117&lt;&gt;"",IFERROR(_xlfn.XLOOKUP(BH117,Щиты[Щит],Щиты[Руст, кВт]),0),IF(BP117=1,IF(OR(N(_xlfn.XLOOKUP(A117,Щиты[Щит],Щиты[Вводов],1))&lt;=1,LOWER(TRIM(_xlfn.XLOOKUP(A117,Щиты[Щит],Щиты[АВР],"")&amp;""))="да"),IFERROR(_xlfn.XLOOKUP(A117,Щиты[Щит],Щиты[Руст, кВт]),0),SUMIFS(Линии[_Р для вводов],Линии[Щит],A117,Линии[Источник для режимов],GF117)),IF(BO117&gt;0,ROUND(BO117*MAX(1,N(D117)),3),""))))</f>
        <v/>
      </c>
      <c r="BR117">
        <f t="shared" si="152"/>
        <v>0.111</v>
      </c>
      <c r="BS117" s="6">
        <f>IF(B117="","",IF(BH117&lt;&gt;"",IFERROR(_xlfn.XLOOKUP(BH117,Щиты[Щит],Щиты[Руст, кВт]),0),N(BR117)))</f>
        <v>0.111</v>
      </c>
      <c r="BT117" t="str">
        <f>IF(B117="","",IFERROR(IF(VLOOKUP(BC117,Потребители_обозначение,8,FALSE)=0,"",VLOOKUP(BC117,Потребители_обозначение,8,FALSE)),""))</f>
        <v/>
      </c>
      <c r="BU117">
        <f t="shared" si="153"/>
        <v>230</v>
      </c>
      <c r="BV117">
        <f t="shared" si="154"/>
        <v>0</v>
      </c>
      <c r="BW117">
        <f>IF(B117="","",IF(BH117&lt;&gt;"",3,IFERROR(IF(N(VLOOKUP(BC117,Потребители_обозначение,9,FALSE))=0,1,VLOOKUP(BC117,Потребители_обозначение,9,FALSE)),1)))</f>
        <v>1</v>
      </c>
      <c r="BX117">
        <f t="shared" si="155"/>
        <v>1</v>
      </c>
      <c r="BY117" t="str">
        <f>IF(B117="","",_xlfn.LET(_xlpm.bc,IFERROR(IF(VLOOKUP(BC117,Потребители_обозначение,6,FALSE)=0,"",VLOOKUP(BC117,Потребители_обозначение,6,FALSE)&amp;""),""),IF(AND(GA117="да",OR(_xlpm.bc="",_xlpm.bc="мс")),Марка_пож,IF(AND(_xlpm.bc="",BH117&lt;&gt;""),"мс",_xlpm.bc))))</f>
        <v/>
      </c>
      <c r="BZ117" t="str">
        <f t="shared" si="156"/>
        <v>мс</v>
      </c>
      <c r="CA117">
        <f>IF(B117="","",_xlfn.LET(_xlpm.cc,IFERROR(N(VLOOKUP(BC117,Потребители_обозначение,7,FALSE)),0),IF(_xlpm.cc&gt;0,_xlpm.cc,IF(BZ117="","",IF(BV117=1,2,IF(N(BX117)=3,5,3))))))</f>
        <v>3</v>
      </c>
      <c r="CB117">
        <f t="shared" si="157"/>
        <v>3</v>
      </c>
      <c r="CC117">
        <f>IFERROR(N(VLOOKUP(BC117,Потребители_обозначение,10,FALSE)),0)</f>
        <v>0</v>
      </c>
      <c r="CD117">
        <f>IFERROR(VLOOKUP(BC117,Потребители_обозначение,5,FALSE),0)</f>
        <v>1</v>
      </c>
      <c r="CE117" s="6" cm="1">
        <f t="array" ref="CE117">IF(B117="","",IF(BH117&lt;&gt;"",IFERROR(_xlfn.XLOOKUP(BH117,Щиты[Щит],Щиты[cos φ]),0.95),IF(BP117=1,IFERROR(_xlfn.XLOOKUP(A117,Щиты[Щит],Щиты[cos φ]),0.95),IF(ISNUMBER(AD117),AD117,IFERROR(IF(CD117=2,_xlfn.IFS(BX117=3,VLOOKUP(BS117,Справочная_двигатели,8,FALSE),BX117=1,VLOOKUP(BS117,Справочная_двигатели,10,TRUE)),IF(AND(Методика="нормы 2026",FG117="Сил"),0.8,0.95)),0.95)))))</f>
        <v>0.8</v>
      </c>
      <c r="CF117">
        <f t="shared" si="158"/>
        <v>0</v>
      </c>
      <c r="CG117">
        <f t="shared" si="159"/>
        <v>1</v>
      </c>
      <c r="CH117">
        <f t="shared" si="160"/>
        <v>0</v>
      </c>
      <c r="CI117">
        <f>IF(B117="","",IF(BV117=1,IFERROR(BS117/((Uн_лин/SQRT(3))*MAX(0.5,N(CE117))),0),N(O117)))</f>
        <v>0.60080512387545415</v>
      </c>
      <c r="CJ117">
        <f t="shared" si="161"/>
        <v>0</v>
      </c>
      <c r="CK117">
        <f t="shared" si="162"/>
        <v>0</v>
      </c>
      <c r="CL117">
        <f t="shared" si="163"/>
        <v>0</v>
      </c>
      <c r="CM117">
        <f t="shared" si="164"/>
        <v>0</v>
      </c>
      <c r="CN117">
        <f t="shared" si="165"/>
        <v>0</v>
      </c>
      <c r="CO117">
        <f>IF(BC117="",0,_xlfn.LET(_xlpm.v,IFERROR(_xlfn.XLOOKUP(B117,Коды_код,Коды_мА),IFERROR(_xlfn.XLOOKUP(BC117,Коды_код,Коды_мА),IFERROR(_xlfn.XLOOKUP(LEFT(BC117,2),Коды_код,Коды_мА),""))),IF(_xlpm.v="да",30,IF(ISNUMBER(_xlpm.v),_xlpm.v,0))))</f>
        <v>0</v>
      </c>
      <c r="CP117" t="str">
        <f t="shared" si="166"/>
        <v/>
      </c>
      <c r="CQ117" t="str">
        <f>_xlfn.LET(_xlpm.k,IFERROR(_xlfn.XLOOKUP(BC117,Коды_код,Коды_утечка)&amp;"",""),IF(_xlpm.k="","дифавтомат",_xlpm.k))</f>
        <v>дифавтомат</v>
      </c>
      <c r="CR117" t="str" cm="1">
        <f t="array" ref="CR117">IF(CG117=0,"",_xlfn.LET(_xlpm.sg,TRIM(_xlfn.TEXTSPLIT(DD117&amp;"",";")),_xlpm.f_,_xlfn._xlws.FILTER(_xlpm.sg,LEFT(_xlpm.sg,3)="УЗО",""),IFERROR(INDEX(_xlpm.f_,1)&amp;"","")))</f>
        <v/>
      </c>
      <c r="CS117" t="str">
        <f t="shared" si="167"/>
        <v/>
      </c>
      <c r="CT117" s="6" t="str" cm="1">
        <f t="array" ref="CT117">IF(CR117="","",_xlfn.LET(_xlpm.tk,_xlfn.TEXTSPLIT(UPPER(CR117)," ",,TRUE),_xlpm.a_,_xlfn._xlws.FILTER(_xlpm.tk,ISNUMBER(--LEFT(_xlpm.tk,1))*((ISNUMBER(SEARCH("А",_xlpm.tk))+ISNUMBER(SEARCH("A",_xlpm.tk)))&gt;0)*NOT(ISNUMBER(SEARCH("МА",_xlpm.tk)))*NOT(ISNUMBER(SEARCH("MA",_xlpm.tk))),""),IFERROR(--SUBSTITUTE(SUBSTITUTE(INDEX(_xlpm.a_,1),"А",""),"A",""),"")))</f>
        <v/>
      </c>
      <c r="CU117" t="str" cm="1">
        <f t="array" ref="CU117">IF(CR117="","",_xlfn.LET(_xlpm.tk,_xlfn.TEXTSPLIT(UPPER(CR117)," ",,TRUE),_xlpm.a_,_xlfn._xlws.FILTER(_xlpm.tk,ISNUMBER(--LEFT(_xlpm.tk,1))*((ISNUMBER(SEARCH("МА",_xlpm.tk))+ISNUMBER(SEARCH("MA",_xlpm.tk)))&gt;0),""),IFERROR(--SUBSTITUTE(SUBSTITUTE(INDEX(_xlpm.a_,1),"МА",""),"MA",""),30)))</f>
        <v/>
      </c>
      <c r="CV117" t="str">
        <f>IF(CS117="","",IFERROR(_xlfn.XLOOKUP(CS117,Линии[_n],Линии[_УЗО, мА]),30))</f>
        <v/>
      </c>
      <c r="CW117">
        <f>IF(CS117="",0,IF(ISNUMBER(SEARCH("4P",IFERROR(_xlfn.XLOOKUP(CS117,Линии[_n],Линии[_УЗО строки])&amp;"",""))),0,1))</f>
        <v>0</v>
      </c>
      <c r="CX117" t="str">
        <f>IF(AND(CS117&lt;&gt;"",CS117=BA117),SUMIFS(Линии[_ток на 230 В],Линии[_блок УЗО],BA117,Линии[Щит],A117),"")</f>
        <v/>
      </c>
      <c r="CY117" t="str">
        <f>IF(AND(CS117&lt;&gt;"",CS117=BA117),SUMIFS(Линии[_ток утечки линии, мА],Линии[_блок УЗО],BA117,Линии[Щит],A117),"")</f>
        <v/>
      </c>
      <c r="CZ117">
        <f t="shared" si="168"/>
        <v>0</v>
      </c>
      <c r="DA117">
        <f t="shared" si="169"/>
        <v>0</v>
      </c>
      <c r="DB117">
        <f>IF(B117="",0,IFERROR(--_xlfn.XLOOKUP(B117,Коды_код,Коды_минавт),IFERROR(--_xlfn.XLOOKUP(BC117,Коды_код,Коды_минавт),IFERROR(--_xlfn.XLOOKUP(LEFT(BC117,2),Коды_код,Коды_минавт),0))))</f>
        <v>0</v>
      </c>
      <c r="DC117" t="str">
        <f>IF(B117="","",IFERROR(_xlfn.XLOOKUP(BC117,Коды_код,Коды_апп)&amp;"",""))</f>
        <v/>
      </c>
      <c r="DD117" t="str">
        <f t="shared" si="170"/>
        <v/>
      </c>
      <c r="DE117" t="str" cm="1">
        <f t="array" ref="DE117">IF(TRIM(DD117&amp;"")="","",IFERROR(TRIM(INDEX(_xlfn.TEXTSPLIT(DD117&amp;";;;",";"),1)),""))</f>
        <v/>
      </c>
      <c r="DF117" t="str" cm="1">
        <f t="array" ref="DF117">IF(TRIM(DD117&amp;"")="","",IFERROR(TRIM(INDEX(_xlfn.TEXTSPLIT(DD117&amp;";;;",";"),2)),""))</f>
        <v/>
      </c>
      <c r="DG117" t="str" cm="1">
        <f t="array" ref="DG117">IF(TRIM(DD117&amp;"")="","",IFERROR(TRIM(INDEX(_xlfn.TEXTSPLIT(DD117&amp;";;;",";"),3)),""))</f>
        <v/>
      </c>
      <c r="DH117">
        <f t="shared" si="171"/>
        <v>0</v>
      </c>
      <c r="DI117" t="str">
        <f>IF(B117="","",_xlfn.LET(_xlpm.t,LOWER(AZ117&amp;""),IF(ISNUMBER(SEARCH("dim",_xlpm.t)),"DIM",IF(ISNUMBER(SEARCH("dali",_xlpm.t)),"DALI",IF(OR(ISNUMBER(SEARCH("relay",_xlpm.t)),ISNUMBER(SEARCH("реле",_xlpm.t))),"Relay",IF(ISNUMBER(SEARCH("кнопк",_xlpm.t)),"",IFERROR(_xlfn.XLOOKUP(BC117,Коды_код,Коды_упр)&amp;"","")))))))</f>
        <v/>
      </c>
      <c r="DJ117" t="str">
        <f t="shared" si="172"/>
        <v/>
      </c>
      <c r="DK117">
        <f>IF(B117="","",_xlfn.LET(_xlpm.ig,IF(N(CX117)&gt;0,N(CX117),N(CI117)+IF(AJ117="вручную",0,N(CJ117))),_xlpm.n0,IFERROR(VLOOKUP(_xlpm.ig,Автомат_номиналы,2,TRUE),0),_xlpm.mn,MAX(DB117,IF(AJ117="вручную",0,N(CM117))),MAX(_xlpm.n0,_xlpm.mn,IF(DH117=1,Мин_автомат_БП,0))))</f>
        <v>6</v>
      </c>
      <c r="DL117">
        <f t="shared" si="173"/>
        <v>1</v>
      </c>
      <c r="DM117" t="str">
        <f t="shared" si="174"/>
        <v>1P</v>
      </c>
      <c r="DN117" t="str">
        <f>_xlfn.LET(_xlpm.cc,UPPER(TRIM(IFERROR(_xlfn.XLOOKUP(BC117,Коды_код,Коды_хар)&amp;"",""))),IF(OR(_xlpm.cc="B",_xlpm.cc="В"),"B",IF(_xlpm.cc="D","D","С")))</f>
        <v>С</v>
      </c>
      <c r="DO117" t="str">
        <f t="shared" si="175"/>
        <v>1P С6А</v>
      </c>
      <c r="DP117">
        <f t="shared" si="176"/>
        <v>10</v>
      </c>
      <c r="DQ117" t="str">
        <f t="shared" si="177"/>
        <v>1P С10А</v>
      </c>
      <c r="DR117" cm="1">
        <f t="array" ref="DR117">IF(DQ117="","",_xlfn.LET(_xlpm.t,SUBSTITUTE(SUBSTITUTE(SUBSTITUTE(UPPER(DQ117),"С","C"),"А","A"),"В","B"),_xlpm.tk,_xlfn.TEXTSPLIT(_xlpm.t," "),_xlpm.f,_xlfn._xlws.FILTER(_xlpm.tk,ISNUMBER(--MID(_xlpm.tk,2,1))*ISNUMBER(SEARCH(LEFT(_xlpm.tk,1)&amp;"#","B#C#D#"))*(LEN(_xlpm.tk)&gt;1),""),_xlpm.x,INDEX(_xlpm.f,1),IFERROR(--SUBSTITUTE(MID(_xlpm.x,2,9),"A",""),IFERROR(--SUBSTITUTE(INDEX(_xlfn._xlws.FILTER(_xlpm.tk,ISNUMBER(--SUBSTITUTE(_xlpm.tk,"A","")),""),1),"A",""),""))))</f>
        <v>10</v>
      </c>
      <c r="DS117" t="str">
        <f t="shared" si="178"/>
        <v>ok</v>
      </c>
      <c r="DT117">
        <f t="shared" si="179"/>
        <v>10</v>
      </c>
      <c r="DU117" t="str">
        <f t="shared" si="180"/>
        <v>1P С10А</v>
      </c>
      <c r="DV117">
        <f t="shared" si="181"/>
        <v>0</v>
      </c>
      <c r="DW117">
        <f t="shared" si="182"/>
        <v>0</v>
      </c>
      <c r="DX117">
        <f t="shared" si="183"/>
        <v>0</v>
      </c>
      <c r="DY117">
        <f t="shared" si="184"/>
        <v>0.60080512387545415</v>
      </c>
      <c r="DZ117">
        <f t="shared" si="185"/>
        <v>1</v>
      </c>
      <c r="EA117">
        <f>IF(ISNUMBER(AP117),AP117,К_прокл)</f>
        <v>1</v>
      </c>
      <c r="EB117">
        <f t="shared" si="186"/>
        <v>2</v>
      </c>
      <c r="EC117">
        <f>IFERROR(N(VLOOKUP(BZ117,Кабель_обозначение,3,FALSE)),1)</f>
        <v>1</v>
      </c>
      <c r="ED117">
        <f>IFERROR(N(_xlfn.XLOOKUP(A117,Щиты[Щит],Щиты[ΔU до шин, %])),0)</f>
        <v>0.24000000000000002</v>
      </c>
      <c r="EE117" t="str">
        <f>IFERROR(_xlfn.XLOOKUP(A117,Щиты[Щит],Щиты[Zпетли на шинах, Ом]),"")</f>
        <v/>
      </c>
      <c r="EF117">
        <f>IFERROR(N(_xlfn.XLOOKUP(A117,Щиты[Щит],Щиты[ΔU до шин (подбор), %])),0)</f>
        <v>0.36</v>
      </c>
      <c r="EG117" t="str">
        <f>IFERROR(_xlfn.XLOOKUP(A117,Щиты[Щит],Щиты[Zпетли на шинах (подбор), Ом]),"")</f>
        <v/>
      </c>
      <c r="EH117" t="str">
        <f t="shared" si="187"/>
        <v/>
      </c>
      <c r="EI117">
        <f t="shared" si="188"/>
        <v>50</v>
      </c>
      <c r="EJ117">
        <f t="shared" si="189"/>
        <v>2</v>
      </c>
      <c r="EK117">
        <f t="shared" si="190"/>
        <v>0.6</v>
      </c>
      <c r="EL117" s="6">
        <f>IF(B117="","",IF(BV117=1,dU_LED,IF(IFERROR(_xlfn.XLOOKUP(BC117,Коды_код,Коды_уго),"")="Светильник",3,4)+IF(Методика="нормы 2026",MIN(0.5,MAX(0,N(P117)-100)*0.005),0)))</f>
        <v>4</v>
      </c>
      <c r="EM117" cm="1">
        <f t="array" ref="EM117">IF(OR(B117="",BZ117="",EC117&lt;&gt;1),"",_xlfn.LET(_xlpm.sz,Iдоп_S,_xlpm.t_,CHOOSE(EB117,Iдоп_1ж,Iдоп_2ж,Iдоп_3ж)*DZ117*EA117,_xlpm.dcx,BV117=1,_xlpm.inn,IF(_xlpm.dcx,N(O117),N(DT117)),_xlpm.smin,MAX(1.5,CC117),_xlpm.L_,N(P117)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117)/N(BU117)*100,999),IFERROR(N(EJ117)*(_xlpm.rho*_xlpm.L_/_xlpm.sz*N(CE117)+_xlpm.xx*_xlpm.L_*N(EK117)/1000)*N(O117)/((Uн_лин/SQRT(3))*1000)*100,999)),_xlpm.kz,IF(OR(_xlpm.dcx,DW117=1,NOT(ISNUMBER(EG117)),_xlpm.L_=0,_xlpm.inn=0),1,IFERROR(--(c_min*(Uн_лин*1000/SQRT(3))/(EG117+2*ρкз_Cu*_xlpm.L_/_xlpm.sz)&gt;=HT117*_xlpm.inn),0)),_xlpm.ok,IFERROR((_xlpm.sz&gt;=_xlpm.smin)*(_xlpm.t_&gt;=_xlpm.inn)*IF(_xlpm.L_&gt;0,(_xlpm.du_+IF(_xlpm.dcx,0,EF117)&lt;=EL117+0.00001),1)*_xlpm.kz,0),_xlpm.r_,_xlfn._xlws.FILTER(_xlpm.sz,_xlpm.ok,"не подобрано"),INDEX(_xlpm.r_,1)))</f>
        <v>1.5</v>
      </c>
      <c r="EN117">
        <f t="shared" si="191"/>
        <v>1.5</v>
      </c>
      <c r="EO117" cm="1">
        <f t="array" ref="EO117">IF(OR(B117="",BZ117="",EC117&lt;&gt;1),"",_xlfn.LET(_xlpm.sz,Iдоп_S,_xlpm.t_,CHOOSE(EB117,Iдоп_1ж,Iдоп_2ж,Iдоп_3ж)*DZ117*EA117,_xlpm.ok,IFERROR((_xlpm.sz&gt;=MAX(1.5,CC117))*(_xlpm.t_&gt;=N(DT117)),0),_xlpm.r_,_xlfn._xlws.FILTER(_xlpm.sz,_xlpm.ok,""),INDEX(_xlpm.r_,1)))</f>
        <v>1.5</v>
      </c>
      <c r="EP117" s="6" cm="1">
        <f t="array" ref="EP117">IFERROR(ROUNDUP(N(EJ117)*(_xlfn.XLOOKUP(EO117,INDEX(Кабель_сопротивление,0,1),INDEX(Кабель_сопротивление,0,3))*N(P117)/EO117*N(CE117)+_xlfn.XLOOKUP(EO117,INDEX(Кабель_сопротивление,0,1),INDEX(Кабель_сопротивление,0,2))*N(P117)*N(EK117)/1000)*N(O117)/((Uн_лин/SQRT(3))*1000)*100,2),"")</f>
        <v>0.33</v>
      </c>
      <c r="EQ117">
        <f>IFERROR(2*ρкз_Cu*N(P117)/EO117,"")</f>
        <v>1.8234666666666666</v>
      </c>
      <c r="ER117">
        <f>IFERROR(VLOOKUP(EN117,Кабель_сопротивление,3,FALSE),"")</f>
        <v>2.2499999999999999E-2</v>
      </c>
      <c r="ES117">
        <f>IFERROR(VLOOKUP(EN117,Кабель_сопротивление,2,FALSE),"")</f>
        <v>0.11</v>
      </c>
      <c r="ET117">
        <f t="shared" si="192"/>
        <v>16</v>
      </c>
      <c r="EU117">
        <f t="shared" si="193"/>
        <v>0</v>
      </c>
      <c r="EV117">
        <f t="shared" si="194"/>
        <v>0.75392872096684793</v>
      </c>
      <c r="EW117" s="6">
        <f>IFERROR(ROUNDUP(EV117/IF(BV117=1,BU117,(Uн_лин/SQRT(3))*1000)*100,2),"")</f>
        <v>0.33</v>
      </c>
      <c r="EX117" t="str">
        <f>IFERROR(VLOOKUP(BZ117,Кабель_обозначение,2,FALSE),"")</f>
        <v>ВВГнг(А)-LS</v>
      </c>
      <c r="EY117" t="str">
        <f t="shared" si="195"/>
        <v>ВВГнг(А)-LS (3х1,5)</v>
      </c>
      <c r="EZ117" t="str">
        <f t="shared" si="196"/>
        <v>ВВГнг(А)-LS (3х1,5)
L=52-0,33%</v>
      </c>
      <c r="FA117">
        <f>IFERROR(2*ρкз_Cu*P117/EN117,"")</f>
        <v>1.8234666666666666</v>
      </c>
      <c r="FB117">
        <f t="shared" si="197"/>
        <v>0.6066666666666668</v>
      </c>
      <c r="FC117" s="6" t="str">
        <f>IFERROR(IF(OR(B117="",BV117=1,NOT(ISNUMBER(EN117)),N(P117)=0),"",_xlfn.XLOOKUP(A117,Щиты[Щит],Щиты[Zпетли на шинах, Ом])+FA117),"")</f>
        <v/>
      </c>
      <c r="FD117" s="6" t="str">
        <f>IF(ISNUMBER(FC117),c_min*(Uн_лин*1000/SQRT(3))/FC117,"")</f>
        <v/>
      </c>
      <c r="FE117" s="6" t="str">
        <f>IFERROR(IF(OR(B117="",NOT(ISNUMBER(EN117))),"",1.05*(Uн_лин*1000/SQRT(3))/(_xlfn.XLOOKUP(A117,Щиты[Щит],Щиты[Zmax на шинах, Ом])+FB117)/1000),"")</f>
        <v/>
      </c>
      <c r="FF117" s="6" t="str">
        <f>IF(B117="","",IF(ISNUMBER(AC117),"Сил",IF(IFERROR(_xlfn.XLOOKUP(BC117,Коды_код,Коды_группа)&amp;"","")="","Быт",_xlfn.XLOOKUP(BC117,Коды_код,Коды_группа)&amp;"")))</f>
        <v>Сил</v>
      </c>
      <c r="FG117" s="6" t="str">
        <f t="shared" si="198"/>
        <v>Сил</v>
      </c>
      <c r="FH117" s="6">
        <f>IF(FG117="Щит","щит",IF(FG117="","",IF(FG117="Быт",IFERROR(_xlfn.XLOOKUP(A117,Щиты[Щит],Щиты[Кс быт]),1),IF(FG117="Сил",IF(ISNUMBER(AC117),AC117,IF(Методика="нормы 2026",IFERROR(_xlfn.XLOOKUP(A117,Щиты[Щит],Щиты[Кс силовых (табл. 7.5)]),1),1)),IF(OR(FG117="Пост",FG117="Отоп"),1,IF(FG117="ВНГ",0.7,0))))))</f>
        <v>0.5</v>
      </c>
      <c r="FI117">
        <f>IF(FG117="","",IF(AND(BP117=1,TRIM(AE117&amp;"")=""),IF(COUNTIFS(Линии[Щит],A117,Линии[Секция (1/2/3)],"&gt;=2")&gt;0,MIN(3,MAX(1,IFERROR(--BD117,1))),1),IFERROR(MIN(3,MAX(1,INT(--AE117))),1)))</f>
        <v>1</v>
      </c>
      <c r="FJ117">
        <f t="shared" si="199"/>
        <v>0.111</v>
      </c>
      <c r="FK117">
        <f t="shared" si="200"/>
        <v>0</v>
      </c>
      <c r="FL117">
        <f t="shared" si="201"/>
        <v>5.5500000000000001E-2</v>
      </c>
      <c r="FM117">
        <f t="shared" si="202"/>
        <v>0</v>
      </c>
      <c r="FN117">
        <f t="shared" si="203"/>
        <v>0</v>
      </c>
      <c r="FO117">
        <f t="shared" si="204"/>
        <v>0</v>
      </c>
      <c r="FP117">
        <f t="shared" si="205"/>
        <v>0.111</v>
      </c>
      <c r="FQ117">
        <f t="shared" si="206"/>
        <v>0.111</v>
      </c>
      <c r="FR117">
        <f t="shared" si="207"/>
        <v>8.8800000000000004E-2</v>
      </c>
      <c r="FS117">
        <f>IF(CG117=1,IF(AND(CH117=1,CW117=1),0,IF(AND(CS117&lt;&gt;"",CS117=BA117,CW117=1),SUMIFS(Линии[_Р линии, кВт],Линии[_блок УЗО],BA117,Линии[Щит],A117),N(BS117)+IF(AJ117="вручную",0,N(CK117)))),0)</f>
        <v>0.111</v>
      </c>
      <c r="FT117" t="str">
        <f t="shared" si="208"/>
        <v/>
      </c>
      <c r="FU117" t="str">
        <f>IF(B117="","",IF(CG117=0,IF(BA117=1,"",FW116),IF(AND(CH117=1,CW117=1,CS117&lt;&gt;""),IFERROR(_xlfn.XLOOKUP(CS117,Линии[_n],Линии[_фаза итог]),"L1"),IF(OR(N(DL117)&gt;=3,N(BX117)&gt;=3),"L1,L2,L3",IFERROR(_xlfn.TEXTBEFORE(_xlfn.TEXTAFTER(_xlfn.XLOOKUP(A117,Щиты[Щит],Щиты[_фазы авто]),";"&amp;BA117&amp;":"),";"),"L1")))))</f>
        <v>L3</v>
      </c>
      <c r="FV117" t="str">
        <f t="shared" si="209"/>
        <v>L3</v>
      </c>
      <c r="FW117" t="str">
        <f t="shared" si="210"/>
        <v>L3</v>
      </c>
      <c r="FX117" cm="1">
        <f t="array" ref="FX117">IFERROR(IF(CD117=2,_xlfn.IFS(BX117=3,VLOOKUP(BS117,Справочная_двигатели,3,FALSE),BX117=1,VLOOKUP(BS117,Справочная_двигатели,5,TRUE)),0),0)</f>
        <v>0</v>
      </c>
      <c r="FY117">
        <f>IFERROR(IF(CD117=3,VLOOKUP(BS117,Справочная_ЛЭД,2,TRUE),0),0)</f>
        <v>0</v>
      </c>
      <c r="FZ117" s="6">
        <f t="shared" si="211"/>
        <v>0</v>
      </c>
      <c r="GA117" t="str">
        <f>IF(B117="","",IF(TRIM(AH117&amp;"")&lt;&gt;"",IF(LOWER(TRIM(AH117&amp;""))="да","да","нет"),IF(IFERROR(_xlfn.XLOOKUP(BC117,Коды_код,Коды_пожарная),"")="да","да","нет")))</f>
        <v>нет</v>
      </c>
      <c r="GB117" t="str">
        <f t="shared" si="212"/>
        <v/>
      </c>
      <c r="GC117" t="str">
        <f t="shared" si="213"/>
        <v>основная</v>
      </c>
      <c r="GD117">
        <f>IF(AND(BP117=1,TRIM(AE117&amp;"")=""),IF(COUNTIFS(Линии[Щит],A117,Линии[Секция (1/2/3)],"&gt;=2")&gt;0,MIN(3,MAX(1,IFERROR(--BD117,1))),1),IFERROR(MIN(3,MAX(1,INT(--AE117))),1))</f>
        <v>1</v>
      </c>
      <c r="GE117" t="str" cm="1">
        <f t="array" ref="GE117">IF(B117="","",_xlfn.LET(_xlpm.t,IFERROR(_xlfn.XLOOKUP(1,(Шины[Шина]=GC117)*(((Шины[Щит]=A117)+(Шины[Щит]=""))&gt;0),Шины[Тип]),"")&amp;"",IF(_xlpm.t&lt;&gt;"",_xlpm.t,IF(ISNUMBER(SEARCH("ИБП",GC117)),"ИБП",IF(ISNUMBER(SEARCH("ДГУ",GC117)),"ДГУ","Ввод "&amp;GD117)))))</f>
        <v>Ввод 1</v>
      </c>
      <c r="GF117" t="str">
        <f t="shared" si="214"/>
        <v>Ввод 1</v>
      </c>
      <c r="GG117" t="str">
        <f>IF(BP117=0,"",IF(TRIM(AG117&amp;"")&lt;&gt;"",TRIM(AG117&amp;""),IF(OR(GE117="ИБП",GE117="ДГУ"),"I особая",_xlfn.XLOOKUP(A117,Щиты[Щит],Щиты[Категория шины «Ввод»],"III"))))</f>
        <v/>
      </c>
      <c r="GH117" t="str">
        <f>IF(A117="","",_xlfn.XLOOKUP(A117,Щиты[Щит],Щиты[Путь],""))</f>
        <v>|ГРЩ-ЖД|ЩОВ-01|</v>
      </c>
      <c r="GI117" t="str">
        <f>IF(B117="","",IF(AI117&lt;&gt;"",AI117,IF(IFERROR(_xlfn.XLOOKUP(BC117,Коды_код,Коды_вид)&amp;"","")="","Прочее",_xlfn.XLOOKUP(BC117,Коды_код,Коды_вид)&amp;"")))</f>
        <v>Кондиционирование и увлажнение</v>
      </c>
      <c r="GJ117">
        <f>IF(BM117="","",INT((BM117-1)/Столбцов_на_лист)+1)</f>
        <v>2</v>
      </c>
      <c r="GK117" t="str">
        <f t="shared" si="215"/>
        <v>ВВГнг(А)-LS (3х1,5) L=52-0,33%</v>
      </c>
      <c r="GL117">
        <f t="shared" si="216"/>
        <v>0.111</v>
      </c>
      <c r="GM117">
        <f t="shared" si="217"/>
        <v>0.61</v>
      </c>
      <c r="GN117">
        <f t="shared" si="218"/>
        <v>1</v>
      </c>
      <c r="GO117">
        <f t="shared" si="219"/>
        <v>0</v>
      </c>
      <c r="GP117">
        <f t="shared" si="220"/>
        <v>1</v>
      </c>
      <c r="GQ117">
        <f>IF(BM117="","",IF(AND(CG117=1,GP117=1),COUNTIFS(A$3:A117,A117,CG$3:CG117,1,GP$3:GP117,1),IF(OR(OR(BA117=1,A117&lt;&gt;A116),AJ117="вручную",GP117=0),"",IF(BA117=1,"",GR116))))</f>
        <v>15</v>
      </c>
      <c r="GR117">
        <f t="shared" si="221"/>
        <v>15</v>
      </c>
      <c r="GS117">
        <f>IF(B117="","",IFERROR(LOOKUP(INDEX(CHOOSE(EB117,Iдоп_1ж,Iдоп_2ж,Iдоп_3ж),MATCH(EN117,Iдоп_S,0))*DZ117*EA117,{6,10,16,20,25,32,40,50,63,80,100,125,160,200,250,315,400,500,630}),""))</f>
        <v>16</v>
      </c>
      <c r="GT117" t="str">
        <f t="shared" si="222"/>
        <v>QF15</v>
      </c>
      <c r="GU117" t="str">
        <f t="shared" si="223"/>
        <v>QF15</v>
      </c>
      <c r="GV117" t="str">
        <f t="shared" si="224"/>
        <v/>
      </c>
      <c r="GW117">
        <f t="shared" si="225"/>
        <v>0</v>
      </c>
      <c r="GX117" t="str">
        <f>IF(OR(B117="",DJ117=""),"",IFERROR(_xlfn.XLOOKUP(DJ117,Модули_умолч[Управление],Модули_умолч[Модель])&amp;"",""))</f>
        <v/>
      </c>
      <c r="GY117">
        <f>IF(DJ117="",1,IFERROR(MAX(0,N(_xlfn.XLOOKUP(DJ117,Модули_умолч[Управление],Модули_умолч[Каналов на линию]))),1))</f>
        <v>1</v>
      </c>
      <c r="GZ117" t="str">
        <f t="shared" si="226"/>
        <v/>
      </c>
      <c r="HA117" t="str">
        <f t="shared" si="227"/>
        <v/>
      </c>
      <c r="HB117" t="str">
        <f t="shared" si="228"/>
        <v/>
      </c>
      <c r="HC117">
        <f>IF(HB117="",0,IFERROR(N(VLOOKUP(HB117,Модули_спр,3,FALSE)),0))</f>
        <v>0</v>
      </c>
      <c r="HD117" t="str">
        <f t="shared" si="229"/>
        <v/>
      </c>
      <c r="HE117" t="str">
        <f t="shared" si="230"/>
        <v/>
      </c>
      <c r="HF117" t="str">
        <f>IF(OR(HE117="",HE117="-"),"",IFERROR(VLOOKUP(HE117,Модули_спр,2,FALSE),"R"))</f>
        <v/>
      </c>
      <c r="HG117" t="str">
        <f>IF(HF117="","",HF117&amp;"."&amp;COUNTIFS(A$3:A117,A117,HF$3:HF117,HF117))</f>
        <v/>
      </c>
      <c r="HH117" t="str">
        <f t="shared" si="231"/>
        <v/>
      </c>
      <c r="HI117" t="str">
        <f t="shared" si="232"/>
        <v/>
      </c>
      <c r="HJ117" t="str">
        <f t="shared" si="233"/>
        <v/>
      </c>
      <c r="HK117" t="str">
        <f t="shared" si="234"/>
        <v/>
      </c>
      <c r="HL117">
        <f t="shared" si="235"/>
        <v>1</v>
      </c>
      <c r="HM117" t="str">
        <f>IF(HL117=1,"XT"&amp;COUNTIFS(A$3:A117,A117,HL$3:HL117,1),"")</f>
        <v>XT15</v>
      </c>
      <c r="HN117" t="str">
        <f t="shared" si="236"/>
        <v/>
      </c>
      <c r="HO117" t="str">
        <f t="shared" si="237"/>
        <v>QF15</v>
      </c>
      <c r="HP117" t="str">
        <f t="shared" si="238"/>
        <v/>
      </c>
      <c r="HQ117" t="str">
        <f t="shared" si="239"/>
        <v>ok</v>
      </c>
      <c r="HR117" t="str">
        <f>IF(OR(HJ117="",HH117=""),"",IF(HJ117+MAX(0,GY117-1)&gt;IFERROR(VLOOKUP(HI117,Модули_спр,3,FALSE),99),"ЛИШНИЙ КАНАЛ",IF(AND(AL117&lt;&gt;"=",GY117&gt;0,COUNTIFS(Линии[_модуль гр.],HH117,Линии[Канал (итог)],HJ117,Линии[Канал],"&lt;&gt;=",Линии[Щит],A117)&gt;1),"ДУБЛЬ КАНАЛА","")))</f>
        <v/>
      </c>
      <c r="HS117" s="6" t="str">
        <f t="shared" si="240"/>
        <v/>
      </c>
      <c r="HT117">
        <f t="shared" si="241"/>
        <v>10</v>
      </c>
      <c r="HU117" t="str">
        <f t="shared" si="242"/>
        <v/>
      </c>
      <c r="HV117">
        <f t="shared" si="243"/>
        <v>0.76032204955018168</v>
      </c>
      <c r="HW117">
        <f t="shared" si="244"/>
        <v>0</v>
      </c>
      <c r="HX117">
        <f t="shared" si="245"/>
        <v>0</v>
      </c>
      <c r="HY117">
        <f t="shared" si="246"/>
        <v>0</v>
      </c>
      <c r="HZ117">
        <f t="shared" si="247"/>
        <v>0</v>
      </c>
      <c r="IA117">
        <f t="shared" si="248"/>
        <v>0</v>
      </c>
      <c r="IB117">
        <f t="shared" si="249"/>
        <v>0</v>
      </c>
      <c r="IC117" t="str">
        <f t="shared" si="250"/>
        <v/>
      </c>
      <c r="ID117" t="str" cm="1">
        <f t="array" ref="ID117">IF(IC117="","",_xlfn.LET(_xlpm.tk,_xlfn.TEXTSPLIT(SUBSTITUTE(SUBSTITUTE(IC117,";"," "),"→"," ")," ",,TRUE),_xlpm.w_,_xlfn._xlws.FILTER(_xlpm.tk,ISNUMBER(--LEFT(_xlpm.tk,1))*((ISNUMBER(SEARCH("W",_xlpm.tk))+ISNUMBER(SEARCH("Вт",_xlpm.tk)))&gt;0),""),IFERROR(--SUBSTITUTE(SUBSTITUTE(UPPER(INDEX(_xlpm.w_,1)),"W",""),"ВТ",""),"")))</f>
        <v/>
      </c>
      <c r="IE117" t="str" cm="1">
        <f t="array" ref="IE117">IF(IC117="","",_xlfn.LET(_xlpm.tk,_xlfn.TEXTSPLIT(SUBSTITUTE(SUBSTITUTE(IC117,";"," "),"→"," ")," ",,TRUE),_xlpm.v_,_xlfn._xlws.FILTER(_xlpm.tk,ISNUMBER(--LEFT(_xlpm.tk,1))*((ISNUMBER(SEARCH("V",_xlpm.tk))+(RIGHT(UPPER(_xlpm.tk))="В"))&gt;0),""),IFERROR(--SUBSTITUTE(SUBSTITUTE(UPPER(INDEX(_xlpm.v_,1)),"V",""),"В",""),"")))</f>
        <v/>
      </c>
      <c r="IF117" s="6" t="str">
        <f>IF(OR(BV117=0,HI117="",HJ117=""),"",IFERROR(N(_xlfn.XLOOKUP(HI117,Каталог!$C$4:$C$500,Каталог!$Q$4:$Q$500)),""))</f>
        <v/>
      </c>
      <c r="IG117" s="6" t="str">
        <f>IF(N(IF117)=0,"",SUMIFS(Линии[Iр, А],Линии[Щит],A117,Линии[_модуль гр.],HH117,Линии[Канал (итог)],HJ117))</f>
        <v/>
      </c>
      <c r="IH117" t="str">
        <f>IF(AND(B117="",HO117=""),"",_xlfn.TEXTJOIN("; ",TRUE,IF(AND(B117&lt;&gt;"",FV117=""),"нет фазы",""),IF(AND(B117&lt;&gt;"",N(GL117)=0,FG117&lt;&gt;"Нет"),"нет мощности",""),IF(AND(HN117&lt;&gt;"",COUNTIFS(Линии[Щит],A117,Линии[Клемма (итог)],HN117)&gt;1),"дубль клеммы "&amp;HN117,""),IF(AND(HQ117&lt;&gt;"",HQ117&lt;&gt;"ok"),HQ117,""),IF(HR117&lt;&gt;"",HR117,""),IF(AND(N(CB117)&gt;=4,N(BX117)=1),CB117&amp;" жил на 1 фазе",""),IF(AND(BC117="R",CG117=1,IF(CS117&lt;&gt;"",N(CV117)&gt;30,OR(N(DA117)=0,N(DA117)&gt;30))),"розетка без дифзащиты до 30 мА",""),IF(AND(CG117=1,N(DA117)&gt;0,ISNUMBER(T117)),IF(T117&gt;N(DA117)/3,"ток утечки "&amp;FIXED(T117,1)&amp;" мА &gt; 1/3 уставки ("&amp;DA117&amp;" мА)",""),""),IF(AND(CH117=1,CS117=""),"«узо»: нет строки с УЗО выше (УЗО 2P 40А 30мА в «Аппаратах»)",""),IF(AND(CS117&lt;&gt;"",CS117=BA117),IF(CT117="","впишите номинал УЗО (УЗО 2P 40А 30мА)",IF(N(CT117)&lt;N(DT117),"УЗО "&amp;CT117&amp;" А &lt; автомата "&amp;DT117&amp;" А перед ним",IF(N(CT117)&lt;N(CX117),"УЗО "&amp;CT117&amp;" А &lt; тока блока "&amp;FIXED(CX117,1)&amp;" А",""))),""),IF(AND(CS117&lt;&gt;"",CS117=BA117,ISNUMBER(CY117)),IF(CY117&gt;N(CV117)/3,"ток утечки блока УЗО "&amp;FIXED(CY117,1)&amp;" мА &gt; 1/3 уставки ("&amp;CV117&amp;" мА)",""),""),IF(AND(CG117=1,N(BV117)+N(IB117)&gt;0,IC117=""),"линии до 50 В без БП: впишите в «Аппараты» (БП 24V 480W)",""),IF(AND(CG117=1,ISNUMBER(ID117),ISNUMBER(U117)),IF(U117&gt;ID117,"БП "&amp;ID117&amp;" Вт &lt; нужно "&amp;U117&amp;" Вт (×"&amp;Запас_БП&amp;")",""),""),IF(AND(CG117=1,ISNUMBER(IE117),N(BV117)=1),IF(IE117&lt;&gt;N(BU117),"БП на "&amp;IE117&amp;" В, линия "&amp;BU117&amp;" В",""),""),IF(AND(N(IF117)&gt;0,N(IG117)&gt;N(IF117)),HH117&amp;" канал "&amp;HJ117&amp;": "&amp;FIXED(IG117,1)&amp;" А &gt; "&amp;IF117&amp;" А",""),IFERROR(IF(AND(ISNUMBER(Q117),Q117&gt;EL117),"потери "&amp;FIXED(Q117,1)&amp;" % &gt; "&amp;EL117&amp;" %",""),""),IFERROR(IF(LEFT(HU117,4)="мало","Iкз мало — отключение &gt; 0,4 с",""),""),IF(AND(B117&lt;&gt;"",BM117=""),"не на схеме",""),IF(AND(CG117=0,B117&lt;&gt;"",FV117&lt;&gt;"",IF(BA117=1,"",FW116)&lt;&gt;"",FV117&lt;&gt;IF(BA117=1,"",FW116)),"фаза не как у автомата группы ("&amp;IF(BA117=1,"",FW116)&amp;")","")))</f>
        <v/>
      </c>
      <c r="II117" s="6">
        <f>IF(OR(CG117=0,DQ117=""),"",_xlfn.LET(_xlpm.t,IFERROR(_xlfn.XLOOKUP(DQ117,Каталог!$U$4:$U$500,Каталог!$G$4:$G$500),""),_xlpm.k,SEARCH("кА",_xlpm.t),IFERROR(--TRIM(RIGHT(SUBSTITUTE(MID(_xlpm.t,MAX(1,_xlpm.k-4),_xlpm.k-MAX(1,_xlpm.k-4))," ",REPT(" ",9)),5)),"")))</f>
        <v>6</v>
      </c>
      <c r="IJ117" t="str">
        <f>IF(OR(II117="",CG117=0),"",IF(_xlfn.XLOOKUP(A117,Щиты[Щит],Щиты[Iкз max на шинах, кА],"")="","",IF(II117&lt;_xlfn.XLOOKUP(A117,Щиты[Щит],Щиты[Iкз max на шинах, кА]),"Icu "&amp;II117&amp;" кА &lt; Iкз max","ok")))</f>
        <v/>
      </c>
      <c r="IK117" t="str">
        <f t="shared" si="251"/>
        <v/>
      </c>
      <c r="IL117" t="str">
        <f t="shared" si="252"/>
        <v>QF15</v>
      </c>
      <c r="IM117" t="str">
        <f t="shared" si="253"/>
        <v>QF15|кабель ВВГнг(А)-LS (3х1,5) → Внутренний блок кондиционирования цокольный этаж Пом. №014Б</v>
      </c>
      <c r="IN117" t="str" cm="1">
        <f t="array" ref="IN117">IF(IM117="","",_xlfn.LET(_xlpm.nd,_xlfn.TEXTSPLIT(IM117,"|"),IF(COLUMNS(_xlpm.nd)&gt;1,A117&amp;"¦"&amp;INDEX(_xlpm.nd,1)&amp;"¦"&amp;INDEX(_xlpm.nd,2),"")))</f>
        <v>ЩОВ-01¦QF15¦кабель ВВГнг(А)-LS (3х1,5) → Внутренний блок кондиционирования цокольный этаж Пом. №014Б</v>
      </c>
      <c r="IO117" t="str">
        <f t="shared" si="254"/>
        <v>K.0.006A¦Внутренний блок кондиционирования цокольный этаж Пом. №014Б</v>
      </c>
      <c r="IP117" t="str" cm="1">
        <f t="array" ref="IP117">IF(IM117="","",_xlfn.LET(_xlpm.nd,_xlfn.TEXTSPLIT(IM117,"|"),IF(COLUMNS(_xlpm.nd)&gt;2,A117&amp;"¦"&amp;INDEX(_xlpm.nd,2)&amp;"¦"&amp;INDEX(_xlpm.nd,3),"")))</f>
        <v/>
      </c>
      <c r="IQ117" t="str">
        <f t="shared" si="255"/>
        <v/>
      </c>
      <c r="IR117" t="str" cm="1">
        <f t="array" ref="IR117">IF(IM117="","",_xlfn.LET(_xlpm.nd,_xlfn.TEXTSPLIT(IM117,"|"),IF(COLUMNS(_xlpm.nd)&gt;3,A117&amp;"¦"&amp;INDEX(_xlpm.nd,3)&amp;"¦"&amp;INDEX(_xlpm.nd,4),"")))</f>
        <v/>
      </c>
      <c r="IS117" t="str">
        <f t="shared" si="256"/>
        <v/>
      </c>
      <c r="IT117" t="str" cm="1">
        <f t="array" ref="IT117">IF(IM117="","",_xlfn.LET(_xlpm.nd,_xlfn.TEXTSPLIT(IM117,"|"),IF(COLUMNS(_xlpm.nd)&gt;4,A117&amp;"¦"&amp;INDEX(_xlpm.nd,4)&amp;"¦"&amp;INDEX(_xlpm.nd,5),"")))</f>
        <v/>
      </c>
      <c r="IU117" t="str">
        <f t="shared" si="257"/>
        <v/>
      </c>
      <c r="IV117" t="str" cm="1">
        <f t="array" ref="IV117">IF(IM117="","",_xlfn.LET(_xlpm.nd,_xlfn.TEXTSPLIT(IM117,"|"),IF(COLUMNS(_xlpm.nd)&gt;5,A117&amp;"¦"&amp;INDEX(_xlpm.nd,5)&amp;"¦"&amp;INDEX(_xlpm.nd,6),"")))</f>
        <v/>
      </c>
      <c r="IW117" t="str">
        <f t="shared" si="258"/>
        <v/>
      </c>
      <c r="IX117" t="str" cm="1">
        <f t="array" ref="IX117">IF(IM117="","",_xlfn.LET(_xlpm.nd,_xlfn.TEXTSPLIT(IM117,"|"),IF(COLUMNS(_xlpm.nd)&gt;6,A117&amp;"¦"&amp;INDEX(_xlpm.nd,6)&amp;"¦"&amp;INDEX(_xlpm.nd,7),"")))</f>
        <v/>
      </c>
      <c r="IY117" t="str">
        <f t="shared" si="259"/>
        <v/>
      </c>
      <c r="IZ117" t="str">
        <f t="shared" si="260"/>
        <v/>
      </c>
      <c r="JA117" t="str">
        <f t="shared" si="261"/>
        <v>QF15</v>
      </c>
      <c r="JB117">
        <f t="shared" si="262"/>
        <v>0</v>
      </c>
      <c r="JC117">
        <f t="shared" si="263"/>
        <v>0</v>
      </c>
      <c r="JD117" t="str">
        <f t="shared" si="264"/>
        <v/>
      </c>
      <c r="JE117" t="str">
        <f t="shared" si="265"/>
        <v/>
      </c>
      <c r="JF117" t="str">
        <f t="shared" si="266"/>
        <v/>
      </c>
      <c r="JG117" t="str">
        <f t="shared" si="267"/>
        <v/>
      </c>
      <c r="JH117">
        <f>IF(B117="","",IFERROR(_xlfn.XLOOKUP(B117,Коды_код,Коды_уго),IFERROR(_xlfn.XLOOKUP(BC117,Коды_код,Коды_уго),IFERROR(_xlfn.XLOOKUP(LEFT(BC117,2),Коды_код,Коды_уго),""))))</f>
        <v>0</v>
      </c>
      <c r="JI117" t="str">
        <f>IF(B117="","",IF(OR(JH117="",JH117=0),"BOX",IFERROR(IF(VLOOKUP(JH117,УГО_блоки,3,FALSE)&amp;""&lt;&gt;"",VLOOKUP(JH117,УГО_блоки,3,FALSE),VLOOKUP(JH117,УГО_блоки,2,FALSE)),JH117)))</f>
        <v>BOX</v>
      </c>
      <c r="JJ117">
        <f t="shared" si="268"/>
        <v>1</v>
      </c>
      <c r="JK117" t="str">
        <f>IF(DQ117="","",IF(COUNTIF(DQ$3:DQ117,DQ117)=1,MAX(JK$2:JK116)+1,""))</f>
        <v/>
      </c>
      <c r="JL117" t="str">
        <f>IF(DE117="","",IF(COUNTIF(DE$3:DE117,DE117)+COUNTIF(DF$2:DF116,DE117)+COUNTIF(DG$2:DG116,DE117)=1,MAX(JL$2:JN116)+1,""))</f>
        <v/>
      </c>
      <c r="JM117" t="str">
        <f>IF(DF117="","",IF(COUNTIF(DE$3:DE117,DF117)+COUNTIF(DF$3:DF117,DF117)+COUNTIF(DG$2:DG116,DF117)=1,MAX(JL$2:JN116,JL117)+1,""))</f>
        <v/>
      </c>
      <c r="JN117" t="str">
        <f>IF(DG117="","",IF(COUNTIF(DE$3:DE117,DG117)+COUNTIF(DF$3:DF117,DG117)+COUNTIF(DG$3:DG117,DG117)=1,MAX(JL$2:JN116,JL117,JM117)+1,""))</f>
        <v/>
      </c>
      <c r="JO117" t="str">
        <f t="shared" si="269"/>
        <v>3х1,5</v>
      </c>
      <c r="JP117" t="str">
        <f>IF(JO117="","",IF(COUNTIF(JO$3:JO117,JO117)=1,MAX(JP$2:JP116)+1,""))</f>
        <v/>
      </c>
      <c r="JQ117" t="str">
        <f>IF(HG117="","",COUNTIF(HG$3:HG117,"?*"))</f>
        <v/>
      </c>
      <c r="JR117" t="str">
        <f>IF(OR(HG117="",HI117=""),"",IF(COUNTIFS(HG$3:HG117,"?*",HI$3:HI117,HI117)=1,MAX(JR$2:JR116)+1,""))</f>
        <v/>
      </c>
      <c r="JS117">
        <f t="shared" si="270"/>
        <v>0</v>
      </c>
      <c r="JT117">
        <f>IF(B117="","",COUNTIF(B$3:B117,"?*"))</f>
        <v>115</v>
      </c>
      <c r="JU117">
        <f>IF(HL117&lt;&gt;1,0,_xlfn.LET(_xlpm.k,MAX(IFERROR(--_xlfn.XLOOKUP(B117,Коды_код,Коды_3L),0),IFERROR(--_xlfn.XLOOKUP(BC117,Коды_код,Коды_3L),0),IFERROR(--_xlfn.XLOOKUP(LEFT(BC117,2),Коды_код,Коды_3L),0)),IF(_xlpm.k&gt;0,_xlpm.k,IF(IFERROR(--LEFT(SUBSTITUTE(JO117,"x","х"),FIND("х",SUBSTITUTE(JO117,"x","х"))-1),3)&gt;3,Каталог!$S$9,1))))</f>
        <v>1</v>
      </c>
      <c r="JV117">
        <f t="shared" si="271"/>
        <v>0</v>
      </c>
      <c r="JW117" t="str">
        <f t="shared" si="272"/>
        <v>авто</v>
      </c>
      <c r="JX117" t="str">
        <f t="shared" si="273"/>
        <v/>
      </c>
      <c r="JY117">
        <f t="shared" si="274"/>
        <v>0</v>
      </c>
      <c r="JZ117">
        <f t="shared" si="275"/>
        <v>1</v>
      </c>
    </row>
    <row r="118" spans="1:286" x14ac:dyDescent="0.3">
      <c r="A118" t="s">
        <v>745</v>
      </c>
      <c r="B118" t="s">
        <v>1428</v>
      </c>
      <c r="C118" t="s">
        <v>1678</v>
      </c>
      <c r="D118">
        <v>1</v>
      </c>
      <c r="E118">
        <v>0.104</v>
      </c>
      <c r="G118">
        <v>10</v>
      </c>
      <c r="H118" t="str">
        <f>Линии[[#This Row],[_авто управление]]</f>
        <v/>
      </c>
      <c r="I118" t="str">
        <f>Линии[[#This Row],[_авто аппараты]]</f>
        <v/>
      </c>
      <c r="J118">
        <v>1.5</v>
      </c>
      <c r="K118">
        <v>53</v>
      </c>
      <c r="L118" t="str">
        <f>Линии[[#This Row],[_авто фаза]]</f>
        <v>L1</v>
      </c>
      <c r="M118" t="s">
        <v>484</v>
      </c>
      <c r="N118" t="str">
        <f t="shared" si="138"/>
        <v/>
      </c>
      <c r="O118" s="6" cm="1">
        <f t="array" ref="O118">IF(B118="","",IF(BH118&lt;&gt;"",IFERROR(_xlfn.XLOOKUP(BH118,Щиты[Щит],Щиты[Iр, А]),""),IF(BP118=1,IF(OR(N(_xlfn.XLOOKUP(A118,Щиты[Щит],Щиты[Вводов],1))&lt;=1,LOWER(TRIM(_xlfn.XLOOKUP(A118,Щиты[Щит],Щиты[АВР],"")&amp;""))="да"),IFERROR(_xlfn.XLOOKUP(A118,Щиты[Щит],Щиты[Iр, А]),""),IFERROR(N(BS118)*_xlfn.XLOOKUP(A118,Щиты[Щит],Щиты[Кс итог])/(SQRT(3)*Uн_лин*_xlfn.XLOOKUP(A118,Щиты[Щит],Щиты[cos φ])),"")),IF(BV118=1,IFERROR(BS118*1000/BU118,""),IFERROR(_xlfn.IFS(BX118=1,BS118/((Uн_лин/SQRT(3))*CE118),BX118=3,BS118/(SQRT(3)*Uн_лин*CE118)),"")))))</f>
        <v>0.56291651245988494</v>
      </c>
      <c r="P118" s="7">
        <f>IF(B118="","",IFERROR(IF(VLOOKUP(BC118,Потребители_обозначение,4,FALSE)=1,VLOOKUP(BC118,Потребители_обозначение,3,FALSE)*(MAX(1,N(D118))*2-1)+EI118+VLOOKUP(BE118,Этаж_обозначение,3,FALSE)+VLOOKUP(BE118,Этаж_обозначение,4,FALSE),VLOOKUP(BC118,Потребители_обозначение,3,FALSE)*(MAX(1,N(D118))*2-1)+EI118),EI118))</f>
        <v>55</v>
      </c>
      <c r="Q118" s="6">
        <f t="shared" si="139"/>
        <v>0.57000000000000006</v>
      </c>
      <c r="R118" t="str">
        <f t="shared" si="140"/>
        <v>ВВГнг(А)-LS (3х1,5)</v>
      </c>
      <c r="S118" t="str">
        <f>IF(BM118="","",IF(BN118="вводной узел","узел ","")&amp;"л."&amp;(INT((BM118-1)/Столбцов_на_лист)+1)&amp;" / "&amp;(MOD(BM118-1,Столбцов_на_лист)+1))</f>
        <v>л.2 / 13</v>
      </c>
      <c r="T118" s="119">
        <f t="shared" si="141"/>
        <v>0.8</v>
      </c>
      <c r="U118" s="7" t="str">
        <f>IF(OR(CG118=0,N(BV118)+N(IB118)=0),"",ROUNDUP(Запас_БП*(N(HY118)+N(HZ118)),0))</f>
        <v/>
      </c>
      <c r="V118" s="119" t="str">
        <f t="shared" si="142"/>
        <v/>
      </c>
      <c r="W118" s="7" t="str">
        <f>IFERROR(IF(OR(B118="",BP118=1,BV118=1,NOT(ISNUMBER(EN118)),N(DT118)=0),"",MAX(0,ROUNDDOWN((c_min*(Uн_лин*1000/SQRT(3))/(HT118*N(DT118))-_xlfn.XLOOKUP(A118,Щиты[Щит],Щиты[Zпетли на шинах, Ом]))*EN118/(2*ρкз_Cu),0))),"")</f>
        <v/>
      </c>
      <c r="Y118" t="str">
        <f>Линии[[#This Row],[_авто утечка]]</f>
        <v/>
      </c>
      <c r="Z118">
        <v>1</v>
      </c>
      <c r="AA118">
        <v>230</v>
      </c>
      <c r="AB118" t="s">
        <v>598</v>
      </c>
      <c r="AC118">
        <v>0.5</v>
      </c>
      <c r="AG118" t="s">
        <v>810</v>
      </c>
      <c r="AI118" t="s">
        <v>576</v>
      </c>
      <c r="AK118" t="str">
        <f>Линии[[#This Row],[_авто модуль]]</f>
        <v/>
      </c>
      <c r="AM118">
        <v>30</v>
      </c>
      <c r="AN118" t="s">
        <v>11</v>
      </c>
      <c r="AO118">
        <v>3</v>
      </c>
      <c r="AQ118">
        <v>36</v>
      </c>
      <c r="AR118">
        <v>19</v>
      </c>
      <c r="AT118">
        <v>1</v>
      </c>
      <c r="BA118" cm="1">
        <f t="array" ref="BA118">ROW()-ROW(Линии[#Headers])</f>
        <v>116</v>
      </c>
      <c r="BC118" s="6" t="str">
        <f t="shared" si="143"/>
        <v>K</v>
      </c>
      <c r="BD118" t="str">
        <f t="shared" si="144"/>
        <v>0.008A</v>
      </c>
      <c r="BE118" t="str">
        <f t="shared" si="145"/>
        <v>0</v>
      </c>
      <c r="BF118" t="str">
        <f t="shared" si="146"/>
        <v>008A</v>
      </c>
      <c r="BG118" t="str">
        <f t="shared" si="147"/>
        <v>008A</v>
      </c>
      <c r="BH118" t="str">
        <f>IF(X118&lt;&gt;"",X118,IF(AND(B118&lt;&gt;"",B118&lt;&gt;A118,ISNUMBER(_xlfn.XMATCH(B118,Щиты[Щит]))),B118,""))</f>
        <v/>
      </c>
      <c r="BI118" t="str" cm="1">
        <f t="array" ref="BI118">IF(B118="","",IF(BH118&lt;&gt;"","Щит "&amp;BH118,_xlfn.LET(_xlpm.nm,IFERROR(_xlfn.XLOOKUP(BC118,Коды_код,Коды_имя)&amp;"",""),_xlpm.md,IFERROR(N(_xlfn.XLOOKUP(BC118,Коды_код,Коды_режим)),1),_xlpm.ex,IF(Имя_режим="по экспликации",IFERROR(_xlfn.XLOOKUP(BE118&amp;"|"&amp;BG118,Экспликация[Этаж]&amp;"|"&amp;Экспликация[Помещение],Экспликация[Название])&amp;"",""),""),_xlpm.rm,IF(BG118="","",IF(_xlpm.ex&lt;&gt;"",". "&amp;_xlpm.ex&amp;IF(Имя_пом="нет"," ("&amp;BG118&amp;")"," (пом. "&amp;BG118&amp;")"),IF(Имя_пом="нет"," ",", пом. ")&amp;BG118)),IF(_xlpm.nm="","",IF(_xlpm.md=2,_xlpm.nm&amp;" шлейф "&amp;BE118,_xlpm.nm&amp;_xlpm.rm)))))</f>
        <v>Внутренний блок кондиционирования, пом. 008A</v>
      </c>
      <c r="BJ118" t="str">
        <f t="shared" si="148"/>
        <v>Внутренний блок кондиционирования цокольный этаж Пом. №014Б</v>
      </c>
      <c r="BK118">
        <f>IFERROR(_xlfn.XMATCH(A118,Щиты[Щит]),0)</f>
        <v>6</v>
      </c>
      <c r="BL118">
        <f>_xlfn.LET(_xlpm.k,IFERROR(_xlfn.XLOOKUP(A118,Щиты[Щит],Щиты[Мест под вводной узел]),""),IF(_xlpm.k="",Столбцов_на_лист,N(_xlpm.k)))</f>
        <v>12</v>
      </c>
      <c r="BM118">
        <f t="shared" si="149"/>
        <v>30</v>
      </c>
      <c r="BN118" t="str">
        <f t="shared" si="150"/>
        <v>линии</v>
      </c>
      <c r="BO118" s="6">
        <f>IFERROR(N(_xlfn.XLOOKUP(BC118,Коды_код,Коды_квт)),0)</f>
        <v>0</v>
      </c>
      <c r="BP118">
        <f t="shared" si="151"/>
        <v>0</v>
      </c>
      <c r="BQ118" t="str">
        <f>IF(B118="","",IF(BH118&lt;&gt;"",IFERROR(_xlfn.XLOOKUP(BH118,Щиты[Щит],Щиты[Руст, кВт]),0),IF(BP118=1,IF(OR(N(_xlfn.XLOOKUP(A118,Щиты[Щит],Щиты[Вводов],1))&lt;=1,LOWER(TRIM(_xlfn.XLOOKUP(A118,Щиты[Щит],Щиты[АВР],"")&amp;""))="да"),IFERROR(_xlfn.XLOOKUP(A118,Щиты[Щит],Щиты[Руст, кВт]),0),SUMIFS(Линии[_Р для вводов],Линии[Щит],A118,Линии[Источник для режимов],GF118)),IF(BO118&gt;0,ROUND(BO118*MAX(1,N(D118)),3),""))))</f>
        <v/>
      </c>
      <c r="BR118">
        <f t="shared" si="152"/>
        <v>0.104</v>
      </c>
      <c r="BS118" s="6">
        <f>IF(B118="","",IF(BH118&lt;&gt;"",IFERROR(_xlfn.XLOOKUP(BH118,Щиты[Щит],Щиты[Руст, кВт]),0),N(BR118)))</f>
        <v>0.104</v>
      </c>
      <c r="BT118" t="str">
        <f>IF(B118="","",IFERROR(IF(VLOOKUP(BC118,Потребители_обозначение,8,FALSE)=0,"",VLOOKUP(BC118,Потребители_обозначение,8,FALSE)),""))</f>
        <v/>
      </c>
      <c r="BU118">
        <f t="shared" si="153"/>
        <v>230</v>
      </c>
      <c r="BV118">
        <f t="shared" si="154"/>
        <v>0</v>
      </c>
      <c r="BW118">
        <f>IF(B118="","",IF(BH118&lt;&gt;"",3,IFERROR(IF(N(VLOOKUP(BC118,Потребители_обозначение,9,FALSE))=0,1,VLOOKUP(BC118,Потребители_обозначение,9,FALSE)),1)))</f>
        <v>1</v>
      </c>
      <c r="BX118">
        <f t="shared" si="155"/>
        <v>1</v>
      </c>
      <c r="BY118" t="str">
        <f>IF(B118="","",_xlfn.LET(_xlpm.bc,IFERROR(IF(VLOOKUP(BC118,Потребители_обозначение,6,FALSE)=0,"",VLOOKUP(BC118,Потребители_обозначение,6,FALSE)&amp;""),""),IF(AND(GA118="да",OR(_xlpm.bc="",_xlpm.bc="мс")),Марка_пож,IF(AND(_xlpm.bc="",BH118&lt;&gt;""),"мс",_xlpm.bc))))</f>
        <v/>
      </c>
      <c r="BZ118" t="str">
        <f t="shared" si="156"/>
        <v>мс</v>
      </c>
      <c r="CA118">
        <f>IF(B118="","",_xlfn.LET(_xlpm.cc,IFERROR(N(VLOOKUP(BC118,Потребители_обозначение,7,FALSE)),0),IF(_xlpm.cc&gt;0,_xlpm.cc,IF(BZ118="","",IF(BV118=1,2,IF(N(BX118)=3,5,3))))))</f>
        <v>3</v>
      </c>
      <c r="CB118">
        <f t="shared" si="157"/>
        <v>3</v>
      </c>
      <c r="CC118">
        <f>IFERROR(N(VLOOKUP(BC118,Потребители_обозначение,10,FALSE)),0)</f>
        <v>0</v>
      </c>
      <c r="CD118">
        <f>IFERROR(VLOOKUP(BC118,Потребители_обозначение,5,FALSE),0)</f>
        <v>1</v>
      </c>
      <c r="CE118" s="6" cm="1">
        <f t="array" ref="CE118">IF(B118="","",IF(BH118&lt;&gt;"",IFERROR(_xlfn.XLOOKUP(BH118,Щиты[Щит],Щиты[cos φ]),0.95),IF(BP118=1,IFERROR(_xlfn.XLOOKUP(A118,Щиты[Щит],Щиты[cos φ]),0.95),IF(ISNUMBER(AD118),AD118,IFERROR(IF(CD118=2,_xlfn.IFS(BX118=3,VLOOKUP(BS118,Справочная_двигатели,8,FALSE),BX118=1,VLOOKUP(BS118,Справочная_двигатели,10,TRUE)),IF(AND(Методика="нормы 2026",FG118="Сил"),0.8,0.95)),0.95)))))</f>
        <v>0.8</v>
      </c>
      <c r="CF118">
        <f t="shared" si="158"/>
        <v>0</v>
      </c>
      <c r="CG118">
        <f t="shared" si="159"/>
        <v>1</v>
      </c>
      <c r="CH118">
        <f t="shared" si="160"/>
        <v>0</v>
      </c>
      <c r="CI118">
        <f>IF(B118="","",IF(BV118=1,IFERROR(BS118/((Uн_лин/SQRT(3))*MAX(0.5,N(CE118))),0),N(O118)))</f>
        <v>0.56291651245988494</v>
      </c>
      <c r="CJ118">
        <f t="shared" si="161"/>
        <v>0</v>
      </c>
      <c r="CK118">
        <f t="shared" si="162"/>
        <v>0</v>
      </c>
      <c r="CL118">
        <f t="shared" si="163"/>
        <v>0</v>
      </c>
      <c r="CM118">
        <f t="shared" si="164"/>
        <v>0</v>
      </c>
      <c r="CN118">
        <f t="shared" si="165"/>
        <v>0</v>
      </c>
      <c r="CO118">
        <f>IF(BC118="",0,_xlfn.LET(_xlpm.v,IFERROR(_xlfn.XLOOKUP(B118,Коды_код,Коды_мА),IFERROR(_xlfn.XLOOKUP(BC118,Коды_код,Коды_мА),IFERROR(_xlfn.XLOOKUP(LEFT(BC118,2),Коды_код,Коды_мА),""))),IF(_xlpm.v="да",30,IF(ISNUMBER(_xlpm.v),_xlpm.v,0))))</f>
        <v>0</v>
      </c>
      <c r="CP118" t="str">
        <f t="shared" si="166"/>
        <v/>
      </c>
      <c r="CQ118" t="str">
        <f>_xlfn.LET(_xlpm.k,IFERROR(_xlfn.XLOOKUP(BC118,Коды_код,Коды_утечка)&amp;"",""),IF(_xlpm.k="","дифавтомат",_xlpm.k))</f>
        <v>дифавтомат</v>
      </c>
      <c r="CR118" t="str" cm="1">
        <f t="array" ref="CR118">IF(CG118=0,"",_xlfn.LET(_xlpm.sg,TRIM(_xlfn.TEXTSPLIT(DD118&amp;"",";")),_xlpm.f_,_xlfn._xlws.FILTER(_xlpm.sg,LEFT(_xlpm.sg,3)="УЗО",""),IFERROR(INDEX(_xlpm.f_,1)&amp;"","")))</f>
        <v/>
      </c>
      <c r="CS118" t="str">
        <f t="shared" si="167"/>
        <v/>
      </c>
      <c r="CT118" s="6" t="str" cm="1">
        <f t="array" ref="CT118">IF(CR118="","",_xlfn.LET(_xlpm.tk,_xlfn.TEXTSPLIT(UPPER(CR118)," ",,TRUE),_xlpm.a_,_xlfn._xlws.FILTER(_xlpm.tk,ISNUMBER(--LEFT(_xlpm.tk,1))*((ISNUMBER(SEARCH("А",_xlpm.tk))+ISNUMBER(SEARCH("A",_xlpm.tk)))&gt;0)*NOT(ISNUMBER(SEARCH("МА",_xlpm.tk)))*NOT(ISNUMBER(SEARCH("MA",_xlpm.tk))),""),IFERROR(--SUBSTITUTE(SUBSTITUTE(INDEX(_xlpm.a_,1),"А",""),"A",""),"")))</f>
        <v/>
      </c>
      <c r="CU118" t="str" cm="1">
        <f t="array" ref="CU118">IF(CR118="","",_xlfn.LET(_xlpm.tk,_xlfn.TEXTSPLIT(UPPER(CR118)," ",,TRUE),_xlpm.a_,_xlfn._xlws.FILTER(_xlpm.tk,ISNUMBER(--LEFT(_xlpm.tk,1))*((ISNUMBER(SEARCH("МА",_xlpm.tk))+ISNUMBER(SEARCH("MA",_xlpm.tk)))&gt;0),""),IFERROR(--SUBSTITUTE(SUBSTITUTE(INDEX(_xlpm.a_,1),"МА",""),"MA",""),30)))</f>
        <v/>
      </c>
      <c r="CV118" t="str">
        <f>IF(CS118="","",IFERROR(_xlfn.XLOOKUP(CS118,Линии[_n],Линии[_УЗО, мА]),30))</f>
        <v/>
      </c>
      <c r="CW118">
        <f>IF(CS118="",0,IF(ISNUMBER(SEARCH("4P",IFERROR(_xlfn.XLOOKUP(CS118,Линии[_n],Линии[_УЗО строки])&amp;"",""))),0,1))</f>
        <v>0</v>
      </c>
      <c r="CX118" t="str">
        <f>IF(AND(CS118&lt;&gt;"",CS118=BA118),SUMIFS(Линии[_ток на 230 В],Линии[_блок УЗО],BA118,Линии[Щит],A118),"")</f>
        <v/>
      </c>
      <c r="CY118" t="str">
        <f>IF(AND(CS118&lt;&gt;"",CS118=BA118),SUMIFS(Линии[_ток утечки линии, мА],Линии[_блок УЗО],BA118,Линии[Щит],A118),"")</f>
        <v/>
      </c>
      <c r="CZ118">
        <f t="shared" si="168"/>
        <v>0</v>
      </c>
      <c r="DA118">
        <f t="shared" si="169"/>
        <v>0</v>
      </c>
      <c r="DB118">
        <f>IF(B118="",0,IFERROR(--_xlfn.XLOOKUP(B118,Коды_код,Коды_минавт),IFERROR(--_xlfn.XLOOKUP(BC118,Коды_код,Коды_минавт),IFERROR(--_xlfn.XLOOKUP(LEFT(BC118,2),Коды_код,Коды_минавт),0))))</f>
        <v>0</v>
      </c>
      <c r="DC118" t="str">
        <f>IF(B118="","",IFERROR(_xlfn.XLOOKUP(BC118,Коды_код,Коды_апп)&amp;"",""))</f>
        <v/>
      </c>
      <c r="DD118" t="str">
        <f t="shared" si="170"/>
        <v/>
      </c>
      <c r="DE118" t="str" cm="1">
        <f t="array" ref="DE118">IF(TRIM(DD118&amp;"")="","",IFERROR(TRIM(INDEX(_xlfn.TEXTSPLIT(DD118&amp;";;;",";"),1)),""))</f>
        <v/>
      </c>
      <c r="DF118" t="str" cm="1">
        <f t="array" ref="DF118">IF(TRIM(DD118&amp;"")="","",IFERROR(TRIM(INDEX(_xlfn.TEXTSPLIT(DD118&amp;";;;",";"),2)),""))</f>
        <v/>
      </c>
      <c r="DG118" t="str" cm="1">
        <f t="array" ref="DG118">IF(TRIM(DD118&amp;"")="","",IFERROR(TRIM(INDEX(_xlfn.TEXTSPLIT(DD118&amp;";;;",";"),3)),""))</f>
        <v/>
      </c>
      <c r="DH118">
        <f t="shared" si="171"/>
        <v>0</v>
      </c>
      <c r="DI118" t="str">
        <f>IF(B118="","",_xlfn.LET(_xlpm.t,LOWER(AZ118&amp;""),IF(ISNUMBER(SEARCH("dim",_xlpm.t)),"DIM",IF(ISNUMBER(SEARCH("dali",_xlpm.t)),"DALI",IF(OR(ISNUMBER(SEARCH("relay",_xlpm.t)),ISNUMBER(SEARCH("реле",_xlpm.t))),"Relay",IF(ISNUMBER(SEARCH("кнопк",_xlpm.t)),"",IFERROR(_xlfn.XLOOKUP(BC118,Коды_код,Коды_упр)&amp;"","")))))))</f>
        <v/>
      </c>
      <c r="DJ118" t="str">
        <f t="shared" si="172"/>
        <v/>
      </c>
      <c r="DK118">
        <f>IF(B118="","",_xlfn.LET(_xlpm.ig,IF(N(CX118)&gt;0,N(CX118),N(CI118)+IF(AJ118="вручную",0,N(CJ118))),_xlpm.n0,IFERROR(VLOOKUP(_xlpm.ig,Автомат_номиналы,2,TRUE),0),_xlpm.mn,MAX(DB118,IF(AJ118="вручную",0,N(CM118))),MAX(_xlpm.n0,_xlpm.mn,IF(DH118=1,Мин_автомат_БП,0))))</f>
        <v>6</v>
      </c>
      <c r="DL118">
        <f t="shared" si="173"/>
        <v>1</v>
      </c>
      <c r="DM118" t="str">
        <f t="shared" si="174"/>
        <v>1P</v>
      </c>
      <c r="DN118" t="str">
        <f>_xlfn.LET(_xlpm.cc,UPPER(TRIM(IFERROR(_xlfn.XLOOKUP(BC118,Коды_код,Коды_хар)&amp;"",""))),IF(OR(_xlpm.cc="B",_xlpm.cc="В"),"B",IF(_xlpm.cc="D","D","С")))</f>
        <v>С</v>
      </c>
      <c r="DO118" t="str">
        <f t="shared" si="175"/>
        <v>1P С6А</v>
      </c>
      <c r="DP118">
        <f t="shared" si="176"/>
        <v>10</v>
      </c>
      <c r="DQ118" t="str">
        <f t="shared" si="177"/>
        <v>1P С10А</v>
      </c>
      <c r="DR118" cm="1">
        <f t="array" ref="DR118">IF(DQ118="","",_xlfn.LET(_xlpm.t,SUBSTITUTE(SUBSTITUTE(SUBSTITUTE(UPPER(DQ118),"С","C"),"А","A"),"В","B"),_xlpm.tk,_xlfn.TEXTSPLIT(_xlpm.t," "),_xlpm.f,_xlfn._xlws.FILTER(_xlpm.tk,ISNUMBER(--MID(_xlpm.tk,2,1))*ISNUMBER(SEARCH(LEFT(_xlpm.tk,1)&amp;"#","B#C#D#"))*(LEN(_xlpm.tk)&gt;1),""),_xlpm.x,INDEX(_xlpm.f,1),IFERROR(--SUBSTITUTE(MID(_xlpm.x,2,9),"A",""),IFERROR(--SUBSTITUTE(INDEX(_xlfn._xlws.FILTER(_xlpm.tk,ISNUMBER(--SUBSTITUTE(_xlpm.tk,"A","")),""),1),"A",""),""))))</f>
        <v>10</v>
      </c>
      <c r="DS118" t="str">
        <f t="shared" si="178"/>
        <v>ok</v>
      </c>
      <c r="DT118">
        <f t="shared" si="179"/>
        <v>10</v>
      </c>
      <c r="DU118" t="str">
        <f t="shared" si="180"/>
        <v>1P С10А</v>
      </c>
      <c r="DV118">
        <f t="shared" si="181"/>
        <v>0</v>
      </c>
      <c r="DW118">
        <f t="shared" si="182"/>
        <v>0</v>
      </c>
      <c r="DX118">
        <f t="shared" si="183"/>
        <v>0</v>
      </c>
      <c r="DY118">
        <f t="shared" si="184"/>
        <v>0.56291651245988494</v>
      </c>
      <c r="DZ118">
        <f t="shared" si="185"/>
        <v>1</v>
      </c>
      <c r="EA118">
        <f>IF(ISNUMBER(AP118),AP118,К_прокл)</f>
        <v>1</v>
      </c>
      <c r="EB118">
        <f t="shared" si="186"/>
        <v>2</v>
      </c>
      <c r="EC118">
        <f>IFERROR(N(VLOOKUP(BZ118,Кабель_обозначение,3,FALSE)),1)</f>
        <v>1</v>
      </c>
      <c r="ED118">
        <f>IFERROR(N(_xlfn.XLOOKUP(A118,Щиты[Щит],Щиты[ΔU до шин, %])),0)</f>
        <v>0.24000000000000002</v>
      </c>
      <c r="EE118" t="str">
        <f>IFERROR(_xlfn.XLOOKUP(A118,Щиты[Щит],Щиты[Zпетли на шинах, Ом]),"")</f>
        <v/>
      </c>
      <c r="EF118">
        <f>IFERROR(N(_xlfn.XLOOKUP(A118,Щиты[Щит],Щиты[ΔU до шин (подбор), %])),0)</f>
        <v>0.36</v>
      </c>
      <c r="EG118" t="str">
        <f>IFERROR(_xlfn.XLOOKUP(A118,Щиты[Щит],Щиты[Zпетли на шинах (подбор), Ом]),"")</f>
        <v/>
      </c>
      <c r="EH118" t="str">
        <f t="shared" si="187"/>
        <v/>
      </c>
      <c r="EI118">
        <f t="shared" si="188"/>
        <v>53</v>
      </c>
      <c r="EJ118">
        <f t="shared" si="189"/>
        <v>2</v>
      </c>
      <c r="EK118">
        <f t="shared" si="190"/>
        <v>0.6</v>
      </c>
      <c r="EL118" s="6">
        <f>IF(B118="","",IF(BV118=1,dU_LED,IF(IFERROR(_xlfn.XLOOKUP(BC118,Коды_код,Коды_уго),"")="Светильник",3,4)+IF(Методика="нормы 2026",MIN(0.5,MAX(0,N(P118)-100)*0.005),0)))</f>
        <v>4</v>
      </c>
      <c r="EM118" cm="1">
        <f t="array" ref="EM118">IF(OR(B118="",BZ118="",EC118&lt;&gt;1),"",_xlfn.LET(_xlpm.sz,Iдоп_S,_xlpm.t_,CHOOSE(EB118,Iдоп_1ж,Iдоп_2ж,Iдоп_3ж)*DZ118*EA118,_xlpm.dcx,BV118=1,_xlpm.inn,IF(_xlpm.dcx,N(O118),N(DT118)),_xlpm.smin,MAX(1.5,CC118),_xlpm.L_,N(P118)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118)/N(BU118)*100,999),IFERROR(N(EJ118)*(_xlpm.rho*_xlpm.L_/_xlpm.sz*N(CE118)+_xlpm.xx*_xlpm.L_*N(EK118)/1000)*N(O118)/((Uн_лин/SQRT(3))*1000)*100,999)),_xlpm.kz,IF(OR(_xlpm.dcx,DW118=1,NOT(ISNUMBER(EG118)),_xlpm.L_=0,_xlpm.inn=0),1,IFERROR(--(c_min*(Uн_лин*1000/SQRT(3))/(EG118+2*ρкз_Cu*_xlpm.L_/_xlpm.sz)&gt;=HT118*_xlpm.inn),0)),_xlpm.ok,IFERROR((_xlpm.sz&gt;=_xlpm.smin)*(_xlpm.t_&gt;=_xlpm.inn)*IF(_xlpm.L_&gt;0,(_xlpm.du_+IF(_xlpm.dcx,0,EF118)&lt;=EL118+0.00001),1)*_xlpm.kz,0),_xlpm.r_,_xlfn._xlws.FILTER(_xlpm.sz,_xlpm.ok,"не подобрано"),INDEX(_xlpm.r_,1)))</f>
        <v>1.5</v>
      </c>
      <c r="EN118">
        <f t="shared" si="191"/>
        <v>1.5</v>
      </c>
      <c r="EO118" cm="1">
        <f t="array" ref="EO118">IF(OR(B118="",BZ118="",EC118&lt;&gt;1),"",_xlfn.LET(_xlpm.sz,Iдоп_S,_xlpm.t_,CHOOSE(EB118,Iдоп_1ж,Iдоп_2ж,Iдоп_3ж)*DZ118*EA118,_xlpm.ok,IFERROR((_xlpm.sz&gt;=MAX(1.5,CC118))*(_xlpm.t_&gt;=N(DT118)),0),_xlpm.r_,_xlfn._xlws.FILTER(_xlpm.sz,_xlpm.ok,""),INDEX(_xlpm.r_,1)))</f>
        <v>1.5</v>
      </c>
      <c r="EP118" s="6" cm="1">
        <f t="array" ref="EP118">IFERROR(ROUNDUP(N(EJ118)*(_xlfn.XLOOKUP(EO118,INDEX(Кабель_сопротивление,0,1),INDEX(Кабель_сопротивление,0,3))*N(P118)/EO118*N(CE118)+_xlfn.XLOOKUP(EO118,INDEX(Кабель_сопротивление,0,1),INDEX(Кабель_сопротивление,0,2))*N(P118)*N(EK118)/1000)*N(O118)/((Uн_лин/SQRT(3))*1000)*100,2),"")</f>
        <v>0.33</v>
      </c>
      <c r="EQ118">
        <f>IFERROR(2*ρкз_Cu*N(P118)/EO118,"")</f>
        <v>1.9286666666666668</v>
      </c>
      <c r="ER118">
        <f>IFERROR(VLOOKUP(EN118,Кабель_сопротивление,3,FALSE),"")</f>
        <v>2.2499999999999999E-2</v>
      </c>
      <c r="ES118">
        <f>IFERROR(VLOOKUP(EN118,Кабель_сопротивление,2,FALSE),"")</f>
        <v>0.11</v>
      </c>
      <c r="ET118">
        <f t="shared" si="192"/>
        <v>19</v>
      </c>
      <c r="EU118">
        <f t="shared" si="193"/>
        <v>0</v>
      </c>
      <c r="EV118">
        <f t="shared" si="194"/>
        <v>0.74713657032750702</v>
      </c>
      <c r="EW118" s="6">
        <f>IFERROR(ROUNDUP(EV118/IF(BV118=1,BU118,(Uн_лин/SQRT(3))*1000)*100,2),"")</f>
        <v>0.33</v>
      </c>
      <c r="EX118" t="str">
        <f>IFERROR(VLOOKUP(BZ118,Кабель_обозначение,2,FALSE),"")</f>
        <v>ВВГнг(А)-LS</v>
      </c>
      <c r="EY118" t="str">
        <f t="shared" si="195"/>
        <v>ВВГнг(А)-LS (3х1,5)</v>
      </c>
      <c r="EZ118" t="str">
        <f t="shared" si="196"/>
        <v>ВВГнг(А)-LS (3х1,5)
L=55-0,33%</v>
      </c>
      <c r="FA118">
        <f>IFERROR(2*ρкз_Cu*P118/EN118,"")</f>
        <v>1.9286666666666668</v>
      </c>
      <c r="FB118">
        <f t="shared" si="197"/>
        <v>0.64166666666666672</v>
      </c>
      <c r="FC118" s="6" t="str">
        <f>IFERROR(IF(OR(B118="",BV118=1,NOT(ISNUMBER(EN118)),N(P118)=0),"",_xlfn.XLOOKUP(A118,Щиты[Щит],Щиты[Zпетли на шинах, Ом])+FA118),"")</f>
        <v/>
      </c>
      <c r="FD118" s="6" t="str">
        <f>IF(ISNUMBER(FC118),c_min*(Uн_лин*1000/SQRT(3))/FC118,"")</f>
        <v/>
      </c>
      <c r="FE118" s="6" t="str">
        <f>IFERROR(IF(OR(B118="",NOT(ISNUMBER(EN118))),"",1.05*(Uн_лин*1000/SQRT(3))/(_xlfn.XLOOKUP(A118,Щиты[Щит],Щиты[Zmax на шинах, Ом])+FB118)/1000),"")</f>
        <v/>
      </c>
      <c r="FF118" s="6" t="str">
        <f>IF(B118="","",IF(ISNUMBER(AC118),"Сил",IF(IFERROR(_xlfn.XLOOKUP(BC118,Коды_код,Коды_группа)&amp;"","")="","Быт",_xlfn.XLOOKUP(BC118,Коды_код,Коды_группа)&amp;"")))</f>
        <v>Сил</v>
      </c>
      <c r="FG118" s="6" t="str">
        <f t="shared" si="198"/>
        <v>Сил</v>
      </c>
      <c r="FH118" s="6">
        <f>IF(FG118="Щит","щит",IF(FG118="","",IF(FG118="Быт",IFERROR(_xlfn.XLOOKUP(A118,Щиты[Щит],Щиты[Кс быт]),1),IF(FG118="Сил",IF(ISNUMBER(AC118),AC118,IF(Методика="нормы 2026",IFERROR(_xlfn.XLOOKUP(A118,Щиты[Щит],Щиты[Кс силовых (табл. 7.5)]),1),1)),IF(OR(FG118="Пост",FG118="Отоп"),1,IF(FG118="ВНГ",0.7,0))))))</f>
        <v>0.5</v>
      </c>
      <c r="FI118">
        <f>IF(FG118="","",IF(AND(BP118=1,TRIM(AE118&amp;"")=""),IF(COUNTIFS(Линии[Щит],A118,Линии[Секция (1/2/3)],"&gt;=2")&gt;0,MIN(3,MAX(1,IFERROR(--BD118,1))),1),IFERROR(MIN(3,MAX(1,INT(--AE118))),1)))</f>
        <v>1</v>
      </c>
      <c r="FJ118">
        <f t="shared" si="199"/>
        <v>0.104</v>
      </c>
      <c r="FK118">
        <f t="shared" si="200"/>
        <v>0</v>
      </c>
      <c r="FL118">
        <f t="shared" si="201"/>
        <v>5.1999999999999998E-2</v>
      </c>
      <c r="FM118">
        <f t="shared" si="202"/>
        <v>0</v>
      </c>
      <c r="FN118">
        <f t="shared" si="203"/>
        <v>0</v>
      </c>
      <c r="FO118">
        <f t="shared" si="204"/>
        <v>0</v>
      </c>
      <c r="FP118">
        <f t="shared" si="205"/>
        <v>0.104</v>
      </c>
      <c r="FQ118">
        <f t="shared" si="206"/>
        <v>0.104</v>
      </c>
      <c r="FR118">
        <f t="shared" si="207"/>
        <v>8.3199999999999996E-2</v>
      </c>
      <c r="FS118">
        <f>IF(CG118=1,IF(AND(CH118=1,CW118=1),0,IF(AND(CS118&lt;&gt;"",CS118=BA118,CW118=1),SUMIFS(Линии[_Р линии, кВт],Линии[_блок УЗО],BA118,Линии[Щит],A118),N(BS118)+IF(AJ118="вручную",0,N(CK118)))),0)</f>
        <v>0.104</v>
      </c>
      <c r="FT118" t="str">
        <f t="shared" si="208"/>
        <v/>
      </c>
      <c r="FU118" t="str">
        <f>IF(B118="","",IF(CG118=0,IF(BA118=1,"",FW117),IF(AND(CH118=1,CW118=1,CS118&lt;&gt;""),IFERROR(_xlfn.XLOOKUP(CS118,Линии[_n],Линии[_фаза итог]),"L1"),IF(OR(N(DL118)&gt;=3,N(BX118)&gt;=3),"L1,L2,L3",IFERROR(_xlfn.TEXTBEFORE(_xlfn.TEXTAFTER(_xlfn.XLOOKUP(A118,Щиты[Щит],Щиты[_фазы авто]),";"&amp;BA118&amp;":"),";"),"L1")))))</f>
        <v>L1</v>
      </c>
      <c r="FV118" t="str">
        <f t="shared" si="209"/>
        <v>L1</v>
      </c>
      <c r="FW118" t="str">
        <f t="shared" si="210"/>
        <v>L1</v>
      </c>
      <c r="FX118" cm="1">
        <f t="array" ref="FX118">IFERROR(IF(CD118=2,_xlfn.IFS(BX118=3,VLOOKUP(BS118,Справочная_двигатели,3,FALSE),BX118=1,VLOOKUP(BS118,Справочная_двигатели,5,TRUE)),0),0)</f>
        <v>0</v>
      </c>
      <c r="FY118">
        <f>IFERROR(IF(CD118=3,VLOOKUP(BS118,Справочная_ЛЭД,2,TRUE),0),0)</f>
        <v>0</v>
      </c>
      <c r="FZ118" s="6">
        <f t="shared" si="211"/>
        <v>0</v>
      </c>
      <c r="GA118" t="str">
        <f>IF(B118="","",IF(TRIM(AH118&amp;"")&lt;&gt;"",IF(LOWER(TRIM(AH118&amp;""))="да","да","нет"),IF(IFERROR(_xlfn.XLOOKUP(BC118,Коды_код,Коды_пожарная),"")="да","да","нет")))</f>
        <v>нет</v>
      </c>
      <c r="GB118" t="str">
        <f t="shared" si="212"/>
        <v/>
      </c>
      <c r="GC118" t="str">
        <f t="shared" si="213"/>
        <v>основная</v>
      </c>
      <c r="GD118">
        <f>IF(AND(BP118=1,TRIM(AE118&amp;"")=""),IF(COUNTIFS(Линии[Щит],A118,Линии[Секция (1/2/3)],"&gt;=2")&gt;0,MIN(3,MAX(1,IFERROR(--BD118,1))),1),IFERROR(MIN(3,MAX(1,INT(--AE118))),1))</f>
        <v>1</v>
      </c>
      <c r="GE118" t="str" cm="1">
        <f t="array" ref="GE118">IF(B118="","",_xlfn.LET(_xlpm.t,IFERROR(_xlfn.XLOOKUP(1,(Шины[Шина]=GC118)*(((Шины[Щит]=A118)+(Шины[Щит]=""))&gt;0),Шины[Тип]),"")&amp;"",IF(_xlpm.t&lt;&gt;"",_xlpm.t,IF(ISNUMBER(SEARCH("ИБП",GC118)),"ИБП",IF(ISNUMBER(SEARCH("ДГУ",GC118)),"ДГУ","Ввод "&amp;GD118)))))</f>
        <v>Ввод 1</v>
      </c>
      <c r="GF118" t="str">
        <f t="shared" si="214"/>
        <v>Ввод 1</v>
      </c>
      <c r="GG118" t="str">
        <f>IF(BP118=0,"",IF(TRIM(AG118&amp;"")&lt;&gt;"",TRIM(AG118&amp;""),IF(OR(GE118="ИБП",GE118="ДГУ"),"I особая",_xlfn.XLOOKUP(A118,Щиты[Щит],Щиты[Категория шины «Ввод»],"III"))))</f>
        <v/>
      </c>
      <c r="GH118" t="str">
        <f>IF(A118="","",_xlfn.XLOOKUP(A118,Щиты[Щит],Щиты[Путь],""))</f>
        <v>|ГРЩ-ЖД|ЩОВ-01|</v>
      </c>
      <c r="GI118" t="str">
        <f>IF(B118="","",IF(AI118&lt;&gt;"",AI118,IF(IFERROR(_xlfn.XLOOKUP(BC118,Коды_код,Коды_вид)&amp;"","")="","Прочее",_xlfn.XLOOKUP(BC118,Коды_код,Коды_вид)&amp;"")))</f>
        <v>Кондиционирование и увлажнение</v>
      </c>
      <c r="GJ118">
        <f>IF(BM118="","",INT((BM118-1)/Столбцов_на_лист)+1)</f>
        <v>2</v>
      </c>
      <c r="GK118" t="str">
        <f t="shared" si="215"/>
        <v>ВВГнг(А)-LS (3х1,5) L=55-0,33%</v>
      </c>
      <c r="GL118">
        <f t="shared" si="216"/>
        <v>0.104</v>
      </c>
      <c r="GM118">
        <f t="shared" si="217"/>
        <v>0.57000000000000006</v>
      </c>
      <c r="GN118">
        <f t="shared" si="218"/>
        <v>1</v>
      </c>
      <c r="GO118">
        <f t="shared" si="219"/>
        <v>0</v>
      </c>
      <c r="GP118">
        <f t="shared" si="220"/>
        <v>1</v>
      </c>
      <c r="GQ118">
        <f>IF(BM118="","",IF(AND(CG118=1,GP118=1),COUNTIFS(A$3:A118,A118,CG$3:CG118,1,GP$3:GP118,1),IF(OR(OR(BA118=1,A118&lt;&gt;A117),AJ118="вручную",GP118=0),"",IF(BA118=1,"",GR117))))</f>
        <v>16</v>
      </c>
      <c r="GR118">
        <f t="shared" si="221"/>
        <v>16</v>
      </c>
      <c r="GS118">
        <f>IF(B118="","",IFERROR(LOOKUP(INDEX(CHOOSE(EB118,Iдоп_1ж,Iдоп_2ж,Iдоп_3ж),MATCH(EN118,Iдоп_S,0))*DZ118*EA118,{6,10,16,20,25,32,40,50,63,80,100,125,160,200,250,315,400,500,630}),""))</f>
        <v>16</v>
      </c>
      <c r="GT118" t="str">
        <f t="shared" si="222"/>
        <v>QF16</v>
      </c>
      <c r="GU118" t="str">
        <f t="shared" si="223"/>
        <v>QF16</v>
      </c>
      <c r="GV118" t="str">
        <f t="shared" si="224"/>
        <v/>
      </c>
      <c r="GW118">
        <f t="shared" si="225"/>
        <v>0</v>
      </c>
      <c r="GX118" t="str">
        <f>IF(OR(B118="",DJ118=""),"",IFERROR(_xlfn.XLOOKUP(DJ118,Модули_умолч[Управление],Модули_умолч[Модель])&amp;"",""))</f>
        <v/>
      </c>
      <c r="GY118">
        <f>IF(DJ118="",1,IFERROR(MAX(0,N(_xlfn.XLOOKUP(DJ118,Модули_умолч[Управление],Модули_умолч[Каналов на линию]))),1))</f>
        <v>1</v>
      </c>
      <c r="GZ118" t="str">
        <f t="shared" si="226"/>
        <v/>
      </c>
      <c r="HA118" t="str">
        <f t="shared" si="227"/>
        <v/>
      </c>
      <c r="HB118" t="str">
        <f t="shared" si="228"/>
        <v/>
      </c>
      <c r="HC118">
        <f>IF(HB118="",0,IFERROR(N(VLOOKUP(HB118,Модули_спр,3,FALSE)),0))</f>
        <v>0</v>
      </c>
      <c r="HD118" t="str">
        <f t="shared" si="229"/>
        <v/>
      </c>
      <c r="HE118" t="str">
        <f t="shared" si="230"/>
        <v/>
      </c>
      <c r="HF118" t="str">
        <f>IF(OR(HE118="",HE118="-"),"",IFERROR(VLOOKUP(HE118,Модули_спр,2,FALSE),"R"))</f>
        <v/>
      </c>
      <c r="HG118" t="str">
        <f>IF(HF118="","",HF118&amp;"."&amp;COUNTIFS(A$3:A118,A118,HF$3:HF118,HF118))</f>
        <v/>
      </c>
      <c r="HH118" t="str">
        <f t="shared" si="231"/>
        <v/>
      </c>
      <c r="HI118" t="str">
        <f t="shared" si="232"/>
        <v/>
      </c>
      <c r="HJ118" t="str">
        <f t="shared" si="233"/>
        <v/>
      </c>
      <c r="HK118" t="str">
        <f t="shared" si="234"/>
        <v/>
      </c>
      <c r="HL118">
        <f t="shared" si="235"/>
        <v>1</v>
      </c>
      <c r="HM118" t="str">
        <f>IF(HL118=1,"XT"&amp;COUNTIFS(A$3:A118,A118,HL$3:HL118,1),"")</f>
        <v>XT16</v>
      </c>
      <c r="HN118" t="str">
        <f t="shared" si="236"/>
        <v/>
      </c>
      <c r="HO118" t="str">
        <f t="shared" si="237"/>
        <v>QF16</v>
      </c>
      <c r="HP118" t="str">
        <f t="shared" si="238"/>
        <v/>
      </c>
      <c r="HQ118" t="str">
        <f t="shared" si="239"/>
        <v>ok</v>
      </c>
      <c r="HR118" t="str">
        <f>IF(OR(HJ118="",HH118=""),"",IF(HJ118+MAX(0,GY118-1)&gt;IFERROR(VLOOKUP(HI118,Модули_спр,3,FALSE),99),"ЛИШНИЙ КАНАЛ",IF(AND(AL118&lt;&gt;"=",GY118&gt;0,COUNTIFS(Линии[_модуль гр.],HH118,Линии[Канал (итог)],HJ118,Линии[Канал],"&lt;&gt;=",Линии[Щит],A118)&gt;1),"ДУБЛЬ КАНАЛА","")))</f>
        <v/>
      </c>
      <c r="HS118" s="6" t="str">
        <f t="shared" si="240"/>
        <v/>
      </c>
      <c r="HT118">
        <f t="shared" si="241"/>
        <v>10</v>
      </c>
      <c r="HU118" t="str">
        <f t="shared" si="242"/>
        <v/>
      </c>
      <c r="HV118">
        <f t="shared" si="243"/>
        <v>0.77516660498395407</v>
      </c>
      <c r="HW118">
        <f t="shared" si="244"/>
        <v>0</v>
      </c>
      <c r="HX118">
        <f t="shared" si="245"/>
        <v>0</v>
      </c>
      <c r="HY118">
        <f t="shared" si="246"/>
        <v>0</v>
      </c>
      <c r="HZ118">
        <f t="shared" si="247"/>
        <v>0</v>
      </c>
      <c r="IA118">
        <f t="shared" si="248"/>
        <v>0</v>
      </c>
      <c r="IB118">
        <f t="shared" si="249"/>
        <v>0</v>
      </c>
      <c r="IC118" t="str">
        <f t="shared" si="250"/>
        <v/>
      </c>
      <c r="ID118" t="str" cm="1">
        <f t="array" ref="ID118">IF(IC118="","",_xlfn.LET(_xlpm.tk,_xlfn.TEXTSPLIT(SUBSTITUTE(SUBSTITUTE(IC118,";"," "),"→"," ")," ",,TRUE),_xlpm.w_,_xlfn._xlws.FILTER(_xlpm.tk,ISNUMBER(--LEFT(_xlpm.tk,1))*((ISNUMBER(SEARCH("W",_xlpm.tk))+ISNUMBER(SEARCH("Вт",_xlpm.tk)))&gt;0),""),IFERROR(--SUBSTITUTE(SUBSTITUTE(UPPER(INDEX(_xlpm.w_,1)),"W",""),"ВТ",""),"")))</f>
        <v/>
      </c>
      <c r="IE118" t="str" cm="1">
        <f t="array" ref="IE118">IF(IC118="","",_xlfn.LET(_xlpm.tk,_xlfn.TEXTSPLIT(SUBSTITUTE(SUBSTITUTE(IC118,";"," "),"→"," ")," ",,TRUE),_xlpm.v_,_xlfn._xlws.FILTER(_xlpm.tk,ISNUMBER(--LEFT(_xlpm.tk,1))*((ISNUMBER(SEARCH("V",_xlpm.tk))+(RIGHT(UPPER(_xlpm.tk))="В"))&gt;0),""),IFERROR(--SUBSTITUTE(SUBSTITUTE(UPPER(INDEX(_xlpm.v_,1)),"V",""),"В",""),"")))</f>
        <v/>
      </c>
      <c r="IF118" s="6" t="str">
        <f>IF(OR(BV118=0,HI118="",HJ118=""),"",IFERROR(N(_xlfn.XLOOKUP(HI118,Каталог!$C$4:$C$500,Каталог!$Q$4:$Q$500)),""))</f>
        <v/>
      </c>
      <c r="IG118" s="6" t="str">
        <f>IF(N(IF118)=0,"",SUMIFS(Линии[Iр, А],Линии[Щит],A118,Линии[_модуль гр.],HH118,Линии[Канал (итог)],HJ118))</f>
        <v/>
      </c>
      <c r="IH118" t="str">
        <f>IF(AND(B118="",HO118=""),"",_xlfn.TEXTJOIN("; ",TRUE,IF(AND(B118&lt;&gt;"",FV118=""),"нет фазы",""),IF(AND(B118&lt;&gt;"",N(GL118)=0,FG118&lt;&gt;"Нет"),"нет мощности",""),IF(AND(HN118&lt;&gt;"",COUNTIFS(Линии[Щит],A118,Линии[Клемма (итог)],HN118)&gt;1),"дубль клеммы "&amp;HN118,""),IF(AND(HQ118&lt;&gt;"",HQ118&lt;&gt;"ok"),HQ118,""),IF(HR118&lt;&gt;"",HR118,""),IF(AND(N(CB118)&gt;=4,N(BX118)=1),CB118&amp;" жил на 1 фазе",""),IF(AND(BC118="R",CG118=1,IF(CS118&lt;&gt;"",N(CV118)&gt;30,OR(N(DA118)=0,N(DA118)&gt;30))),"розетка без дифзащиты до 30 мА",""),IF(AND(CG118=1,N(DA118)&gt;0,ISNUMBER(T118)),IF(T118&gt;N(DA118)/3,"ток утечки "&amp;FIXED(T118,1)&amp;" мА &gt; 1/3 уставки ("&amp;DA118&amp;" мА)",""),""),IF(AND(CH118=1,CS118=""),"«узо»: нет строки с УЗО выше (УЗО 2P 40А 30мА в «Аппаратах»)",""),IF(AND(CS118&lt;&gt;"",CS118=BA118),IF(CT118="","впишите номинал УЗО (УЗО 2P 40А 30мА)",IF(N(CT118)&lt;N(DT118),"УЗО "&amp;CT118&amp;" А &lt; автомата "&amp;DT118&amp;" А перед ним",IF(N(CT118)&lt;N(CX118),"УЗО "&amp;CT118&amp;" А &lt; тока блока "&amp;FIXED(CX118,1)&amp;" А",""))),""),IF(AND(CS118&lt;&gt;"",CS118=BA118,ISNUMBER(CY118)),IF(CY118&gt;N(CV118)/3,"ток утечки блока УЗО "&amp;FIXED(CY118,1)&amp;" мА &gt; 1/3 уставки ("&amp;CV118&amp;" мА)",""),""),IF(AND(CG118=1,N(BV118)+N(IB118)&gt;0,IC118=""),"линии до 50 В без БП: впишите в «Аппараты» (БП 24V 480W)",""),IF(AND(CG118=1,ISNUMBER(ID118),ISNUMBER(U118)),IF(U118&gt;ID118,"БП "&amp;ID118&amp;" Вт &lt; нужно "&amp;U118&amp;" Вт (×"&amp;Запас_БП&amp;")",""),""),IF(AND(CG118=1,ISNUMBER(IE118),N(BV118)=1),IF(IE118&lt;&gt;N(BU118),"БП на "&amp;IE118&amp;" В, линия "&amp;BU118&amp;" В",""),""),IF(AND(N(IF118)&gt;0,N(IG118)&gt;N(IF118)),HH118&amp;" канал "&amp;HJ118&amp;": "&amp;FIXED(IG118,1)&amp;" А &gt; "&amp;IF118&amp;" А",""),IFERROR(IF(AND(ISNUMBER(Q118),Q118&gt;EL118),"потери "&amp;FIXED(Q118,1)&amp;" % &gt; "&amp;EL118&amp;" %",""),""),IFERROR(IF(LEFT(HU118,4)="мало","Iкз мало — отключение &gt; 0,4 с",""),""),IF(AND(B118&lt;&gt;"",BM118=""),"не на схеме",""),IF(AND(CG118=0,B118&lt;&gt;"",FV118&lt;&gt;"",IF(BA118=1,"",FW117)&lt;&gt;"",FV118&lt;&gt;IF(BA118=1,"",FW117)),"фаза не как у автомата группы ("&amp;IF(BA118=1,"",FW117)&amp;")","")))</f>
        <v/>
      </c>
      <c r="II118" s="6">
        <f>IF(OR(CG118=0,DQ118=""),"",_xlfn.LET(_xlpm.t,IFERROR(_xlfn.XLOOKUP(DQ118,Каталог!$U$4:$U$500,Каталог!$G$4:$G$500),""),_xlpm.k,SEARCH("кА",_xlpm.t),IFERROR(--TRIM(RIGHT(SUBSTITUTE(MID(_xlpm.t,MAX(1,_xlpm.k-4),_xlpm.k-MAX(1,_xlpm.k-4))," ",REPT(" ",9)),5)),"")))</f>
        <v>6</v>
      </c>
      <c r="IJ118" t="str">
        <f>IF(OR(II118="",CG118=0),"",IF(_xlfn.XLOOKUP(A118,Щиты[Щит],Щиты[Iкз max на шинах, кА],"")="","",IF(II118&lt;_xlfn.XLOOKUP(A118,Щиты[Щит],Щиты[Iкз max на шинах, кА]),"Icu "&amp;II118&amp;" кА &lt; Iкз max","ok")))</f>
        <v/>
      </c>
      <c r="IK118" t="str">
        <f t="shared" si="251"/>
        <v/>
      </c>
      <c r="IL118" t="str">
        <f t="shared" si="252"/>
        <v>QF16</v>
      </c>
      <c r="IM118" t="str">
        <f t="shared" si="253"/>
        <v>QF16|кабель ВВГнг(А)-LS (3х1,5) → Внутренний блок кондиционирования цокольный этаж Пом. №014Б</v>
      </c>
      <c r="IN118" t="str" cm="1">
        <f t="array" ref="IN118">IF(IM118="","",_xlfn.LET(_xlpm.nd,_xlfn.TEXTSPLIT(IM118,"|"),IF(COLUMNS(_xlpm.nd)&gt;1,A118&amp;"¦"&amp;INDEX(_xlpm.nd,1)&amp;"¦"&amp;INDEX(_xlpm.nd,2),"")))</f>
        <v>ЩОВ-01¦QF16¦кабель ВВГнг(А)-LS (3х1,5) → Внутренний блок кондиционирования цокольный этаж Пом. №014Б</v>
      </c>
      <c r="IO118" t="str">
        <f t="shared" si="254"/>
        <v>K.0.008A¦Внутренний блок кондиционирования цокольный этаж Пом. №014Б</v>
      </c>
      <c r="IP118" t="str" cm="1">
        <f t="array" ref="IP118">IF(IM118="","",_xlfn.LET(_xlpm.nd,_xlfn.TEXTSPLIT(IM118,"|"),IF(COLUMNS(_xlpm.nd)&gt;2,A118&amp;"¦"&amp;INDEX(_xlpm.nd,2)&amp;"¦"&amp;INDEX(_xlpm.nd,3),"")))</f>
        <v/>
      </c>
      <c r="IQ118" t="str">
        <f t="shared" si="255"/>
        <v/>
      </c>
      <c r="IR118" t="str" cm="1">
        <f t="array" ref="IR118">IF(IM118="","",_xlfn.LET(_xlpm.nd,_xlfn.TEXTSPLIT(IM118,"|"),IF(COLUMNS(_xlpm.nd)&gt;3,A118&amp;"¦"&amp;INDEX(_xlpm.nd,3)&amp;"¦"&amp;INDEX(_xlpm.nd,4),"")))</f>
        <v/>
      </c>
      <c r="IS118" t="str">
        <f t="shared" si="256"/>
        <v/>
      </c>
      <c r="IT118" t="str" cm="1">
        <f t="array" ref="IT118">IF(IM118="","",_xlfn.LET(_xlpm.nd,_xlfn.TEXTSPLIT(IM118,"|"),IF(COLUMNS(_xlpm.nd)&gt;4,A118&amp;"¦"&amp;INDEX(_xlpm.nd,4)&amp;"¦"&amp;INDEX(_xlpm.nd,5),"")))</f>
        <v/>
      </c>
      <c r="IU118" t="str">
        <f t="shared" si="257"/>
        <v/>
      </c>
      <c r="IV118" t="str" cm="1">
        <f t="array" ref="IV118">IF(IM118="","",_xlfn.LET(_xlpm.nd,_xlfn.TEXTSPLIT(IM118,"|"),IF(COLUMNS(_xlpm.nd)&gt;5,A118&amp;"¦"&amp;INDEX(_xlpm.nd,5)&amp;"¦"&amp;INDEX(_xlpm.nd,6),"")))</f>
        <v/>
      </c>
      <c r="IW118" t="str">
        <f t="shared" si="258"/>
        <v/>
      </c>
      <c r="IX118" t="str" cm="1">
        <f t="array" ref="IX118">IF(IM118="","",_xlfn.LET(_xlpm.nd,_xlfn.TEXTSPLIT(IM118,"|"),IF(COLUMNS(_xlpm.nd)&gt;6,A118&amp;"¦"&amp;INDEX(_xlpm.nd,6)&amp;"¦"&amp;INDEX(_xlpm.nd,7),"")))</f>
        <v/>
      </c>
      <c r="IY118" t="str">
        <f t="shared" si="259"/>
        <v/>
      </c>
      <c r="IZ118" t="str">
        <f t="shared" si="260"/>
        <v/>
      </c>
      <c r="JA118" t="str">
        <f t="shared" si="261"/>
        <v>QF16</v>
      </c>
      <c r="JB118">
        <f t="shared" si="262"/>
        <v>0</v>
      </c>
      <c r="JC118">
        <f t="shared" si="263"/>
        <v>0</v>
      </c>
      <c r="JD118" t="str">
        <f t="shared" si="264"/>
        <v/>
      </c>
      <c r="JE118" t="str">
        <f t="shared" si="265"/>
        <v/>
      </c>
      <c r="JF118" t="str">
        <f t="shared" si="266"/>
        <v/>
      </c>
      <c r="JG118" t="str">
        <f t="shared" si="267"/>
        <v/>
      </c>
      <c r="JH118">
        <f>IF(B118="","",IFERROR(_xlfn.XLOOKUP(B118,Коды_код,Коды_уго),IFERROR(_xlfn.XLOOKUP(BC118,Коды_код,Коды_уго),IFERROR(_xlfn.XLOOKUP(LEFT(BC118,2),Коды_код,Коды_уго),""))))</f>
        <v>0</v>
      </c>
      <c r="JI118" t="str">
        <f>IF(B118="","",IF(OR(JH118="",JH118=0),"BOX",IFERROR(IF(VLOOKUP(JH118,УГО_блоки,3,FALSE)&amp;""&lt;&gt;"",VLOOKUP(JH118,УГО_блоки,3,FALSE),VLOOKUP(JH118,УГО_блоки,2,FALSE)),JH118)))</f>
        <v>BOX</v>
      </c>
      <c r="JJ118">
        <f t="shared" si="268"/>
        <v>1</v>
      </c>
      <c r="JK118" t="str">
        <f>IF(DQ118="","",IF(COUNTIF(DQ$3:DQ118,DQ118)=1,MAX(JK$2:JK117)+1,""))</f>
        <v/>
      </c>
      <c r="JL118" t="str">
        <f>IF(DE118="","",IF(COUNTIF(DE$3:DE118,DE118)+COUNTIF(DF$2:DF117,DE118)+COUNTIF(DG$2:DG117,DE118)=1,MAX(JL$2:JN117)+1,""))</f>
        <v/>
      </c>
      <c r="JM118" t="str">
        <f>IF(DF118="","",IF(COUNTIF(DE$3:DE118,DF118)+COUNTIF(DF$3:DF118,DF118)+COUNTIF(DG$2:DG117,DF118)=1,MAX(JL$2:JN117,JL118)+1,""))</f>
        <v/>
      </c>
      <c r="JN118" t="str">
        <f>IF(DG118="","",IF(COUNTIF(DE$3:DE118,DG118)+COUNTIF(DF$3:DF118,DG118)+COUNTIF(DG$3:DG118,DG118)=1,MAX(JL$2:JN117,JL118,JM118)+1,""))</f>
        <v/>
      </c>
      <c r="JO118" t="str">
        <f t="shared" si="269"/>
        <v>3х1,5</v>
      </c>
      <c r="JP118" t="str">
        <f>IF(JO118="","",IF(COUNTIF(JO$3:JO118,JO118)=1,MAX(JP$2:JP117)+1,""))</f>
        <v/>
      </c>
      <c r="JQ118" t="str">
        <f>IF(HG118="","",COUNTIF(HG$3:HG118,"?*"))</f>
        <v/>
      </c>
      <c r="JR118" t="str">
        <f>IF(OR(HG118="",HI118=""),"",IF(COUNTIFS(HG$3:HG118,"?*",HI$3:HI118,HI118)=1,MAX(JR$2:JR117)+1,""))</f>
        <v/>
      </c>
      <c r="JS118">
        <f t="shared" si="270"/>
        <v>0</v>
      </c>
      <c r="JT118">
        <f>IF(B118="","",COUNTIF(B$3:B118,"?*"))</f>
        <v>116</v>
      </c>
      <c r="JU118">
        <f>IF(HL118&lt;&gt;1,0,_xlfn.LET(_xlpm.k,MAX(IFERROR(--_xlfn.XLOOKUP(B118,Коды_код,Коды_3L),0),IFERROR(--_xlfn.XLOOKUP(BC118,Коды_код,Коды_3L),0),IFERROR(--_xlfn.XLOOKUP(LEFT(BC118,2),Коды_код,Коды_3L),0)),IF(_xlpm.k&gt;0,_xlpm.k,IF(IFERROR(--LEFT(SUBSTITUTE(JO118,"x","х"),FIND("х",SUBSTITUTE(JO118,"x","х"))-1),3)&gt;3,Каталог!$S$9,1))))</f>
        <v>1</v>
      </c>
      <c r="JV118">
        <f t="shared" si="271"/>
        <v>0</v>
      </c>
      <c r="JW118" t="str">
        <f t="shared" si="272"/>
        <v>авто</v>
      </c>
      <c r="JX118" t="str">
        <f t="shared" si="273"/>
        <v/>
      </c>
      <c r="JY118">
        <f t="shared" si="274"/>
        <v>0</v>
      </c>
      <c r="JZ118">
        <f t="shared" si="275"/>
        <v>1</v>
      </c>
    </row>
    <row r="119" spans="1:286" x14ac:dyDescent="0.3">
      <c r="A119" t="s">
        <v>745</v>
      </c>
      <c r="B119" t="s">
        <v>1429</v>
      </c>
      <c r="C119" t="s">
        <v>1679</v>
      </c>
      <c r="D119">
        <v>1</v>
      </c>
      <c r="E119">
        <v>0.111</v>
      </c>
      <c r="G119">
        <v>10</v>
      </c>
      <c r="H119" t="str">
        <f>Линии[[#This Row],[_авто управление]]</f>
        <v/>
      </c>
      <c r="I119" t="str">
        <f>Линии[[#This Row],[_авто аппараты]]</f>
        <v/>
      </c>
      <c r="J119">
        <v>1.5</v>
      </c>
      <c r="K119">
        <v>36</v>
      </c>
      <c r="L119" t="str">
        <f>Линии[[#This Row],[_авто фаза]]</f>
        <v>L2</v>
      </c>
      <c r="M119" t="s">
        <v>484</v>
      </c>
      <c r="N119" t="str">
        <f t="shared" si="138"/>
        <v/>
      </c>
      <c r="O119" s="6" cm="1">
        <f t="array" ref="O119">IF(B119="","",IF(BH119&lt;&gt;"",IFERROR(_xlfn.XLOOKUP(BH119,Щиты[Щит],Щиты[Iр, А]),""),IF(BP119=1,IF(OR(N(_xlfn.XLOOKUP(A119,Щиты[Щит],Щиты[Вводов],1))&lt;=1,LOWER(TRIM(_xlfn.XLOOKUP(A119,Щиты[Щит],Щиты[АВР],"")&amp;""))="да"),IFERROR(_xlfn.XLOOKUP(A119,Щиты[Щит],Щиты[Iр, А]),""),IFERROR(N(BS119)*_xlfn.XLOOKUP(A119,Щиты[Щит],Щиты[Кс итог])/(SQRT(3)*Uн_лин*_xlfn.XLOOKUP(A119,Щиты[Щит],Щиты[cos φ])),"")),IF(BV119=1,IFERROR(BS119*1000/BU119,""),IFERROR(_xlfn.IFS(BX119=1,BS119/((Uн_лин/SQRT(3))*CE119),BX119=3,BS119/(SQRT(3)*Uн_лин*CE119)),"")))))</f>
        <v>0.60080512387545415</v>
      </c>
      <c r="P119" s="7">
        <f>IF(B119="","",IFERROR(IF(VLOOKUP(BC119,Потребители_обозначение,4,FALSE)=1,VLOOKUP(BC119,Потребители_обозначение,3,FALSE)*(MAX(1,N(D119))*2-1)+EI119+VLOOKUP(BE119,Этаж_обозначение,3,FALSE)+VLOOKUP(BE119,Этаж_обозначение,4,FALSE),VLOOKUP(BC119,Потребители_обозначение,3,FALSE)*(MAX(1,N(D119))*2-1)+EI119),EI119))</f>
        <v>38</v>
      </c>
      <c r="Q119" s="6">
        <f t="shared" si="139"/>
        <v>0.48000000000000004</v>
      </c>
      <c r="R119" t="str">
        <f t="shared" si="140"/>
        <v>ВВГнг(А)-LS (3х1,5)</v>
      </c>
      <c r="S119" t="str">
        <f>IF(BM119="","",IF(BN119="вводной узел","узел ","")&amp;"л."&amp;(INT((BM119-1)/Столбцов_на_лист)+1)&amp;" / "&amp;(MOD(BM119-1,Столбцов_на_лист)+1))</f>
        <v>л.2 / 14</v>
      </c>
      <c r="T119" s="119">
        <f t="shared" si="141"/>
        <v>0.6</v>
      </c>
      <c r="U119" s="7" t="str">
        <f>IF(OR(CG119=0,N(BV119)+N(IB119)=0),"",ROUNDUP(Запас_БП*(N(HY119)+N(HZ119)),0))</f>
        <v/>
      </c>
      <c r="V119" s="119" t="str">
        <f t="shared" si="142"/>
        <v/>
      </c>
      <c r="W119" s="7" t="str">
        <f>IFERROR(IF(OR(B119="",BP119=1,BV119=1,NOT(ISNUMBER(EN119)),N(DT119)=0),"",MAX(0,ROUNDDOWN((c_min*(Uн_лин*1000/SQRT(3))/(HT119*N(DT119))-_xlfn.XLOOKUP(A119,Щиты[Щит],Щиты[Zпетли на шинах, Ом]))*EN119/(2*ρкз_Cu),0))),"")</f>
        <v/>
      </c>
      <c r="Y119" t="str">
        <f>Линии[[#This Row],[_авто утечка]]</f>
        <v/>
      </c>
      <c r="Z119">
        <v>1</v>
      </c>
      <c r="AA119">
        <v>230</v>
      </c>
      <c r="AB119" t="s">
        <v>598</v>
      </c>
      <c r="AC119">
        <v>0.5</v>
      </c>
      <c r="AG119" t="s">
        <v>810</v>
      </c>
      <c r="AI119" t="s">
        <v>576</v>
      </c>
      <c r="AK119" t="str">
        <f>Линии[[#This Row],[_авто модуль]]</f>
        <v/>
      </c>
      <c r="AM119">
        <v>31</v>
      </c>
      <c r="AN119" t="s">
        <v>11</v>
      </c>
      <c r="AO119">
        <v>3</v>
      </c>
      <c r="AQ119">
        <v>26</v>
      </c>
      <c r="AR119">
        <v>12</v>
      </c>
      <c r="AT119">
        <v>1</v>
      </c>
      <c r="BA119" cm="1">
        <f t="array" ref="BA119">ROW()-ROW(Линии[#Headers])</f>
        <v>117</v>
      </c>
      <c r="BC119" s="6" t="str">
        <f t="shared" si="143"/>
        <v>K</v>
      </c>
      <c r="BD119" t="str">
        <f t="shared" si="144"/>
        <v>0.012Б</v>
      </c>
      <c r="BE119" t="str">
        <f t="shared" si="145"/>
        <v>0</v>
      </c>
      <c r="BF119" t="str">
        <f t="shared" si="146"/>
        <v>012Б</v>
      </c>
      <c r="BG119" t="str">
        <f t="shared" si="147"/>
        <v>012Б</v>
      </c>
      <c r="BH119" t="str">
        <f>IF(X119&lt;&gt;"",X119,IF(AND(B119&lt;&gt;"",B119&lt;&gt;A119,ISNUMBER(_xlfn.XMATCH(B119,Щиты[Щит]))),B119,""))</f>
        <v/>
      </c>
      <c r="BI119" t="str" cm="1">
        <f t="array" ref="BI119">IF(B119="","",IF(BH119&lt;&gt;"","Щит "&amp;BH119,_xlfn.LET(_xlpm.nm,IFERROR(_xlfn.XLOOKUP(BC119,Коды_код,Коды_имя)&amp;"",""),_xlpm.md,IFERROR(N(_xlfn.XLOOKUP(BC119,Коды_код,Коды_режим)),1),_xlpm.ex,IF(Имя_режим="по экспликации",IFERROR(_xlfn.XLOOKUP(BE119&amp;"|"&amp;BG119,Экспликация[Этаж]&amp;"|"&amp;Экспликация[Помещение],Экспликация[Название])&amp;"",""),""),_xlpm.rm,IF(BG119="","",IF(_xlpm.ex&lt;&gt;"",". "&amp;_xlpm.ex&amp;IF(Имя_пом="нет"," ("&amp;BG119&amp;")"," (пом. "&amp;BG119&amp;")"),IF(Имя_пом="нет"," ",", пом. ")&amp;BG119)),IF(_xlpm.nm="","",IF(_xlpm.md=2,_xlpm.nm&amp;" шлейф "&amp;BE119,_xlpm.nm&amp;_xlpm.rm)))))</f>
        <v>Внутренний блок кондиционирования, пом. 012Б</v>
      </c>
      <c r="BJ119" t="str">
        <f t="shared" si="148"/>
        <v>Внутренний блок кондиционирования цокольный этаж Пом. №012Б</v>
      </c>
      <c r="BK119">
        <f>IFERROR(_xlfn.XMATCH(A119,Щиты[Щит]),0)</f>
        <v>6</v>
      </c>
      <c r="BL119">
        <f>_xlfn.LET(_xlpm.k,IFERROR(_xlfn.XLOOKUP(A119,Щиты[Щит],Щиты[Мест под вводной узел]),""),IF(_xlpm.k="",Столбцов_на_лист,N(_xlpm.k)))</f>
        <v>12</v>
      </c>
      <c r="BM119">
        <f t="shared" si="149"/>
        <v>31</v>
      </c>
      <c r="BN119" t="str">
        <f t="shared" si="150"/>
        <v>линии</v>
      </c>
      <c r="BO119" s="6">
        <f>IFERROR(N(_xlfn.XLOOKUP(BC119,Коды_код,Коды_квт)),0)</f>
        <v>0</v>
      </c>
      <c r="BP119">
        <f t="shared" si="151"/>
        <v>0</v>
      </c>
      <c r="BQ119" t="str">
        <f>IF(B119="","",IF(BH119&lt;&gt;"",IFERROR(_xlfn.XLOOKUP(BH119,Щиты[Щит],Щиты[Руст, кВт]),0),IF(BP119=1,IF(OR(N(_xlfn.XLOOKUP(A119,Щиты[Щит],Щиты[Вводов],1))&lt;=1,LOWER(TRIM(_xlfn.XLOOKUP(A119,Щиты[Щит],Щиты[АВР],"")&amp;""))="да"),IFERROR(_xlfn.XLOOKUP(A119,Щиты[Щит],Щиты[Руст, кВт]),0),SUMIFS(Линии[_Р для вводов],Линии[Щит],A119,Линии[Источник для режимов],GF119)),IF(BO119&gt;0,ROUND(BO119*MAX(1,N(D119)),3),""))))</f>
        <v/>
      </c>
      <c r="BR119">
        <f t="shared" si="152"/>
        <v>0.111</v>
      </c>
      <c r="BS119" s="6">
        <f>IF(B119="","",IF(BH119&lt;&gt;"",IFERROR(_xlfn.XLOOKUP(BH119,Щиты[Щит],Щиты[Руст, кВт]),0),N(BR119)))</f>
        <v>0.111</v>
      </c>
      <c r="BT119" t="str">
        <f>IF(B119="","",IFERROR(IF(VLOOKUP(BC119,Потребители_обозначение,8,FALSE)=0,"",VLOOKUP(BC119,Потребители_обозначение,8,FALSE)),""))</f>
        <v/>
      </c>
      <c r="BU119">
        <f t="shared" si="153"/>
        <v>230</v>
      </c>
      <c r="BV119">
        <f t="shared" si="154"/>
        <v>0</v>
      </c>
      <c r="BW119">
        <f>IF(B119="","",IF(BH119&lt;&gt;"",3,IFERROR(IF(N(VLOOKUP(BC119,Потребители_обозначение,9,FALSE))=0,1,VLOOKUP(BC119,Потребители_обозначение,9,FALSE)),1)))</f>
        <v>1</v>
      </c>
      <c r="BX119">
        <f t="shared" si="155"/>
        <v>1</v>
      </c>
      <c r="BY119" t="str">
        <f>IF(B119="","",_xlfn.LET(_xlpm.bc,IFERROR(IF(VLOOKUP(BC119,Потребители_обозначение,6,FALSE)=0,"",VLOOKUP(BC119,Потребители_обозначение,6,FALSE)&amp;""),""),IF(AND(GA119="да",OR(_xlpm.bc="",_xlpm.bc="мс")),Марка_пож,IF(AND(_xlpm.bc="",BH119&lt;&gt;""),"мс",_xlpm.bc))))</f>
        <v/>
      </c>
      <c r="BZ119" t="str">
        <f t="shared" si="156"/>
        <v>мс</v>
      </c>
      <c r="CA119">
        <f>IF(B119="","",_xlfn.LET(_xlpm.cc,IFERROR(N(VLOOKUP(BC119,Потребители_обозначение,7,FALSE)),0),IF(_xlpm.cc&gt;0,_xlpm.cc,IF(BZ119="","",IF(BV119=1,2,IF(N(BX119)=3,5,3))))))</f>
        <v>3</v>
      </c>
      <c r="CB119">
        <f t="shared" si="157"/>
        <v>3</v>
      </c>
      <c r="CC119">
        <f>IFERROR(N(VLOOKUP(BC119,Потребители_обозначение,10,FALSE)),0)</f>
        <v>0</v>
      </c>
      <c r="CD119">
        <f>IFERROR(VLOOKUP(BC119,Потребители_обозначение,5,FALSE),0)</f>
        <v>1</v>
      </c>
      <c r="CE119" s="6" cm="1">
        <f t="array" ref="CE119">IF(B119="","",IF(BH119&lt;&gt;"",IFERROR(_xlfn.XLOOKUP(BH119,Щиты[Щит],Щиты[cos φ]),0.95),IF(BP119=1,IFERROR(_xlfn.XLOOKUP(A119,Щиты[Щит],Щиты[cos φ]),0.95),IF(ISNUMBER(AD119),AD119,IFERROR(IF(CD119=2,_xlfn.IFS(BX119=3,VLOOKUP(BS119,Справочная_двигатели,8,FALSE),BX119=1,VLOOKUP(BS119,Справочная_двигатели,10,TRUE)),IF(AND(Методика="нормы 2026",FG119="Сил"),0.8,0.95)),0.95)))))</f>
        <v>0.8</v>
      </c>
      <c r="CF119">
        <f t="shared" si="158"/>
        <v>0</v>
      </c>
      <c r="CG119">
        <f t="shared" si="159"/>
        <v>1</v>
      </c>
      <c r="CH119">
        <f t="shared" si="160"/>
        <v>0</v>
      </c>
      <c r="CI119">
        <f>IF(B119="","",IF(BV119=1,IFERROR(BS119/((Uн_лин/SQRT(3))*MAX(0.5,N(CE119))),0),N(O119)))</f>
        <v>0.60080512387545415</v>
      </c>
      <c r="CJ119">
        <f t="shared" si="161"/>
        <v>0</v>
      </c>
      <c r="CK119">
        <f t="shared" si="162"/>
        <v>0</v>
      </c>
      <c r="CL119">
        <f t="shared" si="163"/>
        <v>0</v>
      </c>
      <c r="CM119">
        <f t="shared" si="164"/>
        <v>0</v>
      </c>
      <c r="CN119">
        <f t="shared" si="165"/>
        <v>0</v>
      </c>
      <c r="CO119">
        <f>IF(BC119="",0,_xlfn.LET(_xlpm.v,IFERROR(_xlfn.XLOOKUP(B119,Коды_код,Коды_мА),IFERROR(_xlfn.XLOOKUP(BC119,Коды_код,Коды_мА),IFERROR(_xlfn.XLOOKUP(LEFT(BC119,2),Коды_код,Коды_мА),""))),IF(_xlpm.v="да",30,IF(ISNUMBER(_xlpm.v),_xlpm.v,0))))</f>
        <v>0</v>
      </c>
      <c r="CP119" t="str">
        <f t="shared" si="166"/>
        <v/>
      </c>
      <c r="CQ119" t="str">
        <f>_xlfn.LET(_xlpm.k,IFERROR(_xlfn.XLOOKUP(BC119,Коды_код,Коды_утечка)&amp;"",""),IF(_xlpm.k="","дифавтомат",_xlpm.k))</f>
        <v>дифавтомат</v>
      </c>
      <c r="CR119" t="str" cm="1">
        <f t="array" ref="CR119">IF(CG119=0,"",_xlfn.LET(_xlpm.sg,TRIM(_xlfn.TEXTSPLIT(DD119&amp;"",";")),_xlpm.f_,_xlfn._xlws.FILTER(_xlpm.sg,LEFT(_xlpm.sg,3)="УЗО",""),IFERROR(INDEX(_xlpm.f_,1)&amp;"","")))</f>
        <v/>
      </c>
      <c r="CS119" t="str">
        <f t="shared" si="167"/>
        <v/>
      </c>
      <c r="CT119" s="6" t="str" cm="1">
        <f t="array" ref="CT119">IF(CR119="","",_xlfn.LET(_xlpm.tk,_xlfn.TEXTSPLIT(UPPER(CR119)," ",,TRUE),_xlpm.a_,_xlfn._xlws.FILTER(_xlpm.tk,ISNUMBER(--LEFT(_xlpm.tk,1))*((ISNUMBER(SEARCH("А",_xlpm.tk))+ISNUMBER(SEARCH("A",_xlpm.tk)))&gt;0)*NOT(ISNUMBER(SEARCH("МА",_xlpm.tk)))*NOT(ISNUMBER(SEARCH("MA",_xlpm.tk))),""),IFERROR(--SUBSTITUTE(SUBSTITUTE(INDEX(_xlpm.a_,1),"А",""),"A",""),"")))</f>
        <v/>
      </c>
      <c r="CU119" t="str" cm="1">
        <f t="array" ref="CU119">IF(CR119="","",_xlfn.LET(_xlpm.tk,_xlfn.TEXTSPLIT(UPPER(CR119)," ",,TRUE),_xlpm.a_,_xlfn._xlws.FILTER(_xlpm.tk,ISNUMBER(--LEFT(_xlpm.tk,1))*((ISNUMBER(SEARCH("МА",_xlpm.tk))+ISNUMBER(SEARCH("MA",_xlpm.tk)))&gt;0),""),IFERROR(--SUBSTITUTE(SUBSTITUTE(INDEX(_xlpm.a_,1),"МА",""),"MA",""),30)))</f>
        <v/>
      </c>
      <c r="CV119" t="str">
        <f>IF(CS119="","",IFERROR(_xlfn.XLOOKUP(CS119,Линии[_n],Линии[_УЗО, мА]),30))</f>
        <v/>
      </c>
      <c r="CW119">
        <f>IF(CS119="",0,IF(ISNUMBER(SEARCH("4P",IFERROR(_xlfn.XLOOKUP(CS119,Линии[_n],Линии[_УЗО строки])&amp;"",""))),0,1))</f>
        <v>0</v>
      </c>
      <c r="CX119" t="str">
        <f>IF(AND(CS119&lt;&gt;"",CS119=BA119),SUMIFS(Линии[_ток на 230 В],Линии[_блок УЗО],BA119,Линии[Щит],A119),"")</f>
        <v/>
      </c>
      <c r="CY119" t="str">
        <f>IF(AND(CS119&lt;&gt;"",CS119=BA119),SUMIFS(Линии[_ток утечки линии, мА],Линии[_блок УЗО],BA119,Линии[Щит],A119),"")</f>
        <v/>
      </c>
      <c r="CZ119">
        <f t="shared" si="168"/>
        <v>0</v>
      </c>
      <c r="DA119">
        <f t="shared" si="169"/>
        <v>0</v>
      </c>
      <c r="DB119">
        <f>IF(B119="",0,IFERROR(--_xlfn.XLOOKUP(B119,Коды_код,Коды_минавт),IFERROR(--_xlfn.XLOOKUP(BC119,Коды_код,Коды_минавт),IFERROR(--_xlfn.XLOOKUP(LEFT(BC119,2),Коды_код,Коды_минавт),0))))</f>
        <v>0</v>
      </c>
      <c r="DC119" t="str">
        <f>IF(B119="","",IFERROR(_xlfn.XLOOKUP(BC119,Коды_код,Коды_апп)&amp;"",""))</f>
        <v/>
      </c>
      <c r="DD119" t="str">
        <f t="shared" si="170"/>
        <v/>
      </c>
      <c r="DE119" t="str" cm="1">
        <f t="array" ref="DE119">IF(TRIM(DD119&amp;"")="","",IFERROR(TRIM(INDEX(_xlfn.TEXTSPLIT(DD119&amp;";;;",";"),1)),""))</f>
        <v/>
      </c>
      <c r="DF119" t="str" cm="1">
        <f t="array" ref="DF119">IF(TRIM(DD119&amp;"")="","",IFERROR(TRIM(INDEX(_xlfn.TEXTSPLIT(DD119&amp;";;;",";"),2)),""))</f>
        <v/>
      </c>
      <c r="DG119" t="str" cm="1">
        <f t="array" ref="DG119">IF(TRIM(DD119&amp;"")="","",IFERROR(TRIM(INDEX(_xlfn.TEXTSPLIT(DD119&amp;";;;",";"),3)),""))</f>
        <v/>
      </c>
      <c r="DH119">
        <f t="shared" si="171"/>
        <v>0</v>
      </c>
      <c r="DI119" t="str">
        <f>IF(B119="","",_xlfn.LET(_xlpm.t,LOWER(AZ119&amp;""),IF(ISNUMBER(SEARCH("dim",_xlpm.t)),"DIM",IF(ISNUMBER(SEARCH("dali",_xlpm.t)),"DALI",IF(OR(ISNUMBER(SEARCH("relay",_xlpm.t)),ISNUMBER(SEARCH("реле",_xlpm.t))),"Relay",IF(ISNUMBER(SEARCH("кнопк",_xlpm.t)),"",IFERROR(_xlfn.XLOOKUP(BC119,Коды_код,Коды_упр)&amp;"","")))))))</f>
        <v/>
      </c>
      <c r="DJ119" t="str">
        <f t="shared" si="172"/>
        <v/>
      </c>
      <c r="DK119">
        <f>IF(B119="","",_xlfn.LET(_xlpm.ig,IF(N(CX119)&gt;0,N(CX119),N(CI119)+IF(AJ119="вручную",0,N(CJ119))),_xlpm.n0,IFERROR(VLOOKUP(_xlpm.ig,Автомат_номиналы,2,TRUE),0),_xlpm.mn,MAX(DB119,IF(AJ119="вручную",0,N(CM119))),MAX(_xlpm.n0,_xlpm.mn,IF(DH119=1,Мин_автомат_БП,0))))</f>
        <v>6</v>
      </c>
      <c r="DL119">
        <f t="shared" si="173"/>
        <v>1</v>
      </c>
      <c r="DM119" t="str">
        <f t="shared" si="174"/>
        <v>1P</v>
      </c>
      <c r="DN119" t="str">
        <f>_xlfn.LET(_xlpm.cc,UPPER(TRIM(IFERROR(_xlfn.XLOOKUP(BC119,Коды_код,Коды_хар)&amp;"",""))),IF(OR(_xlpm.cc="B",_xlpm.cc="В"),"B",IF(_xlpm.cc="D","D","С")))</f>
        <v>С</v>
      </c>
      <c r="DO119" t="str">
        <f t="shared" si="175"/>
        <v>1P С6А</v>
      </c>
      <c r="DP119">
        <f t="shared" si="176"/>
        <v>10</v>
      </c>
      <c r="DQ119" t="str">
        <f t="shared" si="177"/>
        <v>1P С10А</v>
      </c>
      <c r="DR119" cm="1">
        <f t="array" ref="DR119">IF(DQ119="","",_xlfn.LET(_xlpm.t,SUBSTITUTE(SUBSTITUTE(SUBSTITUTE(UPPER(DQ119),"С","C"),"А","A"),"В","B"),_xlpm.tk,_xlfn.TEXTSPLIT(_xlpm.t," "),_xlpm.f,_xlfn._xlws.FILTER(_xlpm.tk,ISNUMBER(--MID(_xlpm.tk,2,1))*ISNUMBER(SEARCH(LEFT(_xlpm.tk,1)&amp;"#","B#C#D#"))*(LEN(_xlpm.tk)&gt;1),""),_xlpm.x,INDEX(_xlpm.f,1),IFERROR(--SUBSTITUTE(MID(_xlpm.x,2,9),"A",""),IFERROR(--SUBSTITUTE(INDEX(_xlfn._xlws.FILTER(_xlpm.tk,ISNUMBER(--SUBSTITUTE(_xlpm.tk,"A","")),""),1),"A",""),""))))</f>
        <v>10</v>
      </c>
      <c r="DS119" t="str">
        <f t="shared" si="178"/>
        <v>ok</v>
      </c>
      <c r="DT119">
        <f t="shared" si="179"/>
        <v>10</v>
      </c>
      <c r="DU119" t="str">
        <f t="shared" si="180"/>
        <v>1P С10А</v>
      </c>
      <c r="DV119">
        <f t="shared" si="181"/>
        <v>0</v>
      </c>
      <c r="DW119">
        <f t="shared" si="182"/>
        <v>0</v>
      </c>
      <c r="DX119">
        <f t="shared" si="183"/>
        <v>0</v>
      </c>
      <c r="DY119">
        <f t="shared" si="184"/>
        <v>0.60080512387545415</v>
      </c>
      <c r="DZ119">
        <f t="shared" si="185"/>
        <v>1</v>
      </c>
      <c r="EA119">
        <f>IF(ISNUMBER(AP119),AP119,К_прокл)</f>
        <v>1</v>
      </c>
      <c r="EB119">
        <f t="shared" si="186"/>
        <v>2</v>
      </c>
      <c r="EC119">
        <f>IFERROR(N(VLOOKUP(BZ119,Кабель_обозначение,3,FALSE)),1)</f>
        <v>1</v>
      </c>
      <c r="ED119">
        <f>IFERROR(N(_xlfn.XLOOKUP(A119,Щиты[Щит],Щиты[ΔU до шин, %])),0)</f>
        <v>0.24000000000000002</v>
      </c>
      <c r="EE119" t="str">
        <f>IFERROR(_xlfn.XLOOKUP(A119,Щиты[Щит],Щиты[Zпетли на шинах, Ом]),"")</f>
        <v/>
      </c>
      <c r="EF119">
        <f>IFERROR(N(_xlfn.XLOOKUP(A119,Щиты[Щит],Щиты[ΔU до шин (подбор), %])),0)</f>
        <v>0.36</v>
      </c>
      <c r="EG119" t="str">
        <f>IFERROR(_xlfn.XLOOKUP(A119,Щиты[Щит],Щиты[Zпетли на шинах (подбор), Ом]),"")</f>
        <v/>
      </c>
      <c r="EH119" t="str">
        <f t="shared" si="187"/>
        <v/>
      </c>
      <c r="EI119">
        <f t="shared" si="188"/>
        <v>36</v>
      </c>
      <c r="EJ119">
        <f t="shared" si="189"/>
        <v>2</v>
      </c>
      <c r="EK119">
        <f t="shared" si="190"/>
        <v>0.6</v>
      </c>
      <c r="EL119" s="6">
        <f>IF(B119="","",IF(BV119=1,dU_LED,IF(IFERROR(_xlfn.XLOOKUP(BC119,Коды_код,Коды_уго),"")="Светильник",3,4)+IF(Методика="нормы 2026",MIN(0.5,MAX(0,N(P119)-100)*0.005),0)))</f>
        <v>4</v>
      </c>
      <c r="EM119" cm="1">
        <f t="array" ref="EM119">IF(OR(B119="",BZ119="",EC119&lt;&gt;1),"",_xlfn.LET(_xlpm.sz,Iдоп_S,_xlpm.t_,CHOOSE(EB119,Iдоп_1ж,Iдоп_2ж,Iдоп_3ж)*DZ119*EA119,_xlpm.dcx,BV119=1,_xlpm.inn,IF(_xlpm.dcx,N(O119),N(DT119)),_xlpm.smin,MAX(1.5,CC119),_xlpm.L_,N(P119)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119)/N(BU119)*100,999),IFERROR(N(EJ119)*(_xlpm.rho*_xlpm.L_/_xlpm.sz*N(CE119)+_xlpm.xx*_xlpm.L_*N(EK119)/1000)*N(O119)/((Uн_лин/SQRT(3))*1000)*100,999)),_xlpm.kz,IF(OR(_xlpm.dcx,DW119=1,NOT(ISNUMBER(EG119)),_xlpm.L_=0,_xlpm.inn=0),1,IFERROR(--(c_min*(Uн_лин*1000/SQRT(3))/(EG119+2*ρкз_Cu*_xlpm.L_/_xlpm.sz)&gt;=HT119*_xlpm.inn),0)),_xlpm.ok,IFERROR((_xlpm.sz&gt;=_xlpm.smin)*(_xlpm.t_&gt;=_xlpm.inn)*IF(_xlpm.L_&gt;0,(_xlpm.du_+IF(_xlpm.dcx,0,EF119)&lt;=EL119+0.00001),1)*_xlpm.kz,0),_xlpm.r_,_xlfn._xlws.FILTER(_xlpm.sz,_xlpm.ok,"не подобрано"),INDEX(_xlpm.r_,1)))</f>
        <v>1.5</v>
      </c>
      <c r="EN119">
        <f t="shared" si="191"/>
        <v>1.5</v>
      </c>
      <c r="EO119" cm="1">
        <f t="array" ref="EO119">IF(OR(B119="",BZ119="",EC119&lt;&gt;1),"",_xlfn.LET(_xlpm.sz,Iдоп_S,_xlpm.t_,CHOOSE(EB119,Iдоп_1ж,Iдоп_2ж,Iдоп_3ж)*DZ119*EA119,_xlpm.ok,IFERROR((_xlpm.sz&gt;=MAX(1.5,CC119))*(_xlpm.t_&gt;=N(DT119)),0),_xlpm.r_,_xlfn._xlws.FILTER(_xlpm.sz,_xlpm.ok,""),INDEX(_xlpm.r_,1)))</f>
        <v>1.5</v>
      </c>
      <c r="EP119" s="6" cm="1">
        <f t="array" ref="EP119">IFERROR(ROUNDUP(N(EJ119)*(_xlfn.XLOOKUP(EO119,INDEX(Кабель_сопротивление,0,1),INDEX(Кабель_сопротивление,0,3))*N(P119)/EO119*N(CE119)+_xlfn.XLOOKUP(EO119,INDEX(Кабель_сопротивление,0,1),INDEX(Кабель_сопротивление,0,2))*N(P119)*N(EK119)/1000)*N(O119)/((Uн_лин/SQRT(3))*1000)*100,2),"")</f>
        <v>0.24000000000000002</v>
      </c>
      <c r="EQ119">
        <f>IFERROR(2*ρкз_Cu*N(P119)/EO119,"")</f>
        <v>1.3325333333333333</v>
      </c>
      <c r="ER119">
        <f>IFERROR(VLOOKUP(EN119,Кабель_сопротивление,3,FALSE),"")</f>
        <v>2.2499999999999999E-2</v>
      </c>
      <c r="ES119">
        <f>IFERROR(VLOOKUP(EN119,Кабель_сопротивление,2,FALSE),"")</f>
        <v>0.11</v>
      </c>
      <c r="ET119">
        <f t="shared" si="192"/>
        <v>12</v>
      </c>
      <c r="EU119">
        <f t="shared" si="193"/>
        <v>0</v>
      </c>
      <c r="EV119">
        <f t="shared" si="194"/>
        <v>0.55094791147577338</v>
      </c>
      <c r="EW119" s="6">
        <f>IFERROR(ROUNDUP(EV119/IF(BV119=1,BU119,(Uн_лин/SQRT(3))*1000)*100,2),"")</f>
        <v>0.24000000000000002</v>
      </c>
      <c r="EX119" t="str">
        <f>IFERROR(VLOOKUP(BZ119,Кабель_обозначение,2,FALSE),"")</f>
        <v>ВВГнг(А)-LS</v>
      </c>
      <c r="EY119" t="str">
        <f t="shared" si="195"/>
        <v>ВВГнг(А)-LS (3х1,5)</v>
      </c>
      <c r="EZ119" t="str">
        <f t="shared" si="196"/>
        <v>ВВГнг(А)-LS (3х1,5)
L=38-0,24%</v>
      </c>
      <c r="FA119">
        <f>IFERROR(2*ρкз_Cu*P119/EN119,"")</f>
        <v>1.3325333333333333</v>
      </c>
      <c r="FB119">
        <f t="shared" si="197"/>
        <v>0.44333333333333336</v>
      </c>
      <c r="FC119" s="6" t="str">
        <f>IFERROR(IF(OR(B119="",BV119=1,NOT(ISNUMBER(EN119)),N(P119)=0),"",_xlfn.XLOOKUP(A119,Щиты[Щит],Щиты[Zпетли на шинах, Ом])+FA119),"")</f>
        <v/>
      </c>
      <c r="FD119" s="6" t="str">
        <f>IF(ISNUMBER(FC119),c_min*(Uн_лин*1000/SQRT(3))/FC119,"")</f>
        <v/>
      </c>
      <c r="FE119" s="6" t="str">
        <f>IFERROR(IF(OR(B119="",NOT(ISNUMBER(EN119))),"",1.05*(Uн_лин*1000/SQRT(3))/(_xlfn.XLOOKUP(A119,Щиты[Щит],Щиты[Zmax на шинах, Ом])+FB119)/1000),"")</f>
        <v/>
      </c>
      <c r="FF119" s="6" t="str">
        <f>IF(B119="","",IF(ISNUMBER(AC119),"Сил",IF(IFERROR(_xlfn.XLOOKUP(BC119,Коды_код,Коды_группа)&amp;"","")="","Быт",_xlfn.XLOOKUP(BC119,Коды_код,Коды_группа)&amp;"")))</f>
        <v>Сил</v>
      </c>
      <c r="FG119" s="6" t="str">
        <f t="shared" si="198"/>
        <v>Сил</v>
      </c>
      <c r="FH119" s="6">
        <f>IF(FG119="Щит","щит",IF(FG119="","",IF(FG119="Быт",IFERROR(_xlfn.XLOOKUP(A119,Щиты[Щит],Щиты[Кс быт]),1),IF(FG119="Сил",IF(ISNUMBER(AC119),AC119,IF(Методика="нормы 2026",IFERROR(_xlfn.XLOOKUP(A119,Щиты[Щит],Щиты[Кс силовых (табл. 7.5)]),1),1)),IF(OR(FG119="Пост",FG119="Отоп"),1,IF(FG119="ВНГ",0.7,0))))))</f>
        <v>0.5</v>
      </c>
      <c r="FI119">
        <f>IF(FG119="","",IF(AND(BP119=1,TRIM(AE119&amp;"")=""),IF(COUNTIFS(Линии[Щит],A119,Линии[Секция (1/2/3)],"&gt;=2")&gt;0,MIN(3,MAX(1,IFERROR(--BD119,1))),1),IFERROR(MIN(3,MAX(1,INT(--AE119))),1)))</f>
        <v>1</v>
      </c>
      <c r="FJ119">
        <f t="shared" si="199"/>
        <v>0.111</v>
      </c>
      <c r="FK119">
        <f t="shared" si="200"/>
        <v>0</v>
      </c>
      <c r="FL119">
        <f t="shared" si="201"/>
        <v>5.5500000000000001E-2</v>
      </c>
      <c r="FM119">
        <f t="shared" si="202"/>
        <v>0</v>
      </c>
      <c r="FN119">
        <f t="shared" si="203"/>
        <v>0</v>
      </c>
      <c r="FO119">
        <f t="shared" si="204"/>
        <v>0</v>
      </c>
      <c r="FP119">
        <f t="shared" si="205"/>
        <v>0.111</v>
      </c>
      <c r="FQ119">
        <f t="shared" si="206"/>
        <v>0.111</v>
      </c>
      <c r="FR119">
        <f t="shared" si="207"/>
        <v>8.8800000000000004E-2</v>
      </c>
      <c r="FS119">
        <f>IF(CG119=1,IF(AND(CH119=1,CW119=1),0,IF(AND(CS119&lt;&gt;"",CS119=BA119,CW119=1),SUMIFS(Линии[_Р линии, кВт],Линии[_блок УЗО],BA119,Линии[Щит],A119),N(BS119)+IF(AJ119="вручную",0,N(CK119)))),0)</f>
        <v>0.111</v>
      </c>
      <c r="FT119" t="str">
        <f t="shared" si="208"/>
        <v/>
      </c>
      <c r="FU119" t="str">
        <f>IF(B119="","",IF(CG119=0,IF(BA119=1,"",FW118),IF(AND(CH119=1,CW119=1,CS119&lt;&gt;""),IFERROR(_xlfn.XLOOKUP(CS119,Линии[_n],Линии[_фаза итог]),"L1"),IF(OR(N(DL119)&gt;=3,N(BX119)&gt;=3),"L1,L2,L3",IFERROR(_xlfn.TEXTBEFORE(_xlfn.TEXTAFTER(_xlfn.XLOOKUP(A119,Щиты[Щит],Щиты[_фазы авто]),";"&amp;BA119&amp;":"),";"),"L1")))))</f>
        <v>L2</v>
      </c>
      <c r="FV119" t="str">
        <f t="shared" si="209"/>
        <v>L2</v>
      </c>
      <c r="FW119" t="str">
        <f t="shared" si="210"/>
        <v>L2</v>
      </c>
      <c r="FX119" cm="1">
        <f t="array" ref="FX119">IFERROR(IF(CD119=2,_xlfn.IFS(BX119=3,VLOOKUP(BS119,Справочная_двигатели,3,FALSE),BX119=1,VLOOKUP(BS119,Справочная_двигатели,5,TRUE)),0),0)</f>
        <v>0</v>
      </c>
      <c r="FY119">
        <f>IFERROR(IF(CD119=3,VLOOKUP(BS119,Справочная_ЛЭД,2,TRUE),0),0)</f>
        <v>0</v>
      </c>
      <c r="FZ119" s="6">
        <f t="shared" si="211"/>
        <v>0</v>
      </c>
      <c r="GA119" t="str">
        <f>IF(B119="","",IF(TRIM(AH119&amp;"")&lt;&gt;"",IF(LOWER(TRIM(AH119&amp;""))="да","да","нет"),IF(IFERROR(_xlfn.XLOOKUP(BC119,Коды_код,Коды_пожарная),"")="да","да","нет")))</f>
        <v>нет</v>
      </c>
      <c r="GB119" t="str">
        <f t="shared" si="212"/>
        <v/>
      </c>
      <c r="GC119" t="str">
        <f t="shared" si="213"/>
        <v>основная</v>
      </c>
      <c r="GD119">
        <f>IF(AND(BP119=1,TRIM(AE119&amp;"")=""),IF(COUNTIFS(Линии[Щит],A119,Линии[Секция (1/2/3)],"&gt;=2")&gt;0,MIN(3,MAX(1,IFERROR(--BD119,1))),1),IFERROR(MIN(3,MAX(1,INT(--AE119))),1))</f>
        <v>1</v>
      </c>
      <c r="GE119" t="str" cm="1">
        <f t="array" ref="GE119">IF(B119="","",_xlfn.LET(_xlpm.t,IFERROR(_xlfn.XLOOKUP(1,(Шины[Шина]=GC119)*(((Шины[Щит]=A119)+(Шины[Щит]=""))&gt;0),Шины[Тип]),"")&amp;"",IF(_xlpm.t&lt;&gt;"",_xlpm.t,IF(ISNUMBER(SEARCH("ИБП",GC119)),"ИБП",IF(ISNUMBER(SEARCH("ДГУ",GC119)),"ДГУ","Ввод "&amp;GD119)))))</f>
        <v>Ввод 1</v>
      </c>
      <c r="GF119" t="str">
        <f t="shared" si="214"/>
        <v>Ввод 1</v>
      </c>
      <c r="GG119" t="str">
        <f>IF(BP119=0,"",IF(TRIM(AG119&amp;"")&lt;&gt;"",TRIM(AG119&amp;""),IF(OR(GE119="ИБП",GE119="ДГУ"),"I особая",_xlfn.XLOOKUP(A119,Щиты[Щит],Щиты[Категория шины «Ввод»],"III"))))</f>
        <v/>
      </c>
      <c r="GH119" t="str">
        <f>IF(A119="","",_xlfn.XLOOKUP(A119,Щиты[Щит],Щиты[Путь],""))</f>
        <v>|ГРЩ-ЖД|ЩОВ-01|</v>
      </c>
      <c r="GI119" t="str">
        <f>IF(B119="","",IF(AI119&lt;&gt;"",AI119,IF(IFERROR(_xlfn.XLOOKUP(BC119,Коды_код,Коды_вид)&amp;"","")="","Прочее",_xlfn.XLOOKUP(BC119,Коды_код,Коды_вид)&amp;"")))</f>
        <v>Кондиционирование и увлажнение</v>
      </c>
      <c r="GJ119">
        <f>IF(BM119="","",INT((BM119-1)/Столбцов_на_лист)+1)</f>
        <v>2</v>
      </c>
      <c r="GK119" t="str">
        <f t="shared" si="215"/>
        <v>ВВГнг(А)-LS (3х1,5) L=38-0,24%</v>
      </c>
      <c r="GL119">
        <f t="shared" si="216"/>
        <v>0.111</v>
      </c>
      <c r="GM119">
        <f t="shared" si="217"/>
        <v>0.61</v>
      </c>
      <c r="GN119">
        <f t="shared" si="218"/>
        <v>1</v>
      </c>
      <c r="GO119">
        <f t="shared" si="219"/>
        <v>0</v>
      </c>
      <c r="GP119">
        <f t="shared" si="220"/>
        <v>1</v>
      </c>
      <c r="GQ119">
        <f>IF(BM119="","",IF(AND(CG119=1,GP119=1),COUNTIFS(A$3:A119,A119,CG$3:CG119,1,GP$3:GP119,1),IF(OR(OR(BA119=1,A119&lt;&gt;A118),AJ119="вручную",GP119=0),"",IF(BA119=1,"",GR118))))</f>
        <v>17</v>
      </c>
      <c r="GR119">
        <f t="shared" si="221"/>
        <v>17</v>
      </c>
      <c r="GS119">
        <f>IF(B119="","",IFERROR(LOOKUP(INDEX(CHOOSE(EB119,Iдоп_1ж,Iдоп_2ж,Iдоп_3ж),MATCH(EN119,Iдоп_S,0))*DZ119*EA119,{6,10,16,20,25,32,40,50,63,80,100,125,160,200,250,315,400,500,630}),""))</f>
        <v>16</v>
      </c>
      <c r="GT119" t="str">
        <f t="shared" si="222"/>
        <v>QF17</v>
      </c>
      <c r="GU119" t="str">
        <f t="shared" si="223"/>
        <v>QF17</v>
      </c>
      <c r="GV119" t="str">
        <f t="shared" si="224"/>
        <v/>
      </c>
      <c r="GW119">
        <f t="shared" si="225"/>
        <v>0</v>
      </c>
      <c r="GX119" t="str">
        <f>IF(OR(B119="",DJ119=""),"",IFERROR(_xlfn.XLOOKUP(DJ119,Модули_умолч[Управление],Модули_умолч[Модель])&amp;"",""))</f>
        <v/>
      </c>
      <c r="GY119">
        <f>IF(DJ119="",1,IFERROR(MAX(0,N(_xlfn.XLOOKUP(DJ119,Модули_умолч[Управление],Модули_умолч[Каналов на линию]))),1))</f>
        <v>1</v>
      </c>
      <c r="GZ119" t="str">
        <f t="shared" si="226"/>
        <v/>
      </c>
      <c r="HA119" t="str">
        <f t="shared" si="227"/>
        <v/>
      </c>
      <c r="HB119" t="str">
        <f t="shared" si="228"/>
        <v/>
      </c>
      <c r="HC119">
        <f>IF(HB119="",0,IFERROR(N(VLOOKUP(HB119,Модули_спр,3,FALSE)),0))</f>
        <v>0</v>
      </c>
      <c r="HD119" t="str">
        <f t="shared" si="229"/>
        <v/>
      </c>
      <c r="HE119" t="str">
        <f t="shared" si="230"/>
        <v/>
      </c>
      <c r="HF119" t="str">
        <f>IF(OR(HE119="",HE119="-"),"",IFERROR(VLOOKUP(HE119,Модули_спр,2,FALSE),"R"))</f>
        <v/>
      </c>
      <c r="HG119" t="str">
        <f>IF(HF119="","",HF119&amp;"."&amp;COUNTIFS(A$3:A119,A119,HF$3:HF119,HF119))</f>
        <v/>
      </c>
      <c r="HH119" t="str">
        <f t="shared" si="231"/>
        <v/>
      </c>
      <c r="HI119" t="str">
        <f t="shared" si="232"/>
        <v/>
      </c>
      <c r="HJ119" t="str">
        <f t="shared" si="233"/>
        <v/>
      </c>
      <c r="HK119" t="str">
        <f t="shared" si="234"/>
        <v/>
      </c>
      <c r="HL119">
        <f t="shared" si="235"/>
        <v>1</v>
      </c>
      <c r="HM119" t="str">
        <f>IF(HL119=1,"XT"&amp;COUNTIFS(A$3:A119,A119,HL$3:HL119,1),"")</f>
        <v>XT17</v>
      </c>
      <c r="HN119" t="str">
        <f t="shared" si="236"/>
        <v/>
      </c>
      <c r="HO119" t="str">
        <f t="shared" si="237"/>
        <v>QF17</v>
      </c>
      <c r="HP119" t="str">
        <f t="shared" si="238"/>
        <v/>
      </c>
      <c r="HQ119" t="str">
        <f t="shared" si="239"/>
        <v>ok</v>
      </c>
      <c r="HR119" t="str">
        <f>IF(OR(HJ119="",HH119=""),"",IF(HJ119+MAX(0,GY119-1)&gt;IFERROR(VLOOKUP(HI119,Модули_спр,3,FALSE),99),"ЛИШНИЙ КАНАЛ",IF(AND(AL119&lt;&gt;"=",GY119&gt;0,COUNTIFS(Линии[_модуль гр.],HH119,Линии[Канал (итог)],HJ119,Линии[Канал],"&lt;&gt;=",Линии[Щит],A119)&gt;1),"ДУБЛЬ КАНАЛА","")))</f>
        <v/>
      </c>
      <c r="HS119" s="6" t="str">
        <f t="shared" si="240"/>
        <v/>
      </c>
      <c r="HT119">
        <f t="shared" si="241"/>
        <v>10</v>
      </c>
      <c r="HU119" t="str">
        <f t="shared" si="242"/>
        <v/>
      </c>
      <c r="HV119">
        <f t="shared" si="243"/>
        <v>0.62032204955018166</v>
      </c>
      <c r="HW119">
        <f t="shared" si="244"/>
        <v>0</v>
      </c>
      <c r="HX119">
        <f t="shared" si="245"/>
        <v>0</v>
      </c>
      <c r="HY119">
        <f t="shared" si="246"/>
        <v>0</v>
      </c>
      <c r="HZ119">
        <f t="shared" si="247"/>
        <v>0</v>
      </c>
      <c r="IA119">
        <f t="shared" si="248"/>
        <v>0</v>
      </c>
      <c r="IB119">
        <f t="shared" si="249"/>
        <v>0</v>
      </c>
      <c r="IC119" t="str">
        <f t="shared" si="250"/>
        <v/>
      </c>
      <c r="ID119" t="str" cm="1">
        <f t="array" ref="ID119">IF(IC119="","",_xlfn.LET(_xlpm.tk,_xlfn.TEXTSPLIT(SUBSTITUTE(SUBSTITUTE(IC119,";"," "),"→"," ")," ",,TRUE),_xlpm.w_,_xlfn._xlws.FILTER(_xlpm.tk,ISNUMBER(--LEFT(_xlpm.tk,1))*((ISNUMBER(SEARCH("W",_xlpm.tk))+ISNUMBER(SEARCH("Вт",_xlpm.tk)))&gt;0),""),IFERROR(--SUBSTITUTE(SUBSTITUTE(UPPER(INDEX(_xlpm.w_,1)),"W",""),"ВТ",""),"")))</f>
        <v/>
      </c>
      <c r="IE119" t="str" cm="1">
        <f t="array" ref="IE119">IF(IC119="","",_xlfn.LET(_xlpm.tk,_xlfn.TEXTSPLIT(SUBSTITUTE(SUBSTITUTE(IC119,";"," "),"→"," ")," ",,TRUE),_xlpm.v_,_xlfn._xlws.FILTER(_xlpm.tk,ISNUMBER(--LEFT(_xlpm.tk,1))*((ISNUMBER(SEARCH("V",_xlpm.tk))+(RIGHT(UPPER(_xlpm.tk))="В"))&gt;0),""),IFERROR(--SUBSTITUTE(SUBSTITUTE(UPPER(INDEX(_xlpm.v_,1)),"V",""),"В",""),"")))</f>
        <v/>
      </c>
      <c r="IF119" s="6" t="str">
        <f>IF(OR(BV119=0,HI119="",HJ119=""),"",IFERROR(N(_xlfn.XLOOKUP(HI119,Каталог!$C$4:$C$500,Каталог!$Q$4:$Q$500)),""))</f>
        <v/>
      </c>
      <c r="IG119" s="6" t="str">
        <f>IF(N(IF119)=0,"",SUMIFS(Линии[Iр, А],Линии[Щит],A119,Линии[_модуль гр.],HH119,Линии[Канал (итог)],HJ119))</f>
        <v/>
      </c>
      <c r="IH119" t="str">
        <f>IF(AND(B119="",HO119=""),"",_xlfn.TEXTJOIN("; ",TRUE,IF(AND(B119&lt;&gt;"",FV119=""),"нет фазы",""),IF(AND(B119&lt;&gt;"",N(GL119)=0,FG119&lt;&gt;"Нет"),"нет мощности",""),IF(AND(HN119&lt;&gt;"",COUNTIFS(Линии[Щит],A119,Линии[Клемма (итог)],HN119)&gt;1),"дубль клеммы "&amp;HN119,""),IF(AND(HQ119&lt;&gt;"",HQ119&lt;&gt;"ok"),HQ119,""),IF(HR119&lt;&gt;"",HR119,""),IF(AND(N(CB119)&gt;=4,N(BX119)=1),CB119&amp;" жил на 1 фазе",""),IF(AND(BC119="R",CG119=1,IF(CS119&lt;&gt;"",N(CV119)&gt;30,OR(N(DA119)=0,N(DA119)&gt;30))),"розетка без дифзащиты до 30 мА",""),IF(AND(CG119=1,N(DA119)&gt;0,ISNUMBER(T119)),IF(T119&gt;N(DA119)/3,"ток утечки "&amp;FIXED(T119,1)&amp;" мА &gt; 1/3 уставки ("&amp;DA119&amp;" мА)",""),""),IF(AND(CH119=1,CS119=""),"«узо»: нет строки с УЗО выше (УЗО 2P 40А 30мА в «Аппаратах»)",""),IF(AND(CS119&lt;&gt;"",CS119=BA119),IF(CT119="","впишите номинал УЗО (УЗО 2P 40А 30мА)",IF(N(CT119)&lt;N(DT119),"УЗО "&amp;CT119&amp;" А &lt; автомата "&amp;DT119&amp;" А перед ним",IF(N(CT119)&lt;N(CX119),"УЗО "&amp;CT119&amp;" А &lt; тока блока "&amp;FIXED(CX119,1)&amp;" А",""))),""),IF(AND(CS119&lt;&gt;"",CS119=BA119,ISNUMBER(CY119)),IF(CY119&gt;N(CV119)/3,"ток утечки блока УЗО "&amp;FIXED(CY119,1)&amp;" мА &gt; 1/3 уставки ("&amp;CV119&amp;" мА)",""),""),IF(AND(CG119=1,N(BV119)+N(IB119)&gt;0,IC119=""),"линии до 50 В без БП: впишите в «Аппараты» (БП 24V 480W)",""),IF(AND(CG119=1,ISNUMBER(ID119),ISNUMBER(U119)),IF(U119&gt;ID119,"БП "&amp;ID119&amp;" Вт &lt; нужно "&amp;U119&amp;" Вт (×"&amp;Запас_БП&amp;")",""),""),IF(AND(CG119=1,ISNUMBER(IE119),N(BV119)=1),IF(IE119&lt;&gt;N(BU119),"БП на "&amp;IE119&amp;" В, линия "&amp;BU119&amp;" В",""),""),IF(AND(N(IF119)&gt;0,N(IG119)&gt;N(IF119)),HH119&amp;" канал "&amp;HJ119&amp;": "&amp;FIXED(IG119,1)&amp;" А &gt; "&amp;IF119&amp;" А",""),IFERROR(IF(AND(ISNUMBER(Q119),Q119&gt;EL119),"потери "&amp;FIXED(Q119,1)&amp;" % &gt; "&amp;EL119&amp;" %",""),""),IFERROR(IF(LEFT(HU119,4)="мало","Iкз мало — отключение &gt; 0,4 с",""),""),IF(AND(B119&lt;&gt;"",BM119=""),"не на схеме",""),IF(AND(CG119=0,B119&lt;&gt;"",FV119&lt;&gt;"",IF(BA119=1,"",FW118)&lt;&gt;"",FV119&lt;&gt;IF(BA119=1,"",FW118)),"фаза не как у автомата группы ("&amp;IF(BA119=1,"",FW118)&amp;")","")))</f>
        <v/>
      </c>
      <c r="II119" s="6">
        <f>IF(OR(CG119=0,DQ119=""),"",_xlfn.LET(_xlpm.t,IFERROR(_xlfn.XLOOKUP(DQ119,Каталог!$U$4:$U$500,Каталог!$G$4:$G$500),""),_xlpm.k,SEARCH("кА",_xlpm.t),IFERROR(--TRIM(RIGHT(SUBSTITUTE(MID(_xlpm.t,MAX(1,_xlpm.k-4),_xlpm.k-MAX(1,_xlpm.k-4))," ",REPT(" ",9)),5)),"")))</f>
        <v>6</v>
      </c>
      <c r="IJ119" t="str">
        <f>IF(OR(II119="",CG119=0),"",IF(_xlfn.XLOOKUP(A119,Щиты[Щит],Щиты[Iкз max на шинах, кА],"")="","",IF(II119&lt;_xlfn.XLOOKUP(A119,Щиты[Щит],Щиты[Iкз max на шинах, кА]),"Icu "&amp;II119&amp;" кА &lt; Iкз max","ok")))</f>
        <v/>
      </c>
      <c r="IK119" t="str">
        <f t="shared" si="251"/>
        <v/>
      </c>
      <c r="IL119" t="str">
        <f t="shared" si="252"/>
        <v>QF17</v>
      </c>
      <c r="IM119" t="str">
        <f t="shared" si="253"/>
        <v>QF17|кабель ВВГнг(А)-LS (3х1,5) → Внутренний блок кондиционирования цокольный этаж Пом. №012Б</v>
      </c>
      <c r="IN119" t="str" cm="1">
        <f t="array" ref="IN119">IF(IM119="","",_xlfn.LET(_xlpm.nd,_xlfn.TEXTSPLIT(IM119,"|"),IF(COLUMNS(_xlpm.nd)&gt;1,A119&amp;"¦"&amp;INDEX(_xlpm.nd,1)&amp;"¦"&amp;INDEX(_xlpm.nd,2),"")))</f>
        <v>ЩОВ-01¦QF17¦кабель ВВГнг(А)-LS (3х1,5) → Внутренний блок кондиционирования цокольный этаж Пом. №012Б</v>
      </c>
      <c r="IO119" t="str">
        <f t="shared" si="254"/>
        <v>K.0.012Б¦Внутренний блок кондиционирования цокольный этаж Пом. №012Б</v>
      </c>
      <c r="IP119" t="str" cm="1">
        <f t="array" ref="IP119">IF(IM119="","",_xlfn.LET(_xlpm.nd,_xlfn.TEXTSPLIT(IM119,"|"),IF(COLUMNS(_xlpm.nd)&gt;2,A119&amp;"¦"&amp;INDEX(_xlpm.nd,2)&amp;"¦"&amp;INDEX(_xlpm.nd,3),"")))</f>
        <v/>
      </c>
      <c r="IQ119" t="str">
        <f t="shared" si="255"/>
        <v/>
      </c>
      <c r="IR119" t="str" cm="1">
        <f t="array" ref="IR119">IF(IM119="","",_xlfn.LET(_xlpm.nd,_xlfn.TEXTSPLIT(IM119,"|"),IF(COLUMNS(_xlpm.nd)&gt;3,A119&amp;"¦"&amp;INDEX(_xlpm.nd,3)&amp;"¦"&amp;INDEX(_xlpm.nd,4),"")))</f>
        <v/>
      </c>
      <c r="IS119" t="str">
        <f t="shared" si="256"/>
        <v/>
      </c>
      <c r="IT119" t="str" cm="1">
        <f t="array" ref="IT119">IF(IM119="","",_xlfn.LET(_xlpm.nd,_xlfn.TEXTSPLIT(IM119,"|"),IF(COLUMNS(_xlpm.nd)&gt;4,A119&amp;"¦"&amp;INDEX(_xlpm.nd,4)&amp;"¦"&amp;INDEX(_xlpm.nd,5),"")))</f>
        <v/>
      </c>
      <c r="IU119" t="str">
        <f t="shared" si="257"/>
        <v/>
      </c>
      <c r="IV119" t="str" cm="1">
        <f t="array" ref="IV119">IF(IM119="","",_xlfn.LET(_xlpm.nd,_xlfn.TEXTSPLIT(IM119,"|"),IF(COLUMNS(_xlpm.nd)&gt;5,A119&amp;"¦"&amp;INDEX(_xlpm.nd,5)&amp;"¦"&amp;INDEX(_xlpm.nd,6),"")))</f>
        <v/>
      </c>
      <c r="IW119" t="str">
        <f t="shared" si="258"/>
        <v/>
      </c>
      <c r="IX119" t="str" cm="1">
        <f t="array" ref="IX119">IF(IM119="","",_xlfn.LET(_xlpm.nd,_xlfn.TEXTSPLIT(IM119,"|"),IF(COLUMNS(_xlpm.nd)&gt;6,A119&amp;"¦"&amp;INDEX(_xlpm.nd,6)&amp;"¦"&amp;INDEX(_xlpm.nd,7),"")))</f>
        <v/>
      </c>
      <c r="IY119" t="str">
        <f t="shared" si="259"/>
        <v/>
      </c>
      <c r="IZ119" t="str">
        <f t="shared" si="260"/>
        <v/>
      </c>
      <c r="JA119" t="str">
        <f t="shared" si="261"/>
        <v>QF17</v>
      </c>
      <c r="JB119">
        <f t="shared" si="262"/>
        <v>0</v>
      </c>
      <c r="JC119">
        <f t="shared" si="263"/>
        <v>0</v>
      </c>
      <c r="JD119" t="str">
        <f t="shared" si="264"/>
        <v/>
      </c>
      <c r="JE119" t="str">
        <f t="shared" si="265"/>
        <v/>
      </c>
      <c r="JF119" t="str">
        <f t="shared" si="266"/>
        <v/>
      </c>
      <c r="JG119" t="str">
        <f t="shared" si="267"/>
        <v/>
      </c>
      <c r="JH119">
        <f>IF(B119="","",IFERROR(_xlfn.XLOOKUP(B119,Коды_код,Коды_уго),IFERROR(_xlfn.XLOOKUP(BC119,Коды_код,Коды_уго),IFERROR(_xlfn.XLOOKUP(LEFT(BC119,2),Коды_код,Коды_уго),""))))</f>
        <v>0</v>
      </c>
      <c r="JI119" t="str">
        <f>IF(B119="","",IF(OR(JH119="",JH119=0),"BOX",IFERROR(IF(VLOOKUP(JH119,УГО_блоки,3,FALSE)&amp;""&lt;&gt;"",VLOOKUP(JH119,УГО_блоки,3,FALSE),VLOOKUP(JH119,УГО_блоки,2,FALSE)),JH119)))</f>
        <v>BOX</v>
      </c>
      <c r="JJ119">
        <f t="shared" si="268"/>
        <v>1</v>
      </c>
      <c r="JK119" t="str">
        <f>IF(DQ119="","",IF(COUNTIF(DQ$3:DQ119,DQ119)=1,MAX(JK$2:JK118)+1,""))</f>
        <v/>
      </c>
      <c r="JL119" t="str">
        <f>IF(DE119="","",IF(COUNTIF(DE$3:DE119,DE119)+COUNTIF(DF$2:DF118,DE119)+COUNTIF(DG$2:DG118,DE119)=1,MAX(JL$2:JN118)+1,""))</f>
        <v/>
      </c>
      <c r="JM119" t="str">
        <f>IF(DF119="","",IF(COUNTIF(DE$3:DE119,DF119)+COUNTIF(DF$3:DF119,DF119)+COUNTIF(DG$2:DG118,DF119)=1,MAX(JL$2:JN118,JL119)+1,""))</f>
        <v/>
      </c>
      <c r="JN119" t="str">
        <f>IF(DG119="","",IF(COUNTIF(DE$3:DE119,DG119)+COUNTIF(DF$3:DF119,DG119)+COUNTIF(DG$3:DG119,DG119)=1,MAX(JL$2:JN118,JL119,JM119)+1,""))</f>
        <v/>
      </c>
      <c r="JO119" t="str">
        <f t="shared" si="269"/>
        <v>3х1,5</v>
      </c>
      <c r="JP119" t="str">
        <f>IF(JO119="","",IF(COUNTIF(JO$3:JO119,JO119)=1,MAX(JP$2:JP118)+1,""))</f>
        <v/>
      </c>
      <c r="JQ119" t="str">
        <f>IF(HG119="","",COUNTIF(HG$3:HG119,"?*"))</f>
        <v/>
      </c>
      <c r="JR119" t="str">
        <f>IF(OR(HG119="",HI119=""),"",IF(COUNTIFS(HG$3:HG119,"?*",HI$3:HI119,HI119)=1,MAX(JR$2:JR118)+1,""))</f>
        <v/>
      </c>
      <c r="JS119">
        <f t="shared" si="270"/>
        <v>0</v>
      </c>
      <c r="JT119">
        <f>IF(B119="","",COUNTIF(B$3:B119,"?*"))</f>
        <v>117</v>
      </c>
      <c r="JU119">
        <f>IF(HL119&lt;&gt;1,0,_xlfn.LET(_xlpm.k,MAX(IFERROR(--_xlfn.XLOOKUP(B119,Коды_код,Коды_3L),0),IFERROR(--_xlfn.XLOOKUP(BC119,Коды_код,Коды_3L),0),IFERROR(--_xlfn.XLOOKUP(LEFT(BC119,2),Коды_код,Коды_3L),0)),IF(_xlpm.k&gt;0,_xlpm.k,IF(IFERROR(--LEFT(SUBSTITUTE(JO119,"x","х"),FIND("х",SUBSTITUTE(JO119,"x","х"))-1),3)&gt;3,Каталог!$S$9,1))))</f>
        <v>1</v>
      </c>
      <c r="JV119">
        <f t="shared" si="271"/>
        <v>0</v>
      </c>
      <c r="JW119" t="str">
        <f t="shared" si="272"/>
        <v>авто</v>
      </c>
      <c r="JX119" t="str">
        <f t="shared" si="273"/>
        <v/>
      </c>
      <c r="JY119">
        <f t="shared" si="274"/>
        <v>0</v>
      </c>
      <c r="JZ119">
        <f t="shared" si="275"/>
        <v>1</v>
      </c>
    </row>
    <row r="120" spans="1:286" x14ac:dyDescent="0.3">
      <c r="A120" t="s">
        <v>745</v>
      </c>
      <c r="B120" t="s">
        <v>1430</v>
      </c>
      <c r="C120" t="s">
        <v>1680</v>
      </c>
      <c r="D120">
        <v>1</v>
      </c>
      <c r="E120">
        <v>0.376</v>
      </c>
      <c r="G120">
        <v>10</v>
      </c>
      <c r="H120" t="str">
        <f>Линии[[#This Row],[_авто управление]]</f>
        <v/>
      </c>
      <c r="I120" t="str">
        <f>Линии[[#This Row],[_авто аппараты]]</f>
        <v/>
      </c>
      <c r="J120">
        <v>1.5</v>
      </c>
      <c r="K120">
        <v>40</v>
      </c>
      <c r="L120" t="str">
        <f>Линии[[#This Row],[_авто фаза]]</f>
        <v>L1</v>
      </c>
      <c r="M120" t="s">
        <v>484</v>
      </c>
      <c r="N120" t="str">
        <f t="shared" si="138"/>
        <v/>
      </c>
      <c r="O120" s="6" cm="1">
        <f t="array" ref="O120">IF(B120="","",IF(BH120&lt;&gt;"",IFERROR(_xlfn.XLOOKUP(BH120,Щиты[Щит],Щиты[Iр, А]),""),IF(BP120=1,IF(OR(N(_xlfn.XLOOKUP(A120,Щиты[Щит],Щиты[Вводов],1))&lt;=1,LOWER(TRIM(_xlfn.XLOOKUP(A120,Щиты[Щит],Щиты[АВР],"")&amp;""))="да"),IFERROR(_xlfn.XLOOKUP(A120,Щиты[Щит],Щиты[Iр, А]),""),IFERROR(N(BS120)*_xlfn.XLOOKUP(A120,Щиты[Щит],Щиты[Кс итог])/(SQRT(3)*Uн_лин*_xlfn.XLOOKUP(A120,Щиты[Щит],Щиты[cos φ])),"")),IF(BV120=1,IFERROR(BS120*1000/BU120,""),IFERROR(_xlfn.IFS(BX120=1,BS120/((Uн_лин/SQRT(3))*CE120),BX120=3,BS120/(SQRT(3)*Uн_лин*CE120)),"")))))</f>
        <v>2.0351596988934304</v>
      </c>
      <c r="P120" s="7">
        <f>IF(B120="","",IFERROR(IF(VLOOKUP(BC120,Потребители_обозначение,4,FALSE)=1,VLOOKUP(BC120,Потребители_обозначение,3,FALSE)*(MAX(1,N(D120))*2-1)+EI120+VLOOKUP(BE120,Этаж_обозначение,3,FALSE)+VLOOKUP(BE120,Этаж_обозначение,4,FALSE),VLOOKUP(BC120,Потребители_обозначение,3,FALSE)*(MAX(1,N(D120))*2-1)+EI120),EI120))</f>
        <v>42</v>
      </c>
      <c r="Q120" s="6">
        <f t="shared" si="139"/>
        <v>1.1400000000000001</v>
      </c>
      <c r="R120" t="str">
        <f t="shared" si="140"/>
        <v>ВВГнг(А)-LS (3х1,5)</v>
      </c>
      <c r="S120" t="str">
        <f>IF(BM120="","",IF(BN120="вводной узел","узел ","")&amp;"л."&amp;(INT((BM120-1)/Столбцов_на_лист)+1)&amp;" / "&amp;(MOD(BM120-1,Столбцов_на_лист)+1))</f>
        <v>л.2 / 15</v>
      </c>
      <c r="T120" s="119">
        <f t="shared" si="141"/>
        <v>1.2</v>
      </c>
      <c r="U120" s="7" t="str">
        <f>IF(OR(CG120=0,N(BV120)+N(IB120)=0),"",ROUNDUP(Запас_БП*(N(HY120)+N(HZ120)),0))</f>
        <v/>
      </c>
      <c r="V120" s="119" t="str">
        <f t="shared" si="142"/>
        <v/>
      </c>
      <c r="W120" s="7" t="str">
        <f>IFERROR(IF(OR(B120="",BP120=1,BV120=1,NOT(ISNUMBER(EN120)),N(DT120)=0),"",MAX(0,ROUNDDOWN((c_min*(Uн_лин*1000/SQRT(3))/(HT120*N(DT120))-_xlfn.XLOOKUP(A120,Щиты[Щит],Щиты[Zпетли на шинах, Ом]))*EN120/(2*ρкз_Cu),0))),"")</f>
        <v/>
      </c>
      <c r="Y120" t="str">
        <f>Линии[[#This Row],[_авто утечка]]</f>
        <v/>
      </c>
      <c r="Z120">
        <v>1</v>
      </c>
      <c r="AA120">
        <v>230</v>
      </c>
      <c r="AB120" t="s">
        <v>598</v>
      </c>
      <c r="AC120">
        <v>0.5</v>
      </c>
      <c r="AG120" t="s">
        <v>810</v>
      </c>
      <c r="AI120" t="s">
        <v>576</v>
      </c>
      <c r="AK120" t="str">
        <f>Линии[[#This Row],[_авто модуль]]</f>
        <v/>
      </c>
      <c r="AM120">
        <v>32</v>
      </c>
      <c r="AN120" t="s">
        <v>11</v>
      </c>
      <c r="AO120">
        <v>3</v>
      </c>
      <c r="AQ120">
        <v>19</v>
      </c>
      <c r="AR120">
        <v>23</v>
      </c>
      <c r="AT120">
        <v>1</v>
      </c>
      <c r="BA120" cm="1">
        <f t="array" ref="BA120">ROW()-ROW(Линии[#Headers])</f>
        <v>118</v>
      </c>
      <c r="BC120" s="6" t="str">
        <f t="shared" si="143"/>
        <v>K</v>
      </c>
      <c r="BD120" t="str">
        <f t="shared" si="144"/>
        <v>1.002AБ.1</v>
      </c>
      <c r="BE120" t="str">
        <f t="shared" si="145"/>
        <v>1</v>
      </c>
      <c r="BF120" t="str">
        <f t="shared" si="146"/>
        <v>002AБ.1</v>
      </c>
      <c r="BG120" t="str">
        <f t="shared" si="147"/>
        <v>002AБ</v>
      </c>
      <c r="BH120" t="str">
        <f>IF(X120&lt;&gt;"",X120,IF(AND(B120&lt;&gt;"",B120&lt;&gt;A120,ISNUMBER(_xlfn.XMATCH(B120,Щиты[Щит]))),B120,""))</f>
        <v/>
      </c>
      <c r="BI120" t="str" cm="1">
        <f t="array" ref="BI120">IF(B120="","",IF(BH120&lt;&gt;"","Щит "&amp;BH120,_xlfn.LET(_xlpm.nm,IFERROR(_xlfn.XLOOKUP(BC120,Коды_код,Коды_имя)&amp;"",""),_xlpm.md,IFERROR(N(_xlfn.XLOOKUP(BC120,Коды_код,Коды_режим)),1),_xlpm.ex,IF(Имя_режим="по экспликации",IFERROR(_xlfn.XLOOKUP(BE120&amp;"|"&amp;BG120,Экспликация[Этаж]&amp;"|"&amp;Экспликация[Помещение],Экспликация[Название])&amp;"",""),""),_xlpm.rm,IF(BG120="","",IF(_xlpm.ex&lt;&gt;"",". "&amp;_xlpm.ex&amp;IF(Имя_пом="нет"," ("&amp;BG120&amp;")"," (пом. "&amp;BG120&amp;")"),IF(Имя_пом="нет"," ",", пом. ")&amp;BG120)),IF(_xlpm.nm="","",IF(_xlpm.md=2,_xlpm.nm&amp;" шлейф "&amp;BE120,_xlpm.nm&amp;_xlpm.rm)))))</f>
        <v>Внутренний блок кондиционирования, пом. 002AБ</v>
      </c>
      <c r="BJ120" t="str">
        <f t="shared" si="148"/>
        <v>Внутренний блок кондиционирования подвальный этаж Пом. №001Т</v>
      </c>
      <c r="BK120">
        <f>IFERROR(_xlfn.XMATCH(A120,Щиты[Щит]),0)</f>
        <v>6</v>
      </c>
      <c r="BL120">
        <f>_xlfn.LET(_xlpm.k,IFERROR(_xlfn.XLOOKUP(A120,Щиты[Щит],Щиты[Мест под вводной узел]),""),IF(_xlpm.k="",Столбцов_на_лист,N(_xlpm.k)))</f>
        <v>12</v>
      </c>
      <c r="BM120">
        <f t="shared" si="149"/>
        <v>32</v>
      </c>
      <c r="BN120" t="str">
        <f t="shared" si="150"/>
        <v>линии</v>
      </c>
      <c r="BO120" s="6">
        <f>IFERROR(N(_xlfn.XLOOKUP(BC120,Коды_код,Коды_квт)),0)</f>
        <v>0</v>
      </c>
      <c r="BP120">
        <f t="shared" si="151"/>
        <v>0</v>
      </c>
      <c r="BQ120" t="str">
        <f>IF(B120="","",IF(BH120&lt;&gt;"",IFERROR(_xlfn.XLOOKUP(BH120,Щиты[Щит],Щиты[Руст, кВт]),0),IF(BP120=1,IF(OR(N(_xlfn.XLOOKUP(A120,Щиты[Щит],Щиты[Вводов],1))&lt;=1,LOWER(TRIM(_xlfn.XLOOKUP(A120,Щиты[Щит],Щиты[АВР],"")&amp;""))="да"),IFERROR(_xlfn.XLOOKUP(A120,Щиты[Щит],Щиты[Руст, кВт]),0),SUMIFS(Линии[_Р для вводов],Линии[Щит],A120,Линии[Источник для режимов],GF120)),IF(BO120&gt;0,ROUND(BO120*MAX(1,N(D120)),3),""))))</f>
        <v/>
      </c>
      <c r="BR120">
        <f t="shared" si="152"/>
        <v>0.376</v>
      </c>
      <c r="BS120" s="6">
        <f>IF(B120="","",IF(BH120&lt;&gt;"",IFERROR(_xlfn.XLOOKUP(BH120,Щиты[Щит],Щиты[Руст, кВт]),0),N(BR120)))</f>
        <v>0.376</v>
      </c>
      <c r="BT120" t="str">
        <f>IF(B120="","",IFERROR(IF(VLOOKUP(BC120,Потребители_обозначение,8,FALSE)=0,"",VLOOKUP(BC120,Потребители_обозначение,8,FALSE)),""))</f>
        <v/>
      </c>
      <c r="BU120">
        <f t="shared" si="153"/>
        <v>230</v>
      </c>
      <c r="BV120">
        <f t="shared" si="154"/>
        <v>0</v>
      </c>
      <c r="BW120">
        <f>IF(B120="","",IF(BH120&lt;&gt;"",3,IFERROR(IF(N(VLOOKUP(BC120,Потребители_обозначение,9,FALSE))=0,1,VLOOKUP(BC120,Потребители_обозначение,9,FALSE)),1)))</f>
        <v>1</v>
      </c>
      <c r="BX120">
        <f t="shared" si="155"/>
        <v>1</v>
      </c>
      <c r="BY120" t="str">
        <f>IF(B120="","",_xlfn.LET(_xlpm.bc,IFERROR(IF(VLOOKUP(BC120,Потребители_обозначение,6,FALSE)=0,"",VLOOKUP(BC120,Потребители_обозначение,6,FALSE)&amp;""),""),IF(AND(GA120="да",OR(_xlpm.bc="",_xlpm.bc="мс")),Марка_пож,IF(AND(_xlpm.bc="",BH120&lt;&gt;""),"мс",_xlpm.bc))))</f>
        <v/>
      </c>
      <c r="BZ120" t="str">
        <f t="shared" si="156"/>
        <v>мс</v>
      </c>
      <c r="CA120">
        <f>IF(B120="","",_xlfn.LET(_xlpm.cc,IFERROR(N(VLOOKUP(BC120,Потребители_обозначение,7,FALSE)),0),IF(_xlpm.cc&gt;0,_xlpm.cc,IF(BZ120="","",IF(BV120=1,2,IF(N(BX120)=3,5,3))))))</f>
        <v>3</v>
      </c>
      <c r="CB120">
        <f t="shared" si="157"/>
        <v>3</v>
      </c>
      <c r="CC120">
        <f>IFERROR(N(VLOOKUP(BC120,Потребители_обозначение,10,FALSE)),0)</f>
        <v>0</v>
      </c>
      <c r="CD120">
        <f>IFERROR(VLOOKUP(BC120,Потребители_обозначение,5,FALSE),0)</f>
        <v>1</v>
      </c>
      <c r="CE120" s="6" cm="1">
        <f t="array" ref="CE120">IF(B120="","",IF(BH120&lt;&gt;"",IFERROR(_xlfn.XLOOKUP(BH120,Щиты[Щит],Щиты[cos φ]),0.95),IF(BP120=1,IFERROR(_xlfn.XLOOKUP(A120,Щиты[Щит],Щиты[cos φ]),0.95),IF(ISNUMBER(AD120),AD120,IFERROR(IF(CD120=2,_xlfn.IFS(BX120=3,VLOOKUP(BS120,Справочная_двигатели,8,FALSE),BX120=1,VLOOKUP(BS120,Справочная_двигатели,10,TRUE)),IF(AND(Методика="нормы 2026",FG120="Сил"),0.8,0.95)),0.95)))))</f>
        <v>0.8</v>
      </c>
      <c r="CF120">
        <f t="shared" si="158"/>
        <v>0</v>
      </c>
      <c r="CG120">
        <f t="shared" si="159"/>
        <v>1</v>
      </c>
      <c r="CH120">
        <f t="shared" si="160"/>
        <v>0</v>
      </c>
      <c r="CI120">
        <f>IF(B120="","",IF(BV120=1,IFERROR(BS120/((Uн_лин/SQRT(3))*MAX(0.5,N(CE120))),0),N(O120)))</f>
        <v>2.0351596988934304</v>
      </c>
      <c r="CJ120">
        <f t="shared" si="161"/>
        <v>0</v>
      </c>
      <c r="CK120">
        <f t="shared" si="162"/>
        <v>0</v>
      </c>
      <c r="CL120">
        <f t="shared" si="163"/>
        <v>0</v>
      </c>
      <c r="CM120">
        <f t="shared" si="164"/>
        <v>0</v>
      </c>
      <c r="CN120">
        <f t="shared" si="165"/>
        <v>0</v>
      </c>
      <c r="CO120">
        <f>IF(BC120="",0,_xlfn.LET(_xlpm.v,IFERROR(_xlfn.XLOOKUP(B120,Коды_код,Коды_мА),IFERROR(_xlfn.XLOOKUP(BC120,Коды_код,Коды_мА),IFERROR(_xlfn.XLOOKUP(LEFT(BC120,2),Коды_код,Коды_мА),""))),IF(_xlpm.v="да",30,IF(ISNUMBER(_xlpm.v),_xlpm.v,0))))</f>
        <v>0</v>
      </c>
      <c r="CP120" t="str">
        <f t="shared" si="166"/>
        <v/>
      </c>
      <c r="CQ120" t="str">
        <f>_xlfn.LET(_xlpm.k,IFERROR(_xlfn.XLOOKUP(BC120,Коды_код,Коды_утечка)&amp;"",""),IF(_xlpm.k="","дифавтомат",_xlpm.k))</f>
        <v>дифавтомат</v>
      </c>
      <c r="CR120" t="str" cm="1">
        <f t="array" ref="CR120">IF(CG120=0,"",_xlfn.LET(_xlpm.sg,TRIM(_xlfn.TEXTSPLIT(DD120&amp;"",";")),_xlpm.f_,_xlfn._xlws.FILTER(_xlpm.sg,LEFT(_xlpm.sg,3)="УЗО",""),IFERROR(INDEX(_xlpm.f_,1)&amp;"","")))</f>
        <v/>
      </c>
      <c r="CS120" t="str">
        <f t="shared" si="167"/>
        <v/>
      </c>
      <c r="CT120" s="6" t="str" cm="1">
        <f t="array" ref="CT120">IF(CR120="","",_xlfn.LET(_xlpm.tk,_xlfn.TEXTSPLIT(UPPER(CR120)," ",,TRUE),_xlpm.a_,_xlfn._xlws.FILTER(_xlpm.tk,ISNUMBER(--LEFT(_xlpm.tk,1))*((ISNUMBER(SEARCH("А",_xlpm.tk))+ISNUMBER(SEARCH("A",_xlpm.tk)))&gt;0)*NOT(ISNUMBER(SEARCH("МА",_xlpm.tk)))*NOT(ISNUMBER(SEARCH("MA",_xlpm.tk))),""),IFERROR(--SUBSTITUTE(SUBSTITUTE(INDEX(_xlpm.a_,1),"А",""),"A",""),"")))</f>
        <v/>
      </c>
      <c r="CU120" t="str" cm="1">
        <f t="array" ref="CU120">IF(CR120="","",_xlfn.LET(_xlpm.tk,_xlfn.TEXTSPLIT(UPPER(CR120)," ",,TRUE),_xlpm.a_,_xlfn._xlws.FILTER(_xlpm.tk,ISNUMBER(--LEFT(_xlpm.tk,1))*((ISNUMBER(SEARCH("МА",_xlpm.tk))+ISNUMBER(SEARCH("MA",_xlpm.tk)))&gt;0),""),IFERROR(--SUBSTITUTE(SUBSTITUTE(INDEX(_xlpm.a_,1),"МА",""),"MA",""),30)))</f>
        <v/>
      </c>
      <c r="CV120" t="str">
        <f>IF(CS120="","",IFERROR(_xlfn.XLOOKUP(CS120,Линии[_n],Линии[_УЗО, мА]),30))</f>
        <v/>
      </c>
      <c r="CW120">
        <f>IF(CS120="",0,IF(ISNUMBER(SEARCH("4P",IFERROR(_xlfn.XLOOKUP(CS120,Линии[_n],Линии[_УЗО строки])&amp;"",""))),0,1))</f>
        <v>0</v>
      </c>
      <c r="CX120" t="str">
        <f>IF(AND(CS120&lt;&gt;"",CS120=BA120),SUMIFS(Линии[_ток на 230 В],Линии[_блок УЗО],BA120,Линии[Щит],A120),"")</f>
        <v/>
      </c>
      <c r="CY120" t="str">
        <f>IF(AND(CS120&lt;&gt;"",CS120=BA120),SUMIFS(Линии[_ток утечки линии, мА],Линии[_блок УЗО],BA120,Линии[Щит],A120),"")</f>
        <v/>
      </c>
      <c r="CZ120">
        <f t="shared" si="168"/>
        <v>0</v>
      </c>
      <c r="DA120">
        <f t="shared" si="169"/>
        <v>0</v>
      </c>
      <c r="DB120">
        <f>IF(B120="",0,IFERROR(--_xlfn.XLOOKUP(B120,Коды_код,Коды_минавт),IFERROR(--_xlfn.XLOOKUP(BC120,Коды_код,Коды_минавт),IFERROR(--_xlfn.XLOOKUP(LEFT(BC120,2),Коды_код,Коды_минавт),0))))</f>
        <v>0</v>
      </c>
      <c r="DC120" t="str">
        <f>IF(B120="","",IFERROR(_xlfn.XLOOKUP(BC120,Коды_код,Коды_апп)&amp;"",""))</f>
        <v/>
      </c>
      <c r="DD120" t="str">
        <f t="shared" si="170"/>
        <v/>
      </c>
      <c r="DE120" t="str" cm="1">
        <f t="array" ref="DE120">IF(TRIM(DD120&amp;"")="","",IFERROR(TRIM(INDEX(_xlfn.TEXTSPLIT(DD120&amp;";;;",";"),1)),""))</f>
        <v/>
      </c>
      <c r="DF120" t="str" cm="1">
        <f t="array" ref="DF120">IF(TRIM(DD120&amp;"")="","",IFERROR(TRIM(INDEX(_xlfn.TEXTSPLIT(DD120&amp;";;;",";"),2)),""))</f>
        <v/>
      </c>
      <c r="DG120" t="str" cm="1">
        <f t="array" ref="DG120">IF(TRIM(DD120&amp;"")="","",IFERROR(TRIM(INDEX(_xlfn.TEXTSPLIT(DD120&amp;";;;",";"),3)),""))</f>
        <v/>
      </c>
      <c r="DH120">
        <f t="shared" si="171"/>
        <v>0</v>
      </c>
      <c r="DI120" t="str">
        <f>IF(B120="","",_xlfn.LET(_xlpm.t,LOWER(AZ120&amp;""),IF(ISNUMBER(SEARCH("dim",_xlpm.t)),"DIM",IF(ISNUMBER(SEARCH("dali",_xlpm.t)),"DALI",IF(OR(ISNUMBER(SEARCH("relay",_xlpm.t)),ISNUMBER(SEARCH("реле",_xlpm.t))),"Relay",IF(ISNUMBER(SEARCH("кнопк",_xlpm.t)),"",IFERROR(_xlfn.XLOOKUP(BC120,Коды_код,Коды_упр)&amp;"","")))))))</f>
        <v/>
      </c>
      <c r="DJ120" t="str">
        <f t="shared" si="172"/>
        <v/>
      </c>
      <c r="DK120">
        <f>IF(B120="","",_xlfn.LET(_xlpm.ig,IF(N(CX120)&gt;0,N(CX120),N(CI120)+IF(AJ120="вручную",0,N(CJ120))),_xlpm.n0,IFERROR(VLOOKUP(_xlpm.ig,Автомат_номиналы,2,TRUE),0),_xlpm.mn,MAX(DB120,IF(AJ120="вручную",0,N(CM120))),MAX(_xlpm.n0,_xlpm.mn,IF(DH120=1,Мин_автомат_БП,0))))</f>
        <v>6</v>
      </c>
      <c r="DL120">
        <f t="shared" si="173"/>
        <v>1</v>
      </c>
      <c r="DM120" t="str">
        <f t="shared" si="174"/>
        <v>1P</v>
      </c>
      <c r="DN120" t="str">
        <f>_xlfn.LET(_xlpm.cc,UPPER(TRIM(IFERROR(_xlfn.XLOOKUP(BC120,Коды_код,Коды_хар)&amp;"",""))),IF(OR(_xlpm.cc="B",_xlpm.cc="В"),"B",IF(_xlpm.cc="D","D","С")))</f>
        <v>С</v>
      </c>
      <c r="DO120" t="str">
        <f t="shared" si="175"/>
        <v>1P С6А</v>
      </c>
      <c r="DP120">
        <f t="shared" si="176"/>
        <v>10</v>
      </c>
      <c r="DQ120" t="str">
        <f t="shared" si="177"/>
        <v>1P С10А</v>
      </c>
      <c r="DR120" cm="1">
        <f t="array" ref="DR120">IF(DQ120="","",_xlfn.LET(_xlpm.t,SUBSTITUTE(SUBSTITUTE(SUBSTITUTE(UPPER(DQ120),"С","C"),"А","A"),"В","B"),_xlpm.tk,_xlfn.TEXTSPLIT(_xlpm.t," "),_xlpm.f,_xlfn._xlws.FILTER(_xlpm.tk,ISNUMBER(--MID(_xlpm.tk,2,1))*ISNUMBER(SEARCH(LEFT(_xlpm.tk,1)&amp;"#","B#C#D#"))*(LEN(_xlpm.tk)&gt;1),""),_xlpm.x,INDEX(_xlpm.f,1),IFERROR(--SUBSTITUTE(MID(_xlpm.x,2,9),"A",""),IFERROR(--SUBSTITUTE(INDEX(_xlfn._xlws.FILTER(_xlpm.tk,ISNUMBER(--SUBSTITUTE(_xlpm.tk,"A","")),""),1),"A",""),""))))</f>
        <v>10</v>
      </c>
      <c r="DS120" t="str">
        <f t="shared" si="178"/>
        <v>ok</v>
      </c>
      <c r="DT120">
        <f t="shared" si="179"/>
        <v>10</v>
      </c>
      <c r="DU120" t="str">
        <f t="shared" si="180"/>
        <v>1P С10А</v>
      </c>
      <c r="DV120">
        <f t="shared" si="181"/>
        <v>0</v>
      </c>
      <c r="DW120">
        <f t="shared" si="182"/>
        <v>0</v>
      </c>
      <c r="DX120">
        <f t="shared" si="183"/>
        <v>0</v>
      </c>
      <c r="DY120">
        <f t="shared" si="184"/>
        <v>2.0351596988934304</v>
      </c>
      <c r="DZ120">
        <f t="shared" si="185"/>
        <v>1</v>
      </c>
      <c r="EA120">
        <f>IF(ISNUMBER(AP120),AP120,К_прокл)</f>
        <v>1</v>
      </c>
      <c r="EB120">
        <f t="shared" si="186"/>
        <v>2</v>
      </c>
      <c r="EC120">
        <f>IFERROR(N(VLOOKUP(BZ120,Кабель_обозначение,3,FALSE)),1)</f>
        <v>1</v>
      </c>
      <c r="ED120">
        <f>IFERROR(N(_xlfn.XLOOKUP(A120,Щиты[Щит],Щиты[ΔU до шин, %])),0)</f>
        <v>0.24000000000000002</v>
      </c>
      <c r="EE120" t="str">
        <f>IFERROR(_xlfn.XLOOKUP(A120,Щиты[Щит],Щиты[Zпетли на шинах, Ом]),"")</f>
        <v/>
      </c>
      <c r="EF120">
        <f>IFERROR(N(_xlfn.XLOOKUP(A120,Щиты[Щит],Щиты[ΔU до шин (подбор), %])),0)</f>
        <v>0.36</v>
      </c>
      <c r="EG120" t="str">
        <f>IFERROR(_xlfn.XLOOKUP(A120,Щиты[Щит],Щиты[Zпетли на шинах (подбор), Ом]),"")</f>
        <v/>
      </c>
      <c r="EH120" t="str">
        <f t="shared" si="187"/>
        <v/>
      </c>
      <c r="EI120">
        <f t="shared" si="188"/>
        <v>40</v>
      </c>
      <c r="EJ120">
        <f t="shared" si="189"/>
        <v>2</v>
      </c>
      <c r="EK120">
        <f t="shared" si="190"/>
        <v>0.6</v>
      </c>
      <c r="EL120" s="6">
        <f>IF(B120="","",IF(BV120=1,dU_LED,IF(IFERROR(_xlfn.XLOOKUP(BC120,Коды_код,Коды_уго),"")="Светильник",3,4)+IF(Методика="нормы 2026",MIN(0.5,MAX(0,N(P120)-100)*0.005),0)))</f>
        <v>4</v>
      </c>
      <c r="EM120" cm="1">
        <f t="array" ref="EM120">IF(OR(B120="",BZ120="",EC120&lt;&gt;1),"",_xlfn.LET(_xlpm.sz,Iдоп_S,_xlpm.t_,CHOOSE(EB120,Iдоп_1ж,Iдоп_2ж,Iдоп_3ж)*DZ120*EA120,_xlpm.dcx,BV120=1,_xlpm.inn,IF(_xlpm.dcx,N(O120),N(DT120)),_xlpm.smin,MAX(1.5,CC120),_xlpm.L_,N(P120)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120)/N(BU120)*100,999),IFERROR(N(EJ120)*(_xlpm.rho*_xlpm.L_/_xlpm.sz*N(CE120)+_xlpm.xx*_xlpm.L_*N(EK120)/1000)*N(O120)/((Uн_лин/SQRT(3))*1000)*100,999)),_xlpm.kz,IF(OR(_xlpm.dcx,DW120=1,NOT(ISNUMBER(EG120)),_xlpm.L_=0,_xlpm.inn=0),1,IFERROR(--(c_min*(Uн_лин*1000/SQRT(3))/(EG120+2*ρкз_Cu*_xlpm.L_/_xlpm.sz)&gt;=HT120*_xlpm.inn),0)),_xlpm.ok,IFERROR((_xlpm.sz&gt;=_xlpm.smin)*(_xlpm.t_&gt;=_xlpm.inn)*IF(_xlpm.L_&gt;0,(_xlpm.du_+IF(_xlpm.dcx,0,EF120)&lt;=EL120+0.00001),1)*_xlpm.kz,0),_xlpm.r_,_xlfn._xlws.FILTER(_xlpm.sz,_xlpm.ok,"не подобрано"),INDEX(_xlpm.r_,1)))</f>
        <v>1.5</v>
      </c>
      <c r="EN120">
        <f t="shared" si="191"/>
        <v>1.5</v>
      </c>
      <c r="EO120" cm="1">
        <f t="array" ref="EO120">IF(OR(B120="",BZ120="",EC120&lt;&gt;1),"",_xlfn.LET(_xlpm.sz,Iдоп_S,_xlpm.t_,CHOOSE(EB120,Iдоп_1ж,Iдоп_2ж,Iдоп_3ж)*DZ120*EA120,_xlpm.ok,IFERROR((_xlpm.sz&gt;=MAX(1.5,CC120))*(_xlpm.t_&gt;=N(DT120)),0),_xlpm.r_,_xlfn._xlws.FILTER(_xlpm.sz,_xlpm.ok,""),INDEX(_xlpm.r_,1)))</f>
        <v>1.5</v>
      </c>
      <c r="EP120" s="6" cm="1">
        <f t="array" ref="EP120">IFERROR(ROUNDUP(N(EJ120)*(_xlfn.XLOOKUP(EO120,INDEX(Кабель_сопротивление,0,1),INDEX(Кабель_сопротивление,0,3))*N(P120)/EO120*N(CE120)+_xlfn.XLOOKUP(EO120,INDEX(Кабель_сопротивление,0,1),INDEX(Кабель_сопротивление,0,2))*N(P120)*N(EK120)/1000)*N(O120)/((Uн_лин/SQRT(3))*1000)*100,2),"")</f>
        <v>0.9</v>
      </c>
      <c r="EQ120">
        <f>IFERROR(2*ρкз_Cu*N(P120)/EO120,"")</f>
        <v>1.4728000000000001</v>
      </c>
      <c r="ER120">
        <f>IFERROR(VLOOKUP(EN120,Кабель_сопротивление,3,FALSE),"")</f>
        <v>2.2499999999999999E-2</v>
      </c>
      <c r="ES120">
        <f>IFERROR(VLOOKUP(EN120,Кабель_сопротивление,2,FALSE),"")</f>
        <v>0.11</v>
      </c>
      <c r="ET120">
        <f t="shared" si="192"/>
        <v>23</v>
      </c>
      <c r="EU120">
        <f t="shared" si="193"/>
        <v>0</v>
      </c>
      <c r="EV120">
        <f t="shared" si="194"/>
        <v>2.062723901855243</v>
      </c>
      <c r="EW120" s="6">
        <f>IFERROR(ROUNDUP(EV120/IF(BV120=1,BU120,(Uн_лин/SQRT(3))*1000)*100,2),"")</f>
        <v>0.9</v>
      </c>
      <c r="EX120" t="str">
        <f>IFERROR(VLOOKUP(BZ120,Кабель_обозначение,2,FALSE),"")</f>
        <v>ВВГнг(А)-LS</v>
      </c>
      <c r="EY120" t="str">
        <f t="shared" si="195"/>
        <v>ВВГнг(А)-LS (3х1,5)</v>
      </c>
      <c r="EZ120" t="str">
        <f t="shared" si="196"/>
        <v>ВВГнг(А)-LS (3х1,5)
L=42-0,9%</v>
      </c>
      <c r="FA120">
        <f>IFERROR(2*ρкз_Cu*P120/EN120,"")</f>
        <v>1.4728000000000001</v>
      </c>
      <c r="FB120">
        <f t="shared" si="197"/>
        <v>0.49000000000000005</v>
      </c>
      <c r="FC120" s="6" t="str">
        <f>IFERROR(IF(OR(B120="",BV120=1,NOT(ISNUMBER(EN120)),N(P120)=0),"",_xlfn.XLOOKUP(A120,Щиты[Щит],Щиты[Zпетли на шинах, Ом])+FA120),"")</f>
        <v/>
      </c>
      <c r="FD120" s="6" t="str">
        <f>IF(ISNUMBER(FC120),c_min*(Uн_лин*1000/SQRT(3))/FC120,"")</f>
        <v/>
      </c>
      <c r="FE120" s="6" t="str">
        <f>IFERROR(IF(OR(B120="",NOT(ISNUMBER(EN120))),"",1.05*(Uн_лин*1000/SQRT(3))/(_xlfn.XLOOKUP(A120,Щиты[Щит],Щиты[Zmax на шинах, Ом])+FB120)/1000),"")</f>
        <v/>
      </c>
      <c r="FF120" s="6" t="str">
        <f>IF(B120="","",IF(ISNUMBER(AC120),"Сил",IF(IFERROR(_xlfn.XLOOKUP(BC120,Коды_код,Коды_группа)&amp;"","")="","Быт",_xlfn.XLOOKUP(BC120,Коды_код,Коды_группа)&amp;"")))</f>
        <v>Сил</v>
      </c>
      <c r="FG120" s="6" t="str">
        <f t="shared" si="198"/>
        <v>Сил</v>
      </c>
      <c r="FH120" s="6">
        <f>IF(FG120="Щит","щит",IF(FG120="","",IF(FG120="Быт",IFERROR(_xlfn.XLOOKUP(A120,Щиты[Щит],Щиты[Кс быт]),1),IF(FG120="Сил",IF(ISNUMBER(AC120),AC120,IF(Методика="нормы 2026",IFERROR(_xlfn.XLOOKUP(A120,Щиты[Щит],Щиты[Кс силовых (табл. 7.5)]),1),1)),IF(OR(FG120="Пост",FG120="Отоп"),1,IF(FG120="ВНГ",0.7,0))))))</f>
        <v>0.5</v>
      </c>
      <c r="FI120">
        <f>IF(FG120="","",IF(AND(BP120=1,TRIM(AE120&amp;"")=""),IF(COUNTIFS(Линии[Щит],A120,Линии[Секция (1/2/3)],"&gt;=2")&gt;0,MIN(3,MAX(1,IFERROR(--BD120,1))),1),IFERROR(MIN(3,MAX(1,INT(--AE120))),1)))</f>
        <v>1</v>
      </c>
      <c r="FJ120">
        <f t="shared" si="199"/>
        <v>0.376</v>
      </c>
      <c r="FK120">
        <f t="shared" si="200"/>
        <v>0</v>
      </c>
      <c r="FL120">
        <f t="shared" si="201"/>
        <v>0.188</v>
      </c>
      <c r="FM120">
        <f t="shared" si="202"/>
        <v>0</v>
      </c>
      <c r="FN120">
        <f t="shared" si="203"/>
        <v>0</v>
      </c>
      <c r="FO120">
        <f t="shared" si="204"/>
        <v>0</v>
      </c>
      <c r="FP120">
        <f t="shared" si="205"/>
        <v>0.376</v>
      </c>
      <c r="FQ120">
        <f t="shared" si="206"/>
        <v>0.376</v>
      </c>
      <c r="FR120">
        <f t="shared" si="207"/>
        <v>0.30080000000000001</v>
      </c>
      <c r="FS120">
        <f>IF(CG120=1,IF(AND(CH120=1,CW120=1),0,IF(AND(CS120&lt;&gt;"",CS120=BA120,CW120=1),SUMIFS(Линии[_Р линии, кВт],Линии[_блок УЗО],BA120,Линии[Щит],A120),N(BS120)+IF(AJ120="вручную",0,N(CK120)))),0)</f>
        <v>0.376</v>
      </c>
      <c r="FT120" t="str">
        <f t="shared" si="208"/>
        <v/>
      </c>
      <c r="FU120" t="str">
        <f>IF(B120="","",IF(CG120=0,IF(BA120=1,"",FW119),IF(AND(CH120=1,CW120=1,CS120&lt;&gt;""),IFERROR(_xlfn.XLOOKUP(CS120,Линии[_n],Линии[_фаза итог]),"L1"),IF(OR(N(DL120)&gt;=3,N(BX120)&gt;=3),"L1,L2,L3",IFERROR(_xlfn.TEXTBEFORE(_xlfn.TEXTAFTER(_xlfn.XLOOKUP(A120,Щиты[Щит],Щиты[_фазы авто]),";"&amp;BA120&amp;":"),";"),"L1")))))</f>
        <v>L1</v>
      </c>
      <c r="FV120" t="str">
        <f t="shared" si="209"/>
        <v>L1</v>
      </c>
      <c r="FW120" t="str">
        <f t="shared" si="210"/>
        <v>L1</v>
      </c>
      <c r="FX120" cm="1">
        <f t="array" ref="FX120">IFERROR(IF(CD120=2,_xlfn.IFS(BX120=3,VLOOKUP(BS120,Справочная_двигатели,3,FALSE),BX120=1,VLOOKUP(BS120,Справочная_двигатели,5,TRUE)),0),0)</f>
        <v>0</v>
      </c>
      <c r="FY120">
        <f>IFERROR(IF(CD120=3,VLOOKUP(BS120,Справочная_ЛЭД,2,TRUE),0),0)</f>
        <v>0</v>
      </c>
      <c r="FZ120" s="6">
        <f t="shared" si="211"/>
        <v>0</v>
      </c>
      <c r="GA120" t="str">
        <f>IF(B120="","",IF(TRIM(AH120&amp;"")&lt;&gt;"",IF(LOWER(TRIM(AH120&amp;""))="да","да","нет"),IF(IFERROR(_xlfn.XLOOKUP(BC120,Коды_код,Коды_пожарная),"")="да","да","нет")))</f>
        <v>нет</v>
      </c>
      <c r="GB120" t="str">
        <f t="shared" si="212"/>
        <v/>
      </c>
      <c r="GC120" t="str">
        <f t="shared" si="213"/>
        <v>основная</v>
      </c>
      <c r="GD120">
        <f>IF(AND(BP120=1,TRIM(AE120&amp;"")=""),IF(COUNTIFS(Линии[Щит],A120,Линии[Секция (1/2/3)],"&gt;=2")&gt;0,MIN(3,MAX(1,IFERROR(--BD120,1))),1),IFERROR(MIN(3,MAX(1,INT(--AE120))),1))</f>
        <v>1</v>
      </c>
      <c r="GE120" t="str" cm="1">
        <f t="array" ref="GE120">IF(B120="","",_xlfn.LET(_xlpm.t,IFERROR(_xlfn.XLOOKUP(1,(Шины[Шина]=GC120)*(((Шины[Щит]=A120)+(Шины[Щит]=""))&gt;0),Шины[Тип]),"")&amp;"",IF(_xlpm.t&lt;&gt;"",_xlpm.t,IF(ISNUMBER(SEARCH("ИБП",GC120)),"ИБП",IF(ISNUMBER(SEARCH("ДГУ",GC120)),"ДГУ","Ввод "&amp;GD120)))))</f>
        <v>Ввод 1</v>
      </c>
      <c r="GF120" t="str">
        <f t="shared" si="214"/>
        <v>Ввод 1</v>
      </c>
      <c r="GG120" t="str">
        <f>IF(BP120=0,"",IF(TRIM(AG120&amp;"")&lt;&gt;"",TRIM(AG120&amp;""),IF(OR(GE120="ИБП",GE120="ДГУ"),"I особая",_xlfn.XLOOKUP(A120,Щиты[Щит],Щиты[Категория шины «Ввод»],"III"))))</f>
        <v/>
      </c>
      <c r="GH120" t="str">
        <f>IF(A120="","",_xlfn.XLOOKUP(A120,Щиты[Щит],Щиты[Путь],""))</f>
        <v>|ГРЩ-ЖД|ЩОВ-01|</v>
      </c>
      <c r="GI120" t="str">
        <f>IF(B120="","",IF(AI120&lt;&gt;"",AI120,IF(IFERROR(_xlfn.XLOOKUP(BC120,Коды_код,Коды_вид)&amp;"","")="","Прочее",_xlfn.XLOOKUP(BC120,Коды_код,Коды_вид)&amp;"")))</f>
        <v>Кондиционирование и увлажнение</v>
      </c>
      <c r="GJ120">
        <f>IF(BM120="","",INT((BM120-1)/Столбцов_на_лист)+1)</f>
        <v>2</v>
      </c>
      <c r="GK120" t="str">
        <f t="shared" si="215"/>
        <v>ВВГнг(А)-LS (3х1,5) L=42-0,9%</v>
      </c>
      <c r="GL120">
        <f t="shared" si="216"/>
        <v>0.376</v>
      </c>
      <c r="GM120">
        <f t="shared" si="217"/>
        <v>2.0399999999999996</v>
      </c>
      <c r="GN120">
        <f t="shared" si="218"/>
        <v>1</v>
      </c>
      <c r="GO120">
        <f t="shared" si="219"/>
        <v>0</v>
      </c>
      <c r="GP120">
        <f t="shared" si="220"/>
        <v>1</v>
      </c>
      <c r="GQ120">
        <f>IF(BM120="","",IF(AND(CG120=1,GP120=1),COUNTIFS(A$3:A120,A120,CG$3:CG120,1,GP$3:GP120,1),IF(OR(OR(BA120=1,A120&lt;&gt;A119),AJ120="вручную",GP120=0),"",IF(BA120=1,"",GR119))))</f>
        <v>18</v>
      </c>
      <c r="GR120">
        <f t="shared" si="221"/>
        <v>18</v>
      </c>
      <c r="GS120">
        <f>IF(B120="","",IFERROR(LOOKUP(INDEX(CHOOSE(EB120,Iдоп_1ж,Iдоп_2ж,Iдоп_3ж),MATCH(EN120,Iдоп_S,0))*DZ120*EA120,{6,10,16,20,25,32,40,50,63,80,100,125,160,200,250,315,400,500,630}),""))</f>
        <v>16</v>
      </c>
      <c r="GT120" t="str">
        <f t="shared" si="222"/>
        <v>QF18</v>
      </c>
      <c r="GU120" t="str">
        <f t="shared" si="223"/>
        <v>QF18</v>
      </c>
      <c r="GV120" t="str">
        <f t="shared" si="224"/>
        <v/>
      </c>
      <c r="GW120">
        <f t="shared" si="225"/>
        <v>0</v>
      </c>
      <c r="GX120" t="str">
        <f>IF(OR(B120="",DJ120=""),"",IFERROR(_xlfn.XLOOKUP(DJ120,Модули_умолч[Управление],Модули_умолч[Модель])&amp;"",""))</f>
        <v/>
      </c>
      <c r="GY120">
        <f>IF(DJ120="",1,IFERROR(MAX(0,N(_xlfn.XLOOKUP(DJ120,Модули_умолч[Управление],Модули_умолч[Каналов на линию]))),1))</f>
        <v>1</v>
      </c>
      <c r="GZ120" t="str">
        <f t="shared" si="226"/>
        <v/>
      </c>
      <c r="HA120" t="str">
        <f t="shared" si="227"/>
        <v/>
      </c>
      <c r="HB120" t="str">
        <f t="shared" si="228"/>
        <v/>
      </c>
      <c r="HC120">
        <f>IF(HB120="",0,IFERROR(N(VLOOKUP(HB120,Модули_спр,3,FALSE)),0))</f>
        <v>0</v>
      </c>
      <c r="HD120" t="str">
        <f t="shared" si="229"/>
        <v/>
      </c>
      <c r="HE120" t="str">
        <f t="shared" si="230"/>
        <v/>
      </c>
      <c r="HF120" t="str">
        <f>IF(OR(HE120="",HE120="-"),"",IFERROR(VLOOKUP(HE120,Модули_спр,2,FALSE),"R"))</f>
        <v/>
      </c>
      <c r="HG120" t="str">
        <f>IF(HF120="","",HF120&amp;"."&amp;COUNTIFS(A$3:A120,A120,HF$3:HF120,HF120))</f>
        <v/>
      </c>
      <c r="HH120" t="str">
        <f t="shared" si="231"/>
        <v/>
      </c>
      <c r="HI120" t="str">
        <f t="shared" si="232"/>
        <v/>
      </c>
      <c r="HJ120" t="str">
        <f t="shared" si="233"/>
        <v/>
      </c>
      <c r="HK120" t="str">
        <f t="shared" si="234"/>
        <v/>
      </c>
      <c r="HL120">
        <f t="shared" si="235"/>
        <v>1</v>
      </c>
      <c r="HM120" t="str">
        <f>IF(HL120=1,"XT"&amp;COUNTIFS(A$3:A120,A120,HL$3:HL120,1),"")</f>
        <v>XT18</v>
      </c>
      <c r="HN120" t="str">
        <f t="shared" si="236"/>
        <v/>
      </c>
      <c r="HO120" t="str">
        <f t="shared" si="237"/>
        <v>QF18</v>
      </c>
      <c r="HP120" t="str">
        <f t="shared" si="238"/>
        <v/>
      </c>
      <c r="HQ120" t="str">
        <f t="shared" si="239"/>
        <v>ok</v>
      </c>
      <c r="HR120" t="str">
        <f>IF(OR(HJ120="",HH120=""),"",IF(HJ120+MAX(0,GY120-1)&gt;IFERROR(VLOOKUP(HI120,Модули_спр,3,FALSE),99),"ЛИШНИЙ КАНАЛ",IF(AND(AL120&lt;&gt;"=",GY120&gt;0,COUNTIFS(Линии[_модуль гр.],HH120,Линии[Канал (итог)],HJ120,Линии[Канал],"&lt;&gt;=",Линии[Щит],A120)&gt;1),"ДУБЛЬ КАНАЛА","")))</f>
        <v/>
      </c>
      <c r="HS120" s="6" t="str">
        <f t="shared" si="240"/>
        <v/>
      </c>
      <c r="HT120">
        <f t="shared" si="241"/>
        <v>10</v>
      </c>
      <c r="HU120" t="str">
        <f t="shared" si="242"/>
        <v/>
      </c>
      <c r="HV120">
        <f t="shared" si="243"/>
        <v>1.2340638795573722</v>
      </c>
      <c r="HW120">
        <f t="shared" si="244"/>
        <v>0</v>
      </c>
      <c r="HX120">
        <f t="shared" si="245"/>
        <v>0</v>
      </c>
      <c r="HY120">
        <f t="shared" si="246"/>
        <v>0</v>
      </c>
      <c r="HZ120">
        <f t="shared" si="247"/>
        <v>0</v>
      </c>
      <c r="IA120">
        <f t="shared" si="248"/>
        <v>0</v>
      </c>
      <c r="IB120">
        <f t="shared" si="249"/>
        <v>0</v>
      </c>
      <c r="IC120" t="str">
        <f t="shared" si="250"/>
        <v/>
      </c>
      <c r="ID120" t="str" cm="1">
        <f t="array" ref="ID120">IF(IC120="","",_xlfn.LET(_xlpm.tk,_xlfn.TEXTSPLIT(SUBSTITUTE(SUBSTITUTE(IC120,";"," "),"→"," ")," ",,TRUE),_xlpm.w_,_xlfn._xlws.FILTER(_xlpm.tk,ISNUMBER(--LEFT(_xlpm.tk,1))*((ISNUMBER(SEARCH("W",_xlpm.tk))+ISNUMBER(SEARCH("Вт",_xlpm.tk)))&gt;0),""),IFERROR(--SUBSTITUTE(SUBSTITUTE(UPPER(INDEX(_xlpm.w_,1)),"W",""),"ВТ",""),"")))</f>
        <v/>
      </c>
      <c r="IE120" t="str" cm="1">
        <f t="array" ref="IE120">IF(IC120="","",_xlfn.LET(_xlpm.tk,_xlfn.TEXTSPLIT(SUBSTITUTE(SUBSTITUTE(IC120,";"," "),"→"," ")," ",,TRUE),_xlpm.v_,_xlfn._xlws.FILTER(_xlpm.tk,ISNUMBER(--LEFT(_xlpm.tk,1))*((ISNUMBER(SEARCH("V",_xlpm.tk))+(RIGHT(UPPER(_xlpm.tk))="В"))&gt;0),""),IFERROR(--SUBSTITUTE(SUBSTITUTE(UPPER(INDEX(_xlpm.v_,1)),"V",""),"В",""),"")))</f>
        <v/>
      </c>
      <c r="IF120" s="6" t="str">
        <f>IF(OR(BV120=0,HI120="",HJ120=""),"",IFERROR(N(_xlfn.XLOOKUP(HI120,Каталог!$C$4:$C$500,Каталог!$Q$4:$Q$500)),""))</f>
        <v/>
      </c>
      <c r="IG120" s="6" t="str">
        <f>IF(N(IF120)=0,"",SUMIFS(Линии[Iр, А],Линии[Щит],A120,Линии[_модуль гр.],HH120,Линии[Канал (итог)],HJ120))</f>
        <v/>
      </c>
      <c r="IH120" t="str">
        <f>IF(AND(B120="",HO120=""),"",_xlfn.TEXTJOIN("; ",TRUE,IF(AND(B120&lt;&gt;"",FV120=""),"нет фазы",""),IF(AND(B120&lt;&gt;"",N(GL120)=0,FG120&lt;&gt;"Нет"),"нет мощности",""),IF(AND(HN120&lt;&gt;"",COUNTIFS(Линии[Щит],A120,Линии[Клемма (итог)],HN120)&gt;1),"дубль клеммы "&amp;HN120,""),IF(AND(HQ120&lt;&gt;"",HQ120&lt;&gt;"ok"),HQ120,""),IF(HR120&lt;&gt;"",HR120,""),IF(AND(N(CB120)&gt;=4,N(BX120)=1),CB120&amp;" жил на 1 фазе",""),IF(AND(BC120="R",CG120=1,IF(CS120&lt;&gt;"",N(CV120)&gt;30,OR(N(DA120)=0,N(DA120)&gt;30))),"розетка без дифзащиты до 30 мА",""),IF(AND(CG120=1,N(DA120)&gt;0,ISNUMBER(T120)),IF(T120&gt;N(DA120)/3,"ток утечки "&amp;FIXED(T120,1)&amp;" мА &gt; 1/3 уставки ("&amp;DA120&amp;" мА)",""),""),IF(AND(CH120=1,CS120=""),"«узо»: нет строки с УЗО выше (УЗО 2P 40А 30мА в «Аппаратах»)",""),IF(AND(CS120&lt;&gt;"",CS120=BA120),IF(CT120="","впишите номинал УЗО (УЗО 2P 40А 30мА)",IF(N(CT120)&lt;N(DT120),"УЗО "&amp;CT120&amp;" А &lt; автомата "&amp;DT120&amp;" А перед ним",IF(N(CT120)&lt;N(CX120),"УЗО "&amp;CT120&amp;" А &lt; тока блока "&amp;FIXED(CX120,1)&amp;" А",""))),""),IF(AND(CS120&lt;&gt;"",CS120=BA120,ISNUMBER(CY120)),IF(CY120&gt;N(CV120)/3,"ток утечки блока УЗО "&amp;FIXED(CY120,1)&amp;" мА &gt; 1/3 уставки ("&amp;CV120&amp;" мА)",""),""),IF(AND(CG120=1,N(BV120)+N(IB120)&gt;0,IC120=""),"линии до 50 В без БП: впишите в «Аппараты» (БП 24V 480W)",""),IF(AND(CG120=1,ISNUMBER(ID120),ISNUMBER(U120)),IF(U120&gt;ID120,"БП "&amp;ID120&amp;" Вт &lt; нужно "&amp;U120&amp;" Вт (×"&amp;Запас_БП&amp;")",""),""),IF(AND(CG120=1,ISNUMBER(IE120),N(BV120)=1),IF(IE120&lt;&gt;N(BU120),"БП на "&amp;IE120&amp;" В, линия "&amp;BU120&amp;" В",""),""),IF(AND(N(IF120)&gt;0,N(IG120)&gt;N(IF120)),HH120&amp;" канал "&amp;HJ120&amp;": "&amp;FIXED(IG120,1)&amp;" А &gt; "&amp;IF120&amp;" А",""),IFERROR(IF(AND(ISNUMBER(Q120),Q120&gt;EL120),"потери "&amp;FIXED(Q120,1)&amp;" % &gt; "&amp;EL120&amp;" %",""),""),IFERROR(IF(LEFT(HU120,4)="мало","Iкз мало — отключение &gt; 0,4 с",""),""),IF(AND(B120&lt;&gt;"",BM120=""),"не на схеме",""),IF(AND(CG120=0,B120&lt;&gt;"",FV120&lt;&gt;"",IF(BA120=1,"",FW119)&lt;&gt;"",FV120&lt;&gt;IF(BA120=1,"",FW119)),"фаза не как у автомата группы ("&amp;IF(BA120=1,"",FW119)&amp;")","")))</f>
        <v/>
      </c>
      <c r="II120" s="6">
        <f>IF(OR(CG120=0,DQ120=""),"",_xlfn.LET(_xlpm.t,IFERROR(_xlfn.XLOOKUP(DQ120,Каталог!$U$4:$U$500,Каталог!$G$4:$G$500),""),_xlpm.k,SEARCH("кА",_xlpm.t),IFERROR(--TRIM(RIGHT(SUBSTITUTE(MID(_xlpm.t,MAX(1,_xlpm.k-4),_xlpm.k-MAX(1,_xlpm.k-4))," ",REPT(" ",9)),5)),"")))</f>
        <v>6</v>
      </c>
      <c r="IJ120" t="str">
        <f>IF(OR(II120="",CG120=0),"",IF(_xlfn.XLOOKUP(A120,Щиты[Щит],Щиты[Iкз max на шинах, кА],"")="","",IF(II120&lt;_xlfn.XLOOKUP(A120,Щиты[Щит],Щиты[Iкз max на шинах, кА]),"Icu "&amp;II120&amp;" кА &lt; Iкз max","ok")))</f>
        <v/>
      </c>
      <c r="IK120" t="str">
        <f t="shared" si="251"/>
        <v/>
      </c>
      <c r="IL120" t="str">
        <f t="shared" si="252"/>
        <v>QF18</v>
      </c>
      <c r="IM120" t="str">
        <f t="shared" si="253"/>
        <v>QF18|кабель ВВГнг(А)-LS (3х1,5) → Внутренний блок кондиционирования подвальный этаж Пом. №001Т</v>
      </c>
      <c r="IN120" t="str" cm="1">
        <f t="array" ref="IN120">IF(IM120="","",_xlfn.LET(_xlpm.nd,_xlfn.TEXTSPLIT(IM120,"|"),IF(COLUMNS(_xlpm.nd)&gt;1,A120&amp;"¦"&amp;INDEX(_xlpm.nd,1)&amp;"¦"&amp;INDEX(_xlpm.nd,2),"")))</f>
        <v>ЩОВ-01¦QF18¦кабель ВВГнг(А)-LS (3х1,5) → Внутренний блок кондиционирования подвальный этаж Пом. №001Т</v>
      </c>
      <c r="IO120" t="str">
        <f t="shared" si="254"/>
        <v>K.1.002AБ.1¦Внутренний блок кондиционирования подвальный этаж Пом. №001Т</v>
      </c>
      <c r="IP120" t="str" cm="1">
        <f t="array" ref="IP120">IF(IM120="","",_xlfn.LET(_xlpm.nd,_xlfn.TEXTSPLIT(IM120,"|"),IF(COLUMNS(_xlpm.nd)&gt;2,A120&amp;"¦"&amp;INDEX(_xlpm.nd,2)&amp;"¦"&amp;INDEX(_xlpm.nd,3),"")))</f>
        <v/>
      </c>
      <c r="IQ120" t="str">
        <f t="shared" si="255"/>
        <v/>
      </c>
      <c r="IR120" t="str" cm="1">
        <f t="array" ref="IR120">IF(IM120="","",_xlfn.LET(_xlpm.nd,_xlfn.TEXTSPLIT(IM120,"|"),IF(COLUMNS(_xlpm.nd)&gt;3,A120&amp;"¦"&amp;INDEX(_xlpm.nd,3)&amp;"¦"&amp;INDEX(_xlpm.nd,4),"")))</f>
        <v/>
      </c>
      <c r="IS120" t="str">
        <f t="shared" si="256"/>
        <v/>
      </c>
      <c r="IT120" t="str" cm="1">
        <f t="array" ref="IT120">IF(IM120="","",_xlfn.LET(_xlpm.nd,_xlfn.TEXTSPLIT(IM120,"|"),IF(COLUMNS(_xlpm.nd)&gt;4,A120&amp;"¦"&amp;INDEX(_xlpm.nd,4)&amp;"¦"&amp;INDEX(_xlpm.nd,5),"")))</f>
        <v/>
      </c>
      <c r="IU120" t="str">
        <f t="shared" si="257"/>
        <v/>
      </c>
      <c r="IV120" t="str" cm="1">
        <f t="array" ref="IV120">IF(IM120="","",_xlfn.LET(_xlpm.nd,_xlfn.TEXTSPLIT(IM120,"|"),IF(COLUMNS(_xlpm.nd)&gt;5,A120&amp;"¦"&amp;INDEX(_xlpm.nd,5)&amp;"¦"&amp;INDEX(_xlpm.nd,6),"")))</f>
        <v/>
      </c>
      <c r="IW120" t="str">
        <f t="shared" si="258"/>
        <v/>
      </c>
      <c r="IX120" t="str" cm="1">
        <f t="array" ref="IX120">IF(IM120="","",_xlfn.LET(_xlpm.nd,_xlfn.TEXTSPLIT(IM120,"|"),IF(COLUMNS(_xlpm.nd)&gt;6,A120&amp;"¦"&amp;INDEX(_xlpm.nd,6)&amp;"¦"&amp;INDEX(_xlpm.nd,7),"")))</f>
        <v/>
      </c>
      <c r="IY120" t="str">
        <f t="shared" si="259"/>
        <v/>
      </c>
      <c r="IZ120" t="str">
        <f t="shared" si="260"/>
        <v/>
      </c>
      <c r="JA120" t="str">
        <f t="shared" si="261"/>
        <v>QF18</v>
      </c>
      <c r="JB120">
        <f t="shared" si="262"/>
        <v>0</v>
      </c>
      <c r="JC120">
        <f t="shared" si="263"/>
        <v>0</v>
      </c>
      <c r="JD120" t="str">
        <f t="shared" si="264"/>
        <v/>
      </c>
      <c r="JE120" t="str">
        <f t="shared" si="265"/>
        <v/>
      </c>
      <c r="JF120" t="str">
        <f t="shared" si="266"/>
        <v/>
      </c>
      <c r="JG120" t="str">
        <f t="shared" si="267"/>
        <v/>
      </c>
      <c r="JH120">
        <f>IF(B120="","",IFERROR(_xlfn.XLOOKUP(B120,Коды_код,Коды_уго),IFERROR(_xlfn.XLOOKUP(BC120,Коды_код,Коды_уго),IFERROR(_xlfn.XLOOKUP(LEFT(BC120,2),Коды_код,Коды_уго),""))))</f>
        <v>0</v>
      </c>
      <c r="JI120" t="str">
        <f>IF(B120="","",IF(OR(JH120="",JH120=0),"BOX",IFERROR(IF(VLOOKUP(JH120,УГО_блоки,3,FALSE)&amp;""&lt;&gt;"",VLOOKUP(JH120,УГО_блоки,3,FALSE),VLOOKUP(JH120,УГО_блоки,2,FALSE)),JH120)))</f>
        <v>BOX</v>
      </c>
      <c r="JJ120">
        <f t="shared" si="268"/>
        <v>1</v>
      </c>
      <c r="JK120" t="str">
        <f>IF(DQ120="","",IF(COUNTIF(DQ$3:DQ120,DQ120)=1,MAX(JK$2:JK119)+1,""))</f>
        <v/>
      </c>
      <c r="JL120" t="str">
        <f>IF(DE120="","",IF(COUNTIF(DE$3:DE120,DE120)+COUNTIF(DF$2:DF119,DE120)+COUNTIF(DG$2:DG119,DE120)=1,MAX(JL$2:JN119)+1,""))</f>
        <v/>
      </c>
      <c r="JM120" t="str">
        <f>IF(DF120="","",IF(COUNTIF(DE$3:DE120,DF120)+COUNTIF(DF$3:DF120,DF120)+COUNTIF(DG$2:DG119,DF120)=1,MAX(JL$2:JN119,JL120)+1,""))</f>
        <v/>
      </c>
      <c r="JN120" t="str">
        <f>IF(DG120="","",IF(COUNTIF(DE$3:DE120,DG120)+COUNTIF(DF$3:DF120,DG120)+COUNTIF(DG$3:DG120,DG120)=1,MAX(JL$2:JN119,JL120,JM120)+1,""))</f>
        <v/>
      </c>
      <c r="JO120" t="str">
        <f t="shared" si="269"/>
        <v>3х1,5</v>
      </c>
      <c r="JP120" t="str">
        <f>IF(JO120="","",IF(COUNTIF(JO$3:JO120,JO120)=1,MAX(JP$2:JP119)+1,""))</f>
        <v/>
      </c>
      <c r="JQ120" t="str">
        <f>IF(HG120="","",COUNTIF(HG$3:HG120,"?*"))</f>
        <v/>
      </c>
      <c r="JR120" t="str">
        <f>IF(OR(HG120="",HI120=""),"",IF(COUNTIFS(HG$3:HG120,"?*",HI$3:HI120,HI120)=1,MAX(JR$2:JR119)+1,""))</f>
        <v/>
      </c>
      <c r="JS120">
        <f t="shared" si="270"/>
        <v>0</v>
      </c>
      <c r="JT120">
        <f>IF(B120="","",COUNTIF(B$3:B120,"?*"))</f>
        <v>118</v>
      </c>
      <c r="JU120">
        <f>IF(HL120&lt;&gt;1,0,_xlfn.LET(_xlpm.k,MAX(IFERROR(--_xlfn.XLOOKUP(B120,Коды_код,Коды_3L),0),IFERROR(--_xlfn.XLOOKUP(BC120,Коды_код,Коды_3L),0),IFERROR(--_xlfn.XLOOKUP(LEFT(BC120,2),Коды_код,Коды_3L),0)),IF(_xlpm.k&gt;0,_xlpm.k,IF(IFERROR(--LEFT(SUBSTITUTE(JO120,"x","х"),FIND("х",SUBSTITUTE(JO120,"x","х"))-1),3)&gt;3,Каталог!$S$9,1))))</f>
        <v>1</v>
      </c>
      <c r="JV120">
        <f t="shared" si="271"/>
        <v>0</v>
      </c>
      <c r="JW120" t="str">
        <f t="shared" si="272"/>
        <v>авто</v>
      </c>
      <c r="JX120" t="str">
        <f t="shared" si="273"/>
        <v/>
      </c>
      <c r="JY120">
        <f t="shared" si="274"/>
        <v>0</v>
      </c>
      <c r="JZ120">
        <f t="shared" si="275"/>
        <v>1</v>
      </c>
    </row>
    <row r="121" spans="1:286" x14ac:dyDescent="0.3">
      <c r="A121" t="s">
        <v>745</v>
      </c>
      <c r="B121" t="s">
        <v>1431</v>
      </c>
      <c r="C121" t="s">
        <v>1680</v>
      </c>
      <c r="D121">
        <v>1</v>
      </c>
      <c r="E121">
        <v>0.376</v>
      </c>
      <c r="G121">
        <v>10</v>
      </c>
      <c r="H121" t="str">
        <f>Линии[[#This Row],[_авто управление]]</f>
        <v/>
      </c>
      <c r="I121" t="str">
        <f>Линии[[#This Row],[_авто аппараты]]</f>
        <v/>
      </c>
      <c r="J121">
        <v>1.5</v>
      </c>
      <c r="K121">
        <v>40</v>
      </c>
      <c r="L121" t="str">
        <f>Линии[[#This Row],[_авто фаза]]</f>
        <v>L3</v>
      </c>
      <c r="M121" t="s">
        <v>484</v>
      </c>
      <c r="N121" t="str">
        <f t="shared" si="138"/>
        <v/>
      </c>
      <c r="O121" s="6" cm="1">
        <f t="array" ref="O121">IF(B121="","",IF(BH121&lt;&gt;"",IFERROR(_xlfn.XLOOKUP(BH121,Щиты[Щит],Щиты[Iр, А]),""),IF(BP121=1,IF(OR(N(_xlfn.XLOOKUP(A121,Щиты[Щит],Щиты[Вводов],1))&lt;=1,LOWER(TRIM(_xlfn.XLOOKUP(A121,Щиты[Щит],Щиты[АВР],"")&amp;""))="да"),IFERROR(_xlfn.XLOOKUP(A121,Щиты[Щит],Щиты[Iр, А]),""),IFERROR(N(BS121)*_xlfn.XLOOKUP(A121,Щиты[Щит],Щиты[Кс итог])/(SQRT(3)*Uн_лин*_xlfn.XLOOKUP(A121,Щиты[Щит],Щиты[cos φ])),"")),IF(BV121=1,IFERROR(BS121*1000/BU121,""),IFERROR(_xlfn.IFS(BX121=1,BS121/((Uн_лин/SQRT(3))*CE121),BX121=3,BS121/(SQRT(3)*Uн_лин*CE121)),"")))))</f>
        <v>2.0351596988934304</v>
      </c>
      <c r="P121" s="7">
        <f>IF(B121="","",IFERROR(IF(VLOOKUP(BC121,Потребители_обозначение,4,FALSE)=1,VLOOKUP(BC121,Потребители_обозначение,3,FALSE)*(MAX(1,N(D121))*2-1)+EI121+VLOOKUP(BE121,Этаж_обозначение,3,FALSE)+VLOOKUP(BE121,Этаж_обозначение,4,FALSE),VLOOKUP(BC121,Потребители_обозначение,3,FALSE)*(MAX(1,N(D121))*2-1)+EI121),EI121))</f>
        <v>42</v>
      </c>
      <c r="Q121" s="6">
        <f t="shared" si="139"/>
        <v>1.1400000000000001</v>
      </c>
      <c r="R121" t="str">
        <f t="shared" si="140"/>
        <v>ВВГнг(А)-LS (3х1,5)</v>
      </c>
      <c r="S121" t="str">
        <f>IF(BM121="","",IF(BN121="вводной узел","узел ","")&amp;"л."&amp;(INT((BM121-1)/Столбцов_на_лист)+1)&amp;" / "&amp;(MOD(BM121-1,Столбцов_на_лист)+1))</f>
        <v>л.2 / 16</v>
      </c>
      <c r="T121" s="119">
        <f t="shared" si="141"/>
        <v>1.2</v>
      </c>
      <c r="U121" s="7" t="str">
        <f>IF(OR(CG121=0,N(BV121)+N(IB121)=0),"",ROUNDUP(Запас_БП*(N(HY121)+N(HZ121)),0))</f>
        <v/>
      </c>
      <c r="V121" s="119" t="str">
        <f t="shared" si="142"/>
        <v/>
      </c>
      <c r="W121" s="7" t="str">
        <f>IFERROR(IF(OR(B121="",BP121=1,BV121=1,NOT(ISNUMBER(EN121)),N(DT121)=0),"",MAX(0,ROUNDDOWN((c_min*(Uн_лин*1000/SQRT(3))/(HT121*N(DT121))-_xlfn.XLOOKUP(A121,Щиты[Щит],Щиты[Zпетли на шинах, Ом]))*EN121/(2*ρкз_Cu),0))),"")</f>
        <v/>
      </c>
      <c r="Y121" t="str">
        <f>Линии[[#This Row],[_авто утечка]]</f>
        <v/>
      </c>
      <c r="Z121">
        <v>1</v>
      </c>
      <c r="AA121">
        <v>230</v>
      </c>
      <c r="AB121" t="s">
        <v>598</v>
      </c>
      <c r="AC121">
        <v>0.5</v>
      </c>
      <c r="AG121" t="s">
        <v>810</v>
      </c>
      <c r="AI121" t="s">
        <v>576</v>
      </c>
      <c r="AK121" t="str">
        <f>Линии[[#This Row],[_авто модуль]]</f>
        <v/>
      </c>
      <c r="AM121">
        <v>33</v>
      </c>
      <c r="AN121" t="s">
        <v>11</v>
      </c>
      <c r="AO121">
        <v>3</v>
      </c>
      <c r="AQ121">
        <v>19</v>
      </c>
      <c r="AR121">
        <v>23</v>
      </c>
      <c r="AT121">
        <v>1</v>
      </c>
      <c r="BA121" cm="1">
        <f t="array" ref="BA121">ROW()-ROW(Линии[#Headers])</f>
        <v>119</v>
      </c>
      <c r="BC121" s="6" t="str">
        <f t="shared" si="143"/>
        <v>K</v>
      </c>
      <c r="BD121" t="str">
        <f t="shared" si="144"/>
        <v>1.002AБ.2</v>
      </c>
      <c r="BE121" t="str">
        <f t="shared" si="145"/>
        <v>1</v>
      </c>
      <c r="BF121" t="str">
        <f t="shared" si="146"/>
        <v>002AБ.2</v>
      </c>
      <c r="BG121" t="str">
        <f t="shared" si="147"/>
        <v>002AБ</v>
      </c>
      <c r="BH121" t="str">
        <f>IF(X121&lt;&gt;"",X121,IF(AND(B121&lt;&gt;"",B121&lt;&gt;A121,ISNUMBER(_xlfn.XMATCH(B121,Щиты[Щит]))),B121,""))</f>
        <v/>
      </c>
      <c r="BI121" t="str" cm="1">
        <f t="array" ref="BI121">IF(B121="","",IF(BH121&lt;&gt;"","Щит "&amp;BH121,_xlfn.LET(_xlpm.nm,IFERROR(_xlfn.XLOOKUP(BC121,Коды_код,Коды_имя)&amp;"",""),_xlpm.md,IFERROR(N(_xlfn.XLOOKUP(BC121,Коды_код,Коды_режим)),1),_xlpm.ex,IF(Имя_режим="по экспликации",IFERROR(_xlfn.XLOOKUP(BE121&amp;"|"&amp;BG121,Экспликация[Этаж]&amp;"|"&amp;Экспликация[Помещение],Экспликация[Название])&amp;"",""),""),_xlpm.rm,IF(BG121="","",IF(_xlpm.ex&lt;&gt;"",". "&amp;_xlpm.ex&amp;IF(Имя_пом="нет"," ("&amp;BG121&amp;")"," (пом. "&amp;BG121&amp;")"),IF(Имя_пом="нет"," ",", пом. ")&amp;BG121)),IF(_xlpm.nm="","",IF(_xlpm.md=2,_xlpm.nm&amp;" шлейф "&amp;BE121,_xlpm.nm&amp;_xlpm.rm)))))</f>
        <v>Внутренний блок кондиционирования, пом. 002AБ</v>
      </c>
      <c r="BJ121" t="str">
        <f t="shared" si="148"/>
        <v>Внутренний блок кондиционирования подвальный этаж Пом. №001Т</v>
      </c>
      <c r="BK121">
        <f>IFERROR(_xlfn.XMATCH(A121,Щиты[Щит]),0)</f>
        <v>6</v>
      </c>
      <c r="BL121">
        <f>_xlfn.LET(_xlpm.k,IFERROR(_xlfn.XLOOKUP(A121,Щиты[Щит],Щиты[Мест под вводной узел]),""),IF(_xlpm.k="",Столбцов_на_лист,N(_xlpm.k)))</f>
        <v>12</v>
      </c>
      <c r="BM121">
        <f t="shared" si="149"/>
        <v>33</v>
      </c>
      <c r="BN121" t="str">
        <f t="shared" si="150"/>
        <v>линии</v>
      </c>
      <c r="BO121" s="6">
        <f>IFERROR(N(_xlfn.XLOOKUP(BC121,Коды_код,Коды_квт)),0)</f>
        <v>0</v>
      </c>
      <c r="BP121">
        <f t="shared" si="151"/>
        <v>0</v>
      </c>
      <c r="BQ121" t="str">
        <f>IF(B121="","",IF(BH121&lt;&gt;"",IFERROR(_xlfn.XLOOKUP(BH121,Щиты[Щит],Щиты[Руст, кВт]),0),IF(BP121=1,IF(OR(N(_xlfn.XLOOKUP(A121,Щиты[Щит],Щиты[Вводов],1))&lt;=1,LOWER(TRIM(_xlfn.XLOOKUP(A121,Щиты[Щит],Щиты[АВР],"")&amp;""))="да"),IFERROR(_xlfn.XLOOKUP(A121,Щиты[Щит],Щиты[Руст, кВт]),0),SUMIFS(Линии[_Р для вводов],Линии[Щит],A121,Линии[Источник для режимов],GF121)),IF(BO121&gt;0,ROUND(BO121*MAX(1,N(D121)),3),""))))</f>
        <v/>
      </c>
      <c r="BR121">
        <f t="shared" si="152"/>
        <v>0.376</v>
      </c>
      <c r="BS121" s="6">
        <f>IF(B121="","",IF(BH121&lt;&gt;"",IFERROR(_xlfn.XLOOKUP(BH121,Щиты[Щит],Щиты[Руст, кВт]),0),N(BR121)))</f>
        <v>0.376</v>
      </c>
      <c r="BT121" t="str">
        <f>IF(B121="","",IFERROR(IF(VLOOKUP(BC121,Потребители_обозначение,8,FALSE)=0,"",VLOOKUP(BC121,Потребители_обозначение,8,FALSE)),""))</f>
        <v/>
      </c>
      <c r="BU121">
        <f t="shared" si="153"/>
        <v>230</v>
      </c>
      <c r="BV121">
        <f t="shared" si="154"/>
        <v>0</v>
      </c>
      <c r="BW121">
        <f>IF(B121="","",IF(BH121&lt;&gt;"",3,IFERROR(IF(N(VLOOKUP(BC121,Потребители_обозначение,9,FALSE))=0,1,VLOOKUP(BC121,Потребители_обозначение,9,FALSE)),1)))</f>
        <v>1</v>
      </c>
      <c r="BX121">
        <f t="shared" si="155"/>
        <v>1</v>
      </c>
      <c r="BY121" t="str">
        <f>IF(B121="","",_xlfn.LET(_xlpm.bc,IFERROR(IF(VLOOKUP(BC121,Потребители_обозначение,6,FALSE)=0,"",VLOOKUP(BC121,Потребители_обозначение,6,FALSE)&amp;""),""),IF(AND(GA121="да",OR(_xlpm.bc="",_xlpm.bc="мс")),Марка_пож,IF(AND(_xlpm.bc="",BH121&lt;&gt;""),"мс",_xlpm.bc))))</f>
        <v/>
      </c>
      <c r="BZ121" t="str">
        <f t="shared" si="156"/>
        <v>мс</v>
      </c>
      <c r="CA121">
        <f>IF(B121="","",_xlfn.LET(_xlpm.cc,IFERROR(N(VLOOKUP(BC121,Потребители_обозначение,7,FALSE)),0),IF(_xlpm.cc&gt;0,_xlpm.cc,IF(BZ121="","",IF(BV121=1,2,IF(N(BX121)=3,5,3))))))</f>
        <v>3</v>
      </c>
      <c r="CB121">
        <f t="shared" si="157"/>
        <v>3</v>
      </c>
      <c r="CC121">
        <f>IFERROR(N(VLOOKUP(BC121,Потребители_обозначение,10,FALSE)),0)</f>
        <v>0</v>
      </c>
      <c r="CD121">
        <f>IFERROR(VLOOKUP(BC121,Потребители_обозначение,5,FALSE),0)</f>
        <v>1</v>
      </c>
      <c r="CE121" s="6" cm="1">
        <f t="array" ref="CE121">IF(B121="","",IF(BH121&lt;&gt;"",IFERROR(_xlfn.XLOOKUP(BH121,Щиты[Щит],Щиты[cos φ]),0.95),IF(BP121=1,IFERROR(_xlfn.XLOOKUP(A121,Щиты[Щит],Щиты[cos φ]),0.95),IF(ISNUMBER(AD121),AD121,IFERROR(IF(CD121=2,_xlfn.IFS(BX121=3,VLOOKUP(BS121,Справочная_двигатели,8,FALSE),BX121=1,VLOOKUP(BS121,Справочная_двигатели,10,TRUE)),IF(AND(Методика="нормы 2026",FG121="Сил"),0.8,0.95)),0.95)))))</f>
        <v>0.8</v>
      </c>
      <c r="CF121">
        <f t="shared" si="158"/>
        <v>0</v>
      </c>
      <c r="CG121">
        <f t="shared" si="159"/>
        <v>1</v>
      </c>
      <c r="CH121">
        <f t="shared" si="160"/>
        <v>0</v>
      </c>
      <c r="CI121">
        <f>IF(B121="","",IF(BV121=1,IFERROR(BS121/((Uн_лин/SQRT(3))*MAX(0.5,N(CE121))),0),N(O121)))</f>
        <v>2.0351596988934304</v>
      </c>
      <c r="CJ121">
        <f t="shared" si="161"/>
        <v>0</v>
      </c>
      <c r="CK121">
        <f t="shared" si="162"/>
        <v>0</v>
      </c>
      <c r="CL121">
        <f t="shared" si="163"/>
        <v>0</v>
      </c>
      <c r="CM121">
        <f t="shared" si="164"/>
        <v>0</v>
      </c>
      <c r="CN121">
        <f t="shared" si="165"/>
        <v>0</v>
      </c>
      <c r="CO121">
        <f>IF(BC121="",0,_xlfn.LET(_xlpm.v,IFERROR(_xlfn.XLOOKUP(B121,Коды_код,Коды_мА),IFERROR(_xlfn.XLOOKUP(BC121,Коды_код,Коды_мА),IFERROR(_xlfn.XLOOKUP(LEFT(BC121,2),Коды_код,Коды_мА),""))),IF(_xlpm.v="да",30,IF(ISNUMBER(_xlpm.v),_xlpm.v,0))))</f>
        <v>0</v>
      </c>
      <c r="CP121" t="str">
        <f t="shared" si="166"/>
        <v/>
      </c>
      <c r="CQ121" t="str">
        <f>_xlfn.LET(_xlpm.k,IFERROR(_xlfn.XLOOKUP(BC121,Коды_код,Коды_утечка)&amp;"",""),IF(_xlpm.k="","дифавтомат",_xlpm.k))</f>
        <v>дифавтомат</v>
      </c>
      <c r="CR121" t="str" cm="1">
        <f t="array" ref="CR121">IF(CG121=0,"",_xlfn.LET(_xlpm.sg,TRIM(_xlfn.TEXTSPLIT(DD121&amp;"",";")),_xlpm.f_,_xlfn._xlws.FILTER(_xlpm.sg,LEFT(_xlpm.sg,3)="УЗО",""),IFERROR(INDEX(_xlpm.f_,1)&amp;"","")))</f>
        <v/>
      </c>
      <c r="CS121" t="str">
        <f t="shared" si="167"/>
        <v/>
      </c>
      <c r="CT121" s="6" t="str" cm="1">
        <f t="array" ref="CT121">IF(CR121="","",_xlfn.LET(_xlpm.tk,_xlfn.TEXTSPLIT(UPPER(CR121)," ",,TRUE),_xlpm.a_,_xlfn._xlws.FILTER(_xlpm.tk,ISNUMBER(--LEFT(_xlpm.tk,1))*((ISNUMBER(SEARCH("А",_xlpm.tk))+ISNUMBER(SEARCH("A",_xlpm.tk)))&gt;0)*NOT(ISNUMBER(SEARCH("МА",_xlpm.tk)))*NOT(ISNUMBER(SEARCH("MA",_xlpm.tk))),""),IFERROR(--SUBSTITUTE(SUBSTITUTE(INDEX(_xlpm.a_,1),"А",""),"A",""),"")))</f>
        <v/>
      </c>
      <c r="CU121" t="str" cm="1">
        <f t="array" ref="CU121">IF(CR121="","",_xlfn.LET(_xlpm.tk,_xlfn.TEXTSPLIT(UPPER(CR121)," ",,TRUE),_xlpm.a_,_xlfn._xlws.FILTER(_xlpm.tk,ISNUMBER(--LEFT(_xlpm.tk,1))*((ISNUMBER(SEARCH("МА",_xlpm.tk))+ISNUMBER(SEARCH("MA",_xlpm.tk)))&gt;0),""),IFERROR(--SUBSTITUTE(SUBSTITUTE(INDEX(_xlpm.a_,1),"МА",""),"MA",""),30)))</f>
        <v/>
      </c>
      <c r="CV121" t="str">
        <f>IF(CS121="","",IFERROR(_xlfn.XLOOKUP(CS121,Линии[_n],Линии[_УЗО, мА]),30))</f>
        <v/>
      </c>
      <c r="CW121">
        <f>IF(CS121="",0,IF(ISNUMBER(SEARCH("4P",IFERROR(_xlfn.XLOOKUP(CS121,Линии[_n],Линии[_УЗО строки])&amp;"",""))),0,1))</f>
        <v>0</v>
      </c>
      <c r="CX121" t="str">
        <f>IF(AND(CS121&lt;&gt;"",CS121=BA121),SUMIFS(Линии[_ток на 230 В],Линии[_блок УЗО],BA121,Линии[Щит],A121),"")</f>
        <v/>
      </c>
      <c r="CY121" t="str">
        <f>IF(AND(CS121&lt;&gt;"",CS121=BA121),SUMIFS(Линии[_ток утечки линии, мА],Линии[_блок УЗО],BA121,Линии[Щит],A121),"")</f>
        <v/>
      </c>
      <c r="CZ121">
        <f t="shared" si="168"/>
        <v>0</v>
      </c>
      <c r="DA121">
        <f t="shared" si="169"/>
        <v>0</v>
      </c>
      <c r="DB121">
        <f>IF(B121="",0,IFERROR(--_xlfn.XLOOKUP(B121,Коды_код,Коды_минавт),IFERROR(--_xlfn.XLOOKUP(BC121,Коды_код,Коды_минавт),IFERROR(--_xlfn.XLOOKUP(LEFT(BC121,2),Коды_код,Коды_минавт),0))))</f>
        <v>0</v>
      </c>
      <c r="DC121" t="str">
        <f>IF(B121="","",IFERROR(_xlfn.XLOOKUP(BC121,Коды_код,Коды_апп)&amp;"",""))</f>
        <v/>
      </c>
      <c r="DD121" t="str">
        <f t="shared" si="170"/>
        <v/>
      </c>
      <c r="DE121" t="str" cm="1">
        <f t="array" ref="DE121">IF(TRIM(DD121&amp;"")="","",IFERROR(TRIM(INDEX(_xlfn.TEXTSPLIT(DD121&amp;";;;",";"),1)),""))</f>
        <v/>
      </c>
      <c r="DF121" t="str" cm="1">
        <f t="array" ref="DF121">IF(TRIM(DD121&amp;"")="","",IFERROR(TRIM(INDEX(_xlfn.TEXTSPLIT(DD121&amp;";;;",";"),2)),""))</f>
        <v/>
      </c>
      <c r="DG121" t="str" cm="1">
        <f t="array" ref="DG121">IF(TRIM(DD121&amp;"")="","",IFERROR(TRIM(INDEX(_xlfn.TEXTSPLIT(DD121&amp;";;;",";"),3)),""))</f>
        <v/>
      </c>
      <c r="DH121">
        <f t="shared" si="171"/>
        <v>0</v>
      </c>
      <c r="DI121" t="str">
        <f>IF(B121="","",_xlfn.LET(_xlpm.t,LOWER(AZ121&amp;""),IF(ISNUMBER(SEARCH("dim",_xlpm.t)),"DIM",IF(ISNUMBER(SEARCH("dali",_xlpm.t)),"DALI",IF(OR(ISNUMBER(SEARCH("relay",_xlpm.t)),ISNUMBER(SEARCH("реле",_xlpm.t))),"Relay",IF(ISNUMBER(SEARCH("кнопк",_xlpm.t)),"",IFERROR(_xlfn.XLOOKUP(BC121,Коды_код,Коды_упр)&amp;"","")))))))</f>
        <v/>
      </c>
      <c r="DJ121" t="str">
        <f t="shared" si="172"/>
        <v/>
      </c>
      <c r="DK121">
        <f>IF(B121="","",_xlfn.LET(_xlpm.ig,IF(N(CX121)&gt;0,N(CX121),N(CI121)+IF(AJ121="вручную",0,N(CJ121))),_xlpm.n0,IFERROR(VLOOKUP(_xlpm.ig,Автомат_номиналы,2,TRUE),0),_xlpm.mn,MAX(DB121,IF(AJ121="вручную",0,N(CM121))),MAX(_xlpm.n0,_xlpm.mn,IF(DH121=1,Мин_автомат_БП,0))))</f>
        <v>6</v>
      </c>
      <c r="DL121">
        <f t="shared" si="173"/>
        <v>1</v>
      </c>
      <c r="DM121" t="str">
        <f t="shared" si="174"/>
        <v>1P</v>
      </c>
      <c r="DN121" t="str">
        <f>_xlfn.LET(_xlpm.cc,UPPER(TRIM(IFERROR(_xlfn.XLOOKUP(BC121,Коды_код,Коды_хар)&amp;"",""))),IF(OR(_xlpm.cc="B",_xlpm.cc="В"),"B",IF(_xlpm.cc="D","D","С")))</f>
        <v>С</v>
      </c>
      <c r="DO121" t="str">
        <f t="shared" si="175"/>
        <v>1P С6А</v>
      </c>
      <c r="DP121">
        <f t="shared" si="176"/>
        <v>10</v>
      </c>
      <c r="DQ121" t="str">
        <f t="shared" si="177"/>
        <v>1P С10А</v>
      </c>
      <c r="DR121" cm="1">
        <f t="array" ref="DR121">IF(DQ121="","",_xlfn.LET(_xlpm.t,SUBSTITUTE(SUBSTITUTE(SUBSTITUTE(UPPER(DQ121),"С","C"),"А","A"),"В","B"),_xlpm.tk,_xlfn.TEXTSPLIT(_xlpm.t," "),_xlpm.f,_xlfn._xlws.FILTER(_xlpm.tk,ISNUMBER(--MID(_xlpm.tk,2,1))*ISNUMBER(SEARCH(LEFT(_xlpm.tk,1)&amp;"#","B#C#D#"))*(LEN(_xlpm.tk)&gt;1),""),_xlpm.x,INDEX(_xlpm.f,1),IFERROR(--SUBSTITUTE(MID(_xlpm.x,2,9),"A",""),IFERROR(--SUBSTITUTE(INDEX(_xlfn._xlws.FILTER(_xlpm.tk,ISNUMBER(--SUBSTITUTE(_xlpm.tk,"A","")),""),1),"A",""),""))))</f>
        <v>10</v>
      </c>
      <c r="DS121" t="str">
        <f t="shared" si="178"/>
        <v>ok</v>
      </c>
      <c r="DT121">
        <f t="shared" si="179"/>
        <v>10</v>
      </c>
      <c r="DU121" t="str">
        <f t="shared" si="180"/>
        <v>1P С10А</v>
      </c>
      <c r="DV121">
        <f t="shared" si="181"/>
        <v>0</v>
      </c>
      <c r="DW121">
        <f t="shared" si="182"/>
        <v>0</v>
      </c>
      <c r="DX121">
        <f t="shared" si="183"/>
        <v>0</v>
      </c>
      <c r="DY121">
        <f t="shared" si="184"/>
        <v>2.0351596988934304</v>
      </c>
      <c r="DZ121">
        <f t="shared" si="185"/>
        <v>1</v>
      </c>
      <c r="EA121">
        <f>IF(ISNUMBER(AP121),AP121,К_прокл)</f>
        <v>1</v>
      </c>
      <c r="EB121">
        <f t="shared" si="186"/>
        <v>2</v>
      </c>
      <c r="EC121">
        <f>IFERROR(N(VLOOKUP(BZ121,Кабель_обозначение,3,FALSE)),1)</f>
        <v>1</v>
      </c>
      <c r="ED121">
        <f>IFERROR(N(_xlfn.XLOOKUP(A121,Щиты[Щит],Щиты[ΔU до шин, %])),0)</f>
        <v>0.24000000000000002</v>
      </c>
      <c r="EE121" t="str">
        <f>IFERROR(_xlfn.XLOOKUP(A121,Щиты[Щит],Щиты[Zпетли на шинах, Ом]),"")</f>
        <v/>
      </c>
      <c r="EF121">
        <f>IFERROR(N(_xlfn.XLOOKUP(A121,Щиты[Щит],Щиты[ΔU до шин (подбор), %])),0)</f>
        <v>0.36</v>
      </c>
      <c r="EG121" t="str">
        <f>IFERROR(_xlfn.XLOOKUP(A121,Щиты[Щит],Щиты[Zпетли на шинах (подбор), Ом]),"")</f>
        <v/>
      </c>
      <c r="EH121" t="str">
        <f t="shared" si="187"/>
        <v/>
      </c>
      <c r="EI121">
        <f t="shared" si="188"/>
        <v>40</v>
      </c>
      <c r="EJ121">
        <f t="shared" si="189"/>
        <v>2</v>
      </c>
      <c r="EK121">
        <f t="shared" si="190"/>
        <v>0.6</v>
      </c>
      <c r="EL121" s="6">
        <f>IF(B121="","",IF(BV121=1,dU_LED,IF(IFERROR(_xlfn.XLOOKUP(BC121,Коды_код,Коды_уго),"")="Светильник",3,4)+IF(Методика="нормы 2026",MIN(0.5,MAX(0,N(P121)-100)*0.005),0)))</f>
        <v>4</v>
      </c>
      <c r="EM121" cm="1">
        <f t="array" ref="EM121">IF(OR(B121="",BZ121="",EC121&lt;&gt;1),"",_xlfn.LET(_xlpm.sz,Iдоп_S,_xlpm.t_,CHOOSE(EB121,Iдоп_1ж,Iдоп_2ж,Iдоп_3ж)*DZ121*EA121,_xlpm.dcx,BV121=1,_xlpm.inn,IF(_xlpm.dcx,N(O121),N(DT121)),_xlpm.smin,MAX(1.5,CC121),_xlpm.L_,N(P121)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121)/N(BU121)*100,999),IFERROR(N(EJ121)*(_xlpm.rho*_xlpm.L_/_xlpm.sz*N(CE121)+_xlpm.xx*_xlpm.L_*N(EK121)/1000)*N(O121)/((Uн_лин/SQRT(3))*1000)*100,999)),_xlpm.kz,IF(OR(_xlpm.dcx,DW121=1,NOT(ISNUMBER(EG121)),_xlpm.L_=0,_xlpm.inn=0),1,IFERROR(--(c_min*(Uн_лин*1000/SQRT(3))/(EG121+2*ρкз_Cu*_xlpm.L_/_xlpm.sz)&gt;=HT121*_xlpm.inn),0)),_xlpm.ok,IFERROR((_xlpm.sz&gt;=_xlpm.smin)*(_xlpm.t_&gt;=_xlpm.inn)*IF(_xlpm.L_&gt;0,(_xlpm.du_+IF(_xlpm.dcx,0,EF121)&lt;=EL121+0.00001),1)*_xlpm.kz,0),_xlpm.r_,_xlfn._xlws.FILTER(_xlpm.sz,_xlpm.ok,"не подобрано"),INDEX(_xlpm.r_,1)))</f>
        <v>1.5</v>
      </c>
      <c r="EN121">
        <f t="shared" si="191"/>
        <v>1.5</v>
      </c>
      <c r="EO121" cm="1">
        <f t="array" ref="EO121">IF(OR(B121="",BZ121="",EC121&lt;&gt;1),"",_xlfn.LET(_xlpm.sz,Iдоп_S,_xlpm.t_,CHOOSE(EB121,Iдоп_1ж,Iдоп_2ж,Iдоп_3ж)*DZ121*EA121,_xlpm.ok,IFERROR((_xlpm.sz&gt;=MAX(1.5,CC121))*(_xlpm.t_&gt;=N(DT121)),0),_xlpm.r_,_xlfn._xlws.FILTER(_xlpm.sz,_xlpm.ok,""),INDEX(_xlpm.r_,1)))</f>
        <v>1.5</v>
      </c>
      <c r="EP121" s="6" cm="1">
        <f t="array" ref="EP121">IFERROR(ROUNDUP(N(EJ121)*(_xlfn.XLOOKUP(EO121,INDEX(Кабель_сопротивление,0,1),INDEX(Кабель_сопротивление,0,3))*N(P121)/EO121*N(CE121)+_xlfn.XLOOKUP(EO121,INDEX(Кабель_сопротивление,0,1),INDEX(Кабель_сопротивление,0,2))*N(P121)*N(EK121)/1000)*N(O121)/((Uн_лин/SQRT(3))*1000)*100,2),"")</f>
        <v>0.9</v>
      </c>
      <c r="EQ121">
        <f>IFERROR(2*ρкз_Cu*N(P121)/EO121,"")</f>
        <v>1.4728000000000001</v>
      </c>
      <c r="ER121">
        <f>IFERROR(VLOOKUP(EN121,Кабель_сопротивление,3,FALSE),"")</f>
        <v>2.2499999999999999E-2</v>
      </c>
      <c r="ES121">
        <f>IFERROR(VLOOKUP(EN121,Кабель_сопротивление,2,FALSE),"")</f>
        <v>0.11</v>
      </c>
      <c r="ET121">
        <f t="shared" si="192"/>
        <v>23</v>
      </c>
      <c r="EU121">
        <f t="shared" si="193"/>
        <v>0</v>
      </c>
      <c r="EV121">
        <f t="shared" si="194"/>
        <v>2.062723901855243</v>
      </c>
      <c r="EW121" s="6">
        <f>IFERROR(ROUNDUP(EV121/IF(BV121=1,BU121,(Uн_лин/SQRT(3))*1000)*100,2),"")</f>
        <v>0.9</v>
      </c>
      <c r="EX121" t="str">
        <f>IFERROR(VLOOKUP(BZ121,Кабель_обозначение,2,FALSE),"")</f>
        <v>ВВГнг(А)-LS</v>
      </c>
      <c r="EY121" t="str">
        <f t="shared" si="195"/>
        <v>ВВГнг(А)-LS (3х1,5)</v>
      </c>
      <c r="EZ121" t="str">
        <f t="shared" si="196"/>
        <v>ВВГнг(А)-LS (3х1,5)
L=42-0,9%</v>
      </c>
      <c r="FA121">
        <f>IFERROR(2*ρкз_Cu*P121/EN121,"")</f>
        <v>1.4728000000000001</v>
      </c>
      <c r="FB121">
        <f t="shared" si="197"/>
        <v>0.49000000000000005</v>
      </c>
      <c r="FC121" s="6" t="str">
        <f>IFERROR(IF(OR(B121="",BV121=1,NOT(ISNUMBER(EN121)),N(P121)=0),"",_xlfn.XLOOKUP(A121,Щиты[Щит],Щиты[Zпетли на шинах, Ом])+FA121),"")</f>
        <v/>
      </c>
      <c r="FD121" s="6" t="str">
        <f>IF(ISNUMBER(FC121),c_min*(Uн_лин*1000/SQRT(3))/FC121,"")</f>
        <v/>
      </c>
      <c r="FE121" s="6" t="str">
        <f>IFERROR(IF(OR(B121="",NOT(ISNUMBER(EN121))),"",1.05*(Uн_лин*1000/SQRT(3))/(_xlfn.XLOOKUP(A121,Щиты[Щит],Щиты[Zmax на шинах, Ом])+FB121)/1000),"")</f>
        <v/>
      </c>
      <c r="FF121" s="6" t="str">
        <f>IF(B121="","",IF(ISNUMBER(AC121),"Сил",IF(IFERROR(_xlfn.XLOOKUP(BC121,Коды_код,Коды_группа)&amp;"","")="","Быт",_xlfn.XLOOKUP(BC121,Коды_код,Коды_группа)&amp;"")))</f>
        <v>Сил</v>
      </c>
      <c r="FG121" s="6" t="str">
        <f t="shared" si="198"/>
        <v>Сил</v>
      </c>
      <c r="FH121" s="6">
        <f>IF(FG121="Щит","щит",IF(FG121="","",IF(FG121="Быт",IFERROR(_xlfn.XLOOKUP(A121,Щиты[Щит],Щиты[Кс быт]),1),IF(FG121="Сил",IF(ISNUMBER(AC121),AC121,IF(Методика="нормы 2026",IFERROR(_xlfn.XLOOKUP(A121,Щиты[Щит],Щиты[Кс силовых (табл. 7.5)]),1),1)),IF(OR(FG121="Пост",FG121="Отоп"),1,IF(FG121="ВНГ",0.7,0))))))</f>
        <v>0.5</v>
      </c>
      <c r="FI121">
        <f>IF(FG121="","",IF(AND(BP121=1,TRIM(AE121&amp;"")=""),IF(COUNTIFS(Линии[Щит],A121,Линии[Секция (1/2/3)],"&gt;=2")&gt;0,MIN(3,MAX(1,IFERROR(--BD121,1))),1),IFERROR(MIN(3,MAX(1,INT(--AE121))),1)))</f>
        <v>1</v>
      </c>
      <c r="FJ121">
        <f t="shared" si="199"/>
        <v>0.376</v>
      </c>
      <c r="FK121">
        <f t="shared" si="200"/>
        <v>0</v>
      </c>
      <c r="FL121">
        <f t="shared" si="201"/>
        <v>0.188</v>
      </c>
      <c r="FM121">
        <f t="shared" si="202"/>
        <v>0</v>
      </c>
      <c r="FN121">
        <f t="shared" si="203"/>
        <v>0</v>
      </c>
      <c r="FO121">
        <f t="shared" si="204"/>
        <v>0</v>
      </c>
      <c r="FP121">
        <f t="shared" si="205"/>
        <v>0.376</v>
      </c>
      <c r="FQ121">
        <f t="shared" si="206"/>
        <v>0.376</v>
      </c>
      <c r="FR121">
        <f t="shared" si="207"/>
        <v>0.30080000000000001</v>
      </c>
      <c r="FS121">
        <f>IF(CG121=1,IF(AND(CH121=1,CW121=1),0,IF(AND(CS121&lt;&gt;"",CS121=BA121,CW121=1),SUMIFS(Линии[_Р линии, кВт],Линии[_блок УЗО],BA121,Линии[Щит],A121),N(BS121)+IF(AJ121="вручную",0,N(CK121)))),0)</f>
        <v>0.376</v>
      </c>
      <c r="FT121" t="str">
        <f t="shared" si="208"/>
        <v/>
      </c>
      <c r="FU121" t="str">
        <f>IF(B121="","",IF(CG121=0,IF(BA121=1,"",FW120),IF(AND(CH121=1,CW121=1,CS121&lt;&gt;""),IFERROR(_xlfn.XLOOKUP(CS121,Линии[_n],Линии[_фаза итог]),"L1"),IF(OR(N(DL121)&gt;=3,N(BX121)&gt;=3),"L1,L2,L3",IFERROR(_xlfn.TEXTBEFORE(_xlfn.TEXTAFTER(_xlfn.XLOOKUP(A121,Щиты[Щит],Щиты[_фазы авто]),";"&amp;BA121&amp;":"),";"),"L1")))))</f>
        <v>L3</v>
      </c>
      <c r="FV121" t="str">
        <f t="shared" si="209"/>
        <v>L3</v>
      </c>
      <c r="FW121" t="str">
        <f t="shared" si="210"/>
        <v>L3</v>
      </c>
      <c r="FX121" cm="1">
        <f t="array" ref="FX121">IFERROR(IF(CD121=2,_xlfn.IFS(BX121=3,VLOOKUP(BS121,Справочная_двигатели,3,FALSE),BX121=1,VLOOKUP(BS121,Справочная_двигатели,5,TRUE)),0),0)</f>
        <v>0</v>
      </c>
      <c r="FY121">
        <f>IFERROR(IF(CD121=3,VLOOKUP(BS121,Справочная_ЛЭД,2,TRUE),0),0)</f>
        <v>0</v>
      </c>
      <c r="FZ121" s="6">
        <f t="shared" si="211"/>
        <v>0</v>
      </c>
      <c r="GA121" t="str">
        <f>IF(B121="","",IF(TRIM(AH121&amp;"")&lt;&gt;"",IF(LOWER(TRIM(AH121&amp;""))="да","да","нет"),IF(IFERROR(_xlfn.XLOOKUP(BC121,Коды_код,Коды_пожарная),"")="да","да","нет")))</f>
        <v>нет</v>
      </c>
      <c r="GB121" t="str">
        <f t="shared" si="212"/>
        <v/>
      </c>
      <c r="GC121" t="str">
        <f t="shared" si="213"/>
        <v>основная</v>
      </c>
      <c r="GD121">
        <f>IF(AND(BP121=1,TRIM(AE121&amp;"")=""),IF(COUNTIFS(Линии[Щит],A121,Линии[Секция (1/2/3)],"&gt;=2")&gt;0,MIN(3,MAX(1,IFERROR(--BD121,1))),1),IFERROR(MIN(3,MAX(1,INT(--AE121))),1))</f>
        <v>1</v>
      </c>
      <c r="GE121" t="str" cm="1">
        <f t="array" ref="GE121">IF(B121="","",_xlfn.LET(_xlpm.t,IFERROR(_xlfn.XLOOKUP(1,(Шины[Шина]=GC121)*(((Шины[Щит]=A121)+(Шины[Щит]=""))&gt;0),Шины[Тип]),"")&amp;"",IF(_xlpm.t&lt;&gt;"",_xlpm.t,IF(ISNUMBER(SEARCH("ИБП",GC121)),"ИБП",IF(ISNUMBER(SEARCH("ДГУ",GC121)),"ДГУ","Ввод "&amp;GD121)))))</f>
        <v>Ввод 1</v>
      </c>
      <c r="GF121" t="str">
        <f t="shared" si="214"/>
        <v>Ввод 1</v>
      </c>
      <c r="GG121" t="str">
        <f>IF(BP121=0,"",IF(TRIM(AG121&amp;"")&lt;&gt;"",TRIM(AG121&amp;""),IF(OR(GE121="ИБП",GE121="ДГУ"),"I особая",_xlfn.XLOOKUP(A121,Щиты[Щит],Щиты[Категория шины «Ввод»],"III"))))</f>
        <v/>
      </c>
      <c r="GH121" t="str">
        <f>IF(A121="","",_xlfn.XLOOKUP(A121,Щиты[Щит],Щиты[Путь],""))</f>
        <v>|ГРЩ-ЖД|ЩОВ-01|</v>
      </c>
      <c r="GI121" t="str">
        <f>IF(B121="","",IF(AI121&lt;&gt;"",AI121,IF(IFERROR(_xlfn.XLOOKUP(BC121,Коды_код,Коды_вид)&amp;"","")="","Прочее",_xlfn.XLOOKUP(BC121,Коды_код,Коды_вид)&amp;"")))</f>
        <v>Кондиционирование и увлажнение</v>
      </c>
      <c r="GJ121">
        <f>IF(BM121="","",INT((BM121-1)/Столбцов_на_лист)+1)</f>
        <v>2</v>
      </c>
      <c r="GK121" t="str">
        <f t="shared" si="215"/>
        <v>ВВГнг(А)-LS (3х1,5) L=42-0,9%</v>
      </c>
      <c r="GL121">
        <f t="shared" si="216"/>
        <v>0.376</v>
      </c>
      <c r="GM121">
        <f t="shared" si="217"/>
        <v>2.0399999999999996</v>
      </c>
      <c r="GN121">
        <f t="shared" si="218"/>
        <v>1</v>
      </c>
      <c r="GO121">
        <f t="shared" si="219"/>
        <v>0</v>
      </c>
      <c r="GP121">
        <f t="shared" si="220"/>
        <v>1</v>
      </c>
      <c r="GQ121">
        <f>IF(BM121="","",IF(AND(CG121=1,GP121=1),COUNTIFS(A$3:A121,A121,CG$3:CG121,1,GP$3:GP121,1),IF(OR(OR(BA121=1,A121&lt;&gt;A120),AJ121="вручную",GP121=0),"",IF(BA121=1,"",GR120))))</f>
        <v>19</v>
      </c>
      <c r="GR121">
        <f t="shared" si="221"/>
        <v>19</v>
      </c>
      <c r="GS121">
        <f>IF(B121="","",IFERROR(LOOKUP(INDEX(CHOOSE(EB121,Iдоп_1ж,Iдоп_2ж,Iдоп_3ж),MATCH(EN121,Iдоп_S,0))*DZ121*EA121,{6,10,16,20,25,32,40,50,63,80,100,125,160,200,250,315,400,500,630}),""))</f>
        <v>16</v>
      </c>
      <c r="GT121" t="str">
        <f t="shared" si="222"/>
        <v>QF19</v>
      </c>
      <c r="GU121" t="str">
        <f t="shared" si="223"/>
        <v>QF19</v>
      </c>
      <c r="GV121" t="str">
        <f t="shared" si="224"/>
        <v/>
      </c>
      <c r="GW121">
        <f t="shared" si="225"/>
        <v>0</v>
      </c>
      <c r="GX121" t="str">
        <f>IF(OR(B121="",DJ121=""),"",IFERROR(_xlfn.XLOOKUP(DJ121,Модули_умолч[Управление],Модули_умолч[Модель])&amp;"",""))</f>
        <v/>
      </c>
      <c r="GY121">
        <f>IF(DJ121="",1,IFERROR(MAX(0,N(_xlfn.XLOOKUP(DJ121,Модули_умолч[Управление],Модули_умолч[Каналов на линию]))),1))</f>
        <v>1</v>
      </c>
      <c r="GZ121" t="str">
        <f t="shared" si="226"/>
        <v/>
      </c>
      <c r="HA121" t="str">
        <f t="shared" si="227"/>
        <v/>
      </c>
      <c r="HB121" t="str">
        <f t="shared" si="228"/>
        <v/>
      </c>
      <c r="HC121">
        <f>IF(HB121="",0,IFERROR(N(VLOOKUP(HB121,Модули_спр,3,FALSE)),0))</f>
        <v>0</v>
      </c>
      <c r="HD121" t="str">
        <f t="shared" si="229"/>
        <v/>
      </c>
      <c r="HE121" t="str">
        <f t="shared" si="230"/>
        <v/>
      </c>
      <c r="HF121" t="str">
        <f>IF(OR(HE121="",HE121="-"),"",IFERROR(VLOOKUP(HE121,Модули_спр,2,FALSE),"R"))</f>
        <v/>
      </c>
      <c r="HG121" t="str">
        <f>IF(HF121="","",HF121&amp;"."&amp;COUNTIFS(A$3:A121,A121,HF$3:HF121,HF121))</f>
        <v/>
      </c>
      <c r="HH121" t="str">
        <f t="shared" si="231"/>
        <v/>
      </c>
      <c r="HI121" t="str">
        <f t="shared" si="232"/>
        <v/>
      </c>
      <c r="HJ121" t="str">
        <f t="shared" si="233"/>
        <v/>
      </c>
      <c r="HK121" t="str">
        <f t="shared" si="234"/>
        <v/>
      </c>
      <c r="HL121">
        <f t="shared" si="235"/>
        <v>1</v>
      </c>
      <c r="HM121" t="str">
        <f>IF(HL121=1,"XT"&amp;COUNTIFS(A$3:A121,A121,HL$3:HL121,1),"")</f>
        <v>XT19</v>
      </c>
      <c r="HN121" t="str">
        <f t="shared" si="236"/>
        <v/>
      </c>
      <c r="HO121" t="str">
        <f t="shared" si="237"/>
        <v>QF19</v>
      </c>
      <c r="HP121" t="str">
        <f t="shared" si="238"/>
        <v/>
      </c>
      <c r="HQ121" t="str">
        <f t="shared" si="239"/>
        <v>ok</v>
      </c>
      <c r="HR121" t="str">
        <f>IF(OR(HJ121="",HH121=""),"",IF(HJ121+MAX(0,GY121-1)&gt;IFERROR(VLOOKUP(HI121,Модули_спр,3,FALSE),99),"ЛИШНИЙ КАНАЛ",IF(AND(AL121&lt;&gt;"=",GY121&gt;0,COUNTIFS(Линии[_модуль гр.],HH121,Линии[Канал (итог)],HJ121,Линии[Канал],"&lt;&gt;=",Линии[Щит],A121)&gt;1),"ДУБЛЬ КАНАЛА","")))</f>
        <v/>
      </c>
      <c r="HS121" s="6" t="str">
        <f t="shared" si="240"/>
        <v/>
      </c>
      <c r="HT121">
        <f t="shared" si="241"/>
        <v>10</v>
      </c>
      <c r="HU121" t="str">
        <f t="shared" si="242"/>
        <v/>
      </c>
      <c r="HV121">
        <f t="shared" si="243"/>
        <v>1.2340638795573722</v>
      </c>
      <c r="HW121">
        <f t="shared" si="244"/>
        <v>0</v>
      </c>
      <c r="HX121">
        <f t="shared" si="245"/>
        <v>0</v>
      </c>
      <c r="HY121">
        <f t="shared" si="246"/>
        <v>0</v>
      </c>
      <c r="HZ121">
        <f t="shared" si="247"/>
        <v>0</v>
      </c>
      <c r="IA121">
        <f t="shared" si="248"/>
        <v>0</v>
      </c>
      <c r="IB121">
        <f t="shared" si="249"/>
        <v>0</v>
      </c>
      <c r="IC121" t="str">
        <f t="shared" si="250"/>
        <v/>
      </c>
      <c r="ID121" t="str" cm="1">
        <f t="array" ref="ID121">IF(IC121="","",_xlfn.LET(_xlpm.tk,_xlfn.TEXTSPLIT(SUBSTITUTE(SUBSTITUTE(IC121,";"," "),"→"," ")," ",,TRUE),_xlpm.w_,_xlfn._xlws.FILTER(_xlpm.tk,ISNUMBER(--LEFT(_xlpm.tk,1))*((ISNUMBER(SEARCH("W",_xlpm.tk))+ISNUMBER(SEARCH("Вт",_xlpm.tk)))&gt;0),""),IFERROR(--SUBSTITUTE(SUBSTITUTE(UPPER(INDEX(_xlpm.w_,1)),"W",""),"ВТ",""),"")))</f>
        <v/>
      </c>
      <c r="IE121" t="str" cm="1">
        <f t="array" ref="IE121">IF(IC121="","",_xlfn.LET(_xlpm.tk,_xlfn.TEXTSPLIT(SUBSTITUTE(SUBSTITUTE(IC121,";"," "),"→"," ")," ",,TRUE),_xlpm.v_,_xlfn._xlws.FILTER(_xlpm.tk,ISNUMBER(--LEFT(_xlpm.tk,1))*((ISNUMBER(SEARCH("V",_xlpm.tk))+(RIGHT(UPPER(_xlpm.tk))="В"))&gt;0),""),IFERROR(--SUBSTITUTE(SUBSTITUTE(UPPER(INDEX(_xlpm.v_,1)),"V",""),"В",""),"")))</f>
        <v/>
      </c>
      <c r="IF121" s="6" t="str">
        <f>IF(OR(BV121=0,HI121="",HJ121=""),"",IFERROR(N(_xlfn.XLOOKUP(HI121,Каталог!$C$4:$C$500,Каталог!$Q$4:$Q$500)),""))</f>
        <v/>
      </c>
      <c r="IG121" s="6" t="str">
        <f>IF(N(IF121)=0,"",SUMIFS(Линии[Iр, А],Линии[Щит],A121,Линии[_модуль гр.],HH121,Линии[Канал (итог)],HJ121))</f>
        <v/>
      </c>
      <c r="IH121" t="str">
        <f>IF(AND(B121="",HO121=""),"",_xlfn.TEXTJOIN("; ",TRUE,IF(AND(B121&lt;&gt;"",FV121=""),"нет фазы",""),IF(AND(B121&lt;&gt;"",N(GL121)=0,FG121&lt;&gt;"Нет"),"нет мощности",""),IF(AND(HN121&lt;&gt;"",COUNTIFS(Линии[Щит],A121,Линии[Клемма (итог)],HN121)&gt;1),"дубль клеммы "&amp;HN121,""),IF(AND(HQ121&lt;&gt;"",HQ121&lt;&gt;"ok"),HQ121,""),IF(HR121&lt;&gt;"",HR121,""),IF(AND(N(CB121)&gt;=4,N(BX121)=1),CB121&amp;" жил на 1 фазе",""),IF(AND(BC121="R",CG121=1,IF(CS121&lt;&gt;"",N(CV121)&gt;30,OR(N(DA121)=0,N(DA121)&gt;30))),"розетка без дифзащиты до 30 мА",""),IF(AND(CG121=1,N(DA121)&gt;0,ISNUMBER(T121)),IF(T121&gt;N(DA121)/3,"ток утечки "&amp;FIXED(T121,1)&amp;" мА &gt; 1/3 уставки ("&amp;DA121&amp;" мА)",""),""),IF(AND(CH121=1,CS121=""),"«узо»: нет строки с УЗО выше (УЗО 2P 40А 30мА в «Аппаратах»)",""),IF(AND(CS121&lt;&gt;"",CS121=BA121),IF(CT121="","впишите номинал УЗО (УЗО 2P 40А 30мА)",IF(N(CT121)&lt;N(DT121),"УЗО "&amp;CT121&amp;" А &lt; автомата "&amp;DT121&amp;" А перед ним",IF(N(CT121)&lt;N(CX121),"УЗО "&amp;CT121&amp;" А &lt; тока блока "&amp;FIXED(CX121,1)&amp;" А",""))),""),IF(AND(CS121&lt;&gt;"",CS121=BA121,ISNUMBER(CY121)),IF(CY121&gt;N(CV121)/3,"ток утечки блока УЗО "&amp;FIXED(CY121,1)&amp;" мА &gt; 1/3 уставки ("&amp;CV121&amp;" мА)",""),""),IF(AND(CG121=1,N(BV121)+N(IB121)&gt;0,IC121=""),"линии до 50 В без БП: впишите в «Аппараты» (БП 24V 480W)",""),IF(AND(CG121=1,ISNUMBER(ID121),ISNUMBER(U121)),IF(U121&gt;ID121,"БП "&amp;ID121&amp;" Вт &lt; нужно "&amp;U121&amp;" Вт (×"&amp;Запас_БП&amp;")",""),""),IF(AND(CG121=1,ISNUMBER(IE121),N(BV121)=1),IF(IE121&lt;&gt;N(BU121),"БП на "&amp;IE121&amp;" В, линия "&amp;BU121&amp;" В",""),""),IF(AND(N(IF121)&gt;0,N(IG121)&gt;N(IF121)),HH121&amp;" канал "&amp;HJ121&amp;": "&amp;FIXED(IG121,1)&amp;" А &gt; "&amp;IF121&amp;" А",""),IFERROR(IF(AND(ISNUMBER(Q121),Q121&gt;EL121),"потери "&amp;FIXED(Q121,1)&amp;" % &gt; "&amp;EL121&amp;" %",""),""),IFERROR(IF(LEFT(HU121,4)="мало","Iкз мало — отключение &gt; 0,4 с",""),""),IF(AND(B121&lt;&gt;"",BM121=""),"не на схеме",""),IF(AND(CG121=0,B121&lt;&gt;"",FV121&lt;&gt;"",IF(BA121=1,"",FW120)&lt;&gt;"",FV121&lt;&gt;IF(BA121=1,"",FW120)),"фаза не как у автомата группы ("&amp;IF(BA121=1,"",FW120)&amp;")","")))</f>
        <v/>
      </c>
      <c r="II121" s="6">
        <f>IF(OR(CG121=0,DQ121=""),"",_xlfn.LET(_xlpm.t,IFERROR(_xlfn.XLOOKUP(DQ121,Каталог!$U$4:$U$500,Каталог!$G$4:$G$500),""),_xlpm.k,SEARCH("кА",_xlpm.t),IFERROR(--TRIM(RIGHT(SUBSTITUTE(MID(_xlpm.t,MAX(1,_xlpm.k-4),_xlpm.k-MAX(1,_xlpm.k-4))," ",REPT(" ",9)),5)),"")))</f>
        <v>6</v>
      </c>
      <c r="IJ121" t="str">
        <f>IF(OR(II121="",CG121=0),"",IF(_xlfn.XLOOKUP(A121,Щиты[Щит],Щиты[Iкз max на шинах, кА],"")="","",IF(II121&lt;_xlfn.XLOOKUP(A121,Щиты[Щит],Щиты[Iкз max на шинах, кА]),"Icu "&amp;II121&amp;" кА &lt; Iкз max","ok")))</f>
        <v/>
      </c>
      <c r="IK121" t="str">
        <f t="shared" si="251"/>
        <v/>
      </c>
      <c r="IL121" t="str">
        <f t="shared" si="252"/>
        <v>QF19</v>
      </c>
      <c r="IM121" t="str">
        <f t="shared" si="253"/>
        <v>QF19|кабель ВВГнг(А)-LS (3х1,5) → Внутренний блок кондиционирования подвальный этаж Пом. №001Т</v>
      </c>
      <c r="IN121" t="str" cm="1">
        <f t="array" ref="IN121">IF(IM121="","",_xlfn.LET(_xlpm.nd,_xlfn.TEXTSPLIT(IM121,"|"),IF(COLUMNS(_xlpm.nd)&gt;1,A121&amp;"¦"&amp;INDEX(_xlpm.nd,1)&amp;"¦"&amp;INDEX(_xlpm.nd,2),"")))</f>
        <v>ЩОВ-01¦QF19¦кабель ВВГнг(А)-LS (3х1,5) → Внутренний блок кондиционирования подвальный этаж Пом. №001Т</v>
      </c>
      <c r="IO121" t="str">
        <f t="shared" si="254"/>
        <v>K.1.002AБ.2¦Внутренний блок кондиционирования подвальный этаж Пом. №001Т</v>
      </c>
      <c r="IP121" t="str" cm="1">
        <f t="array" ref="IP121">IF(IM121="","",_xlfn.LET(_xlpm.nd,_xlfn.TEXTSPLIT(IM121,"|"),IF(COLUMNS(_xlpm.nd)&gt;2,A121&amp;"¦"&amp;INDEX(_xlpm.nd,2)&amp;"¦"&amp;INDEX(_xlpm.nd,3),"")))</f>
        <v/>
      </c>
      <c r="IQ121" t="str">
        <f t="shared" si="255"/>
        <v/>
      </c>
      <c r="IR121" t="str" cm="1">
        <f t="array" ref="IR121">IF(IM121="","",_xlfn.LET(_xlpm.nd,_xlfn.TEXTSPLIT(IM121,"|"),IF(COLUMNS(_xlpm.nd)&gt;3,A121&amp;"¦"&amp;INDEX(_xlpm.nd,3)&amp;"¦"&amp;INDEX(_xlpm.nd,4),"")))</f>
        <v/>
      </c>
      <c r="IS121" t="str">
        <f t="shared" si="256"/>
        <v/>
      </c>
      <c r="IT121" t="str" cm="1">
        <f t="array" ref="IT121">IF(IM121="","",_xlfn.LET(_xlpm.nd,_xlfn.TEXTSPLIT(IM121,"|"),IF(COLUMNS(_xlpm.nd)&gt;4,A121&amp;"¦"&amp;INDEX(_xlpm.nd,4)&amp;"¦"&amp;INDEX(_xlpm.nd,5),"")))</f>
        <v/>
      </c>
      <c r="IU121" t="str">
        <f t="shared" si="257"/>
        <v/>
      </c>
      <c r="IV121" t="str" cm="1">
        <f t="array" ref="IV121">IF(IM121="","",_xlfn.LET(_xlpm.nd,_xlfn.TEXTSPLIT(IM121,"|"),IF(COLUMNS(_xlpm.nd)&gt;5,A121&amp;"¦"&amp;INDEX(_xlpm.nd,5)&amp;"¦"&amp;INDEX(_xlpm.nd,6),"")))</f>
        <v/>
      </c>
      <c r="IW121" t="str">
        <f t="shared" si="258"/>
        <v/>
      </c>
      <c r="IX121" t="str" cm="1">
        <f t="array" ref="IX121">IF(IM121="","",_xlfn.LET(_xlpm.nd,_xlfn.TEXTSPLIT(IM121,"|"),IF(COLUMNS(_xlpm.nd)&gt;6,A121&amp;"¦"&amp;INDEX(_xlpm.nd,6)&amp;"¦"&amp;INDEX(_xlpm.nd,7),"")))</f>
        <v/>
      </c>
      <c r="IY121" t="str">
        <f t="shared" si="259"/>
        <v/>
      </c>
      <c r="IZ121" t="str">
        <f t="shared" si="260"/>
        <v/>
      </c>
      <c r="JA121" t="str">
        <f t="shared" si="261"/>
        <v>QF19</v>
      </c>
      <c r="JB121">
        <f t="shared" si="262"/>
        <v>0</v>
      </c>
      <c r="JC121">
        <f t="shared" si="263"/>
        <v>0</v>
      </c>
      <c r="JD121" t="str">
        <f t="shared" si="264"/>
        <v/>
      </c>
      <c r="JE121" t="str">
        <f t="shared" si="265"/>
        <v/>
      </c>
      <c r="JF121" t="str">
        <f t="shared" si="266"/>
        <v/>
      </c>
      <c r="JG121" t="str">
        <f t="shared" si="267"/>
        <v/>
      </c>
      <c r="JH121">
        <f>IF(B121="","",IFERROR(_xlfn.XLOOKUP(B121,Коды_код,Коды_уго),IFERROR(_xlfn.XLOOKUP(BC121,Коды_код,Коды_уго),IFERROR(_xlfn.XLOOKUP(LEFT(BC121,2),Коды_код,Коды_уго),""))))</f>
        <v>0</v>
      </c>
      <c r="JI121" t="str">
        <f>IF(B121="","",IF(OR(JH121="",JH121=0),"BOX",IFERROR(IF(VLOOKUP(JH121,УГО_блоки,3,FALSE)&amp;""&lt;&gt;"",VLOOKUP(JH121,УГО_блоки,3,FALSE),VLOOKUP(JH121,УГО_блоки,2,FALSE)),JH121)))</f>
        <v>BOX</v>
      </c>
      <c r="JJ121">
        <f t="shared" si="268"/>
        <v>1</v>
      </c>
      <c r="JK121" t="str">
        <f>IF(DQ121="","",IF(COUNTIF(DQ$3:DQ121,DQ121)=1,MAX(JK$2:JK120)+1,""))</f>
        <v/>
      </c>
      <c r="JL121" t="str">
        <f>IF(DE121="","",IF(COUNTIF(DE$3:DE121,DE121)+COUNTIF(DF$2:DF120,DE121)+COUNTIF(DG$2:DG120,DE121)=1,MAX(JL$2:JN120)+1,""))</f>
        <v/>
      </c>
      <c r="JM121" t="str">
        <f>IF(DF121="","",IF(COUNTIF(DE$3:DE121,DF121)+COUNTIF(DF$3:DF121,DF121)+COUNTIF(DG$2:DG120,DF121)=1,MAX(JL$2:JN120,JL121)+1,""))</f>
        <v/>
      </c>
      <c r="JN121" t="str">
        <f>IF(DG121="","",IF(COUNTIF(DE$3:DE121,DG121)+COUNTIF(DF$3:DF121,DG121)+COUNTIF(DG$3:DG121,DG121)=1,MAX(JL$2:JN120,JL121,JM121)+1,""))</f>
        <v/>
      </c>
      <c r="JO121" t="str">
        <f t="shared" si="269"/>
        <v>3х1,5</v>
      </c>
      <c r="JP121" t="str">
        <f>IF(JO121="","",IF(COUNTIF(JO$3:JO121,JO121)=1,MAX(JP$2:JP120)+1,""))</f>
        <v/>
      </c>
      <c r="JQ121" t="str">
        <f>IF(HG121="","",COUNTIF(HG$3:HG121,"?*"))</f>
        <v/>
      </c>
      <c r="JR121" t="str">
        <f>IF(OR(HG121="",HI121=""),"",IF(COUNTIFS(HG$3:HG121,"?*",HI$3:HI121,HI121)=1,MAX(JR$2:JR120)+1,""))</f>
        <v/>
      </c>
      <c r="JS121">
        <f t="shared" si="270"/>
        <v>0</v>
      </c>
      <c r="JT121">
        <f>IF(B121="","",COUNTIF(B$3:B121,"?*"))</f>
        <v>119</v>
      </c>
      <c r="JU121">
        <f>IF(HL121&lt;&gt;1,0,_xlfn.LET(_xlpm.k,MAX(IFERROR(--_xlfn.XLOOKUP(B121,Коды_код,Коды_3L),0),IFERROR(--_xlfn.XLOOKUP(BC121,Коды_код,Коды_3L),0),IFERROR(--_xlfn.XLOOKUP(LEFT(BC121,2),Коды_код,Коды_3L),0)),IF(_xlpm.k&gt;0,_xlpm.k,IF(IFERROR(--LEFT(SUBSTITUTE(JO121,"x","х"),FIND("х",SUBSTITUTE(JO121,"x","х"))-1),3)&gt;3,Каталог!$S$9,1))))</f>
        <v>1</v>
      </c>
      <c r="JV121">
        <f t="shared" si="271"/>
        <v>0</v>
      </c>
      <c r="JW121" t="str">
        <f t="shared" si="272"/>
        <v>авто</v>
      </c>
      <c r="JX121" t="str">
        <f t="shared" si="273"/>
        <v/>
      </c>
      <c r="JY121">
        <f t="shared" si="274"/>
        <v>0</v>
      </c>
      <c r="JZ121">
        <f t="shared" si="275"/>
        <v>1</v>
      </c>
    </row>
    <row r="122" spans="1:286" x14ac:dyDescent="0.3">
      <c r="A122" t="s">
        <v>745</v>
      </c>
      <c r="B122" t="s">
        <v>1432</v>
      </c>
      <c r="C122" t="s">
        <v>1680</v>
      </c>
      <c r="D122">
        <v>1</v>
      </c>
      <c r="E122">
        <v>0.16400000000000001</v>
      </c>
      <c r="G122">
        <v>10</v>
      </c>
      <c r="H122" t="str">
        <f>Линии[[#This Row],[_авто управление]]</f>
        <v/>
      </c>
      <c r="I122" t="str">
        <f>Линии[[#This Row],[_авто аппараты]]</f>
        <v/>
      </c>
      <c r="J122">
        <v>1.5</v>
      </c>
      <c r="K122">
        <v>39</v>
      </c>
      <c r="L122" t="str">
        <f>Линии[[#This Row],[_авто фаза]]</f>
        <v>L2</v>
      </c>
      <c r="M122" t="str">
        <f>Линии[[#This Row],[_авто клемма]]</f>
        <v>XT20</v>
      </c>
      <c r="N122" t="str">
        <f t="shared" si="138"/>
        <v/>
      </c>
      <c r="O122" s="6" cm="1">
        <f t="array" ref="O122">IF(B122="","",IF(BH122&lt;&gt;"",IFERROR(_xlfn.XLOOKUP(BH122,Щиты[Щит],Щиты[Iр, А]),""),IF(BP122=1,IF(OR(N(_xlfn.XLOOKUP(A122,Щиты[Щит],Щиты[Вводов],1))&lt;=1,LOWER(TRIM(_xlfn.XLOOKUP(A122,Щиты[Щит],Щиты[АВР],"")&amp;""))="да"),IFERROR(_xlfn.XLOOKUP(A122,Щиты[Щит],Щиты[Iр, А]),""),IFERROR(N(BS122)*_xlfn.XLOOKUP(A122,Щиты[Щит],Щиты[Кс итог])/(SQRT(3)*Uн_лин*_xlfn.XLOOKUP(A122,Щиты[Щит],Щиты[cos φ])),"")),IF(BV122=1,IFERROR(BS122*1000/BU122,""),IFERROR(_xlfn.IFS(BX122=1,BS122/((Uн_лин/SQRT(3))*CE122),BX122=3,BS122/(SQRT(3)*Uн_лин*CE122)),"")))))</f>
        <v>0.88767603887904944</v>
      </c>
      <c r="P122" s="7">
        <f>IF(B122="","",IFERROR(IF(VLOOKUP(BC122,Потребители_обозначение,4,FALSE)=1,VLOOKUP(BC122,Потребители_обозначение,3,FALSE)*(MAX(1,N(D122))*2-1)+EI122+VLOOKUP(BE122,Этаж_обозначение,3,FALSE)+VLOOKUP(BE122,Этаж_обозначение,4,FALSE),VLOOKUP(BC122,Потребители_обозначение,3,FALSE)*(MAX(1,N(D122))*2-1)+EI122),EI122))</f>
        <v>41</v>
      </c>
      <c r="Q122" s="6">
        <f t="shared" si="139"/>
        <v>0.63</v>
      </c>
      <c r="R122" t="str">
        <f t="shared" si="140"/>
        <v>ВВГнг(А)-LS (3х1,5)</v>
      </c>
      <c r="S122" t="str">
        <f>IF(BM122="","",IF(BN122="вводной узел","узел ","")&amp;"л."&amp;(INT((BM122-1)/Столбцов_на_лист)+1)&amp;" / "&amp;(MOD(BM122-1,Столбцов_на_лист)+1))</f>
        <v>л.3 / 2</v>
      </c>
      <c r="T122" s="119">
        <f t="shared" si="141"/>
        <v>0.8</v>
      </c>
      <c r="U122" s="7" t="str">
        <f>IF(OR(CG122=0,N(BV122)+N(IB122)=0),"",ROUNDUP(Запас_БП*(N(HY122)+N(HZ122)),0))</f>
        <v/>
      </c>
      <c r="V122" s="119" t="str">
        <f t="shared" si="142"/>
        <v/>
      </c>
      <c r="W122" s="7" t="str">
        <f>IFERROR(IF(OR(B122="",BP122=1,BV122=1,NOT(ISNUMBER(EN122)),N(DT122)=0),"",MAX(0,ROUNDDOWN((c_min*(Uн_лин*1000/SQRT(3))/(HT122*N(DT122))-_xlfn.XLOOKUP(A122,Щиты[Щит],Щиты[Zпетли на шинах, Ом]))*EN122/(2*ρкз_Cu),0))),"")</f>
        <v/>
      </c>
      <c r="Y122" t="str">
        <f>Линии[[#This Row],[_авто утечка]]</f>
        <v/>
      </c>
      <c r="Z122">
        <v>1</v>
      </c>
      <c r="AA122">
        <v>230</v>
      </c>
      <c r="AB122" t="s">
        <v>598</v>
      </c>
      <c r="AC122">
        <v>0.5</v>
      </c>
      <c r="AG122" t="s">
        <v>810</v>
      </c>
      <c r="AI122" t="s">
        <v>576</v>
      </c>
      <c r="AK122" t="str">
        <f>Линии[[#This Row],[_авто модуль]]</f>
        <v/>
      </c>
      <c r="AM122">
        <v>36</v>
      </c>
      <c r="AN122" t="s">
        <v>11</v>
      </c>
      <c r="AO122">
        <v>3</v>
      </c>
      <c r="AQ122">
        <v>19</v>
      </c>
      <c r="AR122">
        <v>22</v>
      </c>
      <c r="AT122">
        <v>1</v>
      </c>
      <c r="BA122" cm="1">
        <f t="array" ref="BA122">ROW()-ROW(Линии[#Headers])</f>
        <v>120</v>
      </c>
      <c r="BC122" s="6" t="str">
        <f t="shared" si="143"/>
        <v>K</v>
      </c>
      <c r="BD122" t="str">
        <f t="shared" si="144"/>
        <v>1.006A</v>
      </c>
      <c r="BE122" t="str">
        <f t="shared" si="145"/>
        <v>1</v>
      </c>
      <c r="BF122" t="str">
        <f t="shared" si="146"/>
        <v>006A</v>
      </c>
      <c r="BG122" t="str">
        <f t="shared" si="147"/>
        <v>006A</v>
      </c>
      <c r="BH122" t="str">
        <f>IF(X122&lt;&gt;"",X122,IF(AND(B122&lt;&gt;"",B122&lt;&gt;A122,ISNUMBER(_xlfn.XMATCH(B122,Щиты[Щит]))),B122,""))</f>
        <v/>
      </c>
      <c r="BI122" t="str" cm="1">
        <f t="array" ref="BI122">IF(B122="","",IF(BH122&lt;&gt;"","Щит "&amp;BH122,_xlfn.LET(_xlpm.nm,IFERROR(_xlfn.XLOOKUP(BC122,Коды_код,Коды_имя)&amp;"",""),_xlpm.md,IFERROR(N(_xlfn.XLOOKUP(BC122,Коды_код,Коды_режим)),1),_xlpm.ex,IF(Имя_режим="по экспликации",IFERROR(_xlfn.XLOOKUP(BE122&amp;"|"&amp;BG122,Экспликация[Этаж]&amp;"|"&amp;Экспликация[Помещение],Экспликация[Название])&amp;"",""),""),_xlpm.rm,IF(BG122="","",IF(_xlpm.ex&lt;&gt;"",". "&amp;_xlpm.ex&amp;IF(Имя_пом="нет"," ("&amp;BG122&amp;")"," (пом. "&amp;BG122&amp;")"),IF(Имя_пом="нет"," ",", пом. ")&amp;BG122)),IF(_xlpm.nm="","",IF(_xlpm.md=2,_xlpm.nm&amp;" шлейф "&amp;BE122,_xlpm.nm&amp;_xlpm.rm)))))</f>
        <v>Внутренний блок кондиционирования, пом. 006A</v>
      </c>
      <c r="BJ122" t="str">
        <f t="shared" si="148"/>
        <v>Внутренний блок кондиционирования подвальный этаж Пом. №001Т</v>
      </c>
      <c r="BK122">
        <f>IFERROR(_xlfn.XMATCH(A122,Щиты[Щит]),0)</f>
        <v>6</v>
      </c>
      <c r="BL122">
        <f>_xlfn.LET(_xlpm.k,IFERROR(_xlfn.XLOOKUP(A122,Щиты[Щит],Щиты[Мест под вводной узел]),""),IF(_xlpm.k="",Столбцов_на_лист,N(_xlpm.k)))</f>
        <v>12</v>
      </c>
      <c r="BM122">
        <f t="shared" si="149"/>
        <v>36</v>
      </c>
      <c r="BN122" t="str">
        <f t="shared" si="150"/>
        <v>линии</v>
      </c>
      <c r="BO122" s="6">
        <f>IFERROR(N(_xlfn.XLOOKUP(BC122,Коды_код,Коды_квт)),0)</f>
        <v>0</v>
      </c>
      <c r="BP122">
        <f t="shared" si="151"/>
        <v>0</v>
      </c>
      <c r="BQ122" t="str">
        <f>IF(B122="","",IF(BH122&lt;&gt;"",IFERROR(_xlfn.XLOOKUP(BH122,Щиты[Щит],Щиты[Руст, кВт]),0),IF(BP122=1,IF(OR(N(_xlfn.XLOOKUP(A122,Щиты[Щит],Щиты[Вводов],1))&lt;=1,LOWER(TRIM(_xlfn.XLOOKUP(A122,Щиты[Щит],Щиты[АВР],"")&amp;""))="да"),IFERROR(_xlfn.XLOOKUP(A122,Щиты[Щит],Щиты[Руст, кВт]),0),SUMIFS(Линии[_Р для вводов],Линии[Щит],A122,Линии[Источник для режимов],GF122)),IF(BO122&gt;0,ROUND(BO122*MAX(1,N(D122)),3),""))))</f>
        <v/>
      </c>
      <c r="BR122">
        <f t="shared" si="152"/>
        <v>0.16400000000000001</v>
      </c>
      <c r="BS122" s="6">
        <f>IF(B122="","",IF(BH122&lt;&gt;"",IFERROR(_xlfn.XLOOKUP(BH122,Щиты[Щит],Щиты[Руст, кВт]),0),N(BR122)))</f>
        <v>0.16400000000000001</v>
      </c>
      <c r="BT122" t="str">
        <f>IF(B122="","",IFERROR(IF(VLOOKUP(BC122,Потребители_обозначение,8,FALSE)=0,"",VLOOKUP(BC122,Потребители_обозначение,8,FALSE)),""))</f>
        <v/>
      </c>
      <c r="BU122">
        <f t="shared" si="153"/>
        <v>230</v>
      </c>
      <c r="BV122">
        <f t="shared" si="154"/>
        <v>0</v>
      </c>
      <c r="BW122">
        <f>IF(B122="","",IF(BH122&lt;&gt;"",3,IFERROR(IF(N(VLOOKUP(BC122,Потребители_обозначение,9,FALSE))=0,1,VLOOKUP(BC122,Потребители_обозначение,9,FALSE)),1)))</f>
        <v>1</v>
      </c>
      <c r="BX122">
        <f t="shared" si="155"/>
        <v>1</v>
      </c>
      <c r="BY122" t="str">
        <f>IF(B122="","",_xlfn.LET(_xlpm.bc,IFERROR(IF(VLOOKUP(BC122,Потребители_обозначение,6,FALSE)=0,"",VLOOKUP(BC122,Потребители_обозначение,6,FALSE)&amp;""),""),IF(AND(GA122="да",OR(_xlpm.bc="",_xlpm.bc="мс")),Марка_пож,IF(AND(_xlpm.bc="",BH122&lt;&gt;""),"мс",_xlpm.bc))))</f>
        <v/>
      </c>
      <c r="BZ122" t="str">
        <f t="shared" si="156"/>
        <v>мс</v>
      </c>
      <c r="CA122">
        <f>IF(B122="","",_xlfn.LET(_xlpm.cc,IFERROR(N(VLOOKUP(BC122,Потребители_обозначение,7,FALSE)),0),IF(_xlpm.cc&gt;0,_xlpm.cc,IF(BZ122="","",IF(BV122=1,2,IF(N(BX122)=3,5,3))))))</f>
        <v>3</v>
      </c>
      <c r="CB122">
        <f t="shared" si="157"/>
        <v>3</v>
      </c>
      <c r="CC122">
        <f>IFERROR(N(VLOOKUP(BC122,Потребители_обозначение,10,FALSE)),0)</f>
        <v>0</v>
      </c>
      <c r="CD122">
        <f>IFERROR(VLOOKUP(BC122,Потребители_обозначение,5,FALSE),0)</f>
        <v>1</v>
      </c>
      <c r="CE122" s="6" cm="1">
        <f t="array" ref="CE122">IF(B122="","",IF(BH122&lt;&gt;"",IFERROR(_xlfn.XLOOKUP(BH122,Щиты[Щит],Щиты[cos φ]),0.95),IF(BP122=1,IFERROR(_xlfn.XLOOKUP(A122,Щиты[Щит],Щиты[cos φ]),0.95),IF(ISNUMBER(AD122),AD122,IFERROR(IF(CD122=2,_xlfn.IFS(BX122=3,VLOOKUP(BS122,Справочная_двигатели,8,FALSE),BX122=1,VLOOKUP(BS122,Справочная_двигатели,10,TRUE)),IF(AND(Методика="нормы 2026",FG122="Сил"),0.8,0.95)),0.95)))))</f>
        <v>0.8</v>
      </c>
      <c r="CF122">
        <f t="shared" si="158"/>
        <v>0</v>
      </c>
      <c r="CG122">
        <f t="shared" si="159"/>
        <v>1</v>
      </c>
      <c r="CH122">
        <f t="shared" si="160"/>
        <v>0</v>
      </c>
      <c r="CI122">
        <f>IF(B122="","",IF(BV122=1,IFERROR(BS122/((Uн_лин/SQRT(3))*MAX(0.5,N(CE122))),0),N(O122)))</f>
        <v>0.88767603887904944</v>
      </c>
      <c r="CJ122">
        <f t="shared" si="161"/>
        <v>0</v>
      </c>
      <c r="CK122">
        <f t="shared" si="162"/>
        <v>0</v>
      </c>
      <c r="CL122">
        <f t="shared" si="163"/>
        <v>0</v>
      </c>
      <c r="CM122">
        <f t="shared" si="164"/>
        <v>0</v>
      </c>
      <c r="CN122">
        <f t="shared" si="165"/>
        <v>0</v>
      </c>
      <c r="CO122">
        <f>IF(BC122="",0,_xlfn.LET(_xlpm.v,IFERROR(_xlfn.XLOOKUP(B122,Коды_код,Коды_мА),IFERROR(_xlfn.XLOOKUP(BC122,Коды_код,Коды_мА),IFERROR(_xlfn.XLOOKUP(LEFT(BC122,2),Коды_код,Коды_мА),""))),IF(_xlpm.v="да",30,IF(ISNUMBER(_xlpm.v),_xlpm.v,0))))</f>
        <v>0</v>
      </c>
      <c r="CP122" t="str">
        <f t="shared" si="166"/>
        <v/>
      </c>
      <c r="CQ122" t="str">
        <f>_xlfn.LET(_xlpm.k,IFERROR(_xlfn.XLOOKUP(BC122,Коды_код,Коды_утечка)&amp;"",""),IF(_xlpm.k="","дифавтомат",_xlpm.k))</f>
        <v>дифавтомат</v>
      </c>
      <c r="CR122" t="str" cm="1">
        <f t="array" ref="CR122">IF(CG122=0,"",_xlfn.LET(_xlpm.sg,TRIM(_xlfn.TEXTSPLIT(DD122&amp;"",";")),_xlpm.f_,_xlfn._xlws.FILTER(_xlpm.sg,LEFT(_xlpm.sg,3)="УЗО",""),IFERROR(INDEX(_xlpm.f_,1)&amp;"","")))</f>
        <v/>
      </c>
      <c r="CS122" t="str">
        <f t="shared" si="167"/>
        <v/>
      </c>
      <c r="CT122" s="6" t="str" cm="1">
        <f t="array" ref="CT122">IF(CR122="","",_xlfn.LET(_xlpm.tk,_xlfn.TEXTSPLIT(UPPER(CR122)," ",,TRUE),_xlpm.a_,_xlfn._xlws.FILTER(_xlpm.tk,ISNUMBER(--LEFT(_xlpm.tk,1))*((ISNUMBER(SEARCH("А",_xlpm.tk))+ISNUMBER(SEARCH("A",_xlpm.tk)))&gt;0)*NOT(ISNUMBER(SEARCH("МА",_xlpm.tk)))*NOT(ISNUMBER(SEARCH("MA",_xlpm.tk))),""),IFERROR(--SUBSTITUTE(SUBSTITUTE(INDEX(_xlpm.a_,1),"А",""),"A",""),"")))</f>
        <v/>
      </c>
      <c r="CU122" t="str" cm="1">
        <f t="array" ref="CU122">IF(CR122="","",_xlfn.LET(_xlpm.tk,_xlfn.TEXTSPLIT(UPPER(CR122)," ",,TRUE),_xlpm.a_,_xlfn._xlws.FILTER(_xlpm.tk,ISNUMBER(--LEFT(_xlpm.tk,1))*((ISNUMBER(SEARCH("МА",_xlpm.tk))+ISNUMBER(SEARCH("MA",_xlpm.tk)))&gt;0),""),IFERROR(--SUBSTITUTE(SUBSTITUTE(INDEX(_xlpm.a_,1),"МА",""),"MA",""),30)))</f>
        <v/>
      </c>
      <c r="CV122" t="str">
        <f>IF(CS122="","",IFERROR(_xlfn.XLOOKUP(CS122,Линии[_n],Линии[_УЗО, мА]),30))</f>
        <v/>
      </c>
      <c r="CW122">
        <f>IF(CS122="",0,IF(ISNUMBER(SEARCH("4P",IFERROR(_xlfn.XLOOKUP(CS122,Линии[_n],Линии[_УЗО строки])&amp;"",""))),0,1))</f>
        <v>0</v>
      </c>
      <c r="CX122" t="str">
        <f>IF(AND(CS122&lt;&gt;"",CS122=BA122),SUMIFS(Линии[_ток на 230 В],Линии[_блок УЗО],BA122,Линии[Щит],A122),"")</f>
        <v/>
      </c>
      <c r="CY122" t="str">
        <f>IF(AND(CS122&lt;&gt;"",CS122=BA122),SUMIFS(Линии[_ток утечки линии, мА],Линии[_блок УЗО],BA122,Линии[Щит],A122),"")</f>
        <v/>
      </c>
      <c r="CZ122">
        <f t="shared" si="168"/>
        <v>0</v>
      </c>
      <c r="DA122">
        <f t="shared" si="169"/>
        <v>0</v>
      </c>
      <c r="DB122">
        <f>IF(B122="",0,IFERROR(--_xlfn.XLOOKUP(B122,Коды_код,Коды_минавт),IFERROR(--_xlfn.XLOOKUP(BC122,Коды_код,Коды_минавт),IFERROR(--_xlfn.XLOOKUP(LEFT(BC122,2),Коды_код,Коды_минавт),0))))</f>
        <v>0</v>
      </c>
      <c r="DC122" t="str">
        <f>IF(B122="","",IFERROR(_xlfn.XLOOKUP(BC122,Коды_код,Коды_апп)&amp;"",""))</f>
        <v/>
      </c>
      <c r="DD122" t="str">
        <f t="shared" si="170"/>
        <v/>
      </c>
      <c r="DE122" t="str" cm="1">
        <f t="array" ref="DE122">IF(TRIM(DD122&amp;"")="","",IFERROR(TRIM(INDEX(_xlfn.TEXTSPLIT(DD122&amp;";;;",";"),1)),""))</f>
        <v/>
      </c>
      <c r="DF122" t="str" cm="1">
        <f t="array" ref="DF122">IF(TRIM(DD122&amp;"")="","",IFERROR(TRIM(INDEX(_xlfn.TEXTSPLIT(DD122&amp;";;;",";"),2)),""))</f>
        <v/>
      </c>
      <c r="DG122" t="str" cm="1">
        <f t="array" ref="DG122">IF(TRIM(DD122&amp;"")="","",IFERROR(TRIM(INDEX(_xlfn.TEXTSPLIT(DD122&amp;";;;",";"),3)),""))</f>
        <v/>
      </c>
      <c r="DH122">
        <f t="shared" si="171"/>
        <v>0</v>
      </c>
      <c r="DI122" t="str">
        <f>IF(B122="","",_xlfn.LET(_xlpm.t,LOWER(AZ122&amp;""),IF(ISNUMBER(SEARCH("dim",_xlpm.t)),"DIM",IF(ISNUMBER(SEARCH("dali",_xlpm.t)),"DALI",IF(OR(ISNUMBER(SEARCH("relay",_xlpm.t)),ISNUMBER(SEARCH("реле",_xlpm.t))),"Relay",IF(ISNUMBER(SEARCH("кнопк",_xlpm.t)),"",IFERROR(_xlfn.XLOOKUP(BC122,Коды_код,Коды_упр)&amp;"","")))))))</f>
        <v/>
      </c>
      <c r="DJ122" t="str">
        <f t="shared" si="172"/>
        <v/>
      </c>
      <c r="DK122">
        <f>IF(B122="","",_xlfn.LET(_xlpm.ig,IF(N(CX122)&gt;0,N(CX122),N(CI122)+IF(AJ122="вручную",0,N(CJ122))),_xlpm.n0,IFERROR(VLOOKUP(_xlpm.ig,Автомат_номиналы,2,TRUE),0),_xlpm.mn,MAX(DB122,IF(AJ122="вручную",0,N(CM122))),MAX(_xlpm.n0,_xlpm.mn,IF(DH122=1,Мин_автомат_БП,0))))</f>
        <v>6</v>
      </c>
      <c r="DL122">
        <f t="shared" si="173"/>
        <v>1</v>
      </c>
      <c r="DM122" t="str">
        <f t="shared" si="174"/>
        <v>1P</v>
      </c>
      <c r="DN122" t="str">
        <f>_xlfn.LET(_xlpm.cc,UPPER(TRIM(IFERROR(_xlfn.XLOOKUP(BC122,Коды_код,Коды_хар)&amp;"",""))),IF(OR(_xlpm.cc="B",_xlpm.cc="В"),"B",IF(_xlpm.cc="D","D","С")))</f>
        <v>С</v>
      </c>
      <c r="DO122" t="str">
        <f t="shared" si="175"/>
        <v>1P С6А</v>
      </c>
      <c r="DP122">
        <f t="shared" si="176"/>
        <v>10</v>
      </c>
      <c r="DQ122" t="str">
        <f t="shared" si="177"/>
        <v>1P С10А</v>
      </c>
      <c r="DR122" cm="1">
        <f t="array" ref="DR122">IF(DQ122="","",_xlfn.LET(_xlpm.t,SUBSTITUTE(SUBSTITUTE(SUBSTITUTE(UPPER(DQ122),"С","C"),"А","A"),"В","B"),_xlpm.tk,_xlfn.TEXTSPLIT(_xlpm.t," "),_xlpm.f,_xlfn._xlws.FILTER(_xlpm.tk,ISNUMBER(--MID(_xlpm.tk,2,1))*ISNUMBER(SEARCH(LEFT(_xlpm.tk,1)&amp;"#","B#C#D#"))*(LEN(_xlpm.tk)&gt;1),""),_xlpm.x,INDEX(_xlpm.f,1),IFERROR(--SUBSTITUTE(MID(_xlpm.x,2,9),"A",""),IFERROR(--SUBSTITUTE(INDEX(_xlfn._xlws.FILTER(_xlpm.tk,ISNUMBER(--SUBSTITUTE(_xlpm.tk,"A","")),""),1),"A",""),""))))</f>
        <v>10</v>
      </c>
      <c r="DS122" t="str">
        <f t="shared" si="178"/>
        <v>ok</v>
      </c>
      <c r="DT122">
        <f t="shared" si="179"/>
        <v>10</v>
      </c>
      <c r="DU122" t="str">
        <f t="shared" si="180"/>
        <v>1P С10А</v>
      </c>
      <c r="DV122">
        <f t="shared" si="181"/>
        <v>0</v>
      </c>
      <c r="DW122">
        <f t="shared" si="182"/>
        <v>0</v>
      </c>
      <c r="DX122">
        <f t="shared" si="183"/>
        <v>0</v>
      </c>
      <c r="DY122">
        <f t="shared" si="184"/>
        <v>0.88767603887904944</v>
      </c>
      <c r="DZ122">
        <f t="shared" si="185"/>
        <v>1</v>
      </c>
      <c r="EA122">
        <f>IF(ISNUMBER(AP122),AP122,К_прокл)</f>
        <v>1</v>
      </c>
      <c r="EB122">
        <f t="shared" si="186"/>
        <v>2</v>
      </c>
      <c r="EC122">
        <f>IFERROR(N(VLOOKUP(BZ122,Кабель_обозначение,3,FALSE)),1)</f>
        <v>1</v>
      </c>
      <c r="ED122">
        <f>IFERROR(N(_xlfn.XLOOKUP(A122,Щиты[Щит],Щиты[ΔU до шин, %])),0)</f>
        <v>0.24000000000000002</v>
      </c>
      <c r="EE122" t="str">
        <f>IFERROR(_xlfn.XLOOKUP(A122,Щиты[Щит],Щиты[Zпетли на шинах, Ом]),"")</f>
        <v/>
      </c>
      <c r="EF122">
        <f>IFERROR(N(_xlfn.XLOOKUP(A122,Щиты[Щит],Щиты[ΔU до шин (подбор), %])),0)</f>
        <v>0.36</v>
      </c>
      <c r="EG122" t="str">
        <f>IFERROR(_xlfn.XLOOKUP(A122,Щиты[Щит],Щиты[Zпетли на шинах (подбор), Ом]),"")</f>
        <v/>
      </c>
      <c r="EH122" t="str">
        <f t="shared" si="187"/>
        <v/>
      </c>
      <c r="EI122">
        <f t="shared" si="188"/>
        <v>39</v>
      </c>
      <c r="EJ122">
        <f t="shared" si="189"/>
        <v>2</v>
      </c>
      <c r="EK122">
        <f t="shared" si="190"/>
        <v>0.6</v>
      </c>
      <c r="EL122" s="6">
        <f>IF(B122="","",IF(BV122=1,dU_LED,IF(IFERROR(_xlfn.XLOOKUP(BC122,Коды_код,Коды_уго),"")="Светильник",3,4)+IF(Методика="нормы 2026",MIN(0.5,MAX(0,N(P122)-100)*0.005),0)))</f>
        <v>4</v>
      </c>
      <c r="EM122" cm="1">
        <f t="array" ref="EM122">IF(OR(B122="",BZ122="",EC122&lt;&gt;1),"",_xlfn.LET(_xlpm.sz,Iдоп_S,_xlpm.t_,CHOOSE(EB122,Iдоп_1ж,Iдоп_2ж,Iдоп_3ж)*DZ122*EA122,_xlpm.dcx,BV122=1,_xlpm.inn,IF(_xlpm.dcx,N(O122),N(DT122)),_xlpm.smin,MAX(1.5,CC122),_xlpm.L_,N(P122)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122)/N(BU122)*100,999),IFERROR(N(EJ122)*(_xlpm.rho*_xlpm.L_/_xlpm.sz*N(CE122)+_xlpm.xx*_xlpm.L_*N(EK122)/1000)*N(O122)/((Uн_лин/SQRT(3))*1000)*100,999)),_xlpm.kz,IF(OR(_xlpm.dcx,DW122=1,NOT(ISNUMBER(EG122)),_xlpm.L_=0,_xlpm.inn=0),1,IFERROR(--(c_min*(Uн_лин*1000/SQRT(3))/(EG122+2*ρкз_Cu*_xlpm.L_/_xlpm.sz)&gt;=HT122*_xlpm.inn),0)),_xlpm.ok,IFERROR((_xlpm.sz&gt;=_xlpm.smin)*(_xlpm.t_&gt;=_xlpm.inn)*IF(_xlpm.L_&gt;0,(_xlpm.du_+IF(_xlpm.dcx,0,EF122)&lt;=EL122+0.00001),1)*_xlpm.kz,0),_xlpm.r_,_xlfn._xlws.FILTER(_xlpm.sz,_xlpm.ok,"не подобрано"),INDEX(_xlpm.r_,1)))</f>
        <v>1.5</v>
      </c>
      <c r="EN122">
        <f t="shared" si="191"/>
        <v>1.5</v>
      </c>
      <c r="EO122" cm="1">
        <f t="array" ref="EO122">IF(OR(B122="",BZ122="",EC122&lt;&gt;1),"",_xlfn.LET(_xlpm.sz,Iдоп_S,_xlpm.t_,CHOOSE(EB122,Iдоп_1ж,Iдоп_2ж,Iдоп_3ж)*DZ122*EA122,_xlpm.ok,IFERROR((_xlpm.sz&gt;=MAX(1.5,CC122))*(_xlpm.t_&gt;=N(DT122)),0),_xlpm.r_,_xlfn._xlws.FILTER(_xlpm.sz,_xlpm.ok,""),INDEX(_xlpm.r_,1)))</f>
        <v>1.5</v>
      </c>
      <c r="EP122" s="6" cm="1">
        <f t="array" ref="EP122">IFERROR(ROUNDUP(N(EJ122)*(_xlfn.XLOOKUP(EO122,INDEX(Кабель_сопротивление,0,1),INDEX(Кабель_сопротивление,0,3))*N(P122)/EO122*N(CE122)+_xlfn.XLOOKUP(EO122,INDEX(Кабель_сопротивление,0,1),INDEX(Кабель_сопротивление,0,2))*N(P122)*N(EK122)/1000)*N(O122)/((Uн_лин/SQRT(3))*1000)*100,2),"")</f>
        <v>0.39</v>
      </c>
      <c r="EQ122">
        <f>IFERROR(2*ρкз_Cu*N(P122)/EO122,"")</f>
        <v>1.4377333333333333</v>
      </c>
      <c r="ER122">
        <f>IFERROR(VLOOKUP(EN122,Кабель_сопротивление,3,FALSE),"")</f>
        <v>2.2499999999999999E-2</v>
      </c>
      <c r="ES122">
        <f>IFERROR(VLOOKUP(EN122,Кабель_сопротивление,2,FALSE),"")</f>
        <v>0.11</v>
      </c>
      <c r="ET122">
        <f t="shared" si="192"/>
        <v>22</v>
      </c>
      <c r="EU122">
        <f t="shared" si="193"/>
        <v>0</v>
      </c>
      <c r="EV122">
        <f t="shared" si="194"/>
        <v>0.87827732497939803</v>
      </c>
      <c r="EW122" s="6">
        <f>IFERROR(ROUNDUP(EV122/IF(BV122=1,BU122,(Uн_лин/SQRT(3))*1000)*100,2),"")</f>
        <v>0.39</v>
      </c>
      <c r="EX122" t="str">
        <f>IFERROR(VLOOKUP(BZ122,Кабель_обозначение,2,FALSE),"")</f>
        <v>ВВГнг(А)-LS</v>
      </c>
      <c r="EY122" t="str">
        <f t="shared" si="195"/>
        <v>ВВГнг(А)-LS (3х1,5)</v>
      </c>
      <c r="EZ122" t="str">
        <f t="shared" si="196"/>
        <v>ВВГнг(А)-LS (3х1,5)
L=41-0,39%</v>
      </c>
      <c r="FA122">
        <f>IFERROR(2*ρкз_Cu*P122/EN122,"")</f>
        <v>1.4377333333333333</v>
      </c>
      <c r="FB122">
        <f t="shared" si="197"/>
        <v>0.47833333333333333</v>
      </c>
      <c r="FC122" s="6" t="str">
        <f>IFERROR(IF(OR(B122="",BV122=1,NOT(ISNUMBER(EN122)),N(P122)=0),"",_xlfn.XLOOKUP(A122,Щиты[Щит],Щиты[Zпетли на шинах, Ом])+FA122),"")</f>
        <v/>
      </c>
      <c r="FD122" s="6" t="str">
        <f>IF(ISNUMBER(FC122),c_min*(Uн_лин*1000/SQRT(3))/FC122,"")</f>
        <v/>
      </c>
      <c r="FE122" s="6" t="str">
        <f>IFERROR(IF(OR(B122="",NOT(ISNUMBER(EN122))),"",1.05*(Uн_лин*1000/SQRT(3))/(_xlfn.XLOOKUP(A122,Щиты[Щит],Щиты[Zmax на шинах, Ом])+FB122)/1000),"")</f>
        <v/>
      </c>
      <c r="FF122" s="6" t="str">
        <f>IF(B122="","",IF(ISNUMBER(AC122),"Сил",IF(IFERROR(_xlfn.XLOOKUP(BC122,Коды_код,Коды_группа)&amp;"","")="","Быт",_xlfn.XLOOKUP(BC122,Коды_код,Коды_группа)&amp;"")))</f>
        <v>Сил</v>
      </c>
      <c r="FG122" s="6" t="str">
        <f t="shared" si="198"/>
        <v>Сил</v>
      </c>
      <c r="FH122" s="6">
        <f>IF(FG122="Щит","щит",IF(FG122="","",IF(FG122="Быт",IFERROR(_xlfn.XLOOKUP(A122,Щиты[Щит],Щиты[Кс быт]),1),IF(FG122="Сил",IF(ISNUMBER(AC122),AC122,IF(Методика="нормы 2026",IFERROR(_xlfn.XLOOKUP(A122,Щиты[Щит],Щиты[Кс силовых (табл. 7.5)]),1),1)),IF(OR(FG122="Пост",FG122="Отоп"),1,IF(FG122="ВНГ",0.7,0))))))</f>
        <v>0.5</v>
      </c>
      <c r="FI122">
        <f>IF(FG122="","",IF(AND(BP122=1,TRIM(AE122&amp;"")=""),IF(COUNTIFS(Линии[Щит],A122,Линии[Секция (1/2/3)],"&gt;=2")&gt;0,MIN(3,MAX(1,IFERROR(--BD122,1))),1),IFERROR(MIN(3,MAX(1,INT(--AE122))),1)))</f>
        <v>1</v>
      </c>
      <c r="FJ122">
        <f t="shared" si="199"/>
        <v>0.16400000000000001</v>
      </c>
      <c r="FK122">
        <f t="shared" si="200"/>
        <v>0</v>
      </c>
      <c r="FL122">
        <f t="shared" si="201"/>
        <v>8.2000000000000003E-2</v>
      </c>
      <c r="FM122">
        <f t="shared" si="202"/>
        <v>0</v>
      </c>
      <c r="FN122">
        <f t="shared" si="203"/>
        <v>0</v>
      </c>
      <c r="FO122">
        <f t="shared" si="204"/>
        <v>0</v>
      </c>
      <c r="FP122">
        <f t="shared" si="205"/>
        <v>0.16400000000000001</v>
      </c>
      <c r="FQ122">
        <f t="shared" si="206"/>
        <v>0.16400000000000001</v>
      </c>
      <c r="FR122">
        <f t="shared" si="207"/>
        <v>0.13120000000000001</v>
      </c>
      <c r="FS122">
        <f>IF(CG122=1,IF(AND(CH122=1,CW122=1),0,IF(AND(CS122&lt;&gt;"",CS122=BA122,CW122=1),SUMIFS(Линии[_Р линии, кВт],Линии[_блок УЗО],BA122,Линии[Щит],A122),N(BS122)+IF(AJ122="вручную",0,N(CK122)))),0)</f>
        <v>0.16400000000000001</v>
      </c>
      <c r="FT122" t="str">
        <f t="shared" si="208"/>
        <v/>
      </c>
      <c r="FU122" t="str">
        <f>IF(B122="","",IF(CG122=0,IF(BA122=1,"",FW121),IF(AND(CH122=1,CW122=1,CS122&lt;&gt;""),IFERROR(_xlfn.XLOOKUP(CS122,Линии[_n],Линии[_фаза итог]),"L1"),IF(OR(N(DL122)&gt;=3,N(BX122)&gt;=3),"L1,L2,L3",IFERROR(_xlfn.TEXTBEFORE(_xlfn.TEXTAFTER(_xlfn.XLOOKUP(A122,Щиты[Щит],Щиты[_фазы авто]),";"&amp;BA122&amp;":"),";"),"L1")))))</f>
        <v>L2</v>
      </c>
      <c r="FV122" t="str">
        <f t="shared" si="209"/>
        <v>L2</v>
      </c>
      <c r="FW122" t="str">
        <f t="shared" si="210"/>
        <v>L2</v>
      </c>
      <c r="FX122" cm="1">
        <f t="array" ref="FX122">IFERROR(IF(CD122=2,_xlfn.IFS(BX122=3,VLOOKUP(BS122,Справочная_двигатели,3,FALSE),BX122=1,VLOOKUP(BS122,Справочная_двигатели,5,TRUE)),0),0)</f>
        <v>0</v>
      </c>
      <c r="FY122">
        <f>IFERROR(IF(CD122=3,VLOOKUP(BS122,Справочная_ЛЭД,2,TRUE),0),0)</f>
        <v>0</v>
      </c>
      <c r="FZ122" s="6">
        <f t="shared" si="211"/>
        <v>0</v>
      </c>
      <c r="GA122" t="str">
        <f>IF(B122="","",IF(TRIM(AH122&amp;"")&lt;&gt;"",IF(LOWER(TRIM(AH122&amp;""))="да","да","нет"),IF(IFERROR(_xlfn.XLOOKUP(BC122,Коды_код,Коды_пожарная),"")="да","да","нет")))</f>
        <v>нет</v>
      </c>
      <c r="GB122" t="str">
        <f t="shared" si="212"/>
        <v/>
      </c>
      <c r="GC122" t="str">
        <f t="shared" si="213"/>
        <v>основная</v>
      </c>
      <c r="GD122">
        <f>IF(AND(BP122=1,TRIM(AE122&amp;"")=""),IF(COUNTIFS(Линии[Щит],A122,Линии[Секция (1/2/3)],"&gt;=2")&gt;0,MIN(3,MAX(1,IFERROR(--BD122,1))),1),IFERROR(MIN(3,MAX(1,INT(--AE122))),1))</f>
        <v>1</v>
      </c>
      <c r="GE122" t="str" cm="1">
        <f t="array" ref="GE122">IF(B122="","",_xlfn.LET(_xlpm.t,IFERROR(_xlfn.XLOOKUP(1,(Шины[Шина]=GC122)*(((Шины[Щит]=A122)+(Шины[Щит]=""))&gt;0),Шины[Тип]),"")&amp;"",IF(_xlpm.t&lt;&gt;"",_xlpm.t,IF(ISNUMBER(SEARCH("ИБП",GC122)),"ИБП",IF(ISNUMBER(SEARCH("ДГУ",GC122)),"ДГУ","Ввод "&amp;GD122)))))</f>
        <v>Ввод 1</v>
      </c>
      <c r="GF122" t="str">
        <f t="shared" si="214"/>
        <v>Ввод 1</v>
      </c>
      <c r="GG122" t="str">
        <f>IF(BP122=0,"",IF(TRIM(AG122&amp;"")&lt;&gt;"",TRIM(AG122&amp;""),IF(OR(GE122="ИБП",GE122="ДГУ"),"I особая",_xlfn.XLOOKUP(A122,Щиты[Щит],Щиты[Категория шины «Ввод»],"III"))))</f>
        <v/>
      </c>
      <c r="GH122" t="str">
        <f>IF(A122="","",_xlfn.XLOOKUP(A122,Щиты[Щит],Щиты[Путь],""))</f>
        <v>|ГРЩ-ЖД|ЩОВ-01|</v>
      </c>
      <c r="GI122" t="str">
        <f>IF(B122="","",IF(AI122&lt;&gt;"",AI122,IF(IFERROR(_xlfn.XLOOKUP(BC122,Коды_код,Коды_вид)&amp;"","")="","Прочее",_xlfn.XLOOKUP(BC122,Коды_код,Коды_вид)&amp;"")))</f>
        <v>Кондиционирование и увлажнение</v>
      </c>
      <c r="GJ122">
        <f>IF(BM122="","",INT((BM122-1)/Столбцов_на_лист)+1)</f>
        <v>3</v>
      </c>
      <c r="GK122" t="str">
        <f t="shared" si="215"/>
        <v>ВВГнг(А)-LS (3х1,5) L=41-0,39%</v>
      </c>
      <c r="GL122">
        <f t="shared" si="216"/>
        <v>0.16400000000000001</v>
      </c>
      <c r="GM122">
        <f t="shared" si="217"/>
        <v>0.89</v>
      </c>
      <c r="GN122">
        <f t="shared" si="218"/>
        <v>1</v>
      </c>
      <c r="GO122">
        <f t="shared" si="219"/>
        <v>0</v>
      </c>
      <c r="GP122">
        <f t="shared" si="220"/>
        <v>1</v>
      </c>
      <c r="GQ122">
        <f>IF(BM122="","",IF(AND(CG122=1,GP122=1),COUNTIFS(A$3:A122,A122,CG$3:CG122,1,GP$3:GP122,1),IF(OR(OR(BA122=1,A122&lt;&gt;A121),AJ122="вручную",GP122=0),"",IF(BA122=1,"",GR121))))</f>
        <v>20</v>
      </c>
      <c r="GR122">
        <f t="shared" si="221"/>
        <v>20</v>
      </c>
      <c r="GS122">
        <f>IF(B122="","",IFERROR(LOOKUP(INDEX(CHOOSE(EB122,Iдоп_1ж,Iдоп_2ж,Iдоп_3ж),MATCH(EN122,Iдоп_S,0))*DZ122*EA122,{6,10,16,20,25,32,40,50,63,80,100,125,160,200,250,315,400,500,630}),""))</f>
        <v>16</v>
      </c>
      <c r="GT122" t="str">
        <f t="shared" si="222"/>
        <v>QF20</v>
      </c>
      <c r="GU122" t="str">
        <f t="shared" si="223"/>
        <v>QF20</v>
      </c>
      <c r="GV122" t="str">
        <f t="shared" si="224"/>
        <v/>
      </c>
      <c r="GW122">
        <f t="shared" si="225"/>
        <v>0</v>
      </c>
      <c r="GX122" t="str">
        <f>IF(OR(B122="",DJ122=""),"",IFERROR(_xlfn.XLOOKUP(DJ122,Модули_умолч[Управление],Модули_умолч[Модель])&amp;"",""))</f>
        <v/>
      </c>
      <c r="GY122">
        <f>IF(DJ122="",1,IFERROR(MAX(0,N(_xlfn.XLOOKUP(DJ122,Модули_умолч[Управление],Модули_умолч[Каналов на линию]))),1))</f>
        <v>1</v>
      </c>
      <c r="GZ122" t="str">
        <f t="shared" si="226"/>
        <v/>
      </c>
      <c r="HA122" t="str">
        <f t="shared" si="227"/>
        <v/>
      </c>
      <c r="HB122" t="str">
        <f t="shared" si="228"/>
        <v/>
      </c>
      <c r="HC122">
        <f>IF(HB122="",0,IFERROR(N(VLOOKUP(HB122,Модули_спр,3,FALSE)),0))</f>
        <v>0</v>
      </c>
      <c r="HD122" t="str">
        <f t="shared" si="229"/>
        <v/>
      </c>
      <c r="HE122" t="str">
        <f t="shared" si="230"/>
        <v/>
      </c>
      <c r="HF122" t="str">
        <f>IF(OR(HE122="",HE122="-"),"",IFERROR(VLOOKUP(HE122,Модули_спр,2,FALSE),"R"))</f>
        <v/>
      </c>
      <c r="HG122" t="str">
        <f>IF(HF122="","",HF122&amp;"."&amp;COUNTIFS(A$3:A122,A122,HF$3:HF122,HF122))</f>
        <v/>
      </c>
      <c r="HH122" t="str">
        <f t="shared" si="231"/>
        <v/>
      </c>
      <c r="HI122" t="str">
        <f t="shared" si="232"/>
        <v/>
      </c>
      <c r="HJ122" t="str">
        <f t="shared" si="233"/>
        <v/>
      </c>
      <c r="HK122" t="str">
        <f t="shared" si="234"/>
        <v/>
      </c>
      <c r="HL122">
        <f t="shared" si="235"/>
        <v>1</v>
      </c>
      <c r="HM122" t="str">
        <f>IF(HL122=1,"XT"&amp;COUNTIFS(A$3:A122,A122,HL$3:HL122,1),"")</f>
        <v>XT20</v>
      </c>
      <c r="HN122" t="str">
        <f t="shared" si="236"/>
        <v>XT20</v>
      </c>
      <c r="HO122" t="str">
        <f t="shared" si="237"/>
        <v>QF20</v>
      </c>
      <c r="HP122" t="str">
        <f t="shared" si="238"/>
        <v/>
      </c>
      <c r="HQ122" t="str">
        <f t="shared" si="239"/>
        <v>ok</v>
      </c>
      <c r="HR122" t="str">
        <f>IF(OR(HJ122="",HH122=""),"",IF(HJ122+MAX(0,GY122-1)&gt;IFERROR(VLOOKUP(HI122,Модули_спр,3,FALSE),99),"ЛИШНИЙ КАНАЛ",IF(AND(AL122&lt;&gt;"=",GY122&gt;0,COUNTIFS(Линии[_модуль гр.],HH122,Линии[Канал (итог)],HJ122,Линии[Канал],"&lt;&gt;=",Линии[Щит],A122)&gt;1),"ДУБЛЬ КАНАЛА","")))</f>
        <v/>
      </c>
      <c r="HS122" s="6" t="str">
        <f t="shared" si="240"/>
        <v/>
      </c>
      <c r="HT122">
        <f t="shared" si="241"/>
        <v>10</v>
      </c>
      <c r="HU122" t="str">
        <f t="shared" si="242"/>
        <v/>
      </c>
      <c r="HV122">
        <f t="shared" si="243"/>
        <v>0.76507041555161981</v>
      </c>
      <c r="HW122">
        <f t="shared" si="244"/>
        <v>0</v>
      </c>
      <c r="HX122">
        <f t="shared" si="245"/>
        <v>0</v>
      </c>
      <c r="HY122">
        <f t="shared" si="246"/>
        <v>0</v>
      </c>
      <c r="HZ122">
        <f t="shared" si="247"/>
        <v>0</v>
      </c>
      <c r="IA122">
        <f t="shared" si="248"/>
        <v>0</v>
      </c>
      <c r="IB122">
        <f t="shared" si="249"/>
        <v>0</v>
      </c>
      <c r="IC122" t="str">
        <f t="shared" si="250"/>
        <v/>
      </c>
      <c r="ID122" t="str" cm="1">
        <f t="array" ref="ID122">IF(IC122="","",_xlfn.LET(_xlpm.tk,_xlfn.TEXTSPLIT(SUBSTITUTE(SUBSTITUTE(IC122,";"," "),"→"," ")," ",,TRUE),_xlpm.w_,_xlfn._xlws.FILTER(_xlpm.tk,ISNUMBER(--LEFT(_xlpm.tk,1))*((ISNUMBER(SEARCH("W",_xlpm.tk))+ISNUMBER(SEARCH("Вт",_xlpm.tk)))&gt;0),""),IFERROR(--SUBSTITUTE(SUBSTITUTE(UPPER(INDEX(_xlpm.w_,1)),"W",""),"ВТ",""),"")))</f>
        <v/>
      </c>
      <c r="IE122" t="str" cm="1">
        <f t="array" ref="IE122">IF(IC122="","",_xlfn.LET(_xlpm.tk,_xlfn.TEXTSPLIT(SUBSTITUTE(SUBSTITUTE(IC122,";"," "),"→"," ")," ",,TRUE),_xlpm.v_,_xlfn._xlws.FILTER(_xlpm.tk,ISNUMBER(--LEFT(_xlpm.tk,1))*((ISNUMBER(SEARCH("V",_xlpm.tk))+(RIGHT(UPPER(_xlpm.tk))="В"))&gt;0),""),IFERROR(--SUBSTITUTE(SUBSTITUTE(UPPER(INDEX(_xlpm.v_,1)),"V",""),"В",""),"")))</f>
        <v/>
      </c>
      <c r="IF122" s="6" t="str">
        <f>IF(OR(BV122=0,HI122="",HJ122=""),"",IFERROR(N(_xlfn.XLOOKUP(HI122,Каталог!$C$4:$C$500,Каталог!$Q$4:$Q$500)),""))</f>
        <v/>
      </c>
      <c r="IG122" s="6" t="str">
        <f>IF(N(IF122)=0,"",SUMIFS(Линии[Iр, А],Линии[Щит],A122,Линии[_модуль гр.],HH122,Линии[Канал (итог)],HJ122))</f>
        <v/>
      </c>
      <c r="IH122" t="str">
        <f>IF(AND(B122="",HO122=""),"",_xlfn.TEXTJOIN("; ",TRUE,IF(AND(B122&lt;&gt;"",FV122=""),"нет фазы",""),IF(AND(B122&lt;&gt;"",N(GL122)=0,FG122&lt;&gt;"Нет"),"нет мощности",""),IF(AND(HN122&lt;&gt;"",COUNTIFS(Линии[Щит],A122,Линии[Клемма (итог)],HN122)&gt;1),"дубль клеммы "&amp;HN122,""),IF(AND(HQ122&lt;&gt;"",HQ122&lt;&gt;"ok"),HQ122,""),IF(HR122&lt;&gt;"",HR122,""),IF(AND(N(CB122)&gt;=4,N(BX122)=1),CB122&amp;" жил на 1 фазе",""),IF(AND(BC122="R",CG122=1,IF(CS122&lt;&gt;"",N(CV122)&gt;30,OR(N(DA122)=0,N(DA122)&gt;30))),"розетка без дифзащиты до 30 мА",""),IF(AND(CG122=1,N(DA122)&gt;0,ISNUMBER(T122)),IF(T122&gt;N(DA122)/3,"ток утечки "&amp;FIXED(T122,1)&amp;" мА &gt; 1/3 уставки ("&amp;DA122&amp;" мА)",""),""),IF(AND(CH122=1,CS122=""),"«узо»: нет строки с УЗО выше (УЗО 2P 40А 30мА в «Аппаратах»)",""),IF(AND(CS122&lt;&gt;"",CS122=BA122),IF(CT122="","впишите номинал УЗО (УЗО 2P 40А 30мА)",IF(N(CT122)&lt;N(DT122),"УЗО "&amp;CT122&amp;" А &lt; автомата "&amp;DT122&amp;" А перед ним",IF(N(CT122)&lt;N(CX122),"УЗО "&amp;CT122&amp;" А &lt; тока блока "&amp;FIXED(CX122,1)&amp;" А",""))),""),IF(AND(CS122&lt;&gt;"",CS122=BA122,ISNUMBER(CY122)),IF(CY122&gt;N(CV122)/3,"ток утечки блока УЗО "&amp;FIXED(CY122,1)&amp;" мА &gt; 1/3 уставки ("&amp;CV122&amp;" мА)",""),""),IF(AND(CG122=1,N(BV122)+N(IB122)&gt;0,IC122=""),"линии до 50 В без БП: впишите в «Аппараты» (БП 24V 480W)",""),IF(AND(CG122=1,ISNUMBER(ID122),ISNUMBER(U122)),IF(U122&gt;ID122,"БП "&amp;ID122&amp;" Вт &lt; нужно "&amp;U122&amp;" Вт (×"&amp;Запас_БП&amp;")",""),""),IF(AND(CG122=1,ISNUMBER(IE122),N(BV122)=1),IF(IE122&lt;&gt;N(BU122),"БП на "&amp;IE122&amp;" В, линия "&amp;BU122&amp;" В",""),""),IF(AND(N(IF122)&gt;0,N(IG122)&gt;N(IF122)),HH122&amp;" канал "&amp;HJ122&amp;": "&amp;FIXED(IG122,1)&amp;" А &gt; "&amp;IF122&amp;" А",""),IFERROR(IF(AND(ISNUMBER(Q122),Q122&gt;EL122),"потери "&amp;FIXED(Q122,1)&amp;" % &gt; "&amp;EL122&amp;" %",""),""),IFERROR(IF(LEFT(HU122,4)="мало","Iкз мало — отключение &gt; 0,4 с",""),""),IF(AND(B122&lt;&gt;"",BM122=""),"не на схеме",""),IF(AND(CG122=0,B122&lt;&gt;"",FV122&lt;&gt;"",IF(BA122=1,"",FW121)&lt;&gt;"",FV122&lt;&gt;IF(BA122=1,"",FW121)),"фаза не как у автомата группы ("&amp;IF(BA122=1,"",FW121)&amp;")","")))</f>
        <v/>
      </c>
      <c r="II122" s="6">
        <f>IF(OR(CG122=0,DQ122=""),"",_xlfn.LET(_xlpm.t,IFERROR(_xlfn.XLOOKUP(DQ122,Каталог!$U$4:$U$500,Каталог!$G$4:$G$500),""),_xlpm.k,SEARCH("кА",_xlpm.t),IFERROR(--TRIM(RIGHT(SUBSTITUTE(MID(_xlpm.t,MAX(1,_xlpm.k-4),_xlpm.k-MAX(1,_xlpm.k-4))," ",REPT(" ",9)),5)),"")))</f>
        <v>6</v>
      </c>
      <c r="IJ122" t="str">
        <f>IF(OR(II122="",CG122=0),"",IF(_xlfn.XLOOKUP(A122,Щиты[Щит],Щиты[Iкз max на шинах, кА],"")="","",IF(II122&lt;_xlfn.XLOOKUP(A122,Щиты[Щит],Щиты[Iкз max на шинах, кА]),"Icu "&amp;II122&amp;" кА &lt; Iкз max","ok")))</f>
        <v/>
      </c>
      <c r="IK122" t="str">
        <f t="shared" si="251"/>
        <v/>
      </c>
      <c r="IL122" t="str">
        <f t="shared" si="252"/>
        <v>QF20|XT20</v>
      </c>
      <c r="IM122" t="str">
        <f t="shared" si="253"/>
        <v>QF20|XT20|кабель ВВГнг(А)-LS (3х1,5) → Внутренний блок кондиционирования подвальный этаж Пом. №001Т</v>
      </c>
      <c r="IN122" t="str" cm="1">
        <f t="array" ref="IN122">IF(IM122="","",_xlfn.LET(_xlpm.nd,_xlfn.TEXTSPLIT(IM122,"|"),IF(COLUMNS(_xlpm.nd)&gt;1,A122&amp;"¦"&amp;INDEX(_xlpm.nd,1)&amp;"¦"&amp;INDEX(_xlpm.nd,2),"")))</f>
        <v>ЩОВ-01¦QF20¦XT20</v>
      </c>
      <c r="IO122" t="str">
        <f t="shared" si="254"/>
        <v>K.1.006A¦Внутренний блок кондиционирования подвальный этаж Пом. №001Т</v>
      </c>
      <c r="IP122" t="str" cm="1">
        <f t="array" ref="IP122">IF(IM122="","",_xlfn.LET(_xlpm.nd,_xlfn.TEXTSPLIT(IM122,"|"),IF(COLUMNS(_xlpm.nd)&gt;2,A122&amp;"¦"&amp;INDEX(_xlpm.nd,2)&amp;"¦"&amp;INDEX(_xlpm.nd,3),"")))</f>
        <v>ЩОВ-01¦XT20¦кабель ВВГнг(А)-LS (3х1,5) → Внутренний блок кондиционирования подвальный этаж Пом. №001Т</v>
      </c>
      <c r="IQ122" t="str">
        <f t="shared" si="255"/>
        <v>K.1.006A¦Внутренний блок кондиционирования подвальный этаж Пом. №001Т</v>
      </c>
      <c r="IR122" t="str" cm="1">
        <f t="array" ref="IR122">IF(IM122="","",_xlfn.LET(_xlpm.nd,_xlfn.TEXTSPLIT(IM122,"|"),IF(COLUMNS(_xlpm.nd)&gt;3,A122&amp;"¦"&amp;INDEX(_xlpm.nd,3)&amp;"¦"&amp;INDEX(_xlpm.nd,4),"")))</f>
        <v/>
      </c>
      <c r="IS122" t="str">
        <f t="shared" si="256"/>
        <v/>
      </c>
      <c r="IT122" t="str" cm="1">
        <f t="array" ref="IT122">IF(IM122="","",_xlfn.LET(_xlpm.nd,_xlfn.TEXTSPLIT(IM122,"|"),IF(COLUMNS(_xlpm.nd)&gt;4,A122&amp;"¦"&amp;INDEX(_xlpm.nd,4)&amp;"¦"&amp;INDEX(_xlpm.nd,5),"")))</f>
        <v/>
      </c>
      <c r="IU122" t="str">
        <f t="shared" si="257"/>
        <v/>
      </c>
      <c r="IV122" t="str" cm="1">
        <f t="array" ref="IV122">IF(IM122="","",_xlfn.LET(_xlpm.nd,_xlfn.TEXTSPLIT(IM122,"|"),IF(COLUMNS(_xlpm.nd)&gt;5,A122&amp;"¦"&amp;INDEX(_xlpm.nd,5)&amp;"¦"&amp;INDEX(_xlpm.nd,6),"")))</f>
        <v/>
      </c>
      <c r="IW122" t="str">
        <f t="shared" si="258"/>
        <v/>
      </c>
      <c r="IX122" t="str" cm="1">
        <f t="array" ref="IX122">IF(IM122="","",_xlfn.LET(_xlpm.nd,_xlfn.TEXTSPLIT(IM122,"|"),IF(COLUMNS(_xlpm.nd)&gt;6,A122&amp;"¦"&amp;INDEX(_xlpm.nd,6)&amp;"¦"&amp;INDEX(_xlpm.nd,7),"")))</f>
        <v/>
      </c>
      <c r="IY122" t="str">
        <f t="shared" si="259"/>
        <v/>
      </c>
      <c r="IZ122" t="str">
        <f t="shared" si="260"/>
        <v/>
      </c>
      <c r="JA122" t="str">
        <f t="shared" si="261"/>
        <v>QF20 → XT20</v>
      </c>
      <c r="JB122">
        <f t="shared" si="262"/>
        <v>0</v>
      </c>
      <c r="JC122">
        <f t="shared" si="263"/>
        <v>0</v>
      </c>
      <c r="JD122" t="str">
        <f t="shared" si="264"/>
        <v/>
      </c>
      <c r="JE122" t="str">
        <f t="shared" si="265"/>
        <v/>
      </c>
      <c r="JF122" t="str">
        <f t="shared" si="266"/>
        <v/>
      </c>
      <c r="JG122" t="str">
        <f t="shared" si="267"/>
        <v/>
      </c>
      <c r="JH122">
        <f>IF(B122="","",IFERROR(_xlfn.XLOOKUP(B122,Коды_код,Коды_уго),IFERROR(_xlfn.XLOOKUP(BC122,Коды_код,Коды_уго),IFERROR(_xlfn.XLOOKUP(LEFT(BC122,2),Коды_код,Коды_уго),""))))</f>
        <v>0</v>
      </c>
      <c r="JI122" t="str">
        <f>IF(B122="","",IF(OR(JH122="",JH122=0),"BOX",IFERROR(IF(VLOOKUP(JH122,УГО_блоки,3,FALSE)&amp;""&lt;&gt;"",VLOOKUP(JH122,УГО_блоки,3,FALSE),VLOOKUP(JH122,УГО_блоки,2,FALSE)),JH122)))</f>
        <v>BOX</v>
      </c>
      <c r="JJ122">
        <f t="shared" si="268"/>
        <v>1</v>
      </c>
      <c r="JK122" t="str">
        <f>IF(DQ122="","",IF(COUNTIF(DQ$3:DQ122,DQ122)=1,MAX(JK$2:JK121)+1,""))</f>
        <v/>
      </c>
      <c r="JL122" t="str">
        <f>IF(DE122="","",IF(COUNTIF(DE$3:DE122,DE122)+COUNTIF(DF$2:DF121,DE122)+COUNTIF(DG$2:DG121,DE122)=1,MAX(JL$2:JN121)+1,""))</f>
        <v/>
      </c>
      <c r="JM122" t="str">
        <f>IF(DF122="","",IF(COUNTIF(DE$3:DE122,DF122)+COUNTIF(DF$3:DF122,DF122)+COUNTIF(DG$2:DG121,DF122)=1,MAX(JL$2:JN121,JL122)+1,""))</f>
        <v/>
      </c>
      <c r="JN122" t="str">
        <f>IF(DG122="","",IF(COUNTIF(DE$3:DE122,DG122)+COUNTIF(DF$3:DF122,DG122)+COUNTIF(DG$3:DG122,DG122)=1,MAX(JL$2:JN121,JL122,JM122)+1,""))</f>
        <v/>
      </c>
      <c r="JO122" t="str">
        <f t="shared" si="269"/>
        <v>3х1,5</v>
      </c>
      <c r="JP122" t="str">
        <f>IF(JO122="","",IF(COUNTIF(JO$3:JO122,JO122)=1,MAX(JP$2:JP121)+1,""))</f>
        <v/>
      </c>
      <c r="JQ122" t="str">
        <f>IF(HG122="","",COUNTIF(HG$3:HG122,"?*"))</f>
        <v/>
      </c>
      <c r="JR122" t="str">
        <f>IF(OR(HG122="",HI122=""),"",IF(COUNTIFS(HG$3:HG122,"?*",HI$3:HI122,HI122)=1,MAX(JR$2:JR121)+1,""))</f>
        <v/>
      </c>
      <c r="JS122">
        <f t="shared" si="270"/>
        <v>0</v>
      </c>
      <c r="JT122">
        <f>IF(B122="","",COUNTIF(B$3:B122,"?*"))</f>
        <v>120</v>
      </c>
      <c r="JU122">
        <f>IF(HL122&lt;&gt;1,0,_xlfn.LET(_xlpm.k,MAX(IFERROR(--_xlfn.XLOOKUP(B122,Коды_код,Коды_3L),0),IFERROR(--_xlfn.XLOOKUP(BC122,Коды_код,Коды_3L),0),IFERROR(--_xlfn.XLOOKUP(LEFT(BC122,2),Коды_код,Коды_3L),0)),IF(_xlpm.k&gt;0,_xlpm.k,IF(IFERROR(--LEFT(SUBSTITUTE(JO122,"x","х"),FIND("х",SUBSTITUTE(JO122,"x","х"))-1),3)&gt;3,Каталог!$S$9,1))))</f>
        <v>1</v>
      </c>
      <c r="JV122">
        <f t="shared" si="271"/>
        <v>0</v>
      </c>
      <c r="JW122" t="str">
        <f t="shared" si="272"/>
        <v>авто</v>
      </c>
      <c r="JX122" t="str">
        <f t="shared" si="273"/>
        <v/>
      </c>
      <c r="JY122">
        <f t="shared" si="274"/>
        <v>0</v>
      </c>
      <c r="JZ122">
        <f t="shared" si="275"/>
        <v>1</v>
      </c>
    </row>
    <row r="123" spans="1:286" x14ac:dyDescent="0.3">
      <c r="A123" t="s">
        <v>745</v>
      </c>
      <c r="B123" t="s">
        <v>1433</v>
      </c>
      <c r="C123" t="s">
        <v>1681</v>
      </c>
      <c r="D123">
        <v>1</v>
      </c>
      <c r="E123">
        <v>0.376</v>
      </c>
      <c r="G123">
        <v>10</v>
      </c>
      <c r="H123" t="str">
        <f>Линии[[#This Row],[_авто управление]]</f>
        <v/>
      </c>
      <c r="I123" t="str">
        <f>Линии[[#This Row],[_авто аппараты]]</f>
        <v/>
      </c>
      <c r="J123">
        <v>1.5</v>
      </c>
      <c r="K123">
        <v>72</v>
      </c>
      <c r="L123" t="str">
        <f>Линии[[#This Row],[_авто фаза]]</f>
        <v>L1</v>
      </c>
      <c r="M123" t="str">
        <f>Линии[[#This Row],[_авто клемма]]</f>
        <v>XT21</v>
      </c>
      <c r="N123" t="str">
        <f t="shared" si="138"/>
        <v/>
      </c>
      <c r="O123" s="6" cm="1">
        <f t="array" ref="O123">IF(B123="","",IF(BH123&lt;&gt;"",IFERROR(_xlfn.XLOOKUP(BH123,Щиты[Щит],Щиты[Iр, А]),""),IF(BP123=1,IF(OR(N(_xlfn.XLOOKUP(A123,Щиты[Щит],Щиты[Вводов],1))&lt;=1,LOWER(TRIM(_xlfn.XLOOKUP(A123,Щиты[Щит],Щиты[АВР],"")&amp;""))="да"),IFERROR(_xlfn.XLOOKUP(A123,Щиты[Щит],Щиты[Iр, А]),""),IFERROR(N(BS123)*_xlfn.XLOOKUP(A123,Щиты[Щит],Щиты[Кс итог])/(SQRT(3)*Uн_лин*_xlfn.XLOOKUP(A123,Щиты[Щит],Щиты[cos φ])),"")),IF(BV123=1,IFERROR(BS123*1000/BU123,""),IFERROR(_xlfn.IFS(BX123=1,BS123/((Uн_лин/SQRT(3))*CE123),BX123=3,BS123/(SQRT(3)*Uн_лин*CE123)),"")))))</f>
        <v>2.0351596988934304</v>
      </c>
      <c r="P123" s="7">
        <f>IF(B123="","",IFERROR(IF(VLOOKUP(BC123,Потребители_обозначение,4,FALSE)=1,VLOOKUP(BC123,Потребители_обозначение,3,FALSE)*(MAX(1,N(D123))*2-1)+EI123+VLOOKUP(BE123,Этаж_обозначение,3,FALSE)+VLOOKUP(BE123,Этаж_обозначение,4,FALSE),VLOOKUP(BC123,Потребители_обозначение,3,FALSE)*(MAX(1,N(D123))*2-1)+EI123),EI123))</f>
        <v>74</v>
      </c>
      <c r="Q123" s="6">
        <f t="shared" si="139"/>
        <v>1.82</v>
      </c>
      <c r="R123" t="str">
        <f t="shared" si="140"/>
        <v>ВВГнг(А)-LS (3х1,5)</v>
      </c>
      <c r="S123" t="str">
        <f>IF(BM123="","",IF(BN123="вводной узел","узел ","")&amp;"л."&amp;(INT((BM123-1)/Столбцов_на_лист)+1)&amp;" / "&amp;(MOD(BM123-1,Столбцов_на_лист)+1))</f>
        <v>л.3 / 3</v>
      </c>
      <c r="T123" s="119">
        <f t="shared" si="141"/>
        <v>1.6</v>
      </c>
      <c r="U123" s="7" t="str">
        <f>IF(OR(CG123=0,N(BV123)+N(IB123)=0),"",ROUNDUP(Запас_БП*(N(HY123)+N(HZ123)),0))</f>
        <v/>
      </c>
      <c r="V123" s="119" t="str">
        <f t="shared" si="142"/>
        <v/>
      </c>
      <c r="W123" s="7" t="str">
        <f>IFERROR(IF(OR(B123="",BP123=1,BV123=1,NOT(ISNUMBER(EN123)),N(DT123)=0),"",MAX(0,ROUNDDOWN((c_min*(Uн_лин*1000/SQRT(3))/(HT123*N(DT123))-_xlfn.XLOOKUP(A123,Щиты[Щит],Щиты[Zпетли на шинах, Ом]))*EN123/(2*ρкз_Cu),0))),"")</f>
        <v/>
      </c>
      <c r="Y123" t="str">
        <f>Линии[[#This Row],[_авто утечка]]</f>
        <v/>
      </c>
      <c r="Z123">
        <v>1</v>
      </c>
      <c r="AA123">
        <v>230</v>
      </c>
      <c r="AB123" t="s">
        <v>598</v>
      </c>
      <c r="AC123">
        <v>0.5</v>
      </c>
      <c r="AG123" t="s">
        <v>810</v>
      </c>
      <c r="AI123" t="s">
        <v>576</v>
      </c>
      <c r="AK123" t="str">
        <f>Линии[[#This Row],[_авто модуль]]</f>
        <v/>
      </c>
      <c r="AM123">
        <v>37</v>
      </c>
      <c r="AN123" t="s">
        <v>11</v>
      </c>
      <c r="AO123">
        <v>3</v>
      </c>
      <c r="AQ123">
        <v>60</v>
      </c>
      <c r="AR123">
        <v>14</v>
      </c>
      <c r="AT123">
        <v>1</v>
      </c>
      <c r="BA123" cm="1">
        <f t="array" ref="BA123">ROW()-ROW(Линии[#Headers])</f>
        <v>121</v>
      </c>
      <c r="BC123" s="6" t="str">
        <f t="shared" si="143"/>
        <v>K</v>
      </c>
      <c r="BD123" t="str">
        <f t="shared" si="144"/>
        <v>1.002Б</v>
      </c>
      <c r="BE123" t="str">
        <f t="shared" si="145"/>
        <v>1</v>
      </c>
      <c r="BF123" t="str">
        <f t="shared" si="146"/>
        <v>002Б</v>
      </c>
      <c r="BG123" t="str">
        <f t="shared" si="147"/>
        <v>002Б</v>
      </c>
      <c r="BH123" t="str">
        <f>IF(X123&lt;&gt;"",X123,IF(AND(B123&lt;&gt;"",B123&lt;&gt;A123,ISNUMBER(_xlfn.XMATCH(B123,Щиты[Щит]))),B123,""))</f>
        <v/>
      </c>
      <c r="BI123" t="str" cm="1">
        <f t="array" ref="BI123">IF(B123="","",IF(BH123&lt;&gt;"","Щит "&amp;BH123,_xlfn.LET(_xlpm.nm,IFERROR(_xlfn.XLOOKUP(BC123,Коды_код,Коды_имя)&amp;"",""),_xlpm.md,IFERROR(N(_xlfn.XLOOKUP(BC123,Коды_код,Коды_режим)),1),_xlpm.ex,IF(Имя_режим="по экспликации",IFERROR(_xlfn.XLOOKUP(BE123&amp;"|"&amp;BG123,Экспликация[Этаж]&amp;"|"&amp;Экспликация[Помещение],Экспликация[Название])&amp;"",""),""),_xlpm.rm,IF(BG123="","",IF(_xlpm.ex&lt;&gt;"",". "&amp;_xlpm.ex&amp;IF(Имя_пом="нет"," ("&amp;BG123&amp;")"," (пом. "&amp;BG123&amp;")"),IF(Имя_пом="нет"," ",", пом. ")&amp;BG123)),IF(_xlpm.nm="","",IF(_xlpm.md=2,_xlpm.nm&amp;" шлейф "&amp;BE123,_xlpm.nm&amp;_xlpm.rm)))))</f>
        <v>Внутренний блок кондиционирования, пом. 002Б</v>
      </c>
      <c r="BJ123" t="str">
        <f t="shared" si="148"/>
        <v>Внутренний блок кондиционирования первый этаж Пом. №002Б</v>
      </c>
      <c r="BK123">
        <f>IFERROR(_xlfn.XMATCH(A123,Щиты[Щит]),0)</f>
        <v>6</v>
      </c>
      <c r="BL123">
        <f>_xlfn.LET(_xlpm.k,IFERROR(_xlfn.XLOOKUP(A123,Щиты[Щит],Щиты[Мест под вводной узел]),""),IF(_xlpm.k="",Столбцов_на_лист,N(_xlpm.k)))</f>
        <v>12</v>
      </c>
      <c r="BM123">
        <f t="shared" si="149"/>
        <v>37</v>
      </c>
      <c r="BN123" t="str">
        <f t="shared" si="150"/>
        <v>линии</v>
      </c>
      <c r="BO123" s="6">
        <f>IFERROR(N(_xlfn.XLOOKUP(BC123,Коды_код,Коды_квт)),0)</f>
        <v>0</v>
      </c>
      <c r="BP123">
        <f t="shared" si="151"/>
        <v>0</v>
      </c>
      <c r="BQ123" t="str">
        <f>IF(B123="","",IF(BH123&lt;&gt;"",IFERROR(_xlfn.XLOOKUP(BH123,Щиты[Щит],Щиты[Руст, кВт]),0),IF(BP123=1,IF(OR(N(_xlfn.XLOOKUP(A123,Щиты[Щит],Щиты[Вводов],1))&lt;=1,LOWER(TRIM(_xlfn.XLOOKUP(A123,Щиты[Щит],Щиты[АВР],"")&amp;""))="да"),IFERROR(_xlfn.XLOOKUP(A123,Щиты[Щит],Щиты[Руст, кВт]),0),SUMIFS(Линии[_Р для вводов],Линии[Щит],A123,Линии[Источник для режимов],GF123)),IF(BO123&gt;0,ROUND(BO123*MAX(1,N(D123)),3),""))))</f>
        <v/>
      </c>
      <c r="BR123">
        <f t="shared" si="152"/>
        <v>0.376</v>
      </c>
      <c r="BS123" s="6">
        <f>IF(B123="","",IF(BH123&lt;&gt;"",IFERROR(_xlfn.XLOOKUP(BH123,Щиты[Щит],Щиты[Руст, кВт]),0),N(BR123)))</f>
        <v>0.376</v>
      </c>
      <c r="BT123" t="str">
        <f>IF(B123="","",IFERROR(IF(VLOOKUP(BC123,Потребители_обозначение,8,FALSE)=0,"",VLOOKUP(BC123,Потребители_обозначение,8,FALSE)),""))</f>
        <v/>
      </c>
      <c r="BU123">
        <f t="shared" si="153"/>
        <v>230</v>
      </c>
      <c r="BV123">
        <f t="shared" si="154"/>
        <v>0</v>
      </c>
      <c r="BW123">
        <f>IF(B123="","",IF(BH123&lt;&gt;"",3,IFERROR(IF(N(VLOOKUP(BC123,Потребители_обозначение,9,FALSE))=0,1,VLOOKUP(BC123,Потребители_обозначение,9,FALSE)),1)))</f>
        <v>1</v>
      </c>
      <c r="BX123">
        <f t="shared" si="155"/>
        <v>1</v>
      </c>
      <c r="BY123" t="str">
        <f>IF(B123="","",_xlfn.LET(_xlpm.bc,IFERROR(IF(VLOOKUP(BC123,Потребители_обозначение,6,FALSE)=0,"",VLOOKUP(BC123,Потребители_обозначение,6,FALSE)&amp;""),""),IF(AND(GA123="да",OR(_xlpm.bc="",_xlpm.bc="мс")),Марка_пож,IF(AND(_xlpm.bc="",BH123&lt;&gt;""),"мс",_xlpm.bc))))</f>
        <v/>
      </c>
      <c r="BZ123" t="str">
        <f t="shared" si="156"/>
        <v>мс</v>
      </c>
      <c r="CA123">
        <f>IF(B123="","",_xlfn.LET(_xlpm.cc,IFERROR(N(VLOOKUP(BC123,Потребители_обозначение,7,FALSE)),0),IF(_xlpm.cc&gt;0,_xlpm.cc,IF(BZ123="","",IF(BV123=1,2,IF(N(BX123)=3,5,3))))))</f>
        <v>3</v>
      </c>
      <c r="CB123">
        <f t="shared" si="157"/>
        <v>3</v>
      </c>
      <c r="CC123">
        <f>IFERROR(N(VLOOKUP(BC123,Потребители_обозначение,10,FALSE)),0)</f>
        <v>0</v>
      </c>
      <c r="CD123">
        <f>IFERROR(VLOOKUP(BC123,Потребители_обозначение,5,FALSE),0)</f>
        <v>1</v>
      </c>
      <c r="CE123" s="6" cm="1">
        <f t="array" ref="CE123">IF(B123="","",IF(BH123&lt;&gt;"",IFERROR(_xlfn.XLOOKUP(BH123,Щиты[Щит],Щиты[cos φ]),0.95),IF(BP123=1,IFERROR(_xlfn.XLOOKUP(A123,Щиты[Щит],Щиты[cos φ]),0.95),IF(ISNUMBER(AD123),AD123,IFERROR(IF(CD123=2,_xlfn.IFS(BX123=3,VLOOKUP(BS123,Справочная_двигатели,8,FALSE),BX123=1,VLOOKUP(BS123,Справочная_двигатели,10,TRUE)),IF(AND(Методика="нормы 2026",FG123="Сил"),0.8,0.95)),0.95)))))</f>
        <v>0.8</v>
      </c>
      <c r="CF123">
        <f t="shared" si="158"/>
        <v>0</v>
      </c>
      <c r="CG123">
        <f t="shared" si="159"/>
        <v>1</v>
      </c>
      <c r="CH123">
        <f t="shared" si="160"/>
        <v>0</v>
      </c>
      <c r="CI123">
        <f>IF(B123="","",IF(BV123=1,IFERROR(BS123/((Uн_лин/SQRT(3))*MAX(0.5,N(CE123))),0),N(O123)))</f>
        <v>2.0351596988934304</v>
      </c>
      <c r="CJ123">
        <f t="shared" si="161"/>
        <v>0</v>
      </c>
      <c r="CK123">
        <f t="shared" si="162"/>
        <v>0</v>
      </c>
      <c r="CL123">
        <f t="shared" si="163"/>
        <v>0</v>
      </c>
      <c r="CM123">
        <f t="shared" si="164"/>
        <v>0</v>
      </c>
      <c r="CN123">
        <f t="shared" si="165"/>
        <v>0</v>
      </c>
      <c r="CO123">
        <f>IF(BC123="",0,_xlfn.LET(_xlpm.v,IFERROR(_xlfn.XLOOKUP(B123,Коды_код,Коды_мА),IFERROR(_xlfn.XLOOKUP(BC123,Коды_код,Коды_мА),IFERROR(_xlfn.XLOOKUP(LEFT(BC123,2),Коды_код,Коды_мА),""))),IF(_xlpm.v="да",30,IF(ISNUMBER(_xlpm.v),_xlpm.v,0))))</f>
        <v>0</v>
      </c>
      <c r="CP123" t="str">
        <f t="shared" si="166"/>
        <v/>
      </c>
      <c r="CQ123" t="str">
        <f>_xlfn.LET(_xlpm.k,IFERROR(_xlfn.XLOOKUP(BC123,Коды_код,Коды_утечка)&amp;"",""),IF(_xlpm.k="","дифавтомат",_xlpm.k))</f>
        <v>дифавтомат</v>
      </c>
      <c r="CR123" t="str" cm="1">
        <f t="array" ref="CR123">IF(CG123=0,"",_xlfn.LET(_xlpm.sg,TRIM(_xlfn.TEXTSPLIT(DD123&amp;"",";")),_xlpm.f_,_xlfn._xlws.FILTER(_xlpm.sg,LEFT(_xlpm.sg,3)="УЗО",""),IFERROR(INDEX(_xlpm.f_,1)&amp;"","")))</f>
        <v/>
      </c>
      <c r="CS123" t="str">
        <f t="shared" si="167"/>
        <v/>
      </c>
      <c r="CT123" s="6" t="str" cm="1">
        <f t="array" ref="CT123">IF(CR123="","",_xlfn.LET(_xlpm.tk,_xlfn.TEXTSPLIT(UPPER(CR123)," ",,TRUE),_xlpm.a_,_xlfn._xlws.FILTER(_xlpm.tk,ISNUMBER(--LEFT(_xlpm.tk,1))*((ISNUMBER(SEARCH("А",_xlpm.tk))+ISNUMBER(SEARCH("A",_xlpm.tk)))&gt;0)*NOT(ISNUMBER(SEARCH("МА",_xlpm.tk)))*NOT(ISNUMBER(SEARCH("MA",_xlpm.tk))),""),IFERROR(--SUBSTITUTE(SUBSTITUTE(INDEX(_xlpm.a_,1),"А",""),"A",""),"")))</f>
        <v/>
      </c>
      <c r="CU123" t="str" cm="1">
        <f t="array" ref="CU123">IF(CR123="","",_xlfn.LET(_xlpm.tk,_xlfn.TEXTSPLIT(UPPER(CR123)," ",,TRUE),_xlpm.a_,_xlfn._xlws.FILTER(_xlpm.tk,ISNUMBER(--LEFT(_xlpm.tk,1))*((ISNUMBER(SEARCH("МА",_xlpm.tk))+ISNUMBER(SEARCH("MA",_xlpm.tk)))&gt;0),""),IFERROR(--SUBSTITUTE(SUBSTITUTE(INDEX(_xlpm.a_,1),"МА",""),"MA",""),30)))</f>
        <v/>
      </c>
      <c r="CV123" t="str">
        <f>IF(CS123="","",IFERROR(_xlfn.XLOOKUP(CS123,Линии[_n],Линии[_УЗО, мА]),30))</f>
        <v/>
      </c>
      <c r="CW123">
        <f>IF(CS123="",0,IF(ISNUMBER(SEARCH("4P",IFERROR(_xlfn.XLOOKUP(CS123,Линии[_n],Линии[_УЗО строки])&amp;"",""))),0,1))</f>
        <v>0</v>
      </c>
      <c r="CX123" t="str">
        <f>IF(AND(CS123&lt;&gt;"",CS123=BA123),SUMIFS(Линии[_ток на 230 В],Линии[_блок УЗО],BA123,Линии[Щит],A123),"")</f>
        <v/>
      </c>
      <c r="CY123" t="str">
        <f>IF(AND(CS123&lt;&gt;"",CS123=BA123),SUMIFS(Линии[_ток утечки линии, мА],Линии[_блок УЗО],BA123,Линии[Щит],A123),"")</f>
        <v/>
      </c>
      <c r="CZ123">
        <f t="shared" si="168"/>
        <v>0</v>
      </c>
      <c r="DA123">
        <f t="shared" si="169"/>
        <v>0</v>
      </c>
      <c r="DB123">
        <f>IF(B123="",0,IFERROR(--_xlfn.XLOOKUP(B123,Коды_код,Коды_минавт),IFERROR(--_xlfn.XLOOKUP(BC123,Коды_код,Коды_минавт),IFERROR(--_xlfn.XLOOKUP(LEFT(BC123,2),Коды_код,Коды_минавт),0))))</f>
        <v>0</v>
      </c>
      <c r="DC123" t="str">
        <f>IF(B123="","",IFERROR(_xlfn.XLOOKUP(BC123,Коды_код,Коды_апп)&amp;"",""))</f>
        <v/>
      </c>
      <c r="DD123" t="str">
        <f t="shared" si="170"/>
        <v/>
      </c>
      <c r="DE123" t="str" cm="1">
        <f t="array" ref="DE123">IF(TRIM(DD123&amp;"")="","",IFERROR(TRIM(INDEX(_xlfn.TEXTSPLIT(DD123&amp;";;;",";"),1)),""))</f>
        <v/>
      </c>
      <c r="DF123" t="str" cm="1">
        <f t="array" ref="DF123">IF(TRIM(DD123&amp;"")="","",IFERROR(TRIM(INDEX(_xlfn.TEXTSPLIT(DD123&amp;";;;",";"),2)),""))</f>
        <v/>
      </c>
      <c r="DG123" t="str" cm="1">
        <f t="array" ref="DG123">IF(TRIM(DD123&amp;"")="","",IFERROR(TRIM(INDEX(_xlfn.TEXTSPLIT(DD123&amp;";;;",";"),3)),""))</f>
        <v/>
      </c>
      <c r="DH123">
        <f t="shared" si="171"/>
        <v>0</v>
      </c>
      <c r="DI123" t="str">
        <f>IF(B123="","",_xlfn.LET(_xlpm.t,LOWER(AZ123&amp;""),IF(ISNUMBER(SEARCH("dim",_xlpm.t)),"DIM",IF(ISNUMBER(SEARCH("dali",_xlpm.t)),"DALI",IF(OR(ISNUMBER(SEARCH("relay",_xlpm.t)),ISNUMBER(SEARCH("реле",_xlpm.t))),"Relay",IF(ISNUMBER(SEARCH("кнопк",_xlpm.t)),"",IFERROR(_xlfn.XLOOKUP(BC123,Коды_код,Коды_упр)&amp;"","")))))))</f>
        <v/>
      </c>
      <c r="DJ123" t="str">
        <f t="shared" si="172"/>
        <v/>
      </c>
      <c r="DK123">
        <f>IF(B123="","",_xlfn.LET(_xlpm.ig,IF(N(CX123)&gt;0,N(CX123),N(CI123)+IF(AJ123="вручную",0,N(CJ123))),_xlpm.n0,IFERROR(VLOOKUP(_xlpm.ig,Автомат_номиналы,2,TRUE),0),_xlpm.mn,MAX(DB123,IF(AJ123="вручную",0,N(CM123))),MAX(_xlpm.n0,_xlpm.mn,IF(DH123=1,Мин_автомат_БП,0))))</f>
        <v>6</v>
      </c>
      <c r="DL123">
        <f t="shared" si="173"/>
        <v>1</v>
      </c>
      <c r="DM123" t="str">
        <f t="shared" si="174"/>
        <v>1P</v>
      </c>
      <c r="DN123" t="str">
        <f>_xlfn.LET(_xlpm.cc,UPPER(TRIM(IFERROR(_xlfn.XLOOKUP(BC123,Коды_код,Коды_хар)&amp;"",""))),IF(OR(_xlpm.cc="B",_xlpm.cc="В"),"B",IF(_xlpm.cc="D","D","С")))</f>
        <v>С</v>
      </c>
      <c r="DO123" t="str">
        <f t="shared" si="175"/>
        <v>1P С6А</v>
      </c>
      <c r="DP123">
        <f t="shared" si="176"/>
        <v>10</v>
      </c>
      <c r="DQ123" t="str">
        <f t="shared" si="177"/>
        <v>1P С10А</v>
      </c>
      <c r="DR123" cm="1">
        <f t="array" ref="DR123">IF(DQ123="","",_xlfn.LET(_xlpm.t,SUBSTITUTE(SUBSTITUTE(SUBSTITUTE(UPPER(DQ123),"С","C"),"А","A"),"В","B"),_xlpm.tk,_xlfn.TEXTSPLIT(_xlpm.t," "),_xlpm.f,_xlfn._xlws.FILTER(_xlpm.tk,ISNUMBER(--MID(_xlpm.tk,2,1))*ISNUMBER(SEARCH(LEFT(_xlpm.tk,1)&amp;"#","B#C#D#"))*(LEN(_xlpm.tk)&gt;1),""),_xlpm.x,INDEX(_xlpm.f,1),IFERROR(--SUBSTITUTE(MID(_xlpm.x,2,9),"A",""),IFERROR(--SUBSTITUTE(INDEX(_xlfn._xlws.FILTER(_xlpm.tk,ISNUMBER(--SUBSTITUTE(_xlpm.tk,"A","")),""),1),"A",""),""))))</f>
        <v>10</v>
      </c>
      <c r="DS123" t="str">
        <f t="shared" si="178"/>
        <v>ok</v>
      </c>
      <c r="DT123">
        <f t="shared" si="179"/>
        <v>10</v>
      </c>
      <c r="DU123" t="str">
        <f t="shared" si="180"/>
        <v>1P С10А</v>
      </c>
      <c r="DV123">
        <f t="shared" si="181"/>
        <v>0</v>
      </c>
      <c r="DW123">
        <f t="shared" si="182"/>
        <v>0</v>
      </c>
      <c r="DX123">
        <f t="shared" si="183"/>
        <v>0</v>
      </c>
      <c r="DY123">
        <f t="shared" si="184"/>
        <v>2.0351596988934304</v>
      </c>
      <c r="DZ123">
        <f t="shared" si="185"/>
        <v>1</v>
      </c>
      <c r="EA123">
        <f>IF(ISNUMBER(AP123),AP123,К_прокл)</f>
        <v>1</v>
      </c>
      <c r="EB123">
        <f t="shared" si="186"/>
        <v>2</v>
      </c>
      <c r="EC123">
        <f>IFERROR(N(VLOOKUP(BZ123,Кабель_обозначение,3,FALSE)),1)</f>
        <v>1</v>
      </c>
      <c r="ED123">
        <f>IFERROR(N(_xlfn.XLOOKUP(A123,Щиты[Щит],Щиты[ΔU до шин, %])),0)</f>
        <v>0.24000000000000002</v>
      </c>
      <c r="EE123" t="str">
        <f>IFERROR(_xlfn.XLOOKUP(A123,Щиты[Щит],Щиты[Zпетли на шинах, Ом]),"")</f>
        <v/>
      </c>
      <c r="EF123">
        <f>IFERROR(N(_xlfn.XLOOKUP(A123,Щиты[Щит],Щиты[ΔU до шин (подбор), %])),0)</f>
        <v>0.36</v>
      </c>
      <c r="EG123" t="str">
        <f>IFERROR(_xlfn.XLOOKUP(A123,Щиты[Щит],Щиты[Zпетли на шинах (подбор), Ом]),"")</f>
        <v/>
      </c>
      <c r="EH123" t="str">
        <f t="shared" si="187"/>
        <v/>
      </c>
      <c r="EI123">
        <f t="shared" si="188"/>
        <v>72</v>
      </c>
      <c r="EJ123">
        <f t="shared" si="189"/>
        <v>2</v>
      </c>
      <c r="EK123">
        <f t="shared" si="190"/>
        <v>0.6</v>
      </c>
      <c r="EL123" s="6">
        <f>IF(B123="","",IF(BV123=1,dU_LED,IF(IFERROR(_xlfn.XLOOKUP(BC123,Коды_код,Коды_уго),"")="Светильник",3,4)+IF(Методика="нормы 2026",MIN(0.5,MAX(0,N(P123)-100)*0.005),0)))</f>
        <v>4</v>
      </c>
      <c r="EM123" cm="1">
        <f t="array" ref="EM123">IF(OR(B123="",BZ123="",EC123&lt;&gt;1),"",_xlfn.LET(_xlpm.sz,Iдоп_S,_xlpm.t_,CHOOSE(EB123,Iдоп_1ж,Iдоп_2ж,Iдоп_3ж)*DZ123*EA123,_xlpm.dcx,BV123=1,_xlpm.inn,IF(_xlpm.dcx,N(O123),N(DT123)),_xlpm.smin,MAX(1.5,CC123),_xlpm.L_,N(P123)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123)/N(BU123)*100,999),IFERROR(N(EJ123)*(_xlpm.rho*_xlpm.L_/_xlpm.sz*N(CE123)+_xlpm.xx*_xlpm.L_*N(EK123)/1000)*N(O123)/((Uн_лин/SQRT(3))*1000)*100,999)),_xlpm.kz,IF(OR(_xlpm.dcx,DW123=1,NOT(ISNUMBER(EG123)),_xlpm.L_=0,_xlpm.inn=0),1,IFERROR(--(c_min*(Uн_лин*1000/SQRT(3))/(EG123+2*ρкз_Cu*_xlpm.L_/_xlpm.sz)&gt;=HT123*_xlpm.inn),0)),_xlpm.ok,IFERROR((_xlpm.sz&gt;=_xlpm.smin)*(_xlpm.t_&gt;=_xlpm.inn)*IF(_xlpm.L_&gt;0,(_xlpm.du_+IF(_xlpm.dcx,0,EF123)&lt;=EL123+0.00001),1)*_xlpm.kz,0),_xlpm.r_,_xlfn._xlws.FILTER(_xlpm.sz,_xlpm.ok,"не подобрано"),INDEX(_xlpm.r_,1)))</f>
        <v>1.5</v>
      </c>
      <c r="EN123">
        <f t="shared" si="191"/>
        <v>1.5</v>
      </c>
      <c r="EO123" cm="1">
        <f t="array" ref="EO123">IF(OR(B123="",BZ123="",EC123&lt;&gt;1),"",_xlfn.LET(_xlpm.sz,Iдоп_S,_xlpm.t_,CHOOSE(EB123,Iдоп_1ж,Iдоп_2ж,Iдоп_3ж)*DZ123*EA123,_xlpm.ok,IFERROR((_xlpm.sz&gt;=MAX(1.5,CC123))*(_xlpm.t_&gt;=N(DT123)),0),_xlpm.r_,_xlfn._xlws.FILTER(_xlpm.sz,_xlpm.ok,""),INDEX(_xlpm.r_,1)))</f>
        <v>1.5</v>
      </c>
      <c r="EP123" s="6" cm="1">
        <f t="array" ref="EP123">IFERROR(ROUNDUP(N(EJ123)*(_xlfn.XLOOKUP(EO123,INDEX(Кабель_сопротивление,0,1),INDEX(Кабель_сопротивление,0,3))*N(P123)/EO123*N(CE123)+_xlfn.XLOOKUP(EO123,INDEX(Кабель_сопротивление,0,1),INDEX(Кабель_сопротивление,0,2))*N(P123)*N(EK123)/1000)*N(O123)/((Uн_лин/SQRT(3))*1000)*100,2),"")</f>
        <v>1.58</v>
      </c>
      <c r="EQ123">
        <f>IFERROR(2*ρкз_Cu*N(P123)/EO123,"")</f>
        <v>2.5949333333333331</v>
      </c>
      <c r="ER123">
        <f>IFERROR(VLOOKUP(EN123,Кабель_сопротивление,3,FALSE),"")</f>
        <v>2.2499999999999999E-2</v>
      </c>
      <c r="ES123">
        <f>IFERROR(VLOOKUP(EN123,Кабель_сопротивление,2,FALSE),"")</f>
        <v>0.11</v>
      </c>
      <c r="ET123">
        <f t="shared" si="192"/>
        <v>14</v>
      </c>
      <c r="EU123">
        <f t="shared" si="193"/>
        <v>0</v>
      </c>
      <c r="EV123">
        <f t="shared" si="194"/>
        <v>3.6343230651735241</v>
      </c>
      <c r="EW123" s="6">
        <f>IFERROR(ROUNDUP(EV123/IF(BV123=1,BU123,(Uн_лин/SQRT(3))*1000)*100,2),"")</f>
        <v>1.58</v>
      </c>
      <c r="EX123" t="str">
        <f>IFERROR(VLOOKUP(BZ123,Кабель_обозначение,2,FALSE),"")</f>
        <v>ВВГнг(А)-LS</v>
      </c>
      <c r="EY123" t="str">
        <f t="shared" si="195"/>
        <v>ВВГнг(А)-LS (3х1,5)</v>
      </c>
      <c r="EZ123" t="str">
        <f t="shared" si="196"/>
        <v>ВВГнг(А)-LS (3х1,5)
L=74-1,58%</v>
      </c>
      <c r="FA123">
        <f>IFERROR(2*ρкз_Cu*P123/EN123,"")</f>
        <v>2.5949333333333331</v>
      </c>
      <c r="FB123">
        <f t="shared" si="197"/>
        <v>0.8633333333333334</v>
      </c>
      <c r="FC123" s="6" t="str">
        <f>IFERROR(IF(OR(B123="",BV123=1,NOT(ISNUMBER(EN123)),N(P123)=0),"",_xlfn.XLOOKUP(A123,Щиты[Щит],Щиты[Zпетли на шинах, Ом])+FA123),"")</f>
        <v/>
      </c>
      <c r="FD123" s="6" t="str">
        <f>IF(ISNUMBER(FC123),c_min*(Uн_лин*1000/SQRT(3))/FC123,"")</f>
        <v/>
      </c>
      <c r="FE123" s="6" t="str">
        <f>IFERROR(IF(OR(B123="",NOT(ISNUMBER(EN123))),"",1.05*(Uн_лин*1000/SQRT(3))/(_xlfn.XLOOKUP(A123,Щиты[Щит],Щиты[Zmax на шинах, Ом])+FB123)/1000),"")</f>
        <v/>
      </c>
      <c r="FF123" s="6" t="str">
        <f>IF(B123="","",IF(ISNUMBER(AC123),"Сил",IF(IFERROR(_xlfn.XLOOKUP(BC123,Коды_код,Коды_группа)&amp;"","")="","Быт",_xlfn.XLOOKUP(BC123,Коды_код,Коды_группа)&amp;"")))</f>
        <v>Сил</v>
      </c>
      <c r="FG123" s="6" t="str">
        <f t="shared" si="198"/>
        <v>Сил</v>
      </c>
      <c r="FH123" s="6">
        <f>IF(FG123="Щит","щит",IF(FG123="","",IF(FG123="Быт",IFERROR(_xlfn.XLOOKUP(A123,Щиты[Щит],Щиты[Кс быт]),1),IF(FG123="Сил",IF(ISNUMBER(AC123),AC123,IF(Методика="нормы 2026",IFERROR(_xlfn.XLOOKUP(A123,Щиты[Щит],Щиты[Кс силовых (табл. 7.5)]),1),1)),IF(OR(FG123="Пост",FG123="Отоп"),1,IF(FG123="ВНГ",0.7,0))))))</f>
        <v>0.5</v>
      </c>
      <c r="FI123">
        <f>IF(FG123="","",IF(AND(BP123=1,TRIM(AE123&amp;"")=""),IF(COUNTIFS(Линии[Щит],A123,Линии[Секция (1/2/3)],"&gt;=2")&gt;0,MIN(3,MAX(1,IFERROR(--BD123,1))),1),IFERROR(MIN(3,MAX(1,INT(--AE123))),1)))</f>
        <v>1</v>
      </c>
      <c r="FJ123">
        <f t="shared" si="199"/>
        <v>0.376</v>
      </c>
      <c r="FK123">
        <f t="shared" si="200"/>
        <v>0</v>
      </c>
      <c r="FL123">
        <f t="shared" si="201"/>
        <v>0.188</v>
      </c>
      <c r="FM123">
        <f t="shared" si="202"/>
        <v>0</v>
      </c>
      <c r="FN123">
        <f t="shared" si="203"/>
        <v>0</v>
      </c>
      <c r="FO123">
        <f t="shared" si="204"/>
        <v>0</v>
      </c>
      <c r="FP123">
        <f t="shared" si="205"/>
        <v>0.376</v>
      </c>
      <c r="FQ123">
        <f t="shared" si="206"/>
        <v>0.376</v>
      </c>
      <c r="FR123">
        <f t="shared" si="207"/>
        <v>0.30080000000000001</v>
      </c>
      <c r="FS123">
        <f>IF(CG123=1,IF(AND(CH123=1,CW123=1),0,IF(AND(CS123&lt;&gt;"",CS123=BA123,CW123=1),SUMIFS(Линии[_Р линии, кВт],Линии[_блок УЗО],BA123,Линии[Щит],A123),N(BS123)+IF(AJ123="вручную",0,N(CK123)))),0)</f>
        <v>0.376</v>
      </c>
      <c r="FT123" t="str">
        <f t="shared" si="208"/>
        <v/>
      </c>
      <c r="FU123" t="str">
        <f>IF(B123="","",IF(CG123=0,IF(BA123=1,"",FW122),IF(AND(CH123=1,CW123=1,CS123&lt;&gt;""),IFERROR(_xlfn.XLOOKUP(CS123,Линии[_n],Линии[_фаза итог]),"L1"),IF(OR(N(DL123)&gt;=3,N(BX123)&gt;=3),"L1,L2,L3",IFERROR(_xlfn.TEXTBEFORE(_xlfn.TEXTAFTER(_xlfn.XLOOKUP(A123,Щиты[Щит],Щиты[_фазы авто]),";"&amp;BA123&amp;":"),";"),"L1")))))</f>
        <v>L1</v>
      </c>
      <c r="FV123" t="str">
        <f t="shared" si="209"/>
        <v>L1</v>
      </c>
      <c r="FW123" t="str">
        <f t="shared" si="210"/>
        <v>L1</v>
      </c>
      <c r="FX123" cm="1">
        <f t="array" ref="FX123">IFERROR(IF(CD123=2,_xlfn.IFS(BX123=3,VLOOKUP(BS123,Справочная_двигатели,3,FALSE),BX123=1,VLOOKUP(BS123,Справочная_двигатели,5,TRUE)),0),0)</f>
        <v>0</v>
      </c>
      <c r="FY123">
        <f>IFERROR(IF(CD123=3,VLOOKUP(BS123,Справочная_ЛЭД,2,TRUE),0),0)</f>
        <v>0</v>
      </c>
      <c r="FZ123" s="6">
        <f t="shared" si="211"/>
        <v>0</v>
      </c>
      <c r="GA123" t="str">
        <f>IF(B123="","",IF(TRIM(AH123&amp;"")&lt;&gt;"",IF(LOWER(TRIM(AH123&amp;""))="да","да","нет"),IF(IFERROR(_xlfn.XLOOKUP(BC123,Коды_код,Коды_пожарная),"")="да","да","нет")))</f>
        <v>нет</v>
      </c>
      <c r="GB123" t="str">
        <f t="shared" si="212"/>
        <v/>
      </c>
      <c r="GC123" t="str">
        <f t="shared" si="213"/>
        <v>основная</v>
      </c>
      <c r="GD123">
        <f>IF(AND(BP123=1,TRIM(AE123&amp;"")=""),IF(COUNTIFS(Линии[Щит],A123,Линии[Секция (1/2/3)],"&gt;=2")&gt;0,MIN(3,MAX(1,IFERROR(--BD123,1))),1),IFERROR(MIN(3,MAX(1,INT(--AE123))),1))</f>
        <v>1</v>
      </c>
      <c r="GE123" t="str" cm="1">
        <f t="array" ref="GE123">IF(B123="","",_xlfn.LET(_xlpm.t,IFERROR(_xlfn.XLOOKUP(1,(Шины[Шина]=GC123)*(((Шины[Щит]=A123)+(Шины[Щит]=""))&gt;0),Шины[Тип]),"")&amp;"",IF(_xlpm.t&lt;&gt;"",_xlpm.t,IF(ISNUMBER(SEARCH("ИБП",GC123)),"ИБП",IF(ISNUMBER(SEARCH("ДГУ",GC123)),"ДГУ","Ввод "&amp;GD123)))))</f>
        <v>Ввод 1</v>
      </c>
      <c r="GF123" t="str">
        <f t="shared" si="214"/>
        <v>Ввод 1</v>
      </c>
      <c r="GG123" t="str">
        <f>IF(BP123=0,"",IF(TRIM(AG123&amp;"")&lt;&gt;"",TRIM(AG123&amp;""),IF(OR(GE123="ИБП",GE123="ДГУ"),"I особая",_xlfn.XLOOKUP(A123,Щиты[Щит],Щиты[Категория шины «Ввод»],"III"))))</f>
        <v/>
      </c>
      <c r="GH123" t="str">
        <f>IF(A123="","",_xlfn.XLOOKUP(A123,Щиты[Щит],Щиты[Путь],""))</f>
        <v>|ГРЩ-ЖД|ЩОВ-01|</v>
      </c>
      <c r="GI123" t="str">
        <f>IF(B123="","",IF(AI123&lt;&gt;"",AI123,IF(IFERROR(_xlfn.XLOOKUP(BC123,Коды_код,Коды_вид)&amp;"","")="","Прочее",_xlfn.XLOOKUP(BC123,Коды_код,Коды_вид)&amp;"")))</f>
        <v>Кондиционирование и увлажнение</v>
      </c>
      <c r="GJ123">
        <f>IF(BM123="","",INT((BM123-1)/Столбцов_на_лист)+1)</f>
        <v>3</v>
      </c>
      <c r="GK123" t="str">
        <f t="shared" si="215"/>
        <v>ВВГнг(А)-LS (3х1,5) L=74-1,58%</v>
      </c>
      <c r="GL123">
        <f t="shared" si="216"/>
        <v>0.376</v>
      </c>
      <c r="GM123">
        <f t="shared" si="217"/>
        <v>2.0399999999999996</v>
      </c>
      <c r="GN123">
        <f t="shared" si="218"/>
        <v>1</v>
      </c>
      <c r="GO123">
        <f t="shared" si="219"/>
        <v>0</v>
      </c>
      <c r="GP123">
        <f t="shared" si="220"/>
        <v>1</v>
      </c>
      <c r="GQ123">
        <f>IF(BM123="","",IF(AND(CG123=1,GP123=1),COUNTIFS(A$3:A123,A123,CG$3:CG123,1,GP$3:GP123,1),IF(OR(OR(BA123=1,A123&lt;&gt;A122),AJ123="вручную",GP123=0),"",IF(BA123=1,"",GR122))))</f>
        <v>21</v>
      </c>
      <c r="GR123">
        <f t="shared" si="221"/>
        <v>21</v>
      </c>
      <c r="GS123">
        <f>IF(B123="","",IFERROR(LOOKUP(INDEX(CHOOSE(EB123,Iдоп_1ж,Iдоп_2ж,Iдоп_3ж),MATCH(EN123,Iдоп_S,0))*DZ123*EA123,{6,10,16,20,25,32,40,50,63,80,100,125,160,200,250,315,400,500,630}),""))</f>
        <v>16</v>
      </c>
      <c r="GT123" t="str">
        <f t="shared" si="222"/>
        <v>QF21</v>
      </c>
      <c r="GU123" t="str">
        <f t="shared" si="223"/>
        <v>QF21</v>
      </c>
      <c r="GV123" t="str">
        <f t="shared" si="224"/>
        <v/>
      </c>
      <c r="GW123">
        <f t="shared" si="225"/>
        <v>0</v>
      </c>
      <c r="GX123" t="str">
        <f>IF(OR(B123="",DJ123=""),"",IFERROR(_xlfn.XLOOKUP(DJ123,Модули_умолч[Управление],Модули_умолч[Модель])&amp;"",""))</f>
        <v/>
      </c>
      <c r="GY123">
        <f>IF(DJ123="",1,IFERROR(MAX(0,N(_xlfn.XLOOKUP(DJ123,Модули_умолч[Управление],Модули_умолч[Каналов на линию]))),1))</f>
        <v>1</v>
      </c>
      <c r="GZ123" t="str">
        <f t="shared" si="226"/>
        <v/>
      </c>
      <c r="HA123" t="str">
        <f t="shared" si="227"/>
        <v/>
      </c>
      <c r="HB123" t="str">
        <f t="shared" si="228"/>
        <v/>
      </c>
      <c r="HC123">
        <f>IF(HB123="",0,IFERROR(N(VLOOKUP(HB123,Модули_спр,3,FALSE)),0))</f>
        <v>0</v>
      </c>
      <c r="HD123" t="str">
        <f t="shared" si="229"/>
        <v/>
      </c>
      <c r="HE123" t="str">
        <f t="shared" si="230"/>
        <v/>
      </c>
      <c r="HF123" t="str">
        <f>IF(OR(HE123="",HE123="-"),"",IFERROR(VLOOKUP(HE123,Модули_спр,2,FALSE),"R"))</f>
        <v/>
      </c>
      <c r="HG123" t="str">
        <f>IF(HF123="","",HF123&amp;"."&amp;COUNTIFS(A$3:A123,A123,HF$3:HF123,HF123))</f>
        <v/>
      </c>
      <c r="HH123" t="str">
        <f t="shared" si="231"/>
        <v/>
      </c>
      <c r="HI123" t="str">
        <f t="shared" si="232"/>
        <v/>
      </c>
      <c r="HJ123" t="str">
        <f t="shared" si="233"/>
        <v/>
      </c>
      <c r="HK123" t="str">
        <f t="shared" si="234"/>
        <v/>
      </c>
      <c r="HL123">
        <f t="shared" si="235"/>
        <v>1</v>
      </c>
      <c r="HM123" t="str">
        <f>IF(HL123=1,"XT"&amp;COUNTIFS(A$3:A123,A123,HL$3:HL123,1),"")</f>
        <v>XT21</v>
      </c>
      <c r="HN123" t="str">
        <f t="shared" si="236"/>
        <v>XT21</v>
      </c>
      <c r="HO123" t="str">
        <f t="shared" si="237"/>
        <v>QF21</v>
      </c>
      <c r="HP123" t="str">
        <f t="shared" si="238"/>
        <v/>
      </c>
      <c r="HQ123" t="str">
        <f t="shared" si="239"/>
        <v>ok</v>
      </c>
      <c r="HR123" t="str">
        <f>IF(OR(HJ123="",HH123=""),"",IF(HJ123+MAX(0,GY123-1)&gt;IFERROR(VLOOKUP(HI123,Модули_спр,3,FALSE),99),"ЛИШНИЙ КАНАЛ",IF(AND(AL123&lt;&gt;"=",GY123&gt;0,COUNTIFS(Линии[_модуль гр.],HH123,Линии[Канал (итог)],HJ123,Линии[Канал],"&lt;&gt;=",Линии[Щит],A123)&gt;1),"ДУБЛЬ КАНАЛА","")))</f>
        <v/>
      </c>
      <c r="HS123" s="6" t="str">
        <f t="shared" si="240"/>
        <v/>
      </c>
      <c r="HT123">
        <f t="shared" si="241"/>
        <v>10</v>
      </c>
      <c r="HU123" t="str">
        <f t="shared" si="242"/>
        <v/>
      </c>
      <c r="HV123">
        <f t="shared" si="243"/>
        <v>1.5540638795573722</v>
      </c>
      <c r="HW123">
        <f t="shared" si="244"/>
        <v>0</v>
      </c>
      <c r="HX123">
        <f t="shared" si="245"/>
        <v>0</v>
      </c>
      <c r="HY123">
        <f t="shared" si="246"/>
        <v>0</v>
      </c>
      <c r="HZ123">
        <f t="shared" si="247"/>
        <v>0</v>
      </c>
      <c r="IA123">
        <f t="shared" si="248"/>
        <v>0</v>
      </c>
      <c r="IB123">
        <f t="shared" si="249"/>
        <v>0</v>
      </c>
      <c r="IC123" t="str">
        <f t="shared" si="250"/>
        <v/>
      </c>
      <c r="ID123" t="str" cm="1">
        <f t="array" ref="ID123">IF(IC123="","",_xlfn.LET(_xlpm.tk,_xlfn.TEXTSPLIT(SUBSTITUTE(SUBSTITUTE(IC123,";"," "),"→"," ")," ",,TRUE),_xlpm.w_,_xlfn._xlws.FILTER(_xlpm.tk,ISNUMBER(--LEFT(_xlpm.tk,1))*((ISNUMBER(SEARCH("W",_xlpm.tk))+ISNUMBER(SEARCH("Вт",_xlpm.tk)))&gt;0),""),IFERROR(--SUBSTITUTE(SUBSTITUTE(UPPER(INDEX(_xlpm.w_,1)),"W",""),"ВТ",""),"")))</f>
        <v/>
      </c>
      <c r="IE123" t="str" cm="1">
        <f t="array" ref="IE123">IF(IC123="","",_xlfn.LET(_xlpm.tk,_xlfn.TEXTSPLIT(SUBSTITUTE(SUBSTITUTE(IC123,";"," "),"→"," ")," ",,TRUE),_xlpm.v_,_xlfn._xlws.FILTER(_xlpm.tk,ISNUMBER(--LEFT(_xlpm.tk,1))*((ISNUMBER(SEARCH("V",_xlpm.tk))+(RIGHT(UPPER(_xlpm.tk))="В"))&gt;0),""),IFERROR(--SUBSTITUTE(SUBSTITUTE(UPPER(INDEX(_xlpm.v_,1)),"V",""),"В",""),"")))</f>
        <v/>
      </c>
      <c r="IF123" s="6" t="str">
        <f>IF(OR(BV123=0,HI123="",HJ123=""),"",IFERROR(N(_xlfn.XLOOKUP(HI123,Каталог!$C$4:$C$500,Каталог!$Q$4:$Q$500)),""))</f>
        <v/>
      </c>
      <c r="IG123" s="6" t="str">
        <f>IF(N(IF123)=0,"",SUMIFS(Линии[Iр, А],Линии[Щит],A123,Линии[_модуль гр.],HH123,Линии[Канал (итог)],HJ123))</f>
        <v/>
      </c>
      <c r="IH123" t="str">
        <f>IF(AND(B123="",HO123=""),"",_xlfn.TEXTJOIN("; ",TRUE,IF(AND(B123&lt;&gt;"",FV123=""),"нет фазы",""),IF(AND(B123&lt;&gt;"",N(GL123)=0,FG123&lt;&gt;"Нет"),"нет мощности",""),IF(AND(HN123&lt;&gt;"",COUNTIFS(Линии[Щит],A123,Линии[Клемма (итог)],HN123)&gt;1),"дубль клеммы "&amp;HN123,""),IF(AND(HQ123&lt;&gt;"",HQ123&lt;&gt;"ok"),HQ123,""),IF(HR123&lt;&gt;"",HR123,""),IF(AND(N(CB123)&gt;=4,N(BX123)=1),CB123&amp;" жил на 1 фазе",""),IF(AND(BC123="R",CG123=1,IF(CS123&lt;&gt;"",N(CV123)&gt;30,OR(N(DA123)=0,N(DA123)&gt;30))),"розетка без дифзащиты до 30 мА",""),IF(AND(CG123=1,N(DA123)&gt;0,ISNUMBER(T123)),IF(T123&gt;N(DA123)/3,"ток утечки "&amp;FIXED(T123,1)&amp;" мА &gt; 1/3 уставки ("&amp;DA123&amp;" мА)",""),""),IF(AND(CH123=1,CS123=""),"«узо»: нет строки с УЗО выше (УЗО 2P 40А 30мА в «Аппаратах»)",""),IF(AND(CS123&lt;&gt;"",CS123=BA123),IF(CT123="","впишите номинал УЗО (УЗО 2P 40А 30мА)",IF(N(CT123)&lt;N(DT123),"УЗО "&amp;CT123&amp;" А &lt; автомата "&amp;DT123&amp;" А перед ним",IF(N(CT123)&lt;N(CX123),"УЗО "&amp;CT123&amp;" А &lt; тока блока "&amp;FIXED(CX123,1)&amp;" А",""))),""),IF(AND(CS123&lt;&gt;"",CS123=BA123,ISNUMBER(CY123)),IF(CY123&gt;N(CV123)/3,"ток утечки блока УЗО "&amp;FIXED(CY123,1)&amp;" мА &gt; 1/3 уставки ("&amp;CV123&amp;" мА)",""),""),IF(AND(CG123=1,N(BV123)+N(IB123)&gt;0,IC123=""),"линии до 50 В без БП: впишите в «Аппараты» (БП 24V 480W)",""),IF(AND(CG123=1,ISNUMBER(ID123),ISNUMBER(U123)),IF(U123&gt;ID123,"БП "&amp;ID123&amp;" Вт &lt; нужно "&amp;U123&amp;" Вт (×"&amp;Запас_БП&amp;")",""),""),IF(AND(CG123=1,ISNUMBER(IE123),N(BV123)=1),IF(IE123&lt;&gt;N(BU123),"БП на "&amp;IE123&amp;" В, линия "&amp;BU123&amp;" В",""),""),IF(AND(N(IF123)&gt;0,N(IG123)&gt;N(IF123)),HH123&amp;" канал "&amp;HJ123&amp;": "&amp;FIXED(IG123,1)&amp;" А &gt; "&amp;IF123&amp;" А",""),IFERROR(IF(AND(ISNUMBER(Q123),Q123&gt;EL123),"потери "&amp;FIXED(Q123,1)&amp;" % &gt; "&amp;EL123&amp;" %",""),""),IFERROR(IF(LEFT(HU123,4)="мало","Iкз мало — отключение &gt; 0,4 с",""),""),IF(AND(B123&lt;&gt;"",BM123=""),"не на схеме",""),IF(AND(CG123=0,B123&lt;&gt;"",FV123&lt;&gt;"",IF(BA123=1,"",FW122)&lt;&gt;"",FV123&lt;&gt;IF(BA123=1,"",FW122)),"фаза не как у автомата группы ("&amp;IF(BA123=1,"",FW122)&amp;")","")))</f>
        <v/>
      </c>
      <c r="II123" s="6">
        <f>IF(OR(CG123=0,DQ123=""),"",_xlfn.LET(_xlpm.t,IFERROR(_xlfn.XLOOKUP(DQ123,Каталог!$U$4:$U$500,Каталог!$G$4:$G$500),""),_xlpm.k,SEARCH("кА",_xlpm.t),IFERROR(--TRIM(RIGHT(SUBSTITUTE(MID(_xlpm.t,MAX(1,_xlpm.k-4),_xlpm.k-MAX(1,_xlpm.k-4))," ",REPT(" ",9)),5)),"")))</f>
        <v>6</v>
      </c>
      <c r="IJ123" t="str">
        <f>IF(OR(II123="",CG123=0),"",IF(_xlfn.XLOOKUP(A123,Щиты[Щит],Щиты[Iкз max на шинах, кА],"")="","",IF(II123&lt;_xlfn.XLOOKUP(A123,Щиты[Щит],Щиты[Iкз max на шинах, кА]),"Icu "&amp;II123&amp;" кА &lt; Iкз max","ok")))</f>
        <v/>
      </c>
      <c r="IK123" t="str">
        <f t="shared" si="251"/>
        <v/>
      </c>
      <c r="IL123" t="str">
        <f t="shared" si="252"/>
        <v>QF21|XT21</v>
      </c>
      <c r="IM123" t="str">
        <f t="shared" si="253"/>
        <v>QF21|XT21|кабель ВВГнг(А)-LS (3х1,5) → Внутренний блок кондиционирования первый этаж Пом. №002Б</v>
      </c>
      <c r="IN123" t="str" cm="1">
        <f t="array" ref="IN123">IF(IM123="","",_xlfn.LET(_xlpm.nd,_xlfn.TEXTSPLIT(IM123,"|"),IF(COLUMNS(_xlpm.nd)&gt;1,A123&amp;"¦"&amp;INDEX(_xlpm.nd,1)&amp;"¦"&amp;INDEX(_xlpm.nd,2),"")))</f>
        <v>ЩОВ-01¦QF21¦XT21</v>
      </c>
      <c r="IO123" t="str">
        <f t="shared" si="254"/>
        <v>K.1.002Б¦Внутренний блок кондиционирования первый этаж Пом. №002Б</v>
      </c>
      <c r="IP123" t="str" cm="1">
        <f t="array" ref="IP123">IF(IM123="","",_xlfn.LET(_xlpm.nd,_xlfn.TEXTSPLIT(IM123,"|"),IF(COLUMNS(_xlpm.nd)&gt;2,A123&amp;"¦"&amp;INDEX(_xlpm.nd,2)&amp;"¦"&amp;INDEX(_xlpm.nd,3),"")))</f>
        <v>ЩОВ-01¦XT21¦кабель ВВГнг(А)-LS (3х1,5) → Внутренний блок кондиционирования первый этаж Пом. №002Б</v>
      </c>
      <c r="IQ123" t="str">
        <f t="shared" si="255"/>
        <v>K.1.002Б¦Внутренний блок кондиционирования первый этаж Пом. №002Б</v>
      </c>
      <c r="IR123" t="str" cm="1">
        <f t="array" ref="IR123">IF(IM123="","",_xlfn.LET(_xlpm.nd,_xlfn.TEXTSPLIT(IM123,"|"),IF(COLUMNS(_xlpm.nd)&gt;3,A123&amp;"¦"&amp;INDEX(_xlpm.nd,3)&amp;"¦"&amp;INDEX(_xlpm.nd,4),"")))</f>
        <v/>
      </c>
      <c r="IS123" t="str">
        <f t="shared" si="256"/>
        <v/>
      </c>
      <c r="IT123" t="str" cm="1">
        <f t="array" ref="IT123">IF(IM123="","",_xlfn.LET(_xlpm.nd,_xlfn.TEXTSPLIT(IM123,"|"),IF(COLUMNS(_xlpm.nd)&gt;4,A123&amp;"¦"&amp;INDEX(_xlpm.nd,4)&amp;"¦"&amp;INDEX(_xlpm.nd,5),"")))</f>
        <v/>
      </c>
      <c r="IU123" t="str">
        <f t="shared" si="257"/>
        <v/>
      </c>
      <c r="IV123" t="str" cm="1">
        <f t="array" ref="IV123">IF(IM123="","",_xlfn.LET(_xlpm.nd,_xlfn.TEXTSPLIT(IM123,"|"),IF(COLUMNS(_xlpm.nd)&gt;5,A123&amp;"¦"&amp;INDEX(_xlpm.nd,5)&amp;"¦"&amp;INDEX(_xlpm.nd,6),"")))</f>
        <v/>
      </c>
      <c r="IW123" t="str">
        <f t="shared" si="258"/>
        <v/>
      </c>
      <c r="IX123" t="str" cm="1">
        <f t="array" ref="IX123">IF(IM123="","",_xlfn.LET(_xlpm.nd,_xlfn.TEXTSPLIT(IM123,"|"),IF(COLUMNS(_xlpm.nd)&gt;6,A123&amp;"¦"&amp;INDEX(_xlpm.nd,6)&amp;"¦"&amp;INDEX(_xlpm.nd,7),"")))</f>
        <v/>
      </c>
      <c r="IY123" t="str">
        <f t="shared" si="259"/>
        <v/>
      </c>
      <c r="IZ123" t="str">
        <f t="shared" si="260"/>
        <v/>
      </c>
      <c r="JA123" t="str">
        <f t="shared" si="261"/>
        <v>QF21 → XT21</v>
      </c>
      <c r="JB123">
        <f t="shared" si="262"/>
        <v>0</v>
      </c>
      <c r="JC123">
        <f t="shared" si="263"/>
        <v>0</v>
      </c>
      <c r="JD123" t="str">
        <f t="shared" si="264"/>
        <v/>
      </c>
      <c r="JE123" t="str">
        <f t="shared" si="265"/>
        <v/>
      </c>
      <c r="JF123" t="str">
        <f t="shared" si="266"/>
        <v/>
      </c>
      <c r="JG123" t="str">
        <f t="shared" si="267"/>
        <v/>
      </c>
      <c r="JH123">
        <f>IF(B123="","",IFERROR(_xlfn.XLOOKUP(B123,Коды_код,Коды_уго),IFERROR(_xlfn.XLOOKUP(BC123,Коды_код,Коды_уго),IFERROR(_xlfn.XLOOKUP(LEFT(BC123,2),Коды_код,Коды_уго),""))))</f>
        <v>0</v>
      </c>
      <c r="JI123" t="str">
        <f>IF(B123="","",IF(OR(JH123="",JH123=0),"BOX",IFERROR(IF(VLOOKUP(JH123,УГО_блоки,3,FALSE)&amp;""&lt;&gt;"",VLOOKUP(JH123,УГО_блоки,3,FALSE),VLOOKUP(JH123,УГО_блоки,2,FALSE)),JH123)))</f>
        <v>BOX</v>
      </c>
      <c r="JJ123">
        <f t="shared" si="268"/>
        <v>1</v>
      </c>
      <c r="JK123" t="str">
        <f>IF(DQ123="","",IF(COUNTIF(DQ$3:DQ123,DQ123)=1,MAX(JK$2:JK122)+1,""))</f>
        <v/>
      </c>
      <c r="JL123" t="str">
        <f>IF(DE123="","",IF(COUNTIF(DE$3:DE123,DE123)+COUNTIF(DF$2:DF122,DE123)+COUNTIF(DG$2:DG122,DE123)=1,MAX(JL$2:JN122)+1,""))</f>
        <v/>
      </c>
      <c r="JM123" t="str">
        <f>IF(DF123="","",IF(COUNTIF(DE$3:DE123,DF123)+COUNTIF(DF$3:DF123,DF123)+COUNTIF(DG$2:DG122,DF123)=1,MAX(JL$2:JN122,JL123)+1,""))</f>
        <v/>
      </c>
      <c r="JN123" t="str">
        <f>IF(DG123="","",IF(COUNTIF(DE$3:DE123,DG123)+COUNTIF(DF$3:DF123,DG123)+COUNTIF(DG$3:DG123,DG123)=1,MAX(JL$2:JN122,JL123,JM123)+1,""))</f>
        <v/>
      </c>
      <c r="JO123" t="str">
        <f t="shared" si="269"/>
        <v>3х1,5</v>
      </c>
      <c r="JP123" t="str">
        <f>IF(JO123="","",IF(COUNTIF(JO$3:JO123,JO123)=1,MAX(JP$2:JP122)+1,""))</f>
        <v/>
      </c>
      <c r="JQ123" t="str">
        <f>IF(HG123="","",COUNTIF(HG$3:HG123,"?*"))</f>
        <v/>
      </c>
      <c r="JR123" t="str">
        <f>IF(OR(HG123="",HI123=""),"",IF(COUNTIFS(HG$3:HG123,"?*",HI$3:HI123,HI123)=1,MAX(JR$2:JR122)+1,""))</f>
        <v/>
      </c>
      <c r="JS123">
        <f t="shared" si="270"/>
        <v>0</v>
      </c>
      <c r="JT123">
        <f>IF(B123="","",COUNTIF(B$3:B123,"?*"))</f>
        <v>121</v>
      </c>
      <c r="JU123">
        <f>IF(HL123&lt;&gt;1,0,_xlfn.LET(_xlpm.k,MAX(IFERROR(--_xlfn.XLOOKUP(B123,Коды_код,Коды_3L),0),IFERROR(--_xlfn.XLOOKUP(BC123,Коды_код,Коды_3L),0),IFERROR(--_xlfn.XLOOKUP(LEFT(BC123,2),Коды_код,Коды_3L),0)),IF(_xlpm.k&gt;0,_xlpm.k,IF(IFERROR(--LEFT(SUBSTITUTE(JO123,"x","х"),FIND("х",SUBSTITUTE(JO123,"x","х"))-1),3)&gt;3,Каталог!$S$9,1))))</f>
        <v>1</v>
      </c>
      <c r="JV123">
        <f t="shared" si="271"/>
        <v>0</v>
      </c>
      <c r="JW123" t="str">
        <f t="shared" si="272"/>
        <v>авто</v>
      </c>
      <c r="JX123" t="str">
        <f t="shared" si="273"/>
        <v/>
      </c>
      <c r="JY123">
        <f t="shared" si="274"/>
        <v>0</v>
      </c>
      <c r="JZ123">
        <f t="shared" si="275"/>
        <v>1</v>
      </c>
    </row>
    <row r="124" spans="1:286" x14ac:dyDescent="0.3">
      <c r="A124" t="s">
        <v>745</v>
      </c>
      <c r="B124" t="s">
        <v>1434</v>
      </c>
      <c r="C124" t="s">
        <v>1682</v>
      </c>
      <c r="D124">
        <v>1</v>
      </c>
      <c r="E124">
        <v>0.16400000000000001</v>
      </c>
      <c r="G124">
        <v>10</v>
      </c>
      <c r="H124" t="str">
        <f>Линии[[#This Row],[_авто управление]]</f>
        <v/>
      </c>
      <c r="I124" t="str">
        <f>Линии[[#This Row],[_авто аппараты]]</f>
        <v/>
      </c>
      <c r="J124">
        <v>1.5</v>
      </c>
      <c r="K124">
        <v>72</v>
      </c>
      <c r="L124" t="str">
        <f>Линии[[#This Row],[_авто фаза]]</f>
        <v>L3</v>
      </c>
      <c r="M124" t="s">
        <v>484</v>
      </c>
      <c r="N124" t="str">
        <f t="shared" si="138"/>
        <v/>
      </c>
      <c r="O124" s="6" cm="1">
        <f t="array" ref="O124">IF(B124="","",IF(BH124&lt;&gt;"",IFERROR(_xlfn.XLOOKUP(BH124,Щиты[Щит],Щиты[Iр, А]),""),IF(BP124=1,IF(OR(N(_xlfn.XLOOKUP(A124,Щиты[Щит],Щиты[Вводов],1))&lt;=1,LOWER(TRIM(_xlfn.XLOOKUP(A124,Щиты[Щит],Щиты[АВР],"")&amp;""))="да"),IFERROR(_xlfn.XLOOKUP(A124,Щиты[Щит],Щиты[Iр, А]),""),IFERROR(N(BS124)*_xlfn.XLOOKUP(A124,Щиты[Щит],Щиты[Кс итог])/(SQRT(3)*Uн_лин*_xlfn.XLOOKUP(A124,Щиты[Щит],Щиты[cos φ])),"")),IF(BV124=1,IFERROR(BS124*1000/BU124,""),IFERROR(_xlfn.IFS(BX124=1,BS124/((Uн_лин/SQRT(3))*CE124),BX124=3,BS124/(SQRT(3)*Uн_лин*CE124)),"")))))</f>
        <v>0.88767603887904944</v>
      </c>
      <c r="P124" s="7">
        <f>IF(B124="","",IFERROR(IF(VLOOKUP(BC124,Потребители_обозначение,4,FALSE)=1,VLOOKUP(BC124,Потребители_обозначение,3,FALSE)*(MAX(1,N(D124))*2-1)+EI124+VLOOKUP(BE124,Этаж_обозначение,3,FALSE)+VLOOKUP(BE124,Этаж_обозначение,4,FALSE),VLOOKUP(BC124,Потребители_обозначение,3,FALSE)*(MAX(1,N(D124))*2-1)+EI124),EI124))</f>
        <v>74</v>
      </c>
      <c r="Q124" s="6">
        <f t="shared" si="139"/>
        <v>0.93</v>
      </c>
      <c r="R124" t="str">
        <f t="shared" si="140"/>
        <v>ВВГнг(А)-LS (3х1,5)</v>
      </c>
      <c r="S124" t="str">
        <f>IF(BM124="","",IF(BN124="вводной узел","узел ","")&amp;"л."&amp;(INT((BM124-1)/Столбцов_на_лист)+1)&amp;" / "&amp;(MOD(BM124-1,Столбцов_на_лист)+1))</f>
        <v>л.3 / 4</v>
      </c>
      <c r="T124" s="119">
        <f t="shared" si="141"/>
        <v>1.1000000000000001</v>
      </c>
      <c r="U124" s="7" t="str">
        <f>IF(OR(CG124=0,N(BV124)+N(IB124)=0),"",ROUNDUP(Запас_БП*(N(HY124)+N(HZ124)),0))</f>
        <v/>
      </c>
      <c r="V124" s="119" t="str">
        <f t="shared" si="142"/>
        <v/>
      </c>
      <c r="W124" s="7" t="str">
        <f>IFERROR(IF(OR(B124="",BP124=1,BV124=1,NOT(ISNUMBER(EN124)),N(DT124)=0),"",MAX(0,ROUNDDOWN((c_min*(Uн_лин*1000/SQRT(3))/(HT124*N(DT124))-_xlfn.XLOOKUP(A124,Щиты[Щит],Щиты[Zпетли на шинах, Ом]))*EN124/(2*ρкз_Cu),0))),"")</f>
        <v/>
      </c>
      <c r="Y124" t="str">
        <f>Линии[[#This Row],[_авто утечка]]</f>
        <v/>
      </c>
      <c r="Z124">
        <v>1</v>
      </c>
      <c r="AA124">
        <v>230</v>
      </c>
      <c r="AB124" t="s">
        <v>598</v>
      </c>
      <c r="AC124">
        <v>0.5</v>
      </c>
      <c r="AG124" t="s">
        <v>810</v>
      </c>
      <c r="AI124" t="s">
        <v>576</v>
      </c>
      <c r="AK124" t="str">
        <f>Линии[[#This Row],[_авто модуль]]</f>
        <v/>
      </c>
      <c r="AM124">
        <v>38</v>
      </c>
      <c r="AN124" t="s">
        <v>11</v>
      </c>
      <c r="AO124">
        <v>3</v>
      </c>
      <c r="AQ124">
        <v>60</v>
      </c>
      <c r="AR124">
        <v>14</v>
      </c>
      <c r="AT124">
        <v>1</v>
      </c>
      <c r="BA124" cm="1">
        <f t="array" ref="BA124">ROW()-ROW(Линии[#Headers])</f>
        <v>122</v>
      </c>
      <c r="BC124" s="6" t="str">
        <f t="shared" si="143"/>
        <v>K</v>
      </c>
      <c r="BD124" t="str">
        <f t="shared" si="144"/>
        <v>1.007A</v>
      </c>
      <c r="BE124" t="str">
        <f t="shared" si="145"/>
        <v>1</v>
      </c>
      <c r="BF124" t="str">
        <f t="shared" si="146"/>
        <v>007A</v>
      </c>
      <c r="BG124" t="str">
        <f t="shared" si="147"/>
        <v>007A</v>
      </c>
      <c r="BH124" t="str">
        <f>IF(X124&lt;&gt;"",X124,IF(AND(B124&lt;&gt;"",B124&lt;&gt;A124,ISNUMBER(_xlfn.XMATCH(B124,Щиты[Щит]))),B124,""))</f>
        <v/>
      </c>
      <c r="BI124" t="str" cm="1">
        <f t="array" ref="BI124">IF(B124="","",IF(BH124&lt;&gt;"","Щит "&amp;BH124,_xlfn.LET(_xlpm.nm,IFERROR(_xlfn.XLOOKUP(BC124,Коды_код,Коды_имя)&amp;"",""),_xlpm.md,IFERROR(N(_xlfn.XLOOKUP(BC124,Коды_код,Коды_режим)),1),_xlpm.ex,IF(Имя_режим="по экспликации",IFERROR(_xlfn.XLOOKUP(BE124&amp;"|"&amp;BG124,Экспликация[Этаж]&amp;"|"&amp;Экспликация[Помещение],Экспликация[Название])&amp;"",""),""),_xlpm.rm,IF(BG124="","",IF(_xlpm.ex&lt;&gt;"",". "&amp;_xlpm.ex&amp;IF(Имя_пом="нет"," ("&amp;BG124&amp;")"," (пом. "&amp;BG124&amp;")"),IF(Имя_пом="нет"," ",", пом. ")&amp;BG124)),IF(_xlpm.nm="","",IF(_xlpm.md=2,_xlpm.nm&amp;" шлейф "&amp;BE124,_xlpm.nm&amp;_xlpm.rm)))))</f>
        <v>Внутренний блок кондиционирования, пом. 007A</v>
      </c>
      <c r="BJ124" t="str">
        <f t="shared" si="148"/>
        <v>Внутренний блок кондиционирования первый этаж Пом. №003Б</v>
      </c>
      <c r="BK124">
        <f>IFERROR(_xlfn.XMATCH(A124,Щиты[Щит]),0)</f>
        <v>6</v>
      </c>
      <c r="BL124">
        <f>_xlfn.LET(_xlpm.k,IFERROR(_xlfn.XLOOKUP(A124,Щиты[Щит],Щиты[Мест под вводной узел]),""),IF(_xlpm.k="",Столбцов_на_лист,N(_xlpm.k)))</f>
        <v>12</v>
      </c>
      <c r="BM124">
        <f t="shared" si="149"/>
        <v>38</v>
      </c>
      <c r="BN124" t="str">
        <f t="shared" si="150"/>
        <v>линии</v>
      </c>
      <c r="BO124" s="6">
        <f>IFERROR(N(_xlfn.XLOOKUP(BC124,Коды_код,Коды_квт)),0)</f>
        <v>0</v>
      </c>
      <c r="BP124">
        <f t="shared" si="151"/>
        <v>0</v>
      </c>
      <c r="BQ124" t="str">
        <f>IF(B124="","",IF(BH124&lt;&gt;"",IFERROR(_xlfn.XLOOKUP(BH124,Щиты[Щит],Щиты[Руст, кВт]),0),IF(BP124=1,IF(OR(N(_xlfn.XLOOKUP(A124,Щиты[Щит],Щиты[Вводов],1))&lt;=1,LOWER(TRIM(_xlfn.XLOOKUP(A124,Щиты[Щит],Щиты[АВР],"")&amp;""))="да"),IFERROR(_xlfn.XLOOKUP(A124,Щиты[Щит],Щиты[Руст, кВт]),0),SUMIFS(Линии[_Р для вводов],Линии[Щит],A124,Линии[Источник для режимов],GF124)),IF(BO124&gt;0,ROUND(BO124*MAX(1,N(D124)),3),""))))</f>
        <v/>
      </c>
      <c r="BR124">
        <f t="shared" si="152"/>
        <v>0.16400000000000001</v>
      </c>
      <c r="BS124" s="6">
        <f>IF(B124="","",IF(BH124&lt;&gt;"",IFERROR(_xlfn.XLOOKUP(BH124,Щиты[Щит],Щиты[Руст, кВт]),0),N(BR124)))</f>
        <v>0.16400000000000001</v>
      </c>
      <c r="BT124" t="str">
        <f>IF(B124="","",IFERROR(IF(VLOOKUP(BC124,Потребители_обозначение,8,FALSE)=0,"",VLOOKUP(BC124,Потребители_обозначение,8,FALSE)),""))</f>
        <v/>
      </c>
      <c r="BU124">
        <f t="shared" si="153"/>
        <v>230</v>
      </c>
      <c r="BV124">
        <f t="shared" si="154"/>
        <v>0</v>
      </c>
      <c r="BW124">
        <f>IF(B124="","",IF(BH124&lt;&gt;"",3,IFERROR(IF(N(VLOOKUP(BC124,Потребители_обозначение,9,FALSE))=0,1,VLOOKUP(BC124,Потребители_обозначение,9,FALSE)),1)))</f>
        <v>1</v>
      </c>
      <c r="BX124">
        <f t="shared" si="155"/>
        <v>1</v>
      </c>
      <c r="BY124" t="str">
        <f>IF(B124="","",_xlfn.LET(_xlpm.bc,IFERROR(IF(VLOOKUP(BC124,Потребители_обозначение,6,FALSE)=0,"",VLOOKUP(BC124,Потребители_обозначение,6,FALSE)&amp;""),""),IF(AND(GA124="да",OR(_xlpm.bc="",_xlpm.bc="мс")),Марка_пож,IF(AND(_xlpm.bc="",BH124&lt;&gt;""),"мс",_xlpm.bc))))</f>
        <v/>
      </c>
      <c r="BZ124" t="str">
        <f t="shared" si="156"/>
        <v>мс</v>
      </c>
      <c r="CA124">
        <f>IF(B124="","",_xlfn.LET(_xlpm.cc,IFERROR(N(VLOOKUP(BC124,Потребители_обозначение,7,FALSE)),0),IF(_xlpm.cc&gt;0,_xlpm.cc,IF(BZ124="","",IF(BV124=1,2,IF(N(BX124)=3,5,3))))))</f>
        <v>3</v>
      </c>
      <c r="CB124">
        <f t="shared" si="157"/>
        <v>3</v>
      </c>
      <c r="CC124">
        <f>IFERROR(N(VLOOKUP(BC124,Потребители_обозначение,10,FALSE)),0)</f>
        <v>0</v>
      </c>
      <c r="CD124">
        <f>IFERROR(VLOOKUP(BC124,Потребители_обозначение,5,FALSE),0)</f>
        <v>1</v>
      </c>
      <c r="CE124" s="6" cm="1">
        <f t="array" ref="CE124">IF(B124="","",IF(BH124&lt;&gt;"",IFERROR(_xlfn.XLOOKUP(BH124,Щиты[Щит],Щиты[cos φ]),0.95),IF(BP124=1,IFERROR(_xlfn.XLOOKUP(A124,Щиты[Щит],Щиты[cos φ]),0.95),IF(ISNUMBER(AD124),AD124,IFERROR(IF(CD124=2,_xlfn.IFS(BX124=3,VLOOKUP(BS124,Справочная_двигатели,8,FALSE),BX124=1,VLOOKUP(BS124,Справочная_двигатели,10,TRUE)),IF(AND(Методика="нормы 2026",FG124="Сил"),0.8,0.95)),0.95)))))</f>
        <v>0.8</v>
      </c>
      <c r="CF124">
        <f t="shared" si="158"/>
        <v>0</v>
      </c>
      <c r="CG124">
        <f t="shared" si="159"/>
        <v>1</v>
      </c>
      <c r="CH124">
        <f t="shared" si="160"/>
        <v>0</v>
      </c>
      <c r="CI124">
        <f>IF(B124="","",IF(BV124=1,IFERROR(BS124/((Uн_лин/SQRT(3))*MAX(0.5,N(CE124))),0),N(O124)))</f>
        <v>0.88767603887904944</v>
      </c>
      <c r="CJ124">
        <f t="shared" si="161"/>
        <v>0</v>
      </c>
      <c r="CK124">
        <f t="shared" si="162"/>
        <v>0</v>
      </c>
      <c r="CL124">
        <f t="shared" si="163"/>
        <v>0</v>
      </c>
      <c r="CM124">
        <f t="shared" si="164"/>
        <v>0</v>
      </c>
      <c r="CN124">
        <f t="shared" si="165"/>
        <v>0</v>
      </c>
      <c r="CO124">
        <f>IF(BC124="",0,_xlfn.LET(_xlpm.v,IFERROR(_xlfn.XLOOKUP(B124,Коды_код,Коды_мА),IFERROR(_xlfn.XLOOKUP(BC124,Коды_код,Коды_мА),IFERROR(_xlfn.XLOOKUP(LEFT(BC124,2),Коды_код,Коды_мА),""))),IF(_xlpm.v="да",30,IF(ISNUMBER(_xlpm.v),_xlpm.v,0))))</f>
        <v>0</v>
      </c>
      <c r="CP124" t="str">
        <f t="shared" si="166"/>
        <v/>
      </c>
      <c r="CQ124" t="str">
        <f>_xlfn.LET(_xlpm.k,IFERROR(_xlfn.XLOOKUP(BC124,Коды_код,Коды_утечка)&amp;"",""),IF(_xlpm.k="","дифавтомат",_xlpm.k))</f>
        <v>дифавтомат</v>
      </c>
      <c r="CR124" t="str" cm="1">
        <f t="array" ref="CR124">IF(CG124=0,"",_xlfn.LET(_xlpm.sg,TRIM(_xlfn.TEXTSPLIT(DD124&amp;"",";")),_xlpm.f_,_xlfn._xlws.FILTER(_xlpm.sg,LEFT(_xlpm.sg,3)="УЗО",""),IFERROR(INDEX(_xlpm.f_,1)&amp;"","")))</f>
        <v/>
      </c>
      <c r="CS124" t="str">
        <f t="shared" si="167"/>
        <v/>
      </c>
      <c r="CT124" s="6" t="str" cm="1">
        <f t="array" ref="CT124">IF(CR124="","",_xlfn.LET(_xlpm.tk,_xlfn.TEXTSPLIT(UPPER(CR124)," ",,TRUE),_xlpm.a_,_xlfn._xlws.FILTER(_xlpm.tk,ISNUMBER(--LEFT(_xlpm.tk,1))*((ISNUMBER(SEARCH("А",_xlpm.tk))+ISNUMBER(SEARCH("A",_xlpm.tk)))&gt;0)*NOT(ISNUMBER(SEARCH("МА",_xlpm.tk)))*NOT(ISNUMBER(SEARCH("MA",_xlpm.tk))),""),IFERROR(--SUBSTITUTE(SUBSTITUTE(INDEX(_xlpm.a_,1),"А",""),"A",""),"")))</f>
        <v/>
      </c>
      <c r="CU124" t="str" cm="1">
        <f t="array" ref="CU124">IF(CR124="","",_xlfn.LET(_xlpm.tk,_xlfn.TEXTSPLIT(UPPER(CR124)," ",,TRUE),_xlpm.a_,_xlfn._xlws.FILTER(_xlpm.tk,ISNUMBER(--LEFT(_xlpm.tk,1))*((ISNUMBER(SEARCH("МА",_xlpm.tk))+ISNUMBER(SEARCH("MA",_xlpm.tk)))&gt;0),""),IFERROR(--SUBSTITUTE(SUBSTITUTE(INDEX(_xlpm.a_,1),"МА",""),"MA",""),30)))</f>
        <v/>
      </c>
      <c r="CV124" t="str">
        <f>IF(CS124="","",IFERROR(_xlfn.XLOOKUP(CS124,Линии[_n],Линии[_УЗО, мА]),30))</f>
        <v/>
      </c>
      <c r="CW124">
        <f>IF(CS124="",0,IF(ISNUMBER(SEARCH("4P",IFERROR(_xlfn.XLOOKUP(CS124,Линии[_n],Линии[_УЗО строки])&amp;"",""))),0,1))</f>
        <v>0</v>
      </c>
      <c r="CX124" t="str">
        <f>IF(AND(CS124&lt;&gt;"",CS124=BA124),SUMIFS(Линии[_ток на 230 В],Линии[_блок УЗО],BA124,Линии[Щит],A124),"")</f>
        <v/>
      </c>
      <c r="CY124" t="str">
        <f>IF(AND(CS124&lt;&gt;"",CS124=BA124),SUMIFS(Линии[_ток утечки линии, мА],Линии[_блок УЗО],BA124,Линии[Щит],A124),"")</f>
        <v/>
      </c>
      <c r="CZ124">
        <f t="shared" si="168"/>
        <v>0</v>
      </c>
      <c r="DA124">
        <f t="shared" si="169"/>
        <v>0</v>
      </c>
      <c r="DB124">
        <f>IF(B124="",0,IFERROR(--_xlfn.XLOOKUP(B124,Коды_код,Коды_минавт),IFERROR(--_xlfn.XLOOKUP(BC124,Коды_код,Коды_минавт),IFERROR(--_xlfn.XLOOKUP(LEFT(BC124,2),Коды_код,Коды_минавт),0))))</f>
        <v>0</v>
      </c>
      <c r="DC124" t="str">
        <f>IF(B124="","",IFERROR(_xlfn.XLOOKUP(BC124,Коды_код,Коды_апп)&amp;"",""))</f>
        <v/>
      </c>
      <c r="DD124" t="str">
        <f t="shared" si="170"/>
        <v/>
      </c>
      <c r="DE124" t="str" cm="1">
        <f t="array" ref="DE124">IF(TRIM(DD124&amp;"")="","",IFERROR(TRIM(INDEX(_xlfn.TEXTSPLIT(DD124&amp;";;;",";"),1)),""))</f>
        <v/>
      </c>
      <c r="DF124" t="str" cm="1">
        <f t="array" ref="DF124">IF(TRIM(DD124&amp;"")="","",IFERROR(TRIM(INDEX(_xlfn.TEXTSPLIT(DD124&amp;";;;",";"),2)),""))</f>
        <v/>
      </c>
      <c r="DG124" t="str" cm="1">
        <f t="array" ref="DG124">IF(TRIM(DD124&amp;"")="","",IFERROR(TRIM(INDEX(_xlfn.TEXTSPLIT(DD124&amp;";;;",";"),3)),""))</f>
        <v/>
      </c>
      <c r="DH124">
        <f t="shared" si="171"/>
        <v>0</v>
      </c>
      <c r="DI124" t="str">
        <f>IF(B124="","",_xlfn.LET(_xlpm.t,LOWER(AZ124&amp;""),IF(ISNUMBER(SEARCH("dim",_xlpm.t)),"DIM",IF(ISNUMBER(SEARCH("dali",_xlpm.t)),"DALI",IF(OR(ISNUMBER(SEARCH("relay",_xlpm.t)),ISNUMBER(SEARCH("реле",_xlpm.t))),"Relay",IF(ISNUMBER(SEARCH("кнопк",_xlpm.t)),"",IFERROR(_xlfn.XLOOKUP(BC124,Коды_код,Коды_упр)&amp;"","")))))))</f>
        <v/>
      </c>
      <c r="DJ124" t="str">
        <f t="shared" si="172"/>
        <v/>
      </c>
      <c r="DK124">
        <f>IF(B124="","",_xlfn.LET(_xlpm.ig,IF(N(CX124)&gt;0,N(CX124),N(CI124)+IF(AJ124="вручную",0,N(CJ124))),_xlpm.n0,IFERROR(VLOOKUP(_xlpm.ig,Автомат_номиналы,2,TRUE),0),_xlpm.mn,MAX(DB124,IF(AJ124="вручную",0,N(CM124))),MAX(_xlpm.n0,_xlpm.mn,IF(DH124=1,Мин_автомат_БП,0))))</f>
        <v>6</v>
      </c>
      <c r="DL124">
        <f t="shared" si="173"/>
        <v>1</v>
      </c>
      <c r="DM124" t="str">
        <f t="shared" si="174"/>
        <v>1P</v>
      </c>
      <c r="DN124" t="str">
        <f>_xlfn.LET(_xlpm.cc,UPPER(TRIM(IFERROR(_xlfn.XLOOKUP(BC124,Коды_код,Коды_хар)&amp;"",""))),IF(OR(_xlpm.cc="B",_xlpm.cc="В"),"B",IF(_xlpm.cc="D","D","С")))</f>
        <v>С</v>
      </c>
      <c r="DO124" t="str">
        <f t="shared" si="175"/>
        <v>1P С6А</v>
      </c>
      <c r="DP124">
        <f t="shared" si="176"/>
        <v>10</v>
      </c>
      <c r="DQ124" t="str">
        <f t="shared" si="177"/>
        <v>1P С10А</v>
      </c>
      <c r="DR124" cm="1">
        <f t="array" ref="DR124">IF(DQ124="","",_xlfn.LET(_xlpm.t,SUBSTITUTE(SUBSTITUTE(SUBSTITUTE(UPPER(DQ124),"С","C"),"А","A"),"В","B"),_xlpm.tk,_xlfn.TEXTSPLIT(_xlpm.t," "),_xlpm.f,_xlfn._xlws.FILTER(_xlpm.tk,ISNUMBER(--MID(_xlpm.tk,2,1))*ISNUMBER(SEARCH(LEFT(_xlpm.tk,1)&amp;"#","B#C#D#"))*(LEN(_xlpm.tk)&gt;1),""),_xlpm.x,INDEX(_xlpm.f,1),IFERROR(--SUBSTITUTE(MID(_xlpm.x,2,9),"A",""),IFERROR(--SUBSTITUTE(INDEX(_xlfn._xlws.FILTER(_xlpm.tk,ISNUMBER(--SUBSTITUTE(_xlpm.tk,"A","")),""),1),"A",""),""))))</f>
        <v>10</v>
      </c>
      <c r="DS124" t="str">
        <f t="shared" si="178"/>
        <v>ok</v>
      </c>
      <c r="DT124">
        <f t="shared" si="179"/>
        <v>10</v>
      </c>
      <c r="DU124" t="str">
        <f t="shared" si="180"/>
        <v>1P С10А</v>
      </c>
      <c r="DV124">
        <f t="shared" si="181"/>
        <v>0</v>
      </c>
      <c r="DW124">
        <f t="shared" si="182"/>
        <v>0</v>
      </c>
      <c r="DX124">
        <f t="shared" si="183"/>
        <v>0</v>
      </c>
      <c r="DY124">
        <f t="shared" si="184"/>
        <v>0.88767603887904944</v>
      </c>
      <c r="DZ124">
        <f t="shared" si="185"/>
        <v>1</v>
      </c>
      <c r="EA124">
        <f>IF(ISNUMBER(AP124),AP124,К_прокл)</f>
        <v>1</v>
      </c>
      <c r="EB124">
        <f t="shared" si="186"/>
        <v>2</v>
      </c>
      <c r="EC124">
        <f>IFERROR(N(VLOOKUP(BZ124,Кабель_обозначение,3,FALSE)),1)</f>
        <v>1</v>
      </c>
      <c r="ED124">
        <f>IFERROR(N(_xlfn.XLOOKUP(A124,Щиты[Щит],Щиты[ΔU до шин, %])),0)</f>
        <v>0.24000000000000002</v>
      </c>
      <c r="EE124" t="str">
        <f>IFERROR(_xlfn.XLOOKUP(A124,Щиты[Щит],Щиты[Zпетли на шинах, Ом]),"")</f>
        <v/>
      </c>
      <c r="EF124">
        <f>IFERROR(N(_xlfn.XLOOKUP(A124,Щиты[Щит],Щиты[ΔU до шин (подбор), %])),0)</f>
        <v>0.36</v>
      </c>
      <c r="EG124" t="str">
        <f>IFERROR(_xlfn.XLOOKUP(A124,Щиты[Щит],Щиты[Zпетли на шинах (подбор), Ом]),"")</f>
        <v/>
      </c>
      <c r="EH124" t="str">
        <f t="shared" si="187"/>
        <v/>
      </c>
      <c r="EI124">
        <f t="shared" si="188"/>
        <v>72</v>
      </c>
      <c r="EJ124">
        <f t="shared" si="189"/>
        <v>2</v>
      </c>
      <c r="EK124">
        <f t="shared" si="190"/>
        <v>0.6</v>
      </c>
      <c r="EL124" s="6">
        <f>IF(B124="","",IF(BV124=1,dU_LED,IF(IFERROR(_xlfn.XLOOKUP(BC124,Коды_код,Коды_уго),"")="Светильник",3,4)+IF(Методика="нормы 2026",MIN(0.5,MAX(0,N(P124)-100)*0.005),0)))</f>
        <v>4</v>
      </c>
      <c r="EM124" cm="1">
        <f t="array" ref="EM124">IF(OR(B124="",BZ124="",EC124&lt;&gt;1),"",_xlfn.LET(_xlpm.sz,Iдоп_S,_xlpm.t_,CHOOSE(EB124,Iдоп_1ж,Iдоп_2ж,Iдоп_3ж)*DZ124*EA124,_xlpm.dcx,BV124=1,_xlpm.inn,IF(_xlpm.dcx,N(O124),N(DT124)),_xlpm.smin,MAX(1.5,CC124),_xlpm.L_,N(P124)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124)/N(BU124)*100,999),IFERROR(N(EJ124)*(_xlpm.rho*_xlpm.L_/_xlpm.sz*N(CE124)+_xlpm.xx*_xlpm.L_*N(EK124)/1000)*N(O124)/((Uн_лин/SQRT(3))*1000)*100,999)),_xlpm.kz,IF(OR(_xlpm.dcx,DW124=1,NOT(ISNUMBER(EG124)),_xlpm.L_=0,_xlpm.inn=0),1,IFERROR(--(c_min*(Uн_лин*1000/SQRT(3))/(EG124+2*ρкз_Cu*_xlpm.L_/_xlpm.sz)&gt;=HT124*_xlpm.inn),0)),_xlpm.ok,IFERROR((_xlpm.sz&gt;=_xlpm.smin)*(_xlpm.t_&gt;=_xlpm.inn)*IF(_xlpm.L_&gt;0,(_xlpm.du_+IF(_xlpm.dcx,0,EF124)&lt;=EL124+0.00001),1)*_xlpm.kz,0),_xlpm.r_,_xlfn._xlws.FILTER(_xlpm.sz,_xlpm.ok,"не подобрано"),INDEX(_xlpm.r_,1)))</f>
        <v>1.5</v>
      </c>
      <c r="EN124">
        <f t="shared" si="191"/>
        <v>1.5</v>
      </c>
      <c r="EO124" cm="1">
        <f t="array" ref="EO124">IF(OR(B124="",BZ124="",EC124&lt;&gt;1),"",_xlfn.LET(_xlpm.sz,Iдоп_S,_xlpm.t_,CHOOSE(EB124,Iдоп_1ж,Iдоп_2ж,Iдоп_3ж)*DZ124*EA124,_xlpm.ok,IFERROR((_xlpm.sz&gt;=MAX(1.5,CC124))*(_xlpm.t_&gt;=N(DT124)),0),_xlpm.r_,_xlfn._xlws.FILTER(_xlpm.sz,_xlpm.ok,""),INDEX(_xlpm.r_,1)))</f>
        <v>1.5</v>
      </c>
      <c r="EP124" s="6" cm="1">
        <f t="array" ref="EP124">IFERROR(ROUNDUP(N(EJ124)*(_xlfn.XLOOKUP(EO124,INDEX(Кабель_сопротивление,0,1),INDEX(Кабель_сопротивление,0,3))*N(P124)/EO124*N(CE124)+_xlfn.XLOOKUP(EO124,INDEX(Кабель_сопротивление,0,1),INDEX(Кабель_сопротивление,0,2))*N(P124)*N(EK124)/1000)*N(O124)/((Uн_лин/SQRT(3))*1000)*100,2),"")</f>
        <v>0.69000000000000006</v>
      </c>
      <c r="EQ124">
        <f>IFERROR(2*ρкз_Cu*N(P124)/EO124,"")</f>
        <v>2.5949333333333331</v>
      </c>
      <c r="ER124">
        <f>IFERROR(VLOOKUP(EN124,Кабель_сопротивление,3,FALSE),"")</f>
        <v>2.2499999999999999E-2</v>
      </c>
      <c r="ES124">
        <f>IFERROR(VLOOKUP(EN124,Кабель_сопротивление,2,FALSE),"")</f>
        <v>0.11</v>
      </c>
      <c r="ET124">
        <f t="shared" si="192"/>
        <v>14</v>
      </c>
      <c r="EU124">
        <f t="shared" si="193"/>
        <v>0</v>
      </c>
      <c r="EV124">
        <f t="shared" si="194"/>
        <v>1.5851834645969627</v>
      </c>
      <c r="EW124" s="6">
        <f>IFERROR(ROUNDUP(EV124/IF(BV124=1,BU124,(Uн_лин/SQRT(3))*1000)*100,2),"")</f>
        <v>0.69000000000000006</v>
      </c>
      <c r="EX124" t="str">
        <f>IFERROR(VLOOKUP(BZ124,Кабель_обозначение,2,FALSE),"")</f>
        <v>ВВГнг(А)-LS</v>
      </c>
      <c r="EY124" t="str">
        <f t="shared" si="195"/>
        <v>ВВГнг(А)-LS (3х1,5)</v>
      </c>
      <c r="EZ124" t="str">
        <f t="shared" si="196"/>
        <v>ВВГнг(А)-LS (3х1,5)
L=74-0,69%</v>
      </c>
      <c r="FA124">
        <f>IFERROR(2*ρкз_Cu*P124/EN124,"")</f>
        <v>2.5949333333333331</v>
      </c>
      <c r="FB124">
        <f t="shared" si="197"/>
        <v>0.8633333333333334</v>
      </c>
      <c r="FC124" s="6" t="str">
        <f>IFERROR(IF(OR(B124="",BV124=1,NOT(ISNUMBER(EN124)),N(P124)=0),"",_xlfn.XLOOKUP(A124,Щиты[Щит],Щиты[Zпетли на шинах, Ом])+FA124),"")</f>
        <v/>
      </c>
      <c r="FD124" s="6" t="str">
        <f>IF(ISNUMBER(FC124),c_min*(Uн_лин*1000/SQRT(3))/FC124,"")</f>
        <v/>
      </c>
      <c r="FE124" s="6" t="str">
        <f>IFERROR(IF(OR(B124="",NOT(ISNUMBER(EN124))),"",1.05*(Uн_лин*1000/SQRT(3))/(_xlfn.XLOOKUP(A124,Щиты[Щит],Щиты[Zmax на шинах, Ом])+FB124)/1000),"")</f>
        <v/>
      </c>
      <c r="FF124" s="6" t="str">
        <f>IF(B124="","",IF(ISNUMBER(AC124),"Сил",IF(IFERROR(_xlfn.XLOOKUP(BC124,Коды_код,Коды_группа)&amp;"","")="","Быт",_xlfn.XLOOKUP(BC124,Коды_код,Коды_группа)&amp;"")))</f>
        <v>Сил</v>
      </c>
      <c r="FG124" s="6" t="str">
        <f t="shared" si="198"/>
        <v>Сил</v>
      </c>
      <c r="FH124" s="6">
        <f>IF(FG124="Щит","щит",IF(FG124="","",IF(FG124="Быт",IFERROR(_xlfn.XLOOKUP(A124,Щиты[Щит],Щиты[Кс быт]),1),IF(FG124="Сил",IF(ISNUMBER(AC124),AC124,IF(Методика="нормы 2026",IFERROR(_xlfn.XLOOKUP(A124,Щиты[Щит],Щиты[Кс силовых (табл. 7.5)]),1),1)),IF(OR(FG124="Пост",FG124="Отоп"),1,IF(FG124="ВНГ",0.7,0))))))</f>
        <v>0.5</v>
      </c>
      <c r="FI124">
        <f>IF(FG124="","",IF(AND(BP124=1,TRIM(AE124&amp;"")=""),IF(COUNTIFS(Линии[Щит],A124,Линии[Секция (1/2/3)],"&gt;=2")&gt;0,MIN(3,MAX(1,IFERROR(--BD124,1))),1),IFERROR(MIN(3,MAX(1,INT(--AE124))),1)))</f>
        <v>1</v>
      </c>
      <c r="FJ124">
        <f t="shared" si="199"/>
        <v>0.16400000000000001</v>
      </c>
      <c r="FK124">
        <f t="shared" si="200"/>
        <v>0</v>
      </c>
      <c r="FL124">
        <f t="shared" si="201"/>
        <v>8.2000000000000003E-2</v>
      </c>
      <c r="FM124">
        <f t="shared" si="202"/>
        <v>0</v>
      </c>
      <c r="FN124">
        <f t="shared" si="203"/>
        <v>0</v>
      </c>
      <c r="FO124">
        <f t="shared" si="204"/>
        <v>0</v>
      </c>
      <c r="FP124">
        <f t="shared" si="205"/>
        <v>0.16400000000000001</v>
      </c>
      <c r="FQ124">
        <f t="shared" si="206"/>
        <v>0.16400000000000001</v>
      </c>
      <c r="FR124">
        <f t="shared" si="207"/>
        <v>0.13120000000000001</v>
      </c>
      <c r="FS124">
        <f>IF(CG124=1,IF(AND(CH124=1,CW124=1),0,IF(AND(CS124&lt;&gt;"",CS124=BA124,CW124=1),SUMIFS(Линии[_Р линии, кВт],Линии[_блок УЗО],BA124,Линии[Щит],A124),N(BS124)+IF(AJ124="вручную",0,N(CK124)))),0)</f>
        <v>0.16400000000000001</v>
      </c>
      <c r="FT124" t="str">
        <f t="shared" si="208"/>
        <v/>
      </c>
      <c r="FU124" t="str">
        <f>IF(B124="","",IF(CG124=0,IF(BA124=1,"",FW123),IF(AND(CH124=1,CW124=1,CS124&lt;&gt;""),IFERROR(_xlfn.XLOOKUP(CS124,Линии[_n],Линии[_фаза итог]),"L1"),IF(OR(N(DL124)&gt;=3,N(BX124)&gt;=3),"L1,L2,L3",IFERROR(_xlfn.TEXTBEFORE(_xlfn.TEXTAFTER(_xlfn.XLOOKUP(A124,Щиты[Щит],Щиты[_фазы авто]),";"&amp;BA124&amp;":"),";"),"L1")))))</f>
        <v>L3</v>
      </c>
      <c r="FV124" t="str">
        <f t="shared" si="209"/>
        <v>L3</v>
      </c>
      <c r="FW124" t="str">
        <f t="shared" si="210"/>
        <v>L3</v>
      </c>
      <c r="FX124" cm="1">
        <f t="array" ref="FX124">IFERROR(IF(CD124=2,_xlfn.IFS(BX124=3,VLOOKUP(BS124,Справочная_двигатели,3,FALSE),BX124=1,VLOOKUP(BS124,Справочная_двигатели,5,TRUE)),0),0)</f>
        <v>0</v>
      </c>
      <c r="FY124">
        <f>IFERROR(IF(CD124=3,VLOOKUP(BS124,Справочная_ЛЭД,2,TRUE),0),0)</f>
        <v>0</v>
      </c>
      <c r="FZ124" s="6">
        <f t="shared" si="211"/>
        <v>0</v>
      </c>
      <c r="GA124" t="str">
        <f>IF(B124="","",IF(TRIM(AH124&amp;"")&lt;&gt;"",IF(LOWER(TRIM(AH124&amp;""))="да","да","нет"),IF(IFERROR(_xlfn.XLOOKUP(BC124,Коды_код,Коды_пожарная),"")="да","да","нет")))</f>
        <v>нет</v>
      </c>
      <c r="GB124" t="str">
        <f t="shared" si="212"/>
        <v/>
      </c>
      <c r="GC124" t="str">
        <f t="shared" si="213"/>
        <v>основная</v>
      </c>
      <c r="GD124">
        <f>IF(AND(BP124=1,TRIM(AE124&amp;"")=""),IF(COUNTIFS(Линии[Щит],A124,Линии[Секция (1/2/3)],"&gt;=2")&gt;0,MIN(3,MAX(1,IFERROR(--BD124,1))),1),IFERROR(MIN(3,MAX(1,INT(--AE124))),1))</f>
        <v>1</v>
      </c>
      <c r="GE124" t="str" cm="1">
        <f t="array" ref="GE124">IF(B124="","",_xlfn.LET(_xlpm.t,IFERROR(_xlfn.XLOOKUP(1,(Шины[Шина]=GC124)*(((Шины[Щит]=A124)+(Шины[Щит]=""))&gt;0),Шины[Тип]),"")&amp;"",IF(_xlpm.t&lt;&gt;"",_xlpm.t,IF(ISNUMBER(SEARCH("ИБП",GC124)),"ИБП",IF(ISNUMBER(SEARCH("ДГУ",GC124)),"ДГУ","Ввод "&amp;GD124)))))</f>
        <v>Ввод 1</v>
      </c>
      <c r="GF124" t="str">
        <f t="shared" si="214"/>
        <v>Ввод 1</v>
      </c>
      <c r="GG124" t="str">
        <f>IF(BP124=0,"",IF(TRIM(AG124&amp;"")&lt;&gt;"",TRIM(AG124&amp;""),IF(OR(GE124="ИБП",GE124="ДГУ"),"I особая",_xlfn.XLOOKUP(A124,Щиты[Щит],Щиты[Категория шины «Ввод»],"III"))))</f>
        <v/>
      </c>
      <c r="GH124" t="str">
        <f>IF(A124="","",_xlfn.XLOOKUP(A124,Щиты[Щит],Щиты[Путь],""))</f>
        <v>|ГРЩ-ЖД|ЩОВ-01|</v>
      </c>
      <c r="GI124" t="str">
        <f>IF(B124="","",IF(AI124&lt;&gt;"",AI124,IF(IFERROR(_xlfn.XLOOKUP(BC124,Коды_код,Коды_вид)&amp;"","")="","Прочее",_xlfn.XLOOKUP(BC124,Коды_код,Коды_вид)&amp;"")))</f>
        <v>Кондиционирование и увлажнение</v>
      </c>
      <c r="GJ124">
        <f>IF(BM124="","",INT((BM124-1)/Столбцов_на_лист)+1)</f>
        <v>3</v>
      </c>
      <c r="GK124" t="str">
        <f t="shared" si="215"/>
        <v>ВВГнг(А)-LS (3х1,5) L=74-0,69%</v>
      </c>
      <c r="GL124">
        <f t="shared" si="216"/>
        <v>0.16400000000000001</v>
      </c>
      <c r="GM124">
        <f t="shared" si="217"/>
        <v>0.89</v>
      </c>
      <c r="GN124">
        <f t="shared" si="218"/>
        <v>1</v>
      </c>
      <c r="GO124">
        <f t="shared" si="219"/>
        <v>0</v>
      </c>
      <c r="GP124">
        <f t="shared" si="220"/>
        <v>1</v>
      </c>
      <c r="GQ124">
        <f>IF(BM124="","",IF(AND(CG124=1,GP124=1),COUNTIFS(A$3:A124,A124,CG$3:CG124,1,GP$3:GP124,1),IF(OR(OR(BA124=1,A124&lt;&gt;A123),AJ124="вручную",GP124=0),"",IF(BA124=1,"",GR123))))</f>
        <v>22</v>
      </c>
      <c r="GR124">
        <f t="shared" si="221"/>
        <v>22</v>
      </c>
      <c r="GS124">
        <f>IF(B124="","",IFERROR(LOOKUP(INDEX(CHOOSE(EB124,Iдоп_1ж,Iдоп_2ж,Iдоп_3ж),MATCH(EN124,Iдоп_S,0))*DZ124*EA124,{6,10,16,20,25,32,40,50,63,80,100,125,160,200,250,315,400,500,630}),""))</f>
        <v>16</v>
      </c>
      <c r="GT124" t="str">
        <f t="shared" si="222"/>
        <v>QF22</v>
      </c>
      <c r="GU124" t="str">
        <f t="shared" si="223"/>
        <v>QF22</v>
      </c>
      <c r="GV124" t="str">
        <f t="shared" si="224"/>
        <v/>
      </c>
      <c r="GW124">
        <f t="shared" si="225"/>
        <v>0</v>
      </c>
      <c r="GX124" t="str">
        <f>IF(OR(B124="",DJ124=""),"",IFERROR(_xlfn.XLOOKUP(DJ124,Модули_умолч[Управление],Модули_умолч[Модель])&amp;"",""))</f>
        <v/>
      </c>
      <c r="GY124">
        <f>IF(DJ124="",1,IFERROR(MAX(0,N(_xlfn.XLOOKUP(DJ124,Модули_умолч[Управление],Модули_умолч[Каналов на линию]))),1))</f>
        <v>1</v>
      </c>
      <c r="GZ124" t="str">
        <f t="shared" si="226"/>
        <v/>
      </c>
      <c r="HA124" t="str">
        <f t="shared" si="227"/>
        <v/>
      </c>
      <c r="HB124" t="str">
        <f t="shared" si="228"/>
        <v/>
      </c>
      <c r="HC124">
        <f>IF(HB124="",0,IFERROR(N(VLOOKUP(HB124,Модули_спр,3,FALSE)),0))</f>
        <v>0</v>
      </c>
      <c r="HD124" t="str">
        <f t="shared" si="229"/>
        <v/>
      </c>
      <c r="HE124" t="str">
        <f t="shared" si="230"/>
        <v/>
      </c>
      <c r="HF124" t="str">
        <f>IF(OR(HE124="",HE124="-"),"",IFERROR(VLOOKUP(HE124,Модули_спр,2,FALSE),"R"))</f>
        <v/>
      </c>
      <c r="HG124" t="str">
        <f>IF(HF124="","",HF124&amp;"."&amp;COUNTIFS(A$3:A124,A124,HF$3:HF124,HF124))</f>
        <v/>
      </c>
      <c r="HH124" t="str">
        <f t="shared" si="231"/>
        <v/>
      </c>
      <c r="HI124" t="str">
        <f t="shared" si="232"/>
        <v/>
      </c>
      <c r="HJ124" t="str">
        <f t="shared" si="233"/>
        <v/>
      </c>
      <c r="HK124" t="str">
        <f t="shared" si="234"/>
        <v/>
      </c>
      <c r="HL124">
        <f t="shared" si="235"/>
        <v>1</v>
      </c>
      <c r="HM124" t="str">
        <f>IF(HL124=1,"XT"&amp;COUNTIFS(A$3:A124,A124,HL$3:HL124,1),"")</f>
        <v>XT22</v>
      </c>
      <c r="HN124" t="str">
        <f t="shared" si="236"/>
        <v/>
      </c>
      <c r="HO124" t="str">
        <f t="shared" si="237"/>
        <v>QF22</v>
      </c>
      <c r="HP124" t="str">
        <f t="shared" si="238"/>
        <v/>
      </c>
      <c r="HQ124" t="str">
        <f t="shared" si="239"/>
        <v>ok</v>
      </c>
      <c r="HR124" t="str">
        <f>IF(OR(HJ124="",HH124=""),"",IF(HJ124+MAX(0,GY124-1)&gt;IFERROR(VLOOKUP(HI124,Модули_спр,3,FALSE),99),"ЛИШНИЙ КАНАЛ",IF(AND(AL124&lt;&gt;"=",GY124&gt;0,COUNTIFS(Линии[_модуль гр.],HH124,Линии[Канал (итог)],HJ124,Линии[Канал],"&lt;&gt;=",Линии[Щит],A124)&gt;1),"ДУБЛЬ КАНАЛА","")))</f>
        <v/>
      </c>
      <c r="HS124" s="6" t="str">
        <f t="shared" si="240"/>
        <v/>
      </c>
      <c r="HT124">
        <f t="shared" si="241"/>
        <v>10</v>
      </c>
      <c r="HU124" t="str">
        <f t="shared" si="242"/>
        <v/>
      </c>
      <c r="HV124">
        <f t="shared" si="243"/>
        <v>1.0950704155516198</v>
      </c>
      <c r="HW124">
        <f t="shared" si="244"/>
        <v>0</v>
      </c>
      <c r="HX124">
        <f t="shared" si="245"/>
        <v>0</v>
      </c>
      <c r="HY124">
        <f t="shared" si="246"/>
        <v>0</v>
      </c>
      <c r="HZ124">
        <f t="shared" si="247"/>
        <v>0</v>
      </c>
      <c r="IA124">
        <f t="shared" si="248"/>
        <v>0</v>
      </c>
      <c r="IB124">
        <f t="shared" si="249"/>
        <v>0</v>
      </c>
      <c r="IC124" t="str">
        <f t="shared" si="250"/>
        <v/>
      </c>
      <c r="ID124" t="str" cm="1">
        <f t="array" ref="ID124">IF(IC124="","",_xlfn.LET(_xlpm.tk,_xlfn.TEXTSPLIT(SUBSTITUTE(SUBSTITUTE(IC124,";"," "),"→"," ")," ",,TRUE),_xlpm.w_,_xlfn._xlws.FILTER(_xlpm.tk,ISNUMBER(--LEFT(_xlpm.tk,1))*((ISNUMBER(SEARCH("W",_xlpm.tk))+ISNUMBER(SEARCH("Вт",_xlpm.tk)))&gt;0),""),IFERROR(--SUBSTITUTE(SUBSTITUTE(UPPER(INDEX(_xlpm.w_,1)),"W",""),"ВТ",""),"")))</f>
        <v/>
      </c>
      <c r="IE124" t="str" cm="1">
        <f t="array" ref="IE124">IF(IC124="","",_xlfn.LET(_xlpm.tk,_xlfn.TEXTSPLIT(SUBSTITUTE(SUBSTITUTE(IC124,";"," "),"→"," ")," ",,TRUE),_xlpm.v_,_xlfn._xlws.FILTER(_xlpm.tk,ISNUMBER(--LEFT(_xlpm.tk,1))*((ISNUMBER(SEARCH("V",_xlpm.tk))+(RIGHT(UPPER(_xlpm.tk))="В"))&gt;0),""),IFERROR(--SUBSTITUTE(SUBSTITUTE(UPPER(INDEX(_xlpm.v_,1)),"V",""),"В",""),"")))</f>
        <v/>
      </c>
      <c r="IF124" s="6" t="str">
        <f>IF(OR(BV124=0,HI124="",HJ124=""),"",IFERROR(N(_xlfn.XLOOKUP(HI124,Каталог!$C$4:$C$500,Каталог!$Q$4:$Q$500)),""))</f>
        <v/>
      </c>
      <c r="IG124" s="6" t="str">
        <f>IF(N(IF124)=0,"",SUMIFS(Линии[Iр, А],Линии[Щит],A124,Линии[_модуль гр.],HH124,Линии[Канал (итог)],HJ124))</f>
        <v/>
      </c>
      <c r="IH124" t="str">
        <f>IF(AND(B124="",HO124=""),"",_xlfn.TEXTJOIN("; ",TRUE,IF(AND(B124&lt;&gt;"",FV124=""),"нет фазы",""),IF(AND(B124&lt;&gt;"",N(GL124)=0,FG124&lt;&gt;"Нет"),"нет мощности",""),IF(AND(HN124&lt;&gt;"",COUNTIFS(Линии[Щит],A124,Линии[Клемма (итог)],HN124)&gt;1),"дубль клеммы "&amp;HN124,""),IF(AND(HQ124&lt;&gt;"",HQ124&lt;&gt;"ok"),HQ124,""),IF(HR124&lt;&gt;"",HR124,""),IF(AND(N(CB124)&gt;=4,N(BX124)=1),CB124&amp;" жил на 1 фазе",""),IF(AND(BC124="R",CG124=1,IF(CS124&lt;&gt;"",N(CV124)&gt;30,OR(N(DA124)=0,N(DA124)&gt;30))),"розетка без дифзащиты до 30 мА",""),IF(AND(CG124=1,N(DA124)&gt;0,ISNUMBER(T124)),IF(T124&gt;N(DA124)/3,"ток утечки "&amp;FIXED(T124,1)&amp;" мА &gt; 1/3 уставки ("&amp;DA124&amp;" мА)",""),""),IF(AND(CH124=1,CS124=""),"«узо»: нет строки с УЗО выше (УЗО 2P 40А 30мА в «Аппаратах»)",""),IF(AND(CS124&lt;&gt;"",CS124=BA124),IF(CT124="","впишите номинал УЗО (УЗО 2P 40А 30мА)",IF(N(CT124)&lt;N(DT124),"УЗО "&amp;CT124&amp;" А &lt; автомата "&amp;DT124&amp;" А перед ним",IF(N(CT124)&lt;N(CX124),"УЗО "&amp;CT124&amp;" А &lt; тока блока "&amp;FIXED(CX124,1)&amp;" А",""))),""),IF(AND(CS124&lt;&gt;"",CS124=BA124,ISNUMBER(CY124)),IF(CY124&gt;N(CV124)/3,"ток утечки блока УЗО "&amp;FIXED(CY124,1)&amp;" мА &gt; 1/3 уставки ("&amp;CV124&amp;" мА)",""),""),IF(AND(CG124=1,N(BV124)+N(IB124)&gt;0,IC124=""),"линии до 50 В без БП: впишите в «Аппараты» (БП 24V 480W)",""),IF(AND(CG124=1,ISNUMBER(ID124),ISNUMBER(U124)),IF(U124&gt;ID124,"БП "&amp;ID124&amp;" Вт &lt; нужно "&amp;U124&amp;" Вт (×"&amp;Запас_БП&amp;")",""),""),IF(AND(CG124=1,ISNUMBER(IE124),N(BV124)=1),IF(IE124&lt;&gt;N(BU124),"БП на "&amp;IE124&amp;" В, линия "&amp;BU124&amp;" В",""),""),IF(AND(N(IF124)&gt;0,N(IG124)&gt;N(IF124)),HH124&amp;" канал "&amp;HJ124&amp;": "&amp;FIXED(IG124,1)&amp;" А &gt; "&amp;IF124&amp;" А",""),IFERROR(IF(AND(ISNUMBER(Q124),Q124&gt;EL124),"потери "&amp;FIXED(Q124,1)&amp;" % &gt; "&amp;EL124&amp;" %",""),""),IFERROR(IF(LEFT(HU124,4)="мало","Iкз мало — отключение &gt; 0,4 с",""),""),IF(AND(B124&lt;&gt;"",BM124=""),"не на схеме",""),IF(AND(CG124=0,B124&lt;&gt;"",FV124&lt;&gt;"",IF(BA124=1,"",FW123)&lt;&gt;"",FV124&lt;&gt;IF(BA124=1,"",FW123)),"фаза не как у автомата группы ("&amp;IF(BA124=1,"",FW123)&amp;")","")))</f>
        <v/>
      </c>
      <c r="II124" s="6">
        <f>IF(OR(CG124=0,DQ124=""),"",_xlfn.LET(_xlpm.t,IFERROR(_xlfn.XLOOKUP(DQ124,Каталог!$U$4:$U$500,Каталог!$G$4:$G$500),""),_xlpm.k,SEARCH("кА",_xlpm.t),IFERROR(--TRIM(RIGHT(SUBSTITUTE(MID(_xlpm.t,MAX(1,_xlpm.k-4),_xlpm.k-MAX(1,_xlpm.k-4))," ",REPT(" ",9)),5)),"")))</f>
        <v>6</v>
      </c>
      <c r="IJ124" t="str">
        <f>IF(OR(II124="",CG124=0),"",IF(_xlfn.XLOOKUP(A124,Щиты[Щит],Щиты[Iкз max на шинах, кА],"")="","",IF(II124&lt;_xlfn.XLOOKUP(A124,Щиты[Щит],Щиты[Iкз max на шинах, кА]),"Icu "&amp;II124&amp;" кА &lt; Iкз max","ok")))</f>
        <v/>
      </c>
      <c r="IK124" t="str">
        <f t="shared" si="251"/>
        <v/>
      </c>
      <c r="IL124" t="str">
        <f t="shared" si="252"/>
        <v>QF22</v>
      </c>
      <c r="IM124" t="str">
        <f t="shared" si="253"/>
        <v>QF22|кабель ВВГнг(А)-LS (3х1,5) → Внутренний блок кондиционирования первый этаж Пом. №003Б</v>
      </c>
      <c r="IN124" t="str" cm="1">
        <f t="array" ref="IN124">IF(IM124="","",_xlfn.LET(_xlpm.nd,_xlfn.TEXTSPLIT(IM124,"|"),IF(COLUMNS(_xlpm.nd)&gt;1,A124&amp;"¦"&amp;INDEX(_xlpm.nd,1)&amp;"¦"&amp;INDEX(_xlpm.nd,2),"")))</f>
        <v>ЩОВ-01¦QF22¦кабель ВВГнг(А)-LS (3х1,5) → Внутренний блок кондиционирования первый этаж Пом. №003Б</v>
      </c>
      <c r="IO124" t="str">
        <f t="shared" si="254"/>
        <v>K.1.007A¦Внутренний блок кондиционирования первый этаж Пом. №003Б</v>
      </c>
      <c r="IP124" t="str" cm="1">
        <f t="array" ref="IP124">IF(IM124="","",_xlfn.LET(_xlpm.nd,_xlfn.TEXTSPLIT(IM124,"|"),IF(COLUMNS(_xlpm.nd)&gt;2,A124&amp;"¦"&amp;INDEX(_xlpm.nd,2)&amp;"¦"&amp;INDEX(_xlpm.nd,3),"")))</f>
        <v/>
      </c>
      <c r="IQ124" t="str">
        <f t="shared" si="255"/>
        <v/>
      </c>
      <c r="IR124" t="str" cm="1">
        <f t="array" ref="IR124">IF(IM124="","",_xlfn.LET(_xlpm.nd,_xlfn.TEXTSPLIT(IM124,"|"),IF(COLUMNS(_xlpm.nd)&gt;3,A124&amp;"¦"&amp;INDEX(_xlpm.nd,3)&amp;"¦"&amp;INDEX(_xlpm.nd,4),"")))</f>
        <v/>
      </c>
      <c r="IS124" t="str">
        <f t="shared" si="256"/>
        <v/>
      </c>
      <c r="IT124" t="str" cm="1">
        <f t="array" ref="IT124">IF(IM124="","",_xlfn.LET(_xlpm.nd,_xlfn.TEXTSPLIT(IM124,"|"),IF(COLUMNS(_xlpm.nd)&gt;4,A124&amp;"¦"&amp;INDEX(_xlpm.nd,4)&amp;"¦"&amp;INDEX(_xlpm.nd,5),"")))</f>
        <v/>
      </c>
      <c r="IU124" t="str">
        <f t="shared" si="257"/>
        <v/>
      </c>
      <c r="IV124" t="str" cm="1">
        <f t="array" ref="IV124">IF(IM124="","",_xlfn.LET(_xlpm.nd,_xlfn.TEXTSPLIT(IM124,"|"),IF(COLUMNS(_xlpm.nd)&gt;5,A124&amp;"¦"&amp;INDEX(_xlpm.nd,5)&amp;"¦"&amp;INDEX(_xlpm.nd,6),"")))</f>
        <v/>
      </c>
      <c r="IW124" t="str">
        <f t="shared" si="258"/>
        <v/>
      </c>
      <c r="IX124" t="str" cm="1">
        <f t="array" ref="IX124">IF(IM124="","",_xlfn.LET(_xlpm.nd,_xlfn.TEXTSPLIT(IM124,"|"),IF(COLUMNS(_xlpm.nd)&gt;6,A124&amp;"¦"&amp;INDEX(_xlpm.nd,6)&amp;"¦"&amp;INDEX(_xlpm.nd,7),"")))</f>
        <v/>
      </c>
      <c r="IY124" t="str">
        <f t="shared" si="259"/>
        <v/>
      </c>
      <c r="IZ124" t="str">
        <f t="shared" si="260"/>
        <v/>
      </c>
      <c r="JA124" t="str">
        <f t="shared" si="261"/>
        <v>QF22</v>
      </c>
      <c r="JB124">
        <f t="shared" si="262"/>
        <v>0</v>
      </c>
      <c r="JC124">
        <f t="shared" si="263"/>
        <v>0</v>
      </c>
      <c r="JD124" t="str">
        <f t="shared" si="264"/>
        <v/>
      </c>
      <c r="JE124" t="str">
        <f t="shared" si="265"/>
        <v/>
      </c>
      <c r="JF124" t="str">
        <f t="shared" si="266"/>
        <v/>
      </c>
      <c r="JG124" t="str">
        <f t="shared" si="267"/>
        <v/>
      </c>
      <c r="JH124">
        <f>IF(B124="","",IFERROR(_xlfn.XLOOKUP(B124,Коды_код,Коды_уго),IFERROR(_xlfn.XLOOKUP(BC124,Коды_код,Коды_уго),IFERROR(_xlfn.XLOOKUP(LEFT(BC124,2),Коды_код,Коды_уго),""))))</f>
        <v>0</v>
      </c>
      <c r="JI124" t="str">
        <f>IF(B124="","",IF(OR(JH124="",JH124=0),"BOX",IFERROR(IF(VLOOKUP(JH124,УГО_блоки,3,FALSE)&amp;""&lt;&gt;"",VLOOKUP(JH124,УГО_блоки,3,FALSE),VLOOKUP(JH124,УГО_блоки,2,FALSE)),JH124)))</f>
        <v>BOX</v>
      </c>
      <c r="JJ124">
        <f t="shared" si="268"/>
        <v>1</v>
      </c>
      <c r="JK124" t="str">
        <f>IF(DQ124="","",IF(COUNTIF(DQ$3:DQ124,DQ124)=1,MAX(JK$2:JK123)+1,""))</f>
        <v/>
      </c>
      <c r="JL124" t="str">
        <f>IF(DE124="","",IF(COUNTIF(DE$3:DE124,DE124)+COUNTIF(DF$2:DF123,DE124)+COUNTIF(DG$2:DG123,DE124)=1,MAX(JL$2:JN123)+1,""))</f>
        <v/>
      </c>
      <c r="JM124" t="str">
        <f>IF(DF124="","",IF(COUNTIF(DE$3:DE124,DF124)+COUNTIF(DF$3:DF124,DF124)+COUNTIF(DG$2:DG123,DF124)=1,MAX(JL$2:JN123,JL124)+1,""))</f>
        <v/>
      </c>
      <c r="JN124" t="str">
        <f>IF(DG124="","",IF(COUNTIF(DE$3:DE124,DG124)+COUNTIF(DF$3:DF124,DG124)+COUNTIF(DG$3:DG124,DG124)=1,MAX(JL$2:JN123,JL124,JM124)+1,""))</f>
        <v/>
      </c>
      <c r="JO124" t="str">
        <f t="shared" si="269"/>
        <v>3х1,5</v>
      </c>
      <c r="JP124" t="str">
        <f>IF(JO124="","",IF(COUNTIF(JO$3:JO124,JO124)=1,MAX(JP$2:JP123)+1,""))</f>
        <v/>
      </c>
      <c r="JQ124" t="str">
        <f>IF(HG124="","",COUNTIF(HG$3:HG124,"?*"))</f>
        <v/>
      </c>
      <c r="JR124" t="str">
        <f>IF(OR(HG124="",HI124=""),"",IF(COUNTIFS(HG$3:HG124,"?*",HI$3:HI124,HI124)=1,MAX(JR$2:JR123)+1,""))</f>
        <v/>
      </c>
      <c r="JS124">
        <f t="shared" si="270"/>
        <v>0</v>
      </c>
      <c r="JT124">
        <f>IF(B124="","",COUNTIF(B$3:B124,"?*"))</f>
        <v>122</v>
      </c>
      <c r="JU124">
        <f>IF(HL124&lt;&gt;1,0,_xlfn.LET(_xlpm.k,MAX(IFERROR(--_xlfn.XLOOKUP(B124,Коды_код,Коды_3L),0),IFERROR(--_xlfn.XLOOKUP(BC124,Коды_код,Коды_3L),0),IFERROR(--_xlfn.XLOOKUP(LEFT(BC124,2),Коды_код,Коды_3L),0)),IF(_xlpm.k&gt;0,_xlpm.k,IF(IFERROR(--LEFT(SUBSTITUTE(JO124,"x","х"),FIND("х",SUBSTITUTE(JO124,"x","х"))-1),3)&gt;3,Каталог!$S$9,1))))</f>
        <v>1</v>
      </c>
      <c r="JV124">
        <f t="shared" si="271"/>
        <v>0</v>
      </c>
      <c r="JW124" t="str">
        <f t="shared" si="272"/>
        <v>авто</v>
      </c>
      <c r="JX124" t="str">
        <f t="shared" si="273"/>
        <v/>
      </c>
      <c r="JY124">
        <f t="shared" si="274"/>
        <v>0</v>
      </c>
      <c r="JZ124">
        <f t="shared" si="275"/>
        <v>1</v>
      </c>
    </row>
    <row r="125" spans="1:286" x14ac:dyDescent="0.3">
      <c r="A125" t="s">
        <v>745</v>
      </c>
      <c r="B125" t="s">
        <v>1435</v>
      </c>
      <c r="C125" t="s">
        <v>1682</v>
      </c>
      <c r="D125">
        <v>1</v>
      </c>
      <c r="E125">
        <v>0.16400000000000001</v>
      </c>
      <c r="G125">
        <v>10</v>
      </c>
      <c r="H125" t="str">
        <f>Линии[[#This Row],[_авто управление]]</f>
        <v/>
      </c>
      <c r="I125" t="str">
        <f>Линии[[#This Row],[_авто аппараты]]</f>
        <v/>
      </c>
      <c r="J125">
        <v>1.5</v>
      </c>
      <c r="K125">
        <v>74</v>
      </c>
      <c r="L125" t="str">
        <f>Линии[[#This Row],[_авто фаза]]</f>
        <v>L1</v>
      </c>
      <c r="M125" t="s">
        <v>484</v>
      </c>
      <c r="N125" t="str">
        <f t="shared" si="138"/>
        <v/>
      </c>
      <c r="O125" s="6" cm="1">
        <f t="array" ref="O125">IF(B125="","",IF(BH125&lt;&gt;"",IFERROR(_xlfn.XLOOKUP(BH125,Щиты[Щит],Щиты[Iр, А]),""),IF(BP125=1,IF(OR(N(_xlfn.XLOOKUP(A125,Щиты[Щит],Щиты[Вводов],1))&lt;=1,LOWER(TRIM(_xlfn.XLOOKUP(A125,Щиты[Щит],Щиты[АВР],"")&amp;""))="да"),IFERROR(_xlfn.XLOOKUP(A125,Щиты[Щит],Щиты[Iр, А]),""),IFERROR(N(BS125)*_xlfn.XLOOKUP(A125,Щиты[Щит],Щиты[Кс итог])/(SQRT(3)*Uн_лин*_xlfn.XLOOKUP(A125,Щиты[Щит],Щиты[cos φ])),"")),IF(BV125=1,IFERROR(BS125*1000/BU125,""),IFERROR(_xlfn.IFS(BX125=1,BS125/((Uн_лин/SQRT(3))*CE125),BX125=3,BS125/(SQRT(3)*Uн_лин*CE125)),"")))))</f>
        <v>0.88767603887904944</v>
      </c>
      <c r="P125" s="7">
        <f>IF(B125="","",IFERROR(IF(VLOOKUP(BC125,Потребители_обозначение,4,FALSE)=1,VLOOKUP(BC125,Потребители_обозначение,3,FALSE)*(MAX(1,N(D125))*2-1)+EI125+VLOOKUP(BE125,Этаж_обозначение,3,FALSE)+VLOOKUP(BE125,Этаж_обозначение,4,FALSE),VLOOKUP(BC125,Потребители_обозначение,3,FALSE)*(MAX(1,N(D125))*2-1)+EI125),EI125))</f>
        <v>76</v>
      </c>
      <c r="Q125" s="6">
        <f t="shared" si="139"/>
        <v>0.95</v>
      </c>
      <c r="R125" t="str">
        <f t="shared" si="140"/>
        <v>ВВГнг(А)-LS (3х1,5)</v>
      </c>
      <c r="S125" t="str">
        <f>IF(BM125="","",IF(BN125="вводной узел","узел ","")&amp;"л."&amp;(INT((BM125-1)/Столбцов_на_лист)+1)&amp;" / "&amp;(MOD(BM125-1,Столбцов_на_лист)+1))</f>
        <v>л.3 / 5</v>
      </c>
      <c r="T125" s="119">
        <f t="shared" si="141"/>
        <v>1.1000000000000001</v>
      </c>
      <c r="U125" s="7" t="str">
        <f>IF(OR(CG125=0,N(BV125)+N(IB125)=0),"",ROUNDUP(Запас_БП*(N(HY125)+N(HZ125)),0))</f>
        <v/>
      </c>
      <c r="V125" s="119" t="str">
        <f t="shared" si="142"/>
        <v/>
      </c>
      <c r="W125" s="7" t="str">
        <f>IFERROR(IF(OR(B125="",BP125=1,BV125=1,NOT(ISNUMBER(EN125)),N(DT125)=0),"",MAX(0,ROUNDDOWN((c_min*(Uн_лин*1000/SQRT(3))/(HT125*N(DT125))-_xlfn.XLOOKUP(A125,Щиты[Щит],Щиты[Zпетли на шинах, Ом]))*EN125/(2*ρкз_Cu),0))),"")</f>
        <v/>
      </c>
      <c r="Y125" t="str">
        <f>Линии[[#This Row],[_авто утечка]]</f>
        <v/>
      </c>
      <c r="Z125">
        <v>1</v>
      </c>
      <c r="AA125">
        <v>230</v>
      </c>
      <c r="AB125" t="s">
        <v>598</v>
      </c>
      <c r="AC125">
        <v>0.5</v>
      </c>
      <c r="AG125" t="s">
        <v>810</v>
      </c>
      <c r="AI125" t="s">
        <v>576</v>
      </c>
      <c r="AK125" t="str">
        <f>Линии[[#This Row],[_авто модуль]]</f>
        <v/>
      </c>
      <c r="AM125">
        <v>39</v>
      </c>
      <c r="AN125" t="s">
        <v>11</v>
      </c>
      <c r="AO125">
        <v>3</v>
      </c>
      <c r="AQ125">
        <v>60</v>
      </c>
      <c r="AR125">
        <v>16</v>
      </c>
      <c r="AT125">
        <v>1</v>
      </c>
      <c r="BA125" cm="1">
        <f t="array" ref="BA125">ROW()-ROW(Линии[#Headers])</f>
        <v>123</v>
      </c>
      <c r="BC125" s="6" t="str">
        <f t="shared" si="143"/>
        <v>K</v>
      </c>
      <c r="BD125" t="str">
        <f t="shared" si="144"/>
        <v>1.010A</v>
      </c>
      <c r="BE125" t="str">
        <f t="shared" si="145"/>
        <v>1</v>
      </c>
      <c r="BF125" t="str">
        <f t="shared" si="146"/>
        <v>010A</v>
      </c>
      <c r="BG125" t="str">
        <f t="shared" si="147"/>
        <v>010A</v>
      </c>
      <c r="BH125" t="str">
        <f>IF(X125&lt;&gt;"",X125,IF(AND(B125&lt;&gt;"",B125&lt;&gt;A125,ISNUMBER(_xlfn.XMATCH(B125,Щиты[Щит]))),B125,""))</f>
        <v/>
      </c>
      <c r="BI125" t="str" cm="1">
        <f t="array" ref="BI125">IF(B125="","",IF(BH125&lt;&gt;"","Щит "&amp;BH125,_xlfn.LET(_xlpm.nm,IFERROR(_xlfn.XLOOKUP(BC125,Коды_код,Коды_имя)&amp;"",""),_xlpm.md,IFERROR(N(_xlfn.XLOOKUP(BC125,Коды_код,Коды_режим)),1),_xlpm.ex,IF(Имя_режим="по экспликации",IFERROR(_xlfn.XLOOKUP(BE125&amp;"|"&amp;BG125,Экспликация[Этаж]&amp;"|"&amp;Экспликация[Помещение],Экспликация[Название])&amp;"",""),""),_xlpm.rm,IF(BG125="","",IF(_xlpm.ex&lt;&gt;"",". "&amp;_xlpm.ex&amp;IF(Имя_пом="нет"," ("&amp;BG125&amp;")"," (пом. "&amp;BG125&amp;")"),IF(Имя_пом="нет"," ",", пом. ")&amp;BG125)),IF(_xlpm.nm="","",IF(_xlpm.md=2,_xlpm.nm&amp;" шлейф "&amp;BE125,_xlpm.nm&amp;_xlpm.rm)))))</f>
        <v>Внутренний блок кондиционирования, пом. 010A</v>
      </c>
      <c r="BJ125" t="str">
        <f t="shared" si="148"/>
        <v>Внутренний блок кондиционирования первый этаж Пом. №003Б</v>
      </c>
      <c r="BK125">
        <f>IFERROR(_xlfn.XMATCH(A125,Щиты[Щит]),0)</f>
        <v>6</v>
      </c>
      <c r="BL125">
        <f>_xlfn.LET(_xlpm.k,IFERROR(_xlfn.XLOOKUP(A125,Щиты[Щит],Щиты[Мест под вводной узел]),""),IF(_xlpm.k="",Столбцов_на_лист,N(_xlpm.k)))</f>
        <v>12</v>
      </c>
      <c r="BM125">
        <f t="shared" si="149"/>
        <v>39</v>
      </c>
      <c r="BN125" t="str">
        <f t="shared" si="150"/>
        <v>линии</v>
      </c>
      <c r="BO125" s="6">
        <f>IFERROR(N(_xlfn.XLOOKUP(BC125,Коды_код,Коды_квт)),0)</f>
        <v>0</v>
      </c>
      <c r="BP125">
        <f t="shared" si="151"/>
        <v>0</v>
      </c>
      <c r="BQ125" t="str">
        <f>IF(B125="","",IF(BH125&lt;&gt;"",IFERROR(_xlfn.XLOOKUP(BH125,Щиты[Щит],Щиты[Руст, кВт]),0),IF(BP125=1,IF(OR(N(_xlfn.XLOOKUP(A125,Щиты[Щит],Щиты[Вводов],1))&lt;=1,LOWER(TRIM(_xlfn.XLOOKUP(A125,Щиты[Щит],Щиты[АВР],"")&amp;""))="да"),IFERROR(_xlfn.XLOOKUP(A125,Щиты[Щит],Щиты[Руст, кВт]),0),SUMIFS(Линии[_Р для вводов],Линии[Щит],A125,Линии[Источник для режимов],GF125)),IF(BO125&gt;0,ROUND(BO125*MAX(1,N(D125)),3),""))))</f>
        <v/>
      </c>
      <c r="BR125">
        <f t="shared" si="152"/>
        <v>0.16400000000000001</v>
      </c>
      <c r="BS125" s="6">
        <f>IF(B125="","",IF(BH125&lt;&gt;"",IFERROR(_xlfn.XLOOKUP(BH125,Щиты[Щит],Щиты[Руст, кВт]),0),N(BR125)))</f>
        <v>0.16400000000000001</v>
      </c>
      <c r="BT125" t="str">
        <f>IF(B125="","",IFERROR(IF(VLOOKUP(BC125,Потребители_обозначение,8,FALSE)=0,"",VLOOKUP(BC125,Потребители_обозначение,8,FALSE)),""))</f>
        <v/>
      </c>
      <c r="BU125">
        <f t="shared" si="153"/>
        <v>230</v>
      </c>
      <c r="BV125">
        <f t="shared" si="154"/>
        <v>0</v>
      </c>
      <c r="BW125">
        <f>IF(B125="","",IF(BH125&lt;&gt;"",3,IFERROR(IF(N(VLOOKUP(BC125,Потребители_обозначение,9,FALSE))=0,1,VLOOKUP(BC125,Потребители_обозначение,9,FALSE)),1)))</f>
        <v>1</v>
      </c>
      <c r="BX125">
        <f t="shared" si="155"/>
        <v>1</v>
      </c>
      <c r="BY125" t="str">
        <f>IF(B125="","",_xlfn.LET(_xlpm.bc,IFERROR(IF(VLOOKUP(BC125,Потребители_обозначение,6,FALSE)=0,"",VLOOKUP(BC125,Потребители_обозначение,6,FALSE)&amp;""),""),IF(AND(GA125="да",OR(_xlpm.bc="",_xlpm.bc="мс")),Марка_пож,IF(AND(_xlpm.bc="",BH125&lt;&gt;""),"мс",_xlpm.bc))))</f>
        <v/>
      </c>
      <c r="BZ125" t="str">
        <f t="shared" si="156"/>
        <v>мс</v>
      </c>
      <c r="CA125">
        <f>IF(B125="","",_xlfn.LET(_xlpm.cc,IFERROR(N(VLOOKUP(BC125,Потребители_обозначение,7,FALSE)),0),IF(_xlpm.cc&gt;0,_xlpm.cc,IF(BZ125="","",IF(BV125=1,2,IF(N(BX125)=3,5,3))))))</f>
        <v>3</v>
      </c>
      <c r="CB125">
        <f t="shared" si="157"/>
        <v>3</v>
      </c>
      <c r="CC125">
        <f>IFERROR(N(VLOOKUP(BC125,Потребители_обозначение,10,FALSE)),0)</f>
        <v>0</v>
      </c>
      <c r="CD125">
        <f>IFERROR(VLOOKUP(BC125,Потребители_обозначение,5,FALSE),0)</f>
        <v>1</v>
      </c>
      <c r="CE125" s="6" cm="1">
        <f t="array" ref="CE125">IF(B125="","",IF(BH125&lt;&gt;"",IFERROR(_xlfn.XLOOKUP(BH125,Щиты[Щит],Щиты[cos φ]),0.95),IF(BP125=1,IFERROR(_xlfn.XLOOKUP(A125,Щиты[Щит],Щиты[cos φ]),0.95),IF(ISNUMBER(AD125),AD125,IFERROR(IF(CD125=2,_xlfn.IFS(BX125=3,VLOOKUP(BS125,Справочная_двигатели,8,FALSE),BX125=1,VLOOKUP(BS125,Справочная_двигатели,10,TRUE)),IF(AND(Методика="нормы 2026",FG125="Сил"),0.8,0.95)),0.95)))))</f>
        <v>0.8</v>
      </c>
      <c r="CF125">
        <f t="shared" si="158"/>
        <v>0</v>
      </c>
      <c r="CG125">
        <f t="shared" si="159"/>
        <v>1</v>
      </c>
      <c r="CH125">
        <f t="shared" si="160"/>
        <v>0</v>
      </c>
      <c r="CI125">
        <f>IF(B125="","",IF(BV125=1,IFERROR(BS125/((Uн_лин/SQRT(3))*MAX(0.5,N(CE125))),0),N(O125)))</f>
        <v>0.88767603887904944</v>
      </c>
      <c r="CJ125">
        <f t="shared" si="161"/>
        <v>0</v>
      </c>
      <c r="CK125">
        <f t="shared" si="162"/>
        <v>0</v>
      </c>
      <c r="CL125">
        <f t="shared" si="163"/>
        <v>0</v>
      </c>
      <c r="CM125">
        <f t="shared" si="164"/>
        <v>0</v>
      </c>
      <c r="CN125">
        <f t="shared" si="165"/>
        <v>0</v>
      </c>
      <c r="CO125">
        <f>IF(BC125="",0,_xlfn.LET(_xlpm.v,IFERROR(_xlfn.XLOOKUP(B125,Коды_код,Коды_мА),IFERROR(_xlfn.XLOOKUP(BC125,Коды_код,Коды_мА),IFERROR(_xlfn.XLOOKUP(LEFT(BC125,2),Коды_код,Коды_мА),""))),IF(_xlpm.v="да",30,IF(ISNUMBER(_xlpm.v),_xlpm.v,0))))</f>
        <v>0</v>
      </c>
      <c r="CP125" t="str">
        <f t="shared" si="166"/>
        <v/>
      </c>
      <c r="CQ125" t="str">
        <f>_xlfn.LET(_xlpm.k,IFERROR(_xlfn.XLOOKUP(BC125,Коды_код,Коды_утечка)&amp;"",""),IF(_xlpm.k="","дифавтомат",_xlpm.k))</f>
        <v>дифавтомат</v>
      </c>
      <c r="CR125" t="str" cm="1">
        <f t="array" ref="CR125">IF(CG125=0,"",_xlfn.LET(_xlpm.sg,TRIM(_xlfn.TEXTSPLIT(DD125&amp;"",";")),_xlpm.f_,_xlfn._xlws.FILTER(_xlpm.sg,LEFT(_xlpm.sg,3)="УЗО",""),IFERROR(INDEX(_xlpm.f_,1)&amp;"","")))</f>
        <v/>
      </c>
      <c r="CS125" t="str">
        <f t="shared" si="167"/>
        <v/>
      </c>
      <c r="CT125" s="6" t="str" cm="1">
        <f t="array" ref="CT125">IF(CR125="","",_xlfn.LET(_xlpm.tk,_xlfn.TEXTSPLIT(UPPER(CR125)," ",,TRUE),_xlpm.a_,_xlfn._xlws.FILTER(_xlpm.tk,ISNUMBER(--LEFT(_xlpm.tk,1))*((ISNUMBER(SEARCH("А",_xlpm.tk))+ISNUMBER(SEARCH("A",_xlpm.tk)))&gt;0)*NOT(ISNUMBER(SEARCH("МА",_xlpm.tk)))*NOT(ISNUMBER(SEARCH("MA",_xlpm.tk))),""),IFERROR(--SUBSTITUTE(SUBSTITUTE(INDEX(_xlpm.a_,1),"А",""),"A",""),"")))</f>
        <v/>
      </c>
      <c r="CU125" t="str" cm="1">
        <f t="array" ref="CU125">IF(CR125="","",_xlfn.LET(_xlpm.tk,_xlfn.TEXTSPLIT(UPPER(CR125)," ",,TRUE),_xlpm.a_,_xlfn._xlws.FILTER(_xlpm.tk,ISNUMBER(--LEFT(_xlpm.tk,1))*((ISNUMBER(SEARCH("МА",_xlpm.tk))+ISNUMBER(SEARCH("MA",_xlpm.tk)))&gt;0),""),IFERROR(--SUBSTITUTE(SUBSTITUTE(INDEX(_xlpm.a_,1),"МА",""),"MA",""),30)))</f>
        <v/>
      </c>
      <c r="CV125" t="str">
        <f>IF(CS125="","",IFERROR(_xlfn.XLOOKUP(CS125,Линии[_n],Линии[_УЗО, мА]),30))</f>
        <v/>
      </c>
      <c r="CW125">
        <f>IF(CS125="",0,IF(ISNUMBER(SEARCH("4P",IFERROR(_xlfn.XLOOKUP(CS125,Линии[_n],Линии[_УЗО строки])&amp;"",""))),0,1))</f>
        <v>0</v>
      </c>
      <c r="CX125" t="str">
        <f>IF(AND(CS125&lt;&gt;"",CS125=BA125),SUMIFS(Линии[_ток на 230 В],Линии[_блок УЗО],BA125,Линии[Щит],A125),"")</f>
        <v/>
      </c>
      <c r="CY125" t="str">
        <f>IF(AND(CS125&lt;&gt;"",CS125=BA125),SUMIFS(Линии[_ток утечки линии, мА],Линии[_блок УЗО],BA125,Линии[Щит],A125),"")</f>
        <v/>
      </c>
      <c r="CZ125">
        <f t="shared" si="168"/>
        <v>0</v>
      </c>
      <c r="DA125">
        <f t="shared" si="169"/>
        <v>0</v>
      </c>
      <c r="DB125">
        <f>IF(B125="",0,IFERROR(--_xlfn.XLOOKUP(B125,Коды_код,Коды_минавт),IFERROR(--_xlfn.XLOOKUP(BC125,Коды_код,Коды_минавт),IFERROR(--_xlfn.XLOOKUP(LEFT(BC125,2),Коды_код,Коды_минавт),0))))</f>
        <v>0</v>
      </c>
      <c r="DC125" t="str">
        <f>IF(B125="","",IFERROR(_xlfn.XLOOKUP(BC125,Коды_код,Коды_апп)&amp;"",""))</f>
        <v/>
      </c>
      <c r="DD125" t="str">
        <f t="shared" si="170"/>
        <v/>
      </c>
      <c r="DE125" t="str" cm="1">
        <f t="array" ref="DE125">IF(TRIM(DD125&amp;"")="","",IFERROR(TRIM(INDEX(_xlfn.TEXTSPLIT(DD125&amp;";;;",";"),1)),""))</f>
        <v/>
      </c>
      <c r="DF125" t="str" cm="1">
        <f t="array" ref="DF125">IF(TRIM(DD125&amp;"")="","",IFERROR(TRIM(INDEX(_xlfn.TEXTSPLIT(DD125&amp;";;;",";"),2)),""))</f>
        <v/>
      </c>
      <c r="DG125" t="str" cm="1">
        <f t="array" ref="DG125">IF(TRIM(DD125&amp;"")="","",IFERROR(TRIM(INDEX(_xlfn.TEXTSPLIT(DD125&amp;";;;",";"),3)),""))</f>
        <v/>
      </c>
      <c r="DH125">
        <f t="shared" si="171"/>
        <v>0</v>
      </c>
      <c r="DI125" t="str">
        <f>IF(B125="","",_xlfn.LET(_xlpm.t,LOWER(AZ125&amp;""),IF(ISNUMBER(SEARCH("dim",_xlpm.t)),"DIM",IF(ISNUMBER(SEARCH("dali",_xlpm.t)),"DALI",IF(OR(ISNUMBER(SEARCH("relay",_xlpm.t)),ISNUMBER(SEARCH("реле",_xlpm.t))),"Relay",IF(ISNUMBER(SEARCH("кнопк",_xlpm.t)),"",IFERROR(_xlfn.XLOOKUP(BC125,Коды_код,Коды_упр)&amp;"","")))))))</f>
        <v/>
      </c>
      <c r="DJ125" t="str">
        <f t="shared" si="172"/>
        <v/>
      </c>
      <c r="DK125">
        <f>IF(B125="","",_xlfn.LET(_xlpm.ig,IF(N(CX125)&gt;0,N(CX125),N(CI125)+IF(AJ125="вручную",0,N(CJ125))),_xlpm.n0,IFERROR(VLOOKUP(_xlpm.ig,Автомат_номиналы,2,TRUE),0),_xlpm.mn,MAX(DB125,IF(AJ125="вручную",0,N(CM125))),MAX(_xlpm.n0,_xlpm.mn,IF(DH125=1,Мин_автомат_БП,0))))</f>
        <v>6</v>
      </c>
      <c r="DL125">
        <f t="shared" si="173"/>
        <v>1</v>
      </c>
      <c r="DM125" t="str">
        <f t="shared" si="174"/>
        <v>1P</v>
      </c>
      <c r="DN125" t="str">
        <f>_xlfn.LET(_xlpm.cc,UPPER(TRIM(IFERROR(_xlfn.XLOOKUP(BC125,Коды_код,Коды_хар)&amp;"",""))),IF(OR(_xlpm.cc="B",_xlpm.cc="В"),"B",IF(_xlpm.cc="D","D","С")))</f>
        <v>С</v>
      </c>
      <c r="DO125" t="str">
        <f t="shared" si="175"/>
        <v>1P С6А</v>
      </c>
      <c r="DP125">
        <f t="shared" si="176"/>
        <v>10</v>
      </c>
      <c r="DQ125" t="str">
        <f t="shared" si="177"/>
        <v>1P С10А</v>
      </c>
      <c r="DR125" cm="1">
        <f t="array" ref="DR125">IF(DQ125="","",_xlfn.LET(_xlpm.t,SUBSTITUTE(SUBSTITUTE(SUBSTITUTE(UPPER(DQ125),"С","C"),"А","A"),"В","B"),_xlpm.tk,_xlfn.TEXTSPLIT(_xlpm.t," "),_xlpm.f,_xlfn._xlws.FILTER(_xlpm.tk,ISNUMBER(--MID(_xlpm.tk,2,1))*ISNUMBER(SEARCH(LEFT(_xlpm.tk,1)&amp;"#","B#C#D#"))*(LEN(_xlpm.tk)&gt;1),""),_xlpm.x,INDEX(_xlpm.f,1),IFERROR(--SUBSTITUTE(MID(_xlpm.x,2,9),"A",""),IFERROR(--SUBSTITUTE(INDEX(_xlfn._xlws.FILTER(_xlpm.tk,ISNUMBER(--SUBSTITUTE(_xlpm.tk,"A","")),""),1),"A",""),""))))</f>
        <v>10</v>
      </c>
      <c r="DS125" t="str">
        <f t="shared" si="178"/>
        <v>ok</v>
      </c>
      <c r="DT125">
        <f t="shared" si="179"/>
        <v>10</v>
      </c>
      <c r="DU125" t="str">
        <f t="shared" si="180"/>
        <v>1P С10А</v>
      </c>
      <c r="DV125">
        <f t="shared" si="181"/>
        <v>0</v>
      </c>
      <c r="DW125">
        <f t="shared" si="182"/>
        <v>0</v>
      </c>
      <c r="DX125">
        <f t="shared" si="183"/>
        <v>0</v>
      </c>
      <c r="DY125">
        <f t="shared" si="184"/>
        <v>0.88767603887904944</v>
      </c>
      <c r="DZ125">
        <f t="shared" si="185"/>
        <v>1</v>
      </c>
      <c r="EA125">
        <f>IF(ISNUMBER(AP125),AP125,К_прокл)</f>
        <v>1</v>
      </c>
      <c r="EB125">
        <f t="shared" si="186"/>
        <v>2</v>
      </c>
      <c r="EC125">
        <f>IFERROR(N(VLOOKUP(BZ125,Кабель_обозначение,3,FALSE)),1)</f>
        <v>1</v>
      </c>
      <c r="ED125">
        <f>IFERROR(N(_xlfn.XLOOKUP(A125,Щиты[Щит],Щиты[ΔU до шин, %])),0)</f>
        <v>0.24000000000000002</v>
      </c>
      <c r="EE125" t="str">
        <f>IFERROR(_xlfn.XLOOKUP(A125,Щиты[Щит],Щиты[Zпетли на шинах, Ом]),"")</f>
        <v/>
      </c>
      <c r="EF125">
        <f>IFERROR(N(_xlfn.XLOOKUP(A125,Щиты[Щит],Щиты[ΔU до шин (подбор), %])),0)</f>
        <v>0.36</v>
      </c>
      <c r="EG125" t="str">
        <f>IFERROR(_xlfn.XLOOKUP(A125,Щиты[Щит],Щиты[Zпетли на шинах (подбор), Ом]),"")</f>
        <v/>
      </c>
      <c r="EH125" t="str">
        <f t="shared" si="187"/>
        <v/>
      </c>
      <c r="EI125">
        <f t="shared" si="188"/>
        <v>74</v>
      </c>
      <c r="EJ125">
        <f t="shared" si="189"/>
        <v>2</v>
      </c>
      <c r="EK125">
        <f t="shared" si="190"/>
        <v>0.6</v>
      </c>
      <c r="EL125" s="6">
        <f>IF(B125="","",IF(BV125=1,dU_LED,IF(IFERROR(_xlfn.XLOOKUP(BC125,Коды_код,Коды_уго),"")="Светильник",3,4)+IF(Методика="нормы 2026",MIN(0.5,MAX(0,N(P125)-100)*0.005),0)))</f>
        <v>4</v>
      </c>
      <c r="EM125" cm="1">
        <f t="array" ref="EM125">IF(OR(B125="",BZ125="",EC125&lt;&gt;1),"",_xlfn.LET(_xlpm.sz,Iдоп_S,_xlpm.t_,CHOOSE(EB125,Iдоп_1ж,Iдоп_2ж,Iдоп_3ж)*DZ125*EA125,_xlpm.dcx,BV125=1,_xlpm.inn,IF(_xlpm.dcx,N(O125),N(DT125)),_xlpm.smin,MAX(1.5,CC125),_xlpm.L_,N(P125)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125)/N(BU125)*100,999),IFERROR(N(EJ125)*(_xlpm.rho*_xlpm.L_/_xlpm.sz*N(CE125)+_xlpm.xx*_xlpm.L_*N(EK125)/1000)*N(O125)/((Uн_лин/SQRT(3))*1000)*100,999)),_xlpm.kz,IF(OR(_xlpm.dcx,DW125=1,NOT(ISNUMBER(EG125)),_xlpm.L_=0,_xlpm.inn=0),1,IFERROR(--(c_min*(Uн_лин*1000/SQRT(3))/(EG125+2*ρкз_Cu*_xlpm.L_/_xlpm.sz)&gt;=HT125*_xlpm.inn),0)),_xlpm.ok,IFERROR((_xlpm.sz&gt;=_xlpm.smin)*(_xlpm.t_&gt;=_xlpm.inn)*IF(_xlpm.L_&gt;0,(_xlpm.du_+IF(_xlpm.dcx,0,EF125)&lt;=EL125+0.00001),1)*_xlpm.kz,0),_xlpm.r_,_xlfn._xlws.FILTER(_xlpm.sz,_xlpm.ok,"не подобрано"),INDEX(_xlpm.r_,1)))</f>
        <v>1.5</v>
      </c>
      <c r="EN125">
        <f t="shared" si="191"/>
        <v>1.5</v>
      </c>
      <c r="EO125" cm="1">
        <f t="array" ref="EO125">IF(OR(B125="",BZ125="",EC125&lt;&gt;1),"",_xlfn.LET(_xlpm.sz,Iдоп_S,_xlpm.t_,CHOOSE(EB125,Iдоп_1ж,Iдоп_2ж,Iдоп_3ж)*DZ125*EA125,_xlpm.ok,IFERROR((_xlpm.sz&gt;=MAX(1.5,CC125))*(_xlpm.t_&gt;=N(DT125)),0),_xlpm.r_,_xlfn._xlws.FILTER(_xlpm.sz,_xlpm.ok,""),INDEX(_xlpm.r_,1)))</f>
        <v>1.5</v>
      </c>
      <c r="EP125" s="6" cm="1">
        <f t="array" ref="EP125">IFERROR(ROUNDUP(N(EJ125)*(_xlfn.XLOOKUP(EO125,INDEX(Кабель_сопротивление,0,1),INDEX(Кабель_сопротивление,0,3))*N(P125)/EO125*N(CE125)+_xlfn.XLOOKUP(EO125,INDEX(Кабель_сопротивление,0,1),INDEX(Кабель_сопротивление,0,2))*N(P125)*N(EK125)/1000)*N(O125)/((Uн_лин/SQRT(3))*1000)*100,2),"")</f>
        <v>0.71</v>
      </c>
      <c r="EQ125">
        <f>IFERROR(2*ρкз_Cu*N(P125)/EO125,"")</f>
        <v>2.6650666666666667</v>
      </c>
      <c r="ER125">
        <f>IFERROR(VLOOKUP(EN125,Кабель_сопротивление,3,FALSE),"")</f>
        <v>2.2499999999999999E-2</v>
      </c>
      <c r="ES125">
        <f>IFERROR(VLOOKUP(EN125,Кабель_сопротивление,2,FALSE),"")</f>
        <v>0.11</v>
      </c>
      <c r="ET125">
        <f t="shared" si="192"/>
        <v>16</v>
      </c>
      <c r="EU125">
        <f t="shared" si="193"/>
        <v>0</v>
      </c>
      <c r="EV125">
        <f t="shared" si="194"/>
        <v>1.6280262609374208</v>
      </c>
      <c r="EW125" s="6">
        <f>IFERROR(ROUNDUP(EV125/IF(BV125=1,BU125,(Uн_лин/SQRT(3))*1000)*100,2),"")</f>
        <v>0.71</v>
      </c>
      <c r="EX125" t="str">
        <f>IFERROR(VLOOKUP(BZ125,Кабель_обозначение,2,FALSE),"")</f>
        <v>ВВГнг(А)-LS</v>
      </c>
      <c r="EY125" t="str">
        <f t="shared" si="195"/>
        <v>ВВГнг(А)-LS (3х1,5)</v>
      </c>
      <c r="EZ125" t="str">
        <f t="shared" si="196"/>
        <v>ВВГнг(А)-LS (3х1,5)
L=76-0,71%</v>
      </c>
      <c r="FA125">
        <f>IFERROR(2*ρкз_Cu*P125/EN125,"")</f>
        <v>2.6650666666666667</v>
      </c>
      <c r="FB125">
        <f t="shared" si="197"/>
        <v>0.88666666666666671</v>
      </c>
      <c r="FC125" s="6" t="str">
        <f>IFERROR(IF(OR(B125="",BV125=1,NOT(ISNUMBER(EN125)),N(P125)=0),"",_xlfn.XLOOKUP(A125,Щиты[Щит],Щиты[Zпетли на шинах, Ом])+FA125),"")</f>
        <v/>
      </c>
      <c r="FD125" s="6" t="str">
        <f>IF(ISNUMBER(FC125),c_min*(Uн_лин*1000/SQRT(3))/FC125,"")</f>
        <v/>
      </c>
      <c r="FE125" s="6" t="str">
        <f>IFERROR(IF(OR(B125="",NOT(ISNUMBER(EN125))),"",1.05*(Uн_лин*1000/SQRT(3))/(_xlfn.XLOOKUP(A125,Щиты[Щит],Щиты[Zmax на шинах, Ом])+FB125)/1000),"")</f>
        <v/>
      </c>
      <c r="FF125" s="6" t="str">
        <f>IF(B125="","",IF(ISNUMBER(AC125),"Сил",IF(IFERROR(_xlfn.XLOOKUP(BC125,Коды_код,Коды_группа)&amp;"","")="","Быт",_xlfn.XLOOKUP(BC125,Коды_код,Коды_группа)&amp;"")))</f>
        <v>Сил</v>
      </c>
      <c r="FG125" s="6" t="str">
        <f t="shared" si="198"/>
        <v>Сил</v>
      </c>
      <c r="FH125" s="6">
        <f>IF(FG125="Щит","щит",IF(FG125="","",IF(FG125="Быт",IFERROR(_xlfn.XLOOKUP(A125,Щиты[Щит],Щиты[Кс быт]),1),IF(FG125="Сил",IF(ISNUMBER(AC125),AC125,IF(Методика="нормы 2026",IFERROR(_xlfn.XLOOKUP(A125,Щиты[Щит],Щиты[Кс силовых (табл. 7.5)]),1),1)),IF(OR(FG125="Пост",FG125="Отоп"),1,IF(FG125="ВНГ",0.7,0))))))</f>
        <v>0.5</v>
      </c>
      <c r="FI125">
        <f>IF(FG125="","",IF(AND(BP125=1,TRIM(AE125&amp;"")=""),IF(COUNTIFS(Линии[Щит],A125,Линии[Секция (1/2/3)],"&gt;=2")&gt;0,MIN(3,MAX(1,IFERROR(--BD125,1))),1),IFERROR(MIN(3,MAX(1,INT(--AE125))),1)))</f>
        <v>1</v>
      </c>
      <c r="FJ125">
        <f t="shared" si="199"/>
        <v>0.16400000000000001</v>
      </c>
      <c r="FK125">
        <f t="shared" si="200"/>
        <v>0</v>
      </c>
      <c r="FL125">
        <f t="shared" si="201"/>
        <v>8.2000000000000003E-2</v>
      </c>
      <c r="FM125">
        <f t="shared" si="202"/>
        <v>0</v>
      </c>
      <c r="FN125">
        <f t="shared" si="203"/>
        <v>0</v>
      </c>
      <c r="FO125">
        <f t="shared" si="204"/>
        <v>0</v>
      </c>
      <c r="FP125">
        <f t="shared" si="205"/>
        <v>0.16400000000000001</v>
      </c>
      <c r="FQ125">
        <f t="shared" si="206"/>
        <v>0.16400000000000001</v>
      </c>
      <c r="FR125">
        <f t="shared" si="207"/>
        <v>0.13120000000000001</v>
      </c>
      <c r="FS125">
        <f>IF(CG125=1,IF(AND(CH125=1,CW125=1),0,IF(AND(CS125&lt;&gt;"",CS125=BA125,CW125=1),SUMIFS(Линии[_Р линии, кВт],Линии[_блок УЗО],BA125,Линии[Щит],A125),N(BS125)+IF(AJ125="вручную",0,N(CK125)))),0)</f>
        <v>0.16400000000000001</v>
      </c>
      <c r="FT125" t="str">
        <f t="shared" si="208"/>
        <v/>
      </c>
      <c r="FU125" t="str">
        <f>IF(B125="","",IF(CG125=0,IF(BA125=1,"",FW124),IF(AND(CH125=1,CW125=1,CS125&lt;&gt;""),IFERROR(_xlfn.XLOOKUP(CS125,Линии[_n],Линии[_фаза итог]),"L1"),IF(OR(N(DL125)&gt;=3,N(BX125)&gt;=3),"L1,L2,L3",IFERROR(_xlfn.TEXTBEFORE(_xlfn.TEXTAFTER(_xlfn.XLOOKUP(A125,Щиты[Щит],Щиты[_фазы авто]),";"&amp;BA125&amp;":"),";"),"L1")))))</f>
        <v>L1</v>
      </c>
      <c r="FV125" t="str">
        <f t="shared" si="209"/>
        <v>L1</v>
      </c>
      <c r="FW125" t="str">
        <f t="shared" si="210"/>
        <v>L1</v>
      </c>
      <c r="FX125" cm="1">
        <f t="array" ref="FX125">IFERROR(IF(CD125=2,_xlfn.IFS(BX125=3,VLOOKUP(BS125,Справочная_двигатели,3,FALSE),BX125=1,VLOOKUP(BS125,Справочная_двигатели,5,TRUE)),0),0)</f>
        <v>0</v>
      </c>
      <c r="FY125">
        <f>IFERROR(IF(CD125=3,VLOOKUP(BS125,Справочная_ЛЭД,2,TRUE),0),0)</f>
        <v>0</v>
      </c>
      <c r="FZ125" s="6">
        <f t="shared" si="211"/>
        <v>0</v>
      </c>
      <c r="GA125" t="str">
        <f>IF(B125="","",IF(TRIM(AH125&amp;"")&lt;&gt;"",IF(LOWER(TRIM(AH125&amp;""))="да","да","нет"),IF(IFERROR(_xlfn.XLOOKUP(BC125,Коды_код,Коды_пожарная),"")="да","да","нет")))</f>
        <v>нет</v>
      </c>
      <c r="GB125" t="str">
        <f t="shared" si="212"/>
        <v/>
      </c>
      <c r="GC125" t="str">
        <f t="shared" si="213"/>
        <v>основная</v>
      </c>
      <c r="GD125">
        <f>IF(AND(BP125=1,TRIM(AE125&amp;"")=""),IF(COUNTIFS(Линии[Щит],A125,Линии[Секция (1/2/3)],"&gt;=2")&gt;0,MIN(3,MAX(1,IFERROR(--BD125,1))),1),IFERROR(MIN(3,MAX(1,INT(--AE125))),1))</f>
        <v>1</v>
      </c>
      <c r="GE125" t="str" cm="1">
        <f t="array" ref="GE125">IF(B125="","",_xlfn.LET(_xlpm.t,IFERROR(_xlfn.XLOOKUP(1,(Шины[Шина]=GC125)*(((Шины[Щит]=A125)+(Шины[Щит]=""))&gt;0),Шины[Тип]),"")&amp;"",IF(_xlpm.t&lt;&gt;"",_xlpm.t,IF(ISNUMBER(SEARCH("ИБП",GC125)),"ИБП",IF(ISNUMBER(SEARCH("ДГУ",GC125)),"ДГУ","Ввод "&amp;GD125)))))</f>
        <v>Ввод 1</v>
      </c>
      <c r="GF125" t="str">
        <f t="shared" si="214"/>
        <v>Ввод 1</v>
      </c>
      <c r="GG125" t="str">
        <f>IF(BP125=0,"",IF(TRIM(AG125&amp;"")&lt;&gt;"",TRIM(AG125&amp;""),IF(OR(GE125="ИБП",GE125="ДГУ"),"I особая",_xlfn.XLOOKUP(A125,Щиты[Щит],Щиты[Категория шины «Ввод»],"III"))))</f>
        <v/>
      </c>
      <c r="GH125" t="str">
        <f>IF(A125="","",_xlfn.XLOOKUP(A125,Щиты[Щит],Щиты[Путь],""))</f>
        <v>|ГРЩ-ЖД|ЩОВ-01|</v>
      </c>
      <c r="GI125" t="str">
        <f>IF(B125="","",IF(AI125&lt;&gt;"",AI125,IF(IFERROR(_xlfn.XLOOKUP(BC125,Коды_код,Коды_вид)&amp;"","")="","Прочее",_xlfn.XLOOKUP(BC125,Коды_код,Коды_вид)&amp;"")))</f>
        <v>Кондиционирование и увлажнение</v>
      </c>
      <c r="GJ125">
        <f>IF(BM125="","",INT((BM125-1)/Столбцов_на_лист)+1)</f>
        <v>3</v>
      </c>
      <c r="GK125" t="str">
        <f t="shared" si="215"/>
        <v>ВВГнг(А)-LS (3х1,5) L=76-0,71%</v>
      </c>
      <c r="GL125">
        <f t="shared" si="216"/>
        <v>0.16400000000000001</v>
      </c>
      <c r="GM125">
        <f t="shared" si="217"/>
        <v>0.89</v>
      </c>
      <c r="GN125">
        <f t="shared" si="218"/>
        <v>1</v>
      </c>
      <c r="GO125">
        <f t="shared" si="219"/>
        <v>0</v>
      </c>
      <c r="GP125">
        <f t="shared" si="220"/>
        <v>1</v>
      </c>
      <c r="GQ125">
        <f>IF(BM125="","",IF(AND(CG125=1,GP125=1),COUNTIFS(A$3:A125,A125,CG$3:CG125,1,GP$3:GP125,1),IF(OR(OR(BA125=1,A125&lt;&gt;A124),AJ125="вручную",GP125=0),"",IF(BA125=1,"",GR124))))</f>
        <v>23</v>
      </c>
      <c r="GR125">
        <f t="shared" si="221"/>
        <v>23</v>
      </c>
      <c r="GS125">
        <f>IF(B125="","",IFERROR(LOOKUP(INDEX(CHOOSE(EB125,Iдоп_1ж,Iдоп_2ж,Iдоп_3ж),MATCH(EN125,Iдоп_S,0))*DZ125*EA125,{6,10,16,20,25,32,40,50,63,80,100,125,160,200,250,315,400,500,630}),""))</f>
        <v>16</v>
      </c>
      <c r="GT125" t="str">
        <f t="shared" si="222"/>
        <v>QF23</v>
      </c>
      <c r="GU125" t="str">
        <f t="shared" si="223"/>
        <v>QF23</v>
      </c>
      <c r="GV125" t="str">
        <f t="shared" si="224"/>
        <v/>
      </c>
      <c r="GW125">
        <f t="shared" si="225"/>
        <v>0</v>
      </c>
      <c r="GX125" t="str">
        <f>IF(OR(B125="",DJ125=""),"",IFERROR(_xlfn.XLOOKUP(DJ125,Модули_умолч[Управление],Модули_умолч[Модель])&amp;"",""))</f>
        <v/>
      </c>
      <c r="GY125">
        <f>IF(DJ125="",1,IFERROR(MAX(0,N(_xlfn.XLOOKUP(DJ125,Модули_умолч[Управление],Модули_умолч[Каналов на линию]))),1))</f>
        <v>1</v>
      </c>
      <c r="GZ125" t="str">
        <f t="shared" si="226"/>
        <v/>
      </c>
      <c r="HA125" t="str">
        <f t="shared" si="227"/>
        <v/>
      </c>
      <c r="HB125" t="str">
        <f t="shared" si="228"/>
        <v/>
      </c>
      <c r="HC125">
        <f>IF(HB125="",0,IFERROR(N(VLOOKUP(HB125,Модули_спр,3,FALSE)),0))</f>
        <v>0</v>
      </c>
      <c r="HD125" t="str">
        <f t="shared" si="229"/>
        <v/>
      </c>
      <c r="HE125" t="str">
        <f t="shared" si="230"/>
        <v/>
      </c>
      <c r="HF125" t="str">
        <f>IF(OR(HE125="",HE125="-"),"",IFERROR(VLOOKUP(HE125,Модули_спр,2,FALSE),"R"))</f>
        <v/>
      </c>
      <c r="HG125" t="str">
        <f>IF(HF125="","",HF125&amp;"."&amp;COUNTIFS(A$3:A125,A125,HF$3:HF125,HF125))</f>
        <v/>
      </c>
      <c r="HH125" t="str">
        <f t="shared" si="231"/>
        <v/>
      </c>
      <c r="HI125" t="str">
        <f t="shared" si="232"/>
        <v/>
      </c>
      <c r="HJ125" t="str">
        <f t="shared" si="233"/>
        <v/>
      </c>
      <c r="HK125" t="str">
        <f t="shared" si="234"/>
        <v/>
      </c>
      <c r="HL125">
        <f t="shared" si="235"/>
        <v>1</v>
      </c>
      <c r="HM125" t="str">
        <f>IF(HL125=1,"XT"&amp;COUNTIFS(A$3:A125,A125,HL$3:HL125,1),"")</f>
        <v>XT23</v>
      </c>
      <c r="HN125" t="str">
        <f t="shared" si="236"/>
        <v/>
      </c>
      <c r="HO125" t="str">
        <f t="shared" si="237"/>
        <v>QF23</v>
      </c>
      <c r="HP125" t="str">
        <f t="shared" si="238"/>
        <v/>
      </c>
      <c r="HQ125" t="str">
        <f t="shared" si="239"/>
        <v>ok</v>
      </c>
      <c r="HR125" t="str">
        <f>IF(OR(HJ125="",HH125=""),"",IF(HJ125+MAX(0,GY125-1)&gt;IFERROR(VLOOKUP(HI125,Модули_спр,3,FALSE),99),"ЛИШНИЙ КАНАЛ",IF(AND(AL125&lt;&gt;"=",GY125&gt;0,COUNTIFS(Линии[_модуль гр.],HH125,Линии[Канал (итог)],HJ125,Линии[Канал],"&lt;&gt;=",Линии[Щит],A125)&gt;1),"ДУБЛЬ КАНАЛА","")))</f>
        <v/>
      </c>
      <c r="HS125" s="6" t="str">
        <f t="shared" si="240"/>
        <v/>
      </c>
      <c r="HT125">
        <f t="shared" si="241"/>
        <v>10</v>
      </c>
      <c r="HU125" t="str">
        <f t="shared" si="242"/>
        <v/>
      </c>
      <c r="HV125">
        <f t="shared" si="243"/>
        <v>1.1150704155516198</v>
      </c>
      <c r="HW125">
        <f t="shared" si="244"/>
        <v>0</v>
      </c>
      <c r="HX125">
        <f t="shared" si="245"/>
        <v>0</v>
      </c>
      <c r="HY125">
        <f t="shared" si="246"/>
        <v>0</v>
      </c>
      <c r="HZ125">
        <f t="shared" si="247"/>
        <v>0</v>
      </c>
      <c r="IA125">
        <f t="shared" si="248"/>
        <v>0</v>
      </c>
      <c r="IB125">
        <f t="shared" si="249"/>
        <v>0</v>
      </c>
      <c r="IC125" t="str">
        <f t="shared" si="250"/>
        <v/>
      </c>
      <c r="ID125" t="str" cm="1">
        <f t="array" ref="ID125">IF(IC125="","",_xlfn.LET(_xlpm.tk,_xlfn.TEXTSPLIT(SUBSTITUTE(SUBSTITUTE(IC125,";"," "),"→"," ")," ",,TRUE),_xlpm.w_,_xlfn._xlws.FILTER(_xlpm.tk,ISNUMBER(--LEFT(_xlpm.tk,1))*((ISNUMBER(SEARCH("W",_xlpm.tk))+ISNUMBER(SEARCH("Вт",_xlpm.tk)))&gt;0),""),IFERROR(--SUBSTITUTE(SUBSTITUTE(UPPER(INDEX(_xlpm.w_,1)),"W",""),"ВТ",""),"")))</f>
        <v/>
      </c>
      <c r="IE125" t="str" cm="1">
        <f t="array" ref="IE125">IF(IC125="","",_xlfn.LET(_xlpm.tk,_xlfn.TEXTSPLIT(SUBSTITUTE(SUBSTITUTE(IC125,";"," "),"→"," ")," ",,TRUE),_xlpm.v_,_xlfn._xlws.FILTER(_xlpm.tk,ISNUMBER(--LEFT(_xlpm.tk,1))*((ISNUMBER(SEARCH("V",_xlpm.tk))+(RIGHT(UPPER(_xlpm.tk))="В"))&gt;0),""),IFERROR(--SUBSTITUTE(SUBSTITUTE(UPPER(INDEX(_xlpm.v_,1)),"V",""),"В",""),"")))</f>
        <v/>
      </c>
      <c r="IF125" s="6" t="str">
        <f>IF(OR(BV125=0,HI125="",HJ125=""),"",IFERROR(N(_xlfn.XLOOKUP(HI125,Каталог!$C$4:$C$500,Каталог!$Q$4:$Q$500)),""))</f>
        <v/>
      </c>
      <c r="IG125" s="6" t="str">
        <f>IF(N(IF125)=0,"",SUMIFS(Линии[Iр, А],Линии[Щит],A125,Линии[_модуль гр.],HH125,Линии[Канал (итог)],HJ125))</f>
        <v/>
      </c>
      <c r="IH125" t="str">
        <f>IF(AND(B125="",HO125=""),"",_xlfn.TEXTJOIN("; ",TRUE,IF(AND(B125&lt;&gt;"",FV125=""),"нет фазы",""),IF(AND(B125&lt;&gt;"",N(GL125)=0,FG125&lt;&gt;"Нет"),"нет мощности",""),IF(AND(HN125&lt;&gt;"",COUNTIFS(Линии[Щит],A125,Линии[Клемма (итог)],HN125)&gt;1),"дубль клеммы "&amp;HN125,""),IF(AND(HQ125&lt;&gt;"",HQ125&lt;&gt;"ok"),HQ125,""),IF(HR125&lt;&gt;"",HR125,""),IF(AND(N(CB125)&gt;=4,N(BX125)=1),CB125&amp;" жил на 1 фазе",""),IF(AND(BC125="R",CG125=1,IF(CS125&lt;&gt;"",N(CV125)&gt;30,OR(N(DA125)=0,N(DA125)&gt;30))),"розетка без дифзащиты до 30 мА",""),IF(AND(CG125=1,N(DA125)&gt;0,ISNUMBER(T125)),IF(T125&gt;N(DA125)/3,"ток утечки "&amp;FIXED(T125,1)&amp;" мА &gt; 1/3 уставки ("&amp;DA125&amp;" мА)",""),""),IF(AND(CH125=1,CS125=""),"«узо»: нет строки с УЗО выше (УЗО 2P 40А 30мА в «Аппаратах»)",""),IF(AND(CS125&lt;&gt;"",CS125=BA125),IF(CT125="","впишите номинал УЗО (УЗО 2P 40А 30мА)",IF(N(CT125)&lt;N(DT125),"УЗО "&amp;CT125&amp;" А &lt; автомата "&amp;DT125&amp;" А перед ним",IF(N(CT125)&lt;N(CX125),"УЗО "&amp;CT125&amp;" А &lt; тока блока "&amp;FIXED(CX125,1)&amp;" А",""))),""),IF(AND(CS125&lt;&gt;"",CS125=BA125,ISNUMBER(CY125)),IF(CY125&gt;N(CV125)/3,"ток утечки блока УЗО "&amp;FIXED(CY125,1)&amp;" мА &gt; 1/3 уставки ("&amp;CV125&amp;" мА)",""),""),IF(AND(CG125=1,N(BV125)+N(IB125)&gt;0,IC125=""),"линии до 50 В без БП: впишите в «Аппараты» (БП 24V 480W)",""),IF(AND(CG125=1,ISNUMBER(ID125),ISNUMBER(U125)),IF(U125&gt;ID125,"БП "&amp;ID125&amp;" Вт &lt; нужно "&amp;U125&amp;" Вт (×"&amp;Запас_БП&amp;")",""),""),IF(AND(CG125=1,ISNUMBER(IE125),N(BV125)=1),IF(IE125&lt;&gt;N(BU125),"БП на "&amp;IE125&amp;" В, линия "&amp;BU125&amp;" В",""),""),IF(AND(N(IF125)&gt;0,N(IG125)&gt;N(IF125)),HH125&amp;" канал "&amp;HJ125&amp;": "&amp;FIXED(IG125,1)&amp;" А &gt; "&amp;IF125&amp;" А",""),IFERROR(IF(AND(ISNUMBER(Q125),Q125&gt;EL125),"потери "&amp;FIXED(Q125,1)&amp;" % &gt; "&amp;EL125&amp;" %",""),""),IFERROR(IF(LEFT(HU125,4)="мало","Iкз мало — отключение &gt; 0,4 с",""),""),IF(AND(B125&lt;&gt;"",BM125=""),"не на схеме",""),IF(AND(CG125=0,B125&lt;&gt;"",FV125&lt;&gt;"",IF(BA125=1,"",FW124)&lt;&gt;"",FV125&lt;&gt;IF(BA125=1,"",FW124)),"фаза не как у автомата группы ("&amp;IF(BA125=1,"",FW124)&amp;")","")))</f>
        <v/>
      </c>
      <c r="II125" s="6">
        <f>IF(OR(CG125=0,DQ125=""),"",_xlfn.LET(_xlpm.t,IFERROR(_xlfn.XLOOKUP(DQ125,Каталог!$U$4:$U$500,Каталог!$G$4:$G$500),""),_xlpm.k,SEARCH("кА",_xlpm.t),IFERROR(--TRIM(RIGHT(SUBSTITUTE(MID(_xlpm.t,MAX(1,_xlpm.k-4),_xlpm.k-MAX(1,_xlpm.k-4))," ",REPT(" ",9)),5)),"")))</f>
        <v>6</v>
      </c>
      <c r="IJ125" t="str">
        <f>IF(OR(II125="",CG125=0),"",IF(_xlfn.XLOOKUP(A125,Щиты[Щит],Щиты[Iкз max на шинах, кА],"")="","",IF(II125&lt;_xlfn.XLOOKUP(A125,Щиты[Щит],Щиты[Iкз max на шинах, кА]),"Icu "&amp;II125&amp;" кА &lt; Iкз max","ok")))</f>
        <v/>
      </c>
      <c r="IK125" t="str">
        <f t="shared" si="251"/>
        <v/>
      </c>
      <c r="IL125" t="str">
        <f t="shared" si="252"/>
        <v>QF23</v>
      </c>
      <c r="IM125" t="str">
        <f t="shared" si="253"/>
        <v>QF23|кабель ВВГнг(А)-LS (3х1,5) → Внутренний блок кондиционирования первый этаж Пом. №003Б</v>
      </c>
      <c r="IN125" t="str" cm="1">
        <f t="array" ref="IN125">IF(IM125="","",_xlfn.LET(_xlpm.nd,_xlfn.TEXTSPLIT(IM125,"|"),IF(COLUMNS(_xlpm.nd)&gt;1,A125&amp;"¦"&amp;INDEX(_xlpm.nd,1)&amp;"¦"&amp;INDEX(_xlpm.nd,2),"")))</f>
        <v>ЩОВ-01¦QF23¦кабель ВВГнг(А)-LS (3х1,5) → Внутренний блок кондиционирования первый этаж Пом. №003Б</v>
      </c>
      <c r="IO125" t="str">
        <f t="shared" si="254"/>
        <v>K.1.010A¦Внутренний блок кондиционирования первый этаж Пом. №003Б</v>
      </c>
      <c r="IP125" t="str" cm="1">
        <f t="array" ref="IP125">IF(IM125="","",_xlfn.LET(_xlpm.nd,_xlfn.TEXTSPLIT(IM125,"|"),IF(COLUMNS(_xlpm.nd)&gt;2,A125&amp;"¦"&amp;INDEX(_xlpm.nd,2)&amp;"¦"&amp;INDEX(_xlpm.nd,3),"")))</f>
        <v/>
      </c>
      <c r="IQ125" t="str">
        <f t="shared" si="255"/>
        <v/>
      </c>
      <c r="IR125" t="str" cm="1">
        <f t="array" ref="IR125">IF(IM125="","",_xlfn.LET(_xlpm.nd,_xlfn.TEXTSPLIT(IM125,"|"),IF(COLUMNS(_xlpm.nd)&gt;3,A125&amp;"¦"&amp;INDEX(_xlpm.nd,3)&amp;"¦"&amp;INDEX(_xlpm.nd,4),"")))</f>
        <v/>
      </c>
      <c r="IS125" t="str">
        <f t="shared" si="256"/>
        <v/>
      </c>
      <c r="IT125" t="str" cm="1">
        <f t="array" ref="IT125">IF(IM125="","",_xlfn.LET(_xlpm.nd,_xlfn.TEXTSPLIT(IM125,"|"),IF(COLUMNS(_xlpm.nd)&gt;4,A125&amp;"¦"&amp;INDEX(_xlpm.nd,4)&amp;"¦"&amp;INDEX(_xlpm.nd,5),"")))</f>
        <v/>
      </c>
      <c r="IU125" t="str">
        <f t="shared" si="257"/>
        <v/>
      </c>
      <c r="IV125" t="str" cm="1">
        <f t="array" ref="IV125">IF(IM125="","",_xlfn.LET(_xlpm.nd,_xlfn.TEXTSPLIT(IM125,"|"),IF(COLUMNS(_xlpm.nd)&gt;5,A125&amp;"¦"&amp;INDEX(_xlpm.nd,5)&amp;"¦"&amp;INDEX(_xlpm.nd,6),"")))</f>
        <v/>
      </c>
      <c r="IW125" t="str">
        <f t="shared" si="258"/>
        <v/>
      </c>
      <c r="IX125" t="str" cm="1">
        <f t="array" ref="IX125">IF(IM125="","",_xlfn.LET(_xlpm.nd,_xlfn.TEXTSPLIT(IM125,"|"),IF(COLUMNS(_xlpm.nd)&gt;6,A125&amp;"¦"&amp;INDEX(_xlpm.nd,6)&amp;"¦"&amp;INDEX(_xlpm.nd,7),"")))</f>
        <v/>
      </c>
      <c r="IY125" t="str">
        <f t="shared" si="259"/>
        <v/>
      </c>
      <c r="IZ125" t="str">
        <f t="shared" si="260"/>
        <v/>
      </c>
      <c r="JA125" t="str">
        <f t="shared" si="261"/>
        <v>QF23</v>
      </c>
      <c r="JB125">
        <f t="shared" si="262"/>
        <v>0</v>
      </c>
      <c r="JC125">
        <f t="shared" si="263"/>
        <v>0</v>
      </c>
      <c r="JD125" t="str">
        <f t="shared" si="264"/>
        <v/>
      </c>
      <c r="JE125" t="str">
        <f t="shared" si="265"/>
        <v/>
      </c>
      <c r="JF125" t="str">
        <f t="shared" si="266"/>
        <v/>
      </c>
      <c r="JG125" t="str">
        <f t="shared" si="267"/>
        <v/>
      </c>
      <c r="JH125">
        <f>IF(B125="","",IFERROR(_xlfn.XLOOKUP(B125,Коды_код,Коды_уго),IFERROR(_xlfn.XLOOKUP(BC125,Коды_код,Коды_уго),IFERROR(_xlfn.XLOOKUP(LEFT(BC125,2),Коды_код,Коды_уго),""))))</f>
        <v>0</v>
      </c>
      <c r="JI125" t="str">
        <f>IF(B125="","",IF(OR(JH125="",JH125=0),"BOX",IFERROR(IF(VLOOKUP(JH125,УГО_блоки,3,FALSE)&amp;""&lt;&gt;"",VLOOKUP(JH125,УГО_блоки,3,FALSE),VLOOKUP(JH125,УГО_блоки,2,FALSE)),JH125)))</f>
        <v>BOX</v>
      </c>
      <c r="JJ125">
        <f t="shared" si="268"/>
        <v>1</v>
      </c>
      <c r="JK125" t="str">
        <f>IF(DQ125="","",IF(COUNTIF(DQ$3:DQ125,DQ125)=1,MAX(JK$2:JK124)+1,""))</f>
        <v/>
      </c>
      <c r="JL125" t="str">
        <f>IF(DE125="","",IF(COUNTIF(DE$3:DE125,DE125)+COUNTIF(DF$2:DF124,DE125)+COUNTIF(DG$2:DG124,DE125)=1,MAX(JL$2:JN124)+1,""))</f>
        <v/>
      </c>
      <c r="JM125" t="str">
        <f>IF(DF125="","",IF(COUNTIF(DE$3:DE125,DF125)+COUNTIF(DF$3:DF125,DF125)+COUNTIF(DG$2:DG124,DF125)=1,MAX(JL$2:JN124,JL125)+1,""))</f>
        <v/>
      </c>
      <c r="JN125" t="str">
        <f>IF(DG125="","",IF(COUNTIF(DE$3:DE125,DG125)+COUNTIF(DF$3:DF125,DG125)+COUNTIF(DG$3:DG125,DG125)=1,MAX(JL$2:JN124,JL125,JM125)+1,""))</f>
        <v/>
      </c>
      <c r="JO125" t="str">
        <f t="shared" si="269"/>
        <v>3х1,5</v>
      </c>
      <c r="JP125" t="str">
        <f>IF(JO125="","",IF(COUNTIF(JO$3:JO125,JO125)=1,MAX(JP$2:JP124)+1,""))</f>
        <v/>
      </c>
      <c r="JQ125" t="str">
        <f>IF(HG125="","",COUNTIF(HG$3:HG125,"?*"))</f>
        <v/>
      </c>
      <c r="JR125" t="str">
        <f>IF(OR(HG125="",HI125=""),"",IF(COUNTIFS(HG$3:HG125,"?*",HI$3:HI125,HI125)=1,MAX(JR$2:JR124)+1,""))</f>
        <v/>
      </c>
      <c r="JS125">
        <f t="shared" si="270"/>
        <v>0</v>
      </c>
      <c r="JT125">
        <f>IF(B125="","",COUNTIF(B$3:B125,"?*"))</f>
        <v>123</v>
      </c>
      <c r="JU125">
        <f>IF(HL125&lt;&gt;1,0,_xlfn.LET(_xlpm.k,MAX(IFERROR(--_xlfn.XLOOKUP(B125,Коды_код,Коды_3L),0),IFERROR(--_xlfn.XLOOKUP(BC125,Коды_код,Коды_3L),0),IFERROR(--_xlfn.XLOOKUP(LEFT(BC125,2),Коды_код,Коды_3L),0)),IF(_xlpm.k&gt;0,_xlpm.k,IF(IFERROR(--LEFT(SUBSTITUTE(JO125,"x","х"),FIND("х",SUBSTITUTE(JO125,"x","х"))-1),3)&gt;3,Каталог!$S$9,1))))</f>
        <v>1</v>
      </c>
      <c r="JV125">
        <f t="shared" si="271"/>
        <v>0</v>
      </c>
      <c r="JW125" t="str">
        <f t="shared" si="272"/>
        <v>авто</v>
      </c>
      <c r="JX125" t="str">
        <f t="shared" si="273"/>
        <v/>
      </c>
      <c r="JY125">
        <f t="shared" si="274"/>
        <v>0</v>
      </c>
      <c r="JZ125">
        <f t="shared" si="275"/>
        <v>1</v>
      </c>
    </row>
    <row r="126" spans="1:286" x14ac:dyDescent="0.3">
      <c r="A126" t="s">
        <v>745</v>
      </c>
      <c r="B126" t="s">
        <v>1436</v>
      </c>
      <c r="C126" t="s">
        <v>1681</v>
      </c>
      <c r="D126">
        <v>1</v>
      </c>
      <c r="E126">
        <v>0.16400000000000001</v>
      </c>
      <c r="G126">
        <v>10</v>
      </c>
      <c r="H126" t="str">
        <f>Линии[[#This Row],[_авто управление]]</f>
        <v/>
      </c>
      <c r="I126" t="str">
        <f>Линии[[#This Row],[_авто аппараты]]</f>
        <v/>
      </c>
      <c r="J126">
        <v>1.5</v>
      </c>
      <c r="K126">
        <v>70</v>
      </c>
      <c r="L126" t="str">
        <f>Линии[[#This Row],[_авто фаза]]</f>
        <v>L2</v>
      </c>
      <c r="M126" t="s">
        <v>484</v>
      </c>
      <c r="N126" t="str">
        <f t="shared" si="138"/>
        <v/>
      </c>
      <c r="O126" s="6" cm="1">
        <f t="array" ref="O126">IF(B126="","",IF(BH126&lt;&gt;"",IFERROR(_xlfn.XLOOKUP(BH126,Щиты[Щит],Щиты[Iр, А]),""),IF(BP126=1,IF(OR(N(_xlfn.XLOOKUP(A126,Щиты[Щит],Щиты[Вводов],1))&lt;=1,LOWER(TRIM(_xlfn.XLOOKUP(A126,Щиты[Щит],Щиты[АВР],"")&amp;""))="да"),IFERROR(_xlfn.XLOOKUP(A126,Щиты[Щит],Щиты[Iр, А]),""),IFERROR(N(BS126)*_xlfn.XLOOKUP(A126,Щиты[Щит],Щиты[Кс итог])/(SQRT(3)*Uн_лин*_xlfn.XLOOKUP(A126,Щиты[Щит],Щиты[cos φ])),"")),IF(BV126=1,IFERROR(BS126*1000/BU126,""),IFERROR(_xlfn.IFS(BX126=1,BS126/((Uн_лин/SQRT(3))*CE126),BX126=3,BS126/(SQRT(3)*Uн_лин*CE126)),"")))))</f>
        <v>0.88767603887904944</v>
      </c>
      <c r="P126" s="7">
        <f>IF(B126="","",IFERROR(IF(VLOOKUP(BC126,Потребители_обозначение,4,FALSE)=1,VLOOKUP(BC126,Потребители_обозначение,3,FALSE)*(MAX(1,N(D126))*2-1)+EI126+VLOOKUP(BE126,Этаж_обозначение,3,FALSE)+VLOOKUP(BE126,Этаж_обозначение,4,FALSE),VLOOKUP(BC126,Потребители_обозначение,3,FALSE)*(MAX(1,N(D126))*2-1)+EI126),EI126))</f>
        <v>72</v>
      </c>
      <c r="Q126" s="6">
        <f t="shared" si="139"/>
        <v>0.91</v>
      </c>
      <c r="R126" t="str">
        <f t="shared" si="140"/>
        <v>ВВГнг(А)-LS (3х1,5)</v>
      </c>
      <c r="S126" t="str">
        <f>IF(BM126="","",IF(BN126="вводной узел","узел ","")&amp;"л."&amp;(INT((BM126-1)/Столбцов_на_лист)+1)&amp;" / "&amp;(MOD(BM126-1,Столбцов_на_лист)+1))</f>
        <v>л.3 / 6</v>
      </c>
      <c r="T126" s="119">
        <f t="shared" si="141"/>
        <v>1.1000000000000001</v>
      </c>
      <c r="U126" s="7" t="str">
        <f>IF(OR(CG126=0,N(BV126)+N(IB126)=0),"",ROUNDUP(Запас_БП*(N(HY126)+N(HZ126)),0))</f>
        <v/>
      </c>
      <c r="V126" s="119" t="str">
        <f t="shared" si="142"/>
        <v/>
      </c>
      <c r="W126" s="7" t="str">
        <f>IFERROR(IF(OR(B126="",BP126=1,BV126=1,NOT(ISNUMBER(EN126)),N(DT126)=0),"",MAX(0,ROUNDDOWN((c_min*(Uн_лин*1000/SQRT(3))/(HT126*N(DT126))-_xlfn.XLOOKUP(A126,Щиты[Щит],Щиты[Zпетли на шинах, Ом]))*EN126/(2*ρкз_Cu),0))),"")</f>
        <v/>
      </c>
      <c r="Y126" t="str">
        <f>Линии[[#This Row],[_авто утечка]]</f>
        <v/>
      </c>
      <c r="Z126">
        <v>1</v>
      </c>
      <c r="AA126">
        <v>230</v>
      </c>
      <c r="AB126" t="s">
        <v>598</v>
      </c>
      <c r="AC126">
        <v>0.5</v>
      </c>
      <c r="AG126" t="s">
        <v>810</v>
      </c>
      <c r="AI126" t="s">
        <v>576</v>
      </c>
      <c r="AK126" t="str">
        <f>Линии[[#This Row],[_авто модуль]]</f>
        <v/>
      </c>
      <c r="AM126">
        <v>40</v>
      </c>
      <c r="AN126" t="s">
        <v>11</v>
      </c>
      <c r="AO126">
        <v>3</v>
      </c>
      <c r="AQ126">
        <v>58</v>
      </c>
      <c r="AR126">
        <v>14</v>
      </c>
      <c r="AT126">
        <v>1</v>
      </c>
      <c r="BA126" cm="1">
        <f t="array" ref="BA126">ROW()-ROW(Линии[#Headers])</f>
        <v>124</v>
      </c>
      <c r="BC126" s="6" t="str">
        <f t="shared" si="143"/>
        <v>K</v>
      </c>
      <c r="BD126" t="str">
        <f t="shared" si="144"/>
        <v>1.011A</v>
      </c>
      <c r="BE126" t="str">
        <f t="shared" si="145"/>
        <v>1</v>
      </c>
      <c r="BF126" t="str">
        <f t="shared" si="146"/>
        <v>011A</v>
      </c>
      <c r="BG126" t="str">
        <f t="shared" si="147"/>
        <v>011A</v>
      </c>
      <c r="BH126" t="str">
        <f>IF(X126&lt;&gt;"",X126,IF(AND(B126&lt;&gt;"",B126&lt;&gt;A126,ISNUMBER(_xlfn.XMATCH(B126,Щиты[Щит]))),B126,""))</f>
        <v/>
      </c>
      <c r="BI126" t="str" cm="1">
        <f t="array" ref="BI126">IF(B126="","",IF(BH126&lt;&gt;"","Щит "&amp;BH126,_xlfn.LET(_xlpm.nm,IFERROR(_xlfn.XLOOKUP(BC126,Коды_код,Коды_имя)&amp;"",""),_xlpm.md,IFERROR(N(_xlfn.XLOOKUP(BC126,Коды_код,Коды_режим)),1),_xlpm.ex,IF(Имя_режим="по экспликации",IFERROR(_xlfn.XLOOKUP(BE126&amp;"|"&amp;BG126,Экспликация[Этаж]&amp;"|"&amp;Экспликация[Помещение],Экспликация[Название])&amp;"",""),""),_xlpm.rm,IF(BG126="","",IF(_xlpm.ex&lt;&gt;"",". "&amp;_xlpm.ex&amp;IF(Имя_пом="нет"," ("&amp;BG126&amp;")"," (пом. "&amp;BG126&amp;")"),IF(Имя_пом="нет"," ",", пом. ")&amp;BG126)),IF(_xlpm.nm="","",IF(_xlpm.md=2,_xlpm.nm&amp;" шлейф "&amp;BE126,_xlpm.nm&amp;_xlpm.rm)))))</f>
        <v>Внутренний блок кондиционирования, пом. 011A</v>
      </c>
      <c r="BJ126" t="str">
        <f t="shared" si="148"/>
        <v>Внутренний блок кондиционирования первый этаж Пом. №002Б</v>
      </c>
      <c r="BK126">
        <f>IFERROR(_xlfn.XMATCH(A126,Щиты[Щит]),0)</f>
        <v>6</v>
      </c>
      <c r="BL126">
        <f>_xlfn.LET(_xlpm.k,IFERROR(_xlfn.XLOOKUP(A126,Щиты[Щит],Щиты[Мест под вводной узел]),""),IF(_xlpm.k="",Столбцов_на_лист,N(_xlpm.k)))</f>
        <v>12</v>
      </c>
      <c r="BM126">
        <f t="shared" si="149"/>
        <v>40</v>
      </c>
      <c r="BN126" t="str">
        <f t="shared" si="150"/>
        <v>линии</v>
      </c>
      <c r="BO126" s="6">
        <f>IFERROR(N(_xlfn.XLOOKUP(BC126,Коды_код,Коды_квт)),0)</f>
        <v>0</v>
      </c>
      <c r="BP126">
        <f t="shared" si="151"/>
        <v>0</v>
      </c>
      <c r="BQ126" t="str">
        <f>IF(B126="","",IF(BH126&lt;&gt;"",IFERROR(_xlfn.XLOOKUP(BH126,Щиты[Щит],Щиты[Руст, кВт]),0),IF(BP126=1,IF(OR(N(_xlfn.XLOOKUP(A126,Щиты[Щит],Щиты[Вводов],1))&lt;=1,LOWER(TRIM(_xlfn.XLOOKUP(A126,Щиты[Щит],Щиты[АВР],"")&amp;""))="да"),IFERROR(_xlfn.XLOOKUP(A126,Щиты[Щит],Щиты[Руст, кВт]),0),SUMIFS(Линии[_Р для вводов],Линии[Щит],A126,Линии[Источник для режимов],GF126)),IF(BO126&gt;0,ROUND(BO126*MAX(1,N(D126)),3),""))))</f>
        <v/>
      </c>
      <c r="BR126">
        <f t="shared" si="152"/>
        <v>0.16400000000000001</v>
      </c>
      <c r="BS126" s="6">
        <f>IF(B126="","",IF(BH126&lt;&gt;"",IFERROR(_xlfn.XLOOKUP(BH126,Щиты[Щит],Щиты[Руст, кВт]),0),N(BR126)))</f>
        <v>0.16400000000000001</v>
      </c>
      <c r="BT126" t="str">
        <f>IF(B126="","",IFERROR(IF(VLOOKUP(BC126,Потребители_обозначение,8,FALSE)=0,"",VLOOKUP(BC126,Потребители_обозначение,8,FALSE)),""))</f>
        <v/>
      </c>
      <c r="BU126">
        <f t="shared" si="153"/>
        <v>230</v>
      </c>
      <c r="BV126">
        <f t="shared" si="154"/>
        <v>0</v>
      </c>
      <c r="BW126">
        <f>IF(B126="","",IF(BH126&lt;&gt;"",3,IFERROR(IF(N(VLOOKUP(BC126,Потребители_обозначение,9,FALSE))=0,1,VLOOKUP(BC126,Потребители_обозначение,9,FALSE)),1)))</f>
        <v>1</v>
      </c>
      <c r="BX126">
        <f t="shared" si="155"/>
        <v>1</v>
      </c>
      <c r="BY126" t="str">
        <f>IF(B126="","",_xlfn.LET(_xlpm.bc,IFERROR(IF(VLOOKUP(BC126,Потребители_обозначение,6,FALSE)=0,"",VLOOKUP(BC126,Потребители_обозначение,6,FALSE)&amp;""),""),IF(AND(GA126="да",OR(_xlpm.bc="",_xlpm.bc="мс")),Марка_пож,IF(AND(_xlpm.bc="",BH126&lt;&gt;""),"мс",_xlpm.bc))))</f>
        <v/>
      </c>
      <c r="BZ126" t="str">
        <f t="shared" si="156"/>
        <v>мс</v>
      </c>
      <c r="CA126">
        <f>IF(B126="","",_xlfn.LET(_xlpm.cc,IFERROR(N(VLOOKUP(BC126,Потребители_обозначение,7,FALSE)),0),IF(_xlpm.cc&gt;0,_xlpm.cc,IF(BZ126="","",IF(BV126=1,2,IF(N(BX126)=3,5,3))))))</f>
        <v>3</v>
      </c>
      <c r="CB126">
        <f t="shared" si="157"/>
        <v>3</v>
      </c>
      <c r="CC126">
        <f>IFERROR(N(VLOOKUP(BC126,Потребители_обозначение,10,FALSE)),0)</f>
        <v>0</v>
      </c>
      <c r="CD126">
        <f>IFERROR(VLOOKUP(BC126,Потребители_обозначение,5,FALSE),0)</f>
        <v>1</v>
      </c>
      <c r="CE126" s="6" cm="1">
        <f t="array" ref="CE126">IF(B126="","",IF(BH126&lt;&gt;"",IFERROR(_xlfn.XLOOKUP(BH126,Щиты[Щит],Щиты[cos φ]),0.95),IF(BP126=1,IFERROR(_xlfn.XLOOKUP(A126,Щиты[Щит],Щиты[cos φ]),0.95),IF(ISNUMBER(AD126),AD126,IFERROR(IF(CD126=2,_xlfn.IFS(BX126=3,VLOOKUP(BS126,Справочная_двигатели,8,FALSE),BX126=1,VLOOKUP(BS126,Справочная_двигатели,10,TRUE)),IF(AND(Методика="нормы 2026",FG126="Сил"),0.8,0.95)),0.95)))))</f>
        <v>0.8</v>
      </c>
      <c r="CF126">
        <f t="shared" si="158"/>
        <v>0</v>
      </c>
      <c r="CG126">
        <f t="shared" si="159"/>
        <v>1</v>
      </c>
      <c r="CH126">
        <f t="shared" si="160"/>
        <v>0</v>
      </c>
      <c r="CI126">
        <f>IF(B126="","",IF(BV126=1,IFERROR(BS126/((Uн_лин/SQRT(3))*MAX(0.5,N(CE126))),0),N(O126)))</f>
        <v>0.88767603887904944</v>
      </c>
      <c r="CJ126">
        <f t="shared" si="161"/>
        <v>0</v>
      </c>
      <c r="CK126">
        <f t="shared" si="162"/>
        <v>0</v>
      </c>
      <c r="CL126">
        <f t="shared" si="163"/>
        <v>0</v>
      </c>
      <c r="CM126">
        <f t="shared" si="164"/>
        <v>0</v>
      </c>
      <c r="CN126">
        <f t="shared" si="165"/>
        <v>0</v>
      </c>
      <c r="CO126">
        <f>IF(BC126="",0,_xlfn.LET(_xlpm.v,IFERROR(_xlfn.XLOOKUP(B126,Коды_код,Коды_мА),IFERROR(_xlfn.XLOOKUP(BC126,Коды_код,Коды_мА),IFERROR(_xlfn.XLOOKUP(LEFT(BC126,2),Коды_код,Коды_мА),""))),IF(_xlpm.v="да",30,IF(ISNUMBER(_xlpm.v),_xlpm.v,0))))</f>
        <v>0</v>
      </c>
      <c r="CP126" t="str">
        <f t="shared" si="166"/>
        <v/>
      </c>
      <c r="CQ126" t="str">
        <f>_xlfn.LET(_xlpm.k,IFERROR(_xlfn.XLOOKUP(BC126,Коды_код,Коды_утечка)&amp;"",""),IF(_xlpm.k="","дифавтомат",_xlpm.k))</f>
        <v>дифавтомат</v>
      </c>
      <c r="CR126" t="str" cm="1">
        <f t="array" ref="CR126">IF(CG126=0,"",_xlfn.LET(_xlpm.sg,TRIM(_xlfn.TEXTSPLIT(DD126&amp;"",";")),_xlpm.f_,_xlfn._xlws.FILTER(_xlpm.sg,LEFT(_xlpm.sg,3)="УЗО",""),IFERROR(INDEX(_xlpm.f_,1)&amp;"","")))</f>
        <v/>
      </c>
      <c r="CS126" t="str">
        <f t="shared" si="167"/>
        <v/>
      </c>
      <c r="CT126" s="6" t="str" cm="1">
        <f t="array" ref="CT126">IF(CR126="","",_xlfn.LET(_xlpm.tk,_xlfn.TEXTSPLIT(UPPER(CR126)," ",,TRUE),_xlpm.a_,_xlfn._xlws.FILTER(_xlpm.tk,ISNUMBER(--LEFT(_xlpm.tk,1))*((ISNUMBER(SEARCH("А",_xlpm.tk))+ISNUMBER(SEARCH("A",_xlpm.tk)))&gt;0)*NOT(ISNUMBER(SEARCH("МА",_xlpm.tk)))*NOT(ISNUMBER(SEARCH("MA",_xlpm.tk))),""),IFERROR(--SUBSTITUTE(SUBSTITUTE(INDEX(_xlpm.a_,1),"А",""),"A",""),"")))</f>
        <v/>
      </c>
      <c r="CU126" t="str" cm="1">
        <f t="array" ref="CU126">IF(CR126="","",_xlfn.LET(_xlpm.tk,_xlfn.TEXTSPLIT(UPPER(CR126)," ",,TRUE),_xlpm.a_,_xlfn._xlws.FILTER(_xlpm.tk,ISNUMBER(--LEFT(_xlpm.tk,1))*((ISNUMBER(SEARCH("МА",_xlpm.tk))+ISNUMBER(SEARCH("MA",_xlpm.tk)))&gt;0),""),IFERROR(--SUBSTITUTE(SUBSTITUTE(INDEX(_xlpm.a_,1),"МА",""),"MA",""),30)))</f>
        <v/>
      </c>
      <c r="CV126" t="str">
        <f>IF(CS126="","",IFERROR(_xlfn.XLOOKUP(CS126,Линии[_n],Линии[_УЗО, мА]),30))</f>
        <v/>
      </c>
      <c r="CW126">
        <f>IF(CS126="",0,IF(ISNUMBER(SEARCH("4P",IFERROR(_xlfn.XLOOKUP(CS126,Линии[_n],Линии[_УЗО строки])&amp;"",""))),0,1))</f>
        <v>0</v>
      </c>
      <c r="CX126" t="str">
        <f>IF(AND(CS126&lt;&gt;"",CS126=BA126),SUMIFS(Линии[_ток на 230 В],Линии[_блок УЗО],BA126,Линии[Щит],A126),"")</f>
        <v/>
      </c>
      <c r="CY126" t="str">
        <f>IF(AND(CS126&lt;&gt;"",CS126=BA126),SUMIFS(Линии[_ток утечки линии, мА],Линии[_блок УЗО],BA126,Линии[Щит],A126),"")</f>
        <v/>
      </c>
      <c r="CZ126">
        <f t="shared" si="168"/>
        <v>0</v>
      </c>
      <c r="DA126">
        <f t="shared" si="169"/>
        <v>0</v>
      </c>
      <c r="DB126">
        <f>IF(B126="",0,IFERROR(--_xlfn.XLOOKUP(B126,Коды_код,Коды_минавт),IFERROR(--_xlfn.XLOOKUP(BC126,Коды_код,Коды_минавт),IFERROR(--_xlfn.XLOOKUP(LEFT(BC126,2),Коды_код,Коды_минавт),0))))</f>
        <v>0</v>
      </c>
      <c r="DC126" t="str">
        <f>IF(B126="","",IFERROR(_xlfn.XLOOKUP(BC126,Коды_код,Коды_апп)&amp;"",""))</f>
        <v/>
      </c>
      <c r="DD126" t="str">
        <f t="shared" si="170"/>
        <v/>
      </c>
      <c r="DE126" t="str" cm="1">
        <f t="array" ref="DE126">IF(TRIM(DD126&amp;"")="","",IFERROR(TRIM(INDEX(_xlfn.TEXTSPLIT(DD126&amp;";;;",";"),1)),""))</f>
        <v/>
      </c>
      <c r="DF126" t="str" cm="1">
        <f t="array" ref="DF126">IF(TRIM(DD126&amp;"")="","",IFERROR(TRIM(INDEX(_xlfn.TEXTSPLIT(DD126&amp;";;;",";"),2)),""))</f>
        <v/>
      </c>
      <c r="DG126" t="str" cm="1">
        <f t="array" ref="DG126">IF(TRIM(DD126&amp;"")="","",IFERROR(TRIM(INDEX(_xlfn.TEXTSPLIT(DD126&amp;";;;",";"),3)),""))</f>
        <v/>
      </c>
      <c r="DH126">
        <f t="shared" si="171"/>
        <v>0</v>
      </c>
      <c r="DI126" t="str">
        <f>IF(B126="","",_xlfn.LET(_xlpm.t,LOWER(AZ126&amp;""),IF(ISNUMBER(SEARCH("dim",_xlpm.t)),"DIM",IF(ISNUMBER(SEARCH("dali",_xlpm.t)),"DALI",IF(OR(ISNUMBER(SEARCH("relay",_xlpm.t)),ISNUMBER(SEARCH("реле",_xlpm.t))),"Relay",IF(ISNUMBER(SEARCH("кнопк",_xlpm.t)),"",IFERROR(_xlfn.XLOOKUP(BC126,Коды_код,Коды_упр)&amp;"","")))))))</f>
        <v/>
      </c>
      <c r="DJ126" t="str">
        <f t="shared" si="172"/>
        <v/>
      </c>
      <c r="DK126">
        <f>IF(B126="","",_xlfn.LET(_xlpm.ig,IF(N(CX126)&gt;0,N(CX126),N(CI126)+IF(AJ126="вручную",0,N(CJ126))),_xlpm.n0,IFERROR(VLOOKUP(_xlpm.ig,Автомат_номиналы,2,TRUE),0),_xlpm.mn,MAX(DB126,IF(AJ126="вручную",0,N(CM126))),MAX(_xlpm.n0,_xlpm.mn,IF(DH126=1,Мин_автомат_БП,0))))</f>
        <v>6</v>
      </c>
      <c r="DL126">
        <f t="shared" si="173"/>
        <v>1</v>
      </c>
      <c r="DM126" t="str">
        <f t="shared" si="174"/>
        <v>1P</v>
      </c>
      <c r="DN126" t="str">
        <f>_xlfn.LET(_xlpm.cc,UPPER(TRIM(IFERROR(_xlfn.XLOOKUP(BC126,Коды_код,Коды_хар)&amp;"",""))),IF(OR(_xlpm.cc="B",_xlpm.cc="В"),"B",IF(_xlpm.cc="D","D","С")))</f>
        <v>С</v>
      </c>
      <c r="DO126" t="str">
        <f t="shared" si="175"/>
        <v>1P С6А</v>
      </c>
      <c r="DP126">
        <f t="shared" si="176"/>
        <v>10</v>
      </c>
      <c r="DQ126" t="str">
        <f t="shared" si="177"/>
        <v>1P С10А</v>
      </c>
      <c r="DR126" cm="1">
        <f t="array" ref="DR126">IF(DQ126="","",_xlfn.LET(_xlpm.t,SUBSTITUTE(SUBSTITUTE(SUBSTITUTE(UPPER(DQ126),"С","C"),"А","A"),"В","B"),_xlpm.tk,_xlfn.TEXTSPLIT(_xlpm.t," "),_xlpm.f,_xlfn._xlws.FILTER(_xlpm.tk,ISNUMBER(--MID(_xlpm.tk,2,1))*ISNUMBER(SEARCH(LEFT(_xlpm.tk,1)&amp;"#","B#C#D#"))*(LEN(_xlpm.tk)&gt;1),""),_xlpm.x,INDEX(_xlpm.f,1),IFERROR(--SUBSTITUTE(MID(_xlpm.x,2,9),"A",""),IFERROR(--SUBSTITUTE(INDEX(_xlfn._xlws.FILTER(_xlpm.tk,ISNUMBER(--SUBSTITUTE(_xlpm.tk,"A","")),""),1),"A",""),""))))</f>
        <v>10</v>
      </c>
      <c r="DS126" t="str">
        <f t="shared" si="178"/>
        <v>ok</v>
      </c>
      <c r="DT126">
        <f t="shared" si="179"/>
        <v>10</v>
      </c>
      <c r="DU126" t="str">
        <f t="shared" si="180"/>
        <v>1P С10А</v>
      </c>
      <c r="DV126">
        <f t="shared" si="181"/>
        <v>0</v>
      </c>
      <c r="DW126">
        <f t="shared" si="182"/>
        <v>0</v>
      </c>
      <c r="DX126">
        <f t="shared" si="183"/>
        <v>0</v>
      </c>
      <c r="DY126">
        <f t="shared" si="184"/>
        <v>0.88767603887904944</v>
      </c>
      <c r="DZ126">
        <f t="shared" si="185"/>
        <v>1</v>
      </c>
      <c r="EA126">
        <f>IF(ISNUMBER(AP126),AP126,К_прокл)</f>
        <v>1</v>
      </c>
      <c r="EB126">
        <f t="shared" si="186"/>
        <v>2</v>
      </c>
      <c r="EC126">
        <f>IFERROR(N(VLOOKUP(BZ126,Кабель_обозначение,3,FALSE)),1)</f>
        <v>1</v>
      </c>
      <c r="ED126">
        <f>IFERROR(N(_xlfn.XLOOKUP(A126,Щиты[Щит],Щиты[ΔU до шин, %])),0)</f>
        <v>0.24000000000000002</v>
      </c>
      <c r="EE126" t="str">
        <f>IFERROR(_xlfn.XLOOKUP(A126,Щиты[Щит],Щиты[Zпетли на шинах, Ом]),"")</f>
        <v/>
      </c>
      <c r="EF126">
        <f>IFERROR(N(_xlfn.XLOOKUP(A126,Щиты[Щит],Щиты[ΔU до шин (подбор), %])),0)</f>
        <v>0.36</v>
      </c>
      <c r="EG126" t="str">
        <f>IFERROR(_xlfn.XLOOKUP(A126,Щиты[Щит],Щиты[Zпетли на шинах (подбор), Ом]),"")</f>
        <v/>
      </c>
      <c r="EH126" t="str">
        <f t="shared" si="187"/>
        <v/>
      </c>
      <c r="EI126">
        <f t="shared" si="188"/>
        <v>70</v>
      </c>
      <c r="EJ126">
        <f t="shared" si="189"/>
        <v>2</v>
      </c>
      <c r="EK126">
        <f t="shared" si="190"/>
        <v>0.6</v>
      </c>
      <c r="EL126" s="6">
        <f>IF(B126="","",IF(BV126=1,dU_LED,IF(IFERROR(_xlfn.XLOOKUP(BC126,Коды_код,Коды_уго),"")="Светильник",3,4)+IF(Методика="нормы 2026",MIN(0.5,MAX(0,N(P126)-100)*0.005),0)))</f>
        <v>4</v>
      </c>
      <c r="EM126" cm="1">
        <f t="array" ref="EM126">IF(OR(B126="",BZ126="",EC126&lt;&gt;1),"",_xlfn.LET(_xlpm.sz,Iдоп_S,_xlpm.t_,CHOOSE(EB126,Iдоп_1ж,Iдоп_2ж,Iдоп_3ж)*DZ126*EA126,_xlpm.dcx,BV126=1,_xlpm.inn,IF(_xlpm.dcx,N(O126),N(DT126)),_xlpm.smin,MAX(1.5,CC126),_xlpm.L_,N(P126)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126)/N(BU126)*100,999),IFERROR(N(EJ126)*(_xlpm.rho*_xlpm.L_/_xlpm.sz*N(CE126)+_xlpm.xx*_xlpm.L_*N(EK126)/1000)*N(O126)/((Uн_лин/SQRT(3))*1000)*100,999)),_xlpm.kz,IF(OR(_xlpm.dcx,DW126=1,NOT(ISNUMBER(EG126)),_xlpm.L_=0,_xlpm.inn=0),1,IFERROR(--(c_min*(Uн_лин*1000/SQRT(3))/(EG126+2*ρкз_Cu*_xlpm.L_/_xlpm.sz)&gt;=HT126*_xlpm.inn),0)),_xlpm.ok,IFERROR((_xlpm.sz&gt;=_xlpm.smin)*(_xlpm.t_&gt;=_xlpm.inn)*IF(_xlpm.L_&gt;0,(_xlpm.du_+IF(_xlpm.dcx,0,EF126)&lt;=EL126+0.00001),1)*_xlpm.kz,0),_xlpm.r_,_xlfn._xlws.FILTER(_xlpm.sz,_xlpm.ok,"не подобрано"),INDEX(_xlpm.r_,1)))</f>
        <v>1.5</v>
      </c>
      <c r="EN126">
        <f t="shared" si="191"/>
        <v>1.5</v>
      </c>
      <c r="EO126" cm="1">
        <f t="array" ref="EO126">IF(OR(B126="",BZ126="",EC126&lt;&gt;1),"",_xlfn.LET(_xlpm.sz,Iдоп_S,_xlpm.t_,CHOOSE(EB126,Iдоп_1ж,Iдоп_2ж,Iдоп_3ж)*DZ126*EA126,_xlpm.ok,IFERROR((_xlpm.sz&gt;=MAX(1.5,CC126))*(_xlpm.t_&gt;=N(DT126)),0),_xlpm.r_,_xlfn._xlws.FILTER(_xlpm.sz,_xlpm.ok,""),INDEX(_xlpm.r_,1)))</f>
        <v>1.5</v>
      </c>
      <c r="EP126" s="6" cm="1">
        <f t="array" ref="EP126">IFERROR(ROUNDUP(N(EJ126)*(_xlfn.XLOOKUP(EO126,INDEX(Кабель_сопротивление,0,1),INDEX(Кабель_сопротивление,0,3))*N(P126)/EO126*N(CE126)+_xlfn.XLOOKUP(EO126,INDEX(Кабель_сопротивление,0,1),INDEX(Кабель_сопротивление,0,2))*N(P126)*N(EK126)/1000)*N(O126)/((Uн_лин/SQRT(3))*1000)*100,2),"")</f>
        <v>0.67</v>
      </c>
      <c r="EQ126">
        <f>IFERROR(2*ρкз_Cu*N(P126)/EO126,"")</f>
        <v>2.5247999999999999</v>
      </c>
      <c r="ER126">
        <f>IFERROR(VLOOKUP(EN126,Кабель_сопротивление,3,FALSE),"")</f>
        <v>2.2499999999999999E-2</v>
      </c>
      <c r="ES126">
        <f>IFERROR(VLOOKUP(EN126,Кабель_сопротивление,2,FALSE),"")</f>
        <v>0.11</v>
      </c>
      <c r="ET126">
        <f t="shared" si="192"/>
        <v>14</v>
      </c>
      <c r="EU126">
        <f t="shared" si="193"/>
        <v>0</v>
      </c>
      <c r="EV126">
        <f t="shared" si="194"/>
        <v>1.5423406682565037</v>
      </c>
      <c r="EW126" s="6">
        <f>IFERROR(ROUNDUP(EV126/IF(BV126=1,BU126,(Uн_лин/SQRT(3))*1000)*100,2),"")</f>
        <v>0.67</v>
      </c>
      <c r="EX126" t="str">
        <f>IFERROR(VLOOKUP(BZ126,Кабель_обозначение,2,FALSE),"")</f>
        <v>ВВГнг(А)-LS</v>
      </c>
      <c r="EY126" t="str">
        <f t="shared" si="195"/>
        <v>ВВГнг(А)-LS (3х1,5)</v>
      </c>
      <c r="EZ126" t="str">
        <f t="shared" si="196"/>
        <v>ВВГнг(А)-LS (3х1,5)
L=72-0,67%</v>
      </c>
      <c r="FA126">
        <f>IFERROR(2*ρкз_Cu*P126/EN126,"")</f>
        <v>2.5247999999999999</v>
      </c>
      <c r="FB126">
        <f t="shared" si="197"/>
        <v>0.84000000000000019</v>
      </c>
      <c r="FC126" s="6" t="str">
        <f>IFERROR(IF(OR(B126="",BV126=1,NOT(ISNUMBER(EN126)),N(P126)=0),"",_xlfn.XLOOKUP(A126,Щиты[Щит],Щиты[Zпетли на шинах, Ом])+FA126),"")</f>
        <v/>
      </c>
      <c r="FD126" s="6" t="str">
        <f>IF(ISNUMBER(FC126),c_min*(Uн_лин*1000/SQRT(3))/FC126,"")</f>
        <v/>
      </c>
      <c r="FE126" s="6" t="str">
        <f>IFERROR(IF(OR(B126="",NOT(ISNUMBER(EN126))),"",1.05*(Uн_лин*1000/SQRT(3))/(_xlfn.XLOOKUP(A126,Щиты[Щит],Щиты[Zmax на шинах, Ом])+FB126)/1000),"")</f>
        <v/>
      </c>
      <c r="FF126" s="6" t="str">
        <f>IF(B126="","",IF(ISNUMBER(AC126),"Сил",IF(IFERROR(_xlfn.XLOOKUP(BC126,Коды_код,Коды_группа)&amp;"","")="","Быт",_xlfn.XLOOKUP(BC126,Коды_код,Коды_группа)&amp;"")))</f>
        <v>Сил</v>
      </c>
      <c r="FG126" s="6" t="str">
        <f t="shared" si="198"/>
        <v>Сил</v>
      </c>
      <c r="FH126" s="6">
        <f>IF(FG126="Щит","щит",IF(FG126="","",IF(FG126="Быт",IFERROR(_xlfn.XLOOKUP(A126,Щиты[Щит],Щиты[Кс быт]),1),IF(FG126="Сил",IF(ISNUMBER(AC126),AC126,IF(Методика="нормы 2026",IFERROR(_xlfn.XLOOKUP(A126,Щиты[Щит],Щиты[Кс силовых (табл. 7.5)]),1),1)),IF(OR(FG126="Пост",FG126="Отоп"),1,IF(FG126="ВНГ",0.7,0))))))</f>
        <v>0.5</v>
      </c>
      <c r="FI126">
        <f>IF(FG126="","",IF(AND(BP126=1,TRIM(AE126&amp;"")=""),IF(COUNTIFS(Линии[Щит],A126,Линии[Секция (1/2/3)],"&gt;=2")&gt;0,MIN(3,MAX(1,IFERROR(--BD126,1))),1),IFERROR(MIN(3,MAX(1,INT(--AE126))),1)))</f>
        <v>1</v>
      </c>
      <c r="FJ126">
        <f t="shared" si="199"/>
        <v>0.16400000000000001</v>
      </c>
      <c r="FK126">
        <f t="shared" si="200"/>
        <v>0</v>
      </c>
      <c r="FL126">
        <f t="shared" si="201"/>
        <v>8.2000000000000003E-2</v>
      </c>
      <c r="FM126">
        <f t="shared" si="202"/>
        <v>0</v>
      </c>
      <c r="FN126">
        <f t="shared" si="203"/>
        <v>0</v>
      </c>
      <c r="FO126">
        <f t="shared" si="204"/>
        <v>0</v>
      </c>
      <c r="FP126">
        <f t="shared" si="205"/>
        <v>0.16400000000000001</v>
      </c>
      <c r="FQ126">
        <f t="shared" si="206"/>
        <v>0.16400000000000001</v>
      </c>
      <c r="FR126">
        <f t="shared" si="207"/>
        <v>0.13120000000000001</v>
      </c>
      <c r="FS126">
        <f>IF(CG126=1,IF(AND(CH126=1,CW126=1),0,IF(AND(CS126&lt;&gt;"",CS126=BA126,CW126=1),SUMIFS(Линии[_Р линии, кВт],Линии[_блок УЗО],BA126,Линии[Щит],A126),N(BS126)+IF(AJ126="вручную",0,N(CK126)))),0)</f>
        <v>0.16400000000000001</v>
      </c>
      <c r="FT126" t="str">
        <f t="shared" si="208"/>
        <v/>
      </c>
      <c r="FU126" t="str">
        <f>IF(B126="","",IF(CG126=0,IF(BA126=1,"",FW125),IF(AND(CH126=1,CW126=1,CS126&lt;&gt;""),IFERROR(_xlfn.XLOOKUP(CS126,Линии[_n],Линии[_фаза итог]),"L1"),IF(OR(N(DL126)&gt;=3,N(BX126)&gt;=3),"L1,L2,L3",IFERROR(_xlfn.TEXTBEFORE(_xlfn.TEXTAFTER(_xlfn.XLOOKUP(A126,Щиты[Щит],Щиты[_фазы авто]),";"&amp;BA126&amp;":"),";"),"L1")))))</f>
        <v>L2</v>
      </c>
      <c r="FV126" t="str">
        <f t="shared" si="209"/>
        <v>L2</v>
      </c>
      <c r="FW126" t="str">
        <f t="shared" si="210"/>
        <v>L2</v>
      </c>
      <c r="FX126" cm="1">
        <f t="array" ref="FX126">IFERROR(IF(CD126=2,_xlfn.IFS(BX126=3,VLOOKUP(BS126,Справочная_двигатели,3,FALSE),BX126=1,VLOOKUP(BS126,Справочная_двигатели,5,TRUE)),0),0)</f>
        <v>0</v>
      </c>
      <c r="FY126">
        <f>IFERROR(IF(CD126=3,VLOOKUP(BS126,Справочная_ЛЭД,2,TRUE),0),0)</f>
        <v>0</v>
      </c>
      <c r="FZ126" s="6">
        <f t="shared" si="211"/>
        <v>0</v>
      </c>
      <c r="GA126" t="str">
        <f>IF(B126="","",IF(TRIM(AH126&amp;"")&lt;&gt;"",IF(LOWER(TRIM(AH126&amp;""))="да","да","нет"),IF(IFERROR(_xlfn.XLOOKUP(BC126,Коды_код,Коды_пожарная),"")="да","да","нет")))</f>
        <v>нет</v>
      </c>
      <c r="GB126" t="str">
        <f t="shared" si="212"/>
        <v/>
      </c>
      <c r="GC126" t="str">
        <f t="shared" si="213"/>
        <v>основная</v>
      </c>
      <c r="GD126">
        <f>IF(AND(BP126=1,TRIM(AE126&amp;"")=""),IF(COUNTIFS(Линии[Щит],A126,Линии[Секция (1/2/3)],"&gt;=2")&gt;0,MIN(3,MAX(1,IFERROR(--BD126,1))),1),IFERROR(MIN(3,MAX(1,INT(--AE126))),1))</f>
        <v>1</v>
      </c>
      <c r="GE126" t="str" cm="1">
        <f t="array" ref="GE126">IF(B126="","",_xlfn.LET(_xlpm.t,IFERROR(_xlfn.XLOOKUP(1,(Шины[Шина]=GC126)*(((Шины[Щит]=A126)+(Шины[Щит]=""))&gt;0),Шины[Тип]),"")&amp;"",IF(_xlpm.t&lt;&gt;"",_xlpm.t,IF(ISNUMBER(SEARCH("ИБП",GC126)),"ИБП",IF(ISNUMBER(SEARCH("ДГУ",GC126)),"ДГУ","Ввод "&amp;GD126)))))</f>
        <v>Ввод 1</v>
      </c>
      <c r="GF126" t="str">
        <f t="shared" si="214"/>
        <v>Ввод 1</v>
      </c>
      <c r="GG126" t="str">
        <f>IF(BP126=0,"",IF(TRIM(AG126&amp;"")&lt;&gt;"",TRIM(AG126&amp;""),IF(OR(GE126="ИБП",GE126="ДГУ"),"I особая",_xlfn.XLOOKUP(A126,Щиты[Щит],Щиты[Категория шины «Ввод»],"III"))))</f>
        <v/>
      </c>
      <c r="GH126" t="str">
        <f>IF(A126="","",_xlfn.XLOOKUP(A126,Щиты[Щит],Щиты[Путь],""))</f>
        <v>|ГРЩ-ЖД|ЩОВ-01|</v>
      </c>
      <c r="GI126" t="str">
        <f>IF(B126="","",IF(AI126&lt;&gt;"",AI126,IF(IFERROR(_xlfn.XLOOKUP(BC126,Коды_код,Коды_вид)&amp;"","")="","Прочее",_xlfn.XLOOKUP(BC126,Коды_код,Коды_вид)&amp;"")))</f>
        <v>Кондиционирование и увлажнение</v>
      </c>
      <c r="GJ126">
        <f>IF(BM126="","",INT((BM126-1)/Столбцов_на_лист)+1)</f>
        <v>3</v>
      </c>
      <c r="GK126" t="str">
        <f t="shared" si="215"/>
        <v>ВВГнг(А)-LS (3х1,5) L=72-0,67%</v>
      </c>
      <c r="GL126">
        <f t="shared" si="216"/>
        <v>0.16400000000000001</v>
      </c>
      <c r="GM126">
        <f t="shared" si="217"/>
        <v>0.89</v>
      </c>
      <c r="GN126">
        <f t="shared" si="218"/>
        <v>1</v>
      </c>
      <c r="GO126">
        <f t="shared" si="219"/>
        <v>0</v>
      </c>
      <c r="GP126">
        <f t="shared" si="220"/>
        <v>1</v>
      </c>
      <c r="GQ126">
        <f>IF(BM126="","",IF(AND(CG126=1,GP126=1),COUNTIFS(A$3:A126,A126,CG$3:CG126,1,GP$3:GP126,1),IF(OR(OR(BA126=1,A126&lt;&gt;A125),AJ126="вручную",GP126=0),"",IF(BA126=1,"",GR125))))</f>
        <v>24</v>
      </c>
      <c r="GR126">
        <f t="shared" si="221"/>
        <v>24</v>
      </c>
      <c r="GS126">
        <f>IF(B126="","",IFERROR(LOOKUP(INDEX(CHOOSE(EB126,Iдоп_1ж,Iдоп_2ж,Iдоп_3ж),MATCH(EN126,Iдоп_S,0))*DZ126*EA126,{6,10,16,20,25,32,40,50,63,80,100,125,160,200,250,315,400,500,630}),""))</f>
        <v>16</v>
      </c>
      <c r="GT126" t="str">
        <f t="shared" si="222"/>
        <v>QF24</v>
      </c>
      <c r="GU126" t="str">
        <f t="shared" si="223"/>
        <v>QF24</v>
      </c>
      <c r="GV126" t="str">
        <f t="shared" si="224"/>
        <v/>
      </c>
      <c r="GW126">
        <f t="shared" si="225"/>
        <v>0</v>
      </c>
      <c r="GX126" t="str">
        <f>IF(OR(B126="",DJ126=""),"",IFERROR(_xlfn.XLOOKUP(DJ126,Модули_умолч[Управление],Модули_умолч[Модель])&amp;"",""))</f>
        <v/>
      </c>
      <c r="GY126">
        <f>IF(DJ126="",1,IFERROR(MAX(0,N(_xlfn.XLOOKUP(DJ126,Модули_умолч[Управление],Модули_умолч[Каналов на линию]))),1))</f>
        <v>1</v>
      </c>
      <c r="GZ126" t="str">
        <f t="shared" si="226"/>
        <v/>
      </c>
      <c r="HA126" t="str">
        <f t="shared" si="227"/>
        <v/>
      </c>
      <c r="HB126" t="str">
        <f t="shared" si="228"/>
        <v/>
      </c>
      <c r="HC126">
        <f>IF(HB126="",0,IFERROR(N(VLOOKUP(HB126,Модули_спр,3,FALSE)),0))</f>
        <v>0</v>
      </c>
      <c r="HD126" t="str">
        <f t="shared" si="229"/>
        <v/>
      </c>
      <c r="HE126" t="str">
        <f t="shared" si="230"/>
        <v/>
      </c>
      <c r="HF126" t="str">
        <f>IF(OR(HE126="",HE126="-"),"",IFERROR(VLOOKUP(HE126,Модули_спр,2,FALSE),"R"))</f>
        <v/>
      </c>
      <c r="HG126" t="str">
        <f>IF(HF126="","",HF126&amp;"."&amp;COUNTIFS(A$3:A126,A126,HF$3:HF126,HF126))</f>
        <v/>
      </c>
      <c r="HH126" t="str">
        <f t="shared" si="231"/>
        <v/>
      </c>
      <c r="HI126" t="str">
        <f t="shared" si="232"/>
        <v/>
      </c>
      <c r="HJ126" t="str">
        <f t="shared" si="233"/>
        <v/>
      </c>
      <c r="HK126" t="str">
        <f t="shared" si="234"/>
        <v/>
      </c>
      <c r="HL126">
        <f t="shared" si="235"/>
        <v>1</v>
      </c>
      <c r="HM126" t="str">
        <f>IF(HL126=1,"XT"&amp;COUNTIFS(A$3:A126,A126,HL$3:HL126,1),"")</f>
        <v>XT24</v>
      </c>
      <c r="HN126" t="str">
        <f t="shared" si="236"/>
        <v/>
      </c>
      <c r="HO126" t="str">
        <f t="shared" si="237"/>
        <v>QF24</v>
      </c>
      <c r="HP126" t="str">
        <f t="shared" si="238"/>
        <v/>
      </c>
      <c r="HQ126" t="str">
        <f t="shared" si="239"/>
        <v>ok</v>
      </c>
      <c r="HR126" t="str">
        <f>IF(OR(HJ126="",HH126=""),"",IF(HJ126+MAX(0,GY126-1)&gt;IFERROR(VLOOKUP(HI126,Модули_спр,3,FALSE),99),"ЛИШНИЙ КАНАЛ",IF(AND(AL126&lt;&gt;"=",GY126&gt;0,COUNTIFS(Линии[_модуль гр.],HH126,Линии[Канал (итог)],HJ126,Линии[Канал],"&lt;&gt;=",Линии[Щит],A126)&gt;1),"ДУБЛЬ КАНАЛА","")))</f>
        <v/>
      </c>
      <c r="HS126" s="6" t="str">
        <f t="shared" si="240"/>
        <v/>
      </c>
      <c r="HT126">
        <f t="shared" si="241"/>
        <v>10</v>
      </c>
      <c r="HU126" t="str">
        <f t="shared" si="242"/>
        <v/>
      </c>
      <c r="HV126">
        <f t="shared" si="243"/>
        <v>1.0750704155516198</v>
      </c>
      <c r="HW126">
        <f t="shared" si="244"/>
        <v>0</v>
      </c>
      <c r="HX126">
        <f t="shared" si="245"/>
        <v>0</v>
      </c>
      <c r="HY126">
        <f t="shared" si="246"/>
        <v>0</v>
      </c>
      <c r="HZ126">
        <f t="shared" si="247"/>
        <v>0</v>
      </c>
      <c r="IA126">
        <f t="shared" si="248"/>
        <v>0</v>
      </c>
      <c r="IB126">
        <f t="shared" si="249"/>
        <v>0</v>
      </c>
      <c r="IC126" t="str">
        <f t="shared" si="250"/>
        <v/>
      </c>
      <c r="ID126" t="str" cm="1">
        <f t="array" ref="ID126">IF(IC126="","",_xlfn.LET(_xlpm.tk,_xlfn.TEXTSPLIT(SUBSTITUTE(SUBSTITUTE(IC126,";"," "),"→"," ")," ",,TRUE),_xlpm.w_,_xlfn._xlws.FILTER(_xlpm.tk,ISNUMBER(--LEFT(_xlpm.tk,1))*((ISNUMBER(SEARCH("W",_xlpm.tk))+ISNUMBER(SEARCH("Вт",_xlpm.tk)))&gt;0),""),IFERROR(--SUBSTITUTE(SUBSTITUTE(UPPER(INDEX(_xlpm.w_,1)),"W",""),"ВТ",""),"")))</f>
        <v/>
      </c>
      <c r="IE126" t="str" cm="1">
        <f t="array" ref="IE126">IF(IC126="","",_xlfn.LET(_xlpm.tk,_xlfn.TEXTSPLIT(SUBSTITUTE(SUBSTITUTE(IC126,";"," "),"→"," ")," ",,TRUE),_xlpm.v_,_xlfn._xlws.FILTER(_xlpm.tk,ISNUMBER(--LEFT(_xlpm.tk,1))*((ISNUMBER(SEARCH("V",_xlpm.tk))+(RIGHT(UPPER(_xlpm.tk))="В"))&gt;0),""),IFERROR(--SUBSTITUTE(SUBSTITUTE(UPPER(INDEX(_xlpm.v_,1)),"V",""),"В",""),"")))</f>
        <v/>
      </c>
      <c r="IF126" s="6" t="str">
        <f>IF(OR(BV126=0,HI126="",HJ126=""),"",IFERROR(N(_xlfn.XLOOKUP(HI126,Каталог!$C$4:$C$500,Каталог!$Q$4:$Q$500)),""))</f>
        <v/>
      </c>
      <c r="IG126" s="6" t="str">
        <f>IF(N(IF126)=0,"",SUMIFS(Линии[Iр, А],Линии[Щит],A126,Линии[_модуль гр.],HH126,Линии[Канал (итог)],HJ126))</f>
        <v/>
      </c>
      <c r="IH126" t="str">
        <f>IF(AND(B126="",HO126=""),"",_xlfn.TEXTJOIN("; ",TRUE,IF(AND(B126&lt;&gt;"",FV126=""),"нет фазы",""),IF(AND(B126&lt;&gt;"",N(GL126)=0,FG126&lt;&gt;"Нет"),"нет мощности",""),IF(AND(HN126&lt;&gt;"",COUNTIFS(Линии[Щит],A126,Линии[Клемма (итог)],HN126)&gt;1),"дубль клеммы "&amp;HN126,""),IF(AND(HQ126&lt;&gt;"",HQ126&lt;&gt;"ok"),HQ126,""),IF(HR126&lt;&gt;"",HR126,""),IF(AND(N(CB126)&gt;=4,N(BX126)=1),CB126&amp;" жил на 1 фазе",""),IF(AND(BC126="R",CG126=1,IF(CS126&lt;&gt;"",N(CV126)&gt;30,OR(N(DA126)=0,N(DA126)&gt;30))),"розетка без дифзащиты до 30 мА",""),IF(AND(CG126=1,N(DA126)&gt;0,ISNUMBER(T126)),IF(T126&gt;N(DA126)/3,"ток утечки "&amp;FIXED(T126,1)&amp;" мА &gt; 1/3 уставки ("&amp;DA126&amp;" мА)",""),""),IF(AND(CH126=1,CS126=""),"«узо»: нет строки с УЗО выше (УЗО 2P 40А 30мА в «Аппаратах»)",""),IF(AND(CS126&lt;&gt;"",CS126=BA126),IF(CT126="","впишите номинал УЗО (УЗО 2P 40А 30мА)",IF(N(CT126)&lt;N(DT126),"УЗО "&amp;CT126&amp;" А &lt; автомата "&amp;DT126&amp;" А перед ним",IF(N(CT126)&lt;N(CX126),"УЗО "&amp;CT126&amp;" А &lt; тока блока "&amp;FIXED(CX126,1)&amp;" А",""))),""),IF(AND(CS126&lt;&gt;"",CS126=BA126,ISNUMBER(CY126)),IF(CY126&gt;N(CV126)/3,"ток утечки блока УЗО "&amp;FIXED(CY126,1)&amp;" мА &gt; 1/3 уставки ("&amp;CV126&amp;" мА)",""),""),IF(AND(CG126=1,N(BV126)+N(IB126)&gt;0,IC126=""),"линии до 50 В без БП: впишите в «Аппараты» (БП 24V 480W)",""),IF(AND(CG126=1,ISNUMBER(ID126),ISNUMBER(U126)),IF(U126&gt;ID126,"БП "&amp;ID126&amp;" Вт &lt; нужно "&amp;U126&amp;" Вт (×"&amp;Запас_БП&amp;")",""),""),IF(AND(CG126=1,ISNUMBER(IE126),N(BV126)=1),IF(IE126&lt;&gt;N(BU126),"БП на "&amp;IE126&amp;" В, линия "&amp;BU126&amp;" В",""),""),IF(AND(N(IF126)&gt;0,N(IG126)&gt;N(IF126)),HH126&amp;" канал "&amp;HJ126&amp;": "&amp;FIXED(IG126,1)&amp;" А &gt; "&amp;IF126&amp;" А",""),IFERROR(IF(AND(ISNUMBER(Q126),Q126&gt;EL126),"потери "&amp;FIXED(Q126,1)&amp;" % &gt; "&amp;EL126&amp;" %",""),""),IFERROR(IF(LEFT(HU126,4)="мало","Iкз мало — отключение &gt; 0,4 с",""),""),IF(AND(B126&lt;&gt;"",BM126=""),"не на схеме",""),IF(AND(CG126=0,B126&lt;&gt;"",FV126&lt;&gt;"",IF(BA126=1,"",FW125)&lt;&gt;"",FV126&lt;&gt;IF(BA126=1,"",FW125)),"фаза не как у автомата группы ("&amp;IF(BA126=1,"",FW125)&amp;")","")))</f>
        <v/>
      </c>
      <c r="II126" s="6">
        <f>IF(OR(CG126=0,DQ126=""),"",_xlfn.LET(_xlpm.t,IFERROR(_xlfn.XLOOKUP(DQ126,Каталог!$U$4:$U$500,Каталог!$G$4:$G$500),""),_xlpm.k,SEARCH("кА",_xlpm.t),IFERROR(--TRIM(RIGHT(SUBSTITUTE(MID(_xlpm.t,MAX(1,_xlpm.k-4),_xlpm.k-MAX(1,_xlpm.k-4))," ",REPT(" ",9)),5)),"")))</f>
        <v>6</v>
      </c>
      <c r="IJ126" t="str">
        <f>IF(OR(II126="",CG126=0),"",IF(_xlfn.XLOOKUP(A126,Щиты[Щит],Щиты[Iкз max на шинах, кА],"")="","",IF(II126&lt;_xlfn.XLOOKUP(A126,Щиты[Щит],Щиты[Iкз max на шинах, кА]),"Icu "&amp;II126&amp;" кА &lt; Iкз max","ok")))</f>
        <v/>
      </c>
      <c r="IK126" t="str">
        <f t="shared" si="251"/>
        <v/>
      </c>
      <c r="IL126" t="str">
        <f t="shared" si="252"/>
        <v>QF24</v>
      </c>
      <c r="IM126" t="str">
        <f t="shared" si="253"/>
        <v>QF24|кабель ВВГнг(А)-LS (3х1,5) → Внутренний блок кондиционирования первый этаж Пом. №002Б</v>
      </c>
      <c r="IN126" t="str" cm="1">
        <f t="array" ref="IN126">IF(IM126="","",_xlfn.LET(_xlpm.nd,_xlfn.TEXTSPLIT(IM126,"|"),IF(COLUMNS(_xlpm.nd)&gt;1,A126&amp;"¦"&amp;INDEX(_xlpm.nd,1)&amp;"¦"&amp;INDEX(_xlpm.nd,2),"")))</f>
        <v>ЩОВ-01¦QF24¦кабель ВВГнг(А)-LS (3х1,5) → Внутренний блок кондиционирования первый этаж Пом. №002Б</v>
      </c>
      <c r="IO126" t="str">
        <f t="shared" si="254"/>
        <v>K.1.011A¦Внутренний блок кондиционирования первый этаж Пом. №002Б</v>
      </c>
      <c r="IP126" t="str" cm="1">
        <f t="array" ref="IP126">IF(IM126="","",_xlfn.LET(_xlpm.nd,_xlfn.TEXTSPLIT(IM126,"|"),IF(COLUMNS(_xlpm.nd)&gt;2,A126&amp;"¦"&amp;INDEX(_xlpm.nd,2)&amp;"¦"&amp;INDEX(_xlpm.nd,3),"")))</f>
        <v/>
      </c>
      <c r="IQ126" t="str">
        <f t="shared" si="255"/>
        <v/>
      </c>
      <c r="IR126" t="str" cm="1">
        <f t="array" ref="IR126">IF(IM126="","",_xlfn.LET(_xlpm.nd,_xlfn.TEXTSPLIT(IM126,"|"),IF(COLUMNS(_xlpm.nd)&gt;3,A126&amp;"¦"&amp;INDEX(_xlpm.nd,3)&amp;"¦"&amp;INDEX(_xlpm.nd,4),"")))</f>
        <v/>
      </c>
      <c r="IS126" t="str">
        <f t="shared" si="256"/>
        <v/>
      </c>
      <c r="IT126" t="str" cm="1">
        <f t="array" ref="IT126">IF(IM126="","",_xlfn.LET(_xlpm.nd,_xlfn.TEXTSPLIT(IM126,"|"),IF(COLUMNS(_xlpm.nd)&gt;4,A126&amp;"¦"&amp;INDEX(_xlpm.nd,4)&amp;"¦"&amp;INDEX(_xlpm.nd,5),"")))</f>
        <v/>
      </c>
      <c r="IU126" t="str">
        <f t="shared" si="257"/>
        <v/>
      </c>
      <c r="IV126" t="str" cm="1">
        <f t="array" ref="IV126">IF(IM126="","",_xlfn.LET(_xlpm.nd,_xlfn.TEXTSPLIT(IM126,"|"),IF(COLUMNS(_xlpm.nd)&gt;5,A126&amp;"¦"&amp;INDEX(_xlpm.nd,5)&amp;"¦"&amp;INDEX(_xlpm.nd,6),"")))</f>
        <v/>
      </c>
      <c r="IW126" t="str">
        <f t="shared" si="258"/>
        <v/>
      </c>
      <c r="IX126" t="str" cm="1">
        <f t="array" ref="IX126">IF(IM126="","",_xlfn.LET(_xlpm.nd,_xlfn.TEXTSPLIT(IM126,"|"),IF(COLUMNS(_xlpm.nd)&gt;6,A126&amp;"¦"&amp;INDEX(_xlpm.nd,6)&amp;"¦"&amp;INDEX(_xlpm.nd,7),"")))</f>
        <v/>
      </c>
      <c r="IY126" t="str">
        <f t="shared" si="259"/>
        <v/>
      </c>
      <c r="IZ126" t="str">
        <f t="shared" si="260"/>
        <v/>
      </c>
      <c r="JA126" t="str">
        <f t="shared" si="261"/>
        <v>QF24</v>
      </c>
      <c r="JB126">
        <f t="shared" si="262"/>
        <v>0</v>
      </c>
      <c r="JC126">
        <f t="shared" si="263"/>
        <v>0</v>
      </c>
      <c r="JD126" t="str">
        <f t="shared" si="264"/>
        <v/>
      </c>
      <c r="JE126" t="str">
        <f t="shared" si="265"/>
        <v/>
      </c>
      <c r="JF126" t="str">
        <f t="shared" si="266"/>
        <v/>
      </c>
      <c r="JG126" t="str">
        <f t="shared" si="267"/>
        <v/>
      </c>
      <c r="JH126">
        <f>IF(B126="","",IFERROR(_xlfn.XLOOKUP(B126,Коды_код,Коды_уго),IFERROR(_xlfn.XLOOKUP(BC126,Коды_код,Коды_уго),IFERROR(_xlfn.XLOOKUP(LEFT(BC126,2),Коды_код,Коды_уго),""))))</f>
        <v>0</v>
      </c>
      <c r="JI126" t="str">
        <f>IF(B126="","",IF(OR(JH126="",JH126=0),"BOX",IFERROR(IF(VLOOKUP(JH126,УГО_блоки,3,FALSE)&amp;""&lt;&gt;"",VLOOKUP(JH126,УГО_блоки,3,FALSE),VLOOKUP(JH126,УГО_блоки,2,FALSE)),JH126)))</f>
        <v>BOX</v>
      </c>
      <c r="JJ126">
        <f t="shared" si="268"/>
        <v>1</v>
      </c>
      <c r="JK126" t="str">
        <f>IF(DQ126="","",IF(COUNTIF(DQ$3:DQ126,DQ126)=1,MAX(JK$2:JK125)+1,""))</f>
        <v/>
      </c>
      <c r="JL126" t="str">
        <f>IF(DE126="","",IF(COUNTIF(DE$3:DE126,DE126)+COUNTIF(DF$2:DF125,DE126)+COUNTIF(DG$2:DG125,DE126)=1,MAX(JL$2:JN125)+1,""))</f>
        <v/>
      </c>
      <c r="JM126" t="str">
        <f>IF(DF126="","",IF(COUNTIF(DE$3:DE126,DF126)+COUNTIF(DF$3:DF126,DF126)+COUNTIF(DG$2:DG125,DF126)=1,MAX(JL$2:JN125,JL126)+1,""))</f>
        <v/>
      </c>
      <c r="JN126" t="str">
        <f>IF(DG126="","",IF(COUNTIF(DE$3:DE126,DG126)+COUNTIF(DF$3:DF126,DG126)+COUNTIF(DG$3:DG126,DG126)=1,MAX(JL$2:JN125,JL126,JM126)+1,""))</f>
        <v/>
      </c>
      <c r="JO126" t="str">
        <f t="shared" si="269"/>
        <v>3х1,5</v>
      </c>
      <c r="JP126" t="str">
        <f>IF(JO126="","",IF(COUNTIF(JO$3:JO126,JO126)=1,MAX(JP$2:JP125)+1,""))</f>
        <v/>
      </c>
      <c r="JQ126" t="str">
        <f>IF(HG126="","",COUNTIF(HG$3:HG126,"?*"))</f>
        <v/>
      </c>
      <c r="JR126" t="str">
        <f>IF(OR(HG126="",HI126=""),"",IF(COUNTIFS(HG$3:HG126,"?*",HI$3:HI126,HI126)=1,MAX(JR$2:JR125)+1,""))</f>
        <v/>
      </c>
      <c r="JS126">
        <f t="shared" si="270"/>
        <v>0</v>
      </c>
      <c r="JT126">
        <f>IF(B126="","",COUNTIF(B$3:B126,"?*"))</f>
        <v>124</v>
      </c>
      <c r="JU126">
        <f>IF(HL126&lt;&gt;1,0,_xlfn.LET(_xlpm.k,MAX(IFERROR(--_xlfn.XLOOKUP(B126,Коды_код,Коды_3L),0),IFERROR(--_xlfn.XLOOKUP(BC126,Коды_код,Коды_3L),0),IFERROR(--_xlfn.XLOOKUP(LEFT(BC126,2),Коды_код,Коды_3L),0)),IF(_xlpm.k&gt;0,_xlpm.k,IF(IFERROR(--LEFT(SUBSTITUTE(JO126,"x","х"),FIND("х",SUBSTITUTE(JO126,"x","х"))-1),3)&gt;3,Каталог!$S$9,1))))</f>
        <v>1</v>
      </c>
      <c r="JV126">
        <f t="shared" si="271"/>
        <v>0</v>
      </c>
      <c r="JW126" t="str">
        <f t="shared" si="272"/>
        <v>авто</v>
      </c>
      <c r="JX126" t="str">
        <f t="shared" si="273"/>
        <v/>
      </c>
      <c r="JY126">
        <f t="shared" si="274"/>
        <v>0</v>
      </c>
      <c r="JZ126">
        <f t="shared" si="275"/>
        <v>1</v>
      </c>
    </row>
    <row r="127" spans="1:286" x14ac:dyDescent="0.3">
      <c r="A127" t="s">
        <v>745</v>
      </c>
      <c r="B127" t="s">
        <v>1437</v>
      </c>
      <c r="C127" t="s">
        <v>1681</v>
      </c>
      <c r="D127">
        <v>1</v>
      </c>
      <c r="E127">
        <v>0.36</v>
      </c>
      <c r="G127">
        <v>10</v>
      </c>
      <c r="H127" t="str">
        <f>Линии[[#This Row],[_авто управление]]</f>
        <v/>
      </c>
      <c r="I127" t="str">
        <f>Линии[[#This Row],[_авто аппараты]]</f>
        <v/>
      </c>
      <c r="J127">
        <v>1.5</v>
      </c>
      <c r="K127">
        <v>68</v>
      </c>
      <c r="L127" t="str">
        <f>Линии[[#This Row],[_авто фаза]]</f>
        <v>L1</v>
      </c>
      <c r="M127" t="s">
        <v>484</v>
      </c>
      <c r="N127" t="str">
        <f t="shared" si="138"/>
        <v/>
      </c>
      <c r="O127" s="6" cm="1">
        <f t="array" ref="O127">IF(B127="","",IF(BH127&lt;&gt;"",IFERROR(_xlfn.XLOOKUP(BH127,Щиты[Щит],Щиты[Iр, А]),""),IF(BP127=1,IF(OR(N(_xlfn.XLOOKUP(A127,Щиты[Щит],Щиты[Вводов],1))&lt;=1,LOWER(TRIM(_xlfn.XLOOKUP(A127,Щиты[Щит],Щиты[АВР],"")&amp;""))="да"),IFERROR(_xlfn.XLOOKUP(A127,Щиты[Щит],Щиты[Iр, А]),""),IFERROR(N(BS127)*_xlfn.XLOOKUP(A127,Щиты[Щит],Щиты[Кс итог])/(SQRT(3)*Uн_лин*_xlfn.XLOOKUP(A127,Щиты[Щит],Щиты[cos φ])),"")),IF(BV127=1,IFERROR(BS127*1000/BU127,""),IFERROR(_xlfn.IFS(BX127=1,BS127/((Uн_лин/SQRT(3))*CE127),BX127=3,BS127/(SQRT(3)*Uн_лин*CE127)),"")))))</f>
        <v>1.9485571585149866</v>
      </c>
      <c r="P127" s="7">
        <f>IF(B127="","",IFERROR(IF(VLOOKUP(BC127,Потребители_обозначение,4,FALSE)=1,VLOOKUP(BC127,Потребители_обозначение,3,FALSE)*(MAX(1,N(D127))*2-1)+EI127+VLOOKUP(BE127,Этаж_обозначение,3,FALSE)+VLOOKUP(BE127,Этаж_обозначение,4,FALSE),VLOOKUP(BC127,Потребители_обозначение,3,FALSE)*(MAX(1,N(D127))*2-1)+EI127),EI127))</f>
        <v>70</v>
      </c>
      <c r="Q127" s="6">
        <f t="shared" si="139"/>
        <v>1.67</v>
      </c>
      <c r="R127" t="str">
        <f t="shared" si="140"/>
        <v>ВВГнг(А)-LS (3х1,5)</v>
      </c>
      <c r="S127" t="str">
        <f>IF(BM127="","",IF(BN127="вводной узел","узел ","")&amp;"л."&amp;(INT((BM127-1)/Столбцов_на_лист)+1)&amp;" / "&amp;(MOD(BM127-1,Столбцов_на_лист)+1))</f>
        <v>л.3 / 7</v>
      </c>
      <c r="T127" s="119">
        <f t="shared" si="141"/>
        <v>1.5</v>
      </c>
      <c r="U127" s="7" t="str">
        <f>IF(OR(CG127=0,N(BV127)+N(IB127)=0),"",ROUNDUP(Запас_БП*(N(HY127)+N(HZ127)),0))</f>
        <v/>
      </c>
      <c r="V127" s="119" t="str">
        <f t="shared" si="142"/>
        <v/>
      </c>
      <c r="W127" s="7" t="str">
        <f>IFERROR(IF(OR(B127="",BP127=1,BV127=1,NOT(ISNUMBER(EN127)),N(DT127)=0),"",MAX(0,ROUNDDOWN((c_min*(Uн_лин*1000/SQRT(3))/(HT127*N(DT127))-_xlfn.XLOOKUP(A127,Щиты[Щит],Щиты[Zпетли на шинах, Ом]))*EN127/(2*ρкз_Cu),0))),"")</f>
        <v/>
      </c>
      <c r="Y127" t="str">
        <f>Линии[[#This Row],[_авто утечка]]</f>
        <v/>
      </c>
      <c r="Z127">
        <v>1</v>
      </c>
      <c r="AA127">
        <v>230</v>
      </c>
      <c r="AB127" t="s">
        <v>598</v>
      </c>
      <c r="AC127">
        <v>0.5</v>
      </c>
      <c r="AG127" t="s">
        <v>810</v>
      </c>
      <c r="AI127" t="s">
        <v>576</v>
      </c>
      <c r="AK127" t="str">
        <f>Линии[[#This Row],[_авто модуль]]</f>
        <v/>
      </c>
      <c r="AM127">
        <v>41</v>
      </c>
      <c r="AN127" t="s">
        <v>11</v>
      </c>
      <c r="AO127">
        <v>3</v>
      </c>
      <c r="AQ127">
        <v>58</v>
      </c>
      <c r="AR127">
        <v>12</v>
      </c>
      <c r="AT127">
        <v>1</v>
      </c>
      <c r="BA127" cm="1">
        <f t="array" ref="BA127">ROW()-ROW(Линии[#Headers])</f>
        <v>125</v>
      </c>
      <c r="BC127" s="6" t="str">
        <f t="shared" si="143"/>
        <v>K</v>
      </c>
      <c r="BD127" t="str">
        <f t="shared" si="144"/>
        <v>1.014A</v>
      </c>
      <c r="BE127" t="str">
        <f t="shared" si="145"/>
        <v>1</v>
      </c>
      <c r="BF127" t="str">
        <f t="shared" si="146"/>
        <v>014A</v>
      </c>
      <c r="BG127" t="str">
        <f t="shared" si="147"/>
        <v>014A</v>
      </c>
      <c r="BH127" t="str">
        <f>IF(X127&lt;&gt;"",X127,IF(AND(B127&lt;&gt;"",B127&lt;&gt;A127,ISNUMBER(_xlfn.XMATCH(B127,Щиты[Щит]))),B127,""))</f>
        <v/>
      </c>
      <c r="BI127" t="str" cm="1">
        <f t="array" ref="BI127">IF(B127="","",IF(BH127&lt;&gt;"","Щит "&amp;BH127,_xlfn.LET(_xlpm.nm,IFERROR(_xlfn.XLOOKUP(BC127,Коды_код,Коды_имя)&amp;"",""),_xlpm.md,IFERROR(N(_xlfn.XLOOKUP(BC127,Коды_код,Коды_режим)),1),_xlpm.ex,IF(Имя_режим="по экспликации",IFERROR(_xlfn.XLOOKUP(BE127&amp;"|"&amp;BG127,Экспликация[Этаж]&amp;"|"&amp;Экспликация[Помещение],Экспликация[Название])&amp;"",""),""),_xlpm.rm,IF(BG127="","",IF(_xlpm.ex&lt;&gt;"",". "&amp;_xlpm.ex&amp;IF(Имя_пом="нет"," ("&amp;BG127&amp;")"," (пом. "&amp;BG127&amp;")"),IF(Имя_пом="нет"," ",", пом. ")&amp;BG127)),IF(_xlpm.nm="","",IF(_xlpm.md=2,_xlpm.nm&amp;" шлейф "&amp;BE127,_xlpm.nm&amp;_xlpm.rm)))))</f>
        <v>Внутренний блок кондиционирования, пом. 014A</v>
      </c>
      <c r="BJ127" t="str">
        <f t="shared" si="148"/>
        <v>Внутренний блок кондиционирования первый этаж Пом. №002Б</v>
      </c>
      <c r="BK127">
        <f>IFERROR(_xlfn.XMATCH(A127,Щиты[Щит]),0)</f>
        <v>6</v>
      </c>
      <c r="BL127">
        <f>_xlfn.LET(_xlpm.k,IFERROR(_xlfn.XLOOKUP(A127,Щиты[Щит],Щиты[Мест под вводной узел]),""),IF(_xlpm.k="",Столбцов_на_лист,N(_xlpm.k)))</f>
        <v>12</v>
      </c>
      <c r="BM127">
        <f t="shared" si="149"/>
        <v>41</v>
      </c>
      <c r="BN127" t="str">
        <f t="shared" si="150"/>
        <v>линии</v>
      </c>
      <c r="BO127" s="6">
        <f>IFERROR(N(_xlfn.XLOOKUP(BC127,Коды_код,Коды_квт)),0)</f>
        <v>0</v>
      </c>
      <c r="BP127">
        <f t="shared" si="151"/>
        <v>0</v>
      </c>
      <c r="BQ127" t="str">
        <f>IF(B127="","",IF(BH127&lt;&gt;"",IFERROR(_xlfn.XLOOKUP(BH127,Щиты[Щит],Щиты[Руст, кВт]),0),IF(BP127=1,IF(OR(N(_xlfn.XLOOKUP(A127,Щиты[Щит],Щиты[Вводов],1))&lt;=1,LOWER(TRIM(_xlfn.XLOOKUP(A127,Щиты[Щит],Щиты[АВР],"")&amp;""))="да"),IFERROR(_xlfn.XLOOKUP(A127,Щиты[Щит],Щиты[Руст, кВт]),0),SUMIFS(Линии[_Р для вводов],Линии[Щит],A127,Линии[Источник для режимов],GF127)),IF(BO127&gt;0,ROUND(BO127*MAX(1,N(D127)),3),""))))</f>
        <v/>
      </c>
      <c r="BR127">
        <f t="shared" si="152"/>
        <v>0.36</v>
      </c>
      <c r="BS127" s="6">
        <f>IF(B127="","",IF(BH127&lt;&gt;"",IFERROR(_xlfn.XLOOKUP(BH127,Щиты[Щит],Щиты[Руст, кВт]),0),N(BR127)))</f>
        <v>0.36</v>
      </c>
      <c r="BT127" t="str">
        <f>IF(B127="","",IFERROR(IF(VLOOKUP(BC127,Потребители_обозначение,8,FALSE)=0,"",VLOOKUP(BC127,Потребители_обозначение,8,FALSE)),""))</f>
        <v/>
      </c>
      <c r="BU127">
        <f t="shared" si="153"/>
        <v>230</v>
      </c>
      <c r="BV127">
        <f t="shared" si="154"/>
        <v>0</v>
      </c>
      <c r="BW127">
        <f>IF(B127="","",IF(BH127&lt;&gt;"",3,IFERROR(IF(N(VLOOKUP(BC127,Потребители_обозначение,9,FALSE))=0,1,VLOOKUP(BC127,Потребители_обозначение,9,FALSE)),1)))</f>
        <v>1</v>
      </c>
      <c r="BX127">
        <f t="shared" si="155"/>
        <v>1</v>
      </c>
      <c r="BY127" t="str">
        <f>IF(B127="","",_xlfn.LET(_xlpm.bc,IFERROR(IF(VLOOKUP(BC127,Потребители_обозначение,6,FALSE)=0,"",VLOOKUP(BC127,Потребители_обозначение,6,FALSE)&amp;""),""),IF(AND(GA127="да",OR(_xlpm.bc="",_xlpm.bc="мс")),Марка_пож,IF(AND(_xlpm.bc="",BH127&lt;&gt;""),"мс",_xlpm.bc))))</f>
        <v/>
      </c>
      <c r="BZ127" t="str">
        <f t="shared" si="156"/>
        <v>мс</v>
      </c>
      <c r="CA127">
        <f>IF(B127="","",_xlfn.LET(_xlpm.cc,IFERROR(N(VLOOKUP(BC127,Потребители_обозначение,7,FALSE)),0),IF(_xlpm.cc&gt;0,_xlpm.cc,IF(BZ127="","",IF(BV127=1,2,IF(N(BX127)=3,5,3))))))</f>
        <v>3</v>
      </c>
      <c r="CB127">
        <f t="shared" si="157"/>
        <v>3</v>
      </c>
      <c r="CC127">
        <f>IFERROR(N(VLOOKUP(BC127,Потребители_обозначение,10,FALSE)),0)</f>
        <v>0</v>
      </c>
      <c r="CD127">
        <f>IFERROR(VLOOKUP(BC127,Потребители_обозначение,5,FALSE),0)</f>
        <v>1</v>
      </c>
      <c r="CE127" s="6" cm="1">
        <f t="array" ref="CE127">IF(B127="","",IF(BH127&lt;&gt;"",IFERROR(_xlfn.XLOOKUP(BH127,Щиты[Щит],Щиты[cos φ]),0.95),IF(BP127=1,IFERROR(_xlfn.XLOOKUP(A127,Щиты[Щит],Щиты[cos φ]),0.95),IF(ISNUMBER(AD127),AD127,IFERROR(IF(CD127=2,_xlfn.IFS(BX127=3,VLOOKUP(BS127,Справочная_двигатели,8,FALSE),BX127=1,VLOOKUP(BS127,Справочная_двигатели,10,TRUE)),IF(AND(Методика="нормы 2026",FG127="Сил"),0.8,0.95)),0.95)))))</f>
        <v>0.8</v>
      </c>
      <c r="CF127">
        <f t="shared" si="158"/>
        <v>0</v>
      </c>
      <c r="CG127">
        <f t="shared" si="159"/>
        <v>1</v>
      </c>
      <c r="CH127">
        <f t="shared" si="160"/>
        <v>0</v>
      </c>
      <c r="CI127">
        <f>IF(B127="","",IF(BV127=1,IFERROR(BS127/((Uн_лин/SQRT(3))*MAX(0.5,N(CE127))),0),N(O127)))</f>
        <v>1.9485571585149866</v>
      </c>
      <c r="CJ127">
        <f t="shared" si="161"/>
        <v>0</v>
      </c>
      <c r="CK127">
        <f t="shared" si="162"/>
        <v>0</v>
      </c>
      <c r="CL127">
        <f t="shared" si="163"/>
        <v>0</v>
      </c>
      <c r="CM127">
        <f t="shared" si="164"/>
        <v>0</v>
      </c>
      <c r="CN127">
        <f t="shared" si="165"/>
        <v>0</v>
      </c>
      <c r="CO127">
        <f>IF(BC127="",0,_xlfn.LET(_xlpm.v,IFERROR(_xlfn.XLOOKUP(B127,Коды_код,Коды_мА),IFERROR(_xlfn.XLOOKUP(BC127,Коды_код,Коды_мА),IFERROR(_xlfn.XLOOKUP(LEFT(BC127,2),Коды_код,Коды_мА),""))),IF(_xlpm.v="да",30,IF(ISNUMBER(_xlpm.v),_xlpm.v,0))))</f>
        <v>0</v>
      </c>
      <c r="CP127" t="str">
        <f t="shared" si="166"/>
        <v/>
      </c>
      <c r="CQ127" t="str">
        <f>_xlfn.LET(_xlpm.k,IFERROR(_xlfn.XLOOKUP(BC127,Коды_код,Коды_утечка)&amp;"",""),IF(_xlpm.k="","дифавтомат",_xlpm.k))</f>
        <v>дифавтомат</v>
      </c>
      <c r="CR127" t="str" cm="1">
        <f t="array" ref="CR127">IF(CG127=0,"",_xlfn.LET(_xlpm.sg,TRIM(_xlfn.TEXTSPLIT(DD127&amp;"",";")),_xlpm.f_,_xlfn._xlws.FILTER(_xlpm.sg,LEFT(_xlpm.sg,3)="УЗО",""),IFERROR(INDEX(_xlpm.f_,1)&amp;"","")))</f>
        <v/>
      </c>
      <c r="CS127" t="str">
        <f t="shared" si="167"/>
        <v/>
      </c>
      <c r="CT127" s="6" t="str" cm="1">
        <f t="array" ref="CT127">IF(CR127="","",_xlfn.LET(_xlpm.tk,_xlfn.TEXTSPLIT(UPPER(CR127)," ",,TRUE),_xlpm.a_,_xlfn._xlws.FILTER(_xlpm.tk,ISNUMBER(--LEFT(_xlpm.tk,1))*((ISNUMBER(SEARCH("А",_xlpm.tk))+ISNUMBER(SEARCH("A",_xlpm.tk)))&gt;0)*NOT(ISNUMBER(SEARCH("МА",_xlpm.tk)))*NOT(ISNUMBER(SEARCH("MA",_xlpm.tk))),""),IFERROR(--SUBSTITUTE(SUBSTITUTE(INDEX(_xlpm.a_,1),"А",""),"A",""),"")))</f>
        <v/>
      </c>
      <c r="CU127" t="str" cm="1">
        <f t="array" ref="CU127">IF(CR127="","",_xlfn.LET(_xlpm.tk,_xlfn.TEXTSPLIT(UPPER(CR127)," ",,TRUE),_xlpm.a_,_xlfn._xlws.FILTER(_xlpm.tk,ISNUMBER(--LEFT(_xlpm.tk,1))*((ISNUMBER(SEARCH("МА",_xlpm.tk))+ISNUMBER(SEARCH("MA",_xlpm.tk)))&gt;0),""),IFERROR(--SUBSTITUTE(SUBSTITUTE(INDEX(_xlpm.a_,1),"МА",""),"MA",""),30)))</f>
        <v/>
      </c>
      <c r="CV127" t="str">
        <f>IF(CS127="","",IFERROR(_xlfn.XLOOKUP(CS127,Линии[_n],Линии[_УЗО, мА]),30))</f>
        <v/>
      </c>
      <c r="CW127">
        <f>IF(CS127="",0,IF(ISNUMBER(SEARCH("4P",IFERROR(_xlfn.XLOOKUP(CS127,Линии[_n],Линии[_УЗО строки])&amp;"",""))),0,1))</f>
        <v>0</v>
      </c>
      <c r="CX127" t="str">
        <f>IF(AND(CS127&lt;&gt;"",CS127=BA127),SUMIFS(Линии[_ток на 230 В],Линии[_блок УЗО],BA127,Линии[Щит],A127),"")</f>
        <v/>
      </c>
      <c r="CY127" t="str">
        <f>IF(AND(CS127&lt;&gt;"",CS127=BA127),SUMIFS(Линии[_ток утечки линии, мА],Линии[_блок УЗО],BA127,Линии[Щит],A127),"")</f>
        <v/>
      </c>
      <c r="CZ127">
        <f t="shared" si="168"/>
        <v>0</v>
      </c>
      <c r="DA127">
        <f t="shared" si="169"/>
        <v>0</v>
      </c>
      <c r="DB127">
        <f>IF(B127="",0,IFERROR(--_xlfn.XLOOKUP(B127,Коды_код,Коды_минавт),IFERROR(--_xlfn.XLOOKUP(BC127,Коды_код,Коды_минавт),IFERROR(--_xlfn.XLOOKUP(LEFT(BC127,2),Коды_код,Коды_минавт),0))))</f>
        <v>0</v>
      </c>
      <c r="DC127" t="str">
        <f>IF(B127="","",IFERROR(_xlfn.XLOOKUP(BC127,Коды_код,Коды_апп)&amp;"",""))</f>
        <v/>
      </c>
      <c r="DD127" t="str">
        <f t="shared" si="170"/>
        <v/>
      </c>
      <c r="DE127" t="str" cm="1">
        <f t="array" ref="DE127">IF(TRIM(DD127&amp;"")="","",IFERROR(TRIM(INDEX(_xlfn.TEXTSPLIT(DD127&amp;";;;",";"),1)),""))</f>
        <v/>
      </c>
      <c r="DF127" t="str" cm="1">
        <f t="array" ref="DF127">IF(TRIM(DD127&amp;"")="","",IFERROR(TRIM(INDEX(_xlfn.TEXTSPLIT(DD127&amp;";;;",";"),2)),""))</f>
        <v/>
      </c>
      <c r="DG127" t="str" cm="1">
        <f t="array" ref="DG127">IF(TRIM(DD127&amp;"")="","",IFERROR(TRIM(INDEX(_xlfn.TEXTSPLIT(DD127&amp;";;;",";"),3)),""))</f>
        <v/>
      </c>
      <c r="DH127">
        <f t="shared" si="171"/>
        <v>0</v>
      </c>
      <c r="DI127" t="str">
        <f>IF(B127="","",_xlfn.LET(_xlpm.t,LOWER(AZ127&amp;""),IF(ISNUMBER(SEARCH("dim",_xlpm.t)),"DIM",IF(ISNUMBER(SEARCH("dali",_xlpm.t)),"DALI",IF(OR(ISNUMBER(SEARCH("relay",_xlpm.t)),ISNUMBER(SEARCH("реле",_xlpm.t))),"Relay",IF(ISNUMBER(SEARCH("кнопк",_xlpm.t)),"",IFERROR(_xlfn.XLOOKUP(BC127,Коды_код,Коды_упр)&amp;"","")))))))</f>
        <v/>
      </c>
      <c r="DJ127" t="str">
        <f t="shared" si="172"/>
        <v/>
      </c>
      <c r="DK127">
        <f>IF(B127="","",_xlfn.LET(_xlpm.ig,IF(N(CX127)&gt;0,N(CX127),N(CI127)+IF(AJ127="вручную",0,N(CJ127))),_xlpm.n0,IFERROR(VLOOKUP(_xlpm.ig,Автомат_номиналы,2,TRUE),0),_xlpm.mn,MAX(DB127,IF(AJ127="вручную",0,N(CM127))),MAX(_xlpm.n0,_xlpm.mn,IF(DH127=1,Мин_автомат_БП,0))))</f>
        <v>6</v>
      </c>
      <c r="DL127">
        <f t="shared" si="173"/>
        <v>1</v>
      </c>
      <c r="DM127" t="str">
        <f t="shared" si="174"/>
        <v>1P</v>
      </c>
      <c r="DN127" t="str">
        <f>_xlfn.LET(_xlpm.cc,UPPER(TRIM(IFERROR(_xlfn.XLOOKUP(BC127,Коды_код,Коды_хар)&amp;"",""))),IF(OR(_xlpm.cc="B",_xlpm.cc="В"),"B",IF(_xlpm.cc="D","D","С")))</f>
        <v>С</v>
      </c>
      <c r="DO127" t="str">
        <f t="shared" si="175"/>
        <v>1P С6А</v>
      </c>
      <c r="DP127">
        <f t="shared" si="176"/>
        <v>10</v>
      </c>
      <c r="DQ127" t="str">
        <f t="shared" si="177"/>
        <v>1P С10А</v>
      </c>
      <c r="DR127" cm="1">
        <f t="array" ref="DR127">IF(DQ127="","",_xlfn.LET(_xlpm.t,SUBSTITUTE(SUBSTITUTE(SUBSTITUTE(UPPER(DQ127),"С","C"),"А","A"),"В","B"),_xlpm.tk,_xlfn.TEXTSPLIT(_xlpm.t," "),_xlpm.f,_xlfn._xlws.FILTER(_xlpm.tk,ISNUMBER(--MID(_xlpm.tk,2,1))*ISNUMBER(SEARCH(LEFT(_xlpm.tk,1)&amp;"#","B#C#D#"))*(LEN(_xlpm.tk)&gt;1),""),_xlpm.x,INDEX(_xlpm.f,1),IFERROR(--SUBSTITUTE(MID(_xlpm.x,2,9),"A",""),IFERROR(--SUBSTITUTE(INDEX(_xlfn._xlws.FILTER(_xlpm.tk,ISNUMBER(--SUBSTITUTE(_xlpm.tk,"A","")),""),1),"A",""),""))))</f>
        <v>10</v>
      </c>
      <c r="DS127" t="str">
        <f t="shared" si="178"/>
        <v>ok</v>
      </c>
      <c r="DT127">
        <f t="shared" si="179"/>
        <v>10</v>
      </c>
      <c r="DU127" t="str">
        <f t="shared" si="180"/>
        <v>1P С10А</v>
      </c>
      <c r="DV127">
        <f t="shared" si="181"/>
        <v>0</v>
      </c>
      <c r="DW127">
        <f t="shared" si="182"/>
        <v>0</v>
      </c>
      <c r="DX127">
        <f t="shared" si="183"/>
        <v>0</v>
      </c>
      <c r="DY127">
        <f t="shared" si="184"/>
        <v>1.9485571585149866</v>
      </c>
      <c r="DZ127">
        <f t="shared" si="185"/>
        <v>1</v>
      </c>
      <c r="EA127">
        <f>IF(ISNUMBER(AP127),AP127,К_прокл)</f>
        <v>1</v>
      </c>
      <c r="EB127">
        <f t="shared" si="186"/>
        <v>2</v>
      </c>
      <c r="EC127">
        <f>IFERROR(N(VLOOKUP(BZ127,Кабель_обозначение,3,FALSE)),1)</f>
        <v>1</v>
      </c>
      <c r="ED127">
        <f>IFERROR(N(_xlfn.XLOOKUP(A127,Щиты[Щит],Щиты[ΔU до шин, %])),0)</f>
        <v>0.24000000000000002</v>
      </c>
      <c r="EE127" t="str">
        <f>IFERROR(_xlfn.XLOOKUP(A127,Щиты[Щит],Щиты[Zпетли на шинах, Ом]),"")</f>
        <v/>
      </c>
      <c r="EF127">
        <f>IFERROR(N(_xlfn.XLOOKUP(A127,Щиты[Щит],Щиты[ΔU до шин (подбор), %])),0)</f>
        <v>0.36</v>
      </c>
      <c r="EG127" t="str">
        <f>IFERROR(_xlfn.XLOOKUP(A127,Щиты[Щит],Щиты[Zпетли на шинах (подбор), Ом]),"")</f>
        <v/>
      </c>
      <c r="EH127" t="str">
        <f t="shared" si="187"/>
        <v/>
      </c>
      <c r="EI127">
        <f t="shared" si="188"/>
        <v>68</v>
      </c>
      <c r="EJ127">
        <f t="shared" si="189"/>
        <v>2</v>
      </c>
      <c r="EK127">
        <f t="shared" si="190"/>
        <v>0.6</v>
      </c>
      <c r="EL127" s="6">
        <f>IF(B127="","",IF(BV127=1,dU_LED,IF(IFERROR(_xlfn.XLOOKUP(BC127,Коды_код,Коды_уго),"")="Светильник",3,4)+IF(Методика="нормы 2026",MIN(0.5,MAX(0,N(P127)-100)*0.005),0)))</f>
        <v>4</v>
      </c>
      <c r="EM127" cm="1">
        <f t="array" ref="EM127">IF(OR(B127="",BZ127="",EC127&lt;&gt;1),"",_xlfn.LET(_xlpm.sz,Iдоп_S,_xlpm.t_,CHOOSE(EB127,Iдоп_1ж,Iдоп_2ж,Iдоп_3ж)*DZ127*EA127,_xlpm.dcx,BV127=1,_xlpm.inn,IF(_xlpm.dcx,N(O127),N(DT127)),_xlpm.smin,MAX(1.5,CC127),_xlpm.L_,N(P127)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127)/N(BU127)*100,999),IFERROR(N(EJ127)*(_xlpm.rho*_xlpm.L_/_xlpm.sz*N(CE127)+_xlpm.xx*_xlpm.L_*N(EK127)/1000)*N(O127)/((Uн_лин/SQRT(3))*1000)*100,999)),_xlpm.kz,IF(OR(_xlpm.dcx,DW127=1,NOT(ISNUMBER(EG127)),_xlpm.L_=0,_xlpm.inn=0),1,IFERROR(--(c_min*(Uн_лин*1000/SQRT(3))/(EG127+2*ρкз_Cu*_xlpm.L_/_xlpm.sz)&gt;=HT127*_xlpm.inn),0)),_xlpm.ok,IFERROR((_xlpm.sz&gt;=_xlpm.smin)*(_xlpm.t_&gt;=_xlpm.inn)*IF(_xlpm.L_&gt;0,(_xlpm.du_+IF(_xlpm.dcx,0,EF127)&lt;=EL127+0.00001),1)*_xlpm.kz,0),_xlpm.r_,_xlfn._xlws.FILTER(_xlpm.sz,_xlpm.ok,"не подобрано"),INDEX(_xlpm.r_,1)))</f>
        <v>1.5</v>
      </c>
      <c r="EN127">
        <f t="shared" si="191"/>
        <v>1.5</v>
      </c>
      <c r="EO127" cm="1">
        <f t="array" ref="EO127">IF(OR(B127="",BZ127="",EC127&lt;&gt;1),"",_xlfn.LET(_xlpm.sz,Iдоп_S,_xlpm.t_,CHOOSE(EB127,Iдоп_1ж,Iдоп_2ж,Iдоп_3ж)*DZ127*EA127,_xlpm.ok,IFERROR((_xlpm.sz&gt;=MAX(1.5,CC127))*(_xlpm.t_&gt;=N(DT127)),0),_xlpm.r_,_xlfn._xlws.FILTER(_xlpm.sz,_xlpm.ok,""),INDEX(_xlpm.r_,1)))</f>
        <v>1.5</v>
      </c>
      <c r="EP127" s="6" cm="1">
        <f t="array" ref="EP127">IFERROR(ROUNDUP(N(EJ127)*(_xlfn.XLOOKUP(EO127,INDEX(Кабель_сопротивление,0,1),INDEX(Кабель_сопротивление,0,3))*N(P127)/EO127*N(CE127)+_xlfn.XLOOKUP(EO127,INDEX(Кабель_сопротивление,0,1),INDEX(Кабель_сопротивление,0,2))*N(P127)*N(EK127)/1000)*N(O127)/((Uн_лин/SQRT(3))*1000)*100,2),"")</f>
        <v>1.43</v>
      </c>
      <c r="EQ127">
        <f>IFERROR(2*ρкз_Cu*N(P127)/EO127,"")</f>
        <v>2.4546666666666668</v>
      </c>
      <c r="ER127">
        <f>IFERROR(VLOOKUP(EN127,Кабель_сопротивление,3,FALSE),"")</f>
        <v>2.2499999999999999E-2</v>
      </c>
      <c r="ES127">
        <f>IFERROR(VLOOKUP(EN127,Кабель_сопротивление,2,FALSE),"")</f>
        <v>0.11</v>
      </c>
      <c r="ET127">
        <f t="shared" si="192"/>
        <v>12</v>
      </c>
      <c r="EU127">
        <f t="shared" si="193"/>
        <v>0</v>
      </c>
      <c r="EV127">
        <f t="shared" si="194"/>
        <v>3.291580694449856</v>
      </c>
      <c r="EW127" s="6">
        <f>IFERROR(ROUNDUP(EV127/IF(BV127=1,BU127,(Uн_лин/SQRT(3))*1000)*100,2),"")</f>
        <v>1.43</v>
      </c>
      <c r="EX127" t="str">
        <f>IFERROR(VLOOKUP(BZ127,Кабель_обозначение,2,FALSE),"")</f>
        <v>ВВГнг(А)-LS</v>
      </c>
      <c r="EY127" t="str">
        <f t="shared" si="195"/>
        <v>ВВГнг(А)-LS (3х1,5)</v>
      </c>
      <c r="EZ127" t="str">
        <f t="shared" si="196"/>
        <v>ВВГнг(А)-LS (3х1,5)
L=70-1,43%</v>
      </c>
      <c r="FA127">
        <f>IFERROR(2*ρкз_Cu*P127/EN127,"")</f>
        <v>2.4546666666666668</v>
      </c>
      <c r="FB127">
        <f t="shared" si="197"/>
        <v>0.81666666666666676</v>
      </c>
      <c r="FC127" s="6" t="str">
        <f>IFERROR(IF(OR(B127="",BV127=1,NOT(ISNUMBER(EN127)),N(P127)=0),"",_xlfn.XLOOKUP(A127,Щиты[Щит],Щиты[Zпетли на шинах, Ом])+FA127),"")</f>
        <v/>
      </c>
      <c r="FD127" s="6" t="str">
        <f>IF(ISNUMBER(FC127),c_min*(Uн_лин*1000/SQRT(3))/FC127,"")</f>
        <v/>
      </c>
      <c r="FE127" s="6" t="str">
        <f>IFERROR(IF(OR(B127="",NOT(ISNUMBER(EN127))),"",1.05*(Uн_лин*1000/SQRT(3))/(_xlfn.XLOOKUP(A127,Щиты[Щит],Щиты[Zmax на шинах, Ом])+FB127)/1000),"")</f>
        <v/>
      </c>
      <c r="FF127" s="6" t="str">
        <f>IF(B127="","",IF(ISNUMBER(AC127),"Сил",IF(IFERROR(_xlfn.XLOOKUP(BC127,Коды_код,Коды_группа)&amp;"","")="","Быт",_xlfn.XLOOKUP(BC127,Коды_код,Коды_группа)&amp;"")))</f>
        <v>Сил</v>
      </c>
      <c r="FG127" s="6" t="str">
        <f t="shared" si="198"/>
        <v>Сил</v>
      </c>
      <c r="FH127" s="6">
        <f>IF(FG127="Щит","щит",IF(FG127="","",IF(FG127="Быт",IFERROR(_xlfn.XLOOKUP(A127,Щиты[Щит],Щиты[Кс быт]),1),IF(FG127="Сил",IF(ISNUMBER(AC127),AC127,IF(Методика="нормы 2026",IFERROR(_xlfn.XLOOKUP(A127,Щиты[Щит],Щиты[Кс силовых (табл. 7.5)]),1),1)),IF(OR(FG127="Пост",FG127="Отоп"),1,IF(FG127="ВНГ",0.7,0))))))</f>
        <v>0.5</v>
      </c>
      <c r="FI127">
        <f>IF(FG127="","",IF(AND(BP127=1,TRIM(AE127&amp;"")=""),IF(COUNTIFS(Линии[Щит],A127,Линии[Секция (1/2/3)],"&gt;=2")&gt;0,MIN(3,MAX(1,IFERROR(--BD127,1))),1),IFERROR(MIN(3,MAX(1,INT(--AE127))),1)))</f>
        <v>1</v>
      </c>
      <c r="FJ127">
        <f t="shared" si="199"/>
        <v>0.36</v>
      </c>
      <c r="FK127">
        <f t="shared" si="200"/>
        <v>0</v>
      </c>
      <c r="FL127">
        <f t="shared" si="201"/>
        <v>0.18</v>
      </c>
      <c r="FM127">
        <f t="shared" si="202"/>
        <v>0</v>
      </c>
      <c r="FN127">
        <f t="shared" si="203"/>
        <v>0</v>
      </c>
      <c r="FO127">
        <f t="shared" si="204"/>
        <v>0</v>
      </c>
      <c r="FP127">
        <f t="shared" si="205"/>
        <v>0.36</v>
      </c>
      <c r="FQ127">
        <f t="shared" si="206"/>
        <v>0.36</v>
      </c>
      <c r="FR127">
        <f t="shared" si="207"/>
        <v>0.28799999999999998</v>
      </c>
      <c r="FS127">
        <f>IF(CG127=1,IF(AND(CH127=1,CW127=1),0,IF(AND(CS127&lt;&gt;"",CS127=BA127,CW127=1),SUMIFS(Линии[_Р линии, кВт],Линии[_блок УЗО],BA127,Линии[Щит],A127),N(BS127)+IF(AJ127="вручную",0,N(CK127)))),0)</f>
        <v>0.36</v>
      </c>
      <c r="FT127" t="str">
        <f t="shared" si="208"/>
        <v/>
      </c>
      <c r="FU127" t="str">
        <f>IF(B127="","",IF(CG127=0,IF(BA127=1,"",FW126),IF(AND(CH127=1,CW127=1,CS127&lt;&gt;""),IFERROR(_xlfn.XLOOKUP(CS127,Линии[_n],Линии[_фаза итог]),"L1"),IF(OR(N(DL127)&gt;=3,N(BX127)&gt;=3),"L1,L2,L3",IFERROR(_xlfn.TEXTBEFORE(_xlfn.TEXTAFTER(_xlfn.XLOOKUP(A127,Щиты[Щит],Щиты[_фазы авто]),";"&amp;BA127&amp;":"),";"),"L1")))))</f>
        <v>L1</v>
      </c>
      <c r="FV127" t="str">
        <f t="shared" si="209"/>
        <v>L1</v>
      </c>
      <c r="FW127" t="str">
        <f t="shared" si="210"/>
        <v>L1</v>
      </c>
      <c r="FX127" cm="1">
        <f t="array" ref="FX127">IFERROR(IF(CD127=2,_xlfn.IFS(BX127=3,VLOOKUP(BS127,Справочная_двигатели,3,FALSE),BX127=1,VLOOKUP(BS127,Справочная_двигатели,5,TRUE)),0),0)</f>
        <v>0</v>
      </c>
      <c r="FY127">
        <f>IFERROR(IF(CD127=3,VLOOKUP(BS127,Справочная_ЛЭД,2,TRUE),0),0)</f>
        <v>0</v>
      </c>
      <c r="FZ127" s="6">
        <f t="shared" si="211"/>
        <v>0</v>
      </c>
      <c r="GA127" t="str">
        <f>IF(B127="","",IF(TRIM(AH127&amp;"")&lt;&gt;"",IF(LOWER(TRIM(AH127&amp;""))="да","да","нет"),IF(IFERROR(_xlfn.XLOOKUP(BC127,Коды_код,Коды_пожарная),"")="да","да","нет")))</f>
        <v>нет</v>
      </c>
      <c r="GB127" t="str">
        <f t="shared" si="212"/>
        <v/>
      </c>
      <c r="GC127" t="str">
        <f t="shared" si="213"/>
        <v>основная</v>
      </c>
      <c r="GD127">
        <f>IF(AND(BP127=1,TRIM(AE127&amp;"")=""),IF(COUNTIFS(Линии[Щит],A127,Линии[Секция (1/2/3)],"&gt;=2")&gt;0,MIN(3,MAX(1,IFERROR(--BD127,1))),1),IFERROR(MIN(3,MAX(1,INT(--AE127))),1))</f>
        <v>1</v>
      </c>
      <c r="GE127" t="str" cm="1">
        <f t="array" ref="GE127">IF(B127="","",_xlfn.LET(_xlpm.t,IFERROR(_xlfn.XLOOKUP(1,(Шины[Шина]=GC127)*(((Шины[Щит]=A127)+(Шины[Щит]=""))&gt;0),Шины[Тип]),"")&amp;"",IF(_xlpm.t&lt;&gt;"",_xlpm.t,IF(ISNUMBER(SEARCH("ИБП",GC127)),"ИБП",IF(ISNUMBER(SEARCH("ДГУ",GC127)),"ДГУ","Ввод "&amp;GD127)))))</f>
        <v>Ввод 1</v>
      </c>
      <c r="GF127" t="str">
        <f t="shared" si="214"/>
        <v>Ввод 1</v>
      </c>
      <c r="GG127" t="str">
        <f>IF(BP127=0,"",IF(TRIM(AG127&amp;"")&lt;&gt;"",TRIM(AG127&amp;""),IF(OR(GE127="ИБП",GE127="ДГУ"),"I особая",_xlfn.XLOOKUP(A127,Щиты[Щит],Щиты[Категория шины «Ввод»],"III"))))</f>
        <v/>
      </c>
      <c r="GH127" t="str">
        <f>IF(A127="","",_xlfn.XLOOKUP(A127,Щиты[Щит],Щиты[Путь],""))</f>
        <v>|ГРЩ-ЖД|ЩОВ-01|</v>
      </c>
      <c r="GI127" t="str">
        <f>IF(B127="","",IF(AI127&lt;&gt;"",AI127,IF(IFERROR(_xlfn.XLOOKUP(BC127,Коды_код,Коды_вид)&amp;"","")="","Прочее",_xlfn.XLOOKUP(BC127,Коды_код,Коды_вид)&amp;"")))</f>
        <v>Кондиционирование и увлажнение</v>
      </c>
      <c r="GJ127">
        <f>IF(BM127="","",INT((BM127-1)/Столбцов_на_лист)+1)</f>
        <v>3</v>
      </c>
      <c r="GK127" t="str">
        <f t="shared" si="215"/>
        <v>ВВГнг(А)-LS (3х1,5) L=70-1,43%</v>
      </c>
      <c r="GL127">
        <f t="shared" si="216"/>
        <v>0.36</v>
      </c>
      <c r="GM127">
        <f t="shared" si="217"/>
        <v>1.95</v>
      </c>
      <c r="GN127">
        <f t="shared" si="218"/>
        <v>1</v>
      </c>
      <c r="GO127">
        <f t="shared" si="219"/>
        <v>0</v>
      </c>
      <c r="GP127">
        <f t="shared" si="220"/>
        <v>1</v>
      </c>
      <c r="GQ127">
        <f>IF(BM127="","",IF(AND(CG127=1,GP127=1),COUNTIFS(A$3:A127,A127,CG$3:CG127,1,GP$3:GP127,1),IF(OR(OR(BA127=1,A127&lt;&gt;A126),AJ127="вручную",GP127=0),"",IF(BA127=1,"",GR126))))</f>
        <v>25</v>
      </c>
      <c r="GR127">
        <f t="shared" si="221"/>
        <v>25</v>
      </c>
      <c r="GS127">
        <f>IF(B127="","",IFERROR(LOOKUP(INDEX(CHOOSE(EB127,Iдоп_1ж,Iдоп_2ж,Iдоп_3ж),MATCH(EN127,Iдоп_S,0))*DZ127*EA127,{6,10,16,20,25,32,40,50,63,80,100,125,160,200,250,315,400,500,630}),""))</f>
        <v>16</v>
      </c>
      <c r="GT127" t="str">
        <f t="shared" si="222"/>
        <v>QF25</v>
      </c>
      <c r="GU127" t="str">
        <f t="shared" si="223"/>
        <v>QF25</v>
      </c>
      <c r="GV127" t="str">
        <f t="shared" si="224"/>
        <v/>
      </c>
      <c r="GW127">
        <f t="shared" si="225"/>
        <v>0</v>
      </c>
      <c r="GX127" t="str">
        <f>IF(OR(B127="",DJ127=""),"",IFERROR(_xlfn.XLOOKUP(DJ127,Модули_умолч[Управление],Модули_умолч[Модель])&amp;"",""))</f>
        <v/>
      </c>
      <c r="GY127">
        <f>IF(DJ127="",1,IFERROR(MAX(0,N(_xlfn.XLOOKUP(DJ127,Модули_умолч[Управление],Модули_умолч[Каналов на линию]))),1))</f>
        <v>1</v>
      </c>
      <c r="GZ127" t="str">
        <f t="shared" si="226"/>
        <v/>
      </c>
      <c r="HA127" t="str">
        <f t="shared" si="227"/>
        <v/>
      </c>
      <c r="HB127" t="str">
        <f t="shared" si="228"/>
        <v/>
      </c>
      <c r="HC127">
        <f>IF(HB127="",0,IFERROR(N(VLOOKUP(HB127,Модули_спр,3,FALSE)),0))</f>
        <v>0</v>
      </c>
      <c r="HD127" t="str">
        <f t="shared" si="229"/>
        <v/>
      </c>
      <c r="HE127" t="str">
        <f t="shared" si="230"/>
        <v/>
      </c>
      <c r="HF127" t="str">
        <f>IF(OR(HE127="",HE127="-"),"",IFERROR(VLOOKUP(HE127,Модули_спр,2,FALSE),"R"))</f>
        <v/>
      </c>
      <c r="HG127" t="str">
        <f>IF(HF127="","",HF127&amp;"."&amp;COUNTIFS(A$3:A127,A127,HF$3:HF127,HF127))</f>
        <v/>
      </c>
      <c r="HH127" t="str">
        <f t="shared" si="231"/>
        <v/>
      </c>
      <c r="HI127" t="str">
        <f t="shared" si="232"/>
        <v/>
      </c>
      <c r="HJ127" t="str">
        <f t="shared" si="233"/>
        <v/>
      </c>
      <c r="HK127" t="str">
        <f t="shared" si="234"/>
        <v/>
      </c>
      <c r="HL127">
        <f t="shared" si="235"/>
        <v>1</v>
      </c>
      <c r="HM127" t="str">
        <f>IF(HL127=1,"XT"&amp;COUNTIFS(A$3:A127,A127,HL$3:HL127,1),"")</f>
        <v>XT25</v>
      </c>
      <c r="HN127" t="str">
        <f t="shared" si="236"/>
        <v/>
      </c>
      <c r="HO127" t="str">
        <f t="shared" si="237"/>
        <v>QF25</v>
      </c>
      <c r="HP127" t="str">
        <f t="shared" si="238"/>
        <v/>
      </c>
      <c r="HQ127" t="str">
        <f t="shared" si="239"/>
        <v>ok</v>
      </c>
      <c r="HR127" t="str">
        <f>IF(OR(HJ127="",HH127=""),"",IF(HJ127+MAX(0,GY127-1)&gt;IFERROR(VLOOKUP(HI127,Модули_спр,3,FALSE),99),"ЛИШНИЙ КАНАЛ",IF(AND(AL127&lt;&gt;"=",GY127&gt;0,COUNTIFS(Линии[_модуль гр.],HH127,Линии[Канал (итог)],HJ127,Линии[Канал],"&lt;&gt;=",Линии[Щит],A127)&gt;1),"ДУБЛЬ КАНАЛА","")))</f>
        <v/>
      </c>
      <c r="HS127" s="6" t="str">
        <f t="shared" si="240"/>
        <v/>
      </c>
      <c r="HT127">
        <f t="shared" si="241"/>
        <v>10</v>
      </c>
      <c r="HU127" t="str">
        <f t="shared" si="242"/>
        <v/>
      </c>
      <c r="HV127">
        <f t="shared" si="243"/>
        <v>1.4794228634059947</v>
      </c>
      <c r="HW127">
        <f t="shared" si="244"/>
        <v>0</v>
      </c>
      <c r="HX127">
        <f t="shared" si="245"/>
        <v>0</v>
      </c>
      <c r="HY127">
        <f t="shared" si="246"/>
        <v>0</v>
      </c>
      <c r="HZ127">
        <f t="shared" si="247"/>
        <v>0</v>
      </c>
      <c r="IA127">
        <f t="shared" si="248"/>
        <v>0</v>
      </c>
      <c r="IB127">
        <f t="shared" si="249"/>
        <v>0</v>
      </c>
      <c r="IC127" t="str">
        <f t="shared" si="250"/>
        <v/>
      </c>
      <c r="ID127" t="str" cm="1">
        <f t="array" ref="ID127">IF(IC127="","",_xlfn.LET(_xlpm.tk,_xlfn.TEXTSPLIT(SUBSTITUTE(SUBSTITUTE(IC127,";"," "),"→"," ")," ",,TRUE),_xlpm.w_,_xlfn._xlws.FILTER(_xlpm.tk,ISNUMBER(--LEFT(_xlpm.tk,1))*((ISNUMBER(SEARCH("W",_xlpm.tk))+ISNUMBER(SEARCH("Вт",_xlpm.tk)))&gt;0),""),IFERROR(--SUBSTITUTE(SUBSTITUTE(UPPER(INDEX(_xlpm.w_,1)),"W",""),"ВТ",""),"")))</f>
        <v/>
      </c>
      <c r="IE127" t="str" cm="1">
        <f t="array" ref="IE127">IF(IC127="","",_xlfn.LET(_xlpm.tk,_xlfn.TEXTSPLIT(SUBSTITUTE(SUBSTITUTE(IC127,";"," "),"→"," ")," ",,TRUE),_xlpm.v_,_xlfn._xlws.FILTER(_xlpm.tk,ISNUMBER(--LEFT(_xlpm.tk,1))*((ISNUMBER(SEARCH("V",_xlpm.tk))+(RIGHT(UPPER(_xlpm.tk))="В"))&gt;0),""),IFERROR(--SUBSTITUTE(SUBSTITUTE(UPPER(INDEX(_xlpm.v_,1)),"V",""),"В",""),"")))</f>
        <v/>
      </c>
      <c r="IF127" s="6" t="str">
        <f>IF(OR(BV127=0,HI127="",HJ127=""),"",IFERROR(N(_xlfn.XLOOKUP(HI127,Каталог!$C$4:$C$500,Каталог!$Q$4:$Q$500)),""))</f>
        <v/>
      </c>
      <c r="IG127" s="6" t="str">
        <f>IF(N(IF127)=0,"",SUMIFS(Линии[Iр, А],Линии[Щит],A127,Линии[_модуль гр.],HH127,Линии[Канал (итог)],HJ127))</f>
        <v/>
      </c>
      <c r="IH127" t="str">
        <f>IF(AND(B127="",HO127=""),"",_xlfn.TEXTJOIN("; ",TRUE,IF(AND(B127&lt;&gt;"",FV127=""),"нет фазы",""),IF(AND(B127&lt;&gt;"",N(GL127)=0,FG127&lt;&gt;"Нет"),"нет мощности",""),IF(AND(HN127&lt;&gt;"",COUNTIFS(Линии[Щит],A127,Линии[Клемма (итог)],HN127)&gt;1),"дубль клеммы "&amp;HN127,""),IF(AND(HQ127&lt;&gt;"",HQ127&lt;&gt;"ok"),HQ127,""),IF(HR127&lt;&gt;"",HR127,""),IF(AND(N(CB127)&gt;=4,N(BX127)=1),CB127&amp;" жил на 1 фазе",""),IF(AND(BC127="R",CG127=1,IF(CS127&lt;&gt;"",N(CV127)&gt;30,OR(N(DA127)=0,N(DA127)&gt;30))),"розетка без дифзащиты до 30 мА",""),IF(AND(CG127=1,N(DA127)&gt;0,ISNUMBER(T127)),IF(T127&gt;N(DA127)/3,"ток утечки "&amp;FIXED(T127,1)&amp;" мА &gt; 1/3 уставки ("&amp;DA127&amp;" мА)",""),""),IF(AND(CH127=1,CS127=""),"«узо»: нет строки с УЗО выше (УЗО 2P 40А 30мА в «Аппаратах»)",""),IF(AND(CS127&lt;&gt;"",CS127=BA127),IF(CT127="","впишите номинал УЗО (УЗО 2P 40А 30мА)",IF(N(CT127)&lt;N(DT127),"УЗО "&amp;CT127&amp;" А &lt; автомата "&amp;DT127&amp;" А перед ним",IF(N(CT127)&lt;N(CX127),"УЗО "&amp;CT127&amp;" А &lt; тока блока "&amp;FIXED(CX127,1)&amp;" А",""))),""),IF(AND(CS127&lt;&gt;"",CS127=BA127,ISNUMBER(CY127)),IF(CY127&gt;N(CV127)/3,"ток утечки блока УЗО "&amp;FIXED(CY127,1)&amp;" мА &gt; 1/3 уставки ("&amp;CV127&amp;" мА)",""),""),IF(AND(CG127=1,N(BV127)+N(IB127)&gt;0,IC127=""),"линии до 50 В без БП: впишите в «Аппараты» (БП 24V 480W)",""),IF(AND(CG127=1,ISNUMBER(ID127),ISNUMBER(U127)),IF(U127&gt;ID127,"БП "&amp;ID127&amp;" Вт &lt; нужно "&amp;U127&amp;" Вт (×"&amp;Запас_БП&amp;")",""),""),IF(AND(CG127=1,ISNUMBER(IE127),N(BV127)=1),IF(IE127&lt;&gt;N(BU127),"БП на "&amp;IE127&amp;" В, линия "&amp;BU127&amp;" В",""),""),IF(AND(N(IF127)&gt;0,N(IG127)&gt;N(IF127)),HH127&amp;" канал "&amp;HJ127&amp;": "&amp;FIXED(IG127,1)&amp;" А &gt; "&amp;IF127&amp;" А",""),IFERROR(IF(AND(ISNUMBER(Q127),Q127&gt;EL127),"потери "&amp;FIXED(Q127,1)&amp;" % &gt; "&amp;EL127&amp;" %",""),""),IFERROR(IF(LEFT(HU127,4)="мало","Iкз мало — отключение &gt; 0,4 с",""),""),IF(AND(B127&lt;&gt;"",BM127=""),"не на схеме",""),IF(AND(CG127=0,B127&lt;&gt;"",FV127&lt;&gt;"",IF(BA127=1,"",FW126)&lt;&gt;"",FV127&lt;&gt;IF(BA127=1,"",FW126)),"фаза не как у автомата группы ("&amp;IF(BA127=1,"",FW126)&amp;")","")))</f>
        <v/>
      </c>
      <c r="II127" s="6">
        <f>IF(OR(CG127=0,DQ127=""),"",_xlfn.LET(_xlpm.t,IFERROR(_xlfn.XLOOKUP(DQ127,Каталог!$U$4:$U$500,Каталог!$G$4:$G$500),""),_xlpm.k,SEARCH("кА",_xlpm.t),IFERROR(--TRIM(RIGHT(SUBSTITUTE(MID(_xlpm.t,MAX(1,_xlpm.k-4),_xlpm.k-MAX(1,_xlpm.k-4))," ",REPT(" ",9)),5)),"")))</f>
        <v>6</v>
      </c>
      <c r="IJ127" t="str">
        <f>IF(OR(II127="",CG127=0),"",IF(_xlfn.XLOOKUP(A127,Щиты[Щит],Щиты[Iкз max на шинах, кА],"")="","",IF(II127&lt;_xlfn.XLOOKUP(A127,Щиты[Щит],Щиты[Iкз max на шинах, кА]),"Icu "&amp;II127&amp;" кА &lt; Iкз max","ok")))</f>
        <v/>
      </c>
      <c r="IK127" t="str">
        <f t="shared" si="251"/>
        <v/>
      </c>
      <c r="IL127" t="str">
        <f t="shared" si="252"/>
        <v>QF25</v>
      </c>
      <c r="IM127" t="str">
        <f t="shared" si="253"/>
        <v>QF25|кабель ВВГнг(А)-LS (3х1,5) → Внутренний блок кондиционирования первый этаж Пом. №002Б</v>
      </c>
      <c r="IN127" t="str" cm="1">
        <f t="array" ref="IN127">IF(IM127="","",_xlfn.LET(_xlpm.nd,_xlfn.TEXTSPLIT(IM127,"|"),IF(COLUMNS(_xlpm.nd)&gt;1,A127&amp;"¦"&amp;INDEX(_xlpm.nd,1)&amp;"¦"&amp;INDEX(_xlpm.nd,2),"")))</f>
        <v>ЩОВ-01¦QF25¦кабель ВВГнг(А)-LS (3х1,5) → Внутренний блок кондиционирования первый этаж Пом. №002Б</v>
      </c>
      <c r="IO127" t="str">
        <f t="shared" si="254"/>
        <v>K.1.014A¦Внутренний блок кондиционирования первый этаж Пом. №002Б</v>
      </c>
      <c r="IP127" t="str" cm="1">
        <f t="array" ref="IP127">IF(IM127="","",_xlfn.LET(_xlpm.nd,_xlfn.TEXTSPLIT(IM127,"|"),IF(COLUMNS(_xlpm.nd)&gt;2,A127&amp;"¦"&amp;INDEX(_xlpm.nd,2)&amp;"¦"&amp;INDEX(_xlpm.nd,3),"")))</f>
        <v/>
      </c>
      <c r="IQ127" t="str">
        <f t="shared" si="255"/>
        <v/>
      </c>
      <c r="IR127" t="str" cm="1">
        <f t="array" ref="IR127">IF(IM127="","",_xlfn.LET(_xlpm.nd,_xlfn.TEXTSPLIT(IM127,"|"),IF(COLUMNS(_xlpm.nd)&gt;3,A127&amp;"¦"&amp;INDEX(_xlpm.nd,3)&amp;"¦"&amp;INDEX(_xlpm.nd,4),"")))</f>
        <v/>
      </c>
      <c r="IS127" t="str">
        <f t="shared" si="256"/>
        <v/>
      </c>
      <c r="IT127" t="str" cm="1">
        <f t="array" ref="IT127">IF(IM127="","",_xlfn.LET(_xlpm.nd,_xlfn.TEXTSPLIT(IM127,"|"),IF(COLUMNS(_xlpm.nd)&gt;4,A127&amp;"¦"&amp;INDEX(_xlpm.nd,4)&amp;"¦"&amp;INDEX(_xlpm.nd,5),"")))</f>
        <v/>
      </c>
      <c r="IU127" t="str">
        <f t="shared" si="257"/>
        <v/>
      </c>
      <c r="IV127" t="str" cm="1">
        <f t="array" ref="IV127">IF(IM127="","",_xlfn.LET(_xlpm.nd,_xlfn.TEXTSPLIT(IM127,"|"),IF(COLUMNS(_xlpm.nd)&gt;5,A127&amp;"¦"&amp;INDEX(_xlpm.nd,5)&amp;"¦"&amp;INDEX(_xlpm.nd,6),"")))</f>
        <v/>
      </c>
      <c r="IW127" t="str">
        <f t="shared" si="258"/>
        <v/>
      </c>
      <c r="IX127" t="str" cm="1">
        <f t="array" ref="IX127">IF(IM127="","",_xlfn.LET(_xlpm.nd,_xlfn.TEXTSPLIT(IM127,"|"),IF(COLUMNS(_xlpm.nd)&gt;6,A127&amp;"¦"&amp;INDEX(_xlpm.nd,6)&amp;"¦"&amp;INDEX(_xlpm.nd,7),"")))</f>
        <v/>
      </c>
      <c r="IY127" t="str">
        <f t="shared" si="259"/>
        <v/>
      </c>
      <c r="IZ127" t="str">
        <f t="shared" si="260"/>
        <v/>
      </c>
      <c r="JA127" t="str">
        <f t="shared" si="261"/>
        <v>QF25</v>
      </c>
      <c r="JB127">
        <f t="shared" si="262"/>
        <v>0</v>
      </c>
      <c r="JC127">
        <f t="shared" si="263"/>
        <v>0</v>
      </c>
      <c r="JD127" t="str">
        <f t="shared" si="264"/>
        <v/>
      </c>
      <c r="JE127" t="str">
        <f t="shared" si="265"/>
        <v/>
      </c>
      <c r="JF127" t="str">
        <f t="shared" si="266"/>
        <v/>
      </c>
      <c r="JG127" t="str">
        <f t="shared" si="267"/>
        <v/>
      </c>
      <c r="JH127">
        <f>IF(B127="","",IFERROR(_xlfn.XLOOKUP(B127,Коды_код,Коды_уго),IFERROR(_xlfn.XLOOKUP(BC127,Коды_код,Коды_уго),IFERROR(_xlfn.XLOOKUP(LEFT(BC127,2),Коды_код,Коды_уго),""))))</f>
        <v>0</v>
      </c>
      <c r="JI127" t="str">
        <f>IF(B127="","",IF(OR(JH127="",JH127=0),"BOX",IFERROR(IF(VLOOKUP(JH127,УГО_блоки,3,FALSE)&amp;""&lt;&gt;"",VLOOKUP(JH127,УГО_блоки,3,FALSE),VLOOKUP(JH127,УГО_блоки,2,FALSE)),JH127)))</f>
        <v>BOX</v>
      </c>
      <c r="JJ127">
        <f t="shared" si="268"/>
        <v>1</v>
      </c>
      <c r="JK127" t="str">
        <f>IF(DQ127="","",IF(COUNTIF(DQ$3:DQ127,DQ127)=1,MAX(JK$2:JK126)+1,""))</f>
        <v/>
      </c>
      <c r="JL127" t="str">
        <f>IF(DE127="","",IF(COUNTIF(DE$3:DE127,DE127)+COUNTIF(DF$2:DF126,DE127)+COUNTIF(DG$2:DG126,DE127)=1,MAX(JL$2:JN126)+1,""))</f>
        <v/>
      </c>
      <c r="JM127" t="str">
        <f>IF(DF127="","",IF(COUNTIF(DE$3:DE127,DF127)+COUNTIF(DF$3:DF127,DF127)+COUNTIF(DG$2:DG126,DF127)=1,MAX(JL$2:JN126,JL127)+1,""))</f>
        <v/>
      </c>
      <c r="JN127" t="str">
        <f>IF(DG127="","",IF(COUNTIF(DE$3:DE127,DG127)+COUNTIF(DF$3:DF127,DG127)+COUNTIF(DG$3:DG127,DG127)=1,MAX(JL$2:JN126,JL127,JM127)+1,""))</f>
        <v/>
      </c>
      <c r="JO127" t="str">
        <f t="shared" si="269"/>
        <v>3х1,5</v>
      </c>
      <c r="JP127" t="str">
        <f>IF(JO127="","",IF(COUNTIF(JO$3:JO127,JO127)=1,MAX(JP$2:JP126)+1,""))</f>
        <v/>
      </c>
      <c r="JQ127" t="str">
        <f>IF(HG127="","",COUNTIF(HG$3:HG127,"?*"))</f>
        <v/>
      </c>
      <c r="JR127" t="str">
        <f>IF(OR(HG127="",HI127=""),"",IF(COUNTIFS(HG$3:HG127,"?*",HI$3:HI127,HI127)=1,MAX(JR$2:JR126)+1,""))</f>
        <v/>
      </c>
      <c r="JS127">
        <f t="shared" si="270"/>
        <v>0</v>
      </c>
      <c r="JT127">
        <f>IF(B127="","",COUNTIF(B$3:B127,"?*"))</f>
        <v>125</v>
      </c>
      <c r="JU127">
        <f>IF(HL127&lt;&gt;1,0,_xlfn.LET(_xlpm.k,MAX(IFERROR(--_xlfn.XLOOKUP(B127,Коды_код,Коды_3L),0),IFERROR(--_xlfn.XLOOKUP(BC127,Коды_код,Коды_3L),0),IFERROR(--_xlfn.XLOOKUP(LEFT(BC127,2),Коды_код,Коды_3L),0)),IF(_xlpm.k&gt;0,_xlpm.k,IF(IFERROR(--LEFT(SUBSTITUTE(JO127,"x","х"),FIND("х",SUBSTITUTE(JO127,"x","х"))-1),3)&gt;3,Каталог!$S$9,1))))</f>
        <v>1</v>
      </c>
      <c r="JV127">
        <f t="shared" si="271"/>
        <v>0</v>
      </c>
      <c r="JW127" t="str">
        <f t="shared" si="272"/>
        <v>авто</v>
      </c>
      <c r="JX127" t="str">
        <f t="shared" si="273"/>
        <v/>
      </c>
      <c r="JY127">
        <f t="shared" si="274"/>
        <v>0</v>
      </c>
      <c r="JZ127">
        <f t="shared" si="275"/>
        <v>1</v>
      </c>
    </row>
    <row r="128" spans="1:286" x14ac:dyDescent="0.3">
      <c r="A128" t="s">
        <v>745</v>
      </c>
      <c r="B128" t="s">
        <v>1438</v>
      </c>
      <c r="C128" t="s">
        <v>1681</v>
      </c>
      <c r="D128">
        <v>1</v>
      </c>
      <c r="E128">
        <v>0.376</v>
      </c>
      <c r="G128">
        <v>10</v>
      </c>
      <c r="H128" t="str">
        <f>Линии[[#This Row],[_авто управление]]</f>
        <v/>
      </c>
      <c r="I128" t="str">
        <f>Линии[[#This Row],[_авто аппараты]]</f>
        <v/>
      </c>
      <c r="J128">
        <v>1.5</v>
      </c>
      <c r="K128">
        <v>73</v>
      </c>
      <c r="L128" t="str">
        <f>Линии[[#This Row],[_авто фаза]]</f>
        <v>L3</v>
      </c>
      <c r="M128" t="s">
        <v>484</v>
      </c>
      <c r="N128" t="str">
        <f t="shared" si="138"/>
        <v/>
      </c>
      <c r="O128" s="6" cm="1">
        <f t="array" ref="O128">IF(B128="","",IF(BH128&lt;&gt;"",IFERROR(_xlfn.XLOOKUP(BH128,Щиты[Щит],Щиты[Iр, А]),""),IF(BP128=1,IF(OR(N(_xlfn.XLOOKUP(A128,Щиты[Щит],Щиты[Вводов],1))&lt;=1,LOWER(TRIM(_xlfn.XLOOKUP(A128,Щиты[Щит],Щиты[АВР],"")&amp;""))="да"),IFERROR(_xlfn.XLOOKUP(A128,Щиты[Щит],Щиты[Iр, А]),""),IFERROR(N(BS128)*_xlfn.XLOOKUP(A128,Щиты[Щит],Щиты[Кс итог])/(SQRT(3)*Uн_лин*_xlfn.XLOOKUP(A128,Щиты[Щит],Щиты[cos φ])),"")),IF(BV128=1,IFERROR(BS128*1000/BU128,""),IFERROR(_xlfn.IFS(BX128=1,BS128/((Uн_лин/SQRT(3))*CE128),BX128=3,BS128/(SQRT(3)*Uн_лин*CE128)),"")))))</f>
        <v>2.0351596988934304</v>
      </c>
      <c r="P128" s="7">
        <f>IF(B128="","",IFERROR(IF(VLOOKUP(BC128,Потребители_обозначение,4,FALSE)=1,VLOOKUP(BC128,Потребители_обозначение,3,FALSE)*(MAX(1,N(D128))*2-1)+EI128+VLOOKUP(BE128,Этаж_обозначение,3,FALSE)+VLOOKUP(BE128,Этаж_обозначение,4,FALSE),VLOOKUP(BC128,Потребители_обозначение,3,FALSE)*(MAX(1,N(D128))*2-1)+EI128),EI128))</f>
        <v>75</v>
      </c>
      <c r="Q128" s="6">
        <f t="shared" si="139"/>
        <v>1.84</v>
      </c>
      <c r="R128" t="str">
        <f t="shared" si="140"/>
        <v>ВВГнг(А)-LS (3х1,5)</v>
      </c>
      <c r="S128" t="str">
        <f>IF(BM128="","",IF(BN128="вводной узел","узел ","")&amp;"л."&amp;(INT((BM128-1)/Столбцов_на_лист)+1)&amp;" / "&amp;(MOD(BM128-1,Столбцов_на_лист)+1))</f>
        <v>л.3 / 8</v>
      </c>
      <c r="T128" s="119">
        <f t="shared" si="141"/>
        <v>1.6</v>
      </c>
      <c r="U128" s="7" t="str">
        <f>IF(OR(CG128=0,N(BV128)+N(IB128)=0),"",ROUNDUP(Запас_БП*(N(HY128)+N(HZ128)),0))</f>
        <v/>
      </c>
      <c r="V128" s="119" t="str">
        <f t="shared" si="142"/>
        <v/>
      </c>
      <c r="W128" s="7" t="str">
        <f>IFERROR(IF(OR(B128="",BP128=1,BV128=1,NOT(ISNUMBER(EN128)),N(DT128)=0),"",MAX(0,ROUNDDOWN((c_min*(Uн_лин*1000/SQRT(3))/(HT128*N(DT128))-_xlfn.XLOOKUP(A128,Щиты[Щит],Щиты[Zпетли на шинах, Ом]))*EN128/(2*ρкз_Cu),0))),"")</f>
        <v/>
      </c>
      <c r="Y128" t="str">
        <f>Линии[[#This Row],[_авто утечка]]</f>
        <v/>
      </c>
      <c r="Z128">
        <v>1</v>
      </c>
      <c r="AA128">
        <v>230</v>
      </c>
      <c r="AB128" t="s">
        <v>598</v>
      </c>
      <c r="AC128">
        <v>0.5</v>
      </c>
      <c r="AG128" t="s">
        <v>810</v>
      </c>
      <c r="AI128" t="s">
        <v>576</v>
      </c>
      <c r="AK128" t="str">
        <f>Линии[[#This Row],[_авто модуль]]</f>
        <v/>
      </c>
      <c r="AM128">
        <v>42</v>
      </c>
      <c r="AN128" t="s">
        <v>11</v>
      </c>
      <c r="AO128">
        <v>3</v>
      </c>
      <c r="AQ128">
        <v>58</v>
      </c>
      <c r="AR128">
        <v>17</v>
      </c>
      <c r="AT128">
        <v>1</v>
      </c>
      <c r="BA128" cm="1">
        <f t="array" ref="BA128">ROW()-ROW(Линии[#Headers])</f>
        <v>126</v>
      </c>
      <c r="BC128" s="6" t="str">
        <f t="shared" si="143"/>
        <v>K</v>
      </c>
      <c r="BD128" t="str">
        <f t="shared" si="144"/>
        <v>1.015A</v>
      </c>
      <c r="BE128" t="str">
        <f t="shared" si="145"/>
        <v>1</v>
      </c>
      <c r="BF128" t="str">
        <f t="shared" si="146"/>
        <v>015A</v>
      </c>
      <c r="BG128" t="str">
        <f t="shared" si="147"/>
        <v>015A</v>
      </c>
      <c r="BH128" t="str">
        <f>IF(X128&lt;&gt;"",X128,IF(AND(B128&lt;&gt;"",B128&lt;&gt;A128,ISNUMBER(_xlfn.XMATCH(B128,Щиты[Щит]))),B128,""))</f>
        <v/>
      </c>
      <c r="BI128" t="str" cm="1">
        <f t="array" ref="BI128">IF(B128="","",IF(BH128&lt;&gt;"","Щит "&amp;BH128,_xlfn.LET(_xlpm.nm,IFERROR(_xlfn.XLOOKUP(BC128,Коды_код,Коды_имя)&amp;"",""),_xlpm.md,IFERROR(N(_xlfn.XLOOKUP(BC128,Коды_код,Коды_режим)),1),_xlpm.ex,IF(Имя_режим="по экспликации",IFERROR(_xlfn.XLOOKUP(BE128&amp;"|"&amp;BG128,Экспликация[Этаж]&amp;"|"&amp;Экспликация[Помещение],Экспликация[Название])&amp;"",""),""),_xlpm.rm,IF(BG128="","",IF(_xlpm.ex&lt;&gt;"",". "&amp;_xlpm.ex&amp;IF(Имя_пом="нет"," ("&amp;BG128&amp;")"," (пом. "&amp;BG128&amp;")"),IF(Имя_пом="нет"," ",", пом. ")&amp;BG128)),IF(_xlpm.nm="","",IF(_xlpm.md=2,_xlpm.nm&amp;" шлейф "&amp;BE128,_xlpm.nm&amp;_xlpm.rm)))))</f>
        <v>Внутренний блок кондиционирования, пом. 015A</v>
      </c>
      <c r="BJ128" t="str">
        <f t="shared" si="148"/>
        <v>Внутренний блок кондиционирования первый этаж Пом. №002Б</v>
      </c>
      <c r="BK128">
        <f>IFERROR(_xlfn.XMATCH(A128,Щиты[Щит]),0)</f>
        <v>6</v>
      </c>
      <c r="BL128">
        <f>_xlfn.LET(_xlpm.k,IFERROR(_xlfn.XLOOKUP(A128,Щиты[Щит],Щиты[Мест под вводной узел]),""),IF(_xlpm.k="",Столбцов_на_лист,N(_xlpm.k)))</f>
        <v>12</v>
      </c>
      <c r="BM128">
        <f t="shared" si="149"/>
        <v>42</v>
      </c>
      <c r="BN128" t="str">
        <f t="shared" si="150"/>
        <v>линии</v>
      </c>
      <c r="BO128" s="6">
        <f>IFERROR(N(_xlfn.XLOOKUP(BC128,Коды_код,Коды_квт)),0)</f>
        <v>0</v>
      </c>
      <c r="BP128">
        <f t="shared" si="151"/>
        <v>0</v>
      </c>
      <c r="BQ128" t="str">
        <f>IF(B128="","",IF(BH128&lt;&gt;"",IFERROR(_xlfn.XLOOKUP(BH128,Щиты[Щит],Щиты[Руст, кВт]),0),IF(BP128=1,IF(OR(N(_xlfn.XLOOKUP(A128,Щиты[Щит],Щиты[Вводов],1))&lt;=1,LOWER(TRIM(_xlfn.XLOOKUP(A128,Щиты[Щит],Щиты[АВР],"")&amp;""))="да"),IFERROR(_xlfn.XLOOKUP(A128,Щиты[Щит],Щиты[Руст, кВт]),0),SUMIFS(Линии[_Р для вводов],Линии[Щит],A128,Линии[Источник для режимов],GF128)),IF(BO128&gt;0,ROUND(BO128*MAX(1,N(D128)),3),""))))</f>
        <v/>
      </c>
      <c r="BR128">
        <f t="shared" si="152"/>
        <v>0.376</v>
      </c>
      <c r="BS128" s="6">
        <f>IF(B128="","",IF(BH128&lt;&gt;"",IFERROR(_xlfn.XLOOKUP(BH128,Щиты[Щит],Щиты[Руст, кВт]),0),N(BR128)))</f>
        <v>0.376</v>
      </c>
      <c r="BT128" t="str">
        <f>IF(B128="","",IFERROR(IF(VLOOKUP(BC128,Потребители_обозначение,8,FALSE)=0,"",VLOOKUP(BC128,Потребители_обозначение,8,FALSE)),""))</f>
        <v/>
      </c>
      <c r="BU128">
        <f t="shared" si="153"/>
        <v>230</v>
      </c>
      <c r="BV128">
        <f t="shared" si="154"/>
        <v>0</v>
      </c>
      <c r="BW128">
        <f>IF(B128="","",IF(BH128&lt;&gt;"",3,IFERROR(IF(N(VLOOKUP(BC128,Потребители_обозначение,9,FALSE))=0,1,VLOOKUP(BC128,Потребители_обозначение,9,FALSE)),1)))</f>
        <v>1</v>
      </c>
      <c r="BX128">
        <f t="shared" si="155"/>
        <v>1</v>
      </c>
      <c r="BY128" t="str">
        <f>IF(B128="","",_xlfn.LET(_xlpm.bc,IFERROR(IF(VLOOKUP(BC128,Потребители_обозначение,6,FALSE)=0,"",VLOOKUP(BC128,Потребители_обозначение,6,FALSE)&amp;""),""),IF(AND(GA128="да",OR(_xlpm.bc="",_xlpm.bc="мс")),Марка_пож,IF(AND(_xlpm.bc="",BH128&lt;&gt;""),"мс",_xlpm.bc))))</f>
        <v/>
      </c>
      <c r="BZ128" t="str">
        <f t="shared" si="156"/>
        <v>мс</v>
      </c>
      <c r="CA128">
        <f>IF(B128="","",_xlfn.LET(_xlpm.cc,IFERROR(N(VLOOKUP(BC128,Потребители_обозначение,7,FALSE)),0),IF(_xlpm.cc&gt;0,_xlpm.cc,IF(BZ128="","",IF(BV128=1,2,IF(N(BX128)=3,5,3))))))</f>
        <v>3</v>
      </c>
      <c r="CB128">
        <f t="shared" si="157"/>
        <v>3</v>
      </c>
      <c r="CC128">
        <f>IFERROR(N(VLOOKUP(BC128,Потребители_обозначение,10,FALSE)),0)</f>
        <v>0</v>
      </c>
      <c r="CD128">
        <f>IFERROR(VLOOKUP(BC128,Потребители_обозначение,5,FALSE),0)</f>
        <v>1</v>
      </c>
      <c r="CE128" s="6" cm="1">
        <f t="array" ref="CE128">IF(B128="","",IF(BH128&lt;&gt;"",IFERROR(_xlfn.XLOOKUP(BH128,Щиты[Щит],Щиты[cos φ]),0.95),IF(BP128=1,IFERROR(_xlfn.XLOOKUP(A128,Щиты[Щит],Щиты[cos φ]),0.95),IF(ISNUMBER(AD128),AD128,IFERROR(IF(CD128=2,_xlfn.IFS(BX128=3,VLOOKUP(BS128,Справочная_двигатели,8,FALSE),BX128=1,VLOOKUP(BS128,Справочная_двигатели,10,TRUE)),IF(AND(Методика="нормы 2026",FG128="Сил"),0.8,0.95)),0.95)))))</f>
        <v>0.8</v>
      </c>
      <c r="CF128">
        <f t="shared" si="158"/>
        <v>0</v>
      </c>
      <c r="CG128">
        <f t="shared" si="159"/>
        <v>1</v>
      </c>
      <c r="CH128">
        <f t="shared" si="160"/>
        <v>0</v>
      </c>
      <c r="CI128">
        <f>IF(B128="","",IF(BV128=1,IFERROR(BS128/((Uн_лин/SQRT(3))*MAX(0.5,N(CE128))),0),N(O128)))</f>
        <v>2.0351596988934304</v>
      </c>
      <c r="CJ128">
        <f t="shared" si="161"/>
        <v>0</v>
      </c>
      <c r="CK128">
        <f t="shared" si="162"/>
        <v>0</v>
      </c>
      <c r="CL128">
        <f t="shared" si="163"/>
        <v>0</v>
      </c>
      <c r="CM128">
        <f t="shared" si="164"/>
        <v>0</v>
      </c>
      <c r="CN128">
        <f t="shared" si="165"/>
        <v>0</v>
      </c>
      <c r="CO128">
        <f>IF(BC128="",0,_xlfn.LET(_xlpm.v,IFERROR(_xlfn.XLOOKUP(B128,Коды_код,Коды_мА),IFERROR(_xlfn.XLOOKUP(BC128,Коды_код,Коды_мА),IFERROR(_xlfn.XLOOKUP(LEFT(BC128,2),Коды_код,Коды_мА),""))),IF(_xlpm.v="да",30,IF(ISNUMBER(_xlpm.v),_xlpm.v,0))))</f>
        <v>0</v>
      </c>
      <c r="CP128" t="str">
        <f t="shared" si="166"/>
        <v/>
      </c>
      <c r="CQ128" t="str">
        <f>_xlfn.LET(_xlpm.k,IFERROR(_xlfn.XLOOKUP(BC128,Коды_код,Коды_утечка)&amp;"",""),IF(_xlpm.k="","дифавтомат",_xlpm.k))</f>
        <v>дифавтомат</v>
      </c>
      <c r="CR128" t="str" cm="1">
        <f t="array" ref="CR128">IF(CG128=0,"",_xlfn.LET(_xlpm.sg,TRIM(_xlfn.TEXTSPLIT(DD128&amp;"",";")),_xlpm.f_,_xlfn._xlws.FILTER(_xlpm.sg,LEFT(_xlpm.sg,3)="УЗО",""),IFERROR(INDEX(_xlpm.f_,1)&amp;"","")))</f>
        <v/>
      </c>
      <c r="CS128" t="str">
        <f t="shared" si="167"/>
        <v/>
      </c>
      <c r="CT128" s="6" t="str" cm="1">
        <f t="array" ref="CT128">IF(CR128="","",_xlfn.LET(_xlpm.tk,_xlfn.TEXTSPLIT(UPPER(CR128)," ",,TRUE),_xlpm.a_,_xlfn._xlws.FILTER(_xlpm.tk,ISNUMBER(--LEFT(_xlpm.tk,1))*((ISNUMBER(SEARCH("А",_xlpm.tk))+ISNUMBER(SEARCH("A",_xlpm.tk)))&gt;0)*NOT(ISNUMBER(SEARCH("МА",_xlpm.tk)))*NOT(ISNUMBER(SEARCH("MA",_xlpm.tk))),""),IFERROR(--SUBSTITUTE(SUBSTITUTE(INDEX(_xlpm.a_,1),"А",""),"A",""),"")))</f>
        <v/>
      </c>
      <c r="CU128" t="str" cm="1">
        <f t="array" ref="CU128">IF(CR128="","",_xlfn.LET(_xlpm.tk,_xlfn.TEXTSPLIT(UPPER(CR128)," ",,TRUE),_xlpm.a_,_xlfn._xlws.FILTER(_xlpm.tk,ISNUMBER(--LEFT(_xlpm.tk,1))*((ISNUMBER(SEARCH("МА",_xlpm.tk))+ISNUMBER(SEARCH("MA",_xlpm.tk)))&gt;0),""),IFERROR(--SUBSTITUTE(SUBSTITUTE(INDEX(_xlpm.a_,1),"МА",""),"MA",""),30)))</f>
        <v/>
      </c>
      <c r="CV128" t="str">
        <f>IF(CS128="","",IFERROR(_xlfn.XLOOKUP(CS128,Линии[_n],Линии[_УЗО, мА]),30))</f>
        <v/>
      </c>
      <c r="CW128">
        <f>IF(CS128="",0,IF(ISNUMBER(SEARCH("4P",IFERROR(_xlfn.XLOOKUP(CS128,Линии[_n],Линии[_УЗО строки])&amp;"",""))),0,1))</f>
        <v>0</v>
      </c>
      <c r="CX128" t="str">
        <f>IF(AND(CS128&lt;&gt;"",CS128=BA128),SUMIFS(Линии[_ток на 230 В],Линии[_блок УЗО],BA128,Линии[Щит],A128),"")</f>
        <v/>
      </c>
      <c r="CY128" t="str">
        <f>IF(AND(CS128&lt;&gt;"",CS128=BA128),SUMIFS(Линии[_ток утечки линии, мА],Линии[_блок УЗО],BA128,Линии[Щит],A128),"")</f>
        <v/>
      </c>
      <c r="CZ128">
        <f t="shared" si="168"/>
        <v>0</v>
      </c>
      <c r="DA128">
        <f t="shared" si="169"/>
        <v>0</v>
      </c>
      <c r="DB128">
        <f>IF(B128="",0,IFERROR(--_xlfn.XLOOKUP(B128,Коды_код,Коды_минавт),IFERROR(--_xlfn.XLOOKUP(BC128,Коды_код,Коды_минавт),IFERROR(--_xlfn.XLOOKUP(LEFT(BC128,2),Коды_код,Коды_минавт),0))))</f>
        <v>0</v>
      </c>
      <c r="DC128" t="str">
        <f>IF(B128="","",IFERROR(_xlfn.XLOOKUP(BC128,Коды_код,Коды_апп)&amp;"",""))</f>
        <v/>
      </c>
      <c r="DD128" t="str">
        <f t="shared" si="170"/>
        <v/>
      </c>
      <c r="DE128" t="str" cm="1">
        <f t="array" ref="DE128">IF(TRIM(DD128&amp;"")="","",IFERROR(TRIM(INDEX(_xlfn.TEXTSPLIT(DD128&amp;";;;",";"),1)),""))</f>
        <v/>
      </c>
      <c r="DF128" t="str" cm="1">
        <f t="array" ref="DF128">IF(TRIM(DD128&amp;"")="","",IFERROR(TRIM(INDEX(_xlfn.TEXTSPLIT(DD128&amp;";;;",";"),2)),""))</f>
        <v/>
      </c>
      <c r="DG128" t="str" cm="1">
        <f t="array" ref="DG128">IF(TRIM(DD128&amp;"")="","",IFERROR(TRIM(INDEX(_xlfn.TEXTSPLIT(DD128&amp;";;;",";"),3)),""))</f>
        <v/>
      </c>
      <c r="DH128">
        <f t="shared" si="171"/>
        <v>0</v>
      </c>
      <c r="DI128" t="str">
        <f>IF(B128="","",_xlfn.LET(_xlpm.t,LOWER(AZ128&amp;""),IF(ISNUMBER(SEARCH("dim",_xlpm.t)),"DIM",IF(ISNUMBER(SEARCH("dali",_xlpm.t)),"DALI",IF(OR(ISNUMBER(SEARCH("relay",_xlpm.t)),ISNUMBER(SEARCH("реле",_xlpm.t))),"Relay",IF(ISNUMBER(SEARCH("кнопк",_xlpm.t)),"",IFERROR(_xlfn.XLOOKUP(BC128,Коды_код,Коды_упр)&amp;"","")))))))</f>
        <v/>
      </c>
      <c r="DJ128" t="str">
        <f t="shared" si="172"/>
        <v/>
      </c>
      <c r="DK128">
        <f>IF(B128="","",_xlfn.LET(_xlpm.ig,IF(N(CX128)&gt;0,N(CX128),N(CI128)+IF(AJ128="вручную",0,N(CJ128))),_xlpm.n0,IFERROR(VLOOKUP(_xlpm.ig,Автомат_номиналы,2,TRUE),0),_xlpm.mn,MAX(DB128,IF(AJ128="вручную",0,N(CM128))),MAX(_xlpm.n0,_xlpm.mn,IF(DH128=1,Мин_автомат_БП,0))))</f>
        <v>6</v>
      </c>
      <c r="DL128">
        <f t="shared" si="173"/>
        <v>1</v>
      </c>
      <c r="DM128" t="str">
        <f t="shared" si="174"/>
        <v>1P</v>
      </c>
      <c r="DN128" t="str">
        <f>_xlfn.LET(_xlpm.cc,UPPER(TRIM(IFERROR(_xlfn.XLOOKUP(BC128,Коды_код,Коды_хар)&amp;"",""))),IF(OR(_xlpm.cc="B",_xlpm.cc="В"),"B",IF(_xlpm.cc="D","D","С")))</f>
        <v>С</v>
      </c>
      <c r="DO128" t="str">
        <f t="shared" si="175"/>
        <v>1P С6А</v>
      </c>
      <c r="DP128">
        <f t="shared" si="176"/>
        <v>10</v>
      </c>
      <c r="DQ128" t="str">
        <f t="shared" si="177"/>
        <v>1P С10А</v>
      </c>
      <c r="DR128" cm="1">
        <f t="array" ref="DR128">IF(DQ128="","",_xlfn.LET(_xlpm.t,SUBSTITUTE(SUBSTITUTE(SUBSTITUTE(UPPER(DQ128),"С","C"),"А","A"),"В","B"),_xlpm.tk,_xlfn.TEXTSPLIT(_xlpm.t," "),_xlpm.f,_xlfn._xlws.FILTER(_xlpm.tk,ISNUMBER(--MID(_xlpm.tk,2,1))*ISNUMBER(SEARCH(LEFT(_xlpm.tk,1)&amp;"#","B#C#D#"))*(LEN(_xlpm.tk)&gt;1),""),_xlpm.x,INDEX(_xlpm.f,1),IFERROR(--SUBSTITUTE(MID(_xlpm.x,2,9),"A",""),IFERROR(--SUBSTITUTE(INDEX(_xlfn._xlws.FILTER(_xlpm.tk,ISNUMBER(--SUBSTITUTE(_xlpm.tk,"A","")),""),1),"A",""),""))))</f>
        <v>10</v>
      </c>
      <c r="DS128" t="str">
        <f t="shared" si="178"/>
        <v>ok</v>
      </c>
      <c r="DT128">
        <f t="shared" si="179"/>
        <v>10</v>
      </c>
      <c r="DU128" t="str">
        <f t="shared" si="180"/>
        <v>1P С10А</v>
      </c>
      <c r="DV128">
        <f t="shared" si="181"/>
        <v>0</v>
      </c>
      <c r="DW128">
        <f t="shared" si="182"/>
        <v>0</v>
      </c>
      <c r="DX128">
        <f t="shared" si="183"/>
        <v>0</v>
      </c>
      <c r="DY128">
        <f t="shared" si="184"/>
        <v>2.0351596988934304</v>
      </c>
      <c r="DZ128">
        <f t="shared" si="185"/>
        <v>1</v>
      </c>
      <c r="EA128">
        <f>IF(ISNUMBER(AP128),AP128,К_прокл)</f>
        <v>1</v>
      </c>
      <c r="EB128">
        <f t="shared" si="186"/>
        <v>2</v>
      </c>
      <c r="EC128">
        <f>IFERROR(N(VLOOKUP(BZ128,Кабель_обозначение,3,FALSE)),1)</f>
        <v>1</v>
      </c>
      <c r="ED128">
        <f>IFERROR(N(_xlfn.XLOOKUP(A128,Щиты[Щит],Щиты[ΔU до шин, %])),0)</f>
        <v>0.24000000000000002</v>
      </c>
      <c r="EE128" t="str">
        <f>IFERROR(_xlfn.XLOOKUP(A128,Щиты[Щит],Щиты[Zпетли на шинах, Ом]),"")</f>
        <v/>
      </c>
      <c r="EF128">
        <f>IFERROR(N(_xlfn.XLOOKUP(A128,Щиты[Щит],Щиты[ΔU до шин (подбор), %])),0)</f>
        <v>0.36</v>
      </c>
      <c r="EG128" t="str">
        <f>IFERROR(_xlfn.XLOOKUP(A128,Щиты[Щит],Щиты[Zпетли на шинах (подбор), Ом]),"")</f>
        <v/>
      </c>
      <c r="EH128" t="str">
        <f t="shared" si="187"/>
        <v/>
      </c>
      <c r="EI128">
        <f t="shared" si="188"/>
        <v>73</v>
      </c>
      <c r="EJ128">
        <f t="shared" si="189"/>
        <v>2</v>
      </c>
      <c r="EK128">
        <f t="shared" si="190"/>
        <v>0.6</v>
      </c>
      <c r="EL128" s="6">
        <f>IF(B128="","",IF(BV128=1,dU_LED,IF(IFERROR(_xlfn.XLOOKUP(BC128,Коды_код,Коды_уго),"")="Светильник",3,4)+IF(Методика="нормы 2026",MIN(0.5,MAX(0,N(P128)-100)*0.005),0)))</f>
        <v>4</v>
      </c>
      <c r="EM128" cm="1">
        <f t="array" ref="EM128">IF(OR(B128="",BZ128="",EC128&lt;&gt;1),"",_xlfn.LET(_xlpm.sz,Iдоп_S,_xlpm.t_,CHOOSE(EB128,Iдоп_1ж,Iдоп_2ж,Iдоп_3ж)*DZ128*EA128,_xlpm.dcx,BV128=1,_xlpm.inn,IF(_xlpm.dcx,N(O128),N(DT128)),_xlpm.smin,MAX(1.5,CC128),_xlpm.L_,N(P128)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128)/N(BU128)*100,999),IFERROR(N(EJ128)*(_xlpm.rho*_xlpm.L_/_xlpm.sz*N(CE128)+_xlpm.xx*_xlpm.L_*N(EK128)/1000)*N(O128)/((Uн_лин/SQRT(3))*1000)*100,999)),_xlpm.kz,IF(OR(_xlpm.dcx,DW128=1,NOT(ISNUMBER(EG128)),_xlpm.L_=0,_xlpm.inn=0),1,IFERROR(--(c_min*(Uн_лин*1000/SQRT(3))/(EG128+2*ρкз_Cu*_xlpm.L_/_xlpm.sz)&gt;=HT128*_xlpm.inn),0)),_xlpm.ok,IFERROR((_xlpm.sz&gt;=_xlpm.smin)*(_xlpm.t_&gt;=_xlpm.inn)*IF(_xlpm.L_&gt;0,(_xlpm.du_+IF(_xlpm.dcx,0,EF128)&lt;=EL128+0.00001),1)*_xlpm.kz,0),_xlpm.r_,_xlfn._xlws.FILTER(_xlpm.sz,_xlpm.ok,"не подобрано"),INDEX(_xlpm.r_,1)))</f>
        <v>1.5</v>
      </c>
      <c r="EN128">
        <f t="shared" si="191"/>
        <v>1.5</v>
      </c>
      <c r="EO128" cm="1">
        <f t="array" ref="EO128">IF(OR(B128="",BZ128="",EC128&lt;&gt;1),"",_xlfn.LET(_xlpm.sz,Iдоп_S,_xlpm.t_,CHOOSE(EB128,Iдоп_1ж,Iдоп_2ж,Iдоп_3ж)*DZ128*EA128,_xlpm.ok,IFERROR((_xlpm.sz&gt;=MAX(1.5,CC128))*(_xlpm.t_&gt;=N(DT128)),0),_xlpm.r_,_xlfn._xlws.FILTER(_xlpm.sz,_xlpm.ok,""),INDEX(_xlpm.r_,1)))</f>
        <v>1.5</v>
      </c>
      <c r="EP128" s="6" cm="1">
        <f t="array" ref="EP128">IFERROR(ROUNDUP(N(EJ128)*(_xlfn.XLOOKUP(EO128,INDEX(Кабель_сопротивление,0,1),INDEX(Кабель_сопротивление,0,3))*N(P128)/EO128*N(CE128)+_xlfn.XLOOKUP(EO128,INDEX(Кабель_сопротивление,0,1),INDEX(Кабель_сопротивление,0,2))*N(P128)*N(EK128)/1000)*N(O128)/((Uн_лин/SQRT(3))*1000)*100,2),"")</f>
        <v>1.6</v>
      </c>
      <c r="EQ128">
        <f>IFERROR(2*ρкз_Cu*N(P128)/EO128,"")</f>
        <v>2.6300000000000003</v>
      </c>
      <c r="ER128">
        <f>IFERROR(VLOOKUP(EN128,Кабель_сопротивление,3,FALSE),"")</f>
        <v>2.2499999999999999E-2</v>
      </c>
      <c r="ES128">
        <f>IFERROR(VLOOKUP(EN128,Кабель_сопротивление,2,FALSE),"")</f>
        <v>0.11</v>
      </c>
      <c r="ET128">
        <f t="shared" si="192"/>
        <v>17</v>
      </c>
      <c r="EU128">
        <f t="shared" si="193"/>
        <v>0</v>
      </c>
      <c r="EV128">
        <f t="shared" si="194"/>
        <v>3.68343553902722</v>
      </c>
      <c r="EW128" s="6">
        <f>IFERROR(ROUNDUP(EV128/IF(BV128=1,BU128,(Uн_лин/SQRT(3))*1000)*100,2),"")</f>
        <v>1.6</v>
      </c>
      <c r="EX128" t="str">
        <f>IFERROR(VLOOKUP(BZ128,Кабель_обозначение,2,FALSE),"")</f>
        <v>ВВГнг(А)-LS</v>
      </c>
      <c r="EY128" t="str">
        <f t="shared" si="195"/>
        <v>ВВГнг(А)-LS (3х1,5)</v>
      </c>
      <c r="EZ128" t="str">
        <f t="shared" si="196"/>
        <v>ВВГнг(А)-LS (3х1,5)
L=75-1,6%</v>
      </c>
      <c r="FA128">
        <f>IFERROR(2*ρкз_Cu*P128/EN128,"")</f>
        <v>2.6300000000000003</v>
      </c>
      <c r="FB128">
        <f t="shared" si="197"/>
        <v>0.87500000000000011</v>
      </c>
      <c r="FC128" s="6" t="str">
        <f>IFERROR(IF(OR(B128="",BV128=1,NOT(ISNUMBER(EN128)),N(P128)=0),"",_xlfn.XLOOKUP(A128,Щиты[Щит],Щиты[Zпетли на шинах, Ом])+FA128),"")</f>
        <v/>
      </c>
      <c r="FD128" s="6" t="str">
        <f>IF(ISNUMBER(FC128),c_min*(Uн_лин*1000/SQRT(3))/FC128,"")</f>
        <v/>
      </c>
      <c r="FE128" s="6" t="str">
        <f>IFERROR(IF(OR(B128="",NOT(ISNUMBER(EN128))),"",1.05*(Uн_лин*1000/SQRT(3))/(_xlfn.XLOOKUP(A128,Щиты[Щит],Щиты[Zmax на шинах, Ом])+FB128)/1000),"")</f>
        <v/>
      </c>
      <c r="FF128" s="6" t="str">
        <f>IF(B128="","",IF(ISNUMBER(AC128),"Сил",IF(IFERROR(_xlfn.XLOOKUP(BC128,Коды_код,Коды_группа)&amp;"","")="","Быт",_xlfn.XLOOKUP(BC128,Коды_код,Коды_группа)&amp;"")))</f>
        <v>Сил</v>
      </c>
      <c r="FG128" s="6" t="str">
        <f t="shared" si="198"/>
        <v>Сил</v>
      </c>
      <c r="FH128" s="6">
        <f>IF(FG128="Щит","щит",IF(FG128="","",IF(FG128="Быт",IFERROR(_xlfn.XLOOKUP(A128,Щиты[Щит],Щиты[Кс быт]),1),IF(FG128="Сил",IF(ISNUMBER(AC128),AC128,IF(Методика="нормы 2026",IFERROR(_xlfn.XLOOKUP(A128,Щиты[Щит],Щиты[Кс силовых (табл. 7.5)]),1),1)),IF(OR(FG128="Пост",FG128="Отоп"),1,IF(FG128="ВНГ",0.7,0))))))</f>
        <v>0.5</v>
      </c>
      <c r="FI128">
        <f>IF(FG128="","",IF(AND(BP128=1,TRIM(AE128&amp;"")=""),IF(COUNTIFS(Линии[Щит],A128,Линии[Секция (1/2/3)],"&gt;=2")&gt;0,MIN(3,MAX(1,IFERROR(--BD128,1))),1),IFERROR(MIN(3,MAX(1,INT(--AE128))),1)))</f>
        <v>1</v>
      </c>
      <c r="FJ128">
        <f t="shared" si="199"/>
        <v>0.376</v>
      </c>
      <c r="FK128">
        <f t="shared" si="200"/>
        <v>0</v>
      </c>
      <c r="FL128">
        <f t="shared" si="201"/>
        <v>0.188</v>
      </c>
      <c r="FM128">
        <f t="shared" si="202"/>
        <v>0</v>
      </c>
      <c r="FN128">
        <f t="shared" si="203"/>
        <v>0</v>
      </c>
      <c r="FO128">
        <f t="shared" si="204"/>
        <v>0</v>
      </c>
      <c r="FP128">
        <f t="shared" si="205"/>
        <v>0.376</v>
      </c>
      <c r="FQ128">
        <f t="shared" si="206"/>
        <v>0.376</v>
      </c>
      <c r="FR128">
        <f t="shared" si="207"/>
        <v>0.30080000000000001</v>
      </c>
      <c r="FS128">
        <f>IF(CG128=1,IF(AND(CH128=1,CW128=1),0,IF(AND(CS128&lt;&gt;"",CS128=BA128,CW128=1),SUMIFS(Линии[_Р линии, кВт],Линии[_блок УЗО],BA128,Линии[Щит],A128),N(BS128)+IF(AJ128="вручную",0,N(CK128)))),0)</f>
        <v>0.376</v>
      </c>
      <c r="FT128" t="str">
        <f t="shared" si="208"/>
        <v/>
      </c>
      <c r="FU128" t="str">
        <f>IF(B128="","",IF(CG128=0,IF(BA128=1,"",FW127),IF(AND(CH128=1,CW128=1,CS128&lt;&gt;""),IFERROR(_xlfn.XLOOKUP(CS128,Линии[_n],Линии[_фаза итог]),"L1"),IF(OR(N(DL128)&gt;=3,N(BX128)&gt;=3),"L1,L2,L3",IFERROR(_xlfn.TEXTBEFORE(_xlfn.TEXTAFTER(_xlfn.XLOOKUP(A128,Щиты[Щит],Щиты[_фазы авто]),";"&amp;BA128&amp;":"),";"),"L1")))))</f>
        <v>L3</v>
      </c>
      <c r="FV128" t="str">
        <f t="shared" si="209"/>
        <v>L3</v>
      </c>
      <c r="FW128" t="str">
        <f t="shared" si="210"/>
        <v>L3</v>
      </c>
      <c r="FX128" cm="1">
        <f t="array" ref="FX128">IFERROR(IF(CD128=2,_xlfn.IFS(BX128=3,VLOOKUP(BS128,Справочная_двигатели,3,FALSE),BX128=1,VLOOKUP(BS128,Справочная_двигатели,5,TRUE)),0),0)</f>
        <v>0</v>
      </c>
      <c r="FY128">
        <f>IFERROR(IF(CD128=3,VLOOKUP(BS128,Справочная_ЛЭД,2,TRUE),0),0)</f>
        <v>0</v>
      </c>
      <c r="FZ128" s="6">
        <f t="shared" si="211"/>
        <v>0</v>
      </c>
      <c r="GA128" t="str">
        <f>IF(B128="","",IF(TRIM(AH128&amp;"")&lt;&gt;"",IF(LOWER(TRIM(AH128&amp;""))="да","да","нет"),IF(IFERROR(_xlfn.XLOOKUP(BC128,Коды_код,Коды_пожарная),"")="да","да","нет")))</f>
        <v>нет</v>
      </c>
      <c r="GB128" t="str">
        <f t="shared" si="212"/>
        <v/>
      </c>
      <c r="GC128" t="str">
        <f t="shared" si="213"/>
        <v>основная</v>
      </c>
      <c r="GD128">
        <f>IF(AND(BP128=1,TRIM(AE128&amp;"")=""),IF(COUNTIFS(Линии[Щит],A128,Линии[Секция (1/2/3)],"&gt;=2")&gt;0,MIN(3,MAX(1,IFERROR(--BD128,1))),1),IFERROR(MIN(3,MAX(1,INT(--AE128))),1))</f>
        <v>1</v>
      </c>
      <c r="GE128" t="str" cm="1">
        <f t="array" ref="GE128">IF(B128="","",_xlfn.LET(_xlpm.t,IFERROR(_xlfn.XLOOKUP(1,(Шины[Шина]=GC128)*(((Шины[Щит]=A128)+(Шины[Щит]=""))&gt;0),Шины[Тип]),"")&amp;"",IF(_xlpm.t&lt;&gt;"",_xlpm.t,IF(ISNUMBER(SEARCH("ИБП",GC128)),"ИБП",IF(ISNUMBER(SEARCH("ДГУ",GC128)),"ДГУ","Ввод "&amp;GD128)))))</f>
        <v>Ввод 1</v>
      </c>
      <c r="GF128" t="str">
        <f t="shared" si="214"/>
        <v>Ввод 1</v>
      </c>
      <c r="GG128" t="str">
        <f>IF(BP128=0,"",IF(TRIM(AG128&amp;"")&lt;&gt;"",TRIM(AG128&amp;""),IF(OR(GE128="ИБП",GE128="ДГУ"),"I особая",_xlfn.XLOOKUP(A128,Щиты[Щит],Щиты[Категория шины «Ввод»],"III"))))</f>
        <v/>
      </c>
      <c r="GH128" t="str">
        <f>IF(A128="","",_xlfn.XLOOKUP(A128,Щиты[Щит],Щиты[Путь],""))</f>
        <v>|ГРЩ-ЖД|ЩОВ-01|</v>
      </c>
      <c r="GI128" t="str">
        <f>IF(B128="","",IF(AI128&lt;&gt;"",AI128,IF(IFERROR(_xlfn.XLOOKUP(BC128,Коды_код,Коды_вид)&amp;"","")="","Прочее",_xlfn.XLOOKUP(BC128,Коды_код,Коды_вид)&amp;"")))</f>
        <v>Кондиционирование и увлажнение</v>
      </c>
      <c r="GJ128">
        <f>IF(BM128="","",INT((BM128-1)/Столбцов_на_лист)+1)</f>
        <v>3</v>
      </c>
      <c r="GK128" t="str">
        <f t="shared" si="215"/>
        <v>ВВГнг(А)-LS (3х1,5) L=75-1,6%</v>
      </c>
      <c r="GL128">
        <f t="shared" si="216"/>
        <v>0.376</v>
      </c>
      <c r="GM128">
        <f t="shared" si="217"/>
        <v>2.0399999999999996</v>
      </c>
      <c r="GN128">
        <f t="shared" si="218"/>
        <v>1</v>
      </c>
      <c r="GO128">
        <f t="shared" si="219"/>
        <v>0</v>
      </c>
      <c r="GP128">
        <f t="shared" si="220"/>
        <v>1</v>
      </c>
      <c r="GQ128">
        <f>IF(BM128="","",IF(AND(CG128=1,GP128=1),COUNTIFS(A$3:A128,A128,CG$3:CG128,1,GP$3:GP128,1),IF(OR(OR(BA128=1,A128&lt;&gt;A127),AJ128="вручную",GP128=0),"",IF(BA128=1,"",GR127))))</f>
        <v>26</v>
      </c>
      <c r="GR128">
        <f t="shared" si="221"/>
        <v>26</v>
      </c>
      <c r="GS128">
        <f>IF(B128="","",IFERROR(LOOKUP(INDEX(CHOOSE(EB128,Iдоп_1ж,Iдоп_2ж,Iдоп_3ж),MATCH(EN128,Iдоп_S,0))*DZ128*EA128,{6,10,16,20,25,32,40,50,63,80,100,125,160,200,250,315,400,500,630}),""))</f>
        <v>16</v>
      </c>
      <c r="GT128" t="str">
        <f t="shared" si="222"/>
        <v>QF26</v>
      </c>
      <c r="GU128" t="str">
        <f t="shared" si="223"/>
        <v>QF26</v>
      </c>
      <c r="GV128" t="str">
        <f t="shared" si="224"/>
        <v/>
      </c>
      <c r="GW128">
        <f t="shared" si="225"/>
        <v>0</v>
      </c>
      <c r="GX128" t="str">
        <f>IF(OR(B128="",DJ128=""),"",IFERROR(_xlfn.XLOOKUP(DJ128,Модули_умолч[Управление],Модули_умолч[Модель])&amp;"",""))</f>
        <v/>
      </c>
      <c r="GY128">
        <f>IF(DJ128="",1,IFERROR(MAX(0,N(_xlfn.XLOOKUP(DJ128,Модули_умолч[Управление],Модули_умолч[Каналов на линию]))),1))</f>
        <v>1</v>
      </c>
      <c r="GZ128" t="str">
        <f t="shared" si="226"/>
        <v/>
      </c>
      <c r="HA128" t="str">
        <f t="shared" si="227"/>
        <v/>
      </c>
      <c r="HB128" t="str">
        <f t="shared" si="228"/>
        <v/>
      </c>
      <c r="HC128">
        <f>IF(HB128="",0,IFERROR(N(VLOOKUP(HB128,Модули_спр,3,FALSE)),0))</f>
        <v>0</v>
      </c>
      <c r="HD128" t="str">
        <f t="shared" si="229"/>
        <v/>
      </c>
      <c r="HE128" t="str">
        <f t="shared" si="230"/>
        <v/>
      </c>
      <c r="HF128" t="str">
        <f>IF(OR(HE128="",HE128="-"),"",IFERROR(VLOOKUP(HE128,Модули_спр,2,FALSE),"R"))</f>
        <v/>
      </c>
      <c r="HG128" t="str">
        <f>IF(HF128="","",HF128&amp;"."&amp;COUNTIFS(A$3:A128,A128,HF$3:HF128,HF128))</f>
        <v/>
      </c>
      <c r="HH128" t="str">
        <f t="shared" si="231"/>
        <v/>
      </c>
      <c r="HI128" t="str">
        <f t="shared" si="232"/>
        <v/>
      </c>
      <c r="HJ128" t="str">
        <f t="shared" si="233"/>
        <v/>
      </c>
      <c r="HK128" t="str">
        <f t="shared" si="234"/>
        <v/>
      </c>
      <c r="HL128">
        <f t="shared" si="235"/>
        <v>1</v>
      </c>
      <c r="HM128" t="str">
        <f>IF(HL128=1,"XT"&amp;COUNTIFS(A$3:A128,A128,HL$3:HL128,1),"")</f>
        <v>XT26</v>
      </c>
      <c r="HN128" t="str">
        <f t="shared" si="236"/>
        <v/>
      </c>
      <c r="HO128" t="str">
        <f t="shared" si="237"/>
        <v>QF26</v>
      </c>
      <c r="HP128" t="str">
        <f t="shared" si="238"/>
        <v/>
      </c>
      <c r="HQ128" t="str">
        <f t="shared" si="239"/>
        <v>ok</v>
      </c>
      <c r="HR128" t="str">
        <f>IF(OR(HJ128="",HH128=""),"",IF(HJ128+MAX(0,GY128-1)&gt;IFERROR(VLOOKUP(HI128,Модули_спр,3,FALSE),99),"ЛИШНИЙ КАНАЛ",IF(AND(AL128&lt;&gt;"=",GY128&gt;0,COUNTIFS(Линии[_модуль гр.],HH128,Линии[Канал (итог)],HJ128,Линии[Канал],"&lt;&gt;=",Линии[Щит],A128)&gt;1),"ДУБЛЬ КАНАЛА","")))</f>
        <v/>
      </c>
      <c r="HS128" s="6" t="str">
        <f t="shared" si="240"/>
        <v/>
      </c>
      <c r="HT128">
        <f t="shared" si="241"/>
        <v>10</v>
      </c>
      <c r="HU128" t="str">
        <f t="shared" si="242"/>
        <v/>
      </c>
      <c r="HV128">
        <f t="shared" si="243"/>
        <v>1.5640638795573722</v>
      </c>
      <c r="HW128">
        <f t="shared" si="244"/>
        <v>0</v>
      </c>
      <c r="HX128">
        <f t="shared" si="245"/>
        <v>0</v>
      </c>
      <c r="HY128">
        <f t="shared" si="246"/>
        <v>0</v>
      </c>
      <c r="HZ128">
        <f t="shared" si="247"/>
        <v>0</v>
      </c>
      <c r="IA128">
        <f t="shared" si="248"/>
        <v>0</v>
      </c>
      <c r="IB128">
        <f t="shared" si="249"/>
        <v>0</v>
      </c>
      <c r="IC128" t="str">
        <f t="shared" si="250"/>
        <v/>
      </c>
      <c r="ID128" t="str" cm="1">
        <f t="array" ref="ID128">IF(IC128="","",_xlfn.LET(_xlpm.tk,_xlfn.TEXTSPLIT(SUBSTITUTE(SUBSTITUTE(IC128,";"," "),"→"," ")," ",,TRUE),_xlpm.w_,_xlfn._xlws.FILTER(_xlpm.tk,ISNUMBER(--LEFT(_xlpm.tk,1))*((ISNUMBER(SEARCH("W",_xlpm.tk))+ISNUMBER(SEARCH("Вт",_xlpm.tk)))&gt;0),""),IFERROR(--SUBSTITUTE(SUBSTITUTE(UPPER(INDEX(_xlpm.w_,1)),"W",""),"ВТ",""),"")))</f>
        <v/>
      </c>
      <c r="IE128" t="str" cm="1">
        <f t="array" ref="IE128">IF(IC128="","",_xlfn.LET(_xlpm.tk,_xlfn.TEXTSPLIT(SUBSTITUTE(SUBSTITUTE(IC128,";"," "),"→"," ")," ",,TRUE),_xlpm.v_,_xlfn._xlws.FILTER(_xlpm.tk,ISNUMBER(--LEFT(_xlpm.tk,1))*((ISNUMBER(SEARCH("V",_xlpm.tk))+(RIGHT(UPPER(_xlpm.tk))="В"))&gt;0),""),IFERROR(--SUBSTITUTE(SUBSTITUTE(UPPER(INDEX(_xlpm.v_,1)),"V",""),"В",""),"")))</f>
        <v/>
      </c>
      <c r="IF128" s="6" t="str">
        <f>IF(OR(BV128=0,HI128="",HJ128=""),"",IFERROR(N(_xlfn.XLOOKUP(HI128,Каталог!$C$4:$C$500,Каталог!$Q$4:$Q$500)),""))</f>
        <v/>
      </c>
      <c r="IG128" s="6" t="str">
        <f>IF(N(IF128)=0,"",SUMIFS(Линии[Iр, А],Линии[Щит],A128,Линии[_модуль гр.],HH128,Линии[Канал (итог)],HJ128))</f>
        <v/>
      </c>
      <c r="IH128" t="str">
        <f>IF(AND(B128="",HO128=""),"",_xlfn.TEXTJOIN("; ",TRUE,IF(AND(B128&lt;&gt;"",FV128=""),"нет фазы",""),IF(AND(B128&lt;&gt;"",N(GL128)=0,FG128&lt;&gt;"Нет"),"нет мощности",""),IF(AND(HN128&lt;&gt;"",COUNTIFS(Линии[Щит],A128,Линии[Клемма (итог)],HN128)&gt;1),"дубль клеммы "&amp;HN128,""),IF(AND(HQ128&lt;&gt;"",HQ128&lt;&gt;"ok"),HQ128,""),IF(HR128&lt;&gt;"",HR128,""),IF(AND(N(CB128)&gt;=4,N(BX128)=1),CB128&amp;" жил на 1 фазе",""),IF(AND(BC128="R",CG128=1,IF(CS128&lt;&gt;"",N(CV128)&gt;30,OR(N(DA128)=0,N(DA128)&gt;30))),"розетка без дифзащиты до 30 мА",""),IF(AND(CG128=1,N(DA128)&gt;0,ISNUMBER(T128)),IF(T128&gt;N(DA128)/3,"ток утечки "&amp;FIXED(T128,1)&amp;" мА &gt; 1/3 уставки ("&amp;DA128&amp;" мА)",""),""),IF(AND(CH128=1,CS128=""),"«узо»: нет строки с УЗО выше (УЗО 2P 40А 30мА в «Аппаратах»)",""),IF(AND(CS128&lt;&gt;"",CS128=BA128),IF(CT128="","впишите номинал УЗО (УЗО 2P 40А 30мА)",IF(N(CT128)&lt;N(DT128),"УЗО "&amp;CT128&amp;" А &lt; автомата "&amp;DT128&amp;" А перед ним",IF(N(CT128)&lt;N(CX128),"УЗО "&amp;CT128&amp;" А &lt; тока блока "&amp;FIXED(CX128,1)&amp;" А",""))),""),IF(AND(CS128&lt;&gt;"",CS128=BA128,ISNUMBER(CY128)),IF(CY128&gt;N(CV128)/3,"ток утечки блока УЗО "&amp;FIXED(CY128,1)&amp;" мА &gt; 1/3 уставки ("&amp;CV128&amp;" мА)",""),""),IF(AND(CG128=1,N(BV128)+N(IB128)&gt;0,IC128=""),"линии до 50 В без БП: впишите в «Аппараты» (БП 24V 480W)",""),IF(AND(CG128=1,ISNUMBER(ID128),ISNUMBER(U128)),IF(U128&gt;ID128,"БП "&amp;ID128&amp;" Вт &lt; нужно "&amp;U128&amp;" Вт (×"&amp;Запас_БП&amp;")",""),""),IF(AND(CG128=1,ISNUMBER(IE128),N(BV128)=1),IF(IE128&lt;&gt;N(BU128),"БП на "&amp;IE128&amp;" В, линия "&amp;BU128&amp;" В",""),""),IF(AND(N(IF128)&gt;0,N(IG128)&gt;N(IF128)),HH128&amp;" канал "&amp;HJ128&amp;": "&amp;FIXED(IG128,1)&amp;" А &gt; "&amp;IF128&amp;" А",""),IFERROR(IF(AND(ISNUMBER(Q128),Q128&gt;EL128),"потери "&amp;FIXED(Q128,1)&amp;" % &gt; "&amp;EL128&amp;" %",""),""),IFERROR(IF(LEFT(HU128,4)="мало","Iкз мало — отключение &gt; 0,4 с",""),""),IF(AND(B128&lt;&gt;"",BM128=""),"не на схеме",""),IF(AND(CG128=0,B128&lt;&gt;"",FV128&lt;&gt;"",IF(BA128=1,"",FW127)&lt;&gt;"",FV128&lt;&gt;IF(BA128=1,"",FW127)),"фаза не как у автомата группы ("&amp;IF(BA128=1,"",FW127)&amp;")","")))</f>
        <v/>
      </c>
      <c r="II128" s="6">
        <f>IF(OR(CG128=0,DQ128=""),"",_xlfn.LET(_xlpm.t,IFERROR(_xlfn.XLOOKUP(DQ128,Каталог!$U$4:$U$500,Каталог!$G$4:$G$500),""),_xlpm.k,SEARCH("кА",_xlpm.t),IFERROR(--TRIM(RIGHT(SUBSTITUTE(MID(_xlpm.t,MAX(1,_xlpm.k-4),_xlpm.k-MAX(1,_xlpm.k-4))," ",REPT(" ",9)),5)),"")))</f>
        <v>6</v>
      </c>
      <c r="IJ128" t="str">
        <f>IF(OR(II128="",CG128=0),"",IF(_xlfn.XLOOKUP(A128,Щиты[Щит],Щиты[Iкз max на шинах, кА],"")="","",IF(II128&lt;_xlfn.XLOOKUP(A128,Щиты[Щит],Щиты[Iкз max на шинах, кА]),"Icu "&amp;II128&amp;" кА &lt; Iкз max","ok")))</f>
        <v/>
      </c>
      <c r="IK128" t="str">
        <f t="shared" si="251"/>
        <v/>
      </c>
      <c r="IL128" t="str">
        <f t="shared" si="252"/>
        <v>QF26</v>
      </c>
      <c r="IM128" t="str">
        <f t="shared" si="253"/>
        <v>QF26|кабель ВВГнг(А)-LS (3х1,5) → Внутренний блок кондиционирования первый этаж Пом. №002Б</v>
      </c>
      <c r="IN128" t="str" cm="1">
        <f t="array" ref="IN128">IF(IM128="","",_xlfn.LET(_xlpm.nd,_xlfn.TEXTSPLIT(IM128,"|"),IF(COLUMNS(_xlpm.nd)&gt;1,A128&amp;"¦"&amp;INDEX(_xlpm.nd,1)&amp;"¦"&amp;INDEX(_xlpm.nd,2),"")))</f>
        <v>ЩОВ-01¦QF26¦кабель ВВГнг(А)-LS (3х1,5) → Внутренний блок кондиционирования первый этаж Пом. №002Б</v>
      </c>
      <c r="IO128" t="str">
        <f t="shared" si="254"/>
        <v>K.1.015A¦Внутренний блок кондиционирования первый этаж Пом. №002Б</v>
      </c>
      <c r="IP128" t="str" cm="1">
        <f t="array" ref="IP128">IF(IM128="","",_xlfn.LET(_xlpm.nd,_xlfn.TEXTSPLIT(IM128,"|"),IF(COLUMNS(_xlpm.nd)&gt;2,A128&amp;"¦"&amp;INDEX(_xlpm.nd,2)&amp;"¦"&amp;INDEX(_xlpm.nd,3),"")))</f>
        <v/>
      </c>
      <c r="IQ128" t="str">
        <f t="shared" si="255"/>
        <v/>
      </c>
      <c r="IR128" t="str" cm="1">
        <f t="array" ref="IR128">IF(IM128="","",_xlfn.LET(_xlpm.nd,_xlfn.TEXTSPLIT(IM128,"|"),IF(COLUMNS(_xlpm.nd)&gt;3,A128&amp;"¦"&amp;INDEX(_xlpm.nd,3)&amp;"¦"&amp;INDEX(_xlpm.nd,4),"")))</f>
        <v/>
      </c>
      <c r="IS128" t="str">
        <f t="shared" si="256"/>
        <v/>
      </c>
      <c r="IT128" t="str" cm="1">
        <f t="array" ref="IT128">IF(IM128="","",_xlfn.LET(_xlpm.nd,_xlfn.TEXTSPLIT(IM128,"|"),IF(COLUMNS(_xlpm.nd)&gt;4,A128&amp;"¦"&amp;INDEX(_xlpm.nd,4)&amp;"¦"&amp;INDEX(_xlpm.nd,5),"")))</f>
        <v/>
      </c>
      <c r="IU128" t="str">
        <f t="shared" si="257"/>
        <v/>
      </c>
      <c r="IV128" t="str" cm="1">
        <f t="array" ref="IV128">IF(IM128="","",_xlfn.LET(_xlpm.nd,_xlfn.TEXTSPLIT(IM128,"|"),IF(COLUMNS(_xlpm.nd)&gt;5,A128&amp;"¦"&amp;INDEX(_xlpm.nd,5)&amp;"¦"&amp;INDEX(_xlpm.nd,6),"")))</f>
        <v/>
      </c>
      <c r="IW128" t="str">
        <f t="shared" si="258"/>
        <v/>
      </c>
      <c r="IX128" t="str" cm="1">
        <f t="array" ref="IX128">IF(IM128="","",_xlfn.LET(_xlpm.nd,_xlfn.TEXTSPLIT(IM128,"|"),IF(COLUMNS(_xlpm.nd)&gt;6,A128&amp;"¦"&amp;INDEX(_xlpm.nd,6)&amp;"¦"&amp;INDEX(_xlpm.nd,7),"")))</f>
        <v/>
      </c>
      <c r="IY128" t="str">
        <f t="shared" si="259"/>
        <v/>
      </c>
      <c r="IZ128" t="str">
        <f t="shared" si="260"/>
        <v/>
      </c>
      <c r="JA128" t="str">
        <f t="shared" si="261"/>
        <v>QF26</v>
      </c>
      <c r="JB128">
        <f t="shared" si="262"/>
        <v>0</v>
      </c>
      <c r="JC128">
        <f t="shared" si="263"/>
        <v>0</v>
      </c>
      <c r="JD128" t="str">
        <f t="shared" si="264"/>
        <v/>
      </c>
      <c r="JE128" t="str">
        <f t="shared" si="265"/>
        <v/>
      </c>
      <c r="JF128" t="str">
        <f t="shared" si="266"/>
        <v/>
      </c>
      <c r="JG128" t="str">
        <f t="shared" si="267"/>
        <v/>
      </c>
      <c r="JH128">
        <f>IF(B128="","",IFERROR(_xlfn.XLOOKUP(B128,Коды_код,Коды_уго),IFERROR(_xlfn.XLOOKUP(BC128,Коды_код,Коды_уго),IFERROR(_xlfn.XLOOKUP(LEFT(BC128,2),Коды_код,Коды_уго),""))))</f>
        <v>0</v>
      </c>
      <c r="JI128" t="str">
        <f>IF(B128="","",IF(OR(JH128="",JH128=0),"BOX",IFERROR(IF(VLOOKUP(JH128,УГО_блоки,3,FALSE)&amp;""&lt;&gt;"",VLOOKUP(JH128,УГО_блоки,3,FALSE),VLOOKUP(JH128,УГО_блоки,2,FALSE)),JH128)))</f>
        <v>BOX</v>
      </c>
      <c r="JJ128">
        <f t="shared" si="268"/>
        <v>1</v>
      </c>
      <c r="JK128" t="str">
        <f>IF(DQ128="","",IF(COUNTIF(DQ$3:DQ128,DQ128)=1,MAX(JK$2:JK127)+1,""))</f>
        <v/>
      </c>
      <c r="JL128" t="str">
        <f>IF(DE128="","",IF(COUNTIF(DE$3:DE128,DE128)+COUNTIF(DF$2:DF127,DE128)+COUNTIF(DG$2:DG127,DE128)=1,MAX(JL$2:JN127)+1,""))</f>
        <v/>
      </c>
      <c r="JM128" t="str">
        <f>IF(DF128="","",IF(COUNTIF(DE$3:DE128,DF128)+COUNTIF(DF$3:DF128,DF128)+COUNTIF(DG$2:DG127,DF128)=1,MAX(JL$2:JN127,JL128)+1,""))</f>
        <v/>
      </c>
      <c r="JN128" t="str">
        <f>IF(DG128="","",IF(COUNTIF(DE$3:DE128,DG128)+COUNTIF(DF$3:DF128,DG128)+COUNTIF(DG$3:DG128,DG128)=1,MAX(JL$2:JN127,JL128,JM128)+1,""))</f>
        <v/>
      </c>
      <c r="JO128" t="str">
        <f t="shared" si="269"/>
        <v>3х1,5</v>
      </c>
      <c r="JP128" t="str">
        <f>IF(JO128="","",IF(COUNTIF(JO$3:JO128,JO128)=1,MAX(JP$2:JP127)+1,""))</f>
        <v/>
      </c>
      <c r="JQ128" t="str">
        <f>IF(HG128="","",COUNTIF(HG$3:HG128,"?*"))</f>
        <v/>
      </c>
      <c r="JR128" t="str">
        <f>IF(OR(HG128="",HI128=""),"",IF(COUNTIFS(HG$3:HG128,"?*",HI$3:HI128,HI128)=1,MAX(JR$2:JR127)+1,""))</f>
        <v/>
      </c>
      <c r="JS128">
        <f t="shared" si="270"/>
        <v>0</v>
      </c>
      <c r="JT128">
        <f>IF(B128="","",COUNTIF(B$3:B128,"?*"))</f>
        <v>126</v>
      </c>
      <c r="JU128">
        <f>IF(HL128&lt;&gt;1,0,_xlfn.LET(_xlpm.k,MAX(IFERROR(--_xlfn.XLOOKUP(B128,Коды_код,Коды_3L),0),IFERROR(--_xlfn.XLOOKUP(BC128,Коды_код,Коды_3L),0),IFERROR(--_xlfn.XLOOKUP(LEFT(BC128,2),Коды_код,Коды_3L),0)),IF(_xlpm.k&gt;0,_xlpm.k,IF(IFERROR(--LEFT(SUBSTITUTE(JO128,"x","х"),FIND("х",SUBSTITUTE(JO128,"x","х"))-1),3)&gt;3,Каталог!$S$9,1))))</f>
        <v>1</v>
      </c>
      <c r="JV128">
        <f t="shared" si="271"/>
        <v>0</v>
      </c>
      <c r="JW128" t="str">
        <f t="shared" si="272"/>
        <v>авто</v>
      </c>
      <c r="JX128" t="str">
        <f t="shared" si="273"/>
        <v/>
      </c>
      <c r="JY128">
        <f t="shared" si="274"/>
        <v>0</v>
      </c>
      <c r="JZ128">
        <f t="shared" si="275"/>
        <v>1</v>
      </c>
    </row>
    <row r="129" spans="1:286" x14ac:dyDescent="0.3">
      <c r="A129" t="s">
        <v>745</v>
      </c>
      <c r="B129" t="s">
        <v>1439</v>
      </c>
      <c r="C129" t="s">
        <v>1683</v>
      </c>
      <c r="D129">
        <v>1</v>
      </c>
      <c r="E129">
        <v>0.111</v>
      </c>
      <c r="G129">
        <v>10</v>
      </c>
      <c r="H129" t="str">
        <f>Линии[[#This Row],[_авто управление]]</f>
        <v/>
      </c>
      <c r="I129" t="str">
        <f>Линии[[#This Row],[_авто аппараты]]</f>
        <v/>
      </c>
      <c r="J129">
        <v>1.5</v>
      </c>
      <c r="K129">
        <v>23</v>
      </c>
      <c r="L129" t="str">
        <f>Линии[[#This Row],[_авто фаза]]</f>
        <v>L1</v>
      </c>
      <c r="M129" t="str">
        <f>Линии[[#This Row],[_авто клемма]]</f>
        <v>XT27</v>
      </c>
      <c r="N129" t="str">
        <f t="shared" si="138"/>
        <v>не на схеме</v>
      </c>
      <c r="O129" s="6" cm="1">
        <f t="array" ref="O129">IF(B129="","",IF(BH129&lt;&gt;"",IFERROR(_xlfn.XLOOKUP(BH129,Щиты[Щит],Щиты[Iр, А]),""),IF(BP129=1,IF(OR(N(_xlfn.XLOOKUP(A129,Щиты[Щит],Щиты[Вводов],1))&lt;=1,LOWER(TRIM(_xlfn.XLOOKUP(A129,Щиты[Щит],Щиты[АВР],"")&amp;""))="да"),IFERROR(_xlfn.XLOOKUP(A129,Щиты[Щит],Щиты[Iр, А]),""),IFERROR(N(BS129)*_xlfn.XLOOKUP(A129,Щиты[Щит],Щиты[Кс итог])/(SQRT(3)*Uн_лин*_xlfn.XLOOKUP(A129,Щиты[Щит],Щиты[cos φ])),"")),IF(BV129=1,IFERROR(BS129*1000/BU129,""),IFERROR(_xlfn.IFS(BX129=1,BS129/((Uн_лин/SQRT(3))*CE129),BX129=3,BS129/(SQRT(3)*Uн_лин*CE129)),"")))))</f>
        <v>0.60080512387545415</v>
      </c>
      <c r="P129" s="7">
        <f>IF(B129="","",IFERROR(IF(VLOOKUP(BC129,Потребители_обозначение,4,FALSE)=1,VLOOKUP(BC129,Потребители_обозначение,3,FALSE)*(MAX(1,N(D129))*2-1)+EI129+VLOOKUP(BE129,Этаж_обозначение,3,FALSE)+VLOOKUP(BE129,Этаж_обозначение,4,FALSE),VLOOKUP(BC129,Потребители_обозначение,3,FALSE)*(MAX(1,N(D129))*2-1)+EI129),EI129))</f>
        <v>25</v>
      </c>
      <c r="Q129" s="6">
        <f t="shared" si="139"/>
        <v>0.4</v>
      </c>
      <c r="R129" t="str">
        <f t="shared" si="140"/>
        <v>ВВГнг(А)-LS (3х1,5)</v>
      </c>
      <c r="S129" t="str">
        <f>IF(BM129="","",IF(BN129="вводной узел","узел ","")&amp;"л."&amp;(INT((BM129-1)/Столбцов_на_лист)+1)&amp;" / "&amp;(MOD(BM129-1,Столбцов_на_лист)+1))</f>
        <v/>
      </c>
      <c r="T129" s="119">
        <f t="shared" si="141"/>
        <v>0.5</v>
      </c>
      <c r="U129" s="7" t="str">
        <f>IF(OR(CG129=0,N(BV129)+N(IB129)=0),"",ROUNDUP(Запас_БП*(N(HY129)+N(HZ129)),0))</f>
        <v/>
      </c>
      <c r="V129" s="119" t="str">
        <f t="shared" si="142"/>
        <v/>
      </c>
      <c r="W129" s="7" t="str">
        <f>IFERROR(IF(OR(B129="",BP129=1,BV129=1,NOT(ISNUMBER(EN129)),N(DT129)=0),"",MAX(0,ROUNDDOWN((c_min*(Uн_лин*1000/SQRT(3))/(HT129*N(DT129))-_xlfn.XLOOKUP(A129,Щиты[Щит],Щиты[Zпетли на шинах, Ом]))*EN129/(2*ρкз_Cu),0))),"")</f>
        <v/>
      </c>
      <c r="Y129" t="str">
        <f>Линии[[#This Row],[_авто утечка]]</f>
        <v/>
      </c>
      <c r="Z129">
        <v>1</v>
      </c>
      <c r="AA129">
        <v>230</v>
      </c>
      <c r="AB129" t="s">
        <v>598</v>
      </c>
      <c r="AC129">
        <v>0.5</v>
      </c>
      <c r="AI129" t="s">
        <v>576</v>
      </c>
      <c r="AK129" t="str">
        <f>Линии[[#This Row],[_авто модуль]]</f>
        <v/>
      </c>
      <c r="AM129" t="s">
        <v>527</v>
      </c>
      <c r="AN129" t="s">
        <v>11</v>
      </c>
      <c r="AO129">
        <v>3</v>
      </c>
      <c r="AQ129">
        <v>15</v>
      </c>
      <c r="AR129">
        <v>10</v>
      </c>
      <c r="AT129">
        <v>1</v>
      </c>
      <c r="BA129" cm="1">
        <f t="array" ref="BA129">ROW()-ROW(Линии[#Headers])</f>
        <v>127</v>
      </c>
      <c r="BC129" s="6" t="str">
        <f t="shared" si="143"/>
        <v>K</v>
      </c>
      <c r="BD129" t="str">
        <f t="shared" si="144"/>
        <v>0.009А.1</v>
      </c>
      <c r="BE129" t="str">
        <f t="shared" si="145"/>
        <v>0</v>
      </c>
      <c r="BF129" t="str">
        <f t="shared" si="146"/>
        <v>009А.1</v>
      </c>
      <c r="BG129" t="str">
        <f t="shared" si="147"/>
        <v>009А</v>
      </c>
      <c r="BH129" t="str">
        <f>IF(X129&lt;&gt;"",X129,IF(AND(B129&lt;&gt;"",B129&lt;&gt;A129,ISNUMBER(_xlfn.XMATCH(B129,Щиты[Щит]))),B129,""))</f>
        <v/>
      </c>
      <c r="BI129" t="str" cm="1">
        <f t="array" ref="BI129">IF(B129="","",IF(BH129&lt;&gt;"","Щит "&amp;BH129,_xlfn.LET(_xlpm.nm,IFERROR(_xlfn.XLOOKUP(BC129,Коды_код,Коды_имя)&amp;"",""),_xlpm.md,IFERROR(N(_xlfn.XLOOKUP(BC129,Коды_код,Коды_режим)),1),_xlpm.ex,IF(Имя_режим="по экспликации",IFERROR(_xlfn.XLOOKUP(BE129&amp;"|"&amp;BG129,Экспликация[Этаж]&amp;"|"&amp;Экспликация[Помещение],Экспликация[Название])&amp;"",""),""),_xlpm.rm,IF(BG129="","",IF(_xlpm.ex&lt;&gt;"",". "&amp;_xlpm.ex&amp;IF(Имя_пом="нет"," ("&amp;BG129&amp;")"," (пом. "&amp;BG129&amp;")"),IF(Имя_пом="нет"," ",", пом. ")&amp;BG129)),IF(_xlpm.nm="","",IF(_xlpm.md=2,_xlpm.nm&amp;" шлейф "&amp;BE129,_xlpm.nm&amp;_xlpm.rm)))))</f>
        <v>Внутренний блок кондиционирования, пом. 009А</v>
      </c>
      <c r="BJ129" t="str">
        <f t="shared" si="148"/>
        <v>Внутренний блок кондиционирования цокольный этаж Пом. №0.002Т</v>
      </c>
      <c r="BK129">
        <f>IFERROR(_xlfn.XMATCH(A129,Щиты[Щит]),0)</f>
        <v>6</v>
      </c>
      <c r="BL129">
        <f>_xlfn.LET(_xlpm.k,IFERROR(_xlfn.XLOOKUP(A129,Щиты[Щит],Щиты[Мест под вводной узел]),""),IF(_xlpm.k="",Столбцов_на_лист,N(_xlpm.k)))</f>
        <v>12</v>
      </c>
      <c r="BM129" t="str">
        <f t="shared" si="149"/>
        <v/>
      </c>
      <c r="BN129" t="str">
        <f t="shared" si="150"/>
        <v/>
      </c>
      <c r="BO129" s="6">
        <f>IFERROR(N(_xlfn.XLOOKUP(BC129,Коды_код,Коды_квт)),0)</f>
        <v>0</v>
      </c>
      <c r="BP129">
        <f t="shared" si="151"/>
        <v>0</v>
      </c>
      <c r="BQ129" t="str">
        <f>IF(B129="","",IF(BH129&lt;&gt;"",IFERROR(_xlfn.XLOOKUP(BH129,Щиты[Щит],Щиты[Руст, кВт]),0),IF(BP129=1,IF(OR(N(_xlfn.XLOOKUP(A129,Щиты[Щит],Щиты[Вводов],1))&lt;=1,LOWER(TRIM(_xlfn.XLOOKUP(A129,Щиты[Щит],Щиты[АВР],"")&amp;""))="да"),IFERROR(_xlfn.XLOOKUP(A129,Щиты[Щит],Щиты[Руст, кВт]),0),SUMIFS(Линии[_Р для вводов],Линии[Щит],A129,Линии[Источник для режимов],GF129)),IF(BO129&gt;0,ROUND(BO129*MAX(1,N(D129)),3),""))))</f>
        <v/>
      </c>
      <c r="BR129">
        <f t="shared" si="152"/>
        <v>0.111</v>
      </c>
      <c r="BS129" s="6">
        <f>IF(B129="","",IF(BH129&lt;&gt;"",IFERROR(_xlfn.XLOOKUP(BH129,Щиты[Щит],Щиты[Руст, кВт]),0),N(BR129)))</f>
        <v>0.111</v>
      </c>
      <c r="BT129" t="str">
        <f>IF(B129="","",IFERROR(IF(VLOOKUP(BC129,Потребители_обозначение,8,FALSE)=0,"",VLOOKUP(BC129,Потребители_обозначение,8,FALSE)),""))</f>
        <v/>
      </c>
      <c r="BU129">
        <f t="shared" si="153"/>
        <v>230</v>
      </c>
      <c r="BV129">
        <f t="shared" si="154"/>
        <v>0</v>
      </c>
      <c r="BW129">
        <f>IF(B129="","",IF(BH129&lt;&gt;"",3,IFERROR(IF(N(VLOOKUP(BC129,Потребители_обозначение,9,FALSE))=0,1,VLOOKUP(BC129,Потребители_обозначение,9,FALSE)),1)))</f>
        <v>1</v>
      </c>
      <c r="BX129">
        <f t="shared" si="155"/>
        <v>1</v>
      </c>
      <c r="BY129" t="str">
        <f>IF(B129="","",_xlfn.LET(_xlpm.bc,IFERROR(IF(VLOOKUP(BC129,Потребители_обозначение,6,FALSE)=0,"",VLOOKUP(BC129,Потребители_обозначение,6,FALSE)&amp;""),""),IF(AND(GA129="да",OR(_xlpm.bc="",_xlpm.bc="мс")),Марка_пож,IF(AND(_xlpm.bc="",BH129&lt;&gt;""),"мс",_xlpm.bc))))</f>
        <v/>
      </c>
      <c r="BZ129" t="str">
        <f t="shared" si="156"/>
        <v>мс</v>
      </c>
      <c r="CA129">
        <f>IF(B129="","",_xlfn.LET(_xlpm.cc,IFERROR(N(VLOOKUP(BC129,Потребители_обозначение,7,FALSE)),0),IF(_xlpm.cc&gt;0,_xlpm.cc,IF(BZ129="","",IF(BV129=1,2,IF(N(BX129)=3,5,3))))))</f>
        <v>3</v>
      </c>
      <c r="CB129">
        <f t="shared" si="157"/>
        <v>3</v>
      </c>
      <c r="CC129">
        <f>IFERROR(N(VLOOKUP(BC129,Потребители_обозначение,10,FALSE)),0)</f>
        <v>0</v>
      </c>
      <c r="CD129">
        <f>IFERROR(VLOOKUP(BC129,Потребители_обозначение,5,FALSE),0)</f>
        <v>1</v>
      </c>
      <c r="CE129" s="6" cm="1">
        <f t="array" ref="CE129">IF(B129="","",IF(BH129&lt;&gt;"",IFERROR(_xlfn.XLOOKUP(BH129,Щиты[Щит],Щиты[cos φ]),0.95),IF(BP129=1,IFERROR(_xlfn.XLOOKUP(A129,Щиты[Щит],Щиты[cos φ]),0.95),IF(ISNUMBER(AD129),AD129,IFERROR(IF(CD129=2,_xlfn.IFS(BX129=3,VLOOKUP(BS129,Справочная_двигатели,8,FALSE),BX129=1,VLOOKUP(BS129,Справочная_двигатели,10,TRUE)),IF(AND(Методика="нормы 2026",FG129="Сил"),0.8,0.95)),0.95)))))</f>
        <v>0.8</v>
      </c>
      <c r="CF129">
        <f t="shared" si="158"/>
        <v>0</v>
      </c>
      <c r="CG129">
        <f t="shared" si="159"/>
        <v>1</v>
      </c>
      <c r="CH129">
        <f t="shared" si="160"/>
        <v>0</v>
      </c>
      <c r="CI129">
        <f>IF(B129="","",IF(BV129=1,IFERROR(BS129/((Uн_лин/SQRT(3))*MAX(0.5,N(CE129))),0),N(O129)))</f>
        <v>0.60080512387545415</v>
      </c>
      <c r="CJ129">
        <f t="shared" si="161"/>
        <v>0</v>
      </c>
      <c r="CK129">
        <f t="shared" si="162"/>
        <v>0</v>
      </c>
      <c r="CL129">
        <f t="shared" si="163"/>
        <v>0</v>
      </c>
      <c r="CM129">
        <f t="shared" si="164"/>
        <v>0</v>
      </c>
      <c r="CN129">
        <f t="shared" si="165"/>
        <v>0</v>
      </c>
      <c r="CO129">
        <f>IF(BC129="",0,_xlfn.LET(_xlpm.v,IFERROR(_xlfn.XLOOKUP(B129,Коды_код,Коды_мА),IFERROR(_xlfn.XLOOKUP(BC129,Коды_код,Коды_мА),IFERROR(_xlfn.XLOOKUP(LEFT(BC129,2),Коды_код,Коды_мА),""))),IF(_xlpm.v="да",30,IF(ISNUMBER(_xlpm.v),_xlpm.v,0))))</f>
        <v>0</v>
      </c>
      <c r="CP129" t="str">
        <f t="shared" si="166"/>
        <v/>
      </c>
      <c r="CQ129" t="str">
        <f>_xlfn.LET(_xlpm.k,IFERROR(_xlfn.XLOOKUP(BC129,Коды_код,Коды_утечка)&amp;"",""),IF(_xlpm.k="","дифавтомат",_xlpm.k))</f>
        <v>дифавтомат</v>
      </c>
      <c r="CR129" t="str" cm="1">
        <f t="array" ref="CR129">IF(CG129=0,"",_xlfn.LET(_xlpm.sg,TRIM(_xlfn.TEXTSPLIT(DD129&amp;"",";")),_xlpm.f_,_xlfn._xlws.FILTER(_xlpm.sg,LEFT(_xlpm.sg,3)="УЗО",""),IFERROR(INDEX(_xlpm.f_,1)&amp;"","")))</f>
        <v/>
      </c>
      <c r="CS129" t="str">
        <f t="shared" si="167"/>
        <v/>
      </c>
      <c r="CT129" s="6" t="str" cm="1">
        <f t="array" ref="CT129">IF(CR129="","",_xlfn.LET(_xlpm.tk,_xlfn.TEXTSPLIT(UPPER(CR129)," ",,TRUE),_xlpm.a_,_xlfn._xlws.FILTER(_xlpm.tk,ISNUMBER(--LEFT(_xlpm.tk,1))*((ISNUMBER(SEARCH("А",_xlpm.tk))+ISNUMBER(SEARCH("A",_xlpm.tk)))&gt;0)*NOT(ISNUMBER(SEARCH("МА",_xlpm.tk)))*NOT(ISNUMBER(SEARCH("MA",_xlpm.tk))),""),IFERROR(--SUBSTITUTE(SUBSTITUTE(INDEX(_xlpm.a_,1),"А",""),"A",""),"")))</f>
        <v/>
      </c>
      <c r="CU129" t="str" cm="1">
        <f t="array" ref="CU129">IF(CR129="","",_xlfn.LET(_xlpm.tk,_xlfn.TEXTSPLIT(UPPER(CR129)," ",,TRUE),_xlpm.a_,_xlfn._xlws.FILTER(_xlpm.tk,ISNUMBER(--LEFT(_xlpm.tk,1))*((ISNUMBER(SEARCH("МА",_xlpm.tk))+ISNUMBER(SEARCH("MA",_xlpm.tk)))&gt;0),""),IFERROR(--SUBSTITUTE(SUBSTITUTE(INDEX(_xlpm.a_,1),"МА",""),"MA",""),30)))</f>
        <v/>
      </c>
      <c r="CV129" t="str">
        <f>IF(CS129="","",IFERROR(_xlfn.XLOOKUP(CS129,Линии[_n],Линии[_УЗО, мА]),30))</f>
        <v/>
      </c>
      <c r="CW129">
        <f>IF(CS129="",0,IF(ISNUMBER(SEARCH("4P",IFERROR(_xlfn.XLOOKUP(CS129,Линии[_n],Линии[_УЗО строки])&amp;"",""))),0,1))</f>
        <v>0</v>
      </c>
      <c r="CX129" t="str">
        <f>IF(AND(CS129&lt;&gt;"",CS129=BA129),SUMIFS(Линии[_ток на 230 В],Линии[_блок УЗО],BA129,Линии[Щит],A129),"")</f>
        <v/>
      </c>
      <c r="CY129" t="str">
        <f>IF(AND(CS129&lt;&gt;"",CS129=BA129),SUMIFS(Линии[_ток утечки линии, мА],Линии[_блок УЗО],BA129,Линии[Щит],A129),"")</f>
        <v/>
      </c>
      <c r="CZ129">
        <f t="shared" si="168"/>
        <v>0</v>
      </c>
      <c r="DA129">
        <f t="shared" si="169"/>
        <v>0</v>
      </c>
      <c r="DB129">
        <f>IF(B129="",0,IFERROR(--_xlfn.XLOOKUP(B129,Коды_код,Коды_минавт),IFERROR(--_xlfn.XLOOKUP(BC129,Коды_код,Коды_минавт),IFERROR(--_xlfn.XLOOKUP(LEFT(BC129,2),Коды_код,Коды_минавт),0))))</f>
        <v>0</v>
      </c>
      <c r="DC129" t="str">
        <f>IF(B129="","",IFERROR(_xlfn.XLOOKUP(BC129,Коды_код,Коды_апп)&amp;"",""))</f>
        <v/>
      </c>
      <c r="DD129" t="str">
        <f t="shared" si="170"/>
        <v/>
      </c>
      <c r="DE129" t="str" cm="1">
        <f t="array" ref="DE129">IF(TRIM(DD129&amp;"")="","",IFERROR(TRIM(INDEX(_xlfn.TEXTSPLIT(DD129&amp;";;;",";"),1)),""))</f>
        <v/>
      </c>
      <c r="DF129" t="str" cm="1">
        <f t="array" ref="DF129">IF(TRIM(DD129&amp;"")="","",IFERROR(TRIM(INDEX(_xlfn.TEXTSPLIT(DD129&amp;";;;",";"),2)),""))</f>
        <v/>
      </c>
      <c r="DG129" t="str" cm="1">
        <f t="array" ref="DG129">IF(TRIM(DD129&amp;"")="","",IFERROR(TRIM(INDEX(_xlfn.TEXTSPLIT(DD129&amp;";;;",";"),3)),""))</f>
        <v/>
      </c>
      <c r="DH129">
        <f t="shared" si="171"/>
        <v>0</v>
      </c>
      <c r="DI129" t="str">
        <f>IF(B129="","",_xlfn.LET(_xlpm.t,LOWER(AZ129&amp;""),IF(ISNUMBER(SEARCH("dim",_xlpm.t)),"DIM",IF(ISNUMBER(SEARCH("dali",_xlpm.t)),"DALI",IF(OR(ISNUMBER(SEARCH("relay",_xlpm.t)),ISNUMBER(SEARCH("реле",_xlpm.t))),"Relay",IF(ISNUMBER(SEARCH("кнопк",_xlpm.t)),"",IFERROR(_xlfn.XLOOKUP(BC129,Коды_код,Коды_упр)&amp;"","")))))))</f>
        <v/>
      </c>
      <c r="DJ129" t="str">
        <f t="shared" si="172"/>
        <v/>
      </c>
      <c r="DK129">
        <f>IF(B129="","",_xlfn.LET(_xlpm.ig,IF(N(CX129)&gt;0,N(CX129),N(CI129)+IF(AJ129="вручную",0,N(CJ129))),_xlpm.n0,IFERROR(VLOOKUP(_xlpm.ig,Автомат_номиналы,2,TRUE),0),_xlpm.mn,MAX(DB129,IF(AJ129="вручную",0,N(CM129))),MAX(_xlpm.n0,_xlpm.mn,IF(DH129=1,Мин_автомат_БП,0))))</f>
        <v>6</v>
      </c>
      <c r="DL129">
        <f t="shared" si="173"/>
        <v>1</v>
      </c>
      <c r="DM129" t="str">
        <f t="shared" si="174"/>
        <v>1P</v>
      </c>
      <c r="DN129" t="str">
        <f>_xlfn.LET(_xlpm.cc,UPPER(TRIM(IFERROR(_xlfn.XLOOKUP(BC129,Коды_код,Коды_хар)&amp;"",""))),IF(OR(_xlpm.cc="B",_xlpm.cc="В"),"B",IF(_xlpm.cc="D","D","С")))</f>
        <v>С</v>
      </c>
      <c r="DO129" t="str">
        <f t="shared" si="175"/>
        <v>1P С6А</v>
      </c>
      <c r="DP129">
        <f t="shared" si="176"/>
        <v>10</v>
      </c>
      <c r="DQ129" t="str">
        <f t="shared" si="177"/>
        <v>1P С10А</v>
      </c>
      <c r="DR129" cm="1">
        <f t="array" ref="DR129">IF(DQ129="","",_xlfn.LET(_xlpm.t,SUBSTITUTE(SUBSTITUTE(SUBSTITUTE(UPPER(DQ129),"С","C"),"А","A"),"В","B"),_xlpm.tk,_xlfn.TEXTSPLIT(_xlpm.t," "),_xlpm.f,_xlfn._xlws.FILTER(_xlpm.tk,ISNUMBER(--MID(_xlpm.tk,2,1))*ISNUMBER(SEARCH(LEFT(_xlpm.tk,1)&amp;"#","B#C#D#"))*(LEN(_xlpm.tk)&gt;1),""),_xlpm.x,INDEX(_xlpm.f,1),IFERROR(--SUBSTITUTE(MID(_xlpm.x,2,9),"A",""),IFERROR(--SUBSTITUTE(INDEX(_xlfn._xlws.FILTER(_xlpm.tk,ISNUMBER(--SUBSTITUTE(_xlpm.tk,"A","")),""),1),"A",""),""))))</f>
        <v>10</v>
      </c>
      <c r="DS129" t="str">
        <f t="shared" si="178"/>
        <v>ok</v>
      </c>
      <c r="DT129">
        <f t="shared" si="179"/>
        <v>10</v>
      </c>
      <c r="DU129" t="str">
        <f t="shared" si="180"/>
        <v>1P С10А</v>
      </c>
      <c r="DV129">
        <f t="shared" si="181"/>
        <v>0</v>
      </c>
      <c r="DW129">
        <f t="shared" si="182"/>
        <v>0</v>
      </c>
      <c r="DX129">
        <f t="shared" si="183"/>
        <v>0</v>
      </c>
      <c r="DY129">
        <f t="shared" si="184"/>
        <v>0.60080512387545415</v>
      </c>
      <c r="DZ129">
        <f t="shared" si="185"/>
        <v>1</v>
      </c>
      <c r="EA129">
        <f>IF(ISNUMBER(AP129),AP129,К_прокл)</f>
        <v>1</v>
      </c>
      <c r="EB129">
        <f t="shared" si="186"/>
        <v>2</v>
      </c>
      <c r="EC129">
        <f>IFERROR(N(VLOOKUP(BZ129,Кабель_обозначение,3,FALSE)),1)</f>
        <v>1</v>
      </c>
      <c r="ED129">
        <f>IFERROR(N(_xlfn.XLOOKUP(A129,Щиты[Щит],Щиты[ΔU до шин, %])),0)</f>
        <v>0.24000000000000002</v>
      </c>
      <c r="EE129" t="str">
        <f>IFERROR(_xlfn.XLOOKUP(A129,Щиты[Щит],Щиты[Zпетли на шинах, Ом]),"")</f>
        <v/>
      </c>
      <c r="EF129">
        <f>IFERROR(N(_xlfn.XLOOKUP(A129,Щиты[Щит],Щиты[ΔU до шин (подбор), %])),0)</f>
        <v>0.36</v>
      </c>
      <c r="EG129" t="str">
        <f>IFERROR(_xlfn.XLOOKUP(A129,Щиты[Щит],Щиты[Zпетли на шинах (подбор), Ом]),"")</f>
        <v/>
      </c>
      <c r="EH129" t="str">
        <f t="shared" si="187"/>
        <v/>
      </c>
      <c r="EI129">
        <f t="shared" si="188"/>
        <v>23</v>
      </c>
      <c r="EJ129">
        <f t="shared" si="189"/>
        <v>2</v>
      </c>
      <c r="EK129">
        <f t="shared" si="190"/>
        <v>0.6</v>
      </c>
      <c r="EL129" s="6">
        <f>IF(B129="","",IF(BV129=1,dU_LED,IF(IFERROR(_xlfn.XLOOKUP(BC129,Коды_код,Коды_уго),"")="Светильник",3,4)+IF(Методика="нормы 2026",MIN(0.5,MAX(0,N(P129)-100)*0.005),0)))</f>
        <v>4</v>
      </c>
      <c r="EM129" cm="1">
        <f t="array" ref="EM129">IF(OR(B129="",BZ129="",EC129&lt;&gt;1),"",_xlfn.LET(_xlpm.sz,Iдоп_S,_xlpm.t_,CHOOSE(EB129,Iдоп_1ж,Iдоп_2ж,Iдоп_3ж)*DZ129*EA129,_xlpm.dcx,BV129=1,_xlpm.inn,IF(_xlpm.dcx,N(O129),N(DT129)),_xlpm.smin,MAX(1.5,CC129),_xlpm.L_,N(P129)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129)/N(BU129)*100,999),IFERROR(N(EJ129)*(_xlpm.rho*_xlpm.L_/_xlpm.sz*N(CE129)+_xlpm.xx*_xlpm.L_*N(EK129)/1000)*N(O129)/((Uн_лин/SQRT(3))*1000)*100,999)),_xlpm.kz,IF(OR(_xlpm.dcx,DW129=1,NOT(ISNUMBER(EG129)),_xlpm.L_=0,_xlpm.inn=0),1,IFERROR(--(c_min*(Uн_лин*1000/SQRT(3))/(EG129+2*ρкз_Cu*_xlpm.L_/_xlpm.sz)&gt;=HT129*_xlpm.inn),0)),_xlpm.ok,IFERROR((_xlpm.sz&gt;=_xlpm.smin)*(_xlpm.t_&gt;=_xlpm.inn)*IF(_xlpm.L_&gt;0,(_xlpm.du_+IF(_xlpm.dcx,0,EF129)&lt;=EL129+0.00001),1)*_xlpm.kz,0),_xlpm.r_,_xlfn._xlws.FILTER(_xlpm.sz,_xlpm.ok,"не подобрано"),INDEX(_xlpm.r_,1)))</f>
        <v>1.5</v>
      </c>
      <c r="EN129">
        <f t="shared" si="191"/>
        <v>1.5</v>
      </c>
      <c r="EO129" cm="1">
        <f t="array" ref="EO129">IF(OR(B129="",BZ129="",EC129&lt;&gt;1),"",_xlfn.LET(_xlpm.sz,Iдоп_S,_xlpm.t_,CHOOSE(EB129,Iдоп_1ж,Iдоп_2ж,Iдоп_3ж)*DZ129*EA129,_xlpm.ok,IFERROR((_xlpm.sz&gt;=MAX(1.5,CC129))*(_xlpm.t_&gt;=N(DT129)),0),_xlpm.r_,_xlfn._xlws.FILTER(_xlpm.sz,_xlpm.ok,""),INDEX(_xlpm.r_,1)))</f>
        <v>1.5</v>
      </c>
      <c r="EP129" s="6" cm="1">
        <f t="array" ref="EP129">IFERROR(ROUNDUP(N(EJ129)*(_xlfn.XLOOKUP(EO129,INDEX(Кабель_сопротивление,0,1),INDEX(Кабель_сопротивление,0,3))*N(P129)/EO129*N(CE129)+_xlfn.XLOOKUP(EO129,INDEX(Кабель_сопротивление,0,1),INDEX(Кабель_сопротивление,0,2))*N(P129)*N(EK129)/1000)*N(O129)/((Uн_лин/SQRT(3))*1000)*100,2),"")</f>
        <v>0.16</v>
      </c>
      <c r="EQ129">
        <f>IFERROR(2*ρкз_Cu*N(P129)/EO129,"")</f>
        <v>0.87666666666666659</v>
      </c>
      <c r="ER129">
        <f>IFERROR(VLOOKUP(EN129,Кабель_сопротивление,3,FALSE),"")</f>
        <v>2.2499999999999999E-2</v>
      </c>
      <c r="ES129">
        <f>IFERROR(VLOOKUP(EN129,Кабель_сопротивление,2,FALSE),"")</f>
        <v>0.11</v>
      </c>
      <c r="ET129">
        <f t="shared" si="192"/>
        <v>10</v>
      </c>
      <c r="EU129">
        <f t="shared" si="193"/>
        <v>0</v>
      </c>
      <c r="EV129">
        <f t="shared" si="194"/>
        <v>0.36246573123406151</v>
      </c>
      <c r="EW129" s="6">
        <f>IFERROR(ROUNDUP(EV129/IF(BV129=1,BU129,(Uн_лин/SQRT(3))*1000)*100,2),"")</f>
        <v>0.16</v>
      </c>
      <c r="EX129" t="str">
        <f>IFERROR(VLOOKUP(BZ129,Кабель_обозначение,2,FALSE),"")</f>
        <v>ВВГнг(А)-LS</v>
      </c>
      <c r="EY129" t="str">
        <f t="shared" si="195"/>
        <v>ВВГнг(А)-LS (3х1,5)</v>
      </c>
      <c r="EZ129" t="str">
        <f t="shared" si="196"/>
        <v>ВВГнг(А)-LS (3х1,5)
L=25-0,16%</v>
      </c>
      <c r="FA129">
        <f>IFERROR(2*ρкз_Cu*P129/EN129,"")</f>
        <v>0.87666666666666659</v>
      </c>
      <c r="FB129">
        <f t="shared" si="197"/>
        <v>0.29166666666666669</v>
      </c>
      <c r="FC129" s="6" t="str">
        <f>IFERROR(IF(OR(B129="",BV129=1,NOT(ISNUMBER(EN129)),N(P129)=0),"",_xlfn.XLOOKUP(A129,Щиты[Щит],Щиты[Zпетли на шинах, Ом])+FA129),"")</f>
        <v/>
      </c>
      <c r="FD129" s="6" t="str">
        <f>IF(ISNUMBER(FC129),c_min*(Uн_лин*1000/SQRT(3))/FC129,"")</f>
        <v/>
      </c>
      <c r="FE129" s="6" t="str">
        <f>IFERROR(IF(OR(B129="",NOT(ISNUMBER(EN129))),"",1.05*(Uн_лин*1000/SQRT(3))/(_xlfn.XLOOKUP(A129,Щиты[Щит],Щиты[Zmax на шинах, Ом])+FB129)/1000),"")</f>
        <v/>
      </c>
      <c r="FF129" s="6" t="str">
        <f>IF(B129="","",IF(ISNUMBER(AC129),"Сил",IF(IFERROR(_xlfn.XLOOKUP(BC129,Коды_код,Коды_группа)&amp;"","")="","Быт",_xlfn.XLOOKUP(BC129,Коды_код,Коды_группа)&amp;"")))</f>
        <v>Сил</v>
      </c>
      <c r="FG129" s="6" t="str">
        <f t="shared" si="198"/>
        <v>Сил</v>
      </c>
      <c r="FH129" s="6">
        <f>IF(FG129="Щит","щит",IF(FG129="","",IF(FG129="Быт",IFERROR(_xlfn.XLOOKUP(A129,Щиты[Щит],Щиты[Кс быт]),1),IF(FG129="Сил",IF(ISNUMBER(AC129),AC129,IF(Методика="нормы 2026",IFERROR(_xlfn.XLOOKUP(A129,Щиты[Щит],Щиты[Кс силовых (табл. 7.5)]),1),1)),IF(OR(FG129="Пост",FG129="Отоп"),1,IF(FG129="ВНГ",0.7,0))))))</f>
        <v>0.5</v>
      </c>
      <c r="FI129">
        <f>IF(FG129="","",IF(AND(BP129=1,TRIM(AE129&amp;"")=""),IF(COUNTIFS(Линии[Щит],A129,Линии[Секция (1/2/3)],"&gt;=2")&gt;0,MIN(3,MAX(1,IFERROR(--BD129,1))),1),IFERROR(MIN(3,MAX(1,INT(--AE129))),1)))</f>
        <v>1</v>
      </c>
      <c r="FJ129">
        <f t="shared" si="199"/>
        <v>0.111</v>
      </c>
      <c r="FK129">
        <f t="shared" si="200"/>
        <v>0</v>
      </c>
      <c r="FL129">
        <f t="shared" si="201"/>
        <v>5.5500000000000001E-2</v>
      </c>
      <c r="FM129">
        <f t="shared" si="202"/>
        <v>0</v>
      </c>
      <c r="FN129">
        <f t="shared" si="203"/>
        <v>0</v>
      </c>
      <c r="FO129">
        <f t="shared" si="204"/>
        <v>0</v>
      </c>
      <c r="FP129">
        <f t="shared" si="205"/>
        <v>0.111</v>
      </c>
      <c r="FQ129">
        <f t="shared" si="206"/>
        <v>0.111</v>
      </c>
      <c r="FR129">
        <f t="shared" si="207"/>
        <v>8.8800000000000004E-2</v>
      </c>
      <c r="FS129">
        <f>IF(CG129=1,IF(AND(CH129=1,CW129=1),0,IF(AND(CS129&lt;&gt;"",CS129=BA129,CW129=1),SUMIFS(Линии[_Р линии, кВт],Линии[_блок УЗО],BA129,Линии[Щит],A129),N(BS129)+IF(AJ129="вручную",0,N(CK129)))),0)</f>
        <v>0.111</v>
      </c>
      <c r="FT129" t="str">
        <f t="shared" si="208"/>
        <v/>
      </c>
      <c r="FU129" t="str">
        <f>IF(B129="","",IF(CG129=0,IF(BA129=1,"",FW128),IF(AND(CH129=1,CW129=1,CS129&lt;&gt;""),IFERROR(_xlfn.XLOOKUP(CS129,Линии[_n],Линии[_фаза итог]),"L1"),IF(OR(N(DL129)&gt;=3,N(BX129)&gt;=3),"L1,L2,L3",IFERROR(_xlfn.TEXTBEFORE(_xlfn.TEXTAFTER(_xlfn.XLOOKUP(A129,Щиты[Щит],Щиты[_фазы авто]),";"&amp;BA129&amp;":"),";"),"L1")))))</f>
        <v>L1</v>
      </c>
      <c r="FV129" t="str">
        <f t="shared" si="209"/>
        <v>L1</v>
      </c>
      <c r="FW129" t="str">
        <f t="shared" si="210"/>
        <v>L1</v>
      </c>
      <c r="FX129" cm="1">
        <f t="array" ref="FX129">IFERROR(IF(CD129=2,_xlfn.IFS(BX129=3,VLOOKUP(BS129,Справочная_двигатели,3,FALSE),BX129=1,VLOOKUP(BS129,Справочная_двигатели,5,TRUE)),0),0)</f>
        <v>0</v>
      </c>
      <c r="FY129">
        <f>IFERROR(IF(CD129=3,VLOOKUP(BS129,Справочная_ЛЭД,2,TRUE),0),0)</f>
        <v>0</v>
      </c>
      <c r="FZ129" s="6">
        <f t="shared" si="211"/>
        <v>0</v>
      </c>
      <c r="GA129" t="str">
        <f>IF(B129="","",IF(TRIM(AH129&amp;"")&lt;&gt;"",IF(LOWER(TRIM(AH129&amp;""))="да","да","нет"),IF(IFERROR(_xlfn.XLOOKUP(BC129,Коды_код,Коды_пожарная),"")="да","да","нет")))</f>
        <v>нет</v>
      </c>
      <c r="GB129" t="str">
        <f t="shared" si="212"/>
        <v/>
      </c>
      <c r="GC129" t="str">
        <f t="shared" si="213"/>
        <v>основная</v>
      </c>
      <c r="GD129">
        <f>IF(AND(BP129=1,TRIM(AE129&amp;"")=""),IF(COUNTIFS(Линии[Щит],A129,Линии[Секция (1/2/3)],"&gt;=2")&gt;0,MIN(3,MAX(1,IFERROR(--BD129,1))),1),IFERROR(MIN(3,MAX(1,INT(--AE129))),1))</f>
        <v>1</v>
      </c>
      <c r="GE129" t="str" cm="1">
        <f t="array" ref="GE129">IF(B129="","",_xlfn.LET(_xlpm.t,IFERROR(_xlfn.XLOOKUP(1,(Шины[Шина]=GC129)*(((Шины[Щит]=A129)+(Шины[Щит]=""))&gt;0),Шины[Тип]),"")&amp;"",IF(_xlpm.t&lt;&gt;"",_xlpm.t,IF(ISNUMBER(SEARCH("ИБП",GC129)),"ИБП",IF(ISNUMBER(SEARCH("ДГУ",GC129)),"ДГУ","Ввод "&amp;GD129)))))</f>
        <v>Ввод 1</v>
      </c>
      <c r="GF129" t="str">
        <f t="shared" si="214"/>
        <v>Ввод 1</v>
      </c>
      <c r="GG129" t="str">
        <f>IF(BP129=0,"",IF(TRIM(AG129&amp;"")&lt;&gt;"",TRIM(AG129&amp;""),IF(OR(GE129="ИБП",GE129="ДГУ"),"I особая",_xlfn.XLOOKUP(A129,Щиты[Щит],Щиты[Категория шины «Ввод»],"III"))))</f>
        <v/>
      </c>
      <c r="GH129" t="str">
        <f>IF(A129="","",_xlfn.XLOOKUP(A129,Щиты[Щит],Щиты[Путь],""))</f>
        <v>|ГРЩ-ЖД|ЩОВ-01|</v>
      </c>
      <c r="GI129" t="str">
        <f>IF(B129="","",IF(AI129&lt;&gt;"",AI129,IF(IFERROR(_xlfn.XLOOKUP(BC129,Коды_код,Коды_вид)&amp;"","")="","Прочее",_xlfn.XLOOKUP(BC129,Коды_код,Коды_вид)&amp;"")))</f>
        <v>Кондиционирование и увлажнение</v>
      </c>
      <c r="GJ129" t="str">
        <f>IF(BM129="","",INT((BM129-1)/Столбцов_на_лист)+1)</f>
        <v/>
      </c>
      <c r="GK129" t="str">
        <f t="shared" si="215"/>
        <v>ВВГнг(А)-LS (3х1,5) L=25-0,16%</v>
      </c>
      <c r="GL129">
        <f t="shared" si="216"/>
        <v>0.111</v>
      </c>
      <c r="GM129">
        <f t="shared" si="217"/>
        <v>0.61</v>
      </c>
      <c r="GN129">
        <f t="shared" si="218"/>
        <v>1</v>
      </c>
      <c r="GO129">
        <f t="shared" si="219"/>
        <v>0</v>
      </c>
      <c r="GP129">
        <f t="shared" si="220"/>
        <v>0</v>
      </c>
      <c r="GQ129" t="str">
        <f>IF(BM129="","",IF(AND(CG129=1,GP129=1),COUNTIFS(A$3:A129,A129,CG$3:CG129,1,GP$3:GP129,1),IF(OR(OR(BA129=1,A129&lt;&gt;A128),AJ129="вручную",GP129=0),"",IF(BA129=1,"",GR128))))</f>
        <v/>
      </c>
      <c r="GR129">
        <f t="shared" si="221"/>
        <v>26</v>
      </c>
      <c r="GS129">
        <f>IF(B129="","",IFERROR(LOOKUP(INDEX(CHOOSE(EB129,Iдоп_1ж,Iдоп_2ж,Iдоп_3ж),MATCH(EN129,Iдоп_S,0))*DZ129*EA129,{6,10,16,20,25,32,40,50,63,80,100,125,160,200,250,315,400,500,630}),""))</f>
        <v>16</v>
      </c>
      <c r="GT129" t="str">
        <f t="shared" si="222"/>
        <v/>
      </c>
      <c r="GU129" t="str">
        <f t="shared" si="223"/>
        <v>QF26</v>
      </c>
      <c r="GV129" t="str">
        <f t="shared" si="224"/>
        <v/>
      </c>
      <c r="GW129">
        <f t="shared" si="225"/>
        <v>0</v>
      </c>
      <c r="GX129" t="str">
        <f>IF(OR(B129="",DJ129=""),"",IFERROR(_xlfn.XLOOKUP(DJ129,Модули_умолч[Управление],Модули_умолч[Модель])&amp;"",""))</f>
        <v/>
      </c>
      <c r="GY129">
        <f>IF(DJ129="",1,IFERROR(MAX(0,N(_xlfn.XLOOKUP(DJ129,Модули_умолч[Управление],Модули_умолч[Каналов на линию]))),1))</f>
        <v>1</v>
      </c>
      <c r="GZ129" t="str">
        <f t="shared" si="226"/>
        <v/>
      </c>
      <c r="HA129" t="str">
        <f t="shared" si="227"/>
        <v/>
      </c>
      <c r="HB129" t="str">
        <f t="shared" si="228"/>
        <v/>
      </c>
      <c r="HC129">
        <f>IF(HB129="",0,IFERROR(N(VLOOKUP(HB129,Модули_спр,3,FALSE)),0))</f>
        <v>0</v>
      </c>
      <c r="HD129" t="str">
        <f t="shared" si="229"/>
        <v/>
      </c>
      <c r="HE129" t="str">
        <f t="shared" si="230"/>
        <v/>
      </c>
      <c r="HF129" t="str">
        <f>IF(OR(HE129="",HE129="-"),"",IFERROR(VLOOKUP(HE129,Модули_спр,2,FALSE),"R"))</f>
        <v/>
      </c>
      <c r="HG129" t="str">
        <f>IF(HF129="","",HF129&amp;"."&amp;COUNTIFS(A$3:A129,A129,HF$3:HF129,HF129))</f>
        <v/>
      </c>
      <c r="HH129" t="str">
        <f t="shared" si="231"/>
        <v/>
      </c>
      <c r="HI129" t="str">
        <f t="shared" si="232"/>
        <v/>
      </c>
      <c r="HJ129" t="str">
        <f t="shared" si="233"/>
        <v/>
      </c>
      <c r="HK129" t="str">
        <f t="shared" si="234"/>
        <v/>
      </c>
      <c r="HL129">
        <f t="shared" si="235"/>
        <v>1</v>
      </c>
      <c r="HM129" t="str">
        <f>IF(HL129=1,"XT"&amp;COUNTIFS(A$3:A129,A129,HL$3:HL129,1),"")</f>
        <v>XT27</v>
      </c>
      <c r="HN129" t="str">
        <f t="shared" si="236"/>
        <v>XT27</v>
      </c>
      <c r="HO129" t="str">
        <f t="shared" si="237"/>
        <v>QF26</v>
      </c>
      <c r="HP129" t="str">
        <f t="shared" si="238"/>
        <v/>
      </c>
      <c r="HQ129" t="str">
        <f t="shared" si="239"/>
        <v>ok</v>
      </c>
      <c r="HR129" t="str">
        <f>IF(OR(HJ129="",HH129=""),"",IF(HJ129+MAX(0,GY129-1)&gt;IFERROR(VLOOKUP(HI129,Модули_спр,3,FALSE),99),"ЛИШНИЙ КАНАЛ",IF(AND(AL129&lt;&gt;"=",GY129&gt;0,COUNTIFS(Линии[_модуль гр.],HH129,Линии[Канал (итог)],HJ129,Линии[Канал],"&lt;&gt;=",Линии[Щит],A129)&gt;1),"ДУБЛЬ КАНАЛА","")))</f>
        <v/>
      </c>
      <c r="HS129" s="6" t="str">
        <f t="shared" si="240"/>
        <v/>
      </c>
      <c r="HT129">
        <f t="shared" si="241"/>
        <v>10</v>
      </c>
      <c r="HU129" t="str">
        <f t="shared" si="242"/>
        <v/>
      </c>
      <c r="HV129">
        <f t="shared" si="243"/>
        <v>0.49032204955018166</v>
      </c>
      <c r="HW129">
        <f t="shared" si="244"/>
        <v>0</v>
      </c>
      <c r="HX129">
        <f t="shared" si="245"/>
        <v>0</v>
      </c>
      <c r="HY129">
        <f t="shared" si="246"/>
        <v>0</v>
      </c>
      <c r="HZ129">
        <f t="shared" si="247"/>
        <v>0</v>
      </c>
      <c r="IA129">
        <f t="shared" si="248"/>
        <v>0</v>
      </c>
      <c r="IB129">
        <f t="shared" si="249"/>
        <v>0</v>
      </c>
      <c r="IC129" t="str">
        <f t="shared" si="250"/>
        <v/>
      </c>
      <c r="ID129" t="str" cm="1">
        <f t="array" ref="ID129">IF(IC129="","",_xlfn.LET(_xlpm.tk,_xlfn.TEXTSPLIT(SUBSTITUTE(SUBSTITUTE(IC129,";"," "),"→"," ")," ",,TRUE),_xlpm.w_,_xlfn._xlws.FILTER(_xlpm.tk,ISNUMBER(--LEFT(_xlpm.tk,1))*((ISNUMBER(SEARCH("W",_xlpm.tk))+ISNUMBER(SEARCH("Вт",_xlpm.tk)))&gt;0),""),IFERROR(--SUBSTITUTE(SUBSTITUTE(UPPER(INDEX(_xlpm.w_,1)),"W",""),"ВТ",""),"")))</f>
        <v/>
      </c>
      <c r="IE129" t="str" cm="1">
        <f t="array" ref="IE129">IF(IC129="","",_xlfn.LET(_xlpm.tk,_xlfn.TEXTSPLIT(SUBSTITUTE(SUBSTITUTE(IC129,";"," "),"→"," ")," ",,TRUE),_xlpm.v_,_xlfn._xlws.FILTER(_xlpm.tk,ISNUMBER(--LEFT(_xlpm.tk,1))*((ISNUMBER(SEARCH("V",_xlpm.tk))+(RIGHT(UPPER(_xlpm.tk))="В"))&gt;0),""),IFERROR(--SUBSTITUTE(SUBSTITUTE(UPPER(INDEX(_xlpm.v_,1)),"V",""),"В",""),"")))</f>
        <v/>
      </c>
      <c r="IF129" s="6" t="str">
        <f>IF(OR(BV129=0,HI129="",HJ129=""),"",IFERROR(N(_xlfn.XLOOKUP(HI129,Каталог!$C$4:$C$500,Каталог!$Q$4:$Q$500)),""))</f>
        <v/>
      </c>
      <c r="IG129" s="6" t="str">
        <f>IF(N(IF129)=0,"",SUMIFS(Линии[Iр, А],Линии[Щит],A129,Линии[_модуль гр.],HH129,Линии[Канал (итог)],HJ129))</f>
        <v/>
      </c>
      <c r="IH129" t="str">
        <f>IF(AND(B129="",HO129=""),"",_xlfn.TEXTJOIN("; ",TRUE,IF(AND(B129&lt;&gt;"",FV129=""),"нет фазы",""),IF(AND(B129&lt;&gt;"",N(GL129)=0,FG129&lt;&gt;"Нет"),"нет мощности",""),IF(AND(HN129&lt;&gt;"",COUNTIFS(Линии[Щит],A129,Линии[Клемма (итог)],HN129)&gt;1),"дубль клеммы "&amp;HN129,""),IF(AND(HQ129&lt;&gt;"",HQ129&lt;&gt;"ok"),HQ129,""),IF(HR129&lt;&gt;"",HR129,""),IF(AND(N(CB129)&gt;=4,N(BX129)=1),CB129&amp;" жил на 1 фазе",""),IF(AND(BC129="R",CG129=1,IF(CS129&lt;&gt;"",N(CV129)&gt;30,OR(N(DA129)=0,N(DA129)&gt;30))),"розетка без дифзащиты до 30 мА",""),IF(AND(CG129=1,N(DA129)&gt;0,ISNUMBER(T129)),IF(T129&gt;N(DA129)/3,"ток утечки "&amp;FIXED(T129,1)&amp;" мА &gt; 1/3 уставки ("&amp;DA129&amp;" мА)",""),""),IF(AND(CH129=1,CS129=""),"«узо»: нет строки с УЗО выше (УЗО 2P 40А 30мА в «Аппаратах»)",""),IF(AND(CS129&lt;&gt;"",CS129=BA129),IF(CT129="","впишите номинал УЗО (УЗО 2P 40А 30мА)",IF(N(CT129)&lt;N(DT129),"УЗО "&amp;CT129&amp;" А &lt; автомата "&amp;DT129&amp;" А перед ним",IF(N(CT129)&lt;N(CX129),"УЗО "&amp;CT129&amp;" А &lt; тока блока "&amp;FIXED(CX129,1)&amp;" А",""))),""),IF(AND(CS129&lt;&gt;"",CS129=BA129,ISNUMBER(CY129)),IF(CY129&gt;N(CV129)/3,"ток утечки блока УЗО "&amp;FIXED(CY129,1)&amp;" мА &gt; 1/3 уставки ("&amp;CV129&amp;" мА)",""),""),IF(AND(CG129=1,N(BV129)+N(IB129)&gt;0,IC129=""),"линии до 50 В без БП: впишите в «Аппараты» (БП 24V 480W)",""),IF(AND(CG129=1,ISNUMBER(ID129),ISNUMBER(U129)),IF(U129&gt;ID129,"БП "&amp;ID129&amp;" Вт &lt; нужно "&amp;U129&amp;" Вт (×"&amp;Запас_БП&amp;")",""),""),IF(AND(CG129=1,ISNUMBER(IE129),N(BV129)=1),IF(IE129&lt;&gt;N(BU129),"БП на "&amp;IE129&amp;" В, линия "&amp;BU129&amp;" В",""),""),IF(AND(N(IF129)&gt;0,N(IG129)&gt;N(IF129)),HH129&amp;" канал "&amp;HJ129&amp;": "&amp;FIXED(IG129,1)&amp;" А &gt; "&amp;IF129&amp;" А",""),IFERROR(IF(AND(ISNUMBER(Q129),Q129&gt;EL129),"потери "&amp;FIXED(Q129,1)&amp;" % &gt; "&amp;EL129&amp;" %",""),""),IFERROR(IF(LEFT(HU129,4)="мало","Iкз мало — отключение &gt; 0,4 с",""),""),IF(AND(B129&lt;&gt;"",BM129=""),"не на схеме",""),IF(AND(CG129=0,B129&lt;&gt;"",FV129&lt;&gt;"",IF(BA129=1,"",FW128)&lt;&gt;"",FV129&lt;&gt;IF(BA129=1,"",FW128)),"фаза не как у автомата группы ("&amp;IF(BA129=1,"",FW128)&amp;")","")))</f>
        <v>не на схеме</v>
      </c>
      <c r="II129" s="6">
        <f>IF(OR(CG129=0,DQ129=""),"",_xlfn.LET(_xlpm.t,IFERROR(_xlfn.XLOOKUP(DQ129,Каталог!$U$4:$U$500,Каталог!$G$4:$G$500),""),_xlpm.k,SEARCH("кА",_xlpm.t),IFERROR(--TRIM(RIGHT(SUBSTITUTE(MID(_xlpm.t,MAX(1,_xlpm.k-4),_xlpm.k-MAX(1,_xlpm.k-4))," ",REPT(" ",9)),5)),"")))</f>
        <v>6</v>
      </c>
      <c r="IJ129" t="str">
        <f>IF(OR(II129="",CG129=0),"",IF(_xlfn.XLOOKUP(A129,Щиты[Щит],Щиты[Iкз max на шинах, кА],"")="","",IF(II129&lt;_xlfn.XLOOKUP(A129,Щиты[Щит],Щиты[Iкз max на шинах, кА]),"Icu "&amp;II129&amp;" кА &lt; Iкз max","ok")))</f>
        <v/>
      </c>
      <c r="IK129" t="str">
        <f t="shared" si="251"/>
        <v/>
      </c>
      <c r="IL129" t="str">
        <f t="shared" si="252"/>
        <v/>
      </c>
      <c r="IM129" t="str">
        <f t="shared" si="253"/>
        <v/>
      </c>
      <c r="IN129" t="str" cm="1">
        <f t="array" ref="IN129">IF(IM129="","",_xlfn.LET(_xlpm.nd,_xlfn.TEXTSPLIT(IM129,"|"),IF(COLUMNS(_xlpm.nd)&gt;1,A129&amp;"¦"&amp;INDEX(_xlpm.nd,1)&amp;"¦"&amp;INDEX(_xlpm.nd,2),"")))</f>
        <v/>
      </c>
      <c r="IO129" t="str">
        <f t="shared" si="254"/>
        <v/>
      </c>
      <c r="IP129" t="str" cm="1">
        <f t="array" ref="IP129">IF(IM129="","",_xlfn.LET(_xlpm.nd,_xlfn.TEXTSPLIT(IM129,"|"),IF(COLUMNS(_xlpm.nd)&gt;2,A129&amp;"¦"&amp;INDEX(_xlpm.nd,2)&amp;"¦"&amp;INDEX(_xlpm.nd,3),"")))</f>
        <v/>
      </c>
      <c r="IQ129" t="str">
        <f t="shared" si="255"/>
        <v/>
      </c>
      <c r="IR129" t="str" cm="1">
        <f t="array" ref="IR129">IF(IM129="","",_xlfn.LET(_xlpm.nd,_xlfn.TEXTSPLIT(IM129,"|"),IF(COLUMNS(_xlpm.nd)&gt;3,A129&amp;"¦"&amp;INDEX(_xlpm.nd,3)&amp;"¦"&amp;INDEX(_xlpm.nd,4),"")))</f>
        <v/>
      </c>
      <c r="IS129" t="str">
        <f t="shared" si="256"/>
        <v/>
      </c>
      <c r="IT129" t="str" cm="1">
        <f t="array" ref="IT129">IF(IM129="","",_xlfn.LET(_xlpm.nd,_xlfn.TEXTSPLIT(IM129,"|"),IF(COLUMNS(_xlpm.nd)&gt;4,A129&amp;"¦"&amp;INDEX(_xlpm.nd,4)&amp;"¦"&amp;INDEX(_xlpm.nd,5),"")))</f>
        <v/>
      </c>
      <c r="IU129" t="str">
        <f t="shared" si="257"/>
        <v/>
      </c>
      <c r="IV129" t="str" cm="1">
        <f t="array" ref="IV129">IF(IM129="","",_xlfn.LET(_xlpm.nd,_xlfn.TEXTSPLIT(IM129,"|"),IF(COLUMNS(_xlpm.nd)&gt;5,A129&amp;"¦"&amp;INDEX(_xlpm.nd,5)&amp;"¦"&amp;INDEX(_xlpm.nd,6),"")))</f>
        <v/>
      </c>
      <c r="IW129" t="str">
        <f t="shared" si="258"/>
        <v/>
      </c>
      <c r="IX129" t="str" cm="1">
        <f t="array" ref="IX129">IF(IM129="","",_xlfn.LET(_xlpm.nd,_xlfn.TEXTSPLIT(IM129,"|"),IF(COLUMNS(_xlpm.nd)&gt;6,A129&amp;"¦"&amp;INDEX(_xlpm.nd,6)&amp;"¦"&amp;INDEX(_xlpm.nd,7),"")))</f>
        <v/>
      </c>
      <c r="IY129" t="str">
        <f t="shared" si="259"/>
        <v/>
      </c>
      <c r="IZ129" t="str">
        <f t="shared" si="260"/>
        <v/>
      </c>
      <c r="JA129" t="str">
        <f t="shared" si="261"/>
        <v>QF26 → XT27</v>
      </c>
      <c r="JB129">
        <f t="shared" si="262"/>
        <v>0</v>
      </c>
      <c r="JC129">
        <f t="shared" si="263"/>
        <v>0</v>
      </c>
      <c r="JD129" t="str">
        <f t="shared" si="264"/>
        <v/>
      </c>
      <c r="JE129" t="str">
        <f t="shared" si="265"/>
        <v/>
      </c>
      <c r="JF129" t="str">
        <f t="shared" si="266"/>
        <v/>
      </c>
      <c r="JG129" t="str">
        <f t="shared" si="267"/>
        <v/>
      </c>
      <c r="JH129">
        <f>IF(B129="","",IFERROR(_xlfn.XLOOKUP(B129,Коды_код,Коды_уго),IFERROR(_xlfn.XLOOKUP(BC129,Коды_код,Коды_уго),IFERROR(_xlfn.XLOOKUP(LEFT(BC129,2),Коды_код,Коды_уго),""))))</f>
        <v>0</v>
      </c>
      <c r="JI129" t="str">
        <f>IF(B129="","",IF(OR(JH129="",JH129=0),"BOX",IFERROR(IF(VLOOKUP(JH129,УГО_блоки,3,FALSE)&amp;""&lt;&gt;"",VLOOKUP(JH129,УГО_блоки,3,FALSE),VLOOKUP(JH129,УГО_блоки,2,FALSE)),JH129)))</f>
        <v>BOX</v>
      </c>
      <c r="JJ129">
        <f t="shared" si="268"/>
        <v>1</v>
      </c>
      <c r="JK129" t="str">
        <f>IF(DQ129="","",IF(COUNTIF(DQ$3:DQ129,DQ129)=1,MAX(JK$2:JK128)+1,""))</f>
        <v/>
      </c>
      <c r="JL129" t="str">
        <f>IF(DE129="","",IF(COUNTIF(DE$3:DE129,DE129)+COUNTIF(DF$2:DF128,DE129)+COUNTIF(DG$2:DG128,DE129)=1,MAX(JL$2:JN128)+1,""))</f>
        <v/>
      </c>
      <c r="JM129" t="str">
        <f>IF(DF129="","",IF(COUNTIF(DE$3:DE129,DF129)+COUNTIF(DF$3:DF129,DF129)+COUNTIF(DG$2:DG128,DF129)=1,MAX(JL$2:JN128,JL129)+1,""))</f>
        <v/>
      </c>
      <c r="JN129" t="str">
        <f>IF(DG129="","",IF(COUNTIF(DE$3:DE129,DG129)+COUNTIF(DF$3:DF129,DG129)+COUNTIF(DG$3:DG129,DG129)=1,MAX(JL$2:JN128,JL129,JM129)+1,""))</f>
        <v/>
      </c>
      <c r="JO129" t="str">
        <f t="shared" si="269"/>
        <v>3х1,5</v>
      </c>
      <c r="JP129" t="str">
        <f>IF(JO129="","",IF(COUNTIF(JO$3:JO129,JO129)=1,MAX(JP$2:JP128)+1,""))</f>
        <v/>
      </c>
      <c r="JQ129" t="str">
        <f>IF(HG129="","",COUNTIF(HG$3:HG129,"?*"))</f>
        <v/>
      </c>
      <c r="JR129" t="str">
        <f>IF(OR(HG129="",HI129=""),"",IF(COUNTIFS(HG$3:HG129,"?*",HI$3:HI129,HI129)=1,MAX(JR$2:JR128)+1,""))</f>
        <v/>
      </c>
      <c r="JS129">
        <f t="shared" si="270"/>
        <v>1</v>
      </c>
      <c r="JT129">
        <f>IF(B129="","",COUNTIF(B$3:B129,"?*"))</f>
        <v>127</v>
      </c>
      <c r="JU129">
        <f>IF(HL129&lt;&gt;1,0,_xlfn.LET(_xlpm.k,MAX(IFERROR(--_xlfn.XLOOKUP(B129,Коды_код,Коды_3L),0),IFERROR(--_xlfn.XLOOKUP(BC129,Коды_код,Коды_3L),0),IFERROR(--_xlfn.XLOOKUP(LEFT(BC129,2),Коды_код,Коды_3L),0)),IF(_xlpm.k&gt;0,_xlpm.k,IF(IFERROR(--LEFT(SUBSTITUTE(JO129,"x","х"),FIND("х",SUBSTITUTE(JO129,"x","х"))-1),3)&gt;3,Каталог!$S$9,1))))</f>
        <v>1</v>
      </c>
      <c r="JV129">
        <f t="shared" si="271"/>
        <v>0</v>
      </c>
      <c r="JW129" t="str">
        <f t="shared" si="272"/>
        <v>авто</v>
      </c>
      <c r="JX129" t="str">
        <f t="shared" si="273"/>
        <v/>
      </c>
      <c r="JY129">
        <f t="shared" si="274"/>
        <v>0</v>
      </c>
      <c r="JZ129">
        <f t="shared" si="275"/>
        <v>1</v>
      </c>
    </row>
    <row r="130" spans="1:286" x14ac:dyDescent="0.3">
      <c r="A130" t="s">
        <v>751</v>
      </c>
      <c r="B130" t="s">
        <v>52</v>
      </c>
      <c r="C130" t="str">
        <f>Линии[[#This Row],[_авто наименование]]</f>
        <v xml:space="preserve">Вводной кабель шлейф </v>
      </c>
      <c r="D130">
        <v>1</v>
      </c>
      <c r="E130">
        <f>Линии[[#This Row],[_авто Р]]</f>
        <v>11.093000000000002</v>
      </c>
      <c r="G130">
        <v>20</v>
      </c>
      <c r="H130" t="str">
        <f>Линии[[#This Row],[_авто управление]]</f>
        <v/>
      </c>
      <c r="I130" t="str">
        <f>Линии[[#This Row],[_авто аппараты]]</f>
        <v/>
      </c>
      <c r="J130">
        <v>4</v>
      </c>
      <c r="K130">
        <v>52</v>
      </c>
      <c r="L130" t="str">
        <f>Линии[[#This Row],[_авто фаза]]</f>
        <v>L1,L2,L3</v>
      </c>
      <c r="M130" t="str">
        <f>Линии[[#This Row],[_авто клемма]]</f>
        <v/>
      </c>
      <c r="N130" t="str">
        <f t="shared" si="138"/>
        <v/>
      </c>
      <c r="O130" s="6" cm="1">
        <f t="array" ref="O130">IF(B130="","",IF(BH130&lt;&gt;"",IFERROR(_xlfn.XLOOKUP(BH130,Щиты[Щит],Щиты[Iр, А]),""),IF(BP130=1,IF(OR(N(_xlfn.XLOOKUP(A130,Щиты[Щит],Щиты[Вводов],1))&lt;=1,LOWER(TRIM(_xlfn.XLOOKUP(A130,Щиты[Щит],Щиты[АВР],"")&amp;""))="да"),IFERROR(_xlfn.XLOOKUP(A130,Щиты[Щит],Щиты[Iр, А]),""),IFERROR(N(BS130)*_xlfn.XLOOKUP(A130,Щиты[Щит],Щиты[Кс итог])/(SQRT(3)*Uн_лин*_xlfn.XLOOKUP(A130,Щиты[Щит],Щиты[cos φ])),"")),IF(BV130=1,IFERROR(BS130*1000/BU130,""),IFERROR(_xlfn.IFS(BX130=1,BS130/((Uн_лин/SQRT(3))*CE130),BX130=3,BS130/(SQRT(3)*Uн_лин*CE130)),"")))))</f>
        <v>10.284051669940206</v>
      </c>
      <c r="P130" s="7">
        <f>IF(B130="","",IFERROR(IF(VLOOKUP(BC130,Потребители_обозначение,4,FALSE)=1,VLOOKUP(BC130,Потребители_обозначение,3,FALSE)*(MAX(1,N(D130))*2-1)+EI130+VLOOKUP(BE130,Этаж_обозначение,3,FALSE)+VLOOKUP(BE130,Этаж_обозначение,4,FALSE),VLOOKUP(BC130,Потребители_обозначение,3,FALSE)*(MAX(1,N(D130))*2-1)+EI130),EI130))</f>
        <v>52</v>
      </c>
      <c r="Q130" s="6">
        <f t="shared" si="139"/>
        <v>2.2000000000000002</v>
      </c>
      <c r="R130" t="str">
        <f t="shared" si="140"/>
        <v>ВВГнг(А)-LS (5х4)</v>
      </c>
      <c r="S130" t="str">
        <f>IF(BM130="","",IF(BN130="вводной узел","узел ","")&amp;"л."&amp;(INT((BM130-1)/Столбцов_на_лист)+1)&amp;" / "&amp;(MOD(BM130-1,Столбцов_на_лист)+1))</f>
        <v>узел л.1 / 2</v>
      </c>
      <c r="T130" s="119" t="str">
        <f t="shared" si="141"/>
        <v/>
      </c>
      <c r="U130" s="7" t="str">
        <f>IF(OR(CG130=0,N(BV130)+N(IB130)=0),"",ROUNDUP(Запас_БП*(N(HY130)+N(HZ130)),0))</f>
        <v/>
      </c>
      <c r="V130" s="119" t="str">
        <f t="shared" si="142"/>
        <v/>
      </c>
      <c r="W130" s="7" t="str">
        <f>IFERROR(IF(OR(B130="",BP130=1,BV130=1,NOT(ISNUMBER(EN130)),N(DT130)=0),"",MAX(0,ROUNDDOWN((c_min*(Uн_лин*1000/SQRT(3))/(HT130*N(DT130))-_xlfn.XLOOKUP(A130,Щиты[Щит],Щиты[Zпетли на шинах, Ом]))*EN130/(2*ρкз_Cu),0))),"")</f>
        <v/>
      </c>
      <c r="Y130" t="str">
        <f>Линии[[#This Row],[_авто утечка]]</f>
        <v/>
      </c>
      <c r="Z130">
        <v>3</v>
      </c>
      <c r="AA130">
        <v>400</v>
      </c>
      <c r="AB130" t="s">
        <v>547</v>
      </c>
      <c r="AJ130" t="s">
        <v>1344</v>
      </c>
      <c r="AK130" t="str">
        <f>Линии[[#This Row],[_авто модуль]]</f>
        <v/>
      </c>
      <c r="AM130">
        <v>2</v>
      </c>
      <c r="AN130" t="s">
        <v>11</v>
      </c>
      <c r="AO130">
        <v>5</v>
      </c>
      <c r="AQ130">
        <v>37</v>
      </c>
      <c r="AR130">
        <v>15</v>
      </c>
      <c r="AT130">
        <v>1</v>
      </c>
      <c r="BA130" cm="1">
        <f t="array" ref="BA130">ROW()-ROW(Линии[#Headers])</f>
        <v>128</v>
      </c>
      <c r="BC130" s="6" t="str">
        <f t="shared" si="143"/>
        <v>Ввод</v>
      </c>
      <c r="BD130" t="str">
        <f t="shared" si="144"/>
        <v/>
      </c>
      <c r="BE130" t="str">
        <f t="shared" si="145"/>
        <v/>
      </c>
      <c r="BF130" t="str">
        <f t="shared" si="146"/>
        <v/>
      </c>
      <c r="BG130" t="str">
        <f t="shared" si="147"/>
        <v/>
      </c>
      <c r="BH130" t="str">
        <f>IF(X130&lt;&gt;"",X130,IF(AND(B130&lt;&gt;"",B130&lt;&gt;A130,ISNUMBER(_xlfn.XMATCH(B130,Щиты[Щит]))),B130,""))</f>
        <v/>
      </c>
      <c r="BI130" t="str" cm="1">
        <f t="array" ref="BI130">IF(B130="","",IF(BH130&lt;&gt;"","Щит "&amp;BH130,_xlfn.LET(_xlpm.nm,IFERROR(_xlfn.XLOOKUP(BC130,Коды_код,Коды_имя)&amp;"",""),_xlpm.md,IFERROR(N(_xlfn.XLOOKUP(BC130,Коды_код,Коды_режим)),1),_xlpm.ex,IF(Имя_режим="по экспликации",IFERROR(_xlfn.XLOOKUP(BE130&amp;"|"&amp;BG130,Экспликация[Этаж]&amp;"|"&amp;Экспликация[Помещение],Экспликация[Название])&amp;"",""),""),_xlpm.rm,IF(BG130="","",IF(_xlpm.ex&lt;&gt;"",". "&amp;_xlpm.ex&amp;IF(Имя_пом="нет"," ("&amp;BG130&amp;")"," (пом. "&amp;BG130&amp;")"),IF(Имя_пом="нет"," ",", пом. ")&amp;BG130)),IF(_xlpm.nm="","",IF(_xlpm.md=2,_xlpm.nm&amp;" шлейф "&amp;BE130,_xlpm.nm&amp;_xlpm.rm)))))</f>
        <v xml:space="preserve">Вводной кабель шлейф </v>
      </c>
      <c r="BJ130" t="str">
        <f t="shared" si="148"/>
        <v xml:space="preserve">Вводной кабель шлейф </v>
      </c>
      <c r="BK130">
        <f>IFERROR(_xlfn.XMATCH(A130,Щиты[Щит]),0)</f>
        <v>7</v>
      </c>
      <c r="BL130">
        <f>_xlfn.LET(_xlpm.k,IFERROR(_xlfn.XLOOKUP(A130,Щиты[Щит],Щиты[Мест под вводной узел]),""),IF(_xlpm.k="",Столбцов_на_лист,N(_xlpm.k)))</f>
        <v>12</v>
      </c>
      <c r="BM130">
        <f t="shared" si="149"/>
        <v>2</v>
      </c>
      <c r="BN130" t="str">
        <f t="shared" si="150"/>
        <v>вводной узел</v>
      </c>
      <c r="BO130" s="6">
        <f>IFERROR(N(_xlfn.XLOOKUP(BC130,Коды_код,Коды_квт)),0)</f>
        <v>0</v>
      </c>
      <c r="BP130">
        <f t="shared" si="151"/>
        <v>1</v>
      </c>
      <c r="BQ130">
        <f>IF(B130="","",IF(BH130&lt;&gt;"",IFERROR(_xlfn.XLOOKUP(BH130,Щиты[Щит],Щиты[Руст, кВт]),0),IF(BP130=1,IF(OR(N(_xlfn.XLOOKUP(A130,Щиты[Щит],Щиты[Вводов],1))&lt;=1,LOWER(TRIM(_xlfn.XLOOKUP(A130,Щиты[Щит],Щиты[АВР],"")&amp;""))="да"),IFERROR(_xlfn.XLOOKUP(A130,Щиты[Щит],Щиты[Руст, кВт]),0),SUMIFS(Линии[_Р для вводов],Линии[Щит],A130,Линии[Источник для режимов],GF130)),IF(BO130&gt;0,ROUND(BO130*MAX(1,N(D130)),3),""))))</f>
        <v>11.093000000000002</v>
      </c>
      <c r="BR130">
        <f t="shared" si="152"/>
        <v>11.093000000000002</v>
      </c>
      <c r="BS130" s="6">
        <f>IF(B130="","",IF(BH130&lt;&gt;"",IFERROR(_xlfn.XLOOKUP(BH130,Щиты[Щит],Щиты[Руст, кВт]),0),N(BR130)))</f>
        <v>11.093000000000002</v>
      </c>
      <c r="BT130" t="str">
        <f>IF(B130="","",IFERROR(IF(VLOOKUP(BC130,Потребители_обозначение,8,FALSE)=0,"",VLOOKUP(BC130,Потребители_обозначение,8,FALSE)),""))</f>
        <v/>
      </c>
      <c r="BU130">
        <f t="shared" si="153"/>
        <v>400</v>
      </c>
      <c r="BV130">
        <f t="shared" si="154"/>
        <v>0</v>
      </c>
      <c r="BW130">
        <f>IF(B130="","",IF(BH130&lt;&gt;"",3,IFERROR(IF(N(VLOOKUP(BC130,Потребители_обозначение,9,FALSE))=0,1,VLOOKUP(BC130,Потребители_обозначение,9,FALSE)),1)))</f>
        <v>1</v>
      </c>
      <c r="BX130">
        <f t="shared" si="155"/>
        <v>3</v>
      </c>
      <c r="BY130" t="str">
        <f>IF(B130="","",_xlfn.LET(_xlpm.bc,IFERROR(IF(VLOOKUP(BC130,Потребители_обозначение,6,FALSE)=0,"",VLOOKUP(BC130,Потребители_обозначение,6,FALSE)&amp;""),""),IF(AND(GA130="да",OR(_xlpm.bc="",_xlpm.bc="мс")),Марка_пож,IF(AND(_xlpm.bc="",BH130&lt;&gt;""),"мс",_xlpm.bc))))</f>
        <v/>
      </c>
      <c r="BZ130" t="str">
        <f t="shared" si="156"/>
        <v>мс</v>
      </c>
      <c r="CA130">
        <f>IF(B130="","",_xlfn.LET(_xlpm.cc,IFERROR(N(VLOOKUP(BC130,Потребители_обозначение,7,FALSE)),0),IF(_xlpm.cc&gt;0,_xlpm.cc,IF(BZ130="","",IF(BV130=1,2,IF(N(BX130)=3,5,3))))))</f>
        <v>5</v>
      </c>
      <c r="CB130">
        <f t="shared" si="157"/>
        <v>5</v>
      </c>
      <c r="CC130">
        <f>IFERROR(N(VLOOKUP(BC130,Потребители_обозначение,10,FALSE)),0)</f>
        <v>0</v>
      </c>
      <c r="CD130">
        <f>IFERROR(VLOOKUP(BC130,Потребители_обозначение,5,FALSE),0)</f>
        <v>1</v>
      </c>
      <c r="CE130" s="6" cm="1">
        <f t="array" ref="CE130">IF(B130="","",IF(BH130&lt;&gt;"",IFERROR(_xlfn.XLOOKUP(BH130,Щиты[Щит],Щиты[cos φ]),0.95),IF(BP130=1,IFERROR(_xlfn.XLOOKUP(A130,Щиты[Щит],Щиты[cos φ]),0.95),IF(ISNUMBER(AD130),AD130,IFERROR(IF(CD130=2,_xlfn.IFS(BX130=3,VLOOKUP(BS130,Справочная_двигатели,8,FALSE),BX130=1,VLOOKUP(BS130,Справочная_двигатели,10,TRUE)),IF(AND(Методика="нормы 2026",FG130="Сил"),0.8,0.95)),0.95)))))</f>
        <v>0.8</v>
      </c>
      <c r="CF130">
        <f t="shared" si="158"/>
        <v>0</v>
      </c>
      <c r="CG130">
        <f t="shared" si="159"/>
        <v>1</v>
      </c>
      <c r="CH130">
        <f t="shared" si="160"/>
        <v>0</v>
      </c>
      <c r="CI130">
        <f>IF(B130="","",IF(BV130=1,IFERROR(BS130/((Uн_лин/SQRT(3))*MAX(0.5,N(CE130))),0),N(O130)))</f>
        <v>10.284051669940206</v>
      </c>
      <c r="CJ130">
        <f t="shared" si="161"/>
        <v>0</v>
      </c>
      <c r="CK130">
        <f t="shared" si="162"/>
        <v>0</v>
      </c>
      <c r="CL130">
        <f t="shared" si="163"/>
        <v>0</v>
      </c>
      <c r="CM130">
        <f t="shared" si="164"/>
        <v>0</v>
      </c>
      <c r="CN130">
        <f t="shared" si="165"/>
        <v>0</v>
      </c>
      <c r="CO130">
        <f>IF(BC130="",0,_xlfn.LET(_xlpm.v,IFERROR(_xlfn.XLOOKUP(B130,Коды_код,Коды_мА),IFERROR(_xlfn.XLOOKUP(BC130,Коды_код,Коды_мА),IFERROR(_xlfn.XLOOKUP(LEFT(BC130,2),Коды_код,Коды_мА),""))),IF(_xlpm.v="да",30,IF(ISNUMBER(_xlpm.v),_xlpm.v,0))))</f>
        <v>0</v>
      </c>
      <c r="CP130" t="str">
        <f t="shared" si="166"/>
        <v/>
      </c>
      <c r="CQ130" t="str">
        <f>_xlfn.LET(_xlpm.k,IFERROR(_xlfn.XLOOKUP(BC130,Коды_код,Коды_утечка)&amp;"",""),IF(_xlpm.k="","дифавтомат",_xlpm.k))</f>
        <v>дифавтомат</v>
      </c>
      <c r="CR130" t="str" cm="1">
        <f t="array" ref="CR130">IF(CG130=0,"",_xlfn.LET(_xlpm.sg,TRIM(_xlfn.TEXTSPLIT(DD130&amp;"",";")),_xlpm.f_,_xlfn._xlws.FILTER(_xlpm.sg,LEFT(_xlpm.sg,3)="УЗО",""),IFERROR(INDEX(_xlpm.f_,1)&amp;"","")))</f>
        <v/>
      </c>
      <c r="CS130" t="str">
        <f t="shared" si="167"/>
        <v/>
      </c>
      <c r="CT130" s="6" t="str" cm="1">
        <f t="array" ref="CT130">IF(CR130="","",_xlfn.LET(_xlpm.tk,_xlfn.TEXTSPLIT(UPPER(CR130)," ",,TRUE),_xlpm.a_,_xlfn._xlws.FILTER(_xlpm.tk,ISNUMBER(--LEFT(_xlpm.tk,1))*((ISNUMBER(SEARCH("А",_xlpm.tk))+ISNUMBER(SEARCH("A",_xlpm.tk)))&gt;0)*NOT(ISNUMBER(SEARCH("МА",_xlpm.tk)))*NOT(ISNUMBER(SEARCH("MA",_xlpm.tk))),""),IFERROR(--SUBSTITUTE(SUBSTITUTE(INDEX(_xlpm.a_,1),"А",""),"A",""),"")))</f>
        <v/>
      </c>
      <c r="CU130" t="str" cm="1">
        <f t="array" ref="CU130">IF(CR130="","",_xlfn.LET(_xlpm.tk,_xlfn.TEXTSPLIT(UPPER(CR130)," ",,TRUE),_xlpm.a_,_xlfn._xlws.FILTER(_xlpm.tk,ISNUMBER(--LEFT(_xlpm.tk,1))*((ISNUMBER(SEARCH("МА",_xlpm.tk))+ISNUMBER(SEARCH("MA",_xlpm.tk)))&gt;0),""),IFERROR(--SUBSTITUTE(SUBSTITUTE(INDEX(_xlpm.a_,1),"МА",""),"MA",""),30)))</f>
        <v/>
      </c>
      <c r="CV130" t="str">
        <f>IF(CS130="","",IFERROR(_xlfn.XLOOKUP(CS130,Линии[_n],Линии[_УЗО, мА]),30))</f>
        <v/>
      </c>
      <c r="CW130">
        <f>IF(CS130="",0,IF(ISNUMBER(SEARCH("4P",IFERROR(_xlfn.XLOOKUP(CS130,Линии[_n],Линии[_УЗО строки])&amp;"",""))),0,1))</f>
        <v>0</v>
      </c>
      <c r="CX130" t="str">
        <f>IF(AND(CS130&lt;&gt;"",CS130=BA130),SUMIFS(Линии[_ток на 230 В],Линии[_блок УЗО],BA130,Линии[Щит],A130),"")</f>
        <v/>
      </c>
      <c r="CY130" t="str">
        <f>IF(AND(CS130&lt;&gt;"",CS130=BA130),SUMIFS(Линии[_ток утечки линии, мА],Линии[_блок УЗО],BA130,Линии[Щит],A130),"")</f>
        <v/>
      </c>
      <c r="CZ130">
        <f t="shared" si="168"/>
        <v>0</v>
      </c>
      <c r="DA130">
        <f t="shared" si="169"/>
        <v>0</v>
      </c>
      <c r="DB130">
        <f>IF(B130="",0,IFERROR(--_xlfn.XLOOKUP(B130,Коды_код,Коды_минавт),IFERROR(--_xlfn.XLOOKUP(BC130,Коды_код,Коды_минавт),IFERROR(--_xlfn.XLOOKUP(LEFT(BC130,2),Коды_код,Коды_минавт),0))))</f>
        <v>0</v>
      </c>
      <c r="DC130" t="str">
        <f>IF(B130="","",IFERROR(_xlfn.XLOOKUP(BC130,Коды_код,Коды_апп)&amp;"",""))</f>
        <v/>
      </c>
      <c r="DD130" t="str">
        <f t="shared" si="170"/>
        <v/>
      </c>
      <c r="DE130" t="str" cm="1">
        <f t="array" ref="DE130">IF(TRIM(DD130&amp;"")="","",IFERROR(TRIM(INDEX(_xlfn.TEXTSPLIT(DD130&amp;";;;",";"),1)),""))</f>
        <v/>
      </c>
      <c r="DF130" t="str" cm="1">
        <f t="array" ref="DF130">IF(TRIM(DD130&amp;"")="","",IFERROR(TRIM(INDEX(_xlfn.TEXTSPLIT(DD130&amp;";;;",";"),2)),""))</f>
        <v/>
      </c>
      <c r="DG130" t="str" cm="1">
        <f t="array" ref="DG130">IF(TRIM(DD130&amp;"")="","",IFERROR(TRIM(INDEX(_xlfn.TEXTSPLIT(DD130&amp;";;;",";"),3)),""))</f>
        <v/>
      </c>
      <c r="DH130">
        <f t="shared" si="171"/>
        <v>0</v>
      </c>
      <c r="DI130" t="str">
        <f>IF(B130="","",_xlfn.LET(_xlpm.t,LOWER(AZ130&amp;""),IF(ISNUMBER(SEARCH("dim",_xlpm.t)),"DIM",IF(ISNUMBER(SEARCH("dali",_xlpm.t)),"DALI",IF(OR(ISNUMBER(SEARCH("relay",_xlpm.t)),ISNUMBER(SEARCH("реле",_xlpm.t))),"Relay",IF(ISNUMBER(SEARCH("кнопк",_xlpm.t)),"",IFERROR(_xlfn.XLOOKUP(BC130,Коды_код,Коды_упр)&amp;"","")))))))</f>
        <v/>
      </c>
      <c r="DJ130" t="str">
        <f t="shared" si="172"/>
        <v/>
      </c>
      <c r="DK130">
        <f>IF(B130="","",_xlfn.LET(_xlpm.ig,IF(N(CX130)&gt;0,N(CX130),N(CI130)+IF(AJ130="вручную",0,N(CJ130))),_xlpm.n0,IFERROR(VLOOKUP(_xlpm.ig,Автомат_номиналы,2,TRUE),0),_xlpm.mn,MAX(DB130,IF(AJ130="вручную",0,N(CM130))),MAX(_xlpm.n0,_xlpm.mn,IF(DH130=1,Мин_автомат_БП,0))))</f>
        <v>16</v>
      </c>
      <c r="DL130">
        <f t="shared" si="173"/>
        <v>3</v>
      </c>
      <c r="DM130" t="str">
        <f t="shared" si="174"/>
        <v>3P</v>
      </c>
      <c r="DN130" t="str">
        <f>_xlfn.LET(_xlpm.cc,UPPER(TRIM(IFERROR(_xlfn.XLOOKUP(BC130,Коды_код,Коды_хар)&amp;"",""))),IF(OR(_xlpm.cc="B",_xlpm.cc="В"),"B",IF(_xlpm.cc="D","D","С")))</f>
        <v>С</v>
      </c>
      <c r="DO130" t="str">
        <f t="shared" si="175"/>
        <v>3P С16А</v>
      </c>
      <c r="DP130">
        <f t="shared" si="176"/>
        <v>20</v>
      </c>
      <c r="DQ130" t="str">
        <f t="shared" si="177"/>
        <v>3P С20А</v>
      </c>
      <c r="DR130" cm="1">
        <f t="array" ref="DR130">IF(DQ130="","",_xlfn.LET(_xlpm.t,SUBSTITUTE(SUBSTITUTE(SUBSTITUTE(UPPER(DQ130),"С","C"),"А","A"),"В","B"),_xlpm.tk,_xlfn.TEXTSPLIT(_xlpm.t," "),_xlpm.f,_xlfn._xlws.FILTER(_xlpm.tk,ISNUMBER(--MID(_xlpm.tk,2,1))*ISNUMBER(SEARCH(LEFT(_xlpm.tk,1)&amp;"#","B#C#D#"))*(LEN(_xlpm.tk)&gt;1),""),_xlpm.x,INDEX(_xlpm.f,1),IFERROR(--SUBSTITUTE(MID(_xlpm.x,2,9),"A",""),IFERROR(--SUBSTITUTE(INDEX(_xlfn._xlws.FILTER(_xlpm.tk,ISNUMBER(--SUBSTITUTE(_xlpm.tk,"A","")),""),1),"A",""),""))))</f>
        <v>20</v>
      </c>
      <c r="DS130" t="str">
        <f t="shared" si="178"/>
        <v>узел</v>
      </c>
      <c r="DT130">
        <f t="shared" si="179"/>
        <v>20</v>
      </c>
      <c r="DU130" t="str">
        <f t="shared" si="180"/>
        <v>3P С20А</v>
      </c>
      <c r="DV130">
        <f t="shared" si="181"/>
        <v>0</v>
      </c>
      <c r="DW130">
        <f t="shared" si="182"/>
        <v>0</v>
      </c>
      <c r="DX130">
        <f t="shared" si="183"/>
        <v>0</v>
      </c>
      <c r="DY130">
        <f t="shared" si="184"/>
        <v>10.284051669940206</v>
      </c>
      <c r="DZ130">
        <f t="shared" si="185"/>
        <v>0.92</v>
      </c>
      <c r="EA130">
        <f>IF(ISNUMBER(AP130),AP130,К_прокл)</f>
        <v>1</v>
      </c>
      <c r="EB130">
        <f t="shared" si="186"/>
        <v>3</v>
      </c>
      <c r="EC130">
        <f>IFERROR(N(VLOOKUP(BZ130,Кабель_обозначение,3,FALSE)),1)</f>
        <v>1</v>
      </c>
      <c r="ED130">
        <f>IFERROR(N(_xlfn.XLOOKUP(A130,Щиты[Щит],Щиты[ΔU до шин, %])),0)</f>
        <v>1.1399999999999999</v>
      </c>
      <c r="EE130" t="str">
        <f>IFERROR(_xlfn.XLOOKUP(A130,Щиты[Щит],Щиты[Zпетли на шинах, Ом]),"")</f>
        <v/>
      </c>
      <c r="EF130">
        <f>IFERROR(N(_xlfn.XLOOKUP(A130,Щиты[Щит],Щиты[ΔU до шин (подбор), %])),0)</f>
        <v>1.82</v>
      </c>
      <c r="EG130" t="str">
        <f>IFERROR(_xlfn.XLOOKUP(A130,Щиты[Щит],Щиты[Zпетли на шинах (подбор), Ом]),"")</f>
        <v/>
      </c>
      <c r="EH130" t="str">
        <f t="shared" si="187"/>
        <v/>
      </c>
      <c r="EI130">
        <f t="shared" si="188"/>
        <v>52</v>
      </c>
      <c r="EJ130">
        <f t="shared" si="189"/>
        <v>1</v>
      </c>
      <c r="EK130">
        <f t="shared" si="190"/>
        <v>0.6</v>
      </c>
      <c r="EL130" s="6">
        <f>IF(B130="","",IF(BV130=1,dU_LED,IF(IFERROR(_xlfn.XLOOKUP(BC130,Коды_код,Коды_уго),"")="Светильник",3,4)+IF(Методика="нормы 2026",MIN(0.5,MAX(0,N(P130)-100)*0.005),0)))</f>
        <v>4</v>
      </c>
      <c r="EM130" cm="1">
        <f t="array" ref="EM130">IF(OR(B130="",BZ130="",EC130&lt;&gt;1),"",_xlfn.LET(_xlpm.sz,Iдоп_S,_xlpm.t_,CHOOSE(EB130,Iдоп_1ж,Iдоп_2ж,Iдоп_3ж)*DZ130*EA130,_xlpm.dcx,BV130=1,_xlpm.inn,IF(_xlpm.dcx,N(O130),N(DT130)),_xlpm.smin,MAX(1.5,CC130),_xlpm.L_,N(P130)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130)/N(BU130)*100,999),IFERROR(N(EJ130)*(_xlpm.rho*_xlpm.L_/_xlpm.sz*N(CE130)+_xlpm.xx*_xlpm.L_*N(EK130)/1000)*N(O130)/((Uн_лин/SQRT(3))*1000)*100,999)),_xlpm.kz,IF(OR(_xlpm.dcx,DW130=1,NOT(ISNUMBER(EG130)),_xlpm.L_=0,_xlpm.inn=0),1,IFERROR(--(c_min*(Uн_лин*1000/SQRT(3))/(EG130+2*ρкз_Cu*_xlpm.L_/_xlpm.sz)&gt;=HT130*_xlpm.inn),0)),_xlpm.ok,IFERROR((_xlpm.sz&gt;=_xlpm.smin)*(_xlpm.t_&gt;=_xlpm.inn)*IF(_xlpm.L_&gt;0,(_xlpm.du_+IF(_xlpm.dcx,0,EF130)&lt;=EL130+0.00001),1)*_xlpm.kz,0),_xlpm.r_,_xlfn._xlws.FILTER(_xlpm.sz,_xlpm.ok,"не подобрано"),INDEX(_xlpm.r_,1)))</f>
        <v>2.5</v>
      </c>
      <c r="EN130">
        <f t="shared" si="191"/>
        <v>4</v>
      </c>
      <c r="EO130" cm="1">
        <f t="array" ref="EO130">IF(OR(B130="",BZ130="",EC130&lt;&gt;1),"",_xlfn.LET(_xlpm.sz,Iдоп_S,_xlpm.t_,CHOOSE(EB130,Iдоп_1ж,Iдоп_2ж,Iдоп_3ж)*DZ130*EA130,_xlpm.ok,IFERROR((_xlpm.sz&gt;=MAX(1.5,CC130))*(_xlpm.t_&gt;=N(DT130)),0),_xlpm.r_,_xlfn._xlws.FILTER(_xlpm.sz,_xlpm.ok,""),INDEX(_xlpm.r_,1)))</f>
        <v>2.5</v>
      </c>
      <c r="EP130" s="6" cm="1">
        <f t="array" ref="EP130">IFERROR(ROUNDUP(N(EJ130)*(_xlfn.XLOOKUP(EO130,INDEX(Кабель_сопротивление,0,1),INDEX(Кабель_сопротивление,0,3))*N(P130)/EO130*N(CE130)+_xlfn.XLOOKUP(EO130,INDEX(Кабель_сопротивление,0,1),INDEX(Кабель_сопротивление,0,2))*N(P130)*N(EK130)/1000)*N(O130)/((Uн_лин/SQRT(3))*1000)*100,2),"")</f>
        <v>1.69</v>
      </c>
      <c r="EQ130">
        <f>IFERROR(2*ρкз_Cu*N(P130)/EO130,"")</f>
        <v>1.0940799999999999</v>
      </c>
      <c r="ER130">
        <f>IFERROR(VLOOKUP(EN130,Кабель_сопротивление,3,FALSE),"")</f>
        <v>2.2499999999999999E-2</v>
      </c>
      <c r="ES130">
        <f>IFERROR(VLOOKUP(EN130,Кабель_сопротивление,2,FALSE),"")</f>
        <v>9.5000000000000001E-2</v>
      </c>
      <c r="ET130">
        <f t="shared" si="192"/>
        <v>15</v>
      </c>
      <c r="EU130">
        <f t="shared" si="193"/>
        <v>0</v>
      </c>
      <c r="EV130">
        <f t="shared" si="194"/>
        <v>2.4369500199157108</v>
      </c>
      <c r="EW130" s="6">
        <f>IFERROR(ROUNDUP(EV130/IF(BV130=1,BU130,(Uн_лин/SQRT(3))*1000)*100,2),"")</f>
        <v>1.06</v>
      </c>
      <c r="EX130" t="str">
        <f>IFERROR(VLOOKUP(BZ130,Кабель_обозначение,2,FALSE),"")</f>
        <v>ВВГнг(А)-LS</v>
      </c>
      <c r="EY130" t="str">
        <f t="shared" si="195"/>
        <v>ВВГнг(А)-LS (5х4)</v>
      </c>
      <c r="EZ130" t="str">
        <f t="shared" si="196"/>
        <v>ВВГнг(А)-LS (5х4)
L=52-1,06%</v>
      </c>
      <c r="FA130">
        <f>IFERROR(2*ρкз_Cu*P130/EN130,"")</f>
        <v>0.68379999999999996</v>
      </c>
      <c r="FB130">
        <f t="shared" si="197"/>
        <v>0.22750000000000004</v>
      </c>
      <c r="FC130" s="6" t="str">
        <f>IFERROR(IF(OR(B130="",BV130=1,NOT(ISNUMBER(EN130)),N(P130)=0),"",_xlfn.XLOOKUP(A130,Щиты[Щит],Щиты[Zпетли на шинах, Ом])+FA130),"")</f>
        <v/>
      </c>
      <c r="FD130" s="6" t="str">
        <f>IF(ISNUMBER(FC130),c_min*(Uн_лин*1000/SQRT(3))/FC130,"")</f>
        <v/>
      </c>
      <c r="FE130" s="6" t="str">
        <f>IFERROR(IF(OR(B130="",NOT(ISNUMBER(EN130))),"",1.05*(Uн_лин*1000/SQRT(3))/(_xlfn.XLOOKUP(A130,Щиты[Щит],Щиты[Zmax на шинах, Ом])+FB130)/1000),"")</f>
        <v/>
      </c>
      <c r="FF130" s="6" t="str">
        <f>IF(B130="","",IF(ISNUMBER(AC130),"Сил",IF(IFERROR(_xlfn.XLOOKUP(BC130,Коды_код,Коды_группа)&amp;"","")="","Быт",_xlfn.XLOOKUP(BC130,Коды_код,Коды_группа)&amp;"")))</f>
        <v>Быт</v>
      </c>
      <c r="FG130" s="6" t="str">
        <f t="shared" si="198"/>
        <v>Нет</v>
      </c>
      <c r="FH130" s="6">
        <f>IF(FG130="Щит","щит",IF(FG130="","",IF(FG130="Быт",IFERROR(_xlfn.XLOOKUP(A130,Щиты[Щит],Щиты[Кс быт]),1),IF(FG130="Сил",IF(ISNUMBER(AC130),AC130,IF(Методика="нормы 2026",IFERROR(_xlfn.XLOOKUP(A130,Щиты[Щит],Щиты[Кс силовых (табл. 7.5)]),1),1)),IF(OR(FG130="Пост",FG130="Отоп"),1,IF(FG130="ВНГ",0.7,0))))))</f>
        <v>0</v>
      </c>
      <c r="FI130">
        <f>IF(FG130="","",IF(AND(BP130=1,TRIM(AE130&amp;"")=""),IF(COUNTIFS(Линии[Щит],A130,Линии[Секция (1/2/3)],"&gt;=2")&gt;0,MIN(3,MAX(1,IFERROR(--BD130,1))),1),IFERROR(MIN(3,MAX(1,INT(--AE130))),1)))</f>
        <v>1</v>
      </c>
      <c r="FJ130">
        <f t="shared" si="199"/>
        <v>0</v>
      </c>
      <c r="FK130">
        <f t="shared" si="200"/>
        <v>0</v>
      </c>
      <c r="FL130">
        <f t="shared" si="201"/>
        <v>0</v>
      </c>
      <c r="FM130">
        <f t="shared" si="202"/>
        <v>0</v>
      </c>
      <c r="FN130">
        <f t="shared" si="203"/>
        <v>0</v>
      </c>
      <c r="FO130">
        <f t="shared" si="204"/>
        <v>0</v>
      </c>
      <c r="FP130">
        <f t="shared" si="205"/>
        <v>0</v>
      </c>
      <c r="FQ130">
        <f t="shared" si="206"/>
        <v>0</v>
      </c>
      <c r="FR130">
        <f t="shared" si="207"/>
        <v>0</v>
      </c>
      <c r="FS130">
        <f>IF(CG130=1,IF(AND(CH130=1,CW130=1),0,IF(AND(CS130&lt;&gt;"",CS130=BA130,CW130=1),SUMIFS(Линии[_Р линии, кВт],Линии[_блок УЗО],BA130,Линии[Щит],A130),N(BS130)+IF(AJ130="вручную",0,N(CK130)))),0)</f>
        <v>11.093000000000002</v>
      </c>
      <c r="FT130" t="str">
        <f t="shared" si="208"/>
        <v/>
      </c>
      <c r="FU130" t="str">
        <f>IF(B130="","",IF(CG130=0,IF(BA130=1,"",FW129),IF(AND(CH130=1,CW130=1,CS130&lt;&gt;""),IFERROR(_xlfn.XLOOKUP(CS130,Линии[_n],Линии[_фаза итог]),"L1"),IF(OR(N(DL130)&gt;=3,N(BX130)&gt;=3),"L1,L2,L3",IFERROR(_xlfn.TEXTBEFORE(_xlfn.TEXTAFTER(_xlfn.XLOOKUP(A130,Щиты[Щит],Щиты[_фазы авто]),";"&amp;BA130&amp;":"),";"),"L1")))))</f>
        <v>L1,L2,L3</v>
      </c>
      <c r="FV130" t="str">
        <f t="shared" si="209"/>
        <v>L1,L2,L3</v>
      </c>
      <c r="FW130" t="str">
        <f t="shared" si="210"/>
        <v>L1,L2,L3</v>
      </c>
      <c r="FX130" cm="1">
        <f t="array" ref="FX130">IFERROR(IF(CD130=2,_xlfn.IFS(BX130=3,VLOOKUP(BS130,Справочная_двигатели,3,FALSE),BX130=1,VLOOKUP(BS130,Справочная_двигатели,5,TRUE)),0),0)</f>
        <v>0</v>
      </c>
      <c r="FY130">
        <f>IFERROR(IF(CD130=3,VLOOKUP(BS130,Справочная_ЛЭД,2,TRUE),0),0)</f>
        <v>0</v>
      </c>
      <c r="FZ130" s="6">
        <f t="shared" si="211"/>
        <v>0</v>
      </c>
      <c r="GA130" t="str">
        <f>IF(B130="","",IF(TRIM(AH130&amp;"")&lt;&gt;"",IF(LOWER(TRIM(AH130&amp;""))="да","да","нет"),IF(IFERROR(_xlfn.XLOOKUP(BC130,Коды_код,Коды_пожарная),"")="да","да","нет")))</f>
        <v>нет</v>
      </c>
      <c r="GB130" t="str">
        <f t="shared" si="212"/>
        <v/>
      </c>
      <c r="GC130" t="str">
        <f t="shared" si="213"/>
        <v>основная</v>
      </c>
      <c r="GD130">
        <f>IF(AND(BP130=1,TRIM(AE130&amp;"")=""),IF(COUNTIFS(Линии[Щит],A130,Линии[Секция (1/2/3)],"&gt;=2")&gt;0,MIN(3,MAX(1,IFERROR(--BD130,1))),1),IFERROR(MIN(3,MAX(1,INT(--AE130))),1))</f>
        <v>1</v>
      </c>
      <c r="GE130" t="str" cm="1">
        <f t="array" ref="GE130">IF(B130="","",_xlfn.LET(_xlpm.t,IFERROR(_xlfn.XLOOKUP(1,(Шины[Шина]=GC130)*(((Шины[Щит]=A130)+(Шины[Щит]=""))&gt;0),Шины[Тип]),"")&amp;"",IF(_xlpm.t&lt;&gt;"",_xlpm.t,IF(ISNUMBER(SEARCH("ИБП",GC130)),"ИБП",IF(ISNUMBER(SEARCH("ДГУ",GC130)),"ДГУ","Ввод "&amp;GD130)))))</f>
        <v>Ввод 1</v>
      </c>
      <c r="GF130" t="str">
        <f t="shared" si="214"/>
        <v>Ввод 1</v>
      </c>
      <c r="GG130" t="str">
        <f>IF(BP130=0,"",IF(TRIM(AG130&amp;"")&lt;&gt;"",TRIM(AG130&amp;""),IF(OR(GE130="ИБП",GE130="ДГУ"),"I особая",_xlfn.XLOOKUP(A130,Щиты[Щит],Щиты[Категория шины «Ввод»],"III"))))</f>
        <v>II</v>
      </c>
      <c r="GH130" t="str">
        <f>IF(A130="","",_xlfn.XLOOKUP(A130,Щиты[Щит],Щиты[Путь],""))</f>
        <v>|ГРЩ-ЖД|ЩОВ-2|</v>
      </c>
      <c r="GI130" t="str">
        <f>IF(B130="","",IF(AI130&lt;&gt;"",AI130,IF(IFERROR(_xlfn.XLOOKUP(BC130,Коды_код,Коды_вид)&amp;"","")="","Прочее",_xlfn.XLOOKUP(BC130,Коды_код,Коды_вид)&amp;"")))</f>
        <v>Прочее</v>
      </c>
      <c r="GJ130">
        <f>IF(BM130="","",INT((BM130-1)/Столбцов_на_лист)+1)</f>
        <v>1</v>
      </c>
      <c r="GK130" t="str">
        <f t="shared" si="215"/>
        <v>ВВГнг(А)-LS (5х4) L=52-1,06%</v>
      </c>
      <c r="GL130">
        <f t="shared" si="216"/>
        <v>11.093000000000002</v>
      </c>
      <c r="GM130">
        <f t="shared" si="217"/>
        <v>10.29</v>
      </c>
      <c r="GN130">
        <f t="shared" si="218"/>
        <v>3</v>
      </c>
      <c r="GO130">
        <f t="shared" si="219"/>
        <v>0</v>
      </c>
      <c r="GP130">
        <f t="shared" si="220"/>
        <v>0</v>
      </c>
      <c r="GQ130" t="str">
        <f>IF(BM130="","",IF(AND(CG130=1,GP130=1),COUNTIFS(A$3:A130,A130,CG$3:CG130,1,GP$3:GP130,1),IF(OR(OR(BA130=1,A130&lt;&gt;A129),AJ130="вручную",GP130=0),"",IF(BA130=1,"",GR129))))</f>
        <v/>
      </c>
      <c r="GR130" t="str">
        <f t="shared" si="221"/>
        <v/>
      </c>
      <c r="GS130">
        <f>IF(B130="","",IFERROR(LOOKUP(INDEX(CHOOSE(EB130,Iдоп_1ж,Iдоп_2ж,Iдоп_3ж),MATCH(EN130,Iдоп_S,0))*DZ130*EA130,{6,10,16,20,25,32,40,50,63,80,100,125,160,200,250,315,400,500,630}),""))</f>
        <v>32</v>
      </c>
      <c r="GT130" t="str">
        <f t="shared" si="222"/>
        <v/>
      </c>
      <c r="GU130" t="str">
        <f t="shared" si="223"/>
        <v/>
      </c>
      <c r="GV130" t="str">
        <f t="shared" si="224"/>
        <v/>
      </c>
      <c r="GW130">
        <f t="shared" si="225"/>
        <v>0</v>
      </c>
      <c r="GX130" t="str">
        <f>IF(OR(B130="",DJ130=""),"",IFERROR(_xlfn.XLOOKUP(DJ130,Модули_умолч[Управление],Модули_умолч[Модель])&amp;"",""))</f>
        <v/>
      </c>
      <c r="GY130">
        <f>IF(DJ130="",1,IFERROR(MAX(0,N(_xlfn.XLOOKUP(DJ130,Модули_умолч[Управление],Модули_умолч[Каналов на линию]))),1))</f>
        <v>1</v>
      </c>
      <c r="GZ130" t="str">
        <f t="shared" si="226"/>
        <v/>
      </c>
      <c r="HA130" t="str">
        <f t="shared" si="227"/>
        <v/>
      </c>
      <c r="HB130" t="str">
        <f t="shared" si="228"/>
        <v/>
      </c>
      <c r="HC130">
        <f>IF(HB130="",0,IFERROR(N(VLOOKUP(HB130,Модули_спр,3,FALSE)),0))</f>
        <v>0</v>
      </c>
      <c r="HD130" t="str">
        <f t="shared" si="229"/>
        <v/>
      </c>
      <c r="HE130" t="str">
        <f t="shared" si="230"/>
        <v/>
      </c>
      <c r="HF130" t="str">
        <f>IF(OR(HE130="",HE130="-"),"",IFERROR(VLOOKUP(HE130,Модули_спр,2,FALSE),"R"))</f>
        <v/>
      </c>
      <c r="HG130" t="str">
        <f>IF(HF130="","",HF130&amp;"."&amp;COUNTIFS(A$3:A130,A130,HF$3:HF130,HF130))</f>
        <v/>
      </c>
      <c r="HH130" t="str">
        <f t="shared" si="231"/>
        <v/>
      </c>
      <c r="HI130" t="str">
        <f t="shared" si="232"/>
        <v/>
      </c>
      <c r="HJ130" t="str">
        <f t="shared" si="233"/>
        <v/>
      </c>
      <c r="HK130" t="str">
        <f t="shared" si="234"/>
        <v/>
      </c>
      <c r="HL130">
        <f t="shared" si="235"/>
        <v>0</v>
      </c>
      <c r="HM130" t="str">
        <f>IF(HL130=1,"XT"&amp;COUNTIFS(A$3:A130,A130,HL$3:HL130,1),"")</f>
        <v/>
      </c>
      <c r="HN130" t="str">
        <f t="shared" si="236"/>
        <v/>
      </c>
      <c r="HO130" t="str">
        <f t="shared" si="237"/>
        <v/>
      </c>
      <c r="HP130" t="str">
        <f t="shared" si="238"/>
        <v/>
      </c>
      <c r="HQ130" t="str">
        <f t="shared" si="239"/>
        <v>ok</v>
      </c>
      <c r="HR130" t="str">
        <f>IF(OR(HJ130="",HH130=""),"",IF(HJ130+MAX(0,GY130-1)&gt;IFERROR(VLOOKUP(HI130,Модули_спр,3,FALSE),99),"ЛИШНИЙ КАНАЛ",IF(AND(AL130&lt;&gt;"=",GY130&gt;0,COUNTIFS(Линии[_модуль гр.],HH130,Линии[Канал (итог)],HJ130,Линии[Канал],"&lt;&gt;=",Линии[Щит],A130)&gt;1),"ДУБЛЬ КАНАЛА","")))</f>
        <v/>
      </c>
      <c r="HS130" s="6" t="str">
        <f t="shared" si="240"/>
        <v/>
      </c>
      <c r="HT130">
        <f t="shared" si="241"/>
        <v>10</v>
      </c>
      <c r="HU130" t="str">
        <f t="shared" si="242"/>
        <v/>
      </c>
      <c r="HV130">
        <f t="shared" si="243"/>
        <v>0</v>
      </c>
      <c r="HW130">
        <f t="shared" si="244"/>
        <v>0</v>
      </c>
      <c r="HX130">
        <f t="shared" si="245"/>
        <v>0</v>
      </c>
      <c r="HY130">
        <f t="shared" si="246"/>
        <v>0</v>
      </c>
      <c r="HZ130">
        <f t="shared" si="247"/>
        <v>0</v>
      </c>
      <c r="IA130">
        <f t="shared" si="248"/>
        <v>0</v>
      </c>
      <c r="IB130">
        <f t="shared" si="249"/>
        <v>0</v>
      </c>
      <c r="IC130" t="str">
        <f t="shared" si="250"/>
        <v/>
      </c>
      <c r="ID130" t="str" cm="1">
        <f t="array" ref="ID130">IF(IC130="","",_xlfn.LET(_xlpm.tk,_xlfn.TEXTSPLIT(SUBSTITUTE(SUBSTITUTE(IC130,";"," "),"→"," ")," ",,TRUE),_xlpm.w_,_xlfn._xlws.FILTER(_xlpm.tk,ISNUMBER(--LEFT(_xlpm.tk,1))*((ISNUMBER(SEARCH("W",_xlpm.tk))+ISNUMBER(SEARCH("Вт",_xlpm.tk)))&gt;0),""),IFERROR(--SUBSTITUTE(SUBSTITUTE(UPPER(INDEX(_xlpm.w_,1)),"W",""),"ВТ",""),"")))</f>
        <v/>
      </c>
      <c r="IE130" t="str" cm="1">
        <f t="array" ref="IE130">IF(IC130="","",_xlfn.LET(_xlpm.tk,_xlfn.TEXTSPLIT(SUBSTITUTE(SUBSTITUTE(IC130,";"," "),"→"," ")," ",,TRUE),_xlpm.v_,_xlfn._xlws.FILTER(_xlpm.tk,ISNUMBER(--LEFT(_xlpm.tk,1))*((ISNUMBER(SEARCH("V",_xlpm.tk))+(RIGHT(UPPER(_xlpm.tk))="В"))&gt;0),""),IFERROR(--SUBSTITUTE(SUBSTITUTE(UPPER(INDEX(_xlpm.v_,1)),"V",""),"В",""),"")))</f>
        <v/>
      </c>
      <c r="IF130" s="6" t="str">
        <f>IF(OR(BV130=0,HI130="",HJ130=""),"",IFERROR(N(_xlfn.XLOOKUP(HI130,Каталог!$C$4:$C$500,Каталог!$Q$4:$Q$500)),""))</f>
        <v/>
      </c>
      <c r="IG130" s="6" t="str">
        <f>IF(N(IF130)=0,"",SUMIFS(Линии[Iр, А],Линии[Щит],A130,Линии[_модуль гр.],HH130,Линии[Канал (итог)],HJ130))</f>
        <v/>
      </c>
      <c r="IH130" t="str">
        <f>IF(AND(B130="",HO130=""),"",_xlfn.TEXTJOIN("; ",TRUE,IF(AND(B130&lt;&gt;"",FV130=""),"нет фазы",""),IF(AND(B130&lt;&gt;"",N(GL130)=0,FG130&lt;&gt;"Нет"),"нет мощности",""),IF(AND(HN130&lt;&gt;"",COUNTIFS(Линии[Щит],A130,Линии[Клемма (итог)],HN130)&gt;1),"дубль клеммы "&amp;HN130,""),IF(AND(HQ130&lt;&gt;"",HQ130&lt;&gt;"ok"),HQ130,""),IF(HR130&lt;&gt;"",HR130,""),IF(AND(N(CB130)&gt;=4,N(BX130)=1),CB130&amp;" жил на 1 фазе",""),IF(AND(BC130="R",CG130=1,IF(CS130&lt;&gt;"",N(CV130)&gt;30,OR(N(DA130)=0,N(DA130)&gt;30))),"розетка без дифзащиты до 30 мА",""),IF(AND(CG130=1,N(DA130)&gt;0,ISNUMBER(T130)),IF(T130&gt;N(DA130)/3,"ток утечки "&amp;FIXED(T130,1)&amp;" мА &gt; 1/3 уставки ("&amp;DA130&amp;" мА)",""),""),IF(AND(CH130=1,CS130=""),"«узо»: нет строки с УЗО выше (УЗО 2P 40А 30мА в «Аппаратах»)",""),IF(AND(CS130&lt;&gt;"",CS130=BA130),IF(CT130="","впишите номинал УЗО (УЗО 2P 40А 30мА)",IF(N(CT130)&lt;N(DT130),"УЗО "&amp;CT130&amp;" А &lt; автомата "&amp;DT130&amp;" А перед ним",IF(N(CT130)&lt;N(CX130),"УЗО "&amp;CT130&amp;" А &lt; тока блока "&amp;FIXED(CX130,1)&amp;" А",""))),""),IF(AND(CS130&lt;&gt;"",CS130=BA130,ISNUMBER(CY130)),IF(CY130&gt;N(CV130)/3,"ток утечки блока УЗО "&amp;FIXED(CY130,1)&amp;" мА &gt; 1/3 уставки ("&amp;CV130&amp;" мА)",""),""),IF(AND(CG130=1,N(BV130)+N(IB130)&gt;0,IC130=""),"линии до 50 В без БП: впишите в «Аппараты» (БП 24V 480W)",""),IF(AND(CG130=1,ISNUMBER(ID130),ISNUMBER(U130)),IF(U130&gt;ID130,"БП "&amp;ID130&amp;" Вт &lt; нужно "&amp;U130&amp;" Вт (×"&amp;Запас_БП&amp;")",""),""),IF(AND(CG130=1,ISNUMBER(IE130),N(BV130)=1),IF(IE130&lt;&gt;N(BU130),"БП на "&amp;IE130&amp;" В, линия "&amp;BU130&amp;" В",""),""),IF(AND(N(IF130)&gt;0,N(IG130)&gt;N(IF130)),HH130&amp;" канал "&amp;HJ130&amp;": "&amp;FIXED(IG130,1)&amp;" А &gt; "&amp;IF130&amp;" А",""),IFERROR(IF(AND(ISNUMBER(Q130),Q130&gt;EL130),"потери "&amp;FIXED(Q130,1)&amp;" % &gt; "&amp;EL130&amp;" %",""),""),IFERROR(IF(LEFT(HU130,4)="мало","Iкз мало — отключение &gt; 0,4 с",""),""),IF(AND(B130&lt;&gt;"",BM130=""),"не на схеме",""),IF(AND(CG130=0,B130&lt;&gt;"",FV130&lt;&gt;"",IF(BA130=1,"",FW129)&lt;&gt;"",FV130&lt;&gt;IF(BA130=1,"",FW129)),"фаза не как у автомата группы ("&amp;IF(BA130=1,"",FW129)&amp;")","")))</f>
        <v/>
      </c>
      <c r="II130" s="6">
        <f>IF(OR(CG130=0,DQ130=""),"",_xlfn.LET(_xlpm.t,IFERROR(_xlfn.XLOOKUP(DQ130,Каталог!$U$4:$U$500,Каталог!$G$4:$G$500),""),_xlpm.k,SEARCH("кА",_xlpm.t),IFERROR(--TRIM(RIGHT(SUBSTITUTE(MID(_xlpm.t,MAX(1,_xlpm.k-4),_xlpm.k-MAX(1,_xlpm.k-4))," ",REPT(" ",9)),5)),"")))</f>
        <v>6</v>
      </c>
      <c r="IJ130" t="str">
        <f>IF(OR(II130="",CG130=0),"",IF(_xlfn.XLOOKUP(A130,Щиты[Щит],Щиты[Iкз max на шинах, кА],"")="","",IF(II130&lt;_xlfn.XLOOKUP(A130,Щиты[Щит],Щиты[Iкз max на шинах, кА]),"Icu "&amp;II130&amp;" кА &lt; Iкз max","ok")))</f>
        <v/>
      </c>
      <c r="IK130" t="str">
        <f t="shared" si="251"/>
        <v/>
      </c>
      <c r="IL130" t="str">
        <f t="shared" si="252"/>
        <v/>
      </c>
      <c r="IM130" t="str">
        <f t="shared" si="253"/>
        <v/>
      </c>
      <c r="IN130" t="str" cm="1">
        <f t="array" ref="IN130">IF(IM130="","",_xlfn.LET(_xlpm.nd,_xlfn.TEXTSPLIT(IM130,"|"),IF(COLUMNS(_xlpm.nd)&gt;1,A130&amp;"¦"&amp;INDEX(_xlpm.nd,1)&amp;"¦"&amp;INDEX(_xlpm.nd,2),"")))</f>
        <v/>
      </c>
      <c r="IO130" t="str">
        <f t="shared" si="254"/>
        <v/>
      </c>
      <c r="IP130" t="str" cm="1">
        <f t="array" ref="IP130">IF(IM130="","",_xlfn.LET(_xlpm.nd,_xlfn.TEXTSPLIT(IM130,"|"),IF(COLUMNS(_xlpm.nd)&gt;2,A130&amp;"¦"&amp;INDEX(_xlpm.nd,2)&amp;"¦"&amp;INDEX(_xlpm.nd,3),"")))</f>
        <v/>
      </c>
      <c r="IQ130" t="str">
        <f t="shared" si="255"/>
        <v/>
      </c>
      <c r="IR130" t="str" cm="1">
        <f t="array" ref="IR130">IF(IM130="","",_xlfn.LET(_xlpm.nd,_xlfn.TEXTSPLIT(IM130,"|"),IF(COLUMNS(_xlpm.nd)&gt;3,A130&amp;"¦"&amp;INDEX(_xlpm.nd,3)&amp;"¦"&amp;INDEX(_xlpm.nd,4),"")))</f>
        <v/>
      </c>
      <c r="IS130" t="str">
        <f t="shared" si="256"/>
        <v/>
      </c>
      <c r="IT130" t="str" cm="1">
        <f t="array" ref="IT130">IF(IM130="","",_xlfn.LET(_xlpm.nd,_xlfn.TEXTSPLIT(IM130,"|"),IF(COLUMNS(_xlpm.nd)&gt;4,A130&amp;"¦"&amp;INDEX(_xlpm.nd,4)&amp;"¦"&amp;INDEX(_xlpm.nd,5),"")))</f>
        <v/>
      </c>
      <c r="IU130" t="str">
        <f t="shared" si="257"/>
        <v/>
      </c>
      <c r="IV130" t="str" cm="1">
        <f t="array" ref="IV130">IF(IM130="","",_xlfn.LET(_xlpm.nd,_xlfn.TEXTSPLIT(IM130,"|"),IF(COLUMNS(_xlpm.nd)&gt;5,A130&amp;"¦"&amp;INDEX(_xlpm.nd,5)&amp;"¦"&amp;INDEX(_xlpm.nd,6),"")))</f>
        <v/>
      </c>
      <c r="IW130" t="str">
        <f t="shared" si="258"/>
        <v/>
      </c>
      <c r="IX130" t="str" cm="1">
        <f t="array" ref="IX130">IF(IM130="","",_xlfn.LET(_xlpm.nd,_xlfn.TEXTSPLIT(IM130,"|"),IF(COLUMNS(_xlpm.nd)&gt;6,A130&amp;"¦"&amp;INDEX(_xlpm.nd,6)&amp;"¦"&amp;INDEX(_xlpm.nd,7),"")))</f>
        <v/>
      </c>
      <c r="IY130" t="str">
        <f t="shared" si="259"/>
        <v/>
      </c>
      <c r="IZ130" t="str">
        <f t="shared" si="260"/>
        <v/>
      </c>
      <c r="JA130" t="str">
        <f t="shared" si="261"/>
        <v/>
      </c>
      <c r="JB130">
        <f t="shared" si="262"/>
        <v>0</v>
      </c>
      <c r="JC130">
        <f t="shared" si="263"/>
        <v>0</v>
      </c>
      <c r="JD130" t="str">
        <f t="shared" si="264"/>
        <v/>
      </c>
      <c r="JE130" t="str">
        <f t="shared" si="265"/>
        <v/>
      </c>
      <c r="JF130" t="str">
        <f t="shared" si="266"/>
        <v/>
      </c>
      <c r="JG130" t="str">
        <f t="shared" si="267"/>
        <v/>
      </c>
      <c r="JH130">
        <f>IF(B130="","",IFERROR(_xlfn.XLOOKUP(B130,Коды_код,Коды_уго),IFERROR(_xlfn.XLOOKUP(BC130,Коды_код,Коды_уго),IFERROR(_xlfn.XLOOKUP(LEFT(BC130,2),Коды_код,Коды_уго),""))))</f>
        <v>0</v>
      </c>
      <c r="JI130" t="str">
        <f>IF(B130="","",IF(OR(JH130="",JH130=0),"BOX",IFERROR(IF(VLOOKUP(JH130,УГО_блоки,3,FALSE)&amp;""&lt;&gt;"",VLOOKUP(JH130,УГО_блоки,3,FALSE),VLOOKUP(JH130,УГО_блоки,2,FALSE)),JH130)))</f>
        <v>BOX</v>
      </c>
      <c r="JJ130">
        <f t="shared" si="268"/>
        <v>1</v>
      </c>
      <c r="JK130" t="str">
        <f>IF(DQ130="","",IF(COUNTIF(DQ$3:DQ130,DQ130)=1,MAX(JK$2:JK129)+1,""))</f>
        <v/>
      </c>
      <c r="JL130" t="str">
        <f>IF(DE130="","",IF(COUNTIF(DE$3:DE130,DE130)+COUNTIF(DF$2:DF129,DE130)+COUNTIF(DG$2:DG129,DE130)=1,MAX(JL$2:JN129)+1,""))</f>
        <v/>
      </c>
      <c r="JM130" t="str">
        <f>IF(DF130="","",IF(COUNTIF(DE$3:DE130,DF130)+COUNTIF(DF$3:DF130,DF130)+COUNTIF(DG$2:DG129,DF130)=1,MAX(JL$2:JN129,JL130)+1,""))</f>
        <v/>
      </c>
      <c r="JN130" t="str">
        <f>IF(DG130="","",IF(COUNTIF(DE$3:DE130,DG130)+COUNTIF(DF$3:DF130,DG130)+COUNTIF(DG$3:DG130,DG130)=1,MAX(JL$2:JN129,JL130,JM130)+1,""))</f>
        <v/>
      </c>
      <c r="JO130" t="str">
        <f t="shared" si="269"/>
        <v/>
      </c>
      <c r="JP130" t="str">
        <f>IF(JO130="","",IF(COUNTIF(JO$3:JO130,JO130)=1,MAX(JP$2:JP129)+1,""))</f>
        <v/>
      </c>
      <c r="JQ130" t="str">
        <f>IF(HG130="","",COUNTIF(HG$3:HG130,"?*"))</f>
        <v/>
      </c>
      <c r="JR130" t="str">
        <f>IF(OR(HG130="",HI130=""),"",IF(COUNTIFS(HG$3:HG130,"?*",HI$3:HI130,HI130)=1,MAX(JR$2:JR129)+1,""))</f>
        <v/>
      </c>
      <c r="JS130">
        <f t="shared" si="270"/>
        <v>0</v>
      </c>
      <c r="JT130">
        <f>IF(B130="","",COUNTIF(B$3:B130,"?*"))</f>
        <v>128</v>
      </c>
      <c r="JU130">
        <f>IF(HL130&lt;&gt;1,0,_xlfn.LET(_xlpm.k,MAX(IFERROR(--_xlfn.XLOOKUP(B130,Коды_код,Коды_3L),0),IFERROR(--_xlfn.XLOOKUP(BC130,Коды_код,Коды_3L),0),IFERROR(--_xlfn.XLOOKUP(LEFT(BC130,2),Коды_код,Коды_3L),0)),IF(_xlpm.k&gt;0,_xlpm.k,IF(IFERROR(--LEFT(SUBSTITUTE(JO130,"x","х"),FIND("х",SUBSTITUTE(JO130,"x","х"))-1),3)&gt;3,Каталог!$S$9,1))))</f>
        <v>0</v>
      </c>
      <c r="JV130">
        <f t="shared" si="271"/>
        <v>0</v>
      </c>
      <c r="JW130" t="str">
        <f t="shared" si="272"/>
        <v>авто</v>
      </c>
      <c r="JX130" t="str">
        <f t="shared" si="273"/>
        <v/>
      </c>
      <c r="JY130">
        <f t="shared" si="274"/>
        <v>0</v>
      </c>
      <c r="JZ130">
        <f t="shared" si="275"/>
        <v>1</v>
      </c>
    </row>
    <row r="131" spans="1:286" x14ac:dyDescent="0.3">
      <c r="A131" t="s">
        <v>751</v>
      </c>
      <c r="B131" t="s">
        <v>1440</v>
      </c>
      <c r="C131" t="s">
        <v>1684</v>
      </c>
      <c r="D131">
        <v>1</v>
      </c>
      <c r="E131">
        <v>0.46100000000000002</v>
      </c>
      <c r="G131" t="str">
        <f>Линии[[#This Row],[_авто автомат]]</f>
        <v>1P С6А</v>
      </c>
      <c r="H131" t="str">
        <f>Линии[[#This Row],[_авто управление]]</f>
        <v/>
      </c>
      <c r="I131" t="str">
        <f>Линии[[#This Row],[_авто аппараты]]</f>
        <v/>
      </c>
      <c r="J131">
        <v>1.5</v>
      </c>
      <c r="K131">
        <v>28</v>
      </c>
      <c r="L131">
        <v>2</v>
      </c>
      <c r="M131" t="str">
        <f>Линии[[#This Row],[_авто клемма]]</f>
        <v>XT1</v>
      </c>
      <c r="N131" t="str">
        <f t="shared" ref="N131:N194" si="276">_xlfn.TEXTJOIN("; ",TRUE,IK131,IH131,IF(LEFT(IJ131,3)="Icu",IJ131,""),IF(AND(B131&lt;&gt;"",EN131="не подобрано"),"сечение не подобрано: проверьте длину и автомат или впишите сечение",""))</f>
        <v/>
      </c>
      <c r="O131" s="6" cm="1">
        <f t="array" ref="O131">IF(B131="","",IF(BH131&lt;&gt;"",IFERROR(_xlfn.XLOOKUP(BH131,Щиты[Щит],Щиты[Iр, А]),""),IF(BP131=1,IF(OR(N(_xlfn.XLOOKUP(A131,Щиты[Щит],Щиты[Вводов],1))&lt;=1,LOWER(TRIM(_xlfn.XLOOKUP(A131,Щиты[Щит],Щиты[АВР],"")&amp;""))="да"),IFERROR(_xlfn.XLOOKUP(A131,Щиты[Щит],Щиты[Iр, А]),""),IFERROR(N(BS131)*_xlfn.XLOOKUP(A131,Щиты[Щит],Щиты[Кс итог])/(SQRT(3)*Uн_лин*_xlfn.XLOOKUP(A131,Щиты[Щит],Щиты[cos φ])),"")),IF(BV131=1,IFERROR(BS131*1000/BU131,""),IFERROR(_xlfn.IFS(BX131=1,BS131/((Uн_лин/SQRT(3))*CE131),BX131=3,BS131/(SQRT(3)*Uн_лин*CE131)),"")))))</f>
        <v>2.4952356946539136</v>
      </c>
      <c r="P131" s="7">
        <f>IF(B131="","",IFERROR(IF(VLOOKUP(BC131,Потребители_обозначение,4,FALSE)=1,VLOOKUP(BC131,Потребители_обозначение,3,FALSE)*(MAX(1,N(D131))*2-1)+EI131+VLOOKUP(BE131,Этаж_обозначение,3,FALSE)+VLOOKUP(BE131,Этаж_обозначение,4,FALSE),VLOOKUP(BC131,Потребители_обозначение,3,FALSE)*(MAX(1,N(D131))*2-1)+EI131),EI131))</f>
        <v>30</v>
      </c>
      <c r="Q131" s="6">
        <f t="shared" ref="Q131:Q194" si="277">IF(ISNUMBER(EW131),EW131+IF(BV131=1,0,ED131),"")</f>
        <v>1.93</v>
      </c>
      <c r="R131" t="str">
        <f t="shared" ref="R131:R194" si="278">IF(OR(B131="",EX131=""),"",IF(EN131="не подобрано",EX131&amp;" — сечение не подобрано",EY131))</f>
        <v>ВВГнг(А)-LS (3х1,5)</v>
      </c>
      <c r="S131" t="str">
        <f>IF(BM131="","",IF(BN131="вводной узел","узел ","")&amp;"л."&amp;(INT((BM131-1)/Столбцов_на_лист)+1)&amp;" / "&amp;(MOD(BM131-1,Столбцов_на_лист)+1))</f>
        <v>л.1 / 13</v>
      </c>
      <c r="T131" s="119">
        <f t="shared" ref="T131:T194" si="279">IF(OR(CG131=0,BH131&lt;&gt;"",BP131=1),"",IF(AND(CS131&lt;&gt;"",CS131=BA131),ROUND(N(CY131),1),ROUND(N(HV131)+N(HW131),1)))</f>
        <v>1.3</v>
      </c>
      <c r="U131" s="7" t="str">
        <f>IF(OR(CG131=0,N(BV131)+N(IB131)=0),"",ROUNDUP(Запас_БП*(N(HY131)+N(HZ131)),0))</f>
        <v/>
      </c>
      <c r="V131" s="119" t="str">
        <f t="shared" ref="V131:V194" si="280">IF(OR(CG131=0,N(BV131)+N(IB131)=0),"",ROUND(MAX(N(HX131),N(IA131)),1))</f>
        <v/>
      </c>
      <c r="W131" s="7" t="str">
        <f>IFERROR(IF(OR(B131="",BP131=1,BV131=1,NOT(ISNUMBER(EN131)),N(DT131)=0),"",MAX(0,ROUNDDOWN((c_min*(Uн_лин*1000/SQRT(3))/(HT131*N(DT131))-_xlfn.XLOOKUP(A131,Щиты[Щит],Щиты[Zпетли на шинах, Ом]))*EN131/(2*ρкз_Cu),0))),"")</f>
        <v/>
      </c>
      <c r="Y131" t="str">
        <f>Линии[[#This Row],[_авто утечка]]</f>
        <v/>
      </c>
      <c r="Z131">
        <v>1</v>
      </c>
      <c r="AA131">
        <v>230</v>
      </c>
      <c r="AB131" t="s">
        <v>598</v>
      </c>
      <c r="AC131">
        <v>0.5</v>
      </c>
      <c r="AG131" t="s">
        <v>810</v>
      </c>
      <c r="AI131" t="s">
        <v>576</v>
      </c>
      <c r="AK131" t="str">
        <f>Линии[[#This Row],[_авто модуль]]</f>
        <v/>
      </c>
      <c r="AM131">
        <v>13</v>
      </c>
      <c r="AN131" t="s">
        <v>11</v>
      </c>
      <c r="AO131">
        <v>3</v>
      </c>
      <c r="AQ131">
        <v>6</v>
      </c>
      <c r="AR131">
        <v>24</v>
      </c>
      <c r="AT131">
        <v>1</v>
      </c>
      <c r="BA131" cm="1">
        <f t="array" ref="BA131">ROW()-ROW(Линии[#Headers])</f>
        <v>129</v>
      </c>
      <c r="BC131" s="6" t="str">
        <f t="shared" ref="BC131:BC194" si="281">IF(B131="","",IFERROR(LEFT(B131,SEARCH(".",B131)-1),B131))</f>
        <v>K</v>
      </c>
      <c r="BD131" t="str">
        <f t="shared" ref="BD131:BD194" si="282">IFERROR(RIGHT(B131,LEN(B131)-SEARCH(".",B131)),"")</f>
        <v>1.001A.1</v>
      </c>
      <c r="BE131" t="str">
        <f t="shared" ref="BE131:BE194" si="283">IFERROR(LEFT(BD131,SEARCH(".",BD131)-1),BD131)</f>
        <v>1</v>
      </c>
      <c r="BF131" t="str">
        <f t="shared" ref="BF131:BF194" si="284">IFERROR(RIGHT(BD131,LEN(BD131)-SEARCH(".",BD131)),"")</f>
        <v>001A.1</v>
      </c>
      <c r="BG131" t="str">
        <f t="shared" ref="BG131:BG194" si="285">IFERROR(LEFT(BF131,SEARCH(".",BF131)-1),BF131)</f>
        <v>001A</v>
      </c>
      <c r="BH131" t="str">
        <f>IF(X131&lt;&gt;"",X131,IF(AND(B131&lt;&gt;"",B131&lt;&gt;A131,ISNUMBER(_xlfn.XMATCH(B131,Щиты[Щит]))),B131,""))</f>
        <v/>
      </c>
      <c r="BI131" t="str" cm="1">
        <f t="array" ref="BI131">IF(B131="","",IF(BH131&lt;&gt;"","Щит "&amp;BH131,_xlfn.LET(_xlpm.nm,IFERROR(_xlfn.XLOOKUP(BC131,Коды_код,Коды_имя)&amp;"",""),_xlpm.md,IFERROR(N(_xlfn.XLOOKUP(BC131,Коды_код,Коды_режим)),1),_xlpm.ex,IF(Имя_режим="по экспликации",IFERROR(_xlfn.XLOOKUP(BE131&amp;"|"&amp;BG131,Экспликация[Этаж]&amp;"|"&amp;Экспликация[Помещение],Экспликация[Название])&amp;"",""),""),_xlpm.rm,IF(BG131="","",IF(_xlpm.ex&lt;&gt;"",". "&amp;_xlpm.ex&amp;IF(Имя_пом="нет"," ("&amp;BG131&amp;")"," (пом. "&amp;BG131&amp;")"),IF(Имя_пом="нет"," ",", пом. ")&amp;BG131)),IF(_xlpm.nm="","",IF(_xlpm.md=2,_xlpm.nm&amp;" шлейф "&amp;BE131,_xlpm.nm&amp;_xlpm.rm)))))</f>
        <v>Внутренний блок кондиционирования, пом. 001A</v>
      </c>
      <c r="BJ131" t="str">
        <f t="shared" ref="BJ131:BJ194" si="286">IF(TRIM(C131&amp;"")="",BI131,C131)</f>
        <v>Внутренний блок кондиционирования Технический этаж Пом. №001Т</v>
      </c>
      <c r="BK131">
        <f>IFERROR(_xlfn.XMATCH(A131,Щиты[Щит]),0)</f>
        <v>7</v>
      </c>
      <c r="BL131">
        <f>_xlfn.LET(_xlpm.k,IFERROR(_xlfn.XLOOKUP(A131,Щиты[Щит],Щиты[Мест под вводной узел]),""),IF(_xlpm.k="",Столбцов_на_лист,N(_xlpm.k)))</f>
        <v>12</v>
      </c>
      <c r="BM131">
        <f t="shared" ref="BM131:BM194" si="287">IF(AM131="-","",IF(ISNUMBER(AM131),AM131,_xlfn.LET(_xlpm.prev,IF(OR(BA131=1,A131&lt;&gt;A130),0,N(IF(BA131=1,"",BM130))),_xlpm.nx,_xlpm.prev+1,IF(AND(AJ131&lt;&gt;"вручную",_xlpm.nx&lt;=BL131),BL131+1,_xlpm.nx))))</f>
        <v>13</v>
      </c>
      <c r="BN131" t="str">
        <f t="shared" ref="BN131:BN194" si="288">IF(BM131="","",IF(BM131&lt;=BL131,"вводной узел","линии"))</f>
        <v>линии</v>
      </c>
      <c r="BO131" s="6">
        <f>IFERROR(N(_xlfn.XLOOKUP(BC131,Коды_код,Коды_квт)),0)</f>
        <v>0</v>
      </c>
      <c r="BP131">
        <f t="shared" ref="BP131:BP194" si="289">IF(AND(B131&lt;&gt;"",BC131="Ввод"),1,0)</f>
        <v>0</v>
      </c>
      <c r="BQ131" t="str">
        <f>IF(B131="","",IF(BH131&lt;&gt;"",IFERROR(_xlfn.XLOOKUP(BH131,Щиты[Щит],Щиты[Руст, кВт]),0),IF(BP131=1,IF(OR(N(_xlfn.XLOOKUP(A131,Щиты[Щит],Щиты[Вводов],1))&lt;=1,LOWER(TRIM(_xlfn.XLOOKUP(A131,Щиты[Щит],Щиты[АВР],"")&amp;""))="да"),IFERROR(_xlfn.XLOOKUP(A131,Щиты[Щит],Щиты[Руст, кВт]),0),SUMIFS(Линии[_Р для вводов],Линии[Щит],A131,Линии[Источник для режимов],GF131)),IF(BO131&gt;0,ROUND(BO131*MAX(1,N(D131)),3),""))))</f>
        <v/>
      </c>
      <c r="BR131">
        <f t="shared" ref="BR131:BR194" si="290">IF(TRIM(E131&amp;"")="",BQ131,E131)</f>
        <v>0.46100000000000002</v>
      </c>
      <c r="BS131" s="6">
        <f>IF(B131="","",IF(BH131&lt;&gt;"",IFERROR(_xlfn.XLOOKUP(BH131,Щиты[Щит],Щиты[Руст, кВт]),0),N(BR131)))</f>
        <v>0.46100000000000002</v>
      </c>
      <c r="BT131" t="str">
        <f>IF(B131="","",IFERROR(IF(VLOOKUP(BC131,Потребители_обозначение,8,FALSE)=0,"",VLOOKUP(BC131,Потребители_обозначение,8,FALSE)),""))</f>
        <v/>
      </c>
      <c r="BU131">
        <f t="shared" ref="BU131:BU194" si="291">IF(TRIM(AA131&amp;"")="",BT131,AA131)</f>
        <v>230</v>
      </c>
      <c r="BV131">
        <f t="shared" ref="BV131:BV194" si="292">IF(B131="",0,IF(AND(N(BU131)&gt;0,N(BU131)&lt;=50),1,0))</f>
        <v>0</v>
      </c>
      <c r="BW131">
        <f>IF(B131="","",IF(BH131&lt;&gt;"",3,IFERROR(IF(N(VLOOKUP(BC131,Потребители_обозначение,9,FALSE))=0,1,VLOOKUP(BC131,Потребители_обозначение,9,FALSE)),1)))</f>
        <v>1</v>
      </c>
      <c r="BX131">
        <f t="shared" ref="BX131:BX194" si="293">IF(B131="","",IF(TRIM(Z131&amp;"")="",BW131,N(Z131)))</f>
        <v>1</v>
      </c>
      <c r="BY131" t="str">
        <f>IF(B131="","",_xlfn.LET(_xlpm.bc,IFERROR(IF(VLOOKUP(BC131,Потребители_обозначение,6,FALSE)=0,"",VLOOKUP(BC131,Потребители_обозначение,6,FALSE)&amp;""),""),IF(AND(GA131="да",OR(_xlpm.bc="",_xlpm.bc="мс")),Марка_пож,IF(AND(_xlpm.bc="",BH131&lt;&gt;""),"мс",_xlpm.bc))))</f>
        <v/>
      </c>
      <c r="BZ131" t="str">
        <f t="shared" ref="BZ131:BZ194" si="294">IF(TRIM(AN131&amp;"")="",BY131,AN131)</f>
        <v>мс</v>
      </c>
      <c r="CA131">
        <f>IF(B131="","",_xlfn.LET(_xlpm.cc,IFERROR(N(VLOOKUP(BC131,Потребители_обозначение,7,FALSE)),0),IF(_xlpm.cc&gt;0,_xlpm.cc,IF(BZ131="","",IF(BV131=1,2,IF(N(BX131)=3,5,3))))))</f>
        <v>3</v>
      </c>
      <c r="CB131">
        <f t="shared" ref="CB131:CB194" si="295">IF(TRIM(AO131&amp;"")="",CA131,AO131)</f>
        <v>3</v>
      </c>
      <c r="CC131">
        <f>IFERROR(N(VLOOKUP(BC131,Потребители_обозначение,10,FALSE)),0)</f>
        <v>0</v>
      </c>
      <c r="CD131">
        <f>IFERROR(VLOOKUP(BC131,Потребители_обозначение,5,FALSE),0)</f>
        <v>1</v>
      </c>
      <c r="CE131" s="6" cm="1">
        <f t="array" ref="CE131">IF(B131="","",IF(BH131&lt;&gt;"",IFERROR(_xlfn.XLOOKUP(BH131,Щиты[Щит],Щиты[cos φ]),0.95),IF(BP131=1,IFERROR(_xlfn.XLOOKUP(A131,Щиты[Щит],Щиты[cos φ]),0.95),IF(ISNUMBER(AD131),AD131,IFERROR(IF(CD131=2,_xlfn.IFS(BX131=3,VLOOKUP(BS131,Справочная_двигатели,8,FALSE),BX131=1,VLOOKUP(BS131,Справочная_двигатели,10,TRUE)),IF(AND(Методика="нормы 2026",FG131="Сил"),0.8,0.95)),0.95)))))</f>
        <v>0.8</v>
      </c>
      <c r="CF131">
        <f t="shared" ref="CF131:CF194" si="296">IF(OR(TRIM(F131&amp;"")="гр",TRIM(F131&amp;"")="=",TRIM(F131&amp;"")="^",TRIM(F131&amp;"")="↑"),1,0)</f>
        <v>0</v>
      </c>
      <c r="CG131">
        <f t="shared" ref="CG131:CG194" si="297">IF(AND(B131&lt;&gt;"",CF131=0),1,0)</f>
        <v>1</v>
      </c>
      <c r="CH131">
        <f t="shared" ref="CH131:CH194" si="298">IF(B131="",0,IF(TRIM(F131&amp;"")="узо",1,0))</f>
        <v>0</v>
      </c>
      <c r="CI131">
        <f>IF(B131="","",IF(BV131=1,IFERROR(BS131/((Uн_лин/SQRT(3))*MAX(0.5,N(CE131))),0),N(O131)))</f>
        <v>2.4952356946539136</v>
      </c>
      <c r="CJ131">
        <f t="shared" ref="CJ131:CJ194" si="299">IF(AND(A132=A131,AJ132&lt;&gt;"вручную",OR(B132="",CF132=1)),IF(B132="",0,N(CI132))+N(CJ132),0)</f>
        <v>0</v>
      </c>
      <c r="CK131">
        <f t="shared" ref="CK131:CK194" si="300">IF(AND(A132=A131,AJ132&lt;&gt;"вручную",OR(B132="",CF132=1)),IF(B132="",0,N(BS132))+N(CK132),0)</f>
        <v>0</v>
      </c>
      <c r="CL131">
        <f t="shared" ref="CL131:CL194" si="301">IF(AND(A132=A131,AJ132&lt;&gt;"вручную",OR(B132="",CF132=1)),MAX(IF(B132="",0,N(BX132)),N(CL132)),0)</f>
        <v>0</v>
      </c>
      <c r="CM131">
        <f t="shared" ref="CM131:CM194" si="302">IF(AND(A132=A131,AJ132&lt;&gt;"вручную",OR(B132="",CF132=1)),MAX(IF(B132="",0,N(DB132)),N(CM132)),0)</f>
        <v>0</v>
      </c>
      <c r="CN131">
        <f t="shared" ref="CN131:CN194" si="303">IF(AND(A132=A131,AJ132&lt;&gt;"вручную",OR(B132="",CF132=1)),_xlfn.LET(_xlpm.a_,IF(B132="",0,N(CZ132)),_xlpm.b_,N(CN132),IF(_xlpm.a_=0,_xlpm.b_,IF(_xlpm.b_=0,_xlpm.a_,MIN(_xlpm.a_,_xlpm.b_)))),0)</f>
        <v>0</v>
      </c>
      <c r="CO131">
        <f>IF(BC131="",0,_xlfn.LET(_xlpm.v,IFERROR(_xlfn.XLOOKUP(B131,Коды_код,Коды_мА),IFERROR(_xlfn.XLOOKUP(BC131,Коды_код,Коды_мА),IFERROR(_xlfn.XLOOKUP(LEFT(BC131,2),Коды_код,Коды_мА),""))),IF(_xlpm.v="да",30,IF(ISNUMBER(_xlpm.v),_xlpm.v,0))))</f>
        <v>0</v>
      </c>
      <c r="CP131" t="str">
        <f t="shared" ref="CP131:CP194" si="304">IF(B131="","",IF(N(CO131)&gt;0,CO131,""))</f>
        <v/>
      </c>
      <c r="CQ131" t="str">
        <f>_xlfn.LET(_xlpm.k,IFERROR(_xlfn.XLOOKUP(BC131,Коды_код,Коды_утечка)&amp;"",""),IF(_xlpm.k="","дифавтомат",_xlpm.k))</f>
        <v>дифавтомат</v>
      </c>
      <c r="CR131" t="str" cm="1">
        <f t="array" ref="CR131">IF(CG131=0,"",_xlfn.LET(_xlpm.sg,TRIM(_xlfn.TEXTSPLIT(DD131&amp;"",";")),_xlpm.f_,_xlfn._xlws.FILTER(_xlpm.sg,LEFT(_xlpm.sg,3)="УЗО",""),IFERROR(INDEX(_xlpm.f_,1)&amp;"","")))</f>
        <v/>
      </c>
      <c r="CS131" t="str">
        <f t="shared" ref="CS131:CS194" si="305">IF(B131="",IF(OR(OR(BA131=1,A131&lt;&gt;A130),AJ131="вручную"),"",IF(BA131=1,"",CS130)),IF(CG131=1,IF(CH131=1,IF(OR(BA131=1,A131&lt;&gt;A130),"",IF(BA131=1,"",CS130)),IF(CR131&lt;&gt;"",BA131,"")),IF(AND(NOT(OR(BA131=1,A131&lt;&gt;A130)),AJ131&lt;&gt;"вручную",IF(BA131=1,"",DS130)="ok"),IF(BA131=1,"",CS130),"")))</f>
        <v/>
      </c>
      <c r="CT131" s="6" t="str" cm="1">
        <f t="array" ref="CT131">IF(CR131="","",_xlfn.LET(_xlpm.tk,_xlfn.TEXTSPLIT(UPPER(CR131)," ",,TRUE),_xlpm.a_,_xlfn._xlws.FILTER(_xlpm.tk,ISNUMBER(--LEFT(_xlpm.tk,1))*((ISNUMBER(SEARCH("А",_xlpm.tk))+ISNUMBER(SEARCH("A",_xlpm.tk)))&gt;0)*NOT(ISNUMBER(SEARCH("МА",_xlpm.tk)))*NOT(ISNUMBER(SEARCH("MA",_xlpm.tk))),""),IFERROR(--SUBSTITUTE(SUBSTITUTE(INDEX(_xlpm.a_,1),"А",""),"A",""),"")))</f>
        <v/>
      </c>
      <c r="CU131" t="str" cm="1">
        <f t="array" ref="CU131">IF(CR131="","",_xlfn.LET(_xlpm.tk,_xlfn.TEXTSPLIT(UPPER(CR131)," ",,TRUE),_xlpm.a_,_xlfn._xlws.FILTER(_xlpm.tk,ISNUMBER(--LEFT(_xlpm.tk,1))*((ISNUMBER(SEARCH("МА",_xlpm.tk))+ISNUMBER(SEARCH("MA",_xlpm.tk)))&gt;0),""),IFERROR(--SUBSTITUTE(SUBSTITUTE(INDEX(_xlpm.a_,1),"МА",""),"MA",""),30)))</f>
        <v/>
      </c>
      <c r="CV131" t="str">
        <f>IF(CS131="","",IFERROR(_xlfn.XLOOKUP(CS131,Линии[_n],Линии[_УЗО, мА]),30))</f>
        <v/>
      </c>
      <c r="CW131">
        <f>IF(CS131="",0,IF(ISNUMBER(SEARCH("4P",IFERROR(_xlfn.XLOOKUP(CS131,Линии[_n],Линии[_УЗО строки])&amp;"",""))),0,1))</f>
        <v>0</v>
      </c>
      <c r="CX131" t="str">
        <f>IF(AND(CS131&lt;&gt;"",CS131=BA131),SUMIFS(Линии[_ток на 230 В],Линии[_блок УЗО],BA131,Линии[Щит],A131),"")</f>
        <v/>
      </c>
      <c r="CY131" t="str">
        <f>IF(AND(CS131&lt;&gt;"",CS131=BA131),SUMIFS(Линии[_ток утечки линии, мА],Линии[_блок УЗО],BA131,Линии[Щит],A131),"")</f>
        <v/>
      </c>
      <c r="CZ131">
        <f t="shared" ref="CZ131:CZ194" si="306">IF(B131="",0,_xlfn.LET(_xlpm.v,IF(TRIM(Y131&amp;"")="",CP131,Y131),_xlpm.nm,IF(_xlpm.v&amp;""="нет",0,IF(_xlpm.v&amp;""="да",30,IFERROR(--_xlpm.v,0))),IF(OR(CQ131="УЗО на группу",CS131&lt;&gt;""),0,_xlpm.nm)))</f>
        <v>0</v>
      </c>
      <c r="DA131">
        <f t="shared" ref="DA131:DA194" si="307">IF(CG131=0,"",_xlfn.LET(_xlpm.a_,N(CZ131),_xlpm.b_,IF(AJ131="вручную",0,N(CN131)),IF(_xlpm.a_=0,_xlpm.b_,IF(_xlpm.b_=0,_xlpm.a_,MIN(_xlpm.a_,_xlpm.b_)))))</f>
        <v>0</v>
      </c>
      <c r="DB131">
        <f>IF(B131="",0,IFERROR(--_xlfn.XLOOKUP(B131,Коды_код,Коды_минавт),IFERROR(--_xlfn.XLOOKUP(BC131,Коды_код,Коды_минавт),IFERROR(--_xlfn.XLOOKUP(LEFT(BC131,2),Коды_код,Коды_минавт),0))))</f>
        <v>0</v>
      </c>
      <c r="DC131" t="str">
        <f>IF(B131="","",IFERROR(_xlfn.XLOOKUP(BC131,Коды_код,Коды_апп)&amp;"",""))</f>
        <v/>
      </c>
      <c r="DD131" t="str">
        <f t="shared" ref="DD131:DD194" si="308">IF(TRIM(I131&amp;"")="",DC131,I131)</f>
        <v/>
      </c>
      <c r="DE131" t="str" cm="1">
        <f t="array" ref="DE131">IF(TRIM(DD131&amp;"")="","",IFERROR(TRIM(INDEX(_xlfn.TEXTSPLIT(DD131&amp;";;;",";"),1)),""))</f>
        <v/>
      </c>
      <c r="DF131" t="str" cm="1">
        <f t="array" ref="DF131">IF(TRIM(DD131&amp;"")="","",IFERROR(TRIM(INDEX(_xlfn.TEXTSPLIT(DD131&amp;";;;",";"),2)),""))</f>
        <v/>
      </c>
      <c r="DG131" t="str" cm="1">
        <f t="array" ref="DG131">IF(TRIM(DD131&amp;"")="","",IFERROR(TRIM(INDEX(_xlfn.TEXTSPLIT(DD131&amp;";;;",";"),3)),""))</f>
        <v/>
      </c>
      <c r="DH131">
        <f t="shared" ref="DH131:DH194" si="309">IF(DD131="",0,IF(OR(LEFT(DE131,2)="T ",LEFT(DE131,2)="Т ",ISNUMBER(SEARCH("БП",DD131)),ISNUMBER(SEARCH("; T ",DD131)),ISNUMBER(SEARCH("; Т ",DD131))),1,0))</f>
        <v>0</v>
      </c>
      <c r="DI131" t="str">
        <f>IF(B131="","",_xlfn.LET(_xlpm.t,LOWER(AZ131&amp;""),IF(ISNUMBER(SEARCH("dim",_xlpm.t)),"DIM",IF(ISNUMBER(SEARCH("dali",_xlpm.t)),"DALI",IF(OR(ISNUMBER(SEARCH("relay",_xlpm.t)),ISNUMBER(SEARCH("реле",_xlpm.t))),"Relay",IF(ISNUMBER(SEARCH("кнопк",_xlpm.t)),"",IFERROR(_xlfn.XLOOKUP(BC131,Коды_код,Коды_упр)&amp;"","")))))))</f>
        <v/>
      </c>
      <c r="DJ131" t="str">
        <f t="shared" ref="DJ131:DJ194" si="310">IF(TRIM(H131&amp;"")="",DI131,H131)</f>
        <v/>
      </c>
      <c r="DK131">
        <f>IF(B131="","",_xlfn.LET(_xlpm.ig,IF(N(CX131)&gt;0,N(CX131),N(CI131)+IF(AJ131="вручную",0,N(CJ131))),_xlpm.n0,IFERROR(VLOOKUP(_xlpm.ig,Автомат_номиналы,2,TRUE),0),_xlpm.mn,MAX(DB131,IF(AJ131="вручную",0,N(CM131))),MAX(_xlpm.n0,_xlpm.mn,IF(DH131=1,Мин_автомат_БП,0))))</f>
        <v>6</v>
      </c>
      <c r="DL131">
        <f t="shared" ref="DL131:DL194" si="311">IF(B131="","",MAX(N(BX131),IF(AJ131="вручную",0,N(CL131))))</f>
        <v>1</v>
      </c>
      <c r="DM131" t="str">
        <f t="shared" ref="DM131:DM194" si="312">IF(B131="","",IF(N(DL131)&gt;=3,IF(N(DA131)&gt;0,"4P","3P"),IF(N(DA131)&gt;0,"2P","1P")))</f>
        <v>1P</v>
      </c>
      <c r="DN131" t="str">
        <f>_xlfn.LET(_xlpm.cc,UPPER(TRIM(IFERROR(_xlfn.XLOOKUP(BC131,Коды_код,Коды_хар)&amp;"",""))),IF(OR(_xlpm.cc="B",_xlpm.cc="В"),"B",IF(_xlpm.cc="D","D","С")))</f>
        <v>С</v>
      </c>
      <c r="DO131" t="str">
        <f t="shared" ref="DO131:DO194" si="313">IF(B131="","",IF(CG131=0,IF(AND(AND(NOT(OR(BA131=1,A131&lt;&gt;A130)),AJ131&lt;&gt;"вручную",IF(BA131=1,"",DS130)="ok"),IF(BA131=1,"",DU130)&lt;&gt;""),"↑ "&amp;IF(BA131=1,"",DU130),""),IF(N(DK131)=0,"",DM131&amp;" "&amp;DN131&amp;DK131&amp;"А"&amp;IF(N(DA131)&gt;0," "&amp;DA131&amp;"мА",""))))</f>
        <v>1P С6А</v>
      </c>
      <c r="DP131" t="str">
        <f t="shared" ref="DP131:DP194" si="314">IF(TRIM(G131&amp;"")="",DO131,G131)</f>
        <v>1P С6А</v>
      </c>
      <c r="DQ131" t="str">
        <f t="shared" ref="DQ131:DQ194" si="315">IF(CG131=0,"",_xlfn.LET(_xlpm.v,TRIM(DP131&amp;""),IF(_xlpm.v="","",IF(ISNUMBER(--_xlpm.v),DM131&amp;" "&amp;DN131&amp;(--_xlpm.v)&amp;"А"&amp;IF(N(DA131)&gt;0," "&amp;DA131&amp;"мА",""),IF(ISNUMBER(SEARCH("P",UPPER(_xlpm.v))),_xlpm.v,DM131&amp;" "&amp;_xlpm.v)))))</f>
        <v>1P С6А</v>
      </c>
      <c r="DR131" cm="1">
        <f t="array" ref="DR131">IF(DQ131="","",_xlfn.LET(_xlpm.t,SUBSTITUTE(SUBSTITUTE(SUBSTITUTE(UPPER(DQ131),"С","C"),"А","A"),"В","B"),_xlpm.tk,_xlfn.TEXTSPLIT(_xlpm.t," "),_xlpm.f,_xlfn._xlws.FILTER(_xlpm.tk,ISNUMBER(--MID(_xlpm.tk,2,1))*ISNUMBER(SEARCH(LEFT(_xlpm.tk,1)&amp;"#","B#C#D#"))*(LEN(_xlpm.tk)&gt;1),""),_xlpm.x,INDEX(_xlpm.f,1),IFERROR(--SUBSTITUTE(MID(_xlpm.x,2,9),"A",""),IFERROR(--SUBSTITUTE(INDEX(_xlfn._xlws.FILTER(_xlpm.tk,ISNUMBER(--SUBSTITUTE(_xlpm.tk,"A","")),""),1),"A",""),""))))</f>
        <v>6</v>
      </c>
      <c r="DS131" t="str">
        <f t="shared" ref="DS131:DS194" si="316">IF(CG131=1,IF(AJ131="вручную","узел","ok"),IF(OR(OR(BA131=1,A131&lt;&gt;A130),AJ131="вручную"),"",IF(BA131=1,"",DS130)))</f>
        <v>ok</v>
      </c>
      <c r="DT131">
        <f t="shared" ref="DT131:DT194" si="317">IF(CG131=1,DR131,IF(AND(NOT(OR(BA131=1,A131&lt;&gt;A130)),AJ131&lt;&gt;"вручную",IF(BA131=1,"",DS130)="ok"),IF(BA131=1,"",DT130),""))</f>
        <v>6</v>
      </c>
      <c r="DU131" t="str">
        <f t="shared" ref="DU131:DU194" si="318">IF(CG131=1,DQ131,IF(AND(NOT(OR(BA131=1,A131&lt;&gt;A130)),AJ131&lt;&gt;"вручную",IF(BA131=1,"",DS130)="ok"),IF(BA131=1,"",DU130),""))</f>
        <v>1P С6А</v>
      </c>
      <c r="DV131">
        <f t="shared" ref="DV131:DV194" si="319">IF(CG131=1,DA131,IF(AND(NOT(OR(BA131=1,A131&lt;&gt;A130)),AJ131&lt;&gt;"вручную",IF(BA131=1,"",DS130)="ok"),IF(BA131=1,"",DV130),""))</f>
        <v>0</v>
      </c>
      <c r="DW131">
        <f t="shared" ref="DW131:DW194" si="320">IF(OR(N(DV131)&gt;0,CS131&lt;&gt;""),1,0)</f>
        <v>0</v>
      </c>
      <c r="DX131">
        <f t="shared" ref="DX131:DX194" si="321">IF(CG131=1,DH131,IF(AND(NOT(OR(BA131=1,A131&lt;&gt;A130)),AJ131&lt;&gt;"вручную",IF(BA131=1,"",DS130)="ok"),N(IF(BA131=1,"",DX130)),0))</f>
        <v>0</v>
      </c>
      <c r="DY131">
        <f t="shared" ref="DY131:DY194" si="322">IF(CG131=1,IF(N(CX131)&gt;0,N(CX131),N(CI131)+IF(AJ131="вручную",0,N(CJ131))),"")</f>
        <v>2.4952356946539136</v>
      </c>
      <c r="DZ131">
        <f t="shared" ref="DZ131:DZ194" si="323">IF(N(CB131)=1,1,IF(BX131=1,1,IF(N(CB131)&gt;=4,0.92,1)))</f>
        <v>1</v>
      </c>
      <c r="EA131">
        <f>IF(ISNUMBER(AP131),AP131,К_прокл)</f>
        <v>1</v>
      </c>
      <c r="EB131">
        <f t="shared" ref="EB131:EB194" si="324">IF(N(CB131)=1,1,IF(BX131=1,2,3))</f>
        <v>2</v>
      </c>
      <c r="EC131">
        <f>IFERROR(N(VLOOKUP(BZ131,Кабель_обозначение,3,FALSE)),1)</f>
        <v>1</v>
      </c>
      <c r="ED131">
        <f>IFERROR(N(_xlfn.XLOOKUP(A131,Щиты[Щит],Щиты[ΔU до шин, %])),0)</f>
        <v>1.1399999999999999</v>
      </c>
      <c r="EE131" t="str">
        <f>IFERROR(_xlfn.XLOOKUP(A131,Щиты[Щит],Щиты[Zпетли на шинах, Ом]),"")</f>
        <v/>
      </c>
      <c r="EF131">
        <f>IFERROR(N(_xlfn.XLOOKUP(A131,Щиты[Щит],Щиты[ΔU до шин (подбор), %])),0)</f>
        <v>1.82</v>
      </c>
      <c r="EG131" t="str">
        <f>IFERROR(_xlfn.XLOOKUP(A131,Щиты[Щит],Щиты[Zпетли на шинах (подбор), Ом]),"")</f>
        <v/>
      </c>
      <c r="EH131" t="str">
        <f t="shared" ref="EH131:EH194" si="325">IF(COUNT(AV131,AW131)=0,"",ROUNDUP(SUM(AV131,AW131),0))</f>
        <v/>
      </c>
      <c r="EI131">
        <f t="shared" ref="EI131:EI194" si="326">IF(TRIM(K131&amp;"")="",EH131,K131)</f>
        <v>28</v>
      </c>
      <c r="EJ131">
        <f t="shared" ref="EJ131:EJ194" si="327">IF(BX131=1,2,IF(BX131=3,1,""))</f>
        <v>2</v>
      </c>
      <c r="EK131">
        <f t="shared" ref="EK131:EK194" si="328">IFERROR(ROUND(SIN(ACOS(CE131)),2),"")</f>
        <v>0.6</v>
      </c>
      <c r="EL131" s="6">
        <f>IF(B131="","",IF(BV131=1,dU_LED,IF(IFERROR(_xlfn.XLOOKUP(BC131,Коды_код,Коды_уго),"")="Светильник",3,4)+IF(Методика="нормы 2026",MIN(0.5,MAX(0,N(P131)-100)*0.005),0)))</f>
        <v>4</v>
      </c>
      <c r="EM131" cm="1">
        <f t="array" ref="EM131">IF(OR(B131="",BZ131="",EC131&lt;&gt;1),"",_xlfn.LET(_xlpm.sz,Iдоп_S,_xlpm.t_,CHOOSE(EB131,Iдоп_1ж,Iдоп_2ж,Iдоп_3ж)*DZ131*EA131,_xlpm.dcx,BV131=1,_xlpm.inn,IF(_xlpm.dcx,N(O131),N(DT131)),_xlpm.smin,MAX(1.5,CC131),_xlpm.L_,N(P131)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131)/N(BU131)*100,999),IFERROR(N(EJ131)*(_xlpm.rho*_xlpm.L_/_xlpm.sz*N(CE131)+_xlpm.xx*_xlpm.L_*N(EK131)/1000)*N(O131)/((Uн_лин/SQRT(3))*1000)*100,999)),_xlpm.kz,IF(OR(_xlpm.dcx,DW131=1,NOT(ISNUMBER(EG131)),_xlpm.L_=0,_xlpm.inn=0),1,IFERROR(--(c_min*(Uн_лин*1000/SQRT(3))/(EG131+2*ρкз_Cu*_xlpm.L_/_xlpm.sz)&gt;=HT131*_xlpm.inn),0)),_xlpm.ok,IFERROR((_xlpm.sz&gt;=_xlpm.smin)*(_xlpm.t_&gt;=_xlpm.inn)*IF(_xlpm.L_&gt;0,(_xlpm.du_+IF(_xlpm.dcx,0,EF131)&lt;=EL131+0.00001),1)*_xlpm.kz,0),_xlpm.r_,_xlfn._xlws.FILTER(_xlpm.sz,_xlpm.ok,"не подобрано"),INDEX(_xlpm.r_,1)))</f>
        <v>1.5</v>
      </c>
      <c r="EN131">
        <f t="shared" ref="EN131:EN194" si="329">IF(B131="","",IF(TRIM(J131&amp;"")="",EM131,J131))</f>
        <v>1.5</v>
      </c>
      <c r="EO131" cm="1">
        <f t="array" ref="EO131">IF(OR(B131="",BZ131="",EC131&lt;&gt;1),"",_xlfn.LET(_xlpm.sz,Iдоп_S,_xlpm.t_,CHOOSE(EB131,Iдоп_1ж,Iдоп_2ж,Iдоп_3ж)*DZ131*EA131,_xlpm.ok,IFERROR((_xlpm.sz&gt;=MAX(1.5,CC131))*(_xlpm.t_&gt;=N(DT131)),0),_xlpm.r_,_xlfn._xlws.FILTER(_xlpm.sz,_xlpm.ok,""),INDEX(_xlpm.r_,1)))</f>
        <v>1.5</v>
      </c>
      <c r="EP131" s="6" cm="1">
        <f t="array" ref="EP131">IFERROR(ROUNDUP(N(EJ131)*(_xlfn.XLOOKUP(EO131,INDEX(Кабель_сопротивление,0,1),INDEX(Кабель_сопротивление,0,3))*N(P131)/EO131*N(CE131)+_xlfn.XLOOKUP(EO131,INDEX(Кабель_сопротивление,0,1),INDEX(Кабель_сопротивление,0,2))*N(P131)*N(EK131)/1000)*N(O131)/((Uн_лин/SQRT(3))*1000)*100,2),"")</f>
        <v>0.79</v>
      </c>
      <c r="EQ131">
        <f>IFERROR(2*ρкз_Cu*N(P131)/EO131,"")</f>
        <v>1.052</v>
      </c>
      <c r="ER131">
        <f>IFERROR(VLOOKUP(EN131,Кабель_сопротивление,3,FALSE),"")</f>
        <v>2.2499999999999999E-2</v>
      </c>
      <c r="ES131">
        <f>IFERROR(VLOOKUP(EN131,Кабель_сопротивление,2,FALSE),"")</f>
        <v>0.11</v>
      </c>
      <c r="ET131">
        <f t="shared" ref="ET131:ET194" si="330">IF(AR131&lt;&gt;"",AR131,IF(OR(EI131="",AT131=""),"",IF(AT131=1,MAX(0,P131-ROUNDUP(N(AW131),0)-4),ROUNDUP(N(AV131),0))))</f>
        <v>24</v>
      </c>
      <c r="EU131">
        <f t="shared" ref="EU131:EU194" si="331">IF(AS131&lt;&gt;"",AS131,IF(OR(EI131="",AT131=""),"",IF(AT131=2,MAX(0,P131-ROUNDUP(N(AV131),0)-4),ROUNDUP(N(AW131),0))))</f>
        <v>0</v>
      </c>
      <c r="EV131">
        <f t="shared" ref="EV131:EV194" si="332">IFERROR(IF(BV131=1,2*ER131*P131/EN131*O131,EJ131*(ER131*P131/EN131*CE131+ES131*P131*EK131/1000)*O131),"")</f>
        <v>1.8064508335016471</v>
      </c>
      <c r="EW131" s="6">
        <f>IFERROR(ROUNDUP(EV131/IF(BV131=1,BU131,(Uн_лин/SQRT(3))*1000)*100,2),"")</f>
        <v>0.79</v>
      </c>
      <c r="EX131" t="str">
        <f>IFERROR(VLOOKUP(BZ131,Кабель_обозначение,2,FALSE),"")</f>
        <v>ВВГнг(А)-LS</v>
      </c>
      <c r="EY131" t="str">
        <f t="shared" ref="EY131:EY194" si="333">IFERROR(IF(EC131=1,IF(ISNUMBER(EN131),EX131&amp;" ("&amp;CB131&amp;"х"&amp;EN131&amp;")",EX131),EX131),"")</f>
        <v>ВВГнг(А)-LS (3х1,5)</v>
      </c>
      <c r="EZ131" t="str">
        <f t="shared" ref="EZ131:EZ194" si="334">IF(OR(B131="",EX131="",AND(BR131&lt;&gt;"",NOT(ISNUMBER(BR131)))),"",IF(N(EN131)=0,EX131,EY131&amp;IF(N(P131)=0,"",CHAR(10)&amp;"L="&amp;P131&amp;"-"&amp;EW131&amp;"%")))</f>
        <v>ВВГнг(А)-LS (3х1,5)
L=30-0,79%</v>
      </c>
      <c r="FA131">
        <f>IFERROR(2*ρкз_Cu*P131/EN131,"")</f>
        <v>1.052</v>
      </c>
      <c r="FB131">
        <f t="shared" ref="FB131:FB194" si="335">IFERROR(0.0175*N(P131)/EN131,"")</f>
        <v>0.35000000000000003</v>
      </c>
      <c r="FC131" s="6" t="str">
        <f>IFERROR(IF(OR(B131="",BV131=1,NOT(ISNUMBER(EN131)),N(P131)=0),"",_xlfn.XLOOKUP(A131,Щиты[Щит],Щиты[Zпетли на шинах, Ом])+FA131),"")</f>
        <v/>
      </c>
      <c r="FD131" s="6" t="str">
        <f>IF(ISNUMBER(FC131),c_min*(Uн_лин*1000/SQRT(3))/FC131,"")</f>
        <v/>
      </c>
      <c r="FE131" s="6" t="str">
        <f>IFERROR(IF(OR(B131="",NOT(ISNUMBER(EN131))),"",1.05*(Uн_лин*1000/SQRT(3))/(_xlfn.XLOOKUP(A131,Щиты[Щит],Щиты[Zmax на шинах, Ом])+FB131)/1000),"")</f>
        <v/>
      </c>
      <c r="FF131" s="6" t="str">
        <f>IF(B131="","",IF(ISNUMBER(AC131),"Сил",IF(IFERROR(_xlfn.XLOOKUP(BC131,Коды_код,Коды_группа)&amp;"","")="","Быт",_xlfn.XLOOKUP(BC131,Коды_код,Коды_группа)&amp;"")))</f>
        <v>Сил</v>
      </c>
      <c r="FG131" s="6" t="str">
        <f t="shared" ref="FG131:FG194" si="336">IF(B131="","",IF(BH131&lt;&gt;"","Щит",IF(TRIM(AB131&amp;"")="",FF131,AB131)))</f>
        <v>Сил</v>
      </c>
      <c r="FH131" s="6">
        <f>IF(FG131="Щит","щит",IF(FG131="","",IF(FG131="Быт",IFERROR(_xlfn.XLOOKUP(A131,Щиты[Щит],Щиты[Кс быт]),1),IF(FG131="Сил",IF(ISNUMBER(AC131),AC131,IF(Методика="нормы 2026",IFERROR(_xlfn.XLOOKUP(A131,Щиты[Щит],Щиты[Кс силовых (табл. 7.5)]),1),1)),IF(OR(FG131="Пост",FG131="Отоп"),1,IF(FG131="ВНГ",0.7,0))))))</f>
        <v>0.5</v>
      </c>
      <c r="FI131">
        <f>IF(FG131="","",IF(AND(BP131=1,TRIM(AE131&amp;"")=""),IF(COUNTIFS(Линии[Щит],A131,Линии[Секция (1/2/3)],"&gt;=2")&gt;0,MIN(3,MAX(1,IFERROR(--BD131,1))),1),IFERROR(MIN(3,MAX(1,INT(--AE131))),1)))</f>
        <v>1</v>
      </c>
      <c r="FJ131">
        <f t="shared" ref="FJ131:FJ194" si="337">IF(OR(FG131="",FG131="Нет",FG131="Щит"),0,N(BS131))</f>
        <v>0.46100000000000002</v>
      </c>
      <c r="FK131">
        <f t="shared" ref="FK131:FK194" si="338">IF(FG131="Быт",N(BS131),0)</f>
        <v>0</v>
      </c>
      <c r="FL131">
        <f t="shared" ref="FL131:FL194" si="339">IF(FG131="Сил",N(BS131)*N(FH131),0)</f>
        <v>0.23050000000000001</v>
      </c>
      <c r="FM131">
        <f t="shared" ref="FM131:FM194" si="340">IF(FG131="Пост",N(BS131),0)</f>
        <v>0</v>
      </c>
      <c r="FN131">
        <f t="shared" ref="FN131:FN194" si="341">IF(FG131="Отоп",N(BS131),0)</f>
        <v>0</v>
      </c>
      <c r="FO131">
        <f t="shared" ref="FO131:FO194" si="342">IF(FG131="ВНГ",N(BS131)*0.7,0)</f>
        <v>0</v>
      </c>
      <c r="FP131">
        <f t="shared" ref="FP131:FP194" si="343">IF(OR(B131="",FG131="Нет"),0,N(BS131))</f>
        <v>0.46100000000000002</v>
      </c>
      <c r="FQ131">
        <f t="shared" ref="FQ131:FQ194" si="344">IF(OR(B131="",FG131="Щит",FG131="Нет"),0,N(BS131))</f>
        <v>0.46100000000000002</v>
      </c>
      <c r="FR131">
        <f t="shared" ref="FR131:FR194" si="345">IF(OR(B131="",FG131="Щит",FG131="Нет"),0,N(BS131)*N(CE131))</f>
        <v>0.36880000000000002</v>
      </c>
      <c r="FS131">
        <f>IF(CG131=1,IF(AND(CH131=1,CW131=1),0,IF(AND(CS131&lt;&gt;"",CS131=BA131,CW131=1),SUMIFS(Линии[_Р линии, кВт],Линии[_блок УЗО],BA131,Линии[Щит],A131),N(BS131)+IF(AJ131="вручную",0,N(CK131)))),0)</f>
        <v>0.46100000000000002</v>
      </c>
      <c r="FT131" t="str">
        <f t="shared" ref="FT131:FT194" si="346">IF(B131="","",IF(_xlfn.ISFORMULA(L131),"",_xlfn.LET(_xlpm.v,UPPER(SUBSTITUTE(TRIM(L131&amp;"")," ","")),IF(_xlpm.v="","",IF(OR(_xlpm.v="1,2,3",_xlpm.v="L1,L2,L3",_xlpm.v="123",_xlpm.v="3Ф"),"L1,L2,L3",IF(OR(_xlpm.v="1",_xlpm.v="2",_xlpm.v="3"),"L"&amp;_xlpm.v,IF(OR(_xlpm.v="L1",_xlpm.v="L2",_xlpm.v="L3"),_xlpm.v,"")))))))</f>
        <v>L2</v>
      </c>
      <c r="FU131" t="str">
        <f>IF(B131="","",IF(CG131=0,IF(BA131=1,"",FW130),IF(AND(CH131=1,CW131=1,CS131&lt;&gt;""),IFERROR(_xlfn.XLOOKUP(CS131,Линии[_n],Линии[_фаза итог]),"L1"),IF(OR(N(DL131)&gt;=3,N(BX131)&gt;=3),"L1,L2,L3",IFERROR(_xlfn.TEXTBEFORE(_xlfn.TEXTAFTER(_xlfn.XLOOKUP(A131,Щиты[Щит],Щиты[_фазы авто]),";"&amp;BA131&amp;":"),";"),"L1")))))</f>
        <v>L1</v>
      </c>
      <c r="FV131" t="str">
        <f t="shared" ref="FV131:FV194" si="347">IF(B131="","",_xlfn.LET(_xlpm.v,UPPER(SUBSTITUTE(TRIM(L131&amp;"")," ","")),IF(_xlpm.v="",FU131,IF(OR(_xlpm.v="1,2,3",_xlpm.v="L1,L2,L3",_xlpm.v="123",_xlpm.v="3Ф"),"L1,L2,L3",IF(OR(_xlpm.v="1",_xlpm.v="2",_xlpm.v="3"),"L"&amp;_xlpm.v,IF(OR(_xlpm.v="L1",_xlpm.v="L2",_xlpm.v="L3"),_xlpm.v,IF(_xlpm.v="УПР","",_xlpm.v)))))))</f>
        <v>L2</v>
      </c>
      <c r="FW131" t="str">
        <f t="shared" ref="FW131:FW194" si="348">IF(CG131=1,FV131,IF(AND(NOT(OR(BA131=1,A131&lt;&gt;A130)),AJ131&lt;&gt;"вручную",IF(BA131=1,"",DS130)="ok"),IF(BA131=1,"",FW130),""))</f>
        <v>L2</v>
      </c>
      <c r="FX131" cm="1">
        <f t="array" ref="FX131">IFERROR(IF(CD131=2,_xlfn.IFS(BX131=3,VLOOKUP(BS131,Справочная_двигатели,3,FALSE),BX131=1,VLOOKUP(BS131,Справочная_двигатели,5,TRUE)),0),0)</f>
        <v>0</v>
      </c>
      <c r="FY131">
        <f>IFERROR(IF(CD131=3,VLOOKUP(BS131,Справочная_ЛЭД,2,TRUE),0),0)</f>
        <v>0</v>
      </c>
      <c r="FZ131" s="6">
        <f t="shared" ref="FZ131:FZ194" si="349">IF(B131="","",IF(FX131=0,FY131,FX131))</f>
        <v>0</v>
      </c>
      <c r="GA131" t="str">
        <f>IF(B131="","",IF(TRIM(AH131&amp;"")&lt;&gt;"",IF(LOWER(TRIM(AH131&amp;""))="да","да","нет"),IF(IFERROR(_xlfn.XLOOKUP(BC131,Коды_код,Коды_пожарная),"")="да","да","нет")))</f>
        <v>нет</v>
      </c>
      <c r="GB131" t="str">
        <f t="shared" ref="GB131:GB194" si="350">IF(AF131&lt;&gt;"",AF131,IF(CG131=1,"",IF(GU131="","",IF(BA131=1,"",GB130))))</f>
        <v/>
      </c>
      <c r="GC131" t="str">
        <f t="shared" ref="GC131:GC194" si="351">IF(B131="","",IF(GB131="","основная",GB131))</f>
        <v>основная</v>
      </c>
      <c r="GD131">
        <f>IF(AND(BP131=1,TRIM(AE131&amp;"")=""),IF(COUNTIFS(Линии[Щит],A131,Линии[Секция (1/2/3)],"&gt;=2")&gt;0,MIN(3,MAX(1,IFERROR(--BD131,1))),1),IFERROR(MIN(3,MAX(1,INT(--AE131))),1))</f>
        <v>1</v>
      </c>
      <c r="GE131" t="str" cm="1">
        <f t="array" ref="GE131">IF(B131="","",_xlfn.LET(_xlpm.t,IFERROR(_xlfn.XLOOKUP(1,(Шины[Шина]=GC131)*(((Шины[Щит]=A131)+(Шины[Щит]=""))&gt;0),Шины[Тип]),"")&amp;"",IF(_xlpm.t&lt;&gt;"",_xlpm.t,IF(ISNUMBER(SEARCH("ИБП",GC131)),"ИБП",IF(ISNUMBER(SEARCH("ДГУ",GC131)),"ДГУ","Ввод "&amp;GD131)))))</f>
        <v>Ввод 1</v>
      </c>
      <c r="GF131" t="str">
        <f t="shared" ref="GF131:GF194" si="352">IF(B131="","",IF(OR(GE131="ИБП",GE131="ДГУ"),GE131,IF(LEFT(GE131,5)="Ввод ",GE131,"Ввод "&amp;GD131)))</f>
        <v>Ввод 1</v>
      </c>
      <c r="GG131" t="str">
        <f>IF(BP131=0,"",IF(TRIM(AG131&amp;"")&lt;&gt;"",TRIM(AG131&amp;""),IF(OR(GE131="ИБП",GE131="ДГУ"),"I особая",_xlfn.XLOOKUP(A131,Щиты[Щит],Щиты[Категория шины «Ввод»],"III"))))</f>
        <v/>
      </c>
      <c r="GH131" t="str">
        <f>IF(A131="","",_xlfn.XLOOKUP(A131,Щиты[Щит],Щиты[Путь],""))</f>
        <v>|ГРЩ-ЖД|ЩОВ-2|</v>
      </c>
      <c r="GI131" t="str">
        <f>IF(B131="","",IF(AI131&lt;&gt;"",AI131,IF(IFERROR(_xlfn.XLOOKUP(BC131,Коды_код,Коды_вид)&amp;"","")="","Прочее",_xlfn.XLOOKUP(BC131,Коды_код,Коды_вид)&amp;"")))</f>
        <v>Кондиционирование и увлажнение</v>
      </c>
      <c r="GJ131">
        <f>IF(BM131="","",INT((BM131-1)/Столбцов_на_лист)+1)</f>
        <v>1</v>
      </c>
      <c r="GK131" t="str">
        <f t="shared" ref="GK131:GK194" si="353">IF(B131="","",SUBSTITUTE(EZ131,CHAR(10)," "))</f>
        <v>ВВГнг(А)-LS (3х1,5) L=30-0,79%</v>
      </c>
      <c r="GL131">
        <f t="shared" ref="GL131:GL194" si="354">IF(B131="","",IFERROR(--BS131,""))</f>
        <v>0.46100000000000002</v>
      </c>
      <c r="GM131">
        <f t="shared" ref="GM131:GM194" si="355">IF(B131="","",IFERROR(ROUNDUP(O131,2),""))</f>
        <v>2.5</v>
      </c>
      <c r="GN131">
        <f t="shared" ref="GN131:GN194" si="356">IF(B131="","",IFERROR(--BX131,1))</f>
        <v>1</v>
      </c>
      <c r="GO131">
        <f t="shared" ref="GO131:GO194" si="357">IF(OR(AL131="+",AND(B131&lt;&gt;"",B131=IF(BA131=1,"",B130))),1,0)</f>
        <v>0</v>
      </c>
      <c r="GP131">
        <f t="shared" ref="GP131:GP194" si="358">IF(OR(BM131="",AJ131="вручную",AND(BN131="вводной узел",AJ131&lt;&gt;"рисовать")),0,1)</f>
        <v>1</v>
      </c>
      <c r="GQ131">
        <f>IF(BM131="","",IF(AND(CG131=1,GP131=1),COUNTIFS(A$3:A131,A131,CG$3:CG131,1,GP$3:GP131,1),IF(OR(OR(BA131=1,A131&lt;&gt;A130),AJ131="вручную",GP131=0),"",IF(BA131=1,"",GR130))))</f>
        <v>1</v>
      </c>
      <c r="GR131">
        <f t="shared" ref="GR131:GR194" si="359">IF(BM131="",IF(OR(BA131=1,A131&lt;&gt;A130),"",IF(BA131=1,"",GR130)),GQ131)</f>
        <v>1</v>
      </c>
      <c r="GS131">
        <f>IF(B131="","",IFERROR(LOOKUP(INDEX(CHOOSE(EB131,Iдоп_1ж,Iдоп_2ж,Iдоп_3ж),MATCH(EN131,Iдоп_S,0))*DZ131*EA131,{6,10,16,20,25,32,40,50,63,80,100,125,160,200,250,315,400,500,630}),""))</f>
        <v>16</v>
      </c>
      <c r="GT131" t="str">
        <f t="shared" ref="GT131:GT194" si="360">IF(AND(CG131=1,GP131=1,GQ131&lt;&gt;""),IF(N(DA131)&gt;0,"QFD","QF")&amp;GQ131,"")</f>
        <v>QF1</v>
      </c>
      <c r="GU131" t="str">
        <f t="shared" ref="GU131:GU194" si="361">IF(GT131&lt;&gt;"",GT131,IF(OR(OR(BA131=1,A131&lt;&gt;A130),AJ131="вручную"),"",IF(BA131=1,"",GU130)))</f>
        <v>QF1</v>
      </c>
      <c r="GV131" t="str">
        <f t="shared" ref="GV131:GV194" si="362">IF(GT131&lt;&gt;"",_xlfn.TEXTJOIN(" → ",TRUE,DE131,DF131,DG131),IF(GU131="","",IF(BA131=1,"",GV130)))</f>
        <v/>
      </c>
      <c r="GW131">
        <f t="shared" ref="GW131:GW194" si="363">IF(GV131="",0,IF(OR(LEFT(GV131,2)="T ",LEFT(GV131,2)="Т ",ISNUMBER(SEARCH("→ T ",GV131)),ISNUMBER(SEARCH("→ Т ",GV131)),ISNUMBER(SEARCH("БП",GV131))),1,0))</f>
        <v>0</v>
      </c>
      <c r="GX131" t="str">
        <f>IF(OR(B131="",DJ131=""),"",IFERROR(_xlfn.XLOOKUP(DJ131,Модули_умолч[Управление],Модули_умолч[Модель])&amp;"",""))</f>
        <v/>
      </c>
      <c r="GY131">
        <f>IF(DJ131="",1,IFERROR(MAX(0,N(_xlfn.XLOOKUP(DJ131,Модули_умолч[Управление],Модули_умолч[Каналов на линию]))),1))</f>
        <v>1</v>
      </c>
      <c r="GZ131" t="str">
        <f t="shared" ref="GZ131:GZ194" si="364">IF(_xlfn.ISFORMULA(AK131),"",TRIM(AK131&amp;""))</f>
        <v/>
      </c>
      <c r="HA131" t="str">
        <f t="shared" ref="HA131:HA194" si="365">IF(GZ131="-","",IF(GZ131&lt;&gt;"","M",IF(AND(NOT(OR(BA131=1,A131&lt;&gt;A130)),IF(BA131=1,"",HA130)="M"),"M",IF(GX131&lt;&gt;"","A",IF(AND(NOT(OR(BA131=1,A131&lt;&gt;A130)),IF(BA131=1,"",HA130)="A",B131="",OR(AL131="р",AL131="+",AL131="=")),"A","")))))</f>
        <v/>
      </c>
      <c r="HB131" t="str">
        <f t="shared" ref="HB131:HB194" si="366">IF(HA131="A",IF(GX131&lt;&gt;"",GX131,IF(BA131=1,"",HB130)),"")</f>
        <v/>
      </c>
      <c r="HC131">
        <f>IF(HB131="",0,IFERROR(N(VLOOKUP(HB131,Модули_спр,3,FALSE)),0))</f>
        <v>0</v>
      </c>
      <c r="HD131" t="str">
        <f t="shared" ref="HD131:HD194" si="367">IF(HA131="A",IF(OR(OR(BA131=1,A131&lt;&gt;A130),IF(BA131=1,"",HA130)&lt;&gt;"A",IF(BA131=1,"",HB130)&lt;&gt;HB131,AND(HC131&gt;0,GY131&gt;0,N(IF(BA131=1,"",HK130))+GY131&gt;HC131)),HB131,""),IF(AND(HA131="",NOT(OR(BA131=1,A131&lt;&gt;A130)),IF(BA131=1,"",HA130)="A",GZ131=""),"-",""))</f>
        <v/>
      </c>
      <c r="HE131" t="str">
        <f t="shared" ref="HE131:HE194" si="368">IF(GZ131&lt;&gt;"",GZ131,HD131)</f>
        <v/>
      </c>
      <c r="HF131" t="str">
        <f>IF(OR(HE131="",HE131="-"),"",IFERROR(VLOOKUP(HE131,Модули_спр,2,FALSE),"R"))</f>
        <v/>
      </c>
      <c r="HG131" t="str">
        <f>IF(HF131="","",HF131&amp;"."&amp;COUNTIFS(A$3:A131,A131,HF$3:HF131,HF131))</f>
        <v/>
      </c>
      <c r="HH131" t="str">
        <f t="shared" ref="HH131:HH194" si="369">IF(HE131="-","",IF(HG131&lt;&gt;"",HG131,IF(OR(BA131=1,A131&lt;&gt;A130),"",IF(BA131=1,"",HH130))))</f>
        <v/>
      </c>
      <c r="HI131" t="str">
        <f t="shared" ref="HI131:HI194" si="370">IF(HH131="","",IF(AND(HE131&lt;&gt;"",HE131&lt;&gt;"-"),HE131,IF(BA131=1,"",HI130)))</f>
        <v/>
      </c>
      <c r="HJ131" t="str">
        <f t="shared" ref="HJ131:HJ194" si="371">IF(AL131="=",IF(BA131=1,"",HK130),IF(ISNUMBER(AL131),AL131,IF(HH131="","",IF(OR(B131&lt;&gt;"",AL131="+",AL131="р"),IF(OR(HG131&lt;&gt;"",IF(BA131=1,"",HK130)=""),1,IF(BA131=1,"",HK130)+IF(GY131=0,0,1)),""))))</f>
        <v/>
      </c>
      <c r="HK131" t="str">
        <f t="shared" ref="HK131:HK194" si="372">IF(HJ131&lt;&gt;"",MAX(HJ131,HJ131+GY131-1),IF(OR(OR(BA131=1,A131&lt;&gt;A130),HE131="-",HG131&lt;&gt;""),"",IF(BA131=1,"",HK130)))</f>
        <v/>
      </c>
      <c r="HL131">
        <f t="shared" ref="HL131:HL194" si="373">IF(OR(AL131="б/к",AJ131="вручную"),0,IF(OR(EZ131&lt;&gt;"",AL131="+",AL131="="),1,0))</f>
        <v>1</v>
      </c>
      <c r="HM131" t="str">
        <f>IF(HL131=1,"XT"&amp;COUNTIFS(A$3:A131,A131,HL$3:HL131,1),"")</f>
        <v>XT1</v>
      </c>
      <c r="HN131" t="str">
        <f t="shared" ref="HN131:HN194" si="374">_xlfn.LET(_xlpm.v,TRIM(M131&amp;""),IF(_xlpm.v="нет","",IF(_xlpm.v="",HM131,_xlpm.v)))</f>
        <v>XT1</v>
      </c>
      <c r="HO131" t="str">
        <f t="shared" ref="HO131:HO194" si="375">IF(OR(B131&lt;&gt;"",HJ131&lt;&gt;"",HL131=1),GU131,"")</f>
        <v>QF1</v>
      </c>
      <c r="HP131" t="str">
        <f t="shared" ref="HP131:HP194" si="376">IF(OR(HJ131&lt;&gt;"",AND(HE131&lt;&gt;"",HE131&lt;&gt;"-")),HH131,"")</f>
        <v/>
      </c>
      <c r="HQ131" t="str">
        <f t="shared" ref="HQ131:HQ194" si="377">IF(B131="","",IF(AND(CG131=1,DQ131&lt;&gt;"",DR131=""),"номинал автомата не распознан",IF(DT131="",IF(CF131=1,"«гр»: нет автомата выше",""),IF(AND(CG131=1,N(DY131)&gt;N(DT131)),"ПЕРЕГРУЗ",IF(AND(N(DX131)=0,ISNUMBER(GS131),N(GS131)&lt;N(DT131)),"КАБЕЛЬ НЕ ЗАЩИЩЁН","ok")))))</f>
        <v>ok</v>
      </c>
      <c r="HR131" t="str">
        <f>IF(OR(HJ131="",HH131=""),"",IF(HJ131+MAX(0,GY131-1)&gt;IFERROR(VLOOKUP(HI131,Модули_спр,3,FALSE),99),"ЛИШНИЙ КАНАЛ",IF(AND(AL131&lt;&gt;"=",GY131&gt;0,COUNTIFS(Линии[_модуль гр.],HH131,Линии[Канал (итог)],HJ131,Линии[Канал],"&lt;&gt;=",Линии[Щит],A131)&gt;1),"ДУБЛЬ КАНАЛА","")))</f>
        <v/>
      </c>
      <c r="HS131" s="6" t="str">
        <f t="shared" ref="HS131:HS194" si="378">IFERROR(IF(ISNUMBER(FD131),FD131/N(DT131),""),"")</f>
        <v/>
      </c>
      <c r="HT131">
        <f t="shared" ref="HT131:HT194" si="379">IF(OR(ISNUMBER(SEARCH(" B"," "&amp;DU131)),ISNUMBER(SEARCH(" В"," "&amp;DU131))),5,IF(ISNUMBER(SEARCH(" D"," "&amp;DU131)),20,10))</f>
        <v>10</v>
      </c>
      <c r="HU131" t="str">
        <f t="shared" ref="HU131:HU194" si="380">IF(NOT(ISNUMBER(HS131)),"",IF(HS131&gt;=HT131,"ok",IF(N(DW131)=1,"ok (дифзащита "&amp;IF(CS131&lt;&gt;"",CV131,DV131)&amp;" мА)","мало: Iкз &lt; "&amp;HT131&amp;"·In")))</f>
        <v/>
      </c>
      <c r="HV131">
        <f t="shared" ref="HV131:HV194" si="381">IF(OR(B131="",BH131&lt;&gt;"",BP131=1),0,0.4*N(CI131)+IF(BV131=1,0,0.01*N(P131)))</f>
        <v>1.2980942778615654</v>
      </c>
      <c r="HW131">
        <f t="shared" ref="HW131:HW194" si="382">IF(AND(A132=A131,AJ132&lt;&gt;"вручную",OR(B132="",CF132=1)),IF(B132="",0,N(HV132))+N(HW132),0)</f>
        <v>0</v>
      </c>
      <c r="HX131">
        <f t="shared" ref="HX131:HX194" si="383">IF(BV131=1,N(BU131)+N(EV131),0)</f>
        <v>0</v>
      </c>
      <c r="HY131">
        <f t="shared" ref="HY131:HY194" si="384">IF(BV131=1,(N(BU131)+N(EV131))*N(O131),0)</f>
        <v>0</v>
      </c>
      <c r="HZ131">
        <f t="shared" ref="HZ131:HZ194" si="385">IF(AND(A132=A131,AJ132&lt;&gt;"вручную",OR(B132="",CF132=1)),IF(B132="",0,N(HY132))+N(HZ132),0)</f>
        <v>0</v>
      </c>
      <c r="IA131">
        <f t="shared" ref="IA131:IA194" si="386">IF(AND(A132=A131,AJ132&lt;&gt;"вручную",OR(B132="",CF132=1)),MAX(IF(B132="",0,N(HX132)),N(IA132)),0)</f>
        <v>0</v>
      </c>
      <c r="IB131">
        <f t="shared" ref="IB131:IB194" si="387">IF(AND(A132=A131,AJ132&lt;&gt;"вручную",OR(B132="",CF132=1)),IF(B132="",0,N(BV132))+N(IB132),0)</f>
        <v>0</v>
      </c>
      <c r="IC131" t="str">
        <f t="shared" ref="IC131:IC194" si="388">IF(CG131=0,"",IFERROR(TRIM(MID(DD131,SEARCH("БП",DD131),40)),""))</f>
        <v/>
      </c>
      <c r="ID131" t="str" cm="1">
        <f t="array" ref="ID131">IF(IC131="","",_xlfn.LET(_xlpm.tk,_xlfn.TEXTSPLIT(SUBSTITUTE(SUBSTITUTE(IC131,";"," "),"→"," ")," ",,TRUE),_xlpm.w_,_xlfn._xlws.FILTER(_xlpm.tk,ISNUMBER(--LEFT(_xlpm.tk,1))*((ISNUMBER(SEARCH("W",_xlpm.tk))+ISNUMBER(SEARCH("Вт",_xlpm.tk)))&gt;0),""),IFERROR(--SUBSTITUTE(SUBSTITUTE(UPPER(INDEX(_xlpm.w_,1)),"W",""),"ВТ",""),"")))</f>
        <v/>
      </c>
      <c r="IE131" t="str" cm="1">
        <f t="array" ref="IE131">IF(IC131="","",_xlfn.LET(_xlpm.tk,_xlfn.TEXTSPLIT(SUBSTITUTE(SUBSTITUTE(IC131,";"," "),"→"," ")," ",,TRUE),_xlpm.v_,_xlfn._xlws.FILTER(_xlpm.tk,ISNUMBER(--LEFT(_xlpm.tk,1))*((ISNUMBER(SEARCH("V",_xlpm.tk))+(RIGHT(UPPER(_xlpm.tk))="В"))&gt;0),""),IFERROR(--SUBSTITUTE(SUBSTITUTE(UPPER(INDEX(_xlpm.v_,1)),"V",""),"В",""),"")))</f>
        <v/>
      </c>
      <c r="IF131" s="6" t="str">
        <f>IF(OR(BV131=0,HI131="",HJ131=""),"",IFERROR(N(_xlfn.XLOOKUP(HI131,Каталог!$C$4:$C$500,Каталог!$Q$4:$Q$500)),""))</f>
        <v/>
      </c>
      <c r="IG131" s="6" t="str">
        <f>IF(N(IF131)=0,"",SUMIFS(Линии[Iр, А],Линии[Щит],A131,Линии[_модуль гр.],HH131,Линии[Канал (итог)],HJ131))</f>
        <v/>
      </c>
      <c r="IH131" t="str">
        <f>IF(AND(B131="",HO131=""),"",_xlfn.TEXTJOIN("; ",TRUE,IF(AND(B131&lt;&gt;"",FV131=""),"нет фазы",""),IF(AND(B131&lt;&gt;"",N(GL131)=0,FG131&lt;&gt;"Нет"),"нет мощности",""),IF(AND(HN131&lt;&gt;"",COUNTIFS(Линии[Щит],A131,Линии[Клемма (итог)],HN131)&gt;1),"дубль клеммы "&amp;HN131,""),IF(AND(HQ131&lt;&gt;"",HQ131&lt;&gt;"ok"),HQ131,""),IF(HR131&lt;&gt;"",HR131,""),IF(AND(N(CB131)&gt;=4,N(BX131)=1),CB131&amp;" жил на 1 фазе",""),IF(AND(BC131="R",CG131=1,IF(CS131&lt;&gt;"",N(CV131)&gt;30,OR(N(DA131)=0,N(DA131)&gt;30))),"розетка без дифзащиты до 30 мА",""),IF(AND(CG131=1,N(DA131)&gt;0,ISNUMBER(T131)),IF(T131&gt;N(DA131)/3,"ток утечки "&amp;FIXED(T131,1)&amp;" мА &gt; 1/3 уставки ("&amp;DA131&amp;" мА)",""),""),IF(AND(CH131=1,CS131=""),"«узо»: нет строки с УЗО выше (УЗО 2P 40А 30мА в «Аппаратах»)",""),IF(AND(CS131&lt;&gt;"",CS131=BA131),IF(CT131="","впишите номинал УЗО (УЗО 2P 40А 30мА)",IF(N(CT131)&lt;N(DT131),"УЗО "&amp;CT131&amp;" А &lt; автомата "&amp;DT131&amp;" А перед ним",IF(N(CT131)&lt;N(CX131),"УЗО "&amp;CT131&amp;" А &lt; тока блока "&amp;FIXED(CX131,1)&amp;" А",""))),""),IF(AND(CS131&lt;&gt;"",CS131=BA131,ISNUMBER(CY131)),IF(CY131&gt;N(CV131)/3,"ток утечки блока УЗО "&amp;FIXED(CY131,1)&amp;" мА &gt; 1/3 уставки ("&amp;CV131&amp;" мА)",""),""),IF(AND(CG131=1,N(BV131)+N(IB131)&gt;0,IC131=""),"линии до 50 В без БП: впишите в «Аппараты» (БП 24V 480W)",""),IF(AND(CG131=1,ISNUMBER(ID131),ISNUMBER(U131)),IF(U131&gt;ID131,"БП "&amp;ID131&amp;" Вт &lt; нужно "&amp;U131&amp;" Вт (×"&amp;Запас_БП&amp;")",""),""),IF(AND(CG131=1,ISNUMBER(IE131),N(BV131)=1),IF(IE131&lt;&gt;N(BU131),"БП на "&amp;IE131&amp;" В, линия "&amp;BU131&amp;" В",""),""),IF(AND(N(IF131)&gt;0,N(IG131)&gt;N(IF131)),HH131&amp;" канал "&amp;HJ131&amp;": "&amp;FIXED(IG131,1)&amp;" А &gt; "&amp;IF131&amp;" А",""),IFERROR(IF(AND(ISNUMBER(Q131),Q131&gt;EL131),"потери "&amp;FIXED(Q131,1)&amp;" % &gt; "&amp;EL131&amp;" %",""),""),IFERROR(IF(LEFT(HU131,4)="мало","Iкз мало — отключение &gt; 0,4 с",""),""),IF(AND(B131&lt;&gt;"",BM131=""),"не на схеме",""),IF(AND(CG131=0,B131&lt;&gt;"",FV131&lt;&gt;"",IF(BA131=1,"",FW130)&lt;&gt;"",FV131&lt;&gt;IF(BA131=1,"",FW130)),"фаза не как у автомата группы ("&amp;IF(BA131=1,"",FW130)&amp;")","")))</f>
        <v/>
      </c>
      <c r="II131" s="6" t="str">
        <f>IF(OR(CG131=0,DQ131=""),"",_xlfn.LET(_xlpm.t,IFERROR(_xlfn.XLOOKUP(DQ131,Каталог!$U$4:$U$500,Каталог!$G$4:$G$500),""),_xlpm.k,SEARCH("кА",_xlpm.t),IFERROR(--TRIM(RIGHT(SUBSTITUTE(MID(_xlpm.t,MAX(1,_xlpm.k-4),_xlpm.k-MAX(1,_xlpm.k-4))," ",REPT(" ",9)),5)),"")))</f>
        <v/>
      </c>
      <c r="IJ131" t="str">
        <f>IF(OR(II131="",CG131=0),"",IF(_xlfn.XLOOKUP(A131,Щиты[Щит],Щиты[Iкз max на шинах, кА],"")="","",IF(II131&lt;_xlfn.XLOOKUP(A131,Щиты[Щит],Щиты[Iкз max на шинах, кА]),"Icu "&amp;II131&amp;" кА &lt; Iкз max","ok")))</f>
        <v/>
      </c>
      <c r="IK131" t="str">
        <f t="shared" ref="IK131:IK194" si="389">IF(OR(AND(BA131&gt;1,N(BA130)&lt;&gt;BA131-1),AND(BA132&lt;&gt;"",N(BA132)&lt;&gt;BA131+1)),"строки сдвинуты (вставка или удаление) — нажмите «Починить формулы»","")</f>
        <v/>
      </c>
      <c r="IL131" t="str">
        <f t="shared" ref="IL131:IL194" si="390">IF(OR(AJ131="вручную",BM131="",AND(B131="",HN131="")),"",_xlfn.TEXTJOIN("|",TRUE,GU131,SUBSTITUTE(GV131," → ","|"),IF(HH131&lt;&gt;"",HH131&amp;IF(HJ131&lt;&gt;""," к."&amp;HJ131,""),""),HN131))</f>
        <v>QF1|XT1</v>
      </c>
      <c r="IM131" t="str">
        <f t="shared" ref="IM131:IM194" si="391">IF(IL131="","",IL131&amp;IF(B131&lt;&gt;"","|кабель "&amp;EY131&amp;" → "&amp;BJ131,""))</f>
        <v>QF1|XT1|кабель ВВГнг(А)-LS (3х1,5) → Внутренний блок кондиционирования Технический этаж Пом. №001Т</v>
      </c>
      <c r="IN131" t="str" cm="1">
        <f t="array" ref="IN131">IF(IM131="","",_xlfn.LET(_xlpm.nd,_xlfn.TEXTSPLIT(IM131,"|"),IF(COLUMNS(_xlpm.nd)&gt;1,A131&amp;"¦"&amp;INDEX(_xlpm.nd,1)&amp;"¦"&amp;INDEX(_xlpm.nd,2),"")))</f>
        <v>ЩОВ-2¦QF1¦XT1</v>
      </c>
      <c r="IO131" t="str">
        <f t="shared" ref="IO131:IO194" si="392">IF(IN131="","",B131&amp;"¦"&amp;BJ131)</f>
        <v>K.1.001A.1¦Внутренний блок кондиционирования Технический этаж Пом. №001Т</v>
      </c>
      <c r="IP131" t="str" cm="1">
        <f t="array" ref="IP131">IF(IM131="","",_xlfn.LET(_xlpm.nd,_xlfn.TEXTSPLIT(IM131,"|"),IF(COLUMNS(_xlpm.nd)&gt;2,A131&amp;"¦"&amp;INDEX(_xlpm.nd,2)&amp;"¦"&amp;INDEX(_xlpm.nd,3),"")))</f>
        <v>ЩОВ-2¦XT1¦кабель ВВГнг(А)-LS (3х1,5) → Внутренний блок кондиционирования Технический этаж Пом. №001Т</v>
      </c>
      <c r="IQ131" t="str">
        <f t="shared" ref="IQ131:IQ194" si="393">IF(IP131="","",B131&amp;"¦"&amp;BJ131)</f>
        <v>K.1.001A.1¦Внутренний блок кондиционирования Технический этаж Пом. №001Т</v>
      </c>
      <c r="IR131" t="str" cm="1">
        <f t="array" ref="IR131">IF(IM131="","",_xlfn.LET(_xlpm.nd,_xlfn.TEXTSPLIT(IM131,"|"),IF(COLUMNS(_xlpm.nd)&gt;3,A131&amp;"¦"&amp;INDEX(_xlpm.nd,3)&amp;"¦"&amp;INDEX(_xlpm.nd,4),"")))</f>
        <v/>
      </c>
      <c r="IS131" t="str">
        <f t="shared" ref="IS131:IS194" si="394">IF(IR131="","",B131&amp;"¦"&amp;BJ131)</f>
        <v/>
      </c>
      <c r="IT131" t="str" cm="1">
        <f t="array" ref="IT131">IF(IM131="","",_xlfn.LET(_xlpm.nd,_xlfn.TEXTSPLIT(IM131,"|"),IF(COLUMNS(_xlpm.nd)&gt;4,A131&amp;"¦"&amp;INDEX(_xlpm.nd,4)&amp;"¦"&amp;INDEX(_xlpm.nd,5),"")))</f>
        <v/>
      </c>
      <c r="IU131" t="str">
        <f t="shared" ref="IU131:IU194" si="395">IF(IT131="","",B131&amp;"¦"&amp;BJ131)</f>
        <v/>
      </c>
      <c r="IV131" t="str" cm="1">
        <f t="array" ref="IV131">IF(IM131="","",_xlfn.LET(_xlpm.nd,_xlfn.TEXTSPLIT(IM131,"|"),IF(COLUMNS(_xlpm.nd)&gt;5,A131&amp;"¦"&amp;INDEX(_xlpm.nd,5)&amp;"¦"&amp;INDEX(_xlpm.nd,6),"")))</f>
        <v/>
      </c>
      <c r="IW131" t="str">
        <f t="shared" ref="IW131:IW194" si="396">IF(IV131="","",B131&amp;"¦"&amp;BJ131)</f>
        <v/>
      </c>
      <c r="IX131" t="str" cm="1">
        <f t="array" ref="IX131">IF(IM131="","",_xlfn.LET(_xlpm.nd,_xlfn.TEXTSPLIT(IM131,"|"),IF(COLUMNS(_xlpm.nd)&gt;6,A131&amp;"¦"&amp;INDEX(_xlpm.nd,6)&amp;"¦"&amp;INDEX(_xlpm.nd,7),"")))</f>
        <v/>
      </c>
      <c r="IY131" t="str">
        <f t="shared" ref="IY131:IY194" si="397">IF(IX131="","",B131&amp;"¦"&amp;BJ131)</f>
        <v/>
      </c>
      <c r="IZ131" t="str">
        <f t="shared" ref="IZ131:IZ194" si="398">IF(HP131="","",HI131)</f>
        <v/>
      </c>
      <c r="JA131" t="str">
        <f t="shared" ref="JA131:JA194" si="399">IF(AND(B131="",HJ131="",HN131=""),"",_xlfn.TEXTJOIN(" → ",TRUE,GU131,GV131,IF(HH131&lt;&gt;"",HH131&amp;IF(HJ131&lt;&gt;""," к."&amp;HJ131,""),IF(HJ131&lt;&gt;"","к."&amp;HJ131,"")),HN131,IF(GO131=1,"(в кабель выше)","")))</f>
        <v>QF1 → XT1</v>
      </c>
      <c r="JB131">
        <f t="shared" ref="JB131:JB194" si="400">IF(AF131="",0,1)</f>
        <v>0</v>
      </c>
      <c r="JC131">
        <f t="shared" ref="JC131:JC194" si="401">IF(GT131="",0,IF(LEFT(GT131,3)="QFD",1,0))</f>
        <v>0</v>
      </c>
      <c r="JD131" t="str">
        <f t="shared" ref="JD131:JD194" si="402">IF(AL131="=","=",IF(AL131="+","+",IF(AL131="р","R","")))</f>
        <v/>
      </c>
      <c r="JE131" t="str">
        <f t="shared" ref="JE131:JE194" si="403">IF(DE131="","",IF(OR(LEFT(DE131,1)="T",LEFT(DE131,1)="Т"),"T",IF(LEFT(UPPER(DE131),2)="БП","PS",IF(OR(LEFT(UPPER(DE131),2)="МК",LEFT(UPPER(DE131),2)="MK"),"MK",IF(OR(LEFT(UPPER(DE131),2)="КМ",LEFT(UPPER(DE131),2)="KM"),"KM","X")))))</f>
        <v/>
      </c>
      <c r="JF131" t="str">
        <f t="shared" ref="JF131:JF194" si="404">IF(DF131="","",IF(OR(LEFT(DF131,1)="T",LEFT(DF131,1)="Т"),"T",IF(LEFT(UPPER(DF131),2)="БП","PS",IF(OR(LEFT(UPPER(DF131),2)="МК",LEFT(UPPER(DF131),2)="MK"),"MK",IF(OR(LEFT(UPPER(DF131),2)="КМ",LEFT(UPPER(DF131),2)="KM"),"KM","X")))))</f>
        <v/>
      </c>
      <c r="JG131" t="str">
        <f t="shared" ref="JG131:JG194" si="405">IF(DG131="","",IF(OR(LEFT(DG131,1)="T",LEFT(DG131,1)="Т"),"T",IF(LEFT(UPPER(DG131),2)="БП","PS",IF(OR(LEFT(UPPER(DG131),2)="МК",LEFT(UPPER(DG131),2)="MK"),"MK",IF(OR(LEFT(UPPER(DG131),2)="КМ",LEFT(UPPER(DG131),2)="KM"),"KM","X")))))</f>
        <v/>
      </c>
      <c r="JH131">
        <f>IF(B131="","",IFERROR(_xlfn.XLOOKUP(B131,Коды_код,Коды_уго),IFERROR(_xlfn.XLOOKUP(BC131,Коды_код,Коды_уго),IFERROR(_xlfn.XLOOKUP(LEFT(BC131,2),Коды_код,Коды_уго),""))))</f>
        <v>0</v>
      </c>
      <c r="JI131" t="str">
        <f>IF(B131="","",IF(OR(JH131="",JH131=0),"BOX",IFERROR(IF(VLOOKUP(JH131,УГО_блоки,3,FALSE)&amp;""&lt;&gt;"",VLOOKUP(JH131,УГО_блоки,3,FALSE),VLOOKUP(JH131,УГО_блоки,2,FALSE)),JH131)))</f>
        <v>BOX</v>
      </c>
      <c r="JJ131">
        <f t="shared" ref="JJ131:JJ194" si="406">IF(B131="",0,1)</f>
        <v>1</v>
      </c>
      <c r="JK131" t="str">
        <f>IF(DQ131="","",IF(COUNTIF(DQ$3:DQ131,DQ131)=1,MAX(JK$2:JK130)+1,""))</f>
        <v/>
      </c>
      <c r="JL131" t="str">
        <f>IF(DE131="","",IF(COUNTIF(DE$3:DE131,DE131)+COUNTIF(DF$2:DF130,DE131)+COUNTIF(DG$2:DG130,DE131)=1,MAX(JL$2:JN130)+1,""))</f>
        <v/>
      </c>
      <c r="JM131" t="str">
        <f>IF(DF131="","",IF(COUNTIF(DE$3:DE131,DF131)+COUNTIF(DF$3:DF131,DF131)+COUNTIF(DG$2:DG130,DF131)=1,MAX(JL$2:JN130,JL131)+1,""))</f>
        <v/>
      </c>
      <c r="JN131" t="str">
        <f>IF(DG131="","",IF(COUNTIF(DE$3:DE131,DG131)+COUNTIF(DF$3:DF131,DG131)+COUNTIF(DG$3:DG131,DG131)=1,MAX(JL$2:JN130,JL131,JM131)+1,""))</f>
        <v/>
      </c>
      <c r="JO131" t="str">
        <f t="shared" ref="JO131:JO194" si="407">IF(HL131=1,IFERROR(MID(GK131,FIND(" (",GK131)+2,FIND(")",GK131,FIND(" (",GK131))-FIND(" (",GK131)-2),"?"),"")</f>
        <v>3х1,5</v>
      </c>
      <c r="JP131" t="str">
        <f>IF(JO131="","",IF(COUNTIF(JO$3:JO131,JO131)=1,MAX(JP$2:JP130)+1,""))</f>
        <v/>
      </c>
      <c r="JQ131" t="str">
        <f>IF(HG131="","",COUNTIF(HG$3:HG131,"?*"))</f>
        <v/>
      </c>
      <c r="JR131" t="str">
        <f>IF(OR(HG131="",HI131=""),"",IF(COUNTIFS(HG$3:HG131,"?*",HI$3:HI131,HI131)=1,MAX(JR$2:JR130)+1,""))</f>
        <v/>
      </c>
      <c r="JS131">
        <f t="shared" ref="JS131:JS194" si="408">IF(IH131="",0,IF(OR(ISNUMBER(SEARCH("дубль",IH131)),ISNUMBER(SEARCH("ПЕРЕГРУЗ",IH131)),ISNUMBER(SEARCH("ЗАЩИЩ",IH131)),ISNUMBER(SEARCH("КАНАЛ",IH131)),ISNUMBER(SEARCH("без диф",IH131))),2,1))</f>
        <v>0</v>
      </c>
      <c r="JT131">
        <f>IF(B131="","",COUNTIF(B$3:B131,"?*"))</f>
        <v>129</v>
      </c>
      <c r="JU131">
        <f>IF(HL131&lt;&gt;1,0,_xlfn.LET(_xlpm.k,MAX(IFERROR(--_xlfn.XLOOKUP(B131,Коды_код,Коды_3L),0),IFERROR(--_xlfn.XLOOKUP(BC131,Коды_код,Коды_3L),0),IFERROR(--_xlfn.XLOOKUP(LEFT(BC131,2),Коды_код,Коды_3L),0)),IF(_xlpm.k&gt;0,_xlpm.k,IF(IFERROR(--LEFT(SUBSTITUTE(JO131,"x","х"),FIND("х",SUBSTITUTE(JO131,"x","х"))-1),3)&gt;3,Каталог!$S$9,1))))</f>
        <v>1</v>
      </c>
      <c r="JV131">
        <f t="shared" ref="JV131:JV194" si="409">IF(HL131&lt;&gt;1,0,MAX(0,IFERROR(--LEFT(SUBSTITUTE(JO131,"x","х"),FIND("х",SUBSTITUTE(JO131,"x","х"))-1),3)-3*JU131))</f>
        <v>0</v>
      </c>
      <c r="JW131" t="str">
        <f t="shared" ref="JW131:JW194" si="410">IF(CG131=1,"авто","")</f>
        <v>авто</v>
      </c>
      <c r="JX131" t="str">
        <f t="shared" ref="JX131:JX194" si="411">IF(CG131=1,IF(N(DA131)&gt;0,DA131,""),"")</f>
        <v/>
      </c>
      <c r="JY131">
        <f t="shared" ref="JY131:JY194" si="412">IF(CG131=1,IF(N(DA131)&gt;0,1,0),"")</f>
        <v>0</v>
      </c>
      <c r="JZ131">
        <f t="shared" ref="JZ131:JZ194" si="413">SUBTOTAL(103,A131)</f>
        <v>1</v>
      </c>
    </row>
    <row r="132" spans="1:286" x14ac:dyDescent="0.3">
      <c r="A132" t="s">
        <v>751</v>
      </c>
      <c r="B132" t="s">
        <v>1441</v>
      </c>
      <c r="C132" t="s">
        <v>1684</v>
      </c>
      <c r="D132">
        <v>1</v>
      </c>
      <c r="E132">
        <v>0.46100000000000002</v>
      </c>
      <c r="G132" t="str">
        <f>Линии[[#This Row],[_авто автомат]]</f>
        <v>1P С6А</v>
      </c>
      <c r="H132" t="str">
        <f>Линии[[#This Row],[_авто управление]]</f>
        <v/>
      </c>
      <c r="I132" t="str">
        <f>Линии[[#This Row],[_авто аппараты]]</f>
        <v/>
      </c>
      <c r="J132">
        <v>1.5</v>
      </c>
      <c r="K132">
        <v>20</v>
      </c>
      <c r="L132" t="str">
        <f>Линии[[#This Row],[_авто фаза]]</f>
        <v>L1</v>
      </c>
      <c r="M132" t="str">
        <f>Линии[[#This Row],[_авто клемма]]</f>
        <v>XT2</v>
      </c>
      <c r="N132" t="str">
        <f t="shared" si="276"/>
        <v/>
      </c>
      <c r="O132" s="6" cm="1">
        <f t="array" ref="O132">IF(B132="","",IF(BH132&lt;&gt;"",IFERROR(_xlfn.XLOOKUP(BH132,Щиты[Щит],Щиты[Iр, А]),""),IF(BP132=1,IF(OR(N(_xlfn.XLOOKUP(A132,Щиты[Щит],Щиты[Вводов],1))&lt;=1,LOWER(TRIM(_xlfn.XLOOKUP(A132,Щиты[Щит],Щиты[АВР],"")&amp;""))="да"),IFERROR(_xlfn.XLOOKUP(A132,Щиты[Щит],Щиты[Iр, А]),""),IFERROR(N(BS132)*_xlfn.XLOOKUP(A132,Щиты[Щит],Щиты[Кс итог])/(SQRT(3)*Uн_лин*_xlfn.XLOOKUP(A132,Щиты[Щит],Щиты[cos φ])),"")),IF(BV132=1,IFERROR(BS132*1000/BU132,""),IFERROR(_xlfn.IFS(BX132=1,BS132/((Uн_лин/SQRT(3))*CE132),BX132=3,BS132/(SQRT(3)*Uн_лин*CE132)),"")))))</f>
        <v>2.4952356946539136</v>
      </c>
      <c r="P132" s="7">
        <f>IF(B132="","",IFERROR(IF(VLOOKUP(BC132,Потребители_обозначение,4,FALSE)=1,VLOOKUP(BC132,Потребители_обозначение,3,FALSE)*(MAX(1,N(D132))*2-1)+EI132+VLOOKUP(BE132,Этаж_обозначение,3,FALSE)+VLOOKUP(BE132,Этаж_обозначение,4,FALSE),VLOOKUP(BC132,Потребители_обозначение,3,FALSE)*(MAX(1,N(D132))*2-1)+EI132),EI132))</f>
        <v>22</v>
      </c>
      <c r="Q132" s="6">
        <f t="shared" si="277"/>
        <v>1.7199999999999998</v>
      </c>
      <c r="R132" t="str">
        <f t="shared" si="278"/>
        <v>ВВГнг(А)-LS (3х1,5)</v>
      </c>
      <c r="S132" t="str">
        <f>IF(BM132="","",IF(BN132="вводной узел","узел ","")&amp;"л."&amp;(INT((BM132-1)/Столбцов_на_лист)+1)&amp;" / "&amp;(MOD(BM132-1,Столбцов_на_лист)+1))</f>
        <v>л.1 / 14</v>
      </c>
      <c r="T132" s="119">
        <f t="shared" si="279"/>
        <v>1.2</v>
      </c>
      <c r="U132" s="7" t="str">
        <f>IF(OR(CG132=0,N(BV132)+N(IB132)=0),"",ROUNDUP(Запас_БП*(N(HY132)+N(HZ132)),0))</f>
        <v/>
      </c>
      <c r="V132" s="119" t="str">
        <f t="shared" si="280"/>
        <v/>
      </c>
      <c r="W132" s="7" t="str">
        <f>IFERROR(IF(OR(B132="",BP132=1,BV132=1,NOT(ISNUMBER(EN132)),N(DT132)=0),"",MAX(0,ROUNDDOWN((c_min*(Uн_лин*1000/SQRT(3))/(HT132*N(DT132))-_xlfn.XLOOKUP(A132,Щиты[Щит],Щиты[Zпетли на шинах, Ом]))*EN132/(2*ρкз_Cu),0))),"")</f>
        <v/>
      </c>
      <c r="Y132" t="str">
        <f>Линии[[#This Row],[_авто утечка]]</f>
        <v/>
      </c>
      <c r="Z132">
        <v>1</v>
      </c>
      <c r="AA132">
        <v>230</v>
      </c>
      <c r="AB132" t="s">
        <v>598</v>
      </c>
      <c r="AC132">
        <v>0.5</v>
      </c>
      <c r="AG132" t="s">
        <v>810</v>
      </c>
      <c r="AI132" t="s">
        <v>576</v>
      </c>
      <c r="AK132" t="str">
        <f>Линии[[#This Row],[_авто модуль]]</f>
        <v/>
      </c>
      <c r="AM132">
        <v>14</v>
      </c>
      <c r="AN132" t="s">
        <v>11</v>
      </c>
      <c r="AO132">
        <v>3</v>
      </c>
      <c r="AQ132">
        <v>4</v>
      </c>
      <c r="AR132">
        <v>18</v>
      </c>
      <c r="AT132">
        <v>1</v>
      </c>
      <c r="BA132" cm="1">
        <f t="array" ref="BA132">ROW()-ROW(Линии[#Headers])</f>
        <v>130</v>
      </c>
      <c r="BC132" s="6" t="str">
        <f t="shared" si="281"/>
        <v>K</v>
      </c>
      <c r="BD132" t="str">
        <f t="shared" si="282"/>
        <v>1.001A.2</v>
      </c>
      <c r="BE132" t="str">
        <f t="shared" si="283"/>
        <v>1</v>
      </c>
      <c r="BF132" t="str">
        <f t="shared" si="284"/>
        <v>001A.2</v>
      </c>
      <c r="BG132" t="str">
        <f t="shared" si="285"/>
        <v>001A</v>
      </c>
      <c r="BH132" t="str">
        <f>IF(X132&lt;&gt;"",X132,IF(AND(B132&lt;&gt;"",B132&lt;&gt;A132,ISNUMBER(_xlfn.XMATCH(B132,Щиты[Щит]))),B132,""))</f>
        <v/>
      </c>
      <c r="BI132" t="str" cm="1">
        <f t="array" ref="BI132">IF(B132="","",IF(BH132&lt;&gt;"","Щит "&amp;BH132,_xlfn.LET(_xlpm.nm,IFERROR(_xlfn.XLOOKUP(BC132,Коды_код,Коды_имя)&amp;"",""),_xlpm.md,IFERROR(N(_xlfn.XLOOKUP(BC132,Коды_код,Коды_режим)),1),_xlpm.ex,IF(Имя_режим="по экспликации",IFERROR(_xlfn.XLOOKUP(BE132&amp;"|"&amp;BG132,Экспликация[Этаж]&amp;"|"&amp;Экспликация[Помещение],Экспликация[Название])&amp;"",""),""),_xlpm.rm,IF(BG132="","",IF(_xlpm.ex&lt;&gt;"",". "&amp;_xlpm.ex&amp;IF(Имя_пом="нет"," ("&amp;BG132&amp;")"," (пом. "&amp;BG132&amp;")"),IF(Имя_пом="нет"," ",", пом. ")&amp;BG132)),IF(_xlpm.nm="","",IF(_xlpm.md=2,_xlpm.nm&amp;" шлейф "&amp;BE132,_xlpm.nm&amp;_xlpm.rm)))))</f>
        <v>Внутренний блок кондиционирования, пом. 001A</v>
      </c>
      <c r="BJ132" t="str">
        <f t="shared" si="286"/>
        <v>Внутренний блок кондиционирования Технический этаж Пом. №001Т</v>
      </c>
      <c r="BK132">
        <f>IFERROR(_xlfn.XMATCH(A132,Щиты[Щит]),0)</f>
        <v>7</v>
      </c>
      <c r="BL132">
        <f>_xlfn.LET(_xlpm.k,IFERROR(_xlfn.XLOOKUP(A132,Щиты[Щит],Щиты[Мест под вводной узел]),""),IF(_xlpm.k="",Столбцов_на_лист,N(_xlpm.k)))</f>
        <v>12</v>
      </c>
      <c r="BM132">
        <f t="shared" si="287"/>
        <v>14</v>
      </c>
      <c r="BN132" t="str">
        <f t="shared" si="288"/>
        <v>линии</v>
      </c>
      <c r="BO132" s="6">
        <f>IFERROR(N(_xlfn.XLOOKUP(BC132,Коды_код,Коды_квт)),0)</f>
        <v>0</v>
      </c>
      <c r="BP132">
        <f t="shared" si="289"/>
        <v>0</v>
      </c>
      <c r="BQ132" t="str">
        <f>IF(B132="","",IF(BH132&lt;&gt;"",IFERROR(_xlfn.XLOOKUP(BH132,Щиты[Щит],Щиты[Руст, кВт]),0),IF(BP132=1,IF(OR(N(_xlfn.XLOOKUP(A132,Щиты[Щит],Щиты[Вводов],1))&lt;=1,LOWER(TRIM(_xlfn.XLOOKUP(A132,Щиты[Щит],Щиты[АВР],"")&amp;""))="да"),IFERROR(_xlfn.XLOOKUP(A132,Щиты[Щит],Щиты[Руст, кВт]),0),SUMIFS(Линии[_Р для вводов],Линии[Щит],A132,Линии[Источник для режимов],GF132)),IF(BO132&gt;0,ROUND(BO132*MAX(1,N(D132)),3),""))))</f>
        <v/>
      </c>
      <c r="BR132">
        <f t="shared" si="290"/>
        <v>0.46100000000000002</v>
      </c>
      <c r="BS132" s="6">
        <f>IF(B132="","",IF(BH132&lt;&gt;"",IFERROR(_xlfn.XLOOKUP(BH132,Щиты[Щит],Щиты[Руст, кВт]),0),N(BR132)))</f>
        <v>0.46100000000000002</v>
      </c>
      <c r="BT132" t="str">
        <f>IF(B132="","",IFERROR(IF(VLOOKUP(BC132,Потребители_обозначение,8,FALSE)=0,"",VLOOKUP(BC132,Потребители_обозначение,8,FALSE)),""))</f>
        <v/>
      </c>
      <c r="BU132">
        <f t="shared" si="291"/>
        <v>230</v>
      </c>
      <c r="BV132">
        <f t="shared" si="292"/>
        <v>0</v>
      </c>
      <c r="BW132">
        <f>IF(B132="","",IF(BH132&lt;&gt;"",3,IFERROR(IF(N(VLOOKUP(BC132,Потребители_обозначение,9,FALSE))=0,1,VLOOKUP(BC132,Потребители_обозначение,9,FALSE)),1)))</f>
        <v>1</v>
      </c>
      <c r="BX132">
        <f t="shared" si="293"/>
        <v>1</v>
      </c>
      <c r="BY132" t="str">
        <f>IF(B132="","",_xlfn.LET(_xlpm.bc,IFERROR(IF(VLOOKUP(BC132,Потребители_обозначение,6,FALSE)=0,"",VLOOKUP(BC132,Потребители_обозначение,6,FALSE)&amp;""),""),IF(AND(GA132="да",OR(_xlpm.bc="",_xlpm.bc="мс")),Марка_пож,IF(AND(_xlpm.bc="",BH132&lt;&gt;""),"мс",_xlpm.bc))))</f>
        <v/>
      </c>
      <c r="BZ132" t="str">
        <f t="shared" si="294"/>
        <v>мс</v>
      </c>
      <c r="CA132">
        <f>IF(B132="","",_xlfn.LET(_xlpm.cc,IFERROR(N(VLOOKUP(BC132,Потребители_обозначение,7,FALSE)),0),IF(_xlpm.cc&gt;0,_xlpm.cc,IF(BZ132="","",IF(BV132=1,2,IF(N(BX132)=3,5,3))))))</f>
        <v>3</v>
      </c>
      <c r="CB132">
        <f t="shared" si="295"/>
        <v>3</v>
      </c>
      <c r="CC132">
        <f>IFERROR(N(VLOOKUP(BC132,Потребители_обозначение,10,FALSE)),0)</f>
        <v>0</v>
      </c>
      <c r="CD132">
        <f>IFERROR(VLOOKUP(BC132,Потребители_обозначение,5,FALSE),0)</f>
        <v>1</v>
      </c>
      <c r="CE132" s="6" cm="1">
        <f t="array" ref="CE132">IF(B132="","",IF(BH132&lt;&gt;"",IFERROR(_xlfn.XLOOKUP(BH132,Щиты[Щит],Щиты[cos φ]),0.95),IF(BP132=1,IFERROR(_xlfn.XLOOKUP(A132,Щиты[Щит],Щиты[cos φ]),0.95),IF(ISNUMBER(AD132),AD132,IFERROR(IF(CD132=2,_xlfn.IFS(BX132=3,VLOOKUP(BS132,Справочная_двигатели,8,FALSE),BX132=1,VLOOKUP(BS132,Справочная_двигатели,10,TRUE)),IF(AND(Методика="нормы 2026",FG132="Сил"),0.8,0.95)),0.95)))))</f>
        <v>0.8</v>
      </c>
      <c r="CF132">
        <f t="shared" si="296"/>
        <v>0</v>
      </c>
      <c r="CG132">
        <f t="shared" si="297"/>
        <v>1</v>
      </c>
      <c r="CH132">
        <f t="shared" si="298"/>
        <v>0</v>
      </c>
      <c r="CI132">
        <f>IF(B132="","",IF(BV132=1,IFERROR(BS132/((Uн_лин/SQRT(3))*MAX(0.5,N(CE132))),0),N(O132)))</f>
        <v>2.4952356946539136</v>
      </c>
      <c r="CJ132">
        <f t="shared" si="299"/>
        <v>0</v>
      </c>
      <c r="CK132">
        <f t="shared" si="300"/>
        <v>0</v>
      </c>
      <c r="CL132">
        <f t="shared" si="301"/>
        <v>0</v>
      </c>
      <c r="CM132">
        <f t="shared" si="302"/>
        <v>0</v>
      </c>
      <c r="CN132">
        <f t="shared" si="303"/>
        <v>0</v>
      </c>
      <c r="CO132">
        <f>IF(BC132="",0,_xlfn.LET(_xlpm.v,IFERROR(_xlfn.XLOOKUP(B132,Коды_код,Коды_мА),IFERROR(_xlfn.XLOOKUP(BC132,Коды_код,Коды_мА),IFERROR(_xlfn.XLOOKUP(LEFT(BC132,2),Коды_код,Коды_мА),""))),IF(_xlpm.v="да",30,IF(ISNUMBER(_xlpm.v),_xlpm.v,0))))</f>
        <v>0</v>
      </c>
      <c r="CP132" t="str">
        <f t="shared" si="304"/>
        <v/>
      </c>
      <c r="CQ132" t="str">
        <f>_xlfn.LET(_xlpm.k,IFERROR(_xlfn.XLOOKUP(BC132,Коды_код,Коды_утечка)&amp;"",""),IF(_xlpm.k="","дифавтомат",_xlpm.k))</f>
        <v>дифавтомат</v>
      </c>
      <c r="CR132" t="str" cm="1">
        <f t="array" ref="CR132">IF(CG132=0,"",_xlfn.LET(_xlpm.sg,TRIM(_xlfn.TEXTSPLIT(DD132&amp;"",";")),_xlpm.f_,_xlfn._xlws.FILTER(_xlpm.sg,LEFT(_xlpm.sg,3)="УЗО",""),IFERROR(INDEX(_xlpm.f_,1)&amp;"","")))</f>
        <v/>
      </c>
      <c r="CS132" t="str">
        <f t="shared" si="305"/>
        <v/>
      </c>
      <c r="CT132" s="6" t="str" cm="1">
        <f t="array" ref="CT132">IF(CR132="","",_xlfn.LET(_xlpm.tk,_xlfn.TEXTSPLIT(UPPER(CR132)," ",,TRUE),_xlpm.a_,_xlfn._xlws.FILTER(_xlpm.tk,ISNUMBER(--LEFT(_xlpm.tk,1))*((ISNUMBER(SEARCH("А",_xlpm.tk))+ISNUMBER(SEARCH("A",_xlpm.tk)))&gt;0)*NOT(ISNUMBER(SEARCH("МА",_xlpm.tk)))*NOT(ISNUMBER(SEARCH("MA",_xlpm.tk))),""),IFERROR(--SUBSTITUTE(SUBSTITUTE(INDEX(_xlpm.a_,1),"А",""),"A",""),"")))</f>
        <v/>
      </c>
      <c r="CU132" t="str" cm="1">
        <f t="array" ref="CU132">IF(CR132="","",_xlfn.LET(_xlpm.tk,_xlfn.TEXTSPLIT(UPPER(CR132)," ",,TRUE),_xlpm.a_,_xlfn._xlws.FILTER(_xlpm.tk,ISNUMBER(--LEFT(_xlpm.tk,1))*((ISNUMBER(SEARCH("МА",_xlpm.tk))+ISNUMBER(SEARCH("MA",_xlpm.tk)))&gt;0),""),IFERROR(--SUBSTITUTE(SUBSTITUTE(INDEX(_xlpm.a_,1),"МА",""),"MA",""),30)))</f>
        <v/>
      </c>
      <c r="CV132" t="str">
        <f>IF(CS132="","",IFERROR(_xlfn.XLOOKUP(CS132,Линии[_n],Линии[_УЗО, мА]),30))</f>
        <v/>
      </c>
      <c r="CW132">
        <f>IF(CS132="",0,IF(ISNUMBER(SEARCH("4P",IFERROR(_xlfn.XLOOKUP(CS132,Линии[_n],Линии[_УЗО строки])&amp;"",""))),0,1))</f>
        <v>0</v>
      </c>
      <c r="CX132" t="str">
        <f>IF(AND(CS132&lt;&gt;"",CS132=BA132),SUMIFS(Линии[_ток на 230 В],Линии[_блок УЗО],BA132,Линии[Щит],A132),"")</f>
        <v/>
      </c>
      <c r="CY132" t="str">
        <f>IF(AND(CS132&lt;&gt;"",CS132=BA132),SUMIFS(Линии[_ток утечки линии, мА],Линии[_блок УЗО],BA132,Линии[Щит],A132),"")</f>
        <v/>
      </c>
      <c r="CZ132">
        <f t="shared" si="306"/>
        <v>0</v>
      </c>
      <c r="DA132">
        <f t="shared" si="307"/>
        <v>0</v>
      </c>
      <c r="DB132">
        <f>IF(B132="",0,IFERROR(--_xlfn.XLOOKUP(B132,Коды_код,Коды_минавт),IFERROR(--_xlfn.XLOOKUP(BC132,Коды_код,Коды_минавт),IFERROR(--_xlfn.XLOOKUP(LEFT(BC132,2),Коды_код,Коды_минавт),0))))</f>
        <v>0</v>
      </c>
      <c r="DC132" t="str">
        <f>IF(B132="","",IFERROR(_xlfn.XLOOKUP(BC132,Коды_код,Коды_апп)&amp;"",""))</f>
        <v/>
      </c>
      <c r="DD132" t="str">
        <f t="shared" si="308"/>
        <v/>
      </c>
      <c r="DE132" t="str" cm="1">
        <f t="array" ref="DE132">IF(TRIM(DD132&amp;"")="","",IFERROR(TRIM(INDEX(_xlfn.TEXTSPLIT(DD132&amp;";;;",";"),1)),""))</f>
        <v/>
      </c>
      <c r="DF132" t="str" cm="1">
        <f t="array" ref="DF132">IF(TRIM(DD132&amp;"")="","",IFERROR(TRIM(INDEX(_xlfn.TEXTSPLIT(DD132&amp;";;;",";"),2)),""))</f>
        <v/>
      </c>
      <c r="DG132" t="str" cm="1">
        <f t="array" ref="DG132">IF(TRIM(DD132&amp;"")="","",IFERROR(TRIM(INDEX(_xlfn.TEXTSPLIT(DD132&amp;";;;",";"),3)),""))</f>
        <v/>
      </c>
      <c r="DH132">
        <f t="shared" si="309"/>
        <v>0</v>
      </c>
      <c r="DI132" t="str">
        <f>IF(B132="","",_xlfn.LET(_xlpm.t,LOWER(AZ132&amp;""),IF(ISNUMBER(SEARCH("dim",_xlpm.t)),"DIM",IF(ISNUMBER(SEARCH("dali",_xlpm.t)),"DALI",IF(OR(ISNUMBER(SEARCH("relay",_xlpm.t)),ISNUMBER(SEARCH("реле",_xlpm.t))),"Relay",IF(ISNUMBER(SEARCH("кнопк",_xlpm.t)),"",IFERROR(_xlfn.XLOOKUP(BC132,Коды_код,Коды_упр)&amp;"","")))))))</f>
        <v/>
      </c>
      <c r="DJ132" t="str">
        <f t="shared" si="310"/>
        <v/>
      </c>
      <c r="DK132">
        <f>IF(B132="","",_xlfn.LET(_xlpm.ig,IF(N(CX132)&gt;0,N(CX132),N(CI132)+IF(AJ132="вручную",0,N(CJ132))),_xlpm.n0,IFERROR(VLOOKUP(_xlpm.ig,Автомат_номиналы,2,TRUE),0),_xlpm.mn,MAX(DB132,IF(AJ132="вручную",0,N(CM132))),MAX(_xlpm.n0,_xlpm.mn,IF(DH132=1,Мин_автомат_БП,0))))</f>
        <v>6</v>
      </c>
      <c r="DL132">
        <f t="shared" si="311"/>
        <v>1</v>
      </c>
      <c r="DM132" t="str">
        <f t="shared" si="312"/>
        <v>1P</v>
      </c>
      <c r="DN132" t="str">
        <f>_xlfn.LET(_xlpm.cc,UPPER(TRIM(IFERROR(_xlfn.XLOOKUP(BC132,Коды_код,Коды_хар)&amp;"",""))),IF(OR(_xlpm.cc="B",_xlpm.cc="В"),"B",IF(_xlpm.cc="D","D","С")))</f>
        <v>С</v>
      </c>
      <c r="DO132" t="str">
        <f t="shared" si="313"/>
        <v>1P С6А</v>
      </c>
      <c r="DP132" t="str">
        <f t="shared" si="314"/>
        <v>1P С6А</v>
      </c>
      <c r="DQ132" t="str">
        <f t="shared" si="315"/>
        <v>1P С6А</v>
      </c>
      <c r="DR132" cm="1">
        <f t="array" ref="DR132">IF(DQ132="","",_xlfn.LET(_xlpm.t,SUBSTITUTE(SUBSTITUTE(SUBSTITUTE(UPPER(DQ132),"С","C"),"А","A"),"В","B"),_xlpm.tk,_xlfn.TEXTSPLIT(_xlpm.t," "),_xlpm.f,_xlfn._xlws.FILTER(_xlpm.tk,ISNUMBER(--MID(_xlpm.tk,2,1))*ISNUMBER(SEARCH(LEFT(_xlpm.tk,1)&amp;"#","B#C#D#"))*(LEN(_xlpm.tk)&gt;1),""),_xlpm.x,INDEX(_xlpm.f,1),IFERROR(--SUBSTITUTE(MID(_xlpm.x,2,9),"A",""),IFERROR(--SUBSTITUTE(INDEX(_xlfn._xlws.FILTER(_xlpm.tk,ISNUMBER(--SUBSTITUTE(_xlpm.tk,"A","")),""),1),"A",""),""))))</f>
        <v>6</v>
      </c>
      <c r="DS132" t="str">
        <f t="shared" si="316"/>
        <v>ok</v>
      </c>
      <c r="DT132">
        <f t="shared" si="317"/>
        <v>6</v>
      </c>
      <c r="DU132" t="str">
        <f t="shared" si="318"/>
        <v>1P С6А</v>
      </c>
      <c r="DV132">
        <f t="shared" si="319"/>
        <v>0</v>
      </c>
      <c r="DW132">
        <f t="shared" si="320"/>
        <v>0</v>
      </c>
      <c r="DX132">
        <f t="shared" si="321"/>
        <v>0</v>
      </c>
      <c r="DY132">
        <f t="shared" si="322"/>
        <v>2.4952356946539136</v>
      </c>
      <c r="DZ132">
        <f t="shared" si="323"/>
        <v>1</v>
      </c>
      <c r="EA132">
        <f>IF(ISNUMBER(AP132),AP132,К_прокл)</f>
        <v>1</v>
      </c>
      <c r="EB132">
        <f t="shared" si="324"/>
        <v>2</v>
      </c>
      <c r="EC132">
        <f>IFERROR(N(VLOOKUP(BZ132,Кабель_обозначение,3,FALSE)),1)</f>
        <v>1</v>
      </c>
      <c r="ED132">
        <f>IFERROR(N(_xlfn.XLOOKUP(A132,Щиты[Щит],Щиты[ΔU до шин, %])),0)</f>
        <v>1.1399999999999999</v>
      </c>
      <c r="EE132" t="str">
        <f>IFERROR(_xlfn.XLOOKUP(A132,Щиты[Щит],Щиты[Zпетли на шинах, Ом]),"")</f>
        <v/>
      </c>
      <c r="EF132">
        <f>IFERROR(N(_xlfn.XLOOKUP(A132,Щиты[Щит],Щиты[ΔU до шин (подбор), %])),0)</f>
        <v>1.82</v>
      </c>
      <c r="EG132" t="str">
        <f>IFERROR(_xlfn.XLOOKUP(A132,Щиты[Щит],Щиты[Zпетли на шинах (подбор), Ом]),"")</f>
        <v/>
      </c>
      <c r="EH132" t="str">
        <f t="shared" si="325"/>
        <v/>
      </c>
      <c r="EI132">
        <f t="shared" si="326"/>
        <v>20</v>
      </c>
      <c r="EJ132">
        <f t="shared" si="327"/>
        <v>2</v>
      </c>
      <c r="EK132">
        <f t="shared" si="328"/>
        <v>0.6</v>
      </c>
      <c r="EL132" s="6">
        <f>IF(B132="","",IF(BV132=1,dU_LED,IF(IFERROR(_xlfn.XLOOKUP(BC132,Коды_код,Коды_уго),"")="Светильник",3,4)+IF(Методика="нормы 2026",MIN(0.5,MAX(0,N(P132)-100)*0.005),0)))</f>
        <v>4</v>
      </c>
      <c r="EM132" cm="1">
        <f t="array" ref="EM132">IF(OR(B132="",BZ132="",EC132&lt;&gt;1),"",_xlfn.LET(_xlpm.sz,Iдоп_S,_xlpm.t_,CHOOSE(EB132,Iдоп_1ж,Iдоп_2ж,Iдоп_3ж)*DZ132*EA132,_xlpm.dcx,BV132=1,_xlpm.inn,IF(_xlpm.dcx,N(O132),N(DT132)),_xlpm.smin,MAX(1.5,CC132),_xlpm.L_,N(P132)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132)/N(BU132)*100,999),IFERROR(N(EJ132)*(_xlpm.rho*_xlpm.L_/_xlpm.sz*N(CE132)+_xlpm.xx*_xlpm.L_*N(EK132)/1000)*N(O132)/((Uн_лин/SQRT(3))*1000)*100,999)),_xlpm.kz,IF(OR(_xlpm.dcx,DW132=1,NOT(ISNUMBER(EG132)),_xlpm.L_=0,_xlpm.inn=0),1,IFERROR(--(c_min*(Uн_лин*1000/SQRT(3))/(EG132+2*ρкз_Cu*_xlpm.L_/_xlpm.sz)&gt;=HT132*_xlpm.inn),0)),_xlpm.ok,IFERROR((_xlpm.sz&gt;=_xlpm.smin)*(_xlpm.t_&gt;=_xlpm.inn)*IF(_xlpm.L_&gt;0,(_xlpm.du_+IF(_xlpm.dcx,0,EF132)&lt;=EL132+0.00001),1)*_xlpm.kz,0),_xlpm.r_,_xlfn._xlws.FILTER(_xlpm.sz,_xlpm.ok,"не подобрано"),INDEX(_xlpm.r_,1)))</f>
        <v>1.5</v>
      </c>
      <c r="EN132">
        <f t="shared" si="329"/>
        <v>1.5</v>
      </c>
      <c r="EO132" cm="1">
        <f t="array" ref="EO132">IF(OR(B132="",BZ132="",EC132&lt;&gt;1),"",_xlfn.LET(_xlpm.sz,Iдоп_S,_xlpm.t_,CHOOSE(EB132,Iдоп_1ж,Iдоп_2ж,Iдоп_3ж)*DZ132*EA132,_xlpm.ok,IFERROR((_xlpm.sz&gt;=MAX(1.5,CC132))*(_xlpm.t_&gt;=N(DT132)),0),_xlpm.r_,_xlfn._xlws.FILTER(_xlpm.sz,_xlpm.ok,""),INDEX(_xlpm.r_,1)))</f>
        <v>1.5</v>
      </c>
      <c r="EP132" s="6" cm="1">
        <f t="array" ref="EP132">IFERROR(ROUNDUP(N(EJ132)*(_xlfn.XLOOKUP(EO132,INDEX(Кабель_сопротивление,0,1),INDEX(Кабель_сопротивление,0,3))*N(P132)/EO132*N(CE132)+_xlfn.XLOOKUP(EO132,INDEX(Кабель_сопротивление,0,1),INDEX(Кабель_сопротивление,0,2))*N(P132)*N(EK132)/1000)*N(O132)/((Uн_лин/SQRT(3))*1000)*100,2),"")</f>
        <v>0.57999999999999996</v>
      </c>
      <c r="EQ132">
        <f>IFERROR(2*ρкз_Cu*N(P132)/EO132,"")</f>
        <v>0.77146666666666663</v>
      </c>
      <c r="ER132">
        <f>IFERROR(VLOOKUP(EN132,Кабель_сопротивление,3,FALSE),"")</f>
        <v>2.2499999999999999E-2</v>
      </c>
      <c r="ES132">
        <f>IFERROR(VLOOKUP(EN132,Кабель_сопротивление,2,FALSE),"")</f>
        <v>0.11</v>
      </c>
      <c r="ET132">
        <f t="shared" si="330"/>
        <v>18</v>
      </c>
      <c r="EU132">
        <f t="shared" si="331"/>
        <v>0</v>
      </c>
      <c r="EV132">
        <f t="shared" si="332"/>
        <v>1.3247306112345414</v>
      </c>
      <c r="EW132" s="6">
        <f>IFERROR(ROUNDUP(EV132/IF(BV132=1,BU132,(Uн_лин/SQRT(3))*1000)*100,2),"")</f>
        <v>0.57999999999999996</v>
      </c>
      <c r="EX132" t="str">
        <f>IFERROR(VLOOKUP(BZ132,Кабель_обозначение,2,FALSE),"")</f>
        <v>ВВГнг(А)-LS</v>
      </c>
      <c r="EY132" t="str">
        <f t="shared" si="333"/>
        <v>ВВГнг(А)-LS (3х1,5)</v>
      </c>
      <c r="EZ132" t="str">
        <f t="shared" si="334"/>
        <v>ВВГнг(А)-LS (3х1,5)
L=22-0,58%</v>
      </c>
      <c r="FA132">
        <f>IFERROR(2*ρкз_Cu*P132/EN132,"")</f>
        <v>0.77146666666666663</v>
      </c>
      <c r="FB132">
        <f t="shared" si="335"/>
        <v>0.25666666666666665</v>
      </c>
      <c r="FC132" s="6" t="str">
        <f>IFERROR(IF(OR(B132="",BV132=1,NOT(ISNUMBER(EN132)),N(P132)=0),"",_xlfn.XLOOKUP(A132,Щиты[Щит],Щиты[Zпетли на шинах, Ом])+FA132),"")</f>
        <v/>
      </c>
      <c r="FD132" s="6" t="str">
        <f>IF(ISNUMBER(FC132),c_min*(Uн_лин*1000/SQRT(3))/FC132,"")</f>
        <v/>
      </c>
      <c r="FE132" s="6" t="str">
        <f>IFERROR(IF(OR(B132="",NOT(ISNUMBER(EN132))),"",1.05*(Uн_лин*1000/SQRT(3))/(_xlfn.XLOOKUP(A132,Щиты[Щит],Щиты[Zmax на шинах, Ом])+FB132)/1000),"")</f>
        <v/>
      </c>
      <c r="FF132" s="6" t="str">
        <f>IF(B132="","",IF(ISNUMBER(AC132),"Сил",IF(IFERROR(_xlfn.XLOOKUP(BC132,Коды_код,Коды_группа)&amp;"","")="","Быт",_xlfn.XLOOKUP(BC132,Коды_код,Коды_группа)&amp;"")))</f>
        <v>Сил</v>
      </c>
      <c r="FG132" s="6" t="str">
        <f t="shared" si="336"/>
        <v>Сил</v>
      </c>
      <c r="FH132" s="6">
        <f>IF(FG132="Щит","щит",IF(FG132="","",IF(FG132="Быт",IFERROR(_xlfn.XLOOKUP(A132,Щиты[Щит],Щиты[Кс быт]),1),IF(FG132="Сил",IF(ISNUMBER(AC132),AC132,IF(Методика="нормы 2026",IFERROR(_xlfn.XLOOKUP(A132,Щиты[Щит],Щиты[Кс силовых (табл. 7.5)]),1),1)),IF(OR(FG132="Пост",FG132="Отоп"),1,IF(FG132="ВНГ",0.7,0))))))</f>
        <v>0.5</v>
      </c>
      <c r="FI132">
        <f>IF(FG132="","",IF(AND(BP132=1,TRIM(AE132&amp;"")=""),IF(COUNTIFS(Линии[Щит],A132,Линии[Секция (1/2/3)],"&gt;=2")&gt;0,MIN(3,MAX(1,IFERROR(--BD132,1))),1),IFERROR(MIN(3,MAX(1,INT(--AE132))),1)))</f>
        <v>1</v>
      </c>
      <c r="FJ132">
        <f t="shared" si="337"/>
        <v>0.46100000000000002</v>
      </c>
      <c r="FK132">
        <f t="shared" si="338"/>
        <v>0</v>
      </c>
      <c r="FL132">
        <f t="shared" si="339"/>
        <v>0.23050000000000001</v>
      </c>
      <c r="FM132">
        <f t="shared" si="340"/>
        <v>0</v>
      </c>
      <c r="FN132">
        <f t="shared" si="341"/>
        <v>0</v>
      </c>
      <c r="FO132">
        <f t="shared" si="342"/>
        <v>0</v>
      </c>
      <c r="FP132">
        <f t="shared" si="343"/>
        <v>0.46100000000000002</v>
      </c>
      <c r="FQ132">
        <f t="shared" si="344"/>
        <v>0.46100000000000002</v>
      </c>
      <c r="FR132">
        <f t="shared" si="345"/>
        <v>0.36880000000000002</v>
      </c>
      <c r="FS132">
        <f>IF(CG132=1,IF(AND(CH132=1,CW132=1),0,IF(AND(CS132&lt;&gt;"",CS132=BA132,CW132=1),SUMIFS(Линии[_Р линии, кВт],Линии[_блок УЗО],BA132,Линии[Щит],A132),N(BS132)+IF(AJ132="вручную",0,N(CK132)))),0)</f>
        <v>0.46100000000000002</v>
      </c>
      <c r="FT132" t="str">
        <f t="shared" si="346"/>
        <v/>
      </c>
      <c r="FU132" t="str">
        <f>IF(B132="","",IF(CG132=0,IF(BA132=1,"",FW131),IF(AND(CH132=1,CW132=1,CS132&lt;&gt;""),IFERROR(_xlfn.XLOOKUP(CS132,Линии[_n],Линии[_фаза итог]),"L1"),IF(OR(N(DL132)&gt;=3,N(BX132)&gt;=3),"L1,L2,L3",IFERROR(_xlfn.TEXTBEFORE(_xlfn.TEXTAFTER(_xlfn.XLOOKUP(A132,Щиты[Щит],Щиты[_фазы авто]),";"&amp;BA132&amp;":"),";"),"L1")))))</f>
        <v>L1</v>
      </c>
      <c r="FV132" t="str">
        <f t="shared" si="347"/>
        <v>L1</v>
      </c>
      <c r="FW132" t="str">
        <f t="shared" si="348"/>
        <v>L1</v>
      </c>
      <c r="FX132" cm="1">
        <f t="array" ref="FX132">IFERROR(IF(CD132=2,_xlfn.IFS(BX132=3,VLOOKUP(BS132,Справочная_двигатели,3,FALSE),BX132=1,VLOOKUP(BS132,Справочная_двигатели,5,TRUE)),0),0)</f>
        <v>0</v>
      </c>
      <c r="FY132">
        <f>IFERROR(IF(CD132=3,VLOOKUP(BS132,Справочная_ЛЭД,2,TRUE),0),0)</f>
        <v>0</v>
      </c>
      <c r="FZ132" s="6">
        <f t="shared" si="349"/>
        <v>0</v>
      </c>
      <c r="GA132" t="str">
        <f>IF(B132="","",IF(TRIM(AH132&amp;"")&lt;&gt;"",IF(LOWER(TRIM(AH132&amp;""))="да","да","нет"),IF(IFERROR(_xlfn.XLOOKUP(BC132,Коды_код,Коды_пожарная),"")="да","да","нет")))</f>
        <v>нет</v>
      </c>
      <c r="GB132" t="str">
        <f t="shared" si="350"/>
        <v/>
      </c>
      <c r="GC132" t="str">
        <f t="shared" si="351"/>
        <v>основная</v>
      </c>
      <c r="GD132">
        <f>IF(AND(BP132=1,TRIM(AE132&amp;"")=""),IF(COUNTIFS(Линии[Щит],A132,Линии[Секция (1/2/3)],"&gt;=2")&gt;0,MIN(3,MAX(1,IFERROR(--BD132,1))),1),IFERROR(MIN(3,MAX(1,INT(--AE132))),1))</f>
        <v>1</v>
      </c>
      <c r="GE132" t="str" cm="1">
        <f t="array" ref="GE132">IF(B132="","",_xlfn.LET(_xlpm.t,IFERROR(_xlfn.XLOOKUP(1,(Шины[Шина]=GC132)*(((Шины[Щит]=A132)+(Шины[Щит]=""))&gt;0),Шины[Тип]),"")&amp;"",IF(_xlpm.t&lt;&gt;"",_xlpm.t,IF(ISNUMBER(SEARCH("ИБП",GC132)),"ИБП",IF(ISNUMBER(SEARCH("ДГУ",GC132)),"ДГУ","Ввод "&amp;GD132)))))</f>
        <v>Ввод 1</v>
      </c>
      <c r="GF132" t="str">
        <f t="shared" si="352"/>
        <v>Ввод 1</v>
      </c>
      <c r="GG132" t="str">
        <f>IF(BP132=0,"",IF(TRIM(AG132&amp;"")&lt;&gt;"",TRIM(AG132&amp;""),IF(OR(GE132="ИБП",GE132="ДГУ"),"I особая",_xlfn.XLOOKUP(A132,Щиты[Щит],Щиты[Категория шины «Ввод»],"III"))))</f>
        <v/>
      </c>
      <c r="GH132" t="str">
        <f>IF(A132="","",_xlfn.XLOOKUP(A132,Щиты[Щит],Щиты[Путь],""))</f>
        <v>|ГРЩ-ЖД|ЩОВ-2|</v>
      </c>
      <c r="GI132" t="str">
        <f>IF(B132="","",IF(AI132&lt;&gt;"",AI132,IF(IFERROR(_xlfn.XLOOKUP(BC132,Коды_код,Коды_вид)&amp;"","")="","Прочее",_xlfn.XLOOKUP(BC132,Коды_код,Коды_вид)&amp;"")))</f>
        <v>Кондиционирование и увлажнение</v>
      </c>
      <c r="GJ132">
        <f>IF(BM132="","",INT((BM132-1)/Столбцов_на_лист)+1)</f>
        <v>1</v>
      </c>
      <c r="GK132" t="str">
        <f t="shared" si="353"/>
        <v>ВВГнг(А)-LS (3х1,5) L=22-0,58%</v>
      </c>
      <c r="GL132">
        <f t="shared" si="354"/>
        <v>0.46100000000000002</v>
      </c>
      <c r="GM132">
        <f t="shared" si="355"/>
        <v>2.5</v>
      </c>
      <c r="GN132">
        <f t="shared" si="356"/>
        <v>1</v>
      </c>
      <c r="GO132">
        <f t="shared" si="357"/>
        <v>0</v>
      </c>
      <c r="GP132">
        <f t="shared" si="358"/>
        <v>1</v>
      </c>
      <c r="GQ132">
        <f>IF(BM132="","",IF(AND(CG132=1,GP132=1),COUNTIFS(A$3:A132,A132,CG$3:CG132,1,GP$3:GP132,1),IF(OR(OR(BA132=1,A132&lt;&gt;A131),AJ132="вручную",GP132=0),"",IF(BA132=1,"",GR131))))</f>
        <v>2</v>
      </c>
      <c r="GR132">
        <f t="shared" si="359"/>
        <v>2</v>
      </c>
      <c r="GS132">
        <f>IF(B132="","",IFERROR(LOOKUP(INDEX(CHOOSE(EB132,Iдоп_1ж,Iдоп_2ж,Iдоп_3ж),MATCH(EN132,Iдоп_S,0))*DZ132*EA132,{6,10,16,20,25,32,40,50,63,80,100,125,160,200,250,315,400,500,630}),""))</f>
        <v>16</v>
      </c>
      <c r="GT132" t="str">
        <f t="shared" si="360"/>
        <v>QF2</v>
      </c>
      <c r="GU132" t="str">
        <f t="shared" si="361"/>
        <v>QF2</v>
      </c>
      <c r="GV132" t="str">
        <f t="shared" si="362"/>
        <v/>
      </c>
      <c r="GW132">
        <f t="shared" si="363"/>
        <v>0</v>
      </c>
      <c r="GX132" t="str">
        <f>IF(OR(B132="",DJ132=""),"",IFERROR(_xlfn.XLOOKUP(DJ132,Модули_умолч[Управление],Модули_умолч[Модель])&amp;"",""))</f>
        <v/>
      </c>
      <c r="GY132">
        <f>IF(DJ132="",1,IFERROR(MAX(0,N(_xlfn.XLOOKUP(DJ132,Модули_умолч[Управление],Модули_умолч[Каналов на линию]))),1))</f>
        <v>1</v>
      </c>
      <c r="GZ132" t="str">
        <f t="shared" si="364"/>
        <v/>
      </c>
      <c r="HA132" t="str">
        <f t="shared" si="365"/>
        <v/>
      </c>
      <c r="HB132" t="str">
        <f t="shared" si="366"/>
        <v/>
      </c>
      <c r="HC132">
        <f>IF(HB132="",0,IFERROR(N(VLOOKUP(HB132,Модули_спр,3,FALSE)),0))</f>
        <v>0</v>
      </c>
      <c r="HD132" t="str">
        <f t="shared" si="367"/>
        <v/>
      </c>
      <c r="HE132" t="str">
        <f t="shared" si="368"/>
        <v/>
      </c>
      <c r="HF132" t="str">
        <f>IF(OR(HE132="",HE132="-"),"",IFERROR(VLOOKUP(HE132,Модули_спр,2,FALSE),"R"))</f>
        <v/>
      </c>
      <c r="HG132" t="str">
        <f>IF(HF132="","",HF132&amp;"."&amp;COUNTIFS(A$3:A132,A132,HF$3:HF132,HF132))</f>
        <v/>
      </c>
      <c r="HH132" t="str">
        <f t="shared" si="369"/>
        <v/>
      </c>
      <c r="HI132" t="str">
        <f t="shared" si="370"/>
        <v/>
      </c>
      <c r="HJ132" t="str">
        <f t="shared" si="371"/>
        <v/>
      </c>
      <c r="HK132" t="str">
        <f t="shared" si="372"/>
        <v/>
      </c>
      <c r="HL132">
        <f t="shared" si="373"/>
        <v>1</v>
      </c>
      <c r="HM132" t="str">
        <f>IF(HL132=1,"XT"&amp;COUNTIFS(A$3:A132,A132,HL$3:HL132,1),"")</f>
        <v>XT2</v>
      </c>
      <c r="HN132" t="str">
        <f t="shared" si="374"/>
        <v>XT2</v>
      </c>
      <c r="HO132" t="str">
        <f t="shared" si="375"/>
        <v>QF2</v>
      </c>
      <c r="HP132" t="str">
        <f t="shared" si="376"/>
        <v/>
      </c>
      <c r="HQ132" t="str">
        <f t="shared" si="377"/>
        <v>ok</v>
      </c>
      <c r="HR132" t="str">
        <f>IF(OR(HJ132="",HH132=""),"",IF(HJ132+MAX(0,GY132-1)&gt;IFERROR(VLOOKUP(HI132,Модули_спр,3,FALSE),99),"ЛИШНИЙ КАНАЛ",IF(AND(AL132&lt;&gt;"=",GY132&gt;0,COUNTIFS(Линии[_модуль гр.],HH132,Линии[Канал (итог)],HJ132,Линии[Канал],"&lt;&gt;=",Линии[Щит],A132)&gt;1),"ДУБЛЬ КАНАЛА","")))</f>
        <v/>
      </c>
      <c r="HS132" s="6" t="str">
        <f t="shared" si="378"/>
        <v/>
      </c>
      <c r="HT132">
        <f t="shared" si="379"/>
        <v>10</v>
      </c>
      <c r="HU132" t="str">
        <f t="shared" si="380"/>
        <v/>
      </c>
      <c r="HV132">
        <f t="shared" si="381"/>
        <v>1.2180942778615655</v>
      </c>
      <c r="HW132">
        <f t="shared" si="382"/>
        <v>0</v>
      </c>
      <c r="HX132">
        <f t="shared" si="383"/>
        <v>0</v>
      </c>
      <c r="HY132">
        <f t="shared" si="384"/>
        <v>0</v>
      </c>
      <c r="HZ132">
        <f t="shared" si="385"/>
        <v>0</v>
      </c>
      <c r="IA132">
        <f t="shared" si="386"/>
        <v>0</v>
      </c>
      <c r="IB132">
        <f t="shared" si="387"/>
        <v>0</v>
      </c>
      <c r="IC132" t="str">
        <f t="shared" si="388"/>
        <v/>
      </c>
      <c r="ID132" t="str" cm="1">
        <f t="array" ref="ID132">IF(IC132="","",_xlfn.LET(_xlpm.tk,_xlfn.TEXTSPLIT(SUBSTITUTE(SUBSTITUTE(IC132,";"," "),"→"," ")," ",,TRUE),_xlpm.w_,_xlfn._xlws.FILTER(_xlpm.tk,ISNUMBER(--LEFT(_xlpm.tk,1))*((ISNUMBER(SEARCH("W",_xlpm.tk))+ISNUMBER(SEARCH("Вт",_xlpm.tk)))&gt;0),""),IFERROR(--SUBSTITUTE(SUBSTITUTE(UPPER(INDEX(_xlpm.w_,1)),"W",""),"ВТ",""),"")))</f>
        <v/>
      </c>
      <c r="IE132" t="str" cm="1">
        <f t="array" ref="IE132">IF(IC132="","",_xlfn.LET(_xlpm.tk,_xlfn.TEXTSPLIT(SUBSTITUTE(SUBSTITUTE(IC132,";"," "),"→"," ")," ",,TRUE),_xlpm.v_,_xlfn._xlws.FILTER(_xlpm.tk,ISNUMBER(--LEFT(_xlpm.tk,1))*((ISNUMBER(SEARCH("V",_xlpm.tk))+(RIGHT(UPPER(_xlpm.tk))="В"))&gt;0),""),IFERROR(--SUBSTITUTE(SUBSTITUTE(UPPER(INDEX(_xlpm.v_,1)),"V",""),"В",""),"")))</f>
        <v/>
      </c>
      <c r="IF132" s="6" t="str">
        <f>IF(OR(BV132=0,HI132="",HJ132=""),"",IFERROR(N(_xlfn.XLOOKUP(HI132,Каталог!$C$4:$C$500,Каталог!$Q$4:$Q$500)),""))</f>
        <v/>
      </c>
      <c r="IG132" s="6" t="str">
        <f>IF(N(IF132)=0,"",SUMIFS(Линии[Iр, А],Линии[Щит],A132,Линии[_модуль гр.],HH132,Линии[Канал (итог)],HJ132))</f>
        <v/>
      </c>
      <c r="IH132" t="str">
        <f>IF(AND(B132="",HO132=""),"",_xlfn.TEXTJOIN("; ",TRUE,IF(AND(B132&lt;&gt;"",FV132=""),"нет фазы",""),IF(AND(B132&lt;&gt;"",N(GL132)=0,FG132&lt;&gt;"Нет"),"нет мощности",""),IF(AND(HN132&lt;&gt;"",COUNTIFS(Линии[Щит],A132,Линии[Клемма (итог)],HN132)&gt;1),"дубль клеммы "&amp;HN132,""),IF(AND(HQ132&lt;&gt;"",HQ132&lt;&gt;"ok"),HQ132,""),IF(HR132&lt;&gt;"",HR132,""),IF(AND(N(CB132)&gt;=4,N(BX132)=1),CB132&amp;" жил на 1 фазе",""),IF(AND(BC132="R",CG132=1,IF(CS132&lt;&gt;"",N(CV132)&gt;30,OR(N(DA132)=0,N(DA132)&gt;30))),"розетка без дифзащиты до 30 мА",""),IF(AND(CG132=1,N(DA132)&gt;0,ISNUMBER(T132)),IF(T132&gt;N(DA132)/3,"ток утечки "&amp;FIXED(T132,1)&amp;" мА &gt; 1/3 уставки ("&amp;DA132&amp;" мА)",""),""),IF(AND(CH132=1,CS132=""),"«узо»: нет строки с УЗО выше (УЗО 2P 40А 30мА в «Аппаратах»)",""),IF(AND(CS132&lt;&gt;"",CS132=BA132),IF(CT132="","впишите номинал УЗО (УЗО 2P 40А 30мА)",IF(N(CT132)&lt;N(DT132),"УЗО "&amp;CT132&amp;" А &lt; автомата "&amp;DT132&amp;" А перед ним",IF(N(CT132)&lt;N(CX132),"УЗО "&amp;CT132&amp;" А &lt; тока блока "&amp;FIXED(CX132,1)&amp;" А",""))),""),IF(AND(CS132&lt;&gt;"",CS132=BA132,ISNUMBER(CY132)),IF(CY132&gt;N(CV132)/3,"ток утечки блока УЗО "&amp;FIXED(CY132,1)&amp;" мА &gt; 1/3 уставки ("&amp;CV132&amp;" мА)",""),""),IF(AND(CG132=1,N(BV132)+N(IB132)&gt;0,IC132=""),"линии до 50 В без БП: впишите в «Аппараты» (БП 24V 480W)",""),IF(AND(CG132=1,ISNUMBER(ID132),ISNUMBER(U132)),IF(U132&gt;ID132,"БП "&amp;ID132&amp;" Вт &lt; нужно "&amp;U132&amp;" Вт (×"&amp;Запас_БП&amp;")",""),""),IF(AND(CG132=1,ISNUMBER(IE132),N(BV132)=1),IF(IE132&lt;&gt;N(BU132),"БП на "&amp;IE132&amp;" В, линия "&amp;BU132&amp;" В",""),""),IF(AND(N(IF132)&gt;0,N(IG132)&gt;N(IF132)),HH132&amp;" канал "&amp;HJ132&amp;": "&amp;FIXED(IG132,1)&amp;" А &gt; "&amp;IF132&amp;" А",""),IFERROR(IF(AND(ISNUMBER(Q132),Q132&gt;EL132),"потери "&amp;FIXED(Q132,1)&amp;" % &gt; "&amp;EL132&amp;" %",""),""),IFERROR(IF(LEFT(HU132,4)="мало","Iкз мало — отключение &gt; 0,4 с",""),""),IF(AND(B132&lt;&gt;"",BM132=""),"не на схеме",""),IF(AND(CG132=0,B132&lt;&gt;"",FV132&lt;&gt;"",IF(BA132=1,"",FW131)&lt;&gt;"",FV132&lt;&gt;IF(BA132=1,"",FW131)),"фаза не как у автомата группы ("&amp;IF(BA132=1,"",FW131)&amp;")","")))</f>
        <v/>
      </c>
      <c r="II132" s="6" t="str">
        <f>IF(OR(CG132=0,DQ132=""),"",_xlfn.LET(_xlpm.t,IFERROR(_xlfn.XLOOKUP(DQ132,Каталог!$U$4:$U$500,Каталог!$G$4:$G$500),""),_xlpm.k,SEARCH("кА",_xlpm.t),IFERROR(--TRIM(RIGHT(SUBSTITUTE(MID(_xlpm.t,MAX(1,_xlpm.k-4),_xlpm.k-MAX(1,_xlpm.k-4))," ",REPT(" ",9)),5)),"")))</f>
        <v/>
      </c>
      <c r="IJ132" t="str">
        <f>IF(OR(II132="",CG132=0),"",IF(_xlfn.XLOOKUP(A132,Щиты[Щит],Щиты[Iкз max на шинах, кА],"")="","",IF(II132&lt;_xlfn.XLOOKUP(A132,Щиты[Щит],Щиты[Iкз max на шинах, кА]),"Icu "&amp;II132&amp;" кА &lt; Iкз max","ok")))</f>
        <v/>
      </c>
      <c r="IK132" t="str">
        <f t="shared" si="389"/>
        <v/>
      </c>
      <c r="IL132" t="str">
        <f t="shared" si="390"/>
        <v>QF2|XT2</v>
      </c>
      <c r="IM132" t="str">
        <f t="shared" si="391"/>
        <v>QF2|XT2|кабель ВВГнг(А)-LS (3х1,5) → Внутренний блок кондиционирования Технический этаж Пом. №001Т</v>
      </c>
      <c r="IN132" t="str" cm="1">
        <f t="array" ref="IN132">IF(IM132="","",_xlfn.LET(_xlpm.nd,_xlfn.TEXTSPLIT(IM132,"|"),IF(COLUMNS(_xlpm.nd)&gt;1,A132&amp;"¦"&amp;INDEX(_xlpm.nd,1)&amp;"¦"&amp;INDEX(_xlpm.nd,2),"")))</f>
        <v>ЩОВ-2¦QF2¦XT2</v>
      </c>
      <c r="IO132" t="str">
        <f t="shared" si="392"/>
        <v>K.1.001A.2¦Внутренний блок кондиционирования Технический этаж Пом. №001Т</v>
      </c>
      <c r="IP132" t="str" cm="1">
        <f t="array" ref="IP132">IF(IM132="","",_xlfn.LET(_xlpm.nd,_xlfn.TEXTSPLIT(IM132,"|"),IF(COLUMNS(_xlpm.nd)&gt;2,A132&amp;"¦"&amp;INDEX(_xlpm.nd,2)&amp;"¦"&amp;INDEX(_xlpm.nd,3),"")))</f>
        <v>ЩОВ-2¦XT2¦кабель ВВГнг(А)-LS (3х1,5) → Внутренний блок кондиционирования Технический этаж Пом. №001Т</v>
      </c>
      <c r="IQ132" t="str">
        <f t="shared" si="393"/>
        <v>K.1.001A.2¦Внутренний блок кондиционирования Технический этаж Пом. №001Т</v>
      </c>
      <c r="IR132" t="str" cm="1">
        <f t="array" ref="IR132">IF(IM132="","",_xlfn.LET(_xlpm.nd,_xlfn.TEXTSPLIT(IM132,"|"),IF(COLUMNS(_xlpm.nd)&gt;3,A132&amp;"¦"&amp;INDEX(_xlpm.nd,3)&amp;"¦"&amp;INDEX(_xlpm.nd,4),"")))</f>
        <v/>
      </c>
      <c r="IS132" t="str">
        <f t="shared" si="394"/>
        <v/>
      </c>
      <c r="IT132" t="str" cm="1">
        <f t="array" ref="IT132">IF(IM132="","",_xlfn.LET(_xlpm.nd,_xlfn.TEXTSPLIT(IM132,"|"),IF(COLUMNS(_xlpm.nd)&gt;4,A132&amp;"¦"&amp;INDEX(_xlpm.nd,4)&amp;"¦"&amp;INDEX(_xlpm.nd,5),"")))</f>
        <v/>
      </c>
      <c r="IU132" t="str">
        <f t="shared" si="395"/>
        <v/>
      </c>
      <c r="IV132" t="str" cm="1">
        <f t="array" ref="IV132">IF(IM132="","",_xlfn.LET(_xlpm.nd,_xlfn.TEXTSPLIT(IM132,"|"),IF(COLUMNS(_xlpm.nd)&gt;5,A132&amp;"¦"&amp;INDEX(_xlpm.nd,5)&amp;"¦"&amp;INDEX(_xlpm.nd,6),"")))</f>
        <v/>
      </c>
      <c r="IW132" t="str">
        <f t="shared" si="396"/>
        <v/>
      </c>
      <c r="IX132" t="str" cm="1">
        <f t="array" ref="IX132">IF(IM132="","",_xlfn.LET(_xlpm.nd,_xlfn.TEXTSPLIT(IM132,"|"),IF(COLUMNS(_xlpm.nd)&gt;6,A132&amp;"¦"&amp;INDEX(_xlpm.nd,6)&amp;"¦"&amp;INDEX(_xlpm.nd,7),"")))</f>
        <v/>
      </c>
      <c r="IY132" t="str">
        <f t="shared" si="397"/>
        <v/>
      </c>
      <c r="IZ132" t="str">
        <f t="shared" si="398"/>
        <v/>
      </c>
      <c r="JA132" t="str">
        <f t="shared" si="399"/>
        <v>QF2 → XT2</v>
      </c>
      <c r="JB132">
        <f t="shared" si="400"/>
        <v>0</v>
      </c>
      <c r="JC132">
        <f t="shared" si="401"/>
        <v>0</v>
      </c>
      <c r="JD132" t="str">
        <f t="shared" si="402"/>
        <v/>
      </c>
      <c r="JE132" t="str">
        <f t="shared" si="403"/>
        <v/>
      </c>
      <c r="JF132" t="str">
        <f t="shared" si="404"/>
        <v/>
      </c>
      <c r="JG132" t="str">
        <f t="shared" si="405"/>
        <v/>
      </c>
      <c r="JH132">
        <f>IF(B132="","",IFERROR(_xlfn.XLOOKUP(B132,Коды_код,Коды_уго),IFERROR(_xlfn.XLOOKUP(BC132,Коды_код,Коды_уго),IFERROR(_xlfn.XLOOKUP(LEFT(BC132,2),Коды_код,Коды_уго),""))))</f>
        <v>0</v>
      </c>
      <c r="JI132" t="str">
        <f>IF(B132="","",IF(OR(JH132="",JH132=0),"BOX",IFERROR(IF(VLOOKUP(JH132,УГО_блоки,3,FALSE)&amp;""&lt;&gt;"",VLOOKUP(JH132,УГО_блоки,3,FALSE),VLOOKUP(JH132,УГО_блоки,2,FALSE)),JH132)))</f>
        <v>BOX</v>
      </c>
      <c r="JJ132">
        <f t="shared" si="406"/>
        <v>1</v>
      </c>
      <c r="JK132" t="str">
        <f>IF(DQ132="","",IF(COUNTIF(DQ$3:DQ132,DQ132)=1,MAX(JK$2:JK131)+1,""))</f>
        <v/>
      </c>
      <c r="JL132" t="str">
        <f>IF(DE132="","",IF(COUNTIF(DE$3:DE132,DE132)+COUNTIF(DF$2:DF131,DE132)+COUNTIF(DG$2:DG131,DE132)=1,MAX(JL$2:JN131)+1,""))</f>
        <v/>
      </c>
      <c r="JM132" t="str">
        <f>IF(DF132="","",IF(COUNTIF(DE$3:DE132,DF132)+COUNTIF(DF$3:DF132,DF132)+COUNTIF(DG$2:DG131,DF132)=1,MAX(JL$2:JN131,JL132)+1,""))</f>
        <v/>
      </c>
      <c r="JN132" t="str">
        <f>IF(DG132="","",IF(COUNTIF(DE$3:DE132,DG132)+COUNTIF(DF$3:DF132,DG132)+COUNTIF(DG$3:DG132,DG132)=1,MAX(JL$2:JN131,JL132,JM132)+1,""))</f>
        <v/>
      </c>
      <c r="JO132" t="str">
        <f t="shared" si="407"/>
        <v>3х1,5</v>
      </c>
      <c r="JP132" t="str">
        <f>IF(JO132="","",IF(COUNTIF(JO$3:JO132,JO132)=1,MAX(JP$2:JP131)+1,""))</f>
        <v/>
      </c>
      <c r="JQ132" t="str">
        <f>IF(HG132="","",COUNTIF(HG$3:HG132,"?*"))</f>
        <v/>
      </c>
      <c r="JR132" t="str">
        <f>IF(OR(HG132="",HI132=""),"",IF(COUNTIFS(HG$3:HG132,"?*",HI$3:HI132,HI132)=1,MAX(JR$2:JR131)+1,""))</f>
        <v/>
      </c>
      <c r="JS132">
        <f t="shared" si="408"/>
        <v>0</v>
      </c>
      <c r="JT132">
        <f>IF(B132="","",COUNTIF(B$3:B132,"?*"))</f>
        <v>130</v>
      </c>
      <c r="JU132">
        <f>IF(HL132&lt;&gt;1,0,_xlfn.LET(_xlpm.k,MAX(IFERROR(--_xlfn.XLOOKUP(B132,Коды_код,Коды_3L),0),IFERROR(--_xlfn.XLOOKUP(BC132,Коды_код,Коды_3L),0),IFERROR(--_xlfn.XLOOKUP(LEFT(BC132,2),Коды_код,Коды_3L),0)),IF(_xlpm.k&gt;0,_xlpm.k,IF(IFERROR(--LEFT(SUBSTITUTE(JO132,"x","х"),FIND("х",SUBSTITUTE(JO132,"x","х"))-1),3)&gt;3,Каталог!$S$9,1))))</f>
        <v>1</v>
      </c>
      <c r="JV132">
        <f t="shared" si="409"/>
        <v>0</v>
      </c>
      <c r="JW132" t="str">
        <f t="shared" si="410"/>
        <v>авто</v>
      </c>
      <c r="JX132" t="str">
        <f t="shared" si="411"/>
        <v/>
      </c>
      <c r="JY132">
        <f t="shared" si="412"/>
        <v>0</v>
      </c>
      <c r="JZ132">
        <f t="shared" si="413"/>
        <v>1</v>
      </c>
    </row>
    <row r="133" spans="1:286" x14ac:dyDescent="0.3">
      <c r="A133" t="s">
        <v>751</v>
      </c>
      <c r="B133" t="s">
        <v>1442</v>
      </c>
      <c r="C133" t="s">
        <v>1685</v>
      </c>
      <c r="D133">
        <v>1</v>
      </c>
      <c r="E133">
        <v>0.376</v>
      </c>
      <c r="G133" t="str">
        <f>Линии[[#This Row],[_авто автомат]]</f>
        <v>1P С6А</v>
      </c>
      <c r="H133" t="str">
        <f>Линии[[#This Row],[_авто управление]]</f>
        <v/>
      </c>
      <c r="I133" t="str">
        <f>Линии[[#This Row],[_авто аппараты]]</f>
        <v/>
      </c>
      <c r="J133">
        <v>1.5</v>
      </c>
      <c r="K133">
        <v>24</v>
      </c>
      <c r="L133" t="str">
        <f>Линии[[#This Row],[_авто фаза]]</f>
        <v>L2</v>
      </c>
      <c r="M133" t="str">
        <f>Линии[[#This Row],[_авто клемма]]</f>
        <v>XT3</v>
      </c>
      <c r="N133" t="str">
        <f t="shared" si="276"/>
        <v/>
      </c>
      <c r="O133" s="6" cm="1">
        <f t="array" ref="O133">IF(B133="","",IF(BH133&lt;&gt;"",IFERROR(_xlfn.XLOOKUP(BH133,Щиты[Щит],Щиты[Iр, А]),""),IF(BP133=1,IF(OR(N(_xlfn.XLOOKUP(A133,Щиты[Щит],Щиты[Вводов],1))&lt;=1,LOWER(TRIM(_xlfn.XLOOKUP(A133,Щиты[Щит],Щиты[АВР],"")&amp;""))="да"),IFERROR(_xlfn.XLOOKUP(A133,Щиты[Щит],Щиты[Iр, А]),""),IFERROR(N(BS133)*_xlfn.XLOOKUP(A133,Щиты[Щит],Щиты[Кс итог])/(SQRT(3)*Uн_лин*_xlfn.XLOOKUP(A133,Щиты[Щит],Щиты[cos φ])),"")),IF(BV133=1,IFERROR(BS133*1000/BU133,""),IFERROR(_xlfn.IFS(BX133=1,BS133/((Uн_лин/SQRT(3))*CE133),BX133=3,BS133/(SQRT(3)*Uн_лин*CE133)),"")))))</f>
        <v>2.0351596988934304</v>
      </c>
      <c r="P133" s="7">
        <f>IF(B133="","",IFERROR(IF(VLOOKUP(BC133,Потребители_обозначение,4,FALSE)=1,VLOOKUP(BC133,Потребители_обозначение,3,FALSE)*(MAX(1,N(D133))*2-1)+EI133+VLOOKUP(BE133,Этаж_обозначение,3,FALSE)+VLOOKUP(BE133,Этаж_обозначение,4,FALSE),VLOOKUP(BC133,Потребители_обозначение,3,FALSE)*(MAX(1,N(D133))*2-1)+EI133),EI133))</f>
        <v>26</v>
      </c>
      <c r="Q133" s="6">
        <f t="shared" si="277"/>
        <v>1.7</v>
      </c>
      <c r="R133" t="str">
        <f t="shared" si="278"/>
        <v>ВВГнг(А)-LS (3х1,5)</v>
      </c>
      <c r="S133" t="str">
        <f>IF(BM133="","",IF(BN133="вводной узел","узел ","")&amp;"л."&amp;(INT((BM133-1)/Столбцов_на_лист)+1)&amp;" / "&amp;(MOD(BM133-1,Столбцов_на_лист)+1))</f>
        <v>л.1 / 15</v>
      </c>
      <c r="T133" s="119">
        <f t="shared" si="279"/>
        <v>1.1000000000000001</v>
      </c>
      <c r="U133" s="7" t="str">
        <f>IF(OR(CG133=0,N(BV133)+N(IB133)=0),"",ROUNDUP(Запас_БП*(N(HY133)+N(HZ133)),0))</f>
        <v/>
      </c>
      <c r="V133" s="119" t="str">
        <f t="shared" si="280"/>
        <v/>
      </c>
      <c r="W133" s="7" t="str">
        <f>IFERROR(IF(OR(B133="",BP133=1,BV133=1,NOT(ISNUMBER(EN133)),N(DT133)=0),"",MAX(0,ROUNDDOWN((c_min*(Uн_лин*1000/SQRT(3))/(HT133*N(DT133))-_xlfn.XLOOKUP(A133,Щиты[Щит],Щиты[Zпетли на шинах, Ом]))*EN133/(2*ρкз_Cu),0))),"")</f>
        <v/>
      </c>
      <c r="Y133" t="str">
        <f>Линии[[#This Row],[_авто утечка]]</f>
        <v/>
      </c>
      <c r="Z133">
        <v>1</v>
      </c>
      <c r="AA133">
        <v>230</v>
      </c>
      <c r="AB133" t="s">
        <v>598</v>
      </c>
      <c r="AC133">
        <v>0.5</v>
      </c>
      <c r="AG133" t="s">
        <v>810</v>
      </c>
      <c r="AI133" t="s">
        <v>576</v>
      </c>
      <c r="AK133" t="str">
        <f>Линии[[#This Row],[_авто модуль]]</f>
        <v/>
      </c>
      <c r="AM133">
        <v>15</v>
      </c>
      <c r="AN133" t="s">
        <v>11</v>
      </c>
      <c r="AO133">
        <v>3</v>
      </c>
      <c r="AQ133">
        <v>12</v>
      </c>
      <c r="AR133">
        <v>14</v>
      </c>
      <c r="AT133">
        <v>1</v>
      </c>
      <c r="BA133" cm="1">
        <f t="array" ref="BA133">ROW()-ROW(Линии[#Headers])</f>
        <v>131</v>
      </c>
      <c r="BC133" s="6" t="str">
        <f t="shared" si="281"/>
        <v>K</v>
      </c>
      <c r="BD133" t="str">
        <f t="shared" si="282"/>
        <v>1.003A</v>
      </c>
      <c r="BE133" t="str">
        <f t="shared" si="283"/>
        <v>1</v>
      </c>
      <c r="BF133" t="str">
        <f t="shared" si="284"/>
        <v>003A</v>
      </c>
      <c r="BG133" t="str">
        <f t="shared" si="285"/>
        <v>003A</v>
      </c>
      <c r="BH133" t="str">
        <f>IF(X133&lt;&gt;"",X133,IF(AND(B133&lt;&gt;"",B133&lt;&gt;A133,ISNUMBER(_xlfn.XMATCH(B133,Щиты[Щит]))),B133,""))</f>
        <v/>
      </c>
      <c r="BI133" t="str" cm="1">
        <f t="array" ref="BI133">IF(B133="","",IF(BH133&lt;&gt;"","Щит "&amp;BH133,_xlfn.LET(_xlpm.nm,IFERROR(_xlfn.XLOOKUP(BC133,Коды_код,Коды_имя)&amp;"",""),_xlpm.md,IFERROR(N(_xlfn.XLOOKUP(BC133,Коды_код,Коды_режим)),1),_xlpm.ex,IF(Имя_режим="по экспликации",IFERROR(_xlfn.XLOOKUP(BE133&amp;"|"&amp;BG133,Экспликация[Этаж]&amp;"|"&amp;Экспликация[Помещение],Экспликация[Название])&amp;"",""),""),_xlpm.rm,IF(BG133="","",IF(_xlpm.ex&lt;&gt;"",". "&amp;_xlpm.ex&amp;IF(Имя_пом="нет"," ("&amp;BG133&amp;")"," (пом. "&amp;BG133&amp;")"),IF(Имя_пом="нет"," ",", пом. ")&amp;BG133)),IF(_xlpm.nm="","",IF(_xlpm.md=2,_xlpm.nm&amp;" шлейф "&amp;BE133,_xlpm.nm&amp;_xlpm.rm)))))</f>
        <v>Внутренний блок кондиционирования, пом. 003A</v>
      </c>
      <c r="BJ133" t="str">
        <f t="shared" si="286"/>
        <v>Внутренний блок кондиционирования Технический этаж Пом. №002Т</v>
      </c>
      <c r="BK133">
        <f>IFERROR(_xlfn.XMATCH(A133,Щиты[Щит]),0)</f>
        <v>7</v>
      </c>
      <c r="BL133">
        <f>_xlfn.LET(_xlpm.k,IFERROR(_xlfn.XLOOKUP(A133,Щиты[Щит],Щиты[Мест под вводной узел]),""),IF(_xlpm.k="",Столбцов_на_лист,N(_xlpm.k)))</f>
        <v>12</v>
      </c>
      <c r="BM133">
        <f t="shared" si="287"/>
        <v>15</v>
      </c>
      <c r="BN133" t="str">
        <f t="shared" si="288"/>
        <v>линии</v>
      </c>
      <c r="BO133" s="6">
        <f>IFERROR(N(_xlfn.XLOOKUP(BC133,Коды_код,Коды_квт)),0)</f>
        <v>0</v>
      </c>
      <c r="BP133">
        <f t="shared" si="289"/>
        <v>0</v>
      </c>
      <c r="BQ133" t="str">
        <f>IF(B133="","",IF(BH133&lt;&gt;"",IFERROR(_xlfn.XLOOKUP(BH133,Щиты[Щит],Щиты[Руст, кВт]),0),IF(BP133=1,IF(OR(N(_xlfn.XLOOKUP(A133,Щиты[Щит],Щиты[Вводов],1))&lt;=1,LOWER(TRIM(_xlfn.XLOOKUP(A133,Щиты[Щит],Щиты[АВР],"")&amp;""))="да"),IFERROR(_xlfn.XLOOKUP(A133,Щиты[Щит],Щиты[Руст, кВт]),0),SUMIFS(Линии[_Р для вводов],Линии[Щит],A133,Линии[Источник для режимов],GF133)),IF(BO133&gt;0,ROUND(BO133*MAX(1,N(D133)),3),""))))</f>
        <v/>
      </c>
      <c r="BR133">
        <f t="shared" si="290"/>
        <v>0.376</v>
      </c>
      <c r="BS133" s="6">
        <f>IF(B133="","",IF(BH133&lt;&gt;"",IFERROR(_xlfn.XLOOKUP(BH133,Щиты[Щит],Щиты[Руст, кВт]),0),N(BR133)))</f>
        <v>0.376</v>
      </c>
      <c r="BT133" t="str">
        <f>IF(B133="","",IFERROR(IF(VLOOKUP(BC133,Потребители_обозначение,8,FALSE)=0,"",VLOOKUP(BC133,Потребители_обозначение,8,FALSE)),""))</f>
        <v/>
      </c>
      <c r="BU133">
        <f t="shared" si="291"/>
        <v>230</v>
      </c>
      <c r="BV133">
        <f t="shared" si="292"/>
        <v>0</v>
      </c>
      <c r="BW133">
        <f>IF(B133="","",IF(BH133&lt;&gt;"",3,IFERROR(IF(N(VLOOKUP(BC133,Потребители_обозначение,9,FALSE))=0,1,VLOOKUP(BC133,Потребители_обозначение,9,FALSE)),1)))</f>
        <v>1</v>
      </c>
      <c r="BX133">
        <f t="shared" si="293"/>
        <v>1</v>
      </c>
      <c r="BY133" t="str">
        <f>IF(B133="","",_xlfn.LET(_xlpm.bc,IFERROR(IF(VLOOKUP(BC133,Потребители_обозначение,6,FALSE)=0,"",VLOOKUP(BC133,Потребители_обозначение,6,FALSE)&amp;""),""),IF(AND(GA133="да",OR(_xlpm.bc="",_xlpm.bc="мс")),Марка_пож,IF(AND(_xlpm.bc="",BH133&lt;&gt;""),"мс",_xlpm.bc))))</f>
        <v/>
      </c>
      <c r="BZ133" t="str">
        <f t="shared" si="294"/>
        <v>мс</v>
      </c>
      <c r="CA133">
        <f>IF(B133="","",_xlfn.LET(_xlpm.cc,IFERROR(N(VLOOKUP(BC133,Потребители_обозначение,7,FALSE)),0),IF(_xlpm.cc&gt;0,_xlpm.cc,IF(BZ133="","",IF(BV133=1,2,IF(N(BX133)=3,5,3))))))</f>
        <v>3</v>
      </c>
      <c r="CB133">
        <f t="shared" si="295"/>
        <v>3</v>
      </c>
      <c r="CC133">
        <f>IFERROR(N(VLOOKUP(BC133,Потребители_обозначение,10,FALSE)),0)</f>
        <v>0</v>
      </c>
      <c r="CD133">
        <f>IFERROR(VLOOKUP(BC133,Потребители_обозначение,5,FALSE),0)</f>
        <v>1</v>
      </c>
      <c r="CE133" s="6" cm="1">
        <f t="array" ref="CE133">IF(B133="","",IF(BH133&lt;&gt;"",IFERROR(_xlfn.XLOOKUP(BH133,Щиты[Щит],Щиты[cos φ]),0.95),IF(BP133=1,IFERROR(_xlfn.XLOOKUP(A133,Щиты[Щит],Щиты[cos φ]),0.95),IF(ISNUMBER(AD133),AD133,IFERROR(IF(CD133=2,_xlfn.IFS(BX133=3,VLOOKUP(BS133,Справочная_двигатели,8,FALSE),BX133=1,VLOOKUP(BS133,Справочная_двигатели,10,TRUE)),IF(AND(Методика="нормы 2026",FG133="Сил"),0.8,0.95)),0.95)))))</f>
        <v>0.8</v>
      </c>
      <c r="CF133">
        <f t="shared" si="296"/>
        <v>0</v>
      </c>
      <c r="CG133">
        <f t="shared" si="297"/>
        <v>1</v>
      </c>
      <c r="CH133">
        <f t="shared" si="298"/>
        <v>0</v>
      </c>
      <c r="CI133">
        <f>IF(B133="","",IF(BV133=1,IFERROR(BS133/((Uн_лин/SQRT(3))*MAX(0.5,N(CE133))),0),N(O133)))</f>
        <v>2.0351596988934304</v>
      </c>
      <c r="CJ133">
        <f t="shared" si="299"/>
        <v>0</v>
      </c>
      <c r="CK133">
        <f t="shared" si="300"/>
        <v>0</v>
      </c>
      <c r="CL133">
        <f t="shared" si="301"/>
        <v>0</v>
      </c>
      <c r="CM133">
        <f t="shared" si="302"/>
        <v>0</v>
      </c>
      <c r="CN133">
        <f t="shared" si="303"/>
        <v>0</v>
      </c>
      <c r="CO133">
        <f>IF(BC133="",0,_xlfn.LET(_xlpm.v,IFERROR(_xlfn.XLOOKUP(B133,Коды_код,Коды_мА),IFERROR(_xlfn.XLOOKUP(BC133,Коды_код,Коды_мА),IFERROR(_xlfn.XLOOKUP(LEFT(BC133,2),Коды_код,Коды_мА),""))),IF(_xlpm.v="да",30,IF(ISNUMBER(_xlpm.v),_xlpm.v,0))))</f>
        <v>0</v>
      </c>
      <c r="CP133" t="str">
        <f t="shared" si="304"/>
        <v/>
      </c>
      <c r="CQ133" t="str">
        <f>_xlfn.LET(_xlpm.k,IFERROR(_xlfn.XLOOKUP(BC133,Коды_код,Коды_утечка)&amp;"",""),IF(_xlpm.k="","дифавтомат",_xlpm.k))</f>
        <v>дифавтомат</v>
      </c>
      <c r="CR133" t="str" cm="1">
        <f t="array" ref="CR133">IF(CG133=0,"",_xlfn.LET(_xlpm.sg,TRIM(_xlfn.TEXTSPLIT(DD133&amp;"",";")),_xlpm.f_,_xlfn._xlws.FILTER(_xlpm.sg,LEFT(_xlpm.sg,3)="УЗО",""),IFERROR(INDEX(_xlpm.f_,1)&amp;"","")))</f>
        <v/>
      </c>
      <c r="CS133" t="str">
        <f t="shared" si="305"/>
        <v/>
      </c>
      <c r="CT133" s="6" t="str" cm="1">
        <f t="array" ref="CT133">IF(CR133="","",_xlfn.LET(_xlpm.tk,_xlfn.TEXTSPLIT(UPPER(CR133)," ",,TRUE),_xlpm.a_,_xlfn._xlws.FILTER(_xlpm.tk,ISNUMBER(--LEFT(_xlpm.tk,1))*((ISNUMBER(SEARCH("А",_xlpm.tk))+ISNUMBER(SEARCH("A",_xlpm.tk)))&gt;0)*NOT(ISNUMBER(SEARCH("МА",_xlpm.tk)))*NOT(ISNUMBER(SEARCH("MA",_xlpm.tk))),""),IFERROR(--SUBSTITUTE(SUBSTITUTE(INDEX(_xlpm.a_,1),"А",""),"A",""),"")))</f>
        <v/>
      </c>
      <c r="CU133" t="str" cm="1">
        <f t="array" ref="CU133">IF(CR133="","",_xlfn.LET(_xlpm.tk,_xlfn.TEXTSPLIT(UPPER(CR133)," ",,TRUE),_xlpm.a_,_xlfn._xlws.FILTER(_xlpm.tk,ISNUMBER(--LEFT(_xlpm.tk,1))*((ISNUMBER(SEARCH("МА",_xlpm.tk))+ISNUMBER(SEARCH("MA",_xlpm.tk)))&gt;0),""),IFERROR(--SUBSTITUTE(SUBSTITUTE(INDEX(_xlpm.a_,1),"МА",""),"MA",""),30)))</f>
        <v/>
      </c>
      <c r="CV133" t="str">
        <f>IF(CS133="","",IFERROR(_xlfn.XLOOKUP(CS133,Линии[_n],Линии[_УЗО, мА]),30))</f>
        <v/>
      </c>
      <c r="CW133">
        <f>IF(CS133="",0,IF(ISNUMBER(SEARCH("4P",IFERROR(_xlfn.XLOOKUP(CS133,Линии[_n],Линии[_УЗО строки])&amp;"",""))),0,1))</f>
        <v>0</v>
      </c>
      <c r="CX133" t="str">
        <f>IF(AND(CS133&lt;&gt;"",CS133=BA133),SUMIFS(Линии[_ток на 230 В],Линии[_блок УЗО],BA133,Линии[Щит],A133),"")</f>
        <v/>
      </c>
      <c r="CY133" t="str">
        <f>IF(AND(CS133&lt;&gt;"",CS133=BA133),SUMIFS(Линии[_ток утечки линии, мА],Линии[_блок УЗО],BA133,Линии[Щит],A133),"")</f>
        <v/>
      </c>
      <c r="CZ133">
        <f t="shared" si="306"/>
        <v>0</v>
      </c>
      <c r="DA133">
        <f t="shared" si="307"/>
        <v>0</v>
      </c>
      <c r="DB133">
        <f>IF(B133="",0,IFERROR(--_xlfn.XLOOKUP(B133,Коды_код,Коды_минавт),IFERROR(--_xlfn.XLOOKUP(BC133,Коды_код,Коды_минавт),IFERROR(--_xlfn.XLOOKUP(LEFT(BC133,2),Коды_код,Коды_минавт),0))))</f>
        <v>0</v>
      </c>
      <c r="DC133" t="str">
        <f>IF(B133="","",IFERROR(_xlfn.XLOOKUP(BC133,Коды_код,Коды_апп)&amp;"",""))</f>
        <v/>
      </c>
      <c r="DD133" t="str">
        <f t="shared" si="308"/>
        <v/>
      </c>
      <c r="DE133" t="str" cm="1">
        <f t="array" ref="DE133">IF(TRIM(DD133&amp;"")="","",IFERROR(TRIM(INDEX(_xlfn.TEXTSPLIT(DD133&amp;";;;",";"),1)),""))</f>
        <v/>
      </c>
      <c r="DF133" t="str" cm="1">
        <f t="array" ref="DF133">IF(TRIM(DD133&amp;"")="","",IFERROR(TRIM(INDEX(_xlfn.TEXTSPLIT(DD133&amp;";;;",";"),2)),""))</f>
        <v/>
      </c>
      <c r="DG133" t="str" cm="1">
        <f t="array" ref="DG133">IF(TRIM(DD133&amp;"")="","",IFERROR(TRIM(INDEX(_xlfn.TEXTSPLIT(DD133&amp;";;;",";"),3)),""))</f>
        <v/>
      </c>
      <c r="DH133">
        <f t="shared" si="309"/>
        <v>0</v>
      </c>
      <c r="DI133" t="str">
        <f>IF(B133="","",_xlfn.LET(_xlpm.t,LOWER(AZ133&amp;""),IF(ISNUMBER(SEARCH("dim",_xlpm.t)),"DIM",IF(ISNUMBER(SEARCH("dali",_xlpm.t)),"DALI",IF(OR(ISNUMBER(SEARCH("relay",_xlpm.t)),ISNUMBER(SEARCH("реле",_xlpm.t))),"Relay",IF(ISNUMBER(SEARCH("кнопк",_xlpm.t)),"",IFERROR(_xlfn.XLOOKUP(BC133,Коды_код,Коды_упр)&amp;"","")))))))</f>
        <v/>
      </c>
      <c r="DJ133" t="str">
        <f t="shared" si="310"/>
        <v/>
      </c>
      <c r="DK133">
        <f>IF(B133="","",_xlfn.LET(_xlpm.ig,IF(N(CX133)&gt;0,N(CX133),N(CI133)+IF(AJ133="вручную",0,N(CJ133))),_xlpm.n0,IFERROR(VLOOKUP(_xlpm.ig,Автомат_номиналы,2,TRUE),0),_xlpm.mn,MAX(DB133,IF(AJ133="вручную",0,N(CM133))),MAX(_xlpm.n0,_xlpm.mn,IF(DH133=1,Мин_автомат_БП,0))))</f>
        <v>6</v>
      </c>
      <c r="DL133">
        <f t="shared" si="311"/>
        <v>1</v>
      </c>
      <c r="DM133" t="str">
        <f t="shared" si="312"/>
        <v>1P</v>
      </c>
      <c r="DN133" t="str">
        <f>_xlfn.LET(_xlpm.cc,UPPER(TRIM(IFERROR(_xlfn.XLOOKUP(BC133,Коды_код,Коды_хар)&amp;"",""))),IF(OR(_xlpm.cc="B",_xlpm.cc="В"),"B",IF(_xlpm.cc="D","D","С")))</f>
        <v>С</v>
      </c>
      <c r="DO133" t="str">
        <f t="shared" si="313"/>
        <v>1P С6А</v>
      </c>
      <c r="DP133" t="str">
        <f t="shared" si="314"/>
        <v>1P С6А</v>
      </c>
      <c r="DQ133" t="str">
        <f t="shared" si="315"/>
        <v>1P С6А</v>
      </c>
      <c r="DR133" cm="1">
        <f t="array" ref="DR133">IF(DQ133="","",_xlfn.LET(_xlpm.t,SUBSTITUTE(SUBSTITUTE(SUBSTITUTE(UPPER(DQ133),"С","C"),"А","A"),"В","B"),_xlpm.tk,_xlfn.TEXTSPLIT(_xlpm.t," "),_xlpm.f,_xlfn._xlws.FILTER(_xlpm.tk,ISNUMBER(--MID(_xlpm.tk,2,1))*ISNUMBER(SEARCH(LEFT(_xlpm.tk,1)&amp;"#","B#C#D#"))*(LEN(_xlpm.tk)&gt;1),""),_xlpm.x,INDEX(_xlpm.f,1),IFERROR(--SUBSTITUTE(MID(_xlpm.x,2,9),"A",""),IFERROR(--SUBSTITUTE(INDEX(_xlfn._xlws.FILTER(_xlpm.tk,ISNUMBER(--SUBSTITUTE(_xlpm.tk,"A","")),""),1),"A",""),""))))</f>
        <v>6</v>
      </c>
      <c r="DS133" t="str">
        <f t="shared" si="316"/>
        <v>ok</v>
      </c>
      <c r="DT133">
        <f t="shared" si="317"/>
        <v>6</v>
      </c>
      <c r="DU133" t="str">
        <f t="shared" si="318"/>
        <v>1P С6А</v>
      </c>
      <c r="DV133">
        <f t="shared" si="319"/>
        <v>0</v>
      </c>
      <c r="DW133">
        <f t="shared" si="320"/>
        <v>0</v>
      </c>
      <c r="DX133">
        <f t="shared" si="321"/>
        <v>0</v>
      </c>
      <c r="DY133">
        <f t="shared" si="322"/>
        <v>2.0351596988934304</v>
      </c>
      <c r="DZ133">
        <f t="shared" si="323"/>
        <v>1</v>
      </c>
      <c r="EA133">
        <f>IF(ISNUMBER(AP133),AP133,К_прокл)</f>
        <v>1</v>
      </c>
      <c r="EB133">
        <f t="shared" si="324"/>
        <v>2</v>
      </c>
      <c r="EC133">
        <f>IFERROR(N(VLOOKUP(BZ133,Кабель_обозначение,3,FALSE)),1)</f>
        <v>1</v>
      </c>
      <c r="ED133">
        <f>IFERROR(N(_xlfn.XLOOKUP(A133,Щиты[Щит],Щиты[ΔU до шин, %])),0)</f>
        <v>1.1399999999999999</v>
      </c>
      <c r="EE133" t="str">
        <f>IFERROR(_xlfn.XLOOKUP(A133,Щиты[Щит],Щиты[Zпетли на шинах, Ом]),"")</f>
        <v/>
      </c>
      <c r="EF133">
        <f>IFERROR(N(_xlfn.XLOOKUP(A133,Щиты[Щит],Щиты[ΔU до шин (подбор), %])),0)</f>
        <v>1.82</v>
      </c>
      <c r="EG133" t="str">
        <f>IFERROR(_xlfn.XLOOKUP(A133,Щиты[Щит],Щиты[Zпетли на шинах (подбор), Ом]),"")</f>
        <v/>
      </c>
      <c r="EH133" t="str">
        <f t="shared" si="325"/>
        <v/>
      </c>
      <c r="EI133">
        <f t="shared" si="326"/>
        <v>24</v>
      </c>
      <c r="EJ133">
        <f t="shared" si="327"/>
        <v>2</v>
      </c>
      <c r="EK133">
        <f t="shared" si="328"/>
        <v>0.6</v>
      </c>
      <c r="EL133" s="6">
        <f>IF(B133="","",IF(BV133=1,dU_LED,IF(IFERROR(_xlfn.XLOOKUP(BC133,Коды_код,Коды_уго),"")="Светильник",3,4)+IF(Методика="нормы 2026",MIN(0.5,MAX(0,N(P133)-100)*0.005),0)))</f>
        <v>4</v>
      </c>
      <c r="EM133" cm="1">
        <f t="array" ref="EM133">IF(OR(B133="",BZ133="",EC133&lt;&gt;1),"",_xlfn.LET(_xlpm.sz,Iдоп_S,_xlpm.t_,CHOOSE(EB133,Iдоп_1ж,Iдоп_2ж,Iдоп_3ж)*DZ133*EA133,_xlpm.dcx,BV133=1,_xlpm.inn,IF(_xlpm.dcx,N(O133),N(DT133)),_xlpm.smin,MAX(1.5,CC133),_xlpm.L_,N(P133)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133)/N(BU133)*100,999),IFERROR(N(EJ133)*(_xlpm.rho*_xlpm.L_/_xlpm.sz*N(CE133)+_xlpm.xx*_xlpm.L_*N(EK133)/1000)*N(O133)/((Uн_лин/SQRT(3))*1000)*100,999)),_xlpm.kz,IF(OR(_xlpm.dcx,DW133=1,NOT(ISNUMBER(EG133)),_xlpm.L_=0,_xlpm.inn=0),1,IFERROR(--(c_min*(Uн_лин*1000/SQRT(3))/(EG133+2*ρкз_Cu*_xlpm.L_/_xlpm.sz)&gt;=HT133*_xlpm.inn),0)),_xlpm.ok,IFERROR((_xlpm.sz&gt;=_xlpm.smin)*(_xlpm.t_&gt;=_xlpm.inn)*IF(_xlpm.L_&gt;0,(_xlpm.du_+IF(_xlpm.dcx,0,EF133)&lt;=EL133+0.00001),1)*_xlpm.kz,0),_xlpm.r_,_xlfn._xlws.FILTER(_xlpm.sz,_xlpm.ok,"не подобрано"),INDEX(_xlpm.r_,1)))</f>
        <v>1.5</v>
      </c>
      <c r="EN133">
        <f t="shared" si="329"/>
        <v>1.5</v>
      </c>
      <c r="EO133" cm="1">
        <f t="array" ref="EO133">IF(OR(B133="",BZ133="",EC133&lt;&gt;1),"",_xlfn.LET(_xlpm.sz,Iдоп_S,_xlpm.t_,CHOOSE(EB133,Iдоп_1ж,Iдоп_2ж,Iдоп_3ж)*DZ133*EA133,_xlpm.ok,IFERROR((_xlpm.sz&gt;=MAX(1.5,CC133))*(_xlpm.t_&gt;=N(DT133)),0),_xlpm.r_,_xlfn._xlws.FILTER(_xlpm.sz,_xlpm.ok,""),INDEX(_xlpm.r_,1)))</f>
        <v>1.5</v>
      </c>
      <c r="EP133" s="6" cm="1">
        <f t="array" ref="EP133">IFERROR(ROUNDUP(N(EJ133)*(_xlfn.XLOOKUP(EO133,INDEX(Кабель_сопротивление,0,1),INDEX(Кабель_сопротивление,0,3))*N(P133)/EO133*N(CE133)+_xlfn.XLOOKUP(EO133,INDEX(Кабель_сопротивление,0,1),INDEX(Кабель_сопротивление,0,2))*N(P133)*N(EK133)/1000)*N(O133)/((Uн_лин/SQRT(3))*1000)*100,2),"")</f>
        <v>0.56000000000000005</v>
      </c>
      <c r="EQ133">
        <f>IFERROR(2*ρкз_Cu*N(P133)/EO133,"")</f>
        <v>0.91173333333333328</v>
      </c>
      <c r="ER133">
        <f>IFERROR(VLOOKUP(EN133,Кабель_сопротивление,3,FALSE),"")</f>
        <v>2.2499999999999999E-2</v>
      </c>
      <c r="ES133">
        <f>IFERROR(VLOOKUP(EN133,Кабель_сопротивление,2,FALSE),"")</f>
        <v>0.11</v>
      </c>
      <c r="ET133">
        <f t="shared" si="330"/>
        <v>14</v>
      </c>
      <c r="EU133">
        <f t="shared" si="331"/>
        <v>0</v>
      </c>
      <c r="EV133">
        <f t="shared" si="332"/>
        <v>1.2769243201961029</v>
      </c>
      <c r="EW133" s="6">
        <f>IFERROR(ROUNDUP(EV133/IF(BV133=1,BU133,(Uн_лин/SQRT(3))*1000)*100,2),"")</f>
        <v>0.56000000000000005</v>
      </c>
      <c r="EX133" t="str">
        <f>IFERROR(VLOOKUP(BZ133,Кабель_обозначение,2,FALSE),"")</f>
        <v>ВВГнг(А)-LS</v>
      </c>
      <c r="EY133" t="str">
        <f t="shared" si="333"/>
        <v>ВВГнг(А)-LS (3х1,5)</v>
      </c>
      <c r="EZ133" t="str">
        <f t="shared" si="334"/>
        <v>ВВГнг(А)-LS (3х1,5)
L=26-0,56%</v>
      </c>
      <c r="FA133">
        <f>IFERROR(2*ρкз_Cu*P133/EN133,"")</f>
        <v>0.91173333333333328</v>
      </c>
      <c r="FB133">
        <f t="shared" si="335"/>
        <v>0.3033333333333334</v>
      </c>
      <c r="FC133" s="6" t="str">
        <f>IFERROR(IF(OR(B133="",BV133=1,NOT(ISNUMBER(EN133)),N(P133)=0),"",_xlfn.XLOOKUP(A133,Щиты[Щит],Щиты[Zпетли на шинах, Ом])+FA133),"")</f>
        <v/>
      </c>
      <c r="FD133" s="6" t="str">
        <f>IF(ISNUMBER(FC133),c_min*(Uн_лин*1000/SQRT(3))/FC133,"")</f>
        <v/>
      </c>
      <c r="FE133" s="6" t="str">
        <f>IFERROR(IF(OR(B133="",NOT(ISNUMBER(EN133))),"",1.05*(Uн_лин*1000/SQRT(3))/(_xlfn.XLOOKUP(A133,Щиты[Щит],Щиты[Zmax на шинах, Ом])+FB133)/1000),"")</f>
        <v/>
      </c>
      <c r="FF133" s="6" t="str">
        <f>IF(B133="","",IF(ISNUMBER(AC133),"Сил",IF(IFERROR(_xlfn.XLOOKUP(BC133,Коды_код,Коды_группа)&amp;"","")="","Быт",_xlfn.XLOOKUP(BC133,Коды_код,Коды_группа)&amp;"")))</f>
        <v>Сил</v>
      </c>
      <c r="FG133" s="6" t="str">
        <f t="shared" si="336"/>
        <v>Сил</v>
      </c>
      <c r="FH133" s="6">
        <f>IF(FG133="Щит","щит",IF(FG133="","",IF(FG133="Быт",IFERROR(_xlfn.XLOOKUP(A133,Щиты[Щит],Щиты[Кс быт]),1),IF(FG133="Сил",IF(ISNUMBER(AC133),AC133,IF(Методика="нормы 2026",IFERROR(_xlfn.XLOOKUP(A133,Щиты[Щит],Щиты[Кс силовых (табл. 7.5)]),1),1)),IF(OR(FG133="Пост",FG133="Отоп"),1,IF(FG133="ВНГ",0.7,0))))))</f>
        <v>0.5</v>
      </c>
      <c r="FI133">
        <f>IF(FG133="","",IF(AND(BP133=1,TRIM(AE133&amp;"")=""),IF(COUNTIFS(Линии[Щит],A133,Линии[Секция (1/2/3)],"&gt;=2")&gt;0,MIN(3,MAX(1,IFERROR(--BD133,1))),1),IFERROR(MIN(3,MAX(1,INT(--AE133))),1)))</f>
        <v>1</v>
      </c>
      <c r="FJ133">
        <f t="shared" si="337"/>
        <v>0.376</v>
      </c>
      <c r="FK133">
        <f t="shared" si="338"/>
        <v>0</v>
      </c>
      <c r="FL133">
        <f t="shared" si="339"/>
        <v>0.188</v>
      </c>
      <c r="FM133">
        <f t="shared" si="340"/>
        <v>0</v>
      </c>
      <c r="FN133">
        <f t="shared" si="341"/>
        <v>0</v>
      </c>
      <c r="FO133">
        <f t="shared" si="342"/>
        <v>0</v>
      </c>
      <c r="FP133">
        <f t="shared" si="343"/>
        <v>0.376</v>
      </c>
      <c r="FQ133">
        <f t="shared" si="344"/>
        <v>0.376</v>
      </c>
      <c r="FR133">
        <f t="shared" si="345"/>
        <v>0.30080000000000001</v>
      </c>
      <c r="FS133">
        <f>IF(CG133=1,IF(AND(CH133=1,CW133=1),0,IF(AND(CS133&lt;&gt;"",CS133=BA133,CW133=1),SUMIFS(Линии[_Р линии, кВт],Линии[_блок УЗО],BA133,Линии[Щит],A133),N(BS133)+IF(AJ133="вручную",0,N(CK133)))),0)</f>
        <v>0.376</v>
      </c>
      <c r="FT133" t="str">
        <f t="shared" si="346"/>
        <v/>
      </c>
      <c r="FU133" t="str">
        <f>IF(B133="","",IF(CG133=0,IF(BA133=1,"",FW132),IF(AND(CH133=1,CW133=1,CS133&lt;&gt;""),IFERROR(_xlfn.XLOOKUP(CS133,Линии[_n],Линии[_фаза итог]),"L1"),IF(OR(N(DL133)&gt;=3,N(BX133)&gt;=3),"L1,L2,L3",IFERROR(_xlfn.TEXTBEFORE(_xlfn.TEXTAFTER(_xlfn.XLOOKUP(A133,Щиты[Щит],Щиты[_фазы авто]),";"&amp;BA133&amp;":"),";"),"L1")))))</f>
        <v>L2</v>
      </c>
      <c r="FV133" t="str">
        <f t="shared" si="347"/>
        <v>L2</v>
      </c>
      <c r="FW133" t="str">
        <f t="shared" si="348"/>
        <v>L2</v>
      </c>
      <c r="FX133" cm="1">
        <f t="array" ref="FX133">IFERROR(IF(CD133=2,_xlfn.IFS(BX133=3,VLOOKUP(BS133,Справочная_двигатели,3,FALSE),BX133=1,VLOOKUP(BS133,Справочная_двигатели,5,TRUE)),0),0)</f>
        <v>0</v>
      </c>
      <c r="FY133">
        <f>IFERROR(IF(CD133=3,VLOOKUP(BS133,Справочная_ЛЭД,2,TRUE),0),0)</f>
        <v>0</v>
      </c>
      <c r="FZ133" s="6">
        <f t="shared" si="349"/>
        <v>0</v>
      </c>
      <c r="GA133" t="str">
        <f>IF(B133="","",IF(TRIM(AH133&amp;"")&lt;&gt;"",IF(LOWER(TRIM(AH133&amp;""))="да","да","нет"),IF(IFERROR(_xlfn.XLOOKUP(BC133,Коды_код,Коды_пожарная),"")="да","да","нет")))</f>
        <v>нет</v>
      </c>
      <c r="GB133" t="str">
        <f t="shared" si="350"/>
        <v/>
      </c>
      <c r="GC133" t="str">
        <f t="shared" si="351"/>
        <v>основная</v>
      </c>
      <c r="GD133">
        <f>IF(AND(BP133=1,TRIM(AE133&amp;"")=""),IF(COUNTIFS(Линии[Щит],A133,Линии[Секция (1/2/3)],"&gt;=2")&gt;0,MIN(3,MAX(1,IFERROR(--BD133,1))),1),IFERROR(MIN(3,MAX(1,INT(--AE133))),1))</f>
        <v>1</v>
      </c>
      <c r="GE133" t="str" cm="1">
        <f t="array" ref="GE133">IF(B133="","",_xlfn.LET(_xlpm.t,IFERROR(_xlfn.XLOOKUP(1,(Шины[Шина]=GC133)*(((Шины[Щит]=A133)+(Шины[Щит]=""))&gt;0),Шины[Тип]),"")&amp;"",IF(_xlpm.t&lt;&gt;"",_xlpm.t,IF(ISNUMBER(SEARCH("ИБП",GC133)),"ИБП",IF(ISNUMBER(SEARCH("ДГУ",GC133)),"ДГУ","Ввод "&amp;GD133)))))</f>
        <v>Ввод 1</v>
      </c>
      <c r="GF133" t="str">
        <f t="shared" si="352"/>
        <v>Ввод 1</v>
      </c>
      <c r="GG133" t="str">
        <f>IF(BP133=0,"",IF(TRIM(AG133&amp;"")&lt;&gt;"",TRIM(AG133&amp;""),IF(OR(GE133="ИБП",GE133="ДГУ"),"I особая",_xlfn.XLOOKUP(A133,Щиты[Щит],Щиты[Категория шины «Ввод»],"III"))))</f>
        <v/>
      </c>
      <c r="GH133" t="str">
        <f>IF(A133="","",_xlfn.XLOOKUP(A133,Щиты[Щит],Щиты[Путь],""))</f>
        <v>|ГРЩ-ЖД|ЩОВ-2|</v>
      </c>
      <c r="GI133" t="str">
        <f>IF(B133="","",IF(AI133&lt;&gt;"",AI133,IF(IFERROR(_xlfn.XLOOKUP(BC133,Коды_код,Коды_вид)&amp;"","")="","Прочее",_xlfn.XLOOKUP(BC133,Коды_код,Коды_вид)&amp;"")))</f>
        <v>Кондиционирование и увлажнение</v>
      </c>
      <c r="GJ133">
        <f>IF(BM133="","",INT((BM133-1)/Столбцов_на_лист)+1)</f>
        <v>1</v>
      </c>
      <c r="GK133" t="str">
        <f t="shared" si="353"/>
        <v>ВВГнг(А)-LS (3х1,5) L=26-0,56%</v>
      </c>
      <c r="GL133">
        <f t="shared" si="354"/>
        <v>0.376</v>
      </c>
      <c r="GM133">
        <f t="shared" si="355"/>
        <v>2.0399999999999996</v>
      </c>
      <c r="GN133">
        <f t="shared" si="356"/>
        <v>1</v>
      </c>
      <c r="GO133">
        <f t="shared" si="357"/>
        <v>0</v>
      </c>
      <c r="GP133">
        <f t="shared" si="358"/>
        <v>1</v>
      </c>
      <c r="GQ133">
        <f>IF(BM133="","",IF(AND(CG133=1,GP133=1),COUNTIFS(A$3:A133,A133,CG$3:CG133,1,GP$3:GP133,1),IF(OR(OR(BA133=1,A133&lt;&gt;A132),AJ133="вручную",GP133=0),"",IF(BA133=1,"",GR132))))</f>
        <v>3</v>
      </c>
      <c r="GR133">
        <f t="shared" si="359"/>
        <v>3</v>
      </c>
      <c r="GS133">
        <f>IF(B133="","",IFERROR(LOOKUP(INDEX(CHOOSE(EB133,Iдоп_1ж,Iдоп_2ж,Iдоп_3ж),MATCH(EN133,Iдоп_S,0))*DZ133*EA133,{6,10,16,20,25,32,40,50,63,80,100,125,160,200,250,315,400,500,630}),""))</f>
        <v>16</v>
      </c>
      <c r="GT133" t="str">
        <f t="shared" si="360"/>
        <v>QF3</v>
      </c>
      <c r="GU133" t="str">
        <f t="shared" si="361"/>
        <v>QF3</v>
      </c>
      <c r="GV133" t="str">
        <f t="shared" si="362"/>
        <v/>
      </c>
      <c r="GW133">
        <f t="shared" si="363"/>
        <v>0</v>
      </c>
      <c r="GX133" t="str">
        <f>IF(OR(B133="",DJ133=""),"",IFERROR(_xlfn.XLOOKUP(DJ133,Модули_умолч[Управление],Модули_умолч[Модель])&amp;"",""))</f>
        <v/>
      </c>
      <c r="GY133">
        <f>IF(DJ133="",1,IFERROR(MAX(0,N(_xlfn.XLOOKUP(DJ133,Модули_умолч[Управление],Модули_умолч[Каналов на линию]))),1))</f>
        <v>1</v>
      </c>
      <c r="GZ133" t="str">
        <f t="shared" si="364"/>
        <v/>
      </c>
      <c r="HA133" t="str">
        <f t="shared" si="365"/>
        <v/>
      </c>
      <c r="HB133" t="str">
        <f t="shared" si="366"/>
        <v/>
      </c>
      <c r="HC133">
        <f>IF(HB133="",0,IFERROR(N(VLOOKUP(HB133,Модули_спр,3,FALSE)),0))</f>
        <v>0</v>
      </c>
      <c r="HD133" t="str">
        <f t="shared" si="367"/>
        <v/>
      </c>
      <c r="HE133" t="str">
        <f t="shared" si="368"/>
        <v/>
      </c>
      <c r="HF133" t="str">
        <f>IF(OR(HE133="",HE133="-"),"",IFERROR(VLOOKUP(HE133,Модули_спр,2,FALSE),"R"))</f>
        <v/>
      </c>
      <c r="HG133" t="str">
        <f>IF(HF133="","",HF133&amp;"."&amp;COUNTIFS(A$3:A133,A133,HF$3:HF133,HF133))</f>
        <v/>
      </c>
      <c r="HH133" t="str">
        <f t="shared" si="369"/>
        <v/>
      </c>
      <c r="HI133" t="str">
        <f t="shared" si="370"/>
        <v/>
      </c>
      <c r="HJ133" t="str">
        <f t="shared" si="371"/>
        <v/>
      </c>
      <c r="HK133" t="str">
        <f t="shared" si="372"/>
        <v/>
      </c>
      <c r="HL133">
        <f t="shared" si="373"/>
        <v>1</v>
      </c>
      <c r="HM133" t="str">
        <f>IF(HL133=1,"XT"&amp;COUNTIFS(A$3:A133,A133,HL$3:HL133,1),"")</f>
        <v>XT3</v>
      </c>
      <c r="HN133" t="str">
        <f t="shared" si="374"/>
        <v>XT3</v>
      </c>
      <c r="HO133" t="str">
        <f t="shared" si="375"/>
        <v>QF3</v>
      </c>
      <c r="HP133" t="str">
        <f t="shared" si="376"/>
        <v/>
      </c>
      <c r="HQ133" t="str">
        <f t="shared" si="377"/>
        <v>ok</v>
      </c>
      <c r="HR133" t="str">
        <f>IF(OR(HJ133="",HH133=""),"",IF(HJ133+MAX(0,GY133-1)&gt;IFERROR(VLOOKUP(HI133,Модули_спр,3,FALSE),99),"ЛИШНИЙ КАНАЛ",IF(AND(AL133&lt;&gt;"=",GY133&gt;0,COUNTIFS(Линии[_модуль гр.],HH133,Линии[Канал (итог)],HJ133,Линии[Канал],"&lt;&gt;=",Линии[Щит],A133)&gt;1),"ДУБЛЬ КАНАЛА","")))</f>
        <v/>
      </c>
      <c r="HS133" s="6" t="str">
        <f t="shared" si="378"/>
        <v/>
      </c>
      <c r="HT133">
        <f t="shared" si="379"/>
        <v>10</v>
      </c>
      <c r="HU133" t="str">
        <f t="shared" si="380"/>
        <v/>
      </c>
      <c r="HV133">
        <f t="shared" si="381"/>
        <v>1.0740638795573723</v>
      </c>
      <c r="HW133">
        <f t="shared" si="382"/>
        <v>0</v>
      </c>
      <c r="HX133">
        <f t="shared" si="383"/>
        <v>0</v>
      </c>
      <c r="HY133">
        <f t="shared" si="384"/>
        <v>0</v>
      </c>
      <c r="HZ133">
        <f t="shared" si="385"/>
        <v>0</v>
      </c>
      <c r="IA133">
        <f t="shared" si="386"/>
        <v>0</v>
      </c>
      <c r="IB133">
        <f t="shared" si="387"/>
        <v>0</v>
      </c>
      <c r="IC133" t="str">
        <f t="shared" si="388"/>
        <v/>
      </c>
      <c r="ID133" t="str" cm="1">
        <f t="array" ref="ID133">IF(IC133="","",_xlfn.LET(_xlpm.tk,_xlfn.TEXTSPLIT(SUBSTITUTE(SUBSTITUTE(IC133,";"," "),"→"," ")," ",,TRUE),_xlpm.w_,_xlfn._xlws.FILTER(_xlpm.tk,ISNUMBER(--LEFT(_xlpm.tk,1))*((ISNUMBER(SEARCH("W",_xlpm.tk))+ISNUMBER(SEARCH("Вт",_xlpm.tk)))&gt;0),""),IFERROR(--SUBSTITUTE(SUBSTITUTE(UPPER(INDEX(_xlpm.w_,1)),"W",""),"ВТ",""),"")))</f>
        <v/>
      </c>
      <c r="IE133" t="str" cm="1">
        <f t="array" ref="IE133">IF(IC133="","",_xlfn.LET(_xlpm.tk,_xlfn.TEXTSPLIT(SUBSTITUTE(SUBSTITUTE(IC133,";"," "),"→"," ")," ",,TRUE),_xlpm.v_,_xlfn._xlws.FILTER(_xlpm.tk,ISNUMBER(--LEFT(_xlpm.tk,1))*((ISNUMBER(SEARCH("V",_xlpm.tk))+(RIGHT(UPPER(_xlpm.tk))="В"))&gt;0),""),IFERROR(--SUBSTITUTE(SUBSTITUTE(UPPER(INDEX(_xlpm.v_,1)),"V",""),"В",""),"")))</f>
        <v/>
      </c>
      <c r="IF133" s="6" t="str">
        <f>IF(OR(BV133=0,HI133="",HJ133=""),"",IFERROR(N(_xlfn.XLOOKUP(HI133,Каталог!$C$4:$C$500,Каталог!$Q$4:$Q$500)),""))</f>
        <v/>
      </c>
      <c r="IG133" s="6" t="str">
        <f>IF(N(IF133)=0,"",SUMIFS(Линии[Iр, А],Линии[Щит],A133,Линии[_модуль гр.],HH133,Линии[Канал (итог)],HJ133))</f>
        <v/>
      </c>
      <c r="IH133" t="str">
        <f>IF(AND(B133="",HO133=""),"",_xlfn.TEXTJOIN("; ",TRUE,IF(AND(B133&lt;&gt;"",FV133=""),"нет фазы",""),IF(AND(B133&lt;&gt;"",N(GL133)=0,FG133&lt;&gt;"Нет"),"нет мощности",""),IF(AND(HN133&lt;&gt;"",COUNTIFS(Линии[Щит],A133,Линии[Клемма (итог)],HN133)&gt;1),"дубль клеммы "&amp;HN133,""),IF(AND(HQ133&lt;&gt;"",HQ133&lt;&gt;"ok"),HQ133,""),IF(HR133&lt;&gt;"",HR133,""),IF(AND(N(CB133)&gt;=4,N(BX133)=1),CB133&amp;" жил на 1 фазе",""),IF(AND(BC133="R",CG133=1,IF(CS133&lt;&gt;"",N(CV133)&gt;30,OR(N(DA133)=0,N(DA133)&gt;30))),"розетка без дифзащиты до 30 мА",""),IF(AND(CG133=1,N(DA133)&gt;0,ISNUMBER(T133)),IF(T133&gt;N(DA133)/3,"ток утечки "&amp;FIXED(T133,1)&amp;" мА &gt; 1/3 уставки ("&amp;DA133&amp;" мА)",""),""),IF(AND(CH133=1,CS133=""),"«узо»: нет строки с УЗО выше (УЗО 2P 40А 30мА в «Аппаратах»)",""),IF(AND(CS133&lt;&gt;"",CS133=BA133),IF(CT133="","впишите номинал УЗО (УЗО 2P 40А 30мА)",IF(N(CT133)&lt;N(DT133),"УЗО "&amp;CT133&amp;" А &lt; автомата "&amp;DT133&amp;" А перед ним",IF(N(CT133)&lt;N(CX133),"УЗО "&amp;CT133&amp;" А &lt; тока блока "&amp;FIXED(CX133,1)&amp;" А",""))),""),IF(AND(CS133&lt;&gt;"",CS133=BA133,ISNUMBER(CY133)),IF(CY133&gt;N(CV133)/3,"ток утечки блока УЗО "&amp;FIXED(CY133,1)&amp;" мА &gt; 1/3 уставки ("&amp;CV133&amp;" мА)",""),""),IF(AND(CG133=1,N(BV133)+N(IB133)&gt;0,IC133=""),"линии до 50 В без БП: впишите в «Аппараты» (БП 24V 480W)",""),IF(AND(CG133=1,ISNUMBER(ID133),ISNUMBER(U133)),IF(U133&gt;ID133,"БП "&amp;ID133&amp;" Вт &lt; нужно "&amp;U133&amp;" Вт (×"&amp;Запас_БП&amp;")",""),""),IF(AND(CG133=1,ISNUMBER(IE133),N(BV133)=1),IF(IE133&lt;&gt;N(BU133),"БП на "&amp;IE133&amp;" В, линия "&amp;BU133&amp;" В",""),""),IF(AND(N(IF133)&gt;0,N(IG133)&gt;N(IF133)),HH133&amp;" канал "&amp;HJ133&amp;": "&amp;FIXED(IG133,1)&amp;" А &gt; "&amp;IF133&amp;" А",""),IFERROR(IF(AND(ISNUMBER(Q133),Q133&gt;EL133),"потери "&amp;FIXED(Q133,1)&amp;" % &gt; "&amp;EL133&amp;" %",""),""),IFERROR(IF(LEFT(HU133,4)="мало","Iкз мало — отключение &gt; 0,4 с",""),""),IF(AND(B133&lt;&gt;"",BM133=""),"не на схеме",""),IF(AND(CG133=0,B133&lt;&gt;"",FV133&lt;&gt;"",IF(BA133=1,"",FW132)&lt;&gt;"",FV133&lt;&gt;IF(BA133=1,"",FW132)),"фаза не как у автомата группы ("&amp;IF(BA133=1,"",FW132)&amp;")","")))</f>
        <v/>
      </c>
      <c r="II133" s="6" t="str">
        <f>IF(OR(CG133=0,DQ133=""),"",_xlfn.LET(_xlpm.t,IFERROR(_xlfn.XLOOKUP(DQ133,Каталог!$U$4:$U$500,Каталог!$G$4:$G$500),""),_xlpm.k,SEARCH("кА",_xlpm.t),IFERROR(--TRIM(RIGHT(SUBSTITUTE(MID(_xlpm.t,MAX(1,_xlpm.k-4),_xlpm.k-MAX(1,_xlpm.k-4))," ",REPT(" ",9)),5)),"")))</f>
        <v/>
      </c>
      <c r="IJ133" t="str">
        <f>IF(OR(II133="",CG133=0),"",IF(_xlfn.XLOOKUP(A133,Щиты[Щит],Щиты[Iкз max на шинах, кА],"")="","",IF(II133&lt;_xlfn.XLOOKUP(A133,Щиты[Щит],Щиты[Iкз max на шинах, кА]),"Icu "&amp;II133&amp;" кА &lt; Iкз max","ok")))</f>
        <v/>
      </c>
      <c r="IK133" t="str">
        <f t="shared" si="389"/>
        <v/>
      </c>
      <c r="IL133" t="str">
        <f t="shared" si="390"/>
        <v>QF3|XT3</v>
      </c>
      <c r="IM133" t="str">
        <f t="shared" si="391"/>
        <v>QF3|XT3|кабель ВВГнг(А)-LS (3х1,5) → Внутренний блок кондиционирования Технический этаж Пом. №002Т</v>
      </c>
      <c r="IN133" t="str" cm="1">
        <f t="array" ref="IN133">IF(IM133="","",_xlfn.LET(_xlpm.nd,_xlfn.TEXTSPLIT(IM133,"|"),IF(COLUMNS(_xlpm.nd)&gt;1,A133&amp;"¦"&amp;INDEX(_xlpm.nd,1)&amp;"¦"&amp;INDEX(_xlpm.nd,2),"")))</f>
        <v>ЩОВ-2¦QF3¦XT3</v>
      </c>
      <c r="IO133" t="str">
        <f t="shared" si="392"/>
        <v>K.1.003A¦Внутренний блок кондиционирования Технический этаж Пом. №002Т</v>
      </c>
      <c r="IP133" t="str" cm="1">
        <f t="array" ref="IP133">IF(IM133="","",_xlfn.LET(_xlpm.nd,_xlfn.TEXTSPLIT(IM133,"|"),IF(COLUMNS(_xlpm.nd)&gt;2,A133&amp;"¦"&amp;INDEX(_xlpm.nd,2)&amp;"¦"&amp;INDEX(_xlpm.nd,3),"")))</f>
        <v>ЩОВ-2¦XT3¦кабель ВВГнг(А)-LS (3х1,5) → Внутренний блок кондиционирования Технический этаж Пом. №002Т</v>
      </c>
      <c r="IQ133" t="str">
        <f t="shared" si="393"/>
        <v>K.1.003A¦Внутренний блок кондиционирования Технический этаж Пом. №002Т</v>
      </c>
      <c r="IR133" t="str" cm="1">
        <f t="array" ref="IR133">IF(IM133="","",_xlfn.LET(_xlpm.nd,_xlfn.TEXTSPLIT(IM133,"|"),IF(COLUMNS(_xlpm.nd)&gt;3,A133&amp;"¦"&amp;INDEX(_xlpm.nd,3)&amp;"¦"&amp;INDEX(_xlpm.nd,4),"")))</f>
        <v/>
      </c>
      <c r="IS133" t="str">
        <f t="shared" si="394"/>
        <v/>
      </c>
      <c r="IT133" t="str" cm="1">
        <f t="array" ref="IT133">IF(IM133="","",_xlfn.LET(_xlpm.nd,_xlfn.TEXTSPLIT(IM133,"|"),IF(COLUMNS(_xlpm.nd)&gt;4,A133&amp;"¦"&amp;INDEX(_xlpm.nd,4)&amp;"¦"&amp;INDEX(_xlpm.nd,5),"")))</f>
        <v/>
      </c>
      <c r="IU133" t="str">
        <f t="shared" si="395"/>
        <v/>
      </c>
      <c r="IV133" t="str" cm="1">
        <f t="array" ref="IV133">IF(IM133="","",_xlfn.LET(_xlpm.nd,_xlfn.TEXTSPLIT(IM133,"|"),IF(COLUMNS(_xlpm.nd)&gt;5,A133&amp;"¦"&amp;INDEX(_xlpm.nd,5)&amp;"¦"&amp;INDEX(_xlpm.nd,6),"")))</f>
        <v/>
      </c>
      <c r="IW133" t="str">
        <f t="shared" si="396"/>
        <v/>
      </c>
      <c r="IX133" t="str" cm="1">
        <f t="array" ref="IX133">IF(IM133="","",_xlfn.LET(_xlpm.nd,_xlfn.TEXTSPLIT(IM133,"|"),IF(COLUMNS(_xlpm.nd)&gt;6,A133&amp;"¦"&amp;INDEX(_xlpm.nd,6)&amp;"¦"&amp;INDEX(_xlpm.nd,7),"")))</f>
        <v/>
      </c>
      <c r="IY133" t="str">
        <f t="shared" si="397"/>
        <v/>
      </c>
      <c r="IZ133" t="str">
        <f t="shared" si="398"/>
        <v/>
      </c>
      <c r="JA133" t="str">
        <f t="shared" si="399"/>
        <v>QF3 → XT3</v>
      </c>
      <c r="JB133">
        <f t="shared" si="400"/>
        <v>0</v>
      </c>
      <c r="JC133">
        <f t="shared" si="401"/>
        <v>0</v>
      </c>
      <c r="JD133" t="str">
        <f t="shared" si="402"/>
        <v/>
      </c>
      <c r="JE133" t="str">
        <f t="shared" si="403"/>
        <v/>
      </c>
      <c r="JF133" t="str">
        <f t="shared" si="404"/>
        <v/>
      </c>
      <c r="JG133" t="str">
        <f t="shared" si="405"/>
        <v/>
      </c>
      <c r="JH133">
        <f>IF(B133="","",IFERROR(_xlfn.XLOOKUP(B133,Коды_код,Коды_уго),IFERROR(_xlfn.XLOOKUP(BC133,Коды_код,Коды_уго),IFERROR(_xlfn.XLOOKUP(LEFT(BC133,2),Коды_код,Коды_уго),""))))</f>
        <v>0</v>
      </c>
      <c r="JI133" t="str">
        <f>IF(B133="","",IF(OR(JH133="",JH133=0),"BOX",IFERROR(IF(VLOOKUP(JH133,УГО_блоки,3,FALSE)&amp;""&lt;&gt;"",VLOOKUP(JH133,УГО_блоки,3,FALSE),VLOOKUP(JH133,УГО_блоки,2,FALSE)),JH133)))</f>
        <v>BOX</v>
      </c>
      <c r="JJ133">
        <f t="shared" si="406"/>
        <v>1</v>
      </c>
      <c r="JK133" t="str">
        <f>IF(DQ133="","",IF(COUNTIF(DQ$3:DQ133,DQ133)=1,MAX(JK$2:JK132)+1,""))</f>
        <v/>
      </c>
      <c r="JL133" t="str">
        <f>IF(DE133="","",IF(COUNTIF(DE$3:DE133,DE133)+COUNTIF(DF$2:DF132,DE133)+COUNTIF(DG$2:DG132,DE133)=1,MAX(JL$2:JN132)+1,""))</f>
        <v/>
      </c>
      <c r="JM133" t="str">
        <f>IF(DF133="","",IF(COUNTIF(DE$3:DE133,DF133)+COUNTIF(DF$3:DF133,DF133)+COUNTIF(DG$2:DG132,DF133)=1,MAX(JL$2:JN132,JL133)+1,""))</f>
        <v/>
      </c>
      <c r="JN133" t="str">
        <f>IF(DG133="","",IF(COUNTIF(DE$3:DE133,DG133)+COUNTIF(DF$3:DF133,DG133)+COUNTIF(DG$3:DG133,DG133)=1,MAX(JL$2:JN132,JL133,JM133)+1,""))</f>
        <v/>
      </c>
      <c r="JO133" t="str">
        <f t="shared" si="407"/>
        <v>3х1,5</v>
      </c>
      <c r="JP133" t="str">
        <f>IF(JO133="","",IF(COUNTIF(JO$3:JO133,JO133)=1,MAX(JP$2:JP132)+1,""))</f>
        <v/>
      </c>
      <c r="JQ133" t="str">
        <f>IF(HG133="","",COUNTIF(HG$3:HG133,"?*"))</f>
        <v/>
      </c>
      <c r="JR133" t="str">
        <f>IF(OR(HG133="",HI133=""),"",IF(COUNTIFS(HG$3:HG133,"?*",HI$3:HI133,HI133)=1,MAX(JR$2:JR132)+1,""))</f>
        <v/>
      </c>
      <c r="JS133">
        <f t="shared" si="408"/>
        <v>0</v>
      </c>
      <c r="JT133">
        <f>IF(B133="","",COUNTIF(B$3:B133,"?*"))</f>
        <v>131</v>
      </c>
      <c r="JU133">
        <f>IF(HL133&lt;&gt;1,0,_xlfn.LET(_xlpm.k,MAX(IFERROR(--_xlfn.XLOOKUP(B133,Коды_код,Коды_3L),0),IFERROR(--_xlfn.XLOOKUP(BC133,Коды_код,Коды_3L),0),IFERROR(--_xlfn.XLOOKUP(LEFT(BC133,2),Коды_код,Коды_3L),0)),IF(_xlpm.k&gt;0,_xlpm.k,IF(IFERROR(--LEFT(SUBSTITUTE(JO133,"x","х"),FIND("х",SUBSTITUTE(JO133,"x","х"))-1),3)&gt;3,Каталог!$S$9,1))))</f>
        <v>1</v>
      </c>
      <c r="JV133">
        <f t="shared" si="409"/>
        <v>0</v>
      </c>
      <c r="JW133" t="str">
        <f t="shared" si="410"/>
        <v>авто</v>
      </c>
      <c r="JX133" t="str">
        <f t="shared" si="411"/>
        <v/>
      </c>
      <c r="JY133">
        <f t="shared" si="412"/>
        <v>0</v>
      </c>
      <c r="JZ133">
        <f t="shared" si="413"/>
        <v>1</v>
      </c>
    </row>
    <row r="134" spans="1:286" x14ac:dyDescent="0.3">
      <c r="A134" t="s">
        <v>751</v>
      </c>
      <c r="B134" t="s">
        <v>1443</v>
      </c>
      <c r="C134" t="s">
        <v>1684</v>
      </c>
      <c r="D134">
        <v>1</v>
      </c>
      <c r="E134">
        <v>0.29799999999999999</v>
      </c>
      <c r="G134" t="str">
        <f>Линии[[#This Row],[_авто автомат]]</f>
        <v>1P С6А</v>
      </c>
      <c r="H134" t="str">
        <f>Линии[[#This Row],[_авто управление]]</f>
        <v/>
      </c>
      <c r="I134" t="str">
        <f>Линии[[#This Row],[_авто аппараты]]</f>
        <v/>
      </c>
      <c r="J134">
        <v>1.5</v>
      </c>
      <c r="K134">
        <v>24</v>
      </c>
      <c r="L134">
        <v>1</v>
      </c>
      <c r="M134" t="str">
        <f>Линии[[#This Row],[_авто клемма]]</f>
        <v>XT4</v>
      </c>
      <c r="N134" t="str">
        <f t="shared" si="276"/>
        <v/>
      </c>
      <c r="O134" s="6" cm="1">
        <f t="array" ref="O134">IF(B134="","",IF(BH134&lt;&gt;"",IFERROR(_xlfn.XLOOKUP(BH134,Щиты[Щит],Щиты[Iр, А]),""),IF(BP134=1,IF(OR(N(_xlfn.XLOOKUP(A134,Щиты[Щит],Щиты[Вводов],1))&lt;=1,LOWER(TRIM(_xlfn.XLOOKUP(A134,Щиты[Щит],Щиты[АВР],"")&amp;""))="да"),IFERROR(_xlfn.XLOOKUP(A134,Щиты[Щит],Щиты[Iр, А]),""),IFERROR(N(BS134)*_xlfn.XLOOKUP(A134,Щиты[Щит],Щиты[Кс итог])/(SQRT(3)*Uн_лин*_xlfn.XLOOKUP(A134,Щиты[Щит],Щиты[cos φ])),"")),IF(BV134=1,IFERROR(BS134*1000/BU134,""),IFERROR(_xlfn.IFS(BX134=1,BS134/((Uн_лин/SQRT(3))*CE134),BX134=3,BS134/(SQRT(3)*Uн_лин*CE134)),"")))))</f>
        <v>1.6129723145485166</v>
      </c>
      <c r="P134" s="7">
        <f>IF(B134="","",IFERROR(IF(VLOOKUP(BC134,Потребители_обозначение,4,FALSE)=1,VLOOKUP(BC134,Потребители_обозначение,3,FALSE)*(MAX(1,N(D134))*2-1)+EI134+VLOOKUP(BE134,Этаж_обозначение,3,FALSE)+VLOOKUP(BE134,Этаж_обозначение,4,FALSE),VLOOKUP(BC134,Потребители_обозначение,3,FALSE)*(MAX(1,N(D134))*2-1)+EI134),EI134))</f>
        <v>26</v>
      </c>
      <c r="Q134" s="6">
        <f t="shared" si="277"/>
        <v>1.5799999999999998</v>
      </c>
      <c r="R134" t="str">
        <f t="shared" si="278"/>
        <v>ВВГнг(А)-LS (3х1,5)</v>
      </c>
      <c r="S134" t="str">
        <f>IF(BM134="","",IF(BN134="вводной узел","узел ","")&amp;"л."&amp;(INT((BM134-1)/Столбцов_на_лист)+1)&amp;" / "&amp;(MOD(BM134-1,Столбцов_на_лист)+1))</f>
        <v>л.1 / 16</v>
      </c>
      <c r="T134" s="119">
        <f t="shared" si="279"/>
        <v>0.9</v>
      </c>
      <c r="U134" s="7" t="str">
        <f>IF(OR(CG134=0,N(BV134)+N(IB134)=0),"",ROUNDUP(Запас_БП*(N(HY134)+N(HZ134)),0))</f>
        <v/>
      </c>
      <c r="V134" s="119" t="str">
        <f t="shared" si="280"/>
        <v/>
      </c>
      <c r="W134" s="7" t="str">
        <f>IFERROR(IF(OR(B134="",BP134=1,BV134=1,NOT(ISNUMBER(EN134)),N(DT134)=0),"",MAX(0,ROUNDDOWN((c_min*(Uн_лин*1000/SQRT(3))/(HT134*N(DT134))-_xlfn.XLOOKUP(A134,Щиты[Щит],Щиты[Zпетли на шинах, Ом]))*EN134/(2*ρкз_Cu),0))),"")</f>
        <v/>
      </c>
      <c r="Y134" t="str">
        <f>Линии[[#This Row],[_авто утечка]]</f>
        <v/>
      </c>
      <c r="Z134">
        <v>1</v>
      </c>
      <c r="AA134">
        <v>230</v>
      </c>
      <c r="AB134" t="s">
        <v>598</v>
      </c>
      <c r="AC134">
        <v>0.5</v>
      </c>
      <c r="AG134" t="s">
        <v>810</v>
      </c>
      <c r="AI134" t="s">
        <v>576</v>
      </c>
      <c r="AK134" t="str">
        <f>Линии[[#This Row],[_авто модуль]]</f>
        <v/>
      </c>
      <c r="AM134">
        <v>16</v>
      </c>
      <c r="AN134" t="s">
        <v>11</v>
      </c>
      <c r="AO134">
        <v>3</v>
      </c>
      <c r="AQ134">
        <v>12</v>
      </c>
      <c r="AR134">
        <v>14</v>
      </c>
      <c r="AT134">
        <v>1</v>
      </c>
      <c r="BA134" cm="1">
        <f t="array" ref="BA134">ROW()-ROW(Линии[#Headers])</f>
        <v>132</v>
      </c>
      <c r="BC134" s="6" t="str">
        <f t="shared" si="281"/>
        <v>K</v>
      </c>
      <c r="BD134" t="str">
        <f t="shared" si="282"/>
        <v>1.005A</v>
      </c>
      <c r="BE134" t="str">
        <f t="shared" si="283"/>
        <v>1</v>
      </c>
      <c r="BF134" t="str">
        <f t="shared" si="284"/>
        <v>005A</v>
      </c>
      <c r="BG134" t="str">
        <f t="shared" si="285"/>
        <v>005A</v>
      </c>
      <c r="BH134" t="str">
        <f>IF(X134&lt;&gt;"",X134,IF(AND(B134&lt;&gt;"",B134&lt;&gt;A134,ISNUMBER(_xlfn.XMATCH(B134,Щиты[Щит]))),B134,""))</f>
        <v/>
      </c>
      <c r="BI134" t="str" cm="1">
        <f t="array" ref="BI134">IF(B134="","",IF(BH134&lt;&gt;"","Щит "&amp;BH134,_xlfn.LET(_xlpm.nm,IFERROR(_xlfn.XLOOKUP(BC134,Коды_код,Коды_имя)&amp;"",""),_xlpm.md,IFERROR(N(_xlfn.XLOOKUP(BC134,Коды_код,Коды_режим)),1),_xlpm.ex,IF(Имя_режим="по экспликации",IFERROR(_xlfn.XLOOKUP(BE134&amp;"|"&amp;BG134,Экспликация[Этаж]&amp;"|"&amp;Экспликация[Помещение],Экспликация[Название])&amp;"",""),""),_xlpm.rm,IF(BG134="","",IF(_xlpm.ex&lt;&gt;"",". "&amp;_xlpm.ex&amp;IF(Имя_пом="нет"," ("&amp;BG134&amp;")"," (пом. "&amp;BG134&amp;")"),IF(Имя_пом="нет"," ",", пом. ")&amp;BG134)),IF(_xlpm.nm="","",IF(_xlpm.md=2,_xlpm.nm&amp;" шлейф "&amp;BE134,_xlpm.nm&amp;_xlpm.rm)))))</f>
        <v>Внутренний блок кондиционирования, пом. 005A</v>
      </c>
      <c r="BJ134" t="str">
        <f t="shared" si="286"/>
        <v>Внутренний блок кондиционирования Технический этаж Пом. №001Т</v>
      </c>
      <c r="BK134">
        <f>IFERROR(_xlfn.XMATCH(A134,Щиты[Щит]),0)</f>
        <v>7</v>
      </c>
      <c r="BL134">
        <f>_xlfn.LET(_xlpm.k,IFERROR(_xlfn.XLOOKUP(A134,Щиты[Щит],Щиты[Мест под вводной узел]),""),IF(_xlpm.k="",Столбцов_на_лист,N(_xlpm.k)))</f>
        <v>12</v>
      </c>
      <c r="BM134">
        <f t="shared" si="287"/>
        <v>16</v>
      </c>
      <c r="BN134" t="str">
        <f t="shared" si="288"/>
        <v>линии</v>
      </c>
      <c r="BO134" s="6">
        <f>IFERROR(N(_xlfn.XLOOKUP(BC134,Коды_код,Коды_квт)),0)</f>
        <v>0</v>
      </c>
      <c r="BP134">
        <f t="shared" si="289"/>
        <v>0</v>
      </c>
      <c r="BQ134" t="str">
        <f>IF(B134="","",IF(BH134&lt;&gt;"",IFERROR(_xlfn.XLOOKUP(BH134,Щиты[Щит],Щиты[Руст, кВт]),0),IF(BP134=1,IF(OR(N(_xlfn.XLOOKUP(A134,Щиты[Щит],Щиты[Вводов],1))&lt;=1,LOWER(TRIM(_xlfn.XLOOKUP(A134,Щиты[Щит],Щиты[АВР],"")&amp;""))="да"),IFERROR(_xlfn.XLOOKUP(A134,Щиты[Щит],Щиты[Руст, кВт]),0),SUMIFS(Линии[_Р для вводов],Линии[Щит],A134,Линии[Источник для режимов],GF134)),IF(BO134&gt;0,ROUND(BO134*MAX(1,N(D134)),3),""))))</f>
        <v/>
      </c>
      <c r="BR134">
        <f t="shared" si="290"/>
        <v>0.29799999999999999</v>
      </c>
      <c r="BS134" s="6">
        <f>IF(B134="","",IF(BH134&lt;&gt;"",IFERROR(_xlfn.XLOOKUP(BH134,Щиты[Щит],Щиты[Руст, кВт]),0),N(BR134)))</f>
        <v>0.29799999999999999</v>
      </c>
      <c r="BT134" t="str">
        <f>IF(B134="","",IFERROR(IF(VLOOKUP(BC134,Потребители_обозначение,8,FALSE)=0,"",VLOOKUP(BC134,Потребители_обозначение,8,FALSE)),""))</f>
        <v/>
      </c>
      <c r="BU134">
        <f t="shared" si="291"/>
        <v>230</v>
      </c>
      <c r="BV134">
        <f t="shared" si="292"/>
        <v>0</v>
      </c>
      <c r="BW134">
        <f>IF(B134="","",IF(BH134&lt;&gt;"",3,IFERROR(IF(N(VLOOKUP(BC134,Потребители_обозначение,9,FALSE))=0,1,VLOOKUP(BC134,Потребители_обозначение,9,FALSE)),1)))</f>
        <v>1</v>
      </c>
      <c r="BX134">
        <f t="shared" si="293"/>
        <v>1</v>
      </c>
      <c r="BY134" t="str">
        <f>IF(B134="","",_xlfn.LET(_xlpm.bc,IFERROR(IF(VLOOKUP(BC134,Потребители_обозначение,6,FALSE)=0,"",VLOOKUP(BC134,Потребители_обозначение,6,FALSE)&amp;""),""),IF(AND(GA134="да",OR(_xlpm.bc="",_xlpm.bc="мс")),Марка_пож,IF(AND(_xlpm.bc="",BH134&lt;&gt;""),"мс",_xlpm.bc))))</f>
        <v/>
      </c>
      <c r="BZ134" t="str">
        <f t="shared" si="294"/>
        <v>мс</v>
      </c>
      <c r="CA134">
        <f>IF(B134="","",_xlfn.LET(_xlpm.cc,IFERROR(N(VLOOKUP(BC134,Потребители_обозначение,7,FALSE)),0),IF(_xlpm.cc&gt;0,_xlpm.cc,IF(BZ134="","",IF(BV134=1,2,IF(N(BX134)=3,5,3))))))</f>
        <v>3</v>
      </c>
      <c r="CB134">
        <f t="shared" si="295"/>
        <v>3</v>
      </c>
      <c r="CC134">
        <f>IFERROR(N(VLOOKUP(BC134,Потребители_обозначение,10,FALSE)),0)</f>
        <v>0</v>
      </c>
      <c r="CD134">
        <f>IFERROR(VLOOKUP(BC134,Потребители_обозначение,5,FALSE),0)</f>
        <v>1</v>
      </c>
      <c r="CE134" s="6" cm="1">
        <f t="array" ref="CE134">IF(B134="","",IF(BH134&lt;&gt;"",IFERROR(_xlfn.XLOOKUP(BH134,Щиты[Щит],Щиты[cos φ]),0.95),IF(BP134=1,IFERROR(_xlfn.XLOOKUP(A134,Щиты[Щит],Щиты[cos φ]),0.95),IF(ISNUMBER(AD134),AD134,IFERROR(IF(CD134=2,_xlfn.IFS(BX134=3,VLOOKUP(BS134,Справочная_двигатели,8,FALSE),BX134=1,VLOOKUP(BS134,Справочная_двигатели,10,TRUE)),IF(AND(Методика="нормы 2026",FG134="Сил"),0.8,0.95)),0.95)))))</f>
        <v>0.8</v>
      </c>
      <c r="CF134">
        <f t="shared" si="296"/>
        <v>0</v>
      </c>
      <c r="CG134">
        <f t="shared" si="297"/>
        <v>1</v>
      </c>
      <c r="CH134">
        <f t="shared" si="298"/>
        <v>0</v>
      </c>
      <c r="CI134">
        <f>IF(B134="","",IF(BV134=1,IFERROR(BS134/((Uн_лин/SQRT(3))*MAX(0.5,N(CE134))),0),N(O134)))</f>
        <v>1.6129723145485166</v>
      </c>
      <c r="CJ134">
        <f t="shared" si="299"/>
        <v>0</v>
      </c>
      <c r="CK134">
        <f t="shared" si="300"/>
        <v>0</v>
      </c>
      <c r="CL134">
        <f t="shared" si="301"/>
        <v>0</v>
      </c>
      <c r="CM134">
        <f t="shared" si="302"/>
        <v>0</v>
      </c>
      <c r="CN134">
        <f t="shared" si="303"/>
        <v>0</v>
      </c>
      <c r="CO134">
        <f>IF(BC134="",0,_xlfn.LET(_xlpm.v,IFERROR(_xlfn.XLOOKUP(B134,Коды_код,Коды_мА),IFERROR(_xlfn.XLOOKUP(BC134,Коды_код,Коды_мА),IFERROR(_xlfn.XLOOKUP(LEFT(BC134,2),Коды_код,Коды_мА),""))),IF(_xlpm.v="да",30,IF(ISNUMBER(_xlpm.v),_xlpm.v,0))))</f>
        <v>0</v>
      </c>
      <c r="CP134" t="str">
        <f t="shared" si="304"/>
        <v/>
      </c>
      <c r="CQ134" t="str">
        <f>_xlfn.LET(_xlpm.k,IFERROR(_xlfn.XLOOKUP(BC134,Коды_код,Коды_утечка)&amp;"",""),IF(_xlpm.k="","дифавтомат",_xlpm.k))</f>
        <v>дифавтомат</v>
      </c>
      <c r="CR134" t="str" cm="1">
        <f t="array" ref="CR134">IF(CG134=0,"",_xlfn.LET(_xlpm.sg,TRIM(_xlfn.TEXTSPLIT(DD134&amp;"",";")),_xlpm.f_,_xlfn._xlws.FILTER(_xlpm.sg,LEFT(_xlpm.sg,3)="УЗО",""),IFERROR(INDEX(_xlpm.f_,1)&amp;"","")))</f>
        <v/>
      </c>
      <c r="CS134" t="str">
        <f t="shared" si="305"/>
        <v/>
      </c>
      <c r="CT134" s="6" t="str" cm="1">
        <f t="array" ref="CT134">IF(CR134="","",_xlfn.LET(_xlpm.tk,_xlfn.TEXTSPLIT(UPPER(CR134)," ",,TRUE),_xlpm.a_,_xlfn._xlws.FILTER(_xlpm.tk,ISNUMBER(--LEFT(_xlpm.tk,1))*((ISNUMBER(SEARCH("А",_xlpm.tk))+ISNUMBER(SEARCH("A",_xlpm.tk)))&gt;0)*NOT(ISNUMBER(SEARCH("МА",_xlpm.tk)))*NOT(ISNUMBER(SEARCH("MA",_xlpm.tk))),""),IFERROR(--SUBSTITUTE(SUBSTITUTE(INDEX(_xlpm.a_,1),"А",""),"A",""),"")))</f>
        <v/>
      </c>
      <c r="CU134" t="str" cm="1">
        <f t="array" ref="CU134">IF(CR134="","",_xlfn.LET(_xlpm.tk,_xlfn.TEXTSPLIT(UPPER(CR134)," ",,TRUE),_xlpm.a_,_xlfn._xlws.FILTER(_xlpm.tk,ISNUMBER(--LEFT(_xlpm.tk,1))*((ISNUMBER(SEARCH("МА",_xlpm.tk))+ISNUMBER(SEARCH("MA",_xlpm.tk)))&gt;0),""),IFERROR(--SUBSTITUTE(SUBSTITUTE(INDEX(_xlpm.a_,1),"МА",""),"MA",""),30)))</f>
        <v/>
      </c>
      <c r="CV134" t="str">
        <f>IF(CS134="","",IFERROR(_xlfn.XLOOKUP(CS134,Линии[_n],Линии[_УЗО, мА]),30))</f>
        <v/>
      </c>
      <c r="CW134">
        <f>IF(CS134="",0,IF(ISNUMBER(SEARCH("4P",IFERROR(_xlfn.XLOOKUP(CS134,Линии[_n],Линии[_УЗО строки])&amp;"",""))),0,1))</f>
        <v>0</v>
      </c>
      <c r="CX134" t="str">
        <f>IF(AND(CS134&lt;&gt;"",CS134=BA134),SUMIFS(Линии[_ток на 230 В],Линии[_блок УЗО],BA134,Линии[Щит],A134),"")</f>
        <v/>
      </c>
      <c r="CY134" t="str">
        <f>IF(AND(CS134&lt;&gt;"",CS134=BA134),SUMIFS(Линии[_ток утечки линии, мА],Линии[_блок УЗО],BA134,Линии[Щит],A134),"")</f>
        <v/>
      </c>
      <c r="CZ134">
        <f t="shared" si="306"/>
        <v>0</v>
      </c>
      <c r="DA134">
        <f t="shared" si="307"/>
        <v>0</v>
      </c>
      <c r="DB134">
        <f>IF(B134="",0,IFERROR(--_xlfn.XLOOKUP(B134,Коды_код,Коды_минавт),IFERROR(--_xlfn.XLOOKUP(BC134,Коды_код,Коды_минавт),IFERROR(--_xlfn.XLOOKUP(LEFT(BC134,2),Коды_код,Коды_минавт),0))))</f>
        <v>0</v>
      </c>
      <c r="DC134" t="str">
        <f>IF(B134="","",IFERROR(_xlfn.XLOOKUP(BC134,Коды_код,Коды_апп)&amp;"",""))</f>
        <v/>
      </c>
      <c r="DD134" t="str">
        <f t="shared" si="308"/>
        <v/>
      </c>
      <c r="DE134" t="str" cm="1">
        <f t="array" ref="DE134">IF(TRIM(DD134&amp;"")="","",IFERROR(TRIM(INDEX(_xlfn.TEXTSPLIT(DD134&amp;";;;",";"),1)),""))</f>
        <v/>
      </c>
      <c r="DF134" t="str" cm="1">
        <f t="array" ref="DF134">IF(TRIM(DD134&amp;"")="","",IFERROR(TRIM(INDEX(_xlfn.TEXTSPLIT(DD134&amp;";;;",";"),2)),""))</f>
        <v/>
      </c>
      <c r="DG134" t="str" cm="1">
        <f t="array" ref="DG134">IF(TRIM(DD134&amp;"")="","",IFERROR(TRIM(INDEX(_xlfn.TEXTSPLIT(DD134&amp;";;;",";"),3)),""))</f>
        <v/>
      </c>
      <c r="DH134">
        <f t="shared" si="309"/>
        <v>0</v>
      </c>
      <c r="DI134" t="str">
        <f>IF(B134="","",_xlfn.LET(_xlpm.t,LOWER(AZ134&amp;""),IF(ISNUMBER(SEARCH("dim",_xlpm.t)),"DIM",IF(ISNUMBER(SEARCH("dali",_xlpm.t)),"DALI",IF(OR(ISNUMBER(SEARCH("relay",_xlpm.t)),ISNUMBER(SEARCH("реле",_xlpm.t))),"Relay",IF(ISNUMBER(SEARCH("кнопк",_xlpm.t)),"",IFERROR(_xlfn.XLOOKUP(BC134,Коды_код,Коды_упр)&amp;"","")))))))</f>
        <v/>
      </c>
      <c r="DJ134" t="str">
        <f t="shared" si="310"/>
        <v/>
      </c>
      <c r="DK134">
        <f>IF(B134="","",_xlfn.LET(_xlpm.ig,IF(N(CX134)&gt;0,N(CX134),N(CI134)+IF(AJ134="вручную",0,N(CJ134))),_xlpm.n0,IFERROR(VLOOKUP(_xlpm.ig,Автомат_номиналы,2,TRUE),0),_xlpm.mn,MAX(DB134,IF(AJ134="вручную",0,N(CM134))),MAX(_xlpm.n0,_xlpm.mn,IF(DH134=1,Мин_автомат_БП,0))))</f>
        <v>6</v>
      </c>
      <c r="DL134">
        <f t="shared" si="311"/>
        <v>1</v>
      </c>
      <c r="DM134" t="str">
        <f t="shared" si="312"/>
        <v>1P</v>
      </c>
      <c r="DN134" t="str">
        <f>_xlfn.LET(_xlpm.cc,UPPER(TRIM(IFERROR(_xlfn.XLOOKUP(BC134,Коды_код,Коды_хар)&amp;"",""))),IF(OR(_xlpm.cc="B",_xlpm.cc="В"),"B",IF(_xlpm.cc="D","D","С")))</f>
        <v>С</v>
      </c>
      <c r="DO134" t="str">
        <f t="shared" si="313"/>
        <v>1P С6А</v>
      </c>
      <c r="DP134" t="str">
        <f t="shared" si="314"/>
        <v>1P С6А</v>
      </c>
      <c r="DQ134" t="str">
        <f t="shared" si="315"/>
        <v>1P С6А</v>
      </c>
      <c r="DR134" cm="1">
        <f t="array" ref="DR134">IF(DQ134="","",_xlfn.LET(_xlpm.t,SUBSTITUTE(SUBSTITUTE(SUBSTITUTE(UPPER(DQ134),"С","C"),"А","A"),"В","B"),_xlpm.tk,_xlfn.TEXTSPLIT(_xlpm.t," "),_xlpm.f,_xlfn._xlws.FILTER(_xlpm.tk,ISNUMBER(--MID(_xlpm.tk,2,1))*ISNUMBER(SEARCH(LEFT(_xlpm.tk,1)&amp;"#","B#C#D#"))*(LEN(_xlpm.tk)&gt;1),""),_xlpm.x,INDEX(_xlpm.f,1),IFERROR(--SUBSTITUTE(MID(_xlpm.x,2,9),"A",""),IFERROR(--SUBSTITUTE(INDEX(_xlfn._xlws.FILTER(_xlpm.tk,ISNUMBER(--SUBSTITUTE(_xlpm.tk,"A","")),""),1),"A",""),""))))</f>
        <v>6</v>
      </c>
      <c r="DS134" t="str">
        <f t="shared" si="316"/>
        <v>ok</v>
      </c>
      <c r="DT134">
        <f t="shared" si="317"/>
        <v>6</v>
      </c>
      <c r="DU134" t="str">
        <f t="shared" si="318"/>
        <v>1P С6А</v>
      </c>
      <c r="DV134">
        <f t="shared" si="319"/>
        <v>0</v>
      </c>
      <c r="DW134">
        <f t="shared" si="320"/>
        <v>0</v>
      </c>
      <c r="DX134">
        <f t="shared" si="321"/>
        <v>0</v>
      </c>
      <c r="DY134">
        <f t="shared" si="322"/>
        <v>1.6129723145485166</v>
      </c>
      <c r="DZ134">
        <f t="shared" si="323"/>
        <v>1</v>
      </c>
      <c r="EA134">
        <f>IF(ISNUMBER(AP134),AP134,К_прокл)</f>
        <v>1</v>
      </c>
      <c r="EB134">
        <f t="shared" si="324"/>
        <v>2</v>
      </c>
      <c r="EC134">
        <f>IFERROR(N(VLOOKUP(BZ134,Кабель_обозначение,3,FALSE)),1)</f>
        <v>1</v>
      </c>
      <c r="ED134">
        <f>IFERROR(N(_xlfn.XLOOKUP(A134,Щиты[Щит],Щиты[ΔU до шин, %])),0)</f>
        <v>1.1399999999999999</v>
      </c>
      <c r="EE134" t="str">
        <f>IFERROR(_xlfn.XLOOKUP(A134,Щиты[Щит],Щиты[Zпетли на шинах, Ом]),"")</f>
        <v/>
      </c>
      <c r="EF134">
        <f>IFERROR(N(_xlfn.XLOOKUP(A134,Щиты[Щит],Щиты[ΔU до шин (подбор), %])),0)</f>
        <v>1.82</v>
      </c>
      <c r="EG134" t="str">
        <f>IFERROR(_xlfn.XLOOKUP(A134,Щиты[Щит],Щиты[Zпетли на шинах (подбор), Ом]),"")</f>
        <v/>
      </c>
      <c r="EH134" t="str">
        <f t="shared" si="325"/>
        <v/>
      </c>
      <c r="EI134">
        <f t="shared" si="326"/>
        <v>24</v>
      </c>
      <c r="EJ134">
        <f t="shared" si="327"/>
        <v>2</v>
      </c>
      <c r="EK134">
        <f t="shared" si="328"/>
        <v>0.6</v>
      </c>
      <c r="EL134" s="6">
        <f>IF(B134="","",IF(BV134=1,dU_LED,IF(IFERROR(_xlfn.XLOOKUP(BC134,Коды_код,Коды_уго),"")="Светильник",3,4)+IF(Методика="нормы 2026",MIN(0.5,MAX(0,N(P134)-100)*0.005),0)))</f>
        <v>4</v>
      </c>
      <c r="EM134" cm="1">
        <f t="array" ref="EM134">IF(OR(B134="",BZ134="",EC134&lt;&gt;1),"",_xlfn.LET(_xlpm.sz,Iдоп_S,_xlpm.t_,CHOOSE(EB134,Iдоп_1ж,Iдоп_2ж,Iдоп_3ж)*DZ134*EA134,_xlpm.dcx,BV134=1,_xlpm.inn,IF(_xlpm.dcx,N(O134),N(DT134)),_xlpm.smin,MAX(1.5,CC134),_xlpm.L_,N(P134)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134)/N(BU134)*100,999),IFERROR(N(EJ134)*(_xlpm.rho*_xlpm.L_/_xlpm.sz*N(CE134)+_xlpm.xx*_xlpm.L_*N(EK134)/1000)*N(O134)/((Uн_лин/SQRT(3))*1000)*100,999)),_xlpm.kz,IF(OR(_xlpm.dcx,DW134=1,NOT(ISNUMBER(EG134)),_xlpm.L_=0,_xlpm.inn=0),1,IFERROR(--(c_min*(Uн_лин*1000/SQRT(3))/(EG134+2*ρкз_Cu*_xlpm.L_/_xlpm.sz)&gt;=HT134*_xlpm.inn),0)),_xlpm.ok,IFERROR((_xlpm.sz&gt;=_xlpm.smin)*(_xlpm.t_&gt;=_xlpm.inn)*IF(_xlpm.L_&gt;0,(_xlpm.du_+IF(_xlpm.dcx,0,EF134)&lt;=EL134+0.00001),1)*_xlpm.kz,0),_xlpm.r_,_xlfn._xlws.FILTER(_xlpm.sz,_xlpm.ok,"не подобрано"),INDEX(_xlpm.r_,1)))</f>
        <v>1.5</v>
      </c>
      <c r="EN134">
        <f t="shared" si="329"/>
        <v>1.5</v>
      </c>
      <c r="EO134" cm="1">
        <f t="array" ref="EO134">IF(OR(B134="",BZ134="",EC134&lt;&gt;1),"",_xlfn.LET(_xlpm.sz,Iдоп_S,_xlpm.t_,CHOOSE(EB134,Iдоп_1ж,Iдоп_2ж,Iдоп_3ж)*DZ134*EA134,_xlpm.ok,IFERROR((_xlpm.sz&gt;=MAX(1.5,CC134))*(_xlpm.t_&gt;=N(DT134)),0),_xlpm.r_,_xlfn._xlws.FILTER(_xlpm.sz,_xlpm.ok,""),INDEX(_xlpm.r_,1)))</f>
        <v>1.5</v>
      </c>
      <c r="EP134" s="6" cm="1">
        <f t="array" ref="EP134">IFERROR(ROUNDUP(N(EJ134)*(_xlfn.XLOOKUP(EO134,INDEX(Кабель_сопротивление,0,1),INDEX(Кабель_сопротивление,0,3))*N(P134)/EO134*N(CE134)+_xlfn.XLOOKUP(EO134,INDEX(Кабель_сопротивление,0,1),INDEX(Кабель_сопротивление,0,2))*N(P134)*N(EK134)/1000)*N(O134)/((Uн_лин/SQRT(3))*1000)*100,2),"")</f>
        <v>0.44</v>
      </c>
      <c r="EQ134">
        <f>IFERROR(2*ρкз_Cu*N(P134)/EO134,"")</f>
        <v>0.91173333333333328</v>
      </c>
      <c r="ER134">
        <f>IFERROR(VLOOKUP(EN134,Кабель_сопротивление,3,FALSE),"")</f>
        <v>2.2499999999999999E-2</v>
      </c>
      <c r="ES134">
        <f>IFERROR(VLOOKUP(EN134,Кабель_сопротивление,2,FALSE),"")</f>
        <v>0.11</v>
      </c>
      <c r="ET134">
        <f t="shared" si="330"/>
        <v>14</v>
      </c>
      <c r="EU134">
        <f t="shared" si="331"/>
        <v>0</v>
      </c>
      <c r="EV134">
        <f t="shared" si="332"/>
        <v>1.012030445261805</v>
      </c>
      <c r="EW134" s="6">
        <f>IFERROR(ROUNDUP(EV134/IF(BV134=1,BU134,(Uн_лин/SQRT(3))*1000)*100,2),"")</f>
        <v>0.44</v>
      </c>
      <c r="EX134" t="str">
        <f>IFERROR(VLOOKUP(BZ134,Кабель_обозначение,2,FALSE),"")</f>
        <v>ВВГнг(А)-LS</v>
      </c>
      <c r="EY134" t="str">
        <f t="shared" si="333"/>
        <v>ВВГнг(А)-LS (3х1,5)</v>
      </c>
      <c r="EZ134" t="str">
        <f t="shared" si="334"/>
        <v>ВВГнг(А)-LS (3х1,5)
L=26-0,44%</v>
      </c>
      <c r="FA134">
        <f>IFERROR(2*ρкз_Cu*P134/EN134,"")</f>
        <v>0.91173333333333328</v>
      </c>
      <c r="FB134">
        <f t="shared" si="335"/>
        <v>0.3033333333333334</v>
      </c>
      <c r="FC134" s="6" t="str">
        <f>IFERROR(IF(OR(B134="",BV134=1,NOT(ISNUMBER(EN134)),N(P134)=0),"",_xlfn.XLOOKUP(A134,Щиты[Щит],Щиты[Zпетли на шинах, Ом])+FA134),"")</f>
        <v/>
      </c>
      <c r="FD134" s="6" t="str">
        <f>IF(ISNUMBER(FC134),c_min*(Uн_лин*1000/SQRT(3))/FC134,"")</f>
        <v/>
      </c>
      <c r="FE134" s="6" t="str">
        <f>IFERROR(IF(OR(B134="",NOT(ISNUMBER(EN134))),"",1.05*(Uн_лин*1000/SQRT(3))/(_xlfn.XLOOKUP(A134,Щиты[Щит],Щиты[Zmax на шинах, Ом])+FB134)/1000),"")</f>
        <v/>
      </c>
      <c r="FF134" s="6" t="str">
        <f>IF(B134="","",IF(ISNUMBER(AC134),"Сил",IF(IFERROR(_xlfn.XLOOKUP(BC134,Коды_код,Коды_группа)&amp;"","")="","Быт",_xlfn.XLOOKUP(BC134,Коды_код,Коды_группа)&amp;"")))</f>
        <v>Сил</v>
      </c>
      <c r="FG134" s="6" t="str">
        <f t="shared" si="336"/>
        <v>Сил</v>
      </c>
      <c r="FH134" s="6">
        <f>IF(FG134="Щит","щит",IF(FG134="","",IF(FG134="Быт",IFERROR(_xlfn.XLOOKUP(A134,Щиты[Щит],Щиты[Кс быт]),1),IF(FG134="Сил",IF(ISNUMBER(AC134),AC134,IF(Методика="нормы 2026",IFERROR(_xlfn.XLOOKUP(A134,Щиты[Щит],Щиты[Кс силовых (табл. 7.5)]),1),1)),IF(OR(FG134="Пост",FG134="Отоп"),1,IF(FG134="ВНГ",0.7,0))))))</f>
        <v>0.5</v>
      </c>
      <c r="FI134">
        <f>IF(FG134="","",IF(AND(BP134=1,TRIM(AE134&amp;"")=""),IF(COUNTIFS(Линии[Щит],A134,Линии[Секция (1/2/3)],"&gt;=2")&gt;0,MIN(3,MAX(1,IFERROR(--BD134,1))),1),IFERROR(MIN(3,MAX(1,INT(--AE134))),1)))</f>
        <v>1</v>
      </c>
      <c r="FJ134">
        <f t="shared" si="337"/>
        <v>0.29799999999999999</v>
      </c>
      <c r="FK134">
        <f t="shared" si="338"/>
        <v>0</v>
      </c>
      <c r="FL134">
        <f t="shared" si="339"/>
        <v>0.14899999999999999</v>
      </c>
      <c r="FM134">
        <f t="shared" si="340"/>
        <v>0</v>
      </c>
      <c r="FN134">
        <f t="shared" si="341"/>
        <v>0</v>
      </c>
      <c r="FO134">
        <f t="shared" si="342"/>
        <v>0</v>
      </c>
      <c r="FP134">
        <f t="shared" si="343"/>
        <v>0.29799999999999999</v>
      </c>
      <c r="FQ134">
        <f t="shared" si="344"/>
        <v>0.29799999999999999</v>
      </c>
      <c r="FR134">
        <f t="shared" si="345"/>
        <v>0.2384</v>
      </c>
      <c r="FS134">
        <f>IF(CG134=1,IF(AND(CH134=1,CW134=1),0,IF(AND(CS134&lt;&gt;"",CS134=BA134,CW134=1),SUMIFS(Линии[_Р линии, кВт],Линии[_блок УЗО],BA134,Линии[Щит],A134),N(BS134)+IF(AJ134="вручную",0,N(CK134)))),0)</f>
        <v>0.29799999999999999</v>
      </c>
      <c r="FT134" t="str">
        <f t="shared" si="346"/>
        <v>L1</v>
      </c>
      <c r="FU134" t="str">
        <f>IF(B134="","",IF(CG134=0,IF(BA134=1,"",FW133),IF(AND(CH134=1,CW134=1,CS134&lt;&gt;""),IFERROR(_xlfn.XLOOKUP(CS134,Линии[_n],Линии[_фаза итог]),"L1"),IF(OR(N(DL134)&gt;=3,N(BX134)&gt;=3),"L1,L2,L3",IFERROR(_xlfn.TEXTBEFORE(_xlfn.TEXTAFTER(_xlfn.XLOOKUP(A134,Щиты[Щит],Щиты[_фазы авто]),";"&amp;BA134&amp;":"),";"),"L1")))))</f>
        <v>L1</v>
      </c>
      <c r="FV134" t="str">
        <f t="shared" si="347"/>
        <v>L1</v>
      </c>
      <c r="FW134" t="str">
        <f t="shared" si="348"/>
        <v>L1</v>
      </c>
      <c r="FX134" cm="1">
        <f t="array" ref="FX134">IFERROR(IF(CD134=2,_xlfn.IFS(BX134=3,VLOOKUP(BS134,Справочная_двигатели,3,FALSE),BX134=1,VLOOKUP(BS134,Справочная_двигатели,5,TRUE)),0),0)</f>
        <v>0</v>
      </c>
      <c r="FY134">
        <f>IFERROR(IF(CD134=3,VLOOKUP(BS134,Справочная_ЛЭД,2,TRUE),0),0)</f>
        <v>0</v>
      </c>
      <c r="FZ134" s="6">
        <f t="shared" si="349"/>
        <v>0</v>
      </c>
      <c r="GA134" t="str">
        <f>IF(B134="","",IF(TRIM(AH134&amp;"")&lt;&gt;"",IF(LOWER(TRIM(AH134&amp;""))="да","да","нет"),IF(IFERROR(_xlfn.XLOOKUP(BC134,Коды_код,Коды_пожарная),"")="да","да","нет")))</f>
        <v>нет</v>
      </c>
      <c r="GB134" t="str">
        <f t="shared" si="350"/>
        <v/>
      </c>
      <c r="GC134" t="str">
        <f t="shared" si="351"/>
        <v>основная</v>
      </c>
      <c r="GD134">
        <f>IF(AND(BP134=1,TRIM(AE134&amp;"")=""),IF(COUNTIFS(Линии[Щит],A134,Линии[Секция (1/2/3)],"&gt;=2")&gt;0,MIN(3,MAX(1,IFERROR(--BD134,1))),1),IFERROR(MIN(3,MAX(1,INT(--AE134))),1))</f>
        <v>1</v>
      </c>
      <c r="GE134" t="str" cm="1">
        <f t="array" ref="GE134">IF(B134="","",_xlfn.LET(_xlpm.t,IFERROR(_xlfn.XLOOKUP(1,(Шины[Шина]=GC134)*(((Шины[Щит]=A134)+(Шины[Щит]=""))&gt;0),Шины[Тип]),"")&amp;"",IF(_xlpm.t&lt;&gt;"",_xlpm.t,IF(ISNUMBER(SEARCH("ИБП",GC134)),"ИБП",IF(ISNUMBER(SEARCH("ДГУ",GC134)),"ДГУ","Ввод "&amp;GD134)))))</f>
        <v>Ввод 1</v>
      </c>
      <c r="GF134" t="str">
        <f t="shared" si="352"/>
        <v>Ввод 1</v>
      </c>
      <c r="GG134" t="str">
        <f>IF(BP134=0,"",IF(TRIM(AG134&amp;"")&lt;&gt;"",TRIM(AG134&amp;""),IF(OR(GE134="ИБП",GE134="ДГУ"),"I особая",_xlfn.XLOOKUP(A134,Щиты[Щит],Щиты[Категория шины «Ввод»],"III"))))</f>
        <v/>
      </c>
      <c r="GH134" t="str">
        <f>IF(A134="","",_xlfn.XLOOKUP(A134,Щиты[Щит],Щиты[Путь],""))</f>
        <v>|ГРЩ-ЖД|ЩОВ-2|</v>
      </c>
      <c r="GI134" t="str">
        <f>IF(B134="","",IF(AI134&lt;&gt;"",AI134,IF(IFERROR(_xlfn.XLOOKUP(BC134,Коды_код,Коды_вид)&amp;"","")="","Прочее",_xlfn.XLOOKUP(BC134,Коды_код,Коды_вид)&amp;"")))</f>
        <v>Кондиционирование и увлажнение</v>
      </c>
      <c r="GJ134">
        <f>IF(BM134="","",INT((BM134-1)/Столбцов_на_лист)+1)</f>
        <v>1</v>
      </c>
      <c r="GK134" t="str">
        <f t="shared" si="353"/>
        <v>ВВГнг(А)-LS (3х1,5) L=26-0,44%</v>
      </c>
      <c r="GL134">
        <f t="shared" si="354"/>
        <v>0.29799999999999999</v>
      </c>
      <c r="GM134">
        <f t="shared" si="355"/>
        <v>1.62</v>
      </c>
      <c r="GN134">
        <f t="shared" si="356"/>
        <v>1</v>
      </c>
      <c r="GO134">
        <f t="shared" si="357"/>
        <v>0</v>
      </c>
      <c r="GP134">
        <f t="shared" si="358"/>
        <v>1</v>
      </c>
      <c r="GQ134">
        <f>IF(BM134="","",IF(AND(CG134=1,GP134=1),COUNTIFS(A$3:A134,A134,CG$3:CG134,1,GP$3:GP134,1),IF(OR(OR(BA134=1,A134&lt;&gt;A133),AJ134="вручную",GP134=0),"",IF(BA134=1,"",GR133))))</f>
        <v>4</v>
      </c>
      <c r="GR134">
        <f t="shared" si="359"/>
        <v>4</v>
      </c>
      <c r="GS134">
        <f>IF(B134="","",IFERROR(LOOKUP(INDEX(CHOOSE(EB134,Iдоп_1ж,Iдоп_2ж,Iдоп_3ж),MATCH(EN134,Iдоп_S,0))*DZ134*EA134,{6,10,16,20,25,32,40,50,63,80,100,125,160,200,250,315,400,500,630}),""))</f>
        <v>16</v>
      </c>
      <c r="GT134" t="str">
        <f t="shared" si="360"/>
        <v>QF4</v>
      </c>
      <c r="GU134" t="str">
        <f t="shared" si="361"/>
        <v>QF4</v>
      </c>
      <c r="GV134" t="str">
        <f t="shared" si="362"/>
        <v/>
      </c>
      <c r="GW134">
        <f t="shared" si="363"/>
        <v>0</v>
      </c>
      <c r="GX134" t="str">
        <f>IF(OR(B134="",DJ134=""),"",IFERROR(_xlfn.XLOOKUP(DJ134,Модули_умолч[Управление],Модули_умолч[Модель])&amp;"",""))</f>
        <v/>
      </c>
      <c r="GY134">
        <f>IF(DJ134="",1,IFERROR(MAX(0,N(_xlfn.XLOOKUP(DJ134,Модули_умолч[Управление],Модули_умолч[Каналов на линию]))),1))</f>
        <v>1</v>
      </c>
      <c r="GZ134" t="str">
        <f t="shared" si="364"/>
        <v/>
      </c>
      <c r="HA134" t="str">
        <f t="shared" si="365"/>
        <v/>
      </c>
      <c r="HB134" t="str">
        <f t="shared" si="366"/>
        <v/>
      </c>
      <c r="HC134">
        <f>IF(HB134="",0,IFERROR(N(VLOOKUP(HB134,Модули_спр,3,FALSE)),0))</f>
        <v>0</v>
      </c>
      <c r="HD134" t="str">
        <f t="shared" si="367"/>
        <v/>
      </c>
      <c r="HE134" t="str">
        <f t="shared" si="368"/>
        <v/>
      </c>
      <c r="HF134" t="str">
        <f>IF(OR(HE134="",HE134="-"),"",IFERROR(VLOOKUP(HE134,Модули_спр,2,FALSE),"R"))</f>
        <v/>
      </c>
      <c r="HG134" t="str">
        <f>IF(HF134="","",HF134&amp;"."&amp;COUNTIFS(A$3:A134,A134,HF$3:HF134,HF134))</f>
        <v/>
      </c>
      <c r="HH134" t="str">
        <f t="shared" si="369"/>
        <v/>
      </c>
      <c r="HI134" t="str">
        <f t="shared" si="370"/>
        <v/>
      </c>
      <c r="HJ134" t="str">
        <f t="shared" si="371"/>
        <v/>
      </c>
      <c r="HK134" t="str">
        <f t="shared" si="372"/>
        <v/>
      </c>
      <c r="HL134">
        <f t="shared" si="373"/>
        <v>1</v>
      </c>
      <c r="HM134" t="str">
        <f>IF(HL134=1,"XT"&amp;COUNTIFS(A$3:A134,A134,HL$3:HL134,1),"")</f>
        <v>XT4</v>
      </c>
      <c r="HN134" t="str">
        <f t="shared" si="374"/>
        <v>XT4</v>
      </c>
      <c r="HO134" t="str">
        <f t="shared" si="375"/>
        <v>QF4</v>
      </c>
      <c r="HP134" t="str">
        <f t="shared" si="376"/>
        <v/>
      </c>
      <c r="HQ134" t="str">
        <f t="shared" si="377"/>
        <v>ok</v>
      </c>
      <c r="HR134" t="str">
        <f>IF(OR(HJ134="",HH134=""),"",IF(HJ134+MAX(0,GY134-1)&gt;IFERROR(VLOOKUP(HI134,Модули_спр,3,FALSE),99),"ЛИШНИЙ КАНАЛ",IF(AND(AL134&lt;&gt;"=",GY134&gt;0,COUNTIFS(Линии[_модуль гр.],HH134,Линии[Канал (итог)],HJ134,Линии[Канал],"&lt;&gt;=",Линии[Щит],A134)&gt;1),"ДУБЛЬ КАНАЛА","")))</f>
        <v/>
      </c>
      <c r="HS134" s="6" t="str">
        <f t="shared" si="378"/>
        <v/>
      </c>
      <c r="HT134">
        <f t="shared" si="379"/>
        <v>10</v>
      </c>
      <c r="HU134" t="str">
        <f t="shared" si="380"/>
        <v/>
      </c>
      <c r="HV134">
        <f t="shared" si="381"/>
        <v>0.90518892581940669</v>
      </c>
      <c r="HW134">
        <f t="shared" si="382"/>
        <v>0</v>
      </c>
      <c r="HX134">
        <f t="shared" si="383"/>
        <v>0</v>
      </c>
      <c r="HY134">
        <f t="shared" si="384"/>
        <v>0</v>
      </c>
      <c r="HZ134">
        <f t="shared" si="385"/>
        <v>0</v>
      </c>
      <c r="IA134">
        <f t="shared" si="386"/>
        <v>0</v>
      </c>
      <c r="IB134">
        <f t="shared" si="387"/>
        <v>0</v>
      </c>
      <c r="IC134" t="str">
        <f t="shared" si="388"/>
        <v/>
      </c>
      <c r="ID134" t="str" cm="1">
        <f t="array" ref="ID134">IF(IC134="","",_xlfn.LET(_xlpm.tk,_xlfn.TEXTSPLIT(SUBSTITUTE(SUBSTITUTE(IC134,";"," "),"→"," ")," ",,TRUE),_xlpm.w_,_xlfn._xlws.FILTER(_xlpm.tk,ISNUMBER(--LEFT(_xlpm.tk,1))*((ISNUMBER(SEARCH("W",_xlpm.tk))+ISNUMBER(SEARCH("Вт",_xlpm.tk)))&gt;0),""),IFERROR(--SUBSTITUTE(SUBSTITUTE(UPPER(INDEX(_xlpm.w_,1)),"W",""),"ВТ",""),"")))</f>
        <v/>
      </c>
      <c r="IE134" t="str" cm="1">
        <f t="array" ref="IE134">IF(IC134="","",_xlfn.LET(_xlpm.tk,_xlfn.TEXTSPLIT(SUBSTITUTE(SUBSTITUTE(IC134,";"," "),"→"," ")," ",,TRUE),_xlpm.v_,_xlfn._xlws.FILTER(_xlpm.tk,ISNUMBER(--LEFT(_xlpm.tk,1))*((ISNUMBER(SEARCH("V",_xlpm.tk))+(RIGHT(UPPER(_xlpm.tk))="В"))&gt;0),""),IFERROR(--SUBSTITUTE(SUBSTITUTE(UPPER(INDEX(_xlpm.v_,1)),"V",""),"В",""),"")))</f>
        <v/>
      </c>
      <c r="IF134" s="6" t="str">
        <f>IF(OR(BV134=0,HI134="",HJ134=""),"",IFERROR(N(_xlfn.XLOOKUP(HI134,Каталог!$C$4:$C$500,Каталог!$Q$4:$Q$500)),""))</f>
        <v/>
      </c>
      <c r="IG134" s="6" t="str">
        <f>IF(N(IF134)=0,"",SUMIFS(Линии[Iр, А],Линии[Щит],A134,Линии[_модуль гр.],HH134,Линии[Канал (итог)],HJ134))</f>
        <v/>
      </c>
      <c r="IH134" t="str">
        <f>IF(AND(B134="",HO134=""),"",_xlfn.TEXTJOIN("; ",TRUE,IF(AND(B134&lt;&gt;"",FV134=""),"нет фазы",""),IF(AND(B134&lt;&gt;"",N(GL134)=0,FG134&lt;&gt;"Нет"),"нет мощности",""),IF(AND(HN134&lt;&gt;"",COUNTIFS(Линии[Щит],A134,Линии[Клемма (итог)],HN134)&gt;1),"дубль клеммы "&amp;HN134,""),IF(AND(HQ134&lt;&gt;"",HQ134&lt;&gt;"ok"),HQ134,""),IF(HR134&lt;&gt;"",HR134,""),IF(AND(N(CB134)&gt;=4,N(BX134)=1),CB134&amp;" жил на 1 фазе",""),IF(AND(BC134="R",CG134=1,IF(CS134&lt;&gt;"",N(CV134)&gt;30,OR(N(DA134)=0,N(DA134)&gt;30))),"розетка без дифзащиты до 30 мА",""),IF(AND(CG134=1,N(DA134)&gt;0,ISNUMBER(T134)),IF(T134&gt;N(DA134)/3,"ток утечки "&amp;FIXED(T134,1)&amp;" мА &gt; 1/3 уставки ("&amp;DA134&amp;" мА)",""),""),IF(AND(CH134=1,CS134=""),"«узо»: нет строки с УЗО выше (УЗО 2P 40А 30мА в «Аппаратах»)",""),IF(AND(CS134&lt;&gt;"",CS134=BA134),IF(CT134="","впишите номинал УЗО (УЗО 2P 40А 30мА)",IF(N(CT134)&lt;N(DT134),"УЗО "&amp;CT134&amp;" А &lt; автомата "&amp;DT134&amp;" А перед ним",IF(N(CT134)&lt;N(CX134),"УЗО "&amp;CT134&amp;" А &lt; тока блока "&amp;FIXED(CX134,1)&amp;" А",""))),""),IF(AND(CS134&lt;&gt;"",CS134=BA134,ISNUMBER(CY134)),IF(CY134&gt;N(CV134)/3,"ток утечки блока УЗО "&amp;FIXED(CY134,1)&amp;" мА &gt; 1/3 уставки ("&amp;CV134&amp;" мА)",""),""),IF(AND(CG134=1,N(BV134)+N(IB134)&gt;0,IC134=""),"линии до 50 В без БП: впишите в «Аппараты» (БП 24V 480W)",""),IF(AND(CG134=1,ISNUMBER(ID134),ISNUMBER(U134)),IF(U134&gt;ID134,"БП "&amp;ID134&amp;" Вт &lt; нужно "&amp;U134&amp;" Вт (×"&amp;Запас_БП&amp;")",""),""),IF(AND(CG134=1,ISNUMBER(IE134),N(BV134)=1),IF(IE134&lt;&gt;N(BU134),"БП на "&amp;IE134&amp;" В, линия "&amp;BU134&amp;" В",""),""),IF(AND(N(IF134)&gt;0,N(IG134)&gt;N(IF134)),HH134&amp;" канал "&amp;HJ134&amp;": "&amp;FIXED(IG134,1)&amp;" А &gt; "&amp;IF134&amp;" А",""),IFERROR(IF(AND(ISNUMBER(Q134),Q134&gt;EL134),"потери "&amp;FIXED(Q134,1)&amp;" % &gt; "&amp;EL134&amp;" %",""),""),IFERROR(IF(LEFT(HU134,4)="мало","Iкз мало — отключение &gt; 0,4 с",""),""),IF(AND(B134&lt;&gt;"",BM134=""),"не на схеме",""),IF(AND(CG134=0,B134&lt;&gt;"",FV134&lt;&gt;"",IF(BA134=1,"",FW133)&lt;&gt;"",FV134&lt;&gt;IF(BA134=1,"",FW133)),"фаза не как у автомата группы ("&amp;IF(BA134=1,"",FW133)&amp;")","")))</f>
        <v/>
      </c>
      <c r="II134" s="6" t="str">
        <f>IF(OR(CG134=0,DQ134=""),"",_xlfn.LET(_xlpm.t,IFERROR(_xlfn.XLOOKUP(DQ134,Каталог!$U$4:$U$500,Каталог!$G$4:$G$500),""),_xlpm.k,SEARCH("кА",_xlpm.t),IFERROR(--TRIM(RIGHT(SUBSTITUTE(MID(_xlpm.t,MAX(1,_xlpm.k-4),_xlpm.k-MAX(1,_xlpm.k-4))," ",REPT(" ",9)),5)),"")))</f>
        <v/>
      </c>
      <c r="IJ134" t="str">
        <f>IF(OR(II134="",CG134=0),"",IF(_xlfn.XLOOKUP(A134,Щиты[Щит],Щиты[Iкз max на шинах, кА],"")="","",IF(II134&lt;_xlfn.XLOOKUP(A134,Щиты[Щит],Щиты[Iкз max на шинах, кА]),"Icu "&amp;II134&amp;" кА &lt; Iкз max","ok")))</f>
        <v/>
      </c>
      <c r="IK134" t="str">
        <f t="shared" si="389"/>
        <v/>
      </c>
      <c r="IL134" t="str">
        <f t="shared" si="390"/>
        <v>QF4|XT4</v>
      </c>
      <c r="IM134" t="str">
        <f t="shared" si="391"/>
        <v>QF4|XT4|кабель ВВГнг(А)-LS (3х1,5) → Внутренний блок кондиционирования Технический этаж Пом. №001Т</v>
      </c>
      <c r="IN134" t="str" cm="1">
        <f t="array" ref="IN134">IF(IM134="","",_xlfn.LET(_xlpm.nd,_xlfn.TEXTSPLIT(IM134,"|"),IF(COLUMNS(_xlpm.nd)&gt;1,A134&amp;"¦"&amp;INDEX(_xlpm.nd,1)&amp;"¦"&amp;INDEX(_xlpm.nd,2),"")))</f>
        <v>ЩОВ-2¦QF4¦XT4</v>
      </c>
      <c r="IO134" t="str">
        <f t="shared" si="392"/>
        <v>K.1.005A¦Внутренний блок кондиционирования Технический этаж Пом. №001Т</v>
      </c>
      <c r="IP134" t="str" cm="1">
        <f t="array" ref="IP134">IF(IM134="","",_xlfn.LET(_xlpm.nd,_xlfn.TEXTSPLIT(IM134,"|"),IF(COLUMNS(_xlpm.nd)&gt;2,A134&amp;"¦"&amp;INDEX(_xlpm.nd,2)&amp;"¦"&amp;INDEX(_xlpm.nd,3),"")))</f>
        <v>ЩОВ-2¦XT4¦кабель ВВГнг(А)-LS (3х1,5) → Внутренний блок кондиционирования Технический этаж Пом. №001Т</v>
      </c>
      <c r="IQ134" t="str">
        <f t="shared" si="393"/>
        <v>K.1.005A¦Внутренний блок кондиционирования Технический этаж Пом. №001Т</v>
      </c>
      <c r="IR134" t="str" cm="1">
        <f t="array" ref="IR134">IF(IM134="","",_xlfn.LET(_xlpm.nd,_xlfn.TEXTSPLIT(IM134,"|"),IF(COLUMNS(_xlpm.nd)&gt;3,A134&amp;"¦"&amp;INDEX(_xlpm.nd,3)&amp;"¦"&amp;INDEX(_xlpm.nd,4),"")))</f>
        <v/>
      </c>
      <c r="IS134" t="str">
        <f t="shared" si="394"/>
        <v/>
      </c>
      <c r="IT134" t="str" cm="1">
        <f t="array" ref="IT134">IF(IM134="","",_xlfn.LET(_xlpm.nd,_xlfn.TEXTSPLIT(IM134,"|"),IF(COLUMNS(_xlpm.nd)&gt;4,A134&amp;"¦"&amp;INDEX(_xlpm.nd,4)&amp;"¦"&amp;INDEX(_xlpm.nd,5),"")))</f>
        <v/>
      </c>
      <c r="IU134" t="str">
        <f t="shared" si="395"/>
        <v/>
      </c>
      <c r="IV134" t="str" cm="1">
        <f t="array" ref="IV134">IF(IM134="","",_xlfn.LET(_xlpm.nd,_xlfn.TEXTSPLIT(IM134,"|"),IF(COLUMNS(_xlpm.nd)&gt;5,A134&amp;"¦"&amp;INDEX(_xlpm.nd,5)&amp;"¦"&amp;INDEX(_xlpm.nd,6),"")))</f>
        <v/>
      </c>
      <c r="IW134" t="str">
        <f t="shared" si="396"/>
        <v/>
      </c>
      <c r="IX134" t="str" cm="1">
        <f t="array" ref="IX134">IF(IM134="","",_xlfn.LET(_xlpm.nd,_xlfn.TEXTSPLIT(IM134,"|"),IF(COLUMNS(_xlpm.nd)&gt;6,A134&amp;"¦"&amp;INDEX(_xlpm.nd,6)&amp;"¦"&amp;INDEX(_xlpm.nd,7),"")))</f>
        <v/>
      </c>
      <c r="IY134" t="str">
        <f t="shared" si="397"/>
        <v/>
      </c>
      <c r="IZ134" t="str">
        <f t="shared" si="398"/>
        <v/>
      </c>
      <c r="JA134" t="str">
        <f t="shared" si="399"/>
        <v>QF4 → XT4</v>
      </c>
      <c r="JB134">
        <f t="shared" si="400"/>
        <v>0</v>
      </c>
      <c r="JC134">
        <f t="shared" si="401"/>
        <v>0</v>
      </c>
      <c r="JD134" t="str">
        <f t="shared" si="402"/>
        <v/>
      </c>
      <c r="JE134" t="str">
        <f t="shared" si="403"/>
        <v/>
      </c>
      <c r="JF134" t="str">
        <f t="shared" si="404"/>
        <v/>
      </c>
      <c r="JG134" t="str">
        <f t="shared" si="405"/>
        <v/>
      </c>
      <c r="JH134">
        <f>IF(B134="","",IFERROR(_xlfn.XLOOKUP(B134,Коды_код,Коды_уго),IFERROR(_xlfn.XLOOKUP(BC134,Коды_код,Коды_уго),IFERROR(_xlfn.XLOOKUP(LEFT(BC134,2),Коды_код,Коды_уго),""))))</f>
        <v>0</v>
      </c>
      <c r="JI134" t="str">
        <f>IF(B134="","",IF(OR(JH134="",JH134=0),"BOX",IFERROR(IF(VLOOKUP(JH134,УГО_блоки,3,FALSE)&amp;""&lt;&gt;"",VLOOKUP(JH134,УГО_блоки,3,FALSE),VLOOKUP(JH134,УГО_блоки,2,FALSE)),JH134)))</f>
        <v>BOX</v>
      </c>
      <c r="JJ134">
        <f t="shared" si="406"/>
        <v>1</v>
      </c>
      <c r="JK134" t="str">
        <f>IF(DQ134="","",IF(COUNTIF(DQ$3:DQ134,DQ134)=1,MAX(JK$2:JK133)+1,""))</f>
        <v/>
      </c>
      <c r="JL134" t="str">
        <f>IF(DE134="","",IF(COUNTIF(DE$3:DE134,DE134)+COUNTIF(DF$2:DF133,DE134)+COUNTIF(DG$2:DG133,DE134)=1,MAX(JL$2:JN133)+1,""))</f>
        <v/>
      </c>
      <c r="JM134" t="str">
        <f>IF(DF134="","",IF(COUNTIF(DE$3:DE134,DF134)+COUNTIF(DF$3:DF134,DF134)+COUNTIF(DG$2:DG133,DF134)=1,MAX(JL$2:JN133,JL134)+1,""))</f>
        <v/>
      </c>
      <c r="JN134" t="str">
        <f>IF(DG134="","",IF(COUNTIF(DE$3:DE134,DG134)+COUNTIF(DF$3:DF134,DG134)+COUNTIF(DG$3:DG134,DG134)=1,MAX(JL$2:JN133,JL134,JM134)+1,""))</f>
        <v/>
      </c>
      <c r="JO134" t="str">
        <f t="shared" si="407"/>
        <v>3х1,5</v>
      </c>
      <c r="JP134" t="str">
        <f>IF(JO134="","",IF(COUNTIF(JO$3:JO134,JO134)=1,MAX(JP$2:JP133)+1,""))</f>
        <v/>
      </c>
      <c r="JQ134" t="str">
        <f>IF(HG134="","",COUNTIF(HG$3:HG134,"?*"))</f>
        <v/>
      </c>
      <c r="JR134" t="str">
        <f>IF(OR(HG134="",HI134=""),"",IF(COUNTIFS(HG$3:HG134,"?*",HI$3:HI134,HI134)=1,MAX(JR$2:JR133)+1,""))</f>
        <v/>
      </c>
      <c r="JS134">
        <f t="shared" si="408"/>
        <v>0</v>
      </c>
      <c r="JT134">
        <f>IF(B134="","",COUNTIF(B$3:B134,"?*"))</f>
        <v>132</v>
      </c>
      <c r="JU134">
        <f>IF(HL134&lt;&gt;1,0,_xlfn.LET(_xlpm.k,MAX(IFERROR(--_xlfn.XLOOKUP(B134,Коды_код,Коды_3L),0),IFERROR(--_xlfn.XLOOKUP(BC134,Коды_код,Коды_3L),0),IFERROR(--_xlfn.XLOOKUP(LEFT(BC134,2),Коды_код,Коды_3L),0)),IF(_xlpm.k&gt;0,_xlpm.k,IF(IFERROR(--LEFT(SUBSTITUTE(JO134,"x","х"),FIND("х",SUBSTITUTE(JO134,"x","х"))-1),3)&gt;3,Каталог!$S$9,1))))</f>
        <v>1</v>
      </c>
      <c r="JV134">
        <f t="shared" si="409"/>
        <v>0</v>
      </c>
      <c r="JW134" t="str">
        <f t="shared" si="410"/>
        <v>авто</v>
      </c>
      <c r="JX134" t="str">
        <f t="shared" si="411"/>
        <v/>
      </c>
      <c r="JY134">
        <f t="shared" si="412"/>
        <v>0</v>
      </c>
      <c r="JZ134">
        <f t="shared" si="413"/>
        <v>1</v>
      </c>
    </row>
    <row r="135" spans="1:286" x14ac:dyDescent="0.3">
      <c r="A135" t="s">
        <v>751</v>
      </c>
      <c r="B135" t="s">
        <v>1444</v>
      </c>
      <c r="C135" t="s">
        <v>1685</v>
      </c>
      <c r="D135">
        <v>1</v>
      </c>
      <c r="E135">
        <v>0.104</v>
      </c>
      <c r="G135" t="str">
        <f>Линии[[#This Row],[_авто автомат]]</f>
        <v>1P С6А</v>
      </c>
      <c r="H135" t="str">
        <f>Линии[[#This Row],[_авто управление]]</f>
        <v/>
      </c>
      <c r="I135" t="str">
        <f>Линии[[#This Row],[_авто аппараты]]</f>
        <v/>
      </c>
      <c r="J135">
        <v>1.5</v>
      </c>
      <c r="K135">
        <v>32</v>
      </c>
      <c r="L135">
        <v>2</v>
      </c>
      <c r="M135" t="s">
        <v>484</v>
      </c>
      <c r="N135" t="str">
        <f t="shared" si="276"/>
        <v/>
      </c>
      <c r="O135" s="6" cm="1">
        <f t="array" ref="O135">IF(B135="","",IF(BH135&lt;&gt;"",IFERROR(_xlfn.XLOOKUP(BH135,Щиты[Щит],Щиты[Iр, А]),""),IF(BP135=1,IF(OR(N(_xlfn.XLOOKUP(A135,Щиты[Щит],Щиты[Вводов],1))&lt;=1,LOWER(TRIM(_xlfn.XLOOKUP(A135,Щиты[Щит],Щиты[АВР],"")&amp;""))="да"),IFERROR(_xlfn.XLOOKUP(A135,Щиты[Щит],Щиты[Iр, А]),""),IFERROR(N(BS135)*_xlfn.XLOOKUP(A135,Щиты[Щит],Щиты[Кс итог])/(SQRT(3)*Uн_лин*_xlfn.XLOOKUP(A135,Щиты[Щит],Щиты[cos φ])),"")),IF(BV135=1,IFERROR(BS135*1000/BU135,""),IFERROR(_xlfn.IFS(BX135=1,BS135/((Uн_лин/SQRT(3))*CE135),BX135=3,BS135/(SQRT(3)*Uн_лин*CE135)),"")))))</f>
        <v>0.56291651245988494</v>
      </c>
      <c r="P135" s="7">
        <f>IF(B135="","",IFERROR(IF(VLOOKUP(BC135,Потребители_обозначение,4,FALSE)=1,VLOOKUP(BC135,Потребители_обозначение,3,FALSE)*(MAX(1,N(D135))*2-1)+EI135+VLOOKUP(BE135,Этаж_обозначение,3,FALSE)+VLOOKUP(BE135,Этаж_обозначение,4,FALSE),VLOOKUP(BC135,Потребители_обозначение,3,FALSE)*(MAX(1,N(D135))*2-1)+EI135),EI135))</f>
        <v>34</v>
      </c>
      <c r="Q135" s="6">
        <f t="shared" si="277"/>
        <v>1.3399999999999999</v>
      </c>
      <c r="R135" t="str">
        <f t="shared" si="278"/>
        <v>ВВГнг(А)-LS (3х1,5)</v>
      </c>
      <c r="S135" t="str">
        <f>IF(BM135="","",IF(BN135="вводной узел","узел ","")&amp;"л."&amp;(INT((BM135-1)/Столбцов_на_лист)+1)&amp;" / "&amp;(MOD(BM135-1,Столбцов_на_лист)+1))</f>
        <v>л.2 / 2</v>
      </c>
      <c r="T135" s="119">
        <f t="shared" si="279"/>
        <v>0.6</v>
      </c>
      <c r="U135" s="7" t="str">
        <f>IF(OR(CG135=0,N(BV135)+N(IB135)=0),"",ROUNDUP(Запас_БП*(N(HY135)+N(HZ135)),0))</f>
        <v/>
      </c>
      <c r="V135" s="119" t="str">
        <f t="shared" si="280"/>
        <v/>
      </c>
      <c r="W135" s="7" t="str">
        <f>IFERROR(IF(OR(B135="",BP135=1,BV135=1,NOT(ISNUMBER(EN135)),N(DT135)=0),"",MAX(0,ROUNDDOWN((c_min*(Uн_лин*1000/SQRT(3))/(HT135*N(DT135))-_xlfn.XLOOKUP(A135,Щиты[Щит],Щиты[Zпетли на шинах, Ом]))*EN135/(2*ρкз_Cu),0))),"")</f>
        <v/>
      </c>
      <c r="Y135" t="str">
        <f>Линии[[#This Row],[_авто утечка]]</f>
        <v/>
      </c>
      <c r="Z135">
        <v>1</v>
      </c>
      <c r="AA135">
        <v>230</v>
      </c>
      <c r="AB135" t="s">
        <v>598</v>
      </c>
      <c r="AC135">
        <v>0.5</v>
      </c>
      <c r="AG135" t="s">
        <v>810</v>
      </c>
      <c r="AI135" t="s">
        <v>576</v>
      </c>
      <c r="AK135" t="str">
        <f>Линии[[#This Row],[_авто модуль]]</f>
        <v/>
      </c>
      <c r="AM135">
        <v>19</v>
      </c>
      <c r="AN135" t="s">
        <v>11</v>
      </c>
      <c r="AO135">
        <v>3</v>
      </c>
      <c r="AQ135">
        <v>12</v>
      </c>
      <c r="AR135">
        <v>22</v>
      </c>
      <c r="AT135">
        <v>1</v>
      </c>
      <c r="BA135" cm="1">
        <f t="array" ref="BA135">ROW()-ROW(Линии[#Headers])</f>
        <v>133</v>
      </c>
      <c r="BC135" s="6" t="str">
        <f t="shared" si="281"/>
        <v>K</v>
      </c>
      <c r="BD135" t="str">
        <f t="shared" si="282"/>
        <v>2.004A</v>
      </c>
      <c r="BE135" t="str">
        <f t="shared" si="283"/>
        <v>2</v>
      </c>
      <c r="BF135" t="str">
        <f t="shared" si="284"/>
        <v>004A</v>
      </c>
      <c r="BG135" t="str">
        <f t="shared" si="285"/>
        <v>004A</v>
      </c>
      <c r="BH135" t="str">
        <f>IF(X135&lt;&gt;"",X135,IF(AND(B135&lt;&gt;"",B135&lt;&gt;A135,ISNUMBER(_xlfn.XMATCH(B135,Щиты[Щит]))),B135,""))</f>
        <v/>
      </c>
      <c r="BI135" t="str" cm="1">
        <f t="array" ref="BI135">IF(B135="","",IF(BH135&lt;&gt;"","Щит "&amp;BH135,_xlfn.LET(_xlpm.nm,IFERROR(_xlfn.XLOOKUP(BC135,Коды_код,Коды_имя)&amp;"",""),_xlpm.md,IFERROR(N(_xlfn.XLOOKUP(BC135,Коды_код,Коды_режим)),1),_xlpm.ex,IF(Имя_режим="по экспликации",IFERROR(_xlfn.XLOOKUP(BE135&amp;"|"&amp;BG135,Экспликация[Этаж]&amp;"|"&amp;Экспликация[Помещение],Экспликация[Название])&amp;"",""),""),_xlpm.rm,IF(BG135="","",IF(_xlpm.ex&lt;&gt;"",". "&amp;_xlpm.ex&amp;IF(Имя_пом="нет"," ("&amp;BG135&amp;")"," (пом. "&amp;BG135&amp;")"),IF(Имя_пом="нет"," ",", пом. ")&amp;BG135)),IF(_xlpm.nm="","",IF(_xlpm.md=2,_xlpm.nm&amp;" шлейф "&amp;BE135,_xlpm.nm&amp;_xlpm.rm)))))</f>
        <v>Внутренний блок кондиционирования, пом. 004A</v>
      </c>
      <c r="BJ135" t="str">
        <f t="shared" si="286"/>
        <v>Внутренний блок кондиционирования Технический этаж Пом. №002Т</v>
      </c>
      <c r="BK135">
        <f>IFERROR(_xlfn.XMATCH(A135,Щиты[Щит]),0)</f>
        <v>7</v>
      </c>
      <c r="BL135">
        <f>_xlfn.LET(_xlpm.k,IFERROR(_xlfn.XLOOKUP(A135,Щиты[Щит],Щиты[Мест под вводной узел]),""),IF(_xlpm.k="",Столбцов_на_лист,N(_xlpm.k)))</f>
        <v>12</v>
      </c>
      <c r="BM135">
        <f t="shared" si="287"/>
        <v>19</v>
      </c>
      <c r="BN135" t="str">
        <f t="shared" si="288"/>
        <v>линии</v>
      </c>
      <c r="BO135" s="6">
        <f>IFERROR(N(_xlfn.XLOOKUP(BC135,Коды_код,Коды_квт)),0)</f>
        <v>0</v>
      </c>
      <c r="BP135">
        <f t="shared" si="289"/>
        <v>0</v>
      </c>
      <c r="BQ135" t="str">
        <f>IF(B135="","",IF(BH135&lt;&gt;"",IFERROR(_xlfn.XLOOKUP(BH135,Щиты[Щит],Щиты[Руст, кВт]),0),IF(BP135=1,IF(OR(N(_xlfn.XLOOKUP(A135,Щиты[Щит],Щиты[Вводов],1))&lt;=1,LOWER(TRIM(_xlfn.XLOOKUP(A135,Щиты[Щит],Щиты[АВР],"")&amp;""))="да"),IFERROR(_xlfn.XLOOKUP(A135,Щиты[Щит],Щиты[Руст, кВт]),0),SUMIFS(Линии[_Р для вводов],Линии[Щит],A135,Линии[Источник для режимов],GF135)),IF(BO135&gt;0,ROUND(BO135*MAX(1,N(D135)),3),""))))</f>
        <v/>
      </c>
      <c r="BR135">
        <f t="shared" si="290"/>
        <v>0.104</v>
      </c>
      <c r="BS135" s="6">
        <f>IF(B135="","",IF(BH135&lt;&gt;"",IFERROR(_xlfn.XLOOKUP(BH135,Щиты[Щит],Щиты[Руст, кВт]),0),N(BR135)))</f>
        <v>0.104</v>
      </c>
      <c r="BT135" t="str">
        <f>IF(B135="","",IFERROR(IF(VLOOKUP(BC135,Потребители_обозначение,8,FALSE)=0,"",VLOOKUP(BC135,Потребители_обозначение,8,FALSE)),""))</f>
        <v/>
      </c>
      <c r="BU135">
        <f t="shared" si="291"/>
        <v>230</v>
      </c>
      <c r="BV135">
        <f t="shared" si="292"/>
        <v>0</v>
      </c>
      <c r="BW135">
        <f>IF(B135="","",IF(BH135&lt;&gt;"",3,IFERROR(IF(N(VLOOKUP(BC135,Потребители_обозначение,9,FALSE))=0,1,VLOOKUP(BC135,Потребители_обозначение,9,FALSE)),1)))</f>
        <v>1</v>
      </c>
      <c r="BX135">
        <f t="shared" si="293"/>
        <v>1</v>
      </c>
      <c r="BY135" t="str">
        <f>IF(B135="","",_xlfn.LET(_xlpm.bc,IFERROR(IF(VLOOKUP(BC135,Потребители_обозначение,6,FALSE)=0,"",VLOOKUP(BC135,Потребители_обозначение,6,FALSE)&amp;""),""),IF(AND(GA135="да",OR(_xlpm.bc="",_xlpm.bc="мс")),Марка_пож,IF(AND(_xlpm.bc="",BH135&lt;&gt;""),"мс",_xlpm.bc))))</f>
        <v/>
      </c>
      <c r="BZ135" t="str">
        <f t="shared" si="294"/>
        <v>мс</v>
      </c>
      <c r="CA135">
        <f>IF(B135="","",_xlfn.LET(_xlpm.cc,IFERROR(N(VLOOKUP(BC135,Потребители_обозначение,7,FALSE)),0),IF(_xlpm.cc&gt;0,_xlpm.cc,IF(BZ135="","",IF(BV135=1,2,IF(N(BX135)=3,5,3))))))</f>
        <v>3</v>
      </c>
      <c r="CB135">
        <f t="shared" si="295"/>
        <v>3</v>
      </c>
      <c r="CC135">
        <f>IFERROR(N(VLOOKUP(BC135,Потребители_обозначение,10,FALSE)),0)</f>
        <v>0</v>
      </c>
      <c r="CD135">
        <f>IFERROR(VLOOKUP(BC135,Потребители_обозначение,5,FALSE),0)</f>
        <v>1</v>
      </c>
      <c r="CE135" s="6" cm="1">
        <f t="array" ref="CE135">IF(B135="","",IF(BH135&lt;&gt;"",IFERROR(_xlfn.XLOOKUP(BH135,Щиты[Щит],Щиты[cos φ]),0.95),IF(BP135=1,IFERROR(_xlfn.XLOOKUP(A135,Щиты[Щит],Щиты[cos φ]),0.95),IF(ISNUMBER(AD135),AD135,IFERROR(IF(CD135=2,_xlfn.IFS(BX135=3,VLOOKUP(BS135,Справочная_двигатели,8,FALSE),BX135=1,VLOOKUP(BS135,Справочная_двигатели,10,TRUE)),IF(AND(Методика="нормы 2026",FG135="Сил"),0.8,0.95)),0.95)))))</f>
        <v>0.8</v>
      </c>
      <c r="CF135">
        <f t="shared" si="296"/>
        <v>0</v>
      </c>
      <c r="CG135">
        <f t="shared" si="297"/>
        <v>1</v>
      </c>
      <c r="CH135">
        <f t="shared" si="298"/>
        <v>0</v>
      </c>
      <c r="CI135">
        <f>IF(B135="","",IF(BV135=1,IFERROR(BS135/((Uн_лин/SQRT(3))*MAX(0.5,N(CE135))),0),N(O135)))</f>
        <v>0.56291651245988494</v>
      </c>
      <c r="CJ135">
        <f t="shared" si="299"/>
        <v>0</v>
      </c>
      <c r="CK135">
        <f t="shared" si="300"/>
        <v>0</v>
      </c>
      <c r="CL135">
        <f t="shared" si="301"/>
        <v>0</v>
      </c>
      <c r="CM135">
        <f t="shared" si="302"/>
        <v>0</v>
      </c>
      <c r="CN135">
        <f t="shared" si="303"/>
        <v>0</v>
      </c>
      <c r="CO135">
        <f>IF(BC135="",0,_xlfn.LET(_xlpm.v,IFERROR(_xlfn.XLOOKUP(B135,Коды_код,Коды_мА),IFERROR(_xlfn.XLOOKUP(BC135,Коды_код,Коды_мА),IFERROR(_xlfn.XLOOKUP(LEFT(BC135,2),Коды_код,Коды_мА),""))),IF(_xlpm.v="да",30,IF(ISNUMBER(_xlpm.v),_xlpm.v,0))))</f>
        <v>0</v>
      </c>
      <c r="CP135" t="str">
        <f t="shared" si="304"/>
        <v/>
      </c>
      <c r="CQ135" t="str">
        <f>_xlfn.LET(_xlpm.k,IFERROR(_xlfn.XLOOKUP(BC135,Коды_код,Коды_утечка)&amp;"",""),IF(_xlpm.k="","дифавтомат",_xlpm.k))</f>
        <v>дифавтомат</v>
      </c>
      <c r="CR135" t="str" cm="1">
        <f t="array" ref="CR135">IF(CG135=0,"",_xlfn.LET(_xlpm.sg,TRIM(_xlfn.TEXTSPLIT(DD135&amp;"",";")),_xlpm.f_,_xlfn._xlws.FILTER(_xlpm.sg,LEFT(_xlpm.sg,3)="УЗО",""),IFERROR(INDEX(_xlpm.f_,1)&amp;"","")))</f>
        <v/>
      </c>
      <c r="CS135" t="str">
        <f t="shared" si="305"/>
        <v/>
      </c>
      <c r="CT135" s="6" t="str" cm="1">
        <f t="array" ref="CT135">IF(CR135="","",_xlfn.LET(_xlpm.tk,_xlfn.TEXTSPLIT(UPPER(CR135)," ",,TRUE),_xlpm.a_,_xlfn._xlws.FILTER(_xlpm.tk,ISNUMBER(--LEFT(_xlpm.tk,1))*((ISNUMBER(SEARCH("А",_xlpm.tk))+ISNUMBER(SEARCH("A",_xlpm.tk)))&gt;0)*NOT(ISNUMBER(SEARCH("МА",_xlpm.tk)))*NOT(ISNUMBER(SEARCH("MA",_xlpm.tk))),""),IFERROR(--SUBSTITUTE(SUBSTITUTE(INDEX(_xlpm.a_,1),"А",""),"A",""),"")))</f>
        <v/>
      </c>
      <c r="CU135" t="str" cm="1">
        <f t="array" ref="CU135">IF(CR135="","",_xlfn.LET(_xlpm.tk,_xlfn.TEXTSPLIT(UPPER(CR135)," ",,TRUE),_xlpm.a_,_xlfn._xlws.FILTER(_xlpm.tk,ISNUMBER(--LEFT(_xlpm.tk,1))*((ISNUMBER(SEARCH("МА",_xlpm.tk))+ISNUMBER(SEARCH("MA",_xlpm.tk)))&gt;0),""),IFERROR(--SUBSTITUTE(SUBSTITUTE(INDEX(_xlpm.a_,1),"МА",""),"MA",""),30)))</f>
        <v/>
      </c>
      <c r="CV135" t="str">
        <f>IF(CS135="","",IFERROR(_xlfn.XLOOKUP(CS135,Линии[_n],Линии[_УЗО, мА]),30))</f>
        <v/>
      </c>
      <c r="CW135">
        <f>IF(CS135="",0,IF(ISNUMBER(SEARCH("4P",IFERROR(_xlfn.XLOOKUP(CS135,Линии[_n],Линии[_УЗО строки])&amp;"",""))),0,1))</f>
        <v>0</v>
      </c>
      <c r="CX135" t="str">
        <f>IF(AND(CS135&lt;&gt;"",CS135=BA135),SUMIFS(Линии[_ток на 230 В],Линии[_блок УЗО],BA135,Линии[Щит],A135),"")</f>
        <v/>
      </c>
      <c r="CY135" t="str">
        <f>IF(AND(CS135&lt;&gt;"",CS135=BA135),SUMIFS(Линии[_ток утечки линии, мА],Линии[_блок УЗО],BA135,Линии[Щит],A135),"")</f>
        <v/>
      </c>
      <c r="CZ135">
        <f t="shared" si="306"/>
        <v>0</v>
      </c>
      <c r="DA135">
        <f t="shared" si="307"/>
        <v>0</v>
      </c>
      <c r="DB135">
        <f>IF(B135="",0,IFERROR(--_xlfn.XLOOKUP(B135,Коды_код,Коды_минавт),IFERROR(--_xlfn.XLOOKUP(BC135,Коды_код,Коды_минавт),IFERROR(--_xlfn.XLOOKUP(LEFT(BC135,2),Коды_код,Коды_минавт),0))))</f>
        <v>0</v>
      </c>
      <c r="DC135" t="str">
        <f>IF(B135="","",IFERROR(_xlfn.XLOOKUP(BC135,Коды_код,Коды_апп)&amp;"",""))</f>
        <v/>
      </c>
      <c r="DD135" t="str">
        <f t="shared" si="308"/>
        <v/>
      </c>
      <c r="DE135" t="str" cm="1">
        <f t="array" ref="DE135">IF(TRIM(DD135&amp;"")="","",IFERROR(TRIM(INDEX(_xlfn.TEXTSPLIT(DD135&amp;";;;",";"),1)),""))</f>
        <v/>
      </c>
      <c r="DF135" t="str" cm="1">
        <f t="array" ref="DF135">IF(TRIM(DD135&amp;"")="","",IFERROR(TRIM(INDEX(_xlfn.TEXTSPLIT(DD135&amp;";;;",";"),2)),""))</f>
        <v/>
      </c>
      <c r="DG135" t="str" cm="1">
        <f t="array" ref="DG135">IF(TRIM(DD135&amp;"")="","",IFERROR(TRIM(INDEX(_xlfn.TEXTSPLIT(DD135&amp;";;;",";"),3)),""))</f>
        <v/>
      </c>
      <c r="DH135">
        <f t="shared" si="309"/>
        <v>0</v>
      </c>
      <c r="DI135" t="str">
        <f>IF(B135="","",_xlfn.LET(_xlpm.t,LOWER(AZ135&amp;""),IF(ISNUMBER(SEARCH("dim",_xlpm.t)),"DIM",IF(ISNUMBER(SEARCH("dali",_xlpm.t)),"DALI",IF(OR(ISNUMBER(SEARCH("relay",_xlpm.t)),ISNUMBER(SEARCH("реле",_xlpm.t))),"Relay",IF(ISNUMBER(SEARCH("кнопк",_xlpm.t)),"",IFERROR(_xlfn.XLOOKUP(BC135,Коды_код,Коды_упр)&amp;"","")))))))</f>
        <v/>
      </c>
      <c r="DJ135" t="str">
        <f t="shared" si="310"/>
        <v/>
      </c>
      <c r="DK135">
        <f>IF(B135="","",_xlfn.LET(_xlpm.ig,IF(N(CX135)&gt;0,N(CX135),N(CI135)+IF(AJ135="вручную",0,N(CJ135))),_xlpm.n0,IFERROR(VLOOKUP(_xlpm.ig,Автомат_номиналы,2,TRUE),0),_xlpm.mn,MAX(DB135,IF(AJ135="вручную",0,N(CM135))),MAX(_xlpm.n0,_xlpm.mn,IF(DH135=1,Мин_автомат_БП,0))))</f>
        <v>6</v>
      </c>
      <c r="DL135">
        <f t="shared" si="311"/>
        <v>1</v>
      </c>
      <c r="DM135" t="str">
        <f t="shared" si="312"/>
        <v>1P</v>
      </c>
      <c r="DN135" t="str">
        <f>_xlfn.LET(_xlpm.cc,UPPER(TRIM(IFERROR(_xlfn.XLOOKUP(BC135,Коды_код,Коды_хар)&amp;"",""))),IF(OR(_xlpm.cc="B",_xlpm.cc="В"),"B",IF(_xlpm.cc="D","D","С")))</f>
        <v>С</v>
      </c>
      <c r="DO135" t="str">
        <f t="shared" si="313"/>
        <v>1P С6А</v>
      </c>
      <c r="DP135" t="str">
        <f t="shared" si="314"/>
        <v>1P С6А</v>
      </c>
      <c r="DQ135" t="str">
        <f t="shared" si="315"/>
        <v>1P С6А</v>
      </c>
      <c r="DR135" cm="1">
        <f t="array" ref="DR135">IF(DQ135="","",_xlfn.LET(_xlpm.t,SUBSTITUTE(SUBSTITUTE(SUBSTITUTE(UPPER(DQ135),"С","C"),"А","A"),"В","B"),_xlpm.tk,_xlfn.TEXTSPLIT(_xlpm.t," "),_xlpm.f,_xlfn._xlws.FILTER(_xlpm.tk,ISNUMBER(--MID(_xlpm.tk,2,1))*ISNUMBER(SEARCH(LEFT(_xlpm.tk,1)&amp;"#","B#C#D#"))*(LEN(_xlpm.tk)&gt;1),""),_xlpm.x,INDEX(_xlpm.f,1),IFERROR(--SUBSTITUTE(MID(_xlpm.x,2,9),"A",""),IFERROR(--SUBSTITUTE(INDEX(_xlfn._xlws.FILTER(_xlpm.tk,ISNUMBER(--SUBSTITUTE(_xlpm.tk,"A","")),""),1),"A",""),""))))</f>
        <v>6</v>
      </c>
      <c r="DS135" t="str">
        <f t="shared" si="316"/>
        <v>ok</v>
      </c>
      <c r="DT135">
        <f t="shared" si="317"/>
        <v>6</v>
      </c>
      <c r="DU135" t="str">
        <f t="shared" si="318"/>
        <v>1P С6А</v>
      </c>
      <c r="DV135">
        <f t="shared" si="319"/>
        <v>0</v>
      </c>
      <c r="DW135">
        <f t="shared" si="320"/>
        <v>0</v>
      </c>
      <c r="DX135">
        <f t="shared" si="321"/>
        <v>0</v>
      </c>
      <c r="DY135">
        <f t="shared" si="322"/>
        <v>0.56291651245988494</v>
      </c>
      <c r="DZ135">
        <f t="shared" si="323"/>
        <v>1</v>
      </c>
      <c r="EA135">
        <f>IF(ISNUMBER(AP135),AP135,К_прокл)</f>
        <v>1</v>
      </c>
      <c r="EB135">
        <f t="shared" si="324"/>
        <v>2</v>
      </c>
      <c r="EC135">
        <f>IFERROR(N(VLOOKUP(BZ135,Кабель_обозначение,3,FALSE)),1)</f>
        <v>1</v>
      </c>
      <c r="ED135">
        <f>IFERROR(N(_xlfn.XLOOKUP(A135,Щиты[Щит],Щиты[ΔU до шин, %])),0)</f>
        <v>1.1399999999999999</v>
      </c>
      <c r="EE135" t="str">
        <f>IFERROR(_xlfn.XLOOKUP(A135,Щиты[Щит],Щиты[Zпетли на шинах, Ом]),"")</f>
        <v/>
      </c>
      <c r="EF135">
        <f>IFERROR(N(_xlfn.XLOOKUP(A135,Щиты[Щит],Щиты[ΔU до шин (подбор), %])),0)</f>
        <v>1.82</v>
      </c>
      <c r="EG135" t="str">
        <f>IFERROR(_xlfn.XLOOKUP(A135,Щиты[Щит],Щиты[Zпетли на шинах (подбор), Ом]),"")</f>
        <v/>
      </c>
      <c r="EH135" t="str">
        <f t="shared" si="325"/>
        <v/>
      </c>
      <c r="EI135">
        <f t="shared" si="326"/>
        <v>32</v>
      </c>
      <c r="EJ135">
        <f t="shared" si="327"/>
        <v>2</v>
      </c>
      <c r="EK135">
        <f t="shared" si="328"/>
        <v>0.6</v>
      </c>
      <c r="EL135" s="6">
        <f>IF(B135="","",IF(BV135=1,dU_LED,IF(IFERROR(_xlfn.XLOOKUP(BC135,Коды_код,Коды_уго),"")="Светильник",3,4)+IF(Методика="нормы 2026",MIN(0.5,MAX(0,N(P135)-100)*0.005),0)))</f>
        <v>4</v>
      </c>
      <c r="EM135" cm="1">
        <f t="array" ref="EM135">IF(OR(B135="",BZ135="",EC135&lt;&gt;1),"",_xlfn.LET(_xlpm.sz,Iдоп_S,_xlpm.t_,CHOOSE(EB135,Iдоп_1ж,Iдоп_2ж,Iдоп_3ж)*DZ135*EA135,_xlpm.dcx,BV135=1,_xlpm.inn,IF(_xlpm.dcx,N(O135),N(DT135)),_xlpm.smin,MAX(1.5,CC135),_xlpm.L_,N(P135)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135)/N(BU135)*100,999),IFERROR(N(EJ135)*(_xlpm.rho*_xlpm.L_/_xlpm.sz*N(CE135)+_xlpm.xx*_xlpm.L_*N(EK135)/1000)*N(O135)/((Uн_лин/SQRT(3))*1000)*100,999)),_xlpm.kz,IF(OR(_xlpm.dcx,DW135=1,NOT(ISNUMBER(EG135)),_xlpm.L_=0,_xlpm.inn=0),1,IFERROR(--(c_min*(Uн_лин*1000/SQRT(3))/(EG135+2*ρкз_Cu*_xlpm.L_/_xlpm.sz)&gt;=HT135*_xlpm.inn),0)),_xlpm.ok,IFERROR((_xlpm.sz&gt;=_xlpm.smin)*(_xlpm.t_&gt;=_xlpm.inn)*IF(_xlpm.L_&gt;0,(_xlpm.du_+IF(_xlpm.dcx,0,EF135)&lt;=EL135+0.00001),1)*_xlpm.kz,0),_xlpm.r_,_xlfn._xlws.FILTER(_xlpm.sz,_xlpm.ok,"не подобрано"),INDEX(_xlpm.r_,1)))</f>
        <v>1.5</v>
      </c>
      <c r="EN135">
        <f t="shared" si="329"/>
        <v>1.5</v>
      </c>
      <c r="EO135" cm="1">
        <f t="array" ref="EO135">IF(OR(B135="",BZ135="",EC135&lt;&gt;1),"",_xlfn.LET(_xlpm.sz,Iдоп_S,_xlpm.t_,CHOOSE(EB135,Iдоп_1ж,Iдоп_2ж,Iдоп_3ж)*DZ135*EA135,_xlpm.ok,IFERROR((_xlpm.sz&gt;=MAX(1.5,CC135))*(_xlpm.t_&gt;=N(DT135)),0),_xlpm.r_,_xlfn._xlws.FILTER(_xlpm.sz,_xlpm.ok,""),INDEX(_xlpm.r_,1)))</f>
        <v>1.5</v>
      </c>
      <c r="EP135" s="6" cm="1">
        <f t="array" ref="EP135">IFERROR(ROUNDUP(N(EJ135)*(_xlfn.XLOOKUP(EO135,INDEX(Кабель_сопротивление,0,1),INDEX(Кабель_сопротивление,0,3))*N(P135)/EO135*N(CE135)+_xlfn.XLOOKUP(EO135,INDEX(Кабель_сопротивление,0,1),INDEX(Кабель_сопротивление,0,2))*N(P135)*N(EK135)/1000)*N(O135)/((Uн_лин/SQRT(3))*1000)*100,2),"")</f>
        <v>0.2</v>
      </c>
      <c r="EQ135">
        <f>IFERROR(2*ρкз_Cu*N(P135)/EO135,"")</f>
        <v>1.1922666666666666</v>
      </c>
      <c r="ER135">
        <f>IFERROR(VLOOKUP(EN135,Кабель_сопротивление,3,FALSE),"")</f>
        <v>2.2499999999999999E-2</v>
      </c>
      <c r="ES135">
        <f>IFERROR(VLOOKUP(EN135,Кабель_сопротивление,2,FALSE),"")</f>
        <v>0.11</v>
      </c>
      <c r="ET135">
        <f t="shared" si="330"/>
        <v>22</v>
      </c>
      <c r="EU135">
        <f t="shared" si="331"/>
        <v>0</v>
      </c>
      <c r="EV135">
        <f t="shared" si="332"/>
        <v>0.46186624347518612</v>
      </c>
      <c r="EW135" s="6">
        <f>IFERROR(ROUNDUP(EV135/IF(BV135=1,BU135,(Uн_лин/SQRT(3))*1000)*100,2),"")</f>
        <v>0.2</v>
      </c>
      <c r="EX135" t="str">
        <f>IFERROR(VLOOKUP(BZ135,Кабель_обозначение,2,FALSE),"")</f>
        <v>ВВГнг(А)-LS</v>
      </c>
      <c r="EY135" t="str">
        <f t="shared" si="333"/>
        <v>ВВГнг(А)-LS (3х1,5)</v>
      </c>
      <c r="EZ135" t="str">
        <f t="shared" si="334"/>
        <v>ВВГнг(А)-LS (3х1,5)
L=34-0,2%</v>
      </c>
      <c r="FA135">
        <f>IFERROR(2*ρкз_Cu*P135/EN135,"")</f>
        <v>1.1922666666666666</v>
      </c>
      <c r="FB135">
        <f t="shared" si="335"/>
        <v>0.39666666666666672</v>
      </c>
      <c r="FC135" s="6" t="str">
        <f>IFERROR(IF(OR(B135="",BV135=1,NOT(ISNUMBER(EN135)),N(P135)=0),"",_xlfn.XLOOKUP(A135,Щиты[Щит],Щиты[Zпетли на шинах, Ом])+FA135),"")</f>
        <v/>
      </c>
      <c r="FD135" s="6" t="str">
        <f>IF(ISNUMBER(FC135),c_min*(Uн_лин*1000/SQRT(3))/FC135,"")</f>
        <v/>
      </c>
      <c r="FE135" s="6" t="str">
        <f>IFERROR(IF(OR(B135="",NOT(ISNUMBER(EN135))),"",1.05*(Uн_лин*1000/SQRT(3))/(_xlfn.XLOOKUP(A135,Щиты[Щит],Щиты[Zmax на шинах, Ом])+FB135)/1000),"")</f>
        <v/>
      </c>
      <c r="FF135" s="6" t="str">
        <f>IF(B135="","",IF(ISNUMBER(AC135),"Сил",IF(IFERROR(_xlfn.XLOOKUP(BC135,Коды_код,Коды_группа)&amp;"","")="","Быт",_xlfn.XLOOKUP(BC135,Коды_код,Коды_группа)&amp;"")))</f>
        <v>Сил</v>
      </c>
      <c r="FG135" s="6" t="str">
        <f t="shared" si="336"/>
        <v>Сил</v>
      </c>
      <c r="FH135" s="6">
        <f>IF(FG135="Щит","щит",IF(FG135="","",IF(FG135="Быт",IFERROR(_xlfn.XLOOKUP(A135,Щиты[Щит],Щиты[Кс быт]),1),IF(FG135="Сил",IF(ISNUMBER(AC135),AC135,IF(Методика="нормы 2026",IFERROR(_xlfn.XLOOKUP(A135,Щиты[Щит],Щиты[Кс силовых (табл. 7.5)]),1),1)),IF(OR(FG135="Пост",FG135="Отоп"),1,IF(FG135="ВНГ",0.7,0))))))</f>
        <v>0.5</v>
      </c>
      <c r="FI135">
        <f>IF(FG135="","",IF(AND(BP135=1,TRIM(AE135&amp;"")=""),IF(COUNTIFS(Линии[Щит],A135,Линии[Секция (1/2/3)],"&gt;=2")&gt;0,MIN(3,MAX(1,IFERROR(--BD135,1))),1),IFERROR(MIN(3,MAX(1,INT(--AE135))),1)))</f>
        <v>1</v>
      </c>
      <c r="FJ135">
        <f t="shared" si="337"/>
        <v>0.104</v>
      </c>
      <c r="FK135">
        <f t="shared" si="338"/>
        <v>0</v>
      </c>
      <c r="FL135">
        <f t="shared" si="339"/>
        <v>5.1999999999999998E-2</v>
      </c>
      <c r="FM135">
        <f t="shared" si="340"/>
        <v>0</v>
      </c>
      <c r="FN135">
        <f t="shared" si="341"/>
        <v>0</v>
      </c>
      <c r="FO135">
        <f t="shared" si="342"/>
        <v>0</v>
      </c>
      <c r="FP135">
        <f t="shared" si="343"/>
        <v>0.104</v>
      </c>
      <c r="FQ135">
        <f t="shared" si="344"/>
        <v>0.104</v>
      </c>
      <c r="FR135">
        <f t="shared" si="345"/>
        <v>8.3199999999999996E-2</v>
      </c>
      <c r="FS135">
        <f>IF(CG135=1,IF(AND(CH135=1,CW135=1),0,IF(AND(CS135&lt;&gt;"",CS135=BA135,CW135=1),SUMIFS(Линии[_Р линии, кВт],Линии[_блок УЗО],BA135,Линии[Щит],A135),N(BS135)+IF(AJ135="вручную",0,N(CK135)))),0)</f>
        <v>0.104</v>
      </c>
      <c r="FT135" t="str">
        <f t="shared" si="346"/>
        <v>L2</v>
      </c>
      <c r="FU135" t="str">
        <f>IF(B135="","",IF(CG135=0,IF(BA135=1,"",FW134),IF(AND(CH135=1,CW135=1,CS135&lt;&gt;""),IFERROR(_xlfn.XLOOKUP(CS135,Линии[_n],Линии[_фаза итог]),"L1"),IF(OR(N(DL135)&gt;=3,N(BX135)&gt;=3),"L1,L2,L3",IFERROR(_xlfn.TEXTBEFORE(_xlfn.TEXTAFTER(_xlfn.XLOOKUP(A135,Щиты[Щит],Щиты[_фазы авто]),";"&amp;BA135&amp;":"),";"),"L1")))))</f>
        <v>L1</v>
      </c>
      <c r="FV135" t="str">
        <f t="shared" si="347"/>
        <v>L2</v>
      </c>
      <c r="FW135" t="str">
        <f t="shared" si="348"/>
        <v>L2</v>
      </c>
      <c r="FX135" cm="1">
        <f t="array" ref="FX135">IFERROR(IF(CD135=2,_xlfn.IFS(BX135=3,VLOOKUP(BS135,Справочная_двигатели,3,FALSE),BX135=1,VLOOKUP(BS135,Справочная_двигатели,5,TRUE)),0),0)</f>
        <v>0</v>
      </c>
      <c r="FY135">
        <f>IFERROR(IF(CD135=3,VLOOKUP(BS135,Справочная_ЛЭД,2,TRUE),0),0)</f>
        <v>0</v>
      </c>
      <c r="FZ135" s="6">
        <f t="shared" si="349"/>
        <v>0</v>
      </c>
      <c r="GA135" t="str">
        <f>IF(B135="","",IF(TRIM(AH135&amp;"")&lt;&gt;"",IF(LOWER(TRIM(AH135&amp;""))="да","да","нет"),IF(IFERROR(_xlfn.XLOOKUP(BC135,Коды_код,Коды_пожарная),"")="да","да","нет")))</f>
        <v>нет</v>
      </c>
      <c r="GB135" t="str">
        <f t="shared" si="350"/>
        <v/>
      </c>
      <c r="GC135" t="str">
        <f t="shared" si="351"/>
        <v>основная</v>
      </c>
      <c r="GD135">
        <f>IF(AND(BP135=1,TRIM(AE135&amp;"")=""),IF(COUNTIFS(Линии[Щит],A135,Линии[Секция (1/2/3)],"&gt;=2")&gt;0,MIN(3,MAX(1,IFERROR(--BD135,1))),1),IFERROR(MIN(3,MAX(1,INT(--AE135))),1))</f>
        <v>1</v>
      </c>
      <c r="GE135" t="str" cm="1">
        <f t="array" ref="GE135">IF(B135="","",_xlfn.LET(_xlpm.t,IFERROR(_xlfn.XLOOKUP(1,(Шины[Шина]=GC135)*(((Шины[Щит]=A135)+(Шины[Щит]=""))&gt;0),Шины[Тип]),"")&amp;"",IF(_xlpm.t&lt;&gt;"",_xlpm.t,IF(ISNUMBER(SEARCH("ИБП",GC135)),"ИБП",IF(ISNUMBER(SEARCH("ДГУ",GC135)),"ДГУ","Ввод "&amp;GD135)))))</f>
        <v>Ввод 1</v>
      </c>
      <c r="GF135" t="str">
        <f t="shared" si="352"/>
        <v>Ввод 1</v>
      </c>
      <c r="GG135" t="str">
        <f>IF(BP135=0,"",IF(TRIM(AG135&amp;"")&lt;&gt;"",TRIM(AG135&amp;""),IF(OR(GE135="ИБП",GE135="ДГУ"),"I особая",_xlfn.XLOOKUP(A135,Щиты[Щит],Щиты[Категория шины «Ввод»],"III"))))</f>
        <v/>
      </c>
      <c r="GH135" t="str">
        <f>IF(A135="","",_xlfn.XLOOKUP(A135,Щиты[Щит],Щиты[Путь],""))</f>
        <v>|ГРЩ-ЖД|ЩОВ-2|</v>
      </c>
      <c r="GI135" t="str">
        <f>IF(B135="","",IF(AI135&lt;&gt;"",AI135,IF(IFERROR(_xlfn.XLOOKUP(BC135,Коды_код,Коды_вид)&amp;"","")="","Прочее",_xlfn.XLOOKUP(BC135,Коды_код,Коды_вид)&amp;"")))</f>
        <v>Кондиционирование и увлажнение</v>
      </c>
      <c r="GJ135">
        <f>IF(BM135="","",INT((BM135-1)/Столбцов_на_лист)+1)</f>
        <v>2</v>
      </c>
      <c r="GK135" t="str">
        <f t="shared" si="353"/>
        <v>ВВГнг(А)-LS (3х1,5) L=34-0,2%</v>
      </c>
      <c r="GL135">
        <f t="shared" si="354"/>
        <v>0.104</v>
      </c>
      <c r="GM135">
        <f t="shared" si="355"/>
        <v>0.57000000000000006</v>
      </c>
      <c r="GN135">
        <f t="shared" si="356"/>
        <v>1</v>
      </c>
      <c r="GO135">
        <f t="shared" si="357"/>
        <v>0</v>
      </c>
      <c r="GP135">
        <f t="shared" si="358"/>
        <v>1</v>
      </c>
      <c r="GQ135">
        <f>IF(BM135="","",IF(AND(CG135=1,GP135=1),COUNTIFS(A$3:A135,A135,CG$3:CG135,1,GP$3:GP135,1),IF(OR(OR(BA135=1,A135&lt;&gt;A134),AJ135="вручную",GP135=0),"",IF(BA135=1,"",GR134))))</f>
        <v>5</v>
      </c>
      <c r="GR135">
        <f t="shared" si="359"/>
        <v>5</v>
      </c>
      <c r="GS135">
        <f>IF(B135="","",IFERROR(LOOKUP(INDEX(CHOOSE(EB135,Iдоп_1ж,Iдоп_2ж,Iдоп_3ж),MATCH(EN135,Iдоп_S,0))*DZ135*EA135,{6,10,16,20,25,32,40,50,63,80,100,125,160,200,250,315,400,500,630}),""))</f>
        <v>16</v>
      </c>
      <c r="GT135" t="str">
        <f t="shared" si="360"/>
        <v>QF5</v>
      </c>
      <c r="GU135" t="str">
        <f t="shared" si="361"/>
        <v>QF5</v>
      </c>
      <c r="GV135" t="str">
        <f t="shared" si="362"/>
        <v/>
      </c>
      <c r="GW135">
        <f t="shared" si="363"/>
        <v>0</v>
      </c>
      <c r="GX135" t="str">
        <f>IF(OR(B135="",DJ135=""),"",IFERROR(_xlfn.XLOOKUP(DJ135,Модули_умолч[Управление],Модули_умолч[Модель])&amp;"",""))</f>
        <v/>
      </c>
      <c r="GY135">
        <f>IF(DJ135="",1,IFERROR(MAX(0,N(_xlfn.XLOOKUP(DJ135,Модули_умолч[Управление],Модули_умолч[Каналов на линию]))),1))</f>
        <v>1</v>
      </c>
      <c r="GZ135" t="str">
        <f t="shared" si="364"/>
        <v/>
      </c>
      <c r="HA135" t="str">
        <f t="shared" si="365"/>
        <v/>
      </c>
      <c r="HB135" t="str">
        <f t="shared" si="366"/>
        <v/>
      </c>
      <c r="HC135">
        <f>IF(HB135="",0,IFERROR(N(VLOOKUP(HB135,Модули_спр,3,FALSE)),0))</f>
        <v>0</v>
      </c>
      <c r="HD135" t="str">
        <f t="shared" si="367"/>
        <v/>
      </c>
      <c r="HE135" t="str">
        <f t="shared" si="368"/>
        <v/>
      </c>
      <c r="HF135" t="str">
        <f>IF(OR(HE135="",HE135="-"),"",IFERROR(VLOOKUP(HE135,Модули_спр,2,FALSE),"R"))</f>
        <v/>
      </c>
      <c r="HG135" t="str">
        <f>IF(HF135="","",HF135&amp;"."&amp;COUNTIFS(A$3:A135,A135,HF$3:HF135,HF135))</f>
        <v/>
      </c>
      <c r="HH135" t="str">
        <f t="shared" si="369"/>
        <v/>
      </c>
      <c r="HI135" t="str">
        <f t="shared" si="370"/>
        <v/>
      </c>
      <c r="HJ135" t="str">
        <f t="shared" si="371"/>
        <v/>
      </c>
      <c r="HK135" t="str">
        <f t="shared" si="372"/>
        <v/>
      </c>
      <c r="HL135">
        <f t="shared" si="373"/>
        <v>1</v>
      </c>
      <c r="HM135" t="str">
        <f>IF(HL135=1,"XT"&amp;COUNTIFS(A$3:A135,A135,HL$3:HL135,1),"")</f>
        <v>XT5</v>
      </c>
      <c r="HN135" t="str">
        <f t="shared" si="374"/>
        <v/>
      </c>
      <c r="HO135" t="str">
        <f t="shared" si="375"/>
        <v>QF5</v>
      </c>
      <c r="HP135" t="str">
        <f t="shared" si="376"/>
        <v/>
      </c>
      <c r="HQ135" t="str">
        <f t="shared" si="377"/>
        <v>ok</v>
      </c>
      <c r="HR135" t="str">
        <f>IF(OR(HJ135="",HH135=""),"",IF(HJ135+MAX(0,GY135-1)&gt;IFERROR(VLOOKUP(HI135,Модули_спр,3,FALSE),99),"ЛИШНИЙ КАНАЛ",IF(AND(AL135&lt;&gt;"=",GY135&gt;0,COUNTIFS(Линии[_модуль гр.],HH135,Линии[Канал (итог)],HJ135,Линии[Канал],"&lt;&gt;=",Линии[Щит],A135)&gt;1),"ДУБЛЬ КАНАЛА","")))</f>
        <v/>
      </c>
      <c r="HS135" s="6" t="str">
        <f t="shared" si="378"/>
        <v/>
      </c>
      <c r="HT135">
        <f t="shared" si="379"/>
        <v>10</v>
      </c>
      <c r="HU135" t="str">
        <f t="shared" si="380"/>
        <v/>
      </c>
      <c r="HV135">
        <f t="shared" si="381"/>
        <v>0.56516660498395399</v>
      </c>
      <c r="HW135">
        <f t="shared" si="382"/>
        <v>0</v>
      </c>
      <c r="HX135">
        <f t="shared" si="383"/>
        <v>0</v>
      </c>
      <c r="HY135">
        <f t="shared" si="384"/>
        <v>0</v>
      </c>
      <c r="HZ135">
        <f t="shared" si="385"/>
        <v>0</v>
      </c>
      <c r="IA135">
        <f t="shared" si="386"/>
        <v>0</v>
      </c>
      <c r="IB135">
        <f t="shared" si="387"/>
        <v>0</v>
      </c>
      <c r="IC135" t="str">
        <f t="shared" si="388"/>
        <v/>
      </c>
      <c r="ID135" t="str" cm="1">
        <f t="array" ref="ID135">IF(IC135="","",_xlfn.LET(_xlpm.tk,_xlfn.TEXTSPLIT(SUBSTITUTE(SUBSTITUTE(IC135,";"," "),"→"," ")," ",,TRUE),_xlpm.w_,_xlfn._xlws.FILTER(_xlpm.tk,ISNUMBER(--LEFT(_xlpm.tk,1))*((ISNUMBER(SEARCH("W",_xlpm.tk))+ISNUMBER(SEARCH("Вт",_xlpm.tk)))&gt;0),""),IFERROR(--SUBSTITUTE(SUBSTITUTE(UPPER(INDEX(_xlpm.w_,1)),"W",""),"ВТ",""),"")))</f>
        <v/>
      </c>
      <c r="IE135" t="str" cm="1">
        <f t="array" ref="IE135">IF(IC135="","",_xlfn.LET(_xlpm.tk,_xlfn.TEXTSPLIT(SUBSTITUTE(SUBSTITUTE(IC135,";"," "),"→"," ")," ",,TRUE),_xlpm.v_,_xlfn._xlws.FILTER(_xlpm.tk,ISNUMBER(--LEFT(_xlpm.tk,1))*((ISNUMBER(SEARCH("V",_xlpm.tk))+(RIGHT(UPPER(_xlpm.tk))="В"))&gt;0),""),IFERROR(--SUBSTITUTE(SUBSTITUTE(UPPER(INDEX(_xlpm.v_,1)),"V",""),"В",""),"")))</f>
        <v/>
      </c>
      <c r="IF135" s="6" t="str">
        <f>IF(OR(BV135=0,HI135="",HJ135=""),"",IFERROR(N(_xlfn.XLOOKUP(HI135,Каталог!$C$4:$C$500,Каталог!$Q$4:$Q$500)),""))</f>
        <v/>
      </c>
      <c r="IG135" s="6" t="str">
        <f>IF(N(IF135)=0,"",SUMIFS(Линии[Iр, А],Линии[Щит],A135,Линии[_модуль гр.],HH135,Линии[Канал (итог)],HJ135))</f>
        <v/>
      </c>
      <c r="IH135" t="str">
        <f>IF(AND(B135="",HO135=""),"",_xlfn.TEXTJOIN("; ",TRUE,IF(AND(B135&lt;&gt;"",FV135=""),"нет фазы",""),IF(AND(B135&lt;&gt;"",N(GL135)=0,FG135&lt;&gt;"Нет"),"нет мощности",""),IF(AND(HN135&lt;&gt;"",COUNTIFS(Линии[Щит],A135,Линии[Клемма (итог)],HN135)&gt;1),"дубль клеммы "&amp;HN135,""),IF(AND(HQ135&lt;&gt;"",HQ135&lt;&gt;"ok"),HQ135,""),IF(HR135&lt;&gt;"",HR135,""),IF(AND(N(CB135)&gt;=4,N(BX135)=1),CB135&amp;" жил на 1 фазе",""),IF(AND(BC135="R",CG135=1,IF(CS135&lt;&gt;"",N(CV135)&gt;30,OR(N(DA135)=0,N(DA135)&gt;30))),"розетка без дифзащиты до 30 мА",""),IF(AND(CG135=1,N(DA135)&gt;0,ISNUMBER(T135)),IF(T135&gt;N(DA135)/3,"ток утечки "&amp;FIXED(T135,1)&amp;" мА &gt; 1/3 уставки ("&amp;DA135&amp;" мА)",""),""),IF(AND(CH135=1,CS135=""),"«узо»: нет строки с УЗО выше (УЗО 2P 40А 30мА в «Аппаратах»)",""),IF(AND(CS135&lt;&gt;"",CS135=BA135),IF(CT135="","впишите номинал УЗО (УЗО 2P 40А 30мА)",IF(N(CT135)&lt;N(DT135),"УЗО "&amp;CT135&amp;" А &lt; автомата "&amp;DT135&amp;" А перед ним",IF(N(CT135)&lt;N(CX135),"УЗО "&amp;CT135&amp;" А &lt; тока блока "&amp;FIXED(CX135,1)&amp;" А",""))),""),IF(AND(CS135&lt;&gt;"",CS135=BA135,ISNUMBER(CY135)),IF(CY135&gt;N(CV135)/3,"ток утечки блока УЗО "&amp;FIXED(CY135,1)&amp;" мА &gt; 1/3 уставки ("&amp;CV135&amp;" мА)",""),""),IF(AND(CG135=1,N(BV135)+N(IB135)&gt;0,IC135=""),"линии до 50 В без БП: впишите в «Аппараты» (БП 24V 480W)",""),IF(AND(CG135=1,ISNUMBER(ID135),ISNUMBER(U135)),IF(U135&gt;ID135,"БП "&amp;ID135&amp;" Вт &lt; нужно "&amp;U135&amp;" Вт (×"&amp;Запас_БП&amp;")",""),""),IF(AND(CG135=1,ISNUMBER(IE135),N(BV135)=1),IF(IE135&lt;&gt;N(BU135),"БП на "&amp;IE135&amp;" В, линия "&amp;BU135&amp;" В",""),""),IF(AND(N(IF135)&gt;0,N(IG135)&gt;N(IF135)),HH135&amp;" канал "&amp;HJ135&amp;": "&amp;FIXED(IG135,1)&amp;" А &gt; "&amp;IF135&amp;" А",""),IFERROR(IF(AND(ISNUMBER(Q135),Q135&gt;EL135),"потери "&amp;FIXED(Q135,1)&amp;" % &gt; "&amp;EL135&amp;" %",""),""),IFERROR(IF(LEFT(HU135,4)="мало","Iкз мало — отключение &gt; 0,4 с",""),""),IF(AND(B135&lt;&gt;"",BM135=""),"не на схеме",""),IF(AND(CG135=0,B135&lt;&gt;"",FV135&lt;&gt;"",IF(BA135=1,"",FW134)&lt;&gt;"",FV135&lt;&gt;IF(BA135=1,"",FW134)),"фаза не как у автомата группы ("&amp;IF(BA135=1,"",FW134)&amp;")","")))</f>
        <v/>
      </c>
      <c r="II135" s="6" t="str">
        <f>IF(OR(CG135=0,DQ135=""),"",_xlfn.LET(_xlpm.t,IFERROR(_xlfn.XLOOKUP(DQ135,Каталог!$U$4:$U$500,Каталог!$G$4:$G$500),""),_xlpm.k,SEARCH("кА",_xlpm.t),IFERROR(--TRIM(RIGHT(SUBSTITUTE(MID(_xlpm.t,MAX(1,_xlpm.k-4),_xlpm.k-MAX(1,_xlpm.k-4))," ",REPT(" ",9)),5)),"")))</f>
        <v/>
      </c>
      <c r="IJ135" t="str">
        <f>IF(OR(II135="",CG135=0),"",IF(_xlfn.XLOOKUP(A135,Щиты[Щит],Щиты[Iкз max на шинах, кА],"")="","",IF(II135&lt;_xlfn.XLOOKUP(A135,Щиты[Щит],Щиты[Iкз max на шинах, кА]),"Icu "&amp;II135&amp;" кА &lt; Iкз max","ok")))</f>
        <v/>
      </c>
      <c r="IK135" t="str">
        <f t="shared" si="389"/>
        <v/>
      </c>
      <c r="IL135" t="str">
        <f t="shared" si="390"/>
        <v>QF5</v>
      </c>
      <c r="IM135" t="str">
        <f t="shared" si="391"/>
        <v>QF5|кабель ВВГнг(А)-LS (3х1,5) → Внутренний блок кондиционирования Технический этаж Пом. №002Т</v>
      </c>
      <c r="IN135" t="str" cm="1">
        <f t="array" ref="IN135">IF(IM135="","",_xlfn.LET(_xlpm.nd,_xlfn.TEXTSPLIT(IM135,"|"),IF(COLUMNS(_xlpm.nd)&gt;1,A135&amp;"¦"&amp;INDEX(_xlpm.nd,1)&amp;"¦"&amp;INDEX(_xlpm.nd,2),"")))</f>
        <v>ЩОВ-2¦QF5¦кабель ВВГнг(А)-LS (3х1,5) → Внутренний блок кондиционирования Технический этаж Пом. №002Т</v>
      </c>
      <c r="IO135" t="str">
        <f t="shared" si="392"/>
        <v>K.2.004A¦Внутренний блок кондиционирования Технический этаж Пом. №002Т</v>
      </c>
      <c r="IP135" t="str" cm="1">
        <f t="array" ref="IP135">IF(IM135="","",_xlfn.LET(_xlpm.nd,_xlfn.TEXTSPLIT(IM135,"|"),IF(COLUMNS(_xlpm.nd)&gt;2,A135&amp;"¦"&amp;INDEX(_xlpm.nd,2)&amp;"¦"&amp;INDEX(_xlpm.nd,3),"")))</f>
        <v/>
      </c>
      <c r="IQ135" t="str">
        <f t="shared" si="393"/>
        <v/>
      </c>
      <c r="IR135" t="str" cm="1">
        <f t="array" ref="IR135">IF(IM135="","",_xlfn.LET(_xlpm.nd,_xlfn.TEXTSPLIT(IM135,"|"),IF(COLUMNS(_xlpm.nd)&gt;3,A135&amp;"¦"&amp;INDEX(_xlpm.nd,3)&amp;"¦"&amp;INDEX(_xlpm.nd,4),"")))</f>
        <v/>
      </c>
      <c r="IS135" t="str">
        <f t="shared" si="394"/>
        <v/>
      </c>
      <c r="IT135" t="str" cm="1">
        <f t="array" ref="IT135">IF(IM135="","",_xlfn.LET(_xlpm.nd,_xlfn.TEXTSPLIT(IM135,"|"),IF(COLUMNS(_xlpm.nd)&gt;4,A135&amp;"¦"&amp;INDEX(_xlpm.nd,4)&amp;"¦"&amp;INDEX(_xlpm.nd,5),"")))</f>
        <v/>
      </c>
      <c r="IU135" t="str">
        <f t="shared" si="395"/>
        <v/>
      </c>
      <c r="IV135" t="str" cm="1">
        <f t="array" ref="IV135">IF(IM135="","",_xlfn.LET(_xlpm.nd,_xlfn.TEXTSPLIT(IM135,"|"),IF(COLUMNS(_xlpm.nd)&gt;5,A135&amp;"¦"&amp;INDEX(_xlpm.nd,5)&amp;"¦"&amp;INDEX(_xlpm.nd,6),"")))</f>
        <v/>
      </c>
      <c r="IW135" t="str">
        <f t="shared" si="396"/>
        <v/>
      </c>
      <c r="IX135" t="str" cm="1">
        <f t="array" ref="IX135">IF(IM135="","",_xlfn.LET(_xlpm.nd,_xlfn.TEXTSPLIT(IM135,"|"),IF(COLUMNS(_xlpm.nd)&gt;6,A135&amp;"¦"&amp;INDEX(_xlpm.nd,6)&amp;"¦"&amp;INDEX(_xlpm.nd,7),"")))</f>
        <v/>
      </c>
      <c r="IY135" t="str">
        <f t="shared" si="397"/>
        <v/>
      </c>
      <c r="IZ135" t="str">
        <f t="shared" si="398"/>
        <v/>
      </c>
      <c r="JA135" t="str">
        <f t="shared" si="399"/>
        <v>QF5</v>
      </c>
      <c r="JB135">
        <f t="shared" si="400"/>
        <v>0</v>
      </c>
      <c r="JC135">
        <f t="shared" si="401"/>
        <v>0</v>
      </c>
      <c r="JD135" t="str">
        <f t="shared" si="402"/>
        <v/>
      </c>
      <c r="JE135" t="str">
        <f t="shared" si="403"/>
        <v/>
      </c>
      <c r="JF135" t="str">
        <f t="shared" si="404"/>
        <v/>
      </c>
      <c r="JG135" t="str">
        <f t="shared" si="405"/>
        <v/>
      </c>
      <c r="JH135">
        <f>IF(B135="","",IFERROR(_xlfn.XLOOKUP(B135,Коды_код,Коды_уго),IFERROR(_xlfn.XLOOKUP(BC135,Коды_код,Коды_уго),IFERROR(_xlfn.XLOOKUP(LEFT(BC135,2),Коды_код,Коды_уго),""))))</f>
        <v>0</v>
      </c>
      <c r="JI135" t="str">
        <f>IF(B135="","",IF(OR(JH135="",JH135=0),"BOX",IFERROR(IF(VLOOKUP(JH135,УГО_блоки,3,FALSE)&amp;""&lt;&gt;"",VLOOKUP(JH135,УГО_блоки,3,FALSE),VLOOKUP(JH135,УГО_блоки,2,FALSE)),JH135)))</f>
        <v>BOX</v>
      </c>
      <c r="JJ135">
        <f t="shared" si="406"/>
        <v>1</v>
      </c>
      <c r="JK135" t="str">
        <f>IF(DQ135="","",IF(COUNTIF(DQ$3:DQ135,DQ135)=1,MAX(JK$2:JK134)+1,""))</f>
        <v/>
      </c>
      <c r="JL135" t="str">
        <f>IF(DE135="","",IF(COUNTIF(DE$3:DE135,DE135)+COUNTIF(DF$2:DF134,DE135)+COUNTIF(DG$2:DG134,DE135)=1,MAX(JL$2:JN134)+1,""))</f>
        <v/>
      </c>
      <c r="JM135" t="str">
        <f>IF(DF135="","",IF(COUNTIF(DE$3:DE135,DF135)+COUNTIF(DF$3:DF135,DF135)+COUNTIF(DG$2:DG134,DF135)=1,MAX(JL$2:JN134,JL135)+1,""))</f>
        <v/>
      </c>
      <c r="JN135" t="str">
        <f>IF(DG135="","",IF(COUNTIF(DE$3:DE135,DG135)+COUNTIF(DF$3:DF135,DG135)+COUNTIF(DG$3:DG135,DG135)=1,MAX(JL$2:JN134,JL135,JM135)+1,""))</f>
        <v/>
      </c>
      <c r="JO135" t="str">
        <f t="shared" si="407"/>
        <v>3х1,5</v>
      </c>
      <c r="JP135" t="str">
        <f>IF(JO135="","",IF(COUNTIF(JO$3:JO135,JO135)=1,MAX(JP$2:JP134)+1,""))</f>
        <v/>
      </c>
      <c r="JQ135" t="str">
        <f>IF(HG135="","",COUNTIF(HG$3:HG135,"?*"))</f>
        <v/>
      </c>
      <c r="JR135" t="str">
        <f>IF(OR(HG135="",HI135=""),"",IF(COUNTIFS(HG$3:HG135,"?*",HI$3:HI135,HI135)=1,MAX(JR$2:JR134)+1,""))</f>
        <v/>
      </c>
      <c r="JS135">
        <f t="shared" si="408"/>
        <v>0</v>
      </c>
      <c r="JT135">
        <f>IF(B135="","",COUNTIF(B$3:B135,"?*"))</f>
        <v>133</v>
      </c>
      <c r="JU135">
        <f>IF(HL135&lt;&gt;1,0,_xlfn.LET(_xlpm.k,MAX(IFERROR(--_xlfn.XLOOKUP(B135,Коды_код,Коды_3L),0),IFERROR(--_xlfn.XLOOKUP(BC135,Коды_код,Коды_3L),0),IFERROR(--_xlfn.XLOOKUP(LEFT(BC135,2),Коды_код,Коды_3L),0)),IF(_xlpm.k&gt;0,_xlpm.k,IF(IFERROR(--LEFT(SUBSTITUTE(JO135,"x","х"),FIND("х",SUBSTITUTE(JO135,"x","х"))-1),3)&gt;3,Каталог!$S$9,1))))</f>
        <v>1</v>
      </c>
      <c r="JV135">
        <f t="shared" si="409"/>
        <v>0</v>
      </c>
      <c r="JW135" t="str">
        <f t="shared" si="410"/>
        <v>авто</v>
      </c>
      <c r="JX135" t="str">
        <f t="shared" si="411"/>
        <v/>
      </c>
      <c r="JY135">
        <f t="shared" si="412"/>
        <v>0</v>
      </c>
      <c r="JZ135">
        <f t="shared" si="413"/>
        <v>1</v>
      </c>
    </row>
    <row r="136" spans="1:286" x14ac:dyDescent="0.3">
      <c r="A136" t="s">
        <v>751</v>
      </c>
      <c r="B136" t="s">
        <v>1445</v>
      </c>
      <c r="C136" t="s">
        <v>1685</v>
      </c>
      <c r="D136">
        <v>1</v>
      </c>
      <c r="E136">
        <v>0.16200000000000001</v>
      </c>
      <c r="G136" t="str">
        <f>Линии[[#This Row],[_авто автомат]]</f>
        <v>1P С6А</v>
      </c>
      <c r="H136" t="str">
        <f>Линии[[#This Row],[_авто управление]]</f>
        <v/>
      </c>
      <c r="I136" t="str">
        <f>Линии[[#This Row],[_авто аппараты]]</f>
        <v/>
      </c>
      <c r="J136">
        <v>1.5</v>
      </c>
      <c r="K136">
        <v>32</v>
      </c>
      <c r="L136" t="str">
        <f>Линии[[#This Row],[_авто фаза]]</f>
        <v>L2</v>
      </c>
      <c r="M136" t="str">
        <f>Линии[[#This Row],[_авто клемма]]</f>
        <v>XT6</v>
      </c>
      <c r="N136" t="str">
        <f t="shared" si="276"/>
        <v/>
      </c>
      <c r="O136" s="6" cm="1">
        <f t="array" ref="O136">IF(B136="","",IF(BH136&lt;&gt;"",IFERROR(_xlfn.XLOOKUP(BH136,Щиты[Щит],Щиты[Iр, А]),""),IF(BP136=1,IF(OR(N(_xlfn.XLOOKUP(A136,Щиты[Щит],Щиты[Вводов],1))&lt;=1,LOWER(TRIM(_xlfn.XLOOKUP(A136,Щиты[Щит],Щиты[АВР],"")&amp;""))="да"),IFERROR(_xlfn.XLOOKUP(A136,Щиты[Щит],Щиты[Iр, А]),""),IFERROR(N(BS136)*_xlfn.XLOOKUP(A136,Щиты[Щит],Щиты[Кс итог])/(SQRT(3)*Uн_лин*_xlfn.XLOOKUP(A136,Щиты[Щит],Щиты[cos φ])),"")),IF(BV136=1,IFERROR(BS136*1000/BU136,""),IFERROR(_xlfn.IFS(BX136=1,BS136/((Uн_лин/SQRT(3))*CE136),BX136=3,BS136/(SQRT(3)*Uн_лин*CE136)),"")))))</f>
        <v>0.87685072133174402</v>
      </c>
      <c r="P136" s="7">
        <f>IF(B136="","",IFERROR(IF(VLOOKUP(BC136,Потребители_обозначение,4,FALSE)=1,VLOOKUP(BC136,Потребители_обозначение,3,FALSE)*(MAX(1,N(D136))*2-1)+EI136+VLOOKUP(BE136,Этаж_обозначение,3,FALSE)+VLOOKUP(BE136,Этаж_обозначение,4,FALSE),VLOOKUP(BC136,Потребители_обозначение,3,FALSE)*(MAX(1,N(D136))*2-1)+EI136),EI136))</f>
        <v>34</v>
      </c>
      <c r="Q136" s="6">
        <f t="shared" si="277"/>
        <v>1.46</v>
      </c>
      <c r="R136" t="str">
        <f t="shared" si="278"/>
        <v>ВВГнг(А)-LS (3х1,5)</v>
      </c>
      <c r="S136" t="str">
        <f>IF(BM136="","",IF(BN136="вводной узел","узел ","")&amp;"л."&amp;(INT((BM136-1)/Столбцов_на_лист)+1)&amp;" / "&amp;(MOD(BM136-1,Столбцов_на_лист)+1))</f>
        <v>л.2 / 3</v>
      </c>
      <c r="T136" s="119">
        <f t="shared" si="279"/>
        <v>0.7</v>
      </c>
      <c r="U136" s="7" t="str">
        <f>IF(OR(CG136=0,N(BV136)+N(IB136)=0),"",ROUNDUP(Запас_БП*(N(HY136)+N(HZ136)),0))</f>
        <v/>
      </c>
      <c r="V136" s="119" t="str">
        <f t="shared" si="280"/>
        <v/>
      </c>
      <c r="W136" s="7" t="str">
        <f>IFERROR(IF(OR(B136="",BP136=1,BV136=1,NOT(ISNUMBER(EN136)),N(DT136)=0),"",MAX(0,ROUNDDOWN((c_min*(Uн_лин*1000/SQRT(3))/(HT136*N(DT136))-_xlfn.XLOOKUP(A136,Щиты[Щит],Щиты[Zпетли на шинах, Ом]))*EN136/(2*ρкз_Cu),0))),"")</f>
        <v/>
      </c>
      <c r="Y136" t="str">
        <f>Линии[[#This Row],[_авто утечка]]</f>
        <v/>
      </c>
      <c r="Z136">
        <v>1</v>
      </c>
      <c r="AA136">
        <v>230</v>
      </c>
      <c r="AB136" t="s">
        <v>598</v>
      </c>
      <c r="AC136">
        <v>0.5</v>
      </c>
      <c r="AG136" t="s">
        <v>810</v>
      </c>
      <c r="AI136" t="s">
        <v>576</v>
      </c>
      <c r="AK136" t="str">
        <f>Линии[[#This Row],[_авто модуль]]</f>
        <v/>
      </c>
      <c r="AM136">
        <v>20</v>
      </c>
      <c r="AN136" t="s">
        <v>11</v>
      </c>
      <c r="AO136">
        <v>3</v>
      </c>
      <c r="AQ136">
        <v>12</v>
      </c>
      <c r="AR136">
        <v>22</v>
      </c>
      <c r="AT136">
        <v>1</v>
      </c>
      <c r="BA136" cm="1">
        <f t="array" ref="BA136">ROW()-ROW(Линии[#Headers])</f>
        <v>134</v>
      </c>
      <c r="BC136" s="6" t="str">
        <f t="shared" si="281"/>
        <v>K</v>
      </c>
      <c r="BD136" t="str">
        <f t="shared" si="282"/>
        <v>2.005A</v>
      </c>
      <c r="BE136" t="str">
        <f t="shared" si="283"/>
        <v>2</v>
      </c>
      <c r="BF136" t="str">
        <f t="shared" si="284"/>
        <v>005A</v>
      </c>
      <c r="BG136" t="str">
        <f t="shared" si="285"/>
        <v>005A</v>
      </c>
      <c r="BH136" t="str">
        <f>IF(X136&lt;&gt;"",X136,IF(AND(B136&lt;&gt;"",B136&lt;&gt;A136,ISNUMBER(_xlfn.XMATCH(B136,Щиты[Щит]))),B136,""))</f>
        <v/>
      </c>
      <c r="BI136" t="str" cm="1">
        <f t="array" ref="BI136">IF(B136="","",IF(BH136&lt;&gt;"","Щит "&amp;BH136,_xlfn.LET(_xlpm.nm,IFERROR(_xlfn.XLOOKUP(BC136,Коды_код,Коды_имя)&amp;"",""),_xlpm.md,IFERROR(N(_xlfn.XLOOKUP(BC136,Коды_код,Коды_режим)),1),_xlpm.ex,IF(Имя_режим="по экспликации",IFERROR(_xlfn.XLOOKUP(BE136&amp;"|"&amp;BG136,Экспликация[Этаж]&amp;"|"&amp;Экспликация[Помещение],Экспликация[Название])&amp;"",""),""),_xlpm.rm,IF(BG136="","",IF(_xlpm.ex&lt;&gt;"",". "&amp;_xlpm.ex&amp;IF(Имя_пом="нет"," ("&amp;BG136&amp;")"," (пом. "&amp;BG136&amp;")"),IF(Имя_пом="нет"," ",", пом. ")&amp;BG136)),IF(_xlpm.nm="","",IF(_xlpm.md=2,_xlpm.nm&amp;" шлейф "&amp;BE136,_xlpm.nm&amp;_xlpm.rm)))))</f>
        <v>Внутренний блок кондиционирования, пом. 005A</v>
      </c>
      <c r="BJ136" t="str">
        <f t="shared" si="286"/>
        <v>Внутренний блок кондиционирования Технический этаж Пом. №002Т</v>
      </c>
      <c r="BK136">
        <f>IFERROR(_xlfn.XMATCH(A136,Щиты[Щит]),0)</f>
        <v>7</v>
      </c>
      <c r="BL136">
        <f>_xlfn.LET(_xlpm.k,IFERROR(_xlfn.XLOOKUP(A136,Щиты[Щит],Щиты[Мест под вводной узел]),""),IF(_xlpm.k="",Столбцов_на_лист,N(_xlpm.k)))</f>
        <v>12</v>
      </c>
      <c r="BM136">
        <f t="shared" si="287"/>
        <v>20</v>
      </c>
      <c r="BN136" t="str">
        <f t="shared" si="288"/>
        <v>линии</v>
      </c>
      <c r="BO136" s="6">
        <f>IFERROR(N(_xlfn.XLOOKUP(BC136,Коды_код,Коды_квт)),0)</f>
        <v>0</v>
      </c>
      <c r="BP136">
        <f t="shared" si="289"/>
        <v>0</v>
      </c>
      <c r="BQ136" t="str">
        <f>IF(B136="","",IF(BH136&lt;&gt;"",IFERROR(_xlfn.XLOOKUP(BH136,Щиты[Щит],Щиты[Руст, кВт]),0),IF(BP136=1,IF(OR(N(_xlfn.XLOOKUP(A136,Щиты[Щит],Щиты[Вводов],1))&lt;=1,LOWER(TRIM(_xlfn.XLOOKUP(A136,Щиты[Щит],Щиты[АВР],"")&amp;""))="да"),IFERROR(_xlfn.XLOOKUP(A136,Щиты[Щит],Щиты[Руст, кВт]),0),SUMIFS(Линии[_Р для вводов],Линии[Щит],A136,Линии[Источник для режимов],GF136)),IF(BO136&gt;0,ROUND(BO136*MAX(1,N(D136)),3),""))))</f>
        <v/>
      </c>
      <c r="BR136">
        <f t="shared" si="290"/>
        <v>0.16200000000000001</v>
      </c>
      <c r="BS136" s="6">
        <f>IF(B136="","",IF(BH136&lt;&gt;"",IFERROR(_xlfn.XLOOKUP(BH136,Щиты[Щит],Щиты[Руст, кВт]),0),N(BR136)))</f>
        <v>0.16200000000000001</v>
      </c>
      <c r="BT136" t="str">
        <f>IF(B136="","",IFERROR(IF(VLOOKUP(BC136,Потребители_обозначение,8,FALSE)=0,"",VLOOKUP(BC136,Потребители_обозначение,8,FALSE)),""))</f>
        <v/>
      </c>
      <c r="BU136">
        <f t="shared" si="291"/>
        <v>230</v>
      </c>
      <c r="BV136">
        <f t="shared" si="292"/>
        <v>0</v>
      </c>
      <c r="BW136">
        <f>IF(B136="","",IF(BH136&lt;&gt;"",3,IFERROR(IF(N(VLOOKUP(BC136,Потребители_обозначение,9,FALSE))=0,1,VLOOKUP(BC136,Потребители_обозначение,9,FALSE)),1)))</f>
        <v>1</v>
      </c>
      <c r="BX136">
        <f t="shared" si="293"/>
        <v>1</v>
      </c>
      <c r="BY136" t="str">
        <f>IF(B136="","",_xlfn.LET(_xlpm.bc,IFERROR(IF(VLOOKUP(BC136,Потребители_обозначение,6,FALSE)=0,"",VLOOKUP(BC136,Потребители_обозначение,6,FALSE)&amp;""),""),IF(AND(GA136="да",OR(_xlpm.bc="",_xlpm.bc="мс")),Марка_пож,IF(AND(_xlpm.bc="",BH136&lt;&gt;""),"мс",_xlpm.bc))))</f>
        <v/>
      </c>
      <c r="BZ136" t="str">
        <f t="shared" si="294"/>
        <v>мс</v>
      </c>
      <c r="CA136">
        <f>IF(B136="","",_xlfn.LET(_xlpm.cc,IFERROR(N(VLOOKUP(BC136,Потребители_обозначение,7,FALSE)),0),IF(_xlpm.cc&gt;0,_xlpm.cc,IF(BZ136="","",IF(BV136=1,2,IF(N(BX136)=3,5,3))))))</f>
        <v>3</v>
      </c>
      <c r="CB136">
        <f t="shared" si="295"/>
        <v>3</v>
      </c>
      <c r="CC136">
        <f>IFERROR(N(VLOOKUP(BC136,Потребители_обозначение,10,FALSE)),0)</f>
        <v>0</v>
      </c>
      <c r="CD136">
        <f>IFERROR(VLOOKUP(BC136,Потребители_обозначение,5,FALSE),0)</f>
        <v>1</v>
      </c>
      <c r="CE136" s="6" cm="1">
        <f t="array" ref="CE136">IF(B136="","",IF(BH136&lt;&gt;"",IFERROR(_xlfn.XLOOKUP(BH136,Щиты[Щит],Щиты[cos φ]),0.95),IF(BP136=1,IFERROR(_xlfn.XLOOKUP(A136,Щиты[Щит],Щиты[cos φ]),0.95),IF(ISNUMBER(AD136),AD136,IFERROR(IF(CD136=2,_xlfn.IFS(BX136=3,VLOOKUP(BS136,Справочная_двигатели,8,FALSE),BX136=1,VLOOKUP(BS136,Справочная_двигатели,10,TRUE)),IF(AND(Методика="нормы 2026",FG136="Сил"),0.8,0.95)),0.95)))))</f>
        <v>0.8</v>
      </c>
      <c r="CF136">
        <f t="shared" si="296"/>
        <v>0</v>
      </c>
      <c r="CG136">
        <f t="shared" si="297"/>
        <v>1</v>
      </c>
      <c r="CH136">
        <f t="shared" si="298"/>
        <v>0</v>
      </c>
      <c r="CI136">
        <f>IF(B136="","",IF(BV136=1,IFERROR(BS136/((Uн_лин/SQRT(3))*MAX(0.5,N(CE136))),0),N(O136)))</f>
        <v>0.87685072133174402</v>
      </c>
      <c r="CJ136">
        <f t="shared" si="299"/>
        <v>0</v>
      </c>
      <c r="CK136">
        <f t="shared" si="300"/>
        <v>0</v>
      </c>
      <c r="CL136">
        <f t="shared" si="301"/>
        <v>0</v>
      </c>
      <c r="CM136">
        <f t="shared" si="302"/>
        <v>0</v>
      </c>
      <c r="CN136">
        <f t="shared" si="303"/>
        <v>0</v>
      </c>
      <c r="CO136">
        <f>IF(BC136="",0,_xlfn.LET(_xlpm.v,IFERROR(_xlfn.XLOOKUP(B136,Коды_код,Коды_мА),IFERROR(_xlfn.XLOOKUP(BC136,Коды_код,Коды_мА),IFERROR(_xlfn.XLOOKUP(LEFT(BC136,2),Коды_код,Коды_мА),""))),IF(_xlpm.v="да",30,IF(ISNUMBER(_xlpm.v),_xlpm.v,0))))</f>
        <v>0</v>
      </c>
      <c r="CP136" t="str">
        <f t="shared" si="304"/>
        <v/>
      </c>
      <c r="CQ136" t="str">
        <f>_xlfn.LET(_xlpm.k,IFERROR(_xlfn.XLOOKUP(BC136,Коды_код,Коды_утечка)&amp;"",""),IF(_xlpm.k="","дифавтомат",_xlpm.k))</f>
        <v>дифавтомат</v>
      </c>
      <c r="CR136" t="str" cm="1">
        <f t="array" ref="CR136">IF(CG136=0,"",_xlfn.LET(_xlpm.sg,TRIM(_xlfn.TEXTSPLIT(DD136&amp;"",";")),_xlpm.f_,_xlfn._xlws.FILTER(_xlpm.sg,LEFT(_xlpm.sg,3)="УЗО",""),IFERROR(INDEX(_xlpm.f_,1)&amp;"","")))</f>
        <v/>
      </c>
      <c r="CS136" t="str">
        <f t="shared" si="305"/>
        <v/>
      </c>
      <c r="CT136" s="6" t="str" cm="1">
        <f t="array" ref="CT136">IF(CR136="","",_xlfn.LET(_xlpm.tk,_xlfn.TEXTSPLIT(UPPER(CR136)," ",,TRUE),_xlpm.a_,_xlfn._xlws.FILTER(_xlpm.tk,ISNUMBER(--LEFT(_xlpm.tk,1))*((ISNUMBER(SEARCH("А",_xlpm.tk))+ISNUMBER(SEARCH("A",_xlpm.tk)))&gt;0)*NOT(ISNUMBER(SEARCH("МА",_xlpm.tk)))*NOT(ISNUMBER(SEARCH("MA",_xlpm.tk))),""),IFERROR(--SUBSTITUTE(SUBSTITUTE(INDEX(_xlpm.a_,1),"А",""),"A",""),"")))</f>
        <v/>
      </c>
      <c r="CU136" t="str" cm="1">
        <f t="array" ref="CU136">IF(CR136="","",_xlfn.LET(_xlpm.tk,_xlfn.TEXTSPLIT(UPPER(CR136)," ",,TRUE),_xlpm.a_,_xlfn._xlws.FILTER(_xlpm.tk,ISNUMBER(--LEFT(_xlpm.tk,1))*((ISNUMBER(SEARCH("МА",_xlpm.tk))+ISNUMBER(SEARCH("MA",_xlpm.tk)))&gt;0),""),IFERROR(--SUBSTITUTE(SUBSTITUTE(INDEX(_xlpm.a_,1),"МА",""),"MA",""),30)))</f>
        <v/>
      </c>
      <c r="CV136" t="str">
        <f>IF(CS136="","",IFERROR(_xlfn.XLOOKUP(CS136,Линии[_n],Линии[_УЗО, мА]),30))</f>
        <v/>
      </c>
      <c r="CW136">
        <f>IF(CS136="",0,IF(ISNUMBER(SEARCH("4P",IFERROR(_xlfn.XLOOKUP(CS136,Линии[_n],Линии[_УЗО строки])&amp;"",""))),0,1))</f>
        <v>0</v>
      </c>
      <c r="CX136" t="str">
        <f>IF(AND(CS136&lt;&gt;"",CS136=BA136),SUMIFS(Линии[_ток на 230 В],Линии[_блок УЗО],BA136,Линии[Щит],A136),"")</f>
        <v/>
      </c>
      <c r="CY136" t="str">
        <f>IF(AND(CS136&lt;&gt;"",CS136=BA136),SUMIFS(Линии[_ток утечки линии, мА],Линии[_блок УЗО],BA136,Линии[Щит],A136),"")</f>
        <v/>
      </c>
      <c r="CZ136">
        <f t="shared" si="306"/>
        <v>0</v>
      </c>
      <c r="DA136">
        <f t="shared" si="307"/>
        <v>0</v>
      </c>
      <c r="DB136">
        <f>IF(B136="",0,IFERROR(--_xlfn.XLOOKUP(B136,Коды_код,Коды_минавт),IFERROR(--_xlfn.XLOOKUP(BC136,Коды_код,Коды_минавт),IFERROR(--_xlfn.XLOOKUP(LEFT(BC136,2),Коды_код,Коды_минавт),0))))</f>
        <v>0</v>
      </c>
      <c r="DC136" t="str">
        <f>IF(B136="","",IFERROR(_xlfn.XLOOKUP(BC136,Коды_код,Коды_апп)&amp;"",""))</f>
        <v/>
      </c>
      <c r="DD136" t="str">
        <f t="shared" si="308"/>
        <v/>
      </c>
      <c r="DE136" t="str" cm="1">
        <f t="array" ref="DE136">IF(TRIM(DD136&amp;"")="","",IFERROR(TRIM(INDEX(_xlfn.TEXTSPLIT(DD136&amp;";;;",";"),1)),""))</f>
        <v/>
      </c>
      <c r="DF136" t="str" cm="1">
        <f t="array" ref="DF136">IF(TRIM(DD136&amp;"")="","",IFERROR(TRIM(INDEX(_xlfn.TEXTSPLIT(DD136&amp;";;;",";"),2)),""))</f>
        <v/>
      </c>
      <c r="DG136" t="str" cm="1">
        <f t="array" ref="DG136">IF(TRIM(DD136&amp;"")="","",IFERROR(TRIM(INDEX(_xlfn.TEXTSPLIT(DD136&amp;";;;",";"),3)),""))</f>
        <v/>
      </c>
      <c r="DH136">
        <f t="shared" si="309"/>
        <v>0</v>
      </c>
      <c r="DI136" t="str">
        <f>IF(B136="","",_xlfn.LET(_xlpm.t,LOWER(AZ136&amp;""),IF(ISNUMBER(SEARCH("dim",_xlpm.t)),"DIM",IF(ISNUMBER(SEARCH("dali",_xlpm.t)),"DALI",IF(OR(ISNUMBER(SEARCH("relay",_xlpm.t)),ISNUMBER(SEARCH("реле",_xlpm.t))),"Relay",IF(ISNUMBER(SEARCH("кнопк",_xlpm.t)),"",IFERROR(_xlfn.XLOOKUP(BC136,Коды_код,Коды_упр)&amp;"","")))))))</f>
        <v/>
      </c>
      <c r="DJ136" t="str">
        <f t="shared" si="310"/>
        <v/>
      </c>
      <c r="DK136">
        <f>IF(B136="","",_xlfn.LET(_xlpm.ig,IF(N(CX136)&gt;0,N(CX136),N(CI136)+IF(AJ136="вручную",0,N(CJ136))),_xlpm.n0,IFERROR(VLOOKUP(_xlpm.ig,Автомат_номиналы,2,TRUE),0),_xlpm.mn,MAX(DB136,IF(AJ136="вручную",0,N(CM136))),MAX(_xlpm.n0,_xlpm.mn,IF(DH136=1,Мин_автомат_БП,0))))</f>
        <v>6</v>
      </c>
      <c r="DL136">
        <f t="shared" si="311"/>
        <v>1</v>
      </c>
      <c r="DM136" t="str">
        <f t="shared" si="312"/>
        <v>1P</v>
      </c>
      <c r="DN136" t="str">
        <f>_xlfn.LET(_xlpm.cc,UPPER(TRIM(IFERROR(_xlfn.XLOOKUP(BC136,Коды_код,Коды_хар)&amp;"",""))),IF(OR(_xlpm.cc="B",_xlpm.cc="В"),"B",IF(_xlpm.cc="D","D","С")))</f>
        <v>С</v>
      </c>
      <c r="DO136" t="str">
        <f t="shared" si="313"/>
        <v>1P С6А</v>
      </c>
      <c r="DP136" t="str">
        <f t="shared" si="314"/>
        <v>1P С6А</v>
      </c>
      <c r="DQ136" t="str">
        <f t="shared" si="315"/>
        <v>1P С6А</v>
      </c>
      <c r="DR136" cm="1">
        <f t="array" ref="DR136">IF(DQ136="","",_xlfn.LET(_xlpm.t,SUBSTITUTE(SUBSTITUTE(SUBSTITUTE(UPPER(DQ136),"С","C"),"А","A"),"В","B"),_xlpm.tk,_xlfn.TEXTSPLIT(_xlpm.t," "),_xlpm.f,_xlfn._xlws.FILTER(_xlpm.tk,ISNUMBER(--MID(_xlpm.tk,2,1))*ISNUMBER(SEARCH(LEFT(_xlpm.tk,1)&amp;"#","B#C#D#"))*(LEN(_xlpm.tk)&gt;1),""),_xlpm.x,INDEX(_xlpm.f,1),IFERROR(--SUBSTITUTE(MID(_xlpm.x,2,9),"A",""),IFERROR(--SUBSTITUTE(INDEX(_xlfn._xlws.FILTER(_xlpm.tk,ISNUMBER(--SUBSTITUTE(_xlpm.tk,"A","")),""),1),"A",""),""))))</f>
        <v>6</v>
      </c>
      <c r="DS136" t="str">
        <f t="shared" si="316"/>
        <v>ok</v>
      </c>
      <c r="DT136">
        <f t="shared" si="317"/>
        <v>6</v>
      </c>
      <c r="DU136" t="str">
        <f t="shared" si="318"/>
        <v>1P С6А</v>
      </c>
      <c r="DV136">
        <f t="shared" si="319"/>
        <v>0</v>
      </c>
      <c r="DW136">
        <f t="shared" si="320"/>
        <v>0</v>
      </c>
      <c r="DX136">
        <f t="shared" si="321"/>
        <v>0</v>
      </c>
      <c r="DY136">
        <f t="shared" si="322"/>
        <v>0.87685072133174402</v>
      </c>
      <c r="DZ136">
        <f t="shared" si="323"/>
        <v>1</v>
      </c>
      <c r="EA136">
        <f>IF(ISNUMBER(AP136),AP136,К_прокл)</f>
        <v>1</v>
      </c>
      <c r="EB136">
        <f t="shared" si="324"/>
        <v>2</v>
      </c>
      <c r="EC136">
        <f>IFERROR(N(VLOOKUP(BZ136,Кабель_обозначение,3,FALSE)),1)</f>
        <v>1</v>
      </c>
      <c r="ED136">
        <f>IFERROR(N(_xlfn.XLOOKUP(A136,Щиты[Щит],Щиты[ΔU до шин, %])),0)</f>
        <v>1.1399999999999999</v>
      </c>
      <c r="EE136" t="str">
        <f>IFERROR(_xlfn.XLOOKUP(A136,Щиты[Щит],Щиты[Zпетли на шинах, Ом]),"")</f>
        <v/>
      </c>
      <c r="EF136">
        <f>IFERROR(N(_xlfn.XLOOKUP(A136,Щиты[Щит],Щиты[ΔU до шин (подбор), %])),0)</f>
        <v>1.82</v>
      </c>
      <c r="EG136" t="str">
        <f>IFERROR(_xlfn.XLOOKUP(A136,Щиты[Щит],Щиты[Zпетли на шинах (подбор), Ом]),"")</f>
        <v/>
      </c>
      <c r="EH136" t="str">
        <f t="shared" si="325"/>
        <v/>
      </c>
      <c r="EI136">
        <f t="shared" si="326"/>
        <v>32</v>
      </c>
      <c r="EJ136">
        <f t="shared" si="327"/>
        <v>2</v>
      </c>
      <c r="EK136">
        <f t="shared" si="328"/>
        <v>0.6</v>
      </c>
      <c r="EL136" s="6">
        <f>IF(B136="","",IF(BV136=1,dU_LED,IF(IFERROR(_xlfn.XLOOKUP(BC136,Коды_код,Коды_уго),"")="Светильник",3,4)+IF(Методика="нормы 2026",MIN(0.5,MAX(0,N(P136)-100)*0.005),0)))</f>
        <v>4</v>
      </c>
      <c r="EM136" cm="1">
        <f t="array" ref="EM136">IF(OR(B136="",BZ136="",EC136&lt;&gt;1),"",_xlfn.LET(_xlpm.sz,Iдоп_S,_xlpm.t_,CHOOSE(EB136,Iдоп_1ж,Iдоп_2ж,Iдоп_3ж)*DZ136*EA136,_xlpm.dcx,BV136=1,_xlpm.inn,IF(_xlpm.dcx,N(O136),N(DT136)),_xlpm.smin,MAX(1.5,CC136),_xlpm.L_,N(P136)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136)/N(BU136)*100,999),IFERROR(N(EJ136)*(_xlpm.rho*_xlpm.L_/_xlpm.sz*N(CE136)+_xlpm.xx*_xlpm.L_*N(EK136)/1000)*N(O136)/((Uн_лин/SQRT(3))*1000)*100,999)),_xlpm.kz,IF(OR(_xlpm.dcx,DW136=1,NOT(ISNUMBER(EG136)),_xlpm.L_=0,_xlpm.inn=0),1,IFERROR(--(c_min*(Uн_лин*1000/SQRT(3))/(EG136+2*ρкз_Cu*_xlpm.L_/_xlpm.sz)&gt;=HT136*_xlpm.inn),0)),_xlpm.ok,IFERROR((_xlpm.sz&gt;=_xlpm.smin)*(_xlpm.t_&gt;=_xlpm.inn)*IF(_xlpm.L_&gt;0,(_xlpm.du_+IF(_xlpm.dcx,0,EF136)&lt;=EL136+0.00001),1)*_xlpm.kz,0),_xlpm.r_,_xlfn._xlws.FILTER(_xlpm.sz,_xlpm.ok,"не подобрано"),INDEX(_xlpm.r_,1)))</f>
        <v>1.5</v>
      </c>
      <c r="EN136">
        <f t="shared" si="329"/>
        <v>1.5</v>
      </c>
      <c r="EO136" cm="1">
        <f t="array" ref="EO136">IF(OR(B136="",BZ136="",EC136&lt;&gt;1),"",_xlfn.LET(_xlpm.sz,Iдоп_S,_xlpm.t_,CHOOSE(EB136,Iдоп_1ж,Iдоп_2ж,Iдоп_3ж)*DZ136*EA136,_xlpm.ok,IFERROR((_xlpm.sz&gt;=MAX(1.5,CC136))*(_xlpm.t_&gt;=N(DT136)),0),_xlpm.r_,_xlfn._xlws.FILTER(_xlpm.sz,_xlpm.ok,""),INDEX(_xlpm.r_,1)))</f>
        <v>1.5</v>
      </c>
      <c r="EP136" s="6" cm="1">
        <f t="array" ref="EP136">IFERROR(ROUNDUP(N(EJ136)*(_xlfn.XLOOKUP(EO136,INDEX(Кабель_сопротивление,0,1),INDEX(Кабель_сопротивление,0,3))*N(P136)/EO136*N(CE136)+_xlfn.XLOOKUP(EO136,INDEX(Кабель_сопротивление,0,1),INDEX(Кабель_сопротивление,0,2))*N(P136)*N(EK136)/1000)*N(O136)/((Uн_лин/SQRT(3))*1000)*100,2),"")</f>
        <v>0.32</v>
      </c>
      <c r="EQ136">
        <f>IFERROR(2*ρкз_Cu*N(P136)/EO136,"")</f>
        <v>1.1922666666666666</v>
      </c>
      <c r="ER136">
        <f>IFERROR(VLOOKUP(EN136,Кабель_сопротивление,3,FALSE),"")</f>
        <v>2.2499999999999999E-2</v>
      </c>
      <c r="ES136">
        <f>IFERROR(VLOOKUP(EN136,Кабель_сопротивление,2,FALSE),"")</f>
        <v>0.11</v>
      </c>
      <c r="ET136">
        <f t="shared" si="330"/>
        <v>22</v>
      </c>
      <c r="EU136">
        <f t="shared" si="331"/>
        <v>0</v>
      </c>
      <c r="EV136">
        <f t="shared" si="332"/>
        <v>0.71944549464404006</v>
      </c>
      <c r="EW136" s="6">
        <f>IFERROR(ROUNDUP(EV136/IF(BV136=1,BU136,(Uн_лин/SQRT(3))*1000)*100,2),"")</f>
        <v>0.32</v>
      </c>
      <c r="EX136" t="str">
        <f>IFERROR(VLOOKUP(BZ136,Кабель_обозначение,2,FALSE),"")</f>
        <v>ВВГнг(А)-LS</v>
      </c>
      <c r="EY136" t="str">
        <f t="shared" si="333"/>
        <v>ВВГнг(А)-LS (3х1,5)</v>
      </c>
      <c r="EZ136" t="str">
        <f t="shared" si="334"/>
        <v>ВВГнг(А)-LS (3х1,5)
L=34-0,32%</v>
      </c>
      <c r="FA136">
        <f>IFERROR(2*ρкз_Cu*P136/EN136,"")</f>
        <v>1.1922666666666666</v>
      </c>
      <c r="FB136">
        <f t="shared" si="335"/>
        <v>0.39666666666666672</v>
      </c>
      <c r="FC136" s="6" t="str">
        <f>IFERROR(IF(OR(B136="",BV136=1,NOT(ISNUMBER(EN136)),N(P136)=0),"",_xlfn.XLOOKUP(A136,Щиты[Щит],Щиты[Zпетли на шинах, Ом])+FA136),"")</f>
        <v/>
      </c>
      <c r="FD136" s="6" t="str">
        <f>IF(ISNUMBER(FC136),c_min*(Uн_лин*1000/SQRT(3))/FC136,"")</f>
        <v/>
      </c>
      <c r="FE136" s="6" t="str">
        <f>IFERROR(IF(OR(B136="",NOT(ISNUMBER(EN136))),"",1.05*(Uн_лин*1000/SQRT(3))/(_xlfn.XLOOKUP(A136,Щиты[Щит],Щиты[Zmax на шинах, Ом])+FB136)/1000),"")</f>
        <v/>
      </c>
      <c r="FF136" s="6" t="str">
        <f>IF(B136="","",IF(ISNUMBER(AC136),"Сил",IF(IFERROR(_xlfn.XLOOKUP(BC136,Коды_код,Коды_группа)&amp;"","")="","Быт",_xlfn.XLOOKUP(BC136,Коды_код,Коды_группа)&amp;"")))</f>
        <v>Сил</v>
      </c>
      <c r="FG136" s="6" t="str">
        <f t="shared" si="336"/>
        <v>Сил</v>
      </c>
      <c r="FH136" s="6">
        <f>IF(FG136="Щит","щит",IF(FG136="","",IF(FG136="Быт",IFERROR(_xlfn.XLOOKUP(A136,Щиты[Щит],Щиты[Кс быт]),1),IF(FG136="Сил",IF(ISNUMBER(AC136),AC136,IF(Методика="нормы 2026",IFERROR(_xlfn.XLOOKUP(A136,Щиты[Щит],Щиты[Кс силовых (табл. 7.5)]),1),1)),IF(OR(FG136="Пост",FG136="Отоп"),1,IF(FG136="ВНГ",0.7,0))))))</f>
        <v>0.5</v>
      </c>
      <c r="FI136">
        <f>IF(FG136="","",IF(AND(BP136=1,TRIM(AE136&amp;"")=""),IF(COUNTIFS(Линии[Щит],A136,Линии[Секция (1/2/3)],"&gt;=2")&gt;0,MIN(3,MAX(1,IFERROR(--BD136,1))),1),IFERROR(MIN(3,MAX(1,INT(--AE136))),1)))</f>
        <v>1</v>
      </c>
      <c r="FJ136">
        <f t="shared" si="337"/>
        <v>0.16200000000000001</v>
      </c>
      <c r="FK136">
        <f t="shared" si="338"/>
        <v>0</v>
      </c>
      <c r="FL136">
        <f t="shared" si="339"/>
        <v>8.1000000000000003E-2</v>
      </c>
      <c r="FM136">
        <f t="shared" si="340"/>
        <v>0</v>
      </c>
      <c r="FN136">
        <f t="shared" si="341"/>
        <v>0</v>
      </c>
      <c r="FO136">
        <f t="shared" si="342"/>
        <v>0</v>
      </c>
      <c r="FP136">
        <f t="shared" si="343"/>
        <v>0.16200000000000001</v>
      </c>
      <c r="FQ136">
        <f t="shared" si="344"/>
        <v>0.16200000000000001</v>
      </c>
      <c r="FR136">
        <f t="shared" si="345"/>
        <v>0.12960000000000002</v>
      </c>
      <c r="FS136">
        <f>IF(CG136=1,IF(AND(CH136=1,CW136=1),0,IF(AND(CS136&lt;&gt;"",CS136=BA136,CW136=1),SUMIFS(Линии[_Р линии, кВт],Линии[_блок УЗО],BA136,Линии[Щит],A136),N(BS136)+IF(AJ136="вручную",0,N(CK136)))),0)</f>
        <v>0.16200000000000001</v>
      </c>
      <c r="FT136" t="str">
        <f t="shared" si="346"/>
        <v/>
      </c>
      <c r="FU136" t="str">
        <f>IF(B136="","",IF(CG136=0,IF(BA136=1,"",FW135),IF(AND(CH136=1,CW136=1,CS136&lt;&gt;""),IFERROR(_xlfn.XLOOKUP(CS136,Линии[_n],Линии[_фаза итог]),"L1"),IF(OR(N(DL136)&gt;=3,N(BX136)&gt;=3),"L1,L2,L3",IFERROR(_xlfn.TEXTBEFORE(_xlfn.TEXTAFTER(_xlfn.XLOOKUP(A136,Щиты[Щит],Щиты[_фазы авто]),";"&amp;BA136&amp;":"),";"),"L1")))))</f>
        <v>L2</v>
      </c>
      <c r="FV136" t="str">
        <f t="shared" si="347"/>
        <v>L2</v>
      </c>
      <c r="FW136" t="str">
        <f t="shared" si="348"/>
        <v>L2</v>
      </c>
      <c r="FX136" cm="1">
        <f t="array" ref="FX136">IFERROR(IF(CD136=2,_xlfn.IFS(BX136=3,VLOOKUP(BS136,Справочная_двигатели,3,FALSE),BX136=1,VLOOKUP(BS136,Справочная_двигатели,5,TRUE)),0),0)</f>
        <v>0</v>
      </c>
      <c r="FY136">
        <f>IFERROR(IF(CD136=3,VLOOKUP(BS136,Справочная_ЛЭД,2,TRUE),0),0)</f>
        <v>0</v>
      </c>
      <c r="FZ136" s="6">
        <f t="shared" si="349"/>
        <v>0</v>
      </c>
      <c r="GA136" t="str">
        <f>IF(B136="","",IF(TRIM(AH136&amp;"")&lt;&gt;"",IF(LOWER(TRIM(AH136&amp;""))="да","да","нет"),IF(IFERROR(_xlfn.XLOOKUP(BC136,Коды_код,Коды_пожарная),"")="да","да","нет")))</f>
        <v>нет</v>
      </c>
      <c r="GB136" t="str">
        <f t="shared" si="350"/>
        <v/>
      </c>
      <c r="GC136" t="str">
        <f t="shared" si="351"/>
        <v>основная</v>
      </c>
      <c r="GD136">
        <f>IF(AND(BP136=1,TRIM(AE136&amp;"")=""),IF(COUNTIFS(Линии[Щит],A136,Линии[Секция (1/2/3)],"&gt;=2")&gt;0,MIN(3,MAX(1,IFERROR(--BD136,1))),1),IFERROR(MIN(3,MAX(1,INT(--AE136))),1))</f>
        <v>1</v>
      </c>
      <c r="GE136" t="str" cm="1">
        <f t="array" ref="GE136">IF(B136="","",_xlfn.LET(_xlpm.t,IFERROR(_xlfn.XLOOKUP(1,(Шины[Шина]=GC136)*(((Шины[Щит]=A136)+(Шины[Щит]=""))&gt;0),Шины[Тип]),"")&amp;"",IF(_xlpm.t&lt;&gt;"",_xlpm.t,IF(ISNUMBER(SEARCH("ИБП",GC136)),"ИБП",IF(ISNUMBER(SEARCH("ДГУ",GC136)),"ДГУ","Ввод "&amp;GD136)))))</f>
        <v>Ввод 1</v>
      </c>
      <c r="GF136" t="str">
        <f t="shared" si="352"/>
        <v>Ввод 1</v>
      </c>
      <c r="GG136" t="str">
        <f>IF(BP136=0,"",IF(TRIM(AG136&amp;"")&lt;&gt;"",TRIM(AG136&amp;""),IF(OR(GE136="ИБП",GE136="ДГУ"),"I особая",_xlfn.XLOOKUP(A136,Щиты[Щит],Щиты[Категория шины «Ввод»],"III"))))</f>
        <v/>
      </c>
      <c r="GH136" t="str">
        <f>IF(A136="","",_xlfn.XLOOKUP(A136,Щиты[Щит],Щиты[Путь],""))</f>
        <v>|ГРЩ-ЖД|ЩОВ-2|</v>
      </c>
      <c r="GI136" t="str">
        <f>IF(B136="","",IF(AI136&lt;&gt;"",AI136,IF(IFERROR(_xlfn.XLOOKUP(BC136,Коды_код,Коды_вид)&amp;"","")="","Прочее",_xlfn.XLOOKUP(BC136,Коды_код,Коды_вид)&amp;"")))</f>
        <v>Кондиционирование и увлажнение</v>
      </c>
      <c r="GJ136">
        <f>IF(BM136="","",INT((BM136-1)/Столбцов_на_лист)+1)</f>
        <v>2</v>
      </c>
      <c r="GK136" t="str">
        <f t="shared" si="353"/>
        <v>ВВГнг(А)-LS (3х1,5) L=34-0,32%</v>
      </c>
      <c r="GL136">
        <f t="shared" si="354"/>
        <v>0.16200000000000001</v>
      </c>
      <c r="GM136">
        <f t="shared" si="355"/>
        <v>0.88</v>
      </c>
      <c r="GN136">
        <f t="shared" si="356"/>
        <v>1</v>
      </c>
      <c r="GO136">
        <f t="shared" si="357"/>
        <v>0</v>
      </c>
      <c r="GP136">
        <f t="shared" si="358"/>
        <v>1</v>
      </c>
      <c r="GQ136">
        <f>IF(BM136="","",IF(AND(CG136=1,GP136=1),COUNTIFS(A$3:A136,A136,CG$3:CG136,1,GP$3:GP136,1),IF(OR(OR(BA136=1,A136&lt;&gt;A135),AJ136="вручную",GP136=0),"",IF(BA136=1,"",GR135))))</f>
        <v>6</v>
      </c>
      <c r="GR136">
        <f t="shared" si="359"/>
        <v>6</v>
      </c>
      <c r="GS136">
        <f>IF(B136="","",IFERROR(LOOKUP(INDEX(CHOOSE(EB136,Iдоп_1ж,Iдоп_2ж,Iдоп_3ж),MATCH(EN136,Iдоп_S,0))*DZ136*EA136,{6,10,16,20,25,32,40,50,63,80,100,125,160,200,250,315,400,500,630}),""))</f>
        <v>16</v>
      </c>
      <c r="GT136" t="str">
        <f t="shared" si="360"/>
        <v>QF6</v>
      </c>
      <c r="GU136" t="str">
        <f t="shared" si="361"/>
        <v>QF6</v>
      </c>
      <c r="GV136" t="str">
        <f t="shared" si="362"/>
        <v/>
      </c>
      <c r="GW136">
        <f t="shared" si="363"/>
        <v>0</v>
      </c>
      <c r="GX136" t="str">
        <f>IF(OR(B136="",DJ136=""),"",IFERROR(_xlfn.XLOOKUP(DJ136,Модули_умолч[Управление],Модули_умолч[Модель])&amp;"",""))</f>
        <v/>
      </c>
      <c r="GY136">
        <f>IF(DJ136="",1,IFERROR(MAX(0,N(_xlfn.XLOOKUP(DJ136,Модули_умолч[Управление],Модули_умолч[Каналов на линию]))),1))</f>
        <v>1</v>
      </c>
      <c r="GZ136" t="str">
        <f t="shared" si="364"/>
        <v/>
      </c>
      <c r="HA136" t="str">
        <f t="shared" si="365"/>
        <v/>
      </c>
      <c r="HB136" t="str">
        <f t="shared" si="366"/>
        <v/>
      </c>
      <c r="HC136">
        <f>IF(HB136="",0,IFERROR(N(VLOOKUP(HB136,Модули_спр,3,FALSE)),0))</f>
        <v>0</v>
      </c>
      <c r="HD136" t="str">
        <f t="shared" si="367"/>
        <v/>
      </c>
      <c r="HE136" t="str">
        <f t="shared" si="368"/>
        <v/>
      </c>
      <c r="HF136" t="str">
        <f>IF(OR(HE136="",HE136="-"),"",IFERROR(VLOOKUP(HE136,Модули_спр,2,FALSE),"R"))</f>
        <v/>
      </c>
      <c r="HG136" t="str">
        <f>IF(HF136="","",HF136&amp;"."&amp;COUNTIFS(A$3:A136,A136,HF$3:HF136,HF136))</f>
        <v/>
      </c>
      <c r="HH136" t="str">
        <f t="shared" si="369"/>
        <v/>
      </c>
      <c r="HI136" t="str">
        <f t="shared" si="370"/>
        <v/>
      </c>
      <c r="HJ136" t="str">
        <f t="shared" si="371"/>
        <v/>
      </c>
      <c r="HK136" t="str">
        <f t="shared" si="372"/>
        <v/>
      </c>
      <c r="HL136">
        <f t="shared" si="373"/>
        <v>1</v>
      </c>
      <c r="HM136" t="str">
        <f>IF(HL136=1,"XT"&amp;COUNTIFS(A$3:A136,A136,HL$3:HL136,1),"")</f>
        <v>XT6</v>
      </c>
      <c r="HN136" t="str">
        <f t="shared" si="374"/>
        <v>XT6</v>
      </c>
      <c r="HO136" t="str">
        <f t="shared" si="375"/>
        <v>QF6</v>
      </c>
      <c r="HP136" t="str">
        <f t="shared" si="376"/>
        <v/>
      </c>
      <c r="HQ136" t="str">
        <f t="shared" si="377"/>
        <v>ok</v>
      </c>
      <c r="HR136" t="str">
        <f>IF(OR(HJ136="",HH136=""),"",IF(HJ136+MAX(0,GY136-1)&gt;IFERROR(VLOOKUP(HI136,Модули_спр,3,FALSE),99),"ЛИШНИЙ КАНАЛ",IF(AND(AL136&lt;&gt;"=",GY136&gt;0,COUNTIFS(Линии[_модуль гр.],HH136,Линии[Канал (итог)],HJ136,Линии[Канал],"&lt;&gt;=",Линии[Щит],A136)&gt;1),"ДУБЛЬ КАНАЛА","")))</f>
        <v/>
      </c>
      <c r="HS136" s="6" t="str">
        <f t="shared" si="378"/>
        <v/>
      </c>
      <c r="HT136">
        <f t="shared" si="379"/>
        <v>10</v>
      </c>
      <c r="HU136" t="str">
        <f t="shared" si="380"/>
        <v/>
      </c>
      <c r="HV136">
        <f t="shared" si="381"/>
        <v>0.69074028853269764</v>
      </c>
      <c r="HW136">
        <f t="shared" si="382"/>
        <v>0</v>
      </c>
      <c r="HX136">
        <f t="shared" si="383"/>
        <v>0</v>
      </c>
      <c r="HY136">
        <f t="shared" si="384"/>
        <v>0</v>
      </c>
      <c r="HZ136">
        <f t="shared" si="385"/>
        <v>0</v>
      </c>
      <c r="IA136">
        <f t="shared" si="386"/>
        <v>0</v>
      </c>
      <c r="IB136">
        <f t="shared" si="387"/>
        <v>0</v>
      </c>
      <c r="IC136" t="str">
        <f t="shared" si="388"/>
        <v/>
      </c>
      <c r="ID136" t="str" cm="1">
        <f t="array" ref="ID136">IF(IC136="","",_xlfn.LET(_xlpm.tk,_xlfn.TEXTSPLIT(SUBSTITUTE(SUBSTITUTE(IC136,";"," "),"→"," ")," ",,TRUE),_xlpm.w_,_xlfn._xlws.FILTER(_xlpm.tk,ISNUMBER(--LEFT(_xlpm.tk,1))*((ISNUMBER(SEARCH("W",_xlpm.tk))+ISNUMBER(SEARCH("Вт",_xlpm.tk)))&gt;0),""),IFERROR(--SUBSTITUTE(SUBSTITUTE(UPPER(INDEX(_xlpm.w_,1)),"W",""),"ВТ",""),"")))</f>
        <v/>
      </c>
      <c r="IE136" t="str" cm="1">
        <f t="array" ref="IE136">IF(IC136="","",_xlfn.LET(_xlpm.tk,_xlfn.TEXTSPLIT(SUBSTITUTE(SUBSTITUTE(IC136,";"," "),"→"," ")," ",,TRUE),_xlpm.v_,_xlfn._xlws.FILTER(_xlpm.tk,ISNUMBER(--LEFT(_xlpm.tk,1))*((ISNUMBER(SEARCH("V",_xlpm.tk))+(RIGHT(UPPER(_xlpm.tk))="В"))&gt;0),""),IFERROR(--SUBSTITUTE(SUBSTITUTE(UPPER(INDEX(_xlpm.v_,1)),"V",""),"В",""),"")))</f>
        <v/>
      </c>
      <c r="IF136" s="6" t="str">
        <f>IF(OR(BV136=0,HI136="",HJ136=""),"",IFERROR(N(_xlfn.XLOOKUP(HI136,Каталог!$C$4:$C$500,Каталог!$Q$4:$Q$500)),""))</f>
        <v/>
      </c>
      <c r="IG136" s="6" t="str">
        <f>IF(N(IF136)=0,"",SUMIFS(Линии[Iр, А],Линии[Щит],A136,Линии[_модуль гр.],HH136,Линии[Канал (итог)],HJ136))</f>
        <v/>
      </c>
      <c r="IH136" t="str">
        <f>IF(AND(B136="",HO136=""),"",_xlfn.TEXTJOIN("; ",TRUE,IF(AND(B136&lt;&gt;"",FV136=""),"нет фазы",""),IF(AND(B136&lt;&gt;"",N(GL136)=0,FG136&lt;&gt;"Нет"),"нет мощности",""),IF(AND(HN136&lt;&gt;"",COUNTIFS(Линии[Щит],A136,Линии[Клемма (итог)],HN136)&gt;1),"дубль клеммы "&amp;HN136,""),IF(AND(HQ136&lt;&gt;"",HQ136&lt;&gt;"ok"),HQ136,""),IF(HR136&lt;&gt;"",HR136,""),IF(AND(N(CB136)&gt;=4,N(BX136)=1),CB136&amp;" жил на 1 фазе",""),IF(AND(BC136="R",CG136=1,IF(CS136&lt;&gt;"",N(CV136)&gt;30,OR(N(DA136)=0,N(DA136)&gt;30))),"розетка без дифзащиты до 30 мА",""),IF(AND(CG136=1,N(DA136)&gt;0,ISNUMBER(T136)),IF(T136&gt;N(DA136)/3,"ток утечки "&amp;FIXED(T136,1)&amp;" мА &gt; 1/3 уставки ("&amp;DA136&amp;" мА)",""),""),IF(AND(CH136=1,CS136=""),"«узо»: нет строки с УЗО выше (УЗО 2P 40А 30мА в «Аппаратах»)",""),IF(AND(CS136&lt;&gt;"",CS136=BA136),IF(CT136="","впишите номинал УЗО (УЗО 2P 40А 30мА)",IF(N(CT136)&lt;N(DT136),"УЗО "&amp;CT136&amp;" А &lt; автомата "&amp;DT136&amp;" А перед ним",IF(N(CT136)&lt;N(CX136),"УЗО "&amp;CT136&amp;" А &lt; тока блока "&amp;FIXED(CX136,1)&amp;" А",""))),""),IF(AND(CS136&lt;&gt;"",CS136=BA136,ISNUMBER(CY136)),IF(CY136&gt;N(CV136)/3,"ток утечки блока УЗО "&amp;FIXED(CY136,1)&amp;" мА &gt; 1/3 уставки ("&amp;CV136&amp;" мА)",""),""),IF(AND(CG136=1,N(BV136)+N(IB136)&gt;0,IC136=""),"линии до 50 В без БП: впишите в «Аппараты» (БП 24V 480W)",""),IF(AND(CG136=1,ISNUMBER(ID136),ISNUMBER(U136)),IF(U136&gt;ID136,"БП "&amp;ID136&amp;" Вт &lt; нужно "&amp;U136&amp;" Вт (×"&amp;Запас_БП&amp;")",""),""),IF(AND(CG136=1,ISNUMBER(IE136),N(BV136)=1),IF(IE136&lt;&gt;N(BU136),"БП на "&amp;IE136&amp;" В, линия "&amp;BU136&amp;" В",""),""),IF(AND(N(IF136)&gt;0,N(IG136)&gt;N(IF136)),HH136&amp;" канал "&amp;HJ136&amp;": "&amp;FIXED(IG136,1)&amp;" А &gt; "&amp;IF136&amp;" А",""),IFERROR(IF(AND(ISNUMBER(Q136),Q136&gt;EL136),"потери "&amp;FIXED(Q136,1)&amp;" % &gt; "&amp;EL136&amp;" %",""),""),IFERROR(IF(LEFT(HU136,4)="мало","Iкз мало — отключение &gt; 0,4 с",""),""),IF(AND(B136&lt;&gt;"",BM136=""),"не на схеме",""),IF(AND(CG136=0,B136&lt;&gt;"",FV136&lt;&gt;"",IF(BA136=1,"",FW135)&lt;&gt;"",FV136&lt;&gt;IF(BA136=1,"",FW135)),"фаза не как у автомата группы ("&amp;IF(BA136=1,"",FW135)&amp;")","")))</f>
        <v/>
      </c>
      <c r="II136" s="6" t="str">
        <f>IF(OR(CG136=0,DQ136=""),"",_xlfn.LET(_xlpm.t,IFERROR(_xlfn.XLOOKUP(DQ136,Каталог!$U$4:$U$500,Каталог!$G$4:$G$500),""),_xlpm.k,SEARCH("кА",_xlpm.t),IFERROR(--TRIM(RIGHT(SUBSTITUTE(MID(_xlpm.t,MAX(1,_xlpm.k-4),_xlpm.k-MAX(1,_xlpm.k-4))," ",REPT(" ",9)),5)),"")))</f>
        <v/>
      </c>
      <c r="IJ136" t="str">
        <f>IF(OR(II136="",CG136=0),"",IF(_xlfn.XLOOKUP(A136,Щиты[Щит],Щиты[Iкз max на шинах, кА],"")="","",IF(II136&lt;_xlfn.XLOOKUP(A136,Щиты[Щит],Щиты[Iкз max на шинах, кА]),"Icu "&amp;II136&amp;" кА &lt; Iкз max","ok")))</f>
        <v/>
      </c>
      <c r="IK136" t="str">
        <f t="shared" si="389"/>
        <v/>
      </c>
      <c r="IL136" t="str">
        <f t="shared" si="390"/>
        <v>QF6|XT6</v>
      </c>
      <c r="IM136" t="str">
        <f t="shared" si="391"/>
        <v>QF6|XT6|кабель ВВГнг(А)-LS (3х1,5) → Внутренний блок кондиционирования Технический этаж Пом. №002Т</v>
      </c>
      <c r="IN136" t="str" cm="1">
        <f t="array" ref="IN136">IF(IM136="","",_xlfn.LET(_xlpm.nd,_xlfn.TEXTSPLIT(IM136,"|"),IF(COLUMNS(_xlpm.nd)&gt;1,A136&amp;"¦"&amp;INDEX(_xlpm.nd,1)&amp;"¦"&amp;INDEX(_xlpm.nd,2),"")))</f>
        <v>ЩОВ-2¦QF6¦XT6</v>
      </c>
      <c r="IO136" t="str">
        <f t="shared" si="392"/>
        <v>K.2.005A¦Внутренний блок кондиционирования Технический этаж Пом. №002Т</v>
      </c>
      <c r="IP136" t="str" cm="1">
        <f t="array" ref="IP136">IF(IM136="","",_xlfn.LET(_xlpm.nd,_xlfn.TEXTSPLIT(IM136,"|"),IF(COLUMNS(_xlpm.nd)&gt;2,A136&amp;"¦"&amp;INDEX(_xlpm.nd,2)&amp;"¦"&amp;INDEX(_xlpm.nd,3),"")))</f>
        <v>ЩОВ-2¦XT6¦кабель ВВГнг(А)-LS (3х1,5) → Внутренний блок кондиционирования Технический этаж Пом. №002Т</v>
      </c>
      <c r="IQ136" t="str">
        <f t="shared" si="393"/>
        <v>K.2.005A¦Внутренний блок кондиционирования Технический этаж Пом. №002Т</v>
      </c>
      <c r="IR136" t="str" cm="1">
        <f t="array" ref="IR136">IF(IM136="","",_xlfn.LET(_xlpm.nd,_xlfn.TEXTSPLIT(IM136,"|"),IF(COLUMNS(_xlpm.nd)&gt;3,A136&amp;"¦"&amp;INDEX(_xlpm.nd,3)&amp;"¦"&amp;INDEX(_xlpm.nd,4),"")))</f>
        <v/>
      </c>
      <c r="IS136" t="str">
        <f t="shared" si="394"/>
        <v/>
      </c>
      <c r="IT136" t="str" cm="1">
        <f t="array" ref="IT136">IF(IM136="","",_xlfn.LET(_xlpm.nd,_xlfn.TEXTSPLIT(IM136,"|"),IF(COLUMNS(_xlpm.nd)&gt;4,A136&amp;"¦"&amp;INDEX(_xlpm.nd,4)&amp;"¦"&amp;INDEX(_xlpm.nd,5),"")))</f>
        <v/>
      </c>
      <c r="IU136" t="str">
        <f t="shared" si="395"/>
        <v/>
      </c>
      <c r="IV136" t="str" cm="1">
        <f t="array" ref="IV136">IF(IM136="","",_xlfn.LET(_xlpm.nd,_xlfn.TEXTSPLIT(IM136,"|"),IF(COLUMNS(_xlpm.nd)&gt;5,A136&amp;"¦"&amp;INDEX(_xlpm.nd,5)&amp;"¦"&amp;INDEX(_xlpm.nd,6),"")))</f>
        <v/>
      </c>
      <c r="IW136" t="str">
        <f t="shared" si="396"/>
        <v/>
      </c>
      <c r="IX136" t="str" cm="1">
        <f t="array" ref="IX136">IF(IM136="","",_xlfn.LET(_xlpm.nd,_xlfn.TEXTSPLIT(IM136,"|"),IF(COLUMNS(_xlpm.nd)&gt;6,A136&amp;"¦"&amp;INDEX(_xlpm.nd,6)&amp;"¦"&amp;INDEX(_xlpm.nd,7),"")))</f>
        <v/>
      </c>
      <c r="IY136" t="str">
        <f t="shared" si="397"/>
        <v/>
      </c>
      <c r="IZ136" t="str">
        <f t="shared" si="398"/>
        <v/>
      </c>
      <c r="JA136" t="str">
        <f t="shared" si="399"/>
        <v>QF6 → XT6</v>
      </c>
      <c r="JB136">
        <f t="shared" si="400"/>
        <v>0</v>
      </c>
      <c r="JC136">
        <f t="shared" si="401"/>
        <v>0</v>
      </c>
      <c r="JD136" t="str">
        <f t="shared" si="402"/>
        <v/>
      </c>
      <c r="JE136" t="str">
        <f t="shared" si="403"/>
        <v/>
      </c>
      <c r="JF136" t="str">
        <f t="shared" si="404"/>
        <v/>
      </c>
      <c r="JG136" t="str">
        <f t="shared" si="405"/>
        <v/>
      </c>
      <c r="JH136">
        <f>IF(B136="","",IFERROR(_xlfn.XLOOKUP(B136,Коды_код,Коды_уго),IFERROR(_xlfn.XLOOKUP(BC136,Коды_код,Коды_уго),IFERROR(_xlfn.XLOOKUP(LEFT(BC136,2),Коды_код,Коды_уго),""))))</f>
        <v>0</v>
      </c>
      <c r="JI136" t="str">
        <f>IF(B136="","",IF(OR(JH136="",JH136=0),"BOX",IFERROR(IF(VLOOKUP(JH136,УГО_блоки,3,FALSE)&amp;""&lt;&gt;"",VLOOKUP(JH136,УГО_блоки,3,FALSE),VLOOKUP(JH136,УГО_блоки,2,FALSE)),JH136)))</f>
        <v>BOX</v>
      </c>
      <c r="JJ136">
        <f t="shared" si="406"/>
        <v>1</v>
      </c>
      <c r="JK136" t="str">
        <f>IF(DQ136="","",IF(COUNTIF(DQ$3:DQ136,DQ136)=1,MAX(JK$2:JK135)+1,""))</f>
        <v/>
      </c>
      <c r="JL136" t="str">
        <f>IF(DE136="","",IF(COUNTIF(DE$3:DE136,DE136)+COUNTIF(DF$2:DF135,DE136)+COUNTIF(DG$2:DG135,DE136)=1,MAX(JL$2:JN135)+1,""))</f>
        <v/>
      </c>
      <c r="JM136" t="str">
        <f>IF(DF136="","",IF(COUNTIF(DE$3:DE136,DF136)+COUNTIF(DF$3:DF136,DF136)+COUNTIF(DG$2:DG135,DF136)=1,MAX(JL$2:JN135,JL136)+1,""))</f>
        <v/>
      </c>
      <c r="JN136" t="str">
        <f>IF(DG136="","",IF(COUNTIF(DE$3:DE136,DG136)+COUNTIF(DF$3:DF136,DG136)+COUNTIF(DG$3:DG136,DG136)=1,MAX(JL$2:JN135,JL136,JM136)+1,""))</f>
        <v/>
      </c>
      <c r="JO136" t="str">
        <f t="shared" si="407"/>
        <v>3х1,5</v>
      </c>
      <c r="JP136" t="str">
        <f>IF(JO136="","",IF(COUNTIF(JO$3:JO136,JO136)=1,MAX(JP$2:JP135)+1,""))</f>
        <v/>
      </c>
      <c r="JQ136" t="str">
        <f>IF(HG136="","",COUNTIF(HG$3:HG136,"?*"))</f>
        <v/>
      </c>
      <c r="JR136" t="str">
        <f>IF(OR(HG136="",HI136=""),"",IF(COUNTIFS(HG$3:HG136,"?*",HI$3:HI136,HI136)=1,MAX(JR$2:JR135)+1,""))</f>
        <v/>
      </c>
      <c r="JS136">
        <f t="shared" si="408"/>
        <v>0</v>
      </c>
      <c r="JT136">
        <f>IF(B136="","",COUNTIF(B$3:B136,"?*"))</f>
        <v>134</v>
      </c>
      <c r="JU136">
        <f>IF(HL136&lt;&gt;1,0,_xlfn.LET(_xlpm.k,MAX(IFERROR(--_xlfn.XLOOKUP(B136,Коды_код,Коды_3L),0),IFERROR(--_xlfn.XLOOKUP(BC136,Коды_код,Коды_3L),0),IFERROR(--_xlfn.XLOOKUP(LEFT(BC136,2),Коды_код,Коды_3L),0)),IF(_xlpm.k&gt;0,_xlpm.k,IF(IFERROR(--LEFT(SUBSTITUTE(JO136,"x","х"),FIND("х",SUBSTITUTE(JO136,"x","х"))-1),3)&gt;3,Каталог!$S$9,1))))</f>
        <v>1</v>
      </c>
      <c r="JV136">
        <f t="shared" si="409"/>
        <v>0</v>
      </c>
      <c r="JW136" t="str">
        <f t="shared" si="410"/>
        <v>авто</v>
      </c>
      <c r="JX136" t="str">
        <f t="shared" si="411"/>
        <v/>
      </c>
      <c r="JY136">
        <f t="shared" si="412"/>
        <v>0</v>
      </c>
      <c r="JZ136">
        <f t="shared" si="413"/>
        <v>1</v>
      </c>
    </row>
    <row r="137" spans="1:286" x14ac:dyDescent="0.3">
      <c r="A137" t="s">
        <v>751</v>
      </c>
      <c r="B137" t="s">
        <v>1446</v>
      </c>
      <c r="C137" t="s">
        <v>1685</v>
      </c>
      <c r="D137">
        <v>1</v>
      </c>
      <c r="E137">
        <v>0.104</v>
      </c>
      <c r="G137" t="str">
        <f>Линии[[#This Row],[_авто автомат]]</f>
        <v>1P С6А</v>
      </c>
      <c r="H137" t="str">
        <f>Линии[[#This Row],[_авто управление]]</f>
        <v/>
      </c>
      <c r="I137" t="str">
        <f>Линии[[#This Row],[_авто аппараты]]</f>
        <v/>
      </c>
      <c r="J137">
        <v>1.5</v>
      </c>
      <c r="K137">
        <v>21</v>
      </c>
      <c r="L137" t="str">
        <f>Линии[[#This Row],[_авто фаза]]</f>
        <v>L1</v>
      </c>
      <c r="M137" t="s">
        <v>484</v>
      </c>
      <c r="N137" t="str">
        <f t="shared" si="276"/>
        <v/>
      </c>
      <c r="O137" s="6" cm="1">
        <f t="array" ref="O137">IF(B137="","",IF(BH137&lt;&gt;"",IFERROR(_xlfn.XLOOKUP(BH137,Щиты[Щит],Щиты[Iр, А]),""),IF(BP137=1,IF(OR(N(_xlfn.XLOOKUP(A137,Щиты[Щит],Щиты[Вводов],1))&lt;=1,LOWER(TRIM(_xlfn.XLOOKUP(A137,Щиты[Щит],Щиты[АВР],"")&amp;""))="да"),IFERROR(_xlfn.XLOOKUP(A137,Щиты[Щит],Щиты[Iр, А]),""),IFERROR(N(BS137)*_xlfn.XLOOKUP(A137,Щиты[Щит],Щиты[Кс итог])/(SQRT(3)*Uн_лин*_xlfn.XLOOKUP(A137,Щиты[Щит],Щиты[cos φ])),"")),IF(BV137=1,IFERROR(BS137*1000/BU137,""),IFERROR(_xlfn.IFS(BX137=1,BS137/((Uн_лин/SQRT(3))*CE137),BX137=3,BS137/(SQRT(3)*Uн_лин*CE137)),"")))))</f>
        <v>0.56291651245988494</v>
      </c>
      <c r="P137" s="7">
        <f>IF(B137="","",IFERROR(IF(VLOOKUP(BC137,Потребители_обозначение,4,FALSE)=1,VLOOKUP(BC137,Потребители_обозначение,3,FALSE)*(MAX(1,N(D137))*2-1)+EI137+VLOOKUP(BE137,Этаж_обозначение,3,FALSE)+VLOOKUP(BE137,Этаж_обозначение,4,FALSE),VLOOKUP(BC137,Потребители_обозначение,3,FALSE)*(MAX(1,N(D137))*2-1)+EI137),EI137))</f>
        <v>23</v>
      </c>
      <c r="Q137" s="6">
        <f t="shared" si="277"/>
        <v>1.2799999999999998</v>
      </c>
      <c r="R137" t="str">
        <f t="shared" si="278"/>
        <v>ВВГнг(А)-LS (3х1,5)</v>
      </c>
      <c r="S137" t="str">
        <f>IF(BM137="","",IF(BN137="вводной узел","узел ","")&amp;"л."&amp;(INT((BM137-1)/Столбцов_на_лист)+1)&amp;" / "&amp;(MOD(BM137-1,Столбцов_на_лист)+1))</f>
        <v>л.2 / 4</v>
      </c>
      <c r="T137" s="119">
        <f t="shared" si="279"/>
        <v>0.5</v>
      </c>
      <c r="U137" s="7" t="str">
        <f>IF(OR(CG137=0,N(BV137)+N(IB137)=0),"",ROUNDUP(Запас_БП*(N(HY137)+N(HZ137)),0))</f>
        <v/>
      </c>
      <c r="V137" s="119" t="str">
        <f t="shared" si="280"/>
        <v/>
      </c>
      <c r="W137" s="7" t="str">
        <f>IFERROR(IF(OR(B137="",BP137=1,BV137=1,NOT(ISNUMBER(EN137)),N(DT137)=0),"",MAX(0,ROUNDDOWN((c_min*(Uн_лин*1000/SQRT(3))/(HT137*N(DT137))-_xlfn.XLOOKUP(A137,Щиты[Щит],Щиты[Zпетли на шинах, Ом]))*EN137/(2*ρкз_Cu),0))),"")</f>
        <v/>
      </c>
      <c r="Y137" t="str">
        <f>Линии[[#This Row],[_авто утечка]]</f>
        <v/>
      </c>
      <c r="Z137">
        <v>1</v>
      </c>
      <c r="AA137">
        <v>230</v>
      </c>
      <c r="AB137" t="s">
        <v>598</v>
      </c>
      <c r="AC137">
        <v>0.5</v>
      </c>
      <c r="AG137" t="s">
        <v>810</v>
      </c>
      <c r="AI137" t="s">
        <v>576</v>
      </c>
      <c r="AK137" t="str">
        <f>Линии[[#This Row],[_авто модуль]]</f>
        <v/>
      </c>
      <c r="AM137">
        <v>21</v>
      </c>
      <c r="AN137" t="s">
        <v>11</v>
      </c>
      <c r="AO137">
        <v>3</v>
      </c>
      <c r="AQ137">
        <v>10</v>
      </c>
      <c r="AR137">
        <v>13</v>
      </c>
      <c r="AT137">
        <v>1</v>
      </c>
      <c r="BA137" cm="1">
        <f t="array" ref="BA137">ROW()-ROW(Линии[#Headers])</f>
        <v>135</v>
      </c>
      <c r="BC137" s="6" t="str">
        <f t="shared" si="281"/>
        <v>K</v>
      </c>
      <c r="BD137" t="str">
        <f t="shared" si="282"/>
        <v>2.008A</v>
      </c>
      <c r="BE137" t="str">
        <f t="shared" si="283"/>
        <v>2</v>
      </c>
      <c r="BF137" t="str">
        <f t="shared" si="284"/>
        <v>008A</v>
      </c>
      <c r="BG137" t="str">
        <f t="shared" si="285"/>
        <v>008A</v>
      </c>
      <c r="BH137" t="str">
        <f>IF(X137&lt;&gt;"",X137,IF(AND(B137&lt;&gt;"",B137&lt;&gt;A137,ISNUMBER(_xlfn.XMATCH(B137,Щиты[Щит]))),B137,""))</f>
        <v/>
      </c>
      <c r="BI137" t="str" cm="1">
        <f t="array" ref="BI137">IF(B137="","",IF(BH137&lt;&gt;"","Щит "&amp;BH137,_xlfn.LET(_xlpm.nm,IFERROR(_xlfn.XLOOKUP(BC137,Коды_код,Коды_имя)&amp;"",""),_xlpm.md,IFERROR(N(_xlfn.XLOOKUP(BC137,Коды_код,Коды_режим)),1),_xlpm.ex,IF(Имя_режим="по экспликации",IFERROR(_xlfn.XLOOKUP(BE137&amp;"|"&amp;BG137,Экспликация[Этаж]&amp;"|"&amp;Экспликация[Помещение],Экспликация[Название])&amp;"",""),""),_xlpm.rm,IF(BG137="","",IF(_xlpm.ex&lt;&gt;"",". "&amp;_xlpm.ex&amp;IF(Имя_пом="нет"," ("&amp;BG137&amp;")"," (пом. "&amp;BG137&amp;")"),IF(Имя_пом="нет"," ",", пом. ")&amp;BG137)),IF(_xlpm.nm="","",IF(_xlpm.md=2,_xlpm.nm&amp;" шлейф "&amp;BE137,_xlpm.nm&amp;_xlpm.rm)))))</f>
        <v>Внутренний блок кондиционирования, пом. 008A</v>
      </c>
      <c r="BJ137" t="str">
        <f t="shared" si="286"/>
        <v>Внутренний блок кондиционирования Технический этаж Пом. №002Т</v>
      </c>
      <c r="BK137">
        <f>IFERROR(_xlfn.XMATCH(A137,Щиты[Щит]),0)</f>
        <v>7</v>
      </c>
      <c r="BL137">
        <f>_xlfn.LET(_xlpm.k,IFERROR(_xlfn.XLOOKUP(A137,Щиты[Щит],Щиты[Мест под вводной узел]),""),IF(_xlpm.k="",Столбцов_на_лист,N(_xlpm.k)))</f>
        <v>12</v>
      </c>
      <c r="BM137">
        <f t="shared" si="287"/>
        <v>21</v>
      </c>
      <c r="BN137" t="str">
        <f t="shared" si="288"/>
        <v>линии</v>
      </c>
      <c r="BO137" s="6">
        <f>IFERROR(N(_xlfn.XLOOKUP(BC137,Коды_код,Коды_квт)),0)</f>
        <v>0</v>
      </c>
      <c r="BP137">
        <f t="shared" si="289"/>
        <v>0</v>
      </c>
      <c r="BQ137" t="str">
        <f>IF(B137="","",IF(BH137&lt;&gt;"",IFERROR(_xlfn.XLOOKUP(BH137,Щиты[Щит],Щиты[Руст, кВт]),0),IF(BP137=1,IF(OR(N(_xlfn.XLOOKUP(A137,Щиты[Щит],Щиты[Вводов],1))&lt;=1,LOWER(TRIM(_xlfn.XLOOKUP(A137,Щиты[Щит],Щиты[АВР],"")&amp;""))="да"),IFERROR(_xlfn.XLOOKUP(A137,Щиты[Щит],Щиты[Руст, кВт]),0),SUMIFS(Линии[_Р для вводов],Линии[Щит],A137,Линии[Источник для режимов],GF137)),IF(BO137&gt;0,ROUND(BO137*MAX(1,N(D137)),3),""))))</f>
        <v/>
      </c>
      <c r="BR137">
        <f t="shared" si="290"/>
        <v>0.104</v>
      </c>
      <c r="BS137" s="6">
        <f>IF(B137="","",IF(BH137&lt;&gt;"",IFERROR(_xlfn.XLOOKUP(BH137,Щиты[Щит],Щиты[Руст, кВт]),0),N(BR137)))</f>
        <v>0.104</v>
      </c>
      <c r="BT137" t="str">
        <f>IF(B137="","",IFERROR(IF(VLOOKUP(BC137,Потребители_обозначение,8,FALSE)=0,"",VLOOKUP(BC137,Потребители_обозначение,8,FALSE)),""))</f>
        <v/>
      </c>
      <c r="BU137">
        <f t="shared" si="291"/>
        <v>230</v>
      </c>
      <c r="BV137">
        <f t="shared" si="292"/>
        <v>0</v>
      </c>
      <c r="BW137">
        <f>IF(B137="","",IF(BH137&lt;&gt;"",3,IFERROR(IF(N(VLOOKUP(BC137,Потребители_обозначение,9,FALSE))=0,1,VLOOKUP(BC137,Потребители_обозначение,9,FALSE)),1)))</f>
        <v>1</v>
      </c>
      <c r="BX137">
        <f t="shared" si="293"/>
        <v>1</v>
      </c>
      <c r="BY137" t="str">
        <f>IF(B137="","",_xlfn.LET(_xlpm.bc,IFERROR(IF(VLOOKUP(BC137,Потребители_обозначение,6,FALSE)=0,"",VLOOKUP(BC137,Потребители_обозначение,6,FALSE)&amp;""),""),IF(AND(GA137="да",OR(_xlpm.bc="",_xlpm.bc="мс")),Марка_пож,IF(AND(_xlpm.bc="",BH137&lt;&gt;""),"мс",_xlpm.bc))))</f>
        <v/>
      </c>
      <c r="BZ137" t="str">
        <f t="shared" si="294"/>
        <v>мс</v>
      </c>
      <c r="CA137">
        <f>IF(B137="","",_xlfn.LET(_xlpm.cc,IFERROR(N(VLOOKUP(BC137,Потребители_обозначение,7,FALSE)),0),IF(_xlpm.cc&gt;0,_xlpm.cc,IF(BZ137="","",IF(BV137=1,2,IF(N(BX137)=3,5,3))))))</f>
        <v>3</v>
      </c>
      <c r="CB137">
        <f t="shared" si="295"/>
        <v>3</v>
      </c>
      <c r="CC137">
        <f>IFERROR(N(VLOOKUP(BC137,Потребители_обозначение,10,FALSE)),0)</f>
        <v>0</v>
      </c>
      <c r="CD137">
        <f>IFERROR(VLOOKUP(BC137,Потребители_обозначение,5,FALSE),0)</f>
        <v>1</v>
      </c>
      <c r="CE137" s="6" cm="1">
        <f t="array" ref="CE137">IF(B137="","",IF(BH137&lt;&gt;"",IFERROR(_xlfn.XLOOKUP(BH137,Щиты[Щит],Щиты[cos φ]),0.95),IF(BP137=1,IFERROR(_xlfn.XLOOKUP(A137,Щиты[Щит],Щиты[cos φ]),0.95),IF(ISNUMBER(AD137),AD137,IFERROR(IF(CD137=2,_xlfn.IFS(BX137=3,VLOOKUP(BS137,Справочная_двигатели,8,FALSE),BX137=1,VLOOKUP(BS137,Справочная_двигатели,10,TRUE)),IF(AND(Методика="нормы 2026",FG137="Сил"),0.8,0.95)),0.95)))))</f>
        <v>0.8</v>
      </c>
      <c r="CF137">
        <f t="shared" si="296"/>
        <v>0</v>
      </c>
      <c r="CG137">
        <f t="shared" si="297"/>
        <v>1</v>
      </c>
      <c r="CH137">
        <f t="shared" si="298"/>
        <v>0</v>
      </c>
      <c r="CI137">
        <f>IF(B137="","",IF(BV137=1,IFERROR(BS137/((Uн_лин/SQRT(3))*MAX(0.5,N(CE137))),0),N(O137)))</f>
        <v>0.56291651245988494</v>
      </c>
      <c r="CJ137">
        <f t="shared" si="299"/>
        <v>0</v>
      </c>
      <c r="CK137">
        <f t="shared" si="300"/>
        <v>0</v>
      </c>
      <c r="CL137">
        <f t="shared" si="301"/>
        <v>0</v>
      </c>
      <c r="CM137">
        <f t="shared" si="302"/>
        <v>0</v>
      </c>
      <c r="CN137">
        <f t="shared" si="303"/>
        <v>0</v>
      </c>
      <c r="CO137">
        <f>IF(BC137="",0,_xlfn.LET(_xlpm.v,IFERROR(_xlfn.XLOOKUP(B137,Коды_код,Коды_мА),IFERROR(_xlfn.XLOOKUP(BC137,Коды_код,Коды_мА),IFERROR(_xlfn.XLOOKUP(LEFT(BC137,2),Коды_код,Коды_мА),""))),IF(_xlpm.v="да",30,IF(ISNUMBER(_xlpm.v),_xlpm.v,0))))</f>
        <v>0</v>
      </c>
      <c r="CP137" t="str">
        <f t="shared" si="304"/>
        <v/>
      </c>
      <c r="CQ137" t="str">
        <f>_xlfn.LET(_xlpm.k,IFERROR(_xlfn.XLOOKUP(BC137,Коды_код,Коды_утечка)&amp;"",""),IF(_xlpm.k="","дифавтомат",_xlpm.k))</f>
        <v>дифавтомат</v>
      </c>
      <c r="CR137" t="str" cm="1">
        <f t="array" ref="CR137">IF(CG137=0,"",_xlfn.LET(_xlpm.sg,TRIM(_xlfn.TEXTSPLIT(DD137&amp;"",";")),_xlpm.f_,_xlfn._xlws.FILTER(_xlpm.sg,LEFT(_xlpm.sg,3)="УЗО",""),IFERROR(INDEX(_xlpm.f_,1)&amp;"","")))</f>
        <v/>
      </c>
      <c r="CS137" t="str">
        <f t="shared" si="305"/>
        <v/>
      </c>
      <c r="CT137" s="6" t="str" cm="1">
        <f t="array" ref="CT137">IF(CR137="","",_xlfn.LET(_xlpm.tk,_xlfn.TEXTSPLIT(UPPER(CR137)," ",,TRUE),_xlpm.a_,_xlfn._xlws.FILTER(_xlpm.tk,ISNUMBER(--LEFT(_xlpm.tk,1))*((ISNUMBER(SEARCH("А",_xlpm.tk))+ISNUMBER(SEARCH("A",_xlpm.tk)))&gt;0)*NOT(ISNUMBER(SEARCH("МА",_xlpm.tk)))*NOT(ISNUMBER(SEARCH("MA",_xlpm.tk))),""),IFERROR(--SUBSTITUTE(SUBSTITUTE(INDEX(_xlpm.a_,1),"А",""),"A",""),"")))</f>
        <v/>
      </c>
      <c r="CU137" t="str" cm="1">
        <f t="array" ref="CU137">IF(CR137="","",_xlfn.LET(_xlpm.tk,_xlfn.TEXTSPLIT(UPPER(CR137)," ",,TRUE),_xlpm.a_,_xlfn._xlws.FILTER(_xlpm.tk,ISNUMBER(--LEFT(_xlpm.tk,1))*((ISNUMBER(SEARCH("МА",_xlpm.tk))+ISNUMBER(SEARCH("MA",_xlpm.tk)))&gt;0),""),IFERROR(--SUBSTITUTE(SUBSTITUTE(INDEX(_xlpm.a_,1),"МА",""),"MA",""),30)))</f>
        <v/>
      </c>
      <c r="CV137" t="str">
        <f>IF(CS137="","",IFERROR(_xlfn.XLOOKUP(CS137,Линии[_n],Линии[_УЗО, мА]),30))</f>
        <v/>
      </c>
      <c r="CW137">
        <f>IF(CS137="",0,IF(ISNUMBER(SEARCH("4P",IFERROR(_xlfn.XLOOKUP(CS137,Линии[_n],Линии[_УЗО строки])&amp;"",""))),0,1))</f>
        <v>0</v>
      </c>
      <c r="CX137" t="str">
        <f>IF(AND(CS137&lt;&gt;"",CS137=BA137),SUMIFS(Линии[_ток на 230 В],Линии[_блок УЗО],BA137,Линии[Щит],A137),"")</f>
        <v/>
      </c>
      <c r="CY137" t="str">
        <f>IF(AND(CS137&lt;&gt;"",CS137=BA137),SUMIFS(Линии[_ток утечки линии, мА],Линии[_блок УЗО],BA137,Линии[Щит],A137),"")</f>
        <v/>
      </c>
      <c r="CZ137">
        <f t="shared" si="306"/>
        <v>0</v>
      </c>
      <c r="DA137">
        <f t="shared" si="307"/>
        <v>0</v>
      </c>
      <c r="DB137">
        <f>IF(B137="",0,IFERROR(--_xlfn.XLOOKUP(B137,Коды_код,Коды_минавт),IFERROR(--_xlfn.XLOOKUP(BC137,Коды_код,Коды_минавт),IFERROR(--_xlfn.XLOOKUP(LEFT(BC137,2),Коды_код,Коды_минавт),0))))</f>
        <v>0</v>
      </c>
      <c r="DC137" t="str">
        <f>IF(B137="","",IFERROR(_xlfn.XLOOKUP(BC137,Коды_код,Коды_апп)&amp;"",""))</f>
        <v/>
      </c>
      <c r="DD137" t="str">
        <f t="shared" si="308"/>
        <v/>
      </c>
      <c r="DE137" t="str" cm="1">
        <f t="array" ref="DE137">IF(TRIM(DD137&amp;"")="","",IFERROR(TRIM(INDEX(_xlfn.TEXTSPLIT(DD137&amp;";;;",";"),1)),""))</f>
        <v/>
      </c>
      <c r="DF137" t="str" cm="1">
        <f t="array" ref="DF137">IF(TRIM(DD137&amp;"")="","",IFERROR(TRIM(INDEX(_xlfn.TEXTSPLIT(DD137&amp;";;;",";"),2)),""))</f>
        <v/>
      </c>
      <c r="DG137" t="str" cm="1">
        <f t="array" ref="DG137">IF(TRIM(DD137&amp;"")="","",IFERROR(TRIM(INDEX(_xlfn.TEXTSPLIT(DD137&amp;";;;",";"),3)),""))</f>
        <v/>
      </c>
      <c r="DH137">
        <f t="shared" si="309"/>
        <v>0</v>
      </c>
      <c r="DI137" t="str">
        <f>IF(B137="","",_xlfn.LET(_xlpm.t,LOWER(AZ137&amp;""),IF(ISNUMBER(SEARCH("dim",_xlpm.t)),"DIM",IF(ISNUMBER(SEARCH("dali",_xlpm.t)),"DALI",IF(OR(ISNUMBER(SEARCH("relay",_xlpm.t)),ISNUMBER(SEARCH("реле",_xlpm.t))),"Relay",IF(ISNUMBER(SEARCH("кнопк",_xlpm.t)),"",IFERROR(_xlfn.XLOOKUP(BC137,Коды_код,Коды_упр)&amp;"","")))))))</f>
        <v/>
      </c>
      <c r="DJ137" t="str">
        <f t="shared" si="310"/>
        <v/>
      </c>
      <c r="DK137">
        <f>IF(B137="","",_xlfn.LET(_xlpm.ig,IF(N(CX137)&gt;0,N(CX137),N(CI137)+IF(AJ137="вручную",0,N(CJ137))),_xlpm.n0,IFERROR(VLOOKUP(_xlpm.ig,Автомат_номиналы,2,TRUE),0),_xlpm.mn,MAX(DB137,IF(AJ137="вручную",0,N(CM137))),MAX(_xlpm.n0,_xlpm.mn,IF(DH137=1,Мин_автомат_БП,0))))</f>
        <v>6</v>
      </c>
      <c r="DL137">
        <f t="shared" si="311"/>
        <v>1</v>
      </c>
      <c r="DM137" t="str">
        <f t="shared" si="312"/>
        <v>1P</v>
      </c>
      <c r="DN137" t="str">
        <f>_xlfn.LET(_xlpm.cc,UPPER(TRIM(IFERROR(_xlfn.XLOOKUP(BC137,Коды_код,Коды_хар)&amp;"",""))),IF(OR(_xlpm.cc="B",_xlpm.cc="В"),"B",IF(_xlpm.cc="D","D","С")))</f>
        <v>С</v>
      </c>
      <c r="DO137" t="str">
        <f t="shared" si="313"/>
        <v>1P С6А</v>
      </c>
      <c r="DP137" t="str">
        <f t="shared" si="314"/>
        <v>1P С6А</v>
      </c>
      <c r="DQ137" t="str">
        <f t="shared" si="315"/>
        <v>1P С6А</v>
      </c>
      <c r="DR137" cm="1">
        <f t="array" ref="DR137">IF(DQ137="","",_xlfn.LET(_xlpm.t,SUBSTITUTE(SUBSTITUTE(SUBSTITUTE(UPPER(DQ137),"С","C"),"А","A"),"В","B"),_xlpm.tk,_xlfn.TEXTSPLIT(_xlpm.t," "),_xlpm.f,_xlfn._xlws.FILTER(_xlpm.tk,ISNUMBER(--MID(_xlpm.tk,2,1))*ISNUMBER(SEARCH(LEFT(_xlpm.tk,1)&amp;"#","B#C#D#"))*(LEN(_xlpm.tk)&gt;1),""),_xlpm.x,INDEX(_xlpm.f,1),IFERROR(--SUBSTITUTE(MID(_xlpm.x,2,9),"A",""),IFERROR(--SUBSTITUTE(INDEX(_xlfn._xlws.FILTER(_xlpm.tk,ISNUMBER(--SUBSTITUTE(_xlpm.tk,"A","")),""),1),"A",""),""))))</f>
        <v>6</v>
      </c>
      <c r="DS137" t="str">
        <f t="shared" si="316"/>
        <v>ok</v>
      </c>
      <c r="DT137">
        <f t="shared" si="317"/>
        <v>6</v>
      </c>
      <c r="DU137" t="str">
        <f t="shared" si="318"/>
        <v>1P С6А</v>
      </c>
      <c r="DV137">
        <f t="shared" si="319"/>
        <v>0</v>
      </c>
      <c r="DW137">
        <f t="shared" si="320"/>
        <v>0</v>
      </c>
      <c r="DX137">
        <f t="shared" si="321"/>
        <v>0</v>
      </c>
      <c r="DY137">
        <f t="shared" si="322"/>
        <v>0.56291651245988494</v>
      </c>
      <c r="DZ137">
        <f t="shared" si="323"/>
        <v>1</v>
      </c>
      <c r="EA137">
        <f>IF(ISNUMBER(AP137),AP137,К_прокл)</f>
        <v>1</v>
      </c>
      <c r="EB137">
        <f t="shared" si="324"/>
        <v>2</v>
      </c>
      <c r="EC137">
        <f>IFERROR(N(VLOOKUP(BZ137,Кабель_обозначение,3,FALSE)),1)</f>
        <v>1</v>
      </c>
      <c r="ED137">
        <f>IFERROR(N(_xlfn.XLOOKUP(A137,Щиты[Щит],Щиты[ΔU до шин, %])),0)</f>
        <v>1.1399999999999999</v>
      </c>
      <c r="EE137" t="str">
        <f>IFERROR(_xlfn.XLOOKUP(A137,Щиты[Щит],Щиты[Zпетли на шинах, Ом]),"")</f>
        <v/>
      </c>
      <c r="EF137">
        <f>IFERROR(N(_xlfn.XLOOKUP(A137,Щиты[Щит],Щиты[ΔU до шин (подбор), %])),0)</f>
        <v>1.82</v>
      </c>
      <c r="EG137" t="str">
        <f>IFERROR(_xlfn.XLOOKUP(A137,Щиты[Щит],Щиты[Zпетли на шинах (подбор), Ом]),"")</f>
        <v/>
      </c>
      <c r="EH137" t="str">
        <f t="shared" si="325"/>
        <v/>
      </c>
      <c r="EI137">
        <f t="shared" si="326"/>
        <v>21</v>
      </c>
      <c r="EJ137">
        <f t="shared" si="327"/>
        <v>2</v>
      </c>
      <c r="EK137">
        <f t="shared" si="328"/>
        <v>0.6</v>
      </c>
      <c r="EL137" s="6">
        <f>IF(B137="","",IF(BV137=1,dU_LED,IF(IFERROR(_xlfn.XLOOKUP(BC137,Коды_код,Коды_уго),"")="Светильник",3,4)+IF(Методика="нормы 2026",MIN(0.5,MAX(0,N(P137)-100)*0.005),0)))</f>
        <v>4</v>
      </c>
      <c r="EM137" cm="1">
        <f t="array" ref="EM137">IF(OR(B137="",BZ137="",EC137&lt;&gt;1),"",_xlfn.LET(_xlpm.sz,Iдоп_S,_xlpm.t_,CHOOSE(EB137,Iдоп_1ж,Iдоп_2ж,Iдоп_3ж)*DZ137*EA137,_xlpm.dcx,BV137=1,_xlpm.inn,IF(_xlpm.dcx,N(O137),N(DT137)),_xlpm.smin,MAX(1.5,CC137),_xlpm.L_,N(P137)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137)/N(BU137)*100,999),IFERROR(N(EJ137)*(_xlpm.rho*_xlpm.L_/_xlpm.sz*N(CE137)+_xlpm.xx*_xlpm.L_*N(EK137)/1000)*N(O137)/((Uн_лин/SQRT(3))*1000)*100,999)),_xlpm.kz,IF(OR(_xlpm.dcx,DW137=1,NOT(ISNUMBER(EG137)),_xlpm.L_=0,_xlpm.inn=0),1,IFERROR(--(c_min*(Uн_лин*1000/SQRT(3))/(EG137+2*ρкз_Cu*_xlpm.L_/_xlpm.sz)&gt;=HT137*_xlpm.inn),0)),_xlpm.ok,IFERROR((_xlpm.sz&gt;=_xlpm.smin)*(_xlpm.t_&gt;=_xlpm.inn)*IF(_xlpm.L_&gt;0,(_xlpm.du_+IF(_xlpm.dcx,0,EF137)&lt;=EL137+0.00001),1)*_xlpm.kz,0),_xlpm.r_,_xlfn._xlws.FILTER(_xlpm.sz,_xlpm.ok,"не подобрано"),INDEX(_xlpm.r_,1)))</f>
        <v>1.5</v>
      </c>
      <c r="EN137">
        <f t="shared" si="329"/>
        <v>1.5</v>
      </c>
      <c r="EO137" cm="1">
        <f t="array" ref="EO137">IF(OR(B137="",BZ137="",EC137&lt;&gt;1),"",_xlfn.LET(_xlpm.sz,Iдоп_S,_xlpm.t_,CHOOSE(EB137,Iдоп_1ж,Iдоп_2ж,Iдоп_3ж)*DZ137*EA137,_xlpm.ok,IFERROR((_xlpm.sz&gt;=MAX(1.5,CC137))*(_xlpm.t_&gt;=N(DT137)),0),_xlpm.r_,_xlfn._xlws.FILTER(_xlpm.sz,_xlpm.ok,""),INDEX(_xlpm.r_,1)))</f>
        <v>1.5</v>
      </c>
      <c r="EP137" s="6" cm="1">
        <f t="array" ref="EP137">IFERROR(ROUNDUP(N(EJ137)*(_xlfn.XLOOKUP(EO137,INDEX(Кабель_сопротивление,0,1),INDEX(Кабель_сопротивление,0,3))*N(P137)/EO137*N(CE137)+_xlfn.XLOOKUP(EO137,INDEX(Кабель_сопротивление,0,1),INDEX(Кабель_сопротивление,0,2))*N(P137)*N(EK137)/1000)*N(O137)/((Uн_лин/SQRT(3))*1000)*100,2),"")</f>
        <v>0.14000000000000001</v>
      </c>
      <c r="EQ137">
        <f>IFERROR(2*ρкз_Cu*N(P137)/EO137,"")</f>
        <v>0.80653333333333332</v>
      </c>
      <c r="ER137">
        <f>IFERROR(VLOOKUP(EN137,Кабель_сопротивление,3,FALSE),"")</f>
        <v>2.2499999999999999E-2</v>
      </c>
      <c r="ES137">
        <f>IFERROR(VLOOKUP(EN137,Кабель_сопротивление,2,FALSE),"")</f>
        <v>0.11</v>
      </c>
      <c r="ET137">
        <f t="shared" si="330"/>
        <v>13</v>
      </c>
      <c r="EU137">
        <f t="shared" si="331"/>
        <v>0</v>
      </c>
      <c r="EV137">
        <f t="shared" si="332"/>
        <v>0.31243892940968471</v>
      </c>
      <c r="EW137" s="6">
        <f>IFERROR(ROUNDUP(EV137/IF(BV137=1,BU137,(Uн_лин/SQRT(3))*1000)*100,2),"")</f>
        <v>0.14000000000000001</v>
      </c>
      <c r="EX137" t="str">
        <f>IFERROR(VLOOKUP(BZ137,Кабель_обозначение,2,FALSE),"")</f>
        <v>ВВГнг(А)-LS</v>
      </c>
      <c r="EY137" t="str">
        <f t="shared" si="333"/>
        <v>ВВГнг(А)-LS (3х1,5)</v>
      </c>
      <c r="EZ137" t="str">
        <f t="shared" si="334"/>
        <v>ВВГнг(А)-LS (3х1,5)
L=23-0,14%</v>
      </c>
      <c r="FA137">
        <f>IFERROR(2*ρкз_Cu*P137/EN137,"")</f>
        <v>0.80653333333333332</v>
      </c>
      <c r="FB137">
        <f t="shared" si="335"/>
        <v>0.26833333333333337</v>
      </c>
      <c r="FC137" s="6" t="str">
        <f>IFERROR(IF(OR(B137="",BV137=1,NOT(ISNUMBER(EN137)),N(P137)=0),"",_xlfn.XLOOKUP(A137,Щиты[Щит],Щиты[Zпетли на шинах, Ом])+FA137),"")</f>
        <v/>
      </c>
      <c r="FD137" s="6" t="str">
        <f>IF(ISNUMBER(FC137),c_min*(Uн_лин*1000/SQRT(3))/FC137,"")</f>
        <v/>
      </c>
      <c r="FE137" s="6" t="str">
        <f>IFERROR(IF(OR(B137="",NOT(ISNUMBER(EN137))),"",1.05*(Uн_лин*1000/SQRT(3))/(_xlfn.XLOOKUP(A137,Щиты[Щит],Щиты[Zmax на шинах, Ом])+FB137)/1000),"")</f>
        <v/>
      </c>
      <c r="FF137" s="6" t="str">
        <f>IF(B137="","",IF(ISNUMBER(AC137),"Сил",IF(IFERROR(_xlfn.XLOOKUP(BC137,Коды_код,Коды_группа)&amp;"","")="","Быт",_xlfn.XLOOKUP(BC137,Коды_код,Коды_группа)&amp;"")))</f>
        <v>Сил</v>
      </c>
      <c r="FG137" s="6" t="str">
        <f t="shared" si="336"/>
        <v>Сил</v>
      </c>
      <c r="FH137" s="6">
        <f>IF(FG137="Щит","щит",IF(FG137="","",IF(FG137="Быт",IFERROR(_xlfn.XLOOKUP(A137,Щиты[Щит],Щиты[Кс быт]),1),IF(FG137="Сил",IF(ISNUMBER(AC137),AC137,IF(Методика="нормы 2026",IFERROR(_xlfn.XLOOKUP(A137,Щиты[Щит],Щиты[Кс силовых (табл. 7.5)]),1),1)),IF(OR(FG137="Пост",FG137="Отоп"),1,IF(FG137="ВНГ",0.7,0))))))</f>
        <v>0.5</v>
      </c>
      <c r="FI137">
        <f>IF(FG137="","",IF(AND(BP137=1,TRIM(AE137&amp;"")=""),IF(COUNTIFS(Линии[Щит],A137,Линии[Секция (1/2/3)],"&gt;=2")&gt;0,MIN(3,MAX(1,IFERROR(--BD137,1))),1),IFERROR(MIN(3,MAX(1,INT(--AE137))),1)))</f>
        <v>1</v>
      </c>
      <c r="FJ137">
        <f t="shared" si="337"/>
        <v>0.104</v>
      </c>
      <c r="FK137">
        <f t="shared" si="338"/>
        <v>0</v>
      </c>
      <c r="FL137">
        <f t="shared" si="339"/>
        <v>5.1999999999999998E-2</v>
      </c>
      <c r="FM137">
        <f t="shared" si="340"/>
        <v>0</v>
      </c>
      <c r="FN137">
        <f t="shared" si="341"/>
        <v>0</v>
      </c>
      <c r="FO137">
        <f t="shared" si="342"/>
        <v>0</v>
      </c>
      <c r="FP137">
        <f t="shared" si="343"/>
        <v>0.104</v>
      </c>
      <c r="FQ137">
        <f t="shared" si="344"/>
        <v>0.104</v>
      </c>
      <c r="FR137">
        <f t="shared" si="345"/>
        <v>8.3199999999999996E-2</v>
      </c>
      <c r="FS137">
        <f>IF(CG137=1,IF(AND(CH137=1,CW137=1),0,IF(AND(CS137&lt;&gt;"",CS137=BA137,CW137=1),SUMIFS(Линии[_Р линии, кВт],Линии[_блок УЗО],BA137,Линии[Щит],A137),N(BS137)+IF(AJ137="вручную",0,N(CK137)))),0)</f>
        <v>0.104</v>
      </c>
      <c r="FT137" t="str">
        <f t="shared" si="346"/>
        <v/>
      </c>
      <c r="FU137" t="str">
        <f>IF(B137="","",IF(CG137=0,IF(BA137=1,"",FW136),IF(AND(CH137=1,CW137=1,CS137&lt;&gt;""),IFERROR(_xlfn.XLOOKUP(CS137,Линии[_n],Линии[_фаза итог]),"L1"),IF(OR(N(DL137)&gt;=3,N(BX137)&gt;=3),"L1,L2,L3",IFERROR(_xlfn.TEXTBEFORE(_xlfn.TEXTAFTER(_xlfn.XLOOKUP(A137,Щиты[Щит],Щиты[_фазы авто]),";"&amp;BA137&amp;":"),";"),"L1")))))</f>
        <v>L1</v>
      </c>
      <c r="FV137" t="str">
        <f t="shared" si="347"/>
        <v>L1</v>
      </c>
      <c r="FW137" t="str">
        <f t="shared" si="348"/>
        <v>L1</v>
      </c>
      <c r="FX137" cm="1">
        <f t="array" ref="FX137">IFERROR(IF(CD137=2,_xlfn.IFS(BX137=3,VLOOKUP(BS137,Справочная_двигатели,3,FALSE),BX137=1,VLOOKUP(BS137,Справочная_двигатели,5,TRUE)),0),0)</f>
        <v>0</v>
      </c>
      <c r="FY137">
        <f>IFERROR(IF(CD137=3,VLOOKUP(BS137,Справочная_ЛЭД,2,TRUE),0),0)</f>
        <v>0</v>
      </c>
      <c r="FZ137" s="6">
        <f t="shared" si="349"/>
        <v>0</v>
      </c>
      <c r="GA137" t="str">
        <f>IF(B137="","",IF(TRIM(AH137&amp;"")&lt;&gt;"",IF(LOWER(TRIM(AH137&amp;""))="да","да","нет"),IF(IFERROR(_xlfn.XLOOKUP(BC137,Коды_код,Коды_пожарная),"")="да","да","нет")))</f>
        <v>нет</v>
      </c>
      <c r="GB137" t="str">
        <f t="shared" si="350"/>
        <v/>
      </c>
      <c r="GC137" t="str">
        <f t="shared" si="351"/>
        <v>основная</v>
      </c>
      <c r="GD137">
        <f>IF(AND(BP137=1,TRIM(AE137&amp;"")=""),IF(COUNTIFS(Линии[Щит],A137,Линии[Секция (1/2/3)],"&gt;=2")&gt;0,MIN(3,MAX(1,IFERROR(--BD137,1))),1),IFERROR(MIN(3,MAX(1,INT(--AE137))),1))</f>
        <v>1</v>
      </c>
      <c r="GE137" t="str" cm="1">
        <f t="array" ref="GE137">IF(B137="","",_xlfn.LET(_xlpm.t,IFERROR(_xlfn.XLOOKUP(1,(Шины[Шина]=GC137)*(((Шины[Щит]=A137)+(Шины[Щит]=""))&gt;0),Шины[Тип]),"")&amp;"",IF(_xlpm.t&lt;&gt;"",_xlpm.t,IF(ISNUMBER(SEARCH("ИБП",GC137)),"ИБП",IF(ISNUMBER(SEARCH("ДГУ",GC137)),"ДГУ","Ввод "&amp;GD137)))))</f>
        <v>Ввод 1</v>
      </c>
      <c r="GF137" t="str">
        <f t="shared" si="352"/>
        <v>Ввод 1</v>
      </c>
      <c r="GG137" t="str">
        <f>IF(BP137=0,"",IF(TRIM(AG137&amp;"")&lt;&gt;"",TRIM(AG137&amp;""),IF(OR(GE137="ИБП",GE137="ДГУ"),"I особая",_xlfn.XLOOKUP(A137,Щиты[Щит],Щиты[Категория шины «Ввод»],"III"))))</f>
        <v/>
      </c>
      <c r="GH137" t="str">
        <f>IF(A137="","",_xlfn.XLOOKUP(A137,Щиты[Щит],Щиты[Путь],""))</f>
        <v>|ГРЩ-ЖД|ЩОВ-2|</v>
      </c>
      <c r="GI137" t="str">
        <f>IF(B137="","",IF(AI137&lt;&gt;"",AI137,IF(IFERROR(_xlfn.XLOOKUP(BC137,Коды_код,Коды_вид)&amp;"","")="","Прочее",_xlfn.XLOOKUP(BC137,Коды_код,Коды_вид)&amp;"")))</f>
        <v>Кондиционирование и увлажнение</v>
      </c>
      <c r="GJ137">
        <f>IF(BM137="","",INT((BM137-1)/Столбцов_на_лист)+1)</f>
        <v>2</v>
      </c>
      <c r="GK137" t="str">
        <f t="shared" si="353"/>
        <v>ВВГнг(А)-LS (3х1,5) L=23-0,14%</v>
      </c>
      <c r="GL137">
        <f t="shared" si="354"/>
        <v>0.104</v>
      </c>
      <c r="GM137">
        <f t="shared" si="355"/>
        <v>0.57000000000000006</v>
      </c>
      <c r="GN137">
        <f t="shared" si="356"/>
        <v>1</v>
      </c>
      <c r="GO137">
        <f t="shared" si="357"/>
        <v>0</v>
      </c>
      <c r="GP137">
        <f t="shared" si="358"/>
        <v>1</v>
      </c>
      <c r="GQ137">
        <f>IF(BM137="","",IF(AND(CG137=1,GP137=1),COUNTIFS(A$3:A137,A137,CG$3:CG137,1,GP$3:GP137,1),IF(OR(OR(BA137=1,A137&lt;&gt;A136),AJ137="вручную",GP137=0),"",IF(BA137=1,"",GR136))))</f>
        <v>7</v>
      </c>
      <c r="GR137">
        <f t="shared" si="359"/>
        <v>7</v>
      </c>
      <c r="GS137">
        <f>IF(B137="","",IFERROR(LOOKUP(INDEX(CHOOSE(EB137,Iдоп_1ж,Iдоп_2ж,Iдоп_3ж),MATCH(EN137,Iдоп_S,0))*DZ137*EA137,{6,10,16,20,25,32,40,50,63,80,100,125,160,200,250,315,400,500,630}),""))</f>
        <v>16</v>
      </c>
      <c r="GT137" t="str">
        <f t="shared" si="360"/>
        <v>QF7</v>
      </c>
      <c r="GU137" t="str">
        <f t="shared" si="361"/>
        <v>QF7</v>
      </c>
      <c r="GV137" t="str">
        <f t="shared" si="362"/>
        <v/>
      </c>
      <c r="GW137">
        <f t="shared" si="363"/>
        <v>0</v>
      </c>
      <c r="GX137" t="str">
        <f>IF(OR(B137="",DJ137=""),"",IFERROR(_xlfn.XLOOKUP(DJ137,Модули_умолч[Управление],Модули_умолч[Модель])&amp;"",""))</f>
        <v/>
      </c>
      <c r="GY137">
        <f>IF(DJ137="",1,IFERROR(MAX(0,N(_xlfn.XLOOKUP(DJ137,Модули_умолч[Управление],Модули_умолч[Каналов на линию]))),1))</f>
        <v>1</v>
      </c>
      <c r="GZ137" t="str">
        <f t="shared" si="364"/>
        <v/>
      </c>
      <c r="HA137" t="str">
        <f t="shared" si="365"/>
        <v/>
      </c>
      <c r="HB137" t="str">
        <f t="shared" si="366"/>
        <v/>
      </c>
      <c r="HC137">
        <f>IF(HB137="",0,IFERROR(N(VLOOKUP(HB137,Модули_спр,3,FALSE)),0))</f>
        <v>0</v>
      </c>
      <c r="HD137" t="str">
        <f t="shared" si="367"/>
        <v/>
      </c>
      <c r="HE137" t="str">
        <f t="shared" si="368"/>
        <v/>
      </c>
      <c r="HF137" t="str">
        <f>IF(OR(HE137="",HE137="-"),"",IFERROR(VLOOKUP(HE137,Модули_спр,2,FALSE),"R"))</f>
        <v/>
      </c>
      <c r="HG137" t="str">
        <f>IF(HF137="","",HF137&amp;"."&amp;COUNTIFS(A$3:A137,A137,HF$3:HF137,HF137))</f>
        <v/>
      </c>
      <c r="HH137" t="str">
        <f t="shared" si="369"/>
        <v/>
      </c>
      <c r="HI137" t="str">
        <f t="shared" si="370"/>
        <v/>
      </c>
      <c r="HJ137" t="str">
        <f t="shared" si="371"/>
        <v/>
      </c>
      <c r="HK137" t="str">
        <f t="shared" si="372"/>
        <v/>
      </c>
      <c r="HL137">
        <f t="shared" si="373"/>
        <v>1</v>
      </c>
      <c r="HM137" t="str">
        <f>IF(HL137=1,"XT"&amp;COUNTIFS(A$3:A137,A137,HL$3:HL137,1),"")</f>
        <v>XT7</v>
      </c>
      <c r="HN137" t="str">
        <f t="shared" si="374"/>
        <v/>
      </c>
      <c r="HO137" t="str">
        <f t="shared" si="375"/>
        <v>QF7</v>
      </c>
      <c r="HP137" t="str">
        <f t="shared" si="376"/>
        <v/>
      </c>
      <c r="HQ137" t="str">
        <f t="shared" si="377"/>
        <v>ok</v>
      </c>
      <c r="HR137" t="str">
        <f>IF(OR(HJ137="",HH137=""),"",IF(HJ137+MAX(0,GY137-1)&gt;IFERROR(VLOOKUP(HI137,Модули_спр,3,FALSE),99),"ЛИШНИЙ КАНАЛ",IF(AND(AL137&lt;&gt;"=",GY137&gt;0,COUNTIFS(Линии[_модуль гр.],HH137,Линии[Канал (итог)],HJ137,Линии[Канал],"&lt;&gt;=",Линии[Щит],A137)&gt;1),"ДУБЛЬ КАНАЛА","")))</f>
        <v/>
      </c>
      <c r="HS137" s="6" t="str">
        <f t="shared" si="378"/>
        <v/>
      </c>
      <c r="HT137">
        <f t="shared" si="379"/>
        <v>10</v>
      </c>
      <c r="HU137" t="str">
        <f t="shared" si="380"/>
        <v/>
      </c>
      <c r="HV137">
        <f t="shared" si="381"/>
        <v>0.455166604983954</v>
      </c>
      <c r="HW137">
        <f t="shared" si="382"/>
        <v>0</v>
      </c>
      <c r="HX137">
        <f t="shared" si="383"/>
        <v>0</v>
      </c>
      <c r="HY137">
        <f t="shared" si="384"/>
        <v>0</v>
      </c>
      <c r="HZ137">
        <f t="shared" si="385"/>
        <v>0</v>
      </c>
      <c r="IA137">
        <f t="shared" si="386"/>
        <v>0</v>
      </c>
      <c r="IB137">
        <f t="shared" si="387"/>
        <v>0</v>
      </c>
      <c r="IC137" t="str">
        <f t="shared" si="388"/>
        <v/>
      </c>
      <c r="ID137" t="str" cm="1">
        <f t="array" ref="ID137">IF(IC137="","",_xlfn.LET(_xlpm.tk,_xlfn.TEXTSPLIT(SUBSTITUTE(SUBSTITUTE(IC137,";"," "),"→"," ")," ",,TRUE),_xlpm.w_,_xlfn._xlws.FILTER(_xlpm.tk,ISNUMBER(--LEFT(_xlpm.tk,1))*((ISNUMBER(SEARCH("W",_xlpm.tk))+ISNUMBER(SEARCH("Вт",_xlpm.tk)))&gt;0),""),IFERROR(--SUBSTITUTE(SUBSTITUTE(UPPER(INDEX(_xlpm.w_,1)),"W",""),"ВТ",""),"")))</f>
        <v/>
      </c>
      <c r="IE137" t="str" cm="1">
        <f t="array" ref="IE137">IF(IC137="","",_xlfn.LET(_xlpm.tk,_xlfn.TEXTSPLIT(SUBSTITUTE(SUBSTITUTE(IC137,";"," "),"→"," ")," ",,TRUE),_xlpm.v_,_xlfn._xlws.FILTER(_xlpm.tk,ISNUMBER(--LEFT(_xlpm.tk,1))*((ISNUMBER(SEARCH("V",_xlpm.tk))+(RIGHT(UPPER(_xlpm.tk))="В"))&gt;0),""),IFERROR(--SUBSTITUTE(SUBSTITUTE(UPPER(INDEX(_xlpm.v_,1)),"V",""),"В",""),"")))</f>
        <v/>
      </c>
      <c r="IF137" s="6" t="str">
        <f>IF(OR(BV137=0,HI137="",HJ137=""),"",IFERROR(N(_xlfn.XLOOKUP(HI137,Каталог!$C$4:$C$500,Каталог!$Q$4:$Q$500)),""))</f>
        <v/>
      </c>
      <c r="IG137" s="6" t="str">
        <f>IF(N(IF137)=0,"",SUMIFS(Линии[Iр, А],Линии[Щит],A137,Линии[_модуль гр.],HH137,Линии[Канал (итог)],HJ137))</f>
        <v/>
      </c>
      <c r="IH137" t="str">
        <f>IF(AND(B137="",HO137=""),"",_xlfn.TEXTJOIN("; ",TRUE,IF(AND(B137&lt;&gt;"",FV137=""),"нет фазы",""),IF(AND(B137&lt;&gt;"",N(GL137)=0,FG137&lt;&gt;"Нет"),"нет мощности",""),IF(AND(HN137&lt;&gt;"",COUNTIFS(Линии[Щит],A137,Линии[Клемма (итог)],HN137)&gt;1),"дубль клеммы "&amp;HN137,""),IF(AND(HQ137&lt;&gt;"",HQ137&lt;&gt;"ok"),HQ137,""),IF(HR137&lt;&gt;"",HR137,""),IF(AND(N(CB137)&gt;=4,N(BX137)=1),CB137&amp;" жил на 1 фазе",""),IF(AND(BC137="R",CG137=1,IF(CS137&lt;&gt;"",N(CV137)&gt;30,OR(N(DA137)=0,N(DA137)&gt;30))),"розетка без дифзащиты до 30 мА",""),IF(AND(CG137=1,N(DA137)&gt;0,ISNUMBER(T137)),IF(T137&gt;N(DA137)/3,"ток утечки "&amp;FIXED(T137,1)&amp;" мА &gt; 1/3 уставки ("&amp;DA137&amp;" мА)",""),""),IF(AND(CH137=1,CS137=""),"«узо»: нет строки с УЗО выше (УЗО 2P 40А 30мА в «Аппаратах»)",""),IF(AND(CS137&lt;&gt;"",CS137=BA137),IF(CT137="","впишите номинал УЗО (УЗО 2P 40А 30мА)",IF(N(CT137)&lt;N(DT137),"УЗО "&amp;CT137&amp;" А &lt; автомата "&amp;DT137&amp;" А перед ним",IF(N(CT137)&lt;N(CX137),"УЗО "&amp;CT137&amp;" А &lt; тока блока "&amp;FIXED(CX137,1)&amp;" А",""))),""),IF(AND(CS137&lt;&gt;"",CS137=BA137,ISNUMBER(CY137)),IF(CY137&gt;N(CV137)/3,"ток утечки блока УЗО "&amp;FIXED(CY137,1)&amp;" мА &gt; 1/3 уставки ("&amp;CV137&amp;" мА)",""),""),IF(AND(CG137=1,N(BV137)+N(IB137)&gt;0,IC137=""),"линии до 50 В без БП: впишите в «Аппараты» (БП 24V 480W)",""),IF(AND(CG137=1,ISNUMBER(ID137),ISNUMBER(U137)),IF(U137&gt;ID137,"БП "&amp;ID137&amp;" Вт &lt; нужно "&amp;U137&amp;" Вт (×"&amp;Запас_БП&amp;")",""),""),IF(AND(CG137=1,ISNUMBER(IE137),N(BV137)=1),IF(IE137&lt;&gt;N(BU137),"БП на "&amp;IE137&amp;" В, линия "&amp;BU137&amp;" В",""),""),IF(AND(N(IF137)&gt;0,N(IG137)&gt;N(IF137)),HH137&amp;" канал "&amp;HJ137&amp;": "&amp;FIXED(IG137,1)&amp;" А &gt; "&amp;IF137&amp;" А",""),IFERROR(IF(AND(ISNUMBER(Q137),Q137&gt;EL137),"потери "&amp;FIXED(Q137,1)&amp;" % &gt; "&amp;EL137&amp;" %",""),""),IFERROR(IF(LEFT(HU137,4)="мало","Iкз мало — отключение &gt; 0,4 с",""),""),IF(AND(B137&lt;&gt;"",BM137=""),"не на схеме",""),IF(AND(CG137=0,B137&lt;&gt;"",FV137&lt;&gt;"",IF(BA137=1,"",FW136)&lt;&gt;"",FV137&lt;&gt;IF(BA137=1,"",FW136)),"фаза не как у автомата группы ("&amp;IF(BA137=1,"",FW136)&amp;")","")))</f>
        <v/>
      </c>
      <c r="II137" s="6" t="str">
        <f>IF(OR(CG137=0,DQ137=""),"",_xlfn.LET(_xlpm.t,IFERROR(_xlfn.XLOOKUP(DQ137,Каталог!$U$4:$U$500,Каталог!$G$4:$G$500),""),_xlpm.k,SEARCH("кА",_xlpm.t),IFERROR(--TRIM(RIGHT(SUBSTITUTE(MID(_xlpm.t,MAX(1,_xlpm.k-4),_xlpm.k-MAX(1,_xlpm.k-4))," ",REPT(" ",9)),5)),"")))</f>
        <v/>
      </c>
      <c r="IJ137" t="str">
        <f>IF(OR(II137="",CG137=0),"",IF(_xlfn.XLOOKUP(A137,Щиты[Щит],Щиты[Iкз max на шинах, кА],"")="","",IF(II137&lt;_xlfn.XLOOKUP(A137,Щиты[Щит],Щиты[Iкз max на шинах, кА]),"Icu "&amp;II137&amp;" кА &lt; Iкз max","ok")))</f>
        <v/>
      </c>
      <c r="IK137" t="str">
        <f t="shared" si="389"/>
        <v/>
      </c>
      <c r="IL137" t="str">
        <f t="shared" si="390"/>
        <v>QF7</v>
      </c>
      <c r="IM137" t="str">
        <f t="shared" si="391"/>
        <v>QF7|кабель ВВГнг(А)-LS (3х1,5) → Внутренний блок кондиционирования Технический этаж Пом. №002Т</v>
      </c>
      <c r="IN137" t="str" cm="1">
        <f t="array" ref="IN137">IF(IM137="","",_xlfn.LET(_xlpm.nd,_xlfn.TEXTSPLIT(IM137,"|"),IF(COLUMNS(_xlpm.nd)&gt;1,A137&amp;"¦"&amp;INDEX(_xlpm.nd,1)&amp;"¦"&amp;INDEX(_xlpm.nd,2),"")))</f>
        <v>ЩОВ-2¦QF7¦кабель ВВГнг(А)-LS (3х1,5) → Внутренний блок кондиционирования Технический этаж Пом. №002Т</v>
      </c>
      <c r="IO137" t="str">
        <f t="shared" si="392"/>
        <v>K.2.008A¦Внутренний блок кондиционирования Технический этаж Пом. №002Т</v>
      </c>
      <c r="IP137" t="str" cm="1">
        <f t="array" ref="IP137">IF(IM137="","",_xlfn.LET(_xlpm.nd,_xlfn.TEXTSPLIT(IM137,"|"),IF(COLUMNS(_xlpm.nd)&gt;2,A137&amp;"¦"&amp;INDEX(_xlpm.nd,2)&amp;"¦"&amp;INDEX(_xlpm.nd,3),"")))</f>
        <v/>
      </c>
      <c r="IQ137" t="str">
        <f t="shared" si="393"/>
        <v/>
      </c>
      <c r="IR137" t="str" cm="1">
        <f t="array" ref="IR137">IF(IM137="","",_xlfn.LET(_xlpm.nd,_xlfn.TEXTSPLIT(IM137,"|"),IF(COLUMNS(_xlpm.nd)&gt;3,A137&amp;"¦"&amp;INDEX(_xlpm.nd,3)&amp;"¦"&amp;INDEX(_xlpm.nd,4),"")))</f>
        <v/>
      </c>
      <c r="IS137" t="str">
        <f t="shared" si="394"/>
        <v/>
      </c>
      <c r="IT137" t="str" cm="1">
        <f t="array" ref="IT137">IF(IM137="","",_xlfn.LET(_xlpm.nd,_xlfn.TEXTSPLIT(IM137,"|"),IF(COLUMNS(_xlpm.nd)&gt;4,A137&amp;"¦"&amp;INDEX(_xlpm.nd,4)&amp;"¦"&amp;INDEX(_xlpm.nd,5),"")))</f>
        <v/>
      </c>
      <c r="IU137" t="str">
        <f t="shared" si="395"/>
        <v/>
      </c>
      <c r="IV137" t="str" cm="1">
        <f t="array" ref="IV137">IF(IM137="","",_xlfn.LET(_xlpm.nd,_xlfn.TEXTSPLIT(IM137,"|"),IF(COLUMNS(_xlpm.nd)&gt;5,A137&amp;"¦"&amp;INDEX(_xlpm.nd,5)&amp;"¦"&amp;INDEX(_xlpm.nd,6),"")))</f>
        <v/>
      </c>
      <c r="IW137" t="str">
        <f t="shared" si="396"/>
        <v/>
      </c>
      <c r="IX137" t="str" cm="1">
        <f t="array" ref="IX137">IF(IM137="","",_xlfn.LET(_xlpm.nd,_xlfn.TEXTSPLIT(IM137,"|"),IF(COLUMNS(_xlpm.nd)&gt;6,A137&amp;"¦"&amp;INDEX(_xlpm.nd,6)&amp;"¦"&amp;INDEX(_xlpm.nd,7),"")))</f>
        <v/>
      </c>
      <c r="IY137" t="str">
        <f t="shared" si="397"/>
        <v/>
      </c>
      <c r="IZ137" t="str">
        <f t="shared" si="398"/>
        <v/>
      </c>
      <c r="JA137" t="str">
        <f t="shared" si="399"/>
        <v>QF7</v>
      </c>
      <c r="JB137">
        <f t="shared" si="400"/>
        <v>0</v>
      </c>
      <c r="JC137">
        <f t="shared" si="401"/>
        <v>0</v>
      </c>
      <c r="JD137" t="str">
        <f t="shared" si="402"/>
        <v/>
      </c>
      <c r="JE137" t="str">
        <f t="shared" si="403"/>
        <v/>
      </c>
      <c r="JF137" t="str">
        <f t="shared" si="404"/>
        <v/>
      </c>
      <c r="JG137" t="str">
        <f t="shared" si="405"/>
        <v/>
      </c>
      <c r="JH137">
        <f>IF(B137="","",IFERROR(_xlfn.XLOOKUP(B137,Коды_код,Коды_уго),IFERROR(_xlfn.XLOOKUP(BC137,Коды_код,Коды_уго),IFERROR(_xlfn.XLOOKUP(LEFT(BC137,2),Коды_код,Коды_уго),""))))</f>
        <v>0</v>
      </c>
      <c r="JI137" t="str">
        <f>IF(B137="","",IF(OR(JH137="",JH137=0),"BOX",IFERROR(IF(VLOOKUP(JH137,УГО_блоки,3,FALSE)&amp;""&lt;&gt;"",VLOOKUP(JH137,УГО_блоки,3,FALSE),VLOOKUP(JH137,УГО_блоки,2,FALSE)),JH137)))</f>
        <v>BOX</v>
      </c>
      <c r="JJ137">
        <f t="shared" si="406"/>
        <v>1</v>
      </c>
      <c r="JK137" t="str">
        <f>IF(DQ137="","",IF(COUNTIF(DQ$3:DQ137,DQ137)=1,MAX(JK$2:JK136)+1,""))</f>
        <v/>
      </c>
      <c r="JL137" t="str">
        <f>IF(DE137="","",IF(COUNTIF(DE$3:DE137,DE137)+COUNTIF(DF$2:DF136,DE137)+COUNTIF(DG$2:DG136,DE137)=1,MAX(JL$2:JN136)+1,""))</f>
        <v/>
      </c>
      <c r="JM137" t="str">
        <f>IF(DF137="","",IF(COUNTIF(DE$3:DE137,DF137)+COUNTIF(DF$3:DF137,DF137)+COUNTIF(DG$2:DG136,DF137)=1,MAX(JL$2:JN136,JL137)+1,""))</f>
        <v/>
      </c>
      <c r="JN137" t="str">
        <f>IF(DG137="","",IF(COUNTIF(DE$3:DE137,DG137)+COUNTIF(DF$3:DF137,DG137)+COUNTIF(DG$3:DG137,DG137)=1,MAX(JL$2:JN136,JL137,JM137)+1,""))</f>
        <v/>
      </c>
      <c r="JO137" t="str">
        <f t="shared" si="407"/>
        <v>3х1,5</v>
      </c>
      <c r="JP137" t="str">
        <f>IF(JO137="","",IF(COUNTIF(JO$3:JO137,JO137)=1,MAX(JP$2:JP136)+1,""))</f>
        <v/>
      </c>
      <c r="JQ137" t="str">
        <f>IF(HG137="","",COUNTIF(HG$3:HG137,"?*"))</f>
        <v/>
      </c>
      <c r="JR137" t="str">
        <f>IF(OR(HG137="",HI137=""),"",IF(COUNTIFS(HG$3:HG137,"?*",HI$3:HI137,HI137)=1,MAX(JR$2:JR136)+1,""))</f>
        <v/>
      </c>
      <c r="JS137">
        <f t="shared" si="408"/>
        <v>0</v>
      </c>
      <c r="JT137">
        <f>IF(B137="","",COUNTIF(B$3:B137,"?*"))</f>
        <v>135</v>
      </c>
      <c r="JU137">
        <f>IF(HL137&lt;&gt;1,0,_xlfn.LET(_xlpm.k,MAX(IFERROR(--_xlfn.XLOOKUP(B137,Коды_код,Коды_3L),0),IFERROR(--_xlfn.XLOOKUP(BC137,Коды_код,Коды_3L),0),IFERROR(--_xlfn.XLOOKUP(LEFT(BC137,2),Коды_код,Коды_3L),0)),IF(_xlpm.k&gt;0,_xlpm.k,IF(IFERROR(--LEFT(SUBSTITUTE(JO137,"x","х"),FIND("х",SUBSTITUTE(JO137,"x","х"))-1),3)&gt;3,Каталог!$S$9,1))))</f>
        <v>1</v>
      </c>
      <c r="JV137">
        <f t="shared" si="409"/>
        <v>0</v>
      </c>
      <c r="JW137" t="str">
        <f t="shared" si="410"/>
        <v>авто</v>
      </c>
      <c r="JX137" t="str">
        <f t="shared" si="411"/>
        <v/>
      </c>
      <c r="JY137">
        <f t="shared" si="412"/>
        <v>0</v>
      </c>
      <c r="JZ137">
        <f t="shared" si="413"/>
        <v>1</v>
      </c>
    </row>
    <row r="138" spans="1:286" x14ac:dyDescent="0.3">
      <c r="A138" t="s">
        <v>751</v>
      </c>
      <c r="B138" t="s">
        <v>1447</v>
      </c>
      <c r="C138" t="s">
        <v>1685</v>
      </c>
      <c r="D138">
        <v>1</v>
      </c>
      <c r="E138">
        <v>0.16200000000000001</v>
      </c>
      <c r="G138" t="str">
        <f>Линии[[#This Row],[_авто автомат]]</f>
        <v>1P С6А</v>
      </c>
      <c r="H138" t="str">
        <f>Линии[[#This Row],[_авто управление]]</f>
        <v/>
      </c>
      <c r="I138" t="str">
        <f>Линии[[#This Row],[_авто аппараты]]</f>
        <v/>
      </c>
      <c r="J138">
        <v>1.5</v>
      </c>
      <c r="K138">
        <v>20</v>
      </c>
      <c r="L138">
        <v>1</v>
      </c>
      <c r="M138" t="s">
        <v>484</v>
      </c>
      <c r="N138" t="str">
        <f t="shared" si="276"/>
        <v/>
      </c>
      <c r="O138" s="6" cm="1">
        <f t="array" ref="O138">IF(B138="","",IF(BH138&lt;&gt;"",IFERROR(_xlfn.XLOOKUP(BH138,Щиты[Щит],Щиты[Iр, А]),""),IF(BP138=1,IF(OR(N(_xlfn.XLOOKUP(A138,Щиты[Щит],Щиты[Вводов],1))&lt;=1,LOWER(TRIM(_xlfn.XLOOKUP(A138,Щиты[Щит],Щиты[АВР],"")&amp;""))="да"),IFERROR(_xlfn.XLOOKUP(A138,Щиты[Щит],Щиты[Iр, А]),""),IFERROR(N(BS138)*_xlfn.XLOOKUP(A138,Щиты[Щит],Щиты[Кс итог])/(SQRT(3)*Uн_лин*_xlfn.XLOOKUP(A138,Щиты[Щит],Щиты[cos φ])),"")),IF(BV138=1,IFERROR(BS138*1000/BU138,""),IFERROR(_xlfn.IFS(BX138=1,BS138/((Uн_лин/SQRT(3))*CE138),BX138=3,BS138/(SQRT(3)*Uн_лин*CE138)),"")))))</f>
        <v>0.87685072133174402</v>
      </c>
      <c r="P138" s="7">
        <f>IF(B138="","",IFERROR(IF(VLOOKUP(BC138,Потребители_обозначение,4,FALSE)=1,VLOOKUP(BC138,Потребители_обозначение,3,FALSE)*(MAX(1,N(D138))*2-1)+EI138+VLOOKUP(BE138,Этаж_обозначение,3,FALSE)+VLOOKUP(BE138,Этаж_обозначение,4,FALSE),VLOOKUP(BC138,Потребители_обозначение,3,FALSE)*(MAX(1,N(D138))*2-1)+EI138),EI138))</f>
        <v>22</v>
      </c>
      <c r="Q138" s="6">
        <f t="shared" si="277"/>
        <v>1.3499999999999999</v>
      </c>
      <c r="R138" t="str">
        <f t="shared" si="278"/>
        <v>ВВГнг(А)-LS (3х1,5)</v>
      </c>
      <c r="S138" t="str">
        <f>IF(BM138="","",IF(BN138="вводной узел","узел ","")&amp;"л."&amp;(INT((BM138-1)/Столбцов_на_лист)+1)&amp;" / "&amp;(MOD(BM138-1,Столбцов_на_лист)+1))</f>
        <v>л.2 / 5</v>
      </c>
      <c r="T138" s="119">
        <f t="shared" si="279"/>
        <v>0.6</v>
      </c>
      <c r="U138" s="7" t="str">
        <f>IF(OR(CG138=0,N(BV138)+N(IB138)=0),"",ROUNDUP(Запас_БП*(N(HY138)+N(HZ138)),0))</f>
        <v/>
      </c>
      <c r="V138" s="119" t="str">
        <f t="shared" si="280"/>
        <v/>
      </c>
      <c r="W138" s="7" t="str">
        <f>IFERROR(IF(OR(B138="",BP138=1,BV138=1,NOT(ISNUMBER(EN138)),N(DT138)=0),"",MAX(0,ROUNDDOWN((c_min*(Uн_лин*1000/SQRT(3))/(HT138*N(DT138))-_xlfn.XLOOKUP(A138,Щиты[Щит],Щиты[Zпетли на шинах, Ом]))*EN138/(2*ρкз_Cu),0))),"")</f>
        <v/>
      </c>
      <c r="Y138" t="str">
        <f>Линии[[#This Row],[_авто утечка]]</f>
        <v/>
      </c>
      <c r="Z138">
        <v>1</v>
      </c>
      <c r="AA138">
        <v>230</v>
      </c>
      <c r="AB138" t="s">
        <v>598</v>
      </c>
      <c r="AC138">
        <v>0.5</v>
      </c>
      <c r="AG138" t="s">
        <v>810</v>
      </c>
      <c r="AI138" t="s">
        <v>576</v>
      </c>
      <c r="AK138" t="str">
        <f>Линии[[#This Row],[_авто модуль]]</f>
        <v/>
      </c>
      <c r="AM138">
        <v>22</v>
      </c>
      <c r="AN138" t="s">
        <v>11</v>
      </c>
      <c r="AO138">
        <v>3</v>
      </c>
      <c r="AQ138">
        <v>10</v>
      </c>
      <c r="AR138">
        <v>12</v>
      </c>
      <c r="AT138">
        <v>1</v>
      </c>
      <c r="BA138" cm="1">
        <f t="array" ref="BA138">ROW()-ROW(Линии[#Headers])</f>
        <v>136</v>
      </c>
      <c r="BC138" s="6" t="str">
        <f t="shared" si="281"/>
        <v>K</v>
      </c>
      <c r="BD138" t="str">
        <f t="shared" si="282"/>
        <v>2.009A</v>
      </c>
      <c r="BE138" t="str">
        <f t="shared" si="283"/>
        <v>2</v>
      </c>
      <c r="BF138" t="str">
        <f t="shared" si="284"/>
        <v>009A</v>
      </c>
      <c r="BG138" t="str">
        <f t="shared" si="285"/>
        <v>009A</v>
      </c>
      <c r="BH138" t="str">
        <f>IF(X138&lt;&gt;"",X138,IF(AND(B138&lt;&gt;"",B138&lt;&gt;A138,ISNUMBER(_xlfn.XMATCH(B138,Щиты[Щит]))),B138,""))</f>
        <v/>
      </c>
      <c r="BI138" t="str" cm="1">
        <f t="array" ref="BI138">IF(B138="","",IF(BH138&lt;&gt;"","Щит "&amp;BH138,_xlfn.LET(_xlpm.nm,IFERROR(_xlfn.XLOOKUP(BC138,Коды_код,Коды_имя)&amp;"",""),_xlpm.md,IFERROR(N(_xlfn.XLOOKUP(BC138,Коды_код,Коды_режим)),1),_xlpm.ex,IF(Имя_режим="по экспликации",IFERROR(_xlfn.XLOOKUP(BE138&amp;"|"&amp;BG138,Экспликация[Этаж]&amp;"|"&amp;Экспликация[Помещение],Экспликация[Название])&amp;"",""),""),_xlpm.rm,IF(BG138="","",IF(_xlpm.ex&lt;&gt;"",". "&amp;_xlpm.ex&amp;IF(Имя_пом="нет"," ("&amp;BG138&amp;")"," (пом. "&amp;BG138&amp;")"),IF(Имя_пом="нет"," ",", пом. ")&amp;BG138)),IF(_xlpm.nm="","",IF(_xlpm.md=2,_xlpm.nm&amp;" шлейф "&amp;BE138,_xlpm.nm&amp;_xlpm.rm)))))</f>
        <v>Внутренний блок кондиционирования, пом. 009A</v>
      </c>
      <c r="BJ138" t="str">
        <f t="shared" si="286"/>
        <v>Внутренний блок кондиционирования Технический этаж Пом. №002Т</v>
      </c>
      <c r="BK138">
        <f>IFERROR(_xlfn.XMATCH(A138,Щиты[Щит]),0)</f>
        <v>7</v>
      </c>
      <c r="BL138">
        <f>_xlfn.LET(_xlpm.k,IFERROR(_xlfn.XLOOKUP(A138,Щиты[Щит],Щиты[Мест под вводной узел]),""),IF(_xlpm.k="",Столбцов_на_лист,N(_xlpm.k)))</f>
        <v>12</v>
      </c>
      <c r="BM138">
        <f t="shared" si="287"/>
        <v>22</v>
      </c>
      <c r="BN138" t="str">
        <f t="shared" si="288"/>
        <v>линии</v>
      </c>
      <c r="BO138" s="6">
        <f>IFERROR(N(_xlfn.XLOOKUP(BC138,Коды_код,Коды_квт)),0)</f>
        <v>0</v>
      </c>
      <c r="BP138">
        <f t="shared" si="289"/>
        <v>0</v>
      </c>
      <c r="BQ138" t="str">
        <f>IF(B138="","",IF(BH138&lt;&gt;"",IFERROR(_xlfn.XLOOKUP(BH138,Щиты[Щит],Щиты[Руст, кВт]),0),IF(BP138=1,IF(OR(N(_xlfn.XLOOKUP(A138,Щиты[Щит],Щиты[Вводов],1))&lt;=1,LOWER(TRIM(_xlfn.XLOOKUP(A138,Щиты[Щит],Щиты[АВР],"")&amp;""))="да"),IFERROR(_xlfn.XLOOKUP(A138,Щиты[Щит],Щиты[Руст, кВт]),0),SUMIFS(Линии[_Р для вводов],Линии[Щит],A138,Линии[Источник для режимов],GF138)),IF(BO138&gt;0,ROUND(BO138*MAX(1,N(D138)),3),""))))</f>
        <v/>
      </c>
      <c r="BR138">
        <f t="shared" si="290"/>
        <v>0.16200000000000001</v>
      </c>
      <c r="BS138" s="6">
        <f>IF(B138="","",IF(BH138&lt;&gt;"",IFERROR(_xlfn.XLOOKUP(BH138,Щиты[Щит],Щиты[Руст, кВт]),0),N(BR138)))</f>
        <v>0.16200000000000001</v>
      </c>
      <c r="BT138" t="str">
        <f>IF(B138="","",IFERROR(IF(VLOOKUP(BC138,Потребители_обозначение,8,FALSE)=0,"",VLOOKUP(BC138,Потребители_обозначение,8,FALSE)),""))</f>
        <v/>
      </c>
      <c r="BU138">
        <f t="shared" si="291"/>
        <v>230</v>
      </c>
      <c r="BV138">
        <f t="shared" si="292"/>
        <v>0</v>
      </c>
      <c r="BW138">
        <f>IF(B138="","",IF(BH138&lt;&gt;"",3,IFERROR(IF(N(VLOOKUP(BC138,Потребители_обозначение,9,FALSE))=0,1,VLOOKUP(BC138,Потребители_обозначение,9,FALSE)),1)))</f>
        <v>1</v>
      </c>
      <c r="BX138">
        <f t="shared" si="293"/>
        <v>1</v>
      </c>
      <c r="BY138" t="str">
        <f>IF(B138="","",_xlfn.LET(_xlpm.bc,IFERROR(IF(VLOOKUP(BC138,Потребители_обозначение,6,FALSE)=0,"",VLOOKUP(BC138,Потребители_обозначение,6,FALSE)&amp;""),""),IF(AND(GA138="да",OR(_xlpm.bc="",_xlpm.bc="мс")),Марка_пож,IF(AND(_xlpm.bc="",BH138&lt;&gt;""),"мс",_xlpm.bc))))</f>
        <v/>
      </c>
      <c r="BZ138" t="str">
        <f t="shared" si="294"/>
        <v>мс</v>
      </c>
      <c r="CA138">
        <f>IF(B138="","",_xlfn.LET(_xlpm.cc,IFERROR(N(VLOOKUP(BC138,Потребители_обозначение,7,FALSE)),0),IF(_xlpm.cc&gt;0,_xlpm.cc,IF(BZ138="","",IF(BV138=1,2,IF(N(BX138)=3,5,3))))))</f>
        <v>3</v>
      </c>
      <c r="CB138">
        <f t="shared" si="295"/>
        <v>3</v>
      </c>
      <c r="CC138">
        <f>IFERROR(N(VLOOKUP(BC138,Потребители_обозначение,10,FALSE)),0)</f>
        <v>0</v>
      </c>
      <c r="CD138">
        <f>IFERROR(VLOOKUP(BC138,Потребители_обозначение,5,FALSE),0)</f>
        <v>1</v>
      </c>
      <c r="CE138" s="6" cm="1">
        <f t="array" ref="CE138">IF(B138="","",IF(BH138&lt;&gt;"",IFERROR(_xlfn.XLOOKUP(BH138,Щиты[Щит],Щиты[cos φ]),0.95),IF(BP138=1,IFERROR(_xlfn.XLOOKUP(A138,Щиты[Щит],Щиты[cos φ]),0.95),IF(ISNUMBER(AD138),AD138,IFERROR(IF(CD138=2,_xlfn.IFS(BX138=3,VLOOKUP(BS138,Справочная_двигатели,8,FALSE),BX138=1,VLOOKUP(BS138,Справочная_двигатели,10,TRUE)),IF(AND(Методика="нормы 2026",FG138="Сил"),0.8,0.95)),0.95)))))</f>
        <v>0.8</v>
      </c>
      <c r="CF138">
        <f t="shared" si="296"/>
        <v>0</v>
      </c>
      <c r="CG138">
        <f t="shared" si="297"/>
        <v>1</v>
      </c>
      <c r="CH138">
        <f t="shared" si="298"/>
        <v>0</v>
      </c>
      <c r="CI138">
        <f>IF(B138="","",IF(BV138=1,IFERROR(BS138/((Uн_лин/SQRT(3))*MAX(0.5,N(CE138))),0),N(O138)))</f>
        <v>0.87685072133174402</v>
      </c>
      <c r="CJ138">
        <f t="shared" si="299"/>
        <v>0</v>
      </c>
      <c r="CK138">
        <f t="shared" si="300"/>
        <v>0</v>
      </c>
      <c r="CL138">
        <f t="shared" si="301"/>
        <v>0</v>
      </c>
      <c r="CM138">
        <f t="shared" si="302"/>
        <v>0</v>
      </c>
      <c r="CN138">
        <f t="shared" si="303"/>
        <v>0</v>
      </c>
      <c r="CO138">
        <f>IF(BC138="",0,_xlfn.LET(_xlpm.v,IFERROR(_xlfn.XLOOKUP(B138,Коды_код,Коды_мА),IFERROR(_xlfn.XLOOKUP(BC138,Коды_код,Коды_мА),IFERROR(_xlfn.XLOOKUP(LEFT(BC138,2),Коды_код,Коды_мА),""))),IF(_xlpm.v="да",30,IF(ISNUMBER(_xlpm.v),_xlpm.v,0))))</f>
        <v>0</v>
      </c>
      <c r="CP138" t="str">
        <f t="shared" si="304"/>
        <v/>
      </c>
      <c r="CQ138" t="str">
        <f>_xlfn.LET(_xlpm.k,IFERROR(_xlfn.XLOOKUP(BC138,Коды_код,Коды_утечка)&amp;"",""),IF(_xlpm.k="","дифавтомат",_xlpm.k))</f>
        <v>дифавтомат</v>
      </c>
      <c r="CR138" t="str" cm="1">
        <f t="array" ref="CR138">IF(CG138=0,"",_xlfn.LET(_xlpm.sg,TRIM(_xlfn.TEXTSPLIT(DD138&amp;"",";")),_xlpm.f_,_xlfn._xlws.FILTER(_xlpm.sg,LEFT(_xlpm.sg,3)="УЗО",""),IFERROR(INDEX(_xlpm.f_,1)&amp;"","")))</f>
        <v/>
      </c>
      <c r="CS138" t="str">
        <f t="shared" si="305"/>
        <v/>
      </c>
      <c r="CT138" s="6" t="str" cm="1">
        <f t="array" ref="CT138">IF(CR138="","",_xlfn.LET(_xlpm.tk,_xlfn.TEXTSPLIT(UPPER(CR138)," ",,TRUE),_xlpm.a_,_xlfn._xlws.FILTER(_xlpm.tk,ISNUMBER(--LEFT(_xlpm.tk,1))*((ISNUMBER(SEARCH("А",_xlpm.tk))+ISNUMBER(SEARCH("A",_xlpm.tk)))&gt;0)*NOT(ISNUMBER(SEARCH("МА",_xlpm.tk)))*NOT(ISNUMBER(SEARCH("MA",_xlpm.tk))),""),IFERROR(--SUBSTITUTE(SUBSTITUTE(INDEX(_xlpm.a_,1),"А",""),"A",""),"")))</f>
        <v/>
      </c>
      <c r="CU138" t="str" cm="1">
        <f t="array" ref="CU138">IF(CR138="","",_xlfn.LET(_xlpm.tk,_xlfn.TEXTSPLIT(UPPER(CR138)," ",,TRUE),_xlpm.a_,_xlfn._xlws.FILTER(_xlpm.tk,ISNUMBER(--LEFT(_xlpm.tk,1))*((ISNUMBER(SEARCH("МА",_xlpm.tk))+ISNUMBER(SEARCH("MA",_xlpm.tk)))&gt;0),""),IFERROR(--SUBSTITUTE(SUBSTITUTE(INDEX(_xlpm.a_,1),"МА",""),"MA",""),30)))</f>
        <v/>
      </c>
      <c r="CV138" t="str">
        <f>IF(CS138="","",IFERROR(_xlfn.XLOOKUP(CS138,Линии[_n],Линии[_УЗО, мА]),30))</f>
        <v/>
      </c>
      <c r="CW138">
        <f>IF(CS138="",0,IF(ISNUMBER(SEARCH("4P",IFERROR(_xlfn.XLOOKUP(CS138,Линии[_n],Линии[_УЗО строки])&amp;"",""))),0,1))</f>
        <v>0</v>
      </c>
      <c r="CX138" t="str">
        <f>IF(AND(CS138&lt;&gt;"",CS138=BA138),SUMIFS(Линии[_ток на 230 В],Линии[_блок УЗО],BA138,Линии[Щит],A138),"")</f>
        <v/>
      </c>
      <c r="CY138" t="str">
        <f>IF(AND(CS138&lt;&gt;"",CS138=BA138),SUMIFS(Линии[_ток утечки линии, мА],Линии[_блок УЗО],BA138,Линии[Щит],A138),"")</f>
        <v/>
      </c>
      <c r="CZ138">
        <f t="shared" si="306"/>
        <v>0</v>
      </c>
      <c r="DA138">
        <f t="shared" si="307"/>
        <v>0</v>
      </c>
      <c r="DB138">
        <f>IF(B138="",0,IFERROR(--_xlfn.XLOOKUP(B138,Коды_код,Коды_минавт),IFERROR(--_xlfn.XLOOKUP(BC138,Коды_код,Коды_минавт),IFERROR(--_xlfn.XLOOKUP(LEFT(BC138,2),Коды_код,Коды_минавт),0))))</f>
        <v>0</v>
      </c>
      <c r="DC138" t="str">
        <f>IF(B138="","",IFERROR(_xlfn.XLOOKUP(BC138,Коды_код,Коды_апп)&amp;"",""))</f>
        <v/>
      </c>
      <c r="DD138" t="str">
        <f t="shared" si="308"/>
        <v/>
      </c>
      <c r="DE138" t="str" cm="1">
        <f t="array" ref="DE138">IF(TRIM(DD138&amp;"")="","",IFERROR(TRIM(INDEX(_xlfn.TEXTSPLIT(DD138&amp;";;;",";"),1)),""))</f>
        <v/>
      </c>
      <c r="DF138" t="str" cm="1">
        <f t="array" ref="DF138">IF(TRIM(DD138&amp;"")="","",IFERROR(TRIM(INDEX(_xlfn.TEXTSPLIT(DD138&amp;";;;",";"),2)),""))</f>
        <v/>
      </c>
      <c r="DG138" t="str" cm="1">
        <f t="array" ref="DG138">IF(TRIM(DD138&amp;"")="","",IFERROR(TRIM(INDEX(_xlfn.TEXTSPLIT(DD138&amp;";;;",";"),3)),""))</f>
        <v/>
      </c>
      <c r="DH138">
        <f t="shared" si="309"/>
        <v>0</v>
      </c>
      <c r="DI138" t="str">
        <f>IF(B138="","",_xlfn.LET(_xlpm.t,LOWER(AZ138&amp;""),IF(ISNUMBER(SEARCH("dim",_xlpm.t)),"DIM",IF(ISNUMBER(SEARCH("dali",_xlpm.t)),"DALI",IF(OR(ISNUMBER(SEARCH("relay",_xlpm.t)),ISNUMBER(SEARCH("реле",_xlpm.t))),"Relay",IF(ISNUMBER(SEARCH("кнопк",_xlpm.t)),"",IFERROR(_xlfn.XLOOKUP(BC138,Коды_код,Коды_упр)&amp;"","")))))))</f>
        <v/>
      </c>
      <c r="DJ138" t="str">
        <f t="shared" si="310"/>
        <v/>
      </c>
      <c r="DK138">
        <f>IF(B138="","",_xlfn.LET(_xlpm.ig,IF(N(CX138)&gt;0,N(CX138),N(CI138)+IF(AJ138="вручную",0,N(CJ138))),_xlpm.n0,IFERROR(VLOOKUP(_xlpm.ig,Автомат_номиналы,2,TRUE),0),_xlpm.mn,MAX(DB138,IF(AJ138="вручную",0,N(CM138))),MAX(_xlpm.n0,_xlpm.mn,IF(DH138=1,Мин_автомат_БП,0))))</f>
        <v>6</v>
      </c>
      <c r="DL138">
        <f t="shared" si="311"/>
        <v>1</v>
      </c>
      <c r="DM138" t="str">
        <f t="shared" si="312"/>
        <v>1P</v>
      </c>
      <c r="DN138" t="str">
        <f>_xlfn.LET(_xlpm.cc,UPPER(TRIM(IFERROR(_xlfn.XLOOKUP(BC138,Коды_код,Коды_хар)&amp;"",""))),IF(OR(_xlpm.cc="B",_xlpm.cc="В"),"B",IF(_xlpm.cc="D","D","С")))</f>
        <v>С</v>
      </c>
      <c r="DO138" t="str">
        <f t="shared" si="313"/>
        <v>1P С6А</v>
      </c>
      <c r="DP138" t="str">
        <f t="shared" si="314"/>
        <v>1P С6А</v>
      </c>
      <c r="DQ138" t="str">
        <f t="shared" si="315"/>
        <v>1P С6А</v>
      </c>
      <c r="DR138" cm="1">
        <f t="array" ref="DR138">IF(DQ138="","",_xlfn.LET(_xlpm.t,SUBSTITUTE(SUBSTITUTE(SUBSTITUTE(UPPER(DQ138),"С","C"),"А","A"),"В","B"),_xlpm.tk,_xlfn.TEXTSPLIT(_xlpm.t," "),_xlpm.f,_xlfn._xlws.FILTER(_xlpm.tk,ISNUMBER(--MID(_xlpm.tk,2,1))*ISNUMBER(SEARCH(LEFT(_xlpm.tk,1)&amp;"#","B#C#D#"))*(LEN(_xlpm.tk)&gt;1),""),_xlpm.x,INDEX(_xlpm.f,1),IFERROR(--SUBSTITUTE(MID(_xlpm.x,2,9),"A",""),IFERROR(--SUBSTITUTE(INDEX(_xlfn._xlws.FILTER(_xlpm.tk,ISNUMBER(--SUBSTITUTE(_xlpm.tk,"A","")),""),1),"A",""),""))))</f>
        <v>6</v>
      </c>
      <c r="DS138" t="str">
        <f t="shared" si="316"/>
        <v>ok</v>
      </c>
      <c r="DT138">
        <f t="shared" si="317"/>
        <v>6</v>
      </c>
      <c r="DU138" t="str">
        <f t="shared" si="318"/>
        <v>1P С6А</v>
      </c>
      <c r="DV138">
        <f t="shared" si="319"/>
        <v>0</v>
      </c>
      <c r="DW138">
        <f t="shared" si="320"/>
        <v>0</v>
      </c>
      <c r="DX138">
        <f t="shared" si="321"/>
        <v>0</v>
      </c>
      <c r="DY138">
        <f t="shared" si="322"/>
        <v>0.87685072133174402</v>
      </c>
      <c r="DZ138">
        <f t="shared" si="323"/>
        <v>1</v>
      </c>
      <c r="EA138">
        <f>IF(ISNUMBER(AP138),AP138,К_прокл)</f>
        <v>1</v>
      </c>
      <c r="EB138">
        <f t="shared" si="324"/>
        <v>2</v>
      </c>
      <c r="EC138">
        <f>IFERROR(N(VLOOKUP(BZ138,Кабель_обозначение,3,FALSE)),1)</f>
        <v>1</v>
      </c>
      <c r="ED138">
        <f>IFERROR(N(_xlfn.XLOOKUP(A138,Щиты[Щит],Щиты[ΔU до шин, %])),0)</f>
        <v>1.1399999999999999</v>
      </c>
      <c r="EE138" t="str">
        <f>IFERROR(_xlfn.XLOOKUP(A138,Щиты[Щит],Щиты[Zпетли на шинах, Ом]),"")</f>
        <v/>
      </c>
      <c r="EF138">
        <f>IFERROR(N(_xlfn.XLOOKUP(A138,Щиты[Щит],Щиты[ΔU до шин (подбор), %])),0)</f>
        <v>1.82</v>
      </c>
      <c r="EG138" t="str">
        <f>IFERROR(_xlfn.XLOOKUP(A138,Щиты[Щит],Щиты[Zпетли на шинах (подбор), Ом]),"")</f>
        <v/>
      </c>
      <c r="EH138" t="str">
        <f t="shared" si="325"/>
        <v/>
      </c>
      <c r="EI138">
        <f t="shared" si="326"/>
        <v>20</v>
      </c>
      <c r="EJ138">
        <f t="shared" si="327"/>
        <v>2</v>
      </c>
      <c r="EK138">
        <f t="shared" si="328"/>
        <v>0.6</v>
      </c>
      <c r="EL138" s="6">
        <f>IF(B138="","",IF(BV138=1,dU_LED,IF(IFERROR(_xlfn.XLOOKUP(BC138,Коды_код,Коды_уго),"")="Светильник",3,4)+IF(Методика="нормы 2026",MIN(0.5,MAX(0,N(P138)-100)*0.005),0)))</f>
        <v>4</v>
      </c>
      <c r="EM138" cm="1">
        <f t="array" ref="EM138">IF(OR(B138="",BZ138="",EC138&lt;&gt;1),"",_xlfn.LET(_xlpm.sz,Iдоп_S,_xlpm.t_,CHOOSE(EB138,Iдоп_1ж,Iдоп_2ж,Iдоп_3ж)*DZ138*EA138,_xlpm.dcx,BV138=1,_xlpm.inn,IF(_xlpm.dcx,N(O138),N(DT138)),_xlpm.smin,MAX(1.5,CC138),_xlpm.L_,N(P138)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138)/N(BU138)*100,999),IFERROR(N(EJ138)*(_xlpm.rho*_xlpm.L_/_xlpm.sz*N(CE138)+_xlpm.xx*_xlpm.L_*N(EK138)/1000)*N(O138)/((Uн_лин/SQRT(3))*1000)*100,999)),_xlpm.kz,IF(OR(_xlpm.dcx,DW138=1,NOT(ISNUMBER(EG138)),_xlpm.L_=0,_xlpm.inn=0),1,IFERROR(--(c_min*(Uн_лин*1000/SQRT(3))/(EG138+2*ρкз_Cu*_xlpm.L_/_xlpm.sz)&gt;=HT138*_xlpm.inn),0)),_xlpm.ok,IFERROR((_xlpm.sz&gt;=_xlpm.smin)*(_xlpm.t_&gt;=_xlpm.inn)*IF(_xlpm.L_&gt;0,(_xlpm.du_+IF(_xlpm.dcx,0,EF138)&lt;=EL138+0.00001),1)*_xlpm.kz,0),_xlpm.r_,_xlfn._xlws.FILTER(_xlpm.sz,_xlpm.ok,"не подобрано"),INDEX(_xlpm.r_,1)))</f>
        <v>1.5</v>
      </c>
      <c r="EN138">
        <f t="shared" si="329"/>
        <v>1.5</v>
      </c>
      <c r="EO138" cm="1">
        <f t="array" ref="EO138">IF(OR(B138="",BZ138="",EC138&lt;&gt;1),"",_xlfn.LET(_xlpm.sz,Iдоп_S,_xlpm.t_,CHOOSE(EB138,Iдоп_1ж,Iдоп_2ж,Iдоп_3ж)*DZ138*EA138,_xlpm.ok,IFERROR((_xlpm.sz&gt;=MAX(1.5,CC138))*(_xlpm.t_&gt;=N(DT138)),0),_xlpm.r_,_xlfn._xlws.FILTER(_xlpm.sz,_xlpm.ok,""),INDEX(_xlpm.r_,1)))</f>
        <v>1.5</v>
      </c>
      <c r="EP138" s="6" cm="1">
        <f t="array" ref="EP138">IFERROR(ROUNDUP(N(EJ138)*(_xlfn.XLOOKUP(EO138,INDEX(Кабель_сопротивление,0,1),INDEX(Кабель_сопротивление,0,3))*N(P138)/EO138*N(CE138)+_xlfn.XLOOKUP(EO138,INDEX(Кабель_сопротивление,0,1),INDEX(Кабель_сопротивление,0,2))*N(P138)*N(EK138)/1000)*N(O138)/((Uн_лин/SQRT(3))*1000)*100,2),"")</f>
        <v>0.21000000000000002</v>
      </c>
      <c r="EQ138">
        <f>IFERROR(2*ρкз_Cu*N(P138)/EO138,"")</f>
        <v>0.77146666666666663</v>
      </c>
      <c r="ER138">
        <f>IFERROR(VLOOKUP(EN138,Кабель_сопротивление,3,FALSE),"")</f>
        <v>2.2499999999999999E-2</v>
      </c>
      <c r="ES138">
        <f>IFERROR(VLOOKUP(EN138,Кабель_сопротивление,2,FALSE),"")</f>
        <v>0.11</v>
      </c>
      <c r="ET138">
        <f t="shared" si="330"/>
        <v>12</v>
      </c>
      <c r="EU138">
        <f t="shared" si="331"/>
        <v>0</v>
      </c>
      <c r="EV138">
        <f t="shared" si="332"/>
        <v>0.46552355535790829</v>
      </c>
      <c r="EW138" s="6">
        <f>IFERROR(ROUNDUP(EV138/IF(BV138=1,BU138,(Uн_лин/SQRT(3))*1000)*100,2),"")</f>
        <v>0.21000000000000002</v>
      </c>
      <c r="EX138" t="str">
        <f>IFERROR(VLOOKUP(BZ138,Кабель_обозначение,2,FALSE),"")</f>
        <v>ВВГнг(А)-LS</v>
      </c>
      <c r="EY138" t="str">
        <f t="shared" si="333"/>
        <v>ВВГнг(А)-LS (3х1,5)</v>
      </c>
      <c r="EZ138" t="str">
        <f t="shared" si="334"/>
        <v>ВВГнг(А)-LS (3х1,5)
L=22-0,21%</v>
      </c>
      <c r="FA138">
        <f>IFERROR(2*ρкз_Cu*P138/EN138,"")</f>
        <v>0.77146666666666663</v>
      </c>
      <c r="FB138">
        <f t="shared" si="335"/>
        <v>0.25666666666666665</v>
      </c>
      <c r="FC138" s="6" t="str">
        <f>IFERROR(IF(OR(B138="",BV138=1,NOT(ISNUMBER(EN138)),N(P138)=0),"",_xlfn.XLOOKUP(A138,Щиты[Щит],Щиты[Zпетли на шинах, Ом])+FA138),"")</f>
        <v/>
      </c>
      <c r="FD138" s="6" t="str">
        <f>IF(ISNUMBER(FC138),c_min*(Uн_лин*1000/SQRT(3))/FC138,"")</f>
        <v/>
      </c>
      <c r="FE138" s="6" t="str">
        <f>IFERROR(IF(OR(B138="",NOT(ISNUMBER(EN138))),"",1.05*(Uн_лин*1000/SQRT(3))/(_xlfn.XLOOKUP(A138,Щиты[Щит],Щиты[Zmax на шинах, Ом])+FB138)/1000),"")</f>
        <v/>
      </c>
      <c r="FF138" s="6" t="str">
        <f>IF(B138="","",IF(ISNUMBER(AC138),"Сил",IF(IFERROR(_xlfn.XLOOKUP(BC138,Коды_код,Коды_группа)&amp;"","")="","Быт",_xlfn.XLOOKUP(BC138,Коды_код,Коды_группа)&amp;"")))</f>
        <v>Сил</v>
      </c>
      <c r="FG138" s="6" t="str">
        <f t="shared" si="336"/>
        <v>Сил</v>
      </c>
      <c r="FH138" s="6">
        <f>IF(FG138="Щит","щит",IF(FG138="","",IF(FG138="Быт",IFERROR(_xlfn.XLOOKUP(A138,Щиты[Щит],Щиты[Кс быт]),1),IF(FG138="Сил",IF(ISNUMBER(AC138),AC138,IF(Методика="нормы 2026",IFERROR(_xlfn.XLOOKUP(A138,Щиты[Щит],Щиты[Кс силовых (табл. 7.5)]),1),1)),IF(OR(FG138="Пост",FG138="Отоп"),1,IF(FG138="ВНГ",0.7,0))))))</f>
        <v>0.5</v>
      </c>
      <c r="FI138">
        <f>IF(FG138="","",IF(AND(BP138=1,TRIM(AE138&amp;"")=""),IF(COUNTIFS(Линии[Щит],A138,Линии[Секция (1/2/3)],"&gt;=2")&gt;0,MIN(3,MAX(1,IFERROR(--BD138,1))),1),IFERROR(MIN(3,MAX(1,INT(--AE138))),1)))</f>
        <v>1</v>
      </c>
      <c r="FJ138">
        <f t="shared" si="337"/>
        <v>0.16200000000000001</v>
      </c>
      <c r="FK138">
        <f t="shared" si="338"/>
        <v>0</v>
      </c>
      <c r="FL138">
        <f t="shared" si="339"/>
        <v>8.1000000000000003E-2</v>
      </c>
      <c r="FM138">
        <f t="shared" si="340"/>
        <v>0</v>
      </c>
      <c r="FN138">
        <f t="shared" si="341"/>
        <v>0</v>
      </c>
      <c r="FO138">
        <f t="shared" si="342"/>
        <v>0</v>
      </c>
      <c r="FP138">
        <f t="shared" si="343"/>
        <v>0.16200000000000001</v>
      </c>
      <c r="FQ138">
        <f t="shared" si="344"/>
        <v>0.16200000000000001</v>
      </c>
      <c r="FR138">
        <f t="shared" si="345"/>
        <v>0.12960000000000002</v>
      </c>
      <c r="FS138">
        <f>IF(CG138=1,IF(AND(CH138=1,CW138=1),0,IF(AND(CS138&lt;&gt;"",CS138=BA138,CW138=1),SUMIFS(Линии[_Р линии, кВт],Линии[_блок УЗО],BA138,Линии[Щит],A138),N(BS138)+IF(AJ138="вручную",0,N(CK138)))),0)</f>
        <v>0.16200000000000001</v>
      </c>
      <c r="FT138" t="str">
        <f t="shared" si="346"/>
        <v>L1</v>
      </c>
      <c r="FU138" t="str">
        <f>IF(B138="","",IF(CG138=0,IF(BA138=1,"",FW137),IF(AND(CH138=1,CW138=1,CS138&lt;&gt;""),IFERROR(_xlfn.XLOOKUP(CS138,Линии[_n],Линии[_фаза итог]),"L1"),IF(OR(N(DL138)&gt;=3,N(BX138)&gt;=3),"L1,L2,L3",IFERROR(_xlfn.TEXTBEFORE(_xlfn.TEXTAFTER(_xlfn.XLOOKUP(A138,Щиты[Щит],Щиты[_фазы авто]),";"&amp;BA138&amp;":"),";"),"L1")))))</f>
        <v>L1</v>
      </c>
      <c r="FV138" t="str">
        <f t="shared" si="347"/>
        <v>L1</v>
      </c>
      <c r="FW138" t="str">
        <f t="shared" si="348"/>
        <v>L1</v>
      </c>
      <c r="FX138" cm="1">
        <f t="array" ref="FX138">IFERROR(IF(CD138=2,_xlfn.IFS(BX138=3,VLOOKUP(BS138,Справочная_двигатели,3,FALSE),BX138=1,VLOOKUP(BS138,Справочная_двигатели,5,TRUE)),0),0)</f>
        <v>0</v>
      </c>
      <c r="FY138">
        <f>IFERROR(IF(CD138=3,VLOOKUP(BS138,Справочная_ЛЭД,2,TRUE),0),0)</f>
        <v>0</v>
      </c>
      <c r="FZ138" s="6">
        <f t="shared" si="349"/>
        <v>0</v>
      </c>
      <c r="GA138" t="str">
        <f>IF(B138="","",IF(TRIM(AH138&amp;"")&lt;&gt;"",IF(LOWER(TRIM(AH138&amp;""))="да","да","нет"),IF(IFERROR(_xlfn.XLOOKUP(BC138,Коды_код,Коды_пожарная),"")="да","да","нет")))</f>
        <v>нет</v>
      </c>
      <c r="GB138" t="str">
        <f t="shared" si="350"/>
        <v/>
      </c>
      <c r="GC138" t="str">
        <f t="shared" si="351"/>
        <v>основная</v>
      </c>
      <c r="GD138">
        <f>IF(AND(BP138=1,TRIM(AE138&amp;"")=""),IF(COUNTIFS(Линии[Щит],A138,Линии[Секция (1/2/3)],"&gt;=2")&gt;0,MIN(3,MAX(1,IFERROR(--BD138,1))),1),IFERROR(MIN(3,MAX(1,INT(--AE138))),1))</f>
        <v>1</v>
      </c>
      <c r="GE138" t="str" cm="1">
        <f t="array" ref="GE138">IF(B138="","",_xlfn.LET(_xlpm.t,IFERROR(_xlfn.XLOOKUP(1,(Шины[Шина]=GC138)*(((Шины[Щит]=A138)+(Шины[Щит]=""))&gt;0),Шины[Тип]),"")&amp;"",IF(_xlpm.t&lt;&gt;"",_xlpm.t,IF(ISNUMBER(SEARCH("ИБП",GC138)),"ИБП",IF(ISNUMBER(SEARCH("ДГУ",GC138)),"ДГУ","Ввод "&amp;GD138)))))</f>
        <v>Ввод 1</v>
      </c>
      <c r="GF138" t="str">
        <f t="shared" si="352"/>
        <v>Ввод 1</v>
      </c>
      <c r="GG138" t="str">
        <f>IF(BP138=0,"",IF(TRIM(AG138&amp;"")&lt;&gt;"",TRIM(AG138&amp;""),IF(OR(GE138="ИБП",GE138="ДГУ"),"I особая",_xlfn.XLOOKUP(A138,Щиты[Щит],Щиты[Категория шины «Ввод»],"III"))))</f>
        <v/>
      </c>
      <c r="GH138" t="str">
        <f>IF(A138="","",_xlfn.XLOOKUP(A138,Щиты[Щит],Щиты[Путь],""))</f>
        <v>|ГРЩ-ЖД|ЩОВ-2|</v>
      </c>
      <c r="GI138" t="str">
        <f>IF(B138="","",IF(AI138&lt;&gt;"",AI138,IF(IFERROR(_xlfn.XLOOKUP(BC138,Коды_код,Коды_вид)&amp;"","")="","Прочее",_xlfn.XLOOKUP(BC138,Коды_код,Коды_вид)&amp;"")))</f>
        <v>Кондиционирование и увлажнение</v>
      </c>
      <c r="GJ138">
        <f>IF(BM138="","",INT((BM138-1)/Столбцов_на_лист)+1)</f>
        <v>2</v>
      </c>
      <c r="GK138" t="str">
        <f t="shared" si="353"/>
        <v>ВВГнг(А)-LS (3х1,5) L=22-0,21%</v>
      </c>
      <c r="GL138">
        <f t="shared" si="354"/>
        <v>0.16200000000000001</v>
      </c>
      <c r="GM138">
        <f t="shared" si="355"/>
        <v>0.88</v>
      </c>
      <c r="GN138">
        <f t="shared" si="356"/>
        <v>1</v>
      </c>
      <c r="GO138">
        <f t="shared" si="357"/>
        <v>0</v>
      </c>
      <c r="GP138">
        <f t="shared" si="358"/>
        <v>1</v>
      </c>
      <c r="GQ138">
        <f>IF(BM138="","",IF(AND(CG138=1,GP138=1),COUNTIFS(A$3:A138,A138,CG$3:CG138,1,GP$3:GP138,1),IF(OR(OR(BA138=1,A138&lt;&gt;A137),AJ138="вручную",GP138=0),"",IF(BA138=1,"",GR137))))</f>
        <v>8</v>
      </c>
      <c r="GR138">
        <f t="shared" si="359"/>
        <v>8</v>
      </c>
      <c r="GS138">
        <f>IF(B138="","",IFERROR(LOOKUP(INDEX(CHOOSE(EB138,Iдоп_1ж,Iдоп_2ж,Iдоп_3ж),MATCH(EN138,Iдоп_S,0))*DZ138*EA138,{6,10,16,20,25,32,40,50,63,80,100,125,160,200,250,315,400,500,630}),""))</f>
        <v>16</v>
      </c>
      <c r="GT138" t="str">
        <f t="shared" si="360"/>
        <v>QF8</v>
      </c>
      <c r="GU138" t="str">
        <f t="shared" si="361"/>
        <v>QF8</v>
      </c>
      <c r="GV138" t="str">
        <f t="shared" si="362"/>
        <v/>
      </c>
      <c r="GW138">
        <f t="shared" si="363"/>
        <v>0</v>
      </c>
      <c r="GX138" t="str">
        <f>IF(OR(B138="",DJ138=""),"",IFERROR(_xlfn.XLOOKUP(DJ138,Модули_умолч[Управление],Модули_умолч[Модель])&amp;"",""))</f>
        <v/>
      </c>
      <c r="GY138">
        <f>IF(DJ138="",1,IFERROR(MAX(0,N(_xlfn.XLOOKUP(DJ138,Модули_умолч[Управление],Модули_умолч[Каналов на линию]))),1))</f>
        <v>1</v>
      </c>
      <c r="GZ138" t="str">
        <f t="shared" si="364"/>
        <v/>
      </c>
      <c r="HA138" t="str">
        <f t="shared" si="365"/>
        <v/>
      </c>
      <c r="HB138" t="str">
        <f t="shared" si="366"/>
        <v/>
      </c>
      <c r="HC138">
        <f>IF(HB138="",0,IFERROR(N(VLOOKUP(HB138,Модули_спр,3,FALSE)),0))</f>
        <v>0</v>
      </c>
      <c r="HD138" t="str">
        <f t="shared" si="367"/>
        <v/>
      </c>
      <c r="HE138" t="str">
        <f t="shared" si="368"/>
        <v/>
      </c>
      <c r="HF138" t="str">
        <f>IF(OR(HE138="",HE138="-"),"",IFERROR(VLOOKUP(HE138,Модули_спр,2,FALSE),"R"))</f>
        <v/>
      </c>
      <c r="HG138" t="str">
        <f>IF(HF138="","",HF138&amp;"."&amp;COUNTIFS(A$3:A138,A138,HF$3:HF138,HF138))</f>
        <v/>
      </c>
      <c r="HH138" t="str">
        <f t="shared" si="369"/>
        <v/>
      </c>
      <c r="HI138" t="str">
        <f t="shared" si="370"/>
        <v/>
      </c>
      <c r="HJ138" t="str">
        <f t="shared" si="371"/>
        <v/>
      </c>
      <c r="HK138" t="str">
        <f t="shared" si="372"/>
        <v/>
      </c>
      <c r="HL138">
        <f t="shared" si="373"/>
        <v>1</v>
      </c>
      <c r="HM138" t="str">
        <f>IF(HL138=1,"XT"&amp;COUNTIFS(A$3:A138,A138,HL$3:HL138,1),"")</f>
        <v>XT8</v>
      </c>
      <c r="HN138" t="str">
        <f t="shared" si="374"/>
        <v/>
      </c>
      <c r="HO138" t="str">
        <f t="shared" si="375"/>
        <v>QF8</v>
      </c>
      <c r="HP138" t="str">
        <f t="shared" si="376"/>
        <v/>
      </c>
      <c r="HQ138" t="str">
        <f t="shared" si="377"/>
        <v>ok</v>
      </c>
      <c r="HR138" t="str">
        <f>IF(OR(HJ138="",HH138=""),"",IF(HJ138+MAX(0,GY138-1)&gt;IFERROR(VLOOKUP(HI138,Модули_спр,3,FALSE),99),"ЛИШНИЙ КАНАЛ",IF(AND(AL138&lt;&gt;"=",GY138&gt;0,COUNTIFS(Линии[_модуль гр.],HH138,Линии[Канал (итог)],HJ138,Линии[Канал],"&lt;&gt;=",Линии[Щит],A138)&gt;1),"ДУБЛЬ КАНАЛА","")))</f>
        <v/>
      </c>
      <c r="HS138" s="6" t="str">
        <f t="shared" si="378"/>
        <v/>
      </c>
      <c r="HT138">
        <f t="shared" si="379"/>
        <v>10</v>
      </c>
      <c r="HU138" t="str">
        <f t="shared" si="380"/>
        <v/>
      </c>
      <c r="HV138">
        <f t="shared" si="381"/>
        <v>0.57074028853269765</v>
      </c>
      <c r="HW138">
        <f t="shared" si="382"/>
        <v>0</v>
      </c>
      <c r="HX138">
        <f t="shared" si="383"/>
        <v>0</v>
      </c>
      <c r="HY138">
        <f t="shared" si="384"/>
        <v>0</v>
      </c>
      <c r="HZ138">
        <f t="shared" si="385"/>
        <v>0</v>
      </c>
      <c r="IA138">
        <f t="shared" si="386"/>
        <v>0</v>
      </c>
      <c r="IB138">
        <f t="shared" si="387"/>
        <v>0</v>
      </c>
      <c r="IC138" t="str">
        <f t="shared" si="388"/>
        <v/>
      </c>
      <c r="ID138" t="str" cm="1">
        <f t="array" ref="ID138">IF(IC138="","",_xlfn.LET(_xlpm.tk,_xlfn.TEXTSPLIT(SUBSTITUTE(SUBSTITUTE(IC138,";"," "),"→"," ")," ",,TRUE),_xlpm.w_,_xlfn._xlws.FILTER(_xlpm.tk,ISNUMBER(--LEFT(_xlpm.tk,1))*((ISNUMBER(SEARCH("W",_xlpm.tk))+ISNUMBER(SEARCH("Вт",_xlpm.tk)))&gt;0),""),IFERROR(--SUBSTITUTE(SUBSTITUTE(UPPER(INDEX(_xlpm.w_,1)),"W",""),"ВТ",""),"")))</f>
        <v/>
      </c>
      <c r="IE138" t="str" cm="1">
        <f t="array" ref="IE138">IF(IC138="","",_xlfn.LET(_xlpm.tk,_xlfn.TEXTSPLIT(SUBSTITUTE(SUBSTITUTE(IC138,";"," "),"→"," ")," ",,TRUE),_xlpm.v_,_xlfn._xlws.FILTER(_xlpm.tk,ISNUMBER(--LEFT(_xlpm.tk,1))*((ISNUMBER(SEARCH("V",_xlpm.tk))+(RIGHT(UPPER(_xlpm.tk))="В"))&gt;0),""),IFERROR(--SUBSTITUTE(SUBSTITUTE(UPPER(INDEX(_xlpm.v_,1)),"V",""),"В",""),"")))</f>
        <v/>
      </c>
      <c r="IF138" s="6" t="str">
        <f>IF(OR(BV138=0,HI138="",HJ138=""),"",IFERROR(N(_xlfn.XLOOKUP(HI138,Каталог!$C$4:$C$500,Каталог!$Q$4:$Q$500)),""))</f>
        <v/>
      </c>
      <c r="IG138" s="6" t="str">
        <f>IF(N(IF138)=0,"",SUMIFS(Линии[Iр, А],Линии[Щит],A138,Линии[_модуль гр.],HH138,Линии[Канал (итог)],HJ138))</f>
        <v/>
      </c>
      <c r="IH138" t="str">
        <f>IF(AND(B138="",HO138=""),"",_xlfn.TEXTJOIN("; ",TRUE,IF(AND(B138&lt;&gt;"",FV138=""),"нет фазы",""),IF(AND(B138&lt;&gt;"",N(GL138)=0,FG138&lt;&gt;"Нет"),"нет мощности",""),IF(AND(HN138&lt;&gt;"",COUNTIFS(Линии[Щит],A138,Линии[Клемма (итог)],HN138)&gt;1),"дубль клеммы "&amp;HN138,""),IF(AND(HQ138&lt;&gt;"",HQ138&lt;&gt;"ok"),HQ138,""),IF(HR138&lt;&gt;"",HR138,""),IF(AND(N(CB138)&gt;=4,N(BX138)=1),CB138&amp;" жил на 1 фазе",""),IF(AND(BC138="R",CG138=1,IF(CS138&lt;&gt;"",N(CV138)&gt;30,OR(N(DA138)=0,N(DA138)&gt;30))),"розетка без дифзащиты до 30 мА",""),IF(AND(CG138=1,N(DA138)&gt;0,ISNUMBER(T138)),IF(T138&gt;N(DA138)/3,"ток утечки "&amp;FIXED(T138,1)&amp;" мА &gt; 1/3 уставки ("&amp;DA138&amp;" мА)",""),""),IF(AND(CH138=1,CS138=""),"«узо»: нет строки с УЗО выше (УЗО 2P 40А 30мА в «Аппаратах»)",""),IF(AND(CS138&lt;&gt;"",CS138=BA138),IF(CT138="","впишите номинал УЗО (УЗО 2P 40А 30мА)",IF(N(CT138)&lt;N(DT138),"УЗО "&amp;CT138&amp;" А &lt; автомата "&amp;DT138&amp;" А перед ним",IF(N(CT138)&lt;N(CX138),"УЗО "&amp;CT138&amp;" А &lt; тока блока "&amp;FIXED(CX138,1)&amp;" А",""))),""),IF(AND(CS138&lt;&gt;"",CS138=BA138,ISNUMBER(CY138)),IF(CY138&gt;N(CV138)/3,"ток утечки блока УЗО "&amp;FIXED(CY138,1)&amp;" мА &gt; 1/3 уставки ("&amp;CV138&amp;" мА)",""),""),IF(AND(CG138=1,N(BV138)+N(IB138)&gt;0,IC138=""),"линии до 50 В без БП: впишите в «Аппараты» (БП 24V 480W)",""),IF(AND(CG138=1,ISNUMBER(ID138),ISNUMBER(U138)),IF(U138&gt;ID138,"БП "&amp;ID138&amp;" Вт &lt; нужно "&amp;U138&amp;" Вт (×"&amp;Запас_БП&amp;")",""),""),IF(AND(CG138=1,ISNUMBER(IE138),N(BV138)=1),IF(IE138&lt;&gt;N(BU138),"БП на "&amp;IE138&amp;" В, линия "&amp;BU138&amp;" В",""),""),IF(AND(N(IF138)&gt;0,N(IG138)&gt;N(IF138)),HH138&amp;" канал "&amp;HJ138&amp;": "&amp;FIXED(IG138,1)&amp;" А &gt; "&amp;IF138&amp;" А",""),IFERROR(IF(AND(ISNUMBER(Q138),Q138&gt;EL138),"потери "&amp;FIXED(Q138,1)&amp;" % &gt; "&amp;EL138&amp;" %",""),""),IFERROR(IF(LEFT(HU138,4)="мало","Iкз мало — отключение &gt; 0,4 с",""),""),IF(AND(B138&lt;&gt;"",BM138=""),"не на схеме",""),IF(AND(CG138=0,B138&lt;&gt;"",FV138&lt;&gt;"",IF(BA138=1,"",FW137)&lt;&gt;"",FV138&lt;&gt;IF(BA138=1,"",FW137)),"фаза не как у автомата группы ("&amp;IF(BA138=1,"",FW137)&amp;")","")))</f>
        <v/>
      </c>
      <c r="II138" s="6" t="str">
        <f>IF(OR(CG138=0,DQ138=""),"",_xlfn.LET(_xlpm.t,IFERROR(_xlfn.XLOOKUP(DQ138,Каталог!$U$4:$U$500,Каталог!$G$4:$G$500),""),_xlpm.k,SEARCH("кА",_xlpm.t),IFERROR(--TRIM(RIGHT(SUBSTITUTE(MID(_xlpm.t,MAX(1,_xlpm.k-4),_xlpm.k-MAX(1,_xlpm.k-4))," ",REPT(" ",9)),5)),"")))</f>
        <v/>
      </c>
      <c r="IJ138" t="str">
        <f>IF(OR(II138="",CG138=0),"",IF(_xlfn.XLOOKUP(A138,Щиты[Щит],Щиты[Iкз max на шинах, кА],"")="","",IF(II138&lt;_xlfn.XLOOKUP(A138,Щиты[Щит],Щиты[Iкз max на шинах, кА]),"Icu "&amp;II138&amp;" кА &lt; Iкз max","ok")))</f>
        <v/>
      </c>
      <c r="IK138" t="str">
        <f t="shared" si="389"/>
        <v/>
      </c>
      <c r="IL138" t="str">
        <f t="shared" si="390"/>
        <v>QF8</v>
      </c>
      <c r="IM138" t="str">
        <f t="shared" si="391"/>
        <v>QF8|кабель ВВГнг(А)-LS (3х1,5) → Внутренний блок кондиционирования Технический этаж Пом. №002Т</v>
      </c>
      <c r="IN138" t="str" cm="1">
        <f t="array" ref="IN138">IF(IM138="","",_xlfn.LET(_xlpm.nd,_xlfn.TEXTSPLIT(IM138,"|"),IF(COLUMNS(_xlpm.nd)&gt;1,A138&amp;"¦"&amp;INDEX(_xlpm.nd,1)&amp;"¦"&amp;INDEX(_xlpm.nd,2),"")))</f>
        <v>ЩОВ-2¦QF8¦кабель ВВГнг(А)-LS (3х1,5) → Внутренний блок кондиционирования Технический этаж Пом. №002Т</v>
      </c>
      <c r="IO138" t="str">
        <f t="shared" si="392"/>
        <v>K.2.009A¦Внутренний блок кондиционирования Технический этаж Пом. №002Т</v>
      </c>
      <c r="IP138" t="str" cm="1">
        <f t="array" ref="IP138">IF(IM138="","",_xlfn.LET(_xlpm.nd,_xlfn.TEXTSPLIT(IM138,"|"),IF(COLUMNS(_xlpm.nd)&gt;2,A138&amp;"¦"&amp;INDEX(_xlpm.nd,2)&amp;"¦"&amp;INDEX(_xlpm.nd,3),"")))</f>
        <v/>
      </c>
      <c r="IQ138" t="str">
        <f t="shared" si="393"/>
        <v/>
      </c>
      <c r="IR138" t="str" cm="1">
        <f t="array" ref="IR138">IF(IM138="","",_xlfn.LET(_xlpm.nd,_xlfn.TEXTSPLIT(IM138,"|"),IF(COLUMNS(_xlpm.nd)&gt;3,A138&amp;"¦"&amp;INDEX(_xlpm.nd,3)&amp;"¦"&amp;INDEX(_xlpm.nd,4),"")))</f>
        <v/>
      </c>
      <c r="IS138" t="str">
        <f t="shared" si="394"/>
        <v/>
      </c>
      <c r="IT138" t="str" cm="1">
        <f t="array" ref="IT138">IF(IM138="","",_xlfn.LET(_xlpm.nd,_xlfn.TEXTSPLIT(IM138,"|"),IF(COLUMNS(_xlpm.nd)&gt;4,A138&amp;"¦"&amp;INDEX(_xlpm.nd,4)&amp;"¦"&amp;INDEX(_xlpm.nd,5),"")))</f>
        <v/>
      </c>
      <c r="IU138" t="str">
        <f t="shared" si="395"/>
        <v/>
      </c>
      <c r="IV138" t="str" cm="1">
        <f t="array" ref="IV138">IF(IM138="","",_xlfn.LET(_xlpm.nd,_xlfn.TEXTSPLIT(IM138,"|"),IF(COLUMNS(_xlpm.nd)&gt;5,A138&amp;"¦"&amp;INDEX(_xlpm.nd,5)&amp;"¦"&amp;INDEX(_xlpm.nd,6),"")))</f>
        <v/>
      </c>
      <c r="IW138" t="str">
        <f t="shared" si="396"/>
        <v/>
      </c>
      <c r="IX138" t="str" cm="1">
        <f t="array" ref="IX138">IF(IM138="","",_xlfn.LET(_xlpm.nd,_xlfn.TEXTSPLIT(IM138,"|"),IF(COLUMNS(_xlpm.nd)&gt;6,A138&amp;"¦"&amp;INDEX(_xlpm.nd,6)&amp;"¦"&amp;INDEX(_xlpm.nd,7),"")))</f>
        <v/>
      </c>
      <c r="IY138" t="str">
        <f t="shared" si="397"/>
        <v/>
      </c>
      <c r="IZ138" t="str">
        <f t="shared" si="398"/>
        <v/>
      </c>
      <c r="JA138" t="str">
        <f t="shared" si="399"/>
        <v>QF8</v>
      </c>
      <c r="JB138">
        <f t="shared" si="400"/>
        <v>0</v>
      </c>
      <c r="JC138">
        <f t="shared" si="401"/>
        <v>0</v>
      </c>
      <c r="JD138" t="str">
        <f t="shared" si="402"/>
        <v/>
      </c>
      <c r="JE138" t="str">
        <f t="shared" si="403"/>
        <v/>
      </c>
      <c r="JF138" t="str">
        <f t="shared" si="404"/>
        <v/>
      </c>
      <c r="JG138" t="str">
        <f t="shared" si="405"/>
        <v/>
      </c>
      <c r="JH138">
        <f>IF(B138="","",IFERROR(_xlfn.XLOOKUP(B138,Коды_код,Коды_уго),IFERROR(_xlfn.XLOOKUP(BC138,Коды_код,Коды_уго),IFERROR(_xlfn.XLOOKUP(LEFT(BC138,2),Коды_код,Коды_уго),""))))</f>
        <v>0</v>
      </c>
      <c r="JI138" t="str">
        <f>IF(B138="","",IF(OR(JH138="",JH138=0),"BOX",IFERROR(IF(VLOOKUP(JH138,УГО_блоки,3,FALSE)&amp;""&lt;&gt;"",VLOOKUP(JH138,УГО_блоки,3,FALSE),VLOOKUP(JH138,УГО_блоки,2,FALSE)),JH138)))</f>
        <v>BOX</v>
      </c>
      <c r="JJ138">
        <f t="shared" si="406"/>
        <v>1</v>
      </c>
      <c r="JK138" t="str">
        <f>IF(DQ138="","",IF(COUNTIF(DQ$3:DQ138,DQ138)=1,MAX(JK$2:JK137)+1,""))</f>
        <v/>
      </c>
      <c r="JL138" t="str">
        <f>IF(DE138="","",IF(COUNTIF(DE$3:DE138,DE138)+COUNTIF(DF$2:DF137,DE138)+COUNTIF(DG$2:DG137,DE138)=1,MAX(JL$2:JN137)+1,""))</f>
        <v/>
      </c>
      <c r="JM138" t="str">
        <f>IF(DF138="","",IF(COUNTIF(DE$3:DE138,DF138)+COUNTIF(DF$3:DF138,DF138)+COUNTIF(DG$2:DG137,DF138)=1,MAX(JL$2:JN137,JL138)+1,""))</f>
        <v/>
      </c>
      <c r="JN138" t="str">
        <f>IF(DG138="","",IF(COUNTIF(DE$3:DE138,DG138)+COUNTIF(DF$3:DF138,DG138)+COUNTIF(DG$3:DG138,DG138)=1,MAX(JL$2:JN137,JL138,JM138)+1,""))</f>
        <v/>
      </c>
      <c r="JO138" t="str">
        <f t="shared" si="407"/>
        <v>3х1,5</v>
      </c>
      <c r="JP138" t="str">
        <f>IF(JO138="","",IF(COUNTIF(JO$3:JO138,JO138)=1,MAX(JP$2:JP137)+1,""))</f>
        <v/>
      </c>
      <c r="JQ138" t="str">
        <f>IF(HG138="","",COUNTIF(HG$3:HG138,"?*"))</f>
        <v/>
      </c>
      <c r="JR138" t="str">
        <f>IF(OR(HG138="",HI138=""),"",IF(COUNTIFS(HG$3:HG138,"?*",HI$3:HI138,HI138)=1,MAX(JR$2:JR137)+1,""))</f>
        <v/>
      </c>
      <c r="JS138">
        <f t="shared" si="408"/>
        <v>0</v>
      </c>
      <c r="JT138">
        <f>IF(B138="","",COUNTIF(B$3:B138,"?*"))</f>
        <v>136</v>
      </c>
      <c r="JU138">
        <f>IF(HL138&lt;&gt;1,0,_xlfn.LET(_xlpm.k,MAX(IFERROR(--_xlfn.XLOOKUP(B138,Коды_код,Коды_3L),0),IFERROR(--_xlfn.XLOOKUP(BC138,Коды_код,Коды_3L),0),IFERROR(--_xlfn.XLOOKUP(LEFT(BC138,2),Коды_код,Коды_3L),0)),IF(_xlpm.k&gt;0,_xlpm.k,IF(IFERROR(--LEFT(SUBSTITUTE(JO138,"x","х"),FIND("х",SUBSTITUTE(JO138,"x","х"))-1),3)&gt;3,Каталог!$S$9,1))))</f>
        <v>1</v>
      </c>
      <c r="JV138">
        <f t="shared" si="409"/>
        <v>0</v>
      </c>
      <c r="JW138" t="str">
        <f t="shared" si="410"/>
        <v>авто</v>
      </c>
      <c r="JX138" t="str">
        <f t="shared" si="411"/>
        <v/>
      </c>
      <c r="JY138">
        <f t="shared" si="412"/>
        <v>0</v>
      </c>
      <c r="JZ138">
        <f t="shared" si="413"/>
        <v>1</v>
      </c>
    </row>
    <row r="139" spans="1:286" x14ac:dyDescent="0.3">
      <c r="A139" t="s">
        <v>751</v>
      </c>
      <c r="B139" t="s">
        <v>1448</v>
      </c>
      <c r="C139" t="s">
        <v>1685</v>
      </c>
      <c r="D139">
        <v>1</v>
      </c>
      <c r="E139">
        <v>0.222</v>
      </c>
      <c r="G139" t="str">
        <f>Линии[[#This Row],[_авто автомат]]</f>
        <v>1P С6А</v>
      </c>
      <c r="H139" t="str">
        <f>Линии[[#This Row],[_авто управление]]</f>
        <v/>
      </c>
      <c r="I139" t="str">
        <f>Линии[[#This Row],[_авто аппараты]]</f>
        <v/>
      </c>
      <c r="J139">
        <v>1.5</v>
      </c>
      <c r="K139">
        <v>17</v>
      </c>
      <c r="L139" t="str">
        <f>Линии[[#This Row],[_авто фаза]]</f>
        <v>L1</v>
      </c>
      <c r="M139" t="s">
        <v>484</v>
      </c>
      <c r="N139" t="str">
        <f t="shared" si="276"/>
        <v/>
      </c>
      <c r="O139" s="6" cm="1">
        <f t="array" ref="O139">IF(B139="","",IF(BH139&lt;&gt;"",IFERROR(_xlfn.XLOOKUP(BH139,Щиты[Щит],Щиты[Iр, А]),""),IF(BP139=1,IF(OR(N(_xlfn.XLOOKUP(A139,Щиты[Щит],Щиты[Вводов],1))&lt;=1,LOWER(TRIM(_xlfn.XLOOKUP(A139,Щиты[Щит],Щиты[АВР],"")&amp;""))="да"),IFERROR(_xlfn.XLOOKUP(A139,Щиты[Щит],Щиты[Iр, А]),""),IFERROR(N(BS139)*_xlfn.XLOOKUP(A139,Щиты[Щит],Щиты[Кс итог])/(SQRT(3)*Uн_лин*_xlfn.XLOOKUP(A139,Щиты[Щит],Щиты[cos φ])),"")),IF(BV139=1,IFERROR(BS139*1000/BU139,""),IFERROR(_xlfn.IFS(BX139=1,BS139/((Uн_лин/SQRT(3))*CE139),BX139=3,BS139/(SQRT(3)*Uн_лин*CE139)),"")))))</f>
        <v>1.2016102477509083</v>
      </c>
      <c r="P139" s="7">
        <f>IF(B139="","",IFERROR(IF(VLOOKUP(BC139,Потребители_обозначение,4,FALSE)=1,VLOOKUP(BC139,Потребители_обозначение,3,FALSE)*(MAX(1,N(D139))*2-1)+EI139+VLOOKUP(BE139,Этаж_обозначение,3,FALSE)+VLOOKUP(BE139,Этаж_обозначение,4,FALSE),VLOOKUP(BC139,Потребители_обозначение,3,FALSE)*(MAX(1,N(D139))*2-1)+EI139),EI139))</f>
        <v>19</v>
      </c>
      <c r="Q139" s="6">
        <f t="shared" si="277"/>
        <v>1.38</v>
      </c>
      <c r="R139" t="str">
        <f t="shared" si="278"/>
        <v>ВВГнг(А)-LS (3х1,5)</v>
      </c>
      <c r="S139" t="str">
        <f>IF(BM139="","",IF(BN139="вводной узел","узел ","")&amp;"л."&amp;(INT((BM139-1)/Столбцов_на_лист)+1)&amp;" / "&amp;(MOD(BM139-1,Столбцов_на_лист)+1))</f>
        <v>л.2 / 6</v>
      </c>
      <c r="T139" s="119">
        <f t="shared" si="279"/>
        <v>0.7</v>
      </c>
      <c r="U139" s="7" t="str">
        <f>IF(OR(CG139=0,N(BV139)+N(IB139)=0),"",ROUNDUP(Запас_БП*(N(HY139)+N(HZ139)),0))</f>
        <v/>
      </c>
      <c r="V139" s="119" t="str">
        <f t="shared" si="280"/>
        <v/>
      </c>
      <c r="W139" s="7" t="str">
        <f>IFERROR(IF(OR(B139="",BP139=1,BV139=1,NOT(ISNUMBER(EN139)),N(DT139)=0),"",MAX(0,ROUNDDOWN((c_min*(Uн_лин*1000/SQRT(3))/(HT139*N(DT139))-_xlfn.XLOOKUP(A139,Щиты[Щит],Щиты[Zпетли на шинах, Ом]))*EN139/(2*ρкз_Cu),0))),"")</f>
        <v/>
      </c>
      <c r="Y139" t="str">
        <f>Линии[[#This Row],[_авто утечка]]</f>
        <v/>
      </c>
      <c r="Z139">
        <v>1</v>
      </c>
      <c r="AA139">
        <v>230</v>
      </c>
      <c r="AB139" t="s">
        <v>598</v>
      </c>
      <c r="AC139">
        <v>0.5</v>
      </c>
      <c r="AG139" t="s">
        <v>810</v>
      </c>
      <c r="AI139" t="s">
        <v>576</v>
      </c>
      <c r="AK139" t="str">
        <f>Линии[[#This Row],[_авто модуль]]</f>
        <v/>
      </c>
      <c r="AM139">
        <v>23</v>
      </c>
      <c r="AN139" t="s">
        <v>11</v>
      </c>
      <c r="AO139">
        <v>3</v>
      </c>
      <c r="AQ139">
        <v>10</v>
      </c>
      <c r="AR139">
        <v>9</v>
      </c>
      <c r="AT139">
        <v>1</v>
      </c>
      <c r="BA139" cm="1">
        <f t="array" ref="BA139">ROW()-ROW(Линии[#Headers])</f>
        <v>137</v>
      </c>
      <c r="BC139" s="6" t="str">
        <f t="shared" si="281"/>
        <v>K</v>
      </c>
      <c r="BD139" t="str">
        <f t="shared" si="282"/>
        <v>2.014A</v>
      </c>
      <c r="BE139" t="str">
        <f t="shared" si="283"/>
        <v>2</v>
      </c>
      <c r="BF139" t="str">
        <f t="shared" si="284"/>
        <v>014A</v>
      </c>
      <c r="BG139" t="str">
        <f t="shared" si="285"/>
        <v>014A</v>
      </c>
      <c r="BH139" t="str">
        <f>IF(X139&lt;&gt;"",X139,IF(AND(B139&lt;&gt;"",B139&lt;&gt;A139,ISNUMBER(_xlfn.XMATCH(B139,Щиты[Щит]))),B139,""))</f>
        <v/>
      </c>
      <c r="BI139" t="str" cm="1">
        <f t="array" ref="BI139">IF(B139="","",IF(BH139&lt;&gt;"","Щит "&amp;BH139,_xlfn.LET(_xlpm.nm,IFERROR(_xlfn.XLOOKUP(BC139,Коды_код,Коды_имя)&amp;"",""),_xlpm.md,IFERROR(N(_xlfn.XLOOKUP(BC139,Коды_код,Коды_режим)),1),_xlpm.ex,IF(Имя_режим="по экспликации",IFERROR(_xlfn.XLOOKUP(BE139&amp;"|"&amp;BG139,Экспликация[Этаж]&amp;"|"&amp;Экспликация[Помещение],Экспликация[Название])&amp;"",""),""),_xlpm.rm,IF(BG139="","",IF(_xlpm.ex&lt;&gt;"",". "&amp;_xlpm.ex&amp;IF(Имя_пом="нет"," ("&amp;BG139&amp;")"," (пом. "&amp;BG139&amp;")"),IF(Имя_пом="нет"," ",", пом. ")&amp;BG139)),IF(_xlpm.nm="","",IF(_xlpm.md=2,_xlpm.nm&amp;" шлейф "&amp;BE139,_xlpm.nm&amp;_xlpm.rm)))))</f>
        <v>Внутренний блок кондиционирования, пом. 014A</v>
      </c>
      <c r="BJ139" t="str">
        <f t="shared" si="286"/>
        <v>Внутренний блок кондиционирования Технический этаж Пом. №002Т</v>
      </c>
      <c r="BK139">
        <f>IFERROR(_xlfn.XMATCH(A139,Щиты[Щит]),0)</f>
        <v>7</v>
      </c>
      <c r="BL139">
        <f>_xlfn.LET(_xlpm.k,IFERROR(_xlfn.XLOOKUP(A139,Щиты[Щит],Щиты[Мест под вводной узел]),""),IF(_xlpm.k="",Столбцов_на_лист,N(_xlpm.k)))</f>
        <v>12</v>
      </c>
      <c r="BM139">
        <f t="shared" si="287"/>
        <v>23</v>
      </c>
      <c r="BN139" t="str">
        <f t="shared" si="288"/>
        <v>линии</v>
      </c>
      <c r="BO139" s="6">
        <f>IFERROR(N(_xlfn.XLOOKUP(BC139,Коды_код,Коды_квт)),0)</f>
        <v>0</v>
      </c>
      <c r="BP139">
        <f t="shared" si="289"/>
        <v>0</v>
      </c>
      <c r="BQ139" t="str">
        <f>IF(B139="","",IF(BH139&lt;&gt;"",IFERROR(_xlfn.XLOOKUP(BH139,Щиты[Щит],Щиты[Руст, кВт]),0),IF(BP139=1,IF(OR(N(_xlfn.XLOOKUP(A139,Щиты[Щит],Щиты[Вводов],1))&lt;=1,LOWER(TRIM(_xlfn.XLOOKUP(A139,Щиты[Щит],Щиты[АВР],"")&amp;""))="да"),IFERROR(_xlfn.XLOOKUP(A139,Щиты[Щит],Щиты[Руст, кВт]),0),SUMIFS(Линии[_Р для вводов],Линии[Щит],A139,Линии[Источник для режимов],GF139)),IF(BO139&gt;0,ROUND(BO139*MAX(1,N(D139)),3),""))))</f>
        <v/>
      </c>
      <c r="BR139">
        <f t="shared" si="290"/>
        <v>0.222</v>
      </c>
      <c r="BS139" s="6">
        <f>IF(B139="","",IF(BH139&lt;&gt;"",IFERROR(_xlfn.XLOOKUP(BH139,Щиты[Щит],Щиты[Руст, кВт]),0),N(BR139)))</f>
        <v>0.222</v>
      </c>
      <c r="BT139" t="str">
        <f>IF(B139="","",IFERROR(IF(VLOOKUP(BC139,Потребители_обозначение,8,FALSE)=0,"",VLOOKUP(BC139,Потребители_обозначение,8,FALSE)),""))</f>
        <v/>
      </c>
      <c r="BU139">
        <f t="shared" si="291"/>
        <v>230</v>
      </c>
      <c r="BV139">
        <f t="shared" si="292"/>
        <v>0</v>
      </c>
      <c r="BW139">
        <f>IF(B139="","",IF(BH139&lt;&gt;"",3,IFERROR(IF(N(VLOOKUP(BC139,Потребители_обозначение,9,FALSE))=0,1,VLOOKUP(BC139,Потребители_обозначение,9,FALSE)),1)))</f>
        <v>1</v>
      </c>
      <c r="BX139">
        <f t="shared" si="293"/>
        <v>1</v>
      </c>
      <c r="BY139" t="str">
        <f>IF(B139="","",_xlfn.LET(_xlpm.bc,IFERROR(IF(VLOOKUP(BC139,Потребители_обозначение,6,FALSE)=0,"",VLOOKUP(BC139,Потребители_обозначение,6,FALSE)&amp;""),""),IF(AND(GA139="да",OR(_xlpm.bc="",_xlpm.bc="мс")),Марка_пож,IF(AND(_xlpm.bc="",BH139&lt;&gt;""),"мс",_xlpm.bc))))</f>
        <v/>
      </c>
      <c r="BZ139" t="str">
        <f t="shared" si="294"/>
        <v>мс</v>
      </c>
      <c r="CA139">
        <f>IF(B139="","",_xlfn.LET(_xlpm.cc,IFERROR(N(VLOOKUP(BC139,Потребители_обозначение,7,FALSE)),0),IF(_xlpm.cc&gt;0,_xlpm.cc,IF(BZ139="","",IF(BV139=1,2,IF(N(BX139)=3,5,3))))))</f>
        <v>3</v>
      </c>
      <c r="CB139">
        <f t="shared" si="295"/>
        <v>3</v>
      </c>
      <c r="CC139">
        <f>IFERROR(N(VLOOKUP(BC139,Потребители_обозначение,10,FALSE)),0)</f>
        <v>0</v>
      </c>
      <c r="CD139">
        <f>IFERROR(VLOOKUP(BC139,Потребители_обозначение,5,FALSE),0)</f>
        <v>1</v>
      </c>
      <c r="CE139" s="6" cm="1">
        <f t="array" ref="CE139">IF(B139="","",IF(BH139&lt;&gt;"",IFERROR(_xlfn.XLOOKUP(BH139,Щиты[Щит],Щиты[cos φ]),0.95),IF(BP139=1,IFERROR(_xlfn.XLOOKUP(A139,Щиты[Щит],Щиты[cos φ]),0.95),IF(ISNUMBER(AD139),AD139,IFERROR(IF(CD139=2,_xlfn.IFS(BX139=3,VLOOKUP(BS139,Справочная_двигатели,8,FALSE),BX139=1,VLOOKUP(BS139,Справочная_двигатели,10,TRUE)),IF(AND(Методика="нормы 2026",FG139="Сил"),0.8,0.95)),0.95)))))</f>
        <v>0.8</v>
      </c>
      <c r="CF139">
        <f t="shared" si="296"/>
        <v>0</v>
      </c>
      <c r="CG139">
        <f t="shared" si="297"/>
        <v>1</v>
      </c>
      <c r="CH139">
        <f t="shared" si="298"/>
        <v>0</v>
      </c>
      <c r="CI139">
        <f>IF(B139="","",IF(BV139=1,IFERROR(BS139/((Uн_лин/SQRT(3))*MAX(0.5,N(CE139))),0),N(O139)))</f>
        <v>1.2016102477509083</v>
      </c>
      <c r="CJ139">
        <f t="shared" si="299"/>
        <v>0</v>
      </c>
      <c r="CK139">
        <f t="shared" si="300"/>
        <v>0</v>
      </c>
      <c r="CL139">
        <f t="shared" si="301"/>
        <v>0</v>
      </c>
      <c r="CM139">
        <f t="shared" si="302"/>
        <v>0</v>
      </c>
      <c r="CN139">
        <f t="shared" si="303"/>
        <v>0</v>
      </c>
      <c r="CO139">
        <f>IF(BC139="",0,_xlfn.LET(_xlpm.v,IFERROR(_xlfn.XLOOKUP(B139,Коды_код,Коды_мА),IFERROR(_xlfn.XLOOKUP(BC139,Коды_код,Коды_мА),IFERROR(_xlfn.XLOOKUP(LEFT(BC139,2),Коды_код,Коды_мА),""))),IF(_xlpm.v="да",30,IF(ISNUMBER(_xlpm.v),_xlpm.v,0))))</f>
        <v>0</v>
      </c>
      <c r="CP139" t="str">
        <f t="shared" si="304"/>
        <v/>
      </c>
      <c r="CQ139" t="str">
        <f>_xlfn.LET(_xlpm.k,IFERROR(_xlfn.XLOOKUP(BC139,Коды_код,Коды_утечка)&amp;"",""),IF(_xlpm.k="","дифавтомат",_xlpm.k))</f>
        <v>дифавтомат</v>
      </c>
      <c r="CR139" t="str" cm="1">
        <f t="array" ref="CR139">IF(CG139=0,"",_xlfn.LET(_xlpm.sg,TRIM(_xlfn.TEXTSPLIT(DD139&amp;"",";")),_xlpm.f_,_xlfn._xlws.FILTER(_xlpm.sg,LEFT(_xlpm.sg,3)="УЗО",""),IFERROR(INDEX(_xlpm.f_,1)&amp;"","")))</f>
        <v/>
      </c>
      <c r="CS139" t="str">
        <f t="shared" si="305"/>
        <v/>
      </c>
      <c r="CT139" s="6" t="str" cm="1">
        <f t="array" ref="CT139">IF(CR139="","",_xlfn.LET(_xlpm.tk,_xlfn.TEXTSPLIT(UPPER(CR139)," ",,TRUE),_xlpm.a_,_xlfn._xlws.FILTER(_xlpm.tk,ISNUMBER(--LEFT(_xlpm.tk,1))*((ISNUMBER(SEARCH("А",_xlpm.tk))+ISNUMBER(SEARCH("A",_xlpm.tk)))&gt;0)*NOT(ISNUMBER(SEARCH("МА",_xlpm.tk)))*NOT(ISNUMBER(SEARCH("MA",_xlpm.tk))),""),IFERROR(--SUBSTITUTE(SUBSTITUTE(INDEX(_xlpm.a_,1),"А",""),"A",""),"")))</f>
        <v/>
      </c>
      <c r="CU139" t="str" cm="1">
        <f t="array" ref="CU139">IF(CR139="","",_xlfn.LET(_xlpm.tk,_xlfn.TEXTSPLIT(UPPER(CR139)," ",,TRUE),_xlpm.a_,_xlfn._xlws.FILTER(_xlpm.tk,ISNUMBER(--LEFT(_xlpm.tk,1))*((ISNUMBER(SEARCH("МА",_xlpm.tk))+ISNUMBER(SEARCH("MA",_xlpm.tk)))&gt;0),""),IFERROR(--SUBSTITUTE(SUBSTITUTE(INDEX(_xlpm.a_,1),"МА",""),"MA",""),30)))</f>
        <v/>
      </c>
      <c r="CV139" t="str">
        <f>IF(CS139="","",IFERROR(_xlfn.XLOOKUP(CS139,Линии[_n],Линии[_УЗО, мА]),30))</f>
        <v/>
      </c>
      <c r="CW139">
        <f>IF(CS139="",0,IF(ISNUMBER(SEARCH("4P",IFERROR(_xlfn.XLOOKUP(CS139,Линии[_n],Линии[_УЗО строки])&amp;"",""))),0,1))</f>
        <v>0</v>
      </c>
      <c r="CX139" t="str">
        <f>IF(AND(CS139&lt;&gt;"",CS139=BA139),SUMIFS(Линии[_ток на 230 В],Линии[_блок УЗО],BA139,Линии[Щит],A139),"")</f>
        <v/>
      </c>
      <c r="CY139" t="str">
        <f>IF(AND(CS139&lt;&gt;"",CS139=BA139),SUMIFS(Линии[_ток утечки линии, мА],Линии[_блок УЗО],BA139,Линии[Щит],A139),"")</f>
        <v/>
      </c>
      <c r="CZ139">
        <f t="shared" si="306"/>
        <v>0</v>
      </c>
      <c r="DA139">
        <f t="shared" si="307"/>
        <v>0</v>
      </c>
      <c r="DB139">
        <f>IF(B139="",0,IFERROR(--_xlfn.XLOOKUP(B139,Коды_код,Коды_минавт),IFERROR(--_xlfn.XLOOKUP(BC139,Коды_код,Коды_минавт),IFERROR(--_xlfn.XLOOKUP(LEFT(BC139,2),Коды_код,Коды_минавт),0))))</f>
        <v>0</v>
      </c>
      <c r="DC139" t="str">
        <f>IF(B139="","",IFERROR(_xlfn.XLOOKUP(BC139,Коды_код,Коды_апп)&amp;"",""))</f>
        <v/>
      </c>
      <c r="DD139" t="str">
        <f t="shared" si="308"/>
        <v/>
      </c>
      <c r="DE139" t="str" cm="1">
        <f t="array" ref="DE139">IF(TRIM(DD139&amp;"")="","",IFERROR(TRIM(INDEX(_xlfn.TEXTSPLIT(DD139&amp;";;;",";"),1)),""))</f>
        <v/>
      </c>
      <c r="DF139" t="str" cm="1">
        <f t="array" ref="DF139">IF(TRIM(DD139&amp;"")="","",IFERROR(TRIM(INDEX(_xlfn.TEXTSPLIT(DD139&amp;";;;",";"),2)),""))</f>
        <v/>
      </c>
      <c r="DG139" t="str" cm="1">
        <f t="array" ref="DG139">IF(TRIM(DD139&amp;"")="","",IFERROR(TRIM(INDEX(_xlfn.TEXTSPLIT(DD139&amp;";;;",";"),3)),""))</f>
        <v/>
      </c>
      <c r="DH139">
        <f t="shared" si="309"/>
        <v>0</v>
      </c>
      <c r="DI139" t="str">
        <f>IF(B139="","",_xlfn.LET(_xlpm.t,LOWER(AZ139&amp;""),IF(ISNUMBER(SEARCH("dim",_xlpm.t)),"DIM",IF(ISNUMBER(SEARCH("dali",_xlpm.t)),"DALI",IF(OR(ISNUMBER(SEARCH("relay",_xlpm.t)),ISNUMBER(SEARCH("реле",_xlpm.t))),"Relay",IF(ISNUMBER(SEARCH("кнопк",_xlpm.t)),"",IFERROR(_xlfn.XLOOKUP(BC139,Коды_код,Коды_упр)&amp;"","")))))))</f>
        <v/>
      </c>
      <c r="DJ139" t="str">
        <f t="shared" si="310"/>
        <v/>
      </c>
      <c r="DK139">
        <f>IF(B139="","",_xlfn.LET(_xlpm.ig,IF(N(CX139)&gt;0,N(CX139),N(CI139)+IF(AJ139="вручную",0,N(CJ139))),_xlpm.n0,IFERROR(VLOOKUP(_xlpm.ig,Автомат_номиналы,2,TRUE),0),_xlpm.mn,MAX(DB139,IF(AJ139="вручную",0,N(CM139))),MAX(_xlpm.n0,_xlpm.mn,IF(DH139=1,Мин_автомат_БП,0))))</f>
        <v>6</v>
      </c>
      <c r="DL139">
        <f t="shared" si="311"/>
        <v>1</v>
      </c>
      <c r="DM139" t="str">
        <f t="shared" si="312"/>
        <v>1P</v>
      </c>
      <c r="DN139" t="str">
        <f>_xlfn.LET(_xlpm.cc,UPPER(TRIM(IFERROR(_xlfn.XLOOKUP(BC139,Коды_код,Коды_хар)&amp;"",""))),IF(OR(_xlpm.cc="B",_xlpm.cc="В"),"B",IF(_xlpm.cc="D","D","С")))</f>
        <v>С</v>
      </c>
      <c r="DO139" t="str">
        <f t="shared" si="313"/>
        <v>1P С6А</v>
      </c>
      <c r="DP139" t="str">
        <f t="shared" si="314"/>
        <v>1P С6А</v>
      </c>
      <c r="DQ139" t="str">
        <f t="shared" si="315"/>
        <v>1P С6А</v>
      </c>
      <c r="DR139" cm="1">
        <f t="array" ref="DR139">IF(DQ139="","",_xlfn.LET(_xlpm.t,SUBSTITUTE(SUBSTITUTE(SUBSTITUTE(UPPER(DQ139),"С","C"),"А","A"),"В","B"),_xlpm.tk,_xlfn.TEXTSPLIT(_xlpm.t," "),_xlpm.f,_xlfn._xlws.FILTER(_xlpm.tk,ISNUMBER(--MID(_xlpm.tk,2,1))*ISNUMBER(SEARCH(LEFT(_xlpm.tk,1)&amp;"#","B#C#D#"))*(LEN(_xlpm.tk)&gt;1),""),_xlpm.x,INDEX(_xlpm.f,1),IFERROR(--SUBSTITUTE(MID(_xlpm.x,2,9),"A",""),IFERROR(--SUBSTITUTE(INDEX(_xlfn._xlws.FILTER(_xlpm.tk,ISNUMBER(--SUBSTITUTE(_xlpm.tk,"A","")),""),1),"A",""),""))))</f>
        <v>6</v>
      </c>
      <c r="DS139" t="str">
        <f t="shared" si="316"/>
        <v>ok</v>
      </c>
      <c r="DT139">
        <f t="shared" si="317"/>
        <v>6</v>
      </c>
      <c r="DU139" t="str">
        <f t="shared" si="318"/>
        <v>1P С6А</v>
      </c>
      <c r="DV139">
        <f t="shared" si="319"/>
        <v>0</v>
      </c>
      <c r="DW139">
        <f t="shared" si="320"/>
        <v>0</v>
      </c>
      <c r="DX139">
        <f t="shared" si="321"/>
        <v>0</v>
      </c>
      <c r="DY139">
        <f t="shared" si="322"/>
        <v>1.2016102477509083</v>
      </c>
      <c r="DZ139">
        <f t="shared" si="323"/>
        <v>1</v>
      </c>
      <c r="EA139">
        <f>IF(ISNUMBER(AP139),AP139,К_прокл)</f>
        <v>1</v>
      </c>
      <c r="EB139">
        <f t="shared" si="324"/>
        <v>2</v>
      </c>
      <c r="EC139">
        <f>IFERROR(N(VLOOKUP(BZ139,Кабель_обозначение,3,FALSE)),1)</f>
        <v>1</v>
      </c>
      <c r="ED139">
        <f>IFERROR(N(_xlfn.XLOOKUP(A139,Щиты[Щит],Щиты[ΔU до шин, %])),0)</f>
        <v>1.1399999999999999</v>
      </c>
      <c r="EE139" t="str">
        <f>IFERROR(_xlfn.XLOOKUP(A139,Щиты[Щит],Щиты[Zпетли на шинах, Ом]),"")</f>
        <v/>
      </c>
      <c r="EF139">
        <f>IFERROR(N(_xlfn.XLOOKUP(A139,Щиты[Щит],Щиты[ΔU до шин (подбор), %])),0)</f>
        <v>1.82</v>
      </c>
      <c r="EG139" t="str">
        <f>IFERROR(_xlfn.XLOOKUP(A139,Щиты[Щит],Щиты[Zпетли на шинах (подбор), Ом]),"")</f>
        <v/>
      </c>
      <c r="EH139" t="str">
        <f t="shared" si="325"/>
        <v/>
      </c>
      <c r="EI139">
        <f t="shared" si="326"/>
        <v>17</v>
      </c>
      <c r="EJ139">
        <f t="shared" si="327"/>
        <v>2</v>
      </c>
      <c r="EK139">
        <f t="shared" si="328"/>
        <v>0.6</v>
      </c>
      <c r="EL139" s="6">
        <f>IF(B139="","",IF(BV139=1,dU_LED,IF(IFERROR(_xlfn.XLOOKUP(BC139,Коды_код,Коды_уго),"")="Светильник",3,4)+IF(Методика="нормы 2026",MIN(0.5,MAX(0,N(P139)-100)*0.005),0)))</f>
        <v>4</v>
      </c>
      <c r="EM139" cm="1">
        <f t="array" ref="EM139">IF(OR(B139="",BZ139="",EC139&lt;&gt;1),"",_xlfn.LET(_xlpm.sz,Iдоп_S,_xlpm.t_,CHOOSE(EB139,Iдоп_1ж,Iдоп_2ж,Iдоп_3ж)*DZ139*EA139,_xlpm.dcx,BV139=1,_xlpm.inn,IF(_xlpm.dcx,N(O139),N(DT139)),_xlpm.smin,MAX(1.5,CC139),_xlpm.L_,N(P139)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139)/N(BU139)*100,999),IFERROR(N(EJ139)*(_xlpm.rho*_xlpm.L_/_xlpm.sz*N(CE139)+_xlpm.xx*_xlpm.L_*N(EK139)/1000)*N(O139)/((Uн_лин/SQRT(3))*1000)*100,999)),_xlpm.kz,IF(OR(_xlpm.dcx,DW139=1,NOT(ISNUMBER(EG139)),_xlpm.L_=0,_xlpm.inn=0),1,IFERROR(--(c_min*(Uн_лин*1000/SQRT(3))/(EG139+2*ρкз_Cu*_xlpm.L_/_xlpm.sz)&gt;=HT139*_xlpm.inn),0)),_xlpm.ok,IFERROR((_xlpm.sz&gt;=_xlpm.smin)*(_xlpm.t_&gt;=_xlpm.inn)*IF(_xlpm.L_&gt;0,(_xlpm.du_+IF(_xlpm.dcx,0,EF139)&lt;=EL139+0.00001),1)*_xlpm.kz,0),_xlpm.r_,_xlfn._xlws.FILTER(_xlpm.sz,_xlpm.ok,"не подобрано"),INDEX(_xlpm.r_,1)))</f>
        <v>1.5</v>
      </c>
      <c r="EN139">
        <f t="shared" si="329"/>
        <v>1.5</v>
      </c>
      <c r="EO139" cm="1">
        <f t="array" ref="EO139">IF(OR(B139="",BZ139="",EC139&lt;&gt;1),"",_xlfn.LET(_xlpm.sz,Iдоп_S,_xlpm.t_,CHOOSE(EB139,Iдоп_1ж,Iдоп_2ж,Iдоп_3ж)*DZ139*EA139,_xlpm.ok,IFERROR((_xlpm.sz&gt;=MAX(1.5,CC139))*(_xlpm.t_&gt;=N(DT139)),0),_xlpm.r_,_xlfn._xlws.FILTER(_xlpm.sz,_xlpm.ok,""),INDEX(_xlpm.r_,1)))</f>
        <v>1.5</v>
      </c>
      <c r="EP139" s="6" cm="1">
        <f t="array" ref="EP139">IFERROR(ROUNDUP(N(EJ139)*(_xlfn.XLOOKUP(EO139,INDEX(Кабель_сопротивление,0,1),INDEX(Кабель_сопротивление,0,3))*N(P139)/EO139*N(CE139)+_xlfn.XLOOKUP(EO139,INDEX(Кабель_сопротивление,0,1),INDEX(Кабель_сопротивление,0,2))*N(P139)*N(EK139)/1000)*N(O139)/((Uн_лин/SQRT(3))*1000)*100,2),"")</f>
        <v>0.24000000000000002</v>
      </c>
      <c r="EQ139">
        <f>IFERROR(2*ρкз_Cu*N(P139)/EO139,"")</f>
        <v>0.66626666666666667</v>
      </c>
      <c r="ER139">
        <f>IFERROR(VLOOKUP(EN139,Кабель_сопротивление,3,FALSE),"")</f>
        <v>2.2499999999999999E-2</v>
      </c>
      <c r="ES139">
        <f>IFERROR(VLOOKUP(EN139,Кабель_сопротивление,2,FALSE),"")</f>
        <v>0.11</v>
      </c>
      <c r="ET139">
        <f t="shared" si="330"/>
        <v>9</v>
      </c>
      <c r="EU139">
        <f t="shared" si="331"/>
        <v>0</v>
      </c>
      <c r="EV139">
        <f t="shared" si="332"/>
        <v>0.55094791147577338</v>
      </c>
      <c r="EW139" s="6">
        <f>IFERROR(ROUNDUP(EV139/IF(BV139=1,BU139,(Uн_лин/SQRT(3))*1000)*100,2),"")</f>
        <v>0.24000000000000002</v>
      </c>
      <c r="EX139" t="str">
        <f>IFERROR(VLOOKUP(BZ139,Кабель_обозначение,2,FALSE),"")</f>
        <v>ВВГнг(А)-LS</v>
      </c>
      <c r="EY139" t="str">
        <f t="shared" si="333"/>
        <v>ВВГнг(А)-LS (3х1,5)</v>
      </c>
      <c r="EZ139" t="str">
        <f t="shared" si="334"/>
        <v>ВВГнг(А)-LS (3х1,5)
L=19-0,24%</v>
      </c>
      <c r="FA139">
        <f>IFERROR(2*ρкз_Cu*P139/EN139,"")</f>
        <v>0.66626666666666667</v>
      </c>
      <c r="FB139">
        <f t="shared" si="335"/>
        <v>0.22166666666666668</v>
      </c>
      <c r="FC139" s="6" t="str">
        <f>IFERROR(IF(OR(B139="",BV139=1,NOT(ISNUMBER(EN139)),N(P139)=0),"",_xlfn.XLOOKUP(A139,Щиты[Щит],Щиты[Zпетли на шинах, Ом])+FA139),"")</f>
        <v/>
      </c>
      <c r="FD139" s="6" t="str">
        <f>IF(ISNUMBER(FC139),c_min*(Uн_лин*1000/SQRT(3))/FC139,"")</f>
        <v/>
      </c>
      <c r="FE139" s="6" t="str">
        <f>IFERROR(IF(OR(B139="",NOT(ISNUMBER(EN139))),"",1.05*(Uн_лин*1000/SQRT(3))/(_xlfn.XLOOKUP(A139,Щиты[Щит],Щиты[Zmax на шинах, Ом])+FB139)/1000),"")</f>
        <v/>
      </c>
      <c r="FF139" s="6" t="str">
        <f>IF(B139="","",IF(ISNUMBER(AC139),"Сил",IF(IFERROR(_xlfn.XLOOKUP(BC139,Коды_код,Коды_группа)&amp;"","")="","Быт",_xlfn.XLOOKUP(BC139,Коды_код,Коды_группа)&amp;"")))</f>
        <v>Сил</v>
      </c>
      <c r="FG139" s="6" t="str">
        <f t="shared" si="336"/>
        <v>Сил</v>
      </c>
      <c r="FH139" s="6">
        <f>IF(FG139="Щит","щит",IF(FG139="","",IF(FG139="Быт",IFERROR(_xlfn.XLOOKUP(A139,Щиты[Щит],Щиты[Кс быт]),1),IF(FG139="Сил",IF(ISNUMBER(AC139),AC139,IF(Методика="нормы 2026",IFERROR(_xlfn.XLOOKUP(A139,Щиты[Щит],Щиты[Кс силовых (табл. 7.5)]),1),1)),IF(OR(FG139="Пост",FG139="Отоп"),1,IF(FG139="ВНГ",0.7,0))))))</f>
        <v>0.5</v>
      </c>
      <c r="FI139">
        <f>IF(FG139="","",IF(AND(BP139=1,TRIM(AE139&amp;"")=""),IF(COUNTIFS(Линии[Щит],A139,Линии[Секция (1/2/3)],"&gt;=2")&gt;0,MIN(3,MAX(1,IFERROR(--BD139,1))),1),IFERROR(MIN(3,MAX(1,INT(--AE139))),1)))</f>
        <v>1</v>
      </c>
      <c r="FJ139">
        <f t="shared" si="337"/>
        <v>0.222</v>
      </c>
      <c r="FK139">
        <f t="shared" si="338"/>
        <v>0</v>
      </c>
      <c r="FL139">
        <f t="shared" si="339"/>
        <v>0.111</v>
      </c>
      <c r="FM139">
        <f t="shared" si="340"/>
        <v>0</v>
      </c>
      <c r="FN139">
        <f t="shared" si="341"/>
        <v>0</v>
      </c>
      <c r="FO139">
        <f t="shared" si="342"/>
        <v>0</v>
      </c>
      <c r="FP139">
        <f t="shared" si="343"/>
        <v>0.222</v>
      </c>
      <c r="FQ139">
        <f t="shared" si="344"/>
        <v>0.222</v>
      </c>
      <c r="FR139">
        <f t="shared" si="345"/>
        <v>0.17760000000000001</v>
      </c>
      <c r="FS139">
        <f>IF(CG139=1,IF(AND(CH139=1,CW139=1),0,IF(AND(CS139&lt;&gt;"",CS139=BA139,CW139=1),SUMIFS(Линии[_Р линии, кВт],Линии[_блок УЗО],BA139,Линии[Щит],A139),N(BS139)+IF(AJ139="вручную",0,N(CK139)))),0)</f>
        <v>0.222</v>
      </c>
      <c r="FT139" t="str">
        <f t="shared" si="346"/>
        <v/>
      </c>
      <c r="FU139" t="str">
        <f>IF(B139="","",IF(CG139=0,IF(BA139=1,"",FW138),IF(AND(CH139=1,CW139=1,CS139&lt;&gt;""),IFERROR(_xlfn.XLOOKUP(CS139,Линии[_n],Линии[_фаза итог]),"L1"),IF(OR(N(DL139)&gt;=3,N(BX139)&gt;=3),"L1,L2,L3",IFERROR(_xlfn.TEXTBEFORE(_xlfn.TEXTAFTER(_xlfn.XLOOKUP(A139,Щиты[Щит],Щиты[_фазы авто]),";"&amp;BA139&amp;":"),";"),"L1")))))</f>
        <v>L1</v>
      </c>
      <c r="FV139" t="str">
        <f t="shared" si="347"/>
        <v>L1</v>
      </c>
      <c r="FW139" t="str">
        <f t="shared" si="348"/>
        <v>L1</v>
      </c>
      <c r="FX139" cm="1">
        <f t="array" ref="FX139">IFERROR(IF(CD139=2,_xlfn.IFS(BX139=3,VLOOKUP(BS139,Справочная_двигатели,3,FALSE),BX139=1,VLOOKUP(BS139,Справочная_двигатели,5,TRUE)),0),0)</f>
        <v>0</v>
      </c>
      <c r="FY139">
        <f>IFERROR(IF(CD139=3,VLOOKUP(BS139,Справочная_ЛЭД,2,TRUE),0),0)</f>
        <v>0</v>
      </c>
      <c r="FZ139" s="6">
        <f t="shared" si="349"/>
        <v>0</v>
      </c>
      <c r="GA139" t="str">
        <f>IF(B139="","",IF(TRIM(AH139&amp;"")&lt;&gt;"",IF(LOWER(TRIM(AH139&amp;""))="да","да","нет"),IF(IFERROR(_xlfn.XLOOKUP(BC139,Коды_код,Коды_пожарная),"")="да","да","нет")))</f>
        <v>нет</v>
      </c>
      <c r="GB139" t="str">
        <f t="shared" si="350"/>
        <v/>
      </c>
      <c r="GC139" t="str">
        <f t="shared" si="351"/>
        <v>основная</v>
      </c>
      <c r="GD139">
        <f>IF(AND(BP139=1,TRIM(AE139&amp;"")=""),IF(COUNTIFS(Линии[Щит],A139,Линии[Секция (1/2/3)],"&gt;=2")&gt;0,MIN(3,MAX(1,IFERROR(--BD139,1))),1),IFERROR(MIN(3,MAX(1,INT(--AE139))),1))</f>
        <v>1</v>
      </c>
      <c r="GE139" t="str" cm="1">
        <f t="array" ref="GE139">IF(B139="","",_xlfn.LET(_xlpm.t,IFERROR(_xlfn.XLOOKUP(1,(Шины[Шина]=GC139)*(((Шины[Щит]=A139)+(Шины[Щит]=""))&gt;0),Шины[Тип]),"")&amp;"",IF(_xlpm.t&lt;&gt;"",_xlpm.t,IF(ISNUMBER(SEARCH("ИБП",GC139)),"ИБП",IF(ISNUMBER(SEARCH("ДГУ",GC139)),"ДГУ","Ввод "&amp;GD139)))))</f>
        <v>Ввод 1</v>
      </c>
      <c r="GF139" t="str">
        <f t="shared" si="352"/>
        <v>Ввод 1</v>
      </c>
      <c r="GG139" t="str">
        <f>IF(BP139=0,"",IF(TRIM(AG139&amp;"")&lt;&gt;"",TRIM(AG139&amp;""),IF(OR(GE139="ИБП",GE139="ДГУ"),"I особая",_xlfn.XLOOKUP(A139,Щиты[Щит],Щиты[Категория шины «Ввод»],"III"))))</f>
        <v/>
      </c>
      <c r="GH139" t="str">
        <f>IF(A139="","",_xlfn.XLOOKUP(A139,Щиты[Щит],Щиты[Путь],""))</f>
        <v>|ГРЩ-ЖД|ЩОВ-2|</v>
      </c>
      <c r="GI139" t="str">
        <f>IF(B139="","",IF(AI139&lt;&gt;"",AI139,IF(IFERROR(_xlfn.XLOOKUP(BC139,Коды_код,Коды_вид)&amp;"","")="","Прочее",_xlfn.XLOOKUP(BC139,Коды_код,Коды_вид)&amp;"")))</f>
        <v>Кондиционирование и увлажнение</v>
      </c>
      <c r="GJ139">
        <f>IF(BM139="","",INT((BM139-1)/Столбцов_на_лист)+1)</f>
        <v>2</v>
      </c>
      <c r="GK139" t="str">
        <f t="shared" si="353"/>
        <v>ВВГнг(А)-LS (3х1,5) L=19-0,24%</v>
      </c>
      <c r="GL139">
        <f t="shared" si="354"/>
        <v>0.222</v>
      </c>
      <c r="GM139">
        <f t="shared" si="355"/>
        <v>1.21</v>
      </c>
      <c r="GN139">
        <f t="shared" si="356"/>
        <v>1</v>
      </c>
      <c r="GO139">
        <f t="shared" si="357"/>
        <v>0</v>
      </c>
      <c r="GP139">
        <f t="shared" si="358"/>
        <v>1</v>
      </c>
      <c r="GQ139">
        <f>IF(BM139="","",IF(AND(CG139=1,GP139=1),COUNTIFS(A$3:A139,A139,CG$3:CG139,1,GP$3:GP139,1),IF(OR(OR(BA139=1,A139&lt;&gt;A138),AJ139="вручную",GP139=0),"",IF(BA139=1,"",GR138))))</f>
        <v>9</v>
      </c>
      <c r="GR139">
        <f t="shared" si="359"/>
        <v>9</v>
      </c>
      <c r="GS139">
        <f>IF(B139="","",IFERROR(LOOKUP(INDEX(CHOOSE(EB139,Iдоп_1ж,Iдоп_2ж,Iдоп_3ж),MATCH(EN139,Iдоп_S,0))*DZ139*EA139,{6,10,16,20,25,32,40,50,63,80,100,125,160,200,250,315,400,500,630}),""))</f>
        <v>16</v>
      </c>
      <c r="GT139" t="str">
        <f t="shared" si="360"/>
        <v>QF9</v>
      </c>
      <c r="GU139" t="str">
        <f t="shared" si="361"/>
        <v>QF9</v>
      </c>
      <c r="GV139" t="str">
        <f t="shared" si="362"/>
        <v/>
      </c>
      <c r="GW139">
        <f t="shared" si="363"/>
        <v>0</v>
      </c>
      <c r="GX139" t="str">
        <f>IF(OR(B139="",DJ139=""),"",IFERROR(_xlfn.XLOOKUP(DJ139,Модули_умолч[Управление],Модули_умолч[Модель])&amp;"",""))</f>
        <v/>
      </c>
      <c r="GY139">
        <f>IF(DJ139="",1,IFERROR(MAX(0,N(_xlfn.XLOOKUP(DJ139,Модули_умолч[Управление],Модули_умолч[Каналов на линию]))),1))</f>
        <v>1</v>
      </c>
      <c r="GZ139" t="str">
        <f t="shared" si="364"/>
        <v/>
      </c>
      <c r="HA139" t="str">
        <f t="shared" si="365"/>
        <v/>
      </c>
      <c r="HB139" t="str">
        <f t="shared" si="366"/>
        <v/>
      </c>
      <c r="HC139">
        <f>IF(HB139="",0,IFERROR(N(VLOOKUP(HB139,Модули_спр,3,FALSE)),0))</f>
        <v>0</v>
      </c>
      <c r="HD139" t="str">
        <f t="shared" si="367"/>
        <v/>
      </c>
      <c r="HE139" t="str">
        <f t="shared" si="368"/>
        <v/>
      </c>
      <c r="HF139" t="str">
        <f>IF(OR(HE139="",HE139="-"),"",IFERROR(VLOOKUP(HE139,Модули_спр,2,FALSE),"R"))</f>
        <v/>
      </c>
      <c r="HG139" t="str">
        <f>IF(HF139="","",HF139&amp;"."&amp;COUNTIFS(A$3:A139,A139,HF$3:HF139,HF139))</f>
        <v/>
      </c>
      <c r="HH139" t="str">
        <f t="shared" si="369"/>
        <v/>
      </c>
      <c r="HI139" t="str">
        <f t="shared" si="370"/>
        <v/>
      </c>
      <c r="HJ139" t="str">
        <f t="shared" si="371"/>
        <v/>
      </c>
      <c r="HK139" t="str">
        <f t="shared" si="372"/>
        <v/>
      </c>
      <c r="HL139">
        <f t="shared" si="373"/>
        <v>1</v>
      </c>
      <c r="HM139" t="str">
        <f>IF(HL139=1,"XT"&amp;COUNTIFS(A$3:A139,A139,HL$3:HL139,1),"")</f>
        <v>XT9</v>
      </c>
      <c r="HN139" t="str">
        <f t="shared" si="374"/>
        <v/>
      </c>
      <c r="HO139" t="str">
        <f t="shared" si="375"/>
        <v>QF9</v>
      </c>
      <c r="HP139" t="str">
        <f t="shared" si="376"/>
        <v/>
      </c>
      <c r="HQ139" t="str">
        <f t="shared" si="377"/>
        <v>ok</v>
      </c>
      <c r="HR139" t="str">
        <f>IF(OR(HJ139="",HH139=""),"",IF(HJ139+MAX(0,GY139-1)&gt;IFERROR(VLOOKUP(HI139,Модули_спр,3,FALSE),99),"ЛИШНИЙ КАНАЛ",IF(AND(AL139&lt;&gt;"=",GY139&gt;0,COUNTIFS(Линии[_модуль гр.],HH139,Линии[Канал (итог)],HJ139,Линии[Канал],"&lt;&gt;=",Линии[Щит],A139)&gt;1),"ДУБЛЬ КАНАЛА","")))</f>
        <v/>
      </c>
      <c r="HS139" s="6" t="str">
        <f t="shared" si="378"/>
        <v/>
      </c>
      <c r="HT139">
        <f t="shared" si="379"/>
        <v>10</v>
      </c>
      <c r="HU139" t="str">
        <f t="shared" si="380"/>
        <v/>
      </c>
      <c r="HV139">
        <f t="shared" si="381"/>
        <v>0.67064409910036327</v>
      </c>
      <c r="HW139">
        <f t="shared" si="382"/>
        <v>0</v>
      </c>
      <c r="HX139">
        <f t="shared" si="383"/>
        <v>0</v>
      </c>
      <c r="HY139">
        <f t="shared" si="384"/>
        <v>0</v>
      </c>
      <c r="HZ139">
        <f t="shared" si="385"/>
        <v>0</v>
      </c>
      <c r="IA139">
        <f t="shared" si="386"/>
        <v>0</v>
      </c>
      <c r="IB139">
        <f t="shared" si="387"/>
        <v>0</v>
      </c>
      <c r="IC139" t="str">
        <f t="shared" si="388"/>
        <v/>
      </c>
      <c r="ID139" t="str" cm="1">
        <f t="array" ref="ID139">IF(IC139="","",_xlfn.LET(_xlpm.tk,_xlfn.TEXTSPLIT(SUBSTITUTE(SUBSTITUTE(IC139,";"," "),"→"," ")," ",,TRUE),_xlpm.w_,_xlfn._xlws.FILTER(_xlpm.tk,ISNUMBER(--LEFT(_xlpm.tk,1))*((ISNUMBER(SEARCH("W",_xlpm.tk))+ISNUMBER(SEARCH("Вт",_xlpm.tk)))&gt;0),""),IFERROR(--SUBSTITUTE(SUBSTITUTE(UPPER(INDEX(_xlpm.w_,1)),"W",""),"ВТ",""),"")))</f>
        <v/>
      </c>
      <c r="IE139" t="str" cm="1">
        <f t="array" ref="IE139">IF(IC139="","",_xlfn.LET(_xlpm.tk,_xlfn.TEXTSPLIT(SUBSTITUTE(SUBSTITUTE(IC139,";"," "),"→"," ")," ",,TRUE),_xlpm.v_,_xlfn._xlws.FILTER(_xlpm.tk,ISNUMBER(--LEFT(_xlpm.tk,1))*((ISNUMBER(SEARCH("V",_xlpm.tk))+(RIGHT(UPPER(_xlpm.tk))="В"))&gt;0),""),IFERROR(--SUBSTITUTE(SUBSTITUTE(UPPER(INDEX(_xlpm.v_,1)),"V",""),"В",""),"")))</f>
        <v/>
      </c>
      <c r="IF139" s="6" t="str">
        <f>IF(OR(BV139=0,HI139="",HJ139=""),"",IFERROR(N(_xlfn.XLOOKUP(HI139,Каталог!$C$4:$C$500,Каталог!$Q$4:$Q$500)),""))</f>
        <v/>
      </c>
      <c r="IG139" s="6" t="str">
        <f>IF(N(IF139)=0,"",SUMIFS(Линии[Iр, А],Линии[Щит],A139,Линии[_модуль гр.],HH139,Линии[Канал (итог)],HJ139))</f>
        <v/>
      </c>
      <c r="IH139" t="str">
        <f>IF(AND(B139="",HO139=""),"",_xlfn.TEXTJOIN("; ",TRUE,IF(AND(B139&lt;&gt;"",FV139=""),"нет фазы",""),IF(AND(B139&lt;&gt;"",N(GL139)=0,FG139&lt;&gt;"Нет"),"нет мощности",""),IF(AND(HN139&lt;&gt;"",COUNTIFS(Линии[Щит],A139,Линии[Клемма (итог)],HN139)&gt;1),"дубль клеммы "&amp;HN139,""),IF(AND(HQ139&lt;&gt;"",HQ139&lt;&gt;"ok"),HQ139,""),IF(HR139&lt;&gt;"",HR139,""),IF(AND(N(CB139)&gt;=4,N(BX139)=1),CB139&amp;" жил на 1 фазе",""),IF(AND(BC139="R",CG139=1,IF(CS139&lt;&gt;"",N(CV139)&gt;30,OR(N(DA139)=0,N(DA139)&gt;30))),"розетка без дифзащиты до 30 мА",""),IF(AND(CG139=1,N(DA139)&gt;0,ISNUMBER(T139)),IF(T139&gt;N(DA139)/3,"ток утечки "&amp;FIXED(T139,1)&amp;" мА &gt; 1/3 уставки ("&amp;DA139&amp;" мА)",""),""),IF(AND(CH139=1,CS139=""),"«узо»: нет строки с УЗО выше (УЗО 2P 40А 30мА в «Аппаратах»)",""),IF(AND(CS139&lt;&gt;"",CS139=BA139),IF(CT139="","впишите номинал УЗО (УЗО 2P 40А 30мА)",IF(N(CT139)&lt;N(DT139),"УЗО "&amp;CT139&amp;" А &lt; автомата "&amp;DT139&amp;" А перед ним",IF(N(CT139)&lt;N(CX139),"УЗО "&amp;CT139&amp;" А &lt; тока блока "&amp;FIXED(CX139,1)&amp;" А",""))),""),IF(AND(CS139&lt;&gt;"",CS139=BA139,ISNUMBER(CY139)),IF(CY139&gt;N(CV139)/3,"ток утечки блока УЗО "&amp;FIXED(CY139,1)&amp;" мА &gt; 1/3 уставки ("&amp;CV139&amp;" мА)",""),""),IF(AND(CG139=1,N(BV139)+N(IB139)&gt;0,IC139=""),"линии до 50 В без БП: впишите в «Аппараты» (БП 24V 480W)",""),IF(AND(CG139=1,ISNUMBER(ID139),ISNUMBER(U139)),IF(U139&gt;ID139,"БП "&amp;ID139&amp;" Вт &lt; нужно "&amp;U139&amp;" Вт (×"&amp;Запас_БП&amp;")",""),""),IF(AND(CG139=1,ISNUMBER(IE139),N(BV139)=1),IF(IE139&lt;&gt;N(BU139),"БП на "&amp;IE139&amp;" В, линия "&amp;BU139&amp;" В",""),""),IF(AND(N(IF139)&gt;0,N(IG139)&gt;N(IF139)),HH139&amp;" канал "&amp;HJ139&amp;": "&amp;FIXED(IG139,1)&amp;" А &gt; "&amp;IF139&amp;" А",""),IFERROR(IF(AND(ISNUMBER(Q139),Q139&gt;EL139),"потери "&amp;FIXED(Q139,1)&amp;" % &gt; "&amp;EL139&amp;" %",""),""),IFERROR(IF(LEFT(HU139,4)="мало","Iкз мало — отключение &gt; 0,4 с",""),""),IF(AND(B139&lt;&gt;"",BM139=""),"не на схеме",""),IF(AND(CG139=0,B139&lt;&gt;"",FV139&lt;&gt;"",IF(BA139=1,"",FW138)&lt;&gt;"",FV139&lt;&gt;IF(BA139=1,"",FW138)),"фаза не как у автомата группы ("&amp;IF(BA139=1,"",FW138)&amp;")","")))</f>
        <v/>
      </c>
      <c r="II139" s="6" t="str">
        <f>IF(OR(CG139=0,DQ139=""),"",_xlfn.LET(_xlpm.t,IFERROR(_xlfn.XLOOKUP(DQ139,Каталог!$U$4:$U$500,Каталог!$G$4:$G$500),""),_xlpm.k,SEARCH("кА",_xlpm.t),IFERROR(--TRIM(RIGHT(SUBSTITUTE(MID(_xlpm.t,MAX(1,_xlpm.k-4),_xlpm.k-MAX(1,_xlpm.k-4))," ",REPT(" ",9)),5)),"")))</f>
        <v/>
      </c>
      <c r="IJ139" t="str">
        <f>IF(OR(II139="",CG139=0),"",IF(_xlfn.XLOOKUP(A139,Щиты[Щит],Щиты[Iкз max на шинах, кА],"")="","",IF(II139&lt;_xlfn.XLOOKUP(A139,Щиты[Щит],Щиты[Iкз max на шинах, кА]),"Icu "&amp;II139&amp;" кА &lt; Iкз max","ok")))</f>
        <v/>
      </c>
      <c r="IK139" t="str">
        <f t="shared" si="389"/>
        <v/>
      </c>
      <c r="IL139" t="str">
        <f t="shared" si="390"/>
        <v>QF9</v>
      </c>
      <c r="IM139" t="str">
        <f t="shared" si="391"/>
        <v>QF9|кабель ВВГнг(А)-LS (3х1,5) → Внутренний блок кондиционирования Технический этаж Пом. №002Т</v>
      </c>
      <c r="IN139" t="str" cm="1">
        <f t="array" ref="IN139">IF(IM139="","",_xlfn.LET(_xlpm.nd,_xlfn.TEXTSPLIT(IM139,"|"),IF(COLUMNS(_xlpm.nd)&gt;1,A139&amp;"¦"&amp;INDEX(_xlpm.nd,1)&amp;"¦"&amp;INDEX(_xlpm.nd,2),"")))</f>
        <v>ЩОВ-2¦QF9¦кабель ВВГнг(А)-LS (3х1,5) → Внутренний блок кондиционирования Технический этаж Пом. №002Т</v>
      </c>
      <c r="IO139" t="str">
        <f t="shared" si="392"/>
        <v>K.2.014A¦Внутренний блок кондиционирования Технический этаж Пом. №002Т</v>
      </c>
      <c r="IP139" t="str" cm="1">
        <f t="array" ref="IP139">IF(IM139="","",_xlfn.LET(_xlpm.nd,_xlfn.TEXTSPLIT(IM139,"|"),IF(COLUMNS(_xlpm.nd)&gt;2,A139&amp;"¦"&amp;INDEX(_xlpm.nd,2)&amp;"¦"&amp;INDEX(_xlpm.nd,3),"")))</f>
        <v/>
      </c>
      <c r="IQ139" t="str">
        <f t="shared" si="393"/>
        <v/>
      </c>
      <c r="IR139" t="str" cm="1">
        <f t="array" ref="IR139">IF(IM139="","",_xlfn.LET(_xlpm.nd,_xlfn.TEXTSPLIT(IM139,"|"),IF(COLUMNS(_xlpm.nd)&gt;3,A139&amp;"¦"&amp;INDEX(_xlpm.nd,3)&amp;"¦"&amp;INDEX(_xlpm.nd,4),"")))</f>
        <v/>
      </c>
      <c r="IS139" t="str">
        <f t="shared" si="394"/>
        <v/>
      </c>
      <c r="IT139" t="str" cm="1">
        <f t="array" ref="IT139">IF(IM139="","",_xlfn.LET(_xlpm.nd,_xlfn.TEXTSPLIT(IM139,"|"),IF(COLUMNS(_xlpm.nd)&gt;4,A139&amp;"¦"&amp;INDEX(_xlpm.nd,4)&amp;"¦"&amp;INDEX(_xlpm.nd,5),"")))</f>
        <v/>
      </c>
      <c r="IU139" t="str">
        <f t="shared" si="395"/>
        <v/>
      </c>
      <c r="IV139" t="str" cm="1">
        <f t="array" ref="IV139">IF(IM139="","",_xlfn.LET(_xlpm.nd,_xlfn.TEXTSPLIT(IM139,"|"),IF(COLUMNS(_xlpm.nd)&gt;5,A139&amp;"¦"&amp;INDEX(_xlpm.nd,5)&amp;"¦"&amp;INDEX(_xlpm.nd,6),"")))</f>
        <v/>
      </c>
      <c r="IW139" t="str">
        <f t="shared" si="396"/>
        <v/>
      </c>
      <c r="IX139" t="str" cm="1">
        <f t="array" ref="IX139">IF(IM139="","",_xlfn.LET(_xlpm.nd,_xlfn.TEXTSPLIT(IM139,"|"),IF(COLUMNS(_xlpm.nd)&gt;6,A139&amp;"¦"&amp;INDEX(_xlpm.nd,6)&amp;"¦"&amp;INDEX(_xlpm.nd,7),"")))</f>
        <v/>
      </c>
      <c r="IY139" t="str">
        <f t="shared" si="397"/>
        <v/>
      </c>
      <c r="IZ139" t="str">
        <f t="shared" si="398"/>
        <v/>
      </c>
      <c r="JA139" t="str">
        <f t="shared" si="399"/>
        <v>QF9</v>
      </c>
      <c r="JB139">
        <f t="shared" si="400"/>
        <v>0</v>
      </c>
      <c r="JC139">
        <f t="shared" si="401"/>
        <v>0</v>
      </c>
      <c r="JD139" t="str">
        <f t="shared" si="402"/>
        <v/>
      </c>
      <c r="JE139" t="str">
        <f t="shared" si="403"/>
        <v/>
      </c>
      <c r="JF139" t="str">
        <f t="shared" si="404"/>
        <v/>
      </c>
      <c r="JG139" t="str">
        <f t="shared" si="405"/>
        <v/>
      </c>
      <c r="JH139">
        <f>IF(B139="","",IFERROR(_xlfn.XLOOKUP(B139,Коды_код,Коды_уго),IFERROR(_xlfn.XLOOKUP(BC139,Коды_код,Коды_уго),IFERROR(_xlfn.XLOOKUP(LEFT(BC139,2),Коды_код,Коды_уго),""))))</f>
        <v>0</v>
      </c>
      <c r="JI139" t="str">
        <f>IF(B139="","",IF(OR(JH139="",JH139=0),"BOX",IFERROR(IF(VLOOKUP(JH139,УГО_блоки,3,FALSE)&amp;""&lt;&gt;"",VLOOKUP(JH139,УГО_блоки,3,FALSE),VLOOKUP(JH139,УГО_блоки,2,FALSE)),JH139)))</f>
        <v>BOX</v>
      </c>
      <c r="JJ139">
        <f t="shared" si="406"/>
        <v>1</v>
      </c>
      <c r="JK139" t="str">
        <f>IF(DQ139="","",IF(COUNTIF(DQ$3:DQ139,DQ139)=1,MAX(JK$2:JK138)+1,""))</f>
        <v/>
      </c>
      <c r="JL139" t="str">
        <f>IF(DE139="","",IF(COUNTIF(DE$3:DE139,DE139)+COUNTIF(DF$2:DF138,DE139)+COUNTIF(DG$2:DG138,DE139)=1,MAX(JL$2:JN138)+1,""))</f>
        <v/>
      </c>
      <c r="JM139" t="str">
        <f>IF(DF139="","",IF(COUNTIF(DE$3:DE139,DF139)+COUNTIF(DF$3:DF139,DF139)+COUNTIF(DG$2:DG138,DF139)=1,MAX(JL$2:JN138,JL139)+1,""))</f>
        <v/>
      </c>
      <c r="JN139" t="str">
        <f>IF(DG139="","",IF(COUNTIF(DE$3:DE139,DG139)+COUNTIF(DF$3:DF139,DG139)+COUNTIF(DG$3:DG139,DG139)=1,MAX(JL$2:JN138,JL139,JM139)+1,""))</f>
        <v/>
      </c>
      <c r="JO139" t="str">
        <f t="shared" si="407"/>
        <v>3х1,5</v>
      </c>
      <c r="JP139" t="str">
        <f>IF(JO139="","",IF(COUNTIF(JO$3:JO139,JO139)=1,MAX(JP$2:JP138)+1,""))</f>
        <v/>
      </c>
      <c r="JQ139" t="str">
        <f>IF(HG139="","",COUNTIF(HG$3:HG139,"?*"))</f>
        <v/>
      </c>
      <c r="JR139" t="str">
        <f>IF(OR(HG139="",HI139=""),"",IF(COUNTIFS(HG$3:HG139,"?*",HI$3:HI139,HI139)=1,MAX(JR$2:JR138)+1,""))</f>
        <v/>
      </c>
      <c r="JS139">
        <f t="shared" si="408"/>
        <v>0</v>
      </c>
      <c r="JT139">
        <f>IF(B139="","",COUNTIF(B$3:B139,"?*"))</f>
        <v>137</v>
      </c>
      <c r="JU139">
        <f>IF(HL139&lt;&gt;1,0,_xlfn.LET(_xlpm.k,MAX(IFERROR(--_xlfn.XLOOKUP(B139,Коды_код,Коды_3L),0),IFERROR(--_xlfn.XLOOKUP(BC139,Коды_код,Коды_3L),0),IFERROR(--_xlfn.XLOOKUP(LEFT(BC139,2),Коды_код,Коды_3L),0)),IF(_xlpm.k&gt;0,_xlpm.k,IF(IFERROR(--LEFT(SUBSTITUTE(JO139,"x","х"),FIND("х",SUBSTITUTE(JO139,"x","х"))-1),3)&gt;3,Каталог!$S$9,1))))</f>
        <v>1</v>
      </c>
      <c r="JV139">
        <f t="shared" si="409"/>
        <v>0</v>
      </c>
      <c r="JW139" t="str">
        <f t="shared" si="410"/>
        <v>авто</v>
      </c>
      <c r="JX139" t="str">
        <f t="shared" si="411"/>
        <v/>
      </c>
      <c r="JY139">
        <f t="shared" si="412"/>
        <v>0</v>
      </c>
      <c r="JZ139">
        <f t="shared" si="413"/>
        <v>1</v>
      </c>
    </row>
    <row r="140" spans="1:286" x14ac:dyDescent="0.3">
      <c r="A140" t="s">
        <v>751</v>
      </c>
      <c r="B140" t="s">
        <v>1449</v>
      </c>
      <c r="C140" t="s">
        <v>1686</v>
      </c>
      <c r="D140">
        <v>1</v>
      </c>
      <c r="E140">
        <v>0.104</v>
      </c>
      <c r="G140" t="str">
        <f>Линии[[#This Row],[_авто автомат]]</f>
        <v>1P С6А</v>
      </c>
      <c r="H140" t="str">
        <f>Линии[[#This Row],[_авто управление]]</f>
        <v/>
      </c>
      <c r="I140" t="str">
        <f>Линии[[#This Row],[_авто аппараты]]</f>
        <v/>
      </c>
      <c r="J140">
        <v>1.5</v>
      </c>
      <c r="K140">
        <v>33</v>
      </c>
      <c r="L140" t="str">
        <f>Линии[[#This Row],[_авто фаза]]</f>
        <v>L1</v>
      </c>
      <c r="M140" t="s">
        <v>484</v>
      </c>
      <c r="N140" t="str">
        <f t="shared" si="276"/>
        <v/>
      </c>
      <c r="O140" s="6" cm="1">
        <f t="array" ref="O140">IF(B140="","",IF(BH140&lt;&gt;"",IFERROR(_xlfn.XLOOKUP(BH140,Щиты[Щит],Щиты[Iр, А]),""),IF(BP140=1,IF(OR(N(_xlfn.XLOOKUP(A140,Щиты[Щит],Щиты[Вводов],1))&lt;=1,LOWER(TRIM(_xlfn.XLOOKUP(A140,Щиты[Щит],Щиты[АВР],"")&amp;""))="да"),IFERROR(_xlfn.XLOOKUP(A140,Щиты[Щит],Щиты[Iр, А]),""),IFERROR(N(BS140)*_xlfn.XLOOKUP(A140,Щиты[Щит],Щиты[Кс итог])/(SQRT(3)*Uн_лин*_xlfn.XLOOKUP(A140,Щиты[Щит],Щиты[cos φ])),"")),IF(BV140=1,IFERROR(BS140*1000/BU140,""),IFERROR(_xlfn.IFS(BX140=1,BS140/((Uн_лин/SQRT(3))*CE140),BX140=3,BS140/(SQRT(3)*Uн_лин*CE140)),"")))))</f>
        <v>0.56291651245988494</v>
      </c>
      <c r="P140" s="7">
        <f>IF(B140="","",IFERROR(IF(VLOOKUP(BC140,Потребители_обозначение,4,FALSE)=1,VLOOKUP(BC140,Потребители_обозначение,3,FALSE)*(MAX(1,N(D140))*2-1)+EI140+VLOOKUP(BE140,Этаж_обозначение,3,FALSE)+VLOOKUP(BE140,Этаж_обозначение,4,FALSE),VLOOKUP(BC140,Потребители_обозначение,3,FALSE)*(MAX(1,N(D140))*2-1)+EI140),EI140))</f>
        <v>35</v>
      </c>
      <c r="Q140" s="6">
        <f t="shared" si="277"/>
        <v>1.3499999999999999</v>
      </c>
      <c r="R140" t="str">
        <f t="shared" si="278"/>
        <v>ВВГнг(А)-LS (3х1,5)</v>
      </c>
      <c r="S140" t="str">
        <f>IF(BM140="","",IF(BN140="вводной узел","узел ","")&amp;"л."&amp;(INT((BM140-1)/Столбцов_на_лист)+1)&amp;" / "&amp;(MOD(BM140-1,Столбцов_на_лист)+1))</f>
        <v>л.2 / 7</v>
      </c>
      <c r="T140" s="119">
        <f t="shared" si="279"/>
        <v>0.6</v>
      </c>
      <c r="U140" s="7" t="str">
        <f>IF(OR(CG140=0,N(BV140)+N(IB140)=0),"",ROUNDUP(Запас_БП*(N(HY140)+N(HZ140)),0))</f>
        <v/>
      </c>
      <c r="V140" s="119" t="str">
        <f t="shared" si="280"/>
        <v/>
      </c>
      <c r="W140" s="7" t="str">
        <f>IFERROR(IF(OR(B140="",BP140=1,BV140=1,NOT(ISNUMBER(EN140)),N(DT140)=0),"",MAX(0,ROUNDDOWN((c_min*(Uн_лин*1000/SQRT(3))/(HT140*N(DT140))-_xlfn.XLOOKUP(A140,Щиты[Щит],Щиты[Zпетли на шинах, Ом]))*EN140/(2*ρкз_Cu),0))),"")</f>
        <v/>
      </c>
      <c r="Y140" t="str">
        <f>Линии[[#This Row],[_авто утечка]]</f>
        <v/>
      </c>
      <c r="Z140">
        <v>1</v>
      </c>
      <c r="AA140">
        <v>230</v>
      </c>
      <c r="AB140" t="s">
        <v>598</v>
      </c>
      <c r="AC140">
        <v>0.5</v>
      </c>
      <c r="AG140" t="s">
        <v>810</v>
      </c>
      <c r="AI140" t="s">
        <v>576</v>
      </c>
      <c r="AK140" t="str">
        <f>Линии[[#This Row],[_авто модуль]]</f>
        <v/>
      </c>
      <c r="AM140">
        <v>24</v>
      </c>
      <c r="AN140" t="s">
        <v>11</v>
      </c>
      <c r="AO140">
        <v>3</v>
      </c>
      <c r="AQ140">
        <v>4</v>
      </c>
      <c r="AR140">
        <v>31</v>
      </c>
      <c r="AT140">
        <v>1</v>
      </c>
      <c r="BA140" cm="1">
        <f t="array" ref="BA140">ROW()-ROW(Линии[#Headers])</f>
        <v>138</v>
      </c>
      <c r="BC140" s="6" t="str">
        <f t="shared" si="281"/>
        <v>K</v>
      </c>
      <c r="BD140" t="str">
        <f t="shared" si="282"/>
        <v>2.016A</v>
      </c>
      <c r="BE140" t="str">
        <f t="shared" si="283"/>
        <v>2</v>
      </c>
      <c r="BF140" t="str">
        <f t="shared" si="284"/>
        <v>016A</v>
      </c>
      <c r="BG140" t="str">
        <f t="shared" si="285"/>
        <v>016A</v>
      </c>
      <c r="BH140" t="str">
        <f>IF(X140&lt;&gt;"",X140,IF(AND(B140&lt;&gt;"",B140&lt;&gt;A140,ISNUMBER(_xlfn.XMATCH(B140,Щиты[Щит]))),B140,""))</f>
        <v/>
      </c>
      <c r="BI140" t="str" cm="1">
        <f t="array" ref="BI140">IF(B140="","",IF(BH140&lt;&gt;"","Щит "&amp;BH140,_xlfn.LET(_xlpm.nm,IFERROR(_xlfn.XLOOKUP(BC140,Коды_код,Коды_имя)&amp;"",""),_xlpm.md,IFERROR(N(_xlfn.XLOOKUP(BC140,Коды_код,Коды_режим)),1),_xlpm.ex,IF(Имя_режим="по экспликации",IFERROR(_xlfn.XLOOKUP(BE140&amp;"|"&amp;BG140,Экспликация[Этаж]&amp;"|"&amp;Экспликация[Помещение],Экспликация[Название])&amp;"",""),""),_xlpm.rm,IF(BG140="","",IF(_xlpm.ex&lt;&gt;"",". "&amp;_xlpm.ex&amp;IF(Имя_пом="нет"," ("&amp;BG140&amp;")"," (пом. "&amp;BG140&amp;")"),IF(Имя_пом="нет"," ",", пом. ")&amp;BG140)),IF(_xlpm.nm="","",IF(_xlpm.md=2,_xlpm.nm&amp;" шлейф "&amp;BE140,_xlpm.nm&amp;_xlpm.rm)))))</f>
        <v>Внутренний блок кондиционирования, пом. 016A</v>
      </c>
      <c r="BJ140" t="str">
        <f t="shared" si="286"/>
        <v>Внутренний блок кондиционирования Технический этаж Пом. №001Б</v>
      </c>
      <c r="BK140">
        <f>IFERROR(_xlfn.XMATCH(A140,Щиты[Щит]),0)</f>
        <v>7</v>
      </c>
      <c r="BL140">
        <f>_xlfn.LET(_xlpm.k,IFERROR(_xlfn.XLOOKUP(A140,Щиты[Щит],Щиты[Мест под вводной узел]),""),IF(_xlpm.k="",Столбцов_на_лист,N(_xlpm.k)))</f>
        <v>12</v>
      </c>
      <c r="BM140">
        <f t="shared" si="287"/>
        <v>24</v>
      </c>
      <c r="BN140" t="str">
        <f t="shared" si="288"/>
        <v>линии</v>
      </c>
      <c r="BO140" s="6">
        <f>IFERROR(N(_xlfn.XLOOKUP(BC140,Коды_код,Коды_квт)),0)</f>
        <v>0</v>
      </c>
      <c r="BP140">
        <f t="shared" si="289"/>
        <v>0</v>
      </c>
      <c r="BQ140" t="str">
        <f>IF(B140="","",IF(BH140&lt;&gt;"",IFERROR(_xlfn.XLOOKUP(BH140,Щиты[Щит],Щиты[Руст, кВт]),0),IF(BP140=1,IF(OR(N(_xlfn.XLOOKUP(A140,Щиты[Щит],Щиты[Вводов],1))&lt;=1,LOWER(TRIM(_xlfn.XLOOKUP(A140,Щиты[Щит],Щиты[АВР],"")&amp;""))="да"),IFERROR(_xlfn.XLOOKUP(A140,Щиты[Щит],Щиты[Руст, кВт]),0),SUMIFS(Линии[_Р для вводов],Линии[Щит],A140,Линии[Источник для режимов],GF140)),IF(BO140&gt;0,ROUND(BO140*MAX(1,N(D140)),3),""))))</f>
        <v/>
      </c>
      <c r="BR140">
        <f t="shared" si="290"/>
        <v>0.104</v>
      </c>
      <c r="BS140" s="6">
        <f>IF(B140="","",IF(BH140&lt;&gt;"",IFERROR(_xlfn.XLOOKUP(BH140,Щиты[Щит],Щиты[Руст, кВт]),0),N(BR140)))</f>
        <v>0.104</v>
      </c>
      <c r="BT140" t="str">
        <f>IF(B140="","",IFERROR(IF(VLOOKUP(BC140,Потребители_обозначение,8,FALSE)=0,"",VLOOKUP(BC140,Потребители_обозначение,8,FALSE)),""))</f>
        <v/>
      </c>
      <c r="BU140">
        <f t="shared" si="291"/>
        <v>230</v>
      </c>
      <c r="BV140">
        <f t="shared" si="292"/>
        <v>0</v>
      </c>
      <c r="BW140">
        <f>IF(B140="","",IF(BH140&lt;&gt;"",3,IFERROR(IF(N(VLOOKUP(BC140,Потребители_обозначение,9,FALSE))=0,1,VLOOKUP(BC140,Потребители_обозначение,9,FALSE)),1)))</f>
        <v>1</v>
      </c>
      <c r="BX140">
        <f t="shared" si="293"/>
        <v>1</v>
      </c>
      <c r="BY140" t="str">
        <f>IF(B140="","",_xlfn.LET(_xlpm.bc,IFERROR(IF(VLOOKUP(BC140,Потребители_обозначение,6,FALSE)=0,"",VLOOKUP(BC140,Потребители_обозначение,6,FALSE)&amp;""),""),IF(AND(GA140="да",OR(_xlpm.bc="",_xlpm.bc="мс")),Марка_пож,IF(AND(_xlpm.bc="",BH140&lt;&gt;""),"мс",_xlpm.bc))))</f>
        <v/>
      </c>
      <c r="BZ140" t="str">
        <f t="shared" si="294"/>
        <v>мс</v>
      </c>
      <c r="CA140">
        <f>IF(B140="","",_xlfn.LET(_xlpm.cc,IFERROR(N(VLOOKUP(BC140,Потребители_обозначение,7,FALSE)),0),IF(_xlpm.cc&gt;0,_xlpm.cc,IF(BZ140="","",IF(BV140=1,2,IF(N(BX140)=3,5,3))))))</f>
        <v>3</v>
      </c>
      <c r="CB140">
        <f t="shared" si="295"/>
        <v>3</v>
      </c>
      <c r="CC140">
        <f>IFERROR(N(VLOOKUP(BC140,Потребители_обозначение,10,FALSE)),0)</f>
        <v>0</v>
      </c>
      <c r="CD140">
        <f>IFERROR(VLOOKUP(BC140,Потребители_обозначение,5,FALSE),0)</f>
        <v>1</v>
      </c>
      <c r="CE140" s="6" cm="1">
        <f t="array" ref="CE140">IF(B140="","",IF(BH140&lt;&gt;"",IFERROR(_xlfn.XLOOKUP(BH140,Щиты[Щит],Щиты[cos φ]),0.95),IF(BP140=1,IFERROR(_xlfn.XLOOKUP(A140,Щиты[Щит],Щиты[cos φ]),0.95),IF(ISNUMBER(AD140),AD140,IFERROR(IF(CD140=2,_xlfn.IFS(BX140=3,VLOOKUP(BS140,Справочная_двигатели,8,FALSE),BX140=1,VLOOKUP(BS140,Справочная_двигатели,10,TRUE)),IF(AND(Методика="нормы 2026",FG140="Сил"),0.8,0.95)),0.95)))))</f>
        <v>0.8</v>
      </c>
      <c r="CF140">
        <f t="shared" si="296"/>
        <v>0</v>
      </c>
      <c r="CG140">
        <f t="shared" si="297"/>
        <v>1</v>
      </c>
      <c r="CH140">
        <f t="shared" si="298"/>
        <v>0</v>
      </c>
      <c r="CI140">
        <f>IF(B140="","",IF(BV140=1,IFERROR(BS140/((Uн_лин/SQRT(3))*MAX(0.5,N(CE140))),0),N(O140)))</f>
        <v>0.56291651245988494</v>
      </c>
      <c r="CJ140">
        <f t="shared" si="299"/>
        <v>0</v>
      </c>
      <c r="CK140">
        <f t="shared" si="300"/>
        <v>0</v>
      </c>
      <c r="CL140">
        <f t="shared" si="301"/>
        <v>0</v>
      </c>
      <c r="CM140">
        <f t="shared" si="302"/>
        <v>0</v>
      </c>
      <c r="CN140">
        <f t="shared" si="303"/>
        <v>0</v>
      </c>
      <c r="CO140">
        <f>IF(BC140="",0,_xlfn.LET(_xlpm.v,IFERROR(_xlfn.XLOOKUP(B140,Коды_код,Коды_мА),IFERROR(_xlfn.XLOOKUP(BC140,Коды_код,Коды_мА),IFERROR(_xlfn.XLOOKUP(LEFT(BC140,2),Коды_код,Коды_мА),""))),IF(_xlpm.v="да",30,IF(ISNUMBER(_xlpm.v),_xlpm.v,0))))</f>
        <v>0</v>
      </c>
      <c r="CP140" t="str">
        <f t="shared" si="304"/>
        <v/>
      </c>
      <c r="CQ140" t="str">
        <f>_xlfn.LET(_xlpm.k,IFERROR(_xlfn.XLOOKUP(BC140,Коды_код,Коды_утечка)&amp;"",""),IF(_xlpm.k="","дифавтомат",_xlpm.k))</f>
        <v>дифавтомат</v>
      </c>
      <c r="CR140" t="str" cm="1">
        <f t="array" ref="CR140">IF(CG140=0,"",_xlfn.LET(_xlpm.sg,TRIM(_xlfn.TEXTSPLIT(DD140&amp;"",";")),_xlpm.f_,_xlfn._xlws.FILTER(_xlpm.sg,LEFT(_xlpm.sg,3)="УЗО",""),IFERROR(INDEX(_xlpm.f_,1)&amp;"","")))</f>
        <v/>
      </c>
      <c r="CS140" t="str">
        <f t="shared" si="305"/>
        <v/>
      </c>
      <c r="CT140" s="6" t="str" cm="1">
        <f t="array" ref="CT140">IF(CR140="","",_xlfn.LET(_xlpm.tk,_xlfn.TEXTSPLIT(UPPER(CR140)," ",,TRUE),_xlpm.a_,_xlfn._xlws.FILTER(_xlpm.tk,ISNUMBER(--LEFT(_xlpm.tk,1))*((ISNUMBER(SEARCH("А",_xlpm.tk))+ISNUMBER(SEARCH("A",_xlpm.tk)))&gt;0)*NOT(ISNUMBER(SEARCH("МА",_xlpm.tk)))*NOT(ISNUMBER(SEARCH("MA",_xlpm.tk))),""),IFERROR(--SUBSTITUTE(SUBSTITUTE(INDEX(_xlpm.a_,1),"А",""),"A",""),"")))</f>
        <v/>
      </c>
      <c r="CU140" t="str" cm="1">
        <f t="array" ref="CU140">IF(CR140="","",_xlfn.LET(_xlpm.tk,_xlfn.TEXTSPLIT(UPPER(CR140)," ",,TRUE),_xlpm.a_,_xlfn._xlws.FILTER(_xlpm.tk,ISNUMBER(--LEFT(_xlpm.tk,1))*((ISNUMBER(SEARCH("МА",_xlpm.tk))+ISNUMBER(SEARCH("MA",_xlpm.tk)))&gt;0),""),IFERROR(--SUBSTITUTE(SUBSTITUTE(INDEX(_xlpm.a_,1),"МА",""),"MA",""),30)))</f>
        <v/>
      </c>
      <c r="CV140" t="str">
        <f>IF(CS140="","",IFERROR(_xlfn.XLOOKUP(CS140,Линии[_n],Линии[_УЗО, мА]),30))</f>
        <v/>
      </c>
      <c r="CW140">
        <f>IF(CS140="",0,IF(ISNUMBER(SEARCH("4P",IFERROR(_xlfn.XLOOKUP(CS140,Линии[_n],Линии[_УЗО строки])&amp;"",""))),0,1))</f>
        <v>0</v>
      </c>
      <c r="CX140" t="str">
        <f>IF(AND(CS140&lt;&gt;"",CS140=BA140),SUMIFS(Линии[_ток на 230 В],Линии[_блок УЗО],BA140,Линии[Щит],A140),"")</f>
        <v/>
      </c>
      <c r="CY140" t="str">
        <f>IF(AND(CS140&lt;&gt;"",CS140=BA140),SUMIFS(Линии[_ток утечки линии, мА],Линии[_блок УЗО],BA140,Линии[Щит],A140),"")</f>
        <v/>
      </c>
      <c r="CZ140">
        <f t="shared" si="306"/>
        <v>0</v>
      </c>
      <c r="DA140">
        <f t="shared" si="307"/>
        <v>0</v>
      </c>
      <c r="DB140">
        <f>IF(B140="",0,IFERROR(--_xlfn.XLOOKUP(B140,Коды_код,Коды_минавт),IFERROR(--_xlfn.XLOOKUP(BC140,Коды_код,Коды_минавт),IFERROR(--_xlfn.XLOOKUP(LEFT(BC140,2),Коды_код,Коды_минавт),0))))</f>
        <v>0</v>
      </c>
      <c r="DC140" t="str">
        <f>IF(B140="","",IFERROR(_xlfn.XLOOKUP(BC140,Коды_код,Коды_апп)&amp;"",""))</f>
        <v/>
      </c>
      <c r="DD140" t="str">
        <f t="shared" si="308"/>
        <v/>
      </c>
      <c r="DE140" t="str" cm="1">
        <f t="array" ref="DE140">IF(TRIM(DD140&amp;"")="","",IFERROR(TRIM(INDEX(_xlfn.TEXTSPLIT(DD140&amp;";;;",";"),1)),""))</f>
        <v/>
      </c>
      <c r="DF140" t="str" cm="1">
        <f t="array" ref="DF140">IF(TRIM(DD140&amp;"")="","",IFERROR(TRIM(INDEX(_xlfn.TEXTSPLIT(DD140&amp;";;;",";"),2)),""))</f>
        <v/>
      </c>
      <c r="DG140" t="str" cm="1">
        <f t="array" ref="DG140">IF(TRIM(DD140&amp;"")="","",IFERROR(TRIM(INDEX(_xlfn.TEXTSPLIT(DD140&amp;";;;",";"),3)),""))</f>
        <v/>
      </c>
      <c r="DH140">
        <f t="shared" si="309"/>
        <v>0</v>
      </c>
      <c r="DI140" t="str">
        <f>IF(B140="","",_xlfn.LET(_xlpm.t,LOWER(AZ140&amp;""),IF(ISNUMBER(SEARCH("dim",_xlpm.t)),"DIM",IF(ISNUMBER(SEARCH("dali",_xlpm.t)),"DALI",IF(OR(ISNUMBER(SEARCH("relay",_xlpm.t)),ISNUMBER(SEARCH("реле",_xlpm.t))),"Relay",IF(ISNUMBER(SEARCH("кнопк",_xlpm.t)),"",IFERROR(_xlfn.XLOOKUP(BC140,Коды_код,Коды_упр)&amp;"","")))))))</f>
        <v/>
      </c>
      <c r="DJ140" t="str">
        <f t="shared" si="310"/>
        <v/>
      </c>
      <c r="DK140">
        <f>IF(B140="","",_xlfn.LET(_xlpm.ig,IF(N(CX140)&gt;0,N(CX140),N(CI140)+IF(AJ140="вручную",0,N(CJ140))),_xlpm.n0,IFERROR(VLOOKUP(_xlpm.ig,Автомат_номиналы,2,TRUE),0),_xlpm.mn,MAX(DB140,IF(AJ140="вручную",0,N(CM140))),MAX(_xlpm.n0,_xlpm.mn,IF(DH140=1,Мин_автомат_БП,0))))</f>
        <v>6</v>
      </c>
      <c r="DL140">
        <f t="shared" si="311"/>
        <v>1</v>
      </c>
      <c r="DM140" t="str">
        <f t="shared" si="312"/>
        <v>1P</v>
      </c>
      <c r="DN140" t="str">
        <f>_xlfn.LET(_xlpm.cc,UPPER(TRIM(IFERROR(_xlfn.XLOOKUP(BC140,Коды_код,Коды_хар)&amp;"",""))),IF(OR(_xlpm.cc="B",_xlpm.cc="В"),"B",IF(_xlpm.cc="D","D","С")))</f>
        <v>С</v>
      </c>
      <c r="DO140" t="str">
        <f t="shared" si="313"/>
        <v>1P С6А</v>
      </c>
      <c r="DP140" t="str">
        <f t="shared" si="314"/>
        <v>1P С6А</v>
      </c>
      <c r="DQ140" t="str">
        <f t="shared" si="315"/>
        <v>1P С6А</v>
      </c>
      <c r="DR140" cm="1">
        <f t="array" ref="DR140">IF(DQ140="","",_xlfn.LET(_xlpm.t,SUBSTITUTE(SUBSTITUTE(SUBSTITUTE(UPPER(DQ140),"С","C"),"А","A"),"В","B"),_xlpm.tk,_xlfn.TEXTSPLIT(_xlpm.t," "),_xlpm.f,_xlfn._xlws.FILTER(_xlpm.tk,ISNUMBER(--MID(_xlpm.tk,2,1))*ISNUMBER(SEARCH(LEFT(_xlpm.tk,1)&amp;"#","B#C#D#"))*(LEN(_xlpm.tk)&gt;1),""),_xlpm.x,INDEX(_xlpm.f,1),IFERROR(--SUBSTITUTE(MID(_xlpm.x,2,9),"A",""),IFERROR(--SUBSTITUTE(INDEX(_xlfn._xlws.FILTER(_xlpm.tk,ISNUMBER(--SUBSTITUTE(_xlpm.tk,"A","")),""),1),"A",""),""))))</f>
        <v>6</v>
      </c>
      <c r="DS140" t="str">
        <f t="shared" si="316"/>
        <v>ok</v>
      </c>
      <c r="DT140">
        <f t="shared" si="317"/>
        <v>6</v>
      </c>
      <c r="DU140" t="str">
        <f t="shared" si="318"/>
        <v>1P С6А</v>
      </c>
      <c r="DV140">
        <f t="shared" si="319"/>
        <v>0</v>
      </c>
      <c r="DW140">
        <f t="shared" si="320"/>
        <v>0</v>
      </c>
      <c r="DX140">
        <f t="shared" si="321"/>
        <v>0</v>
      </c>
      <c r="DY140">
        <f t="shared" si="322"/>
        <v>0.56291651245988494</v>
      </c>
      <c r="DZ140">
        <f t="shared" si="323"/>
        <v>1</v>
      </c>
      <c r="EA140">
        <f>IF(ISNUMBER(AP140),AP140,К_прокл)</f>
        <v>1</v>
      </c>
      <c r="EB140">
        <f t="shared" si="324"/>
        <v>2</v>
      </c>
      <c r="EC140">
        <f>IFERROR(N(VLOOKUP(BZ140,Кабель_обозначение,3,FALSE)),1)</f>
        <v>1</v>
      </c>
      <c r="ED140">
        <f>IFERROR(N(_xlfn.XLOOKUP(A140,Щиты[Щит],Щиты[ΔU до шин, %])),0)</f>
        <v>1.1399999999999999</v>
      </c>
      <c r="EE140" t="str">
        <f>IFERROR(_xlfn.XLOOKUP(A140,Щиты[Щит],Щиты[Zпетли на шинах, Ом]),"")</f>
        <v/>
      </c>
      <c r="EF140">
        <f>IFERROR(N(_xlfn.XLOOKUP(A140,Щиты[Щит],Щиты[ΔU до шин (подбор), %])),0)</f>
        <v>1.82</v>
      </c>
      <c r="EG140" t="str">
        <f>IFERROR(_xlfn.XLOOKUP(A140,Щиты[Щит],Щиты[Zпетли на шинах (подбор), Ом]),"")</f>
        <v/>
      </c>
      <c r="EH140" t="str">
        <f t="shared" si="325"/>
        <v/>
      </c>
      <c r="EI140">
        <f t="shared" si="326"/>
        <v>33</v>
      </c>
      <c r="EJ140">
        <f t="shared" si="327"/>
        <v>2</v>
      </c>
      <c r="EK140">
        <f t="shared" si="328"/>
        <v>0.6</v>
      </c>
      <c r="EL140" s="6">
        <f>IF(B140="","",IF(BV140=1,dU_LED,IF(IFERROR(_xlfn.XLOOKUP(BC140,Коды_код,Коды_уго),"")="Светильник",3,4)+IF(Методика="нормы 2026",MIN(0.5,MAX(0,N(P140)-100)*0.005),0)))</f>
        <v>4</v>
      </c>
      <c r="EM140" cm="1">
        <f t="array" ref="EM140">IF(OR(B140="",BZ140="",EC140&lt;&gt;1),"",_xlfn.LET(_xlpm.sz,Iдоп_S,_xlpm.t_,CHOOSE(EB140,Iдоп_1ж,Iдоп_2ж,Iдоп_3ж)*DZ140*EA140,_xlpm.dcx,BV140=1,_xlpm.inn,IF(_xlpm.dcx,N(O140),N(DT140)),_xlpm.smin,MAX(1.5,CC140),_xlpm.L_,N(P140)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140)/N(BU140)*100,999),IFERROR(N(EJ140)*(_xlpm.rho*_xlpm.L_/_xlpm.sz*N(CE140)+_xlpm.xx*_xlpm.L_*N(EK140)/1000)*N(O140)/((Uн_лин/SQRT(3))*1000)*100,999)),_xlpm.kz,IF(OR(_xlpm.dcx,DW140=1,NOT(ISNUMBER(EG140)),_xlpm.L_=0,_xlpm.inn=0),1,IFERROR(--(c_min*(Uн_лин*1000/SQRT(3))/(EG140+2*ρкз_Cu*_xlpm.L_/_xlpm.sz)&gt;=HT140*_xlpm.inn),0)),_xlpm.ok,IFERROR((_xlpm.sz&gt;=_xlpm.smin)*(_xlpm.t_&gt;=_xlpm.inn)*IF(_xlpm.L_&gt;0,(_xlpm.du_+IF(_xlpm.dcx,0,EF140)&lt;=EL140+0.00001),1)*_xlpm.kz,0),_xlpm.r_,_xlfn._xlws.FILTER(_xlpm.sz,_xlpm.ok,"не подобрано"),INDEX(_xlpm.r_,1)))</f>
        <v>1.5</v>
      </c>
      <c r="EN140">
        <f t="shared" si="329"/>
        <v>1.5</v>
      </c>
      <c r="EO140" cm="1">
        <f t="array" ref="EO140">IF(OR(B140="",BZ140="",EC140&lt;&gt;1),"",_xlfn.LET(_xlpm.sz,Iдоп_S,_xlpm.t_,CHOOSE(EB140,Iдоп_1ж,Iдоп_2ж,Iдоп_3ж)*DZ140*EA140,_xlpm.ok,IFERROR((_xlpm.sz&gt;=MAX(1.5,CC140))*(_xlpm.t_&gt;=N(DT140)),0),_xlpm.r_,_xlfn._xlws.FILTER(_xlpm.sz,_xlpm.ok,""),INDEX(_xlpm.r_,1)))</f>
        <v>1.5</v>
      </c>
      <c r="EP140" s="6" cm="1">
        <f t="array" ref="EP140">IFERROR(ROUNDUP(N(EJ140)*(_xlfn.XLOOKUP(EO140,INDEX(Кабель_сопротивление,0,1),INDEX(Кабель_сопротивление,0,3))*N(P140)/EO140*N(CE140)+_xlfn.XLOOKUP(EO140,INDEX(Кабель_сопротивление,0,1),INDEX(Кабель_сопротивление,0,2))*N(P140)*N(EK140)/1000)*N(O140)/((Uн_лин/SQRT(3))*1000)*100,2),"")</f>
        <v>0.21000000000000002</v>
      </c>
      <c r="EQ140">
        <f>IFERROR(2*ρкз_Cu*N(P140)/EO140,"")</f>
        <v>1.2273333333333334</v>
      </c>
      <c r="ER140">
        <f>IFERROR(VLOOKUP(EN140,Кабель_сопротивление,3,FALSE),"")</f>
        <v>2.2499999999999999E-2</v>
      </c>
      <c r="ES140">
        <f>IFERROR(VLOOKUP(EN140,Кабель_сопротивление,2,FALSE),"")</f>
        <v>0.11</v>
      </c>
      <c r="ET140">
        <f t="shared" si="330"/>
        <v>31</v>
      </c>
      <c r="EU140">
        <f t="shared" si="331"/>
        <v>0</v>
      </c>
      <c r="EV140">
        <f t="shared" si="332"/>
        <v>0.47545054475386805</v>
      </c>
      <c r="EW140" s="6">
        <f>IFERROR(ROUNDUP(EV140/IF(BV140=1,BU140,(Uн_лин/SQRT(3))*1000)*100,2),"")</f>
        <v>0.21000000000000002</v>
      </c>
      <c r="EX140" t="str">
        <f>IFERROR(VLOOKUP(BZ140,Кабель_обозначение,2,FALSE),"")</f>
        <v>ВВГнг(А)-LS</v>
      </c>
      <c r="EY140" t="str">
        <f t="shared" si="333"/>
        <v>ВВГнг(А)-LS (3х1,5)</v>
      </c>
      <c r="EZ140" t="str">
        <f t="shared" si="334"/>
        <v>ВВГнг(А)-LS (3х1,5)
L=35-0,21%</v>
      </c>
      <c r="FA140">
        <f>IFERROR(2*ρкз_Cu*P140/EN140,"")</f>
        <v>1.2273333333333334</v>
      </c>
      <c r="FB140">
        <f t="shared" si="335"/>
        <v>0.40833333333333338</v>
      </c>
      <c r="FC140" s="6" t="str">
        <f>IFERROR(IF(OR(B140="",BV140=1,NOT(ISNUMBER(EN140)),N(P140)=0),"",_xlfn.XLOOKUP(A140,Щиты[Щит],Щиты[Zпетли на шинах, Ом])+FA140),"")</f>
        <v/>
      </c>
      <c r="FD140" s="6" t="str">
        <f>IF(ISNUMBER(FC140),c_min*(Uн_лин*1000/SQRT(3))/FC140,"")</f>
        <v/>
      </c>
      <c r="FE140" s="6" t="str">
        <f>IFERROR(IF(OR(B140="",NOT(ISNUMBER(EN140))),"",1.05*(Uн_лин*1000/SQRT(3))/(_xlfn.XLOOKUP(A140,Щиты[Щит],Щиты[Zmax на шинах, Ом])+FB140)/1000),"")</f>
        <v/>
      </c>
      <c r="FF140" s="6" t="str">
        <f>IF(B140="","",IF(ISNUMBER(AC140),"Сил",IF(IFERROR(_xlfn.XLOOKUP(BC140,Коды_код,Коды_группа)&amp;"","")="","Быт",_xlfn.XLOOKUP(BC140,Коды_код,Коды_группа)&amp;"")))</f>
        <v>Сил</v>
      </c>
      <c r="FG140" s="6" t="str">
        <f t="shared" si="336"/>
        <v>Сил</v>
      </c>
      <c r="FH140" s="6">
        <f>IF(FG140="Щит","щит",IF(FG140="","",IF(FG140="Быт",IFERROR(_xlfn.XLOOKUP(A140,Щиты[Щит],Щиты[Кс быт]),1),IF(FG140="Сил",IF(ISNUMBER(AC140),AC140,IF(Методика="нормы 2026",IFERROR(_xlfn.XLOOKUP(A140,Щиты[Щит],Щиты[Кс силовых (табл. 7.5)]),1),1)),IF(OR(FG140="Пост",FG140="Отоп"),1,IF(FG140="ВНГ",0.7,0))))))</f>
        <v>0.5</v>
      </c>
      <c r="FI140">
        <f>IF(FG140="","",IF(AND(BP140=1,TRIM(AE140&amp;"")=""),IF(COUNTIFS(Линии[Щит],A140,Линии[Секция (1/2/3)],"&gt;=2")&gt;0,MIN(3,MAX(1,IFERROR(--BD140,1))),1),IFERROR(MIN(3,MAX(1,INT(--AE140))),1)))</f>
        <v>1</v>
      </c>
      <c r="FJ140">
        <f t="shared" si="337"/>
        <v>0.104</v>
      </c>
      <c r="FK140">
        <f t="shared" si="338"/>
        <v>0</v>
      </c>
      <c r="FL140">
        <f t="shared" si="339"/>
        <v>5.1999999999999998E-2</v>
      </c>
      <c r="FM140">
        <f t="shared" si="340"/>
        <v>0</v>
      </c>
      <c r="FN140">
        <f t="shared" si="341"/>
        <v>0</v>
      </c>
      <c r="FO140">
        <f t="shared" si="342"/>
        <v>0</v>
      </c>
      <c r="FP140">
        <f t="shared" si="343"/>
        <v>0.104</v>
      </c>
      <c r="FQ140">
        <f t="shared" si="344"/>
        <v>0.104</v>
      </c>
      <c r="FR140">
        <f t="shared" si="345"/>
        <v>8.3199999999999996E-2</v>
      </c>
      <c r="FS140">
        <f>IF(CG140=1,IF(AND(CH140=1,CW140=1),0,IF(AND(CS140&lt;&gt;"",CS140=BA140,CW140=1),SUMIFS(Линии[_Р линии, кВт],Линии[_блок УЗО],BA140,Линии[Щит],A140),N(BS140)+IF(AJ140="вручную",0,N(CK140)))),0)</f>
        <v>0.104</v>
      </c>
      <c r="FT140" t="str">
        <f t="shared" si="346"/>
        <v/>
      </c>
      <c r="FU140" t="str">
        <f>IF(B140="","",IF(CG140=0,IF(BA140=1,"",FW139),IF(AND(CH140=1,CW140=1,CS140&lt;&gt;""),IFERROR(_xlfn.XLOOKUP(CS140,Линии[_n],Линии[_фаза итог]),"L1"),IF(OR(N(DL140)&gt;=3,N(BX140)&gt;=3),"L1,L2,L3",IFERROR(_xlfn.TEXTBEFORE(_xlfn.TEXTAFTER(_xlfn.XLOOKUP(A140,Щиты[Щит],Щиты[_фазы авто]),";"&amp;BA140&amp;":"),";"),"L1")))))</f>
        <v>L1</v>
      </c>
      <c r="FV140" t="str">
        <f t="shared" si="347"/>
        <v>L1</v>
      </c>
      <c r="FW140" t="str">
        <f t="shared" si="348"/>
        <v>L1</v>
      </c>
      <c r="FX140" cm="1">
        <f t="array" ref="FX140">IFERROR(IF(CD140=2,_xlfn.IFS(BX140=3,VLOOKUP(BS140,Справочная_двигатели,3,FALSE),BX140=1,VLOOKUP(BS140,Справочная_двигатели,5,TRUE)),0),0)</f>
        <v>0</v>
      </c>
      <c r="FY140">
        <f>IFERROR(IF(CD140=3,VLOOKUP(BS140,Справочная_ЛЭД,2,TRUE),0),0)</f>
        <v>0</v>
      </c>
      <c r="FZ140" s="6">
        <f t="shared" si="349"/>
        <v>0</v>
      </c>
      <c r="GA140" t="str">
        <f>IF(B140="","",IF(TRIM(AH140&amp;"")&lt;&gt;"",IF(LOWER(TRIM(AH140&amp;""))="да","да","нет"),IF(IFERROR(_xlfn.XLOOKUP(BC140,Коды_код,Коды_пожарная),"")="да","да","нет")))</f>
        <v>нет</v>
      </c>
      <c r="GB140" t="str">
        <f t="shared" si="350"/>
        <v/>
      </c>
      <c r="GC140" t="str">
        <f t="shared" si="351"/>
        <v>основная</v>
      </c>
      <c r="GD140">
        <f>IF(AND(BP140=1,TRIM(AE140&amp;"")=""),IF(COUNTIFS(Линии[Щит],A140,Линии[Секция (1/2/3)],"&gt;=2")&gt;0,MIN(3,MAX(1,IFERROR(--BD140,1))),1),IFERROR(MIN(3,MAX(1,INT(--AE140))),1))</f>
        <v>1</v>
      </c>
      <c r="GE140" t="str" cm="1">
        <f t="array" ref="GE140">IF(B140="","",_xlfn.LET(_xlpm.t,IFERROR(_xlfn.XLOOKUP(1,(Шины[Шина]=GC140)*(((Шины[Щит]=A140)+(Шины[Щит]=""))&gt;0),Шины[Тип]),"")&amp;"",IF(_xlpm.t&lt;&gt;"",_xlpm.t,IF(ISNUMBER(SEARCH("ИБП",GC140)),"ИБП",IF(ISNUMBER(SEARCH("ДГУ",GC140)),"ДГУ","Ввод "&amp;GD140)))))</f>
        <v>Ввод 1</v>
      </c>
      <c r="GF140" t="str">
        <f t="shared" si="352"/>
        <v>Ввод 1</v>
      </c>
      <c r="GG140" t="str">
        <f>IF(BP140=0,"",IF(TRIM(AG140&amp;"")&lt;&gt;"",TRIM(AG140&amp;""),IF(OR(GE140="ИБП",GE140="ДГУ"),"I особая",_xlfn.XLOOKUP(A140,Щиты[Щит],Щиты[Категория шины «Ввод»],"III"))))</f>
        <v/>
      </c>
      <c r="GH140" t="str">
        <f>IF(A140="","",_xlfn.XLOOKUP(A140,Щиты[Щит],Щиты[Путь],""))</f>
        <v>|ГРЩ-ЖД|ЩОВ-2|</v>
      </c>
      <c r="GI140" t="str">
        <f>IF(B140="","",IF(AI140&lt;&gt;"",AI140,IF(IFERROR(_xlfn.XLOOKUP(BC140,Коды_код,Коды_вид)&amp;"","")="","Прочее",_xlfn.XLOOKUP(BC140,Коды_код,Коды_вид)&amp;"")))</f>
        <v>Кондиционирование и увлажнение</v>
      </c>
      <c r="GJ140">
        <f>IF(BM140="","",INT((BM140-1)/Столбцов_на_лист)+1)</f>
        <v>2</v>
      </c>
      <c r="GK140" t="str">
        <f t="shared" si="353"/>
        <v>ВВГнг(А)-LS (3х1,5) L=35-0,21%</v>
      </c>
      <c r="GL140">
        <f t="shared" si="354"/>
        <v>0.104</v>
      </c>
      <c r="GM140">
        <f t="shared" si="355"/>
        <v>0.57000000000000006</v>
      </c>
      <c r="GN140">
        <f t="shared" si="356"/>
        <v>1</v>
      </c>
      <c r="GO140">
        <f t="shared" si="357"/>
        <v>0</v>
      </c>
      <c r="GP140">
        <f t="shared" si="358"/>
        <v>1</v>
      </c>
      <c r="GQ140">
        <f>IF(BM140="","",IF(AND(CG140=1,GP140=1),COUNTIFS(A$3:A140,A140,CG$3:CG140,1,GP$3:GP140,1),IF(OR(OR(BA140=1,A140&lt;&gt;A139),AJ140="вручную",GP140=0),"",IF(BA140=1,"",GR139))))</f>
        <v>10</v>
      </c>
      <c r="GR140">
        <f t="shared" si="359"/>
        <v>10</v>
      </c>
      <c r="GS140">
        <f>IF(B140="","",IFERROR(LOOKUP(INDEX(CHOOSE(EB140,Iдоп_1ж,Iдоп_2ж,Iдоп_3ж),MATCH(EN140,Iдоп_S,0))*DZ140*EA140,{6,10,16,20,25,32,40,50,63,80,100,125,160,200,250,315,400,500,630}),""))</f>
        <v>16</v>
      </c>
      <c r="GT140" t="str">
        <f t="shared" si="360"/>
        <v>QF10</v>
      </c>
      <c r="GU140" t="str">
        <f t="shared" si="361"/>
        <v>QF10</v>
      </c>
      <c r="GV140" t="str">
        <f t="shared" si="362"/>
        <v/>
      </c>
      <c r="GW140">
        <f t="shared" si="363"/>
        <v>0</v>
      </c>
      <c r="GX140" t="str">
        <f>IF(OR(B140="",DJ140=""),"",IFERROR(_xlfn.XLOOKUP(DJ140,Модули_умолч[Управление],Модули_умолч[Модель])&amp;"",""))</f>
        <v/>
      </c>
      <c r="GY140">
        <f>IF(DJ140="",1,IFERROR(MAX(0,N(_xlfn.XLOOKUP(DJ140,Модули_умолч[Управление],Модули_умолч[Каналов на линию]))),1))</f>
        <v>1</v>
      </c>
      <c r="GZ140" t="str">
        <f t="shared" si="364"/>
        <v/>
      </c>
      <c r="HA140" t="str">
        <f t="shared" si="365"/>
        <v/>
      </c>
      <c r="HB140" t="str">
        <f t="shared" si="366"/>
        <v/>
      </c>
      <c r="HC140">
        <f>IF(HB140="",0,IFERROR(N(VLOOKUP(HB140,Модули_спр,3,FALSE)),0))</f>
        <v>0</v>
      </c>
      <c r="HD140" t="str">
        <f t="shared" si="367"/>
        <v/>
      </c>
      <c r="HE140" t="str">
        <f t="shared" si="368"/>
        <v/>
      </c>
      <c r="HF140" t="str">
        <f>IF(OR(HE140="",HE140="-"),"",IFERROR(VLOOKUP(HE140,Модули_спр,2,FALSE),"R"))</f>
        <v/>
      </c>
      <c r="HG140" t="str">
        <f>IF(HF140="","",HF140&amp;"."&amp;COUNTIFS(A$3:A140,A140,HF$3:HF140,HF140))</f>
        <v/>
      </c>
      <c r="HH140" t="str">
        <f t="shared" si="369"/>
        <v/>
      </c>
      <c r="HI140" t="str">
        <f t="shared" si="370"/>
        <v/>
      </c>
      <c r="HJ140" t="str">
        <f t="shared" si="371"/>
        <v/>
      </c>
      <c r="HK140" t="str">
        <f t="shared" si="372"/>
        <v/>
      </c>
      <c r="HL140">
        <f t="shared" si="373"/>
        <v>1</v>
      </c>
      <c r="HM140" t="str">
        <f>IF(HL140=1,"XT"&amp;COUNTIFS(A$3:A140,A140,HL$3:HL140,1),"")</f>
        <v>XT10</v>
      </c>
      <c r="HN140" t="str">
        <f t="shared" si="374"/>
        <v/>
      </c>
      <c r="HO140" t="str">
        <f t="shared" si="375"/>
        <v>QF10</v>
      </c>
      <c r="HP140" t="str">
        <f t="shared" si="376"/>
        <v/>
      </c>
      <c r="HQ140" t="str">
        <f t="shared" si="377"/>
        <v>ok</v>
      </c>
      <c r="HR140" t="str">
        <f>IF(OR(HJ140="",HH140=""),"",IF(HJ140+MAX(0,GY140-1)&gt;IFERROR(VLOOKUP(HI140,Модули_спр,3,FALSE),99),"ЛИШНИЙ КАНАЛ",IF(AND(AL140&lt;&gt;"=",GY140&gt;0,COUNTIFS(Линии[_модуль гр.],HH140,Линии[Канал (итог)],HJ140,Линии[Канал],"&lt;&gt;=",Линии[Щит],A140)&gt;1),"ДУБЛЬ КАНАЛА","")))</f>
        <v/>
      </c>
      <c r="HS140" s="6" t="str">
        <f t="shared" si="378"/>
        <v/>
      </c>
      <c r="HT140">
        <f t="shared" si="379"/>
        <v>10</v>
      </c>
      <c r="HU140" t="str">
        <f t="shared" si="380"/>
        <v/>
      </c>
      <c r="HV140">
        <f t="shared" si="381"/>
        <v>0.575166604983954</v>
      </c>
      <c r="HW140">
        <f t="shared" si="382"/>
        <v>0</v>
      </c>
      <c r="HX140">
        <f t="shared" si="383"/>
        <v>0</v>
      </c>
      <c r="HY140">
        <f t="shared" si="384"/>
        <v>0</v>
      </c>
      <c r="HZ140">
        <f t="shared" si="385"/>
        <v>0</v>
      </c>
      <c r="IA140">
        <f t="shared" si="386"/>
        <v>0</v>
      </c>
      <c r="IB140">
        <f t="shared" si="387"/>
        <v>0</v>
      </c>
      <c r="IC140" t="str">
        <f t="shared" si="388"/>
        <v/>
      </c>
      <c r="ID140" t="str" cm="1">
        <f t="array" ref="ID140">IF(IC140="","",_xlfn.LET(_xlpm.tk,_xlfn.TEXTSPLIT(SUBSTITUTE(SUBSTITUTE(IC140,";"," "),"→"," ")," ",,TRUE),_xlpm.w_,_xlfn._xlws.FILTER(_xlpm.tk,ISNUMBER(--LEFT(_xlpm.tk,1))*((ISNUMBER(SEARCH("W",_xlpm.tk))+ISNUMBER(SEARCH("Вт",_xlpm.tk)))&gt;0),""),IFERROR(--SUBSTITUTE(SUBSTITUTE(UPPER(INDEX(_xlpm.w_,1)),"W",""),"ВТ",""),"")))</f>
        <v/>
      </c>
      <c r="IE140" t="str" cm="1">
        <f t="array" ref="IE140">IF(IC140="","",_xlfn.LET(_xlpm.tk,_xlfn.TEXTSPLIT(SUBSTITUTE(SUBSTITUTE(IC140,";"," "),"→"," ")," ",,TRUE),_xlpm.v_,_xlfn._xlws.FILTER(_xlpm.tk,ISNUMBER(--LEFT(_xlpm.tk,1))*((ISNUMBER(SEARCH("V",_xlpm.tk))+(RIGHT(UPPER(_xlpm.tk))="В"))&gt;0),""),IFERROR(--SUBSTITUTE(SUBSTITUTE(UPPER(INDEX(_xlpm.v_,1)),"V",""),"В",""),"")))</f>
        <v/>
      </c>
      <c r="IF140" s="6" t="str">
        <f>IF(OR(BV140=0,HI140="",HJ140=""),"",IFERROR(N(_xlfn.XLOOKUP(HI140,Каталог!$C$4:$C$500,Каталог!$Q$4:$Q$500)),""))</f>
        <v/>
      </c>
      <c r="IG140" s="6" t="str">
        <f>IF(N(IF140)=0,"",SUMIFS(Линии[Iр, А],Линии[Щит],A140,Линии[_модуль гр.],HH140,Линии[Канал (итог)],HJ140))</f>
        <v/>
      </c>
      <c r="IH140" t="str">
        <f>IF(AND(B140="",HO140=""),"",_xlfn.TEXTJOIN("; ",TRUE,IF(AND(B140&lt;&gt;"",FV140=""),"нет фазы",""),IF(AND(B140&lt;&gt;"",N(GL140)=0,FG140&lt;&gt;"Нет"),"нет мощности",""),IF(AND(HN140&lt;&gt;"",COUNTIFS(Линии[Щит],A140,Линии[Клемма (итог)],HN140)&gt;1),"дубль клеммы "&amp;HN140,""),IF(AND(HQ140&lt;&gt;"",HQ140&lt;&gt;"ok"),HQ140,""),IF(HR140&lt;&gt;"",HR140,""),IF(AND(N(CB140)&gt;=4,N(BX140)=1),CB140&amp;" жил на 1 фазе",""),IF(AND(BC140="R",CG140=1,IF(CS140&lt;&gt;"",N(CV140)&gt;30,OR(N(DA140)=0,N(DA140)&gt;30))),"розетка без дифзащиты до 30 мА",""),IF(AND(CG140=1,N(DA140)&gt;0,ISNUMBER(T140)),IF(T140&gt;N(DA140)/3,"ток утечки "&amp;FIXED(T140,1)&amp;" мА &gt; 1/3 уставки ("&amp;DA140&amp;" мА)",""),""),IF(AND(CH140=1,CS140=""),"«узо»: нет строки с УЗО выше (УЗО 2P 40А 30мА в «Аппаратах»)",""),IF(AND(CS140&lt;&gt;"",CS140=BA140),IF(CT140="","впишите номинал УЗО (УЗО 2P 40А 30мА)",IF(N(CT140)&lt;N(DT140),"УЗО "&amp;CT140&amp;" А &lt; автомата "&amp;DT140&amp;" А перед ним",IF(N(CT140)&lt;N(CX140),"УЗО "&amp;CT140&amp;" А &lt; тока блока "&amp;FIXED(CX140,1)&amp;" А",""))),""),IF(AND(CS140&lt;&gt;"",CS140=BA140,ISNUMBER(CY140)),IF(CY140&gt;N(CV140)/3,"ток утечки блока УЗО "&amp;FIXED(CY140,1)&amp;" мА &gt; 1/3 уставки ("&amp;CV140&amp;" мА)",""),""),IF(AND(CG140=1,N(BV140)+N(IB140)&gt;0,IC140=""),"линии до 50 В без БП: впишите в «Аппараты» (БП 24V 480W)",""),IF(AND(CG140=1,ISNUMBER(ID140),ISNUMBER(U140)),IF(U140&gt;ID140,"БП "&amp;ID140&amp;" Вт &lt; нужно "&amp;U140&amp;" Вт (×"&amp;Запас_БП&amp;")",""),""),IF(AND(CG140=1,ISNUMBER(IE140),N(BV140)=1),IF(IE140&lt;&gt;N(BU140),"БП на "&amp;IE140&amp;" В, линия "&amp;BU140&amp;" В",""),""),IF(AND(N(IF140)&gt;0,N(IG140)&gt;N(IF140)),HH140&amp;" канал "&amp;HJ140&amp;": "&amp;FIXED(IG140,1)&amp;" А &gt; "&amp;IF140&amp;" А",""),IFERROR(IF(AND(ISNUMBER(Q140),Q140&gt;EL140),"потери "&amp;FIXED(Q140,1)&amp;" % &gt; "&amp;EL140&amp;" %",""),""),IFERROR(IF(LEFT(HU140,4)="мало","Iкз мало — отключение &gt; 0,4 с",""),""),IF(AND(B140&lt;&gt;"",BM140=""),"не на схеме",""),IF(AND(CG140=0,B140&lt;&gt;"",FV140&lt;&gt;"",IF(BA140=1,"",FW139)&lt;&gt;"",FV140&lt;&gt;IF(BA140=1,"",FW139)),"фаза не как у автомата группы ("&amp;IF(BA140=1,"",FW139)&amp;")","")))</f>
        <v/>
      </c>
      <c r="II140" s="6" t="str">
        <f>IF(OR(CG140=0,DQ140=""),"",_xlfn.LET(_xlpm.t,IFERROR(_xlfn.XLOOKUP(DQ140,Каталог!$U$4:$U$500,Каталог!$G$4:$G$500),""),_xlpm.k,SEARCH("кА",_xlpm.t),IFERROR(--TRIM(RIGHT(SUBSTITUTE(MID(_xlpm.t,MAX(1,_xlpm.k-4),_xlpm.k-MAX(1,_xlpm.k-4))," ",REPT(" ",9)),5)),"")))</f>
        <v/>
      </c>
      <c r="IJ140" t="str">
        <f>IF(OR(II140="",CG140=0),"",IF(_xlfn.XLOOKUP(A140,Щиты[Щит],Щиты[Iкз max на шинах, кА],"")="","",IF(II140&lt;_xlfn.XLOOKUP(A140,Щиты[Щит],Щиты[Iкз max на шинах, кА]),"Icu "&amp;II140&amp;" кА &lt; Iкз max","ok")))</f>
        <v/>
      </c>
      <c r="IK140" t="str">
        <f t="shared" si="389"/>
        <v/>
      </c>
      <c r="IL140" t="str">
        <f t="shared" si="390"/>
        <v>QF10</v>
      </c>
      <c r="IM140" t="str">
        <f t="shared" si="391"/>
        <v>QF10|кабель ВВГнг(А)-LS (3х1,5) → Внутренний блок кондиционирования Технический этаж Пом. №001Б</v>
      </c>
      <c r="IN140" t="str" cm="1">
        <f t="array" ref="IN140">IF(IM140="","",_xlfn.LET(_xlpm.nd,_xlfn.TEXTSPLIT(IM140,"|"),IF(COLUMNS(_xlpm.nd)&gt;1,A140&amp;"¦"&amp;INDEX(_xlpm.nd,1)&amp;"¦"&amp;INDEX(_xlpm.nd,2),"")))</f>
        <v>ЩОВ-2¦QF10¦кабель ВВГнг(А)-LS (3х1,5) → Внутренний блок кондиционирования Технический этаж Пом. №001Б</v>
      </c>
      <c r="IO140" t="str">
        <f t="shared" si="392"/>
        <v>K.2.016A¦Внутренний блок кондиционирования Технический этаж Пом. №001Б</v>
      </c>
      <c r="IP140" t="str" cm="1">
        <f t="array" ref="IP140">IF(IM140="","",_xlfn.LET(_xlpm.nd,_xlfn.TEXTSPLIT(IM140,"|"),IF(COLUMNS(_xlpm.nd)&gt;2,A140&amp;"¦"&amp;INDEX(_xlpm.nd,2)&amp;"¦"&amp;INDEX(_xlpm.nd,3),"")))</f>
        <v/>
      </c>
      <c r="IQ140" t="str">
        <f t="shared" si="393"/>
        <v/>
      </c>
      <c r="IR140" t="str" cm="1">
        <f t="array" ref="IR140">IF(IM140="","",_xlfn.LET(_xlpm.nd,_xlfn.TEXTSPLIT(IM140,"|"),IF(COLUMNS(_xlpm.nd)&gt;3,A140&amp;"¦"&amp;INDEX(_xlpm.nd,3)&amp;"¦"&amp;INDEX(_xlpm.nd,4),"")))</f>
        <v/>
      </c>
      <c r="IS140" t="str">
        <f t="shared" si="394"/>
        <v/>
      </c>
      <c r="IT140" t="str" cm="1">
        <f t="array" ref="IT140">IF(IM140="","",_xlfn.LET(_xlpm.nd,_xlfn.TEXTSPLIT(IM140,"|"),IF(COLUMNS(_xlpm.nd)&gt;4,A140&amp;"¦"&amp;INDEX(_xlpm.nd,4)&amp;"¦"&amp;INDEX(_xlpm.nd,5),"")))</f>
        <v/>
      </c>
      <c r="IU140" t="str">
        <f t="shared" si="395"/>
        <v/>
      </c>
      <c r="IV140" t="str" cm="1">
        <f t="array" ref="IV140">IF(IM140="","",_xlfn.LET(_xlpm.nd,_xlfn.TEXTSPLIT(IM140,"|"),IF(COLUMNS(_xlpm.nd)&gt;5,A140&amp;"¦"&amp;INDEX(_xlpm.nd,5)&amp;"¦"&amp;INDEX(_xlpm.nd,6),"")))</f>
        <v/>
      </c>
      <c r="IW140" t="str">
        <f t="shared" si="396"/>
        <v/>
      </c>
      <c r="IX140" t="str" cm="1">
        <f t="array" ref="IX140">IF(IM140="","",_xlfn.LET(_xlpm.nd,_xlfn.TEXTSPLIT(IM140,"|"),IF(COLUMNS(_xlpm.nd)&gt;6,A140&amp;"¦"&amp;INDEX(_xlpm.nd,6)&amp;"¦"&amp;INDEX(_xlpm.nd,7),"")))</f>
        <v/>
      </c>
      <c r="IY140" t="str">
        <f t="shared" si="397"/>
        <v/>
      </c>
      <c r="IZ140" t="str">
        <f t="shared" si="398"/>
        <v/>
      </c>
      <c r="JA140" t="str">
        <f t="shared" si="399"/>
        <v>QF10</v>
      </c>
      <c r="JB140">
        <f t="shared" si="400"/>
        <v>0</v>
      </c>
      <c r="JC140">
        <f t="shared" si="401"/>
        <v>0</v>
      </c>
      <c r="JD140" t="str">
        <f t="shared" si="402"/>
        <v/>
      </c>
      <c r="JE140" t="str">
        <f t="shared" si="403"/>
        <v/>
      </c>
      <c r="JF140" t="str">
        <f t="shared" si="404"/>
        <v/>
      </c>
      <c r="JG140" t="str">
        <f t="shared" si="405"/>
        <v/>
      </c>
      <c r="JH140">
        <f>IF(B140="","",IFERROR(_xlfn.XLOOKUP(B140,Коды_код,Коды_уго),IFERROR(_xlfn.XLOOKUP(BC140,Коды_код,Коды_уго),IFERROR(_xlfn.XLOOKUP(LEFT(BC140,2),Коды_код,Коды_уго),""))))</f>
        <v>0</v>
      </c>
      <c r="JI140" t="str">
        <f>IF(B140="","",IF(OR(JH140="",JH140=0),"BOX",IFERROR(IF(VLOOKUP(JH140,УГО_блоки,3,FALSE)&amp;""&lt;&gt;"",VLOOKUP(JH140,УГО_блоки,3,FALSE),VLOOKUP(JH140,УГО_блоки,2,FALSE)),JH140)))</f>
        <v>BOX</v>
      </c>
      <c r="JJ140">
        <f t="shared" si="406"/>
        <v>1</v>
      </c>
      <c r="JK140" t="str">
        <f>IF(DQ140="","",IF(COUNTIF(DQ$3:DQ140,DQ140)=1,MAX(JK$2:JK139)+1,""))</f>
        <v/>
      </c>
      <c r="JL140" t="str">
        <f>IF(DE140="","",IF(COUNTIF(DE$3:DE140,DE140)+COUNTIF(DF$2:DF139,DE140)+COUNTIF(DG$2:DG139,DE140)=1,MAX(JL$2:JN139)+1,""))</f>
        <v/>
      </c>
      <c r="JM140" t="str">
        <f>IF(DF140="","",IF(COUNTIF(DE$3:DE140,DF140)+COUNTIF(DF$3:DF140,DF140)+COUNTIF(DG$2:DG139,DF140)=1,MAX(JL$2:JN139,JL140)+1,""))</f>
        <v/>
      </c>
      <c r="JN140" t="str">
        <f>IF(DG140="","",IF(COUNTIF(DE$3:DE140,DG140)+COUNTIF(DF$3:DF140,DG140)+COUNTIF(DG$3:DG140,DG140)=1,MAX(JL$2:JN139,JL140,JM140)+1,""))</f>
        <v/>
      </c>
      <c r="JO140" t="str">
        <f t="shared" si="407"/>
        <v>3х1,5</v>
      </c>
      <c r="JP140" t="str">
        <f>IF(JO140="","",IF(COUNTIF(JO$3:JO140,JO140)=1,MAX(JP$2:JP139)+1,""))</f>
        <v/>
      </c>
      <c r="JQ140" t="str">
        <f>IF(HG140="","",COUNTIF(HG$3:HG140,"?*"))</f>
        <v/>
      </c>
      <c r="JR140" t="str">
        <f>IF(OR(HG140="",HI140=""),"",IF(COUNTIFS(HG$3:HG140,"?*",HI$3:HI140,HI140)=1,MAX(JR$2:JR139)+1,""))</f>
        <v/>
      </c>
      <c r="JS140">
        <f t="shared" si="408"/>
        <v>0</v>
      </c>
      <c r="JT140">
        <f>IF(B140="","",COUNTIF(B$3:B140,"?*"))</f>
        <v>138</v>
      </c>
      <c r="JU140">
        <f>IF(HL140&lt;&gt;1,0,_xlfn.LET(_xlpm.k,MAX(IFERROR(--_xlfn.XLOOKUP(B140,Коды_код,Коды_3L),0),IFERROR(--_xlfn.XLOOKUP(BC140,Коды_код,Коды_3L),0),IFERROR(--_xlfn.XLOOKUP(LEFT(BC140,2),Коды_код,Коды_3L),0)),IF(_xlpm.k&gt;0,_xlpm.k,IF(IFERROR(--LEFT(SUBSTITUTE(JO140,"x","х"),FIND("х",SUBSTITUTE(JO140,"x","х"))-1),3)&gt;3,Каталог!$S$9,1))))</f>
        <v>1</v>
      </c>
      <c r="JV140">
        <f t="shared" si="409"/>
        <v>0</v>
      </c>
      <c r="JW140" t="str">
        <f t="shared" si="410"/>
        <v>авто</v>
      </c>
      <c r="JX140" t="str">
        <f t="shared" si="411"/>
        <v/>
      </c>
      <c r="JY140">
        <f t="shared" si="412"/>
        <v>0</v>
      </c>
      <c r="JZ140">
        <f t="shared" si="413"/>
        <v>1</v>
      </c>
    </row>
    <row r="141" spans="1:286" x14ac:dyDescent="0.3">
      <c r="A141" t="s">
        <v>751</v>
      </c>
      <c r="B141" t="s">
        <v>1450</v>
      </c>
      <c r="C141" t="s">
        <v>1687</v>
      </c>
      <c r="D141">
        <v>1</v>
      </c>
      <c r="E141">
        <v>0.16200000000000001</v>
      </c>
      <c r="G141" t="str">
        <f>Линии[[#This Row],[_авто автомат]]</f>
        <v>1P С6А</v>
      </c>
      <c r="H141" t="str">
        <f>Линии[[#This Row],[_авто управление]]</f>
        <v/>
      </c>
      <c r="I141" t="str">
        <f>Линии[[#This Row],[_авто аппараты]]</f>
        <v/>
      </c>
      <c r="J141">
        <v>1.5</v>
      </c>
      <c r="K141">
        <v>30</v>
      </c>
      <c r="L141">
        <v>1</v>
      </c>
      <c r="M141" t="s">
        <v>484</v>
      </c>
      <c r="N141" t="str">
        <f t="shared" si="276"/>
        <v/>
      </c>
      <c r="O141" s="6" cm="1">
        <f t="array" ref="O141">IF(B141="","",IF(BH141&lt;&gt;"",IFERROR(_xlfn.XLOOKUP(BH141,Щиты[Щит],Щиты[Iр, А]),""),IF(BP141=1,IF(OR(N(_xlfn.XLOOKUP(A141,Щиты[Щит],Щиты[Вводов],1))&lt;=1,LOWER(TRIM(_xlfn.XLOOKUP(A141,Щиты[Щит],Щиты[АВР],"")&amp;""))="да"),IFERROR(_xlfn.XLOOKUP(A141,Щиты[Щит],Щиты[Iр, А]),""),IFERROR(N(BS141)*_xlfn.XLOOKUP(A141,Щиты[Щит],Щиты[Кс итог])/(SQRT(3)*Uн_лин*_xlfn.XLOOKUP(A141,Щиты[Щит],Щиты[cos φ])),"")),IF(BV141=1,IFERROR(BS141*1000/BU141,""),IFERROR(_xlfn.IFS(BX141=1,BS141/((Uн_лин/SQRT(3))*CE141),BX141=3,BS141/(SQRT(3)*Uн_лин*CE141)),"")))))</f>
        <v>0.87685072133174402</v>
      </c>
      <c r="P141" s="7">
        <f>IF(B141="","",IFERROR(IF(VLOOKUP(BC141,Потребители_обозначение,4,FALSE)=1,VLOOKUP(BC141,Потребители_обозначение,3,FALSE)*(MAX(1,N(D141))*2-1)+EI141+VLOOKUP(BE141,Этаж_обозначение,3,FALSE)+VLOOKUP(BE141,Этаж_обозначение,4,FALSE),VLOOKUP(BC141,Потребители_обозначение,3,FALSE)*(MAX(1,N(D141))*2-1)+EI141),EI141))</f>
        <v>32</v>
      </c>
      <c r="Q141" s="6">
        <f t="shared" si="277"/>
        <v>1.44</v>
      </c>
      <c r="R141" t="str">
        <f t="shared" si="278"/>
        <v>ВВГнг(А)-LS (3х1,5)</v>
      </c>
      <c r="S141" t="str">
        <f>IF(BM141="","",IF(BN141="вводной узел","узел ","")&amp;"л."&amp;(INT((BM141-1)/Столбцов_на_лист)+1)&amp;" / "&amp;(MOD(BM141-1,Столбцов_на_лист)+1))</f>
        <v>л.2 / 8</v>
      </c>
      <c r="T141" s="119">
        <f t="shared" si="279"/>
        <v>0.7</v>
      </c>
      <c r="U141" s="7" t="str">
        <f>IF(OR(CG141=0,N(BV141)+N(IB141)=0),"",ROUNDUP(Запас_БП*(N(HY141)+N(HZ141)),0))</f>
        <v/>
      </c>
      <c r="V141" s="119" t="str">
        <f t="shared" si="280"/>
        <v/>
      </c>
      <c r="W141" s="7" t="str">
        <f>IFERROR(IF(OR(B141="",BP141=1,BV141=1,NOT(ISNUMBER(EN141)),N(DT141)=0),"",MAX(0,ROUNDDOWN((c_min*(Uн_лин*1000/SQRT(3))/(HT141*N(DT141))-_xlfn.XLOOKUP(A141,Щиты[Щит],Щиты[Zпетли на шинах, Ом]))*EN141/(2*ρкз_Cu),0))),"")</f>
        <v/>
      </c>
      <c r="Y141" t="str">
        <f>Линии[[#This Row],[_авто утечка]]</f>
        <v/>
      </c>
      <c r="Z141">
        <v>1</v>
      </c>
      <c r="AA141">
        <v>230</v>
      </c>
      <c r="AB141" t="s">
        <v>598</v>
      </c>
      <c r="AC141">
        <v>0.5</v>
      </c>
      <c r="AG141" t="s">
        <v>810</v>
      </c>
      <c r="AI141" t="s">
        <v>576</v>
      </c>
      <c r="AK141" t="str">
        <f>Линии[[#This Row],[_авто модуль]]</f>
        <v/>
      </c>
      <c r="AM141">
        <v>25</v>
      </c>
      <c r="AN141" t="s">
        <v>11</v>
      </c>
      <c r="AO141">
        <v>3</v>
      </c>
      <c r="AQ141">
        <v>4</v>
      </c>
      <c r="AR141">
        <v>28</v>
      </c>
      <c r="AT141">
        <v>1</v>
      </c>
      <c r="BA141" cm="1">
        <f t="array" ref="BA141">ROW()-ROW(Линии[#Headers])</f>
        <v>139</v>
      </c>
      <c r="BC141" s="6" t="str">
        <f t="shared" si="281"/>
        <v>K</v>
      </c>
      <c r="BD141" t="str">
        <f t="shared" si="282"/>
        <v>2.019A</v>
      </c>
      <c r="BE141" t="str">
        <f t="shared" si="283"/>
        <v>2</v>
      </c>
      <c r="BF141" t="str">
        <f t="shared" si="284"/>
        <v>019A</v>
      </c>
      <c r="BG141" t="str">
        <f t="shared" si="285"/>
        <v>019A</v>
      </c>
      <c r="BH141" t="str">
        <f>IF(X141&lt;&gt;"",X141,IF(AND(B141&lt;&gt;"",B141&lt;&gt;A141,ISNUMBER(_xlfn.XMATCH(B141,Щиты[Щит]))),B141,""))</f>
        <v/>
      </c>
      <c r="BI141" t="str" cm="1">
        <f t="array" ref="BI141">IF(B141="","",IF(BH141&lt;&gt;"","Щит "&amp;BH141,_xlfn.LET(_xlpm.nm,IFERROR(_xlfn.XLOOKUP(BC141,Коды_код,Коды_имя)&amp;"",""),_xlpm.md,IFERROR(N(_xlfn.XLOOKUP(BC141,Коды_код,Коды_режим)),1),_xlpm.ex,IF(Имя_режим="по экспликации",IFERROR(_xlfn.XLOOKUP(BE141&amp;"|"&amp;BG141,Экспликация[Этаж]&amp;"|"&amp;Экспликация[Помещение],Экспликация[Название])&amp;"",""),""),_xlpm.rm,IF(BG141="","",IF(_xlpm.ex&lt;&gt;"",". "&amp;_xlpm.ex&amp;IF(Имя_пом="нет"," ("&amp;BG141&amp;")"," (пом. "&amp;BG141&amp;")"),IF(Имя_пом="нет"," ",", пом. ")&amp;BG141)),IF(_xlpm.nm="","",IF(_xlpm.md=2,_xlpm.nm&amp;" шлейф "&amp;BE141,_xlpm.nm&amp;_xlpm.rm)))))</f>
        <v>Внутренний блок кондиционирования, пом. 019A</v>
      </c>
      <c r="BJ141" t="str">
        <f t="shared" si="286"/>
        <v>Внутренний блок кондиционирования Технический этаж Пом. №003Т</v>
      </c>
      <c r="BK141">
        <f>IFERROR(_xlfn.XMATCH(A141,Щиты[Щит]),0)</f>
        <v>7</v>
      </c>
      <c r="BL141">
        <f>_xlfn.LET(_xlpm.k,IFERROR(_xlfn.XLOOKUP(A141,Щиты[Щит],Щиты[Мест под вводной узел]),""),IF(_xlpm.k="",Столбцов_на_лист,N(_xlpm.k)))</f>
        <v>12</v>
      </c>
      <c r="BM141">
        <f t="shared" si="287"/>
        <v>25</v>
      </c>
      <c r="BN141" t="str">
        <f t="shared" si="288"/>
        <v>линии</v>
      </c>
      <c r="BO141" s="6">
        <f>IFERROR(N(_xlfn.XLOOKUP(BC141,Коды_код,Коды_квт)),0)</f>
        <v>0</v>
      </c>
      <c r="BP141">
        <f t="shared" si="289"/>
        <v>0</v>
      </c>
      <c r="BQ141" t="str">
        <f>IF(B141="","",IF(BH141&lt;&gt;"",IFERROR(_xlfn.XLOOKUP(BH141,Щиты[Щит],Щиты[Руст, кВт]),0),IF(BP141=1,IF(OR(N(_xlfn.XLOOKUP(A141,Щиты[Щит],Щиты[Вводов],1))&lt;=1,LOWER(TRIM(_xlfn.XLOOKUP(A141,Щиты[Щит],Щиты[АВР],"")&amp;""))="да"),IFERROR(_xlfn.XLOOKUP(A141,Щиты[Щит],Щиты[Руст, кВт]),0),SUMIFS(Линии[_Р для вводов],Линии[Щит],A141,Линии[Источник для режимов],GF141)),IF(BO141&gt;0,ROUND(BO141*MAX(1,N(D141)),3),""))))</f>
        <v/>
      </c>
      <c r="BR141">
        <f t="shared" si="290"/>
        <v>0.16200000000000001</v>
      </c>
      <c r="BS141" s="6">
        <f>IF(B141="","",IF(BH141&lt;&gt;"",IFERROR(_xlfn.XLOOKUP(BH141,Щиты[Щит],Щиты[Руст, кВт]),0),N(BR141)))</f>
        <v>0.16200000000000001</v>
      </c>
      <c r="BT141" t="str">
        <f>IF(B141="","",IFERROR(IF(VLOOKUP(BC141,Потребители_обозначение,8,FALSE)=0,"",VLOOKUP(BC141,Потребители_обозначение,8,FALSE)),""))</f>
        <v/>
      </c>
      <c r="BU141">
        <f t="shared" si="291"/>
        <v>230</v>
      </c>
      <c r="BV141">
        <f t="shared" si="292"/>
        <v>0</v>
      </c>
      <c r="BW141">
        <f>IF(B141="","",IF(BH141&lt;&gt;"",3,IFERROR(IF(N(VLOOKUP(BC141,Потребители_обозначение,9,FALSE))=0,1,VLOOKUP(BC141,Потребители_обозначение,9,FALSE)),1)))</f>
        <v>1</v>
      </c>
      <c r="BX141">
        <f t="shared" si="293"/>
        <v>1</v>
      </c>
      <c r="BY141" t="str">
        <f>IF(B141="","",_xlfn.LET(_xlpm.bc,IFERROR(IF(VLOOKUP(BC141,Потребители_обозначение,6,FALSE)=0,"",VLOOKUP(BC141,Потребители_обозначение,6,FALSE)&amp;""),""),IF(AND(GA141="да",OR(_xlpm.bc="",_xlpm.bc="мс")),Марка_пож,IF(AND(_xlpm.bc="",BH141&lt;&gt;""),"мс",_xlpm.bc))))</f>
        <v/>
      </c>
      <c r="BZ141" t="str">
        <f t="shared" si="294"/>
        <v>мс</v>
      </c>
      <c r="CA141">
        <f>IF(B141="","",_xlfn.LET(_xlpm.cc,IFERROR(N(VLOOKUP(BC141,Потребители_обозначение,7,FALSE)),0),IF(_xlpm.cc&gt;0,_xlpm.cc,IF(BZ141="","",IF(BV141=1,2,IF(N(BX141)=3,5,3))))))</f>
        <v>3</v>
      </c>
      <c r="CB141">
        <f t="shared" si="295"/>
        <v>3</v>
      </c>
      <c r="CC141">
        <f>IFERROR(N(VLOOKUP(BC141,Потребители_обозначение,10,FALSE)),0)</f>
        <v>0</v>
      </c>
      <c r="CD141">
        <f>IFERROR(VLOOKUP(BC141,Потребители_обозначение,5,FALSE),0)</f>
        <v>1</v>
      </c>
      <c r="CE141" s="6" cm="1">
        <f t="array" ref="CE141">IF(B141="","",IF(BH141&lt;&gt;"",IFERROR(_xlfn.XLOOKUP(BH141,Щиты[Щит],Щиты[cos φ]),0.95),IF(BP141=1,IFERROR(_xlfn.XLOOKUP(A141,Щиты[Щит],Щиты[cos φ]),0.95),IF(ISNUMBER(AD141),AD141,IFERROR(IF(CD141=2,_xlfn.IFS(BX141=3,VLOOKUP(BS141,Справочная_двигатели,8,FALSE),BX141=1,VLOOKUP(BS141,Справочная_двигатели,10,TRUE)),IF(AND(Методика="нормы 2026",FG141="Сил"),0.8,0.95)),0.95)))))</f>
        <v>0.8</v>
      </c>
      <c r="CF141">
        <f t="shared" si="296"/>
        <v>0</v>
      </c>
      <c r="CG141">
        <f t="shared" si="297"/>
        <v>1</v>
      </c>
      <c r="CH141">
        <f t="shared" si="298"/>
        <v>0</v>
      </c>
      <c r="CI141">
        <f>IF(B141="","",IF(BV141=1,IFERROR(BS141/((Uн_лин/SQRT(3))*MAX(0.5,N(CE141))),0),N(O141)))</f>
        <v>0.87685072133174402</v>
      </c>
      <c r="CJ141">
        <f t="shared" si="299"/>
        <v>0</v>
      </c>
      <c r="CK141">
        <f t="shared" si="300"/>
        <v>0</v>
      </c>
      <c r="CL141">
        <f t="shared" si="301"/>
        <v>0</v>
      </c>
      <c r="CM141">
        <f t="shared" si="302"/>
        <v>0</v>
      </c>
      <c r="CN141">
        <f t="shared" si="303"/>
        <v>0</v>
      </c>
      <c r="CO141">
        <f>IF(BC141="",0,_xlfn.LET(_xlpm.v,IFERROR(_xlfn.XLOOKUP(B141,Коды_код,Коды_мА),IFERROR(_xlfn.XLOOKUP(BC141,Коды_код,Коды_мА),IFERROR(_xlfn.XLOOKUP(LEFT(BC141,2),Коды_код,Коды_мА),""))),IF(_xlpm.v="да",30,IF(ISNUMBER(_xlpm.v),_xlpm.v,0))))</f>
        <v>0</v>
      </c>
      <c r="CP141" t="str">
        <f t="shared" si="304"/>
        <v/>
      </c>
      <c r="CQ141" t="str">
        <f>_xlfn.LET(_xlpm.k,IFERROR(_xlfn.XLOOKUP(BC141,Коды_код,Коды_утечка)&amp;"",""),IF(_xlpm.k="","дифавтомат",_xlpm.k))</f>
        <v>дифавтомат</v>
      </c>
      <c r="CR141" t="str" cm="1">
        <f t="array" ref="CR141">IF(CG141=0,"",_xlfn.LET(_xlpm.sg,TRIM(_xlfn.TEXTSPLIT(DD141&amp;"",";")),_xlpm.f_,_xlfn._xlws.FILTER(_xlpm.sg,LEFT(_xlpm.sg,3)="УЗО",""),IFERROR(INDEX(_xlpm.f_,1)&amp;"","")))</f>
        <v/>
      </c>
      <c r="CS141" t="str">
        <f t="shared" si="305"/>
        <v/>
      </c>
      <c r="CT141" s="6" t="str" cm="1">
        <f t="array" ref="CT141">IF(CR141="","",_xlfn.LET(_xlpm.tk,_xlfn.TEXTSPLIT(UPPER(CR141)," ",,TRUE),_xlpm.a_,_xlfn._xlws.FILTER(_xlpm.tk,ISNUMBER(--LEFT(_xlpm.tk,1))*((ISNUMBER(SEARCH("А",_xlpm.tk))+ISNUMBER(SEARCH("A",_xlpm.tk)))&gt;0)*NOT(ISNUMBER(SEARCH("МА",_xlpm.tk)))*NOT(ISNUMBER(SEARCH("MA",_xlpm.tk))),""),IFERROR(--SUBSTITUTE(SUBSTITUTE(INDEX(_xlpm.a_,1),"А",""),"A",""),"")))</f>
        <v/>
      </c>
      <c r="CU141" t="str" cm="1">
        <f t="array" ref="CU141">IF(CR141="","",_xlfn.LET(_xlpm.tk,_xlfn.TEXTSPLIT(UPPER(CR141)," ",,TRUE),_xlpm.a_,_xlfn._xlws.FILTER(_xlpm.tk,ISNUMBER(--LEFT(_xlpm.tk,1))*((ISNUMBER(SEARCH("МА",_xlpm.tk))+ISNUMBER(SEARCH("MA",_xlpm.tk)))&gt;0),""),IFERROR(--SUBSTITUTE(SUBSTITUTE(INDEX(_xlpm.a_,1),"МА",""),"MA",""),30)))</f>
        <v/>
      </c>
      <c r="CV141" t="str">
        <f>IF(CS141="","",IFERROR(_xlfn.XLOOKUP(CS141,Линии[_n],Линии[_УЗО, мА]),30))</f>
        <v/>
      </c>
      <c r="CW141">
        <f>IF(CS141="",0,IF(ISNUMBER(SEARCH("4P",IFERROR(_xlfn.XLOOKUP(CS141,Линии[_n],Линии[_УЗО строки])&amp;"",""))),0,1))</f>
        <v>0</v>
      </c>
      <c r="CX141" t="str">
        <f>IF(AND(CS141&lt;&gt;"",CS141=BA141),SUMIFS(Линии[_ток на 230 В],Линии[_блок УЗО],BA141,Линии[Щит],A141),"")</f>
        <v/>
      </c>
      <c r="CY141" t="str">
        <f>IF(AND(CS141&lt;&gt;"",CS141=BA141),SUMIFS(Линии[_ток утечки линии, мА],Линии[_блок УЗО],BA141,Линии[Щит],A141),"")</f>
        <v/>
      </c>
      <c r="CZ141">
        <f t="shared" si="306"/>
        <v>0</v>
      </c>
      <c r="DA141">
        <f t="shared" si="307"/>
        <v>0</v>
      </c>
      <c r="DB141">
        <f>IF(B141="",0,IFERROR(--_xlfn.XLOOKUP(B141,Коды_код,Коды_минавт),IFERROR(--_xlfn.XLOOKUP(BC141,Коды_код,Коды_минавт),IFERROR(--_xlfn.XLOOKUP(LEFT(BC141,2),Коды_код,Коды_минавт),0))))</f>
        <v>0</v>
      </c>
      <c r="DC141" t="str">
        <f>IF(B141="","",IFERROR(_xlfn.XLOOKUP(BC141,Коды_код,Коды_апп)&amp;"",""))</f>
        <v/>
      </c>
      <c r="DD141" t="str">
        <f t="shared" si="308"/>
        <v/>
      </c>
      <c r="DE141" t="str" cm="1">
        <f t="array" ref="DE141">IF(TRIM(DD141&amp;"")="","",IFERROR(TRIM(INDEX(_xlfn.TEXTSPLIT(DD141&amp;";;;",";"),1)),""))</f>
        <v/>
      </c>
      <c r="DF141" t="str" cm="1">
        <f t="array" ref="DF141">IF(TRIM(DD141&amp;"")="","",IFERROR(TRIM(INDEX(_xlfn.TEXTSPLIT(DD141&amp;";;;",";"),2)),""))</f>
        <v/>
      </c>
      <c r="DG141" t="str" cm="1">
        <f t="array" ref="DG141">IF(TRIM(DD141&amp;"")="","",IFERROR(TRIM(INDEX(_xlfn.TEXTSPLIT(DD141&amp;";;;",";"),3)),""))</f>
        <v/>
      </c>
      <c r="DH141">
        <f t="shared" si="309"/>
        <v>0</v>
      </c>
      <c r="DI141" t="str">
        <f>IF(B141="","",_xlfn.LET(_xlpm.t,LOWER(AZ141&amp;""),IF(ISNUMBER(SEARCH("dim",_xlpm.t)),"DIM",IF(ISNUMBER(SEARCH("dali",_xlpm.t)),"DALI",IF(OR(ISNUMBER(SEARCH("relay",_xlpm.t)),ISNUMBER(SEARCH("реле",_xlpm.t))),"Relay",IF(ISNUMBER(SEARCH("кнопк",_xlpm.t)),"",IFERROR(_xlfn.XLOOKUP(BC141,Коды_код,Коды_упр)&amp;"","")))))))</f>
        <v/>
      </c>
      <c r="DJ141" t="str">
        <f t="shared" si="310"/>
        <v/>
      </c>
      <c r="DK141">
        <f>IF(B141="","",_xlfn.LET(_xlpm.ig,IF(N(CX141)&gt;0,N(CX141),N(CI141)+IF(AJ141="вручную",0,N(CJ141))),_xlpm.n0,IFERROR(VLOOKUP(_xlpm.ig,Автомат_номиналы,2,TRUE),0),_xlpm.mn,MAX(DB141,IF(AJ141="вручную",0,N(CM141))),MAX(_xlpm.n0,_xlpm.mn,IF(DH141=1,Мин_автомат_БП,0))))</f>
        <v>6</v>
      </c>
      <c r="DL141">
        <f t="shared" si="311"/>
        <v>1</v>
      </c>
      <c r="DM141" t="str">
        <f t="shared" si="312"/>
        <v>1P</v>
      </c>
      <c r="DN141" t="str">
        <f>_xlfn.LET(_xlpm.cc,UPPER(TRIM(IFERROR(_xlfn.XLOOKUP(BC141,Коды_код,Коды_хар)&amp;"",""))),IF(OR(_xlpm.cc="B",_xlpm.cc="В"),"B",IF(_xlpm.cc="D","D","С")))</f>
        <v>С</v>
      </c>
      <c r="DO141" t="str">
        <f t="shared" si="313"/>
        <v>1P С6А</v>
      </c>
      <c r="DP141" t="str">
        <f t="shared" si="314"/>
        <v>1P С6А</v>
      </c>
      <c r="DQ141" t="str">
        <f t="shared" si="315"/>
        <v>1P С6А</v>
      </c>
      <c r="DR141" cm="1">
        <f t="array" ref="DR141">IF(DQ141="","",_xlfn.LET(_xlpm.t,SUBSTITUTE(SUBSTITUTE(SUBSTITUTE(UPPER(DQ141),"С","C"),"А","A"),"В","B"),_xlpm.tk,_xlfn.TEXTSPLIT(_xlpm.t," "),_xlpm.f,_xlfn._xlws.FILTER(_xlpm.tk,ISNUMBER(--MID(_xlpm.tk,2,1))*ISNUMBER(SEARCH(LEFT(_xlpm.tk,1)&amp;"#","B#C#D#"))*(LEN(_xlpm.tk)&gt;1),""),_xlpm.x,INDEX(_xlpm.f,1),IFERROR(--SUBSTITUTE(MID(_xlpm.x,2,9),"A",""),IFERROR(--SUBSTITUTE(INDEX(_xlfn._xlws.FILTER(_xlpm.tk,ISNUMBER(--SUBSTITUTE(_xlpm.tk,"A","")),""),1),"A",""),""))))</f>
        <v>6</v>
      </c>
      <c r="DS141" t="str">
        <f t="shared" si="316"/>
        <v>ok</v>
      </c>
      <c r="DT141">
        <f t="shared" si="317"/>
        <v>6</v>
      </c>
      <c r="DU141" t="str">
        <f t="shared" si="318"/>
        <v>1P С6А</v>
      </c>
      <c r="DV141">
        <f t="shared" si="319"/>
        <v>0</v>
      </c>
      <c r="DW141">
        <f t="shared" si="320"/>
        <v>0</v>
      </c>
      <c r="DX141">
        <f t="shared" si="321"/>
        <v>0</v>
      </c>
      <c r="DY141">
        <f t="shared" si="322"/>
        <v>0.87685072133174402</v>
      </c>
      <c r="DZ141">
        <f t="shared" si="323"/>
        <v>1</v>
      </c>
      <c r="EA141">
        <f>IF(ISNUMBER(AP141),AP141,К_прокл)</f>
        <v>1</v>
      </c>
      <c r="EB141">
        <f t="shared" si="324"/>
        <v>2</v>
      </c>
      <c r="EC141">
        <f>IFERROR(N(VLOOKUP(BZ141,Кабель_обозначение,3,FALSE)),1)</f>
        <v>1</v>
      </c>
      <c r="ED141">
        <f>IFERROR(N(_xlfn.XLOOKUP(A141,Щиты[Щит],Щиты[ΔU до шин, %])),0)</f>
        <v>1.1399999999999999</v>
      </c>
      <c r="EE141" t="str">
        <f>IFERROR(_xlfn.XLOOKUP(A141,Щиты[Щит],Щиты[Zпетли на шинах, Ом]),"")</f>
        <v/>
      </c>
      <c r="EF141">
        <f>IFERROR(N(_xlfn.XLOOKUP(A141,Щиты[Щит],Щиты[ΔU до шин (подбор), %])),0)</f>
        <v>1.82</v>
      </c>
      <c r="EG141" t="str">
        <f>IFERROR(_xlfn.XLOOKUP(A141,Щиты[Щит],Щиты[Zпетли на шинах (подбор), Ом]),"")</f>
        <v/>
      </c>
      <c r="EH141" t="str">
        <f t="shared" si="325"/>
        <v/>
      </c>
      <c r="EI141">
        <f t="shared" si="326"/>
        <v>30</v>
      </c>
      <c r="EJ141">
        <f t="shared" si="327"/>
        <v>2</v>
      </c>
      <c r="EK141">
        <f t="shared" si="328"/>
        <v>0.6</v>
      </c>
      <c r="EL141" s="6">
        <f>IF(B141="","",IF(BV141=1,dU_LED,IF(IFERROR(_xlfn.XLOOKUP(BC141,Коды_код,Коды_уго),"")="Светильник",3,4)+IF(Методика="нормы 2026",MIN(0.5,MAX(0,N(P141)-100)*0.005),0)))</f>
        <v>4</v>
      </c>
      <c r="EM141" cm="1">
        <f t="array" ref="EM141">IF(OR(B141="",BZ141="",EC141&lt;&gt;1),"",_xlfn.LET(_xlpm.sz,Iдоп_S,_xlpm.t_,CHOOSE(EB141,Iдоп_1ж,Iдоп_2ж,Iдоп_3ж)*DZ141*EA141,_xlpm.dcx,BV141=1,_xlpm.inn,IF(_xlpm.dcx,N(O141),N(DT141)),_xlpm.smin,MAX(1.5,CC141),_xlpm.L_,N(P141)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141)/N(BU141)*100,999),IFERROR(N(EJ141)*(_xlpm.rho*_xlpm.L_/_xlpm.sz*N(CE141)+_xlpm.xx*_xlpm.L_*N(EK141)/1000)*N(O141)/((Uн_лин/SQRT(3))*1000)*100,999)),_xlpm.kz,IF(OR(_xlpm.dcx,DW141=1,NOT(ISNUMBER(EG141)),_xlpm.L_=0,_xlpm.inn=0),1,IFERROR(--(c_min*(Uн_лин*1000/SQRT(3))/(EG141+2*ρкз_Cu*_xlpm.L_/_xlpm.sz)&gt;=HT141*_xlpm.inn),0)),_xlpm.ok,IFERROR((_xlpm.sz&gt;=_xlpm.smin)*(_xlpm.t_&gt;=_xlpm.inn)*IF(_xlpm.L_&gt;0,(_xlpm.du_+IF(_xlpm.dcx,0,EF141)&lt;=EL141+0.00001),1)*_xlpm.kz,0),_xlpm.r_,_xlfn._xlws.FILTER(_xlpm.sz,_xlpm.ok,"не подобрано"),INDEX(_xlpm.r_,1)))</f>
        <v>1.5</v>
      </c>
      <c r="EN141">
        <f t="shared" si="329"/>
        <v>1.5</v>
      </c>
      <c r="EO141" cm="1">
        <f t="array" ref="EO141">IF(OR(B141="",BZ141="",EC141&lt;&gt;1),"",_xlfn.LET(_xlpm.sz,Iдоп_S,_xlpm.t_,CHOOSE(EB141,Iдоп_1ж,Iдоп_2ж,Iдоп_3ж)*DZ141*EA141,_xlpm.ok,IFERROR((_xlpm.sz&gt;=MAX(1.5,CC141))*(_xlpm.t_&gt;=N(DT141)),0),_xlpm.r_,_xlfn._xlws.FILTER(_xlpm.sz,_xlpm.ok,""),INDEX(_xlpm.r_,1)))</f>
        <v>1.5</v>
      </c>
      <c r="EP141" s="6" cm="1">
        <f t="array" ref="EP141">IFERROR(ROUNDUP(N(EJ141)*(_xlfn.XLOOKUP(EO141,INDEX(Кабель_сопротивление,0,1),INDEX(Кабель_сопротивление,0,3))*N(P141)/EO141*N(CE141)+_xlfn.XLOOKUP(EO141,INDEX(Кабель_сопротивление,0,1),INDEX(Кабель_сопротивление,0,2))*N(P141)*N(EK141)/1000)*N(O141)/((Uн_лин/SQRT(3))*1000)*100,2),"")</f>
        <v>0.3</v>
      </c>
      <c r="EQ141">
        <f>IFERROR(2*ρкз_Cu*N(P141)/EO141,"")</f>
        <v>1.1221333333333334</v>
      </c>
      <c r="ER141">
        <f>IFERROR(VLOOKUP(EN141,Кабель_сопротивление,3,FALSE),"")</f>
        <v>2.2499999999999999E-2</v>
      </c>
      <c r="ES141">
        <f>IFERROR(VLOOKUP(EN141,Кабель_сопротивление,2,FALSE),"")</f>
        <v>0.11</v>
      </c>
      <c r="ET141">
        <f t="shared" si="330"/>
        <v>28</v>
      </c>
      <c r="EU141">
        <f t="shared" si="331"/>
        <v>0</v>
      </c>
      <c r="EV141">
        <f t="shared" si="332"/>
        <v>0.67712517142968476</v>
      </c>
      <c r="EW141" s="6">
        <f>IFERROR(ROUNDUP(EV141/IF(BV141=1,BU141,(Uн_лин/SQRT(3))*1000)*100,2),"")</f>
        <v>0.3</v>
      </c>
      <c r="EX141" t="str">
        <f>IFERROR(VLOOKUP(BZ141,Кабель_обозначение,2,FALSE),"")</f>
        <v>ВВГнг(А)-LS</v>
      </c>
      <c r="EY141" t="str">
        <f t="shared" si="333"/>
        <v>ВВГнг(А)-LS (3х1,5)</v>
      </c>
      <c r="EZ141" t="str">
        <f t="shared" si="334"/>
        <v>ВВГнг(А)-LS (3х1,5)
L=32-0,3%</v>
      </c>
      <c r="FA141">
        <f>IFERROR(2*ρкз_Cu*P141/EN141,"")</f>
        <v>1.1221333333333334</v>
      </c>
      <c r="FB141">
        <f t="shared" si="335"/>
        <v>0.37333333333333335</v>
      </c>
      <c r="FC141" s="6" t="str">
        <f>IFERROR(IF(OR(B141="",BV141=1,NOT(ISNUMBER(EN141)),N(P141)=0),"",_xlfn.XLOOKUP(A141,Щиты[Щит],Щиты[Zпетли на шинах, Ом])+FA141),"")</f>
        <v/>
      </c>
      <c r="FD141" s="6" t="str">
        <f>IF(ISNUMBER(FC141),c_min*(Uн_лин*1000/SQRT(3))/FC141,"")</f>
        <v/>
      </c>
      <c r="FE141" s="6" t="str">
        <f>IFERROR(IF(OR(B141="",NOT(ISNUMBER(EN141))),"",1.05*(Uн_лин*1000/SQRT(3))/(_xlfn.XLOOKUP(A141,Щиты[Щит],Щиты[Zmax на шинах, Ом])+FB141)/1000),"")</f>
        <v/>
      </c>
      <c r="FF141" s="6" t="str">
        <f>IF(B141="","",IF(ISNUMBER(AC141),"Сил",IF(IFERROR(_xlfn.XLOOKUP(BC141,Коды_код,Коды_группа)&amp;"","")="","Быт",_xlfn.XLOOKUP(BC141,Коды_код,Коды_группа)&amp;"")))</f>
        <v>Сил</v>
      </c>
      <c r="FG141" s="6" t="str">
        <f t="shared" si="336"/>
        <v>Сил</v>
      </c>
      <c r="FH141" s="6">
        <f>IF(FG141="Щит","щит",IF(FG141="","",IF(FG141="Быт",IFERROR(_xlfn.XLOOKUP(A141,Щиты[Щит],Щиты[Кс быт]),1),IF(FG141="Сил",IF(ISNUMBER(AC141),AC141,IF(Методика="нормы 2026",IFERROR(_xlfn.XLOOKUP(A141,Щиты[Щит],Щиты[Кс силовых (табл. 7.5)]),1),1)),IF(OR(FG141="Пост",FG141="Отоп"),1,IF(FG141="ВНГ",0.7,0))))))</f>
        <v>0.5</v>
      </c>
      <c r="FI141">
        <f>IF(FG141="","",IF(AND(BP141=1,TRIM(AE141&amp;"")=""),IF(COUNTIFS(Линии[Щит],A141,Линии[Секция (1/2/3)],"&gt;=2")&gt;0,MIN(3,MAX(1,IFERROR(--BD141,1))),1),IFERROR(MIN(3,MAX(1,INT(--AE141))),1)))</f>
        <v>1</v>
      </c>
      <c r="FJ141">
        <f t="shared" si="337"/>
        <v>0.16200000000000001</v>
      </c>
      <c r="FK141">
        <f t="shared" si="338"/>
        <v>0</v>
      </c>
      <c r="FL141">
        <f t="shared" si="339"/>
        <v>8.1000000000000003E-2</v>
      </c>
      <c r="FM141">
        <f t="shared" si="340"/>
        <v>0</v>
      </c>
      <c r="FN141">
        <f t="shared" si="341"/>
        <v>0</v>
      </c>
      <c r="FO141">
        <f t="shared" si="342"/>
        <v>0</v>
      </c>
      <c r="FP141">
        <f t="shared" si="343"/>
        <v>0.16200000000000001</v>
      </c>
      <c r="FQ141">
        <f t="shared" si="344"/>
        <v>0.16200000000000001</v>
      </c>
      <c r="FR141">
        <f t="shared" si="345"/>
        <v>0.12960000000000002</v>
      </c>
      <c r="FS141">
        <f>IF(CG141=1,IF(AND(CH141=1,CW141=1),0,IF(AND(CS141&lt;&gt;"",CS141=BA141,CW141=1),SUMIFS(Линии[_Р линии, кВт],Линии[_блок УЗО],BA141,Линии[Щит],A141),N(BS141)+IF(AJ141="вручную",0,N(CK141)))),0)</f>
        <v>0.16200000000000001</v>
      </c>
      <c r="FT141" t="str">
        <f t="shared" si="346"/>
        <v>L1</v>
      </c>
      <c r="FU141" t="str">
        <f>IF(B141="","",IF(CG141=0,IF(BA141=1,"",FW140),IF(AND(CH141=1,CW141=1,CS141&lt;&gt;""),IFERROR(_xlfn.XLOOKUP(CS141,Линии[_n],Линии[_фаза итог]),"L1"),IF(OR(N(DL141)&gt;=3,N(BX141)&gt;=3),"L1,L2,L3",IFERROR(_xlfn.TEXTBEFORE(_xlfn.TEXTAFTER(_xlfn.XLOOKUP(A141,Щиты[Щит],Щиты[_фазы авто]),";"&amp;BA141&amp;":"),";"),"L1")))))</f>
        <v>L1</v>
      </c>
      <c r="FV141" t="str">
        <f t="shared" si="347"/>
        <v>L1</v>
      </c>
      <c r="FW141" t="str">
        <f t="shared" si="348"/>
        <v>L1</v>
      </c>
      <c r="FX141" cm="1">
        <f t="array" ref="FX141">IFERROR(IF(CD141=2,_xlfn.IFS(BX141=3,VLOOKUP(BS141,Справочная_двигатели,3,FALSE),BX141=1,VLOOKUP(BS141,Справочная_двигатели,5,TRUE)),0),0)</f>
        <v>0</v>
      </c>
      <c r="FY141">
        <f>IFERROR(IF(CD141=3,VLOOKUP(BS141,Справочная_ЛЭД,2,TRUE),0),0)</f>
        <v>0</v>
      </c>
      <c r="FZ141" s="6">
        <f t="shared" si="349"/>
        <v>0</v>
      </c>
      <c r="GA141" t="str">
        <f>IF(B141="","",IF(TRIM(AH141&amp;"")&lt;&gt;"",IF(LOWER(TRIM(AH141&amp;""))="да","да","нет"),IF(IFERROR(_xlfn.XLOOKUP(BC141,Коды_код,Коды_пожарная),"")="да","да","нет")))</f>
        <v>нет</v>
      </c>
      <c r="GB141" t="str">
        <f t="shared" si="350"/>
        <v/>
      </c>
      <c r="GC141" t="str">
        <f t="shared" si="351"/>
        <v>основная</v>
      </c>
      <c r="GD141">
        <f>IF(AND(BP141=1,TRIM(AE141&amp;"")=""),IF(COUNTIFS(Линии[Щит],A141,Линии[Секция (1/2/3)],"&gt;=2")&gt;0,MIN(3,MAX(1,IFERROR(--BD141,1))),1),IFERROR(MIN(3,MAX(1,INT(--AE141))),1))</f>
        <v>1</v>
      </c>
      <c r="GE141" t="str" cm="1">
        <f t="array" ref="GE141">IF(B141="","",_xlfn.LET(_xlpm.t,IFERROR(_xlfn.XLOOKUP(1,(Шины[Шина]=GC141)*(((Шины[Щит]=A141)+(Шины[Щит]=""))&gt;0),Шины[Тип]),"")&amp;"",IF(_xlpm.t&lt;&gt;"",_xlpm.t,IF(ISNUMBER(SEARCH("ИБП",GC141)),"ИБП",IF(ISNUMBER(SEARCH("ДГУ",GC141)),"ДГУ","Ввод "&amp;GD141)))))</f>
        <v>Ввод 1</v>
      </c>
      <c r="GF141" t="str">
        <f t="shared" si="352"/>
        <v>Ввод 1</v>
      </c>
      <c r="GG141" t="str">
        <f>IF(BP141=0,"",IF(TRIM(AG141&amp;"")&lt;&gt;"",TRIM(AG141&amp;""),IF(OR(GE141="ИБП",GE141="ДГУ"),"I особая",_xlfn.XLOOKUP(A141,Щиты[Щит],Щиты[Категория шины «Ввод»],"III"))))</f>
        <v/>
      </c>
      <c r="GH141" t="str">
        <f>IF(A141="","",_xlfn.XLOOKUP(A141,Щиты[Щит],Щиты[Путь],""))</f>
        <v>|ГРЩ-ЖД|ЩОВ-2|</v>
      </c>
      <c r="GI141" t="str">
        <f>IF(B141="","",IF(AI141&lt;&gt;"",AI141,IF(IFERROR(_xlfn.XLOOKUP(BC141,Коды_код,Коды_вид)&amp;"","")="","Прочее",_xlfn.XLOOKUP(BC141,Коды_код,Коды_вид)&amp;"")))</f>
        <v>Кондиционирование и увлажнение</v>
      </c>
      <c r="GJ141">
        <f>IF(BM141="","",INT((BM141-1)/Столбцов_на_лист)+1)</f>
        <v>2</v>
      </c>
      <c r="GK141" t="str">
        <f t="shared" si="353"/>
        <v>ВВГнг(А)-LS (3х1,5) L=32-0,3%</v>
      </c>
      <c r="GL141">
        <f t="shared" si="354"/>
        <v>0.16200000000000001</v>
      </c>
      <c r="GM141">
        <f t="shared" si="355"/>
        <v>0.88</v>
      </c>
      <c r="GN141">
        <f t="shared" si="356"/>
        <v>1</v>
      </c>
      <c r="GO141">
        <f t="shared" si="357"/>
        <v>0</v>
      </c>
      <c r="GP141">
        <f t="shared" si="358"/>
        <v>1</v>
      </c>
      <c r="GQ141">
        <f>IF(BM141="","",IF(AND(CG141=1,GP141=1),COUNTIFS(A$3:A141,A141,CG$3:CG141,1,GP$3:GP141,1),IF(OR(OR(BA141=1,A141&lt;&gt;A140),AJ141="вручную",GP141=0),"",IF(BA141=1,"",GR140))))</f>
        <v>11</v>
      </c>
      <c r="GR141">
        <f t="shared" si="359"/>
        <v>11</v>
      </c>
      <c r="GS141">
        <f>IF(B141="","",IFERROR(LOOKUP(INDEX(CHOOSE(EB141,Iдоп_1ж,Iдоп_2ж,Iдоп_3ж),MATCH(EN141,Iдоп_S,0))*DZ141*EA141,{6,10,16,20,25,32,40,50,63,80,100,125,160,200,250,315,400,500,630}),""))</f>
        <v>16</v>
      </c>
      <c r="GT141" t="str">
        <f t="shared" si="360"/>
        <v>QF11</v>
      </c>
      <c r="GU141" t="str">
        <f t="shared" si="361"/>
        <v>QF11</v>
      </c>
      <c r="GV141" t="str">
        <f t="shared" si="362"/>
        <v/>
      </c>
      <c r="GW141">
        <f t="shared" si="363"/>
        <v>0</v>
      </c>
      <c r="GX141" t="str">
        <f>IF(OR(B141="",DJ141=""),"",IFERROR(_xlfn.XLOOKUP(DJ141,Модули_умолч[Управление],Модули_умолч[Модель])&amp;"",""))</f>
        <v/>
      </c>
      <c r="GY141">
        <f>IF(DJ141="",1,IFERROR(MAX(0,N(_xlfn.XLOOKUP(DJ141,Модули_умолч[Управление],Модули_умолч[Каналов на линию]))),1))</f>
        <v>1</v>
      </c>
      <c r="GZ141" t="str">
        <f t="shared" si="364"/>
        <v/>
      </c>
      <c r="HA141" t="str">
        <f t="shared" si="365"/>
        <v/>
      </c>
      <c r="HB141" t="str">
        <f t="shared" si="366"/>
        <v/>
      </c>
      <c r="HC141">
        <f>IF(HB141="",0,IFERROR(N(VLOOKUP(HB141,Модули_спр,3,FALSE)),0))</f>
        <v>0</v>
      </c>
      <c r="HD141" t="str">
        <f t="shared" si="367"/>
        <v/>
      </c>
      <c r="HE141" t="str">
        <f t="shared" si="368"/>
        <v/>
      </c>
      <c r="HF141" t="str">
        <f>IF(OR(HE141="",HE141="-"),"",IFERROR(VLOOKUP(HE141,Модули_спр,2,FALSE),"R"))</f>
        <v/>
      </c>
      <c r="HG141" t="str">
        <f>IF(HF141="","",HF141&amp;"."&amp;COUNTIFS(A$3:A141,A141,HF$3:HF141,HF141))</f>
        <v/>
      </c>
      <c r="HH141" t="str">
        <f t="shared" si="369"/>
        <v/>
      </c>
      <c r="HI141" t="str">
        <f t="shared" si="370"/>
        <v/>
      </c>
      <c r="HJ141" t="str">
        <f t="shared" si="371"/>
        <v/>
      </c>
      <c r="HK141" t="str">
        <f t="shared" si="372"/>
        <v/>
      </c>
      <c r="HL141">
        <f t="shared" si="373"/>
        <v>1</v>
      </c>
      <c r="HM141" t="str">
        <f>IF(HL141=1,"XT"&amp;COUNTIFS(A$3:A141,A141,HL$3:HL141,1),"")</f>
        <v>XT11</v>
      </c>
      <c r="HN141" t="str">
        <f t="shared" si="374"/>
        <v/>
      </c>
      <c r="HO141" t="str">
        <f t="shared" si="375"/>
        <v>QF11</v>
      </c>
      <c r="HP141" t="str">
        <f t="shared" si="376"/>
        <v/>
      </c>
      <c r="HQ141" t="str">
        <f t="shared" si="377"/>
        <v>ok</v>
      </c>
      <c r="HR141" t="str">
        <f>IF(OR(HJ141="",HH141=""),"",IF(HJ141+MAX(0,GY141-1)&gt;IFERROR(VLOOKUP(HI141,Модули_спр,3,FALSE),99),"ЛИШНИЙ КАНАЛ",IF(AND(AL141&lt;&gt;"=",GY141&gt;0,COUNTIFS(Линии[_модуль гр.],HH141,Линии[Канал (итог)],HJ141,Линии[Канал],"&lt;&gt;=",Линии[Щит],A141)&gt;1),"ДУБЛЬ КАНАЛА","")))</f>
        <v/>
      </c>
      <c r="HS141" s="6" t="str">
        <f t="shared" si="378"/>
        <v/>
      </c>
      <c r="HT141">
        <f t="shared" si="379"/>
        <v>10</v>
      </c>
      <c r="HU141" t="str">
        <f t="shared" si="380"/>
        <v/>
      </c>
      <c r="HV141">
        <f t="shared" si="381"/>
        <v>0.67074028853269763</v>
      </c>
      <c r="HW141">
        <f t="shared" si="382"/>
        <v>0</v>
      </c>
      <c r="HX141">
        <f t="shared" si="383"/>
        <v>0</v>
      </c>
      <c r="HY141">
        <f t="shared" si="384"/>
        <v>0</v>
      </c>
      <c r="HZ141">
        <f t="shared" si="385"/>
        <v>0</v>
      </c>
      <c r="IA141">
        <f t="shared" si="386"/>
        <v>0</v>
      </c>
      <c r="IB141">
        <f t="shared" si="387"/>
        <v>0</v>
      </c>
      <c r="IC141" t="str">
        <f t="shared" si="388"/>
        <v/>
      </c>
      <c r="ID141" t="str" cm="1">
        <f t="array" ref="ID141">IF(IC141="","",_xlfn.LET(_xlpm.tk,_xlfn.TEXTSPLIT(SUBSTITUTE(SUBSTITUTE(IC141,";"," "),"→"," ")," ",,TRUE),_xlpm.w_,_xlfn._xlws.FILTER(_xlpm.tk,ISNUMBER(--LEFT(_xlpm.tk,1))*((ISNUMBER(SEARCH("W",_xlpm.tk))+ISNUMBER(SEARCH("Вт",_xlpm.tk)))&gt;0),""),IFERROR(--SUBSTITUTE(SUBSTITUTE(UPPER(INDEX(_xlpm.w_,1)),"W",""),"ВТ",""),"")))</f>
        <v/>
      </c>
      <c r="IE141" t="str" cm="1">
        <f t="array" ref="IE141">IF(IC141="","",_xlfn.LET(_xlpm.tk,_xlfn.TEXTSPLIT(SUBSTITUTE(SUBSTITUTE(IC141,";"," "),"→"," ")," ",,TRUE),_xlpm.v_,_xlfn._xlws.FILTER(_xlpm.tk,ISNUMBER(--LEFT(_xlpm.tk,1))*((ISNUMBER(SEARCH("V",_xlpm.tk))+(RIGHT(UPPER(_xlpm.tk))="В"))&gt;0),""),IFERROR(--SUBSTITUTE(SUBSTITUTE(UPPER(INDEX(_xlpm.v_,1)),"V",""),"В",""),"")))</f>
        <v/>
      </c>
      <c r="IF141" s="6" t="str">
        <f>IF(OR(BV141=0,HI141="",HJ141=""),"",IFERROR(N(_xlfn.XLOOKUP(HI141,Каталог!$C$4:$C$500,Каталог!$Q$4:$Q$500)),""))</f>
        <v/>
      </c>
      <c r="IG141" s="6" t="str">
        <f>IF(N(IF141)=0,"",SUMIFS(Линии[Iр, А],Линии[Щит],A141,Линии[_модуль гр.],HH141,Линии[Канал (итог)],HJ141))</f>
        <v/>
      </c>
      <c r="IH141" t="str">
        <f>IF(AND(B141="",HO141=""),"",_xlfn.TEXTJOIN("; ",TRUE,IF(AND(B141&lt;&gt;"",FV141=""),"нет фазы",""),IF(AND(B141&lt;&gt;"",N(GL141)=0,FG141&lt;&gt;"Нет"),"нет мощности",""),IF(AND(HN141&lt;&gt;"",COUNTIFS(Линии[Щит],A141,Линии[Клемма (итог)],HN141)&gt;1),"дубль клеммы "&amp;HN141,""),IF(AND(HQ141&lt;&gt;"",HQ141&lt;&gt;"ok"),HQ141,""),IF(HR141&lt;&gt;"",HR141,""),IF(AND(N(CB141)&gt;=4,N(BX141)=1),CB141&amp;" жил на 1 фазе",""),IF(AND(BC141="R",CG141=1,IF(CS141&lt;&gt;"",N(CV141)&gt;30,OR(N(DA141)=0,N(DA141)&gt;30))),"розетка без дифзащиты до 30 мА",""),IF(AND(CG141=1,N(DA141)&gt;0,ISNUMBER(T141)),IF(T141&gt;N(DA141)/3,"ток утечки "&amp;FIXED(T141,1)&amp;" мА &gt; 1/3 уставки ("&amp;DA141&amp;" мА)",""),""),IF(AND(CH141=1,CS141=""),"«узо»: нет строки с УЗО выше (УЗО 2P 40А 30мА в «Аппаратах»)",""),IF(AND(CS141&lt;&gt;"",CS141=BA141),IF(CT141="","впишите номинал УЗО (УЗО 2P 40А 30мА)",IF(N(CT141)&lt;N(DT141),"УЗО "&amp;CT141&amp;" А &lt; автомата "&amp;DT141&amp;" А перед ним",IF(N(CT141)&lt;N(CX141),"УЗО "&amp;CT141&amp;" А &lt; тока блока "&amp;FIXED(CX141,1)&amp;" А",""))),""),IF(AND(CS141&lt;&gt;"",CS141=BA141,ISNUMBER(CY141)),IF(CY141&gt;N(CV141)/3,"ток утечки блока УЗО "&amp;FIXED(CY141,1)&amp;" мА &gt; 1/3 уставки ("&amp;CV141&amp;" мА)",""),""),IF(AND(CG141=1,N(BV141)+N(IB141)&gt;0,IC141=""),"линии до 50 В без БП: впишите в «Аппараты» (БП 24V 480W)",""),IF(AND(CG141=1,ISNUMBER(ID141),ISNUMBER(U141)),IF(U141&gt;ID141,"БП "&amp;ID141&amp;" Вт &lt; нужно "&amp;U141&amp;" Вт (×"&amp;Запас_БП&amp;")",""),""),IF(AND(CG141=1,ISNUMBER(IE141),N(BV141)=1),IF(IE141&lt;&gt;N(BU141),"БП на "&amp;IE141&amp;" В, линия "&amp;BU141&amp;" В",""),""),IF(AND(N(IF141)&gt;0,N(IG141)&gt;N(IF141)),HH141&amp;" канал "&amp;HJ141&amp;": "&amp;FIXED(IG141,1)&amp;" А &gt; "&amp;IF141&amp;" А",""),IFERROR(IF(AND(ISNUMBER(Q141),Q141&gt;EL141),"потери "&amp;FIXED(Q141,1)&amp;" % &gt; "&amp;EL141&amp;" %",""),""),IFERROR(IF(LEFT(HU141,4)="мало","Iкз мало — отключение &gt; 0,4 с",""),""),IF(AND(B141&lt;&gt;"",BM141=""),"не на схеме",""),IF(AND(CG141=0,B141&lt;&gt;"",FV141&lt;&gt;"",IF(BA141=1,"",FW140)&lt;&gt;"",FV141&lt;&gt;IF(BA141=1,"",FW140)),"фаза не как у автомата группы ("&amp;IF(BA141=1,"",FW140)&amp;")","")))</f>
        <v/>
      </c>
      <c r="II141" s="6" t="str">
        <f>IF(OR(CG141=0,DQ141=""),"",_xlfn.LET(_xlpm.t,IFERROR(_xlfn.XLOOKUP(DQ141,Каталог!$U$4:$U$500,Каталог!$G$4:$G$500),""),_xlpm.k,SEARCH("кА",_xlpm.t),IFERROR(--TRIM(RIGHT(SUBSTITUTE(MID(_xlpm.t,MAX(1,_xlpm.k-4),_xlpm.k-MAX(1,_xlpm.k-4))," ",REPT(" ",9)),5)),"")))</f>
        <v/>
      </c>
      <c r="IJ141" t="str">
        <f>IF(OR(II141="",CG141=0),"",IF(_xlfn.XLOOKUP(A141,Щиты[Щит],Щиты[Iкз max на шинах, кА],"")="","",IF(II141&lt;_xlfn.XLOOKUP(A141,Щиты[Щит],Щиты[Iкз max на шинах, кА]),"Icu "&amp;II141&amp;" кА &lt; Iкз max","ok")))</f>
        <v/>
      </c>
      <c r="IK141" t="str">
        <f t="shared" si="389"/>
        <v/>
      </c>
      <c r="IL141" t="str">
        <f t="shared" si="390"/>
        <v>QF11</v>
      </c>
      <c r="IM141" t="str">
        <f t="shared" si="391"/>
        <v>QF11|кабель ВВГнг(А)-LS (3х1,5) → Внутренний блок кондиционирования Технический этаж Пом. №003Т</v>
      </c>
      <c r="IN141" t="str" cm="1">
        <f t="array" ref="IN141">IF(IM141="","",_xlfn.LET(_xlpm.nd,_xlfn.TEXTSPLIT(IM141,"|"),IF(COLUMNS(_xlpm.nd)&gt;1,A141&amp;"¦"&amp;INDEX(_xlpm.nd,1)&amp;"¦"&amp;INDEX(_xlpm.nd,2),"")))</f>
        <v>ЩОВ-2¦QF11¦кабель ВВГнг(А)-LS (3х1,5) → Внутренний блок кондиционирования Технический этаж Пом. №003Т</v>
      </c>
      <c r="IO141" t="str">
        <f t="shared" si="392"/>
        <v>K.2.019A¦Внутренний блок кондиционирования Технический этаж Пом. №003Т</v>
      </c>
      <c r="IP141" t="str" cm="1">
        <f t="array" ref="IP141">IF(IM141="","",_xlfn.LET(_xlpm.nd,_xlfn.TEXTSPLIT(IM141,"|"),IF(COLUMNS(_xlpm.nd)&gt;2,A141&amp;"¦"&amp;INDEX(_xlpm.nd,2)&amp;"¦"&amp;INDEX(_xlpm.nd,3),"")))</f>
        <v/>
      </c>
      <c r="IQ141" t="str">
        <f t="shared" si="393"/>
        <v/>
      </c>
      <c r="IR141" t="str" cm="1">
        <f t="array" ref="IR141">IF(IM141="","",_xlfn.LET(_xlpm.nd,_xlfn.TEXTSPLIT(IM141,"|"),IF(COLUMNS(_xlpm.nd)&gt;3,A141&amp;"¦"&amp;INDEX(_xlpm.nd,3)&amp;"¦"&amp;INDEX(_xlpm.nd,4),"")))</f>
        <v/>
      </c>
      <c r="IS141" t="str">
        <f t="shared" si="394"/>
        <v/>
      </c>
      <c r="IT141" t="str" cm="1">
        <f t="array" ref="IT141">IF(IM141="","",_xlfn.LET(_xlpm.nd,_xlfn.TEXTSPLIT(IM141,"|"),IF(COLUMNS(_xlpm.nd)&gt;4,A141&amp;"¦"&amp;INDEX(_xlpm.nd,4)&amp;"¦"&amp;INDEX(_xlpm.nd,5),"")))</f>
        <v/>
      </c>
      <c r="IU141" t="str">
        <f t="shared" si="395"/>
        <v/>
      </c>
      <c r="IV141" t="str" cm="1">
        <f t="array" ref="IV141">IF(IM141="","",_xlfn.LET(_xlpm.nd,_xlfn.TEXTSPLIT(IM141,"|"),IF(COLUMNS(_xlpm.nd)&gt;5,A141&amp;"¦"&amp;INDEX(_xlpm.nd,5)&amp;"¦"&amp;INDEX(_xlpm.nd,6),"")))</f>
        <v/>
      </c>
      <c r="IW141" t="str">
        <f t="shared" si="396"/>
        <v/>
      </c>
      <c r="IX141" t="str" cm="1">
        <f t="array" ref="IX141">IF(IM141="","",_xlfn.LET(_xlpm.nd,_xlfn.TEXTSPLIT(IM141,"|"),IF(COLUMNS(_xlpm.nd)&gt;6,A141&amp;"¦"&amp;INDEX(_xlpm.nd,6)&amp;"¦"&amp;INDEX(_xlpm.nd,7),"")))</f>
        <v/>
      </c>
      <c r="IY141" t="str">
        <f t="shared" si="397"/>
        <v/>
      </c>
      <c r="IZ141" t="str">
        <f t="shared" si="398"/>
        <v/>
      </c>
      <c r="JA141" t="str">
        <f t="shared" si="399"/>
        <v>QF11</v>
      </c>
      <c r="JB141">
        <f t="shared" si="400"/>
        <v>0</v>
      </c>
      <c r="JC141">
        <f t="shared" si="401"/>
        <v>0</v>
      </c>
      <c r="JD141" t="str">
        <f t="shared" si="402"/>
        <v/>
      </c>
      <c r="JE141" t="str">
        <f t="shared" si="403"/>
        <v/>
      </c>
      <c r="JF141" t="str">
        <f t="shared" si="404"/>
        <v/>
      </c>
      <c r="JG141" t="str">
        <f t="shared" si="405"/>
        <v/>
      </c>
      <c r="JH141">
        <f>IF(B141="","",IFERROR(_xlfn.XLOOKUP(B141,Коды_код,Коды_уго),IFERROR(_xlfn.XLOOKUP(BC141,Коды_код,Коды_уго),IFERROR(_xlfn.XLOOKUP(LEFT(BC141,2),Коды_код,Коды_уго),""))))</f>
        <v>0</v>
      </c>
      <c r="JI141" t="str">
        <f>IF(B141="","",IF(OR(JH141="",JH141=0),"BOX",IFERROR(IF(VLOOKUP(JH141,УГО_блоки,3,FALSE)&amp;""&lt;&gt;"",VLOOKUP(JH141,УГО_блоки,3,FALSE),VLOOKUP(JH141,УГО_блоки,2,FALSE)),JH141)))</f>
        <v>BOX</v>
      </c>
      <c r="JJ141">
        <f t="shared" si="406"/>
        <v>1</v>
      </c>
      <c r="JK141" t="str">
        <f>IF(DQ141="","",IF(COUNTIF(DQ$3:DQ141,DQ141)=1,MAX(JK$2:JK140)+1,""))</f>
        <v/>
      </c>
      <c r="JL141" t="str">
        <f>IF(DE141="","",IF(COUNTIF(DE$3:DE141,DE141)+COUNTIF(DF$2:DF140,DE141)+COUNTIF(DG$2:DG140,DE141)=1,MAX(JL$2:JN140)+1,""))</f>
        <v/>
      </c>
      <c r="JM141" t="str">
        <f>IF(DF141="","",IF(COUNTIF(DE$3:DE141,DF141)+COUNTIF(DF$3:DF141,DF141)+COUNTIF(DG$2:DG140,DF141)=1,MAX(JL$2:JN140,JL141)+1,""))</f>
        <v/>
      </c>
      <c r="JN141" t="str">
        <f>IF(DG141="","",IF(COUNTIF(DE$3:DE141,DG141)+COUNTIF(DF$3:DF141,DG141)+COUNTIF(DG$3:DG141,DG141)=1,MAX(JL$2:JN140,JL141,JM141)+1,""))</f>
        <v/>
      </c>
      <c r="JO141" t="str">
        <f t="shared" si="407"/>
        <v>3х1,5</v>
      </c>
      <c r="JP141" t="str">
        <f>IF(JO141="","",IF(COUNTIF(JO$3:JO141,JO141)=1,MAX(JP$2:JP140)+1,""))</f>
        <v/>
      </c>
      <c r="JQ141" t="str">
        <f>IF(HG141="","",COUNTIF(HG$3:HG141,"?*"))</f>
        <v/>
      </c>
      <c r="JR141" t="str">
        <f>IF(OR(HG141="",HI141=""),"",IF(COUNTIFS(HG$3:HG141,"?*",HI$3:HI141,HI141)=1,MAX(JR$2:JR140)+1,""))</f>
        <v/>
      </c>
      <c r="JS141">
        <f t="shared" si="408"/>
        <v>0</v>
      </c>
      <c r="JT141">
        <f>IF(B141="","",COUNTIF(B$3:B141,"?*"))</f>
        <v>139</v>
      </c>
      <c r="JU141">
        <f>IF(HL141&lt;&gt;1,0,_xlfn.LET(_xlpm.k,MAX(IFERROR(--_xlfn.XLOOKUP(B141,Коды_код,Коды_3L),0),IFERROR(--_xlfn.XLOOKUP(BC141,Коды_код,Коды_3L),0),IFERROR(--_xlfn.XLOOKUP(LEFT(BC141,2),Коды_код,Коды_3L),0)),IF(_xlpm.k&gt;0,_xlpm.k,IF(IFERROR(--LEFT(SUBSTITUTE(JO141,"x","х"),FIND("х",SUBSTITUTE(JO141,"x","х"))-1),3)&gt;3,Каталог!$S$9,1))))</f>
        <v>1</v>
      </c>
      <c r="JV141">
        <f t="shared" si="409"/>
        <v>0</v>
      </c>
      <c r="JW141" t="str">
        <f t="shared" si="410"/>
        <v>авто</v>
      </c>
      <c r="JX141" t="str">
        <f t="shared" si="411"/>
        <v/>
      </c>
      <c r="JY141">
        <f t="shared" si="412"/>
        <v>0</v>
      </c>
      <c r="JZ141">
        <f t="shared" si="413"/>
        <v>1</v>
      </c>
    </row>
    <row r="142" spans="1:286" x14ac:dyDescent="0.3">
      <c r="A142" t="s">
        <v>751</v>
      </c>
      <c r="B142" t="s">
        <v>1451</v>
      </c>
      <c r="C142" t="s">
        <v>1687</v>
      </c>
      <c r="D142">
        <v>1</v>
      </c>
      <c r="E142">
        <v>2.7E-2</v>
      </c>
      <c r="G142" t="str">
        <f>Линии[[#This Row],[_авто автомат]]</f>
        <v>1P С6А</v>
      </c>
      <c r="H142" t="str">
        <f>Линии[[#This Row],[_авто управление]]</f>
        <v/>
      </c>
      <c r="I142" t="str">
        <f>Линии[[#This Row],[_авто аппараты]]</f>
        <v/>
      </c>
      <c r="J142">
        <v>1.5</v>
      </c>
      <c r="K142">
        <v>33</v>
      </c>
      <c r="L142" t="str">
        <f>Линии[[#This Row],[_авто фаза]]</f>
        <v>L2</v>
      </c>
      <c r="M142" t="s">
        <v>484</v>
      </c>
      <c r="N142" t="str">
        <f t="shared" si="276"/>
        <v/>
      </c>
      <c r="O142" s="6" cm="1">
        <f t="array" ref="O142">IF(B142="","",IF(BH142&lt;&gt;"",IFERROR(_xlfn.XLOOKUP(BH142,Щиты[Щит],Щиты[Iр, А]),""),IF(BP142=1,IF(OR(N(_xlfn.XLOOKUP(A142,Щиты[Щит],Щиты[Вводов],1))&lt;=1,LOWER(TRIM(_xlfn.XLOOKUP(A142,Щиты[Щит],Щиты[АВР],"")&amp;""))="да"),IFERROR(_xlfn.XLOOKUP(A142,Щиты[Щит],Щиты[Iр, А]),""),IFERROR(N(BS142)*_xlfn.XLOOKUP(A142,Щиты[Щит],Щиты[Кс итог])/(SQRT(3)*Uн_лин*_xlfn.XLOOKUP(A142,Щиты[Щит],Щиты[cos φ])),"")),IF(BV142=1,IFERROR(BS142*1000/BU142,""),IFERROR(_xlfn.IFS(BX142=1,BS142/((Uн_лин/SQRT(3))*CE142),BX142=3,BS142/(SQRT(3)*Uн_лин*CE142)),"")))))</f>
        <v>0.146141786888624</v>
      </c>
      <c r="P142" s="7">
        <f>IF(B142="","",IFERROR(IF(VLOOKUP(BC142,Потребители_обозначение,4,FALSE)=1,VLOOKUP(BC142,Потребители_обозначение,3,FALSE)*(MAX(1,N(D142))*2-1)+EI142+VLOOKUP(BE142,Этаж_обозначение,3,FALSE)+VLOOKUP(BE142,Этаж_обозначение,4,FALSE),VLOOKUP(BC142,Потребители_обозначение,3,FALSE)*(MAX(1,N(D142))*2-1)+EI142),EI142))</f>
        <v>35</v>
      </c>
      <c r="Q142" s="6">
        <f t="shared" si="277"/>
        <v>1.2</v>
      </c>
      <c r="R142" t="str">
        <f t="shared" si="278"/>
        <v>ВВГнг(А)-LS (3х1,5)</v>
      </c>
      <c r="S142" t="str">
        <f>IF(BM142="","",IF(BN142="вводной узел","узел ","")&amp;"л."&amp;(INT((BM142-1)/Столбцов_на_лист)+1)&amp;" / "&amp;(MOD(BM142-1,Столбцов_на_лист)+1))</f>
        <v>л.2 / 9</v>
      </c>
      <c r="T142" s="119">
        <f t="shared" si="279"/>
        <v>0.4</v>
      </c>
      <c r="U142" s="7" t="str">
        <f>IF(OR(CG142=0,N(BV142)+N(IB142)=0),"",ROUNDUP(Запас_БП*(N(HY142)+N(HZ142)),0))</f>
        <v/>
      </c>
      <c r="V142" s="119" t="str">
        <f t="shared" si="280"/>
        <v/>
      </c>
      <c r="W142" s="7" t="str">
        <f>IFERROR(IF(OR(B142="",BP142=1,BV142=1,NOT(ISNUMBER(EN142)),N(DT142)=0),"",MAX(0,ROUNDDOWN((c_min*(Uн_лин*1000/SQRT(3))/(HT142*N(DT142))-_xlfn.XLOOKUP(A142,Щиты[Щит],Щиты[Zпетли на шинах, Ом]))*EN142/(2*ρкз_Cu),0))),"")</f>
        <v/>
      </c>
      <c r="Y142" t="str">
        <f>Линии[[#This Row],[_авто утечка]]</f>
        <v/>
      </c>
      <c r="Z142">
        <v>1</v>
      </c>
      <c r="AA142">
        <v>230</v>
      </c>
      <c r="AB142" t="s">
        <v>598</v>
      </c>
      <c r="AC142">
        <v>0.5</v>
      </c>
      <c r="AG142" t="s">
        <v>810</v>
      </c>
      <c r="AI142" t="s">
        <v>576</v>
      </c>
      <c r="AK142" t="str">
        <f>Линии[[#This Row],[_авто модуль]]</f>
        <v/>
      </c>
      <c r="AM142">
        <v>26</v>
      </c>
      <c r="AN142" t="s">
        <v>11</v>
      </c>
      <c r="AO142">
        <v>3</v>
      </c>
      <c r="AQ142">
        <v>4</v>
      </c>
      <c r="AR142">
        <v>31</v>
      </c>
      <c r="AT142">
        <v>1</v>
      </c>
      <c r="BA142" cm="1">
        <f t="array" ref="BA142">ROW()-ROW(Линии[#Headers])</f>
        <v>140</v>
      </c>
      <c r="BC142" s="6" t="str">
        <f t="shared" si="281"/>
        <v>K</v>
      </c>
      <c r="BD142" t="str">
        <f t="shared" si="282"/>
        <v>3.002Б</v>
      </c>
      <c r="BE142" t="str">
        <f t="shared" si="283"/>
        <v>3</v>
      </c>
      <c r="BF142" t="str">
        <f t="shared" si="284"/>
        <v>002Б</v>
      </c>
      <c r="BG142" t="str">
        <f t="shared" si="285"/>
        <v>002Б</v>
      </c>
      <c r="BH142" t="str">
        <f>IF(X142&lt;&gt;"",X142,IF(AND(B142&lt;&gt;"",B142&lt;&gt;A142,ISNUMBER(_xlfn.XMATCH(B142,Щиты[Щит]))),B142,""))</f>
        <v/>
      </c>
      <c r="BI142" t="str" cm="1">
        <f t="array" ref="BI142">IF(B142="","",IF(BH142&lt;&gt;"","Щит "&amp;BH142,_xlfn.LET(_xlpm.nm,IFERROR(_xlfn.XLOOKUP(BC142,Коды_код,Коды_имя)&amp;"",""),_xlpm.md,IFERROR(N(_xlfn.XLOOKUP(BC142,Коды_код,Коды_режим)),1),_xlpm.ex,IF(Имя_режим="по экспликации",IFERROR(_xlfn.XLOOKUP(BE142&amp;"|"&amp;BG142,Экспликация[Этаж]&amp;"|"&amp;Экспликация[Помещение],Экспликация[Название])&amp;"",""),""),_xlpm.rm,IF(BG142="","",IF(_xlpm.ex&lt;&gt;"",". "&amp;_xlpm.ex&amp;IF(Имя_пом="нет"," ("&amp;BG142&amp;")"," (пом. "&amp;BG142&amp;")"),IF(Имя_пом="нет"," ",", пом. ")&amp;BG142)),IF(_xlpm.nm="","",IF(_xlpm.md=2,_xlpm.nm&amp;" шлейф "&amp;BE142,_xlpm.nm&amp;_xlpm.rm)))))</f>
        <v>Внутренний блок кондиционирования, пом. 002Б</v>
      </c>
      <c r="BJ142" t="str">
        <f t="shared" si="286"/>
        <v>Внутренний блок кондиционирования Технический этаж Пом. №003Т</v>
      </c>
      <c r="BK142">
        <f>IFERROR(_xlfn.XMATCH(A142,Щиты[Щит]),0)</f>
        <v>7</v>
      </c>
      <c r="BL142">
        <f>_xlfn.LET(_xlpm.k,IFERROR(_xlfn.XLOOKUP(A142,Щиты[Щит],Щиты[Мест под вводной узел]),""),IF(_xlpm.k="",Столбцов_на_лист,N(_xlpm.k)))</f>
        <v>12</v>
      </c>
      <c r="BM142">
        <f t="shared" si="287"/>
        <v>26</v>
      </c>
      <c r="BN142" t="str">
        <f t="shared" si="288"/>
        <v>линии</v>
      </c>
      <c r="BO142" s="6">
        <f>IFERROR(N(_xlfn.XLOOKUP(BC142,Коды_код,Коды_квт)),0)</f>
        <v>0</v>
      </c>
      <c r="BP142">
        <f t="shared" si="289"/>
        <v>0</v>
      </c>
      <c r="BQ142" t="str">
        <f>IF(B142="","",IF(BH142&lt;&gt;"",IFERROR(_xlfn.XLOOKUP(BH142,Щиты[Щит],Щиты[Руст, кВт]),0),IF(BP142=1,IF(OR(N(_xlfn.XLOOKUP(A142,Щиты[Щит],Щиты[Вводов],1))&lt;=1,LOWER(TRIM(_xlfn.XLOOKUP(A142,Щиты[Щит],Щиты[АВР],"")&amp;""))="да"),IFERROR(_xlfn.XLOOKUP(A142,Щиты[Щит],Щиты[Руст, кВт]),0),SUMIFS(Линии[_Р для вводов],Линии[Щит],A142,Линии[Источник для режимов],GF142)),IF(BO142&gt;0,ROUND(BO142*MAX(1,N(D142)),3),""))))</f>
        <v/>
      </c>
      <c r="BR142">
        <f t="shared" si="290"/>
        <v>2.7E-2</v>
      </c>
      <c r="BS142" s="6">
        <f>IF(B142="","",IF(BH142&lt;&gt;"",IFERROR(_xlfn.XLOOKUP(BH142,Щиты[Щит],Щиты[Руст, кВт]),0),N(BR142)))</f>
        <v>2.7E-2</v>
      </c>
      <c r="BT142" t="str">
        <f>IF(B142="","",IFERROR(IF(VLOOKUP(BC142,Потребители_обозначение,8,FALSE)=0,"",VLOOKUP(BC142,Потребители_обозначение,8,FALSE)),""))</f>
        <v/>
      </c>
      <c r="BU142">
        <f t="shared" si="291"/>
        <v>230</v>
      </c>
      <c r="BV142">
        <f t="shared" si="292"/>
        <v>0</v>
      </c>
      <c r="BW142">
        <f>IF(B142="","",IF(BH142&lt;&gt;"",3,IFERROR(IF(N(VLOOKUP(BC142,Потребители_обозначение,9,FALSE))=0,1,VLOOKUP(BC142,Потребители_обозначение,9,FALSE)),1)))</f>
        <v>1</v>
      </c>
      <c r="BX142">
        <f t="shared" si="293"/>
        <v>1</v>
      </c>
      <c r="BY142" t="str">
        <f>IF(B142="","",_xlfn.LET(_xlpm.bc,IFERROR(IF(VLOOKUP(BC142,Потребители_обозначение,6,FALSE)=0,"",VLOOKUP(BC142,Потребители_обозначение,6,FALSE)&amp;""),""),IF(AND(GA142="да",OR(_xlpm.bc="",_xlpm.bc="мс")),Марка_пож,IF(AND(_xlpm.bc="",BH142&lt;&gt;""),"мс",_xlpm.bc))))</f>
        <v/>
      </c>
      <c r="BZ142" t="str">
        <f t="shared" si="294"/>
        <v>мс</v>
      </c>
      <c r="CA142">
        <f>IF(B142="","",_xlfn.LET(_xlpm.cc,IFERROR(N(VLOOKUP(BC142,Потребители_обозначение,7,FALSE)),0),IF(_xlpm.cc&gt;0,_xlpm.cc,IF(BZ142="","",IF(BV142=1,2,IF(N(BX142)=3,5,3))))))</f>
        <v>3</v>
      </c>
      <c r="CB142">
        <f t="shared" si="295"/>
        <v>3</v>
      </c>
      <c r="CC142">
        <f>IFERROR(N(VLOOKUP(BC142,Потребители_обозначение,10,FALSE)),0)</f>
        <v>0</v>
      </c>
      <c r="CD142">
        <f>IFERROR(VLOOKUP(BC142,Потребители_обозначение,5,FALSE),0)</f>
        <v>1</v>
      </c>
      <c r="CE142" s="6" cm="1">
        <f t="array" ref="CE142">IF(B142="","",IF(BH142&lt;&gt;"",IFERROR(_xlfn.XLOOKUP(BH142,Щиты[Щит],Щиты[cos φ]),0.95),IF(BP142=1,IFERROR(_xlfn.XLOOKUP(A142,Щиты[Щит],Щиты[cos φ]),0.95),IF(ISNUMBER(AD142),AD142,IFERROR(IF(CD142=2,_xlfn.IFS(BX142=3,VLOOKUP(BS142,Справочная_двигатели,8,FALSE),BX142=1,VLOOKUP(BS142,Справочная_двигатели,10,TRUE)),IF(AND(Методика="нормы 2026",FG142="Сил"),0.8,0.95)),0.95)))))</f>
        <v>0.8</v>
      </c>
      <c r="CF142">
        <f t="shared" si="296"/>
        <v>0</v>
      </c>
      <c r="CG142">
        <f t="shared" si="297"/>
        <v>1</v>
      </c>
      <c r="CH142">
        <f t="shared" si="298"/>
        <v>0</v>
      </c>
      <c r="CI142">
        <f>IF(B142="","",IF(BV142=1,IFERROR(BS142/((Uн_лин/SQRT(3))*MAX(0.5,N(CE142))),0),N(O142)))</f>
        <v>0.146141786888624</v>
      </c>
      <c r="CJ142">
        <f t="shared" si="299"/>
        <v>0</v>
      </c>
      <c r="CK142">
        <f t="shared" si="300"/>
        <v>0</v>
      </c>
      <c r="CL142">
        <f t="shared" si="301"/>
        <v>0</v>
      </c>
      <c r="CM142">
        <f t="shared" si="302"/>
        <v>0</v>
      </c>
      <c r="CN142">
        <f t="shared" si="303"/>
        <v>0</v>
      </c>
      <c r="CO142">
        <f>IF(BC142="",0,_xlfn.LET(_xlpm.v,IFERROR(_xlfn.XLOOKUP(B142,Коды_код,Коды_мА),IFERROR(_xlfn.XLOOKUP(BC142,Коды_код,Коды_мА),IFERROR(_xlfn.XLOOKUP(LEFT(BC142,2),Коды_код,Коды_мА),""))),IF(_xlpm.v="да",30,IF(ISNUMBER(_xlpm.v),_xlpm.v,0))))</f>
        <v>0</v>
      </c>
      <c r="CP142" t="str">
        <f t="shared" si="304"/>
        <v/>
      </c>
      <c r="CQ142" t="str">
        <f>_xlfn.LET(_xlpm.k,IFERROR(_xlfn.XLOOKUP(BC142,Коды_код,Коды_утечка)&amp;"",""),IF(_xlpm.k="","дифавтомат",_xlpm.k))</f>
        <v>дифавтомат</v>
      </c>
      <c r="CR142" t="str" cm="1">
        <f t="array" ref="CR142">IF(CG142=0,"",_xlfn.LET(_xlpm.sg,TRIM(_xlfn.TEXTSPLIT(DD142&amp;"",";")),_xlpm.f_,_xlfn._xlws.FILTER(_xlpm.sg,LEFT(_xlpm.sg,3)="УЗО",""),IFERROR(INDEX(_xlpm.f_,1)&amp;"","")))</f>
        <v/>
      </c>
      <c r="CS142" t="str">
        <f t="shared" si="305"/>
        <v/>
      </c>
      <c r="CT142" s="6" t="str" cm="1">
        <f t="array" ref="CT142">IF(CR142="","",_xlfn.LET(_xlpm.tk,_xlfn.TEXTSPLIT(UPPER(CR142)," ",,TRUE),_xlpm.a_,_xlfn._xlws.FILTER(_xlpm.tk,ISNUMBER(--LEFT(_xlpm.tk,1))*((ISNUMBER(SEARCH("А",_xlpm.tk))+ISNUMBER(SEARCH("A",_xlpm.tk)))&gt;0)*NOT(ISNUMBER(SEARCH("МА",_xlpm.tk)))*NOT(ISNUMBER(SEARCH("MA",_xlpm.tk))),""),IFERROR(--SUBSTITUTE(SUBSTITUTE(INDEX(_xlpm.a_,1),"А",""),"A",""),"")))</f>
        <v/>
      </c>
      <c r="CU142" t="str" cm="1">
        <f t="array" ref="CU142">IF(CR142="","",_xlfn.LET(_xlpm.tk,_xlfn.TEXTSPLIT(UPPER(CR142)," ",,TRUE),_xlpm.a_,_xlfn._xlws.FILTER(_xlpm.tk,ISNUMBER(--LEFT(_xlpm.tk,1))*((ISNUMBER(SEARCH("МА",_xlpm.tk))+ISNUMBER(SEARCH("MA",_xlpm.tk)))&gt;0),""),IFERROR(--SUBSTITUTE(SUBSTITUTE(INDEX(_xlpm.a_,1),"МА",""),"MA",""),30)))</f>
        <v/>
      </c>
      <c r="CV142" t="str">
        <f>IF(CS142="","",IFERROR(_xlfn.XLOOKUP(CS142,Линии[_n],Линии[_УЗО, мА]),30))</f>
        <v/>
      </c>
      <c r="CW142">
        <f>IF(CS142="",0,IF(ISNUMBER(SEARCH("4P",IFERROR(_xlfn.XLOOKUP(CS142,Линии[_n],Линии[_УЗО строки])&amp;"",""))),0,1))</f>
        <v>0</v>
      </c>
      <c r="CX142" t="str">
        <f>IF(AND(CS142&lt;&gt;"",CS142=BA142),SUMIFS(Линии[_ток на 230 В],Линии[_блок УЗО],BA142,Линии[Щит],A142),"")</f>
        <v/>
      </c>
      <c r="CY142" t="str">
        <f>IF(AND(CS142&lt;&gt;"",CS142=BA142),SUMIFS(Линии[_ток утечки линии, мА],Линии[_блок УЗО],BA142,Линии[Щит],A142),"")</f>
        <v/>
      </c>
      <c r="CZ142">
        <f t="shared" si="306"/>
        <v>0</v>
      </c>
      <c r="DA142">
        <f t="shared" si="307"/>
        <v>0</v>
      </c>
      <c r="DB142">
        <f>IF(B142="",0,IFERROR(--_xlfn.XLOOKUP(B142,Коды_код,Коды_минавт),IFERROR(--_xlfn.XLOOKUP(BC142,Коды_код,Коды_минавт),IFERROR(--_xlfn.XLOOKUP(LEFT(BC142,2),Коды_код,Коды_минавт),0))))</f>
        <v>0</v>
      </c>
      <c r="DC142" t="str">
        <f>IF(B142="","",IFERROR(_xlfn.XLOOKUP(BC142,Коды_код,Коды_апп)&amp;"",""))</f>
        <v/>
      </c>
      <c r="DD142" t="str">
        <f t="shared" si="308"/>
        <v/>
      </c>
      <c r="DE142" t="str" cm="1">
        <f t="array" ref="DE142">IF(TRIM(DD142&amp;"")="","",IFERROR(TRIM(INDEX(_xlfn.TEXTSPLIT(DD142&amp;";;;",";"),1)),""))</f>
        <v/>
      </c>
      <c r="DF142" t="str" cm="1">
        <f t="array" ref="DF142">IF(TRIM(DD142&amp;"")="","",IFERROR(TRIM(INDEX(_xlfn.TEXTSPLIT(DD142&amp;";;;",";"),2)),""))</f>
        <v/>
      </c>
      <c r="DG142" t="str" cm="1">
        <f t="array" ref="DG142">IF(TRIM(DD142&amp;"")="","",IFERROR(TRIM(INDEX(_xlfn.TEXTSPLIT(DD142&amp;";;;",";"),3)),""))</f>
        <v/>
      </c>
      <c r="DH142">
        <f t="shared" si="309"/>
        <v>0</v>
      </c>
      <c r="DI142" t="str">
        <f>IF(B142="","",_xlfn.LET(_xlpm.t,LOWER(AZ142&amp;""),IF(ISNUMBER(SEARCH("dim",_xlpm.t)),"DIM",IF(ISNUMBER(SEARCH("dali",_xlpm.t)),"DALI",IF(OR(ISNUMBER(SEARCH("relay",_xlpm.t)),ISNUMBER(SEARCH("реле",_xlpm.t))),"Relay",IF(ISNUMBER(SEARCH("кнопк",_xlpm.t)),"",IFERROR(_xlfn.XLOOKUP(BC142,Коды_код,Коды_упр)&amp;"","")))))))</f>
        <v/>
      </c>
      <c r="DJ142" t="str">
        <f t="shared" si="310"/>
        <v/>
      </c>
      <c r="DK142">
        <f>IF(B142="","",_xlfn.LET(_xlpm.ig,IF(N(CX142)&gt;0,N(CX142),N(CI142)+IF(AJ142="вручную",0,N(CJ142))),_xlpm.n0,IFERROR(VLOOKUP(_xlpm.ig,Автомат_номиналы,2,TRUE),0),_xlpm.mn,MAX(DB142,IF(AJ142="вручную",0,N(CM142))),MAX(_xlpm.n0,_xlpm.mn,IF(DH142=1,Мин_автомат_БП,0))))</f>
        <v>6</v>
      </c>
      <c r="DL142">
        <f t="shared" si="311"/>
        <v>1</v>
      </c>
      <c r="DM142" t="str">
        <f t="shared" si="312"/>
        <v>1P</v>
      </c>
      <c r="DN142" t="str">
        <f>_xlfn.LET(_xlpm.cc,UPPER(TRIM(IFERROR(_xlfn.XLOOKUP(BC142,Коды_код,Коды_хар)&amp;"",""))),IF(OR(_xlpm.cc="B",_xlpm.cc="В"),"B",IF(_xlpm.cc="D","D","С")))</f>
        <v>С</v>
      </c>
      <c r="DO142" t="str">
        <f t="shared" si="313"/>
        <v>1P С6А</v>
      </c>
      <c r="DP142" t="str">
        <f t="shared" si="314"/>
        <v>1P С6А</v>
      </c>
      <c r="DQ142" t="str">
        <f t="shared" si="315"/>
        <v>1P С6А</v>
      </c>
      <c r="DR142" cm="1">
        <f t="array" ref="DR142">IF(DQ142="","",_xlfn.LET(_xlpm.t,SUBSTITUTE(SUBSTITUTE(SUBSTITUTE(UPPER(DQ142),"С","C"),"А","A"),"В","B"),_xlpm.tk,_xlfn.TEXTSPLIT(_xlpm.t," "),_xlpm.f,_xlfn._xlws.FILTER(_xlpm.tk,ISNUMBER(--MID(_xlpm.tk,2,1))*ISNUMBER(SEARCH(LEFT(_xlpm.tk,1)&amp;"#","B#C#D#"))*(LEN(_xlpm.tk)&gt;1),""),_xlpm.x,INDEX(_xlpm.f,1),IFERROR(--SUBSTITUTE(MID(_xlpm.x,2,9),"A",""),IFERROR(--SUBSTITUTE(INDEX(_xlfn._xlws.FILTER(_xlpm.tk,ISNUMBER(--SUBSTITUTE(_xlpm.tk,"A","")),""),1),"A",""),""))))</f>
        <v>6</v>
      </c>
      <c r="DS142" t="str">
        <f t="shared" si="316"/>
        <v>ok</v>
      </c>
      <c r="DT142">
        <f t="shared" si="317"/>
        <v>6</v>
      </c>
      <c r="DU142" t="str">
        <f t="shared" si="318"/>
        <v>1P С6А</v>
      </c>
      <c r="DV142">
        <f t="shared" si="319"/>
        <v>0</v>
      </c>
      <c r="DW142">
        <f t="shared" si="320"/>
        <v>0</v>
      </c>
      <c r="DX142">
        <f t="shared" si="321"/>
        <v>0</v>
      </c>
      <c r="DY142">
        <f t="shared" si="322"/>
        <v>0.146141786888624</v>
      </c>
      <c r="DZ142">
        <f t="shared" si="323"/>
        <v>1</v>
      </c>
      <c r="EA142">
        <f>IF(ISNUMBER(AP142),AP142,К_прокл)</f>
        <v>1</v>
      </c>
      <c r="EB142">
        <f t="shared" si="324"/>
        <v>2</v>
      </c>
      <c r="EC142">
        <f>IFERROR(N(VLOOKUP(BZ142,Кабель_обозначение,3,FALSE)),1)</f>
        <v>1</v>
      </c>
      <c r="ED142">
        <f>IFERROR(N(_xlfn.XLOOKUP(A142,Щиты[Щит],Щиты[ΔU до шин, %])),0)</f>
        <v>1.1399999999999999</v>
      </c>
      <c r="EE142" t="str">
        <f>IFERROR(_xlfn.XLOOKUP(A142,Щиты[Щит],Щиты[Zпетли на шинах, Ом]),"")</f>
        <v/>
      </c>
      <c r="EF142">
        <f>IFERROR(N(_xlfn.XLOOKUP(A142,Щиты[Щит],Щиты[ΔU до шин (подбор), %])),0)</f>
        <v>1.82</v>
      </c>
      <c r="EG142" t="str">
        <f>IFERROR(_xlfn.XLOOKUP(A142,Щиты[Щит],Щиты[Zпетли на шинах (подбор), Ом]),"")</f>
        <v/>
      </c>
      <c r="EH142" t="str">
        <f t="shared" si="325"/>
        <v/>
      </c>
      <c r="EI142">
        <f t="shared" si="326"/>
        <v>33</v>
      </c>
      <c r="EJ142">
        <f t="shared" si="327"/>
        <v>2</v>
      </c>
      <c r="EK142">
        <f t="shared" si="328"/>
        <v>0.6</v>
      </c>
      <c r="EL142" s="6">
        <f>IF(B142="","",IF(BV142=1,dU_LED,IF(IFERROR(_xlfn.XLOOKUP(BC142,Коды_код,Коды_уго),"")="Светильник",3,4)+IF(Методика="нормы 2026",MIN(0.5,MAX(0,N(P142)-100)*0.005),0)))</f>
        <v>4</v>
      </c>
      <c r="EM142" cm="1">
        <f t="array" ref="EM142">IF(OR(B142="",BZ142="",EC142&lt;&gt;1),"",_xlfn.LET(_xlpm.sz,Iдоп_S,_xlpm.t_,CHOOSE(EB142,Iдоп_1ж,Iдоп_2ж,Iдоп_3ж)*DZ142*EA142,_xlpm.dcx,BV142=1,_xlpm.inn,IF(_xlpm.dcx,N(O142),N(DT142)),_xlpm.smin,MAX(1.5,CC142),_xlpm.L_,N(P142)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142)/N(BU142)*100,999),IFERROR(N(EJ142)*(_xlpm.rho*_xlpm.L_/_xlpm.sz*N(CE142)+_xlpm.xx*_xlpm.L_*N(EK142)/1000)*N(O142)/((Uн_лин/SQRT(3))*1000)*100,999)),_xlpm.kz,IF(OR(_xlpm.dcx,DW142=1,NOT(ISNUMBER(EG142)),_xlpm.L_=0,_xlpm.inn=0),1,IFERROR(--(c_min*(Uн_лин*1000/SQRT(3))/(EG142+2*ρкз_Cu*_xlpm.L_/_xlpm.sz)&gt;=HT142*_xlpm.inn),0)),_xlpm.ok,IFERROR((_xlpm.sz&gt;=_xlpm.smin)*(_xlpm.t_&gt;=_xlpm.inn)*IF(_xlpm.L_&gt;0,(_xlpm.du_+IF(_xlpm.dcx,0,EF142)&lt;=EL142+0.00001),1)*_xlpm.kz,0),_xlpm.r_,_xlfn._xlws.FILTER(_xlpm.sz,_xlpm.ok,"не подобрано"),INDEX(_xlpm.r_,1)))</f>
        <v>1.5</v>
      </c>
      <c r="EN142">
        <f t="shared" si="329"/>
        <v>1.5</v>
      </c>
      <c r="EO142" cm="1">
        <f t="array" ref="EO142">IF(OR(B142="",BZ142="",EC142&lt;&gt;1),"",_xlfn.LET(_xlpm.sz,Iдоп_S,_xlpm.t_,CHOOSE(EB142,Iдоп_1ж,Iдоп_2ж,Iдоп_3ж)*DZ142*EA142,_xlpm.ok,IFERROR((_xlpm.sz&gt;=MAX(1.5,CC142))*(_xlpm.t_&gt;=N(DT142)),0),_xlpm.r_,_xlfn._xlws.FILTER(_xlpm.sz,_xlpm.ok,""),INDEX(_xlpm.r_,1)))</f>
        <v>1.5</v>
      </c>
      <c r="EP142" s="6" cm="1">
        <f t="array" ref="EP142">IFERROR(ROUNDUP(N(EJ142)*(_xlfn.XLOOKUP(EO142,INDEX(Кабель_сопротивление,0,1),INDEX(Кабель_сопротивление,0,3))*N(P142)/EO142*N(CE142)+_xlfn.XLOOKUP(EO142,INDEX(Кабель_сопротивление,0,1),INDEX(Кабель_сопротивление,0,2))*N(P142)*N(EK142)/1000)*N(O142)/((Uн_лин/SQRT(3))*1000)*100,2),"")</f>
        <v>6.0000000000000005E-2</v>
      </c>
      <c r="EQ142">
        <f>IFERROR(2*ρкз_Cu*N(P142)/EO142,"")</f>
        <v>1.2273333333333334</v>
      </c>
      <c r="ER142">
        <f>IFERROR(VLOOKUP(EN142,Кабель_сопротивление,3,FALSE),"")</f>
        <v>2.2499999999999999E-2</v>
      </c>
      <c r="ES142">
        <f>IFERROR(VLOOKUP(EN142,Кабель_сопротивление,2,FALSE),"")</f>
        <v>0.11</v>
      </c>
      <c r="ET142">
        <f t="shared" si="330"/>
        <v>31</v>
      </c>
      <c r="EU142">
        <f t="shared" si="331"/>
        <v>0</v>
      </c>
      <c r="EV142">
        <f t="shared" si="332"/>
        <v>0.12343427604186961</v>
      </c>
      <c r="EW142" s="6">
        <f>IFERROR(ROUNDUP(EV142/IF(BV142=1,BU142,(Uн_лин/SQRT(3))*1000)*100,2),"")</f>
        <v>6.0000000000000005E-2</v>
      </c>
      <c r="EX142" t="str">
        <f>IFERROR(VLOOKUP(BZ142,Кабель_обозначение,2,FALSE),"")</f>
        <v>ВВГнг(А)-LS</v>
      </c>
      <c r="EY142" t="str">
        <f t="shared" si="333"/>
        <v>ВВГнг(А)-LS (3х1,5)</v>
      </c>
      <c r="EZ142" t="str">
        <f t="shared" si="334"/>
        <v>ВВГнг(А)-LS (3х1,5)
L=35-0,06%</v>
      </c>
      <c r="FA142">
        <f>IFERROR(2*ρкз_Cu*P142/EN142,"")</f>
        <v>1.2273333333333334</v>
      </c>
      <c r="FB142">
        <f t="shared" si="335"/>
        <v>0.40833333333333338</v>
      </c>
      <c r="FC142" s="6" t="str">
        <f>IFERROR(IF(OR(B142="",BV142=1,NOT(ISNUMBER(EN142)),N(P142)=0),"",_xlfn.XLOOKUP(A142,Щиты[Щит],Щиты[Zпетли на шинах, Ом])+FA142),"")</f>
        <v/>
      </c>
      <c r="FD142" s="6" t="str">
        <f>IF(ISNUMBER(FC142),c_min*(Uн_лин*1000/SQRT(3))/FC142,"")</f>
        <v/>
      </c>
      <c r="FE142" s="6" t="str">
        <f>IFERROR(IF(OR(B142="",NOT(ISNUMBER(EN142))),"",1.05*(Uн_лин*1000/SQRT(3))/(_xlfn.XLOOKUP(A142,Щиты[Щит],Щиты[Zmax на шинах, Ом])+FB142)/1000),"")</f>
        <v/>
      </c>
      <c r="FF142" s="6" t="str">
        <f>IF(B142="","",IF(ISNUMBER(AC142),"Сил",IF(IFERROR(_xlfn.XLOOKUP(BC142,Коды_код,Коды_группа)&amp;"","")="","Быт",_xlfn.XLOOKUP(BC142,Коды_код,Коды_группа)&amp;"")))</f>
        <v>Сил</v>
      </c>
      <c r="FG142" s="6" t="str">
        <f t="shared" si="336"/>
        <v>Сил</v>
      </c>
      <c r="FH142" s="6">
        <f>IF(FG142="Щит","щит",IF(FG142="","",IF(FG142="Быт",IFERROR(_xlfn.XLOOKUP(A142,Щиты[Щит],Щиты[Кс быт]),1),IF(FG142="Сил",IF(ISNUMBER(AC142),AC142,IF(Методика="нормы 2026",IFERROR(_xlfn.XLOOKUP(A142,Щиты[Щит],Щиты[Кс силовых (табл. 7.5)]),1),1)),IF(OR(FG142="Пост",FG142="Отоп"),1,IF(FG142="ВНГ",0.7,0))))))</f>
        <v>0.5</v>
      </c>
      <c r="FI142">
        <f>IF(FG142="","",IF(AND(BP142=1,TRIM(AE142&amp;"")=""),IF(COUNTIFS(Линии[Щит],A142,Линии[Секция (1/2/3)],"&gt;=2")&gt;0,MIN(3,MAX(1,IFERROR(--BD142,1))),1),IFERROR(MIN(3,MAX(1,INT(--AE142))),1)))</f>
        <v>1</v>
      </c>
      <c r="FJ142">
        <f t="shared" si="337"/>
        <v>2.7E-2</v>
      </c>
      <c r="FK142">
        <f t="shared" si="338"/>
        <v>0</v>
      </c>
      <c r="FL142">
        <f t="shared" si="339"/>
        <v>1.35E-2</v>
      </c>
      <c r="FM142">
        <f t="shared" si="340"/>
        <v>0</v>
      </c>
      <c r="FN142">
        <f t="shared" si="341"/>
        <v>0</v>
      </c>
      <c r="FO142">
        <f t="shared" si="342"/>
        <v>0</v>
      </c>
      <c r="FP142">
        <f t="shared" si="343"/>
        <v>2.7E-2</v>
      </c>
      <c r="FQ142">
        <f t="shared" si="344"/>
        <v>2.7E-2</v>
      </c>
      <c r="FR142">
        <f t="shared" si="345"/>
        <v>2.1600000000000001E-2</v>
      </c>
      <c r="FS142">
        <f>IF(CG142=1,IF(AND(CH142=1,CW142=1),0,IF(AND(CS142&lt;&gt;"",CS142=BA142,CW142=1),SUMIFS(Линии[_Р линии, кВт],Линии[_блок УЗО],BA142,Линии[Щит],A142),N(BS142)+IF(AJ142="вручную",0,N(CK142)))),0)</f>
        <v>2.7E-2</v>
      </c>
      <c r="FT142" t="str">
        <f t="shared" si="346"/>
        <v/>
      </c>
      <c r="FU142" t="str">
        <f>IF(B142="","",IF(CG142=0,IF(BA142=1,"",FW141),IF(AND(CH142=1,CW142=1,CS142&lt;&gt;""),IFERROR(_xlfn.XLOOKUP(CS142,Линии[_n],Линии[_фаза итог]),"L1"),IF(OR(N(DL142)&gt;=3,N(BX142)&gt;=3),"L1,L2,L3",IFERROR(_xlfn.TEXTBEFORE(_xlfn.TEXTAFTER(_xlfn.XLOOKUP(A142,Щиты[Щит],Щиты[_фазы авто]),";"&amp;BA142&amp;":"),";"),"L1")))))</f>
        <v>L2</v>
      </c>
      <c r="FV142" t="str">
        <f t="shared" si="347"/>
        <v>L2</v>
      </c>
      <c r="FW142" t="str">
        <f t="shared" si="348"/>
        <v>L2</v>
      </c>
      <c r="FX142" cm="1">
        <f t="array" ref="FX142">IFERROR(IF(CD142=2,_xlfn.IFS(BX142=3,VLOOKUP(BS142,Справочная_двигатели,3,FALSE),BX142=1,VLOOKUP(BS142,Справочная_двигатели,5,TRUE)),0),0)</f>
        <v>0</v>
      </c>
      <c r="FY142">
        <f>IFERROR(IF(CD142=3,VLOOKUP(BS142,Справочная_ЛЭД,2,TRUE),0),0)</f>
        <v>0</v>
      </c>
      <c r="FZ142" s="6">
        <f t="shared" si="349"/>
        <v>0</v>
      </c>
      <c r="GA142" t="str">
        <f>IF(B142="","",IF(TRIM(AH142&amp;"")&lt;&gt;"",IF(LOWER(TRIM(AH142&amp;""))="да","да","нет"),IF(IFERROR(_xlfn.XLOOKUP(BC142,Коды_код,Коды_пожарная),"")="да","да","нет")))</f>
        <v>нет</v>
      </c>
      <c r="GB142" t="str">
        <f t="shared" si="350"/>
        <v/>
      </c>
      <c r="GC142" t="str">
        <f t="shared" si="351"/>
        <v>основная</v>
      </c>
      <c r="GD142">
        <f>IF(AND(BP142=1,TRIM(AE142&amp;"")=""),IF(COUNTIFS(Линии[Щит],A142,Линии[Секция (1/2/3)],"&gt;=2")&gt;0,MIN(3,MAX(1,IFERROR(--BD142,1))),1),IFERROR(MIN(3,MAX(1,INT(--AE142))),1))</f>
        <v>1</v>
      </c>
      <c r="GE142" t="str" cm="1">
        <f t="array" ref="GE142">IF(B142="","",_xlfn.LET(_xlpm.t,IFERROR(_xlfn.XLOOKUP(1,(Шины[Шина]=GC142)*(((Шины[Щит]=A142)+(Шины[Щит]=""))&gt;0),Шины[Тип]),"")&amp;"",IF(_xlpm.t&lt;&gt;"",_xlpm.t,IF(ISNUMBER(SEARCH("ИБП",GC142)),"ИБП",IF(ISNUMBER(SEARCH("ДГУ",GC142)),"ДГУ","Ввод "&amp;GD142)))))</f>
        <v>Ввод 1</v>
      </c>
      <c r="GF142" t="str">
        <f t="shared" si="352"/>
        <v>Ввод 1</v>
      </c>
      <c r="GG142" t="str">
        <f>IF(BP142=0,"",IF(TRIM(AG142&amp;"")&lt;&gt;"",TRIM(AG142&amp;""),IF(OR(GE142="ИБП",GE142="ДГУ"),"I особая",_xlfn.XLOOKUP(A142,Щиты[Щит],Щиты[Категория шины «Ввод»],"III"))))</f>
        <v/>
      </c>
      <c r="GH142" t="str">
        <f>IF(A142="","",_xlfn.XLOOKUP(A142,Щиты[Щит],Щиты[Путь],""))</f>
        <v>|ГРЩ-ЖД|ЩОВ-2|</v>
      </c>
      <c r="GI142" t="str">
        <f>IF(B142="","",IF(AI142&lt;&gt;"",AI142,IF(IFERROR(_xlfn.XLOOKUP(BC142,Коды_код,Коды_вид)&amp;"","")="","Прочее",_xlfn.XLOOKUP(BC142,Коды_код,Коды_вид)&amp;"")))</f>
        <v>Кондиционирование и увлажнение</v>
      </c>
      <c r="GJ142">
        <f>IF(BM142="","",INT((BM142-1)/Столбцов_на_лист)+1)</f>
        <v>2</v>
      </c>
      <c r="GK142" t="str">
        <f t="shared" si="353"/>
        <v>ВВГнг(А)-LS (3х1,5) L=35-0,06%</v>
      </c>
      <c r="GL142">
        <f t="shared" si="354"/>
        <v>2.7E-2</v>
      </c>
      <c r="GM142">
        <f t="shared" si="355"/>
        <v>0.15000000000000002</v>
      </c>
      <c r="GN142">
        <f t="shared" si="356"/>
        <v>1</v>
      </c>
      <c r="GO142">
        <f t="shared" si="357"/>
        <v>0</v>
      </c>
      <c r="GP142">
        <f t="shared" si="358"/>
        <v>1</v>
      </c>
      <c r="GQ142">
        <f>IF(BM142="","",IF(AND(CG142=1,GP142=1),COUNTIFS(A$3:A142,A142,CG$3:CG142,1,GP$3:GP142,1),IF(OR(OR(BA142=1,A142&lt;&gt;A141),AJ142="вручную",GP142=0),"",IF(BA142=1,"",GR141))))</f>
        <v>12</v>
      </c>
      <c r="GR142">
        <f t="shared" si="359"/>
        <v>12</v>
      </c>
      <c r="GS142">
        <f>IF(B142="","",IFERROR(LOOKUP(INDEX(CHOOSE(EB142,Iдоп_1ж,Iдоп_2ж,Iдоп_3ж),MATCH(EN142,Iдоп_S,0))*DZ142*EA142,{6,10,16,20,25,32,40,50,63,80,100,125,160,200,250,315,400,500,630}),""))</f>
        <v>16</v>
      </c>
      <c r="GT142" t="str">
        <f t="shared" si="360"/>
        <v>QF12</v>
      </c>
      <c r="GU142" t="str">
        <f t="shared" si="361"/>
        <v>QF12</v>
      </c>
      <c r="GV142" t="str">
        <f t="shared" si="362"/>
        <v/>
      </c>
      <c r="GW142">
        <f t="shared" si="363"/>
        <v>0</v>
      </c>
      <c r="GX142" t="str">
        <f>IF(OR(B142="",DJ142=""),"",IFERROR(_xlfn.XLOOKUP(DJ142,Модули_умолч[Управление],Модули_умолч[Модель])&amp;"",""))</f>
        <v/>
      </c>
      <c r="GY142">
        <f>IF(DJ142="",1,IFERROR(MAX(0,N(_xlfn.XLOOKUP(DJ142,Модули_умолч[Управление],Модули_умолч[Каналов на линию]))),1))</f>
        <v>1</v>
      </c>
      <c r="GZ142" t="str">
        <f t="shared" si="364"/>
        <v/>
      </c>
      <c r="HA142" t="str">
        <f t="shared" si="365"/>
        <v/>
      </c>
      <c r="HB142" t="str">
        <f t="shared" si="366"/>
        <v/>
      </c>
      <c r="HC142">
        <f>IF(HB142="",0,IFERROR(N(VLOOKUP(HB142,Модули_спр,3,FALSE)),0))</f>
        <v>0</v>
      </c>
      <c r="HD142" t="str">
        <f t="shared" si="367"/>
        <v/>
      </c>
      <c r="HE142" t="str">
        <f t="shared" si="368"/>
        <v/>
      </c>
      <c r="HF142" t="str">
        <f>IF(OR(HE142="",HE142="-"),"",IFERROR(VLOOKUP(HE142,Модули_спр,2,FALSE),"R"))</f>
        <v/>
      </c>
      <c r="HG142" t="str">
        <f>IF(HF142="","",HF142&amp;"."&amp;COUNTIFS(A$3:A142,A142,HF$3:HF142,HF142))</f>
        <v/>
      </c>
      <c r="HH142" t="str">
        <f t="shared" si="369"/>
        <v/>
      </c>
      <c r="HI142" t="str">
        <f t="shared" si="370"/>
        <v/>
      </c>
      <c r="HJ142" t="str">
        <f t="shared" si="371"/>
        <v/>
      </c>
      <c r="HK142" t="str">
        <f t="shared" si="372"/>
        <v/>
      </c>
      <c r="HL142">
        <f t="shared" si="373"/>
        <v>1</v>
      </c>
      <c r="HM142" t="str">
        <f>IF(HL142=1,"XT"&amp;COUNTIFS(A$3:A142,A142,HL$3:HL142,1),"")</f>
        <v>XT12</v>
      </c>
      <c r="HN142" t="str">
        <f t="shared" si="374"/>
        <v/>
      </c>
      <c r="HO142" t="str">
        <f t="shared" si="375"/>
        <v>QF12</v>
      </c>
      <c r="HP142" t="str">
        <f t="shared" si="376"/>
        <v/>
      </c>
      <c r="HQ142" t="str">
        <f t="shared" si="377"/>
        <v>ok</v>
      </c>
      <c r="HR142" t="str">
        <f>IF(OR(HJ142="",HH142=""),"",IF(HJ142+MAX(0,GY142-1)&gt;IFERROR(VLOOKUP(HI142,Модули_спр,3,FALSE),99),"ЛИШНИЙ КАНАЛ",IF(AND(AL142&lt;&gt;"=",GY142&gt;0,COUNTIFS(Линии[_модуль гр.],HH142,Линии[Канал (итог)],HJ142,Линии[Канал],"&lt;&gt;=",Линии[Щит],A142)&gt;1),"ДУБЛЬ КАНАЛА","")))</f>
        <v/>
      </c>
      <c r="HS142" s="6" t="str">
        <f t="shared" si="378"/>
        <v/>
      </c>
      <c r="HT142">
        <f t="shared" si="379"/>
        <v>10</v>
      </c>
      <c r="HU142" t="str">
        <f t="shared" si="380"/>
        <v/>
      </c>
      <c r="HV142">
        <f t="shared" si="381"/>
        <v>0.40845671475544965</v>
      </c>
      <c r="HW142">
        <f t="shared" si="382"/>
        <v>0</v>
      </c>
      <c r="HX142">
        <f t="shared" si="383"/>
        <v>0</v>
      </c>
      <c r="HY142">
        <f t="shared" si="384"/>
        <v>0</v>
      </c>
      <c r="HZ142">
        <f t="shared" si="385"/>
        <v>0</v>
      </c>
      <c r="IA142">
        <f t="shared" si="386"/>
        <v>0</v>
      </c>
      <c r="IB142">
        <f t="shared" si="387"/>
        <v>0</v>
      </c>
      <c r="IC142" t="str">
        <f t="shared" si="388"/>
        <v/>
      </c>
      <c r="ID142" t="str" cm="1">
        <f t="array" ref="ID142">IF(IC142="","",_xlfn.LET(_xlpm.tk,_xlfn.TEXTSPLIT(SUBSTITUTE(SUBSTITUTE(IC142,";"," "),"→"," ")," ",,TRUE),_xlpm.w_,_xlfn._xlws.FILTER(_xlpm.tk,ISNUMBER(--LEFT(_xlpm.tk,1))*((ISNUMBER(SEARCH("W",_xlpm.tk))+ISNUMBER(SEARCH("Вт",_xlpm.tk)))&gt;0),""),IFERROR(--SUBSTITUTE(SUBSTITUTE(UPPER(INDEX(_xlpm.w_,1)),"W",""),"ВТ",""),"")))</f>
        <v/>
      </c>
      <c r="IE142" t="str" cm="1">
        <f t="array" ref="IE142">IF(IC142="","",_xlfn.LET(_xlpm.tk,_xlfn.TEXTSPLIT(SUBSTITUTE(SUBSTITUTE(IC142,";"," "),"→"," ")," ",,TRUE),_xlpm.v_,_xlfn._xlws.FILTER(_xlpm.tk,ISNUMBER(--LEFT(_xlpm.tk,1))*((ISNUMBER(SEARCH("V",_xlpm.tk))+(RIGHT(UPPER(_xlpm.tk))="В"))&gt;0),""),IFERROR(--SUBSTITUTE(SUBSTITUTE(UPPER(INDEX(_xlpm.v_,1)),"V",""),"В",""),"")))</f>
        <v/>
      </c>
      <c r="IF142" s="6" t="str">
        <f>IF(OR(BV142=0,HI142="",HJ142=""),"",IFERROR(N(_xlfn.XLOOKUP(HI142,Каталог!$C$4:$C$500,Каталог!$Q$4:$Q$500)),""))</f>
        <v/>
      </c>
      <c r="IG142" s="6" t="str">
        <f>IF(N(IF142)=0,"",SUMIFS(Линии[Iр, А],Линии[Щит],A142,Линии[_модуль гр.],HH142,Линии[Канал (итог)],HJ142))</f>
        <v/>
      </c>
      <c r="IH142" t="str">
        <f>IF(AND(B142="",HO142=""),"",_xlfn.TEXTJOIN("; ",TRUE,IF(AND(B142&lt;&gt;"",FV142=""),"нет фазы",""),IF(AND(B142&lt;&gt;"",N(GL142)=0,FG142&lt;&gt;"Нет"),"нет мощности",""),IF(AND(HN142&lt;&gt;"",COUNTIFS(Линии[Щит],A142,Линии[Клемма (итог)],HN142)&gt;1),"дубль клеммы "&amp;HN142,""),IF(AND(HQ142&lt;&gt;"",HQ142&lt;&gt;"ok"),HQ142,""),IF(HR142&lt;&gt;"",HR142,""),IF(AND(N(CB142)&gt;=4,N(BX142)=1),CB142&amp;" жил на 1 фазе",""),IF(AND(BC142="R",CG142=1,IF(CS142&lt;&gt;"",N(CV142)&gt;30,OR(N(DA142)=0,N(DA142)&gt;30))),"розетка без дифзащиты до 30 мА",""),IF(AND(CG142=1,N(DA142)&gt;0,ISNUMBER(T142)),IF(T142&gt;N(DA142)/3,"ток утечки "&amp;FIXED(T142,1)&amp;" мА &gt; 1/3 уставки ("&amp;DA142&amp;" мА)",""),""),IF(AND(CH142=1,CS142=""),"«узо»: нет строки с УЗО выше (УЗО 2P 40А 30мА в «Аппаратах»)",""),IF(AND(CS142&lt;&gt;"",CS142=BA142),IF(CT142="","впишите номинал УЗО (УЗО 2P 40А 30мА)",IF(N(CT142)&lt;N(DT142),"УЗО "&amp;CT142&amp;" А &lt; автомата "&amp;DT142&amp;" А перед ним",IF(N(CT142)&lt;N(CX142),"УЗО "&amp;CT142&amp;" А &lt; тока блока "&amp;FIXED(CX142,1)&amp;" А",""))),""),IF(AND(CS142&lt;&gt;"",CS142=BA142,ISNUMBER(CY142)),IF(CY142&gt;N(CV142)/3,"ток утечки блока УЗО "&amp;FIXED(CY142,1)&amp;" мА &gt; 1/3 уставки ("&amp;CV142&amp;" мА)",""),""),IF(AND(CG142=1,N(BV142)+N(IB142)&gt;0,IC142=""),"линии до 50 В без БП: впишите в «Аппараты» (БП 24V 480W)",""),IF(AND(CG142=1,ISNUMBER(ID142),ISNUMBER(U142)),IF(U142&gt;ID142,"БП "&amp;ID142&amp;" Вт &lt; нужно "&amp;U142&amp;" Вт (×"&amp;Запас_БП&amp;")",""),""),IF(AND(CG142=1,ISNUMBER(IE142),N(BV142)=1),IF(IE142&lt;&gt;N(BU142),"БП на "&amp;IE142&amp;" В, линия "&amp;BU142&amp;" В",""),""),IF(AND(N(IF142)&gt;0,N(IG142)&gt;N(IF142)),HH142&amp;" канал "&amp;HJ142&amp;": "&amp;FIXED(IG142,1)&amp;" А &gt; "&amp;IF142&amp;" А",""),IFERROR(IF(AND(ISNUMBER(Q142),Q142&gt;EL142),"потери "&amp;FIXED(Q142,1)&amp;" % &gt; "&amp;EL142&amp;" %",""),""),IFERROR(IF(LEFT(HU142,4)="мало","Iкз мало — отключение &gt; 0,4 с",""),""),IF(AND(B142&lt;&gt;"",BM142=""),"не на схеме",""),IF(AND(CG142=0,B142&lt;&gt;"",FV142&lt;&gt;"",IF(BA142=1,"",FW141)&lt;&gt;"",FV142&lt;&gt;IF(BA142=1,"",FW141)),"фаза не как у автомата группы ("&amp;IF(BA142=1,"",FW141)&amp;")","")))</f>
        <v/>
      </c>
      <c r="II142" s="6" t="str">
        <f>IF(OR(CG142=0,DQ142=""),"",_xlfn.LET(_xlpm.t,IFERROR(_xlfn.XLOOKUP(DQ142,Каталог!$U$4:$U$500,Каталог!$G$4:$G$500),""),_xlpm.k,SEARCH("кА",_xlpm.t),IFERROR(--TRIM(RIGHT(SUBSTITUTE(MID(_xlpm.t,MAX(1,_xlpm.k-4),_xlpm.k-MAX(1,_xlpm.k-4))," ",REPT(" ",9)),5)),"")))</f>
        <v/>
      </c>
      <c r="IJ142" t="str">
        <f>IF(OR(II142="",CG142=0),"",IF(_xlfn.XLOOKUP(A142,Щиты[Щит],Щиты[Iкз max на шинах, кА],"")="","",IF(II142&lt;_xlfn.XLOOKUP(A142,Щиты[Щит],Щиты[Iкз max на шинах, кА]),"Icu "&amp;II142&amp;" кА &lt; Iкз max","ok")))</f>
        <v/>
      </c>
      <c r="IK142" t="str">
        <f t="shared" si="389"/>
        <v/>
      </c>
      <c r="IL142" t="str">
        <f t="shared" si="390"/>
        <v>QF12</v>
      </c>
      <c r="IM142" t="str">
        <f t="shared" si="391"/>
        <v>QF12|кабель ВВГнг(А)-LS (3х1,5) → Внутренний блок кондиционирования Технический этаж Пом. №003Т</v>
      </c>
      <c r="IN142" t="str" cm="1">
        <f t="array" ref="IN142">IF(IM142="","",_xlfn.LET(_xlpm.nd,_xlfn.TEXTSPLIT(IM142,"|"),IF(COLUMNS(_xlpm.nd)&gt;1,A142&amp;"¦"&amp;INDEX(_xlpm.nd,1)&amp;"¦"&amp;INDEX(_xlpm.nd,2),"")))</f>
        <v>ЩОВ-2¦QF12¦кабель ВВГнг(А)-LS (3х1,5) → Внутренний блок кондиционирования Технический этаж Пом. №003Т</v>
      </c>
      <c r="IO142" t="str">
        <f t="shared" si="392"/>
        <v>K.3.002Б¦Внутренний блок кондиционирования Технический этаж Пом. №003Т</v>
      </c>
      <c r="IP142" t="str" cm="1">
        <f t="array" ref="IP142">IF(IM142="","",_xlfn.LET(_xlpm.nd,_xlfn.TEXTSPLIT(IM142,"|"),IF(COLUMNS(_xlpm.nd)&gt;2,A142&amp;"¦"&amp;INDEX(_xlpm.nd,2)&amp;"¦"&amp;INDEX(_xlpm.nd,3),"")))</f>
        <v/>
      </c>
      <c r="IQ142" t="str">
        <f t="shared" si="393"/>
        <v/>
      </c>
      <c r="IR142" t="str" cm="1">
        <f t="array" ref="IR142">IF(IM142="","",_xlfn.LET(_xlpm.nd,_xlfn.TEXTSPLIT(IM142,"|"),IF(COLUMNS(_xlpm.nd)&gt;3,A142&amp;"¦"&amp;INDEX(_xlpm.nd,3)&amp;"¦"&amp;INDEX(_xlpm.nd,4),"")))</f>
        <v/>
      </c>
      <c r="IS142" t="str">
        <f t="shared" si="394"/>
        <v/>
      </c>
      <c r="IT142" t="str" cm="1">
        <f t="array" ref="IT142">IF(IM142="","",_xlfn.LET(_xlpm.nd,_xlfn.TEXTSPLIT(IM142,"|"),IF(COLUMNS(_xlpm.nd)&gt;4,A142&amp;"¦"&amp;INDEX(_xlpm.nd,4)&amp;"¦"&amp;INDEX(_xlpm.nd,5),"")))</f>
        <v/>
      </c>
      <c r="IU142" t="str">
        <f t="shared" si="395"/>
        <v/>
      </c>
      <c r="IV142" t="str" cm="1">
        <f t="array" ref="IV142">IF(IM142="","",_xlfn.LET(_xlpm.nd,_xlfn.TEXTSPLIT(IM142,"|"),IF(COLUMNS(_xlpm.nd)&gt;5,A142&amp;"¦"&amp;INDEX(_xlpm.nd,5)&amp;"¦"&amp;INDEX(_xlpm.nd,6),"")))</f>
        <v/>
      </c>
      <c r="IW142" t="str">
        <f t="shared" si="396"/>
        <v/>
      </c>
      <c r="IX142" t="str" cm="1">
        <f t="array" ref="IX142">IF(IM142="","",_xlfn.LET(_xlpm.nd,_xlfn.TEXTSPLIT(IM142,"|"),IF(COLUMNS(_xlpm.nd)&gt;6,A142&amp;"¦"&amp;INDEX(_xlpm.nd,6)&amp;"¦"&amp;INDEX(_xlpm.nd,7),"")))</f>
        <v/>
      </c>
      <c r="IY142" t="str">
        <f t="shared" si="397"/>
        <v/>
      </c>
      <c r="IZ142" t="str">
        <f t="shared" si="398"/>
        <v/>
      </c>
      <c r="JA142" t="str">
        <f t="shared" si="399"/>
        <v>QF12</v>
      </c>
      <c r="JB142">
        <f t="shared" si="400"/>
        <v>0</v>
      </c>
      <c r="JC142">
        <f t="shared" si="401"/>
        <v>0</v>
      </c>
      <c r="JD142" t="str">
        <f t="shared" si="402"/>
        <v/>
      </c>
      <c r="JE142" t="str">
        <f t="shared" si="403"/>
        <v/>
      </c>
      <c r="JF142" t="str">
        <f t="shared" si="404"/>
        <v/>
      </c>
      <c r="JG142" t="str">
        <f t="shared" si="405"/>
        <v/>
      </c>
      <c r="JH142">
        <f>IF(B142="","",IFERROR(_xlfn.XLOOKUP(B142,Коды_код,Коды_уго),IFERROR(_xlfn.XLOOKUP(BC142,Коды_код,Коды_уго),IFERROR(_xlfn.XLOOKUP(LEFT(BC142,2),Коды_код,Коды_уго),""))))</f>
        <v>0</v>
      </c>
      <c r="JI142" t="str">
        <f>IF(B142="","",IF(OR(JH142="",JH142=0),"BOX",IFERROR(IF(VLOOKUP(JH142,УГО_блоки,3,FALSE)&amp;""&lt;&gt;"",VLOOKUP(JH142,УГО_блоки,3,FALSE),VLOOKUP(JH142,УГО_блоки,2,FALSE)),JH142)))</f>
        <v>BOX</v>
      </c>
      <c r="JJ142">
        <f t="shared" si="406"/>
        <v>1</v>
      </c>
      <c r="JK142" t="str">
        <f>IF(DQ142="","",IF(COUNTIF(DQ$3:DQ142,DQ142)=1,MAX(JK$2:JK141)+1,""))</f>
        <v/>
      </c>
      <c r="JL142" t="str">
        <f>IF(DE142="","",IF(COUNTIF(DE$3:DE142,DE142)+COUNTIF(DF$2:DF141,DE142)+COUNTIF(DG$2:DG141,DE142)=1,MAX(JL$2:JN141)+1,""))</f>
        <v/>
      </c>
      <c r="JM142" t="str">
        <f>IF(DF142="","",IF(COUNTIF(DE$3:DE142,DF142)+COUNTIF(DF$3:DF142,DF142)+COUNTIF(DG$2:DG141,DF142)=1,MAX(JL$2:JN141,JL142)+1,""))</f>
        <v/>
      </c>
      <c r="JN142" t="str">
        <f>IF(DG142="","",IF(COUNTIF(DE$3:DE142,DG142)+COUNTIF(DF$3:DF142,DG142)+COUNTIF(DG$3:DG142,DG142)=1,MAX(JL$2:JN141,JL142,JM142)+1,""))</f>
        <v/>
      </c>
      <c r="JO142" t="str">
        <f t="shared" si="407"/>
        <v>3х1,5</v>
      </c>
      <c r="JP142" t="str">
        <f>IF(JO142="","",IF(COUNTIF(JO$3:JO142,JO142)=1,MAX(JP$2:JP141)+1,""))</f>
        <v/>
      </c>
      <c r="JQ142" t="str">
        <f>IF(HG142="","",COUNTIF(HG$3:HG142,"?*"))</f>
        <v/>
      </c>
      <c r="JR142" t="str">
        <f>IF(OR(HG142="",HI142=""),"",IF(COUNTIFS(HG$3:HG142,"?*",HI$3:HI142,HI142)=1,MAX(JR$2:JR141)+1,""))</f>
        <v/>
      </c>
      <c r="JS142">
        <f t="shared" si="408"/>
        <v>0</v>
      </c>
      <c r="JT142">
        <f>IF(B142="","",COUNTIF(B$3:B142,"?*"))</f>
        <v>140</v>
      </c>
      <c r="JU142">
        <f>IF(HL142&lt;&gt;1,0,_xlfn.LET(_xlpm.k,MAX(IFERROR(--_xlfn.XLOOKUP(B142,Коды_код,Коды_3L),0),IFERROR(--_xlfn.XLOOKUP(BC142,Коды_код,Коды_3L),0),IFERROR(--_xlfn.XLOOKUP(LEFT(BC142,2),Коды_код,Коды_3L),0)),IF(_xlpm.k&gt;0,_xlpm.k,IF(IFERROR(--LEFT(SUBSTITUTE(JO142,"x","х"),FIND("х",SUBSTITUTE(JO142,"x","х"))-1),3)&gt;3,Каталог!$S$9,1))))</f>
        <v>1</v>
      </c>
      <c r="JV142">
        <f t="shared" si="409"/>
        <v>0</v>
      </c>
      <c r="JW142" t="str">
        <f t="shared" si="410"/>
        <v>авто</v>
      </c>
      <c r="JX142" t="str">
        <f t="shared" si="411"/>
        <v/>
      </c>
      <c r="JY142">
        <f t="shared" si="412"/>
        <v>0</v>
      </c>
      <c r="JZ142">
        <f t="shared" si="413"/>
        <v>1</v>
      </c>
    </row>
    <row r="143" spans="1:286" x14ac:dyDescent="0.3">
      <c r="A143" t="s">
        <v>751</v>
      </c>
      <c r="B143" t="s">
        <v>1452</v>
      </c>
      <c r="C143" t="s">
        <v>1688</v>
      </c>
      <c r="D143">
        <v>1</v>
      </c>
      <c r="E143">
        <v>0.04</v>
      </c>
      <c r="G143" t="str">
        <f>Линии[[#This Row],[_авто автомат]]</f>
        <v>1P С6А</v>
      </c>
      <c r="H143" t="str">
        <f>Линии[[#This Row],[_авто управление]]</f>
        <v/>
      </c>
      <c r="I143" t="str">
        <f>Линии[[#This Row],[_авто аппараты]]</f>
        <v/>
      </c>
      <c r="J143">
        <v>1.5</v>
      </c>
      <c r="K143">
        <v>28</v>
      </c>
      <c r="L143" t="str">
        <f>Линии[[#This Row],[_авто фаза]]</f>
        <v>L2</v>
      </c>
      <c r="M143" t="s">
        <v>484</v>
      </c>
      <c r="N143" t="str">
        <f t="shared" si="276"/>
        <v/>
      </c>
      <c r="O143" s="6" cm="1">
        <f t="array" ref="O143">IF(B143="","",IF(BH143&lt;&gt;"",IFERROR(_xlfn.XLOOKUP(BH143,Щиты[Щит],Щиты[Iр, А]),""),IF(BP143=1,IF(OR(N(_xlfn.XLOOKUP(A143,Щиты[Щит],Щиты[Вводов],1))&lt;=1,LOWER(TRIM(_xlfn.XLOOKUP(A143,Щиты[Щит],Щиты[АВР],"")&amp;""))="да"),IFERROR(_xlfn.XLOOKUP(A143,Щиты[Щит],Щиты[Iр, А]),""),IFERROR(N(BS143)*_xlfn.XLOOKUP(A143,Щиты[Щит],Щиты[Кс итог])/(SQRT(3)*Uн_лин*_xlfn.XLOOKUP(A143,Щиты[Щит],Щиты[cos φ])),"")),IF(BV143=1,IFERROR(BS143*1000/BU143,""),IFERROR(_xlfn.IFS(BX143=1,BS143/((Uн_лин/SQRT(3))*CE143),BX143=3,BS143/(SQRT(3)*Uн_лин*CE143)),"")))))</f>
        <v>0.21650635094610962</v>
      </c>
      <c r="P143" s="7">
        <f>IF(B143="","",IFERROR(IF(VLOOKUP(BC143,Потребители_обозначение,4,FALSE)=1,VLOOKUP(BC143,Потребители_обозначение,3,FALSE)*(MAX(1,N(D143))*2-1)+EI143+VLOOKUP(BE143,Этаж_обозначение,3,FALSE)+VLOOKUP(BE143,Этаж_обозначение,4,FALSE),VLOOKUP(BC143,Потребители_обозначение,3,FALSE)*(MAX(1,N(D143))*2-1)+EI143),EI143))</f>
        <v>30</v>
      </c>
      <c r="Q143" s="6">
        <f t="shared" si="277"/>
        <v>1.21</v>
      </c>
      <c r="R143" t="str">
        <f t="shared" si="278"/>
        <v>ВВГнг(А)-LS (3х1,5)</v>
      </c>
      <c r="S143" t="str">
        <f>IF(BM143="","",IF(BN143="вводной узел","узел ","")&amp;"л."&amp;(INT((BM143-1)/Столбцов_на_лист)+1)&amp;" / "&amp;(MOD(BM143-1,Столбцов_на_лист)+1))</f>
        <v>л.2 / 10</v>
      </c>
      <c r="T143" s="119">
        <f t="shared" si="279"/>
        <v>0.4</v>
      </c>
      <c r="U143" s="7" t="str">
        <f>IF(OR(CG143=0,N(BV143)+N(IB143)=0),"",ROUNDUP(Запас_БП*(N(HY143)+N(HZ143)),0))</f>
        <v/>
      </c>
      <c r="V143" s="119" t="str">
        <f t="shared" si="280"/>
        <v/>
      </c>
      <c r="W143" s="7" t="str">
        <f>IFERROR(IF(OR(B143="",BP143=1,BV143=1,NOT(ISNUMBER(EN143)),N(DT143)=0),"",MAX(0,ROUNDDOWN((c_min*(Uн_лин*1000/SQRT(3))/(HT143*N(DT143))-_xlfn.XLOOKUP(A143,Щиты[Щит],Щиты[Zпетли на шинах, Ом]))*EN143/(2*ρкз_Cu),0))),"")</f>
        <v/>
      </c>
      <c r="Y143" t="str">
        <f>Линии[[#This Row],[_авто утечка]]</f>
        <v/>
      </c>
      <c r="Z143">
        <v>1</v>
      </c>
      <c r="AA143">
        <v>230</v>
      </c>
      <c r="AB143" t="s">
        <v>598</v>
      </c>
      <c r="AC143">
        <v>0.5</v>
      </c>
      <c r="AG143" t="s">
        <v>810</v>
      </c>
      <c r="AI143" t="s">
        <v>576</v>
      </c>
      <c r="AK143" t="str">
        <f>Линии[[#This Row],[_авто модуль]]</f>
        <v/>
      </c>
      <c r="AM143">
        <v>27</v>
      </c>
      <c r="AN143" t="s">
        <v>11</v>
      </c>
      <c r="AO143">
        <v>3</v>
      </c>
      <c r="AQ143">
        <v>4</v>
      </c>
      <c r="AR143">
        <v>26</v>
      </c>
      <c r="AT143">
        <v>1</v>
      </c>
      <c r="BA143" cm="1">
        <f t="array" ref="BA143">ROW()-ROW(Линии[#Headers])</f>
        <v>141</v>
      </c>
      <c r="BC143" s="6" t="str">
        <f t="shared" si="281"/>
        <v>K</v>
      </c>
      <c r="BD143" t="str">
        <f t="shared" si="282"/>
        <v>3.004T.1</v>
      </c>
      <c r="BE143" t="str">
        <f t="shared" si="283"/>
        <v>3</v>
      </c>
      <c r="BF143" t="str">
        <f t="shared" si="284"/>
        <v>004T.1</v>
      </c>
      <c r="BG143" t="str">
        <f t="shared" si="285"/>
        <v>004T</v>
      </c>
      <c r="BH143" t="str">
        <f>IF(X143&lt;&gt;"",X143,IF(AND(B143&lt;&gt;"",B143&lt;&gt;A143,ISNUMBER(_xlfn.XMATCH(B143,Щиты[Щит]))),B143,""))</f>
        <v/>
      </c>
      <c r="BI143" t="str" cm="1">
        <f t="array" ref="BI143">IF(B143="","",IF(BH143&lt;&gt;"","Щит "&amp;BH143,_xlfn.LET(_xlpm.nm,IFERROR(_xlfn.XLOOKUP(BC143,Коды_код,Коды_имя)&amp;"",""),_xlpm.md,IFERROR(N(_xlfn.XLOOKUP(BC143,Коды_код,Коды_режим)),1),_xlpm.ex,IF(Имя_режим="по экспликации",IFERROR(_xlfn.XLOOKUP(BE143&amp;"|"&amp;BG143,Экспликация[Этаж]&amp;"|"&amp;Экспликация[Помещение],Экспликация[Название])&amp;"",""),""),_xlpm.rm,IF(BG143="","",IF(_xlpm.ex&lt;&gt;"",". "&amp;_xlpm.ex&amp;IF(Имя_пом="нет"," ("&amp;BG143&amp;")"," (пом. "&amp;BG143&amp;")"),IF(Имя_пом="нет"," ",", пом. ")&amp;BG143)),IF(_xlpm.nm="","",IF(_xlpm.md=2,_xlpm.nm&amp;" шлейф "&amp;BE143,_xlpm.nm&amp;_xlpm.rm)))))</f>
        <v>Внутренний блок кондиционирования, пом. 004T</v>
      </c>
      <c r="BJ143" t="str">
        <f t="shared" si="286"/>
        <v>Внутренний блок кондиционирования Технический этаж Пом. №004Т</v>
      </c>
      <c r="BK143">
        <f>IFERROR(_xlfn.XMATCH(A143,Щиты[Щит]),0)</f>
        <v>7</v>
      </c>
      <c r="BL143">
        <f>_xlfn.LET(_xlpm.k,IFERROR(_xlfn.XLOOKUP(A143,Щиты[Щит],Щиты[Мест под вводной узел]),""),IF(_xlpm.k="",Столбцов_на_лист,N(_xlpm.k)))</f>
        <v>12</v>
      </c>
      <c r="BM143">
        <f t="shared" si="287"/>
        <v>27</v>
      </c>
      <c r="BN143" t="str">
        <f t="shared" si="288"/>
        <v>линии</v>
      </c>
      <c r="BO143" s="6">
        <f>IFERROR(N(_xlfn.XLOOKUP(BC143,Коды_код,Коды_квт)),0)</f>
        <v>0</v>
      </c>
      <c r="BP143">
        <f t="shared" si="289"/>
        <v>0</v>
      </c>
      <c r="BQ143" t="str">
        <f>IF(B143="","",IF(BH143&lt;&gt;"",IFERROR(_xlfn.XLOOKUP(BH143,Щиты[Щит],Щиты[Руст, кВт]),0),IF(BP143=1,IF(OR(N(_xlfn.XLOOKUP(A143,Щиты[Щит],Щиты[Вводов],1))&lt;=1,LOWER(TRIM(_xlfn.XLOOKUP(A143,Щиты[Щит],Щиты[АВР],"")&amp;""))="да"),IFERROR(_xlfn.XLOOKUP(A143,Щиты[Щит],Щиты[Руст, кВт]),0),SUMIFS(Линии[_Р для вводов],Линии[Щит],A143,Линии[Источник для режимов],GF143)),IF(BO143&gt;0,ROUND(BO143*MAX(1,N(D143)),3),""))))</f>
        <v/>
      </c>
      <c r="BR143">
        <f t="shared" si="290"/>
        <v>0.04</v>
      </c>
      <c r="BS143" s="6">
        <f>IF(B143="","",IF(BH143&lt;&gt;"",IFERROR(_xlfn.XLOOKUP(BH143,Щиты[Щит],Щиты[Руст, кВт]),0),N(BR143)))</f>
        <v>0.04</v>
      </c>
      <c r="BT143" t="str">
        <f>IF(B143="","",IFERROR(IF(VLOOKUP(BC143,Потребители_обозначение,8,FALSE)=0,"",VLOOKUP(BC143,Потребители_обозначение,8,FALSE)),""))</f>
        <v/>
      </c>
      <c r="BU143">
        <f t="shared" si="291"/>
        <v>230</v>
      </c>
      <c r="BV143">
        <f t="shared" si="292"/>
        <v>0</v>
      </c>
      <c r="BW143">
        <f>IF(B143="","",IF(BH143&lt;&gt;"",3,IFERROR(IF(N(VLOOKUP(BC143,Потребители_обозначение,9,FALSE))=0,1,VLOOKUP(BC143,Потребители_обозначение,9,FALSE)),1)))</f>
        <v>1</v>
      </c>
      <c r="BX143">
        <f t="shared" si="293"/>
        <v>1</v>
      </c>
      <c r="BY143" t="str">
        <f>IF(B143="","",_xlfn.LET(_xlpm.bc,IFERROR(IF(VLOOKUP(BC143,Потребители_обозначение,6,FALSE)=0,"",VLOOKUP(BC143,Потребители_обозначение,6,FALSE)&amp;""),""),IF(AND(GA143="да",OR(_xlpm.bc="",_xlpm.bc="мс")),Марка_пож,IF(AND(_xlpm.bc="",BH143&lt;&gt;""),"мс",_xlpm.bc))))</f>
        <v/>
      </c>
      <c r="BZ143" t="str">
        <f t="shared" si="294"/>
        <v>мс</v>
      </c>
      <c r="CA143">
        <f>IF(B143="","",_xlfn.LET(_xlpm.cc,IFERROR(N(VLOOKUP(BC143,Потребители_обозначение,7,FALSE)),0),IF(_xlpm.cc&gt;0,_xlpm.cc,IF(BZ143="","",IF(BV143=1,2,IF(N(BX143)=3,5,3))))))</f>
        <v>3</v>
      </c>
      <c r="CB143">
        <f t="shared" si="295"/>
        <v>3</v>
      </c>
      <c r="CC143">
        <f>IFERROR(N(VLOOKUP(BC143,Потребители_обозначение,10,FALSE)),0)</f>
        <v>0</v>
      </c>
      <c r="CD143">
        <f>IFERROR(VLOOKUP(BC143,Потребители_обозначение,5,FALSE),0)</f>
        <v>1</v>
      </c>
      <c r="CE143" s="6" cm="1">
        <f t="array" ref="CE143">IF(B143="","",IF(BH143&lt;&gt;"",IFERROR(_xlfn.XLOOKUP(BH143,Щиты[Щит],Щиты[cos φ]),0.95),IF(BP143=1,IFERROR(_xlfn.XLOOKUP(A143,Щиты[Щит],Щиты[cos φ]),0.95),IF(ISNUMBER(AD143),AD143,IFERROR(IF(CD143=2,_xlfn.IFS(BX143=3,VLOOKUP(BS143,Справочная_двигатели,8,FALSE),BX143=1,VLOOKUP(BS143,Справочная_двигатели,10,TRUE)),IF(AND(Методика="нормы 2026",FG143="Сил"),0.8,0.95)),0.95)))))</f>
        <v>0.8</v>
      </c>
      <c r="CF143">
        <f t="shared" si="296"/>
        <v>0</v>
      </c>
      <c r="CG143">
        <f t="shared" si="297"/>
        <v>1</v>
      </c>
      <c r="CH143">
        <f t="shared" si="298"/>
        <v>0</v>
      </c>
      <c r="CI143">
        <f>IF(B143="","",IF(BV143=1,IFERROR(BS143/((Uн_лин/SQRT(3))*MAX(0.5,N(CE143))),0),N(O143)))</f>
        <v>0.21650635094610962</v>
      </c>
      <c r="CJ143">
        <f t="shared" si="299"/>
        <v>0</v>
      </c>
      <c r="CK143">
        <f t="shared" si="300"/>
        <v>0</v>
      </c>
      <c r="CL143">
        <f t="shared" si="301"/>
        <v>0</v>
      </c>
      <c r="CM143">
        <f t="shared" si="302"/>
        <v>0</v>
      </c>
      <c r="CN143">
        <f t="shared" si="303"/>
        <v>0</v>
      </c>
      <c r="CO143">
        <f>IF(BC143="",0,_xlfn.LET(_xlpm.v,IFERROR(_xlfn.XLOOKUP(B143,Коды_код,Коды_мА),IFERROR(_xlfn.XLOOKUP(BC143,Коды_код,Коды_мА),IFERROR(_xlfn.XLOOKUP(LEFT(BC143,2),Коды_код,Коды_мА),""))),IF(_xlpm.v="да",30,IF(ISNUMBER(_xlpm.v),_xlpm.v,0))))</f>
        <v>0</v>
      </c>
      <c r="CP143" t="str">
        <f t="shared" si="304"/>
        <v/>
      </c>
      <c r="CQ143" t="str">
        <f>_xlfn.LET(_xlpm.k,IFERROR(_xlfn.XLOOKUP(BC143,Коды_код,Коды_утечка)&amp;"",""),IF(_xlpm.k="","дифавтомат",_xlpm.k))</f>
        <v>дифавтомат</v>
      </c>
      <c r="CR143" t="str" cm="1">
        <f t="array" ref="CR143">IF(CG143=0,"",_xlfn.LET(_xlpm.sg,TRIM(_xlfn.TEXTSPLIT(DD143&amp;"",";")),_xlpm.f_,_xlfn._xlws.FILTER(_xlpm.sg,LEFT(_xlpm.sg,3)="УЗО",""),IFERROR(INDEX(_xlpm.f_,1)&amp;"","")))</f>
        <v/>
      </c>
      <c r="CS143" t="str">
        <f t="shared" si="305"/>
        <v/>
      </c>
      <c r="CT143" s="6" t="str" cm="1">
        <f t="array" ref="CT143">IF(CR143="","",_xlfn.LET(_xlpm.tk,_xlfn.TEXTSPLIT(UPPER(CR143)," ",,TRUE),_xlpm.a_,_xlfn._xlws.FILTER(_xlpm.tk,ISNUMBER(--LEFT(_xlpm.tk,1))*((ISNUMBER(SEARCH("А",_xlpm.tk))+ISNUMBER(SEARCH("A",_xlpm.tk)))&gt;0)*NOT(ISNUMBER(SEARCH("МА",_xlpm.tk)))*NOT(ISNUMBER(SEARCH("MA",_xlpm.tk))),""),IFERROR(--SUBSTITUTE(SUBSTITUTE(INDEX(_xlpm.a_,1),"А",""),"A",""),"")))</f>
        <v/>
      </c>
      <c r="CU143" t="str" cm="1">
        <f t="array" ref="CU143">IF(CR143="","",_xlfn.LET(_xlpm.tk,_xlfn.TEXTSPLIT(UPPER(CR143)," ",,TRUE),_xlpm.a_,_xlfn._xlws.FILTER(_xlpm.tk,ISNUMBER(--LEFT(_xlpm.tk,1))*((ISNUMBER(SEARCH("МА",_xlpm.tk))+ISNUMBER(SEARCH("MA",_xlpm.tk)))&gt;0),""),IFERROR(--SUBSTITUTE(SUBSTITUTE(INDEX(_xlpm.a_,1),"МА",""),"MA",""),30)))</f>
        <v/>
      </c>
      <c r="CV143" t="str">
        <f>IF(CS143="","",IFERROR(_xlfn.XLOOKUP(CS143,Линии[_n],Линии[_УЗО, мА]),30))</f>
        <v/>
      </c>
      <c r="CW143">
        <f>IF(CS143="",0,IF(ISNUMBER(SEARCH("4P",IFERROR(_xlfn.XLOOKUP(CS143,Линии[_n],Линии[_УЗО строки])&amp;"",""))),0,1))</f>
        <v>0</v>
      </c>
      <c r="CX143" t="str">
        <f>IF(AND(CS143&lt;&gt;"",CS143=BA143),SUMIFS(Линии[_ток на 230 В],Линии[_блок УЗО],BA143,Линии[Щит],A143),"")</f>
        <v/>
      </c>
      <c r="CY143" t="str">
        <f>IF(AND(CS143&lt;&gt;"",CS143=BA143),SUMIFS(Линии[_ток утечки линии, мА],Линии[_блок УЗО],BA143,Линии[Щит],A143),"")</f>
        <v/>
      </c>
      <c r="CZ143">
        <f t="shared" si="306"/>
        <v>0</v>
      </c>
      <c r="DA143">
        <f t="shared" si="307"/>
        <v>0</v>
      </c>
      <c r="DB143">
        <f>IF(B143="",0,IFERROR(--_xlfn.XLOOKUP(B143,Коды_код,Коды_минавт),IFERROR(--_xlfn.XLOOKUP(BC143,Коды_код,Коды_минавт),IFERROR(--_xlfn.XLOOKUP(LEFT(BC143,2),Коды_код,Коды_минавт),0))))</f>
        <v>0</v>
      </c>
      <c r="DC143" t="str">
        <f>IF(B143="","",IFERROR(_xlfn.XLOOKUP(BC143,Коды_код,Коды_апп)&amp;"",""))</f>
        <v/>
      </c>
      <c r="DD143" t="str">
        <f t="shared" si="308"/>
        <v/>
      </c>
      <c r="DE143" t="str" cm="1">
        <f t="array" ref="DE143">IF(TRIM(DD143&amp;"")="","",IFERROR(TRIM(INDEX(_xlfn.TEXTSPLIT(DD143&amp;";;;",";"),1)),""))</f>
        <v/>
      </c>
      <c r="DF143" t="str" cm="1">
        <f t="array" ref="DF143">IF(TRIM(DD143&amp;"")="","",IFERROR(TRIM(INDEX(_xlfn.TEXTSPLIT(DD143&amp;";;;",";"),2)),""))</f>
        <v/>
      </c>
      <c r="DG143" t="str" cm="1">
        <f t="array" ref="DG143">IF(TRIM(DD143&amp;"")="","",IFERROR(TRIM(INDEX(_xlfn.TEXTSPLIT(DD143&amp;";;;",";"),3)),""))</f>
        <v/>
      </c>
      <c r="DH143">
        <f t="shared" si="309"/>
        <v>0</v>
      </c>
      <c r="DI143" t="str">
        <f>IF(B143="","",_xlfn.LET(_xlpm.t,LOWER(AZ143&amp;""),IF(ISNUMBER(SEARCH("dim",_xlpm.t)),"DIM",IF(ISNUMBER(SEARCH("dali",_xlpm.t)),"DALI",IF(OR(ISNUMBER(SEARCH("relay",_xlpm.t)),ISNUMBER(SEARCH("реле",_xlpm.t))),"Relay",IF(ISNUMBER(SEARCH("кнопк",_xlpm.t)),"",IFERROR(_xlfn.XLOOKUP(BC143,Коды_код,Коды_упр)&amp;"","")))))))</f>
        <v/>
      </c>
      <c r="DJ143" t="str">
        <f t="shared" si="310"/>
        <v/>
      </c>
      <c r="DK143">
        <f>IF(B143="","",_xlfn.LET(_xlpm.ig,IF(N(CX143)&gt;0,N(CX143),N(CI143)+IF(AJ143="вручную",0,N(CJ143))),_xlpm.n0,IFERROR(VLOOKUP(_xlpm.ig,Автомат_номиналы,2,TRUE),0),_xlpm.mn,MAX(DB143,IF(AJ143="вручную",0,N(CM143))),MAX(_xlpm.n0,_xlpm.mn,IF(DH143=1,Мин_автомат_БП,0))))</f>
        <v>6</v>
      </c>
      <c r="DL143">
        <f t="shared" si="311"/>
        <v>1</v>
      </c>
      <c r="DM143" t="str">
        <f t="shared" si="312"/>
        <v>1P</v>
      </c>
      <c r="DN143" t="str">
        <f>_xlfn.LET(_xlpm.cc,UPPER(TRIM(IFERROR(_xlfn.XLOOKUP(BC143,Коды_код,Коды_хар)&amp;"",""))),IF(OR(_xlpm.cc="B",_xlpm.cc="В"),"B",IF(_xlpm.cc="D","D","С")))</f>
        <v>С</v>
      </c>
      <c r="DO143" t="str">
        <f t="shared" si="313"/>
        <v>1P С6А</v>
      </c>
      <c r="DP143" t="str">
        <f t="shared" si="314"/>
        <v>1P С6А</v>
      </c>
      <c r="DQ143" t="str">
        <f t="shared" si="315"/>
        <v>1P С6А</v>
      </c>
      <c r="DR143" cm="1">
        <f t="array" ref="DR143">IF(DQ143="","",_xlfn.LET(_xlpm.t,SUBSTITUTE(SUBSTITUTE(SUBSTITUTE(UPPER(DQ143),"С","C"),"А","A"),"В","B"),_xlpm.tk,_xlfn.TEXTSPLIT(_xlpm.t," "),_xlpm.f,_xlfn._xlws.FILTER(_xlpm.tk,ISNUMBER(--MID(_xlpm.tk,2,1))*ISNUMBER(SEARCH(LEFT(_xlpm.tk,1)&amp;"#","B#C#D#"))*(LEN(_xlpm.tk)&gt;1),""),_xlpm.x,INDEX(_xlpm.f,1),IFERROR(--SUBSTITUTE(MID(_xlpm.x,2,9),"A",""),IFERROR(--SUBSTITUTE(INDEX(_xlfn._xlws.FILTER(_xlpm.tk,ISNUMBER(--SUBSTITUTE(_xlpm.tk,"A","")),""),1),"A",""),""))))</f>
        <v>6</v>
      </c>
      <c r="DS143" t="str">
        <f t="shared" si="316"/>
        <v>ok</v>
      </c>
      <c r="DT143">
        <f t="shared" si="317"/>
        <v>6</v>
      </c>
      <c r="DU143" t="str">
        <f t="shared" si="318"/>
        <v>1P С6А</v>
      </c>
      <c r="DV143">
        <f t="shared" si="319"/>
        <v>0</v>
      </c>
      <c r="DW143">
        <f t="shared" si="320"/>
        <v>0</v>
      </c>
      <c r="DX143">
        <f t="shared" si="321"/>
        <v>0</v>
      </c>
      <c r="DY143">
        <f t="shared" si="322"/>
        <v>0.21650635094610962</v>
      </c>
      <c r="DZ143">
        <f t="shared" si="323"/>
        <v>1</v>
      </c>
      <c r="EA143">
        <f>IF(ISNUMBER(AP143),AP143,К_прокл)</f>
        <v>1</v>
      </c>
      <c r="EB143">
        <f t="shared" si="324"/>
        <v>2</v>
      </c>
      <c r="EC143">
        <f>IFERROR(N(VLOOKUP(BZ143,Кабель_обозначение,3,FALSE)),1)</f>
        <v>1</v>
      </c>
      <c r="ED143">
        <f>IFERROR(N(_xlfn.XLOOKUP(A143,Щиты[Щит],Щиты[ΔU до шин, %])),0)</f>
        <v>1.1399999999999999</v>
      </c>
      <c r="EE143" t="str">
        <f>IFERROR(_xlfn.XLOOKUP(A143,Щиты[Щит],Щиты[Zпетли на шинах, Ом]),"")</f>
        <v/>
      </c>
      <c r="EF143">
        <f>IFERROR(N(_xlfn.XLOOKUP(A143,Щиты[Щит],Щиты[ΔU до шин (подбор), %])),0)</f>
        <v>1.82</v>
      </c>
      <c r="EG143" t="str">
        <f>IFERROR(_xlfn.XLOOKUP(A143,Щиты[Щит],Щиты[Zпетли на шинах (подбор), Ом]),"")</f>
        <v/>
      </c>
      <c r="EH143" t="str">
        <f t="shared" si="325"/>
        <v/>
      </c>
      <c r="EI143">
        <f t="shared" si="326"/>
        <v>28</v>
      </c>
      <c r="EJ143">
        <f t="shared" si="327"/>
        <v>2</v>
      </c>
      <c r="EK143">
        <f t="shared" si="328"/>
        <v>0.6</v>
      </c>
      <c r="EL143" s="6">
        <f>IF(B143="","",IF(BV143=1,dU_LED,IF(IFERROR(_xlfn.XLOOKUP(BC143,Коды_код,Коды_уго),"")="Светильник",3,4)+IF(Методика="нормы 2026",MIN(0.5,MAX(0,N(P143)-100)*0.005),0)))</f>
        <v>4</v>
      </c>
      <c r="EM143" cm="1">
        <f t="array" ref="EM143">IF(OR(B143="",BZ143="",EC143&lt;&gt;1),"",_xlfn.LET(_xlpm.sz,Iдоп_S,_xlpm.t_,CHOOSE(EB143,Iдоп_1ж,Iдоп_2ж,Iдоп_3ж)*DZ143*EA143,_xlpm.dcx,BV143=1,_xlpm.inn,IF(_xlpm.dcx,N(O143),N(DT143)),_xlpm.smin,MAX(1.5,CC143),_xlpm.L_,N(P143)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143)/N(BU143)*100,999),IFERROR(N(EJ143)*(_xlpm.rho*_xlpm.L_/_xlpm.sz*N(CE143)+_xlpm.xx*_xlpm.L_*N(EK143)/1000)*N(O143)/((Uн_лин/SQRT(3))*1000)*100,999)),_xlpm.kz,IF(OR(_xlpm.dcx,DW143=1,NOT(ISNUMBER(EG143)),_xlpm.L_=0,_xlpm.inn=0),1,IFERROR(--(c_min*(Uн_лин*1000/SQRT(3))/(EG143+2*ρкз_Cu*_xlpm.L_/_xlpm.sz)&gt;=HT143*_xlpm.inn),0)),_xlpm.ok,IFERROR((_xlpm.sz&gt;=_xlpm.smin)*(_xlpm.t_&gt;=_xlpm.inn)*IF(_xlpm.L_&gt;0,(_xlpm.du_+IF(_xlpm.dcx,0,EF143)&lt;=EL143+0.00001),1)*_xlpm.kz,0),_xlpm.r_,_xlfn._xlws.FILTER(_xlpm.sz,_xlpm.ok,"не подобрано"),INDEX(_xlpm.r_,1)))</f>
        <v>1.5</v>
      </c>
      <c r="EN143">
        <f t="shared" si="329"/>
        <v>1.5</v>
      </c>
      <c r="EO143" cm="1">
        <f t="array" ref="EO143">IF(OR(B143="",BZ143="",EC143&lt;&gt;1),"",_xlfn.LET(_xlpm.sz,Iдоп_S,_xlpm.t_,CHOOSE(EB143,Iдоп_1ж,Iдоп_2ж,Iдоп_3ж)*DZ143*EA143,_xlpm.ok,IFERROR((_xlpm.sz&gt;=MAX(1.5,CC143))*(_xlpm.t_&gt;=N(DT143)),0),_xlpm.r_,_xlfn._xlws.FILTER(_xlpm.sz,_xlpm.ok,""),INDEX(_xlpm.r_,1)))</f>
        <v>1.5</v>
      </c>
      <c r="EP143" s="6" cm="1">
        <f t="array" ref="EP143">IFERROR(ROUNDUP(N(EJ143)*(_xlfn.XLOOKUP(EO143,INDEX(Кабель_сопротивление,0,1),INDEX(Кабель_сопротивление,0,3))*N(P143)/EO143*N(CE143)+_xlfn.XLOOKUP(EO143,INDEX(Кабель_сопротивление,0,1),INDEX(Кабель_сопротивление,0,2))*N(P143)*N(EK143)/1000)*N(O143)/((Uн_лин/SQRT(3))*1000)*100,2),"")</f>
        <v>6.9999999999999993E-2</v>
      </c>
      <c r="EQ143">
        <f>IFERROR(2*ρкз_Cu*N(P143)/EO143,"")</f>
        <v>1.052</v>
      </c>
      <c r="ER143">
        <f>IFERROR(VLOOKUP(EN143,Кабель_сопротивление,3,FALSE),"")</f>
        <v>2.2499999999999999E-2</v>
      </c>
      <c r="ES143">
        <f>IFERROR(VLOOKUP(EN143,Кабель_сопротивление,2,FALSE),"")</f>
        <v>0.11</v>
      </c>
      <c r="ET143">
        <f t="shared" si="330"/>
        <v>26</v>
      </c>
      <c r="EU143">
        <f t="shared" si="331"/>
        <v>0</v>
      </c>
      <c r="EV143">
        <f t="shared" si="332"/>
        <v>0.1567419378309455</v>
      </c>
      <c r="EW143" s="6">
        <f>IFERROR(ROUNDUP(EV143/IF(BV143=1,BU143,(Uн_лин/SQRT(3))*1000)*100,2),"")</f>
        <v>6.9999999999999993E-2</v>
      </c>
      <c r="EX143" t="str">
        <f>IFERROR(VLOOKUP(BZ143,Кабель_обозначение,2,FALSE),"")</f>
        <v>ВВГнг(А)-LS</v>
      </c>
      <c r="EY143" t="str">
        <f t="shared" si="333"/>
        <v>ВВГнг(А)-LS (3х1,5)</v>
      </c>
      <c r="EZ143" t="str">
        <f t="shared" si="334"/>
        <v>ВВГнг(А)-LS (3х1,5)
L=30-0,07%</v>
      </c>
      <c r="FA143">
        <f>IFERROR(2*ρкз_Cu*P143/EN143,"")</f>
        <v>1.052</v>
      </c>
      <c r="FB143">
        <f t="shared" si="335"/>
        <v>0.35000000000000003</v>
      </c>
      <c r="FC143" s="6" t="str">
        <f>IFERROR(IF(OR(B143="",BV143=1,NOT(ISNUMBER(EN143)),N(P143)=0),"",_xlfn.XLOOKUP(A143,Щиты[Щит],Щиты[Zпетли на шинах, Ом])+FA143),"")</f>
        <v/>
      </c>
      <c r="FD143" s="6" t="str">
        <f>IF(ISNUMBER(FC143),c_min*(Uн_лин*1000/SQRT(3))/FC143,"")</f>
        <v/>
      </c>
      <c r="FE143" s="6" t="str">
        <f>IFERROR(IF(OR(B143="",NOT(ISNUMBER(EN143))),"",1.05*(Uн_лин*1000/SQRT(3))/(_xlfn.XLOOKUP(A143,Щиты[Щит],Щиты[Zmax на шинах, Ом])+FB143)/1000),"")</f>
        <v/>
      </c>
      <c r="FF143" s="6" t="str">
        <f>IF(B143="","",IF(ISNUMBER(AC143),"Сил",IF(IFERROR(_xlfn.XLOOKUP(BC143,Коды_код,Коды_группа)&amp;"","")="","Быт",_xlfn.XLOOKUP(BC143,Коды_код,Коды_группа)&amp;"")))</f>
        <v>Сил</v>
      </c>
      <c r="FG143" s="6" t="str">
        <f t="shared" si="336"/>
        <v>Сил</v>
      </c>
      <c r="FH143" s="6">
        <f>IF(FG143="Щит","щит",IF(FG143="","",IF(FG143="Быт",IFERROR(_xlfn.XLOOKUP(A143,Щиты[Щит],Щиты[Кс быт]),1),IF(FG143="Сил",IF(ISNUMBER(AC143),AC143,IF(Методика="нормы 2026",IFERROR(_xlfn.XLOOKUP(A143,Щиты[Щит],Щиты[Кс силовых (табл. 7.5)]),1),1)),IF(OR(FG143="Пост",FG143="Отоп"),1,IF(FG143="ВНГ",0.7,0))))))</f>
        <v>0.5</v>
      </c>
      <c r="FI143">
        <f>IF(FG143="","",IF(AND(BP143=1,TRIM(AE143&amp;"")=""),IF(COUNTIFS(Линии[Щит],A143,Линии[Секция (1/2/3)],"&gt;=2")&gt;0,MIN(3,MAX(1,IFERROR(--BD143,1))),1),IFERROR(MIN(3,MAX(1,INT(--AE143))),1)))</f>
        <v>1</v>
      </c>
      <c r="FJ143">
        <f t="shared" si="337"/>
        <v>0.04</v>
      </c>
      <c r="FK143">
        <f t="shared" si="338"/>
        <v>0</v>
      </c>
      <c r="FL143">
        <f t="shared" si="339"/>
        <v>0.02</v>
      </c>
      <c r="FM143">
        <f t="shared" si="340"/>
        <v>0</v>
      </c>
      <c r="FN143">
        <f t="shared" si="341"/>
        <v>0</v>
      </c>
      <c r="FO143">
        <f t="shared" si="342"/>
        <v>0</v>
      </c>
      <c r="FP143">
        <f t="shared" si="343"/>
        <v>0.04</v>
      </c>
      <c r="FQ143">
        <f t="shared" si="344"/>
        <v>0.04</v>
      </c>
      <c r="FR143">
        <f t="shared" si="345"/>
        <v>3.2000000000000001E-2</v>
      </c>
      <c r="FS143">
        <f>IF(CG143=1,IF(AND(CH143=1,CW143=1),0,IF(AND(CS143&lt;&gt;"",CS143=BA143,CW143=1),SUMIFS(Линии[_Р линии, кВт],Линии[_блок УЗО],BA143,Линии[Щит],A143),N(BS143)+IF(AJ143="вручную",0,N(CK143)))),0)</f>
        <v>0.04</v>
      </c>
      <c r="FT143" t="str">
        <f t="shared" si="346"/>
        <v/>
      </c>
      <c r="FU143" t="str">
        <f>IF(B143="","",IF(CG143=0,IF(BA143=1,"",FW142),IF(AND(CH143=1,CW143=1,CS143&lt;&gt;""),IFERROR(_xlfn.XLOOKUP(CS143,Линии[_n],Линии[_фаза итог]),"L1"),IF(OR(N(DL143)&gt;=3,N(BX143)&gt;=3),"L1,L2,L3",IFERROR(_xlfn.TEXTBEFORE(_xlfn.TEXTAFTER(_xlfn.XLOOKUP(A143,Щиты[Щит],Щиты[_фазы авто]),";"&amp;BA143&amp;":"),";"),"L1")))))</f>
        <v>L2</v>
      </c>
      <c r="FV143" t="str">
        <f t="shared" si="347"/>
        <v>L2</v>
      </c>
      <c r="FW143" t="str">
        <f t="shared" si="348"/>
        <v>L2</v>
      </c>
      <c r="FX143" cm="1">
        <f t="array" ref="FX143">IFERROR(IF(CD143=2,_xlfn.IFS(BX143=3,VLOOKUP(BS143,Справочная_двигатели,3,FALSE),BX143=1,VLOOKUP(BS143,Справочная_двигатели,5,TRUE)),0),0)</f>
        <v>0</v>
      </c>
      <c r="FY143">
        <f>IFERROR(IF(CD143=3,VLOOKUP(BS143,Справочная_ЛЭД,2,TRUE),0),0)</f>
        <v>0</v>
      </c>
      <c r="FZ143" s="6">
        <f t="shared" si="349"/>
        <v>0</v>
      </c>
      <c r="GA143" t="str">
        <f>IF(B143="","",IF(TRIM(AH143&amp;"")&lt;&gt;"",IF(LOWER(TRIM(AH143&amp;""))="да","да","нет"),IF(IFERROR(_xlfn.XLOOKUP(BC143,Коды_код,Коды_пожарная),"")="да","да","нет")))</f>
        <v>нет</v>
      </c>
      <c r="GB143" t="str">
        <f t="shared" si="350"/>
        <v/>
      </c>
      <c r="GC143" t="str">
        <f t="shared" si="351"/>
        <v>основная</v>
      </c>
      <c r="GD143">
        <f>IF(AND(BP143=1,TRIM(AE143&amp;"")=""),IF(COUNTIFS(Линии[Щит],A143,Линии[Секция (1/2/3)],"&gt;=2")&gt;0,MIN(3,MAX(1,IFERROR(--BD143,1))),1),IFERROR(MIN(3,MAX(1,INT(--AE143))),1))</f>
        <v>1</v>
      </c>
      <c r="GE143" t="str" cm="1">
        <f t="array" ref="GE143">IF(B143="","",_xlfn.LET(_xlpm.t,IFERROR(_xlfn.XLOOKUP(1,(Шины[Шина]=GC143)*(((Шины[Щит]=A143)+(Шины[Щит]=""))&gt;0),Шины[Тип]),"")&amp;"",IF(_xlpm.t&lt;&gt;"",_xlpm.t,IF(ISNUMBER(SEARCH("ИБП",GC143)),"ИБП",IF(ISNUMBER(SEARCH("ДГУ",GC143)),"ДГУ","Ввод "&amp;GD143)))))</f>
        <v>Ввод 1</v>
      </c>
      <c r="GF143" t="str">
        <f t="shared" si="352"/>
        <v>Ввод 1</v>
      </c>
      <c r="GG143" t="str">
        <f>IF(BP143=0,"",IF(TRIM(AG143&amp;"")&lt;&gt;"",TRIM(AG143&amp;""),IF(OR(GE143="ИБП",GE143="ДГУ"),"I особая",_xlfn.XLOOKUP(A143,Щиты[Щит],Щиты[Категория шины «Ввод»],"III"))))</f>
        <v/>
      </c>
      <c r="GH143" t="str">
        <f>IF(A143="","",_xlfn.XLOOKUP(A143,Щиты[Щит],Щиты[Путь],""))</f>
        <v>|ГРЩ-ЖД|ЩОВ-2|</v>
      </c>
      <c r="GI143" t="str">
        <f>IF(B143="","",IF(AI143&lt;&gt;"",AI143,IF(IFERROR(_xlfn.XLOOKUP(BC143,Коды_код,Коды_вид)&amp;"","")="","Прочее",_xlfn.XLOOKUP(BC143,Коды_код,Коды_вид)&amp;"")))</f>
        <v>Кондиционирование и увлажнение</v>
      </c>
      <c r="GJ143">
        <f>IF(BM143="","",INT((BM143-1)/Столбцов_на_лист)+1)</f>
        <v>2</v>
      </c>
      <c r="GK143" t="str">
        <f t="shared" si="353"/>
        <v>ВВГнг(А)-LS (3х1,5) L=30-0,07%</v>
      </c>
      <c r="GL143">
        <f t="shared" si="354"/>
        <v>0.04</v>
      </c>
      <c r="GM143">
        <f t="shared" si="355"/>
        <v>0.22</v>
      </c>
      <c r="GN143">
        <f t="shared" si="356"/>
        <v>1</v>
      </c>
      <c r="GO143">
        <f t="shared" si="357"/>
        <v>0</v>
      </c>
      <c r="GP143">
        <f t="shared" si="358"/>
        <v>1</v>
      </c>
      <c r="GQ143">
        <f>IF(BM143="","",IF(AND(CG143=1,GP143=1),COUNTIFS(A$3:A143,A143,CG$3:CG143,1,GP$3:GP143,1),IF(OR(OR(BA143=1,A143&lt;&gt;A142),AJ143="вручную",GP143=0),"",IF(BA143=1,"",GR142))))</f>
        <v>13</v>
      </c>
      <c r="GR143">
        <f t="shared" si="359"/>
        <v>13</v>
      </c>
      <c r="GS143">
        <f>IF(B143="","",IFERROR(LOOKUP(INDEX(CHOOSE(EB143,Iдоп_1ж,Iдоп_2ж,Iдоп_3ж),MATCH(EN143,Iдоп_S,0))*DZ143*EA143,{6,10,16,20,25,32,40,50,63,80,100,125,160,200,250,315,400,500,630}),""))</f>
        <v>16</v>
      </c>
      <c r="GT143" t="str">
        <f t="shared" si="360"/>
        <v>QF13</v>
      </c>
      <c r="GU143" t="str">
        <f t="shared" si="361"/>
        <v>QF13</v>
      </c>
      <c r="GV143" t="str">
        <f t="shared" si="362"/>
        <v/>
      </c>
      <c r="GW143">
        <f t="shared" si="363"/>
        <v>0</v>
      </c>
      <c r="GX143" t="str">
        <f>IF(OR(B143="",DJ143=""),"",IFERROR(_xlfn.XLOOKUP(DJ143,Модули_умолч[Управление],Модули_умолч[Модель])&amp;"",""))</f>
        <v/>
      </c>
      <c r="GY143">
        <f>IF(DJ143="",1,IFERROR(MAX(0,N(_xlfn.XLOOKUP(DJ143,Модули_умолч[Управление],Модули_умолч[Каналов на линию]))),1))</f>
        <v>1</v>
      </c>
      <c r="GZ143" t="str">
        <f t="shared" si="364"/>
        <v/>
      </c>
      <c r="HA143" t="str">
        <f t="shared" si="365"/>
        <v/>
      </c>
      <c r="HB143" t="str">
        <f t="shared" si="366"/>
        <v/>
      </c>
      <c r="HC143">
        <f>IF(HB143="",0,IFERROR(N(VLOOKUP(HB143,Модули_спр,3,FALSE)),0))</f>
        <v>0</v>
      </c>
      <c r="HD143" t="str">
        <f t="shared" si="367"/>
        <v/>
      </c>
      <c r="HE143" t="str">
        <f t="shared" si="368"/>
        <v/>
      </c>
      <c r="HF143" t="str">
        <f>IF(OR(HE143="",HE143="-"),"",IFERROR(VLOOKUP(HE143,Модули_спр,2,FALSE),"R"))</f>
        <v/>
      </c>
      <c r="HG143" t="str">
        <f>IF(HF143="","",HF143&amp;"."&amp;COUNTIFS(A$3:A143,A143,HF$3:HF143,HF143))</f>
        <v/>
      </c>
      <c r="HH143" t="str">
        <f t="shared" si="369"/>
        <v/>
      </c>
      <c r="HI143" t="str">
        <f t="shared" si="370"/>
        <v/>
      </c>
      <c r="HJ143" t="str">
        <f t="shared" si="371"/>
        <v/>
      </c>
      <c r="HK143" t="str">
        <f t="shared" si="372"/>
        <v/>
      </c>
      <c r="HL143">
        <f t="shared" si="373"/>
        <v>1</v>
      </c>
      <c r="HM143" t="str">
        <f>IF(HL143=1,"XT"&amp;COUNTIFS(A$3:A143,A143,HL$3:HL143,1),"")</f>
        <v>XT13</v>
      </c>
      <c r="HN143" t="str">
        <f t="shared" si="374"/>
        <v/>
      </c>
      <c r="HO143" t="str">
        <f t="shared" si="375"/>
        <v>QF13</v>
      </c>
      <c r="HP143" t="str">
        <f t="shared" si="376"/>
        <v/>
      </c>
      <c r="HQ143" t="str">
        <f t="shared" si="377"/>
        <v>ok</v>
      </c>
      <c r="HR143" t="str">
        <f>IF(OR(HJ143="",HH143=""),"",IF(HJ143+MAX(0,GY143-1)&gt;IFERROR(VLOOKUP(HI143,Модули_спр,3,FALSE),99),"ЛИШНИЙ КАНАЛ",IF(AND(AL143&lt;&gt;"=",GY143&gt;0,COUNTIFS(Линии[_модуль гр.],HH143,Линии[Канал (итог)],HJ143,Линии[Канал],"&lt;&gt;=",Линии[Щит],A143)&gt;1),"ДУБЛЬ КАНАЛА","")))</f>
        <v/>
      </c>
      <c r="HS143" s="6" t="str">
        <f t="shared" si="378"/>
        <v/>
      </c>
      <c r="HT143">
        <f t="shared" si="379"/>
        <v>10</v>
      </c>
      <c r="HU143" t="str">
        <f t="shared" si="380"/>
        <v/>
      </c>
      <c r="HV143">
        <f t="shared" si="381"/>
        <v>0.38660254037844383</v>
      </c>
      <c r="HW143">
        <f t="shared" si="382"/>
        <v>0</v>
      </c>
      <c r="HX143">
        <f t="shared" si="383"/>
        <v>0</v>
      </c>
      <c r="HY143">
        <f t="shared" si="384"/>
        <v>0</v>
      </c>
      <c r="HZ143">
        <f t="shared" si="385"/>
        <v>0</v>
      </c>
      <c r="IA143">
        <f t="shared" si="386"/>
        <v>0</v>
      </c>
      <c r="IB143">
        <f t="shared" si="387"/>
        <v>0</v>
      </c>
      <c r="IC143" t="str">
        <f t="shared" si="388"/>
        <v/>
      </c>
      <c r="ID143" t="str" cm="1">
        <f t="array" ref="ID143">IF(IC143="","",_xlfn.LET(_xlpm.tk,_xlfn.TEXTSPLIT(SUBSTITUTE(SUBSTITUTE(IC143,";"," "),"→"," ")," ",,TRUE),_xlpm.w_,_xlfn._xlws.FILTER(_xlpm.tk,ISNUMBER(--LEFT(_xlpm.tk,1))*((ISNUMBER(SEARCH("W",_xlpm.tk))+ISNUMBER(SEARCH("Вт",_xlpm.tk)))&gt;0),""),IFERROR(--SUBSTITUTE(SUBSTITUTE(UPPER(INDEX(_xlpm.w_,1)),"W",""),"ВТ",""),"")))</f>
        <v/>
      </c>
      <c r="IE143" t="str" cm="1">
        <f t="array" ref="IE143">IF(IC143="","",_xlfn.LET(_xlpm.tk,_xlfn.TEXTSPLIT(SUBSTITUTE(SUBSTITUTE(IC143,";"," "),"→"," ")," ",,TRUE),_xlpm.v_,_xlfn._xlws.FILTER(_xlpm.tk,ISNUMBER(--LEFT(_xlpm.tk,1))*((ISNUMBER(SEARCH("V",_xlpm.tk))+(RIGHT(UPPER(_xlpm.tk))="В"))&gt;0),""),IFERROR(--SUBSTITUTE(SUBSTITUTE(UPPER(INDEX(_xlpm.v_,1)),"V",""),"В",""),"")))</f>
        <v/>
      </c>
      <c r="IF143" s="6" t="str">
        <f>IF(OR(BV143=0,HI143="",HJ143=""),"",IFERROR(N(_xlfn.XLOOKUP(HI143,Каталог!$C$4:$C$500,Каталог!$Q$4:$Q$500)),""))</f>
        <v/>
      </c>
      <c r="IG143" s="6" t="str">
        <f>IF(N(IF143)=0,"",SUMIFS(Линии[Iр, А],Линии[Щит],A143,Линии[_модуль гр.],HH143,Линии[Канал (итог)],HJ143))</f>
        <v/>
      </c>
      <c r="IH143" t="str">
        <f>IF(AND(B143="",HO143=""),"",_xlfn.TEXTJOIN("; ",TRUE,IF(AND(B143&lt;&gt;"",FV143=""),"нет фазы",""),IF(AND(B143&lt;&gt;"",N(GL143)=0,FG143&lt;&gt;"Нет"),"нет мощности",""),IF(AND(HN143&lt;&gt;"",COUNTIFS(Линии[Щит],A143,Линии[Клемма (итог)],HN143)&gt;1),"дубль клеммы "&amp;HN143,""),IF(AND(HQ143&lt;&gt;"",HQ143&lt;&gt;"ok"),HQ143,""),IF(HR143&lt;&gt;"",HR143,""),IF(AND(N(CB143)&gt;=4,N(BX143)=1),CB143&amp;" жил на 1 фазе",""),IF(AND(BC143="R",CG143=1,IF(CS143&lt;&gt;"",N(CV143)&gt;30,OR(N(DA143)=0,N(DA143)&gt;30))),"розетка без дифзащиты до 30 мА",""),IF(AND(CG143=1,N(DA143)&gt;0,ISNUMBER(T143)),IF(T143&gt;N(DA143)/3,"ток утечки "&amp;FIXED(T143,1)&amp;" мА &gt; 1/3 уставки ("&amp;DA143&amp;" мА)",""),""),IF(AND(CH143=1,CS143=""),"«узо»: нет строки с УЗО выше (УЗО 2P 40А 30мА в «Аппаратах»)",""),IF(AND(CS143&lt;&gt;"",CS143=BA143),IF(CT143="","впишите номинал УЗО (УЗО 2P 40А 30мА)",IF(N(CT143)&lt;N(DT143),"УЗО "&amp;CT143&amp;" А &lt; автомата "&amp;DT143&amp;" А перед ним",IF(N(CT143)&lt;N(CX143),"УЗО "&amp;CT143&amp;" А &lt; тока блока "&amp;FIXED(CX143,1)&amp;" А",""))),""),IF(AND(CS143&lt;&gt;"",CS143=BA143,ISNUMBER(CY143)),IF(CY143&gt;N(CV143)/3,"ток утечки блока УЗО "&amp;FIXED(CY143,1)&amp;" мА &gt; 1/3 уставки ("&amp;CV143&amp;" мА)",""),""),IF(AND(CG143=1,N(BV143)+N(IB143)&gt;0,IC143=""),"линии до 50 В без БП: впишите в «Аппараты» (БП 24V 480W)",""),IF(AND(CG143=1,ISNUMBER(ID143),ISNUMBER(U143)),IF(U143&gt;ID143,"БП "&amp;ID143&amp;" Вт &lt; нужно "&amp;U143&amp;" Вт (×"&amp;Запас_БП&amp;")",""),""),IF(AND(CG143=1,ISNUMBER(IE143),N(BV143)=1),IF(IE143&lt;&gt;N(BU143),"БП на "&amp;IE143&amp;" В, линия "&amp;BU143&amp;" В",""),""),IF(AND(N(IF143)&gt;0,N(IG143)&gt;N(IF143)),HH143&amp;" канал "&amp;HJ143&amp;": "&amp;FIXED(IG143,1)&amp;" А &gt; "&amp;IF143&amp;" А",""),IFERROR(IF(AND(ISNUMBER(Q143),Q143&gt;EL143),"потери "&amp;FIXED(Q143,1)&amp;" % &gt; "&amp;EL143&amp;" %",""),""),IFERROR(IF(LEFT(HU143,4)="мало","Iкз мало — отключение &gt; 0,4 с",""),""),IF(AND(B143&lt;&gt;"",BM143=""),"не на схеме",""),IF(AND(CG143=0,B143&lt;&gt;"",FV143&lt;&gt;"",IF(BA143=1,"",FW142)&lt;&gt;"",FV143&lt;&gt;IF(BA143=1,"",FW142)),"фаза не как у автомата группы ("&amp;IF(BA143=1,"",FW142)&amp;")","")))</f>
        <v/>
      </c>
      <c r="II143" s="6" t="str">
        <f>IF(OR(CG143=0,DQ143=""),"",_xlfn.LET(_xlpm.t,IFERROR(_xlfn.XLOOKUP(DQ143,Каталог!$U$4:$U$500,Каталог!$G$4:$G$500),""),_xlpm.k,SEARCH("кА",_xlpm.t),IFERROR(--TRIM(RIGHT(SUBSTITUTE(MID(_xlpm.t,MAX(1,_xlpm.k-4),_xlpm.k-MAX(1,_xlpm.k-4))," ",REPT(" ",9)),5)),"")))</f>
        <v/>
      </c>
      <c r="IJ143" t="str">
        <f>IF(OR(II143="",CG143=0),"",IF(_xlfn.XLOOKUP(A143,Щиты[Щит],Щиты[Iкз max на шинах, кА],"")="","",IF(II143&lt;_xlfn.XLOOKUP(A143,Щиты[Щит],Щиты[Iкз max на шинах, кА]),"Icu "&amp;II143&amp;" кА &lt; Iкз max","ok")))</f>
        <v/>
      </c>
      <c r="IK143" t="str">
        <f t="shared" si="389"/>
        <v/>
      </c>
      <c r="IL143" t="str">
        <f t="shared" si="390"/>
        <v>QF13</v>
      </c>
      <c r="IM143" t="str">
        <f t="shared" si="391"/>
        <v>QF13|кабель ВВГнг(А)-LS (3х1,5) → Внутренний блок кондиционирования Технический этаж Пом. №004Т</v>
      </c>
      <c r="IN143" t="str" cm="1">
        <f t="array" ref="IN143">IF(IM143="","",_xlfn.LET(_xlpm.nd,_xlfn.TEXTSPLIT(IM143,"|"),IF(COLUMNS(_xlpm.nd)&gt;1,A143&amp;"¦"&amp;INDEX(_xlpm.nd,1)&amp;"¦"&amp;INDEX(_xlpm.nd,2),"")))</f>
        <v>ЩОВ-2¦QF13¦кабель ВВГнг(А)-LS (3х1,5) → Внутренний блок кондиционирования Технический этаж Пом. №004Т</v>
      </c>
      <c r="IO143" t="str">
        <f t="shared" si="392"/>
        <v>K.3.004T.1¦Внутренний блок кондиционирования Технический этаж Пом. №004Т</v>
      </c>
      <c r="IP143" t="str" cm="1">
        <f t="array" ref="IP143">IF(IM143="","",_xlfn.LET(_xlpm.nd,_xlfn.TEXTSPLIT(IM143,"|"),IF(COLUMNS(_xlpm.nd)&gt;2,A143&amp;"¦"&amp;INDEX(_xlpm.nd,2)&amp;"¦"&amp;INDEX(_xlpm.nd,3),"")))</f>
        <v/>
      </c>
      <c r="IQ143" t="str">
        <f t="shared" si="393"/>
        <v/>
      </c>
      <c r="IR143" t="str" cm="1">
        <f t="array" ref="IR143">IF(IM143="","",_xlfn.LET(_xlpm.nd,_xlfn.TEXTSPLIT(IM143,"|"),IF(COLUMNS(_xlpm.nd)&gt;3,A143&amp;"¦"&amp;INDEX(_xlpm.nd,3)&amp;"¦"&amp;INDEX(_xlpm.nd,4),"")))</f>
        <v/>
      </c>
      <c r="IS143" t="str">
        <f t="shared" si="394"/>
        <v/>
      </c>
      <c r="IT143" t="str" cm="1">
        <f t="array" ref="IT143">IF(IM143="","",_xlfn.LET(_xlpm.nd,_xlfn.TEXTSPLIT(IM143,"|"),IF(COLUMNS(_xlpm.nd)&gt;4,A143&amp;"¦"&amp;INDEX(_xlpm.nd,4)&amp;"¦"&amp;INDEX(_xlpm.nd,5),"")))</f>
        <v/>
      </c>
      <c r="IU143" t="str">
        <f t="shared" si="395"/>
        <v/>
      </c>
      <c r="IV143" t="str" cm="1">
        <f t="array" ref="IV143">IF(IM143="","",_xlfn.LET(_xlpm.nd,_xlfn.TEXTSPLIT(IM143,"|"),IF(COLUMNS(_xlpm.nd)&gt;5,A143&amp;"¦"&amp;INDEX(_xlpm.nd,5)&amp;"¦"&amp;INDEX(_xlpm.nd,6),"")))</f>
        <v/>
      </c>
      <c r="IW143" t="str">
        <f t="shared" si="396"/>
        <v/>
      </c>
      <c r="IX143" t="str" cm="1">
        <f t="array" ref="IX143">IF(IM143="","",_xlfn.LET(_xlpm.nd,_xlfn.TEXTSPLIT(IM143,"|"),IF(COLUMNS(_xlpm.nd)&gt;6,A143&amp;"¦"&amp;INDEX(_xlpm.nd,6)&amp;"¦"&amp;INDEX(_xlpm.nd,7),"")))</f>
        <v/>
      </c>
      <c r="IY143" t="str">
        <f t="shared" si="397"/>
        <v/>
      </c>
      <c r="IZ143" t="str">
        <f t="shared" si="398"/>
        <v/>
      </c>
      <c r="JA143" t="str">
        <f t="shared" si="399"/>
        <v>QF13</v>
      </c>
      <c r="JB143">
        <f t="shared" si="400"/>
        <v>0</v>
      </c>
      <c r="JC143">
        <f t="shared" si="401"/>
        <v>0</v>
      </c>
      <c r="JD143" t="str">
        <f t="shared" si="402"/>
        <v/>
      </c>
      <c r="JE143" t="str">
        <f t="shared" si="403"/>
        <v/>
      </c>
      <c r="JF143" t="str">
        <f t="shared" si="404"/>
        <v/>
      </c>
      <c r="JG143" t="str">
        <f t="shared" si="405"/>
        <v/>
      </c>
      <c r="JH143">
        <f>IF(B143="","",IFERROR(_xlfn.XLOOKUP(B143,Коды_код,Коды_уго),IFERROR(_xlfn.XLOOKUP(BC143,Коды_код,Коды_уго),IFERROR(_xlfn.XLOOKUP(LEFT(BC143,2),Коды_код,Коды_уго),""))))</f>
        <v>0</v>
      </c>
      <c r="JI143" t="str">
        <f>IF(B143="","",IF(OR(JH143="",JH143=0),"BOX",IFERROR(IF(VLOOKUP(JH143,УГО_блоки,3,FALSE)&amp;""&lt;&gt;"",VLOOKUP(JH143,УГО_блоки,3,FALSE),VLOOKUP(JH143,УГО_блоки,2,FALSE)),JH143)))</f>
        <v>BOX</v>
      </c>
      <c r="JJ143">
        <f t="shared" si="406"/>
        <v>1</v>
      </c>
      <c r="JK143" t="str">
        <f>IF(DQ143="","",IF(COUNTIF(DQ$3:DQ143,DQ143)=1,MAX(JK$2:JK142)+1,""))</f>
        <v/>
      </c>
      <c r="JL143" t="str">
        <f>IF(DE143="","",IF(COUNTIF(DE$3:DE143,DE143)+COUNTIF(DF$2:DF142,DE143)+COUNTIF(DG$2:DG142,DE143)=1,MAX(JL$2:JN142)+1,""))</f>
        <v/>
      </c>
      <c r="JM143" t="str">
        <f>IF(DF143="","",IF(COUNTIF(DE$3:DE143,DF143)+COUNTIF(DF$3:DF143,DF143)+COUNTIF(DG$2:DG142,DF143)=1,MAX(JL$2:JN142,JL143)+1,""))</f>
        <v/>
      </c>
      <c r="JN143" t="str">
        <f>IF(DG143="","",IF(COUNTIF(DE$3:DE143,DG143)+COUNTIF(DF$3:DF143,DG143)+COUNTIF(DG$3:DG143,DG143)=1,MAX(JL$2:JN142,JL143,JM143)+1,""))</f>
        <v/>
      </c>
      <c r="JO143" t="str">
        <f t="shared" si="407"/>
        <v>3х1,5</v>
      </c>
      <c r="JP143" t="str">
        <f>IF(JO143="","",IF(COUNTIF(JO$3:JO143,JO143)=1,MAX(JP$2:JP142)+1,""))</f>
        <v/>
      </c>
      <c r="JQ143" t="str">
        <f>IF(HG143="","",COUNTIF(HG$3:HG143,"?*"))</f>
        <v/>
      </c>
      <c r="JR143" t="str">
        <f>IF(OR(HG143="",HI143=""),"",IF(COUNTIFS(HG$3:HG143,"?*",HI$3:HI143,HI143)=1,MAX(JR$2:JR142)+1,""))</f>
        <v/>
      </c>
      <c r="JS143">
        <f t="shared" si="408"/>
        <v>0</v>
      </c>
      <c r="JT143">
        <f>IF(B143="","",COUNTIF(B$3:B143,"?*"))</f>
        <v>141</v>
      </c>
      <c r="JU143">
        <f>IF(HL143&lt;&gt;1,0,_xlfn.LET(_xlpm.k,MAX(IFERROR(--_xlfn.XLOOKUP(B143,Коды_код,Коды_3L),0),IFERROR(--_xlfn.XLOOKUP(BC143,Коды_код,Коды_3L),0),IFERROR(--_xlfn.XLOOKUP(LEFT(BC143,2),Коды_код,Коды_3L),0)),IF(_xlpm.k&gt;0,_xlpm.k,IF(IFERROR(--LEFT(SUBSTITUTE(JO143,"x","х"),FIND("х",SUBSTITUTE(JO143,"x","х"))-1),3)&gt;3,Каталог!$S$9,1))))</f>
        <v>1</v>
      </c>
      <c r="JV143">
        <f t="shared" si="409"/>
        <v>0</v>
      </c>
      <c r="JW143" t="str">
        <f t="shared" si="410"/>
        <v>авто</v>
      </c>
      <c r="JX143" t="str">
        <f t="shared" si="411"/>
        <v/>
      </c>
      <c r="JY143">
        <f t="shared" si="412"/>
        <v>0</v>
      </c>
      <c r="JZ143">
        <f t="shared" si="413"/>
        <v>1</v>
      </c>
    </row>
    <row r="144" spans="1:286" x14ac:dyDescent="0.3">
      <c r="A144" t="s">
        <v>751</v>
      </c>
      <c r="B144" t="s">
        <v>1453</v>
      </c>
      <c r="C144" t="s">
        <v>1688</v>
      </c>
      <c r="D144">
        <v>1</v>
      </c>
      <c r="E144">
        <v>0.04</v>
      </c>
      <c r="G144" t="str">
        <f>Линии[[#This Row],[_авто автомат]]</f>
        <v>1P С6А</v>
      </c>
      <c r="H144" t="str">
        <f>Линии[[#This Row],[_авто управление]]</f>
        <v/>
      </c>
      <c r="I144" t="str">
        <f>Линии[[#This Row],[_авто аппараты]]</f>
        <v/>
      </c>
      <c r="J144">
        <v>1.5</v>
      </c>
      <c r="K144">
        <v>27</v>
      </c>
      <c r="L144">
        <v>1</v>
      </c>
      <c r="M144" t="s">
        <v>484</v>
      </c>
      <c r="N144" t="str">
        <f t="shared" si="276"/>
        <v/>
      </c>
      <c r="O144" s="6" cm="1">
        <f t="array" ref="O144">IF(B144="","",IF(BH144&lt;&gt;"",IFERROR(_xlfn.XLOOKUP(BH144,Щиты[Щит],Щиты[Iр, А]),""),IF(BP144=1,IF(OR(N(_xlfn.XLOOKUP(A144,Щиты[Щит],Щиты[Вводов],1))&lt;=1,LOWER(TRIM(_xlfn.XLOOKUP(A144,Щиты[Щит],Щиты[АВР],"")&amp;""))="да"),IFERROR(_xlfn.XLOOKUP(A144,Щиты[Щит],Щиты[Iр, А]),""),IFERROR(N(BS144)*_xlfn.XLOOKUP(A144,Щиты[Щит],Щиты[Кс итог])/(SQRT(3)*Uн_лин*_xlfn.XLOOKUP(A144,Щиты[Щит],Щиты[cos φ])),"")),IF(BV144=1,IFERROR(BS144*1000/BU144,""),IFERROR(_xlfn.IFS(BX144=1,BS144/((Uн_лин/SQRT(3))*CE144),BX144=3,BS144/(SQRT(3)*Uн_лин*CE144)),"")))))</f>
        <v>0.21650635094610962</v>
      </c>
      <c r="P144" s="7">
        <f>IF(B144="","",IFERROR(IF(VLOOKUP(BC144,Потребители_обозначение,4,FALSE)=1,VLOOKUP(BC144,Потребители_обозначение,3,FALSE)*(MAX(1,N(D144))*2-1)+EI144+VLOOKUP(BE144,Этаж_обозначение,3,FALSE)+VLOOKUP(BE144,Этаж_обозначение,4,FALSE),VLOOKUP(BC144,Потребители_обозначение,3,FALSE)*(MAX(1,N(D144))*2-1)+EI144),EI144))</f>
        <v>29</v>
      </c>
      <c r="Q144" s="6">
        <f t="shared" si="277"/>
        <v>1.21</v>
      </c>
      <c r="R144" t="str">
        <f t="shared" si="278"/>
        <v>ВВГнг(А)-LS (3х1,5)</v>
      </c>
      <c r="S144" t="str">
        <f>IF(BM144="","",IF(BN144="вводной узел","узел ","")&amp;"л."&amp;(INT((BM144-1)/Столбцов_на_лист)+1)&amp;" / "&amp;(MOD(BM144-1,Столбцов_на_лист)+1))</f>
        <v>л.2 / 11</v>
      </c>
      <c r="T144" s="119">
        <f t="shared" si="279"/>
        <v>0.4</v>
      </c>
      <c r="U144" s="7" t="str">
        <f>IF(OR(CG144=0,N(BV144)+N(IB144)=0),"",ROUNDUP(Запас_БП*(N(HY144)+N(HZ144)),0))</f>
        <v/>
      </c>
      <c r="V144" s="119" t="str">
        <f t="shared" si="280"/>
        <v/>
      </c>
      <c r="W144" s="7" t="str">
        <f>IFERROR(IF(OR(B144="",BP144=1,BV144=1,NOT(ISNUMBER(EN144)),N(DT144)=0),"",MAX(0,ROUNDDOWN((c_min*(Uн_лин*1000/SQRT(3))/(HT144*N(DT144))-_xlfn.XLOOKUP(A144,Щиты[Щит],Щиты[Zпетли на шинах, Ом]))*EN144/(2*ρкз_Cu),0))),"")</f>
        <v/>
      </c>
      <c r="Y144" t="str">
        <f>Линии[[#This Row],[_авто утечка]]</f>
        <v/>
      </c>
      <c r="Z144">
        <v>1</v>
      </c>
      <c r="AA144">
        <v>230</v>
      </c>
      <c r="AB144" t="s">
        <v>598</v>
      </c>
      <c r="AC144">
        <v>0.5</v>
      </c>
      <c r="AG144" t="s">
        <v>810</v>
      </c>
      <c r="AI144" t="s">
        <v>576</v>
      </c>
      <c r="AK144" t="str">
        <f>Линии[[#This Row],[_авто модуль]]</f>
        <v/>
      </c>
      <c r="AM144">
        <v>28</v>
      </c>
      <c r="AN144" t="s">
        <v>11</v>
      </c>
      <c r="AO144">
        <v>3</v>
      </c>
      <c r="AQ144">
        <v>4</v>
      </c>
      <c r="AR144">
        <v>25</v>
      </c>
      <c r="AT144">
        <v>1</v>
      </c>
      <c r="BA144" cm="1">
        <f t="array" ref="BA144">ROW()-ROW(Линии[#Headers])</f>
        <v>142</v>
      </c>
      <c r="BC144" s="6" t="str">
        <f t="shared" si="281"/>
        <v>K</v>
      </c>
      <c r="BD144" t="str">
        <f t="shared" si="282"/>
        <v>3.004T.2</v>
      </c>
      <c r="BE144" t="str">
        <f t="shared" si="283"/>
        <v>3</v>
      </c>
      <c r="BF144" t="str">
        <f t="shared" si="284"/>
        <v>004T.2</v>
      </c>
      <c r="BG144" t="str">
        <f t="shared" si="285"/>
        <v>004T</v>
      </c>
      <c r="BH144" t="str">
        <f>IF(X144&lt;&gt;"",X144,IF(AND(B144&lt;&gt;"",B144&lt;&gt;A144,ISNUMBER(_xlfn.XMATCH(B144,Щиты[Щит]))),B144,""))</f>
        <v/>
      </c>
      <c r="BI144" t="str" cm="1">
        <f t="array" ref="BI144">IF(B144="","",IF(BH144&lt;&gt;"","Щит "&amp;BH144,_xlfn.LET(_xlpm.nm,IFERROR(_xlfn.XLOOKUP(BC144,Коды_код,Коды_имя)&amp;"",""),_xlpm.md,IFERROR(N(_xlfn.XLOOKUP(BC144,Коды_код,Коды_режим)),1),_xlpm.ex,IF(Имя_режим="по экспликации",IFERROR(_xlfn.XLOOKUP(BE144&amp;"|"&amp;BG144,Экспликация[Этаж]&amp;"|"&amp;Экспликация[Помещение],Экспликация[Название])&amp;"",""),""),_xlpm.rm,IF(BG144="","",IF(_xlpm.ex&lt;&gt;"",". "&amp;_xlpm.ex&amp;IF(Имя_пом="нет"," ("&amp;BG144&amp;")"," (пом. "&amp;BG144&amp;")"),IF(Имя_пом="нет"," ",", пом. ")&amp;BG144)),IF(_xlpm.nm="","",IF(_xlpm.md=2,_xlpm.nm&amp;" шлейф "&amp;BE144,_xlpm.nm&amp;_xlpm.rm)))))</f>
        <v>Внутренний блок кондиционирования, пом. 004T</v>
      </c>
      <c r="BJ144" t="str">
        <f t="shared" si="286"/>
        <v>Внутренний блок кондиционирования Технический этаж Пом. №004Т</v>
      </c>
      <c r="BK144">
        <f>IFERROR(_xlfn.XMATCH(A144,Щиты[Щит]),0)</f>
        <v>7</v>
      </c>
      <c r="BL144">
        <f>_xlfn.LET(_xlpm.k,IFERROR(_xlfn.XLOOKUP(A144,Щиты[Щит],Щиты[Мест под вводной узел]),""),IF(_xlpm.k="",Столбцов_на_лист,N(_xlpm.k)))</f>
        <v>12</v>
      </c>
      <c r="BM144">
        <f t="shared" si="287"/>
        <v>28</v>
      </c>
      <c r="BN144" t="str">
        <f t="shared" si="288"/>
        <v>линии</v>
      </c>
      <c r="BO144" s="6">
        <f>IFERROR(N(_xlfn.XLOOKUP(BC144,Коды_код,Коды_квт)),0)</f>
        <v>0</v>
      </c>
      <c r="BP144">
        <f t="shared" si="289"/>
        <v>0</v>
      </c>
      <c r="BQ144" t="str">
        <f>IF(B144="","",IF(BH144&lt;&gt;"",IFERROR(_xlfn.XLOOKUP(BH144,Щиты[Щит],Щиты[Руст, кВт]),0),IF(BP144=1,IF(OR(N(_xlfn.XLOOKUP(A144,Щиты[Щит],Щиты[Вводов],1))&lt;=1,LOWER(TRIM(_xlfn.XLOOKUP(A144,Щиты[Щит],Щиты[АВР],"")&amp;""))="да"),IFERROR(_xlfn.XLOOKUP(A144,Щиты[Щит],Щиты[Руст, кВт]),0),SUMIFS(Линии[_Р для вводов],Линии[Щит],A144,Линии[Источник для режимов],GF144)),IF(BO144&gt;0,ROUND(BO144*MAX(1,N(D144)),3),""))))</f>
        <v/>
      </c>
      <c r="BR144">
        <f t="shared" si="290"/>
        <v>0.04</v>
      </c>
      <c r="BS144" s="6">
        <f>IF(B144="","",IF(BH144&lt;&gt;"",IFERROR(_xlfn.XLOOKUP(BH144,Щиты[Щит],Щиты[Руст, кВт]),0),N(BR144)))</f>
        <v>0.04</v>
      </c>
      <c r="BT144" t="str">
        <f>IF(B144="","",IFERROR(IF(VLOOKUP(BC144,Потребители_обозначение,8,FALSE)=0,"",VLOOKUP(BC144,Потребители_обозначение,8,FALSE)),""))</f>
        <v/>
      </c>
      <c r="BU144">
        <f t="shared" si="291"/>
        <v>230</v>
      </c>
      <c r="BV144">
        <f t="shared" si="292"/>
        <v>0</v>
      </c>
      <c r="BW144">
        <f>IF(B144="","",IF(BH144&lt;&gt;"",3,IFERROR(IF(N(VLOOKUP(BC144,Потребители_обозначение,9,FALSE))=0,1,VLOOKUP(BC144,Потребители_обозначение,9,FALSE)),1)))</f>
        <v>1</v>
      </c>
      <c r="BX144">
        <f t="shared" si="293"/>
        <v>1</v>
      </c>
      <c r="BY144" t="str">
        <f>IF(B144="","",_xlfn.LET(_xlpm.bc,IFERROR(IF(VLOOKUP(BC144,Потребители_обозначение,6,FALSE)=0,"",VLOOKUP(BC144,Потребители_обозначение,6,FALSE)&amp;""),""),IF(AND(GA144="да",OR(_xlpm.bc="",_xlpm.bc="мс")),Марка_пож,IF(AND(_xlpm.bc="",BH144&lt;&gt;""),"мс",_xlpm.bc))))</f>
        <v/>
      </c>
      <c r="BZ144" t="str">
        <f t="shared" si="294"/>
        <v>мс</v>
      </c>
      <c r="CA144">
        <f>IF(B144="","",_xlfn.LET(_xlpm.cc,IFERROR(N(VLOOKUP(BC144,Потребители_обозначение,7,FALSE)),0),IF(_xlpm.cc&gt;0,_xlpm.cc,IF(BZ144="","",IF(BV144=1,2,IF(N(BX144)=3,5,3))))))</f>
        <v>3</v>
      </c>
      <c r="CB144">
        <f t="shared" si="295"/>
        <v>3</v>
      </c>
      <c r="CC144">
        <f>IFERROR(N(VLOOKUP(BC144,Потребители_обозначение,10,FALSE)),0)</f>
        <v>0</v>
      </c>
      <c r="CD144">
        <f>IFERROR(VLOOKUP(BC144,Потребители_обозначение,5,FALSE),0)</f>
        <v>1</v>
      </c>
      <c r="CE144" s="6" cm="1">
        <f t="array" ref="CE144">IF(B144="","",IF(BH144&lt;&gt;"",IFERROR(_xlfn.XLOOKUP(BH144,Щиты[Щит],Щиты[cos φ]),0.95),IF(BP144=1,IFERROR(_xlfn.XLOOKUP(A144,Щиты[Щит],Щиты[cos φ]),0.95),IF(ISNUMBER(AD144),AD144,IFERROR(IF(CD144=2,_xlfn.IFS(BX144=3,VLOOKUP(BS144,Справочная_двигатели,8,FALSE),BX144=1,VLOOKUP(BS144,Справочная_двигатели,10,TRUE)),IF(AND(Методика="нормы 2026",FG144="Сил"),0.8,0.95)),0.95)))))</f>
        <v>0.8</v>
      </c>
      <c r="CF144">
        <f t="shared" si="296"/>
        <v>0</v>
      </c>
      <c r="CG144">
        <f t="shared" si="297"/>
        <v>1</v>
      </c>
      <c r="CH144">
        <f t="shared" si="298"/>
        <v>0</v>
      </c>
      <c r="CI144">
        <f>IF(B144="","",IF(BV144=1,IFERROR(BS144/((Uн_лин/SQRT(3))*MAX(0.5,N(CE144))),0),N(O144)))</f>
        <v>0.21650635094610962</v>
      </c>
      <c r="CJ144">
        <f t="shared" si="299"/>
        <v>0</v>
      </c>
      <c r="CK144">
        <f t="shared" si="300"/>
        <v>0</v>
      </c>
      <c r="CL144">
        <f t="shared" si="301"/>
        <v>0</v>
      </c>
      <c r="CM144">
        <f t="shared" si="302"/>
        <v>0</v>
      </c>
      <c r="CN144">
        <f t="shared" si="303"/>
        <v>0</v>
      </c>
      <c r="CO144">
        <f>IF(BC144="",0,_xlfn.LET(_xlpm.v,IFERROR(_xlfn.XLOOKUP(B144,Коды_код,Коды_мА),IFERROR(_xlfn.XLOOKUP(BC144,Коды_код,Коды_мА),IFERROR(_xlfn.XLOOKUP(LEFT(BC144,2),Коды_код,Коды_мА),""))),IF(_xlpm.v="да",30,IF(ISNUMBER(_xlpm.v),_xlpm.v,0))))</f>
        <v>0</v>
      </c>
      <c r="CP144" t="str">
        <f t="shared" si="304"/>
        <v/>
      </c>
      <c r="CQ144" t="str">
        <f>_xlfn.LET(_xlpm.k,IFERROR(_xlfn.XLOOKUP(BC144,Коды_код,Коды_утечка)&amp;"",""),IF(_xlpm.k="","дифавтомат",_xlpm.k))</f>
        <v>дифавтомат</v>
      </c>
      <c r="CR144" t="str" cm="1">
        <f t="array" ref="CR144">IF(CG144=0,"",_xlfn.LET(_xlpm.sg,TRIM(_xlfn.TEXTSPLIT(DD144&amp;"",";")),_xlpm.f_,_xlfn._xlws.FILTER(_xlpm.sg,LEFT(_xlpm.sg,3)="УЗО",""),IFERROR(INDEX(_xlpm.f_,1)&amp;"","")))</f>
        <v/>
      </c>
      <c r="CS144" t="str">
        <f t="shared" si="305"/>
        <v/>
      </c>
      <c r="CT144" s="6" t="str" cm="1">
        <f t="array" ref="CT144">IF(CR144="","",_xlfn.LET(_xlpm.tk,_xlfn.TEXTSPLIT(UPPER(CR144)," ",,TRUE),_xlpm.a_,_xlfn._xlws.FILTER(_xlpm.tk,ISNUMBER(--LEFT(_xlpm.tk,1))*((ISNUMBER(SEARCH("А",_xlpm.tk))+ISNUMBER(SEARCH("A",_xlpm.tk)))&gt;0)*NOT(ISNUMBER(SEARCH("МА",_xlpm.tk)))*NOT(ISNUMBER(SEARCH("MA",_xlpm.tk))),""),IFERROR(--SUBSTITUTE(SUBSTITUTE(INDEX(_xlpm.a_,1),"А",""),"A",""),"")))</f>
        <v/>
      </c>
      <c r="CU144" t="str" cm="1">
        <f t="array" ref="CU144">IF(CR144="","",_xlfn.LET(_xlpm.tk,_xlfn.TEXTSPLIT(UPPER(CR144)," ",,TRUE),_xlpm.a_,_xlfn._xlws.FILTER(_xlpm.tk,ISNUMBER(--LEFT(_xlpm.tk,1))*((ISNUMBER(SEARCH("МА",_xlpm.tk))+ISNUMBER(SEARCH("MA",_xlpm.tk)))&gt;0),""),IFERROR(--SUBSTITUTE(SUBSTITUTE(INDEX(_xlpm.a_,1),"МА",""),"MA",""),30)))</f>
        <v/>
      </c>
      <c r="CV144" t="str">
        <f>IF(CS144="","",IFERROR(_xlfn.XLOOKUP(CS144,Линии[_n],Линии[_УЗО, мА]),30))</f>
        <v/>
      </c>
      <c r="CW144">
        <f>IF(CS144="",0,IF(ISNUMBER(SEARCH("4P",IFERROR(_xlfn.XLOOKUP(CS144,Линии[_n],Линии[_УЗО строки])&amp;"",""))),0,1))</f>
        <v>0</v>
      </c>
      <c r="CX144" t="str">
        <f>IF(AND(CS144&lt;&gt;"",CS144=BA144),SUMIFS(Линии[_ток на 230 В],Линии[_блок УЗО],BA144,Линии[Щит],A144),"")</f>
        <v/>
      </c>
      <c r="CY144" t="str">
        <f>IF(AND(CS144&lt;&gt;"",CS144=BA144),SUMIFS(Линии[_ток утечки линии, мА],Линии[_блок УЗО],BA144,Линии[Щит],A144),"")</f>
        <v/>
      </c>
      <c r="CZ144">
        <f t="shared" si="306"/>
        <v>0</v>
      </c>
      <c r="DA144">
        <f t="shared" si="307"/>
        <v>0</v>
      </c>
      <c r="DB144">
        <f>IF(B144="",0,IFERROR(--_xlfn.XLOOKUP(B144,Коды_код,Коды_минавт),IFERROR(--_xlfn.XLOOKUP(BC144,Коды_код,Коды_минавт),IFERROR(--_xlfn.XLOOKUP(LEFT(BC144,2),Коды_код,Коды_минавт),0))))</f>
        <v>0</v>
      </c>
      <c r="DC144" t="str">
        <f>IF(B144="","",IFERROR(_xlfn.XLOOKUP(BC144,Коды_код,Коды_апп)&amp;"",""))</f>
        <v/>
      </c>
      <c r="DD144" t="str">
        <f t="shared" si="308"/>
        <v/>
      </c>
      <c r="DE144" t="str" cm="1">
        <f t="array" ref="DE144">IF(TRIM(DD144&amp;"")="","",IFERROR(TRIM(INDEX(_xlfn.TEXTSPLIT(DD144&amp;";;;",";"),1)),""))</f>
        <v/>
      </c>
      <c r="DF144" t="str" cm="1">
        <f t="array" ref="DF144">IF(TRIM(DD144&amp;"")="","",IFERROR(TRIM(INDEX(_xlfn.TEXTSPLIT(DD144&amp;";;;",";"),2)),""))</f>
        <v/>
      </c>
      <c r="DG144" t="str" cm="1">
        <f t="array" ref="DG144">IF(TRIM(DD144&amp;"")="","",IFERROR(TRIM(INDEX(_xlfn.TEXTSPLIT(DD144&amp;";;;",";"),3)),""))</f>
        <v/>
      </c>
      <c r="DH144">
        <f t="shared" si="309"/>
        <v>0</v>
      </c>
      <c r="DI144" t="str">
        <f>IF(B144="","",_xlfn.LET(_xlpm.t,LOWER(AZ144&amp;""),IF(ISNUMBER(SEARCH("dim",_xlpm.t)),"DIM",IF(ISNUMBER(SEARCH("dali",_xlpm.t)),"DALI",IF(OR(ISNUMBER(SEARCH("relay",_xlpm.t)),ISNUMBER(SEARCH("реле",_xlpm.t))),"Relay",IF(ISNUMBER(SEARCH("кнопк",_xlpm.t)),"",IFERROR(_xlfn.XLOOKUP(BC144,Коды_код,Коды_упр)&amp;"","")))))))</f>
        <v/>
      </c>
      <c r="DJ144" t="str">
        <f t="shared" si="310"/>
        <v/>
      </c>
      <c r="DK144">
        <f>IF(B144="","",_xlfn.LET(_xlpm.ig,IF(N(CX144)&gt;0,N(CX144),N(CI144)+IF(AJ144="вручную",0,N(CJ144))),_xlpm.n0,IFERROR(VLOOKUP(_xlpm.ig,Автомат_номиналы,2,TRUE),0),_xlpm.mn,MAX(DB144,IF(AJ144="вручную",0,N(CM144))),MAX(_xlpm.n0,_xlpm.mn,IF(DH144=1,Мин_автомат_БП,0))))</f>
        <v>6</v>
      </c>
      <c r="DL144">
        <f t="shared" si="311"/>
        <v>1</v>
      </c>
      <c r="DM144" t="str">
        <f t="shared" si="312"/>
        <v>1P</v>
      </c>
      <c r="DN144" t="str">
        <f>_xlfn.LET(_xlpm.cc,UPPER(TRIM(IFERROR(_xlfn.XLOOKUP(BC144,Коды_код,Коды_хар)&amp;"",""))),IF(OR(_xlpm.cc="B",_xlpm.cc="В"),"B",IF(_xlpm.cc="D","D","С")))</f>
        <v>С</v>
      </c>
      <c r="DO144" t="str">
        <f t="shared" si="313"/>
        <v>1P С6А</v>
      </c>
      <c r="DP144" t="str">
        <f t="shared" si="314"/>
        <v>1P С6А</v>
      </c>
      <c r="DQ144" t="str">
        <f t="shared" si="315"/>
        <v>1P С6А</v>
      </c>
      <c r="DR144" cm="1">
        <f t="array" ref="DR144">IF(DQ144="","",_xlfn.LET(_xlpm.t,SUBSTITUTE(SUBSTITUTE(SUBSTITUTE(UPPER(DQ144),"С","C"),"А","A"),"В","B"),_xlpm.tk,_xlfn.TEXTSPLIT(_xlpm.t," "),_xlpm.f,_xlfn._xlws.FILTER(_xlpm.tk,ISNUMBER(--MID(_xlpm.tk,2,1))*ISNUMBER(SEARCH(LEFT(_xlpm.tk,1)&amp;"#","B#C#D#"))*(LEN(_xlpm.tk)&gt;1),""),_xlpm.x,INDEX(_xlpm.f,1),IFERROR(--SUBSTITUTE(MID(_xlpm.x,2,9),"A",""),IFERROR(--SUBSTITUTE(INDEX(_xlfn._xlws.FILTER(_xlpm.tk,ISNUMBER(--SUBSTITUTE(_xlpm.tk,"A","")),""),1),"A",""),""))))</f>
        <v>6</v>
      </c>
      <c r="DS144" t="str">
        <f t="shared" si="316"/>
        <v>ok</v>
      </c>
      <c r="DT144">
        <f t="shared" si="317"/>
        <v>6</v>
      </c>
      <c r="DU144" t="str">
        <f t="shared" si="318"/>
        <v>1P С6А</v>
      </c>
      <c r="DV144">
        <f t="shared" si="319"/>
        <v>0</v>
      </c>
      <c r="DW144">
        <f t="shared" si="320"/>
        <v>0</v>
      </c>
      <c r="DX144">
        <f t="shared" si="321"/>
        <v>0</v>
      </c>
      <c r="DY144">
        <f t="shared" si="322"/>
        <v>0.21650635094610962</v>
      </c>
      <c r="DZ144">
        <f t="shared" si="323"/>
        <v>1</v>
      </c>
      <c r="EA144">
        <f>IF(ISNUMBER(AP144),AP144,К_прокл)</f>
        <v>1</v>
      </c>
      <c r="EB144">
        <f t="shared" si="324"/>
        <v>2</v>
      </c>
      <c r="EC144">
        <f>IFERROR(N(VLOOKUP(BZ144,Кабель_обозначение,3,FALSE)),1)</f>
        <v>1</v>
      </c>
      <c r="ED144">
        <f>IFERROR(N(_xlfn.XLOOKUP(A144,Щиты[Щит],Щиты[ΔU до шин, %])),0)</f>
        <v>1.1399999999999999</v>
      </c>
      <c r="EE144" t="str">
        <f>IFERROR(_xlfn.XLOOKUP(A144,Щиты[Щит],Щиты[Zпетли на шинах, Ом]),"")</f>
        <v/>
      </c>
      <c r="EF144">
        <f>IFERROR(N(_xlfn.XLOOKUP(A144,Щиты[Щит],Щиты[ΔU до шин (подбор), %])),0)</f>
        <v>1.82</v>
      </c>
      <c r="EG144" t="str">
        <f>IFERROR(_xlfn.XLOOKUP(A144,Щиты[Щит],Щиты[Zпетли на шинах (подбор), Ом]),"")</f>
        <v/>
      </c>
      <c r="EH144" t="str">
        <f t="shared" si="325"/>
        <v/>
      </c>
      <c r="EI144">
        <f t="shared" si="326"/>
        <v>27</v>
      </c>
      <c r="EJ144">
        <f t="shared" si="327"/>
        <v>2</v>
      </c>
      <c r="EK144">
        <f t="shared" si="328"/>
        <v>0.6</v>
      </c>
      <c r="EL144" s="6">
        <f>IF(B144="","",IF(BV144=1,dU_LED,IF(IFERROR(_xlfn.XLOOKUP(BC144,Коды_код,Коды_уго),"")="Светильник",3,4)+IF(Методика="нормы 2026",MIN(0.5,MAX(0,N(P144)-100)*0.005),0)))</f>
        <v>4</v>
      </c>
      <c r="EM144" cm="1">
        <f t="array" ref="EM144">IF(OR(B144="",BZ144="",EC144&lt;&gt;1),"",_xlfn.LET(_xlpm.sz,Iдоп_S,_xlpm.t_,CHOOSE(EB144,Iдоп_1ж,Iдоп_2ж,Iдоп_3ж)*DZ144*EA144,_xlpm.dcx,BV144=1,_xlpm.inn,IF(_xlpm.dcx,N(O144),N(DT144)),_xlpm.smin,MAX(1.5,CC144),_xlpm.L_,N(P144)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144)/N(BU144)*100,999),IFERROR(N(EJ144)*(_xlpm.rho*_xlpm.L_/_xlpm.sz*N(CE144)+_xlpm.xx*_xlpm.L_*N(EK144)/1000)*N(O144)/((Uн_лин/SQRT(3))*1000)*100,999)),_xlpm.kz,IF(OR(_xlpm.dcx,DW144=1,NOT(ISNUMBER(EG144)),_xlpm.L_=0,_xlpm.inn=0),1,IFERROR(--(c_min*(Uн_лин*1000/SQRT(3))/(EG144+2*ρкз_Cu*_xlpm.L_/_xlpm.sz)&gt;=HT144*_xlpm.inn),0)),_xlpm.ok,IFERROR((_xlpm.sz&gt;=_xlpm.smin)*(_xlpm.t_&gt;=_xlpm.inn)*IF(_xlpm.L_&gt;0,(_xlpm.du_+IF(_xlpm.dcx,0,EF144)&lt;=EL144+0.00001),1)*_xlpm.kz,0),_xlpm.r_,_xlfn._xlws.FILTER(_xlpm.sz,_xlpm.ok,"не подобрано"),INDEX(_xlpm.r_,1)))</f>
        <v>1.5</v>
      </c>
      <c r="EN144">
        <f t="shared" si="329"/>
        <v>1.5</v>
      </c>
      <c r="EO144" cm="1">
        <f t="array" ref="EO144">IF(OR(B144="",BZ144="",EC144&lt;&gt;1),"",_xlfn.LET(_xlpm.sz,Iдоп_S,_xlpm.t_,CHOOSE(EB144,Iдоп_1ж,Iдоп_2ж,Iдоп_3ж)*DZ144*EA144,_xlpm.ok,IFERROR((_xlpm.sz&gt;=MAX(1.5,CC144))*(_xlpm.t_&gt;=N(DT144)),0),_xlpm.r_,_xlfn._xlws.FILTER(_xlpm.sz,_xlpm.ok,""),INDEX(_xlpm.r_,1)))</f>
        <v>1.5</v>
      </c>
      <c r="EP144" s="6" cm="1">
        <f t="array" ref="EP144">IFERROR(ROUNDUP(N(EJ144)*(_xlfn.XLOOKUP(EO144,INDEX(Кабель_сопротивление,0,1),INDEX(Кабель_сопротивление,0,3))*N(P144)/EO144*N(CE144)+_xlfn.XLOOKUP(EO144,INDEX(Кабель_сопротивление,0,1),INDEX(Кабель_сопротивление,0,2))*N(P144)*N(EK144)/1000)*N(O144)/((Uн_лин/SQRT(3))*1000)*100,2),"")</f>
        <v>6.9999999999999993E-2</v>
      </c>
      <c r="EQ144">
        <f>IFERROR(2*ρкз_Cu*N(P144)/EO144,"")</f>
        <v>1.0169333333333335</v>
      </c>
      <c r="ER144">
        <f>IFERROR(VLOOKUP(EN144,Кабель_сопротивление,3,FALSE),"")</f>
        <v>2.2499999999999999E-2</v>
      </c>
      <c r="ES144">
        <f>IFERROR(VLOOKUP(EN144,Кабель_сопротивление,2,FALSE),"")</f>
        <v>0.11</v>
      </c>
      <c r="ET144">
        <f t="shared" si="330"/>
        <v>25</v>
      </c>
      <c r="EU144">
        <f t="shared" si="331"/>
        <v>0</v>
      </c>
      <c r="EV144">
        <f t="shared" si="332"/>
        <v>0.15151720656991402</v>
      </c>
      <c r="EW144" s="6">
        <f>IFERROR(ROUNDUP(EV144/IF(BV144=1,BU144,(Uн_лин/SQRT(3))*1000)*100,2),"")</f>
        <v>6.9999999999999993E-2</v>
      </c>
      <c r="EX144" t="str">
        <f>IFERROR(VLOOKUP(BZ144,Кабель_обозначение,2,FALSE),"")</f>
        <v>ВВГнг(А)-LS</v>
      </c>
      <c r="EY144" t="str">
        <f t="shared" si="333"/>
        <v>ВВГнг(А)-LS (3х1,5)</v>
      </c>
      <c r="EZ144" t="str">
        <f t="shared" si="334"/>
        <v>ВВГнг(А)-LS (3х1,5)
L=29-0,07%</v>
      </c>
      <c r="FA144">
        <f>IFERROR(2*ρкз_Cu*P144/EN144,"")</f>
        <v>1.0169333333333335</v>
      </c>
      <c r="FB144">
        <f t="shared" si="335"/>
        <v>0.33833333333333337</v>
      </c>
      <c r="FC144" s="6" t="str">
        <f>IFERROR(IF(OR(B144="",BV144=1,NOT(ISNUMBER(EN144)),N(P144)=0),"",_xlfn.XLOOKUP(A144,Щиты[Щит],Щиты[Zпетли на шинах, Ом])+FA144),"")</f>
        <v/>
      </c>
      <c r="FD144" s="6" t="str">
        <f>IF(ISNUMBER(FC144),c_min*(Uн_лин*1000/SQRT(3))/FC144,"")</f>
        <v/>
      </c>
      <c r="FE144" s="6" t="str">
        <f>IFERROR(IF(OR(B144="",NOT(ISNUMBER(EN144))),"",1.05*(Uн_лин*1000/SQRT(3))/(_xlfn.XLOOKUP(A144,Щиты[Щит],Щиты[Zmax на шинах, Ом])+FB144)/1000),"")</f>
        <v/>
      </c>
      <c r="FF144" s="6" t="str">
        <f>IF(B144="","",IF(ISNUMBER(AC144),"Сил",IF(IFERROR(_xlfn.XLOOKUP(BC144,Коды_код,Коды_группа)&amp;"","")="","Быт",_xlfn.XLOOKUP(BC144,Коды_код,Коды_группа)&amp;"")))</f>
        <v>Сил</v>
      </c>
      <c r="FG144" s="6" t="str">
        <f t="shared" si="336"/>
        <v>Сил</v>
      </c>
      <c r="FH144" s="6">
        <f>IF(FG144="Щит","щит",IF(FG144="","",IF(FG144="Быт",IFERROR(_xlfn.XLOOKUP(A144,Щиты[Щит],Щиты[Кс быт]),1),IF(FG144="Сил",IF(ISNUMBER(AC144),AC144,IF(Методика="нормы 2026",IFERROR(_xlfn.XLOOKUP(A144,Щиты[Щит],Щиты[Кс силовых (табл. 7.5)]),1),1)),IF(OR(FG144="Пост",FG144="Отоп"),1,IF(FG144="ВНГ",0.7,0))))))</f>
        <v>0.5</v>
      </c>
      <c r="FI144">
        <f>IF(FG144="","",IF(AND(BP144=1,TRIM(AE144&amp;"")=""),IF(COUNTIFS(Линии[Щит],A144,Линии[Секция (1/2/3)],"&gt;=2")&gt;0,MIN(3,MAX(1,IFERROR(--BD144,1))),1),IFERROR(MIN(3,MAX(1,INT(--AE144))),1)))</f>
        <v>1</v>
      </c>
      <c r="FJ144">
        <f t="shared" si="337"/>
        <v>0.04</v>
      </c>
      <c r="FK144">
        <f t="shared" si="338"/>
        <v>0</v>
      </c>
      <c r="FL144">
        <f t="shared" si="339"/>
        <v>0.02</v>
      </c>
      <c r="FM144">
        <f t="shared" si="340"/>
        <v>0</v>
      </c>
      <c r="FN144">
        <f t="shared" si="341"/>
        <v>0</v>
      </c>
      <c r="FO144">
        <f t="shared" si="342"/>
        <v>0</v>
      </c>
      <c r="FP144">
        <f t="shared" si="343"/>
        <v>0.04</v>
      </c>
      <c r="FQ144">
        <f t="shared" si="344"/>
        <v>0.04</v>
      </c>
      <c r="FR144">
        <f t="shared" si="345"/>
        <v>3.2000000000000001E-2</v>
      </c>
      <c r="FS144">
        <f>IF(CG144=1,IF(AND(CH144=1,CW144=1),0,IF(AND(CS144&lt;&gt;"",CS144=BA144,CW144=1),SUMIFS(Линии[_Р линии, кВт],Линии[_блок УЗО],BA144,Линии[Щит],A144),N(BS144)+IF(AJ144="вручную",0,N(CK144)))),0)</f>
        <v>0.04</v>
      </c>
      <c r="FT144" t="str">
        <f t="shared" si="346"/>
        <v>L1</v>
      </c>
      <c r="FU144" t="str">
        <f>IF(B144="","",IF(CG144=0,IF(BA144=1,"",FW143),IF(AND(CH144=1,CW144=1,CS144&lt;&gt;""),IFERROR(_xlfn.XLOOKUP(CS144,Линии[_n],Линии[_фаза итог]),"L1"),IF(OR(N(DL144)&gt;=3,N(BX144)&gt;=3),"L1,L2,L3",IFERROR(_xlfn.TEXTBEFORE(_xlfn.TEXTAFTER(_xlfn.XLOOKUP(A144,Щиты[Щит],Щиты[_фазы авто]),";"&amp;BA144&amp;":"),";"),"L1")))))</f>
        <v>L1</v>
      </c>
      <c r="FV144" t="str">
        <f t="shared" si="347"/>
        <v>L1</v>
      </c>
      <c r="FW144" t="str">
        <f t="shared" si="348"/>
        <v>L1</v>
      </c>
      <c r="FX144" cm="1">
        <f t="array" ref="FX144">IFERROR(IF(CD144=2,_xlfn.IFS(BX144=3,VLOOKUP(BS144,Справочная_двигатели,3,FALSE),BX144=1,VLOOKUP(BS144,Справочная_двигатели,5,TRUE)),0),0)</f>
        <v>0</v>
      </c>
      <c r="FY144">
        <f>IFERROR(IF(CD144=3,VLOOKUP(BS144,Справочная_ЛЭД,2,TRUE),0),0)</f>
        <v>0</v>
      </c>
      <c r="FZ144" s="6">
        <f t="shared" si="349"/>
        <v>0</v>
      </c>
      <c r="GA144" t="str">
        <f>IF(B144="","",IF(TRIM(AH144&amp;"")&lt;&gt;"",IF(LOWER(TRIM(AH144&amp;""))="да","да","нет"),IF(IFERROR(_xlfn.XLOOKUP(BC144,Коды_код,Коды_пожарная),"")="да","да","нет")))</f>
        <v>нет</v>
      </c>
      <c r="GB144" t="str">
        <f t="shared" si="350"/>
        <v/>
      </c>
      <c r="GC144" t="str">
        <f t="shared" si="351"/>
        <v>основная</v>
      </c>
      <c r="GD144">
        <f>IF(AND(BP144=1,TRIM(AE144&amp;"")=""),IF(COUNTIFS(Линии[Щит],A144,Линии[Секция (1/2/3)],"&gt;=2")&gt;0,MIN(3,MAX(1,IFERROR(--BD144,1))),1),IFERROR(MIN(3,MAX(1,INT(--AE144))),1))</f>
        <v>1</v>
      </c>
      <c r="GE144" t="str" cm="1">
        <f t="array" ref="GE144">IF(B144="","",_xlfn.LET(_xlpm.t,IFERROR(_xlfn.XLOOKUP(1,(Шины[Шина]=GC144)*(((Шины[Щит]=A144)+(Шины[Щит]=""))&gt;0),Шины[Тип]),"")&amp;"",IF(_xlpm.t&lt;&gt;"",_xlpm.t,IF(ISNUMBER(SEARCH("ИБП",GC144)),"ИБП",IF(ISNUMBER(SEARCH("ДГУ",GC144)),"ДГУ","Ввод "&amp;GD144)))))</f>
        <v>Ввод 1</v>
      </c>
      <c r="GF144" t="str">
        <f t="shared" si="352"/>
        <v>Ввод 1</v>
      </c>
      <c r="GG144" t="str">
        <f>IF(BP144=0,"",IF(TRIM(AG144&amp;"")&lt;&gt;"",TRIM(AG144&amp;""),IF(OR(GE144="ИБП",GE144="ДГУ"),"I особая",_xlfn.XLOOKUP(A144,Щиты[Щит],Щиты[Категория шины «Ввод»],"III"))))</f>
        <v/>
      </c>
      <c r="GH144" t="str">
        <f>IF(A144="","",_xlfn.XLOOKUP(A144,Щиты[Щит],Щиты[Путь],""))</f>
        <v>|ГРЩ-ЖД|ЩОВ-2|</v>
      </c>
      <c r="GI144" t="str">
        <f>IF(B144="","",IF(AI144&lt;&gt;"",AI144,IF(IFERROR(_xlfn.XLOOKUP(BC144,Коды_код,Коды_вид)&amp;"","")="","Прочее",_xlfn.XLOOKUP(BC144,Коды_код,Коды_вид)&amp;"")))</f>
        <v>Кондиционирование и увлажнение</v>
      </c>
      <c r="GJ144">
        <f>IF(BM144="","",INT((BM144-1)/Столбцов_на_лист)+1)</f>
        <v>2</v>
      </c>
      <c r="GK144" t="str">
        <f t="shared" si="353"/>
        <v>ВВГнг(А)-LS (3х1,5) L=29-0,07%</v>
      </c>
      <c r="GL144">
        <f t="shared" si="354"/>
        <v>0.04</v>
      </c>
      <c r="GM144">
        <f t="shared" si="355"/>
        <v>0.22</v>
      </c>
      <c r="GN144">
        <f t="shared" si="356"/>
        <v>1</v>
      </c>
      <c r="GO144">
        <f t="shared" si="357"/>
        <v>0</v>
      </c>
      <c r="GP144">
        <f t="shared" si="358"/>
        <v>1</v>
      </c>
      <c r="GQ144">
        <f>IF(BM144="","",IF(AND(CG144=1,GP144=1),COUNTIFS(A$3:A144,A144,CG$3:CG144,1,GP$3:GP144,1),IF(OR(OR(BA144=1,A144&lt;&gt;A143),AJ144="вручную",GP144=0),"",IF(BA144=1,"",GR143))))</f>
        <v>14</v>
      </c>
      <c r="GR144">
        <f t="shared" si="359"/>
        <v>14</v>
      </c>
      <c r="GS144">
        <f>IF(B144="","",IFERROR(LOOKUP(INDEX(CHOOSE(EB144,Iдоп_1ж,Iдоп_2ж,Iдоп_3ж),MATCH(EN144,Iдоп_S,0))*DZ144*EA144,{6,10,16,20,25,32,40,50,63,80,100,125,160,200,250,315,400,500,630}),""))</f>
        <v>16</v>
      </c>
      <c r="GT144" t="str">
        <f t="shared" si="360"/>
        <v>QF14</v>
      </c>
      <c r="GU144" t="str">
        <f t="shared" si="361"/>
        <v>QF14</v>
      </c>
      <c r="GV144" t="str">
        <f t="shared" si="362"/>
        <v/>
      </c>
      <c r="GW144">
        <f t="shared" si="363"/>
        <v>0</v>
      </c>
      <c r="GX144" t="str">
        <f>IF(OR(B144="",DJ144=""),"",IFERROR(_xlfn.XLOOKUP(DJ144,Модули_умолч[Управление],Модули_умолч[Модель])&amp;"",""))</f>
        <v/>
      </c>
      <c r="GY144">
        <f>IF(DJ144="",1,IFERROR(MAX(0,N(_xlfn.XLOOKUP(DJ144,Модули_умолч[Управление],Модули_умолч[Каналов на линию]))),1))</f>
        <v>1</v>
      </c>
      <c r="GZ144" t="str">
        <f t="shared" si="364"/>
        <v/>
      </c>
      <c r="HA144" t="str">
        <f t="shared" si="365"/>
        <v/>
      </c>
      <c r="HB144" t="str">
        <f t="shared" si="366"/>
        <v/>
      </c>
      <c r="HC144">
        <f>IF(HB144="",0,IFERROR(N(VLOOKUP(HB144,Модули_спр,3,FALSE)),0))</f>
        <v>0</v>
      </c>
      <c r="HD144" t="str">
        <f t="shared" si="367"/>
        <v/>
      </c>
      <c r="HE144" t="str">
        <f t="shared" si="368"/>
        <v/>
      </c>
      <c r="HF144" t="str">
        <f>IF(OR(HE144="",HE144="-"),"",IFERROR(VLOOKUP(HE144,Модули_спр,2,FALSE),"R"))</f>
        <v/>
      </c>
      <c r="HG144" t="str">
        <f>IF(HF144="","",HF144&amp;"."&amp;COUNTIFS(A$3:A144,A144,HF$3:HF144,HF144))</f>
        <v/>
      </c>
      <c r="HH144" t="str">
        <f t="shared" si="369"/>
        <v/>
      </c>
      <c r="HI144" t="str">
        <f t="shared" si="370"/>
        <v/>
      </c>
      <c r="HJ144" t="str">
        <f t="shared" si="371"/>
        <v/>
      </c>
      <c r="HK144" t="str">
        <f t="shared" si="372"/>
        <v/>
      </c>
      <c r="HL144">
        <f t="shared" si="373"/>
        <v>1</v>
      </c>
      <c r="HM144" t="str">
        <f>IF(HL144=1,"XT"&amp;COUNTIFS(A$3:A144,A144,HL$3:HL144,1),"")</f>
        <v>XT14</v>
      </c>
      <c r="HN144" t="str">
        <f t="shared" si="374"/>
        <v/>
      </c>
      <c r="HO144" t="str">
        <f t="shared" si="375"/>
        <v>QF14</v>
      </c>
      <c r="HP144" t="str">
        <f t="shared" si="376"/>
        <v/>
      </c>
      <c r="HQ144" t="str">
        <f t="shared" si="377"/>
        <v>ok</v>
      </c>
      <c r="HR144" t="str">
        <f>IF(OR(HJ144="",HH144=""),"",IF(HJ144+MAX(0,GY144-1)&gt;IFERROR(VLOOKUP(HI144,Модули_спр,3,FALSE),99),"ЛИШНИЙ КАНАЛ",IF(AND(AL144&lt;&gt;"=",GY144&gt;0,COUNTIFS(Линии[_модуль гр.],HH144,Линии[Канал (итог)],HJ144,Линии[Канал],"&lt;&gt;=",Линии[Щит],A144)&gt;1),"ДУБЛЬ КАНАЛА","")))</f>
        <v/>
      </c>
      <c r="HS144" s="6" t="str">
        <f t="shared" si="378"/>
        <v/>
      </c>
      <c r="HT144">
        <f t="shared" si="379"/>
        <v>10</v>
      </c>
      <c r="HU144" t="str">
        <f t="shared" si="380"/>
        <v/>
      </c>
      <c r="HV144">
        <f t="shared" si="381"/>
        <v>0.37660254037844382</v>
      </c>
      <c r="HW144">
        <f t="shared" si="382"/>
        <v>0</v>
      </c>
      <c r="HX144">
        <f t="shared" si="383"/>
        <v>0</v>
      </c>
      <c r="HY144">
        <f t="shared" si="384"/>
        <v>0</v>
      </c>
      <c r="HZ144">
        <f t="shared" si="385"/>
        <v>0</v>
      </c>
      <c r="IA144">
        <f t="shared" si="386"/>
        <v>0</v>
      </c>
      <c r="IB144">
        <f t="shared" si="387"/>
        <v>0</v>
      </c>
      <c r="IC144" t="str">
        <f t="shared" si="388"/>
        <v/>
      </c>
      <c r="ID144" t="str" cm="1">
        <f t="array" ref="ID144">IF(IC144="","",_xlfn.LET(_xlpm.tk,_xlfn.TEXTSPLIT(SUBSTITUTE(SUBSTITUTE(IC144,";"," "),"→"," ")," ",,TRUE),_xlpm.w_,_xlfn._xlws.FILTER(_xlpm.tk,ISNUMBER(--LEFT(_xlpm.tk,1))*((ISNUMBER(SEARCH("W",_xlpm.tk))+ISNUMBER(SEARCH("Вт",_xlpm.tk)))&gt;0),""),IFERROR(--SUBSTITUTE(SUBSTITUTE(UPPER(INDEX(_xlpm.w_,1)),"W",""),"ВТ",""),"")))</f>
        <v/>
      </c>
      <c r="IE144" t="str" cm="1">
        <f t="array" ref="IE144">IF(IC144="","",_xlfn.LET(_xlpm.tk,_xlfn.TEXTSPLIT(SUBSTITUTE(SUBSTITUTE(IC144,";"," "),"→"," ")," ",,TRUE),_xlpm.v_,_xlfn._xlws.FILTER(_xlpm.tk,ISNUMBER(--LEFT(_xlpm.tk,1))*((ISNUMBER(SEARCH("V",_xlpm.tk))+(RIGHT(UPPER(_xlpm.tk))="В"))&gt;0),""),IFERROR(--SUBSTITUTE(SUBSTITUTE(UPPER(INDEX(_xlpm.v_,1)),"V",""),"В",""),"")))</f>
        <v/>
      </c>
      <c r="IF144" s="6" t="str">
        <f>IF(OR(BV144=0,HI144="",HJ144=""),"",IFERROR(N(_xlfn.XLOOKUP(HI144,Каталог!$C$4:$C$500,Каталог!$Q$4:$Q$500)),""))</f>
        <v/>
      </c>
      <c r="IG144" s="6" t="str">
        <f>IF(N(IF144)=0,"",SUMIFS(Линии[Iр, А],Линии[Щит],A144,Линии[_модуль гр.],HH144,Линии[Канал (итог)],HJ144))</f>
        <v/>
      </c>
      <c r="IH144" t="str">
        <f>IF(AND(B144="",HO144=""),"",_xlfn.TEXTJOIN("; ",TRUE,IF(AND(B144&lt;&gt;"",FV144=""),"нет фазы",""),IF(AND(B144&lt;&gt;"",N(GL144)=0,FG144&lt;&gt;"Нет"),"нет мощности",""),IF(AND(HN144&lt;&gt;"",COUNTIFS(Линии[Щит],A144,Линии[Клемма (итог)],HN144)&gt;1),"дубль клеммы "&amp;HN144,""),IF(AND(HQ144&lt;&gt;"",HQ144&lt;&gt;"ok"),HQ144,""),IF(HR144&lt;&gt;"",HR144,""),IF(AND(N(CB144)&gt;=4,N(BX144)=1),CB144&amp;" жил на 1 фазе",""),IF(AND(BC144="R",CG144=1,IF(CS144&lt;&gt;"",N(CV144)&gt;30,OR(N(DA144)=0,N(DA144)&gt;30))),"розетка без дифзащиты до 30 мА",""),IF(AND(CG144=1,N(DA144)&gt;0,ISNUMBER(T144)),IF(T144&gt;N(DA144)/3,"ток утечки "&amp;FIXED(T144,1)&amp;" мА &gt; 1/3 уставки ("&amp;DA144&amp;" мА)",""),""),IF(AND(CH144=1,CS144=""),"«узо»: нет строки с УЗО выше (УЗО 2P 40А 30мА в «Аппаратах»)",""),IF(AND(CS144&lt;&gt;"",CS144=BA144),IF(CT144="","впишите номинал УЗО (УЗО 2P 40А 30мА)",IF(N(CT144)&lt;N(DT144),"УЗО "&amp;CT144&amp;" А &lt; автомата "&amp;DT144&amp;" А перед ним",IF(N(CT144)&lt;N(CX144),"УЗО "&amp;CT144&amp;" А &lt; тока блока "&amp;FIXED(CX144,1)&amp;" А",""))),""),IF(AND(CS144&lt;&gt;"",CS144=BA144,ISNUMBER(CY144)),IF(CY144&gt;N(CV144)/3,"ток утечки блока УЗО "&amp;FIXED(CY144,1)&amp;" мА &gt; 1/3 уставки ("&amp;CV144&amp;" мА)",""),""),IF(AND(CG144=1,N(BV144)+N(IB144)&gt;0,IC144=""),"линии до 50 В без БП: впишите в «Аппараты» (БП 24V 480W)",""),IF(AND(CG144=1,ISNUMBER(ID144),ISNUMBER(U144)),IF(U144&gt;ID144,"БП "&amp;ID144&amp;" Вт &lt; нужно "&amp;U144&amp;" Вт (×"&amp;Запас_БП&amp;")",""),""),IF(AND(CG144=1,ISNUMBER(IE144),N(BV144)=1),IF(IE144&lt;&gt;N(BU144),"БП на "&amp;IE144&amp;" В, линия "&amp;BU144&amp;" В",""),""),IF(AND(N(IF144)&gt;0,N(IG144)&gt;N(IF144)),HH144&amp;" канал "&amp;HJ144&amp;": "&amp;FIXED(IG144,1)&amp;" А &gt; "&amp;IF144&amp;" А",""),IFERROR(IF(AND(ISNUMBER(Q144),Q144&gt;EL144),"потери "&amp;FIXED(Q144,1)&amp;" % &gt; "&amp;EL144&amp;" %",""),""),IFERROR(IF(LEFT(HU144,4)="мало","Iкз мало — отключение &gt; 0,4 с",""),""),IF(AND(B144&lt;&gt;"",BM144=""),"не на схеме",""),IF(AND(CG144=0,B144&lt;&gt;"",FV144&lt;&gt;"",IF(BA144=1,"",FW143)&lt;&gt;"",FV144&lt;&gt;IF(BA144=1,"",FW143)),"фаза не как у автомата группы ("&amp;IF(BA144=1,"",FW143)&amp;")","")))</f>
        <v/>
      </c>
      <c r="II144" s="6" t="str">
        <f>IF(OR(CG144=0,DQ144=""),"",_xlfn.LET(_xlpm.t,IFERROR(_xlfn.XLOOKUP(DQ144,Каталог!$U$4:$U$500,Каталог!$G$4:$G$500),""),_xlpm.k,SEARCH("кА",_xlpm.t),IFERROR(--TRIM(RIGHT(SUBSTITUTE(MID(_xlpm.t,MAX(1,_xlpm.k-4),_xlpm.k-MAX(1,_xlpm.k-4))," ",REPT(" ",9)),5)),"")))</f>
        <v/>
      </c>
      <c r="IJ144" t="str">
        <f>IF(OR(II144="",CG144=0),"",IF(_xlfn.XLOOKUP(A144,Щиты[Щит],Щиты[Iкз max на шинах, кА],"")="","",IF(II144&lt;_xlfn.XLOOKUP(A144,Щиты[Щит],Щиты[Iкз max на шинах, кА]),"Icu "&amp;II144&amp;" кА &lt; Iкз max","ok")))</f>
        <v/>
      </c>
      <c r="IK144" t="str">
        <f t="shared" si="389"/>
        <v/>
      </c>
      <c r="IL144" t="str">
        <f t="shared" si="390"/>
        <v>QF14</v>
      </c>
      <c r="IM144" t="str">
        <f t="shared" si="391"/>
        <v>QF14|кабель ВВГнг(А)-LS (3х1,5) → Внутренний блок кондиционирования Технический этаж Пом. №004Т</v>
      </c>
      <c r="IN144" t="str" cm="1">
        <f t="array" ref="IN144">IF(IM144="","",_xlfn.LET(_xlpm.nd,_xlfn.TEXTSPLIT(IM144,"|"),IF(COLUMNS(_xlpm.nd)&gt;1,A144&amp;"¦"&amp;INDEX(_xlpm.nd,1)&amp;"¦"&amp;INDEX(_xlpm.nd,2),"")))</f>
        <v>ЩОВ-2¦QF14¦кабель ВВГнг(А)-LS (3х1,5) → Внутренний блок кондиционирования Технический этаж Пом. №004Т</v>
      </c>
      <c r="IO144" t="str">
        <f t="shared" si="392"/>
        <v>K.3.004T.2¦Внутренний блок кондиционирования Технический этаж Пом. №004Т</v>
      </c>
      <c r="IP144" t="str" cm="1">
        <f t="array" ref="IP144">IF(IM144="","",_xlfn.LET(_xlpm.nd,_xlfn.TEXTSPLIT(IM144,"|"),IF(COLUMNS(_xlpm.nd)&gt;2,A144&amp;"¦"&amp;INDEX(_xlpm.nd,2)&amp;"¦"&amp;INDEX(_xlpm.nd,3),"")))</f>
        <v/>
      </c>
      <c r="IQ144" t="str">
        <f t="shared" si="393"/>
        <v/>
      </c>
      <c r="IR144" t="str" cm="1">
        <f t="array" ref="IR144">IF(IM144="","",_xlfn.LET(_xlpm.nd,_xlfn.TEXTSPLIT(IM144,"|"),IF(COLUMNS(_xlpm.nd)&gt;3,A144&amp;"¦"&amp;INDEX(_xlpm.nd,3)&amp;"¦"&amp;INDEX(_xlpm.nd,4),"")))</f>
        <v/>
      </c>
      <c r="IS144" t="str">
        <f t="shared" si="394"/>
        <v/>
      </c>
      <c r="IT144" t="str" cm="1">
        <f t="array" ref="IT144">IF(IM144="","",_xlfn.LET(_xlpm.nd,_xlfn.TEXTSPLIT(IM144,"|"),IF(COLUMNS(_xlpm.nd)&gt;4,A144&amp;"¦"&amp;INDEX(_xlpm.nd,4)&amp;"¦"&amp;INDEX(_xlpm.nd,5),"")))</f>
        <v/>
      </c>
      <c r="IU144" t="str">
        <f t="shared" si="395"/>
        <v/>
      </c>
      <c r="IV144" t="str" cm="1">
        <f t="array" ref="IV144">IF(IM144="","",_xlfn.LET(_xlpm.nd,_xlfn.TEXTSPLIT(IM144,"|"),IF(COLUMNS(_xlpm.nd)&gt;5,A144&amp;"¦"&amp;INDEX(_xlpm.nd,5)&amp;"¦"&amp;INDEX(_xlpm.nd,6),"")))</f>
        <v/>
      </c>
      <c r="IW144" t="str">
        <f t="shared" si="396"/>
        <v/>
      </c>
      <c r="IX144" t="str" cm="1">
        <f t="array" ref="IX144">IF(IM144="","",_xlfn.LET(_xlpm.nd,_xlfn.TEXTSPLIT(IM144,"|"),IF(COLUMNS(_xlpm.nd)&gt;6,A144&amp;"¦"&amp;INDEX(_xlpm.nd,6)&amp;"¦"&amp;INDEX(_xlpm.nd,7),"")))</f>
        <v/>
      </c>
      <c r="IY144" t="str">
        <f t="shared" si="397"/>
        <v/>
      </c>
      <c r="IZ144" t="str">
        <f t="shared" si="398"/>
        <v/>
      </c>
      <c r="JA144" t="str">
        <f t="shared" si="399"/>
        <v>QF14</v>
      </c>
      <c r="JB144">
        <f t="shared" si="400"/>
        <v>0</v>
      </c>
      <c r="JC144">
        <f t="shared" si="401"/>
        <v>0</v>
      </c>
      <c r="JD144" t="str">
        <f t="shared" si="402"/>
        <v/>
      </c>
      <c r="JE144" t="str">
        <f t="shared" si="403"/>
        <v/>
      </c>
      <c r="JF144" t="str">
        <f t="shared" si="404"/>
        <v/>
      </c>
      <c r="JG144" t="str">
        <f t="shared" si="405"/>
        <v/>
      </c>
      <c r="JH144">
        <f>IF(B144="","",IFERROR(_xlfn.XLOOKUP(B144,Коды_код,Коды_уго),IFERROR(_xlfn.XLOOKUP(BC144,Коды_код,Коды_уго),IFERROR(_xlfn.XLOOKUP(LEFT(BC144,2),Коды_код,Коды_уго),""))))</f>
        <v>0</v>
      </c>
      <c r="JI144" t="str">
        <f>IF(B144="","",IF(OR(JH144="",JH144=0),"BOX",IFERROR(IF(VLOOKUP(JH144,УГО_блоки,3,FALSE)&amp;""&lt;&gt;"",VLOOKUP(JH144,УГО_блоки,3,FALSE),VLOOKUP(JH144,УГО_блоки,2,FALSE)),JH144)))</f>
        <v>BOX</v>
      </c>
      <c r="JJ144">
        <f t="shared" si="406"/>
        <v>1</v>
      </c>
      <c r="JK144" t="str">
        <f>IF(DQ144="","",IF(COUNTIF(DQ$3:DQ144,DQ144)=1,MAX(JK$2:JK143)+1,""))</f>
        <v/>
      </c>
      <c r="JL144" t="str">
        <f>IF(DE144="","",IF(COUNTIF(DE$3:DE144,DE144)+COUNTIF(DF$2:DF143,DE144)+COUNTIF(DG$2:DG143,DE144)=1,MAX(JL$2:JN143)+1,""))</f>
        <v/>
      </c>
      <c r="JM144" t="str">
        <f>IF(DF144="","",IF(COUNTIF(DE$3:DE144,DF144)+COUNTIF(DF$3:DF144,DF144)+COUNTIF(DG$2:DG143,DF144)=1,MAX(JL$2:JN143,JL144)+1,""))</f>
        <v/>
      </c>
      <c r="JN144" t="str">
        <f>IF(DG144="","",IF(COUNTIF(DE$3:DE144,DG144)+COUNTIF(DF$3:DF144,DG144)+COUNTIF(DG$3:DG144,DG144)=1,MAX(JL$2:JN143,JL144,JM144)+1,""))</f>
        <v/>
      </c>
      <c r="JO144" t="str">
        <f t="shared" si="407"/>
        <v>3х1,5</v>
      </c>
      <c r="JP144" t="str">
        <f>IF(JO144="","",IF(COUNTIF(JO$3:JO144,JO144)=1,MAX(JP$2:JP143)+1,""))</f>
        <v/>
      </c>
      <c r="JQ144" t="str">
        <f>IF(HG144="","",COUNTIF(HG$3:HG144,"?*"))</f>
        <v/>
      </c>
      <c r="JR144" t="str">
        <f>IF(OR(HG144="",HI144=""),"",IF(COUNTIFS(HG$3:HG144,"?*",HI$3:HI144,HI144)=1,MAX(JR$2:JR143)+1,""))</f>
        <v/>
      </c>
      <c r="JS144">
        <f t="shared" si="408"/>
        <v>0</v>
      </c>
      <c r="JT144">
        <f>IF(B144="","",COUNTIF(B$3:B144,"?*"))</f>
        <v>142</v>
      </c>
      <c r="JU144">
        <f>IF(HL144&lt;&gt;1,0,_xlfn.LET(_xlpm.k,MAX(IFERROR(--_xlfn.XLOOKUP(B144,Коды_код,Коды_3L),0),IFERROR(--_xlfn.XLOOKUP(BC144,Коды_код,Коды_3L),0),IFERROR(--_xlfn.XLOOKUP(LEFT(BC144,2),Коды_код,Коды_3L),0)),IF(_xlpm.k&gt;0,_xlpm.k,IF(IFERROR(--LEFT(SUBSTITUTE(JO144,"x","х"),FIND("х",SUBSTITUTE(JO144,"x","х"))-1),3)&gt;3,Каталог!$S$9,1))))</f>
        <v>1</v>
      </c>
      <c r="JV144">
        <f t="shared" si="409"/>
        <v>0</v>
      </c>
      <c r="JW144" t="str">
        <f t="shared" si="410"/>
        <v>авто</v>
      </c>
      <c r="JX144" t="str">
        <f t="shared" si="411"/>
        <v/>
      </c>
      <c r="JY144">
        <f t="shared" si="412"/>
        <v>0</v>
      </c>
      <c r="JZ144">
        <f t="shared" si="413"/>
        <v>1</v>
      </c>
    </row>
    <row r="145" spans="1:286" x14ac:dyDescent="0.3">
      <c r="A145" t="s">
        <v>751</v>
      </c>
      <c r="B145" t="s">
        <v>1454</v>
      </c>
      <c r="C145" t="s">
        <v>1689</v>
      </c>
      <c r="D145">
        <v>1</v>
      </c>
      <c r="E145">
        <v>0.27</v>
      </c>
      <c r="G145" t="str">
        <f>Линии[[#This Row],[_авто автомат]]</f>
        <v>1P С6А</v>
      </c>
      <c r="H145" t="str">
        <f>Линии[[#This Row],[_авто управление]]</f>
        <v/>
      </c>
      <c r="I145" t="str">
        <f>Линии[[#This Row],[_авто аппараты]]</f>
        <v/>
      </c>
      <c r="J145">
        <v>1.5</v>
      </c>
      <c r="K145">
        <v>13</v>
      </c>
      <c r="L145" t="str">
        <f>Линии[[#This Row],[_авто фаза]]</f>
        <v>L1</v>
      </c>
      <c r="M145" t="s">
        <v>484</v>
      </c>
      <c r="N145" t="str">
        <f t="shared" si="276"/>
        <v/>
      </c>
      <c r="O145" s="6" cm="1">
        <f t="array" ref="O145">IF(B145="","",IF(BH145&lt;&gt;"",IFERROR(_xlfn.XLOOKUP(BH145,Щиты[Щит],Щиты[Iр, А]),""),IF(BP145=1,IF(OR(N(_xlfn.XLOOKUP(A145,Щиты[Щит],Щиты[Вводов],1))&lt;=1,LOWER(TRIM(_xlfn.XLOOKUP(A145,Щиты[Щит],Щиты[АВР],"")&amp;""))="да"),IFERROR(_xlfn.XLOOKUP(A145,Щиты[Щит],Щиты[Iр, А]),""),IFERROR(N(BS145)*_xlfn.XLOOKUP(A145,Щиты[Щит],Щиты[Кс итог])/(SQRT(3)*Uн_лин*_xlfn.XLOOKUP(A145,Щиты[Щит],Щиты[cos φ])),"")),IF(BV145=1,IFERROR(BS145*1000/BU145,""),IFERROR(_xlfn.IFS(BX145=1,BS145/((Uн_лин/SQRT(3))*CE145),BX145=3,BS145/(SQRT(3)*Uн_лин*CE145)),"")))))</f>
        <v>1.46141786888624</v>
      </c>
      <c r="P145" s="7">
        <f>IF(B145="","",IFERROR(IF(VLOOKUP(BC145,Потребители_обозначение,4,FALSE)=1,VLOOKUP(BC145,Потребители_обозначение,3,FALSE)*(MAX(1,N(D145))*2-1)+EI145+VLOOKUP(BE145,Этаж_обозначение,3,FALSE)+VLOOKUP(BE145,Этаж_обозначение,4,FALSE),VLOOKUP(BC145,Потребители_обозначение,3,FALSE)*(MAX(1,N(D145))*2-1)+EI145),EI145))</f>
        <v>17</v>
      </c>
      <c r="Q145" s="6">
        <f t="shared" si="277"/>
        <v>1.4</v>
      </c>
      <c r="R145" t="str">
        <f t="shared" si="278"/>
        <v>ВВГнг(А)-LS (3х1,5)</v>
      </c>
      <c r="S145" t="str">
        <f>IF(BM145="","",IF(BN145="вводной узел","узел ","")&amp;"л."&amp;(INT((BM145-1)/Столбцов_на_лист)+1)&amp;" / "&amp;(MOD(BM145-1,Столбцов_на_лист)+1))</f>
        <v>л.2 / 12</v>
      </c>
      <c r="T145" s="119">
        <f t="shared" si="279"/>
        <v>0.8</v>
      </c>
      <c r="U145" s="7" t="str">
        <f>IF(OR(CG145=0,N(BV145)+N(IB145)=0),"",ROUNDUP(Запас_БП*(N(HY145)+N(HZ145)),0))</f>
        <v/>
      </c>
      <c r="V145" s="119" t="str">
        <f t="shared" si="280"/>
        <v/>
      </c>
      <c r="W145" s="7" t="str">
        <f>IFERROR(IF(OR(B145="",BP145=1,BV145=1,NOT(ISNUMBER(EN145)),N(DT145)=0),"",MAX(0,ROUNDDOWN((c_min*(Uн_лин*1000/SQRT(3))/(HT145*N(DT145))-_xlfn.XLOOKUP(A145,Щиты[Щит],Щиты[Zпетли на шинах, Ом]))*EN145/(2*ρкз_Cu),0))),"")</f>
        <v/>
      </c>
      <c r="Y145" t="str">
        <f>Линии[[#This Row],[_авто утечка]]</f>
        <v/>
      </c>
      <c r="Z145">
        <v>1</v>
      </c>
      <c r="AA145">
        <v>230</v>
      </c>
      <c r="AB145" t="s">
        <v>598</v>
      </c>
      <c r="AC145">
        <v>0.5</v>
      </c>
      <c r="AG145" t="s">
        <v>810</v>
      </c>
      <c r="AI145" t="s">
        <v>580</v>
      </c>
      <c r="AK145" t="str">
        <f>Линии[[#This Row],[_авто модуль]]</f>
        <v/>
      </c>
      <c r="AM145">
        <v>29</v>
      </c>
      <c r="AN145" t="s">
        <v>11</v>
      </c>
      <c r="AO145">
        <v>3</v>
      </c>
      <c r="AQ145">
        <v>4</v>
      </c>
      <c r="AR145">
        <v>13</v>
      </c>
      <c r="AT145">
        <v>1</v>
      </c>
      <c r="BA145" cm="1">
        <f t="array" ref="BA145">ROW()-ROW(Линии[#Headers])</f>
        <v>143</v>
      </c>
      <c r="BC145" s="6" t="str">
        <f t="shared" si="281"/>
        <v>В</v>
      </c>
      <c r="BD145" t="str">
        <f t="shared" si="282"/>
        <v>1</v>
      </c>
      <c r="BE145" t="str">
        <f t="shared" si="283"/>
        <v>1</v>
      </c>
      <c r="BF145" t="str">
        <f t="shared" si="284"/>
        <v/>
      </c>
      <c r="BG145" t="str">
        <f t="shared" si="285"/>
        <v/>
      </c>
      <c r="BH145" t="str">
        <f>IF(X145&lt;&gt;"",X145,IF(AND(B145&lt;&gt;"",B145&lt;&gt;A145,ISNUMBER(_xlfn.XMATCH(B145,Щиты[Щит]))),B145,""))</f>
        <v/>
      </c>
      <c r="BI145" t="str" cm="1">
        <f t="array" ref="BI145">IF(B145="","",IF(BH145&lt;&gt;"","Щит "&amp;BH145,_xlfn.LET(_xlpm.nm,IFERROR(_xlfn.XLOOKUP(BC145,Коды_код,Коды_имя)&amp;"",""),_xlpm.md,IFERROR(N(_xlfn.XLOOKUP(BC145,Коды_код,Коды_режим)),1),_xlpm.ex,IF(Имя_режим="по экспликации",IFERROR(_xlfn.XLOOKUP(BE145&amp;"|"&amp;BG145,Экспликация[Этаж]&amp;"|"&amp;Экспликация[Помещение],Экспликация[Название])&amp;"",""),""),_xlpm.rm,IF(BG145="","",IF(_xlpm.ex&lt;&gt;"",". "&amp;_xlpm.ex&amp;IF(Имя_пом="нет"," ("&amp;BG145&amp;")"," (пом. "&amp;BG145&amp;")"),IF(Имя_пом="нет"," ",", пом. ")&amp;BG145)),IF(_xlpm.nm="","",IF(_xlpm.md=2,_xlpm.nm&amp;" шлейф "&amp;BE145,_xlpm.nm&amp;_xlpm.rm)))))</f>
        <v>Вытяжная установка шлейф 1</v>
      </c>
      <c r="BJ145" t="str">
        <f t="shared" si="286"/>
        <v>Вытяжная установка Технический этаж Пом. №001Т</v>
      </c>
      <c r="BK145">
        <f>IFERROR(_xlfn.XMATCH(A145,Щиты[Щит]),0)</f>
        <v>7</v>
      </c>
      <c r="BL145">
        <f>_xlfn.LET(_xlpm.k,IFERROR(_xlfn.XLOOKUP(A145,Щиты[Щит],Щиты[Мест под вводной узел]),""),IF(_xlpm.k="",Столбцов_на_лист,N(_xlpm.k)))</f>
        <v>12</v>
      </c>
      <c r="BM145">
        <f t="shared" si="287"/>
        <v>29</v>
      </c>
      <c r="BN145" t="str">
        <f t="shared" si="288"/>
        <v>линии</v>
      </c>
      <c r="BO145" s="6">
        <f>IFERROR(N(_xlfn.XLOOKUP(BC145,Коды_код,Коды_квт)),0)</f>
        <v>0</v>
      </c>
      <c r="BP145">
        <f t="shared" si="289"/>
        <v>0</v>
      </c>
      <c r="BQ145" t="str">
        <f>IF(B145="","",IF(BH145&lt;&gt;"",IFERROR(_xlfn.XLOOKUP(BH145,Щиты[Щит],Щиты[Руст, кВт]),0),IF(BP145=1,IF(OR(N(_xlfn.XLOOKUP(A145,Щиты[Щит],Щиты[Вводов],1))&lt;=1,LOWER(TRIM(_xlfn.XLOOKUP(A145,Щиты[Щит],Щиты[АВР],"")&amp;""))="да"),IFERROR(_xlfn.XLOOKUP(A145,Щиты[Щит],Щиты[Руст, кВт]),0),SUMIFS(Линии[_Р для вводов],Линии[Щит],A145,Линии[Источник для режимов],GF145)),IF(BO145&gt;0,ROUND(BO145*MAX(1,N(D145)),3),""))))</f>
        <v/>
      </c>
      <c r="BR145">
        <f t="shared" si="290"/>
        <v>0.27</v>
      </c>
      <c r="BS145" s="6">
        <f>IF(B145="","",IF(BH145&lt;&gt;"",IFERROR(_xlfn.XLOOKUP(BH145,Щиты[Щит],Щиты[Руст, кВт]),0),N(BR145)))</f>
        <v>0.27</v>
      </c>
      <c r="BT145" t="str">
        <f>IF(B145="","",IFERROR(IF(VLOOKUP(BC145,Потребители_обозначение,8,FALSE)=0,"",VLOOKUP(BC145,Потребители_обозначение,8,FALSE)),""))</f>
        <v/>
      </c>
      <c r="BU145">
        <f t="shared" si="291"/>
        <v>230</v>
      </c>
      <c r="BV145">
        <f t="shared" si="292"/>
        <v>0</v>
      </c>
      <c r="BW145">
        <f>IF(B145="","",IF(BH145&lt;&gt;"",3,IFERROR(IF(N(VLOOKUP(BC145,Потребители_обозначение,9,FALSE))=0,1,VLOOKUP(BC145,Потребители_обозначение,9,FALSE)),1)))</f>
        <v>1</v>
      </c>
      <c r="BX145">
        <f t="shared" si="293"/>
        <v>1</v>
      </c>
      <c r="BY145" t="str">
        <f>IF(B145="","",_xlfn.LET(_xlpm.bc,IFERROR(IF(VLOOKUP(BC145,Потребители_обозначение,6,FALSE)=0,"",VLOOKUP(BC145,Потребители_обозначение,6,FALSE)&amp;""),""),IF(AND(GA145="да",OR(_xlpm.bc="",_xlpm.bc="мс")),Марка_пож,IF(AND(_xlpm.bc="",BH145&lt;&gt;""),"мс",_xlpm.bc))))</f>
        <v/>
      </c>
      <c r="BZ145" t="str">
        <f t="shared" si="294"/>
        <v>мс</v>
      </c>
      <c r="CA145">
        <f>IF(B145="","",_xlfn.LET(_xlpm.cc,IFERROR(N(VLOOKUP(BC145,Потребители_обозначение,7,FALSE)),0),IF(_xlpm.cc&gt;0,_xlpm.cc,IF(BZ145="","",IF(BV145=1,2,IF(N(BX145)=3,5,3))))))</f>
        <v>3</v>
      </c>
      <c r="CB145">
        <f t="shared" si="295"/>
        <v>3</v>
      </c>
      <c r="CC145">
        <f>IFERROR(N(VLOOKUP(BC145,Потребители_обозначение,10,FALSE)),0)</f>
        <v>0</v>
      </c>
      <c r="CD145">
        <f>IFERROR(VLOOKUP(BC145,Потребители_обозначение,5,FALSE),0)</f>
        <v>1</v>
      </c>
      <c r="CE145" s="6" cm="1">
        <f t="array" ref="CE145">IF(B145="","",IF(BH145&lt;&gt;"",IFERROR(_xlfn.XLOOKUP(BH145,Щиты[Щит],Щиты[cos φ]),0.95),IF(BP145=1,IFERROR(_xlfn.XLOOKUP(A145,Щиты[Щит],Щиты[cos φ]),0.95),IF(ISNUMBER(AD145),AD145,IFERROR(IF(CD145=2,_xlfn.IFS(BX145=3,VLOOKUP(BS145,Справочная_двигатели,8,FALSE),BX145=1,VLOOKUP(BS145,Справочная_двигатели,10,TRUE)),IF(AND(Методика="нормы 2026",FG145="Сил"),0.8,0.95)),0.95)))))</f>
        <v>0.8</v>
      </c>
      <c r="CF145">
        <f t="shared" si="296"/>
        <v>0</v>
      </c>
      <c r="CG145">
        <f t="shared" si="297"/>
        <v>1</v>
      </c>
      <c r="CH145">
        <f t="shared" si="298"/>
        <v>0</v>
      </c>
      <c r="CI145">
        <f>IF(B145="","",IF(BV145=1,IFERROR(BS145/((Uн_лин/SQRT(3))*MAX(0.5,N(CE145))),0),N(O145)))</f>
        <v>1.46141786888624</v>
      </c>
      <c r="CJ145">
        <f t="shared" si="299"/>
        <v>0</v>
      </c>
      <c r="CK145">
        <f t="shared" si="300"/>
        <v>0</v>
      </c>
      <c r="CL145">
        <f t="shared" si="301"/>
        <v>0</v>
      </c>
      <c r="CM145">
        <f t="shared" si="302"/>
        <v>0</v>
      </c>
      <c r="CN145">
        <f t="shared" si="303"/>
        <v>0</v>
      </c>
      <c r="CO145">
        <f>IF(BC145="",0,_xlfn.LET(_xlpm.v,IFERROR(_xlfn.XLOOKUP(B145,Коды_код,Коды_мА),IFERROR(_xlfn.XLOOKUP(BC145,Коды_код,Коды_мА),IFERROR(_xlfn.XLOOKUP(LEFT(BC145,2),Коды_код,Коды_мА),""))),IF(_xlpm.v="да",30,IF(ISNUMBER(_xlpm.v),_xlpm.v,0))))</f>
        <v>0</v>
      </c>
      <c r="CP145" t="str">
        <f t="shared" si="304"/>
        <v/>
      </c>
      <c r="CQ145" t="str">
        <f>_xlfn.LET(_xlpm.k,IFERROR(_xlfn.XLOOKUP(BC145,Коды_код,Коды_утечка)&amp;"",""),IF(_xlpm.k="","дифавтомат",_xlpm.k))</f>
        <v>дифавтомат</v>
      </c>
      <c r="CR145" t="str" cm="1">
        <f t="array" ref="CR145">IF(CG145=0,"",_xlfn.LET(_xlpm.sg,TRIM(_xlfn.TEXTSPLIT(DD145&amp;"",";")),_xlpm.f_,_xlfn._xlws.FILTER(_xlpm.sg,LEFT(_xlpm.sg,3)="УЗО",""),IFERROR(INDEX(_xlpm.f_,1)&amp;"","")))</f>
        <v/>
      </c>
      <c r="CS145" t="str">
        <f t="shared" si="305"/>
        <v/>
      </c>
      <c r="CT145" s="6" t="str" cm="1">
        <f t="array" ref="CT145">IF(CR145="","",_xlfn.LET(_xlpm.tk,_xlfn.TEXTSPLIT(UPPER(CR145)," ",,TRUE),_xlpm.a_,_xlfn._xlws.FILTER(_xlpm.tk,ISNUMBER(--LEFT(_xlpm.tk,1))*((ISNUMBER(SEARCH("А",_xlpm.tk))+ISNUMBER(SEARCH("A",_xlpm.tk)))&gt;0)*NOT(ISNUMBER(SEARCH("МА",_xlpm.tk)))*NOT(ISNUMBER(SEARCH("MA",_xlpm.tk))),""),IFERROR(--SUBSTITUTE(SUBSTITUTE(INDEX(_xlpm.a_,1),"А",""),"A",""),"")))</f>
        <v/>
      </c>
      <c r="CU145" t="str" cm="1">
        <f t="array" ref="CU145">IF(CR145="","",_xlfn.LET(_xlpm.tk,_xlfn.TEXTSPLIT(UPPER(CR145)," ",,TRUE),_xlpm.a_,_xlfn._xlws.FILTER(_xlpm.tk,ISNUMBER(--LEFT(_xlpm.tk,1))*((ISNUMBER(SEARCH("МА",_xlpm.tk))+ISNUMBER(SEARCH("MA",_xlpm.tk)))&gt;0),""),IFERROR(--SUBSTITUTE(SUBSTITUTE(INDEX(_xlpm.a_,1),"МА",""),"MA",""),30)))</f>
        <v/>
      </c>
      <c r="CV145" t="str">
        <f>IF(CS145="","",IFERROR(_xlfn.XLOOKUP(CS145,Линии[_n],Линии[_УЗО, мА]),30))</f>
        <v/>
      </c>
      <c r="CW145">
        <f>IF(CS145="",0,IF(ISNUMBER(SEARCH("4P",IFERROR(_xlfn.XLOOKUP(CS145,Линии[_n],Линии[_УЗО строки])&amp;"",""))),0,1))</f>
        <v>0</v>
      </c>
      <c r="CX145" t="str">
        <f>IF(AND(CS145&lt;&gt;"",CS145=BA145),SUMIFS(Линии[_ток на 230 В],Линии[_блок УЗО],BA145,Линии[Щит],A145),"")</f>
        <v/>
      </c>
      <c r="CY145" t="str">
        <f>IF(AND(CS145&lt;&gt;"",CS145=BA145),SUMIFS(Линии[_ток утечки линии, мА],Линии[_блок УЗО],BA145,Линии[Щит],A145),"")</f>
        <v/>
      </c>
      <c r="CZ145">
        <f t="shared" si="306"/>
        <v>0</v>
      </c>
      <c r="DA145">
        <f t="shared" si="307"/>
        <v>0</v>
      </c>
      <c r="DB145">
        <f>IF(B145="",0,IFERROR(--_xlfn.XLOOKUP(B145,Коды_код,Коды_минавт),IFERROR(--_xlfn.XLOOKUP(BC145,Коды_код,Коды_минавт),IFERROR(--_xlfn.XLOOKUP(LEFT(BC145,2),Коды_код,Коды_минавт),0))))</f>
        <v>0</v>
      </c>
      <c r="DC145" t="str">
        <f>IF(B145="","",IFERROR(_xlfn.XLOOKUP(BC145,Коды_код,Коды_апп)&amp;"",""))</f>
        <v/>
      </c>
      <c r="DD145" t="str">
        <f t="shared" si="308"/>
        <v/>
      </c>
      <c r="DE145" t="str" cm="1">
        <f t="array" ref="DE145">IF(TRIM(DD145&amp;"")="","",IFERROR(TRIM(INDEX(_xlfn.TEXTSPLIT(DD145&amp;";;;",";"),1)),""))</f>
        <v/>
      </c>
      <c r="DF145" t="str" cm="1">
        <f t="array" ref="DF145">IF(TRIM(DD145&amp;"")="","",IFERROR(TRIM(INDEX(_xlfn.TEXTSPLIT(DD145&amp;";;;",";"),2)),""))</f>
        <v/>
      </c>
      <c r="DG145" t="str" cm="1">
        <f t="array" ref="DG145">IF(TRIM(DD145&amp;"")="","",IFERROR(TRIM(INDEX(_xlfn.TEXTSPLIT(DD145&amp;";;;",";"),3)),""))</f>
        <v/>
      </c>
      <c r="DH145">
        <f t="shared" si="309"/>
        <v>0</v>
      </c>
      <c r="DI145" t="str">
        <f>IF(B145="","",_xlfn.LET(_xlpm.t,LOWER(AZ145&amp;""),IF(ISNUMBER(SEARCH("dim",_xlpm.t)),"DIM",IF(ISNUMBER(SEARCH("dali",_xlpm.t)),"DALI",IF(OR(ISNUMBER(SEARCH("relay",_xlpm.t)),ISNUMBER(SEARCH("реле",_xlpm.t))),"Relay",IF(ISNUMBER(SEARCH("кнопк",_xlpm.t)),"",IFERROR(_xlfn.XLOOKUP(BC145,Коды_код,Коды_упр)&amp;"","")))))))</f>
        <v/>
      </c>
      <c r="DJ145" t="str">
        <f t="shared" si="310"/>
        <v/>
      </c>
      <c r="DK145">
        <f>IF(B145="","",_xlfn.LET(_xlpm.ig,IF(N(CX145)&gt;0,N(CX145),N(CI145)+IF(AJ145="вручную",0,N(CJ145))),_xlpm.n0,IFERROR(VLOOKUP(_xlpm.ig,Автомат_номиналы,2,TRUE),0),_xlpm.mn,MAX(DB145,IF(AJ145="вручную",0,N(CM145))),MAX(_xlpm.n0,_xlpm.mn,IF(DH145=1,Мин_автомат_БП,0))))</f>
        <v>6</v>
      </c>
      <c r="DL145">
        <f t="shared" si="311"/>
        <v>1</v>
      </c>
      <c r="DM145" t="str">
        <f t="shared" si="312"/>
        <v>1P</v>
      </c>
      <c r="DN145" t="str">
        <f>_xlfn.LET(_xlpm.cc,UPPER(TRIM(IFERROR(_xlfn.XLOOKUP(BC145,Коды_код,Коды_хар)&amp;"",""))),IF(OR(_xlpm.cc="B",_xlpm.cc="В"),"B",IF(_xlpm.cc="D","D","С")))</f>
        <v>С</v>
      </c>
      <c r="DO145" t="str">
        <f t="shared" si="313"/>
        <v>1P С6А</v>
      </c>
      <c r="DP145" t="str">
        <f t="shared" si="314"/>
        <v>1P С6А</v>
      </c>
      <c r="DQ145" t="str">
        <f t="shared" si="315"/>
        <v>1P С6А</v>
      </c>
      <c r="DR145" cm="1">
        <f t="array" ref="DR145">IF(DQ145="","",_xlfn.LET(_xlpm.t,SUBSTITUTE(SUBSTITUTE(SUBSTITUTE(UPPER(DQ145),"С","C"),"А","A"),"В","B"),_xlpm.tk,_xlfn.TEXTSPLIT(_xlpm.t," "),_xlpm.f,_xlfn._xlws.FILTER(_xlpm.tk,ISNUMBER(--MID(_xlpm.tk,2,1))*ISNUMBER(SEARCH(LEFT(_xlpm.tk,1)&amp;"#","B#C#D#"))*(LEN(_xlpm.tk)&gt;1),""),_xlpm.x,INDEX(_xlpm.f,1),IFERROR(--SUBSTITUTE(MID(_xlpm.x,2,9),"A",""),IFERROR(--SUBSTITUTE(INDEX(_xlfn._xlws.FILTER(_xlpm.tk,ISNUMBER(--SUBSTITUTE(_xlpm.tk,"A","")),""),1),"A",""),""))))</f>
        <v>6</v>
      </c>
      <c r="DS145" t="str">
        <f t="shared" si="316"/>
        <v>ok</v>
      </c>
      <c r="DT145">
        <f t="shared" si="317"/>
        <v>6</v>
      </c>
      <c r="DU145" t="str">
        <f t="shared" si="318"/>
        <v>1P С6А</v>
      </c>
      <c r="DV145">
        <f t="shared" si="319"/>
        <v>0</v>
      </c>
      <c r="DW145">
        <f t="shared" si="320"/>
        <v>0</v>
      </c>
      <c r="DX145">
        <f t="shared" si="321"/>
        <v>0</v>
      </c>
      <c r="DY145">
        <f t="shared" si="322"/>
        <v>1.46141786888624</v>
      </c>
      <c r="DZ145">
        <f t="shared" si="323"/>
        <v>1</v>
      </c>
      <c r="EA145">
        <f>IF(ISNUMBER(AP145),AP145,К_прокл)</f>
        <v>1</v>
      </c>
      <c r="EB145">
        <f t="shared" si="324"/>
        <v>2</v>
      </c>
      <c r="EC145">
        <f>IFERROR(N(VLOOKUP(BZ145,Кабель_обозначение,3,FALSE)),1)</f>
        <v>1</v>
      </c>
      <c r="ED145">
        <f>IFERROR(N(_xlfn.XLOOKUP(A145,Щиты[Щит],Щиты[ΔU до шин, %])),0)</f>
        <v>1.1399999999999999</v>
      </c>
      <c r="EE145" t="str">
        <f>IFERROR(_xlfn.XLOOKUP(A145,Щиты[Щит],Щиты[Zпетли на шинах, Ом]),"")</f>
        <v/>
      </c>
      <c r="EF145">
        <f>IFERROR(N(_xlfn.XLOOKUP(A145,Щиты[Щит],Щиты[ΔU до шин (подбор), %])),0)</f>
        <v>1.82</v>
      </c>
      <c r="EG145" t="str">
        <f>IFERROR(_xlfn.XLOOKUP(A145,Щиты[Щит],Щиты[Zпетли на шинах (подбор), Ом]),"")</f>
        <v/>
      </c>
      <c r="EH145" t="str">
        <f t="shared" si="325"/>
        <v/>
      </c>
      <c r="EI145">
        <f t="shared" si="326"/>
        <v>13</v>
      </c>
      <c r="EJ145">
        <f t="shared" si="327"/>
        <v>2</v>
      </c>
      <c r="EK145">
        <f t="shared" si="328"/>
        <v>0.6</v>
      </c>
      <c r="EL145" s="6">
        <f>IF(B145="","",IF(BV145=1,dU_LED,IF(IFERROR(_xlfn.XLOOKUP(BC145,Коды_код,Коды_уго),"")="Светильник",3,4)+IF(Методика="нормы 2026",MIN(0.5,MAX(0,N(P145)-100)*0.005),0)))</f>
        <v>4</v>
      </c>
      <c r="EM145" cm="1">
        <f t="array" ref="EM145">IF(OR(B145="",BZ145="",EC145&lt;&gt;1),"",_xlfn.LET(_xlpm.sz,Iдоп_S,_xlpm.t_,CHOOSE(EB145,Iдоп_1ж,Iдоп_2ж,Iдоп_3ж)*DZ145*EA145,_xlpm.dcx,BV145=1,_xlpm.inn,IF(_xlpm.dcx,N(O145),N(DT145)),_xlpm.smin,MAX(1.5,CC145),_xlpm.L_,N(P145)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145)/N(BU145)*100,999),IFERROR(N(EJ145)*(_xlpm.rho*_xlpm.L_/_xlpm.sz*N(CE145)+_xlpm.xx*_xlpm.L_*N(EK145)/1000)*N(O145)/((Uн_лин/SQRT(3))*1000)*100,999)),_xlpm.kz,IF(OR(_xlpm.dcx,DW145=1,NOT(ISNUMBER(EG145)),_xlpm.L_=0,_xlpm.inn=0),1,IFERROR(--(c_min*(Uн_лин*1000/SQRT(3))/(EG145+2*ρкз_Cu*_xlpm.L_/_xlpm.sz)&gt;=HT145*_xlpm.inn),0)),_xlpm.ok,IFERROR((_xlpm.sz&gt;=_xlpm.smin)*(_xlpm.t_&gt;=_xlpm.inn)*IF(_xlpm.L_&gt;0,(_xlpm.du_+IF(_xlpm.dcx,0,EF145)&lt;=EL145+0.00001),1)*_xlpm.kz,0),_xlpm.r_,_xlfn._xlws.FILTER(_xlpm.sz,_xlpm.ok,"не подобрано"),INDEX(_xlpm.r_,1)))</f>
        <v>1.5</v>
      </c>
      <c r="EN145">
        <f t="shared" si="329"/>
        <v>1.5</v>
      </c>
      <c r="EO145" cm="1">
        <f t="array" ref="EO145">IF(OR(B145="",BZ145="",EC145&lt;&gt;1),"",_xlfn.LET(_xlpm.sz,Iдоп_S,_xlpm.t_,CHOOSE(EB145,Iдоп_1ж,Iдоп_2ж,Iдоп_3ж)*DZ145*EA145,_xlpm.ok,IFERROR((_xlpm.sz&gt;=MAX(1.5,CC145))*(_xlpm.t_&gt;=N(DT145)),0),_xlpm.r_,_xlfn._xlws.FILTER(_xlpm.sz,_xlpm.ok,""),INDEX(_xlpm.r_,1)))</f>
        <v>1.5</v>
      </c>
      <c r="EP145" s="6" cm="1">
        <f t="array" ref="EP145">IFERROR(ROUNDUP(N(EJ145)*(_xlfn.XLOOKUP(EO145,INDEX(Кабель_сопротивление,0,1),INDEX(Кабель_сопротивление,0,3))*N(P145)/EO145*N(CE145)+_xlfn.XLOOKUP(EO145,INDEX(Кабель_сопротивление,0,1),INDEX(Кабель_сопротивление,0,2))*N(P145)*N(EK145)/1000)*N(O145)/((Uн_лин/SQRT(3))*1000)*100,2),"")</f>
        <v>0.26</v>
      </c>
      <c r="EQ145">
        <f>IFERROR(2*ρкз_Cu*N(P145)/EO145,"")</f>
        <v>0.59613333333333329</v>
      </c>
      <c r="ER145">
        <f>IFERROR(VLOOKUP(EN145,Кабель_сопротивление,3,FALSE),"")</f>
        <v>2.2499999999999999E-2</v>
      </c>
      <c r="ES145">
        <f>IFERROR(VLOOKUP(EN145,Кабель_сопротивление,2,FALSE),"")</f>
        <v>0.11</v>
      </c>
      <c r="ET145">
        <f t="shared" si="330"/>
        <v>13</v>
      </c>
      <c r="EU145">
        <f t="shared" si="331"/>
        <v>0</v>
      </c>
      <c r="EV145">
        <f t="shared" si="332"/>
        <v>0.59953791220336672</v>
      </c>
      <c r="EW145" s="6">
        <f>IFERROR(ROUNDUP(EV145/IF(BV145=1,BU145,(Uн_лин/SQRT(3))*1000)*100,2),"")</f>
        <v>0.26</v>
      </c>
      <c r="EX145" t="str">
        <f>IFERROR(VLOOKUP(BZ145,Кабель_обозначение,2,FALSE),"")</f>
        <v>ВВГнг(А)-LS</v>
      </c>
      <c r="EY145" t="str">
        <f t="shared" si="333"/>
        <v>ВВГнг(А)-LS (3х1,5)</v>
      </c>
      <c r="EZ145" t="str">
        <f t="shared" si="334"/>
        <v>ВВГнг(А)-LS (3х1,5)
L=17-0,26%</v>
      </c>
      <c r="FA145">
        <f>IFERROR(2*ρкз_Cu*P145/EN145,"")</f>
        <v>0.59613333333333329</v>
      </c>
      <c r="FB145">
        <f t="shared" si="335"/>
        <v>0.19833333333333336</v>
      </c>
      <c r="FC145" s="6" t="str">
        <f>IFERROR(IF(OR(B145="",BV145=1,NOT(ISNUMBER(EN145)),N(P145)=0),"",_xlfn.XLOOKUP(A145,Щиты[Щит],Щиты[Zпетли на шинах, Ом])+FA145),"")</f>
        <v/>
      </c>
      <c r="FD145" s="6" t="str">
        <f>IF(ISNUMBER(FC145),c_min*(Uн_лин*1000/SQRT(3))/FC145,"")</f>
        <v/>
      </c>
      <c r="FE145" s="6" t="str">
        <f>IFERROR(IF(OR(B145="",NOT(ISNUMBER(EN145))),"",1.05*(Uн_лин*1000/SQRT(3))/(_xlfn.XLOOKUP(A145,Щиты[Щит],Щиты[Zmax на шинах, Ом])+FB145)/1000),"")</f>
        <v/>
      </c>
      <c r="FF145" s="6" t="str">
        <f>IF(B145="","",IF(ISNUMBER(AC145),"Сил",IF(IFERROR(_xlfn.XLOOKUP(BC145,Коды_код,Коды_группа)&amp;"","")="","Быт",_xlfn.XLOOKUP(BC145,Коды_код,Коды_группа)&amp;"")))</f>
        <v>Сил</v>
      </c>
      <c r="FG145" s="6" t="str">
        <f t="shared" si="336"/>
        <v>Сил</v>
      </c>
      <c r="FH145" s="6">
        <f>IF(FG145="Щит","щит",IF(FG145="","",IF(FG145="Быт",IFERROR(_xlfn.XLOOKUP(A145,Щиты[Щит],Щиты[Кс быт]),1),IF(FG145="Сил",IF(ISNUMBER(AC145),AC145,IF(Методика="нормы 2026",IFERROR(_xlfn.XLOOKUP(A145,Щиты[Щит],Щиты[Кс силовых (табл. 7.5)]),1),1)),IF(OR(FG145="Пост",FG145="Отоп"),1,IF(FG145="ВНГ",0.7,0))))))</f>
        <v>0.5</v>
      </c>
      <c r="FI145">
        <f>IF(FG145="","",IF(AND(BP145=1,TRIM(AE145&amp;"")=""),IF(COUNTIFS(Линии[Щит],A145,Линии[Секция (1/2/3)],"&gt;=2")&gt;0,MIN(3,MAX(1,IFERROR(--BD145,1))),1),IFERROR(MIN(3,MAX(1,INT(--AE145))),1)))</f>
        <v>1</v>
      </c>
      <c r="FJ145">
        <f t="shared" si="337"/>
        <v>0.27</v>
      </c>
      <c r="FK145">
        <f t="shared" si="338"/>
        <v>0</v>
      </c>
      <c r="FL145">
        <f t="shared" si="339"/>
        <v>0.13500000000000001</v>
      </c>
      <c r="FM145">
        <f t="shared" si="340"/>
        <v>0</v>
      </c>
      <c r="FN145">
        <f t="shared" si="341"/>
        <v>0</v>
      </c>
      <c r="FO145">
        <f t="shared" si="342"/>
        <v>0</v>
      </c>
      <c r="FP145">
        <f t="shared" si="343"/>
        <v>0.27</v>
      </c>
      <c r="FQ145">
        <f t="shared" si="344"/>
        <v>0.27</v>
      </c>
      <c r="FR145">
        <f t="shared" si="345"/>
        <v>0.21600000000000003</v>
      </c>
      <c r="FS145">
        <f>IF(CG145=1,IF(AND(CH145=1,CW145=1),0,IF(AND(CS145&lt;&gt;"",CS145=BA145,CW145=1),SUMIFS(Линии[_Р линии, кВт],Линии[_блок УЗО],BA145,Линии[Щит],A145),N(BS145)+IF(AJ145="вручную",0,N(CK145)))),0)</f>
        <v>0.27</v>
      </c>
      <c r="FT145" t="str">
        <f t="shared" si="346"/>
        <v/>
      </c>
      <c r="FU145" t="str">
        <f>IF(B145="","",IF(CG145=0,IF(BA145=1,"",FW144),IF(AND(CH145=1,CW145=1,CS145&lt;&gt;""),IFERROR(_xlfn.XLOOKUP(CS145,Линии[_n],Линии[_фаза итог]),"L1"),IF(OR(N(DL145)&gt;=3,N(BX145)&gt;=3),"L1,L2,L3",IFERROR(_xlfn.TEXTBEFORE(_xlfn.TEXTAFTER(_xlfn.XLOOKUP(A145,Щиты[Щит],Щиты[_фазы авто]),";"&amp;BA145&amp;":"),";"),"L1")))))</f>
        <v>L1</v>
      </c>
      <c r="FV145" t="str">
        <f t="shared" si="347"/>
        <v>L1</v>
      </c>
      <c r="FW145" t="str">
        <f t="shared" si="348"/>
        <v>L1</v>
      </c>
      <c r="FX145" cm="1">
        <f t="array" ref="FX145">IFERROR(IF(CD145=2,_xlfn.IFS(BX145=3,VLOOKUP(BS145,Справочная_двигатели,3,FALSE),BX145=1,VLOOKUP(BS145,Справочная_двигатели,5,TRUE)),0),0)</f>
        <v>0</v>
      </c>
      <c r="FY145">
        <f>IFERROR(IF(CD145=3,VLOOKUP(BS145,Справочная_ЛЭД,2,TRUE),0),0)</f>
        <v>0</v>
      </c>
      <c r="FZ145" s="6">
        <f t="shared" si="349"/>
        <v>0</v>
      </c>
      <c r="GA145" t="str">
        <f>IF(B145="","",IF(TRIM(AH145&amp;"")&lt;&gt;"",IF(LOWER(TRIM(AH145&amp;""))="да","да","нет"),IF(IFERROR(_xlfn.XLOOKUP(BC145,Коды_код,Коды_пожарная),"")="да","да","нет")))</f>
        <v>нет</v>
      </c>
      <c r="GB145" t="str">
        <f t="shared" si="350"/>
        <v/>
      </c>
      <c r="GC145" t="str">
        <f t="shared" si="351"/>
        <v>основная</v>
      </c>
      <c r="GD145">
        <f>IF(AND(BP145=1,TRIM(AE145&amp;"")=""),IF(COUNTIFS(Линии[Щит],A145,Линии[Секция (1/2/3)],"&gt;=2")&gt;0,MIN(3,MAX(1,IFERROR(--BD145,1))),1),IFERROR(MIN(3,MAX(1,INT(--AE145))),1))</f>
        <v>1</v>
      </c>
      <c r="GE145" t="str" cm="1">
        <f t="array" ref="GE145">IF(B145="","",_xlfn.LET(_xlpm.t,IFERROR(_xlfn.XLOOKUP(1,(Шины[Шина]=GC145)*(((Шины[Щит]=A145)+(Шины[Щит]=""))&gt;0),Шины[Тип]),"")&amp;"",IF(_xlpm.t&lt;&gt;"",_xlpm.t,IF(ISNUMBER(SEARCH("ИБП",GC145)),"ИБП",IF(ISNUMBER(SEARCH("ДГУ",GC145)),"ДГУ","Ввод "&amp;GD145)))))</f>
        <v>Ввод 1</v>
      </c>
      <c r="GF145" t="str">
        <f t="shared" si="352"/>
        <v>Ввод 1</v>
      </c>
      <c r="GG145" t="str">
        <f>IF(BP145=0,"",IF(TRIM(AG145&amp;"")&lt;&gt;"",TRIM(AG145&amp;""),IF(OR(GE145="ИБП",GE145="ДГУ"),"I особая",_xlfn.XLOOKUP(A145,Щиты[Щит],Щиты[Категория шины «Ввод»],"III"))))</f>
        <v/>
      </c>
      <c r="GH145" t="str">
        <f>IF(A145="","",_xlfn.XLOOKUP(A145,Щиты[Щит],Щиты[Путь],""))</f>
        <v>|ГРЩ-ЖД|ЩОВ-2|</v>
      </c>
      <c r="GI145" t="str">
        <f>IF(B145="","",IF(AI145&lt;&gt;"",AI145,IF(IFERROR(_xlfn.XLOOKUP(BC145,Коды_код,Коды_вид)&amp;"","")="","Прочее",_xlfn.XLOOKUP(BC145,Коды_код,Коды_вид)&amp;"")))</f>
        <v>Вентиляция</v>
      </c>
      <c r="GJ145">
        <f>IF(BM145="","",INT((BM145-1)/Столбцов_на_лист)+1)</f>
        <v>2</v>
      </c>
      <c r="GK145" t="str">
        <f t="shared" si="353"/>
        <v>ВВГнг(А)-LS (3х1,5) L=17-0,26%</v>
      </c>
      <c r="GL145">
        <f t="shared" si="354"/>
        <v>0.27</v>
      </c>
      <c r="GM145">
        <f t="shared" si="355"/>
        <v>1.47</v>
      </c>
      <c r="GN145">
        <f t="shared" si="356"/>
        <v>1</v>
      </c>
      <c r="GO145">
        <f t="shared" si="357"/>
        <v>0</v>
      </c>
      <c r="GP145">
        <f t="shared" si="358"/>
        <v>1</v>
      </c>
      <c r="GQ145">
        <f>IF(BM145="","",IF(AND(CG145=1,GP145=1),COUNTIFS(A$3:A145,A145,CG$3:CG145,1,GP$3:GP145,1),IF(OR(OR(BA145=1,A145&lt;&gt;A144),AJ145="вручную",GP145=0),"",IF(BA145=1,"",GR144))))</f>
        <v>15</v>
      </c>
      <c r="GR145">
        <f t="shared" si="359"/>
        <v>15</v>
      </c>
      <c r="GS145">
        <f>IF(B145="","",IFERROR(LOOKUP(INDEX(CHOOSE(EB145,Iдоп_1ж,Iдоп_2ж,Iдоп_3ж),MATCH(EN145,Iдоп_S,0))*DZ145*EA145,{6,10,16,20,25,32,40,50,63,80,100,125,160,200,250,315,400,500,630}),""))</f>
        <v>16</v>
      </c>
      <c r="GT145" t="str">
        <f t="shared" si="360"/>
        <v>QF15</v>
      </c>
      <c r="GU145" t="str">
        <f t="shared" si="361"/>
        <v>QF15</v>
      </c>
      <c r="GV145" t="str">
        <f t="shared" si="362"/>
        <v/>
      </c>
      <c r="GW145">
        <f t="shared" si="363"/>
        <v>0</v>
      </c>
      <c r="GX145" t="str">
        <f>IF(OR(B145="",DJ145=""),"",IFERROR(_xlfn.XLOOKUP(DJ145,Модули_умолч[Управление],Модули_умолч[Модель])&amp;"",""))</f>
        <v/>
      </c>
      <c r="GY145">
        <f>IF(DJ145="",1,IFERROR(MAX(0,N(_xlfn.XLOOKUP(DJ145,Модули_умолч[Управление],Модули_умолч[Каналов на линию]))),1))</f>
        <v>1</v>
      </c>
      <c r="GZ145" t="str">
        <f t="shared" si="364"/>
        <v/>
      </c>
      <c r="HA145" t="str">
        <f t="shared" si="365"/>
        <v/>
      </c>
      <c r="HB145" t="str">
        <f t="shared" si="366"/>
        <v/>
      </c>
      <c r="HC145">
        <f>IF(HB145="",0,IFERROR(N(VLOOKUP(HB145,Модули_спр,3,FALSE)),0))</f>
        <v>0</v>
      </c>
      <c r="HD145" t="str">
        <f t="shared" si="367"/>
        <v/>
      </c>
      <c r="HE145" t="str">
        <f t="shared" si="368"/>
        <v/>
      </c>
      <c r="HF145" t="str">
        <f>IF(OR(HE145="",HE145="-"),"",IFERROR(VLOOKUP(HE145,Модули_спр,2,FALSE),"R"))</f>
        <v/>
      </c>
      <c r="HG145" t="str">
        <f>IF(HF145="","",HF145&amp;"."&amp;COUNTIFS(A$3:A145,A145,HF$3:HF145,HF145))</f>
        <v/>
      </c>
      <c r="HH145" t="str">
        <f t="shared" si="369"/>
        <v/>
      </c>
      <c r="HI145" t="str">
        <f t="shared" si="370"/>
        <v/>
      </c>
      <c r="HJ145" t="str">
        <f t="shared" si="371"/>
        <v/>
      </c>
      <c r="HK145" t="str">
        <f t="shared" si="372"/>
        <v/>
      </c>
      <c r="HL145">
        <f t="shared" si="373"/>
        <v>1</v>
      </c>
      <c r="HM145" t="str">
        <f>IF(HL145=1,"XT"&amp;COUNTIFS(A$3:A145,A145,HL$3:HL145,1),"")</f>
        <v>XT15</v>
      </c>
      <c r="HN145" t="str">
        <f t="shared" si="374"/>
        <v/>
      </c>
      <c r="HO145" t="str">
        <f t="shared" si="375"/>
        <v>QF15</v>
      </c>
      <c r="HP145" t="str">
        <f t="shared" si="376"/>
        <v/>
      </c>
      <c r="HQ145" t="str">
        <f t="shared" si="377"/>
        <v>ok</v>
      </c>
      <c r="HR145" t="str">
        <f>IF(OR(HJ145="",HH145=""),"",IF(HJ145+MAX(0,GY145-1)&gt;IFERROR(VLOOKUP(HI145,Модули_спр,3,FALSE),99),"ЛИШНИЙ КАНАЛ",IF(AND(AL145&lt;&gt;"=",GY145&gt;0,COUNTIFS(Линии[_модуль гр.],HH145,Линии[Канал (итог)],HJ145,Линии[Канал],"&lt;&gt;=",Линии[Щит],A145)&gt;1),"ДУБЛЬ КАНАЛА","")))</f>
        <v/>
      </c>
      <c r="HS145" s="6" t="str">
        <f t="shared" si="378"/>
        <v/>
      </c>
      <c r="HT145">
        <f t="shared" si="379"/>
        <v>10</v>
      </c>
      <c r="HU145" t="str">
        <f t="shared" si="380"/>
        <v/>
      </c>
      <c r="HV145">
        <f t="shared" si="381"/>
        <v>0.75456714755449605</v>
      </c>
      <c r="HW145">
        <f t="shared" si="382"/>
        <v>0</v>
      </c>
      <c r="HX145">
        <f t="shared" si="383"/>
        <v>0</v>
      </c>
      <c r="HY145">
        <f t="shared" si="384"/>
        <v>0</v>
      </c>
      <c r="HZ145">
        <f t="shared" si="385"/>
        <v>0</v>
      </c>
      <c r="IA145">
        <f t="shared" si="386"/>
        <v>0</v>
      </c>
      <c r="IB145">
        <f t="shared" si="387"/>
        <v>0</v>
      </c>
      <c r="IC145" t="str">
        <f t="shared" si="388"/>
        <v/>
      </c>
      <c r="ID145" t="str" cm="1">
        <f t="array" ref="ID145">IF(IC145="","",_xlfn.LET(_xlpm.tk,_xlfn.TEXTSPLIT(SUBSTITUTE(SUBSTITUTE(IC145,";"," "),"→"," ")," ",,TRUE),_xlpm.w_,_xlfn._xlws.FILTER(_xlpm.tk,ISNUMBER(--LEFT(_xlpm.tk,1))*((ISNUMBER(SEARCH("W",_xlpm.tk))+ISNUMBER(SEARCH("Вт",_xlpm.tk)))&gt;0),""),IFERROR(--SUBSTITUTE(SUBSTITUTE(UPPER(INDEX(_xlpm.w_,1)),"W",""),"ВТ",""),"")))</f>
        <v/>
      </c>
      <c r="IE145" t="str" cm="1">
        <f t="array" ref="IE145">IF(IC145="","",_xlfn.LET(_xlpm.tk,_xlfn.TEXTSPLIT(SUBSTITUTE(SUBSTITUTE(IC145,";"," "),"→"," ")," ",,TRUE),_xlpm.v_,_xlfn._xlws.FILTER(_xlpm.tk,ISNUMBER(--LEFT(_xlpm.tk,1))*((ISNUMBER(SEARCH("V",_xlpm.tk))+(RIGHT(UPPER(_xlpm.tk))="В"))&gt;0),""),IFERROR(--SUBSTITUTE(SUBSTITUTE(UPPER(INDEX(_xlpm.v_,1)),"V",""),"В",""),"")))</f>
        <v/>
      </c>
      <c r="IF145" s="6" t="str">
        <f>IF(OR(BV145=0,HI145="",HJ145=""),"",IFERROR(N(_xlfn.XLOOKUP(HI145,Каталог!$C$4:$C$500,Каталог!$Q$4:$Q$500)),""))</f>
        <v/>
      </c>
      <c r="IG145" s="6" t="str">
        <f>IF(N(IF145)=0,"",SUMIFS(Линии[Iр, А],Линии[Щит],A145,Линии[_модуль гр.],HH145,Линии[Канал (итог)],HJ145))</f>
        <v/>
      </c>
      <c r="IH145" t="str">
        <f>IF(AND(B145="",HO145=""),"",_xlfn.TEXTJOIN("; ",TRUE,IF(AND(B145&lt;&gt;"",FV145=""),"нет фазы",""),IF(AND(B145&lt;&gt;"",N(GL145)=0,FG145&lt;&gt;"Нет"),"нет мощности",""),IF(AND(HN145&lt;&gt;"",COUNTIFS(Линии[Щит],A145,Линии[Клемма (итог)],HN145)&gt;1),"дубль клеммы "&amp;HN145,""),IF(AND(HQ145&lt;&gt;"",HQ145&lt;&gt;"ok"),HQ145,""),IF(HR145&lt;&gt;"",HR145,""),IF(AND(N(CB145)&gt;=4,N(BX145)=1),CB145&amp;" жил на 1 фазе",""),IF(AND(BC145="R",CG145=1,IF(CS145&lt;&gt;"",N(CV145)&gt;30,OR(N(DA145)=0,N(DA145)&gt;30))),"розетка без дифзащиты до 30 мА",""),IF(AND(CG145=1,N(DA145)&gt;0,ISNUMBER(T145)),IF(T145&gt;N(DA145)/3,"ток утечки "&amp;FIXED(T145,1)&amp;" мА &gt; 1/3 уставки ("&amp;DA145&amp;" мА)",""),""),IF(AND(CH145=1,CS145=""),"«узо»: нет строки с УЗО выше (УЗО 2P 40А 30мА в «Аппаратах»)",""),IF(AND(CS145&lt;&gt;"",CS145=BA145),IF(CT145="","впишите номинал УЗО (УЗО 2P 40А 30мА)",IF(N(CT145)&lt;N(DT145),"УЗО "&amp;CT145&amp;" А &lt; автомата "&amp;DT145&amp;" А перед ним",IF(N(CT145)&lt;N(CX145),"УЗО "&amp;CT145&amp;" А &lt; тока блока "&amp;FIXED(CX145,1)&amp;" А",""))),""),IF(AND(CS145&lt;&gt;"",CS145=BA145,ISNUMBER(CY145)),IF(CY145&gt;N(CV145)/3,"ток утечки блока УЗО "&amp;FIXED(CY145,1)&amp;" мА &gt; 1/3 уставки ("&amp;CV145&amp;" мА)",""),""),IF(AND(CG145=1,N(BV145)+N(IB145)&gt;0,IC145=""),"линии до 50 В без БП: впишите в «Аппараты» (БП 24V 480W)",""),IF(AND(CG145=1,ISNUMBER(ID145),ISNUMBER(U145)),IF(U145&gt;ID145,"БП "&amp;ID145&amp;" Вт &lt; нужно "&amp;U145&amp;" Вт (×"&amp;Запас_БП&amp;")",""),""),IF(AND(CG145=1,ISNUMBER(IE145),N(BV145)=1),IF(IE145&lt;&gt;N(BU145),"БП на "&amp;IE145&amp;" В, линия "&amp;BU145&amp;" В",""),""),IF(AND(N(IF145)&gt;0,N(IG145)&gt;N(IF145)),HH145&amp;" канал "&amp;HJ145&amp;": "&amp;FIXED(IG145,1)&amp;" А &gt; "&amp;IF145&amp;" А",""),IFERROR(IF(AND(ISNUMBER(Q145),Q145&gt;EL145),"потери "&amp;FIXED(Q145,1)&amp;" % &gt; "&amp;EL145&amp;" %",""),""),IFERROR(IF(LEFT(HU145,4)="мало","Iкз мало — отключение &gt; 0,4 с",""),""),IF(AND(B145&lt;&gt;"",BM145=""),"не на схеме",""),IF(AND(CG145=0,B145&lt;&gt;"",FV145&lt;&gt;"",IF(BA145=1,"",FW144)&lt;&gt;"",FV145&lt;&gt;IF(BA145=1,"",FW144)),"фаза не как у автомата группы ("&amp;IF(BA145=1,"",FW144)&amp;")","")))</f>
        <v/>
      </c>
      <c r="II145" s="6" t="str">
        <f>IF(OR(CG145=0,DQ145=""),"",_xlfn.LET(_xlpm.t,IFERROR(_xlfn.XLOOKUP(DQ145,Каталог!$U$4:$U$500,Каталог!$G$4:$G$500),""),_xlpm.k,SEARCH("кА",_xlpm.t),IFERROR(--TRIM(RIGHT(SUBSTITUTE(MID(_xlpm.t,MAX(1,_xlpm.k-4),_xlpm.k-MAX(1,_xlpm.k-4))," ",REPT(" ",9)),5)),"")))</f>
        <v/>
      </c>
      <c r="IJ145" t="str">
        <f>IF(OR(II145="",CG145=0),"",IF(_xlfn.XLOOKUP(A145,Щиты[Щит],Щиты[Iкз max на шинах, кА],"")="","",IF(II145&lt;_xlfn.XLOOKUP(A145,Щиты[Щит],Щиты[Iкз max на шинах, кА]),"Icu "&amp;II145&amp;" кА &lt; Iкз max","ok")))</f>
        <v/>
      </c>
      <c r="IK145" t="str">
        <f t="shared" si="389"/>
        <v/>
      </c>
      <c r="IL145" t="str">
        <f t="shared" si="390"/>
        <v>QF15</v>
      </c>
      <c r="IM145" t="str">
        <f t="shared" si="391"/>
        <v>QF15|кабель ВВГнг(А)-LS (3х1,5) → Вытяжная установка Технический этаж Пом. №001Т</v>
      </c>
      <c r="IN145" t="str" cm="1">
        <f t="array" ref="IN145">IF(IM145="","",_xlfn.LET(_xlpm.nd,_xlfn.TEXTSPLIT(IM145,"|"),IF(COLUMNS(_xlpm.nd)&gt;1,A145&amp;"¦"&amp;INDEX(_xlpm.nd,1)&amp;"¦"&amp;INDEX(_xlpm.nd,2),"")))</f>
        <v>ЩОВ-2¦QF15¦кабель ВВГнг(А)-LS (3х1,5) → Вытяжная установка Технический этаж Пом. №001Т</v>
      </c>
      <c r="IO145" t="str">
        <f t="shared" si="392"/>
        <v>В.1¦Вытяжная установка Технический этаж Пом. №001Т</v>
      </c>
      <c r="IP145" t="str" cm="1">
        <f t="array" ref="IP145">IF(IM145="","",_xlfn.LET(_xlpm.nd,_xlfn.TEXTSPLIT(IM145,"|"),IF(COLUMNS(_xlpm.nd)&gt;2,A145&amp;"¦"&amp;INDEX(_xlpm.nd,2)&amp;"¦"&amp;INDEX(_xlpm.nd,3),"")))</f>
        <v/>
      </c>
      <c r="IQ145" t="str">
        <f t="shared" si="393"/>
        <v/>
      </c>
      <c r="IR145" t="str" cm="1">
        <f t="array" ref="IR145">IF(IM145="","",_xlfn.LET(_xlpm.nd,_xlfn.TEXTSPLIT(IM145,"|"),IF(COLUMNS(_xlpm.nd)&gt;3,A145&amp;"¦"&amp;INDEX(_xlpm.nd,3)&amp;"¦"&amp;INDEX(_xlpm.nd,4),"")))</f>
        <v/>
      </c>
      <c r="IS145" t="str">
        <f t="shared" si="394"/>
        <v/>
      </c>
      <c r="IT145" t="str" cm="1">
        <f t="array" ref="IT145">IF(IM145="","",_xlfn.LET(_xlpm.nd,_xlfn.TEXTSPLIT(IM145,"|"),IF(COLUMNS(_xlpm.nd)&gt;4,A145&amp;"¦"&amp;INDEX(_xlpm.nd,4)&amp;"¦"&amp;INDEX(_xlpm.nd,5),"")))</f>
        <v/>
      </c>
      <c r="IU145" t="str">
        <f t="shared" si="395"/>
        <v/>
      </c>
      <c r="IV145" t="str" cm="1">
        <f t="array" ref="IV145">IF(IM145="","",_xlfn.LET(_xlpm.nd,_xlfn.TEXTSPLIT(IM145,"|"),IF(COLUMNS(_xlpm.nd)&gt;5,A145&amp;"¦"&amp;INDEX(_xlpm.nd,5)&amp;"¦"&amp;INDEX(_xlpm.nd,6),"")))</f>
        <v/>
      </c>
      <c r="IW145" t="str">
        <f t="shared" si="396"/>
        <v/>
      </c>
      <c r="IX145" t="str" cm="1">
        <f t="array" ref="IX145">IF(IM145="","",_xlfn.LET(_xlpm.nd,_xlfn.TEXTSPLIT(IM145,"|"),IF(COLUMNS(_xlpm.nd)&gt;6,A145&amp;"¦"&amp;INDEX(_xlpm.nd,6)&amp;"¦"&amp;INDEX(_xlpm.nd,7),"")))</f>
        <v/>
      </c>
      <c r="IY145" t="str">
        <f t="shared" si="397"/>
        <v/>
      </c>
      <c r="IZ145" t="str">
        <f t="shared" si="398"/>
        <v/>
      </c>
      <c r="JA145" t="str">
        <f t="shared" si="399"/>
        <v>QF15</v>
      </c>
      <c r="JB145">
        <f t="shared" si="400"/>
        <v>0</v>
      </c>
      <c r="JC145">
        <f t="shared" si="401"/>
        <v>0</v>
      </c>
      <c r="JD145" t="str">
        <f t="shared" si="402"/>
        <v/>
      </c>
      <c r="JE145" t="str">
        <f t="shared" si="403"/>
        <v/>
      </c>
      <c r="JF145" t="str">
        <f t="shared" si="404"/>
        <v/>
      </c>
      <c r="JG145" t="str">
        <f t="shared" si="405"/>
        <v/>
      </c>
      <c r="JH145" t="str">
        <f>IF(B145="","",IFERROR(_xlfn.XLOOKUP(B145,Коды_код,Коды_уго),IFERROR(_xlfn.XLOOKUP(BC145,Коды_код,Коды_уго),IFERROR(_xlfn.XLOOKUP(LEFT(BC145,2),Коды_код,Коды_уго),""))))</f>
        <v>Привод (двигатель)</v>
      </c>
      <c r="JI145" t="str">
        <f>IF(B145="","",IF(OR(JH145="",JH145=0),"BOX",IFERROR(IF(VLOOKUP(JH145,УГО_блоки,3,FALSE)&amp;""&lt;&gt;"",VLOOKUP(JH145,УГО_блоки,3,FALSE),VLOOKUP(JH145,УГО_блоки,2,FALSE)),JH145)))</f>
        <v>MOTOR</v>
      </c>
      <c r="JJ145">
        <f t="shared" si="406"/>
        <v>1</v>
      </c>
      <c r="JK145" t="str">
        <f>IF(DQ145="","",IF(COUNTIF(DQ$3:DQ145,DQ145)=1,MAX(JK$2:JK144)+1,""))</f>
        <v/>
      </c>
      <c r="JL145" t="str">
        <f>IF(DE145="","",IF(COUNTIF(DE$3:DE145,DE145)+COUNTIF(DF$2:DF144,DE145)+COUNTIF(DG$2:DG144,DE145)=1,MAX(JL$2:JN144)+1,""))</f>
        <v/>
      </c>
      <c r="JM145" t="str">
        <f>IF(DF145="","",IF(COUNTIF(DE$3:DE145,DF145)+COUNTIF(DF$3:DF145,DF145)+COUNTIF(DG$2:DG144,DF145)=1,MAX(JL$2:JN144,JL145)+1,""))</f>
        <v/>
      </c>
      <c r="JN145" t="str">
        <f>IF(DG145="","",IF(COUNTIF(DE$3:DE145,DG145)+COUNTIF(DF$3:DF145,DG145)+COUNTIF(DG$3:DG145,DG145)=1,MAX(JL$2:JN144,JL145,JM145)+1,""))</f>
        <v/>
      </c>
      <c r="JO145" t="str">
        <f t="shared" si="407"/>
        <v>3х1,5</v>
      </c>
      <c r="JP145" t="str">
        <f>IF(JO145="","",IF(COUNTIF(JO$3:JO145,JO145)=1,MAX(JP$2:JP144)+1,""))</f>
        <v/>
      </c>
      <c r="JQ145" t="str">
        <f>IF(HG145="","",COUNTIF(HG$3:HG145,"?*"))</f>
        <v/>
      </c>
      <c r="JR145" t="str">
        <f>IF(OR(HG145="",HI145=""),"",IF(COUNTIFS(HG$3:HG145,"?*",HI$3:HI145,HI145)=1,MAX(JR$2:JR144)+1,""))</f>
        <v/>
      </c>
      <c r="JS145">
        <f t="shared" si="408"/>
        <v>0</v>
      </c>
      <c r="JT145">
        <f>IF(B145="","",COUNTIF(B$3:B145,"?*"))</f>
        <v>143</v>
      </c>
      <c r="JU145">
        <f>IF(HL145&lt;&gt;1,0,_xlfn.LET(_xlpm.k,MAX(IFERROR(--_xlfn.XLOOKUP(B145,Коды_код,Коды_3L),0),IFERROR(--_xlfn.XLOOKUP(BC145,Коды_код,Коды_3L),0),IFERROR(--_xlfn.XLOOKUP(LEFT(BC145,2),Коды_код,Коды_3L),0)),IF(_xlpm.k&gt;0,_xlpm.k,IF(IFERROR(--LEFT(SUBSTITUTE(JO145,"x","х"),FIND("х",SUBSTITUTE(JO145,"x","х"))-1),3)&gt;3,Каталог!$S$9,1))))</f>
        <v>1</v>
      </c>
      <c r="JV145">
        <f t="shared" si="409"/>
        <v>0</v>
      </c>
      <c r="JW145" t="str">
        <f t="shared" si="410"/>
        <v>авто</v>
      </c>
      <c r="JX145" t="str">
        <f t="shared" si="411"/>
        <v/>
      </c>
      <c r="JY145">
        <f t="shared" si="412"/>
        <v>0</v>
      </c>
      <c r="JZ145">
        <f t="shared" si="413"/>
        <v>1</v>
      </c>
    </row>
    <row r="146" spans="1:286" x14ac:dyDescent="0.3">
      <c r="A146" t="s">
        <v>751</v>
      </c>
      <c r="B146" t="s">
        <v>1455</v>
      </c>
      <c r="C146" t="s">
        <v>1689</v>
      </c>
      <c r="D146">
        <v>1</v>
      </c>
      <c r="E146">
        <v>0.27</v>
      </c>
      <c r="G146" t="str">
        <f>Линии[[#This Row],[_авто автомат]]</f>
        <v>1P С6А</v>
      </c>
      <c r="H146" t="str">
        <f>Линии[[#This Row],[_авто управление]]</f>
        <v/>
      </c>
      <c r="I146" t="str">
        <f>Линии[[#This Row],[_авто аппараты]]</f>
        <v/>
      </c>
      <c r="J146">
        <v>1.5</v>
      </c>
      <c r="K146">
        <v>16</v>
      </c>
      <c r="L146" t="str">
        <f>Линии[[#This Row],[_авто фаза]]</f>
        <v>L2</v>
      </c>
      <c r="M146" t="s">
        <v>484</v>
      </c>
      <c r="N146" t="str">
        <f t="shared" si="276"/>
        <v/>
      </c>
      <c r="O146" s="6" cm="1">
        <f t="array" ref="O146">IF(B146="","",IF(BH146&lt;&gt;"",IFERROR(_xlfn.XLOOKUP(BH146,Щиты[Щит],Щиты[Iр, А]),""),IF(BP146=1,IF(OR(N(_xlfn.XLOOKUP(A146,Щиты[Щит],Щиты[Вводов],1))&lt;=1,LOWER(TRIM(_xlfn.XLOOKUP(A146,Щиты[Щит],Щиты[АВР],"")&amp;""))="да"),IFERROR(_xlfn.XLOOKUP(A146,Щиты[Щит],Щиты[Iр, А]),""),IFERROR(N(BS146)*_xlfn.XLOOKUP(A146,Щиты[Щит],Щиты[Кс итог])/(SQRT(3)*Uн_лин*_xlfn.XLOOKUP(A146,Щиты[Щит],Щиты[cos φ])),"")),IF(BV146=1,IFERROR(BS146*1000/BU146,""),IFERROR(_xlfn.IFS(BX146=1,BS146/((Uн_лин/SQRT(3))*CE146),BX146=3,BS146/(SQRT(3)*Uн_лин*CE146)),"")))))</f>
        <v>1.46141786888624</v>
      </c>
      <c r="P146" s="7">
        <f>IF(B146="","",IFERROR(IF(VLOOKUP(BC146,Потребители_обозначение,4,FALSE)=1,VLOOKUP(BC146,Потребители_обозначение,3,FALSE)*(MAX(1,N(D146))*2-1)+EI146+VLOOKUP(BE146,Этаж_обозначение,3,FALSE)+VLOOKUP(BE146,Этаж_обозначение,4,FALSE),VLOOKUP(BC146,Потребители_обозначение,3,FALSE)*(MAX(1,N(D146))*2-1)+EI146),EI146))</f>
        <v>20</v>
      </c>
      <c r="Q146" s="6">
        <f t="shared" si="277"/>
        <v>1.45</v>
      </c>
      <c r="R146" t="str">
        <f t="shared" si="278"/>
        <v>ВВГнг(А)-LS (3х1,5)</v>
      </c>
      <c r="S146" t="str">
        <f>IF(BM146="","",IF(BN146="вводной узел","узел ","")&amp;"л."&amp;(INT((BM146-1)/Столбцов_на_лист)+1)&amp;" / "&amp;(MOD(BM146-1,Столбцов_на_лист)+1))</f>
        <v>л.2 / 13</v>
      </c>
      <c r="T146" s="119">
        <f t="shared" si="279"/>
        <v>0.8</v>
      </c>
      <c r="U146" s="7" t="str">
        <f>IF(OR(CG146=0,N(BV146)+N(IB146)=0),"",ROUNDUP(Запас_БП*(N(HY146)+N(HZ146)),0))</f>
        <v/>
      </c>
      <c r="V146" s="119" t="str">
        <f t="shared" si="280"/>
        <v/>
      </c>
      <c r="W146" s="7" t="str">
        <f>IFERROR(IF(OR(B146="",BP146=1,BV146=1,NOT(ISNUMBER(EN146)),N(DT146)=0),"",MAX(0,ROUNDDOWN((c_min*(Uн_лин*1000/SQRT(3))/(HT146*N(DT146))-_xlfn.XLOOKUP(A146,Щиты[Щит],Щиты[Zпетли на шинах, Ом]))*EN146/(2*ρкз_Cu),0))),"")</f>
        <v/>
      </c>
      <c r="Y146" t="str">
        <f>Линии[[#This Row],[_авто утечка]]</f>
        <v/>
      </c>
      <c r="Z146">
        <v>1</v>
      </c>
      <c r="AA146">
        <v>230</v>
      </c>
      <c r="AB146" t="s">
        <v>598</v>
      </c>
      <c r="AC146">
        <v>0.5</v>
      </c>
      <c r="AG146" t="s">
        <v>810</v>
      </c>
      <c r="AI146" t="s">
        <v>580</v>
      </c>
      <c r="AK146" t="str">
        <f>Линии[[#This Row],[_авто модуль]]</f>
        <v/>
      </c>
      <c r="AM146">
        <v>30</v>
      </c>
      <c r="AN146" t="s">
        <v>11</v>
      </c>
      <c r="AO146">
        <v>3</v>
      </c>
      <c r="AQ146">
        <v>4</v>
      </c>
      <c r="AR146">
        <v>16</v>
      </c>
      <c r="AT146">
        <v>1</v>
      </c>
      <c r="BA146" cm="1">
        <f t="array" ref="BA146">ROW()-ROW(Линии[#Headers])</f>
        <v>144</v>
      </c>
      <c r="BC146" s="6" t="str">
        <f t="shared" si="281"/>
        <v>В</v>
      </c>
      <c r="BD146" t="str">
        <f t="shared" si="282"/>
        <v>22</v>
      </c>
      <c r="BE146" t="str">
        <f t="shared" si="283"/>
        <v>22</v>
      </c>
      <c r="BF146" t="str">
        <f t="shared" si="284"/>
        <v/>
      </c>
      <c r="BG146" t="str">
        <f t="shared" si="285"/>
        <v/>
      </c>
      <c r="BH146" t="str">
        <f>IF(X146&lt;&gt;"",X146,IF(AND(B146&lt;&gt;"",B146&lt;&gt;A146,ISNUMBER(_xlfn.XMATCH(B146,Щиты[Щит]))),B146,""))</f>
        <v/>
      </c>
      <c r="BI146" t="str" cm="1">
        <f t="array" ref="BI146">IF(B146="","",IF(BH146&lt;&gt;"","Щит "&amp;BH146,_xlfn.LET(_xlpm.nm,IFERROR(_xlfn.XLOOKUP(BC146,Коды_код,Коды_имя)&amp;"",""),_xlpm.md,IFERROR(N(_xlfn.XLOOKUP(BC146,Коды_код,Коды_режим)),1),_xlpm.ex,IF(Имя_режим="по экспликации",IFERROR(_xlfn.XLOOKUP(BE146&amp;"|"&amp;BG146,Экспликация[Этаж]&amp;"|"&amp;Экспликация[Помещение],Экспликация[Название])&amp;"",""),""),_xlpm.rm,IF(BG146="","",IF(_xlpm.ex&lt;&gt;"",". "&amp;_xlpm.ex&amp;IF(Имя_пом="нет"," ("&amp;BG146&amp;")"," (пом. "&amp;BG146&amp;")"),IF(Имя_пом="нет"," ",", пом. ")&amp;BG146)),IF(_xlpm.nm="","",IF(_xlpm.md=2,_xlpm.nm&amp;" шлейф "&amp;BE146,_xlpm.nm&amp;_xlpm.rm)))))</f>
        <v>Вытяжная установка шлейф 22</v>
      </c>
      <c r="BJ146" t="str">
        <f t="shared" si="286"/>
        <v>Вытяжная установка Технический этаж Пом. №001Т</v>
      </c>
      <c r="BK146">
        <f>IFERROR(_xlfn.XMATCH(A146,Щиты[Щит]),0)</f>
        <v>7</v>
      </c>
      <c r="BL146">
        <f>_xlfn.LET(_xlpm.k,IFERROR(_xlfn.XLOOKUP(A146,Щиты[Щит],Щиты[Мест под вводной узел]),""),IF(_xlpm.k="",Столбцов_на_лист,N(_xlpm.k)))</f>
        <v>12</v>
      </c>
      <c r="BM146">
        <f t="shared" si="287"/>
        <v>30</v>
      </c>
      <c r="BN146" t="str">
        <f t="shared" si="288"/>
        <v>линии</v>
      </c>
      <c r="BO146" s="6">
        <f>IFERROR(N(_xlfn.XLOOKUP(BC146,Коды_код,Коды_квт)),0)</f>
        <v>0</v>
      </c>
      <c r="BP146">
        <f t="shared" si="289"/>
        <v>0</v>
      </c>
      <c r="BQ146" t="str">
        <f>IF(B146="","",IF(BH146&lt;&gt;"",IFERROR(_xlfn.XLOOKUP(BH146,Щиты[Щит],Щиты[Руст, кВт]),0),IF(BP146=1,IF(OR(N(_xlfn.XLOOKUP(A146,Щиты[Щит],Щиты[Вводов],1))&lt;=1,LOWER(TRIM(_xlfn.XLOOKUP(A146,Щиты[Щит],Щиты[АВР],"")&amp;""))="да"),IFERROR(_xlfn.XLOOKUP(A146,Щиты[Щит],Щиты[Руст, кВт]),0),SUMIFS(Линии[_Р для вводов],Линии[Щит],A146,Линии[Источник для режимов],GF146)),IF(BO146&gt;0,ROUND(BO146*MAX(1,N(D146)),3),""))))</f>
        <v/>
      </c>
      <c r="BR146">
        <f t="shared" si="290"/>
        <v>0.27</v>
      </c>
      <c r="BS146" s="6">
        <f>IF(B146="","",IF(BH146&lt;&gt;"",IFERROR(_xlfn.XLOOKUP(BH146,Щиты[Щит],Щиты[Руст, кВт]),0),N(BR146)))</f>
        <v>0.27</v>
      </c>
      <c r="BT146" t="str">
        <f>IF(B146="","",IFERROR(IF(VLOOKUP(BC146,Потребители_обозначение,8,FALSE)=0,"",VLOOKUP(BC146,Потребители_обозначение,8,FALSE)),""))</f>
        <v/>
      </c>
      <c r="BU146">
        <f t="shared" si="291"/>
        <v>230</v>
      </c>
      <c r="BV146">
        <f t="shared" si="292"/>
        <v>0</v>
      </c>
      <c r="BW146">
        <f>IF(B146="","",IF(BH146&lt;&gt;"",3,IFERROR(IF(N(VLOOKUP(BC146,Потребители_обозначение,9,FALSE))=0,1,VLOOKUP(BC146,Потребители_обозначение,9,FALSE)),1)))</f>
        <v>1</v>
      </c>
      <c r="BX146">
        <f t="shared" si="293"/>
        <v>1</v>
      </c>
      <c r="BY146" t="str">
        <f>IF(B146="","",_xlfn.LET(_xlpm.bc,IFERROR(IF(VLOOKUP(BC146,Потребители_обозначение,6,FALSE)=0,"",VLOOKUP(BC146,Потребители_обозначение,6,FALSE)&amp;""),""),IF(AND(GA146="да",OR(_xlpm.bc="",_xlpm.bc="мс")),Марка_пож,IF(AND(_xlpm.bc="",BH146&lt;&gt;""),"мс",_xlpm.bc))))</f>
        <v/>
      </c>
      <c r="BZ146" t="str">
        <f t="shared" si="294"/>
        <v>мс</v>
      </c>
      <c r="CA146">
        <f>IF(B146="","",_xlfn.LET(_xlpm.cc,IFERROR(N(VLOOKUP(BC146,Потребители_обозначение,7,FALSE)),0),IF(_xlpm.cc&gt;0,_xlpm.cc,IF(BZ146="","",IF(BV146=1,2,IF(N(BX146)=3,5,3))))))</f>
        <v>3</v>
      </c>
      <c r="CB146">
        <f t="shared" si="295"/>
        <v>3</v>
      </c>
      <c r="CC146">
        <f>IFERROR(N(VLOOKUP(BC146,Потребители_обозначение,10,FALSE)),0)</f>
        <v>0</v>
      </c>
      <c r="CD146">
        <f>IFERROR(VLOOKUP(BC146,Потребители_обозначение,5,FALSE),0)</f>
        <v>1</v>
      </c>
      <c r="CE146" s="6" cm="1">
        <f t="array" ref="CE146">IF(B146="","",IF(BH146&lt;&gt;"",IFERROR(_xlfn.XLOOKUP(BH146,Щиты[Щит],Щиты[cos φ]),0.95),IF(BP146=1,IFERROR(_xlfn.XLOOKUP(A146,Щиты[Щит],Щиты[cos φ]),0.95),IF(ISNUMBER(AD146),AD146,IFERROR(IF(CD146=2,_xlfn.IFS(BX146=3,VLOOKUP(BS146,Справочная_двигатели,8,FALSE),BX146=1,VLOOKUP(BS146,Справочная_двигатели,10,TRUE)),IF(AND(Методика="нормы 2026",FG146="Сил"),0.8,0.95)),0.95)))))</f>
        <v>0.8</v>
      </c>
      <c r="CF146">
        <f t="shared" si="296"/>
        <v>0</v>
      </c>
      <c r="CG146">
        <f t="shared" si="297"/>
        <v>1</v>
      </c>
      <c r="CH146">
        <f t="shared" si="298"/>
        <v>0</v>
      </c>
      <c r="CI146">
        <f>IF(B146="","",IF(BV146=1,IFERROR(BS146/((Uн_лин/SQRT(3))*MAX(0.5,N(CE146))),0),N(O146)))</f>
        <v>1.46141786888624</v>
      </c>
      <c r="CJ146">
        <f t="shared" si="299"/>
        <v>0</v>
      </c>
      <c r="CK146">
        <f t="shared" si="300"/>
        <v>0</v>
      </c>
      <c r="CL146">
        <f t="shared" si="301"/>
        <v>0</v>
      </c>
      <c r="CM146">
        <f t="shared" si="302"/>
        <v>0</v>
      </c>
      <c r="CN146">
        <f t="shared" si="303"/>
        <v>0</v>
      </c>
      <c r="CO146">
        <f>IF(BC146="",0,_xlfn.LET(_xlpm.v,IFERROR(_xlfn.XLOOKUP(B146,Коды_код,Коды_мА),IFERROR(_xlfn.XLOOKUP(BC146,Коды_код,Коды_мА),IFERROR(_xlfn.XLOOKUP(LEFT(BC146,2),Коды_код,Коды_мА),""))),IF(_xlpm.v="да",30,IF(ISNUMBER(_xlpm.v),_xlpm.v,0))))</f>
        <v>0</v>
      </c>
      <c r="CP146" t="str">
        <f t="shared" si="304"/>
        <v/>
      </c>
      <c r="CQ146" t="str">
        <f>_xlfn.LET(_xlpm.k,IFERROR(_xlfn.XLOOKUP(BC146,Коды_код,Коды_утечка)&amp;"",""),IF(_xlpm.k="","дифавтомат",_xlpm.k))</f>
        <v>дифавтомат</v>
      </c>
      <c r="CR146" t="str" cm="1">
        <f t="array" ref="CR146">IF(CG146=0,"",_xlfn.LET(_xlpm.sg,TRIM(_xlfn.TEXTSPLIT(DD146&amp;"",";")),_xlpm.f_,_xlfn._xlws.FILTER(_xlpm.sg,LEFT(_xlpm.sg,3)="УЗО",""),IFERROR(INDEX(_xlpm.f_,1)&amp;"","")))</f>
        <v/>
      </c>
      <c r="CS146" t="str">
        <f t="shared" si="305"/>
        <v/>
      </c>
      <c r="CT146" s="6" t="str" cm="1">
        <f t="array" ref="CT146">IF(CR146="","",_xlfn.LET(_xlpm.tk,_xlfn.TEXTSPLIT(UPPER(CR146)," ",,TRUE),_xlpm.a_,_xlfn._xlws.FILTER(_xlpm.tk,ISNUMBER(--LEFT(_xlpm.tk,1))*((ISNUMBER(SEARCH("А",_xlpm.tk))+ISNUMBER(SEARCH("A",_xlpm.tk)))&gt;0)*NOT(ISNUMBER(SEARCH("МА",_xlpm.tk)))*NOT(ISNUMBER(SEARCH("MA",_xlpm.tk))),""),IFERROR(--SUBSTITUTE(SUBSTITUTE(INDEX(_xlpm.a_,1),"А",""),"A",""),"")))</f>
        <v/>
      </c>
      <c r="CU146" t="str" cm="1">
        <f t="array" ref="CU146">IF(CR146="","",_xlfn.LET(_xlpm.tk,_xlfn.TEXTSPLIT(UPPER(CR146)," ",,TRUE),_xlpm.a_,_xlfn._xlws.FILTER(_xlpm.tk,ISNUMBER(--LEFT(_xlpm.tk,1))*((ISNUMBER(SEARCH("МА",_xlpm.tk))+ISNUMBER(SEARCH("MA",_xlpm.tk)))&gt;0),""),IFERROR(--SUBSTITUTE(SUBSTITUTE(INDEX(_xlpm.a_,1),"МА",""),"MA",""),30)))</f>
        <v/>
      </c>
      <c r="CV146" t="str">
        <f>IF(CS146="","",IFERROR(_xlfn.XLOOKUP(CS146,Линии[_n],Линии[_УЗО, мА]),30))</f>
        <v/>
      </c>
      <c r="CW146">
        <f>IF(CS146="",0,IF(ISNUMBER(SEARCH("4P",IFERROR(_xlfn.XLOOKUP(CS146,Линии[_n],Линии[_УЗО строки])&amp;"",""))),0,1))</f>
        <v>0</v>
      </c>
      <c r="CX146" t="str">
        <f>IF(AND(CS146&lt;&gt;"",CS146=BA146),SUMIFS(Линии[_ток на 230 В],Линии[_блок УЗО],BA146,Линии[Щит],A146),"")</f>
        <v/>
      </c>
      <c r="CY146" t="str">
        <f>IF(AND(CS146&lt;&gt;"",CS146=BA146),SUMIFS(Линии[_ток утечки линии, мА],Линии[_блок УЗО],BA146,Линии[Щит],A146),"")</f>
        <v/>
      </c>
      <c r="CZ146">
        <f t="shared" si="306"/>
        <v>0</v>
      </c>
      <c r="DA146">
        <f t="shared" si="307"/>
        <v>0</v>
      </c>
      <c r="DB146">
        <f>IF(B146="",0,IFERROR(--_xlfn.XLOOKUP(B146,Коды_код,Коды_минавт),IFERROR(--_xlfn.XLOOKUP(BC146,Коды_код,Коды_минавт),IFERROR(--_xlfn.XLOOKUP(LEFT(BC146,2),Коды_код,Коды_минавт),0))))</f>
        <v>0</v>
      </c>
      <c r="DC146" t="str">
        <f>IF(B146="","",IFERROR(_xlfn.XLOOKUP(BC146,Коды_код,Коды_апп)&amp;"",""))</f>
        <v/>
      </c>
      <c r="DD146" t="str">
        <f t="shared" si="308"/>
        <v/>
      </c>
      <c r="DE146" t="str" cm="1">
        <f t="array" ref="DE146">IF(TRIM(DD146&amp;"")="","",IFERROR(TRIM(INDEX(_xlfn.TEXTSPLIT(DD146&amp;";;;",";"),1)),""))</f>
        <v/>
      </c>
      <c r="DF146" t="str" cm="1">
        <f t="array" ref="DF146">IF(TRIM(DD146&amp;"")="","",IFERROR(TRIM(INDEX(_xlfn.TEXTSPLIT(DD146&amp;";;;",";"),2)),""))</f>
        <v/>
      </c>
      <c r="DG146" t="str" cm="1">
        <f t="array" ref="DG146">IF(TRIM(DD146&amp;"")="","",IFERROR(TRIM(INDEX(_xlfn.TEXTSPLIT(DD146&amp;";;;",";"),3)),""))</f>
        <v/>
      </c>
      <c r="DH146">
        <f t="shared" si="309"/>
        <v>0</v>
      </c>
      <c r="DI146" t="str">
        <f>IF(B146="","",_xlfn.LET(_xlpm.t,LOWER(AZ146&amp;""),IF(ISNUMBER(SEARCH("dim",_xlpm.t)),"DIM",IF(ISNUMBER(SEARCH("dali",_xlpm.t)),"DALI",IF(OR(ISNUMBER(SEARCH("relay",_xlpm.t)),ISNUMBER(SEARCH("реле",_xlpm.t))),"Relay",IF(ISNUMBER(SEARCH("кнопк",_xlpm.t)),"",IFERROR(_xlfn.XLOOKUP(BC146,Коды_код,Коды_упр)&amp;"","")))))))</f>
        <v/>
      </c>
      <c r="DJ146" t="str">
        <f t="shared" si="310"/>
        <v/>
      </c>
      <c r="DK146">
        <f>IF(B146="","",_xlfn.LET(_xlpm.ig,IF(N(CX146)&gt;0,N(CX146),N(CI146)+IF(AJ146="вручную",0,N(CJ146))),_xlpm.n0,IFERROR(VLOOKUP(_xlpm.ig,Автомат_номиналы,2,TRUE),0),_xlpm.mn,MAX(DB146,IF(AJ146="вручную",0,N(CM146))),MAX(_xlpm.n0,_xlpm.mn,IF(DH146=1,Мин_автомат_БП,0))))</f>
        <v>6</v>
      </c>
      <c r="DL146">
        <f t="shared" si="311"/>
        <v>1</v>
      </c>
      <c r="DM146" t="str">
        <f t="shared" si="312"/>
        <v>1P</v>
      </c>
      <c r="DN146" t="str">
        <f>_xlfn.LET(_xlpm.cc,UPPER(TRIM(IFERROR(_xlfn.XLOOKUP(BC146,Коды_код,Коды_хар)&amp;"",""))),IF(OR(_xlpm.cc="B",_xlpm.cc="В"),"B",IF(_xlpm.cc="D","D","С")))</f>
        <v>С</v>
      </c>
      <c r="DO146" t="str">
        <f t="shared" si="313"/>
        <v>1P С6А</v>
      </c>
      <c r="DP146" t="str">
        <f t="shared" si="314"/>
        <v>1P С6А</v>
      </c>
      <c r="DQ146" t="str">
        <f t="shared" si="315"/>
        <v>1P С6А</v>
      </c>
      <c r="DR146" cm="1">
        <f t="array" ref="DR146">IF(DQ146="","",_xlfn.LET(_xlpm.t,SUBSTITUTE(SUBSTITUTE(SUBSTITUTE(UPPER(DQ146),"С","C"),"А","A"),"В","B"),_xlpm.tk,_xlfn.TEXTSPLIT(_xlpm.t," "),_xlpm.f,_xlfn._xlws.FILTER(_xlpm.tk,ISNUMBER(--MID(_xlpm.tk,2,1))*ISNUMBER(SEARCH(LEFT(_xlpm.tk,1)&amp;"#","B#C#D#"))*(LEN(_xlpm.tk)&gt;1),""),_xlpm.x,INDEX(_xlpm.f,1),IFERROR(--SUBSTITUTE(MID(_xlpm.x,2,9),"A",""),IFERROR(--SUBSTITUTE(INDEX(_xlfn._xlws.FILTER(_xlpm.tk,ISNUMBER(--SUBSTITUTE(_xlpm.tk,"A","")),""),1),"A",""),""))))</f>
        <v>6</v>
      </c>
      <c r="DS146" t="str">
        <f t="shared" si="316"/>
        <v>ok</v>
      </c>
      <c r="DT146">
        <f t="shared" si="317"/>
        <v>6</v>
      </c>
      <c r="DU146" t="str">
        <f t="shared" si="318"/>
        <v>1P С6А</v>
      </c>
      <c r="DV146">
        <f t="shared" si="319"/>
        <v>0</v>
      </c>
      <c r="DW146">
        <f t="shared" si="320"/>
        <v>0</v>
      </c>
      <c r="DX146">
        <f t="shared" si="321"/>
        <v>0</v>
      </c>
      <c r="DY146">
        <f t="shared" si="322"/>
        <v>1.46141786888624</v>
      </c>
      <c r="DZ146">
        <f t="shared" si="323"/>
        <v>1</v>
      </c>
      <c r="EA146">
        <f>IF(ISNUMBER(AP146),AP146,К_прокл)</f>
        <v>1</v>
      </c>
      <c r="EB146">
        <f t="shared" si="324"/>
        <v>2</v>
      </c>
      <c r="EC146">
        <f>IFERROR(N(VLOOKUP(BZ146,Кабель_обозначение,3,FALSE)),1)</f>
        <v>1</v>
      </c>
      <c r="ED146">
        <f>IFERROR(N(_xlfn.XLOOKUP(A146,Щиты[Щит],Щиты[ΔU до шин, %])),0)</f>
        <v>1.1399999999999999</v>
      </c>
      <c r="EE146" t="str">
        <f>IFERROR(_xlfn.XLOOKUP(A146,Щиты[Щит],Щиты[Zпетли на шинах, Ом]),"")</f>
        <v/>
      </c>
      <c r="EF146">
        <f>IFERROR(N(_xlfn.XLOOKUP(A146,Щиты[Щит],Щиты[ΔU до шин (подбор), %])),0)</f>
        <v>1.82</v>
      </c>
      <c r="EG146" t="str">
        <f>IFERROR(_xlfn.XLOOKUP(A146,Щиты[Щит],Щиты[Zпетли на шинах (подбор), Ом]),"")</f>
        <v/>
      </c>
      <c r="EH146" t="str">
        <f t="shared" si="325"/>
        <v/>
      </c>
      <c r="EI146">
        <f t="shared" si="326"/>
        <v>16</v>
      </c>
      <c r="EJ146">
        <f t="shared" si="327"/>
        <v>2</v>
      </c>
      <c r="EK146">
        <f t="shared" si="328"/>
        <v>0.6</v>
      </c>
      <c r="EL146" s="6">
        <f>IF(B146="","",IF(BV146=1,dU_LED,IF(IFERROR(_xlfn.XLOOKUP(BC146,Коды_код,Коды_уго),"")="Светильник",3,4)+IF(Методика="нормы 2026",MIN(0.5,MAX(0,N(P146)-100)*0.005),0)))</f>
        <v>4</v>
      </c>
      <c r="EM146" cm="1">
        <f t="array" ref="EM146">IF(OR(B146="",BZ146="",EC146&lt;&gt;1),"",_xlfn.LET(_xlpm.sz,Iдоп_S,_xlpm.t_,CHOOSE(EB146,Iдоп_1ж,Iдоп_2ж,Iдоп_3ж)*DZ146*EA146,_xlpm.dcx,BV146=1,_xlpm.inn,IF(_xlpm.dcx,N(O146),N(DT146)),_xlpm.smin,MAX(1.5,CC146),_xlpm.L_,N(P146)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146)/N(BU146)*100,999),IFERROR(N(EJ146)*(_xlpm.rho*_xlpm.L_/_xlpm.sz*N(CE146)+_xlpm.xx*_xlpm.L_*N(EK146)/1000)*N(O146)/((Uн_лин/SQRT(3))*1000)*100,999)),_xlpm.kz,IF(OR(_xlpm.dcx,DW146=1,NOT(ISNUMBER(EG146)),_xlpm.L_=0,_xlpm.inn=0),1,IFERROR(--(c_min*(Uн_лин*1000/SQRT(3))/(EG146+2*ρкз_Cu*_xlpm.L_/_xlpm.sz)&gt;=HT146*_xlpm.inn),0)),_xlpm.ok,IFERROR((_xlpm.sz&gt;=_xlpm.smin)*(_xlpm.t_&gt;=_xlpm.inn)*IF(_xlpm.L_&gt;0,(_xlpm.du_+IF(_xlpm.dcx,0,EF146)&lt;=EL146+0.00001),1)*_xlpm.kz,0),_xlpm.r_,_xlfn._xlws.FILTER(_xlpm.sz,_xlpm.ok,"не подобрано"),INDEX(_xlpm.r_,1)))</f>
        <v>1.5</v>
      </c>
      <c r="EN146">
        <f t="shared" si="329"/>
        <v>1.5</v>
      </c>
      <c r="EO146" cm="1">
        <f t="array" ref="EO146">IF(OR(B146="",BZ146="",EC146&lt;&gt;1),"",_xlfn.LET(_xlpm.sz,Iдоп_S,_xlpm.t_,CHOOSE(EB146,Iдоп_1ж,Iдоп_2ж,Iдоп_3ж)*DZ146*EA146,_xlpm.ok,IFERROR((_xlpm.sz&gt;=MAX(1.5,CC146))*(_xlpm.t_&gt;=N(DT146)),0),_xlpm.r_,_xlfn._xlws.FILTER(_xlpm.sz,_xlpm.ok,""),INDEX(_xlpm.r_,1)))</f>
        <v>1.5</v>
      </c>
      <c r="EP146" s="6" cm="1">
        <f t="array" ref="EP146">IFERROR(ROUNDUP(N(EJ146)*(_xlfn.XLOOKUP(EO146,INDEX(Кабель_сопротивление,0,1),INDEX(Кабель_сопротивление,0,3))*N(P146)/EO146*N(CE146)+_xlfn.XLOOKUP(EO146,INDEX(Кабель_сопротивление,0,1),INDEX(Кабель_сопротивление,0,2))*N(P146)*N(EK146)/1000)*N(O146)/((Uн_лин/SQRT(3))*1000)*100,2),"")</f>
        <v>0.31</v>
      </c>
      <c r="EQ146">
        <f>IFERROR(2*ρкз_Cu*N(P146)/EO146,"")</f>
        <v>0.70133333333333336</v>
      </c>
      <c r="ER146">
        <f>IFERROR(VLOOKUP(EN146,Кабель_сопротивление,3,FALSE),"")</f>
        <v>2.2499999999999999E-2</v>
      </c>
      <c r="ES146">
        <f>IFERROR(VLOOKUP(EN146,Кабель_сопротивление,2,FALSE),"")</f>
        <v>0.11</v>
      </c>
      <c r="ET146">
        <f t="shared" si="330"/>
        <v>16</v>
      </c>
      <c r="EU146">
        <f t="shared" si="331"/>
        <v>0</v>
      </c>
      <c r="EV146">
        <f t="shared" si="332"/>
        <v>0.70533872023925481</v>
      </c>
      <c r="EW146" s="6">
        <f>IFERROR(ROUNDUP(EV146/IF(BV146=1,BU146,(Uн_лин/SQRT(3))*1000)*100,2),"")</f>
        <v>0.31</v>
      </c>
      <c r="EX146" t="str">
        <f>IFERROR(VLOOKUP(BZ146,Кабель_обозначение,2,FALSE),"")</f>
        <v>ВВГнг(А)-LS</v>
      </c>
      <c r="EY146" t="str">
        <f t="shared" si="333"/>
        <v>ВВГнг(А)-LS (3х1,5)</v>
      </c>
      <c r="EZ146" t="str">
        <f t="shared" si="334"/>
        <v>ВВГнг(А)-LS (3х1,5)
L=20-0,31%</v>
      </c>
      <c r="FA146">
        <f>IFERROR(2*ρкз_Cu*P146/EN146,"")</f>
        <v>0.70133333333333336</v>
      </c>
      <c r="FB146">
        <f t="shared" si="335"/>
        <v>0.23333333333333336</v>
      </c>
      <c r="FC146" s="6" t="str">
        <f>IFERROR(IF(OR(B146="",BV146=1,NOT(ISNUMBER(EN146)),N(P146)=0),"",_xlfn.XLOOKUP(A146,Щиты[Щит],Щиты[Zпетли на шинах, Ом])+FA146),"")</f>
        <v/>
      </c>
      <c r="FD146" s="6" t="str">
        <f>IF(ISNUMBER(FC146),c_min*(Uн_лин*1000/SQRT(3))/FC146,"")</f>
        <v/>
      </c>
      <c r="FE146" s="6" t="str">
        <f>IFERROR(IF(OR(B146="",NOT(ISNUMBER(EN146))),"",1.05*(Uн_лин*1000/SQRT(3))/(_xlfn.XLOOKUP(A146,Щиты[Щит],Щиты[Zmax на шинах, Ом])+FB146)/1000),"")</f>
        <v/>
      </c>
      <c r="FF146" s="6" t="str">
        <f>IF(B146="","",IF(ISNUMBER(AC146),"Сил",IF(IFERROR(_xlfn.XLOOKUP(BC146,Коды_код,Коды_группа)&amp;"","")="","Быт",_xlfn.XLOOKUP(BC146,Коды_код,Коды_группа)&amp;"")))</f>
        <v>Сил</v>
      </c>
      <c r="FG146" s="6" t="str">
        <f t="shared" si="336"/>
        <v>Сил</v>
      </c>
      <c r="FH146" s="6">
        <f>IF(FG146="Щит","щит",IF(FG146="","",IF(FG146="Быт",IFERROR(_xlfn.XLOOKUP(A146,Щиты[Щит],Щиты[Кс быт]),1),IF(FG146="Сил",IF(ISNUMBER(AC146),AC146,IF(Методика="нормы 2026",IFERROR(_xlfn.XLOOKUP(A146,Щиты[Щит],Щиты[Кс силовых (табл. 7.5)]),1),1)),IF(OR(FG146="Пост",FG146="Отоп"),1,IF(FG146="ВНГ",0.7,0))))))</f>
        <v>0.5</v>
      </c>
      <c r="FI146">
        <f>IF(FG146="","",IF(AND(BP146=1,TRIM(AE146&amp;"")=""),IF(COUNTIFS(Линии[Щит],A146,Линии[Секция (1/2/3)],"&gt;=2")&gt;0,MIN(3,MAX(1,IFERROR(--BD146,1))),1),IFERROR(MIN(3,MAX(1,INT(--AE146))),1)))</f>
        <v>1</v>
      </c>
      <c r="FJ146">
        <f t="shared" si="337"/>
        <v>0.27</v>
      </c>
      <c r="FK146">
        <f t="shared" si="338"/>
        <v>0</v>
      </c>
      <c r="FL146">
        <f t="shared" si="339"/>
        <v>0.13500000000000001</v>
      </c>
      <c r="FM146">
        <f t="shared" si="340"/>
        <v>0</v>
      </c>
      <c r="FN146">
        <f t="shared" si="341"/>
        <v>0</v>
      </c>
      <c r="FO146">
        <f t="shared" si="342"/>
        <v>0</v>
      </c>
      <c r="FP146">
        <f t="shared" si="343"/>
        <v>0.27</v>
      </c>
      <c r="FQ146">
        <f t="shared" si="344"/>
        <v>0.27</v>
      </c>
      <c r="FR146">
        <f t="shared" si="345"/>
        <v>0.21600000000000003</v>
      </c>
      <c r="FS146">
        <f>IF(CG146=1,IF(AND(CH146=1,CW146=1),0,IF(AND(CS146&lt;&gt;"",CS146=BA146,CW146=1),SUMIFS(Линии[_Р линии, кВт],Линии[_блок УЗО],BA146,Линии[Щит],A146),N(BS146)+IF(AJ146="вручную",0,N(CK146)))),0)</f>
        <v>0.27</v>
      </c>
      <c r="FT146" t="str">
        <f t="shared" si="346"/>
        <v/>
      </c>
      <c r="FU146" t="str">
        <f>IF(B146="","",IF(CG146=0,IF(BA146=1,"",FW145),IF(AND(CH146=1,CW146=1,CS146&lt;&gt;""),IFERROR(_xlfn.XLOOKUP(CS146,Линии[_n],Линии[_фаза итог]),"L1"),IF(OR(N(DL146)&gt;=3,N(BX146)&gt;=3),"L1,L2,L3",IFERROR(_xlfn.TEXTBEFORE(_xlfn.TEXTAFTER(_xlfn.XLOOKUP(A146,Щиты[Щит],Щиты[_фазы авто]),";"&amp;BA146&amp;":"),";"),"L1")))))</f>
        <v>L2</v>
      </c>
      <c r="FV146" t="str">
        <f t="shared" si="347"/>
        <v>L2</v>
      </c>
      <c r="FW146" t="str">
        <f t="shared" si="348"/>
        <v>L2</v>
      </c>
      <c r="FX146" cm="1">
        <f t="array" ref="FX146">IFERROR(IF(CD146=2,_xlfn.IFS(BX146=3,VLOOKUP(BS146,Справочная_двигатели,3,FALSE),BX146=1,VLOOKUP(BS146,Справочная_двигатели,5,TRUE)),0),0)</f>
        <v>0</v>
      </c>
      <c r="FY146">
        <f>IFERROR(IF(CD146=3,VLOOKUP(BS146,Справочная_ЛЭД,2,TRUE),0),0)</f>
        <v>0</v>
      </c>
      <c r="FZ146" s="6">
        <f t="shared" si="349"/>
        <v>0</v>
      </c>
      <c r="GA146" t="str">
        <f>IF(B146="","",IF(TRIM(AH146&amp;"")&lt;&gt;"",IF(LOWER(TRIM(AH146&amp;""))="да","да","нет"),IF(IFERROR(_xlfn.XLOOKUP(BC146,Коды_код,Коды_пожарная),"")="да","да","нет")))</f>
        <v>нет</v>
      </c>
      <c r="GB146" t="str">
        <f t="shared" si="350"/>
        <v/>
      </c>
      <c r="GC146" t="str">
        <f t="shared" si="351"/>
        <v>основная</v>
      </c>
      <c r="GD146">
        <f>IF(AND(BP146=1,TRIM(AE146&amp;"")=""),IF(COUNTIFS(Линии[Щит],A146,Линии[Секция (1/2/3)],"&gt;=2")&gt;0,MIN(3,MAX(1,IFERROR(--BD146,1))),1),IFERROR(MIN(3,MAX(1,INT(--AE146))),1))</f>
        <v>1</v>
      </c>
      <c r="GE146" t="str" cm="1">
        <f t="array" ref="GE146">IF(B146="","",_xlfn.LET(_xlpm.t,IFERROR(_xlfn.XLOOKUP(1,(Шины[Шина]=GC146)*(((Шины[Щит]=A146)+(Шины[Щит]=""))&gt;0),Шины[Тип]),"")&amp;"",IF(_xlpm.t&lt;&gt;"",_xlpm.t,IF(ISNUMBER(SEARCH("ИБП",GC146)),"ИБП",IF(ISNUMBER(SEARCH("ДГУ",GC146)),"ДГУ","Ввод "&amp;GD146)))))</f>
        <v>Ввод 1</v>
      </c>
      <c r="GF146" t="str">
        <f t="shared" si="352"/>
        <v>Ввод 1</v>
      </c>
      <c r="GG146" t="str">
        <f>IF(BP146=0,"",IF(TRIM(AG146&amp;"")&lt;&gt;"",TRIM(AG146&amp;""),IF(OR(GE146="ИБП",GE146="ДГУ"),"I особая",_xlfn.XLOOKUP(A146,Щиты[Щит],Щиты[Категория шины «Ввод»],"III"))))</f>
        <v/>
      </c>
      <c r="GH146" t="str">
        <f>IF(A146="","",_xlfn.XLOOKUP(A146,Щиты[Щит],Щиты[Путь],""))</f>
        <v>|ГРЩ-ЖД|ЩОВ-2|</v>
      </c>
      <c r="GI146" t="str">
        <f>IF(B146="","",IF(AI146&lt;&gt;"",AI146,IF(IFERROR(_xlfn.XLOOKUP(BC146,Коды_код,Коды_вид)&amp;"","")="","Прочее",_xlfn.XLOOKUP(BC146,Коды_код,Коды_вид)&amp;"")))</f>
        <v>Вентиляция</v>
      </c>
      <c r="GJ146">
        <f>IF(BM146="","",INT((BM146-1)/Столбцов_на_лист)+1)</f>
        <v>2</v>
      </c>
      <c r="GK146" t="str">
        <f t="shared" si="353"/>
        <v>ВВГнг(А)-LS (3х1,5) L=20-0,31%</v>
      </c>
      <c r="GL146">
        <f t="shared" si="354"/>
        <v>0.27</v>
      </c>
      <c r="GM146">
        <f t="shared" si="355"/>
        <v>1.47</v>
      </c>
      <c r="GN146">
        <f t="shared" si="356"/>
        <v>1</v>
      </c>
      <c r="GO146">
        <f t="shared" si="357"/>
        <v>0</v>
      </c>
      <c r="GP146">
        <f t="shared" si="358"/>
        <v>1</v>
      </c>
      <c r="GQ146">
        <f>IF(BM146="","",IF(AND(CG146=1,GP146=1),COUNTIFS(A$3:A146,A146,CG$3:CG146,1,GP$3:GP146,1),IF(OR(OR(BA146=1,A146&lt;&gt;A145),AJ146="вручную",GP146=0),"",IF(BA146=1,"",GR145))))</f>
        <v>16</v>
      </c>
      <c r="GR146">
        <f t="shared" si="359"/>
        <v>16</v>
      </c>
      <c r="GS146">
        <f>IF(B146="","",IFERROR(LOOKUP(INDEX(CHOOSE(EB146,Iдоп_1ж,Iдоп_2ж,Iдоп_3ж),MATCH(EN146,Iдоп_S,0))*DZ146*EA146,{6,10,16,20,25,32,40,50,63,80,100,125,160,200,250,315,400,500,630}),""))</f>
        <v>16</v>
      </c>
      <c r="GT146" t="str">
        <f t="shared" si="360"/>
        <v>QF16</v>
      </c>
      <c r="GU146" t="str">
        <f t="shared" si="361"/>
        <v>QF16</v>
      </c>
      <c r="GV146" t="str">
        <f t="shared" si="362"/>
        <v/>
      </c>
      <c r="GW146">
        <f t="shared" si="363"/>
        <v>0</v>
      </c>
      <c r="GX146" t="str">
        <f>IF(OR(B146="",DJ146=""),"",IFERROR(_xlfn.XLOOKUP(DJ146,Модули_умолч[Управление],Модули_умолч[Модель])&amp;"",""))</f>
        <v/>
      </c>
      <c r="GY146">
        <f>IF(DJ146="",1,IFERROR(MAX(0,N(_xlfn.XLOOKUP(DJ146,Модули_умолч[Управление],Модули_умолч[Каналов на линию]))),1))</f>
        <v>1</v>
      </c>
      <c r="GZ146" t="str">
        <f t="shared" si="364"/>
        <v/>
      </c>
      <c r="HA146" t="str">
        <f t="shared" si="365"/>
        <v/>
      </c>
      <c r="HB146" t="str">
        <f t="shared" si="366"/>
        <v/>
      </c>
      <c r="HC146">
        <f>IF(HB146="",0,IFERROR(N(VLOOKUP(HB146,Модули_спр,3,FALSE)),0))</f>
        <v>0</v>
      </c>
      <c r="HD146" t="str">
        <f t="shared" si="367"/>
        <v/>
      </c>
      <c r="HE146" t="str">
        <f t="shared" si="368"/>
        <v/>
      </c>
      <c r="HF146" t="str">
        <f>IF(OR(HE146="",HE146="-"),"",IFERROR(VLOOKUP(HE146,Модули_спр,2,FALSE),"R"))</f>
        <v/>
      </c>
      <c r="HG146" t="str">
        <f>IF(HF146="","",HF146&amp;"."&amp;COUNTIFS(A$3:A146,A146,HF$3:HF146,HF146))</f>
        <v/>
      </c>
      <c r="HH146" t="str">
        <f t="shared" si="369"/>
        <v/>
      </c>
      <c r="HI146" t="str">
        <f t="shared" si="370"/>
        <v/>
      </c>
      <c r="HJ146" t="str">
        <f t="shared" si="371"/>
        <v/>
      </c>
      <c r="HK146" t="str">
        <f t="shared" si="372"/>
        <v/>
      </c>
      <c r="HL146">
        <f t="shared" si="373"/>
        <v>1</v>
      </c>
      <c r="HM146" t="str">
        <f>IF(HL146=1,"XT"&amp;COUNTIFS(A$3:A146,A146,HL$3:HL146,1),"")</f>
        <v>XT16</v>
      </c>
      <c r="HN146" t="str">
        <f t="shared" si="374"/>
        <v/>
      </c>
      <c r="HO146" t="str">
        <f t="shared" si="375"/>
        <v>QF16</v>
      </c>
      <c r="HP146" t="str">
        <f t="shared" si="376"/>
        <v/>
      </c>
      <c r="HQ146" t="str">
        <f t="shared" si="377"/>
        <v>ok</v>
      </c>
      <c r="HR146" t="str">
        <f>IF(OR(HJ146="",HH146=""),"",IF(HJ146+MAX(0,GY146-1)&gt;IFERROR(VLOOKUP(HI146,Модули_спр,3,FALSE),99),"ЛИШНИЙ КАНАЛ",IF(AND(AL146&lt;&gt;"=",GY146&gt;0,COUNTIFS(Линии[_модуль гр.],HH146,Линии[Канал (итог)],HJ146,Линии[Канал],"&lt;&gt;=",Линии[Щит],A146)&gt;1),"ДУБЛЬ КАНАЛА","")))</f>
        <v/>
      </c>
      <c r="HS146" s="6" t="str">
        <f t="shared" si="378"/>
        <v/>
      </c>
      <c r="HT146">
        <f t="shared" si="379"/>
        <v>10</v>
      </c>
      <c r="HU146" t="str">
        <f t="shared" si="380"/>
        <v/>
      </c>
      <c r="HV146">
        <f t="shared" si="381"/>
        <v>0.78456714755449597</v>
      </c>
      <c r="HW146">
        <f t="shared" si="382"/>
        <v>0</v>
      </c>
      <c r="HX146">
        <f t="shared" si="383"/>
        <v>0</v>
      </c>
      <c r="HY146">
        <f t="shared" si="384"/>
        <v>0</v>
      </c>
      <c r="HZ146">
        <f t="shared" si="385"/>
        <v>0</v>
      </c>
      <c r="IA146">
        <f t="shared" si="386"/>
        <v>0</v>
      </c>
      <c r="IB146">
        <f t="shared" si="387"/>
        <v>0</v>
      </c>
      <c r="IC146" t="str">
        <f t="shared" si="388"/>
        <v/>
      </c>
      <c r="ID146" t="str" cm="1">
        <f t="array" ref="ID146">IF(IC146="","",_xlfn.LET(_xlpm.tk,_xlfn.TEXTSPLIT(SUBSTITUTE(SUBSTITUTE(IC146,";"," "),"→"," ")," ",,TRUE),_xlpm.w_,_xlfn._xlws.FILTER(_xlpm.tk,ISNUMBER(--LEFT(_xlpm.tk,1))*((ISNUMBER(SEARCH("W",_xlpm.tk))+ISNUMBER(SEARCH("Вт",_xlpm.tk)))&gt;0),""),IFERROR(--SUBSTITUTE(SUBSTITUTE(UPPER(INDEX(_xlpm.w_,1)),"W",""),"ВТ",""),"")))</f>
        <v/>
      </c>
      <c r="IE146" t="str" cm="1">
        <f t="array" ref="IE146">IF(IC146="","",_xlfn.LET(_xlpm.tk,_xlfn.TEXTSPLIT(SUBSTITUTE(SUBSTITUTE(IC146,";"," "),"→"," ")," ",,TRUE),_xlpm.v_,_xlfn._xlws.FILTER(_xlpm.tk,ISNUMBER(--LEFT(_xlpm.tk,1))*((ISNUMBER(SEARCH("V",_xlpm.tk))+(RIGHT(UPPER(_xlpm.tk))="В"))&gt;0),""),IFERROR(--SUBSTITUTE(SUBSTITUTE(UPPER(INDEX(_xlpm.v_,1)),"V",""),"В",""),"")))</f>
        <v/>
      </c>
      <c r="IF146" s="6" t="str">
        <f>IF(OR(BV146=0,HI146="",HJ146=""),"",IFERROR(N(_xlfn.XLOOKUP(HI146,Каталог!$C$4:$C$500,Каталог!$Q$4:$Q$500)),""))</f>
        <v/>
      </c>
      <c r="IG146" s="6" t="str">
        <f>IF(N(IF146)=0,"",SUMIFS(Линии[Iр, А],Линии[Щит],A146,Линии[_модуль гр.],HH146,Линии[Канал (итог)],HJ146))</f>
        <v/>
      </c>
      <c r="IH146" t="str">
        <f>IF(AND(B146="",HO146=""),"",_xlfn.TEXTJOIN("; ",TRUE,IF(AND(B146&lt;&gt;"",FV146=""),"нет фазы",""),IF(AND(B146&lt;&gt;"",N(GL146)=0,FG146&lt;&gt;"Нет"),"нет мощности",""),IF(AND(HN146&lt;&gt;"",COUNTIFS(Линии[Щит],A146,Линии[Клемма (итог)],HN146)&gt;1),"дубль клеммы "&amp;HN146,""),IF(AND(HQ146&lt;&gt;"",HQ146&lt;&gt;"ok"),HQ146,""),IF(HR146&lt;&gt;"",HR146,""),IF(AND(N(CB146)&gt;=4,N(BX146)=1),CB146&amp;" жил на 1 фазе",""),IF(AND(BC146="R",CG146=1,IF(CS146&lt;&gt;"",N(CV146)&gt;30,OR(N(DA146)=0,N(DA146)&gt;30))),"розетка без дифзащиты до 30 мА",""),IF(AND(CG146=1,N(DA146)&gt;0,ISNUMBER(T146)),IF(T146&gt;N(DA146)/3,"ток утечки "&amp;FIXED(T146,1)&amp;" мА &gt; 1/3 уставки ("&amp;DA146&amp;" мА)",""),""),IF(AND(CH146=1,CS146=""),"«узо»: нет строки с УЗО выше (УЗО 2P 40А 30мА в «Аппаратах»)",""),IF(AND(CS146&lt;&gt;"",CS146=BA146),IF(CT146="","впишите номинал УЗО (УЗО 2P 40А 30мА)",IF(N(CT146)&lt;N(DT146),"УЗО "&amp;CT146&amp;" А &lt; автомата "&amp;DT146&amp;" А перед ним",IF(N(CT146)&lt;N(CX146),"УЗО "&amp;CT146&amp;" А &lt; тока блока "&amp;FIXED(CX146,1)&amp;" А",""))),""),IF(AND(CS146&lt;&gt;"",CS146=BA146,ISNUMBER(CY146)),IF(CY146&gt;N(CV146)/3,"ток утечки блока УЗО "&amp;FIXED(CY146,1)&amp;" мА &gt; 1/3 уставки ("&amp;CV146&amp;" мА)",""),""),IF(AND(CG146=1,N(BV146)+N(IB146)&gt;0,IC146=""),"линии до 50 В без БП: впишите в «Аппараты» (БП 24V 480W)",""),IF(AND(CG146=1,ISNUMBER(ID146),ISNUMBER(U146)),IF(U146&gt;ID146,"БП "&amp;ID146&amp;" Вт &lt; нужно "&amp;U146&amp;" Вт (×"&amp;Запас_БП&amp;")",""),""),IF(AND(CG146=1,ISNUMBER(IE146),N(BV146)=1),IF(IE146&lt;&gt;N(BU146),"БП на "&amp;IE146&amp;" В, линия "&amp;BU146&amp;" В",""),""),IF(AND(N(IF146)&gt;0,N(IG146)&gt;N(IF146)),HH146&amp;" канал "&amp;HJ146&amp;": "&amp;FIXED(IG146,1)&amp;" А &gt; "&amp;IF146&amp;" А",""),IFERROR(IF(AND(ISNUMBER(Q146),Q146&gt;EL146),"потери "&amp;FIXED(Q146,1)&amp;" % &gt; "&amp;EL146&amp;" %",""),""),IFERROR(IF(LEFT(HU146,4)="мало","Iкз мало — отключение &gt; 0,4 с",""),""),IF(AND(B146&lt;&gt;"",BM146=""),"не на схеме",""),IF(AND(CG146=0,B146&lt;&gt;"",FV146&lt;&gt;"",IF(BA146=1,"",FW145)&lt;&gt;"",FV146&lt;&gt;IF(BA146=1,"",FW145)),"фаза не как у автомата группы ("&amp;IF(BA146=1,"",FW145)&amp;")","")))</f>
        <v/>
      </c>
      <c r="II146" s="6" t="str">
        <f>IF(OR(CG146=0,DQ146=""),"",_xlfn.LET(_xlpm.t,IFERROR(_xlfn.XLOOKUP(DQ146,Каталог!$U$4:$U$500,Каталог!$G$4:$G$500),""),_xlpm.k,SEARCH("кА",_xlpm.t),IFERROR(--TRIM(RIGHT(SUBSTITUTE(MID(_xlpm.t,MAX(1,_xlpm.k-4),_xlpm.k-MAX(1,_xlpm.k-4))," ",REPT(" ",9)),5)),"")))</f>
        <v/>
      </c>
      <c r="IJ146" t="str">
        <f>IF(OR(II146="",CG146=0),"",IF(_xlfn.XLOOKUP(A146,Щиты[Щит],Щиты[Iкз max на шинах, кА],"")="","",IF(II146&lt;_xlfn.XLOOKUP(A146,Щиты[Щит],Щиты[Iкз max на шинах, кА]),"Icu "&amp;II146&amp;" кА &lt; Iкз max","ok")))</f>
        <v/>
      </c>
      <c r="IK146" t="str">
        <f t="shared" si="389"/>
        <v/>
      </c>
      <c r="IL146" t="str">
        <f t="shared" si="390"/>
        <v>QF16</v>
      </c>
      <c r="IM146" t="str">
        <f t="shared" si="391"/>
        <v>QF16|кабель ВВГнг(А)-LS (3х1,5) → Вытяжная установка Технический этаж Пом. №001Т</v>
      </c>
      <c r="IN146" t="str" cm="1">
        <f t="array" ref="IN146">IF(IM146="","",_xlfn.LET(_xlpm.nd,_xlfn.TEXTSPLIT(IM146,"|"),IF(COLUMNS(_xlpm.nd)&gt;1,A146&amp;"¦"&amp;INDEX(_xlpm.nd,1)&amp;"¦"&amp;INDEX(_xlpm.nd,2),"")))</f>
        <v>ЩОВ-2¦QF16¦кабель ВВГнг(А)-LS (3х1,5) → Вытяжная установка Технический этаж Пом. №001Т</v>
      </c>
      <c r="IO146" t="str">
        <f t="shared" si="392"/>
        <v>В.22¦Вытяжная установка Технический этаж Пом. №001Т</v>
      </c>
      <c r="IP146" t="str" cm="1">
        <f t="array" ref="IP146">IF(IM146="","",_xlfn.LET(_xlpm.nd,_xlfn.TEXTSPLIT(IM146,"|"),IF(COLUMNS(_xlpm.nd)&gt;2,A146&amp;"¦"&amp;INDEX(_xlpm.nd,2)&amp;"¦"&amp;INDEX(_xlpm.nd,3),"")))</f>
        <v/>
      </c>
      <c r="IQ146" t="str">
        <f t="shared" si="393"/>
        <v/>
      </c>
      <c r="IR146" t="str" cm="1">
        <f t="array" ref="IR146">IF(IM146="","",_xlfn.LET(_xlpm.nd,_xlfn.TEXTSPLIT(IM146,"|"),IF(COLUMNS(_xlpm.nd)&gt;3,A146&amp;"¦"&amp;INDEX(_xlpm.nd,3)&amp;"¦"&amp;INDEX(_xlpm.nd,4),"")))</f>
        <v/>
      </c>
      <c r="IS146" t="str">
        <f t="shared" si="394"/>
        <v/>
      </c>
      <c r="IT146" t="str" cm="1">
        <f t="array" ref="IT146">IF(IM146="","",_xlfn.LET(_xlpm.nd,_xlfn.TEXTSPLIT(IM146,"|"),IF(COLUMNS(_xlpm.nd)&gt;4,A146&amp;"¦"&amp;INDEX(_xlpm.nd,4)&amp;"¦"&amp;INDEX(_xlpm.nd,5),"")))</f>
        <v/>
      </c>
      <c r="IU146" t="str">
        <f t="shared" si="395"/>
        <v/>
      </c>
      <c r="IV146" t="str" cm="1">
        <f t="array" ref="IV146">IF(IM146="","",_xlfn.LET(_xlpm.nd,_xlfn.TEXTSPLIT(IM146,"|"),IF(COLUMNS(_xlpm.nd)&gt;5,A146&amp;"¦"&amp;INDEX(_xlpm.nd,5)&amp;"¦"&amp;INDEX(_xlpm.nd,6),"")))</f>
        <v/>
      </c>
      <c r="IW146" t="str">
        <f t="shared" si="396"/>
        <v/>
      </c>
      <c r="IX146" t="str" cm="1">
        <f t="array" ref="IX146">IF(IM146="","",_xlfn.LET(_xlpm.nd,_xlfn.TEXTSPLIT(IM146,"|"),IF(COLUMNS(_xlpm.nd)&gt;6,A146&amp;"¦"&amp;INDEX(_xlpm.nd,6)&amp;"¦"&amp;INDEX(_xlpm.nd,7),"")))</f>
        <v/>
      </c>
      <c r="IY146" t="str">
        <f t="shared" si="397"/>
        <v/>
      </c>
      <c r="IZ146" t="str">
        <f t="shared" si="398"/>
        <v/>
      </c>
      <c r="JA146" t="str">
        <f t="shared" si="399"/>
        <v>QF16</v>
      </c>
      <c r="JB146">
        <f t="shared" si="400"/>
        <v>0</v>
      </c>
      <c r="JC146">
        <f t="shared" si="401"/>
        <v>0</v>
      </c>
      <c r="JD146" t="str">
        <f t="shared" si="402"/>
        <v/>
      </c>
      <c r="JE146" t="str">
        <f t="shared" si="403"/>
        <v/>
      </c>
      <c r="JF146" t="str">
        <f t="shared" si="404"/>
        <v/>
      </c>
      <c r="JG146" t="str">
        <f t="shared" si="405"/>
        <v/>
      </c>
      <c r="JH146" t="str">
        <f>IF(B146="","",IFERROR(_xlfn.XLOOKUP(B146,Коды_код,Коды_уго),IFERROR(_xlfn.XLOOKUP(BC146,Коды_код,Коды_уго),IFERROR(_xlfn.XLOOKUP(LEFT(BC146,2),Коды_код,Коды_уго),""))))</f>
        <v>Привод (двигатель)</v>
      </c>
      <c r="JI146" t="str">
        <f>IF(B146="","",IF(OR(JH146="",JH146=0),"BOX",IFERROR(IF(VLOOKUP(JH146,УГО_блоки,3,FALSE)&amp;""&lt;&gt;"",VLOOKUP(JH146,УГО_блоки,3,FALSE),VLOOKUP(JH146,УГО_блоки,2,FALSE)),JH146)))</f>
        <v>MOTOR</v>
      </c>
      <c r="JJ146">
        <f t="shared" si="406"/>
        <v>1</v>
      </c>
      <c r="JK146" t="str">
        <f>IF(DQ146="","",IF(COUNTIF(DQ$3:DQ146,DQ146)=1,MAX(JK$2:JK145)+1,""))</f>
        <v/>
      </c>
      <c r="JL146" t="str">
        <f>IF(DE146="","",IF(COUNTIF(DE$3:DE146,DE146)+COUNTIF(DF$2:DF145,DE146)+COUNTIF(DG$2:DG145,DE146)=1,MAX(JL$2:JN145)+1,""))</f>
        <v/>
      </c>
      <c r="JM146" t="str">
        <f>IF(DF146="","",IF(COUNTIF(DE$3:DE146,DF146)+COUNTIF(DF$3:DF146,DF146)+COUNTIF(DG$2:DG145,DF146)=1,MAX(JL$2:JN145,JL146)+1,""))</f>
        <v/>
      </c>
      <c r="JN146" t="str">
        <f>IF(DG146="","",IF(COUNTIF(DE$3:DE146,DG146)+COUNTIF(DF$3:DF146,DG146)+COUNTIF(DG$3:DG146,DG146)=1,MAX(JL$2:JN145,JL146,JM146)+1,""))</f>
        <v/>
      </c>
      <c r="JO146" t="str">
        <f t="shared" si="407"/>
        <v>3х1,5</v>
      </c>
      <c r="JP146" t="str">
        <f>IF(JO146="","",IF(COUNTIF(JO$3:JO146,JO146)=1,MAX(JP$2:JP145)+1,""))</f>
        <v/>
      </c>
      <c r="JQ146" t="str">
        <f>IF(HG146="","",COUNTIF(HG$3:HG146,"?*"))</f>
        <v/>
      </c>
      <c r="JR146" t="str">
        <f>IF(OR(HG146="",HI146=""),"",IF(COUNTIFS(HG$3:HG146,"?*",HI$3:HI146,HI146)=1,MAX(JR$2:JR145)+1,""))</f>
        <v/>
      </c>
      <c r="JS146">
        <f t="shared" si="408"/>
        <v>0</v>
      </c>
      <c r="JT146">
        <f>IF(B146="","",COUNTIF(B$3:B146,"?*"))</f>
        <v>144</v>
      </c>
      <c r="JU146">
        <f>IF(HL146&lt;&gt;1,0,_xlfn.LET(_xlpm.k,MAX(IFERROR(--_xlfn.XLOOKUP(B146,Коды_код,Коды_3L),0),IFERROR(--_xlfn.XLOOKUP(BC146,Коды_код,Коды_3L),0),IFERROR(--_xlfn.XLOOKUP(LEFT(BC146,2),Коды_код,Коды_3L),0)),IF(_xlpm.k&gt;0,_xlpm.k,IF(IFERROR(--LEFT(SUBSTITUTE(JO146,"x","х"),FIND("х",SUBSTITUTE(JO146,"x","х"))-1),3)&gt;3,Каталог!$S$9,1))))</f>
        <v>1</v>
      </c>
      <c r="JV146">
        <f t="shared" si="409"/>
        <v>0</v>
      </c>
      <c r="JW146" t="str">
        <f t="shared" si="410"/>
        <v>авто</v>
      </c>
      <c r="JX146" t="str">
        <f t="shared" si="411"/>
        <v/>
      </c>
      <c r="JY146">
        <f t="shared" si="412"/>
        <v>0</v>
      </c>
      <c r="JZ146">
        <f t="shared" si="413"/>
        <v>1</v>
      </c>
    </row>
    <row r="147" spans="1:286" x14ac:dyDescent="0.3">
      <c r="A147" t="s">
        <v>751</v>
      </c>
      <c r="B147" t="s">
        <v>1456</v>
      </c>
      <c r="C147" t="s">
        <v>1689</v>
      </c>
      <c r="D147">
        <v>1</v>
      </c>
      <c r="E147">
        <v>0.27</v>
      </c>
      <c r="G147" t="str">
        <f>Линии[[#This Row],[_авто автомат]]</f>
        <v>1P С6А</v>
      </c>
      <c r="H147" t="str">
        <f>Линии[[#This Row],[_авто управление]]</f>
        <v/>
      </c>
      <c r="I147" t="str">
        <f>Линии[[#This Row],[_авто аппараты]]</f>
        <v/>
      </c>
      <c r="J147">
        <v>1.5</v>
      </c>
      <c r="K147">
        <v>30</v>
      </c>
      <c r="L147">
        <v>1</v>
      </c>
      <c r="M147" t="s">
        <v>484</v>
      </c>
      <c r="N147" t="str">
        <f t="shared" si="276"/>
        <v/>
      </c>
      <c r="O147" s="6" cm="1">
        <f t="array" ref="O147">IF(B147="","",IF(BH147&lt;&gt;"",IFERROR(_xlfn.XLOOKUP(BH147,Щиты[Щит],Щиты[Iр, А]),""),IF(BP147=1,IF(OR(N(_xlfn.XLOOKUP(A147,Щиты[Щит],Щиты[Вводов],1))&lt;=1,LOWER(TRIM(_xlfn.XLOOKUP(A147,Щиты[Щит],Щиты[АВР],"")&amp;""))="да"),IFERROR(_xlfn.XLOOKUP(A147,Щиты[Щит],Щиты[Iр, А]),""),IFERROR(N(BS147)*_xlfn.XLOOKUP(A147,Щиты[Щит],Щиты[Кс итог])/(SQRT(3)*Uн_лин*_xlfn.XLOOKUP(A147,Щиты[Щит],Щиты[cos φ])),"")),IF(BV147=1,IFERROR(BS147*1000/BU147,""),IFERROR(_xlfn.IFS(BX147=1,BS147/((Uн_лин/SQRT(3))*CE147),BX147=3,BS147/(SQRT(3)*Uн_лин*CE147)),"")))))</f>
        <v>1.46141786888624</v>
      </c>
      <c r="P147" s="7">
        <f>IF(B147="","",IFERROR(IF(VLOOKUP(BC147,Потребители_обозначение,4,FALSE)=1,VLOOKUP(BC147,Потребители_обозначение,3,FALSE)*(MAX(1,N(D147))*2-1)+EI147+VLOOKUP(BE147,Этаж_обозначение,3,FALSE)+VLOOKUP(BE147,Этаж_обозначение,4,FALSE),VLOOKUP(BC147,Потребители_обозначение,3,FALSE)*(MAX(1,N(D147))*2-1)+EI147),EI147))</f>
        <v>34</v>
      </c>
      <c r="Q147" s="6">
        <f t="shared" si="277"/>
        <v>1.66</v>
      </c>
      <c r="R147" t="str">
        <f t="shared" si="278"/>
        <v>ВВГнг(А)-LS (3х1,5)</v>
      </c>
      <c r="S147" t="str">
        <f>IF(BM147="","",IF(BN147="вводной узел","узел ","")&amp;"л."&amp;(INT((BM147-1)/Столбцов_на_лист)+1)&amp;" / "&amp;(MOD(BM147-1,Столбцов_на_лист)+1))</f>
        <v>л.2 / 14</v>
      </c>
      <c r="T147" s="119">
        <f t="shared" si="279"/>
        <v>0.9</v>
      </c>
      <c r="U147" s="7" t="str">
        <f>IF(OR(CG147=0,N(BV147)+N(IB147)=0),"",ROUNDUP(Запас_БП*(N(HY147)+N(HZ147)),0))</f>
        <v/>
      </c>
      <c r="V147" s="119" t="str">
        <f t="shared" si="280"/>
        <v/>
      </c>
      <c r="W147" s="7" t="str">
        <f>IFERROR(IF(OR(B147="",BP147=1,BV147=1,NOT(ISNUMBER(EN147)),N(DT147)=0),"",MAX(0,ROUNDDOWN((c_min*(Uн_лин*1000/SQRT(3))/(HT147*N(DT147))-_xlfn.XLOOKUP(A147,Щиты[Щит],Щиты[Zпетли на шинах, Ом]))*EN147/(2*ρкз_Cu),0))),"")</f>
        <v/>
      </c>
      <c r="Y147" t="str">
        <f>Линии[[#This Row],[_авто утечка]]</f>
        <v/>
      </c>
      <c r="Z147">
        <v>1</v>
      </c>
      <c r="AA147">
        <v>230</v>
      </c>
      <c r="AB147" t="s">
        <v>598</v>
      </c>
      <c r="AC147">
        <v>0.5</v>
      </c>
      <c r="AG147" t="s">
        <v>810</v>
      </c>
      <c r="AI147" t="s">
        <v>580</v>
      </c>
      <c r="AK147" t="str">
        <f>Линии[[#This Row],[_авто модуль]]</f>
        <v/>
      </c>
      <c r="AM147">
        <v>31</v>
      </c>
      <c r="AN147" t="s">
        <v>11</v>
      </c>
      <c r="AO147">
        <v>3</v>
      </c>
      <c r="AQ147">
        <v>4</v>
      </c>
      <c r="AR147">
        <v>30</v>
      </c>
      <c r="AT147">
        <v>1</v>
      </c>
      <c r="BA147" cm="1">
        <f t="array" ref="BA147">ROW()-ROW(Линии[#Headers])</f>
        <v>145</v>
      </c>
      <c r="BC147" s="6" t="str">
        <f t="shared" si="281"/>
        <v>В</v>
      </c>
      <c r="BD147" t="str">
        <f t="shared" si="282"/>
        <v>23</v>
      </c>
      <c r="BE147" t="str">
        <f t="shared" si="283"/>
        <v>23</v>
      </c>
      <c r="BF147" t="str">
        <f t="shared" si="284"/>
        <v/>
      </c>
      <c r="BG147" t="str">
        <f t="shared" si="285"/>
        <v/>
      </c>
      <c r="BH147" t="str">
        <f>IF(X147&lt;&gt;"",X147,IF(AND(B147&lt;&gt;"",B147&lt;&gt;A147,ISNUMBER(_xlfn.XMATCH(B147,Щиты[Щит]))),B147,""))</f>
        <v/>
      </c>
      <c r="BI147" t="str" cm="1">
        <f t="array" ref="BI147">IF(B147="","",IF(BH147&lt;&gt;"","Щит "&amp;BH147,_xlfn.LET(_xlpm.nm,IFERROR(_xlfn.XLOOKUP(BC147,Коды_код,Коды_имя)&amp;"",""),_xlpm.md,IFERROR(N(_xlfn.XLOOKUP(BC147,Коды_код,Коды_режим)),1),_xlpm.ex,IF(Имя_режим="по экспликации",IFERROR(_xlfn.XLOOKUP(BE147&amp;"|"&amp;BG147,Экспликация[Этаж]&amp;"|"&amp;Экспликация[Помещение],Экспликация[Название])&amp;"",""),""),_xlpm.rm,IF(BG147="","",IF(_xlpm.ex&lt;&gt;"",". "&amp;_xlpm.ex&amp;IF(Имя_пом="нет"," ("&amp;BG147&amp;")"," (пом. "&amp;BG147&amp;")"),IF(Имя_пом="нет"," ",", пом. ")&amp;BG147)),IF(_xlpm.nm="","",IF(_xlpm.md=2,_xlpm.nm&amp;" шлейф "&amp;BE147,_xlpm.nm&amp;_xlpm.rm)))))</f>
        <v>Вытяжная установка шлейф 23</v>
      </c>
      <c r="BJ147" t="str">
        <f t="shared" si="286"/>
        <v>Вытяжная установка Технический этаж Пом. №001Т</v>
      </c>
      <c r="BK147">
        <f>IFERROR(_xlfn.XMATCH(A147,Щиты[Щит]),0)</f>
        <v>7</v>
      </c>
      <c r="BL147">
        <f>_xlfn.LET(_xlpm.k,IFERROR(_xlfn.XLOOKUP(A147,Щиты[Щит],Щиты[Мест под вводной узел]),""),IF(_xlpm.k="",Столбцов_на_лист,N(_xlpm.k)))</f>
        <v>12</v>
      </c>
      <c r="BM147">
        <f t="shared" si="287"/>
        <v>31</v>
      </c>
      <c r="BN147" t="str">
        <f t="shared" si="288"/>
        <v>линии</v>
      </c>
      <c r="BO147" s="6">
        <f>IFERROR(N(_xlfn.XLOOKUP(BC147,Коды_код,Коды_квт)),0)</f>
        <v>0</v>
      </c>
      <c r="BP147">
        <f t="shared" si="289"/>
        <v>0</v>
      </c>
      <c r="BQ147" t="str">
        <f>IF(B147="","",IF(BH147&lt;&gt;"",IFERROR(_xlfn.XLOOKUP(BH147,Щиты[Щит],Щиты[Руст, кВт]),0),IF(BP147=1,IF(OR(N(_xlfn.XLOOKUP(A147,Щиты[Щит],Щиты[Вводов],1))&lt;=1,LOWER(TRIM(_xlfn.XLOOKUP(A147,Щиты[Щит],Щиты[АВР],"")&amp;""))="да"),IFERROR(_xlfn.XLOOKUP(A147,Щиты[Щит],Щиты[Руст, кВт]),0),SUMIFS(Линии[_Р для вводов],Линии[Щит],A147,Линии[Источник для режимов],GF147)),IF(BO147&gt;0,ROUND(BO147*MAX(1,N(D147)),3),""))))</f>
        <v/>
      </c>
      <c r="BR147">
        <f t="shared" si="290"/>
        <v>0.27</v>
      </c>
      <c r="BS147" s="6">
        <f>IF(B147="","",IF(BH147&lt;&gt;"",IFERROR(_xlfn.XLOOKUP(BH147,Щиты[Щит],Щиты[Руст, кВт]),0),N(BR147)))</f>
        <v>0.27</v>
      </c>
      <c r="BT147" t="str">
        <f>IF(B147="","",IFERROR(IF(VLOOKUP(BC147,Потребители_обозначение,8,FALSE)=0,"",VLOOKUP(BC147,Потребители_обозначение,8,FALSE)),""))</f>
        <v/>
      </c>
      <c r="BU147">
        <f t="shared" si="291"/>
        <v>230</v>
      </c>
      <c r="BV147">
        <f t="shared" si="292"/>
        <v>0</v>
      </c>
      <c r="BW147">
        <f>IF(B147="","",IF(BH147&lt;&gt;"",3,IFERROR(IF(N(VLOOKUP(BC147,Потребители_обозначение,9,FALSE))=0,1,VLOOKUP(BC147,Потребители_обозначение,9,FALSE)),1)))</f>
        <v>1</v>
      </c>
      <c r="BX147">
        <f t="shared" si="293"/>
        <v>1</v>
      </c>
      <c r="BY147" t="str">
        <f>IF(B147="","",_xlfn.LET(_xlpm.bc,IFERROR(IF(VLOOKUP(BC147,Потребители_обозначение,6,FALSE)=0,"",VLOOKUP(BC147,Потребители_обозначение,6,FALSE)&amp;""),""),IF(AND(GA147="да",OR(_xlpm.bc="",_xlpm.bc="мс")),Марка_пож,IF(AND(_xlpm.bc="",BH147&lt;&gt;""),"мс",_xlpm.bc))))</f>
        <v/>
      </c>
      <c r="BZ147" t="str">
        <f t="shared" si="294"/>
        <v>мс</v>
      </c>
      <c r="CA147">
        <f>IF(B147="","",_xlfn.LET(_xlpm.cc,IFERROR(N(VLOOKUP(BC147,Потребители_обозначение,7,FALSE)),0),IF(_xlpm.cc&gt;0,_xlpm.cc,IF(BZ147="","",IF(BV147=1,2,IF(N(BX147)=3,5,3))))))</f>
        <v>3</v>
      </c>
      <c r="CB147">
        <f t="shared" si="295"/>
        <v>3</v>
      </c>
      <c r="CC147">
        <f>IFERROR(N(VLOOKUP(BC147,Потребители_обозначение,10,FALSE)),0)</f>
        <v>0</v>
      </c>
      <c r="CD147">
        <f>IFERROR(VLOOKUP(BC147,Потребители_обозначение,5,FALSE),0)</f>
        <v>1</v>
      </c>
      <c r="CE147" s="6" cm="1">
        <f t="array" ref="CE147">IF(B147="","",IF(BH147&lt;&gt;"",IFERROR(_xlfn.XLOOKUP(BH147,Щиты[Щит],Щиты[cos φ]),0.95),IF(BP147=1,IFERROR(_xlfn.XLOOKUP(A147,Щиты[Щит],Щиты[cos φ]),0.95),IF(ISNUMBER(AD147),AD147,IFERROR(IF(CD147=2,_xlfn.IFS(BX147=3,VLOOKUP(BS147,Справочная_двигатели,8,FALSE),BX147=1,VLOOKUP(BS147,Справочная_двигатели,10,TRUE)),IF(AND(Методика="нормы 2026",FG147="Сил"),0.8,0.95)),0.95)))))</f>
        <v>0.8</v>
      </c>
      <c r="CF147">
        <f t="shared" si="296"/>
        <v>0</v>
      </c>
      <c r="CG147">
        <f t="shared" si="297"/>
        <v>1</v>
      </c>
      <c r="CH147">
        <f t="shared" si="298"/>
        <v>0</v>
      </c>
      <c r="CI147">
        <f>IF(B147="","",IF(BV147=1,IFERROR(BS147/((Uн_лин/SQRT(3))*MAX(0.5,N(CE147))),0),N(O147)))</f>
        <v>1.46141786888624</v>
      </c>
      <c r="CJ147">
        <f t="shared" si="299"/>
        <v>0</v>
      </c>
      <c r="CK147">
        <f t="shared" si="300"/>
        <v>0</v>
      </c>
      <c r="CL147">
        <f t="shared" si="301"/>
        <v>0</v>
      </c>
      <c r="CM147">
        <f t="shared" si="302"/>
        <v>0</v>
      </c>
      <c r="CN147">
        <f t="shared" si="303"/>
        <v>0</v>
      </c>
      <c r="CO147">
        <f>IF(BC147="",0,_xlfn.LET(_xlpm.v,IFERROR(_xlfn.XLOOKUP(B147,Коды_код,Коды_мА),IFERROR(_xlfn.XLOOKUP(BC147,Коды_код,Коды_мА),IFERROR(_xlfn.XLOOKUP(LEFT(BC147,2),Коды_код,Коды_мА),""))),IF(_xlpm.v="да",30,IF(ISNUMBER(_xlpm.v),_xlpm.v,0))))</f>
        <v>0</v>
      </c>
      <c r="CP147" t="str">
        <f t="shared" si="304"/>
        <v/>
      </c>
      <c r="CQ147" t="str">
        <f>_xlfn.LET(_xlpm.k,IFERROR(_xlfn.XLOOKUP(BC147,Коды_код,Коды_утечка)&amp;"",""),IF(_xlpm.k="","дифавтомат",_xlpm.k))</f>
        <v>дифавтомат</v>
      </c>
      <c r="CR147" t="str" cm="1">
        <f t="array" ref="CR147">IF(CG147=0,"",_xlfn.LET(_xlpm.sg,TRIM(_xlfn.TEXTSPLIT(DD147&amp;"",";")),_xlpm.f_,_xlfn._xlws.FILTER(_xlpm.sg,LEFT(_xlpm.sg,3)="УЗО",""),IFERROR(INDEX(_xlpm.f_,1)&amp;"","")))</f>
        <v/>
      </c>
      <c r="CS147" t="str">
        <f t="shared" si="305"/>
        <v/>
      </c>
      <c r="CT147" s="6" t="str" cm="1">
        <f t="array" ref="CT147">IF(CR147="","",_xlfn.LET(_xlpm.tk,_xlfn.TEXTSPLIT(UPPER(CR147)," ",,TRUE),_xlpm.a_,_xlfn._xlws.FILTER(_xlpm.tk,ISNUMBER(--LEFT(_xlpm.tk,1))*((ISNUMBER(SEARCH("А",_xlpm.tk))+ISNUMBER(SEARCH("A",_xlpm.tk)))&gt;0)*NOT(ISNUMBER(SEARCH("МА",_xlpm.tk)))*NOT(ISNUMBER(SEARCH("MA",_xlpm.tk))),""),IFERROR(--SUBSTITUTE(SUBSTITUTE(INDEX(_xlpm.a_,1),"А",""),"A",""),"")))</f>
        <v/>
      </c>
      <c r="CU147" t="str" cm="1">
        <f t="array" ref="CU147">IF(CR147="","",_xlfn.LET(_xlpm.tk,_xlfn.TEXTSPLIT(UPPER(CR147)," ",,TRUE),_xlpm.a_,_xlfn._xlws.FILTER(_xlpm.tk,ISNUMBER(--LEFT(_xlpm.tk,1))*((ISNUMBER(SEARCH("МА",_xlpm.tk))+ISNUMBER(SEARCH("MA",_xlpm.tk)))&gt;0),""),IFERROR(--SUBSTITUTE(SUBSTITUTE(INDEX(_xlpm.a_,1),"МА",""),"MA",""),30)))</f>
        <v/>
      </c>
      <c r="CV147" t="str">
        <f>IF(CS147="","",IFERROR(_xlfn.XLOOKUP(CS147,Линии[_n],Линии[_УЗО, мА]),30))</f>
        <v/>
      </c>
      <c r="CW147">
        <f>IF(CS147="",0,IF(ISNUMBER(SEARCH("4P",IFERROR(_xlfn.XLOOKUP(CS147,Линии[_n],Линии[_УЗО строки])&amp;"",""))),0,1))</f>
        <v>0</v>
      </c>
      <c r="CX147" t="str">
        <f>IF(AND(CS147&lt;&gt;"",CS147=BA147),SUMIFS(Линии[_ток на 230 В],Линии[_блок УЗО],BA147,Линии[Щит],A147),"")</f>
        <v/>
      </c>
      <c r="CY147" t="str">
        <f>IF(AND(CS147&lt;&gt;"",CS147=BA147),SUMIFS(Линии[_ток утечки линии, мА],Линии[_блок УЗО],BA147,Линии[Щит],A147),"")</f>
        <v/>
      </c>
      <c r="CZ147">
        <f t="shared" si="306"/>
        <v>0</v>
      </c>
      <c r="DA147">
        <f t="shared" si="307"/>
        <v>0</v>
      </c>
      <c r="DB147">
        <f>IF(B147="",0,IFERROR(--_xlfn.XLOOKUP(B147,Коды_код,Коды_минавт),IFERROR(--_xlfn.XLOOKUP(BC147,Коды_код,Коды_минавт),IFERROR(--_xlfn.XLOOKUP(LEFT(BC147,2),Коды_код,Коды_минавт),0))))</f>
        <v>0</v>
      </c>
      <c r="DC147" t="str">
        <f>IF(B147="","",IFERROR(_xlfn.XLOOKUP(BC147,Коды_код,Коды_апп)&amp;"",""))</f>
        <v/>
      </c>
      <c r="DD147" t="str">
        <f t="shared" si="308"/>
        <v/>
      </c>
      <c r="DE147" t="str" cm="1">
        <f t="array" ref="DE147">IF(TRIM(DD147&amp;"")="","",IFERROR(TRIM(INDEX(_xlfn.TEXTSPLIT(DD147&amp;";;;",";"),1)),""))</f>
        <v/>
      </c>
      <c r="DF147" t="str" cm="1">
        <f t="array" ref="DF147">IF(TRIM(DD147&amp;"")="","",IFERROR(TRIM(INDEX(_xlfn.TEXTSPLIT(DD147&amp;";;;",";"),2)),""))</f>
        <v/>
      </c>
      <c r="DG147" t="str" cm="1">
        <f t="array" ref="DG147">IF(TRIM(DD147&amp;"")="","",IFERROR(TRIM(INDEX(_xlfn.TEXTSPLIT(DD147&amp;";;;",";"),3)),""))</f>
        <v/>
      </c>
      <c r="DH147">
        <f t="shared" si="309"/>
        <v>0</v>
      </c>
      <c r="DI147" t="str">
        <f>IF(B147="","",_xlfn.LET(_xlpm.t,LOWER(AZ147&amp;""),IF(ISNUMBER(SEARCH("dim",_xlpm.t)),"DIM",IF(ISNUMBER(SEARCH("dali",_xlpm.t)),"DALI",IF(OR(ISNUMBER(SEARCH("relay",_xlpm.t)),ISNUMBER(SEARCH("реле",_xlpm.t))),"Relay",IF(ISNUMBER(SEARCH("кнопк",_xlpm.t)),"",IFERROR(_xlfn.XLOOKUP(BC147,Коды_код,Коды_упр)&amp;"","")))))))</f>
        <v/>
      </c>
      <c r="DJ147" t="str">
        <f t="shared" si="310"/>
        <v/>
      </c>
      <c r="DK147">
        <f>IF(B147="","",_xlfn.LET(_xlpm.ig,IF(N(CX147)&gt;0,N(CX147),N(CI147)+IF(AJ147="вручную",0,N(CJ147))),_xlpm.n0,IFERROR(VLOOKUP(_xlpm.ig,Автомат_номиналы,2,TRUE),0),_xlpm.mn,MAX(DB147,IF(AJ147="вручную",0,N(CM147))),MAX(_xlpm.n0,_xlpm.mn,IF(DH147=1,Мин_автомат_БП,0))))</f>
        <v>6</v>
      </c>
      <c r="DL147">
        <f t="shared" si="311"/>
        <v>1</v>
      </c>
      <c r="DM147" t="str">
        <f t="shared" si="312"/>
        <v>1P</v>
      </c>
      <c r="DN147" t="str">
        <f>_xlfn.LET(_xlpm.cc,UPPER(TRIM(IFERROR(_xlfn.XLOOKUP(BC147,Коды_код,Коды_хар)&amp;"",""))),IF(OR(_xlpm.cc="B",_xlpm.cc="В"),"B",IF(_xlpm.cc="D","D","С")))</f>
        <v>С</v>
      </c>
      <c r="DO147" t="str">
        <f t="shared" si="313"/>
        <v>1P С6А</v>
      </c>
      <c r="DP147" t="str">
        <f t="shared" si="314"/>
        <v>1P С6А</v>
      </c>
      <c r="DQ147" t="str">
        <f t="shared" si="315"/>
        <v>1P С6А</v>
      </c>
      <c r="DR147" cm="1">
        <f t="array" ref="DR147">IF(DQ147="","",_xlfn.LET(_xlpm.t,SUBSTITUTE(SUBSTITUTE(SUBSTITUTE(UPPER(DQ147),"С","C"),"А","A"),"В","B"),_xlpm.tk,_xlfn.TEXTSPLIT(_xlpm.t," "),_xlpm.f,_xlfn._xlws.FILTER(_xlpm.tk,ISNUMBER(--MID(_xlpm.tk,2,1))*ISNUMBER(SEARCH(LEFT(_xlpm.tk,1)&amp;"#","B#C#D#"))*(LEN(_xlpm.tk)&gt;1),""),_xlpm.x,INDEX(_xlpm.f,1),IFERROR(--SUBSTITUTE(MID(_xlpm.x,2,9),"A",""),IFERROR(--SUBSTITUTE(INDEX(_xlfn._xlws.FILTER(_xlpm.tk,ISNUMBER(--SUBSTITUTE(_xlpm.tk,"A","")),""),1),"A",""),""))))</f>
        <v>6</v>
      </c>
      <c r="DS147" t="str">
        <f t="shared" si="316"/>
        <v>ok</v>
      </c>
      <c r="DT147">
        <f t="shared" si="317"/>
        <v>6</v>
      </c>
      <c r="DU147" t="str">
        <f t="shared" si="318"/>
        <v>1P С6А</v>
      </c>
      <c r="DV147">
        <f t="shared" si="319"/>
        <v>0</v>
      </c>
      <c r="DW147">
        <f t="shared" si="320"/>
        <v>0</v>
      </c>
      <c r="DX147">
        <f t="shared" si="321"/>
        <v>0</v>
      </c>
      <c r="DY147">
        <f t="shared" si="322"/>
        <v>1.46141786888624</v>
      </c>
      <c r="DZ147">
        <f t="shared" si="323"/>
        <v>1</v>
      </c>
      <c r="EA147">
        <f>IF(ISNUMBER(AP147),AP147,К_прокл)</f>
        <v>1</v>
      </c>
      <c r="EB147">
        <f t="shared" si="324"/>
        <v>2</v>
      </c>
      <c r="EC147">
        <f>IFERROR(N(VLOOKUP(BZ147,Кабель_обозначение,3,FALSE)),1)</f>
        <v>1</v>
      </c>
      <c r="ED147">
        <f>IFERROR(N(_xlfn.XLOOKUP(A147,Щиты[Щит],Щиты[ΔU до шин, %])),0)</f>
        <v>1.1399999999999999</v>
      </c>
      <c r="EE147" t="str">
        <f>IFERROR(_xlfn.XLOOKUP(A147,Щиты[Щит],Щиты[Zпетли на шинах, Ом]),"")</f>
        <v/>
      </c>
      <c r="EF147">
        <f>IFERROR(N(_xlfn.XLOOKUP(A147,Щиты[Щит],Щиты[ΔU до шин (подбор), %])),0)</f>
        <v>1.82</v>
      </c>
      <c r="EG147" t="str">
        <f>IFERROR(_xlfn.XLOOKUP(A147,Щиты[Щит],Щиты[Zпетли на шинах (подбор), Ом]),"")</f>
        <v/>
      </c>
      <c r="EH147" t="str">
        <f t="shared" si="325"/>
        <v/>
      </c>
      <c r="EI147">
        <f t="shared" si="326"/>
        <v>30</v>
      </c>
      <c r="EJ147">
        <f t="shared" si="327"/>
        <v>2</v>
      </c>
      <c r="EK147">
        <f t="shared" si="328"/>
        <v>0.6</v>
      </c>
      <c r="EL147" s="6">
        <f>IF(B147="","",IF(BV147=1,dU_LED,IF(IFERROR(_xlfn.XLOOKUP(BC147,Коды_код,Коды_уго),"")="Светильник",3,4)+IF(Методика="нормы 2026",MIN(0.5,MAX(0,N(P147)-100)*0.005),0)))</f>
        <v>4</v>
      </c>
      <c r="EM147" cm="1">
        <f t="array" ref="EM147">IF(OR(B147="",BZ147="",EC147&lt;&gt;1),"",_xlfn.LET(_xlpm.sz,Iдоп_S,_xlpm.t_,CHOOSE(EB147,Iдоп_1ж,Iдоп_2ж,Iдоп_3ж)*DZ147*EA147,_xlpm.dcx,BV147=1,_xlpm.inn,IF(_xlpm.dcx,N(O147),N(DT147)),_xlpm.smin,MAX(1.5,CC147),_xlpm.L_,N(P147)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147)/N(BU147)*100,999),IFERROR(N(EJ147)*(_xlpm.rho*_xlpm.L_/_xlpm.sz*N(CE147)+_xlpm.xx*_xlpm.L_*N(EK147)/1000)*N(O147)/((Uн_лин/SQRT(3))*1000)*100,999)),_xlpm.kz,IF(OR(_xlpm.dcx,DW147=1,NOT(ISNUMBER(EG147)),_xlpm.L_=0,_xlpm.inn=0),1,IFERROR(--(c_min*(Uн_лин*1000/SQRT(3))/(EG147+2*ρкз_Cu*_xlpm.L_/_xlpm.sz)&gt;=HT147*_xlpm.inn),0)),_xlpm.ok,IFERROR((_xlpm.sz&gt;=_xlpm.smin)*(_xlpm.t_&gt;=_xlpm.inn)*IF(_xlpm.L_&gt;0,(_xlpm.du_+IF(_xlpm.dcx,0,EF147)&lt;=EL147+0.00001),1)*_xlpm.kz,0),_xlpm.r_,_xlfn._xlws.FILTER(_xlpm.sz,_xlpm.ok,"не подобрано"),INDEX(_xlpm.r_,1)))</f>
        <v>1.5</v>
      </c>
      <c r="EN147">
        <f t="shared" si="329"/>
        <v>1.5</v>
      </c>
      <c r="EO147" cm="1">
        <f t="array" ref="EO147">IF(OR(B147="",BZ147="",EC147&lt;&gt;1),"",_xlfn.LET(_xlpm.sz,Iдоп_S,_xlpm.t_,CHOOSE(EB147,Iдоп_1ж,Iдоп_2ж,Iдоп_3ж)*DZ147*EA147,_xlpm.ok,IFERROR((_xlpm.sz&gt;=MAX(1.5,CC147))*(_xlpm.t_&gt;=N(DT147)),0),_xlpm.r_,_xlfn._xlws.FILTER(_xlpm.sz,_xlpm.ok,""),INDEX(_xlpm.r_,1)))</f>
        <v>1.5</v>
      </c>
      <c r="EP147" s="6" cm="1">
        <f t="array" ref="EP147">IFERROR(ROUNDUP(N(EJ147)*(_xlfn.XLOOKUP(EO147,INDEX(Кабель_сопротивление,0,1),INDEX(Кабель_сопротивление,0,3))*N(P147)/EO147*N(CE147)+_xlfn.XLOOKUP(EO147,INDEX(Кабель_сопротивление,0,1),INDEX(Кабель_сопротивление,0,2))*N(P147)*N(EK147)/1000)*N(O147)/((Uн_лин/SQRT(3))*1000)*100,2),"")</f>
        <v>0.52</v>
      </c>
      <c r="EQ147">
        <f>IFERROR(2*ρкз_Cu*N(P147)/EO147,"")</f>
        <v>1.1922666666666666</v>
      </c>
      <c r="ER147">
        <f>IFERROR(VLOOKUP(EN147,Кабель_сопротивление,3,FALSE),"")</f>
        <v>2.2499999999999999E-2</v>
      </c>
      <c r="ES147">
        <f>IFERROR(VLOOKUP(EN147,Кабель_сопротивление,2,FALSE),"")</f>
        <v>0.11</v>
      </c>
      <c r="ET147">
        <f t="shared" si="330"/>
        <v>30</v>
      </c>
      <c r="EU147">
        <f t="shared" si="331"/>
        <v>0</v>
      </c>
      <c r="EV147">
        <f t="shared" si="332"/>
        <v>1.1990758244067334</v>
      </c>
      <c r="EW147" s="6">
        <f>IFERROR(ROUNDUP(EV147/IF(BV147=1,BU147,(Uн_лин/SQRT(3))*1000)*100,2),"")</f>
        <v>0.52</v>
      </c>
      <c r="EX147" t="str">
        <f>IFERROR(VLOOKUP(BZ147,Кабель_обозначение,2,FALSE),"")</f>
        <v>ВВГнг(А)-LS</v>
      </c>
      <c r="EY147" t="str">
        <f t="shared" si="333"/>
        <v>ВВГнг(А)-LS (3х1,5)</v>
      </c>
      <c r="EZ147" t="str">
        <f t="shared" si="334"/>
        <v>ВВГнг(А)-LS (3х1,5)
L=34-0,52%</v>
      </c>
      <c r="FA147">
        <f>IFERROR(2*ρкз_Cu*P147/EN147,"")</f>
        <v>1.1922666666666666</v>
      </c>
      <c r="FB147">
        <f t="shared" si="335"/>
        <v>0.39666666666666672</v>
      </c>
      <c r="FC147" s="6" t="str">
        <f>IFERROR(IF(OR(B147="",BV147=1,NOT(ISNUMBER(EN147)),N(P147)=0),"",_xlfn.XLOOKUP(A147,Щиты[Щит],Щиты[Zпетли на шинах, Ом])+FA147),"")</f>
        <v/>
      </c>
      <c r="FD147" s="6" t="str">
        <f>IF(ISNUMBER(FC147),c_min*(Uн_лин*1000/SQRT(3))/FC147,"")</f>
        <v/>
      </c>
      <c r="FE147" s="6" t="str">
        <f>IFERROR(IF(OR(B147="",NOT(ISNUMBER(EN147))),"",1.05*(Uн_лин*1000/SQRT(3))/(_xlfn.XLOOKUP(A147,Щиты[Щит],Щиты[Zmax на шинах, Ом])+FB147)/1000),"")</f>
        <v/>
      </c>
      <c r="FF147" s="6" t="str">
        <f>IF(B147="","",IF(ISNUMBER(AC147),"Сил",IF(IFERROR(_xlfn.XLOOKUP(BC147,Коды_код,Коды_группа)&amp;"","")="","Быт",_xlfn.XLOOKUP(BC147,Коды_код,Коды_группа)&amp;"")))</f>
        <v>Сил</v>
      </c>
      <c r="FG147" s="6" t="str">
        <f t="shared" si="336"/>
        <v>Сил</v>
      </c>
      <c r="FH147" s="6">
        <f>IF(FG147="Щит","щит",IF(FG147="","",IF(FG147="Быт",IFERROR(_xlfn.XLOOKUP(A147,Щиты[Щит],Щиты[Кс быт]),1),IF(FG147="Сил",IF(ISNUMBER(AC147),AC147,IF(Методика="нормы 2026",IFERROR(_xlfn.XLOOKUP(A147,Щиты[Щит],Щиты[Кс силовых (табл. 7.5)]),1),1)),IF(OR(FG147="Пост",FG147="Отоп"),1,IF(FG147="ВНГ",0.7,0))))))</f>
        <v>0.5</v>
      </c>
      <c r="FI147">
        <f>IF(FG147="","",IF(AND(BP147=1,TRIM(AE147&amp;"")=""),IF(COUNTIFS(Линии[Щит],A147,Линии[Секция (1/2/3)],"&gt;=2")&gt;0,MIN(3,MAX(1,IFERROR(--BD147,1))),1),IFERROR(MIN(3,MAX(1,INT(--AE147))),1)))</f>
        <v>1</v>
      </c>
      <c r="FJ147">
        <f t="shared" si="337"/>
        <v>0.27</v>
      </c>
      <c r="FK147">
        <f t="shared" si="338"/>
        <v>0</v>
      </c>
      <c r="FL147">
        <f t="shared" si="339"/>
        <v>0.13500000000000001</v>
      </c>
      <c r="FM147">
        <f t="shared" si="340"/>
        <v>0</v>
      </c>
      <c r="FN147">
        <f t="shared" si="341"/>
        <v>0</v>
      </c>
      <c r="FO147">
        <f t="shared" si="342"/>
        <v>0</v>
      </c>
      <c r="FP147">
        <f t="shared" si="343"/>
        <v>0.27</v>
      </c>
      <c r="FQ147">
        <f t="shared" si="344"/>
        <v>0.27</v>
      </c>
      <c r="FR147">
        <f t="shared" si="345"/>
        <v>0.21600000000000003</v>
      </c>
      <c r="FS147">
        <f>IF(CG147=1,IF(AND(CH147=1,CW147=1),0,IF(AND(CS147&lt;&gt;"",CS147=BA147,CW147=1),SUMIFS(Линии[_Р линии, кВт],Линии[_блок УЗО],BA147,Линии[Щит],A147),N(BS147)+IF(AJ147="вручную",0,N(CK147)))),0)</f>
        <v>0.27</v>
      </c>
      <c r="FT147" t="str">
        <f t="shared" si="346"/>
        <v>L1</v>
      </c>
      <c r="FU147" t="str">
        <f>IF(B147="","",IF(CG147=0,IF(BA147=1,"",FW146),IF(AND(CH147=1,CW147=1,CS147&lt;&gt;""),IFERROR(_xlfn.XLOOKUP(CS147,Линии[_n],Линии[_фаза итог]),"L1"),IF(OR(N(DL147)&gt;=3,N(BX147)&gt;=3),"L1,L2,L3",IFERROR(_xlfn.TEXTBEFORE(_xlfn.TEXTAFTER(_xlfn.XLOOKUP(A147,Щиты[Щит],Щиты[_фазы авто]),";"&amp;BA147&amp;":"),";"),"L1")))))</f>
        <v>L1</v>
      </c>
      <c r="FV147" t="str">
        <f t="shared" si="347"/>
        <v>L1</v>
      </c>
      <c r="FW147" t="str">
        <f t="shared" si="348"/>
        <v>L1</v>
      </c>
      <c r="FX147" cm="1">
        <f t="array" ref="FX147">IFERROR(IF(CD147=2,_xlfn.IFS(BX147=3,VLOOKUP(BS147,Справочная_двигатели,3,FALSE),BX147=1,VLOOKUP(BS147,Справочная_двигатели,5,TRUE)),0),0)</f>
        <v>0</v>
      </c>
      <c r="FY147">
        <f>IFERROR(IF(CD147=3,VLOOKUP(BS147,Справочная_ЛЭД,2,TRUE),0),0)</f>
        <v>0</v>
      </c>
      <c r="FZ147" s="6">
        <f t="shared" si="349"/>
        <v>0</v>
      </c>
      <c r="GA147" t="str">
        <f>IF(B147="","",IF(TRIM(AH147&amp;"")&lt;&gt;"",IF(LOWER(TRIM(AH147&amp;""))="да","да","нет"),IF(IFERROR(_xlfn.XLOOKUP(BC147,Коды_код,Коды_пожарная),"")="да","да","нет")))</f>
        <v>нет</v>
      </c>
      <c r="GB147" t="str">
        <f t="shared" si="350"/>
        <v/>
      </c>
      <c r="GC147" t="str">
        <f t="shared" si="351"/>
        <v>основная</v>
      </c>
      <c r="GD147">
        <f>IF(AND(BP147=1,TRIM(AE147&amp;"")=""),IF(COUNTIFS(Линии[Щит],A147,Линии[Секция (1/2/3)],"&gt;=2")&gt;0,MIN(3,MAX(1,IFERROR(--BD147,1))),1),IFERROR(MIN(3,MAX(1,INT(--AE147))),1))</f>
        <v>1</v>
      </c>
      <c r="GE147" t="str" cm="1">
        <f t="array" ref="GE147">IF(B147="","",_xlfn.LET(_xlpm.t,IFERROR(_xlfn.XLOOKUP(1,(Шины[Шина]=GC147)*(((Шины[Щит]=A147)+(Шины[Щит]=""))&gt;0),Шины[Тип]),"")&amp;"",IF(_xlpm.t&lt;&gt;"",_xlpm.t,IF(ISNUMBER(SEARCH("ИБП",GC147)),"ИБП",IF(ISNUMBER(SEARCH("ДГУ",GC147)),"ДГУ","Ввод "&amp;GD147)))))</f>
        <v>Ввод 1</v>
      </c>
      <c r="GF147" t="str">
        <f t="shared" si="352"/>
        <v>Ввод 1</v>
      </c>
      <c r="GG147" t="str">
        <f>IF(BP147=0,"",IF(TRIM(AG147&amp;"")&lt;&gt;"",TRIM(AG147&amp;""),IF(OR(GE147="ИБП",GE147="ДГУ"),"I особая",_xlfn.XLOOKUP(A147,Щиты[Щит],Щиты[Категория шины «Ввод»],"III"))))</f>
        <v/>
      </c>
      <c r="GH147" t="str">
        <f>IF(A147="","",_xlfn.XLOOKUP(A147,Щиты[Щит],Щиты[Путь],""))</f>
        <v>|ГРЩ-ЖД|ЩОВ-2|</v>
      </c>
      <c r="GI147" t="str">
        <f>IF(B147="","",IF(AI147&lt;&gt;"",AI147,IF(IFERROR(_xlfn.XLOOKUP(BC147,Коды_код,Коды_вид)&amp;"","")="","Прочее",_xlfn.XLOOKUP(BC147,Коды_код,Коды_вид)&amp;"")))</f>
        <v>Вентиляция</v>
      </c>
      <c r="GJ147">
        <f>IF(BM147="","",INT((BM147-1)/Столбцов_на_лист)+1)</f>
        <v>2</v>
      </c>
      <c r="GK147" t="str">
        <f t="shared" si="353"/>
        <v>ВВГнг(А)-LS (3х1,5) L=34-0,52%</v>
      </c>
      <c r="GL147">
        <f t="shared" si="354"/>
        <v>0.27</v>
      </c>
      <c r="GM147">
        <f t="shared" si="355"/>
        <v>1.47</v>
      </c>
      <c r="GN147">
        <f t="shared" si="356"/>
        <v>1</v>
      </c>
      <c r="GO147">
        <f t="shared" si="357"/>
        <v>0</v>
      </c>
      <c r="GP147">
        <f t="shared" si="358"/>
        <v>1</v>
      </c>
      <c r="GQ147">
        <f>IF(BM147="","",IF(AND(CG147=1,GP147=1),COUNTIFS(A$3:A147,A147,CG$3:CG147,1,GP$3:GP147,1),IF(OR(OR(BA147=1,A147&lt;&gt;A146),AJ147="вручную",GP147=0),"",IF(BA147=1,"",GR146))))</f>
        <v>17</v>
      </c>
      <c r="GR147">
        <f t="shared" si="359"/>
        <v>17</v>
      </c>
      <c r="GS147">
        <f>IF(B147="","",IFERROR(LOOKUP(INDEX(CHOOSE(EB147,Iдоп_1ж,Iдоп_2ж,Iдоп_3ж),MATCH(EN147,Iдоп_S,0))*DZ147*EA147,{6,10,16,20,25,32,40,50,63,80,100,125,160,200,250,315,400,500,630}),""))</f>
        <v>16</v>
      </c>
      <c r="GT147" t="str">
        <f t="shared" si="360"/>
        <v>QF17</v>
      </c>
      <c r="GU147" t="str">
        <f t="shared" si="361"/>
        <v>QF17</v>
      </c>
      <c r="GV147" t="str">
        <f t="shared" si="362"/>
        <v/>
      </c>
      <c r="GW147">
        <f t="shared" si="363"/>
        <v>0</v>
      </c>
      <c r="GX147" t="str">
        <f>IF(OR(B147="",DJ147=""),"",IFERROR(_xlfn.XLOOKUP(DJ147,Модули_умолч[Управление],Модули_умолч[Модель])&amp;"",""))</f>
        <v/>
      </c>
      <c r="GY147">
        <f>IF(DJ147="",1,IFERROR(MAX(0,N(_xlfn.XLOOKUP(DJ147,Модули_умолч[Управление],Модули_умолч[Каналов на линию]))),1))</f>
        <v>1</v>
      </c>
      <c r="GZ147" t="str">
        <f t="shared" si="364"/>
        <v/>
      </c>
      <c r="HA147" t="str">
        <f t="shared" si="365"/>
        <v/>
      </c>
      <c r="HB147" t="str">
        <f t="shared" si="366"/>
        <v/>
      </c>
      <c r="HC147">
        <f>IF(HB147="",0,IFERROR(N(VLOOKUP(HB147,Модули_спр,3,FALSE)),0))</f>
        <v>0</v>
      </c>
      <c r="HD147" t="str">
        <f t="shared" si="367"/>
        <v/>
      </c>
      <c r="HE147" t="str">
        <f t="shared" si="368"/>
        <v/>
      </c>
      <c r="HF147" t="str">
        <f>IF(OR(HE147="",HE147="-"),"",IFERROR(VLOOKUP(HE147,Модули_спр,2,FALSE),"R"))</f>
        <v/>
      </c>
      <c r="HG147" t="str">
        <f>IF(HF147="","",HF147&amp;"."&amp;COUNTIFS(A$3:A147,A147,HF$3:HF147,HF147))</f>
        <v/>
      </c>
      <c r="HH147" t="str">
        <f t="shared" si="369"/>
        <v/>
      </c>
      <c r="HI147" t="str">
        <f t="shared" si="370"/>
        <v/>
      </c>
      <c r="HJ147" t="str">
        <f t="shared" si="371"/>
        <v/>
      </c>
      <c r="HK147" t="str">
        <f t="shared" si="372"/>
        <v/>
      </c>
      <c r="HL147">
        <f t="shared" si="373"/>
        <v>1</v>
      </c>
      <c r="HM147" t="str">
        <f>IF(HL147=1,"XT"&amp;COUNTIFS(A$3:A147,A147,HL$3:HL147,1),"")</f>
        <v>XT17</v>
      </c>
      <c r="HN147" t="str">
        <f t="shared" si="374"/>
        <v/>
      </c>
      <c r="HO147" t="str">
        <f t="shared" si="375"/>
        <v>QF17</v>
      </c>
      <c r="HP147" t="str">
        <f t="shared" si="376"/>
        <v/>
      </c>
      <c r="HQ147" t="str">
        <f t="shared" si="377"/>
        <v>ok</v>
      </c>
      <c r="HR147" t="str">
        <f>IF(OR(HJ147="",HH147=""),"",IF(HJ147+MAX(0,GY147-1)&gt;IFERROR(VLOOKUP(HI147,Модули_спр,3,FALSE),99),"ЛИШНИЙ КАНАЛ",IF(AND(AL147&lt;&gt;"=",GY147&gt;0,COUNTIFS(Линии[_модуль гр.],HH147,Линии[Канал (итог)],HJ147,Линии[Канал],"&lt;&gt;=",Линии[Щит],A147)&gt;1),"ДУБЛЬ КАНАЛА","")))</f>
        <v/>
      </c>
      <c r="HS147" s="6" t="str">
        <f t="shared" si="378"/>
        <v/>
      </c>
      <c r="HT147">
        <f t="shared" si="379"/>
        <v>10</v>
      </c>
      <c r="HU147" t="str">
        <f t="shared" si="380"/>
        <v/>
      </c>
      <c r="HV147">
        <f t="shared" si="381"/>
        <v>0.92456714755449609</v>
      </c>
      <c r="HW147">
        <f t="shared" si="382"/>
        <v>0</v>
      </c>
      <c r="HX147">
        <f t="shared" si="383"/>
        <v>0</v>
      </c>
      <c r="HY147">
        <f t="shared" si="384"/>
        <v>0</v>
      </c>
      <c r="HZ147">
        <f t="shared" si="385"/>
        <v>0</v>
      </c>
      <c r="IA147">
        <f t="shared" si="386"/>
        <v>0</v>
      </c>
      <c r="IB147">
        <f t="shared" si="387"/>
        <v>0</v>
      </c>
      <c r="IC147" t="str">
        <f t="shared" si="388"/>
        <v/>
      </c>
      <c r="ID147" t="str" cm="1">
        <f t="array" ref="ID147">IF(IC147="","",_xlfn.LET(_xlpm.tk,_xlfn.TEXTSPLIT(SUBSTITUTE(SUBSTITUTE(IC147,";"," "),"→"," ")," ",,TRUE),_xlpm.w_,_xlfn._xlws.FILTER(_xlpm.tk,ISNUMBER(--LEFT(_xlpm.tk,1))*((ISNUMBER(SEARCH("W",_xlpm.tk))+ISNUMBER(SEARCH("Вт",_xlpm.tk)))&gt;0),""),IFERROR(--SUBSTITUTE(SUBSTITUTE(UPPER(INDEX(_xlpm.w_,1)),"W",""),"ВТ",""),"")))</f>
        <v/>
      </c>
      <c r="IE147" t="str" cm="1">
        <f t="array" ref="IE147">IF(IC147="","",_xlfn.LET(_xlpm.tk,_xlfn.TEXTSPLIT(SUBSTITUTE(SUBSTITUTE(IC147,";"," "),"→"," ")," ",,TRUE),_xlpm.v_,_xlfn._xlws.FILTER(_xlpm.tk,ISNUMBER(--LEFT(_xlpm.tk,1))*((ISNUMBER(SEARCH("V",_xlpm.tk))+(RIGHT(UPPER(_xlpm.tk))="В"))&gt;0),""),IFERROR(--SUBSTITUTE(SUBSTITUTE(UPPER(INDEX(_xlpm.v_,1)),"V",""),"В",""),"")))</f>
        <v/>
      </c>
      <c r="IF147" s="6" t="str">
        <f>IF(OR(BV147=0,HI147="",HJ147=""),"",IFERROR(N(_xlfn.XLOOKUP(HI147,Каталог!$C$4:$C$500,Каталог!$Q$4:$Q$500)),""))</f>
        <v/>
      </c>
      <c r="IG147" s="6" t="str">
        <f>IF(N(IF147)=0,"",SUMIFS(Линии[Iр, А],Линии[Щит],A147,Линии[_модуль гр.],HH147,Линии[Канал (итог)],HJ147))</f>
        <v/>
      </c>
      <c r="IH147" t="str">
        <f>IF(AND(B147="",HO147=""),"",_xlfn.TEXTJOIN("; ",TRUE,IF(AND(B147&lt;&gt;"",FV147=""),"нет фазы",""),IF(AND(B147&lt;&gt;"",N(GL147)=0,FG147&lt;&gt;"Нет"),"нет мощности",""),IF(AND(HN147&lt;&gt;"",COUNTIFS(Линии[Щит],A147,Линии[Клемма (итог)],HN147)&gt;1),"дубль клеммы "&amp;HN147,""),IF(AND(HQ147&lt;&gt;"",HQ147&lt;&gt;"ok"),HQ147,""),IF(HR147&lt;&gt;"",HR147,""),IF(AND(N(CB147)&gt;=4,N(BX147)=1),CB147&amp;" жил на 1 фазе",""),IF(AND(BC147="R",CG147=1,IF(CS147&lt;&gt;"",N(CV147)&gt;30,OR(N(DA147)=0,N(DA147)&gt;30))),"розетка без дифзащиты до 30 мА",""),IF(AND(CG147=1,N(DA147)&gt;0,ISNUMBER(T147)),IF(T147&gt;N(DA147)/3,"ток утечки "&amp;FIXED(T147,1)&amp;" мА &gt; 1/3 уставки ("&amp;DA147&amp;" мА)",""),""),IF(AND(CH147=1,CS147=""),"«узо»: нет строки с УЗО выше (УЗО 2P 40А 30мА в «Аппаратах»)",""),IF(AND(CS147&lt;&gt;"",CS147=BA147),IF(CT147="","впишите номинал УЗО (УЗО 2P 40А 30мА)",IF(N(CT147)&lt;N(DT147),"УЗО "&amp;CT147&amp;" А &lt; автомата "&amp;DT147&amp;" А перед ним",IF(N(CT147)&lt;N(CX147),"УЗО "&amp;CT147&amp;" А &lt; тока блока "&amp;FIXED(CX147,1)&amp;" А",""))),""),IF(AND(CS147&lt;&gt;"",CS147=BA147,ISNUMBER(CY147)),IF(CY147&gt;N(CV147)/3,"ток утечки блока УЗО "&amp;FIXED(CY147,1)&amp;" мА &gt; 1/3 уставки ("&amp;CV147&amp;" мА)",""),""),IF(AND(CG147=1,N(BV147)+N(IB147)&gt;0,IC147=""),"линии до 50 В без БП: впишите в «Аппараты» (БП 24V 480W)",""),IF(AND(CG147=1,ISNUMBER(ID147),ISNUMBER(U147)),IF(U147&gt;ID147,"БП "&amp;ID147&amp;" Вт &lt; нужно "&amp;U147&amp;" Вт (×"&amp;Запас_БП&amp;")",""),""),IF(AND(CG147=1,ISNUMBER(IE147),N(BV147)=1),IF(IE147&lt;&gt;N(BU147),"БП на "&amp;IE147&amp;" В, линия "&amp;BU147&amp;" В",""),""),IF(AND(N(IF147)&gt;0,N(IG147)&gt;N(IF147)),HH147&amp;" канал "&amp;HJ147&amp;": "&amp;FIXED(IG147,1)&amp;" А &gt; "&amp;IF147&amp;" А",""),IFERROR(IF(AND(ISNUMBER(Q147),Q147&gt;EL147),"потери "&amp;FIXED(Q147,1)&amp;" % &gt; "&amp;EL147&amp;" %",""),""),IFERROR(IF(LEFT(HU147,4)="мало","Iкз мало — отключение &gt; 0,4 с",""),""),IF(AND(B147&lt;&gt;"",BM147=""),"не на схеме",""),IF(AND(CG147=0,B147&lt;&gt;"",FV147&lt;&gt;"",IF(BA147=1,"",FW146)&lt;&gt;"",FV147&lt;&gt;IF(BA147=1,"",FW146)),"фаза не как у автомата группы ("&amp;IF(BA147=1,"",FW146)&amp;")","")))</f>
        <v/>
      </c>
      <c r="II147" s="6" t="str">
        <f>IF(OR(CG147=0,DQ147=""),"",_xlfn.LET(_xlpm.t,IFERROR(_xlfn.XLOOKUP(DQ147,Каталог!$U$4:$U$500,Каталог!$G$4:$G$500),""),_xlpm.k,SEARCH("кА",_xlpm.t),IFERROR(--TRIM(RIGHT(SUBSTITUTE(MID(_xlpm.t,MAX(1,_xlpm.k-4),_xlpm.k-MAX(1,_xlpm.k-4))," ",REPT(" ",9)),5)),"")))</f>
        <v/>
      </c>
      <c r="IJ147" t="str">
        <f>IF(OR(II147="",CG147=0),"",IF(_xlfn.XLOOKUP(A147,Щиты[Щит],Щиты[Iкз max на шинах, кА],"")="","",IF(II147&lt;_xlfn.XLOOKUP(A147,Щиты[Щит],Щиты[Iкз max на шинах, кА]),"Icu "&amp;II147&amp;" кА &lt; Iкз max","ok")))</f>
        <v/>
      </c>
      <c r="IK147" t="str">
        <f t="shared" si="389"/>
        <v/>
      </c>
      <c r="IL147" t="str">
        <f t="shared" si="390"/>
        <v>QF17</v>
      </c>
      <c r="IM147" t="str">
        <f t="shared" si="391"/>
        <v>QF17|кабель ВВГнг(А)-LS (3х1,5) → Вытяжная установка Технический этаж Пом. №001Т</v>
      </c>
      <c r="IN147" t="str" cm="1">
        <f t="array" ref="IN147">IF(IM147="","",_xlfn.LET(_xlpm.nd,_xlfn.TEXTSPLIT(IM147,"|"),IF(COLUMNS(_xlpm.nd)&gt;1,A147&amp;"¦"&amp;INDEX(_xlpm.nd,1)&amp;"¦"&amp;INDEX(_xlpm.nd,2),"")))</f>
        <v>ЩОВ-2¦QF17¦кабель ВВГнг(А)-LS (3х1,5) → Вытяжная установка Технический этаж Пом. №001Т</v>
      </c>
      <c r="IO147" t="str">
        <f t="shared" si="392"/>
        <v>В.23¦Вытяжная установка Технический этаж Пом. №001Т</v>
      </c>
      <c r="IP147" t="str" cm="1">
        <f t="array" ref="IP147">IF(IM147="","",_xlfn.LET(_xlpm.nd,_xlfn.TEXTSPLIT(IM147,"|"),IF(COLUMNS(_xlpm.nd)&gt;2,A147&amp;"¦"&amp;INDEX(_xlpm.nd,2)&amp;"¦"&amp;INDEX(_xlpm.nd,3),"")))</f>
        <v/>
      </c>
      <c r="IQ147" t="str">
        <f t="shared" si="393"/>
        <v/>
      </c>
      <c r="IR147" t="str" cm="1">
        <f t="array" ref="IR147">IF(IM147="","",_xlfn.LET(_xlpm.nd,_xlfn.TEXTSPLIT(IM147,"|"),IF(COLUMNS(_xlpm.nd)&gt;3,A147&amp;"¦"&amp;INDEX(_xlpm.nd,3)&amp;"¦"&amp;INDEX(_xlpm.nd,4),"")))</f>
        <v/>
      </c>
      <c r="IS147" t="str">
        <f t="shared" si="394"/>
        <v/>
      </c>
      <c r="IT147" t="str" cm="1">
        <f t="array" ref="IT147">IF(IM147="","",_xlfn.LET(_xlpm.nd,_xlfn.TEXTSPLIT(IM147,"|"),IF(COLUMNS(_xlpm.nd)&gt;4,A147&amp;"¦"&amp;INDEX(_xlpm.nd,4)&amp;"¦"&amp;INDEX(_xlpm.nd,5),"")))</f>
        <v/>
      </c>
      <c r="IU147" t="str">
        <f t="shared" si="395"/>
        <v/>
      </c>
      <c r="IV147" t="str" cm="1">
        <f t="array" ref="IV147">IF(IM147="","",_xlfn.LET(_xlpm.nd,_xlfn.TEXTSPLIT(IM147,"|"),IF(COLUMNS(_xlpm.nd)&gt;5,A147&amp;"¦"&amp;INDEX(_xlpm.nd,5)&amp;"¦"&amp;INDEX(_xlpm.nd,6),"")))</f>
        <v/>
      </c>
      <c r="IW147" t="str">
        <f t="shared" si="396"/>
        <v/>
      </c>
      <c r="IX147" t="str" cm="1">
        <f t="array" ref="IX147">IF(IM147="","",_xlfn.LET(_xlpm.nd,_xlfn.TEXTSPLIT(IM147,"|"),IF(COLUMNS(_xlpm.nd)&gt;6,A147&amp;"¦"&amp;INDEX(_xlpm.nd,6)&amp;"¦"&amp;INDEX(_xlpm.nd,7),"")))</f>
        <v/>
      </c>
      <c r="IY147" t="str">
        <f t="shared" si="397"/>
        <v/>
      </c>
      <c r="IZ147" t="str">
        <f t="shared" si="398"/>
        <v/>
      </c>
      <c r="JA147" t="str">
        <f t="shared" si="399"/>
        <v>QF17</v>
      </c>
      <c r="JB147">
        <f t="shared" si="400"/>
        <v>0</v>
      </c>
      <c r="JC147">
        <f t="shared" si="401"/>
        <v>0</v>
      </c>
      <c r="JD147" t="str">
        <f t="shared" si="402"/>
        <v/>
      </c>
      <c r="JE147" t="str">
        <f t="shared" si="403"/>
        <v/>
      </c>
      <c r="JF147" t="str">
        <f t="shared" si="404"/>
        <v/>
      </c>
      <c r="JG147" t="str">
        <f t="shared" si="405"/>
        <v/>
      </c>
      <c r="JH147" t="str">
        <f>IF(B147="","",IFERROR(_xlfn.XLOOKUP(B147,Коды_код,Коды_уго),IFERROR(_xlfn.XLOOKUP(BC147,Коды_код,Коды_уго),IFERROR(_xlfn.XLOOKUP(LEFT(BC147,2),Коды_код,Коды_уго),""))))</f>
        <v>Привод (двигатель)</v>
      </c>
      <c r="JI147" t="str">
        <f>IF(B147="","",IF(OR(JH147="",JH147=0),"BOX",IFERROR(IF(VLOOKUP(JH147,УГО_блоки,3,FALSE)&amp;""&lt;&gt;"",VLOOKUP(JH147,УГО_блоки,3,FALSE),VLOOKUP(JH147,УГО_блоки,2,FALSE)),JH147)))</f>
        <v>MOTOR</v>
      </c>
      <c r="JJ147">
        <f t="shared" si="406"/>
        <v>1</v>
      </c>
      <c r="JK147" t="str">
        <f>IF(DQ147="","",IF(COUNTIF(DQ$3:DQ147,DQ147)=1,MAX(JK$2:JK146)+1,""))</f>
        <v/>
      </c>
      <c r="JL147" t="str">
        <f>IF(DE147="","",IF(COUNTIF(DE$3:DE147,DE147)+COUNTIF(DF$2:DF146,DE147)+COUNTIF(DG$2:DG146,DE147)=1,MAX(JL$2:JN146)+1,""))</f>
        <v/>
      </c>
      <c r="JM147" t="str">
        <f>IF(DF147="","",IF(COUNTIF(DE$3:DE147,DF147)+COUNTIF(DF$3:DF147,DF147)+COUNTIF(DG$2:DG146,DF147)=1,MAX(JL$2:JN146,JL147)+1,""))</f>
        <v/>
      </c>
      <c r="JN147" t="str">
        <f>IF(DG147="","",IF(COUNTIF(DE$3:DE147,DG147)+COUNTIF(DF$3:DF147,DG147)+COUNTIF(DG$3:DG147,DG147)=1,MAX(JL$2:JN146,JL147,JM147)+1,""))</f>
        <v/>
      </c>
      <c r="JO147" t="str">
        <f t="shared" si="407"/>
        <v>3х1,5</v>
      </c>
      <c r="JP147" t="str">
        <f>IF(JO147="","",IF(COUNTIF(JO$3:JO147,JO147)=1,MAX(JP$2:JP146)+1,""))</f>
        <v/>
      </c>
      <c r="JQ147" t="str">
        <f>IF(HG147="","",COUNTIF(HG$3:HG147,"?*"))</f>
        <v/>
      </c>
      <c r="JR147" t="str">
        <f>IF(OR(HG147="",HI147=""),"",IF(COUNTIFS(HG$3:HG147,"?*",HI$3:HI147,HI147)=1,MAX(JR$2:JR146)+1,""))</f>
        <v/>
      </c>
      <c r="JS147">
        <f t="shared" si="408"/>
        <v>0</v>
      </c>
      <c r="JT147">
        <f>IF(B147="","",COUNTIF(B$3:B147,"?*"))</f>
        <v>145</v>
      </c>
      <c r="JU147">
        <f>IF(HL147&lt;&gt;1,0,_xlfn.LET(_xlpm.k,MAX(IFERROR(--_xlfn.XLOOKUP(B147,Коды_код,Коды_3L),0),IFERROR(--_xlfn.XLOOKUP(BC147,Коды_код,Коды_3L),0),IFERROR(--_xlfn.XLOOKUP(LEFT(BC147,2),Коды_код,Коды_3L),0)),IF(_xlpm.k&gt;0,_xlpm.k,IF(IFERROR(--LEFT(SUBSTITUTE(JO147,"x","х"),FIND("х",SUBSTITUTE(JO147,"x","х"))-1),3)&gt;3,Каталог!$S$9,1))))</f>
        <v>1</v>
      </c>
      <c r="JV147">
        <f t="shared" si="409"/>
        <v>0</v>
      </c>
      <c r="JW147" t="str">
        <f t="shared" si="410"/>
        <v>авто</v>
      </c>
      <c r="JX147" t="str">
        <f t="shared" si="411"/>
        <v/>
      </c>
      <c r="JY147">
        <f t="shared" si="412"/>
        <v>0</v>
      </c>
      <c r="JZ147">
        <f t="shared" si="413"/>
        <v>1</v>
      </c>
    </row>
    <row r="148" spans="1:286" x14ac:dyDescent="0.3">
      <c r="A148" t="s">
        <v>751</v>
      </c>
      <c r="B148" t="s">
        <v>1457</v>
      </c>
      <c r="C148" t="s">
        <v>1689</v>
      </c>
      <c r="D148">
        <v>1</v>
      </c>
      <c r="E148">
        <v>0.27</v>
      </c>
      <c r="G148" t="str">
        <f>Линии[[#This Row],[_авто автомат]]</f>
        <v>1P С6А</v>
      </c>
      <c r="H148" t="str">
        <f>Линии[[#This Row],[_авто управление]]</f>
        <v/>
      </c>
      <c r="I148" t="str">
        <f>Линии[[#This Row],[_авто аппараты]]</f>
        <v/>
      </c>
      <c r="J148">
        <v>1.5</v>
      </c>
      <c r="K148">
        <v>13</v>
      </c>
      <c r="L148" t="str">
        <f>Линии[[#This Row],[_авто фаза]]</f>
        <v>L1</v>
      </c>
      <c r="M148" t="s">
        <v>484</v>
      </c>
      <c r="N148" t="str">
        <f t="shared" si="276"/>
        <v/>
      </c>
      <c r="O148" s="6" cm="1">
        <f t="array" ref="O148">IF(B148="","",IF(BH148&lt;&gt;"",IFERROR(_xlfn.XLOOKUP(BH148,Щиты[Щит],Щиты[Iр, А]),""),IF(BP148=1,IF(OR(N(_xlfn.XLOOKUP(A148,Щиты[Щит],Щиты[Вводов],1))&lt;=1,LOWER(TRIM(_xlfn.XLOOKUP(A148,Щиты[Щит],Щиты[АВР],"")&amp;""))="да"),IFERROR(_xlfn.XLOOKUP(A148,Щиты[Щит],Щиты[Iр, А]),""),IFERROR(N(BS148)*_xlfn.XLOOKUP(A148,Щиты[Щит],Щиты[Кс итог])/(SQRT(3)*Uн_лин*_xlfn.XLOOKUP(A148,Щиты[Щит],Щиты[cos φ])),"")),IF(BV148=1,IFERROR(BS148*1000/BU148,""),IFERROR(_xlfn.IFS(BX148=1,BS148/((Uн_лин/SQRT(3))*CE148),BX148=3,BS148/(SQRT(3)*Uн_лин*CE148)),"")))))</f>
        <v>1.46141786888624</v>
      </c>
      <c r="P148" s="7">
        <f>IF(B148="","",IFERROR(IF(VLOOKUP(BC148,Потребители_обозначение,4,FALSE)=1,VLOOKUP(BC148,Потребители_обозначение,3,FALSE)*(MAX(1,N(D148))*2-1)+EI148+VLOOKUP(BE148,Этаж_обозначение,3,FALSE)+VLOOKUP(BE148,Этаж_обозначение,4,FALSE),VLOOKUP(BC148,Потребители_обозначение,3,FALSE)*(MAX(1,N(D148))*2-1)+EI148),EI148))</f>
        <v>17</v>
      </c>
      <c r="Q148" s="6">
        <f t="shared" si="277"/>
        <v>1.4</v>
      </c>
      <c r="R148" t="str">
        <f t="shared" si="278"/>
        <v>ВВГнг(А)-LS (3х1,5)</v>
      </c>
      <c r="S148" t="str">
        <f>IF(BM148="","",IF(BN148="вводной узел","узел ","")&amp;"л."&amp;(INT((BM148-1)/Столбцов_на_лист)+1)&amp;" / "&amp;(MOD(BM148-1,Столбцов_на_лист)+1))</f>
        <v>л.2 / 15</v>
      </c>
      <c r="T148" s="119">
        <f t="shared" si="279"/>
        <v>0.8</v>
      </c>
      <c r="U148" s="7" t="str">
        <f>IF(OR(CG148=0,N(BV148)+N(IB148)=0),"",ROUNDUP(Запас_БП*(N(HY148)+N(HZ148)),0))</f>
        <v/>
      </c>
      <c r="V148" s="119" t="str">
        <f t="shared" si="280"/>
        <v/>
      </c>
      <c r="W148" s="7" t="str">
        <f>IFERROR(IF(OR(B148="",BP148=1,BV148=1,NOT(ISNUMBER(EN148)),N(DT148)=0),"",MAX(0,ROUNDDOWN((c_min*(Uн_лин*1000/SQRT(3))/(HT148*N(DT148))-_xlfn.XLOOKUP(A148,Щиты[Щит],Щиты[Zпетли на шинах, Ом]))*EN148/(2*ρкз_Cu),0))),"")</f>
        <v/>
      </c>
      <c r="Y148" t="str">
        <f>Линии[[#This Row],[_авто утечка]]</f>
        <v/>
      </c>
      <c r="Z148">
        <v>1</v>
      </c>
      <c r="AA148">
        <v>230</v>
      </c>
      <c r="AB148" t="s">
        <v>598</v>
      </c>
      <c r="AC148">
        <v>0.5</v>
      </c>
      <c r="AG148" t="s">
        <v>810</v>
      </c>
      <c r="AI148" t="s">
        <v>580</v>
      </c>
      <c r="AK148" t="str">
        <f>Линии[[#This Row],[_авто модуль]]</f>
        <v/>
      </c>
      <c r="AM148">
        <v>32</v>
      </c>
      <c r="AN148" t="s">
        <v>11</v>
      </c>
      <c r="AO148">
        <v>3</v>
      </c>
      <c r="AQ148">
        <v>4</v>
      </c>
      <c r="AR148">
        <v>13</v>
      </c>
      <c r="AT148">
        <v>1</v>
      </c>
      <c r="BA148" cm="1">
        <f t="array" ref="BA148">ROW()-ROW(Линии[#Headers])</f>
        <v>146</v>
      </c>
      <c r="BC148" s="6" t="str">
        <f t="shared" si="281"/>
        <v>В</v>
      </c>
      <c r="BD148" t="str">
        <f t="shared" si="282"/>
        <v>8</v>
      </c>
      <c r="BE148" t="str">
        <f t="shared" si="283"/>
        <v>8</v>
      </c>
      <c r="BF148" t="str">
        <f t="shared" si="284"/>
        <v/>
      </c>
      <c r="BG148" t="str">
        <f t="shared" si="285"/>
        <v/>
      </c>
      <c r="BH148" t="str">
        <f>IF(X148&lt;&gt;"",X148,IF(AND(B148&lt;&gt;"",B148&lt;&gt;A148,ISNUMBER(_xlfn.XMATCH(B148,Щиты[Щит]))),B148,""))</f>
        <v/>
      </c>
      <c r="BI148" t="str" cm="1">
        <f t="array" ref="BI148">IF(B148="","",IF(BH148&lt;&gt;"","Щит "&amp;BH148,_xlfn.LET(_xlpm.nm,IFERROR(_xlfn.XLOOKUP(BC148,Коды_код,Коды_имя)&amp;"",""),_xlpm.md,IFERROR(N(_xlfn.XLOOKUP(BC148,Коды_код,Коды_режим)),1),_xlpm.ex,IF(Имя_режим="по экспликации",IFERROR(_xlfn.XLOOKUP(BE148&amp;"|"&amp;BG148,Экспликация[Этаж]&amp;"|"&amp;Экспликация[Помещение],Экспликация[Название])&amp;"",""),""),_xlpm.rm,IF(BG148="","",IF(_xlpm.ex&lt;&gt;"",". "&amp;_xlpm.ex&amp;IF(Имя_пом="нет"," ("&amp;BG148&amp;")"," (пом. "&amp;BG148&amp;")"),IF(Имя_пом="нет"," ",", пом. ")&amp;BG148)),IF(_xlpm.nm="","",IF(_xlpm.md=2,_xlpm.nm&amp;" шлейф "&amp;BE148,_xlpm.nm&amp;_xlpm.rm)))))</f>
        <v>Вытяжная установка шлейф 8</v>
      </c>
      <c r="BJ148" t="str">
        <f t="shared" si="286"/>
        <v>Вытяжная установка Технический этаж Пом. №001Т</v>
      </c>
      <c r="BK148">
        <f>IFERROR(_xlfn.XMATCH(A148,Щиты[Щит]),0)</f>
        <v>7</v>
      </c>
      <c r="BL148">
        <f>_xlfn.LET(_xlpm.k,IFERROR(_xlfn.XLOOKUP(A148,Щиты[Щит],Щиты[Мест под вводной узел]),""),IF(_xlpm.k="",Столбцов_на_лист,N(_xlpm.k)))</f>
        <v>12</v>
      </c>
      <c r="BM148">
        <f t="shared" si="287"/>
        <v>32</v>
      </c>
      <c r="BN148" t="str">
        <f t="shared" si="288"/>
        <v>линии</v>
      </c>
      <c r="BO148" s="6">
        <f>IFERROR(N(_xlfn.XLOOKUP(BC148,Коды_код,Коды_квт)),0)</f>
        <v>0</v>
      </c>
      <c r="BP148">
        <f t="shared" si="289"/>
        <v>0</v>
      </c>
      <c r="BQ148" t="str">
        <f>IF(B148="","",IF(BH148&lt;&gt;"",IFERROR(_xlfn.XLOOKUP(BH148,Щиты[Щит],Щиты[Руст, кВт]),0),IF(BP148=1,IF(OR(N(_xlfn.XLOOKUP(A148,Щиты[Щит],Щиты[Вводов],1))&lt;=1,LOWER(TRIM(_xlfn.XLOOKUP(A148,Щиты[Щит],Щиты[АВР],"")&amp;""))="да"),IFERROR(_xlfn.XLOOKUP(A148,Щиты[Щит],Щиты[Руст, кВт]),0),SUMIFS(Линии[_Р для вводов],Линии[Щит],A148,Линии[Источник для режимов],GF148)),IF(BO148&gt;0,ROUND(BO148*MAX(1,N(D148)),3),""))))</f>
        <v/>
      </c>
      <c r="BR148">
        <f t="shared" si="290"/>
        <v>0.27</v>
      </c>
      <c r="BS148" s="6">
        <f>IF(B148="","",IF(BH148&lt;&gt;"",IFERROR(_xlfn.XLOOKUP(BH148,Щиты[Щит],Щиты[Руст, кВт]),0),N(BR148)))</f>
        <v>0.27</v>
      </c>
      <c r="BT148" t="str">
        <f>IF(B148="","",IFERROR(IF(VLOOKUP(BC148,Потребители_обозначение,8,FALSE)=0,"",VLOOKUP(BC148,Потребители_обозначение,8,FALSE)),""))</f>
        <v/>
      </c>
      <c r="BU148">
        <f t="shared" si="291"/>
        <v>230</v>
      </c>
      <c r="BV148">
        <f t="shared" si="292"/>
        <v>0</v>
      </c>
      <c r="BW148">
        <f>IF(B148="","",IF(BH148&lt;&gt;"",3,IFERROR(IF(N(VLOOKUP(BC148,Потребители_обозначение,9,FALSE))=0,1,VLOOKUP(BC148,Потребители_обозначение,9,FALSE)),1)))</f>
        <v>1</v>
      </c>
      <c r="BX148">
        <f t="shared" si="293"/>
        <v>1</v>
      </c>
      <c r="BY148" t="str">
        <f>IF(B148="","",_xlfn.LET(_xlpm.bc,IFERROR(IF(VLOOKUP(BC148,Потребители_обозначение,6,FALSE)=0,"",VLOOKUP(BC148,Потребители_обозначение,6,FALSE)&amp;""),""),IF(AND(GA148="да",OR(_xlpm.bc="",_xlpm.bc="мс")),Марка_пож,IF(AND(_xlpm.bc="",BH148&lt;&gt;""),"мс",_xlpm.bc))))</f>
        <v/>
      </c>
      <c r="BZ148" t="str">
        <f t="shared" si="294"/>
        <v>мс</v>
      </c>
      <c r="CA148">
        <f>IF(B148="","",_xlfn.LET(_xlpm.cc,IFERROR(N(VLOOKUP(BC148,Потребители_обозначение,7,FALSE)),0),IF(_xlpm.cc&gt;0,_xlpm.cc,IF(BZ148="","",IF(BV148=1,2,IF(N(BX148)=3,5,3))))))</f>
        <v>3</v>
      </c>
      <c r="CB148">
        <f t="shared" si="295"/>
        <v>3</v>
      </c>
      <c r="CC148">
        <f>IFERROR(N(VLOOKUP(BC148,Потребители_обозначение,10,FALSE)),0)</f>
        <v>0</v>
      </c>
      <c r="CD148">
        <f>IFERROR(VLOOKUP(BC148,Потребители_обозначение,5,FALSE),0)</f>
        <v>1</v>
      </c>
      <c r="CE148" s="6" cm="1">
        <f t="array" ref="CE148">IF(B148="","",IF(BH148&lt;&gt;"",IFERROR(_xlfn.XLOOKUP(BH148,Щиты[Щит],Щиты[cos φ]),0.95),IF(BP148=1,IFERROR(_xlfn.XLOOKUP(A148,Щиты[Щит],Щиты[cos φ]),0.95),IF(ISNUMBER(AD148),AD148,IFERROR(IF(CD148=2,_xlfn.IFS(BX148=3,VLOOKUP(BS148,Справочная_двигатели,8,FALSE),BX148=1,VLOOKUP(BS148,Справочная_двигатели,10,TRUE)),IF(AND(Методика="нормы 2026",FG148="Сил"),0.8,0.95)),0.95)))))</f>
        <v>0.8</v>
      </c>
      <c r="CF148">
        <f t="shared" si="296"/>
        <v>0</v>
      </c>
      <c r="CG148">
        <f t="shared" si="297"/>
        <v>1</v>
      </c>
      <c r="CH148">
        <f t="shared" si="298"/>
        <v>0</v>
      </c>
      <c r="CI148">
        <f>IF(B148="","",IF(BV148=1,IFERROR(BS148/((Uн_лин/SQRT(3))*MAX(0.5,N(CE148))),0),N(O148)))</f>
        <v>1.46141786888624</v>
      </c>
      <c r="CJ148">
        <f t="shared" si="299"/>
        <v>0</v>
      </c>
      <c r="CK148">
        <f t="shared" si="300"/>
        <v>0</v>
      </c>
      <c r="CL148">
        <f t="shared" si="301"/>
        <v>0</v>
      </c>
      <c r="CM148">
        <f t="shared" si="302"/>
        <v>0</v>
      </c>
      <c r="CN148">
        <f t="shared" si="303"/>
        <v>0</v>
      </c>
      <c r="CO148">
        <f>IF(BC148="",0,_xlfn.LET(_xlpm.v,IFERROR(_xlfn.XLOOKUP(B148,Коды_код,Коды_мА),IFERROR(_xlfn.XLOOKUP(BC148,Коды_код,Коды_мА),IFERROR(_xlfn.XLOOKUP(LEFT(BC148,2),Коды_код,Коды_мА),""))),IF(_xlpm.v="да",30,IF(ISNUMBER(_xlpm.v),_xlpm.v,0))))</f>
        <v>0</v>
      </c>
      <c r="CP148" t="str">
        <f t="shared" si="304"/>
        <v/>
      </c>
      <c r="CQ148" t="str">
        <f>_xlfn.LET(_xlpm.k,IFERROR(_xlfn.XLOOKUP(BC148,Коды_код,Коды_утечка)&amp;"",""),IF(_xlpm.k="","дифавтомат",_xlpm.k))</f>
        <v>дифавтомат</v>
      </c>
      <c r="CR148" t="str" cm="1">
        <f t="array" ref="CR148">IF(CG148=0,"",_xlfn.LET(_xlpm.sg,TRIM(_xlfn.TEXTSPLIT(DD148&amp;"",";")),_xlpm.f_,_xlfn._xlws.FILTER(_xlpm.sg,LEFT(_xlpm.sg,3)="УЗО",""),IFERROR(INDEX(_xlpm.f_,1)&amp;"","")))</f>
        <v/>
      </c>
      <c r="CS148" t="str">
        <f t="shared" si="305"/>
        <v/>
      </c>
      <c r="CT148" s="6" t="str" cm="1">
        <f t="array" ref="CT148">IF(CR148="","",_xlfn.LET(_xlpm.tk,_xlfn.TEXTSPLIT(UPPER(CR148)," ",,TRUE),_xlpm.a_,_xlfn._xlws.FILTER(_xlpm.tk,ISNUMBER(--LEFT(_xlpm.tk,1))*((ISNUMBER(SEARCH("А",_xlpm.tk))+ISNUMBER(SEARCH("A",_xlpm.tk)))&gt;0)*NOT(ISNUMBER(SEARCH("МА",_xlpm.tk)))*NOT(ISNUMBER(SEARCH("MA",_xlpm.tk))),""),IFERROR(--SUBSTITUTE(SUBSTITUTE(INDEX(_xlpm.a_,1),"А",""),"A",""),"")))</f>
        <v/>
      </c>
      <c r="CU148" t="str" cm="1">
        <f t="array" ref="CU148">IF(CR148="","",_xlfn.LET(_xlpm.tk,_xlfn.TEXTSPLIT(UPPER(CR148)," ",,TRUE),_xlpm.a_,_xlfn._xlws.FILTER(_xlpm.tk,ISNUMBER(--LEFT(_xlpm.tk,1))*((ISNUMBER(SEARCH("МА",_xlpm.tk))+ISNUMBER(SEARCH("MA",_xlpm.tk)))&gt;0),""),IFERROR(--SUBSTITUTE(SUBSTITUTE(INDEX(_xlpm.a_,1),"МА",""),"MA",""),30)))</f>
        <v/>
      </c>
      <c r="CV148" t="str">
        <f>IF(CS148="","",IFERROR(_xlfn.XLOOKUP(CS148,Линии[_n],Линии[_УЗО, мА]),30))</f>
        <v/>
      </c>
      <c r="CW148">
        <f>IF(CS148="",0,IF(ISNUMBER(SEARCH("4P",IFERROR(_xlfn.XLOOKUP(CS148,Линии[_n],Линии[_УЗО строки])&amp;"",""))),0,1))</f>
        <v>0</v>
      </c>
      <c r="CX148" t="str">
        <f>IF(AND(CS148&lt;&gt;"",CS148=BA148),SUMIFS(Линии[_ток на 230 В],Линии[_блок УЗО],BA148,Линии[Щит],A148),"")</f>
        <v/>
      </c>
      <c r="CY148" t="str">
        <f>IF(AND(CS148&lt;&gt;"",CS148=BA148),SUMIFS(Линии[_ток утечки линии, мА],Линии[_блок УЗО],BA148,Линии[Щит],A148),"")</f>
        <v/>
      </c>
      <c r="CZ148">
        <f t="shared" si="306"/>
        <v>0</v>
      </c>
      <c r="DA148">
        <f t="shared" si="307"/>
        <v>0</v>
      </c>
      <c r="DB148">
        <f>IF(B148="",0,IFERROR(--_xlfn.XLOOKUP(B148,Коды_код,Коды_минавт),IFERROR(--_xlfn.XLOOKUP(BC148,Коды_код,Коды_минавт),IFERROR(--_xlfn.XLOOKUP(LEFT(BC148,2),Коды_код,Коды_минавт),0))))</f>
        <v>0</v>
      </c>
      <c r="DC148" t="str">
        <f>IF(B148="","",IFERROR(_xlfn.XLOOKUP(BC148,Коды_код,Коды_апп)&amp;"",""))</f>
        <v/>
      </c>
      <c r="DD148" t="str">
        <f t="shared" si="308"/>
        <v/>
      </c>
      <c r="DE148" t="str" cm="1">
        <f t="array" ref="DE148">IF(TRIM(DD148&amp;"")="","",IFERROR(TRIM(INDEX(_xlfn.TEXTSPLIT(DD148&amp;";;;",";"),1)),""))</f>
        <v/>
      </c>
      <c r="DF148" t="str" cm="1">
        <f t="array" ref="DF148">IF(TRIM(DD148&amp;"")="","",IFERROR(TRIM(INDEX(_xlfn.TEXTSPLIT(DD148&amp;";;;",";"),2)),""))</f>
        <v/>
      </c>
      <c r="DG148" t="str" cm="1">
        <f t="array" ref="DG148">IF(TRIM(DD148&amp;"")="","",IFERROR(TRIM(INDEX(_xlfn.TEXTSPLIT(DD148&amp;";;;",";"),3)),""))</f>
        <v/>
      </c>
      <c r="DH148">
        <f t="shared" si="309"/>
        <v>0</v>
      </c>
      <c r="DI148" t="str">
        <f>IF(B148="","",_xlfn.LET(_xlpm.t,LOWER(AZ148&amp;""),IF(ISNUMBER(SEARCH("dim",_xlpm.t)),"DIM",IF(ISNUMBER(SEARCH("dali",_xlpm.t)),"DALI",IF(OR(ISNUMBER(SEARCH("relay",_xlpm.t)),ISNUMBER(SEARCH("реле",_xlpm.t))),"Relay",IF(ISNUMBER(SEARCH("кнопк",_xlpm.t)),"",IFERROR(_xlfn.XLOOKUP(BC148,Коды_код,Коды_упр)&amp;"","")))))))</f>
        <v/>
      </c>
      <c r="DJ148" t="str">
        <f t="shared" si="310"/>
        <v/>
      </c>
      <c r="DK148">
        <f>IF(B148="","",_xlfn.LET(_xlpm.ig,IF(N(CX148)&gt;0,N(CX148),N(CI148)+IF(AJ148="вручную",0,N(CJ148))),_xlpm.n0,IFERROR(VLOOKUP(_xlpm.ig,Автомат_номиналы,2,TRUE),0),_xlpm.mn,MAX(DB148,IF(AJ148="вручную",0,N(CM148))),MAX(_xlpm.n0,_xlpm.mn,IF(DH148=1,Мин_автомат_БП,0))))</f>
        <v>6</v>
      </c>
      <c r="DL148">
        <f t="shared" si="311"/>
        <v>1</v>
      </c>
      <c r="DM148" t="str">
        <f t="shared" si="312"/>
        <v>1P</v>
      </c>
      <c r="DN148" t="str">
        <f>_xlfn.LET(_xlpm.cc,UPPER(TRIM(IFERROR(_xlfn.XLOOKUP(BC148,Коды_код,Коды_хар)&amp;"",""))),IF(OR(_xlpm.cc="B",_xlpm.cc="В"),"B",IF(_xlpm.cc="D","D","С")))</f>
        <v>С</v>
      </c>
      <c r="DO148" t="str">
        <f t="shared" si="313"/>
        <v>1P С6А</v>
      </c>
      <c r="DP148" t="str">
        <f t="shared" si="314"/>
        <v>1P С6А</v>
      </c>
      <c r="DQ148" t="str">
        <f t="shared" si="315"/>
        <v>1P С6А</v>
      </c>
      <c r="DR148" cm="1">
        <f t="array" ref="DR148">IF(DQ148="","",_xlfn.LET(_xlpm.t,SUBSTITUTE(SUBSTITUTE(SUBSTITUTE(UPPER(DQ148),"С","C"),"А","A"),"В","B"),_xlpm.tk,_xlfn.TEXTSPLIT(_xlpm.t," "),_xlpm.f,_xlfn._xlws.FILTER(_xlpm.tk,ISNUMBER(--MID(_xlpm.tk,2,1))*ISNUMBER(SEARCH(LEFT(_xlpm.tk,1)&amp;"#","B#C#D#"))*(LEN(_xlpm.tk)&gt;1),""),_xlpm.x,INDEX(_xlpm.f,1),IFERROR(--SUBSTITUTE(MID(_xlpm.x,2,9),"A",""),IFERROR(--SUBSTITUTE(INDEX(_xlfn._xlws.FILTER(_xlpm.tk,ISNUMBER(--SUBSTITUTE(_xlpm.tk,"A","")),""),1),"A",""),""))))</f>
        <v>6</v>
      </c>
      <c r="DS148" t="str">
        <f t="shared" si="316"/>
        <v>ok</v>
      </c>
      <c r="DT148">
        <f t="shared" si="317"/>
        <v>6</v>
      </c>
      <c r="DU148" t="str">
        <f t="shared" si="318"/>
        <v>1P С6А</v>
      </c>
      <c r="DV148">
        <f t="shared" si="319"/>
        <v>0</v>
      </c>
      <c r="DW148">
        <f t="shared" si="320"/>
        <v>0</v>
      </c>
      <c r="DX148">
        <f t="shared" si="321"/>
        <v>0</v>
      </c>
      <c r="DY148">
        <f t="shared" si="322"/>
        <v>1.46141786888624</v>
      </c>
      <c r="DZ148">
        <f t="shared" si="323"/>
        <v>1</v>
      </c>
      <c r="EA148">
        <f>IF(ISNUMBER(AP148),AP148,К_прокл)</f>
        <v>1</v>
      </c>
      <c r="EB148">
        <f t="shared" si="324"/>
        <v>2</v>
      </c>
      <c r="EC148">
        <f>IFERROR(N(VLOOKUP(BZ148,Кабель_обозначение,3,FALSE)),1)</f>
        <v>1</v>
      </c>
      <c r="ED148">
        <f>IFERROR(N(_xlfn.XLOOKUP(A148,Щиты[Щит],Щиты[ΔU до шин, %])),0)</f>
        <v>1.1399999999999999</v>
      </c>
      <c r="EE148" t="str">
        <f>IFERROR(_xlfn.XLOOKUP(A148,Щиты[Щит],Щиты[Zпетли на шинах, Ом]),"")</f>
        <v/>
      </c>
      <c r="EF148">
        <f>IFERROR(N(_xlfn.XLOOKUP(A148,Щиты[Щит],Щиты[ΔU до шин (подбор), %])),0)</f>
        <v>1.82</v>
      </c>
      <c r="EG148" t="str">
        <f>IFERROR(_xlfn.XLOOKUP(A148,Щиты[Щит],Щиты[Zпетли на шинах (подбор), Ом]),"")</f>
        <v/>
      </c>
      <c r="EH148" t="str">
        <f t="shared" si="325"/>
        <v/>
      </c>
      <c r="EI148">
        <f t="shared" si="326"/>
        <v>13</v>
      </c>
      <c r="EJ148">
        <f t="shared" si="327"/>
        <v>2</v>
      </c>
      <c r="EK148">
        <f t="shared" si="328"/>
        <v>0.6</v>
      </c>
      <c r="EL148" s="6">
        <f>IF(B148="","",IF(BV148=1,dU_LED,IF(IFERROR(_xlfn.XLOOKUP(BC148,Коды_код,Коды_уго),"")="Светильник",3,4)+IF(Методика="нормы 2026",MIN(0.5,MAX(0,N(P148)-100)*0.005),0)))</f>
        <v>4</v>
      </c>
      <c r="EM148" cm="1">
        <f t="array" ref="EM148">IF(OR(B148="",BZ148="",EC148&lt;&gt;1),"",_xlfn.LET(_xlpm.sz,Iдоп_S,_xlpm.t_,CHOOSE(EB148,Iдоп_1ж,Iдоп_2ж,Iдоп_3ж)*DZ148*EA148,_xlpm.dcx,BV148=1,_xlpm.inn,IF(_xlpm.dcx,N(O148),N(DT148)),_xlpm.smin,MAX(1.5,CC148),_xlpm.L_,N(P148)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148)/N(BU148)*100,999),IFERROR(N(EJ148)*(_xlpm.rho*_xlpm.L_/_xlpm.sz*N(CE148)+_xlpm.xx*_xlpm.L_*N(EK148)/1000)*N(O148)/((Uн_лин/SQRT(3))*1000)*100,999)),_xlpm.kz,IF(OR(_xlpm.dcx,DW148=1,NOT(ISNUMBER(EG148)),_xlpm.L_=0,_xlpm.inn=0),1,IFERROR(--(c_min*(Uн_лин*1000/SQRT(3))/(EG148+2*ρкз_Cu*_xlpm.L_/_xlpm.sz)&gt;=HT148*_xlpm.inn),0)),_xlpm.ok,IFERROR((_xlpm.sz&gt;=_xlpm.smin)*(_xlpm.t_&gt;=_xlpm.inn)*IF(_xlpm.L_&gt;0,(_xlpm.du_+IF(_xlpm.dcx,0,EF148)&lt;=EL148+0.00001),1)*_xlpm.kz,0),_xlpm.r_,_xlfn._xlws.FILTER(_xlpm.sz,_xlpm.ok,"не подобрано"),INDEX(_xlpm.r_,1)))</f>
        <v>1.5</v>
      </c>
      <c r="EN148">
        <f t="shared" si="329"/>
        <v>1.5</v>
      </c>
      <c r="EO148" cm="1">
        <f t="array" ref="EO148">IF(OR(B148="",BZ148="",EC148&lt;&gt;1),"",_xlfn.LET(_xlpm.sz,Iдоп_S,_xlpm.t_,CHOOSE(EB148,Iдоп_1ж,Iдоп_2ж,Iдоп_3ж)*DZ148*EA148,_xlpm.ok,IFERROR((_xlpm.sz&gt;=MAX(1.5,CC148))*(_xlpm.t_&gt;=N(DT148)),0),_xlpm.r_,_xlfn._xlws.FILTER(_xlpm.sz,_xlpm.ok,""),INDEX(_xlpm.r_,1)))</f>
        <v>1.5</v>
      </c>
      <c r="EP148" s="6" cm="1">
        <f t="array" ref="EP148">IFERROR(ROUNDUP(N(EJ148)*(_xlfn.XLOOKUP(EO148,INDEX(Кабель_сопротивление,0,1),INDEX(Кабель_сопротивление,0,3))*N(P148)/EO148*N(CE148)+_xlfn.XLOOKUP(EO148,INDEX(Кабель_сопротивление,0,1),INDEX(Кабель_сопротивление,0,2))*N(P148)*N(EK148)/1000)*N(O148)/((Uн_лин/SQRT(3))*1000)*100,2),"")</f>
        <v>0.26</v>
      </c>
      <c r="EQ148">
        <f>IFERROR(2*ρкз_Cu*N(P148)/EO148,"")</f>
        <v>0.59613333333333329</v>
      </c>
      <c r="ER148">
        <f>IFERROR(VLOOKUP(EN148,Кабель_сопротивление,3,FALSE),"")</f>
        <v>2.2499999999999999E-2</v>
      </c>
      <c r="ES148">
        <f>IFERROR(VLOOKUP(EN148,Кабель_сопротивление,2,FALSE),"")</f>
        <v>0.11</v>
      </c>
      <c r="ET148">
        <f t="shared" si="330"/>
        <v>13</v>
      </c>
      <c r="EU148">
        <f t="shared" si="331"/>
        <v>0</v>
      </c>
      <c r="EV148">
        <f t="shared" si="332"/>
        <v>0.59953791220336672</v>
      </c>
      <c r="EW148" s="6">
        <f>IFERROR(ROUNDUP(EV148/IF(BV148=1,BU148,(Uн_лин/SQRT(3))*1000)*100,2),"")</f>
        <v>0.26</v>
      </c>
      <c r="EX148" t="str">
        <f>IFERROR(VLOOKUP(BZ148,Кабель_обозначение,2,FALSE),"")</f>
        <v>ВВГнг(А)-LS</v>
      </c>
      <c r="EY148" t="str">
        <f t="shared" si="333"/>
        <v>ВВГнг(А)-LS (3х1,5)</v>
      </c>
      <c r="EZ148" t="str">
        <f t="shared" si="334"/>
        <v>ВВГнг(А)-LS (3х1,5)
L=17-0,26%</v>
      </c>
      <c r="FA148">
        <f>IFERROR(2*ρкз_Cu*P148/EN148,"")</f>
        <v>0.59613333333333329</v>
      </c>
      <c r="FB148">
        <f t="shared" si="335"/>
        <v>0.19833333333333336</v>
      </c>
      <c r="FC148" s="6" t="str">
        <f>IFERROR(IF(OR(B148="",BV148=1,NOT(ISNUMBER(EN148)),N(P148)=0),"",_xlfn.XLOOKUP(A148,Щиты[Щит],Щиты[Zпетли на шинах, Ом])+FA148),"")</f>
        <v/>
      </c>
      <c r="FD148" s="6" t="str">
        <f>IF(ISNUMBER(FC148),c_min*(Uн_лин*1000/SQRT(3))/FC148,"")</f>
        <v/>
      </c>
      <c r="FE148" s="6" t="str">
        <f>IFERROR(IF(OR(B148="",NOT(ISNUMBER(EN148))),"",1.05*(Uн_лин*1000/SQRT(3))/(_xlfn.XLOOKUP(A148,Щиты[Щит],Щиты[Zmax на шинах, Ом])+FB148)/1000),"")</f>
        <v/>
      </c>
      <c r="FF148" s="6" t="str">
        <f>IF(B148="","",IF(ISNUMBER(AC148),"Сил",IF(IFERROR(_xlfn.XLOOKUP(BC148,Коды_код,Коды_группа)&amp;"","")="","Быт",_xlfn.XLOOKUP(BC148,Коды_код,Коды_группа)&amp;"")))</f>
        <v>Сил</v>
      </c>
      <c r="FG148" s="6" t="str">
        <f t="shared" si="336"/>
        <v>Сил</v>
      </c>
      <c r="FH148" s="6">
        <f>IF(FG148="Щит","щит",IF(FG148="","",IF(FG148="Быт",IFERROR(_xlfn.XLOOKUP(A148,Щиты[Щит],Щиты[Кс быт]),1),IF(FG148="Сил",IF(ISNUMBER(AC148),AC148,IF(Методика="нормы 2026",IFERROR(_xlfn.XLOOKUP(A148,Щиты[Щит],Щиты[Кс силовых (табл. 7.5)]),1),1)),IF(OR(FG148="Пост",FG148="Отоп"),1,IF(FG148="ВНГ",0.7,0))))))</f>
        <v>0.5</v>
      </c>
      <c r="FI148">
        <f>IF(FG148="","",IF(AND(BP148=1,TRIM(AE148&amp;"")=""),IF(COUNTIFS(Линии[Щит],A148,Линии[Секция (1/2/3)],"&gt;=2")&gt;0,MIN(3,MAX(1,IFERROR(--BD148,1))),1),IFERROR(MIN(3,MAX(1,INT(--AE148))),1)))</f>
        <v>1</v>
      </c>
      <c r="FJ148">
        <f t="shared" si="337"/>
        <v>0.27</v>
      </c>
      <c r="FK148">
        <f t="shared" si="338"/>
        <v>0</v>
      </c>
      <c r="FL148">
        <f t="shared" si="339"/>
        <v>0.13500000000000001</v>
      </c>
      <c r="FM148">
        <f t="shared" si="340"/>
        <v>0</v>
      </c>
      <c r="FN148">
        <f t="shared" si="341"/>
        <v>0</v>
      </c>
      <c r="FO148">
        <f t="shared" si="342"/>
        <v>0</v>
      </c>
      <c r="FP148">
        <f t="shared" si="343"/>
        <v>0.27</v>
      </c>
      <c r="FQ148">
        <f t="shared" si="344"/>
        <v>0.27</v>
      </c>
      <c r="FR148">
        <f t="shared" si="345"/>
        <v>0.21600000000000003</v>
      </c>
      <c r="FS148">
        <f>IF(CG148=1,IF(AND(CH148=1,CW148=1),0,IF(AND(CS148&lt;&gt;"",CS148=BA148,CW148=1),SUMIFS(Линии[_Р линии, кВт],Линии[_блок УЗО],BA148,Линии[Щит],A148),N(BS148)+IF(AJ148="вручную",0,N(CK148)))),0)</f>
        <v>0.27</v>
      </c>
      <c r="FT148" t="str">
        <f t="shared" si="346"/>
        <v/>
      </c>
      <c r="FU148" t="str">
        <f>IF(B148="","",IF(CG148=0,IF(BA148=1,"",FW147),IF(AND(CH148=1,CW148=1,CS148&lt;&gt;""),IFERROR(_xlfn.XLOOKUP(CS148,Линии[_n],Линии[_фаза итог]),"L1"),IF(OR(N(DL148)&gt;=3,N(BX148)&gt;=3),"L1,L2,L3",IFERROR(_xlfn.TEXTBEFORE(_xlfn.TEXTAFTER(_xlfn.XLOOKUP(A148,Щиты[Щит],Щиты[_фазы авто]),";"&amp;BA148&amp;":"),";"),"L1")))))</f>
        <v>L1</v>
      </c>
      <c r="FV148" t="str">
        <f t="shared" si="347"/>
        <v>L1</v>
      </c>
      <c r="FW148" t="str">
        <f t="shared" si="348"/>
        <v>L1</v>
      </c>
      <c r="FX148" cm="1">
        <f t="array" ref="FX148">IFERROR(IF(CD148=2,_xlfn.IFS(BX148=3,VLOOKUP(BS148,Справочная_двигатели,3,FALSE),BX148=1,VLOOKUP(BS148,Справочная_двигатели,5,TRUE)),0),0)</f>
        <v>0</v>
      </c>
      <c r="FY148">
        <f>IFERROR(IF(CD148=3,VLOOKUP(BS148,Справочная_ЛЭД,2,TRUE),0),0)</f>
        <v>0</v>
      </c>
      <c r="FZ148" s="6">
        <f t="shared" si="349"/>
        <v>0</v>
      </c>
      <c r="GA148" t="str">
        <f>IF(B148="","",IF(TRIM(AH148&amp;"")&lt;&gt;"",IF(LOWER(TRIM(AH148&amp;""))="да","да","нет"),IF(IFERROR(_xlfn.XLOOKUP(BC148,Коды_код,Коды_пожарная),"")="да","да","нет")))</f>
        <v>нет</v>
      </c>
      <c r="GB148" t="str">
        <f t="shared" si="350"/>
        <v/>
      </c>
      <c r="GC148" t="str">
        <f t="shared" si="351"/>
        <v>основная</v>
      </c>
      <c r="GD148">
        <f>IF(AND(BP148=1,TRIM(AE148&amp;"")=""),IF(COUNTIFS(Линии[Щит],A148,Линии[Секция (1/2/3)],"&gt;=2")&gt;0,MIN(3,MAX(1,IFERROR(--BD148,1))),1),IFERROR(MIN(3,MAX(1,INT(--AE148))),1))</f>
        <v>1</v>
      </c>
      <c r="GE148" t="str" cm="1">
        <f t="array" ref="GE148">IF(B148="","",_xlfn.LET(_xlpm.t,IFERROR(_xlfn.XLOOKUP(1,(Шины[Шина]=GC148)*(((Шины[Щит]=A148)+(Шины[Щит]=""))&gt;0),Шины[Тип]),"")&amp;"",IF(_xlpm.t&lt;&gt;"",_xlpm.t,IF(ISNUMBER(SEARCH("ИБП",GC148)),"ИБП",IF(ISNUMBER(SEARCH("ДГУ",GC148)),"ДГУ","Ввод "&amp;GD148)))))</f>
        <v>Ввод 1</v>
      </c>
      <c r="GF148" t="str">
        <f t="shared" si="352"/>
        <v>Ввод 1</v>
      </c>
      <c r="GG148" t="str">
        <f>IF(BP148=0,"",IF(TRIM(AG148&amp;"")&lt;&gt;"",TRIM(AG148&amp;""),IF(OR(GE148="ИБП",GE148="ДГУ"),"I особая",_xlfn.XLOOKUP(A148,Щиты[Щит],Щиты[Категория шины «Ввод»],"III"))))</f>
        <v/>
      </c>
      <c r="GH148" t="str">
        <f>IF(A148="","",_xlfn.XLOOKUP(A148,Щиты[Щит],Щиты[Путь],""))</f>
        <v>|ГРЩ-ЖД|ЩОВ-2|</v>
      </c>
      <c r="GI148" t="str">
        <f>IF(B148="","",IF(AI148&lt;&gt;"",AI148,IF(IFERROR(_xlfn.XLOOKUP(BC148,Коды_код,Коды_вид)&amp;"","")="","Прочее",_xlfn.XLOOKUP(BC148,Коды_код,Коды_вид)&amp;"")))</f>
        <v>Вентиляция</v>
      </c>
      <c r="GJ148">
        <f>IF(BM148="","",INT((BM148-1)/Столбцов_на_лист)+1)</f>
        <v>2</v>
      </c>
      <c r="GK148" t="str">
        <f t="shared" si="353"/>
        <v>ВВГнг(А)-LS (3х1,5) L=17-0,26%</v>
      </c>
      <c r="GL148">
        <f t="shared" si="354"/>
        <v>0.27</v>
      </c>
      <c r="GM148">
        <f t="shared" si="355"/>
        <v>1.47</v>
      </c>
      <c r="GN148">
        <f t="shared" si="356"/>
        <v>1</v>
      </c>
      <c r="GO148">
        <f t="shared" si="357"/>
        <v>0</v>
      </c>
      <c r="GP148">
        <f t="shared" si="358"/>
        <v>1</v>
      </c>
      <c r="GQ148">
        <f>IF(BM148="","",IF(AND(CG148=1,GP148=1),COUNTIFS(A$3:A148,A148,CG$3:CG148,1,GP$3:GP148,1),IF(OR(OR(BA148=1,A148&lt;&gt;A147),AJ148="вручную",GP148=0),"",IF(BA148=1,"",GR147))))</f>
        <v>18</v>
      </c>
      <c r="GR148">
        <f t="shared" si="359"/>
        <v>18</v>
      </c>
      <c r="GS148">
        <f>IF(B148="","",IFERROR(LOOKUP(INDEX(CHOOSE(EB148,Iдоп_1ж,Iдоп_2ж,Iдоп_3ж),MATCH(EN148,Iдоп_S,0))*DZ148*EA148,{6,10,16,20,25,32,40,50,63,80,100,125,160,200,250,315,400,500,630}),""))</f>
        <v>16</v>
      </c>
      <c r="GT148" t="str">
        <f t="shared" si="360"/>
        <v>QF18</v>
      </c>
      <c r="GU148" t="str">
        <f t="shared" si="361"/>
        <v>QF18</v>
      </c>
      <c r="GV148" t="str">
        <f t="shared" si="362"/>
        <v/>
      </c>
      <c r="GW148">
        <f t="shared" si="363"/>
        <v>0</v>
      </c>
      <c r="GX148" t="str">
        <f>IF(OR(B148="",DJ148=""),"",IFERROR(_xlfn.XLOOKUP(DJ148,Модули_умолч[Управление],Модули_умолч[Модель])&amp;"",""))</f>
        <v/>
      </c>
      <c r="GY148">
        <f>IF(DJ148="",1,IFERROR(MAX(0,N(_xlfn.XLOOKUP(DJ148,Модули_умолч[Управление],Модули_умолч[Каналов на линию]))),1))</f>
        <v>1</v>
      </c>
      <c r="GZ148" t="str">
        <f t="shared" si="364"/>
        <v/>
      </c>
      <c r="HA148" t="str">
        <f t="shared" si="365"/>
        <v/>
      </c>
      <c r="HB148" t="str">
        <f t="shared" si="366"/>
        <v/>
      </c>
      <c r="HC148">
        <f>IF(HB148="",0,IFERROR(N(VLOOKUP(HB148,Модули_спр,3,FALSE)),0))</f>
        <v>0</v>
      </c>
      <c r="HD148" t="str">
        <f t="shared" si="367"/>
        <v/>
      </c>
      <c r="HE148" t="str">
        <f t="shared" si="368"/>
        <v/>
      </c>
      <c r="HF148" t="str">
        <f>IF(OR(HE148="",HE148="-"),"",IFERROR(VLOOKUP(HE148,Модули_спр,2,FALSE),"R"))</f>
        <v/>
      </c>
      <c r="HG148" t="str">
        <f>IF(HF148="","",HF148&amp;"."&amp;COUNTIFS(A$3:A148,A148,HF$3:HF148,HF148))</f>
        <v/>
      </c>
      <c r="HH148" t="str">
        <f t="shared" si="369"/>
        <v/>
      </c>
      <c r="HI148" t="str">
        <f t="shared" si="370"/>
        <v/>
      </c>
      <c r="HJ148" t="str">
        <f t="shared" si="371"/>
        <v/>
      </c>
      <c r="HK148" t="str">
        <f t="shared" si="372"/>
        <v/>
      </c>
      <c r="HL148">
        <f t="shared" si="373"/>
        <v>1</v>
      </c>
      <c r="HM148" t="str">
        <f>IF(HL148=1,"XT"&amp;COUNTIFS(A$3:A148,A148,HL$3:HL148,1),"")</f>
        <v>XT18</v>
      </c>
      <c r="HN148" t="str">
        <f t="shared" si="374"/>
        <v/>
      </c>
      <c r="HO148" t="str">
        <f t="shared" si="375"/>
        <v>QF18</v>
      </c>
      <c r="HP148" t="str">
        <f t="shared" si="376"/>
        <v/>
      </c>
      <c r="HQ148" t="str">
        <f t="shared" si="377"/>
        <v>ok</v>
      </c>
      <c r="HR148" t="str">
        <f>IF(OR(HJ148="",HH148=""),"",IF(HJ148+MAX(0,GY148-1)&gt;IFERROR(VLOOKUP(HI148,Модули_спр,3,FALSE),99),"ЛИШНИЙ КАНАЛ",IF(AND(AL148&lt;&gt;"=",GY148&gt;0,COUNTIFS(Линии[_модуль гр.],HH148,Линии[Канал (итог)],HJ148,Линии[Канал],"&lt;&gt;=",Линии[Щит],A148)&gt;1),"ДУБЛЬ КАНАЛА","")))</f>
        <v/>
      </c>
      <c r="HS148" s="6" t="str">
        <f t="shared" si="378"/>
        <v/>
      </c>
      <c r="HT148">
        <f t="shared" si="379"/>
        <v>10</v>
      </c>
      <c r="HU148" t="str">
        <f t="shared" si="380"/>
        <v/>
      </c>
      <c r="HV148">
        <f t="shared" si="381"/>
        <v>0.75456714755449605</v>
      </c>
      <c r="HW148">
        <f t="shared" si="382"/>
        <v>0</v>
      </c>
      <c r="HX148">
        <f t="shared" si="383"/>
        <v>0</v>
      </c>
      <c r="HY148">
        <f t="shared" si="384"/>
        <v>0</v>
      </c>
      <c r="HZ148">
        <f t="shared" si="385"/>
        <v>0</v>
      </c>
      <c r="IA148">
        <f t="shared" si="386"/>
        <v>0</v>
      </c>
      <c r="IB148">
        <f t="shared" si="387"/>
        <v>0</v>
      </c>
      <c r="IC148" t="str">
        <f t="shared" si="388"/>
        <v/>
      </c>
      <c r="ID148" t="str" cm="1">
        <f t="array" ref="ID148">IF(IC148="","",_xlfn.LET(_xlpm.tk,_xlfn.TEXTSPLIT(SUBSTITUTE(SUBSTITUTE(IC148,";"," "),"→"," ")," ",,TRUE),_xlpm.w_,_xlfn._xlws.FILTER(_xlpm.tk,ISNUMBER(--LEFT(_xlpm.tk,1))*((ISNUMBER(SEARCH("W",_xlpm.tk))+ISNUMBER(SEARCH("Вт",_xlpm.tk)))&gt;0),""),IFERROR(--SUBSTITUTE(SUBSTITUTE(UPPER(INDEX(_xlpm.w_,1)),"W",""),"ВТ",""),"")))</f>
        <v/>
      </c>
      <c r="IE148" t="str" cm="1">
        <f t="array" ref="IE148">IF(IC148="","",_xlfn.LET(_xlpm.tk,_xlfn.TEXTSPLIT(SUBSTITUTE(SUBSTITUTE(IC148,";"," "),"→"," ")," ",,TRUE),_xlpm.v_,_xlfn._xlws.FILTER(_xlpm.tk,ISNUMBER(--LEFT(_xlpm.tk,1))*((ISNUMBER(SEARCH("V",_xlpm.tk))+(RIGHT(UPPER(_xlpm.tk))="В"))&gt;0),""),IFERROR(--SUBSTITUTE(SUBSTITUTE(UPPER(INDEX(_xlpm.v_,1)),"V",""),"В",""),"")))</f>
        <v/>
      </c>
      <c r="IF148" s="6" t="str">
        <f>IF(OR(BV148=0,HI148="",HJ148=""),"",IFERROR(N(_xlfn.XLOOKUP(HI148,Каталог!$C$4:$C$500,Каталог!$Q$4:$Q$500)),""))</f>
        <v/>
      </c>
      <c r="IG148" s="6" t="str">
        <f>IF(N(IF148)=0,"",SUMIFS(Линии[Iр, А],Линии[Щит],A148,Линии[_модуль гр.],HH148,Линии[Канал (итог)],HJ148))</f>
        <v/>
      </c>
      <c r="IH148" t="str">
        <f>IF(AND(B148="",HO148=""),"",_xlfn.TEXTJOIN("; ",TRUE,IF(AND(B148&lt;&gt;"",FV148=""),"нет фазы",""),IF(AND(B148&lt;&gt;"",N(GL148)=0,FG148&lt;&gt;"Нет"),"нет мощности",""),IF(AND(HN148&lt;&gt;"",COUNTIFS(Линии[Щит],A148,Линии[Клемма (итог)],HN148)&gt;1),"дубль клеммы "&amp;HN148,""),IF(AND(HQ148&lt;&gt;"",HQ148&lt;&gt;"ok"),HQ148,""),IF(HR148&lt;&gt;"",HR148,""),IF(AND(N(CB148)&gt;=4,N(BX148)=1),CB148&amp;" жил на 1 фазе",""),IF(AND(BC148="R",CG148=1,IF(CS148&lt;&gt;"",N(CV148)&gt;30,OR(N(DA148)=0,N(DA148)&gt;30))),"розетка без дифзащиты до 30 мА",""),IF(AND(CG148=1,N(DA148)&gt;0,ISNUMBER(T148)),IF(T148&gt;N(DA148)/3,"ток утечки "&amp;FIXED(T148,1)&amp;" мА &gt; 1/3 уставки ("&amp;DA148&amp;" мА)",""),""),IF(AND(CH148=1,CS148=""),"«узо»: нет строки с УЗО выше (УЗО 2P 40А 30мА в «Аппаратах»)",""),IF(AND(CS148&lt;&gt;"",CS148=BA148),IF(CT148="","впишите номинал УЗО (УЗО 2P 40А 30мА)",IF(N(CT148)&lt;N(DT148),"УЗО "&amp;CT148&amp;" А &lt; автомата "&amp;DT148&amp;" А перед ним",IF(N(CT148)&lt;N(CX148),"УЗО "&amp;CT148&amp;" А &lt; тока блока "&amp;FIXED(CX148,1)&amp;" А",""))),""),IF(AND(CS148&lt;&gt;"",CS148=BA148,ISNUMBER(CY148)),IF(CY148&gt;N(CV148)/3,"ток утечки блока УЗО "&amp;FIXED(CY148,1)&amp;" мА &gt; 1/3 уставки ("&amp;CV148&amp;" мА)",""),""),IF(AND(CG148=1,N(BV148)+N(IB148)&gt;0,IC148=""),"линии до 50 В без БП: впишите в «Аппараты» (БП 24V 480W)",""),IF(AND(CG148=1,ISNUMBER(ID148),ISNUMBER(U148)),IF(U148&gt;ID148,"БП "&amp;ID148&amp;" Вт &lt; нужно "&amp;U148&amp;" Вт (×"&amp;Запас_БП&amp;")",""),""),IF(AND(CG148=1,ISNUMBER(IE148),N(BV148)=1),IF(IE148&lt;&gt;N(BU148),"БП на "&amp;IE148&amp;" В, линия "&amp;BU148&amp;" В",""),""),IF(AND(N(IF148)&gt;0,N(IG148)&gt;N(IF148)),HH148&amp;" канал "&amp;HJ148&amp;": "&amp;FIXED(IG148,1)&amp;" А &gt; "&amp;IF148&amp;" А",""),IFERROR(IF(AND(ISNUMBER(Q148),Q148&gt;EL148),"потери "&amp;FIXED(Q148,1)&amp;" % &gt; "&amp;EL148&amp;" %",""),""),IFERROR(IF(LEFT(HU148,4)="мало","Iкз мало — отключение &gt; 0,4 с",""),""),IF(AND(B148&lt;&gt;"",BM148=""),"не на схеме",""),IF(AND(CG148=0,B148&lt;&gt;"",FV148&lt;&gt;"",IF(BA148=1,"",FW147)&lt;&gt;"",FV148&lt;&gt;IF(BA148=1,"",FW147)),"фаза не как у автомата группы ("&amp;IF(BA148=1,"",FW147)&amp;")","")))</f>
        <v/>
      </c>
      <c r="II148" s="6" t="str">
        <f>IF(OR(CG148=0,DQ148=""),"",_xlfn.LET(_xlpm.t,IFERROR(_xlfn.XLOOKUP(DQ148,Каталог!$U$4:$U$500,Каталог!$G$4:$G$500),""),_xlpm.k,SEARCH("кА",_xlpm.t),IFERROR(--TRIM(RIGHT(SUBSTITUTE(MID(_xlpm.t,MAX(1,_xlpm.k-4),_xlpm.k-MAX(1,_xlpm.k-4))," ",REPT(" ",9)),5)),"")))</f>
        <v/>
      </c>
      <c r="IJ148" t="str">
        <f>IF(OR(II148="",CG148=0),"",IF(_xlfn.XLOOKUP(A148,Щиты[Щит],Щиты[Iкз max на шинах, кА],"")="","",IF(II148&lt;_xlfn.XLOOKUP(A148,Щиты[Щит],Щиты[Iкз max на шинах, кА]),"Icu "&amp;II148&amp;" кА &lt; Iкз max","ok")))</f>
        <v/>
      </c>
      <c r="IK148" t="str">
        <f t="shared" si="389"/>
        <v/>
      </c>
      <c r="IL148" t="str">
        <f t="shared" si="390"/>
        <v>QF18</v>
      </c>
      <c r="IM148" t="str">
        <f t="shared" si="391"/>
        <v>QF18|кабель ВВГнг(А)-LS (3х1,5) → Вытяжная установка Технический этаж Пом. №001Т</v>
      </c>
      <c r="IN148" t="str" cm="1">
        <f t="array" ref="IN148">IF(IM148="","",_xlfn.LET(_xlpm.nd,_xlfn.TEXTSPLIT(IM148,"|"),IF(COLUMNS(_xlpm.nd)&gt;1,A148&amp;"¦"&amp;INDEX(_xlpm.nd,1)&amp;"¦"&amp;INDEX(_xlpm.nd,2),"")))</f>
        <v>ЩОВ-2¦QF18¦кабель ВВГнг(А)-LS (3х1,5) → Вытяжная установка Технический этаж Пом. №001Т</v>
      </c>
      <c r="IO148" t="str">
        <f t="shared" si="392"/>
        <v>В.8¦Вытяжная установка Технический этаж Пом. №001Т</v>
      </c>
      <c r="IP148" t="str" cm="1">
        <f t="array" ref="IP148">IF(IM148="","",_xlfn.LET(_xlpm.nd,_xlfn.TEXTSPLIT(IM148,"|"),IF(COLUMNS(_xlpm.nd)&gt;2,A148&amp;"¦"&amp;INDEX(_xlpm.nd,2)&amp;"¦"&amp;INDEX(_xlpm.nd,3),"")))</f>
        <v/>
      </c>
      <c r="IQ148" t="str">
        <f t="shared" si="393"/>
        <v/>
      </c>
      <c r="IR148" t="str" cm="1">
        <f t="array" ref="IR148">IF(IM148="","",_xlfn.LET(_xlpm.nd,_xlfn.TEXTSPLIT(IM148,"|"),IF(COLUMNS(_xlpm.nd)&gt;3,A148&amp;"¦"&amp;INDEX(_xlpm.nd,3)&amp;"¦"&amp;INDEX(_xlpm.nd,4),"")))</f>
        <v/>
      </c>
      <c r="IS148" t="str">
        <f t="shared" si="394"/>
        <v/>
      </c>
      <c r="IT148" t="str" cm="1">
        <f t="array" ref="IT148">IF(IM148="","",_xlfn.LET(_xlpm.nd,_xlfn.TEXTSPLIT(IM148,"|"),IF(COLUMNS(_xlpm.nd)&gt;4,A148&amp;"¦"&amp;INDEX(_xlpm.nd,4)&amp;"¦"&amp;INDEX(_xlpm.nd,5),"")))</f>
        <v/>
      </c>
      <c r="IU148" t="str">
        <f t="shared" si="395"/>
        <v/>
      </c>
      <c r="IV148" t="str" cm="1">
        <f t="array" ref="IV148">IF(IM148="","",_xlfn.LET(_xlpm.nd,_xlfn.TEXTSPLIT(IM148,"|"),IF(COLUMNS(_xlpm.nd)&gt;5,A148&amp;"¦"&amp;INDEX(_xlpm.nd,5)&amp;"¦"&amp;INDEX(_xlpm.nd,6),"")))</f>
        <v/>
      </c>
      <c r="IW148" t="str">
        <f t="shared" si="396"/>
        <v/>
      </c>
      <c r="IX148" t="str" cm="1">
        <f t="array" ref="IX148">IF(IM148="","",_xlfn.LET(_xlpm.nd,_xlfn.TEXTSPLIT(IM148,"|"),IF(COLUMNS(_xlpm.nd)&gt;6,A148&amp;"¦"&amp;INDEX(_xlpm.nd,6)&amp;"¦"&amp;INDEX(_xlpm.nd,7),"")))</f>
        <v/>
      </c>
      <c r="IY148" t="str">
        <f t="shared" si="397"/>
        <v/>
      </c>
      <c r="IZ148" t="str">
        <f t="shared" si="398"/>
        <v/>
      </c>
      <c r="JA148" t="str">
        <f t="shared" si="399"/>
        <v>QF18</v>
      </c>
      <c r="JB148">
        <f t="shared" si="400"/>
        <v>0</v>
      </c>
      <c r="JC148">
        <f t="shared" si="401"/>
        <v>0</v>
      </c>
      <c r="JD148" t="str">
        <f t="shared" si="402"/>
        <v/>
      </c>
      <c r="JE148" t="str">
        <f t="shared" si="403"/>
        <v/>
      </c>
      <c r="JF148" t="str">
        <f t="shared" si="404"/>
        <v/>
      </c>
      <c r="JG148" t="str">
        <f t="shared" si="405"/>
        <v/>
      </c>
      <c r="JH148" t="str">
        <f>IF(B148="","",IFERROR(_xlfn.XLOOKUP(B148,Коды_код,Коды_уго),IFERROR(_xlfn.XLOOKUP(BC148,Коды_код,Коды_уго),IFERROR(_xlfn.XLOOKUP(LEFT(BC148,2),Коды_код,Коды_уго),""))))</f>
        <v>Привод (двигатель)</v>
      </c>
      <c r="JI148" t="str">
        <f>IF(B148="","",IF(OR(JH148="",JH148=0),"BOX",IFERROR(IF(VLOOKUP(JH148,УГО_блоки,3,FALSE)&amp;""&lt;&gt;"",VLOOKUP(JH148,УГО_блоки,3,FALSE),VLOOKUP(JH148,УГО_блоки,2,FALSE)),JH148)))</f>
        <v>MOTOR</v>
      </c>
      <c r="JJ148">
        <f t="shared" si="406"/>
        <v>1</v>
      </c>
      <c r="JK148" t="str">
        <f>IF(DQ148="","",IF(COUNTIF(DQ$3:DQ148,DQ148)=1,MAX(JK$2:JK147)+1,""))</f>
        <v/>
      </c>
      <c r="JL148" t="str">
        <f>IF(DE148="","",IF(COUNTIF(DE$3:DE148,DE148)+COUNTIF(DF$2:DF147,DE148)+COUNTIF(DG$2:DG147,DE148)=1,MAX(JL$2:JN147)+1,""))</f>
        <v/>
      </c>
      <c r="JM148" t="str">
        <f>IF(DF148="","",IF(COUNTIF(DE$3:DE148,DF148)+COUNTIF(DF$3:DF148,DF148)+COUNTIF(DG$2:DG147,DF148)=1,MAX(JL$2:JN147,JL148)+1,""))</f>
        <v/>
      </c>
      <c r="JN148" t="str">
        <f>IF(DG148="","",IF(COUNTIF(DE$3:DE148,DG148)+COUNTIF(DF$3:DF148,DG148)+COUNTIF(DG$3:DG148,DG148)=1,MAX(JL$2:JN147,JL148,JM148)+1,""))</f>
        <v/>
      </c>
      <c r="JO148" t="str">
        <f t="shared" si="407"/>
        <v>3х1,5</v>
      </c>
      <c r="JP148" t="str">
        <f>IF(JO148="","",IF(COUNTIF(JO$3:JO148,JO148)=1,MAX(JP$2:JP147)+1,""))</f>
        <v/>
      </c>
      <c r="JQ148" t="str">
        <f>IF(HG148="","",COUNTIF(HG$3:HG148,"?*"))</f>
        <v/>
      </c>
      <c r="JR148" t="str">
        <f>IF(OR(HG148="",HI148=""),"",IF(COUNTIFS(HG$3:HG148,"?*",HI$3:HI148,HI148)=1,MAX(JR$2:JR147)+1,""))</f>
        <v/>
      </c>
      <c r="JS148">
        <f t="shared" si="408"/>
        <v>0</v>
      </c>
      <c r="JT148">
        <f>IF(B148="","",COUNTIF(B$3:B148,"?*"))</f>
        <v>146</v>
      </c>
      <c r="JU148">
        <f>IF(HL148&lt;&gt;1,0,_xlfn.LET(_xlpm.k,MAX(IFERROR(--_xlfn.XLOOKUP(B148,Коды_код,Коды_3L),0),IFERROR(--_xlfn.XLOOKUP(BC148,Коды_код,Коды_3L),0),IFERROR(--_xlfn.XLOOKUP(LEFT(BC148,2),Коды_код,Коды_3L),0)),IF(_xlpm.k&gt;0,_xlpm.k,IF(IFERROR(--LEFT(SUBSTITUTE(JO148,"x","х"),FIND("х",SUBSTITUTE(JO148,"x","х"))-1),3)&gt;3,Каталог!$S$9,1))))</f>
        <v>1</v>
      </c>
      <c r="JV148">
        <f t="shared" si="409"/>
        <v>0</v>
      </c>
      <c r="JW148" t="str">
        <f t="shared" si="410"/>
        <v>авто</v>
      </c>
      <c r="JX148" t="str">
        <f t="shared" si="411"/>
        <v/>
      </c>
      <c r="JY148">
        <f t="shared" si="412"/>
        <v>0</v>
      </c>
      <c r="JZ148">
        <f t="shared" si="413"/>
        <v>1</v>
      </c>
    </row>
    <row r="149" spans="1:286" x14ac:dyDescent="0.3">
      <c r="A149" t="s">
        <v>751</v>
      </c>
      <c r="B149" t="s">
        <v>1458</v>
      </c>
      <c r="C149" t="s">
        <v>1690</v>
      </c>
      <c r="D149">
        <v>1</v>
      </c>
      <c r="E149">
        <v>0.12</v>
      </c>
      <c r="G149" t="str">
        <f>Линии[[#This Row],[_авто автомат]]</f>
        <v>1P С6А</v>
      </c>
      <c r="H149" t="str">
        <f>Линии[[#This Row],[_авто управление]]</f>
        <v/>
      </c>
      <c r="I149" t="str">
        <f>Линии[[#This Row],[_авто аппараты]]</f>
        <v/>
      </c>
      <c r="J149">
        <v>2.5</v>
      </c>
      <c r="K149">
        <v>19</v>
      </c>
      <c r="L149" t="str">
        <f>Линии[[#This Row],[_авто фаза]]</f>
        <v>L2</v>
      </c>
      <c r="M149" t="s">
        <v>484</v>
      </c>
      <c r="N149" t="str">
        <f t="shared" si="276"/>
        <v/>
      </c>
      <c r="O149" s="6" cm="1">
        <f t="array" ref="O149">IF(B149="","",IF(BH149&lt;&gt;"",IFERROR(_xlfn.XLOOKUP(BH149,Щиты[Щит],Щиты[Iр, А]),""),IF(BP149=1,IF(OR(N(_xlfn.XLOOKUP(A149,Щиты[Щит],Щиты[Вводов],1))&lt;=1,LOWER(TRIM(_xlfn.XLOOKUP(A149,Щиты[Щит],Щиты[АВР],"")&amp;""))="да"),IFERROR(_xlfn.XLOOKUP(A149,Щиты[Щит],Щиты[Iр, А]),""),IFERROR(N(BS149)*_xlfn.XLOOKUP(A149,Щиты[Щит],Щиты[Кс итог])/(SQRT(3)*Uн_лин*_xlfn.XLOOKUP(A149,Щиты[Щит],Щиты[cos φ])),"")),IF(BV149=1,IFERROR(BS149*1000/BU149,""),IFERROR(_xlfn.IFS(BX149=1,BS149/((Uн_лин/SQRT(3))*CE149),BX149=3,BS149/(SQRT(3)*Uн_лин*CE149)),"")))))</f>
        <v>0.64951905283832878</v>
      </c>
      <c r="P149" s="7">
        <f>IF(B149="","",IFERROR(IF(VLOOKUP(BC149,Потребители_обозначение,4,FALSE)=1,VLOOKUP(BC149,Потребители_обозначение,3,FALSE)*(MAX(1,N(D149))*2-1)+EI149+VLOOKUP(BE149,Этаж_обозначение,3,FALSE)+VLOOKUP(BE149,Этаж_обозначение,4,FALSE),VLOOKUP(BC149,Потребители_обозначение,3,FALSE)*(MAX(1,N(D149))*2-1)+EI149),EI149))</f>
        <v>23</v>
      </c>
      <c r="Q149" s="6">
        <f t="shared" si="277"/>
        <v>1.24</v>
      </c>
      <c r="R149" t="str">
        <f t="shared" si="278"/>
        <v>ВВГнг(А)-LS (3х2,5)</v>
      </c>
      <c r="S149" t="str">
        <f>IF(BM149="","",IF(BN149="вводной узел","узел ","")&amp;"л."&amp;(INT((BM149-1)/Столбцов_на_лист)+1)&amp;" / "&amp;(MOD(BM149-1,Столбцов_на_лист)+1))</f>
        <v>л.2 / 16</v>
      </c>
      <c r="T149" s="119">
        <f t="shared" si="279"/>
        <v>0.5</v>
      </c>
      <c r="U149" s="7" t="str">
        <f>IF(OR(CG149=0,N(BV149)+N(IB149)=0),"",ROUNDUP(Запас_БП*(N(HY149)+N(HZ149)),0))</f>
        <v/>
      </c>
      <c r="V149" s="119" t="str">
        <f t="shared" si="280"/>
        <v/>
      </c>
      <c r="W149" s="7" t="str">
        <f>IFERROR(IF(OR(B149="",BP149=1,BV149=1,NOT(ISNUMBER(EN149)),N(DT149)=0),"",MAX(0,ROUNDDOWN((c_min*(Uн_лин*1000/SQRT(3))/(HT149*N(DT149))-_xlfn.XLOOKUP(A149,Щиты[Щит],Щиты[Zпетли на шинах, Ом]))*EN149/(2*ρкз_Cu),0))),"")</f>
        <v/>
      </c>
      <c r="Y149" t="str">
        <f>Линии[[#This Row],[_авто утечка]]</f>
        <v/>
      </c>
      <c r="Z149">
        <v>1</v>
      </c>
      <c r="AA149">
        <v>230</v>
      </c>
      <c r="AB149" t="s">
        <v>598</v>
      </c>
      <c r="AC149">
        <v>0.5</v>
      </c>
      <c r="AG149" t="s">
        <v>810</v>
      </c>
      <c r="AI149" t="s">
        <v>580</v>
      </c>
      <c r="AK149" t="str">
        <f>Линии[[#This Row],[_авто модуль]]</f>
        <v/>
      </c>
      <c r="AM149">
        <v>33</v>
      </c>
      <c r="AN149" t="s">
        <v>11</v>
      </c>
      <c r="AO149">
        <v>3</v>
      </c>
      <c r="AQ149">
        <v>6</v>
      </c>
      <c r="AR149">
        <v>17</v>
      </c>
      <c r="AT149">
        <v>1</v>
      </c>
      <c r="BA149" cm="1">
        <f t="array" ref="BA149">ROW()-ROW(Линии[#Headers])</f>
        <v>147</v>
      </c>
      <c r="BC149" s="6" t="str">
        <f t="shared" si="281"/>
        <v>П</v>
      </c>
      <c r="BD149" t="str">
        <f t="shared" si="282"/>
        <v>3</v>
      </c>
      <c r="BE149" t="str">
        <f t="shared" si="283"/>
        <v>3</v>
      </c>
      <c r="BF149" t="str">
        <f t="shared" si="284"/>
        <v/>
      </c>
      <c r="BG149" t="str">
        <f t="shared" si="285"/>
        <v/>
      </c>
      <c r="BH149" t="str">
        <f>IF(X149&lt;&gt;"",X149,IF(AND(B149&lt;&gt;"",B149&lt;&gt;A149,ISNUMBER(_xlfn.XMATCH(B149,Щиты[Щит]))),B149,""))</f>
        <v/>
      </c>
      <c r="BI149" t="str" cm="1">
        <f t="array" ref="BI149">IF(B149="","",IF(BH149&lt;&gt;"","Щит "&amp;BH149,_xlfn.LET(_xlpm.nm,IFERROR(_xlfn.XLOOKUP(BC149,Коды_код,Коды_имя)&amp;"",""),_xlpm.md,IFERROR(N(_xlfn.XLOOKUP(BC149,Коды_код,Коды_режим)),1),_xlpm.ex,IF(Имя_режим="по экспликации",IFERROR(_xlfn.XLOOKUP(BE149&amp;"|"&amp;BG149,Экспликация[Этаж]&amp;"|"&amp;Экспликация[Помещение],Экспликация[Название])&amp;"",""),""),_xlpm.rm,IF(BG149="","",IF(_xlpm.ex&lt;&gt;"",". "&amp;_xlpm.ex&amp;IF(Имя_пом="нет"," ("&amp;BG149&amp;")"," (пом. "&amp;BG149&amp;")"),IF(Имя_пом="нет"," ",", пом. ")&amp;BG149)),IF(_xlpm.nm="","",IF(_xlpm.md=2,_xlpm.nm&amp;" шлейф "&amp;BE149,_xlpm.nm&amp;_xlpm.rm)))))</f>
        <v>Приточная установка шлейф 3</v>
      </c>
      <c r="BJ149" t="str">
        <f t="shared" si="286"/>
        <v>Приточная установка Технический этаж Пом. №001Т</v>
      </c>
      <c r="BK149">
        <f>IFERROR(_xlfn.XMATCH(A149,Щиты[Щит]),0)</f>
        <v>7</v>
      </c>
      <c r="BL149">
        <f>_xlfn.LET(_xlpm.k,IFERROR(_xlfn.XLOOKUP(A149,Щиты[Щит],Щиты[Мест под вводной узел]),""),IF(_xlpm.k="",Столбцов_на_лист,N(_xlpm.k)))</f>
        <v>12</v>
      </c>
      <c r="BM149">
        <f t="shared" si="287"/>
        <v>33</v>
      </c>
      <c r="BN149" t="str">
        <f t="shared" si="288"/>
        <v>линии</v>
      </c>
      <c r="BO149" s="6">
        <f>IFERROR(N(_xlfn.XLOOKUP(BC149,Коды_код,Коды_квт)),0)</f>
        <v>0</v>
      </c>
      <c r="BP149">
        <f t="shared" si="289"/>
        <v>0</v>
      </c>
      <c r="BQ149" t="str">
        <f>IF(B149="","",IF(BH149&lt;&gt;"",IFERROR(_xlfn.XLOOKUP(BH149,Щиты[Щит],Щиты[Руст, кВт]),0),IF(BP149=1,IF(OR(N(_xlfn.XLOOKUP(A149,Щиты[Щит],Щиты[Вводов],1))&lt;=1,LOWER(TRIM(_xlfn.XLOOKUP(A149,Щиты[Щит],Щиты[АВР],"")&amp;""))="да"),IFERROR(_xlfn.XLOOKUP(A149,Щиты[Щит],Щиты[Руст, кВт]),0),SUMIFS(Линии[_Р для вводов],Линии[Щит],A149,Линии[Источник для режимов],GF149)),IF(BO149&gt;0,ROUND(BO149*MAX(1,N(D149)),3),""))))</f>
        <v/>
      </c>
      <c r="BR149">
        <f t="shared" si="290"/>
        <v>0.12</v>
      </c>
      <c r="BS149" s="6">
        <f>IF(B149="","",IF(BH149&lt;&gt;"",IFERROR(_xlfn.XLOOKUP(BH149,Щиты[Щит],Щиты[Руст, кВт]),0),N(BR149)))</f>
        <v>0.12</v>
      </c>
      <c r="BT149" t="str">
        <f>IF(B149="","",IFERROR(IF(VLOOKUP(BC149,Потребители_обозначение,8,FALSE)=0,"",VLOOKUP(BC149,Потребители_обозначение,8,FALSE)),""))</f>
        <v/>
      </c>
      <c r="BU149">
        <f t="shared" si="291"/>
        <v>230</v>
      </c>
      <c r="BV149">
        <f t="shared" si="292"/>
        <v>0</v>
      </c>
      <c r="BW149">
        <f>IF(B149="","",IF(BH149&lt;&gt;"",3,IFERROR(IF(N(VLOOKUP(BC149,Потребители_обозначение,9,FALSE))=0,1,VLOOKUP(BC149,Потребители_обозначение,9,FALSE)),1)))</f>
        <v>1</v>
      </c>
      <c r="BX149">
        <f t="shared" si="293"/>
        <v>1</v>
      </c>
      <c r="BY149" t="str">
        <f>IF(B149="","",_xlfn.LET(_xlpm.bc,IFERROR(IF(VLOOKUP(BC149,Потребители_обозначение,6,FALSE)=0,"",VLOOKUP(BC149,Потребители_обозначение,6,FALSE)&amp;""),""),IF(AND(GA149="да",OR(_xlpm.bc="",_xlpm.bc="мс")),Марка_пож,IF(AND(_xlpm.bc="",BH149&lt;&gt;""),"мс",_xlpm.bc))))</f>
        <v/>
      </c>
      <c r="BZ149" t="str">
        <f t="shared" si="294"/>
        <v>мс</v>
      </c>
      <c r="CA149">
        <f>IF(B149="","",_xlfn.LET(_xlpm.cc,IFERROR(N(VLOOKUP(BC149,Потребители_обозначение,7,FALSE)),0),IF(_xlpm.cc&gt;0,_xlpm.cc,IF(BZ149="","",IF(BV149=1,2,IF(N(BX149)=3,5,3))))))</f>
        <v>3</v>
      </c>
      <c r="CB149">
        <f t="shared" si="295"/>
        <v>3</v>
      </c>
      <c r="CC149">
        <f>IFERROR(N(VLOOKUP(BC149,Потребители_обозначение,10,FALSE)),0)</f>
        <v>0</v>
      </c>
      <c r="CD149">
        <f>IFERROR(VLOOKUP(BC149,Потребители_обозначение,5,FALSE),0)</f>
        <v>1</v>
      </c>
      <c r="CE149" s="6" cm="1">
        <f t="array" ref="CE149">IF(B149="","",IF(BH149&lt;&gt;"",IFERROR(_xlfn.XLOOKUP(BH149,Щиты[Щит],Щиты[cos φ]),0.95),IF(BP149=1,IFERROR(_xlfn.XLOOKUP(A149,Щиты[Щит],Щиты[cos φ]),0.95),IF(ISNUMBER(AD149),AD149,IFERROR(IF(CD149=2,_xlfn.IFS(BX149=3,VLOOKUP(BS149,Справочная_двигатели,8,FALSE),BX149=1,VLOOKUP(BS149,Справочная_двигатели,10,TRUE)),IF(AND(Методика="нормы 2026",FG149="Сил"),0.8,0.95)),0.95)))))</f>
        <v>0.8</v>
      </c>
      <c r="CF149">
        <f t="shared" si="296"/>
        <v>0</v>
      </c>
      <c r="CG149">
        <f t="shared" si="297"/>
        <v>1</v>
      </c>
      <c r="CH149">
        <f t="shared" si="298"/>
        <v>0</v>
      </c>
      <c r="CI149">
        <f>IF(B149="","",IF(BV149=1,IFERROR(BS149/((Uн_лин/SQRT(3))*MAX(0.5,N(CE149))),0),N(O149)))</f>
        <v>0.64951905283832878</v>
      </c>
      <c r="CJ149">
        <f t="shared" si="299"/>
        <v>0</v>
      </c>
      <c r="CK149">
        <f t="shared" si="300"/>
        <v>0</v>
      </c>
      <c r="CL149">
        <f t="shared" si="301"/>
        <v>0</v>
      </c>
      <c r="CM149">
        <f t="shared" si="302"/>
        <v>0</v>
      </c>
      <c r="CN149">
        <f t="shared" si="303"/>
        <v>0</v>
      </c>
      <c r="CO149">
        <f>IF(BC149="",0,_xlfn.LET(_xlpm.v,IFERROR(_xlfn.XLOOKUP(B149,Коды_код,Коды_мА),IFERROR(_xlfn.XLOOKUP(BC149,Коды_код,Коды_мА),IFERROR(_xlfn.XLOOKUP(LEFT(BC149,2),Коды_код,Коды_мА),""))),IF(_xlpm.v="да",30,IF(ISNUMBER(_xlpm.v),_xlpm.v,0))))</f>
        <v>0</v>
      </c>
      <c r="CP149" t="str">
        <f t="shared" si="304"/>
        <v/>
      </c>
      <c r="CQ149" t="str">
        <f>_xlfn.LET(_xlpm.k,IFERROR(_xlfn.XLOOKUP(BC149,Коды_код,Коды_утечка)&amp;"",""),IF(_xlpm.k="","дифавтомат",_xlpm.k))</f>
        <v>дифавтомат</v>
      </c>
      <c r="CR149" t="str" cm="1">
        <f t="array" ref="CR149">IF(CG149=0,"",_xlfn.LET(_xlpm.sg,TRIM(_xlfn.TEXTSPLIT(DD149&amp;"",";")),_xlpm.f_,_xlfn._xlws.FILTER(_xlpm.sg,LEFT(_xlpm.sg,3)="УЗО",""),IFERROR(INDEX(_xlpm.f_,1)&amp;"","")))</f>
        <v/>
      </c>
      <c r="CS149" t="str">
        <f t="shared" si="305"/>
        <v/>
      </c>
      <c r="CT149" s="6" t="str" cm="1">
        <f t="array" ref="CT149">IF(CR149="","",_xlfn.LET(_xlpm.tk,_xlfn.TEXTSPLIT(UPPER(CR149)," ",,TRUE),_xlpm.a_,_xlfn._xlws.FILTER(_xlpm.tk,ISNUMBER(--LEFT(_xlpm.tk,1))*((ISNUMBER(SEARCH("А",_xlpm.tk))+ISNUMBER(SEARCH("A",_xlpm.tk)))&gt;0)*NOT(ISNUMBER(SEARCH("МА",_xlpm.tk)))*NOT(ISNUMBER(SEARCH("MA",_xlpm.tk))),""),IFERROR(--SUBSTITUTE(SUBSTITUTE(INDEX(_xlpm.a_,1),"А",""),"A",""),"")))</f>
        <v/>
      </c>
      <c r="CU149" t="str" cm="1">
        <f t="array" ref="CU149">IF(CR149="","",_xlfn.LET(_xlpm.tk,_xlfn.TEXTSPLIT(UPPER(CR149)," ",,TRUE),_xlpm.a_,_xlfn._xlws.FILTER(_xlpm.tk,ISNUMBER(--LEFT(_xlpm.tk,1))*((ISNUMBER(SEARCH("МА",_xlpm.tk))+ISNUMBER(SEARCH("MA",_xlpm.tk)))&gt;0),""),IFERROR(--SUBSTITUTE(SUBSTITUTE(INDEX(_xlpm.a_,1),"МА",""),"MA",""),30)))</f>
        <v/>
      </c>
      <c r="CV149" t="str">
        <f>IF(CS149="","",IFERROR(_xlfn.XLOOKUP(CS149,Линии[_n],Линии[_УЗО, мА]),30))</f>
        <v/>
      </c>
      <c r="CW149">
        <f>IF(CS149="",0,IF(ISNUMBER(SEARCH("4P",IFERROR(_xlfn.XLOOKUP(CS149,Линии[_n],Линии[_УЗО строки])&amp;"",""))),0,1))</f>
        <v>0</v>
      </c>
      <c r="CX149" t="str">
        <f>IF(AND(CS149&lt;&gt;"",CS149=BA149),SUMIFS(Линии[_ток на 230 В],Линии[_блок УЗО],BA149,Линии[Щит],A149),"")</f>
        <v/>
      </c>
      <c r="CY149" t="str">
        <f>IF(AND(CS149&lt;&gt;"",CS149=BA149),SUMIFS(Линии[_ток утечки линии, мА],Линии[_блок УЗО],BA149,Линии[Щит],A149),"")</f>
        <v/>
      </c>
      <c r="CZ149">
        <f t="shared" si="306"/>
        <v>0</v>
      </c>
      <c r="DA149">
        <f t="shared" si="307"/>
        <v>0</v>
      </c>
      <c r="DB149">
        <f>IF(B149="",0,IFERROR(--_xlfn.XLOOKUP(B149,Коды_код,Коды_минавт),IFERROR(--_xlfn.XLOOKUP(BC149,Коды_код,Коды_минавт),IFERROR(--_xlfn.XLOOKUP(LEFT(BC149,2),Коды_код,Коды_минавт),0))))</f>
        <v>0</v>
      </c>
      <c r="DC149" t="str">
        <f>IF(B149="","",IFERROR(_xlfn.XLOOKUP(BC149,Коды_код,Коды_апп)&amp;"",""))</f>
        <v/>
      </c>
      <c r="DD149" t="str">
        <f t="shared" si="308"/>
        <v/>
      </c>
      <c r="DE149" t="str" cm="1">
        <f t="array" ref="DE149">IF(TRIM(DD149&amp;"")="","",IFERROR(TRIM(INDEX(_xlfn.TEXTSPLIT(DD149&amp;";;;",";"),1)),""))</f>
        <v/>
      </c>
      <c r="DF149" t="str" cm="1">
        <f t="array" ref="DF149">IF(TRIM(DD149&amp;"")="","",IFERROR(TRIM(INDEX(_xlfn.TEXTSPLIT(DD149&amp;";;;",";"),2)),""))</f>
        <v/>
      </c>
      <c r="DG149" t="str" cm="1">
        <f t="array" ref="DG149">IF(TRIM(DD149&amp;"")="","",IFERROR(TRIM(INDEX(_xlfn.TEXTSPLIT(DD149&amp;";;;",";"),3)),""))</f>
        <v/>
      </c>
      <c r="DH149">
        <f t="shared" si="309"/>
        <v>0</v>
      </c>
      <c r="DI149" t="str">
        <f>IF(B149="","",_xlfn.LET(_xlpm.t,LOWER(AZ149&amp;""),IF(ISNUMBER(SEARCH("dim",_xlpm.t)),"DIM",IF(ISNUMBER(SEARCH("dali",_xlpm.t)),"DALI",IF(OR(ISNUMBER(SEARCH("relay",_xlpm.t)),ISNUMBER(SEARCH("реле",_xlpm.t))),"Relay",IF(ISNUMBER(SEARCH("кнопк",_xlpm.t)),"",IFERROR(_xlfn.XLOOKUP(BC149,Коды_код,Коды_упр)&amp;"","")))))))</f>
        <v/>
      </c>
      <c r="DJ149" t="str">
        <f t="shared" si="310"/>
        <v/>
      </c>
      <c r="DK149">
        <f>IF(B149="","",_xlfn.LET(_xlpm.ig,IF(N(CX149)&gt;0,N(CX149),N(CI149)+IF(AJ149="вручную",0,N(CJ149))),_xlpm.n0,IFERROR(VLOOKUP(_xlpm.ig,Автомат_номиналы,2,TRUE),0),_xlpm.mn,MAX(DB149,IF(AJ149="вручную",0,N(CM149))),MAX(_xlpm.n0,_xlpm.mn,IF(DH149=1,Мин_автомат_БП,0))))</f>
        <v>6</v>
      </c>
      <c r="DL149">
        <f t="shared" si="311"/>
        <v>1</v>
      </c>
      <c r="DM149" t="str">
        <f t="shared" si="312"/>
        <v>1P</v>
      </c>
      <c r="DN149" t="str">
        <f>_xlfn.LET(_xlpm.cc,UPPER(TRIM(IFERROR(_xlfn.XLOOKUP(BC149,Коды_код,Коды_хар)&amp;"",""))),IF(OR(_xlpm.cc="B",_xlpm.cc="В"),"B",IF(_xlpm.cc="D","D","С")))</f>
        <v>С</v>
      </c>
      <c r="DO149" t="str">
        <f t="shared" si="313"/>
        <v>1P С6А</v>
      </c>
      <c r="DP149" t="str">
        <f t="shared" si="314"/>
        <v>1P С6А</v>
      </c>
      <c r="DQ149" t="str">
        <f t="shared" si="315"/>
        <v>1P С6А</v>
      </c>
      <c r="DR149" cm="1">
        <f t="array" ref="DR149">IF(DQ149="","",_xlfn.LET(_xlpm.t,SUBSTITUTE(SUBSTITUTE(SUBSTITUTE(UPPER(DQ149),"С","C"),"А","A"),"В","B"),_xlpm.tk,_xlfn.TEXTSPLIT(_xlpm.t," "),_xlpm.f,_xlfn._xlws.FILTER(_xlpm.tk,ISNUMBER(--MID(_xlpm.tk,2,1))*ISNUMBER(SEARCH(LEFT(_xlpm.tk,1)&amp;"#","B#C#D#"))*(LEN(_xlpm.tk)&gt;1),""),_xlpm.x,INDEX(_xlpm.f,1),IFERROR(--SUBSTITUTE(MID(_xlpm.x,2,9),"A",""),IFERROR(--SUBSTITUTE(INDEX(_xlfn._xlws.FILTER(_xlpm.tk,ISNUMBER(--SUBSTITUTE(_xlpm.tk,"A","")),""),1),"A",""),""))))</f>
        <v>6</v>
      </c>
      <c r="DS149" t="str">
        <f t="shared" si="316"/>
        <v>ok</v>
      </c>
      <c r="DT149">
        <f t="shared" si="317"/>
        <v>6</v>
      </c>
      <c r="DU149" t="str">
        <f t="shared" si="318"/>
        <v>1P С6А</v>
      </c>
      <c r="DV149">
        <f t="shared" si="319"/>
        <v>0</v>
      </c>
      <c r="DW149">
        <f t="shared" si="320"/>
        <v>0</v>
      </c>
      <c r="DX149">
        <f t="shared" si="321"/>
        <v>0</v>
      </c>
      <c r="DY149">
        <f t="shared" si="322"/>
        <v>0.64951905283832878</v>
      </c>
      <c r="DZ149">
        <f t="shared" si="323"/>
        <v>1</v>
      </c>
      <c r="EA149">
        <f>IF(ISNUMBER(AP149),AP149,К_прокл)</f>
        <v>1</v>
      </c>
      <c r="EB149">
        <f t="shared" si="324"/>
        <v>2</v>
      </c>
      <c r="EC149">
        <f>IFERROR(N(VLOOKUP(BZ149,Кабель_обозначение,3,FALSE)),1)</f>
        <v>1</v>
      </c>
      <c r="ED149">
        <f>IFERROR(N(_xlfn.XLOOKUP(A149,Щиты[Щит],Щиты[ΔU до шин, %])),0)</f>
        <v>1.1399999999999999</v>
      </c>
      <c r="EE149" t="str">
        <f>IFERROR(_xlfn.XLOOKUP(A149,Щиты[Щит],Щиты[Zпетли на шинах, Ом]),"")</f>
        <v/>
      </c>
      <c r="EF149">
        <f>IFERROR(N(_xlfn.XLOOKUP(A149,Щиты[Щит],Щиты[ΔU до шин (подбор), %])),0)</f>
        <v>1.82</v>
      </c>
      <c r="EG149" t="str">
        <f>IFERROR(_xlfn.XLOOKUP(A149,Щиты[Щит],Щиты[Zпетли на шинах (подбор), Ом]),"")</f>
        <v/>
      </c>
      <c r="EH149" t="str">
        <f t="shared" si="325"/>
        <v/>
      </c>
      <c r="EI149">
        <f t="shared" si="326"/>
        <v>19</v>
      </c>
      <c r="EJ149">
        <f t="shared" si="327"/>
        <v>2</v>
      </c>
      <c r="EK149">
        <f t="shared" si="328"/>
        <v>0.6</v>
      </c>
      <c r="EL149" s="6">
        <f>IF(B149="","",IF(BV149=1,dU_LED,IF(IFERROR(_xlfn.XLOOKUP(BC149,Коды_код,Коды_уго),"")="Светильник",3,4)+IF(Методика="нормы 2026",MIN(0.5,MAX(0,N(P149)-100)*0.005),0)))</f>
        <v>4</v>
      </c>
      <c r="EM149" cm="1">
        <f t="array" ref="EM149">IF(OR(B149="",BZ149="",EC149&lt;&gt;1),"",_xlfn.LET(_xlpm.sz,Iдоп_S,_xlpm.t_,CHOOSE(EB149,Iдоп_1ж,Iдоп_2ж,Iдоп_3ж)*DZ149*EA149,_xlpm.dcx,BV149=1,_xlpm.inn,IF(_xlpm.dcx,N(O149),N(DT149)),_xlpm.smin,MAX(1.5,CC149),_xlpm.L_,N(P149)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149)/N(BU149)*100,999),IFERROR(N(EJ149)*(_xlpm.rho*_xlpm.L_/_xlpm.sz*N(CE149)+_xlpm.xx*_xlpm.L_*N(EK149)/1000)*N(O149)/((Uн_лин/SQRT(3))*1000)*100,999)),_xlpm.kz,IF(OR(_xlpm.dcx,DW149=1,NOT(ISNUMBER(EG149)),_xlpm.L_=0,_xlpm.inn=0),1,IFERROR(--(c_min*(Uн_лин*1000/SQRT(3))/(EG149+2*ρкз_Cu*_xlpm.L_/_xlpm.sz)&gt;=HT149*_xlpm.inn),0)),_xlpm.ok,IFERROR((_xlpm.sz&gt;=_xlpm.smin)*(_xlpm.t_&gt;=_xlpm.inn)*IF(_xlpm.L_&gt;0,(_xlpm.du_+IF(_xlpm.dcx,0,EF149)&lt;=EL149+0.00001),1)*_xlpm.kz,0),_xlpm.r_,_xlfn._xlws.FILTER(_xlpm.sz,_xlpm.ok,"не подобрано"),INDEX(_xlpm.r_,1)))</f>
        <v>1.5</v>
      </c>
      <c r="EN149">
        <f t="shared" si="329"/>
        <v>2.5</v>
      </c>
      <c r="EO149" cm="1">
        <f t="array" ref="EO149">IF(OR(B149="",BZ149="",EC149&lt;&gt;1),"",_xlfn.LET(_xlpm.sz,Iдоп_S,_xlpm.t_,CHOOSE(EB149,Iдоп_1ж,Iдоп_2ж,Iдоп_3ж)*DZ149*EA149,_xlpm.ok,IFERROR((_xlpm.sz&gt;=MAX(1.5,CC149))*(_xlpm.t_&gt;=N(DT149)),0),_xlpm.r_,_xlfn._xlws.FILTER(_xlpm.sz,_xlpm.ok,""),INDEX(_xlpm.r_,1)))</f>
        <v>1.5</v>
      </c>
      <c r="EP149" s="6" cm="1">
        <f t="array" ref="EP149">IFERROR(ROUNDUP(N(EJ149)*(_xlfn.XLOOKUP(EO149,INDEX(Кабель_сопротивление,0,1),INDEX(Кабель_сопротивление,0,3))*N(P149)/EO149*N(CE149)+_xlfn.XLOOKUP(EO149,INDEX(Кабель_сопротивление,0,1),INDEX(Кабель_сопротивление,0,2))*N(P149)*N(EK149)/1000)*N(O149)/((Uн_лин/SQRT(3))*1000)*100,2),"")</f>
        <v>0.16</v>
      </c>
      <c r="EQ149">
        <f>IFERROR(2*ρкз_Cu*N(P149)/EO149,"")</f>
        <v>0.80653333333333332</v>
      </c>
      <c r="ER149">
        <f>IFERROR(VLOOKUP(EN149,Кабель_сопротивление,3,FALSE),"")</f>
        <v>2.2499999999999999E-2</v>
      </c>
      <c r="ES149">
        <f>IFERROR(VLOOKUP(EN149,Кабель_сопротивление,2,FALSE),"")</f>
        <v>0.1</v>
      </c>
      <c r="ET149">
        <f t="shared" si="330"/>
        <v>17</v>
      </c>
      <c r="EU149">
        <f t="shared" si="331"/>
        <v>0</v>
      </c>
      <c r="EV149">
        <f t="shared" si="332"/>
        <v>0.21691338288588827</v>
      </c>
      <c r="EW149" s="6">
        <f>IFERROR(ROUNDUP(EV149/IF(BV149=1,BU149,(Uн_лин/SQRT(3))*1000)*100,2),"")</f>
        <v>9.9999999999999992E-2</v>
      </c>
      <c r="EX149" t="str">
        <f>IFERROR(VLOOKUP(BZ149,Кабель_обозначение,2,FALSE),"")</f>
        <v>ВВГнг(А)-LS</v>
      </c>
      <c r="EY149" t="str">
        <f t="shared" si="333"/>
        <v>ВВГнг(А)-LS (3х2,5)</v>
      </c>
      <c r="EZ149" t="str">
        <f t="shared" si="334"/>
        <v>ВВГнг(А)-LS (3х2,5)
L=23-0,1%</v>
      </c>
      <c r="FA149">
        <f>IFERROR(2*ρкз_Cu*P149/EN149,"")</f>
        <v>0.48392000000000002</v>
      </c>
      <c r="FB149">
        <f t="shared" si="335"/>
        <v>0.161</v>
      </c>
      <c r="FC149" s="6" t="str">
        <f>IFERROR(IF(OR(B149="",BV149=1,NOT(ISNUMBER(EN149)),N(P149)=0),"",_xlfn.XLOOKUP(A149,Щиты[Щит],Щиты[Zпетли на шинах, Ом])+FA149),"")</f>
        <v/>
      </c>
      <c r="FD149" s="6" t="str">
        <f>IF(ISNUMBER(FC149),c_min*(Uн_лин*1000/SQRT(3))/FC149,"")</f>
        <v/>
      </c>
      <c r="FE149" s="6" t="str">
        <f>IFERROR(IF(OR(B149="",NOT(ISNUMBER(EN149))),"",1.05*(Uн_лин*1000/SQRT(3))/(_xlfn.XLOOKUP(A149,Щиты[Щит],Щиты[Zmax на шинах, Ом])+FB149)/1000),"")</f>
        <v/>
      </c>
      <c r="FF149" s="6" t="str">
        <f>IF(B149="","",IF(ISNUMBER(AC149),"Сил",IF(IFERROR(_xlfn.XLOOKUP(BC149,Коды_код,Коды_группа)&amp;"","")="","Быт",_xlfn.XLOOKUP(BC149,Коды_код,Коды_группа)&amp;"")))</f>
        <v>Сил</v>
      </c>
      <c r="FG149" s="6" t="str">
        <f t="shared" si="336"/>
        <v>Сил</v>
      </c>
      <c r="FH149" s="6">
        <f>IF(FG149="Щит","щит",IF(FG149="","",IF(FG149="Быт",IFERROR(_xlfn.XLOOKUP(A149,Щиты[Щит],Щиты[Кс быт]),1),IF(FG149="Сил",IF(ISNUMBER(AC149),AC149,IF(Методика="нормы 2026",IFERROR(_xlfn.XLOOKUP(A149,Щиты[Щит],Щиты[Кс силовых (табл. 7.5)]),1),1)),IF(OR(FG149="Пост",FG149="Отоп"),1,IF(FG149="ВНГ",0.7,0))))))</f>
        <v>0.5</v>
      </c>
      <c r="FI149">
        <f>IF(FG149="","",IF(AND(BP149=1,TRIM(AE149&amp;"")=""),IF(COUNTIFS(Линии[Щит],A149,Линии[Секция (1/2/3)],"&gt;=2")&gt;0,MIN(3,MAX(1,IFERROR(--BD149,1))),1),IFERROR(MIN(3,MAX(1,INT(--AE149))),1)))</f>
        <v>1</v>
      </c>
      <c r="FJ149">
        <f t="shared" si="337"/>
        <v>0.12</v>
      </c>
      <c r="FK149">
        <f t="shared" si="338"/>
        <v>0</v>
      </c>
      <c r="FL149">
        <f t="shared" si="339"/>
        <v>0.06</v>
      </c>
      <c r="FM149">
        <f t="shared" si="340"/>
        <v>0</v>
      </c>
      <c r="FN149">
        <f t="shared" si="341"/>
        <v>0</v>
      </c>
      <c r="FO149">
        <f t="shared" si="342"/>
        <v>0</v>
      </c>
      <c r="FP149">
        <f t="shared" si="343"/>
        <v>0.12</v>
      </c>
      <c r="FQ149">
        <f t="shared" si="344"/>
        <v>0.12</v>
      </c>
      <c r="FR149">
        <f t="shared" si="345"/>
        <v>9.6000000000000002E-2</v>
      </c>
      <c r="FS149">
        <f>IF(CG149=1,IF(AND(CH149=1,CW149=1),0,IF(AND(CS149&lt;&gt;"",CS149=BA149,CW149=1),SUMIFS(Линии[_Р линии, кВт],Линии[_блок УЗО],BA149,Линии[Щит],A149),N(BS149)+IF(AJ149="вручную",0,N(CK149)))),0)</f>
        <v>0.12</v>
      </c>
      <c r="FT149" t="str">
        <f t="shared" si="346"/>
        <v/>
      </c>
      <c r="FU149" t="str">
        <f>IF(B149="","",IF(CG149=0,IF(BA149=1,"",FW148),IF(AND(CH149=1,CW149=1,CS149&lt;&gt;""),IFERROR(_xlfn.XLOOKUP(CS149,Линии[_n],Линии[_фаза итог]),"L1"),IF(OR(N(DL149)&gt;=3,N(BX149)&gt;=3),"L1,L2,L3",IFERROR(_xlfn.TEXTBEFORE(_xlfn.TEXTAFTER(_xlfn.XLOOKUP(A149,Щиты[Щит],Щиты[_фазы авто]),";"&amp;BA149&amp;":"),";"),"L1")))))</f>
        <v>L2</v>
      </c>
      <c r="FV149" t="str">
        <f t="shared" si="347"/>
        <v>L2</v>
      </c>
      <c r="FW149" t="str">
        <f t="shared" si="348"/>
        <v>L2</v>
      </c>
      <c r="FX149" cm="1">
        <f t="array" ref="FX149">IFERROR(IF(CD149=2,_xlfn.IFS(BX149=3,VLOOKUP(BS149,Справочная_двигатели,3,FALSE),BX149=1,VLOOKUP(BS149,Справочная_двигатели,5,TRUE)),0),0)</f>
        <v>0</v>
      </c>
      <c r="FY149">
        <f>IFERROR(IF(CD149=3,VLOOKUP(BS149,Справочная_ЛЭД,2,TRUE),0),0)</f>
        <v>0</v>
      </c>
      <c r="FZ149" s="6">
        <f t="shared" si="349"/>
        <v>0</v>
      </c>
      <c r="GA149" t="str">
        <f>IF(B149="","",IF(TRIM(AH149&amp;"")&lt;&gt;"",IF(LOWER(TRIM(AH149&amp;""))="да","да","нет"),IF(IFERROR(_xlfn.XLOOKUP(BC149,Коды_код,Коды_пожарная),"")="да","да","нет")))</f>
        <v>нет</v>
      </c>
      <c r="GB149" t="str">
        <f t="shared" si="350"/>
        <v/>
      </c>
      <c r="GC149" t="str">
        <f t="shared" si="351"/>
        <v>основная</v>
      </c>
      <c r="GD149">
        <f>IF(AND(BP149=1,TRIM(AE149&amp;"")=""),IF(COUNTIFS(Линии[Щит],A149,Линии[Секция (1/2/3)],"&gt;=2")&gt;0,MIN(3,MAX(1,IFERROR(--BD149,1))),1),IFERROR(MIN(3,MAX(1,INT(--AE149))),1))</f>
        <v>1</v>
      </c>
      <c r="GE149" t="str" cm="1">
        <f t="array" ref="GE149">IF(B149="","",_xlfn.LET(_xlpm.t,IFERROR(_xlfn.XLOOKUP(1,(Шины[Шина]=GC149)*(((Шины[Щит]=A149)+(Шины[Щит]=""))&gt;0),Шины[Тип]),"")&amp;"",IF(_xlpm.t&lt;&gt;"",_xlpm.t,IF(ISNUMBER(SEARCH("ИБП",GC149)),"ИБП",IF(ISNUMBER(SEARCH("ДГУ",GC149)),"ДГУ","Ввод "&amp;GD149)))))</f>
        <v>Ввод 1</v>
      </c>
      <c r="GF149" t="str">
        <f t="shared" si="352"/>
        <v>Ввод 1</v>
      </c>
      <c r="GG149" t="str">
        <f>IF(BP149=0,"",IF(TRIM(AG149&amp;"")&lt;&gt;"",TRIM(AG149&amp;""),IF(OR(GE149="ИБП",GE149="ДГУ"),"I особая",_xlfn.XLOOKUP(A149,Щиты[Щит],Щиты[Категория шины «Ввод»],"III"))))</f>
        <v/>
      </c>
      <c r="GH149" t="str">
        <f>IF(A149="","",_xlfn.XLOOKUP(A149,Щиты[Щит],Щиты[Путь],""))</f>
        <v>|ГРЩ-ЖД|ЩОВ-2|</v>
      </c>
      <c r="GI149" t="str">
        <f>IF(B149="","",IF(AI149&lt;&gt;"",AI149,IF(IFERROR(_xlfn.XLOOKUP(BC149,Коды_код,Коды_вид)&amp;"","")="","Прочее",_xlfn.XLOOKUP(BC149,Коды_код,Коды_вид)&amp;"")))</f>
        <v>Вентиляция</v>
      </c>
      <c r="GJ149">
        <f>IF(BM149="","",INT((BM149-1)/Столбцов_на_лист)+1)</f>
        <v>2</v>
      </c>
      <c r="GK149" t="str">
        <f t="shared" si="353"/>
        <v>ВВГнг(А)-LS (3х2,5) L=23-0,1%</v>
      </c>
      <c r="GL149">
        <f t="shared" si="354"/>
        <v>0.12</v>
      </c>
      <c r="GM149">
        <f t="shared" si="355"/>
        <v>0.65</v>
      </c>
      <c r="GN149">
        <f t="shared" si="356"/>
        <v>1</v>
      </c>
      <c r="GO149">
        <f t="shared" si="357"/>
        <v>0</v>
      </c>
      <c r="GP149">
        <f t="shared" si="358"/>
        <v>1</v>
      </c>
      <c r="GQ149">
        <f>IF(BM149="","",IF(AND(CG149=1,GP149=1),COUNTIFS(A$3:A149,A149,CG$3:CG149,1,GP$3:GP149,1),IF(OR(OR(BA149=1,A149&lt;&gt;A148),AJ149="вручную",GP149=0),"",IF(BA149=1,"",GR148))))</f>
        <v>19</v>
      </c>
      <c r="GR149">
        <f t="shared" si="359"/>
        <v>19</v>
      </c>
      <c r="GS149">
        <f>IF(B149="","",IFERROR(LOOKUP(INDEX(CHOOSE(EB149,Iдоп_1ж,Iдоп_2ж,Iдоп_3ж),MATCH(EN149,Iдоп_S,0))*DZ149*EA149,{6,10,16,20,25,32,40,50,63,80,100,125,160,200,250,315,400,500,630}),""))</f>
        <v>25</v>
      </c>
      <c r="GT149" t="str">
        <f t="shared" si="360"/>
        <v>QF19</v>
      </c>
      <c r="GU149" t="str">
        <f t="shared" si="361"/>
        <v>QF19</v>
      </c>
      <c r="GV149" t="str">
        <f t="shared" si="362"/>
        <v/>
      </c>
      <c r="GW149">
        <f t="shared" si="363"/>
        <v>0</v>
      </c>
      <c r="GX149" t="str">
        <f>IF(OR(B149="",DJ149=""),"",IFERROR(_xlfn.XLOOKUP(DJ149,Модули_умолч[Управление],Модули_умолч[Модель])&amp;"",""))</f>
        <v/>
      </c>
      <c r="GY149">
        <f>IF(DJ149="",1,IFERROR(MAX(0,N(_xlfn.XLOOKUP(DJ149,Модули_умолч[Управление],Модули_умолч[Каналов на линию]))),1))</f>
        <v>1</v>
      </c>
      <c r="GZ149" t="str">
        <f t="shared" si="364"/>
        <v/>
      </c>
      <c r="HA149" t="str">
        <f t="shared" si="365"/>
        <v/>
      </c>
      <c r="HB149" t="str">
        <f t="shared" si="366"/>
        <v/>
      </c>
      <c r="HC149">
        <f>IF(HB149="",0,IFERROR(N(VLOOKUP(HB149,Модули_спр,3,FALSE)),0))</f>
        <v>0</v>
      </c>
      <c r="HD149" t="str">
        <f t="shared" si="367"/>
        <v/>
      </c>
      <c r="HE149" t="str">
        <f t="shared" si="368"/>
        <v/>
      </c>
      <c r="HF149" t="str">
        <f>IF(OR(HE149="",HE149="-"),"",IFERROR(VLOOKUP(HE149,Модули_спр,2,FALSE),"R"))</f>
        <v/>
      </c>
      <c r="HG149" t="str">
        <f>IF(HF149="","",HF149&amp;"."&amp;COUNTIFS(A$3:A149,A149,HF$3:HF149,HF149))</f>
        <v/>
      </c>
      <c r="HH149" t="str">
        <f t="shared" si="369"/>
        <v/>
      </c>
      <c r="HI149" t="str">
        <f t="shared" si="370"/>
        <v/>
      </c>
      <c r="HJ149" t="str">
        <f t="shared" si="371"/>
        <v/>
      </c>
      <c r="HK149" t="str">
        <f t="shared" si="372"/>
        <v/>
      </c>
      <c r="HL149">
        <f t="shared" si="373"/>
        <v>1</v>
      </c>
      <c r="HM149" t="str">
        <f>IF(HL149=1,"XT"&amp;COUNTIFS(A$3:A149,A149,HL$3:HL149,1),"")</f>
        <v>XT19</v>
      </c>
      <c r="HN149" t="str">
        <f t="shared" si="374"/>
        <v/>
      </c>
      <c r="HO149" t="str">
        <f t="shared" si="375"/>
        <v>QF19</v>
      </c>
      <c r="HP149" t="str">
        <f t="shared" si="376"/>
        <v/>
      </c>
      <c r="HQ149" t="str">
        <f t="shared" si="377"/>
        <v>ok</v>
      </c>
      <c r="HR149" t="str">
        <f>IF(OR(HJ149="",HH149=""),"",IF(HJ149+MAX(0,GY149-1)&gt;IFERROR(VLOOKUP(HI149,Модули_спр,3,FALSE),99),"ЛИШНИЙ КАНАЛ",IF(AND(AL149&lt;&gt;"=",GY149&gt;0,COUNTIFS(Линии[_модуль гр.],HH149,Линии[Канал (итог)],HJ149,Линии[Канал],"&lt;&gt;=",Линии[Щит],A149)&gt;1),"ДУБЛЬ КАНАЛА","")))</f>
        <v/>
      </c>
      <c r="HS149" s="6" t="str">
        <f t="shared" si="378"/>
        <v/>
      </c>
      <c r="HT149">
        <f t="shared" si="379"/>
        <v>10</v>
      </c>
      <c r="HU149" t="str">
        <f t="shared" si="380"/>
        <v/>
      </c>
      <c r="HV149">
        <f t="shared" si="381"/>
        <v>0.48980762113533149</v>
      </c>
      <c r="HW149">
        <f t="shared" si="382"/>
        <v>0</v>
      </c>
      <c r="HX149">
        <f t="shared" si="383"/>
        <v>0</v>
      </c>
      <c r="HY149">
        <f t="shared" si="384"/>
        <v>0</v>
      </c>
      <c r="HZ149">
        <f t="shared" si="385"/>
        <v>0</v>
      </c>
      <c r="IA149">
        <f t="shared" si="386"/>
        <v>0</v>
      </c>
      <c r="IB149">
        <f t="shared" si="387"/>
        <v>0</v>
      </c>
      <c r="IC149" t="str">
        <f t="shared" si="388"/>
        <v/>
      </c>
      <c r="ID149" t="str" cm="1">
        <f t="array" ref="ID149">IF(IC149="","",_xlfn.LET(_xlpm.tk,_xlfn.TEXTSPLIT(SUBSTITUTE(SUBSTITUTE(IC149,";"," "),"→"," ")," ",,TRUE),_xlpm.w_,_xlfn._xlws.FILTER(_xlpm.tk,ISNUMBER(--LEFT(_xlpm.tk,1))*((ISNUMBER(SEARCH("W",_xlpm.tk))+ISNUMBER(SEARCH("Вт",_xlpm.tk)))&gt;0),""),IFERROR(--SUBSTITUTE(SUBSTITUTE(UPPER(INDEX(_xlpm.w_,1)),"W",""),"ВТ",""),"")))</f>
        <v/>
      </c>
      <c r="IE149" t="str" cm="1">
        <f t="array" ref="IE149">IF(IC149="","",_xlfn.LET(_xlpm.tk,_xlfn.TEXTSPLIT(SUBSTITUTE(SUBSTITUTE(IC149,";"," "),"→"," ")," ",,TRUE),_xlpm.v_,_xlfn._xlws.FILTER(_xlpm.tk,ISNUMBER(--LEFT(_xlpm.tk,1))*((ISNUMBER(SEARCH("V",_xlpm.tk))+(RIGHT(UPPER(_xlpm.tk))="В"))&gt;0),""),IFERROR(--SUBSTITUTE(SUBSTITUTE(UPPER(INDEX(_xlpm.v_,1)),"V",""),"В",""),"")))</f>
        <v/>
      </c>
      <c r="IF149" s="6" t="str">
        <f>IF(OR(BV149=0,HI149="",HJ149=""),"",IFERROR(N(_xlfn.XLOOKUP(HI149,Каталог!$C$4:$C$500,Каталог!$Q$4:$Q$500)),""))</f>
        <v/>
      </c>
      <c r="IG149" s="6" t="str">
        <f>IF(N(IF149)=0,"",SUMIFS(Линии[Iр, А],Линии[Щит],A149,Линии[_модуль гр.],HH149,Линии[Канал (итог)],HJ149))</f>
        <v/>
      </c>
      <c r="IH149" t="str">
        <f>IF(AND(B149="",HO149=""),"",_xlfn.TEXTJOIN("; ",TRUE,IF(AND(B149&lt;&gt;"",FV149=""),"нет фазы",""),IF(AND(B149&lt;&gt;"",N(GL149)=0,FG149&lt;&gt;"Нет"),"нет мощности",""),IF(AND(HN149&lt;&gt;"",COUNTIFS(Линии[Щит],A149,Линии[Клемма (итог)],HN149)&gt;1),"дубль клеммы "&amp;HN149,""),IF(AND(HQ149&lt;&gt;"",HQ149&lt;&gt;"ok"),HQ149,""),IF(HR149&lt;&gt;"",HR149,""),IF(AND(N(CB149)&gt;=4,N(BX149)=1),CB149&amp;" жил на 1 фазе",""),IF(AND(BC149="R",CG149=1,IF(CS149&lt;&gt;"",N(CV149)&gt;30,OR(N(DA149)=0,N(DA149)&gt;30))),"розетка без дифзащиты до 30 мА",""),IF(AND(CG149=1,N(DA149)&gt;0,ISNUMBER(T149)),IF(T149&gt;N(DA149)/3,"ток утечки "&amp;FIXED(T149,1)&amp;" мА &gt; 1/3 уставки ("&amp;DA149&amp;" мА)",""),""),IF(AND(CH149=1,CS149=""),"«узо»: нет строки с УЗО выше (УЗО 2P 40А 30мА в «Аппаратах»)",""),IF(AND(CS149&lt;&gt;"",CS149=BA149),IF(CT149="","впишите номинал УЗО (УЗО 2P 40А 30мА)",IF(N(CT149)&lt;N(DT149),"УЗО "&amp;CT149&amp;" А &lt; автомата "&amp;DT149&amp;" А перед ним",IF(N(CT149)&lt;N(CX149),"УЗО "&amp;CT149&amp;" А &lt; тока блока "&amp;FIXED(CX149,1)&amp;" А",""))),""),IF(AND(CS149&lt;&gt;"",CS149=BA149,ISNUMBER(CY149)),IF(CY149&gt;N(CV149)/3,"ток утечки блока УЗО "&amp;FIXED(CY149,1)&amp;" мА &gt; 1/3 уставки ("&amp;CV149&amp;" мА)",""),""),IF(AND(CG149=1,N(BV149)+N(IB149)&gt;0,IC149=""),"линии до 50 В без БП: впишите в «Аппараты» (БП 24V 480W)",""),IF(AND(CG149=1,ISNUMBER(ID149),ISNUMBER(U149)),IF(U149&gt;ID149,"БП "&amp;ID149&amp;" Вт &lt; нужно "&amp;U149&amp;" Вт (×"&amp;Запас_БП&amp;")",""),""),IF(AND(CG149=1,ISNUMBER(IE149),N(BV149)=1),IF(IE149&lt;&gt;N(BU149),"БП на "&amp;IE149&amp;" В, линия "&amp;BU149&amp;" В",""),""),IF(AND(N(IF149)&gt;0,N(IG149)&gt;N(IF149)),HH149&amp;" канал "&amp;HJ149&amp;": "&amp;FIXED(IG149,1)&amp;" А &gt; "&amp;IF149&amp;" А",""),IFERROR(IF(AND(ISNUMBER(Q149),Q149&gt;EL149),"потери "&amp;FIXED(Q149,1)&amp;" % &gt; "&amp;EL149&amp;" %",""),""),IFERROR(IF(LEFT(HU149,4)="мало","Iкз мало — отключение &gt; 0,4 с",""),""),IF(AND(B149&lt;&gt;"",BM149=""),"не на схеме",""),IF(AND(CG149=0,B149&lt;&gt;"",FV149&lt;&gt;"",IF(BA149=1,"",FW148)&lt;&gt;"",FV149&lt;&gt;IF(BA149=1,"",FW148)),"фаза не как у автомата группы ("&amp;IF(BA149=1,"",FW148)&amp;")","")))</f>
        <v/>
      </c>
      <c r="II149" s="6" t="str">
        <f>IF(OR(CG149=0,DQ149=""),"",_xlfn.LET(_xlpm.t,IFERROR(_xlfn.XLOOKUP(DQ149,Каталог!$U$4:$U$500,Каталог!$G$4:$G$500),""),_xlpm.k,SEARCH("кА",_xlpm.t),IFERROR(--TRIM(RIGHT(SUBSTITUTE(MID(_xlpm.t,MAX(1,_xlpm.k-4),_xlpm.k-MAX(1,_xlpm.k-4))," ",REPT(" ",9)),5)),"")))</f>
        <v/>
      </c>
      <c r="IJ149" t="str">
        <f>IF(OR(II149="",CG149=0),"",IF(_xlfn.XLOOKUP(A149,Щиты[Щит],Щиты[Iкз max на шинах, кА],"")="","",IF(II149&lt;_xlfn.XLOOKUP(A149,Щиты[Щит],Щиты[Iкз max на шинах, кА]),"Icu "&amp;II149&amp;" кА &lt; Iкз max","ok")))</f>
        <v/>
      </c>
      <c r="IK149" t="str">
        <f t="shared" si="389"/>
        <v/>
      </c>
      <c r="IL149" t="str">
        <f t="shared" si="390"/>
        <v>QF19</v>
      </c>
      <c r="IM149" t="str">
        <f t="shared" si="391"/>
        <v>QF19|кабель ВВГнг(А)-LS (3х2,5) → Приточная установка Технический этаж Пом. №001Т</v>
      </c>
      <c r="IN149" t="str" cm="1">
        <f t="array" ref="IN149">IF(IM149="","",_xlfn.LET(_xlpm.nd,_xlfn.TEXTSPLIT(IM149,"|"),IF(COLUMNS(_xlpm.nd)&gt;1,A149&amp;"¦"&amp;INDEX(_xlpm.nd,1)&amp;"¦"&amp;INDEX(_xlpm.nd,2),"")))</f>
        <v>ЩОВ-2¦QF19¦кабель ВВГнг(А)-LS (3х2,5) → Приточная установка Технический этаж Пом. №001Т</v>
      </c>
      <c r="IO149" t="str">
        <f t="shared" si="392"/>
        <v>П.3¦Приточная установка Технический этаж Пом. №001Т</v>
      </c>
      <c r="IP149" t="str" cm="1">
        <f t="array" ref="IP149">IF(IM149="","",_xlfn.LET(_xlpm.nd,_xlfn.TEXTSPLIT(IM149,"|"),IF(COLUMNS(_xlpm.nd)&gt;2,A149&amp;"¦"&amp;INDEX(_xlpm.nd,2)&amp;"¦"&amp;INDEX(_xlpm.nd,3),"")))</f>
        <v/>
      </c>
      <c r="IQ149" t="str">
        <f t="shared" si="393"/>
        <v/>
      </c>
      <c r="IR149" t="str" cm="1">
        <f t="array" ref="IR149">IF(IM149="","",_xlfn.LET(_xlpm.nd,_xlfn.TEXTSPLIT(IM149,"|"),IF(COLUMNS(_xlpm.nd)&gt;3,A149&amp;"¦"&amp;INDEX(_xlpm.nd,3)&amp;"¦"&amp;INDEX(_xlpm.nd,4),"")))</f>
        <v/>
      </c>
      <c r="IS149" t="str">
        <f t="shared" si="394"/>
        <v/>
      </c>
      <c r="IT149" t="str" cm="1">
        <f t="array" ref="IT149">IF(IM149="","",_xlfn.LET(_xlpm.nd,_xlfn.TEXTSPLIT(IM149,"|"),IF(COLUMNS(_xlpm.nd)&gt;4,A149&amp;"¦"&amp;INDEX(_xlpm.nd,4)&amp;"¦"&amp;INDEX(_xlpm.nd,5),"")))</f>
        <v/>
      </c>
      <c r="IU149" t="str">
        <f t="shared" si="395"/>
        <v/>
      </c>
      <c r="IV149" t="str" cm="1">
        <f t="array" ref="IV149">IF(IM149="","",_xlfn.LET(_xlpm.nd,_xlfn.TEXTSPLIT(IM149,"|"),IF(COLUMNS(_xlpm.nd)&gt;5,A149&amp;"¦"&amp;INDEX(_xlpm.nd,5)&amp;"¦"&amp;INDEX(_xlpm.nd,6),"")))</f>
        <v/>
      </c>
      <c r="IW149" t="str">
        <f t="shared" si="396"/>
        <v/>
      </c>
      <c r="IX149" t="str" cm="1">
        <f t="array" ref="IX149">IF(IM149="","",_xlfn.LET(_xlpm.nd,_xlfn.TEXTSPLIT(IM149,"|"),IF(COLUMNS(_xlpm.nd)&gt;6,A149&amp;"¦"&amp;INDEX(_xlpm.nd,6)&amp;"¦"&amp;INDEX(_xlpm.nd,7),"")))</f>
        <v/>
      </c>
      <c r="IY149" t="str">
        <f t="shared" si="397"/>
        <v/>
      </c>
      <c r="IZ149" t="str">
        <f t="shared" si="398"/>
        <v/>
      </c>
      <c r="JA149" t="str">
        <f t="shared" si="399"/>
        <v>QF19</v>
      </c>
      <c r="JB149">
        <f t="shared" si="400"/>
        <v>0</v>
      </c>
      <c r="JC149">
        <f t="shared" si="401"/>
        <v>0</v>
      </c>
      <c r="JD149" t="str">
        <f t="shared" si="402"/>
        <v/>
      </c>
      <c r="JE149" t="str">
        <f t="shared" si="403"/>
        <v/>
      </c>
      <c r="JF149" t="str">
        <f t="shared" si="404"/>
        <v/>
      </c>
      <c r="JG149" t="str">
        <f t="shared" si="405"/>
        <v/>
      </c>
      <c r="JH149" t="str">
        <f>IF(B149="","",IFERROR(_xlfn.XLOOKUP(B149,Коды_код,Коды_уго),IFERROR(_xlfn.XLOOKUP(BC149,Коды_код,Коды_уго),IFERROR(_xlfn.XLOOKUP(LEFT(BC149,2),Коды_код,Коды_уго),""))))</f>
        <v>Привод (двигатель)</v>
      </c>
      <c r="JI149" t="str">
        <f>IF(B149="","",IF(OR(JH149="",JH149=0),"BOX",IFERROR(IF(VLOOKUP(JH149,УГО_блоки,3,FALSE)&amp;""&lt;&gt;"",VLOOKUP(JH149,УГО_блоки,3,FALSE),VLOOKUP(JH149,УГО_блоки,2,FALSE)),JH149)))</f>
        <v>MOTOR</v>
      </c>
      <c r="JJ149">
        <f t="shared" si="406"/>
        <v>1</v>
      </c>
      <c r="JK149" t="str">
        <f>IF(DQ149="","",IF(COUNTIF(DQ$3:DQ149,DQ149)=1,MAX(JK$2:JK148)+1,""))</f>
        <v/>
      </c>
      <c r="JL149" t="str">
        <f>IF(DE149="","",IF(COUNTIF(DE$3:DE149,DE149)+COUNTIF(DF$2:DF148,DE149)+COUNTIF(DG$2:DG148,DE149)=1,MAX(JL$2:JN148)+1,""))</f>
        <v/>
      </c>
      <c r="JM149" t="str">
        <f>IF(DF149="","",IF(COUNTIF(DE$3:DE149,DF149)+COUNTIF(DF$3:DF149,DF149)+COUNTIF(DG$2:DG148,DF149)=1,MAX(JL$2:JN148,JL149)+1,""))</f>
        <v/>
      </c>
      <c r="JN149" t="str">
        <f>IF(DG149="","",IF(COUNTIF(DE$3:DE149,DG149)+COUNTIF(DF$3:DF149,DG149)+COUNTIF(DG$3:DG149,DG149)=1,MAX(JL$2:JN148,JL149,JM149)+1,""))</f>
        <v/>
      </c>
      <c r="JO149" t="str">
        <f t="shared" si="407"/>
        <v>3х2,5</v>
      </c>
      <c r="JP149" t="str">
        <f>IF(JO149="","",IF(COUNTIF(JO$3:JO149,JO149)=1,MAX(JP$2:JP148)+1,""))</f>
        <v/>
      </c>
      <c r="JQ149" t="str">
        <f>IF(HG149="","",COUNTIF(HG$3:HG149,"?*"))</f>
        <v/>
      </c>
      <c r="JR149" t="str">
        <f>IF(OR(HG149="",HI149=""),"",IF(COUNTIFS(HG$3:HG149,"?*",HI$3:HI149,HI149)=1,MAX(JR$2:JR148)+1,""))</f>
        <v/>
      </c>
      <c r="JS149">
        <f t="shared" si="408"/>
        <v>0</v>
      </c>
      <c r="JT149">
        <f>IF(B149="","",COUNTIF(B$3:B149,"?*"))</f>
        <v>147</v>
      </c>
      <c r="JU149">
        <f>IF(HL149&lt;&gt;1,0,_xlfn.LET(_xlpm.k,MAX(IFERROR(--_xlfn.XLOOKUP(B149,Коды_код,Коды_3L),0),IFERROR(--_xlfn.XLOOKUP(BC149,Коды_код,Коды_3L),0),IFERROR(--_xlfn.XLOOKUP(LEFT(BC149,2),Коды_код,Коды_3L),0)),IF(_xlpm.k&gt;0,_xlpm.k,IF(IFERROR(--LEFT(SUBSTITUTE(JO149,"x","х"),FIND("х",SUBSTITUTE(JO149,"x","х"))-1),3)&gt;3,Каталог!$S$9,1))))</f>
        <v>1</v>
      </c>
      <c r="JV149">
        <f t="shared" si="409"/>
        <v>0</v>
      </c>
      <c r="JW149" t="str">
        <f t="shared" si="410"/>
        <v>авто</v>
      </c>
      <c r="JX149" t="str">
        <f t="shared" si="411"/>
        <v/>
      </c>
      <c r="JY149">
        <f t="shared" si="412"/>
        <v>0</v>
      </c>
      <c r="JZ149">
        <f t="shared" si="413"/>
        <v>1</v>
      </c>
    </row>
    <row r="150" spans="1:286" x14ac:dyDescent="0.3">
      <c r="A150" t="s">
        <v>751</v>
      </c>
      <c r="B150" t="s">
        <v>1459</v>
      </c>
      <c r="C150" t="s">
        <v>1690</v>
      </c>
      <c r="D150">
        <v>1</v>
      </c>
      <c r="E150">
        <v>0.27</v>
      </c>
      <c r="G150" t="str">
        <f>Линии[[#This Row],[_авто автомат]]</f>
        <v>1P С6А</v>
      </c>
      <c r="H150" t="str">
        <f>Линии[[#This Row],[_авто управление]]</f>
        <v/>
      </c>
      <c r="I150" t="str">
        <f>Линии[[#This Row],[_авто аппараты]]</f>
        <v/>
      </c>
      <c r="J150">
        <v>2.5</v>
      </c>
      <c r="K150">
        <v>31</v>
      </c>
      <c r="L150" t="str">
        <f>Линии[[#This Row],[_авто фаза]]</f>
        <v>L2</v>
      </c>
      <c r="M150" t="str">
        <f>Линии[[#This Row],[_авто клемма]]</f>
        <v>XT20</v>
      </c>
      <c r="N150" t="str">
        <f t="shared" si="276"/>
        <v/>
      </c>
      <c r="O150" s="6" cm="1">
        <f t="array" ref="O150">IF(B150="","",IF(BH150&lt;&gt;"",IFERROR(_xlfn.XLOOKUP(BH150,Щиты[Щит],Щиты[Iр, А]),""),IF(BP150=1,IF(OR(N(_xlfn.XLOOKUP(A150,Щиты[Щит],Щиты[Вводов],1))&lt;=1,LOWER(TRIM(_xlfn.XLOOKUP(A150,Щиты[Щит],Щиты[АВР],"")&amp;""))="да"),IFERROR(_xlfn.XLOOKUP(A150,Щиты[Щит],Щиты[Iр, А]),""),IFERROR(N(BS150)*_xlfn.XLOOKUP(A150,Щиты[Щит],Щиты[Кс итог])/(SQRT(3)*Uн_лин*_xlfn.XLOOKUP(A150,Щиты[Щит],Щиты[cos φ])),"")),IF(BV150=1,IFERROR(BS150*1000/BU150,""),IFERROR(_xlfn.IFS(BX150=1,BS150/((Uн_лин/SQRT(3))*CE150),BX150=3,BS150/(SQRT(3)*Uн_лин*CE150)),"")))))</f>
        <v>1.46141786888624</v>
      </c>
      <c r="P150" s="7">
        <f>IF(B150="","",IFERROR(IF(VLOOKUP(BC150,Потребители_обозначение,4,FALSE)=1,VLOOKUP(BC150,Потребители_обозначение,3,FALSE)*(MAX(1,N(D150))*2-1)+EI150+VLOOKUP(BE150,Этаж_обозначение,3,FALSE)+VLOOKUP(BE150,Этаж_обозначение,4,FALSE),VLOOKUP(BC150,Потребители_обозначение,3,FALSE)*(MAX(1,N(D150))*2-1)+EI150),EI150))</f>
        <v>35</v>
      </c>
      <c r="Q150" s="6">
        <f t="shared" si="277"/>
        <v>1.47</v>
      </c>
      <c r="R150" t="str">
        <f t="shared" si="278"/>
        <v>ВВГнг(А)-LS (3х2,5)</v>
      </c>
      <c r="S150" t="str">
        <f>IF(BM150="","",IF(BN150="вводной узел","узел ","")&amp;"л."&amp;(INT((BM150-1)/Столбцов_на_лист)+1)&amp;" / "&amp;(MOD(BM150-1,Столбцов_на_лист)+1))</f>
        <v>л.3 / 2</v>
      </c>
      <c r="T150" s="119">
        <f t="shared" si="279"/>
        <v>0.9</v>
      </c>
      <c r="U150" s="7" t="str">
        <f>IF(OR(CG150=0,N(BV150)+N(IB150)=0),"",ROUNDUP(Запас_БП*(N(HY150)+N(HZ150)),0))</f>
        <v/>
      </c>
      <c r="V150" s="119" t="str">
        <f t="shared" si="280"/>
        <v/>
      </c>
      <c r="W150" s="7" t="str">
        <f>IFERROR(IF(OR(B150="",BP150=1,BV150=1,NOT(ISNUMBER(EN150)),N(DT150)=0),"",MAX(0,ROUNDDOWN((c_min*(Uн_лин*1000/SQRT(3))/(HT150*N(DT150))-_xlfn.XLOOKUP(A150,Щиты[Щит],Щиты[Zпетли на шинах, Ом]))*EN150/(2*ρкз_Cu),0))),"")</f>
        <v/>
      </c>
      <c r="Y150" t="str">
        <f>Линии[[#This Row],[_авто утечка]]</f>
        <v/>
      </c>
      <c r="Z150">
        <v>1</v>
      </c>
      <c r="AA150">
        <v>230</v>
      </c>
      <c r="AB150" t="s">
        <v>598</v>
      </c>
      <c r="AC150">
        <v>0.5</v>
      </c>
      <c r="AG150" t="s">
        <v>810</v>
      </c>
      <c r="AI150" t="s">
        <v>580</v>
      </c>
      <c r="AK150" t="str">
        <f>Линии[[#This Row],[_авто модуль]]</f>
        <v/>
      </c>
      <c r="AM150">
        <v>36</v>
      </c>
      <c r="AN150" t="s">
        <v>11</v>
      </c>
      <c r="AO150">
        <v>3</v>
      </c>
      <c r="AQ150">
        <v>4</v>
      </c>
      <c r="AR150">
        <v>31</v>
      </c>
      <c r="AT150">
        <v>1</v>
      </c>
      <c r="BA150" cm="1">
        <f t="array" ref="BA150">ROW()-ROW(Линии[#Headers])</f>
        <v>148</v>
      </c>
      <c r="BC150" s="6" t="str">
        <f t="shared" si="281"/>
        <v>П</v>
      </c>
      <c r="BD150" t="str">
        <f t="shared" si="282"/>
        <v>5</v>
      </c>
      <c r="BE150" t="str">
        <f t="shared" si="283"/>
        <v>5</v>
      </c>
      <c r="BF150" t="str">
        <f t="shared" si="284"/>
        <v/>
      </c>
      <c r="BG150" t="str">
        <f t="shared" si="285"/>
        <v/>
      </c>
      <c r="BH150" t="str">
        <f>IF(X150&lt;&gt;"",X150,IF(AND(B150&lt;&gt;"",B150&lt;&gt;A150,ISNUMBER(_xlfn.XMATCH(B150,Щиты[Щит]))),B150,""))</f>
        <v/>
      </c>
      <c r="BI150" t="str" cm="1">
        <f t="array" ref="BI150">IF(B150="","",IF(BH150&lt;&gt;"","Щит "&amp;BH150,_xlfn.LET(_xlpm.nm,IFERROR(_xlfn.XLOOKUP(BC150,Коды_код,Коды_имя)&amp;"",""),_xlpm.md,IFERROR(N(_xlfn.XLOOKUP(BC150,Коды_код,Коды_режим)),1),_xlpm.ex,IF(Имя_режим="по экспликации",IFERROR(_xlfn.XLOOKUP(BE150&amp;"|"&amp;BG150,Экспликация[Этаж]&amp;"|"&amp;Экспликация[Помещение],Экспликация[Название])&amp;"",""),""),_xlpm.rm,IF(BG150="","",IF(_xlpm.ex&lt;&gt;"",". "&amp;_xlpm.ex&amp;IF(Имя_пом="нет"," ("&amp;BG150&amp;")"," (пом. "&amp;BG150&amp;")"),IF(Имя_пом="нет"," ",", пом. ")&amp;BG150)),IF(_xlpm.nm="","",IF(_xlpm.md=2,_xlpm.nm&amp;" шлейф "&amp;BE150,_xlpm.nm&amp;_xlpm.rm)))))</f>
        <v>Приточная установка шлейф 5</v>
      </c>
      <c r="BJ150" t="str">
        <f t="shared" si="286"/>
        <v>Приточная установка Технический этаж Пом. №001Т</v>
      </c>
      <c r="BK150">
        <f>IFERROR(_xlfn.XMATCH(A150,Щиты[Щит]),0)</f>
        <v>7</v>
      </c>
      <c r="BL150">
        <f>_xlfn.LET(_xlpm.k,IFERROR(_xlfn.XLOOKUP(A150,Щиты[Щит],Щиты[Мест под вводной узел]),""),IF(_xlpm.k="",Столбцов_на_лист,N(_xlpm.k)))</f>
        <v>12</v>
      </c>
      <c r="BM150">
        <f t="shared" si="287"/>
        <v>36</v>
      </c>
      <c r="BN150" t="str">
        <f t="shared" si="288"/>
        <v>линии</v>
      </c>
      <c r="BO150" s="6">
        <f>IFERROR(N(_xlfn.XLOOKUP(BC150,Коды_код,Коды_квт)),0)</f>
        <v>0</v>
      </c>
      <c r="BP150">
        <f t="shared" si="289"/>
        <v>0</v>
      </c>
      <c r="BQ150" t="str">
        <f>IF(B150="","",IF(BH150&lt;&gt;"",IFERROR(_xlfn.XLOOKUP(BH150,Щиты[Щит],Щиты[Руст, кВт]),0),IF(BP150=1,IF(OR(N(_xlfn.XLOOKUP(A150,Щиты[Щит],Щиты[Вводов],1))&lt;=1,LOWER(TRIM(_xlfn.XLOOKUP(A150,Щиты[Щит],Щиты[АВР],"")&amp;""))="да"),IFERROR(_xlfn.XLOOKUP(A150,Щиты[Щит],Щиты[Руст, кВт]),0),SUMIFS(Линии[_Р для вводов],Линии[Щит],A150,Линии[Источник для режимов],GF150)),IF(BO150&gt;0,ROUND(BO150*MAX(1,N(D150)),3),""))))</f>
        <v/>
      </c>
      <c r="BR150">
        <f t="shared" si="290"/>
        <v>0.27</v>
      </c>
      <c r="BS150" s="6">
        <f>IF(B150="","",IF(BH150&lt;&gt;"",IFERROR(_xlfn.XLOOKUP(BH150,Щиты[Щит],Щиты[Руст, кВт]),0),N(BR150)))</f>
        <v>0.27</v>
      </c>
      <c r="BT150" t="str">
        <f>IF(B150="","",IFERROR(IF(VLOOKUP(BC150,Потребители_обозначение,8,FALSE)=0,"",VLOOKUP(BC150,Потребители_обозначение,8,FALSE)),""))</f>
        <v/>
      </c>
      <c r="BU150">
        <f t="shared" si="291"/>
        <v>230</v>
      </c>
      <c r="BV150">
        <f t="shared" si="292"/>
        <v>0</v>
      </c>
      <c r="BW150">
        <f>IF(B150="","",IF(BH150&lt;&gt;"",3,IFERROR(IF(N(VLOOKUP(BC150,Потребители_обозначение,9,FALSE))=0,1,VLOOKUP(BC150,Потребители_обозначение,9,FALSE)),1)))</f>
        <v>1</v>
      </c>
      <c r="BX150">
        <f t="shared" si="293"/>
        <v>1</v>
      </c>
      <c r="BY150" t="str">
        <f>IF(B150="","",_xlfn.LET(_xlpm.bc,IFERROR(IF(VLOOKUP(BC150,Потребители_обозначение,6,FALSE)=0,"",VLOOKUP(BC150,Потребители_обозначение,6,FALSE)&amp;""),""),IF(AND(GA150="да",OR(_xlpm.bc="",_xlpm.bc="мс")),Марка_пож,IF(AND(_xlpm.bc="",BH150&lt;&gt;""),"мс",_xlpm.bc))))</f>
        <v/>
      </c>
      <c r="BZ150" t="str">
        <f t="shared" si="294"/>
        <v>мс</v>
      </c>
      <c r="CA150">
        <f>IF(B150="","",_xlfn.LET(_xlpm.cc,IFERROR(N(VLOOKUP(BC150,Потребители_обозначение,7,FALSE)),0),IF(_xlpm.cc&gt;0,_xlpm.cc,IF(BZ150="","",IF(BV150=1,2,IF(N(BX150)=3,5,3))))))</f>
        <v>3</v>
      </c>
      <c r="CB150">
        <f t="shared" si="295"/>
        <v>3</v>
      </c>
      <c r="CC150">
        <f>IFERROR(N(VLOOKUP(BC150,Потребители_обозначение,10,FALSE)),0)</f>
        <v>0</v>
      </c>
      <c r="CD150">
        <f>IFERROR(VLOOKUP(BC150,Потребители_обозначение,5,FALSE),0)</f>
        <v>1</v>
      </c>
      <c r="CE150" s="6" cm="1">
        <f t="array" ref="CE150">IF(B150="","",IF(BH150&lt;&gt;"",IFERROR(_xlfn.XLOOKUP(BH150,Щиты[Щит],Щиты[cos φ]),0.95),IF(BP150=1,IFERROR(_xlfn.XLOOKUP(A150,Щиты[Щит],Щиты[cos φ]),0.95),IF(ISNUMBER(AD150),AD150,IFERROR(IF(CD150=2,_xlfn.IFS(BX150=3,VLOOKUP(BS150,Справочная_двигатели,8,FALSE),BX150=1,VLOOKUP(BS150,Справочная_двигатели,10,TRUE)),IF(AND(Методика="нормы 2026",FG150="Сил"),0.8,0.95)),0.95)))))</f>
        <v>0.8</v>
      </c>
      <c r="CF150">
        <f t="shared" si="296"/>
        <v>0</v>
      </c>
      <c r="CG150">
        <f t="shared" si="297"/>
        <v>1</v>
      </c>
      <c r="CH150">
        <f t="shared" si="298"/>
        <v>0</v>
      </c>
      <c r="CI150">
        <f>IF(B150="","",IF(BV150=1,IFERROR(BS150/((Uн_лин/SQRT(3))*MAX(0.5,N(CE150))),0),N(O150)))</f>
        <v>1.46141786888624</v>
      </c>
      <c r="CJ150">
        <f t="shared" si="299"/>
        <v>0</v>
      </c>
      <c r="CK150">
        <f t="shared" si="300"/>
        <v>0</v>
      </c>
      <c r="CL150">
        <f t="shared" si="301"/>
        <v>0</v>
      </c>
      <c r="CM150">
        <f t="shared" si="302"/>
        <v>0</v>
      </c>
      <c r="CN150">
        <f t="shared" si="303"/>
        <v>0</v>
      </c>
      <c r="CO150">
        <f>IF(BC150="",0,_xlfn.LET(_xlpm.v,IFERROR(_xlfn.XLOOKUP(B150,Коды_код,Коды_мА),IFERROR(_xlfn.XLOOKUP(BC150,Коды_код,Коды_мА),IFERROR(_xlfn.XLOOKUP(LEFT(BC150,2),Коды_код,Коды_мА),""))),IF(_xlpm.v="да",30,IF(ISNUMBER(_xlpm.v),_xlpm.v,0))))</f>
        <v>0</v>
      </c>
      <c r="CP150" t="str">
        <f t="shared" si="304"/>
        <v/>
      </c>
      <c r="CQ150" t="str">
        <f>_xlfn.LET(_xlpm.k,IFERROR(_xlfn.XLOOKUP(BC150,Коды_код,Коды_утечка)&amp;"",""),IF(_xlpm.k="","дифавтомат",_xlpm.k))</f>
        <v>дифавтомат</v>
      </c>
      <c r="CR150" t="str" cm="1">
        <f t="array" ref="CR150">IF(CG150=0,"",_xlfn.LET(_xlpm.sg,TRIM(_xlfn.TEXTSPLIT(DD150&amp;"",";")),_xlpm.f_,_xlfn._xlws.FILTER(_xlpm.sg,LEFT(_xlpm.sg,3)="УЗО",""),IFERROR(INDEX(_xlpm.f_,1)&amp;"","")))</f>
        <v/>
      </c>
      <c r="CS150" t="str">
        <f t="shared" si="305"/>
        <v/>
      </c>
      <c r="CT150" s="6" t="str" cm="1">
        <f t="array" ref="CT150">IF(CR150="","",_xlfn.LET(_xlpm.tk,_xlfn.TEXTSPLIT(UPPER(CR150)," ",,TRUE),_xlpm.a_,_xlfn._xlws.FILTER(_xlpm.tk,ISNUMBER(--LEFT(_xlpm.tk,1))*((ISNUMBER(SEARCH("А",_xlpm.tk))+ISNUMBER(SEARCH("A",_xlpm.tk)))&gt;0)*NOT(ISNUMBER(SEARCH("МА",_xlpm.tk)))*NOT(ISNUMBER(SEARCH("MA",_xlpm.tk))),""),IFERROR(--SUBSTITUTE(SUBSTITUTE(INDEX(_xlpm.a_,1),"А",""),"A",""),"")))</f>
        <v/>
      </c>
      <c r="CU150" t="str" cm="1">
        <f t="array" ref="CU150">IF(CR150="","",_xlfn.LET(_xlpm.tk,_xlfn.TEXTSPLIT(UPPER(CR150)," ",,TRUE),_xlpm.a_,_xlfn._xlws.FILTER(_xlpm.tk,ISNUMBER(--LEFT(_xlpm.tk,1))*((ISNUMBER(SEARCH("МА",_xlpm.tk))+ISNUMBER(SEARCH("MA",_xlpm.tk)))&gt;0),""),IFERROR(--SUBSTITUTE(SUBSTITUTE(INDEX(_xlpm.a_,1),"МА",""),"MA",""),30)))</f>
        <v/>
      </c>
      <c r="CV150" t="str">
        <f>IF(CS150="","",IFERROR(_xlfn.XLOOKUP(CS150,Линии[_n],Линии[_УЗО, мА]),30))</f>
        <v/>
      </c>
      <c r="CW150">
        <f>IF(CS150="",0,IF(ISNUMBER(SEARCH("4P",IFERROR(_xlfn.XLOOKUP(CS150,Линии[_n],Линии[_УЗО строки])&amp;"",""))),0,1))</f>
        <v>0</v>
      </c>
      <c r="CX150" t="str">
        <f>IF(AND(CS150&lt;&gt;"",CS150=BA150),SUMIFS(Линии[_ток на 230 В],Линии[_блок УЗО],BA150,Линии[Щит],A150),"")</f>
        <v/>
      </c>
      <c r="CY150" t="str">
        <f>IF(AND(CS150&lt;&gt;"",CS150=BA150),SUMIFS(Линии[_ток утечки линии, мА],Линии[_блок УЗО],BA150,Линии[Щит],A150),"")</f>
        <v/>
      </c>
      <c r="CZ150">
        <f t="shared" si="306"/>
        <v>0</v>
      </c>
      <c r="DA150">
        <f t="shared" si="307"/>
        <v>0</v>
      </c>
      <c r="DB150">
        <f>IF(B150="",0,IFERROR(--_xlfn.XLOOKUP(B150,Коды_код,Коды_минавт),IFERROR(--_xlfn.XLOOKUP(BC150,Коды_код,Коды_минавт),IFERROR(--_xlfn.XLOOKUP(LEFT(BC150,2),Коды_код,Коды_минавт),0))))</f>
        <v>0</v>
      </c>
      <c r="DC150" t="str">
        <f>IF(B150="","",IFERROR(_xlfn.XLOOKUP(BC150,Коды_код,Коды_апп)&amp;"",""))</f>
        <v/>
      </c>
      <c r="DD150" t="str">
        <f t="shared" si="308"/>
        <v/>
      </c>
      <c r="DE150" t="str" cm="1">
        <f t="array" ref="DE150">IF(TRIM(DD150&amp;"")="","",IFERROR(TRIM(INDEX(_xlfn.TEXTSPLIT(DD150&amp;";;;",";"),1)),""))</f>
        <v/>
      </c>
      <c r="DF150" t="str" cm="1">
        <f t="array" ref="DF150">IF(TRIM(DD150&amp;"")="","",IFERROR(TRIM(INDEX(_xlfn.TEXTSPLIT(DD150&amp;";;;",";"),2)),""))</f>
        <v/>
      </c>
      <c r="DG150" t="str" cm="1">
        <f t="array" ref="DG150">IF(TRIM(DD150&amp;"")="","",IFERROR(TRIM(INDEX(_xlfn.TEXTSPLIT(DD150&amp;";;;",";"),3)),""))</f>
        <v/>
      </c>
      <c r="DH150">
        <f t="shared" si="309"/>
        <v>0</v>
      </c>
      <c r="DI150" t="str">
        <f>IF(B150="","",_xlfn.LET(_xlpm.t,LOWER(AZ150&amp;""),IF(ISNUMBER(SEARCH("dim",_xlpm.t)),"DIM",IF(ISNUMBER(SEARCH("dali",_xlpm.t)),"DALI",IF(OR(ISNUMBER(SEARCH("relay",_xlpm.t)),ISNUMBER(SEARCH("реле",_xlpm.t))),"Relay",IF(ISNUMBER(SEARCH("кнопк",_xlpm.t)),"",IFERROR(_xlfn.XLOOKUP(BC150,Коды_код,Коды_упр)&amp;"","")))))))</f>
        <v/>
      </c>
      <c r="DJ150" t="str">
        <f t="shared" si="310"/>
        <v/>
      </c>
      <c r="DK150">
        <f>IF(B150="","",_xlfn.LET(_xlpm.ig,IF(N(CX150)&gt;0,N(CX150),N(CI150)+IF(AJ150="вручную",0,N(CJ150))),_xlpm.n0,IFERROR(VLOOKUP(_xlpm.ig,Автомат_номиналы,2,TRUE),0),_xlpm.mn,MAX(DB150,IF(AJ150="вручную",0,N(CM150))),MAX(_xlpm.n0,_xlpm.mn,IF(DH150=1,Мин_автомат_БП,0))))</f>
        <v>6</v>
      </c>
      <c r="DL150">
        <f t="shared" si="311"/>
        <v>1</v>
      </c>
      <c r="DM150" t="str">
        <f t="shared" si="312"/>
        <v>1P</v>
      </c>
      <c r="DN150" t="str">
        <f>_xlfn.LET(_xlpm.cc,UPPER(TRIM(IFERROR(_xlfn.XLOOKUP(BC150,Коды_код,Коды_хар)&amp;"",""))),IF(OR(_xlpm.cc="B",_xlpm.cc="В"),"B",IF(_xlpm.cc="D","D","С")))</f>
        <v>С</v>
      </c>
      <c r="DO150" t="str">
        <f t="shared" si="313"/>
        <v>1P С6А</v>
      </c>
      <c r="DP150" t="str">
        <f t="shared" si="314"/>
        <v>1P С6А</v>
      </c>
      <c r="DQ150" t="str">
        <f t="shared" si="315"/>
        <v>1P С6А</v>
      </c>
      <c r="DR150" cm="1">
        <f t="array" ref="DR150">IF(DQ150="","",_xlfn.LET(_xlpm.t,SUBSTITUTE(SUBSTITUTE(SUBSTITUTE(UPPER(DQ150),"С","C"),"А","A"),"В","B"),_xlpm.tk,_xlfn.TEXTSPLIT(_xlpm.t," "),_xlpm.f,_xlfn._xlws.FILTER(_xlpm.tk,ISNUMBER(--MID(_xlpm.tk,2,1))*ISNUMBER(SEARCH(LEFT(_xlpm.tk,1)&amp;"#","B#C#D#"))*(LEN(_xlpm.tk)&gt;1),""),_xlpm.x,INDEX(_xlpm.f,1),IFERROR(--SUBSTITUTE(MID(_xlpm.x,2,9),"A",""),IFERROR(--SUBSTITUTE(INDEX(_xlfn._xlws.FILTER(_xlpm.tk,ISNUMBER(--SUBSTITUTE(_xlpm.tk,"A","")),""),1),"A",""),""))))</f>
        <v>6</v>
      </c>
      <c r="DS150" t="str">
        <f t="shared" si="316"/>
        <v>ok</v>
      </c>
      <c r="DT150">
        <f t="shared" si="317"/>
        <v>6</v>
      </c>
      <c r="DU150" t="str">
        <f t="shared" si="318"/>
        <v>1P С6А</v>
      </c>
      <c r="DV150">
        <f t="shared" si="319"/>
        <v>0</v>
      </c>
      <c r="DW150">
        <f t="shared" si="320"/>
        <v>0</v>
      </c>
      <c r="DX150">
        <f t="shared" si="321"/>
        <v>0</v>
      </c>
      <c r="DY150">
        <f t="shared" si="322"/>
        <v>1.46141786888624</v>
      </c>
      <c r="DZ150">
        <f t="shared" si="323"/>
        <v>1</v>
      </c>
      <c r="EA150">
        <f>IF(ISNUMBER(AP150),AP150,К_прокл)</f>
        <v>1</v>
      </c>
      <c r="EB150">
        <f t="shared" si="324"/>
        <v>2</v>
      </c>
      <c r="EC150">
        <f>IFERROR(N(VLOOKUP(BZ150,Кабель_обозначение,3,FALSE)),1)</f>
        <v>1</v>
      </c>
      <c r="ED150">
        <f>IFERROR(N(_xlfn.XLOOKUP(A150,Щиты[Щит],Щиты[ΔU до шин, %])),0)</f>
        <v>1.1399999999999999</v>
      </c>
      <c r="EE150" t="str">
        <f>IFERROR(_xlfn.XLOOKUP(A150,Щиты[Щит],Щиты[Zпетли на шинах, Ом]),"")</f>
        <v/>
      </c>
      <c r="EF150">
        <f>IFERROR(N(_xlfn.XLOOKUP(A150,Щиты[Щит],Щиты[ΔU до шин (подбор), %])),0)</f>
        <v>1.82</v>
      </c>
      <c r="EG150" t="str">
        <f>IFERROR(_xlfn.XLOOKUP(A150,Щиты[Щит],Щиты[Zпетли на шинах (подбор), Ом]),"")</f>
        <v/>
      </c>
      <c r="EH150" t="str">
        <f t="shared" si="325"/>
        <v/>
      </c>
      <c r="EI150">
        <f t="shared" si="326"/>
        <v>31</v>
      </c>
      <c r="EJ150">
        <f t="shared" si="327"/>
        <v>2</v>
      </c>
      <c r="EK150">
        <f t="shared" si="328"/>
        <v>0.6</v>
      </c>
      <c r="EL150" s="6">
        <f>IF(B150="","",IF(BV150=1,dU_LED,IF(IFERROR(_xlfn.XLOOKUP(BC150,Коды_код,Коды_уго),"")="Светильник",3,4)+IF(Методика="нормы 2026",MIN(0.5,MAX(0,N(P150)-100)*0.005),0)))</f>
        <v>4</v>
      </c>
      <c r="EM150" cm="1">
        <f t="array" ref="EM150">IF(OR(B150="",BZ150="",EC150&lt;&gt;1),"",_xlfn.LET(_xlpm.sz,Iдоп_S,_xlpm.t_,CHOOSE(EB150,Iдоп_1ж,Iдоп_2ж,Iдоп_3ж)*DZ150*EA150,_xlpm.dcx,BV150=1,_xlpm.inn,IF(_xlpm.dcx,N(O150),N(DT150)),_xlpm.smin,MAX(1.5,CC150),_xlpm.L_,N(P150)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150)/N(BU150)*100,999),IFERROR(N(EJ150)*(_xlpm.rho*_xlpm.L_/_xlpm.sz*N(CE150)+_xlpm.xx*_xlpm.L_*N(EK150)/1000)*N(O150)/((Uн_лин/SQRT(3))*1000)*100,999)),_xlpm.kz,IF(OR(_xlpm.dcx,DW150=1,NOT(ISNUMBER(EG150)),_xlpm.L_=0,_xlpm.inn=0),1,IFERROR(--(c_min*(Uн_лин*1000/SQRT(3))/(EG150+2*ρкз_Cu*_xlpm.L_/_xlpm.sz)&gt;=HT150*_xlpm.inn),0)),_xlpm.ok,IFERROR((_xlpm.sz&gt;=_xlpm.smin)*(_xlpm.t_&gt;=_xlpm.inn)*IF(_xlpm.L_&gt;0,(_xlpm.du_+IF(_xlpm.dcx,0,EF150)&lt;=EL150+0.00001),1)*_xlpm.kz,0),_xlpm.r_,_xlfn._xlws.FILTER(_xlpm.sz,_xlpm.ok,"не подобрано"),INDEX(_xlpm.r_,1)))</f>
        <v>1.5</v>
      </c>
      <c r="EN150">
        <f t="shared" si="329"/>
        <v>2.5</v>
      </c>
      <c r="EO150" cm="1">
        <f t="array" ref="EO150">IF(OR(B150="",BZ150="",EC150&lt;&gt;1),"",_xlfn.LET(_xlpm.sz,Iдоп_S,_xlpm.t_,CHOOSE(EB150,Iдоп_1ж,Iдоп_2ж,Iдоп_3ж)*DZ150*EA150,_xlpm.ok,IFERROR((_xlpm.sz&gt;=MAX(1.5,CC150))*(_xlpm.t_&gt;=N(DT150)),0),_xlpm.r_,_xlfn._xlws.FILTER(_xlpm.sz,_xlpm.ok,""),INDEX(_xlpm.r_,1)))</f>
        <v>1.5</v>
      </c>
      <c r="EP150" s="6" cm="1">
        <f t="array" ref="EP150">IFERROR(ROUNDUP(N(EJ150)*(_xlfn.XLOOKUP(EO150,INDEX(Кабель_сопротивление,0,1),INDEX(Кабель_сопротивление,0,3))*N(P150)/EO150*N(CE150)+_xlfn.XLOOKUP(EO150,INDEX(Кабель_сопротивление,0,1),INDEX(Кабель_сопротивление,0,2))*N(P150)*N(EK150)/1000)*N(O150)/((Uн_лин/SQRT(3))*1000)*100,2),"")</f>
        <v>0.54</v>
      </c>
      <c r="EQ150">
        <f>IFERROR(2*ρкз_Cu*N(P150)/EO150,"")</f>
        <v>1.2273333333333334</v>
      </c>
      <c r="ER150">
        <f>IFERROR(VLOOKUP(EN150,Кабель_сопротивление,3,FALSE),"")</f>
        <v>2.2499999999999999E-2</v>
      </c>
      <c r="ES150">
        <f>IFERROR(VLOOKUP(EN150,Кабель_сопротивление,2,FALSE),"")</f>
        <v>0.1</v>
      </c>
      <c r="ET150">
        <f t="shared" si="330"/>
        <v>31</v>
      </c>
      <c r="EU150">
        <f t="shared" si="331"/>
        <v>0</v>
      </c>
      <c r="EV150">
        <f t="shared" si="332"/>
        <v>0.74269256096798719</v>
      </c>
      <c r="EW150" s="6">
        <f>IFERROR(ROUNDUP(EV150/IF(BV150=1,BU150,(Uн_лин/SQRT(3))*1000)*100,2),"")</f>
        <v>0.33</v>
      </c>
      <c r="EX150" t="str">
        <f>IFERROR(VLOOKUP(BZ150,Кабель_обозначение,2,FALSE),"")</f>
        <v>ВВГнг(А)-LS</v>
      </c>
      <c r="EY150" t="str">
        <f t="shared" si="333"/>
        <v>ВВГнг(А)-LS (3х2,5)</v>
      </c>
      <c r="EZ150" t="str">
        <f t="shared" si="334"/>
        <v>ВВГнг(А)-LS (3х2,5)
L=35-0,33%</v>
      </c>
      <c r="FA150">
        <f>IFERROR(2*ρкз_Cu*P150/EN150,"")</f>
        <v>0.73639999999999994</v>
      </c>
      <c r="FB150">
        <f t="shared" si="335"/>
        <v>0.24500000000000002</v>
      </c>
      <c r="FC150" s="6" t="str">
        <f>IFERROR(IF(OR(B150="",BV150=1,NOT(ISNUMBER(EN150)),N(P150)=0),"",_xlfn.XLOOKUP(A150,Щиты[Щит],Щиты[Zпетли на шинах, Ом])+FA150),"")</f>
        <v/>
      </c>
      <c r="FD150" s="6" t="str">
        <f>IF(ISNUMBER(FC150),c_min*(Uн_лин*1000/SQRT(3))/FC150,"")</f>
        <v/>
      </c>
      <c r="FE150" s="6" t="str">
        <f>IFERROR(IF(OR(B150="",NOT(ISNUMBER(EN150))),"",1.05*(Uн_лин*1000/SQRT(3))/(_xlfn.XLOOKUP(A150,Щиты[Щит],Щиты[Zmax на шинах, Ом])+FB150)/1000),"")</f>
        <v/>
      </c>
      <c r="FF150" s="6" t="str">
        <f>IF(B150="","",IF(ISNUMBER(AC150),"Сил",IF(IFERROR(_xlfn.XLOOKUP(BC150,Коды_код,Коды_группа)&amp;"","")="","Быт",_xlfn.XLOOKUP(BC150,Коды_код,Коды_группа)&amp;"")))</f>
        <v>Сил</v>
      </c>
      <c r="FG150" s="6" t="str">
        <f t="shared" si="336"/>
        <v>Сил</v>
      </c>
      <c r="FH150" s="6">
        <f>IF(FG150="Щит","щит",IF(FG150="","",IF(FG150="Быт",IFERROR(_xlfn.XLOOKUP(A150,Щиты[Щит],Щиты[Кс быт]),1),IF(FG150="Сил",IF(ISNUMBER(AC150),AC150,IF(Методика="нормы 2026",IFERROR(_xlfn.XLOOKUP(A150,Щиты[Щит],Щиты[Кс силовых (табл. 7.5)]),1),1)),IF(OR(FG150="Пост",FG150="Отоп"),1,IF(FG150="ВНГ",0.7,0))))))</f>
        <v>0.5</v>
      </c>
      <c r="FI150">
        <f>IF(FG150="","",IF(AND(BP150=1,TRIM(AE150&amp;"")=""),IF(COUNTIFS(Линии[Щит],A150,Линии[Секция (1/2/3)],"&gt;=2")&gt;0,MIN(3,MAX(1,IFERROR(--BD150,1))),1),IFERROR(MIN(3,MAX(1,INT(--AE150))),1)))</f>
        <v>1</v>
      </c>
      <c r="FJ150">
        <f t="shared" si="337"/>
        <v>0.27</v>
      </c>
      <c r="FK150">
        <f t="shared" si="338"/>
        <v>0</v>
      </c>
      <c r="FL150">
        <f t="shared" si="339"/>
        <v>0.13500000000000001</v>
      </c>
      <c r="FM150">
        <f t="shared" si="340"/>
        <v>0</v>
      </c>
      <c r="FN150">
        <f t="shared" si="341"/>
        <v>0</v>
      </c>
      <c r="FO150">
        <f t="shared" si="342"/>
        <v>0</v>
      </c>
      <c r="FP150">
        <f t="shared" si="343"/>
        <v>0.27</v>
      </c>
      <c r="FQ150">
        <f t="shared" si="344"/>
        <v>0.27</v>
      </c>
      <c r="FR150">
        <f t="shared" si="345"/>
        <v>0.21600000000000003</v>
      </c>
      <c r="FS150">
        <f>IF(CG150=1,IF(AND(CH150=1,CW150=1),0,IF(AND(CS150&lt;&gt;"",CS150=BA150,CW150=1),SUMIFS(Линии[_Р линии, кВт],Линии[_блок УЗО],BA150,Линии[Щит],A150),N(BS150)+IF(AJ150="вручную",0,N(CK150)))),0)</f>
        <v>0.27</v>
      </c>
      <c r="FT150" t="str">
        <f t="shared" si="346"/>
        <v/>
      </c>
      <c r="FU150" t="str">
        <f>IF(B150="","",IF(CG150=0,IF(BA150=1,"",FW149),IF(AND(CH150=1,CW150=1,CS150&lt;&gt;""),IFERROR(_xlfn.XLOOKUP(CS150,Линии[_n],Линии[_фаза итог]),"L1"),IF(OR(N(DL150)&gt;=3,N(BX150)&gt;=3),"L1,L2,L3",IFERROR(_xlfn.TEXTBEFORE(_xlfn.TEXTAFTER(_xlfn.XLOOKUP(A150,Щиты[Щит],Щиты[_фазы авто]),";"&amp;BA150&amp;":"),";"),"L1")))))</f>
        <v>L2</v>
      </c>
      <c r="FV150" t="str">
        <f t="shared" si="347"/>
        <v>L2</v>
      </c>
      <c r="FW150" t="str">
        <f t="shared" si="348"/>
        <v>L2</v>
      </c>
      <c r="FX150" cm="1">
        <f t="array" ref="FX150">IFERROR(IF(CD150=2,_xlfn.IFS(BX150=3,VLOOKUP(BS150,Справочная_двигатели,3,FALSE),BX150=1,VLOOKUP(BS150,Справочная_двигатели,5,TRUE)),0),0)</f>
        <v>0</v>
      </c>
      <c r="FY150">
        <f>IFERROR(IF(CD150=3,VLOOKUP(BS150,Справочная_ЛЭД,2,TRUE),0),0)</f>
        <v>0</v>
      </c>
      <c r="FZ150" s="6">
        <f t="shared" si="349"/>
        <v>0</v>
      </c>
      <c r="GA150" t="str">
        <f>IF(B150="","",IF(TRIM(AH150&amp;"")&lt;&gt;"",IF(LOWER(TRIM(AH150&amp;""))="да","да","нет"),IF(IFERROR(_xlfn.XLOOKUP(BC150,Коды_код,Коды_пожарная),"")="да","да","нет")))</f>
        <v>нет</v>
      </c>
      <c r="GB150" t="str">
        <f t="shared" si="350"/>
        <v/>
      </c>
      <c r="GC150" t="str">
        <f t="shared" si="351"/>
        <v>основная</v>
      </c>
      <c r="GD150">
        <f>IF(AND(BP150=1,TRIM(AE150&amp;"")=""),IF(COUNTIFS(Линии[Щит],A150,Линии[Секция (1/2/3)],"&gt;=2")&gt;0,MIN(3,MAX(1,IFERROR(--BD150,1))),1),IFERROR(MIN(3,MAX(1,INT(--AE150))),1))</f>
        <v>1</v>
      </c>
      <c r="GE150" t="str" cm="1">
        <f t="array" ref="GE150">IF(B150="","",_xlfn.LET(_xlpm.t,IFERROR(_xlfn.XLOOKUP(1,(Шины[Шина]=GC150)*(((Шины[Щит]=A150)+(Шины[Щит]=""))&gt;0),Шины[Тип]),"")&amp;"",IF(_xlpm.t&lt;&gt;"",_xlpm.t,IF(ISNUMBER(SEARCH("ИБП",GC150)),"ИБП",IF(ISNUMBER(SEARCH("ДГУ",GC150)),"ДГУ","Ввод "&amp;GD150)))))</f>
        <v>Ввод 1</v>
      </c>
      <c r="GF150" t="str">
        <f t="shared" si="352"/>
        <v>Ввод 1</v>
      </c>
      <c r="GG150" t="str">
        <f>IF(BP150=0,"",IF(TRIM(AG150&amp;"")&lt;&gt;"",TRIM(AG150&amp;""),IF(OR(GE150="ИБП",GE150="ДГУ"),"I особая",_xlfn.XLOOKUP(A150,Щиты[Щит],Щиты[Категория шины «Ввод»],"III"))))</f>
        <v/>
      </c>
      <c r="GH150" t="str">
        <f>IF(A150="","",_xlfn.XLOOKUP(A150,Щиты[Щит],Щиты[Путь],""))</f>
        <v>|ГРЩ-ЖД|ЩОВ-2|</v>
      </c>
      <c r="GI150" t="str">
        <f>IF(B150="","",IF(AI150&lt;&gt;"",AI150,IF(IFERROR(_xlfn.XLOOKUP(BC150,Коды_код,Коды_вид)&amp;"","")="","Прочее",_xlfn.XLOOKUP(BC150,Коды_код,Коды_вид)&amp;"")))</f>
        <v>Вентиляция</v>
      </c>
      <c r="GJ150">
        <f>IF(BM150="","",INT((BM150-1)/Столбцов_на_лист)+1)</f>
        <v>3</v>
      </c>
      <c r="GK150" t="str">
        <f t="shared" si="353"/>
        <v>ВВГнг(А)-LS (3х2,5) L=35-0,33%</v>
      </c>
      <c r="GL150">
        <f t="shared" si="354"/>
        <v>0.27</v>
      </c>
      <c r="GM150">
        <f t="shared" si="355"/>
        <v>1.47</v>
      </c>
      <c r="GN150">
        <f t="shared" si="356"/>
        <v>1</v>
      </c>
      <c r="GO150">
        <f t="shared" si="357"/>
        <v>0</v>
      </c>
      <c r="GP150">
        <f t="shared" si="358"/>
        <v>1</v>
      </c>
      <c r="GQ150">
        <f>IF(BM150="","",IF(AND(CG150=1,GP150=1),COUNTIFS(A$3:A150,A150,CG$3:CG150,1,GP$3:GP150,1),IF(OR(OR(BA150=1,A150&lt;&gt;A149),AJ150="вручную",GP150=0),"",IF(BA150=1,"",GR149))))</f>
        <v>20</v>
      </c>
      <c r="GR150">
        <f t="shared" si="359"/>
        <v>20</v>
      </c>
      <c r="GS150">
        <f>IF(B150="","",IFERROR(LOOKUP(INDEX(CHOOSE(EB150,Iдоп_1ж,Iдоп_2ж,Iдоп_3ж),MATCH(EN150,Iдоп_S,0))*DZ150*EA150,{6,10,16,20,25,32,40,50,63,80,100,125,160,200,250,315,400,500,630}),""))</f>
        <v>25</v>
      </c>
      <c r="GT150" t="str">
        <f t="shared" si="360"/>
        <v>QF20</v>
      </c>
      <c r="GU150" t="str">
        <f t="shared" si="361"/>
        <v>QF20</v>
      </c>
      <c r="GV150" t="str">
        <f t="shared" si="362"/>
        <v/>
      </c>
      <c r="GW150">
        <f t="shared" si="363"/>
        <v>0</v>
      </c>
      <c r="GX150" t="str">
        <f>IF(OR(B150="",DJ150=""),"",IFERROR(_xlfn.XLOOKUP(DJ150,Модули_умолч[Управление],Модули_умолч[Модель])&amp;"",""))</f>
        <v/>
      </c>
      <c r="GY150">
        <f>IF(DJ150="",1,IFERROR(MAX(0,N(_xlfn.XLOOKUP(DJ150,Модули_умолч[Управление],Модули_умолч[Каналов на линию]))),1))</f>
        <v>1</v>
      </c>
      <c r="GZ150" t="str">
        <f t="shared" si="364"/>
        <v/>
      </c>
      <c r="HA150" t="str">
        <f t="shared" si="365"/>
        <v/>
      </c>
      <c r="HB150" t="str">
        <f t="shared" si="366"/>
        <v/>
      </c>
      <c r="HC150">
        <f>IF(HB150="",0,IFERROR(N(VLOOKUP(HB150,Модули_спр,3,FALSE)),0))</f>
        <v>0</v>
      </c>
      <c r="HD150" t="str">
        <f t="shared" si="367"/>
        <v/>
      </c>
      <c r="HE150" t="str">
        <f t="shared" si="368"/>
        <v/>
      </c>
      <c r="HF150" t="str">
        <f>IF(OR(HE150="",HE150="-"),"",IFERROR(VLOOKUP(HE150,Модули_спр,2,FALSE),"R"))</f>
        <v/>
      </c>
      <c r="HG150" t="str">
        <f>IF(HF150="","",HF150&amp;"."&amp;COUNTIFS(A$3:A150,A150,HF$3:HF150,HF150))</f>
        <v/>
      </c>
      <c r="HH150" t="str">
        <f t="shared" si="369"/>
        <v/>
      </c>
      <c r="HI150" t="str">
        <f t="shared" si="370"/>
        <v/>
      </c>
      <c r="HJ150" t="str">
        <f t="shared" si="371"/>
        <v/>
      </c>
      <c r="HK150" t="str">
        <f t="shared" si="372"/>
        <v/>
      </c>
      <c r="HL150">
        <f t="shared" si="373"/>
        <v>1</v>
      </c>
      <c r="HM150" t="str">
        <f>IF(HL150=1,"XT"&amp;COUNTIFS(A$3:A150,A150,HL$3:HL150,1),"")</f>
        <v>XT20</v>
      </c>
      <c r="HN150" t="str">
        <f t="shared" si="374"/>
        <v>XT20</v>
      </c>
      <c r="HO150" t="str">
        <f t="shared" si="375"/>
        <v>QF20</v>
      </c>
      <c r="HP150" t="str">
        <f t="shared" si="376"/>
        <v/>
      </c>
      <c r="HQ150" t="str">
        <f t="shared" si="377"/>
        <v>ok</v>
      </c>
      <c r="HR150" t="str">
        <f>IF(OR(HJ150="",HH150=""),"",IF(HJ150+MAX(0,GY150-1)&gt;IFERROR(VLOOKUP(HI150,Модули_спр,3,FALSE),99),"ЛИШНИЙ КАНАЛ",IF(AND(AL150&lt;&gt;"=",GY150&gt;0,COUNTIFS(Линии[_модуль гр.],HH150,Линии[Канал (итог)],HJ150,Линии[Канал],"&lt;&gt;=",Линии[Щит],A150)&gt;1),"ДУБЛЬ КАНАЛА","")))</f>
        <v/>
      </c>
      <c r="HS150" s="6" t="str">
        <f t="shared" si="378"/>
        <v/>
      </c>
      <c r="HT150">
        <f t="shared" si="379"/>
        <v>10</v>
      </c>
      <c r="HU150" t="str">
        <f t="shared" si="380"/>
        <v/>
      </c>
      <c r="HV150">
        <f t="shared" si="381"/>
        <v>0.9345671475544961</v>
      </c>
      <c r="HW150">
        <f t="shared" si="382"/>
        <v>0</v>
      </c>
      <c r="HX150">
        <f t="shared" si="383"/>
        <v>0</v>
      </c>
      <c r="HY150">
        <f t="shared" si="384"/>
        <v>0</v>
      </c>
      <c r="HZ150">
        <f t="shared" si="385"/>
        <v>0</v>
      </c>
      <c r="IA150">
        <f t="shared" si="386"/>
        <v>0</v>
      </c>
      <c r="IB150">
        <f t="shared" si="387"/>
        <v>0</v>
      </c>
      <c r="IC150" t="str">
        <f t="shared" si="388"/>
        <v/>
      </c>
      <c r="ID150" t="str" cm="1">
        <f t="array" ref="ID150">IF(IC150="","",_xlfn.LET(_xlpm.tk,_xlfn.TEXTSPLIT(SUBSTITUTE(SUBSTITUTE(IC150,";"," "),"→"," ")," ",,TRUE),_xlpm.w_,_xlfn._xlws.FILTER(_xlpm.tk,ISNUMBER(--LEFT(_xlpm.tk,1))*((ISNUMBER(SEARCH("W",_xlpm.tk))+ISNUMBER(SEARCH("Вт",_xlpm.tk)))&gt;0),""),IFERROR(--SUBSTITUTE(SUBSTITUTE(UPPER(INDEX(_xlpm.w_,1)),"W",""),"ВТ",""),"")))</f>
        <v/>
      </c>
      <c r="IE150" t="str" cm="1">
        <f t="array" ref="IE150">IF(IC150="","",_xlfn.LET(_xlpm.tk,_xlfn.TEXTSPLIT(SUBSTITUTE(SUBSTITUTE(IC150,";"," "),"→"," ")," ",,TRUE),_xlpm.v_,_xlfn._xlws.FILTER(_xlpm.tk,ISNUMBER(--LEFT(_xlpm.tk,1))*((ISNUMBER(SEARCH("V",_xlpm.tk))+(RIGHT(UPPER(_xlpm.tk))="В"))&gt;0),""),IFERROR(--SUBSTITUTE(SUBSTITUTE(UPPER(INDEX(_xlpm.v_,1)),"V",""),"В",""),"")))</f>
        <v/>
      </c>
      <c r="IF150" s="6" t="str">
        <f>IF(OR(BV150=0,HI150="",HJ150=""),"",IFERROR(N(_xlfn.XLOOKUP(HI150,Каталог!$C$4:$C$500,Каталог!$Q$4:$Q$500)),""))</f>
        <v/>
      </c>
      <c r="IG150" s="6" t="str">
        <f>IF(N(IF150)=0,"",SUMIFS(Линии[Iр, А],Линии[Щит],A150,Линии[_модуль гр.],HH150,Линии[Канал (итог)],HJ150))</f>
        <v/>
      </c>
      <c r="IH150" t="str">
        <f>IF(AND(B150="",HO150=""),"",_xlfn.TEXTJOIN("; ",TRUE,IF(AND(B150&lt;&gt;"",FV150=""),"нет фазы",""),IF(AND(B150&lt;&gt;"",N(GL150)=0,FG150&lt;&gt;"Нет"),"нет мощности",""),IF(AND(HN150&lt;&gt;"",COUNTIFS(Линии[Щит],A150,Линии[Клемма (итог)],HN150)&gt;1),"дубль клеммы "&amp;HN150,""),IF(AND(HQ150&lt;&gt;"",HQ150&lt;&gt;"ok"),HQ150,""),IF(HR150&lt;&gt;"",HR150,""),IF(AND(N(CB150)&gt;=4,N(BX150)=1),CB150&amp;" жил на 1 фазе",""),IF(AND(BC150="R",CG150=1,IF(CS150&lt;&gt;"",N(CV150)&gt;30,OR(N(DA150)=0,N(DA150)&gt;30))),"розетка без дифзащиты до 30 мА",""),IF(AND(CG150=1,N(DA150)&gt;0,ISNUMBER(T150)),IF(T150&gt;N(DA150)/3,"ток утечки "&amp;FIXED(T150,1)&amp;" мА &gt; 1/3 уставки ("&amp;DA150&amp;" мА)",""),""),IF(AND(CH150=1,CS150=""),"«узо»: нет строки с УЗО выше (УЗО 2P 40А 30мА в «Аппаратах»)",""),IF(AND(CS150&lt;&gt;"",CS150=BA150),IF(CT150="","впишите номинал УЗО (УЗО 2P 40А 30мА)",IF(N(CT150)&lt;N(DT150),"УЗО "&amp;CT150&amp;" А &lt; автомата "&amp;DT150&amp;" А перед ним",IF(N(CT150)&lt;N(CX150),"УЗО "&amp;CT150&amp;" А &lt; тока блока "&amp;FIXED(CX150,1)&amp;" А",""))),""),IF(AND(CS150&lt;&gt;"",CS150=BA150,ISNUMBER(CY150)),IF(CY150&gt;N(CV150)/3,"ток утечки блока УЗО "&amp;FIXED(CY150,1)&amp;" мА &gt; 1/3 уставки ("&amp;CV150&amp;" мА)",""),""),IF(AND(CG150=1,N(BV150)+N(IB150)&gt;0,IC150=""),"линии до 50 В без БП: впишите в «Аппараты» (БП 24V 480W)",""),IF(AND(CG150=1,ISNUMBER(ID150),ISNUMBER(U150)),IF(U150&gt;ID150,"БП "&amp;ID150&amp;" Вт &lt; нужно "&amp;U150&amp;" Вт (×"&amp;Запас_БП&amp;")",""),""),IF(AND(CG150=1,ISNUMBER(IE150),N(BV150)=1),IF(IE150&lt;&gt;N(BU150),"БП на "&amp;IE150&amp;" В, линия "&amp;BU150&amp;" В",""),""),IF(AND(N(IF150)&gt;0,N(IG150)&gt;N(IF150)),HH150&amp;" канал "&amp;HJ150&amp;": "&amp;FIXED(IG150,1)&amp;" А &gt; "&amp;IF150&amp;" А",""),IFERROR(IF(AND(ISNUMBER(Q150),Q150&gt;EL150),"потери "&amp;FIXED(Q150,1)&amp;" % &gt; "&amp;EL150&amp;" %",""),""),IFERROR(IF(LEFT(HU150,4)="мало","Iкз мало — отключение &gt; 0,4 с",""),""),IF(AND(B150&lt;&gt;"",BM150=""),"не на схеме",""),IF(AND(CG150=0,B150&lt;&gt;"",FV150&lt;&gt;"",IF(BA150=1,"",FW149)&lt;&gt;"",FV150&lt;&gt;IF(BA150=1,"",FW149)),"фаза не как у автомата группы ("&amp;IF(BA150=1,"",FW149)&amp;")","")))</f>
        <v/>
      </c>
      <c r="II150" s="6" t="str">
        <f>IF(OR(CG150=0,DQ150=""),"",_xlfn.LET(_xlpm.t,IFERROR(_xlfn.XLOOKUP(DQ150,Каталог!$U$4:$U$500,Каталог!$G$4:$G$500),""),_xlpm.k,SEARCH("кА",_xlpm.t),IFERROR(--TRIM(RIGHT(SUBSTITUTE(MID(_xlpm.t,MAX(1,_xlpm.k-4),_xlpm.k-MAX(1,_xlpm.k-4))," ",REPT(" ",9)),5)),"")))</f>
        <v/>
      </c>
      <c r="IJ150" t="str">
        <f>IF(OR(II150="",CG150=0),"",IF(_xlfn.XLOOKUP(A150,Щиты[Щит],Щиты[Iкз max на шинах, кА],"")="","",IF(II150&lt;_xlfn.XLOOKUP(A150,Щиты[Щит],Щиты[Iкз max на шинах, кА]),"Icu "&amp;II150&amp;" кА &lt; Iкз max","ok")))</f>
        <v/>
      </c>
      <c r="IK150" t="str">
        <f t="shared" si="389"/>
        <v/>
      </c>
      <c r="IL150" t="str">
        <f t="shared" si="390"/>
        <v>QF20|XT20</v>
      </c>
      <c r="IM150" t="str">
        <f t="shared" si="391"/>
        <v>QF20|XT20|кабель ВВГнг(А)-LS (3х2,5) → Приточная установка Технический этаж Пом. №001Т</v>
      </c>
      <c r="IN150" t="str" cm="1">
        <f t="array" ref="IN150">IF(IM150="","",_xlfn.LET(_xlpm.nd,_xlfn.TEXTSPLIT(IM150,"|"),IF(COLUMNS(_xlpm.nd)&gt;1,A150&amp;"¦"&amp;INDEX(_xlpm.nd,1)&amp;"¦"&amp;INDEX(_xlpm.nd,2),"")))</f>
        <v>ЩОВ-2¦QF20¦XT20</v>
      </c>
      <c r="IO150" t="str">
        <f t="shared" si="392"/>
        <v>П.5¦Приточная установка Технический этаж Пом. №001Т</v>
      </c>
      <c r="IP150" t="str" cm="1">
        <f t="array" ref="IP150">IF(IM150="","",_xlfn.LET(_xlpm.nd,_xlfn.TEXTSPLIT(IM150,"|"),IF(COLUMNS(_xlpm.nd)&gt;2,A150&amp;"¦"&amp;INDEX(_xlpm.nd,2)&amp;"¦"&amp;INDEX(_xlpm.nd,3),"")))</f>
        <v>ЩОВ-2¦XT20¦кабель ВВГнг(А)-LS (3х2,5) → Приточная установка Технический этаж Пом. №001Т</v>
      </c>
      <c r="IQ150" t="str">
        <f t="shared" si="393"/>
        <v>П.5¦Приточная установка Технический этаж Пом. №001Т</v>
      </c>
      <c r="IR150" t="str" cm="1">
        <f t="array" ref="IR150">IF(IM150="","",_xlfn.LET(_xlpm.nd,_xlfn.TEXTSPLIT(IM150,"|"),IF(COLUMNS(_xlpm.nd)&gt;3,A150&amp;"¦"&amp;INDEX(_xlpm.nd,3)&amp;"¦"&amp;INDEX(_xlpm.nd,4),"")))</f>
        <v/>
      </c>
      <c r="IS150" t="str">
        <f t="shared" si="394"/>
        <v/>
      </c>
      <c r="IT150" t="str" cm="1">
        <f t="array" ref="IT150">IF(IM150="","",_xlfn.LET(_xlpm.nd,_xlfn.TEXTSPLIT(IM150,"|"),IF(COLUMNS(_xlpm.nd)&gt;4,A150&amp;"¦"&amp;INDEX(_xlpm.nd,4)&amp;"¦"&amp;INDEX(_xlpm.nd,5),"")))</f>
        <v/>
      </c>
      <c r="IU150" t="str">
        <f t="shared" si="395"/>
        <v/>
      </c>
      <c r="IV150" t="str" cm="1">
        <f t="array" ref="IV150">IF(IM150="","",_xlfn.LET(_xlpm.nd,_xlfn.TEXTSPLIT(IM150,"|"),IF(COLUMNS(_xlpm.nd)&gt;5,A150&amp;"¦"&amp;INDEX(_xlpm.nd,5)&amp;"¦"&amp;INDEX(_xlpm.nd,6),"")))</f>
        <v/>
      </c>
      <c r="IW150" t="str">
        <f t="shared" si="396"/>
        <v/>
      </c>
      <c r="IX150" t="str" cm="1">
        <f t="array" ref="IX150">IF(IM150="","",_xlfn.LET(_xlpm.nd,_xlfn.TEXTSPLIT(IM150,"|"),IF(COLUMNS(_xlpm.nd)&gt;6,A150&amp;"¦"&amp;INDEX(_xlpm.nd,6)&amp;"¦"&amp;INDEX(_xlpm.nd,7),"")))</f>
        <v/>
      </c>
      <c r="IY150" t="str">
        <f t="shared" si="397"/>
        <v/>
      </c>
      <c r="IZ150" t="str">
        <f t="shared" si="398"/>
        <v/>
      </c>
      <c r="JA150" t="str">
        <f t="shared" si="399"/>
        <v>QF20 → XT20</v>
      </c>
      <c r="JB150">
        <f t="shared" si="400"/>
        <v>0</v>
      </c>
      <c r="JC150">
        <f t="shared" si="401"/>
        <v>0</v>
      </c>
      <c r="JD150" t="str">
        <f t="shared" si="402"/>
        <v/>
      </c>
      <c r="JE150" t="str">
        <f t="shared" si="403"/>
        <v/>
      </c>
      <c r="JF150" t="str">
        <f t="shared" si="404"/>
        <v/>
      </c>
      <c r="JG150" t="str">
        <f t="shared" si="405"/>
        <v/>
      </c>
      <c r="JH150" t="str">
        <f>IF(B150="","",IFERROR(_xlfn.XLOOKUP(B150,Коды_код,Коды_уго),IFERROR(_xlfn.XLOOKUP(BC150,Коды_код,Коды_уго),IFERROR(_xlfn.XLOOKUP(LEFT(BC150,2),Коды_код,Коды_уго),""))))</f>
        <v>Привод (двигатель)</v>
      </c>
      <c r="JI150" t="str">
        <f>IF(B150="","",IF(OR(JH150="",JH150=0),"BOX",IFERROR(IF(VLOOKUP(JH150,УГО_блоки,3,FALSE)&amp;""&lt;&gt;"",VLOOKUP(JH150,УГО_блоки,3,FALSE),VLOOKUP(JH150,УГО_блоки,2,FALSE)),JH150)))</f>
        <v>MOTOR</v>
      </c>
      <c r="JJ150">
        <f t="shared" si="406"/>
        <v>1</v>
      </c>
      <c r="JK150" t="str">
        <f>IF(DQ150="","",IF(COUNTIF(DQ$3:DQ150,DQ150)=1,MAX(JK$2:JK149)+1,""))</f>
        <v/>
      </c>
      <c r="JL150" t="str">
        <f>IF(DE150="","",IF(COUNTIF(DE$3:DE150,DE150)+COUNTIF(DF$2:DF149,DE150)+COUNTIF(DG$2:DG149,DE150)=1,MAX(JL$2:JN149)+1,""))</f>
        <v/>
      </c>
      <c r="JM150" t="str">
        <f>IF(DF150="","",IF(COUNTIF(DE$3:DE150,DF150)+COUNTIF(DF$3:DF150,DF150)+COUNTIF(DG$2:DG149,DF150)=1,MAX(JL$2:JN149,JL150)+1,""))</f>
        <v/>
      </c>
      <c r="JN150" t="str">
        <f>IF(DG150="","",IF(COUNTIF(DE$3:DE150,DG150)+COUNTIF(DF$3:DF150,DG150)+COUNTIF(DG$3:DG150,DG150)=1,MAX(JL$2:JN149,JL150,JM150)+1,""))</f>
        <v/>
      </c>
      <c r="JO150" t="str">
        <f t="shared" si="407"/>
        <v>3х2,5</v>
      </c>
      <c r="JP150" t="str">
        <f>IF(JO150="","",IF(COUNTIF(JO$3:JO150,JO150)=1,MAX(JP$2:JP149)+1,""))</f>
        <v/>
      </c>
      <c r="JQ150" t="str">
        <f>IF(HG150="","",COUNTIF(HG$3:HG150,"?*"))</f>
        <v/>
      </c>
      <c r="JR150" t="str">
        <f>IF(OR(HG150="",HI150=""),"",IF(COUNTIFS(HG$3:HG150,"?*",HI$3:HI150,HI150)=1,MAX(JR$2:JR149)+1,""))</f>
        <v/>
      </c>
      <c r="JS150">
        <f t="shared" si="408"/>
        <v>0</v>
      </c>
      <c r="JT150">
        <f>IF(B150="","",COUNTIF(B$3:B150,"?*"))</f>
        <v>148</v>
      </c>
      <c r="JU150">
        <f>IF(HL150&lt;&gt;1,0,_xlfn.LET(_xlpm.k,MAX(IFERROR(--_xlfn.XLOOKUP(B150,Коды_код,Коды_3L),0),IFERROR(--_xlfn.XLOOKUP(BC150,Коды_код,Коды_3L),0),IFERROR(--_xlfn.XLOOKUP(LEFT(BC150,2),Коды_код,Коды_3L),0)),IF(_xlpm.k&gt;0,_xlpm.k,IF(IFERROR(--LEFT(SUBSTITUTE(JO150,"x","х"),FIND("х",SUBSTITUTE(JO150,"x","х"))-1),3)&gt;3,Каталог!$S$9,1))))</f>
        <v>1</v>
      </c>
      <c r="JV150">
        <f t="shared" si="409"/>
        <v>0</v>
      </c>
      <c r="JW150" t="str">
        <f t="shared" si="410"/>
        <v>авто</v>
      </c>
      <c r="JX150" t="str">
        <f t="shared" si="411"/>
        <v/>
      </c>
      <c r="JY150">
        <f t="shared" si="412"/>
        <v>0</v>
      </c>
      <c r="JZ150">
        <f t="shared" si="413"/>
        <v>1</v>
      </c>
    </row>
    <row r="151" spans="1:286" x14ac:dyDescent="0.3">
      <c r="A151" t="s">
        <v>751</v>
      </c>
      <c r="B151" t="s">
        <v>1460</v>
      </c>
      <c r="C151" t="s">
        <v>1691</v>
      </c>
      <c r="D151">
        <v>1</v>
      </c>
      <c r="E151">
        <v>3.8</v>
      </c>
      <c r="G151" t="str">
        <f>Линии[[#This Row],[_авто автомат]]</f>
        <v>1P С25А</v>
      </c>
      <c r="H151" t="str">
        <f>Линии[[#This Row],[_авто управление]]</f>
        <v/>
      </c>
      <c r="I151" t="str">
        <f>Линии[[#This Row],[_авто аппараты]]</f>
        <v/>
      </c>
      <c r="J151">
        <v>4</v>
      </c>
      <c r="K151">
        <v>30</v>
      </c>
      <c r="L151" t="str">
        <f>Линии[[#This Row],[_авто фаза]]</f>
        <v>L3</v>
      </c>
      <c r="M151" t="str">
        <f>Линии[[#This Row],[_авто клемма]]</f>
        <v>XT21</v>
      </c>
      <c r="N151" t="str">
        <f t="shared" si="276"/>
        <v/>
      </c>
      <c r="O151" s="6" cm="1">
        <f t="array" ref="O151">IF(B151="","",IF(BH151&lt;&gt;"",IFERROR(_xlfn.XLOOKUP(BH151,Щиты[Щит],Щиты[Iр, А]),""),IF(BP151=1,IF(OR(N(_xlfn.XLOOKUP(A151,Щиты[Щит],Щиты[Вводов],1))&lt;=1,LOWER(TRIM(_xlfn.XLOOKUP(A151,Щиты[Щит],Щиты[АВР],"")&amp;""))="да"),IFERROR(_xlfn.XLOOKUP(A151,Щиты[Щит],Щиты[Iр, А]),""),IFERROR(N(BS151)*_xlfn.XLOOKUP(A151,Щиты[Щит],Щиты[Кс итог])/(SQRT(3)*Uн_лин*_xlfn.XLOOKUP(A151,Щиты[Щит],Щиты[cos φ])),"")),IF(BV151=1,IFERROR(BS151*1000/BU151,""),IFERROR(_xlfn.IFS(BX151=1,BS151/((Uн_лин/SQRT(3))*CE151),BX151=3,BS151/(SQRT(3)*Uн_лин*CE151)),"")))))</f>
        <v>20.568103339880413</v>
      </c>
      <c r="P151" s="7">
        <f>IF(B151="","",IFERROR(IF(VLOOKUP(BC151,Потребители_обозначение,4,FALSE)=1,VLOOKUP(BC151,Потребители_обозначение,3,FALSE)*(MAX(1,N(D151))*2-1)+EI151+VLOOKUP(BE151,Этаж_обозначение,3,FALSE)+VLOOKUP(BE151,Этаж_обозначение,4,FALSE),VLOOKUP(BC151,Потребители_обозначение,3,FALSE)*(MAX(1,N(D151))*2-1)+EI151),EI151))</f>
        <v>34</v>
      </c>
      <c r="Q151" s="6">
        <f t="shared" si="277"/>
        <v>3.8999999999999995</v>
      </c>
      <c r="R151" t="str">
        <f t="shared" si="278"/>
        <v>ВВГнг(А)-LS (3х4)</v>
      </c>
      <c r="S151" t="str">
        <f>IF(BM151="","",IF(BN151="вводной узел","узел ","")&amp;"л."&amp;(INT((BM151-1)/Столбцов_на_лист)+1)&amp;" / "&amp;(MOD(BM151-1,Столбцов_на_лист)+1))</f>
        <v>л.3 / 3</v>
      </c>
      <c r="T151" s="119">
        <f t="shared" si="279"/>
        <v>8.6</v>
      </c>
      <c r="U151" s="7" t="str">
        <f>IF(OR(CG151=0,N(BV151)+N(IB151)=0),"",ROUNDUP(Запас_БП*(N(HY151)+N(HZ151)),0))</f>
        <v/>
      </c>
      <c r="V151" s="119" t="str">
        <f t="shared" si="280"/>
        <v/>
      </c>
      <c r="W151" s="7" t="str">
        <f>IFERROR(IF(OR(B151="",BP151=1,BV151=1,NOT(ISNUMBER(EN151)),N(DT151)=0),"",MAX(0,ROUNDDOWN((c_min*(Uн_лин*1000/SQRT(3))/(HT151*N(DT151))-_xlfn.XLOOKUP(A151,Щиты[Щит],Щиты[Zпетли на шинах, Ом]))*EN151/(2*ρкз_Cu),0))),"")</f>
        <v/>
      </c>
      <c r="Y151" t="str">
        <f>Линии[[#This Row],[_авто утечка]]</f>
        <v/>
      </c>
      <c r="Z151">
        <v>1</v>
      </c>
      <c r="AA151">
        <v>230</v>
      </c>
      <c r="AB151" t="s">
        <v>598</v>
      </c>
      <c r="AC151">
        <v>0.5</v>
      </c>
      <c r="AG151" t="s">
        <v>810</v>
      </c>
      <c r="AI151" t="s">
        <v>580</v>
      </c>
      <c r="AK151" t="str">
        <f>Линии[[#This Row],[_авто модуль]]</f>
        <v/>
      </c>
      <c r="AM151">
        <v>37</v>
      </c>
      <c r="AN151" t="s">
        <v>11</v>
      </c>
      <c r="AO151">
        <v>3</v>
      </c>
      <c r="AQ151">
        <v>4</v>
      </c>
      <c r="AR151">
        <v>30</v>
      </c>
      <c r="AT151">
        <v>1</v>
      </c>
      <c r="BA151" cm="1">
        <f t="array" ref="BA151">ROW()-ROW(Линии[#Headers])</f>
        <v>149</v>
      </c>
      <c r="BC151" s="6" t="str">
        <f t="shared" si="281"/>
        <v>ПВ</v>
      </c>
      <c r="BD151" t="str">
        <f t="shared" si="282"/>
        <v>5</v>
      </c>
      <c r="BE151" t="str">
        <f t="shared" si="283"/>
        <v>5</v>
      </c>
      <c r="BF151" t="str">
        <f t="shared" si="284"/>
        <v/>
      </c>
      <c r="BG151" t="str">
        <f t="shared" si="285"/>
        <v/>
      </c>
      <c r="BH151" t="str">
        <f>IF(X151&lt;&gt;"",X151,IF(AND(B151&lt;&gt;"",B151&lt;&gt;A151,ISNUMBER(_xlfn.XMATCH(B151,Щиты[Щит]))),B151,""))</f>
        <v/>
      </c>
      <c r="BI151" t="str" cm="1">
        <f t="array" ref="BI151">IF(B151="","",IF(BH151&lt;&gt;"","Щит "&amp;BH151,_xlfn.LET(_xlpm.nm,IFERROR(_xlfn.XLOOKUP(BC151,Коды_код,Коды_имя)&amp;"",""),_xlpm.md,IFERROR(N(_xlfn.XLOOKUP(BC151,Коды_код,Коды_режим)),1),_xlpm.ex,IF(Имя_режим="по экспликации",IFERROR(_xlfn.XLOOKUP(BE151&amp;"|"&amp;BG151,Экспликация[Этаж]&amp;"|"&amp;Экспликация[Помещение],Экспликация[Название])&amp;"",""),""),_xlpm.rm,IF(BG151="","",IF(_xlpm.ex&lt;&gt;"",". "&amp;_xlpm.ex&amp;IF(Имя_пом="нет"," ("&amp;BG151&amp;")"," (пом. "&amp;BG151&amp;")"),IF(Имя_пом="нет"," ",", пом. ")&amp;BG151)),IF(_xlpm.nm="","",IF(_xlpm.md=2,_xlpm.nm&amp;" шлейф "&amp;BE151,_xlpm.nm&amp;_xlpm.rm)))))</f>
        <v>Приточно-вытяжная установка шлейф 5</v>
      </c>
      <c r="BJ151" t="str">
        <f t="shared" si="286"/>
        <v>Приточно-вытяжная установка Технический этаж Пом. №001Т</v>
      </c>
      <c r="BK151">
        <f>IFERROR(_xlfn.XMATCH(A151,Щиты[Щит]),0)</f>
        <v>7</v>
      </c>
      <c r="BL151">
        <f>_xlfn.LET(_xlpm.k,IFERROR(_xlfn.XLOOKUP(A151,Щиты[Щит],Щиты[Мест под вводной узел]),""),IF(_xlpm.k="",Столбцов_на_лист,N(_xlpm.k)))</f>
        <v>12</v>
      </c>
      <c r="BM151">
        <f t="shared" si="287"/>
        <v>37</v>
      </c>
      <c r="BN151" t="str">
        <f t="shared" si="288"/>
        <v>линии</v>
      </c>
      <c r="BO151" s="6">
        <f>IFERROR(N(_xlfn.XLOOKUP(BC151,Коды_код,Коды_квт)),0)</f>
        <v>0</v>
      </c>
      <c r="BP151">
        <f t="shared" si="289"/>
        <v>0</v>
      </c>
      <c r="BQ151" t="str">
        <f>IF(B151="","",IF(BH151&lt;&gt;"",IFERROR(_xlfn.XLOOKUP(BH151,Щиты[Щит],Щиты[Руст, кВт]),0),IF(BP151=1,IF(OR(N(_xlfn.XLOOKUP(A151,Щиты[Щит],Щиты[Вводов],1))&lt;=1,LOWER(TRIM(_xlfn.XLOOKUP(A151,Щиты[Щит],Щиты[АВР],"")&amp;""))="да"),IFERROR(_xlfn.XLOOKUP(A151,Щиты[Щит],Щиты[Руст, кВт]),0),SUMIFS(Линии[_Р для вводов],Линии[Щит],A151,Линии[Источник для режимов],GF151)),IF(BO151&gt;0,ROUND(BO151*MAX(1,N(D151)),3),""))))</f>
        <v/>
      </c>
      <c r="BR151">
        <f t="shared" si="290"/>
        <v>3.8</v>
      </c>
      <c r="BS151" s="6">
        <f>IF(B151="","",IF(BH151&lt;&gt;"",IFERROR(_xlfn.XLOOKUP(BH151,Щиты[Щит],Щиты[Руст, кВт]),0),N(BR151)))</f>
        <v>3.8</v>
      </c>
      <c r="BT151" t="str">
        <f>IF(B151="","",IFERROR(IF(VLOOKUP(BC151,Потребители_обозначение,8,FALSE)=0,"",VLOOKUP(BC151,Потребители_обозначение,8,FALSE)),""))</f>
        <v/>
      </c>
      <c r="BU151">
        <f t="shared" si="291"/>
        <v>230</v>
      </c>
      <c r="BV151">
        <f t="shared" si="292"/>
        <v>0</v>
      </c>
      <c r="BW151">
        <f>IF(B151="","",IF(BH151&lt;&gt;"",3,IFERROR(IF(N(VLOOKUP(BC151,Потребители_обозначение,9,FALSE))=0,1,VLOOKUP(BC151,Потребители_обозначение,9,FALSE)),1)))</f>
        <v>1</v>
      </c>
      <c r="BX151">
        <f t="shared" si="293"/>
        <v>1</v>
      </c>
      <c r="BY151" t="str">
        <f>IF(B151="","",_xlfn.LET(_xlpm.bc,IFERROR(IF(VLOOKUP(BC151,Потребители_обозначение,6,FALSE)=0,"",VLOOKUP(BC151,Потребители_обозначение,6,FALSE)&amp;""),""),IF(AND(GA151="да",OR(_xlpm.bc="",_xlpm.bc="мс")),Марка_пож,IF(AND(_xlpm.bc="",BH151&lt;&gt;""),"мс",_xlpm.bc))))</f>
        <v/>
      </c>
      <c r="BZ151" t="str">
        <f t="shared" si="294"/>
        <v>мс</v>
      </c>
      <c r="CA151">
        <f>IF(B151="","",_xlfn.LET(_xlpm.cc,IFERROR(N(VLOOKUP(BC151,Потребители_обозначение,7,FALSE)),0),IF(_xlpm.cc&gt;0,_xlpm.cc,IF(BZ151="","",IF(BV151=1,2,IF(N(BX151)=3,5,3))))))</f>
        <v>3</v>
      </c>
      <c r="CB151">
        <f t="shared" si="295"/>
        <v>3</v>
      </c>
      <c r="CC151">
        <f>IFERROR(N(VLOOKUP(BC151,Потребители_обозначение,10,FALSE)),0)</f>
        <v>0</v>
      </c>
      <c r="CD151">
        <f>IFERROR(VLOOKUP(BC151,Потребители_обозначение,5,FALSE),0)</f>
        <v>1</v>
      </c>
      <c r="CE151" s="6" cm="1">
        <f t="array" ref="CE151">IF(B151="","",IF(BH151&lt;&gt;"",IFERROR(_xlfn.XLOOKUP(BH151,Щиты[Щит],Щиты[cos φ]),0.95),IF(BP151=1,IFERROR(_xlfn.XLOOKUP(A151,Щиты[Щит],Щиты[cos φ]),0.95),IF(ISNUMBER(AD151),AD151,IFERROR(IF(CD151=2,_xlfn.IFS(BX151=3,VLOOKUP(BS151,Справочная_двигатели,8,FALSE),BX151=1,VLOOKUP(BS151,Справочная_двигатели,10,TRUE)),IF(AND(Методика="нормы 2026",FG151="Сил"),0.8,0.95)),0.95)))))</f>
        <v>0.8</v>
      </c>
      <c r="CF151">
        <f t="shared" si="296"/>
        <v>0</v>
      </c>
      <c r="CG151">
        <f t="shared" si="297"/>
        <v>1</v>
      </c>
      <c r="CH151">
        <f t="shared" si="298"/>
        <v>0</v>
      </c>
      <c r="CI151">
        <f>IF(B151="","",IF(BV151=1,IFERROR(BS151/((Uн_лин/SQRT(3))*MAX(0.5,N(CE151))),0),N(O151)))</f>
        <v>20.568103339880413</v>
      </c>
      <c r="CJ151">
        <f t="shared" si="299"/>
        <v>0</v>
      </c>
      <c r="CK151">
        <f t="shared" si="300"/>
        <v>0</v>
      </c>
      <c r="CL151">
        <f t="shared" si="301"/>
        <v>0</v>
      </c>
      <c r="CM151">
        <f t="shared" si="302"/>
        <v>0</v>
      </c>
      <c r="CN151">
        <f t="shared" si="303"/>
        <v>0</v>
      </c>
      <c r="CO151">
        <f>IF(BC151="",0,_xlfn.LET(_xlpm.v,IFERROR(_xlfn.XLOOKUP(B151,Коды_код,Коды_мА),IFERROR(_xlfn.XLOOKUP(BC151,Коды_код,Коды_мА),IFERROR(_xlfn.XLOOKUP(LEFT(BC151,2),Коды_код,Коды_мА),""))),IF(_xlpm.v="да",30,IF(ISNUMBER(_xlpm.v),_xlpm.v,0))))</f>
        <v>0</v>
      </c>
      <c r="CP151" t="str">
        <f t="shared" si="304"/>
        <v/>
      </c>
      <c r="CQ151" t="str">
        <f>_xlfn.LET(_xlpm.k,IFERROR(_xlfn.XLOOKUP(BC151,Коды_код,Коды_утечка)&amp;"",""),IF(_xlpm.k="","дифавтомат",_xlpm.k))</f>
        <v>дифавтомат</v>
      </c>
      <c r="CR151" t="str" cm="1">
        <f t="array" ref="CR151">IF(CG151=0,"",_xlfn.LET(_xlpm.sg,TRIM(_xlfn.TEXTSPLIT(DD151&amp;"",";")),_xlpm.f_,_xlfn._xlws.FILTER(_xlpm.sg,LEFT(_xlpm.sg,3)="УЗО",""),IFERROR(INDEX(_xlpm.f_,1)&amp;"","")))</f>
        <v/>
      </c>
      <c r="CS151" t="str">
        <f t="shared" si="305"/>
        <v/>
      </c>
      <c r="CT151" s="6" t="str" cm="1">
        <f t="array" ref="CT151">IF(CR151="","",_xlfn.LET(_xlpm.tk,_xlfn.TEXTSPLIT(UPPER(CR151)," ",,TRUE),_xlpm.a_,_xlfn._xlws.FILTER(_xlpm.tk,ISNUMBER(--LEFT(_xlpm.tk,1))*((ISNUMBER(SEARCH("А",_xlpm.tk))+ISNUMBER(SEARCH("A",_xlpm.tk)))&gt;0)*NOT(ISNUMBER(SEARCH("МА",_xlpm.tk)))*NOT(ISNUMBER(SEARCH("MA",_xlpm.tk))),""),IFERROR(--SUBSTITUTE(SUBSTITUTE(INDEX(_xlpm.a_,1),"А",""),"A",""),"")))</f>
        <v/>
      </c>
      <c r="CU151" t="str" cm="1">
        <f t="array" ref="CU151">IF(CR151="","",_xlfn.LET(_xlpm.tk,_xlfn.TEXTSPLIT(UPPER(CR151)," ",,TRUE),_xlpm.a_,_xlfn._xlws.FILTER(_xlpm.tk,ISNUMBER(--LEFT(_xlpm.tk,1))*((ISNUMBER(SEARCH("МА",_xlpm.tk))+ISNUMBER(SEARCH("MA",_xlpm.tk)))&gt;0),""),IFERROR(--SUBSTITUTE(SUBSTITUTE(INDEX(_xlpm.a_,1),"МА",""),"MA",""),30)))</f>
        <v/>
      </c>
      <c r="CV151" t="str">
        <f>IF(CS151="","",IFERROR(_xlfn.XLOOKUP(CS151,Линии[_n],Линии[_УЗО, мА]),30))</f>
        <v/>
      </c>
      <c r="CW151">
        <f>IF(CS151="",0,IF(ISNUMBER(SEARCH("4P",IFERROR(_xlfn.XLOOKUP(CS151,Линии[_n],Линии[_УЗО строки])&amp;"",""))),0,1))</f>
        <v>0</v>
      </c>
      <c r="CX151" t="str">
        <f>IF(AND(CS151&lt;&gt;"",CS151=BA151),SUMIFS(Линии[_ток на 230 В],Линии[_блок УЗО],BA151,Линии[Щит],A151),"")</f>
        <v/>
      </c>
      <c r="CY151" t="str">
        <f>IF(AND(CS151&lt;&gt;"",CS151=BA151),SUMIFS(Линии[_ток утечки линии, мА],Линии[_блок УЗО],BA151,Линии[Щит],A151),"")</f>
        <v/>
      </c>
      <c r="CZ151">
        <f t="shared" si="306"/>
        <v>0</v>
      </c>
      <c r="DA151">
        <f t="shared" si="307"/>
        <v>0</v>
      </c>
      <c r="DB151">
        <f>IF(B151="",0,IFERROR(--_xlfn.XLOOKUP(B151,Коды_код,Коды_минавт),IFERROR(--_xlfn.XLOOKUP(BC151,Коды_код,Коды_минавт),IFERROR(--_xlfn.XLOOKUP(LEFT(BC151,2),Коды_код,Коды_минавт),0))))</f>
        <v>0</v>
      </c>
      <c r="DC151" t="str">
        <f>IF(B151="","",IFERROR(_xlfn.XLOOKUP(BC151,Коды_код,Коды_апп)&amp;"",""))</f>
        <v/>
      </c>
      <c r="DD151" t="str">
        <f t="shared" si="308"/>
        <v/>
      </c>
      <c r="DE151" t="str" cm="1">
        <f t="array" ref="DE151">IF(TRIM(DD151&amp;"")="","",IFERROR(TRIM(INDEX(_xlfn.TEXTSPLIT(DD151&amp;";;;",";"),1)),""))</f>
        <v/>
      </c>
      <c r="DF151" t="str" cm="1">
        <f t="array" ref="DF151">IF(TRIM(DD151&amp;"")="","",IFERROR(TRIM(INDEX(_xlfn.TEXTSPLIT(DD151&amp;";;;",";"),2)),""))</f>
        <v/>
      </c>
      <c r="DG151" t="str" cm="1">
        <f t="array" ref="DG151">IF(TRIM(DD151&amp;"")="","",IFERROR(TRIM(INDEX(_xlfn.TEXTSPLIT(DD151&amp;";;;",";"),3)),""))</f>
        <v/>
      </c>
      <c r="DH151">
        <f t="shared" si="309"/>
        <v>0</v>
      </c>
      <c r="DI151" t="str">
        <f>IF(B151="","",_xlfn.LET(_xlpm.t,LOWER(AZ151&amp;""),IF(ISNUMBER(SEARCH("dim",_xlpm.t)),"DIM",IF(ISNUMBER(SEARCH("dali",_xlpm.t)),"DALI",IF(OR(ISNUMBER(SEARCH("relay",_xlpm.t)),ISNUMBER(SEARCH("реле",_xlpm.t))),"Relay",IF(ISNUMBER(SEARCH("кнопк",_xlpm.t)),"",IFERROR(_xlfn.XLOOKUP(BC151,Коды_код,Коды_упр)&amp;"","")))))))</f>
        <v/>
      </c>
      <c r="DJ151" t="str">
        <f t="shared" si="310"/>
        <v/>
      </c>
      <c r="DK151">
        <f>IF(B151="","",_xlfn.LET(_xlpm.ig,IF(N(CX151)&gt;0,N(CX151),N(CI151)+IF(AJ151="вручную",0,N(CJ151))),_xlpm.n0,IFERROR(VLOOKUP(_xlpm.ig,Автомат_номиналы,2,TRUE),0),_xlpm.mn,MAX(DB151,IF(AJ151="вручную",0,N(CM151))),MAX(_xlpm.n0,_xlpm.mn,IF(DH151=1,Мин_автомат_БП,0))))</f>
        <v>25</v>
      </c>
      <c r="DL151">
        <f t="shared" si="311"/>
        <v>1</v>
      </c>
      <c r="DM151" t="str">
        <f t="shared" si="312"/>
        <v>1P</v>
      </c>
      <c r="DN151" t="str">
        <f>_xlfn.LET(_xlpm.cc,UPPER(TRIM(IFERROR(_xlfn.XLOOKUP(BC151,Коды_код,Коды_хар)&amp;"",""))),IF(OR(_xlpm.cc="B",_xlpm.cc="В"),"B",IF(_xlpm.cc="D","D","С")))</f>
        <v>С</v>
      </c>
      <c r="DO151" t="str">
        <f t="shared" si="313"/>
        <v>1P С25А</v>
      </c>
      <c r="DP151" t="str">
        <f t="shared" si="314"/>
        <v>1P С25А</v>
      </c>
      <c r="DQ151" t="str">
        <f t="shared" si="315"/>
        <v>1P С25А</v>
      </c>
      <c r="DR151" cm="1">
        <f t="array" ref="DR151">IF(DQ151="","",_xlfn.LET(_xlpm.t,SUBSTITUTE(SUBSTITUTE(SUBSTITUTE(UPPER(DQ151),"С","C"),"А","A"),"В","B"),_xlpm.tk,_xlfn.TEXTSPLIT(_xlpm.t," "),_xlpm.f,_xlfn._xlws.FILTER(_xlpm.tk,ISNUMBER(--MID(_xlpm.tk,2,1))*ISNUMBER(SEARCH(LEFT(_xlpm.tk,1)&amp;"#","B#C#D#"))*(LEN(_xlpm.tk)&gt;1),""),_xlpm.x,INDEX(_xlpm.f,1),IFERROR(--SUBSTITUTE(MID(_xlpm.x,2,9),"A",""),IFERROR(--SUBSTITUTE(INDEX(_xlfn._xlws.FILTER(_xlpm.tk,ISNUMBER(--SUBSTITUTE(_xlpm.tk,"A","")),""),1),"A",""),""))))</f>
        <v>25</v>
      </c>
      <c r="DS151" t="str">
        <f t="shared" si="316"/>
        <v>ok</v>
      </c>
      <c r="DT151">
        <f t="shared" si="317"/>
        <v>25</v>
      </c>
      <c r="DU151" t="str">
        <f t="shared" si="318"/>
        <v>1P С25А</v>
      </c>
      <c r="DV151">
        <f t="shared" si="319"/>
        <v>0</v>
      </c>
      <c r="DW151">
        <f t="shared" si="320"/>
        <v>0</v>
      </c>
      <c r="DX151">
        <f t="shared" si="321"/>
        <v>0</v>
      </c>
      <c r="DY151">
        <f t="shared" si="322"/>
        <v>20.568103339880413</v>
      </c>
      <c r="DZ151">
        <f t="shared" si="323"/>
        <v>1</v>
      </c>
      <c r="EA151">
        <f>IF(ISNUMBER(AP151),AP151,К_прокл)</f>
        <v>1</v>
      </c>
      <c r="EB151">
        <f t="shared" si="324"/>
        <v>2</v>
      </c>
      <c r="EC151">
        <f>IFERROR(N(VLOOKUP(BZ151,Кабель_обозначение,3,FALSE)),1)</f>
        <v>1</v>
      </c>
      <c r="ED151">
        <f>IFERROR(N(_xlfn.XLOOKUP(A151,Щиты[Щит],Щиты[ΔU до шин, %])),0)</f>
        <v>1.1399999999999999</v>
      </c>
      <c r="EE151" t="str">
        <f>IFERROR(_xlfn.XLOOKUP(A151,Щиты[Щит],Щиты[Zпетли на шинах, Ом]),"")</f>
        <v/>
      </c>
      <c r="EF151">
        <f>IFERROR(N(_xlfn.XLOOKUP(A151,Щиты[Щит],Щиты[ΔU до шин (подбор), %])),0)</f>
        <v>1.82</v>
      </c>
      <c r="EG151" t="str">
        <f>IFERROR(_xlfn.XLOOKUP(A151,Щиты[Щит],Щиты[Zпетли на шинах (подбор), Ом]),"")</f>
        <v/>
      </c>
      <c r="EH151" t="str">
        <f t="shared" si="325"/>
        <v/>
      </c>
      <c r="EI151">
        <f t="shared" si="326"/>
        <v>30</v>
      </c>
      <c r="EJ151">
        <f t="shared" si="327"/>
        <v>2</v>
      </c>
      <c r="EK151">
        <f t="shared" si="328"/>
        <v>0.6</v>
      </c>
      <c r="EL151" s="6">
        <f>IF(B151="","",IF(BV151=1,dU_LED,IF(IFERROR(_xlfn.XLOOKUP(BC151,Коды_код,Коды_уго),"")="Светильник",3,4)+IF(Методика="нормы 2026",MIN(0.5,MAX(0,N(P151)-100)*0.005),0)))</f>
        <v>4</v>
      </c>
      <c r="EM151" cm="1">
        <f t="array" ref="EM151">IF(OR(B151="",BZ151="",EC151&lt;&gt;1),"",_xlfn.LET(_xlpm.sz,Iдоп_S,_xlpm.t_,CHOOSE(EB151,Iдоп_1ж,Iдоп_2ж,Iдоп_3ж)*DZ151*EA151,_xlpm.dcx,BV151=1,_xlpm.inn,IF(_xlpm.dcx,N(O151),N(DT151)),_xlpm.smin,MAX(1.5,CC151),_xlpm.L_,N(P151)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151)/N(BU151)*100,999),IFERROR(N(EJ151)*(_xlpm.rho*_xlpm.L_/_xlpm.sz*N(CE151)+_xlpm.xx*_xlpm.L_*N(EK151)/1000)*N(O151)/((Uн_лин/SQRT(3))*1000)*100,999)),_xlpm.kz,IF(OR(_xlpm.dcx,DW151=1,NOT(ISNUMBER(EG151)),_xlpm.L_=0,_xlpm.inn=0),1,IFERROR(--(c_min*(Uн_лин*1000/SQRT(3))/(EG151+2*ρкз_Cu*_xlpm.L_/_xlpm.sz)&gt;=HT151*_xlpm.inn),0)),_xlpm.ok,IFERROR((_xlpm.sz&gt;=_xlpm.smin)*(_xlpm.t_&gt;=_xlpm.inn)*IF(_xlpm.L_&gt;0,(_xlpm.du_+IF(_xlpm.dcx,0,EF151)&lt;=EL151+0.00001),1)*_xlpm.kz,0),_xlpm.r_,_xlfn._xlws.FILTER(_xlpm.sz,_xlpm.ok,"не подобрано"),INDEX(_xlpm.r_,1)))</f>
        <v>6</v>
      </c>
      <c r="EN151">
        <f t="shared" si="329"/>
        <v>4</v>
      </c>
      <c r="EO151" cm="1">
        <f t="array" ref="EO151">IF(OR(B151="",BZ151="",EC151&lt;&gt;1),"",_xlfn.LET(_xlpm.sz,Iдоп_S,_xlpm.t_,CHOOSE(EB151,Iдоп_1ж,Iдоп_2ж,Iдоп_3ж)*DZ151*EA151,_xlpm.ok,IFERROR((_xlpm.sz&gt;=MAX(1.5,CC151))*(_xlpm.t_&gt;=N(DT151)),0),_xlpm.r_,_xlfn._xlws.FILTER(_xlpm.sz,_xlpm.ok,""),INDEX(_xlpm.r_,1)))</f>
        <v>2.5</v>
      </c>
      <c r="EP151" s="6" cm="1">
        <f t="array" ref="EP151">IFERROR(ROUNDUP(N(EJ151)*(_xlfn.XLOOKUP(EO151,INDEX(Кабель_сопротивление,0,1),INDEX(Кабель_сопротивление,0,3))*N(P151)/EO151*N(CE151)+_xlfn.XLOOKUP(EO151,INDEX(Кабель_сопротивление,0,1),INDEX(Кабель_сопротивление,0,2))*N(P151)*N(EK151)/1000)*N(O151)/((Uн_лин/SQRT(3))*1000)*100,2),"")</f>
        <v>4.3999999999999995</v>
      </c>
      <c r="EQ151">
        <f>IFERROR(2*ρкз_Cu*N(P151)/EO151,"")</f>
        <v>0.71536</v>
      </c>
      <c r="ER151">
        <f>IFERROR(VLOOKUP(EN151,Кабель_сопротивление,3,FALSE),"")</f>
        <v>2.2499999999999999E-2</v>
      </c>
      <c r="ES151">
        <f>IFERROR(VLOOKUP(EN151,Кабель_сопротивление,2,FALSE),"")</f>
        <v>9.5000000000000001E-2</v>
      </c>
      <c r="ET151">
        <f t="shared" si="330"/>
        <v>30</v>
      </c>
      <c r="EU151">
        <f t="shared" si="331"/>
        <v>0</v>
      </c>
      <c r="EV151">
        <f t="shared" si="332"/>
        <v>6.3735615905487837</v>
      </c>
      <c r="EW151" s="6">
        <f>IFERROR(ROUNDUP(EV151/IF(BV151=1,BU151,(Uн_лин/SQRT(3))*1000)*100,2),"")</f>
        <v>2.76</v>
      </c>
      <c r="EX151" t="str">
        <f>IFERROR(VLOOKUP(BZ151,Кабель_обозначение,2,FALSE),"")</f>
        <v>ВВГнг(А)-LS</v>
      </c>
      <c r="EY151" t="str">
        <f t="shared" si="333"/>
        <v>ВВГнг(А)-LS (3х4)</v>
      </c>
      <c r="EZ151" t="str">
        <f t="shared" si="334"/>
        <v>ВВГнг(А)-LS (3х4)
L=34-2,76%</v>
      </c>
      <c r="FA151">
        <f>IFERROR(2*ρкз_Cu*P151/EN151,"")</f>
        <v>0.4471</v>
      </c>
      <c r="FB151">
        <f t="shared" si="335"/>
        <v>0.14875000000000002</v>
      </c>
      <c r="FC151" s="6" t="str">
        <f>IFERROR(IF(OR(B151="",BV151=1,NOT(ISNUMBER(EN151)),N(P151)=0),"",_xlfn.XLOOKUP(A151,Щиты[Щит],Щиты[Zпетли на шинах, Ом])+FA151),"")</f>
        <v/>
      </c>
      <c r="FD151" s="6" t="str">
        <f>IF(ISNUMBER(FC151),c_min*(Uн_лин*1000/SQRT(3))/FC151,"")</f>
        <v/>
      </c>
      <c r="FE151" s="6" t="str">
        <f>IFERROR(IF(OR(B151="",NOT(ISNUMBER(EN151))),"",1.05*(Uн_лин*1000/SQRT(3))/(_xlfn.XLOOKUP(A151,Щиты[Щит],Щиты[Zmax на шинах, Ом])+FB151)/1000),"")</f>
        <v/>
      </c>
      <c r="FF151" s="6" t="str">
        <f>IF(B151="","",IF(ISNUMBER(AC151),"Сил",IF(IFERROR(_xlfn.XLOOKUP(BC151,Коды_код,Коды_группа)&amp;"","")="","Быт",_xlfn.XLOOKUP(BC151,Коды_код,Коды_группа)&amp;"")))</f>
        <v>Сил</v>
      </c>
      <c r="FG151" s="6" t="str">
        <f t="shared" si="336"/>
        <v>Сил</v>
      </c>
      <c r="FH151" s="6">
        <f>IF(FG151="Щит","щит",IF(FG151="","",IF(FG151="Быт",IFERROR(_xlfn.XLOOKUP(A151,Щиты[Щит],Щиты[Кс быт]),1),IF(FG151="Сил",IF(ISNUMBER(AC151),AC151,IF(Методика="нормы 2026",IFERROR(_xlfn.XLOOKUP(A151,Щиты[Щит],Щиты[Кс силовых (табл. 7.5)]),1),1)),IF(OR(FG151="Пост",FG151="Отоп"),1,IF(FG151="ВНГ",0.7,0))))))</f>
        <v>0.5</v>
      </c>
      <c r="FI151">
        <f>IF(FG151="","",IF(AND(BP151=1,TRIM(AE151&amp;"")=""),IF(COUNTIFS(Линии[Щит],A151,Линии[Секция (1/2/3)],"&gt;=2")&gt;0,MIN(3,MAX(1,IFERROR(--BD151,1))),1),IFERROR(MIN(3,MAX(1,INT(--AE151))),1)))</f>
        <v>1</v>
      </c>
      <c r="FJ151">
        <f t="shared" si="337"/>
        <v>3.8</v>
      </c>
      <c r="FK151">
        <f t="shared" si="338"/>
        <v>0</v>
      </c>
      <c r="FL151">
        <f t="shared" si="339"/>
        <v>1.9</v>
      </c>
      <c r="FM151">
        <f t="shared" si="340"/>
        <v>0</v>
      </c>
      <c r="FN151">
        <f t="shared" si="341"/>
        <v>0</v>
      </c>
      <c r="FO151">
        <f t="shared" si="342"/>
        <v>0</v>
      </c>
      <c r="FP151">
        <f t="shared" si="343"/>
        <v>3.8</v>
      </c>
      <c r="FQ151">
        <f t="shared" si="344"/>
        <v>3.8</v>
      </c>
      <c r="FR151">
        <f t="shared" si="345"/>
        <v>3.04</v>
      </c>
      <c r="FS151">
        <f>IF(CG151=1,IF(AND(CH151=1,CW151=1),0,IF(AND(CS151&lt;&gt;"",CS151=BA151,CW151=1),SUMIFS(Линии[_Р линии, кВт],Линии[_блок УЗО],BA151,Линии[Щит],A151),N(BS151)+IF(AJ151="вручную",0,N(CK151)))),0)</f>
        <v>3.8</v>
      </c>
      <c r="FT151" t="str">
        <f t="shared" si="346"/>
        <v/>
      </c>
      <c r="FU151" t="str">
        <f>IF(B151="","",IF(CG151=0,IF(BA151=1,"",FW150),IF(AND(CH151=1,CW151=1,CS151&lt;&gt;""),IFERROR(_xlfn.XLOOKUP(CS151,Линии[_n],Линии[_фаза итог]),"L1"),IF(OR(N(DL151)&gt;=3,N(BX151)&gt;=3),"L1,L2,L3",IFERROR(_xlfn.TEXTBEFORE(_xlfn.TEXTAFTER(_xlfn.XLOOKUP(A151,Щиты[Щит],Щиты[_фазы авто]),";"&amp;BA151&amp;":"),";"),"L1")))))</f>
        <v>L3</v>
      </c>
      <c r="FV151" t="str">
        <f t="shared" si="347"/>
        <v>L3</v>
      </c>
      <c r="FW151" t="str">
        <f t="shared" si="348"/>
        <v>L3</v>
      </c>
      <c r="FX151" cm="1">
        <f t="array" ref="FX151">IFERROR(IF(CD151=2,_xlfn.IFS(BX151=3,VLOOKUP(BS151,Справочная_двигатели,3,FALSE),BX151=1,VLOOKUP(BS151,Справочная_двигатели,5,TRUE)),0),0)</f>
        <v>0</v>
      </c>
      <c r="FY151">
        <f>IFERROR(IF(CD151=3,VLOOKUP(BS151,Справочная_ЛЭД,2,TRUE),0),0)</f>
        <v>0</v>
      </c>
      <c r="FZ151" s="6">
        <f t="shared" si="349"/>
        <v>0</v>
      </c>
      <c r="GA151" t="str">
        <f>IF(B151="","",IF(TRIM(AH151&amp;"")&lt;&gt;"",IF(LOWER(TRIM(AH151&amp;""))="да","да","нет"),IF(IFERROR(_xlfn.XLOOKUP(BC151,Коды_код,Коды_пожарная),"")="да","да","нет")))</f>
        <v>нет</v>
      </c>
      <c r="GB151" t="str">
        <f t="shared" si="350"/>
        <v/>
      </c>
      <c r="GC151" t="str">
        <f t="shared" si="351"/>
        <v>основная</v>
      </c>
      <c r="GD151">
        <f>IF(AND(BP151=1,TRIM(AE151&amp;"")=""),IF(COUNTIFS(Линии[Щит],A151,Линии[Секция (1/2/3)],"&gt;=2")&gt;0,MIN(3,MAX(1,IFERROR(--BD151,1))),1),IFERROR(MIN(3,MAX(1,INT(--AE151))),1))</f>
        <v>1</v>
      </c>
      <c r="GE151" t="str" cm="1">
        <f t="array" ref="GE151">IF(B151="","",_xlfn.LET(_xlpm.t,IFERROR(_xlfn.XLOOKUP(1,(Шины[Шина]=GC151)*(((Шины[Щит]=A151)+(Шины[Щит]=""))&gt;0),Шины[Тип]),"")&amp;"",IF(_xlpm.t&lt;&gt;"",_xlpm.t,IF(ISNUMBER(SEARCH("ИБП",GC151)),"ИБП",IF(ISNUMBER(SEARCH("ДГУ",GC151)),"ДГУ","Ввод "&amp;GD151)))))</f>
        <v>Ввод 1</v>
      </c>
      <c r="GF151" t="str">
        <f t="shared" si="352"/>
        <v>Ввод 1</v>
      </c>
      <c r="GG151" t="str">
        <f>IF(BP151=0,"",IF(TRIM(AG151&amp;"")&lt;&gt;"",TRIM(AG151&amp;""),IF(OR(GE151="ИБП",GE151="ДГУ"),"I особая",_xlfn.XLOOKUP(A151,Щиты[Щит],Щиты[Категория шины «Ввод»],"III"))))</f>
        <v/>
      </c>
      <c r="GH151" t="str">
        <f>IF(A151="","",_xlfn.XLOOKUP(A151,Щиты[Щит],Щиты[Путь],""))</f>
        <v>|ГРЩ-ЖД|ЩОВ-2|</v>
      </c>
      <c r="GI151" t="str">
        <f>IF(B151="","",IF(AI151&lt;&gt;"",AI151,IF(IFERROR(_xlfn.XLOOKUP(BC151,Коды_код,Коды_вид)&amp;"","")="","Прочее",_xlfn.XLOOKUP(BC151,Коды_код,Коды_вид)&amp;"")))</f>
        <v>Вентиляция</v>
      </c>
      <c r="GJ151">
        <f>IF(BM151="","",INT((BM151-1)/Столбцов_на_лист)+1)</f>
        <v>3</v>
      </c>
      <c r="GK151" t="str">
        <f t="shared" si="353"/>
        <v>ВВГнг(А)-LS (3х4) L=34-2,76%</v>
      </c>
      <c r="GL151">
        <f t="shared" si="354"/>
        <v>3.8</v>
      </c>
      <c r="GM151">
        <f t="shared" si="355"/>
        <v>20.57</v>
      </c>
      <c r="GN151">
        <f t="shared" si="356"/>
        <v>1</v>
      </c>
      <c r="GO151">
        <f t="shared" si="357"/>
        <v>0</v>
      </c>
      <c r="GP151">
        <f t="shared" si="358"/>
        <v>1</v>
      </c>
      <c r="GQ151">
        <f>IF(BM151="","",IF(AND(CG151=1,GP151=1),COUNTIFS(A$3:A151,A151,CG$3:CG151,1,GP$3:GP151,1),IF(OR(OR(BA151=1,A151&lt;&gt;A150),AJ151="вручную",GP151=0),"",IF(BA151=1,"",GR150))))</f>
        <v>21</v>
      </c>
      <c r="GR151">
        <f t="shared" si="359"/>
        <v>21</v>
      </c>
      <c r="GS151">
        <f>IF(B151="","",IFERROR(LOOKUP(INDEX(CHOOSE(EB151,Iдоп_1ж,Iдоп_2ж,Iдоп_3ж),MATCH(EN151,Iдоп_S,0))*DZ151*EA151,{6,10,16,20,25,32,40,50,63,80,100,125,160,200,250,315,400,500,630}),""))</f>
        <v>32</v>
      </c>
      <c r="GT151" t="str">
        <f t="shared" si="360"/>
        <v>QF21</v>
      </c>
      <c r="GU151" t="str">
        <f t="shared" si="361"/>
        <v>QF21</v>
      </c>
      <c r="GV151" t="str">
        <f t="shared" si="362"/>
        <v/>
      </c>
      <c r="GW151">
        <f t="shared" si="363"/>
        <v>0</v>
      </c>
      <c r="GX151" t="str">
        <f>IF(OR(B151="",DJ151=""),"",IFERROR(_xlfn.XLOOKUP(DJ151,Модули_умолч[Управление],Модули_умолч[Модель])&amp;"",""))</f>
        <v/>
      </c>
      <c r="GY151">
        <f>IF(DJ151="",1,IFERROR(MAX(0,N(_xlfn.XLOOKUP(DJ151,Модули_умолч[Управление],Модули_умолч[Каналов на линию]))),1))</f>
        <v>1</v>
      </c>
      <c r="GZ151" t="str">
        <f t="shared" si="364"/>
        <v/>
      </c>
      <c r="HA151" t="str">
        <f t="shared" si="365"/>
        <v/>
      </c>
      <c r="HB151" t="str">
        <f t="shared" si="366"/>
        <v/>
      </c>
      <c r="HC151">
        <f>IF(HB151="",0,IFERROR(N(VLOOKUP(HB151,Модули_спр,3,FALSE)),0))</f>
        <v>0</v>
      </c>
      <c r="HD151" t="str">
        <f t="shared" si="367"/>
        <v/>
      </c>
      <c r="HE151" t="str">
        <f t="shared" si="368"/>
        <v/>
      </c>
      <c r="HF151" t="str">
        <f>IF(OR(HE151="",HE151="-"),"",IFERROR(VLOOKUP(HE151,Модули_спр,2,FALSE),"R"))</f>
        <v/>
      </c>
      <c r="HG151" t="str">
        <f>IF(HF151="","",HF151&amp;"."&amp;COUNTIFS(A$3:A151,A151,HF$3:HF151,HF151))</f>
        <v/>
      </c>
      <c r="HH151" t="str">
        <f t="shared" si="369"/>
        <v/>
      </c>
      <c r="HI151" t="str">
        <f t="shared" si="370"/>
        <v/>
      </c>
      <c r="HJ151" t="str">
        <f t="shared" si="371"/>
        <v/>
      </c>
      <c r="HK151" t="str">
        <f t="shared" si="372"/>
        <v/>
      </c>
      <c r="HL151">
        <f t="shared" si="373"/>
        <v>1</v>
      </c>
      <c r="HM151" t="str">
        <f>IF(HL151=1,"XT"&amp;COUNTIFS(A$3:A151,A151,HL$3:HL151,1),"")</f>
        <v>XT21</v>
      </c>
      <c r="HN151" t="str">
        <f t="shared" si="374"/>
        <v>XT21</v>
      </c>
      <c r="HO151" t="str">
        <f t="shared" si="375"/>
        <v>QF21</v>
      </c>
      <c r="HP151" t="str">
        <f t="shared" si="376"/>
        <v/>
      </c>
      <c r="HQ151" t="str">
        <f t="shared" si="377"/>
        <v>ok</v>
      </c>
      <c r="HR151" t="str">
        <f>IF(OR(HJ151="",HH151=""),"",IF(HJ151+MAX(0,GY151-1)&gt;IFERROR(VLOOKUP(HI151,Модули_спр,3,FALSE),99),"ЛИШНИЙ КАНАЛ",IF(AND(AL151&lt;&gt;"=",GY151&gt;0,COUNTIFS(Линии[_модуль гр.],HH151,Линии[Канал (итог)],HJ151,Линии[Канал],"&lt;&gt;=",Линии[Щит],A151)&gt;1),"ДУБЛЬ КАНАЛА","")))</f>
        <v/>
      </c>
      <c r="HS151" s="6" t="str">
        <f t="shared" si="378"/>
        <v/>
      </c>
      <c r="HT151">
        <f t="shared" si="379"/>
        <v>10</v>
      </c>
      <c r="HU151" t="str">
        <f t="shared" si="380"/>
        <v/>
      </c>
      <c r="HV151">
        <f t="shared" si="381"/>
        <v>8.5672413359521649</v>
      </c>
      <c r="HW151">
        <f t="shared" si="382"/>
        <v>0</v>
      </c>
      <c r="HX151">
        <f t="shared" si="383"/>
        <v>0</v>
      </c>
      <c r="HY151">
        <f t="shared" si="384"/>
        <v>0</v>
      </c>
      <c r="HZ151">
        <f t="shared" si="385"/>
        <v>0</v>
      </c>
      <c r="IA151">
        <f t="shared" si="386"/>
        <v>0</v>
      </c>
      <c r="IB151">
        <f t="shared" si="387"/>
        <v>0</v>
      </c>
      <c r="IC151" t="str">
        <f t="shared" si="388"/>
        <v/>
      </c>
      <c r="ID151" t="str" cm="1">
        <f t="array" ref="ID151">IF(IC151="","",_xlfn.LET(_xlpm.tk,_xlfn.TEXTSPLIT(SUBSTITUTE(SUBSTITUTE(IC151,";"," "),"→"," ")," ",,TRUE),_xlpm.w_,_xlfn._xlws.FILTER(_xlpm.tk,ISNUMBER(--LEFT(_xlpm.tk,1))*((ISNUMBER(SEARCH("W",_xlpm.tk))+ISNUMBER(SEARCH("Вт",_xlpm.tk)))&gt;0),""),IFERROR(--SUBSTITUTE(SUBSTITUTE(UPPER(INDEX(_xlpm.w_,1)),"W",""),"ВТ",""),"")))</f>
        <v/>
      </c>
      <c r="IE151" t="str" cm="1">
        <f t="array" ref="IE151">IF(IC151="","",_xlfn.LET(_xlpm.tk,_xlfn.TEXTSPLIT(SUBSTITUTE(SUBSTITUTE(IC151,";"," "),"→"," ")," ",,TRUE),_xlpm.v_,_xlfn._xlws.FILTER(_xlpm.tk,ISNUMBER(--LEFT(_xlpm.tk,1))*((ISNUMBER(SEARCH("V",_xlpm.tk))+(RIGHT(UPPER(_xlpm.tk))="В"))&gt;0),""),IFERROR(--SUBSTITUTE(SUBSTITUTE(UPPER(INDEX(_xlpm.v_,1)),"V",""),"В",""),"")))</f>
        <v/>
      </c>
      <c r="IF151" s="6" t="str">
        <f>IF(OR(BV151=0,HI151="",HJ151=""),"",IFERROR(N(_xlfn.XLOOKUP(HI151,Каталог!$C$4:$C$500,Каталог!$Q$4:$Q$500)),""))</f>
        <v/>
      </c>
      <c r="IG151" s="6" t="str">
        <f>IF(N(IF151)=0,"",SUMIFS(Линии[Iр, А],Линии[Щит],A151,Линии[_модуль гр.],HH151,Линии[Канал (итог)],HJ151))</f>
        <v/>
      </c>
      <c r="IH151" t="str">
        <f>IF(AND(B151="",HO151=""),"",_xlfn.TEXTJOIN("; ",TRUE,IF(AND(B151&lt;&gt;"",FV151=""),"нет фазы",""),IF(AND(B151&lt;&gt;"",N(GL151)=0,FG151&lt;&gt;"Нет"),"нет мощности",""),IF(AND(HN151&lt;&gt;"",COUNTIFS(Линии[Щит],A151,Линии[Клемма (итог)],HN151)&gt;1),"дубль клеммы "&amp;HN151,""),IF(AND(HQ151&lt;&gt;"",HQ151&lt;&gt;"ok"),HQ151,""),IF(HR151&lt;&gt;"",HR151,""),IF(AND(N(CB151)&gt;=4,N(BX151)=1),CB151&amp;" жил на 1 фазе",""),IF(AND(BC151="R",CG151=1,IF(CS151&lt;&gt;"",N(CV151)&gt;30,OR(N(DA151)=0,N(DA151)&gt;30))),"розетка без дифзащиты до 30 мА",""),IF(AND(CG151=1,N(DA151)&gt;0,ISNUMBER(T151)),IF(T151&gt;N(DA151)/3,"ток утечки "&amp;FIXED(T151,1)&amp;" мА &gt; 1/3 уставки ("&amp;DA151&amp;" мА)",""),""),IF(AND(CH151=1,CS151=""),"«узо»: нет строки с УЗО выше (УЗО 2P 40А 30мА в «Аппаратах»)",""),IF(AND(CS151&lt;&gt;"",CS151=BA151),IF(CT151="","впишите номинал УЗО (УЗО 2P 40А 30мА)",IF(N(CT151)&lt;N(DT151),"УЗО "&amp;CT151&amp;" А &lt; автомата "&amp;DT151&amp;" А перед ним",IF(N(CT151)&lt;N(CX151),"УЗО "&amp;CT151&amp;" А &lt; тока блока "&amp;FIXED(CX151,1)&amp;" А",""))),""),IF(AND(CS151&lt;&gt;"",CS151=BA151,ISNUMBER(CY151)),IF(CY151&gt;N(CV151)/3,"ток утечки блока УЗО "&amp;FIXED(CY151,1)&amp;" мА &gt; 1/3 уставки ("&amp;CV151&amp;" мА)",""),""),IF(AND(CG151=1,N(BV151)+N(IB151)&gt;0,IC151=""),"линии до 50 В без БП: впишите в «Аппараты» (БП 24V 480W)",""),IF(AND(CG151=1,ISNUMBER(ID151),ISNUMBER(U151)),IF(U151&gt;ID151,"БП "&amp;ID151&amp;" Вт &lt; нужно "&amp;U151&amp;" Вт (×"&amp;Запас_БП&amp;")",""),""),IF(AND(CG151=1,ISNUMBER(IE151),N(BV151)=1),IF(IE151&lt;&gt;N(BU151),"БП на "&amp;IE151&amp;" В, линия "&amp;BU151&amp;" В",""),""),IF(AND(N(IF151)&gt;0,N(IG151)&gt;N(IF151)),HH151&amp;" канал "&amp;HJ151&amp;": "&amp;FIXED(IG151,1)&amp;" А &gt; "&amp;IF151&amp;" А",""),IFERROR(IF(AND(ISNUMBER(Q151),Q151&gt;EL151),"потери "&amp;FIXED(Q151,1)&amp;" % &gt; "&amp;EL151&amp;" %",""),""),IFERROR(IF(LEFT(HU151,4)="мало","Iкз мало — отключение &gt; 0,4 с",""),""),IF(AND(B151&lt;&gt;"",BM151=""),"не на схеме",""),IF(AND(CG151=0,B151&lt;&gt;"",FV151&lt;&gt;"",IF(BA151=1,"",FW150)&lt;&gt;"",FV151&lt;&gt;IF(BA151=1,"",FW150)),"фаза не как у автомата группы ("&amp;IF(BA151=1,"",FW150)&amp;")","")))</f>
        <v/>
      </c>
      <c r="II151" s="6" t="str">
        <f>IF(OR(CG151=0,DQ151=""),"",_xlfn.LET(_xlpm.t,IFERROR(_xlfn.XLOOKUP(DQ151,Каталог!$U$4:$U$500,Каталог!$G$4:$G$500),""),_xlpm.k,SEARCH("кА",_xlpm.t),IFERROR(--TRIM(RIGHT(SUBSTITUTE(MID(_xlpm.t,MAX(1,_xlpm.k-4),_xlpm.k-MAX(1,_xlpm.k-4))," ",REPT(" ",9)),5)),"")))</f>
        <v/>
      </c>
      <c r="IJ151" t="str">
        <f>IF(OR(II151="",CG151=0),"",IF(_xlfn.XLOOKUP(A151,Щиты[Щит],Щиты[Iкз max на шинах, кА],"")="","",IF(II151&lt;_xlfn.XLOOKUP(A151,Щиты[Щит],Щиты[Iкз max на шинах, кА]),"Icu "&amp;II151&amp;" кА &lt; Iкз max","ok")))</f>
        <v/>
      </c>
      <c r="IK151" t="str">
        <f t="shared" si="389"/>
        <v/>
      </c>
      <c r="IL151" t="str">
        <f t="shared" si="390"/>
        <v>QF21|XT21</v>
      </c>
      <c r="IM151" t="str">
        <f t="shared" si="391"/>
        <v>QF21|XT21|кабель ВВГнг(А)-LS (3х4) → Приточно-вытяжная установка Технический этаж Пом. №001Т</v>
      </c>
      <c r="IN151" t="str" cm="1">
        <f t="array" ref="IN151">IF(IM151="","",_xlfn.LET(_xlpm.nd,_xlfn.TEXTSPLIT(IM151,"|"),IF(COLUMNS(_xlpm.nd)&gt;1,A151&amp;"¦"&amp;INDEX(_xlpm.nd,1)&amp;"¦"&amp;INDEX(_xlpm.nd,2),"")))</f>
        <v>ЩОВ-2¦QF21¦XT21</v>
      </c>
      <c r="IO151" t="str">
        <f t="shared" si="392"/>
        <v>ПВ.5¦Приточно-вытяжная установка Технический этаж Пом. №001Т</v>
      </c>
      <c r="IP151" t="str" cm="1">
        <f t="array" ref="IP151">IF(IM151="","",_xlfn.LET(_xlpm.nd,_xlfn.TEXTSPLIT(IM151,"|"),IF(COLUMNS(_xlpm.nd)&gt;2,A151&amp;"¦"&amp;INDEX(_xlpm.nd,2)&amp;"¦"&amp;INDEX(_xlpm.nd,3),"")))</f>
        <v>ЩОВ-2¦XT21¦кабель ВВГнг(А)-LS (3х4) → Приточно-вытяжная установка Технический этаж Пом. №001Т</v>
      </c>
      <c r="IQ151" t="str">
        <f t="shared" si="393"/>
        <v>ПВ.5¦Приточно-вытяжная установка Технический этаж Пом. №001Т</v>
      </c>
      <c r="IR151" t="str" cm="1">
        <f t="array" ref="IR151">IF(IM151="","",_xlfn.LET(_xlpm.nd,_xlfn.TEXTSPLIT(IM151,"|"),IF(COLUMNS(_xlpm.nd)&gt;3,A151&amp;"¦"&amp;INDEX(_xlpm.nd,3)&amp;"¦"&amp;INDEX(_xlpm.nd,4),"")))</f>
        <v/>
      </c>
      <c r="IS151" t="str">
        <f t="shared" si="394"/>
        <v/>
      </c>
      <c r="IT151" t="str" cm="1">
        <f t="array" ref="IT151">IF(IM151="","",_xlfn.LET(_xlpm.nd,_xlfn.TEXTSPLIT(IM151,"|"),IF(COLUMNS(_xlpm.nd)&gt;4,A151&amp;"¦"&amp;INDEX(_xlpm.nd,4)&amp;"¦"&amp;INDEX(_xlpm.nd,5),"")))</f>
        <v/>
      </c>
      <c r="IU151" t="str">
        <f t="shared" si="395"/>
        <v/>
      </c>
      <c r="IV151" t="str" cm="1">
        <f t="array" ref="IV151">IF(IM151="","",_xlfn.LET(_xlpm.nd,_xlfn.TEXTSPLIT(IM151,"|"),IF(COLUMNS(_xlpm.nd)&gt;5,A151&amp;"¦"&amp;INDEX(_xlpm.nd,5)&amp;"¦"&amp;INDEX(_xlpm.nd,6),"")))</f>
        <v/>
      </c>
      <c r="IW151" t="str">
        <f t="shared" si="396"/>
        <v/>
      </c>
      <c r="IX151" t="str" cm="1">
        <f t="array" ref="IX151">IF(IM151="","",_xlfn.LET(_xlpm.nd,_xlfn.TEXTSPLIT(IM151,"|"),IF(COLUMNS(_xlpm.nd)&gt;6,A151&amp;"¦"&amp;INDEX(_xlpm.nd,6)&amp;"¦"&amp;INDEX(_xlpm.nd,7),"")))</f>
        <v/>
      </c>
      <c r="IY151" t="str">
        <f t="shared" si="397"/>
        <v/>
      </c>
      <c r="IZ151" t="str">
        <f t="shared" si="398"/>
        <v/>
      </c>
      <c r="JA151" t="str">
        <f t="shared" si="399"/>
        <v>QF21 → XT21</v>
      </c>
      <c r="JB151">
        <f t="shared" si="400"/>
        <v>0</v>
      </c>
      <c r="JC151">
        <f t="shared" si="401"/>
        <v>0</v>
      </c>
      <c r="JD151" t="str">
        <f t="shared" si="402"/>
        <v/>
      </c>
      <c r="JE151" t="str">
        <f t="shared" si="403"/>
        <v/>
      </c>
      <c r="JF151" t="str">
        <f t="shared" si="404"/>
        <v/>
      </c>
      <c r="JG151" t="str">
        <f t="shared" si="405"/>
        <v/>
      </c>
      <c r="JH151" t="str">
        <f>IF(B151="","",IFERROR(_xlfn.XLOOKUP(B151,Коды_код,Коды_уго),IFERROR(_xlfn.XLOOKUP(BC151,Коды_код,Коды_уго),IFERROR(_xlfn.XLOOKUP(LEFT(BC151,2),Коды_код,Коды_уго),""))))</f>
        <v>Привод (двигатель)</v>
      </c>
      <c r="JI151" t="str">
        <f>IF(B151="","",IF(OR(JH151="",JH151=0),"BOX",IFERROR(IF(VLOOKUP(JH151,УГО_блоки,3,FALSE)&amp;""&lt;&gt;"",VLOOKUP(JH151,УГО_блоки,3,FALSE),VLOOKUP(JH151,УГО_блоки,2,FALSE)),JH151)))</f>
        <v>MOTOR</v>
      </c>
      <c r="JJ151">
        <f t="shared" si="406"/>
        <v>1</v>
      </c>
      <c r="JK151" t="str">
        <f>IF(DQ151="","",IF(COUNTIF(DQ$3:DQ151,DQ151)=1,MAX(JK$2:JK150)+1,""))</f>
        <v/>
      </c>
      <c r="JL151" t="str">
        <f>IF(DE151="","",IF(COUNTIF(DE$3:DE151,DE151)+COUNTIF(DF$2:DF150,DE151)+COUNTIF(DG$2:DG150,DE151)=1,MAX(JL$2:JN150)+1,""))</f>
        <v/>
      </c>
      <c r="JM151" t="str">
        <f>IF(DF151="","",IF(COUNTIF(DE$3:DE151,DF151)+COUNTIF(DF$3:DF151,DF151)+COUNTIF(DG$2:DG150,DF151)=1,MAX(JL$2:JN150,JL151)+1,""))</f>
        <v/>
      </c>
      <c r="JN151" t="str">
        <f>IF(DG151="","",IF(COUNTIF(DE$3:DE151,DG151)+COUNTIF(DF$3:DF151,DG151)+COUNTIF(DG$3:DG151,DG151)=1,MAX(JL$2:JN150,JL151,JM151)+1,""))</f>
        <v/>
      </c>
      <c r="JO151" t="str">
        <f t="shared" si="407"/>
        <v>3х4</v>
      </c>
      <c r="JP151" t="str">
        <f>IF(JO151="","",IF(COUNTIF(JO$3:JO151,JO151)=1,MAX(JP$2:JP150)+1,""))</f>
        <v/>
      </c>
      <c r="JQ151" t="str">
        <f>IF(HG151="","",COUNTIF(HG$3:HG151,"?*"))</f>
        <v/>
      </c>
      <c r="JR151" t="str">
        <f>IF(OR(HG151="",HI151=""),"",IF(COUNTIFS(HG$3:HG151,"?*",HI$3:HI151,HI151)=1,MAX(JR$2:JR150)+1,""))</f>
        <v/>
      </c>
      <c r="JS151">
        <f t="shared" si="408"/>
        <v>0</v>
      </c>
      <c r="JT151">
        <f>IF(B151="","",COUNTIF(B$3:B151,"?*"))</f>
        <v>149</v>
      </c>
      <c r="JU151">
        <f>IF(HL151&lt;&gt;1,0,_xlfn.LET(_xlpm.k,MAX(IFERROR(--_xlfn.XLOOKUP(B151,Коды_код,Коды_3L),0),IFERROR(--_xlfn.XLOOKUP(BC151,Коды_код,Коды_3L),0),IFERROR(--_xlfn.XLOOKUP(LEFT(BC151,2),Коды_код,Коды_3L),0)),IF(_xlpm.k&gt;0,_xlpm.k,IF(IFERROR(--LEFT(SUBSTITUTE(JO151,"x","х"),FIND("х",SUBSTITUTE(JO151,"x","х"))-1),3)&gt;3,Каталог!$S$9,1))))</f>
        <v>1</v>
      </c>
      <c r="JV151">
        <f t="shared" si="409"/>
        <v>0</v>
      </c>
      <c r="JW151" t="str">
        <f t="shared" si="410"/>
        <v>авто</v>
      </c>
      <c r="JX151" t="str">
        <f t="shared" si="411"/>
        <v/>
      </c>
      <c r="JY151">
        <f t="shared" si="412"/>
        <v>0</v>
      </c>
      <c r="JZ151">
        <f t="shared" si="413"/>
        <v>1</v>
      </c>
    </row>
    <row r="152" spans="1:286" x14ac:dyDescent="0.3">
      <c r="A152" t="s">
        <v>751</v>
      </c>
      <c r="B152" t="s">
        <v>1461</v>
      </c>
      <c r="C152" t="s">
        <v>1691</v>
      </c>
      <c r="D152">
        <v>1</v>
      </c>
      <c r="E152">
        <v>1.3</v>
      </c>
      <c r="G152" t="str">
        <f>Линии[[#This Row],[_авто автомат]]</f>
        <v>1P С10А</v>
      </c>
      <c r="H152" t="str">
        <f>Линии[[#This Row],[_авто управление]]</f>
        <v/>
      </c>
      <c r="I152" t="str">
        <f>Линии[[#This Row],[_авто аппараты]]</f>
        <v/>
      </c>
      <c r="J152">
        <v>2.5</v>
      </c>
      <c r="K152">
        <v>26</v>
      </c>
      <c r="L152" t="str">
        <f>Линии[[#This Row],[_авто фаза]]</f>
        <v>L1</v>
      </c>
      <c r="M152" t="s">
        <v>484</v>
      </c>
      <c r="N152" t="str">
        <f t="shared" si="276"/>
        <v/>
      </c>
      <c r="O152" s="6" cm="1">
        <f t="array" ref="O152">IF(B152="","",IF(BH152&lt;&gt;"",IFERROR(_xlfn.XLOOKUP(BH152,Щиты[Щит],Щиты[Iр, А]),""),IF(BP152=1,IF(OR(N(_xlfn.XLOOKUP(A152,Щиты[Щит],Щиты[Вводов],1))&lt;=1,LOWER(TRIM(_xlfn.XLOOKUP(A152,Щиты[Щит],Щиты[АВР],"")&amp;""))="да"),IFERROR(_xlfn.XLOOKUP(A152,Щиты[Щит],Щиты[Iр, А]),""),IFERROR(N(BS152)*_xlfn.XLOOKUP(A152,Щиты[Щит],Щиты[Кс итог])/(SQRT(3)*Uн_лин*_xlfn.XLOOKUP(A152,Щиты[Щит],Щиты[cos φ])),"")),IF(BV152=1,IFERROR(BS152*1000/BU152,""),IFERROR(_xlfn.IFS(BX152=1,BS152/((Uн_лин/SQRT(3))*CE152),BX152=3,BS152/(SQRT(3)*Uн_лин*CE152)),"")))))</f>
        <v>7.036456405748563</v>
      </c>
      <c r="P152" s="7">
        <f>IF(B152="","",IFERROR(IF(VLOOKUP(BC152,Потребители_обозначение,4,FALSE)=1,VLOOKUP(BC152,Потребители_обозначение,3,FALSE)*(MAX(1,N(D152))*2-1)+EI152+VLOOKUP(BE152,Этаж_обозначение,3,FALSE)+VLOOKUP(BE152,Этаж_обозначение,4,FALSE),VLOOKUP(BC152,Потребители_обозначение,3,FALSE)*(MAX(1,N(D152))*2-1)+EI152),EI152))</f>
        <v>30</v>
      </c>
      <c r="Q152" s="6">
        <f t="shared" si="277"/>
        <v>2.4699999999999998</v>
      </c>
      <c r="R152" t="str">
        <f t="shared" si="278"/>
        <v>ВВГнг(А)-LS (3х2,5)</v>
      </c>
      <c r="S152" t="str">
        <f>IF(BM152="","",IF(BN152="вводной узел","узел ","")&amp;"л."&amp;(INT((BM152-1)/Столбцов_на_лист)+1)&amp;" / "&amp;(MOD(BM152-1,Столбцов_на_лист)+1))</f>
        <v>л.3 / 4</v>
      </c>
      <c r="T152" s="119">
        <f t="shared" si="279"/>
        <v>3.1</v>
      </c>
      <c r="U152" s="7" t="str">
        <f>IF(OR(CG152=0,N(BV152)+N(IB152)=0),"",ROUNDUP(Запас_БП*(N(HY152)+N(HZ152)),0))</f>
        <v/>
      </c>
      <c r="V152" s="119" t="str">
        <f t="shared" si="280"/>
        <v/>
      </c>
      <c r="W152" s="7" t="str">
        <f>IFERROR(IF(OR(B152="",BP152=1,BV152=1,NOT(ISNUMBER(EN152)),N(DT152)=0),"",MAX(0,ROUNDDOWN((c_min*(Uн_лин*1000/SQRT(3))/(HT152*N(DT152))-_xlfn.XLOOKUP(A152,Щиты[Щит],Щиты[Zпетли на шинах, Ом]))*EN152/(2*ρкз_Cu),0))),"")</f>
        <v/>
      </c>
      <c r="Y152" t="str">
        <f>Линии[[#This Row],[_авто утечка]]</f>
        <v/>
      </c>
      <c r="Z152">
        <v>1</v>
      </c>
      <c r="AA152">
        <v>230</v>
      </c>
      <c r="AB152" t="s">
        <v>598</v>
      </c>
      <c r="AC152">
        <v>0.5</v>
      </c>
      <c r="AG152" t="s">
        <v>810</v>
      </c>
      <c r="AI152" t="s">
        <v>580</v>
      </c>
      <c r="AK152" t="str">
        <f>Линии[[#This Row],[_авто модуль]]</f>
        <v/>
      </c>
      <c r="AM152">
        <v>38</v>
      </c>
      <c r="AN152" t="s">
        <v>11</v>
      </c>
      <c r="AO152">
        <v>3</v>
      </c>
      <c r="AQ152">
        <v>6</v>
      </c>
      <c r="AR152">
        <v>24</v>
      </c>
      <c r="AT152">
        <v>1</v>
      </c>
      <c r="BA152" cm="1">
        <f t="array" ref="BA152">ROW()-ROW(Линии[#Headers])</f>
        <v>150</v>
      </c>
      <c r="BC152" s="6" t="str">
        <f t="shared" si="281"/>
        <v>ПВ</v>
      </c>
      <c r="BD152" t="str">
        <f t="shared" si="282"/>
        <v>7</v>
      </c>
      <c r="BE152" t="str">
        <f t="shared" si="283"/>
        <v>7</v>
      </c>
      <c r="BF152" t="str">
        <f t="shared" si="284"/>
        <v/>
      </c>
      <c r="BG152" t="str">
        <f t="shared" si="285"/>
        <v/>
      </c>
      <c r="BH152" t="str">
        <f>IF(X152&lt;&gt;"",X152,IF(AND(B152&lt;&gt;"",B152&lt;&gt;A152,ISNUMBER(_xlfn.XMATCH(B152,Щиты[Щит]))),B152,""))</f>
        <v/>
      </c>
      <c r="BI152" t="str" cm="1">
        <f t="array" ref="BI152">IF(B152="","",IF(BH152&lt;&gt;"","Щит "&amp;BH152,_xlfn.LET(_xlpm.nm,IFERROR(_xlfn.XLOOKUP(BC152,Коды_код,Коды_имя)&amp;"",""),_xlpm.md,IFERROR(N(_xlfn.XLOOKUP(BC152,Коды_код,Коды_режим)),1),_xlpm.ex,IF(Имя_режим="по экспликации",IFERROR(_xlfn.XLOOKUP(BE152&amp;"|"&amp;BG152,Экспликация[Этаж]&amp;"|"&amp;Экспликация[Помещение],Экспликация[Название])&amp;"",""),""),_xlpm.rm,IF(BG152="","",IF(_xlpm.ex&lt;&gt;"",". "&amp;_xlpm.ex&amp;IF(Имя_пом="нет"," ("&amp;BG152&amp;")"," (пом. "&amp;BG152&amp;")"),IF(Имя_пом="нет"," ",", пом. ")&amp;BG152)),IF(_xlpm.nm="","",IF(_xlpm.md=2,_xlpm.nm&amp;" шлейф "&amp;BE152,_xlpm.nm&amp;_xlpm.rm)))))</f>
        <v>Приточно-вытяжная установка шлейф 7</v>
      </c>
      <c r="BJ152" t="str">
        <f t="shared" si="286"/>
        <v>Приточно-вытяжная установка Технический этаж Пом. №001Т</v>
      </c>
      <c r="BK152">
        <f>IFERROR(_xlfn.XMATCH(A152,Щиты[Щит]),0)</f>
        <v>7</v>
      </c>
      <c r="BL152">
        <f>_xlfn.LET(_xlpm.k,IFERROR(_xlfn.XLOOKUP(A152,Щиты[Щит],Щиты[Мест под вводной узел]),""),IF(_xlpm.k="",Столбцов_на_лист,N(_xlpm.k)))</f>
        <v>12</v>
      </c>
      <c r="BM152">
        <f t="shared" si="287"/>
        <v>38</v>
      </c>
      <c r="BN152" t="str">
        <f t="shared" si="288"/>
        <v>линии</v>
      </c>
      <c r="BO152" s="6">
        <f>IFERROR(N(_xlfn.XLOOKUP(BC152,Коды_код,Коды_квт)),0)</f>
        <v>0</v>
      </c>
      <c r="BP152">
        <f t="shared" si="289"/>
        <v>0</v>
      </c>
      <c r="BQ152" t="str">
        <f>IF(B152="","",IF(BH152&lt;&gt;"",IFERROR(_xlfn.XLOOKUP(BH152,Щиты[Щит],Щиты[Руст, кВт]),0),IF(BP152=1,IF(OR(N(_xlfn.XLOOKUP(A152,Щиты[Щит],Щиты[Вводов],1))&lt;=1,LOWER(TRIM(_xlfn.XLOOKUP(A152,Щиты[Щит],Щиты[АВР],"")&amp;""))="да"),IFERROR(_xlfn.XLOOKUP(A152,Щиты[Щит],Щиты[Руст, кВт]),0),SUMIFS(Линии[_Р для вводов],Линии[Щит],A152,Линии[Источник для режимов],GF152)),IF(BO152&gt;0,ROUND(BO152*MAX(1,N(D152)),3),""))))</f>
        <v/>
      </c>
      <c r="BR152">
        <f t="shared" si="290"/>
        <v>1.3</v>
      </c>
      <c r="BS152" s="6">
        <f>IF(B152="","",IF(BH152&lt;&gt;"",IFERROR(_xlfn.XLOOKUP(BH152,Щиты[Щит],Щиты[Руст, кВт]),0),N(BR152)))</f>
        <v>1.3</v>
      </c>
      <c r="BT152" t="str">
        <f>IF(B152="","",IFERROR(IF(VLOOKUP(BC152,Потребители_обозначение,8,FALSE)=0,"",VLOOKUP(BC152,Потребители_обозначение,8,FALSE)),""))</f>
        <v/>
      </c>
      <c r="BU152">
        <f t="shared" si="291"/>
        <v>230</v>
      </c>
      <c r="BV152">
        <f t="shared" si="292"/>
        <v>0</v>
      </c>
      <c r="BW152">
        <f>IF(B152="","",IF(BH152&lt;&gt;"",3,IFERROR(IF(N(VLOOKUP(BC152,Потребители_обозначение,9,FALSE))=0,1,VLOOKUP(BC152,Потребители_обозначение,9,FALSE)),1)))</f>
        <v>1</v>
      </c>
      <c r="BX152">
        <f t="shared" si="293"/>
        <v>1</v>
      </c>
      <c r="BY152" t="str">
        <f>IF(B152="","",_xlfn.LET(_xlpm.bc,IFERROR(IF(VLOOKUP(BC152,Потребители_обозначение,6,FALSE)=0,"",VLOOKUP(BC152,Потребители_обозначение,6,FALSE)&amp;""),""),IF(AND(GA152="да",OR(_xlpm.bc="",_xlpm.bc="мс")),Марка_пож,IF(AND(_xlpm.bc="",BH152&lt;&gt;""),"мс",_xlpm.bc))))</f>
        <v/>
      </c>
      <c r="BZ152" t="str">
        <f t="shared" si="294"/>
        <v>мс</v>
      </c>
      <c r="CA152">
        <f>IF(B152="","",_xlfn.LET(_xlpm.cc,IFERROR(N(VLOOKUP(BC152,Потребители_обозначение,7,FALSE)),0),IF(_xlpm.cc&gt;0,_xlpm.cc,IF(BZ152="","",IF(BV152=1,2,IF(N(BX152)=3,5,3))))))</f>
        <v>3</v>
      </c>
      <c r="CB152">
        <f t="shared" si="295"/>
        <v>3</v>
      </c>
      <c r="CC152">
        <f>IFERROR(N(VLOOKUP(BC152,Потребители_обозначение,10,FALSE)),0)</f>
        <v>0</v>
      </c>
      <c r="CD152">
        <f>IFERROR(VLOOKUP(BC152,Потребители_обозначение,5,FALSE),0)</f>
        <v>1</v>
      </c>
      <c r="CE152" s="6" cm="1">
        <f t="array" ref="CE152">IF(B152="","",IF(BH152&lt;&gt;"",IFERROR(_xlfn.XLOOKUP(BH152,Щиты[Щит],Щиты[cos φ]),0.95),IF(BP152=1,IFERROR(_xlfn.XLOOKUP(A152,Щиты[Щит],Щиты[cos φ]),0.95),IF(ISNUMBER(AD152),AD152,IFERROR(IF(CD152=2,_xlfn.IFS(BX152=3,VLOOKUP(BS152,Справочная_двигатели,8,FALSE),BX152=1,VLOOKUP(BS152,Справочная_двигатели,10,TRUE)),IF(AND(Методика="нормы 2026",FG152="Сил"),0.8,0.95)),0.95)))))</f>
        <v>0.8</v>
      </c>
      <c r="CF152">
        <f t="shared" si="296"/>
        <v>0</v>
      </c>
      <c r="CG152">
        <f t="shared" si="297"/>
        <v>1</v>
      </c>
      <c r="CH152">
        <f t="shared" si="298"/>
        <v>0</v>
      </c>
      <c r="CI152">
        <f>IF(B152="","",IF(BV152=1,IFERROR(BS152/((Uн_лин/SQRT(3))*MAX(0.5,N(CE152))),0),N(O152)))</f>
        <v>7.036456405748563</v>
      </c>
      <c r="CJ152">
        <f t="shared" si="299"/>
        <v>0</v>
      </c>
      <c r="CK152">
        <f t="shared" si="300"/>
        <v>0</v>
      </c>
      <c r="CL152">
        <f t="shared" si="301"/>
        <v>0</v>
      </c>
      <c r="CM152">
        <f t="shared" si="302"/>
        <v>0</v>
      </c>
      <c r="CN152">
        <f t="shared" si="303"/>
        <v>0</v>
      </c>
      <c r="CO152">
        <f>IF(BC152="",0,_xlfn.LET(_xlpm.v,IFERROR(_xlfn.XLOOKUP(B152,Коды_код,Коды_мА),IFERROR(_xlfn.XLOOKUP(BC152,Коды_код,Коды_мА),IFERROR(_xlfn.XLOOKUP(LEFT(BC152,2),Коды_код,Коды_мА),""))),IF(_xlpm.v="да",30,IF(ISNUMBER(_xlpm.v),_xlpm.v,0))))</f>
        <v>0</v>
      </c>
      <c r="CP152" t="str">
        <f t="shared" si="304"/>
        <v/>
      </c>
      <c r="CQ152" t="str">
        <f>_xlfn.LET(_xlpm.k,IFERROR(_xlfn.XLOOKUP(BC152,Коды_код,Коды_утечка)&amp;"",""),IF(_xlpm.k="","дифавтомат",_xlpm.k))</f>
        <v>дифавтомат</v>
      </c>
      <c r="CR152" t="str" cm="1">
        <f t="array" ref="CR152">IF(CG152=0,"",_xlfn.LET(_xlpm.sg,TRIM(_xlfn.TEXTSPLIT(DD152&amp;"",";")),_xlpm.f_,_xlfn._xlws.FILTER(_xlpm.sg,LEFT(_xlpm.sg,3)="УЗО",""),IFERROR(INDEX(_xlpm.f_,1)&amp;"","")))</f>
        <v/>
      </c>
      <c r="CS152" t="str">
        <f t="shared" si="305"/>
        <v/>
      </c>
      <c r="CT152" s="6" t="str" cm="1">
        <f t="array" ref="CT152">IF(CR152="","",_xlfn.LET(_xlpm.tk,_xlfn.TEXTSPLIT(UPPER(CR152)," ",,TRUE),_xlpm.a_,_xlfn._xlws.FILTER(_xlpm.tk,ISNUMBER(--LEFT(_xlpm.tk,1))*((ISNUMBER(SEARCH("А",_xlpm.tk))+ISNUMBER(SEARCH("A",_xlpm.tk)))&gt;0)*NOT(ISNUMBER(SEARCH("МА",_xlpm.tk)))*NOT(ISNUMBER(SEARCH("MA",_xlpm.tk))),""),IFERROR(--SUBSTITUTE(SUBSTITUTE(INDEX(_xlpm.a_,1),"А",""),"A",""),"")))</f>
        <v/>
      </c>
      <c r="CU152" t="str" cm="1">
        <f t="array" ref="CU152">IF(CR152="","",_xlfn.LET(_xlpm.tk,_xlfn.TEXTSPLIT(UPPER(CR152)," ",,TRUE),_xlpm.a_,_xlfn._xlws.FILTER(_xlpm.tk,ISNUMBER(--LEFT(_xlpm.tk,1))*((ISNUMBER(SEARCH("МА",_xlpm.tk))+ISNUMBER(SEARCH("MA",_xlpm.tk)))&gt;0),""),IFERROR(--SUBSTITUTE(SUBSTITUTE(INDEX(_xlpm.a_,1),"МА",""),"MA",""),30)))</f>
        <v/>
      </c>
      <c r="CV152" t="str">
        <f>IF(CS152="","",IFERROR(_xlfn.XLOOKUP(CS152,Линии[_n],Линии[_УЗО, мА]),30))</f>
        <v/>
      </c>
      <c r="CW152">
        <f>IF(CS152="",0,IF(ISNUMBER(SEARCH("4P",IFERROR(_xlfn.XLOOKUP(CS152,Линии[_n],Линии[_УЗО строки])&amp;"",""))),0,1))</f>
        <v>0</v>
      </c>
      <c r="CX152" t="str">
        <f>IF(AND(CS152&lt;&gt;"",CS152=BA152),SUMIFS(Линии[_ток на 230 В],Линии[_блок УЗО],BA152,Линии[Щит],A152),"")</f>
        <v/>
      </c>
      <c r="CY152" t="str">
        <f>IF(AND(CS152&lt;&gt;"",CS152=BA152),SUMIFS(Линии[_ток утечки линии, мА],Линии[_блок УЗО],BA152,Линии[Щит],A152),"")</f>
        <v/>
      </c>
      <c r="CZ152">
        <f t="shared" si="306"/>
        <v>0</v>
      </c>
      <c r="DA152">
        <f t="shared" si="307"/>
        <v>0</v>
      </c>
      <c r="DB152">
        <f>IF(B152="",0,IFERROR(--_xlfn.XLOOKUP(B152,Коды_код,Коды_минавт),IFERROR(--_xlfn.XLOOKUP(BC152,Коды_код,Коды_минавт),IFERROR(--_xlfn.XLOOKUP(LEFT(BC152,2),Коды_код,Коды_минавт),0))))</f>
        <v>0</v>
      </c>
      <c r="DC152" t="str">
        <f>IF(B152="","",IFERROR(_xlfn.XLOOKUP(BC152,Коды_код,Коды_апп)&amp;"",""))</f>
        <v/>
      </c>
      <c r="DD152" t="str">
        <f t="shared" si="308"/>
        <v/>
      </c>
      <c r="DE152" t="str" cm="1">
        <f t="array" ref="DE152">IF(TRIM(DD152&amp;"")="","",IFERROR(TRIM(INDEX(_xlfn.TEXTSPLIT(DD152&amp;";;;",";"),1)),""))</f>
        <v/>
      </c>
      <c r="DF152" t="str" cm="1">
        <f t="array" ref="DF152">IF(TRIM(DD152&amp;"")="","",IFERROR(TRIM(INDEX(_xlfn.TEXTSPLIT(DD152&amp;";;;",";"),2)),""))</f>
        <v/>
      </c>
      <c r="DG152" t="str" cm="1">
        <f t="array" ref="DG152">IF(TRIM(DD152&amp;"")="","",IFERROR(TRIM(INDEX(_xlfn.TEXTSPLIT(DD152&amp;";;;",";"),3)),""))</f>
        <v/>
      </c>
      <c r="DH152">
        <f t="shared" si="309"/>
        <v>0</v>
      </c>
      <c r="DI152" t="str">
        <f>IF(B152="","",_xlfn.LET(_xlpm.t,LOWER(AZ152&amp;""),IF(ISNUMBER(SEARCH("dim",_xlpm.t)),"DIM",IF(ISNUMBER(SEARCH("dali",_xlpm.t)),"DALI",IF(OR(ISNUMBER(SEARCH("relay",_xlpm.t)),ISNUMBER(SEARCH("реле",_xlpm.t))),"Relay",IF(ISNUMBER(SEARCH("кнопк",_xlpm.t)),"",IFERROR(_xlfn.XLOOKUP(BC152,Коды_код,Коды_упр)&amp;"","")))))))</f>
        <v/>
      </c>
      <c r="DJ152" t="str">
        <f t="shared" si="310"/>
        <v/>
      </c>
      <c r="DK152">
        <f>IF(B152="","",_xlfn.LET(_xlpm.ig,IF(N(CX152)&gt;0,N(CX152),N(CI152)+IF(AJ152="вручную",0,N(CJ152))),_xlpm.n0,IFERROR(VLOOKUP(_xlpm.ig,Автомат_номиналы,2,TRUE),0),_xlpm.mn,MAX(DB152,IF(AJ152="вручную",0,N(CM152))),MAX(_xlpm.n0,_xlpm.mn,IF(DH152=1,Мин_автомат_БП,0))))</f>
        <v>10</v>
      </c>
      <c r="DL152">
        <f t="shared" si="311"/>
        <v>1</v>
      </c>
      <c r="DM152" t="str">
        <f t="shared" si="312"/>
        <v>1P</v>
      </c>
      <c r="DN152" t="str">
        <f>_xlfn.LET(_xlpm.cc,UPPER(TRIM(IFERROR(_xlfn.XLOOKUP(BC152,Коды_код,Коды_хар)&amp;"",""))),IF(OR(_xlpm.cc="B",_xlpm.cc="В"),"B",IF(_xlpm.cc="D","D","С")))</f>
        <v>С</v>
      </c>
      <c r="DO152" t="str">
        <f t="shared" si="313"/>
        <v>1P С10А</v>
      </c>
      <c r="DP152" t="str">
        <f t="shared" si="314"/>
        <v>1P С10А</v>
      </c>
      <c r="DQ152" t="str">
        <f t="shared" si="315"/>
        <v>1P С10А</v>
      </c>
      <c r="DR152" cm="1">
        <f t="array" ref="DR152">IF(DQ152="","",_xlfn.LET(_xlpm.t,SUBSTITUTE(SUBSTITUTE(SUBSTITUTE(UPPER(DQ152),"С","C"),"А","A"),"В","B"),_xlpm.tk,_xlfn.TEXTSPLIT(_xlpm.t," "),_xlpm.f,_xlfn._xlws.FILTER(_xlpm.tk,ISNUMBER(--MID(_xlpm.tk,2,1))*ISNUMBER(SEARCH(LEFT(_xlpm.tk,1)&amp;"#","B#C#D#"))*(LEN(_xlpm.tk)&gt;1),""),_xlpm.x,INDEX(_xlpm.f,1),IFERROR(--SUBSTITUTE(MID(_xlpm.x,2,9),"A",""),IFERROR(--SUBSTITUTE(INDEX(_xlfn._xlws.FILTER(_xlpm.tk,ISNUMBER(--SUBSTITUTE(_xlpm.tk,"A","")),""),1),"A",""),""))))</f>
        <v>10</v>
      </c>
      <c r="DS152" t="str">
        <f t="shared" si="316"/>
        <v>ok</v>
      </c>
      <c r="DT152">
        <f t="shared" si="317"/>
        <v>10</v>
      </c>
      <c r="DU152" t="str">
        <f t="shared" si="318"/>
        <v>1P С10А</v>
      </c>
      <c r="DV152">
        <f t="shared" si="319"/>
        <v>0</v>
      </c>
      <c r="DW152">
        <f t="shared" si="320"/>
        <v>0</v>
      </c>
      <c r="DX152">
        <f t="shared" si="321"/>
        <v>0</v>
      </c>
      <c r="DY152">
        <f t="shared" si="322"/>
        <v>7.036456405748563</v>
      </c>
      <c r="DZ152">
        <f t="shared" si="323"/>
        <v>1</v>
      </c>
      <c r="EA152">
        <f>IF(ISNUMBER(AP152),AP152,К_прокл)</f>
        <v>1</v>
      </c>
      <c r="EB152">
        <f t="shared" si="324"/>
        <v>2</v>
      </c>
      <c r="EC152">
        <f>IFERROR(N(VLOOKUP(BZ152,Кабель_обозначение,3,FALSE)),1)</f>
        <v>1</v>
      </c>
      <c r="ED152">
        <f>IFERROR(N(_xlfn.XLOOKUP(A152,Щиты[Щит],Щиты[ΔU до шин, %])),0)</f>
        <v>1.1399999999999999</v>
      </c>
      <c r="EE152" t="str">
        <f>IFERROR(_xlfn.XLOOKUP(A152,Щиты[Щит],Щиты[Zпетли на шинах, Ом]),"")</f>
        <v/>
      </c>
      <c r="EF152">
        <f>IFERROR(N(_xlfn.XLOOKUP(A152,Щиты[Щит],Щиты[ΔU до шин (подбор), %])),0)</f>
        <v>1.82</v>
      </c>
      <c r="EG152" t="str">
        <f>IFERROR(_xlfn.XLOOKUP(A152,Щиты[Щит],Щиты[Zпетли на шинах (подбор), Ом]),"")</f>
        <v/>
      </c>
      <c r="EH152" t="str">
        <f t="shared" si="325"/>
        <v/>
      </c>
      <c r="EI152">
        <f t="shared" si="326"/>
        <v>26</v>
      </c>
      <c r="EJ152">
        <f t="shared" si="327"/>
        <v>2</v>
      </c>
      <c r="EK152">
        <f t="shared" si="328"/>
        <v>0.6</v>
      </c>
      <c r="EL152" s="6">
        <f>IF(B152="","",IF(BV152=1,dU_LED,IF(IFERROR(_xlfn.XLOOKUP(BC152,Коды_код,Коды_уго),"")="Светильник",3,4)+IF(Методика="нормы 2026",MIN(0.5,MAX(0,N(P152)-100)*0.005),0)))</f>
        <v>4</v>
      </c>
      <c r="EM152" cm="1">
        <f t="array" ref="EM152">IF(OR(B152="",BZ152="",EC152&lt;&gt;1),"",_xlfn.LET(_xlpm.sz,Iдоп_S,_xlpm.t_,CHOOSE(EB152,Iдоп_1ж,Iдоп_2ж,Iдоп_3ж)*DZ152*EA152,_xlpm.dcx,BV152=1,_xlpm.inn,IF(_xlpm.dcx,N(O152),N(DT152)),_xlpm.smin,MAX(1.5,CC152),_xlpm.L_,N(P152)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152)/N(BU152)*100,999),IFERROR(N(EJ152)*(_xlpm.rho*_xlpm.L_/_xlpm.sz*N(CE152)+_xlpm.xx*_xlpm.L_*N(EK152)/1000)*N(O152)/((Uн_лин/SQRT(3))*1000)*100,999)),_xlpm.kz,IF(OR(_xlpm.dcx,DW152=1,NOT(ISNUMBER(EG152)),_xlpm.L_=0,_xlpm.inn=0),1,IFERROR(--(c_min*(Uн_лин*1000/SQRT(3))/(EG152+2*ρкз_Cu*_xlpm.L_/_xlpm.sz)&gt;=HT152*_xlpm.inn),0)),_xlpm.ok,IFERROR((_xlpm.sz&gt;=_xlpm.smin)*(_xlpm.t_&gt;=_xlpm.inn)*IF(_xlpm.L_&gt;0,(_xlpm.du_+IF(_xlpm.dcx,0,EF152)&lt;=EL152+0.00001),1)*_xlpm.kz,0),_xlpm.r_,_xlfn._xlws.FILTER(_xlpm.sz,_xlpm.ok,"не подобрано"),INDEX(_xlpm.r_,1)))</f>
        <v>2.5</v>
      </c>
      <c r="EN152">
        <f t="shared" si="329"/>
        <v>2.5</v>
      </c>
      <c r="EO152" cm="1">
        <f t="array" ref="EO152">IF(OR(B152="",BZ152="",EC152&lt;&gt;1),"",_xlfn.LET(_xlpm.sz,Iдоп_S,_xlpm.t_,CHOOSE(EB152,Iдоп_1ж,Iдоп_2ж,Iдоп_3ж)*DZ152*EA152,_xlpm.ok,IFERROR((_xlpm.sz&gt;=MAX(1.5,CC152))*(_xlpm.t_&gt;=N(DT152)),0),_xlpm.r_,_xlfn._xlws.FILTER(_xlpm.sz,_xlpm.ok,""),INDEX(_xlpm.r_,1)))</f>
        <v>1.5</v>
      </c>
      <c r="EP152" s="6" cm="1">
        <f t="array" ref="EP152">IFERROR(ROUNDUP(N(EJ152)*(_xlfn.XLOOKUP(EO152,INDEX(Кабель_сопротивление,0,1),INDEX(Кабель_сопротивление,0,3))*N(P152)/EO152*N(CE152)+_xlfn.XLOOKUP(EO152,INDEX(Кабель_сопротивление,0,1),INDEX(Кабель_сопротивление,0,2))*N(P152)*N(EK152)/1000)*N(O152)/((Uн_лин/SQRT(3))*1000)*100,2),"")</f>
        <v>2.21</v>
      </c>
      <c r="EQ152">
        <f>IFERROR(2*ρкз_Cu*N(P152)/EO152,"")</f>
        <v>1.052</v>
      </c>
      <c r="ER152">
        <f>IFERROR(VLOOKUP(EN152,Кабель_сопротивление,3,FALSE),"")</f>
        <v>2.2499999999999999E-2</v>
      </c>
      <c r="ES152">
        <f>IFERROR(VLOOKUP(EN152,Кабель_сопротивление,2,FALSE),"")</f>
        <v>0.1</v>
      </c>
      <c r="ET152">
        <f t="shared" si="330"/>
        <v>24</v>
      </c>
      <c r="EU152">
        <f t="shared" si="331"/>
        <v>0</v>
      </c>
      <c r="EV152">
        <f t="shared" si="332"/>
        <v>3.0650804103440734</v>
      </c>
      <c r="EW152" s="6">
        <f>IFERROR(ROUNDUP(EV152/IF(BV152=1,BU152,(Uн_лин/SQRT(3))*1000)*100,2),"")</f>
        <v>1.33</v>
      </c>
      <c r="EX152" t="str">
        <f>IFERROR(VLOOKUP(BZ152,Кабель_обозначение,2,FALSE),"")</f>
        <v>ВВГнг(А)-LS</v>
      </c>
      <c r="EY152" t="str">
        <f t="shared" si="333"/>
        <v>ВВГнг(А)-LS (3х2,5)</v>
      </c>
      <c r="EZ152" t="str">
        <f t="shared" si="334"/>
        <v>ВВГнг(А)-LS (3х2,5)
L=30-1,33%</v>
      </c>
      <c r="FA152">
        <f>IFERROR(2*ρкз_Cu*P152/EN152,"")</f>
        <v>0.63119999999999998</v>
      </c>
      <c r="FB152">
        <f t="shared" si="335"/>
        <v>0.21000000000000002</v>
      </c>
      <c r="FC152" s="6" t="str">
        <f>IFERROR(IF(OR(B152="",BV152=1,NOT(ISNUMBER(EN152)),N(P152)=0),"",_xlfn.XLOOKUP(A152,Щиты[Щит],Щиты[Zпетли на шинах, Ом])+FA152),"")</f>
        <v/>
      </c>
      <c r="FD152" s="6" t="str">
        <f>IF(ISNUMBER(FC152),c_min*(Uн_лин*1000/SQRT(3))/FC152,"")</f>
        <v/>
      </c>
      <c r="FE152" s="6" t="str">
        <f>IFERROR(IF(OR(B152="",NOT(ISNUMBER(EN152))),"",1.05*(Uн_лин*1000/SQRT(3))/(_xlfn.XLOOKUP(A152,Щиты[Щит],Щиты[Zmax на шинах, Ом])+FB152)/1000),"")</f>
        <v/>
      </c>
      <c r="FF152" s="6" t="str">
        <f>IF(B152="","",IF(ISNUMBER(AC152),"Сил",IF(IFERROR(_xlfn.XLOOKUP(BC152,Коды_код,Коды_группа)&amp;"","")="","Быт",_xlfn.XLOOKUP(BC152,Коды_код,Коды_группа)&amp;"")))</f>
        <v>Сил</v>
      </c>
      <c r="FG152" s="6" t="str">
        <f t="shared" si="336"/>
        <v>Сил</v>
      </c>
      <c r="FH152" s="6">
        <f>IF(FG152="Щит","щит",IF(FG152="","",IF(FG152="Быт",IFERROR(_xlfn.XLOOKUP(A152,Щиты[Щит],Щиты[Кс быт]),1),IF(FG152="Сил",IF(ISNUMBER(AC152),AC152,IF(Методика="нормы 2026",IFERROR(_xlfn.XLOOKUP(A152,Щиты[Щит],Щиты[Кс силовых (табл. 7.5)]),1),1)),IF(OR(FG152="Пост",FG152="Отоп"),1,IF(FG152="ВНГ",0.7,0))))))</f>
        <v>0.5</v>
      </c>
      <c r="FI152">
        <f>IF(FG152="","",IF(AND(BP152=1,TRIM(AE152&amp;"")=""),IF(COUNTIFS(Линии[Щит],A152,Линии[Секция (1/2/3)],"&gt;=2")&gt;0,MIN(3,MAX(1,IFERROR(--BD152,1))),1),IFERROR(MIN(3,MAX(1,INT(--AE152))),1)))</f>
        <v>1</v>
      </c>
      <c r="FJ152">
        <f t="shared" si="337"/>
        <v>1.3</v>
      </c>
      <c r="FK152">
        <f t="shared" si="338"/>
        <v>0</v>
      </c>
      <c r="FL152">
        <f t="shared" si="339"/>
        <v>0.65</v>
      </c>
      <c r="FM152">
        <f t="shared" si="340"/>
        <v>0</v>
      </c>
      <c r="FN152">
        <f t="shared" si="341"/>
        <v>0</v>
      </c>
      <c r="FO152">
        <f t="shared" si="342"/>
        <v>0</v>
      </c>
      <c r="FP152">
        <f t="shared" si="343"/>
        <v>1.3</v>
      </c>
      <c r="FQ152">
        <f t="shared" si="344"/>
        <v>1.3</v>
      </c>
      <c r="FR152">
        <f t="shared" si="345"/>
        <v>1.04</v>
      </c>
      <c r="FS152">
        <f>IF(CG152=1,IF(AND(CH152=1,CW152=1),0,IF(AND(CS152&lt;&gt;"",CS152=BA152,CW152=1),SUMIFS(Линии[_Р линии, кВт],Линии[_блок УЗО],BA152,Линии[Щит],A152),N(BS152)+IF(AJ152="вручную",0,N(CK152)))),0)</f>
        <v>1.3</v>
      </c>
      <c r="FT152" t="str">
        <f t="shared" si="346"/>
        <v/>
      </c>
      <c r="FU152" t="str">
        <f>IF(B152="","",IF(CG152=0,IF(BA152=1,"",FW151),IF(AND(CH152=1,CW152=1,CS152&lt;&gt;""),IFERROR(_xlfn.XLOOKUP(CS152,Линии[_n],Линии[_фаза итог]),"L1"),IF(OR(N(DL152)&gt;=3,N(BX152)&gt;=3),"L1,L2,L3",IFERROR(_xlfn.TEXTBEFORE(_xlfn.TEXTAFTER(_xlfn.XLOOKUP(A152,Щиты[Щит],Щиты[_фазы авто]),";"&amp;BA152&amp;":"),";"),"L1")))))</f>
        <v>L1</v>
      </c>
      <c r="FV152" t="str">
        <f t="shared" si="347"/>
        <v>L1</v>
      </c>
      <c r="FW152" t="str">
        <f t="shared" si="348"/>
        <v>L1</v>
      </c>
      <c r="FX152" cm="1">
        <f t="array" ref="FX152">IFERROR(IF(CD152=2,_xlfn.IFS(BX152=3,VLOOKUP(BS152,Справочная_двигатели,3,FALSE),BX152=1,VLOOKUP(BS152,Справочная_двигатели,5,TRUE)),0),0)</f>
        <v>0</v>
      </c>
      <c r="FY152">
        <f>IFERROR(IF(CD152=3,VLOOKUP(BS152,Справочная_ЛЭД,2,TRUE),0),0)</f>
        <v>0</v>
      </c>
      <c r="FZ152" s="6">
        <f t="shared" si="349"/>
        <v>0</v>
      </c>
      <c r="GA152" t="str">
        <f>IF(B152="","",IF(TRIM(AH152&amp;"")&lt;&gt;"",IF(LOWER(TRIM(AH152&amp;""))="да","да","нет"),IF(IFERROR(_xlfn.XLOOKUP(BC152,Коды_код,Коды_пожарная),"")="да","да","нет")))</f>
        <v>нет</v>
      </c>
      <c r="GB152" t="str">
        <f t="shared" si="350"/>
        <v/>
      </c>
      <c r="GC152" t="str">
        <f t="shared" si="351"/>
        <v>основная</v>
      </c>
      <c r="GD152">
        <f>IF(AND(BP152=1,TRIM(AE152&amp;"")=""),IF(COUNTIFS(Линии[Щит],A152,Линии[Секция (1/2/3)],"&gt;=2")&gt;0,MIN(3,MAX(1,IFERROR(--BD152,1))),1),IFERROR(MIN(3,MAX(1,INT(--AE152))),1))</f>
        <v>1</v>
      </c>
      <c r="GE152" t="str" cm="1">
        <f t="array" ref="GE152">IF(B152="","",_xlfn.LET(_xlpm.t,IFERROR(_xlfn.XLOOKUP(1,(Шины[Шина]=GC152)*(((Шины[Щит]=A152)+(Шины[Щит]=""))&gt;0),Шины[Тип]),"")&amp;"",IF(_xlpm.t&lt;&gt;"",_xlpm.t,IF(ISNUMBER(SEARCH("ИБП",GC152)),"ИБП",IF(ISNUMBER(SEARCH("ДГУ",GC152)),"ДГУ","Ввод "&amp;GD152)))))</f>
        <v>Ввод 1</v>
      </c>
      <c r="GF152" t="str">
        <f t="shared" si="352"/>
        <v>Ввод 1</v>
      </c>
      <c r="GG152" t="str">
        <f>IF(BP152=0,"",IF(TRIM(AG152&amp;"")&lt;&gt;"",TRIM(AG152&amp;""),IF(OR(GE152="ИБП",GE152="ДГУ"),"I особая",_xlfn.XLOOKUP(A152,Щиты[Щит],Щиты[Категория шины «Ввод»],"III"))))</f>
        <v/>
      </c>
      <c r="GH152" t="str">
        <f>IF(A152="","",_xlfn.XLOOKUP(A152,Щиты[Щит],Щиты[Путь],""))</f>
        <v>|ГРЩ-ЖД|ЩОВ-2|</v>
      </c>
      <c r="GI152" t="str">
        <f>IF(B152="","",IF(AI152&lt;&gt;"",AI152,IF(IFERROR(_xlfn.XLOOKUP(BC152,Коды_код,Коды_вид)&amp;"","")="","Прочее",_xlfn.XLOOKUP(BC152,Коды_код,Коды_вид)&amp;"")))</f>
        <v>Вентиляция</v>
      </c>
      <c r="GJ152">
        <f>IF(BM152="","",INT((BM152-1)/Столбцов_на_лист)+1)</f>
        <v>3</v>
      </c>
      <c r="GK152" t="str">
        <f t="shared" si="353"/>
        <v>ВВГнг(А)-LS (3х2,5) L=30-1,33%</v>
      </c>
      <c r="GL152">
        <f t="shared" si="354"/>
        <v>1.3</v>
      </c>
      <c r="GM152">
        <f t="shared" si="355"/>
        <v>7.04</v>
      </c>
      <c r="GN152">
        <f t="shared" si="356"/>
        <v>1</v>
      </c>
      <c r="GO152">
        <f t="shared" si="357"/>
        <v>0</v>
      </c>
      <c r="GP152">
        <f t="shared" si="358"/>
        <v>1</v>
      </c>
      <c r="GQ152">
        <f>IF(BM152="","",IF(AND(CG152=1,GP152=1),COUNTIFS(A$3:A152,A152,CG$3:CG152,1,GP$3:GP152,1),IF(OR(OR(BA152=1,A152&lt;&gt;A151),AJ152="вручную",GP152=0),"",IF(BA152=1,"",GR151))))</f>
        <v>22</v>
      </c>
      <c r="GR152">
        <f t="shared" si="359"/>
        <v>22</v>
      </c>
      <c r="GS152">
        <f>IF(B152="","",IFERROR(LOOKUP(INDEX(CHOOSE(EB152,Iдоп_1ж,Iдоп_2ж,Iдоп_3ж),MATCH(EN152,Iдоп_S,0))*DZ152*EA152,{6,10,16,20,25,32,40,50,63,80,100,125,160,200,250,315,400,500,630}),""))</f>
        <v>25</v>
      </c>
      <c r="GT152" t="str">
        <f t="shared" si="360"/>
        <v>QF22</v>
      </c>
      <c r="GU152" t="str">
        <f t="shared" si="361"/>
        <v>QF22</v>
      </c>
      <c r="GV152" t="str">
        <f t="shared" si="362"/>
        <v/>
      </c>
      <c r="GW152">
        <f t="shared" si="363"/>
        <v>0</v>
      </c>
      <c r="GX152" t="str">
        <f>IF(OR(B152="",DJ152=""),"",IFERROR(_xlfn.XLOOKUP(DJ152,Модули_умолч[Управление],Модули_умолч[Модель])&amp;"",""))</f>
        <v/>
      </c>
      <c r="GY152">
        <f>IF(DJ152="",1,IFERROR(MAX(0,N(_xlfn.XLOOKUP(DJ152,Модули_умолч[Управление],Модули_умолч[Каналов на линию]))),1))</f>
        <v>1</v>
      </c>
      <c r="GZ152" t="str">
        <f t="shared" si="364"/>
        <v/>
      </c>
      <c r="HA152" t="str">
        <f t="shared" si="365"/>
        <v/>
      </c>
      <c r="HB152" t="str">
        <f t="shared" si="366"/>
        <v/>
      </c>
      <c r="HC152">
        <f>IF(HB152="",0,IFERROR(N(VLOOKUP(HB152,Модули_спр,3,FALSE)),0))</f>
        <v>0</v>
      </c>
      <c r="HD152" t="str">
        <f t="shared" si="367"/>
        <v/>
      </c>
      <c r="HE152" t="str">
        <f t="shared" si="368"/>
        <v/>
      </c>
      <c r="HF152" t="str">
        <f>IF(OR(HE152="",HE152="-"),"",IFERROR(VLOOKUP(HE152,Модули_спр,2,FALSE),"R"))</f>
        <v/>
      </c>
      <c r="HG152" t="str">
        <f>IF(HF152="","",HF152&amp;"."&amp;COUNTIFS(A$3:A152,A152,HF$3:HF152,HF152))</f>
        <v/>
      </c>
      <c r="HH152" t="str">
        <f t="shared" si="369"/>
        <v/>
      </c>
      <c r="HI152" t="str">
        <f t="shared" si="370"/>
        <v/>
      </c>
      <c r="HJ152" t="str">
        <f t="shared" si="371"/>
        <v/>
      </c>
      <c r="HK152" t="str">
        <f t="shared" si="372"/>
        <v/>
      </c>
      <c r="HL152">
        <f t="shared" si="373"/>
        <v>1</v>
      </c>
      <c r="HM152" t="str">
        <f>IF(HL152=1,"XT"&amp;COUNTIFS(A$3:A152,A152,HL$3:HL152,1),"")</f>
        <v>XT22</v>
      </c>
      <c r="HN152" t="str">
        <f t="shared" si="374"/>
        <v/>
      </c>
      <c r="HO152" t="str">
        <f t="shared" si="375"/>
        <v>QF22</v>
      </c>
      <c r="HP152" t="str">
        <f t="shared" si="376"/>
        <v/>
      </c>
      <c r="HQ152" t="str">
        <f t="shared" si="377"/>
        <v>ok</v>
      </c>
      <c r="HR152" t="str">
        <f>IF(OR(HJ152="",HH152=""),"",IF(HJ152+MAX(0,GY152-1)&gt;IFERROR(VLOOKUP(HI152,Модули_спр,3,FALSE),99),"ЛИШНИЙ КАНАЛ",IF(AND(AL152&lt;&gt;"=",GY152&gt;0,COUNTIFS(Линии[_модуль гр.],HH152,Линии[Канал (итог)],HJ152,Линии[Канал],"&lt;&gt;=",Линии[Щит],A152)&gt;1),"ДУБЛЬ КАНАЛА","")))</f>
        <v/>
      </c>
      <c r="HS152" s="6" t="str">
        <f t="shared" si="378"/>
        <v/>
      </c>
      <c r="HT152">
        <f t="shared" si="379"/>
        <v>10</v>
      </c>
      <c r="HU152" t="str">
        <f t="shared" si="380"/>
        <v/>
      </c>
      <c r="HV152">
        <f t="shared" si="381"/>
        <v>3.1145825622994252</v>
      </c>
      <c r="HW152">
        <f t="shared" si="382"/>
        <v>0</v>
      </c>
      <c r="HX152">
        <f t="shared" si="383"/>
        <v>0</v>
      </c>
      <c r="HY152">
        <f t="shared" si="384"/>
        <v>0</v>
      </c>
      <c r="HZ152">
        <f t="shared" si="385"/>
        <v>0</v>
      </c>
      <c r="IA152">
        <f t="shared" si="386"/>
        <v>0</v>
      </c>
      <c r="IB152">
        <f t="shared" si="387"/>
        <v>0</v>
      </c>
      <c r="IC152" t="str">
        <f t="shared" si="388"/>
        <v/>
      </c>
      <c r="ID152" t="str" cm="1">
        <f t="array" ref="ID152">IF(IC152="","",_xlfn.LET(_xlpm.tk,_xlfn.TEXTSPLIT(SUBSTITUTE(SUBSTITUTE(IC152,";"," "),"→"," ")," ",,TRUE),_xlpm.w_,_xlfn._xlws.FILTER(_xlpm.tk,ISNUMBER(--LEFT(_xlpm.tk,1))*((ISNUMBER(SEARCH("W",_xlpm.tk))+ISNUMBER(SEARCH("Вт",_xlpm.tk)))&gt;0),""),IFERROR(--SUBSTITUTE(SUBSTITUTE(UPPER(INDEX(_xlpm.w_,1)),"W",""),"ВТ",""),"")))</f>
        <v/>
      </c>
      <c r="IE152" t="str" cm="1">
        <f t="array" ref="IE152">IF(IC152="","",_xlfn.LET(_xlpm.tk,_xlfn.TEXTSPLIT(SUBSTITUTE(SUBSTITUTE(IC152,";"," "),"→"," ")," ",,TRUE),_xlpm.v_,_xlfn._xlws.FILTER(_xlpm.tk,ISNUMBER(--LEFT(_xlpm.tk,1))*((ISNUMBER(SEARCH("V",_xlpm.tk))+(RIGHT(UPPER(_xlpm.tk))="В"))&gt;0),""),IFERROR(--SUBSTITUTE(SUBSTITUTE(UPPER(INDEX(_xlpm.v_,1)),"V",""),"В",""),"")))</f>
        <v/>
      </c>
      <c r="IF152" s="6" t="str">
        <f>IF(OR(BV152=0,HI152="",HJ152=""),"",IFERROR(N(_xlfn.XLOOKUP(HI152,Каталог!$C$4:$C$500,Каталог!$Q$4:$Q$500)),""))</f>
        <v/>
      </c>
      <c r="IG152" s="6" t="str">
        <f>IF(N(IF152)=0,"",SUMIFS(Линии[Iр, А],Линии[Щит],A152,Линии[_модуль гр.],HH152,Линии[Канал (итог)],HJ152))</f>
        <v/>
      </c>
      <c r="IH152" t="str">
        <f>IF(AND(B152="",HO152=""),"",_xlfn.TEXTJOIN("; ",TRUE,IF(AND(B152&lt;&gt;"",FV152=""),"нет фазы",""),IF(AND(B152&lt;&gt;"",N(GL152)=0,FG152&lt;&gt;"Нет"),"нет мощности",""),IF(AND(HN152&lt;&gt;"",COUNTIFS(Линии[Щит],A152,Линии[Клемма (итог)],HN152)&gt;1),"дубль клеммы "&amp;HN152,""),IF(AND(HQ152&lt;&gt;"",HQ152&lt;&gt;"ok"),HQ152,""),IF(HR152&lt;&gt;"",HR152,""),IF(AND(N(CB152)&gt;=4,N(BX152)=1),CB152&amp;" жил на 1 фазе",""),IF(AND(BC152="R",CG152=1,IF(CS152&lt;&gt;"",N(CV152)&gt;30,OR(N(DA152)=0,N(DA152)&gt;30))),"розетка без дифзащиты до 30 мА",""),IF(AND(CG152=1,N(DA152)&gt;0,ISNUMBER(T152)),IF(T152&gt;N(DA152)/3,"ток утечки "&amp;FIXED(T152,1)&amp;" мА &gt; 1/3 уставки ("&amp;DA152&amp;" мА)",""),""),IF(AND(CH152=1,CS152=""),"«узо»: нет строки с УЗО выше (УЗО 2P 40А 30мА в «Аппаратах»)",""),IF(AND(CS152&lt;&gt;"",CS152=BA152),IF(CT152="","впишите номинал УЗО (УЗО 2P 40А 30мА)",IF(N(CT152)&lt;N(DT152),"УЗО "&amp;CT152&amp;" А &lt; автомата "&amp;DT152&amp;" А перед ним",IF(N(CT152)&lt;N(CX152),"УЗО "&amp;CT152&amp;" А &lt; тока блока "&amp;FIXED(CX152,1)&amp;" А",""))),""),IF(AND(CS152&lt;&gt;"",CS152=BA152,ISNUMBER(CY152)),IF(CY152&gt;N(CV152)/3,"ток утечки блока УЗО "&amp;FIXED(CY152,1)&amp;" мА &gt; 1/3 уставки ("&amp;CV152&amp;" мА)",""),""),IF(AND(CG152=1,N(BV152)+N(IB152)&gt;0,IC152=""),"линии до 50 В без БП: впишите в «Аппараты» (БП 24V 480W)",""),IF(AND(CG152=1,ISNUMBER(ID152),ISNUMBER(U152)),IF(U152&gt;ID152,"БП "&amp;ID152&amp;" Вт &lt; нужно "&amp;U152&amp;" Вт (×"&amp;Запас_БП&amp;")",""),""),IF(AND(CG152=1,ISNUMBER(IE152),N(BV152)=1),IF(IE152&lt;&gt;N(BU152),"БП на "&amp;IE152&amp;" В, линия "&amp;BU152&amp;" В",""),""),IF(AND(N(IF152)&gt;0,N(IG152)&gt;N(IF152)),HH152&amp;" канал "&amp;HJ152&amp;": "&amp;FIXED(IG152,1)&amp;" А &gt; "&amp;IF152&amp;" А",""),IFERROR(IF(AND(ISNUMBER(Q152),Q152&gt;EL152),"потери "&amp;FIXED(Q152,1)&amp;" % &gt; "&amp;EL152&amp;" %",""),""),IFERROR(IF(LEFT(HU152,4)="мало","Iкз мало — отключение &gt; 0,4 с",""),""),IF(AND(B152&lt;&gt;"",BM152=""),"не на схеме",""),IF(AND(CG152=0,B152&lt;&gt;"",FV152&lt;&gt;"",IF(BA152=1,"",FW151)&lt;&gt;"",FV152&lt;&gt;IF(BA152=1,"",FW151)),"фаза не как у автомата группы ("&amp;IF(BA152=1,"",FW151)&amp;")","")))</f>
        <v/>
      </c>
      <c r="II152" s="6">
        <f>IF(OR(CG152=0,DQ152=""),"",_xlfn.LET(_xlpm.t,IFERROR(_xlfn.XLOOKUP(DQ152,Каталог!$U$4:$U$500,Каталог!$G$4:$G$500),""),_xlpm.k,SEARCH("кА",_xlpm.t),IFERROR(--TRIM(RIGHT(SUBSTITUTE(MID(_xlpm.t,MAX(1,_xlpm.k-4),_xlpm.k-MAX(1,_xlpm.k-4))," ",REPT(" ",9)),5)),"")))</f>
        <v>6</v>
      </c>
      <c r="IJ152" t="str">
        <f>IF(OR(II152="",CG152=0),"",IF(_xlfn.XLOOKUP(A152,Щиты[Щит],Щиты[Iкз max на шинах, кА],"")="","",IF(II152&lt;_xlfn.XLOOKUP(A152,Щиты[Щит],Щиты[Iкз max на шинах, кА]),"Icu "&amp;II152&amp;" кА &lt; Iкз max","ok")))</f>
        <v/>
      </c>
      <c r="IK152" t="str">
        <f t="shared" si="389"/>
        <v/>
      </c>
      <c r="IL152" t="str">
        <f t="shared" si="390"/>
        <v>QF22</v>
      </c>
      <c r="IM152" t="str">
        <f t="shared" si="391"/>
        <v>QF22|кабель ВВГнг(А)-LS (3х2,5) → Приточно-вытяжная установка Технический этаж Пом. №001Т</v>
      </c>
      <c r="IN152" t="str" cm="1">
        <f t="array" ref="IN152">IF(IM152="","",_xlfn.LET(_xlpm.nd,_xlfn.TEXTSPLIT(IM152,"|"),IF(COLUMNS(_xlpm.nd)&gt;1,A152&amp;"¦"&amp;INDEX(_xlpm.nd,1)&amp;"¦"&amp;INDEX(_xlpm.nd,2),"")))</f>
        <v>ЩОВ-2¦QF22¦кабель ВВГнг(А)-LS (3х2,5) → Приточно-вытяжная установка Технический этаж Пом. №001Т</v>
      </c>
      <c r="IO152" t="str">
        <f t="shared" si="392"/>
        <v>ПВ.7¦Приточно-вытяжная установка Технический этаж Пом. №001Т</v>
      </c>
      <c r="IP152" t="str" cm="1">
        <f t="array" ref="IP152">IF(IM152="","",_xlfn.LET(_xlpm.nd,_xlfn.TEXTSPLIT(IM152,"|"),IF(COLUMNS(_xlpm.nd)&gt;2,A152&amp;"¦"&amp;INDEX(_xlpm.nd,2)&amp;"¦"&amp;INDEX(_xlpm.nd,3),"")))</f>
        <v/>
      </c>
      <c r="IQ152" t="str">
        <f t="shared" si="393"/>
        <v/>
      </c>
      <c r="IR152" t="str" cm="1">
        <f t="array" ref="IR152">IF(IM152="","",_xlfn.LET(_xlpm.nd,_xlfn.TEXTSPLIT(IM152,"|"),IF(COLUMNS(_xlpm.nd)&gt;3,A152&amp;"¦"&amp;INDEX(_xlpm.nd,3)&amp;"¦"&amp;INDEX(_xlpm.nd,4),"")))</f>
        <v/>
      </c>
      <c r="IS152" t="str">
        <f t="shared" si="394"/>
        <v/>
      </c>
      <c r="IT152" t="str" cm="1">
        <f t="array" ref="IT152">IF(IM152="","",_xlfn.LET(_xlpm.nd,_xlfn.TEXTSPLIT(IM152,"|"),IF(COLUMNS(_xlpm.nd)&gt;4,A152&amp;"¦"&amp;INDEX(_xlpm.nd,4)&amp;"¦"&amp;INDEX(_xlpm.nd,5),"")))</f>
        <v/>
      </c>
      <c r="IU152" t="str">
        <f t="shared" si="395"/>
        <v/>
      </c>
      <c r="IV152" t="str" cm="1">
        <f t="array" ref="IV152">IF(IM152="","",_xlfn.LET(_xlpm.nd,_xlfn.TEXTSPLIT(IM152,"|"),IF(COLUMNS(_xlpm.nd)&gt;5,A152&amp;"¦"&amp;INDEX(_xlpm.nd,5)&amp;"¦"&amp;INDEX(_xlpm.nd,6),"")))</f>
        <v/>
      </c>
      <c r="IW152" t="str">
        <f t="shared" si="396"/>
        <v/>
      </c>
      <c r="IX152" t="str" cm="1">
        <f t="array" ref="IX152">IF(IM152="","",_xlfn.LET(_xlpm.nd,_xlfn.TEXTSPLIT(IM152,"|"),IF(COLUMNS(_xlpm.nd)&gt;6,A152&amp;"¦"&amp;INDEX(_xlpm.nd,6)&amp;"¦"&amp;INDEX(_xlpm.nd,7),"")))</f>
        <v/>
      </c>
      <c r="IY152" t="str">
        <f t="shared" si="397"/>
        <v/>
      </c>
      <c r="IZ152" t="str">
        <f t="shared" si="398"/>
        <v/>
      </c>
      <c r="JA152" t="str">
        <f t="shared" si="399"/>
        <v>QF22</v>
      </c>
      <c r="JB152">
        <f t="shared" si="400"/>
        <v>0</v>
      </c>
      <c r="JC152">
        <f t="shared" si="401"/>
        <v>0</v>
      </c>
      <c r="JD152" t="str">
        <f t="shared" si="402"/>
        <v/>
      </c>
      <c r="JE152" t="str">
        <f t="shared" si="403"/>
        <v/>
      </c>
      <c r="JF152" t="str">
        <f t="shared" si="404"/>
        <v/>
      </c>
      <c r="JG152" t="str">
        <f t="shared" si="405"/>
        <v/>
      </c>
      <c r="JH152" t="str">
        <f>IF(B152="","",IFERROR(_xlfn.XLOOKUP(B152,Коды_код,Коды_уго),IFERROR(_xlfn.XLOOKUP(BC152,Коды_код,Коды_уго),IFERROR(_xlfn.XLOOKUP(LEFT(BC152,2),Коды_код,Коды_уго),""))))</f>
        <v>Привод (двигатель)</v>
      </c>
      <c r="JI152" t="str">
        <f>IF(B152="","",IF(OR(JH152="",JH152=0),"BOX",IFERROR(IF(VLOOKUP(JH152,УГО_блоки,3,FALSE)&amp;""&lt;&gt;"",VLOOKUP(JH152,УГО_блоки,3,FALSE),VLOOKUP(JH152,УГО_блоки,2,FALSE)),JH152)))</f>
        <v>MOTOR</v>
      </c>
      <c r="JJ152">
        <f t="shared" si="406"/>
        <v>1</v>
      </c>
      <c r="JK152" t="str">
        <f>IF(DQ152="","",IF(COUNTIF(DQ$3:DQ152,DQ152)=1,MAX(JK$2:JK151)+1,""))</f>
        <v/>
      </c>
      <c r="JL152" t="str">
        <f>IF(DE152="","",IF(COUNTIF(DE$3:DE152,DE152)+COUNTIF(DF$2:DF151,DE152)+COUNTIF(DG$2:DG151,DE152)=1,MAX(JL$2:JN151)+1,""))</f>
        <v/>
      </c>
      <c r="JM152" t="str">
        <f>IF(DF152="","",IF(COUNTIF(DE$3:DE152,DF152)+COUNTIF(DF$3:DF152,DF152)+COUNTIF(DG$2:DG151,DF152)=1,MAX(JL$2:JN151,JL152)+1,""))</f>
        <v/>
      </c>
      <c r="JN152" t="str">
        <f>IF(DG152="","",IF(COUNTIF(DE$3:DE152,DG152)+COUNTIF(DF$3:DF152,DG152)+COUNTIF(DG$3:DG152,DG152)=1,MAX(JL$2:JN151,JL152,JM152)+1,""))</f>
        <v/>
      </c>
      <c r="JO152" t="str">
        <f t="shared" si="407"/>
        <v>3х2,5</v>
      </c>
      <c r="JP152" t="str">
        <f>IF(JO152="","",IF(COUNTIF(JO$3:JO152,JO152)=1,MAX(JP$2:JP151)+1,""))</f>
        <v/>
      </c>
      <c r="JQ152" t="str">
        <f>IF(HG152="","",COUNTIF(HG$3:HG152,"?*"))</f>
        <v/>
      </c>
      <c r="JR152" t="str">
        <f>IF(OR(HG152="",HI152=""),"",IF(COUNTIFS(HG$3:HG152,"?*",HI$3:HI152,HI152)=1,MAX(JR$2:JR151)+1,""))</f>
        <v/>
      </c>
      <c r="JS152">
        <f t="shared" si="408"/>
        <v>0</v>
      </c>
      <c r="JT152">
        <f>IF(B152="","",COUNTIF(B$3:B152,"?*"))</f>
        <v>150</v>
      </c>
      <c r="JU152">
        <f>IF(HL152&lt;&gt;1,0,_xlfn.LET(_xlpm.k,MAX(IFERROR(--_xlfn.XLOOKUP(B152,Коды_код,Коды_3L),0),IFERROR(--_xlfn.XLOOKUP(BC152,Коды_код,Коды_3L),0),IFERROR(--_xlfn.XLOOKUP(LEFT(BC152,2),Коды_код,Коды_3L),0)),IF(_xlpm.k&gt;0,_xlpm.k,IF(IFERROR(--LEFT(SUBSTITUTE(JO152,"x","х"),FIND("х",SUBSTITUTE(JO152,"x","х"))-1),3)&gt;3,Каталог!$S$9,1))))</f>
        <v>1</v>
      </c>
      <c r="JV152">
        <f t="shared" si="409"/>
        <v>0</v>
      </c>
      <c r="JW152" t="str">
        <f t="shared" si="410"/>
        <v>авто</v>
      </c>
      <c r="JX152" t="str">
        <f t="shared" si="411"/>
        <v/>
      </c>
      <c r="JY152">
        <f t="shared" si="412"/>
        <v>0</v>
      </c>
      <c r="JZ152">
        <f t="shared" si="413"/>
        <v>1</v>
      </c>
    </row>
    <row r="153" spans="1:286" x14ac:dyDescent="0.3">
      <c r="A153" t="s">
        <v>751</v>
      </c>
      <c r="B153" t="s">
        <v>1462</v>
      </c>
      <c r="C153" t="s">
        <v>1691</v>
      </c>
      <c r="D153">
        <v>1</v>
      </c>
      <c r="E153">
        <v>1.8</v>
      </c>
      <c r="G153" t="str">
        <f>Линии[[#This Row],[_авто автомат]]</f>
        <v>1P С16А</v>
      </c>
      <c r="H153" t="str">
        <f>Линии[[#This Row],[_авто управление]]</f>
        <v/>
      </c>
      <c r="I153" t="str">
        <f>Линии[[#This Row],[_авто аппараты]]</f>
        <v/>
      </c>
      <c r="J153">
        <v>2.5</v>
      </c>
      <c r="K153">
        <v>11</v>
      </c>
      <c r="L153" t="str">
        <f>Линии[[#This Row],[_авто фаза]]</f>
        <v>L2</v>
      </c>
      <c r="M153" t="s">
        <v>484</v>
      </c>
      <c r="N153" t="str">
        <f t="shared" si="276"/>
        <v/>
      </c>
      <c r="O153" s="6" cm="1">
        <f t="array" ref="O153">IF(B153="","",IF(BH153&lt;&gt;"",IFERROR(_xlfn.XLOOKUP(BH153,Щиты[Щит],Щиты[Iр, А]),""),IF(BP153=1,IF(OR(N(_xlfn.XLOOKUP(A153,Щиты[Щит],Щиты[Вводов],1))&lt;=1,LOWER(TRIM(_xlfn.XLOOKUP(A153,Щиты[Щит],Щиты[АВР],"")&amp;""))="да"),IFERROR(_xlfn.XLOOKUP(A153,Щиты[Щит],Щиты[Iр, А]),""),IFERROR(N(BS153)*_xlfn.XLOOKUP(A153,Щиты[Щит],Щиты[Кс итог])/(SQRT(3)*Uн_лин*_xlfn.XLOOKUP(A153,Щиты[Щит],Щиты[cos φ])),"")),IF(BV153=1,IFERROR(BS153*1000/BU153,""),IFERROR(_xlfn.IFS(BX153=1,BS153/((Uн_лин/SQRT(3))*CE153),BX153=3,BS153/(SQRT(3)*Uн_лин*CE153)),"")))))</f>
        <v>9.7427857925749333</v>
      </c>
      <c r="P153" s="7">
        <f>IF(B153="","",IFERROR(IF(VLOOKUP(BC153,Потребители_обозначение,4,FALSE)=1,VLOOKUP(BC153,Потребители_обозначение,3,FALSE)*(MAX(1,N(D153))*2-1)+EI153+VLOOKUP(BE153,Этаж_обозначение,3,FALSE)+VLOOKUP(BE153,Этаж_обозначение,4,FALSE),VLOOKUP(BC153,Потребители_обозначение,3,FALSE)*(MAX(1,N(D153))*2-1)+EI153),EI153))</f>
        <v>15</v>
      </c>
      <c r="Q153" s="6">
        <f t="shared" si="277"/>
        <v>2.06</v>
      </c>
      <c r="R153" t="str">
        <f t="shared" si="278"/>
        <v>ВВГнг(А)-LS (3х2,5)</v>
      </c>
      <c r="S153" t="str">
        <f>IF(BM153="","",IF(BN153="вводной узел","узел ","")&amp;"л."&amp;(INT((BM153-1)/Столбцов_на_лист)+1)&amp;" / "&amp;(MOD(BM153-1,Столбцов_на_лист)+1))</f>
        <v>л.3 / 5</v>
      </c>
      <c r="T153" s="119">
        <f t="shared" si="279"/>
        <v>4</v>
      </c>
      <c r="U153" s="7" t="str">
        <f>IF(OR(CG153=0,N(BV153)+N(IB153)=0),"",ROUNDUP(Запас_БП*(N(HY153)+N(HZ153)),0))</f>
        <v/>
      </c>
      <c r="V153" s="119" t="str">
        <f t="shared" si="280"/>
        <v/>
      </c>
      <c r="W153" s="7" t="str">
        <f>IFERROR(IF(OR(B153="",BP153=1,BV153=1,NOT(ISNUMBER(EN153)),N(DT153)=0),"",MAX(0,ROUNDDOWN((c_min*(Uн_лин*1000/SQRT(3))/(HT153*N(DT153))-_xlfn.XLOOKUP(A153,Щиты[Щит],Щиты[Zпетли на шинах, Ом]))*EN153/(2*ρкз_Cu),0))),"")</f>
        <v/>
      </c>
      <c r="Y153" t="str">
        <f>Линии[[#This Row],[_авто утечка]]</f>
        <v/>
      </c>
      <c r="Z153">
        <v>1</v>
      </c>
      <c r="AA153">
        <v>230</v>
      </c>
      <c r="AB153" t="s">
        <v>598</v>
      </c>
      <c r="AC153">
        <v>0.5</v>
      </c>
      <c r="AG153" t="s">
        <v>810</v>
      </c>
      <c r="AI153" t="s">
        <v>580</v>
      </c>
      <c r="AK153" t="str">
        <f>Линии[[#This Row],[_авто модуль]]</f>
        <v/>
      </c>
      <c r="AM153">
        <v>39</v>
      </c>
      <c r="AN153" t="s">
        <v>11</v>
      </c>
      <c r="AO153">
        <v>3</v>
      </c>
      <c r="AQ153">
        <v>5</v>
      </c>
      <c r="AR153">
        <v>10</v>
      </c>
      <c r="AT153">
        <v>1</v>
      </c>
      <c r="BA153" cm="1">
        <f t="array" ref="BA153">ROW()-ROW(Линии[#Headers])</f>
        <v>151</v>
      </c>
      <c r="BC153" s="6" t="str">
        <f t="shared" si="281"/>
        <v>ПВ</v>
      </c>
      <c r="BD153" t="str">
        <f t="shared" si="282"/>
        <v>8</v>
      </c>
      <c r="BE153" t="str">
        <f t="shared" si="283"/>
        <v>8</v>
      </c>
      <c r="BF153" t="str">
        <f t="shared" si="284"/>
        <v/>
      </c>
      <c r="BG153" t="str">
        <f t="shared" si="285"/>
        <v/>
      </c>
      <c r="BH153" t="str">
        <f>IF(X153&lt;&gt;"",X153,IF(AND(B153&lt;&gt;"",B153&lt;&gt;A153,ISNUMBER(_xlfn.XMATCH(B153,Щиты[Щит]))),B153,""))</f>
        <v/>
      </c>
      <c r="BI153" t="str" cm="1">
        <f t="array" ref="BI153">IF(B153="","",IF(BH153&lt;&gt;"","Щит "&amp;BH153,_xlfn.LET(_xlpm.nm,IFERROR(_xlfn.XLOOKUP(BC153,Коды_код,Коды_имя)&amp;"",""),_xlpm.md,IFERROR(N(_xlfn.XLOOKUP(BC153,Коды_код,Коды_режим)),1),_xlpm.ex,IF(Имя_режим="по экспликации",IFERROR(_xlfn.XLOOKUP(BE153&amp;"|"&amp;BG153,Экспликация[Этаж]&amp;"|"&amp;Экспликация[Помещение],Экспликация[Название])&amp;"",""),""),_xlpm.rm,IF(BG153="","",IF(_xlpm.ex&lt;&gt;"",". "&amp;_xlpm.ex&amp;IF(Имя_пом="нет"," ("&amp;BG153&amp;")"," (пом. "&amp;BG153&amp;")"),IF(Имя_пом="нет"," ",", пом. ")&amp;BG153)),IF(_xlpm.nm="","",IF(_xlpm.md=2,_xlpm.nm&amp;" шлейф "&amp;BE153,_xlpm.nm&amp;_xlpm.rm)))))</f>
        <v>Приточно-вытяжная установка шлейф 8</v>
      </c>
      <c r="BJ153" t="str">
        <f t="shared" si="286"/>
        <v>Приточно-вытяжная установка Технический этаж Пом. №001Т</v>
      </c>
      <c r="BK153">
        <f>IFERROR(_xlfn.XMATCH(A153,Щиты[Щит]),0)</f>
        <v>7</v>
      </c>
      <c r="BL153">
        <f>_xlfn.LET(_xlpm.k,IFERROR(_xlfn.XLOOKUP(A153,Щиты[Щит],Щиты[Мест под вводной узел]),""),IF(_xlpm.k="",Столбцов_на_лист,N(_xlpm.k)))</f>
        <v>12</v>
      </c>
      <c r="BM153">
        <f t="shared" si="287"/>
        <v>39</v>
      </c>
      <c r="BN153" t="str">
        <f t="shared" si="288"/>
        <v>линии</v>
      </c>
      <c r="BO153" s="6">
        <f>IFERROR(N(_xlfn.XLOOKUP(BC153,Коды_код,Коды_квт)),0)</f>
        <v>0</v>
      </c>
      <c r="BP153">
        <f t="shared" si="289"/>
        <v>0</v>
      </c>
      <c r="BQ153" t="str">
        <f>IF(B153="","",IF(BH153&lt;&gt;"",IFERROR(_xlfn.XLOOKUP(BH153,Щиты[Щит],Щиты[Руст, кВт]),0),IF(BP153=1,IF(OR(N(_xlfn.XLOOKUP(A153,Щиты[Щит],Щиты[Вводов],1))&lt;=1,LOWER(TRIM(_xlfn.XLOOKUP(A153,Щиты[Щит],Щиты[АВР],"")&amp;""))="да"),IFERROR(_xlfn.XLOOKUP(A153,Щиты[Щит],Щиты[Руст, кВт]),0),SUMIFS(Линии[_Р для вводов],Линии[Щит],A153,Линии[Источник для режимов],GF153)),IF(BO153&gt;0,ROUND(BO153*MAX(1,N(D153)),3),""))))</f>
        <v/>
      </c>
      <c r="BR153">
        <f t="shared" si="290"/>
        <v>1.8</v>
      </c>
      <c r="BS153" s="6">
        <f>IF(B153="","",IF(BH153&lt;&gt;"",IFERROR(_xlfn.XLOOKUP(BH153,Щиты[Щит],Щиты[Руст, кВт]),0),N(BR153)))</f>
        <v>1.8</v>
      </c>
      <c r="BT153" t="str">
        <f>IF(B153="","",IFERROR(IF(VLOOKUP(BC153,Потребители_обозначение,8,FALSE)=0,"",VLOOKUP(BC153,Потребители_обозначение,8,FALSE)),""))</f>
        <v/>
      </c>
      <c r="BU153">
        <f t="shared" si="291"/>
        <v>230</v>
      </c>
      <c r="BV153">
        <f t="shared" si="292"/>
        <v>0</v>
      </c>
      <c r="BW153">
        <f>IF(B153="","",IF(BH153&lt;&gt;"",3,IFERROR(IF(N(VLOOKUP(BC153,Потребители_обозначение,9,FALSE))=0,1,VLOOKUP(BC153,Потребители_обозначение,9,FALSE)),1)))</f>
        <v>1</v>
      </c>
      <c r="BX153">
        <f t="shared" si="293"/>
        <v>1</v>
      </c>
      <c r="BY153" t="str">
        <f>IF(B153="","",_xlfn.LET(_xlpm.bc,IFERROR(IF(VLOOKUP(BC153,Потребители_обозначение,6,FALSE)=0,"",VLOOKUP(BC153,Потребители_обозначение,6,FALSE)&amp;""),""),IF(AND(GA153="да",OR(_xlpm.bc="",_xlpm.bc="мс")),Марка_пож,IF(AND(_xlpm.bc="",BH153&lt;&gt;""),"мс",_xlpm.bc))))</f>
        <v/>
      </c>
      <c r="BZ153" t="str">
        <f t="shared" si="294"/>
        <v>мс</v>
      </c>
      <c r="CA153">
        <f>IF(B153="","",_xlfn.LET(_xlpm.cc,IFERROR(N(VLOOKUP(BC153,Потребители_обозначение,7,FALSE)),0),IF(_xlpm.cc&gt;0,_xlpm.cc,IF(BZ153="","",IF(BV153=1,2,IF(N(BX153)=3,5,3))))))</f>
        <v>3</v>
      </c>
      <c r="CB153">
        <f t="shared" si="295"/>
        <v>3</v>
      </c>
      <c r="CC153">
        <f>IFERROR(N(VLOOKUP(BC153,Потребители_обозначение,10,FALSE)),0)</f>
        <v>0</v>
      </c>
      <c r="CD153">
        <f>IFERROR(VLOOKUP(BC153,Потребители_обозначение,5,FALSE),0)</f>
        <v>1</v>
      </c>
      <c r="CE153" s="6" cm="1">
        <f t="array" ref="CE153">IF(B153="","",IF(BH153&lt;&gt;"",IFERROR(_xlfn.XLOOKUP(BH153,Щиты[Щит],Щиты[cos φ]),0.95),IF(BP153=1,IFERROR(_xlfn.XLOOKUP(A153,Щиты[Щит],Щиты[cos φ]),0.95),IF(ISNUMBER(AD153),AD153,IFERROR(IF(CD153=2,_xlfn.IFS(BX153=3,VLOOKUP(BS153,Справочная_двигатели,8,FALSE),BX153=1,VLOOKUP(BS153,Справочная_двигатели,10,TRUE)),IF(AND(Методика="нормы 2026",FG153="Сил"),0.8,0.95)),0.95)))))</f>
        <v>0.8</v>
      </c>
      <c r="CF153">
        <f t="shared" si="296"/>
        <v>0</v>
      </c>
      <c r="CG153">
        <f t="shared" si="297"/>
        <v>1</v>
      </c>
      <c r="CH153">
        <f t="shared" si="298"/>
        <v>0</v>
      </c>
      <c r="CI153">
        <f>IF(B153="","",IF(BV153=1,IFERROR(BS153/((Uн_лин/SQRT(3))*MAX(0.5,N(CE153))),0),N(O153)))</f>
        <v>9.7427857925749333</v>
      </c>
      <c r="CJ153">
        <f t="shared" si="299"/>
        <v>0</v>
      </c>
      <c r="CK153">
        <f t="shared" si="300"/>
        <v>0</v>
      </c>
      <c r="CL153">
        <f t="shared" si="301"/>
        <v>0</v>
      </c>
      <c r="CM153">
        <f t="shared" si="302"/>
        <v>0</v>
      </c>
      <c r="CN153">
        <f t="shared" si="303"/>
        <v>0</v>
      </c>
      <c r="CO153">
        <f>IF(BC153="",0,_xlfn.LET(_xlpm.v,IFERROR(_xlfn.XLOOKUP(B153,Коды_код,Коды_мА),IFERROR(_xlfn.XLOOKUP(BC153,Коды_код,Коды_мА),IFERROR(_xlfn.XLOOKUP(LEFT(BC153,2),Коды_код,Коды_мА),""))),IF(_xlpm.v="да",30,IF(ISNUMBER(_xlpm.v),_xlpm.v,0))))</f>
        <v>0</v>
      </c>
      <c r="CP153" t="str">
        <f t="shared" si="304"/>
        <v/>
      </c>
      <c r="CQ153" t="str">
        <f>_xlfn.LET(_xlpm.k,IFERROR(_xlfn.XLOOKUP(BC153,Коды_код,Коды_утечка)&amp;"",""),IF(_xlpm.k="","дифавтомат",_xlpm.k))</f>
        <v>дифавтомат</v>
      </c>
      <c r="CR153" t="str" cm="1">
        <f t="array" ref="CR153">IF(CG153=0,"",_xlfn.LET(_xlpm.sg,TRIM(_xlfn.TEXTSPLIT(DD153&amp;"",";")),_xlpm.f_,_xlfn._xlws.FILTER(_xlpm.sg,LEFT(_xlpm.sg,3)="УЗО",""),IFERROR(INDEX(_xlpm.f_,1)&amp;"","")))</f>
        <v/>
      </c>
      <c r="CS153" t="str">
        <f t="shared" si="305"/>
        <v/>
      </c>
      <c r="CT153" s="6" t="str" cm="1">
        <f t="array" ref="CT153">IF(CR153="","",_xlfn.LET(_xlpm.tk,_xlfn.TEXTSPLIT(UPPER(CR153)," ",,TRUE),_xlpm.a_,_xlfn._xlws.FILTER(_xlpm.tk,ISNUMBER(--LEFT(_xlpm.tk,1))*((ISNUMBER(SEARCH("А",_xlpm.tk))+ISNUMBER(SEARCH("A",_xlpm.tk)))&gt;0)*NOT(ISNUMBER(SEARCH("МА",_xlpm.tk)))*NOT(ISNUMBER(SEARCH("MA",_xlpm.tk))),""),IFERROR(--SUBSTITUTE(SUBSTITUTE(INDEX(_xlpm.a_,1),"А",""),"A",""),"")))</f>
        <v/>
      </c>
      <c r="CU153" t="str" cm="1">
        <f t="array" ref="CU153">IF(CR153="","",_xlfn.LET(_xlpm.tk,_xlfn.TEXTSPLIT(UPPER(CR153)," ",,TRUE),_xlpm.a_,_xlfn._xlws.FILTER(_xlpm.tk,ISNUMBER(--LEFT(_xlpm.tk,1))*((ISNUMBER(SEARCH("МА",_xlpm.tk))+ISNUMBER(SEARCH("MA",_xlpm.tk)))&gt;0),""),IFERROR(--SUBSTITUTE(SUBSTITUTE(INDEX(_xlpm.a_,1),"МА",""),"MA",""),30)))</f>
        <v/>
      </c>
      <c r="CV153" t="str">
        <f>IF(CS153="","",IFERROR(_xlfn.XLOOKUP(CS153,Линии[_n],Линии[_УЗО, мА]),30))</f>
        <v/>
      </c>
      <c r="CW153">
        <f>IF(CS153="",0,IF(ISNUMBER(SEARCH("4P",IFERROR(_xlfn.XLOOKUP(CS153,Линии[_n],Линии[_УЗО строки])&amp;"",""))),0,1))</f>
        <v>0</v>
      </c>
      <c r="CX153" t="str">
        <f>IF(AND(CS153&lt;&gt;"",CS153=BA153),SUMIFS(Линии[_ток на 230 В],Линии[_блок УЗО],BA153,Линии[Щит],A153),"")</f>
        <v/>
      </c>
      <c r="CY153" t="str">
        <f>IF(AND(CS153&lt;&gt;"",CS153=BA153),SUMIFS(Линии[_ток утечки линии, мА],Линии[_блок УЗО],BA153,Линии[Щит],A153),"")</f>
        <v/>
      </c>
      <c r="CZ153">
        <f t="shared" si="306"/>
        <v>0</v>
      </c>
      <c r="DA153">
        <f t="shared" si="307"/>
        <v>0</v>
      </c>
      <c r="DB153">
        <f>IF(B153="",0,IFERROR(--_xlfn.XLOOKUP(B153,Коды_код,Коды_минавт),IFERROR(--_xlfn.XLOOKUP(BC153,Коды_код,Коды_минавт),IFERROR(--_xlfn.XLOOKUP(LEFT(BC153,2),Коды_код,Коды_минавт),0))))</f>
        <v>0</v>
      </c>
      <c r="DC153" t="str">
        <f>IF(B153="","",IFERROR(_xlfn.XLOOKUP(BC153,Коды_код,Коды_апп)&amp;"",""))</f>
        <v/>
      </c>
      <c r="DD153" t="str">
        <f t="shared" si="308"/>
        <v/>
      </c>
      <c r="DE153" t="str" cm="1">
        <f t="array" ref="DE153">IF(TRIM(DD153&amp;"")="","",IFERROR(TRIM(INDEX(_xlfn.TEXTSPLIT(DD153&amp;";;;",";"),1)),""))</f>
        <v/>
      </c>
      <c r="DF153" t="str" cm="1">
        <f t="array" ref="DF153">IF(TRIM(DD153&amp;"")="","",IFERROR(TRIM(INDEX(_xlfn.TEXTSPLIT(DD153&amp;";;;",";"),2)),""))</f>
        <v/>
      </c>
      <c r="DG153" t="str" cm="1">
        <f t="array" ref="DG153">IF(TRIM(DD153&amp;"")="","",IFERROR(TRIM(INDEX(_xlfn.TEXTSPLIT(DD153&amp;";;;",";"),3)),""))</f>
        <v/>
      </c>
      <c r="DH153">
        <f t="shared" si="309"/>
        <v>0</v>
      </c>
      <c r="DI153" t="str">
        <f>IF(B153="","",_xlfn.LET(_xlpm.t,LOWER(AZ153&amp;""),IF(ISNUMBER(SEARCH("dim",_xlpm.t)),"DIM",IF(ISNUMBER(SEARCH("dali",_xlpm.t)),"DALI",IF(OR(ISNUMBER(SEARCH("relay",_xlpm.t)),ISNUMBER(SEARCH("реле",_xlpm.t))),"Relay",IF(ISNUMBER(SEARCH("кнопк",_xlpm.t)),"",IFERROR(_xlfn.XLOOKUP(BC153,Коды_код,Коды_упр)&amp;"","")))))))</f>
        <v/>
      </c>
      <c r="DJ153" t="str">
        <f t="shared" si="310"/>
        <v/>
      </c>
      <c r="DK153">
        <f>IF(B153="","",_xlfn.LET(_xlpm.ig,IF(N(CX153)&gt;0,N(CX153),N(CI153)+IF(AJ153="вручную",0,N(CJ153))),_xlpm.n0,IFERROR(VLOOKUP(_xlpm.ig,Автомат_номиналы,2,TRUE),0),_xlpm.mn,MAX(DB153,IF(AJ153="вручную",0,N(CM153))),MAX(_xlpm.n0,_xlpm.mn,IF(DH153=1,Мин_автомат_БП,0))))</f>
        <v>16</v>
      </c>
      <c r="DL153">
        <f t="shared" si="311"/>
        <v>1</v>
      </c>
      <c r="DM153" t="str">
        <f t="shared" si="312"/>
        <v>1P</v>
      </c>
      <c r="DN153" t="str">
        <f>_xlfn.LET(_xlpm.cc,UPPER(TRIM(IFERROR(_xlfn.XLOOKUP(BC153,Коды_код,Коды_хар)&amp;"",""))),IF(OR(_xlpm.cc="B",_xlpm.cc="В"),"B",IF(_xlpm.cc="D","D","С")))</f>
        <v>С</v>
      </c>
      <c r="DO153" t="str">
        <f t="shared" si="313"/>
        <v>1P С16А</v>
      </c>
      <c r="DP153" t="str">
        <f t="shared" si="314"/>
        <v>1P С16А</v>
      </c>
      <c r="DQ153" t="str">
        <f t="shared" si="315"/>
        <v>1P С16А</v>
      </c>
      <c r="DR153" cm="1">
        <f t="array" ref="DR153">IF(DQ153="","",_xlfn.LET(_xlpm.t,SUBSTITUTE(SUBSTITUTE(SUBSTITUTE(UPPER(DQ153),"С","C"),"А","A"),"В","B"),_xlpm.tk,_xlfn.TEXTSPLIT(_xlpm.t," "),_xlpm.f,_xlfn._xlws.FILTER(_xlpm.tk,ISNUMBER(--MID(_xlpm.tk,2,1))*ISNUMBER(SEARCH(LEFT(_xlpm.tk,1)&amp;"#","B#C#D#"))*(LEN(_xlpm.tk)&gt;1),""),_xlpm.x,INDEX(_xlpm.f,1),IFERROR(--SUBSTITUTE(MID(_xlpm.x,2,9),"A",""),IFERROR(--SUBSTITUTE(INDEX(_xlfn._xlws.FILTER(_xlpm.tk,ISNUMBER(--SUBSTITUTE(_xlpm.tk,"A","")),""),1),"A",""),""))))</f>
        <v>16</v>
      </c>
      <c r="DS153" t="str">
        <f t="shared" si="316"/>
        <v>ok</v>
      </c>
      <c r="DT153">
        <f t="shared" si="317"/>
        <v>16</v>
      </c>
      <c r="DU153" t="str">
        <f t="shared" si="318"/>
        <v>1P С16А</v>
      </c>
      <c r="DV153">
        <f t="shared" si="319"/>
        <v>0</v>
      </c>
      <c r="DW153">
        <f t="shared" si="320"/>
        <v>0</v>
      </c>
      <c r="DX153">
        <f t="shared" si="321"/>
        <v>0</v>
      </c>
      <c r="DY153">
        <f t="shared" si="322"/>
        <v>9.7427857925749333</v>
      </c>
      <c r="DZ153">
        <f t="shared" si="323"/>
        <v>1</v>
      </c>
      <c r="EA153">
        <f>IF(ISNUMBER(AP153),AP153,К_прокл)</f>
        <v>1</v>
      </c>
      <c r="EB153">
        <f t="shared" si="324"/>
        <v>2</v>
      </c>
      <c r="EC153">
        <f>IFERROR(N(VLOOKUP(BZ153,Кабель_обозначение,3,FALSE)),1)</f>
        <v>1</v>
      </c>
      <c r="ED153">
        <f>IFERROR(N(_xlfn.XLOOKUP(A153,Щиты[Щит],Щиты[ΔU до шин, %])),0)</f>
        <v>1.1399999999999999</v>
      </c>
      <c r="EE153" t="str">
        <f>IFERROR(_xlfn.XLOOKUP(A153,Щиты[Щит],Щиты[Zпетли на шинах, Ом]),"")</f>
        <v/>
      </c>
      <c r="EF153">
        <f>IFERROR(N(_xlfn.XLOOKUP(A153,Щиты[Щит],Щиты[ΔU до шин (подбор), %])),0)</f>
        <v>1.82</v>
      </c>
      <c r="EG153" t="str">
        <f>IFERROR(_xlfn.XLOOKUP(A153,Щиты[Щит],Щиты[Zпетли на шинах (подбор), Ом]),"")</f>
        <v/>
      </c>
      <c r="EH153" t="str">
        <f t="shared" si="325"/>
        <v/>
      </c>
      <c r="EI153">
        <f t="shared" si="326"/>
        <v>11</v>
      </c>
      <c r="EJ153">
        <f t="shared" si="327"/>
        <v>2</v>
      </c>
      <c r="EK153">
        <f t="shared" si="328"/>
        <v>0.6</v>
      </c>
      <c r="EL153" s="6">
        <f>IF(B153="","",IF(BV153=1,dU_LED,IF(IFERROR(_xlfn.XLOOKUP(BC153,Коды_код,Коды_уго),"")="Светильник",3,4)+IF(Методика="нормы 2026",MIN(0.5,MAX(0,N(P153)-100)*0.005),0)))</f>
        <v>4</v>
      </c>
      <c r="EM153" cm="1">
        <f t="array" ref="EM153">IF(OR(B153="",BZ153="",EC153&lt;&gt;1),"",_xlfn.LET(_xlpm.sz,Iдоп_S,_xlpm.t_,CHOOSE(EB153,Iдоп_1ж,Iдоп_2ж,Iдоп_3ж)*DZ153*EA153,_xlpm.dcx,BV153=1,_xlpm.inn,IF(_xlpm.dcx,N(O153),N(DT153)),_xlpm.smin,MAX(1.5,CC153),_xlpm.L_,N(P153)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153)/N(BU153)*100,999),IFERROR(N(EJ153)*(_xlpm.rho*_xlpm.L_/_xlpm.sz*N(CE153)+_xlpm.xx*_xlpm.L_*N(EK153)/1000)*N(O153)/((Uн_лин/SQRT(3))*1000)*100,999)),_xlpm.kz,IF(OR(_xlpm.dcx,DW153=1,NOT(ISNUMBER(EG153)),_xlpm.L_=0,_xlpm.inn=0),1,IFERROR(--(c_min*(Uн_лин*1000/SQRT(3))/(EG153+2*ρкз_Cu*_xlpm.L_/_xlpm.sz)&gt;=HT153*_xlpm.inn),0)),_xlpm.ok,IFERROR((_xlpm.sz&gt;=_xlpm.smin)*(_xlpm.t_&gt;=_xlpm.inn)*IF(_xlpm.L_&gt;0,(_xlpm.du_+IF(_xlpm.dcx,0,EF153)&lt;=EL153+0.00001),1)*_xlpm.kz,0),_xlpm.r_,_xlfn._xlws.FILTER(_xlpm.sz,_xlpm.ok,"не подобрано"),INDEX(_xlpm.r_,1)))</f>
        <v>1.5</v>
      </c>
      <c r="EN153">
        <f t="shared" si="329"/>
        <v>2.5</v>
      </c>
      <c r="EO153" cm="1">
        <f t="array" ref="EO153">IF(OR(B153="",BZ153="",EC153&lt;&gt;1),"",_xlfn.LET(_xlpm.sz,Iдоп_S,_xlpm.t_,CHOOSE(EB153,Iдоп_1ж,Iдоп_2ж,Iдоп_3ж)*DZ153*EA153,_xlpm.ok,IFERROR((_xlpm.sz&gt;=MAX(1.5,CC153))*(_xlpm.t_&gt;=N(DT153)),0),_xlpm.r_,_xlfn._xlws.FILTER(_xlpm.sz,_xlpm.ok,""),INDEX(_xlpm.r_,1)))</f>
        <v>1.5</v>
      </c>
      <c r="EP153" s="6" cm="1">
        <f t="array" ref="EP153">IFERROR(ROUNDUP(N(EJ153)*(_xlfn.XLOOKUP(EO153,INDEX(Кабель_сопротивление,0,1),INDEX(Кабель_сопротивление,0,3))*N(P153)/EO153*N(CE153)+_xlfn.XLOOKUP(EO153,INDEX(Кабель_сопротивление,0,1),INDEX(Кабель_сопротивление,0,2))*N(P153)*N(EK153)/1000)*N(O153)/((Uн_лин/SQRT(3))*1000)*100,2),"")</f>
        <v>1.53</v>
      </c>
      <c r="EQ153">
        <f>IFERROR(2*ρкз_Cu*N(P153)/EO153,"")</f>
        <v>0.52600000000000002</v>
      </c>
      <c r="ER153">
        <f>IFERROR(VLOOKUP(EN153,Кабель_сопротивление,3,FALSE),"")</f>
        <v>2.2499999999999999E-2</v>
      </c>
      <c r="ES153">
        <f>IFERROR(VLOOKUP(EN153,Кабель_сопротивление,2,FALSE),"")</f>
        <v>0.1</v>
      </c>
      <c r="ET153">
        <f t="shared" si="330"/>
        <v>10</v>
      </c>
      <c r="EU153">
        <f t="shared" si="331"/>
        <v>0</v>
      </c>
      <c r="EV153">
        <f t="shared" si="332"/>
        <v>2.1219787456228203</v>
      </c>
      <c r="EW153" s="6">
        <f>IFERROR(ROUNDUP(EV153/IF(BV153=1,BU153,(Uн_лин/SQRT(3))*1000)*100,2),"")</f>
        <v>0.92</v>
      </c>
      <c r="EX153" t="str">
        <f>IFERROR(VLOOKUP(BZ153,Кабель_обозначение,2,FALSE),"")</f>
        <v>ВВГнг(А)-LS</v>
      </c>
      <c r="EY153" t="str">
        <f t="shared" si="333"/>
        <v>ВВГнг(А)-LS (3х2,5)</v>
      </c>
      <c r="EZ153" t="str">
        <f t="shared" si="334"/>
        <v>ВВГнг(А)-LS (3х2,5)
L=15-0,92%</v>
      </c>
      <c r="FA153">
        <f>IFERROR(2*ρкз_Cu*P153/EN153,"")</f>
        <v>0.31559999999999999</v>
      </c>
      <c r="FB153">
        <f t="shared" si="335"/>
        <v>0.10500000000000001</v>
      </c>
      <c r="FC153" s="6" t="str">
        <f>IFERROR(IF(OR(B153="",BV153=1,NOT(ISNUMBER(EN153)),N(P153)=0),"",_xlfn.XLOOKUP(A153,Щиты[Щит],Щиты[Zпетли на шинах, Ом])+FA153),"")</f>
        <v/>
      </c>
      <c r="FD153" s="6" t="str">
        <f>IF(ISNUMBER(FC153),c_min*(Uн_лин*1000/SQRT(3))/FC153,"")</f>
        <v/>
      </c>
      <c r="FE153" s="6" t="str">
        <f>IFERROR(IF(OR(B153="",NOT(ISNUMBER(EN153))),"",1.05*(Uн_лин*1000/SQRT(3))/(_xlfn.XLOOKUP(A153,Щиты[Щит],Щиты[Zmax на шинах, Ом])+FB153)/1000),"")</f>
        <v/>
      </c>
      <c r="FF153" s="6" t="str">
        <f>IF(B153="","",IF(ISNUMBER(AC153),"Сил",IF(IFERROR(_xlfn.XLOOKUP(BC153,Коды_код,Коды_группа)&amp;"","")="","Быт",_xlfn.XLOOKUP(BC153,Коды_код,Коды_группа)&amp;"")))</f>
        <v>Сил</v>
      </c>
      <c r="FG153" s="6" t="str">
        <f t="shared" si="336"/>
        <v>Сил</v>
      </c>
      <c r="FH153" s="6">
        <f>IF(FG153="Щит","щит",IF(FG153="","",IF(FG153="Быт",IFERROR(_xlfn.XLOOKUP(A153,Щиты[Щит],Щиты[Кс быт]),1),IF(FG153="Сил",IF(ISNUMBER(AC153),AC153,IF(Методика="нормы 2026",IFERROR(_xlfn.XLOOKUP(A153,Щиты[Щит],Щиты[Кс силовых (табл. 7.5)]),1),1)),IF(OR(FG153="Пост",FG153="Отоп"),1,IF(FG153="ВНГ",0.7,0))))))</f>
        <v>0.5</v>
      </c>
      <c r="FI153">
        <f>IF(FG153="","",IF(AND(BP153=1,TRIM(AE153&amp;"")=""),IF(COUNTIFS(Линии[Щит],A153,Линии[Секция (1/2/3)],"&gt;=2")&gt;0,MIN(3,MAX(1,IFERROR(--BD153,1))),1),IFERROR(MIN(3,MAX(1,INT(--AE153))),1)))</f>
        <v>1</v>
      </c>
      <c r="FJ153">
        <f t="shared" si="337"/>
        <v>1.8</v>
      </c>
      <c r="FK153">
        <f t="shared" si="338"/>
        <v>0</v>
      </c>
      <c r="FL153">
        <f t="shared" si="339"/>
        <v>0.9</v>
      </c>
      <c r="FM153">
        <f t="shared" si="340"/>
        <v>0</v>
      </c>
      <c r="FN153">
        <f t="shared" si="341"/>
        <v>0</v>
      </c>
      <c r="FO153">
        <f t="shared" si="342"/>
        <v>0</v>
      </c>
      <c r="FP153">
        <f t="shared" si="343"/>
        <v>1.8</v>
      </c>
      <c r="FQ153">
        <f t="shared" si="344"/>
        <v>1.8</v>
      </c>
      <c r="FR153">
        <f t="shared" si="345"/>
        <v>1.4400000000000002</v>
      </c>
      <c r="FS153">
        <f>IF(CG153=1,IF(AND(CH153=1,CW153=1),0,IF(AND(CS153&lt;&gt;"",CS153=BA153,CW153=1),SUMIFS(Линии[_Р линии, кВт],Линии[_блок УЗО],BA153,Линии[Щит],A153),N(BS153)+IF(AJ153="вручную",0,N(CK153)))),0)</f>
        <v>1.8</v>
      </c>
      <c r="FT153" t="str">
        <f t="shared" si="346"/>
        <v/>
      </c>
      <c r="FU153" t="str">
        <f>IF(B153="","",IF(CG153=0,IF(BA153=1,"",FW152),IF(AND(CH153=1,CW153=1,CS153&lt;&gt;""),IFERROR(_xlfn.XLOOKUP(CS153,Линии[_n],Линии[_фаза итог]),"L1"),IF(OR(N(DL153)&gt;=3,N(BX153)&gt;=3),"L1,L2,L3",IFERROR(_xlfn.TEXTBEFORE(_xlfn.TEXTAFTER(_xlfn.XLOOKUP(A153,Щиты[Щит],Щиты[_фазы авто]),";"&amp;BA153&amp;":"),";"),"L1")))))</f>
        <v>L2</v>
      </c>
      <c r="FV153" t="str">
        <f t="shared" si="347"/>
        <v>L2</v>
      </c>
      <c r="FW153" t="str">
        <f t="shared" si="348"/>
        <v>L2</v>
      </c>
      <c r="FX153" cm="1">
        <f t="array" ref="FX153">IFERROR(IF(CD153=2,_xlfn.IFS(BX153=3,VLOOKUP(BS153,Справочная_двигатели,3,FALSE),BX153=1,VLOOKUP(BS153,Справочная_двигатели,5,TRUE)),0),0)</f>
        <v>0</v>
      </c>
      <c r="FY153">
        <f>IFERROR(IF(CD153=3,VLOOKUP(BS153,Справочная_ЛЭД,2,TRUE),0),0)</f>
        <v>0</v>
      </c>
      <c r="FZ153" s="6">
        <f t="shared" si="349"/>
        <v>0</v>
      </c>
      <c r="GA153" t="str">
        <f>IF(B153="","",IF(TRIM(AH153&amp;"")&lt;&gt;"",IF(LOWER(TRIM(AH153&amp;""))="да","да","нет"),IF(IFERROR(_xlfn.XLOOKUP(BC153,Коды_код,Коды_пожарная),"")="да","да","нет")))</f>
        <v>нет</v>
      </c>
      <c r="GB153" t="str">
        <f t="shared" si="350"/>
        <v/>
      </c>
      <c r="GC153" t="str">
        <f t="shared" si="351"/>
        <v>основная</v>
      </c>
      <c r="GD153">
        <f>IF(AND(BP153=1,TRIM(AE153&amp;"")=""),IF(COUNTIFS(Линии[Щит],A153,Линии[Секция (1/2/3)],"&gt;=2")&gt;0,MIN(3,MAX(1,IFERROR(--BD153,1))),1),IFERROR(MIN(3,MAX(1,INT(--AE153))),1))</f>
        <v>1</v>
      </c>
      <c r="GE153" t="str" cm="1">
        <f t="array" ref="GE153">IF(B153="","",_xlfn.LET(_xlpm.t,IFERROR(_xlfn.XLOOKUP(1,(Шины[Шина]=GC153)*(((Шины[Щит]=A153)+(Шины[Щит]=""))&gt;0),Шины[Тип]),"")&amp;"",IF(_xlpm.t&lt;&gt;"",_xlpm.t,IF(ISNUMBER(SEARCH("ИБП",GC153)),"ИБП",IF(ISNUMBER(SEARCH("ДГУ",GC153)),"ДГУ","Ввод "&amp;GD153)))))</f>
        <v>Ввод 1</v>
      </c>
      <c r="GF153" t="str">
        <f t="shared" si="352"/>
        <v>Ввод 1</v>
      </c>
      <c r="GG153" t="str">
        <f>IF(BP153=0,"",IF(TRIM(AG153&amp;"")&lt;&gt;"",TRIM(AG153&amp;""),IF(OR(GE153="ИБП",GE153="ДГУ"),"I особая",_xlfn.XLOOKUP(A153,Щиты[Щит],Щиты[Категория шины «Ввод»],"III"))))</f>
        <v/>
      </c>
      <c r="GH153" t="str">
        <f>IF(A153="","",_xlfn.XLOOKUP(A153,Щиты[Щит],Щиты[Путь],""))</f>
        <v>|ГРЩ-ЖД|ЩОВ-2|</v>
      </c>
      <c r="GI153" t="str">
        <f>IF(B153="","",IF(AI153&lt;&gt;"",AI153,IF(IFERROR(_xlfn.XLOOKUP(BC153,Коды_код,Коды_вид)&amp;"","")="","Прочее",_xlfn.XLOOKUP(BC153,Коды_код,Коды_вид)&amp;"")))</f>
        <v>Вентиляция</v>
      </c>
      <c r="GJ153">
        <f>IF(BM153="","",INT((BM153-1)/Столбцов_на_лист)+1)</f>
        <v>3</v>
      </c>
      <c r="GK153" t="str">
        <f t="shared" si="353"/>
        <v>ВВГнг(А)-LS (3х2,5) L=15-0,92%</v>
      </c>
      <c r="GL153">
        <f t="shared" si="354"/>
        <v>1.8</v>
      </c>
      <c r="GM153">
        <f t="shared" si="355"/>
        <v>9.75</v>
      </c>
      <c r="GN153">
        <f t="shared" si="356"/>
        <v>1</v>
      </c>
      <c r="GO153">
        <f t="shared" si="357"/>
        <v>0</v>
      </c>
      <c r="GP153">
        <f t="shared" si="358"/>
        <v>1</v>
      </c>
      <c r="GQ153">
        <f>IF(BM153="","",IF(AND(CG153=1,GP153=1),COUNTIFS(A$3:A153,A153,CG$3:CG153,1,GP$3:GP153,1),IF(OR(OR(BA153=1,A153&lt;&gt;A152),AJ153="вручную",GP153=0),"",IF(BA153=1,"",GR152))))</f>
        <v>23</v>
      </c>
      <c r="GR153">
        <f t="shared" si="359"/>
        <v>23</v>
      </c>
      <c r="GS153">
        <f>IF(B153="","",IFERROR(LOOKUP(INDEX(CHOOSE(EB153,Iдоп_1ж,Iдоп_2ж,Iдоп_3ж),MATCH(EN153,Iдоп_S,0))*DZ153*EA153,{6,10,16,20,25,32,40,50,63,80,100,125,160,200,250,315,400,500,630}),""))</f>
        <v>25</v>
      </c>
      <c r="GT153" t="str">
        <f t="shared" si="360"/>
        <v>QF23</v>
      </c>
      <c r="GU153" t="str">
        <f t="shared" si="361"/>
        <v>QF23</v>
      </c>
      <c r="GV153" t="str">
        <f t="shared" si="362"/>
        <v/>
      </c>
      <c r="GW153">
        <f t="shared" si="363"/>
        <v>0</v>
      </c>
      <c r="GX153" t="str">
        <f>IF(OR(B153="",DJ153=""),"",IFERROR(_xlfn.XLOOKUP(DJ153,Модули_умолч[Управление],Модули_умолч[Модель])&amp;"",""))</f>
        <v/>
      </c>
      <c r="GY153">
        <f>IF(DJ153="",1,IFERROR(MAX(0,N(_xlfn.XLOOKUP(DJ153,Модули_умолч[Управление],Модули_умолч[Каналов на линию]))),1))</f>
        <v>1</v>
      </c>
      <c r="GZ153" t="str">
        <f t="shared" si="364"/>
        <v/>
      </c>
      <c r="HA153" t="str">
        <f t="shared" si="365"/>
        <v/>
      </c>
      <c r="HB153" t="str">
        <f t="shared" si="366"/>
        <v/>
      </c>
      <c r="HC153">
        <f>IF(HB153="",0,IFERROR(N(VLOOKUP(HB153,Модули_спр,3,FALSE)),0))</f>
        <v>0</v>
      </c>
      <c r="HD153" t="str">
        <f t="shared" si="367"/>
        <v/>
      </c>
      <c r="HE153" t="str">
        <f t="shared" si="368"/>
        <v/>
      </c>
      <c r="HF153" t="str">
        <f>IF(OR(HE153="",HE153="-"),"",IFERROR(VLOOKUP(HE153,Модули_спр,2,FALSE),"R"))</f>
        <v/>
      </c>
      <c r="HG153" t="str">
        <f>IF(HF153="","",HF153&amp;"."&amp;COUNTIFS(A$3:A153,A153,HF$3:HF153,HF153))</f>
        <v/>
      </c>
      <c r="HH153" t="str">
        <f t="shared" si="369"/>
        <v/>
      </c>
      <c r="HI153" t="str">
        <f t="shared" si="370"/>
        <v/>
      </c>
      <c r="HJ153" t="str">
        <f t="shared" si="371"/>
        <v/>
      </c>
      <c r="HK153" t="str">
        <f t="shared" si="372"/>
        <v/>
      </c>
      <c r="HL153">
        <f t="shared" si="373"/>
        <v>1</v>
      </c>
      <c r="HM153" t="str">
        <f>IF(HL153=1,"XT"&amp;COUNTIFS(A$3:A153,A153,HL$3:HL153,1),"")</f>
        <v>XT23</v>
      </c>
      <c r="HN153" t="str">
        <f t="shared" si="374"/>
        <v/>
      </c>
      <c r="HO153" t="str">
        <f t="shared" si="375"/>
        <v>QF23</v>
      </c>
      <c r="HP153" t="str">
        <f t="shared" si="376"/>
        <v/>
      </c>
      <c r="HQ153" t="str">
        <f t="shared" si="377"/>
        <v>ok</v>
      </c>
      <c r="HR153" t="str">
        <f>IF(OR(HJ153="",HH153=""),"",IF(HJ153+MAX(0,GY153-1)&gt;IFERROR(VLOOKUP(HI153,Модули_спр,3,FALSE),99),"ЛИШНИЙ КАНАЛ",IF(AND(AL153&lt;&gt;"=",GY153&gt;0,COUNTIFS(Линии[_модуль гр.],HH153,Линии[Канал (итог)],HJ153,Линии[Канал],"&lt;&gt;=",Линии[Щит],A153)&gt;1),"ДУБЛЬ КАНАЛА","")))</f>
        <v/>
      </c>
      <c r="HS153" s="6" t="str">
        <f t="shared" si="378"/>
        <v/>
      </c>
      <c r="HT153">
        <f t="shared" si="379"/>
        <v>10</v>
      </c>
      <c r="HU153" t="str">
        <f t="shared" si="380"/>
        <v/>
      </c>
      <c r="HV153">
        <f t="shared" si="381"/>
        <v>4.0471143170299735</v>
      </c>
      <c r="HW153">
        <f t="shared" si="382"/>
        <v>0</v>
      </c>
      <c r="HX153">
        <f t="shared" si="383"/>
        <v>0</v>
      </c>
      <c r="HY153">
        <f t="shared" si="384"/>
        <v>0</v>
      </c>
      <c r="HZ153">
        <f t="shared" si="385"/>
        <v>0</v>
      </c>
      <c r="IA153">
        <f t="shared" si="386"/>
        <v>0</v>
      </c>
      <c r="IB153">
        <f t="shared" si="387"/>
        <v>0</v>
      </c>
      <c r="IC153" t="str">
        <f t="shared" si="388"/>
        <v/>
      </c>
      <c r="ID153" t="str" cm="1">
        <f t="array" ref="ID153">IF(IC153="","",_xlfn.LET(_xlpm.tk,_xlfn.TEXTSPLIT(SUBSTITUTE(SUBSTITUTE(IC153,";"," "),"→"," ")," ",,TRUE),_xlpm.w_,_xlfn._xlws.FILTER(_xlpm.tk,ISNUMBER(--LEFT(_xlpm.tk,1))*((ISNUMBER(SEARCH("W",_xlpm.tk))+ISNUMBER(SEARCH("Вт",_xlpm.tk)))&gt;0),""),IFERROR(--SUBSTITUTE(SUBSTITUTE(UPPER(INDEX(_xlpm.w_,1)),"W",""),"ВТ",""),"")))</f>
        <v/>
      </c>
      <c r="IE153" t="str" cm="1">
        <f t="array" ref="IE153">IF(IC153="","",_xlfn.LET(_xlpm.tk,_xlfn.TEXTSPLIT(SUBSTITUTE(SUBSTITUTE(IC153,";"," "),"→"," ")," ",,TRUE),_xlpm.v_,_xlfn._xlws.FILTER(_xlpm.tk,ISNUMBER(--LEFT(_xlpm.tk,1))*((ISNUMBER(SEARCH("V",_xlpm.tk))+(RIGHT(UPPER(_xlpm.tk))="В"))&gt;0),""),IFERROR(--SUBSTITUTE(SUBSTITUTE(UPPER(INDEX(_xlpm.v_,1)),"V",""),"В",""),"")))</f>
        <v/>
      </c>
      <c r="IF153" s="6" t="str">
        <f>IF(OR(BV153=0,HI153="",HJ153=""),"",IFERROR(N(_xlfn.XLOOKUP(HI153,Каталог!$C$4:$C$500,Каталог!$Q$4:$Q$500)),""))</f>
        <v/>
      </c>
      <c r="IG153" s="6" t="str">
        <f>IF(N(IF153)=0,"",SUMIFS(Линии[Iр, А],Линии[Щит],A153,Линии[_модуль гр.],HH153,Линии[Канал (итог)],HJ153))</f>
        <v/>
      </c>
      <c r="IH153" t="str">
        <f>IF(AND(B153="",HO153=""),"",_xlfn.TEXTJOIN("; ",TRUE,IF(AND(B153&lt;&gt;"",FV153=""),"нет фазы",""),IF(AND(B153&lt;&gt;"",N(GL153)=0,FG153&lt;&gt;"Нет"),"нет мощности",""),IF(AND(HN153&lt;&gt;"",COUNTIFS(Линии[Щит],A153,Линии[Клемма (итог)],HN153)&gt;1),"дубль клеммы "&amp;HN153,""),IF(AND(HQ153&lt;&gt;"",HQ153&lt;&gt;"ok"),HQ153,""),IF(HR153&lt;&gt;"",HR153,""),IF(AND(N(CB153)&gt;=4,N(BX153)=1),CB153&amp;" жил на 1 фазе",""),IF(AND(BC153="R",CG153=1,IF(CS153&lt;&gt;"",N(CV153)&gt;30,OR(N(DA153)=0,N(DA153)&gt;30))),"розетка без дифзащиты до 30 мА",""),IF(AND(CG153=1,N(DA153)&gt;0,ISNUMBER(T153)),IF(T153&gt;N(DA153)/3,"ток утечки "&amp;FIXED(T153,1)&amp;" мА &gt; 1/3 уставки ("&amp;DA153&amp;" мА)",""),""),IF(AND(CH153=1,CS153=""),"«узо»: нет строки с УЗО выше (УЗО 2P 40А 30мА в «Аппаратах»)",""),IF(AND(CS153&lt;&gt;"",CS153=BA153),IF(CT153="","впишите номинал УЗО (УЗО 2P 40А 30мА)",IF(N(CT153)&lt;N(DT153),"УЗО "&amp;CT153&amp;" А &lt; автомата "&amp;DT153&amp;" А перед ним",IF(N(CT153)&lt;N(CX153),"УЗО "&amp;CT153&amp;" А &lt; тока блока "&amp;FIXED(CX153,1)&amp;" А",""))),""),IF(AND(CS153&lt;&gt;"",CS153=BA153,ISNUMBER(CY153)),IF(CY153&gt;N(CV153)/3,"ток утечки блока УЗО "&amp;FIXED(CY153,1)&amp;" мА &gt; 1/3 уставки ("&amp;CV153&amp;" мА)",""),""),IF(AND(CG153=1,N(BV153)+N(IB153)&gt;0,IC153=""),"линии до 50 В без БП: впишите в «Аппараты» (БП 24V 480W)",""),IF(AND(CG153=1,ISNUMBER(ID153),ISNUMBER(U153)),IF(U153&gt;ID153,"БП "&amp;ID153&amp;" Вт &lt; нужно "&amp;U153&amp;" Вт (×"&amp;Запас_БП&amp;")",""),""),IF(AND(CG153=1,ISNUMBER(IE153),N(BV153)=1),IF(IE153&lt;&gt;N(BU153),"БП на "&amp;IE153&amp;" В, линия "&amp;BU153&amp;" В",""),""),IF(AND(N(IF153)&gt;0,N(IG153)&gt;N(IF153)),HH153&amp;" канал "&amp;HJ153&amp;": "&amp;FIXED(IG153,1)&amp;" А &gt; "&amp;IF153&amp;" А",""),IFERROR(IF(AND(ISNUMBER(Q153),Q153&gt;EL153),"потери "&amp;FIXED(Q153,1)&amp;" % &gt; "&amp;EL153&amp;" %",""),""),IFERROR(IF(LEFT(HU153,4)="мало","Iкз мало — отключение &gt; 0,4 с",""),""),IF(AND(B153&lt;&gt;"",BM153=""),"не на схеме",""),IF(AND(CG153=0,B153&lt;&gt;"",FV153&lt;&gt;"",IF(BA153=1,"",FW152)&lt;&gt;"",FV153&lt;&gt;IF(BA153=1,"",FW152)),"фаза не как у автомата группы ("&amp;IF(BA153=1,"",FW152)&amp;")","")))</f>
        <v/>
      </c>
      <c r="II153" s="6">
        <f>IF(OR(CG153=0,DQ153=""),"",_xlfn.LET(_xlpm.t,IFERROR(_xlfn.XLOOKUP(DQ153,Каталог!$U$4:$U$500,Каталог!$G$4:$G$500),""),_xlpm.k,SEARCH("кА",_xlpm.t),IFERROR(--TRIM(RIGHT(SUBSTITUTE(MID(_xlpm.t,MAX(1,_xlpm.k-4),_xlpm.k-MAX(1,_xlpm.k-4))," ",REPT(" ",9)),5)),"")))</f>
        <v>6</v>
      </c>
      <c r="IJ153" t="str">
        <f>IF(OR(II153="",CG153=0),"",IF(_xlfn.XLOOKUP(A153,Щиты[Щит],Щиты[Iкз max на шинах, кА],"")="","",IF(II153&lt;_xlfn.XLOOKUP(A153,Щиты[Щит],Щиты[Iкз max на шинах, кА]),"Icu "&amp;II153&amp;" кА &lt; Iкз max","ok")))</f>
        <v/>
      </c>
      <c r="IK153" t="str">
        <f t="shared" si="389"/>
        <v/>
      </c>
      <c r="IL153" t="str">
        <f t="shared" si="390"/>
        <v>QF23</v>
      </c>
      <c r="IM153" t="str">
        <f t="shared" si="391"/>
        <v>QF23|кабель ВВГнг(А)-LS (3х2,5) → Приточно-вытяжная установка Технический этаж Пом. №001Т</v>
      </c>
      <c r="IN153" t="str" cm="1">
        <f t="array" ref="IN153">IF(IM153="","",_xlfn.LET(_xlpm.nd,_xlfn.TEXTSPLIT(IM153,"|"),IF(COLUMNS(_xlpm.nd)&gt;1,A153&amp;"¦"&amp;INDEX(_xlpm.nd,1)&amp;"¦"&amp;INDEX(_xlpm.nd,2),"")))</f>
        <v>ЩОВ-2¦QF23¦кабель ВВГнг(А)-LS (3х2,5) → Приточно-вытяжная установка Технический этаж Пом. №001Т</v>
      </c>
      <c r="IO153" t="str">
        <f t="shared" si="392"/>
        <v>ПВ.8¦Приточно-вытяжная установка Технический этаж Пом. №001Т</v>
      </c>
      <c r="IP153" t="str" cm="1">
        <f t="array" ref="IP153">IF(IM153="","",_xlfn.LET(_xlpm.nd,_xlfn.TEXTSPLIT(IM153,"|"),IF(COLUMNS(_xlpm.nd)&gt;2,A153&amp;"¦"&amp;INDEX(_xlpm.nd,2)&amp;"¦"&amp;INDEX(_xlpm.nd,3),"")))</f>
        <v/>
      </c>
      <c r="IQ153" t="str">
        <f t="shared" si="393"/>
        <v/>
      </c>
      <c r="IR153" t="str" cm="1">
        <f t="array" ref="IR153">IF(IM153="","",_xlfn.LET(_xlpm.nd,_xlfn.TEXTSPLIT(IM153,"|"),IF(COLUMNS(_xlpm.nd)&gt;3,A153&amp;"¦"&amp;INDEX(_xlpm.nd,3)&amp;"¦"&amp;INDEX(_xlpm.nd,4),"")))</f>
        <v/>
      </c>
      <c r="IS153" t="str">
        <f t="shared" si="394"/>
        <v/>
      </c>
      <c r="IT153" t="str" cm="1">
        <f t="array" ref="IT153">IF(IM153="","",_xlfn.LET(_xlpm.nd,_xlfn.TEXTSPLIT(IM153,"|"),IF(COLUMNS(_xlpm.nd)&gt;4,A153&amp;"¦"&amp;INDEX(_xlpm.nd,4)&amp;"¦"&amp;INDEX(_xlpm.nd,5),"")))</f>
        <v/>
      </c>
      <c r="IU153" t="str">
        <f t="shared" si="395"/>
        <v/>
      </c>
      <c r="IV153" t="str" cm="1">
        <f t="array" ref="IV153">IF(IM153="","",_xlfn.LET(_xlpm.nd,_xlfn.TEXTSPLIT(IM153,"|"),IF(COLUMNS(_xlpm.nd)&gt;5,A153&amp;"¦"&amp;INDEX(_xlpm.nd,5)&amp;"¦"&amp;INDEX(_xlpm.nd,6),"")))</f>
        <v/>
      </c>
      <c r="IW153" t="str">
        <f t="shared" si="396"/>
        <v/>
      </c>
      <c r="IX153" t="str" cm="1">
        <f t="array" ref="IX153">IF(IM153="","",_xlfn.LET(_xlpm.nd,_xlfn.TEXTSPLIT(IM153,"|"),IF(COLUMNS(_xlpm.nd)&gt;6,A153&amp;"¦"&amp;INDEX(_xlpm.nd,6)&amp;"¦"&amp;INDEX(_xlpm.nd,7),"")))</f>
        <v/>
      </c>
      <c r="IY153" t="str">
        <f t="shared" si="397"/>
        <v/>
      </c>
      <c r="IZ153" t="str">
        <f t="shared" si="398"/>
        <v/>
      </c>
      <c r="JA153" t="str">
        <f t="shared" si="399"/>
        <v>QF23</v>
      </c>
      <c r="JB153">
        <f t="shared" si="400"/>
        <v>0</v>
      </c>
      <c r="JC153">
        <f t="shared" si="401"/>
        <v>0</v>
      </c>
      <c r="JD153" t="str">
        <f t="shared" si="402"/>
        <v/>
      </c>
      <c r="JE153" t="str">
        <f t="shared" si="403"/>
        <v/>
      </c>
      <c r="JF153" t="str">
        <f t="shared" si="404"/>
        <v/>
      </c>
      <c r="JG153" t="str">
        <f t="shared" si="405"/>
        <v/>
      </c>
      <c r="JH153" t="str">
        <f>IF(B153="","",IFERROR(_xlfn.XLOOKUP(B153,Коды_код,Коды_уго),IFERROR(_xlfn.XLOOKUP(BC153,Коды_код,Коды_уго),IFERROR(_xlfn.XLOOKUP(LEFT(BC153,2),Коды_код,Коды_уго),""))))</f>
        <v>Привод (двигатель)</v>
      </c>
      <c r="JI153" t="str">
        <f>IF(B153="","",IF(OR(JH153="",JH153=0),"BOX",IFERROR(IF(VLOOKUP(JH153,УГО_блоки,3,FALSE)&amp;""&lt;&gt;"",VLOOKUP(JH153,УГО_блоки,3,FALSE),VLOOKUP(JH153,УГО_блоки,2,FALSE)),JH153)))</f>
        <v>MOTOR</v>
      </c>
      <c r="JJ153">
        <f t="shared" si="406"/>
        <v>1</v>
      </c>
      <c r="JK153" t="str">
        <f>IF(DQ153="","",IF(COUNTIF(DQ$3:DQ153,DQ153)=1,MAX(JK$2:JK152)+1,""))</f>
        <v/>
      </c>
      <c r="JL153" t="str">
        <f>IF(DE153="","",IF(COUNTIF(DE$3:DE153,DE153)+COUNTIF(DF$2:DF152,DE153)+COUNTIF(DG$2:DG152,DE153)=1,MAX(JL$2:JN152)+1,""))</f>
        <v/>
      </c>
      <c r="JM153" t="str">
        <f>IF(DF153="","",IF(COUNTIF(DE$3:DE153,DF153)+COUNTIF(DF$3:DF153,DF153)+COUNTIF(DG$2:DG152,DF153)=1,MAX(JL$2:JN152,JL153)+1,""))</f>
        <v/>
      </c>
      <c r="JN153" t="str">
        <f>IF(DG153="","",IF(COUNTIF(DE$3:DE153,DG153)+COUNTIF(DF$3:DF153,DG153)+COUNTIF(DG$3:DG153,DG153)=1,MAX(JL$2:JN152,JL153,JM153)+1,""))</f>
        <v/>
      </c>
      <c r="JO153" t="str">
        <f t="shared" si="407"/>
        <v>3х2,5</v>
      </c>
      <c r="JP153" t="str">
        <f>IF(JO153="","",IF(COUNTIF(JO$3:JO153,JO153)=1,MAX(JP$2:JP152)+1,""))</f>
        <v/>
      </c>
      <c r="JQ153" t="str">
        <f>IF(HG153="","",COUNTIF(HG$3:HG153,"?*"))</f>
        <v/>
      </c>
      <c r="JR153" t="str">
        <f>IF(OR(HG153="",HI153=""),"",IF(COUNTIFS(HG$3:HG153,"?*",HI$3:HI153,HI153)=1,MAX(JR$2:JR152)+1,""))</f>
        <v/>
      </c>
      <c r="JS153">
        <f t="shared" si="408"/>
        <v>0</v>
      </c>
      <c r="JT153">
        <f>IF(B153="","",COUNTIF(B$3:B153,"?*"))</f>
        <v>151</v>
      </c>
      <c r="JU153">
        <f>IF(HL153&lt;&gt;1,0,_xlfn.LET(_xlpm.k,MAX(IFERROR(--_xlfn.XLOOKUP(B153,Коды_код,Коды_3L),0),IFERROR(--_xlfn.XLOOKUP(BC153,Коды_код,Коды_3L),0),IFERROR(--_xlfn.XLOOKUP(LEFT(BC153,2),Коды_код,Коды_3L),0)),IF(_xlpm.k&gt;0,_xlpm.k,IF(IFERROR(--LEFT(SUBSTITUTE(JO153,"x","х"),FIND("х",SUBSTITUTE(JO153,"x","х"))-1),3)&gt;3,Каталог!$S$9,1))))</f>
        <v>1</v>
      </c>
      <c r="JV153">
        <f t="shared" si="409"/>
        <v>0</v>
      </c>
      <c r="JW153" t="str">
        <f t="shared" si="410"/>
        <v>авто</v>
      </c>
      <c r="JX153" t="str">
        <f t="shared" si="411"/>
        <v/>
      </c>
      <c r="JY153">
        <f t="shared" si="412"/>
        <v>0</v>
      </c>
      <c r="JZ153">
        <f t="shared" si="413"/>
        <v>1</v>
      </c>
    </row>
    <row r="154" spans="1:286" x14ac:dyDescent="0.3">
      <c r="A154" t="s">
        <v>753</v>
      </c>
      <c r="B154" t="s">
        <v>741</v>
      </c>
      <c r="C154" t="s">
        <v>52</v>
      </c>
      <c r="D154">
        <v>1</v>
      </c>
      <c r="E154">
        <f>Линии[[#This Row],[_авто Р]]</f>
        <v>11.860000000000001</v>
      </c>
      <c r="G154">
        <v>20</v>
      </c>
      <c r="H154" t="str">
        <f>Линии[[#This Row],[_авто управление]]</f>
        <v/>
      </c>
      <c r="I154" t="str">
        <f>Линии[[#This Row],[_авто аппараты]]</f>
        <v/>
      </c>
      <c r="J154">
        <v>4</v>
      </c>
      <c r="K154" t="str">
        <f>Линии[[#This Row],[_авто длина по плану]]</f>
        <v/>
      </c>
      <c r="L154" t="str">
        <f>Линии[[#This Row],[_авто фаза]]</f>
        <v>L1,L2,L3</v>
      </c>
      <c r="M154" t="str">
        <f>Линии[[#This Row],[_авто клемма]]</f>
        <v/>
      </c>
      <c r="N154" t="str">
        <f t="shared" si="276"/>
        <v/>
      </c>
      <c r="O154" s="6" cm="1">
        <f t="array" ref="O154">IF(B154="","",IF(BH154&lt;&gt;"",IFERROR(_xlfn.XLOOKUP(BH154,Щиты[Щит],Щиты[Iр, А]),""),IF(BP154=1,IF(OR(N(_xlfn.XLOOKUP(A154,Щиты[Щит],Щиты[Вводов],1))&lt;=1,LOWER(TRIM(_xlfn.XLOOKUP(A154,Щиты[Щит],Щиты[АВР],"")&amp;""))="да"),IFERROR(_xlfn.XLOOKUP(A154,Щиты[Щит],Щиты[Iр, А]),""),IFERROR(N(BS154)*_xlfn.XLOOKUP(A154,Щиты[Щит],Щиты[Кс итог])/(SQRT(3)*Uн_лин*_xlfn.XLOOKUP(A154,Щиты[Щит],Щиты[cos φ])),"")),IF(BV154=1,IFERROR(BS154*1000/BU154,""),IFERROR(_xlfn.IFS(BX154=1,BS154/((Uн_лин/SQRT(3))*CE154),BX154=3,BS154/(SQRT(3)*Uн_лин*CE154)),"")))))</f>
        <v>16.378863980838116</v>
      </c>
      <c r="P154" s="7" t="str">
        <f>IF(B154="","",IFERROR(IF(VLOOKUP(BC154,Потребители_обозначение,4,FALSE)=1,VLOOKUP(BC154,Потребители_обозначение,3,FALSE)*(MAX(1,N(D154))*2-1)+EI154+VLOOKUP(BE154,Этаж_обозначение,3,FALSE)+VLOOKUP(BE154,Этаж_обозначение,4,FALSE),VLOOKUP(BC154,Потребители_обозначение,3,FALSE)*(MAX(1,N(D154))*2-1)+EI154),EI154))</f>
        <v/>
      </c>
      <c r="Q154" s="6" t="str">
        <f t="shared" si="277"/>
        <v/>
      </c>
      <c r="R154" t="str">
        <f t="shared" si="278"/>
        <v>ВВГнг(А)-LS (5х4)</v>
      </c>
      <c r="S154" t="str">
        <f>IF(BM154="","",IF(BN154="вводной узел","узел ","")&amp;"л."&amp;(INT((BM154-1)/Столбцов_на_лист)+1)&amp;" / "&amp;(MOD(BM154-1,Столбцов_на_лист)+1))</f>
        <v>узел л.1 / 2</v>
      </c>
      <c r="T154" s="119" t="str">
        <f t="shared" si="279"/>
        <v/>
      </c>
      <c r="U154" s="7" t="str">
        <f>IF(OR(CG154=0,N(BV154)+N(IB154)=0),"",ROUNDUP(Запас_БП*(N(HY154)+N(HZ154)),0))</f>
        <v/>
      </c>
      <c r="V154" s="119" t="str">
        <f t="shared" si="280"/>
        <v/>
      </c>
      <c r="W154" s="7" t="str">
        <f>IFERROR(IF(OR(B154="",BP154=1,BV154=1,NOT(ISNUMBER(EN154)),N(DT154)=0),"",MAX(0,ROUNDDOWN((c_min*(Uн_лин*1000/SQRT(3))/(HT154*N(DT154))-_xlfn.XLOOKUP(A154,Щиты[Щит],Щиты[Zпетли на шинах, Ом]))*EN154/(2*ρкз_Cu),0))),"")</f>
        <v/>
      </c>
      <c r="Y154" t="str">
        <f>Линии[[#This Row],[_авто утечка]]</f>
        <v/>
      </c>
      <c r="Z154">
        <v>3</v>
      </c>
      <c r="AA154">
        <v>400</v>
      </c>
      <c r="AB154" t="s">
        <v>547</v>
      </c>
      <c r="AJ154" t="s">
        <v>1344</v>
      </c>
      <c r="AK154" t="str">
        <f>Линии[[#This Row],[_авто модуль]]</f>
        <v/>
      </c>
      <c r="AM154">
        <v>2</v>
      </c>
      <c r="AN154" t="s">
        <v>11</v>
      </c>
      <c r="AO154">
        <v>5</v>
      </c>
      <c r="BA154" cm="1">
        <f t="array" ref="BA154">ROW()-ROW(Линии[#Headers])</f>
        <v>152</v>
      </c>
      <c r="BC154" s="6" t="str">
        <f t="shared" si="281"/>
        <v>Ввод</v>
      </c>
      <c r="BD154" t="str">
        <f t="shared" si="282"/>
        <v>1</v>
      </c>
      <c r="BE154" t="str">
        <f t="shared" si="283"/>
        <v>1</v>
      </c>
      <c r="BF154" t="str">
        <f t="shared" si="284"/>
        <v/>
      </c>
      <c r="BG154" t="str">
        <f t="shared" si="285"/>
        <v/>
      </c>
      <c r="BH154" t="str">
        <f>IF(X154&lt;&gt;"",X154,IF(AND(B154&lt;&gt;"",B154&lt;&gt;A154,ISNUMBER(_xlfn.XMATCH(B154,Щиты[Щит]))),B154,""))</f>
        <v/>
      </c>
      <c r="BI154" t="str" cm="1">
        <f t="array" ref="BI154">IF(B154="","",IF(BH154&lt;&gt;"","Щит "&amp;BH154,_xlfn.LET(_xlpm.nm,IFERROR(_xlfn.XLOOKUP(BC154,Коды_код,Коды_имя)&amp;"",""),_xlpm.md,IFERROR(N(_xlfn.XLOOKUP(BC154,Коды_код,Коды_режим)),1),_xlpm.ex,IF(Имя_режим="по экспликации",IFERROR(_xlfn.XLOOKUP(BE154&amp;"|"&amp;BG154,Экспликация[Этаж]&amp;"|"&amp;Экспликация[Помещение],Экспликация[Название])&amp;"",""),""),_xlpm.rm,IF(BG154="","",IF(_xlpm.ex&lt;&gt;"",". "&amp;_xlpm.ex&amp;IF(Имя_пом="нет"," ("&amp;BG154&amp;")"," (пом. "&amp;BG154&amp;")"),IF(Имя_пом="нет"," ",", пом. ")&amp;BG154)),IF(_xlpm.nm="","",IF(_xlpm.md=2,_xlpm.nm&amp;" шлейф "&amp;BE154,_xlpm.nm&amp;_xlpm.rm)))))</f>
        <v>Вводной кабель шлейф 1</v>
      </c>
      <c r="BJ154" t="str">
        <f t="shared" si="286"/>
        <v>Ввод</v>
      </c>
      <c r="BK154">
        <f>IFERROR(_xlfn.XMATCH(A154,Щиты[Щит]),0)</f>
        <v>8</v>
      </c>
      <c r="BL154">
        <f>_xlfn.LET(_xlpm.k,IFERROR(_xlfn.XLOOKUP(A154,Щиты[Щит],Щиты[Мест под вводной узел]),""),IF(_xlpm.k="",Столбцов_на_лист,N(_xlpm.k)))</f>
        <v>7</v>
      </c>
      <c r="BM154">
        <f t="shared" si="287"/>
        <v>2</v>
      </c>
      <c r="BN154" t="str">
        <f t="shared" si="288"/>
        <v>вводной узел</v>
      </c>
      <c r="BO154" s="6">
        <f>IFERROR(N(_xlfn.XLOOKUP(BC154,Коды_код,Коды_квт)),0)</f>
        <v>0</v>
      </c>
      <c r="BP154">
        <f t="shared" si="289"/>
        <v>1</v>
      </c>
      <c r="BQ154">
        <f>IF(B154="","",IF(BH154&lt;&gt;"",IFERROR(_xlfn.XLOOKUP(BH154,Щиты[Щит],Щиты[Руст, кВт]),0),IF(BP154=1,IF(OR(N(_xlfn.XLOOKUP(A154,Щиты[Щит],Щиты[Вводов],1))&lt;=1,LOWER(TRIM(_xlfn.XLOOKUP(A154,Щиты[Щит],Щиты[АВР],"")&amp;""))="да"),IFERROR(_xlfn.XLOOKUP(A154,Щиты[Щит],Щиты[Руст, кВт]),0),SUMIFS(Линии[_Р для вводов],Линии[Щит],A154,Линии[Источник для режимов],GF154)),IF(BO154&gt;0,ROUND(BO154*MAX(1,N(D154)),3),""))))</f>
        <v>11.860000000000001</v>
      </c>
      <c r="BR154">
        <f t="shared" si="290"/>
        <v>11.860000000000001</v>
      </c>
      <c r="BS154" s="6">
        <f>IF(B154="","",IF(BH154&lt;&gt;"",IFERROR(_xlfn.XLOOKUP(BH154,Щиты[Щит],Щиты[Руст, кВт]),0),N(BR154)))</f>
        <v>11.860000000000001</v>
      </c>
      <c r="BT154" t="str">
        <f>IF(B154="","",IFERROR(IF(VLOOKUP(BC154,Потребители_обозначение,8,FALSE)=0,"",VLOOKUP(BC154,Потребители_обозначение,8,FALSE)),""))</f>
        <v/>
      </c>
      <c r="BU154">
        <f t="shared" si="291"/>
        <v>400</v>
      </c>
      <c r="BV154">
        <f t="shared" si="292"/>
        <v>0</v>
      </c>
      <c r="BW154">
        <f>IF(B154="","",IF(BH154&lt;&gt;"",3,IFERROR(IF(N(VLOOKUP(BC154,Потребители_обозначение,9,FALSE))=0,1,VLOOKUP(BC154,Потребители_обозначение,9,FALSE)),1)))</f>
        <v>1</v>
      </c>
      <c r="BX154">
        <f t="shared" si="293"/>
        <v>3</v>
      </c>
      <c r="BY154" t="str">
        <f>IF(B154="","",_xlfn.LET(_xlpm.bc,IFERROR(IF(VLOOKUP(BC154,Потребители_обозначение,6,FALSE)=0,"",VLOOKUP(BC154,Потребители_обозначение,6,FALSE)&amp;""),""),IF(AND(GA154="да",OR(_xlpm.bc="",_xlpm.bc="мс")),Марка_пож,IF(AND(_xlpm.bc="",BH154&lt;&gt;""),"мс",_xlpm.bc))))</f>
        <v/>
      </c>
      <c r="BZ154" t="str">
        <f t="shared" si="294"/>
        <v>мс</v>
      </c>
      <c r="CA154">
        <f>IF(B154="","",_xlfn.LET(_xlpm.cc,IFERROR(N(VLOOKUP(BC154,Потребители_обозначение,7,FALSE)),0),IF(_xlpm.cc&gt;0,_xlpm.cc,IF(BZ154="","",IF(BV154=1,2,IF(N(BX154)=3,5,3))))))</f>
        <v>5</v>
      </c>
      <c r="CB154">
        <f t="shared" si="295"/>
        <v>5</v>
      </c>
      <c r="CC154">
        <f>IFERROR(N(VLOOKUP(BC154,Потребители_обозначение,10,FALSE)),0)</f>
        <v>0</v>
      </c>
      <c r="CD154">
        <f>IFERROR(VLOOKUP(BC154,Потребители_обозначение,5,FALSE),0)</f>
        <v>1</v>
      </c>
      <c r="CE154" s="6" cm="1">
        <f t="array" ref="CE154">IF(B154="","",IF(BH154&lt;&gt;"",IFERROR(_xlfn.XLOOKUP(BH154,Щиты[Щит],Щиты[cos φ]),0.95),IF(BP154=1,IFERROR(_xlfn.XLOOKUP(A154,Щиты[Щит],Щиты[cos φ]),0.95),IF(ISNUMBER(AD154),AD154,IFERROR(IF(CD154=2,_xlfn.IFS(BX154=3,VLOOKUP(BS154,Справочная_двигатели,8,FALSE),BX154=1,VLOOKUP(BS154,Справочная_двигатели,10,TRUE)),IF(AND(Методика="нормы 2026",FG154="Сил"),0.8,0.95)),0.95)))))</f>
        <v>0.94999999999999984</v>
      </c>
      <c r="CF154">
        <f t="shared" si="296"/>
        <v>0</v>
      </c>
      <c r="CG154">
        <f t="shared" si="297"/>
        <v>1</v>
      </c>
      <c r="CH154">
        <f t="shared" si="298"/>
        <v>0</v>
      </c>
      <c r="CI154">
        <f>IF(B154="","",IF(BV154=1,IFERROR(BS154/((Uн_лин/SQRT(3))*MAX(0.5,N(CE154))),0),N(O154)))</f>
        <v>16.378863980838116</v>
      </c>
      <c r="CJ154">
        <f t="shared" si="299"/>
        <v>0</v>
      </c>
      <c r="CK154">
        <f t="shared" si="300"/>
        <v>0</v>
      </c>
      <c r="CL154">
        <f t="shared" si="301"/>
        <v>0</v>
      </c>
      <c r="CM154">
        <f t="shared" si="302"/>
        <v>0</v>
      </c>
      <c r="CN154">
        <f t="shared" si="303"/>
        <v>0</v>
      </c>
      <c r="CO154">
        <f>IF(BC154="",0,_xlfn.LET(_xlpm.v,IFERROR(_xlfn.XLOOKUP(B154,Коды_код,Коды_мА),IFERROR(_xlfn.XLOOKUP(BC154,Коды_код,Коды_мА),IFERROR(_xlfn.XLOOKUP(LEFT(BC154,2),Коды_код,Коды_мА),""))),IF(_xlpm.v="да",30,IF(ISNUMBER(_xlpm.v),_xlpm.v,0))))</f>
        <v>0</v>
      </c>
      <c r="CP154" t="str">
        <f t="shared" si="304"/>
        <v/>
      </c>
      <c r="CQ154" t="str">
        <f>_xlfn.LET(_xlpm.k,IFERROR(_xlfn.XLOOKUP(BC154,Коды_код,Коды_утечка)&amp;"",""),IF(_xlpm.k="","дифавтомат",_xlpm.k))</f>
        <v>дифавтомат</v>
      </c>
      <c r="CR154" t="str" cm="1">
        <f t="array" ref="CR154">IF(CG154=0,"",_xlfn.LET(_xlpm.sg,TRIM(_xlfn.TEXTSPLIT(DD154&amp;"",";")),_xlpm.f_,_xlfn._xlws.FILTER(_xlpm.sg,LEFT(_xlpm.sg,3)="УЗО",""),IFERROR(INDEX(_xlpm.f_,1)&amp;"","")))</f>
        <v/>
      </c>
      <c r="CS154" t="str">
        <f t="shared" si="305"/>
        <v/>
      </c>
      <c r="CT154" s="6" t="str" cm="1">
        <f t="array" ref="CT154">IF(CR154="","",_xlfn.LET(_xlpm.tk,_xlfn.TEXTSPLIT(UPPER(CR154)," ",,TRUE),_xlpm.a_,_xlfn._xlws.FILTER(_xlpm.tk,ISNUMBER(--LEFT(_xlpm.tk,1))*((ISNUMBER(SEARCH("А",_xlpm.tk))+ISNUMBER(SEARCH("A",_xlpm.tk)))&gt;0)*NOT(ISNUMBER(SEARCH("МА",_xlpm.tk)))*NOT(ISNUMBER(SEARCH("MA",_xlpm.tk))),""),IFERROR(--SUBSTITUTE(SUBSTITUTE(INDEX(_xlpm.a_,1),"А",""),"A",""),"")))</f>
        <v/>
      </c>
      <c r="CU154" t="str" cm="1">
        <f t="array" ref="CU154">IF(CR154="","",_xlfn.LET(_xlpm.tk,_xlfn.TEXTSPLIT(UPPER(CR154)," ",,TRUE),_xlpm.a_,_xlfn._xlws.FILTER(_xlpm.tk,ISNUMBER(--LEFT(_xlpm.tk,1))*((ISNUMBER(SEARCH("МА",_xlpm.tk))+ISNUMBER(SEARCH("MA",_xlpm.tk)))&gt;0),""),IFERROR(--SUBSTITUTE(SUBSTITUTE(INDEX(_xlpm.a_,1),"МА",""),"MA",""),30)))</f>
        <v/>
      </c>
      <c r="CV154" t="str">
        <f>IF(CS154="","",IFERROR(_xlfn.XLOOKUP(CS154,Линии[_n],Линии[_УЗО, мА]),30))</f>
        <v/>
      </c>
      <c r="CW154">
        <f>IF(CS154="",0,IF(ISNUMBER(SEARCH("4P",IFERROR(_xlfn.XLOOKUP(CS154,Линии[_n],Линии[_УЗО строки])&amp;"",""))),0,1))</f>
        <v>0</v>
      </c>
      <c r="CX154" t="str">
        <f>IF(AND(CS154&lt;&gt;"",CS154=BA154),SUMIFS(Линии[_ток на 230 В],Линии[_блок УЗО],BA154,Линии[Щит],A154),"")</f>
        <v/>
      </c>
      <c r="CY154" t="str">
        <f>IF(AND(CS154&lt;&gt;"",CS154=BA154),SUMIFS(Линии[_ток утечки линии, мА],Линии[_блок УЗО],BA154,Линии[Щит],A154),"")</f>
        <v/>
      </c>
      <c r="CZ154">
        <f t="shared" si="306"/>
        <v>0</v>
      </c>
      <c r="DA154">
        <f t="shared" si="307"/>
        <v>0</v>
      </c>
      <c r="DB154">
        <f>IF(B154="",0,IFERROR(--_xlfn.XLOOKUP(B154,Коды_код,Коды_минавт),IFERROR(--_xlfn.XLOOKUP(BC154,Коды_код,Коды_минавт),IFERROR(--_xlfn.XLOOKUP(LEFT(BC154,2),Коды_код,Коды_минавт),0))))</f>
        <v>0</v>
      </c>
      <c r="DC154" t="str">
        <f>IF(B154="","",IFERROR(_xlfn.XLOOKUP(BC154,Коды_код,Коды_апп)&amp;"",""))</f>
        <v/>
      </c>
      <c r="DD154" t="str">
        <f t="shared" si="308"/>
        <v/>
      </c>
      <c r="DE154" t="str" cm="1">
        <f t="array" ref="DE154">IF(TRIM(DD154&amp;"")="","",IFERROR(TRIM(INDEX(_xlfn.TEXTSPLIT(DD154&amp;";;;",";"),1)),""))</f>
        <v/>
      </c>
      <c r="DF154" t="str" cm="1">
        <f t="array" ref="DF154">IF(TRIM(DD154&amp;"")="","",IFERROR(TRIM(INDEX(_xlfn.TEXTSPLIT(DD154&amp;";;;",";"),2)),""))</f>
        <v/>
      </c>
      <c r="DG154" t="str" cm="1">
        <f t="array" ref="DG154">IF(TRIM(DD154&amp;"")="","",IFERROR(TRIM(INDEX(_xlfn.TEXTSPLIT(DD154&amp;";;;",";"),3)),""))</f>
        <v/>
      </c>
      <c r="DH154">
        <f t="shared" si="309"/>
        <v>0</v>
      </c>
      <c r="DI154" t="str">
        <f>IF(B154="","",_xlfn.LET(_xlpm.t,LOWER(AZ154&amp;""),IF(ISNUMBER(SEARCH("dim",_xlpm.t)),"DIM",IF(ISNUMBER(SEARCH("dali",_xlpm.t)),"DALI",IF(OR(ISNUMBER(SEARCH("relay",_xlpm.t)),ISNUMBER(SEARCH("реле",_xlpm.t))),"Relay",IF(ISNUMBER(SEARCH("кнопк",_xlpm.t)),"",IFERROR(_xlfn.XLOOKUP(BC154,Коды_код,Коды_упр)&amp;"","")))))))</f>
        <v/>
      </c>
      <c r="DJ154" t="str">
        <f t="shared" si="310"/>
        <v/>
      </c>
      <c r="DK154">
        <f>IF(B154="","",_xlfn.LET(_xlpm.ig,IF(N(CX154)&gt;0,N(CX154),N(CI154)+IF(AJ154="вручную",0,N(CJ154))),_xlpm.n0,IFERROR(VLOOKUP(_xlpm.ig,Автомат_номиналы,2,TRUE),0),_xlpm.mn,MAX(DB154,IF(AJ154="вручную",0,N(CM154))),MAX(_xlpm.n0,_xlpm.mn,IF(DH154=1,Мин_автомат_БП,0))))</f>
        <v>20</v>
      </c>
      <c r="DL154">
        <f t="shared" si="311"/>
        <v>3</v>
      </c>
      <c r="DM154" t="str">
        <f t="shared" si="312"/>
        <v>3P</v>
      </c>
      <c r="DN154" t="str">
        <f>_xlfn.LET(_xlpm.cc,UPPER(TRIM(IFERROR(_xlfn.XLOOKUP(BC154,Коды_код,Коды_хар)&amp;"",""))),IF(OR(_xlpm.cc="B",_xlpm.cc="В"),"B",IF(_xlpm.cc="D","D","С")))</f>
        <v>С</v>
      </c>
      <c r="DO154" t="str">
        <f t="shared" si="313"/>
        <v>3P С20А</v>
      </c>
      <c r="DP154">
        <f t="shared" si="314"/>
        <v>20</v>
      </c>
      <c r="DQ154" t="str">
        <f t="shared" si="315"/>
        <v>3P С20А</v>
      </c>
      <c r="DR154" cm="1">
        <f t="array" ref="DR154">IF(DQ154="","",_xlfn.LET(_xlpm.t,SUBSTITUTE(SUBSTITUTE(SUBSTITUTE(UPPER(DQ154),"С","C"),"А","A"),"В","B"),_xlpm.tk,_xlfn.TEXTSPLIT(_xlpm.t," "),_xlpm.f,_xlfn._xlws.FILTER(_xlpm.tk,ISNUMBER(--MID(_xlpm.tk,2,1))*ISNUMBER(SEARCH(LEFT(_xlpm.tk,1)&amp;"#","B#C#D#"))*(LEN(_xlpm.tk)&gt;1),""),_xlpm.x,INDEX(_xlpm.f,1),IFERROR(--SUBSTITUTE(MID(_xlpm.x,2,9),"A",""),IFERROR(--SUBSTITUTE(INDEX(_xlfn._xlws.FILTER(_xlpm.tk,ISNUMBER(--SUBSTITUTE(_xlpm.tk,"A","")),""),1),"A",""),""))))</f>
        <v>20</v>
      </c>
      <c r="DS154" t="str">
        <f t="shared" si="316"/>
        <v>узел</v>
      </c>
      <c r="DT154">
        <f t="shared" si="317"/>
        <v>20</v>
      </c>
      <c r="DU154" t="str">
        <f t="shared" si="318"/>
        <v>3P С20А</v>
      </c>
      <c r="DV154">
        <f t="shared" si="319"/>
        <v>0</v>
      </c>
      <c r="DW154">
        <f t="shared" si="320"/>
        <v>0</v>
      </c>
      <c r="DX154">
        <f t="shared" si="321"/>
        <v>0</v>
      </c>
      <c r="DY154">
        <f t="shared" si="322"/>
        <v>16.378863980838116</v>
      </c>
      <c r="DZ154">
        <f t="shared" si="323"/>
        <v>0.92</v>
      </c>
      <c r="EA154">
        <f>IF(ISNUMBER(AP154),AP154,К_прокл)</f>
        <v>1</v>
      </c>
      <c r="EB154">
        <f t="shared" si="324"/>
        <v>3</v>
      </c>
      <c r="EC154">
        <f>IFERROR(N(VLOOKUP(BZ154,Кабель_обозначение,3,FALSE)),1)</f>
        <v>1</v>
      </c>
      <c r="ED154">
        <f>IFERROR(N(_xlfn.XLOOKUP(A154,Щиты[Щит],Щиты[ΔU до шин, %])),0)</f>
        <v>1.57</v>
      </c>
      <c r="EE154" t="str">
        <f>IFERROR(_xlfn.XLOOKUP(A154,Щиты[Щит],Щиты[Zпетли на шинах, Ом]),"")</f>
        <v/>
      </c>
      <c r="EF154">
        <f>IFERROR(N(_xlfn.XLOOKUP(A154,Щиты[Щит],Щиты[ΔU до шин (подбор), %])),0)</f>
        <v>2.5</v>
      </c>
      <c r="EG154" t="str">
        <f>IFERROR(_xlfn.XLOOKUP(A154,Щиты[Щит],Щиты[Zпетли на шинах (подбор), Ом]),"")</f>
        <v/>
      </c>
      <c r="EH154" t="str">
        <f t="shared" si="325"/>
        <v/>
      </c>
      <c r="EI154" t="str">
        <f t="shared" si="326"/>
        <v/>
      </c>
      <c r="EJ154">
        <f t="shared" si="327"/>
        <v>1</v>
      </c>
      <c r="EK154">
        <f t="shared" si="328"/>
        <v>0.31</v>
      </c>
      <c r="EL154" s="6">
        <f>IF(B154="","",IF(BV154=1,dU_LED,IF(IFERROR(_xlfn.XLOOKUP(BC154,Коды_код,Коды_уго),"")="Светильник",3,4)+IF(Методика="нормы 2026",MIN(0.5,MAX(0,N(P154)-100)*0.005),0)))</f>
        <v>4</v>
      </c>
      <c r="EM154" cm="1">
        <f t="array" ref="EM154">IF(OR(B154="",BZ154="",EC154&lt;&gt;1),"",_xlfn.LET(_xlpm.sz,Iдоп_S,_xlpm.t_,CHOOSE(EB154,Iдоп_1ж,Iдоп_2ж,Iдоп_3ж)*DZ154*EA154,_xlpm.dcx,BV154=1,_xlpm.inn,IF(_xlpm.dcx,N(O154),N(DT154)),_xlpm.smin,MAX(1.5,CC154),_xlpm.L_,N(P154)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154)/N(BU154)*100,999),IFERROR(N(EJ154)*(_xlpm.rho*_xlpm.L_/_xlpm.sz*N(CE154)+_xlpm.xx*_xlpm.L_*N(EK154)/1000)*N(O154)/((Uн_лин/SQRT(3))*1000)*100,999)),_xlpm.kz,IF(OR(_xlpm.dcx,DW154=1,NOT(ISNUMBER(EG154)),_xlpm.L_=0,_xlpm.inn=0),1,IFERROR(--(c_min*(Uн_лин*1000/SQRT(3))/(EG154+2*ρкз_Cu*_xlpm.L_/_xlpm.sz)&gt;=HT154*_xlpm.inn),0)),_xlpm.ok,IFERROR((_xlpm.sz&gt;=_xlpm.smin)*(_xlpm.t_&gt;=_xlpm.inn)*IF(_xlpm.L_&gt;0,(_xlpm.du_+IF(_xlpm.dcx,0,EF154)&lt;=EL154+0.00001),1)*_xlpm.kz,0),_xlpm.r_,_xlfn._xlws.FILTER(_xlpm.sz,_xlpm.ok,"не подобрано"),INDEX(_xlpm.r_,1)))</f>
        <v>2.5</v>
      </c>
      <c r="EN154">
        <f t="shared" si="329"/>
        <v>4</v>
      </c>
      <c r="EO154" cm="1">
        <f t="array" ref="EO154">IF(OR(B154="",BZ154="",EC154&lt;&gt;1),"",_xlfn.LET(_xlpm.sz,Iдоп_S,_xlpm.t_,CHOOSE(EB154,Iдоп_1ж,Iдоп_2ж,Iдоп_3ж)*DZ154*EA154,_xlpm.ok,IFERROR((_xlpm.sz&gt;=MAX(1.5,CC154))*(_xlpm.t_&gt;=N(DT154)),0),_xlpm.r_,_xlfn._xlws.FILTER(_xlpm.sz,_xlpm.ok,""),INDEX(_xlpm.r_,1)))</f>
        <v>2.5</v>
      </c>
      <c r="EP154" s="6" cm="1">
        <f t="array" ref="EP154">IFERROR(ROUNDUP(N(EJ154)*(_xlfn.XLOOKUP(EO154,INDEX(Кабель_сопротивление,0,1),INDEX(Кабель_сопротивление,0,3))*N(P154)/EO154*N(CE154)+_xlfn.XLOOKUP(EO154,INDEX(Кабель_сопротивление,0,1),INDEX(Кабель_сопротивление,0,2))*N(P154)*N(EK154)/1000)*N(O154)/((Uн_лин/SQRT(3))*1000)*100,2),"")</f>
        <v>0</v>
      </c>
      <c r="EQ154">
        <f>IFERROR(2*ρкз_Cu*N(P154)/EO154,"")</f>
        <v>0</v>
      </c>
      <c r="ER154">
        <f>IFERROR(VLOOKUP(EN154,Кабель_сопротивление,3,FALSE),"")</f>
        <v>2.2499999999999999E-2</v>
      </c>
      <c r="ES154">
        <f>IFERROR(VLOOKUP(EN154,Кабель_сопротивление,2,FALSE),"")</f>
        <v>9.5000000000000001E-2</v>
      </c>
      <c r="ET154" t="str">
        <f t="shared" si="330"/>
        <v/>
      </c>
      <c r="EU154" t="str">
        <f t="shared" si="331"/>
        <v/>
      </c>
      <c r="EV154" t="str">
        <f t="shared" si="332"/>
        <v/>
      </c>
      <c r="EW154" s="6" t="str">
        <f>IFERROR(ROUNDUP(EV154/IF(BV154=1,BU154,(Uн_лин/SQRT(3))*1000)*100,2),"")</f>
        <v/>
      </c>
      <c r="EX154" t="str">
        <f>IFERROR(VLOOKUP(BZ154,Кабель_обозначение,2,FALSE),"")</f>
        <v>ВВГнг(А)-LS</v>
      </c>
      <c r="EY154" t="str">
        <f t="shared" si="333"/>
        <v>ВВГнг(А)-LS (5х4)</v>
      </c>
      <c r="EZ154" t="str">
        <f t="shared" si="334"/>
        <v>ВВГнг(А)-LS (5х4)</v>
      </c>
      <c r="FA154" t="str">
        <f>IFERROR(2*ρкз_Cu*P154/EN154,"")</f>
        <v/>
      </c>
      <c r="FB154">
        <f t="shared" si="335"/>
        <v>0</v>
      </c>
      <c r="FC154" s="6" t="str">
        <f>IFERROR(IF(OR(B154="",BV154=1,NOT(ISNUMBER(EN154)),N(P154)=0),"",_xlfn.XLOOKUP(A154,Щиты[Щит],Щиты[Zпетли на шинах, Ом])+FA154),"")</f>
        <v/>
      </c>
      <c r="FD154" s="6" t="str">
        <f>IF(ISNUMBER(FC154),c_min*(Uн_лин*1000/SQRT(3))/FC154,"")</f>
        <v/>
      </c>
      <c r="FE154" s="6" t="str">
        <f>IFERROR(IF(OR(B154="",NOT(ISNUMBER(EN154))),"",1.05*(Uн_лин*1000/SQRT(3))/(_xlfn.XLOOKUP(A154,Щиты[Щит],Щиты[Zmax на шинах, Ом])+FB154)/1000),"")</f>
        <v/>
      </c>
      <c r="FF154" s="6" t="str">
        <f>IF(B154="","",IF(ISNUMBER(AC154),"Сил",IF(IFERROR(_xlfn.XLOOKUP(BC154,Коды_код,Коды_группа)&amp;"","")="","Быт",_xlfn.XLOOKUP(BC154,Коды_код,Коды_группа)&amp;"")))</f>
        <v>Быт</v>
      </c>
      <c r="FG154" s="6" t="str">
        <f t="shared" si="336"/>
        <v>Нет</v>
      </c>
      <c r="FH154" s="6">
        <f>IF(FG154="Щит","щит",IF(FG154="","",IF(FG154="Быт",IFERROR(_xlfn.XLOOKUP(A154,Щиты[Щит],Щиты[Кс быт]),1),IF(FG154="Сил",IF(ISNUMBER(AC154),AC154,IF(Методика="нормы 2026",IFERROR(_xlfn.XLOOKUP(A154,Щиты[Щит],Щиты[Кс силовых (табл. 7.5)]),1),1)),IF(OR(FG154="Пост",FG154="Отоп"),1,IF(FG154="ВНГ",0.7,0))))))</f>
        <v>0</v>
      </c>
      <c r="FI154">
        <f>IF(FG154="","",IF(AND(BP154=1,TRIM(AE154&amp;"")=""),IF(COUNTIFS(Линии[Щит],A154,Линии[Секция (1/2/3)],"&gt;=2")&gt;0,MIN(3,MAX(1,IFERROR(--BD154,1))),1),IFERROR(MIN(3,MAX(1,INT(--AE154))),1)))</f>
        <v>1</v>
      </c>
      <c r="FJ154">
        <f t="shared" si="337"/>
        <v>0</v>
      </c>
      <c r="FK154">
        <f t="shared" si="338"/>
        <v>0</v>
      </c>
      <c r="FL154">
        <f t="shared" si="339"/>
        <v>0</v>
      </c>
      <c r="FM154">
        <f t="shared" si="340"/>
        <v>0</v>
      </c>
      <c r="FN154">
        <f t="shared" si="341"/>
        <v>0</v>
      </c>
      <c r="FO154">
        <f t="shared" si="342"/>
        <v>0</v>
      </c>
      <c r="FP154">
        <f t="shared" si="343"/>
        <v>0</v>
      </c>
      <c r="FQ154">
        <f t="shared" si="344"/>
        <v>0</v>
      </c>
      <c r="FR154">
        <f t="shared" si="345"/>
        <v>0</v>
      </c>
      <c r="FS154">
        <f>IF(CG154=1,IF(AND(CH154=1,CW154=1),0,IF(AND(CS154&lt;&gt;"",CS154=BA154,CW154=1),SUMIFS(Линии[_Р линии, кВт],Линии[_блок УЗО],BA154,Линии[Щит],A154),N(BS154)+IF(AJ154="вручную",0,N(CK154)))),0)</f>
        <v>11.860000000000001</v>
      </c>
      <c r="FT154" t="str">
        <f t="shared" si="346"/>
        <v/>
      </c>
      <c r="FU154" t="str">
        <f>IF(B154="","",IF(CG154=0,IF(BA154=1,"",FW153),IF(AND(CH154=1,CW154=1,CS154&lt;&gt;""),IFERROR(_xlfn.XLOOKUP(CS154,Линии[_n],Линии[_фаза итог]),"L1"),IF(OR(N(DL154)&gt;=3,N(BX154)&gt;=3),"L1,L2,L3",IFERROR(_xlfn.TEXTBEFORE(_xlfn.TEXTAFTER(_xlfn.XLOOKUP(A154,Щиты[Щит],Щиты[_фазы авто]),";"&amp;BA154&amp;":"),";"),"L1")))))</f>
        <v>L1,L2,L3</v>
      </c>
      <c r="FV154" t="str">
        <f t="shared" si="347"/>
        <v>L1,L2,L3</v>
      </c>
      <c r="FW154" t="str">
        <f t="shared" si="348"/>
        <v>L1,L2,L3</v>
      </c>
      <c r="FX154" cm="1">
        <f t="array" ref="FX154">IFERROR(IF(CD154=2,_xlfn.IFS(BX154=3,VLOOKUP(BS154,Справочная_двигатели,3,FALSE),BX154=1,VLOOKUP(BS154,Справочная_двигатели,5,TRUE)),0),0)</f>
        <v>0</v>
      </c>
      <c r="FY154">
        <f>IFERROR(IF(CD154=3,VLOOKUP(BS154,Справочная_ЛЭД,2,TRUE),0),0)</f>
        <v>0</v>
      </c>
      <c r="FZ154" s="6">
        <f t="shared" si="349"/>
        <v>0</v>
      </c>
      <c r="GA154" t="str">
        <f>IF(B154="","",IF(TRIM(AH154&amp;"")&lt;&gt;"",IF(LOWER(TRIM(AH154&amp;""))="да","да","нет"),IF(IFERROR(_xlfn.XLOOKUP(BC154,Коды_код,Коды_пожарная),"")="да","да","нет")))</f>
        <v>нет</v>
      </c>
      <c r="GB154" t="str">
        <f t="shared" si="350"/>
        <v/>
      </c>
      <c r="GC154" t="str">
        <f t="shared" si="351"/>
        <v>основная</v>
      </c>
      <c r="GD154">
        <f>IF(AND(BP154=1,TRIM(AE154&amp;"")=""),IF(COUNTIFS(Линии[Щит],A154,Линии[Секция (1/2/3)],"&gt;=2")&gt;0,MIN(3,MAX(1,IFERROR(--BD154,1))),1),IFERROR(MIN(3,MAX(1,INT(--AE154))),1))</f>
        <v>1</v>
      </c>
      <c r="GE154" t="str" cm="1">
        <f t="array" ref="GE154">IF(B154="","",_xlfn.LET(_xlpm.t,IFERROR(_xlfn.XLOOKUP(1,(Шины[Шина]=GC154)*(((Шины[Щит]=A154)+(Шины[Щит]=""))&gt;0),Шины[Тип]),"")&amp;"",IF(_xlpm.t&lt;&gt;"",_xlpm.t,IF(ISNUMBER(SEARCH("ИБП",GC154)),"ИБП",IF(ISNUMBER(SEARCH("ДГУ",GC154)),"ДГУ","Ввод "&amp;GD154)))))</f>
        <v>Ввод 1</v>
      </c>
      <c r="GF154" t="str">
        <f t="shared" si="352"/>
        <v>Ввод 1</v>
      </c>
      <c r="GG154" t="str">
        <f>IF(BP154=0,"",IF(TRIM(AG154&amp;"")&lt;&gt;"",TRIM(AG154&amp;""),IF(OR(GE154="ИБП",GE154="ДГУ"),"I особая",_xlfn.XLOOKUP(A154,Щиты[Щит],Щиты[Категория шины «Ввод»],"III"))))</f>
        <v>II</v>
      </c>
      <c r="GH154" t="str">
        <f>IF(A154="","",_xlfn.XLOOKUP(A154,Щиты[Щит],Щиты[Путь],""))</f>
        <v>|ГРЩ-ЖД|ЩР-001|</v>
      </c>
      <c r="GI154" t="str">
        <f>IF(B154="","",IF(AI154&lt;&gt;"",AI154,IF(IFERROR(_xlfn.XLOOKUP(BC154,Коды_код,Коды_вид)&amp;"","")="","Прочее",_xlfn.XLOOKUP(BC154,Коды_код,Коды_вид)&amp;"")))</f>
        <v>Прочее</v>
      </c>
      <c r="GJ154">
        <f>IF(BM154="","",INT((BM154-1)/Столбцов_на_лист)+1)</f>
        <v>1</v>
      </c>
      <c r="GK154" t="str">
        <f t="shared" si="353"/>
        <v>ВВГнг(А)-LS (5х4)</v>
      </c>
      <c r="GL154">
        <f t="shared" si="354"/>
        <v>11.860000000000001</v>
      </c>
      <c r="GM154">
        <f t="shared" si="355"/>
        <v>16.380000000000003</v>
      </c>
      <c r="GN154">
        <f t="shared" si="356"/>
        <v>3</v>
      </c>
      <c r="GO154">
        <f t="shared" si="357"/>
        <v>0</v>
      </c>
      <c r="GP154">
        <f t="shared" si="358"/>
        <v>0</v>
      </c>
      <c r="GQ154" t="str">
        <f>IF(BM154="","",IF(AND(CG154=1,GP154=1),COUNTIFS(A$3:A154,A154,CG$3:CG154,1,GP$3:GP154,1),IF(OR(OR(BA154=1,A154&lt;&gt;A153),AJ154="вручную",GP154=0),"",IF(BA154=1,"",GR153))))</f>
        <v/>
      </c>
      <c r="GR154" t="str">
        <f t="shared" si="359"/>
        <v/>
      </c>
      <c r="GS154">
        <f>IF(B154="","",IFERROR(LOOKUP(INDEX(CHOOSE(EB154,Iдоп_1ж,Iдоп_2ж,Iдоп_3ж),MATCH(EN154,Iдоп_S,0))*DZ154*EA154,{6,10,16,20,25,32,40,50,63,80,100,125,160,200,250,315,400,500,630}),""))</f>
        <v>32</v>
      </c>
      <c r="GT154" t="str">
        <f t="shared" si="360"/>
        <v/>
      </c>
      <c r="GU154" t="str">
        <f t="shared" si="361"/>
        <v/>
      </c>
      <c r="GV154" t="str">
        <f t="shared" si="362"/>
        <v/>
      </c>
      <c r="GW154">
        <f t="shared" si="363"/>
        <v>0</v>
      </c>
      <c r="GX154" t="str">
        <f>IF(OR(B154="",DJ154=""),"",IFERROR(_xlfn.XLOOKUP(DJ154,Модули_умолч[Управление],Модули_умолч[Модель])&amp;"",""))</f>
        <v/>
      </c>
      <c r="GY154">
        <f>IF(DJ154="",1,IFERROR(MAX(0,N(_xlfn.XLOOKUP(DJ154,Модули_умолч[Управление],Модули_умолч[Каналов на линию]))),1))</f>
        <v>1</v>
      </c>
      <c r="GZ154" t="str">
        <f t="shared" si="364"/>
        <v/>
      </c>
      <c r="HA154" t="str">
        <f t="shared" si="365"/>
        <v/>
      </c>
      <c r="HB154" t="str">
        <f t="shared" si="366"/>
        <v/>
      </c>
      <c r="HC154">
        <f>IF(HB154="",0,IFERROR(N(VLOOKUP(HB154,Модули_спр,3,FALSE)),0))</f>
        <v>0</v>
      </c>
      <c r="HD154" t="str">
        <f t="shared" si="367"/>
        <v/>
      </c>
      <c r="HE154" t="str">
        <f t="shared" si="368"/>
        <v/>
      </c>
      <c r="HF154" t="str">
        <f>IF(OR(HE154="",HE154="-"),"",IFERROR(VLOOKUP(HE154,Модули_спр,2,FALSE),"R"))</f>
        <v/>
      </c>
      <c r="HG154" t="str">
        <f>IF(HF154="","",HF154&amp;"."&amp;COUNTIFS(A$3:A154,A154,HF$3:HF154,HF154))</f>
        <v/>
      </c>
      <c r="HH154" t="str">
        <f t="shared" si="369"/>
        <v/>
      </c>
      <c r="HI154" t="str">
        <f t="shared" si="370"/>
        <v/>
      </c>
      <c r="HJ154" t="str">
        <f t="shared" si="371"/>
        <v/>
      </c>
      <c r="HK154" t="str">
        <f t="shared" si="372"/>
        <v/>
      </c>
      <c r="HL154">
        <f t="shared" si="373"/>
        <v>0</v>
      </c>
      <c r="HM154" t="str">
        <f>IF(HL154=1,"XT"&amp;COUNTIFS(A$3:A154,A154,HL$3:HL154,1),"")</f>
        <v/>
      </c>
      <c r="HN154" t="str">
        <f t="shared" si="374"/>
        <v/>
      </c>
      <c r="HO154" t="str">
        <f t="shared" si="375"/>
        <v/>
      </c>
      <c r="HP154" t="str">
        <f t="shared" si="376"/>
        <v/>
      </c>
      <c r="HQ154" t="str">
        <f t="shared" si="377"/>
        <v>ok</v>
      </c>
      <c r="HR154" t="str">
        <f>IF(OR(HJ154="",HH154=""),"",IF(HJ154+MAX(0,GY154-1)&gt;IFERROR(VLOOKUP(HI154,Модули_спр,3,FALSE),99),"ЛИШНИЙ КАНАЛ",IF(AND(AL154&lt;&gt;"=",GY154&gt;0,COUNTIFS(Линии[_модуль гр.],HH154,Линии[Канал (итог)],HJ154,Линии[Канал],"&lt;&gt;=",Линии[Щит],A154)&gt;1),"ДУБЛЬ КАНАЛА","")))</f>
        <v/>
      </c>
      <c r="HS154" s="6" t="str">
        <f t="shared" si="378"/>
        <v/>
      </c>
      <c r="HT154">
        <f t="shared" si="379"/>
        <v>10</v>
      </c>
      <c r="HU154" t="str">
        <f t="shared" si="380"/>
        <v/>
      </c>
      <c r="HV154">
        <f t="shared" si="381"/>
        <v>0</v>
      </c>
      <c r="HW154">
        <f t="shared" si="382"/>
        <v>0</v>
      </c>
      <c r="HX154">
        <f t="shared" si="383"/>
        <v>0</v>
      </c>
      <c r="HY154">
        <f t="shared" si="384"/>
        <v>0</v>
      </c>
      <c r="HZ154">
        <f t="shared" si="385"/>
        <v>0</v>
      </c>
      <c r="IA154">
        <f t="shared" si="386"/>
        <v>0</v>
      </c>
      <c r="IB154">
        <f t="shared" si="387"/>
        <v>0</v>
      </c>
      <c r="IC154" t="str">
        <f t="shared" si="388"/>
        <v/>
      </c>
      <c r="ID154" t="str" cm="1">
        <f t="array" ref="ID154">IF(IC154="","",_xlfn.LET(_xlpm.tk,_xlfn.TEXTSPLIT(SUBSTITUTE(SUBSTITUTE(IC154,";"," "),"→"," ")," ",,TRUE),_xlpm.w_,_xlfn._xlws.FILTER(_xlpm.tk,ISNUMBER(--LEFT(_xlpm.tk,1))*((ISNUMBER(SEARCH("W",_xlpm.tk))+ISNUMBER(SEARCH("Вт",_xlpm.tk)))&gt;0),""),IFERROR(--SUBSTITUTE(SUBSTITUTE(UPPER(INDEX(_xlpm.w_,1)),"W",""),"ВТ",""),"")))</f>
        <v/>
      </c>
      <c r="IE154" t="str" cm="1">
        <f t="array" ref="IE154">IF(IC154="","",_xlfn.LET(_xlpm.tk,_xlfn.TEXTSPLIT(SUBSTITUTE(SUBSTITUTE(IC154,";"," "),"→"," ")," ",,TRUE),_xlpm.v_,_xlfn._xlws.FILTER(_xlpm.tk,ISNUMBER(--LEFT(_xlpm.tk,1))*((ISNUMBER(SEARCH("V",_xlpm.tk))+(RIGHT(UPPER(_xlpm.tk))="В"))&gt;0),""),IFERROR(--SUBSTITUTE(SUBSTITUTE(UPPER(INDEX(_xlpm.v_,1)),"V",""),"В",""),"")))</f>
        <v/>
      </c>
      <c r="IF154" s="6" t="str">
        <f>IF(OR(BV154=0,HI154="",HJ154=""),"",IFERROR(N(_xlfn.XLOOKUP(HI154,Каталог!$C$4:$C$500,Каталог!$Q$4:$Q$500)),""))</f>
        <v/>
      </c>
      <c r="IG154" s="6" t="str">
        <f>IF(N(IF154)=0,"",SUMIFS(Линии[Iр, А],Линии[Щит],A154,Линии[_модуль гр.],HH154,Линии[Канал (итог)],HJ154))</f>
        <v/>
      </c>
      <c r="IH154" t="str">
        <f>IF(AND(B154="",HO154=""),"",_xlfn.TEXTJOIN("; ",TRUE,IF(AND(B154&lt;&gt;"",FV154=""),"нет фазы",""),IF(AND(B154&lt;&gt;"",N(GL154)=0,FG154&lt;&gt;"Нет"),"нет мощности",""),IF(AND(HN154&lt;&gt;"",COUNTIFS(Линии[Щит],A154,Линии[Клемма (итог)],HN154)&gt;1),"дубль клеммы "&amp;HN154,""),IF(AND(HQ154&lt;&gt;"",HQ154&lt;&gt;"ok"),HQ154,""),IF(HR154&lt;&gt;"",HR154,""),IF(AND(N(CB154)&gt;=4,N(BX154)=1),CB154&amp;" жил на 1 фазе",""),IF(AND(BC154="R",CG154=1,IF(CS154&lt;&gt;"",N(CV154)&gt;30,OR(N(DA154)=0,N(DA154)&gt;30))),"розетка без дифзащиты до 30 мА",""),IF(AND(CG154=1,N(DA154)&gt;0,ISNUMBER(T154)),IF(T154&gt;N(DA154)/3,"ток утечки "&amp;FIXED(T154,1)&amp;" мА &gt; 1/3 уставки ("&amp;DA154&amp;" мА)",""),""),IF(AND(CH154=1,CS154=""),"«узо»: нет строки с УЗО выше (УЗО 2P 40А 30мА в «Аппаратах»)",""),IF(AND(CS154&lt;&gt;"",CS154=BA154),IF(CT154="","впишите номинал УЗО (УЗО 2P 40А 30мА)",IF(N(CT154)&lt;N(DT154),"УЗО "&amp;CT154&amp;" А &lt; автомата "&amp;DT154&amp;" А перед ним",IF(N(CT154)&lt;N(CX154),"УЗО "&amp;CT154&amp;" А &lt; тока блока "&amp;FIXED(CX154,1)&amp;" А",""))),""),IF(AND(CS154&lt;&gt;"",CS154=BA154,ISNUMBER(CY154)),IF(CY154&gt;N(CV154)/3,"ток утечки блока УЗО "&amp;FIXED(CY154,1)&amp;" мА &gt; 1/3 уставки ("&amp;CV154&amp;" мА)",""),""),IF(AND(CG154=1,N(BV154)+N(IB154)&gt;0,IC154=""),"линии до 50 В без БП: впишите в «Аппараты» (БП 24V 480W)",""),IF(AND(CG154=1,ISNUMBER(ID154),ISNUMBER(U154)),IF(U154&gt;ID154,"БП "&amp;ID154&amp;" Вт &lt; нужно "&amp;U154&amp;" Вт (×"&amp;Запас_БП&amp;")",""),""),IF(AND(CG154=1,ISNUMBER(IE154),N(BV154)=1),IF(IE154&lt;&gt;N(BU154),"БП на "&amp;IE154&amp;" В, линия "&amp;BU154&amp;" В",""),""),IF(AND(N(IF154)&gt;0,N(IG154)&gt;N(IF154)),HH154&amp;" канал "&amp;HJ154&amp;": "&amp;FIXED(IG154,1)&amp;" А &gt; "&amp;IF154&amp;" А",""),IFERROR(IF(AND(ISNUMBER(Q154),Q154&gt;EL154),"потери "&amp;FIXED(Q154,1)&amp;" % &gt; "&amp;EL154&amp;" %",""),""),IFERROR(IF(LEFT(HU154,4)="мало","Iкз мало — отключение &gt; 0,4 с",""),""),IF(AND(B154&lt;&gt;"",BM154=""),"не на схеме",""),IF(AND(CG154=0,B154&lt;&gt;"",FV154&lt;&gt;"",IF(BA154=1,"",FW153)&lt;&gt;"",FV154&lt;&gt;IF(BA154=1,"",FW153)),"фаза не как у автомата группы ("&amp;IF(BA154=1,"",FW153)&amp;")","")))</f>
        <v/>
      </c>
      <c r="II154" s="6">
        <f>IF(OR(CG154=0,DQ154=""),"",_xlfn.LET(_xlpm.t,IFERROR(_xlfn.XLOOKUP(DQ154,Каталог!$U$4:$U$500,Каталог!$G$4:$G$500),""),_xlpm.k,SEARCH("кА",_xlpm.t),IFERROR(--TRIM(RIGHT(SUBSTITUTE(MID(_xlpm.t,MAX(1,_xlpm.k-4),_xlpm.k-MAX(1,_xlpm.k-4))," ",REPT(" ",9)),5)),"")))</f>
        <v>6</v>
      </c>
      <c r="IJ154" t="str">
        <f>IF(OR(II154="",CG154=0),"",IF(_xlfn.XLOOKUP(A154,Щиты[Щит],Щиты[Iкз max на шинах, кА],"")="","",IF(II154&lt;_xlfn.XLOOKUP(A154,Щиты[Щит],Щиты[Iкз max на шинах, кА]),"Icu "&amp;II154&amp;" кА &lt; Iкз max","ok")))</f>
        <v/>
      </c>
      <c r="IK154" t="str">
        <f t="shared" si="389"/>
        <v/>
      </c>
      <c r="IL154" t="str">
        <f t="shared" si="390"/>
        <v/>
      </c>
      <c r="IM154" t="str">
        <f t="shared" si="391"/>
        <v/>
      </c>
      <c r="IN154" t="str" cm="1">
        <f t="array" ref="IN154">IF(IM154="","",_xlfn.LET(_xlpm.nd,_xlfn.TEXTSPLIT(IM154,"|"),IF(COLUMNS(_xlpm.nd)&gt;1,A154&amp;"¦"&amp;INDEX(_xlpm.nd,1)&amp;"¦"&amp;INDEX(_xlpm.nd,2),"")))</f>
        <v/>
      </c>
      <c r="IO154" t="str">
        <f t="shared" si="392"/>
        <v/>
      </c>
      <c r="IP154" t="str" cm="1">
        <f t="array" ref="IP154">IF(IM154="","",_xlfn.LET(_xlpm.nd,_xlfn.TEXTSPLIT(IM154,"|"),IF(COLUMNS(_xlpm.nd)&gt;2,A154&amp;"¦"&amp;INDEX(_xlpm.nd,2)&amp;"¦"&amp;INDEX(_xlpm.nd,3),"")))</f>
        <v/>
      </c>
      <c r="IQ154" t="str">
        <f t="shared" si="393"/>
        <v/>
      </c>
      <c r="IR154" t="str" cm="1">
        <f t="array" ref="IR154">IF(IM154="","",_xlfn.LET(_xlpm.nd,_xlfn.TEXTSPLIT(IM154,"|"),IF(COLUMNS(_xlpm.nd)&gt;3,A154&amp;"¦"&amp;INDEX(_xlpm.nd,3)&amp;"¦"&amp;INDEX(_xlpm.nd,4),"")))</f>
        <v/>
      </c>
      <c r="IS154" t="str">
        <f t="shared" si="394"/>
        <v/>
      </c>
      <c r="IT154" t="str" cm="1">
        <f t="array" ref="IT154">IF(IM154="","",_xlfn.LET(_xlpm.nd,_xlfn.TEXTSPLIT(IM154,"|"),IF(COLUMNS(_xlpm.nd)&gt;4,A154&amp;"¦"&amp;INDEX(_xlpm.nd,4)&amp;"¦"&amp;INDEX(_xlpm.nd,5),"")))</f>
        <v/>
      </c>
      <c r="IU154" t="str">
        <f t="shared" si="395"/>
        <v/>
      </c>
      <c r="IV154" t="str" cm="1">
        <f t="array" ref="IV154">IF(IM154="","",_xlfn.LET(_xlpm.nd,_xlfn.TEXTSPLIT(IM154,"|"),IF(COLUMNS(_xlpm.nd)&gt;5,A154&amp;"¦"&amp;INDEX(_xlpm.nd,5)&amp;"¦"&amp;INDEX(_xlpm.nd,6),"")))</f>
        <v/>
      </c>
      <c r="IW154" t="str">
        <f t="shared" si="396"/>
        <v/>
      </c>
      <c r="IX154" t="str" cm="1">
        <f t="array" ref="IX154">IF(IM154="","",_xlfn.LET(_xlpm.nd,_xlfn.TEXTSPLIT(IM154,"|"),IF(COLUMNS(_xlpm.nd)&gt;6,A154&amp;"¦"&amp;INDEX(_xlpm.nd,6)&amp;"¦"&amp;INDEX(_xlpm.nd,7),"")))</f>
        <v/>
      </c>
      <c r="IY154" t="str">
        <f t="shared" si="397"/>
        <v/>
      </c>
      <c r="IZ154" t="str">
        <f t="shared" si="398"/>
        <v/>
      </c>
      <c r="JA154" t="str">
        <f t="shared" si="399"/>
        <v/>
      </c>
      <c r="JB154">
        <f t="shared" si="400"/>
        <v>0</v>
      </c>
      <c r="JC154">
        <f t="shared" si="401"/>
        <v>0</v>
      </c>
      <c r="JD154" t="str">
        <f t="shared" si="402"/>
        <v/>
      </c>
      <c r="JE154" t="str">
        <f t="shared" si="403"/>
        <v/>
      </c>
      <c r="JF154" t="str">
        <f t="shared" si="404"/>
        <v/>
      </c>
      <c r="JG154" t="str">
        <f t="shared" si="405"/>
        <v/>
      </c>
      <c r="JH154">
        <f>IF(B154="","",IFERROR(_xlfn.XLOOKUP(B154,Коды_код,Коды_уго),IFERROR(_xlfn.XLOOKUP(BC154,Коды_код,Коды_уго),IFERROR(_xlfn.XLOOKUP(LEFT(BC154,2),Коды_код,Коды_уго),""))))</f>
        <v>0</v>
      </c>
      <c r="JI154" t="str">
        <f>IF(B154="","",IF(OR(JH154="",JH154=0),"BOX",IFERROR(IF(VLOOKUP(JH154,УГО_блоки,3,FALSE)&amp;""&lt;&gt;"",VLOOKUP(JH154,УГО_блоки,3,FALSE),VLOOKUP(JH154,УГО_блоки,2,FALSE)),JH154)))</f>
        <v>BOX</v>
      </c>
      <c r="JJ154">
        <f t="shared" si="406"/>
        <v>1</v>
      </c>
      <c r="JK154" t="str">
        <f>IF(DQ154="","",IF(COUNTIF(DQ$3:DQ154,DQ154)=1,MAX(JK$2:JK153)+1,""))</f>
        <v/>
      </c>
      <c r="JL154" t="str">
        <f>IF(DE154="","",IF(COUNTIF(DE$3:DE154,DE154)+COUNTIF(DF$2:DF153,DE154)+COUNTIF(DG$2:DG153,DE154)=1,MAX(JL$2:JN153)+1,""))</f>
        <v/>
      </c>
      <c r="JM154" t="str">
        <f>IF(DF154="","",IF(COUNTIF(DE$3:DE154,DF154)+COUNTIF(DF$3:DF154,DF154)+COUNTIF(DG$2:DG153,DF154)=1,MAX(JL$2:JN153,JL154)+1,""))</f>
        <v/>
      </c>
      <c r="JN154" t="str">
        <f>IF(DG154="","",IF(COUNTIF(DE$3:DE154,DG154)+COUNTIF(DF$3:DF154,DG154)+COUNTIF(DG$3:DG154,DG154)=1,MAX(JL$2:JN153,JL154,JM154)+1,""))</f>
        <v/>
      </c>
      <c r="JO154" t="str">
        <f t="shared" si="407"/>
        <v/>
      </c>
      <c r="JP154" t="str">
        <f>IF(JO154="","",IF(COUNTIF(JO$3:JO154,JO154)=1,MAX(JP$2:JP153)+1,""))</f>
        <v/>
      </c>
      <c r="JQ154" t="str">
        <f>IF(HG154="","",COUNTIF(HG$3:HG154,"?*"))</f>
        <v/>
      </c>
      <c r="JR154" t="str">
        <f>IF(OR(HG154="",HI154=""),"",IF(COUNTIFS(HG$3:HG154,"?*",HI$3:HI154,HI154)=1,MAX(JR$2:JR153)+1,""))</f>
        <v/>
      </c>
      <c r="JS154">
        <f t="shared" si="408"/>
        <v>0</v>
      </c>
      <c r="JT154">
        <f>IF(B154="","",COUNTIF(B$3:B154,"?*"))</f>
        <v>152</v>
      </c>
      <c r="JU154">
        <f>IF(HL154&lt;&gt;1,0,_xlfn.LET(_xlpm.k,MAX(IFERROR(--_xlfn.XLOOKUP(B154,Коды_код,Коды_3L),0),IFERROR(--_xlfn.XLOOKUP(BC154,Коды_код,Коды_3L),0),IFERROR(--_xlfn.XLOOKUP(LEFT(BC154,2),Коды_код,Коды_3L),0)),IF(_xlpm.k&gt;0,_xlpm.k,IF(IFERROR(--LEFT(SUBSTITUTE(JO154,"x","х"),FIND("х",SUBSTITUTE(JO154,"x","х"))-1),3)&gt;3,Каталог!$S$9,1))))</f>
        <v>0</v>
      </c>
      <c r="JV154">
        <f t="shared" si="409"/>
        <v>0</v>
      </c>
      <c r="JW154" t="str">
        <f t="shared" si="410"/>
        <v>авто</v>
      </c>
      <c r="JX154" t="str">
        <f t="shared" si="411"/>
        <v/>
      </c>
      <c r="JY154">
        <f t="shared" si="412"/>
        <v>0</v>
      </c>
      <c r="JZ154">
        <f t="shared" si="413"/>
        <v>1</v>
      </c>
    </row>
    <row r="155" spans="1:286" x14ac:dyDescent="0.3">
      <c r="A155" t="s">
        <v>753</v>
      </c>
      <c r="B155" t="s">
        <v>1463</v>
      </c>
      <c r="C155" t="str">
        <f>Линии[[#This Row],[_авто наименование]]</f>
        <v>Розеточная группа, пом. 001Б</v>
      </c>
      <c r="D155">
        <v>11</v>
      </c>
      <c r="E155">
        <v>0.65999999999999992</v>
      </c>
      <c r="G155">
        <v>16</v>
      </c>
      <c r="H155" t="str">
        <f>Линии[[#This Row],[_авто управление]]</f>
        <v/>
      </c>
      <c r="I155" t="str">
        <f>Линии[[#This Row],[_авто аппараты]]</f>
        <v/>
      </c>
      <c r="J155">
        <v>2.5</v>
      </c>
      <c r="K155">
        <v>63</v>
      </c>
      <c r="L155">
        <v>3</v>
      </c>
      <c r="M155" t="str">
        <f>Линии[[#This Row],[_авто клемма]]</f>
        <v>XT1</v>
      </c>
      <c r="N155" t="str">
        <f t="shared" si="276"/>
        <v>потери 4,4 % &gt; 4,13 %</v>
      </c>
      <c r="O155" s="6" cm="1">
        <f t="array" ref="O155">IF(B155="","",IF(BH155&lt;&gt;"",IFERROR(_xlfn.XLOOKUP(BH155,Щиты[Щит],Щиты[Iр, А]),""),IF(BP155=1,IF(OR(N(_xlfn.XLOOKUP(A155,Щиты[Щит],Щиты[Вводов],1))&lt;=1,LOWER(TRIM(_xlfn.XLOOKUP(A155,Щиты[Щит],Щиты[АВР],"")&amp;""))="да"),IFERROR(_xlfn.XLOOKUP(A155,Щиты[Щит],Щиты[Iр, А]),""),IFERROR(N(BS155)*_xlfn.XLOOKUP(A155,Щиты[Щит],Щиты[Кс итог])/(SQRT(3)*Uн_лин*_xlfn.XLOOKUP(A155,Щиты[Щит],Щиты[cos φ])),"")),IF(BV155=1,IFERROR(BS155*1000/BU155,""),IFERROR(_xlfn.IFS(BX155=1,BS155/((Uн_лин/SQRT(3))*CE155),BX155=3,BS155/(SQRT(3)*Uн_лин*CE155)),"")))))</f>
        <v>3.008298771040681</v>
      </c>
      <c r="P155" s="7">
        <f>IF(B155="","",IFERROR(IF(VLOOKUP(BC155,Потребители_обозначение,4,FALSE)=1,VLOOKUP(BC155,Потребители_обозначение,3,FALSE)*(MAX(1,N(D155))*2-1)+EI155+VLOOKUP(BE155,Этаж_обозначение,3,FALSE)+VLOOKUP(BE155,Этаж_обозначение,4,FALSE),VLOOKUP(BC155,Потребители_обозначение,3,FALSE)*(MAX(1,N(D155))*2-1)+EI155),EI155))</f>
        <v>126</v>
      </c>
      <c r="Q155" s="6">
        <f t="shared" si="277"/>
        <v>4.3899999999999997</v>
      </c>
      <c r="R155" t="str">
        <f t="shared" si="278"/>
        <v>ВВГнг(А)-LS (3х2,5)</v>
      </c>
      <c r="S155" t="str">
        <f>IF(BM155="","",IF(BN155="вводной узел","узел ","")&amp;"л."&amp;(INT((BM155-1)/Столбцов_на_лист)+1)&amp;" / "&amp;(MOD(BM155-1,Столбцов_на_лист)+1))</f>
        <v>л.1 / 8</v>
      </c>
      <c r="T155" s="119">
        <f t="shared" si="279"/>
        <v>2.5</v>
      </c>
      <c r="U155" s="7" t="str">
        <f>IF(OR(CG155=0,N(BV155)+N(IB155)=0),"",ROUNDUP(Запас_БП*(N(HY155)+N(HZ155)),0))</f>
        <v/>
      </c>
      <c r="V155" s="119" t="str">
        <f t="shared" si="280"/>
        <v/>
      </c>
      <c r="W155" s="7" t="str">
        <f>IFERROR(IF(OR(B155="",BP155=1,BV155=1,NOT(ISNUMBER(EN155)),N(DT155)=0),"",MAX(0,ROUNDDOWN((c_min*(Uн_лин*1000/SQRT(3))/(HT155*N(DT155))-_xlfn.XLOOKUP(A155,Щиты[Щит],Щиты[Zпетли на шинах, Ом]))*EN155/(2*ρкз_Cu),0))),"")</f>
        <v/>
      </c>
      <c r="Y155">
        <f>Линии[[#This Row],[_авто утечка]]</f>
        <v>30</v>
      </c>
      <c r="Z155">
        <v>1</v>
      </c>
      <c r="AA155">
        <v>230</v>
      </c>
      <c r="AB155" t="s">
        <v>562</v>
      </c>
      <c r="AG155" t="s">
        <v>810</v>
      </c>
      <c r="AI155" t="s">
        <v>561</v>
      </c>
      <c r="AK155" t="str">
        <f>Линии[[#This Row],[_авто модуль]]</f>
        <v/>
      </c>
      <c r="AM155">
        <v>8</v>
      </c>
      <c r="AN155" t="s">
        <v>11</v>
      </c>
      <c r="AO155">
        <v>3</v>
      </c>
      <c r="AQ155">
        <v>0</v>
      </c>
      <c r="AR155">
        <v>0</v>
      </c>
      <c r="AS155">
        <v>126</v>
      </c>
      <c r="BA155" cm="1">
        <f t="array" ref="BA155">ROW()-ROW(Линии[#Headers])</f>
        <v>153</v>
      </c>
      <c r="BC155" s="6" t="str">
        <f t="shared" si="281"/>
        <v>R</v>
      </c>
      <c r="BD155" t="str">
        <f t="shared" si="282"/>
        <v>00.001Б.1</v>
      </c>
      <c r="BE155" t="str">
        <f t="shared" si="283"/>
        <v>00</v>
      </c>
      <c r="BF155" t="str">
        <f t="shared" si="284"/>
        <v>001Б.1</v>
      </c>
      <c r="BG155" t="str">
        <f t="shared" si="285"/>
        <v>001Б</v>
      </c>
      <c r="BH155" t="str">
        <f>IF(X155&lt;&gt;"",X155,IF(AND(B155&lt;&gt;"",B155&lt;&gt;A155,ISNUMBER(_xlfn.XMATCH(B155,Щиты[Щит]))),B155,""))</f>
        <v/>
      </c>
      <c r="BI155" t="str" cm="1">
        <f t="array" ref="BI155">IF(B155="","",IF(BH155&lt;&gt;"","Щит "&amp;BH155,_xlfn.LET(_xlpm.nm,IFERROR(_xlfn.XLOOKUP(BC155,Коды_код,Коды_имя)&amp;"",""),_xlpm.md,IFERROR(N(_xlfn.XLOOKUP(BC155,Коды_код,Коды_режим)),1),_xlpm.ex,IF(Имя_режим="по экспликации",IFERROR(_xlfn.XLOOKUP(BE155&amp;"|"&amp;BG155,Экспликация[Этаж]&amp;"|"&amp;Экспликация[Помещение],Экспликация[Название])&amp;"",""),""),_xlpm.rm,IF(BG155="","",IF(_xlpm.ex&lt;&gt;"",". "&amp;_xlpm.ex&amp;IF(Имя_пом="нет"," ("&amp;BG155&amp;")"," (пом. "&amp;BG155&amp;")"),IF(Имя_пом="нет"," ",", пом. ")&amp;BG155)),IF(_xlpm.nm="","",IF(_xlpm.md=2,_xlpm.nm&amp;" шлейф "&amp;BE155,_xlpm.nm&amp;_xlpm.rm)))))</f>
        <v>Розеточная группа, пом. 001Б</v>
      </c>
      <c r="BJ155" t="str">
        <f t="shared" si="286"/>
        <v>Розеточная группа, пом. 001Б</v>
      </c>
      <c r="BK155">
        <f>IFERROR(_xlfn.XMATCH(A155,Щиты[Щит]),0)</f>
        <v>8</v>
      </c>
      <c r="BL155">
        <f>_xlfn.LET(_xlpm.k,IFERROR(_xlfn.XLOOKUP(A155,Щиты[Щит],Щиты[Мест под вводной узел]),""),IF(_xlpm.k="",Столбцов_на_лист,N(_xlpm.k)))</f>
        <v>7</v>
      </c>
      <c r="BM155">
        <f t="shared" si="287"/>
        <v>8</v>
      </c>
      <c r="BN155" t="str">
        <f t="shared" si="288"/>
        <v>линии</v>
      </c>
      <c r="BO155" s="6">
        <f>IFERROR(N(_xlfn.XLOOKUP(BC155,Коды_код,Коды_квт)),0)</f>
        <v>0</v>
      </c>
      <c r="BP155">
        <f t="shared" si="289"/>
        <v>0</v>
      </c>
      <c r="BQ155" t="str">
        <f>IF(B155="","",IF(BH155&lt;&gt;"",IFERROR(_xlfn.XLOOKUP(BH155,Щиты[Щит],Щиты[Руст, кВт]),0),IF(BP155=1,IF(OR(N(_xlfn.XLOOKUP(A155,Щиты[Щит],Щиты[Вводов],1))&lt;=1,LOWER(TRIM(_xlfn.XLOOKUP(A155,Щиты[Щит],Щиты[АВР],"")&amp;""))="да"),IFERROR(_xlfn.XLOOKUP(A155,Щиты[Щит],Щиты[Руст, кВт]),0),SUMIFS(Линии[_Р для вводов],Линии[Щит],A155,Линии[Источник для режимов],GF155)),IF(BO155&gt;0,ROUND(BO155*MAX(1,N(D155)),3),""))))</f>
        <v/>
      </c>
      <c r="BR155">
        <f t="shared" si="290"/>
        <v>0.65999999999999992</v>
      </c>
      <c r="BS155" s="6">
        <f>IF(B155="","",IF(BH155&lt;&gt;"",IFERROR(_xlfn.XLOOKUP(BH155,Щиты[Щит],Щиты[Руст, кВт]),0),N(BR155)))</f>
        <v>0.65999999999999992</v>
      </c>
      <c r="BT155" t="str">
        <f>IF(B155="","",IFERROR(IF(VLOOKUP(BC155,Потребители_обозначение,8,FALSE)=0,"",VLOOKUP(BC155,Потребители_обозначение,8,FALSE)),""))</f>
        <v/>
      </c>
      <c r="BU155">
        <f t="shared" si="291"/>
        <v>230</v>
      </c>
      <c r="BV155">
        <f t="shared" si="292"/>
        <v>0</v>
      </c>
      <c r="BW155">
        <f>IF(B155="","",IF(BH155&lt;&gt;"",3,IFERROR(IF(N(VLOOKUP(BC155,Потребители_обозначение,9,FALSE))=0,1,VLOOKUP(BC155,Потребители_обозначение,9,FALSE)),1)))</f>
        <v>1</v>
      </c>
      <c r="BX155">
        <f t="shared" si="293"/>
        <v>1</v>
      </c>
      <c r="BY155" t="str">
        <f>IF(B155="","",_xlfn.LET(_xlpm.bc,IFERROR(IF(VLOOKUP(BC155,Потребители_обозначение,6,FALSE)=0,"",VLOOKUP(BC155,Потребители_обозначение,6,FALSE)&amp;""),""),IF(AND(GA155="да",OR(_xlpm.bc="",_xlpm.bc="мс")),Марка_пож,IF(AND(_xlpm.bc="",BH155&lt;&gt;""),"мс",_xlpm.bc))))</f>
        <v/>
      </c>
      <c r="BZ155" t="str">
        <f t="shared" si="294"/>
        <v>мс</v>
      </c>
      <c r="CA155">
        <f>IF(B155="","",_xlfn.LET(_xlpm.cc,IFERROR(N(VLOOKUP(BC155,Потребители_обозначение,7,FALSE)),0),IF(_xlpm.cc&gt;0,_xlpm.cc,IF(BZ155="","",IF(BV155=1,2,IF(N(BX155)=3,5,3))))))</f>
        <v>3</v>
      </c>
      <c r="CB155">
        <f t="shared" si="295"/>
        <v>3</v>
      </c>
      <c r="CC155">
        <f>IFERROR(N(VLOOKUP(BC155,Потребители_обозначение,10,FALSE)),0)</f>
        <v>0</v>
      </c>
      <c r="CD155">
        <f>IFERROR(VLOOKUP(BC155,Потребители_обозначение,5,FALSE),0)</f>
        <v>1</v>
      </c>
      <c r="CE155" s="6" cm="1">
        <f t="array" ref="CE155">IF(B155="","",IF(BH155&lt;&gt;"",IFERROR(_xlfn.XLOOKUP(BH155,Щиты[Щит],Щиты[cos φ]),0.95),IF(BP155=1,IFERROR(_xlfn.XLOOKUP(A155,Щиты[Щит],Щиты[cos φ]),0.95),IF(ISNUMBER(AD155),AD155,IFERROR(IF(CD155=2,_xlfn.IFS(BX155=3,VLOOKUP(BS155,Справочная_двигатели,8,FALSE),BX155=1,VLOOKUP(BS155,Справочная_двигатели,10,TRUE)),IF(AND(Методика="нормы 2026",FG155="Сил"),0.8,0.95)),0.95)))))</f>
        <v>0.95</v>
      </c>
      <c r="CF155">
        <f t="shared" si="296"/>
        <v>0</v>
      </c>
      <c r="CG155">
        <f t="shared" si="297"/>
        <v>1</v>
      </c>
      <c r="CH155">
        <f t="shared" si="298"/>
        <v>0</v>
      </c>
      <c r="CI155">
        <f>IF(B155="","",IF(BV155=1,IFERROR(BS155/((Uн_лин/SQRT(3))*MAX(0.5,N(CE155))),0),N(O155)))</f>
        <v>3.008298771040681</v>
      </c>
      <c r="CJ155">
        <f t="shared" si="299"/>
        <v>0</v>
      </c>
      <c r="CK155">
        <f t="shared" si="300"/>
        <v>0</v>
      </c>
      <c r="CL155">
        <f t="shared" si="301"/>
        <v>0</v>
      </c>
      <c r="CM155">
        <f t="shared" si="302"/>
        <v>0</v>
      </c>
      <c r="CN155">
        <f t="shared" si="303"/>
        <v>0</v>
      </c>
      <c r="CO155">
        <f>IF(BC155="",0,_xlfn.LET(_xlpm.v,IFERROR(_xlfn.XLOOKUP(B155,Коды_код,Коды_мА),IFERROR(_xlfn.XLOOKUP(BC155,Коды_код,Коды_мА),IFERROR(_xlfn.XLOOKUP(LEFT(BC155,2),Коды_код,Коды_мА),""))),IF(_xlpm.v="да",30,IF(ISNUMBER(_xlpm.v),_xlpm.v,0))))</f>
        <v>30</v>
      </c>
      <c r="CP155">
        <f t="shared" si="304"/>
        <v>30</v>
      </c>
      <c r="CQ155" t="str">
        <f>_xlfn.LET(_xlpm.k,IFERROR(_xlfn.XLOOKUP(BC155,Коды_код,Коды_утечка)&amp;"",""),IF(_xlpm.k="","дифавтомат",_xlpm.k))</f>
        <v>дифавтомат</v>
      </c>
      <c r="CR155" t="str" cm="1">
        <f t="array" ref="CR155">IF(CG155=0,"",_xlfn.LET(_xlpm.sg,TRIM(_xlfn.TEXTSPLIT(DD155&amp;"",";")),_xlpm.f_,_xlfn._xlws.FILTER(_xlpm.sg,LEFT(_xlpm.sg,3)="УЗО",""),IFERROR(INDEX(_xlpm.f_,1)&amp;"","")))</f>
        <v/>
      </c>
      <c r="CS155" t="str">
        <f t="shared" si="305"/>
        <v/>
      </c>
      <c r="CT155" s="6" t="str" cm="1">
        <f t="array" ref="CT155">IF(CR155="","",_xlfn.LET(_xlpm.tk,_xlfn.TEXTSPLIT(UPPER(CR155)," ",,TRUE),_xlpm.a_,_xlfn._xlws.FILTER(_xlpm.tk,ISNUMBER(--LEFT(_xlpm.tk,1))*((ISNUMBER(SEARCH("А",_xlpm.tk))+ISNUMBER(SEARCH("A",_xlpm.tk)))&gt;0)*NOT(ISNUMBER(SEARCH("МА",_xlpm.tk)))*NOT(ISNUMBER(SEARCH("MA",_xlpm.tk))),""),IFERROR(--SUBSTITUTE(SUBSTITUTE(INDEX(_xlpm.a_,1),"А",""),"A",""),"")))</f>
        <v/>
      </c>
      <c r="CU155" t="str" cm="1">
        <f t="array" ref="CU155">IF(CR155="","",_xlfn.LET(_xlpm.tk,_xlfn.TEXTSPLIT(UPPER(CR155)," ",,TRUE),_xlpm.a_,_xlfn._xlws.FILTER(_xlpm.tk,ISNUMBER(--LEFT(_xlpm.tk,1))*((ISNUMBER(SEARCH("МА",_xlpm.tk))+ISNUMBER(SEARCH("MA",_xlpm.tk)))&gt;0),""),IFERROR(--SUBSTITUTE(SUBSTITUTE(INDEX(_xlpm.a_,1),"МА",""),"MA",""),30)))</f>
        <v/>
      </c>
      <c r="CV155" t="str">
        <f>IF(CS155="","",IFERROR(_xlfn.XLOOKUP(CS155,Линии[_n],Линии[_УЗО, мА]),30))</f>
        <v/>
      </c>
      <c r="CW155">
        <f>IF(CS155="",0,IF(ISNUMBER(SEARCH("4P",IFERROR(_xlfn.XLOOKUP(CS155,Линии[_n],Линии[_УЗО строки])&amp;"",""))),0,1))</f>
        <v>0</v>
      </c>
      <c r="CX155" t="str">
        <f>IF(AND(CS155&lt;&gt;"",CS155=BA155),SUMIFS(Линии[_ток на 230 В],Линии[_блок УЗО],BA155,Линии[Щит],A155),"")</f>
        <v/>
      </c>
      <c r="CY155" t="str">
        <f>IF(AND(CS155&lt;&gt;"",CS155=BA155),SUMIFS(Линии[_ток утечки линии, мА],Линии[_блок УЗО],BA155,Линии[Щит],A155),"")</f>
        <v/>
      </c>
      <c r="CZ155">
        <f t="shared" si="306"/>
        <v>30</v>
      </c>
      <c r="DA155">
        <f t="shared" si="307"/>
        <v>30</v>
      </c>
      <c r="DB155">
        <f>IF(B155="",0,IFERROR(--_xlfn.XLOOKUP(B155,Коды_код,Коды_минавт),IFERROR(--_xlfn.XLOOKUP(BC155,Коды_код,Коды_минавт),IFERROR(--_xlfn.XLOOKUP(LEFT(BC155,2),Коды_код,Коды_минавт),0))))</f>
        <v>16</v>
      </c>
      <c r="DC155" t="str">
        <f>IF(B155="","",IFERROR(_xlfn.XLOOKUP(BC155,Коды_код,Коды_апп)&amp;"",""))</f>
        <v/>
      </c>
      <c r="DD155" t="str">
        <f t="shared" si="308"/>
        <v/>
      </c>
      <c r="DE155" t="str" cm="1">
        <f t="array" ref="DE155">IF(TRIM(DD155&amp;"")="","",IFERROR(TRIM(INDEX(_xlfn.TEXTSPLIT(DD155&amp;";;;",";"),1)),""))</f>
        <v/>
      </c>
      <c r="DF155" t="str" cm="1">
        <f t="array" ref="DF155">IF(TRIM(DD155&amp;"")="","",IFERROR(TRIM(INDEX(_xlfn.TEXTSPLIT(DD155&amp;";;;",";"),2)),""))</f>
        <v/>
      </c>
      <c r="DG155" t="str" cm="1">
        <f t="array" ref="DG155">IF(TRIM(DD155&amp;"")="","",IFERROR(TRIM(INDEX(_xlfn.TEXTSPLIT(DD155&amp;";;;",";"),3)),""))</f>
        <v/>
      </c>
      <c r="DH155">
        <f t="shared" si="309"/>
        <v>0</v>
      </c>
      <c r="DI155" t="str">
        <f>IF(B155="","",_xlfn.LET(_xlpm.t,LOWER(AZ155&amp;""),IF(ISNUMBER(SEARCH("dim",_xlpm.t)),"DIM",IF(ISNUMBER(SEARCH("dali",_xlpm.t)),"DALI",IF(OR(ISNUMBER(SEARCH("relay",_xlpm.t)),ISNUMBER(SEARCH("реле",_xlpm.t))),"Relay",IF(ISNUMBER(SEARCH("кнопк",_xlpm.t)),"",IFERROR(_xlfn.XLOOKUP(BC155,Коды_код,Коды_упр)&amp;"","")))))))</f>
        <v/>
      </c>
      <c r="DJ155" t="str">
        <f t="shared" si="310"/>
        <v/>
      </c>
      <c r="DK155">
        <f>IF(B155="","",_xlfn.LET(_xlpm.ig,IF(N(CX155)&gt;0,N(CX155),N(CI155)+IF(AJ155="вручную",0,N(CJ155))),_xlpm.n0,IFERROR(VLOOKUP(_xlpm.ig,Автомат_номиналы,2,TRUE),0),_xlpm.mn,MAX(DB155,IF(AJ155="вручную",0,N(CM155))),MAX(_xlpm.n0,_xlpm.mn,IF(DH155=1,Мин_автомат_БП,0))))</f>
        <v>16</v>
      </c>
      <c r="DL155">
        <f t="shared" si="311"/>
        <v>1</v>
      </c>
      <c r="DM155" t="str">
        <f t="shared" si="312"/>
        <v>2P</v>
      </c>
      <c r="DN155" t="str">
        <f>_xlfn.LET(_xlpm.cc,UPPER(TRIM(IFERROR(_xlfn.XLOOKUP(BC155,Коды_код,Коды_хар)&amp;"",""))),IF(OR(_xlpm.cc="B",_xlpm.cc="В"),"B",IF(_xlpm.cc="D","D","С")))</f>
        <v>С</v>
      </c>
      <c r="DO155" t="str">
        <f t="shared" si="313"/>
        <v>2P С16А 30мА</v>
      </c>
      <c r="DP155">
        <f t="shared" si="314"/>
        <v>16</v>
      </c>
      <c r="DQ155" t="str">
        <f t="shared" si="315"/>
        <v>2P С16А 30мА</v>
      </c>
      <c r="DR155" cm="1">
        <f t="array" ref="DR155">IF(DQ155="","",_xlfn.LET(_xlpm.t,SUBSTITUTE(SUBSTITUTE(SUBSTITUTE(UPPER(DQ155),"С","C"),"А","A"),"В","B"),_xlpm.tk,_xlfn.TEXTSPLIT(_xlpm.t," "),_xlpm.f,_xlfn._xlws.FILTER(_xlpm.tk,ISNUMBER(--MID(_xlpm.tk,2,1))*ISNUMBER(SEARCH(LEFT(_xlpm.tk,1)&amp;"#","B#C#D#"))*(LEN(_xlpm.tk)&gt;1),""),_xlpm.x,INDEX(_xlpm.f,1),IFERROR(--SUBSTITUTE(MID(_xlpm.x,2,9),"A",""),IFERROR(--SUBSTITUTE(INDEX(_xlfn._xlws.FILTER(_xlpm.tk,ISNUMBER(--SUBSTITUTE(_xlpm.tk,"A","")),""),1),"A",""),""))))</f>
        <v>16</v>
      </c>
      <c r="DS155" t="str">
        <f t="shared" si="316"/>
        <v>ok</v>
      </c>
      <c r="DT155">
        <f t="shared" si="317"/>
        <v>16</v>
      </c>
      <c r="DU155" t="str">
        <f t="shared" si="318"/>
        <v>2P С16А 30мА</v>
      </c>
      <c r="DV155">
        <f t="shared" si="319"/>
        <v>30</v>
      </c>
      <c r="DW155">
        <f t="shared" si="320"/>
        <v>1</v>
      </c>
      <c r="DX155">
        <f t="shared" si="321"/>
        <v>0</v>
      </c>
      <c r="DY155">
        <f t="shared" si="322"/>
        <v>3.008298771040681</v>
      </c>
      <c r="DZ155">
        <f t="shared" si="323"/>
        <v>1</v>
      </c>
      <c r="EA155">
        <f>IF(ISNUMBER(AP155),AP155,К_прокл)</f>
        <v>1</v>
      </c>
      <c r="EB155">
        <f t="shared" si="324"/>
        <v>2</v>
      </c>
      <c r="EC155">
        <f>IFERROR(N(VLOOKUP(BZ155,Кабель_обозначение,3,FALSE)),1)</f>
        <v>1</v>
      </c>
      <c r="ED155">
        <f>IFERROR(N(_xlfn.XLOOKUP(A155,Щиты[Щит],Щиты[ΔU до шин, %])),0)</f>
        <v>1.57</v>
      </c>
      <c r="EE155" t="str">
        <f>IFERROR(_xlfn.XLOOKUP(A155,Щиты[Щит],Щиты[Zпетли на шинах, Ом]),"")</f>
        <v/>
      </c>
      <c r="EF155">
        <f>IFERROR(N(_xlfn.XLOOKUP(A155,Щиты[Щит],Щиты[ΔU до шин (подбор), %])),0)</f>
        <v>2.5</v>
      </c>
      <c r="EG155" t="str">
        <f>IFERROR(_xlfn.XLOOKUP(A155,Щиты[Щит],Щиты[Zпетли на шинах (подбор), Ом]),"")</f>
        <v/>
      </c>
      <c r="EH155" t="str">
        <f t="shared" si="325"/>
        <v/>
      </c>
      <c r="EI155">
        <f t="shared" si="326"/>
        <v>63</v>
      </c>
      <c r="EJ155">
        <f t="shared" si="327"/>
        <v>2</v>
      </c>
      <c r="EK155">
        <f t="shared" si="328"/>
        <v>0.31</v>
      </c>
      <c r="EL155" s="6">
        <f>IF(B155="","",IF(BV155=1,dU_LED,IF(IFERROR(_xlfn.XLOOKUP(BC155,Коды_код,Коды_уго),"")="Светильник",3,4)+IF(Методика="нормы 2026",MIN(0.5,MAX(0,N(P155)-100)*0.005),0)))</f>
        <v>4.13</v>
      </c>
      <c r="EM155" cm="1">
        <f t="array" ref="EM155">IF(OR(B155="",BZ155="",EC155&lt;&gt;1),"",_xlfn.LET(_xlpm.sz,Iдоп_S,_xlpm.t_,CHOOSE(EB155,Iдоп_1ж,Iдоп_2ж,Iдоп_3ж)*DZ155*EA155,_xlpm.dcx,BV155=1,_xlpm.inn,IF(_xlpm.dcx,N(O155),N(DT155)),_xlpm.smin,MAX(1.5,CC155),_xlpm.L_,N(P155)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155)/N(BU155)*100,999),IFERROR(N(EJ155)*(_xlpm.rho*_xlpm.L_/_xlpm.sz*N(CE155)+_xlpm.xx*_xlpm.L_*N(EK155)/1000)*N(O155)/((Uн_лин/SQRT(3))*1000)*100,999)),_xlpm.kz,IF(OR(_xlpm.dcx,DW155=1,NOT(ISNUMBER(EG155)),_xlpm.L_=0,_xlpm.inn=0),1,IFERROR(--(c_min*(Uн_лин*1000/SQRT(3))/(EG155+2*ρкз_Cu*_xlpm.L_/_xlpm.sz)&gt;=HT155*_xlpm.inn),0)),_xlpm.ok,IFERROR((_xlpm.sz&gt;=_xlpm.smin)*(_xlpm.t_&gt;=_xlpm.inn)*IF(_xlpm.L_&gt;0,(_xlpm.du_+IF(_xlpm.dcx,0,EF155)&lt;=EL155+0.00001),1)*_xlpm.kz,0),_xlpm.r_,_xlfn._xlws.FILTER(_xlpm.sz,_xlpm.ok,"не подобрано"),INDEX(_xlpm.r_,1)))</f>
        <v>6</v>
      </c>
      <c r="EN155">
        <f t="shared" si="329"/>
        <v>2.5</v>
      </c>
      <c r="EO155" cm="1">
        <f t="array" ref="EO155">IF(OR(B155="",BZ155="",EC155&lt;&gt;1),"",_xlfn.LET(_xlpm.sz,Iдоп_S,_xlpm.t_,CHOOSE(EB155,Iдоп_1ж,Iдоп_2ж,Iдоп_3ж)*DZ155*EA155,_xlpm.ok,IFERROR((_xlpm.sz&gt;=MAX(1.5,CC155))*(_xlpm.t_&gt;=N(DT155)),0),_xlpm.r_,_xlfn._xlws.FILTER(_xlpm.sz,_xlpm.ok,""),INDEX(_xlpm.r_,1)))</f>
        <v>1.5</v>
      </c>
      <c r="EP155" s="6" cm="1">
        <f t="array" ref="EP155">IFERROR(ROUNDUP(N(EJ155)*(_xlfn.XLOOKUP(EO155,INDEX(Кабель_сопротивление,0,1),INDEX(Кабель_сопротивление,0,3))*N(P155)/EO155*N(CE155)+_xlfn.XLOOKUP(EO155,INDEX(Кабель_сопротивление,0,1),INDEX(Кабель_сопротивление,0,2))*N(P155)*N(EK155)/1000)*N(O155)/((Uн_лин/SQRT(3))*1000)*100,2),"")</f>
        <v>4.6899999999999995</v>
      </c>
      <c r="EQ155">
        <f>IFERROR(2*ρкз_Cu*N(P155)/EO155,"")</f>
        <v>4.4184000000000001</v>
      </c>
      <c r="ER155">
        <f>IFERROR(VLOOKUP(EN155,Кабель_сопротивление,3,FALSE),"")</f>
        <v>2.2499999999999999E-2</v>
      </c>
      <c r="ES155">
        <f>IFERROR(VLOOKUP(EN155,Кабель_сопротивление,2,FALSE),"")</f>
        <v>0.1</v>
      </c>
      <c r="ET155">
        <f t="shared" si="330"/>
        <v>0</v>
      </c>
      <c r="EU155">
        <f t="shared" si="331"/>
        <v>126</v>
      </c>
      <c r="EV155">
        <f t="shared" si="332"/>
        <v>6.5051813620836203</v>
      </c>
      <c r="EW155" s="6">
        <f>IFERROR(ROUNDUP(EV155/IF(BV155=1,BU155,(Uн_лин/SQRT(3))*1000)*100,2),"")</f>
        <v>2.82</v>
      </c>
      <c r="EX155" t="str">
        <f>IFERROR(VLOOKUP(BZ155,Кабель_обозначение,2,FALSE),"")</f>
        <v>ВВГнг(А)-LS</v>
      </c>
      <c r="EY155" t="str">
        <f t="shared" si="333"/>
        <v>ВВГнг(А)-LS (3х2,5)</v>
      </c>
      <c r="EZ155" t="str">
        <f t="shared" si="334"/>
        <v>ВВГнг(А)-LS (3х2,5)
L=126-2,82%</v>
      </c>
      <c r="FA155">
        <f>IFERROR(2*ρкз_Cu*P155/EN155,"")</f>
        <v>2.6510400000000001</v>
      </c>
      <c r="FB155">
        <f t="shared" si="335"/>
        <v>0.88200000000000001</v>
      </c>
      <c r="FC155" s="6" t="str">
        <f>IFERROR(IF(OR(B155="",BV155=1,NOT(ISNUMBER(EN155)),N(P155)=0),"",_xlfn.XLOOKUP(A155,Щиты[Щит],Щиты[Zпетли на шинах, Ом])+FA155),"")</f>
        <v/>
      </c>
      <c r="FD155" s="6" t="str">
        <f>IF(ISNUMBER(FC155),c_min*(Uн_лин*1000/SQRT(3))/FC155,"")</f>
        <v/>
      </c>
      <c r="FE155" s="6" t="str">
        <f>IFERROR(IF(OR(B155="",NOT(ISNUMBER(EN155))),"",1.05*(Uн_лин*1000/SQRT(3))/(_xlfn.XLOOKUP(A155,Щиты[Щит],Щиты[Zmax на шинах, Ом])+FB155)/1000),"")</f>
        <v/>
      </c>
      <c r="FF155" s="6" t="str">
        <f>IF(B155="","",IF(ISNUMBER(AC155),"Сил",IF(IFERROR(_xlfn.XLOOKUP(BC155,Коды_код,Коды_группа)&amp;"","")="","Быт",_xlfn.XLOOKUP(BC155,Коды_код,Коды_группа)&amp;"")))</f>
        <v>Быт</v>
      </c>
      <c r="FG155" s="6" t="str">
        <f t="shared" si="336"/>
        <v>Быт</v>
      </c>
      <c r="FH155" s="6">
        <f>IF(FG155="Щит","щит",IF(FG155="","",IF(FG155="Быт",IFERROR(_xlfn.XLOOKUP(A155,Щиты[Щит],Щиты[Кс быт]),1),IF(FG155="Сил",IF(ISNUMBER(AC155),AC155,IF(Методика="нормы 2026",IFERROR(_xlfn.XLOOKUP(A155,Щиты[Щит],Щиты[Кс силовых (табл. 7.5)]),1),1)),IF(OR(FG155="Пост",FG155="Отоп"),1,IF(FG155="ВНГ",0.7,0))))))</f>
        <v>0.8</v>
      </c>
      <c r="FI155">
        <f>IF(FG155="","",IF(AND(BP155=1,TRIM(AE155&amp;"")=""),IF(COUNTIFS(Линии[Щит],A155,Линии[Секция (1/2/3)],"&gt;=2")&gt;0,MIN(3,MAX(1,IFERROR(--BD155,1))),1),IFERROR(MIN(3,MAX(1,INT(--AE155))),1)))</f>
        <v>1</v>
      </c>
      <c r="FJ155">
        <f t="shared" si="337"/>
        <v>0.65999999999999992</v>
      </c>
      <c r="FK155">
        <f t="shared" si="338"/>
        <v>0.65999999999999992</v>
      </c>
      <c r="FL155">
        <f t="shared" si="339"/>
        <v>0</v>
      </c>
      <c r="FM155">
        <f t="shared" si="340"/>
        <v>0</v>
      </c>
      <c r="FN155">
        <f t="shared" si="341"/>
        <v>0</v>
      </c>
      <c r="FO155">
        <f t="shared" si="342"/>
        <v>0</v>
      </c>
      <c r="FP155">
        <f t="shared" si="343"/>
        <v>0.65999999999999992</v>
      </c>
      <c r="FQ155">
        <f t="shared" si="344"/>
        <v>0.65999999999999992</v>
      </c>
      <c r="FR155">
        <f t="shared" si="345"/>
        <v>0.62699999999999989</v>
      </c>
      <c r="FS155">
        <f>IF(CG155=1,IF(AND(CH155=1,CW155=1),0,IF(AND(CS155&lt;&gt;"",CS155=BA155,CW155=1),SUMIFS(Линии[_Р линии, кВт],Линии[_блок УЗО],BA155,Линии[Щит],A155),N(BS155)+IF(AJ155="вручную",0,N(CK155)))),0)</f>
        <v>0.65999999999999992</v>
      </c>
      <c r="FT155" t="str">
        <f t="shared" si="346"/>
        <v>L3</v>
      </c>
      <c r="FU155" t="str">
        <f>IF(B155="","",IF(CG155=0,IF(BA155=1,"",FW154),IF(AND(CH155=1,CW155=1,CS155&lt;&gt;""),IFERROR(_xlfn.XLOOKUP(CS155,Линии[_n],Линии[_фаза итог]),"L1"),IF(OR(N(DL155)&gt;=3,N(BX155)&gt;=3),"L1,L2,L3",IFERROR(_xlfn.TEXTBEFORE(_xlfn.TEXTAFTER(_xlfn.XLOOKUP(A155,Щиты[Щит],Щиты[_фазы авто]),";"&amp;BA155&amp;":"),";"),"L1")))))</f>
        <v>L1</v>
      </c>
      <c r="FV155" t="str">
        <f t="shared" si="347"/>
        <v>L3</v>
      </c>
      <c r="FW155" t="str">
        <f t="shared" si="348"/>
        <v>L3</v>
      </c>
      <c r="FX155" cm="1">
        <f t="array" ref="FX155">IFERROR(IF(CD155=2,_xlfn.IFS(BX155=3,VLOOKUP(BS155,Справочная_двигатели,3,FALSE),BX155=1,VLOOKUP(BS155,Справочная_двигатели,5,TRUE)),0),0)</f>
        <v>0</v>
      </c>
      <c r="FY155">
        <f>IFERROR(IF(CD155=3,VLOOKUP(BS155,Справочная_ЛЭД,2,TRUE),0),0)</f>
        <v>0</v>
      </c>
      <c r="FZ155" s="6">
        <f t="shared" si="349"/>
        <v>0</v>
      </c>
      <c r="GA155" t="str">
        <f>IF(B155="","",IF(TRIM(AH155&amp;"")&lt;&gt;"",IF(LOWER(TRIM(AH155&amp;""))="да","да","нет"),IF(IFERROR(_xlfn.XLOOKUP(BC155,Коды_код,Коды_пожарная),"")="да","да","нет")))</f>
        <v>нет</v>
      </c>
      <c r="GB155" t="str">
        <f t="shared" si="350"/>
        <v/>
      </c>
      <c r="GC155" t="str">
        <f t="shared" si="351"/>
        <v>основная</v>
      </c>
      <c r="GD155">
        <f>IF(AND(BP155=1,TRIM(AE155&amp;"")=""),IF(COUNTIFS(Линии[Щит],A155,Линии[Секция (1/2/3)],"&gt;=2")&gt;0,MIN(3,MAX(1,IFERROR(--BD155,1))),1),IFERROR(MIN(3,MAX(1,INT(--AE155))),1))</f>
        <v>1</v>
      </c>
      <c r="GE155" t="str" cm="1">
        <f t="array" ref="GE155">IF(B155="","",_xlfn.LET(_xlpm.t,IFERROR(_xlfn.XLOOKUP(1,(Шины[Шина]=GC155)*(((Шины[Щит]=A155)+(Шины[Щит]=""))&gt;0),Шины[Тип]),"")&amp;"",IF(_xlpm.t&lt;&gt;"",_xlpm.t,IF(ISNUMBER(SEARCH("ИБП",GC155)),"ИБП",IF(ISNUMBER(SEARCH("ДГУ",GC155)),"ДГУ","Ввод "&amp;GD155)))))</f>
        <v>Ввод 1</v>
      </c>
      <c r="GF155" t="str">
        <f t="shared" si="352"/>
        <v>Ввод 1</v>
      </c>
      <c r="GG155" t="str">
        <f>IF(BP155=0,"",IF(TRIM(AG155&amp;"")&lt;&gt;"",TRIM(AG155&amp;""),IF(OR(GE155="ИБП",GE155="ДГУ"),"I особая",_xlfn.XLOOKUP(A155,Щиты[Щит],Щиты[Категория шины «Ввод»],"III"))))</f>
        <v/>
      </c>
      <c r="GH155" t="str">
        <f>IF(A155="","",_xlfn.XLOOKUP(A155,Щиты[Щит],Щиты[Путь],""))</f>
        <v>|ГРЩ-ЖД|ЩР-001|</v>
      </c>
      <c r="GI155" t="str">
        <f>IF(B155="","",IF(AI155&lt;&gt;"",AI155,IF(IFERROR(_xlfn.XLOOKUP(BC155,Коды_код,Коды_вид)&amp;"","")="","Прочее",_xlfn.XLOOKUP(BC155,Коды_код,Коды_вид)&amp;"")))</f>
        <v>Розеточная сеть и бытовые приборы</v>
      </c>
      <c r="GJ155">
        <f>IF(BM155="","",INT((BM155-1)/Столбцов_на_лист)+1)</f>
        <v>1</v>
      </c>
      <c r="GK155" t="str">
        <f t="shared" si="353"/>
        <v>ВВГнг(А)-LS (3х2,5) L=126-2,82%</v>
      </c>
      <c r="GL155">
        <f t="shared" si="354"/>
        <v>0.65999999999999992</v>
      </c>
      <c r="GM155">
        <f t="shared" si="355"/>
        <v>3.01</v>
      </c>
      <c r="GN155">
        <f t="shared" si="356"/>
        <v>1</v>
      </c>
      <c r="GO155">
        <f t="shared" si="357"/>
        <v>0</v>
      </c>
      <c r="GP155">
        <f t="shared" si="358"/>
        <v>1</v>
      </c>
      <c r="GQ155">
        <f>IF(BM155="","",IF(AND(CG155=1,GP155=1),COUNTIFS(A$3:A155,A155,CG$3:CG155,1,GP$3:GP155,1),IF(OR(OR(BA155=1,A155&lt;&gt;A154),AJ155="вручную",GP155=0),"",IF(BA155=1,"",GR154))))</f>
        <v>1</v>
      </c>
      <c r="GR155">
        <f t="shared" si="359"/>
        <v>1</v>
      </c>
      <c r="GS155">
        <f>IF(B155="","",IFERROR(LOOKUP(INDEX(CHOOSE(EB155,Iдоп_1ж,Iдоп_2ж,Iдоп_3ж),MATCH(EN155,Iдоп_S,0))*DZ155*EA155,{6,10,16,20,25,32,40,50,63,80,100,125,160,200,250,315,400,500,630}),""))</f>
        <v>25</v>
      </c>
      <c r="GT155" t="str">
        <f t="shared" si="360"/>
        <v>QFD1</v>
      </c>
      <c r="GU155" t="str">
        <f t="shared" si="361"/>
        <v>QFD1</v>
      </c>
      <c r="GV155" t="str">
        <f t="shared" si="362"/>
        <v/>
      </c>
      <c r="GW155">
        <f t="shared" si="363"/>
        <v>0</v>
      </c>
      <c r="GX155" t="str">
        <f>IF(OR(B155="",DJ155=""),"",IFERROR(_xlfn.XLOOKUP(DJ155,Модули_умолч[Управление],Модули_умолч[Модель])&amp;"",""))</f>
        <v/>
      </c>
      <c r="GY155">
        <f>IF(DJ155="",1,IFERROR(MAX(0,N(_xlfn.XLOOKUP(DJ155,Модули_умолч[Управление],Модули_умолч[Каналов на линию]))),1))</f>
        <v>1</v>
      </c>
      <c r="GZ155" t="str">
        <f t="shared" si="364"/>
        <v/>
      </c>
      <c r="HA155" t="str">
        <f t="shared" si="365"/>
        <v/>
      </c>
      <c r="HB155" t="str">
        <f t="shared" si="366"/>
        <v/>
      </c>
      <c r="HC155">
        <f>IF(HB155="",0,IFERROR(N(VLOOKUP(HB155,Модули_спр,3,FALSE)),0))</f>
        <v>0</v>
      </c>
      <c r="HD155" t="str">
        <f t="shared" si="367"/>
        <v/>
      </c>
      <c r="HE155" t="str">
        <f t="shared" si="368"/>
        <v/>
      </c>
      <c r="HF155" t="str">
        <f>IF(OR(HE155="",HE155="-"),"",IFERROR(VLOOKUP(HE155,Модули_спр,2,FALSE),"R"))</f>
        <v/>
      </c>
      <c r="HG155" t="str">
        <f>IF(HF155="","",HF155&amp;"."&amp;COUNTIFS(A$3:A155,A155,HF$3:HF155,HF155))</f>
        <v/>
      </c>
      <c r="HH155" t="str">
        <f t="shared" si="369"/>
        <v/>
      </c>
      <c r="HI155" t="str">
        <f t="shared" si="370"/>
        <v/>
      </c>
      <c r="HJ155" t="str">
        <f t="shared" si="371"/>
        <v/>
      </c>
      <c r="HK155" t="str">
        <f t="shared" si="372"/>
        <v/>
      </c>
      <c r="HL155">
        <f t="shared" si="373"/>
        <v>1</v>
      </c>
      <c r="HM155" t="str">
        <f>IF(HL155=1,"XT"&amp;COUNTIFS(A$3:A155,A155,HL$3:HL155,1),"")</f>
        <v>XT1</v>
      </c>
      <c r="HN155" t="str">
        <f t="shared" si="374"/>
        <v>XT1</v>
      </c>
      <c r="HO155" t="str">
        <f t="shared" si="375"/>
        <v>QFD1</v>
      </c>
      <c r="HP155" t="str">
        <f t="shared" si="376"/>
        <v/>
      </c>
      <c r="HQ155" t="str">
        <f t="shared" si="377"/>
        <v>ok</v>
      </c>
      <c r="HR155" t="str">
        <f>IF(OR(HJ155="",HH155=""),"",IF(HJ155+MAX(0,GY155-1)&gt;IFERROR(VLOOKUP(HI155,Модули_спр,3,FALSE),99),"ЛИШНИЙ КАНАЛ",IF(AND(AL155&lt;&gt;"=",GY155&gt;0,COUNTIFS(Линии[_модуль гр.],HH155,Линии[Канал (итог)],HJ155,Линии[Канал],"&lt;&gt;=",Линии[Щит],A155)&gt;1),"ДУБЛЬ КАНАЛА","")))</f>
        <v/>
      </c>
      <c r="HS155" s="6" t="str">
        <f t="shared" si="378"/>
        <v/>
      </c>
      <c r="HT155">
        <f t="shared" si="379"/>
        <v>10</v>
      </c>
      <c r="HU155" t="str">
        <f t="shared" si="380"/>
        <v/>
      </c>
      <c r="HV155">
        <f t="shared" si="381"/>
        <v>2.4633195084162725</v>
      </c>
      <c r="HW155">
        <f t="shared" si="382"/>
        <v>0</v>
      </c>
      <c r="HX155">
        <f t="shared" si="383"/>
        <v>0</v>
      </c>
      <c r="HY155">
        <f t="shared" si="384"/>
        <v>0</v>
      </c>
      <c r="HZ155">
        <f t="shared" si="385"/>
        <v>0</v>
      </c>
      <c r="IA155">
        <f t="shared" si="386"/>
        <v>0</v>
      </c>
      <c r="IB155">
        <f t="shared" si="387"/>
        <v>0</v>
      </c>
      <c r="IC155" t="str">
        <f t="shared" si="388"/>
        <v/>
      </c>
      <c r="ID155" t="str" cm="1">
        <f t="array" ref="ID155">IF(IC155="","",_xlfn.LET(_xlpm.tk,_xlfn.TEXTSPLIT(SUBSTITUTE(SUBSTITUTE(IC155,";"," "),"→"," ")," ",,TRUE),_xlpm.w_,_xlfn._xlws.FILTER(_xlpm.tk,ISNUMBER(--LEFT(_xlpm.tk,1))*((ISNUMBER(SEARCH("W",_xlpm.tk))+ISNUMBER(SEARCH("Вт",_xlpm.tk)))&gt;0),""),IFERROR(--SUBSTITUTE(SUBSTITUTE(UPPER(INDEX(_xlpm.w_,1)),"W",""),"ВТ",""),"")))</f>
        <v/>
      </c>
      <c r="IE155" t="str" cm="1">
        <f t="array" ref="IE155">IF(IC155="","",_xlfn.LET(_xlpm.tk,_xlfn.TEXTSPLIT(SUBSTITUTE(SUBSTITUTE(IC155,";"," "),"→"," ")," ",,TRUE),_xlpm.v_,_xlfn._xlws.FILTER(_xlpm.tk,ISNUMBER(--LEFT(_xlpm.tk,1))*((ISNUMBER(SEARCH("V",_xlpm.tk))+(RIGHT(UPPER(_xlpm.tk))="В"))&gt;0),""),IFERROR(--SUBSTITUTE(SUBSTITUTE(UPPER(INDEX(_xlpm.v_,1)),"V",""),"В",""),"")))</f>
        <v/>
      </c>
      <c r="IF155" s="6" t="str">
        <f>IF(OR(BV155=0,HI155="",HJ155=""),"",IFERROR(N(_xlfn.XLOOKUP(HI155,Каталог!$C$4:$C$500,Каталог!$Q$4:$Q$500)),""))</f>
        <v/>
      </c>
      <c r="IG155" s="6" t="str">
        <f>IF(N(IF155)=0,"",SUMIFS(Линии[Iр, А],Линии[Щит],A155,Линии[_модуль гр.],HH155,Линии[Канал (итог)],HJ155))</f>
        <v/>
      </c>
      <c r="IH155" t="str">
        <f>IF(AND(B155="",HO155=""),"",_xlfn.TEXTJOIN("; ",TRUE,IF(AND(B155&lt;&gt;"",FV155=""),"нет фазы",""),IF(AND(B155&lt;&gt;"",N(GL155)=0,FG155&lt;&gt;"Нет"),"нет мощности",""),IF(AND(HN155&lt;&gt;"",COUNTIFS(Линии[Щит],A155,Линии[Клемма (итог)],HN155)&gt;1),"дубль клеммы "&amp;HN155,""),IF(AND(HQ155&lt;&gt;"",HQ155&lt;&gt;"ok"),HQ155,""),IF(HR155&lt;&gt;"",HR155,""),IF(AND(N(CB155)&gt;=4,N(BX155)=1),CB155&amp;" жил на 1 фазе",""),IF(AND(BC155="R",CG155=1,IF(CS155&lt;&gt;"",N(CV155)&gt;30,OR(N(DA155)=0,N(DA155)&gt;30))),"розетка без дифзащиты до 30 мА",""),IF(AND(CG155=1,N(DA155)&gt;0,ISNUMBER(T155)),IF(T155&gt;N(DA155)/3,"ток утечки "&amp;FIXED(T155,1)&amp;" мА &gt; 1/3 уставки ("&amp;DA155&amp;" мА)",""),""),IF(AND(CH155=1,CS155=""),"«узо»: нет строки с УЗО выше (УЗО 2P 40А 30мА в «Аппаратах»)",""),IF(AND(CS155&lt;&gt;"",CS155=BA155),IF(CT155="","впишите номинал УЗО (УЗО 2P 40А 30мА)",IF(N(CT155)&lt;N(DT155),"УЗО "&amp;CT155&amp;" А &lt; автомата "&amp;DT155&amp;" А перед ним",IF(N(CT155)&lt;N(CX155),"УЗО "&amp;CT155&amp;" А &lt; тока блока "&amp;FIXED(CX155,1)&amp;" А",""))),""),IF(AND(CS155&lt;&gt;"",CS155=BA155,ISNUMBER(CY155)),IF(CY155&gt;N(CV155)/3,"ток утечки блока УЗО "&amp;FIXED(CY155,1)&amp;" мА &gt; 1/3 уставки ("&amp;CV155&amp;" мА)",""),""),IF(AND(CG155=1,N(BV155)+N(IB155)&gt;0,IC155=""),"линии до 50 В без БП: впишите в «Аппараты» (БП 24V 480W)",""),IF(AND(CG155=1,ISNUMBER(ID155),ISNUMBER(U155)),IF(U155&gt;ID155,"БП "&amp;ID155&amp;" Вт &lt; нужно "&amp;U155&amp;" Вт (×"&amp;Запас_БП&amp;")",""),""),IF(AND(CG155=1,ISNUMBER(IE155),N(BV155)=1),IF(IE155&lt;&gt;N(BU155),"БП на "&amp;IE155&amp;" В, линия "&amp;BU155&amp;" В",""),""),IF(AND(N(IF155)&gt;0,N(IG155)&gt;N(IF155)),HH155&amp;" канал "&amp;HJ155&amp;": "&amp;FIXED(IG155,1)&amp;" А &gt; "&amp;IF155&amp;" А",""),IFERROR(IF(AND(ISNUMBER(Q155),Q155&gt;EL155),"потери "&amp;FIXED(Q155,1)&amp;" % &gt; "&amp;EL155&amp;" %",""),""),IFERROR(IF(LEFT(HU155,4)="мало","Iкз мало — отключение &gt; 0,4 с",""),""),IF(AND(B155&lt;&gt;"",BM155=""),"не на схеме",""),IF(AND(CG155=0,B155&lt;&gt;"",FV155&lt;&gt;"",IF(BA155=1,"",FW154)&lt;&gt;"",FV155&lt;&gt;IF(BA155=1,"",FW154)),"фаза не как у автомата группы ("&amp;IF(BA155=1,"",FW154)&amp;")","")))</f>
        <v>потери 4,4 % &gt; 4,13 %</v>
      </c>
      <c r="II155" s="6">
        <f>IF(OR(CG155=0,DQ155=""),"",_xlfn.LET(_xlpm.t,IFERROR(_xlfn.XLOOKUP(DQ155,Каталог!$U$4:$U$500,Каталог!$G$4:$G$500),""),_xlpm.k,SEARCH("кА",_xlpm.t),IFERROR(--TRIM(RIGHT(SUBSTITUTE(MID(_xlpm.t,MAX(1,_xlpm.k-4),_xlpm.k-MAX(1,_xlpm.k-4))," ",REPT(" ",9)),5)),"")))</f>
        <v>6</v>
      </c>
      <c r="IJ155" t="str">
        <f>IF(OR(II155="",CG155=0),"",IF(_xlfn.XLOOKUP(A155,Щиты[Щит],Щиты[Iкз max на шинах, кА],"")="","",IF(II155&lt;_xlfn.XLOOKUP(A155,Щиты[Щит],Щиты[Iкз max на шинах, кА]),"Icu "&amp;II155&amp;" кА &lt; Iкз max","ok")))</f>
        <v/>
      </c>
      <c r="IK155" t="str">
        <f t="shared" si="389"/>
        <v/>
      </c>
      <c r="IL155" t="str">
        <f t="shared" si="390"/>
        <v>QFD1|XT1</v>
      </c>
      <c r="IM155" t="str">
        <f t="shared" si="391"/>
        <v>QFD1|XT1|кабель ВВГнг(А)-LS (3х2,5) → Розеточная группа, пом. 001Б</v>
      </c>
      <c r="IN155" t="str" cm="1">
        <f t="array" ref="IN155">IF(IM155="","",_xlfn.LET(_xlpm.nd,_xlfn.TEXTSPLIT(IM155,"|"),IF(COLUMNS(_xlpm.nd)&gt;1,A155&amp;"¦"&amp;INDEX(_xlpm.nd,1)&amp;"¦"&amp;INDEX(_xlpm.nd,2),"")))</f>
        <v>ЩР-001¦QFD1¦XT1</v>
      </c>
      <c r="IO155" t="str">
        <f t="shared" si="392"/>
        <v>R.00.001Б.1¦Розеточная группа, пом. 001Б</v>
      </c>
      <c r="IP155" t="str" cm="1">
        <f t="array" ref="IP155">IF(IM155="","",_xlfn.LET(_xlpm.nd,_xlfn.TEXTSPLIT(IM155,"|"),IF(COLUMNS(_xlpm.nd)&gt;2,A155&amp;"¦"&amp;INDEX(_xlpm.nd,2)&amp;"¦"&amp;INDEX(_xlpm.nd,3),"")))</f>
        <v>ЩР-001¦XT1¦кабель ВВГнг(А)-LS (3х2,5) → Розеточная группа, пом. 001Б</v>
      </c>
      <c r="IQ155" t="str">
        <f t="shared" si="393"/>
        <v>R.00.001Б.1¦Розеточная группа, пом. 001Б</v>
      </c>
      <c r="IR155" t="str" cm="1">
        <f t="array" ref="IR155">IF(IM155="","",_xlfn.LET(_xlpm.nd,_xlfn.TEXTSPLIT(IM155,"|"),IF(COLUMNS(_xlpm.nd)&gt;3,A155&amp;"¦"&amp;INDEX(_xlpm.nd,3)&amp;"¦"&amp;INDEX(_xlpm.nd,4),"")))</f>
        <v/>
      </c>
      <c r="IS155" t="str">
        <f t="shared" si="394"/>
        <v/>
      </c>
      <c r="IT155" t="str" cm="1">
        <f t="array" ref="IT155">IF(IM155="","",_xlfn.LET(_xlpm.nd,_xlfn.TEXTSPLIT(IM155,"|"),IF(COLUMNS(_xlpm.nd)&gt;4,A155&amp;"¦"&amp;INDEX(_xlpm.nd,4)&amp;"¦"&amp;INDEX(_xlpm.nd,5),"")))</f>
        <v/>
      </c>
      <c r="IU155" t="str">
        <f t="shared" si="395"/>
        <v/>
      </c>
      <c r="IV155" t="str" cm="1">
        <f t="array" ref="IV155">IF(IM155="","",_xlfn.LET(_xlpm.nd,_xlfn.TEXTSPLIT(IM155,"|"),IF(COLUMNS(_xlpm.nd)&gt;5,A155&amp;"¦"&amp;INDEX(_xlpm.nd,5)&amp;"¦"&amp;INDEX(_xlpm.nd,6),"")))</f>
        <v/>
      </c>
      <c r="IW155" t="str">
        <f t="shared" si="396"/>
        <v/>
      </c>
      <c r="IX155" t="str" cm="1">
        <f t="array" ref="IX155">IF(IM155="","",_xlfn.LET(_xlpm.nd,_xlfn.TEXTSPLIT(IM155,"|"),IF(COLUMNS(_xlpm.nd)&gt;6,A155&amp;"¦"&amp;INDEX(_xlpm.nd,6)&amp;"¦"&amp;INDEX(_xlpm.nd,7),"")))</f>
        <v/>
      </c>
      <c r="IY155" t="str">
        <f t="shared" si="397"/>
        <v/>
      </c>
      <c r="IZ155" t="str">
        <f t="shared" si="398"/>
        <v/>
      </c>
      <c r="JA155" t="str">
        <f t="shared" si="399"/>
        <v>QFD1 → XT1</v>
      </c>
      <c r="JB155">
        <f t="shared" si="400"/>
        <v>0</v>
      </c>
      <c r="JC155">
        <f t="shared" si="401"/>
        <v>1</v>
      </c>
      <c r="JD155" t="str">
        <f t="shared" si="402"/>
        <v/>
      </c>
      <c r="JE155" t="str">
        <f t="shared" si="403"/>
        <v/>
      </c>
      <c r="JF155" t="str">
        <f t="shared" si="404"/>
        <v/>
      </c>
      <c r="JG155" t="str">
        <f t="shared" si="405"/>
        <v/>
      </c>
      <c r="JH155" t="str">
        <f>IF(B155="","",IFERROR(_xlfn.XLOOKUP(B155,Коды_код,Коды_уго),IFERROR(_xlfn.XLOOKUP(BC155,Коды_код,Коды_уго),IFERROR(_xlfn.XLOOKUP(LEFT(BC155,2),Коды_код,Коды_уго),""))))</f>
        <v>Розетка</v>
      </c>
      <c r="JI155" t="str">
        <f>IF(B155="","",IF(OR(JH155="",JH155=0),"BOX",IFERROR(IF(VLOOKUP(JH155,УГО_блоки,3,FALSE)&amp;""&lt;&gt;"",VLOOKUP(JH155,УГО_блоки,3,FALSE),VLOOKUP(JH155,УГО_блоки,2,FALSE)),JH155)))</f>
        <v>SOCKET</v>
      </c>
      <c r="JJ155">
        <f t="shared" si="406"/>
        <v>1</v>
      </c>
      <c r="JK155">
        <f>IF(DQ155="","",IF(COUNTIF(DQ$3:DQ155,DQ155)=1,MAX(JK$2:JK154)+1,""))</f>
        <v>17</v>
      </c>
      <c r="JL155" t="str">
        <f>IF(DE155="","",IF(COUNTIF(DE$3:DE155,DE155)+COUNTIF(DF$2:DF154,DE155)+COUNTIF(DG$2:DG154,DE155)=1,MAX(JL$2:JN154)+1,""))</f>
        <v/>
      </c>
      <c r="JM155" t="str">
        <f>IF(DF155="","",IF(COUNTIF(DE$3:DE155,DF155)+COUNTIF(DF$3:DF155,DF155)+COUNTIF(DG$2:DG154,DF155)=1,MAX(JL$2:JN154,JL155)+1,""))</f>
        <v/>
      </c>
      <c r="JN155" t="str">
        <f>IF(DG155="","",IF(COUNTIF(DE$3:DE155,DG155)+COUNTIF(DF$3:DF155,DG155)+COUNTIF(DG$3:DG155,DG155)=1,MAX(JL$2:JN154,JL155,JM155)+1,""))</f>
        <v/>
      </c>
      <c r="JO155" t="str">
        <f t="shared" si="407"/>
        <v>3х2,5</v>
      </c>
      <c r="JP155" t="str">
        <f>IF(JO155="","",IF(COUNTIF(JO$3:JO155,JO155)=1,MAX(JP$2:JP154)+1,""))</f>
        <v/>
      </c>
      <c r="JQ155" t="str">
        <f>IF(HG155="","",COUNTIF(HG$3:HG155,"?*"))</f>
        <v/>
      </c>
      <c r="JR155" t="str">
        <f>IF(OR(HG155="",HI155=""),"",IF(COUNTIFS(HG$3:HG155,"?*",HI$3:HI155,HI155)=1,MAX(JR$2:JR154)+1,""))</f>
        <v/>
      </c>
      <c r="JS155">
        <f t="shared" si="408"/>
        <v>1</v>
      </c>
      <c r="JT155">
        <f>IF(B155="","",COUNTIF(B$3:B155,"?*"))</f>
        <v>153</v>
      </c>
      <c r="JU155">
        <f>IF(HL155&lt;&gt;1,0,_xlfn.LET(_xlpm.k,MAX(IFERROR(--_xlfn.XLOOKUP(B155,Коды_код,Коды_3L),0),IFERROR(--_xlfn.XLOOKUP(BC155,Коды_код,Коды_3L),0),IFERROR(--_xlfn.XLOOKUP(LEFT(BC155,2),Коды_код,Коды_3L),0)),IF(_xlpm.k&gt;0,_xlpm.k,IF(IFERROR(--LEFT(SUBSTITUTE(JO155,"x","х"),FIND("х",SUBSTITUTE(JO155,"x","х"))-1),3)&gt;3,Каталог!$S$9,1))))</f>
        <v>1</v>
      </c>
      <c r="JV155">
        <f t="shared" si="409"/>
        <v>0</v>
      </c>
      <c r="JW155" t="str">
        <f t="shared" si="410"/>
        <v>авто</v>
      </c>
      <c r="JX155">
        <f t="shared" si="411"/>
        <v>30</v>
      </c>
      <c r="JY155">
        <f t="shared" si="412"/>
        <v>1</v>
      </c>
      <c r="JZ155">
        <f t="shared" si="413"/>
        <v>1</v>
      </c>
    </row>
    <row r="156" spans="1:286" x14ac:dyDescent="0.3">
      <c r="A156" t="s">
        <v>753</v>
      </c>
      <c r="B156" t="s">
        <v>1464</v>
      </c>
      <c r="C156" t="str">
        <f>Линии[[#This Row],[_авто наименование]]</f>
        <v>Розеточная группа, пом. 003Т</v>
      </c>
      <c r="D156">
        <v>3</v>
      </c>
      <c r="E156">
        <v>0.3</v>
      </c>
      <c r="G156">
        <v>16</v>
      </c>
      <c r="H156" t="str">
        <f>Линии[[#This Row],[_авто управление]]</f>
        <v/>
      </c>
      <c r="I156" t="str">
        <f>Линии[[#This Row],[_авто аппараты]]</f>
        <v/>
      </c>
      <c r="J156">
        <v>2.5</v>
      </c>
      <c r="K156">
        <v>24</v>
      </c>
      <c r="L156">
        <v>2</v>
      </c>
      <c r="M156" t="str">
        <f>Линии[[#This Row],[_авто клемма]]</f>
        <v>XT2</v>
      </c>
      <c r="N156" t="str">
        <f t="shared" si="276"/>
        <v/>
      </c>
      <c r="O156" s="6" cm="1">
        <f t="array" ref="O156">IF(B156="","",IF(BH156&lt;&gt;"",IFERROR(_xlfn.XLOOKUP(BH156,Щиты[Щит],Щиты[Iр, А]),""),IF(BP156=1,IF(OR(N(_xlfn.XLOOKUP(A156,Щиты[Щит],Щиты[Вводов],1))&lt;=1,LOWER(TRIM(_xlfn.XLOOKUP(A156,Щиты[Щит],Щиты[АВР],"")&amp;""))="да"),IFERROR(_xlfn.XLOOKUP(A156,Щиты[Щит],Щиты[Iр, А]),""),IFERROR(N(BS156)*_xlfn.XLOOKUP(A156,Щиты[Щит],Щиты[Кс итог])/(SQRT(3)*Uн_лин*_xlfn.XLOOKUP(A156,Щиты[Щит],Щиты[cos φ])),"")),IF(BV156=1,IFERROR(BS156*1000/BU156,""),IFERROR(_xlfn.IFS(BX156=1,BS156/((Uн_лин/SQRT(3))*CE156),BX156=3,BS156/(SQRT(3)*Uн_лин*CE156)),"")))))</f>
        <v>1.3674085322912188</v>
      </c>
      <c r="P156" s="7">
        <f>IF(B156="","",IFERROR(IF(VLOOKUP(BC156,Потребители_обозначение,4,FALSE)=1,VLOOKUP(BC156,Потребители_обозначение,3,FALSE)*(MAX(1,N(D156))*2-1)+EI156+VLOOKUP(BE156,Этаж_обозначение,3,FALSE)+VLOOKUP(BE156,Этаж_обозначение,4,FALSE),VLOOKUP(BC156,Потребители_обозначение,3,FALSE)*(MAX(1,N(D156))*2-1)+EI156),EI156))</f>
        <v>39</v>
      </c>
      <c r="Q156" s="6">
        <f t="shared" si="277"/>
        <v>1.9700000000000002</v>
      </c>
      <c r="R156" t="str">
        <f t="shared" si="278"/>
        <v>ВВГнг(А)-LS (3х2,5)</v>
      </c>
      <c r="S156" t="str">
        <f>IF(BM156="","",IF(BN156="вводной узел","узел ","")&amp;"л."&amp;(INT((BM156-1)/Столбцов_на_лист)+1)&amp;" / "&amp;(MOD(BM156-1,Столбцов_на_лист)+1))</f>
        <v>л.1 / 9</v>
      </c>
      <c r="T156" s="119">
        <f t="shared" si="279"/>
        <v>0.9</v>
      </c>
      <c r="U156" s="7" t="str">
        <f>IF(OR(CG156=0,N(BV156)+N(IB156)=0),"",ROUNDUP(Запас_БП*(N(HY156)+N(HZ156)),0))</f>
        <v/>
      </c>
      <c r="V156" s="119" t="str">
        <f t="shared" si="280"/>
        <v/>
      </c>
      <c r="W156" s="7" t="str">
        <f>IFERROR(IF(OR(B156="",BP156=1,BV156=1,NOT(ISNUMBER(EN156)),N(DT156)=0),"",MAX(0,ROUNDDOWN((c_min*(Uн_лин*1000/SQRT(3))/(HT156*N(DT156))-_xlfn.XLOOKUP(A156,Щиты[Щит],Щиты[Zпетли на шинах, Ом]))*EN156/(2*ρкз_Cu),0))),"")</f>
        <v/>
      </c>
      <c r="Y156">
        <f>Линии[[#This Row],[_авто утечка]]</f>
        <v>30</v>
      </c>
      <c r="Z156">
        <v>1</v>
      </c>
      <c r="AA156">
        <v>230</v>
      </c>
      <c r="AB156" t="s">
        <v>562</v>
      </c>
      <c r="AG156" t="s">
        <v>810</v>
      </c>
      <c r="AI156" t="s">
        <v>561</v>
      </c>
      <c r="AK156" t="str">
        <f>Линии[[#This Row],[_авто модуль]]</f>
        <v/>
      </c>
      <c r="AM156">
        <v>9</v>
      </c>
      <c r="AN156" t="s">
        <v>11</v>
      </c>
      <c r="AO156">
        <v>3</v>
      </c>
      <c r="AQ156">
        <v>7</v>
      </c>
      <c r="AR156">
        <v>14</v>
      </c>
      <c r="AS156">
        <v>0</v>
      </c>
      <c r="BA156" cm="1">
        <f t="array" ref="BA156">ROW()-ROW(Линии[#Headers])</f>
        <v>154</v>
      </c>
      <c r="BC156" s="6" t="str">
        <f t="shared" si="281"/>
        <v>R</v>
      </c>
      <c r="BD156" t="str">
        <f t="shared" si="282"/>
        <v>00.003Т.1</v>
      </c>
      <c r="BE156" t="str">
        <f t="shared" si="283"/>
        <v>00</v>
      </c>
      <c r="BF156" t="str">
        <f t="shared" si="284"/>
        <v>003Т.1</v>
      </c>
      <c r="BG156" t="str">
        <f t="shared" si="285"/>
        <v>003Т</v>
      </c>
      <c r="BH156" t="str">
        <f>IF(X156&lt;&gt;"",X156,IF(AND(B156&lt;&gt;"",B156&lt;&gt;A156,ISNUMBER(_xlfn.XMATCH(B156,Щиты[Щит]))),B156,""))</f>
        <v/>
      </c>
      <c r="BI156" t="str" cm="1">
        <f t="array" ref="BI156">IF(B156="","",IF(BH156&lt;&gt;"","Щит "&amp;BH156,_xlfn.LET(_xlpm.nm,IFERROR(_xlfn.XLOOKUP(BC156,Коды_код,Коды_имя)&amp;"",""),_xlpm.md,IFERROR(N(_xlfn.XLOOKUP(BC156,Коды_код,Коды_режим)),1),_xlpm.ex,IF(Имя_режим="по экспликации",IFERROR(_xlfn.XLOOKUP(BE156&amp;"|"&amp;BG156,Экспликация[Этаж]&amp;"|"&amp;Экспликация[Помещение],Экспликация[Название])&amp;"",""),""),_xlpm.rm,IF(BG156="","",IF(_xlpm.ex&lt;&gt;"",". "&amp;_xlpm.ex&amp;IF(Имя_пом="нет"," ("&amp;BG156&amp;")"," (пом. "&amp;BG156&amp;")"),IF(Имя_пом="нет"," ",", пом. ")&amp;BG156)),IF(_xlpm.nm="","",IF(_xlpm.md=2,_xlpm.nm&amp;" шлейф "&amp;BE156,_xlpm.nm&amp;_xlpm.rm)))))</f>
        <v>Розеточная группа, пом. 003Т</v>
      </c>
      <c r="BJ156" t="str">
        <f t="shared" si="286"/>
        <v>Розеточная группа, пом. 003Т</v>
      </c>
      <c r="BK156">
        <f>IFERROR(_xlfn.XMATCH(A156,Щиты[Щит]),0)</f>
        <v>8</v>
      </c>
      <c r="BL156">
        <f>_xlfn.LET(_xlpm.k,IFERROR(_xlfn.XLOOKUP(A156,Щиты[Щит],Щиты[Мест под вводной узел]),""),IF(_xlpm.k="",Столбцов_на_лист,N(_xlpm.k)))</f>
        <v>7</v>
      </c>
      <c r="BM156">
        <f t="shared" si="287"/>
        <v>9</v>
      </c>
      <c r="BN156" t="str">
        <f t="shared" si="288"/>
        <v>линии</v>
      </c>
      <c r="BO156" s="6">
        <f>IFERROR(N(_xlfn.XLOOKUP(BC156,Коды_код,Коды_квт)),0)</f>
        <v>0</v>
      </c>
      <c r="BP156">
        <f t="shared" si="289"/>
        <v>0</v>
      </c>
      <c r="BQ156" t="str">
        <f>IF(B156="","",IF(BH156&lt;&gt;"",IFERROR(_xlfn.XLOOKUP(BH156,Щиты[Щит],Щиты[Руст, кВт]),0),IF(BP156=1,IF(OR(N(_xlfn.XLOOKUP(A156,Щиты[Щит],Щиты[Вводов],1))&lt;=1,LOWER(TRIM(_xlfn.XLOOKUP(A156,Щиты[Щит],Щиты[АВР],"")&amp;""))="да"),IFERROR(_xlfn.XLOOKUP(A156,Щиты[Щит],Щиты[Руст, кВт]),0),SUMIFS(Линии[_Р для вводов],Линии[Щит],A156,Линии[Источник для режимов],GF156)),IF(BO156&gt;0,ROUND(BO156*MAX(1,N(D156)),3),""))))</f>
        <v/>
      </c>
      <c r="BR156">
        <f t="shared" si="290"/>
        <v>0.3</v>
      </c>
      <c r="BS156" s="6">
        <f>IF(B156="","",IF(BH156&lt;&gt;"",IFERROR(_xlfn.XLOOKUP(BH156,Щиты[Щит],Щиты[Руст, кВт]),0),N(BR156)))</f>
        <v>0.3</v>
      </c>
      <c r="BT156" t="str">
        <f>IF(B156="","",IFERROR(IF(VLOOKUP(BC156,Потребители_обозначение,8,FALSE)=0,"",VLOOKUP(BC156,Потребители_обозначение,8,FALSE)),""))</f>
        <v/>
      </c>
      <c r="BU156">
        <f t="shared" si="291"/>
        <v>230</v>
      </c>
      <c r="BV156">
        <f t="shared" si="292"/>
        <v>0</v>
      </c>
      <c r="BW156">
        <f>IF(B156="","",IF(BH156&lt;&gt;"",3,IFERROR(IF(N(VLOOKUP(BC156,Потребители_обозначение,9,FALSE))=0,1,VLOOKUP(BC156,Потребители_обозначение,9,FALSE)),1)))</f>
        <v>1</v>
      </c>
      <c r="BX156">
        <f t="shared" si="293"/>
        <v>1</v>
      </c>
      <c r="BY156" t="str">
        <f>IF(B156="","",_xlfn.LET(_xlpm.bc,IFERROR(IF(VLOOKUP(BC156,Потребители_обозначение,6,FALSE)=0,"",VLOOKUP(BC156,Потребители_обозначение,6,FALSE)&amp;""),""),IF(AND(GA156="да",OR(_xlpm.bc="",_xlpm.bc="мс")),Марка_пож,IF(AND(_xlpm.bc="",BH156&lt;&gt;""),"мс",_xlpm.bc))))</f>
        <v/>
      </c>
      <c r="BZ156" t="str">
        <f t="shared" si="294"/>
        <v>мс</v>
      </c>
      <c r="CA156">
        <f>IF(B156="","",_xlfn.LET(_xlpm.cc,IFERROR(N(VLOOKUP(BC156,Потребители_обозначение,7,FALSE)),0),IF(_xlpm.cc&gt;0,_xlpm.cc,IF(BZ156="","",IF(BV156=1,2,IF(N(BX156)=3,5,3))))))</f>
        <v>3</v>
      </c>
      <c r="CB156">
        <f t="shared" si="295"/>
        <v>3</v>
      </c>
      <c r="CC156">
        <f>IFERROR(N(VLOOKUP(BC156,Потребители_обозначение,10,FALSE)),0)</f>
        <v>0</v>
      </c>
      <c r="CD156">
        <f>IFERROR(VLOOKUP(BC156,Потребители_обозначение,5,FALSE),0)</f>
        <v>1</v>
      </c>
      <c r="CE156" s="6" cm="1">
        <f t="array" ref="CE156">IF(B156="","",IF(BH156&lt;&gt;"",IFERROR(_xlfn.XLOOKUP(BH156,Щиты[Щит],Щиты[cos φ]),0.95),IF(BP156=1,IFERROR(_xlfn.XLOOKUP(A156,Щиты[Щит],Щиты[cos φ]),0.95),IF(ISNUMBER(AD156),AD156,IFERROR(IF(CD156=2,_xlfn.IFS(BX156=3,VLOOKUP(BS156,Справочная_двигатели,8,FALSE),BX156=1,VLOOKUP(BS156,Справочная_двигатели,10,TRUE)),IF(AND(Методика="нормы 2026",FG156="Сил"),0.8,0.95)),0.95)))))</f>
        <v>0.95</v>
      </c>
      <c r="CF156">
        <f t="shared" si="296"/>
        <v>0</v>
      </c>
      <c r="CG156">
        <f t="shared" si="297"/>
        <v>1</v>
      </c>
      <c r="CH156">
        <f t="shared" si="298"/>
        <v>0</v>
      </c>
      <c r="CI156">
        <f>IF(B156="","",IF(BV156=1,IFERROR(BS156/((Uн_лин/SQRT(3))*MAX(0.5,N(CE156))),0),N(O156)))</f>
        <v>1.3674085322912188</v>
      </c>
      <c r="CJ156">
        <f t="shared" si="299"/>
        <v>0</v>
      </c>
      <c r="CK156">
        <f t="shared" si="300"/>
        <v>0</v>
      </c>
      <c r="CL156">
        <f t="shared" si="301"/>
        <v>0</v>
      </c>
      <c r="CM156">
        <f t="shared" si="302"/>
        <v>0</v>
      </c>
      <c r="CN156">
        <f t="shared" si="303"/>
        <v>0</v>
      </c>
      <c r="CO156">
        <f>IF(BC156="",0,_xlfn.LET(_xlpm.v,IFERROR(_xlfn.XLOOKUP(B156,Коды_код,Коды_мА),IFERROR(_xlfn.XLOOKUP(BC156,Коды_код,Коды_мА),IFERROR(_xlfn.XLOOKUP(LEFT(BC156,2),Коды_код,Коды_мА),""))),IF(_xlpm.v="да",30,IF(ISNUMBER(_xlpm.v),_xlpm.v,0))))</f>
        <v>30</v>
      </c>
      <c r="CP156">
        <f t="shared" si="304"/>
        <v>30</v>
      </c>
      <c r="CQ156" t="str">
        <f>_xlfn.LET(_xlpm.k,IFERROR(_xlfn.XLOOKUP(BC156,Коды_код,Коды_утечка)&amp;"",""),IF(_xlpm.k="","дифавтомат",_xlpm.k))</f>
        <v>дифавтомат</v>
      </c>
      <c r="CR156" t="str" cm="1">
        <f t="array" ref="CR156">IF(CG156=0,"",_xlfn.LET(_xlpm.sg,TRIM(_xlfn.TEXTSPLIT(DD156&amp;"",";")),_xlpm.f_,_xlfn._xlws.FILTER(_xlpm.sg,LEFT(_xlpm.sg,3)="УЗО",""),IFERROR(INDEX(_xlpm.f_,1)&amp;"","")))</f>
        <v/>
      </c>
      <c r="CS156" t="str">
        <f t="shared" si="305"/>
        <v/>
      </c>
      <c r="CT156" s="6" t="str" cm="1">
        <f t="array" ref="CT156">IF(CR156="","",_xlfn.LET(_xlpm.tk,_xlfn.TEXTSPLIT(UPPER(CR156)," ",,TRUE),_xlpm.a_,_xlfn._xlws.FILTER(_xlpm.tk,ISNUMBER(--LEFT(_xlpm.tk,1))*((ISNUMBER(SEARCH("А",_xlpm.tk))+ISNUMBER(SEARCH("A",_xlpm.tk)))&gt;0)*NOT(ISNUMBER(SEARCH("МА",_xlpm.tk)))*NOT(ISNUMBER(SEARCH("MA",_xlpm.tk))),""),IFERROR(--SUBSTITUTE(SUBSTITUTE(INDEX(_xlpm.a_,1),"А",""),"A",""),"")))</f>
        <v/>
      </c>
      <c r="CU156" t="str" cm="1">
        <f t="array" ref="CU156">IF(CR156="","",_xlfn.LET(_xlpm.tk,_xlfn.TEXTSPLIT(UPPER(CR156)," ",,TRUE),_xlpm.a_,_xlfn._xlws.FILTER(_xlpm.tk,ISNUMBER(--LEFT(_xlpm.tk,1))*((ISNUMBER(SEARCH("МА",_xlpm.tk))+ISNUMBER(SEARCH("MA",_xlpm.tk)))&gt;0),""),IFERROR(--SUBSTITUTE(SUBSTITUTE(INDEX(_xlpm.a_,1),"МА",""),"MA",""),30)))</f>
        <v/>
      </c>
      <c r="CV156" t="str">
        <f>IF(CS156="","",IFERROR(_xlfn.XLOOKUP(CS156,Линии[_n],Линии[_УЗО, мА]),30))</f>
        <v/>
      </c>
      <c r="CW156">
        <f>IF(CS156="",0,IF(ISNUMBER(SEARCH("4P",IFERROR(_xlfn.XLOOKUP(CS156,Линии[_n],Линии[_УЗО строки])&amp;"",""))),0,1))</f>
        <v>0</v>
      </c>
      <c r="CX156" t="str">
        <f>IF(AND(CS156&lt;&gt;"",CS156=BA156),SUMIFS(Линии[_ток на 230 В],Линии[_блок УЗО],BA156,Линии[Щит],A156),"")</f>
        <v/>
      </c>
      <c r="CY156" t="str">
        <f>IF(AND(CS156&lt;&gt;"",CS156=BA156),SUMIFS(Линии[_ток утечки линии, мА],Линии[_блок УЗО],BA156,Линии[Щит],A156),"")</f>
        <v/>
      </c>
      <c r="CZ156">
        <f t="shared" si="306"/>
        <v>30</v>
      </c>
      <c r="DA156">
        <f t="shared" si="307"/>
        <v>30</v>
      </c>
      <c r="DB156">
        <f>IF(B156="",0,IFERROR(--_xlfn.XLOOKUP(B156,Коды_код,Коды_минавт),IFERROR(--_xlfn.XLOOKUP(BC156,Коды_код,Коды_минавт),IFERROR(--_xlfn.XLOOKUP(LEFT(BC156,2),Коды_код,Коды_минавт),0))))</f>
        <v>16</v>
      </c>
      <c r="DC156" t="str">
        <f>IF(B156="","",IFERROR(_xlfn.XLOOKUP(BC156,Коды_код,Коды_апп)&amp;"",""))</f>
        <v/>
      </c>
      <c r="DD156" t="str">
        <f t="shared" si="308"/>
        <v/>
      </c>
      <c r="DE156" t="str" cm="1">
        <f t="array" ref="DE156">IF(TRIM(DD156&amp;"")="","",IFERROR(TRIM(INDEX(_xlfn.TEXTSPLIT(DD156&amp;";;;",";"),1)),""))</f>
        <v/>
      </c>
      <c r="DF156" t="str" cm="1">
        <f t="array" ref="DF156">IF(TRIM(DD156&amp;"")="","",IFERROR(TRIM(INDEX(_xlfn.TEXTSPLIT(DD156&amp;";;;",";"),2)),""))</f>
        <v/>
      </c>
      <c r="DG156" t="str" cm="1">
        <f t="array" ref="DG156">IF(TRIM(DD156&amp;"")="","",IFERROR(TRIM(INDEX(_xlfn.TEXTSPLIT(DD156&amp;";;;",";"),3)),""))</f>
        <v/>
      </c>
      <c r="DH156">
        <f t="shared" si="309"/>
        <v>0</v>
      </c>
      <c r="DI156" t="str">
        <f>IF(B156="","",_xlfn.LET(_xlpm.t,LOWER(AZ156&amp;""),IF(ISNUMBER(SEARCH("dim",_xlpm.t)),"DIM",IF(ISNUMBER(SEARCH("dali",_xlpm.t)),"DALI",IF(OR(ISNUMBER(SEARCH("relay",_xlpm.t)),ISNUMBER(SEARCH("реле",_xlpm.t))),"Relay",IF(ISNUMBER(SEARCH("кнопк",_xlpm.t)),"",IFERROR(_xlfn.XLOOKUP(BC156,Коды_код,Коды_упр)&amp;"","")))))))</f>
        <v/>
      </c>
      <c r="DJ156" t="str">
        <f t="shared" si="310"/>
        <v/>
      </c>
      <c r="DK156">
        <f>IF(B156="","",_xlfn.LET(_xlpm.ig,IF(N(CX156)&gt;0,N(CX156),N(CI156)+IF(AJ156="вручную",0,N(CJ156))),_xlpm.n0,IFERROR(VLOOKUP(_xlpm.ig,Автомат_номиналы,2,TRUE),0),_xlpm.mn,MAX(DB156,IF(AJ156="вручную",0,N(CM156))),MAX(_xlpm.n0,_xlpm.mn,IF(DH156=1,Мин_автомат_БП,0))))</f>
        <v>16</v>
      </c>
      <c r="DL156">
        <f t="shared" si="311"/>
        <v>1</v>
      </c>
      <c r="DM156" t="str">
        <f t="shared" si="312"/>
        <v>2P</v>
      </c>
      <c r="DN156" t="str">
        <f>_xlfn.LET(_xlpm.cc,UPPER(TRIM(IFERROR(_xlfn.XLOOKUP(BC156,Коды_код,Коды_хар)&amp;"",""))),IF(OR(_xlpm.cc="B",_xlpm.cc="В"),"B",IF(_xlpm.cc="D","D","С")))</f>
        <v>С</v>
      </c>
      <c r="DO156" t="str">
        <f t="shared" si="313"/>
        <v>2P С16А 30мА</v>
      </c>
      <c r="DP156">
        <f t="shared" si="314"/>
        <v>16</v>
      </c>
      <c r="DQ156" t="str">
        <f t="shared" si="315"/>
        <v>2P С16А 30мА</v>
      </c>
      <c r="DR156" cm="1">
        <f t="array" ref="DR156">IF(DQ156="","",_xlfn.LET(_xlpm.t,SUBSTITUTE(SUBSTITUTE(SUBSTITUTE(UPPER(DQ156),"С","C"),"А","A"),"В","B"),_xlpm.tk,_xlfn.TEXTSPLIT(_xlpm.t," "),_xlpm.f,_xlfn._xlws.FILTER(_xlpm.tk,ISNUMBER(--MID(_xlpm.tk,2,1))*ISNUMBER(SEARCH(LEFT(_xlpm.tk,1)&amp;"#","B#C#D#"))*(LEN(_xlpm.tk)&gt;1),""),_xlpm.x,INDEX(_xlpm.f,1),IFERROR(--SUBSTITUTE(MID(_xlpm.x,2,9),"A",""),IFERROR(--SUBSTITUTE(INDEX(_xlfn._xlws.FILTER(_xlpm.tk,ISNUMBER(--SUBSTITUTE(_xlpm.tk,"A","")),""),1),"A",""),""))))</f>
        <v>16</v>
      </c>
      <c r="DS156" t="str">
        <f t="shared" si="316"/>
        <v>ok</v>
      </c>
      <c r="DT156">
        <f t="shared" si="317"/>
        <v>16</v>
      </c>
      <c r="DU156" t="str">
        <f t="shared" si="318"/>
        <v>2P С16А 30мА</v>
      </c>
      <c r="DV156">
        <f t="shared" si="319"/>
        <v>30</v>
      </c>
      <c r="DW156">
        <f t="shared" si="320"/>
        <v>1</v>
      </c>
      <c r="DX156">
        <f t="shared" si="321"/>
        <v>0</v>
      </c>
      <c r="DY156">
        <f t="shared" si="322"/>
        <v>1.3674085322912188</v>
      </c>
      <c r="DZ156">
        <f t="shared" si="323"/>
        <v>1</v>
      </c>
      <c r="EA156">
        <f>IF(ISNUMBER(AP156),AP156,К_прокл)</f>
        <v>1</v>
      </c>
      <c r="EB156">
        <f t="shared" si="324"/>
        <v>2</v>
      </c>
      <c r="EC156">
        <f>IFERROR(N(VLOOKUP(BZ156,Кабель_обозначение,3,FALSE)),1)</f>
        <v>1</v>
      </c>
      <c r="ED156">
        <f>IFERROR(N(_xlfn.XLOOKUP(A156,Щиты[Щит],Щиты[ΔU до шин, %])),0)</f>
        <v>1.57</v>
      </c>
      <c r="EE156" t="str">
        <f>IFERROR(_xlfn.XLOOKUP(A156,Щиты[Щит],Щиты[Zпетли на шинах, Ом]),"")</f>
        <v/>
      </c>
      <c r="EF156">
        <f>IFERROR(N(_xlfn.XLOOKUP(A156,Щиты[Щит],Щиты[ΔU до шин (подбор), %])),0)</f>
        <v>2.5</v>
      </c>
      <c r="EG156" t="str">
        <f>IFERROR(_xlfn.XLOOKUP(A156,Щиты[Щит],Щиты[Zпетли на шинах (подбор), Ом]),"")</f>
        <v/>
      </c>
      <c r="EH156" t="str">
        <f t="shared" si="325"/>
        <v/>
      </c>
      <c r="EI156">
        <f t="shared" si="326"/>
        <v>24</v>
      </c>
      <c r="EJ156">
        <f t="shared" si="327"/>
        <v>2</v>
      </c>
      <c r="EK156">
        <f t="shared" si="328"/>
        <v>0.31</v>
      </c>
      <c r="EL156" s="6">
        <f>IF(B156="","",IF(BV156=1,dU_LED,IF(IFERROR(_xlfn.XLOOKUP(BC156,Коды_код,Коды_уго),"")="Светильник",3,4)+IF(Методика="нормы 2026",MIN(0.5,MAX(0,N(P156)-100)*0.005),0)))</f>
        <v>4</v>
      </c>
      <c r="EM156" cm="1">
        <f t="array" ref="EM156">IF(OR(B156="",BZ156="",EC156&lt;&gt;1),"",_xlfn.LET(_xlpm.sz,Iдоп_S,_xlpm.t_,CHOOSE(EB156,Iдоп_1ж,Iдоп_2ж,Iдоп_3ж)*DZ156*EA156,_xlpm.dcx,BV156=1,_xlpm.inn,IF(_xlpm.dcx,N(O156),N(DT156)),_xlpm.smin,MAX(1.5,CC156),_xlpm.L_,N(P156)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156)/N(BU156)*100,999),IFERROR(N(EJ156)*(_xlpm.rho*_xlpm.L_/_xlpm.sz*N(CE156)+_xlpm.xx*_xlpm.L_*N(EK156)/1000)*N(O156)/((Uн_лин/SQRT(3))*1000)*100,999)),_xlpm.kz,IF(OR(_xlpm.dcx,DW156=1,NOT(ISNUMBER(EG156)),_xlpm.L_=0,_xlpm.inn=0),1,IFERROR(--(c_min*(Uн_лин*1000/SQRT(3))/(EG156+2*ρкз_Cu*_xlpm.L_/_xlpm.sz)&gt;=HT156*_xlpm.inn),0)),_xlpm.ok,IFERROR((_xlpm.sz&gt;=_xlpm.smin)*(_xlpm.t_&gt;=_xlpm.inn)*IF(_xlpm.L_&gt;0,(_xlpm.du_+IF(_xlpm.dcx,0,EF156)&lt;=EL156+0.00001),1)*_xlpm.kz,0),_xlpm.r_,_xlfn._xlws.FILTER(_xlpm.sz,_xlpm.ok,"не подобрано"),INDEX(_xlpm.r_,1)))</f>
        <v>1.5</v>
      </c>
      <c r="EN156">
        <f t="shared" si="329"/>
        <v>2.5</v>
      </c>
      <c r="EO156" cm="1">
        <f t="array" ref="EO156">IF(OR(B156="",BZ156="",EC156&lt;&gt;1),"",_xlfn.LET(_xlpm.sz,Iдоп_S,_xlpm.t_,CHOOSE(EB156,Iдоп_1ж,Iдоп_2ж,Iдоп_3ж)*DZ156*EA156,_xlpm.ok,IFERROR((_xlpm.sz&gt;=MAX(1.5,CC156))*(_xlpm.t_&gt;=N(DT156)),0),_xlpm.r_,_xlfn._xlws.FILTER(_xlpm.sz,_xlpm.ok,""),INDEX(_xlpm.r_,1)))</f>
        <v>1.5</v>
      </c>
      <c r="EP156" s="6" cm="1">
        <f t="array" ref="EP156">IFERROR(ROUNDUP(N(EJ156)*(_xlfn.XLOOKUP(EO156,INDEX(Кабель_сопротивление,0,1),INDEX(Кабель_сопротивление,0,3))*N(P156)/EO156*N(CE156)+_xlfn.XLOOKUP(EO156,INDEX(Кабель_сопротивление,0,1),INDEX(Кабель_сопротивление,0,2))*N(P156)*N(EK156)/1000)*N(O156)/((Uн_лин/SQRT(3))*1000)*100,2),"")</f>
        <v>0.66</v>
      </c>
      <c r="EQ156">
        <f>IFERROR(2*ρкз_Cu*N(P156)/EO156,"")</f>
        <v>1.3676000000000001</v>
      </c>
      <c r="ER156">
        <f>IFERROR(VLOOKUP(EN156,Кабель_сопротивление,3,FALSE),"")</f>
        <v>2.2499999999999999E-2</v>
      </c>
      <c r="ES156">
        <f>IFERROR(VLOOKUP(EN156,Кабель_сопротивление,2,FALSE),"")</f>
        <v>0.1</v>
      </c>
      <c r="ET156">
        <f t="shared" si="330"/>
        <v>14</v>
      </c>
      <c r="EU156">
        <f t="shared" si="331"/>
        <v>0</v>
      </c>
      <c r="EV156">
        <f t="shared" si="332"/>
        <v>0.91523114401609396</v>
      </c>
      <c r="EW156" s="6">
        <f>IFERROR(ROUNDUP(EV156/IF(BV156=1,BU156,(Uн_лин/SQRT(3))*1000)*100,2),"")</f>
        <v>0.4</v>
      </c>
      <c r="EX156" t="str">
        <f>IFERROR(VLOOKUP(BZ156,Кабель_обозначение,2,FALSE),"")</f>
        <v>ВВГнг(А)-LS</v>
      </c>
      <c r="EY156" t="str">
        <f t="shared" si="333"/>
        <v>ВВГнг(А)-LS (3х2,5)</v>
      </c>
      <c r="EZ156" t="str">
        <f t="shared" si="334"/>
        <v>ВВГнг(А)-LS (3х2,5)
L=39-0,4%</v>
      </c>
      <c r="FA156">
        <f>IFERROR(2*ρкз_Cu*P156/EN156,"")</f>
        <v>0.82056000000000007</v>
      </c>
      <c r="FB156">
        <f t="shared" si="335"/>
        <v>0.27300000000000002</v>
      </c>
      <c r="FC156" s="6" t="str">
        <f>IFERROR(IF(OR(B156="",BV156=1,NOT(ISNUMBER(EN156)),N(P156)=0),"",_xlfn.XLOOKUP(A156,Щиты[Щит],Щиты[Zпетли на шинах, Ом])+FA156),"")</f>
        <v/>
      </c>
      <c r="FD156" s="6" t="str">
        <f>IF(ISNUMBER(FC156),c_min*(Uн_лин*1000/SQRT(3))/FC156,"")</f>
        <v/>
      </c>
      <c r="FE156" s="6" t="str">
        <f>IFERROR(IF(OR(B156="",NOT(ISNUMBER(EN156))),"",1.05*(Uн_лин*1000/SQRT(3))/(_xlfn.XLOOKUP(A156,Щиты[Щит],Щиты[Zmax на шинах, Ом])+FB156)/1000),"")</f>
        <v/>
      </c>
      <c r="FF156" s="6" t="str">
        <f>IF(B156="","",IF(ISNUMBER(AC156),"Сил",IF(IFERROR(_xlfn.XLOOKUP(BC156,Коды_код,Коды_группа)&amp;"","")="","Быт",_xlfn.XLOOKUP(BC156,Коды_код,Коды_группа)&amp;"")))</f>
        <v>Быт</v>
      </c>
      <c r="FG156" s="6" t="str">
        <f t="shared" si="336"/>
        <v>Быт</v>
      </c>
      <c r="FH156" s="6">
        <f>IF(FG156="Щит","щит",IF(FG156="","",IF(FG156="Быт",IFERROR(_xlfn.XLOOKUP(A156,Щиты[Щит],Щиты[Кс быт]),1),IF(FG156="Сил",IF(ISNUMBER(AC156),AC156,IF(Методика="нормы 2026",IFERROR(_xlfn.XLOOKUP(A156,Щиты[Щит],Щиты[Кс силовых (табл. 7.5)]),1),1)),IF(OR(FG156="Пост",FG156="Отоп"),1,IF(FG156="ВНГ",0.7,0))))))</f>
        <v>0.8</v>
      </c>
      <c r="FI156">
        <f>IF(FG156="","",IF(AND(BP156=1,TRIM(AE156&amp;"")=""),IF(COUNTIFS(Линии[Щит],A156,Линии[Секция (1/2/3)],"&gt;=2")&gt;0,MIN(3,MAX(1,IFERROR(--BD156,1))),1),IFERROR(MIN(3,MAX(1,INT(--AE156))),1)))</f>
        <v>1</v>
      </c>
      <c r="FJ156">
        <f t="shared" si="337"/>
        <v>0.3</v>
      </c>
      <c r="FK156">
        <f t="shared" si="338"/>
        <v>0.3</v>
      </c>
      <c r="FL156">
        <f t="shared" si="339"/>
        <v>0</v>
      </c>
      <c r="FM156">
        <f t="shared" si="340"/>
        <v>0</v>
      </c>
      <c r="FN156">
        <f t="shared" si="341"/>
        <v>0</v>
      </c>
      <c r="FO156">
        <f t="shared" si="342"/>
        <v>0</v>
      </c>
      <c r="FP156">
        <f t="shared" si="343"/>
        <v>0.3</v>
      </c>
      <c r="FQ156">
        <f t="shared" si="344"/>
        <v>0.3</v>
      </c>
      <c r="FR156">
        <f t="shared" si="345"/>
        <v>0.28499999999999998</v>
      </c>
      <c r="FS156">
        <f>IF(CG156=1,IF(AND(CH156=1,CW156=1),0,IF(AND(CS156&lt;&gt;"",CS156=BA156,CW156=1),SUMIFS(Линии[_Р линии, кВт],Линии[_блок УЗО],BA156,Линии[Щит],A156),N(BS156)+IF(AJ156="вручную",0,N(CK156)))),0)</f>
        <v>0.3</v>
      </c>
      <c r="FT156" t="str">
        <f t="shared" si="346"/>
        <v>L2</v>
      </c>
      <c r="FU156" t="str">
        <f>IF(B156="","",IF(CG156=0,IF(BA156=1,"",FW155),IF(AND(CH156=1,CW156=1,CS156&lt;&gt;""),IFERROR(_xlfn.XLOOKUP(CS156,Линии[_n],Линии[_фаза итог]),"L1"),IF(OR(N(DL156)&gt;=3,N(BX156)&gt;=3),"L1,L2,L3",IFERROR(_xlfn.TEXTBEFORE(_xlfn.TEXTAFTER(_xlfn.XLOOKUP(A156,Щиты[Щит],Щиты[_фазы авто]),";"&amp;BA156&amp;":"),";"),"L1")))))</f>
        <v>L1</v>
      </c>
      <c r="FV156" t="str">
        <f t="shared" si="347"/>
        <v>L2</v>
      </c>
      <c r="FW156" t="str">
        <f t="shared" si="348"/>
        <v>L2</v>
      </c>
      <c r="FX156" cm="1">
        <f t="array" ref="FX156">IFERROR(IF(CD156=2,_xlfn.IFS(BX156=3,VLOOKUP(BS156,Справочная_двигатели,3,FALSE),BX156=1,VLOOKUP(BS156,Справочная_двигатели,5,TRUE)),0),0)</f>
        <v>0</v>
      </c>
      <c r="FY156">
        <f>IFERROR(IF(CD156=3,VLOOKUP(BS156,Справочная_ЛЭД,2,TRUE),0),0)</f>
        <v>0</v>
      </c>
      <c r="FZ156" s="6">
        <f t="shared" si="349"/>
        <v>0</v>
      </c>
      <c r="GA156" t="str">
        <f>IF(B156="","",IF(TRIM(AH156&amp;"")&lt;&gt;"",IF(LOWER(TRIM(AH156&amp;""))="да","да","нет"),IF(IFERROR(_xlfn.XLOOKUP(BC156,Коды_код,Коды_пожарная),"")="да","да","нет")))</f>
        <v>нет</v>
      </c>
      <c r="GB156" t="str">
        <f t="shared" si="350"/>
        <v/>
      </c>
      <c r="GC156" t="str">
        <f t="shared" si="351"/>
        <v>основная</v>
      </c>
      <c r="GD156">
        <f>IF(AND(BP156=1,TRIM(AE156&amp;"")=""),IF(COUNTIFS(Линии[Щит],A156,Линии[Секция (1/2/3)],"&gt;=2")&gt;0,MIN(3,MAX(1,IFERROR(--BD156,1))),1),IFERROR(MIN(3,MAX(1,INT(--AE156))),1))</f>
        <v>1</v>
      </c>
      <c r="GE156" t="str" cm="1">
        <f t="array" ref="GE156">IF(B156="","",_xlfn.LET(_xlpm.t,IFERROR(_xlfn.XLOOKUP(1,(Шины[Шина]=GC156)*(((Шины[Щит]=A156)+(Шины[Щит]=""))&gt;0),Шины[Тип]),"")&amp;"",IF(_xlpm.t&lt;&gt;"",_xlpm.t,IF(ISNUMBER(SEARCH("ИБП",GC156)),"ИБП",IF(ISNUMBER(SEARCH("ДГУ",GC156)),"ДГУ","Ввод "&amp;GD156)))))</f>
        <v>Ввод 1</v>
      </c>
      <c r="GF156" t="str">
        <f t="shared" si="352"/>
        <v>Ввод 1</v>
      </c>
      <c r="GG156" t="str">
        <f>IF(BP156=0,"",IF(TRIM(AG156&amp;"")&lt;&gt;"",TRIM(AG156&amp;""),IF(OR(GE156="ИБП",GE156="ДГУ"),"I особая",_xlfn.XLOOKUP(A156,Щиты[Щит],Щиты[Категория шины «Ввод»],"III"))))</f>
        <v/>
      </c>
      <c r="GH156" t="str">
        <f>IF(A156="","",_xlfn.XLOOKUP(A156,Щиты[Щит],Щиты[Путь],""))</f>
        <v>|ГРЩ-ЖД|ЩР-001|</v>
      </c>
      <c r="GI156" t="str">
        <f>IF(B156="","",IF(AI156&lt;&gt;"",AI156,IF(IFERROR(_xlfn.XLOOKUP(BC156,Коды_код,Коды_вид)&amp;"","")="","Прочее",_xlfn.XLOOKUP(BC156,Коды_код,Коды_вид)&amp;"")))</f>
        <v>Розеточная сеть и бытовые приборы</v>
      </c>
      <c r="GJ156">
        <f>IF(BM156="","",INT((BM156-1)/Столбцов_на_лист)+1)</f>
        <v>1</v>
      </c>
      <c r="GK156" t="str">
        <f t="shared" si="353"/>
        <v>ВВГнг(А)-LS (3х2,5) L=39-0,4%</v>
      </c>
      <c r="GL156">
        <f t="shared" si="354"/>
        <v>0.3</v>
      </c>
      <c r="GM156">
        <f t="shared" si="355"/>
        <v>1.37</v>
      </c>
      <c r="GN156">
        <f t="shared" si="356"/>
        <v>1</v>
      </c>
      <c r="GO156">
        <f t="shared" si="357"/>
        <v>0</v>
      </c>
      <c r="GP156">
        <f t="shared" si="358"/>
        <v>1</v>
      </c>
      <c r="GQ156">
        <f>IF(BM156="","",IF(AND(CG156=1,GP156=1),COUNTIFS(A$3:A156,A156,CG$3:CG156,1,GP$3:GP156,1),IF(OR(OR(BA156=1,A156&lt;&gt;A155),AJ156="вручную",GP156=0),"",IF(BA156=1,"",GR155))))</f>
        <v>2</v>
      </c>
      <c r="GR156">
        <f t="shared" si="359"/>
        <v>2</v>
      </c>
      <c r="GS156">
        <f>IF(B156="","",IFERROR(LOOKUP(INDEX(CHOOSE(EB156,Iдоп_1ж,Iдоп_2ж,Iдоп_3ж),MATCH(EN156,Iдоп_S,0))*DZ156*EA156,{6,10,16,20,25,32,40,50,63,80,100,125,160,200,250,315,400,500,630}),""))</f>
        <v>25</v>
      </c>
      <c r="GT156" t="str">
        <f t="shared" si="360"/>
        <v>QFD2</v>
      </c>
      <c r="GU156" t="str">
        <f t="shared" si="361"/>
        <v>QFD2</v>
      </c>
      <c r="GV156" t="str">
        <f t="shared" si="362"/>
        <v/>
      </c>
      <c r="GW156">
        <f t="shared" si="363"/>
        <v>0</v>
      </c>
      <c r="GX156" t="str">
        <f>IF(OR(B156="",DJ156=""),"",IFERROR(_xlfn.XLOOKUP(DJ156,Модули_умолч[Управление],Модули_умолч[Модель])&amp;"",""))</f>
        <v/>
      </c>
      <c r="GY156">
        <f>IF(DJ156="",1,IFERROR(MAX(0,N(_xlfn.XLOOKUP(DJ156,Модули_умолч[Управление],Модули_умолч[Каналов на линию]))),1))</f>
        <v>1</v>
      </c>
      <c r="GZ156" t="str">
        <f t="shared" si="364"/>
        <v/>
      </c>
      <c r="HA156" t="str">
        <f t="shared" si="365"/>
        <v/>
      </c>
      <c r="HB156" t="str">
        <f t="shared" si="366"/>
        <v/>
      </c>
      <c r="HC156">
        <f>IF(HB156="",0,IFERROR(N(VLOOKUP(HB156,Модули_спр,3,FALSE)),0))</f>
        <v>0</v>
      </c>
      <c r="HD156" t="str">
        <f t="shared" si="367"/>
        <v/>
      </c>
      <c r="HE156" t="str">
        <f t="shared" si="368"/>
        <v/>
      </c>
      <c r="HF156" t="str">
        <f>IF(OR(HE156="",HE156="-"),"",IFERROR(VLOOKUP(HE156,Модули_спр,2,FALSE),"R"))</f>
        <v/>
      </c>
      <c r="HG156" t="str">
        <f>IF(HF156="","",HF156&amp;"."&amp;COUNTIFS(A$3:A156,A156,HF$3:HF156,HF156))</f>
        <v/>
      </c>
      <c r="HH156" t="str">
        <f t="shared" si="369"/>
        <v/>
      </c>
      <c r="HI156" t="str">
        <f t="shared" si="370"/>
        <v/>
      </c>
      <c r="HJ156" t="str">
        <f t="shared" si="371"/>
        <v/>
      </c>
      <c r="HK156" t="str">
        <f t="shared" si="372"/>
        <v/>
      </c>
      <c r="HL156">
        <f t="shared" si="373"/>
        <v>1</v>
      </c>
      <c r="HM156" t="str">
        <f>IF(HL156=1,"XT"&amp;COUNTIFS(A$3:A156,A156,HL$3:HL156,1),"")</f>
        <v>XT2</v>
      </c>
      <c r="HN156" t="str">
        <f t="shared" si="374"/>
        <v>XT2</v>
      </c>
      <c r="HO156" t="str">
        <f t="shared" si="375"/>
        <v>QFD2</v>
      </c>
      <c r="HP156" t="str">
        <f t="shared" si="376"/>
        <v/>
      </c>
      <c r="HQ156" t="str">
        <f t="shared" si="377"/>
        <v>ok</v>
      </c>
      <c r="HR156" t="str">
        <f>IF(OR(HJ156="",HH156=""),"",IF(HJ156+MAX(0,GY156-1)&gt;IFERROR(VLOOKUP(HI156,Модули_спр,3,FALSE),99),"ЛИШНИЙ КАНАЛ",IF(AND(AL156&lt;&gt;"=",GY156&gt;0,COUNTIFS(Линии[_модуль гр.],HH156,Линии[Канал (итог)],HJ156,Линии[Канал],"&lt;&gt;=",Линии[Щит],A156)&gt;1),"ДУБЛЬ КАНАЛА","")))</f>
        <v/>
      </c>
      <c r="HS156" s="6" t="str">
        <f t="shared" si="378"/>
        <v/>
      </c>
      <c r="HT156">
        <f t="shared" si="379"/>
        <v>10</v>
      </c>
      <c r="HU156" t="str">
        <f t="shared" si="380"/>
        <v/>
      </c>
      <c r="HV156">
        <f t="shared" si="381"/>
        <v>0.93696341291648755</v>
      </c>
      <c r="HW156">
        <f t="shared" si="382"/>
        <v>0</v>
      </c>
      <c r="HX156">
        <f t="shared" si="383"/>
        <v>0</v>
      </c>
      <c r="HY156">
        <f t="shared" si="384"/>
        <v>0</v>
      </c>
      <c r="HZ156">
        <f t="shared" si="385"/>
        <v>0</v>
      </c>
      <c r="IA156">
        <f t="shared" si="386"/>
        <v>0</v>
      </c>
      <c r="IB156">
        <f t="shared" si="387"/>
        <v>0</v>
      </c>
      <c r="IC156" t="str">
        <f t="shared" si="388"/>
        <v/>
      </c>
      <c r="ID156" t="str" cm="1">
        <f t="array" ref="ID156">IF(IC156="","",_xlfn.LET(_xlpm.tk,_xlfn.TEXTSPLIT(SUBSTITUTE(SUBSTITUTE(IC156,";"," "),"→"," ")," ",,TRUE),_xlpm.w_,_xlfn._xlws.FILTER(_xlpm.tk,ISNUMBER(--LEFT(_xlpm.tk,1))*((ISNUMBER(SEARCH("W",_xlpm.tk))+ISNUMBER(SEARCH("Вт",_xlpm.tk)))&gt;0),""),IFERROR(--SUBSTITUTE(SUBSTITUTE(UPPER(INDEX(_xlpm.w_,1)),"W",""),"ВТ",""),"")))</f>
        <v/>
      </c>
      <c r="IE156" t="str" cm="1">
        <f t="array" ref="IE156">IF(IC156="","",_xlfn.LET(_xlpm.tk,_xlfn.TEXTSPLIT(SUBSTITUTE(SUBSTITUTE(IC156,";"," "),"→"," ")," ",,TRUE),_xlpm.v_,_xlfn._xlws.FILTER(_xlpm.tk,ISNUMBER(--LEFT(_xlpm.tk,1))*((ISNUMBER(SEARCH("V",_xlpm.tk))+(RIGHT(UPPER(_xlpm.tk))="В"))&gt;0),""),IFERROR(--SUBSTITUTE(SUBSTITUTE(UPPER(INDEX(_xlpm.v_,1)),"V",""),"В",""),"")))</f>
        <v/>
      </c>
      <c r="IF156" s="6" t="str">
        <f>IF(OR(BV156=0,HI156="",HJ156=""),"",IFERROR(N(_xlfn.XLOOKUP(HI156,Каталог!$C$4:$C$500,Каталог!$Q$4:$Q$500)),""))</f>
        <v/>
      </c>
      <c r="IG156" s="6" t="str">
        <f>IF(N(IF156)=0,"",SUMIFS(Линии[Iр, А],Линии[Щит],A156,Линии[_модуль гр.],HH156,Линии[Канал (итог)],HJ156))</f>
        <v/>
      </c>
      <c r="IH156" t="str">
        <f>IF(AND(B156="",HO156=""),"",_xlfn.TEXTJOIN("; ",TRUE,IF(AND(B156&lt;&gt;"",FV156=""),"нет фазы",""),IF(AND(B156&lt;&gt;"",N(GL156)=0,FG156&lt;&gt;"Нет"),"нет мощности",""),IF(AND(HN156&lt;&gt;"",COUNTIFS(Линии[Щит],A156,Линии[Клемма (итог)],HN156)&gt;1),"дубль клеммы "&amp;HN156,""),IF(AND(HQ156&lt;&gt;"",HQ156&lt;&gt;"ok"),HQ156,""),IF(HR156&lt;&gt;"",HR156,""),IF(AND(N(CB156)&gt;=4,N(BX156)=1),CB156&amp;" жил на 1 фазе",""),IF(AND(BC156="R",CG156=1,IF(CS156&lt;&gt;"",N(CV156)&gt;30,OR(N(DA156)=0,N(DA156)&gt;30))),"розетка без дифзащиты до 30 мА",""),IF(AND(CG156=1,N(DA156)&gt;0,ISNUMBER(T156)),IF(T156&gt;N(DA156)/3,"ток утечки "&amp;FIXED(T156,1)&amp;" мА &gt; 1/3 уставки ("&amp;DA156&amp;" мА)",""),""),IF(AND(CH156=1,CS156=""),"«узо»: нет строки с УЗО выше (УЗО 2P 40А 30мА в «Аппаратах»)",""),IF(AND(CS156&lt;&gt;"",CS156=BA156),IF(CT156="","впишите номинал УЗО (УЗО 2P 40А 30мА)",IF(N(CT156)&lt;N(DT156),"УЗО "&amp;CT156&amp;" А &lt; автомата "&amp;DT156&amp;" А перед ним",IF(N(CT156)&lt;N(CX156),"УЗО "&amp;CT156&amp;" А &lt; тока блока "&amp;FIXED(CX156,1)&amp;" А",""))),""),IF(AND(CS156&lt;&gt;"",CS156=BA156,ISNUMBER(CY156)),IF(CY156&gt;N(CV156)/3,"ток утечки блока УЗО "&amp;FIXED(CY156,1)&amp;" мА &gt; 1/3 уставки ("&amp;CV156&amp;" мА)",""),""),IF(AND(CG156=1,N(BV156)+N(IB156)&gt;0,IC156=""),"линии до 50 В без БП: впишите в «Аппараты» (БП 24V 480W)",""),IF(AND(CG156=1,ISNUMBER(ID156),ISNUMBER(U156)),IF(U156&gt;ID156,"БП "&amp;ID156&amp;" Вт &lt; нужно "&amp;U156&amp;" Вт (×"&amp;Запас_БП&amp;")",""),""),IF(AND(CG156=1,ISNUMBER(IE156),N(BV156)=1),IF(IE156&lt;&gt;N(BU156),"БП на "&amp;IE156&amp;" В, линия "&amp;BU156&amp;" В",""),""),IF(AND(N(IF156)&gt;0,N(IG156)&gt;N(IF156)),HH156&amp;" канал "&amp;HJ156&amp;": "&amp;FIXED(IG156,1)&amp;" А &gt; "&amp;IF156&amp;" А",""),IFERROR(IF(AND(ISNUMBER(Q156),Q156&gt;EL156),"потери "&amp;FIXED(Q156,1)&amp;" % &gt; "&amp;EL156&amp;" %",""),""),IFERROR(IF(LEFT(HU156,4)="мало","Iкз мало — отключение &gt; 0,4 с",""),""),IF(AND(B156&lt;&gt;"",BM156=""),"не на схеме",""),IF(AND(CG156=0,B156&lt;&gt;"",FV156&lt;&gt;"",IF(BA156=1,"",FW155)&lt;&gt;"",FV156&lt;&gt;IF(BA156=1,"",FW155)),"фаза не как у автомата группы ("&amp;IF(BA156=1,"",FW155)&amp;")","")))</f>
        <v/>
      </c>
      <c r="II156" s="6">
        <f>IF(OR(CG156=0,DQ156=""),"",_xlfn.LET(_xlpm.t,IFERROR(_xlfn.XLOOKUP(DQ156,Каталог!$U$4:$U$500,Каталог!$G$4:$G$500),""),_xlpm.k,SEARCH("кА",_xlpm.t),IFERROR(--TRIM(RIGHT(SUBSTITUTE(MID(_xlpm.t,MAX(1,_xlpm.k-4),_xlpm.k-MAX(1,_xlpm.k-4))," ",REPT(" ",9)),5)),"")))</f>
        <v>6</v>
      </c>
      <c r="IJ156" t="str">
        <f>IF(OR(II156="",CG156=0),"",IF(_xlfn.XLOOKUP(A156,Щиты[Щит],Щиты[Iкз max на шинах, кА],"")="","",IF(II156&lt;_xlfn.XLOOKUP(A156,Щиты[Щит],Щиты[Iкз max на шинах, кА]),"Icu "&amp;II156&amp;" кА &lt; Iкз max","ok")))</f>
        <v/>
      </c>
      <c r="IK156" t="str">
        <f t="shared" si="389"/>
        <v/>
      </c>
      <c r="IL156" t="str">
        <f t="shared" si="390"/>
        <v>QFD2|XT2</v>
      </c>
      <c r="IM156" t="str">
        <f t="shared" si="391"/>
        <v>QFD2|XT2|кабель ВВГнг(А)-LS (3х2,5) → Розеточная группа, пом. 003Т</v>
      </c>
      <c r="IN156" t="str" cm="1">
        <f t="array" ref="IN156">IF(IM156="","",_xlfn.LET(_xlpm.nd,_xlfn.TEXTSPLIT(IM156,"|"),IF(COLUMNS(_xlpm.nd)&gt;1,A156&amp;"¦"&amp;INDEX(_xlpm.nd,1)&amp;"¦"&amp;INDEX(_xlpm.nd,2),"")))</f>
        <v>ЩР-001¦QFD2¦XT2</v>
      </c>
      <c r="IO156" t="str">
        <f t="shared" si="392"/>
        <v>R.00.003Т.1¦Розеточная группа, пом. 003Т</v>
      </c>
      <c r="IP156" t="str" cm="1">
        <f t="array" ref="IP156">IF(IM156="","",_xlfn.LET(_xlpm.nd,_xlfn.TEXTSPLIT(IM156,"|"),IF(COLUMNS(_xlpm.nd)&gt;2,A156&amp;"¦"&amp;INDEX(_xlpm.nd,2)&amp;"¦"&amp;INDEX(_xlpm.nd,3),"")))</f>
        <v>ЩР-001¦XT2¦кабель ВВГнг(А)-LS (3х2,5) → Розеточная группа, пом. 003Т</v>
      </c>
      <c r="IQ156" t="str">
        <f t="shared" si="393"/>
        <v>R.00.003Т.1¦Розеточная группа, пом. 003Т</v>
      </c>
      <c r="IR156" t="str" cm="1">
        <f t="array" ref="IR156">IF(IM156="","",_xlfn.LET(_xlpm.nd,_xlfn.TEXTSPLIT(IM156,"|"),IF(COLUMNS(_xlpm.nd)&gt;3,A156&amp;"¦"&amp;INDEX(_xlpm.nd,3)&amp;"¦"&amp;INDEX(_xlpm.nd,4),"")))</f>
        <v/>
      </c>
      <c r="IS156" t="str">
        <f t="shared" si="394"/>
        <v/>
      </c>
      <c r="IT156" t="str" cm="1">
        <f t="array" ref="IT156">IF(IM156="","",_xlfn.LET(_xlpm.nd,_xlfn.TEXTSPLIT(IM156,"|"),IF(COLUMNS(_xlpm.nd)&gt;4,A156&amp;"¦"&amp;INDEX(_xlpm.nd,4)&amp;"¦"&amp;INDEX(_xlpm.nd,5),"")))</f>
        <v/>
      </c>
      <c r="IU156" t="str">
        <f t="shared" si="395"/>
        <v/>
      </c>
      <c r="IV156" t="str" cm="1">
        <f t="array" ref="IV156">IF(IM156="","",_xlfn.LET(_xlpm.nd,_xlfn.TEXTSPLIT(IM156,"|"),IF(COLUMNS(_xlpm.nd)&gt;5,A156&amp;"¦"&amp;INDEX(_xlpm.nd,5)&amp;"¦"&amp;INDEX(_xlpm.nd,6),"")))</f>
        <v/>
      </c>
      <c r="IW156" t="str">
        <f t="shared" si="396"/>
        <v/>
      </c>
      <c r="IX156" t="str" cm="1">
        <f t="array" ref="IX156">IF(IM156="","",_xlfn.LET(_xlpm.nd,_xlfn.TEXTSPLIT(IM156,"|"),IF(COLUMNS(_xlpm.nd)&gt;6,A156&amp;"¦"&amp;INDEX(_xlpm.nd,6)&amp;"¦"&amp;INDEX(_xlpm.nd,7),"")))</f>
        <v/>
      </c>
      <c r="IY156" t="str">
        <f t="shared" si="397"/>
        <v/>
      </c>
      <c r="IZ156" t="str">
        <f t="shared" si="398"/>
        <v/>
      </c>
      <c r="JA156" t="str">
        <f t="shared" si="399"/>
        <v>QFD2 → XT2</v>
      </c>
      <c r="JB156">
        <f t="shared" si="400"/>
        <v>0</v>
      </c>
      <c r="JC156">
        <f t="shared" si="401"/>
        <v>1</v>
      </c>
      <c r="JD156" t="str">
        <f t="shared" si="402"/>
        <v/>
      </c>
      <c r="JE156" t="str">
        <f t="shared" si="403"/>
        <v/>
      </c>
      <c r="JF156" t="str">
        <f t="shared" si="404"/>
        <v/>
      </c>
      <c r="JG156" t="str">
        <f t="shared" si="405"/>
        <v/>
      </c>
      <c r="JH156" t="str">
        <f>IF(B156="","",IFERROR(_xlfn.XLOOKUP(B156,Коды_код,Коды_уго),IFERROR(_xlfn.XLOOKUP(BC156,Коды_код,Коды_уго),IFERROR(_xlfn.XLOOKUP(LEFT(BC156,2),Коды_код,Коды_уго),""))))</f>
        <v>Розетка</v>
      </c>
      <c r="JI156" t="str">
        <f>IF(B156="","",IF(OR(JH156="",JH156=0),"BOX",IFERROR(IF(VLOOKUP(JH156,УГО_блоки,3,FALSE)&amp;""&lt;&gt;"",VLOOKUP(JH156,УГО_блоки,3,FALSE),VLOOKUP(JH156,УГО_блоки,2,FALSE)),JH156)))</f>
        <v>SOCKET</v>
      </c>
      <c r="JJ156">
        <f t="shared" si="406"/>
        <v>1</v>
      </c>
      <c r="JK156" t="str">
        <f>IF(DQ156="","",IF(COUNTIF(DQ$3:DQ156,DQ156)=1,MAX(JK$2:JK155)+1,""))</f>
        <v/>
      </c>
      <c r="JL156" t="str">
        <f>IF(DE156="","",IF(COUNTIF(DE$3:DE156,DE156)+COUNTIF(DF$2:DF155,DE156)+COUNTIF(DG$2:DG155,DE156)=1,MAX(JL$2:JN155)+1,""))</f>
        <v/>
      </c>
      <c r="JM156" t="str">
        <f>IF(DF156="","",IF(COUNTIF(DE$3:DE156,DF156)+COUNTIF(DF$3:DF156,DF156)+COUNTIF(DG$2:DG155,DF156)=1,MAX(JL$2:JN155,JL156)+1,""))</f>
        <v/>
      </c>
      <c r="JN156" t="str">
        <f>IF(DG156="","",IF(COUNTIF(DE$3:DE156,DG156)+COUNTIF(DF$3:DF156,DG156)+COUNTIF(DG$3:DG156,DG156)=1,MAX(JL$2:JN155,JL156,JM156)+1,""))</f>
        <v/>
      </c>
      <c r="JO156" t="str">
        <f t="shared" si="407"/>
        <v>3х2,5</v>
      </c>
      <c r="JP156" t="str">
        <f>IF(JO156="","",IF(COUNTIF(JO$3:JO156,JO156)=1,MAX(JP$2:JP155)+1,""))</f>
        <v/>
      </c>
      <c r="JQ156" t="str">
        <f>IF(HG156="","",COUNTIF(HG$3:HG156,"?*"))</f>
        <v/>
      </c>
      <c r="JR156" t="str">
        <f>IF(OR(HG156="",HI156=""),"",IF(COUNTIFS(HG$3:HG156,"?*",HI$3:HI156,HI156)=1,MAX(JR$2:JR155)+1,""))</f>
        <v/>
      </c>
      <c r="JS156">
        <f t="shared" si="408"/>
        <v>0</v>
      </c>
      <c r="JT156">
        <f>IF(B156="","",COUNTIF(B$3:B156,"?*"))</f>
        <v>154</v>
      </c>
      <c r="JU156">
        <f>IF(HL156&lt;&gt;1,0,_xlfn.LET(_xlpm.k,MAX(IFERROR(--_xlfn.XLOOKUP(B156,Коды_код,Коды_3L),0),IFERROR(--_xlfn.XLOOKUP(BC156,Коды_код,Коды_3L),0),IFERROR(--_xlfn.XLOOKUP(LEFT(BC156,2),Коды_код,Коды_3L),0)),IF(_xlpm.k&gt;0,_xlpm.k,IF(IFERROR(--LEFT(SUBSTITUTE(JO156,"x","х"),FIND("х",SUBSTITUTE(JO156,"x","х"))-1),3)&gt;3,Каталог!$S$9,1))))</f>
        <v>1</v>
      </c>
      <c r="JV156">
        <f t="shared" si="409"/>
        <v>0</v>
      </c>
      <c r="JW156" t="str">
        <f t="shared" si="410"/>
        <v>авто</v>
      </c>
      <c r="JX156">
        <f t="shared" si="411"/>
        <v>30</v>
      </c>
      <c r="JY156">
        <f t="shared" si="412"/>
        <v>1</v>
      </c>
      <c r="JZ156">
        <f t="shared" si="413"/>
        <v>1</v>
      </c>
    </row>
    <row r="157" spans="1:286" x14ac:dyDescent="0.3">
      <c r="A157" t="s">
        <v>753</v>
      </c>
      <c r="B157" t="s">
        <v>1465</v>
      </c>
      <c r="C157" t="str">
        <f>Линии[[#This Row],[_авто наименование]]</f>
        <v>Розеточная группа, пом. 004Т</v>
      </c>
      <c r="D157">
        <v>1</v>
      </c>
      <c r="E157">
        <v>0.06</v>
      </c>
      <c r="G157">
        <v>16</v>
      </c>
      <c r="H157" t="str">
        <f>Линии[[#This Row],[_авто управление]]</f>
        <v/>
      </c>
      <c r="I157" t="str">
        <f>Линии[[#This Row],[_авто аппараты]]</f>
        <v/>
      </c>
      <c r="J157">
        <v>2.5</v>
      </c>
      <c r="K157">
        <v>5</v>
      </c>
      <c r="L157">
        <v>2</v>
      </c>
      <c r="M157" t="str">
        <f>Линии[[#This Row],[_авто клемма]]</f>
        <v>XT3</v>
      </c>
      <c r="N157" t="str">
        <f t="shared" si="276"/>
        <v/>
      </c>
      <c r="O157" s="6" cm="1">
        <f t="array" ref="O157">IF(B157="","",IF(BH157&lt;&gt;"",IFERROR(_xlfn.XLOOKUP(BH157,Щиты[Щит],Щиты[Iр, А]),""),IF(BP157=1,IF(OR(N(_xlfn.XLOOKUP(A157,Щиты[Щит],Щиты[Вводов],1))&lt;=1,LOWER(TRIM(_xlfn.XLOOKUP(A157,Щиты[Щит],Щиты[АВР],"")&amp;""))="да"),IFERROR(_xlfn.XLOOKUP(A157,Щиты[Щит],Щиты[Iр, А]),""),IFERROR(N(BS157)*_xlfn.XLOOKUP(A157,Щиты[Щит],Щиты[Кс итог])/(SQRT(3)*Uн_лин*_xlfn.XLOOKUP(A157,Щиты[Щит],Щиты[cos φ])),"")),IF(BV157=1,IFERROR(BS157*1000/BU157,""),IFERROR(_xlfn.IFS(BX157=1,BS157/((Uн_лин/SQRT(3))*CE157),BX157=3,BS157/(SQRT(3)*Uн_лин*CE157)),"")))))</f>
        <v>0.27348170645824377</v>
      </c>
      <c r="P157" s="7">
        <f>IF(B157="","",IFERROR(IF(VLOOKUP(BC157,Потребители_обозначение,4,FALSE)=1,VLOOKUP(BC157,Потребители_обозначение,3,FALSE)*(MAX(1,N(D157))*2-1)+EI157+VLOOKUP(BE157,Этаж_обозначение,3,FALSE)+VLOOKUP(BE157,Этаж_обозначение,4,FALSE),VLOOKUP(BC157,Потребители_обозначение,3,FALSE)*(MAX(1,N(D157))*2-1)+EI157),EI157))</f>
        <v>8</v>
      </c>
      <c r="Q157" s="6">
        <f t="shared" si="277"/>
        <v>1.59</v>
      </c>
      <c r="R157" t="str">
        <f t="shared" si="278"/>
        <v>ВВГнг(А)-LS (3х2,5)</v>
      </c>
      <c r="S157" t="str">
        <f>IF(BM157="","",IF(BN157="вводной узел","узел ","")&amp;"л."&amp;(INT((BM157-1)/Столбцов_на_лист)+1)&amp;" / "&amp;(MOD(BM157-1,Столбцов_на_лист)+1))</f>
        <v>л.1 / 10</v>
      </c>
      <c r="T157" s="119">
        <f t="shared" si="279"/>
        <v>0.2</v>
      </c>
      <c r="U157" s="7" t="str">
        <f>IF(OR(CG157=0,N(BV157)+N(IB157)=0),"",ROUNDUP(Запас_БП*(N(HY157)+N(HZ157)),0))</f>
        <v/>
      </c>
      <c r="V157" s="119" t="str">
        <f t="shared" si="280"/>
        <v/>
      </c>
      <c r="W157" s="7" t="str">
        <f>IFERROR(IF(OR(B157="",BP157=1,BV157=1,NOT(ISNUMBER(EN157)),N(DT157)=0),"",MAX(0,ROUNDDOWN((c_min*(Uн_лин*1000/SQRT(3))/(HT157*N(DT157))-_xlfn.XLOOKUP(A157,Щиты[Щит],Щиты[Zпетли на шинах, Ом]))*EN157/(2*ρкз_Cu),0))),"")</f>
        <v/>
      </c>
      <c r="Y157">
        <f>Линии[[#This Row],[_авто утечка]]</f>
        <v>30</v>
      </c>
      <c r="Z157">
        <v>1</v>
      </c>
      <c r="AA157">
        <v>230</v>
      </c>
      <c r="AB157" t="s">
        <v>562</v>
      </c>
      <c r="AG157" t="s">
        <v>810</v>
      </c>
      <c r="AI157" t="s">
        <v>561</v>
      </c>
      <c r="AK157" t="str">
        <f>Линии[[#This Row],[_авто модуль]]</f>
        <v/>
      </c>
      <c r="AM157">
        <v>10</v>
      </c>
      <c r="AN157" t="s">
        <v>11</v>
      </c>
      <c r="AO157">
        <v>3</v>
      </c>
      <c r="AQ157">
        <v>0</v>
      </c>
      <c r="AR157">
        <v>0</v>
      </c>
      <c r="AS157">
        <v>5</v>
      </c>
      <c r="BA157" cm="1">
        <f t="array" ref="BA157">ROW()-ROW(Линии[#Headers])</f>
        <v>155</v>
      </c>
      <c r="BC157" s="6" t="str">
        <f t="shared" si="281"/>
        <v>R</v>
      </c>
      <c r="BD157" t="str">
        <f t="shared" si="282"/>
        <v>00.004Т.1</v>
      </c>
      <c r="BE157" t="str">
        <f t="shared" si="283"/>
        <v>00</v>
      </c>
      <c r="BF157" t="str">
        <f t="shared" si="284"/>
        <v>004Т.1</v>
      </c>
      <c r="BG157" t="str">
        <f t="shared" si="285"/>
        <v>004Т</v>
      </c>
      <c r="BH157" t="str">
        <f>IF(X157&lt;&gt;"",X157,IF(AND(B157&lt;&gt;"",B157&lt;&gt;A157,ISNUMBER(_xlfn.XMATCH(B157,Щиты[Щит]))),B157,""))</f>
        <v/>
      </c>
      <c r="BI157" t="str" cm="1">
        <f t="array" ref="BI157">IF(B157="","",IF(BH157&lt;&gt;"","Щит "&amp;BH157,_xlfn.LET(_xlpm.nm,IFERROR(_xlfn.XLOOKUP(BC157,Коды_код,Коды_имя)&amp;"",""),_xlpm.md,IFERROR(N(_xlfn.XLOOKUP(BC157,Коды_код,Коды_режим)),1),_xlpm.ex,IF(Имя_режим="по экспликации",IFERROR(_xlfn.XLOOKUP(BE157&amp;"|"&amp;BG157,Экспликация[Этаж]&amp;"|"&amp;Экспликация[Помещение],Экспликация[Название])&amp;"",""),""),_xlpm.rm,IF(BG157="","",IF(_xlpm.ex&lt;&gt;"",". "&amp;_xlpm.ex&amp;IF(Имя_пом="нет"," ("&amp;BG157&amp;")"," (пом. "&amp;BG157&amp;")"),IF(Имя_пом="нет"," ",", пом. ")&amp;BG157)),IF(_xlpm.nm="","",IF(_xlpm.md=2,_xlpm.nm&amp;" шлейф "&amp;BE157,_xlpm.nm&amp;_xlpm.rm)))))</f>
        <v>Розеточная группа, пом. 004Т</v>
      </c>
      <c r="BJ157" t="str">
        <f t="shared" si="286"/>
        <v>Розеточная группа, пом. 004Т</v>
      </c>
      <c r="BK157">
        <f>IFERROR(_xlfn.XMATCH(A157,Щиты[Щит]),0)</f>
        <v>8</v>
      </c>
      <c r="BL157">
        <f>_xlfn.LET(_xlpm.k,IFERROR(_xlfn.XLOOKUP(A157,Щиты[Щит],Щиты[Мест под вводной узел]),""),IF(_xlpm.k="",Столбцов_на_лист,N(_xlpm.k)))</f>
        <v>7</v>
      </c>
      <c r="BM157">
        <f t="shared" si="287"/>
        <v>10</v>
      </c>
      <c r="BN157" t="str">
        <f t="shared" si="288"/>
        <v>линии</v>
      </c>
      <c r="BO157" s="6">
        <f>IFERROR(N(_xlfn.XLOOKUP(BC157,Коды_код,Коды_квт)),0)</f>
        <v>0</v>
      </c>
      <c r="BP157">
        <f t="shared" si="289"/>
        <v>0</v>
      </c>
      <c r="BQ157" t="str">
        <f>IF(B157="","",IF(BH157&lt;&gt;"",IFERROR(_xlfn.XLOOKUP(BH157,Щиты[Щит],Щиты[Руст, кВт]),0),IF(BP157=1,IF(OR(N(_xlfn.XLOOKUP(A157,Щиты[Щит],Щиты[Вводов],1))&lt;=1,LOWER(TRIM(_xlfn.XLOOKUP(A157,Щиты[Щит],Щиты[АВР],"")&amp;""))="да"),IFERROR(_xlfn.XLOOKUP(A157,Щиты[Щит],Щиты[Руст, кВт]),0),SUMIFS(Линии[_Р для вводов],Линии[Щит],A157,Линии[Источник для режимов],GF157)),IF(BO157&gt;0,ROUND(BO157*MAX(1,N(D157)),3),""))))</f>
        <v/>
      </c>
      <c r="BR157">
        <f t="shared" si="290"/>
        <v>0.06</v>
      </c>
      <c r="BS157" s="6">
        <f>IF(B157="","",IF(BH157&lt;&gt;"",IFERROR(_xlfn.XLOOKUP(BH157,Щиты[Щит],Щиты[Руст, кВт]),0),N(BR157)))</f>
        <v>0.06</v>
      </c>
      <c r="BT157" t="str">
        <f>IF(B157="","",IFERROR(IF(VLOOKUP(BC157,Потребители_обозначение,8,FALSE)=0,"",VLOOKUP(BC157,Потребители_обозначение,8,FALSE)),""))</f>
        <v/>
      </c>
      <c r="BU157">
        <f t="shared" si="291"/>
        <v>230</v>
      </c>
      <c r="BV157">
        <f t="shared" si="292"/>
        <v>0</v>
      </c>
      <c r="BW157">
        <f>IF(B157="","",IF(BH157&lt;&gt;"",3,IFERROR(IF(N(VLOOKUP(BC157,Потребители_обозначение,9,FALSE))=0,1,VLOOKUP(BC157,Потребители_обозначение,9,FALSE)),1)))</f>
        <v>1</v>
      </c>
      <c r="BX157">
        <f t="shared" si="293"/>
        <v>1</v>
      </c>
      <c r="BY157" t="str">
        <f>IF(B157="","",_xlfn.LET(_xlpm.bc,IFERROR(IF(VLOOKUP(BC157,Потребители_обозначение,6,FALSE)=0,"",VLOOKUP(BC157,Потребители_обозначение,6,FALSE)&amp;""),""),IF(AND(GA157="да",OR(_xlpm.bc="",_xlpm.bc="мс")),Марка_пож,IF(AND(_xlpm.bc="",BH157&lt;&gt;""),"мс",_xlpm.bc))))</f>
        <v/>
      </c>
      <c r="BZ157" t="str">
        <f t="shared" si="294"/>
        <v>мс</v>
      </c>
      <c r="CA157">
        <f>IF(B157="","",_xlfn.LET(_xlpm.cc,IFERROR(N(VLOOKUP(BC157,Потребители_обозначение,7,FALSE)),0),IF(_xlpm.cc&gt;0,_xlpm.cc,IF(BZ157="","",IF(BV157=1,2,IF(N(BX157)=3,5,3))))))</f>
        <v>3</v>
      </c>
      <c r="CB157">
        <f t="shared" si="295"/>
        <v>3</v>
      </c>
      <c r="CC157">
        <f>IFERROR(N(VLOOKUP(BC157,Потребители_обозначение,10,FALSE)),0)</f>
        <v>0</v>
      </c>
      <c r="CD157">
        <f>IFERROR(VLOOKUP(BC157,Потребители_обозначение,5,FALSE),0)</f>
        <v>1</v>
      </c>
      <c r="CE157" s="6" cm="1">
        <f t="array" ref="CE157">IF(B157="","",IF(BH157&lt;&gt;"",IFERROR(_xlfn.XLOOKUP(BH157,Щиты[Щит],Щиты[cos φ]),0.95),IF(BP157=1,IFERROR(_xlfn.XLOOKUP(A157,Щиты[Щит],Щиты[cos φ]),0.95),IF(ISNUMBER(AD157),AD157,IFERROR(IF(CD157=2,_xlfn.IFS(BX157=3,VLOOKUP(BS157,Справочная_двигатели,8,FALSE),BX157=1,VLOOKUP(BS157,Справочная_двигатели,10,TRUE)),IF(AND(Методика="нормы 2026",FG157="Сил"),0.8,0.95)),0.95)))))</f>
        <v>0.95</v>
      </c>
      <c r="CF157">
        <f t="shared" si="296"/>
        <v>0</v>
      </c>
      <c r="CG157">
        <f t="shared" si="297"/>
        <v>1</v>
      </c>
      <c r="CH157">
        <f t="shared" si="298"/>
        <v>0</v>
      </c>
      <c r="CI157">
        <f>IF(B157="","",IF(BV157=1,IFERROR(BS157/((Uн_лин/SQRT(3))*MAX(0.5,N(CE157))),0),N(O157)))</f>
        <v>0.27348170645824377</v>
      </c>
      <c r="CJ157">
        <f t="shared" si="299"/>
        <v>0</v>
      </c>
      <c r="CK157">
        <f t="shared" si="300"/>
        <v>0</v>
      </c>
      <c r="CL157">
        <f t="shared" si="301"/>
        <v>0</v>
      </c>
      <c r="CM157">
        <f t="shared" si="302"/>
        <v>0</v>
      </c>
      <c r="CN157">
        <f t="shared" si="303"/>
        <v>0</v>
      </c>
      <c r="CO157">
        <f>IF(BC157="",0,_xlfn.LET(_xlpm.v,IFERROR(_xlfn.XLOOKUP(B157,Коды_код,Коды_мА),IFERROR(_xlfn.XLOOKUP(BC157,Коды_код,Коды_мА),IFERROR(_xlfn.XLOOKUP(LEFT(BC157,2),Коды_код,Коды_мА),""))),IF(_xlpm.v="да",30,IF(ISNUMBER(_xlpm.v),_xlpm.v,0))))</f>
        <v>30</v>
      </c>
      <c r="CP157">
        <f t="shared" si="304"/>
        <v>30</v>
      </c>
      <c r="CQ157" t="str">
        <f>_xlfn.LET(_xlpm.k,IFERROR(_xlfn.XLOOKUP(BC157,Коды_код,Коды_утечка)&amp;"",""),IF(_xlpm.k="","дифавтомат",_xlpm.k))</f>
        <v>дифавтомат</v>
      </c>
      <c r="CR157" t="str" cm="1">
        <f t="array" ref="CR157">IF(CG157=0,"",_xlfn.LET(_xlpm.sg,TRIM(_xlfn.TEXTSPLIT(DD157&amp;"",";")),_xlpm.f_,_xlfn._xlws.FILTER(_xlpm.sg,LEFT(_xlpm.sg,3)="УЗО",""),IFERROR(INDEX(_xlpm.f_,1)&amp;"","")))</f>
        <v/>
      </c>
      <c r="CS157" t="str">
        <f t="shared" si="305"/>
        <v/>
      </c>
      <c r="CT157" s="6" t="str" cm="1">
        <f t="array" ref="CT157">IF(CR157="","",_xlfn.LET(_xlpm.tk,_xlfn.TEXTSPLIT(UPPER(CR157)," ",,TRUE),_xlpm.a_,_xlfn._xlws.FILTER(_xlpm.tk,ISNUMBER(--LEFT(_xlpm.tk,1))*((ISNUMBER(SEARCH("А",_xlpm.tk))+ISNUMBER(SEARCH("A",_xlpm.tk)))&gt;0)*NOT(ISNUMBER(SEARCH("МА",_xlpm.tk)))*NOT(ISNUMBER(SEARCH("MA",_xlpm.tk))),""),IFERROR(--SUBSTITUTE(SUBSTITUTE(INDEX(_xlpm.a_,1),"А",""),"A",""),"")))</f>
        <v/>
      </c>
      <c r="CU157" t="str" cm="1">
        <f t="array" ref="CU157">IF(CR157="","",_xlfn.LET(_xlpm.tk,_xlfn.TEXTSPLIT(UPPER(CR157)," ",,TRUE),_xlpm.a_,_xlfn._xlws.FILTER(_xlpm.tk,ISNUMBER(--LEFT(_xlpm.tk,1))*((ISNUMBER(SEARCH("МА",_xlpm.tk))+ISNUMBER(SEARCH("MA",_xlpm.tk)))&gt;0),""),IFERROR(--SUBSTITUTE(SUBSTITUTE(INDEX(_xlpm.a_,1),"МА",""),"MA",""),30)))</f>
        <v/>
      </c>
      <c r="CV157" t="str">
        <f>IF(CS157="","",IFERROR(_xlfn.XLOOKUP(CS157,Линии[_n],Линии[_УЗО, мА]),30))</f>
        <v/>
      </c>
      <c r="CW157">
        <f>IF(CS157="",0,IF(ISNUMBER(SEARCH("4P",IFERROR(_xlfn.XLOOKUP(CS157,Линии[_n],Линии[_УЗО строки])&amp;"",""))),0,1))</f>
        <v>0</v>
      </c>
      <c r="CX157" t="str">
        <f>IF(AND(CS157&lt;&gt;"",CS157=BA157),SUMIFS(Линии[_ток на 230 В],Линии[_блок УЗО],BA157,Линии[Щит],A157),"")</f>
        <v/>
      </c>
      <c r="CY157" t="str">
        <f>IF(AND(CS157&lt;&gt;"",CS157=BA157),SUMIFS(Линии[_ток утечки линии, мА],Линии[_блок УЗО],BA157,Линии[Щит],A157),"")</f>
        <v/>
      </c>
      <c r="CZ157">
        <f t="shared" si="306"/>
        <v>30</v>
      </c>
      <c r="DA157">
        <f t="shared" si="307"/>
        <v>30</v>
      </c>
      <c r="DB157">
        <f>IF(B157="",0,IFERROR(--_xlfn.XLOOKUP(B157,Коды_код,Коды_минавт),IFERROR(--_xlfn.XLOOKUP(BC157,Коды_код,Коды_минавт),IFERROR(--_xlfn.XLOOKUP(LEFT(BC157,2),Коды_код,Коды_минавт),0))))</f>
        <v>16</v>
      </c>
      <c r="DC157" t="str">
        <f>IF(B157="","",IFERROR(_xlfn.XLOOKUP(BC157,Коды_код,Коды_апп)&amp;"",""))</f>
        <v/>
      </c>
      <c r="DD157" t="str">
        <f t="shared" si="308"/>
        <v/>
      </c>
      <c r="DE157" t="str" cm="1">
        <f t="array" ref="DE157">IF(TRIM(DD157&amp;"")="","",IFERROR(TRIM(INDEX(_xlfn.TEXTSPLIT(DD157&amp;";;;",";"),1)),""))</f>
        <v/>
      </c>
      <c r="DF157" t="str" cm="1">
        <f t="array" ref="DF157">IF(TRIM(DD157&amp;"")="","",IFERROR(TRIM(INDEX(_xlfn.TEXTSPLIT(DD157&amp;";;;",";"),2)),""))</f>
        <v/>
      </c>
      <c r="DG157" t="str" cm="1">
        <f t="array" ref="DG157">IF(TRIM(DD157&amp;"")="","",IFERROR(TRIM(INDEX(_xlfn.TEXTSPLIT(DD157&amp;";;;",";"),3)),""))</f>
        <v/>
      </c>
      <c r="DH157">
        <f t="shared" si="309"/>
        <v>0</v>
      </c>
      <c r="DI157" t="str">
        <f>IF(B157="","",_xlfn.LET(_xlpm.t,LOWER(AZ157&amp;""),IF(ISNUMBER(SEARCH("dim",_xlpm.t)),"DIM",IF(ISNUMBER(SEARCH("dali",_xlpm.t)),"DALI",IF(OR(ISNUMBER(SEARCH("relay",_xlpm.t)),ISNUMBER(SEARCH("реле",_xlpm.t))),"Relay",IF(ISNUMBER(SEARCH("кнопк",_xlpm.t)),"",IFERROR(_xlfn.XLOOKUP(BC157,Коды_код,Коды_упр)&amp;"","")))))))</f>
        <v/>
      </c>
      <c r="DJ157" t="str">
        <f t="shared" si="310"/>
        <v/>
      </c>
      <c r="DK157">
        <f>IF(B157="","",_xlfn.LET(_xlpm.ig,IF(N(CX157)&gt;0,N(CX157),N(CI157)+IF(AJ157="вручную",0,N(CJ157))),_xlpm.n0,IFERROR(VLOOKUP(_xlpm.ig,Автомат_номиналы,2,TRUE),0),_xlpm.mn,MAX(DB157,IF(AJ157="вручную",0,N(CM157))),MAX(_xlpm.n0,_xlpm.mn,IF(DH157=1,Мин_автомат_БП,0))))</f>
        <v>16</v>
      </c>
      <c r="DL157">
        <f t="shared" si="311"/>
        <v>1</v>
      </c>
      <c r="DM157" t="str">
        <f t="shared" si="312"/>
        <v>2P</v>
      </c>
      <c r="DN157" t="str">
        <f>_xlfn.LET(_xlpm.cc,UPPER(TRIM(IFERROR(_xlfn.XLOOKUP(BC157,Коды_код,Коды_хар)&amp;"",""))),IF(OR(_xlpm.cc="B",_xlpm.cc="В"),"B",IF(_xlpm.cc="D","D","С")))</f>
        <v>С</v>
      </c>
      <c r="DO157" t="str">
        <f t="shared" si="313"/>
        <v>2P С16А 30мА</v>
      </c>
      <c r="DP157">
        <f t="shared" si="314"/>
        <v>16</v>
      </c>
      <c r="DQ157" t="str">
        <f t="shared" si="315"/>
        <v>2P С16А 30мА</v>
      </c>
      <c r="DR157" cm="1">
        <f t="array" ref="DR157">IF(DQ157="","",_xlfn.LET(_xlpm.t,SUBSTITUTE(SUBSTITUTE(SUBSTITUTE(UPPER(DQ157),"С","C"),"А","A"),"В","B"),_xlpm.tk,_xlfn.TEXTSPLIT(_xlpm.t," "),_xlpm.f,_xlfn._xlws.FILTER(_xlpm.tk,ISNUMBER(--MID(_xlpm.tk,2,1))*ISNUMBER(SEARCH(LEFT(_xlpm.tk,1)&amp;"#","B#C#D#"))*(LEN(_xlpm.tk)&gt;1),""),_xlpm.x,INDEX(_xlpm.f,1),IFERROR(--SUBSTITUTE(MID(_xlpm.x,2,9),"A",""),IFERROR(--SUBSTITUTE(INDEX(_xlfn._xlws.FILTER(_xlpm.tk,ISNUMBER(--SUBSTITUTE(_xlpm.tk,"A","")),""),1),"A",""),""))))</f>
        <v>16</v>
      </c>
      <c r="DS157" t="str">
        <f t="shared" si="316"/>
        <v>ok</v>
      </c>
      <c r="DT157">
        <f t="shared" si="317"/>
        <v>16</v>
      </c>
      <c r="DU157" t="str">
        <f t="shared" si="318"/>
        <v>2P С16А 30мА</v>
      </c>
      <c r="DV157">
        <f t="shared" si="319"/>
        <v>30</v>
      </c>
      <c r="DW157">
        <f t="shared" si="320"/>
        <v>1</v>
      </c>
      <c r="DX157">
        <f t="shared" si="321"/>
        <v>0</v>
      </c>
      <c r="DY157">
        <f t="shared" si="322"/>
        <v>0.27348170645824377</v>
      </c>
      <c r="DZ157">
        <f t="shared" si="323"/>
        <v>1</v>
      </c>
      <c r="EA157">
        <f>IF(ISNUMBER(AP157),AP157,К_прокл)</f>
        <v>1</v>
      </c>
      <c r="EB157">
        <f t="shared" si="324"/>
        <v>2</v>
      </c>
      <c r="EC157">
        <f>IFERROR(N(VLOOKUP(BZ157,Кабель_обозначение,3,FALSE)),1)</f>
        <v>1</v>
      </c>
      <c r="ED157">
        <f>IFERROR(N(_xlfn.XLOOKUP(A157,Щиты[Щит],Щиты[ΔU до шин, %])),0)</f>
        <v>1.57</v>
      </c>
      <c r="EE157" t="str">
        <f>IFERROR(_xlfn.XLOOKUP(A157,Щиты[Щит],Щиты[Zпетли на шинах, Ом]),"")</f>
        <v/>
      </c>
      <c r="EF157">
        <f>IFERROR(N(_xlfn.XLOOKUP(A157,Щиты[Щит],Щиты[ΔU до шин (подбор), %])),0)</f>
        <v>2.5</v>
      </c>
      <c r="EG157" t="str">
        <f>IFERROR(_xlfn.XLOOKUP(A157,Щиты[Щит],Щиты[Zпетли на шинах (подбор), Ом]),"")</f>
        <v/>
      </c>
      <c r="EH157" t="str">
        <f t="shared" si="325"/>
        <v/>
      </c>
      <c r="EI157">
        <f t="shared" si="326"/>
        <v>5</v>
      </c>
      <c r="EJ157">
        <f t="shared" si="327"/>
        <v>2</v>
      </c>
      <c r="EK157">
        <f t="shared" si="328"/>
        <v>0.31</v>
      </c>
      <c r="EL157" s="6">
        <f>IF(B157="","",IF(BV157=1,dU_LED,IF(IFERROR(_xlfn.XLOOKUP(BC157,Коды_код,Коды_уго),"")="Светильник",3,4)+IF(Методика="нормы 2026",MIN(0.5,MAX(0,N(P157)-100)*0.005),0)))</f>
        <v>4</v>
      </c>
      <c r="EM157" cm="1">
        <f t="array" ref="EM157">IF(OR(B157="",BZ157="",EC157&lt;&gt;1),"",_xlfn.LET(_xlpm.sz,Iдоп_S,_xlpm.t_,CHOOSE(EB157,Iдоп_1ж,Iдоп_2ж,Iдоп_3ж)*DZ157*EA157,_xlpm.dcx,BV157=1,_xlpm.inn,IF(_xlpm.dcx,N(O157),N(DT157)),_xlpm.smin,MAX(1.5,CC157),_xlpm.L_,N(P157)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157)/N(BU157)*100,999),IFERROR(N(EJ157)*(_xlpm.rho*_xlpm.L_/_xlpm.sz*N(CE157)+_xlpm.xx*_xlpm.L_*N(EK157)/1000)*N(O157)/((Uн_лин/SQRT(3))*1000)*100,999)),_xlpm.kz,IF(OR(_xlpm.dcx,DW157=1,NOT(ISNUMBER(EG157)),_xlpm.L_=0,_xlpm.inn=0),1,IFERROR(--(c_min*(Uн_лин*1000/SQRT(3))/(EG157+2*ρкз_Cu*_xlpm.L_/_xlpm.sz)&gt;=HT157*_xlpm.inn),0)),_xlpm.ok,IFERROR((_xlpm.sz&gt;=_xlpm.smin)*(_xlpm.t_&gt;=_xlpm.inn)*IF(_xlpm.L_&gt;0,(_xlpm.du_+IF(_xlpm.dcx,0,EF157)&lt;=EL157+0.00001),1)*_xlpm.kz,0),_xlpm.r_,_xlfn._xlws.FILTER(_xlpm.sz,_xlpm.ok,"не подобрано"),INDEX(_xlpm.r_,1)))</f>
        <v>1.5</v>
      </c>
      <c r="EN157">
        <f t="shared" si="329"/>
        <v>2.5</v>
      </c>
      <c r="EO157" cm="1">
        <f t="array" ref="EO157">IF(OR(B157="",BZ157="",EC157&lt;&gt;1),"",_xlfn.LET(_xlpm.sz,Iдоп_S,_xlpm.t_,CHOOSE(EB157,Iдоп_1ж,Iдоп_2ж,Iдоп_3ж)*DZ157*EA157,_xlpm.ok,IFERROR((_xlpm.sz&gt;=MAX(1.5,CC157))*(_xlpm.t_&gt;=N(DT157)),0),_xlpm.r_,_xlfn._xlws.FILTER(_xlpm.sz,_xlpm.ok,""),INDEX(_xlpm.r_,1)))</f>
        <v>1.5</v>
      </c>
      <c r="EP157" s="6" cm="1">
        <f t="array" ref="EP157">IFERROR(ROUNDUP(N(EJ157)*(_xlfn.XLOOKUP(EO157,INDEX(Кабель_сопротивление,0,1),INDEX(Кабель_сопротивление,0,3))*N(P157)/EO157*N(CE157)+_xlfn.XLOOKUP(EO157,INDEX(Кабель_сопротивление,0,1),INDEX(Кабель_сопротивление,0,2))*N(P157)*N(EK157)/1000)*N(O157)/((Uн_лин/SQRT(3))*1000)*100,2),"")</f>
        <v>0.03</v>
      </c>
      <c r="EQ157">
        <f>IFERROR(2*ρкз_Cu*N(P157)/EO157,"")</f>
        <v>0.28053333333333336</v>
      </c>
      <c r="ER157">
        <f>IFERROR(VLOOKUP(EN157,Кабель_сопротивление,3,FALSE),"")</f>
        <v>2.2499999999999999E-2</v>
      </c>
      <c r="ES157">
        <f>IFERROR(VLOOKUP(EN157,Кабель_сопротивление,2,FALSE),"")</f>
        <v>0.1</v>
      </c>
      <c r="ET157">
        <f t="shared" si="330"/>
        <v>0</v>
      </c>
      <c r="EU157">
        <f t="shared" si="331"/>
        <v>5</v>
      </c>
      <c r="EV157">
        <f t="shared" si="332"/>
        <v>3.7547944369891027E-2</v>
      </c>
      <c r="EW157" s="6">
        <f>IFERROR(ROUNDUP(EV157/IF(BV157=1,BU157,(Uн_лин/SQRT(3))*1000)*100,2),"")</f>
        <v>0.02</v>
      </c>
      <c r="EX157" t="str">
        <f>IFERROR(VLOOKUP(BZ157,Кабель_обозначение,2,FALSE),"")</f>
        <v>ВВГнг(А)-LS</v>
      </c>
      <c r="EY157" t="str">
        <f t="shared" si="333"/>
        <v>ВВГнг(А)-LS (3х2,5)</v>
      </c>
      <c r="EZ157" t="str">
        <f t="shared" si="334"/>
        <v>ВВГнг(А)-LS (3х2,5)
L=8-0,02%</v>
      </c>
      <c r="FA157">
        <f>IFERROR(2*ρкз_Cu*P157/EN157,"")</f>
        <v>0.16832</v>
      </c>
      <c r="FB157">
        <f t="shared" si="335"/>
        <v>5.6000000000000008E-2</v>
      </c>
      <c r="FC157" s="6" t="str">
        <f>IFERROR(IF(OR(B157="",BV157=1,NOT(ISNUMBER(EN157)),N(P157)=0),"",_xlfn.XLOOKUP(A157,Щиты[Щит],Щиты[Zпетли на шинах, Ом])+FA157),"")</f>
        <v/>
      </c>
      <c r="FD157" s="6" t="str">
        <f>IF(ISNUMBER(FC157),c_min*(Uн_лин*1000/SQRT(3))/FC157,"")</f>
        <v/>
      </c>
      <c r="FE157" s="6" t="str">
        <f>IFERROR(IF(OR(B157="",NOT(ISNUMBER(EN157))),"",1.05*(Uн_лин*1000/SQRT(3))/(_xlfn.XLOOKUP(A157,Щиты[Щит],Щиты[Zmax на шинах, Ом])+FB157)/1000),"")</f>
        <v/>
      </c>
      <c r="FF157" s="6" t="str">
        <f>IF(B157="","",IF(ISNUMBER(AC157),"Сил",IF(IFERROR(_xlfn.XLOOKUP(BC157,Коды_код,Коды_группа)&amp;"","")="","Быт",_xlfn.XLOOKUP(BC157,Коды_код,Коды_группа)&amp;"")))</f>
        <v>Быт</v>
      </c>
      <c r="FG157" s="6" t="str">
        <f t="shared" si="336"/>
        <v>Быт</v>
      </c>
      <c r="FH157" s="6">
        <f>IF(FG157="Щит","щит",IF(FG157="","",IF(FG157="Быт",IFERROR(_xlfn.XLOOKUP(A157,Щиты[Щит],Щиты[Кс быт]),1),IF(FG157="Сил",IF(ISNUMBER(AC157),AC157,IF(Методика="нормы 2026",IFERROR(_xlfn.XLOOKUP(A157,Щиты[Щит],Щиты[Кс силовых (табл. 7.5)]),1),1)),IF(OR(FG157="Пост",FG157="Отоп"),1,IF(FG157="ВНГ",0.7,0))))))</f>
        <v>0.8</v>
      </c>
      <c r="FI157">
        <f>IF(FG157="","",IF(AND(BP157=1,TRIM(AE157&amp;"")=""),IF(COUNTIFS(Линии[Щит],A157,Линии[Секция (1/2/3)],"&gt;=2")&gt;0,MIN(3,MAX(1,IFERROR(--BD157,1))),1),IFERROR(MIN(3,MAX(1,INT(--AE157))),1)))</f>
        <v>1</v>
      </c>
      <c r="FJ157">
        <f t="shared" si="337"/>
        <v>0.06</v>
      </c>
      <c r="FK157">
        <f t="shared" si="338"/>
        <v>0.06</v>
      </c>
      <c r="FL157">
        <f t="shared" si="339"/>
        <v>0</v>
      </c>
      <c r="FM157">
        <f t="shared" si="340"/>
        <v>0</v>
      </c>
      <c r="FN157">
        <f t="shared" si="341"/>
        <v>0</v>
      </c>
      <c r="FO157">
        <f t="shared" si="342"/>
        <v>0</v>
      </c>
      <c r="FP157">
        <f t="shared" si="343"/>
        <v>0.06</v>
      </c>
      <c r="FQ157">
        <f t="shared" si="344"/>
        <v>0.06</v>
      </c>
      <c r="FR157">
        <f t="shared" si="345"/>
        <v>5.6999999999999995E-2</v>
      </c>
      <c r="FS157">
        <f>IF(CG157=1,IF(AND(CH157=1,CW157=1),0,IF(AND(CS157&lt;&gt;"",CS157=BA157,CW157=1),SUMIFS(Линии[_Р линии, кВт],Линии[_блок УЗО],BA157,Линии[Щит],A157),N(BS157)+IF(AJ157="вручную",0,N(CK157)))),0)</f>
        <v>0.06</v>
      </c>
      <c r="FT157" t="str">
        <f t="shared" si="346"/>
        <v>L2</v>
      </c>
      <c r="FU157" t="str">
        <f>IF(B157="","",IF(CG157=0,IF(BA157=1,"",FW156),IF(AND(CH157=1,CW157=1,CS157&lt;&gt;""),IFERROR(_xlfn.XLOOKUP(CS157,Линии[_n],Линии[_фаза итог]),"L1"),IF(OR(N(DL157)&gt;=3,N(BX157)&gt;=3),"L1,L2,L3",IFERROR(_xlfn.TEXTBEFORE(_xlfn.TEXTAFTER(_xlfn.XLOOKUP(A157,Щиты[Щит],Щиты[_фазы авто]),";"&amp;BA157&amp;":"),";"),"L1")))))</f>
        <v>L1</v>
      </c>
      <c r="FV157" t="str">
        <f t="shared" si="347"/>
        <v>L2</v>
      </c>
      <c r="FW157" t="str">
        <f t="shared" si="348"/>
        <v>L2</v>
      </c>
      <c r="FX157" cm="1">
        <f t="array" ref="FX157">IFERROR(IF(CD157=2,_xlfn.IFS(BX157=3,VLOOKUP(BS157,Справочная_двигатели,3,FALSE),BX157=1,VLOOKUP(BS157,Справочная_двигатели,5,TRUE)),0),0)</f>
        <v>0</v>
      </c>
      <c r="FY157">
        <f>IFERROR(IF(CD157=3,VLOOKUP(BS157,Справочная_ЛЭД,2,TRUE),0),0)</f>
        <v>0</v>
      </c>
      <c r="FZ157" s="6">
        <f t="shared" si="349"/>
        <v>0</v>
      </c>
      <c r="GA157" t="str">
        <f>IF(B157="","",IF(TRIM(AH157&amp;"")&lt;&gt;"",IF(LOWER(TRIM(AH157&amp;""))="да","да","нет"),IF(IFERROR(_xlfn.XLOOKUP(BC157,Коды_код,Коды_пожарная),"")="да","да","нет")))</f>
        <v>нет</v>
      </c>
      <c r="GB157" t="str">
        <f t="shared" si="350"/>
        <v/>
      </c>
      <c r="GC157" t="str">
        <f t="shared" si="351"/>
        <v>основная</v>
      </c>
      <c r="GD157">
        <f>IF(AND(BP157=1,TRIM(AE157&amp;"")=""),IF(COUNTIFS(Линии[Щит],A157,Линии[Секция (1/2/3)],"&gt;=2")&gt;0,MIN(3,MAX(1,IFERROR(--BD157,1))),1),IFERROR(MIN(3,MAX(1,INT(--AE157))),1))</f>
        <v>1</v>
      </c>
      <c r="GE157" t="str" cm="1">
        <f t="array" ref="GE157">IF(B157="","",_xlfn.LET(_xlpm.t,IFERROR(_xlfn.XLOOKUP(1,(Шины[Шина]=GC157)*(((Шины[Щит]=A157)+(Шины[Щит]=""))&gt;0),Шины[Тип]),"")&amp;"",IF(_xlpm.t&lt;&gt;"",_xlpm.t,IF(ISNUMBER(SEARCH("ИБП",GC157)),"ИБП",IF(ISNUMBER(SEARCH("ДГУ",GC157)),"ДГУ","Ввод "&amp;GD157)))))</f>
        <v>Ввод 1</v>
      </c>
      <c r="GF157" t="str">
        <f t="shared" si="352"/>
        <v>Ввод 1</v>
      </c>
      <c r="GG157" t="str">
        <f>IF(BP157=0,"",IF(TRIM(AG157&amp;"")&lt;&gt;"",TRIM(AG157&amp;""),IF(OR(GE157="ИБП",GE157="ДГУ"),"I особая",_xlfn.XLOOKUP(A157,Щиты[Щит],Щиты[Категория шины «Ввод»],"III"))))</f>
        <v/>
      </c>
      <c r="GH157" t="str">
        <f>IF(A157="","",_xlfn.XLOOKUP(A157,Щиты[Щит],Щиты[Путь],""))</f>
        <v>|ГРЩ-ЖД|ЩР-001|</v>
      </c>
      <c r="GI157" t="str">
        <f>IF(B157="","",IF(AI157&lt;&gt;"",AI157,IF(IFERROR(_xlfn.XLOOKUP(BC157,Коды_код,Коды_вид)&amp;"","")="","Прочее",_xlfn.XLOOKUP(BC157,Коды_код,Коды_вид)&amp;"")))</f>
        <v>Розеточная сеть и бытовые приборы</v>
      </c>
      <c r="GJ157">
        <f>IF(BM157="","",INT((BM157-1)/Столбцов_на_лист)+1)</f>
        <v>1</v>
      </c>
      <c r="GK157" t="str">
        <f t="shared" si="353"/>
        <v>ВВГнг(А)-LS (3х2,5) L=8-0,02%</v>
      </c>
      <c r="GL157">
        <f t="shared" si="354"/>
        <v>0.06</v>
      </c>
      <c r="GM157">
        <f t="shared" si="355"/>
        <v>0.28000000000000003</v>
      </c>
      <c r="GN157">
        <f t="shared" si="356"/>
        <v>1</v>
      </c>
      <c r="GO157">
        <f t="shared" si="357"/>
        <v>0</v>
      </c>
      <c r="GP157">
        <f t="shared" si="358"/>
        <v>1</v>
      </c>
      <c r="GQ157">
        <f>IF(BM157="","",IF(AND(CG157=1,GP157=1),COUNTIFS(A$3:A157,A157,CG$3:CG157,1,GP$3:GP157,1),IF(OR(OR(BA157=1,A157&lt;&gt;A156),AJ157="вручную",GP157=0),"",IF(BA157=1,"",GR156))))</f>
        <v>3</v>
      </c>
      <c r="GR157">
        <f t="shared" si="359"/>
        <v>3</v>
      </c>
      <c r="GS157">
        <f>IF(B157="","",IFERROR(LOOKUP(INDEX(CHOOSE(EB157,Iдоп_1ж,Iдоп_2ж,Iдоп_3ж),MATCH(EN157,Iдоп_S,0))*DZ157*EA157,{6,10,16,20,25,32,40,50,63,80,100,125,160,200,250,315,400,500,630}),""))</f>
        <v>25</v>
      </c>
      <c r="GT157" t="str">
        <f t="shared" si="360"/>
        <v>QFD3</v>
      </c>
      <c r="GU157" t="str">
        <f t="shared" si="361"/>
        <v>QFD3</v>
      </c>
      <c r="GV157" t="str">
        <f t="shared" si="362"/>
        <v/>
      </c>
      <c r="GW157">
        <f t="shared" si="363"/>
        <v>0</v>
      </c>
      <c r="GX157" t="str">
        <f>IF(OR(B157="",DJ157=""),"",IFERROR(_xlfn.XLOOKUP(DJ157,Модули_умолч[Управление],Модули_умолч[Модель])&amp;"",""))</f>
        <v/>
      </c>
      <c r="GY157">
        <f>IF(DJ157="",1,IFERROR(MAX(0,N(_xlfn.XLOOKUP(DJ157,Модули_умолч[Управление],Модули_умолч[Каналов на линию]))),1))</f>
        <v>1</v>
      </c>
      <c r="GZ157" t="str">
        <f t="shared" si="364"/>
        <v/>
      </c>
      <c r="HA157" t="str">
        <f t="shared" si="365"/>
        <v/>
      </c>
      <c r="HB157" t="str">
        <f t="shared" si="366"/>
        <v/>
      </c>
      <c r="HC157">
        <f>IF(HB157="",0,IFERROR(N(VLOOKUP(HB157,Модули_спр,3,FALSE)),0))</f>
        <v>0</v>
      </c>
      <c r="HD157" t="str">
        <f t="shared" si="367"/>
        <v/>
      </c>
      <c r="HE157" t="str">
        <f t="shared" si="368"/>
        <v/>
      </c>
      <c r="HF157" t="str">
        <f>IF(OR(HE157="",HE157="-"),"",IFERROR(VLOOKUP(HE157,Модули_спр,2,FALSE),"R"))</f>
        <v/>
      </c>
      <c r="HG157" t="str">
        <f>IF(HF157="","",HF157&amp;"."&amp;COUNTIFS(A$3:A157,A157,HF$3:HF157,HF157))</f>
        <v/>
      </c>
      <c r="HH157" t="str">
        <f t="shared" si="369"/>
        <v/>
      </c>
      <c r="HI157" t="str">
        <f t="shared" si="370"/>
        <v/>
      </c>
      <c r="HJ157" t="str">
        <f t="shared" si="371"/>
        <v/>
      </c>
      <c r="HK157" t="str">
        <f t="shared" si="372"/>
        <v/>
      </c>
      <c r="HL157">
        <f t="shared" si="373"/>
        <v>1</v>
      </c>
      <c r="HM157" t="str">
        <f>IF(HL157=1,"XT"&amp;COUNTIFS(A$3:A157,A157,HL$3:HL157,1),"")</f>
        <v>XT3</v>
      </c>
      <c r="HN157" t="str">
        <f t="shared" si="374"/>
        <v>XT3</v>
      </c>
      <c r="HO157" t="str">
        <f t="shared" si="375"/>
        <v>QFD3</v>
      </c>
      <c r="HP157" t="str">
        <f t="shared" si="376"/>
        <v/>
      </c>
      <c r="HQ157" t="str">
        <f t="shared" si="377"/>
        <v>ok</v>
      </c>
      <c r="HR157" t="str">
        <f>IF(OR(HJ157="",HH157=""),"",IF(HJ157+MAX(0,GY157-1)&gt;IFERROR(VLOOKUP(HI157,Модули_спр,3,FALSE),99),"ЛИШНИЙ КАНАЛ",IF(AND(AL157&lt;&gt;"=",GY157&gt;0,COUNTIFS(Линии[_модуль гр.],HH157,Линии[Канал (итог)],HJ157,Линии[Канал],"&lt;&gt;=",Линии[Щит],A157)&gt;1),"ДУБЛЬ КАНАЛА","")))</f>
        <v/>
      </c>
      <c r="HS157" s="6" t="str">
        <f t="shared" si="378"/>
        <v/>
      </c>
      <c r="HT157">
        <f t="shared" si="379"/>
        <v>10</v>
      </c>
      <c r="HU157" t="str">
        <f t="shared" si="380"/>
        <v/>
      </c>
      <c r="HV157">
        <f t="shared" si="381"/>
        <v>0.1893926825832975</v>
      </c>
      <c r="HW157">
        <f t="shared" si="382"/>
        <v>0</v>
      </c>
      <c r="HX157">
        <f t="shared" si="383"/>
        <v>0</v>
      </c>
      <c r="HY157">
        <f t="shared" si="384"/>
        <v>0</v>
      </c>
      <c r="HZ157">
        <f t="shared" si="385"/>
        <v>0</v>
      </c>
      <c r="IA157">
        <f t="shared" si="386"/>
        <v>0</v>
      </c>
      <c r="IB157">
        <f t="shared" si="387"/>
        <v>0</v>
      </c>
      <c r="IC157" t="str">
        <f t="shared" si="388"/>
        <v/>
      </c>
      <c r="ID157" t="str" cm="1">
        <f t="array" ref="ID157">IF(IC157="","",_xlfn.LET(_xlpm.tk,_xlfn.TEXTSPLIT(SUBSTITUTE(SUBSTITUTE(IC157,";"," "),"→"," ")," ",,TRUE),_xlpm.w_,_xlfn._xlws.FILTER(_xlpm.tk,ISNUMBER(--LEFT(_xlpm.tk,1))*((ISNUMBER(SEARCH("W",_xlpm.tk))+ISNUMBER(SEARCH("Вт",_xlpm.tk)))&gt;0),""),IFERROR(--SUBSTITUTE(SUBSTITUTE(UPPER(INDEX(_xlpm.w_,1)),"W",""),"ВТ",""),"")))</f>
        <v/>
      </c>
      <c r="IE157" t="str" cm="1">
        <f t="array" ref="IE157">IF(IC157="","",_xlfn.LET(_xlpm.tk,_xlfn.TEXTSPLIT(SUBSTITUTE(SUBSTITUTE(IC157,";"," "),"→"," ")," ",,TRUE),_xlpm.v_,_xlfn._xlws.FILTER(_xlpm.tk,ISNUMBER(--LEFT(_xlpm.tk,1))*((ISNUMBER(SEARCH("V",_xlpm.tk))+(RIGHT(UPPER(_xlpm.tk))="В"))&gt;0),""),IFERROR(--SUBSTITUTE(SUBSTITUTE(UPPER(INDEX(_xlpm.v_,1)),"V",""),"В",""),"")))</f>
        <v/>
      </c>
      <c r="IF157" s="6" t="str">
        <f>IF(OR(BV157=0,HI157="",HJ157=""),"",IFERROR(N(_xlfn.XLOOKUP(HI157,Каталог!$C$4:$C$500,Каталог!$Q$4:$Q$500)),""))</f>
        <v/>
      </c>
      <c r="IG157" s="6" t="str">
        <f>IF(N(IF157)=0,"",SUMIFS(Линии[Iр, А],Линии[Щит],A157,Линии[_модуль гр.],HH157,Линии[Канал (итог)],HJ157))</f>
        <v/>
      </c>
      <c r="IH157" t="str">
        <f>IF(AND(B157="",HO157=""),"",_xlfn.TEXTJOIN("; ",TRUE,IF(AND(B157&lt;&gt;"",FV157=""),"нет фазы",""),IF(AND(B157&lt;&gt;"",N(GL157)=0,FG157&lt;&gt;"Нет"),"нет мощности",""),IF(AND(HN157&lt;&gt;"",COUNTIFS(Линии[Щит],A157,Линии[Клемма (итог)],HN157)&gt;1),"дубль клеммы "&amp;HN157,""),IF(AND(HQ157&lt;&gt;"",HQ157&lt;&gt;"ok"),HQ157,""),IF(HR157&lt;&gt;"",HR157,""),IF(AND(N(CB157)&gt;=4,N(BX157)=1),CB157&amp;" жил на 1 фазе",""),IF(AND(BC157="R",CG157=1,IF(CS157&lt;&gt;"",N(CV157)&gt;30,OR(N(DA157)=0,N(DA157)&gt;30))),"розетка без дифзащиты до 30 мА",""),IF(AND(CG157=1,N(DA157)&gt;0,ISNUMBER(T157)),IF(T157&gt;N(DA157)/3,"ток утечки "&amp;FIXED(T157,1)&amp;" мА &gt; 1/3 уставки ("&amp;DA157&amp;" мА)",""),""),IF(AND(CH157=1,CS157=""),"«узо»: нет строки с УЗО выше (УЗО 2P 40А 30мА в «Аппаратах»)",""),IF(AND(CS157&lt;&gt;"",CS157=BA157),IF(CT157="","впишите номинал УЗО (УЗО 2P 40А 30мА)",IF(N(CT157)&lt;N(DT157),"УЗО "&amp;CT157&amp;" А &lt; автомата "&amp;DT157&amp;" А перед ним",IF(N(CT157)&lt;N(CX157),"УЗО "&amp;CT157&amp;" А &lt; тока блока "&amp;FIXED(CX157,1)&amp;" А",""))),""),IF(AND(CS157&lt;&gt;"",CS157=BA157,ISNUMBER(CY157)),IF(CY157&gt;N(CV157)/3,"ток утечки блока УЗО "&amp;FIXED(CY157,1)&amp;" мА &gt; 1/3 уставки ("&amp;CV157&amp;" мА)",""),""),IF(AND(CG157=1,N(BV157)+N(IB157)&gt;0,IC157=""),"линии до 50 В без БП: впишите в «Аппараты» (БП 24V 480W)",""),IF(AND(CG157=1,ISNUMBER(ID157),ISNUMBER(U157)),IF(U157&gt;ID157,"БП "&amp;ID157&amp;" Вт &lt; нужно "&amp;U157&amp;" Вт (×"&amp;Запас_БП&amp;")",""),""),IF(AND(CG157=1,ISNUMBER(IE157),N(BV157)=1),IF(IE157&lt;&gt;N(BU157),"БП на "&amp;IE157&amp;" В, линия "&amp;BU157&amp;" В",""),""),IF(AND(N(IF157)&gt;0,N(IG157)&gt;N(IF157)),HH157&amp;" канал "&amp;HJ157&amp;": "&amp;FIXED(IG157,1)&amp;" А &gt; "&amp;IF157&amp;" А",""),IFERROR(IF(AND(ISNUMBER(Q157),Q157&gt;EL157),"потери "&amp;FIXED(Q157,1)&amp;" % &gt; "&amp;EL157&amp;" %",""),""),IFERROR(IF(LEFT(HU157,4)="мало","Iкз мало — отключение &gt; 0,4 с",""),""),IF(AND(B157&lt;&gt;"",BM157=""),"не на схеме",""),IF(AND(CG157=0,B157&lt;&gt;"",FV157&lt;&gt;"",IF(BA157=1,"",FW156)&lt;&gt;"",FV157&lt;&gt;IF(BA157=1,"",FW156)),"фаза не как у автомата группы ("&amp;IF(BA157=1,"",FW156)&amp;")","")))</f>
        <v/>
      </c>
      <c r="II157" s="6">
        <f>IF(OR(CG157=0,DQ157=""),"",_xlfn.LET(_xlpm.t,IFERROR(_xlfn.XLOOKUP(DQ157,Каталог!$U$4:$U$500,Каталог!$G$4:$G$500),""),_xlpm.k,SEARCH("кА",_xlpm.t),IFERROR(--TRIM(RIGHT(SUBSTITUTE(MID(_xlpm.t,MAX(1,_xlpm.k-4),_xlpm.k-MAX(1,_xlpm.k-4))," ",REPT(" ",9)),5)),"")))</f>
        <v>6</v>
      </c>
      <c r="IJ157" t="str">
        <f>IF(OR(II157="",CG157=0),"",IF(_xlfn.XLOOKUP(A157,Щиты[Щит],Щиты[Iкз max на шинах, кА],"")="","",IF(II157&lt;_xlfn.XLOOKUP(A157,Щиты[Щит],Щиты[Iкз max на шинах, кА]),"Icu "&amp;II157&amp;" кА &lt; Iкз max","ok")))</f>
        <v/>
      </c>
      <c r="IK157" t="str">
        <f t="shared" si="389"/>
        <v/>
      </c>
      <c r="IL157" t="str">
        <f t="shared" si="390"/>
        <v>QFD3|XT3</v>
      </c>
      <c r="IM157" t="str">
        <f t="shared" si="391"/>
        <v>QFD3|XT3|кабель ВВГнг(А)-LS (3х2,5) → Розеточная группа, пом. 004Т</v>
      </c>
      <c r="IN157" t="str" cm="1">
        <f t="array" ref="IN157">IF(IM157="","",_xlfn.LET(_xlpm.nd,_xlfn.TEXTSPLIT(IM157,"|"),IF(COLUMNS(_xlpm.nd)&gt;1,A157&amp;"¦"&amp;INDEX(_xlpm.nd,1)&amp;"¦"&amp;INDEX(_xlpm.nd,2),"")))</f>
        <v>ЩР-001¦QFD3¦XT3</v>
      </c>
      <c r="IO157" t="str">
        <f t="shared" si="392"/>
        <v>R.00.004Т.1¦Розеточная группа, пом. 004Т</v>
      </c>
      <c r="IP157" t="str" cm="1">
        <f t="array" ref="IP157">IF(IM157="","",_xlfn.LET(_xlpm.nd,_xlfn.TEXTSPLIT(IM157,"|"),IF(COLUMNS(_xlpm.nd)&gt;2,A157&amp;"¦"&amp;INDEX(_xlpm.nd,2)&amp;"¦"&amp;INDEX(_xlpm.nd,3),"")))</f>
        <v>ЩР-001¦XT3¦кабель ВВГнг(А)-LS (3х2,5) → Розеточная группа, пом. 004Т</v>
      </c>
      <c r="IQ157" t="str">
        <f t="shared" si="393"/>
        <v>R.00.004Т.1¦Розеточная группа, пом. 004Т</v>
      </c>
      <c r="IR157" t="str" cm="1">
        <f t="array" ref="IR157">IF(IM157="","",_xlfn.LET(_xlpm.nd,_xlfn.TEXTSPLIT(IM157,"|"),IF(COLUMNS(_xlpm.nd)&gt;3,A157&amp;"¦"&amp;INDEX(_xlpm.nd,3)&amp;"¦"&amp;INDEX(_xlpm.nd,4),"")))</f>
        <v/>
      </c>
      <c r="IS157" t="str">
        <f t="shared" si="394"/>
        <v/>
      </c>
      <c r="IT157" t="str" cm="1">
        <f t="array" ref="IT157">IF(IM157="","",_xlfn.LET(_xlpm.nd,_xlfn.TEXTSPLIT(IM157,"|"),IF(COLUMNS(_xlpm.nd)&gt;4,A157&amp;"¦"&amp;INDEX(_xlpm.nd,4)&amp;"¦"&amp;INDEX(_xlpm.nd,5),"")))</f>
        <v/>
      </c>
      <c r="IU157" t="str">
        <f t="shared" si="395"/>
        <v/>
      </c>
      <c r="IV157" t="str" cm="1">
        <f t="array" ref="IV157">IF(IM157="","",_xlfn.LET(_xlpm.nd,_xlfn.TEXTSPLIT(IM157,"|"),IF(COLUMNS(_xlpm.nd)&gt;5,A157&amp;"¦"&amp;INDEX(_xlpm.nd,5)&amp;"¦"&amp;INDEX(_xlpm.nd,6),"")))</f>
        <v/>
      </c>
      <c r="IW157" t="str">
        <f t="shared" si="396"/>
        <v/>
      </c>
      <c r="IX157" t="str" cm="1">
        <f t="array" ref="IX157">IF(IM157="","",_xlfn.LET(_xlpm.nd,_xlfn.TEXTSPLIT(IM157,"|"),IF(COLUMNS(_xlpm.nd)&gt;6,A157&amp;"¦"&amp;INDEX(_xlpm.nd,6)&amp;"¦"&amp;INDEX(_xlpm.nd,7),"")))</f>
        <v/>
      </c>
      <c r="IY157" t="str">
        <f t="shared" si="397"/>
        <v/>
      </c>
      <c r="IZ157" t="str">
        <f t="shared" si="398"/>
        <v/>
      </c>
      <c r="JA157" t="str">
        <f t="shared" si="399"/>
        <v>QFD3 → XT3</v>
      </c>
      <c r="JB157">
        <f t="shared" si="400"/>
        <v>0</v>
      </c>
      <c r="JC157">
        <f t="shared" si="401"/>
        <v>1</v>
      </c>
      <c r="JD157" t="str">
        <f t="shared" si="402"/>
        <v/>
      </c>
      <c r="JE157" t="str">
        <f t="shared" si="403"/>
        <v/>
      </c>
      <c r="JF157" t="str">
        <f t="shared" si="404"/>
        <v/>
      </c>
      <c r="JG157" t="str">
        <f t="shared" si="405"/>
        <v/>
      </c>
      <c r="JH157" t="str">
        <f>IF(B157="","",IFERROR(_xlfn.XLOOKUP(B157,Коды_код,Коды_уго),IFERROR(_xlfn.XLOOKUP(BC157,Коды_код,Коды_уго),IFERROR(_xlfn.XLOOKUP(LEFT(BC157,2),Коды_код,Коды_уго),""))))</f>
        <v>Розетка</v>
      </c>
      <c r="JI157" t="str">
        <f>IF(B157="","",IF(OR(JH157="",JH157=0),"BOX",IFERROR(IF(VLOOKUP(JH157,УГО_блоки,3,FALSE)&amp;""&lt;&gt;"",VLOOKUP(JH157,УГО_блоки,3,FALSE),VLOOKUP(JH157,УГО_блоки,2,FALSE)),JH157)))</f>
        <v>SOCKET</v>
      </c>
      <c r="JJ157">
        <f t="shared" si="406"/>
        <v>1</v>
      </c>
      <c r="JK157" t="str">
        <f>IF(DQ157="","",IF(COUNTIF(DQ$3:DQ157,DQ157)=1,MAX(JK$2:JK156)+1,""))</f>
        <v/>
      </c>
      <c r="JL157" t="str">
        <f>IF(DE157="","",IF(COUNTIF(DE$3:DE157,DE157)+COUNTIF(DF$2:DF156,DE157)+COUNTIF(DG$2:DG156,DE157)=1,MAX(JL$2:JN156)+1,""))</f>
        <v/>
      </c>
      <c r="JM157" t="str">
        <f>IF(DF157="","",IF(COUNTIF(DE$3:DE157,DF157)+COUNTIF(DF$3:DF157,DF157)+COUNTIF(DG$2:DG156,DF157)=1,MAX(JL$2:JN156,JL157)+1,""))</f>
        <v/>
      </c>
      <c r="JN157" t="str">
        <f>IF(DG157="","",IF(COUNTIF(DE$3:DE157,DG157)+COUNTIF(DF$3:DF157,DG157)+COUNTIF(DG$3:DG157,DG157)=1,MAX(JL$2:JN156,JL157,JM157)+1,""))</f>
        <v/>
      </c>
      <c r="JO157" t="str">
        <f t="shared" si="407"/>
        <v>3х2,5</v>
      </c>
      <c r="JP157" t="str">
        <f>IF(JO157="","",IF(COUNTIF(JO$3:JO157,JO157)=1,MAX(JP$2:JP156)+1,""))</f>
        <v/>
      </c>
      <c r="JQ157" t="str">
        <f>IF(HG157="","",COUNTIF(HG$3:HG157,"?*"))</f>
        <v/>
      </c>
      <c r="JR157" t="str">
        <f>IF(OR(HG157="",HI157=""),"",IF(COUNTIFS(HG$3:HG157,"?*",HI$3:HI157,HI157)=1,MAX(JR$2:JR156)+1,""))</f>
        <v/>
      </c>
      <c r="JS157">
        <f t="shared" si="408"/>
        <v>0</v>
      </c>
      <c r="JT157">
        <f>IF(B157="","",COUNTIF(B$3:B157,"?*"))</f>
        <v>155</v>
      </c>
      <c r="JU157">
        <f>IF(HL157&lt;&gt;1,0,_xlfn.LET(_xlpm.k,MAX(IFERROR(--_xlfn.XLOOKUP(B157,Коды_код,Коды_3L),0),IFERROR(--_xlfn.XLOOKUP(BC157,Коды_код,Коды_3L),0),IFERROR(--_xlfn.XLOOKUP(LEFT(BC157,2),Коды_код,Коды_3L),0)),IF(_xlpm.k&gt;0,_xlpm.k,IF(IFERROR(--LEFT(SUBSTITUTE(JO157,"x","х"),FIND("х",SUBSTITUTE(JO157,"x","х"))-1),3)&gt;3,Каталог!$S$9,1))))</f>
        <v>1</v>
      </c>
      <c r="JV157">
        <f t="shared" si="409"/>
        <v>0</v>
      </c>
      <c r="JW157" t="str">
        <f t="shared" si="410"/>
        <v>авто</v>
      </c>
      <c r="JX157">
        <f t="shared" si="411"/>
        <v>30</v>
      </c>
      <c r="JY157">
        <f t="shared" si="412"/>
        <v>1</v>
      </c>
      <c r="JZ157">
        <f t="shared" si="413"/>
        <v>1</v>
      </c>
    </row>
    <row r="158" spans="1:286" x14ac:dyDescent="0.3">
      <c r="A158" t="s">
        <v>753</v>
      </c>
      <c r="B158" t="s">
        <v>1466</v>
      </c>
      <c r="C158" t="str">
        <f>Линии[[#This Row],[_авто наименование]]</f>
        <v>Розеточная группа, пом. 001Тб</v>
      </c>
      <c r="D158">
        <v>1</v>
      </c>
      <c r="E158">
        <v>0.06</v>
      </c>
      <c r="G158">
        <v>16</v>
      </c>
      <c r="H158" t="str">
        <f>Линии[[#This Row],[_авто управление]]</f>
        <v/>
      </c>
      <c r="I158" t="str">
        <f>Линии[[#This Row],[_авто аппараты]]</f>
        <v/>
      </c>
      <c r="J158">
        <v>2.5</v>
      </c>
      <c r="K158">
        <v>24</v>
      </c>
      <c r="L158">
        <v>2</v>
      </c>
      <c r="M158" t="str">
        <f>Линии[[#This Row],[_авто клемма]]</f>
        <v>XT4</v>
      </c>
      <c r="N158" t="str">
        <f t="shared" si="276"/>
        <v/>
      </c>
      <c r="O158" s="6" cm="1">
        <f t="array" ref="O158">IF(B158="","",IF(BH158&lt;&gt;"",IFERROR(_xlfn.XLOOKUP(BH158,Щиты[Щит],Щиты[Iр, А]),""),IF(BP158=1,IF(OR(N(_xlfn.XLOOKUP(A158,Щиты[Щит],Щиты[Вводов],1))&lt;=1,LOWER(TRIM(_xlfn.XLOOKUP(A158,Щиты[Щит],Щиты[АВР],"")&amp;""))="да"),IFERROR(_xlfn.XLOOKUP(A158,Щиты[Щит],Щиты[Iр, А]),""),IFERROR(N(BS158)*_xlfn.XLOOKUP(A158,Щиты[Щит],Щиты[Кс итог])/(SQRT(3)*Uн_лин*_xlfn.XLOOKUP(A158,Щиты[Щит],Щиты[cos φ])),"")),IF(BV158=1,IFERROR(BS158*1000/BU158,""),IFERROR(_xlfn.IFS(BX158=1,BS158/((Uн_лин/SQRT(3))*CE158),BX158=3,BS158/(SQRT(3)*Uн_лин*CE158)),"")))))</f>
        <v>0.27348170645824377</v>
      </c>
      <c r="P158" s="7">
        <f>IF(B158="","",IFERROR(IF(VLOOKUP(BC158,Потребители_обозначение,4,FALSE)=1,VLOOKUP(BC158,Потребители_обозначение,3,FALSE)*(MAX(1,N(D158))*2-1)+EI158+VLOOKUP(BE158,Этаж_обозначение,3,FALSE)+VLOOKUP(BE158,Этаж_обозначение,4,FALSE),VLOOKUP(BC158,Потребители_обозначение,3,FALSE)*(MAX(1,N(D158))*2-1)+EI158),EI158))</f>
        <v>27</v>
      </c>
      <c r="Q158" s="6">
        <f t="shared" si="277"/>
        <v>1.6300000000000001</v>
      </c>
      <c r="R158" t="str">
        <f t="shared" si="278"/>
        <v>ВВГнг(А)-LS (3х2,5)</v>
      </c>
      <c r="S158" t="str">
        <f>IF(BM158="","",IF(BN158="вводной узел","узел ","")&amp;"л."&amp;(INT((BM158-1)/Столбцов_на_лист)+1)&amp;" / "&amp;(MOD(BM158-1,Столбцов_на_лист)+1))</f>
        <v>л.1 / 11</v>
      </c>
      <c r="T158" s="119">
        <f t="shared" si="279"/>
        <v>0.4</v>
      </c>
      <c r="U158" s="7" t="str">
        <f>IF(OR(CG158=0,N(BV158)+N(IB158)=0),"",ROUNDUP(Запас_БП*(N(HY158)+N(HZ158)),0))</f>
        <v/>
      </c>
      <c r="V158" s="119" t="str">
        <f t="shared" si="280"/>
        <v/>
      </c>
      <c r="W158" s="7" t="str">
        <f>IFERROR(IF(OR(B158="",BP158=1,BV158=1,NOT(ISNUMBER(EN158)),N(DT158)=0),"",MAX(0,ROUNDDOWN((c_min*(Uн_лин*1000/SQRT(3))/(HT158*N(DT158))-_xlfn.XLOOKUP(A158,Щиты[Щит],Щиты[Zпетли на шинах, Ом]))*EN158/(2*ρкз_Cu),0))),"")</f>
        <v/>
      </c>
      <c r="Y158">
        <f>Линии[[#This Row],[_авто утечка]]</f>
        <v>30</v>
      </c>
      <c r="Z158">
        <v>1</v>
      </c>
      <c r="AA158">
        <v>230</v>
      </c>
      <c r="AB158" t="s">
        <v>562</v>
      </c>
      <c r="AG158" t="s">
        <v>810</v>
      </c>
      <c r="AI158" t="s">
        <v>561</v>
      </c>
      <c r="AK158" t="str">
        <f>Линии[[#This Row],[_авто модуль]]</f>
        <v/>
      </c>
      <c r="AM158">
        <v>11</v>
      </c>
      <c r="AN158" t="s">
        <v>11</v>
      </c>
      <c r="AO158">
        <v>3</v>
      </c>
      <c r="AQ158">
        <v>0</v>
      </c>
      <c r="AR158">
        <v>0</v>
      </c>
      <c r="AS158">
        <v>27</v>
      </c>
      <c r="BA158" cm="1">
        <f t="array" ref="BA158">ROW()-ROW(Линии[#Headers])</f>
        <v>156</v>
      </c>
      <c r="BC158" s="6" t="str">
        <f t="shared" si="281"/>
        <v>R</v>
      </c>
      <c r="BD158" t="str">
        <f t="shared" si="282"/>
        <v>00.001Тб.1</v>
      </c>
      <c r="BE158" t="str">
        <f t="shared" si="283"/>
        <v>00</v>
      </c>
      <c r="BF158" t="str">
        <f t="shared" si="284"/>
        <v>001Тб.1</v>
      </c>
      <c r="BG158" t="str">
        <f t="shared" si="285"/>
        <v>001Тб</v>
      </c>
      <c r="BH158" t="str">
        <f>IF(X158&lt;&gt;"",X158,IF(AND(B158&lt;&gt;"",B158&lt;&gt;A158,ISNUMBER(_xlfn.XMATCH(B158,Щиты[Щит]))),B158,""))</f>
        <v/>
      </c>
      <c r="BI158" t="str" cm="1">
        <f t="array" ref="BI158">IF(B158="","",IF(BH158&lt;&gt;"","Щит "&amp;BH158,_xlfn.LET(_xlpm.nm,IFERROR(_xlfn.XLOOKUP(BC158,Коды_код,Коды_имя)&amp;"",""),_xlpm.md,IFERROR(N(_xlfn.XLOOKUP(BC158,Коды_код,Коды_режим)),1),_xlpm.ex,IF(Имя_режим="по экспликации",IFERROR(_xlfn.XLOOKUP(BE158&amp;"|"&amp;BG158,Экспликация[Этаж]&amp;"|"&amp;Экспликация[Помещение],Экспликация[Название])&amp;"",""),""),_xlpm.rm,IF(BG158="","",IF(_xlpm.ex&lt;&gt;"",". "&amp;_xlpm.ex&amp;IF(Имя_пом="нет"," ("&amp;BG158&amp;")"," (пом. "&amp;BG158&amp;")"),IF(Имя_пом="нет"," ",", пом. ")&amp;BG158)),IF(_xlpm.nm="","",IF(_xlpm.md=2,_xlpm.nm&amp;" шлейф "&amp;BE158,_xlpm.nm&amp;_xlpm.rm)))))</f>
        <v>Розеточная группа, пом. 001Тб</v>
      </c>
      <c r="BJ158" t="str">
        <f t="shared" si="286"/>
        <v>Розеточная группа, пом. 001Тб</v>
      </c>
      <c r="BK158">
        <f>IFERROR(_xlfn.XMATCH(A158,Щиты[Щит]),0)</f>
        <v>8</v>
      </c>
      <c r="BL158">
        <f>_xlfn.LET(_xlpm.k,IFERROR(_xlfn.XLOOKUP(A158,Щиты[Щит],Щиты[Мест под вводной узел]),""),IF(_xlpm.k="",Столбцов_на_лист,N(_xlpm.k)))</f>
        <v>7</v>
      </c>
      <c r="BM158">
        <f t="shared" si="287"/>
        <v>11</v>
      </c>
      <c r="BN158" t="str">
        <f t="shared" si="288"/>
        <v>линии</v>
      </c>
      <c r="BO158" s="6">
        <f>IFERROR(N(_xlfn.XLOOKUP(BC158,Коды_код,Коды_квт)),0)</f>
        <v>0</v>
      </c>
      <c r="BP158">
        <f t="shared" si="289"/>
        <v>0</v>
      </c>
      <c r="BQ158" t="str">
        <f>IF(B158="","",IF(BH158&lt;&gt;"",IFERROR(_xlfn.XLOOKUP(BH158,Щиты[Щит],Щиты[Руст, кВт]),0),IF(BP158=1,IF(OR(N(_xlfn.XLOOKUP(A158,Щиты[Щит],Щиты[Вводов],1))&lt;=1,LOWER(TRIM(_xlfn.XLOOKUP(A158,Щиты[Щит],Щиты[АВР],"")&amp;""))="да"),IFERROR(_xlfn.XLOOKUP(A158,Щиты[Щит],Щиты[Руст, кВт]),0),SUMIFS(Линии[_Р для вводов],Линии[Щит],A158,Линии[Источник для режимов],GF158)),IF(BO158&gt;0,ROUND(BO158*MAX(1,N(D158)),3),""))))</f>
        <v/>
      </c>
      <c r="BR158">
        <f t="shared" si="290"/>
        <v>0.06</v>
      </c>
      <c r="BS158" s="6">
        <f>IF(B158="","",IF(BH158&lt;&gt;"",IFERROR(_xlfn.XLOOKUP(BH158,Щиты[Щит],Щиты[Руст, кВт]),0),N(BR158)))</f>
        <v>0.06</v>
      </c>
      <c r="BT158" t="str">
        <f>IF(B158="","",IFERROR(IF(VLOOKUP(BC158,Потребители_обозначение,8,FALSE)=0,"",VLOOKUP(BC158,Потребители_обозначение,8,FALSE)),""))</f>
        <v/>
      </c>
      <c r="BU158">
        <f t="shared" si="291"/>
        <v>230</v>
      </c>
      <c r="BV158">
        <f t="shared" si="292"/>
        <v>0</v>
      </c>
      <c r="BW158">
        <f>IF(B158="","",IF(BH158&lt;&gt;"",3,IFERROR(IF(N(VLOOKUP(BC158,Потребители_обозначение,9,FALSE))=0,1,VLOOKUP(BC158,Потребители_обозначение,9,FALSE)),1)))</f>
        <v>1</v>
      </c>
      <c r="BX158">
        <f t="shared" si="293"/>
        <v>1</v>
      </c>
      <c r="BY158" t="str">
        <f>IF(B158="","",_xlfn.LET(_xlpm.bc,IFERROR(IF(VLOOKUP(BC158,Потребители_обозначение,6,FALSE)=0,"",VLOOKUP(BC158,Потребители_обозначение,6,FALSE)&amp;""),""),IF(AND(GA158="да",OR(_xlpm.bc="",_xlpm.bc="мс")),Марка_пож,IF(AND(_xlpm.bc="",BH158&lt;&gt;""),"мс",_xlpm.bc))))</f>
        <v/>
      </c>
      <c r="BZ158" t="str">
        <f t="shared" si="294"/>
        <v>мс</v>
      </c>
      <c r="CA158">
        <f>IF(B158="","",_xlfn.LET(_xlpm.cc,IFERROR(N(VLOOKUP(BC158,Потребители_обозначение,7,FALSE)),0),IF(_xlpm.cc&gt;0,_xlpm.cc,IF(BZ158="","",IF(BV158=1,2,IF(N(BX158)=3,5,3))))))</f>
        <v>3</v>
      </c>
      <c r="CB158">
        <f t="shared" si="295"/>
        <v>3</v>
      </c>
      <c r="CC158">
        <f>IFERROR(N(VLOOKUP(BC158,Потребители_обозначение,10,FALSE)),0)</f>
        <v>0</v>
      </c>
      <c r="CD158">
        <f>IFERROR(VLOOKUP(BC158,Потребители_обозначение,5,FALSE),0)</f>
        <v>1</v>
      </c>
      <c r="CE158" s="6" cm="1">
        <f t="array" ref="CE158">IF(B158="","",IF(BH158&lt;&gt;"",IFERROR(_xlfn.XLOOKUP(BH158,Щиты[Щит],Щиты[cos φ]),0.95),IF(BP158=1,IFERROR(_xlfn.XLOOKUP(A158,Щиты[Щит],Щиты[cos φ]),0.95),IF(ISNUMBER(AD158),AD158,IFERROR(IF(CD158=2,_xlfn.IFS(BX158=3,VLOOKUP(BS158,Справочная_двигатели,8,FALSE),BX158=1,VLOOKUP(BS158,Справочная_двигатели,10,TRUE)),IF(AND(Методика="нормы 2026",FG158="Сил"),0.8,0.95)),0.95)))))</f>
        <v>0.95</v>
      </c>
      <c r="CF158">
        <f t="shared" si="296"/>
        <v>0</v>
      </c>
      <c r="CG158">
        <f t="shared" si="297"/>
        <v>1</v>
      </c>
      <c r="CH158">
        <f t="shared" si="298"/>
        <v>0</v>
      </c>
      <c r="CI158">
        <f>IF(B158="","",IF(BV158=1,IFERROR(BS158/((Uн_лин/SQRT(3))*MAX(0.5,N(CE158))),0),N(O158)))</f>
        <v>0.27348170645824377</v>
      </c>
      <c r="CJ158">
        <f t="shared" si="299"/>
        <v>0</v>
      </c>
      <c r="CK158">
        <f t="shared" si="300"/>
        <v>0</v>
      </c>
      <c r="CL158">
        <f t="shared" si="301"/>
        <v>0</v>
      </c>
      <c r="CM158">
        <f t="shared" si="302"/>
        <v>0</v>
      </c>
      <c r="CN158">
        <f t="shared" si="303"/>
        <v>0</v>
      </c>
      <c r="CO158">
        <f>IF(BC158="",0,_xlfn.LET(_xlpm.v,IFERROR(_xlfn.XLOOKUP(B158,Коды_код,Коды_мА),IFERROR(_xlfn.XLOOKUP(BC158,Коды_код,Коды_мА),IFERROR(_xlfn.XLOOKUP(LEFT(BC158,2),Коды_код,Коды_мА),""))),IF(_xlpm.v="да",30,IF(ISNUMBER(_xlpm.v),_xlpm.v,0))))</f>
        <v>30</v>
      </c>
      <c r="CP158">
        <f t="shared" si="304"/>
        <v>30</v>
      </c>
      <c r="CQ158" t="str">
        <f>_xlfn.LET(_xlpm.k,IFERROR(_xlfn.XLOOKUP(BC158,Коды_код,Коды_утечка)&amp;"",""),IF(_xlpm.k="","дифавтомат",_xlpm.k))</f>
        <v>дифавтомат</v>
      </c>
      <c r="CR158" t="str" cm="1">
        <f t="array" ref="CR158">IF(CG158=0,"",_xlfn.LET(_xlpm.sg,TRIM(_xlfn.TEXTSPLIT(DD158&amp;"",";")),_xlpm.f_,_xlfn._xlws.FILTER(_xlpm.sg,LEFT(_xlpm.sg,3)="УЗО",""),IFERROR(INDEX(_xlpm.f_,1)&amp;"","")))</f>
        <v/>
      </c>
      <c r="CS158" t="str">
        <f t="shared" si="305"/>
        <v/>
      </c>
      <c r="CT158" s="6" t="str" cm="1">
        <f t="array" ref="CT158">IF(CR158="","",_xlfn.LET(_xlpm.tk,_xlfn.TEXTSPLIT(UPPER(CR158)," ",,TRUE),_xlpm.a_,_xlfn._xlws.FILTER(_xlpm.tk,ISNUMBER(--LEFT(_xlpm.tk,1))*((ISNUMBER(SEARCH("А",_xlpm.tk))+ISNUMBER(SEARCH("A",_xlpm.tk)))&gt;0)*NOT(ISNUMBER(SEARCH("МА",_xlpm.tk)))*NOT(ISNUMBER(SEARCH("MA",_xlpm.tk))),""),IFERROR(--SUBSTITUTE(SUBSTITUTE(INDEX(_xlpm.a_,1),"А",""),"A",""),"")))</f>
        <v/>
      </c>
      <c r="CU158" t="str" cm="1">
        <f t="array" ref="CU158">IF(CR158="","",_xlfn.LET(_xlpm.tk,_xlfn.TEXTSPLIT(UPPER(CR158)," ",,TRUE),_xlpm.a_,_xlfn._xlws.FILTER(_xlpm.tk,ISNUMBER(--LEFT(_xlpm.tk,1))*((ISNUMBER(SEARCH("МА",_xlpm.tk))+ISNUMBER(SEARCH("MA",_xlpm.tk)))&gt;0),""),IFERROR(--SUBSTITUTE(SUBSTITUTE(INDEX(_xlpm.a_,1),"МА",""),"MA",""),30)))</f>
        <v/>
      </c>
      <c r="CV158" t="str">
        <f>IF(CS158="","",IFERROR(_xlfn.XLOOKUP(CS158,Линии[_n],Линии[_УЗО, мА]),30))</f>
        <v/>
      </c>
      <c r="CW158">
        <f>IF(CS158="",0,IF(ISNUMBER(SEARCH("4P",IFERROR(_xlfn.XLOOKUP(CS158,Линии[_n],Линии[_УЗО строки])&amp;"",""))),0,1))</f>
        <v>0</v>
      </c>
      <c r="CX158" t="str">
        <f>IF(AND(CS158&lt;&gt;"",CS158=BA158),SUMIFS(Линии[_ток на 230 В],Линии[_блок УЗО],BA158,Линии[Щит],A158),"")</f>
        <v/>
      </c>
      <c r="CY158" t="str">
        <f>IF(AND(CS158&lt;&gt;"",CS158=BA158),SUMIFS(Линии[_ток утечки линии, мА],Линии[_блок УЗО],BA158,Линии[Щит],A158),"")</f>
        <v/>
      </c>
      <c r="CZ158">
        <f t="shared" si="306"/>
        <v>30</v>
      </c>
      <c r="DA158">
        <f t="shared" si="307"/>
        <v>30</v>
      </c>
      <c r="DB158">
        <f>IF(B158="",0,IFERROR(--_xlfn.XLOOKUP(B158,Коды_код,Коды_минавт),IFERROR(--_xlfn.XLOOKUP(BC158,Коды_код,Коды_минавт),IFERROR(--_xlfn.XLOOKUP(LEFT(BC158,2),Коды_код,Коды_минавт),0))))</f>
        <v>16</v>
      </c>
      <c r="DC158" t="str">
        <f>IF(B158="","",IFERROR(_xlfn.XLOOKUP(BC158,Коды_код,Коды_апп)&amp;"",""))</f>
        <v/>
      </c>
      <c r="DD158" t="str">
        <f t="shared" si="308"/>
        <v/>
      </c>
      <c r="DE158" t="str" cm="1">
        <f t="array" ref="DE158">IF(TRIM(DD158&amp;"")="","",IFERROR(TRIM(INDEX(_xlfn.TEXTSPLIT(DD158&amp;";;;",";"),1)),""))</f>
        <v/>
      </c>
      <c r="DF158" t="str" cm="1">
        <f t="array" ref="DF158">IF(TRIM(DD158&amp;"")="","",IFERROR(TRIM(INDEX(_xlfn.TEXTSPLIT(DD158&amp;";;;",";"),2)),""))</f>
        <v/>
      </c>
      <c r="DG158" t="str" cm="1">
        <f t="array" ref="DG158">IF(TRIM(DD158&amp;"")="","",IFERROR(TRIM(INDEX(_xlfn.TEXTSPLIT(DD158&amp;";;;",";"),3)),""))</f>
        <v/>
      </c>
      <c r="DH158">
        <f t="shared" si="309"/>
        <v>0</v>
      </c>
      <c r="DI158" t="str">
        <f>IF(B158="","",_xlfn.LET(_xlpm.t,LOWER(AZ158&amp;""),IF(ISNUMBER(SEARCH("dim",_xlpm.t)),"DIM",IF(ISNUMBER(SEARCH("dali",_xlpm.t)),"DALI",IF(OR(ISNUMBER(SEARCH("relay",_xlpm.t)),ISNUMBER(SEARCH("реле",_xlpm.t))),"Relay",IF(ISNUMBER(SEARCH("кнопк",_xlpm.t)),"",IFERROR(_xlfn.XLOOKUP(BC158,Коды_код,Коды_упр)&amp;"","")))))))</f>
        <v/>
      </c>
      <c r="DJ158" t="str">
        <f t="shared" si="310"/>
        <v/>
      </c>
      <c r="DK158">
        <f>IF(B158="","",_xlfn.LET(_xlpm.ig,IF(N(CX158)&gt;0,N(CX158),N(CI158)+IF(AJ158="вручную",0,N(CJ158))),_xlpm.n0,IFERROR(VLOOKUP(_xlpm.ig,Автомат_номиналы,2,TRUE),0),_xlpm.mn,MAX(DB158,IF(AJ158="вручную",0,N(CM158))),MAX(_xlpm.n0,_xlpm.mn,IF(DH158=1,Мин_автомат_БП,0))))</f>
        <v>16</v>
      </c>
      <c r="DL158">
        <f t="shared" si="311"/>
        <v>1</v>
      </c>
      <c r="DM158" t="str">
        <f t="shared" si="312"/>
        <v>2P</v>
      </c>
      <c r="DN158" t="str">
        <f>_xlfn.LET(_xlpm.cc,UPPER(TRIM(IFERROR(_xlfn.XLOOKUP(BC158,Коды_код,Коды_хар)&amp;"",""))),IF(OR(_xlpm.cc="B",_xlpm.cc="В"),"B",IF(_xlpm.cc="D","D","С")))</f>
        <v>С</v>
      </c>
      <c r="DO158" t="str">
        <f t="shared" si="313"/>
        <v>2P С16А 30мА</v>
      </c>
      <c r="DP158">
        <f t="shared" si="314"/>
        <v>16</v>
      </c>
      <c r="DQ158" t="str">
        <f t="shared" si="315"/>
        <v>2P С16А 30мА</v>
      </c>
      <c r="DR158" cm="1">
        <f t="array" ref="DR158">IF(DQ158="","",_xlfn.LET(_xlpm.t,SUBSTITUTE(SUBSTITUTE(SUBSTITUTE(UPPER(DQ158),"С","C"),"А","A"),"В","B"),_xlpm.tk,_xlfn.TEXTSPLIT(_xlpm.t," "),_xlpm.f,_xlfn._xlws.FILTER(_xlpm.tk,ISNUMBER(--MID(_xlpm.tk,2,1))*ISNUMBER(SEARCH(LEFT(_xlpm.tk,1)&amp;"#","B#C#D#"))*(LEN(_xlpm.tk)&gt;1),""),_xlpm.x,INDEX(_xlpm.f,1),IFERROR(--SUBSTITUTE(MID(_xlpm.x,2,9),"A",""),IFERROR(--SUBSTITUTE(INDEX(_xlfn._xlws.FILTER(_xlpm.tk,ISNUMBER(--SUBSTITUTE(_xlpm.tk,"A","")),""),1),"A",""),""))))</f>
        <v>16</v>
      </c>
      <c r="DS158" t="str">
        <f t="shared" si="316"/>
        <v>ok</v>
      </c>
      <c r="DT158">
        <f t="shared" si="317"/>
        <v>16</v>
      </c>
      <c r="DU158" t="str">
        <f t="shared" si="318"/>
        <v>2P С16А 30мА</v>
      </c>
      <c r="DV158">
        <f t="shared" si="319"/>
        <v>30</v>
      </c>
      <c r="DW158">
        <f t="shared" si="320"/>
        <v>1</v>
      </c>
      <c r="DX158">
        <f t="shared" si="321"/>
        <v>0</v>
      </c>
      <c r="DY158">
        <f t="shared" si="322"/>
        <v>0.27348170645824377</v>
      </c>
      <c r="DZ158">
        <f t="shared" si="323"/>
        <v>1</v>
      </c>
      <c r="EA158">
        <f>IF(ISNUMBER(AP158),AP158,К_прокл)</f>
        <v>1</v>
      </c>
      <c r="EB158">
        <f t="shared" si="324"/>
        <v>2</v>
      </c>
      <c r="EC158">
        <f>IFERROR(N(VLOOKUP(BZ158,Кабель_обозначение,3,FALSE)),1)</f>
        <v>1</v>
      </c>
      <c r="ED158">
        <f>IFERROR(N(_xlfn.XLOOKUP(A158,Щиты[Щит],Щиты[ΔU до шин, %])),0)</f>
        <v>1.57</v>
      </c>
      <c r="EE158" t="str">
        <f>IFERROR(_xlfn.XLOOKUP(A158,Щиты[Щит],Щиты[Zпетли на шинах, Ом]),"")</f>
        <v/>
      </c>
      <c r="EF158">
        <f>IFERROR(N(_xlfn.XLOOKUP(A158,Щиты[Щит],Щиты[ΔU до шин (подбор), %])),0)</f>
        <v>2.5</v>
      </c>
      <c r="EG158" t="str">
        <f>IFERROR(_xlfn.XLOOKUP(A158,Щиты[Щит],Щиты[Zпетли на шинах (подбор), Ом]),"")</f>
        <v/>
      </c>
      <c r="EH158" t="str">
        <f t="shared" si="325"/>
        <v/>
      </c>
      <c r="EI158">
        <f t="shared" si="326"/>
        <v>24</v>
      </c>
      <c r="EJ158">
        <f t="shared" si="327"/>
        <v>2</v>
      </c>
      <c r="EK158">
        <f t="shared" si="328"/>
        <v>0.31</v>
      </c>
      <c r="EL158" s="6">
        <f>IF(B158="","",IF(BV158=1,dU_LED,IF(IFERROR(_xlfn.XLOOKUP(BC158,Коды_код,Коды_уго),"")="Светильник",3,4)+IF(Методика="нормы 2026",MIN(0.5,MAX(0,N(P158)-100)*0.005),0)))</f>
        <v>4</v>
      </c>
      <c r="EM158" cm="1">
        <f t="array" ref="EM158">IF(OR(B158="",BZ158="",EC158&lt;&gt;1),"",_xlfn.LET(_xlpm.sz,Iдоп_S,_xlpm.t_,CHOOSE(EB158,Iдоп_1ж,Iдоп_2ж,Iдоп_3ж)*DZ158*EA158,_xlpm.dcx,BV158=1,_xlpm.inn,IF(_xlpm.dcx,N(O158),N(DT158)),_xlpm.smin,MAX(1.5,CC158),_xlpm.L_,N(P158)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158)/N(BU158)*100,999),IFERROR(N(EJ158)*(_xlpm.rho*_xlpm.L_/_xlpm.sz*N(CE158)+_xlpm.xx*_xlpm.L_*N(EK158)/1000)*N(O158)/((Uн_лин/SQRT(3))*1000)*100,999)),_xlpm.kz,IF(OR(_xlpm.dcx,DW158=1,NOT(ISNUMBER(EG158)),_xlpm.L_=0,_xlpm.inn=0),1,IFERROR(--(c_min*(Uн_лин*1000/SQRT(3))/(EG158+2*ρкз_Cu*_xlpm.L_/_xlpm.sz)&gt;=HT158*_xlpm.inn),0)),_xlpm.ok,IFERROR((_xlpm.sz&gt;=_xlpm.smin)*(_xlpm.t_&gt;=_xlpm.inn)*IF(_xlpm.L_&gt;0,(_xlpm.du_+IF(_xlpm.dcx,0,EF158)&lt;=EL158+0.00001),1)*_xlpm.kz,0),_xlpm.r_,_xlfn._xlws.FILTER(_xlpm.sz,_xlpm.ok,"не подобрано"),INDEX(_xlpm.r_,1)))</f>
        <v>1.5</v>
      </c>
      <c r="EN158">
        <f t="shared" si="329"/>
        <v>2.5</v>
      </c>
      <c r="EO158" cm="1">
        <f t="array" ref="EO158">IF(OR(B158="",BZ158="",EC158&lt;&gt;1),"",_xlfn.LET(_xlpm.sz,Iдоп_S,_xlpm.t_,CHOOSE(EB158,Iдоп_1ж,Iдоп_2ж,Iдоп_3ж)*DZ158*EA158,_xlpm.ok,IFERROR((_xlpm.sz&gt;=MAX(1.5,CC158))*(_xlpm.t_&gt;=N(DT158)),0),_xlpm.r_,_xlfn._xlws.FILTER(_xlpm.sz,_xlpm.ok,""),INDEX(_xlpm.r_,1)))</f>
        <v>1.5</v>
      </c>
      <c r="EP158" s="6" cm="1">
        <f t="array" ref="EP158">IFERROR(ROUNDUP(N(EJ158)*(_xlfn.XLOOKUP(EO158,INDEX(Кабель_сопротивление,0,1),INDEX(Кабель_сопротивление,0,3))*N(P158)/EO158*N(CE158)+_xlfn.XLOOKUP(EO158,INDEX(Кабель_сопротивление,0,1),INDEX(Кабель_сопротивление,0,2))*N(P158)*N(EK158)/1000)*N(O158)/((Uн_лин/SQRT(3))*1000)*100,2),"")</f>
        <v>9.9999999999999992E-2</v>
      </c>
      <c r="EQ158">
        <f>IFERROR(2*ρкз_Cu*N(P158)/EO158,"")</f>
        <v>0.94680000000000009</v>
      </c>
      <c r="ER158">
        <f>IFERROR(VLOOKUP(EN158,Кабель_сопротивление,3,FALSE),"")</f>
        <v>2.2499999999999999E-2</v>
      </c>
      <c r="ES158">
        <f>IFERROR(VLOOKUP(EN158,Кабель_сопротивление,2,FALSE),"")</f>
        <v>0.1</v>
      </c>
      <c r="ET158">
        <f t="shared" si="330"/>
        <v>0</v>
      </c>
      <c r="EU158">
        <f t="shared" si="331"/>
        <v>27</v>
      </c>
      <c r="EV158">
        <f t="shared" si="332"/>
        <v>0.12672431224838221</v>
      </c>
      <c r="EW158" s="6">
        <f>IFERROR(ROUNDUP(EV158/IF(BV158=1,BU158,(Uн_лин/SQRT(3))*1000)*100,2),"")</f>
        <v>6.0000000000000005E-2</v>
      </c>
      <c r="EX158" t="str">
        <f>IFERROR(VLOOKUP(BZ158,Кабель_обозначение,2,FALSE),"")</f>
        <v>ВВГнг(А)-LS</v>
      </c>
      <c r="EY158" t="str">
        <f t="shared" si="333"/>
        <v>ВВГнг(А)-LS (3х2,5)</v>
      </c>
      <c r="EZ158" t="str">
        <f t="shared" si="334"/>
        <v>ВВГнг(А)-LS (3х2,5)
L=27-0,06%</v>
      </c>
      <c r="FA158">
        <f>IFERROR(2*ρкз_Cu*P158/EN158,"")</f>
        <v>0.56808000000000003</v>
      </c>
      <c r="FB158">
        <f t="shared" si="335"/>
        <v>0.189</v>
      </c>
      <c r="FC158" s="6" t="str">
        <f>IFERROR(IF(OR(B158="",BV158=1,NOT(ISNUMBER(EN158)),N(P158)=0),"",_xlfn.XLOOKUP(A158,Щиты[Щит],Щиты[Zпетли на шинах, Ом])+FA158),"")</f>
        <v/>
      </c>
      <c r="FD158" s="6" t="str">
        <f>IF(ISNUMBER(FC158),c_min*(Uн_лин*1000/SQRT(3))/FC158,"")</f>
        <v/>
      </c>
      <c r="FE158" s="6" t="str">
        <f>IFERROR(IF(OR(B158="",NOT(ISNUMBER(EN158))),"",1.05*(Uн_лин*1000/SQRT(3))/(_xlfn.XLOOKUP(A158,Щиты[Щит],Щиты[Zmax на шинах, Ом])+FB158)/1000),"")</f>
        <v/>
      </c>
      <c r="FF158" s="6" t="str">
        <f>IF(B158="","",IF(ISNUMBER(AC158),"Сил",IF(IFERROR(_xlfn.XLOOKUP(BC158,Коды_код,Коды_группа)&amp;"","")="","Быт",_xlfn.XLOOKUP(BC158,Коды_код,Коды_группа)&amp;"")))</f>
        <v>Быт</v>
      </c>
      <c r="FG158" s="6" t="str">
        <f t="shared" si="336"/>
        <v>Быт</v>
      </c>
      <c r="FH158" s="6">
        <f>IF(FG158="Щит","щит",IF(FG158="","",IF(FG158="Быт",IFERROR(_xlfn.XLOOKUP(A158,Щиты[Щит],Щиты[Кс быт]),1),IF(FG158="Сил",IF(ISNUMBER(AC158),AC158,IF(Методика="нормы 2026",IFERROR(_xlfn.XLOOKUP(A158,Щиты[Щит],Щиты[Кс силовых (табл. 7.5)]),1),1)),IF(OR(FG158="Пост",FG158="Отоп"),1,IF(FG158="ВНГ",0.7,0))))))</f>
        <v>0.8</v>
      </c>
      <c r="FI158">
        <f>IF(FG158="","",IF(AND(BP158=1,TRIM(AE158&amp;"")=""),IF(COUNTIFS(Линии[Щит],A158,Линии[Секция (1/2/3)],"&gt;=2")&gt;0,MIN(3,MAX(1,IFERROR(--BD158,1))),1),IFERROR(MIN(3,MAX(1,INT(--AE158))),1)))</f>
        <v>1</v>
      </c>
      <c r="FJ158">
        <f t="shared" si="337"/>
        <v>0.06</v>
      </c>
      <c r="FK158">
        <f t="shared" si="338"/>
        <v>0.06</v>
      </c>
      <c r="FL158">
        <f t="shared" si="339"/>
        <v>0</v>
      </c>
      <c r="FM158">
        <f t="shared" si="340"/>
        <v>0</v>
      </c>
      <c r="FN158">
        <f t="shared" si="341"/>
        <v>0</v>
      </c>
      <c r="FO158">
        <f t="shared" si="342"/>
        <v>0</v>
      </c>
      <c r="FP158">
        <f t="shared" si="343"/>
        <v>0.06</v>
      </c>
      <c r="FQ158">
        <f t="shared" si="344"/>
        <v>0.06</v>
      </c>
      <c r="FR158">
        <f t="shared" si="345"/>
        <v>5.6999999999999995E-2</v>
      </c>
      <c r="FS158">
        <f>IF(CG158=1,IF(AND(CH158=1,CW158=1),0,IF(AND(CS158&lt;&gt;"",CS158=BA158,CW158=1),SUMIFS(Линии[_Р линии, кВт],Линии[_блок УЗО],BA158,Линии[Щит],A158),N(BS158)+IF(AJ158="вручную",0,N(CK158)))),0)</f>
        <v>0.06</v>
      </c>
      <c r="FT158" t="str">
        <f t="shared" si="346"/>
        <v>L2</v>
      </c>
      <c r="FU158" t="str">
        <f>IF(B158="","",IF(CG158=0,IF(BA158=1,"",FW157),IF(AND(CH158=1,CW158=1,CS158&lt;&gt;""),IFERROR(_xlfn.XLOOKUP(CS158,Линии[_n],Линии[_фаза итог]),"L1"),IF(OR(N(DL158)&gt;=3,N(BX158)&gt;=3),"L1,L2,L3",IFERROR(_xlfn.TEXTBEFORE(_xlfn.TEXTAFTER(_xlfn.XLOOKUP(A158,Щиты[Щит],Щиты[_фазы авто]),";"&amp;BA158&amp;":"),";"),"L1")))))</f>
        <v>L1</v>
      </c>
      <c r="FV158" t="str">
        <f t="shared" si="347"/>
        <v>L2</v>
      </c>
      <c r="FW158" t="str">
        <f t="shared" si="348"/>
        <v>L2</v>
      </c>
      <c r="FX158" cm="1">
        <f t="array" ref="FX158">IFERROR(IF(CD158=2,_xlfn.IFS(BX158=3,VLOOKUP(BS158,Справочная_двигатели,3,FALSE),BX158=1,VLOOKUP(BS158,Справочная_двигатели,5,TRUE)),0),0)</f>
        <v>0</v>
      </c>
      <c r="FY158">
        <f>IFERROR(IF(CD158=3,VLOOKUP(BS158,Справочная_ЛЭД,2,TRUE),0),0)</f>
        <v>0</v>
      </c>
      <c r="FZ158" s="6">
        <f t="shared" si="349"/>
        <v>0</v>
      </c>
      <c r="GA158" t="str">
        <f>IF(B158="","",IF(TRIM(AH158&amp;"")&lt;&gt;"",IF(LOWER(TRIM(AH158&amp;""))="да","да","нет"),IF(IFERROR(_xlfn.XLOOKUP(BC158,Коды_код,Коды_пожарная),"")="да","да","нет")))</f>
        <v>нет</v>
      </c>
      <c r="GB158" t="str">
        <f t="shared" si="350"/>
        <v/>
      </c>
      <c r="GC158" t="str">
        <f t="shared" si="351"/>
        <v>основная</v>
      </c>
      <c r="GD158">
        <f>IF(AND(BP158=1,TRIM(AE158&amp;"")=""),IF(COUNTIFS(Линии[Щит],A158,Линии[Секция (1/2/3)],"&gt;=2")&gt;0,MIN(3,MAX(1,IFERROR(--BD158,1))),1),IFERROR(MIN(3,MAX(1,INT(--AE158))),1))</f>
        <v>1</v>
      </c>
      <c r="GE158" t="str" cm="1">
        <f t="array" ref="GE158">IF(B158="","",_xlfn.LET(_xlpm.t,IFERROR(_xlfn.XLOOKUP(1,(Шины[Шина]=GC158)*(((Шины[Щит]=A158)+(Шины[Щит]=""))&gt;0),Шины[Тип]),"")&amp;"",IF(_xlpm.t&lt;&gt;"",_xlpm.t,IF(ISNUMBER(SEARCH("ИБП",GC158)),"ИБП",IF(ISNUMBER(SEARCH("ДГУ",GC158)),"ДГУ","Ввод "&amp;GD158)))))</f>
        <v>Ввод 1</v>
      </c>
      <c r="GF158" t="str">
        <f t="shared" si="352"/>
        <v>Ввод 1</v>
      </c>
      <c r="GG158" t="str">
        <f>IF(BP158=0,"",IF(TRIM(AG158&amp;"")&lt;&gt;"",TRIM(AG158&amp;""),IF(OR(GE158="ИБП",GE158="ДГУ"),"I особая",_xlfn.XLOOKUP(A158,Щиты[Щит],Щиты[Категория шины «Ввод»],"III"))))</f>
        <v/>
      </c>
      <c r="GH158" t="str">
        <f>IF(A158="","",_xlfn.XLOOKUP(A158,Щиты[Щит],Щиты[Путь],""))</f>
        <v>|ГРЩ-ЖД|ЩР-001|</v>
      </c>
      <c r="GI158" t="str">
        <f>IF(B158="","",IF(AI158&lt;&gt;"",AI158,IF(IFERROR(_xlfn.XLOOKUP(BC158,Коды_код,Коды_вид)&amp;"","")="","Прочее",_xlfn.XLOOKUP(BC158,Коды_код,Коды_вид)&amp;"")))</f>
        <v>Розеточная сеть и бытовые приборы</v>
      </c>
      <c r="GJ158">
        <f>IF(BM158="","",INT((BM158-1)/Столбцов_на_лист)+1)</f>
        <v>1</v>
      </c>
      <c r="GK158" t="str">
        <f t="shared" si="353"/>
        <v>ВВГнг(А)-LS (3х2,5) L=27-0,06%</v>
      </c>
      <c r="GL158">
        <f t="shared" si="354"/>
        <v>0.06</v>
      </c>
      <c r="GM158">
        <f t="shared" si="355"/>
        <v>0.28000000000000003</v>
      </c>
      <c r="GN158">
        <f t="shared" si="356"/>
        <v>1</v>
      </c>
      <c r="GO158">
        <f t="shared" si="357"/>
        <v>0</v>
      </c>
      <c r="GP158">
        <f t="shared" si="358"/>
        <v>1</v>
      </c>
      <c r="GQ158">
        <f>IF(BM158="","",IF(AND(CG158=1,GP158=1),COUNTIFS(A$3:A158,A158,CG$3:CG158,1,GP$3:GP158,1),IF(OR(OR(BA158=1,A158&lt;&gt;A157),AJ158="вручную",GP158=0),"",IF(BA158=1,"",GR157))))</f>
        <v>4</v>
      </c>
      <c r="GR158">
        <f t="shared" si="359"/>
        <v>4</v>
      </c>
      <c r="GS158">
        <f>IF(B158="","",IFERROR(LOOKUP(INDEX(CHOOSE(EB158,Iдоп_1ж,Iдоп_2ж,Iдоп_3ж),MATCH(EN158,Iдоп_S,0))*DZ158*EA158,{6,10,16,20,25,32,40,50,63,80,100,125,160,200,250,315,400,500,630}),""))</f>
        <v>25</v>
      </c>
      <c r="GT158" t="str">
        <f t="shared" si="360"/>
        <v>QFD4</v>
      </c>
      <c r="GU158" t="str">
        <f t="shared" si="361"/>
        <v>QFD4</v>
      </c>
      <c r="GV158" t="str">
        <f t="shared" si="362"/>
        <v/>
      </c>
      <c r="GW158">
        <f t="shared" si="363"/>
        <v>0</v>
      </c>
      <c r="GX158" t="str">
        <f>IF(OR(B158="",DJ158=""),"",IFERROR(_xlfn.XLOOKUP(DJ158,Модули_умолч[Управление],Модули_умолч[Модель])&amp;"",""))</f>
        <v/>
      </c>
      <c r="GY158">
        <f>IF(DJ158="",1,IFERROR(MAX(0,N(_xlfn.XLOOKUP(DJ158,Модули_умолч[Управление],Модули_умолч[Каналов на линию]))),1))</f>
        <v>1</v>
      </c>
      <c r="GZ158" t="str">
        <f t="shared" si="364"/>
        <v/>
      </c>
      <c r="HA158" t="str">
        <f t="shared" si="365"/>
        <v/>
      </c>
      <c r="HB158" t="str">
        <f t="shared" si="366"/>
        <v/>
      </c>
      <c r="HC158">
        <f>IF(HB158="",0,IFERROR(N(VLOOKUP(HB158,Модули_спр,3,FALSE)),0))</f>
        <v>0</v>
      </c>
      <c r="HD158" t="str">
        <f t="shared" si="367"/>
        <v/>
      </c>
      <c r="HE158" t="str">
        <f t="shared" si="368"/>
        <v/>
      </c>
      <c r="HF158" t="str">
        <f>IF(OR(HE158="",HE158="-"),"",IFERROR(VLOOKUP(HE158,Модули_спр,2,FALSE),"R"))</f>
        <v/>
      </c>
      <c r="HG158" t="str">
        <f>IF(HF158="","",HF158&amp;"."&amp;COUNTIFS(A$3:A158,A158,HF$3:HF158,HF158))</f>
        <v/>
      </c>
      <c r="HH158" t="str">
        <f t="shared" si="369"/>
        <v/>
      </c>
      <c r="HI158" t="str">
        <f t="shared" si="370"/>
        <v/>
      </c>
      <c r="HJ158" t="str">
        <f t="shared" si="371"/>
        <v/>
      </c>
      <c r="HK158" t="str">
        <f t="shared" si="372"/>
        <v/>
      </c>
      <c r="HL158">
        <f t="shared" si="373"/>
        <v>1</v>
      </c>
      <c r="HM158" t="str">
        <f>IF(HL158=1,"XT"&amp;COUNTIFS(A$3:A158,A158,HL$3:HL158,1),"")</f>
        <v>XT4</v>
      </c>
      <c r="HN158" t="str">
        <f t="shared" si="374"/>
        <v>XT4</v>
      </c>
      <c r="HO158" t="str">
        <f t="shared" si="375"/>
        <v>QFD4</v>
      </c>
      <c r="HP158" t="str">
        <f t="shared" si="376"/>
        <v/>
      </c>
      <c r="HQ158" t="str">
        <f t="shared" si="377"/>
        <v>ok</v>
      </c>
      <c r="HR158" t="str">
        <f>IF(OR(HJ158="",HH158=""),"",IF(HJ158+MAX(0,GY158-1)&gt;IFERROR(VLOOKUP(HI158,Модули_спр,3,FALSE),99),"ЛИШНИЙ КАНАЛ",IF(AND(AL158&lt;&gt;"=",GY158&gt;0,COUNTIFS(Линии[_модуль гр.],HH158,Линии[Канал (итог)],HJ158,Линии[Канал],"&lt;&gt;=",Линии[Щит],A158)&gt;1),"ДУБЛЬ КАНАЛА","")))</f>
        <v/>
      </c>
      <c r="HS158" s="6" t="str">
        <f t="shared" si="378"/>
        <v/>
      </c>
      <c r="HT158">
        <f t="shared" si="379"/>
        <v>10</v>
      </c>
      <c r="HU158" t="str">
        <f t="shared" si="380"/>
        <v/>
      </c>
      <c r="HV158">
        <f t="shared" si="381"/>
        <v>0.3793926825832975</v>
      </c>
      <c r="HW158">
        <f t="shared" si="382"/>
        <v>0</v>
      </c>
      <c r="HX158">
        <f t="shared" si="383"/>
        <v>0</v>
      </c>
      <c r="HY158">
        <f t="shared" si="384"/>
        <v>0</v>
      </c>
      <c r="HZ158">
        <f t="shared" si="385"/>
        <v>0</v>
      </c>
      <c r="IA158">
        <f t="shared" si="386"/>
        <v>0</v>
      </c>
      <c r="IB158">
        <f t="shared" si="387"/>
        <v>0</v>
      </c>
      <c r="IC158" t="str">
        <f t="shared" si="388"/>
        <v/>
      </c>
      <c r="ID158" t="str" cm="1">
        <f t="array" ref="ID158">IF(IC158="","",_xlfn.LET(_xlpm.tk,_xlfn.TEXTSPLIT(SUBSTITUTE(SUBSTITUTE(IC158,";"," "),"→"," ")," ",,TRUE),_xlpm.w_,_xlfn._xlws.FILTER(_xlpm.tk,ISNUMBER(--LEFT(_xlpm.tk,1))*((ISNUMBER(SEARCH("W",_xlpm.tk))+ISNUMBER(SEARCH("Вт",_xlpm.tk)))&gt;0),""),IFERROR(--SUBSTITUTE(SUBSTITUTE(UPPER(INDEX(_xlpm.w_,1)),"W",""),"ВТ",""),"")))</f>
        <v/>
      </c>
      <c r="IE158" t="str" cm="1">
        <f t="array" ref="IE158">IF(IC158="","",_xlfn.LET(_xlpm.tk,_xlfn.TEXTSPLIT(SUBSTITUTE(SUBSTITUTE(IC158,";"," "),"→"," ")," ",,TRUE),_xlpm.v_,_xlfn._xlws.FILTER(_xlpm.tk,ISNUMBER(--LEFT(_xlpm.tk,1))*((ISNUMBER(SEARCH("V",_xlpm.tk))+(RIGHT(UPPER(_xlpm.tk))="В"))&gt;0),""),IFERROR(--SUBSTITUTE(SUBSTITUTE(UPPER(INDEX(_xlpm.v_,1)),"V",""),"В",""),"")))</f>
        <v/>
      </c>
      <c r="IF158" s="6" t="str">
        <f>IF(OR(BV158=0,HI158="",HJ158=""),"",IFERROR(N(_xlfn.XLOOKUP(HI158,Каталог!$C$4:$C$500,Каталог!$Q$4:$Q$500)),""))</f>
        <v/>
      </c>
      <c r="IG158" s="6" t="str">
        <f>IF(N(IF158)=0,"",SUMIFS(Линии[Iр, А],Линии[Щит],A158,Линии[_модуль гр.],HH158,Линии[Канал (итог)],HJ158))</f>
        <v/>
      </c>
      <c r="IH158" t="str">
        <f>IF(AND(B158="",HO158=""),"",_xlfn.TEXTJOIN("; ",TRUE,IF(AND(B158&lt;&gt;"",FV158=""),"нет фазы",""),IF(AND(B158&lt;&gt;"",N(GL158)=0,FG158&lt;&gt;"Нет"),"нет мощности",""),IF(AND(HN158&lt;&gt;"",COUNTIFS(Линии[Щит],A158,Линии[Клемма (итог)],HN158)&gt;1),"дубль клеммы "&amp;HN158,""),IF(AND(HQ158&lt;&gt;"",HQ158&lt;&gt;"ok"),HQ158,""),IF(HR158&lt;&gt;"",HR158,""),IF(AND(N(CB158)&gt;=4,N(BX158)=1),CB158&amp;" жил на 1 фазе",""),IF(AND(BC158="R",CG158=1,IF(CS158&lt;&gt;"",N(CV158)&gt;30,OR(N(DA158)=0,N(DA158)&gt;30))),"розетка без дифзащиты до 30 мА",""),IF(AND(CG158=1,N(DA158)&gt;0,ISNUMBER(T158)),IF(T158&gt;N(DA158)/3,"ток утечки "&amp;FIXED(T158,1)&amp;" мА &gt; 1/3 уставки ("&amp;DA158&amp;" мА)",""),""),IF(AND(CH158=1,CS158=""),"«узо»: нет строки с УЗО выше (УЗО 2P 40А 30мА в «Аппаратах»)",""),IF(AND(CS158&lt;&gt;"",CS158=BA158),IF(CT158="","впишите номинал УЗО (УЗО 2P 40А 30мА)",IF(N(CT158)&lt;N(DT158),"УЗО "&amp;CT158&amp;" А &lt; автомата "&amp;DT158&amp;" А перед ним",IF(N(CT158)&lt;N(CX158),"УЗО "&amp;CT158&amp;" А &lt; тока блока "&amp;FIXED(CX158,1)&amp;" А",""))),""),IF(AND(CS158&lt;&gt;"",CS158=BA158,ISNUMBER(CY158)),IF(CY158&gt;N(CV158)/3,"ток утечки блока УЗО "&amp;FIXED(CY158,1)&amp;" мА &gt; 1/3 уставки ("&amp;CV158&amp;" мА)",""),""),IF(AND(CG158=1,N(BV158)+N(IB158)&gt;0,IC158=""),"линии до 50 В без БП: впишите в «Аппараты» (БП 24V 480W)",""),IF(AND(CG158=1,ISNUMBER(ID158),ISNUMBER(U158)),IF(U158&gt;ID158,"БП "&amp;ID158&amp;" Вт &lt; нужно "&amp;U158&amp;" Вт (×"&amp;Запас_БП&amp;")",""),""),IF(AND(CG158=1,ISNUMBER(IE158),N(BV158)=1),IF(IE158&lt;&gt;N(BU158),"БП на "&amp;IE158&amp;" В, линия "&amp;BU158&amp;" В",""),""),IF(AND(N(IF158)&gt;0,N(IG158)&gt;N(IF158)),HH158&amp;" канал "&amp;HJ158&amp;": "&amp;FIXED(IG158,1)&amp;" А &gt; "&amp;IF158&amp;" А",""),IFERROR(IF(AND(ISNUMBER(Q158),Q158&gt;EL158),"потери "&amp;FIXED(Q158,1)&amp;" % &gt; "&amp;EL158&amp;" %",""),""),IFERROR(IF(LEFT(HU158,4)="мало","Iкз мало — отключение &gt; 0,4 с",""),""),IF(AND(B158&lt;&gt;"",BM158=""),"не на схеме",""),IF(AND(CG158=0,B158&lt;&gt;"",FV158&lt;&gt;"",IF(BA158=1,"",FW157)&lt;&gt;"",FV158&lt;&gt;IF(BA158=1,"",FW157)),"фаза не как у автомата группы ("&amp;IF(BA158=1,"",FW157)&amp;")","")))</f>
        <v/>
      </c>
      <c r="II158" s="6">
        <f>IF(OR(CG158=0,DQ158=""),"",_xlfn.LET(_xlpm.t,IFERROR(_xlfn.XLOOKUP(DQ158,Каталог!$U$4:$U$500,Каталог!$G$4:$G$500),""),_xlpm.k,SEARCH("кА",_xlpm.t),IFERROR(--TRIM(RIGHT(SUBSTITUTE(MID(_xlpm.t,MAX(1,_xlpm.k-4),_xlpm.k-MAX(1,_xlpm.k-4))," ",REPT(" ",9)),5)),"")))</f>
        <v>6</v>
      </c>
      <c r="IJ158" t="str">
        <f>IF(OR(II158="",CG158=0),"",IF(_xlfn.XLOOKUP(A158,Щиты[Щит],Щиты[Iкз max на шинах, кА],"")="","",IF(II158&lt;_xlfn.XLOOKUP(A158,Щиты[Щит],Щиты[Iкз max на шинах, кА]),"Icu "&amp;II158&amp;" кА &lt; Iкз max","ok")))</f>
        <v/>
      </c>
      <c r="IK158" t="str">
        <f t="shared" si="389"/>
        <v/>
      </c>
      <c r="IL158" t="str">
        <f t="shared" si="390"/>
        <v>QFD4|XT4</v>
      </c>
      <c r="IM158" t="str">
        <f t="shared" si="391"/>
        <v>QFD4|XT4|кабель ВВГнг(А)-LS (3х2,5) → Розеточная группа, пом. 001Тб</v>
      </c>
      <c r="IN158" t="str" cm="1">
        <f t="array" ref="IN158">IF(IM158="","",_xlfn.LET(_xlpm.nd,_xlfn.TEXTSPLIT(IM158,"|"),IF(COLUMNS(_xlpm.nd)&gt;1,A158&amp;"¦"&amp;INDEX(_xlpm.nd,1)&amp;"¦"&amp;INDEX(_xlpm.nd,2),"")))</f>
        <v>ЩР-001¦QFD4¦XT4</v>
      </c>
      <c r="IO158" t="str">
        <f t="shared" si="392"/>
        <v>R.00.001Тб.1¦Розеточная группа, пом. 001Тб</v>
      </c>
      <c r="IP158" t="str" cm="1">
        <f t="array" ref="IP158">IF(IM158="","",_xlfn.LET(_xlpm.nd,_xlfn.TEXTSPLIT(IM158,"|"),IF(COLUMNS(_xlpm.nd)&gt;2,A158&amp;"¦"&amp;INDEX(_xlpm.nd,2)&amp;"¦"&amp;INDEX(_xlpm.nd,3),"")))</f>
        <v>ЩР-001¦XT4¦кабель ВВГнг(А)-LS (3х2,5) → Розеточная группа, пом. 001Тб</v>
      </c>
      <c r="IQ158" t="str">
        <f t="shared" si="393"/>
        <v>R.00.001Тб.1¦Розеточная группа, пом. 001Тб</v>
      </c>
      <c r="IR158" t="str" cm="1">
        <f t="array" ref="IR158">IF(IM158="","",_xlfn.LET(_xlpm.nd,_xlfn.TEXTSPLIT(IM158,"|"),IF(COLUMNS(_xlpm.nd)&gt;3,A158&amp;"¦"&amp;INDEX(_xlpm.nd,3)&amp;"¦"&amp;INDEX(_xlpm.nd,4),"")))</f>
        <v/>
      </c>
      <c r="IS158" t="str">
        <f t="shared" si="394"/>
        <v/>
      </c>
      <c r="IT158" t="str" cm="1">
        <f t="array" ref="IT158">IF(IM158="","",_xlfn.LET(_xlpm.nd,_xlfn.TEXTSPLIT(IM158,"|"),IF(COLUMNS(_xlpm.nd)&gt;4,A158&amp;"¦"&amp;INDEX(_xlpm.nd,4)&amp;"¦"&amp;INDEX(_xlpm.nd,5),"")))</f>
        <v/>
      </c>
      <c r="IU158" t="str">
        <f t="shared" si="395"/>
        <v/>
      </c>
      <c r="IV158" t="str" cm="1">
        <f t="array" ref="IV158">IF(IM158="","",_xlfn.LET(_xlpm.nd,_xlfn.TEXTSPLIT(IM158,"|"),IF(COLUMNS(_xlpm.nd)&gt;5,A158&amp;"¦"&amp;INDEX(_xlpm.nd,5)&amp;"¦"&amp;INDEX(_xlpm.nd,6),"")))</f>
        <v/>
      </c>
      <c r="IW158" t="str">
        <f t="shared" si="396"/>
        <v/>
      </c>
      <c r="IX158" t="str" cm="1">
        <f t="array" ref="IX158">IF(IM158="","",_xlfn.LET(_xlpm.nd,_xlfn.TEXTSPLIT(IM158,"|"),IF(COLUMNS(_xlpm.nd)&gt;6,A158&amp;"¦"&amp;INDEX(_xlpm.nd,6)&amp;"¦"&amp;INDEX(_xlpm.nd,7),"")))</f>
        <v/>
      </c>
      <c r="IY158" t="str">
        <f t="shared" si="397"/>
        <v/>
      </c>
      <c r="IZ158" t="str">
        <f t="shared" si="398"/>
        <v/>
      </c>
      <c r="JA158" t="str">
        <f t="shared" si="399"/>
        <v>QFD4 → XT4</v>
      </c>
      <c r="JB158">
        <f t="shared" si="400"/>
        <v>0</v>
      </c>
      <c r="JC158">
        <f t="shared" si="401"/>
        <v>1</v>
      </c>
      <c r="JD158" t="str">
        <f t="shared" si="402"/>
        <v/>
      </c>
      <c r="JE158" t="str">
        <f t="shared" si="403"/>
        <v/>
      </c>
      <c r="JF158" t="str">
        <f t="shared" si="404"/>
        <v/>
      </c>
      <c r="JG158" t="str">
        <f t="shared" si="405"/>
        <v/>
      </c>
      <c r="JH158" t="str">
        <f>IF(B158="","",IFERROR(_xlfn.XLOOKUP(B158,Коды_код,Коды_уго),IFERROR(_xlfn.XLOOKUP(BC158,Коды_код,Коды_уго),IFERROR(_xlfn.XLOOKUP(LEFT(BC158,2),Коды_код,Коды_уго),""))))</f>
        <v>Розетка</v>
      </c>
      <c r="JI158" t="str">
        <f>IF(B158="","",IF(OR(JH158="",JH158=0),"BOX",IFERROR(IF(VLOOKUP(JH158,УГО_блоки,3,FALSE)&amp;""&lt;&gt;"",VLOOKUP(JH158,УГО_блоки,3,FALSE),VLOOKUP(JH158,УГО_блоки,2,FALSE)),JH158)))</f>
        <v>SOCKET</v>
      </c>
      <c r="JJ158">
        <f t="shared" si="406"/>
        <v>1</v>
      </c>
      <c r="JK158" t="str">
        <f>IF(DQ158="","",IF(COUNTIF(DQ$3:DQ158,DQ158)=1,MAX(JK$2:JK157)+1,""))</f>
        <v/>
      </c>
      <c r="JL158" t="str">
        <f>IF(DE158="","",IF(COUNTIF(DE$3:DE158,DE158)+COUNTIF(DF$2:DF157,DE158)+COUNTIF(DG$2:DG157,DE158)=1,MAX(JL$2:JN157)+1,""))</f>
        <v/>
      </c>
      <c r="JM158" t="str">
        <f>IF(DF158="","",IF(COUNTIF(DE$3:DE158,DF158)+COUNTIF(DF$3:DF158,DF158)+COUNTIF(DG$2:DG157,DF158)=1,MAX(JL$2:JN157,JL158)+1,""))</f>
        <v/>
      </c>
      <c r="JN158" t="str">
        <f>IF(DG158="","",IF(COUNTIF(DE$3:DE158,DG158)+COUNTIF(DF$3:DF158,DG158)+COUNTIF(DG$3:DG158,DG158)=1,MAX(JL$2:JN157,JL158,JM158)+1,""))</f>
        <v/>
      </c>
      <c r="JO158" t="str">
        <f t="shared" si="407"/>
        <v>3х2,5</v>
      </c>
      <c r="JP158" t="str">
        <f>IF(JO158="","",IF(COUNTIF(JO$3:JO158,JO158)=1,MAX(JP$2:JP157)+1,""))</f>
        <v/>
      </c>
      <c r="JQ158" t="str">
        <f>IF(HG158="","",COUNTIF(HG$3:HG158,"?*"))</f>
        <v/>
      </c>
      <c r="JR158" t="str">
        <f>IF(OR(HG158="",HI158=""),"",IF(COUNTIFS(HG$3:HG158,"?*",HI$3:HI158,HI158)=1,MAX(JR$2:JR157)+1,""))</f>
        <v/>
      </c>
      <c r="JS158">
        <f t="shared" si="408"/>
        <v>0</v>
      </c>
      <c r="JT158">
        <f>IF(B158="","",COUNTIF(B$3:B158,"?*"))</f>
        <v>156</v>
      </c>
      <c r="JU158">
        <f>IF(HL158&lt;&gt;1,0,_xlfn.LET(_xlpm.k,MAX(IFERROR(--_xlfn.XLOOKUP(B158,Коды_код,Коды_3L),0),IFERROR(--_xlfn.XLOOKUP(BC158,Коды_код,Коды_3L),0),IFERROR(--_xlfn.XLOOKUP(LEFT(BC158,2),Коды_код,Коды_3L),0)),IF(_xlpm.k&gt;0,_xlpm.k,IF(IFERROR(--LEFT(SUBSTITUTE(JO158,"x","х"),FIND("х",SUBSTITUTE(JO158,"x","х"))-1),3)&gt;3,Каталог!$S$9,1))))</f>
        <v>1</v>
      </c>
      <c r="JV158">
        <f t="shared" si="409"/>
        <v>0</v>
      </c>
      <c r="JW158" t="str">
        <f t="shared" si="410"/>
        <v>авто</v>
      </c>
      <c r="JX158">
        <f t="shared" si="411"/>
        <v>30</v>
      </c>
      <c r="JY158">
        <f t="shared" si="412"/>
        <v>1</v>
      </c>
      <c r="JZ158">
        <f t="shared" si="413"/>
        <v>1</v>
      </c>
    </row>
    <row r="159" spans="1:286" x14ac:dyDescent="0.3">
      <c r="A159" t="s">
        <v>753</v>
      </c>
      <c r="B159" t="s">
        <v>1467</v>
      </c>
      <c r="C159" t="str">
        <f>Линии[[#This Row],[_авто наименование]]</f>
        <v>Розеточная группа, пом. 001Б</v>
      </c>
      <c r="D159">
        <v>3</v>
      </c>
      <c r="E159">
        <v>0.42</v>
      </c>
      <c r="G159">
        <v>16</v>
      </c>
      <c r="H159" t="str">
        <f>Линии[[#This Row],[_авто управление]]</f>
        <v/>
      </c>
      <c r="I159" t="str">
        <f>Линии[[#This Row],[_авто аппараты]]</f>
        <v/>
      </c>
      <c r="J159">
        <v>2.5</v>
      </c>
      <c r="K159">
        <v>48</v>
      </c>
      <c r="L159">
        <v>2</v>
      </c>
      <c r="M159" t="str">
        <f>Линии[[#This Row],[_авто клемма]]</f>
        <v>XT5</v>
      </c>
      <c r="N159" t="str">
        <f t="shared" si="276"/>
        <v/>
      </c>
      <c r="O159" s="6" cm="1">
        <f t="array" ref="O159">IF(B159="","",IF(BH159&lt;&gt;"",IFERROR(_xlfn.XLOOKUP(BH159,Щиты[Щит],Щиты[Iр, А]),""),IF(BP159=1,IF(OR(N(_xlfn.XLOOKUP(A159,Щиты[Щит],Щиты[Вводов],1))&lt;=1,LOWER(TRIM(_xlfn.XLOOKUP(A159,Щиты[Щит],Щиты[АВР],"")&amp;""))="да"),IFERROR(_xlfn.XLOOKUP(A159,Щиты[Щит],Щиты[Iр, А]),""),IFERROR(N(BS159)*_xlfn.XLOOKUP(A159,Щиты[Щит],Щиты[Кс итог])/(SQRT(3)*Uн_лин*_xlfn.XLOOKUP(A159,Щиты[Щит],Щиты[cos φ])),"")),IF(BV159=1,IFERROR(BS159*1000/BU159,""),IFERROR(_xlfn.IFS(BX159=1,BS159/((Uн_лин/SQRT(3))*CE159),BX159=3,BS159/(SQRT(3)*Uн_лин*CE159)),"")))))</f>
        <v>1.9143719452077064</v>
      </c>
      <c r="P159" s="7">
        <f>IF(B159="","",IFERROR(IF(VLOOKUP(BC159,Потребители_обозначение,4,FALSE)=1,VLOOKUP(BC159,Потребители_обозначение,3,FALSE)*(MAX(1,N(D159))*2-1)+EI159+VLOOKUP(BE159,Этаж_обозначение,3,FALSE)+VLOOKUP(BE159,Этаж_обозначение,4,FALSE),VLOOKUP(BC159,Потребители_обозначение,3,FALSE)*(MAX(1,N(D159))*2-1)+EI159),EI159))</f>
        <v>63</v>
      </c>
      <c r="Q159" s="6">
        <f t="shared" si="277"/>
        <v>2.4700000000000002</v>
      </c>
      <c r="R159" t="str">
        <f t="shared" si="278"/>
        <v>ВВГнг(А)-LS (3х2,5)</v>
      </c>
      <c r="S159" t="str">
        <f>IF(BM159="","",IF(BN159="вводной узел","узел ","")&amp;"л."&amp;(INT((BM159-1)/Столбцов_на_лист)+1)&amp;" / "&amp;(MOD(BM159-1,Столбцов_на_лист)+1))</f>
        <v>л.1 / 12</v>
      </c>
      <c r="T159" s="119">
        <f t="shared" si="279"/>
        <v>1.4</v>
      </c>
      <c r="U159" s="7" t="str">
        <f>IF(OR(CG159=0,N(BV159)+N(IB159)=0),"",ROUNDUP(Запас_БП*(N(HY159)+N(HZ159)),0))</f>
        <v/>
      </c>
      <c r="V159" s="119" t="str">
        <f t="shared" si="280"/>
        <v/>
      </c>
      <c r="W159" s="7" t="str">
        <f>IFERROR(IF(OR(B159="",BP159=1,BV159=1,NOT(ISNUMBER(EN159)),N(DT159)=0),"",MAX(0,ROUNDDOWN((c_min*(Uн_лин*1000/SQRT(3))/(HT159*N(DT159))-_xlfn.XLOOKUP(A159,Щиты[Щит],Щиты[Zпетли на шинах, Ом]))*EN159/(2*ρкз_Cu),0))),"")</f>
        <v/>
      </c>
      <c r="Y159">
        <f>Линии[[#This Row],[_авто утечка]]</f>
        <v>30</v>
      </c>
      <c r="Z159">
        <v>1</v>
      </c>
      <c r="AA159">
        <v>230</v>
      </c>
      <c r="AB159" t="s">
        <v>562</v>
      </c>
      <c r="AG159" t="s">
        <v>810</v>
      </c>
      <c r="AI159" t="s">
        <v>561</v>
      </c>
      <c r="AK159" t="str">
        <f>Линии[[#This Row],[_авто модуль]]</f>
        <v/>
      </c>
      <c r="AM159">
        <v>12</v>
      </c>
      <c r="AN159" t="s">
        <v>11</v>
      </c>
      <c r="AO159">
        <v>3</v>
      </c>
      <c r="AQ159">
        <v>0</v>
      </c>
      <c r="AR159">
        <v>0</v>
      </c>
      <c r="AS159">
        <v>48</v>
      </c>
      <c r="BA159" cm="1">
        <f t="array" ref="BA159">ROW()-ROW(Линии[#Headers])</f>
        <v>157</v>
      </c>
      <c r="BC159" s="6" t="str">
        <f t="shared" si="281"/>
        <v>R</v>
      </c>
      <c r="BD159" t="str">
        <f t="shared" si="282"/>
        <v>00.001Б.2</v>
      </c>
      <c r="BE159" t="str">
        <f t="shared" si="283"/>
        <v>00</v>
      </c>
      <c r="BF159" t="str">
        <f t="shared" si="284"/>
        <v>001Б.2</v>
      </c>
      <c r="BG159" t="str">
        <f t="shared" si="285"/>
        <v>001Б</v>
      </c>
      <c r="BH159" t="str">
        <f>IF(X159&lt;&gt;"",X159,IF(AND(B159&lt;&gt;"",B159&lt;&gt;A159,ISNUMBER(_xlfn.XMATCH(B159,Щиты[Щит]))),B159,""))</f>
        <v/>
      </c>
      <c r="BI159" t="str" cm="1">
        <f t="array" ref="BI159">IF(B159="","",IF(BH159&lt;&gt;"","Щит "&amp;BH159,_xlfn.LET(_xlpm.nm,IFERROR(_xlfn.XLOOKUP(BC159,Коды_код,Коды_имя)&amp;"",""),_xlpm.md,IFERROR(N(_xlfn.XLOOKUP(BC159,Коды_код,Коды_режим)),1),_xlpm.ex,IF(Имя_режим="по экспликации",IFERROR(_xlfn.XLOOKUP(BE159&amp;"|"&amp;BG159,Экспликация[Этаж]&amp;"|"&amp;Экспликация[Помещение],Экспликация[Название])&amp;"",""),""),_xlpm.rm,IF(BG159="","",IF(_xlpm.ex&lt;&gt;"",". "&amp;_xlpm.ex&amp;IF(Имя_пом="нет"," ("&amp;BG159&amp;")"," (пом. "&amp;BG159&amp;")"),IF(Имя_пом="нет"," ",", пом. ")&amp;BG159)),IF(_xlpm.nm="","",IF(_xlpm.md=2,_xlpm.nm&amp;" шлейф "&amp;BE159,_xlpm.nm&amp;_xlpm.rm)))))</f>
        <v>Розеточная группа, пом. 001Б</v>
      </c>
      <c r="BJ159" t="str">
        <f t="shared" si="286"/>
        <v>Розеточная группа, пом. 001Б</v>
      </c>
      <c r="BK159">
        <f>IFERROR(_xlfn.XMATCH(A159,Щиты[Щит]),0)</f>
        <v>8</v>
      </c>
      <c r="BL159">
        <f>_xlfn.LET(_xlpm.k,IFERROR(_xlfn.XLOOKUP(A159,Щиты[Щит],Щиты[Мест под вводной узел]),""),IF(_xlpm.k="",Столбцов_на_лист,N(_xlpm.k)))</f>
        <v>7</v>
      </c>
      <c r="BM159">
        <f t="shared" si="287"/>
        <v>12</v>
      </c>
      <c r="BN159" t="str">
        <f t="shared" si="288"/>
        <v>линии</v>
      </c>
      <c r="BO159" s="6">
        <f>IFERROR(N(_xlfn.XLOOKUP(BC159,Коды_код,Коды_квт)),0)</f>
        <v>0</v>
      </c>
      <c r="BP159">
        <f t="shared" si="289"/>
        <v>0</v>
      </c>
      <c r="BQ159" t="str">
        <f>IF(B159="","",IF(BH159&lt;&gt;"",IFERROR(_xlfn.XLOOKUP(BH159,Щиты[Щит],Щиты[Руст, кВт]),0),IF(BP159=1,IF(OR(N(_xlfn.XLOOKUP(A159,Щиты[Щит],Щиты[Вводов],1))&lt;=1,LOWER(TRIM(_xlfn.XLOOKUP(A159,Щиты[Щит],Щиты[АВР],"")&amp;""))="да"),IFERROR(_xlfn.XLOOKUP(A159,Щиты[Щит],Щиты[Руст, кВт]),0),SUMIFS(Линии[_Р для вводов],Линии[Щит],A159,Линии[Источник для режимов],GF159)),IF(BO159&gt;0,ROUND(BO159*MAX(1,N(D159)),3),""))))</f>
        <v/>
      </c>
      <c r="BR159">
        <f t="shared" si="290"/>
        <v>0.42</v>
      </c>
      <c r="BS159" s="6">
        <f>IF(B159="","",IF(BH159&lt;&gt;"",IFERROR(_xlfn.XLOOKUP(BH159,Щиты[Щит],Щиты[Руст, кВт]),0),N(BR159)))</f>
        <v>0.42</v>
      </c>
      <c r="BT159" t="str">
        <f>IF(B159="","",IFERROR(IF(VLOOKUP(BC159,Потребители_обозначение,8,FALSE)=0,"",VLOOKUP(BC159,Потребители_обозначение,8,FALSE)),""))</f>
        <v/>
      </c>
      <c r="BU159">
        <f t="shared" si="291"/>
        <v>230</v>
      </c>
      <c r="BV159">
        <f t="shared" si="292"/>
        <v>0</v>
      </c>
      <c r="BW159">
        <f>IF(B159="","",IF(BH159&lt;&gt;"",3,IFERROR(IF(N(VLOOKUP(BC159,Потребители_обозначение,9,FALSE))=0,1,VLOOKUP(BC159,Потребители_обозначение,9,FALSE)),1)))</f>
        <v>1</v>
      </c>
      <c r="BX159">
        <f t="shared" si="293"/>
        <v>1</v>
      </c>
      <c r="BY159" t="str">
        <f>IF(B159="","",_xlfn.LET(_xlpm.bc,IFERROR(IF(VLOOKUP(BC159,Потребители_обозначение,6,FALSE)=0,"",VLOOKUP(BC159,Потребители_обозначение,6,FALSE)&amp;""),""),IF(AND(GA159="да",OR(_xlpm.bc="",_xlpm.bc="мс")),Марка_пож,IF(AND(_xlpm.bc="",BH159&lt;&gt;""),"мс",_xlpm.bc))))</f>
        <v/>
      </c>
      <c r="BZ159" t="str">
        <f t="shared" si="294"/>
        <v>мс</v>
      </c>
      <c r="CA159">
        <f>IF(B159="","",_xlfn.LET(_xlpm.cc,IFERROR(N(VLOOKUP(BC159,Потребители_обозначение,7,FALSE)),0),IF(_xlpm.cc&gt;0,_xlpm.cc,IF(BZ159="","",IF(BV159=1,2,IF(N(BX159)=3,5,3))))))</f>
        <v>3</v>
      </c>
      <c r="CB159">
        <f t="shared" si="295"/>
        <v>3</v>
      </c>
      <c r="CC159">
        <f>IFERROR(N(VLOOKUP(BC159,Потребители_обозначение,10,FALSE)),0)</f>
        <v>0</v>
      </c>
      <c r="CD159">
        <f>IFERROR(VLOOKUP(BC159,Потребители_обозначение,5,FALSE),0)</f>
        <v>1</v>
      </c>
      <c r="CE159" s="6" cm="1">
        <f t="array" ref="CE159">IF(B159="","",IF(BH159&lt;&gt;"",IFERROR(_xlfn.XLOOKUP(BH159,Щиты[Щит],Щиты[cos φ]),0.95),IF(BP159=1,IFERROR(_xlfn.XLOOKUP(A159,Щиты[Щит],Щиты[cos φ]),0.95),IF(ISNUMBER(AD159),AD159,IFERROR(IF(CD159=2,_xlfn.IFS(BX159=3,VLOOKUP(BS159,Справочная_двигатели,8,FALSE),BX159=1,VLOOKUP(BS159,Справочная_двигатели,10,TRUE)),IF(AND(Методика="нормы 2026",FG159="Сил"),0.8,0.95)),0.95)))))</f>
        <v>0.95</v>
      </c>
      <c r="CF159">
        <f t="shared" si="296"/>
        <v>0</v>
      </c>
      <c r="CG159">
        <f t="shared" si="297"/>
        <v>1</v>
      </c>
      <c r="CH159">
        <f t="shared" si="298"/>
        <v>0</v>
      </c>
      <c r="CI159">
        <f>IF(B159="","",IF(BV159=1,IFERROR(BS159/((Uн_лин/SQRT(3))*MAX(0.5,N(CE159))),0),N(O159)))</f>
        <v>1.9143719452077064</v>
      </c>
      <c r="CJ159">
        <f t="shared" si="299"/>
        <v>0</v>
      </c>
      <c r="CK159">
        <f t="shared" si="300"/>
        <v>0</v>
      </c>
      <c r="CL159">
        <f t="shared" si="301"/>
        <v>0</v>
      </c>
      <c r="CM159">
        <f t="shared" si="302"/>
        <v>0</v>
      </c>
      <c r="CN159">
        <f t="shared" si="303"/>
        <v>0</v>
      </c>
      <c r="CO159">
        <f>IF(BC159="",0,_xlfn.LET(_xlpm.v,IFERROR(_xlfn.XLOOKUP(B159,Коды_код,Коды_мА),IFERROR(_xlfn.XLOOKUP(BC159,Коды_код,Коды_мА),IFERROR(_xlfn.XLOOKUP(LEFT(BC159,2),Коды_код,Коды_мА),""))),IF(_xlpm.v="да",30,IF(ISNUMBER(_xlpm.v),_xlpm.v,0))))</f>
        <v>30</v>
      </c>
      <c r="CP159">
        <f t="shared" si="304"/>
        <v>30</v>
      </c>
      <c r="CQ159" t="str">
        <f>_xlfn.LET(_xlpm.k,IFERROR(_xlfn.XLOOKUP(BC159,Коды_код,Коды_утечка)&amp;"",""),IF(_xlpm.k="","дифавтомат",_xlpm.k))</f>
        <v>дифавтомат</v>
      </c>
      <c r="CR159" t="str" cm="1">
        <f t="array" ref="CR159">IF(CG159=0,"",_xlfn.LET(_xlpm.sg,TRIM(_xlfn.TEXTSPLIT(DD159&amp;"",";")),_xlpm.f_,_xlfn._xlws.FILTER(_xlpm.sg,LEFT(_xlpm.sg,3)="УЗО",""),IFERROR(INDEX(_xlpm.f_,1)&amp;"","")))</f>
        <v/>
      </c>
      <c r="CS159" t="str">
        <f t="shared" si="305"/>
        <v/>
      </c>
      <c r="CT159" s="6" t="str" cm="1">
        <f t="array" ref="CT159">IF(CR159="","",_xlfn.LET(_xlpm.tk,_xlfn.TEXTSPLIT(UPPER(CR159)," ",,TRUE),_xlpm.a_,_xlfn._xlws.FILTER(_xlpm.tk,ISNUMBER(--LEFT(_xlpm.tk,1))*((ISNUMBER(SEARCH("А",_xlpm.tk))+ISNUMBER(SEARCH("A",_xlpm.tk)))&gt;0)*NOT(ISNUMBER(SEARCH("МА",_xlpm.tk)))*NOT(ISNUMBER(SEARCH("MA",_xlpm.tk))),""),IFERROR(--SUBSTITUTE(SUBSTITUTE(INDEX(_xlpm.a_,1),"А",""),"A",""),"")))</f>
        <v/>
      </c>
      <c r="CU159" t="str" cm="1">
        <f t="array" ref="CU159">IF(CR159="","",_xlfn.LET(_xlpm.tk,_xlfn.TEXTSPLIT(UPPER(CR159)," ",,TRUE),_xlpm.a_,_xlfn._xlws.FILTER(_xlpm.tk,ISNUMBER(--LEFT(_xlpm.tk,1))*((ISNUMBER(SEARCH("МА",_xlpm.tk))+ISNUMBER(SEARCH("MA",_xlpm.tk)))&gt;0),""),IFERROR(--SUBSTITUTE(SUBSTITUTE(INDEX(_xlpm.a_,1),"МА",""),"MA",""),30)))</f>
        <v/>
      </c>
      <c r="CV159" t="str">
        <f>IF(CS159="","",IFERROR(_xlfn.XLOOKUP(CS159,Линии[_n],Линии[_УЗО, мА]),30))</f>
        <v/>
      </c>
      <c r="CW159">
        <f>IF(CS159="",0,IF(ISNUMBER(SEARCH("4P",IFERROR(_xlfn.XLOOKUP(CS159,Линии[_n],Линии[_УЗО строки])&amp;"",""))),0,1))</f>
        <v>0</v>
      </c>
      <c r="CX159" t="str">
        <f>IF(AND(CS159&lt;&gt;"",CS159=BA159),SUMIFS(Линии[_ток на 230 В],Линии[_блок УЗО],BA159,Линии[Щит],A159),"")</f>
        <v/>
      </c>
      <c r="CY159" t="str">
        <f>IF(AND(CS159&lt;&gt;"",CS159=BA159),SUMIFS(Линии[_ток утечки линии, мА],Линии[_блок УЗО],BA159,Линии[Щит],A159),"")</f>
        <v/>
      </c>
      <c r="CZ159">
        <f t="shared" si="306"/>
        <v>30</v>
      </c>
      <c r="DA159">
        <f t="shared" si="307"/>
        <v>30</v>
      </c>
      <c r="DB159">
        <f>IF(B159="",0,IFERROR(--_xlfn.XLOOKUP(B159,Коды_код,Коды_минавт),IFERROR(--_xlfn.XLOOKUP(BC159,Коды_код,Коды_минавт),IFERROR(--_xlfn.XLOOKUP(LEFT(BC159,2),Коды_код,Коды_минавт),0))))</f>
        <v>16</v>
      </c>
      <c r="DC159" t="str">
        <f>IF(B159="","",IFERROR(_xlfn.XLOOKUP(BC159,Коды_код,Коды_апп)&amp;"",""))</f>
        <v/>
      </c>
      <c r="DD159" t="str">
        <f t="shared" si="308"/>
        <v/>
      </c>
      <c r="DE159" t="str" cm="1">
        <f t="array" ref="DE159">IF(TRIM(DD159&amp;"")="","",IFERROR(TRIM(INDEX(_xlfn.TEXTSPLIT(DD159&amp;";;;",";"),1)),""))</f>
        <v/>
      </c>
      <c r="DF159" t="str" cm="1">
        <f t="array" ref="DF159">IF(TRIM(DD159&amp;"")="","",IFERROR(TRIM(INDEX(_xlfn.TEXTSPLIT(DD159&amp;";;;",";"),2)),""))</f>
        <v/>
      </c>
      <c r="DG159" t="str" cm="1">
        <f t="array" ref="DG159">IF(TRIM(DD159&amp;"")="","",IFERROR(TRIM(INDEX(_xlfn.TEXTSPLIT(DD159&amp;";;;",";"),3)),""))</f>
        <v/>
      </c>
      <c r="DH159">
        <f t="shared" si="309"/>
        <v>0</v>
      </c>
      <c r="DI159" t="str">
        <f>IF(B159="","",_xlfn.LET(_xlpm.t,LOWER(AZ159&amp;""),IF(ISNUMBER(SEARCH("dim",_xlpm.t)),"DIM",IF(ISNUMBER(SEARCH("dali",_xlpm.t)),"DALI",IF(OR(ISNUMBER(SEARCH("relay",_xlpm.t)),ISNUMBER(SEARCH("реле",_xlpm.t))),"Relay",IF(ISNUMBER(SEARCH("кнопк",_xlpm.t)),"",IFERROR(_xlfn.XLOOKUP(BC159,Коды_код,Коды_упр)&amp;"","")))))))</f>
        <v/>
      </c>
      <c r="DJ159" t="str">
        <f t="shared" si="310"/>
        <v/>
      </c>
      <c r="DK159">
        <f>IF(B159="","",_xlfn.LET(_xlpm.ig,IF(N(CX159)&gt;0,N(CX159),N(CI159)+IF(AJ159="вручную",0,N(CJ159))),_xlpm.n0,IFERROR(VLOOKUP(_xlpm.ig,Автомат_номиналы,2,TRUE),0),_xlpm.mn,MAX(DB159,IF(AJ159="вручную",0,N(CM159))),MAX(_xlpm.n0,_xlpm.mn,IF(DH159=1,Мин_автомат_БП,0))))</f>
        <v>16</v>
      </c>
      <c r="DL159">
        <f t="shared" si="311"/>
        <v>1</v>
      </c>
      <c r="DM159" t="str">
        <f t="shared" si="312"/>
        <v>2P</v>
      </c>
      <c r="DN159" t="str">
        <f>_xlfn.LET(_xlpm.cc,UPPER(TRIM(IFERROR(_xlfn.XLOOKUP(BC159,Коды_код,Коды_хар)&amp;"",""))),IF(OR(_xlpm.cc="B",_xlpm.cc="В"),"B",IF(_xlpm.cc="D","D","С")))</f>
        <v>С</v>
      </c>
      <c r="DO159" t="str">
        <f t="shared" si="313"/>
        <v>2P С16А 30мА</v>
      </c>
      <c r="DP159">
        <f t="shared" si="314"/>
        <v>16</v>
      </c>
      <c r="DQ159" t="str">
        <f t="shared" si="315"/>
        <v>2P С16А 30мА</v>
      </c>
      <c r="DR159" cm="1">
        <f t="array" ref="DR159">IF(DQ159="","",_xlfn.LET(_xlpm.t,SUBSTITUTE(SUBSTITUTE(SUBSTITUTE(UPPER(DQ159),"С","C"),"А","A"),"В","B"),_xlpm.tk,_xlfn.TEXTSPLIT(_xlpm.t," "),_xlpm.f,_xlfn._xlws.FILTER(_xlpm.tk,ISNUMBER(--MID(_xlpm.tk,2,1))*ISNUMBER(SEARCH(LEFT(_xlpm.tk,1)&amp;"#","B#C#D#"))*(LEN(_xlpm.tk)&gt;1),""),_xlpm.x,INDEX(_xlpm.f,1),IFERROR(--SUBSTITUTE(MID(_xlpm.x,2,9),"A",""),IFERROR(--SUBSTITUTE(INDEX(_xlfn._xlws.FILTER(_xlpm.tk,ISNUMBER(--SUBSTITUTE(_xlpm.tk,"A","")),""),1),"A",""),""))))</f>
        <v>16</v>
      </c>
      <c r="DS159" t="str">
        <f t="shared" si="316"/>
        <v>ok</v>
      </c>
      <c r="DT159">
        <f t="shared" si="317"/>
        <v>16</v>
      </c>
      <c r="DU159" t="str">
        <f t="shared" si="318"/>
        <v>2P С16А 30мА</v>
      </c>
      <c r="DV159">
        <f t="shared" si="319"/>
        <v>30</v>
      </c>
      <c r="DW159">
        <f t="shared" si="320"/>
        <v>1</v>
      </c>
      <c r="DX159">
        <f t="shared" si="321"/>
        <v>0</v>
      </c>
      <c r="DY159">
        <f t="shared" si="322"/>
        <v>1.9143719452077064</v>
      </c>
      <c r="DZ159">
        <f t="shared" si="323"/>
        <v>1</v>
      </c>
      <c r="EA159">
        <f>IF(ISNUMBER(AP159),AP159,К_прокл)</f>
        <v>1</v>
      </c>
      <c r="EB159">
        <f t="shared" si="324"/>
        <v>2</v>
      </c>
      <c r="EC159">
        <f>IFERROR(N(VLOOKUP(BZ159,Кабель_обозначение,3,FALSE)),1)</f>
        <v>1</v>
      </c>
      <c r="ED159">
        <f>IFERROR(N(_xlfn.XLOOKUP(A159,Щиты[Щит],Щиты[ΔU до шин, %])),0)</f>
        <v>1.57</v>
      </c>
      <c r="EE159" t="str">
        <f>IFERROR(_xlfn.XLOOKUP(A159,Щиты[Щит],Щиты[Zпетли на шинах, Ом]),"")</f>
        <v/>
      </c>
      <c r="EF159">
        <f>IFERROR(N(_xlfn.XLOOKUP(A159,Щиты[Щит],Щиты[ΔU до шин (подбор), %])),0)</f>
        <v>2.5</v>
      </c>
      <c r="EG159" t="str">
        <f>IFERROR(_xlfn.XLOOKUP(A159,Щиты[Щит],Щиты[Zпетли на шинах (подбор), Ом]),"")</f>
        <v/>
      </c>
      <c r="EH159" t="str">
        <f t="shared" si="325"/>
        <v/>
      </c>
      <c r="EI159">
        <f t="shared" si="326"/>
        <v>48</v>
      </c>
      <c r="EJ159">
        <f t="shared" si="327"/>
        <v>2</v>
      </c>
      <c r="EK159">
        <f t="shared" si="328"/>
        <v>0.31</v>
      </c>
      <c r="EL159" s="6">
        <f>IF(B159="","",IF(BV159=1,dU_LED,IF(IFERROR(_xlfn.XLOOKUP(BC159,Коды_код,Коды_уго),"")="Светильник",3,4)+IF(Методика="нормы 2026",MIN(0.5,MAX(0,N(P159)-100)*0.005),0)))</f>
        <v>4</v>
      </c>
      <c r="EM159" cm="1">
        <f t="array" ref="EM159">IF(OR(B159="",BZ159="",EC159&lt;&gt;1),"",_xlfn.LET(_xlpm.sz,Iдоп_S,_xlpm.t_,CHOOSE(EB159,Iдоп_1ж,Iдоп_2ж,Iдоп_3ж)*DZ159*EA159,_xlpm.dcx,BV159=1,_xlpm.inn,IF(_xlpm.dcx,N(O159),N(DT159)),_xlpm.smin,MAX(1.5,CC159),_xlpm.L_,N(P159)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159)/N(BU159)*100,999),IFERROR(N(EJ159)*(_xlpm.rho*_xlpm.L_/_xlpm.sz*N(CE159)+_xlpm.xx*_xlpm.L_*N(EK159)/1000)*N(O159)/((Uн_лин/SQRT(3))*1000)*100,999)),_xlpm.kz,IF(OR(_xlpm.dcx,DW159=1,NOT(ISNUMBER(EG159)),_xlpm.L_=0,_xlpm.inn=0),1,IFERROR(--(c_min*(Uн_лин*1000/SQRT(3))/(EG159+2*ρкз_Cu*_xlpm.L_/_xlpm.sz)&gt;=HT159*_xlpm.inn),0)),_xlpm.ok,IFERROR((_xlpm.sz&gt;=_xlpm.smin)*(_xlpm.t_&gt;=_xlpm.inn)*IF(_xlpm.L_&gt;0,(_xlpm.du_+IF(_xlpm.dcx,0,EF159)&lt;=EL159+0.00001),1)*_xlpm.kz,0),_xlpm.r_,_xlfn._xlws.FILTER(_xlpm.sz,_xlpm.ok,"не подобрано"),INDEX(_xlpm.r_,1)))</f>
        <v>1.5</v>
      </c>
      <c r="EN159">
        <f t="shared" si="329"/>
        <v>2.5</v>
      </c>
      <c r="EO159" cm="1">
        <f t="array" ref="EO159">IF(OR(B159="",BZ159="",EC159&lt;&gt;1),"",_xlfn.LET(_xlpm.sz,Iдоп_S,_xlpm.t_,CHOOSE(EB159,Iдоп_1ж,Iдоп_2ж,Iдоп_3ж)*DZ159*EA159,_xlpm.ok,IFERROR((_xlpm.sz&gt;=MAX(1.5,CC159))*(_xlpm.t_&gt;=N(DT159)),0),_xlpm.r_,_xlfn._xlws.FILTER(_xlpm.sz,_xlpm.ok,""),INDEX(_xlpm.r_,1)))</f>
        <v>1.5</v>
      </c>
      <c r="EP159" s="6" cm="1">
        <f t="array" ref="EP159">IFERROR(ROUNDUP(N(EJ159)*(_xlfn.XLOOKUP(EO159,INDEX(Кабель_сопротивление,0,1),INDEX(Кабель_сопротивление,0,3))*N(P159)/EO159*N(CE159)+_xlfn.XLOOKUP(EO159,INDEX(Кабель_сопротивление,0,1),INDEX(Кабель_сопротивление,0,2))*N(P159)*N(EK159)/1000)*N(O159)/((Uн_лин/SQRT(3))*1000)*100,2),"")</f>
        <v>1.5</v>
      </c>
      <c r="EQ159">
        <f>IFERROR(2*ρкз_Cu*N(P159)/EO159,"")</f>
        <v>2.2092000000000001</v>
      </c>
      <c r="ER159">
        <f>IFERROR(VLOOKUP(EN159,Кабель_сопротивление,3,FALSE),"")</f>
        <v>2.2499999999999999E-2</v>
      </c>
      <c r="ES159">
        <f>IFERROR(VLOOKUP(EN159,Кабель_сопротивление,2,FALSE),"")</f>
        <v>0.1</v>
      </c>
      <c r="ET159">
        <f t="shared" si="330"/>
        <v>0</v>
      </c>
      <c r="EU159">
        <f t="shared" si="331"/>
        <v>48</v>
      </c>
      <c r="EV159">
        <f t="shared" si="332"/>
        <v>2.0698304333902433</v>
      </c>
      <c r="EW159" s="6">
        <f>IFERROR(ROUNDUP(EV159/IF(BV159=1,BU159,(Uн_лин/SQRT(3))*1000)*100,2),"")</f>
        <v>0.9</v>
      </c>
      <c r="EX159" t="str">
        <f>IFERROR(VLOOKUP(BZ159,Кабель_обозначение,2,FALSE),"")</f>
        <v>ВВГнг(А)-LS</v>
      </c>
      <c r="EY159" t="str">
        <f t="shared" si="333"/>
        <v>ВВГнг(А)-LS (3х2,5)</v>
      </c>
      <c r="EZ159" t="str">
        <f t="shared" si="334"/>
        <v>ВВГнг(А)-LS (3х2,5)
L=63-0,9%</v>
      </c>
      <c r="FA159">
        <f>IFERROR(2*ρкз_Cu*P159/EN159,"")</f>
        <v>1.32552</v>
      </c>
      <c r="FB159">
        <f t="shared" si="335"/>
        <v>0.441</v>
      </c>
      <c r="FC159" s="6" t="str">
        <f>IFERROR(IF(OR(B159="",BV159=1,NOT(ISNUMBER(EN159)),N(P159)=0),"",_xlfn.XLOOKUP(A159,Щиты[Щит],Щиты[Zпетли на шинах, Ом])+FA159),"")</f>
        <v/>
      </c>
      <c r="FD159" s="6" t="str">
        <f>IF(ISNUMBER(FC159),c_min*(Uн_лин*1000/SQRT(3))/FC159,"")</f>
        <v/>
      </c>
      <c r="FE159" s="6" t="str">
        <f>IFERROR(IF(OR(B159="",NOT(ISNUMBER(EN159))),"",1.05*(Uн_лин*1000/SQRT(3))/(_xlfn.XLOOKUP(A159,Щиты[Щит],Щиты[Zmax на шинах, Ом])+FB159)/1000),"")</f>
        <v/>
      </c>
      <c r="FF159" s="6" t="str">
        <f>IF(B159="","",IF(ISNUMBER(AC159),"Сил",IF(IFERROR(_xlfn.XLOOKUP(BC159,Коды_код,Коды_группа)&amp;"","")="","Быт",_xlfn.XLOOKUP(BC159,Коды_код,Коды_группа)&amp;"")))</f>
        <v>Быт</v>
      </c>
      <c r="FG159" s="6" t="str">
        <f t="shared" si="336"/>
        <v>Быт</v>
      </c>
      <c r="FH159" s="6">
        <f>IF(FG159="Щит","щит",IF(FG159="","",IF(FG159="Быт",IFERROR(_xlfn.XLOOKUP(A159,Щиты[Щит],Щиты[Кс быт]),1),IF(FG159="Сил",IF(ISNUMBER(AC159),AC159,IF(Методика="нормы 2026",IFERROR(_xlfn.XLOOKUP(A159,Щиты[Щит],Щиты[Кс силовых (табл. 7.5)]),1),1)),IF(OR(FG159="Пост",FG159="Отоп"),1,IF(FG159="ВНГ",0.7,0))))))</f>
        <v>0.8</v>
      </c>
      <c r="FI159">
        <f>IF(FG159="","",IF(AND(BP159=1,TRIM(AE159&amp;"")=""),IF(COUNTIFS(Линии[Щит],A159,Линии[Секция (1/2/3)],"&gt;=2")&gt;0,MIN(3,MAX(1,IFERROR(--BD159,1))),1),IFERROR(MIN(3,MAX(1,INT(--AE159))),1)))</f>
        <v>1</v>
      </c>
      <c r="FJ159">
        <f t="shared" si="337"/>
        <v>0.42</v>
      </c>
      <c r="FK159">
        <f t="shared" si="338"/>
        <v>0.42</v>
      </c>
      <c r="FL159">
        <f t="shared" si="339"/>
        <v>0</v>
      </c>
      <c r="FM159">
        <f t="shared" si="340"/>
        <v>0</v>
      </c>
      <c r="FN159">
        <f t="shared" si="341"/>
        <v>0</v>
      </c>
      <c r="FO159">
        <f t="shared" si="342"/>
        <v>0</v>
      </c>
      <c r="FP159">
        <f t="shared" si="343"/>
        <v>0.42</v>
      </c>
      <c r="FQ159">
        <f t="shared" si="344"/>
        <v>0.42</v>
      </c>
      <c r="FR159">
        <f t="shared" si="345"/>
        <v>0.39899999999999997</v>
      </c>
      <c r="FS159">
        <f>IF(CG159=1,IF(AND(CH159=1,CW159=1),0,IF(AND(CS159&lt;&gt;"",CS159=BA159,CW159=1),SUMIFS(Линии[_Р линии, кВт],Линии[_блок УЗО],BA159,Линии[Щит],A159),N(BS159)+IF(AJ159="вручную",0,N(CK159)))),0)</f>
        <v>0.42</v>
      </c>
      <c r="FT159" t="str">
        <f t="shared" si="346"/>
        <v>L2</v>
      </c>
      <c r="FU159" t="str">
        <f>IF(B159="","",IF(CG159=0,IF(BA159=1,"",FW158),IF(AND(CH159=1,CW159=1,CS159&lt;&gt;""),IFERROR(_xlfn.XLOOKUP(CS159,Линии[_n],Линии[_фаза итог]),"L1"),IF(OR(N(DL159)&gt;=3,N(BX159)&gt;=3),"L1,L2,L3",IFERROR(_xlfn.TEXTBEFORE(_xlfn.TEXTAFTER(_xlfn.XLOOKUP(A159,Щиты[Щит],Щиты[_фазы авто]),";"&amp;BA159&amp;":"),";"),"L1")))))</f>
        <v>L1</v>
      </c>
      <c r="FV159" t="str">
        <f t="shared" si="347"/>
        <v>L2</v>
      </c>
      <c r="FW159" t="str">
        <f t="shared" si="348"/>
        <v>L2</v>
      </c>
      <c r="FX159" cm="1">
        <f t="array" ref="FX159">IFERROR(IF(CD159=2,_xlfn.IFS(BX159=3,VLOOKUP(BS159,Справочная_двигатели,3,FALSE),BX159=1,VLOOKUP(BS159,Справочная_двигатели,5,TRUE)),0),0)</f>
        <v>0</v>
      </c>
      <c r="FY159">
        <f>IFERROR(IF(CD159=3,VLOOKUP(BS159,Справочная_ЛЭД,2,TRUE),0),0)</f>
        <v>0</v>
      </c>
      <c r="FZ159" s="6">
        <f t="shared" si="349"/>
        <v>0</v>
      </c>
      <c r="GA159" t="str">
        <f>IF(B159="","",IF(TRIM(AH159&amp;"")&lt;&gt;"",IF(LOWER(TRIM(AH159&amp;""))="да","да","нет"),IF(IFERROR(_xlfn.XLOOKUP(BC159,Коды_код,Коды_пожарная),"")="да","да","нет")))</f>
        <v>нет</v>
      </c>
      <c r="GB159" t="str">
        <f t="shared" si="350"/>
        <v/>
      </c>
      <c r="GC159" t="str">
        <f t="shared" si="351"/>
        <v>основная</v>
      </c>
      <c r="GD159">
        <f>IF(AND(BP159=1,TRIM(AE159&amp;"")=""),IF(COUNTIFS(Линии[Щит],A159,Линии[Секция (1/2/3)],"&gt;=2")&gt;0,MIN(3,MAX(1,IFERROR(--BD159,1))),1),IFERROR(MIN(3,MAX(1,INT(--AE159))),1))</f>
        <v>1</v>
      </c>
      <c r="GE159" t="str" cm="1">
        <f t="array" ref="GE159">IF(B159="","",_xlfn.LET(_xlpm.t,IFERROR(_xlfn.XLOOKUP(1,(Шины[Шина]=GC159)*(((Шины[Щит]=A159)+(Шины[Щит]=""))&gt;0),Шины[Тип]),"")&amp;"",IF(_xlpm.t&lt;&gt;"",_xlpm.t,IF(ISNUMBER(SEARCH("ИБП",GC159)),"ИБП",IF(ISNUMBER(SEARCH("ДГУ",GC159)),"ДГУ","Ввод "&amp;GD159)))))</f>
        <v>Ввод 1</v>
      </c>
      <c r="GF159" t="str">
        <f t="shared" si="352"/>
        <v>Ввод 1</v>
      </c>
      <c r="GG159" t="str">
        <f>IF(BP159=0,"",IF(TRIM(AG159&amp;"")&lt;&gt;"",TRIM(AG159&amp;""),IF(OR(GE159="ИБП",GE159="ДГУ"),"I особая",_xlfn.XLOOKUP(A159,Щиты[Щит],Щиты[Категория шины «Ввод»],"III"))))</f>
        <v/>
      </c>
      <c r="GH159" t="str">
        <f>IF(A159="","",_xlfn.XLOOKUP(A159,Щиты[Щит],Щиты[Путь],""))</f>
        <v>|ГРЩ-ЖД|ЩР-001|</v>
      </c>
      <c r="GI159" t="str">
        <f>IF(B159="","",IF(AI159&lt;&gt;"",AI159,IF(IFERROR(_xlfn.XLOOKUP(BC159,Коды_код,Коды_вид)&amp;"","")="","Прочее",_xlfn.XLOOKUP(BC159,Коды_код,Коды_вид)&amp;"")))</f>
        <v>Розеточная сеть и бытовые приборы</v>
      </c>
      <c r="GJ159">
        <f>IF(BM159="","",INT((BM159-1)/Столбцов_на_лист)+1)</f>
        <v>1</v>
      </c>
      <c r="GK159" t="str">
        <f t="shared" si="353"/>
        <v>ВВГнг(А)-LS (3х2,5) L=63-0,9%</v>
      </c>
      <c r="GL159">
        <f t="shared" si="354"/>
        <v>0.42</v>
      </c>
      <c r="GM159">
        <f t="shared" si="355"/>
        <v>1.92</v>
      </c>
      <c r="GN159">
        <f t="shared" si="356"/>
        <v>1</v>
      </c>
      <c r="GO159">
        <f t="shared" si="357"/>
        <v>0</v>
      </c>
      <c r="GP159">
        <f t="shared" si="358"/>
        <v>1</v>
      </c>
      <c r="GQ159">
        <f>IF(BM159="","",IF(AND(CG159=1,GP159=1),COUNTIFS(A$3:A159,A159,CG$3:CG159,1,GP$3:GP159,1),IF(OR(OR(BA159=1,A159&lt;&gt;A158),AJ159="вручную",GP159=0),"",IF(BA159=1,"",GR158))))</f>
        <v>5</v>
      </c>
      <c r="GR159">
        <f t="shared" si="359"/>
        <v>5</v>
      </c>
      <c r="GS159">
        <f>IF(B159="","",IFERROR(LOOKUP(INDEX(CHOOSE(EB159,Iдоп_1ж,Iдоп_2ж,Iдоп_3ж),MATCH(EN159,Iдоп_S,0))*DZ159*EA159,{6,10,16,20,25,32,40,50,63,80,100,125,160,200,250,315,400,500,630}),""))</f>
        <v>25</v>
      </c>
      <c r="GT159" t="str">
        <f t="shared" si="360"/>
        <v>QFD5</v>
      </c>
      <c r="GU159" t="str">
        <f t="shared" si="361"/>
        <v>QFD5</v>
      </c>
      <c r="GV159" t="str">
        <f t="shared" si="362"/>
        <v/>
      </c>
      <c r="GW159">
        <f t="shared" si="363"/>
        <v>0</v>
      </c>
      <c r="GX159" t="str">
        <f>IF(OR(B159="",DJ159=""),"",IFERROR(_xlfn.XLOOKUP(DJ159,Модули_умолч[Управление],Модули_умолч[Модель])&amp;"",""))</f>
        <v/>
      </c>
      <c r="GY159">
        <f>IF(DJ159="",1,IFERROR(MAX(0,N(_xlfn.XLOOKUP(DJ159,Модули_умолч[Управление],Модули_умолч[Каналов на линию]))),1))</f>
        <v>1</v>
      </c>
      <c r="GZ159" t="str">
        <f t="shared" si="364"/>
        <v/>
      </c>
      <c r="HA159" t="str">
        <f t="shared" si="365"/>
        <v/>
      </c>
      <c r="HB159" t="str">
        <f t="shared" si="366"/>
        <v/>
      </c>
      <c r="HC159">
        <f>IF(HB159="",0,IFERROR(N(VLOOKUP(HB159,Модули_спр,3,FALSE)),0))</f>
        <v>0</v>
      </c>
      <c r="HD159" t="str">
        <f t="shared" si="367"/>
        <v/>
      </c>
      <c r="HE159" t="str">
        <f t="shared" si="368"/>
        <v/>
      </c>
      <c r="HF159" t="str">
        <f>IF(OR(HE159="",HE159="-"),"",IFERROR(VLOOKUP(HE159,Модули_спр,2,FALSE),"R"))</f>
        <v/>
      </c>
      <c r="HG159" t="str">
        <f>IF(HF159="","",HF159&amp;"."&amp;COUNTIFS(A$3:A159,A159,HF$3:HF159,HF159))</f>
        <v/>
      </c>
      <c r="HH159" t="str">
        <f t="shared" si="369"/>
        <v/>
      </c>
      <c r="HI159" t="str">
        <f t="shared" si="370"/>
        <v/>
      </c>
      <c r="HJ159" t="str">
        <f t="shared" si="371"/>
        <v/>
      </c>
      <c r="HK159" t="str">
        <f t="shared" si="372"/>
        <v/>
      </c>
      <c r="HL159">
        <f t="shared" si="373"/>
        <v>1</v>
      </c>
      <c r="HM159" t="str">
        <f>IF(HL159=1,"XT"&amp;COUNTIFS(A$3:A159,A159,HL$3:HL159,1),"")</f>
        <v>XT5</v>
      </c>
      <c r="HN159" t="str">
        <f t="shared" si="374"/>
        <v>XT5</v>
      </c>
      <c r="HO159" t="str">
        <f t="shared" si="375"/>
        <v>QFD5</v>
      </c>
      <c r="HP159" t="str">
        <f t="shared" si="376"/>
        <v/>
      </c>
      <c r="HQ159" t="str">
        <f t="shared" si="377"/>
        <v>ok</v>
      </c>
      <c r="HR159" t="str">
        <f>IF(OR(HJ159="",HH159=""),"",IF(HJ159+MAX(0,GY159-1)&gt;IFERROR(VLOOKUP(HI159,Модули_спр,3,FALSE),99),"ЛИШНИЙ КАНАЛ",IF(AND(AL159&lt;&gt;"=",GY159&gt;0,COUNTIFS(Линии[_модуль гр.],HH159,Линии[Канал (итог)],HJ159,Линии[Канал],"&lt;&gt;=",Линии[Щит],A159)&gt;1),"ДУБЛЬ КАНАЛА","")))</f>
        <v/>
      </c>
      <c r="HS159" s="6" t="str">
        <f t="shared" si="378"/>
        <v/>
      </c>
      <c r="HT159">
        <f t="shared" si="379"/>
        <v>10</v>
      </c>
      <c r="HU159" t="str">
        <f t="shared" si="380"/>
        <v/>
      </c>
      <c r="HV159">
        <f t="shared" si="381"/>
        <v>1.3957487780830826</v>
      </c>
      <c r="HW159">
        <f t="shared" si="382"/>
        <v>0</v>
      </c>
      <c r="HX159">
        <f t="shared" si="383"/>
        <v>0</v>
      </c>
      <c r="HY159">
        <f t="shared" si="384"/>
        <v>0</v>
      </c>
      <c r="HZ159">
        <f t="shared" si="385"/>
        <v>0</v>
      </c>
      <c r="IA159">
        <f t="shared" si="386"/>
        <v>0</v>
      </c>
      <c r="IB159">
        <f t="shared" si="387"/>
        <v>0</v>
      </c>
      <c r="IC159" t="str">
        <f t="shared" si="388"/>
        <v/>
      </c>
      <c r="ID159" t="str" cm="1">
        <f t="array" ref="ID159">IF(IC159="","",_xlfn.LET(_xlpm.tk,_xlfn.TEXTSPLIT(SUBSTITUTE(SUBSTITUTE(IC159,";"," "),"→"," ")," ",,TRUE),_xlpm.w_,_xlfn._xlws.FILTER(_xlpm.tk,ISNUMBER(--LEFT(_xlpm.tk,1))*((ISNUMBER(SEARCH("W",_xlpm.tk))+ISNUMBER(SEARCH("Вт",_xlpm.tk)))&gt;0),""),IFERROR(--SUBSTITUTE(SUBSTITUTE(UPPER(INDEX(_xlpm.w_,1)),"W",""),"ВТ",""),"")))</f>
        <v/>
      </c>
      <c r="IE159" t="str" cm="1">
        <f t="array" ref="IE159">IF(IC159="","",_xlfn.LET(_xlpm.tk,_xlfn.TEXTSPLIT(SUBSTITUTE(SUBSTITUTE(IC159,";"," "),"→"," ")," ",,TRUE),_xlpm.v_,_xlfn._xlws.FILTER(_xlpm.tk,ISNUMBER(--LEFT(_xlpm.tk,1))*((ISNUMBER(SEARCH("V",_xlpm.tk))+(RIGHT(UPPER(_xlpm.tk))="В"))&gt;0),""),IFERROR(--SUBSTITUTE(SUBSTITUTE(UPPER(INDEX(_xlpm.v_,1)),"V",""),"В",""),"")))</f>
        <v/>
      </c>
      <c r="IF159" s="6" t="str">
        <f>IF(OR(BV159=0,HI159="",HJ159=""),"",IFERROR(N(_xlfn.XLOOKUP(HI159,Каталог!$C$4:$C$500,Каталог!$Q$4:$Q$500)),""))</f>
        <v/>
      </c>
      <c r="IG159" s="6" t="str">
        <f>IF(N(IF159)=0,"",SUMIFS(Линии[Iр, А],Линии[Щит],A159,Линии[_модуль гр.],HH159,Линии[Канал (итог)],HJ159))</f>
        <v/>
      </c>
      <c r="IH159" t="str">
        <f>IF(AND(B159="",HO159=""),"",_xlfn.TEXTJOIN("; ",TRUE,IF(AND(B159&lt;&gt;"",FV159=""),"нет фазы",""),IF(AND(B159&lt;&gt;"",N(GL159)=0,FG159&lt;&gt;"Нет"),"нет мощности",""),IF(AND(HN159&lt;&gt;"",COUNTIFS(Линии[Щит],A159,Линии[Клемма (итог)],HN159)&gt;1),"дубль клеммы "&amp;HN159,""),IF(AND(HQ159&lt;&gt;"",HQ159&lt;&gt;"ok"),HQ159,""),IF(HR159&lt;&gt;"",HR159,""),IF(AND(N(CB159)&gt;=4,N(BX159)=1),CB159&amp;" жил на 1 фазе",""),IF(AND(BC159="R",CG159=1,IF(CS159&lt;&gt;"",N(CV159)&gt;30,OR(N(DA159)=0,N(DA159)&gt;30))),"розетка без дифзащиты до 30 мА",""),IF(AND(CG159=1,N(DA159)&gt;0,ISNUMBER(T159)),IF(T159&gt;N(DA159)/3,"ток утечки "&amp;FIXED(T159,1)&amp;" мА &gt; 1/3 уставки ("&amp;DA159&amp;" мА)",""),""),IF(AND(CH159=1,CS159=""),"«узо»: нет строки с УЗО выше (УЗО 2P 40А 30мА в «Аппаратах»)",""),IF(AND(CS159&lt;&gt;"",CS159=BA159),IF(CT159="","впишите номинал УЗО (УЗО 2P 40А 30мА)",IF(N(CT159)&lt;N(DT159),"УЗО "&amp;CT159&amp;" А &lt; автомата "&amp;DT159&amp;" А перед ним",IF(N(CT159)&lt;N(CX159),"УЗО "&amp;CT159&amp;" А &lt; тока блока "&amp;FIXED(CX159,1)&amp;" А",""))),""),IF(AND(CS159&lt;&gt;"",CS159=BA159,ISNUMBER(CY159)),IF(CY159&gt;N(CV159)/3,"ток утечки блока УЗО "&amp;FIXED(CY159,1)&amp;" мА &gt; 1/3 уставки ("&amp;CV159&amp;" мА)",""),""),IF(AND(CG159=1,N(BV159)+N(IB159)&gt;0,IC159=""),"линии до 50 В без БП: впишите в «Аппараты» (БП 24V 480W)",""),IF(AND(CG159=1,ISNUMBER(ID159),ISNUMBER(U159)),IF(U159&gt;ID159,"БП "&amp;ID159&amp;" Вт &lt; нужно "&amp;U159&amp;" Вт (×"&amp;Запас_БП&amp;")",""),""),IF(AND(CG159=1,ISNUMBER(IE159),N(BV159)=1),IF(IE159&lt;&gt;N(BU159),"БП на "&amp;IE159&amp;" В, линия "&amp;BU159&amp;" В",""),""),IF(AND(N(IF159)&gt;0,N(IG159)&gt;N(IF159)),HH159&amp;" канал "&amp;HJ159&amp;": "&amp;FIXED(IG159,1)&amp;" А &gt; "&amp;IF159&amp;" А",""),IFERROR(IF(AND(ISNUMBER(Q159),Q159&gt;EL159),"потери "&amp;FIXED(Q159,1)&amp;" % &gt; "&amp;EL159&amp;" %",""),""),IFERROR(IF(LEFT(HU159,4)="мало","Iкз мало — отключение &gt; 0,4 с",""),""),IF(AND(B159&lt;&gt;"",BM159=""),"не на схеме",""),IF(AND(CG159=0,B159&lt;&gt;"",FV159&lt;&gt;"",IF(BA159=1,"",FW158)&lt;&gt;"",FV159&lt;&gt;IF(BA159=1,"",FW158)),"фаза не как у автомата группы ("&amp;IF(BA159=1,"",FW158)&amp;")","")))</f>
        <v/>
      </c>
      <c r="II159" s="6">
        <f>IF(OR(CG159=0,DQ159=""),"",_xlfn.LET(_xlpm.t,IFERROR(_xlfn.XLOOKUP(DQ159,Каталог!$U$4:$U$500,Каталог!$G$4:$G$500),""),_xlpm.k,SEARCH("кА",_xlpm.t),IFERROR(--TRIM(RIGHT(SUBSTITUTE(MID(_xlpm.t,MAX(1,_xlpm.k-4),_xlpm.k-MAX(1,_xlpm.k-4))," ",REPT(" ",9)),5)),"")))</f>
        <v>6</v>
      </c>
      <c r="IJ159" t="str">
        <f>IF(OR(II159="",CG159=0),"",IF(_xlfn.XLOOKUP(A159,Щиты[Щит],Щиты[Iкз max на шинах, кА],"")="","",IF(II159&lt;_xlfn.XLOOKUP(A159,Щиты[Щит],Щиты[Iкз max на шинах, кА]),"Icu "&amp;II159&amp;" кА &lt; Iкз max","ok")))</f>
        <v/>
      </c>
      <c r="IK159" t="str">
        <f t="shared" si="389"/>
        <v/>
      </c>
      <c r="IL159" t="str">
        <f t="shared" si="390"/>
        <v>QFD5|XT5</v>
      </c>
      <c r="IM159" t="str">
        <f t="shared" si="391"/>
        <v>QFD5|XT5|кабель ВВГнг(А)-LS (3х2,5) → Розеточная группа, пом. 001Б</v>
      </c>
      <c r="IN159" t="str" cm="1">
        <f t="array" ref="IN159">IF(IM159="","",_xlfn.LET(_xlpm.nd,_xlfn.TEXTSPLIT(IM159,"|"),IF(COLUMNS(_xlpm.nd)&gt;1,A159&amp;"¦"&amp;INDEX(_xlpm.nd,1)&amp;"¦"&amp;INDEX(_xlpm.nd,2),"")))</f>
        <v>ЩР-001¦QFD5¦XT5</v>
      </c>
      <c r="IO159" t="str">
        <f t="shared" si="392"/>
        <v>R.00.001Б.2¦Розеточная группа, пом. 001Б</v>
      </c>
      <c r="IP159" t="str" cm="1">
        <f t="array" ref="IP159">IF(IM159="","",_xlfn.LET(_xlpm.nd,_xlfn.TEXTSPLIT(IM159,"|"),IF(COLUMNS(_xlpm.nd)&gt;2,A159&amp;"¦"&amp;INDEX(_xlpm.nd,2)&amp;"¦"&amp;INDEX(_xlpm.nd,3),"")))</f>
        <v>ЩР-001¦XT5¦кабель ВВГнг(А)-LS (3х2,5) → Розеточная группа, пом. 001Б</v>
      </c>
      <c r="IQ159" t="str">
        <f t="shared" si="393"/>
        <v>R.00.001Б.2¦Розеточная группа, пом. 001Б</v>
      </c>
      <c r="IR159" t="str" cm="1">
        <f t="array" ref="IR159">IF(IM159="","",_xlfn.LET(_xlpm.nd,_xlfn.TEXTSPLIT(IM159,"|"),IF(COLUMNS(_xlpm.nd)&gt;3,A159&amp;"¦"&amp;INDEX(_xlpm.nd,3)&amp;"¦"&amp;INDEX(_xlpm.nd,4),"")))</f>
        <v/>
      </c>
      <c r="IS159" t="str">
        <f t="shared" si="394"/>
        <v/>
      </c>
      <c r="IT159" t="str" cm="1">
        <f t="array" ref="IT159">IF(IM159="","",_xlfn.LET(_xlpm.nd,_xlfn.TEXTSPLIT(IM159,"|"),IF(COLUMNS(_xlpm.nd)&gt;4,A159&amp;"¦"&amp;INDEX(_xlpm.nd,4)&amp;"¦"&amp;INDEX(_xlpm.nd,5),"")))</f>
        <v/>
      </c>
      <c r="IU159" t="str">
        <f t="shared" si="395"/>
        <v/>
      </c>
      <c r="IV159" t="str" cm="1">
        <f t="array" ref="IV159">IF(IM159="","",_xlfn.LET(_xlpm.nd,_xlfn.TEXTSPLIT(IM159,"|"),IF(COLUMNS(_xlpm.nd)&gt;5,A159&amp;"¦"&amp;INDEX(_xlpm.nd,5)&amp;"¦"&amp;INDEX(_xlpm.nd,6),"")))</f>
        <v/>
      </c>
      <c r="IW159" t="str">
        <f t="shared" si="396"/>
        <v/>
      </c>
      <c r="IX159" t="str" cm="1">
        <f t="array" ref="IX159">IF(IM159="","",_xlfn.LET(_xlpm.nd,_xlfn.TEXTSPLIT(IM159,"|"),IF(COLUMNS(_xlpm.nd)&gt;6,A159&amp;"¦"&amp;INDEX(_xlpm.nd,6)&amp;"¦"&amp;INDEX(_xlpm.nd,7),"")))</f>
        <v/>
      </c>
      <c r="IY159" t="str">
        <f t="shared" si="397"/>
        <v/>
      </c>
      <c r="IZ159" t="str">
        <f t="shared" si="398"/>
        <v/>
      </c>
      <c r="JA159" t="str">
        <f t="shared" si="399"/>
        <v>QFD5 → XT5</v>
      </c>
      <c r="JB159">
        <f t="shared" si="400"/>
        <v>0</v>
      </c>
      <c r="JC159">
        <f t="shared" si="401"/>
        <v>1</v>
      </c>
      <c r="JD159" t="str">
        <f t="shared" si="402"/>
        <v/>
      </c>
      <c r="JE159" t="str">
        <f t="shared" si="403"/>
        <v/>
      </c>
      <c r="JF159" t="str">
        <f t="shared" si="404"/>
        <v/>
      </c>
      <c r="JG159" t="str">
        <f t="shared" si="405"/>
        <v/>
      </c>
      <c r="JH159" t="str">
        <f>IF(B159="","",IFERROR(_xlfn.XLOOKUP(B159,Коды_код,Коды_уго),IFERROR(_xlfn.XLOOKUP(BC159,Коды_код,Коды_уго),IFERROR(_xlfn.XLOOKUP(LEFT(BC159,2),Коды_код,Коды_уго),""))))</f>
        <v>Розетка</v>
      </c>
      <c r="JI159" t="str">
        <f>IF(B159="","",IF(OR(JH159="",JH159=0),"BOX",IFERROR(IF(VLOOKUP(JH159,УГО_блоки,3,FALSE)&amp;""&lt;&gt;"",VLOOKUP(JH159,УГО_блоки,3,FALSE),VLOOKUP(JH159,УГО_блоки,2,FALSE)),JH159)))</f>
        <v>SOCKET</v>
      </c>
      <c r="JJ159">
        <f t="shared" si="406"/>
        <v>1</v>
      </c>
      <c r="JK159" t="str">
        <f>IF(DQ159="","",IF(COUNTIF(DQ$3:DQ159,DQ159)=1,MAX(JK$2:JK158)+1,""))</f>
        <v/>
      </c>
      <c r="JL159" t="str">
        <f>IF(DE159="","",IF(COUNTIF(DE$3:DE159,DE159)+COUNTIF(DF$2:DF158,DE159)+COUNTIF(DG$2:DG158,DE159)=1,MAX(JL$2:JN158)+1,""))</f>
        <v/>
      </c>
      <c r="JM159" t="str">
        <f>IF(DF159="","",IF(COUNTIF(DE$3:DE159,DF159)+COUNTIF(DF$3:DF159,DF159)+COUNTIF(DG$2:DG158,DF159)=1,MAX(JL$2:JN158,JL159)+1,""))</f>
        <v/>
      </c>
      <c r="JN159" t="str">
        <f>IF(DG159="","",IF(COUNTIF(DE$3:DE159,DG159)+COUNTIF(DF$3:DF159,DG159)+COUNTIF(DG$3:DG159,DG159)=1,MAX(JL$2:JN158,JL159,JM159)+1,""))</f>
        <v/>
      </c>
      <c r="JO159" t="str">
        <f t="shared" si="407"/>
        <v>3х2,5</v>
      </c>
      <c r="JP159" t="str">
        <f>IF(JO159="","",IF(COUNTIF(JO$3:JO159,JO159)=1,MAX(JP$2:JP158)+1,""))</f>
        <v/>
      </c>
      <c r="JQ159" t="str">
        <f>IF(HG159="","",COUNTIF(HG$3:HG159,"?*"))</f>
        <v/>
      </c>
      <c r="JR159" t="str">
        <f>IF(OR(HG159="",HI159=""),"",IF(COUNTIFS(HG$3:HG159,"?*",HI$3:HI159,HI159)=1,MAX(JR$2:JR158)+1,""))</f>
        <v/>
      </c>
      <c r="JS159">
        <f t="shared" si="408"/>
        <v>0</v>
      </c>
      <c r="JT159">
        <f>IF(B159="","",COUNTIF(B$3:B159,"?*"))</f>
        <v>157</v>
      </c>
      <c r="JU159">
        <f>IF(HL159&lt;&gt;1,0,_xlfn.LET(_xlpm.k,MAX(IFERROR(--_xlfn.XLOOKUP(B159,Коды_код,Коды_3L),0),IFERROR(--_xlfn.XLOOKUP(BC159,Коды_код,Коды_3L),0),IFERROR(--_xlfn.XLOOKUP(LEFT(BC159,2),Коды_код,Коды_3L),0)),IF(_xlpm.k&gt;0,_xlpm.k,IF(IFERROR(--LEFT(SUBSTITUTE(JO159,"x","х"),FIND("х",SUBSTITUTE(JO159,"x","х"))-1),3)&gt;3,Каталог!$S$9,1))))</f>
        <v>1</v>
      </c>
      <c r="JV159">
        <f t="shared" si="409"/>
        <v>0</v>
      </c>
      <c r="JW159" t="str">
        <f t="shared" si="410"/>
        <v>авто</v>
      </c>
      <c r="JX159">
        <f t="shared" si="411"/>
        <v>30</v>
      </c>
      <c r="JY159">
        <f t="shared" si="412"/>
        <v>1</v>
      </c>
      <c r="JZ159">
        <f t="shared" si="413"/>
        <v>1</v>
      </c>
    </row>
    <row r="160" spans="1:286" x14ac:dyDescent="0.3">
      <c r="A160" t="s">
        <v>753</v>
      </c>
      <c r="B160" t="s">
        <v>1468</v>
      </c>
      <c r="C160" t="str">
        <f>Линии[[#This Row],[_авто наименование]]</f>
        <v>Розеточная группа, пом. 005Т</v>
      </c>
      <c r="D160">
        <v>5</v>
      </c>
      <c r="E160">
        <v>0.3</v>
      </c>
      <c r="G160">
        <v>16</v>
      </c>
      <c r="H160" t="str">
        <f>Линии[[#This Row],[_авто управление]]</f>
        <v/>
      </c>
      <c r="I160" t="str">
        <f>Линии[[#This Row],[_авто аппараты]]</f>
        <v/>
      </c>
      <c r="J160">
        <v>2.5</v>
      </c>
      <c r="K160">
        <v>35</v>
      </c>
      <c r="L160">
        <v>1</v>
      </c>
      <c r="M160" t="str">
        <f>Линии[[#This Row],[_авто клемма]]</f>
        <v>XT6</v>
      </c>
      <c r="N160" t="str">
        <f t="shared" si="276"/>
        <v/>
      </c>
      <c r="O160" s="6" cm="1">
        <f t="array" ref="O160">IF(B160="","",IF(BH160&lt;&gt;"",IFERROR(_xlfn.XLOOKUP(BH160,Щиты[Щит],Щиты[Iр, А]),""),IF(BP160=1,IF(OR(N(_xlfn.XLOOKUP(A160,Щиты[Щит],Щиты[Вводов],1))&lt;=1,LOWER(TRIM(_xlfn.XLOOKUP(A160,Щиты[Щит],Щиты[АВР],"")&amp;""))="да"),IFERROR(_xlfn.XLOOKUP(A160,Щиты[Щит],Щиты[Iр, А]),""),IFERROR(N(BS160)*_xlfn.XLOOKUP(A160,Щиты[Щит],Щиты[Кс итог])/(SQRT(3)*Uн_лин*_xlfn.XLOOKUP(A160,Щиты[Щит],Щиты[cos φ])),"")),IF(BV160=1,IFERROR(BS160*1000/BU160,""),IFERROR(_xlfn.IFS(BX160=1,BS160/((Uн_лин/SQRT(3))*CE160),BX160=3,BS160/(SQRT(3)*Uн_лин*CE160)),"")))))</f>
        <v>1.3674085322912188</v>
      </c>
      <c r="P160" s="7">
        <f>IF(B160="","",IFERROR(IF(VLOOKUP(BC160,Потребители_обозначение,4,FALSE)=1,VLOOKUP(BC160,Потребители_обозначение,3,FALSE)*(MAX(1,N(D160))*2-1)+EI160+VLOOKUP(BE160,Этаж_обозначение,3,FALSE)+VLOOKUP(BE160,Этаж_обозначение,4,FALSE),VLOOKUP(BC160,Потребители_обозначение,3,FALSE)*(MAX(1,N(D160))*2-1)+EI160),EI160))</f>
        <v>62</v>
      </c>
      <c r="Q160" s="6">
        <f t="shared" si="277"/>
        <v>2.21</v>
      </c>
      <c r="R160" t="str">
        <f t="shared" si="278"/>
        <v>ВВГнг(А)-LS (3х2,5)</v>
      </c>
      <c r="S160" t="str">
        <f>IF(BM160="","",IF(BN160="вводной узел","узел ","")&amp;"л."&amp;(INT((BM160-1)/Столбцов_на_лист)+1)&amp;" / "&amp;(MOD(BM160-1,Столбцов_на_лист)+1))</f>
        <v>л.1 / 13</v>
      </c>
      <c r="T160" s="119">
        <f t="shared" si="279"/>
        <v>1.2</v>
      </c>
      <c r="U160" s="7" t="str">
        <f>IF(OR(CG160=0,N(BV160)+N(IB160)=0),"",ROUNDUP(Запас_БП*(N(HY160)+N(HZ160)),0))</f>
        <v/>
      </c>
      <c r="V160" s="119" t="str">
        <f t="shared" si="280"/>
        <v/>
      </c>
      <c r="W160" s="7" t="str">
        <f>IFERROR(IF(OR(B160="",BP160=1,BV160=1,NOT(ISNUMBER(EN160)),N(DT160)=0),"",MAX(0,ROUNDDOWN((c_min*(Uн_лин*1000/SQRT(3))/(HT160*N(DT160))-_xlfn.XLOOKUP(A160,Щиты[Щит],Щиты[Zпетли на шинах, Ом]))*EN160/(2*ρкз_Cu),0))),"")</f>
        <v/>
      </c>
      <c r="Y160">
        <f>Линии[[#This Row],[_авто утечка]]</f>
        <v>30</v>
      </c>
      <c r="Z160">
        <v>1</v>
      </c>
      <c r="AA160">
        <v>230</v>
      </c>
      <c r="AB160" t="s">
        <v>562</v>
      </c>
      <c r="AG160" t="s">
        <v>810</v>
      </c>
      <c r="AI160" t="s">
        <v>561</v>
      </c>
      <c r="AK160" t="str">
        <f>Линии[[#This Row],[_авто модуль]]</f>
        <v/>
      </c>
      <c r="AM160">
        <v>13</v>
      </c>
      <c r="AN160" t="s">
        <v>11</v>
      </c>
      <c r="AO160">
        <v>3</v>
      </c>
      <c r="AQ160">
        <v>16</v>
      </c>
      <c r="AR160">
        <v>31</v>
      </c>
      <c r="AS160">
        <v>15</v>
      </c>
      <c r="BA160" cm="1">
        <f t="array" ref="BA160">ROW()-ROW(Линии[#Headers])</f>
        <v>158</v>
      </c>
      <c r="BC160" s="6" t="str">
        <f t="shared" si="281"/>
        <v>R</v>
      </c>
      <c r="BD160" t="str">
        <f t="shared" si="282"/>
        <v>00.005Т.1</v>
      </c>
      <c r="BE160" t="str">
        <f t="shared" si="283"/>
        <v>00</v>
      </c>
      <c r="BF160" t="str">
        <f t="shared" si="284"/>
        <v>005Т.1</v>
      </c>
      <c r="BG160" t="str">
        <f t="shared" si="285"/>
        <v>005Т</v>
      </c>
      <c r="BH160" t="str">
        <f>IF(X160&lt;&gt;"",X160,IF(AND(B160&lt;&gt;"",B160&lt;&gt;A160,ISNUMBER(_xlfn.XMATCH(B160,Щиты[Щит]))),B160,""))</f>
        <v/>
      </c>
      <c r="BI160" t="str" cm="1">
        <f t="array" ref="BI160">IF(B160="","",IF(BH160&lt;&gt;"","Щит "&amp;BH160,_xlfn.LET(_xlpm.nm,IFERROR(_xlfn.XLOOKUP(BC160,Коды_код,Коды_имя)&amp;"",""),_xlpm.md,IFERROR(N(_xlfn.XLOOKUP(BC160,Коды_код,Коды_режим)),1),_xlpm.ex,IF(Имя_режим="по экспликации",IFERROR(_xlfn.XLOOKUP(BE160&amp;"|"&amp;BG160,Экспликация[Этаж]&amp;"|"&amp;Экспликация[Помещение],Экспликация[Название])&amp;"",""),""),_xlpm.rm,IF(BG160="","",IF(_xlpm.ex&lt;&gt;"",". "&amp;_xlpm.ex&amp;IF(Имя_пом="нет"," ("&amp;BG160&amp;")"," (пом. "&amp;BG160&amp;")"),IF(Имя_пом="нет"," ",", пом. ")&amp;BG160)),IF(_xlpm.nm="","",IF(_xlpm.md=2,_xlpm.nm&amp;" шлейф "&amp;BE160,_xlpm.nm&amp;_xlpm.rm)))))</f>
        <v>Розеточная группа, пом. 005Т</v>
      </c>
      <c r="BJ160" t="str">
        <f t="shared" si="286"/>
        <v>Розеточная группа, пом. 005Т</v>
      </c>
      <c r="BK160">
        <f>IFERROR(_xlfn.XMATCH(A160,Щиты[Щит]),0)</f>
        <v>8</v>
      </c>
      <c r="BL160">
        <f>_xlfn.LET(_xlpm.k,IFERROR(_xlfn.XLOOKUP(A160,Щиты[Щит],Щиты[Мест под вводной узел]),""),IF(_xlpm.k="",Столбцов_на_лист,N(_xlpm.k)))</f>
        <v>7</v>
      </c>
      <c r="BM160">
        <f t="shared" si="287"/>
        <v>13</v>
      </c>
      <c r="BN160" t="str">
        <f t="shared" si="288"/>
        <v>линии</v>
      </c>
      <c r="BO160" s="6">
        <f>IFERROR(N(_xlfn.XLOOKUP(BC160,Коды_код,Коды_квт)),0)</f>
        <v>0</v>
      </c>
      <c r="BP160">
        <f t="shared" si="289"/>
        <v>0</v>
      </c>
      <c r="BQ160" t="str">
        <f>IF(B160="","",IF(BH160&lt;&gt;"",IFERROR(_xlfn.XLOOKUP(BH160,Щиты[Щит],Щиты[Руст, кВт]),0),IF(BP160=1,IF(OR(N(_xlfn.XLOOKUP(A160,Щиты[Щит],Щиты[Вводов],1))&lt;=1,LOWER(TRIM(_xlfn.XLOOKUP(A160,Щиты[Щит],Щиты[АВР],"")&amp;""))="да"),IFERROR(_xlfn.XLOOKUP(A160,Щиты[Щит],Щиты[Руст, кВт]),0),SUMIFS(Линии[_Р для вводов],Линии[Щит],A160,Линии[Источник для режимов],GF160)),IF(BO160&gt;0,ROUND(BO160*MAX(1,N(D160)),3),""))))</f>
        <v/>
      </c>
      <c r="BR160">
        <f t="shared" si="290"/>
        <v>0.3</v>
      </c>
      <c r="BS160" s="6">
        <f>IF(B160="","",IF(BH160&lt;&gt;"",IFERROR(_xlfn.XLOOKUP(BH160,Щиты[Щит],Щиты[Руст, кВт]),0),N(BR160)))</f>
        <v>0.3</v>
      </c>
      <c r="BT160" t="str">
        <f>IF(B160="","",IFERROR(IF(VLOOKUP(BC160,Потребители_обозначение,8,FALSE)=0,"",VLOOKUP(BC160,Потребители_обозначение,8,FALSE)),""))</f>
        <v/>
      </c>
      <c r="BU160">
        <f t="shared" si="291"/>
        <v>230</v>
      </c>
      <c r="BV160">
        <f t="shared" si="292"/>
        <v>0</v>
      </c>
      <c r="BW160">
        <f>IF(B160="","",IF(BH160&lt;&gt;"",3,IFERROR(IF(N(VLOOKUP(BC160,Потребители_обозначение,9,FALSE))=0,1,VLOOKUP(BC160,Потребители_обозначение,9,FALSE)),1)))</f>
        <v>1</v>
      </c>
      <c r="BX160">
        <f t="shared" si="293"/>
        <v>1</v>
      </c>
      <c r="BY160" t="str">
        <f>IF(B160="","",_xlfn.LET(_xlpm.bc,IFERROR(IF(VLOOKUP(BC160,Потребители_обозначение,6,FALSE)=0,"",VLOOKUP(BC160,Потребители_обозначение,6,FALSE)&amp;""),""),IF(AND(GA160="да",OR(_xlpm.bc="",_xlpm.bc="мс")),Марка_пож,IF(AND(_xlpm.bc="",BH160&lt;&gt;""),"мс",_xlpm.bc))))</f>
        <v/>
      </c>
      <c r="BZ160" t="str">
        <f t="shared" si="294"/>
        <v>мс</v>
      </c>
      <c r="CA160">
        <f>IF(B160="","",_xlfn.LET(_xlpm.cc,IFERROR(N(VLOOKUP(BC160,Потребители_обозначение,7,FALSE)),0),IF(_xlpm.cc&gt;0,_xlpm.cc,IF(BZ160="","",IF(BV160=1,2,IF(N(BX160)=3,5,3))))))</f>
        <v>3</v>
      </c>
      <c r="CB160">
        <f t="shared" si="295"/>
        <v>3</v>
      </c>
      <c r="CC160">
        <f>IFERROR(N(VLOOKUP(BC160,Потребители_обозначение,10,FALSE)),0)</f>
        <v>0</v>
      </c>
      <c r="CD160">
        <f>IFERROR(VLOOKUP(BC160,Потребители_обозначение,5,FALSE),0)</f>
        <v>1</v>
      </c>
      <c r="CE160" s="6" cm="1">
        <f t="array" ref="CE160">IF(B160="","",IF(BH160&lt;&gt;"",IFERROR(_xlfn.XLOOKUP(BH160,Щиты[Щит],Щиты[cos φ]),0.95),IF(BP160=1,IFERROR(_xlfn.XLOOKUP(A160,Щиты[Щит],Щиты[cos φ]),0.95),IF(ISNUMBER(AD160),AD160,IFERROR(IF(CD160=2,_xlfn.IFS(BX160=3,VLOOKUP(BS160,Справочная_двигатели,8,FALSE),BX160=1,VLOOKUP(BS160,Справочная_двигатели,10,TRUE)),IF(AND(Методика="нормы 2026",FG160="Сил"),0.8,0.95)),0.95)))))</f>
        <v>0.95</v>
      </c>
      <c r="CF160">
        <f t="shared" si="296"/>
        <v>0</v>
      </c>
      <c r="CG160">
        <f t="shared" si="297"/>
        <v>1</v>
      </c>
      <c r="CH160">
        <f t="shared" si="298"/>
        <v>0</v>
      </c>
      <c r="CI160">
        <f>IF(B160="","",IF(BV160=1,IFERROR(BS160/((Uн_лин/SQRT(3))*MAX(0.5,N(CE160))),0),N(O160)))</f>
        <v>1.3674085322912188</v>
      </c>
      <c r="CJ160">
        <f t="shared" si="299"/>
        <v>0</v>
      </c>
      <c r="CK160">
        <f t="shared" si="300"/>
        <v>0</v>
      </c>
      <c r="CL160">
        <f t="shared" si="301"/>
        <v>0</v>
      </c>
      <c r="CM160">
        <f t="shared" si="302"/>
        <v>0</v>
      </c>
      <c r="CN160">
        <f t="shared" si="303"/>
        <v>0</v>
      </c>
      <c r="CO160">
        <f>IF(BC160="",0,_xlfn.LET(_xlpm.v,IFERROR(_xlfn.XLOOKUP(B160,Коды_код,Коды_мА),IFERROR(_xlfn.XLOOKUP(BC160,Коды_код,Коды_мА),IFERROR(_xlfn.XLOOKUP(LEFT(BC160,2),Коды_код,Коды_мА),""))),IF(_xlpm.v="да",30,IF(ISNUMBER(_xlpm.v),_xlpm.v,0))))</f>
        <v>30</v>
      </c>
      <c r="CP160">
        <f t="shared" si="304"/>
        <v>30</v>
      </c>
      <c r="CQ160" t="str">
        <f>_xlfn.LET(_xlpm.k,IFERROR(_xlfn.XLOOKUP(BC160,Коды_код,Коды_утечка)&amp;"",""),IF(_xlpm.k="","дифавтомат",_xlpm.k))</f>
        <v>дифавтомат</v>
      </c>
      <c r="CR160" t="str" cm="1">
        <f t="array" ref="CR160">IF(CG160=0,"",_xlfn.LET(_xlpm.sg,TRIM(_xlfn.TEXTSPLIT(DD160&amp;"",";")),_xlpm.f_,_xlfn._xlws.FILTER(_xlpm.sg,LEFT(_xlpm.sg,3)="УЗО",""),IFERROR(INDEX(_xlpm.f_,1)&amp;"","")))</f>
        <v/>
      </c>
      <c r="CS160" t="str">
        <f t="shared" si="305"/>
        <v/>
      </c>
      <c r="CT160" s="6" t="str" cm="1">
        <f t="array" ref="CT160">IF(CR160="","",_xlfn.LET(_xlpm.tk,_xlfn.TEXTSPLIT(UPPER(CR160)," ",,TRUE),_xlpm.a_,_xlfn._xlws.FILTER(_xlpm.tk,ISNUMBER(--LEFT(_xlpm.tk,1))*((ISNUMBER(SEARCH("А",_xlpm.tk))+ISNUMBER(SEARCH("A",_xlpm.tk)))&gt;0)*NOT(ISNUMBER(SEARCH("МА",_xlpm.tk)))*NOT(ISNUMBER(SEARCH("MA",_xlpm.tk))),""),IFERROR(--SUBSTITUTE(SUBSTITUTE(INDEX(_xlpm.a_,1),"А",""),"A",""),"")))</f>
        <v/>
      </c>
      <c r="CU160" t="str" cm="1">
        <f t="array" ref="CU160">IF(CR160="","",_xlfn.LET(_xlpm.tk,_xlfn.TEXTSPLIT(UPPER(CR160)," ",,TRUE),_xlpm.a_,_xlfn._xlws.FILTER(_xlpm.tk,ISNUMBER(--LEFT(_xlpm.tk,1))*((ISNUMBER(SEARCH("МА",_xlpm.tk))+ISNUMBER(SEARCH("MA",_xlpm.tk)))&gt;0),""),IFERROR(--SUBSTITUTE(SUBSTITUTE(INDEX(_xlpm.a_,1),"МА",""),"MA",""),30)))</f>
        <v/>
      </c>
      <c r="CV160" t="str">
        <f>IF(CS160="","",IFERROR(_xlfn.XLOOKUP(CS160,Линии[_n],Линии[_УЗО, мА]),30))</f>
        <v/>
      </c>
      <c r="CW160">
        <f>IF(CS160="",0,IF(ISNUMBER(SEARCH("4P",IFERROR(_xlfn.XLOOKUP(CS160,Линии[_n],Линии[_УЗО строки])&amp;"",""))),0,1))</f>
        <v>0</v>
      </c>
      <c r="CX160" t="str">
        <f>IF(AND(CS160&lt;&gt;"",CS160=BA160),SUMIFS(Линии[_ток на 230 В],Линии[_блок УЗО],BA160,Линии[Щит],A160),"")</f>
        <v/>
      </c>
      <c r="CY160" t="str">
        <f>IF(AND(CS160&lt;&gt;"",CS160=BA160),SUMIFS(Линии[_ток утечки линии, мА],Линии[_блок УЗО],BA160,Линии[Щит],A160),"")</f>
        <v/>
      </c>
      <c r="CZ160">
        <f t="shared" si="306"/>
        <v>30</v>
      </c>
      <c r="DA160">
        <f t="shared" si="307"/>
        <v>30</v>
      </c>
      <c r="DB160">
        <f>IF(B160="",0,IFERROR(--_xlfn.XLOOKUP(B160,Коды_код,Коды_минавт),IFERROR(--_xlfn.XLOOKUP(BC160,Коды_код,Коды_минавт),IFERROR(--_xlfn.XLOOKUP(LEFT(BC160,2),Коды_код,Коды_минавт),0))))</f>
        <v>16</v>
      </c>
      <c r="DC160" t="str">
        <f>IF(B160="","",IFERROR(_xlfn.XLOOKUP(BC160,Коды_код,Коды_апп)&amp;"",""))</f>
        <v/>
      </c>
      <c r="DD160" t="str">
        <f t="shared" si="308"/>
        <v/>
      </c>
      <c r="DE160" t="str" cm="1">
        <f t="array" ref="DE160">IF(TRIM(DD160&amp;"")="","",IFERROR(TRIM(INDEX(_xlfn.TEXTSPLIT(DD160&amp;";;;",";"),1)),""))</f>
        <v/>
      </c>
      <c r="DF160" t="str" cm="1">
        <f t="array" ref="DF160">IF(TRIM(DD160&amp;"")="","",IFERROR(TRIM(INDEX(_xlfn.TEXTSPLIT(DD160&amp;";;;",";"),2)),""))</f>
        <v/>
      </c>
      <c r="DG160" t="str" cm="1">
        <f t="array" ref="DG160">IF(TRIM(DD160&amp;"")="","",IFERROR(TRIM(INDEX(_xlfn.TEXTSPLIT(DD160&amp;";;;",";"),3)),""))</f>
        <v/>
      </c>
      <c r="DH160">
        <f t="shared" si="309"/>
        <v>0</v>
      </c>
      <c r="DI160" t="str">
        <f>IF(B160="","",_xlfn.LET(_xlpm.t,LOWER(AZ160&amp;""),IF(ISNUMBER(SEARCH("dim",_xlpm.t)),"DIM",IF(ISNUMBER(SEARCH("dali",_xlpm.t)),"DALI",IF(OR(ISNUMBER(SEARCH("relay",_xlpm.t)),ISNUMBER(SEARCH("реле",_xlpm.t))),"Relay",IF(ISNUMBER(SEARCH("кнопк",_xlpm.t)),"",IFERROR(_xlfn.XLOOKUP(BC160,Коды_код,Коды_упр)&amp;"","")))))))</f>
        <v/>
      </c>
      <c r="DJ160" t="str">
        <f t="shared" si="310"/>
        <v/>
      </c>
      <c r="DK160">
        <f>IF(B160="","",_xlfn.LET(_xlpm.ig,IF(N(CX160)&gt;0,N(CX160),N(CI160)+IF(AJ160="вручную",0,N(CJ160))),_xlpm.n0,IFERROR(VLOOKUP(_xlpm.ig,Автомат_номиналы,2,TRUE),0),_xlpm.mn,MAX(DB160,IF(AJ160="вручную",0,N(CM160))),MAX(_xlpm.n0,_xlpm.mn,IF(DH160=1,Мин_автомат_БП,0))))</f>
        <v>16</v>
      </c>
      <c r="DL160">
        <f t="shared" si="311"/>
        <v>1</v>
      </c>
      <c r="DM160" t="str">
        <f t="shared" si="312"/>
        <v>2P</v>
      </c>
      <c r="DN160" t="str">
        <f>_xlfn.LET(_xlpm.cc,UPPER(TRIM(IFERROR(_xlfn.XLOOKUP(BC160,Коды_код,Коды_хар)&amp;"",""))),IF(OR(_xlpm.cc="B",_xlpm.cc="В"),"B",IF(_xlpm.cc="D","D","С")))</f>
        <v>С</v>
      </c>
      <c r="DO160" t="str">
        <f t="shared" si="313"/>
        <v>2P С16А 30мА</v>
      </c>
      <c r="DP160">
        <f t="shared" si="314"/>
        <v>16</v>
      </c>
      <c r="DQ160" t="str">
        <f t="shared" si="315"/>
        <v>2P С16А 30мА</v>
      </c>
      <c r="DR160" cm="1">
        <f t="array" ref="DR160">IF(DQ160="","",_xlfn.LET(_xlpm.t,SUBSTITUTE(SUBSTITUTE(SUBSTITUTE(UPPER(DQ160),"С","C"),"А","A"),"В","B"),_xlpm.tk,_xlfn.TEXTSPLIT(_xlpm.t," "),_xlpm.f,_xlfn._xlws.FILTER(_xlpm.tk,ISNUMBER(--MID(_xlpm.tk,2,1))*ISNUMBER(SEARCH(LEFT(_xlpm.tk,1)&amp;"#","B#C#D#"))*(LEN(_xlpm.tk)&gt;1),""),_xlpm.x,INDEX(_xlpm.f,1),IFERROR(--SUBSTITUTE(MID(_xlpm.x,2,9),"A",""),IFERROR(--SUBSTITUTE(INDEX(_xlfn._xlws.FILTER(_xlpm.tk,ISNUMBER(--SUBSTITUTE(_xlpm.tk,"A","")),""),1),"A",""),""))))</f>
        <v>16</v>
      </c>
      <c r="DS160" t="str">
        <f t="shared" si="316"/>
        <v>ok</v>
      </c>
      <c r="DT160">
        <f t="shared" si="317"/>
        <v>16</v>
      </c>
      <c r="DU160" t="str">
        <f t="shared" si="318"/>
        <v>2P С16А 30мА</v>
      </c>
      <c r="DV160">
        <f t="shared" si="319"/>
        <v>30</v>
      </c>
      <c r="DW160">
        <f t="shared" si="320"/>
        <v>1</v>
      </c>
      <c r="DX160">
        <f t="shared" si="321"/>
        <v>0</v>
      </c>
      <c r="DY160">
        <f t="shared" si="322"/>
        <v>1.3674085322912188</v>
      </c>
      <c r="DZ160">
        <f t="shared" si="323"/>
        <v>1</v>
      </c>
      <c r="EA160">
        <f>IF(ISNUMBER(AP160),AP160,К_прокл)</f>
        <v>1</v>
      </c>
      <c r="EB160">
        <f t="shared" si="324"/>
        <v>2</v>
      </c>
      <c r="EC160">
        <f>IFERROR(N(VLOOKUP(BZ160,Кабель_обозначение,3,FALSE)),1)</f>
        <v>1</v>
      </c>
      <c r="ED160">
        <f>IFERROR(N(_xlfn.XLOOKUP(A160,Щиты[Щит],Щиты[ΔU до шин, %])),0)</f>
        <v>1.57</v>
      </c>
      <c r="EE160" t="str">
        <f>IFERROR(_xlfn.XLOOKUP(A160,Щиты[Щит],Щиты[Zпетли на шинах, Ом]),"")</f>
        <v/>
      </c>
      <c r="EF160">
        <f>IFERROR(N(_xlfn.XLOOKUP(A160,Щиты[Щит],Щиты[ΔU до шин (подбор), %])),0)</f>
        <v>2.5</v>
      </c>
      <c r="EG160" t="str">
        <f>IFERROR(_xlfn.XLOOKUP(A160,Щиты[Щит],Щиты[Zпетли на шинах (подбор), Ом]),"")</f>
        <v/>
      </c>
      <c r="EH160" t="str">
        <f t="shared" si="325"/>
        <v/>
      </c>
      <c r="EI160">
        <f t="shared" si="326"/>
        <v>35</v>
      </c>
      <c r="EJ160">
        <f t="shared" si="327"/>
        <v>2</v>
      </c>
      <c r="EK160">
        <f t="shared" si="328"/>
        <v>0.31</v>
      </c>
      <c r="EL160" s="6">
        <f>IF(B160="","",IF(BV160=1,dU_LED,IF(IFERROR(_xlfn.XLOOKUP(BC160,Коды_код,Коды_уго),"")="Светильник",3,4)+IF(Методика="нормы 2026",MIN(0.5,MAX(0,N(P160)-100)*0.005),0)))</f>
        <v>4</v>
      </c>
      <c r="EM160" cm="1">
        <f t="array" ref="EM160">IF(OR(B160="",BZ160="",EC160&lt;&gt;1),"",_xlfn.LET(_xlpm.sz,Iдоп_S,_xlpm.t_,CHOOSE(EB160,Iдоп_1ж,Iдоп_2ж,Iдоп_3ж)*DZ160*EA160,_xlpm.dcx,BV160=1,_xlpm.inn,IF(_xlpm.dcx,N(O160),N(DT160)),_xlpm.smin,MAX(1.5,CC160),_xlpm.L_,N(P160)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160)/N(BU160)*100,999),IFERROR(N(EJ160)*(_xlpm.rho*_xlpm.L_/_xlpm.sz*N(CE160)+_xlpm.xx*_xlpm.L_*N(EK160)/1000)*N(O160)/((Uн_лин/SQRT(3))*1000)*100,999)),_xlpm.kz,IF(OR(_xlpm.dcx,DW160=1,NOT(ISNUMBER(EG160)),_xlpm.L_=0,_xlpm.inn=0),1,IFERROR(--(c_min*(Uн_лин*1000/SQRT(3))/(EG160+2*ρкз_Cu*_xlpm.L_/_xlpm.sz)&gt;=HT160*_xlpm.inn),0)),_xlpm.ok,IFERROR((_xlpm.sz&gt;=_xlpm.smin)*(_xlpm.t_&gt;=_xlpm.inn)*IF(_xlpm.L_&gt;0,(_xlpm.du_+IF(_xlpm.dcx,0,EF160)&lt;=EL160+0.00001),1)*_xlpm.kz,0),_xlpm.r_,_xlfn._xlws.FILTER(_xlpm.sz,_xlpm.ok,"не подобрано"),INDEX(_xlpm.r_,1)))</f>
        <v>1.5</v>
      </c>
      <c r="EN160">
        <f t="shared" si="329"/>
        <v>2.5</v>
      </c>
      <c r="EO160" cm="1">
        <f t="array" ref="EO160">IF(OR(B160="",BZ160="",EC160&lt;&gt;1),"",_xlfn.LET(_xlpm.sz,Iдоп_S,_xlpm.t_,CHOOSE(EB160,Iдоп_1ж,Iдоп_2ж,Iдоп_3ж)*DZ160*EA160,_xlpm.ok,IFERROR((_xlpm.sz&gt;=MAX(1.5,CC160))*(_xlpm.t_&gt;=N(DT160)),0),_xlpm.r_,_xlfn._xlws.FILTER(_xlpm.sz,_xlpm.ok,""),INDEX(_xlpm.r_,1)))</f>
        <v>1.5</v>
      </c>
      <c r="EP160" s="6" cm="1">
        <f t="array" ref="EP160">IFERROR(ROUNDUP(N(EJ160)*(_xlfn.XLOOKUP(EO160,INDEX(Кабель_сопротивление,0,1),INDEX(Кабель_сопротивление,0,3))*N(P160)/EO160*N(CE160)+_xlfn.XLOOKUP(EO160,INDEX(Кабель_сопротивление,0,1),INDEX(Кабель_сопротивление,0,2))*N(P160)*N(EK160)/1000)*N(O160)/((Uн_лин/SQRT(3))*1000)*100,2),"")</f>
        <v>1.05</v>
      </c>
      <c r="EQ160">
        <f>IFERROR(2*ρкз_Cu*N(P160)/EO160,"")</f>
        <v>2.1741333333333333</v>
      </c>
      <c r="ER160">
        <f>IFERROR(VLOOKUP(EN160,Кабель_сопротивление,3,FALSE),"")</f>
        <v>2.2499999999999999E-2</v>
      </c>
      <c r="ES160">
        <f>IFERROR(VLOOKUP(EN160,Кабель_сопротивление,2,FALSE),"")</f>
        <v>0.1</v>
      </c>
      <c r="ET160">
        <f t="shared" si="330"/>
        <v>31</v>
      </c>
      <c r="EU160">
        <f t="shared" si="331"/>
        <v>15</v>
      </c>
      <c r="EV160">
        <f t="shared" si="332"/>
        <v>1.4549828443332777</v>
      </c>
      <c r="EW160" s="6">
        <f>IFERROR(ROUNDUP(EV160/IF(BV160=1,BU160,(Uн_лин/SQRT(3))*1000)*100,2),"")</f>
        <v>0.64</v>
      </c>
      <c r="EX160" t="str">
        <f>IFERROR(VLOOKUP(BZ160,Кабель_обозначение,2,FALSE),"")</f>
        <v>ВВГнг(А)-LS</v>
      </c>
      <c r="EY160" t="str">
        <f t="shared" si="333"/>
        <v>ВВГнг(А)-LS (3х2,5)</v>
      </c>
      <c r="EZ160" t="str">
        <f t="shared" si="334"/>
        <v>ВВГнг(А)-LS (3х2,5)
L=62-0,64%</v>
      </c>
      <c r="FA160">
        <f>IFERROR(2*ρкз_Cu*P160/EN160,"")</f>
        <v>1.3044800000000001</v>
      </c>
      <c r="FB160">
        <f t="shared" si="335"/>
        <v>0.43400000000000005</v>
      </c>
      <c r="FC160" s="6" t="str">
        <f>IFERROR(IF(OR(B160="",BV160=1,NOT(ISNUMBER(EN160)),N(P160)=0),"",_xlfn.XLOOKUP(A160,Щиты[Щит],Щиты[Zпетли на шинах, Ом])+FA160),"")</f>
        <v/>
      </c>
      <c r="FD160" s="6" t="str">
        <f>IF(ISNUMBER(FC160),c_min*(Uн_лин*1000/SQRT(3))/FC160,"")</f>
        <v/>
      </c>
      <c r="FE160" s="6" t="str">
        <f>IFERROR(IF(OR(B160="",NOT(ISNUMBER(EN160))),"",1.05*(Uн_лин*1000/SQRT(3))/(_xlfn.XLOOKUP(A160,Щиты[Щит],Щиты[Zmax на шинах, Ом])+FB160)/1000),"")</f>
        <v/>
      </c>
      <c r="FF160" s="6" t="str">
        <f>IF(B160="","",IF(ISNUMBER(AC160),"Сил",IF(IFERROR(_xlfn.XLOOKUP(BC160,Коды_код,Коды_группа)&amp;"","")="","Быт",_xlfn.XLOOKUP(BC160,Коды_код,Коды_группа)&amp;"")))</f>
        <v>Быт</v>
      </c>
      <c r="FG160" s="6" t="str">
        <f t="shared" si="336"/>
        <v>Быт</v>
      </c>
      <c r="FH160" s="6">
        <f>IF(FG160="Щит","щит",IF(FG160="","",IF(FG160="Быт",IFERROR(_xlfn.XLOOKUP(A160,Щиты[Щит],Щиты[Кс быт]),1),IF(FG160="Сил",IF(ISNUMBER(AC160),AC160,IF(Методика="нормы 2026",IFERROR(_xlfn.XLOOKUP(A160,Щиты[Щит],Щиты[Кс силовых (табл. 7.5)]),1),1)),IF(OR(FG160="Пост",FG160="Отоп"),1,IF(FG160="ВНГ",0.7,0))))))</f>
        <v>0.8</v>
      </c>
      <c r="FI160">
        <f>IF(FG160="","",IF(AND(BP160=1,TRIM(AE160&amp;"")=""),IF(COUNTIFS(Линии[Щит],A160,Линии[Секция (1/2/3)],"&gt;=2")&gt;0,MIN(3,MAX(1,IFERROR(--BD160,1))),1),IFERROR(MIN(3,MAX(1,INT(--AE160))),1)))</f>
        <v>1</v>
      </c>
      <c r="FJ160">
        <f t="shared" si="337"/>
        <v>0.3</v>
      </c>
      <c r="FK160">
        <f t="shared" si="338"/>
        <v>0.3</v>
      </c>
      <c r="FL160">
        <f t="shared" si="339"/>
        <v>0</v>
      </c>
      <c r="FM160">
        <f t="shared" si="340"/>
        <v>0</v>
      </c>
      <c r="FN160">
        <f t="shared" si="341"/>
        <v>0</v>
      </c>
      <c r="FO160">
        <f t="shared" si="342"/>
        <v>0</v>
      </c>
      <c r="FP160">
        <f t="shared" si="343"/>
        <v>0.3</v>
      </c>
      <c r="FQ160">
        <f t="shared" si="344"/>
        <v>0.3</v>
      </c>
      <c r="FR160">
        <f t="shared" si="345"/>
        <v>0.28499999999999998</v>
      </c>
      <c r="FS160">
        <f>IF(CG160=1,IF(AND(CH160=1,CW160=1),0,IF(AND(CS160&lt;&gt;"",CS160=BA160,CW160=1),SUMIFS(Линии[_Р линии, кВт],Линии[_блок УЗО],BA160,Линии[Щит],A160),N(BS160)+IF(AJ160="вручную",0,N(CK160)))),0)</f>
        <v>0.3</v>
      </c>
      <c r="FT160" t="str">
        <f t="shared" si="346"/>
        <v>L1</v>
      </c>
      <c r="FU160" t="str">
        <f>IF(B160="","",IF(CG160=0,IF(BA160=1,"",FW159),IF(AND(CH160=1,CW160=1,CS160&lt;&gt;""),IFERROR(_xlfn.XLOOKUP(CS160,Линии[_n],Линии[_фаза итог]),"L1"),IF(OR(N(DL160)&gt;=3,N(BX160)&gt;=3),"L1,L2,L3",IFERROR(_xlfn.TEXTBEFORE(_xlfn.TEXTAFTER(_xlfn.XLOOKUP(A160,Щиты[Щит],Щиты[_фазы авто]),";"&amp;BA160&amp;":"),";"),"L1")))))</f>
        <v>L1</v>
      </c>
      <c r="FV160" t="str">
        <f t="shared" si="347"/>
        <v>L1</v>
      </c>
      <c r="FW160" t="str">
        <f t="shared" si="348"/>
        <v>L1</v>
      </c>
      <c r="FX160" cm="1">
        <f t="array" ref="FX160">IFERROR(IF(CD160=2,_xlfn.IFS(BX160=3,VLOOKUP(BS160,Справочная_двигатели,3,FALSE),BX160=1,VLOOKUP(BS160,Справочная_двигатели,5,TRUE)),0),0)</f>
        <v>0</v>
      </c>
      <c r="FY160">
        <f>IFERROR(IF(CD160=3,VLOOKUP(BS160,Справочная_ЛЭД,2,TRUE),0),0)</f>
        <v>0</v>
      </c>
      <c r="FZ160" s="6">
        <f t="shared" si="349"/>
        <v>0</v>
      </c>
      <c r="GA160" t="str">
        <f>IF(B160="","",IF(TRIM(AH160&amp;"")&lt;&gt;"",IF(LOWER(TRIM(AH160&amp;""))="да","да","нет"),IF(IFERROR(_xlfn.XLOOKUP(BC160,Коды_код,Коды_пожарная),"")="да","да","нет")))</f>
        <v>нет</v>
      </c>
      <c r="GB160" t="str">
        <f t="shared" si="350"/>
        <v/>
      </c>
      <c r="GC160" t="str">
        <f t="shared" si="351"/>
        <v>основная</v>
      </c>
      <c r="GD160">
        <f>IF(AND(BP160=1,TRIM(AE160&amp;"")=""),IF(COUNTIFS(Линии[Щит],A160,Линии[Секция (1/2/3)],"&gt;=2")&gt;0,MIN(3,MAX(1,IFERROR(--BD160,1))),1),IFERROR(MIN(3,MAX(1,INT(--AE160))),1))</f>
        <v>1</v>
      </c>
      <c r="GE160" t="str" cm="1">
        <f t="array" ref="GE160">IF(B160="","",_xlfn.LET(_xlpm.t,IFERROR(_xlfn.XLOOKUP(1,(Шины[Шина]=GC160)*(((Шины[Щит]=A160)+(Шины[Щит]=""))&gt;0),Шины[Тип]),"")&amp;"",IF(_xlpm.t&lt;&gt;"",_xlpm.t,IF(ISNUMBER(SEARCH("ИБП",GC160)),"ИБП",IF(ISNUMBER(SEARCH("ДГУ",GC160)),"ДГУ","Ввод "&amp;GD160)))))</f>
        <v>Ввод 1</v>
      </c>
      <c r="GF160" t="str">
        <f t="shared" si="352"/>
        <v>Ввод 1</v>
      </c>
      <c r="GG160" t="str">
        <f>IF(BP160=0,"",IF(TRIM(AG160&amp;"")&lt;&gt;"",TRIM(AG160&amp;""),IF(OR(GE160="ИБП",GE160="ДГУ"),"I особая",_xlfn.XLOOKUP(A160,Щиты[Щит],Щиты[Категория шины «Ввод»],"III"))))</f>
        <v/>
      </c>
      <c r="GH160" t="str">
        <f>IF(A160="","",_xlfn.XLOOKUP(A160,Щиты[Щит],Щиты[Путь],""))</f>
        <v>|ГРЩ-ЖД|ЩР-001|</v>
      </c>
      <c r="GI160" t="str">
        <f>IF(B160="","",IF(AI160&lt;&gt;"",AI160,IF(IFERROR(_xlfn.XLOOKUP(BC160,Коды_код,Коды_вид)&amp;"","")="","Прочее",_xlfn.XLOOKUP(BC160,Коды_код,Коды_вид)&amp;"")))</f>
        <v>Розеточная сеть и бытовые приборы</v>
      </c>
      <c r="GJ160">
        <f>IF(BM160="","",INT((BM160-1)/Столбцов_на_лист)+1)</f>
        <v>1</v>
      </c>
      <c r="GK160" t="str">
        <f t="shared" si="353"/>
        <v>ВВГнг(А)-LS (3х2,5) L=62-0,64%</v>
      </c>
      <c r="GL160">
        <f t="shared" si="354"/>
        <v>0.3</v>
      </c>
      <c r="GM160">
        <f t="shared" si="355"/>
        <v>1.37</v>
      </c>
      <c r="GN160">
        <f t="shared" si="356"/>
        <v>1</v>
      </c>
      <c r="GO160">
        <f t="shared" si="357"/>
        <v>0</v>
      </c>
      <c r="GP160">
        <f t="shared" si="358"/>
        <v>1</v>
      </c>
      <c r="GQ160">
        <f>IF(BM160="","",IF(AND(CG160=1,GP160=1),COUNTIFS(A$3:A160,A160,CG$3:CG160,1,GP$3:GP160,1),IF(OR(OR(BA160=1,A160&lt;&gt;A159),AJ160="вручную",GP160=0),"",IF(BA160=1,"",GR159))))</f>
        <v>6</v>
      </c>
      <c r="GR160">
        <f t="shared" si="359"/>
        <v>6</v>
      </c>
      <c r="GS160">
        <f>IF(B160="","",IFERROR(LOOKUP(INDEX(CHOOSE(EB160,Iдоп_1ж,Iдоп_2ж,Iдоп_3ж),MATCH(EN160,Iдоп_S,0))*DZ160*EA160,{6,10,16,20,25,32,40,50,63,80,100,125,160,200,250,315,400,500,630}),""))</f>
        <v>25</v>
      </c>
      <c r="GT160" t="str">
        <f t="shared" si="360"/>
        <v>QFD6</v>
      </c>
      <c r="GU160" t="str">
        <f t="shared" si="361"/>
        <v>QFD6</v>
      </c>
      <c r="GV160" t="str">
        <f t="shared" si="362"/>
        <v/>
      </c>
      <c r="GW160">
        <f t="shared" si="363"/>
        <v>0</v>
      </c>
      <c r="GX160" t="str">
        <f>IF(OR(B160="",DJ160=""),"",IFERROR(_xlfn.XLOOKUP(DJ160,Модули_умолч[Управление],Модули_умолч[Модель])&amp;"",""))</f>
        <v/>
      </c>
      <c r="GY160">
        <f>IF(DJ160="",1,IFERROR(MAX(0,N(_xlfn.XLOOKUP(DJ160,Модули_умолч[Управление],Модули_умолч[Каналов на линию]))),1))</f>
        <v>1</v>
      </c>
      <c r="GZ160" t="str">
        <f t="shared" si="364"/>
        <v/>
      </c>
      <c r="HA160" t="str">
        <f t="shared" si="365"/>
        <v/>
      </c>
      <c r="HB160" t="str">
        <f t="shared" si="366"/>
        <v/>
      </c>
      <c r="HC160">
        <f>IF(HB160="",0,IFERROR(N(VLOOKUP(HB160,Модули_спр,3,FALSE)),0))</f>
        <v>0</v>
      </c>
      <c r="HD160" t="str">
        <f t="shared" si="367"/>
        <v/>
      </c>
      <c r="HE160" t="str">
        <f t="shared" si="368"/>
        <v/>
      </c>
      <c r="HF160" t="str">
        <f>IF(OR(HE160="",HE160="-"),"",IFERROR(VLOOKUP(HE160,Модули_спр,2,FALSE),"R"))</f>
        <v/>
      </c>
      <c r="HG160" t="str">
        <f>IF(HF160="","",HF160&amp;"."&amp;COUNTIFS(A$3:A160,A160,HF$3:HF160,HF160))</f>
        <v/>
      </c>
      <c r="HH160" t="str">
        <f t="shared" si="369"/>
        <v/>
      </c>
      <c r="HI160" t="str">
        <f t="shared" si="370"/>
        <v/>
      </c>
      <c r="HJ160" t="str">
        <f t="shared" si="371"/>
        <v/>
      </c>
      <c r="HK160" t="str">
        <f t="shared" si="372"/>
        <v/>
      </c>
      <c r="HL160">
        <f t="shared" si="373"/>
        <v>1</v>
      </c>
      <c r="HM160" t="str">
        <f>IF(HL160=1,"XT"&amp;COUNTIFS(A$3:A160,A160,HL$3:HL160,1),"")</f>
        <v>XT6</v>
      </c>
      <c r="HN160" t="str">
        <f t="shared" si="374"/>
        <v>XT6</v>
      </c>
      <c r="HO160" t="str">
        <f t="shared" si="375"/>
        <v>QFD6</v>
      </c>
      <c r="HP160" t="str">
        <f t="shared" si="376"/>
        <v/>
      </c>
      <c r="HQ160" t="str">
        <f t="shared" si="377"/>
        <v>ok</v>
      </c>
      <c r="HR160" t="str">
        <f>IF(OR(HJ160="",HH160=""),"",IF(HJ160+MAX(0,GY160-1)&gt;IFERROR(VLOOKUP(HI160,Модули_спр,3,FALSE),99),"ЛИШНИЙ КАНАЛ",IF(AND(AL160&lt;&gt;"=",GY160&gt;0,COUNTIFS(Линии[_модуль гр.],HH160,Линии[Канал (итог)],HJ160,Линии[Канал],"&lt;&gt;=",Линии[Щит],A160)&gt;1),"ДУБЛЬ КАНАЛА","")))</f>
        <v/>
      </c>
      <c r="HS160" s="6" t="str">
        <f t="shared" si="378"/>
        <v/>
      </c>
      <c r="HT160">
        <f t="shared" si="379"/>
        <v>10</v>
      </c>
      <c r="HU160" t="str">
        <f t="shared" si="380"/>
        <v/>
      </c>
      <c r="HV160">
        <f t="shared" si="381"/>
        <v>1.1669634129164876</v>
      </c>
      <c r="HW160">
        <f t="shared" si="382"/>
        <v>0</v>
      </c>
      <c r="HX160">
        <f t="shared" si="383"/>
        <v>0</v>
      </c>
      <c r="HY160">
        <f t="shared" si="384"/>
        <v>0</v>
      </c>
      <c r="HZ160">
        <f t="shared" si="385"/>
        <v>0</v>
      </c>
      <c r="IA160">
        <f t="shared" si="386"/>
        <v>0</v>
      </c>
      <c r="IB160">
        <f t="shared" si="387"/>
        <v>0</v>
      </c>
      <c r="IC160" t="str">
        <f t="shared" si="388"/>
        <v/>
      </c>
      <c r="ID160" t="str" cm="1">
        <f t="array" ref="ID160">IF(IC160="","",_xlfn.LET(_xlpm.tk,_xlfn.TEXTSPLIT(SUBSTITUTE(SUBSTITUTE(IC160,";"," "),"→"," ")," ",,TRUE),_xlpm.w_,_xlfn._xlws.FILTER(_xlpm.tk,ISNUMBER(--LEFT(_xlpm.tk,1))*((ISNUMBER(SEARCH("W",_xlpm.tk))+ISNUMBER(SEARCH("Вт",_xlpm.tk)))&gt;0),""),IFERROR(--SUBSTITUTE(SUBSTITUTE(UPPER(INDEX(_xlpm.w_,1)),"W",""),"ВТ",""),"")))</f>
        <v/>
      </c>
      <c r="IE160" t="str" cm="1">
        <f t="array" ref="IE160">IF(IC160="","",_xlfn.LET(_xlpm.tk,_xlfn.TEXTSPLIT(SUBSTITUTE(SUBSTITUTE(IC160,";"," "),"→"," ")," ",,TRUE),_xlpm.v_,_xlfn._xlws.FILTER(_xlpm.tk,ISNUMBER(--LEFT(_xlpm.tk,1))*((ISNUMBER(SEARCH("V",_xlpm.tk))+(RIGHT(UPPER(_xlpm.tk))="В"))&gt;0),""),IFERROR(--SUBSTITUTE(SUBSTITUTE(UPPER(INDEX(_xlpm.v_,1)),"V",""),"В",""),"")))</f>
        <v/>
      </c>
      <c r="IF160" s="6" t="str">
        <f>IF(OR(BV160=0,HI160="",HJ160=""),"",IFERROR(N(_xlfn.XLOOKUP(HI160,Каталог!$C$4:$C$500,Каталог!$Q$4:$Q$500)),""))</f>
        <v/>
      </c>
      <c r="IG160" s="6" t="str">
        <f>IF(N(IF160)=0,"",SUMIFS(Линии[Iр, А],Линии[Щит],A160,Линии[_модуль гр.],HH160,Линии[Канал (итог)],HJ160))</f>
        <v/>
      </c>
      <c r="IH160" t="str">
        <f>IF(AND(B160="",HO160=""),"",_xlfn.TEXTJOIN("; ",TRUE,IF(AND(B160&lt;&gt;"",FV160=""),"нет фазы",""),IF(AND(B160&lt;&gt;"",N(GL160)=0,FG160&lt;&gt;"Нет"),"нет мощности",""),IF(AND(HN160&lt;&gt;"",COUNTIFS(Линии[Щит],A160,Линии[Клемма (итог)],HN160)&gt;1),"дубль клеммы "&amp;HN160,""),IF(AND(HQ160&lt;&gt;"",HQ160&lt;&gt;"ok"),HQ160,""),IF(HR160&lt;&gt;"",HR160,""),IF(AND(N(CB160)&gt;=4,N(BX160)=1),CB160&amp;" жил на 1 фазе",""),IF(AND(BC160="R",CG160=1,IF(CS160&lt;&gt;"",N(CV160)&gt;30,OR(N(DA160)=0,N(DA160)&gt;30))),"розетка без дифзащиты до 30 мА",""),IF(AND(CG160=1,N(DA160)&gt;0,ISNUMBER(T160)),IF(T160&gt;N(DA160)/3,"ток утечки "&amp;FIXED(T160,1)&amp;" мА &gt; 1/3 уставки ("&amp;DA160&amp;" мА)",""),""),IF(AND(CH160=1,CS160=""),"«узо»: нет строки с УЗО выше (УЗО 2P 40А 30мА в «Аппаратах»)",""),IF(AND(CS160&lt;&gt;"",CS160=BA160),IF(CT160="","впишите номинал УЗО (УЗО 2P 40А 30мА)",IF(N(CT160)&lt;N(DT160),"УЗО "&amp;CT160&amp;" А &lt; автомата "&amp;DT160&amp;" А перед ним",IF(N(CT160)&lt;N(CX160),"УЗО "&amp;CT160&amp;" А &lt; тока блока "&amp;FIXED(CX160,1)&amp;" А",""))),""),IF(AND(CS160&lt;&gt;"",CS160=BA160,ISNUMBER(CY160)),IF(CY160&gt;N(CV160)/3,"ток утечки блока УЗО "&amp;FIXED(CY160,1)&amp;" мА &gt; 1/3 уставки ("&amp;CV160&amp;" мА)",""),""),IF(AND(CG160=1,N(BV160)+N(IB160)&gt;0,IC160=""),"линии до 50 В без БП: впишите в «Аппараты» (БП 24V 480W)",""),IF(AND(CG160=1,ISNUMBER(ID160),ISNUMBER(U160)),IF(U160&gt;ID160,"БП "&amp;ID160&amp;" Вт &lt; нужно "&amp;U160&amp;" Вт (×"&amp;Запас_БП&amp;")",""),""),IF(AND(CG160=1,ISNUMBER(IE160),N(BV160)=1),IF(IE160&lt;&gt;N(BU160),"БП на "&amp;IE160&amp;" В, линия "&amp;BU160&amp;" В",""),""),IF(AND(N(IF160)&gt;0,N(IG160)&gt;N(IF160)),HH160&amp;" канал "&amp;HJ160&amp;": "&amp;FIXED(IG160,1)&amp;" А &gt; "&amp;IF160&amp;" А",""),IFERROR(IF(AND(ISNUMBER(Q160),Q160&gt;EL160),"потери "&amp;FIXED(Q160,1)&amp;" % &gt; "&amp;EL160&amp;" %",""),""),IFERROR(IF(LEFT(HU160,4)="мало","Iкз мало — отключение &gt; 0,4 с",""),""),IF(AND(B160&lt;&gt;"",BM160=""),"не на схеме",""),IF(AND(CG160=0,B160&lt;&gt;"",FV160&lt;&gt;"",IF(BA160=1,"",FW159)&lt;&gt;"",FV160&lt;&gt;IF(BA160=1,"",FW159)),"фаза не как у автомата группы ("&amp;IF(BA160=1,"",FW159)&amp;")","")))</f>
        <v/>
      </c>
      <c r="II160" s="6">
        <f>IF(OR(CG160=0,DQ160=""),"",_xlfn.LET(_xlpm.t,IFERROR(_xlfn.XLOOKUP(DQ160,Каталог!$U$4:$U$500,Каталог!$G$4:$G$500),""),_xlpm.k,SEARCH("кА",_xlpm.t),IFERROR(--TRIM(RIGHT(SUBSTITUTE(MID(_xlpm.t,MAX(1,_xlpm.k-4),_xlpm.k-MAX(1,_xlpm.k-4))," ",REPT(" ",9)),5)),"")))</f>
        <v>6</v>
      </c>
      <c r="IJ160" t="str">
        <f>IF(OR(II160="",CG160=0),"",IF(_xlfn.XLOOKUP(A160,Щиты[Щит],Щиты[Iкз max на шинах, кА],"")="","",IF(II160&lt;_xlfn.XLOOKUP(A160,Щиты[Щит],Щиты[Iкз max на шинах, кА]),"Icu "&amp;II160&amp;" кА &lt; Iкз max","ok")))</f>
        <v/>
      </c>
      <c r="IK160" t="str">
        <f t="shared" si="389"/>
        <v/>
      </c>
      <c r="IL160" t="str">
        <f t="shared" si="390"/>
        <v>QFD6|XT6</v>
      </c>
      <c r="IM160" t="str">
        <f t="shared" si="391"/>
        <v>QFD6|XT6|кабель ВВГнг(А)-LS (3х2,5) → Розеточная группа, пом. 005Т</v>
      </c>
      <c r="IN160" t="str" cm="1">
        <f t="array" ref="IN160">IF(IM160="","",_xlfn.LET(_xlpm.nd,_xlfn.TEXTSPLIT(IM160,"|"),IF(COLUMNS(_xlpm.nd)&gt;1,A160&amp;"¦"&amp;INDEX(_xlpm.nd,1)&amp;"¦"&amp;INDEX(_xlpm.nd,2),"")))</f>
        <v>ЩР-001¦QFD6¦XT6</v>
      </c>
      <c r="IO160" t="str">
        <f t="shared" si="392"/>
        <v>R.00.005Т.1¦Розеточная группа, пом. 005Т</v>
      </c>
      <c r="IP160" t="str" cm="1">
        <f t="array" ref="IP160">IF(IM160="","",_xlfn.LET(_xlpm.nd,_xlfn.TEXTSPLIT(IM160,"|"),IF(COLUMNS(_xlpm.nd)&gt;2,A160&amp;"¦"&amp;INDEX(_xlpm.nd,2)&amp;"¦"&amp;INDEX(_xlpm.nd,3),"")))</f>
        <v>ЩР-001¦XT6¦кабель ВВГнг(А)-LS (3х2,5) → Розеточная группа, пом. 005Т</v>
      </c>
      <c r="IQ160" t="str">
        <f t="shared" si="393"/>
        <v>R.00.005Т.1¦Розеточная группа, пом. 005Т</v>
      </c>
      <c r="IR160" t="str" cm="1">
        <f t="array" ref="IR160">IF(IM160="","",_xlfn.LET(_xlpm.nd,_xlfn.TEXTSPLIT(IM160,"|"),IF(COLUMNS(_xlpm.nd)&gt;3,A160&amp;"¦"&amp;INDEX(_xlpm.nd,3)&amp;"¦"&amp;INDEX(_xlpm.nd,4),"")))</f>
        <v/>
      </c>
      <c r="IS160" t="str">
        <f t="shared" si="394"/>
        <v/>
      </c>
      <c r="IT160" t="str" cm="1">
        <f t="array" ref="IT160">IF(IM160="","",_xlfn.LET(_xlpm.nd,_xlfn.TEXTSPLIT(IM160,"|"),IF(COLUMNS(_xlpm.nd)&gt;4,A160&amp;"¦"&amp;INDEX(_xlpm.nd,4)&amp;"¦"&amp;INDEX(_xlpm.nd,5),"")))</f>
        <v/>
      </c>
      <c r="IU160" t="str">
        <f t="shared" si="395"/>
        <v/>
      </c>
      <c r="IV160" t="str" cm="1">
        <f t="array" ref="IV160">IF(IM160="","",_xlfn.LET(_xlpm.nd,_xlfn.TEXTSPLIT(IM160,"|"),IF(COLUMNS(_xlpm.nd)&gt;5,A160&amp;"¦"&amp;INDEX(_xlpm.nd,5)&amp;"¦"&amp;INDEX(_xlpm.nd,6),"")))</f>
        <v/>
      </c>
      <c r="IW160" t="str">
        <f t="shared" si="396"/>
        <v/>
      </c>
      <c r="IX160" t="str" cm="1">
        <f t="array" ref="IX160">IF(IM160="","",_xlfn.LET(_xlpm.nd,_xlfn.TEXTSPLIT(IM160,"|"),IF(COLUMNS(_xlpm.nd)&gt;6,A160&amp;"¦"&amp;INDEX(_xlpm.nd,6)&amp;"¦"&amp;INDEX(_xlpm.nd,7),"")))</f>
        <v/>
      </c>
      <c r="IY160" t="str">
        <f t="shared" si="397"/>
        <v/>
      </c>
      <c r="IZ160" t="str">
        <f t="shared" si="398"/>
        <v/>
      </c>
      <c r="JA160" t="str">
        <f t="shared" si="399"/>
        <v>QFD6 → XT6</v>
      </c>
      <c r="JB160">
        <f t="shared" si="400"/>
        <v>0</v>
      </c>
      <c r="JC160">
        <f t="shared" si="401"/>
        <v>1</v>
      </c>
      <c r="JD160" t="str">
        <f t="shared" si="402"/>
        <v/>
      </c>
      <c r="JE160" t="str">
        <f t="shared" si="403"/>
        <v/>
      </c>
      <c r="JF160" t="str">
        <f t="shared" si="404"/>
        <v/>
      </c>
      <c r="JG160" t="str">
        <f t="shared" si="405"/>
        <v/>
      </c>
      <c r="JH160" t="str">
        <f>IF(B160="","",IFERROR(_xlfn.XLOOKUP(B160,Коды_код,Коды_уго),IFERROR(_xlfn.XLOOKUP(BC160,Коды_код,Коды_уго),IFERROR(_xlfn.XLOOKUP(LEFT(BC160,2),Коды_код,Коды_уго),""))))</f>
        <v>Розетка</v>
      </c>
      <c r="JI160" t="str">
        <f>IF(B160="","",IF(OR(JH160="",JH160=0),"BOX",IFERROR(IF(VLOOKUP(JH160,УГО_блоки,3,FALSE)&amp;""&lt;&gt;"",VLOOKUP(JH160,УГО_блоки,3,FALSE),VLOOKUP(JH160,УГО_блоки,2,FALSE)),JH160)))</f>
        <v>SOCKET</v>
      </c>
      <c r="JJ160">
        <f t="shared" si="406"/>
        <v>1</v>
      </c>
      <c r="JK160" t="str">
        <f>IF(DQ160="","",IF(COUNTIF(DQ$3:DQ160,DQ160)=1,MAX(JK$2:JK159)+1,""))</f>
        <v/>
      </c>
      <c r="JL160" t="str">
        <f>IF(DE160="","",IF(COUNTIF(DE$3:DE160,DE160)+COUNTIF(DF$2:DF159,DE160)+COUNTIF(DG$2:DG159,DE160)=1,MAX(JL$2:JN159)+1,""))</f>
        <v/>
      </c>
      <c r="JM160" t="str">
        <f>IF(DF160="","",IF(COUNTIF(DE$3:DE160,DF160)+COUNTIF(DF$3:DF160,DF160)+COUNTIF(DG$2:DG159,DF160)=1,MAX(JL$2:JN159,JL160)+1,""))</f>
        <v/>
      </c>
      <c r="JN160" t="str">
        <f>IF(DG160="","",IF(COUNTIF(DE$3:DE160,DG160)+COUNTIF(DF$3:DF160,DG160)+COUNTIF(DG$3:DG160,DG160)=1,MAX(JL$2:JN159,JL160,JM160)+1,""))</f>
        <v/>
      </c>
      <c r="JO160" t="str">
        <f t="shared" si="407"/>
        <v>3х2,5</v>
      </c>
      <c r="JP160" t="str">
        <f>IF(JO160="","",IF(COUNTIF(JO$3:JO160,JO160)=1,MAX(JP$2:JP159)+1,""))</f>
        <v/>
      </c>
      <c r="JQ160" t="str">
        <f>IF(HG160="","",COUNTIF(HG$3:HG160,"?*"))</f>
        <v/>
      </c>
      <c r="JR160" t="str">
        <f>IF(OR(HG160="",HI160=""),"",IF(COUNTIFS(HG$3:HG160,"?*",HI$3:HI160,HI160)=1,MAX(JR$2:JR159)+1,""))</f>
        <v/>
      </c>
      <c r="JS160">
        <f t="shared" si="408"/>
        <v>0</v>
      </c>
      <c r="JT160">
        <f>IF(B160="","",COUNTIF(B$3:B160,"?*"))</f>
        <v>158</v>
      </c>
      <c r="JU160">
        <f>IF(HL160&lt;&gt;1,0,_xlfn.LET(_xlpm.k,MAX(IFERROR(--_xlfn.XLOOKUP(B160,Коды_код,Коды_3L),0),IFERROR(--_xlfn.XLOOKUP(BC160,Коды_код,Коды_3L),0),IFERROR(--_xlfn.XLOOKUP(LEFT(BC160,2),Коды_код,Коды_3L),0)),IF(_xlpm.k&gt;0,_xlpm.k,IF(IFERROR(--LEFT(SUBSTITUTE(JO160,"x","х"),FIND("х",SUBSTITUTE(JO160,"x","х"))-1),3)&gt;3,Каталог!$S$9,1))))</f>
        <v>1</v>
      </c>
      <c r="JV160">
        <f t="shared" si="409"/>
        <v>0</v>
      </c>
      <c r="JW160" t="str">
        <f t="shared" si="410"/>
        <v>авто</v>
      </c>
      <c r="JX160">
        <f t="shared" si="411"/>
        <v>30</v>
      </c>
      <c r="JY160">
        <f t="shared" si="412"/>
        <v>1</v>
      </c>
      <c r="JZ160">
        <f t="shared" si="413"/>
        <v>1</v>
      </c>
    </row>
    <row r="161" spans="1:286" x14ac:dyDescent="0.3">
      <c r="A161" t="s">
        <v>753</v>
      </c>
      <c r="B161" t="s">
        <v>1469</v>
      </c>
      <c r="C161" t="str">
        <f>Линии[[#This Row],[_авто наименование]]</f>
        <v>Розеточная группа, пом. 002Т</v>
      </c>
      <c r="D161">
        <v>2</v>
      </c>
      <c r="E161">
        <v>0.18</v>
      </c>
      <c r="G161">
        <v>16</v>
      </c>
      <c r="H161" t="str">
        <f>Линии[[#This Row],[_авто управление]]</f>
        <v/>
      </c>
      <c r="I161" t="str">
        <f>Линии[[#This Row],[_авто аппараты]]</f>
        <v/>
      </c>
      <c r="J161">
        <v>2.5</v>
      </c>
      <c r="K161">
        <v>22</v>
      </c>
      <c r="L161">
        <v>1</v>
      </c>
      <c r="M161" t="str">
        <f>Линии[[#This Row],[_авто клемма]]</f>
        <v>XT7</v>
      </c>
      <c r="N161" t="str">
        <f t="shared" si="276"/>
        <v/>
      </c>
      <c r="O161" s="6" cm="1">
        <f t="array" ref="O161">IF(B161="","",IF(BH161&lt;&gt;"",IFERROR(_xlfn.XLOOKUP(BH161,Щиты[Щит],Щиты[Iр, А]),""),IF(BP161=1,IF(OR(N(_xlfn.XLOOKUP(A161,Щиты[Щит],Щиты[Вводов],1))&lt;=1,LOWER(TRIM(_xlfn.XLOOKUP(A161,Щиты[Щит],Щиты[АВР],"")&amp;""))="да"),IFERROR(_xlfn.XLOOKUP(A161,Щиты[Щит],Щиты[Iр, А]),""),IFERROR(N(BS161)*_xlfn.XLOOKUP(A161,Щиты[Щит],Щиты[Кс итог])/(SQRT(3)*Uн_лин*_xlfn.XLOOKUP(A161,Щиты[Щит],Щиты[cos φ])),"")),IF(BV161=1,IFERROR(BS161*1000/BU161,""),IFERROR(_xlfn.IFS(BX161=1,BS161/((Uн_лин/SQRT(3))*CE161),BX161=3,BS161/(SQRT(3)*Uн_лин*CE161)),"")))))</f>
        <v>0.8204451193747313</v>
      </c>
      <c r="P161" s="7">
        <f>IF(B161="","",IFERROR(IF(VLOOKUP(BC161,Потребители_обозначение,4,FALSE)=1,VLOOKUP(BC161,Потребители_обозначение,3,FALSE)*(MAX(1,N(D161))*2-1)+EI161+VLOOKUP(BE161,Этаж_обозначение,3,FALSE)+VLOOKUP(BE161,Этаж_обозначение,4,FALSE),VLOOKUP(BC161,Потребители_обозначение,3,FALSE)*(MAX(1,N(D161))*2-1)+EI161),EI161))</f>
        <v>31</v>
      </c>
      <c r="Q161" s="6">
        <f t="shared" si="277"/>
        <v>1.76</v>
      </c>
      <c r="R161" t="str">
        <f t="shared" si="278"/>
        <v>ВВГнг(А)-LS (3х2,5)</v>
      </c>
      <c r="S161" t="str">
        <f>IF(BM161="","",IF(BN161="вводной узел","узел ","")&amp;"л."&amp;(INT((BM161-1)/Столбцов_на_лист)+1)&amp;" / "&amp;(MOD(BM161-1,Столбцов_на_лист)+1))</f>
        <v>л.1 / 14</v>
      </c>
      <c r="T161" s="119">
        <f t="shared" si="279"/>
        <v>0.6</v>
      </c>
      <c r="U161" s="7" t="str">
        <f>IF(OR(CG161=0,N(BV161)+N(IB161)=0),"",ROUNDUP(Запас_БП*(N(HY161)+N(HZ161)),0))</f>
        <v/>
      </c>
      <c r="V161" s="119" t="str">
        <f t="shared" si="280"/>
        <v/>
      </c>
      <c r="W161" s="7" t="str">
        <f>IFERROR(IF(OR(B161="",BP161=1,BV161=1,NOT(ISNUMBER(EN161)),N(DT161)=0),"",MAX(0,ROUNDDOWN((c_min*(Uн_лин*1000/SQRT(3))/(HT161*N(DT161))-_xlfn.XLOOKUP(A161,Щиты[Щит],Щиты[Zпетли на шинах, Ом]))*EN161/(2*ρкз_Cu),0))),"")</f>
        <v/>
      </c>
      <c r="Y161">
        <f>Линии[[#This Row],[_авто утечка]]</f>
        <v>30</v>
      </c>
      <c r="Z161">
        <v>1</v>
      </c>
      <c r="AA161">
        <v>230</v>
      </c>
      <c r="AB161" t="s">
        <v>562</v>
      </c>
      <c r="AG161" t="s">
        <v>810</v>
      </c>
      <c r="AI161" t="s">
        <v>561</v>
      </c>
      <c r="AK161" t="str">
        <f>Линии[[#This Row],[_авто модуль]]</f>
        <v/>
      </c>
      <c r="AM161">
        <v>14</v>
      </c>
      <c r="AN161" t="s">
        <v>11</v>
      </c>
      <c r="AO161">
        <v>3</v>
      </c>
      <c r="AQ161">
        <v>14</v>
      </c>
      <c r="AR161">
        <v>17</v>
      </c>
      <c r="AS161">
        <v>0</v>
      </c>
      <c r="BA161" cm="1">
        <f t="array" ref="BA161">ROW()-ROW(Линии[#Headers])</f>
        <v>159</v>
      </c>
      <c r="BC161" s="6" t="str">
        <f t="shared" si="281"/>
        <v>R</v>
      </c>
      <c r="BD161" t="str">
        <f t="shared" si="282"/>
        <v>00.002Т.1</v>
      </c>
      <c r="BE161" t="str">
        <f t="shared" si="283"/>
        <v>00</v>
      </c>
      <c r="BF161" t="str">
        <f t="shared" si="284"/>
        <v>002Т.1</v>
      </c>
      <c r="BG161" t="str">
        <f t="shared" si="285"/>
        <v>002Т</v>
      </c>
      <c r="BH161" t="str">
        <f>IF(X161&lt;&gt;"",X161,IF(AND(B161&lt;&gt;"",B161&lt;&gt;A161,ISNUMBER(_xlfn.XMATCH(B161,Щиты[Щит]))),B161,""))</f>
        <v/>
      </c>
      <c r="BI161" t="str" cm="1">
        <f t="array" ref="BI161">IF(B161="","",IF(BH161&lt;&gt;"","Щит "&amp;BH161,_xlfn.LET(_xlpm.nm,IFERROR(_xlfn.XLOOKUP(BC161,Коды_код,Коды_имя)&amp;"",""),_xlpm.md,IFERROR(N(_xlfn.XLOOKUP(BC161,Коды_код,Коды_режим)),1),_xlpm.ex,IF(Имя_режим="по экспликации",IFERROR(_xlfn.XLOOKUP(BE161&amp;"|"&amp;BG161,Экспликация[Этаж]&amp;"|"&amp;Экспликация[Помещение],Экспликация[Название])&amp;"",""),""),_xlpm.rm,IF(BG161="","",IF(_xlpm.ex&lt;&gt;"",". "&amp;_xlpm.ex&amp;IF(Имя_пом="нет"," ("&amp;BG161&amp;")"," (пом. "&amp;BG161&amp;")"),IF(Имя_пом="нет"," ",", пом. ")&amp;BG161)),IF(_xlpm.nm="","",IF(_xlpm.md=2,_xlpm.nm&amp;" шлейф "&amp;BE161,_xlpm.nm&amp;_xlpm.rm)))))</f>
        <v>Розеточная группа, пом. 002Т</v>
      </c>
      <c r="BJ161" t="str">
        <f t="shared" si="286"/>
        <v>Розеточная группа, пом. 002Т</v>
      </c>
      <c r="BK161">
        <f>IFERROR(_xlfn.XMATCH(A161,Щиты[Щит]),0)</f>
        <v>8</v>
      </c>
      <c r="BL161">
        <f>_xlfn.LET(_xlpm.k,IFERROR(_xlfn.XLOOKUP(A161,Щиты[Щит],Щиты[Мест под вводной узел]),""),IF(_xlpm.k="",Столбцов_на_лист,N(_xlpm.k)))</f>
        <v>7</v>
      </c>
      <c r="BM161">
        <f t="shared" si="287"/>
        <v>14</v>
      </c>
      <c r="BN161" t="str">
        <f t="shared" si="288"/>
        <v>линии</v>
      </c>
      <c r="BO161" s="6">
        <f>IFERROR(N(_xlfn.XLOOKUP(BC161,Коды_код,Коды_квт)),0)</f>
        <v>0</v>
      </c>
      <c r="BP161">
        <f t="shared" si="289"/>
        <v>0</v>
      </c>
      <c r="BQ161" t="str">
        <f>IF(B161="","",IF(BH161&lt;&gt;"",IFERROR(_xlfn.XLOOKUP(BH161,Щиты[Щит],Щиты[Руст, кВт]),0),IF(BP161=1,IF(OR(N(_xlfn.XLOOKUP(A161,Щиты[Щит],Щиты[Вводов],1))&lt;=1,LOWER(TRIM(_xlfn.XLOOKUP(A161,Щиты[Щит],Щиты[АВР],"")&amp;""))="да"),IFERROR(_xlfn.XLOOKUP(A161,Щиты[Щит],Щиты[Руст, кВт]),0),SUMIFS(Линии[_Р для вводов],Линии[Щит],A161,Линии[Источник для режимов],GF161)),IF(BO161&gt;0,ROUND(BO161*MAX(1,N(D161)),3),""))))</f>
        <v/>
      </c>
      <c r="BR161">
        <f t="shared" si="290"/>
        <v>0.18</v>
      </c>
      <c r="BS161" s="6">
        <f>IF(B161="","",IF(BH161&lt;&gt;"",IFERROR(_xlfn.XLOOKUP(BH161,Щиты[Щит],Щиты[Руст, кВт]),0),N(BR161)))</f>
        <v>0.18</v>
      </c>
      <c r="BT161" t="str">
        <f>IF(B161="","",IFERROR(IF(VLOOKUP(BC161,Потребители_обозначение,8,FALSE)=0,"",VLOOKUP(BC161,Потребители_обозначение,8,FALSE)),""))</f>
        <v/>
      </c>
      <c r="BU161">
        <f t="shared" si="291"/>
        <v>230</v>
      </c>
      <c r="BV161">
        <f t="shared" si="292"/>
        <v>0</v>
      </c>
      <c r="BW161">
        <f>IF(B161="","",IF(BH161&lt;&gt;"",3,IFERROR(IF(N(VLOOKUP(BC161,Потребители_обозначение,9,FALSE))=0,1,VLOOKUP(BC161,Потребители_обозначение,9,FALSE)),1)))</f>
        <v>1</v>
      </c>
      <c r="BX161">
        <f t="shared" si="293"/>
        <v>1</v>
      </c>
      <c r="BY161" t="str">
        <f>IF(B161="","",_xlfn.LET(_xlpm.bc,IFERROR(IF(VLOOKUP(BC161,Потребители_обозначение,6,FALSE)=0,"",VLOOKUP(BC161,Потребители_обозначение,6,FALSE)&amp;""),""),IF(AND(GA161="да",OR(_xlpm.bc="",_xlpm.bc="мс")),Марка_пож,IF(AND(_xlpm.bc="",BH161&lt;&gt;""),"мс",_xlpm.bc))))</f>
        <v/>
      </c>
      <c r="BZ161" t="str">
        <f t="shared" si="294"/>
        <v>мс</v>
      </c>
      <c r="CA161">
        <f>IF(B161="","",_xlfn.LET(_xlpm.cc,IFERROR(N(VLOOKUP(BC161,Потребители_обозначение,7,FALSE)),0),IF(_xlpm.cc&gt;0,_xlpm.cc,IF(BZ161="","",IF(BV161=1,2,IF(N(BX161)=3,5,3))))))</f>
        <v>3</v>
      </c>
      <c r="CB161">
        <f t="shared" si="295"/>
        <v>3</v>
      </c>
      <c r="CC161">
        <f>IFERROR(N(VLOOKUP(BC161,Потребители_обозначение,10,FALSE)),0)</f>
        <v>0</v>
      </c>
      <c r="CD161">
        <f>IFERROR(VLOOKUP(BC161,Потребители_обозначение,5,FALSE),0)</f>
        <v>1</v>
      </c>
      <c r="CE161" s="6" cm="1">
        <f t="array" ref="CE161">IF(B161="","",IF(BH161&lt;&gt;"",IFERROR(_xlfn.XLOOKUP(BH161,Щиты[Щит],Щиты[cos φ]),0.95),IF(BP161=1,IFERROR(_xlfn.XLOOKUP(A161,Щиты[Щит],Щиты[cos φ]),0.95),IF(ISNUMBER(AD161),AD161,IFERROR(IF(CD161=2,_xlfn.IFS(BX161=3,VLOOKUP(BS161,Справочная_двигатели,8,FALSE),BX161=1,VLOOKUP(BS161,Справочная_двигатели,10,TRUE)),IF(AND(Методика="нормы 2026",FG161="Сил"),0.8,0.95)),0.95)))))</f>
        <v>0.95</v>
      </c>
      <c r="CF161">
        <f t="shared" si="296"/>
        <v>0</v>
      </c>
      <c r="CG161">
        <f t="shared" si="297"/>
        <v>1</v>
      </c>
      <c r="CH161">
        <f t="shared" si="298"/>
        <v>0</v>
      </c>
      <c r="CI161">
        <f>IF(B161="","",IF(BV161=1,IFERROR(BS161/((Uн_лин/SQRT(3))*MAX(0.5,N(CE161))),0),N(O161)))</f>
        <v>0.8204451193747313</v>
      </c>
      <c r="CJ161">
        <f t="shared" si="299"/>
        <v>0</v>
      </c>
      <c r="CK161">
        <f t="shared" si="300"/>
        <v>0</v>
      </c>
      <c r="CL161">
        <f t="shared" si="301"/>
        <v>0</v>
      </c>
      <c r="CM161">
        <f t="shared" si="302"/>
        <v>0</v>
      </c>
      <c r="CN161">
        <f t="shared" si="303"/>
        <v>0</v>
      </c>
      <c r="CO161">
        <f>IF(BC161="",0,_xlfn.LET(_xlpm.v,IFERROR(_xlfn.XLOOKUP(B161,Коды_код,Коды_мА),IFERROR(_xlfn.XLOOKUP(BC161,Коды_код,Коды_мА),IFERROR(_xlfn.XLOOKUP(LEFT(BC161,2),Коды_код,Коды_мА),""))),IF(_xlpm.v="да",30,IF(ISNUMBER(_xlpm.v),_xlpm.v,0))))</f>
        <v>30</v>
      </c>
      <c r="CP161">
        <f t="shared" si="304"/>
        <v>30</v>
      </c>
      <c r="CQ161" t="str">
        <f>_xlfn.LET(_xlpm.k,IFERROR(_xlfn.XLOOKUP(BC161,Коды_код,Коды_утечка)&amp;"",""),IF(_xlpm.k="","дифавтомат",_xlpm.k))</f>
        <v>дифавтомат</v>
      </c>
      <c r="CR161" t="str" cm="1">
        <f t="array" ref="CR161">IF(CG161=0,"",_xlfn.LET(_xlpm.sg,TRIM(_xlfn.TEXTSPLIT(DD161&amp;"",";")),_xlpm.f_,_xlfn._xlws.FILTER(_xlpm.sg,LEFT(_xlpm.sg,3)="УЗО",""),IFERROR(INDEX(_xlpm.f_,1)&amp;"","")))</f>
        <v/>
      </c>
      <c r="CS161" t="str">
        <f t="shared" si="305"/>
        <v/>
      </c>
      <c r="CT161" s="6" t="str" cm="1">
        <f t="array" ref="CT161">IF(CR161="","",_xlfn.LET(_xlpm.tk,_xlfn.TEXTSPLIT(UPPER(CR161)," ",,TRUE),_xlpm.a_,_xlfn._xlws.FILTER(_xlpm.tk,ISNUMBER(--LEFT(_xlpm.tk,1))*((ISNUMBER(SEARCH("А",_xlpm.tk))+ISNUMBER(SEARCH("A",_xlpm.tk)))&gt;0)*NOT(ISNUMBER(SEARCH("МА",_xlpm.tk)))*NOT(ISNUMBER(SEARCH("MA",_xlpm.tk))),""),IFERROR(--SUBSTITUTE(SUBSTITUTE(INDEX(_xlpm.a_,1),"А",""),"A",""),"")))</f>
        <v/>
      </c>
      <c r="CU161" t="str" cm="1">
        <f t="array" ref="CU161">IF(CR161="","",_xlfn.LET(_xlpm.tk,_xlfn.TEXTSPLIT(UPPER(CR161)," ",,TRUE),_xlpm.a_,_xlfn._xlws.FILTER(_xlpm.tk,ISNUMBER(--LEFT(_xlpm.tk,1))*((ISNUMBER(SEARCH("МА",_xlpm.tk))+ISNUMBER(SEARCH("MA",_xlpm.tk)))&gt;0),""),IFERROR(--SUBSTITUTE(SUBSTITUTE(INDEX(_xlpm.a_,1),"МА",""),"MA",""),30)))</f>
        <v/>
      </c>
      <c r="CV161" t="str">
        <f>IF(CS161="","",IFERROR(_xlfn.XLOOKUP(CS161,Линии[_n],Линии[_УЗО, мА]),30))</f>
        <v/>
      </c>
      <c r="CW161">
        <f>IF(CS161="",0,IF(ISNUMBER(SEARCH("4P",IFERROR(_xlfn.XLOOKUP(CS161,Линии[_n],Линии[_УЗО строки])&amp;"",""))),0,1))</f>
        <v>0</v>
      </c>
      <c r="CX161" t="str">
        <f>IF(AND(CS161&lt;&gt;"",CS161=BA161),SUMIFS(Линии[_ток на 230 В],Линии[_блок УЗО],BA161,Линии[Щит],A161),"")</f>
        <v/>
      </c>
      <c r="CY161" t="str">
        <f>IF(AND(CS161&lt;&gt;"",CS161=BA161),SUMIFS(Линии[_ток утечки линии, мА],Линии[_блок УЗО],BA161,Линии[Щит],A161),"")</f>
        <v/>
      </c>
      <c r="CZ161">
        <f t="shared" si="306"/>
        <v>30</v>
      </c>
      <c r="DA161">
        <f t="shared" si="307"/>
        <v>30</v>
      </c>
      <c r="DB161">
        <f>IF(B161="",0,IFERROR(--_xlfn.XLOOKUP(B161,Коды_код,Коды_минавт),IFERROR(--_xlfn.XLOOKUP(BC161,Коды_код,Коды_минавт),IFERROR(--_xlfn.XLOOKUP(LEFT(BC161,2),Коды_код,Коды_минавт),0))))</f>
        <v>16</v>
      </c>
      <c r="DC161" t="str">
        <f>IF(B161="","",IFERROR(_xlfn.XLOOKUP(BC161,Коды_код,Коды_апп)&amp;"",""))</f>
        <v/>
      </c>
      <c r="DD161" t="str">
        <f t="shared" si="308"/>
        <v/>
      </c>
      <c r="DE161" t="str" cm="1">
        <f t="array" ref="DE161">IF(TRIM(DD161&amp;"")="","",IFERROR(TRIM(INDEX(_xlfn.TEXTSPLIT(DD161&amp;";;;",";"),1)),""))</f>
        <v/>
      </c>
      <c r="DF161" t="str" cm="1">
        <f t="array" ref="DF161">IF(TRIM(DD161&amp;"")="","",IFERROR(TRIM(INDEX(_xlfn.TEXTSPLIT(DD161&amp;";;;",";"),2)),""))</f>
        <v/>
      </c>
      <c r="DG161" t="str" cm="1">
        <f t="array" ref="DG161">IF(TRIM(DD161&amp;"")="","",IFERROR(TRIM(INDEX(_xlfn.TEXTSPLIT(DD161&amp;";;;",";"),3)),""))</f>
        <v/>
      </c>
      <c r="DH161">
        <f t="shared" si="309"/>
        <v>0</v>
      </c>
      <c r="DI161" t="str">
        <f>IF(B161="","",_xlfn.LET(_xlpm.t,LOWER(AZ161&amp;""),IF(ISNUMBER(SEARCH("dim",_xlpm.t)),"DIM",IF(ISNUMBER(SEARCH("dali",_xlpm.t)),"DALI",IF(OR(ISNUMBER(SEARCH("relay",_xlpm.t)),ISNUMBER(SEARCH("реле",_xlpm.t))),"Relay",IF(ISNUMBER(SEARCH("кнопк",_xlpm.t)),"",IFERROR(_xlfn.XLOOKUP(BC161,Коды_код,Коды_упр)&amp;"","")))))))</f>
        <v/>
      </c>
      <c r="DJ161" t="str">
        <f t="shared" si="310"/>
        <v/>
      </c>
      <c r="DK161">
        <f>IF(B161="","",_xlfn.LET(_xlpm.ig,IF(N(CX161)&gt;0,N(CX161),N(CI161)+IF(AJ161="вручную",0,N(CJ161))),_xlpm.n0,IFERROR(VLOOKUP(_xlpm.ig,Автомат_номиналы,2,TRUE),0),_xlpm.mn,MAX(DB161,IF(AJ161="вручную",0,N(CM161))),MAX(_xlpm.n0,_xlpm.mn,IF(DH161=1,Мин_автомат_БП,0))))</f>
        <v>16</v>
      </c>
      <c r="DL161">
        <f t="shared" si="311"/>
        <v>1</v>
      </c>
      <c r="DM161" t="str">
        <f t="shared" si="312"/>
        <v>2P</v>
      </c>
      <c r="DN161" t="str">
        <f>_xlfn.LET(_xlpm.cc,UPPER(TRIM(IFERROR(_xlfn.XLOOKUP(BC161,Коды_код,Коды_хар)&amp;"",""))),IF(OR(_xlpm.cc="B",_xlpm.cc="В"),"B",IF(_xlpm.cc="D","D","С")))</f>
        <v>С</v>
      </c>
      <c r="DO161" t="str">
        <f t="shared" si="313"/>
        <v>2P С16А 30мА</v>
      </c>
      <c r="DP161">
        <f t="shared" si="314"/>
        <v>16</v>
      </c>
      <c r="DQ161" t="str">
        <f t="shared" si="315"/>
        <v>2P С16А 30мА</v>
      </c>
      <c r="DR161" cm="1">
        <f t="array" ref="DR161">IF(DQ161="","",_xlfn.LET(_xlpm.t,SUBSTITUTE(SUBSTITUTE(SUBSTITUTE(UPPER(DQ161),"С","C"),"А","A"),"В","B"),_xlpm.tk,_xlfn.TEXTSPLIT(_xlpm.t," "),_xlpm.f,_xlfn._xlws.FILTER(_xlpm.tk,ISNUMBER(--MID(_xlpm.tk,2,1))*ISNUMBER(SEARCH(LEFT(_xlpm.tk,1)&amp;"#","B#C#D#"))*(LEN(_xlpm.tk)&gt;1),""),_xlpm.x,INDEX(_xlpm.f,1),IFERROR(--SUBSTITUTE(MID(_xlpm.x,2,9),"A",""),IFERROR(--SUBSTITUTE(INDEX(_xlfn._xlws.FILTER(_xlpm.tk,ISNUMBER(--SUBSTITUTE(_xlpm.tk,"A","")),""),1),"A",""),""))))</f>
        <v>16</v>
      </c>
      <c r="DS161" t="str">
        <f t="shared" si="316"/>
        <v>ok</v>
      </c>
      <c r="DT161">
        <f t="shared" si="317"/>
        <v>16</v>
      </c>
      <c r="DU161" t="str">
        <f t="shared" si="318"/>
        <v>2P С16А 30мА</v>
      </c>
      <c r="DV161">
        <f t="shared" si="319"/>
        <v>30</v>
      </c>
      <c r="DW161">
        <f t="shared" si="320"/>
        <v>1</v>
      </c>
      <c r="DX161">
        <f t="shared" si="321"/>
        <v>0</v>
      </c>
      <c r="DY161">
        <f t="shared" si="322"/>
        <v>0.8204451193747313</v>
      </c>
      <c r="DZ161">
        <f t="shared" si="323"/>
        <v>1</v>
      </c>
      <c r="EA161">
        <f>IF(ISNUMBER(AP161),AP161,К_прокл)</f>
        <v>1</v>
      </c>
      <c r="EB161">
        <f t="shared" si="324"/>
        <v>2</v>
      </c>
      <c r="EC161">
        <f>IFERROR(N(VLOOKUP(BZ161,Кабель_обозначение,3,FALSE)),1)</f>
        <v>1</v>
      </c>
      <c r="ED161">
        <f>IFERROR(N(_xlfn.XLOOKUP(A161,Щиты[Щит],Щиты[ΔU до шин, %])),0)</f>
        <v>1.57</v>
      </c>
      <c r="EE161" t="str">
        <f>IFERROR(_xlfn.XLOOKUP(A161,Щиты[Щит],Щиты[Zпетли на шинах, Ом]),"")</f>
        <v/>
      </c>
      <c r="EF161">
        <f>IFERROR(N(_xlfn.XLOOKUP(A161,Щиты[Щит],Щиты[ΔU до шин (подбор), %])),0)</f>
        <v>2.5</v>
      </c>
      <c r="EG161" t="str">
        <f>IFERROR(_xlfn.XLOOKUP(A161,Щиты[Щит],Щиты[Zпетли на шинах (подбор), Ом]),"")</f>
        <v/>
      </c>
      <c r="EH161" t="str">
        <f t="shared" si="325"/>
        <v/>
      </c>
      <c r="EI161">
        <f t="shared" si="326"/>
        <v>22</v>
      </c>
      <c r="EJ161">
        <f t="shared" si="327"/>
        <v>2</v>
      </c>
      <c r="EK161">
        <f t="shared" si="328"/>
        <v>0.31</v>
      </c>
      <c r="EL161" s="6">
        <f>IF(B161="","",IF(BV161=1,dU_LED,IF(IFERROR(_xlfn.XLOOKUP(BC161,Коды_код,Коды_уго),"")="Светильник",3,4)+IF(Методика="нормы 2026",MIN(0.5,MAX(0,N(P161)-100)*0.005),0)))</f>
        <v>4</v>
      </c>
      <c r="EM161" cm="1">
        <f t="array" ref="EM161">IF(OR(B161="",BZ161="",EC161&lt;&gt;1),"",_xlfn.LET(_xlpm.sz,Iдоп_S,_xlpm.t_,CHOOSE(EB161,Iдоп_1ж,Iдоп_2ж,Iдоп_3ж)*DZ161*EA161,_xlpm.dcx,BV161=1,_xlpm.inn,IF(_xlpm.dcx,N(O161),N(DT161)),_xlpm.smin,MAX(1.5,CC161),_xlpm.L_,N(P161)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161)/N(BU161)*100,999),IFERROR(N(EJ161)*(_xlpm.rho*_xlpm.L_/_xlpm.sz*N(CE161)+_xlpm.xx*_xlpm.L_*N(EK161)/1000)*N(O161)/((Uн_лин/SQRT(3))*1000)*100,999)),_xlpm.kz,IF(OR(_xlpm.dcx,DW161=1,NOT(ISNUMBER(EG161)),_xlpm.L_=0,_xlpm.inn=0),1,IFERROR(--(c_min*(Uн_лин*1000/SQRT(3))/(EG161+2*ρкз_Cu*_xlpm.L_/_xlpm.sz)&gt;=HT161*_xlpm.inn),0)),_xlpm.ok,IFERROR((_xlpm.sz&gt;=_xlpm.smin)*(_xlpm.t_&gt;=_xlpm.inn)*IF(_xlpm.L_&gt;0,(_xlpm.du_+IF(_xlpm.dcx,0,EF161)&lt;=EL161+0.00001),1)*_xlpm.kz,0),_xlpm.r_,_xlfn._xlws.FILTER(_xlpm.sz,_xlpm.ok,"не подобрано"),INDEX(_xlpm.r_,1)))</f>
        <v>1.5</v>
      </c>
      <c r="EN161">
        <f t="shared" si="329"/>
        <v>2.5</v>
      </c>
      <c r="EO161" cm="1">
        <f t="array" ref="EO161">IF(OR(B161="",BZ161="",EC161&lt;&gt;1),"",_xlfn.LET(_xlpm.sz,Iдоп_S,_xlpm.t_,CHOOSE(EB161,Iдоп_1ж,Iдоп_2ж,Iдоп_3ж)*DZ161*EA161,_xlpm.ok,IFERROR((_xlpm.sz&gt;=MAX(1.5,CC161))*(_xlpm.t_&gt;=N(DT161)),0),_xlpm.r_,_xlfn._xlws.FILTER(_xlpm.sz,_xlpm.ok,""),INDEX(_xlpm.r_,1)))</f>
        <v>1.5</v>
      </c>
      <c r="EP161" s="6" cm="1">
        <f t="array" ref="EP161">IFERROR(ROUNDUP(N(EJ161)*(_xlfn.XLOOKUP(EO161,INDEX(Кабель_сопротивление,0,1),INDEX(Кабель_сопротивление,0,3))*N(P161)/EO161*N(CE161)+_xlfn.XLOOKUP(EO161,INDEX(Кабель_сопротивление,0,1),INDEX(Кабель_сопротивление,0,2))*N(P161)*N(EK161)/1000)*N(O161)/((Uн_лин/SQRT(3))*1000)*100,2),"")</f>
        <v>0.32</v>
      </c>
      <c r="EQ161">
        <f>IFERROR(2*ρкз_Cu*N(P161)/EO161,"")</f>
        <v>1.0870666666666666</v>
      </c>
      <c r="ER161">
        <f>IFERROR(VLOOKUP(EN161,Кабель_сопротивление,3,FALSE),"")</f>
        <v>2.2499999999999999E-2</v>
      </c>
      <c r="ES161">
        <f>IFERROR(VLOOKUP(EN161,Кабель_сопротивление,2,FALSE),"")</f>
        <v>0.1</v>
      </c>
      <c r="ET161">
        <f t="shared" si="330"/>
        <v>17</v>
      </c>
      <c r="EU161">
        <f t="shared" si="331"/>
        <v>0</v>
      </c>
      <c r="EV161">
        <f t="shared" si="332"/>
        <v>0.43649485329998328</v>
      </c>
      <c r="EW161" s="6">
        <f>IFERROR(ROUNDUP(EV161/IF(BV161=1,BU161,(Uн_лин/SQRT(3))*1000)*100,2),"")</f>
        <v>0.19</v>
      </c>
      <c r="EX161" t="str">
        <f>IFERROR(VLOOKUP(BZ161,Кабель_обозначение,2,FALSE),"")</f>
        <v>ВВГнг(А)-LS</v>
      </c>
      <c r="EY161" t="str">
        <f t="shared" si="333"/>
        <v>ВВГнг(А)-LS (3х2,5)</v>
      </c>
      <c r="EZ161" t="str">
        <f t="shared" si="334"/>
        <v>ВВГнг(А)-LS (3х2,5)
L=31-0,19%</v>
      </c>
      <c r="FA161">
        <f>IFERROR(2*ρкз_Cu*P161/EN161,"")</f>
        <v>0.65224000000000004</v>
      </c>
      <c r="FB161">
        <f t="shared" si="335"/>
        <v>0.21700000000000003</v>
      </c>
      <c r="FC161" s="6" t="str">
        <f>IFERROR(IF(OR(B161="",BV161=1,NOT(ISNUMBER(EN161)),N(P161)=0),"",_xlfn.XLOOKUP(A161,Щиты[Щит],Щиты[Zпетли на шинах, Ом])+FA161),"")</f>
        <v/>
      </c>
      <c r="FD161" s="6" t="str">
        <f>IF(ISNUMBER(FC161),c_min*(Uн_лин*1000/SQRT(3))/FC161,"")</f>
        <v/>
      </c>
      <c r="FE161" s="6" t="str">
        <f>IFERROR(IF(OR(B161="",NOT(ISNUMBER(EN161))),"",1.05*(Uн_лин*1000/SQRT(3))/(_xlfn.XLOOKUP(A161,Щиты[Щит],Щиты[Zmax на шинах, Ом])+FB161)/1000),"")</f>
        <v/>
      </c>
      <c r="FF161" s="6" t="str">
        <f>IF(B161="","",IF(ISNUMBER(AC161),"Сил",IF(IFERROR(_xlfn.XLOOKUP(BC161,Коды_код,Коды_группа)&amp;"","")="","Быт",_xlfn.XLOOKUP(BC161,Коды_код,Коды_группа)&amp;"")))</f>
        <v>Быт</v>
      </c>
      <c r="FG161" s="6" t="str">
        <f t="shared" si="336"/>
        <v>Быт</v>
      </c>
      <c r="FH161" s="6">
        <f>IF(FG161="Щит","щит",IF(FG161="","",IF(FG161="Быт",IFERROR(_xlfn.XLOOKUP(A161,Щиты[Щит],Щиты[Кс быт]),1),IF(FG161="Сил",IF(ISNUMBER(AC161),AC161,IF(Методика="нормы 2026",IFERROR(_xlfn.XLOOKUP(A161,Щиты[Щит],Щиты[Кс силовых (табл. 7.5)]),1),1)),IF(OR(FG161="Пост",FG161="Отоп"),1,IF(FG161="ВНГ",0.7,0))))))</f>
        <v>0.8</v>
      </c>
      <c r="FI161">
        <f>IF(FG161="","",IF(AND(BP161=1,TRIM(AE161&amp;"")=""),IF(COUNTIFS(Линии[Щит],A161,Линии[Секция (1/2/3)],"&gt;=2")&gt;0,MIN(3,MAX(1,IFERROR(--BD161,1))),1),IFERROR(MIN(3,MAX(1,INT(--AE161))),1)))</f>
        <v>1</v>
      </c>
      <c r="FJ161">
        <f t="shared" si="337"/>
        <v>0.18</v>
      </c>
      <c r="FK161">
        <f t="shared" si="338"/>
        <v>0.18</v>
      </c>
      <c r="FL161">
        <f t="shared" si="339"/>
        <v>0</v>
      </c>
      <c r="FM161">
        <f t="shared" si="340"/>
        <v>0</v>
      </c>
      <c r="FN161">
        <f t="shared" si="341"/>
        <v>0</v>
      </c>
      <c r="FO161">
        <f t="shared" si="342"/>
        <v>0</v>
      </c>
      <c r="FP161">
        <f t="shared" si="343"/>
        <v>0.18</v>
      </c>
      <c r="FQ161">
        <f t="shared" si="344"/>
        <v>0.18</v>
      </c>
      <c r="FR161">
        <f t="shared" si="345"/>
        <v>0.17099999999999999</v>
      </c>
      <c r="FS161">
        <f>IF(CG161=1,IF(AND(CH161=1,CW161=1),0,IF(AND(CS161&lt;&gt;"",CS161=BA161,CW161=1),SUMIFS(Линии[_Р линии, кВт],Линии[_блок УЗО],BA161,Линии[Щит],A161),N(BS161)+IF(AJ161="вручную",0,N(CK161)))),0)</f>
        <v>0.18</v>
      </c>
      <c r="FT161" t="str">
        <f t="shared" si="346"/>
        <v>L1</v>
      </c>
      <c r="FU161" t="str">
        <f>IF(B161="","",IF(CG161=0,IF(BA161=1,"",FW160),IF(AND(CH161=1,CW161=1,CS161&lt;&gt;""),IFERROR(_xlfn.XLOOKUP(CS161,Линии[_n],Линии[_фаза итог]),"L1"),IF(OR(N(DL161)&gt;=3,N(BX161)&gt;=3),"L1,L2,L3",IFERROR(_xlfn.TEXTBEFORE(_xlfn.TEXTAFTER(_xlfn.XLOOKUP(A161,Щиты[Щит],Щиты[_фазы авто]),";"&amp;BA161&amp;":"),";"),"L1")))))</f>
        <v>L1</v>
      </c>
      <c r="FV161" t="str">
        <f t="shared" si="347"/>
        <v>L1</v>
      </c>
      <c r="FW161" t="str">
        <f t="shared" si="348"/>
        <v>L1</v>
      </c>
      <c r="FX161" cm="1">
        <f t="array" ref="FX161">IFERROR(IF(CD161=2,_xlfn.IFS(BX161=3,VLOOKUP(BS161,Справочная_двигатели,3,FALSE),BX161=1,VLOOKUP(BS161,Справочная_двигатели,5,TRUE)),0),0)</f>
        <v>0</v>
      </c>
      <c r="FY161">
        <f>IFERROR(IF(CD161=3,VLOOKUP(BS161,Справочная_ЛЭД,2,TRUE),0),0)</f>
        <v>0</v>
      </c>
      <c r="FZ161" s="6">
        <f t="shared" si="349"/>
        <v>0</v>
      </c>
      <c r="GA161" t="str">
        <f>IF(B161="","",IF(TRIM(AH161&amp;"")&lt;&gt;"",IF(LOWER(TRIM(AH161&amp;""))="да","да","нет"),IF(IFERROR(_xlfn.XLOOKUP(BC161,Коды_код,Коды_пожарная),"")="да","да","нет")))</f>
        <v>нет</v>
      </c>
      <c r="GB161" t="str">
        <f t="shared" si="350"/>
        <v/>
      </c>
      <c r="GC161" t="str">
        <f t="shared" si="351"/>
        <v>основная</v>
      </c>
      <c r="GD161">
        <f>IF(AND(BP161=1,TRIM(AE161&amp;"")=""),IF(COUNTIFS(Линии[Щит],A161,Линии[Секция (1/2/3)],"&gt;=2")&gt;0,MIN(3,MAX(1,IFERROR(--BD161,1))),1),IFERROR(MIN(3,MAX(1,INT(--AE161))),1))</f>
        <v>1</v>
      </c>
      <c r="GE161" t="str" cm="1">
        <f t="array" ref="GE161">IF(B161="","",_xlfn.LET(_xlpm.t,IFERROR(_xlfn.XLOOKUP(1,(Шины[Шина]=GC161)*(((Шины[Щит]=A161)+(Шины[Щит]=""))&gt;0),Шины[Тип]),"")&amp;"",IF(_xlpm.t&lt;&gt;"",_xlpm.t,IF(ISNUMBER(SEARCH("ИБП",GC161)),"ИБП",IF(ISNUMBER(SEARCH("ДГУ",GC161)),"ДГУ","Ввод "&amp;GD161)))))</f>
        <v>Ввод 1</v>
      </c>
      <c r="GF161" t="str">
        <f t="shared" si="352"/>
        <v>Ввод 1</v>
      </c>
      <c r="GG161" t="str">
        <f>IF(BP161=0,"",IF(TRIM(AG161&amp;"")&lt;&gt;"",TRIM(AG161&amp;""),IF(OR(GE161="ИБП",GE161="ДГУ"),"I особая",_xlfn.XLOOKUP(A161,Щиты[Щит],Щиты[Категория шины «Ввод»],"III"))))</f>
        <v/>
      </c>
      <c r="GH161" t="str">
        <f>IF(A161="","",_xlfn.XLOOKUP(A161,Щиты[Щит],Щиты[Путь],""))</f>
        <v>|ГРЩ-ЖД|ЩР-001|</v>
      </c>
      <c r="GI161" t="str">
        <f>IF(B161="","",IF(AI161&lt;&gt;"",AI161,IF(IFERROR(_xlfn.XLOOKUP(BC161,Коды_код,Коды_вид)&amp;"","")="","Прочее",_xlfn.XLOOKUP(BC161,Коды_код,Коды_вид)&amp;"")))</f>
        <v>Розеточная сеть и бытовые приборы</v>
      </c>
      <c r="GJ161">
        <f>IF(BM161="","",INT((BM161-1)/Столбцов_на_лист)+1)</f>
        <v>1</v>
      </c>
      <c r="GK161" t="str">
        <f t="shared" si="353"/>
        <v>ВВГнг(А)-LS (3х2,5) L=31-0,19%</v>
      </c>
      <c r="GL161">
        <f t="shared" si="354"/>
        <v>0.18</v>
      </c>
      <c r="GM161">
        <f t="shared" si="355"/>
        <v>0.83</v>
      </c>
      <c r="GN161">
        <f t="shared" si="356"/>
        <v>1</v>
      </c>
      <c r="GO161">
        <f t="shared" si="357"/>
        <v>0</v>
      </c>
      <c r="GP161">
        <f t="shared" si="358"/>
        <v>1</v>
      </c>
      <c r="GQ161">
        <f>IF(BM161="","",IF(AND(CG161=1,GP161=1),COUNTIFS(A$3:A161,A161,CG$3:CG161,1,GP$3:GP161,1),IF(OR(OR(BA161=1,A161&lt;&gt;A160),AJ161="вручную",GP161=0),"",IF(BA161=1,"",GR160))))</f>
        <v>7</v>
      </c>
      <c r="GR161">
        <f t="shared" si="359"/>
        <v>7</v>
      </c>
      <c r="GS161">
        <f>IF(B161="","",IFERROR(LOOKUP(INDEX(CHOOSE(EB161,Iдоп_1ж,Iдоп_2ж,Iдоп_3ж),MATCH(EN161,Iдоп_S,0))*DZ161*EA161,{6,10,16,20,25,32,40,50,63,80,100,125,160,200,250,315,400,500,630}),""))</f>
        <v>25</v>
      </c>
      <c r="GT161" t="str">
        <f t="shared" si="360"/>
        <v>QFD7</v>
      </c>
      <c r="GU161" t="str">
        <f t="shared" si="361"/>
        <v>QFD7</v>
      </c>
      <c r="GV161" t="str">
        <f t="shared" si="362"/>
        <v/>
      </c>
      <c r="GW161">
        <f t="shared" si="363"/>
        <v>0</v>
      </c>
      <c r="GX161" t="str">
        <f>IF(OR(B161="",DJ161=""),"",IFERROR(_xlfn.XLOOKUP(DJ161,Модули_умолч[Управление],Модули_умолч[Модель])&amp;"",""))</f>
        <v/>
      </c>
      <c r="GY161">
        <f>IF(DJ161="",1,IFERROR(MAX(0,N(_xlfn.XLOOKUP(DJ161,Модули_умолч[Управление],Модули_умолч[Каналов на линию]))),1))</f>
        <v>1</v>
      </c>
      <c r="GZ161" t="str">
        <f t="shared" si="364"/>
        <v/>
      </c>
      <c r="HA161" t="str">
        <f t="shared" si="365"/>
        <v/>
      </c>
      <c r="HB161" t="str">
        <f t="shared" si="366"/>
        <v/>
      </c>
      <c r="HC161">
        <f>IF(HB161="",0,IFERROR(N(VLOOKUP(HB161,Модули_спр,3,FALSE)),0))</f>
        <v>0</v>
      </c>
      <c r="HD161" t="str">
        <f t="shared" si="367"/>
        <v/>
      </c>
      <c r="HE161" t="str">
        <f t="shared" si="368"/>
        <v/>
      </c>
      <c r="HF161" t="str">
        <f>IF(OR(HE161="",HE161="-"),"",IFERROR(VLOOKUP(HE161,Модули_спр,2,FALSE),"R"))</f>
        <v/>
      </c>
      <c r="HG161" t="str">
        <f>IF(HF161="","",HF161&amp;"."&amp;COUNTIFS(A$3:A161,A161,HF$3:HF161,HF161))</f>
        <v/>
      </c>
      <c r="HH161" t="str">
        <f t="shared" si="369"/>
        <v/>
      </c>
      <c r="HI161" t="str">
        <f t="shared" si="370"/>
        <v/>
      </c>
      <c r="HJ161" t="str">
        <f t="shared" si="371"/>
        <v/>
      </c>
      <c r="HK161" t="str">
        <f t="shared" si="372"/>
        <v/>
      </c>
      <c r="HL161">
        <f t="shared" si="373"/>
        <v>1</v>
      </c>
      <c r="HM161" t="str">
        <f>IF(HL161=1,"XT"&amp;COUNTIFS(A$3:A161,A161,HL$3:HL161,1),"")</f>
        <v>XT7</v>
      </c>
      <c r="HN161" t="str">
        <f t="shared" si="374"/>
        <v>XT7</v>
      </c>
      <c r="HO161" t="str">
        <f t="shared" si="375"/>
        <v>QFD7</v>
      </c>
      <c r="HP161" t="str">
        <f t="shared" si="376"/>
        <v/>
      </c>
      <c r="HQ161" t="str">
        <f t="shared" si="377"/>
        <v>ok</v>
      </c>
      <c r="HR161" t="str">
        <f>IF(OR(HJ161="",HH161=""),"",IF(HJ161+MAX(0,GY161-1)&gt;IFERROR(VLOOKUP(HI161,Модули_спр,3,FALSE),99),"ЛИШНИЙ КАНАЛ",IF(AND(AL161&lt;&gt;"=",GY161&gt;0,COUNTIFS(Линии[_модуль гр.],HH161,Линии[Канал (итог)],HJ161,Линии[Канал],"&lt;&gt;=",Линии[Щит],A161)&gt;1),"ДУБЛЬ КАНАЛА","")))</f>
        <v/>
      </c>
      <c r="HS161" s="6" t="str">
        <f t="shared" si="378"/>
        <v/>
      </c>
      <c r="HT161">
        <f t="shared" si="379"/>
        <v>10</v>
      </c>
      <c r="HU161" t="str">
        <f t="shared" si="380"/>
        <v/>
      </c>
      <c r="HV161">
        <f t="shared" si="381"/>
        <v>0.63817804774989262</v>
      </c>
      <c r="HW161">
        <f t="shared" si="382"/>
        <v>0</v>
      </c>
      <c r="HX161">
        <f t="shared" si="383"/>
        <v>0</v>
      </c>
      <c r="HY161">
        <f t="shared" si="384"/>
        <v>0</v>
      </c>
      <c r="HZ161">
        <f t="shared" si="385"/>
        <v>0</v>
      </c>
      <c r="IA161">
        <f t="shared" si="386"/>
        <v>0</v>
      </c>
      <c r="IB161">
        <f t="shared" si="387"/>
        <v>0</v>
      </c>
      <c r="IC161" t="str">
        <f t="shared" si="388"/>
        <v/>
      </c>
      <c r="ID161" t="str" cm="1">
        <f t="array" ref="ID161">IF(IC161="","",_xlfn.LET(_xlpm.tk,_xlfn.TEXTSPLIT(SUBSTITUTE(SUBSTITUTE(IC161,";"," "),"→"," ")," ",,TRUE),_xlpm.w_,_xlfn._xlws.FILTER(_xlpm.tk,ISNUMBER(--LEFT(_xlpm.tk,1))*((ISNUMBER(SEARCH("W",_xlpm.tk))+ISNUMBER(SEARCH("Вт",_xlpm.tk)))&gt;0),""),IFERROR(--SUBSTITUTE(SUBSTITUTE(UPPER(INDEX(_xlpm.w_,1)),"W",""),"ВТ",""),"")))</f>
        <v/>
      </c>
      <c r="IE161" t="str" cm="1">
        <f t="array" ref="IE161">IF(IC161="","",_xlfn.LET(_xlpm.tk,_xlfn.TEXTSPLIT(SUBSTITUTE(SUBSTITUTE(IC161,";"," "),"→"," ")," ",,TRUE),_xlpm.v_,_xlfn._xlws.FILTER(_xlpm.tk,ISNUMBER(--LEFT(_xlpm.tk,1))*((ISNUMBER(SEARCH("V",_xlpm.tk))+(RIGHT(UPPER(_xlpm.tk))="В"))&gt;0),""),IFERROR(--SUBSTITUTE(SUBSTITUTE(UPPER(INDEX(_xlpm.v_,1)),"V",""),"В",""),"")))</f>
        <v/>
      </c>
      <c r="IF161" s="6" t="str">
        <f>IF(OR(BV161=0,HI161="",HJ161=""),"",IFERROR(N(_xlfn.XLOOKUP(HI161,Каталог!$C$4:$C$500,Каталог!$Q$4:$Q$500)),""))</f>
        <v/>
      </c>
      <c r="IG161" s="6" t="str">
        <f>IF(N(IF161)=0,"",SUMIFS(Линии[Iр, А],Линии[Щит],A161,Линии[_модуль гр.],HH161,Линии[Канал (итог)],HJ161))</f>
        <v/>
      </c>
      <c r="IH161" t="str">
        <f>IF(AND(B161="",HO161=""),"",_xlfn.TEXTJOIN("; ",TRUE,IF(AND(B161&lt;&gt;"",FV161=""),"нет фазы",""),IF(AND(B161&lt;&gt;"",N(GL161)=0,FG161&lt;&gt;"Нет"),"нет мощности",""),IF(AND(HN161&lt;&gt;"",COUNTIFS(Линии[Щит],A161,Линии[Клемма (итог)],HN161)&gt;1),"дубль клеммы "&amp;HN161,""),IF(AND(HQ161&lt;&gt;"",HQ161&lt;&gt;"ok"),HQ161,""),IF(HR161&lt;&gt;"",HR161,""),IF(AND(N(CB161)&gt;=4,N(BX161)=1),CB161&amp;" жил на 1 фазе",""),IF(AND(BC161="R",CG161=1,IF(CS161&lt;&gt;"",N(CV161)&gt;30,OR(N(DA161)=0,N(DA161)&gt;30))),"розетка без дифзащиты до 30 мА",""),IF(AND(CG161=1,N(DA161)&gt;0,ISNUMBER(T161)),IF(T161&gt;N(DA161)/3,"ток утечки "&amp;FIXED(T161,1)&amp;" мА &gt; 1/3 уставки ("&amp;DA161&amp;" мА)",""),""),IF(AND(CH161=1,CS161=""),"«узо»: нет строки с УЗО выше (УЗО 2P 40А 30мА в «Аппаратах»)",""),IF(AND(CS161&lt;&gt;"",CS161=BA161),IF(CT161="","впишите номинал УЗО (УЗО 2P 40А 30мА)",IF(N(CT161)&lt;N(DT161),"УЗО "&amp;CT161&amp;" А &lt; автомата "&amp;DT161&amp;" А перед ним",IF(N(CT161)&lt;N(CX161),"УЗО "&amp;CT161&amp;" А &lt; тока блока "&amp;FIXED(CX161,1)&amp;" А",""))),""),IF(AND(CS161&lt;&gt;"",CS161=BA161,ISNUMBER(CY161)),IF(CY161&gt;N(CV161)/3,"ток утечки блока УЗО "&amp;FIXED(CY161,1)&amp;" мА &gt; 1/3 уставки ("&amp;CV161&amp;" мА)",""),""),IF(AND(CG161=1,N(BV161)+N(IB161)&gt;0,IC161=""),"линии до 50 В без БП: впишите в «Аппараты» (БП 24V 480W)",""),IF(AND(CG161=1,ISNUMBER(ID161),ISNUMBER(U161)),IF(U161&gt;ID161,"БП "&amp;ID161&amp;" Вт &lt; нужно "&amp;U161&amp;" Вт (×"&amp;Запас_БП&amp;")",""),""),IF(AND(CG161=1,ISNUMBER(IE161),N(BV161)=1),IF(IE161&lt;&gt;N(BU161),"БП на "&amp;IE161&amp;" В, линия "&amp;BU161&amp;" В",""),""),IF(AND(N(IF161)&gt;0,N(IG161)&gt;N(IF161)),HH161&amp;" канал "&amp;HJ161&amp;": "&amp;FIXED(IG161,1)&amp;" А &gt; "&amp;IF161&amp;" А",""),IFERROR(IF(AND(ISNUMBER(Q161),Q161&gt;EL161),"потери "&amp;FIXED(Q161,1)&amp;" % &gt; "&amp;EL161&amp;" %",""),""),IFERROR(IF(LEFT(HU161,4)="мало","Iкз мало — отключение &gt; 0,4 с",""),""),IF(AND(B161&lt;&gt;"",BM161=""),"не на схеме",""),IF(AND(CG161=0,B161&lt;&gt;"",FV161&lt;&gt;"",IF(BA161=1,"",FW160)&lt;&gt;"",FV161&lt;&gt;IF(BA161=1,"",FW160)),"фаза не как у автомата группы ("&amp;IF(BA161=1,"",FW160)&amp;")","")))</f>
        <v/>
      </c>
      <c r="II161" s="6">
        <f>IF(OR(CG161=0,DQ161=""),"",_xlfn.LET(_xlpm.t,IFERROR(_xlfn.XLOOKUP(DQ161,Каталог!$U$4:$U$500,Каталог!$G$4:$G$500),""),_xlpm.k,SEARCH("кА",_xlpm.t),IFERROR(--TRIM(RIGHT(SUBSTITUTE(MID(_xlpm.t,MAX(1,_xlpm.k-4),_xlpm.k-MAX(1,_xlpm.k-4))," ",REPT(" ",9)),5)),"")))</f>
        <v>6</v>
      </c>
      <c r="IJ161" t="str">
        <f>IF(OR(II161="",CG161=0),"",IF(_xlfn.XLOOKUP(A161,Щиты[Щит],Щиты[Iкз max на шинах, кА],"")="","",IF(II161&lt;_xlfn.XLOOKUP(A161,Щиты[Щит],Щиты[Iкз max на шинах, кА]),"Icu "&amp;II161&amp;" кА &lt; Iкз max","ok")))</f>
        <v/>
      </c>
      <c r="IK161" t="str">
        <f t="shared" si="389"/>
        <v/>
      </c>
      <c r="IL161" t="str">
        <f t="shared" si="390"/>
        <v>QFD7|XT7</v>
      </c>
      <c r="IM161" t="str">
        <f t="shared" si="391"/>
        <v>QFD7|XT7|кабель ВВГнг(А)-LS (3х2,5) → Розеточная группа, пом. 002Т</v>
      </c>
      <c r="IN161" t="str" cm="1">
        <f t="array" ref="IN161">IF(IM161="","",_xlfn.LET(_xlpm.nd,_xlfn.TEXTSPLIT(IM161,"|"),IF(COLUMNS(_xlpm.nd)&gt;1,A161&amp;"¦"&amp;INDEX(_xlpm.nd,1)&amp;"¦"&amp;INDEX(_xlpm.nd,2),"")))</f>
        <v>ЩР-001¦QFD7¦XT7</v>
      </c>
      <c r="IO161" t="str">
        <f t="shared" si="392"/>
        <v>R.00.002Т.1¦Розеточная группа, пом. 002Т</v>
      </c>
      <c r="IP161" t="str" cm="1">
        <f t="array" ref="IP161">IF(IM161="","",_xlfn.LET(_xlpm.nd,_xlfn.TEXTSPLIT(IM161,"|"),IF(COLUMNS(_xlpm.nd)&gt;2,A161&amp;"¦"&amp;INDEX(_xlpm.nd,2)&amp;"¦"&amp;INDEX(_xlpm.nd,3),"")))</f>
        <v>ЩР-001¦XT7¦кабель ВВГнг(А)-LS (3х2,5) → Розеточная группа, пом. 002Т</v>
      </c>
      <c r="IQ161" t="str">
        <f t="shared" si="393"/>
        <v>R.00.002Т.1¦Розеточная группа, пом. 002Т</v>
      </c>
      <c r="IR161" t="str" cm="1">
        <f t="array" ref="IR161">IF(IM161="","",_xlfn.LET(_xlpm.nd,_xlfn.TEXTSPLIT(IM161,"|"),IF(COLUMNS(_xlpm.nd)&gt;3,A161&amp;"¦"&amp;INDEX(_xlpm.nd,3)&amp;"¦"&amp;INDEX(_xlpm.nd,4),"")))</f>
        <v/>
      </c>
      <c r="IS161" t="str">
        <f t="shared" si="394"/>
        <v/>
      </c>
      <c r="IT161" t="str" cm="1">
        <f t="array" ref="IT161">IF(IM161="","",_xlfn.LET(_xlpm.nd,_xlfn.TEXTSPLIT(IM161,"|"),IF(COLUMNS(_xlpm.nd)&gt;4,A161&amp;"¦"&amp;INDEX(_xlpm.nd,4)&amp;"¦"&amp;INDEX(_xlpm.nd,5),"")))</f>
        <v/>
      </c>
      <c r="IU161" t="str">
        <f t="shared" si="395"/>
        <v/>
      </c>
      <c r="IV161" t="str" cm="1">
        <f t="array" ref="IV161">IF(IM161="","",_xlfn.LET(_xlpm.nd,_xlfn.TEXTSPLIT(IM161,"|"),IF(COLUMNS(_xlpm.nd)&gt;5,A161&amp;"¦"&amp;INDEX(_xlpm.nd,5)&amp;"¦"&amp;INDEX(_xlpm.nd,6),"")))</f>
        <v/>
      </c>
      <c r="IW161" t="str">
        <f t="shared" si="396"/>
        <v/>
      </c>
      <c r="IX161" t="str" cm="1">
        <f t="array" ref="IX161">IF(IM161="","",_xlfn.LET(_xlpm.nd,_xlfn.TEXTSPLIT(IM161,"|"),IF(COLUMNS(_xlpm.nd)&gt;6,A161&amp;"¦"&amp;INDEX(_xlpm.nd,6)&amp;"¦"&amp;INDEX(_xlpm.nd,7),"")))</f>
        <v/>
      </c>
      <c r="IY161" t="str">
        <f t="shared" si="397"/>
        <v/>
      </c>
      <c r="IZ161" t="str">
        <f t="shared" si="398"/>
        <v/>
      </c>
      <c r="JA161" t="str">
        <f t="shared" si="399"/>
        <v>QFD7 → XT7</v>
      </c>
      <c r="JB161">
        <f t="shared" si="400"/>
        <v>0</v>
      </c>
      <c r="JC161">
        <f t="shared" si="401"/>
        <v>1</v>
      </c>
      <c r="JD161" t="str">
        <f t="shared" si="402"/>
        <v/>
      </c>
      <c r="JE161" t="str">
        <f t="shared" si="403"/>
        <v/>
      </c>
      <c r="JF161" t="str">
        <f t="shared" si="404"/>
        <v/>
      </c>
      <c r="JG161" t="str">
        <f t="shared" si="405"/>
        <v/>
      </c>
      <c r="JH161" t="str">
        <f>IF(B161="","",IFERROR(_xlfn.XLOOKUP(B161,Коды_код,Коды_уго),IFERROR(_xlfn.XLOOKUP(BC161,Коды_код,Коды_уго),IFERROR(_xlfn.XLOOKUP(LEFT(BC161,2),Коды_код,Коды_уго),""))))</f>
        <v>Розетка</v>
      </c>
      <c r="JI161" t="str">
        <f>IF(B161="","",IF(OR(JH161="",JH161=0),"BOX",IFERROR(IF(VLOOKUP(JH161,УГО_блоки,3,FALSE)&amp;""&lt;&gt;"",VLOOKUP(JH161,УГО_блоки,3,FALSE),VLOOKUP(JH161,УГО_блоки,2,FALSE)),JH161)))</f>
        <v>SOCKET</v>
      </c>
      <c r="JJ161">
        <f t="shared" si="406"/>
        <v>1</v>
      </c>
      <c r="JK161" t="str">
        <f>IF(DQ161="","",IF(COUNTIF(DQ$3:DQ161,DQ161)=1,MAX(JK$2:JK160)+1,""))</f>
        <v/>
      </c>
      <c r="JL161" t="str">
        <f>IF(DE161="","",IF(COUNTIF(DE$3:DE161,DE161)+COUNTIF(DF$2:DF160,DE161)+COUNTIF(DG$2:DG160,DE161)=1,MAX(JL$2:JN160)+1,""))</f>
        <v/>
      </c>
      <c r="JM161" t="str">
        <f>IF(DF161="","",IF(COUNTIF(DE$3:DE161,DF161)+COUNTIF(DF$3:DF161,DF161)+COUNTIF(DG$2:DG160,DF161)=1,MAX(JL$2:JN160,JL161)+1,""))</f>
        <v/>
      </c>
      <c r="JN161" t="str">
        <f>IF(DG161="","",IF(COUNTIF(DE$3:DE161,DG161)+COUNTIF(DF$3:DF161,DG161)+COUNTIF(DG$3:DG161,DG161)=1,MAX(JL$2:JN160,JL161,JM161)+1,""))</f>
        <v/>
      </c>
      <c r="JO161" t="str">
        <f t="shared" si="407"/>
        <v>3х2,5</v>
      </c>
      <c r="JP161" t="str">
        <f>IF(JO161="","",IF(COUNTIF(JO$3:JO161,JO161)=1,MAX(JP$2:JP160)+1,""))</f>
        <v/>
      </c>
      <c r="JQ161" t="str">
        <f>IF(HG161="","",COUNTIF(HG$3:HG161,"?*"))</f>
        <v/>
      </c>
      <c r="JR161" t="str">
        <f>IF(OR(HG161="",HI161=""),"",IF(COUNTIFS(HG$3:HG161,"?*",HI$3:HI161,HI161)=1,MAX(JR$2:JR160)+1,""))</f>
        <v/>
      </c>
      <c r="JS161">
        <f t="shared" si="408"/>
        <v>0</v>
      </c>
      <c r="JT161">
        <f>IF(B161="","",COUNTIF(B$3:B161,"?*"))</f>
        <v>159</v>
      </c>
      <c r="JU161">
        <f>IF(HL161&lt;&gt;1,0,_xlfn.LET(_xlpm.k,MAX(IFERROR(--_xlfn.XLOOKUP(B161,Коды_код,Коды_3L),0),IFERROR(--_xlfn.XLOOKUP(BC161,Коды_код,Коды_3L),0),IFERROR(--_xlfn.XLOOKUP(LEFT(BC161,2),Коды_код,Коды_3L),0)),IF(_xlpm.k&gt;0,_xlpm.k,IF(IFERROR(--LEFT(SUBSTITUTE(JO161,"x","х"),FIND("х",SUBSTITUTE(JO161,"x","х"))-1),3)&gt;3,Каталог!$S$9,1))))</f>
        <v>1</v>
      </c>
      <c r="JV161">
        <f t="shared" si="409"/>
        <v>0</v>
      </c>
      <c r="JW161" t="str">
        <f t="shared" si="410"/>
        <v>авто</v>
      </c>
      <c r="JX161">
        <f t="shared" si="411"/>
        <v>30</v>
      </c>
      <c r="JY161">
        <f t="shared" si="412"/>
        <v>1</v>
      </c>
      <c r="JZ161">
        <f t="shared" si="413"/>
        <v>1</v>
      </c>
    </row>
    <row r="162" spans="1:286" x14ac:dyDescent="0.3">
      <c r="A162" t="s">
        <v>753</v>
      </c>
      <c r="B162" t="s">
        <v>1470</v>
      </c>
      <c r="C162" t="str">
        <f>Линии[[#This Row],[_авто наименование]]</f>
        <v>Розеточная группа, пом. 001А</v>
      </c>
      <c r="D162">
        <v>6</v>
      </c>
      <c r="E162">
        <v>0.36</v>
      </c>
      <c r="G162">
        <v>16</v>
      </c>
      <c r="H162" t="str">
        <f>Линии[[#This Row],[_авто управление]]</f>
        <v/>
      </c>
      <c r="I162" t="str">
        <f>Линии[[#This Row],[_авто аппараты]]</f>
        <v/>
      </c>
      <c r="J162">
        <v>2.5</v>
      </c>
      <c r="K162">
        <v>62</v>
      </c>
      <c r="L162">
        <v>1</v>
      </c>
      <c r="M162" t="str">
        <f>Линии[[#This Row],[_авто клемма]]</f>
        <v>XT8</v>
      </c>
      <c r="N162" t="str">
        <f t="shared" si="276"/>
        <v/>
      </c>
      <c r="O162" s="6" cm="1">
        <f t="array" ref="O162">IF(B162="","",IF(BH162&lt;&gt;"",IFERROR(_xlfn.XLOOKUP(BH162,Щиты[Щит],Щиты[Iр, А]),""),IF(BP162=1,IF(OR(N(_xlfn.XLOOKUP(A162,Щиты[Щит],Щиты[Вводов],1))&lt;=1,LOWER(TRIM(_xlfn.XLOOKUP(A162,Щиты[Щит],Щиты[АВР],"")&amp;""))="да"),IFERROR(_xlfn.XLOOKUP(A162,Щиты[Щит],Щиты[Iр, А]),""),IFERROR(N(BS162)*_xlfn.XLOOKUP(A162,Щиты[Щит],Щиты[Кс итог])/(SQRT(3)*Uн_лин*_xlfn.XLOOKUP(A162,Щиты[Щит],Щиты[cos φ])),"")),IF(BV162=1,IFERROR(BS162*1000/BU162,""),IFERROR(_xlfn.IFS(BX162=1,BS162/((Uн_лин/SQRT(3))*CE162),BX162=3,BS162/(SQRT(3)*Uн_лин*CE162)),"")))))</f>
        <v>1.6408902387494626</v>
      </c>
      <c r="P162" s="7">
        <f>IF(B162="","",IFERROR(IF(VLOOKUP(BC162,Потребители_обозначение,4,FALSE)=1,VLOOKUP(BC162,Потребители_обозначение,3,FALSE)*(MAX(1,N(D162))*2-1)+EI162+VLOOKUP(BE162,Этаж_обозначение,3,FALSE)+VLOOKUP(BE162,Этаж_обозначение,4,FALSE),VLOOKUP(BC162,Потребители_обозначение,3,FALSE)*(MAX(1,N(D162))*2-1)+EI162),EI162))</f>
        <v>95</v>
      </c>
      <c r="Q162" s="6">
        <f t="shared" si="277"/>
        <v>2.73</v>
      </c>
      <c r="R162" t="str">
        <f t="shared" si="278"/>
        <v>ВВГнг(А)-LS (3х2,5)</v>
      </c>
      <c r="S162" t="str">
        <f>IF(BM162="","",IF(BN162="вводной узел","узел ","")&amp;"л."&amp;(INT((BM162-1)/Столбцов_на_лист)+1)&amp;" / "&amp;(MOD(BM162-1,Столбцов_на_лист)+1))</f>
        <v>л.1 / 15</v>
      </c>
      <c r="T162" s="119">
        <f t="shared" si="279"/>
        <v>1.6</v>
      </c>
      <c r="U162" s="7" t="str">
        <f>IF(OR(CG162=0,N(BV162)+N(IB162)=0),"",ROUNDUP(Запас_БП*(N(HY162)+N(HZ162)),0))</f>
        <v/>
      </c>
      <c r="V162" s="119" t="str">
        <f t="shared" si="280"/>
        <v/>
      </c>
      <c r="W162" s="7" t="str">
        <f>IFERROR(IF(OR(B162="",BP162=1,BV162=1,NOT(ISNUMBER(EN162)),N(DT162)=0),"",MAX(0,ROUNDDOWN((c_min*(Uн_лин*1000/SQRT(3))/(HT162*N(DT162))-_xlfn.XLOOKUP(A162,Щиты[Щит],Щиты[Zпетли на шинах, Ом]))*EN162/(2*ρкз_Cu),0))),"")</f>
        <v/>
      </c>
      <c r="Y162">
        <f>Линии[[#This Row],[_авто утечка]]</f>
        <v>30</v>
      </c>
      <c r="Z162">
        <v>1</v>
      </c>
      <c r="AA162">
        <v>230</v>
      </c>
      <c r="AB162" t="s">
        <v>562</v>
      </c>
      <c r="AG162" t="s">
        <v>810</v>
      </c>
      <c r="AI162" t="s">
        <v>561</v>
      </c>
      <c r="AK162" t="str">
        <f>Линии[[#This Row],[_авто модуль]]</f>
        <v/>
      </c>
      <c r="AM162">
        <v>15</v>
      </c>
      <c r="AN162" t="s">
        <v>11</v>
      </c>
      <c r="AO162">
        <v>3</v>
      </c>
      <c r="AQ162">
        <v>46</v>
      </c>
      <c r="AR162">
        <v>49</v>
      </c>
      <c r="AS162">
        <v>0</v>
      </c>
      <c r="BA162" cm="1">
        <f t="array" ref="BA162">ROW()-ROW(Линии[#Headers])</f>
        <v>160</v>
      </c>
      <c r="BC162" s="6" t="str">
        <f t="shared" si="281"/>
        <v>R</v>
      </c>
      <c r="BD162" t="str">
        <f t="shared" si="282"/>
        <v>00.001А.1</v>
      </c>
      <c r="BE162" t="str">
        <f t="shared" si="283"/>
        <v>00</v>
      </c>
      <c r="BF162" t="str">
        <f t="shared" si="284"/>
        <v>001А.1</v>
      </c>
      <c r="BG162" t="str">
        <f t="shared" si="285"/>
        <v>001А</v>
      </c>
      <c r="BH162" t="str">
        <f>IF(X162&lt;&gt;"",X162,IF(AND(B162&lt;&gt;"",B162&lt;&gt;A162,ISNUMBER(_xlfn.XMATCH(B162,Щиты[Щит]))),B162,""))</f>
        <v/>
      </c>
      <c r="BI162" t="str" cm="1">
        <f t="array" ref="BI162">IF(B162="","",IF(BH162&lt;&gt;"","Щит "&amp;BH162,_xlfn.LET(_xlpm.nm,IFERROR(_xlfn.XLOOKUP(BC162,Коды_код,Коды_имя)&amp;"",""),_xlpm.md,IFERROR(N(_xlfn.XLOOKUP(BC162,Коды_код,Коды_режим)),1),_xlpm.ex,IF(Имя_режим="по экспликации",IFERROR(_xlfn.XLOOKUP(BE162&amp;"|"&amp;BG162,Экспликация[Этаж]&amp;"|"&amp;Экспликация[Помещение],Экспликация[Название])&amp;"",""),""),_xlpm.rm,IF(BG162="","",IF(_xlpm.ex&lt;&gt;"",". "&amp;_xlpm.ex&amp;IF(Имя_пом="нет"," ("&amp;BG162&amp;")"," (пом. "&amp;BG162&amp;")"),IF(Имя_пом="нет"," ",", пом. ")&amp;BG162)),IF(_xlpm.nm="","",IF(_xlpm.md=2,_xlpm.nm&amp;" шлейф "&amp;BE162,_xlpm.nm&amp;_xlpm.rm)))))</f>
        <v>Розеточная группа, пом. 001А</v>
      </c>
      <c r="BJ162" t="str">
        <f t="shared" si="286"/>
        <v>Розеточная группа, пом. 001А</v>
      </c>
      <c r="BK162">
        <f>IFERROR(_xlfn.XMATCH(A162,Щиты[Щит]),0)</f>
        <v>8</v>
      </c>
      <c r="BL162">
        <f>_xlfn.LET(_xlpm.k,IFERROR(_xlfn.XLOOKUP(A162,Щиты[Щит],Щиты[Мест под вводной узел]),""),IF(_xlpm.k="",Столбцов_на_лист,N(_xlpm.k)))</f>
        <v>7</v>
      </c>
      <c r="BM162">
        <f t="shared" si="287"/>
        <v>15</v>
      </c>
      <c r="BN162" t="str">
        <f t="shared" si="288"/>
        <v>линии</v>
      </c>
      <c r="BO162" s="6">
        <f>IFERROR(N(_xlfn.XLOOKUP(BC162,Коды_код,Коды_квт)),0)</f>
        <v>0</v>
      </c>
      <c r="BP162">
        <f t="shared" si="289"/>
        <v>0</v>
      </c>
      <c r="BQ162" t="str">
        <f>IF(B162="","",IF(BH162&lt;&gt;"",IFERROR(_xlfn.XLOOKUP(BH162,Щиты[Щит],Щиты[Руст, кВт]),0),IF(BP162=1,IF(OR(N(_xlfn.XLOOKUP(A162,Щиты[Щит],Щиты[Вводов],1))&lt;=1,LOWER(TRIM(_xlfn.XLOOKUP(A162,Щиты[Щит],Щиты[АВР],"")&amp;""))="да"),IFERROR(_xlfn.XLOOKUP(A162,Щиты[Щит],Щиты[Руст, кВт]),0),SUMIFS(Линии[_Р для вводов],Линии[Щит],A162,Линии[Источник для режимов],GF162)),IF(BO162&gt;0,ROUND(BO162*MAX(1,N(D162)),3),""))))</f>
        <v/>
      </c>
      <c r="BR162">
        <f t="shared" si="290"/>
        <v>0.36</v>
      </c>
      <c r="BS162" s="6">
        <f>IF(B162="","",IF(BH162&lt;&gt;"",IFERROR(_xlfn.XLOOKUP(BH162,Щиты[Щит],Щиты[Руст, кВт]),0),N(BR162)))</f>
        <v>0.36</v>
      </c>
      <c r="BT162" t="str">
        <f>IF(B162="","",IFERROR(IF(VLOOKUP(BC162,Потребители_обозначение,8,FALSE)=0,"",VLOOKUP(BC162,Потребители_обозначение,8,FALSE)),""))</f>
        <v/>
      </c>
      <c r="BU162">
        <f t="shared" si="291"/>
        <v>230</v>
      </c>
      <c r="BV162">
        <f t="shared" si="292"/>
        <v>0</v>
      </c>
      <c r="BW162">
        <f>IF(B162="","",IF(BH162&lt;&gt;"",3,IFERROR(IF(N(VLOOKUP(BC162,Потребители_обозначение,9,FALSE))=0,1,VLOOKUP(BC162,Потребители_обозначение,9,FALSE)),1)))</f>
        <v>1</v>
      </c>
      <c r="BX162">
        <f t="shared" si="293"/>
        <v>1</v>
      </c>
      <c r="BY162" t="str">
        <f>IF(B162="","",_xlfn.LET(_xlpm.bc,IFERROR(IF(VLOOKUP(BC162,Потребители_обозначение,6,FALSE)=0,"",VLOOKUP(BC162,Потребители_обозначение,6,FALSE)&amp;""),""),IF(AND(GA162="да",OR(_xlpm.bc="",_xlpm.bc="мс")),Марка_пож,IF(AND(_xlpm.bc="",BH162&lt;&gt;""),"мс",_xlpm.bc))))</f>
        <v/>
      </c>
      <c r="BZ162" t="str">
        <f t="shared" si="294"/>
        <v>мс</v>
      </c>
      <c r="CA162">
        <f>IF(B162="","",_xlfn.LET(_xlpm.cc,IFERROR(N(VLOOKUP(BC162,Потребители_обозначение,7,FALSE)),0),IF(_xlpm.cc&gt;0,_xlpm.cc,IF(BZ162="","",IF(BV162=1,2,IF(N(BX162)=3,5,3))))))</f>
        <v>3</v>
      </c>
      <c r="CB162">
        <f t="shared" si="295"/>
        <v>3</v>
      </c>
      <c r="CC162">
        <f>IFERROR(N(VLOOKUP(BC162,Потребители_обозначение,10,FALSE)),0)</f>
        <v>0</v>
      </c>
      <c r="CD162">
        <f>IFERROR(VLOOKUP(BC162,Потребители_обозначение,5,FALSE),0)</f>
        <v>1</v>
      </c>
      <c r="CE162" s="6" cm="1">
        <f t="array" ref="CE162">IF(B162="","",IF(BH162&lt;&gt;"",IFERROR(_xlfn.XLOOKUP(BH162,Щиты[Щит],Щиты[cos φ]),0.95),IF(BP162=1,IFERROR(_xlfn.XLOOKUP(A162,Щиты[Щит],Щиты[cos φ]),0.95),IF(ISNUMBER(AD162),AD162,IFERROR(IF(CD162=2,_xlfn.IFS(BX162=3,VLOOKUP(BS162,Справочная_двигатели,8,FALSE),BX162=1,VLOOKUP(BS162,Справочная_двигатели,10,TRUE)),IF(AND(Методика="нормы 2026",FG162="Сил"),0.8,0.95)),0.95)))))</f>
        <v>0.95</v>
      </c>
      <c r="CF162">
        <f t="shared" si="296"/>
        <v>0</v>
      </c>
      <c r="CG162">
        <f t="shared" si="297"/>
        <v>1</v>
      </c>
      <c r="CH162">
        <f t="shared" si="298"/>
        <v>0</v>
      </c>
      <c r="CI162">
        <f>IF(B162="","",IF(BV162=1,IFERROR(BS162/((Uн_лин/SQRT(3))*MAX(0.5,N(CE162))),0),N(O162)))</f>
        <v>1.6408902387494626</v>
      </c>
      <c r="CJ162">
        <f t="shared" si="299"/>
        <v>0</v>
      </c>
      <c r="CK162">
        <f t="shared" si="300"/>
        <v>0</v>
      </c>
      <c r="CL162">
        <f t="shared" si="301"/>
        <v>0</v>
      </c>
      <c r="CM162">
        <f t="shared" si="302"/>
        <v>0</v>
      </c>
      <c r="CN162">
        <f t="shared" si="303"/>
        <v>0</v>
      </c>
      <c r="CO162">
        <f>IF(BC162="",0,_xlfn.LET(_xlpm.v,IFERROR(_xlfn.XLOOKUP(B162,Коды_код,Коды_мА),IFERROR(_xlfn.XLOOKUP(BC162,Коды_код,Коды_мА),IFERROR(_xlfn.XLOOKUP(LEFT(BC162,2),Коды_код,Коды_мА),""))),IF(_xlpm.v="да",30,IF(ISNUMBER(_xlpm.v),_xlpm.v,0))))</f>
        <v>30</v>
      </c>
      <c r="CP162">
        <f t="shared" si="304"/>
        <v>30</v>
      </c>
      <c r="CQ162" t="str">
        <f>_xlfn.LET(_xlpm.k,IFERROR(_xlfn.XLOOKUP(BC162,Коды_код,Коды_утечка)&amp;"",""),IF(_xlpm.k="","дифавтомат",_xlpm.k))</f>
        <v>дифавтомат</v>
      </c>
      <c r="CR162" t="str" cm="1">
        <f t="array" ref="CR162">IF(CG162=0,"",_xlfn.LET(_xlpm.sg,TRIM(_xlfn.TEXTSPLIT(DD162&amp;"",";")),_xlpm.f_,_xlfn._xlws.FILTER(_xlpm.sg,LEFT(_xlpm.sg,3)="УЗО",""),IFERROR(INDEX(_xlpm.f_,1)&amp;"","")))</f>
        <v/>
      </c>
      <c r="CS162" t="str">
        <f t="shared" si="305"/>
        <v/>
      </c>
      <c r="CT162" s="6" t="str" cm="1">
        <f t="array" ref="CT162">IF(CR162="","",_xlfn.LET(_xlpm.tk,_xlfn.TEXTSPLIT(UPPER(CR162)," ",,TRUE),_xlpm.a_,_xlfn._xlws.FILTER(_xlpm.tk,ISNUMBER(--LEFT(_xlpm.tk,1))*((ISNUMBER(SEARCH("А",_xlpm.tk))+ISNUMBER(SEARCH("A",_xlpm.tk)))&gt;0)*NOT(ISNUMBER(SEARCH("МА",_xlpm.tk)))*NOT(ISNUMBER(SEARCH("MA",_xlpm.tk))),""),IFERROR(--SUBSTITUTE(SUBSTITUTE(INDEX(_xlpm.a_,1),"А",""),"A",""),"")))</f>
        <v/>
      </c>
      <c r="CU162" t="str" cm="1">
        <f t="array" ref="CU162">IF(CR162="","",_xlfn.LET(_xlpm.tk,_xlfn.TEXTSPLIT(UPPER(CR162)," ",,TRUE),_xlpm.a_,_xlfn._xlws.FILTER(_xlpm.tk,ISNUMBER(--LEFT(_xlpm.tk,1))*((ISNUMBER(SEARCH("МА",_xlpm.tk))+ISNUMBER(SEARCH("MA",_xlpm.tk)))&gt;0),""),IFERROR(--SUBSTITUTE(SUBSTITUTE(INDEX(_xlpm.a_,1),"МА",""),"MA",""),30)))</f>
        <v/>
      </c>
      <c r="CV162" t="str">
        <f>IF(CS162="","",IFERROR(_xlfn.XLOOKUP(CS162,Линии[_n],Линии[_УЗО, мА]),30))</f>
        <v/>
      </c>
      <c r="CW162">
        <f>IF(CS162="",0,IF(ISNUMBER(SEARCH("4P",IFERROR(_xlfn.XLOOKUP(CS162,Линии[_n],Линии[_УЗО строки])&amp;"",""))),0,1))</f>
        <v>0</v>
      </c>
      <c r="CX162" t="str">
        <f>IF(AND(CS162&lt;&gt;"",CS162=BA162),SUMIFS(Линии[_ток на 230 В],Линии[_блок УЗО],BA162,Линии[Щит],A162),"")</f>
        <v/>
      </c>
      <c r="CY162" t="str">
        <f>IF(AND(CS162&lt;&gt;"",CS162=BA162),SUMIFS(Линии[_ток утечки линии, мА],Линии[_блок УЗО],BA162,Линии[Щит],A162),"")</f>
        <v/>
      </c>
      <c r="CZ162">
        <f t="shared" si="306"/>
        <v>30</v>
      </c>
      <c r="DA162">
        <f t="shared" si="307"/>
        <v>30</v>
      </c>
      <c r="DB162">
        <f>IF(B162="",0,IFERROR(--_xlfn.XLOOKUP(B162,Коды_код,Коды_минавт),IFERROR(--_xlfn.XLOOKUP(BC162,Коды_код,Коды_минавт),IFERROR(--_xlfn.XLOOKUP(LEFT(BC162,2),Коды_код,Коды_минавт),0))))</f>
        <v>16</v>
      </c>
      <c r="DC162" t="str">
        <f>IF(B162="","",IFERROR(_xlfn.XLOOKUP(BC162,Коды_код,Коды_апп)&amp;"",""))</f>
        <v/>
      </c>
      <c r="DD162" t="str">
        <f t="shared" si="308"/>
        <v/>
      </c>
      <c r="DE162" t="str" cm="1">
        <f t="array" ref="DE162">IF(TRIM(DD162&amp;"")="","",IFERROR(TRIM(INDEX(_xlfn.TEXTSPLIT(DD162&amp;";;;",";"),1)),""))</f>
        <v/>
      </c>
      <c r="DF162" t="str" cm="1">
        <f t="array" ref="DF162">IF(TRIM(DD162&amp;"")="","",IFERROR(TRIM(INDEX(_xlfn.TEXTSPLIT(DD162&amp;";;;",";"),2)),""))</f>
        <v/>
      </c>
      <c r="DG162" t="str" cm="1">
        <f t="array" ref="DG162">IF(TRIM(DD162&amp;"")="","",IFERROR(TRIM(INDEX(_xlfn.TEXTSPLIT(DD162&amp;";;;",";"),3)),""))</f>
        <v/>
      </c>
      <c r="DH162">
        <f t="shared" si="309"/>
        <v>0</v>
      </c>
      <c r="DI162" t="str">
        <f>IF(B162="","",_xlfn.LET(_xlpm.t,LOWER(AZ162&amp;""),IF(ISNUMBER(SEARCH("dim",_xlpm.t)),"DIM",IF(ISNUMBER(SEARCH("dali",_xlpm.t)),"DALI",IF(OR(ISNUMBER(SEARCH("relay",_xlpm.t)),ISNUMBER(SEARCH("реле",_xlpm.t))),"Relay",IF(ISNUMBER(SEARCH("кнопк",_xlpm.t)),"",IFERROR(_xlfn.XLOOKUP(BC162,Коды_код,Коды_упр)&amp;"","")))))))</f>
        <v/>
      </c>
      <c r="DJ162" t="str">
        <f t="shared" si="310"/>
        <v/>
      </c>
      <c r="DK162">
        <f>IF(B162="","",_xlfn.LET(_xlpm.ig,IF(N(CX162)&gt;0,N(CX162),N(CI162)+IF(AJ162="вручную",0,N(CJ162))),_xlpm.n0,IFERROR(VLOOKUP(_xlpm.ig,Автомат_номиналы,2,TRUE),0),_xlpm.mn,MAX(DB162,IF(AJ162="вручную",0,N(CM162))),MAX(_xlpm.n0,_xlpm.mn,IF(DH162=1,Мин_автомат_БП,0))))</f>
        <v>16</v>
      </c>
      <c r="DL162">
        <f t="shared" si="311"/>
        <v>1</v>
      </c>
      <c r="DM162" t="str">
        <f t="shared" si="312"/>
        <v>2P</v>
      </c>
      <c r="DN162" t="str">
        <f>_xlfn.LET(_xlpm.cc,UPPER(TRIM(IFERROR(_xlfn.XLOOKUP(BC162,Коды_код,Коды_хар)&amp;"",""))),IF(OR(_xlpm.cc="B",_xlpm.cc="В"),"B",IF(_xlpm.cc="D","D","С")))</f>
        <v>С</v>
      </c>
      <c r="DO162" t="str">
        <f t="shared" si="313"/>
        <v>2P С16А 30мА</v>
      </c>
      <c r="DP162">
        <f t="shared" si="314"/>
        <v>16</v>
      </c>
      <c r="DQ162" t="str">
        <f t="shared" si="315"/>
        <v>2P С16А 30мА</v>
      </c>
      <c r="DR162" cm="1">
        <f t="array" ref="DR162">IF(DQ162="","",_xlfn.LET(_xlpm.t,SUBSTITUTE(SUBSTITUTE(SUBSTITUTE(UPPER(DQ162),"С","C"),"А","A"),"В","B"),_xlpm.tk,_xlfn.TEXTSPLIT(_xlpm.t," "),_xlpm.f,_xlfn._xlws.FILTER(_xlpm.tk,ISNUMBER(--MID(_xlpm.tk,2,1))*ISNUMBER(SEARCH(LEFT(_xlpm.tk,1)&amp;"#","B#C#D#"))*(LEN(_xlpm.tk)&gt;1),""),_xlpm.x,INDEX(_xlpm.f,1),IFERROR(--SUBSTITUTE(MID(_xlpm.x,2,9),"A",""),IFERROR(--SUBSTITUTE(INDEX(_xlfn._xlws.FILTER(_xlpm.tk,ISNUMBER(--SUBSTITUTE(_xlpm.tk,"A","")),""),1),"A",""),""))))</f>
        <v>16</v>
      </c>
      <c r="DS162" t="str">
        <f t="shared" si="316"/>
        <v>ok</v>
      </c>
      <c r="DT162">
        <f t="shared" si="317"/>
        <v>16</v>
      </c>
      <c r="DU162" t="str">
        <f t="shared" si="318"/>
        <v>2P С16А 30мА</v>
      </c>
      <c r="DV162">
        <f t="shared" si="319"/>
        <v>30</v>
      </c>
      <c r="DW162">
        <f t="shared" si="320"/>
        <v>1</v>
      </c>
      <c r="DX162">
        <f t="shared" si="321"/>
        <v>0</v>
      </c>
      <c r="DY162">
        <f t="shared" si="322"/>
        <v>1.6408902387494626</v>
      </c>
      <c r="DZ162">
        <f t="shared" si="323"/>
        <v>1</v>
      </c>
      <c r="EA162">
        <f>IF(ISNUMBER(AP162),AP162,К_прокл)</f>
        <v>1</v>
      </c>
      <c r="EB162">
        <f t="shared" si="324"/>
        <v>2</v>
      </c>
      <c r="EC162">
        <f>IFERROR(N(VLOOKUP(BZ162,Кабель_обозначение,3,FALSE)),1)</f>
        <v>1</v>
      </c>
      <c r="ED162">
        <f>IFERROR(N(_xlfn.XLOOKUP(A162,Щиты[Щит],Щиты[ΔU до шин, %])),0)</f>
        <v>1.57</v>
      </c>
      <c r="EE162" t="str">
        <f>IFERROR(_xlfn.XLOOKUP(A162,Щиты[Щит],Щиты[Zпетли на шинах, Ом]),"")</f>
        <v/>
      </c>
      <c r="EF162">
        <f>IFERROR(N(_xlfn.XLOOKUP(A162,Щиты[Щит],Щиты[ΔU до шин (подбор), %])),0)</f>
        <v>2.5</v>
      </c>
      <c r="EG162" t="str">
        <f>IFERROR(_xlfn.XLOOKUP(A162,Щиты[Щит],Щиты[Zпетли на шинах (подбор), Ом]),"")</f>
        <v/>
      </c>
      <c r="EH162" t="str">
        <f t="shared" si="325"/>
        <v/>
      </c>
      <c r="EI162">
        <f t="shared" si="326"/>
        <v>62</v>
      </c>
      <c r="EJ162">
        <f t="shared" si="327"/>
        <v>2</v>
      </c>
      <c r="EK162">
        <f t="shared" si="328"/>
        <v>0.31</v>
      </c>
      <c r="EL162" s="6">
        <f>IF(B162="","",IF(BV162=1,dU_LED,IF(IFERROR(_xlfn.XLOOKUP(BC162,Коды_код,Коды_уго),"")="Светильник",3,4)+IF(Методика="нормы 2026",MIN(0.5,MAX(0,N(P162)-100)*0.005),0)))</f>
        <v>4</v>
      </c>
      <c r="EM162" cm="1">
        <f t="array" ref="EM162">IF(OR(B162="",BZ162="",EC162&lt;&gt;1),"",_xlfn.LET(_xlpm.sz,Iдоп_S,_xlpm.t_,CHOOSE(EB162,Iдоп_1ж,Iдоп_2ж,Iдоп_3ж)*DZ162*EA162,_xlpm.dcx,BV162=1,_xlpm.inn,IF(_xlpm.dcx,N(O162),N(DT162)),_xlpm.smin,MAX(1.5,CC162),_xlpm.L_,N(P162)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162)/N(BU162)*100,999),IFERROR(N(EJ162)*(_xlpm.rho*_xlpm.L_/_xlpm.sz*N(CE162)+_xlpm.xx*_xlpm.L_*N(EK162)/1000)*N(O162)/((Uн_лин/SQRT(3))*1000)*100,999)),_xlpm.kz,IF(OR(_xlpm.dcx,DW162=1,NOT(ISNUMBER(EG162)),_xlpm.L_=0,_xlpm.inn=0),1,IFERROR(--(c_min*(Uн_лин*1000/SQRT(3))/(EG162+2*ρкз_Cu*_xlpm.L_/_xlpm.sz)&gt;=HT162*_xlpm.inn),0)),_xlpm.ok,IFERROR((_xlpm.sz&gt;=_xlpm.smin)*(_xlpm.t_&gt;=_xlpm.inn)*IF(_xlpm.L_&gt;0,(_xlpm.du_+IF(_xlpm.dcx,0,EF162)&lt;=EL162+0.00001),1)*_xlpm.kz,0),_xlpm.r_,_xlfn._xlws.FILTER(_xlpm.sz,_xlpm.ok,"не подобрано"),INDEX(_xlpm.r_,1)))</f>
        <v>2.5</v>
      </c>
      <c r="EN162">
        <f t="shared" si="329"/>
        <v>2.5</v>
      </c>
      <c r="EO162" cm="1">
        <f t="array" ref="EO162">IF(OR(B162="",BZ162="",EC162&lt;&gt;1),"",_xlfn.LET(_xlpm.sz,Iдоп_S,_xlpm.t_,CHOOSE(EB162,Iдоп_1ж,Iдоп_2ж,Iдоп_3ж)*DZ162*EA162,_xlpm.ok,IFERROR((_xlpm.sz&gt;=MAX(1.5,CC162))*(_xlpm.t_&gt;=N(DT162)),0),_xlpm.r_,_xlfn._xlws.FILTER(_xlpm.sz,_xlpm.ok,""),INDEX(_xlpm.r_,1)))</f>
        <v>1.5</v>
      </c>
      <c r="EP162" s="6" cm="1">
        <f t="array" ref="EP162">IFERROR(ROUNDUP(N(EJ162)*(_xlfn.XLOOKUP(EO162,INDEX(Кабель_сопротивление,0,1),INDEX(Кабель_сопротивление,0,3))*N(P162)/EO162*N(CE162)+_xlfn.XLOOKUP(EO162,INDEX(Кабель_сопротивление,0,1),INDEX(Кабель_сопротивление,0,2))*N(P162)*N(EK162)/1000)*N(O162)/((Uн_лин/SQRT(3))*1000)*100,2),"")</f>
        <v>1.93</v>
      </c>
      <c r="EQ162">
        <f>IFERROR(2*ρкз_Cu*N(P162)/EO162,"")</f>
        <v>3.3313333333333333</v>
      </c>
      <c r="ER162">
        <f>IFERROR(VLOOKUP(EN162,Кабель_сопротивление,3,FALSE),"")</f>
        <v>2.2499999999999999E-2</v>
      </c>
      <c r="ES162">
        <f>IFERROR(VLOOKUP(EN162,Кабель_сопротивление,2,FALSE),"")</f>
        <v>0.1</v>
      </c>
      <c r="ET162">
        <f t="shared" si="330"/>
        <v>49</v>
      </c>
      <c r="EU162">
        <f t="shared" si="331"/>
        <v>0</v>
      </c>
      <c r="EV162">
        <f t="shared" si="332"/>
        <v>2.6752910363547358</v>
      </c>
      <c r="EW162" s="6">
        <f>IFERROR(ROUNDUP(EV162/IF(BV162=1,BU162,(Uн_лин/SQRT(3))*1000)*100,2),"")</f>
        <v>1.1599999999999999</v>
      </c>
      <c r="EX162" t="str">
        <f>IFERROR(VLOOKUP(BZ162,Кабель_обозначение,2,FALSE),"")</f>
        <v>ВВГнг(А)-LS</v>
      </c>
      <c r="EY162" t="str">
        <f t="shared" si="333"/>
        <v>ВВГнг(А)-LS (3х2,5)</v>
      </c>
      <c r="EZ162" t="str">
        <f t="shared" si="334"/>
        <v>ВВГнг(А)-LS (3х2,5)
L=95-1,16%</v>
      </c>
      <c r="FA162">
        <f>IFERROR(2*ρкз_Cu*P162/EN162,"")</f>
        <v>1.9987999999999999</v>
      </c>
      <c r="FB162">
        <f t="shared" si="335"/>
        <v>0.66500000000000004</v>
      </c>
      <c r="FC162" s="6" t="str">
        <f>IFERROR(IF(OR(B162="",BV162=1,NOT(ISNUMBER(EN162)),N(P162)=0),"",_xlfn.XLOOKUP(A162,Щиты[Щит],Щиты[Zпетли на шинах, Ом])+FA162),"")</f>
        <v/>
      </c>
      <c r="FD162" s="6" t="str">
        <f>IF(ISNUMBER(FC162),c_min*(Uн_лин*1000/SQRT(3))/FC162,"")</f>
        <v/>
      </c>
      <c r="FE162" s="6" t="str">
        <f>IFERROR(IF(OR(B162="",NOT(ISNUMBER(EN162))),"",1.05*(Uн_лин*1000/SQRT(3))/(_xlfn.XLOOKUP(A162,Щиты[Щит],Щиты[Zmax на шинах, Ом])+FB162)/1000),"")</f>
        <v/>
      </c>
      <c r="FF162" s="6" t="str">
        <f>IF(B162="","",IF(ISNUMBER(AC162),"Сил",IF(IFERROR(_xlfn.XLOOKUP(BC162,Коды_код,Коды_группа)&amp;"","")="","Быт",_xlfn.XLOOKUP(BC162,Коды_код,Коды_группа)&amp;"")))</f>
        <v>Быт</v>
      </c>
      <c r="FG162" s="6" t="str">
        <f t="shared" si="336"/>
        <v>Быт</v>
      </c>
      <c r="FH162" s="6">
        <f>IF(FG162="Щит","щит",IF(FG162="","",IF(FG162="Быт",IFERROR(_xlfn.XLOOKUP(A162,Щиты[Щит],Щиты[Кс быт]),1),IF(FG162="Сил",IF(ISNUMBER(AC162),AC162,IF(Методика="нормы 2026",IFERROR(_xlfn.XLOOKUP(A162,Щиты[Щит],Щиты[Кс силовых (табл. 7.5)]),1),1)),IF(OR(FG162="Пост",FG162="Отоп"),1,IF(FG162="ВНГ",0.7,0))))))</f>
        <v>0.8</v>
      </c>
      <c r="FI162">
        <f>IF(FG162="","",IF(AND(BP162=1,TRIM(AE162&amp;"")=""),IF(COUNTIFS(Линии[Щит],A162,Линии[Секция (1/2/3)],"&gt;=2")&gt;0,MIN(3,MAX(1,IFERROR(--BD162,1))),1),IFERROR(MIN(3,MAX(1,INT(--AE162))),1)))</f>
        <v>1</v>
      </c>
      <c r="FJ162">
        <f t="shared" si="337"/>
        <v>0.36</v>
      </c>
      <c r="FK162">
        <f t="shared" si="338"/>
        <v>0.36</v>
      </c>
      <c r="FL162">
        <f t="shared" si="339"/>
        <v>0</v>
      </c>
      <c r="FM162">
        <f t="shared" si="340"/>
        <v>0</v>
      </c>
      <c r="FN162">
        <f t="shared" si="341"/>
        <v>0</v>
      </c>
      <c r="FO162">
        <f t="shared" si="342"/>
        <v>0</v>
      </c>
      <c r="FP162">
        <f t="shared" si="343"/>
        <v>0.36</v>
      </c>
      <c r="FQ162">
        <f t="shared" si="344"/>
        <v>0.36</v>
      </c>
      <c r="FR162">
        <f t="shared" si="345"/>
        <v>0.34199999999999997</v>
      </c>
      <c r="FS162">
        <f>IF(CG162=1,IF(AND(CH162=1,CW162=1),0,IF(AND(CS162&lt;&gt;"",CS162=BA162,CW162=1),SUMIFS(Линии[_Р линии, кВт],Линии[_блок УЗО],BA162,Линии[Щит],A162),N(BS162)+IF(AJ162="вручную",0,N(CK162)))),0)</f>
        <v>0.36</v>
      </c>
      <c r="FT162" t="str">
        <f t="shared" si="346"/>
        <v>L1</v>
      </c>
      <c r="FU162" t="str">
        <f>IF(B162="","",IF(CG162=0,IF(BA162=1,"",FW161),IF(AND(CH162=1,CW162=1,CS162&lt;&gt;""),IFERROR(_xlfn.XLOOKUP(CS162,Линии[_n],Линии[_фаза итог]),"L1"),IF(OR(N(DL162)&gt;=3,N(BX162)&gt;=3),"L1,L2,L3",IFERROR(_xlfn.TEXTBEFORE(_xlfn.TEXTAFTER(_xlfn.XLOOKUP(A162,Щиты[Щит],Щиты[_фазы авто]),";"&amp;BA162&amp;":"),";"),"L1")))))</f>
        <v>L1</v>
      </c>
      <c r="FV162" t="str">
        <f t="shared" si="347"/>
        <v>L1</v>
      </c>
      <c r="FW162" t="str">
        <f t="shared" si="348"/>
        <v>L1</v>
      </c>
      <c r="FX162" cm="1">
        <f t="array" ref="FX162">IFERROR(IF(CD162=2,_xlfn.IFS(BX162=3,VLOOKUP(BS162,Справочная_двигатели,3,FALSE),BX162=1,VLOOKUP(BS162,Справочная_двигатели,5,TRUE)),0),0)</f>
        <v>0</v>
      </c>
      <c r="FY162">
        <f>IFERROR(IF(CD162=3,VLOOKUP(BS162,Справочная_ЛЭД,2,TRUE),0),0)</f>
        <v>0</v>
      </c>
      <c r="FZ162" s="6">
        <f t="shared" si="349"/>
        <v>0</v>
      </c>
      <c r="GA162" t="str">
        <f>IF(B162="","",IF(TRIM(AH162&amp;"")&lt;&gt;"",IF(LOWER(TRIM(AH162&amp;""))="да","да","нет"),IF(IFERROR(_xlfn.XLOOKUP(BC162,Коды_код,Коды_пожарная),"")="да","да","нет")))</f>
        <v>нет</v>
      </c>
      <c r="GB162" t="str">
        <f t="shared" si="350"/>
        <v/>
      </c>
      <c r="GC162" t="str">
        <f t="shared" si="351"/>
        <v>основная</v>
      </c>
      <c r="GD162">
        <f>IF(AND(BP162=1,TRIM(AE162&amp;"")=""),IF(COUNTIFS(Линии[Щит],A162,Линии[Секция (1/2/3)],"&gt;=2")&gt;0,MIN(3,MAX(1,IFERROR(--BD162,1))),1),IFERROR(MIN(3,MAX(1,INT(--AE162))),1))</f>
        <v>1</v>
      </c>
      <c r="GE162" t="str" cm="1">
        <f t="array" ref="GE162">IF(B162="","",_xlfn.LET(_xlpm.t,IFERROR(_xlfn.XLOOKUP(1,(Шины[Шина]=GC162)*(((Шины[Щит]=A162)+(Шины[Щит]=""))&gt;0),Шины[Тип]),"")&amp;"",IF(_xlpm.t&lt;&gt;"",_xlpm.t,IF(ISNUMBER(SEARCH("ИБП",GC162)),"ИБП",IF(ISNUMBER(SEARCH("ДГУ",GC162)),"ДГУ","Ввод "&amp;GD162)))))</f>
        <v>Ввод 1</v>
      </c>
      <c r="GF162" t="str">
        <f t="shared" si="352"/>
        <v>Ввод 1</v>
      </c>
      <c r="GG162" t="str">
        <f>IF(BP162=0,"",IF(TRIM(AG162&amp;"")&lt;&gt;"",TRIM(AG162&amp;""),IF(OR(GE162="ИБП",GE162="ДГУ"),"I особая",_xlfn.XLOOKUP(A162,Щиты[Щит],Щиты[Категория шины «Ввод»],"III"))))</f>
        <v/>
      </c>
      <c r="GH162" t="str">
        <f>IF(A162="","",_xlfn.XLOOKUP(A162,Щиты[Щит],Щиты[Путь],""))</f>
        <v>|ГРЩ-ЖД|ЩР-001|</v>
      </c>
      <c r="GI162" t="str">
        <f>IF(B162="","",IF(AI162&lt;&gt;"",AI162,IF(IFERROR(_xlfn.XLOOKUP(BC162,Коды_код,Коды_вид)&amp;"","")="","Прочее",_xlfn.XLOOKUP(BC162,Коды_код,Коды_вид)&amp;"")))</f>
        <v>Розеточная сеть и бытовые приборы</v>
      </c>
      <c r="GJ162">
        <f>IF(BM162="","",INT((BM162-1)/Столбцов_на_лист)+1)</f>
        <v>1</v>
      </c>
      <c r="GK162" t="str">
        <f t="shared" si="353"/>
        <v>ВВГнг(А)-LS (3х2,5) L=95-1,16%</v>
      </c>
      <c r="GL162">
        <f t="shared" si="354"/>
        <v>0.36</v>
      </c>
      <c r="GM162">
        <f t="shared" si="355"/>
        <v>1.65</v>
      </c>
      <c r="GN162">
        <f t="shared" si="356"/>
        <v>1</v>
      </c>
      <c r="GO162">
        <f t="shared" si="357"/>
        <v>0</v>
      </c>
      <c r="GP162">
        <f t="shared" si="358"/>
        <v>1</v>
      </c>
      <c r="GQ162">
        <f>IF(BM162="","",IF(AND(CG162=1,GP162=1),COUNTIFS(A$3:A162,A162,CG$3:CG162,1,GP$3:GP162,1),IF(OR(OR(BA162=1,A162&lt;&gt;A161),AJ162="вручную",GP162=0),"",IF(BA162=1,"",GR161))))</f>
        <v>8</v>
      </c>
      <c r="GR162">
        <f t="shared" si="359"/>
        <v>8</v>
      </c>
      <c r="GS162">
        <f>IF(B162="","",IFERROR(LOOKUP(INDEX(CHOOSE(EB162,Iдоп_1ж,Iдоп_2ж,Iдоп_3ж),MATCH(EN162,Iдоп_S,0))*DZ162*EA162,{6,10,16,20,25,32,40,50,63,80,100,125,160,200,250,315,400,500,630}),""))</f>
        <v>25</v>
      </c>
      <c r="GT162" t="str">
        <f t="shared" si="360"/>
        <v>QFD8</v>
      </c>
      <c r="GU162" t="str">
        <f t="shared" si="361"/>
        <v>QFD8</v>
      </c>
      <c r="GV162" t="str">
        <f t="shared" si="362"/>
        <v/>
      </c>
      <c r="GW162">
        <f t="shared" si="363"/>
        <v>0</v>
      </c>
      <c r="GX162" t="str">
        <f>IF(OR(B162="",DJ162=""),"",IFERROR(_xlfn.XLOOKUP(DJ162,Модули_умолч[Управление],Модули_умолч[Модель])&amp;"",""))</f>
        <v/>
      </c>
      <c r="GY162">
        <f>IF(DJ162="",1,IFERROR(MAX(0,N(_xlfn.XLOOKUP(DJ162,Модули_умолч[Управление],Модули_умолч[Каналов на линию]))),1))</f>
        <v>1</v>
      </c>
      <c r="GZ162" t="str">
        <f t="shared" si="364"/>
        <v/>
      </c>
      <c r="HA162" t="str">
        <f t="shared" si="365"/>
        <v/>
      </c>
      <c r="HB162" t="str">
        <f t="shared" si="366"/>
        <v/>
      </c>
      <c r="HC162">
        <f>IF(HB162="",0,IFERROR(N(VLOOKUP(HB162,Модули_спр,3,FALSE)),0))</f>
        <v>0</v>
      </c>
      <c r="HD162" t="str">
        <f t="shared" si="367"/>
        <v/>
      </c>
      <c r="HE162" t="str">
        <f t="shared" si="368"/>
        <v/>
      </c>
      <c r="HF162" t="str">
        <f>IF(OR(HE162="",HE162="-"),"",IFERROR(VLOOKUP(HE162,Модули_спр,2,FALSE),"R"))</f>
        <v/>
      </c>
      <c r="HG162" t="str">
        <f>IF(HF162="","",HF162&amp;"."&amp;COUNTIFS(A$3:A162,A162,HF$3:HF162,HF162))</f>
        <v/>
      </c>
      <c r="HH162" t="str">
        <f t="shared" si="369"/>
        <v/>
      </c>
      <c r="HI162" t="str">
        <f t="shared" si="370"/>
        <v/>
      </c>
      <c r="HJ162" t="str">
        <f t="shared" si="371"/>
        <v/>
      </c>
      <c r="HK162" t="str">
        <f t="shared" si="372"/>
        <v/>
      </c>
      <c r="HL162">
        <f t="shared" si="373"/>
        <v>1</v>
      </c>
      <c r="HM162" t="str">
        <f>IF(HL162=1,"XT"&amp;COUNTIFS(A$3:A162,A162,HL$3:HL162,1),"")</f>
        <v>XT8</v>
      </c>
      <c r="HN162" t="str">
        <f t="shared" si="374"/>
        <v>XT8</v>
      </c>
      <c r="HO162" t="str">
        <f t="shared" si="375"/>
        <v>QFD8</v>
      </c>
      <c r="HP162" t="str">
        <f t="shared" si="376"/>
        <v/>
      </c>
      <c r="HQ162" t="str">
        <f t="shared" si="377"/>
        <v>ok</v>
      </c>
      <c r="HR162" t="str">
        <f>IF(OR(HJ162="",HH162=""),"",IF(HJ162+MAX(0,GY162-1)&gt;IFERROR(VLOOKUP(HI162,Модули_спр,3,FALSE),99),"ЛИШНИЙ КАНАЛ",IF(AND(AL162&lt;&gt;"=",GY162&gt;0,COUNTIFS(Линии[_модуль гр.],HH162,Линии[Канал (итог)],HJ162,Линии[Канал],"&lt;&gt;=",Линии[Щит],A162)&gt;1),"ДУБЛЬ КАНАЛА","")))</f>
        <v/>
      </c>
      <c r="HS162" s="6" t="str">
        <f t="shared" si="378"/>
        <v/>
      </c>
      <c r="HT162">
        <f t="shared" si="379"/>
        <v>10</v>
      </c>
      <c r="HU162" t="str">
        <f t="shared" si="380"/>
        <v/>
      </c>
      <c r="HV162">
        <f t="shared" si="381"/>
        <v>1.6063560954997853</v>
      </c>
      <c r="HW162">
        <f t="shared" si="382"/>
        <v>0</v>
      </c>
      <c r="HX162">
        <f t="shared" si="383"/>
        <v>0</v>
      </c>
      <c r="HY162">
        <f t="shared" si="384"/>
        <v>0</v>
      </c>
      <c r="HZ162">
        <f t="shared" si="385"/>
        <v>0</v>
      </c>
      <c r="IA162">
        <f t="shared" si="386"/>
        <v>0</v>
      </c>
      <c r="IB162">
        <f t="shared" si="387"/>
        <v>0</v>
      </c>
      <c r="IC162" t="str">
        <f t="shared" si="388"/>
        <v/>
      </c>
      <c r="ID162" t="str" cm="1">
        <f t="array" ref="ID162">IF(IC162="","",_xlfn.LET(_xlpm.tk,_xlfn.TEXTSPLIT(SUBSTITUTE(SUBSTITUTE(IC162,";"," "),"→"," ")," ",,TRUE),_xlpm.w_,_xlfn._xlws.FILTER(_xlpm.tk,ISNUMBER(--LEFT(_xlpm.tk,1))*((ISNUMBER(SEARCH("W",_xlpm.tk))+ISNUMBER(SEARCH("Вт",_xlpm.tk)))&gt;0),""),IFERROR(--SUBSTITUTE(SUBSTITUTE(UPPER(INDEX(_xlpm.w_,1)),"W",""),"ВТ",""),"")))</f>
        <v/>
      </c>
      <c r="IE162" t="str" cm="1">
        <f t="array" ref="IE162">IF(IC162="","",_xlfn.LET(_xlpm.tk,_xlfn.TEXTSPLIT(SUBSTITUTE(SUBSTITUTE(IC162,";"," "),"→"," ")," ",,TRUE),_xlpm.v_,_xlfn._xlws.FILTER(_xlpm.tk,ISNUMBER(--LEFT(_xlpm.tk,1))*((ISNUMBER(SEARCH("V",_xlpm.tk))+(RIGHT(UPPER(_xlpm.tk))="В"))&gt;0),""),IFERROR(--SUBSTITUTE(SUBSTITUTE(UPPER(INDEX(_xlpm.v_,1)),"V",""),"В",""),"")))</f>
        <v/>
      </c>
      <c r="IF162" s="6" t="str">
        <f>IF(OR(BV162=0,HI162="",HJ162=""),"",IFERROR(N(_xlfn.XLOOKUP(HI162,Каталог!$C$4:$C$500,Каталог!$Q$4:$Q$500)),""))</f>
        <v/>
      </c>
      <c r="IG162" s="6" t="str">
        <f>IF(N(IF162)=0,"",SUMIFS(Линии[Iр, А],Линии[Щит],A162,Линии[_модуль гр.],HH162,Линии[Канал (итог)],HJ162))</f>
        <v/>
      </c>
      <c r="IH162" t="str">
        <f>IF(AND(B162="",HO162=""),"",_xlfn.TEXTJOIN("; ",TRUE,IF(AND(B162&lt;&gt;"",FV162=""),"нет фазы",""),IF(AND(B162&lt;&gt;"",N(GL162)=0,FG162&lt;&gt;"Нет"),"нет мощности",""),IF(AND(HN162&lt;&gt;"",COUNTIFS(Линии[Щит],A162,Линии[Клемма (итог)],HN162)&gt;1),"дубль клеммы "&amp;HN162,""),IF(AND(HQ162&lt;&gt;"",HQ162&lt;&gt;"ok"),HQ162,""),IF(HR162&lt;&gt;"",HR162,""),IF(AND(N(CB162)&gt;=4,N(BX162)=1),CB162&amp;" жил на 1 фазе",""),IF(AND(BC162="R",CG162=1,IF(CS162&lt;&gt;"",N(CV162)&gt;30,OR(N(DA162)=0,N(DA162)&gt;30))),"розетка без дифзащиты до 30 мА",""),IF(AND(CG162=1,N(DA162)&gt;0,ISNUMBER(T162)),IF(T162&gt;N(DA162)/3,"ток утечки "&amp;FIXED(T162,1)&amp;" мА &gt; 1/3 уставки ("&amp;DA162&amp;" мА)",""),""),IF(AND(CH162=1,CS162=""),"«узо»: нет строки с УЗО выше (УЗО 2P 40А 30мА в «Аппаратах»)",""),IF(AND(CS162&lt;&gt;"",CS162=BA162),IF(CT162="","впишите номинал УЗО (УЗО 2P 40А 30мА)",IF(N(CT162)&lt;N(DT162),"УЗО "&amp;CT162&amp;" А &lt; автомата "&amp;DT162&amp;" А перед ним",IF(N(CT162)&lt;N(CX162),"УЗО "&amp;CT162&amp;" А &lt; тока блока "&amp;FIXED(CX162,1)&amp;" А",""))),""),IF(AND(CS162&lt;&gt;"",CS162=BA162,ISNUMBER(CY162)),IF(CY162&gt;N(CV162)/3,"ток утечки блока УЗО "&amp;FIXED(CY162,1)&amp;" мА &gt; 1/3 уставки ("&amp;CV162&amp;" мА)",""),""),IF(AND(CG162=1,N(BV162)+N(IB162)&gt;0,IC162=""),"линии до 50 В без БП: впишите в «Аппараты» (БП 24V 480W)",""),IF(AND(CG162=1,ISNUMBER(ID162),ISNUMBER(U162)),IF(U162&gt;ID162,"БП "&amp;ID162&amp;" Вт &lt; нужно "&amp;U162&amp;" Вт (×"&amp;Запас_БП&amp;")",""),""),IF(AND(CG162=1,ISNUMBER(IE162),N(BV162)=1),IF(IE162&lt;&gt;N(BU162),"БП на "&amp;IE162&amp;" В, линия "&amp;BU162&amp;" В",""),""),IF(AND(N(IF162)&gt;0,N(IG162)&gt;N(IF162)),HH162&amp;" канал "&amp;HJ162&amp;": "&amp;FIXED(IG162,1)&amp;" А &gt; "&amp;IF162&amp;" А",""),IFERROR(IF(AND(ISNUMBER(Q162),Q162&gt;EL162),"потери "&amp;FIXED(Q162,1)&amp;" % &gt; "&amp;EL162&amp;" %",""),""),IFERROR(IF(LEFT(HU162,4)="мало","Iкз мало — отключение &gt; 0,4 с",""),""),IF(AND(B162&lt;&gt;"",BM162=""),"не на схеме",""),IF(AND(CG162=0,B162&lt;&gt;"",FV162&lt;&gt;"",IF(BA162=1,"",FW161)&lt;&gt;"",FV162&lt;&gt;IF(BA162=1,"",FW161)),"фаза не как у автомата группы ("&amp;IF(BA162=1,"",FW161)&amp;")","")))</f>
        <v/>
      </c>
      <c r="II162" s="6">
        <f>IF(OR(CG162=0,DQ162=""),"",_xlfn.LET(_xlpm.t,IFERROR(_xlfn.XLOOKUP(DQ162,Каталог!$U$4:$U$500,Каталог!$G$4:$G$500),""),_xlpm.k,SEARCH("кА",_xlpm.t),IFERROR(--TRIM(RIGHT(SUBSTITUTE(MID(_xlpm.t,MAX(1,_xlpm.k-4),_xlpm.k-MAX(1,_xlpm.k-4))," ",REPT(" ",9)),5)),"")))</f>
        <v>6</v>
      </c>
      <c r="IJ162" t="str">
        <f>IF(OR(II162="",CG162=0),"",IF(_xlfn.XLOOKUP(A162,Щиты[Щит],Щиты[Iкз max на шинах, кА],"")="","",IF(II162&lt;_xlfn.XLOOKUP(A162,Щиты[Щит],Щиты[Iкз max на шинах, кА]),"Icu "&amp;II162&amp;" кА &lt; Iкз max","ok")))</f>
        <v/>
      </c>
      <c r="IK162" t="str">
        <f t="shared" si="389"/>
        <v/>
      </c>
      <c r="IL162" t="str">
        <f t="shared" si="390"/>
        <v>QFD8|XT8</v>
      </c>
      <c r="IM162" t="str">
        <f t="shared" si="391"/>
        <v>QFD8|XT8|кабель ВВГнг(А)-LS (3х2,5) → Розеточная группа, пом. 001А</v>
      </c>
      <c r="IN162" t="str" cm="1">
        <f t="array" ref="IN162">IF(IM162="","",_xlfn.LET(_xlpm.nd,_xlfn.TEXTSPLIT(IM162,"|"),IF(COLUMNS(_xlpm.nd)&gt;1,A162&amp;"¦"&amp;INDEX(_xlpm.nd,1)&amp;"¦"&amp;INDEX(_xlpm.nd,2),"")))</f>
        <v>ЩР-001¦QFD8¦XT8</v>
      </c>
      <c r="IO162" t="str">
        <f t="shared" si="392"/>
        <v>R.00.001А.1¦Розеточная группа, пом. 001А</v>
      </c>
      <c r="IP162" t="str" cm="1">
        <f t="array" ref="IP162">IF(IM162="","",_xlfn.LET(_xlpm.nd,_xlfn.TEXTSPLIT(IM162,"|"),IF(COLUMNS(_xlpm.nd)&gt;2,A162&amp;"¦"&amp;INDEX(_xlpm.nd,2)&amp;"¦"&amp;INDEX(_xlpm.nd,3),"")))</f>
        <v>ЩР-001¦XT8¦кабель ВВГнг(А)-LS (3х2,5) → Розеточная группа, пом. 001А</v>
      </c>
      <c r="IQ162" t="str">
        <f t="shared" si="393"/>
        <v>R.00.001А.1¦Розеточная группа, пом. 001А</v>
      </c>
      <c r="IR162" t="str" cm="1">
        <f t="array" ref="IR162">IF(IM162="","",_xlfn.LET(_xlpm.nd,_xlfn.TEXTSPLIT(IM162,"|"),IF(COLUMNS(_xlpm.nd)&gt;3,A162&amp;"¦"&amp;INDEX(_xlpm.nd,3)&amp;"¦"&amp;INDEX(_xlpm.nd,4),"")))</f>
        <v/>
      </c>
      <c r="IS162" t="str">
        <f t="shared" si="394"/>
        <v/>
      </c>
      <c r="IT162" t="str" cm="1">
        <f t="array" ref="IT162">IF(IM162="","",_xlfn.LET(_xlpm.nd,_xlfn.TEXTSPLIT(IM162,"|"),IF(COLUMNS(_xlpm.nd)&gt;4,A162&amp;"¦"&amp;INDEX(_xlpm.nd,4)&amp;"¦"&amp;INDEX(_xlpm.nd,5),"")))</f>
        <v/>
      </c>
      <c r="IU162" t="str">
        <f t="shared" si="395"/>
        <v/>
      </c>
      <c r="IV162" t="str" cm="1">
        <f t="array" ref="IV162">IF(IM162="","",_xlfn.LET(_xlpm.nd,_xlfn.TEXTSPLIT(IM162,"|"),IF(COLUMNS(_xlpm.nd)&gt;5,A162&amp;"¦"&amp;INDEX(_xlpm.nd,5)&amp;"¦"&amp;INDEX(_xlpm.nd,6),"")))</f>
        <v/>
      </c>
      <c r="IW162" t="str">
        <f t="shared" si="396"/>
        <v/>
      </c>
      <c r="IX162" t="str" cm="1">
        <f t="array" ref="IX162">IF(IM162="","",_xlfn.LET(_xlpm.nd,_xlfn.TEXTSPLIT(IM162,"|"),IF(COLUMNS(_xlpm.nd)&gt;6,A162&amp;"¦"&amp;INDEX(_xlpm.nd,6)&amp;"¦"&amp;INDEX(_xlpm.nd,7),"")))</f>
        <v/>
      </c>
      <c r="IY162" t="str">
        <f t="shared" si="397"/>
        <v/>
      </c>
      <c r="IZ162" t="str">
        <f t="shared" si="398"/>
        <v/>
      </c>
      <c r="JA162" t="str">
        <f t="shared" si="399"/>
        <v>QFD8 → XT8</v>
      </c>
      <c r="JB162">
        <f t="shared" si="400"/>
        <v>0</v>
      </c>
      <c r="JC162">
        <f t="shared" si="401"/>
        <v>1</v>
      </c>
      <c r="JD162" t="str">
        <f t="shared" si="402"/>
        <v/>
      </c>
      <c r="JE162" t="str">
        <f t="shared" si="403"/>
        <v/>
      </c>
      <c r="JF162" t="str">
        <f t="shared" si="404"/>
        <v/>
      </c>
      <c r="JG162" t="str">
        <f t="shared" si="405"/>
        <v/>
      </c>
      <c r="JH162" t="str">
        <f>IF(B162="","",IFERROR(_xlfn.XLOOKUP(B162,Коды_код,Коды_уго),IFERROR(_xlfn.XLOOKUP(BC162,Коды_код,Коды_уго),IFERROR(_xlfn.XLOOKUP(LEFT(BC162,2),Коды_код,Коды_уго),""))))</f>
        <v>Розетка</v>
      </c>
      <c r="JI162" t="str">
        <f>IF(B162="","",IF(OR(JH162="",JH162=0),"BOX",IFERROR(IF(VLOOKUP(JH162,УГО_блоки,3,FALSE)&amp;""&lt;&gt;"",VLOOKUP(JH162,УГО_блоки,3,FALSE),VLOOKUP(JH162,УГО_блоки,2,FALSE)),JH162)))</f>
        <v>SOCKET</v>
      </c>
      <c r="JJ162">
        <f t="shared" si="406"/>
        <v>1</v>
      </c>
      <c r="JK162" t="str">
        <f>IF(DQ162="","",IF(COUNTIF(DQ$3:DQ162,DQ162)=1,MAX(JK$2:JK161)+1,""))</f>
        <v/>
      </c>
      <c r="JL162" t="str">
        <f>IF(DE162="","",IF(COUNTIF(DE$3:DE162,DE162)+COUNTIF(DF$2:DF161,DE162)+COUNTIF(DG$2:DG161,DE162)=1,MAX(JL$2:JN161)+1,""))</f>
        <v/>
      </c>
      <c r="JM162" t="str">
        <f>IF(DF162="","",IF(COUNTIF(DE$3:DE162,DF162)+COUNTIF(DF$3:DF162,DF162)+COUNTIF(DG$2:DG161,DF162)=1,MAX(JL$2:JN161,JL162)+1,""))</f>
        <v/>
      </c>
      <c r="JN162" t="str">
        <f>IF(DG162="","",IF(COUNTIF(DE$3:DE162,DG162)+COUNTIF(DF$3:DF162,DG162)+COUNTIF(DG$3:DG162,DG162)=1,MAX(JL$2:JN161,JL162,JM162)+1,""))</f>
        <v/>
      </c>
      <c r="JO162" t="str">
        <f t="shared" si="407"/>
        <v>3х2,5</v>
      </c>
      <c r="JP162" t="str">
        <f>IF(JO162="","",IF(COUNTIF(JO$3:JO162,JO162)=1,MAX(JP$2:JP161)+1,""))</f>
        <v/>
      </c>
      <c r="JQ162" t="str">
        <f>IF(HG162="","",COUNTIF(HG$3:HG162,"?*"))</f>
        <v/>
      </c>
      <c r="JR162" t="str">
        <f>IF(OR(HG162="",HI162=""),"",IF(COUNTIFS(HG$3:HG162,"?*",HI$3:HI162,HI162)=1,MAX(JR$2:JR161)+1,""))</f>
        <v/>
      </c>
      <c r="JS162">
        <f t="shared" si="408"/>
        <v>0</v>
      </c>
      <c r="JT162">
        <f>IF(B162="","",COUNTIF(B$3:B162,"?*"))</f>
        <v>160</v>
      </c>
      <c r="JU162">
        <f>IF(HL162&lt;&gt;1,0,_xlfn.LET(_xlpm.k,MAX(IFERROR(--_xlfn.XLOOKUP(B162,Коды_код,Коды_3L),0),IFERROR(--_xlfn.XLOOKUP(BC162,Коды_код,Коды_3L),0),IFERROR(--_xlfn.XLOOKUP(LEFT(BC162,2),Коды_код,Коды_3L),0)),IF(_xlpm.k&gt;0,_xlpm.k,IF(IFERROR(--LEFT(SUBSTITUTE(JO162,"x","х"),FIND("х",SUBSTITUTE(JO162,"x","х"))-1),3)&gt;3,Каталог!$S$9,1))))</f>
        <v>1</v>
      </c>
      <c r="JV162">
        <f t="shared" si="409"/>
        <v>0</v>
      </c>
      <c r="JW162" t="str">
        <f t="shared" si="410"/>
        <v>авто</v>
      </c>
      <c r="JX162">
        <f t="shared" si="411"/>
        <v>30</v>
      </c>
      <c r="JY162">
        <f t="shared" si="412"/>
        <v>1</v>
      </c>
      <c r="JZ162">
        <f t="shared" si="413"/>
        <v>1</v>
      </c>
    </row>
    <row r="163" spans="1:286" x14ac:dyDescent="0.3">
      <c r="A163" t="s">
        <v>753</v>
      </c>
      <c r="B163" t="s">
        <v>1471</v>
      </c>
      <c r="C163" t="str">
        <f>Линии[[#This Row],[_авто наименование]]</f>
        <v>Розеточная группа, пом. 005А</v>
      </c>
      <c r="D163">
        <v>2</v>
      </c>
      <c r="E163">
        <v>0.18</v>
      </c>
      <c r="G163">
        <v>16</v>
      </c>
      <c r="H163" t="str">
        <f>Линии[[#This Row],[_авто управление]]</f>
        <v/>
      </c>
      <c r="I163" t="str">
        <f>Линии[[#This Row],[_авто аппараты]]</f>
        <v/>
      </c>
      <c r="J163">
        <v>2.5</v>
      </c>
      <c r="K163">
        <v>39</v>
      </c>
      <c r="L163">
        <v>3</v>
      </c>
      <c r="M163" t="str">
        <f>Линии[[#This Row],[_авто клемма]]</f>
        <v>XT9</v>
      </c>
      <c r="N163" t="str">
        <f t="shared" si="276"/>
        <v/>
      </c>
      <c r="O163" s="6" cm="1">
        <f t="array" ref="O163">IF(B163="","",IF(BH163&lt;&gt;"",IFERROR(_xlfn.XLOOKUP(BH163,Щиты[Щит],Щиты[Iр, А]),""),IF(BP163=1,IF(OR(N(_xlfn.XLOOKUP(A163,Щиты[Щит],Щиты[Вводов],1))&lt;=1,LOWER(TRIM(_xlfn.XLOOKUP(A163,Щиты[Щит],Щиты[АВР],"")&amp;""))="да"),IFERROR(_xlfn.XLOOKUP(A163,Щиты[Щит],Щиты[Iр, А]),""),IFERROR(N(BS163)*_xlfn.XLOOKUP(A163,Щиты[Щит],Щиты[Кс итог])/(SQRT(3)*Uн_лин*_xlfn.XLOOKUP(A163,Щиты[Щит],Щиты[cos φ])),"")),IF(BV163=1,IFERROR(BS163*1000/BU163,""),IFERROR(_xlfn.IFS(BX163=1,BS163/((Uн_лин/SQRT(3))*CE163),BX163=3,BS163/(SQRT(3)*Uн_лин*CE163)),"")))))</f>
        <v>0.8204451193747313</v>
      </c>
      <c r="P163" s="7">
        <f>IF(B163="","",IFERROR(IF(VLOOKUP(BC163,Потребители_обозначение,4,FALSE)=1,VLOOKUP(BC163,Потребители_обозначение,3,FALSE)*(MAX(1,N(D163))*2-1)+EI163+VLOOKUP(BE163,Этаж_обозначение,3,FALSE)+VLOOKUP(BE163,Этаж_обозначение,4,FALSE),VLOOKUP(BC163,Потребители_обозначение,3,FALSE)*(MAX(1,N(D163))*2-1)+EI163),EI163))</f>
        <v>48</v>
      </c>
      <c r="Q163" s="6">
        <f t="shared" si="277"/>
        <v>1.87</v>
      </c>
      <c r="R163" t="str">
        <f t="shared" si="278"/>
        <v>ВВГнг(А)-LS (3х2,5)</v>
      </c>
      <c r="S163" t="str">
        <f>IF(BM163="","",IF(BN163="вводной узел","узел ","")&amp;"л."&amp;(INT((BM163-1)/Столбцов_на_лист)+1)&amp;" / "&amp;(MOD(BM163-1,Столбцов_на_лист)+1))</f>
        <v>л.1 / 16</v>
      </c>
      <c r="T163" s="119">
        <f t="shared" si="279"/>
        <v>0.8</v>
      </c>
      <c r="U163" s="7" t="str">
        <f>IF(OR(CG163=0,N(BV163)+N(IB163)=0),"",ROUNDUP(Запас_БП*(N(HY163)+N(HZ163)),0))</f>
        <v/>
      </c>
      <c r="V163" s="119" t="str">
        <f t="shared" si="280"/>
        <v/>
      </c>
      <c r="W163" s="7" t="str">
        <f>IFERROR(IF(OR(B163="",BP163=1,BV163=1,NOT(ISNUMBER(EN163)),N(DT163)=0),"",MAX(0,ROUNDDOWN((c_min*(Uн_лин*1000/SQRT(3))/(HT163*N(DT163))-_xlfn.XLOOKUP(A163,Щиты[Щит],Щиты[Zпетли на шинах, Ом]))*EN163/(2*ρкз_Cu),0))),"")</f>
        <v/>
      </c>
      <c r="Y163">
        <f>Линии[[#This Row],[_авто утечка]]</f>
        <v>30</v>
      </c>
      <c r="Z163">
        <v>1</v>
      </c>
      <c r="AA163">
        <v>230</v>
      </c>
      <c r="AB163" t="s">
        <v>562</v>
      </c>
      <c r="AG163" t="s">
        <v>810</v>
      </c>
      <c r="AI163" t="s">
        <v>561</v>
      </c>
      <c r="AK163" t="str">
        <f>Линии[[#This Row],[_авто модуль]]</f>
        <v/>
      </c>
      <c r="AM163">
        <v>16</v>
      </c>
      <c r="AN163" t="s">
        <v>11</v>
      </c>
      <c r="AO163">
        <v>3</v>
      </c>
      <c r="AQ163">
        <v>35</v>
      </c>
      <c r="AR163">
        <v>13</v>
      </c>
      <c r="AS163">
        <v>0</v>
      </c>
      <c r="BA163" cm="1">
        <f t="array" ref="BA163">ROW()-ROW(Линии[#Headers])</f>
        <v>161</v>
      </c>
      <c r="BC163" s="6" t="str">
        <f t="shared" si="281"/>
        <v>R</v>
      </c>
      <c r="BD163" t="str">
        <f t="shared" si="282"/>
        <v>00.005А.1</v>
      </c>
      <c r="BE163" t="str">
        <f t="shared" si="283"/>
        <v>00</v>
      </c>
      <c r="BF163" t="str">
        <f t="shared" si="284"/>
        <v>005А.1</v>
      </c>
      <c r="BG163" t="str">
        <f t="shared" si="285"/>
        <v>005А</v>
      </c>
      <c r="BH163" t="str">
        <f>IF(X163&lt;&gt;"",X163,IF(AND(B163&lt;&gt;"",B163&lt;&gt;A163,ISNUMBER(_xlfn.XMATCH(B163,Щиты[Щит]))),B163,""))</f>
        <v/>
      </c>
      <c r="BI163" t="str" cm="1">
        <f t="array" ref="BI163">IF(B163="","",IF(BH163&lt;&gt;"","Щит "&amp;BH163,_xlfn.LET(_xlpm.nm,IFERROR(_xlfn.XLOOKUP(BC163,Коды_код,Коды_имя)&amp;"",""),_xlpm.md,IFERROR(N(_xlfn.XLOOKUP(BC163,Коды_код,Коды_режим)),1),_xlpm.ex,IF(Имя_режим="по экспликации",IFERROR(_xlfn.XLOOKUP(BE163&amp;"|"&amp;BG163,Экспликация[Этаж]&amp;"|"&amp;Экспликация[Помещение],Экспликация[Название])&amp;"",""),""),_xlpm.rm,IF(BG163="","",IF(_xlpm.ex&lt;&gt;"",". "&amp;_xlpm.ex&amp;IF(Имя_пом="нет"," ("&amp;BG163&amp;")"," (пом. "&amp;BG163&amp;")"),IF(Имя_пом="нет"," ",", пом. ")&amp;BG163)),IF(_xlpm.nm="","",IF(_xlpm.md=2,_xlpm.nm&amp;" шлейф "&amp;BE163,_xlpm.nm&amp;_xlpm.rm)))))</f>
        <v>Розеточная группа, пом. 005А</v>
      </c>
      <c r="BJ163" t="str">
        <f t="shared" si="286"/>
        <v>Розеточная группа, пом. 005А</v>
      </c>
      <c r="BK163">
        <f>IFERROR(_xlfn.XMATCH(A163,Щиты[Щит]),0)</f>
        <v>8</v>
      </c>
      <c r="BL163">
        <f>_xlfn.LET(_xlpm.k,IFERROR(_xlfn.XLOOKUP(A163,Щиты[Щит],Щиты[Мест под вводной узел]),""),IF(_xlpm.k="",Столбцов_на_лист,N(_xlpm.k)))</f>
        <v>7</v>
      </c>
      <c r="BM163">
        <f t="shared" si="287"/>
        <v>16</v>
      </c>
      <c r="BN163" t="str">
        <f t="shared" si="288"/>
        <v>линии</v>
      </c>
      <c r="BO163" s="6">
        <f>IFERROR(N(_xlfn.XLOOKUP(BC163,Коды_код,Коды_квт)),0)</f>
        <v>0</v>
      </c>
      <c r="BP163">
        <f t="shared" si="289"/>
        <v>0</v>
      </c>
      <c r="BQ163" t="str">
        <f>IF(B163="","",IF(BH163&lt;&gt;"",IFERROR(_xlfn.XLOOKUP(BH163,Щиты[Щит],Щиты[Руст, кВт]),0),IF(BP163=1,IF(OR(N(_xlfn.XLOOKUP(A163,Щиты[Щит],Щиты[Вводов],1))&lt;=1,LOWER(TRIM(_xlfn.XLOOKUP(A163,Щиты[Щит],Щиты[АВР],"")&amp;""))="да"),IFERROR(_xlfn.XLOOKUP(A163,Щиты[Щит],Щиты[Руст, кВт]),0),SUMIFS(Линии[_Р для вводов],Линии[Щит],A163,Линии[Источник для режимов],GF163)),IF(BO163&gt;0,ROUND(BO163*MAX(1,N(D163)),3),""))))</f>
        <v/>
      </c>
      <c r="BR163">
        <f t="shared" si="290"/>
        <v>0.18</v>
      </c>
      <c r="BS163" s="6">
        <f>IF(B163="","",IF(BH163&lt;&gt;"",IFERROR(_xlfn.XLOOKUP(BH163,Щиты[Щит],Щиты[Руст, кВт]),0),N(BR163)))</f>
        <v>0.18</v>
      </c>
      <c r="BT163" t="str">
        <f>IF(B163="","",IFERROR(IF(VLOOKUP(BC163,Потребители_обозначение,8,FALSE)=0,"",VLOOKUP(BC163,Потребители_обозначение,8,FALSE)),""))</f>
        <v/>
      </c>
      <c r="BU163">
        <f t="shared" si="291"/>
        <v>230</v>
      </c>
      <c r="BV163">
        <f t="shared" si="292"/>
        <v>0</v>
      </c>
      <c r="BW163">
        <f>IF(B163="","",IF(BH163&lt;&gt;"",3,IFERROR(IF(N(VLOOKUP(BC163,Потребители_обозначение,9,FALSE))=0,1,VLOOKUP(BC163,Потребители_обозначение,9,FALSE)),1)))</f>
        <v>1</v>
      </c>
      <c r="BX163">
        <f t="shared" si="293"/>
        <v>1</v>
      </c>
      <c r="BY163" t="str">
        <f>IF(B163="","",_xlfn.LET(_xlpm.bc,IFERROR(IF(VLOOKUP(BC163,Потребители_обозначение,6,FALSE)=0,"",VLOOKUP(BC163,Потребители_обозначение,6,FALSE)&amp;""),""),IF(AND(GA163="да",OR(_xlpm.bc="",_xlpm.bc="мс")),Марка_пож,IF(AND(_xlpm.bc="",BH163&lt;&gt;""),"мс",_xlpm.bc))))</f>
        <v/>
      </c>
      <c r="BZ163" t="str">
        <f t="shared" si="294"/>
        <v>мс</v>
      </c>
      <c r="CA163">
        <f>IF(B163="","",_xlfn.LET(_xlpm.cc,IFERROR(N(VLOOKUP(BC163,Потребители_обозначение,7,FALSE)),0),IF(_xlpm.cc&gt;0,_xlpm.cc,IF(BZ163="","",IF(BV163=1,2,IF(N(BX163)=3,5,3))))))</f>
        <v>3</v>
      </c>
      <c r="CB163">
        <f t="shared" si="295"/>
        <v>3</v>
      </c>
      <c r="CC163">
        <f>IFERROR(N(VLOOKUP(BC163,Потребители_обозначение,10,FALSE)),0)</f>
        <v>0</v>
      </c>
      <c r="CD163">
        <f>IFERROR(VLOOKUP(BC163,Потребители_обозначение,5,FALSE),0)</f>
        <v>1</v>
      </c>
      <c r="CE163" s="6" cm="1">
        <f t="array" ref="CE163">IF(B163="","",IF(BH163&lt;&gt;"",IFERROR(_xlfn.XLOOKUP(BH163,Щиты[Щит],Щиты[cos φ]),0.95),IF(BP163=1,IFERROR(_xlfn.XLOOKUP(A163,Щиты[Щит],Щиты[cos φ]),0.95),IF(ISNUMBER(AD163),AD163,IFERROR(IF(CD163=2,_xlfn.IFS(BX163=3,VLOOKUP(BS163,Справочная_двигатели,8,FALSE),BX163=1,VLOOKUP(BS163,Справочная_двигатели,10,TRUE)),IF(AND(Методика="нормы 2026",FG163="Сил"),0.8,0.95)),0.95)))))</f>
        <v>0.95</v>
      </c>
      <c r="CF163">
        <f t="shared" si="296"/>
        <v>0</v>
      </c>
      <c r="CG163">
        <f t="shared" si="297"/>
        <v>1</v>
      </c>
      <c r="CH163">
        <f t="shared" si="298"/>
        <v>0</v>
      </c>
      <c r="CI163">
        <f>IF(B163="","",IF(BV163=1,IFERROR(BS163/((Uн_лин/SQRT(3))*MAX(0.5,N(CE163))),0),N(O163)))</f>
        <v>0.8204451193747313</v>
      </c>
      <c r="CJ163">
        <f t="shared" si="299"/>
        <v>0</v>
      </c>
      <c r="CK163">
        <f t="shared" si="300"/>
        <v>0</v>
      </c>
      <c r="CL163">
        <f t="shared" si="301"/>
        <v>0</v>
      </c>
      <c r="CM163">
        <f t="shared" si="302"/>
        <v>0</v>
      </c>
      <c r="CN163">
        <f t="shared" si="303"/>
        <v>0</v>
      </c>
      <c r="CO163">
        <f>IF(BC163="",0,_xlfn.LET(_xlpm.v,IFERROR(_xlfn.XLOOKUP(B163,Коды_код,Коды_мА),IFERROR(_xlfn.XLOOKUP(BC163,Коды_код,Коды_мА),IFERROR(_xlfn.XLOOKUP(LEFT(BC163,2),Коды_код,Коды_мА),""))),IF(_xlpm.v="да",30,IF(ISNUMBER(_xlpm.v),_xlpm.v,0))))</f>
        <v>30</v>
      </c>
      <c r="CP163">
        <f t="shared" si="304"/>
        <v>30</v>
      </c>
      <c r="CQ163" t="str">
        <f>_xlfn.LET(_xlpm.k,IFERROR(_xlfn.XLOOKUP(BC163,Коды_код,Коды_утечка)&amp;"",""),IF(_xlpm.k="","дифавтомат",_xlpm.k))</f>
        <v>дифавтомат</v>
      </c>
      <c r="CR163" t="str" cm="1">
        <f t="array" ref="CR163">IF(CG163=0,"",_xlfn.LET(_xlpm.sg,TRIM(_xlfn.TEXTSPLIT(DD163&amp;"",";")),_xlpm.f_,_xlfn._xlws.FILTER(_xlpm.sg,LEFT(_xlpm.sg,3)="УЗО",""),IFERROR(INDEX(_xlpm.f_,1)&amp;"","")))</f>
        <v/>
      </c>
      <c r="CS163" t="str">
        <f t="shared" si="305"/>
        <v/>
      </c>
      <c r="CT163" s="6" t="str" cm="1">
        <f t="array" ref="CT163">IF(CR163="","",_xlfn.LET(_xlpm.tk,_xlfn.TEXTSPLIT(UPPER(CR163)," ",,TRUE),_xlpm.a_,_xlfn._xlws.FILTER(_xlpm.tk,ISNUMBER(--LEFT(_xlpm.tk,1))*((ISNUMBER(SEARCH("А",_xlpm.tk))+ISNUMBER(SEARCH("A",_xlpm.tk)))&gt;0)*NOT(ISNUMBER(SEARCH("МА",_xlpm.tk)))*NOT(ISNUMBER(SEARCH("MA",_xlpm.tk))),""),IFERROR(--SUBSTITUTE(SUBSTITUTE(INDEX(_xlpm.a_,1),"А",""),"A",""),"")))</f>
        <v/>
      </c>
      <c r="CU163" t="str" cm="1">
        <f t="array" ref="CU163">IF(CR163="","",_xlfn.LET(_xlpm.tk,_xlfn.TEXTSPLIT(UPPER(CR163)," ",,TRUE),_xlpm.a_,_xlfn._xlws.FILTER(_xlpm.tk,ISNUMBER(--LEFT(_xlpm.tk,1))*((ISNUMBER(SEARCH("МА",_xlpm.tk))+ISNUMBER(SEARCH("MA",_xlpm.tk)))&gt;0),""),IFERROR(--SUBSTITUTE(SUBSTITUTE(INDEX(_xlpm.a_,1),"МА",""),"MA",""),30)))</f>
        <v/>
      </c>
      <c r="CV163" t="str">
        <f>IF(CS163="","",IFERROR(_xlfn.XLOOKUP(CS163,Линии[_n],Линии[_УЗО, мА]),30))</f>
        <v/>
      </c>
      <c r="CW163">
        <f>IF(CS163="",0,IF(ISNUMBER(SEARCH("4P",IFERROR(_xlfn.XLOOKUP(CS163,Линии[_n],Линии[_УЗО строки])&amp;"",""))),0,1))</f>
        <v>0</v>
      </c>
      <c r="CX163" t="str">
        <f>IF(AND(CS163&lt;&gt;"",CS163=BA163),SUMIFS(Линии[_ток на 230 В],Линии[_блок УЗО],BA163,Линии[Щит],A163),"")</f>
        <v/>
      </c>
      <c r="CY163" t="str">
        <f>IF(AND(CS163&lt;&gt;"",CS163=BA163),SUMIFS(Линии[_ток утечки линии, мА],Линии[_блок УЗО],BA163,Линии[Щит],A163),"")</f>
        <v/>
      </c>
      <c r="CZ163">
        <f t="shared" si="306"/>
        <v>30</v>
      </c>
      <c r="DA163">
        <f t="shared" si="307"/>
        <v>30</v>
      </c>
      <c r="DB163">
        <f>IF(B163="",0,IFERROR(--_xlfn.XLOOKUP(B163,Коды_код,Коды_минавт),IFERROR(--_xlfn.XLOOKUP(BC163,Коды_код,Коды_минавт),IFERROR(--_xlfn.XLOOKUP(LEFT(BC163,2),Коды_код,Коды_минавт),0))))</f>
        <v>16</v>
      </c>
      <c r="DC163" t="str">
        <f>IF(B163="","",IFERROR(_xlfn.XLOOKUP(BC163,Коды_код,Коды_апп)&amp;"",""))</f>
        <v/>
      </c>
      <c r="DD163" t="str">
        <f t="shared" si="308"/>
        <v/>
      </c>
      <c r="DE163" t="str" cm="1">
        <f t="array" ref="DE163">IF(TRIM(DD163&amp;"")="","",IFERROR(TRIM(INDEX(_xlfn.TEXTSPLIT(DD163&amp;";;;",";"),1)),""))</f>
        <v/>
      </c>
      <c r="DF163" t="str" cm="1">
        <f t="array" ref="DF163">IF(TRIM(DD163&amp;"")="","",IFERROR(TRIM(INDEX(_xlfn.TEXTSPLIT(DD163&amp;";;;",";"),2)),""))</f>
        <v/>
      </c>
      <c r="DG163" t="str" cm="1">
        <f t="array" ref="DG163">IF(TRIM(DD163&amp;"")="","",IFERROR(TRIM(INDEX(_xlfn.TEXTSPLIT(DD163&amp;";;;",";"),3)),""))</f>
        <v/>
      </c>
      <c r="DH163">
        <f t="shared" si="309"/>
        <v>0</v>
      </c>
      <c r="DI163" t="str">
        <f>IF(B163="","",_xlfn.LET(_xlpm.t,LOWER(AZ163&amp;""),IF(ISNUMBER(SEARCH("dim",_xlpm.t)),"DIM",IF(ISNUMBER(SEARCH("dali",_xlpm.t)),"DALI",IF(OR(ISNUMBER(SEARCH("relay",_xlpm.t)),ISNUMBER(SEARCH("реле",_xlpm.t))),"Relay",IF(ISNUMBER(SEARCH("кнопк",_xlpm.t)),"",IFERROR(_xlfn.XLOOKUP(BC163,Коды_код,Коды_упр)&amp;"","")))))))</f>
        <v/>
      </c>
      <c r="DJ163" t="str">
        <f t="shared" si="310"/>
        <v/>
      </c>
      <c r="DK163">
        <f>IF(B163="","",_xlfn.LET(_xlpm.ig,IF(N(CX163)&gt;0,N(CX163),N(CI163)+IF(AJ163="вручную",0,N(CJ163))),_xlpm.n0,IFERROR(VLOOKUP(_xlpm.ig,Автомат_номиналы,2,TRUE),0),_xlpm.mn,MAX(DB163,IF(AJ163="вручную",0,N(CM163))),MAX(_xlpm.n0,_xlpm.mn,IF(DH163=1,Мин_автомат_БП,0))))</f>
        <v>16</v>
      </c>
      <c r="DL163">
        <f t="shared" si="311"/>
        <v>1</v>
      </c>
      <c r="DM163" t="str">
        <f t="shared" si="312"/>
        <v>2P</v>
      </c>
      <c r="DN163" t="str">
        <f>_xlfn.LET(_xlpm.cc,UPPER(TRIM(IFERROR(_xlfn.XLOOKUP(BC163,Коды_код,Коды_хар)&amp;"",""))),IF(OR(_xlpm.cc="B",_xlpm.cc="В"),"B",IF(_xlpm.cc="D","D","С")))</f>
        <v>С</v>
      </c>
      <c r="DO163" t="str">
        <f t="shared" si="313"/>
        <v>2P С16А 30мА</v>
      </c>
      <c r="DP163">
        <f t="shared" si="314"/>
        <v>16</v>
      </c>
      <c r="DQ163" t="str">
        <f t="shared" si="315"/>
        <v>2P С16А 30мА</v>
      </c>
      <c r="DR163" cm="1">
        <f t="array" ref="DR163">IF(DQ163="","",_xlfn.LET(_xlpm.t,SUBSTITUTE(SUBSTITUTE(SUBSTITUTE(UPPER(DQ163),"С","C"),"А","A"),"В","B"),_xlpm.tk,_xlfn.TEXTSPLIT(_xlpm.t," "),_xlpm.f,_xlfn._xlws.FILTER(_xlpm.tk,ISNUMBER(--MID(_xlpm.tk,2,1))*ISNUMBER(SEARCH(LEFT(_xlpm.tk,1)&amp;"#","B#C#D#"))*(LEN(_xlpm.tk)&gt;1),""),_xlpm.x,INDEX(_xlpm.f,1),IFERROR(--SUBSTITUTE(MID(_xlpm.x,2,9),"A",""),IFERROR(--SUBSTITUTE(INDEX(_xlfn._xlws.FILTER(_xlpm.tk,ISNUMBER(--SUBSTITUTE(_xlpm.tk,"A","")),""),1),"A",""),""))))</f>
        <v>16</v>
      </c>
      <c r="DS163" t="str">
        <f t="shared" si="316"/>
        <v>ok</v>
      </c>
      <c r="DT163">
        <f t="shared" si="317"/>
        <v>16</v>
      </c>
      <c r="DU163" t="str">
        <f t="shared" si="318"/>
        <v>2P С16А 30мА</v>
      </c>
      <c r="DV163">
        <f t="shared" si="319"/>
        <v>30</v>
      </c>
      <c r="DW163">
        <f t="shared" si="320"/>
        <v>1</v>
      </c>
      <c r="DX163">
        <f t="shared" si="321"/>
        <v>0</v>
      </c>
      <c r="DY163">
        <f t="shared" si="322"/>
        <v>0.8204451193747313</v>
      </c>
      <c r="DZ163">
        <f t="shared" si="323"/>
        <v>1</v>
      </c>
      <c r="EA163">
        <f>IF(ISNUMBER(AP163),AP163,К_прокл)</f>
        <v>1</v>
      </c>
      <c r="EB163">
        <f t="shared" si="324"/>
        <v>2</v>
      </c>
      <c r="EC163">
        <f>IFERROR(N(VLOOKUP(BZ163,Кабель_обозначение,3,FALSE)),1)</f>
        <v>1</v>
      </c>
      <c r="ED163">
        <f>IFERROR(N(_xlfn.XLOOKUP(A163,Щиты[Щит],Щиты[ΔU до шин, %])),0)</f>
        <v>1.57</v>
      </c>
      <c r="EE163" t="str">
        <f>IFERROR(_xlfn.XLOOKUP(A163,Щиты[Щит],Щиты[Zпетли на шинах, Ом]),"")</f>
        <v/>
      </c>
      <c r="EF163">
        <f>IFERROR(N(_xlfn.XLOOKUP(A163,Щиты[Щит],Щиты[ΔU до шин (подбор), %])),0)</f>
        <v>2.5</v>
      </c>
      <c r="EG163" t="str">
        <f>IFERROR(_xlfn.XLOOKUP(A163,Щиты[Щит],Щиты[Zпетли на шинах (подбор), Ом]),"")</f>
        <v/>
      </c>
      <c r="EH163" t="str">
        <f t="shared" si="325"/>
        <v/>
      </c>
      <c r="EI163">
        <f t="shared" si="326"/>
        <v>39</v>
      </c>
      <c r="EJ163">
        <f t="shared" si="327"/>
        <v>2</v>
      </c>
      <c r="EK163">
        <f t="shared" si="328"/>
        <v>0.31</v>
      </c>
      <c r="EL163" s="6">
        <f>IF(B163="","",IF(BV163=1,dU_LED,IF(IFERROR(_xlfn.XLOOKUP(BC163,Коды_код,Коды_уго),"")="Светильник",3,4)+IF(Методика="нормы 2026",MIN(0.5,MAX(0,N(P163)-100)*0.005),0)))</f>
        <v>4</v>
      </c>
      <c r="EM163" cm="1">
        <f t="array" ref="EM163">IF(OR(B163="",BZ163="",EC163&lt;&gt;1),"",_xlfn.LET(_xlpm.sz,Iдоп_S,_xlpm.t_,CHOOSE(EB163,Iдоп_1ж,Iдоп_2ж,Iдоп_3ж)*DZ163*EA163,_xlpm.dcx,BV163=1,_xlpm.inn,IF(_xlpm.dcx,N(O163),N(DT163)),_xlpm.smin,MAX(1.5,CC163),_xlpm.L_,N(P163)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163)/N(BU163)*100,999),IFERROR(N(EJ163)*(_xlpm.rho*_xlpm.L_/_xlpm.sz*N(CE163)+_xlpm.xx*_xlpm.L_*N(EK163)/1000)*N(O163)/((Uн_лин/SQRT(3))*1000)*100,999)),_xlpm.kz,IF(OR(_xlpm.dcx,DW163=1,NOT(ISNUMBER(EG163)),_xlpm.L_=0,_xlpm.inn=0),1,IFERROR(--(c_min*(Uн_лин*1000/SQRT(3))/(EG163+2*ρкз_Cu*_xlpm.L_/_xlpm.sz)&gt;=HT163*_xlpm.inn),0)),_xlpm.ok,IFERROR((_xlpm.sz&gt;=_xlpm.smin)*(_xlpm.t_&gt;=_xlpm.inn)*IF(_xlpm.L_&gt;0,(_xlpm.du_+IF(_xlpm.dcx,0,EF163)&lt;=EL163+0.00001),1)*_xlpm.kz,0),_xlpm.r_,_xlfn._xlws.FILTER(_xlpm.sz,_xlpm.ok,"не подобрано"),INDEX(_xlpm.r_,1)))</f>
        <v>1.5</v>
      </c>
      <c r="EN163">
        <f t="shared" si="329"/>
        <v>2.5</v>
      </c>
      <c r="EO163" cm="1">
        <f t="array" ref="EO163">IF(OR(B163="",BZ163="",EC163&lt;&gt;1),"",_xlfn.LET(_xlpm.sz,Iдоп_S,_xlpm.t_,CHOOSE(EB163,Iдоп_1ж,Iдоп_2ж,Iдоп_3ж)*DZ163*EA163,_xlpm.ok,IFERROR((_xlpm.sz&gt;=MAX(1.5,CC163))*(_xlpm.t_&gt;=N(DT163)),0),_xlpm.r_,_xlfn._xlws.FILTER(_xlpm.sz,_xlpm.ok,""),INDEX(_xlpm.r_,1)))</f>
        <v>1.5</v>
      </c>
      <c r="EP163" s="6" cm="1">
        <f t="array" ref="EP163">IFERROR(ROUNDUP(N(EJ163)*(_xlfn.XLOOKUP(EO163,INDEX(Кабель_сопротивление,0,1),INDEX(Кабель_сопротивление,0,3))*N(P163)/EO163*N(CE163)+_xlfn.XLOOKUP(EO163,INDEX(Кабель_сопротивление,0,1),INDEX(Кабель_сопротивление,0,2))*N(P163)*N(EK163)/1000)*N(O163)/((Uн_лин/SQRT(3))*1000)*100,2),"")</f>
        <v>0.49</v>
      </c>
      <c r="EQ163">
        <f>IFERROR(2*ρкз_Cu*N(P163)/EO163,"")</f>
        <v>1.6832</v>
      </c>
      <c r="ER163">
        <f>IFERROR(VLOOKUP(EN163,Кабель_сопротивление,3,FALSE),"")</f>
        <v>2.2499999999999999E-2</v>
      </c>
      <c r="ES163">
        <f>IFERROR(VLOOKUP(EN163,Кабель_сопротивление,2,FALSE),"")</f>
        <v>0.1</v>
      </c>
      <c r="ET163">
        <f t="shared" si="330"/>
        <v>13</v>
      </c>
      <c r="EU163">
        <f t="shared" si="331"/>
        <v>0</v>
      </c>
      <c r="EV163">
        <f t="shared" si="332"/>
        <v>0.67586299865803867</v>
      </c>
      <c r="EW163" s="6">
        <f>IFERROR(ROUNDUP(EV163/IF(BV163=1,BU163,(Uн_лин/SQRT(3))*1000)*100,2),"")</f>
        <v>0.3</v>
      </c>
      <c r="EX163" t="str">
        <f>IFERROR(VLOOKUP(BZ163,Кабель_обозначение,2,FALSE),"")</f>
        <v>ВВГнг(А)-LS</v>
      </c>
      <c r="EY163" t="str">
        <f t="shared" si="333"/>
        <v>ВВГнг(А)-LS (3х2,5)</v>
      </c>
      <c r="EZ163" t="str">
        <f t="shared" si="334"/>
        <v>ВВГнг(А)-LS (3х2,5)
L=48-0,3%</v>
      </c>
      <c r="FA163">
        <f>IFERROR(2*ρкз_Cu*P163/EN163,"")</f>
        <v>1.0099199999999999</v>
      </c>
      <c r="FB163">
        <f t="shared" si="335"/>
        <v>0.33600000000000002</v>
      </c>
      <c r="FC163" s="6" t="str">
        <f>IFERROR(IF(OR(B163="",BV163=1,NOT(ISNUMBER(EN163)),N(P163)=0),"",_xlfn.XLOOKUP(A163,Щиты[Щит],Щиты[Zпетли на шинах, Ом])+FA163),"")</f>
        <v/>
      </c>
      <c r="FD163" s="6" t="str">
        <f>IF(ISNUMBER(FC163),c_min*(Uн_лин*1000/SQRT(3))/FC163,"")</f>
        <v/>
      </c>
      <c r="FE163" s="6" t="str">
        <f>IFERROR(IF(OR(B163="",NOT(ISNUMBER(EN163))),"",1.05*(Uн_лин*1000/SQRT(3))/(_xlfn.XLOOKUP(A163,Щиты[Щит],Щиты[Zmax на шинах, Ом])+FB163)/1000),"")</f>
        <v/>
      </c>
      <c r="FF163" s="6" t="str">
        <f>IF(B163="","",IF(ISNUMBER(AC163),"Сил",IF(IFERROR(_xlfn.XLOOKUP(BC163,Коды_код,Коды_группа)&amp;"","")="","Быт",_xlfn.XLOOKUP(BC163,Коды_код,Коды_группа)&amp;"")))</f>
        <v>Быт</v>
      </c>
      <c r="FG163" s="6" t="str">
        <f t="shared" si="336"/>
        <v>Быт</v>
      </c>
      <c r="FH163" s="6">
        <f>IF(FG163="Щит","щит",IF(FG163="","",IF(FG163="Быт",IFERROR(_xlfn.XLOOKUP(A163,Щиты[Щит],Щиты[Кс быт]),1),IF(FG163="Сил",IF(ISNUMBER(AC163),AC163,IF(Методика="нормы 2026",IFERROR(_xlfn.XLOOKUP(A163,Щиты[Щит],Щиты[Кс силовых (табл. 7.5)]),1),1)),IF(OR(FG163="Пост",FG163="Отоп"),1,IF(FG163="ВНГ",0.7,0))))))</f>
        <v>0.8</v>
      </c>
      <c r="FI163">
        <f>IF(FG163="","",IF(AND(BP163=1,TRIM(AE163&amp;"")=""),IF(COUNTIFS(Линии[Щит],A163,Линии[Секция (1/2/3)],"&gt;=2")&gt;0,MIN(3,MAX(1,IFERROR(--BD163,1))),1),IFERROR(MIN(3,MAX(1,INT(--AE163))),1)))</f>
        <v>1</v>
      </c>
      <c r="FJ163">
        <f t="shared" si="337"/>
        <v>0.18</v>
      </c>
      <c r="FK163">
        <f t="shared" si="338"/>
        <v>0.18</v>
      </c>
      <c r="FL163">
        <f t="shared" si="339"/>
        <v>0</v>
      </c>
      <c r="FM163">
        <f t="shared" si="340"/>
        <v>0</v>
      </c>
      <c r="FN163">
        <f t="shared" si="341"/>
        <v>0</v>
      </c>
      <c r="FO163">
        <f t="shared" si="342"/>
        <v>0</v>
      </c>
      <c r="FP163">
        <f t="shared" si="343"/>
        <v>0.18</v>
      </c>
      <c r="FQ163">
        <f t="shared" si="344"/>
        <v>0.18</v>
      </c>
      <c r="FR163">
        <f t="shared" si="345"/>
        <v>0.17099999999999999</v>
      </c>
      <c r="FS163">
        <f>IF(CG163=1,IF(AND(CH163=1,CW163=1),0,IF(AND(CS163&lt;&gt;"",CS163=BA163,CW163=1),SUMIFS(Линии[_Р линии, кВт],Линии[_блок УЗО],BA163,Линии[Щит],A163),N(BS163)+IF(AJ163="вручную",0,N(CK163)))),0)</f>
        <v>0.18</v>
      </c>
      <c r="FT163" t="str">
        <f t="shared" si="346"/>
        <v>L3</v>
      </c>
      <c r="FU163" t="str">
        <f>IF(B163="","",IF(CG163=0,IF(BA163=1,"",FW162),IF(AND(CH163=1,CW163=1,CS163&lt;&gt;""),IFERROR(_xlfn.XLOOKUP(CS163,Линии[_n],Линии[_фаза итог]),"L1"),IF(OR(N(DL163)&gt;=3,N(BX163)&gt;=3),"L1,L2,L3",IFERROR(_xlfn.TEXTBEFORE(_xlfn.TEXTAFTER(_xlfn.XLOOKUP(A163,Щиты[Щит],Щиты[_фазы авто]),";"&amp;BA163&amp;":"),";"),"L1")))))</f>
        <v>L1</v>
      </c>
      <c r="FV163" t="str">
        <f t="shared" si="347"/>
        <v>L3</v>
      </c>
      <c r="FW163" t="str">
        <f t="shared" si="348"/>
        <v>L3</v>
      </c>
      <c r="FX163" cm="1">
        <f t="array" ref="FX163">IFERROR(IF(CD163=2,_xlfn.IFS(BX163=3,VLOOKUP(BS163,Справочная_двигатели,3,FALSE),BX163=1,VLOOKUP(BS163,Справочная_двигатели,5,TRUE)),0),0)</f>
        <v>0</v>
      </c>
      <c r="FY163">
        <f>IFERROR(IF(CD163=3,VLOOKUP(BS163,Справочная_ЛЭД,2,TRUE),0),0)</f>
        <v>0</v>
      </c>
      <c r="FZ163" s="6">
        <f t="shared" si="349"/>
        <v>0</v>
      </c>
      <c r="GA163" t="str">
        <f>IF(B163="","",IF(TRIM(AH163&amp;"")&lt;&gt;"",IF(LOWER(TRIM(AH163&amp;""))="да","да","нет"),IF(IFERROR(_xlfn.XLOOKUP(BC163,Коды_код,Коды_пожарная),"")="да","да","нет")))</f>
        <v>нет</v>
      </c>
      <c r="GB163" t="str">
        <f t="shared" si="350"/>
        <v/>
      </c>
      <c r="GC163" t="str">
        <f t="shared" si="351"/>
        <v>основная</v>
      </c>
      <c r="GD163">
        <f>IF(AND(BP163=1,TRIM(AE163&amp;"")=""),IF(COUNTIFS(Линии[Щит],A163,Линии[Секция (1/2/3)],"&gt;=2")&gt;0,MIN(3,MAX(1,IFERROR(--BD163,1))),1),IFERROR(MIN(3,MAX(1,INT(--AE163))),1))</f>
        <v>1</v>
      </c>
      <c r="GE163" t="str" cm="1">
        <f t="array" ref="GE163">IF(B163="","",_xlfn.LET(_xlpm.t,IFERROR(_xlfn.XLOOKUP(1,(Шины[Шина]=GC163)*(((Шины[Щит]=A163)+(Шины[Щит]=""))&gt;0),Шины[Тип]),"")&amp;"",IF(_xlpm.t&lt;&gt;"",_xlpm.t,IF(ISNUMBER(SEARCH("ИБП",GC163)),"ИБП",IF(ISNUMBER(SEARCH("ДГУ",GC163)),"ДГУ","Ввод "&amp;GD163)))))</f>
        <v>Ввод 1</v>
      </c>
      <c r="GF163" t="str">
        <f t="shared" si="352"/>
        <v>Ввод 1</v>
      </c>
      <c r="GG163" t="str">
        <f>IF(BP163=0,"",IF(TRIM(AG163&amp;"")&lt;&gt;"",TRIM(AG163&amp;""),IF(OR(GE163="ИБП",GE163="ДГУ"),"I особая",_xlfn.XLOOKUP(A163,Щиты[Щит],Щиты[Категория шины «Ввод»],"III"))))</f>
        <v/>
      </c>
      <c r="GH163" t="str">
        <f>IF(A163="","",_xlfn.XLOOKUP(A163,Щиты[Щит],Щиты[Путь],""))</f>
        <v>|ГРЩ-ЖД|ЩР-001|</v>
      </c>
      <c r="GI163" t="str">
        <f>IF(B163="","",IF(AI163&lt;&gt;"",AI163,IF(IFERROR(_xlfn.XLOOKUP(BC163,Коды_код,Коды_вид)&amp;"","")="","Прочее",_xlfn.XLOOKUP(BC163,Коды_код,Коды_вид)&amp;"")))</f>
        <v>Розеточная сеть и бытовые приборы</v>
      </c>
      <c r="GJ163">
        <f>IF(BM163="","",INT((BM163-1)/Столбцов_на_лист)+1)</f>
        <v>1</v>
      </c>
      <c r="GK163" t="str">
        <f t="shared" si="353"/>
        <v>ВВГнг(А)-LS (3х2,5) L=48-0,3%</v>
      </c>
      <c r="GL163">
        <f t="shared" si="354"/>
        <v>0.18</v>
      </c>
      <c r="GM163">
        <f t="shared" si="355"/>
        <v>0.83</v>
      </c>
      <c r="GN163">
        <f t="shared" si="356"/>
        <v>1</v>
      </c>
      <c r="GO163">
        <f t="shared" si="357"/>
        <v>0</v>
      </c>
      <c r="GP163">
        <f t="shared" si="358"/>
        <v>1</v>
      </c>
      <c r="GQ163">
        <f>IF(BM163="","",IF(AND(CG163=1,GP163=1),COUNTIFS(A$3:A163,A163,CG$3:CG163,1,GP$3:GP163,1),IF(OR(OR(BA163=1,A163&lt;&gt;A162),AJ163="вручную",GP163=0),"",IF(BA163=1,"",GR162))))</f>
        <v>9</v>
      </c>
      <c r="GR163">
        <f t="shared" si="359"/>
        <v>9</v>
      </c>
      <c r="GS163">
        <f>IF(B163="","",IFERROR(LOOKUP(INDEX(CHOOSE(EB163,Iдоп_1ж,Iдоп_2ж,Iдоп_3ж),MATCH(EN163,Iдоп_S,0))*DZ163*EA163,{6,10,16,20,25,32,40,50,63,80,100,125,160,200,250,315,400,500,630}),""))</f>
        <v>25</v>
      </c>
      <c r="GT163" t="str">
        <f t="shared" si="360"/>
        <v>QFD9</v>
      </c>
      <c r="GU163" t="str">
        <f t="shared" si="361"/>
        <v>QFD9</v>
      </c>
      <c r="GV163" t="str">
        <f t="shared" si="362"/>
        <v/>
      </c>
      <c r="GW163">
        <f t="shared" si="363"/>
        <v>0</v>
      </c>
      <c r="GX163" t="str">
        <f>IF(OR(B163="",DJ163=""),"",IFERROR(_xlfn.XLOOKUP(DJ163,Модули_умолч[Управление],Модули_умолч[Модель])&amp;"",""))</f>
        <v/>
      </c>
      <c r="GY163">
        <f>IF(DJ163="",1,IFERROR(MAX(0,N(_xlfn.XLOOKUP(DJ163,Модули_умолч[Управление],Модули_умолч[Каналов на линию]))),1))</f>
        <v>1</v>
      </c>
      <c r="GZ163" t="str">
        <f t="shared" si="364"/>
        <v/>
      </c>
      <c r="HA163" t="str">
        <f t="shared" si="365"/>
        <v/>
      </c>
      <c r="HB163" t="str">
        <f t="shared" si="366"/>
        <v/>
      </c>
      <c r="HC163">
        <f>IF(HB163="",0,IFERROR(N(VLOOKUP(HB163,Модули_спр,3,FALSE)),0))</f>
        <v>0</v>
      </c>
      <c r="HD163" t="str">
        <f t="shared" si="367"/>
        <v/>
      </c>
      <c r="HE163" t="str">
        <f t="shared" si="368"/>
        <v/>
      </c>
      <c r="HF163" t="str">
        <f>IF(OR(HE163="",HE163="-"),"",IFERROR(VLOOKUP(HE163,Модули_спр,2,FALSE),"R"))</f>
        <v/>
      </c>
      <c r="HG163" t="str">
        <f>IF(HF163="","",HF163&amp;"."&amp;COUNTIFS(A$3:A163,A163,HF$3:HF163,HF163))</f>
        <v/>
      </c>
      <c r="HH163" t="str">
        <f t="shared" si="369"/>
        <v/>
      </c>
      <c r="HI163" t="str">
        <f t="shared" si="370"/>
        <v/>
      </c>
      <c r="HJ163" t="str">
        <f t="shared" si="371"/>
        <v/>
      </c>
      <c r="HK163" t="str">
        <f t="shared" si="372"/>
        <v/>
      </c>
      <c r="HL163">
        <f t="shared" si="373"/>
        <v>1</v>
      </c>
      <c r="HM163" t="str">
        <f>IF(HL163=1,"XT"&amp;COUNTIFS(A$3:A163,A163,HL$3:HL163,1),"")</f>
        <v>XT9</v>
      </c>
      <c r="HN163" t="str">
        <f t="shared" si="374"/>
        <v>XT9</v>
      </c>
      <c r="HO163" t="str">
        <f t="shared" si="375"/>
        <v>QFD9</v>
      </c>
      <c r="HP163" t="str">
        <f t="shared" si="376"/>
        <v/>
      </c>
      <c r="HQ163" t="str">
        <f t="shared" si="377"/>
        <v>ok</v>
      </c>
      <c r="HR163" t="str">
        <f>IF(OR(HJ163="",HH163=""),"",IF(HJ163+MAX(0,GY163-1)&gt;IFERROR(VLOOKUP(HI163,Модули_спр,3,FALSE),99),"ЛИШНИЙ КАНАЛ",IF(AND(AL163&lt;&gt;"=",GY163&gt;0,COUNTIFS(Линии[_модуль гр.],HH163,Линии[Канал (итог)],HJ163,Линии[Канал],"&lt;&gt;=",Линии[Щит],A163)&gt;1),"ДУБЛЬ КАНАЛА","")))</f>
        <v/>
      </c>
      <c r="HS163" s="6" t="str">
        <f t="shared" si="378"/>
        <v/>
      </c>
      <c r="HT163">
        <f t="shared" si="379"/>
        <v>10</v>
      </c>
      <c r="HU163" t="str">
        <f t="shared" si="380"/>
        <v/>
      </c>
      <c r="HV163">
        <f t="shared" si="381"/>
        <v>0.80817804774989255</v>
      </c>
      <c r="HW163">
        <f t="shared" si="382"/>
        <v>0</v>
      </c>
      <c r="HX163">
        <f t="shared" si="383"/>
        <v>0</v>
      </c>
      <c r="HY163">
        <f t="shared" si="384"/>
        <v>0</v>
      </c>
      <c r="HZ163">
        <f t="shared" si="385"/>
        <v>0</v>
      </c>
      <c r="IA163">
        <f t="shared" si="386"/>
        <v>0</v>
      </c>
      <c r="IB163">
        <f t="shared" si="387"/>
        <v>0</v>
      </c>
      <c r="IC163" t="str">
        <f t="shared" si="388"/>
        <v/>
      </c>
      <c r="ID163" t="str" cm="1">
        <f t="array" ref="ID163">IF(IC163="","",_xlfn.LET(_xlpm.tk,_xlfn.TEXTSPLIT(SUBSTITUTE(SUBSTITUTE(IC163,";"," "),"→"," ")," ",,TRUE),_xlpm.w_,_xlfn._xlws.FILTER(_xlpm.tk,ISNUMBER(--LEFT(_xlpm.tk,1))*((ISNUMBER(SEARCH("W",_xlpm.tk))+ISNUMBER(SEARCH("Вт",_xlpm.tk)))&gt;0),""),IFERROR(--SUBSTITUTE(SUBSTITUTE(UPPER(INDEX(_xlpm.w_,1)),"W",""),"ВТ",""),"")))</f>
        <v/>
      </c>
      <c r="IE163" t="str" cm="1">
        <f t="array" ref="IE163">IF(IC163="","",_xlfn.LET(_xlpm.tk,_xlfn.TEXTSPLIT(SUBSTITUTE(SUBSTITUTE(IC163,";"," "),"→"," ")," ",,TRUE),_xlpm.v_,_xlfn._xlws.FILTER(_xlpm.tk,ISNUMBER(--LEFT(_xlpm.tk,1))*((ISNUMBER(SEARCH("V",_xlpm.tk))+(RIGHT(UPPER(_xlpm.tk))="В"))&gt;0),""),IFERROR(--SUBSTITUTE(SUBSTITUTE(UPPER(INDEX(_xlpm.v_,1)),"V",""),"В",""),"")))</f>
        <v/>
      </c>
      <c r="IF163" s="6" t="str">
        <f>IF(OR(BV163=0,HI163="",HJ163=""),"",IFERROR(N(_xlfn.XLOOKUP(HI163,Каталог!$C$4:$C$500,Каталог!$Q$4:$Q$500)),""))</f>
        <v/>
      </c>
      <c r="IG163" s="6" t="str">
        <f>IF(N(IF163)=0,"",SUMIFS(Линии[Iр, А],Линии[Щит],A163,Линии[_модуль гр.],HH163,Линии[Канал (итог)],HJ163))</f>
        <v/>
      </c>
      <c r="IH163" t="str">
        <f>IF(AND(B163="",HO163=""),"",_xlfn.TEXTJOIN("; ",TRUE,IF(AND(B163&lt;&gt;"",FV163=""),"нет фазы",""),IF(AND(B163&lt;&gt;"",N(GL163)=0,FG163&lt;&gt;"Нет"),"нет мощности",""),IF(AND(HN163&lt;&gt;"",COUNTIFS(Линии[Щит],A163,Линии[Клемма (итог)],HN163)&gt;1),"дубль клеммы "&amp;HN163,""),IF(AND(HQ163&lt;&gt;"",HQ163&lt;&gt;"ok"),HQ163,""),IF(HR163&lt;&gt;"",HR163,""),IF(AND(N(CB163)&gt;=4,N(BX163)=1),CB163&amp;" жил на 1 фазе",""),IF(AND(BC163="R",CG163=1,IF(CS163&lt;&gt;"",N(CV163)&gt;30,OR(N(DA163)=0,N(DA163)&gt;30))),"розетка без дифзащиты до 30 мА",""),IF(AND(CG163=1,N(DA163)&gt;0,ISNUMBER(T163)),IF(T163&gt;N(DA163)/3,"ток утечки "&amp;FIXED(T163,1)&amp;" мА &gt; 1/3 уставки ("&amp;DA163&amp;" мА)",""),""),IF(AND(CH163=1,CS163=""),"«узо»: нет строки с УЗО выше (УЗО 2P 40А 30мА в «Аппаратах»)",""),IF(AND(CS163&lt;&gt;"",CS163=BA163),IF(CT163="","впишите номинал УЗО (УЗО 2P 40А 30мА)",IF(N(CT163)&lt;N(DT163),"УЗО "&amp;CT163&amp;" А &lt; автомата "&amp;DT163&amp;" А перед ним",IF(N(CT163)&lt;N(CX163),"УЗО "&amp;CT163&amp;" А &lt; тока блока "&amp;FIXED(CX163,1)&amp;" А",""))),""),IF(AND(CS163&lt;&gt;"",CS163=BA163,ISNUMBER(CY163)),IF(CY163&gt;N(CV163)/3,"ток утечки блока УЗО "&amp;FIXED(CY163,1)&amp;" мА &gt; 1/3 уставки ("&amp;CV163&amp;" мА)",""),""),IF(AND(CG163=1,N(BV163)+N(IB163)&gt;0,IC163=""),"линии до 50 В без БП: впишите в «Аппараты» (БП 24V 480W)",""),IF(AND(CG163=1,ISNUMBER(ID163),ISNUMBER(U163)),IF(U163&gt;ID163,"БП "&amp;ID163&amp;" Вт &lt; нужно "&amp;U163&amp;" Вт (×"&amp;Запас_БП&amp;")",""),""),IF(AND(CG163=1,ISNUMBER(IE163),N(BV163)=1),IF(IE163&lt;&gt;N(BU163),"БП на "&amp;IE163&amp;" В, линия "&amp;BU163&amp;" В",""),""),IF(AND(N(IF163)&gt;0,N(IG163)&gt;N(IF163)),HH163&amp;" канал "&amp;HJ163&amp;": "&amp;FIXED(IG163,1)&amp;" А &gt; "&amp;IF163&amp;" А",""),IFERROR(IF(AND(ISNUMBER(Q163),Q163&gt;EL163),"потери "&amp;FIXED(Q163,1)&amp;" % &gt; "&amp;EL163&amp;" %",""),""),IFERROR(IF(LEFT(HU163,4)="мало","Iкз мало — отключение &gt; 0,4 с",""),""),IF(AND(B163&lt;&gt;"",BM163=""),"не на схеме",""),IF(AND(CG163=0,B163&lt;&gt;"",FV163&lt;&gt;"",IF(BA163=1,"",FW162)&lt;&gt;"",FV163&lt;&gt;IF(BA163=1,"",FW162)),"фаза не как у автомата группы ("&amp;IF(BA163=1,"",FW162)&amp;")","")))</f>
        <v/>
      </c>
      <c r="II163" s="6">
        <f>IF(OR(CG163=0,DQ163=""),"",_xlfn.LET(_xlpm.t,IFERROR(_xlfn.XLOOKUP(DQ163,Каталог!$U$4:$U$500,Каталог!$G$4:$G$500),""),_xlpm.k,SEARCH("кА",_xlpm.t),IFERROR(--TRIM(RIGHT(SUBSTITUTE(MID(_xlpm.t,MAX(1,_xlpm.k-4),_xlpm.k-MAX(1,_xlpm.k-4))," ",REPT(" ",9)),5)),"")))</f>
        <v>6</v>
      </c>
      <c r="IJ163" t="str">
        <f>IF(OR(II163="",CG163=0),"",IF(_xlfn.XLOOKUP(A163,Щиты[Щит],Щиты[Iкз max на шинах, кА],"")="","",IF(II163&lt;_xlfn.XLOOKUP(A163,Щиты[Щит],Щиты[Iкз max на шинах, кА]),"Icu "&amp;II163&amp;" кА &lt; Iкз max","ok")))</f>
        <v/>
      </c>
      <c r="IK163" t="str">
        <f t="shared" si="389"/>
        <v/>
      </c>
      <c r="IL163" t="str">
        <f t="shared" si="390"/>
        <v>QFD9|XT9</v>
      </c>
      <c r="IM163" t="str">
        <f t="shared" si="391"/>
        <v>QFD9|XT9|кабель ВВГнг(А)-LS (3х2,5) → Розеточная группа, пом. 005А</v>
      </c>
      <c r="IN163" t="str" cm="1">
        <f t="array" ref="IN163">IF(IM163="","",_xlfn.LET(_xlpm.nd,_xlfn.TEXTSPLIT(IM163,"|"),IF(COLUMNS(_xlpm.nd)&gt;1,A163&amp;"¦"&amp;INDEX(_xlpm.nd,1)&amp;"¦"&amp;INDEX(_xlpm.nd,2),"")))</f>
        <v>ЩР-001¦QFD9¦XT9</v>
      </c>
      <c r="IO163" t="str">
        <f t="shared" si="392"/>
        <v>R.00.005А.1¦Розеточная группа, пом. 005А</v>
      </c>
      <c r="IP163" t="str" cm="1">
        <f t="array" ref="IP163">IF(IM163="","",_xlfn.LET(_xlpm.nd,_xlfn.TEXTSPLIT(IM163,"|"),IF(COLUMNS(_xlpm.nd)&gt;2,A163&amp;"¦"&amp;INDEX(_xlpm.nd,2)&amp;"¦"&amp;INDEX(_xlpm.nd,3),"")))</f>
        <v>ЩР-001¦XT9¦кабель ВВГнг(А)-LS (3х2,5) → Розеточная группа, пом. 005А</v>
      </c>
      <c r="IQ163" t="str">
        <f t="shared" si="393"/>
        <v>R.00.005А.1¦Розеточная группа, пом. 005А</v>
      </c>
      <c r="IR163" t="str" cm="1">
        <f t="array" ref="IR163">IF(IM163="","",_xlfn.LET(_xlpm.nd,_xlfn.TEXTSPLIT(IM163,"|"),IF(COLUMNS(_xlpm.nd)&gt;3,A163&amp;"¦"&amp;INDEX(_xlpm.nd,3)&amp;"¦"&amp;INDEX(_xlpm.nd,4),"")))</f>
        <v/>
      </c>
      <c r="IS163" t="str">
        <f t="shared" si="394"/>
        <v/>
      </c>
      <c r="IT163" t="str" cm="1">
        <f t="array" ref="IT163">IF(IM163="","",_xlfn.LET(_xlpm.nd,_xlfn.TEXTSPLIT(IM163,"|"),IF(COLUMNS(_xlpm.nd)&gt;4,A163&amp;"¦"&amp;INDEX(_xlpm.nd,4)&amp;"¦"&amp;INDEX(_xlpm.nd,5),"")))</f>
        <v/>
      </c>
      <c r="IU163" t="str">
        <f t="shared" si="395"/>
        <v/>
      </c>
      <c r="IV163" t="str" cm="1">
        <f t="array" ref="IV163">IF(IM163="","",_xlfn.LET(_xlpm.nd,_xlfn.TEXTSPLIT(IM163,"|"),IF(COLUMNS(_xlpm.nd)&gt;5,A163&amp;"¦"&amp;INDEX(_xlpm.nd,5)&amp;"¦"&amp;INDEX(_xlpm.nd,6),"")))</f>
        <v/>
      </c>
      <c r="IW163" t="str">
        <f t="shared" si="396"/>
        <v/>
      </c>
      <c r="IX163" t="str" cm="1">
        <f t="array" ref="IX163">IF(IM163="","",_xlfn.LET(_xlpm.nd,_xlfn.TEXTSPLIT(IM163,"|"),IF(COLUMNS(_xlpm.nd)&gt;6,A163&amp;"¦"&amp;INDEX(_xlpm.nd,6)&amp;"¦"&amp;INDEX(_xlpm.nd,7),"")))</f>
        <v/>
      </c>
      <c r="IY163" t="str">
        <f t="shared" si="397"/>
        <v/>
      </c>
      <c r="IZ163" t="str">
        <f t="shared" si="398"/>
        <v/>
      </c>
      <c r="JA163" t="str">
        <f t="shared" si="399"/>
        <v>QFD9 → XT9</v>
      </c>
      <c r="JB163">
        <f t="shared" si="400"/>
        <v>0</v>
      </c>
      <c r="JC163">
        <f t="shared" si="401"/>
        <v>1</v>
      </c>
      <c r="JD163" t="str">
        <f t="shared" si="402"/>
        <v/>
      </c>
      <c r="JE163" t="str">
        <f t="shared" si="403"/>
        <v/>
      </c>
      <c r="JF163" t="str">
        <f t="shared" si="404"/>
        <v/>
      </c>
      <c r="JG163" t="str">
        <f t="shared" si="405"/>
        <v/>
      </c>
      <c r="JH163" t="str">
        <f>IF(B163="","",IFERROR(_xlfn.XLOOKUP(B163,Коды_код,Коды_уго),IFERROR(_xlfn.XLOOKUP(BC163,Коды_код,Коды_уго),IFERROR(_xlfn.XLOOKUP(LEFT(BC163,2),Коды_код,Коды_уго),""))))</f>
        <v>Розетка</v>
      </c>
      <c r="JI163" t="str">
        <f>IF(B163="","",IF(OR(JH163="",JH163=0),"BOX",IFERROR(IF(VLOOKUP(JH163,УГО_блоки,3,FALSE)&amp;""&lt;&gt;"",VLOOKUP(JH163,УГО_блоки,3,FALSE),VLOOKUP(JH163,УГО_блоки,2,FALSE)),JH163)))</f>
        <v>SOCKET</v>
      </c>
      <c r="JJ163">
        <f t="shared" si="406"/>
        <v>1</v>
      </c>
      <c r="JK163" t="str">
        <f>IF(DQ163="","",IF(COUNTIF(DQ$3:DQ163,DQ163)=1,MAX(JK$2:JK162)+1,""))</f>
        <v/>
      </c>
      <c r="JL163" t="str">
        <f>IF(DE163="","",IF(COUNTIF(DE$3:DE163,DE163)+COUNTIF(DF$2:DF162,DE163)+COUNTIF(DG$2:DG162,DE163)=1,MAX(JL$2:JN162)+1,""))</f>
        <v/>
      </c>
      <c r="JM163" t="str">
        <f>IF(DF163="","",IF(COUNTIF(DE$3:DE163,DF163)+COUNTIF(DF$3:DF163,DF163)+COUNTIF(DG$2:DG162,DF163)=1,MAX(JL$2:JN162,JL163)+1,""))</f>
        <v/>
      </c>
      <c r="JN163" t="str">
        <f>IF(DG163="","",IF(COUNTIF(DE$3:DE163,DG163)+COUNTIF(DF$3:DF163,DG163)+COUNTIF(DG$3:DG163,DG163)=1,MAX(JL$2:JN162,JL163,JM163)+1,""))</f>
        <v/>
      </c>
      <c r="JO163" t="str">
        <f t="shared" si="407"/>
        <v>3х2,5</v>
      </c>
      <c r="JP163" t="str">
        <f>IF(JO163="","",IF(COUNTIF(JO$3:JO163,JO163)=1,MAX(JP$2:JP162)+1,""))</f>
        <v/>
      </c>
      <c r="JQ163" t="str">
        <f>IF(HG163="","",COUNTIF(HG$3:HG163,"?*"))</f>
        <v/>
      </c>
      <c r="JR163" t="str">
        <f>IF(OR(HG163="",HI163=""),"",IF(COUNTIFS(HG$3:HG163,"?*",HI$3:HI163,HI163)=1,MAX(JR$2:JR162)+1,""))</f>
        <v/>
      </c>
      <c r="JS163">
        <f t="shared" si="408"/>
        <v>0</v>
      </c>
      <c r="JT163">
        <f>IF(B163="","",COUNTIF(B$3:B163,"?*"))</f>
        <v>161</v>
      </c>
      <c r="JU163">
        <f>IF(HL163&lt;&gt;1,0,_xlfn.LET(_xlpm.k,MAX(IFERROR(--_xlfn.XLOOKUP(B163,Коды_код,Коды_3L),0),IFERROR(--_xlfn.XLOOKUP(BC163,Коды_код,Коды_3L),0),IFERROR(--_xlfn.XLOOKUP(LEFT(BC163,2),Коды_код,Коды_3L),0)),IF(_xlpm.k&gt;0,_xlpm.k,IF(IFERROR(--LEFT(SUBSTITUTE(JO163,"x","х"),FIND("х",SUBSTITUTE(JO163,"x","х"))-1),3)&gt;3,Каталог!$S$9,1))))</f>
        <v>1</v>
      </c>
      <c r="JV163">
        <f t="shared" si="409"/>
        <v>0</v>
      </c>
      <c r="JW163" t="str">
        <f t="shared" si="410"/>
        <v>авто</v>
      </c>
      <c r="JX163">
        <f t="shared" si="411"/>
        <v>30</v>
      </c>
      <c r="JY163">
        <f t="shared" si="412"/>
        <v>1</v>
      </c>
      <c r="JZ163">
        <f t="shared" si="413"/>
        <v>1</v>
      </c>
    </row>
    <row r="164" spans="1:286" x14ac:dyDescent="0.3">
      <c r="A164" t="s">
        <v>753</v>
      </c>
      <c r="B164" t="s">
        <v>1472</v>
      </c>
      <c r="C164" t="str">
        <f>Линии[[#This Row],[_авто наименование]]</f>
        <v>Розеточная группа, пом. 004А</v>
      </c>
      <c r="D164">
        <v>4</v>
      </c>
      <c r="E164">
        <v>0.36</v>
      </c>
      <c r="G164">
        <v>16</v>
      </c>
      <c r="H164" t="str">
        <f>Линии[[#This Row],[_авто управление]]</f>
        <v/>
      </c>
      <c r="I164" t="str">
        <f>Линии[[#This Row],[_авто аппараты]]</f>
        <v/>
      </c>
      <c r="J164">
        <v>2.5</v>
      </c>
      <c r="K164">
        <v>62</v>
      </c>
      <c r="L164">
        <v>3</v>
      </c>
      <c r="M164" t="s">
        <v>484</v>
      </c>
      <c r="N164" t="str">
        <f t="shared" si="276"/>
        <v/>
      </c>
      <c r="O164" s="6" cm="1">
        <f t="array" ref="O164">IF(B164="","",IF(BH164&lt;&gt;"",IFERROR(_xlfn.XLOOKUP(BH164,Щиты[Щит],Щиты[Iр, А]),""),IF(BP164=1,IF(OR(N(_xlfn.XLOOKUP(A164,Щиты[Щит],Щиты[Вводов],1))&lt;=1,LOWER(TRIM(_xlfn.XLOOKUP(A164,Щиты[Щит],Щиты[АВР],"")&amp;""))="да"),IFERROR(_xlfn.XLOOKUP(A164,Щиты[Щит],Щиты[Iр, А]),""),IFERROR(N(BS164)*_xlfn.XLOOKUP(A164,Щиты[Щит],Щиты[Кс итог])/(SQRT(3)*Uн_лин*_xlfn.XLOOKUP(A164,Щиты[Щит],Щиты[cos φ])),"")),IF(BV164=1,IFERROR(BS164*1000/BU164,""),IFERROR(_xlfn.IFS(BX164=1,BS164/((Uн_лин/SQRT(3))*CE164),BX164=3,BS164/(SQRT(3)*Uн_лин*CE164)),"")))))</f>
        <v>1.6408902387494626</v>
      </c>
      <c r="P164" s="7">
        <f>IF(B164="","",IFERROR(IF(VLOOKUP(BC164,Потребители_обозначение,4,FALSE)=1,VLOOKUP(BC164,Потребители_обозначение,3,FALSE)*(MAX(1,N(D164))*2-1)+EI164+VLOOKUP(BE164,Этаж_обозначение,3,FALSE)+VLOOKUP(BE164,Этаж_обозначение,4,FALSE),VLOOKUP(BC164,Потребители_обозначение,3,FALSE)*(MAX(1,N(D164))*2-1)+EI164),EI164))</f>
        <v>83</v>
      </c>
      <c r="Q164" s="6">
        <f t="shared" si="277"/>
        <v>2.59</v>
      </c>
      <c r="R164" t="str">
        <f t="shared" si="278"/>
        <v>ВВГнг(А)-LS (3х2,5)</v>
      </c>
      <c r="S164" t="str">
        <f>IF(BM164="","",IF(BN164="вводной узел","узел ","")&amp;"л."&amp;(INT((BM164-1)/Столбцов_на_лист)+1)&amp;" / "&amp;(MOD(BM164-1,Столбцов_на_лист)+1))</f>
        <v>л.2 / 2</v>
      </c>
      <c r="T164" s="119">
        <f t="shared" si="279"/>
        <v>1.5</v>
      </c>
      <c r="U164" s="7" t="str">
        <f>IF(OR(CG164=0,N(BV164)+N(IB164)=0),"",ROUNDUP(Запас_БП*(N(HY164)+N(HZ164)),0))</f>
        <v/>
      </c>
      <c r="V164" s="119" t="str">
        <f t="shared" si="280"/>
        <v/>
      </c>
      <c r="W164" s="7" t="str">
        <f>IFERROR(IF(OR(B164="",BP164=1,BV164=1,NOT(ISNUMBER(EN164)),N(DT164)=0),"",MAX(0,ROUNDDOWN((c_min*(Uн_лин*1000/SQRT(3))/(HT164*N(DT164))-_xlfn.XLOOKUP(A164,Щиты[Щит],Щиты[Zпетли на шинах, Ом]))*EN164/(2*ρкз_Cu),0))),"")</f>
        <v/>
      </c>
      <c r="Y164">
        <f>Линии[[#This Row],[_авто утечка]]</f>
        <v>30</v>
      </c>
      <c r="Z164">
        <v>1</v>
      </c>
      <c r="AA164">
        <v>230</v>
      </c>
      <c r="AB164" t="s">
        <v>562</v>
      </c>
      <c r="AG164" t="s">
        <v>810</v>
      </c>
      <c r="AI164" t="s">
        <v>561</v>
      </c>
      <c r="AK164" t="str">
        <f>Линии[[#This Row],[_авто модуль]]</f>
        <v/>
      </c>
      <c r="AM164">
        <v>19</v>
      </c>
      <c r="AN164" t="s">
        <v>11</v>
      </c>
      <c r="AO164">
        <v>3</v>
      </c>
      <c r="AQ164">
        <v>35</v>
      </c>
      <c r="AR164">
        <v>48</v>
      </c>
      <c r="AS164">
        <v>0</v>
      </c>
      <c r="BA164" cm="1">
        <f t="array" ref="BA164">ROW()-ROW(Линии[#Headers])</f>
        <v>162</v>
      </c>
      <c r="BC164" s="6" t="str">
        <f t="shared" si="281"/>
        <v>R</v>
      </c>
      <c r="BD164" t="str">
        <f t="shared" si="282"/>
        <v>00.004А.1</v>
      </c>
      <c r="BE164" t="str">
        <f t="shared" si="283"/>
        <v>00</v>
      </c>
      <c r="BF164" t="str">
        <f t="shared" si="284"/>
        <v>004А.1</v>
      </c>
      <c r="BG164" t="str">
        <f t="shared" si="285"/>
        <v>004А</v>
      </c>
      <c r="BH164" t="str">
        <f>IF(X164&lt;&gt;"",X164,IF(AND(B164&lt;&gt;"",B164&lt;&gt;A164,ISNUMBER(_xlfn.XMATCH(B164,Щиты[Щит]))),B164,""))</f>
        <v/>
      </c>
      <c r="BI164" t="str" cm="1">
        <f t="array" ref="BI164">IF(B164="","",IF(BH164&lt;&gt;"","Щит "&amp;BH164,_xlfn.LET(_xlpm.nm,IFERROR(_xlfn.XLOOKUP(BC164,Коды_код,Коды_имя)&amp;"",""),_xlpm.md,IFERROR(N(_xlfn.XLOOKUP(BC164,Коды_код,Коды_режим)),1),_xlpm.ex,IF(Имя_режим="по экспликации",IFERROR(_xlfn.XLOOKUP(BE164&amp;"|"&amp;BG164,Экспликация[Этаж]&amp;"|"&amp;Экспликация[Помещение],Экспликация[Название])&amp;"",""),""),_xlpm.rm,IF(BG164="","",IF(_xlpm.ex&lt;&gt;"",". "&amp;_xlpm.ex&amp;IF(Имя_пом="нет"," ("&amp;BG164&amp;")"," (пом. "&amp;BG164&amp;")"),IF(Имя_пом="нет"," ",", пом. ")&amp;BG164)),IF(_xlpm.nm="","",IF(_xlpm.md=2,_xlpm.nm&amp;" шлейф "&amp;BE164,_xlpm.nm&amp;_xlpm.rm)))))</f>
        <v>Розеточная группа, пом. 004А</v>
      </c>
      <c r="BJ164" t="str">
        <f t="shared" si="286"/>
        <v>Розеточная группа, пом. 004А</v>
      </c>
      <c r="BK164">
        <f>IFERROR(_xlfn.XMATCH(A164,Щиты[Щит]),0)</f>
        <v>8</v>
      </c>
      <c r="BL164">
        <f>_xlfn.LET(_xlpm.k,IFERROR(_xlfn.XLOOKUP(A164,Щиты[Щит],Щиты[Мест под вводной узел]),""),IF(_xlpm.k="",Столбцов_на_лист,N(_xlpm.k)))</f>
        <v>7</v>
      </c>
      <c r="BM164">
        <f t="shared" si="287"/>
        <v>19</v>
      </c>
      <c r="BN164" t="str">
        <f t="shared" si="288"/>
        <v>линии</v>
      </c>
      <c r="BO164" s="6">
        <f>IFERROR(N(_xlfn.XLOOKUP(BC164,Коды_код,Коды_квт)),0)</f>
        <v>0</v>
      </c>
      <c r="BP164">
        <f t="shared" si="289"/>
        <v>0</v>
      </c>
      <c r="BQ164" t="str">
        <f>IF(B164="","",IF(BH164&lt;&gt;"",IFERROR(_xlfn.XLOOKUP(BH164,Щиты[Щит],Щиты[Руст, кВт]),0),IF(BP164=1,IF(OR(N(_xlfn.XLOOKUP(A164,Щиты[Щит],Щиты[Вводов],1))&lt;=1,LOWER(TRIM(_xlfn.XLOOKUP(A164,Щиты[Щит],Щиты[АВР],"")&amp;""))="да"),IFERROR(_xlfn.XLOOKUP(A164,Щиты[Щит],Щиты[Руст, кВт]),0),SUMIFS(Линии[_Р для вводов],Линии[Щит],A164,Линии[Источник для режимов],GF164)),IF(BO164&gt;0,ROUND(BO164*MAX(1,N(D164)),3),""))))</f>
        <v/>
      </c>
      <c r="BR164">
        <f t="shared" si="290"/>
        <v>0.36</v>
      </c>
      <c r="BS164" s="6">
        <f>IF(B164="","",IF(BH164&lt;&gt;"",IFERROR(_xlfn.XLOOKUP(BH164,Щиты[Щит],Щиты[Руст, кВт]),0),N(BR164)))</f>
        <v>0.36</v>
      </c>
      <c r="BT164" t="str">
        <f>IF(B164="","",IFERROR(IF(VLOOKUP(BC164,Потребители_обозначение,8,FALSE)=0,"",VLOOKUP(BC164,Потребители_обозначение,8,FALSE)),""))</f>
        <v/>
      </c>
      <c r="BU164">
        <f t="shared" si="291"/>
        <v>230</v>
      </c>
      <c r="BV164">
        <f t="shared" si="292"/>
        <v>0</v>
      </c>
      <c r="BW164">
        <f>IF(B164="","",IF(BH164&lt;&gt;"",3,IFERROR(IF(N(VLOOKUP(BC164,Потребители_обозначение,9,FALSE))=0,1,VLOOKUP(BC164,Потребители_обозначение,9,FALSE)),1)))</f>
        <v>1</v>
      </c>
      <c r="BX164">
        <f t="shared" si="293"/>
        <v>1</v>
      </c>
      <c r="BY164" t="str">
        <f>IF(B164="","",_xlfn.LET(_xlpm.bc,IFERROR(IF(VLOOKUP(BC164,Потребители_обозначение,6,FALSE)=0,"",VLOOKUP(BC164,Потребители_обозначение,6,FALSE)&amp;""),""),IF(AND(GA164="да",OR(_xlpm.bc="",_xlpm.bc="мс")),Марка_пож,IF(AND(_xlpm.bc="",BH164&lt;&gt;""),"мс",_xlpm.bc))))</f>
        <v/>
      </c>
      <c r="BZ164" t="str">
        <f t="shared" si="294"/>
        <v>мс</v>
      </c>
      <c r="CA164">
        <f>IF(B164="","",_xlfn.LET(_xlpm.cc,IFERROR(N(VLOOKUP(BC164,Потребители_обозначение,7,FALSE)),0),IF(_xlpm.cc&gt;0,_xlpm.cc,IF(BZ164="","",IF(BV164=1,2,IF(N(BX164)=3,5,3))))))</f>
        <v>3</v>
      </c>
      <c r="CB164">
        <f t="shared" si="295"/>
        <v>3</v>
      </c>
      <c r="CC164">
        <f>IFERROR(N(VLOOKUP(BC164,Потребители_обозначение,10,FALSE)),0)</f>
        <v>0</v>
      </c>
      <c r="CD164">
        <f>IFERROR(VLOOKUP(BC164,Потребители_обозначение,5,FALSE),0)</f>
        <v>1</v>
      </c>
      <c r="CE164" s="6" cm="1">
        <f t="array" ref="CE164">IF(B164="","",IF(BH164&lt;&gt;"",IFERROR(_xlfn.XLOOKUP(BH164,Щиты[Щит],Щиты[cos φ]),0.95),IF(BP164=1,IFERROR(_xlfn.XLOOKUP(A164,Щиты[Щит],Щиты[cos φ]),0.95),IF(ISNUMBER(AD164),AD164,IFERROR(IF(CD164=2,_xlfn.IFS(BX164=3,VLOOKUP(BS164,Справочная_двигатели,8,FALSE),BX164=1,VLOOKUP(BS164,Справочная_двигатели,10,TRUE)),IF(AND(Методика="нормы 2026",FG164="Сил"),0.8,0.95)),0.95)))))</f>
        <v>0.95</v>
      </c>
      <c r="CF164">
        <f t="shared" si="296"/>
        <v>0</v>
      </c>
      <c r="CG164">
        <f t="shared" si="297"/>
        <v>1</v>
      </c>
      <c r="CH164">
        <f t="shared" si="298"/>
        <v>0</v>
      </c>
      <c r="CI164">
        <f>IF(B164="","",IF(BV164=1,IFERROR(BS164/((Uн_лин/SQRT(3))*MAX(0.5,N(CE164))),0),N(O164)))</f>
        <v>1.6408902387494626</v>
      </c>
      <c r="CJ164">
        <f t="shared" si="299"/>
        <v>0</v>
      </c>
      <c r="CK164">
        <f t="shared" si="300"/>
        <v>0</v>
      </c>
      <c r="CL164">
        <f t="shared" si="301"/>
        <v>0</v>
      </c>
      <c r="CM164">
        <f t="shared" si="302"/>
        <v>0</v>
      </c>
      <c r="CN164">
        <f t="shared" si="303"/>
        <v>0</v>
      </c>
      <c r="CO164">
        <f>IF(BC164="",0,_xlfn.LET(_xlpm.v,IFERROR(_xlfn.XLOOKUP(B164,Коды_код,Коды_мА),IFERROR(_xlfn.XLOOKUP(BC164,Коды_код,Коды_мА),IFERROR(_xlfn.XLOOKUP(LEFT(BC164,2),Коды_код,Коды_мА),""))),IF(_xlpm.v="да",30,IF(ISNUMBER(_xlpm.v),_xlpm.v,0))))</f>
        <v>30</v>
      </c>
      <c r="CP164">
        <f t="shared" si="304"/>
        <v>30</v>
      </c>
      <c r="CQ164" t="str">
        <f>_xlfn.LET(_xlpm.k,IFERROR(_xlfn.XLOOKUP(BC164,Коды_код,Коды_утечка)&amp;"",""),IF(_xlpm.k="","дифавтомат",_xlpm.k))</f>
        <v>дифавтомат</v>
      </c>
      <c r="CR164" t="str" cm="1">
        <f t="array" ref="CR164">IF(CG164=0,"",_xlfn.LET(_xlpm.sg,TRIM(_xlfn.TEXTSPLIT(DD164&amp;"",";")),_xlpm.f_,_xlfn._xlws.FILTER(_xlpm.sg,LEFT(_xlpm.sg,3)="УЗО",""),IFERROR(INDEX(_xlpm.f_,1)&amp;"","")))</f>
        <v/>
      </c>
      <c r="CS164" t="str">
        <f t="shared" si="305"/>
        <v/>
      </c>
      <c r="CT164" s="6" t="str" cm="1">
        <f t="array" ref="CT164">IF(CR164="","",_xlfn.LET(_xlpm.tk,_xlfn.TEXTSPLIT(UPPER(CR164)," ",,TRUE),_xlpm.a_,_xlfn._xlws.FILTER(_xlpm.tk,ISNUMBER(--LEFT(_xlpm.tk,1))*((ISNUMBER(SEARCH("А",_xlpm.tk))+ISNUMBER(SEARCH("A",_xlpm.tk)))&gt;0)*NOT(ISNUMBER(SEARCH("МА",_xlpm.tk)))*NOT(ISNUMBER(SEARCH("MA",_xlpm.tk))),""),IFERROR(--SUBSTITUTE(SUBSTITUTE(INDEX(_xlpm.a_,1),"А",""),"A",""),"")))</f>
        <v/>
      </c>
      <c r="CU164" t="str" cm="1">
        <f t="array" ref="CU164">IF(CR164="","",_xlfn.LET(_xlpm.tk,_xlfn.TEXTSPLIT(UPPER(CR164)," ",,TRUE),_xlpm.a_,_xlfn._xlws.FILTER(_xlpm.tk,ISNUMBER(--LEFT(_xlpm.tk,1))*((ISNUMBER(SEARCH("МА",_xlpm.tk))+ISNUMBER(SEARCH("MA",_xlpm.tk)))&gt;0),""),IFERROR(--SUBSTITUTE(SUBSTITUTE(INDEX(_xlpm.a_,1),"МА",""),"MA",""),30)))</f>
        <v/>
      </c>
      <c r="CV164" t="str">
        <f>IF(CS164="","",IFERROR(_xlfn.XLOOKUP(CS164,Линии[_n],Линии[_УЗО, мА]),30))</f>
        <v/>
      </c>
      <c r="CW164">
        <f>IF(CS164="",0,IF(ISNUMBER(SEARCH("4P",IFERROR(_xlfn.XLOOKUP(CS164,Линии[_n],Линии[_УЗО строки])&amp;"",""))),0,1))</f>
        <v>0</v>
      </c>
      <c r="CX164" t="str">
        <f>IF(AND(CS164&lt;&gt;"",CS164=BA164),SUMIFS(Линии[_ток на 230 В],Линии[_блок УЗО],BA164,Линии[Щит],A164),"")</f>
        <v/>
      </c>
      <c r="CY164" t="str">
        <f>IF(AND(CS164&lt;&gt;"",CS164=BA164),SUMIFS(Линии[_ток утечки линии, мА],Линии[_блок УЗО],BA164,Линии[Щит],A164),"")</f>
        <v/>
      </c>
      <c r="CZ164">
        <f t="shared" si="306"/>
        <v>30</v>
      </c>
      <c r="DA164">
        <f t="shared" si="307"/>
        <v>30</v>
      </c>
      <c r="DB164">
        <f>IF(B164="",0,IFERROR(--_xlfn.XLOOKUP(B164,Коды_код,Коды_минавт),IFERROR(--_xlfn.XLOOKUP(BC164,Коды_код,Коды_минавт),IFERROR(--_xlfn.XLOOKUP(LEFT(BC164,2),Коды_код,Коды_минавт),0))))</f>
        <v>16</v>
      </c>
      <c r="DC164" t="str">
        <f>IF(B164="","",IFERROR(_xlfn.XLOOKUP(BC164,Коды_код,Коды_апп)&amp;"",""))</f>
        <v/>
      </c>
      <c r="DD164" t="str">
        <f t="shared" si="308"/>
        <v/>
      </c>
      <c r="DE164" t="str" cm="1">
        <f t="array" ref="DE164">IF(TRIM(DD164&amp;"")="","",IFERROR(TRIM(INDEX(_xlfn.TEXTSPLIT(DD164&amp;";;;",";"),1)),""))</f>
        <v/>
      </c>
      <c r="DF164" t="str" cm="1">
        <f t="array" ref="DF164">IF(TRIM(DD164&amp;"")="","",IFERROR(TRIM(INDEX(_xlfn.TEXTSPLIT(DD164&amp;";;;",";"),2)),""))</f>
        <v/>
      </c>
      <c r="DG164" t="str" cm="1">
        <f t="array" ref="DG164">IF(TRIM(DD164&amp;"")="","",IFERROR(TRIM(INDEX(_xlfn.TEXTSPLIT(DD164&amp;";;;",";"),3)),""))</f>
        <v/>
      </c>
      <c r="DH164">
        <f t="shared" si="309"/>
        <v>0</v>
      </c>
      <c r="DI164" t="str">
        <f>IF(B164="","",_xlfn.LET(_xlpm.t,LOWER(AZ164&amp;""),IF(ISNUMBER(SEARCH("dim",_xlpm.t)),"DIM",IF(ISNUMBER(SEARCH("dali",_xlpm.t)),"DALI",IF(OR(ISNUMBER(SEARCH("relay",_xlpm.t)),ISNUMBER(SEARCH("реле",_xlpm.t))),"Relay",IF(ISNUMBER(SEARCH("кнопк",_xlpm.t)),"",IFERROR(_xlfn.XLOOKUP(BC164,Коды_код,Коды_упр)&amp;"","")))))))</f>
        <v/>
      </c>
      <c r="DJ164" t="str">
        <f t="shared" si="310"/>
        <v/>
      </c>
      <c r="DK164">
        <f>IF(B164="","",_xlfn.LET(_xlpm.ig,IF(N(CX164)&gt;0,N(CX164),N(CI164)+IF(AJ164="вручную",0,N(CJ164))),_xlpm.n0,IFERROR(VLOOKUP(_xlpm.ig,Автомат_номиналы,2,TRUE),0),_xlpm.mn,MAX(DB164,IF(AJ164="вручную",0,N(CM164))),MAX(_xlpm.n0,_xlpm.mn,IF(DH164=1,Мин_автомат_БП,0))))</f>
        <v>16</v>
      </c>
      <c r="DL164">
        <f t="shared" si="311"/>
        <v>1</v>
      </c>
      <c r="DM164" t="str">
        <f t="shared" si="312"/>
        <v>2P</v>
      </c>
      <c r="DN164" t="str">
        <f>_xlfn.LET(_xlpm.cc,UPPER(TRIM(IFERROR(_xlfn.XLOOKUP(BC164,Коды_код,Коды_хар)&amp;"",""))),IF(OR(_xlpm.cc="B",_xlpm.cc="В"),"B",IF(_xlpm.cc="D","D","С")))</f>
        <v>С</v>
      </c>
      <c r="DO164" t="str">
        <f t="shared" si="313"/>
        <v>2P С16А 30мА</v>
      </c>
      <c r="DP164">
        <f t="shared" si="314"/>
        <v>16</v>
      </c>
      <c r="DQ164" t="str">
        <f t="shared" si="315"/>
        <v>2P С16А 30мА</v>
      </c>
      <c r="DR164" cm="1">
        <f t="array" ref="DR164">IF(DQ164="","",_xlfn.LET(_xlpm.t,SUBSTITUTE(SUBSTITUTE(SUBSTITUTE(UPPER(DQ164),"С","C"),"А","A"),"В","B"),_xlpm.tk,_xlfn.TEXTSPLIT(_xlpm.t," "),_xlpm.f,_xlfn._xlws.FILTER(_xlpm.tk,ISNUMBER(--MID(_xlpm.tk,2,1))*ISNUMBER(SEARCH(LEFT(_xlpm.tk,1)&amp;"#","B#C#D#"))*(LEN(_xlpm.tk)&gt;1),""),_xlpm.x,INDEX(_xlpm.f,1),IFERROR(--SUBSTITUTE(MID(_xlpm.x,2,9),"A",""),IFERROR(--SUBSTITUTE(INDEX(_xlfn._xlws.FILTER(_xlpm.tk,ISNUMBER(--SUBSTITUTE(_xlpm.tk,"A","")),""),1),"A",""),""))))</f>
        <v>16</v>
      </c>
      <c r="DS164" t="str">
        <f t="shared" si="316"/>
        <v>ok</v>
      </c>
      <c r="DT164">
        <f t="shared" si="317"/>
        <v>16</v>
      </c>
      <c r="DU164" t="str">
        <f t="shared" si="318"/>
        <v>2P С16А 30мА</v>
      </c>
      <c r="DV164">
        <f t="shared" si="319"/>
        <v>30</v>
      </c>
      <c r="DW164">
        <f t="shared" si="320"/>
        <v>1</v>
      </c>
      <c r="DX164">
        <f t="shared" si="321"/>
        <v>0</v>
      </c>
      <c r="DY164">
        <f t="shared" si="322"/>
        <v>1.6408902387494626</v>
      </c>
      <c r="DZ164">
        <f t="shared" si="323"/>
        <v>1</v>
      </c>
      <c r="EA164">
        <f>IF(ISNUMBER(AP164),AP164,К_прокл)</f>
        <v>1</v>
      </c>
      <c r="EB164">
        <f t="shared" si="324"/>
        <v>2</v>
      </c>
      <c r="EC164">
        <f>IFERROR(N(VLOOKUP(BZ164,Кабель_обозначение,3,FALSE)),1)</f>
        <v>1</v>
      </c>
      <c r="ED164">
        <f>IFERROR(N(_xlfn.XLOOKUP(A164,Щиты[Щит],Щиты[ΔU до шин, %])),0)</f>
        <v>1.57</v>
      </c>
      <c r="EE164" t="str">
        <f>IFERROR(_xlfn.XLOOKUP(A164,Щиты[Щит],Щиты[Zпетли на шинах, Ом]),"")</f>
        <v/>
      </c>
      <c r="EF164">
        <f>IFERROR(N(_xlfn.XLOOKUP(A164,Щиты[Щит],Щиты[ΔU до шин (подбор), %])),0)</f>
        <v>2.5</v>
      </c>
      <c r="EG164" t="str">
        <f>IFERROR(_xlfn.XLOOKUP(A164,Щиты[Щит],Щиты[Zпетли на шинах (подбор), Ом]),"")</f>
        <v/>
      </c>
      <c r="EH164" t="str">
        <f t="shared" si="325"/>
        <v/>
      </c>
      <c r="EI164">
        <f t="shared" si="326"/>
        <v>62</v>
      </c>
      <c r="EJ164">
        <f t="shared" si="327"/>
        <v>2</v>
      </c>
      <c r="EK164">
        <f t="shared" si="328"/>
        <v>0.31</v>
      </c>
      <c r="EL164" s="6">
        <f>IF(B164="","",IF(BV164=1,dU_LED,IF(IFERROR(_xlfn.XLOOKUP(BC164,Коды_код,Коды_уго),"")="Светильник",3,4)+IF(Методика="нормы 2026",MIN(0.5,MAX(0,N(P164)-100)*0.005),0)))</f>
        <v>4</v>
      </c>
      <c r="EM164" cm="1">
        <f t="array" ref="EM164">IF(OR(B164="",BZ164="",EC164&lt;&gt;1),"",_xlfn.LET(_xlpm.sz,Iдоп_S,_xlpm.t_,CHOOSE(EB164,Iдоп_1ж,Iдоп_2ж,Iдоп_3ж)*DZ164*EA164,_xlpm.dcx,BV164=1,_xlpm.inn,IF(_xlpm.dcx,N(O164),N(DT164)),_xlpm.smin,MAX(1.5,CC164),_xlpm.L_,N(P164)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164)/N(BU164)*100,999),IFERROR(N(EJ164)*(_xlpm.rho*_xlpm.L_/_xlpm.sz*N(CE164)+_xlpm.xx*_xlpm.L_*N(EK164)/1000)*N(O164)/((Uн_лин/SQRT(3))*1000)*100,999)),_xlpm.kz,IF(OR(_xlpm.dcx,DW164=1,NOT(ISNUMBER(EG164)),_xlpm.L_=0,_xlpm.inn=0),1,IFERROR(--(c_min*(Uн_лин*1000/SQRT(3))/(EG164+2*ρкз_Cu*_xlpm.L_/_xlpm.sz)&gt;=HT164*_xlpm.inn),0)),_xlpm.ok,IFERROR((_xlpm.sz&gt;=_xlpm.smin)*(_xlpm.t_&gt;=_xlpm.inn)*IF(_xlpm.L_&gt;0,(_xlpm.du_+IF(_xlpm.dcx,0,EF164)&lt;=EL164+0.00001),1)*_xlpm.kz,0),_xlpm.r_,_xlfn._xlws.FILTER(_xlpm.sz,_xlpm.ok,"не подобрано"),INDEX(_xlpm.r_,1)))</f>
        <v>2.5</v>
      </c>
      <c r="EN164">
        <f t="shared" si="329"/>
        <v>2.5</v>
      </c>
      <c r="EO164" cm="1">
        <f t="array" ref="EO164">IF(OR(B164="",BZ164="",EC164&lt;&gt;1),"",_xlfn.LET(_xlpm.sz,Iдоп_S,_xlpm.t_,CHOOSE(EB164,Iдоп_1ж,Iдоп_2ж,Iдоп_3ж)*DZ164*EA164,_xlpm.ok,IFERROR((_xlpm.sz&gt;=MAX(1.5,CC164))*(_xlpm.t_&gt;=N(DT164)),0),_xlpm.r_,_xlfn._xlws.FILTER(_xlpm.sz,_xlpm.ok,""),INDEX(_xlpm.r_,1)))</f>
        <v>1.5</v>
      </c>
      <c r="EP164" s="6" cm="1">
        <f t="array" ref="EP164">IFERROR(ROUNDUP(N(EJ164)*(_xlfn.XLOOKUP(EO164,INDEX(Кабель_сопротивление,0,1),INDEX(Кабель_сопротивление,0,3))*N(P164)/EO164*N(CE164)+_xlfn.XLOOKUP(EO164,INDEX(Кабель_сопротивление,0,1),INDEX(Кабель_сопротивление,0,2))*N(P164)*N(EK164)/1000)*N(O164)/((Uн_лин/SQRT(3))*1000)*100,2),"")</f>
        <v>1.69</v>
      </c>
      <c r="EQ164">
        <f>IFERROR(2*ρкз_Cu*N(P164)/EO164,"")</f>
        <v>2.9105333333333334</v>
      </c>
      <c r="ER164">
        <f>IFERROR(VLOOKUP(EN164,Кабель_сопротивление,3,FALSE),"")</f>
        <v>2.2499999999999999E-2</v>
      </c>
      <c r="ES164">
        <f>IFERROR(VLOOKUP(EN164,Кабель_сопротивление,2,FALSE),"")</f>
        <v>0.1</v>
      </c>
      <c r="ET164">
        <f t="shared" si="330"/>
        <v>48</v>
      </c>
      <c r="EU164">
        <f t="shared" si="331"/>
        <v>0</v>
      </c>
      <c r="EV164">
        <f t="shared" si="332"/>
        <v>2.337359537025717</v>
      </c>
      <c r="EW164" s="6">
        <f>IFERROR(ROUNDUP(EV164/IF(BV164=1,BU164,(Uн_лин/SQRT(3))*1000)*100,2),"")</f>
        <v>1.02</v>
      </c>
      <c r="EX164" t="str">
        <f>IFERROR(VLOOKUP(BZ164,Кабель_обозначение,2,FALSE),"")</f>
        <v>ВВГнг(А)-LS</v>
      </c>
      <c r="EY164" t="str">
        <f t="shared" si="333"/>
        <v>ВВГнг(А)-LS (3х2,5)</v>
      </c>
      <c r="EZ164" t="str">
        <f t="shared" si="334"/>
        <v>ВВГнг(А)-LS (3х2,5)
L=83-1,02%</v>
      </c>
      <c r="FA164">
        <f>IFERROR(2*ρкз_Cu*P164/EN164,"")</f>
        <v>1.7463200000000001</v>
      </c>
      <c r="FB164">
        <f t="shared" si="335"/>
        <v>0.58100000000000007</v>
      </c>
      <c r="FC164" s="6" t="str">
        <f>IFERROR(IF(OR(B164="",BV164=1,NOT(ISNUMBER(EN164)),N(P164)=0),"",_xlfn.XLOOKUP(A164,Щиты[Щит],Щиты[Zпетли на шинах, Ом])+FA164),"")</f>
        <v/>
      </c>
      <c r="FD164" s="6" t="str">
        <f>IF(ISNUMBER(FC164),c_min*(Uн_лин*1000/SQRT(3))/FC164,"")</f>
        <v/>
      </c>
      <c r="FE164" s="6" t="str">
        <f>IFERROR(IF(OR(B164="",NOT(ISNUMBER(EN164))),"",1.05*(Uн_лин*1000/SQRT(3))/(_xlfn.XLOOKUP(A164,Щиты[Щит],Щиты[Zmax на шинах, Ом])+FB164)/1000),"")</f>
        <v/>
      </c>
      <c r="FF164" s="6" t="str">
        <f>IF(B164="","",IF(ISNUMBER(AC164),"Сил",IF(IFERROR(_xlfn.XLOOKUP(BC164,Коды_код,Коды_группа)&amp;"","")="","Быт",_xlfn.XLOOKUP(BC164,Коды_код,Коды_группа)&amp;"")))</f>
        <v>Быт</v>
      </c>
      <c r="FG164" s="6" t="str">
        <f t="shared" si="336"/>
        <v>Быт</v>
      </c>
      <c r="FH164" s="6">
        <f>IF(FG164="Щит","щит",IF(FG164="","",IF(FG164="Быт",IFERROR(_xlfn.XLOOKUP(A164,Щиты[Щит],Щиты[Кс быт]),1),IF(FG164="Сил",IF(ISNUMBER(AC164),AC164,IF(Методика="нормы 2026",IFERROR(_xlfn.XLOOKUP(A164,Щиты[Щит],Щиты[Кс силовых (табл. 7.5)]),1),1)),IF(OR(FG164="Пост",FG164="Отоп"),1,IF(FG164="ВНГ",0.7,0))))))</f>
        <v>0.8</v>
      </c>
      <c r="FI164">
        <f>IF(FG164="","",IF(AND(BP164=1,TRIM(AE164&amp;"")=""),IF(COUNTIFS(Линии[Щит],A164,Линии[Секция (1/2/3)],"&gt;=2")&gt;0,MIN(3,MAX(1,IFERROR(--BD164,1))),1),IFERROR(MIN(3,MAX(1,INT(--AE164))),1)))</f>
        <v>1</v>
      </c>
      <c r="FJ164">
        <f t="shared" si="337"/>
        <v>0.36</v>
      </c>
      <c r="FK164">
        <f t="shared" si="338"/>
        <v>0.36</v>
      </c>
      <c r="FL164">
        <f t="shared" si="339"/>
        <v>0</v>
      </c>
      <c r="FM164">
        <f t="shared" si="340"/>
        <v>0</v>
      </c>
      <c r="FN164">
        <f t="shared" si="341"/>
        <v>0</v>
      </c>
      <c r="FO164">
        <f t="shared" si="342"/>
        <v>0</v>
      </c>
      <c r="FP164">
        <f t="shared" si="343"/>
        <v>0.36</v>
      </c>
      <c r="FQ164">
        <f t="shared" si="344"/>
        <v>0.36</v>
      </c>
      <c r="FR164">
        <f t="shared" si="345"/>
        <v>0.34199999999999997</v>
      </c>
      <c r="FS164">
        <f>IF(CG164=1,IF(AND(CH164=1,CW164=1),0,IF(AND(CS164&lt;&gt;"",CS164=BA164,CW164=1),SUMIFS(Линии[_Р линии, кВт],Линии[_блок УЗО],BA164,Линии[Щит],A164),N(BS164)+IF(AJ164="вручную",0,N(CK164)))),0)</f>
        <v>0.36</v>
      </c>
      <c r="FT164" t="str">
        <f t="shared" si="346"/>
        <v>L3</v>
      </c>
      <c r="FU164" t="str">
        <f>IF(B164="","",IF(CG164=0,IF(BA164=1,"",FW163),IF(AND(CH164=1,CW164=1,CS164&lt;&gt;""),IFERROR(_xlfn.XLOOKUP(CS164,Линии[_n],Линии[_фаза итог]),"L1"),IF(OR(N(DL164)&gt;=3,N(BX164)&gt;=3),"L1,L2,L3",IFERROR(_xlfn.TEXTBEFORE(_xlfn.TEXTAFTER(_xlfn.XLOOKUP(A164,Щиты[Щит],Щиты[_фазы авто]),";"&amp;BA164&amp;":"),";"),"L1")))))</f>
        <v>L1</v>
      </c>
      <c r="FV164" t="str">
        <f t="shared" si="347"/>
        <v>L3</v>
      </c>
      <c r="FW164" t="str">
        <f t="shared" si="348"/>
        <v>L3</v>
      </c>
      <c r="FX164" cm="1">
        <f t="array" ref="FX164">IFERROR(IF(CD164=2,_xlfn.IFS(BX164=3,VLOOKUP(BS164,Справочная_двигатели,3,FALSE),BX164=1,VLOOKUP(BS164,Справочная_двигатели,5,TRUE)),0),0)</f>
        <v>0</v>
      </c>
      <c r="FY164">
        <f>IFERROR(IF(CD164=3,VLOOKUP(BS164,Справочная_ЛЭД,2,TRUE),0),0)</f>
        <v>0</v>
      </c>
      <c r="FZ164" s="6">
        <f t="shared" si="349"/>
        <v>0</v>
      </c>
      <c r="GA164" t="str">
        <f>IF(B164="","",IF(TRIM(AH164&amp;"")&lt;&gt;"",IF(LOWER(TRIM(AH164&amp;""))="да","да","нет"),IF(IFERROR(_xlfn.XLOOKUP(BC164,Коды_код,Коды_пожарная),"")="да","да","нет")))</f>
        <v>нет</v>
      </c>
      <c r="GB164" t="str">
        <f t="shared" si="350"/>
        <v/>
      </c>
      <c r="GC164" t="str">
        <f t="shared" si="351"/>
        <v>основная</v>
      </c>
      <c r="GD164">
        <f>IF(AND(BP164=1,TRIM(AE164&amp;"")=""),IF(COUNTIFS(Линии[Щит],A164,Линии[Секция (1/2/3)],"&gt;=2")&gt;0,MIN(3,MAX(1,IFERROR(--BD164,1))),1),IFERROR(MIN(3,MAX(1,INT(--AE164))),1))</f>
        <v>1</v>
      </c>
      <c r="GE164" t="str" cm="1">
        <f t="array" ref="GE164">IF(B164="","",_xlfn.LET(_xlpm.t,IFERROR(_xlfn.XLOOKUP(1,(Шины[Шина]=GC164)*(((Шины[Щит]=A164)+(Шины[Щит]=""))&gt;0),Шины[Тип]),"")&amp;"",IF(_xlpm.t&lt;&gt;"",_xlpm.t,IF(ISNUMBER(SEARCH("ИБП",GC164)),"ИБП",IF(ISNUMBER(SEARCH("ДГУ",GC164)),"ДГУ","Ввод "&amp;GD164)))))</f>
        <v>Ввод 1</v>
      </c>
      <c r="GF164" t="str">
        <f t="shared" si="352"/>
        <v>Ввод 1</v>
      </c>
      <c r="GG164" t="str">
        <f>IF(BP164=0,"",IF(TRIM(AG164&amp;"")&lt;&gt;"",TRIM(AG164&amp;""),IF(OR(GE164="ИБП",GE164="ДГУ"),"I особая",_xlfn.XLOOKUP(A164,Щиты[Щит],Щиты[Категория шины «Ввод»],"III"))))</f>
        <v/>
      </c>
      <c r="GH164" t="str">
        <f>IF(A164="","",_xlfn.XLOOKUP(A164,Щиты[Щит],Щиты[Путь],""))</f>
        <v>|ГРЩ-ЖД|ЩР-001|</v>
      </c>
      <c r="GI164" t="str">
        <f>IF(B164="","",IF(AI164&lt;&gt;"",AI164,IF(IFERROR(_xlfn.XLOOKUP(BC164,Коды_код,Коды_вид)&amp;"","")="","Прочее",_xlfn.XLOOKUP(BC164,Коды_код,Коды_вид)&amp;"")))</f>
        <v>Розеточная сеть и бытовые приборы</v>
      </c>
      <c r="GJ164">
        <f>IF(BM164="","",INT((BM164-1)/Столбцов_на_лист)+1)</f>
        <v>2</v>
      </c>
      <c r="GK164" t="str">
        <f t="shared" si="353"/>
        <v>ВВГнг(А)-LS (3х2,5) L=83-1,02%</v>
      </c>
      <c r="GL164">
        <f t="shared" si="354"/>
        <v>0.36</v>
      </c>
      <c r="GM164">
        <f t="shared" si="355"/>
        <v>1.65</v>
      </c>
      <c r="GN164">
        <f t="shared" si="356"/>
        <v>1</v>
      </c>
      <c r="GO164">
        <f t="shared" si="357"/>
        <v>0</v>
      </c>
      <c r="GP164">
        <f t="shared" si="358"/>
        <v>1</v>
      </c>
      <c r="GQ164">
        <f>IF(BM164="","",IF(AND(CG164=1,GP164=1),COUNTIFS(A$3:A164,A164,CG$3:CG164,1,GP$3:GP164,1),IF(OR(OR(BA164=1,A164&lt;&gt;A163),AJ164="вручную",GP164=0),"",IF(BA164=1,"",GR163))))</f>
        <v>10</v>
      </c>
      <c r="GR164">
        <f t="shared" si="359"/>
        <v>10</v>
      </c>
      <c r="GS164">
        <f>IF(B164="","",IFERROR(LOOKUP(INDEX(CHOOSE(EB164,Iдоп_1ж,Iдоп_2ж,Iдоп_3ж),MATCH(EN164,Iдоп_S,0))*DZ164*EA164,{6,10,16,20,25,32,40,50,63,80,100,125,160,200,250,315,400,500,630}),""))</f>
        <v>25</v>
      </c>
      <c r="GT164" t="str">
        <f t="shared" si="360"/>
        <v>QFD10</v>
      </c>
      <c r="GU164" t="str">
        <f t="shared" si="361"/>
        <v>QFD10</v>
      </c>
      <c r="GV164" t="str">
        <f t="shared" si="362"/>
        <v/>
      </c>
      <c r="GW164">
        <f t="shared" si="363"/>
        <v>0</v>
      </c>
      <c r="GX164" t="str">
        <f>IF(OR(B164="",DJ164=""),"",IFERROR(_xlfn.XLOOKUP(DJ164,Модули_умолч[Управление],Модули_умолч[Модель])&amp;"",""))</f>
        <v/>
      </c>
      <c r="GY164">
        <f>IF(DJ164="",1,IFERROR(MAX(0,N(_xlfn.XLOOKUP(DJ164,Модули_умолч[Управление],Модули_умолч[Каналов на линию]))),1))</f>
        <v>1</v>
      </c>
      <c r="GZ164" t="str">
        <f t="shared" si="364"/>
        <v/>
      </c>
      <c r="HA164" t="str">
        <f t="shared" si="365"/>
        <v/>
      </c>
      <c r="HB164" t="str">
        <f t="shared" si="366"/>
        <v/>
      </c>
      <c r="HC164">
        <f>IF(HB164="",0,IFERROR(N(VLOOKUP(HB164,Модули_спр,3,FALSE)),0))</f>
        <v>0</v>
      </c>
      <c r="HD164" t="str">
        <f t="shared" si="367"/>
        <v/>
      </c>
      <c r="HE164" t="str">
        <f t="shared" si="368"/>
        <v/>
      </c>
      <c r="HF164" t="str">
        <f>IF(OR(HE164="",HE164="-"),"",IFERROR(VLOOKUP(HE164,Модули_спр,2,FALSE),"R"))</f>
        <v/>
      </c>
      <c r="HG164" t="str">
        <f>IF(HF164="","",HF164&amp;"."&amp;COUNTIFS(A$3:A164,A164,HF$3:HF164,HF164))</f>
        <v/>
      </c>
      <c r="HH164" t="str">
        <f t="shared" si="369"/>
        <v/>
      </c>
      <c r="HI164" t="str">
        <f t="shared" si="370"/>
        <v/>
      </c>
      <c r="HJ164" t="str">
        <f t="shared" si="371"/>
        <v/>
      </c>
      <c r="HK164" t="str">
        <f t="shared" si="372"/>
        <v/>
      </c>
      <c r="HL164">
        <f t="shared" si="373"/>
        <v>1</v>
      </c>
      <c r="HM164" t="str">
        <f>IF(HL164=1,"XT"&amp;COUNTIFS(A$3:A164,A164,HL$3:HL164,1),"")</f>
        <v>XT10</v>
      </c>
      <c r="HN164" t="str">
        <f t="shared" si="374"/>
        <v/>
      </c>
      <c r="HO164" t="str">
        <f t="shared" si="375"/>
        <v>QFD10</v>
      </c>
      <c r="HP164" t="str">
        <f t="shared" si="376"/>
        <v/>
      </c>
      <c r="HQ164" t="str">
        <f t="shared" si="377"/>
        <v>ok</v>
      </c>
      <c r="HR164" t="str">
        <f>IF(OR(HJ164="",HH164=""),"",IF(HJ164+MAX(0,GY164-1)&gt;IFERROR(VLOOKUP(HI164,Модули_спр,3,FALSE),99),"ЛИШНИЙ КАНАЛ",IF(AND(AL164&lt;&gt;"=",GY164&gt;0,COUNTIFS(Линии[_модуль гр.],HH164,Линии[Канал (итог)],HJ164,Линии[Канал],"&lt;&gt;=",Линии[Щит],A164)&gt;1),"ДУБЛЬ КАНАЛА","")))</f>
        <v/>
      </c>
      <c r="HS164" s="6" t="str">
        <f t="shared" si="378"/>
        <v/>
      </c>
      <c r="HT164">
        <f t="shared" si="379"/>
        <v>10</v>
      </c>
      <c r="HU164" t="str">
        <f t="shared" si="380"/>
        <v/>
      </c>
      <c r="HV164">
        <f t="shared" si="381"/>
        <v>1.4863560954997852</v>
      </c>
      <c r="HW164">
        <f t="shared" si="382"/>
        <v>0</v>
      </c>
      <c r="HX164">
        <f t="shared" si="383"/>
        <v>0</v>
      </c>
      <c r="HY164">
        <f t="shared" si="384"/>
        <v>0</v>
      </c>
      <c r="HZ164">
        <f t="shared" si="385"/>
        <v>0</v>
      </c>
      <c r="IA164">
        <f t="shared" si="386"/>
        <v>0</v>
      </c>
      <c r="IB164">
        <f t="shared" si="387"/>
        <v>0</v>
      </c>
      <c r="IC164" t="str">
        <f t="shared" si="388"/>
        <v/>
      </c>
      <c r="ID164" t="str" cm="1">
        <f t="array" ref="ID164">IF(IC164="","",_xlfn.LET(_xlpm.tk,_xlfn.TEXTSPLIT(SUBSTITUTE(SUBSTITUTE(IC164,";"," "),"→"," ")," ",,TRUE),_xlpm.w_,_xlfn._xlws.FILTER(_xlpm.tk,ISNUMBER(--LEFT(_xlpm.tk,1))*((ISNUMBER(SEARCH("W",_xlpm.tk))+ISNUMBER(SEARCH("Вт",_xlpm.tk)))&gt;0),""),IFERROR(--SUBSTITUTE(SUBSTITUTE(UPPER(INDEX(_xlpm.w_,1)),"W",""),"ВТ",""),"")))</f>
        <v/>
      </c>
      <c r="IE164" t="str" cm="1">
        <f t="array" ref="IE164">IF(IC164="","",_xlfn.LET(_xlpm.tk,_xlfn.TEXTSPLIT(SUBSTITUTE(SUBSTITUTE(IC164,";"," "),"→"," ")," ",,TRUE),_xlpm.v_,_xlfn._xlws.FILTER(_xlpm.tk,ISNUMBER(--LEFT(_xlpm.tk,1))*((ISNUMBER(SEARCH("V",_xlpm.tk))+(RIGHT(UPPER(_xlpm.tk))="В"))&gt;0),""),IFERROR(--SUBSTITUTE(SUBSTITUTE(UPPER(INDEX(_xlpm.v_,1)),"V",""),"В",""),"")))</f>
        <v/>
      </c>
      <c r="IF164" s="6" t="str">
        <f>IF(OR(BV164=0,HI164="",HJ164=""),"",IFERROR(N(_xlfn.XLOOKUP(HI164,Каталог!$C$4:$C$500,Каталог!$Q$4:$Q$500)),""))</f>
        <v/>
      </c>
      <c r="IG164" s="6" t="str">
        <f>IF(N(IF164)=0,"",SUMIFS(Линии[Iр, А],Линии[Щит],A164,Линии[_модуль гр.],HH164,Линии[Канал (итог)],HJ164))</f>
        <v/>
      </c>
      <c r="IH164" t="str">
        <f>IF(AND(B164="",HO164=""),"",_xlfn.TEXTJOIN("; ",TRUE,IF(AND(B164&lt;&gt;"",FV164=""),"нет фазы",""),IF(AND(B164&lt;&gt;"",N(GL164)=0,FG164&lt;&gt;"Нет"),"нет мощности",""),IF(AND(HN164&lt;&gt;"",COUNTIFS(Линии[Щит],A164,Линии[Клемма (итог)],HN164)&gt;1),"дубль клеммы "&amp;HN164,""),IF(AND(HQ164&lt;&gt;"",HQ164&lt;&gt;"ok"),HQ164,""),IF(HR164&lt;&gt;"",HR164,""),IF(AND(N(CB164)&gt;=4,N(BX164)=1),CB164&amp;" жил на 1 фазе",""),IF(AND(BC164="R",CG164=1,IF(CS164&lt;&gt;"",N(CV164)&gt;30,OR(N(DA164)=0,N(DA164)&gt;30))),"розетка без дифзащиты до 30 мА",""),IF(AND(CG164=1,N(DA164)&gt;0,ISNUMBER(T164)),IF(T164&gt;N(DA164)/3,"ток утечки "&amp;FIXED(T164,1)&amp;" мА &gt; 1/3 уставки ("&amp;DA164&amp;" мА)",""),""),IF(AND(CH164=1,CS164=""),"«узо»: нет строки с УЗО выше (УЗО 2P 40А 30мА в «Аппаратах»)",""),IF(AND(CS164&lt;&gt;"",CS164=BA164),IF(CT164="","впишите номинал УЗО (УЗО 2P 40А 30мА)",IF(N(CT164)&lt;N(DT164),"УЗО "&amp;CT164&amp;" А &lt; автомата "&amp;DT164&amp;" А перед ним",IF(N(CT164)&lt;N(CX164),"УЗО "&amp;CT164&amp;" А &lt; тока блока "&amp;FIXED(CX164,1)&amp;" А",""))),""),IF(AND(CS164&lt;&gt;"",CS164=BA164,ISNUMBER(CY164)),IF(CY164&gt;N(CV164)/3,"ток утечки блока УЗО "&amp;FIXED(CY164,1)&amp;" мА &gt; 1/3 уставки ("&amp;CV164&amp;" мА)",""),""),IF(AND(CG164=1,N(BV164)+N(IB164)&gt;0,IC164=""),"линии до 50 В без БП: впишите в «Аппараты» (БП 24V 480W)",""),IF(AND(CG164=1,ISNUMBER(ID164),ISNUMBER(U164)),IF(U164&gt;ID164,"БП "&amp;ID164&amp;" Вт &lt; нужно "&amp;U164&amp;" Вт (×"&amp;Запас_БП&amp;")",""),""),IF(AND(CG164=1,ISNUMBER(IE164),N(BV164)=1),IF(IE164&lt;&gt;N(BU164),"БП на "&amp;IE164&amp;" В, линия "&amp;BU164&amp;" В",""),""),IF(AND(N(IF164)&gt;0,N(IG164)&gt;N(IF164)),HH164&amp;" канал "&amp;HJ164&amp;": "&amp;FIXED(IG164,1)&amp;" А &gt; "&amp;IF164&amp;" А",""),IFERROR(IF(AND(ISNUMBER(Q164),Q164&gt;EL164),"потери "&amp;FIXED(Q164,1)&amp;" % &gt; "&amp;EL164&amp;" %",""),""),IFERROR(IF(LEFT(HU164,4)="мало","Iкз мало — отключение &gt; 0,4 с",""),""),IF(AND(B164&lt;&gt;"",BM164=""),"не на схеме",""),IF(AND(CG164=0,B164&lt;&gt;"",FV164&lt;&gt;"",IF(BA164=1,"",FW163)&lt;&gt;"",FV164&lt;&gt;IF(BA164=1,"",FW163)),"фаза не как у автомата группы ("&amp;IF(BA164=1,"",FW163)&amp;")","")))</f>
        <v/>
      </c>
      <c r="II164" s="6">
        <f>IF(OR(CG164=0,DQ164=""),"",_xlfn.LET(_xlpm.t,IFERROR(_xlfn.XLOOKUP(DQ164,Каталог!$U$4:$U$500,Каталог!$G$4:$G$500),""),_xlpm.k,SEARCH("кА",_xlpm.t),IFERROR(--TRIM(RIGHT(SUBSTITUTE(MID(_xlpm.t,MAX(1,_xlpm.k-4),_xlpm.k-MAX(1,_xlpm.k-4))," ",REPT(" ",9)),5)),"")))</f>
        <v>6</v>
      </c>
      <c r="IJ164" t="str">
        <f>IF(OR(II164="",CG164=0),"",IF(_xlfn.XLOOKUP(A164,Щиты[Щит],Щиты[Iкз max на шинах, кА],"")="","",IF(II164&lt;_xlfn.XLOOKUP(A164,Щиты[Щит],Щиты[Iкз max на шинах, кА]),"Icu "&amp;II164&amp;" кА &lt; Iкз max","ok")))</f>
        <v/>
      </c>
      <c r="IK164" t="str">
        <f t="shared" si="389"/>
        <v/>
      </c>
      <c r="IL164" t="str">
        <f t="shared" si="390"/>
        <v>QFD10</v>
      </c>
      <c r="IM164" t="str">
        <f t="shared" si="391"/>
        <v>QFD10|кабель ВВГнг(А)-LS (3х2,5) → Розеточная группа, пом. 004А</v>
      </c>
      <c r="IN164" t="str" cm="1">
        <f t="array" ref="IN164">IF(IM164="","",_xlfn.LET(_xlpm.nd,_xlfn.TEXTSPLIT(IM164,"|"),IF(COLUMNS(_xlpm.nd)&gt;1,A164&amp;"¦"&amp;INDEX(_xlpm.nd,1)&amp;"¦"&amp;INDEX(_xlpm.nd,2),"")))</f>
        <v>ЩР-001¦QFD10¦кабель ВВГнг(А)-LS (3х2,5) → Розеточная группа, пом. 004А</v>
      </c>
      <c r="IO164" t="str">
        <f t="shared" si="392"/>
        <v>R.00.004А.1¦Розеточная группа, пом. 004А</v>
      </c>
      <c r="IP164" t="str" cm="1">
        <f t="array" ref="IP164">IF(IM164="","",_xlfn.LET(_xlpm.nd,_xlfn.TEXTSPLIT(IM164,"|"),IF(COLUMNS(_xlpm.nd)&gt;2,A164&amp;"¦"&amp;INDEX(_xlpm.nd,2)&amp;"¦"&amp;INDEX(_xlpm.nd,3),"")))</f>
        <v/>
      </c>
      <c r="IQ164" t="str">
        <f t="shared" si="393"/>
        <v/>
      </c>
      <c r="IR164" t="str" cm="1">
        <f t="array" ref="IR164">IF(IM164="","",_xlfn.LET(_xlpm.nd,_xlfn.TEXTSPLIT(IM164,"|"),IF(COLUMNS(_xlpm.nd)&gt;3,A164&amp;"¦"&amp;INDEX(_xlpm.nd,3)&amp;"¦"&amp;INDEX(_xlpm.nd,4),"")))</f>
        <v/>
      </c>
      <c r="IS164" t="str">
        <f t="shared" si="394"/>
        <v/>
      </c>
      <c r="IT164" t="str" cm="1">
        <f t="array" ref="IT164">IF(IM164="","",_xlfn.LET(_xlpm.nd,_xlfn.TEXTSPLIT(IM164,"|"),IF(COLUMNS(_xlpm.nd)&gt;4,A164&amp;"¦"&amp;INDEX(_xlpm.nd,4)&amp;"¦"&amp;INDEX(_xlpm.nd,5),"")))</f>
        <v/>
      </c>
      <c r="IU164" t="str">
        <f t="shared" si="395"/>
        <v/>
      </c>
      <c r="IV164" t="str" cm="1">
        <f t="array" ref="IV164">IF(IM164="","",_xlfn.LET(_xlpm.nd,_xlfn.TEXTSPLIT(IM164,"|"),IF(COLUMNS(_xlpm.nd)&gt;5,A164&amp;"¦"&amp;INDEX(_xlpm.nd,5)&amp;"¦"&amp;INDEX(_xlpm.nd,6),"")))</f>
        <v/>
      </c>
      <c r="IW164" t="str">
        <f t="shared" si="396"/>
        <v/>
      </c>
      <c r="IX164" t="str" cm="1">
        <f t="array" ref="IX164">IF(IM164="","",_xlfn.LET(_xlpm.nd,_xlfn.TEXTSPLIT(IM164,"|"),IF(COLUMNS(_xlpm.nd)&gt;6,A164&amp;"¦"&amp;INDEX(_xlpm.nd,6)&amp;"¦"&amp;INDEX(_xlpm.nd,7),"")))</f>
        <v/>
      </c>
      <c r="IY164" t="str">
        <f t="shared" si="397"/>
        <v/>
      </c>
      <c r="IZ164" t="str">
        <f t="shared" si="398"/>
        <v/>
      </c>
      <c r="JA164" t="str">
        <f t="shared" si="399"/>
        <v>QFD10</v>
      </c>
      <c r="JB164">
        <f t="shared" si="400"/>
        <v>0</v>
      </c>
      <c r="JC164">
        <f t="shared" si="401"/>
        <v>1</v>
      </c>
      <c r="JD164" t="str">
        <f t="shared" si="402"/>
        <v/>
      </c>
      <c r="JE164" t="str">
        <f t="shared" si="403"/>
        <v/>
      </c>
      <c r="JF164" t="str">
        <f t="shared" si="404"/>
        <v/>
      </c>
      <c r="JG164" t="str">
        <f t="shared" si="405"/>
        <v/>
      </c>
      <c r="JH164" t="str">
        <f>IF(B164="","",IFERROR(_xlfn.XLOOKUP(B164,Коды_код,Коды_уго),IFERROR(_xlfn.XLOOKUP(BC164,Коды_код,Коды_уго),IFERROR(_xlfn.XLOOKUP(LEFT(BC164,2),Коды_код,Коды_уго),""))))</f>
        <v>Розетка</v>
      </c>
      <c r="JI164" t="str">
        <f>IF(B164="","",IF(OR(JH164="",JH164=0),"BOX",IFERROR(IF(VLOOKUP(JH164,УГО_блоки,3,FALSE)&amp;""&lt;&gt;"",VLOOKUP(JH164,УГО_блоки,3,FALSE),VLOOKUP(JH164,УГО_блоки,2,FALSE)),JH164)))</f>
        <v>SOCKET</v>
      </c>
      <c r="JJ164">
        <f t="shared" si="406"/>
        <v>1</v>
      </c>
      <c r="JK164" t="str">
        <f>IF(DQ164="","",IF(COUNTIF(DQ$3:DQ164,DQ164)=1,MAX(JK$2:JK163)+1,""))</f>
        <v/>
      </c>
      <c r="JL164" t="str">
        <f>IF(DE164="","",IF(COUNTIF(DE$3:DE164,DE164)+COUNTIF(DF$2:DF163,DE164)+COUNTIF(DG$2:DG163,DE164)=1,MAX(JL$2:JN163)+1,""))</f>
        <v/>
      </c>
      <c r="JM164" t="str">
        <f>IF(DF164="","",IF(COUNTIF(DE$3:DE164,DF164)+COUNTIF(DF$3:DF164,DF164)+COUNTIF(DG$2:DG163,DF164)=1,MAX(JL$2:JN163,JL164)+1,""))</f>
        <v/>
      </c>
      <c r="JN164" t="str">
        <f>IF(DG164="","",IF(COUNTIF(DE$3:DE164,DG164)+COUNTIF(DF$3:DF164,DG164)+COUNTIF(DG$3:DG164,DG164)=1,MAX(JL$2:JN163,JL164,JM164)+1,""))</f>
        <v/>
      </c>
      <c r="JO164" t="str">
        <f t="shared" si="407"/>
        <v>3х2,5</v>
      </c>
      <c r="JP164" t="str">
        <f>IF(JO164="","",IF(COUNTIF(JO$3:JO164,JO164)=1,MAX(JP$2:JP163)+1,""))</f>
        <v/>
      </c>
      <c r="JQ164" t="str">
        <f>IF(HG164="","",COUNTIF(HG$3:HG164,"?*"))</f>
        <v/>
      </c>
      <c r="JR164" t="str">
        <f>IF(OR(HG164="",HI164=""),"",IF(COUNTIFS(HG$3:HG164,"?*",HI$3:HI164,HI164)=1,MAX(JR$2:JR163)+1,""))</f>
        <v/>
      </c>
      <c r="JS164">
        <f t="shared" si="408"/>
        <v>0</v>
      </c>
      <c r="JT164">
        <f>IF(B164="","",COUNTIF(B$3:B164,"?*"))</f>
        <v>162</v>
      </c>
      <c r="JU164">
        <f>IF(HL164&lt;&gt;1,0,_xlfn.LET(_xlpm.k,MAX(IFERROR(--_xlfn.XLOOKUP(B164,Коды_код,Коды_3L),0),IFERROR(--_xlfn.XLOOKUP(BC164,Коды_код,Коды_3L),0),IFERROR(--_xlfn.XLOOKUP(LEFT(BC164,2),Коды_код,Коды_3L),0)),IF(_xlpm.k&gt;0,_xlpm.k,IF(IFERROR(--LEFT(SUBSTITUTE(JO164,"x","х"),FIND("х",SUBSTITUTE(JO164,"x","х"))-1),3)&gt;3,Каталог!$S$9,1))))</f>
        <v>1</v>
      </c>
      <c r="JV164">
        <f t="shared" si="409"/>
        <v>0</v>
      </c>
      <c r="JW164" t="str">
        <f t="shared" si="410"/>
        <v>авто</v>
      </c>
      <c r="JX164">
        <f t="shared" si="411"/>
        <v>30</v>
      </c>
      <c r="JY164">
        <f t="shared" si="412"/>
        <v>1</v>
      </c>
      <c r="JZ164">
        <f t="shared" si="413"/>
        <v>1</v>
      </c>
    </row>
    <row r="165" spans="1:286" x14ac:dyDescent="0.3">
      <c r="A165" t="s">
        <v>753</v>
      </c>
      <c r="B165" t="s">
        <v>1473</v>
      </c>
      <c r="C165" t="str">
        <f>Линии[[#This Row],[_авто наименование]]</f>
        <v>Розеточная группа, пом. 001А</v>
      </c>
      <c r="D165">
        <v>1</v>
      </c>
      <c r="E165">
        <v>0.12</v>
      </c>
      <c r="G165">
        <v>16</v>
      </c>
      <c r="H165" t="str">
        <f>Линии[[#This Row],[_авто управление]]</f>
        <v/>
      </c>
      <c r="I165" t="str">
        <f>Линии[[#This Row],[_авто аппараты]]</f>
        <v/>
      </c>
      <c r="J165">
        <v>2.5</v>
      </c>
      <c r="K165">
        <v>35</v>
      </c>
      <c r="L165">
        <v>1</v>
      </c>
      <c r="M165" t="str">
        <f>Линии[[#This Row],[_авто клемма]]</f>
        <v>XT11</v>
      </c>
      <c r="N165" t="str">
        <f t="shared" si="276"/>
        <v/>
      </c>
      <c r="O165" s="6" cm="1">
        <f t="array" ref="O165">IF(B165="","",IF(BH165&lt;&gt;"",IFERROR(_xlfn.XLOOKUP(BH165,Щиты[Щит],Щиты[Iр, А]),""),IF(BP165=1,IF(OR(N(_xlfn.XLOOKUP(A165,Щиты[Щит],Щиты[Вводов],1))&lt;=1,LOWER(TRIM(_xlfn.XLOOKUP(A165,Щиты[Щит],Щиты[АВР],"")&amp;""))="да"),IFERROR(_xlfn.XLOOKUP(A165,Щиты[Щит],Щиты[Iр, А]),""),IFERROR(N(BS165)*_xlfn.XLOOKUP(A165,Щиты[Щит],Щиты[Кс итог])/(SQRT(3)*Uн_лин*_xlfn.XLOOKUP(A165,Щиты[Щит],Щиты[cos φ])),"")),IF(BV165=1,IFERROR(BS165*1000/BU165,""),IFERROR(_xlfn.IFS(BX165=1,BS165/((Uн_лин/SQRT(3))*CE165),BX165=3,BS165/(SQRT(3)*Uн_лин*CE165)),"")))))</f>
        <v>0.54696341291648753</v>
      </c>
      <c r="P165" s="7">
        <f>IF(B165="","",IFERROR(IF(VLOOKUP(BC165,Потребители_обозначение,4,FALSE)=1,VLOOKUP(BC165,Потребители_обозначение,3,FALSE)*(MAX(1,N(D165))*2-1)+EI165+VLOOKUP(BE165,Этаж_обозначение,3,FALSE)+VLOOKUP(BE165,Этаж_обозначение,4,FALSE),VLOOKUP(BC165,Потребители_обозначение,3,FALSE)*(MAX(1,N(D165))*2-1)+EI165),EI165))</f>
        <v>38</v>
      </c>
      <c r="Q165" s="6">
        <f t="shared" si="277"/>
        <v>1.73</v>
      </c>
      <c r="R165" t="str">
        <f t="shared" si="278"/>
        <v>ВВГнг(А)-LS (3х2,5)</v>
      </c>
      <c r="S165" t="str">
        <f>IF(BM165="","",IF(BN165="вводной узел","узел ","")&amp;"л."&amp;(INT((BM165-1)/Столбцов_на_лист)+1)&amp;" / "&amp;(MOD(BM165-1,Столбцов_на_лист)+1))</f>
        <v>л.2 / 3</v>
      </c>
      <c r="T165" s="119">
        <f t="shared" si="279"/>
        <v>0.6</v>
      </c>
      <c r="U165" s="7" t="str">
        <f>IF(OR(CG165=0,N(BV165)+N(IB165)=0),"",ROUNDUP(Запас_БП*(N(HY165)+N(HZ165)),0))</f>
        <v/>
      </c>
      <c r="V165" s="119" t="str">
        <f t="shared" si="280"/>
        <v/>
      </c>
      <c r="W165" s="7" t="str">
        <f>IFERROR(IF(OR(B165="",BP165=1,BV165=1,NOT(ISNUMBER(EN165)),N(DT165)=0),"",MAX(0,ROUNDDOWN((c_min*(Uн_лин*1000/SQRT(3))/(HT165*N(DT165))-_xlfn.XLOOKUP(A165,Щиты[Щит],Щиты[Zпетли на шинах, Ом]))*EN165/(2*ρкз_Cu),0))),"")</f>
        <v/>
      </c>
      <c r="Y165">
        <f>Линии[[#This Row],[_авто утечка]]</f>
        <v>30</v>
      </c>
      <c r="Z165">
        <v>1</v>
      </c>
      <c r="AA165">
        <v>230</v>
      </c>
      <c r="AB165" t="s">
        <v>562</v>
      </c>
      <c r="AG165" t="s">
        <v>810</v>
      </c>
      <c r="AI165" t="s">
        <v>561</v>
      </c>
      <c r="AK165" t="str">
        <f>Линии[[#This Row],[_авто модуль]]</f>
        <v/>
      </c>
      <c r="AM165">
        <v>20</v>
      </c>
      <c r="AN165" t="s">
        <v>11</v>
      </c>
      <c r="AO165">
        <v>3</v>
      </c>
      <c r="AQ165">
        <v>29</v>
      </c>
      <c r="AR165">
        <v>9</v>
      </c>
      <c r="BA165" cm="1">
        <f t="array" ref="BA165">ROW()-ROW(Линии[#Headers])</f>
        <v>163</v>
      </c>
      <c r="BC165" s="6" t="str">
        <f t="shared" si="281"/>
        <v>R</v>
      </c>
      <c r="BD165" t="str">
        <f t="shared" si="282"/>
        <v>00.001А.2</v>
      </c>
      <c r="BE165" t="str">
        <f t="shared" si="283"/>
        <v>00</v>
      </c>
      <c r="BF165" t="str">
        <f t="shared" si="284"/>
        <v>001А.2</v>
      </c>
      <c r="BG165" t="str">
        <f t="shared" si="285"/>
        <v>001А</v>
      </c>
      <c r="BH165" t="str">
        <f>IF(X165&lt;&gt;"",X165,IF(AND(B165&lt;&gt;"",B165&lt;&gt;A165,ISNUMBER(_xlfn.XMATCH(B165,Щиты[Щит]))),B165,""))</f>
        <v/>
      </c>
      <c r="BI165" t="str" cm="1">
        <f t="array" ref="BI165">IF(B165="","",IF(BH165&lt;&gt;"","Щит "&amp;BH165,_xlfn.LET(_xlpm.nm,IFERROR(_xlfn.XLOOKUP(BC165,Коды_код,Коды_имя)&amp;"",""),_xlpm.md,IFERROR(N(_xlfn.XLOOKUP(BC165,Коды_код,Коды_режим)),1),_xlpm.ex,IF(Имя_режим="по экспликации",IFERROR(_xlfn.XLOOKUP(BE165&amp;"|"&amp;BG165,Экспликация[Этаж]&amp;"|"&amp;Экспликация[Помещение],Экспликация[Название])&amp;"",""),""),_xlpm.rm,IF(BG165="","",IF(_xlpm.ex&lt;&gt;"",". "&amp;_xlpm.ex&amp;IF(Имя_пом="нет"," ("&amp;BG165&amp;")"," (пом. "&amp;BG165&amp;")"),IF(Имя_пом="нет"," ",", пом. ")&amp;BG165)),IF(_xlpm.nm="","",IF(_xlpm.md=2,_xlpm.nm&amp;" шлейф "&amp;BE165,_xlpm.nm&amp;_xlpm.rm)))))</f>
        <v>Розеточная группа, пом. 001А</v>
      </c>
      <c r="BJ165" t="str">
        <f t="shared" si="286"/>
        <v>Розеточная группа, пом. 001А</v>
      </c>
      <c r="BK165">
        <f>IFERROR(_xlfn.XMATCH(A165,Щиты[Щит]),0)</f>
        <v>8</v>
      </c>
      <c r="BL165">
        <f>_xlfn.LET(_xlpm.k,IFERROR(_xlfn.XLOOKUP(A165,Щиты[Щит],Щиты[Мест под вводной узел]),""),IF(_xlpm.k="",Столбцов_на_лист,N(_xlpm.k)))</f>
        <v>7</v>
      </c>
      <c r="BM165">
        <f t="shared" si="287"/>
        <v>20</v>
      </c>
      <c r="BN165" t="str">
        <f t="shared" si="288"/>
        <v>линии</v>
      </c>
      <c r="BO165" s="6">
        <f>IFERROR(N(_xlfn.XLOOKUP(BC165,Коды_код,Коды_квт)),0)</f>
        <v>0</v>
      </c>
      <c r="BP165">
        <f t="shared" si="289"/>
        <v>0</v>
      </c>
      <c r="BQ165" t="str">
        <f>IF(B165="","",IF(BH165&lt;&gt;"",IFERROR(_xlfn.XLOOKUP(BH165,Щиты[Щит],Щиты[Руст, кВт]),0),IF(BP165=1,IF(OR(N(_xlfn.XLOOKUP(A165,Щиты[Щит],Щиты[Вводов],1))&lt;=1,LOWER(TRIM(_xlfn.XLOOKUP(A165,Щиты[Щит],Щиты[АВР],"")&amp;""))="да"),IFERROR(_xlfn.XLOOKUP(A165,Щиты[Щит],Щиты[Руст, кВт]),0),SUMIFS(Линии[_Р для вводов],Линии[Щит],A165,Линии[Источник для режимов],GF165)),IF(BO165&gt;0,ROUND(BO165*MAX(1,N(D165)),3),""))))</f>
        <v/>
      </c>
      <c r="BR165">
        <f t="shared" si="290"/>
        <v>0.12</v>
      </c>
      <c r="BS165" s="6">
        <f>IF(B165="","",IF(BH165&lt;&gt;"",IFERROR(_xlfn.XLOOKUP(BH165,Щиты[Щит],Щиты[Руст, кВт]),0),N(BR165)))</f>
        <v>0.12</v>
      </c>
      <c r="BT165" t="str">
        <f>IF(B165="","",IFERROR(IF(VLOOKUP(BC165,Потребители_обозначение,8,FALSE)=0,"",VLOOKUP(BC165,Потребители_обозначение,8,FALSE)),""))</f>
        <v/>
      </c>
      <c r="BU165">
        <f t="shared" si="291"/>
        <v>230</v>
      </c>
      <c r="BV165">
        <f t="shared" si="292"/>
        <v>0</v>
      </c>
      <c r="BW165">
        <f>IF(B165="","",IF(BH165&lt;&gt;"",3,IFERROR(IF(N(VLOOKUP(BC165,Потребители_обозначение,9,FALSE))=0,1,VLOOKUP(BC165,Потребители_обозначение,9,FALSE)),1)))</f>
        <v>1</v>
      </c>
      <c r="BX165">
        <f t="shared" si="293"/>
        <v>1</v>
      </c>
      <c r="BY165" t="str">
        <f>IF(B165="","",_xlfn.LET(_xlpm.bc,IFERROR(IF(VLOOKUP(BC165,Потребители_обозначение,6,FALSE)=0,"",VLOOKUP(BC165,Потребители_обозначение,6,FALSE)&amp;""),""),IF(AND(GA165="да",OR(_xlpm.bc="",_xlpm.bc="мс")),Марка_пож,IF(AND(_xlpm.bc="",BH165&lt;&gt;""),"мс",_xlpm.bc))))</f>
        <v/>
      </c>
      <c r="BZ165" t="str">
        <f t="shared" si="294"/>
        <v>мс</v>
      </c>
      <c r="CA165">
        <f>IF(B165="","",_xlfn.LET(_xlpm.cc,IFERROR(N(VLOOKUP(BC165,Потребители_обозначение,7,FALSE)),0),IF(_xlpm.cc&gt;0,_xlpm.cc,IF(BZ165="","",IF(BV165=1,2,IF(N(BX165)=3,5,3))))))</f>
        <v>3</v>
      </c>
      <c r="CB165">
        <f t="shared" si="295"/>
        <v>3</v>
      </c>
      <c r="CC165">
        <f>IFERROR(N(VLOOKUP(BC165,Потребители_обозначение,10,FALSE)),0)</f>
        <v>0</v>
      </c>
      <c r="CD165">
        <f>IFERROR(VLOOKUP(BC165,Потребители_обозначение,5,FALSE),0)</f>
        <v>1</v>
      </c>
      <c r="CE165" s="6" cm="1">
        <f t="array" ref="CE165">IF(B165="","",IF(BH165&lt;&gt;"",IFERROR(_xlfn.XLOOKUP(BH165,Щиты[Щит],Щиты[cos φ]),0.95),IF(BP165=1,IFERROR(_xlfn.XLOOKUP(A165,Щиты[Щит],Щиты[cos φ]),0.95),IF(ISNUMBER(AD165),AD165,IFERROR(IF(CD165=2,_xlfn.IFS(BX165=3,VLOOKUP(BS165,Справочная_двигатели,8,FALSE),BX165=1,VLOOKUP(BS165,Справочная_двигатели,10,TRUE)),IF(AND(Методика="нормы 2026",FG165="Сил"),0.8,0.95)),0.95)))))</f>
        <v>0.95</v>
      </c>
      <c r="CF165">
        <f t="shared" si="296"/>
        <v>0</v>
      </c>
      <c r="CG165">
        <f t="shared" si="297"/>
        <v>1</v>
      </c>
      <c r="CH165">
        <f t="shared" si="298"/>
        <v>0</v>
      </c>
      <c r="CI165">
        <f>IF(B165="","",IF(BV165=1,IFERROR(BS165/((Uн_лин/SQRT(3))*MAX(0.5,N(CE165))),0),N(O165)))</f>
        <v>0.54696341291648753</v>
      </c>
      <c r="CJ165">
        <f t="shared" si="299"/>
        <v>0</v>
      </c>
      <c r="CK165">
        <f t="shared" si="300"/>
        <v>0</v>
      </c>
      <c r="CL165">
        <f t="shared" si="301"/>
        <v>0</v>
      </c>
      <c r="CM165">
        <f t="shared" si="302"/>
        <v>0</v>
      </c>
      <c r="CN165">
        <f t="shared" si="303"/>
        <v>0</v>
      </c>
      <c r="CO165">
        <f>IF(BC165="",0,_xlfn.LET(_xlpm.v,IFERROR(_xlfn.XLOOKUP(B165,Коды_код,Коды_мА),IFERROR(_xlfn.XLOOKUP(BC165,Коды_код,Коды_мА),IFERROR(_xlfn.XLOOKUP(LEFT(BC165,2),Коды_код,Коды_мА),""))),IF(_xlpm.v="да",30,IF(ISNUMBER(_xlpm.v),_xlpm.v,0))))</f>
        <v>30</v>
      </c>
      <c r="CP165">
        <f t="shared" si="304"/>
        <v>30</v>
      </c>
      <c r="CQ165" t="str">
        <f>_xlfn.LET(_xlpm.k,IFERROR(_xlfn.XLOOKUP(BC165,Коды_код,Коды_утечка)&amp;"",""),IF(_xlpm.k="","дифавтомат",_xlpm.k))</f>
        <v>дифавтомат</v>
      </c>
      <c r="CR165" t="str" cm="1">
        <f t="array" ref="CR165">IF(CG165=0,"",_xlfn.LET(_xlpm.sg,TRIM(_xlfn.TEXTSPLIT(DD165&amp;"",";")),_xlpm.f_,_xlfn._xlws.FILTER(_xlpm.sg,LEFT(_xlpm.sg,3)="УЗО",""),IFERROR(INDEX(_xlpm.f_,1)&amp;"","")))</f>
        <v/>
      </c>
      <c r="CS165" t="str">
        <f t="shared" si="305"/>
        <v/>
      </c>
      <c r="CT165" s="6" t="str" cm="1">
        <f t="array" ref="CT165">IF(CR165="","",_xlfn.LET(_xlpm.tk,_xlfn.TEXTSPLIT(UPPER(CR165)," ",,TRUE),_xlpm.a_,_xlfn._xlws.FILTER(_xlpm.tk,ISNUMBER(--LEFT(_xlpm.tk,1))*((ISNUMBER(SEARCH("А",_xlpm.tk))+ISNUMBER(SEARCH("A",_xlpm.tk)))&gt;0)*NOT(ISNUMBER(SEARCH("МА",_xlpm.tk)))*NOT(ISNUMBER(SEARCH("MA",_xlpm.tk))),""),IFERROR(--SUBSTITUTE(SUBSTITUTE(INDEX(_xlpm.a_,1),"А",""),"A",""),"")))</f>
        <v/>
      </c>
      <c r="CU165" t="str" cm="1">
        <f t="array" ref="CU165">IF(CR165="","",_xlfn.LET(_xlpm.tk,_xlfn.TEXTSPLIT(UPPER(CR165)," ",,TRUE),_xlpm.a_,_xlfn._xlws.FILTER(_xlpm.tk,ISNUMBER(--LEFT(_xlpm.tk,1))*((ISNUMBER(SEARCH("МА",_xlpm.tk))+ISNUMBER(SEARCH("MA",_xlpm.tk)))&gt;0),""),IFERROR(--SUBSTITUTE(SUBSTITUTE(INDEX(_xlpm.a_,1),"МА",""),"MA",""),30)))</f>
        <v/>
      </c>
      <c r="CV165" t="str">
        <f>IF(CS165="","",IFERROR(_xlfn.XLOOKUP(CS165,Линии[_n],Линии[_УЗО, мА]),30))</f>
        <v/>
      </c>
      <c r="CW165">
        <f>IF(CS165="",0,IF(ISNUMBER(SEARCH("4P",IFERROR(_xlfn.XLOOKUP(CS165,Линии[_n],Линии[_УЗО строки])&amp;"",""))),0,1))</f>
        <v>0</v>
      </c>
      <c r="CX165" t="str">
        <f>IF(AND(CS165&lt;&gt;"",CS165=BA165),SUMIFS(Линии[_ток на 230 В],Линии[_блок УЗО],BA165,Линии[Щит],A165),"")</f>
        <v/>
      </c>
      <c r="CY165" t="str">
        <f>IF(AND(CS165&lt;&gt;"",CS165=BA165),SUMIFS(Линии[_ток утечки линии, мА],Линии[_блок УЗО],BA165,Линии[Щит],A165),"")</f>
        <v/>
      </c>
      <c r="CZ165">
        <f t="shared" si="306"/>
        <v>30</v>
      </c>
      <c r="DA165">
        <f t="shared" si="307"/>
        <v>30</v>
      </c>
      <c r="DB165">
        <f>IF(B165="",0,IFERROR(--_xlfn.XLOOKUP(B165,Коды_код,Коды_минавт),IFERROR(--_xlfn.XLOOKUP(BC165,Коды_код,Коды_минавт),IFERROR(--_xlfn.XLOOKUP(LEFT(BC165,2),Коды_код,Коды_минавт),0))))</f>
        <v>16</v>
      </c>
      <c r="DC165" t="str">
        <f>IF(B165="","",IFERROR(_xlfn.XLOOKUP(BC165,Коды_код,Коды_апп)&amp;"",""))</f>
        <v/>
      </c>
      <c r="DD165" t="str">
        <f t="shared" si="308"/>
        <v/>
      </c>
      <c r="DE165" t="str" cm="1">
        <f t="array" ref="DE165">IF(TRIM(DD165&amp;"")="","",IFERROR(TRIM(INDEX(_xlfn.TEXTSPLIT(DD165&amp;";;;",";"),1)),""))</f>
        <v/>
      </c>
      <c r="DF165" t="str" cm="1">
        <f t="array" ref="DF165">IF(TRIM(DD165&amp;"")="","",IFERROR(TRIM(INDEX(_xlfn.TEXTSPLIT(DD165&amp;";;;",";"),2)),""))</f>
        <v/>
      </c>
      <c r="DG165" t="str" cm="1">
        <f t="array" ref="DG165">IF(TRIM(DD165&amp;"")="","",IFERROR(TRIM(INDEX(_xlfn.TEXTSPLIT(DD165&amp;";;;",";"),3)),""))</f>
        <v/>
      </c>
      <c r="DH165">
        <f t="shared" si="309"/>
        <v>0</v>
      </c>
      <c r="DI165" t="str">
        <f>IF(B165="","",_xlfn.LET(_xlpm.t,LOWER(AZ165&amp;""),IF(ISNUMBER(SEARCH("dim",_xlpm.t)),"DIM",IF(ISNUMBER(SEARCH("dali",_xlpm.t)),"DALI",IF(OR(ISNUMBER(SEARCH("relay",_xlpm.t)),ISNUMBER(SEARCH("реле",_xlpm.t))),"Relay",IF(ISNUMBER(SEARCH("кнопк",_xlpm.t)),"",IFERROR(_xlfn.XLOOKUP(BC165,Коды_код,Коды_упр)&amp;"","")))))))</f>
        <v/>
      </c>
      <c r="DJ165" t="str">
        <f t="shared" si="310"/>
        <v/>
      </c>
      <c r="DK165">
        <f>IF(B165="","",_xlfn.LET(_xlpm.ig,IF(N(CX165)&gt;0,N(CX165),N(CI165)+IF(AJ165="вручную",0,N(CJ165))),_xlpm.n0,IFERROR(VLOOKUP(_xlpm.ig,Автомат_номиналы,2,TRUE),0),_xlpm.mn,MAX(DB165,IF(AJ165="вручную",0,N(CM165))),MAX(_xlpm.n0,_xlpm.mn,IF(DH165=1,Мин_автомат_БП,0))))</f>
        <v>16</v>
      </c>
      <c r="DL165">
        <f t="shared" si="311"/>
        <v>1</v>
      </c>
      <c r="DM165" t="str">
        <f t="shared" si="312"/>
        <v>2P</v>
      </c>
      <c r="DN165" t="str">
        <f>_xlfn.LET(_xlpm.cc,UPPER(TRIM(IFERROR(_xlfn.XLOOKUP(BC165,Коды_код,Коды_хар)&amp;"",""))),IF(OR(_xlpm.cc="B",_xlpm.cc="В"),"B",IF(_xlpm.cc="D","D","С")))</f>
        <v>С</v>
      </c>
      <c r="DO165" t="str">
        <f t="shared" si="313"/>
        <v>2P С16А 30мА</v>
      </c>
      <c r="DP165">
        <f t="shared" si="314"/>
        <v>16</v>
      </c>
      <c r="DQ165" t="str">
        <f t="shared" si="315"/>
        <v>2P С16А 30мА</v>
      </c>
      <c r="DR165" cm="1">
        <f t="array" ref="DR165">IF(DQ165="","",_xlfn.LET(_xlpm.t,SUBSTITUTE(SUBSTITUTE(SUBSTITUTE(UPPER(DQ165),"С","C"),"А","A"),"В","B"),_xlpm.tk,_xlfn.TEXTSPLIT(_xlpm.t," "),_xlpm.f,_xlfn._xlws.FILTER(_xlpm.tk,ISNUMBER(--MID(_xlpm.tk,2,1))*ISNUMBER(SEARCH(LEFT(_xlpm.tk,1)&amp;"#","B#C#D#"))*(LEN(_xlpm.tk)&gt;1),""),_xlpm.x,INDEX(_xlpm.f,1),IFERROR(--SUBSTITUTE(MID(_xlpm.x,2,9),"A",""),IFERROR(--SUBSTITUTE(INDEX(_xlfn._xlws.FILTER(_xlpm.tk,ISNUMBER(--SUBSTITUTE(_xlpm.tk,"A","")),""),1),"A",""),""))))</f>
        <v>16</v>
      </c>
      <c r="DS165" t="str">
        <f t="shared" si="316"/>
        <v>ok</v>
      </c>
      <c r="DT165">
        <f t="shared" si="317"/>
        <v>16</v>
      </c>
      <c r="DU165" t="str">
        <f t="shared" si="318"/>
        <v>2P С16А 30мА</v>
      </c>
      <c r="DV165">
        <f t="shared" si="319"/>
        <v>30</v>
      </c>
      <c r="DW165">
        <f t="shared" si="320"/>
        <v>1</v>
      </c>
      <c r="DX165">
        <f t="shared" si="321"/>
        <v>0</v>
      </c>
      <c r="DY165">
        <f t="shared" si="322"/>
        <v>0.54696341291648753</v>
      </c>
      <c r="DZ165">
        <f t="shared" si="323"/>
        <v>1</v>
      </c>
      <c r="EA165">
        <f>IF(ISNUMBER(AP165),AP165,К_прокл)</f>
        <v>1</v>
      </c>
      <c r="EB165">
        <f t="shared" si="324"/>
        <v>2</v>
      </c>
      <c r="EC165">
        <f>IFERROR(N(VLOOKUP(BZ165,Кабель_обозначение,3,FALSE)),1)</f>
        <v>1</v>
      </c>
      <c r="ED165">
        <f>IFERROR(N(_xlfn.XLOOKUP(A165,Щиты[Щит],Щиты[ΔU до шин, %])),0)</f>
        <v>1.57</v>
      </c>
      <c r="EE165" t="str">
        <f>IFERROR(_xlfn.XLOOKUP(A165,Щиты[Щит],Щиты[Zпетли на шинах, Ом]),"")</f>
        <v/>
      </c>
      <c r="EF165">
        <f>IFERROR(N(_xlfn.XLOOKUP(A165,Щиты[Щит],Щиты[ΔU до шин (подбор), %])),0)</f>
        <v>2.5</v>
      </c>
      <c r="EG165" t="str">
        <f>IFERROR(_xlfn.XLOOKUP(A165,Щиты[Щит],Щиты[Zпетли на шинах (подбор), Ом]),"")</f>
        <v/>
      </c>
      <c r="EH165" t="str">
        <f t="shared" si="325"/>
        <v/>
      </c>
      <c r="EI165">
        <f t="shared" si="326"/>
        <v>35</v>
      </c>
      <c r="EJ165">
        <f t="shared" si="327"/>
        <v>2</v>
      </c>
      <c r="EK165">
        <f t="shared" si="328"/>
        <v>0.31</v>
      </c>
      <c r="EL165" s="6">
        <f>IF(B165="","",IF(BV165=1,dU_LED,IF(IFERROR(_xlfn.XLOOKUP(BC165,Коды_код,Коды_уго),"")="Светильник",3,4)+IF(Методика="нормы 2026",MIN(0.5,MAX(0,N(P165)-100)*0.005),0)))</f>
        <v>4</v>
      </c>
      <c r="EM165" cm="1">
        <f t="array" ref="EM165">IF(OR(B165="",BZ165="",EC165&lt;&gt;1),"",_xlfn.LET(_xlpm.sz,Iдоп_S,_xlpm.t_,CHOOSE(EB165,Iдоп_1ж,Iдоп_2ж,Iдоп_3ж)*DZ165*EA165,_xlpm.dcx,BV165=1,_xlpm.inn,IF(_xlpm.dcx,N(O165),N(DT165)),_xlpm.smin,MAX(1.5,CC165),_xlpm.L_,N(P165)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165)/N(BU165)*100,999),IFERROR(N(EJ165)*(_xlpm.rho*_xlpm.L_/_xlpm.sz*N(CE165)+_xlpm.xx*_xlpm.L_*N(EK165)/1000)*N(O165)/((Uн_лин/SQRT(3))*1000)*100,999)),_xlpm.kz,IF(OR(_xlpm.dcx,DW165=1,NOT(ISNUMBER(EG165)),_xlpm.L_=0,_xlpm.inn=0),1,IFERROR(--(c_min*(Uн_лин*1000/SQRT(3))/(EG165+2*ρкз_Cu*_xlpm.L_/_xlpm.sz)&gt;=HT165*_xlpm.inn),0)),_xlpm.ok,IFERROR((_xlpm.sz&gt;=_xlpm.smin)*(_xlpm.t_&gt;=_xlpm.inn)*IF(_xlpm.L_&gt;0,(_xlpm.du_+IF(_xlpm.dcx,0,EF165)&lt;=EL165+0.00001),1)*_xlpm.kz,0),_xlpm.r_,_xlfn._xlws.FILTER(_xlpm.sz,_xlpm.ok,"не подобрано"),INDEX(_xlpm.r_,1)))</f>
        <v>1.5</v>
      </c>
      <c r="EN165">
        <f t="shared" si="329"/>
        <v>2.5</v>
      </c>
      <c r="EO165" cm="1">
        <f t="array" ref="EO165">IF(OR(B165="",BZ165="",EC165&lt;&gt;1),"",_xlfn.LET(_xlpm.sz,Iдоп_S,_xlpm.t_,CHOOSE(EB165,Iдоп_1ж,Iдоп_2ж,Iдоп_3ж)*DZ165*EA165,_xlpm.ok,IFERROR((_xlpm.sz&gt;=MAX(1.5,CC165))*(_xlpm.t_&gt;=N(DT165)),0),_xlpm.r_,_xlfn._xlws.FILTER(_xlpm.sz,_xlpm.ok,""),INDEX(_xlpm.r_,1)))</f>
        <v>1.5</v>
      </c>
      <c r="EP165" s="6" cm="1">
        <f t="array" ref="EP165">IFERROR(ROUNDUP(N(EJ165)*(_xlfn.XLOOKUP(EO165,INDEX(Кабель_сопротивление,0,1),INDEX(Кабель_сопротивление,0,3))*N(P165)/EO165*N(CE165)+_xlfn.XLOOKUP(EO165,INDEX(Кабель_сопротивление,0,1),INDEX(Кабель_сопротивление,0,2))*N(P165)*N(EK165)/1000)*N(O165)/((Uн_лин/SQRT(3))*1000)*100,2),"")</f>
        <v>0.26</v>
      </c>
      <c r="EQ165">
        <f>IFERROR(2*ρкз_Cu*N(P165)/EO165,"")</f>
        <v>1.3325333333333333</v>
      </c>
      <c r="ER165">
        <f>IFERROR(VLOOKUP(EN165,Кабель_сопротивление,3,FALSE),"")</f>
        <v>2.2499999999999999E-2</v>
      </c>
      <c r="ES165">
        <f>IFERROR(VLOOKUP(EN165,Кабель_сопротивление,2,FALSE),"")</f>
        <v>0.1</v>
      </c>
      <c r="ET165">
        <f t="shared" si="330"/>
        <v>9</v>
      </c>
      <c r="EU165" t="str">
        <f t="shared" si="331"/>
        <v/>
      </c>
      <c r="EV165">
        <f t="shared" si="332"/>
        <v>0.35670547151396481</v>
      </c>
      <c r="EW165" s="6">
        <f>IFERROR(ROUNDUP(EV165/IF(BV165=1,BU165,(Uн_лин/SQRT(3))*1000)*100,2),"")</f>
        <v>0.16</v>
      </c>
      <c r="EX165" t="str">
        <f>IFERROR(VLOOKUP(BZ165,Кабель_обозначение,2,FALSE),"")</f>
        <v>ВВГнг(А)-LS</v>
      </c>
      <c r="EY165" t="str">
        <f t="shared" si="333"/>
        <v>ВВГнг(А)-LS (3х2,5)</v>
      </c>
      <c r="EZ165" t="str">
        <f t="shared" si="334"/>
        <v>ВВГнг(А)-LS (3х2,5)
L=38-0,16%</v>
      </c>
      <c r="FA165">
        <f>IFERROR(2*ρкз_Cu*P165/EN165,"")</f>
        <v>0.79952000000000001</v>
      </c>
      <c r="FB165">
        <f t="shared" si="335"/>
        <v>0.26600000000000001</v>
      </c>
      <c r="FC165" s="6" t="str">
        <f>IFERROR(IF(OR(B165="",BV165=1,NOT(ISNUMBER(EN165)),N(P165)=0),"",_xlfn.XLOOKUP(A165,Щиты[Щит],Щиты[Zпетли на шинах, Ом])+FA165),"")</f>
        <v/>
      </c>
      <c r="FD165" s="6" t="str">
        <f>IF(ISNUMBER(FC165),c_min*(Uн_лин*1000/SQRT(3))/FC165,"")</f>
        <v/>
      </c>
      <c r="FE165" s="6" t="str">
        <f>IFERROR(IF(OR(B165="",NOT(ISNUMBER(EN165))),"",1.05*(Uн_лин*1000/SQRT(3))/(_xlfn.XLOOKUP(A165,Щиты[Щит],Щиты[Zmax на шинах, Ом])+FB165)/1000),"")</f>
        <v/>
      </c>
      <c r="FF165" s="6" t="str">
        <f>IF(B165="","",IF(ISNUMBER(AC165),"Сил",IF(IFERROR(_xlfn.XLOOKUP(BC165,Коды_код,Коды_группа)&amp;"","")="","Быт",_xlfn.XLOOKUP(BC165,Коды_код,Коды_группа)&amp;"")))</f>
        <v>Быт</v>
      </c>
      <c r="FG165" s="6" t="str">
        <f t="shared" si="336"/>
        <v>Быт</v>
      </c>
      <c r="FH165" s="6">
        <f>IF(FG165="Щит","щит",IF(FG165="","",IF(FG165="Быт",IFERROR(_xlfn.XLOOKUP(A165,Щиты[Щит],Щиты[Кс быт]),1),IF(FG165="Сил",IF(ISNUMBER(AC165),AC165,IF(Методика="нормы 2026",IFERROR(_xlfn.XLOOKUP(A165,Щиты[Щит],Щиты[Кс силовых (табл. 7.5)]),1),1)),IF(OR(FG165="Пост",FG165="Отоп"),1,IF(FG165="ВНГ",0.7,0))))))</f>
        <v>0.8</v>
      </c>
      <c r="FI165">
        <f>IF(FG165="","",IF(AND(BP165=1,TRIM(AE165&amp;"")=""),IF(COUNTIFS(Линии[Щит],A165,Линии[Секция (1/2/3)],"&gt;=2")&gt;0,MIN(3,MAX(1,IFERROR(--BD165,1))),1),IFERROR(MIN(3,MAX(1,INT(--AE165))),1)))</f>
        <v>1</v>
      </c>
      <c r="FJ165">
        <f t="shared" si="337"/>
        <v>0.12</v>
      </c>
      <c r="FK165">
        <f t="shared" si="338"/>
        <v>0.12</v>
      </c>
      <c r="FL165">
        <f t="shared" si="339"/>
        <v>0</v>
      </c>
      <c r="FM165">
        <f t="shared" si="340"/>
        <v>0</v>
      </c>
      <c r="FN165">
        <f t="shared" si="341"/>
        <v>0</v>
      </c>
      <c r="FO165">
        <f t="shared" si="342"/>
        <v>0</v>
      </c>
      <c r="FP165">
        <f t="shared" si="343"/>
        <v>0.12</v>
      </c>
      <c r="FQ165">
        <f t="shared" si="344"/>
        <v>0.12</v>
      </c>
      <c r="FR165">
        <f t="shared" si="345"/>
        <v>0.11399999999999999</v>
      </c>
      <c r="FS165">
        <f>IF(CG165=1,IF(AND(CH165=1,CW165=1),0,IF(AND(CS165&lt;&gt;"",CS165=BA165,CW165=1),SUMIFS(Линии[_Р линии, кВт],Линии[_блок УЗО],BA165,Линии[Щит],A165),N(BS165)+IF(AJ165="вручную",0,N(CK165)))),0)</f>
        <v>0.12</v>
      </c>
      <c r="FT165" t="str">
        <f t="shared" si="346"/>
        <v>L1</v>
      </c>
      <c r="FU165" t="str">
        <f>IF(B165="","",IF(CG165=0,IF(BA165=1,"",FW164),IF(AND(CH165=1,CW165=1,CS165&lt;&gt;""),IFERROR(_xlfn.XLOOKUP(CS165,Линии[_n],Линии[_фаза итог]),"L1"),IF(OR(N(DL165)&gt;=3,N(BX165)&gt;=3),"L1,L2,L3",IFERROR(_xlfn.TEXTBEFORE(_xlfn.TEXTAFTER(_xlfn.XLOOKUP(A165,Щиты[Щит],Щиты[_фазы авто]),";"&amp;BA165&amp;":"),";"),"L1")))))</f>
        <v>L1</v>
      </c>
      <c r="FV165" t="str">
        <f t="shared" si="347"/>
        <v>L1</v>
      </c>
      <c r="FW165" t="str">
        <f t="shared" si="348"/>
        <v>L1</v>
      </c>
      <c r="FX165" cm="1">
        <f t="array" ref="FX165">IFERROR(IF(CD165=2,_xlfn.IFS(BX165=3,VLOOKUP(BS165,Справочная_двигатели,3,FALSE),BX165=1,VLOOKUP(BS165,Справочная_двигатели,5,TRUE)),0),0)</f>
        <v>0</v>
      </c>
      <c r="FY165">
        <f>IFERROR(IF(CD165=3,VLOOKUP(BS165,Справочная_ЛЭД,2,TRUE),0),0)</f>
        <v>0</v>
      </c>
      <c r="FZ165" s="6">
        <f t="shared" si="349"/>
        <v>0</v>
      </c>
      <c r="GA165" t="str">
        <f>IF(B165="","",IF(TRIM(AH165&amp;"")&lt;&gt;"",IF(LOWER(TRIM(AH165&amp;""))="да","да","нет"),IF(IFERROR(_xlfn.XLOOKUP(BC165,Коды_код,Коды_пожарная),"")="да","да","нет")))</f>
        <v>нет</v>
      </c>
      <c r="GB165" t="str">
        <f t="shared" si="350"/>
        <v/>
      </c>
      <c r="GC165" t="str">
        <f t="shared" si="351"/>
        <v>основная</v>
      </c>
      <c r="GD165">
        <f>IF(AND(BP165=1,TRIM(AE165&amp;"")=""),IF(COUNTIFS(Линии[Щит],A165,Линии[Секция (1/2/3)],"&gt;=2")&gt;0,MIN(3,MAX(1,IFERROR(--BD165,1))),1),IFERROR(MIN(3,MAX(1,INT(--AE165))),1))</f>
        <v>1</v>
      </c>
      <c r="GE165" t="str" cm="1">
        <f t="array" ref="GE165">IF(B165="","",_xlfn.LET(_xlpm.t,IFERROR(_xlfn.XLOOKUP(1,(Шины[Шина]=GC165)*(((Шины[Щит]=A165)+(Шины[Щит]=""))&gt;0),Шины[Тип]),"")&amp;"",IF(_xlpm.t&lt;&gt;"",_xlpm.t,IF(ISNUMBER(SEARCH("ИБП",GC165)),"ИБП",IF(ISNUMBER(SEARCH("ДГУ",GC165)),"ДГУ","Ввод "&amp;GD165)))))</f>
        <v>Ввод 1</v>
      </c>
      <c r="GF165" t="str">
        <f t="shared" si="352"/>
        <v>Ввод 1</v>
      </c>
      <c r="GG165" t="str">
        <f>IF(BP165=0,"",IF(TRIM(AG165&amp;"")&lt;&gt;"",TRIM(AG165&amp;""),IF(OR(GE165="ИБП",GE165="ДГУ"),"I особая",_xlfn.XLOOKUP(A165,Щиты[Щит],Щиты[Категория шины «Ввод»],"III"))))</f>
        <v/>
      </c>
      <c r="GH165" t="str">
        <f>IF(A165="","",_xlfn.XLOOKUP(A165,Щиты[Щит],Щиты[Путь],""))</f>
        <v>|ГРЩ-ЖД|ЩР-001|</v>
      </c>
      <c r="GI165" t="str">
        <f>IF(B165="","",IF(AI165&lt;&gt;"",AI165,IF(IFERROR(_xlfn.XLOOKUP(BC165,Коды_код,Коды_вид)&amp;"","")="","Прочее",_xlfn.XLOOKUP(BC165,Коды_код,Коды_вид)&amp;"")))</f>
        <v>Розеточная сеть и бытовые приборы</v>
      </c>
      <c r="GJ165">
        <f>IF(BM165="","",INT((BM165-1)/Столбцов_на_лист)+1)</f>
        <v>2</v>
      </c>
      <c r="GK165" t="str">
        <f t="shared" si="353"/>
        <v>ВВГнг(А)-LS (3х2,5) L=38-0,16%</v>
      </c>
      <c r="GL165">
        <f t="shared" si="354"/>
        <v>0.12</v>
      </c>
      <c r="GM165">
        <f t="shared" si="355"/>
        <v>0.55000000000000004</v>
      </c>
      <c r="GN165">
        <f t="shared" si="356"/>
        <v>1</v>
      </c>
      <c r="GO165">
        <f t="shared" si="357"/>
        <v>0</v>
      </c>
      <c r="GP165">
        <f t="shared" si="358"/>
        <v>1</v>
      </c>
      <c r="GQ165">
        <f>IF(BM165="","",IF(AND(CG165=1,GP165=1),COUNTIFS(A$3:A165,A165,CG$3:CG165,1,GP$3:GP165,1),IF(OR(OR(BA165=1,A165&lt;&gt;A164),AJ165="вручную",GP165=0),"",IF(BA165=1,"",GR164))))</f>
        <v>11</v>
      </c>
      <c r="GR165">
        <f t="shared" si="359"/>
        <v>11</v>
      </c>
      <c r="GS165">
        <f>IF(B165="","",IFERROR(LOOKUP(INDEX(CHOOSE(EB165,Iдоп_1ж,Iдоп_2ж,Iдоп_3ж),MATCH(EN165,Iдоп_S,0))*DZ165*EA165,{6,10,16,20,25,32,40,50,63,80,100,125,160,200,250,315,400,500,630}),""))</f>
        <v>25</v>
      </c>
      <c r="GT165" t="str">
        <f t="shared" si="360"/>
        <v>QFD11</v>
      </c>
      <c r="GU165" t="str">
        <f t="shared" si="361"/>
        <v>QFD11</v>
      </c>
      <c r="GV165" t="str">
        <f t="shared" si="362"/>
        <v/>
      </c>
      <c r="GW165">
        <f t="shared" si="363"/>
        <v>0</v>
      </c>
      <c r="GX165" t="str">
        <f>IF(OR(B165="",DJ165=""),"",IFERROR(_xlfn.XLOOKUP(DJ165,Модули_умолч[Управление],Модули_умолч[Модель])&amp;"",""))</f>
        <v/>
      </c>
      <c r="GY165">
        <f>IF(DJ165="",1,IFERROR(MAX(0,N(_xlfn.XLOOKUP(DJ165,Модули_умолч[Управление],Модули_умолч[Каналов на линию]))),1))</f>
        <v>1</v>
      </c>
      <c r="GZ165" t="str">
        <f t="shared" si="364"/>
        <v/>
      </c>
      <c r="HA165" t="str">
        <f t="shared" si="365"/>
        <v/>
      </c>
      <c r="HB165" t="str">
        <f t="shared" si="366"/>
        <v/>
      </c>
      <c r="HC165">
        <f>IF(HB165="",0,IFERROR(N(VLOOKUP(HB165,Модули_спр,3,FALSE)),0))</f>
        <v>0</v>
      </c>
      <c r="HD165" t="str">
        <f t="shared" si="367"/>
        <v/>
      </c>
      <c r="HE165" t="str">
        <f t="shared" si="368"/>
        <v/>
      </c>
      <c r="HF165" t="str">
        <f>IF(OR(HE165="",HE165="-"),"",IFERROR(VLOOKUP(HE165,Модули_спр,2,FALSE),"R"))</f>
        <v/>
      </c>
      <c r="HG165" t="str">
        <f>IF(HF165="","",HF165&amp;"."&amp;COUNTIFS(A$3:A165,A165,HF$3:HF165,HF165))</f>
        <v/>
      </c>
      <c r="HH165" t="str">
        <f t="shared" si="369"/>
        <v/>
      </c>
      <c r="HI165" t="str">
        <f t="shared" si="370"/>
        <v/>
      </c>
      <c r="HJ165" t="str">
        <f t="shared" si="371"/>
        <v/>
      </c>
      <c r="HK165" t="str">
        <f t="shared" si="372"/>
        <v/>
      </c>
      <c r="HL165">
        <f t="shared" si="373"/>
        <v>1</v>
      </c>
      <c r="HM165" t="str">
        <f>IF(HL165=1,"XT"&amp;COUNTIFS(A$3:A165,A165,HL$3:HL165,1),"")</f>
        <v>XT11</v>
      </c>
      <c r="HN165" t="str">
        <f t="shared" si="374"/>
        <v>XT11</v>
      </c>
      <c r="HO165" t="str">
        <f t="shared" si="375"/>
        <v>QFD11</v>
      </c>
      <c r="HP165" t="str">
        <f t="shared" si="376"/>
        <v/>
      </c>
      <c r="HQ165" t="str">
        <f t="shared" si="377"/>
        <v>ok</v>
      </c>
      <c r="HR165" t="str">
        <f>IF(OR(HJ165="",HH165=""),"",IF(HJ165+MAX(0,GY165-1)&gt;IFERROR(VLOOKUP(HI165,Модули_спр,3,FALSE),99),"ЛИШНИЙ КАНАЛ",IF(AND(AL165&lt;&gt;"=",GY165&gt;0,COUNTIFS(Линии[_модуль гр.],HH165,Линии[Канал (итог)],HJ165,Линии[Канал],"&lt;&gt;=",Линии[Щит],A165)&gt;1),"ДУБЛЬ КАНАЛА","")))</f>
        <v/>
      </c>
      <c r="HS165" s="6" t="str">
        <f t="shared" si="378"/>
        <v/>
      </c>
      <c r="HT165">
        <f t="shared" si="379"/>
        <v>10</v>
      </c>
      <c r="HU165" t="str">
        <f t="shared" si="380"/>
        <v/>
      </c>
      <c r="HV165">
        <f t="shared" si="381"/>
        <v>0.59878536516659508</v>
      </c>
      <c r="HW165">
        <f t="shared" si="382"/>
        <v>0</v>
      </c>
      <c r="HX165">
        <f t="shared" si="383"/>
        <v>0</v>
      </c>
      <c r="HY165">
        <f t="shared" si="384"/>
        <v>0</v>
      </c>
      <c r="HZ165">
        <f t="shared" si="385"/>
        <v>0</v>
      </c>
      <c r="IA165">
        <f t="shared" si="386"/>
        <v>0</v>
      </c>
      <c r="IB165">
        <f t="shared" si="387"/>
        <v>0</v>
      </c>
      <c r="IC165" t="str">
        <f t="shared" si="388"/>
        <v/>
      </c>
      <c r="ID165" t="str" cm="1">
        <f t="array" ref="ID165">IF(IC165="","",_xlfn.LET(_xlpm.tk,_xlfn.TEXTSPLIT(SUBSTITUTE(SUBSTITUTE(IC165,";"," "),"→"," ")," ",,TRUE),_xlpm.w_,_xlfn._xlws.FILTER(_xlpm.tk,ISNUMBER(--LEFT(_xlpm.tk,1))*((ISNUMBER(SEARCH("W",_xlpm.tk))+ISNUMBER(SEARCH("Вт",_xlpm.tk)))&gt;0),""),IFERROR(--SUBSTITUTE(SUBSTITUTE(UPPER(INDEX(_xlpm.w_,1)),"W",""),"ВТ",""),"")))</f>
        <v/>
      </c>
      <c r="IE165" t="str" cm="1">
        <f t="array" ref="IE165">IF(IC165="","",_xlfn.LET(_xlpm.tk,_xlfn.TEXTSPLIT(SUBSTITUTE(SUBSTITUTE(IC165,";"," "),"→"," ")," ",,TRUE),_xlpm.v_,_xlfn._xlws.FILTER(_xlpm.tk,ISNUMBER(--LEFT(_xlpm.tk,1))*((ISNUMBER(SEARCH("V",_xlpm.tk))+(RIGHT(UPPER(_xlpm.tk))="В"))&gt;0),""),IFERROR(--SUBSTITUTE(SUBSTITUTE(UPPER(INDEX(_xlpm.v_,1)),"V",""),"В",""),"")))</f>
        <v/>
      </c>
      <c r="IF165" s="6" t="str">
        <f>IF(OR(BV165=0,HI165="",HJ165=""),"",IFERROR(N(_xlfn.XLOOKUP(HI165,Каталог!$C$4:$C$500,Каталог!$Q$4:$Q$500)),""))</f>
        <v/>
      </c>
      <c r="IG165" s="6" t="str">
        <f>IF(N(IF165)=0,"",SUMIFS(Линии[Iр, А],Линии[Щит],A165,Линии[_модуль гр.],HH165,Линии[Канал (итог)],HJ165))</f>
        <v/>
      </c>
      <c r="IH165" t="str">
        <f>IF(AND(B165="",HO165=""),"",_xlfn.TEXTJOIN("; ",TRUE,IF(AND(B165&lt;&gt;"",FV165=""),"нет фазы",""),IF(AND(B165&lt;&gt;"",N(GL165)=0,FG165&lt;&gt;"Нет"),"нет мощности",""),IF(AND(HN165&lt;&gt;"",COUNTIFS(Линии[Щит],A165,Линии[Клемма (итог)],HN165)&gt;1),"дубль клеммы "&amp;HN165,""),IF(AND(HQ165&lt;&gt;"",HQ165&lt;&gt;"ok"),HQ165,""),IF(HR165&lt;&gt;"",HR165,""),IF(AND(N(CB165)&gt;=4,N(BX165)=1),CB165&amp;" жил на 1 фазе",""),IF(AND(BC165="R",CG165=1,IF(CS165&lt;&gt;"",N(CV165)&gt;30,OR(N(DA165)=0,N(DA165)&gt;30))),"розетка без дифзащиты до 30 мА",""),IF(AND(CG165=1,N(DA165)&gt;0,ISNUMBER(T165)),IF(T165&gt;N(DA165)/3,"ток утечки "&amp;FIXED(T165,1)&amp;" мА &gt; 1/3 уставки ("&amp;DA165&amp;" мА)",""),""),IF(AND(CH165=1,CS165=""),"«узо»: нет строки с УЗО выше (УЗО 2P 40А 30мА в «Аппаратах»)",""),IF(AND(CS165&lt;&gt;"",CS165=BA165),IF(CT165="","впишите номинал УЗО (УЗО 2P 40А 30мА)",IF(N(CT165)&lt;N(DT165),"УЗО "&amp;CT165&amp;" А &lt; автомата "&amp;DT165&amp;" А перед ним",IF(N(CT165)&lt;N(CX165),"УЗО "&amp;CT165&amp;" А &lt; тока блока "&amp;FIXED(CX165,1)&amp;" А",""))),""),IF(AND(CS165&lt;&gt;"",CS165=BA165,ISNUMBER(CY165)),IF(CY165&gt;N(CV165)/3,"ток утечки блока УЗО "&amp;FIXED(CY165,1)&amp;" мА &gt; 1/3 уставки ("&amp;CV165&amp;" мА)",""),""),IF(AND(CG165=1,N(BV165)+N(IB165)&gt;0,IC165=""),"линии до 50 В без БП: впишите в «Аппараты» (БП 24V 480W)",""),IF(AND(CG165=1,ISNUMBER(ID165),ISNUMBER(U165)),IF(U165&gt;ID165,"БП "&amp;ID165&amp;" Вт &lt; нужно "&amp;U165&amp;" Вт (×"&amp;Запас_БП&amp;")",""),""),IF(AND(CG165=1,ISNUMBER(IE165),N(BV165)=1),IF(IE165&lt;&gt;N(BU165),"БП на "&amp;IE165&amp;" В, линия "&amp;BU165&amp;" В",""),""),IF(AND(N(IF165)&gt;0,N(IG165)&gt;N(IF165)),HH165&amp;" канал "&amp;HJ165&amp;": "&amp;FIXED(IG165,1)&amp;" А &gt; "&amp;IF165&amp;" А",""),IFERROR(IF(AND(ISNUMBER(Q165),Q165&gt;EL165),"потери "&amp;FIXED(Q165,1)&amp;" % &gt; "&amp;EL165&amp;" %",""),""),IFERROR(IF(LEFT(HU165,4)="мало","Iкз мало — отключение &gt; 0,4 с",""),""),IF(AND(B165&lt;&gt;"",BM165=""),"не на схеме",""),IF(AND(CG165=0,B165&lt;&gt;"",FV165&lt;&gt;"",IF(BA165=1,"",FW164)&lt;&gt;"",FV165&lt;&gt;IF(BA165=1,"",FW164)),"фаза не как у автомата группы ("&amp;IF(BA165=1,"",FW164)&amp;")","")))</f>
        <v/>
      </c>
      <c r="II165" s="6">
        <f>IF(OR(CG165=0,DQ165=""),"",_xlfn.LET(_xlpm.t,IFERROR(_xlfn.XLOOKUP(DQ165,Каталог!$U$4:$U$500,Каталог!$G$4:$G$500),""),_xlpm.k,SEARCH("кА",_xlpm.t),IFERROR(--TRIM(RIGHT(SUBSTITUTE(MID(_xlpm.t,MAX(1,_xlpm.k-4),_xlpm.k-MAX(1,_xlpm.k-4))," ",REPT(" ",9)),5)),"")))</f>
        <v>6</v>
      </c>
      <c r="IJ165" t="str">
        <f>IF(OR(II165="",CG165=0),"",IF(_xlfn.XLOOKUP(A165,Щиты[Щит],Щиты[Iкз max на шинах, кА],"")="","",IF(II165&lt;_xlfn.XLOOKUP(A165,Щиты[Щит],Щиты[Iкз max на шинах, кА]),"Icu "&amp;II165&amp;" кА &lt; Iкз max","ok")))</f>
        <v/>
      </c>
      <c r="IK165" t="str">
        <f t="shared" si="389"/>
        <v/>
      </c>
      <c r="IL165" t="str">
        <f t="shared" si="390"/>
        <v>QFD11|XT11</v>
      </c>
      <c r="IM165" t="str">
        <f t="shared" si="391"/>
        <v>QFD11|XT11|кабель ВВГнг(А)-LS (3х2,5) → Розеточная группа, пом. 001А</v>
      </c>
      <c r="IN165" t="str" cm="1">
        <f t="array" ref="IN165">IF(IM165="","",_xlfn.LET(_xlpm.nd,_xlfn.TEXTSPLIT(IM165,"|"),IF(COLUMNS(_xlpm.nd)&gt;1,A165&amp;"¦"&amp;INDEX(_xlpm.nd,1)&amp;"¦"&amp;INDEX(_xlpm.nd,2),"")))</f>
        <v>ЩР-001¦QFD11¦XT11</v>
      </c>
      <c r="IO165" t="str">
        <f t="shared" si="392"/>
        <v>R.00.001А.2¦Розеточная группа, пом. 001А</v>
      </c>
      <c r="IP165" t="str" cm="1">
        <f t="array" ref="IP165">IF(IM165="","",_xlfn.LET(_xlpm.nd,_xlfn.TEXTSPLIT(IM165,"|"),IF(COLUMNS(_xlpm.nd)&gt;2,A165&amp;"¦"&amp;INDEX(_xlpm.nd,2)&amp;"¦"&amp;INDEX(_xlpm.nd,3),"")))</f>
        <v>ЩР-001¦XT11¦кабель ВВГнг(А)-LS (3х2,5) → Розеточная группа, пом. 001А</v>
      </c>
      <c r="IQ165" t="str">
        <f t="shared" si="393"/>
        <v>R.00.001А.2¦Розеточная группа, пом. 001А</v>
      </c>
      <c r="IR165" t="str" cm="1">
        <f t="array" ref="IR165">IF(IM165="","",_xlfn.LET(_xlpm.nd,_xlfn.TEXTSPLIT(IM165,"|"),IF(COLUMNS(_xlpm.nd)&gt;3,A165&amp;"¦"&amp;INDEX(_xlpm.nd,3)&amp;"¦"&amp;INDEX(_xlpm.nd,4),"")))</f>
        <v/>
      </c>
      <c r="IS165" t="str">
        <f t="shared" si="394"/>
        <v/>
      </c>
      <c r="IT165" t="str" cm="1">
        <f t="array" ref="IT165">IF(IM165="","",_xlfn.LET(_xlpm.nd,_xlfn.TEXTSPLIT(IM165,"|"),IF(COLUMNS(_xlpm.nd)&gt;4,A165&amp;"¦"&amp;INDEX(_xlpm.nd,4)&amp;"¦"&amp;INDEX(_xlpm.nd,5),"")))</f>
        <v/>
      </c>
      <c r="IU165" t="str">
        <f t="shared" si="395"/>
        <v/>
      </c>
      <c r="IV165" t="str" cm="1">
        <f t="array" ref="IV165">IF(IM165="","",_xlfn.LET(_xlpm.nd,_xlfn.TEXTSPLIT(IM165,"|"),IF(COLUMNS(_xlpm.nd)&gt;5,A165&amp;"¦"&amp;INDEX(_xlpm.nd,5)&amp;"¦"&amp;INDEX(_xlpm.nd,6),"")))</f>
        <v/>
      </c>
      <c r="IW165" t="str">
        <f t="shared" si="396"/>
        <v/>
      </c>
      <c r="IX165" t="str" cm="1">
        <f t="array" ref="IX165">IF(IM165="","",_xlfn.LET(_xlpm.nd,_xlfn.TEXTSPLIT(IM165,"|"),IF(COLUMNS(_xlpm.nd)&gt;6,A165&amp;"¦"&amp;INDEX(_xlpm.nd,6)&amp;"¦"&amp;INDEX(_xlpm.nd,7),"")))</f>
        <v/>
      </c>
      <c r="IY165" t="str">
        <f t="shared" si="397"/>
        <v/>
      </c>
      <c r="IZ165" t="str">
        <f t="shared" si="398"/>
        <v/>
      </c>
      <c r="JA165" t="str">
        <f t="shared" si="399"/>
        <v>QFD11 → XT11</v>
      </c>
      <c r="JB165">
        <f t="shared" si="400"/>
        <v>0</v>
      </c>
      <c r="JC165">
        <f t="shared" si="401"/>
        <v>1</v>
      </c>
      <c r="JD165" t="str">
        <f t="shared" si="402"/>
        <v/>
      </c>
      <c r="JE165" t="str">
        <f t="shared" si="403"/>
        <v/>
      </c>
      <c r="JF165" t="str">
        <f t="shared" si="404"/>
        <v/>
      </c>
      <c r="JG165" t="str">
        <f t="shared" si="405"/>
        <v/>
      </c>
      <c r="JH165" t="str">
        <f>IF(B165="","",IFERROR(_xlfn.XLOOKUP(B165,Коды_код,Коды_уго),IFERROR(_xlfn.XLOOKUP(BC165,Коды_код,Коды_уго),IFERROR(_xlfn.XLOOKUP(LEFT(BC165,2),Коды_код,Коды_уго),""))))</f>
        <v>Розетка</v>
      </c>
      <c r="JI165" t="str">
        <f>IF(B165="","",IF(OR(JH165="",JH165=0),"BOX",IFERROR(IF(VLOOKUP(JH165,УГО_блоки,3,FALSE)&amp;""&lt;&gt;"",VLOOKUP(JH165,УГО_блоки,3,FALSE),VLOOKUP(JH165,УГО_блоки,2,FALSE)),JH165)))</f>
        <v>SOCKET</v>
      </c>
      <c r="JJ165">
        <f t="shared" si="406"/>
        <v>1</v>
      </c>
      <c r="JK165" t="str">
        <f>IF(DQ165="","",IF(COUNTIF(DQ$3:DQ165,DQ165)=1,MAX(JK$2:JK164)+1,""))</f>
        <v/>
      </c>
      <c r="JL165" t="str">
        <f>IF(DE165="","",IF(COUNTIF(DE$3:DE165,DE165)+COUNTIF(DF$2:DF164,DE165)+COUNTIF(DG$2:DG164,DE165)=1,MAX(JL$2:JN164)+1,""))</f>
        <v/>
      </c>
      <c r="JM165" t="str">
        <f>IF(DF165="","",IF(COUNTIF(DE$3:DE165,DF165)+COUNTIF(DF$3:DF165,DF165)+COUNTIF(DG$2:DG164,DF165)=1,MAX(JL$2:JN164,JL165)+1,""))</f>
        <v/>
      </c>
      <c r="JN165" t="str">
        <f>IF(DG165="","",IF(COUNTIF(DE$3:DE165,DG165)+COUNTIF(DF$3:DF165,DG165)+COUNTIF(DG$3:DG165,DG165)=1,MAX(JL$2:JN164,JL165,JM165)+1,""))</f>
        <v/>
      </c>
      <c r="JO165" t="str">
        <f t="shared" si="407"/>
        <v>3х2,5</v>
      </c>
      <c r="JP165" t="str">
        <f>IF(JO165="","",IF(COUNTIF(JO$3:JO165,JO165)=1,MAX(JP$2:JP164)+1,""))</f>
        <v/>
      </c>
      <c r="JQ165" t="str">
        <f>IF(HG165="","",COUNTIF(HG$3:HG165,"?*"))</f>
        <v/>
      </c>
      <c r="JR165" t="str">
        <f>IF(OR(HG165="",HI165=""),"",IF(COUNTIFS(HG$3:HG165,"?*",HI$3:HI165,HI165)=1,MAX(JR$2:JR164)+1,""))</f>
        <v/>
      </c>
      <c r="JS165">
        <f t="shared" si="408"/>
        <v>0</v>
      </c>
      <c r="JT165">
        <f>IF(B165="","",COUNTIF(B$3:B165,"?*"))</f>
        <v>163</v>
      </c>
      <c r="JU165">
        <f>IF(HL165&lt;&gt;1,0,_xlfn.LET(_xlpm.k,MAX(IFERROR(--_xlfn.XLOOKUP(B165,Коды_код,Коды_3L),0),IFERROR(--_xlfn.XLOOKUP(BC165,Коды_код,Коды_3L),0),IFERROR(--_xlfn.XLOOKUP(LEFT(BC165,2),Коды_код,Коды_3L),0)),IF(_xlpm.k&gt;0,_xlpm.k,IF(IFERROR(--LEFT(SUBSTITUTE(JO165,"x","х"),FIND("х",SUBSTITUTE(JO165,"x","х"))-1),3)&gt;3,Каталог!$S$9,1))))</f>
        <v>1</v>
      </c>
      <c r="JV165">
        <f t="shared" si="409"/>
        <v>0</v>
      </c>
      <c r="JW165" t="str">
        <f t="shared" si="410"/>
        <v>авто</v>
      </c>
      <c r="JX165">
        <f t="shared" si="411"/>
        <v>30</v>
      </c>
      <c r="JY165">
        <f t="shared" si="412"/>
        <v>1</v>
      </c>
      <c r="JZ165">
        <f t="shared" si="413"/>
        <v>1</v>
      </c>
    </row>
    <row r="166" spans="1:286" x14ac:dyDescent="0.3">
      <c r="A166" t="s">
        <v>753</v>
      </c>
      <c r="B166" t="s">
        <v>1474</v>
      </c>
      <c r="C166" t="str">
        <f>Линии[[#This Row],[_авто наименование]]</f>
        <v>Розеточная группа, пом. 002</v>
      </c>
      <c r="D166">
        <v>2</v>
      </c>
      <c r="E166">
        <v>0.12</v>
      </c>
      <c r="G166">
        <v>16</v>
      </c>
      <c r="H166" t="str">
        <f>Линии[[#This Row],[_авто управление]]</f>
        <v/>
      </c>
      <c r="I166" t="str">
        <f>Линии[[#This Row],[_авто аппараты]]</f>
        <v/>
      </c>
      <c r="J166">
        <v>2.5</v>
      </c>
      <c r="K166">
        <v>44</v>
      </c>
      <c r="L166">
        <v>2</v>
      </c>
      <c r="M166" t="s">
        <v>484</v>
      </c>
      <c r="N166" t="str">
        <f t="shared" si="276"/>
        <v/>
      </c>
      <c r="O166" s="6" cm="1">
        <f t="array" ref="O166">IF(B166="","",IF(BH166&lt;&gt;"",IFERROR(_xlfn.XLOOKUP(BH166,Щиты[Щит],Щиты[Iр, А]),""),IF(BP166=1,IF(OR(N(_xlfn.XLOOKUP(A166,Щиты[Щит],Щиты[Вводов],1))&lt;=1,LOWER(TRIM(_xlfn.XLOOKUP(A166,Щиты[Щит],Щиты[АВР],"")&amp;""))="да"),IFERROR(_xlfn.XLOOKUP(A166,Щиты[Щит],Щиты[Iр, А]),""),IFERROR(N(BS166)*_xlfn.XLOOKUP(A166,Щиты[Щит],Щиты[Кс итог])/(SQRT(3)*Uн_лин*_xlfn.XLOOKUP(A166,Щиты[Щит],Щиты[cos φ])),"")),IF(BV166=1,IFERROR(BS166*1000/BU166,""),IFERROR(_xlfn.IFS(BX166=1,BS166/((Uн_лин/SQRT(3))*CE166),BX166=3,BS166/(SQRT(3)*Uн_лин*CE166)),"")))))</f>
        <v>0.54696341291648753</v>
      </c>
      <c r="P166" s="7">
        <f>IF(B166="","",IFERROR(IF(VLOOKUP(BC166,Потребители_обозначение,4,FALSE)=1,VLOOKUP(BC166,Потребители_обозначение,3,FALSE)*(MAX(1,N(D166))*2-1)+EI166+VLOOKUP(BE166,Этаж_обозначение,3,FALSE)+VLOOKUP(BE166,Этаж_обозначение,4,FALSE),VLOOKUP(BC166,Потребители_обозначение,3,FALSE)*(MAX(1,N(D166))*2-1)+EI166),EI166))</f>
        <v>53</v>
      </c>
      <c r="Q166" s="6">
        <f t="shared" si="277"/>
        <v>1.79</v>
      </c>
      <c r="R166" t="str">
        <f t="shared" si="278"/>
        <v>ВВГнг(А)-LS (3х2,5)</v>
      </c>
      <c r="S166" t="str">
        <f>IF(BM166="","",IF(BN166="вводной узел","узел ","")&amp;"л."&amp;(INT((BM166-1)/Столбцов_на_лист)+1)&amp;" / "&amp;(MOD(BM166-1,Столбцов_на_лист)+1))</f>
        <v>л.2 / 4</v>
      </c>
      <c r="T166" s="119">
        <f t="shared" si="279"/>
        <v>0.7</v>
      </c>
      <c r="U166" s="7" t="str">
        <f>IF(OR(CG166=0,N(BV166)+N(IB166)=0),"",ROUNDUP(Запас_БП*(N(HY166)+N(HZ166)),0))</f>
        <v/>
      </c>
      <c r="V166" s="119" t="str">
        <f t="shared" si="280"/>
        <v/>
      </c>
      <c r="W166" s="7" t="str">
        <f>IFERROR(IF(OR(B166="",BP166=1,BV166=1,NOT(ISNUMBER(EN166)),N(DT166)=0),"",MAX(0,ROUNDDOWN((c_min*(Uн_лин*1000/SQRT(3))/(HT166*N(DT166))-_xlfn.XLOOKUP(A166,Щиты[Щит],Щиты[Zпетли на шинах, Ом]))*EN166/(2*ρкз_Cu),0))),"")</f>
        <v/>
      </c>
      <c r="Y166">
        <f>Линии[[#This Row],[_авто утечка]]</f>
        <v>30</v>
      </c>
      <c r="Z166">
        <v>1</v>
      </c>
      <c r="AA166">
        <v>230</v>
      </c>
      <c r="AB166" t="s">
        <v>562</v>
      </c>
      <c r="AG166" t="s">
        <v>810</v>
      </c>
      <c r="AI166" t="s">
        <v>561</v>
      </c>
      <c r="AK166" t="str">
        <f>Линии[[#This Row],[_авто модуль]]</f>
        <v/>
      </c>
      <c r="AM166">
        <v>21</v>
      </c>
      <c r="AN166" t="s">
        <v>11</v>
      </c>
      <c r="AO166">
        <v>3</v>
      </c>
      <c r="AQ166">
        <v>29</v>
      </c>
      <c r="AR166">
        <v>24</v>
      </c>
      <c r="AS166">
        <v>0</v>
      </c>
      <c r="BA166" cm="1">
        <f t="array" ref="BA166">ROW()-ROW(Линии[#Headers])</f>
        <v>164</v>
      </c>
      <c r="BC166" s="6" t="str">
        <f t="shared" si="281"/>
        <v>R</v>
      </c>
      <c r="BD166" t="str">
        <f t="shared" si="282"/>
        <v>00.002.1А.1</v>
      </c>
      <c r="BE166" t="str">
        <f t="shared" si="283"/>
        <v>00</v>
      </c>
      <c r="BF166" t="str">
        <f t="shared" si="284"/>
        <v>002.1А.1</v>
      </c>
      <c r="BG166" t="str">
        <f t="shared" si="285"/>
        <v>002</v>
      </c>
      <c r="BH166" t="str">
        <f>IF(X166&lt;&gt;"",X166,IF(AND(B166&lt;&gt;"",B166&lt;&gt;A166,ISNUMBER(_xlfn.XMATCH(B166,Щиты[Щит]))),B166,""))</f>
        <v/>
      </c>
      <c r="BI166" t="str" cm="1">
        <f t="array" ref="BI166">IF(B166="","",IF(BH166&lt;&gt;"","Щит "&amp;BH166,_xlfn.LET(_xlpm.nm,IFERROR(_xlfn.XLOOKUP(BC166,Коды_код,Коды_имя)&amp;"",""),_xlpm.md,IFERROR(N(_xlfn.XLOOKUP(BC166,Коды_код,Коды_режим)),1),_xlpm.ex,IF(Имя_режим="по экспликации",IFERROR(_xlfn.XLOOKUP(BE166&amp;"|"&amp;BG166,Экспликация[Этаж]&amp;"|"&amp;Экспликация[Помещение],Экспликация[Название])&amp;"",""),""),_xlpm.rm,IF(BG166="","",IF(_xlpm.ex&lt;&gt;"",". "&amp;_xlpm.ex&amp;IF(Имя_пом="нет"," ("&amp;BG166&amp;")"," (пом. "&amp;BG166&amp;")"),IF(Имя_пом="нет"," ",", пом. ")&amp;BG166)),IF(_xlpm.nm="","",IF(_xlpm.md=2,_xlpm.nm&amp;" шлейф "&amp;BE166,_xlpm.nm&amp;_xlpm.rm)))))</f>
        <v>Розеточная группа, пом. 002</v>
      </c>
      <c r="BJ166" t="str">
        <f t="shared" si="286"/>
        <v>Розеточная группа, пом. 002</v>
      </c>
      <c r="BK166">
        <f>IFERROR(_xlfn.XMATCH(A166,Щиты[Щит]),0)</f>
        <v>8</v>
      </c>
      <c r="BL166">
        <f>_xlfn.LET(_xlpm.k,IFERROR(_xlfn.XLOOKUP(A166,Щиты[Щит],Щиты[Мест под вводной узел]),""),IF(_xlpm.k="",Столбцов_на_лист,N(_xlpm.k)))</f>
        <v>7</v>
      </c>
      <c r="BM166">
        <f t="shared" si="287"/>
        <v>21</v>
      </c>
      <c r="BN166" t="str">
        <f t="shared" si="288"/>
        <v>линии</v>
      </c>
      <c r="BO166" s="6">
        <f>IFERROR(N(_xlfn.XLOOKUP(BC166,Коды_код,Коды_квт)),0)</f>
        <v>0</v>
      </c>
      <c r="BP166">
        <f t="shared" si="289"/>
        <v>0</v>
      </c>
      <c r="BQ166" t="str">
        <f>IF(B166="","",IF(BH166&lt;&gt;"",IFERROR(_xlfn.XLOOKUP(BH166,Щиты[Щит],Щиты[Руст, кВт]),0),IF(BP166=1,IF(OR(N(_xlfn.XLOOKUP(A166,Щиты[Щит],Щиты[Вводов],1))&lt;=1,LOWER(TRIM(_xlfn.XLOOKUP(A166,Щиты[Щит],Щиты[АВР],"")&amp;""))="да"),IFERROR(_xlfn.XLOOKUP(A166,Щиты[Щит],Щиты[Руст, кВт]),0),SUMIFS(Линии[_Р для вводов],Линии[Щит],A166,Линии[Источник для режимов],GF166)),IF(BO166&gt;0,ROUND(BO166*MAX(1,N(D166)),3),""))))</f>
        <v/>
      </c>
      <c r="BR166">
        <f t="shared" si="290"/>
        <v>0.12</v>
      </c>
      <c r="BS166" s="6">
        <f>IF(B166="","",IF(BH166&lt;&gt;"",IFERROR(_xlfn.XLOOKUP(BH166,Щиты[Щит],Щиты[Руст, кВт]),0),N(BR166)))</f>
        <v>0.12</v>
      </c>
      <c r="BT166" t="str">
        <f>IF(B166="","",IFERROR(IF(VLOOKUP(BC166,Потребители_обозначение,8,FALSE)=0,"",VLOOKUP(BC166,Потребители_обозначение,8,FALSE)),""))</f>
        <v/>
      </c>
      <c r="BU166">
        <f t="shared" si="291"/>
        <v>230</v>
      </c>
      <c r="BV166">
        <f t="shared" si="292"/>
        <v>0</v>
      </c>
      <c r="BW166">
        <f>IF(B166="","",IF(BH166&lt;&gt;"",3,IFERROR(IF(N(VLOOKUP(BC166,Потребители_обозначение,9,FALSE))=0,1,VLOOKUP(BC166,Потребители_обозначение,9,FALSE)),1)))</f>
        <v>1</v>
      </c>
      <c r="BX166">
        <f t="shared" si="293"/>
        <v>1</v>
      </c>
      <c r="BY166" t="str">
        <f>IF(B166="","",_xlfn.LET(_xlpm.bc,IFERROR(IF(VLOOKUP(BC166,Потребители_обозначение,6,FALSE)=0,"",VLOOKUP(BC166,Потребители_обозначение,6,FALSE)&amp;""),""),IF(AND(GA166="да",OR(_xlpm.bc="",_xlpm.bc="мс")),Марка_пож,IF(AND(_xlpm.bc="",BH166&lt;&gt;""),"мс",_xlpm.bc))))</f>
        <v/>
      </c>
      <c r="BZ166" t="str">
        <f t="shared" si="294"/>
        <v>мс</v>
      </c>
      <c r="CA166">
        <f>IF(B166="","",_xlfn.LET(_xlpm.cc,IFERROR(N(VLOOKUP(BC166,Потребители_обозначение,7,FALSE)),0),IF(_xlpm.cc&gt;0,_xlpm.cc,IF(BZ166="","",IF(BV166=1,2,IF(N(BX166)=3,5,3))))))</f>
        <v>3</v>
      </c>
      <c r="CB166">
        <f t="shared" si="295"/>
        <v>3</v>
      </c>
      <c r="CC166">
        <f>IFERROR(N(VLOOKUP(BC166,Потребители_обозначение,10,FALSE)),0)</f>
        <v>0</v>
      </c>
      <c r="CD166">
        <f>IFERROR(VLOOKUP(BC166,Потребители_обозначение,5,FALSE),0)</f>
        <v>1</v>
      </c>
      <c r="CE166" s="6" cm="1">
        <f t="array" ref="CE166">IF(B166="","",IF(BH166&lt;&gt;"",IFERROR(_xlfn.XLOOKUP(BH166,Щиты[Щит],Щиты[cos φ]),0.95),IF(BP166=1,IFERROR(_xlfn.XLOOKUP(A166,Щиты[Щит],Щиты[cos φ]),0.95),IF(ISNUMBER(AD166),AD166,IFERROR(IF(CD166=2,_xlfn.IFS(BX166=3,VLOOKUP(BS166,Справочная_двигатели,8,FALSE),BX166=1,VLOOKUP(BS166,Справочная_двигатели,10,TRUE)),IF(AND(Методика="нормы 2026",FG166="Сил"),0.8,0.95)),0.95)))))</f>
        <v>0.95</v>
      </c>
      <c r="CF166">
        <f t="shared" si="296"/>
        <v>0</v>
      </c>
      <c r="CG166">
        <f t="shared" si="297"/>
        <v>1</v>
      </c>
      <c r="CH166">
        <f t="shared" si="298"/>
        <v>0</v>
      </c>
      <c r="CI166">
        <f>IF(B166="","",IF(BV166=1,IFERROR(BS166/((Uн_лин/SQRT(3))*MAX(0.5,N(CE166))),0),N(O166)))</f>
        <v>0.54696341291648753</v>
      </c>
      <c r="CJ166">
        <f t="shared" si="299"/>
        <v>0</v>
      </c>
      <c r="CK166">
        <f t="shared" si="300"/>
        <v>0</v>
      </c>
      <c r="CL166">
        <f t="shared" si="301"/>
        <v>0</v>
      </c>
      <c r="CM166">
        <f t="shared" si="302"/>
        <v>0</v>
      </c>
      <c r="CN166">
        <f t="shared" si="303"/>
        <v>0</v>
      </c>
      <c r="CO166">
        <f>IF(BC166="",0,_xlfn.LET(_xlpm.v,IFERROR(_xlfn.XLOOKUP(B166,Коды_код,Коды_мА),IFERROR(_xlfn.XLOOKUP(BC166,Коды_код,Коды_мА),IFERROR(_xlfn.XLOOKUP(LEFT(BC166,2),Коды_код,Коды_мА),""))),IF(_xlpm.v="да",30,IF(ISNUMBER(_xlpm.v),_xlpm.v,0))))</f>
        <v>30</v>
      </c>
      <c r="CP166">
        <f t="shared" si="304"/>
        <v>30</v>
      </c>
      <c r="CQ166" t="str">
        <f>_xlfn.LET(_xlpm.k,IFERROR(_xlfn.XLOOKUP(BC166,Коды_код,Коды_утечка)&amp;"",""),IF(_xlpm.k="","дифавтомат",_xlpm.k))</f>
        <v>дифавтомат</v>
      </c>
      <c r="CR166" t="str" cm="1">
        <f t="array" ref="CR166">IF(CG166=0,"",_xlfn.LET(_xlpm.sg,TRIM(_xlfn.TEXTSPLIT(DD166&amp;"",";")),_xlpm.f_,_xlfn._xlws.FILTER(_xlpm.sg,LEFT(_xlpm.sg,3)="УЗО",""),IFERROR(INDEX(_xlpm.f_,1)&amp;"","")))</f>
        <v/>
      </c>
      <c r="CS166" t="str">
        <f t="shared" si="305"/>
        <v/>
      </c>
      <c r="CT166" s="6" t="str" cm="1">
        <f t="array" ref="CT166">IF(CR166="","",_xlfn.LET(_xlpm.tk,_xlfn.TEXTSPLIT(UPPER(CR166)," ",,TRUE),_xlpm.a_,_xlfn._xlws.FILTER(_xlpm.tk,ISNUMBER(--LEFT(_xlpm.tk,1))*((ISNUMBER(SEARCH("А",_xlpm.tk))+ISNUMBER(SEARCH("A",_xlpm.tk)))&gt;0)*NOT(ISNUMBER(SEARCH("МА",_xlpm.tk)))*NOT(ISNUMBER(SEARCH("MA",_xlpm.tk))),""),IFERROR(--SUBSTITUTE(SUBSTITUTE(INDEX(_xlpm.a_,1),"А",""),"A",""),"")))</f>
        <v/>
      </c>
      <c r="CU166" t="str" cm="1">
        <f t="array" ref="CU166">IF(CR166="","",_xlfn.LET(_xlpm.tk,_xlfn.TEXTSPLIT(UPPER(CR166)," ",,TRUE),_xlpm.a_,_xlfn._xlws.FILTER(_xlpm.tk,ISNUMBER(--LEFT(_xlpm.tk,1))*((ISNUMBER(SEARCH("МА",_xlpm.tk))+ISNUMBER(SEARCH("MA",_xlpm.tk)))&gt;0),""),IFERROR(--SUBSTITUTE(SUBSTITUTE(INDEX(_xlpm.a_,1),"МА",""),"MA",""),30)))</f>
        <v/>
      </c>
      <c r="CV166" t="str">
        <f>IF(CS166="","",IFERROR(_xlfn.XLOOKUP(CS166,Линии[_n],Линии[_УЗО, мА]),30))</f>
        <v/>
      </c>
      <c r="CW166">
        <f>IF(CS166="",0,IF(ISNUMBER(SEARCH("4P",IFERROR(_xlfn.XLOOKUP(CS166,Линии[_n],Линии[_УЗО строки])&amp;"",""))),0,1))</f>
        <v>0</v>
      </c>
      <c r="CX166" t="str">
        <f>IF(AND(CS166&lt;&gt;"",CS166=BA166),SUMIFS(Линии[_ток на 230 В],Линии[_блок УЗО],BA166,Линии[Щит],A166),"")</f>
        <v/>
      </c>
      <c r="CY166" t="str">
        <f>IF(AND(CS166&lt;&gt;"",CS166=BA166),SUMIFS(Линии[_ток утечки линии, мА],Линии[_блок УЗО],BA166,Линии[Щит],A166),"")</f>
        <v/>
      </c>
      <c r="CZ166">
        <f t="shared" si="306"/>
        <v>30</v>
      </c>
      <c r="DA166">
        <f t="shared" si="307"/>
        <v>30</v>
      </c>
      <c r="DB166">
        <f>IF(B166="",0,IFERROR(--_xlfn.XLOOKUP(B166,Коды_код,Коды_минавт),IFERROR(--_xlfn.XLOOKUP(BC166,Коды_код,Коды_минавт),IFERROR(--_xlfn.XLOOKUP(LEFT(BC166,2),Коды_код,Коды_минавт),0))))</f>
        <v>16</v>
      </c>
      <c r="DC166" t="str">
        <f>IF(B166="","",IFERROR(_xlfn.XLOOKUP(BC166,Коды_код,Коды_апп)&amp;"",""))</f>
        <v/>
      </c>
      <c r="DD166" t="str">
        <f t="shared" si="308"/>
        <v/>
      </c>
      <c r="DE166" t="str" cm="1">
        <f t="array" ref="DE166">IF(TRIM(DD166&amp;"")="","",IFERROR(TRIM(INDEX(_xlfn.TEXTSPLIT(DD166&amp;";;;",";"),1)),""))</f>
        <v/>
      </c>
      <c r="DF166" t="str" cm="1">
        <f t="array" ref="DF166">IF(TRIM(DD166&amp;"")="","",IFERROR(TRIM(INDEX(_xlfn.TEXTSPLIT(DD166&amp;";;;",";"),2)),""))</f>
        <v/>
      </c>
      <c r="DG166" t="str" cm="1">
        <f t="array" ref="DG166">IF(TRIM(DD166&amp;"")="","",IFERROR(TRIM(INDEX(_xlfn.TEXTSPLIT(DD166&amp;";;;",";"),3)),""))</f>
        <v/>
      </c>
      <c r="DH166">
        <f t="shared" si="309"/>
        <v>0</v>
      </c>
      <c r="DI166" t="str">
        <f>IF(B166="","",_xlfn.LET(_xlpm.t,LOWER(AZ166&amp;""),IF(ISNUMBER(SEARCH("dim",_xlpm.t)),"DIM",IF(ISNUMBER(SEARCH("dali",_xlpm.t)),"DALI",IF(OR(ISNUMBER(SEARCH("relay",_xlpm.t)),ISNUMBER(SEARCH("реле",_xlpm.t))),"Relay",IF(ISNUMBER(SEARCH("кнопк",_xlpm.t)),"",IFERROR(_xlfn.XLOOKUP(BC166,Коды_код,Коды_упр)&amp;"","")))))))</f>
        <v/>
      </c>
      <c r="DJ166" t="str">
        <f t="shared" si="310"/>
        <v/>
      </c>
      <c r="DK166">
        <f>IF(B166="","",_xlfn.LET(_xlpm.ig,IF(N(CX166)&gt;0,N(CX166),N(CI166)+IF(AJ166="вручную",0,N(CJ166))),_xlpm.n0,IFERROR(VLOOKUP(_xlpm.ig,Автомат_номиналы,2,TRUE),0),_xlpm.mn,MAX(DB166,IF(AJ166="вручную",0,N(CM166))),MAX(_xlpm.n0,_xlpm.mn,IF(DH166=1,Мин_автомат_БП,0))))</f>
        <v>16</v>
      </c>
      <c r="DL166">
        <f t="shared" si="311"/>
        <v>1</v>
      </c>
      <c r="DM166" t="str">
        <f t="shared" si="312"/>
        <v>2P</v>
      </c>
      <c r="DN166" t="str">
        <f>_xlfn.LET(_xlpm.cc,UPPER(TRIM(IFERROR(_xlfn.XLOOKUP(BC166,Коды_код,Коды_хар)&amp;"",""))),IF(OR(_xlpm.cc="B",_xlpm.cc="В"),"B",IF(_xlpm.cc="D","D","С")))</f>
        <v>С</v>
      </c>
      <c r="DO166" t="str">
        <f t="shared" si="313"/>
        <v>2P С16А 30мА</v>
      </c>
      <c r="DP166">
        <f t="shared" si="314"/>
        <v>16</v>
      </c>
      <c r="DQ166" t="str">
        <f t="shared" si="315"/>
        <v>2P С16А 30мА</v>
      </c>
      <c r="DR166" cm="1">
        <f t="array" ref="DR166">IF(DQ166="","",_xlfn.LET(_xlpm.t,SUBSTITUTE(SUBSTITUTE(SUBSTITUTE(UPPER(DQ166),"С","C"),"А","A"),"В","B"),_xlpm.tk,_xlfn.TEXTSPLIT(_xlpm.t," "),_xlpm.f,_xlfn._xlws.FILTER(_xlpm.tk,ISNUMBER(--MID(_xlpm.tk,2,1))*ISNUMBER(SEARCH(LEFT(_xlpm.tk,1)&amp;"#","B#C#D#"))*(LEN(_xlpm.tk)&gt;1),""),_xlpm.x,INDEX(_xlpm.f,1),IFERROR(--SUBSTITUTE(MID(_xlpm.x,2,9),"A",""),IFERROR(--SUBSTITUTE(INDEX(_xlfn._xlws.FILTER(_xlpm.tk,ISNUMBER(--SUBSTITUTE(_xlpm.tk,"A","")),""),1),"A",""),""))))</f>
        <v>16</v>
      </c>
      <c r="DS166" t="str">
        <f t="shared" si="316"/>
        <v>ok</v>
      </c>
      <c r="DT166">
        <f t="shared" si="317"/>
        <v>16</v>
      </c>
      <c r="DU166" t="str">
        <f t="shared" si="318"/>
        <v>2P С16А 30мА</v>
      </c>
      <c r="DV166">
        <f t="shared" si="319"/>
        <v>30</v>
      </c>
      <c r="DW166">
        <f t="shared" si="320"/>
        <v>1</v>
      </c>
      <c r="DX166">
        <f t="shared" si="321"/>
        <v>0</v>
      </c>
      <c r="DY166">
        <f t="shared" si="322"/>
        <v>0.54696341291648753</v>
      </c>
      <c r="DZ166">
        <f t="shared" si="323"/>
        <v>1</v>
      </c>
      <c r="EA166">
        <f>IF(ISNUMBER(AP166),AP166,К_прокл)</f>
        <v>1</v>
      </c>
      <c r="EB166">
        <f t="shared" si="324"/>
        <v>2</v>
      </c>
      <c r="EC166">
        <f>IFERROR(N(VLOOKUP(BZ166,Кабель_обозначение,3,FALSE)),1)</f>
        <v>1</v>
      </c>
      <c r="ED166">
        <f>IFERROR(N(_xlfn.XLOOKUP(A166,Щиты[Щит],Щиты[ΔU до шин, %])),0)</f>
        <v>1.57</v>
      </c>
      <c r="EE166" t="str">
        <f>IFERROR(_xlfn.XLOOKUP(A166,Щиты[Щит],Щиты[Zпетли на шинах, Ом]),"")</f>
        <v/>
      </c>
      <c r="EF166">
        <f>IFERROR(N(_xlfn.XLOOKUP(A166,Щиты[Щит],Щиты[ΔU до шин (подбор), %])),0)</f>
        <v>2.5</v>
      </c>
      <c r="EG166" t="str">
        <f>IFERROR(_xlfn.XLOOKUP(A166,Щиты[Щит],Щиты[Zпетли на шинах (подбор), Ом]),"")</f>
        <v/>
      </c>
      <c r="EH166" t="str">
        <f t="shared" si="325"/>
        <v/>
      </c>
      <c r="EI166">
        <f t="shared" si="326"/>
        <v>44</v>
      </c>
      <c r="EJ166">
        <f t="shared" si="327"/>
        <v>2</v>
      </c>
      <c r="EK166">
        <f t="shared" si="328"/>
        <v>0.31</v>
      </c>
      <c r="EL166" s="6">
        <f>IF(B166="","",IF(BV166=1,dU_LED,IF(IFERROR(_xlfn.XLOOKUP(BC166,Коды_код,Коды_уго),"")="Светильник",3,4)+IF(Методика="нормы 2026",MIN(0.5,MAX(0,N(P166)-100)*0.005),0)))</f>
        <v>4</v>
      </c>
      <c r="EM166" cm="1">
        <f t="array" ref="EM166">IF(OR(B166="",BZ166="",EC166&lt;&gt;1),"",_xlfn.LET(_xlpm.sz,Iдоп_S,_xlpm.t_,CHOOSE(EB166,Iдоп_1ж,Iдоп_2ж,Iдоп_3ж)*DZ166*EA166,_xlpm.dcx,BV166=1,_xlpm.inn,IF(_xlpm.dcx,N(O166),N(DT166)),_xlpm.smin,MAX(1.5,CC166),_xlpm.L_,N(P166)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166)/N(BU166)*100,999),IFERROR(N(EJ166)*(_xlpm.rho*_xlpm.L_/_xlpm.sz*N(CE166)+_xlpm.xx*_xlpm.L_*N(EK166)/1000)*N(O166)/((Uн_лин/SQRT(3))*1000)*100,999)),_xlpm.kz,IF(OR(_xlpm.dcx,DW166=1,NOT(ISNUMBER(EG166)),_xlpm.L_=0,_xlpm.inn=0),1,IFERROR(--(c_min*(Uн_лин*1000/SQRT(3))/(EG166+2*ρкз_Cu*_xlpm.L_/_xlpm.sz)&gt;=HT166*_xlpm.inn),0)),_xlpm.ok,IFERROR((_xlpm.sz&gt;=_xlpm.smin)*(_xlpm.t_&gt;=_xlpm.inn)*IF(_xlpm.L_&gt;0,(_xlpm.du_+IF(_xlpm.dcx,0,EF166)&lt;=EL166+0.00001),1)*_xlpm.kz,0),_xlpm.r_,_xlfn._xlws.FILTER(_xlpm.sz,_xlpm.ok,"не подобрано"),INDEX(_xlpm.r_,1)))</f>
        <v>1.5</v>
      </c>
      <c r="EN166">
        <f t="shared" si="329"/>
        <v>2.5</v>
      </c>
      <c r="EO166" cm="1">
        <f t="array" ref="EO166">IF(OR(B166="",BZ166="",EC166&lt;&gt;1),"",_xlfn.LET(_xlpm.sz,Iдоп_S,_xlpm.t_,CHOOSE(EB166,Iдоп_1ж,Iдоп_2ж,Iдоп_3ж)*DZ166*EA166,_xlpm.ok,IFERROR((_xlpm.sz&gt;=MAX(1.5,CC166))*(_xlpm.t_&gt;=N(DT166)),0),_xlpm.r_,_xlfn._xlws.FILTER(_xlpm.sz,_xlpm.ok,""),INDEX(_xlpm.r_,1)))</f>
        <v>1.5</v>
      </c>
      <c r="EP166" s="6" cm="1">
        <f t="array" ref="EP166">IFERROR(ROUNDUP(N(EJ166)*(_xlfn.XLOOKUP(EO166,INDEX(Кабель_сопротивление,0,1),INDEX(Кабель_сопротивление,0,3))*N(P166)/EO166*N(CE166)+_xlfn.XLOOKUP(EO166,INDEX(Кабель_сопротивление,0,1),INDEX(Кабель_сопротивление,0,2))*N(P166)*N(EK166)/1000)*N(O166)/((Uн_лин/SQRT(3))*1000)*100,2),"")</f>
        <v>0.36</v>
      </c>
      <c r="EQ166">
        <f>IFERROR(2*ρкз_Cu*N(P166)/EO166,"")</f>
        <v>1.8585333333333331</v>
      </c>
      <c r="ER166">
        <f>IFERROR(VLOOKUP(EN166,Кабель_сопротивление,3,FALSE),"")</f>
        <v>2.2499999999999999E-2</v>
      </c>
      <c r="ES166">
        <f>IFERROR(VLOOKUP(EN166,Кабель_сопротивление,2,FALSE),"")</f>
        <v>0.1</v>
      </c>
      <c r="ET166">
        <f t="shared" si="330"/>
        <v>24</v>
      </c>
      <c r="EU166">
        <f t="shared" si="331"/>
        <v>0</v>
      </c>
      <c r="EV166">
        <f t="shared" si="332"/>
        <v>0.49751026290105616</v>
      </c>
      <c r="EW166" s="6">
        <f>IFERROR(ROUNDUP(EV166/IF(BV166=1,BU166,(Uн_лин/SQRT(3))*1000)*100,2),"")</f>
        <v>0.22</v>
      </c>
      <c r="EX166" t="str">
        <f>IFERROR(VLOOKUP(BZ166,Кабель_обозначение,2,FALSE),"")</f>
        <v>ВВГнг(А)-LS</v>
      </c>
      <c r="EY166" t="str">
        <f t="shared" si="333"/>
        <v>ВВГнг(А)-LS (3х2,5)</v>
      </c>
      <c r="EZ166" t="str">
        <f t="shared" si="334"/>
        <v>ВВГнг(А)-LS (3х2,5)
L=53-0,22%</v>
      </c>
      <c r="FA166">
        <f>IFERROR(2*ρкз_Cu*P166/EN166,"")</f>
        <v>1.1151199999999999</v>
      </c>
      <c r="FB166">
        <f t="shared" si="335"/>
        <v>0.37100000000000005</v>
      </c>
      <c r="FC166" s="6" t="str">
        <f>IFERROR(IF(OR(B166="",BV166=1,NOT(ISNUMBER(EN166)),N(P166)=0),"",_xlfn.XLOOKUP(A166,Щиты[Щит],Щиты[Zпетли на шинах, Ом])+FA166),"")</f>
        <v/>
      </c>
      <c r="FD166" s="6" t="str">
        <f>IF(ISNUMBER(FC166),c_min*(Uн_лин*1000/SQRT(3))/FC166,"")</f>
        <v/>
      </c>
      <c r="FE166" s="6" t="str">
        <f>IFERROR(IF(OR(B166="",NOT(ISNUMBER(EN166))),"",1.05*(Uн_лин*1000/SQRT(3))/(_xlfn.XLOOKUP(A166,Щиты[Щит],Щиты[Zmax на шинах, Ом])+FB166)/1000),"")</f>
        <v/>
      </c>
      <c r="FF166" s="6" t="str">
        <f>IF(B166="","",IF(ISNUMBER(AC166),"Сил",IF(IFERROR(_xlfn.XLOOKUP(BC166,Коды_код,Коды_группа)&amp;"","")="","Быт",_xlfn.XLOOKUP(BC166,Коды_код,Коды_группа)&amp;"")))</f>
        <v>Быт</v>
      </c>
      <c r="FG166" s="6" t="str">
        <f t="shared" si="336"/>
        <v>Быт</v>
      </c>
      <c r="FH166" s="6">
        <f>IF(FG166="Щит","щит",IF(FG166="","",IF(FG166="Быт",IFERROR(_xlfn.XLOOKUP(A166,Щиты[Щит],Щиты[Кс быт]),1),IF(FG166="Сил",IF(ISNUMBER(AC166),AC166,IF(Методика="нормы 2026",IFERROR(_xlfn.XLOOKUP(A166,Щиты[Щит],Щиты[Кс силовых (табл. 7.5)]),1),1)),IF(OR(FG166="Пост",FG166="Отоп"),1,IF(FG166="ВНГ",0.7,0))))))</f>
        <v>0.8</v>
      </c>
      <c r="FI166">
        <f>IF(FG166="","",IF(AND(BP166=1,TRIM(AE166&amp;"")=""),IF(COUNTIFS(Линии[Щит],A166,Линии[Секция (1/2/3)],"&gt;=2")&gt;0,MIN(3,MAX(1,IFERROR(--BD166,1))),1),IFERROR(MIN(3,MAX(1,INT(--AE166))),1)))</f>
        <v>1</v>
      </c>
      <c r="FJ166">
        <f t="shared" si="337"/>
        <v>0.12</v>
      </c>
      <c r="FK166">
        <f t="shared" si="338"/>
        <v>0.12</v>
      </c>
      <c r="FL166">
        <f t="shared" si="339"/>
        <v>0</v>
      </c>
      <c r="FM166">
        <f t="shared" si="340"/>
        <v>0</v>
      </c>
      <c r="FN166">
        <f t="shared" si="341"/>
        <v>0</v>
      </c>
      <c r="FO166">
        <f t="shared" si="342"/>
        <v>0</v>
      </c>
      <c r="FP166">
        <f t="shared" si="343"/>
        <v>0.12</v>
      </c>
      <c r="FQ166">
        <f t="shared" si="344"/>
        <v>0.12</v>
      </c>
      <c r="FR166">
        <f t="shared" si="345"/>
        <v>0.11399999999999999</v>
      </c>
      <c r="FS166">
        <f>IF(CG166=1,IF(AND(CH166=1,CW166=1),0,IF(AND(CS166&lt;&gt;"",CS166=BA166,CW166=1),SUMIFS(Линии[_Р линии, кВт],Линии[_блок УЗО],BA166,Линии[Щит],A166),N(BS166)+IF(AJ166="вручную",0,N(CK166)))),0)</f>
        <v>0.12</v>
      </c>
      <c r="FT166" t="str">
        <f t="shared" si="346"/>
        <v>L2</v>
      </c>
      <c r="FU166" t="str">
        <f>IF(B166="","",IF(CG166=0,IF(BA166=1,"",FW165),IF(AND(CH166=1,CW166=1,CS166&lt;&gt;""),IFERROR(_xlfn.XLOOKUP(CS166,Линии[_n],Линии[_фаза итог]),"L1"),IF(OR(N(DL166)&gt;=3,N(BX166)&gt;=3),"L1,L2,L3",IFERROR(_xlfn.TEXTBEFORE(_xlfn.TEXTAFTER(_xlfn.XLOOKUP(A166,Щиты[Щит],Щиты[_фазы авто]),";"&amp;BA166&amp;":"),";"),"L1")))))</f>
        <v>L1</v>
      </c>
      <c r="FV166" t="str">
        <f t="shared" si="347"/>
        <v>L2</v>
      </c>
      <c r="FW166" t="str">
        <f t="shared" si="348"/>
        <v>L2</v>
      </c>
      <c r="FX166" cm="1">
        <f t="array" ref="FX166">IFERROR(IF(CD166=2,_xlfn.IFS(BX166=3,VLOOKUP(BS166,Справочная_двигатели,3,FALSE),BX166=1,VLOOKUP(BS166,Справочная_двигатели,5,TRUE)),0),0)</f>
        <v>0</v>
      </c>
      <c r="FY166">
        <f>IFERROR(IF(CD166=3,VLOOKUP(BS166,Справочная_ЛЭД,2,TRUE),0),0)</f>
        <v>0</v>
      </c>
      <c r="FZ166" s="6">
        <f t="shared" si="349"/>
        <v>0</v>
      </c>
      <c r="GA166" t="str">
        <f>IF(B166="","",IF(TRIM(AH166&amp;"")&lt;&gt;"",IF(LOWER(TRIM(AH166&amp;""))="да","да","нет"),IF(IFERROR(_xlfn.XLOOKUP(BC166,Коды_код,Коды_пожарная),"")="да","да","нет")))</f>
        <v>нет</v>
      </c>
      <c r="GB166" t="str">
        <f t="shared" si="350"/>
        <v/>
      </c>
      <c r="GC166" t="str">
        <f t="shared" si="351"/>
        <v>основная</v>
      </c>
      <c r="GD166">
        <f>IF(AND(BP166=1,TRIM(AE166&amp;"")=""),IF(COUNTIFS(Линии[Щит],A166,Линии[Секция (1/2/3)],"&gt;=2")&gt;0,MIN(3,MAX(1,IFERROR(--BD166,1))),1),IFERROR(MIN(3,MAX(1,INT(--AE166))),1))</f>
        <v>1</v>
      </c>
      <c r="GE166" t="str" cm="1">
        <f t="array" ref="GE166">IF(B166="","",_xlfn.LET(_xlpm.t,IFERROR(_xlfn.XLOOKUP(1,(Шины[Шина]=GC166)*(((Шины[Щит]=A166)+(Шины[Щит]=""))&gt;0),Шины[Тип]),"")&amp;"",IF(_xlpm.t&lt;&gt;"",_xlpm.t,IF(ISNUMBER(SEARCH("ИБП",GC166)),"ИБП",IF(ISNUMBER(SEARCH("ДГУ",GC166)),"ДГУ","Ввод "&amp;GD166)))))</f>
        <v>Ввод 1</v>
      </c>
      <c r="GF166" t="str">
        <f t="shared" si="352"/>
        <v>Ввод 1</v>
      </c>
      <c r="GG166" t="str">
        <f>IF(BP166=0,"",IF(TRIM(AG166&amp;"")&lt;&gt;"",TRIM(AG166&amp;""),IF(OR(GE166="ИБП",GE166="ДГУ"),"I особая",_xlfn.XLOOKUP(A166,Щиты[Щит],Щиты[Категория шины «Ввод»],"III"))))</f>
        <v/>
      </c>
      <c r="GH166" t="str">
        <f>IF(A166="","",_xlfn.XLOOKUP(A166,Щиты[Щит],Щиты[Путь],""))</f>
        <v>|ГРЩ-ЖД|ЩР-001|</v>
      </c>
      <c r="GI166" t="str">
        <f>IF(B166="","",IF(AI166&lt;&gt;"",AI166,IF(IFERROR(_xlfn.XLOOKUP(BC166,Коды_код,Коды_вид)&amp;"","")="","Прочее",_xlfn.XLOOKUP(BC166,Коды_код,Коды_вид)&amp;"")))</f>
        <v>Розеточная сеть и бытовые приборы</v>
      </c>
      <c r="GJ166">
        <f>IF(BM166="","",INT((BM166-1)/Столбцов_на_лист)+1)</f>
        <v>2</v>
      </c>
      <c r="GK166" t="str">
        <f t="shared" si="353"/>
        <v>ВВГнг(А)-LS (3х2,5) L=53-0,22%</v>
      </c>
      <c r="GL166">
        <f t="shared" si="354"/>
        <v>0.12</v>
      </c>
      <c r="GM166">
        <f t="shared" si="355"/>
        <v>0.55000000000000004</v>
      </c>
      <c r="GN166">
        <f t="shared" si="356"/>
        <v>1</v>
      </c>
      <c r="GO166">
        <f t="shared" si="357"/>
        <v>0</v>
      </c>
      <c r="GP166">
        <f t="shared" si="358"/>
        <v>1</v>
      </c>
      <c r="GQ166">
        <f>IF(BM166="","",IF(AND(CG166=1,GP166=1),COUNTIFS(A$3:A166,A166,CG$3:CG166,1,GP$3:GP166,1),IF(OR(OR(BA166=1,A166&lt;&gt;A165),AJ166="вручную",GP166=0),"",IF(BA166=1,"",GR165))))</f>
        <v>12</v>
      </c>
      <c r="GR166">
        <f t="shared" si="359"/>
        <v>12</v>
      </c>
      <c r="GS166">
        <f>IF(B166="","",IFERROR(LOOKUP(INDEX(CHOOSE(EB166,Iдоп_1ж,Iдоп_2ж,Iдоп_3ж),MATCH(EN166,Iдоп_S,0))*DZ166*EA166,{6,10,16,20,25,32,40,50,63,80,100,125,160,200,250,315,400,500,630}),""))</f>
        <v>25</v>
      </c>
      <c r="GT166" t="str">
        <f t="shared" si="360"/>
        <v>QFD12</v>
      </c>
      <c r="GU166" t="str">
        <f t="shared" si="361"/>
        <v>QFD12</v>
      </c>
      <c r="GV166" t="str">
        <f t="shared" si="362"/>
        <v/>
      </c>
      <c r="GW166">
        <f t="shared" si="363"/>
        <v>0</v>
      </c>
      <c r="GX166" t="str">
        <f>IF(OR(B166="",DJ166=""),"",IFERROR(_xlfn.XLOOKUP(DJ166,Модули_умолч[Управление],Модули_умолч[Модель])&amp;"",""))</f>
        <v/>
      </c>
      <c r="GY166">
        <f>IF(DJ166="",1,IFERROR(MAX(0,N(_xlfn.XLOOKUP(DJ166,Модули_умолч[Управление],Модули_умолч[Каналов на линию]))),1))</f>
        <v>1</v>
      </c>
      <c r="GZ166" t="str">
        <f t="shared" si="364"/>
        <v/>
      </c>
      <c r="HA166" t="str">
        <f t="shared" si="365"/>
        <v/>
      </c>
      <c r="HB166" t="str">
        <f t="shared" si="366"/>
        <v/>
      </c>
      <c r="HC166">
        <f>IF(HB166="",0,IFERROR(N(VLOOKUP(HB166,Модули_спр,3,FALSE)),0))</f>
        <v>0</v>
      </c>
      <c r="HD166" t="str">
        <f t="shared" si="367"/>
        <v/>
      </c>
      <c r="HE166" t="str">
        <f t="shared" si="368"/>
        <v/>
      </c>
      <c r="HF166" t="str">
        <f>IF(OR(HE166="",HE166="-"),"",IFERROR(VLOOKUP(HE166,Модули_спр,2,FALSE),"R"))</f>
        <v/>
      </c>
      <c r="HG166" t="str">
        <f>IF(HF166="","",HF166&amp;"."&amp;COUNTIFS(A$3:A166,A166,HF$3:HF166,HF166))</f>
        <v/>
      </c>
      <c r="HH166" t="str">
        <f t="shared" si="369"/>
        <v/>
      </c>
      <c r="HI166" t="str">
        <f t="shared" si="370"/>
        <v/>
      </c>
      <c r="HJ166" t="str">
        <f t="shared" si="371"/>
        <v/>
      </c>
      <c r="HK166" t="str">
        <f t="shared" si="372"/>
        <v/>
      </c>
      <c r="HL166">
        <f t="shared" si="373"/>
        <v>1</v>
      </c>
      <c r="HM166" t="str">
        <f>IF(HL166=1,"XT"&amp;COUNTIFS(A$3:A166,A166,HL$3:HL166,1),"")</f>
        <v>XT12</v>
      </c>
      <c r="HN166" t="str">
        <f t="shared" si="374"/>
        <v/>
      </c>
      <c r="HO166" t="str">
        <f t="shared" si="375"/>
        <v>QFD12</v>
      </c>
      <c r="HP166" t="str">
        <f t="shared" si="376"/>
        <v/>
      </c>
      <c r="HQ166" t="str">
        <f t="shared" si="377"/>
        <v>ok</v>
      </c>
      <c r="HR166" t="str">
        <f>IF(OR(HJ166="",HH166=""),"",IF(HJ166+MAX(0,GY166-1)&gt;IFERROR(VLOOKUP(HI166,Модули_спр,3,FALSE),99),"ЛИШНИЙ КАНАЛ",IF(AND(AL166&lt;&gt;"=",GY166&gt;0,COUNTIFS(Линии[_модуль гр.],HH166,Линии[Канал (итог)],HJ166,Линии[Канал],"&lt;&gt;=",Линии[Щит],A166)&gt;1),"ДУБЛЬ КАНАЛА","")))</f>
        <v/>
      </c>
      <c r="HS166" s="6" t="str">
        <f t="shared" si="378"/>
        <v/>
      </c>
      <c r="HT166">
        <f t="shared" si="379"/>
        <v>10</v>
      </c>
      <c r="HU166" t="str">
        <f t="shared" si="380"/>
        <v/>
      </c>
      <c r="HV166">
        <f t="shared" si="381"/>
        <v>0.748785365166595</v>
      </c>
      <c r="HW166">
        <f t="shared" si="382"/>
        <v>0</v>
      </c>
      <c r="HX166">
        <f t="shared" si="383"/>
        <v>0</v>
      </c>
      <c r="HY166">
        <f t="shared" si="384"/>
        <v>0</v>
      </c>
      <c r="HZ166">
        <f t="shared" si="385"/>
        <v>0</v>
      </c>
      <c r="IA166">
        <f t="shared" si="386"/>
        <v>0</v>
      </c>
      <c r="IB166">
        <f t="shared" si="387"/>
        <v>0</v>
      </c>
      <c r="IC166" t="str">
        <f t="shared" si="388"/>
        <v/>
      </c>
      <c r="ID166" t="str" cm="1">
        <f t="array" ref="ID166">IF(IC166="","",_xlfn.LET(_xlpm.tk,_xlfn.TEXTSPLIT(SUBSTITUTE(SUBSTITUTE(IC166,";"," "),"→"," ")," ",,TRUE),_xlpm.w_,_xlfn._xlws.FILTER(_xlpm.tk,ISNUMBER(--LEFT(_xlpm.tk,1))*((ISNUMBER(SEARCH("W",_xlpm.tk))+ISNUMBER(SEARCH("Вт",_xlpm.tk)))&gt;0),""),IFERROR(--SUBSTITUTE(SUBSTITUTE(UPPER(INDEX(_xlpm.w_,1)),"W",""),"ВТ",""),"")))</f>
        <v/>
      </c>
      <c r="IE166" t="str" cm="1">
        <f t="array" ref="IE166">IF(IC166="","",_xlfn.LET(_xlpm.tk,_xlfn.TEXTSPLIT(SUBSTITUTE(SUBSTITUTE(IC166,";"," "),"→"," ")," ",,TRUE),_xlpm.v_,_xlfn._xlws.FILTER(_xlpm.tk,ISNUMBER(--LEFT(_xlpm.tk,1))*((ISNUMBER(SEARCH("V",_xlpm.tk))+(RIGHT(UPPER(_xlpm.tk))="В"))&gt;0),""),IFERROR(--SUBSTITUTE(SUBSTITUTE(UPPER(INDEX(_xlpm.v_,1)),"V",""),"В",""),"")))</f>
        <v/>
      </c>
      <c r="IF166" s="6" t="str">
        <f>IF(OR(BV166=0,HI166="",HJ166=""),"",IFERROR(N(_xlfn.XLOOKUP(HI166,Каталог!$C$4:$C$500,Каталог!$Q$4:$Q$500)),""))</f>
        <v/>
      </c>
      <c r="IG166" s="6" t="str">
        <f>IF(N(IF166)=0,"",SUMIFS(Линии[Iр, А],Линии[Щит],A166,Линии[_модуль гр.],HH166,Линии[Канал (итог)],HJ166))</f>
        <v/>
      </c>
      <c r="IH166" t="str">
        <f>IF(AND(B166="",HO166=""),"",_xlfn.TEXTJOIN("; ",TRUE,IF(AND(B166&lt;&gt;"",FV166=""),"нет фазы",""),IF(AND(B166&lt;&gt;"",N(GL166)=0,FG166&lt;&gt;"Нет"),"нет мощности",""),IF(AND(HN166&lt;&gt;"",COUNTIFS(Линии[Щит],A166,Линии[Клемма (итог)],HN166)&gt;1),"дубль клеммы "&amp;HN166,""),IF(AND(HQ166&lt;&gt;"",HQ166&lt;&gt;"ok"),HQ166,""),IF(HR166&lt;&gt;"",HR166,""),IF(AND(N(CB166)&gt;=4,N(BX166)=1),CB166&amp;" жил на 1 фазе",""),IF(AND(BC166="R",CG166=1,IF(CS166&lt;&gt;"",N(CV166)&gt;30,OR(N(DA166)=0,N(DA166)&gt;30))),"розетка без дифзащиты до 30 мА",""),IF(AND(CG166=1,N(DA166)&gt;0,ISNUMBER(T166)),IF(T166&gt;N(DA166)/3,"ток утечки "&amp;FIXED(T166,1)&amp;" мА &gt; 1/3 уставки ("&amp;DA166&amp;" мА)",""),""),IF(AND(CH166=1,CS166=""),"«узо»: нет строки с УЗО выше (УЗО 2P 40А 30мА в «Аппаратах»)",""),IF(AND(CS166&lt;&gt;"",CS166=BA166),IF(CT166="","впишите номинал УЗО (УЗО 2P 40А 30мА)",IF(N(CT166)&lt;N(DT166),"УЗО "&amp;CT166&amp;" А &lt; автомата "&amp;DT166&amp;" А перед ним",IF(N(CT166)&lt;N(CX166),"УЗО "&amp;CT166&amp;" А &lt; тока блока "&amp;FIXED(CX166,1)&amp;" А",""))),""),IF(AND(CS166&lt;&gt;"",CS166=BA166,ISNUMBER(CY166)),IF(CY166&gt;N(CV166)/3,"ток утечки блока УЗО "&amp;FIXED(CY166,1)&amp;" мА &gt; 1/3 уставки ("&amp;CV166&amp;" мА)",""),""),IF(AND(CG166=1,N(BV166)+N(IB166)&gt;0,IC166=""),"линии до 50 В без БП: впишите в «Аппараты» (БП 24V 480W)",""),IF(AND(CG166=1,ISNUMBER(ID166),ISNUMBER(U166)),IF(U166&gt;ID166,"БП "&amp;ID166&amp;" Вт &lt; нужно "&amp;U166&amp;" Вт (×"&amp;Запас_БП&amp;")",""),""),IF(AND(CG166=1,ISNUMBER(IE166),N(BV166)=1),IF(IE166&lt;&gt;N(BU166),"БП на "&amp;IE166&amp;" В, линия "&amp;BU166&amp;" В",""),""),IF(AND(N(IF166)&gt;0,N(IG166)&gt;N(IF166)),HH166&amp;" канал "&amp;HJ166&amp;": "&amp;FIXED(IG166,1)&amp;" А &gt; "&amp;IF166&amp;" А",""),IFERROR(IF(AND(ISNUMBER(Q166),Q166&gt;EL166),"потери "&amp;FIXED(Q166,1)&amp;" % &gt; "&amp;EL166&amp;" %",""),""),IFERROR(IF(LEFT(HU166,4)="мало","Iкз мало — отключение &gt; 0,4 с",""),""),IF(AND(B166&lt;&gt;"",BM166=""),"не на схеме",""),IF(AND(CG166=0,B166&lt;&gt;"",FV166&lt;&gt;"",IF(BA166=1,"",FW165)&lt;&gt;"",FV166&lt;&gt;IF(BA166=1,"",FW165)),"фаза не как у автомата группы ("&amp;IF(BA166=1,"",FW165)&amp;")","")))</f>
        <v/>
      </c>
      <c r="II166" s="6">
        <f>IF(OR(CG166=0,DQ166=""),"",_xlfn.LET(_xlpm.t,IFERROR(_xlfn.XLOOKUP(DQ166,Каталог!$U$4:$U$500,Каталог!$G$4:$G$500),""),_xlpm.k,SEARCH("кА",_xlpm.t),IFERROR(--TRIM(RIGHT(SUBSTITUTE(MID(_xlpm.t,MAX(1,_xlpm.k-4),_xlpm.k-MAX(1,_xlpm.k-4))," ",REPT(" ",9)),5)),"")))</f>
        <v>6</v>
      </c>
      <c r="IJ166" t="str">
        <f>IF(OR(II166="",CG166=0),"",IF(_xlfn.XLOOKUP(A166,Щиты[Щит],Щиты[Iкз max на шинах, кА],"")="","",IF(II166&lt;_xlfn.XLOOKUP(A166,Щиты[Щит],Щиты[Iкз max на шинах, кА]),"Icu "&amp;II166&amp;" кА &lt; Iкз max","ok")))</f>
        <v/>
      </c>
      <c r="IK166" t="str">
        <f t="shared" si="389"/>
        <v/>
      </c>
      <c r="IL166" t="str">
        <f t="shared" si="390"/>
        <v>QFD12</v>
      </c>
      <c r="IM166" t="str">
        <f t="shared" si="391"/>
        <v>QFD12|кабель ВВГнг(А)-LS (3х2,5) → Розеточная группа, пом. 002</v>
      </c>
      <c r="IN166" t="str" cm="1">
        <f t="array" ref="IN166">IF(IM166="","",_xlfn.LET(_xlpm.nd,_xlfn.TEXTSPLIT(IM166,"|"),IF(COLUMNS(_xlpm.nd)&gt;1,A166&amp;"¦"&amp;INDEX(_xlpm.nd,1)&amp;"¦"&amp;INDEX(_xlpm.nd,2),"")))</f>
        <v>ЩР-001¦QFD12¦кабель ВВГнг(А)-LS (3х2,5) → Розеточная группа, пом. 002</v>
      </c>
      <c r="IO166" t="str">
        <f t="shared" si="392"/>
        <v>R.00.002.1А.1¦Розеточная группа, пом. 002</v>
      </c>
      <c r="IP166" t="str" cm="1">
        <f t="array" ref="IP166">IF(IM166="","",_xlfn.LET(_xlpm.nd,_xlfn.TEXTSPLIT(IM166,"|"),IF(COLUMNS(_xlpm.nd)&gt;2,A166&amp;"¦"&amp;INDEX(_xlpm.nd,2)&amp;"¦"&amp;INDEX(_xlpm.nd,3),"")))</f>
        <v/>
      </c>
      <c r="IQ166" t="str">
        <f t="shared" si="393"/>
        <v/>
      </c>
      <c r="IR166" t="str" cm="1">
        <f t="array" ref="IR166">IF(IM166="","",_xlfn.LET(_xlpm.nd,_xlfn.TEXTSPLIT(IM166,"|"),IF(COLUMNS(_xlpm.nd)&gt;3,A166&amp;"¦"&amp;INDEX(_xlpm.nd,3)&amp;"¦"&amp;INDEX(_xlpm.nd,4),"")))</f>
        <v/>
      </c>
      <c r="IS166" t="str">
        <f t="shared" si="394"/>
        <v/>
      </c>
      <c r="IT166" t="str" cm="1">
        <f t="array" ref="IT166">IF(IM166="","",_xlfn.LET(_xlpm.nd,_xlfn.TEXTSPLIT(IM166,"|"),IF(COLUMNS(_xlpm.nd)&gt;4,A166&amp;"¦"&amp;INDEX(_xlpm.nd,4)&amp;"¦"&amp;INDEX(_xlpm.nd,5),"")))</f>
        <v/>
      </c>
      <c r="IU166" t="str">
        <f t="shared" si="395"/>
        <v/>
      </c>
      <c r="IV166" t="str" cm="1">
        <f t="array" ref="IV166">IF(IM166="","",_xlfn.LET(_xlpm.nd,_xlfn.TEXTSPLIT(IM166,"|"),IF(COLUMNS(_xlpm.nd)&gt;5,A166&amp;"¦"&amp;INDEX(_xlpm.nd,5)&amp;"¦"&amp;INDEX(_xlpm.nd,6),"")))</f>
        <v/>
      </c>
      <c r="IW166" t="str">
        <f t="shared" si="396"/>
        <v/>
      </c>
      <c r="IX166" t="str" cm="1">
        <f t="array" ref="IX166">IF(IM166="","",_xlfn.LET(_xlpm.nd,_xlfn.TEXTSPLIT(IM166,"|"),IF(COLUMNS(_xlpm.nd)&gt;6,A166&amp;"¦"&amp;INDEX(_xlpm.nd,6)&amp;"¦"&amp;INDEX(_xlpm.nd,7),"")))</f>
        <v/>
      </c>
      <c r="IY166" t="str">
        <f t="shared" si="397"/>
        <v/>
      </c>
      <c r="IZ166" t="str">
        <f t="shared" si="398"/>
        <v/>
      </c>
      <c r="JA166" t="str">
        <f t="shared" si="399"/>
        <v>QFD12</v>
      </c>
      <c r="JB166">
        <f t="shared" si="400"/>
        <v>0</v>
      </c>
      <c r="JC166">
        <f t="shared" si="401"/>
        <v>1</v>
      </c>
      <c r="JD166" t="str">
        <f t="shared" si="402"/>
        <v/>
      </c>
      <c r="JE166" t="str">
        <f t="shared" si="403"/>
        <v/>
      </c>
      <c r="JF166" t="str">
        <f t="shared" si="404"/>
        <v/>
      </c>
      <c r="JG166" t="str">
        <f t="shared" si="405"/>
        <v/>
      </c>
      <c r="JH166" t="str">
        <f>IF(B166="","",IFERROR(_xlfn.XLOOKUP(B166,Коды_код,Коды_уго),IFERROR(_xlfn.XLOOKUP(BC166,Коды_код,Коды_уго),IFERROR(_xlfn.XLOOKUP(LEFT(BC166,2),Коды_код,Коды_уго),""))))</f>
        <v>Розетка</v>
      </c>
      <c r="JI166" t="str">
        <f>IF(B166="","",IF(OR(JH166="",JH166=0),"BOX",IFERROR(IF(VLOOKUP(JH166,УГО_блоки,3,FALSE)&amp;""&lt;&gt;"",VLOOKUP(JH166,УГО_блоки,3,FALSE),VLOOKUP(JH166,УГО_блоки,2,FALSE)),JH166)))</f>
        <v>SOCKET</v>
      </c>
      <c r="JJ166">
        <f t="shared" si="406"/>
        <v>1</v>
      </c>
      <c r="JK166" t="str">
        <f>IF(DQ166="","",IF(COUNTIF(DQ$3:DQ166,DQ166)=1,MAX(JK$2:JK165)+1,""))</f>
        <v/>
      </c>
      <c r="JL166" t="str">
        <f>IF(DE166="","",IF(COUNTIF(DE$3:DE166,DE166)+COUNTIF(DF$2:DF165,DE166)+COUNTIF(DG$2:DG165,DE166)=1,MAX(JL$2:JN165)+1,""))</f>
        <v/>
      </c>
      <c r="JM166" t="str">
        <f>IF(DF166="","",IF(COUNTIF(DE$3:DE166,DF166)+COUNTIF(DF$3:DF166,DF166)+COUNTIF(DG$2:DG165,DF166)=1,MAX(JL$2:JN165,JL166)+1,""))</f>
        <v/>
      </c>
      <c r="JN166" t="str">
        <f>IF(DG166="","",IF(COUNTIF(DE$3:DE166,DG166)+COUNTIF(DF$3:DF166,DG166)+COUNTIF(DG$3:DG166,DG166)=1,MAX(JL$2:JN165,JL166,JM166)+1,""))</f>
        <v/>
      </c>
      <c r="JO166" t="str">
        <f t="shared" si="407"/>
        <v>3х2,5</v>
      </c>
      <c r="JP166" t="str">
        <f>IF(JO166="","",IF(COUNTIF(JO$3:JO166,JO166)=1,MAX(JP$2:JP165)+1,""))</f>
        <v/>
      </c>
      <c r="JQ166" t="str">
        <f>IF(HG166="","",COUNTIF(HG$3:HG166,"?*"))</f>
        <v/>
      </c>
      <c r="JR166" t="str">
        <f>IF(OR(HG166="",HI166=""),"",IF(COUNTIFS(HG$3:HG166,"?*",HI$3:HI166,HI166)=1,MAX(JR$2:JR165)+1,""))</f>
        <v/>
      </c>
      <c r="JS166">
        <f t="shared" si="408"/>
        <v>0</v>
      </c>
      <c r="JT166">
        <f>IF(B166="","",COUNTIF(B$3:B166,"?*"))</f>
        <v>164</v>
      </c>
      <c r="JU166">
        <f>IF(HL166&lt;&gt;1,0,_xlfn.LET(_xlpm.k,MAX(IFERROR(--_xlfn.XLOOKUP(B166,Коды_код,Коды_3L),0),IFERROR(--_xlfn.XLOOKUP(BC166,Коды_код,Коды_3L),0),IFERROR(--_xlfn.XLOOKUP(LEFT(BC166,2),Коды_код,Коды_3L),0)),IF(_xlpm.k&gt;0,_xlpm.k,IF(IFERROR(--LEFT(SUBSTITUTE(JO166,"x","х"),FIND("х",SUBSTITUTE(JO166,"x","х"))-1),3)&gt;3,Каталог!$S$9,1))))</f>
        <v>1</v>
      </c>
      <c r="JV166">
        <f t="shared" si="409"/>
        <v>0</v>
      </c>
      <c r="JW166" t="str">
        <f t="shared" si="410"/>
        <v>авто</v>
      </c>
      <c r="JX166">
        <f t="shared" si="411"/>
        <v>30</v>
      </c>
      <c r="JY166">
        <f t="shared" si="412"/>
        <v>1</v>
      </c>
      <c r="JZ166">
        <f t="shared" si="413"/>
        <v>1</v>
      </c>
    </row>
    <row r="167" spans="1:286" x14ac:dyDescent="0.3">
      <c r="A167" t="s">
        <v>753</v>
      </c>
      <c r="B167" t="s">
        <v>1475</v>
      </c>
      <c r="C167" t="str">
        <f>Линии[[#This Row],[_авто наименование]]</f>
        <v>Розеточная группа, пом. 006T</v>
      </c>
      <c r="D167">
        <v>2</v>
      </c>
      <c r="E167">
        <v>0.12</v>
      </c>
      <c r="G167">
        <v>16</v>
      </c>
      <c r="H167" t="str">
        <f>Линии[[#This Row],[_авто управление]]</f>
        <v/>
      </c>
      <c r="I167" t="str">
        <f>Линии[[#This Row],[_авто аппараты]]</f>
        <v/>
      </c>
      <c r="J167">
        <v>2.5</v>
      </c>
      <c r="K167">
        <v>60</v>
      </c>
      <c r="L167">
        <v>3</v>
      </c>
      <c r="M167" t="s">
        <v>484</v>
      </c>
      <c r="N167" t="str">
        <f t="shared" si="276"/>
        <v/>
      </c>
      <c r="O167" s="6" cm="1">
        <f t="array" ref="O167">IF(B167="","",IF(BH167&lt;&gt;"",IFERROR(_xlfn.XLOOKUP(BH167,Щиты[Щит],Щиты[Iр, А]),""),IF(BP167=1,IF(OR(N(_xlfn.XLOOKUP(A167,Щиты[Щит],Щиты[Вводов],1))&lt;=1,LOWER(TRIM(_xlfn.XLOOKUP(A167,Щиты[Щит],Щиты[АВР],"")&amp;""))="да"),IFERROR(_xlfn.XLOOKUP(A167,Щиты[Щит],Щиты[Iр, А]),""),IFERROR(N(BS167)*_xlfn.XLOOKUP(A167,Щиты[Щит],Щиты[Кс итог])/(SQRT(3)*Uн_лин*_xlfn.XLOOKUP(A167,Щиты[Щит],Щиты[cos φ])),"")),IF(BV167=1,IFERROR(BS167*1000/BU167,""),IFERROR(_xlfn.IFS(BX167=1,BS167/((Uн_лин/SQRT(3))*CE167),BX167=3,BS167/(SQRT(3)*Uн_лин*CE167)),"")))))</f>
        <v>0.54696341291648753</v>
      </c>
      <c r="P167" s="7">
        <f>IF(B167="","",IFERROR(IF(VLOOKUP(BC167,Потребители_обозначение,4,FALSE)=1,VLOOKUP(BC167,Потребители_обозначение,3,FALSE)*(MAX(1,N(D167))*2-1)+EI167+VLOOKUP(BE167,Этаж_обозначение,3,FALSE)+VLOOKUP(BE167,Этаж_обозначение,4,FALSE),VLOOKUP(BC167,Потребители_обозначение,3,FALSE)*(MAX(1,N(D167))*2-1)+EI167),EI167))</f>
        <v>69</v>
      </c>
      <c r="Q167" s="6">
        <f t="shared" si="277"/>
        <v>1.86</v>
      </c>
      <c r="R167" t="str">
        <f t="shared" si="278"/>
        <v>ВВГнг(А)-LS (3х2,5)</v>
      </c>
      <c r="S167" t="str">
        <f>IF(BM167="","",IF(BN167="вводной узел","узел ","")&amp;"л."&amp;(INT((BM167-1)/Столбцов_на_лист)+1)&amp;" / "&amp;(MOD(BM167-1,Столбцов_на_лист)+1))</f>
        <v>л.2 / 5</v>
      </c>
      <c r="T167" s="119">
        <f t="shared" si="279"/>
        <v>0.9</v>
      </c>
      <c r="U167" s="7" t="str">
        <f>IF(OR(CG167=0,N(BV167)+N(IB167)=0),"",ROUNDUP(Запас_БП*(N(HY167)+N(HZ167)),0))</f>
        <v/>
      </c>
      <c r="V167" s="119" t="str">
        <f t="shared" si="280"/>
        <v/>
      </c>
      <c r="W167" s="7" t="str">
        <f>IFERROR(IF(OR(B167="",BP167=1,BV167=1,NOT(ISNUMBER(EN167)),N(DT167)=0),"",MAX(0,ROUNDDOWN((c_min*(Uн_лин*1000/SQRT(3))/(HT167*N(DT167))-_xlfn.XLOOKUP(A167,Щиты[Щит],Щиты[Zпетли на шинах, Ом]))*EN167/(2*ρкз_Cu),0))),"")</f>
        <v/>
      </c>
      <c r="Y167">
        <f>Линии[[#This Row],[_авто утечка]]</f>
        <v>30</v>
      </c>
      <c r="Z167">
        <v>1</v>
      </c>
      <c r="AA167">
        <v>230</v>
      </c>
      <c r="AB167" t="s">
        <v>562</v>
      </c>
      <c r="AG167" t="s">
        <v>810</v>
      </c>
      <c r="AI167" t="s">
        <v>561</v>
      </c>
      <c r="AK167" t="str">
        <f>Линии[[#This Row],[_авто модуль]]</f>
        <v/>
      </c>
      <c r="AM167">
        <v>22</v>
      </c>
      <c r="AN167" t="s">
        <v>11</v>
      </c>
      <c r="AO167">
        <v>3</v>
      </c>
      <c r="AQ167">
        <v>33</v>
      </c>
      <c r="AR167">
        <v>36</v>
      </c>
      <c r="AS167">
        <v>18</v>
      </c>
      <c r="BA167" cm="1">
        <f t="array" ref="BA167">ROW()-ROW(Линии[#Headers])</f>
        <v>165</v>
      </c>
      <c r="BC167" s="6" t="str">
        <f t="shared" si="281"/>
        <v>R</v>
      </c>
      <c r="BD167" t="str">
        <f t="shared" si="282"/>
        <v>00.006T.1</v>
      </c>
      <c r="BE167" t="str">
        <f t="shared" si="283"/>
        <v>00</v>
      </c>
      <c r="BF167" t="str">
        <f t="shared" si="284"/>
        <v>006T.1</v>
      </c>
      <c r="BG167" t="str">
        <f t="shared" si="285"/>
        <v>006T</v>
      </c>
      <c r="BH167" t="str">
        <f>IF(X167&lt;&gt;"",X167,IF(AND(B167&lt;&gt;"",B167&lt;&gt;A167,ISNUMBER(_xlfn.XMATCH(B167,Щиты[Щит]))),B167,""))</f>
        <v/>
      </c>
      <c r="BI167" t="str" cm="1">
        <f t="array" ref="BI167">IF(B167="","",IF(BH167&lt;&gt;"","Щит "&amp;BH167,_xlfn.LET(_xlpm.nm,IFERROR(_xlfn.XLOOKUP(BC167,Коды_код,Коды_имя)&amp;"",""),_xlpm.md,IFERROR(N(_xlfn.XLOOKUP(BC167,Коды_код,Коды_режим)),1),_xlpm.ex,IF(Имя_режим="по экспликации",IFERROR(_xlfn.XLOOKUP(BE167&amp;"|"&amp;BG167,Экспликация[Этаж]&amp;"|"&amp;Экспликация[Помещение],Экспликация[Название])&amp;"",""),""),_xlpm.rm,IF(BG167="","",IF(_xlpm.ex&lt;&gt;"",". "&amp;_xlpm.ex&amp;IF(Имя_пом="нет"," ("&amp;BG167&amp;")"," (пом. "&amp;BG167&amp;")"),IF(Имя_пом="нет"," ",", пом. ")&amp;BG167)),IF(_xlpm.nm="","",IF(_xlpm.md=2,_xlpm.nm&amp;" шлейф "&amp;BE167,_xlpm.nm&amp;_xlpm.rm)))))</f>
        <v>Розеточная группа, пом. 006T</v>
      </c>
      <c r="BJ167" t="str">
        <f t="shared" si="286"/>
        <v>Розеточная группа, пом. 006T</v>
      </c>
      <c r="BK167">
        <f>IFERROR(_xlfn.XMATCH(A167,Щиты[Щит]),0)</f>
        <v>8</v>
      </c>
      <c r="BL167">
        <f>_xlfn.LET(_xlpm.k,IFERROR(_xlfn.XLOOKUP(A167,Щиты[Щит],Щиты[Мест под вводной узел]),""),IF(_xlpm.k="",Столбцов_на_лист,N(_xlpm.k)))</f>
        <v>7</v>
      </c>
      <c r="BM167">
        <f t="shared" si="287"/>
        <v>22</v>
      </c>
      <c r="BN167" t="str">
        <f t="shared" si="288"/>
        <v>линии</v>
      </c>
      <c r="BO167" s="6">
        <f>IFERROR(N(_xlfn.XLOOKUP(BC167,Коды_код,Коды_квт)),0)</f>
        <v>0</v>
      </c>
      <c r="BP167">
        <f t="shared" si="289"/>
        <v>0</v>
      </c>
      <c r="BQ167" t="str">
        <f>IF(B167="","",IF(BH167&lt;&gt;"",IFERROR(_xlfn.XLOOKUP(BH167,Щиты[Щит],Щиты[Руст, кВт]),0),IF(BP167=1,IF(OR(N(_xlfn.XLOOKUP(A167,Щиты[Щит],Щиты[Вводов],1))&lt;=1,LOWER(TRIM(_xlfn.XLOOKUP(A167,Щиты[Щит],Щиты[АВР],"")&amp;""))="да"),IFERROR(_xlfn.XLOOKUP(A167,Щиты[Щит],Щиты[Руст, кВт]),0),SUMIFS(Линии[_Р для вводов],Линии[Щит],A167,Линии[Источник для режимов],GF167)),IF(BO167&gt;0,ROUND(BO167*MAX(1,N(D167)),3),""))))</f>
        <v/>
      </c>
      <c r="BR167">
        <f t="shared" si="290"/>
        <v>0.12</v>
      </c>
      <c r="BS167" s="6">
        <f>IF(B167="","",IF(BH167&lt;&gt;"",IFERROR(_xlfn.XLOOKUP(BH167,Щиты[Щит],Щиты[Руст, кВт]),0),N(BR167)))</f>
        <v>0.12</v>
      </c>
      <c r="BT167" t="str">
        <f>IF(B167="","",IFERROR(IF(VLOOKUP(BC167,Потребители_обозначение,8,FALSE)=0,"",VLOOKUP(BC167,Потребители_обозначение,8,FALSE)),""))</f>
        <v/>
      </c>
      <c r="BU167">
        <f t="shared" si="291"/>
        <v>230</v>
      </c>
      <c r="BV167">
        <f t="shared" si="292"/>
        <v>0</v>
      </c>
      <c r="BW167">
        <f>IF(B167="","",IF(BH167&lt;&gt;"",3,IFERROR(IF(N(VLOOKUP(BC167,Потребители_обозначение,9,FALSE))=0,1,VLOOKUP(BC167,Потребители_обозначение,9,FALSE)),1)))</f>
        <v>1</v>
      </c>
      <c r="BX167">
        <f t="shared" si="293"/>
        <v>1</v>
      </c>
      <c r="BY167" t="str">
        <f>IF(B167="","",_xlfn.LET(_xlpm.bc,IFERROR(IF(VLOOKUP(BC167,Потребители_обозначение,6,FALSE)=0,"",VLOOKUP(BC167,Потребители_обозначение,6,FALSE)&amp;""),""),IF(AND(GA167="да",OR(_xlpm.bc="",_xlpm.bc="мс")),Марка_пож,IF(AND(_xlpm.bc="",BH167&lt;&gt;""),"мс",_xlpm.bc))))</f>
        <v/>
      </c>
      <c r="BZ167" t="str">
        <f t="shared" si="294"/>
        <v>мс</v>
      </c>
      <c r="CA167">
        <f>IF(B167="","",_xlfn.LET(_xlpm.cc,IFERROR(N(VLOOKUP(BC167,Потребители_обозначение,7,FALSE)),0),IF(_xlpm.cc&gt;0,_xlpm.cc,IF(BZ167="","",IF(BV167=1,2,IF(N(BX167)=3,5,3))))))</f>
        <v>3</v>
      </c>
      <c r="CB167">
        <f t="shared" si="295"/>
        <v>3</v>
      </c>
      <c r="CC167">
        <f>IFERROR(N(VLOOKUP(BC167,Потребители_обозначение,10,FALSE)),0)</f>
        <v>0</v>
      </c>
      <c r="CD167">
        <f>IFERROR(VLOOKUP(BC167,Потребители_обозначение,5,FALSE),0)</f>
        <v>1</v>
      </c>
      <c r="CE167" s="6" cm="1">
        <f t="array" ref="CE167">IF(B167="","",IF(BH167&lt;&gt;"",IFERROR(_xlfn.XLOOKUP(BH167,Щиты[Щит],Щиты[cos φ]),0.95),IF(BP167=1,IFERROR(_xlfn.XLOOKUP(A167,Щиты[Щит],Щиты[cos φ]),0.95),IF(ISNUMBER(AD167),AD167,IFERROR(IF(CD167=2,_xlfn.IFS(BX167=3,VLOOKUP(BS167,Справочная_двигатели,8,FALSE),BX167=1,VLOOKUP(BS167,Справочная_двигатели,10,TRUE)),IF(AND(Методика="нормы 2026",FG167="Сил"),0.8,0.95)),0.95)))))</f>
        <v>0.95</v>
      </c>
      <c r="CF167">
        <f t="shared" si="296"/>
        <v>0</v>
      </c>
      <c r="CG167">
        <f t="shared" si="297"/>
        <v>1</v>
      </c>
      <c r="CH167">
        <f t="shared" si="298"/>
        <v>0</v>
      </c>
      <c r="CI167">
        <f>IF(B167="","",IF(BV167=1,IFERROR(BS167/((Uн_лин/SQRT(3))*MAX(0.5,N(CE167))),0),N(O167)))</f>
        <v>0.54696341291648753</v>
      </c>
      <c r="CJ167">
        <f t="shared" si="299"/>
        <v>0</v>
      </c>
      <c r="CK167">
        <f t="shared" si="300"/>
        <v>0</v>
      </c>
      <c r="CL167">
        <f t="shared" si="301"/>
        <v>0</v>
      </c>
      <c r="CM167">
        <f t="shared" si="302"/>
        <v>0</v>
      </c>
      <c r="CN167">
        <f t="shared" si="303"/>
        <v>0</v>
      </c>
      <c r="CO167">
        <f>IF(BC167="",0,_xlfn.LET(_xlpm.v,IFERROR(_xlfn.XLOOKUP(B167,Коды_код,Коды_мА),IFERROR(_xlfn.XLOOKUP(BC167,Коды_код,Коды_мА),IFERROR(_xlfn.XLOOKUP(LEFT(BC167,2),Коды_код,Коды_мА),""))),IF(_xlpm.v="да",30,IF(ISNUMBER(_xlpm.v),_xlpm.v,0))))</f>
        <v>30</v>
      </c>
      <c r="CP167">
        <f t="shared" si="304"/>
        <v>30</v>
      </c>
      <c r="CQ167" t="str">
        <f>_xlfn.LET(_xlpm.k,IFERROR(_xlfn.XLOOKUP(BC167,Коды_код,Коды_утечка)&amp;"",""),IF(_xlpm.k="","дифавтомат",_xlpm.k))</f>
        <v>дифавтомат</v>
      </c>
      <c r="CR167" t="str" cm="1">
        <f t="array" ref="CR167">IF(CG167=0,"",_xlfn.LET(_xlpm.sg,TRIM(_xlfn.TEXTSPLIT(DD167&amp;"",";")),_xlpm.f_,_xlfn._xlws.FILTER(_xlpm.sg,LEFT(_xlpm.sg,3)="УЗО",""),IFERROR(INDEX(_xlpm.f_,1)&amp;"","")))</f>
        <v/>
      </c>
      <c r="CS167" t="str">
        <f t="shared" si="305"/>
        <v/>
      </c>
      <c r="CT167" s="6" t="str" cm="1">
        <f t="array" ref="CT167">IF(CR167="","",_xlfn.LET(_xlpm.tk,_xlfn.TEXTSPLIT(UPPER(CR167)," ",,TRUE),_xlpm.a_,_xlfn._xlws.FILTER(_xlpm.tk,ISNUMBER(--LEFT(_xlpm.tk,1))*((ISNUMBER(SEARCH("А",_xlpm.tk))+ISNUMBER(SEARCH("A",_xlpm.tk)))&gt;0)*NOT(ISNUMBER(SEARCH("МА",_xlpm.tk)))*NOT(ISNUMBER(SEARCH("MA",_xlpm.tk))),""),IFERROR(--SUBSTITUTE(SUBSTITUTE(INDEX(_xlpm.a_,1),"А",""),"A",""),"")))</f>
        <v/>
      </c>
      <c r="CU167" t="str" cm="1">
        <f t="array" ref="CU167">IF(CR167="","",_xlfn.LET(_xlpm.tk,_xlfn.TEXTSPLIT(UPPER(CR167)," ",,TRUE),_xlpm.a_,_xlfn._xlws.FILTER(_xlpm.tk,ISNUMBER(--LEFT(_xlpm.tk,1))*((ISNUMBER(SEARCH("МА",_xlpm.tk))+ISNUMBER(SEARCH("MA",_xlpm.tk)))&gt;0),""),IFERROR(--SUBSTITUTE(SUBSTITUTE(INDEX(_xlpm.a_,1),"МА",""),"MA",""),30)))</f>
        <v/>
      </c>
      <c r="CV167" t="str">
        <f>IF(CS167="","",IFERROR(_xlfn.XLOOKUP(CS167,Линии[_n],Линии[_УЗО, мА]),30))</f>
        <v/>
      </c>
      <c r="CW167">
        <f>IF(CS167="",0,IF(ISNUMBER(SEARCH("4P",IFERROR(_xlfn.XLOOKUP(CS167,Линии[_n],Линии[_УЗО строки])&amp;"",""))),0,1))</f>
        <v>0</v>
      </c>
      <c r="CX167" t="str">
        <f>IF(AND(CS167&lt;&gt;"",CS167=BA167),SUMIFS(Линии[_ток на 230 В],Линии[_блок УЗО],BA167,Линии[Щит],A167),"")</f>
        <v/>
      </c>
      <c r="CY167" t="str">
        <f>IF(AND(CS167&lt;&gt;"",CS167=BA167),SUMIFS(Линии[_ток утечки линии, мА],Линии[_блок УЗО],BA167,Линии[Щит],A167),"")</f>
        <v/>
      </c>
      <c r="CZ167">
        <f t="shared" si="306"/>
        <v>30</v>
      </c>
      <c r="DA167">
        <f t="shared" si="307"/>
        <v>30</v>
      </c>
      <c r="DB167">
        <f>IF(B167="",0,IFERROR(--_xlfn.XLOOKUP(B167,Коды_код,Коды_минавт),IFERROR(--_xlfn.XLOOKUP(BC167,Коды_код,Коды_минавт),IFERROR(--_xlfn.XLOOKUP(LEFT(BC167,2),Коды_код,Коды_минавт),0))))</f>
        <v>16</v>
      </c>
      <c r="DC167" t="str">
        <f>IF(B167="","",IFERROR(_xlfn.XLOOKUP(BC167,Коды_код,Коды_апп)&amp;"",""))</f>
        <v/>
      </c>
      <c r="DD167" t="str">
        <f t="shared" si="308"/>
        <v/>
      </c>
      <c r="DE167" t="str" cm="1">
        <f t="array" ref="DE167">IF(TRIM(DD167&amp;"")="","",IFERROR(TRIM(INDEX(_xlfn.TEXTSPLIT(DD167&amp;";;;",";"),1)),""))</f>
        <v/>
      </c>
      <c r="DF167" t="str" cm="1">
        <f t="array" ref="DF167">IF(TRIM(DD167&amp;"")="","",IFERROR(TRIM(INDEX(_xlfn.TEXTSPLIT(DD167&amp;";;;",";"),2)),""))</f>
        <v/>
      </c>
      <c r="DG167" t="str" cm="1">
        <f t="array" ref="DG167">IF(TRIM(DD167&amp;"")="","",IFERROR(TRIM(INDEX(_xlfn.TEXTSPLIT(DD167&amp;";;;",";"),3)),""))</f>
        <v/>
      </c>
      <c r="DH167">
        <f t="shared" si="309"/>
        <v>0</v>
      </c>
      <c r="DI167" t="str">
        <f>IF(B167="","",_xlfn.LET(_xlpm.t,LOWER(AZ167&amp;""),IF(ISNUMBER(SEARCH("dim",_xlpm.t)),"DIM",IF(ISNUMBER(SEARCH("dali",_xlpm.t)),"DALI",IF(OR(ISNUMBER(SEARCH("relay",_xlpm.t)),ISNUMBER(SEARCH("реле",_xlpm.t))),"Relay",IF(ISNUMBER(SEARCH("кнопк",_xlpm.t)),"",IFERROR(_xlfn.XLOOKUP(BC167,Коды_код,Коды_упр)&amp;"","")))))))</f>
        <v/>
      </c>
      <c r="DJ167" t="str">
        <f t="shared" si="310"/>
        <v/>
      </c>
      <c r="DK167">
        <f>IF(B167="","",_xlfn.LET(_xlpm.ig,IF(N(CX167)&gt;0,N(CX167),N(CI167)+IF(AJ167="вручную",0,N(CJ167))),_xlpm.n0,IFERROR(VLOOKUP(_xlpm.ig,Автомат_номиналы,2,TRUE),0),_xlpm.mn,MAX(DB167,IF(AJ167="вручную",0,N(CM167))),MAX(_xlpm.n0,_xlpm.mn,IF(DH167=1,Мин_автомат_БП,0))))</f>
        <v>16</v>
      </c>
      <c r="DL167">
        <f t="shared" si="311"/>
        <v>1</v>
      </c>
      <c r="DM167" t="str">
        <f t="shared" si="312"/>
        <v>2P</v>
      </c>
      <c r="DN167" t="str">
        <f>_xlfn.LET(_xlpm.cc,UPPER(TRIM(IFERROR(_xlfn.XLOOKUP(BC167,Коды_код,Коды_хар)&amp;"",""))),IF(OR(_xlpm.cc="B",_xlpm.cc="В"),"B",IF(_xlpm.cc="D","D","С")))</f>
        <v>С</v>
      </c>
      <c r="DO167" t="str">
        <f t="shared" si="313"/>
        <v>2P С16А 30мА</v>
      </c>
      <c r="DP167">
        <f t="shared" si="314"/>
        <v>16</v>
      </c>
      <c r="DQ167" t="str">
        <f t="shared" si="315"/>
        <v>2P С16А 30мА</v>
      </c>
      <c r="DR167" cm="1">
        <f t="array" ref="DR167">IF(DQ167="","",_xlfn.LET(_xlpm.t,SUBSTITUTE(SUBSTITUTE(SUBSTITUTE(UPPER(DQ167),"С","C"),"А","A"),"В","B"),_xlpm.tk,_xlfn.TEXTSPLIT(_xlpm.t," "),_xlpm.f,_xlfn._xlws.FILTER(_xlpm.tk,ISNUMBER(--MID(_xlpm.tk,2,1))*ISNUMBER(SEARCH(LEFT(_xlpm.tk,1)&amp;"#","B#C#D#"))*(LEN(_xlpm.tk)&gt;1),""),_xlpm.x,INDEX(_xlpm.f,1),IFERROR(--SUBSTITUTE(MID(_xlpm.x,2,9),"A",""),IFERROR(--SUBSTITUTE(INDEX(_xlfn._xlws.FILTER(_xlpm.tk,ISNUMBER(--SUBSTITUTE(_xlpm.tk,"A","")),""),1),"A",""),""))))</f>
        <v>16</v>
      </c>
      <c r="DS167" t="str">
        <f t="shared" si="316"/>
        <v>ok</v>
      </c>
      <c r="DT167">
        <f t="shared" si="317"/>
        <v>16</v>
      </c>
      <c r="DU167" t="str">
        <f t="shared" si="318"/>
        <v>2P С16А 30мА</v>
      </c>
      <c r="DV167">
        <f t="shared" si="319"/>
        <v>30</v>
      </c>
      <c r="DW167">
        <f t="shared" si="320"/>
        <v>1</v>
      </c>
      <c r="DX167">
        <f t="shared" si="321"/>
        <v>0</v>
      </c>
      <c r="DY167">
        <f t="shared" si="322"/>
        <v>0.54696341291648753</v>
      </c>
      <c r="DZ167">
        <f t="shared" si="323"/>
        <v>1</v>
      </c>
      <c r="EA167">
        <f>IF(ISNUMBER(AP167),AP167,К_прокл)</f>
        <v>1</v>
      </c>
      <c r="EB167">
        <f t="shared" si="324"/>
        <v>2</v>
      </c>
      <c r="EC167">
        <f>IFERROR(N(VLOOKUP(BZ167,Кабель_обозначение,3,FALSE)),1)</f>
        <v>1</v>
      </c>
      <c r="ED167">
        <f>IFERROR(N(_xlfn.XLOOKUP(A167,Щиты[Щит],Щиты[ΔU до шин, %])),0)</f>
        <v>1.57</v>
      </c>
      <c r="EE167" t="str">
        <f>IFERROR(_xlfn.XLOOKUP(A167,Щиты[Щит],Щиты[Zпетли на шинах, Ом]),"")</f>
        <v/>
      </c>
      <c r="EF167">
        <f>IFERROR(N(_xlfn.XLOOKUP(A167,Щиты[Щит],Щиты[ΔU до шин (подбор), %])),0)</f>
        <v>2.5</v>
      </c>
      <c r="EG167" t="str">
        <f>IFERROR(_xlfn.XLOOKUP(A167,Щиты[Щит],Щиты[Zпетли на шинах (подбор), Ом]),"")</f>
        <v/>
      </c>
      <c r="EH167" t="str">
        <f t="shared" si="325"/>
        <v/>
      </c>
      <c r="EI167">
        <f t="shared" si="326"/>
        <v>60</v>
      </c>
      <c r="EJ167">
        <f t="shared" si="327"/>
        <v>2</v>
      </c>
      <c r="EK167">
        <f t="shared" si="328"/>
        <v>0.31</v>
      </c>
      <c r="EL167" s="6">
        <f>IF(B167="","",IF(BV167=1,dU_LED,IF(IFERROR(_xlfn.XLOOKUP(BC167,Коды_код,Коды_уго),"")="Светильник",3,4)+IF(Методика="нормы 2026",MIN(0.5,MAX(0,N(P167)-100)*0.005),0)))</f>
        <v>4</v>
      </c>
      <c r="EM167" cm="1">
        <f t="array" ref="EM167">IF(OR(B167="",BZ167="",EC167&lt;&gt;1),"",_xlfn.LET(_xlpm.sz,Iдоп_S,_xlpm.t_,CHOOSE(EB167,Iдоп_1ж,Iдоп_2ж,Iдоп_3ж)*DZ167*EA167,_xlpm.dcx,BV167=1,_xlpm.inn,IF(_xlpm.dcx,N(O167),N(DT167)),_xlpm.smin,MAX(1.5,CC167),_xlpm.L_,N(P167)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167)/N(BU167)*100,999),IFERROR(N(EJ167)*(_xlpm.rho*_xlpm.L_/_xlpm.sz*N(CE167)+_xlpm.xx*_xlpm.L_*N(EK167)/1000)*N(O167)/((Uн_лин/SQRT(3))*1000)*100,999)),_xlpm.kz,IF(OR(_xlpm.dcx,DW167=1,NOT(ISNUMBER(EG167)),_xlpm.L_=0,_xlpm.inn=0),1,IFERROR(--(c_min*(Uн_лин*1000/SQRT(3))/(EG167+2*ρкз_Cu*_xlpm.L_/_xlpm.sz)&gt;=HT167*_xlpm.inn),0)),_xlpm.ok,IFERROR((_xlpm.sz&gt;=_xlpm.smin)*(_xlpm.t_&gt;=_xlpm.inn)*IF(_xlpm.L_&gt;0,(_xlpm.du_+IF(_xlpm.dcx,0,EF167)&lt;=EL167+0.00001),1)*_xlpm.kz,0),_xlpm.r_,_xlfn._xlws.FILTER(_xlpm.sz,_xlpm.ok,"не подобрано"),INDEX(_xlpm.r_,1)))</f>
        <v>1.5</v>
      </c>
      <c r="EN167">
        <f t="shared" si="329"/>
        <v>2.5</v>
      </c>
      <c r="EO167" cm="1">
        <f t="array" ref="EO167">IF(OR(B167="",BZ167="",EC167&lt;&gt;1),"",_xlfn.LET(_xlpm.sz,Iдоп_S,_xlpm.t_,CHOOSE(EB167,Iдоп_1ж,Iдоп_2ж,Iдоп_3ж)*DZ167*EA167,_xlpm.ok,IFERROR((_xlpm.sz&gt;=MAX(1.5,CC167))*(_xlpm.t_&gt;=N(DT167)),0),_xlpm.r_,_xlfn._xlws.FILTER(_xlpm.sz,_xlpm.ok,""),INDEX(_xlpm.r_,1)))</f>
        <v>1.5</v>
      </c>
      <c r="EP167" s="6" cm="1">
        <f t="array" ref="EP167">IFERROR(ROUNDUP(N(EJ167)*(_xlfn.XLOOKUP(EO167,INDEX(Кабель_сопротивление,0,1),INDEX(Кабель_сопротивление,0,3))*N(P167)/EO167*N(CE167)+_xlfn.XLOOKUP(EO167,INDEX(Кабель_сопротивление,0,1),INDEX(Кабель_сопротивление,0,2))*N(P167)*N(EK167)/1000)*N(O167)/((Uн_лин/SQRT(3))*1000)*100,2),"")</f>
        <v>0.47000000000000003</v>
      </c>
      <c r="EQ167">
        <f>IFERROR(2*ρкз_Cu*N(P167)/EO167,"")</f>
        <v>2.4196</v>
      </c>
      <c r="ER167">
        <f>IFERROR(VLOOKUP(EN167,Кабель_сопротивление,3,FALSE),"")</f>
        <v>2.2499999999999999E-2</v>
      </c>
      <c r="ES167">
        <f>IFERROR(VLOOKUP(EN167,Кабель_сопротивление,2,FALSE),"")</f>
        <v>0.1</v>
      </c>
      <c r="ET167">
        <f t="shared" si="330"/>
        <v>36</v>
      </c>
      <c r="EU167">
        <f t="shared" si="331"/>
        <v>18</v>
      </c>
      <c r="EV167">
        <f t="shared" si="332"/>
        <v>0.6477020403806204</v>
      </c>
      <c r="EW167" s="6">
        <f>IFERROR(ROUNDUP(EV167/IF(BV167=1,BU167,(Uн_лин/SQRT(3))*1000)*100,2),"")</f>
        <v>0.29000000000000004</v>
      </c>
      <c r="EX167" t="str">
        <f>IFERROR(VLOOKUP(BZ167,Кабель_обозначение,2,FALSE),"")</f>
        <v>ВВГнг(А)-LS</v>
      </c>
      <c r="EY167" t="str">
        <f t="shared" si="333"/>
        <v>ВВГнг(А)-LS (3х2,5)</v>
      </c>
      <c r="EZ167" t="str">
        <f t="shared" si="334"/>
        <v>ВВГнг(А)-LS (3х2,5)
L=69-0,29%</v>
      </c>
      <c r="FA167">
        <f>IFERROR(2*ρкз_Cu*P167/EN167,"")</f>
        <v>1.4517599999999999</v>
      </c>
      <c r="FB167">
        <f t="shared" si="335"/>
        <v>0.48299999999999998</v>
      </c>
      <c r="FC167" s="6" t="str">
        <f>IFERROR(IF(OR(B167="",BV167=1,NOT(ISNUMBER(EN167)),N(P167)=0),"",_xlfn.XLOOKUP(A167,Щиты[Щит],Щиты[Zпетли на шинах, Ом])+FA167),"")</f>
        <v/>
      </c>
      <c r="FD167" s="6" t="str">
        <f>IF(ISNUMBER(FC167),c_min*(Uн_лин*1000/SQRT(3))/FC167,"")</f>
        <v/>
      </c>
      <c r="FE167" s="6" t="str">
        <f>IFERROR(IF(OR(B167="",NOT(ISNUMBER(EN167))),"",1.05*(Uн_лин*1000/SQRT(3))/(_xlfn.XLOOKUP(A167,Щиты[Щит],Щиты[Zmax на шинах, Ом])+FB167)/1000),"")</f>
        <v/>
      </c>
      <c r="FF167" s="6" t="str">
        <f>IF(B167="","",IF(ISNUMBER(AC167),"Сил",IF(IFERROR(_xlfn.XLOOKUP(BC167,Коды_код,Коды_группа)&amp;"","")="","Быт",_xlfn.XLOOKUP(BC167,Коды_код,Коды_группа)&amp;"")))</f>
        <v>Быт</v>
      </c>
      <c r="FG167" s="6" t="str">
        <f t="shared" si="336"/>
        <v>Быт</v>
      </c>
      <c r="FH167" s="6">
        <f>IF(FG167="Щит","щит",IF(FG167="","",IF(FG167="Быт",IFERROR(_xlfn.XLOOKUP(A167,Щиты[Щит],Щиты[Кс быт]),1),IF(FG167="Сил",IF(ISNUMBER(AC167),AC167,IF(Методика="нормы 2026",IFERROR(_xlfn.XLOOKUP(A167,Щиты[Щит],Щиты[Кс силовых (табл. 7.5)]),1),1)),IF(OR(FG167="Пост",FG167="Отоп"),1,IF(FG167="ВНГ",0.7,0))))))</f>
        <v>0.8</v>
      </c>
      <c r="FI167">
        <f>IF(FG167="","",IF(AND(BP167=1,TRIM(AE167&amp;"")=""),IF(COUNTIFS(Линии[Щит],A167,Линии[Секция (1/2/3)],"&gt;=2")&gt;0,MIN(3,MAX(1,IFERROR(--BD167,1))),1),IFERROR(MIN(3,MAX(1,INT(--AE167))),1)))</f>
        <v>1</v>
      </c>
      <c r="FJ167">
        <f t="shared" si="337"/>
        <v>0.12</v>
      </c>
      <c r="FK167">
        <f t="shared" si="338"/>
        <v>0.12</v>
      </c>
      <c r="FL167">
        <f t="shared" si="339"/>
        <v>0</v>
      </c>
      <c r="FM167">
        <f t="shared" si="340"/>
        <v>0</v>
      </c>
      <c r="FN167">
        <f t="shared" si="341"/>
        <v>0</v>
      </c>
      <c r="FO167">
        <f t="shared" si="342"/>
        <v>0</v>
      </c>
      <c r="FP167">
        <f t="shared" si="343"/>
        <v>0.12</v>
      </c>
      <c r="FQ167">
        <f t="shared" si="344"/>
        <v>0.12</v>
      </c>
      <c r="FR167">
        <f t="shared" si="345"/>
        <v>0.11399999999999999</v>
      </c>
      <c r="FS167">
        <f>IF(CG167=1,IF(AND(CH167=1,CW167=1),0,IF(AND(CS167&lt;&gt;"",CS167=BA167,CW167=1),SUMIFS(Линии[_Р линии, кВт],Линии[_блок УЗО],BA167,Линии[Щит],A167),N(BS167)+IF(AJ167="вручную",0,N(CK167)))),0)</f>
        <v>0.12</v>
      </c>
      <c r="FT167" t="str">
        <f t="shared" si="346"/>
        <v>L3</v>
      </c>
      <c r="FU167" t="str">
        <f>IF(B167="","",IF(CG167=0,IF(BA167=1,"",FW166),IF(AND(CH167=1,CW167=1,CS167&lt;&gt;""),IFERROR(_xlfn.XLOOKUP(CS167,Линии[_n],Линии[_фаза итог]),"L1"),IF(OR(N(DL167)&gt;=3,N(BX167)&gt;=3),"L1,L2,L3",IFERROR(_xlfn.TEXTBEFORE(_xlfn.TEXTAFTER(_xlfn.XLOOKUP(A167,Щиты[Щит],Щиты[_фазы авто]),";"&amp;BA167&amp;":"),";"),"L1")))))</f>
        <v>L1</v>
      </c>
      <c r="FV167" t="str">
        <f t="shared" si="347"/>
        <v>L3</v>
      </c>
      <c r="FW167" t="str">
        <f t="shared" si="348"/>
        <v>L3</v>
      </c>
      <c r="FX167" cm="1">
        <f t="array" ref="FX167">IFERROR(IF(CD167=2,_xlfn.IFS(BX167=3,VLOOKUP(BS167,Справочная_двигатели,3,FALSE),BX167=1,VLOOKUP(BS167,Справочная_двигатели,5,TRUE)),0),0)</f>
        <v>0</v>
      </c>
      <c r="FY167">
        <f>IFERROR(IF(CD167=3,VLOOKUP(BS167,Справочная_ЛЭД,2,TRUE),0),0)</f>
        <v>0</v>
      </c>
      <c r="FZ167" s="6">
        <f t="shared" si="349"/>
        <v>0</v>
      </c>
      <c r="GA167" t="str">
        <f>IF(B167="","",IF(TRIM(AH167&amp;"")&lt;&gt;"",IF(LOWER(TRIM(AH167&amp;""))="да","да","нет"),IF(IFERROR(_xlfn.XLOOKUP(BC167,Коды_код,Коды_пожарная),"")="да","да","нет")))</f>
        <v>нет</v>
      </c>
      <c r="GB167" t="str">
        <f t="shared" si="350"/>
        <v/>
      </c>
      <c r="GC167" t="str">
        <f t="shared" si="351"/>
        <v>основная</v>
      </c>
      <c r="GD167">
        <f>IF(AND(BP167=1,TRIM(AE167&amp;"")=""),IF(COUNTIFS(Линии[Щит],A167,Линии[Секция (1/2/3)],"&gt;=2")&gt;0,MIN(3,MAX(1,IFERROR(--BD167,1))),1),IFERROR(MIN(3,MAX(1,INT(--AE167))),1))</f>
        <v>1</v>
      </c>
      <c r="GE167" t="str" cm="1">
        <f t="array" ref="GE167">IF(B167="","",_xlfn.LET(_xlpm.t,IFERROR(_xlfn.XLOOKUP(1,(Шины[Шина]=GC167)*(((Шины[Щит]=A167)+(Шины[Щит]=""))&gt;0),Шины[Тип]),"")&amp;"",IF(_xlpm.t&lt;&gt;"",_xlpm.t,IF(ISNUMBER(SEARCH("ИБП",GC167)),"ИБП",IF(ISNUMBER(SEARCH("ДГУ",GC167)),"ДГУ","Ввод "&amp;GD167)))))</f>
        <v>Ввод 1</v>
      </c>
      <c r="GF167" t="str">
        <f t="shared" si="352"/>
        <v>Ввод 1</v>
      </c>
      <c r="GG167" t="str">
        <f>IF(BP167=0,"",IF(TRIM(AG167&amp;"")&lt;&gt;"",TRIM(AG167&amp;""),IF(OR(GE167="ИБП",GE167="ДГУ"),"I особая",_xlfn.XLOOKUP(A167,Щиты[Щит],Щиты[Категория шины «Ввод»],"III"))))</f>
        <v/>
      </c>
      <c r="GH167" t="str">
        <f>IF(A167="","",_xlfn.XLOOKUP(A167,Щиты[Щит],Щиты[Путь],""))</f>
        <v>|ГРЩ-ЖД|ЩР-001|</v>
      </c>
      <c r="GI167" t="str">
        <f>IF(B167="","",IF(AI167&lt;&gt;"",AI167,IF(IFERROR(_xlfn.XLOOKUP(BC167,Коды_код,Коды_вид)&amp;"","")="","Прочее",_xlfn.XLOOKUP(BC167,Коды_код,Коды_вид)&amp;"")))</f>
        <v>Розеточная сеть и бытовые приборы</v>
      </c>
      <c r="GJ167">
        <f>IF(BM167="","",INT((BM167-1)/Столбцов_на_лист)+1)</f>
        <v>2</v>
      </c>
      <c r="GK167" t="str">
        <f t="shared" si="353"/>
        <v>ВВГнг(А)-LS (3х2,5) L=69-0,29%</v>
      </c>
      <c r="GL167">
        <f t="shared" si="354"/>
        <v>0.12</v>
      </c>
      <c r="GM167">
        <f t="shared" si="355"/>
        <v>0.55000000000000004</v>
      </c>
      <c r="GN167">
        <f t="shared" si="356"/>
        <v>1</v>
      </c>
      <c r="GO167">
        <f t="shared" si="357"/>
        <v>0</v>
      </c>
      <c r="GP167">
        <f t="shared" si="358"/>
        <v>1</v>
      </c>
      <c r="GQ167">
        <f>IF(BM167="","",IF(AND(CG167=1,GP167=1),COUNTIFS(A$3:A167,A167,CG$3:CG167,1,GP$3:GP167,1),IF(OR(OR(BA167=1,A167&lt;&gt;A166),AJ167="вручную",GP167=0),"",IF(BA167=1,"",GR166))))</f>
        <v>13</v>
      </c>
      <c r="GR167">
        <f t="shared" si="359"/>
        <v>13</v>
      </c>
      <c r="GS167">
        <f>IF(B167="","",IFERROR(LOOKUP(INDEX(CHOOSE(EB167,Iдоп_1ж,Iдоп_2ж,Iдоп_3ж),MATCH(EN167,Iдоп_S,0))*DZ167*EA167,{6,10,16,20,25,32,40,50,63,80,100,125,160,200,250,315,400,500,630}),""))</f>
        <v>25</v>
      </c>
      <c r="GT167" t="str">
        <f t="shared" si="360"/>
        <v>QFD13</v>
      </c>
      <c r="GU167" t="str">
        <f t="shared" si="361"/>
        <v>QFD13</v>
      </c>
      <c r="GV167" t="str">
        <f t="shared" si="362"/>
        <v/>
      </c>
      <c r="GW167">
        <f t="shared" si="363"/>
        <v>0</v>
      </c>
      <c r="GX167" t="str">
        <f>IF(OR(B167="",DJ167=""),"",IFERROR(_xlfn.XLOOKUP(DJ167,Модули_умолч[Управление],Модули_умолч[Модель])&amp;"",""))</f>
        <v/>
      </c>
      <c r="GY167">
        <f>IF(DJ167="",1,IFERROR(MAX(0,N(_xlfn.XLOOKUP(DJ167,Модули_умолч[Управление],Модули_умолч[Каналов на линию]))),1))</f>
        <v>1</v>
      </c>
      <c r="GZ167" t="str">
        <f t="shared" si="364"/>
        <v/>
      </c>
      <c r="HA167" t="str">
        <f t="shared" si="365"/>
        <v/>
      </c>
      <c r="HB167" t="str">
        <f t="shared" si="366"/>
        <v/>
      </c>
      <c r="HC167">
        <f>IF(HB167="",0,IFERROR(N(VLOOKUP(HB167,Модули_спр,3,FALSE)),0))</f>
        <v>0</v>
      </c>
      <c r="HD167" t="str">
        <f t="shared" si="367"/>
        <v/>
      </c>
      <c r="HE167" t="str">
        <f t="shared" si="368"/>
        <v/>
      </c>
      <c r="HF167" t="str">
        <f>IF(OR(HE167="",HE167="-"),"",IFERROR(VLOOKUP(HE167,Модули_спр,2,FALSE),"R"))</f>
        <v/>
      </c>
      <c r="HG167" t="str">
        <f>IF(HF167="","",HF167&amp;"."&amp;COUNTIFS(A$3:A167,A167,HF$3:HF167,HF167))</f>
        <v/>
      </c>
      <c r="HH167" t="str">
        <f t="shared" si="369"/>
        <v/>
      </c>
      <c r="HI167" t="str">
        <f t="shared" si="370"/>
        <v/>
      </c>
      <c r="HJ167" t="str">
        <f t="shared" si="371"/>
        <v/>
      </c>
      <c r="HK167" t="str">
        <f t="shared" si="372"/>
        <v/>
      </c>
      <c r="HL167">
        <f t="shared" si="373"/>
        <v>1</v>
      </c>
      <c r="HM167" t="str">
        <f>IF(HL167=1,"XT"&amp;COUNTIFS(A$3:A167,A167,HL$3:HL167,1),"")</f>
        <v>XT13</v>
      </c>
      <c r="HN167" t="str">
        <f t="shared" si="374"/>
        <v/>
      </c>
      <c r="HO167" t="str">
        <f t="shared" si="375"/>
        <v>QFD13</v>
      </c>
      <c r="HP167" t="str">
        <f t="shared" si="376"/>
        <v/>
      </c>
      <c r="HQ167" t="str">
        <f t="shared" si="377"/>
        <v>ok</v>
      </c>
      <c r="HR167" t="str">
        <f>IF(OR(HJ167="",HH167=""),"",IF(HJ167+MAX(0,GY167-1)&gt;IFERROR(VLOOKUP(HI167,Модули_спр,3,FALSE),99),"ЛИШНИЙ КАНАЛ",IF(AND(AL167&lt;&gt;"=",GY167&gt;0,COUNTIFS(Линии[_модуль гр.],HH167,Линии[Канал (итог)],HJ167,Линии[Канал],"&lt;&gt;=",Линии[Щит],A167)&gt;1),"ДУБЛЬ КАНАЛА","")))</f>
        <v/>
      </c>
      <c r="HS167" s="6" t="str">
        <f t="shared" si="378"/>
        <v/>
      </c>
      <c r="HT167">
        <f t="shared" si="379"/>
        <v>10</v>
      </c>
      <c r="HU167" t="str">
        <f t="shared" si="380"/>
        <v/>
      </c>
      <c r="HV167">
        <f t="shared" si="381"/>
        <v>0.90878536516659514</v>
      </c>
      <c r="HW167">
        <f t="shared" si="382"/>
        <v>0</v>
      </c>
      <c r="HX167">
        <f t="shared" si="383"/>
        <v>0</v>
      </c>
      <c r="HY167">
        <f t="shared" si="384"/>
        <v>0</v>
      </c>
      <c r="HZ167">
        <f t="shared" si="385"/>
        <v>0</v>
      </c>
      <c r="IA167">
        <f t="shared" si="386"/>
        <v>0</v>
      </c>
      <c r="IB167">
        <f t="shared" si="387"/>
        <v>0</v>
      </c>
      <c r="IC167" t="str">
        <f t="shared" si="388"/>
        <v/>
      </c>
      <c r="ID167" t="str" cm="1">
        <f t="array" ref="ID167">IF(IC167="","",_xlfn.LET(_xlpm.tk,_xlfn.TEXTSPLIT(SUBSTITUTE(SUBSTITUTE(IC167,";"," "),"→"," ")," ",,TRUE),_xlpm.w_,_xlfn._xlws.FILTER(_xlpm.tk,ISNUMBER(--LEFT(_xlpm.tk,1))*((ISNUMBER(SEARCH("W",_xlpm.tk))+ISNUMBER(SEARCH("Вт",_xlpm.tk)))&gt;0),""),IFERROR(--SUBSTITUTE(SUBSTITUTE(UPPER(INDEX(_xlpm.w_,1)),"W",""),"ВТ",""),"")))</f>
        <v/>
      </c>
      <c r="IE167" t="str" cm="1">
        <f t="array" ref="IE167">IF(IC167="","",_xlfn.LET(_xlpm.tk,_xlfn.TEXTSPLIT(SUBSTITUTE(SUBSTITUTE(IC167,";"," "),"→"," ")," ",,TRUE),_xlpm.v_,_xlfn._xlws.FILTER(_xlpm.tk,ISNUMBER(--LEFT(_xlpm.tk,1))*((ISNUMBER(SEARCH("V",_xlpm.tk))+(RIGHT(UPPER(_xlpm.tk))="В"))&gt;0),""),IFERROR(--SUBSTITUTE(SUBSTITUTE(UPPER(INDEX(_xlpm.v_,1)),"V",""),"В",""),"")))</f>
        <v/>
      </c>
      <c r="IF167" s="6" t="str">
        <f>IF(OR(BV167=0,HI167="",HJ167=""),"",IFERROR(N(_xlfn.XLOOKUP(HI167,Каталог!$C$4:$C$500,Каталог!$Q$4:$Q$500)),""))</f>
        <v/>
      </c>
      <c r="IG167" s="6" t="str">
        <f>IF(N(IF167)=0,"",SUMIFS(Линии[Iр, А],Линии[Щит],A167,Линии[_модуль гр.],HH167,Линии[Канал (итог)],HJ167))</f>
        <v/>
      </c>
      <c r="IH167" t="str">
        <f>IF(AND(B167="",HO167=""),"",_xlfn.TEXTJOIN("; ",TRUE,IF(AND(B167&lt;&gt;"",FV167=""),"нет фазы",""),IF(AND(B167&lt;&gt;"",N(GL167)=0,FG167&lt;&gt;"Нет"),"нет мощности",""),IF(AND(HN167&lt;&gt;"",COUNTIFS(Линии[Щит],A167,Линии[Клемма (итог)],HN167)&gt;1),"дубль клеммы "&amp;HN167,""),IF(AND(HQ167&lt;&gt;"",HQ167&lt;&gt;"ok"),HQ167,""),IF(HR167&lt;&gt;"",HR167,""),IF(AND(N(CB167)&gt;=4,N(BX167)=1),CB167&amp;" жил на 1 фазе",""),IF(AND(BC167="R",CG167=1,IF(CS167&lt;&gt;"",N(CV167)&gt;30,OR(N(DA167)=0,N(DA167)&gt;30))),"розетка без дифзащиты до 30 мА",""),IF(AND(CG167=1,N(DA167)&gt;0,ISNUMBER(T167)),IF(T167&gt;N(DA167)/3,"ток утечки "&amp;FIXED(T167,1)&amp;" мА &gt; 1/3 уставки ("&amp;DA167&amp;" мА)",""),""),IF(AND(CH167=1,CS167=""),"«узо»: нет строки с УЗО выше (УЗО 2P 40А 30мА в «Аппаратах»)",""),IF(AND(CS167&lt;&gt;"",CS167=BA167),IF(CT167="","впишите номинал УЗО (УЗО 2P 40А 30мА)",IF(N(CT167)&lt;N(DT167),"УЗО "&amp;CT167&amp;" А &lt; автомата "&amp;DT167&amp;" А перед ним",IF(N(CT167)&lt;N(CX167),"УЗО "&amp;CT167&amp;" А &lt; тока блока "&amp;FIXED(CX167,1)&amp;" А",""))),""),IF(AND(CS167&lt;&gt;"",CS167=BA167,ISNUMBER(CY167)),IF(CY167&gt;N(CV167)/3,"ток утечки блока УЗО "&amp;FIXED(CY167,1)&amp;" мА &gt; 1/3 уставки ("&amp;CV167&amp;" мА)",""),""),IF(AND(CG167=1,N(BV167)+N(IB167)&gt;0,IC167=""),"линии до 50 В без БП: впишите в «Аппараты» (БП 24V 480W)",""),IF(AND(CG167=1,ISNUMBER(ID167),ISNUMBER(U167)),IF(U167&gt;ID167,"БП "&amp;ID167&amp;" Вт &lt; нужно "&amp;U167&amp;" Вт (×"&amp;Запас_БП&amp;")",""),""),IF(AND(CG167=1,ISNUMBER(IE167),N(BV167)=1),IF(IE167&lt;&gt;N(BU167),"БП на "&amp;IE167&amp;" В, линия "&amp;BU167&amp;" В",""),""),IF(AND(N(IF167)&gt;0,N(IG167)&gt;N(IF167)),HH167&amp;" канал "&amp;HJ167&amp;": "&amp;FIXED(IG167,1)&amp;" А &gt; "&amp;IF167&amp;" А",""),IFERROR(IF(AND(ISNUMBER(Q167),Q167&gt;EL167),"потери "&amp;FIXED(Q167,1)&amp;" % &gt; "&amp;EL167&amp;" %",""),""),IFERROR(IF(LEFT(HU167,4)="мало","Iкз мало — отключение &gt; 0,4 с",""),""),IF(AND(B167&lt;&gt;"",BM167=""),"не на схеме",""),IF(AND(CG167=0,B167&lt;&gt;"",FV167&lt;&gt;"",IF(BA167=1,"",FW166)&lt;&gt;"",FV167&lt;&gt;IF(BA167=1,"",FW166)),"фаза не как у автомата группы ("&amp;IF(BA167=1,"",FW166)&amp;")","")))</f>
        <v/>
      </c>
      <c r="II167" s="6">
        <f>IF(OR(CG167=0,DQ167=""),"",_xlfn.LET(_xlpm.t,IFERROR(_xlfn.XLOOKUP(DQ167,Каталог!$U$4:$U$500,Каталог!$G$4:$G$500),""),_xlpm.k,SEARCH("кА",_xlpm.t),IFERROR(--TRIM(RIGHT(SUBSTITUTE(MID(_xlpm.t,MAX(1,_xlpm.k-4),_xlpm.k-MAX(1,_xlpm.k-4))," ",REPT(" ",9)),5)),"")))</f>
        <v>6</v>
      </c>
      <c r="IJ167" t="str">
        <f>IF(OR(II167="",CG167=0),"",IF(_xlfn.XLOOKUP(A167,Щиты[Щит],Щиты[Iкз max на шинах, кА],"")="","",IF(II167&lt;_xlfn.XLOOKUP(A167,Щиты[Щит],Щиты[Iкз max на шинах, кА]),"Icu "&amp;II167&amp;" кА &lt; Iкз max","ok")))</f>
        <v/>
      </c>
      <c r="IK167" t="str">
        <f t="shared" si="389"/>
        <v/>
      </c>
      <c r="IL167" t="str">
        <f t="shared" si="390"/>
        <v>QFD13</v>
      </c>
      <c r="IM167" t="str">
        <f t="shared" si="391"/>
        <v>QFD13|кабель ВВГнг(А)-LS (3х2,5) → Розеточная группа, пом. 006T</v>
      </c>
      <c r="IN167" t="str" cm="1">
        <f t="array" ref="IN167">IF(IM167="","",_xlfn.LET(_xlpm.nd,_xlfn.TEXTSPLIT(IM167,"|"),IF(COLUMNS(_xlpm.nd)&gt;1,A167&amp;"¦"&amp;INDEX(_xlpm.nd,1)&amp;"¦"&amp;INDEX(_xlpm.nd,2),"")))</f>
        <v>ЩР-001¦QFD13¦кабель ВВГнг(А)-LS (3х2,5) → Розеточная группа, пом. 006T</v>
      </c>
      <c r="IO167" t="str">
        <f t="shared" si="392"/>
        <v>R.00.006T.1¦Розеточная группа, пом. 006T</v>
      </c>
      <c r="IP167" t="str" cm="1">
        <f t="array" ref="IP167">IF(IM167="","",_xlfn.LET(_xlpm.nd,_xlfn.TEXTSPLIT(IM167,"|"),IF(COLUMNS(_xlpm.nd)&gt;2,A167&amp;"¦"&amp;INDEX(_xlpm.nd,2)&amp;"¦"&amp;INDEX(_xlpm.nd,3),"")))</f>
        <v/>
      </c>
      <c r="IQ167" t="str">
        <f t="shared" si="393"/>
        <v/>
      </c>
      <c r="IR167" t="str" cm="1">
        <f t="array" ref="IR167">IF(IM167="","",_xlfn.LET(_xlpm.nd,_xlfn.TEXTSPLIT(IM167,"|"),IF(COLUMNS(_xlpm.nd)&gt;3,A167&amp;"¦"&amp;INDEX(_xlpm.nd,3)&amp;"¦"&amp;INDEX(_xlpm.nd,4),"")))</f>
        <v/>
      </c>
      <c r="IS167" t="str">
        <f t="shared" si="394"/>
        <v/>
      </c>
      <c r="IT167" t="str" cm="1">
        <f t="array" ref="IT167">IF(IM167="","",_xlfn.LET(_xlpm.nd,_xlfn.TEXTSPLIT(IM167,"|"),IF(COLUMNS(_xlpm.nd)&gt;4,A167&amp;"¦"&amp;INDEX(_xlpm.nd,4)&amp;"¦"&amp;INDEX(_xlpm.nd,5),"")))</f>
        <v/>
      </c>
      <c r="IU167" t="str">
        <f t="shared" si="395"/>
        <v/>
      </c>
      <c r="IV167" t="str" cm="1">
        <f t="array" ref="IV167">IF(IM167="","",_xlfn.LET(_xlpm.nd,_xlfn.TEXTSPLIT(IM167,"|"),IF(COLUMNS(_xlpm.nd)&gt;5,A167&amp;"¦"&amp;INDEX(_xlpm.nd,5)&amp;"¦"&amp;INDEX(_xlpm.nd,6),"")))</f>
        <v/>
      </c>
      <c r="IW167" t="str">
        <f t="shared" si="396"/>
        <v/>
      </c>
      <c r="IX167" t="str" cm="1">
        <f t="array" ref="IX167">IF(IM167="","",_xlfn.LET(_xlpm.nd,_xlfn.TEXTSPLIT(IM167,"|"),IF(COLUMNS(_xlpm.nd)&gt;6,A167&amp;"¦"&amp;INDEX(_xlpm.nd,6)&amp;"¦"&amp;INDEX(_xlpm.nd,7),"")))</f>
        <v/>
      </c>
      <c r="IY167" t="str">
        <f t="shared" si="397"/>
        <v/>
      </c>
      <c r="IZ167" t="str">
        <f t="shared" si="398"/>
        <v/>
      </c>
      <c r="JA167" t="str">
        <f t="shared" si="399"/>
        <v>QFD13</v>
      </c>
      <c r="JB167">
        <f t="shared" si="400"/>
        <v>0</v>
      </c>
      <c r="JC167">
        <f t="shared" si="401"/>
        <v>1</v>
      </c>
      <c r="JD167" t="str">
        <f t="shared" si="402"/>
        <v/>
      </c>
      <c r="JE167" t="str">
        <f t="shared" si="403"/>
        <v/>
      </c>
      <c r="JF167" t="str">
        <f t="shared" si="404"/>
        <v/>
      </c>
      <c r="JG167" t="str">
        <f t="shared" si="405"/>
        <v/>
      </c>
      <c r="JH167" t="str">
        <f>IF(B167="","",IFERROR(_xlfn.XLOOKUP(B167,Коды_код,Коды_уго),IFERROR(_xlfn.XLOOKUP(BC167,Коды_код,Коды_уго),IFERROR(_xlfn.XLOOKUP(LEFT(BC167,2),Коды_код,Коды_уго),""))))</f>
        <v>Розетка</v>
      </c>
      <c r="JI167" t="str">
        <f>IF(B167="","",IF(OR(JH167="",JH167=0),"BOX",IFERROR(IF(VLOOKUP(JH167,УГО_блоки,3,FALSE)&amp;""&lt;&gt;"",VLOOKUP(JH167,УГО_блоки,3,FALSE),VLOOKUP(JH167,УГО_блоки,2,FALSE)),JH167)))</f>
        <v>SOCKET</v>
      </c>
      <c r="JJ167">
        <f t="shared" si="406"/>
        <v>1</v>
      </c>
      <c r="JK167" t="str">
        <f>IF(DQ167="","",IF(COUNTIF(DQ$3:DQ167,DQ167)=1,MAX(JK$2:JK166)+1,""))</f>
        <v/>
      </c>
      <c r="JL167" t="str">
        <f>IF(DE167="","",IF(COUNTIF(DE$3:DE167,DE167)+COUNTIF(DF$2:DF166,DE167)+COUNTIF(DG$2:DG166,DE167)=1,MAX(JL$2:JN166)+1,""))</f>
        <v/>
      </c>
      <c r="JM167" t="str">
        <f>IF(DF167="","",IF(COUNTIF(DE$3:DE167,DF167)+COUNTIF(DF$3:DF167,DF167)+COUNTIF(DG$2:DG166,DF167)=1,MAX(JL$2:JN166,JL167)+1,""))</f>
        <v/>
      </c>
      <c r="JN167" t="str">
        <f>IF(DG167="","",IF(COUNTIF(DE$3:DE167,DG167)+COUNTIF(DF$3:DF167,DG167)+COUNTIF(DG$3:DG167,DG167)=1,MAX(JL$2:JN166,JL167,JM167)+1,""))</f>
        <v/>
      </c>
      <c r="JO167" t="str">
        <f t="shared" si="407"/>
        <v>3х2,5</v>
      </c>
      <c r="JP167" t="str">
        <f>IF(JO167="","",IF(COUNTIF(JO$3:JO167,JO167)=1,MAX(JP$2:JP166)+1,""))</f>
        <v/>
      </c>
      <c r="JQ167" t="str">
        <f>IF(HG167="","",COUNTIF(HG$3:HG167,"?*"))</f>
        <v/>
      </c>
      <c r="JR167" t="str">
        <f>IF(OR(HG167="",HI167=""),"",IF(COUNTIFS(HG$3:HG167,"?*",HI$3:HI167,HI167)=1,MAX(JR$2:JR166)+1,""))</f>
        <v/>
      </c>
      <c r="JS167">
        <f t="shared" si="408"/>
        <v>0</v>
      </c>
      <c r="JT167">
        <f>IF(B167="","",COUNTIF(B$3:B167,"?*"))</f>
        <v>165</v>
      </c>
      <c r="JU167">
        <f>IF(HL167&lt;&gt;1,0,_xlfn.LET(_xlpm.k,MAX(IFERROR(--_xlfn.XLOOKUP(B167,Коды_код,Коды_3L),0),IFERROR(--_xlfn.XLOOKUP(BC167,Коды_код,Коды_3L),0),IFERROR(--_xlfn.XLOOKUP(LEFT(BC167,2),Коды_код,Коды_3L),0)),IF(_xlpm.k&gt;0,_xlpm.k,IF(IFERROR(--LEFT(SUBSTITUTE(JO167,"x","х"),FIND("х",SUBSTITUTE(JO167,"x","х"))-1),3)&gt;3,Каталог!$S$9,1))))</f>
        <v>1</v>
      </c>
      <c r="JV167">
        <f t="shared" si="409"/>
        <v>0</v>
      </c>
      <c r="JW167" t="str">
        <f t="shared" si="410"/>
        <v>авто</v>
      </c>
      <c r="JX167">
        <f t="shared" si="411"/>
        <v>30</v>
      </c>
      <c r="JY167">
        <f t="shared" si="412"/>
        <v>1</v>
      </c>
      <c r="JZ167">
        <f t="shared" si="413"/>
        <v>1</v>
      </c>
    </row>
    <row r="168" spans="1:286" x14ac:dyDescent="0.3">
      <c r="A168" t="s">
        <v>753</v>
      </c>
      <c r="B168" t="s">
        <v>1476</v>
      </c>
      <c r="C168" t="str">
        <f>Линии[[#This Row],[_авто наименование]]</f>
        <v>Розеточная группа, пом. 007Т</v>
      </c>
      <c r="D168">
        <v>1</v>
      </c>
      <c r="E168">
        <v>0.06</v>
      </c>
      <c r="G168">
        <v>16</v>
      </c>
      <c r="H168" t="str">
        <f>Линии[[#This Row],[_авто управление]]</f>
        <v/>
      </c>
      <c r="I168" t="str">
        <f>Линии[[#This Row],[_авто аппараты]]</f>
        <v/>
      </c>
      <c r="J168">
        <v>2.5</v>
      </c>
      <c r="K168">
        <v>23</v>
      </c>
      <c r="L168">
        <v>3</v>
      </c>
      <c r="M168" t="s">
        <v>484</v>
      </c>
      <c r="N168" t="str">
        <f t="shared" si="276"/>
        <v/>
      </c>
      <c r="O168" s="6" cm="1">
        <f t="array" ref="O168">IF(B168="","",IF(BH168&lt;&gt;"",IFERROR(_xlfn.XLOOKUP(BH168,Щиты[Щит],Щиты[Iр, А]),""),IF(BP168=1,IF(OR(N(_xlfn.XLOOKUP(A168,Щиты[Щит],Щиты[Вводов],1))&lt;=1,LOWER(TRIM(_xlfn.XLOOKUP(A168,Щиты[Щит],Щиты[АВР],"")&amp;""))="да"),IFERROR(_xlfn.XLOOKUP(A168,Щиты[Щит],Щиты[Iр, А]),""),IFERROR(N(BS168)*_xlfn.XLOOKUP(A168,Щиты[Щит],Щиты[Кс итог])/(SQRT(3)*Uн_лин*_xlfn.XLOOKUP(A168,Щиты[Щит],Щиты[cos φ])),"")),IF(BV168=1,IFERROR(BS168*1000/BU168,""),IFERROR(_xlfn.IFS(BX168=1,BS168/((Uн_лин/SQRT(3))*CE168),BX168=3,BS168/(SQRT(3)*Uн_лин*CE168)),"")))))</f>
        <v>0.27348170645824377</v>
      </c>
      <c r="P168" s="7">
        <f>IF(B168="","",IFERROR(IF(VLOOKUP(BC168,Потребители_обозначение,4,FALSE)=1,VLOOKUP(BC168,Потребители_обозначение,3,FALSE)*(MAX(1,N(D168))*2-1)+EI168+VLOOKUP(BE168,Этаж_обозначение,3,FALSE)+VLOOKUP(BE168,Этаж_обозначение,4,FALSE),VLOOKUP(BC168,Потребители_обозначение,3,FALSE)*(MAX(1,N(D168))*2-1)+EI168),EI168))</f>
        <v>26</v>
      </c>
      <c r="Q168" s="6">
        <f t="shared" si="277"/>
        <v>1.6300000000000001</v>
      </c>
      <c r="R168" t="str">
        <f t="shared" si="278"/>
        <v>ВВГнг(А)-LS (3х2,5)</v>
      </c>
      <c r="S168" t="str">
        <f>IF(BM168="","",IF(BN168="вводной узел","узел ","")&amp;"л."&amp;(INT((BM168-1)/Столбцов_на_лист)+1)&amp;" / "&amp;(MOD(BM168-1,Столбцов_на_лист)+1))</f>
        <v>л.2 / 6</v>
      </c>
      <c r="T168" s="119">
        <f t="shared" si="279"/>
        <v>0.4</v>
      </c>
      <c r="U168" s="7" t="str">
        <f>IF(OR(CG168=0,N(BV168)+N(IB168)=0),"",ROUNDUP(Запас_БП*(N(HY168)+N(HZ168)),0))</f>
        <v/>
      </c>
      <c r="V168" s="119" t="str">
        <f t="shared" si="280"/>
        <v/>
      </c>
      <c r="W168" s="7" t="str">
        <f>IFERROR(IF(OR(B168="",BP168=1,BV168=1,NOT(ISNUMBER(EN168)),N(DT168)=0),"",MAX(0,ROUNDDOWN((c_min*(Uн_лин*1000/SQRT(3))/(HT168*N(DT168))-_xlfn.XLOOKUP(A168,Щиты[Щит],Щиты[Zпетли на шинах, Ом]))*EN168/(2*ρкз_Cu),0))),"")</f>
        <v/>
      </c>
      <c r="Y168">
        <f>Линии[[#This Row],[_авто утечка]]</f>
        <v>30</v>
      </c>
      <c r="Z168">
        <v>1</v>
      </c>
      <c r="AA168">
        <v>230</v>
      </c>
      <c r="AB168" t="s">
        <v>562</v>
      </c>
      <c r="AG168" t="s">
        <v>810</v>
      </c>
      <c r="AI168" t="s">
        <v>561</v>
      </c>
      <c r="AK168" t="str">
        <f>Линии[[#This Row],[_авто модуль]]</f>
        <v/>
      </c>
      <c r="AM168">
        <v>23</v>
      </c>
      <c r="AN168" t="s">
        <v>11</v>
      </c>
      <c r="AO168">
        <v>3</v>
      </c>
      <c r="AQ168">
        <v>15</v>
      </c>
      <c r="AR168">
        <v>11</v>
      </c>
      <c r="AS168">
        <v>0</v>
      </c>
      <c r="BA168" cm="1">
        <f t="array" ref="BA168">ROW()-ROW(Линии[#Headers])</f>
        <v>166</v>
      </c>
      <c r="BC168" s="6" t="str">
        <f t="shared" si="281"/>
        <v>R</v>
      </c>
      <c r="BD168" t="str">
        <f t="shared" si="282"/>
        <v>00.007Т.1</v>
      </c>
      <c r="BE168" t="str">
        <f t="shared" si="283"/>
        <v>00</v>
      </c>
      <c r="BF168" t="str">
        <f t="shared" si="284"/>
        <v>007Т.1</v>
      </c>
      <c r="BG168" t="str">
        <f t="shared" si="285"/>
        <v>007Т</v>
      </c>
      <c r="BH168" t="str">
        <f>IF(X168&lt;&gt;"",X168,IF(AND(B168&lt;&gt;"",B168&lt;&gt;A168,ISNUMBER(_xlfn.XMATCH(B168,Щиты[Щит]))),B168,""))</f>
        <v/>
      </c>
      <c r="BI168" t="str" cm="1">
        <f t="array" ref="BI168">IF(B168="","",IF(BH168&lt;&gt;"","Щит "&amp;BH168,_xlfn.LET(_xlpm.nm,IFERROR(_xlfn.XLOOKUP(BC168,Коды_код,Коды_имя)&amp;"",""),_xlpm.md,IFERROR(N(_xlfn.XLOOKUP(BC168,Коды_код,Коды_режим)),1),_xlpm.ex,IF(Имя_режим="по экспликации",IFERROR(_xlfn.XLOOKUP(BE168&amp;"|"&amp;BG168,Экспликация[Этаж]&amp;"|"&amp;Экспликация[Помещение],Экспликация[Название])&amp;"",""),""),_xlpm.rm,IF(BG168="","",IF(_xlpm.ex&lt;&gt;"",". "&amp;_xlpm.ex&amp;IF(Имя_пом="нет"," ("&amp;BG168&amp;")"," (пом. "&amp;BG168&amp;")"),IF(Имя_пом="нет"," ",", пом. ")&amp;BG168)),IF(_xlpm.nm="","",IF(_xlpm.md=2,_xlpm.nm&amp;" шлейф "&amp;BE168,_xlpm.nm&amp;_xlpm.rm)))))</f>
        <v>Розеточная группа, пом. 007Т</v>
      </c>
      <c r="BJ168" t="str">
        <f t="shared" si="286"/>
        <v>Розеточная группа, пом. 007Т</v>
      </c>
      <c r="BK168">
        <f>IFERROR(_xlfn.XMATCH(A168,Щиты[Щит]),0)</f>
        <v>8</v>
      </c>
      <c r="BL168">
        <f>_xlfn.LET(_xlpm.k,IFERROR(_xlfn.XLOOKUP(A168,Щиты[Щит],Щиты[Мест под вводной узел]),""),IF(_xlpm.k="",Столбцов_на_лист,N(_xlpm.k)))</f>
        <v>7</v>
      </c>
      <c r="BM168">
        <f t="shared" si="287"/>
        <v>23</v>
      </c>
      <c r="BN168" t="str">
        <f t="shared" si="288"/>
        <v>линии</v>
      </c>
      <c r="BO168" s="6">
        <f>IFERROR(N(_xlfn.XLOOKUP(BC168,Коды_код,Коды_квт)),0)</f>
        <v>0</v>
      </c>
      <c r="BP168">
        <f t="shared" si="289"/>
        <v>0</v>
      </c>
      <c r="BQ168" t="str">
        <f>IF(B168="","",IF(BH168&lt;&gt;"",IFERROR(_xlfn.XLOOKUP(BH168,Щиты[Щит],Щиты[Руст, кВт]),0),IF(BP168=1,IF(OR(N(_xlfn.XLOOKUP(A168,Щиты[Щит],Щиты[Вводов],1))&lt;=1,LOWER(TRIM(_xlfn.XLOOKUP(A168,Щиты[Щит],Щиты[АВР],"")&amp;""))="да"),IFERROR(_xlfn.XLOOKUP(A168,Щиты[Щит],Щиты[Руст, кВт]),0),SUMIFS(Линии[_Р для вводов],Линии[Щит],A168,Линии[Источник для режимов],GF168)),IF(BO168&gt;0,ROUND(BO168*MAX(1,N(D168)),3),""))))</f>
        <v/>
      </c>
      <c r="BR168">
        <f t="shared" si="290"/>
        <v>0.06</v>
      </c>
      <c r="BS168" s="6">
        <f>IF(B168="","",IF(BH168&lt;&gt;"",IFERROR(_xlfn.XLOOKUP(BH168,Щиты[Щит],Щиты[Руст, кВт]),0),N(BR168)))</f>
        <v>0.06</v>
      </c>
      <c r="BT168" t="str">
        <f>IF(B168="","",IFERROR(IF(VLOOKUP(BC168,Потребители_обозначение,8,FALSE)=0,"",VLOOKUP(BC168,Потребители_обозначение,8,FALSE)),""))</f>
        <v/>
      </c>
      <c r="BU168">
        <f t="shared" si="291"/>
        <v>230</v>
      </c>
      <c r="BV168">
        <f t="shared" si="292"/>
        <v>0</v>
      </c>
      <c r="BW168">
        <f>IF(B168="","",IF(BH168&lt;&gt;"",3,IFERROR(IF(N(VLOOKUP(BC168,Потребители_обозначение,9,FALSE))=0,1,VLOOKUP(BC168,Потребители_обозначение,9,FALSE)),1)))</f>
        <v>1</v>
      </c>
      <c r="BX168">
        <f t="shared" si="293"/>
        <v>1</v>
      </c>
      <c r="BY168" t="str">
        <f>IF(B168="","",_xlfn.LET(_xlpm.bc,IFERROR(IF(VLOOKUP(BC168,Потребители_обозначение,6,FALSE)=0,"",VLOOKUP(BC168,Потребители_обозначение,6,FALSE)&amp;""),""),IF(AND(GA168="да",OR(_xlpm.bc="",_xlpm.bc="мс")),Марка_пож,IF(AND(_xlpm.bc="",BH168&lt;&gt;""),"мс",_xlpm.bc))))</f>
        <v/>
      </c>
      <c r="BZ168" t="str">
        <f t="shared" si="294"/>
        <v>мс</v>
      </c>
      <c r="CA168">
        <f>IF(B168="","",_xlfn.LET(_xlpm.cc,IFERROR(N(VLOOKUP(BC168,Потребители_обозначение,7,FALSE)),0),IF(_xlpm.cc&gt;0,_xlpm.cc,IF(BZ168="","",IF(BV168=1,2,IF(N(BX168)=3,5,3))))))</f>
        <v>3</v>
      </c>
      <c r="CB168">
        <f t="shared" si="295"/>
        <v>3</v>
      </c>
      <c r="CC168">
        <f>IFERROR(N(VLOOKUP(BC168,Потребители_обозначение,10,FALSE)),0)</f>
        <v>0</v>
      </c>
      <c r="CD168">
        <f>IFERROR(VLOOKUP(BC168,Потребители_обозначение,5,FALSE),0)</f>
        <v>1</v>
      </c>
      <c r="CE168" s="6" cm="1">
        <f t="array" ref="CE168">IF(B168="","",IF(BH168&lt;&gt;"",IFERROR(_xlfn.XLOOKUP(BH168,Щиты[Щит],Щиты[cos φ]),0.95),IF(BP168=1,IFERROR(_xlfn.XLOOKUP(A168,Щиты[Щит],Щиты[cos φ]),0.95),IF(ISNUMBER(AD168),AD168,IFERROR(IF(CD168=2,_xlfn.IFS(BX168=3,VLOOKUP(BS168,Справочная_двигатели,8,FALSE),BX168=1,VLOOKUP(BS168,Справочная_двигатели,10,TRUE)),IF(AND(Методика="нормы 2026",FG168="Сил"),0.8,0.95)),0.95)))))</f>
        <v>0.95</v>
      </c>
      <c r="CF168">
        <f t="shared" si="296"/>
        <v>0</v>
      </c>
      <c r="CG168">
        <f t="shared" si="297"/>
        <v>1</v>
      </c>
      <c r="CH168">
        <f t="shared" si="298"/>
        <v>0</v>
      </c>
      <c r="CI168">
        <f>IF(B168="","",IF(BV168=1,IFERROR(BS168/((Uн_лин/SQRT(3))*MAX(0.5,N(CE168))),0),N(O168)))</f>
        <v>0.27348170645824377</v>
      </c>
      <c r="CJ168">
        <f t="shared" si="299"/>
        <v>0</v>
      </c>
      <c r="CK168">
        <f t="shared" si="300"/>
        <v>0</v>
      </c>
      <c r="CL168">
        <f t="shared" si="301"/>
        <v>0</v>
      </c>
      <c r="CM168">
        <f t="shared" si="302"/>
        <v>0</v>
      </c>
      <c r="CN168">
        <f t="shared" si="303"/>
        <v>0</v>
      </c>
      <c r="CO168">
        <f>IF(BC168="",0,_xlfn.LET(_xlpm.v,IFERROR(_xlfn.XLOOKUP(B168,Коды_код,Коды_мА),IFERROR(_xlfn.XLOOKUP(BC168,Коды_код,Коды_мА),IFERROR(_xlfn.XLOOKUP(LEFT(BC168,2),Коды_код,Коды_мА),""))),IF(_xlpm.v="да",30,IF(ISNUMBER(_xlpm.v),_xlpm.v,0))))</f>
        <v>30</v>
      </c>
      <c r="CP168">
        <f t="shared" si="304"/>
        <v>30</v>
      </c>
      <c r="CQ168" t="str">
        <f>_xlfn.LET(_xlpm.k,IFERROR(_xlfn.XLOOKUP(BC168,Коды_код,Коды_утечка)&amp;"",""),IF(_xlpm.k="","дифавтомат",_xlpm.k))</f>
        <v>дифавтомат</v>
      </c>
      <c r="CR168" t="str" cm="1">
        <f t="array" ref="CR168">IF(CG168=0,"",_xlfn.LET(_xlpm.sg,TRIM(_xlfn.TEXTSPLIT(DD168&amp;"",";")),_xlpm.f_,_xlfn._xlws.FILTER(_xlpm.sg,LEFT(_xlpm.sg,3)="УЗО",""),IFERROR(INDEX(_xlpm.f_,1)&amp;"","")))</f>
        <v/>
      </c>
      <c r="CS168" t="str">
        <f t="shared" si="305"/>
        <v/>
      </c>
      <c r="CT168" s="6" t="str" cm="1">
        <f t="array" ref="CT168">IF(CR168="","",_xlfn.LET(_xlpm.tk,_xlfn.TEXTSPLIT(UPPER(CR168)," ",,TRUE),_xlpm.a_,_xlfn._xlws.FILTER(_xlpm.tk,ISNUMBER(--LEFT(_xlpm.tk,1))*((ISNUMBER(SEARCH("А",_xlpm.tk))+ISNUMBER(SEARCH("A",_xlpm.tk)))&gt;0)*NOT(ISNUMBER(SEARCH("МА",_xlpm.tk)))*NOT(ISNUMBER(SEARCH("MA",_xlpm.tk))),""),IFERROR(--SUBSTITUTE(SUBSTITUTE(INDEX(_xlpm.a_,1),"А",""),"A",""),"")))</f>
        <v/>
      </c>
      <c r="CU168" t="str" cm="1">
        <f t="array" ref="CU168">IF(CR168="","",_xlfn.LET(_xlpm.tk,_xlfn.TEXTSPLIT(UPPER(CR168)," ",,TRUE),_xlpm.a_,_xlfn._xlws.FILTER(_xlpm.tk,ISNUMBER(--LEFT(_xlpm.tk,1))*((ISNUMBER(SEARCH("МА",_xlpm.tk))+ISNUMBER(SEARCH("MA",_xlpm.tk)))&gt;0),""),IFERROR(--SUBSTITUTE(SUBSTITUTE(INDEX(_xlpm.a_,1),"МА",""),"MA",""),30)))</f>
        <v/>
      </c>
      <c r="CV168" t="str">
        <f>IF(CS168="","",IFERROR(_xlfn.XLOOKUP(CS168,Линии[_n],Линии[_УЗО, мА]),30))</f>
        <v/>
      </c>
      <c r="CW168">
        <f>IF(CS168="",0,IF(ISNUMBER(SEARCH("4P",IFERROR(_xlfn.XLOOKUP(CS168,Линии[_n],Линии[_УЗО строки])&amp;"",""))),0,1))</f>
        <v>0</v>
      </c>
      <c r="CX168" t="str">
        <f>IF(AND(CS168&lt;&gt;"",CS168=BA168),SUMIFS(Линии[_ток на 230 В],Линии[_блок УЗО],BA168,Линии[Щит],A168),"")</f>
        <v/>
      </c>
      <c r="CY168" t="str">
        <f>IF(AND(CS168&lt;&gt;"",CS168=BA168),SUMIFS(Линии[_ток утечки линии, мА],Линии[_блок УЗО],BA168,Линии[Щит],A168),"")</f>
        <v/>
      </c>
      <c r="CZ168">
        <f t="shared" si="306"/>
        <v>30</v>
      </c>
      <c r="DA168">
        <f t="shared" si="307"/>
        <v>30</v>
      </c>
      <c r="DB168">
        <f>IF(B168="",0,IFERROR(--_xlfn.XLOOKUP(B168,Коды_код,Коды_минавт),IFERROR(--_xlfn.XLOOKUP(BC168,Коды_код,Коды_минавт),IFERROR(--_xlfn.XLOOKUP(LEFT(BC168,2),Коды_код,Коды_минавт),0))))</f>
        <v>16</v>
      </c>
      <c r="DC168" t="str">
        <f>IF(B168="","",IFERROR(_xlfn.XLOOKUP(BC168,Коды_код,Коды_апп)&amp;"",""))</f>
        <v/>
      </c>
      <c r="DD168" t="str">
        <f t="shared" si="308"/>
        <v/>
      </c>
      <c r="DE168" t="str" cm="1">
        <f t="array" ref="DE168">IF(TRIM(DD168&amp;"")="","",IFERROR(TRIM(INDEX(_xlfn.TEXTSPLIT(DD168&amp;";;;",";"),1)),""))</f>
        <v/>
      </c>
      <c r="DF168" t="str" cm="1">
        <f t="array" ref="DF168">IF(TRIM(DD168&amp;"")="","",IFERROR(TRIM(INDEX(_xlfn.TEXTSPLIT(DD168&amp;";;;",";"),2)),""))</f>
        <v/>
      </c>
      <c r="DG168" t="str" cm="1">
        <f t="array" ref="DG168">IF(TRIM(DD168&amp;"")="","",IFERROR(TRIM(INDEX(_xlfn.TEXTSPLIT(DD168&amp;";;;",";"),3)),""))</f>
        <v/>
      </c>
      <c r="DH168">
        <f t="shared" si="309"/>
        <v>0</v>
      </c>
      <c r="DI168" t="str">
        <f>IF(B168="","",_xlfn.LET(_xlpm.t,LOWER(AZ168&amp;""),IF(ISNUMBER(SEARCH("dim",_xlpm.t)),"DIM",IF(ISNUMBER(SEARCH("dali",_xlpm.t)),"DALI",IF(OR(ISNUMBER(SEARCH("relay",_xlpm.t)),ISNUMBER(SEARCH("реле",_xlpm.t))),"Relay",IF(ISNUMBER(SEARCH("кнопк",_xlpm.t)),"",IFERROR(_xlfn.XLOOKUP(BC168,Коды_код,Коды_упр)&amp;"","")))))))</f>
        <v/>
      </c>
      <c r="DJ168" t="str">
        <f t="shared" si="310"/>
        <v/>
      </c>
      <c r="DK168">
        <f>IF(B168="","",_xlfn.LET(_xlpm.ig,IF(N(CX168)&gt;0,N(CX168),N(CI168)+IF(AJ168="вручную",0,N(CJ168))),_xlpm.n0,IFERROR(VLOOKUP(_xlpm.ig,Автомат_номиналы,2,TRUE),0),_xlpm.mn,MAX(DB168,IF(AJ168="вручную",0,N(CM168))),MAX(_xlpm.n0,_xlpm.mn,IF(DH168=1,Мин_автомат_БП,0))))</f>
        <v>16</v>
      </c>
      <c r="DL168">
        <f t="shared" si="311"/>
        <v>1</v>
      </c>
      <c r="DM168" t="str">
        <f t="shared" si="312"/>
        <v>2P</v>
      </c>
      <c r="DN168" t="str">
        <f>_xlfn.LET(_xlpm.cc,UPPER(TRIM(IFERROR(_xlfn.XLOOKUP(BC168,Коды_код,Коды_хар)&amp;"",""))),IF(OR(_xlpm.cc="B",_xlpm.cc="В"),"B",IF(_xlpm.cc="D","D","С")))</f>
        <v>С</v>
      </c>
      <c r="DO168" t="str">
        <f t="shared" si="313"/>
        <v>2P С16А 30мА</v>
      </c>
      <c r="DP168">
        <f t="shared" si="314"/>
        <v>16</v>
      </c>
      <c r="DQ168" t="str">
        <f t="shared" si="315"/>
        <v>2P С16А 30мА</v>
      </c>
      <c r="DR168" cm="1">
        <f t="array" ref="DR168">IF(DQ168="","",_xlfn.LET(_xlpm.t,SUBSTITUTE(SUBSTITUTE(SUBSTITUTE(UPPER(DQ168),"С","C"),"А","A"),"В","B"),_xlpm.tk,_xlfn.TEXTSPLIT(_xlpm.t," "),_xlpm.f,_xlfn._xlws.FILTER(_xlpm.tk,ISNUMBER(--MID(_xlpm.tk,2,1))*ISNUMBER(SEARCH(LEFT(_xlpm.tk,1)&amp;"#","B#C#D#"))*(LEN(_xlpm.tk)&gt;1),""),_xlpm.x,INDEX(_xlpm.f,1),IFERROR(--SUBSTITUTE(MID(_xlpm.x,2,9),"A",""),IFERROR(--SUBSTITUTE(INDEX(_xlfn._xlws.FILTER(_xlpm.tk,ISNUMBER(--SUBSTITUTE(_xlpm.tk,"A","")),""),1),"A",""),""))))</f>
        <v>16</v>
      </c>
      <c r="DS168" t="str">
        <f t="shared" si="316"/>
        <v>ok</v>
      </c>
      <c r="DT168">
        <f t="shared" si="317"/>
        <v>16</v>
      </c>
      <c r="DU168" t="str">
        <f t="shared" si="318"/>
        <v>2P С16А 30мА</v>
      </c>
      <c r="DV168">
        <f t="shared" si="319"/>
        <v>30</v>
      </c>
      <c r="DW168">
        <f t="shared" si="320"/>
        <v>1</v>
      </c>
      <c r="DX168">
        <f t="shared" si="321"/>
        <v>0</v>
      </c>
      <c r="DY168">
        <f t="shared" si="322"/>
        <v>0.27348170645824377</v>
      </c>
      <c r="DZ168">
        <f t="shared" si="323"/>
        <v>1</v>
      </c>
      <c r="EA168">
        <f>IF(ISNUMBER(AP168),AP168,К_прокл)</f>
        <v>1</v>
      </c>
      <c r="EB168">
        <f t="shared" si="324"/>
        <v>2</v>
      </c>
      <c r="EC168">
        <f>IFERROR(N(VLOOKUP(BZ168,Кабель_обозначение,3,FALSE)),1)</f>
        <v>1</v>
      </c>
      <c r="ED168">
        <f>IFERROR(N(_xlfn.XLOOKUP(A168,Щиты[Щит],Щиты[ΔU до шин, %])),0)</f>
        <v>1.57</v>
      </c>
      <c r="EE168" t="str">
        <f>IFERROR(_xlfn.XLOOKUP(A168,Щиты[Щит],Щиты[Zпетли на шинах, Ом]),"")</f>
        <v/>
      </c>
      <c r="EF168">
        <f>IFERROR(N(_xlfn.XLOOKUP(A168,Щиты[Щит],Щиты[ΔU до шин (подбор), %])),0)</f>
        <v>2.5</v>
      </c>
      <c r="EG168" t="str">
        <f>IFERROR(_xlfn.XLOOKUP(A168,Щиты[Щит],Щиты[Zпетли на шинах (подбор), Ом]),"")</f>
        <v/>
      </c>
      <c r="EH168" t="str">
        <f t="shared" si="325"/>
        <v/>
      </c>
      <c r="EI168">
        <f t="shared" si="326"/>
        <v>23</v>
      </c>
      <c r="EJ168">
        <f t="shared" si="327"/>
        <v>2</v>
      </c>
      <c r="EK168">
        <f t="shared" si="328"/>
        <v>0.31</v>
      </c>
      <c r="EL168" s="6">
        <f>IF(B168="","",IF(BV168=1,dU_LED,IF(IFERROR(_xlfn.XLOOKUP(BC168,Коды_код,Коды_уго),"")="Светильник",3,4)+IF(Методика="нормы 2026",MIN(0.5,MAX(0,N(P168)-100)*0.005),0)))</f>
        <v>4</v>
      </c>
      <c r="EM168" cm="1">
        <f t="array" ref="EM168">IF(OR(B168="",BZ168="",EC168&lt;&gt;1),"",_xlfn.LET(_xlpm.sz,Iдоп_S,_xlpm.t_,CHOOSE(EB168,Iдоп_1ж,Iдоп_2ж,Iдоп_3ж)*DZ168*EA168,_xlpm.dcx,BV168=1,_xlpm.inn,IF(_xlpm.dcx,N(O168),N(DT168)),_xlpm.smin,MAX(1.5,CC168),_xlpm.L_,N(P168)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168)/N(BU168)*100,999),IFERROR(N(EJ168)*(_xlpm.rho*_xlpm.L_/_xlpm.sz*N(CE168)+_xlpm.xx*_xlpm.L_*N(EK168)/1000)*N(O168)/((Uн_лин/SQRT(3))*1000)*100,999)),_xlpm.kz,IF(OR(_xlpm.dcx,DW168=1,NOT(ISNUMBER(EG168)),_xlpm.L_=0,_xlpm.inn=0),1,IFERROR(--(c_min*(Uн_лин*1000/SQRT(3))/(EG168+2*ρкз_Cu*_xlpm.L_/_xlpm.sz)&gt;=HT168*_xlpm.inn),0)),_xlpm.ok,IFERROR((_xlpm.sz&gt;=_xlpm.smin)*(_xlpm.t_&gt;=_xlpm.inn)*IF(_xlpm.L_&gt;0,(_xlpm.du_+IF(_xlpm.dcx,0,EF168)&lt;=EL168+0.00001),1)*_xlpm.kz,0),_xlpm.r_,_xlfn._xlws.FILTER(_xlpm.sz,_xlpm.ok,"не подобрано"),INDEX(_xlpm.r_,1)))</f>
        <v>1.5</v>
      </c>
      <c r="EN168">
        <f t="shared" si="329"/>
        <v>2.5</v>
      </c>
      <c r="EO168" cm="1">
        <f t="array" ref="EO168">IF(OR(B168="",BZ168="",EC168&lt;&gt;1),"",_xlfn.LET(_xlpm.sz,Iдоп_S,_xlpm.t_,CHOOSE(EB168,Iдоп_1ж,Iдоп_2ж,Iдоп_3ж)*DZ168*EA168,_xlpm.ok,IFERROR((_xlpm.sz&gt;=MAX(1.5,CC168))*(_xlpm.t_&gt;=N(DT168)),0),_xlpm.r_,_xlfn._xlws.FILTER(_xlpm.sz,_xlpm.ok,""),INDEX(_xlpm.r_,1)))</f>
        <v>1.5</v>
      </c>
      <c r="EP168" s="6" cm="1">
        <f t="array" ref="EP168">IFERROR(ROUNDUP(N(EJ168)*(_xlfn.XLOOKUP(EO168,INDEX(Кабель_сопротивление,0,1),INDEX(Кабель_сопротивление,0,3))*N(P168)/EO168*N(CE168)+_xlfn.XLOOKUP(EO168,INDEX(Кабель_сопротивление,0,1),INDEX(Кабель_сопротивление,0,2))*N(P168)*N(EK168)/1000)*N(O168)/((Uн_лин/SQRT(3))*1000)*100,2),"")</f>
        <v>0.09</v>
      </c>
      <c r="EQ168">
        <f>IFERROR(2*ρкз_Cu*N(P168)/EO168,"")</f>
        <v>0.91173333333333328</v>
      </c>
      <c r="ER168">
        <f>IFERROR(VLOOKUP(EN168,Кабель_сопротивление,3,FALSE),"")</f>
        <v>2.2499999999999999E-2</v>
      </c>
      <c r="ES168">
        <f>IFERROR(VLOOKUP(EN168,Кабель_сопротивление,2,FALSE),"")</f>
        <v>0.1</v>
      </c>
      <c r="ET168">
        <f t="shared" si="330"/>
        <v>11</v>
      </c>
      <c r="EU168">
        <f t="shared" si="331"/>
        <v>0</v>
      </c>
      <c r="EV168">
        <f t="shared" si="332"/>
        <v>0.12203081920214585</v>
      </c>
      <c r="EW168" s="6">
        <f>IFERROR(ROUNDUP(EV168/IF(BV168=1,BU168,(Uн_лин/SQRT(3))*1000)*100,2),"")</f>
        <v>6.0000000000000005E-2</v>
      </c>
      <c r="EX168" t="str">
        <f>IFERROR(VLOOKUP(BZ168,Кабель_обозначение,2,FALSE),"")</f>
        <v>ВВГнг(А)-LS</v>
      </c>
      <c r="EY168" t="str">
        <f t="shared" si="333"/>
        <v>ВВГнг(А)-LS (3х2,5)</v>
      </c>
      <c r="EZ168" t="str">
        <f t="shared" si="334"/>
        <v>ВВГнг(А)-LS (3х2,5)
L=26-0,06%</v>
      </c>
      <c r="FA168">
        <f>IFERROR(2*ρкз_Cu*P168/EN168,"")</f>
        <v>0.54703999999999997</v>
      </c>
      <c r="FB168">
        <f t="shared" si="335"/>
        <v>0.18200000000000002</v>
      </c>
      <c r="FC168" s="6" t="str">
        <f>IFERROR(IF(OR(B168="",BV168=1,NOT(ISNUMBER(EN168)),N(P168)=0),"",_xlfn.XLOOKUP(A168,Щиты[Щит],Щиты[Zпетли на шинах, Ом])+FA168),"")</f>
        <v/>
      </c>
      <c r="FD168" s="6" t="str">
        <f>IF(ISNUMBER(FC168),c_min*(Uн_лин*1000/SQRT(3))/FC168,"")</f>
        <v/>
      </c>
      <c r="FE168" s="6" t="str">
        <f>IFERROR(IF(OR(B168="",NOT(ISNUMBER(EN168))),"",1.05*(Uн_лин*1000/SQRT(3))/(_xlfn.XLOOKUP(A168,Щиты[Щит],Щиты[Zmax на шинах, Ом])+FB168)/1000),"")</f>
        <v/>
      </c>
      <c r="FF168" s="6" t="str">
        <f>IF(B168="","",IF(ISNUMBER(AC168),"Сил",IF(IFERROR(_xlfn.XLOOKUP(BC168,Коды_код,Коды_группа)&amp;"","")="","Быт",_xlfn.XLOOKUP(BC168,Коды_код,Коды_группа)&amp;"")))</f>
        <v>Быт</v>
      </c>
      <c r="FG168" s="6" t="str">
        <f t="shared" si="336"/>
        <v>Быт</v>
      </c>
      <c r="FH168" s="6">
        <f>IF(FG168="Щит","щит",IF(FG168="","",IF(FG168="Быт",IFERROR(_xlfn.XLOOKUP(A168,Щиты[Щит],Щиты[Кс быт]),1),IF(FG168="Сил",IF(ISNUMBER(AC168),AC168,IF(Методика="нормы 2026",IFERROR(_xlfn.XLOOKUP(A168,Щиты[Щит],Щиты[Кс силовых (табл. 7.5)]),1),1)),IF(OR(FG168="Пост",FG168="Отоп"),1,IF(FG168="ВНГ",0.7,0))))))</f>
        <v>0.8</v>
      </c>
      <c r="FI168">
        <f>IF(FG168="","",IF(AND(BP168=1,TRIM(AE168&amp;"")=""),IF(COUNTIFS(Линии[Щит],A168,Линии[Секция (1/2/3)],"&gt;=2")&gt;0,MIN(3,MAX(1,IFERROR(--BD168,1))),1),IFERROR(MIN(3,MAX(1,INT(--AE168))),1)))</f>
        <v>1</v>
      </c>
      <c r="FJ168">
        <f t="shared" si="337"/>
        <v>0.06</v>
      </c>
      <c r="FK168">
        <f t="shared" si="338"/>
        <v>0.06</v>
      </c>
      <c r="FL168">
        <f t="shared" si="339"/>
        <v>0</v>
      </c>
      <c r="FM168">
        <f t="shared" si="340"/>
        <v>0</v>
      </c>
      <c r="FN168">
        <f t="shared" si="341"/>
        <v>0</v>
      </c>
      <c r="FO168">
        <f t="shared" si="342"/>
        <v>0</v>
      </c>
      <c r="FP168">
        <f t="shared" si="343"/>
        <v>0.06</v>
      </c>
      <c r="FQ168">
        <f t="shared" si="344"/>
        <v>0.06</v>
      </c>
      <c r="FR168">
        <f t="shared" si="345"/>
        <v>5.6999999999999995E-2</v>
      </c>
      <c r="FS168">
        <f>IF(CG168=1,IF(AND(CH168=1,CW168=1),0,IF(AND(CS168&lt;&gt;"",CS168=BA168,CW168=1),SUMIFS(Линии[_Р линии, кВт],Линии[_блок УЗО],BA168,Линии[Щит],A168),N(BS168)+IF(AJ168="вручную",0,N(CK168)))),0)</f>
        <v>0.06</v>
      </c>
      <c r="FT168" t="str">
        <f t="shared" si="346"/>
        <v>L3</v>
      </c>
      <c r="FU168" t="str">
        <f>IF(B168="","",IF(CG168=0,IF(BA168=1,"",FW167),IF(AND(CH168=1,CW168=1,CS168&lt;&gt;""),IFERROR(_xlfn.XLOOKUP(CS168,Линии[_n],Линии[_фаза итог]),"L1"),IF(OR(N(DL168)&gt;=3,N(BX168)&gt;=3),"L1,L2,L3",IFERROR(_xlfn.TEXTBEFORE(_xlfn.TEXTAFTER(_xlfn.XLOOKUP(A168,Щиты[Щит],Щиты[_фазы авто]),";"&amp;BA168&amp;":"),";"),"L1")))))</f>
        <v>L1</v>
      </c>
      <c r="FV168" t="str">
        <f t="shared" si="347"/>
        <v>L3</v>
      </c>
      <c r="FW168" t="str">
        <f t="shared" si="348"/>
        <v>L3</v>
      </c>
      <c r="FX168" cm="1">
        <f t="array" ref="FX168">IFERROR(IF(CD168=2,_xlfn.IFS(BX168=3,VLOOKUP(BS168,Справочная_двигатели,3,FALSE),BX168=1,VLOOKUP(BS168,Справочная_двигатели,5,TRUE)),0),0)</f>
        <v>0</v>
      </c>
      <c r="FY168">
        <f>IFERROR(IF(CD168=3,VLOOKUP(BS168,Справочная_ЛЭД,2,TRUE),0),0)</f>
        <v>0</v>
      </c>
      <c r="FZ168" s="6">
        <f t="shared" si="349"/>
        <v>0</v>
      </c>
      <c r="GA168" t="str">
        <f>IF(B168="","",IF(TRIM(AH168&amp;"")&lt;&gt;"",IF(LOWER(TRIM(AH168&amp;""))="да","да","нет"),IF(IFERROR(_xlfn.XLOOKUP(BC168,Коды_код,Коды_пожарная),"")="да","да","нет")))</f>
        <v>нет</v>
      </c>
      <c r="GB168" t="str">
        <f t="shared" si="350"/>
        <v/>
      </c>
      <c r="GC168" t="str">
        <f t="shared" si="351"/>
        <v>основная</v>
      </c>
      <c r="GD168">
        <f>IF(AND(BP168=1,TRIM(AE168&amp;"")=""),IF(COUNTIFS(Линии[Щит],A168,Линии[Секция (1/2/3)],"&gt;=2")&gt;0,MIN(3,MAX(1,IFERROR(--BD168,1))),1),IFERROR(MIN(3,MAX(1,INT(--AE168))),1))</f>
        <v>1</v>
      </c>
      <c r="GE168" t="str" cm="1">
        <f t="array" ref="GE168">IF(B168="","",_xlfn.LET(_xlpm.t,IFERROR(_xlfn.XLOOKUP(1,(Шины[Шина]=GC168)*(((Шины[Щит]=A168)+(Шины[Щит]=""))&gt;0),Шины[Тип]),"")&amp;"",IF(_xlpm.t&lt;&gt;"",_xlpm.t,IF(ISNUMBER(SEARCH("ИБП",GC168)),"ИБП",IF(ISNUMBER(SEARCH("ДГУ",GC168)),"ДГУ","Ввод "&amp;GD168)))))</f>
        <v>Ввод 1</v>
      </c>
      <c r="GF168" t="str">
        <f t="shared" si="352"/>
        <v>Ввод 1</v>
      </c>
      <c r="GG168" t="str">
        <f>IF(BP168=0,"",IF(TRIM(AG168&amp;"")&lt;&gt;"",TRIM(AG168&amp;""),IF(OR(GE168="ИБП",GE168="ДГУ"),"I особая",_xlfn.XLOOKUP(A168,Щиты[Щит],Щиты[Категория шины «Ввод»],"III"))))</f>
        <v/>
      </c>
      <c r="GH168" t="str">
        <f>IF(A168="","",_xlfn.XLOOKUP(A168,Щиты[Щит],Щиты[Путь],""))</f>
        <v>|ГРЩ-ЖД|ЩР-001|</v>
      </c>
      <c r="GI168" t="str">
        <f>IF(B168="","",IF(AI168&lt;&gt;"",AI168,IF(IFERROR(_xlfn.XLOOKUP(BC168,Коды_код,Коды_вид)&amp;"","")="","Прочее",_xlfn.XLOOKUP(BC168,Коды_код,Коды_вид)&amp;"")))</f>
        <v>Розеточная сеть и бытовые приборы</v>
      </c>
      <c r="GJ168">
        <f>IF(BM168="","",INT((BM168-1)/Столбцов_на_лист)+1)</f>
        <v>2</v>
      </c>
      <c r="GK168" t="str">
        <f t="shared" si="353"/>
        <v>ВВГнг(А)-LS (3х2,5) L=26-0,06%</v>
      </c>
      <c r="GL168">
        <f t="shared" si="354"/>
        <v>0.06</v>
      </c>
      <c r="GM168">
        <f t="shared" si="355"/>
        <v>0.28000000000000003</v>
      </c>
      <c r="GN168">
        <f t="shared" si="356"/>
        <v>1</v>
      </c>
      <c r="GO168">
        <f t="shared" si="357"/>
        <v>0</v>
      </c>
      <c r="GP168">
        <f t="shared" si="358"/>
        <v>1</v>
      </c>
      <c r="GQ168">
        <f>IF(BM168="","",IF(AND(CG168=1,GP168=1),COUNTIFS(A$3:A168,A168,CG$3:CG168,1,GP$3:GP168,1),IF(OR(OR(BA168=1,A168&lt;&gt;A167),AJ168="вручную",GP168=0),"",IF(BA168=1,"",GR167))))</f>
        <v>14</v>
      </c>
      <c r="GR168">
        <f t="shared" si="359"/>
        <v>14</v>
      </c>
      <c r="GS168">
        <f>IF(B168="","",IFERROR(LOOKUP(INDEX(CHOOSE(EB168,Iдоп_1ж,Iдоп_2ж,Iдоп_3ж),MATCH(EN168,Iдоп_S,0))*DZ168*EA168,{6,10,16,20,25,32,40,50,63,80,100,125,160,200,250,315,400,500,630}),""))</f>
        <v>25</v>
      </c>
      <c r="GT168" t="str">
        <f t="shared" si="360"/>
        <v>QFD14</v>
      </c>
      <c r="GU168" t="str">
        <f t="shared" si="361"/>
        <v>QFD14</v>
      </c>
      <c r="GV168" t="str">
        <f t="shared" si="362"/>
        <v/>
      </c>
      <c r="GW168">
        <f t="shared" si="363"/>
        <v>0</v>
      </c>
      <c r="GX168" t="str">
        <f>IF(OR(B168="",DJ168=""),"",IFERROR(_xlfn.XLOOKUP(DJ168,Модули_умолч[Управление],Модули_умолч[Модель])&amp;"",""))</f>
        <v/>
      </c>
      <c r="GY168">
        <f>IF(DJ168="",1,IFERROR(MAX(0,N(_xlfn.XLOOKUP(DJ168,Модули_умолч[Управление],Модули_умолч[Каналов на линию]))),1))</f>
        <v>1</v>
      </c>
      <c r="GZ168" t="str">
        <f t="shared" si="364"/>
        <v/>
      </c>
      <c r="HA168" t="str">
        <f t="shared" si="365"/>
        <v/>
      </c>
      <c r="HB168" t="str">
        <f t="shared" si="366"/>
        <v/>
      </c>
      <c r="HC168">
        <f>IF(HB168="",0,IFERROR(N(VLOOKUP(HB168,Модули_спр,3,FALSE)),0))</f>
        <v>0</v>
      </c>
      <c r="HD168" t="str">
        <f t="shared" si="367"/>
        <v/>
      </c>
      <c r="HE168" t="str">
        <f t="shared" si="368"/>
        <v/>
      </c>
      <c r="HF168" t="str">
        <f>IF(OR(HE168="",HE168="-"),"",IFERROR(VLOOKUP(HE168,Модули_спр,2,FALSE),"R"))</f>
        <v/>
      </c>
      <c r="HG168" t="str">
        <f>IF(HF168="","",HF168&amp;"."&amp;COUNTIFS(A$3:A168,A168,HF$3:HF168,HF168))</f>
        <v/>
      </c>
      <c r="HH168" t="str">
        <f t="shared" si="369"/>
        <v/>
      </c>
      <c r="HI168" t="str">
        <f t="shared" si="370"/>
        <v/>
      </c>
      <c r="HJ168" t="str">
        <f t="shared" si="371"/>
        <v/>
      </c>
      <c r="HK168" t="str">
        <f t="shared" si="372"/>
        <v/>
      </c>
      <c r="HL168">
        <f t="shared" si="373"/>
        <v>1</v>
      </c>
      <c r="HM168" t="str">
        <f>IF(HL168=1,"XT"&amp;COUNTIFS(A$3:A168,A168,HL$3:HL168,1),"")</f>
        <v>XT14</v>
      </c>
      <c r="HN168" t="str">
        <f t="shared" si="374"/>
        <v/>
      </c>
      <c r="HO168" t="str">
        <f t="shared" si="375"/>
        <v>QFD14</v>
      </c>
      <c r="HP168" t="str">
        <f t="shared" si="376"/>
        <v/>
      </c>
      <c r="HQ168" t="str">
        <f t="shared" si="377"/>
        <v>ok</v>
      </c>
      <c r="HR168" t="str">
        <f>IF(OR(HJ168="",HH168=""),"",IF(HJ168+MAX(0,GY168-1)&gt;IFERROR(VLOOKUP(HI168,Модули_спр,3,FALSE),99),"ЛИШНИЙ КАНАЛ",IF(AND(AL168&lt;&gt;"=",GY168&gt;0,COUNTIFS(Линии[_модуль гр.],HH168,Линии[Канал (итог)],HJ168,Линии[Канал],"&lt;&gt;=",Линии[Щит],A168)&gt;1),"ДУБЛЬ КАНАЛА","")))</f>
        <v/>
      </c>
      <c r="HS168" s="6" t="str">
        <f t="shared" si="378"/>
        <v/>
      </c>
      <c r="HT168">
        <f t="shared" si="379"/>
        <v>10</v>
      </c>
      <c r="HU168" t="str">
        <f t="shared" si="380"/>
        <v/>
      </c>
      <c r="HV168">
        <f t="shared" si="381"/>
        <v>0.36939268258329749</v>
      </c>
      <c r="HW168">
        <f t="shared" si="382"/>
        <v>0</v>
      </c>
      <c r="HX168">
        <f t="shared" si="383"/>
        <v>0</v>
      </c>
      <c r="HY168">
        <f t="shared" si="384"/>
        <v>0</v>
      </c>
      <c r="HZ168">
        <f t="shared" si="385"/>
        <v>0</v>
      </c>
      <c r="IA168">
        <f t="shared" si="386"/>
        <v>0</v>
      </c>
      <c r="IB168">
        <f t="shared" si="387"/>
        <v>0</v>
      </c>
      <c r="IC168" t="str">
        <f t="shared" si="388"/>
        <v/>
      </c>
      <c r="ID168" t="str" cm="1">
        <f t="array" ref="ID168">IF(IC168="","",_xlfn.LET(_xlpm.tk,_xlfn.TEXTSPLIT(SUBSTITUTE(SUBSTITUTE(IC168,";"," "),"→"," ")," ",,TRUE),_xlpm.w_,_xlfn._xlws.FILTER(_xlpm.tk,ISNUMBER(--LEFT(_xlpm.tk,1))*((ISNUMBER(SEARCH("W",_xlpm.tk))+ISNUMBER(SEARCH("Вт",_xlpm.tk)))&gt;0),""),IFERROR(--SUBSTITUTE(SUBSTITUTE(UPPER(INDEX(_xlpm.w_,1)),"W",""),"ВТ",""),"")))</f>
        <v/>
      </c>
      <c r="IE168" t="str" cm="1">
        <f t="array" ref="IE168">IF(IC168="","",_xlfn.LET(_xlpm.tk,_xlfn.TEXTSPLIT(SUBSTITUTE(SUBSTITUTE(IC168,";"," "),"→"," ")," ",,TRUE),_xlpm.v_,_xlfn._xlws.FILTER(_xlpm.tk,ISNUMBER(--LEFT(_xlpm.tk,1))*((ISNUMBER(SEARCH("V",_xlpm.tk))+(RIGHT(UPPER(_xlpm.tk))="В"))&gt;0),""),IFERROR(--SUBSTITUTE(SUBSTITUTE(UPPER(INDEX(_xlpm.v_,1)),"V",""),"В",""),"")))</f>
        <v/>
      </c>
      <c r="IF168" s="6" t="str">
        <f>IF(OR(BV168=0,HI168="",HJ168=""),"",IFERROR(N(_xlfn.XLOOKUP(HI168,Каталог!$C$4:$C$500,Каталог!$Q$4:$Q$500)),""))</f>
        <v/>
      </c>
      <c r="IG168" s="6" t="str">
        <f>IF(N(IF168)=0,"",SUMIFS(Линии[Iр, А],Линии[Щит],A168,Линии[_модуль гр.],HH168,Линии[Канал (итог)],HJ168))</f>
        <v/>
      </c>
      <c r="IH168" t="str">
        <f>IF(AND(B168="",HO168=""),"",_xlfn.TEXTJOIN("; ",TRUE,IF(AND(B168&lt;&gt;"",FV168=""),"нет фазы",""),IF(AND(B168&lt;&gt;"",N(GL168)=0,FG168&lt;&gt;"Нет"),"нет мощности",""),IF(AND(HN168&lt;&gt;"",COUNTIFS(Линии[Щит],A168,Линии[Клемма (итог)],HN168)&gt;1),"дубль клеммы "&amp;HN168,""),IF(AND(HQ168&lt;&gt;"",HQ168&lt;&gt;"ok"),HQ168,""),IF(HR168&lt;&gt;"",HR168,""),IF(AND(N(CB168)&gt;=4,N(BX168)=1),CB168&amp;" жил на 1 фазе",""),IF(AND(BC168="R",CG168=1,IF(CS168&lt;&gt;"",N(CV168)&gt;30,OR(N(DA168)=0,N(DA168)&gt;30))),"розетка без дифзащиты до 30 мА",""),IF(AND(CG168=1,N(DA168)&gt;0,ISNUMBER(T168)),IF(T168&gt;N(DA168)/3,"ток утечки "&amp;FIXED(T168,1)&amp;" мА &gt; 1/3 уставки ("&amp;DA168&amp;" мА)",""),""),IF(AND(CH168=1,CS168=""),"«узо»: нет строки с УЗО выше (УЗО 2P 40А 30мА в «Аппаратах»)",""),IF(AND(CS168&lt;&gt;"",CS168=BA168),IF(CT168="","впишите номинал УЗО (УЗО 2P 40А 30мА)",IF(N(CT168)&lt;N(DT168),"УЗО "&amp;CT168&amp;" А &lt; автомата "&amp;DT168&amp;" А перед ним",IF(N(CT168)&lt;N(CX168),"УЗО "&amp;CT168&amp;" А &lt; тока блока "&amp;FIXED(CX168,1)&amp;" А",""))),""),IF(AND(CS168&lt;&gt;"",CS168=BA168,ISNUMBER(CY168)),IF(CY168&gt;N(CV168)/3,"ток утечки блока УЗО "&amp;FIXED(CY168,1)&amp;" мА &gt; 1/3 уставки ("&amp;CV168&amp;" мА)",""),""),IF(AND(CG168=1,N(BV168)+N(IB168)&gt;0,IC168=""),"линии до 50 В без БП: впишите в «Аппараты» (БП 24V 480W)",""),IF(AND(CG168=1,ISNUMBER(ID168),ISNUMBER(U168)),IF(U168&gt;ID168,"БП "&amp;ID168&amp;" Вт &lt; нужно "&amp;U168&amp;" Вт (×"&amp;Запас_БП&amp;")",""),""),IF(AND(CG168=1,ISNUMBER(IE168),N(BV168)=1),IF(IE168&lt;&gt;N(BU168),"БП на "&amp;IE168&amp;" В, линия "&amp;BU168&amp;" В",""),""),IF(AND(N(IF168)&gt;0,N(IG168)&gt;N(IF168)),HH168&amp;" канал "&amp;HJ168&amp;": "&amp;FIXED(IG168,1)&amp;" А &gt; "&amp;IF168&amp;" А",""),IFERROR(IF(AND(ISNUMBER(Q168),Q168&gt;EL168),"потери "&amp;FIXED(Q168,1)&amp;" % &gt; "&amp;EL168&amp;" %",""),""),IFERROR(IF(LEFT(HU168,4)="мало","Iкз мало — отключение &gt; 0,4 с",""),""),IF(AND(B168&lt;&gt;"",BM168=""),"не на схеме",""),IF(AND(CG168=0,B168&lt;&gt;"",FV168&lt;&gt;"",IF(BA168=1,"",FW167)&lt;&gt;"",FV168&lt;&gt;IF(BA168=1,"",FW167)),"фаза не как у автомата группы ("&amp;IF(BA168=1,"",FW167)&amp;")","")))</f>
        <v/>
      </c>
      <c r="II168" s="6">
        <f>IF(OR(CG168=0,DQ168=""),"",_xlfn.LET(_xlpm.t,IFERROR(_xlfn.XLOOKUP(DQ168,Каталог!$U$4:$U$500,Каталог!$G$4:$G$500),""),_xlpm.k,SEARCH("кА",_xlpm.t),IFERROR(--TRIM(RIGHT(SUBSTITUTE(MID(_xlpm.t,MAX(1,_xlpm.k-4),_xlpm.k-MAX(1,_xlpm.k-4))," ",REPT(" ",9)),5)),"")))</f>
        <v>6</v>
      </c>
      <c r="IJ168" t="str">
        <f>IF(OR(II168="",CG168=0),"",IF(_xlfn.XLOOKUP(A168,Щиты[Щит],Щиты[Iкз max на шинах, кА],"")="","",IF(II168&lt;_xlfn.XLOOKUP(A168,Щиты[Щит],Щиты[Iкз max на шинах, кА]),"Icu "&amp;II168&amp;" кА &lt; Iкз max","ok")))</f>
        <v/>
      </c>
      <c r="IK168" t="str">
        <f t="shared" si="389"/>
        <v/>
      </c>
      <c r="IL168" t="str">
        <f t="shared" si="390"/>
        <v>QFD14</v>
      </c>
      <c r="IM168" t="str">
        <f t="shared" si="391"/>
        <v>QFD14|кабель ВВГнг(А)-LS (3х2,5) → Розеточная группа, пом. 007Т</v>
      </c>
      <c r="IN168" t="str" cm="1">
        <f t="array" ref="IN168">IF(IM168="","",_xlfn.LET(_xlpm.nd,_xlfn.TEXTSPLIT(IM168,"|"),IF(COLUMNS(_xlpm.nd)&gt;1,A168&amp;"¦"&amp;INDEX(_xlpm.nd,1)&amp;"¦"&amp;INDEX(_xlpm.nd,2),"")))</f>
        <v>ЩР-001¦QFD14¦кабель ВВГнг(А)-LS (3х2,5) → Розеточная группа, пом. 007Т</v>
      </c>
      <c r="IO168" t="str">
        <f t="shared" si="392"/>
        <v>R.00.007Т.1¦Розеточная группа, пом. 007Т</v>
      </c>
      <c r="IP168" t="str" cm="1">
        <f t="array" ref="IP168">IF(IM168="","",_xlfn.LET(_xlpm.nd,_xlfn.TEXTSPLIT(IM168,"|"),IF(COLUMNS(_xlpm.nd)&gt;2,A168&amp;"¦"&amp;INDEX(_xlpm.nd,2)&amp;"¦"&amp;INDEX(_xlpm.nd,3),"")))</f>
        <v/>
      </c>
      <c r="IQ168" t="str">
        <f t="shared" si="393"/>
        <v/>
      </c>
      <c r="IR168" t="str" cm="1">
        <f t="array" ref="IR168">IF(IM168="","",_xlfn.LET(_xlpm.nd,_xlfn.TEXTSPLIT(IM168,"|"),IF(COLUMNS(_xlpm.nd)&gt;3,A168&amp;"¦"&amp;INDEX(_xlpm.nd,3)&amp;"¦"&amp;INDEX(_xlpm.nd,4),"")))</f>
        <v/>
      </c>
      <c r="IS168" t="str">
        <f t="shared" si="394"/>
        <v/>
      </c>
      <c r="IT168" t="str" cm="1">
        <f t="array" ref="IT168">IF(IM168="","",_xlfn.LET(_xlpm.nd,_xlfn.TEXTSPLIT(IM168,"|"),IF(COLUMNS(_xlpm.nd)&gt;4,A168&amp;"¦"&amp;INDEX(_xlpm.nd,4)&amp;"¦"&amp;INDEX(_xlpm.nd,5),"")))</f>
        <v/>
      </c>
      <c r="IU168" t="str">
        <f t="shared" si="395"/>
        <v/>
      </c>
      <c r="IV168" t="str" cm="1">
        <f t="array" ref="IV168">IF(IM168="","",_xlfn.LET(_xlpm.nd,_xlfn.TEXTSPLIT(IM168,"|"),IF(COLUMNS(_xlpm.nd)&gt;5,A168&amp;"¦"&amp;INDEX(_xlpm.nd,5)&amp;"¦"&amp;INDEX(_xlpm.nd,6),"")))</f>
        <v/>
      </c>
      <c r="IW168" t="str">
        <f t="shared" si="396"/>
        <v/>
      </c>
      <c r="IX168" t="str" cm="1">
        <f t="array" ref="IX168">IF(IM168="","",_xlfn.LET(_xlpm.nd,_xlfn.TEXTSPLIT(IM168,"|"),IF(COLUMNS(_xlpm.nd)&gt;6,A168&amp;"¦"&amp;INDEX(_xlpm.nd,6)&amp;"¦"&amp;INDEX(_xlpm.nd,7),"")))</f>
        <v/>
      </c>
      <c r="IY168" t="str">
        <f t="shared" si="397"/>
        <v/>
      </c>
      <c r="IZ168" t="str">
        <f t="shared" si="398"/>
        <v/>
      </c>
      <c r="JA168" t="str">
        <f t="shared" si="399"/>
        <v>QFD14</v>
      </c>
      <c r="JB168">
        <f t="shared" si="400"/>
        <v>0</v>
      </c>
      <c r="JC168">
        <f t="shared" si="401"/>
        <v>1</v>
      </c>
      <c r="JD168" t="str">
        <f t="shared" si="402"/>
        <v/>
      </c>
      <c r="JE168" t="str">
        <f t="shared" si="403"/>
        <v/>
      </c>
      <c r="JF168" t="str">
        <f t="shared" si="404"/>
        <v/>
      </c>
      <c r="JG168" t="str">
        <f t="shared" si="405"/>
        <v/>
      </c>
      <c r="JH168" t="str">
        <f>IF(B168="","",IFERROR(_xlfn.XLOOKUP(B168,Коды_код,Коды_уго),IFERROR(_xlfn.XLOOKUP(BC168,Коды_код,Коды_уго),IFERROR(_xlfn.XLOOKUP(LEFT(BC168,2),Коды_код,Коды_уго),""))))</f>
        <v>Розетка</v>
      </c>
      <c r="JI168" t="str">
        <f>IF(B168="","",IF(OR(JH168="",JH168=0),"BOX",IFERROR(IF(VLOOKUP(JH168,УГО_блоки,3,FALSE)&amp;""&lt;&gt;"",VLOOKUP(JH168,УГО_блоки,3,FALSE),VLOOKUP(JH168,УГО_блоки,2,FALSE)),JH168)))</f>
        <v>SOCKET</v>
      </c>
      <c r="JJ168">
        <f t="shared" si="406"/>
        <v>1</v>
      </c>
      <c r="JK168" t="str">
        <f>IF(DQ168="","",IF(COUNTIF(DQ$3:DQ168,DQ168)=1,MAX(JK$2:JK167)+1,""))</f>
        <v/>
      </c>
      <c r="JL168" t="str">
        <f>IF(DE168="","",IF(COUNTIF(DE$3:DE168,DE168)+COUNTIF(DF$2:DF167,DE168)+COUNTIF(DG$2:DG167,DE168)=1,MAX(JL$2:JN167)+1,""))</f>
        <v/>
      </c>
      <c r="JM168" t="str">
        <f>IF(DF168="","",IF(COUNTIF(DE$3:DE168,DF168)+COUNTIF(DF$3:DF168,DF168)+COUNTIF(DG$2:DG167,DF168)=1,MAX(JL$2:JN167,JL168)+1,""))</f>
        <v/>
      </c>
      <c r="JN168" t="str">
        <f>IF(DG168="","",IF(COUNTIF(DE$3:DE168,DG168)+COUNTIF(DF$3:DF168,DG168)+COUNTIF(DG$3:DG168,DG168)=1,MAX(JL$2:JN167,JL168,JM168)+1,""))</f>
        <v/>
      </c>
      <c r="JO168" t="str">
        <f t="shared" si="407"/>
        <v>3х2,5</v>
      </c>
      <c r="JP168" t="str">
        <f>IF(JO168="","",IF(COUNTIF(JO$3:JO168,JO168)=1,MAX(JP$2:JP167)+1,""))</f>
        <v/>
      </c>
      <c r="JQ168" t="str">
        <f>IF(HG168="","",COUNTIF(HG$3:HG168,"?*"))</f>
        <v/>
      </c>
      <c r="JR168" t="str">
        <f>IF(OR(HG168="",HI168=""),"",IF(COUNTIFS(HG$3:HG168,"?*",HI$3:HI168,HI168)=1,MAX(JR$2:JR167)+1,""))</f>
        <v/>
      </c>
      <c r="JS168">
        <f t="shared" si="408"/>
        <v>0</v>
      </c>
      <c r="JT168">
        <f>IF(B168="","",COUNTIF(B$3:B168,"?*"))</f>
        <v>166</v>
      </c>
      <c r="JU168">
        <f>IF(HL168&lt;&gt;1,0,_xlfn.LET(_xlpm.k,MAX(IFERROR(--_xlfn.XLOOKUP(B168,Коды_код,Коды_3L),0),IFERROR(--_xlfn.XLOOKUP(BC168,Коды_код,Коды_3L),0),IFERROR(--_xlfn.XLOOKUP(LEFT(BC168,2),Коды_код,Коды_3L),0)),IF(_xlpm.k&gt;0,_xlpm.k,IF(IFERROR(--LEFT(SUBSTITUTE(JO168,"x","х"),FIND("х",SUBSTITUTE(JO168,"x","х"))-1),3)&gt;3,Каталог!$S$9,1))))</f>
        <v>1</v>
      </c>
      <c r="JV168">
        <f t="shared" si="409"/>
        <v>0</v>
      </c>
      <c r="JW168" t="str">
        <f t="shared" si="410"/>
        <v>авто</v>
      </c>
      <c r="JX168">
        <f t="shared" si="411"/>
        <v>30</v>
      </c>
      <c r="JY168">
        <f t="shared" si="412"/>
        <v>1</v>
      </c>
      <c r="JZ168">
        <f t="shared" si="413"/>
        <v>1</v>
      </c>
    </row>
    <row r="169" spans="1:286" x14ac:dyDescent="0.3">
      <c r="A169" t="s">
        <v>753</v>
      </c>
      <c r="B169" t="s">
        <v>1477</v>
      </c>
      <c r="C169" t="str">
        <f>Линии[[#This Row],[_авто наименование]]</f>
        <v>Розеточная группа, пом. 008T</v>
      </c>
      <c r="D169">
        <v>2</v>
      </c>
      <c r="E169">
        <v>0.12</v>
      </c>
      <c r="G169">
        <v>16</v>
      </c>
      <c r="H169" t="str">
        <f>Линии[[#This Row],[_авто управление]]</f>
        <v/>
      </c>
      <c r="I169" t="str">
        <f>Линии[[#This Row],[_авто аппараты]]</f>
        <v/>
      </c>
      <c r="J169">
        <v>2.5</v>
      </c>
      <c r="K169">
        <v>26</v>
      </c>
      <c r="L169">
        <v>1</v>
      </c>
      <c r="M169" t="s">
        <v>484</v>
      </c>
      <c r="N169" t="str">
        <f t="shared" si="276"/>
        <v/>
      </c>
      <c r="O169" s="6" cm="1">
        <f t="array" ref="O169">IF(B169="","",IF(BH169&lt;&gt;"",IFERROR(_xlfn.XLOOKUP(BH169,Щиты[Щит],Щиты[Iр, А]),""),IF(BP169=1,IF(OR(N(_xlfn.XLOOKUP(A169,Щиты[Щит],Щиты[Вводов],1))&lt;=1,LOWER(TRIM(_xlfn.XLOOKUP(A169,Щиты[Щит],Щиты[АВР],"")&amp;""))="да"),IFERROR(_xlfn.XLOOKUP(A169,Щиты[Щит],Щиты[Iр, А]),""),IFERROR(N(BS169)*_xlfn.XLOOKUP(A169,Щиты[Щит],Щиты[Кс итог])/(SQRT(3)*Uн_лин*_xlfn.XLOOKUP(A169,Щиты[Щит],Щиты[cos φ])),"")),IF(BV169=1,IFERROR(BS169*1000/BU169,""),IFERROR(_xlfn.IFS(BX169=1,BS169/((Uн_лин/SQRT(3))*CE169),BX169=3,BS169/(SQRT(3)*Uн_лин*CE169)),"")))))</f>
        <v>0.54696341291648753</v>
      </c>
      <c r="P169" s="7">
        <f>IF(B169="","",IFERROR(IF(VLOOKUP(BC169,Потребители_обозначение,4,FALSE)=1,VLOOKUP(BC169,Потребители_обозначение,3,FALSE)*(MAX(1,N(D169))*2-1)+EI169+VLOOKUP(BE169,Этаж_обозначение,3,FALSE)+VLOOKUP(BE169,Этаж_обозначение,4,FALSE),VLOOKUP(BC169,Потребители_обозначение,3,FALSE)*(MAX(1,N(D169))*2-1)+EI169),EI169))</f>
        <v>35</v>
      </c>
      <c r="Q169" s="6">
        <f t="shared" si="277"/>
        <v>1.7200000000000002</v>
      </c>
      <c r="R169" t="str">
        <f t="shared" si="278"/>
        <v>ВВГнг(А)-LS (3х2,5)</v>
      </c>
      <c r="S169" t="str">
        <f>IF(BM169="","",IF(BN169="вводной узел","узел ","")&amp;"л."&amp;(INT((BM169-1)/Столбцов_на_лист)+1)&amp;" / "&amp;(MOD(BM169-1,Столбцов_на_лист)+1))</f>
        <v>л.2 / 7</v>
      </c>
      <c r="T169" s="119">
        <f t="shared" si="279"/>
        <v>0.6</v>
      </c>
      <c r="U169" s="7" t="str">
        <f>IF(OR(CG169=0,N(BV169)+N(IB169)=0),"",ROUNDUP(Запас_БП*(N(HY169)+N(HZ169)),0))</f>
        <v/>
      </c>
      <c r="V169" s="119" t="str">
        <f t="shared" si="280"/>
        <v/>
      </c>
      <c r="W169" s="7" t="str">
        <f>IFERROR(IF(OR(B169="",BP169=1,BV169=1,NOT(ISNUMBER(EN169)),N(DT169)=0),"",MAX(0,ROUNDDOWN((c_min*(Uн_лин*1000/SQRT(3))/(HT169*N(DT169))-_xlfn.XLOOKUP(A169,Щиты[Щит],Щиты[Zпетли на шинах, Ом]))*EN169/(2*ρкз_Cu),0))),"")</f>
        <v/>
      </c>
      <c r="Y169">
        <f>Линии[[#This Row],[_авто утечка]]</f>
        <v>30</v>
      </c>
      <c r="Z169">
        <v>1</v>
      </c>
      <c r="AA169">
        <v>230</v>
      </c>
      <c r="AB169" t="s">
        <v>562</v>
      </c>
      <c r="AG169" t="s">
        <v>810</v>
      </c>
      <c r="AI169" t="s">
        <v>561</v>
      </c>
      <c r="AK169" t="str">
        <f>Линии[[#This Row],[_авто модуль]]</f>
        <v/>
      </c>
      <c r="AM169">
        <v>24</v>
      </c>
      <c r="AN169" t="s">
        <v>11</v>
      </c>
      <c r="AO169">
        <v>3</v>
      </c>
      <c r="AQ169">
        <v>0</v>
      </c>
      <c r="AR169">
        <v>0</v>
      </c>
      <c r="AS169">
        <v>35</v>
      </c>
      <c r="BA169" cm="1">
        <f t="array" ref="BA169">ROW()-ROW(Линии[#Headers])</f>
        <v>167</v>
      </c>
      <c r="BC169" s="6" t="str">
        <f t="shared" si="281"/>
        <v>R</v>
      </c>
      <c r="BD169" t="str">
        <f t="shared" si="282"/>
        <v>00.008T.1</v>
      </c>
      <c r="BE169" t="str">
        <f t="shared" si="283"/>
        <v>00</v>
      </c>
      <c r="BF169" t="str">
        <f t="shared" si="284"/>
        <v>008T.1</v>
      </c>
      <c r="BG169" t="str">
        <f t="shared" si="285"/>
        <v>008T</v>
      </c>
      <c r="BH169" t="str">
        <f>IF(X169&lt;&gt;"",X169,IF(AND(B169&lt;&gt;"",B169&lt;&gt;A169,ISNUMBER(_xlfn.XMATCH(B169,Щиты[Щит]))),B169,""))</f>
        <v/>
      </c>
      <c r="BI169" t="str" cm="1">
        <f t="array" ref="BI169">IF(B169="","",IF(BH169&lt;&gt;"","Щит "&amp;BH169,_xlfn.LET(_xlpm.nm,IFERROR(_xlfn.XLOOKUP(BC169,Коды_код,Коды_имя)&amp;"",""),_xlpm.md,IFERROR(N(_xlfn.XLOOKUP(BC169,Коды_код,Коды_режим)),1),_xlpm.ex,IF(Имя_режим="по экспликации",IFERROR(_xlfn.XLOOKUP(BE169&amp;"|"&amp;BG169,Экспликация[Этаж]&amp;"|"&amp;Экспликация[Помещение],Экспликация[Название])&amp;"",""),""),_xlpm.rm,IF(BG169="","",IF(_xlpm.ex&lt;&gt;"",". "&amp;_xlpm.ex&amp;IF(Имя_пом="нет"," ("&amp;BG169&amp;")"," (пом. "&amp;BG169&amp;")"),IF(Имя_пом="нет"," ",", пом. ")&amp;BG169)),IF(_xlpm.nm="","",IF(_xlpm.md=2,_xlpm.nm&amp;" шлейф "&amp;BE169,_xlpm.nm&amp;_xlpm.rm)))))</f>
        <v>Розеточная группа, пом. 008T</v>
      </c>
      <c r="BJ169" t="str">
        <f t="shared" si="286"/>
        <v>Розеточная группа, пом. 008T</v>
      </c>
      <c r="BK169">
        <f>IFERROR(_xlfn.XMATCH(A169,Щиты[Щит]),0)</f>
        <v>8</v>
      </c>
      <c r="BL169">
        <f>_xlfn.LET(_xlpm.k,IFERROR(_xlfn.XLOOKUP(A169,Щиты[Щит],Щиты[Мест под вводной узел]),""),IF(_xlpm.k="",Столбцов_на_лист,N(_xlpm.k)))</f>
        <v>7</v>
      </c>
      <c r="BM169">
        <f t="shared" si="287"/>
        <v>24</v>
      </c>
      <c r="BN169" t="str">
        <f t="shared" si="288"/>
        <v>линии</v>
      </c>
      <c r="BO169" s="6">
        <f>IFERROR(N(_xlfn.XLOOKUP(BC169,Коды_код,Коды_квт)),0)</f>
        <v>0</v>
      </c>
      <c r="BP169">
        <f t="shared" si="289"/>
        <v>0</v>
      </c>
      <c r="BQ169" t="str">
        <f>IF(B169="","",IF(BH169&lt;&gt;"",IFERROR(_xlfn.XLOOKUP(BH169,Щиты[Щит],Щиты[Руст, кВт]),0),IF(BP169=1,IF(OR(N(_xlfn.XLOOKUP(A169,Щиты[Щит],Щиты[Вводов],1))&lt;=1,LOWER(TRIM(_xlfn.XLOOKUP(A169,Щиты[Щит],Щиты[АВР],"")&amp;""))="да"),IFERROR(_xlfn.XLOOKUP(A169,Щиты[Щит],Щиты[Руст, кВт]),0),SUMIFS(Линии[_Р для вводов],Линии[Щит],A169,Линии[Источник для режимов],GF169)),IF(BO169&gt;0,ROUND(BO169*MAX(1,N(D169)),3),""))))</f>
        <v/>
      </c>
      <c r="BR169">
        <f t="shared" si="290"/>
        <v>0.12</v>
      </c>
      <c r="BS169" s="6">
        <f>IF(B169="","",IF(BH169&lt;&gt;"",IFERROR(_xlfn.XLOOKUP(BH169,Щиты[Щит],Щиты[Руст, кВт]),0),N(BR169)))</f>
        <v>0.12</v>
      </c>
      <c r="BT169" t="str">
        <f>IF(B169="","",IFERROR(IF(VLOOKUP(BC169,Потребители_обозначение,8,FALSE)=0,"",VLOOKUP(BC169,Потребители_обозначение,8,FALSE)),""))</f>
        <v/>
      </c>
      <c r="BU169">
        <f t="shared" si="291"/>
        <v>230</v>
      </c>
      <c r="BV169">
        <f t="shared" si="292"/>
        <v>0</v>
      </c>
      <c r="BW169">
        <f>IF(B169="","",IF(BH169&lt;&gt;"",3,IFERROR(IF(N(VLOOKUP(BC169,Потребители_обозначение,9,FALSE))=0,1,VLOOKUP(BC169,Потребители_обозначение,9,FALSE)),1)))</f>
        <v>1</v>
      </c>
      <c r="BX169">
        <f t="shared" si="293"/>
        <v>1</v>
      </c>
      <c r="BY169" t="str">
        <f>IF(B169="","",_xlfn.LET(_xlpm.bc,IFERROR(IF(VLOOKUP(BC169,Потребители_обозначение,6,FALSE)=0,"",VLOOKUP(BC169,Потребители_обозначение,6,FALSE)&amp;""),""),IF(AND(GA169="да",OR(_xlpm.bc="",_xlpm.bc="мс")),Марка_пож,IF(AND(_xlpm.bc="",BH169&lt;&gt;""),"мс",_xlpm.bc))))</f>
        <v/>
      </c>
      <c r="BZ169" t="str">
        <f t="shared" si="294"/>
        <v>мс</v>
      </c>
      <c r="CA169">
        <f>IF(B169="","",_xlfn.LET(_xlpm.cc,IFERROR(N(VLOOKUP(BC169,Потребители_обозначение,7,FALSE)),0),IF(_xlpm.cc&gt;0,_xlpm.cc,IF(BZ169="","",IF(BV169=1,2,IF(N(BX169)=3,5,3))))))</f>
        <v>3</v>
      </c>
      <c r="CB169">
        <f t="shared" si="295"/>
        <v>3</v>
      </c>
      <c r="CC169">
        <f>IFERROR(N(VLOOKUP(BC169,Потребители_обозначение,10,FALSE)),0)</f>
        <v>0</v>
      </c>
      <c r="CD169">
        <f>IFERROR(VLOOKUP(BC169,Потребители_обозначение,5,FALSE),0)</f>
        <v>1</v>
      </c>
      <c r="CE169" s="6" cm="1">
        <f t="array" ref="CE169">IF(B169="","",IF(BH169&lt;&gt;"",IFERROR(_xlfn.XLOOKUP(BH169,Щиты[Щит],Щиты[cos φ]),0.95),IF(BP169=1,IFERROR(_xlfn.XLOOKUP(A169,Щиты[Щит],Щиты[cos φ]),0.95),IF(ISNUMBER(AD169),AD169,IFERROR(IF(CD169=2,_xlfn.IFS(BX169=3,VLOOKUP(BS169,Справочная_двигатели,8,FALSE),BX169=1,VLOOKUP(BS169,Справочная_двигатели,10,TRUE)),IF(AND(Методика="нормы 2026",FG169="Сил"),0.8,0.95)),0.95)))))</f>
        <v>0.95</v>
      </c>
      <c r="CF169">
        <f t="shared" si="296"/>
        <v>0</v>
      </c>
      <c r="CG169">
        <f t="shared" si="297"/>
        <v>1</v>
      </c>
      <c r="CH169">
        <f t="shared" si="298"/>
        <v>0</v>
      </c>
      <c r="CI169">
        <f>IF(B169="","",IF(BV169=1,IFERROR(BS169/((Uн_лин/SQRT(3))*MAX(0.5,N(CE169))),0),N(O169)))</f>
        <v>0.54696341291648753</v>
      </c>
      <c r="CJ169">
        <f t="shared" si="299"/>
        <v>0</v>
      </c>
      <c r="CK169">
        <f t="shared" si="300"/>
        <v>0</v>
      </c>
      <c r="CL169">
        <f t="shared" si="301"/>
        <v>0</v>
      </c>
      <c r="CM169">
        <f t="shared" si="302"/>
        <v>0</v>
      </c>
      <c r="CN169">
        <f t="shared" si="303"/>
        <v>0</v>
      </c>
      <c r="CO169">
        <f>IF(BC169="",0,_xlfn.LET(_xlpm.v,IFERROR(_xlfn.XLOOKUP(B169,Коды_код,Коды_мА),IFERROR(_xlfn.XLOOKUP(BC169,Коды_код,Коды_мА),IFERROR(_xlfn.XLOOKUP(LEFT(BC169,2),Коды_код,Коды_мА),""))),IF(_xlpm.v="да",30,IF(ISNUMBER(_xlpm.v),_xlpm.v,0))))</f>
        <v>30</v>
      </c>
      <c r="CP169">
        <f t="shared" si="304"/>
        <v>30</v>
      </c>
      <c r="CQ169" t="str">
        <f>_xlfn.LET(_xlpm.k,IFERROR(_xlfn.XLOOKUP(BC169,Коды_код,Коды_утечка)&amp;"",""),IF(_xlpm.k="","дифавтомат",_xlpm.k))</f>
        <v>дифавтомат</v>
      </c>
      <c r="CR169" t="str" cm="1">
        <f t="array" ref="CR169">IF(CG169=0,"",_xlfn.LET(_xlpm.sg,TRIM(_xlfn.TEXTSPLIT(DD169&amp;"",";")),_xlpm.f_,_xlfn._xlws.FILTER(_xlpm.sg,LEFT(_xlpm.sg,3)="УЗО",""),IFERROR(INDEX(_xlpm.f_,1)&amp;"","")))</f>
        <v/>
      </c>
      <c r="CS169" t="str">
        <f t="shared" si="305"/>
        <v/>
      </c>
      <c r="CT169" s="6" t="str" cm="1">
        <f t="array" ref="CT169">IF(CR169="","",_xlfn.LET(_xlpm.tk,_xlfn.TEXTSPLIT(UPPER(CR169)," ",,TRUE),_xlpm.a_,_xlfn._xlws.FILTER(_xlpm.tk,ISNUMBER(--LEFT(_xlpm.tk,1))*((ISNUMBER(SEARCH("А",_xlpm.tk))+ISNUMBER(SEARCH("A",_xlpm.tk)))&gt;0)*NOT(ISNUMBER(SEARCH("МА",_xlpm.tk)))*NOT(ISNUMBER(SEARCH("MA",_xlpm.tk))),""),IFERROR(--SUBSTITUTE(SUBSTITUTE(INDEX(_xlpm.a_,1),"А",""),"A",""),"")))</f>
        <v/>
      </c>
      <c r="CU169" t="str" cm="1">
        <f t="array" ref="CU169">IF(CR169="","",_xlfn.LET(_xlpm.tk,_xlfn.TEXTSPLIT(UPPER(CR169)," ",,TRUE),_xlpm.a_,_xlfn._xlws.FILTER(_xlpm.tk,ISNUMBER(--LEFT(_xlpm.tk,1))*((ISNUMBER(SEARCH("МА",_xlpm.tk))+ISNUMBER(SEARCH("MA",_xlpm.tk)))&gt;0),""),IFERROR(--SUBSTITUTE(SUBSTITUTE(INDEX(_xlpm.a_,1),"МА",""),"MA",""),30)))</f>
        <v/>
      </c>
      <c r="CV169" t="str">
        <f>IF(CS169="","",IFERROR(_xlfn.XLOOKUP(CS169,Линии[_n],Линии[_УЗО, мА]),30))</f>
        <v/>
      </c>
      <c r="CW169">
        <f>IF(CS169="",0,IF(ISNUMBER(SEARCH("4P",IFERROR(_xlfn.XLOOKUP(CS169,Линии[_n],Линии[_УЗО строки])&amp;"",""))),0,1))</f>
        <v>0</v>
      </c>
      <c r="CX169" t="str">
        <f>IF(AND(CS169&lt;&gt;"",CS169=BA169),SUMIFS(Линии[_ток на 230 В],Линии[_блок УЗО],BA169,Линии[Щит],A169),"")</f>
        <v/>
      </c>
      <c r="CY169" t="str">
        <f>IF(AND(CS169&lt;&gt;"",CS169=BA169),SUMIFS(Линии[_ток утечки линии, мА],Линии[_блок УЗО],BA169,Линии[Щит],A169),"")</f>
        <v/>
      </c>
      <c r="CZ169">
        <f t="shared" si="306"/>
        <v>30</v>
      </c>
      <c r="DA169">
        <f t="shared" si="307"/>
        <v>30</v>
      </c>
      <c r="DB169">
        <f>IF(B169="",0,IFERROR(--_xlfn.XLOOKUP(B169,Коды_код,Коды_минавт),IFERROR(--_xlfn.XLOOKUP(BC169,Коды_код,Коды_минавт),IFERROR(--_xlfn.XLOOKUP(LEFT(BC169,2),Коды_код,Коды_минавт),0))))</f>
        <v>16</v>
      </c>
      <c r="DC169" t="str">
        <f>IF(B169="","",IFERROR(_xlfn.XLOOKUP(BC169,Коды_код,Коды_апп)&amp;"",""))</f>
        <v/>
      </c>
      <c r="DD169" t="str">
        <f t="shared" si="308"/>
        <v/>
      </c>
      <c r="DE169" t="str" cm="1">
        <f t="array" ref="DE169">IF(TRIM(DD169&amp;"")="","",IFERROR(TRIM(INDEX(_xlfn.TEXTSPLIT(DD169&amp;";;;",";"),1)),""))</f>
        <v/>
      </c>
      <c r="DF169" t="str" cm="1">
        <f t="array" ref="DF169">IF(TRIM(DD169&amp;"")="","",IFERROR(TRIM(INDEX(_xlfn.TEXTSPLIT(DD169&amp;";;;",";"),2)),""))</f>
        <v/>
      </c>
      <c r="DG169" t="str" cm="1">
        <f t="array" ref="DG169">IF(TRIM(DD169&amp;"")="","",IFERROR(TRIM(INDEX(_xlfn.TEXTSPLIT(DD169&amp;";;;",";"),3)),""))</f>
        <v/>
      </c>
      <c r="DH169">
        <f t="shared" si="309"/>
        <v>0</v>
      </c>
      <c r="DI169" t="str">
        <f>IF(B169="","",_xlfn.LET(_xlpm.t,LOWER(AZ169&amp;""),IF(ISNUMBER(SEARCH("dim",_xlpm.t)),"DIM",IF(ISNUMBER(SEARCH("dali",_xlpm.t)),"DALI",IF(OR(ISNUMBER(SEARCH("relay",_xlpm.t)),ISNUMBER(SEARCH("реле",_xlpm.t))),"Relay",IF(ISNUMBER(SEARCH("кнопк",_xlpm.t)),"",IFERROR(_xlfn.XLOOKUP(BC169,Коды_код,Коды_упр)&amp;"","")))))))</f>
        <v/>
      </c>
      <c r="DJ169" t="str">
        <f t="shared" si="310"/>
        <v/>
      </c>
      <c r="DK169">
        <f>IF(B169="","",_xlfn.LET(_xlpm.ig,IF(N(CX169)&gt;0,N(CX169),N(CI169)+IF(AJ169="вручную",0,N(CJ169))),_xlpm.n0,IFERROR(VLOOKUP(_xlpm.ig,Автомат_номиналы,2,TRUE),0),_xlpm.mn,MAX(DB169,IF(AJ169="вручную",0,N(CM169))),MAX(_xlpm.n0,_xlpm.mn,IF(DH169=1,Мин_автомат_БП,0))))</f>
        <v>16</v>
      </c>
      <c r="DL169">
        <f t="shared" si="311"/>
        <v>1</v>
      </c>
      <c r="DM169" t="str">
        <f t="shared" si="312"/>
        <v>2P</v>
      </c>
      <c r="DN169" t="str">
        <f>_xlfn.LET(_xlpm.cc,UPPER(TRIM(IFERROR(_xlfn.XLOOKUP(BC169,Коды_код,Коды_хар)&amp;"",""))),IF(OR(_xlpm.cc="B",_xlpm.cc="В"),"B",IF(_xlpm.cc="D","D","С")))</f>
        <v>С</v>
      </c>
      <c r="DO169" t="str">
        <f t="shared" si="313"/>
        <v>2P С16А 30мА</v>
      </c>
      <c r="DP169">
        <f t="shared" si="314"/>
        <v>16</v>
      </c>
      <c r="DQ169" t="str">
        <f t="shared" si="315"/>
        <v>2P С16А 30мА</v>
      </c>
      <c r="DR169" cm="1">
        <f t="array" ref="DR169">IF(DQ169="","",_xlfn.LET(_xlpm.t,SUBSTITUTE(SUBSTITUTE(SUBSTITUTE(UPPER(DQ169),"С","C"),"А","A"),"В","B"),_xlpm.tk,_xlfn.TEXTSPLIT(_xlpm.t," "),_xlpm.f,_xlfn._xlws.FILTER(_xlpm.tk,ISNUMBER(--MID(_xlpm.tk,2,1))*ISNUMBER(SEARCH(LEFT(_xlpm.tk,1)&amp;"#","B#C#D#"))*(LEN(_xlpm.tk)&gt;1),""),_xlpm.x,INDEX(_xlpm.f,1),IFERROR(--SUBSTITUTE(MID(_xlpm.x,2,9),"A",""),IFERROR(--SUBSTITUTE(INDEX(_xlfn._xlws.FILTER(_xlpm.tk,ISNUMBER(--SUBSTITUTE(_xlpm.tk,"A","")),""),1),"A",""),""))))</f>
        <v>16</v>
      </c>
      <c r="DS169" t="str">
        <f t="shared" si="316"/>
        <v>ok</v>
      </c>
      <c r="DT169">
        <f t="shared" si="317"/>
        <v>16</v>
      </c>
      <c r="DU169" t="str">
        <f t="shared" si="318"/>
        <v>2P С16А 30мА</v>
      </c>
      <c r="DV169">
        <f t="shared" si="319"/>
        <v>30</v>
      </c>
      <c r="DW169">
        <f t="shared" si="320"/>
        <v>1</v>
      </c>
      <c r="DX169">
        <f t="shared" si="321"/>
        <v>0</v>
      </c>
      <c r="DY169">
        <f t="shared" si="322"/>
        <v>0.54696341291648753</v>
      </c>
      <c r="DZ169">
        <f t="shared" si="323"/>
        <v>1</v>
      </c>
      <c r="EA169">
        <f>IF(ISNUMBER(AP169),AP169,К_прокл)</f>
        <v>1</v>
      </c>
      <c r="EB169">
        <f t="shared" si="324"/>
        <v>2</v>
      </c>
      <c r="EC169">
        <f>IFERROR(N(VLOOKUP(BZ169,Кабель_обозначение,3,FALSE)),1)</f>
        <v>1</v>
      </c>
      <c r="ED169">
        <f>IFERROR(N(_xlfn.XLOOKUP(A169,Щиты[Щит],Щиты[ΔU до шин, %])),0)</f>
        <v>1.57</v>
      </c>
      <c r="EE169" t="str">
        <f>IFERROR(_xlfn.XLOOKUP(A169,Щиты[Щит],Щиты[Zпетли на шинах, Ом]),"")</f>
        <v/>
      </c>
      <c r="EF169">
        <f>IFERROR(N(_xlfn.XLOOKUP(A169,Щиты[Щит],Щиты[ΔU до шин (подбор), %])),0)</f>
        <v>2.5</v>
      </c>
      <c r="EG169" t="str">
        <f>IFERROR(_xlfn.XLOOKUP(A169,Щиты[Щит],Щиты[Zпетли на шинах (подбор), Ом]),"")</f>
        <v/>
      </c>
      <c r="EH169" t="str">
        <f t="shared" si="325"/>
        <v/>
      </c>
      <c r="EI169">
        <f t="shared" si="326"/>
        <v>26</v>
      </c>
      <c r="EJ169">
        <f t="shared" si="327"/>
        <v>2</v>
      </c>
      <c r="EK169">
        <f t="shared" si="328"/>
        <v>0.31</v>
      </c>
      <c r="EL169" s="6">
        <f>IF(B169="","",IF(BV169=1,dU_LED,IF(IFERROR(_xlfn.XLOOKUP(BC169,Коды_код,Коды_уго),"")="Светильник",3,4)+IF(Методика="нормы 2026",MIN(0.5,MAX(0,N(P169)-100)*0.005),0)))</f>
        <v>4</v>
      </c>
      <c r="EM169" cm="1">
        <f t="array" ref="EM169">IF(OR(B169="",BZ169="",EC169&lt;&gt;1),"",_xlfn.LET(_xlpm.sz,Iдоп_S,_xlpm.t_,CHOOSE(EB169,Iдоп_1ж,Iдоп_2ж,Iдоп_3ж)*DZ169*EA169,_xlpm.dcx,BV169=1,_xlpm.inn,IF(_xlpm.dcx,N(O169),N(DT169)),_xlpm.smin,MAX(1.5,CC169),_xlpm.L_,N(P169)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169)/N(BU169)*100,999),IFERROR(N(EJ169)*(_xlpm.rho*_xlpm.L_/_xlpm.sz*N(CE169)+_xlpm.xx*_xlpm.L_*N(EK169)/1000)*N(O169)/((Uн_лин/SQRT(3))*1000)*100,999)),_xlpm.kz,IF(OR(_xlpm.dcx,DW169=1,NOT(ISNUMBER(EG169)),_xlpm.L_=0,_xlpm.inn=0),1,IFERROR(--(c_min*(Uн_лин*1000/SQRT(3))/(EG169+2*ρкз_Cu*_xlpm.L_/_xlpm.sz)&gt;=HT169*_xlpm.inn),0)),_xlpm.ok,IFERROR((_xlpm.sz&gt;=_xlpm.smin)*(_xlpm.t_&gt;=_xlpm.inn)*IF(_xlpm.L_&gt;0,(_xlpm.du_+IF(_xlpm.dcx,0,EF169)&lt;=EL169+0.00001),1)*_xlpm.kz,0),_xlpm.r_,_xlfn._xlws.FILTER(_xlpm.sz,_xlpm.ok,"не подобрано"),INDEX(_xlpm.r_,1)))</f>
        <v>1.5</v>
      </c>
      <c r="EN169">
        <f t="shared" si="329"/>
        <v>2.5</v>
      </c>
      <c r="EO169" cm="1">
        <f t="array" ref="EO169">IF(OR(B169="",BZ169="",EC169&lt;&gt;1),"",_xlfn.LET(_xlpm.sz,Iдоп_S,_xlpm.t_,CHOOSE(EB169,Iдоп_1ж,Iдоп_2ж,Iдоп_3ж)*DZ169*EA169,_xlpm.ok,IFERROR((_xlpm.sz&gt;=MAX(1.5,CC169))*(_xlpm.t_&gt;=N(DT169)),0),_xlpm.r_,_xlfn._xlws.FILTER(_xlpm.sz,_xlpm.ok,""),INDEX(_xlpm.r_,1)))</f>
        <v>1.5</v>
      </c>
      <c r="EP169" s="6" cm="1">
        <f t="array" ref="EP169">IFERROR(ROUNDUP(N(EJ169)*(_xlfn.XLOOKUP(EO169,INDEX(Кабель_сопротивление,0,1),INDEX(Кабель_сопротивление,0,3))*N(P169)/EO169*N(CE169)+_xlfn.XLOOKUP(EO169,INDEX(Кабель_сопротивление,0,1),INDEX(Кабель_сопротивление,0,2))*N(P169)*N(EK169)/1000)*N(O169)/((Uн_лин/SQRT(3))*1000)*100,2),"")</f>
        <v>0.24000000000000002</v>
      </c>
      <c r="EQ169">
        <f>IFERROR(2*ρкз_Cu*N(P169)/EO169,"")</f>
        <v>1.2273333333333334</v>
      </c>
      <c r="ER169">
        <f>IFERROR(VLOOKUP(EN169,Кабель_сопротивление,3,FALSE),"")</f>
        <v>2.2499999999999999E-2</v>
      </c>
      <c r="ES169">
        <f>IFERROR(VLOOKUP(EN169,Кабель_сопротивление,2,FALSE),"")</f>
        <v>0.1</v>
      </c>
      <c r="ET169">
        <f t="shared" si="330"/>
        <v>0</v>
      </c>
      <c r="EU169">
        <f t="shared" si="331"/>
        <v>35</v>
      </c>
      <c r="EV169">
        <f t="shared" si="332"/>
        <v>0.32854451323654654</v>
      </c>
      <c r="EW169" s="6">
        <f>IFERROR(ROUNDUP(EV169/IF(BV169=1,BU169,(Uн_лин/SQRT(3))*1000)*100,2),"")</f>
        <v>0.15000000000000002</v>
      </c>
      <c r="EX169" t="str">
        <f>IFERROR(VLOOKUP(BZ169,Кабель_обозначение,2,FALSE),"")</f>
        <v>ВВГнг(А)-LS</v>
      </c>
      <c r="EY169" t="str">
        <f t="shared" si="333"/>
        <v>ВВГнг(А)-LS (3х2,5)</v>
      </c>
      <c r="EZ169" t="str">
        <f t="shared" si="334"/>
        <v>ВВГнг(А)-LS (3х2,5)
L=35-0,15%</v>
      </c>
      <c r="FA169">
        <f>IFERROR(2*ρкз_Cu*P169/EN169,"")</f>
        <v>0.73639999999999994</v>
      </c>
      <c r="FB169">
        <f t="shared" si="335"/>
        <v>0.24500000000000002</v>
      </c>
      <c r="FC169" s="6" t="str">
        <f>IFERROR(IF(OR(B169="",BV169=1,NOT(ISNUMBER(EN169)),N(P169)=0),"",_xlfn.XLOOKUP(A169,Щиты[Щит],Щиты[Zпетли на шинах, Ом])+FA169),"")</f>
        <v/>
      </c>
      <c r="FD169" s="6" t="str">
        <f>IF(ISNUMBER(FC169),c_min*(Uн_лин*1000/SQRT(3))/FC169,"")</f>
        <v/>
      </c>
      <c r="FE169" s="6" t="str">
        <f>IFERROR(IF(OR(B169="",NOT(ISNUMBER(EN169))),"",1.05*(Uн_лин*1000/SQRT(3))/(_xlfn.XLOOKUP(A169,Щиты[Щит],Щиты[Zmax на шинах, Ом])+FB169)/1000),"")</f>
        <v/>
      </c>
      <c r="FF169" s="6" t="str">
        <f>IF(B169="","",IF(ISNUMBER(AC169),"Сил",IF(IFERROR(_xlfn.XLOOKUP(BC169,Коды_код,Коды_группа)&amp;"","")="","Быт",_xlfn.XLOOKUP(BC169,Коды_код,Коды_группа)&amp;"")))</f>
        <v>Быт</v>
      </c>
      <c r="FG169" s="6" t="str">
        <f t="shared" si="336"/>
        <v>Быт</v>
      </c>
      <c r="FH169" s="6">
        <f>IF(FG169="Щит","щит",IF(FG169="","",IF(FG169="Быт",IFERROR(_xlfn.XLOOKUP(A169,Щиты[Щит],Щиты[Кс быт]),1),IF(FG169="Сил",IF(ISNUMBER(AC169),AC169,IF(Методика="нормы 2026",IFERROR(_xlfn.XLOOKUP(A169,Щиты[Щит],Щиты[Кс силовых (табл. 7.5)]),1),1)),IF(OR(FG169="Пост",FG169="Отоп"),1,IF(FG169="ВНГ",0.7,0))))))</f>
        <v>0.8</v>
      </c>
      <c r="FI169">
        <f>IF(FG169="","",IF(AND(BP169=1,TRIM(AE169&amp;"")=""),IF(COUNTIFS(Линии[Щит],A169,Линии[Секция (1/2/3)],"&gt;=2")&gt;0,MIN(3,MAX(1,IFERROR(--BD169,1))),1),IFERROR(MIN(3,MAX(1,INT(--AE169))),1)))</f>
        <v>1</v>
      </c>
      <c r="FJ169">
        <f t="shared" si="337"/>
        <v>0.12</v>
      </c>
      <c r="FK169">
        <f t="shared" si="338"/>
        <v>0.12</v>
      </c>
      <c r="FL169">
        <f t="shared" si="339"/>
        <v>0</v>
      </c>
      <c r="FM169">
        <f t="shared" si="340"/>
        <v>0</v>
      </c>
      <c r="FN169">
        <f t="shared" si="341"/>
        <v>0</v>
      </c>
      <c r="FO169">
        <f t="shared" si="342"/>
        <v>0</v>
      </c>
      <c r="FP169">
        <f t="shared" si="343"/>
        <v>0.12</v>
      </c>
      <c r="FQ169">
        <f t="shared" si="344"/>
        <v>0.12</v>
      </c>
      <c r="FR169">
        <f t="shared" si="345"/>
        <v>0.11399999999999999</v>
      </c>
      <c r="FS169">
        <f>IF(CG169=1,IF(AND(CH169=1,CW169=1),0,IF(AND(CS169&lt;&gt;"",CS169=BA169,CW169=1),SUMIFS(Линии[_Р линии, кВт],Линии[_блок УЗО],BA169,Линии[Щит],A169),N(BS169)+IF(AJ169="вручную",0,N(CK169)))),0)</f>
        <v>0.12</v>
      </c>
      <c r="FT169" t="str">
        <f t="shared" si="346"/>
        <v>L1</v>
      </c>
      <c r="FU169" t="str">
        <f>IF(B169="","",IF(CG169=0,IF(BA169=1,"",FW168),IF(AND(CH169=1,CW169=1,CS169&lt;&gt;""),IFERROR(_xlfn.XLOOKUP(CS169,Линии[_n],Линии[_фаза итог]),"L1"),IF(OR(N(DL169)&gt;=3,N(BX169)&gt;=3),"L1,L2,L3",IFERROR(_xlfn.TEXTBEFORE(_xlfn.TEXTAFTER(_xlfn.XLOOKUP(A169,Щиты[Щит],Щиты[_фазы авто]),";"&amp;BA169&amp;":"),";"),"L1")))))</f>
        <v>L1</v>
      </c>
      <c r="FV169" t="str">
        <f t="shared" si="347"/>
        <v>L1</v>
      </c>
      <c r="FW169" t="str">
        <f t="shared" si="348"/>
        <v>L1</v>
      </c>
      <c r="FX169" cm="1">
        <f t="array" ref="FX169">IFERROR(IF(CD169=2,_xlfn.IFS(BX169=3,VLOOKUP(BS169,Справочная_двигатели,3,FALSE),BX169=1,VLOOKUP(BS169,Справочная_двигатели,5,TRUE)),0),0)</f>
        <v>0</v>
      </c>
      <c r="FY169">
        <f>IFERROR(IF(CD169=3,VLOOKUP(BS169,Справочная_ЛЭД,2,TRUE),0),0)</f>
        <v>0</v>
      </c>
      <c r="FZ169" s="6">
        <f t="shared" si="349"/>
        <v>0</v>
      </c>
      <c r="GA169" t="str">
        <f>IF(B169="","",IF(TRIM(AH169&amp;"")&lt;&gt;"",IF(LOWER(TRIM(AH169&amp;""))="да","да","нет"),IF(IFERROR(_xlfn.XLOOKUP(BC169,Коды_код,Коды_пожарная),"")="да","да","нет")))</f>
        <v>нет</v>
      </c>
      <c r="GB169" t="str">
        <f t="shared" si="350"/>
        <v/>
      </c>
      <c r="GC169" t="str">
        <f t="shared" si="351"/>
        <v>основная</v>
      </c>
      <c r="GD169">
        <f>IF(AND(BP169=1,TRIM(AE169&amp;"")=""),IF(COUNTIFS(Линии[Щит],A169,Линии[Секция (1/2/3)],"&gt;=2")&gt;0,MIN(3,MAX(1,IFERROR(--BD169,1))),1),IFERROR(MIN(3,MAX(1,INT(--AE169))),1))</f>
        <v>1</v>
      </c>
      <c r="GE169" t="str" cm="1">
        <f t="array" ref="GE169">IF(B169="","",_xlfn.LET(_xlpm.t,IFERROR(_xlfn.XLOOKUP(1,(Шины[Шина]=GC169)*(((Шины[Щит]=A169)+(Шины[Щит]=""))&gt;0),Шины[Тип]),"")&amp;"",IF(_xlpm.t&lt;&gt;"",_xlpm.t,IF(ISNUMBER(SEARCH("ИБП",GC169)),"ИБП",IF(ISNUMBER(SEARCH("ДГУ",GC169)),"ДГУ","Ввод "&amp;GD169)))))</f>
        <v>Ввод 1</v>
      </c>
      <c r="GF169" t="str">
        <f t="shared" si="352"/>
        <v>Ввод 1</v>
      </c>
      <c r="GG169" t="str">
        <f>IF(BP169=0,"",IF(TRIM(AG169&amp;"")&lt;&gt;"",TRIM(AG169&amp;""),IF(OR(GE169="ИБП",GE169="ДГУ"),"I особая",_xlfn.XLOOKUP(A169,Щиты[Щит],Щиты[Категория шины «Ввод»],"III"))))</f>
        <v/>
      </c>
      <c r="GH169" t="str">
        <f>IF(A169="","",_xlfn.XLOOKUP(A169,Щиты[Щит],Щиты[Путь],""))</f>
        <v>|ГРЩ-ЖД|ЩР-001|</v>
      </c>
      <c r="GI169" t="str">
        <f>IF(B169="","",IF(AI169&lt;&gt;"",AI169,IF(IFERROR(_xlfn.XLOOKUP(BC169,Коды_код,Коды_вид)&amp;"","")="","Прочее",_xlfn.XLOOKUP(BC169,Коды_код,Коды_вид)&amp;"")))</f>
        <v>Розеточная сеть и бытовые приборы</v>
      </c>
      <c r="GJ169">
        <f>IF(BM169="","",INT((BM169-1)/Столбцов_на_лист)+1)</f>
        <v>2</v>
      </c>
      <c r="GK169" t="str">
        <f t="shared" si="353"/>
        <v>ВВГнг(А)-LS (3х2,5) L=35-0,15%</v>
      </c>
      <c r="GL169">
        <f t="shared" si="354"/>
        <v>0.12</v>
      </c>
      <c r="GM169">
        <f t="shared" si="355"/>
        <v>0.55000000000000004</v>
      </c>
      <c r="GN169">
        <f t="shared" si="356"/>
        <v>1</v>
      </c>
      <c r="GO169">
        <f t="shared" si="357"/>
        <v>0</v>
      </c>
      <c r="GP169">
        <f t="shared" si="358"/>
        <v>1</v>
      </c>
      <c r="GQ169">
        <f>IF(BM169="","",IF(AND(CG169=1,GP169=1),COUNTIFS(A$3:A169,A169,CG$3:CG169,1,GP$3:GP169,1),IF(OR(OR(BA169=1,A169&lt;&gt;A168),AJ169="вручную",GP169=0),"",IF(BA169=1,"",GR168))))</f>
        <v>15</v>
      </c>
      <c r="GR169">
        <f t="shared" si="359"/>
        <v>15</v>
      </c>
      <c r="GS169">
        <f>IF(B169="","",IFERROR(LOOKUP(INDEX(CHOOSE(EB169,Iдоп_1ж,Iдоп_2ж,Iдоп_3ж),MATCH(EN169,Iдоп_S,0))*DZ169*EA169,{6,10,16,20,25,32,40,50,63,80,100,125,160,200,250,315,400,500,630}),""))</f>
        <v>25</v>
      </c>
      <c r="GT169" t="str">
        <f t="shared" si="360"/>
        <v>QFD15</v>
      </c>
      <c r="GU169" t="str">
        <f t="shared" si="361"/>
        <v>QFD15</v>
      </c>
      <c r="GV169" t="str">
        <f t="shared" si="362"/>
        <v/>
      </c>
      <c r="GW169">
        <f t="shared" si="363"/>
        <v>0</v>
      </c>
      <c r="GX169" t="str">
        <f>IF(OR(B169="",DJ169=""),"",IFERROR(_xlfn.XLOOKUP(DJ169,Модули_умолч[Управление],Модули_умолч[Модель])&amp;"",""))</f>
        <v/>
      </c>
      <c r="GY169">
        <f>IF(DJ169="",1,IFERROR(MAX(0,N(_xlfn.XLOOKUP(DJ169,Модули_умолч[Управление],Модули_умолч[Каналов на линию]))),1))</f>
        <v>1</v>
      </c>
      <c r="GZ169" t="str">
        <f t="shared" si="364"/>
        <v/>
      </c>
      <c r="HA169" t="str">
        <f t="shared" si="365"/>
        <v/>
      </c>
      <c r="HB169" t="str">
        <f t="shared" si="366"/>
        <v/>
      </c>
      <c r="HC169">
        <f>IF(HB169="",0,IFERROR(N(VLOOKUP(HB169,Модули_спр,3,FALSE)),0))</f>
        <v>0</v>
      </c>
      <c r="HD169" t="str">
        <f t="shared" si="367"/>
        <v/>
      </c>
      <c r="HE169" t="str">
        <f t="shared" si="368"/>
        <v/>
      </c>
      <c r="HF169" t="str">
        <f>IF(OR(HE169="",HE169="-"),"",IFERROR(VLOOKUP(HE169,Модули_спр,2,FALSE),"R"))</f>
        <v/>
      </c>
      <c r="HG169" t="str">
        <f>IF(HF169="","",HF169&amp;"."&amp;COUNTIFS(A$3:A169,A169,HF$3:HF169,HF169))</f>
        <v/>
      </c>
      <c r="HH169" t="str">
        <f t="shared" si="369"/>
        <v/>
      </c>
      <c r="HI169" t="str">
        <f t="shared" si="370"/>
        <v/>
      </c>
      <c r="HJ169" t="str">
        <f t="shared" si="371"/>
        <v/>
      </c>
      <c r="HK169" t="str">
        <f t="shared" si="372"/>
        <v/>
      </c>
      <c r="HL169">
        <f t="shared" si="373"/>
        <v>1</v>
      </c>
      <c r="HM169" t="str">
        <f>IF(HL169=1,"XT"&amp;COUNTIFS(A$3:A169,A169,HL$3:HL169,1),"")</f>
        <v>XT15</v>
      </c>
      <c r="HN169" t="str">
        <f t="shared" si="374"/>
        <v/>
      </c>
      <c r="HO169" t="str">
        <f t="shared" si="375"/>
        <v>QFD15</v>
      </c>
      <c r="HP169" t="str">
        <f t="shared" si="376"/>
        <v/>
      </c>
      <c r="HQ169" t="str">
        <f t="shared" si="377"/>
        <v>ok</v>
      </c>
      <c r="HR169" t="str">
        <f>IF(OR(HJ169="",HH169=""),"",IF(HJ169+MAX(0,GY169-1)&gt;IFERROR(VLOOKUP(HI169,Модули_спр,3,FALSE),99),"ЛИШНИЙ КАНАЛ",IF(AND(AL169&lt;&gt;"=",GY169&gt;0,COUNTIFS(Линии[_модуль гр.],HH169,Линии[Канал (итог)],HJ169,Линии[Канал],"&lt;&gt;=",Линии[Щит],A169)&gt;1),"ДУБЛЬ КАНАЛА","")))</f>
        <v/>
      </c>
      <c r="HS169" s="6" t="str">
        <f t="shared" si="378"/>
        <v/>
      </c>
      <c r="HT169">
        <f t="shared" si="379"/>
        <v>10</v>
      </c>
      <c r="HU169" t="str">
        <f t="shared" si="380"/>
        <v/>
      </c>
      <c r="HV169">
        <f t="shared" si="381"/>
        <v>0.56878536516659506</v>
      </c>
      <c r="HW169">
        <f t="shared" si="382"/>
        <v>0</v>
      </c>
      <c r="HX169">
        <f t="shared" si="383"/>
        <v>0</v>
      </c>
      <c r="HY169">
        <f t="shared" si="384"/>
        <v>0</v>
      </c>
      <c r="HZ169">
        <f t="shared" si="385"/>
        <v>0</v>
      </c>
      <c r="IA169">
        <f t="shared" si="386"/>
        <v>0</v>
      </c>
      <c r="IB169">
        <f t="shared" si="387"/>
        <v>0</v>
      </c>
      <c r="IC169" t="str">
        <f t="shared" si="388"/>
        <v/>
      </c>
      <c r="ID169" t="str" cm="1">
        <f t="array" ref="ID169">IF(IC169="","",_xlfn.LET(_xlpm.tk,_xlfn.TEXTSPLIT(SUBSTITUTE(SUBSTITUTE(IC169,";"," "),"→"," ")," ",,TRUE),_xlpm.w_,_xlfn._xlws.FILTER(_xlpm.tk,ISNUMBER(--LEFT(_xlpm.tk,1))*((ISNUMBER(SEARCH("W",_xlpm.tk))+ISNUMBER(SEARCH("Вт",_xlpm.tk)))&gt;0),""),IFERROR(--SUBSTITUTE(SUBSTITUTE(UPPER(INDEX(_xlpm.w_,1)),"W",""),"ВТ",""),"")))</f>
        <v/>
      </c>
      <c r="IE169" t="str" cm="1">
        <f t="array" ref="IE169">IF(IC169="","",_xlfn.LET(_xlpm.tk,_xlfn.TEXTSPLIT(SUBSTITUTE(SUBSTITUTE(IC169,";"," "),"→"," ")," ",,TRUE),_xlpm.v_,_xlfn._xlws.FILTER(_xlpm.tk,ISNUMBER(--LEFT(_xlpm.tk,1))*((ISNUMBER(SEARCH("V",_xlpm.tk))+(RIGHT(UPPER(_xlpm.tk))="В"))&gt;0),""),IFERROR(--SUBSTITUTE(SUBSTITUTE(UPPER(INDEX(_xlpm.v_,1)),"V",""),"В",""),"")))</f>
        <v/>
      </c>
      <c r="IF169" s="6" t="str">
        <f>IF(OR(BV169=0,HI169="",HJ169=""),"",IFERROR(N(_xlfn.XLOOKUP(HI169,Каталог!$C$4:$C$500,Каталог!$Q$4:$Q$500)),""))</f>
        <v/>
      </c>
      <c r="IG169" s="6" t="str">
        <f>IF(N(IF169)=0,"",SUMIFS(Линии[Iр, А],Линии[Щит],A169,Линии[_модуль гр.],HH169,Линии[Канал (итог)],HJ169))</f>
        <v/>
      </c>
      <c r="IH169" t="str">
        <f>IF(AND(B169="",HO169=""),"",_xlfn.TEXTJOIN("; ",TRUE,IF(AND(B169&lt;&gt;"",FV169=""),"нет фазы",""),IF(AND(B169&lt;&gt;"",N(GL169)=0,FG169&lt;&gt;"Нет"),"нет мощности",""),IF(AND(HN169&lt;&gt;"",COUNTIFS(Линии[Щит],A169,Линии[Клемма (итог)],HN169)&gt;1),"дубль клеммы "&amp;HN169,""),IF(AND(HQ169&lt;&gt;"",HQ169&lt;&gt;"ok"),HQ169,""),IF(HR169&lt;&gt;"",HR169,""),IF(AND(N(CB169)&gt;=4,N(BX169)=1),CB169&amp;" жил на 1 фазе",""),IF(AND(BC169="R",CG169=1,IF(CS169&lt;&gt;"",N(CV169)&gt;30,OR(N(DA169)=0,N(DA169)&gt;30))),"розетка без дифзащиты до 30 мА",""),IF(AND(CG169=1,N(DA169)&gt;0,ISNUMBER(T169)),IF(T169&gt;N(DA169)/3,"ток утечки "&amp;FIXED(T169,1)&amp;" мА &gt; 1/3 уставки ("&amp;DA169&amp;" мА)",""),""),IF(AND(CH169=1,CS169=""),"«узо»: нет строки с УЗО выше (УЗО 2P 40А 30мА в «Аппаратах»)",""),IF(AND(CS169&lt;&gt;"",CS169=BA169),IF(CT169="","впишите номинал УЗО (УЗО 2P 40А 30мА)",IF(N(CT169)&lt;N(DT169),"УЗО "&amp;CT169&amp;" А &lt; автомата "&amp;DT169&amp;" А перед ним",IF(N(CT169)&lt;N(CX169),"УЗО "&amp;CT169&amp;" А &lt; тока блока "&amp;FIXED(CX169,1)&amp;" А",""))),""),IF(AND(CS169&lt;&gt;"",CS169=BA169,ISNUMBER(CY169)),IF(CY169&gt;N(CV169)/3,"ток утечки блока УЗО "&amp;FIXED(CY169,1)&amp;" мА &gt; 1/3 уставки ("&amp;CV169&amp;" мА)",""),""),IF(AND(CG169=1,N(BV169)+N(IB169)&gt;0,IC169=""),"линии до 50 В без БП: впишите в «Аппараты» (БП 24V 480W)",""),IF(AND(CG169=1,ISNUMBER(ID169),ISNUMBER(U169)),IF(U169&gt;ID169,"БП "&amp;ID169&amp;" Вт &lt; нужно "&amp;U169&amp;" Вт (×"&amp;Запас_БП&amp;")",""),""),IF(AND(CG169=1,ISNUMBER(IE169),N(BV169)=1),IF(IE169&lt;&gt;N(BU169),"БП на "&amp;IE169&amp;" В, линия "&amp;BU169&amp;" В",""),""),IF(AND(N(IF169)&gt;0,N(IG169)&gt;N(IF169)),HH169&amp;" канал "&amp;HJ169&amp;": "&amp;FIXED(IG169,1)&amp;" А &gt; "&amp;IF169&amp;" А",""),IFERROR(IF(AND(ISNUMBER(Q169),Q169&gt;EL169),"потери "&amp;FIXED(Q169,1)&amp;" % &gt; "&amp;EL169&amp;" %",""),""),IFERROR(IF(LEFT(HU169,4)="мало","Iкз мало — отключение &gt; 0,4 с",""),""),IF(AND(B169&lt;&gt;"",BM169=""),"не на схеме",""),IF(AND(CG169=0,B169&lt;&gt;"",FV169&lt;&gt;"",IF(BA169=1,"",FW168)&lt;&gt;"",FV169&lt;&gt;IF(BA169=1,"",FW168)),"фаза не как у автомата группы ("&amp;IF(BA169=1,"",FW168)&amp;")","")))</f>
        <v/>
      </c>
      <c r="II169" s="6">
        <f>IF(OR(CG169=0,DQ169=""),"",_xlfn.LET(_xlpm.t,IFERROR(_xlfn.XLOOKUP(DQ169,Каталог!$U$4:$U$500,Каталог!$G$4:$G$500),""),_xlpm.k,SEARCH("кА",_xlpm.t),IFERROR(--TRIM(RIGHT(SUBSTITUTE(MID(_xlpm.t,MAX(1,_xlpm.k-4),_xlpm.k-MAX(1,_xlpm.k-4))," ",REPT(" ",9)),5)),"")))</f>
        <v>6</v>
      </c>
      <c r="IJ169" t="str">
        <f>IF(OR(II169="",CG169=0),"",IF(_xlfn.XLOOKUP(A169,Щиты[Щит],Щиты[Iкз max на шинах, кА],"")="","",IF(II169&lt;_xlfn.XLOOKUP(A169,Щиты[Щит],Щиты[Iкз max на шинах, кА]),"Icu "&amp;II169&amp;" кА &lt; Iкз max","ok")))</f>
        <v/>
      </c>
      <c r="IK169" t="str">
        <f t="shared" si="389"/>
        <v/>
      </c>
      <c r="IL169" t="str">
        <f t="shared" si="390"/>
        <v>QFD15</v>
      </c>
      <c r="IM169" t="str">
        <f t="shared" si="391"/>
        <v>QFD15|кабель ВВГнг(А)-LS (3х2,5) → Розеточная группа, пом. 008T</v>
      </c>
      <c r="IN169" t="str" cm="1">
        <f t="array" ref="IN169">IF(IM169="","",_xlfn.LET(_xlpm.nd,_xlfn.TEXTSPLIT(IM169,"|"),IF(COLUMNS(_xlpm.nd)&gt;1,A169&amp;"¦"&amp;INDEX(_xlpm.nd,1)&amp;"¦"&amp;INDEX(_xlpm.nd,2),"")))</f>
        <v>ЩР-001¦QFD15¦кабель ВВГнг(А)-LS (3х2,5) → Розеточная группа, пом. 008T</v>
      </c>
      <c r="IO169" t="str">
        <f t="shared" si="392"/>
        <v>R.00.008T.1¦Розеточная группа, пом. 008T</v>
      </c>
      <c r="IP169" t="str" cm="1">
        <f t="array" ref="IP169">IF(IM169="","",_xlfn.LET(_xlpm.nd,_xlfn.TEXTSPLIT(IM169,"|"),IF(COLUMNS(_xlpm.nd)&gt;2,A169&amp;"¦"&amp;INDEX(_xlpm.nd,2)&amp;"¦"&amp;INDEX(_xlpm.nd,3),"")))</f>
        <v/>
      </c>
      <c r="IQ169" t="str">
        <f t="shared" si="393"/>
        <v/>
      </c>
      <c r="IR169" t="str" cm="1">
        <f t="array" ref="IR169">IF(IM169="","",_xlfn.LET(_xlpm.nd,_xlfn.TEXTSPLIT(IM169,"|"),IF(COLUMNS(_xlpm.nd)&gt;3,A169&amp;"¦"&amp;INDEX(_xlpm.nd,3)&amp;"¦"&amp;INDEX(_xlpm.nd,4),"")))</f>
        <v/>
      </c>
      <c r="IS169" t="str">
        <f t="shared" si="394"/>
        <v/>
      </c>
      <c r="IT169" t="str" cm="1">
        <f t="array" ref="IT169">IF(IM169="","",_xlfn.LET(_xlpm.nd,_xlfn.TEXTSPLIT(IM169,"|"),IF(COLUMNS(_xlpm.nd)&gt;4,A169&amp;"¦"&amp;INDEX(_xlpm.nd,4)&amp;"¦"&amp;INDEX(_xlpm.nd,5),"")))</f>
        <v/>
      </c>
      <c r="IU169" t="str">
        <f t="shared" si="395"/>
        <v/>
      </c>
      <c r="IV169" t="str" cm="1">
        <f t="array" ref="IV169">IF(IM169="","",_xlfn.LET(_xlpm.nd,_xlfn.TEXTSPLIT(IM169,"|"),IF(COLUMNS(_xlpm.nd)&gt;5,A169&amp;"¦"&amp;INDEX(_xlpm.nd,5)&amp;"¦"&amp;INDEX(_xlpm.nd,6),"")))</f>
        <v/>
      </c>
      <c r="IW169" t="str">
        <f t="shared" si="396"/>
        <v/>
      </c>
      <c r="IX169" t="str" cm="1">
        <f t="array" ref="IX169">IF(IM169="","",_xlfn.LET(_xlpm.nd,_xlfn.TEXTSPLIT(IM169,"|"),IF(COLUMNS(_xlpm.nd)&gt;6,A169&amp;"¦"&amp;INDEX(_xlpm.nd,6)&amp;"¦"&amp;INDEX(_xlpm.nd,7),"")))</f>
        <v/>
      </c>
      <c r="IY169" t="str">
        <f t="shared" si="397"/>
        <v/>
      </c>
      <c r="IZ169" t="str">
        <f t="shared" si="398"/>
        <v/>
      </c>
      <c r="JA169" t="str">
        <f t="shared" si="399"/>
        <v>QFD15</v>
      </c>
      <c r="JB169">
        <f t="shared" si="400"/>
        <v>0</v>
      </c>
      <c r="JC169">
        <f t="shared" si="401"/>
        <v>1</v>
      </c>
      <c r="JD169" t="str">
        <f t="shared" si="402"/>
        <v/>
      </c>
      <c r="JE169" t="str">
        <f t="shared" si="403"/>
        <v/>
      </c>
      <c r="JF169" t="str">
        <f t="shared" si="404"/>
        <v/>
      </c>
      <c r="JG169" t="str">
        <f t="shared" si="405"/>
        <v/>
      </c>
      <c r="JH169" t="str">
        <f>IF(B169="","",IFERROR(_xlfn.XLOOKUP(B169,Коды_код,Коды_уго),IFERROR(_xlfn.XLOOKUP(BC169,Коды_код,Коды_уго),IFERROR(_xlfn.XLOOKUP(LEFT(BC169,2),Коды_код,Коды_уго),""))))</f>
        <v>Розетка</v>
      </c>
      <c r="JI169" t="str">
        <f>IF(B169="","",IF(OR(JH169="",JH169=0),"BOX",IFERROR(IF(VLOOKUP(JH169,УГО_блоки,3,FALSE)&amp;""&lt;&gt;"",VLOOKUP(JH169,УГО_блоки,3,FALSE),VLOOKUP(JH169,УГО_блоки,2,FALSE)),JH169)))</f>
        <v>SOCKET</v>
      </c>
      <c r="JJ169">
        <f t="shared" si="406"/>
        <v>1</v>
      </c>
      <c r="JK169" t="str">
        <f>IF(DQ169="","",IF(COUNTIF(DQ$3:DQ169,DQ169)=1,MAX(JK$2:JK168)+1,""))</f>
        <v/>
      </c>
      <c r="JL169" t="str">
        <f>IF(DE169="","",IF(COUNTIF(DE$3:DE169,DE169)+COUNTIF(DF$2:DF168,DE169)+COUNTIF(DG$2:DG168,DE169)=1,MAX(JL$2:JN168)+1,""))</f>
        <v/>
      </c>
      <c r="JM169" t="str">
        <f>IF(DF169="","",IF(COUNTIF(DE$3:DE169,DF169)+COUNTIF(DF$3:DF169,DF169)+COUNTIF(DG$2:DG168,DF169)=1,MAX(JL$2:JN168,JL169)+1,""))</f>
        <v/>
      </c>
      <c r="JN169" t="str">
        <f>IF(DG169="","",IF(COUNTIF(DE$3:DE169,DG169)+COUNTIF(DF$3:DF169,DG169)+COUNTIF(DG$3:DG169,DG169)=1,MAX(JL$2:JN168,JL169,JM169)+1,""))</f>
        <v/>
      </c>
      <c r="JO169" t="str">
        <f t="shared" si="407"/>
        <v>3х2,5</v>
      </c>
      <c r="JP169" t="str">
        <f>IF(JO169="","",IF(COUNTIF(JO$3:JO169,JO169)=1,MAX(JP$2:JP168)+1,""))</f>
        <v/>
      </c>
      <c r="JQ169" t="str">
        <f>IF(HG169="","",COUNTIF(HG$3:HG169,"?*"))</f>
        <v/>
      </c>
      <c r="JR169" t="str">
        <f>IF(OR(HG169="",HI169=""),"",IF(COUNTIFS(HG$3:HG169,"?*",HI$3:HI169,HI169)=1,MAX(JR$2:JR168)+1,""))</f>
        <v/>
      </c>
      <c r="JS169">
        <f t="shared" si="408"/>
        <v>0</v>
      </c>
      <c r="JT169">
        <f>IF(B169="","",COUNTIF(B$3:B169,"?*"))</f>
        <v>167</v>
      </c>
      <c r="JU169">
        <f>IF(HL169&lt;&gt;1,0,_xlfn.LET(_xlpm.k,MAX(IFERROR(--_xlfn.XLOOKUP(B169,Коды_код,Коды_3L),0),IFERROR(--_xlfn.XLOOKUP(BC169,Коды_код,Коды_3L),0),IFERROR(--_xlfn.XLOOKUP(LEFT(BC169,2),Коды_код,Коды_3L),0)),IF(_xlpm.k&gt;0,_xlpm.k,IF(IFERROR(--LEFT(SUBSTITUTE(JO169,"x","х"),FIND("х",SUBSTITUTE(JO169,"x","х"))-1),3)&gt;3,Каталог!$S$9,1))))</f>
        <v>1</v>
      </c>
      <c r="JV169">
        <f t="shared" si="409"/>
        <v>0</v>
      </c>
      <c r="JW169" t="str">
        <f t="shared" si="410"/>
        <v>авто</v>
      </c>
      <c r="JX169">
        <f t="shared" si="411"/>
        <v>30</v>
      </c>
      <c r="JY169">
        <f t="shared" si="412"/>
        <v>1</v>
      </c>
      <c r="JZ169">
        <f t="shared" si="413"/>
        <v>1</v>
      </c>
    </row>
    <row r="170" spans="1:286" x14ac:dyDescent="0.3">
      <c r="A170" t="s">
        <v>753</v>
      </c>
      <c r="B170" t="s">
        <v>1478</v>
      </c>
      <c r="C170" t="str">
        <f>Линии[[#This Row],[_авто наименование]]</f>
        <v>Розеточная группа, пом. 002Tб</v>
      </c>
      <c r="D170">
        <v>1</v>
      </c>
      <c r="E170">
        <v>0.06</v>
      </c>
      <c r="G170">
        <v>16</v>
      </c>
      <c r="H170" t="str">
        <f>Линии[[#This Row],[_авто управление]]</f>
        <v/>
      </c>
      <c r="I170" t="str">
        <f>Линии[[#This Row],[_авто аппараты]]</f>
        <v/>
      </c>
      <c r="J170">
        <v>2.5</v>
      </c>
      <c r="K170">
        <v>28</v>
      </c>
      <c r="L170">
        <v>1</v>
      </c>
      <c r="M170" t="s">
        <v>484</v>
      </c>
      <c r="N170" t="str">
        <f t="shared" si="276"/>
        <v/>
      </c>
      <c r="O170" s="6" cm="1">
        <f t="array" ref="O170">IF(B170="","",IF(BH170&lt;&gt;"",IFERROR(_xlfn.XLOOKUP(BH170,Щиты[Щит],Щиты[Iр, А]),""),IF(BP170=1,IF(OR(N(_xlfn.XLOOKUP(A170,Щиты[Щит],Щиты[Вводов],1))&lt;=1,LOWER(TRIM(_xlfn.XLOOKUP(A170,Щиты[Щит],Щиты[АВР],"")&amp;""))="да"),IFERROR(_xlfn.XLOOKUP(A170,Щиты[Щит],Щиты[Iр, А]),""),IFERROR(N(BS170)*_xlfn.XLOOKUP(A170,Щиты[Щит],Щиты[Кс итог])/(SQRT(3)*Uн_лин*_xlfn.XLOOKUP(A170,Щиты[Щит],Щиты[cos φ])),"")),IF(BV170=1,IFERROR(BS170*1000/BU170,""),IFERROR(_xlfn.IFS(BX170=1,BS170/((Uн_лин/SQRT(3))*CE170),BX170=3,BS170/(SQRT(3)*Uн_лин*CE170)),"")))))</f>
        <v>0.27348170645824377</v>
      </c>
      <c r="P170" s="7">
        <f>IF(B170="","",IFERROR(IF(VLOOKUP(BC170,Потребители_обозначение,4,FALSE)=1,VLOOKUP(BC170,Потребители_обозначение,3,FALSE)*(MAX(1,N(D170))*2-1)+EI170+VLOOKUP(BE170,Этаж_обозначение,3,FALSE)+VLOOKUP(BE170,Этаж_обозначение,4,FALSE),VLOOKUP(BC170,Потребители_обозначение,3,FALSE)*(MAX(1,N(D170))*2-1)+EI170),EI170))</f>
        <v>31</v>
      </c>
      <c r="Q170" s="6">
        <f t="shared" si="277"/>
        <v>1.6400000000000001</v>
      </c>
      <c r="R170" t="str">
        <f t="shared" si="278"/>
        <v>ВВГнг(А)-LS (3х2,5)</v>
      </c>
      <c r="S170" t="str">
        <f>IF(BM170="","",IF(BN170="вводной узел","узел ","")&amp;"л."&amp;(INT((BM170-1)/Столбцов_на_лист)+1)&amp;" / "&amp;(MOD(BM170-1,Столбцов_на_лист)+1))</f>
        <v>л.2 / 8</v>
      </c>
      <c r="T170" s="119">
        <f t="shared" si="279"/>
        <v>0.4</v>
      </c>
      <c r="U170" s="7" t="str">
        <f>IF(OR(CG170=0,N(BV170)+N(IB170)=0),"",ROUNDUP(Запас_БП*(N(HY170)+N(HZ170)),0))</f>
        <v/>
      </c>
      <c r="V170" s="119" t="str">
        <f t="shared" si="280"/>
        <v/>
      </c>
      <c r="W170" s="7" t="str">
        <f>IFERROR(IF(OR(B170="",BP170=1,BV170=1,NOT(ISNUMBER(EN170)),N(DT170)=0),"",MAX(0,ROUNDDOWN((c_min*(Uн_лин*1000/SQRT(3))/(HT170*N(DT170))-_xlfn.XLOOKUP(A170,Щиты[Щит],Щиты[Zпетли на шинах, Ом]))*EN170/(2*ρкз_Cu),0))),"")</f>
        <v/>
      </c>
      <c r="Y170">
        <f>Линии[[#This Row],[_авто утечка]]</f>
        <v>30</v>
      </c>
      <c r="Z170">
        <v>1</v>
      </c>
      <c r="AA170">
        <v>230</v>
      </c>
      <c r="AB170" t="s">
        <v>562</v>
      </c>
      <c r="AG170" t="s">
        <v>810</v>
      </c>
      <c r="AI170" t="s">
        <v>561</v>
      </c>
      <c r="AK170" t="str">
        <f>Линии[[#This Row],[_авто модуль]]</f>
        <v/>
      </c>
      <c r="AM170">
        <v>25</v>
      </c>
      <c r="AN170" t="s">
        <v>11</v>
      </c>
      <c r="AO170">
        <v>3</v>
      </c>
      <c r="AQ170">
        <v>0</v>
      </c>
      <c r="AR170">
        <v>0</v>
      </c>
      <c r="AS170">
        <v>28</v>
      </c>
      <c r="BA170" cm="1">
        <f t="array" ref="BA170">ROW()-ROW(Линии[#Headers])</f>
        <v>168</v>
      </c>
      <c r="BC170" s="6" t="str">
        <f t="shared" si="281"/>
        <v>R</v>
      </c>
      <c r="BD170" t="str">
        <f t="shared" si="282"/>
        <v>00.002Tб.1</v>
      </c>
      <c r="BE170" t="str">
        <f t="shared" si="283"/>
        <v>00</v>
      </c>
      <c r="BF170" t="str">
        <f t="shared" si="284"/>
        <v>002Tб.1</v>
      </c>
      <c r="BG170" t="str">
        <f t="shared" si="285"/>
        <v>002Tб</v>
      </c>
      <c r="BH170" t="str">
        <f>IF(X170&lt;&gt;"",X170,IF(AND(B170&lt;&gt;"",B170&lt;&gt;A170,ISNUMBER(_xlfn.XMATCH(B170,Щиты[Щит]))),B170,""))</f>
        <v/>
      </c>
      <c r="BI170" t="str" cm="1">
        <f t="array" ref="BI170">IF(B170="","",IF(BH170&lt;&gt;"","Щит "&amp;BH170,_xlfn.LET(_xlpm.nm,IFERROR(_xlfn.XLOOKUP(BC170,Коды_код,Коды_имя)&amp;"",""),_xlpm.md,IFERROR(N(_xlfn.XLOOKUP(BC170,Коды_код,Коды_режим)),1),_xlpm.ex,IF(Имя_режим="по экспликации",IFERROR(_xlfn.XLOOKUP(BE170&amp;"|"&amp;BG170,Экспликация[Этаж]&amp;"|"&amp;Экспликация[Помещение],Экспликация[Название])&amp;"",""),""),_xlpm.rm,IF(BG170="","",IF(_xlpm.ex&lt;&gt;"",". "&amp;_xlpm.ex&amp;IF(Имя_пом="нет"," ("&amp;BG170&amp;")"," (пом. "&amp;BG170&amp;")"),IF(Имя_пом="нет"," ",", пом. ")&amp;BG170)),IF(_xlpm.nm="","",IF(_xlpm.md=2,_xlpm.nm&amp;" шлейф "&amp;BE170,_xlpm.nm&amp;_xlpm.rm)))))</f>
        <v>Розеточная группа, пом. 002Tб</v>
      </c>
      <c r="BJ170" t="str">
        <f t="shared" si="286"/>
        <v>Розеточная группа, пом. 002Tб</v>
      </c>
      <c r="BK170">
        <f>IFERROR(_xlfn.XMATCH(A170,Щиты[Щит]),0)</f>
        <v>8</v>
      </c>
      <c r="BL170">
        <f>_xlfn.LET(_xlpm.k,IFERROR(_xlfn.XLOOKUP(A170,Щиты[Щит],Щиты[Мест под вводной узел]),""),IF(_xlpm.k="",Столбцов_на_лист,N(_xlpm.k)))</f>
        <v>7</v>
      </c>
      <c r="BM170">
        <f t="shared" si="287"/>
        <v>25</v>
      </c>
      <c r="BN170" t="str">
        <f t="shared" si="288"/>
        <v>линии</v>
      </c>
      <c r="BO170" s="6">
        <f>IFERROR(N(_xlfn.XLOOKUP(BC170,Коды_код,Коды_квт)),0)</f>
        <v>0</v>
      </c>
      <c r="BP170">
        <f t="shared" si="289"/>
        <v>0</v>
      </c>
      <c r="BQ170" t="str">
        <f>IF(B170="","",IF(BH170&lt;&gt;"",IFERROR(_xlfn.XLOOKUP(BH170,Щиты[Щит],Щиты[Руст, кВт]),0),IF(BP170=1,IF(OR(N(_xlfn.XLOOKUP(A170,Щиты[Щит],Щиты[Вводов],1))&lt;=1,LOWER(TRIM(_xlfn.XLOOKUP(A170,Щиты[Щит],Щиты[АВР],"")&amp;""))="да"),IFERROR(_xlfn.XLOOKUP(A170,Щиты[Щит],Щиты[Руст, кВт]),0),SUMIFS(Линии[_Р для вводов],Линии[Щит],A170,Линии[Источник для режимов],GF170)),IF(BO170&gt;0,ROUND(BO170*MAX(1,N(D170)),3),""))))</f>
        <v/>
      </c>
      <c r="BR170">
        <f t="shared" si="290"/>
        <v>0.06</v>
      </c>
      <c r="BS170" s="6">
        <f>IF(B170="","",IF(BH170&lt;&gt;"",IFERROR(_xlfn.XLOOKUP(BH170,Щиты[Щит],Щиты[Руст, кВт]),0),N(BR170)))</f>
        <v>0.06</v>
      </c>
      <c r="BT170" t="str">
        <f>IF(B170="","",IFERROR(IF(VLOOKUP(BC170,Потребители_обозначение,8,FALSE)=0,"",VLOOKUP(BC170,Потребители_обозначение,8,FALSE)),""))</f>
        <v/>
      </c>
      <c r="BU170">
        <f t="shared" si="291"/>
        <v>230</v>
      </c>
      <c r="BV170">
        <f t="shared" si="292"/>
        <v>0</v>
      </c>
      <c r="BW170">
        <f>IF(B170="","",IF(BH170&lt;&gt;"",3,IFERROR(IF(N(VLOOKUP(BC170,Потребители_обозначение,9,FALSE))=0,1,VLOOKUP(BC170,Потребители_обозначение,9,FALSE)),1)))</f>
        <v>1</v>
      </c>
      <c r="BX170">
        <f t="shared" si="293"/>
        <v>1</v>
      </c>
      <c r="BY170" t="str">
        <f>IF(B170="","",_xlfn.LET(_xlpm.bc,IFERROR(IF(VLOOKUP(BC170,Потребители_обозначение,6,FALSE)=0,"",VLOOKUP(BC170,Потребители_обозначение,6,FALSE)&amp;""),""),IF(AND(GA170="да",OR(_xlpm.bc="",_xlpm.bc="мс")),Марка_пож,IF(AND(_xlpm.bc="",BH170&lt;&gt;""),"мс",_xlpm.bc))))</f>
        <v/>
      </c>
      <c r="BZ170" t="str">
        <f t="shared" si="294"/>
        <v>мс</v>
      </c>
      <c r="CA170">
        <f>IF(B170="","",_xlfn.LET(_xlpm.cc,IFERROR(N(VLOOKUP(BC170,Потребители_обозначение,7,FALSE)),0),IF(_xlpm.cc&gt;0,_xlpm.cc,IF(BZ170="","",IF(BV170=1,2,IF(N(BX170)=3,5,3))))))</f>
        <v>3</v>
      </c>
      <c r="CB170">
        <f t="shared" si="295"/>
        <v>3</v>
      </c>
      <c r="CC170">
        <f>IFERROR(N(VLOOKUP(BC170,Потребители_обозначение,10,FALSE)),0)</f>
        <v>0</v>
      </c>
      <c r="CD170">
        <f>IFERROR(VLOOKUP(BC170,Потребители_обозначение,5,FALSE),0)</f>
        <v>1</v>
      </c>
      <c r="CE170" s="6" cm="1">
        <f t="array" ref="CE170">IF(B170="","",IF(BH170&lt;&gt;"",IFERROR(_xlfn.XLOOKUP(BH170,Щиты[Щит],Щиты[cos φ]),0.95),IF(BP170=1,IFERROR(_xlfn.XLOOKUP(A170,Щиты[Щит],Щиты[cos φ]),0.95),IF(ISNUMBER(AD170),AD170,IFERROR(IF(CD170=2,_xlfn.IFS(BX170=3,VLOOKUP(BS170,Справочная_двигатели,8,FALSE),BX170=1,VLOOKUP(BS170,Справочная_двигатели,10,TRUE)),IF(AND(Методика="нормы 2026",FG170="Сил"),0.8,0.95)),0.95)))))</f>
        <v>0.95</v>
      </c>
      <c r="CF170">
        <f t="shared" si="296"/>
        <v>0</v>
      </c>
      <c r="CG170">
        <f t="shared" si="297"/>
        <v>1</v>
      </c>
      <c r="CH170">
        <f t="shared" si="298"/>
        <v>0</v>
      </c>
      <c r="CI170">
        <f>IF(B170="","",IF(BV170=1,IFERROR(BS170/((Uн_лин/SQRT(3))*MAX(0.5,N(CE170))),0),N(O170)))</f>
        <v>0.27348170645824377</v>
      </c>
      <c r="CJ170">
        <f t="shared" si="299"/>
        <v>0</v>
      </c>
      <c r="CK170">
        <f t="shared" si="300"/>
        <v>0</v>
      </c>
      <c r="CL170">
        <f t="shared" si="301"/>
        <v>0</v>
      </c>
      <c r="CM170">
        <f t="shared" si="302"/>
        <v>0</v>
      </c>
      <c r="CN170">
        <f t="shared" si="303"/>
        <v>0</v>
      </c>
      <c r="CO170">
        <f>IF(BC170="",0,_xlfn.LET(_xlpm.v,IFERROR(_xlfn.XLOOKUP(B170,Коды_код,Коды_мА),IFERROR(_xlfn.XLOOKUP(BC170,Коды_код,Коды_мА),IFERROR(_xlfn.XLOOKUP(LEFT(BC170,2),Коды_код,Коды_мА),""))),IF(_xlpm.v="да",30,IF(ISNUMBER(_xlpm.v),_xlpm.v,0))))</f>
        <v>30</v>
      </c>
      <c r="CP170">
        <f t="shared" si="304"/>
        <v>30</v>
      </c>
      <c r="CQ170" t="str">
        <f>_xlfn.LET(_xlpm.k,IFERROR(_xlfn.XLOOKUP(BC170,Коды_код,Коды_утечка)&amp;"",""),IF(_xlpm.k="","дифавтомат",_xlpm.k))</f>
        <v>дифавтомат</v>
      </c>
      <c r="CR170" t="str" cm="1">
        <f t="array" ref="CR170">IF(CG170=0,"",_xlfn.LET(_xlpm.sg,TRIM(_xlfn.TEXTSPLIT(DD170&amp;"",";")),_xlpm.f_,_xlfn._xlws.FILTER(_xlpm.sg,LEFT(_xlpm.sg,3)="УЗО",""),IFERROR(INDEX(_xlpm.f_,1)&amp;"","")))</f>
        <v/>
      </c>
      <c r="CS170" t="str">
        <f t="shared" si="305"/>
        <v/>
      </c>
      <c r="CT170" s="6" t="str" cm="1">
        <f t="array" ref="CT170">IF(CR170="","",_xlfn.LET(_xlpm.tk,_xlfn.TEXTSPLIT(UPPER(CR170)," ",,TRUE),_xlpm.a_,_xlfn._xlws.FILTER(_xlpm.tk,ISNUMBER(--LEFT(_xlpm.tk,1))*((ISNUMBER(SEARCH("А",_xlpm.tk))+ISNUMBER(SEARCH("A",_xlpm.tk)))&gt;0)*NOT(ISNUMBER(SEARCH("МА",_xlpm.tk)))*NOT(ISNUMBER(SEARCH("MA",_xlpm.tk))),""),IFERROR(--SUBSTITUTE(SUBSTITUTE(INDEX(_xlpm.a_,1),"А",""),"A",""),"")))</f>
        <v/>
      </c>
      <c r="CU170" t="str" cm="1">
        <f t="array" ref="CU170">IF(CR170="","",_xlfn.LET(_xlpm.tk,_xlfn.TEXTSPLIT(UPPER(CR170)," ",,TRUE),_xlpm.a_,_xlfn._xlws.FILTER(_xlpm.tk,ISNUMBER(--LEFT(_xlpm.tk,1))*((ISNUMBER(SEARCH("МА",_xlpm.tk))+ISNUMBER(SEARCH("MA",_xlpm.tk)))&gt;0),""),IFERROR(--SUBSTITUTE(SUBSTITUTE(INDEX(_xlpm.a_,1),"МА",""),"MA",""),30)))</f>
        <v/>
      </c>
      <c r="CV170" t="str">
        <f>IF(CS170="","",IFERROR(_xlfn.XLOOKUP(CS170,Линии[_n],Линии[_УЗО, мА]),30))</f>
        <v/>
      </c>
      <c r="CW170">
        <f>IF(CS170="",0,IF(ISNUMBER(SEARCH("4P",IFERROR(_xlfn.XLOOKUP(CS170,Линии[_n],Линии[_УЗО строки])&amp;"",""))),0,1))</f>
        <v>0</v>
      </c>
      <c r="CX170" t="str">
        <f>IF(AND(CS170&lt;&gt;"",CS170=BA170),SUMIFS(Линии[_ток на 230 В],Линии[_блок УЗО],BA170,Линии[Щит],A170),"")</f>
        <v/>
      </c>
      <c r="CY170" t="str">
        <f>IF(AND(CS170&lt;&gt;"",CS170=BA170),SUMIFS(Линии[_ток утечки линии, мА],Линии[_блок УЗО],BA170,Линии[Щит],A170),"")</f>
        <v/>
      </c>
      <c r="CZ170">
        <f t="shared" si="306"/>
        <v>30</v>
      </c>
      <c r="DA170">
        <f t="shared" si="307"/>
        <v>30</v>
      </c>
      <c r="DB170">
        <f>IF(B170="",0,IFERROR(--_xlfn.XLOOKUP(B170,Коды_код,Коды_минавт),IFERROR(--_xlfn.XLOOKUP(BC170,Коды_код,Коды_минавт),IFERROR(--_xlfn.XLOOKUP(LEFT(BC170,2),Коды_код,Коды_минавт),0))))</f>
        <v>16</v>
      </c>
      <c r="DC170" t="str">
        <f>IF(B170="","",IFERROR(_xlfn.XLOOKUP(BC170,Коды_код,Коды_апп)&amp;"",""))</f>
        <v/>
      </c>
      <c r="DD170" t="str">
        <f t="shared" si="308"/>
        <v/>
      </c>
      <c r="DE170" t="str" cm="1">
        <f t="array" ref="DE170">IF(TRIM(DD170&amp;"")="","",IFERROR(TRIM(INDEX(_xlfn.TEXTSPLIT(DD170&amp;";;;",";"),1)),""))</f>
        <v/>
      </c>
      <c r="DF170" t="str" cm="1">
        <f t="array" ref="DF170">IF(TRIM(DD170&amp;"")="","",IFERROR(TRIM(INDEX(_xlfn.TEXTSPLIT(DD170&amp;";;;",";"),2)),""))</f>
        <v/>
      </c>
      <c r="DG170" t="str" cm="1">
        <f t="array" ref="DG170">IF(TRIM(DD170&amp;"")="","",IFERROR(TRIM(INDEX(_xlfn.TEXTSPLIT(DD170&amp;";;;",";"),3)),""))</f>
        <v/>
      </c>
      <c r="DH170">
        <f t="shared" si="309"/>
        <v>0</v>
      </c>
      <c r="DI170" t="str">
        <f>IF(B170="","",_xlfn.LET(_xlpm.t,LOWER(AZ170&amp;""),IF(ISNUMBER(SEARCH("dim",_xlpm.t)),"DIM",IF(ISNUMBER(SEARCH("dali",_xlpm.t)),"DALI",IF(OR(ISNUMBER(SEARCH("relay",_xlpm.t)),ISNUMBER(SEARCH("реле",_xlpm.t))),"Relay",IF(ISNUMBER(SEARCH("кнопк",_xlpm.t)),"",IFERROR(_xlfn.XLOOKUP(BC170,Коды_код,Коды_упр)&amp;"","")))))))</f>
        <v/>
      </c>
      <c r="DJ170" t="str">
        <f t="shared" si="310"/>
        <v/>
      </c>
      <c r="DK170">
        <f>IF(B170="","",_xlfn.LET(_xlpm.ig,IF(N(CX170)&gt;0,N(CX170),N(CI170)+IF(AJ170="вручную",0,N(CJ170))),_xlpm.n0,IFERROR(VLOOKUP(_xlpm.ig,Автомат_номиналы,2,TRUE),0),_xlpm.mn,MAX(DB170,IF(AJ170="вручную",0,N(CM170))),MAX(_xlpm.n0,_xlpm.mn,IF(DH170=1,Мин_автомат_БП,0))))</f>
        <v>16</v>
      </c>
      <c r="DL170">
        <f t="shared" si="311"/>
        <v>1</v>
      </c>
      <c r="DM170" t="str">
        <f t="shared" si="312"/>
        <v>2P</v>
      </c>
      <c r="DN170" t="str">
        <f>_xlfn.LET(_xlpm.cc,UPPER(TRIM(IFERROR(_xlfn.XLOOKUP(BC170,Коды_код,Коды_хар)&amp;"",""))),IF(OR(_xlpm.cc="B",_xlpm.cc="В"),"B",IF(_xlpm.cc="D","D","С")))</f>
        <v>С</v>
      </c>
      <c r="DO170" t="str">
        <f t="shared" si="313"/>
        <v>2P С16А 30мА</v>
      </c>
      <c r="DP170">
        <f t="shared" si="314"/>
        <v>16</v>
      </c>
      <c r="DQ170" t="str">
        <f t="shared" si="315"/>
        <v>2P С16А 30мА</v>
      </c>
      <c r="DR170" cm="1">
        <f t="array" ref="DR170">IF(DQ170="","",_xlfn.LET(_xlpm.t,SUBSTITUTE(SUBSTITUTE(SUBSTITUTE(UPPER(DQ170),"С","C"),"А","A"),"В","B"),_xlpm.tk,_xlfn.TEXTSPLIT(_xlpm.t," "),_xlpm.f,_xlfn._xlws.FILTER(_xlpm.tk,ISNUMBER(--MID(_xlpm.tk,2,1))*ISNUMBER(SEARCH(LEFT(_xlpm.tk,1)&amp;"#","B#C#D#"))*(LEN(_xlpm.tk)&gt;1),""),_xlpm.x,INDEX(_xlpm.f,1),IFERROR(--SUBSTITUTE(MID(_xlpm.x,2,9),"A",""),IFERROR(--SUBSTITUTE(INDEX(_xlfn._xlws.FILTER(_xlpm.tk,ISNUMBER(--SUBSTITUTE(_xlpm.tk,"A","")),""),1),"A",""),""))))</f>
        <v>16</v>
      </c>
      <c r="DS170" t="str">
        <f t="shared" si="316"/>
        <v>ok</v>
      </c>
      <c r="DT170">
        <f t="shared" si="317"/>
        <v>16</v>
      </c>
      <c r="DU170" t="str">
        <f t="shared" si="318"/>
        <v>2P С16А 30мА</v>
      </c>
      <c r="DV170">
        <f t="shared" si="319"/>
        <v>30</v>
      </c>
      <c r="DW170">
        <f t="shared" si="320"/>
        <v>1</v>
      </c>
      <c r="DX170">
        <f t="shared" si="321"/>
        <v>0</v>
      </c>
      <c r="DY170">
        <f t="shared" si="322"/>
        <v>0.27348170645824377</v>
      </c>
      <c r="DZ170">
        <f t="shared" si="323"/>
        <v>1</v>
      </c>
      <c r="EA170">
        <f>IF(ISNUMBER(AP170),AP170,К_прокл)</f>
        <v>1</v>
      </c>
      <c r="EB170">
        <f t="shared" si="324"/>
        <v>2</v>
      </c>
      <c r="EC170">
        <f>IFERROR(N(VLOOKUP(BZ170,Кабель_обозначение,3,FALSE)),1)</f>
        <v>1</v>
      </c>
      <c r="ED170">
        <f>IFERROR(N(_xlfn.XLOOKUP(A170,Щиты[Щит],Щиты[ΔU до шин, %])),0)</f>
        <v>1.57</v>
      </c>
      <c r="EE170" t="str">
        <f>IFERROR(_xlfn.XLOOKUP(A170,Щиты[Щит],Щиты[Zпетли на шинах, Ом]),"")</f>
        <v/>
      </c>
      <c r="EF170">
        <f>IFERROR(N(_xlfn.XLOOKUP(A170,Щиты[Щит],Щиты[ΔU до шин (подбор), %])),0)</f>
        <v>2.5</v>
      </c>
      <c r="EG170" t="str">
        <f>IFERROR(_xlfn.XLOOKUP(A170,Щиты[Щит],Щиты[Zпетли на шинах (подбор), Ом]),"")</f>
        <v/>
      </c>
      <c r="EH170" t="str">
        <f t="shared" si="325"/>
        <v/>
      </c>
      <c r="EI170">
        <f t="shared" si="326"/>
        <v>28</v>
      </c>
      <c r="EJ170">
        <f t="shared" si="327"/>
        <v>2</v>
      </c>
      <c r="EK170">
        <f t="shared" si="328"/>
        <v>0.31</v>
      </c>
      <c r="EL170" s="6">
        <f>IF(B170="","",IF(BV170=1,dU_LED,IF(IFERROR(_xlfn.XLOOKUP(BC170,Коды_код,Коды_уго),"")="Светильник",3,4)+IF(Методика="нормы 2026",MIN(0.5,MAX(0,N(P170)-100)*0.005),0)))</f>
        <v>4</v>
      </c>
      <c r="EM170" cm="1">
        <f t="array" ref="EM170">IF(OR(B170="",BZ170="",EC170&lt;&gt;1),"",_xlfn.LET(_xlpm.sz,Iдоп_S,_xlpm.t_,CHOOSE(EB170,Iдоп_1ж,Iдоп_2ж,Iдоп_3ж)*DZ170*EA170,_xlpm.dcx,BV170=1,_xlpm.inn,IF(_xlpm.dcx,N(O170),N(DT170)),_xlpm.smin,MAX(1.5,CC170),_xlpm.L_,N(P170)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170)/N(BU170)*100,999),IFERROR(N(EJ170)*(_xlpm.rho*_xlpm.L_/_xlpm.sz*N(CE170)+_xlpm.xx*_xlpm.L_*N(EK170)/1000)*N(O170)/((Uн_лин/SQRT(3))*1000)*100,999)),_xlpm.kz,IF(OR(_xlpm.dcx,DW170=1,NOT(ISNUMBER(EG170)),_xlpm.L_=0,_xlpm.inn=0),1,IFERROR(--(c_min*(Uн_лин*1000/SQRT(3))/(EG170+2*ρкз_Cu*_xlpm.L_/_xlpm.sz)&gt;=HT170*_xlpm.inn),0)),_xlpm.ok,IFERROR((_xlpm.sz&gt;=_xlpm.smin)*(_xlpm.t_&gt;=_xlpm.inn)*IF(_xlpm.L_&gt;0,(_xlpm.du_+IF(_xlpm.dcx,0,EF170)&lt;=EL170+0.00001),1)*_xlpm.kz,0),_xlpm.r_,_xlfn._xlws.FILTER(_xlpm.sz,_xlpm.ok,"не подобрано"),INDEX(_xlpm.r_,1)))</f>
        <v>1.5</v>
      </c>
      <c r="EN170">
        <f t="shared" si="329"/>
        <v>2.5</v>
      </c>
      <c r="EO170" cm="1">
        <f t="array" ref="EO170">IF(OR(B170="",BZ170="",EC170&lt;&gt;1),"",_xlfn.LET(_xlpm.sz,Iдоп_S,_xlpm.t_,CHOOSE(EB170,Iдоп_1ж,Iдоп_2ж,Iдоп_3ж)*DZ170*EA170,_xlpm.ok,IFERROR((_xlpm.sz&gt;=MAX(1.5,CC170))*(_xlpm.t_&gt;=N(DT170)),0),_xlpm.r_,_xlfn._xlws.FILTER(_xlpm.sz,_xlpm.ok,""),INDEX(_xlpm.r_,1)))</f>
        <v>1.5</v>
      </c>
      <c r="EP170" s="6" cm="1">
        <f t="array" ref="EP170">IFERROR(ROUNDUP(N(EJ170)*(_xlfn.XLOOKUP(EO170,INDEX(Кабель_сопротивление,0,1),INDEX(Кабель_сопротивление,0,3))*N(P170)/EO170*N(CE170)+_xlfn.XLOOKUP(EO170,INDEX(Кабель_сопротивление,0,1),INDEX(Кабель_сопротивление,0,2))*N(P170)*N(EK170)/1000)*N(O170)/((Uн_лин/SQRT(3))*1000)*100,2),"")</f>
        <v>0.11</v>
      </c>
      <c r="EQ170">
        <f>IFERROR(2*ρкз_Cu*N(P170)/EO170,"")</f>
        <v>1.0870666666666666</v>
      </c>
      <c r="ER170">
        <f>IFERROR(VLOOKUP(EN170,Кабель_сопротивление,3,FALSE),"")</f>
        <v>2.2499999999999999E-2</v>
      </c>
      <c r="ES170">
        <f>IFERROR(VLOOKUP(EN170,Кабель_сопротивление,2,FALSE),"")</f>
        <v>0.1</v>
      </c>
      <c r="ET170">
        <f t="shared" si="330"/>
        <v>0</v>
      </c>
      <c r="EU170">
        <f t="shared" si="331"/>
        <v>28</v>
      </c>
      <c r="EV170">
        <f t="shared" si="332"/>
        <v>0.14549828443332777</v>
      </c>
      <c r="EW170" s="6">
        <f>IFERROR(ROUNDUP(EV170/IF(BV170=1,BU170,(Uн_лин/SQRT(3))*1000)*100,2),"")</f>
        <v>6.9999999999999993E-2</v>
      </c>
      <c r="EX170" t="str">
        <f>IFERROR(VLOOKUP(BZ170,Кабель_обозначение,2,FALSE),"")</f>
        <v>ВВГнг(А)-LS</v>
      </c>
      <c r="EY170" t="str">
        <f t="shared" si="333"/>
        <v>ВВГнг(А)-LS (3х2,5)</v>
      </c>
      <c r="EZ170" t="str">
        <f t="shared" si="334"/>
        <v>ВВГнг(А)-LS (3х2,5)
L=31-0,07%</v>
      </c>
      <c r="FA170">
        <f>IFERROR(2*ρкз_Cu*P170/EN170,"")</f>
        <v>0.65224000000000004</v>
      </c>
      <c r="FB170">
        <f t="shared" si="335"/>
        <v>0.21700000000000003</v>
      </c>
      <c r="FC170" s="6" t="str">
        <f>IFERROR(IF(OR(B170="",BV170=1,NOT(ISNUMBER(EN170)),N(P170)=0),"",_xlfn.XLOOKUP(A170,Щиты[Щит],Щиты[Zпетли на шинах, Ом])+FA170),"")</f>
        <v/>
      </c>
      <c r="FD170" s="6" t="str">
        <f>IF(ISNUMBER(FC170),c_min*(Uн_лин*1000/SQRT(3))/FC170,"")</f>
        <v/>
      </c>
      <c r="FE170" s="6" t="str">
        <f>IFERROR(IF(OR(B170="",NOT(ISNUMBER(EN170))),"",1.05*(Uн_лин*1000/SQRT(3))/(_xlfn.XLOOKUP(A170,Щиты[Щит],Щиты[Zmax на шинах, Ом])+FB170)/1000),"")</f>
        <v/>
      </c>
      <c r="FF170" s="6" t="str">
        <f>IF(B170="","",IF(ISNUMBER(AC170),"Сил",IF(IFERROR(_xlfn.XLOOKUP(BC170,Коды_код,Коды_группа)&amp;"","")="","Быт",_xlfn.XLOOKUP(BC170,Коды_код,Коды_группа)&amp;"")))</f>
        <v>Быт</v>
      </c>
      <c r="FG170" s="6" t="str">
        <f t="shared" si="336"/>
        <v>Быт</v>
      </c>
      <c r="FH170" s="6">
        <f>IF(FG170="Щит","щит",IF(FG170="","",IF(FG170="Быт",IFERROR(_xlfn.XLOOKUP(A170,Щиты[Щит],Щиты[Кс быт]),1),IF(FG170="Сил",IF(ISNUMBER(AC170),AC170,IF(Методика="нормы 2026",IFERROR(_xlfn.XLOOKUP(A170,Щиты[Щит],Щиты[Кс силовых (табл. 7.5)]),1),1)),IF(OR(FG170="Пост",FG170="Отоп"),1,IF(FG170="ВНГ",0.7,0))))))</f>
        <v>0.8</v>
      </c>
      <c r="FI170">
        <f>IF(FG170="","",IF(AND(BP170=1,TRIM(AE170&amp;"")=""),IF(COUNTIFS(Линии[Щит],A170,Линии[Секция (1/2/3)],"&gt;=2")&gt;0,MIN(3,MAX(1,IFERROR(--BD170,1))),1),IFERROR(MIN(3,MAX(1,INT(--AE170))),1)))</f>
        <v>1</v>
      </c>
      <c r="FJ170">
        <f t="shared" si="337"/>
        <v>0.06</v>
      </c>
      <c r="FK170">
        <f t="shared" si="338"/>
        <v>0.06</v>
      </c>
      <c r="FL170">
        <f t="shared" si="339"/>
        <v>0</v>
      </c>
      <c r="FM170">
        <f t="shared" si="340"/>
        <v>0</v>
      </c>
      <c r="FN170">
        <f t="shared" si="341"/>
        <v>0</v>
      </c>
      <c r="FO170">
        <f t="shared" si="342"/>
        <v>0</v>
      </c>
      <c r="FP170">
        <f t="shared" si="343"/>
        <v>0.06</v>
      </c>
      <c r="FQ170">
        <f t="shared" si="344"/>
        <v>0.06</v>
      </c>
      <c r="FR170">
        <f t="shared" si="345"/>
        <v>5.6999999999999995E-2</v>
      </c>
      <c r="FS170">
        <f>IF(CG170=1,IF(AND(CH170=1,CW170=1),0,IF(AND(CS170&lt;&gt;"",CS170=BA170,CW170=1),SUMIFS(Линии[_Р линии, кВт],Линии[_блок УЗО],BA170,Линии[Щит],A170),N(BS170)+IF(AJ170="вручную",0,N(CK170)))),0)</f>
        <v>0.06</v>
      </c>
      <c r="FT170" t="str">
        <f t="shared" si="346"/>
        <v>L1</v>
      </c>
      <c r="FU170" t="str">
        <f>IF(B170="","",IF(CG170=0,IF(BA170=1,"",FW169),IF(AND(CH170=1,CW170=1,CS170&lt;&gt;""),IFERROR(_xlfn.XLOOKUP(CS170,Линии[_n],Линии[_фаза итог]),"L1"),IF(OR(N(DL170)&gt;=3,N(BX170)&gt;=3),"L1,L2,L3",IFERROR(_xlfn.TEXTBEFORE(_xlfn.TEXTAFTER(_xlfn.XLOOKUP(A170,Щиты[Щит],Щиты[_фазы авто]),";"&amp;BA170&amp;":"),";"),"L1")))))</f>
        <v>L1</v>
      </c>
      <c r="FV170" t="str">
        <f t="shared" si="347"/>
        <v>L1</v>
      </c>
      <c r="FW170" t="str">
        <f t="shared" si="348"/>
        <v>L1</v>
      </c>
      <c r="FX170" cm="1">
        <f t="array" ref="FX170">IFERROR(IF(CD170=2,_xlfn.IFS(BX170=3,VLOOKUP(BS170,Справочная_двигатели,3,FALSE),BX170=1,VLOOKUP(BS170,Справочная_двигатели,5,TRUE)),0),0)</f>
        <v>0</v>
      </c>
      <c r="FY170">
        <f>IFERROR(IF(CD170=3,VLOOKUP(BS170,Справочная_ЛЭД,2,TRUE),0),0)</f>
        <v>0</v>
      </c>
      <c r="FZ170" s="6">
        <f t="shared" si="349"/>
        <v>0</v>
      </c>
      <c r="GA170" t="str">
        <f>IF(B170="","",IF(TRIM(AH170&amp;"")&lt;&gt;"",IF(LOWER(TRIM(AH170&amp;""))="да","да","нет"),IF(IFERROR(_xlfn.XLOOKUP(BC170,Коды_код,Коды_пожарная),"")="да","да","нет")))</f>
        <v>нет</v>
      </c>
      <c r="GB170" t="str">
        <f t="shared" si="350"/>
        <v/>
      </c>
      <c r="GC170" t="str">
        <f t="shared" si="351"/>
        <v>основная</v>
      </c>
      <c r="GD170">
        <f>IF(AND(BP170=1,TRIM(AE170&amp;"")=""),IF(COUNTIFS(Линии[Щит],A170,Линии[Секция (1/2/3)],"&gt;=2")&gt;0,MIN(3,MAX(1,IFERROR(--BD170,1))),1),IFERROR(MIN(3,MAX(1,INT(--AE170))),1))</f>
        <v>1</v>
      </c>
      <c r="GE170" t="str" cm="1">
        <f t="array" ref="GE170">IF(B170="","",_xlfn.LET(_xlpm.t,IFERROR(_xlfn.XLOOKUP(1,(Шины[Шина]=GC170)*(((Шины[Щит]=A170)+(Шины[Щит]=""))&gt;0),Шины[Тип]),"")&amp;"",IF(_xlpm.t&lt;&gt;"",_xlpm.t,IF(ISNUMBER(SEARCH("ИБП",GC170)),"ИБП",IF(ISNUMBER(SEARCH("ДГУ",GC170)),"ДГУ","Ввод "&amp;GD170)))))</f>
        <v>Ввод 1</v>
      </c>
      <c r="GF170" t="str">
        <f t="shared" si="352"/>
        <v>Ввод 1</v>
      </c>
      <c r="GG170" t="str">
        <f>IF(BP170=0,"",IF(TRIM(AG170&amp;"")&lt;&gt;"",TRIM(AG170&amp;""),IF(OR(GE170="ИБП",GE170="ДГУ"),"I особая",_xlfn.XLOOKUP(A170,Щиты[Щит],Щиты[Категория шины «Ввод»],"III"))))</f>
        <v/>
      </c>
      <c r="GH170" t="str">
        <f>IF(A170="","",_xlfn.XLOOKUP(A170,Щиты[Щит],Щиты[Путь],""))</f>
        <v>|ГРЩ-ЖД|ЩР-001|</v>
      </c>
      <c r="GI170" t="str">
        <f>IF(B170="","",IF(AI170&lt;&gt;"",AI170,IF(IFERROR(_xlfn.XLOOKUP(BC170,Коды_код,Коды_вид)&amp;"","")="","Прочее",_xlfn.XLOOKUP(BC170,Коды_код,Коды_вид)&amp;"")))</f>
        <v>Розеточная сеть и бытовые приборы</v>
      </c>
      <c r="GJ170">
        <f>IF(BM170="","",INT((BM170-1)/Столбцов_на_лист)+1)</f>
        <v>2</v>
      </c>
      <c r="GK170" t="str">
        <f t="shared" si="353"/>
        <v>ВВГнг(А)-LS (3х2,5) L=31-0,07%</v>
      </c>
      <c r="GL170">
        <f t="shared" si="354"/>
        <v>0.06</v>
      </c>
      <c r="GM170">
        <f t="shared" si="355"/>
        <v>0.28000000000000003</v>
      </c>
      <c r="GN170">
        <f t="shared" si="356"/>
        <v>1</v>
      </c>
      <c r="GO170">
        <f t="shared" si="357"/>
        <v>0</v>
      </c>
      <c r="GP170">
        <f t="shared" si="358"/>
        <v>1</v>
      </c>
      <c r="GQ170">
        <f>IF(BM170="","",IF(AND(CG170=1,GP170=1),COUNTIFS(A$3:A170,A170,CG$3:CG170,1,GP$3:GP170,1),IF(OR(OR(BA170=1,A170&lt;&gt;A169),AJ170="вручную",GP170=0),"",IF(BA170=1,"",GR169))))</f>
        <v>16</v>
      </c>
      <c r="GR170">
        <f t="shared" si="359"/>
        <v>16</v>
      </c>
      <c r="GS170">
        <f>IF(B170="","",IFERROR(LOOKUP(INDEX(CHOOSE(EB170,Iдоп_1ж,Iдоп_2ж,Iдоп_3ж),MATCH(EN170,Iдоп_S,0))*DZ170*EA170,{6,10,16,20,25,32,40,50,63,80,100,125,160,200,250,315,400,500,630}),""))</f>
        <v>25</v>
      </c>
      <c r="GT170" t="str">
        <f t="shared" si="360"/>
        <v>QFD16</v>
      </c>
      <c r="GU170" t="str">
        <f t="shared" si="361"/>
        <v>QFD16</v>
      </c>
      <c r="GV170" t="str">
        <f t="shared" si="362"/>
        <v/>
      </c>
      <c r="GW170">
        <f t="shared" si="363"/>
        <v>0</v>
      </c>
      <c r="GX170" t="str">
        <f>IF(OR(B170="",DJ170=""),"",IFERROR(_xlfn.XLOOKUP(DJ170,Модули_умолч[Управление],Модули_умолч[Модель])&amp;"",""))</f>
        <v/>
      </c>
      <c r="GY170">
        <f>IF(DJ170="",1,IFERROR(MAX(0,N(_xlfn.XLOOKUP(DJ170,Модули_умолч[Управление],Модули_умолч[Каналов на линию]))),1))</f>
        <v>1</v>
      </c>
      <c r="GZ170" t="str">
        <f t="shared" si="364"/>
        <v/>
      </c>
      <c r="HA170" t="str">
        <f t="shared" si="365"/>
        <v/>
      </c>
      <c r="HB170" t="str">
        <f t="shared" si="366"/>
        <v/>
      </c>
      <c r="HC170">
        <f>IF(HB170="",0,IFERROR(N(VLOOKUP(HB170,Модули_спр,3,FALSE)),0))</f>
        <v>0</v>
      </c>
      <c r="HD170" t="str">
        <f t="shared" si="367"/>
        <v/>
      </c>
      <c r="HE170" t="str">
        <f t="shared" si="368"/>
        <v/>
      </c>
      <c r="HF170" t="str">
        <f>IF(OR(HE170="",HE170="-"),"",IFERROR(VLOOKUP(HE170,Модули_спр,2,FALSE),"R"))</f>
        <v/>
      </c>
      <c r="HG170" t="str">
        <f>IF(HF170="","",HF170&amp;"."&amp;COUNTIFS(A$3:A170,A170,HF$3:HF170,HF170))</f>
        <v/>
      </c>
      <c r="HH170" t="str">
        <f t="shared" si="369"/>
        <v/>
      </c>
      <c r="HI170" t="str">
        <f t="shared" si="370"/>
        <v/>
      </c>
      <c r="HJ170" t="str">
        <f t="shared" si="371"/>
        <v/>
      </c>
      <c r="HK170" t="str">
        <f t="shared" si="372"/>
        <v/>
      </c>
      <c r="HL170">
        <f t="shared" si="373"/>
        <v>1</v>
      </c>
      <c r="HM170" t="str">
        <f>IF(HL170=1,"XT"&amp;COUNTIFS(A$3:A170,A170,HL$3:HL170,1),"")</f>
        <v>XT16</v>
      </c>
      <c r="HN170" t="str">
        <f t="shared" si="374"/>
        <v/>
      </c>
      <c r="HO170" t="str">
        <f t="shared" si="375"/>
        <v>QFD16</v>
      </c>
      <c r="HP170" t="str">
        <f t="shared" si="376"/>
        <v/>
      </c>
      <c r="HQ170" t="str">
        <f t="shared" si="377"/>
        <v>ok</v>
      </c>
      <c r="HR170" t="str">
        <f>IF(OR(HJ170="",HH170=""),"",IF(HJ170+MAX(0,GY170-1)&gt;IFERROR(VLOOKUP(HI170,Модули_спр,3,FALSE),99),"ЛИШНИЙ КАНАЛ",IF(AND(AL170&lt;&gt;"=",GY170&gt;0,COUNTIFS(Линии[_модуль гр.],HH170,Линии[Канал (итог)],HJ170,Линии[Канал],"&lt;&gt;=",Линии[Щит],A170)&gt;1),"ДУБЛЬ КАНАЛА","")))</f>
        <v/>
      </c>
      <c r="HS170" s="6" t="str">
        <f t="shared" si="378"/>
        <v/>
      </c>
      <c r="HT170">
        <f t="shared" si="379"/>
        <v>10</v>
      </c>
      <c r="HU170" t="str">
        <f t="shared" si="380"/>
        <v/>
      </c>
      <c r="HV170">
        <f t="shared" si="381"/>
        <v>0.41939268258329754</v>
      </c>
      <c r="HW170">
        <f t="shared" si="382"/>
        <v>0</v>
      </c>
      <c r="HX170">
        <f t="shared" si="383"/>
        <v>0</v>
      </c>
      <c r="HY170">
        <f t="shared" si="384"/>
        <v>0</v>
      </c>
      <c r="HZ170">
        <f t="shared" si="385"/>
        <v>0</v>
      </c>
      <c r="IA170">
        <f t="shared" si="386"/>
        <v>0</v>
      </c>
      <c r="IB170">
        <f t="shared" si="387"/>
        <v>0</v>
      </c>
      <c r="IC170" t="str">
        <f t="shared" si="388"/>
        <v/>
      </c>
      <c r="ID170" t="str" cm="1">
        <f t="array" ref="ID170">IF(IC170="","",_xlfn.LET(_xlpm.tk,_xlfn.TEXTSPLIT(SUBSTITUTE(SUBSTITUTE(IC170,";"," "),"→"," ")," ",,TRUE),_xlpm.w_,_xlfn._xlws.FILTER(_xlpm.tk,ISNUMBER(--LEFT(_xlpm.tk,1))*((ISNUMBER(SEARCH("W",_xlpm.tk))+ISNUMBER(SEARCH("Вт",_xlpm.tk)))&gt;0),""),IFERROR(--SUBSTITUTE(SUBSTITUTE(UPPER(INDEX(_xlpm.w_,1)),"W",""),"ВТ",""),"")))</f>
        <v/>
      </c>
      <c r="IE170" t="str" cm="1">
        <f t="array" ref="IE170">IF(IC170="","",_xlfn.LET(_xlpm.tk,_xlfn.TEXTSPLIT(SUBSTITUTE(SUBSTITUTE(IC170,";"," "),"→"," ")," ",,TRUE),_xlpm.v_,_xlfn._xlws.FILTER(_xlpm.tk,ISNUMBER(--LEFT(_xlpm.tk,1))*((ISNUMBER(SEARCH("V",_xlpm.tk))+(RIGHT(UPPER(_xlpm.tk))="В"))&gt;0),""),IFERROR(--SUBSTITUTE(SUBSTITUTE(UPPER(INDEX(_xlpm.v_,1)),"V",""),"В",""),"")))</f>
        <v/>
      </c>
      <c r="IF170" s="6" t="str">
        <f>IF(OR(BV170=0,HI170="",HJ170=""),"",IFERROR(N(_xlfn.XLOOKUP(HI170,Каталог!$C$4:$C$500,Каталог!$Q$4:$Q$500)),""))</f>
        <v/>
      </c>
      <c r="IG170" s="6" t="str">
        <f>IF(N(IF170)=0,"",SUMIFS(Линии[Iр, А],Линии[Щит],A170,Линии[_модуль гр.],HH170,Линии[Канал (итог)],HJ170))</f>
        <v/>
      </c>
      <c r="IH170" t="str">
        <f>IF(AND(B170="",HO170=""),"",_xlfn.TEXTJOIN("; ",TRUE,IF(AND(B170&lt;&gt;"",FV170=""),"нет фазы",""),IF(AND(B170&lt;&gt;"",N(GL170)=0,FG170&lt;&gt;"Нет"),"нет мощности",""),IF(AND(HN170&lt;&gt;"",COUNTIFS(Линии[Щит],A170,Линии[Клемма (итог)],HN170)&gt;1),"дубль клеммы "&amp;HN170,""),IF(AND(HQ170&lt;&gt;"",HQ170&lt;&gt;"ok"),HQ170,""),IF(HR170&lt;&gt;"",HR170,""),IF(AND(N(CB170)&gt;=4,N(BX170)=1),CB170&amp;" жил на 1 фазе",""),IF(AND(BC170="R",CG170=1,IF(CS170&lt;&gt;"",N(CV170)&gt;30,OR(N(DA170)=0,N(DA170)&gt;30))),"розетка без дифзащиты до 30 мА",""),IF(AND(CG170=1,N(DA170)&gt;0,ISNUMBER(T170)),IF(T170&gt;N(DA170)/3,"ток утечки "&amp;FIXED(T170,1)&amp;" мА &gt; 1/3 уставки ("&amp;DA170&amp;" мА)",""),""),IF(AND(CH170=1,CS170=""),"«узо»: нет строки с УЗО выше (УЗО 2P 40А 30мА в «Аппаратах»)",""),IF(AND(CS170&lt;&gt;"",CS170=BA170),IF(CT170="","впишите номинал УЗО (УЗО 2P 40А 30мА)",IF(N(CT170)&lt;N(DT170),"УЗО "&amp;CT170&amp;" А &lt; автомата "&amp;DT170&amp;" А перед ним",IF(N(CT170)&lt;N(CX170),"УЗО "&amp;CT170&amp;" А &lt; тока блока "&amp;FIXED(CX170,1)&amp;" А",""))),""),IF(AND(CS170&lt;&gt;"",CS170=BA170,ISNUMBER(CY170)),IF(CY170&gt;N(CV170)/3,"ток утечки блока УЗО "&amp;FIXED(CY170,1)&amp;" мА &gt; 1/3 уставки ("&amp;CV170&amp;" мА)",""),""),IF(AND(CG170=1,N(BV170)+N(IB170)&gt;0,IC170=""),"линии до 50 В без БП: впишите в «Аппараты» (БП 24V 480W)",""),IF(AND(CG170=1,ISNUMBER(ID170),ISNUMBER(U170)),IF(U170&gt;ID170,"БП "&amp;ID170&amp;" Вт &lt; нужно "&amp;U170&amp;" Вт (×"&amp;Запас_БП&amp;")",""),""),IF(AND(CG170=1,ISNUMBER(IE170),N(BV170)=1),IF(IE170&lt;&gt;N(BU170),"БП на "&amp;IE170&amp;" В, линия "&amp;BU170&amp;" В",""),""),IF(AND(N(IF170)&gt;0,N(IG170)&gt;N(IF170)),HH170&amp;" канал "&amp;HJ170&amp;": "&amp;FIXED(IG170,1)&amp;" А &gt; "&amp;IF170&amp;" А",""),IFERROR(IF(AND(ISNUMBER(Q170),Q170&gt;EL170),"потери "&amp;FIXED(Q170,1)&amp;" % &gt; "&amp;EL170&amp;" %",""),""),IFERROR(IF(LEFT(HU170,4)="мало","Iкз мало — отключение &gt; 0,4 с",""),""),IF(AND(B170&lt;&gt;"",BM170=""),"не на схеме",""),IF(AND(CG170=0,B170&lt;&gt;"",FV170&lt;&gt;"",IF(BA170=1,"",FW169)&lt;&gt;"",FV170&lt;&gt;IF(BA170=1,"",FW169)),"фаза не как у автомата группы ("&amp;IF(BA170=1,"",FW169)&amp;")","")))</f>
        <v/>
      </c>
      <c r="II170" s="6">
        <f>IF(OR(CG170=0,DQ170=""),"",_xlfn.LET(_xlpm.t,IFERROR(_xlfn.XLOOKUP(DQ170,Каталог!$U$4:$U$500,Каталог!$G$4:$G$500),""),_xlpm.k,SEARCH("кА",_xlpm.t),IFERROR(--TRIM(RIGHT(SUBSTITUTE(MID(_xlpm.t,MAX(1,_xlpm.k-4),_xlpm.k-MAX(1,_xlpm.k-4))," ",REPT(" ",9)),5)),"")))</f>
        <v>6</v>
      </c>
      <c r="IJ170" t="str">
        <f>IF(OR(II170="",CG170=0),"",IF(_xlfn.XLOOKUP(A170,Щиты[Щит],Щиты[Iкз max на шинах, кА],"")="","",IF(II170&lt;_xlfn.XLOOKUP(A170,Щиты[Щит],Щиты[Iкз max на шинах, кА]),"Icu "&amp;II170&amp;" кА &lt; Iкз max","ok")))</f>
        <v/>
      </c>
      <c r="IK170" t="str">
        <f t="shared" si="389"/>
        <v/>
      </c>
      <c r="IL170" t="str">
        <f t="shared" si="390"/>
        <v>QFD16</v>
      </c>
      <c r="IM170" t="str">
        <f t="shared" si="391"/>
        <v>QFD16|кабель ВВГнг(А)-LS (3х2,5) → Розеточная группа, пом. 002Tб</v>
      </c>
      <c r="IN170" t="str" cm="1">
        <f t="array" ref="IN170">IF(IM170="","",_xlfn.LET(_xlpm.nd,_xlfn.TEXTSPLIT(IM170,"|"),IF(COLUMNS(_xlpm.nd)&gt;1,A170&amp;"¦"&amp;INDEX(_xlpm.nd,1)&amp;"¦"&amp;INDEX(_xlpm.nd,2),"")))</f>
        <v>ЩР-001¦QFD16¦кабель ВВГнг(А)-LS (3х2,5) → Розеточная группа, пом. 002Tб</v>
      </c>
      <c r="IO170" t="str">
        <f t="shared" si="392"/>
        <v>R.00.002Tб.1¦Розеточная группа, пом. 002Tб</v>
      </c>
      <c r="IP170" t="str" cm="1">
        <f t="array" ref="IP170">IF(IM170="","",_xlfn.LET(_xlpm.nd,_xlfn.TEXTSPLIT(IM170,"|"),IF(COLUMNS(_xlpm.nd)&gt;2,A170&amp;"¦"&amp;INDEX(_xlpm.nd,2)&amp;"¦"&amp;INDEX(_xlpm.nd,3),"")))</f>
        <v/>
      </c>
      <c r="IQ170" t="str">
        <f t="shared" si="393"/>
        <v/>
      </c>
      <c r="IR170" t="str" cm="1">
        <f t="array" ref="IR170">IF(IM170="","",_xlfn.LET(_xlpm.nd,_xlfn.TEXTSPLIT(IM170,"|"),IF(COLUMNS(_xlpm.nd)&gt;3,A170&amp;"¦"&amp;INDEX(_xlpm.nd,3)&amp;"¦"&amp;INDEX(_xlpm.nd,4),"")))</f>
        <v/>
      </c>
      <c r="IS170" t="str">
        <f t="shared" si="394"/>
        <v/>
      </c>
      <c r="IT170" t="str" cm="1">
        <f t="array" ref="IT170">IF(IM170="","",_xlfn.LET(_xlpm.nd,_xlfn.TEXTSPLIT(IM170,"|"),IF(COLUMNS(_xlpm.nd)&gt;4,A170&amp;"¦"&amp;INDEX(_xlpm.nd,4)&amp;"¦"&amp;INDEX(_xlpm.nd,5),"")))</f>
        <v/>
      </c>
      <c r="IU170" t="str">
        <f t="shared" si="395"/>
        <v/>
      </c>
      <c r="IV170" t="str" cm="1">
        <f t="array" ref="IV170">IF(IM170="","",_xlfn.LET(_xlpm.nd,_xlfn.TEXTSPLIT(IM170,"|"),IF(COLUMNS(_xlpm.nd)&gt;5,A170&amp;"¦"&amp;INDEX(_xlpm.nd,5)&amp;"¦"&amp;INDEX(_xlpm.nd,6),"")))</f>
        <v/>
      </c>
      <c r="IW170" t="str">
        <f t="shared" si="396"/>
        <v/>
      </c>
      <c r="IX170" t="str" cm="1">
        <f t="array" ref="IX170">IF(IM170="","",_xlfn.LET(_xlpm.nd,_xlfn.TEXTSPLIT(IM170,"|"),IF(COLUMNS(_xlpm.nd)&gt;6,A170&amp;"¦"&amp;INDEX(_xlpm.nd,6)&amp;"¦"&amp;INDEX(_xlpm.nd,7),"")))</f>
        <v/>
      </c>
      <c r="IY170" t="str">
        <f t="shared" si="397"/>
        <v/>
      </c>
      <c r="IZ170" t="str">
        <f t="shared" si="398"/>
        <v/>
      </c>
      <c r="JA170" t="str">
        <f t="shared" si="399"/>
        <v>QFD16</v>
      </c>
      <c r="JB170">
        <f t="shared" si="400"/>
        <v>0</v>
      </c>
      <c r="JC170">
        <f t="shared" si="401"/>
        <v>1</v>
      </c>
      <c r="JD170" t="str">
        <f t="shared" si="402"/>
        <v/>
      </c>
      <c r="JE170" t="str">
        <f t="shared" si="403"/>
        <v/>
      </c>
      <c r="JF170" t="str">
        <f t="shared" si="404"/>
        <v/>
      </c>
      <c r="JG170" t="str">
        <f t="shared" si="405"/>
        <v/>
      </c>
      <c r="JH170" t="str">
        <f>IF(B170="","",IFERROR(_xlfn.XLOOKUP(B170,Коды_код,Коды_уго),IFERROR(_xlfn.XLOOKUP(BC170,Коды_код,Коды_уго),IFERROR(_xlfn.XLOOKUP(LEFT(BC170,2),Коды_код,Коды_уго),""))))</f>
        <v>Розетка</v>
      </c>
      <c r="JI170" t="str">
        <f>IF(B170="","",IF(OR(JH170="",JH170=0),"BOX",IFERROR(IF(VLOOKUP(JH170,УГО_блоки,3,FALSE)&amp;""&lt;&gt;"",VLOOKUP(JH170,УГО_блоки,3,FALSE),VLOOKUP(JH170,УГО_блоки,2,FALSE)),JH170)))</f>
        <v>SOCKET</v>
      </c>
      <c r="JJ170">
        <f t="shared" si="406"/>
        <v>1</v>
      </c>
      <c r="JK170" t="str">
        <f>IF(DQ170="","",IF(COUNTIF(DQ$3:DQ170,DQ170)=1,MAX(JK$2:JK169)+1,""))</f>
        <v/>
      </c>
      <c r="JL170" t="str">
        <f>IF(DE170="","",IF(COUNTIF(DE$3:DE170,DE170)+COUNTIF(DF$2:DF169,DE170)+COUNTIF(DG$2:DG169,DE170)=1,MAX(JL$2:JN169)+1,""))</f>
        <v/>
      </c>
      <c r="JM170" t="str">
        <f>IF(DF170="","",IF(COUNTIF(DE$3:DE170,DF170)+COUNTIF(DF$3:DF170,DF170)+COUNTIF(DG$2:DG169,DF170)=1,MAX(JL$2:JN169,JL170)+1,""))</f>
        <v/>
      </c>
      <c r="JN170" t="str">
        <f>IF(DG170="","",IF(COUNTIF(DE$3:DE170,DG170)+COUNTIF(DF$3:DF170,DG170)+COUNTIF(DG$3:DG170,DG170)=1,MAX(JL$2:JN169,JL170,JM170)+1,""))</f>
        <v/>
      </c>
      <c r="JO170" t="str">
        <f t="shared" si="407"/>
        <v>3х2,5</v>
      </c>
      <c r="JP170" t="str">
        <f>IF(JO170="","",IF(COUNTIF(JO$3:JO170,JO170)=1,MAX(JP$2:JP169)+1,""))</f>
        <v/>
      </c>
      <c r="JQ170" t="str">
        <f>IF(HG170="","",COUNTIF(HG$3:HG170,"?*"))</f>
        <v/>
      </c>
      <c r="JR170" t="str">
        <f>IF(OR(HG170="",HI170=""),"",IF(COUNTIFS(HG$3:HG170,"?*",HI$3:HI170,HI170)=1,MAX(JR$2:JR169)+1,""))</f>
        <v/>
      </c>
      <c r="JS170">
        <f t="shared" si="408"/>
        <v>0</v>
      </c>
      <c r="JT170">
        <f>IF(B170="","",COUNTIF(B$3:B170,"?*"))</f>
        <v>168</v>
      </c>
      <c r="JU170">
        <f>IF(HL170&lt;&gt;1,0,_xlfn.LET(_xlpm.k,MAX(IFERROR(--_xlfn.XLOOKUP(B170,Коды_код,Коды_3L),0),IFERROR(--_xlfn.XLOOKUP(BC170,Коды_код,Коды_3L),0),IFERROR(--_xlfn.XLOOKUP(LEFT(BC170,2),Коды_код,Коды_3L),0)),IF(_xlpm.k&gt;0,_xlpm.k,IF(IFERROR(--LEFT(SUBSTITUTE(JO170,"x","х"),FIND("х",SUBSTITUTE(JO170,"x","х"))-1),3)&gt;3,Каталог!$S$9,1))))</f>
        <v>1</v>
      </c>
      <c r="JV170">
        <f t="shared" si="409"/>
        <v>0</v>
      </c>
      <c r="JW170" t="str">
        <f t="shared" si="410"/>
        <v>авто</v>
      </c>
      <c r="JX170">
        <f t="shared" si="411"/>
        <v>30</v>
      </c>
      <c r="JY170">
        <f t="shared" si="412"/>
        <v>1</v>
      </c>
      <c r="JZ170">
        <f t="shared" si="413"/>
        <v>1</v>
      </c>
    </row>
    <row r="171" spans="1:286" x14ac:dyDescent="0.3">
      <c r="A171" t="s">
        <v>753</v>
      </c>
      <c r="B171" t="s">
        <v>1479</v>
      </c>
      <c r="C171" t="str">
        <f>Линии[[#This Row],[_авто наименование]]</f>
        <v>Розеточная группа, пом. 007Б</v>
      </c>
      <c r="D171">
        <v>4</v>
      </c>
      <c r="E171">
        <v>0.54</v>
      </c>
      <c r="G171">
        <v>16</v>
      </c>
      <c r="H171" t="str">
        <f>Линии[[#This Row],[_авто управление]]</f>
        <v/>
      </c>
      <c r="I171" t="str">
        <f>Линии[[#This Row],[_авто аппараты]]</f>
        <v/>
      </c>
      <c r="J171">
        <v>2.5</v>
      </c>
      <c r="K171">
        <v>62</v>
      </c>
      <c r="L171">
        <v>3</v>
      </c>
      <c r="M171" t="s">
        <v>484</v>
      </c>
      <c r="N171" t="str">
        <f t="shared" si="276"/>
        <v/>
      </c>
      <c r="O171" s="6" cm="1">
        <f t="array" ref="O171">IF(B171="","",IF(BH171&lt;&gt;"",IFERROR(_xlfn.XLOOKUP(BH171,Щиты[Щит],Щиты[Iр, А]),""),IF(BP171=1,IF(OR(N(_xlfn.XLOOKUP(A171,Щиты[Щит],Щиты[Вводов],1))&lt;=1,LOWER(TRIM(_xlfn.XLOOKUP(A171,Щиты[Щит],Щиты[АВР],"")&amp;""))="да"),IFERROR(_xlfn.XLOOKUP(A171,Щиты[Щит],Щиты[Iр, А]),""),IFERROR(N(BS171)*_xlfn.XLOOKUP(A171,Щиты[Щит],Щиты[Кс итог])/(SQRT(3)*Uн_лин*_xlfn.XLOOKUP(A171,Щиты[Щит],Щиты[cos φ])),"")),IF(BV171=1,IFERROR(BS171*1000/BU171,""),IFERROR(_xlfn.IFS(BX171=1,BS171/((Uн_лин/SQRT(3))*CE171),BX171=3,BS171/(SQRT(3)*Uн_лин*CE171)),"")))))</f>
        <v>2.4613353581241939</v>
      </c>
      <c r="P171" s="7">
        <f>IF(B171="","",IFERROR(IF(VLOOKUP(BC171,Потребители_обозначение,4,FALSE)=1,VLOOKUP(BC171,Потребители_обозначение,3,FALSE)*(MAX(1,N(D171))*2-1)+EI171+VLOOKUP(BE171,Этаж_обозначение,3,FALSE)+VLOOKUP(BE171,Этаж_обозначение,4,FALSE),VLOOKUP(BC171,Потребители_обозначение,3,FALSE)*(MAX(1,N(D171))*2-1)+EI171),EI171))</f>
        <v>83</v>
      </c>
      <c r="Q171" s="6">
        <f t="shared" si="277"/>
        <v>3.09</v>
      </c>
      <c r="R171" t="str">
        <f t="shared" si="278"/>
        <v>ВВГнг(А)-LS (3х2,5)</v>
      </c>
      <c r="S171" t="str">
        <f>IF(BM171="","",IF(BN171="вводной узел","узел ","")&amp;"л."&amp;(INT((BM171-1)/Столбцов_на_лист)+1)&amp;" / "&amp;(MOD(BM171-1,Столбцов_на_лист)+1))</f>
        <v>л.2 / 9</v>
      </c>
      <c r="T171" s="119">
        <f t="shared" si="279"/>
        <v>1.8</v>
      </c>
      <c r="U171" s="7" t="str">
        <f>IF(OR(CG171=0,N(BV171)+N(IB171)=0),"",ROUNDUP(Запас_БП*(N(HY171)+N(HZ171)),0))</f>
        <v/>
      </c>
      <c r="V171" s="119" t="str">
        <f t="shared" si="280"/>
        <v/>
      </c>
      <c r="W171" s="7" t="str">
        <f>IFERROR(IF(OR(B171="",BP171=1,BV171=1,NOT(ISNUMBER(EN171)),N(DT171)=0),"",MAX(0,ROUNDDOWN((c_min*(Uн_лин*1000/SQRT(3))/(HT171*N(DT171))-_xlfn.XLOOKUP(A171,Щиты[Щит],Щиты[Zпетли на шинах, Ом]))*EN171/(2*ρкз_Cu),0))),"")</f>
        <v/>
      </c>
      <c r="Y171">
        <f>Линии[[#This Row],[_авто утечка]]</f>
        <v>30</v>
      </c>
      <c r="Z171">
        <v>1</v>
      </c>
      <c r="AA171">
        <v>230</v>
      </c>
      <c r="AB171" t="s">
        <v>562</v>
      </c>
      <c r="AG171" t="s">
        <v>810</v>
      </c>
      <c r="AI171" t="s">
        <v>561</v>
      </c>
      <c r="AK171" t="str">
        <f>Линии[[#This Row],[_авто модуль]]</f>
        <v/>
      </c>
      <c r="AM171">
        <v>26</v>
      </c>
      <c r="AN171" t="s">
        <v>11</v>
      </c>
      <c r="AO171">
        <v>3</v>
      </c>
      <c r="AQ171">
        <v>32</v>
      </c>
      <c r="AR171">
        <v>21</v>
      </c>
      <c r="AS171">
        <v>30</v>
      </c>
      <c r="BA171" cm="1">
        <f t="array" ref="BA171">ROW()-ROW(Линии[#Headers])</f>
        <v>169</v>
      </c>
      <c r="BC171" s="6" t="str">
        <f t="shared" si="281"/>
        <v>R</v>
      </c>
      <c r="BD171" t="str">
        <f t="shared" si="282"/>
        <v>00.007Б.1</v>
      </c>
      <c r="BE171" t="str">
        <f t="shared" si="283"/>
        <v>00</v>
      </c>
      <c r="BF171" t="str">
        <f t="shared" si="284"/>
        <v>007Б.1</v>
      </c>
      <c r="BG171" t="str">
        <f t="shared" si="285"/>
        <v>007Б</v>
      </c>
      <c r="BH171" t="str">
        <f>IF(X171&lt;&gt;"",X171,IF(AND(B171&lt;&gt;"",B171&lt;&gt;A171,ISNUMBER(_xlfn.XMATCH(B171,Щиты[Щит]))),B171,""))</f>
        <v/>
      </c>
      <c r="BI171" t="str" cm="1">
        <f t="array" ref="BI171">IF(B171="","",IF(BH171&lt;&gt;"","Щит "&amp;BH171,_xlfn.LET(_xlpm.nm,IFERROR(_xlfn.XLOOKUP(BC171,Коды_код,Коды_имя)&amp;"",""),_xlpm.md,IFERROR(N(_xlfn.XLOOKUP(BC171,Коды_код,Коды_режим)),1),_xlpm.ex,IF(Имя_режим="по экспликации",IFERROR(_xlfn.XLOOKUP(BE171&amp;"|"&amp;BG171,Экспликация[Этаж]&amp;"|"&amp;Экспликация[Помещение],Экспликация[Название])&amp;"",""),""),_xlpm.rm,IF(BG171="","",IF(_xlpm.ex&lt;&gt;"",". "&amp;_xlpm.ex&amp;IF(Имя_пом="нет"," ("&amp;BG171&amp;")"," (пом. "&amp;BG171&amp;")"),IF(Имя_пом="нет"," ",", пом. ")&amp;BG171)),IF(_xlpm.nm="","",IF(_xlpm.md=2,_xlpm.nm&amp;" шлейф "&amp;BE171,_xlpm.nm&amp;_xlpm.rm)))))</f>
        <v>Розеточная группа, пом. 007Б</v>
      </c>
      <c r="BJ171" t="str">
        <f t="shared" si="286"/>
        <v>Розеточная группа, пом. 007Б</v>
      </c>
      <c r="BK171">
        <f>IFERROR(_xlfn.XMATCH(A171,Щиты[Щит]),0)</f>
        <v>8</v>
      </c>
      <c r="BL171">
        <f>_xlfn.LET(_xlpm.k,IFERROR(_xlfn.XLOOKUP(A171,Щиты[Щит],Щиты[Мест под вводной узел]),""),IF(_xlpm.k="",Столбцов_на_лист,N(_xlpm.k)))</f>
        <v>7</v>
      </c>
      <c r="BM171">
        <f t="shared" si="287"/>
        <v>26</v>
      </c>
      <c r="BN171" t="str">
        <f t="shared" si="288"/>
        <v>линии</v>
      </c>
      <c r="BO171" s="6">
        <f>IFERROR(N(_xlfn.XLOOKUP(BC171,Коды_код,Коды_квт)),0)</f>
        <v>0</v>
      </c>
      <c r="BP171">
        <f t="shared" si="289"/>
        <v>0</v>
      </c>
      <c r="BQ171" t="str">
        <f>IF(B171="","",IF(BH171&lt;&gt;"",IFERROR(_xlfn.XLOOKUP(BH171,Щиты[Щит],Щиты[Руст, кВт]),0),IF(BP171=1,IF(OR(N(_xlfn.XLOOKUP(A171,Щиты[Щит],Щиты[Вводов],1))&lt;=1,LOWER(TRIM(_xlfn.XLOOKUP(A171,Щиты[Щит],Щиты[АВР],"")&amp;""))="да"),IFERROR(_xlfn.XLOOKUP(A171,Щиты[Щит],Щиты[Руст, кВт]),0),SUMIFS(Линии[_Р для вводов],Линии[Щит],A171,Линии[Источник для режимов],GF171)),IF(BO171&gt;0,ROUND(BO171*MAX(1,N(D171)),3),""))))</f>
        <v/>
      </c>
      <c r="BR171">
        <f t="shared" si="290"/>
        <v>0.54</v>
      </c>
      <c r="BS171" s="6">
        <f>IF(B171="","",IF(BH171&lt;&gt;"",IFERROR(_xlfn.XLOOKUP(BH171,Щиты[Щит],Щиты[Руст, кВт]),0),N(BR171)))</f>
        <v>0.54</v>
      </c>
      <c r="BT171" t="str">
        <f>IF(B171="","",IFERROR(IF(VLOOKUP(BC171,Потребители_обозначение,8,FALSE)=0,"",VLOOKUP(BC171,Потребители_обозначение,8,FALSE)),""))</f>
        <v/>
      </c>
      <c r="BU171">
        <f t="shared" si="291"/>
        <v>230</v>
      </c>
      <c r="BV171">
        <f t="shared" si="292"/>
        <v>0</v>
      </c>
      <c r="BW171">
        <f>IF(B171="","",IF(BH171&lt;&gt;"",3,IFERROR(IF(N(VLOOKUP(BC171,Потребители_обозначение,9,FALSE))=0,1,VLOOKUP(BC171,Потребители_обозначение,9,FALSE)),1)))</f>
        <v>1</v>
      </c>
      <c r="BX171">
        <f t="shared" si="293"/>
        <v>1</v>
      </c>
      <c r="BY171" t="str">
        <f>IF(B171="","",_xlfn.LET(_xlpm.bc,IFERROR(IF(VLOOKUP(BC171,Потребители_обозначение,6,FALSE)=0,"",VLOOKUP(BC171,Потребители_обозначение,6,FALSE)&amp;""),""),IF(AND(GA171="да",OR(_xlpm.bc="",_xlpm.bc="мс")),Марка_пож,IF(AND(_xlpm.bc="",BH171&lt;&gt;""),"мс",_xlpm.bc))))</f>
        <v/>
      </c>
      <c r="BZ171" t="str">
        <f t="shared" si="294"/>
        <v>мс</v>
      </c>
      <c r="CA171">
        <f>IF(B171="","",_xlfn.LET(_xlpm.cc,IFERROR(N(VLOOKUP(BC171,Потребители_обозначение,7,FALSE)),0),IF(_xlpm.cc&gt;0,_xlpm.cc,IF(BZ171="","",IF(BV171=1,2,IF(N(BX171)=3,5,3))))))</f>
        <v>3</v>
      </c>
      <c r="CB171">
        <f t="shared" si="295"/>
        <v>3</v>
      </c>
      <c r="CC171">
        <f>IFERROR(N(VLOOKUP(BC171,Потребители_обозначение,10,FALSE)),0)</f>
        <v>0</v>
      </c>
      <c r="CD171">
        <f>IFERROR(VLOOKUP(BC171,Потребители_обозначение,5,FALSE),0)</f>
        <v>1</v>
      </c>
      <c r="CE171" s="6" cm="1">
        <f t="array" ref="CE171">IF(B171="","",IF(BH171&lt;&gt;"",IFERROR(_xlfn.XLOOKUP(BH171,Щиты[Щит],Щиты[cos φ]),0.95),IF(BP171=1,IFERROR(_xlfn.XLOOKUP(A171,Щиты[Щит],Щиты[cos φ]),0.95),IF(ISNUMBER(AD171),AD171,IFERROR(IF(CD171=2,_xlfn.IFS(BX171=3,VLOOKUP(BS171,Справочная_двигатели,8,FALSE),BX171=1,VLOOKUP(BS171,Справочная_двигатели,10,TRUE)),IF(AND(Методика="нормы 2026",FG171="Сил"),0.8,0.95)),0.95)))))</f>
        <v>0.95</v>
      </c>
      <c r="CF171">
        <f t="shared" si="296"/>
        <v>0</v>
      </c>
      <c r="CG171">
        <f t="shared" si="297"/>
        <v>1</v>
      </c>
      <c r="CH171">
        <f t="shared" si="298"/>
        <v>0</v>
      </c>
      <c r="CI171">
        <f>IF(B171="","",IF(BV171=1,IFERROR(BS171/((Uн_лин/SQRT(3))*MAX(0.5,N(CE171))),0),N(O171)))</f>
        <v>2.4613353581241939</v>
      </c>
      <c r="CJ171">
        <f t="shared" si="299"/>
        <v>0</v>
      </c>
      <c r="CK171">
        <f t="shared" si="300"/>
        <v>0</v>
      </c>
      <c r="CL171">
        <f t="shared" si="301"/>
        <v>0</v>
      </c>
      <c r="CM171">
        <f t="shared" si="302"/>
        <v>0</v>
      </c>
      <c r="CN171">
        <f t="shared" si="303"/>
        <v>0</v>
      </c>
      <c r="CO171">
        <f>IF(BC171="",0,_xlfn.LET(_xlpm.v,IFERROR(_xlfn.XLOOKUP(B171,Коды_код,Коды_мА),IFERROR(_xlfn.XLOOKUP(BC171,Коды_код,Коды_мА),IFERROR(_xlfn.XLOOKUP(LEFT(BC171,2),Коды_код,Коды_мА),""))),IF(_xlpm.v="да",30,IF(ISNUMBER(_xlpm.v),_xlpm.v,0))))</f>
        <v>30</v>
      </c>
      <c r="CP171">
        <f t="shared" si="304"/>
        <v>30</v>
      </c>
      <c r="CQ171" t="str">
        <f>_xlfn.LET(_xlpm.k,IFERROR(_xlfn.XLOOKUP(BC171,Коды_код,Коды_утечка)&amp;"",""),IF(_xlpm.k="","дифавтомат",_xlpm.k))</f>
        <v>дифавтомат</v>
      </c>
      <c r="CR171" t="str" cm="1">
        <f t="array" ref="CR171">IF(CG171=0,"",_xlfn.LET(_xlpm.sg,TRIM(_xlfn.TEXTSPLIT(DD171&amp;"",";")),_xlpm.f_,_xlfn._xlws.FILTER(_xlpm.sg,LEFT(_xlpm.sg,3)="УЗО",""),IFERROR(INDEX(_xlpm.f_,1)&amp;"","")))</f>
        <v/>
      </c>
      <c r="CS171" t="str">
        <f t="shared" si="305"/>
        <v/>
      </c>
      <c r="CT171" s="6" t="str" cm="1">
        <f t="array" ref="CT171">IF(CR171="","",_xlfn.LET(_xlpm.tk,_xlfn.TEXTSPLIT(UPPER(CR171)," ",,TRUE),_xlpm.a_,_xlfn._xlws.FILTER(_xlpm.tk,ISNUMBER(--LEFT(_xlpm.tk,1))*((ISNUMBER(SEARCH("А",_xlpm.tk))+ISNUMBER(SEARCH("A",_xlpm.tk)))&gt;0)*NOT(ISNUMBER(SEARCH("МА",_xlpm.tk)))*NOT(ISNUMBER(SEARCH("MA",_xlpm.tk))),""),IFERROR(--SUBSTITUTE(SUBSTITUTE(INDEX(_xlpm.a_,1),"А",""),"A",""),"")))</f>
        <v/>
      </c>
      <c r="CU171" t="str" cm="1">
        <f t="array" ref="CU171">IF(CR171="","",_xlfn.LET(_xlpm.tk,_xlfn.TEXTSPLIT(UPPER(CR171)," ",,TRUE),_xlpm.a_,_xlfn._xlws.FILTER(_xlpm.tk,ISNUMBER(--LEFT(_xlpm.tk,1))*((ISNUMBER(SEARCH("МА",_xlpm.tk))+ISNUMBER(SEARCH("MA",_xlpm.tk)))&gt;0),""),IFERROR(--SUBSTITUTE(SUBSTITUTE(INDEX(_xlpm.a_,1),"МА",""),"MA",""),30)))</f>
        <v/>
      </c>
      <c r="CV171" t="str">
        <f>IF(CS171="","",IFERROR(_xlfn.XLOOKUP(CS171,Линии[_n],Линии[_УЗО, мА]),30))</f>
        <v/>
      </c>
      <c r="CW171">
        <f>IF(CS171="",0,IF(ISNUMBER(SEARCH("4P",IFERROR(_xlfn.XLOOKUP(CS171,Линии[_n],Линии[_УЗО строки])&amp;"",""))),0,1))</f>
        <v>0</v>
      </c>
      <c r="CX171" t="str">
        <f>IF(AND(CS171&lt;&gt;"",CS171=BA171),SUMIFS(Линии[_ток на 230 В],Линии[_блок УЗО],BA171,Линии[Щит],A171),"")</f>
        <v/>
      </c>
      <c r="CY171" t="str">
        <f>IF(AND(CS171&lt;&gt;"",CS171=BA171),SUMIFS(Линии[_ток утечки линии, мА],Линии[_блок УЗО],BA171,Линии[Щит],A171),"")</f>
        <v/>
      </c>
      <c r="CZ171">
        <f t="shared" si="306"/>
        <v>30</v>
      </c>
      <c r="DA171">
        <f t="shared" si="307"/>
        <v>30</v>
      </c>
      <c r="DB171">
        <f>IF(B171="",0,IFERROR(--_xlfn.XLOOKUP(B171,Коды_код,Коды_минавт),IFERROR(--_xlfn.XLOOKUP(BC171,Коды_код,Коды_минавт),IFERROR(--_xlfn.XLOOKUP(LEFT(BC171,2),Коды_код,Коды_минавт),0))))</f>
        <v>16</v>
      </c>
      <c r="DC171" t="str">
        <f>IF(B171="","",IFERROR(_xlfn.XLOOKUP(BC171,Коды_код,Коды_апп)&amp;"",""))</f>
        <v/>
      </c>
      <c r="DD171" t="str">
        <f t="shared" si="308"/>
        <v/>
      </c>
      <c r="DE171" t="str" cm="1">
        <f t="array" ref="DE171">IF(TRIM(DD171&amp;"")="","",IFERROR(TRIM(INDEX(_xlfn.TEXTSPLIT(DD171&amp;";;;",";"),1)),""))</f>
        <v/>
      </c>
      <c r="DF171" t="str" cm="1">
        <f t="array" ref="DF171">IF(TRIM(DD171&amp;"")="","",IFERROR(TRIM(INDEX(_xlfn.TEXTSPLIT(DD171&amp;";;;",";"),2)),""))</f>
        <v/>
      </c>
      <c r="DG171" t="str" cm="1">
        <f t="array" ref="DG171">IF(TRIM(DD171&amp;"")="","",IFERROR(TRIM(INDEX(_xlfn.TEXTSPLIT(DD171&amp;";;;",";"),3)),""))</f>
        <v/>
      </c>
      <c r="DH171">
        <f t="shared" si="309"/>
        <v>0</v>
      </c>
      <c r="DI171" t="str">
        <f>IF(B171="","",_xlfn.LET(_xlpm.t,LOWER(AZ171&amp;""),IF(ISNUMBER(SEARCH("dim",_xlpm.t)),"DIM",IF(ISNUMBER(SEARCH("dali",_xlpm.t)),"DALI",IF(OR(ISNUMBER(SEARCH("relay",_xlpm.t)),ISNUMBER(SEARCH("реле",_xlpm.t))),"Relay",IF(ISNUMBER(SEARCH("кнопк",_xlpm.t)),"",IFERROR(_xlfn.XLOOKUP(BC171,Коды_код,Коды_упр)&amp;"","")))))))</f>
        <v/>
      </c>
      <c r="DJ171" t="str">
        <f t="shared" si="310"/>
        <v/>
      </c>
      <c r="DK171">
        <f>IF(B171="","",_xlfn.LET(_xlpm.ig,IF(N(CX171)&gt;0,N(CX171),N(CI171)+IF(AJ171="вручную",0,N(CJ171))),_xlpm.n0,IFERROR(VLOOKUP(_xlpm.ig,Автомат_номиналы,2,TRUE),0),_xlpm.mn,MAX(DB171,IF(AJ171="вручную",0,N(CM171))),MAX(_xlpm.n0,_xlpm.mn,IF(DH171=1,Мин_автомат_БП,0))))</f>
        <v>16</v>
      </c>
      <c r="DL171">
        <f t="shared" si="311"/>
        <v>1</v>
      </c>
      <c r="DM171" t="str">
        <f t="shared" si="312"/>
        <v>2P</v>
      </c>
      <c r="DN171" t="str">
        <f>_xlfn.LET(_xlpm.cc,UPPER(TRIM(IFERROR(_xlfn.XLOOKUP(BC171,Коды_код,Коды_хар)&amp;"",""))),IF(OR(_xlpm.cc="B",_xlpm.cc="В"),"B",IF(_xlpm.cc="D","D","С")))</f>
        <v>С</v>
      </c>
      <c r="DO171" t="str">
        <f t="shared" si="313"/>
        <v>2P С16А 30мА</v>
      </c>
      <c r="DP171">
        <f t="shared" si="314"/>
        <v>16</v>
      </c>
      <c r="DQ171" t="str">
        <f t="shared" si="315"/>
        <v>2P С16А 30мА</v>
      </c>
      <c r="DR171" cm="1">
        <f t="array" ref="DR171">IF(DQ171="","",_xlfn.LET(_xlpm.t,SUBSTITUTE(SUBSTITUTE(SUBSTITUTE(UPPER(DQ171),"С","C"),"А","A"),"В","B"),_xlpm.tk,_xlfn.TEXTSPLIT(_xlpm.t," "),_xlpm.f,_xlfn._xlws.FILTER(_xlpm.tk,ISNUMBER(--MID(_xlpm.tk,2,1))*ISNUMBER(SEARCH(LEFT(_xlpm.tk,1)&amp;"#","B#C#D#"))*(LEN(_xlpm.tk)&gt;1),""),_xlpm.x,INDEX(_xlpm.f,1),IFERROR(--SUBSTITUTE(MID(_xlpm.x,2,9),"A",""),IFERROR(--SUBSTITUTE(INDEX(_xlfn._xlws.FILTER(_xlpm.tk,ISNUMBER(--SUBSTITUTE(_xlpm.tk,"A","")),""),1),"A",""),""))))</f>
        <v>16</v>
      </c>
      <c r="DS171" t="str">
        <f t="shared" si="316"/>
        <v>ok</v>
      </c>
      <c r="DT171">
        <f t="shared" si="317"/>
        <v>16</v>
      </c>
      <c r="DU171" t="str">
        <f t="shared" si="318"/>
        <v>2P С16А 30мА</v>
      </c>
      <c r="DV171">
        <f t="shared" si="319"/>
        <v>30</v>
      </c>
      <c r="DW171">
        <f t="shared" si="320"/>
        <v>1</v>
      </c>
      <c r="DX171">
        <f t="shared" si="321"/>
        <v>0</v>
      </c>
      <c r="DY171">
        <f t="shared" si="322"/>
        <v>2.4613353581241939</v>
      </c>
      <c r="DZ171">
        <f t="shared" si="323"/>
        <v>1</v>
      </c>
      <c r="EA171">
        <f>IF(ISNUMBER(AP171),AP171,К_прокл)</f>
        <v>1</v>
      </c>
      <c r="EB171">
        <f t="shared" si="324"/>
        <v>2</v>
      </c>
      <c r="EC171">
        <f>IFERROR(N(VLOOKUP(BZ171,Кабель_обозначение,3,FALSE)),1)</f>
        <v>1</v>
      </c>
      <c r="ED171">
        <f>IFERROR(N(_xlfn.XLOOKUP(A171,Щиты[Щит],Щиты[ΔU до шин, %])),0)</f>
        <v>1.57</v>
      </c>
      <c r="EE171" t="str">
        <f>IFERROR(_xlfn.XLOOKUP(A171,Щиты[Щит],Щиты[Zпетли на шинах, Ом]),"")</f>
        <v/>
      </c>
      <c r="EF171">
        <f>IFERROR(N(_xlfn.XLOOKUP(A171,Щиты[Щит],Щиты[ΔU до шин (подбор), %])),0)</f>
        <v>2.5</v>
      </c>
      <c r="EG171" t="str">
        <f>IFERROR(_xlfn.XLOOKUP(A171,Щиты[Щит],Щиты[Zпетли на шинах (подбор), Ом]),"")</f>
        <v/>
      </c>
      <c r="EH171" t="str">
        <f t="shared" si="325"/>
        <v/>
      </c>
      <c r="EI171">
        <f t="shared" si="326"/>
        <v>62</v>
      </c>
      <c r="EJ171">
        <f t="shared" si="327"/>
        <v>2</v>
      </c>
      <c r="EK171">
        <f t="shared" si="328"/>
        <v>0.31</v>
      </c>
      <c r="EL171" s="6">
        <f>IF(B171="","",IF(BV171=1,dU_LED,IF(IFERROR(_xlfn.XLOOKUP(BC171,Коды_код,Коды_уго),"")="Светильник",3,4)+IF(Методика="нормы 2026",MIN(0.5,MAX(0,N(P171)-100)*0.005),0)))</f>
        <v>4</v>
      </c>
      <c r="EM171" cm="1">
        <f t="array" ref="EM171">IF(OR(B171="",BZ171="",EC171&lt;&gt;1),"",_xlfn.LET(_xlpm.sz,Iдоп_S,_xlpm.t_,CHOOSE(EB171,Iдоп_1ж,Iдоп_2ж,Iдоп_3ж)*DZ171*EA171,_xlpm.dcx,BV171=1,_xlpm.inn,IF(_xlpm.dcx,N(O171),N(DT171)),_xlpm.smin,MAX(1.5,CC171),_xlpm.L_,N(P171)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171)/N(BU171)*100,999),IFERROR(N(EJ171)*(_xlpm.rho*_xlpm.L_/_xlpm.sz*N(CE171)+_xlpm.xx*_xlpm.L_*N(EK171)/1000)*N(O171)/((Uн_лин/SQRT(3))*1000)*100,999)),_xlpm.kz,IF(OR(_xlpm.dcx,DW171=1,NOT(ISNUMBER(EG171)),_xlpm.L_=0,_xlpm.inn=0),1,IFERROR(--(c_min*(Uн_лин*1000/SQRT(3))/(EG171+2*ρкз_Cu*_xlpm.L_/_xlpm.sz)&gt;=HT171*_xlpm.inn),0)),_xlpm.ok,IFERROR((_xlpm.sz&gt;=_xlpm.smin)*(_xlpm.t_&gt;=_xlpm.inn)*IF(_xlpm.L_&gt;0,(_xlpm.du_+IF(_xlpm.dcx,0,EF171)&lt;=EL171+0.00001),1)*_xlpm.kz,0),_xlpm.r_,_xlfn._xlws.FILTER(_xlpm.sz,_xlpm.ok,"не подобрано"),INDEX(_xlpm.r_,1)))</f>
        <v>4</v>
      </c>
      <c r="EN171">
        <f t="shared" si="329"/>
        <v>2.5</v>
      </c>
      <c r="EO171" cm="1">
        <f t="array" ref="EO171">IF(OR(B171="",BZ171="",EC171&lt;&gt;1),"",_xlfn.LET(_xlpm.sz,Iдоп_S,_xlpm.t_,CHOOSE(EB171,Iдоп_1ж,Iдоп_2ж,Iдоп_3ж)*DZ171*EA171,_xlpm.ok,IFERROR((_xlpm.sz&gt;=MAX(1.5,CC171))*(_xlpm.t_&gt;=N(DT171)),0),_xlpm.r_,_xlfn._xlws.FILTER(_xlpm.sz,_xlpm.ok,""),INDEX(_xlpm.r_,1)))</f>
        <v>1.5</v>
      </c>
      <c r="EP171" s="6" cm="1">
        <f t="array" ref="EP171">IFERROR(ROUNDUP(N(EJ171)*(_xlfn.XLOOKUP(EO171,INDEX(Кабель_сопротивление,0,1),INDEX(Кабель_сопротивление,0,3))*N(P171)/EO171*N(CE171)+_xlfn.XLOOKUP(EO171,INDEX(Кабель_сопротивление,0,1),INDEX(Кабель_сопротивление,0,2))*N(P171)*N(EK171)/1000)*N(O171)/((Uн_лин/SQRT(3))*1000)*100,2),"")</f>
        <v>2.5299999999999998</v>
      </c>
      <c r="EQ171">
        <f>IFERROR(2*ρкз_Cu*N(P171)/EO171,"")</f>
        <v>2.9105333333333334</v>
      </c>
      <c r="ER171">
        <f>IFERROR(VLOOKUP(EN171,Кабель_сопротивление,3,FALSE),"")</f>
        <v>2.2499999999999999E-2</v>
      </c>
      <c r="ES171">
        <f>IFERROR(VLOOKUP(EN171,Кабель_сопротивление,2,FALSE),"")</f>
        <v>0.1</v>
      </c>
      <c r="ET171">
        <f t="shared" si="330"/>
        <v>21</v>
      </c>
      <c r="EU171">
        <f t="shared" si="331"/>
        <v>30</v>
      </c>
      <c r="EV171">
        <f t="shared" si="332"/>
        <v>3.5060393055385757</v>
      </c>
      <c r="EW171" s="6">
        <f>IFERROR(ROUNDUP(EV171/IF(BV171=1,BU171,(Uн_лин/SQRT(3))*1000)*100,2),"")</f>
        <v>1.52</v>
      </c>
      <c r="EX171" t="str">
        <f>IFERROR(VLOOKUP(BZ171,Кабель_обозначение,2,FALSE),"")</f>
        <v>ВВГнг(А)-LS</v>
      </c>
      <c r="EY171" t="str">
        <f t="shared" si="333"/>
        <v>ВВГнг(А)-LS (3х2,5)</v>
      </c>
      <c r="EZ171" t="str">
        <f t="shared" si="334"/>
        <v>ВВГнг(А)-LS (3х2,5)
L=83-1,52%</v>
      </c>
      <c r="FA171">
        <f>IFERROR(2*ρкз_Cu*P171/EN171,"")</f>
        <v>1.7463200000000001</v>
      </c>
      <c r="FB171">
        <f t="shared" si="335"/>
        <v>0.58100000000000007</v>
      </c>
      <c r="FC171" s="6" t="str">
        <f>IFERROR(IF(OR(B171="",BV171=1,NOT(ISNUMBER(EN171)),N(P171)=0),"",_xlfn.XLOOKUP(A171,Щиты[Щит],Щиты[Zпетли на шинах, Ом])+FA171),"")</f>
        <v/>
      </c>
      <c r="FD171" s="6" t="str">
        <f>IF(ISNUMBER(FC171),c_min*(Uн_лин*1000/SQRT(3))/FC171,"")</f>
        <v/>
      </c>
      <c r="FE171" s="6" t="str">
        <f>IFERROR(IF(OR(B171="",NOT(ISNUMBER(EN171))),"",1.05*(Uн_лин*1000/SQRT(3))/(_xlfn.XLOOKUP(A171,Щиты[Щит],Щиты[Zmax на шинах, Ом])+FB171)/1000),"")</f>
        <v/>
      </c>
      <c r="FF171" s="6" t="str">
        <f>IF(B171="","",IF(ISNUMBER(AC171),"Сил",IF(IFERROR(_xlfn.XLOOKUP(BC171,Коды_код,Коды_группа)&amp;"","")="","Быт",_xlfn.XLOOKUP(BC171,Коды_код,Коды_группа)&amp;"")))</f>
        <v>Быт</v>
      </c>
      <c r="FG171" s="6" t="str">
        <f t="shared" si="336"/>
        <v>Быт</v>
      </c>
      <c r="FH171" s="6">
        <f>IF(FG171="Щит","щит",IF(FG171="","",IF(FG171="Быт",IFERROR(_xlfn.XLOOKUP(A171,Щиты[Щит],Щиты[Кс быт]),1),IF(FG171="Сил",IF(ISNUMBER(AC171),AC171,IF(Методика="нормы 2026",IFERROR(_xlfn.XLOOKUP(A171,Щиты[Щит],Щиты[Кс силовых (табл. 7.5)]),1),1)),IF(OR(FG171="Пост",FG171="Отоп"),1,IF(FG171="ВНГ",0.7,0))))))</f>
        <v>0.8</v>
      </c>
      <c r="FI171">
        <f>IF(FG171="","",IF(AND(BP171=1,TRIM(AE171&amp;"")=""),IF(COUNTIFS(Линии[Щит],A171,Линии[Секция (1/2/3)],"&gt;=2")&gt;0,MIN(3,MAX(1,IFERROR(--BD171,1))),1),IFERROR(MIN(3,MAX(1,INT(--AE171))),1)))</f>
        <v>1</v>
      </c>
      <c r="FJ171">
        <f t="shared" si="337"/>
        <v>0.54</v>
      </c>
      <c r="FK171">
        <f t="shared" si="338"/>
        <v>0.54</v>
      </c>
      <c r="FL171">
        <f t="shared" si="339"/>
        <v>0</v>
      </c>
      <c r="FM171">
        <f t="shared" si="340"/>
        <v>0</v>
      </c>
      <c r="FN171">
        <f t="shared" si="341"/>
        <v>0</v>
      </c>
      <c r="FO171">
        <f t="shared" si="342"/>
        <v>0</v>
      </c>
      <c r="FP171">
        <f t="shared" si="343"/>
        <v>0.54</v>
      </c>
      <c r="FQ171">
        <f t="shared" si="344"/>
        <v>0.54</v>
      </c>
      <c r="FR171">
        <f t="shared" si="345"/>
        <v>0.51300000000000001</v>
      </c>
      <c r="FS171">
        <f>IF(CG171=1,IF(AND(CH171=1,CW171=1),0,IF(AND(CS171&lt;&gt;"",CS171=BA171,CW171=1),SUMIFS(Линии[_Р линии, кВт],Линии[_блок УЗО],BA171,Линии[Щит],A171),N(BS171)+IF(AJ171="вручную",0,N(CK171)))),0)</f>
        <v>0.54</v>
      </c>
      <c r="FT171" t="str">
        <f t="shared" si="346"/>
        <v>L3</v>
      </c>
      <c r="FU171" t="str">
        <f>IF(B171="","",IF(CG171=0,IF(BA171=1,"",FW170),IF(AND(CH171=1,CW171=1,CS171&lt;&gt;""),IFERROR(_xlfn.XLOOKUP(CS171,Линии[_n],Линии[_фаза итог]),"L1"),IF(OR(N(DL171)&gt;=3,N(BX171)&gt;=3),"L1,L2,L3",IFERROR(_xlfn.TEXTBEFORE(_xlfn.TEXTAFTER(_xlfn.XLOOKUP(A171,Щиты[Щит],Щиты[_фазы авто]),";"&amp;BA171&amp;":"),";"),"L1")))))</f>
        <v>L1</v>
      </c>
      <c r="FV171" t="str">
        <f t="shared" si="347"/>
        <v>L3</v>
      </c>
      <c r="FW171" t="str">
        <f t="shared" si="348"/>
        <v>L3</v>
      </c>
      <c r="FX171" cm="1">
        <f t="array" ref="FX171">IFERROR(IF(CD171=2,_xlfn.IFS(BX171=3,VLOOKUP(BS171,Справочная_двигатели,3,FALSE),BX171=1,VLOOKUP(BS171,Справочная_двигатели,5,TRUE)),0),0)</f>
        <v>0</v>
      </c>
      <c r="FY171">
        <f>IFERROR(IF(CD171=3,VLOOKUP(BS171,Справочная_ЛЭД,2,TRUE),0),0)</f>
        <v>0</v>
      </c>
      <c r="FZ171" s="6">
        <f t="shared" si="349"/>
        <v>0</v>
      </c>
      <c r="GA171" t="str">
        <f>IF(B171="","",IF(TRIM(AH171&amp;"")&lt;&gt;"",IF(LOWER(TRIM(AH171&amp;""))="да","да","нет"),IF(IFERROR(_xlfn.XLOOKUP(BC171,Коды_код,Коды_пожарная),"")="да","да","нет")))</f>
        <v>нет</v>
      </c>
      <c r="GB171" t="str">
        <f t="shared" si="350"/>
        <v/>
      </c>
      <c r="GC171" t="str">
        <f t="shared" si="351"/>
        <v>основная</v>
      </c>
      <c r="GD171">
        <f>IF(AND(BP171=1,TRIM(AE171&amp;"")=""),IF(COUNTIFS(Линии[Щит],A171,Линии[Секция (1/2/3)],"&gt;=2")&gt;0,MIN(3,MAX(1,IFERROR(--BD171,1))),1),IFERROR(MIN(3,MAX(1,INT(--AE171))),1))</f>
        <v>1</v>
      </c>
      <c r="GE171" t="str" cm="1">
        <f t="array" ref="GE171">IF(B171="","",_xlfn.LET(_xlpm.t,IFERROR(_xlfn.XLOOKUP(1,(Шины[Шина]=GC171)*(((Шины[Щит]=A171)+(Шины[Щит]=""))&gt;0),Шины[Тип]),"")&amp;"",IF(_xlpm.t&lt;&gt;"",_xlpm.t,IF(ISNUMBER(SEARCH("ИБП",GC171)),"ИБП",IF(ISNUMBER(SEARCH("ДГУ",GC171)),"ДГУ","Ввод "&amp;GD171)))))</f>
        <v>Ввод 1</v>
      </c>
      <c r="GF171" t="str">
        <f t="shared" si="352"/>
        <v>Ввод 1</v>
      </c>
      <c r="GG171" t="str">
        <f>IF(BP171=0,"",IF(TRIM(AG171&amp;"")&lt;&gt;"",TRIM(AG171&amp;""),IF(OR(GE171="ИБП",GE171="ДГУ"),"I особая",_xlfn.XLOOKUP(A171,Щиты[Щит],Щиты[Категория шины «Ввод»],"III"))))</f>
        <v/>
      </c>
      <c r="GH171" t="str">
        <f>IF(A171="","",_xlfn.XLOOKUP(A171,Щиты[Щит],Щиты[Путь],""))</f>
        <v>|ГРЩ-ЖД|ЩР-001|</v>
      </c>
      <c r="GI171" t="str">
        <f>IF(B171="","",IF(AI171&lt;&gt;"",AI171,IF(IFERROR(_xlfn.XLOOKUP(BC171,Коды_код,Коды_вид)&amp;"","")="","Прочее",_xlfn.XLOOKUP(BC171,Коды_код,Коды_вид)&amp;"")))</f>
        <v>Розеточная сеть и бытовые приборы</v>
      </c>
      <c r="GJ171">
        <f>IF(BM171="","",INT((BM171-1)/Столбцов_на_лист)+1)</f>
        <v>2</v>
      </c>
      <c r="GK171" t="str">
        <f t="shared" si="353"/>
        <v>ВВГнг(А)-LS (3х2,5) L=83-1,52%</v>
      </c>
      <c r="GL171">
        <f t="shared" si="354"/>
        <v>0.54</v>
      </c>
      <c r="GM171">
        <f t="shared" si="355"/>
        <v>2.4699999999999998</v>
      </c>
      <c r="GN171">
        <f t="shared" si="356"/>
        <v>1</v>
      </c>
      <c r="GO171">
        <f t="shared" si="357"/>
        <v>0</v>
      </c>
      <c r="GP171">
        <f t="shared" si="358"/>
        <v>1</v>
      </c>
      <c r="GQ171">
        <f>IF(BM171="","",IF(AND(CG171=1,GP171=1),COUNTIFS(A$3:A171,A171,CG$3:CG171,1,GP$3:GP171,1),IF(OR(OR(BA171=1,A171&lt;&gt;A170),AJ171="вручную",GP171=0),"",IF(BA171=1,"",GR170))))</f>
        <v>17</v>
      </c>
      <c r="GR171">
        <f t="shared" si="359"/>
        <v>17</v>
      </c>
      <c r="GS171">
        <f>IF(B171="","",IFERROR(LOOKUP(INDEX(CHOOSE(EB171,Iдоп_1ж,Iдоп_2ж,Iдоп_3ж),MATCH(EN171,Iдоп_S,0))*DZ171*EA171,{6,10,16,20,25,32,40,50,63,80,100,125,160,200,250,315,400,500,630}),""))</f>
        <v>25</v>
      </c>
      <c r="GT171" t="str">
        <f t="shared" si="360"/>
        <v>QFD17</v>
      </c>
      <c r="GU171" t="str">
        <f t="shared" si="361"/>
        <v>QFD17</v>
      </c>
      <c r="GV171" t="str">
        <f t="shared" si="362"/>
        <v/>
      </c>
      <c r="GW171">
        <f t="shared" si="363"/>
        <v>0</v>
      </c>
      <c r="GX171" t="str">
        <f>IF(OR(B171="",DJ171=""),"",IFERROR(_xlfn.XLOOKUP(DJ171,Модули_умолч[Управление],Модули_умолч[Модель])&amp;"",""))</f>
        <v/>
      </c>
      <c r="GY171">
        <f>IF(DJ171="",1,IFERROR(MAX(0,N(_xlfn.XLOOKUP(DJ171,Модули_умолч[Управление],Модули_умолч[Каналов на линию]))),1))</f>
        <v>1</v>
      </c>
      <c r="GZ171" t="str">
        <f t="shared" si="364"/>
        <v/>
      </c>
      <c r="HA171" t="str">
        <f t="shared" si="365"/>
        <v/>
      </c>
      <c r="HB171" t="str">
        <f t="shared" si="366"/>
        <v/>
      </c>
      <c r="HC171">
        <f>IF(HB171="",0,IFERROR(N(VLOOKUP(HB171,Модули_спр,3,FALSE)),0))</f>
        <v>0</v>
      </c>
      <c r="HD171" t="str">
        <f t="shared" si="367"/>
        <v/>
      </c>
      <c r="HE171" t="str">
        <f t="shared" si="368"/>
        <v/>
      </c>
      <c r="HF171" t="str">
        <f>IF(OR(HE171="",HE171="-"),"",IFERROR(VLOOKUP(HE171,Модули_спр,2,FALSE),"R"))</f>
        <v/>
      </c>
      <c r="HG171" t="str">
        <f>IF(HF171="","",HF171&amp;"."&amp;COUNTIFS(A$3:A171,A171,HF$3:HF171,HF171))</f>
        <v/>
      </c>
      <c r="HH171" t="str">
        <f t="shared" si="369"/>
        <v/>
      </c>
      <c r="HI171" t="str">
        <f t="shared" si="370"/>
        <v/>
      </c>
      <c r="HJ171" t="str">
        <f t="shared" si="371"/>
        <v/>
      </c>
      <c r="HK171" t="str">
        <f t="shared" si="372"/>
        <v/>
      </c>
      <c r="HL171">
        <f t="shared" si="373"/>
        <v>1</v>
      </c>
      <c r="HM171" t="str">
        <f>IF(HL171=1,"XT"&amp;COUNTIFS(A$3:A171,A171,HL$3:HL171,1),"")</f>
        <v>XT17</v>
      </c>
      <c r="HN171" t="str">
        <f t="shared" si="374"/>
        <v/>
      </c>
      <c r="HO171" t="str">
        <f t="shared" si="375"/>
        <v>QFD17</v>
      </c>
      <c r="HP171" t="str">
        <f t="shared" si="376"/>
        <v/>
      </c>
      <c r="HQ171" t="str">
        <f t="shared" si="377"/>
        <v>ok</v>
      </c>
      <c r="HR171" t="str">
        <f>IF(OR(HJ171="",HH171=""),"",IF(HJ171+MAX(0,GY171-1)&gt;IFERROR(VLOOKUP(HI171,Модули_спр,3,FALSE),99),"ЛИШНИЙ КАНАЛ",IF(AND(AL171&lt;&gt;"=",GY171&gt;0,COUNTIFS(Линии[_модуль гр.],HH171,Линии[Канал (итог)],HJ171,Линии[Канал],"&lt;&gt;=",Линии[Щит],A171)&gt;1),"ДУБЛЬ КАНАЛА","")))</f>
        <v/>
      </c>
      <c r="HS171" s="6" t="str">
        <f t="shared" si="378"/>
        <v/>
      </c>
      <c r="HT171">
        <f t="shared" si="379"/>
        <v>10</v>
      </c>
      <c r="HU171" t="str">
        <f t="shared" si="380"/>
        <v/>
      </c>
      <c r="HV171">
        <f t="shared" si="381"/>
        <v>1.8145341432496775</v>
      </c>
      <c r="HW171">
        <f t="shared" si="382"/>
        <v>0</v>
      </c>
      <c r="HX171">
        <f t="shared" si="383"/>
        <v>0</v>
      </c>
      <c r="HY171">
        <f t="shared" si="384"/>
        <v>0</v>
      </c>
      <c r="HZ171">
        <f t="shared" si="385"/>
        <v>0</v>
      </c>
      <c r="IA171">
        <f t="shared" si="386"/>
        <v>0</v>
      </c>
      <c r="IB171">
        <f t="shared" si="387"/>
        <v>0</v>
      </c>
      <c r="IC171" t="str">
        <f t="shared" si="388"/>
        <v/>
      </c>
      <c r="ID171" t="str" cm="1">
        <f t="array" ref="ID171">IF(IC171="","",_xlfn.LET(_xlpm.tk,_xlfn.TEXTSPLIT(SUBSTITUTE(SUBSTITUTE(IC171,";"," "),"→"," ")," ",,TRUE),_xlpm.w_,_xlfn._xlws.FILTER(_xlpm.tk,ISNUMBER(--LEFT(_xlpm.tk,1))*((ISNUMBER(SEARCH("W",_xlpm.tk))+ISNUMBER(SEARCH("Вт",_xlpm.tk)))&gt;0),""),IFERROR(--SUBSTITUTE(SUBSTITUTE(UPPER(INDEX(_xlpm.w_,1)),"W",""),"ВТ",""),"")))</f>
        <v/>
      </c>
      <c r="IE171" t="str" cm="1">
        <f t="array" ref="IE171">IF(IC171="","",_xlfn.LET(_xlpm.tk,_xlfn.TEXTSPLIT(SUBSTITUTE(SUBSTITUTE(IC171,";"," "),"→"," ")," ",,TRUE),_xlpm.v_,_xlfn._xlws.FILTER(_xlpm.tk,ISNUMBER(--LEFT(_xlpm.tk,1))*((ISNUMBER(SEARCH("V",_xlpm.tk))+(RIGHT(UPPER(_xlpm.tk))="В"))&gt;0),""),IFERROR(--SUBSTITUTE(SUBSTITUTE(UPPER(INDEX(_xlpm.v_,1)),"V",""),"В",""),"")))</f>
        <v/>
      </c>
      <c r="IF171" s="6" t="str">
        <f>IF(OR(BV171=0,HI171="",HJ171=""),"",IFERROR(N(_xlfn.XLOOKUP(HI171,Каталог!$C$4:$C$500,Каталог!$Q$4:$Q$500)),""))</f>
        <v/>
      </c>
      <c r="IG171" s="6" t="str">
        <f>IF(N(IF171)=0,"",SUMIFS(Линии[Iр, А],Линии[Щит],A171,Линии[_модуль гр.],HH171,Линии[Канал (итог)],HJ171))</f>
        <v/>
      </c>
      <c r="IH171" t="str">
        <f>IF(AND(B171="",HO171=""),"",_xlfn.TEXTJOIN("; ",TRUE,IF(AND(B171&lt;&gt;"",FV171=""),"нет фазы",""),IF(AND(B171&lt;&gt;"",N(GL171)=0,FG171&lt;&gt;"Нет"),"нет мощности",""),IF(AND(HN171&lt;&gt;"",COUNTIFS(Линии[Щит],A171,Линии[Клемма (итог)],HN171)&gt;1),"дубль клеммы "&amp;HN171,""),IF(AND(HQ171&lt;&gt;"",HQ171&lt;&gt;"ok"),HQ171,""),IF(HR171&lt;&gt;"",HR171,""),IF(AND(N(CB171)&gt;=4,N(BX171)=1),CB171&amp;" жил на 1 фазе",""),IF(AND(BC171="R",CG171=1,IF(CS171&lt;&gt;"",N(CV171)&gt;30,OR(N(DA171)=0,N(DA171)&gt;30))),"розетка без дифзащиты до 30 мА",""),IF(AND(CG171=1,N(DA171)&gt;0,ISNUMBER(T171)),IF(T171&gt;N(DA171)/3,"ток утечки "&amp;FIXED(T171,1)&amp;" мА &gt; 1/3 уставки ("&amp;DA171&amp;" мА)",""),""),IF(AND(CH171=1,CS171=""),"«узо»: нет строки с УЗО выше (УЗО 2P 40А 30мА в «Аппаратах»)",""),IF(AND(CS171&lt;&gt;"",CS171=BA171),IF(CT171="","впишите номинал УЗО (УЗО 2P 40А 30мА)",IF(N(CT171)&lt;N(DT171),"УЗО "&amp;CT171&amp;" А &lt; автомата "&amp;DT171&amp;" А перед ним",IF(N(CT171)&lt;N(CX171),"УЗО "&amp;CT171&amp;" А &lt; тока блока "&amp;FIXED(CX171,1)&amp;" А",""))),""),IF(AND(CS171&lt;&gt;"",CS171=BA171,ISNUMBER(CY171)),IF(CY171&gt;N(CV171)/3,"ток утечки блока УЗО "&amp;FIXED(CY171,1)&amp;" мА &gt; 1/3 уставки ("&amp;CV171&amp;" мА)",""),""),IF(AND(CG171=1,N(BV171)+N(IB171)&gt;0,IC171=""),"линии до 50 В без БП: впишите в «Аппараты» (БП 24V 480W)",""),IF(AND(CG171=1,ISNUMBER(ID171),ISNUMBER(U171)),IF(U171&gt;ID171,"БП "&amp;ID171&amp;" Вт &lt; нужно "&amp;U171&amp;" Вт (×"&amp;Запас_БП&amp;")",""),""),IF(AND(CG171=1,ISNUMBER(IE171),N(BV171)=1),IF(IE171&lt;&gt;N(BU171),"БП на "&amp;IE171&amp;" В, линия "&amp;BU171&amp;" В",""),""),IF(AND(N(IF171)&gt;0,N(IG171)&gt;N(IF171)),HH171&amp;" канал "&amp;HJ171&amp;": "&amp;FIXED(IG171,1)&amp;" А &gt; "&amp;IF171&amp;" А",""),IFERROR(IF(AND(ISNUMBER(Q171),Q171&gt;EL171),"потери "&amp;FIXED(Q171,1)&amp;" % &gt; "&amp;EL171&amp;" %",""),""),IFERROR(IF(LEFT(HU171,4)="мало","Iкз мало — отключение &gt; 0,4 с",""),""),IF(AND(B171&lt;&gt;"",BM171=""),"не на схеме",""),IF(AND(CG171=0,B171&lt;&gt;"",FV171&lt;&gt;"",IF(BA171=1,"",FW170)&lt;&gt;"",FV171&lt;&gt;IF(BA171=1,"",FW170)),"фаза не как у автомата группы ("&amp;IF(BA171=1,"",FW170)&amp;")","")))</f>
        <v/>
      </c>
      <c r="II171" s="6">
        <f>IF(OR(CG171=0,DQ171=""),"",_xlfn.LET(_xlpm.t,IFERROR(_xlfn.XLOOKUP(DQ171,Каталог!$U$4:$U$500,Каталог!$G$4:$G$500),""),_xlpm.k,SEARCH("кА",_xlpm.t),IFERROR(--TRIM(RIGHT(SUBSTITUTE(MID(_xlpm.t,MAX(1,_xlpm.k-4),_xlpm.k-MAX(1,_xlpm.k-4))," ",REPT(" ",9)),5)),"")))</f>
        <v>6</v>
      </c>
      <c r="IJ171" t="str">
        <f>IF(OR(II171="",CG171=0),"",IF(_xlfn.XLOOKUP(A171,Щиты[Щит],Щиты[Iкз max на шинах, кА],"")="","",IF(II171&lt;_xlfn.XLOOKUP(A171,Щиты[Щит],Щиты[Iкз max на шинах, кА]),"Icu "&amp;II171&amp;" кА &lt; Iкз max","ok")))</f>
        <v/>
      </c>
      <c r="IK171" t="str">
        <f t="shared" si="389"/>
        <v/>
      </c>
      <c r="IL171" t="str">
        <f t="shared" si="390"/>
        <v>QFD17</v>
      </c>
      <c r="IM171" t="str">
        <f t="shared" si="391"/>
        <v>QFD17|кабель ВВГнг(А)-LS (3х2,5) → Розеточная группа, пом. 007Б</v>
      </c>
      <c r="IN171" t="str" cm="1">
        <f t="array" ref="IN171">IF(IM171="","",_xlfn.LET(_xlpm.nd,_xlfn.TEXTSPLIT(IM171,"|"),IF(COLUMNS(_xlpm.nd)&gt;1,A171&amp;"¦"&amp;INDEX(_xlpm.nd,1)&amp;"¦"&amp;INDEX(_xlpm.nd,2),"")))</f>
        <v>ЩР-001¦QFD17¦кабель ВВГнг(А)-LS (3х2,5) → Розеточная группа, пом. 007Б</v>
      </c>
      <c r="IO171" t="str">
        <f t="shared" si="392"/>
        <v>R.00.007Б.1¦Розеточная группа, пом. 007Б</v>
      </c>
      <c r="IP171" t="str" cm="1">
        <f t="array" ref="IP171">IF(IM171="","",_xlfn.LET(_xlpm.nd,_xlfn.TEXTSPLIT(IM171,"|"),IF(COLUMNS(_xlpm.nd)&gt;2,A171&amp;"¦"&amp;INDEX(_xlpm.nd,2)&amp;"¦"&amp;INDEX(_xlpm.nd,3),"")))</f>
        <v/>
      </c>
      <c r="IQ171" t="str">
        <f t="shared" si="393"/>
        <v/>
      </c>
      <c r="IR171" t="str" cm="1">
        <f t="array" ref="IR171">IF(IM171="","",_xlfn.LET(_xlpm.nd,_xlfn.TEXTSPLIT(IM171,"|"),IF(COLUMNS(_xlpm.nd)&gt;3,A171&amp;"¦"&amp;INDEX(_xlpm.nd,3)&amp;"¦"&amp;INDEX(_xlpm.nd,4),"")))</f>
        <v/>
      </c>
      <c r="IS171" t="str">
        <f t="shared" si="394"/>
        <v/>
      </c>
      <c r="IT171" t="str" cm="1">
        <f t="array" ref="IT171">IF(IM171="","",_xlfn.LET(_xlpm.nd,_xlfn.TEXTSPLIT(IM171,"|"),IF(COLUMNS(_xlpm.nd)&gt;4,A171&amp;"¦"&amp;INDEX(_xlpm.nd,4)&amp;"¦"&amp;INDEX(_xlpm.nd,5),"")))</f>
        <v/>
      </c>
      <c r="IU171" t="str">
        <f t="shared" si="395"/>
        <v/>
      </c>
      <c r="IV171" t="str" cm="1">
        <f t="array" ref="IV171">IF(IM171="","",_xlfn.LET(_xlpm.nd,_xlfn.TEXTSPLIT(IM171,"|"),IF(COLUMNS(_xlpm.nd)&gt;5,A171&amp;"¦"&amp;INDEX(_xlpm.nd,5)&amp;"¦"&amp;INDEX(_xlpm.nd,6),"")))</f>
        <v/>
      </c>
      <c r="IW171" t="str">
        <f t="shared" si="396"/>
        <v/>
      </c>
      <c r="IX171" t="str" cm="1">
        <f t="array" ref="IX171">IF(IM171="","",_xlfn.LET(_xlpm.nd,_xlfn.TEXTSPLIT(IM171,"|"),IF(COLUMNS(_xlpm.nd)&gt;6,A171&amp;"¦"&amp;INDEX(_xlpm.nd,6)&amp;"¦"&amp;INDEX(_xlpm.nd,7),"")))</f>
        <v/>
      </c>
      <c r="IY171" t="str">
        <f t="shared" si="397"/>
        <v/>
      </c>
      <c r="IZ171" t="str">
        <f t="shared" si="398"/>
        <v/>
      </c>
      <c r="JA171" t="str">
        <f t="shared" si="399"/>
        <v>QFD17</v>
      </c>
      <c r="JB171">
        <f t="shared" si="400"/>
        <v>0</v>
      </c>
      <c r="JC171">
        <f t="shared" si="401"/>
        <v>1</v>
      </c>
      <c r="JD171" t="str">
        <f t="shared" si="402"/>
        <v/>
      </c>
      <c r="JE171" t="str">
        <f t="shared" si="403"/>
        <v/>
      </c>
      <c r="JF171" t="str">
        <f t="shared" si="404"/>
        <v/>
      </c>
      <c r="JG171" t="str">
        <f t="shared" si="405"/>
        <v/>
      </c>
      <c r="JH171" t="str">
        <f>IF(B171="","",IFERROR(_xlfn.XLOOKUP(B171,Коды_код,Коды_уго),IFERROR(_xlfn.XLOOKUP(BC171,Коды_код,Коды_уго),IFERROR(_xlfn.XLOOKUP(LEFT(BC171,2),Коды_код,Коды_уго),""))))</f>
        <v>Розетка</v>
      </c>
      <c r="JI171" t="str">
        <f>IF(B171="","",IF(OR(JH171="",JH171=0),"BOX",IFERROR(IF(VLOOKUP(JH171,УГО_блоки,3,FALSE)&amp;""&lt;&gt;"",VLOOKUP(JH171,УГО_блоки,3,FALSE),VLOOKUP(JH171,УГО_блоки,2,FALSE)),JH171)))</f>
        <v>SOCKET</v>
      </c>
      <c r="JJ171">
        <f t="shared" si="406"/>
        <v>1</v>
      </c>
      <c r="JK171" t="str">
        <f>IF(DQ171="","",IF(COUNTIF(DQ$3:DQ171,DQ171)=1,MAX(JK$2:JK170)+1,""))</f>
        <v/>
      </c>
      <c r="JL171" t="str">
        <f>IF(DE171="","",IF(COUNTIF(DE$3:DE171,DE171)+COUNTIF(DF$2:DF170,DE171)+COUNTIF(DG$2:DG170,DE171)=1,MAX(JL$2:JN170)+1,""))</f>
        <v/>
      </c>
      <c r="JM171" t="str">
        <f>IF(DF171="","",IF(COUNTIF(DE$3:DE171,DF171)+COUNTIF(DF$3:DF171,DF171)+COUNTIF(DG$2:DG170,DF171)=1,MAX(JL$2:JN170,JL171)+1,""))</f>
        <v/>
      </c>
      <c r="JN171" t="str">
        <f>IF(DG171="","",IF(COUNTIF(DE$3:DE171,DG171)+COUNTIF(DF$3:DF171,DG171)+COUNTIF(DG$3:DG171,DG171)=1,MAX(JL$2:JN170,JL171,JM171)+1,""))</f>
        <v/>
      </c>
      <c r="JO171" t="str">
        <f t="shared" si="407"/>
        <v>3х2,5</v>
      </c>
      <c r="JP171" t="str">
        <f>IF(JO171="","",IF(COUNTIF(JO$3:JO171,JO171)=1,MAX(JP$2:JP170)+1,""))</f>
        <v/>
      </c>
      <c r="JQ171" t="str">
        <f>IF(HG171="","",COUNTIF(HG$3:HG171,"?*"))</f>
        <v/>
      </c>
      <c r="JR171" t="str">
        <f>IF(OR(HG171="",HI171=""),"",IF(COUNTIFS(HG$3:HG171,"?*",HI$3:HI171,HI171)=1,MAX(JR$2:JR170)+1,""))</f>
        <v/>
      </c>
      <c r="JS171">
        <f t="shared" si="408"/>
        <v>0</v>
      </c>
      <c r="JT171">
        <f>IF(B171="","",COUNTIF(B$3:B171,"?*"))</f>
        <v>169</v>
      </c>
      <c r="JU171">
        <f>IF(HL171&lt;&gt;1,0,_xlfn.LET(_xlpm.k,MAX(IFERROR(--_xlfn.XLOOKUP(B171,Коды_код,Коды_3L),0),IFERROR(--_xlfn.XLOOKUP(BC171,Коды_код,Коды_3L),0),IFERROR(--_xlfn.XLOOKUP(LEFT(BC171,2),Коды_код,Коды_3L),0)),IF(_xlpm.k&gt;0,_xlpm.k,IF(IFERROR(--LEFT(SUBSTITUTE(JO171,"x","х"),FIND("х",SUBSTITUTE(JO171,"x","х"))-1),3)&gt;3,Каталог!$S$9,1))))</f>
        <v>1</v>
      </c>
      <c r="JV171">
        <f t="shared" si="409"/>
        <v>0</v>
      </c>
      <c r="JW171" t="str">
        <f t="shared" si="410"/>
        <v>авто</v>
      </c>
      <c r="JX171">
        <f t="shared" si="411"/>
        <v>30</v>
      </c>
      <c r="JY171">
        <f t="shared" si="412"/>
        <v>1</v>
      </c>
      <c r="JZ171">
        <f t="shared" si="413"/>
        <v>1</v>
      </c>
    </row>
    <row r="172" spans="1:286" x14ac:dyDescent="0.3">
      <c r="A172" t="s">
        <v>753</v>
      </c>
      <c r="B172" t="s">
        <v>1480</v>
      </c>
      <c r="C172" t="str">
        <f>Линии[[#This Row],[_авто наименование]]</f>
        <v>Розеточная группа, пом. 004Б</v>
      </c>
      <c r="D172">
        <v>4</v>
      </c>
      <c r="E172">
        <v>0.54</v>
      </c>
      <c r="G172">
        <v>16</v>
      </c>
      <c r="H172" t="str">
        <f>Линии[[#This Row],[_авто управление]]</f>
        <v/>
      </c>
      <c r="I172" t="str">
        <f>Линии[[#This Row],[_авто аппараты]]</f>
        <v/>
      </c>
      <c r="J172">
        <v>2.5</v>
      </c>
      <c r="K172">
        <v>55</v>
      </c>
      <c r="L172">
        <v>2</v>
      </c>
      <c r="M172" t="s">
        <v>484</v>
      </c>
      <c r="N172" t="str">
        <f t="shared" si="276"/>
        <v/>
      </c>
      <c r="O172" s="6" cm="1">
        <f t="array" ref="O172">IF(B172="","",IF(BH172&lt;&gt;"",IFERROR(_xlfn.XLOOKUP(BH172,Щиты[Щит],Щиты[Iр, А]),""),IF(BP172=1,IF(OR(N(_xlfn.XLOOKUP(A172,Щиты[Щит],Щиты[Вводов],1))&lt;=1,LOWER(TRIM(_xlfn.XLOOKUP(A172,Щиты[Щит],Щиты[АВР],"")&amp;""))="да"),IFERROR(_xlfn.XLOOKUP(A172,Щиты[Щит],Щиты[Iр, А]),""),IFERROR(N(BS172)*_xlfn.XLOOKUP(A172,Щиты[Щит],Щиты[Кс итог])/(SQRT(3)*Uн_лин*_xlfn.XLOOKUP(A172,Щиты[Щит],Щиты[cos φ])),"")),IF(BV172=1,IFERROR(BS172*1000/BU172,""),IFERROR(_xlfn.IFS(BX172=1,BS172/((Uн_лин/SQRT(3))*CE172),BX172=3,BS172/(SQRT(3)*Uн_лин*CE172)),"")))))</f>
        <v>2.4613353581241939</v>
      </c>
      <c r="P172" s="7">
        <f>IF(B172="","",IFERROR(IF(VLOOKUP(BC172,Потребители_обозначение,4,FALSE)=1,VLOOKUP(BC172,Потребители_обозначение,3,FALSE)*(MAX(1,N(D172))*2-1)+EI172+VLOOKUP(BE172,Этаж_обозначение,3,FALSE)+VLOOKUP(BE172,Этаж_обозначение,4,FALSE),VLOOKUP(BC172,Потребители_обозначение,3,FALSE)*(MAX(1,N(D172))*2-1)+EI172),EI172))</f>
        <v>76</v>
      </c>
      <c r="Q172" s="6">
        <f t="shared" si="277"/>
        <v>2.9699999999999998</v>
      </c>
      <c r="R172" t="str">
        <f t="shared" si="278"/>
        <v>ВВГнг(А)-LS (3х2,5)</v>
      </c>
      <c r="S172" t="str">
        <f>IF(BM172="","",IF(BN172="вводной узел","узел ","")&amp;"л."&amp;(INT((BM172-1)/Столбцов_на_лист)+1)&amp;" / "&amp;(MOD(BM172-1,Столбцов_на_лист)+1))</f>
        <v>л.2 / 10</v>
      </c>
      <c r="T172" s="119">
        <f t="shared" si="279"/>
        <v>1.7</v>
      </c>
      <c r="U172" s="7" t="str">
        <f>IF(OR(CG172=0,N(BV172)+N(IB172)=0),"",ROUNDUP(Запас_БП*(N(HY172)+N(HZ172)),0))</f>
        <v/>
      </c>
      <c r="V172" s="119" t="str">
        <f t="shared" si="280"/>
        <v/>
      </c>
      <c r="W172" s="7" t="str">
        <f>IFERROR(IF(OR(B172="",BP172=1,BV172=1,NOT(ISNUMBER(EN172)),N(DT172)=0),"",MAX(0,ROUNDDOWN((c_min*(Uн_лин*1000/SQRT(3))/(HT172*N(DT172))-_xlfn.XLOOKUP(A172,Щиты[Щит],Щиты[Zпетли на шинах, Ом]))*EN172/(2*ρкз_Cu),0))),"")</f>
        <v/>
      </c>
      <c r="Y172">
        <f>Линии[[#This Row],[_авто утечка]]</f>
        <v>30</v>
      </c>
      <c r="Z172">
        <v>1</v>
      </c>
      <c r="AA172">
        <v>230</v>
      </c>
      <c r="AB172" t="s">
        <v>562</v>
      </c>
      <c r="AG172" t="s">
        <v>810</v>
      </c>
      <c r="AI172" t="s">
        <v>561</v>
      </c>
      <c r="AK172" t="str">
        <f>Линии[[#This Row],[_авто модуль]]</f>
        <v/>
      </c>
      <c r="AM172">
        <v>27</v>
      </c>
      <c r="AN172" t="s">
        <v>11</v>
      </c>
      <c r="AO172">
        <v>3</v>
      </c>
      <c r="AQ172">
        <v>32</v>
      </c>
      <c r="AR172">
        <v>0</v>
      </c>
      <c r="AS172">
        <v>21</v>
      </c>
      <c r="BA172" cm="1">
        <f t="array" ref="BA172">ROW()-ROW(Линии[#Headers])</f>
        <v>170</v>
      </c>
      <c r="BC172" s="6" t="str">
        <f t="shared" si="281"/>
        <v>R</v>
      </c>
      <c r="BD172" t="str">
        <f t="shared" si="282"/>
        <v>00.004Б.1</v>
      </c>
      <c r="BE172" t="str">
        <f t="shared" si="283"/>
        <v>00</v>
      </c>
      <c r="BF172" t="str">
        <f t="shared" si="284"/>
        <v>004Б.1</v>
      </c>
      <c r="BG172" t="str">
        <f t="shared" si="285"/>
        <v>004Б</v>
      </c>
      <c r="BH172" t="str">
        <f>IF(X172&lt;&gt;"",X172,IF(AND(B172&lt;&gt;"",B172&lt;&gt;A172,ISNUMBER(_xlfn.XMATCH(B172,Щиты[Щит]))),B172,""))</f>
        <v/>
      </c>
      <c r="BI172" t="str" cm="1">
        <f t="array" ref="BI172">IF(B172="","",IF(BH172&lt;&gt;"","Щит "&amp;BH172,_xlfn.LET(_xlpm.nm,IFERROR(_xlfn.XLOOKUP(BC172,Коды_код,Коды_имя)&amp;"",""),_xlpm.md,IFERROR(N(_xlfn.XLOOKUP(BC172,Коды_код,Коды_режим)),1),_xlpm.ex,IF(Имя_режим="по экспликации",IFERROR(_xlfn.XLOOKUP(BE172&amp;"|"&amp;BG172,Экспликация[Этаж]&amp;"|"&amp;Экспликация[Помещение],Экспликация[Название])&amp;"",""),""),_xlpm.rm,IF(BG172="","",IF(_xlpm.ex&lt;&gt;"",". "&amp;_xlpm.ex&amp;IF(Имя_пом="нет"," ("&amp;BG172&amp;")"," (пом. "&amp;BG172&amp;")"),IF(Имя_пом="нет"," ",", пом. ")&amp;BG172)),IF(_xlpm.nm="","",IF(_xlpm.md=2,_xlpm.nm&amp;" шлейф "&amp;BE172,_xlpm.nm&amp;_xlpm.rm)))))</f>
        <v>Розеточная группа, пом. 004Б</v>
      </c>
      <c r="BJ172" t="str">
        <f t="shared" si="286"/>
        <v>Розеточная группа, пом. 004Б</v>
      </c>
      <c r="BK172">
        <f>IFERROR(_xlfn.XMATCH(A172,Щиты[Щит]),0)</f>
        <v>8</v>
      </c>
      <c r="BL172">
        <f>_xlfn.LET(_xlpm.k,IFERROR(_xlfn.XLOOKUP(A172,Щиты[Щит],Щиты[Мест под вводной узел]),""),IF(_xlpm.k="",Столбцов_на_лист,N(_xlpm.k)))</f>
        <v>7</v>
      </c>
      <c r="BM172">
        <f t="shared" si="287"/>
        <v>27</v>
      </c>
      <c r="BN172" t="str">
        <f t="shared" si="288"/>
        <v>линии</v>
      </c>
      <c r="BO172" s="6">
        <f>IFERROR(N(_xlfn.XLOOKUP(BC172,Коды_код,Коды_квт)),0)</f>
        <v>0</v>
      </c>
      <c r="BP172">
        <f t="shared" si="289"/>
        <v>0</v>
      </c>
      <c r="BQ172" t="str">
        <f>IF(B172="","",IF(BH172&lt;&gt;"",IFERROR(_xlfn.XLOOKUP(BH172,Щиты[Щит],Щиты[Руст, кВт]),0),IF(BP172=1,IF(OR(N(_xlfn.XLOOKUP(A172,Щиты[Щит],Щиты[Вводов],1))&lt;=1,LOWER(TRIM(_xlfn.XLOOKUP(A172,Щиты[Щит],Щиты[АВР],"")&amp;""))="да"),IFERROR(_xlfn.XLOOKUP(A172,Щиты[Щит],Щиты[Руст, кВт]),0),SUMIFS(Линии[_Р для вводов],Линии[Щит],A172,Линии[Источник для режимов],GF172)),IF(BO172&gt;0,ROUND(BO172*MAX(1,N(D172)),3),""))))</f>
        <v/>
      </c>
      <c r="BR172">
        <f t="shared" si="290"/>
        <v>0.54</v>
      </c>
      <c r="BS172" s="6">
        <f>IF(B172="","",IF(BH172&lt;&gt;"",IFERROR(_xlfn.XLOOKUP(BH172,Щиты[Щит],Щиты[Руст, кВт]),0),N(BR172)))</f>
        <v>0.54</v>
      </c>
      <c r="BT172" t="str">
        <f>IF(B172="","",IFERROR(IF(VLOOKUP(BC172,Потребители_обозначение,8,FALSE)=0,"",VLOOKUP(BC172,Потребители_обозначение,8,FALSE)),""))</f>
        <v/>
      </c>
      <c r="BU172">
        <f t="shared" si="291"/>
        <v>230</v>
      </c>
      <c r="BV172">
        <f t="shared" si="292"/>
        <v>0</v>
      </c>
      <c r="BW172">
        <f>IF(B172="","",IF(BH172&lt;&gt;"",3,IFERROR(IF(N(VLOOKUP(BC172,Потребители_обозначение,9,FALSE))=0,1,VLOOKUP(BC172,Потребители_обозначение,9,FALSE)),1)))</f>
        <v>1</v>
      </c>
      <c r="BX172">
        <f t="shared" si="293"/>
        <v>1</v>
      </c>
      <c r="BY172" t="str">
        <f>IF(B172="","",_xlfn.LET(_xlpm.bc,IFERROR(IF(VLOOKUP(BC172,Потребители_обозначение,6,FALSE)=0,"",VLOOKUP(BC172,Потребители_обозначение,6,FALSE)&amp;""),""),IF(AND(GA172="да",OR(_xlpm.bc="",_xlpm.bc="мс")),Марка_пож,IF(AND(_xlpm.bc="",BH172&lt;&gt;""),"мс",_xlpm.bc))))</f>
        <v/>
      </c>
      <c r="BZ172" t="str">
        <f t="shared" si="294"/>
        <v>мс</v>
      </c>
      <c r="CA172">
        <f>IF(B172="","",_xlfn.LET(_xlpm.cc,IFERROR(N(VLOOKUP(BC172,Потребители_обозначение,7,FALSE)),0),IF(_xlpm.cc&gt;0,_xlpm.cc,IF(BZ172="","",IF(BV172=1,2,IF(N(BX172)=3,5,3))))))</f>
        <v>3</v>
      </c>
      <c r="CB172">
        <f t="shared" si="295"/>
        <v>3</v>
      </c>
      <c r="CC172">
        <f>IFERROR(N(VLOOKUP(BC172,Потребители_обозначение,10,FALSE)),0)</f>
        <v>0</v>
      </c>
      <c r="CD172">
        <f>IFERROR(VLOOKUP(BC172,Потребители_обозначение,5,FALSE),0)</f>
        <v>1</v>
      </c>
      <c r="CE172" s="6" cm="1">
        <f t="array" ref="CE172">IF(B172="","",IF(BH172&lt;&gt;"",IFERROR(_xlfn.XLOOKUP(BH172,Щиты[Щит],Щиты[cos φ]),0.95),IF(BP172=1,IFERROR(_xlfn.XLOOKUP(A172,Щиты[Щит],Щиты[cos φ]),0.95),IF(ISNUMBER(AD172),AD172,IFERROR(IF(CD172=2,_xlfn.IFS(BX172=3,VLOOKUP(BS172,Справочная_двигатели,8,FALSE),BX172=1,VLOOKUP(BS172,Справочная_двигатели,10,TRUE)),IF(AND(Методика="нормы 2026",FG172="Сил"),0.8,0.95)),0.95)))))</f>
        <v>0.95</v>
      </c>
      <c r="CF172">
        <f t="shared" si="296"/>
        <v>0</v>
      </c>
      <c r="CG172">
        <f t="shared" si="297"/>
        <v>1</v>
      </c>
      <c r="CH172">
        <f t="shared" si="298"/>
        <v>0</v>
      </c>
      <c r="CI172">
        <f>IF(B172="","",IF(BV172=1,IFERROR(BS172/((Uн_лин/SQRT(3))*MAX(0.5,N(CE172))),0),N(O172)))</f>
        <v>2.4613353581241939</v>
      </c>
      <c r="CJ172">
        <f t="shared" si="299"/>
        <v>0</v>
      </c>
      <c r="CK172">
        <f t="shared" si="300"/>
        <v>0</v>
      </c>
      <c r="CL172">
        <f t="shared" si="301"/>
        <v>0</v>
      </c>
      <c r="CM172">
        <f t="shared" si="302"/>
        <v>0</v>
      </c>
      <c r="CN172">
        <f t="shared" si="303"/>
        <v>0</v>
      </c>
      <c r="CO172">
        <f>IF(BC172="",0,_xlfn.LET(_xlpm.v,IFERROR(_xlfn.XLOOKUP(B172,Коды_код,Коды_мА),IFERROR(_xlfn.XLOOKUP(BC172,Коды_код,Коды_мА),IFERROR(_xlfn.XLOOKUP(LEFT(BC172,2),Коды_код,Коды_мА),""))),IF(_xlpm.v="да",30,IF(ISNUMBER(_xlpm.v),_xlpm.v,0))))</f>
        <v>30</v>
      </c>
      <c r="CP172">
        <f t="shared" si="304"/>
        <v>30</v>
      </c>
      <c r="CQ172" t="str">
        <f>_xlfn.LET(_xlpm.k,IFERROR(_xlfn.XLOOKUP(BC172,Коды_код,Коды_утечка)&amp;"",""),IF(_xlpm.k="","дифавтомат",_xlpm.k))</f>
        <v>дифавтомат</v>
      </c>
      <c r="CR172" t="str" cm="1">
        <f t="array" ref="CR172">IF(CG172=0,"",_xlfn.LET(_xlpm.sg,TRIM(_xlfn.TEXTSPLIT(DD172&amp;"",";")),_xlpm.f_,_xlfn._xlws.FILTER(_xlpm.sg,LEFT(_xlpm.sg,3)="УЗО",""),IFERROR(INDEX(_xlpm.f_,1)&amp;"","")))</f>
        <v/>
      </c>
      <c r="CS172" t="str">
        <f t="shared" si="305"/>
        <v/>
      </c>
      <c r="CT172" s="6" t="str" cm="1">
        <f t="array" ref="CT172">IF(CR172="","",_xlfn.LET(_xlpm.tk,_xlfn.TEXTSPLIT(UPPER(CR172)," ",,TRUE),_xlpm.a_,_xlfn._xlws.FILTER(_xlpm.tk,ISNUMBER(--LEFT(_xlpm.tk,1))*((ISNUMBER(SEARCH("А",_xlpm.tk))+ISNUMBER(SEARCH("A",_xlpm.tk)))&gt;0)*NOT(ISNUMBER(SEARCH("МА",_xlpm.tk)))*NOT(ISNUMBER(SEARCH("MA",_xlpm.tk))),""),IFERROR(--SUBSTITUTE(SUBSTITUTE(INDEX(_xlpm.a_,1),"А",""),"A",""),"")))</f>
        <v/>
      </c>
      <c r="CU172" t="str" cm="1">
        <f t="array" ref="CU172">IF(CR172="","",_xlfn.LET(_xlpm.tk,_xlfn.TEXTSPLIT(UPPER(CR172)," ",,TRUE),_xlpm.a_,_xlfn._xlws.FILTER(_xlpm.tk,ISNUMBER(--LEFT(_xlpm.tk,1))*((ISNUMBER(SEARCH("МА",_xlpm.tk))+ISNUMBER(SEARCH("MA",_xlpm.tk)))&gt;0),""),IFERROR(--SUBSTITUTE(SUBSTITUTE(INDEX(_xlpm.a_,1),"МА",""),"MA",""),30)))</f>
        <v/>
      </c>
      <c r="CV172" t="str">
        <f>IF(CS172="","",IFERROR(_xlfn.XLOOKUP(CS172,Линии[_n],Линии[_УЗО, мА]),30))</f>
        <v/>
      </c>
      <c r="CW172">
        <f>IF(CS172="",0,IF(ISNUMBER(SEARCH("4P",IFERROR(_xlfn.XLOOKUP(CS172,Линии[_n],Линии[_УЗО строки])&amp;"",""))),0,1))</f>
        <v>0</v>
      </c>
      <c r="CX172" t="str">
        <f>IF(AND(CS172&lt;&gt;"",CS172=BA172),SUMIFS(Линии[_ток на 230 В],Линии[_блок УЗО],BA172,Линии[Щит],A172),"")</f>
        <v/>
      </c>
      <c r="CY172" t="str">
        <f>IF(AND(CS172&lt;&gt;"",CS172=BA172),SUMIFS(Линии[_ток утечки линии, мА],Линии[_блок УЗО],BA172,Линии[Щит],A172),"")</f>
        <v/>
      </c>
      <c r="CZ172">
        <f t="shared" si="306"/>
        <v>30</v>
      </c>
      <c r="DA172">
        <f t="shared" si="307"/>
        <v>30</v>
      </c>
      <c r="DB172">
        <f>IF(B172="",0,IFERROR(--_xlfn.XLOOKUP(B172,Коды_код,Коды_минавт),IFERROR(--_xlfn.XLOOKUP(BC172,Коды_код,Коды_минавт),IFERROR(--_xlfn.XLOOKUP(LEFT(BC172,2),Коды_код,Коды_минавт),0))))</f>
        <v>16</v>
      </c>
      <c r="DC172" t="str">
        <f>IF(B172="","",IFERROR(_xlfn.XLOOKUP(BC172,Коды_код,Коды_апп)&amp;"",""))</f>
        <v/>
      </c>
      <c r="DD172" t="str">
        <f t="shared" si="308"/>
        <v/>
      </c>
      <c r="DE172" t="str" cm="1">
        <f t="array" ref="DE172">IF(TRIM(DD172&amp;"")="","",IFERROR(TRIM(INDEX(_xlfn.TEXTSPLIT(DD172&amp;";;;",";"),1)),""))</f>
        <v/>
      </c>
      <c r="DF172" t="str" cm="1">
        <f t="array" ref="DF172">IF(TRIM(DD172&amp;"")="","",IFERROR(TRIM(INDEX(_xlfn.TEXTSPLIT(DD172&amp;";;;",";"),2)),""))</f>
        <v/>
      </c>
      <c r="DG172" t="str" cm="1">
        <f t="array" ref="DG172">IF(TRIM(DD172&amp;"")="","",IFERROR(TRIM(INDEX(_xlfn.TEXTSPLIT(DD172&amp;";;;",";"),3)),""))</f>
        <v/>
      </c>
      <c r="DH172">
        <f t="shared" si="309"/>
        <v>0</v>
      </c>
      <c r="DI172" t="str">
        <f>IF(B172="","",_xlfn.LET(_xlpm.t,LOWER(AZ172&amp;""),IF(ISNUMBER(SEARCH("dim",_xlpm.t)),"DIM",IF(ISNUMBER(SEARCH("dali",_xlpm.t)),"DALI",IF(OR(ISNUMBER(SEARCH("relay",_xlpm.t)),ISNUMBER(SEARCH("реле",_xlpm.t))),"Relay",IF(ISNUMBER(SEARCH("кнопк",_xlpm.t)),"",IFERROR(_xlfn.XLOOKUP(BC172,Коды_код,Коды_упр)&amp;"","")))))))</f>
        <v/>
      </c>
      <c r="DJ172" t="str">
        <f t="shared" si="310"/>
        <v/>
      </c>
      <c r="DK172">
        <f>IF(B172="","",_xlfn.LET(_xlpm.ig,IF(N(CX172)&gt;0,N(CX172),N(CI172)+IF(AJ172="вручную",0,N(CJ172))),_xlpm.n0,IFERROR(VLOOKUP(_xlpm.ig,Автомат_номиналы,2,TRUE),0),_xlpm.mn,MAX(DB172,IF(AJ172="вручную",0,N(CM172))),MAX(_xlpm.n0,_xlpm.mn,IF(DH172=1,Мин_автомат_БП,0))))</f>
        <v>16</v>
      </c>
      <c r="DL172">
        <f t="shared" si="311"/>
        <v>1</v>
      </c>
      <c r="DM172" t="str">
        <f t="shared" si="312"/>
        <v>2P</v>
      </c>
      <c r="DN172" t="str">
        <f>_xlfn.LET(_xlpm.cc,UPPER(TRIM(IFERROR(_xlfn.XLOOKUP(BC172,Коды_код,Коды_хар)&amp;"",""))),IF(OR(_xlpm.cc="B",_xlpm.cc="В"),"B",IF(_xlpm.cc="D","D","С")))</f>
        <v>С</v>
      </c>
      <c r="DO172" t="str">
        <f t="shared" si="313"/>
        <v>2P С16А 30мА</v>
      </c>
      <c r="DP172">
        <f t="shared" si="314"/>
        <v>16</v>
      </c>
      <c r="DQ172" t="str">
        <f t="shared" si="315"/>
        <v>2P С16А 30мА</v>
      </c>
      <c r="DR172" cm="1">
        <f t="array" ref="DR172">IF(DQ172="","",_xlfn.LET(_xlpm.t,SUBSTITUTE(SUBSTITUTE(SUBSTITUTE(UPPER(DQ172),"С","C"),"А","A"),"В","B"),_xlpm.tk,_xlfn.TEXTSPLIT(_xlpm.t," "),_xlpm.f,_xlfn._xlws.FILTER(_xlpm.tk,ISNUMBER(--MID(_xlpm.tk,2,1))*ISNUMBER(SEARCH(LEFT(_xlpm.tk,1)&amp;"#","B#C#D#"))*(LEN(_xlpm.tk)&gt;1),""),_xlpm.x,INDEX(_xlpm.f,1),IFERROR(--SUBSTITUTE(MID(_xlpm.x,2,9),"A",""),IFERROR(--SUBSTITUTE(INDEX(_xlfn._xlws.FILTER(_xlpm.tk,ISNUMBER(--SUBSTITUTE(_xlpm.tk,"A","")),""),1),"A",""),""))))</f>
        <v>16</v>
      </c>
      <c r="DS172" t="str">
        <f t="shared" si="316"/>
        <v>ok</v>
      </c>
      <c r="DT172">
        <f t="shared" si="317"/>
        <v>16</v>
      </c>
      <c r="DU172" t="str">
        <f t="shared" si="318"/>
        <v>2P С16А 30мА</v>
      </c>
      <c r="DV172">
        <f t="shared" si="319"/>
        <v>30</v>
      </c>
      <c r="DW172">
        <f t="shared" si="320"/>
        <v>1</v>
      </c>
      <c r="DX172">
        <f t="shared" si="321"/>
        <v>0</v>
      </c>
      <c r="DY172">
        <f t="shared" si="322"/>
        <v>2.4613353581241939</v>
      </c>
      <c r="DZ172">
        <f t="shared" si="323"/>
        <v>1</v>
      </c>
      <c r="EA172">
        <f>IF(ISNUMBER(AP172),AP172,К_прокл)</f>
        <v>1</v>
      </c>
      <c r="EB172">
        <f t="shared" si="324"/>
        <v>2</v>
      </c>
      <c r="EC172">
        <f>IFERROR(N(VLOOKUP(BZ172,Кабель_обозначение,3,FALSE)),1)</f>
        <v>1</v>
      </c>
      <c r="ED172">
        <f>IFERROR(N(_xlfn.XLOOKUP(A172,Щиты[Щит],Щиты[ΔU до шин, %])),0)</f>
        <v>1.57</v>
      </c>
      <c r="EE172" t="str">
        <f>IFERROR(_xlfn.XLOOKUP(A172,Щиты[Щит],Щиты[Zпетли на шинах, Ом]),"")</f>
        <v/>
      </c>
      <c r="EF172">
        <f>IFERROR(N(_xlfn.XLOOKUP(A172,Щиты[Щит],Щиты[ΔU до шин (подбор), %])),0)</f>
        <v>2.5</v>
      </c>
      <c r="EG172" t="str">
        <f>IFERROR(_xlfn.XLOOKUP(A172,Щиты[Щит],Щиты[Zпетли на шинах (подбор), Ом]),"")</f>
        <v/>
      </c>
      <c r="EH172" t="str">
        <f t="shared" si="325"/>
        <v/>
      </c>
      <c r="EI172">
        <f t="shared" si="326"/>
        <v>55</v>
      </c>
      <c r="EJ172">
        <f t="shared" si="327"/>
        <v>2</v>
      </c>
      <c r="EK172">
        <f t="shared" si="328"/>
        <v>0.31</v>
      </c>
      <c r="EL172" s="6">
        <f>IF(B172="","",IF(BV172=1,dU_LED,IF(IFERROR(_xlfn.XLOOKUP(BC172,Коды_код,Коды_уго),"")="Светильник",3,4)+IF(Методика="нормы 2026",MIN(0.5,MAX(0,N(P172)-100)*0.005),0)))</f>
        <v>4</v>
      </c>
      <c r="EM172" cm="1">
        <f t="array" ref="EM172">IF(OR(B172="",BZ172="",EC172&lt;&gt;1),"",_xlfn.LET(_xlpm.sz,Iдоп_S,_xlpm.t_,CHOOSE(EB172,Iдоп_1ж,Iдоп_2ж,Iдоп_3ж)*DZ172*EA172,_xlpm.dcx,BV172=1,_xlpm.inn,IF(_xlpm.dcx,N(O172),N(DT172)),_xlpm.smin,MAX(1.5,CC172),_xlpm.L_,N(P172)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172)/N(BU172)*100,999),IFERROR(N(EJ172)*(_xlpm.rho*_xlpm.L_/_xlpm.sz*N(CE172)+_xlpm.xx*_xlpm.L_*N(EK172)/1000)*N(O172)/((Uн_лин/SQRT(3))*1000)*100,999)),_xlpm.kz,IF(OR(_xlpm.dcx,DW172=1,NOT(ISNUMBER(EG172)),_xlpm.L_=0,_xlpm.inn=0),1,IFERROR(--(c_min*(Uн_лин*1000/SQRT(3))/(EG172+2*ρкз_Cu*_xlpm.L_/_xlpm.sz)&gt;=HT172*_xlpm.inn),0)),_xlpm.ok,IFERROR((_xlpm.sz&gt;=_xlpm.smin)*(_xlpm.t_&gt;=_xlpm.inn)*IF(_xlpm.L_&gt;0,(_xlpm.du_+IF(_xlpm.dcx,0,EF172)&lt;=EL172+0.00001),1)*_xlpm.kz,0),_xlpm.r_,_xlfn._xlws.FILTER(_xlpm.sz,_xlpm.ok,"не подобрано"),INDEX(_xlpm.r_,1)))</f>
        <v>2.5</v>
      </c>
      <c r="EN172">
        <f t="shared" si="329"/>
        <v>2.5</v>
      </c>
      <c r="EO172" cm="1">
        <f t="array" ref="EO172">IF(OR(B172="",BZ172="",EC172&lt;&gt;1),"",_xlfn.LET(_xlpm.sz,Iдоп_S,_xlpm.t_,CHOOSE(EB172,Iдоп_1ж,Iдоп_2ж,Iдоп_3ж)*DZ172*EA172,_xlpm.ok,IFERROR((_xlpm.sz&gt;=MAX(1.5,CC172))*(_xlpm.t_&gt;=N(DT172)),0),_xlpm.r_,_xlfn._xlws.FILTER(_xlpm.sz,_xlpm.ok,""),INDEX(_xlpm.r_,1)))</f>
        <v>1.5</v>
      </c>
      <c r="EP172" s="6" cm="1">
        <f t="array" ref="EP172">IFERROR(ROUNDUP(N(EJ172)*(_xlfn.XLOOKUP(EO172,INDEX(Кабель_сопротивление,0,1),INDEX(Кабель_сопротивление,0,3))*N(P172)/EO172*N(CE172)+_xlfn.XLOOKUP(EO172,INDEX(Кабель_сопротивление,0,1),INDEX(Кабель_сопротивление,0,2))*N(P172)*N(EK172)/1000)*N(O172)/((Uн_лин/SQRT(3))*1000)*100,2),"")</f>
        <v>2.3199999999999998</v>
      </c>
      <c r="EQ172">
        <f>IFERROR(2*ρкз_Cu*N(P172)/EO172,"")</f>
        <v>2.6650666666666667</v>
      </c>
      <c r="ER172">
        <f>IFERROR(VLOOKUP(EN172,Кабель_сопротивление,3,FALSE),"")</f>
        <v>2.2499999999999999E-2</v>
      </c>
      <c r="ES172">
        <f>IFERROR(VLOOKUP(EN172,Кабель_сопротивление,2,FALSE),"")</f>
        <v>0.1</v>
      </c>
      <c r="ET172">
        <f t="shared" si="330"/>
        <v>0</v>
      </c>
      <c r="EU172">
        <f t="shared" si="331"/>
        <v>21</v>
      </c>
      <c r="EV172">
        <f t="shared" si="332"/>
        <v>3.2103492436256835</v>
      </c>
      <c r="EW172" s="6">
        <f>IFERROR(ROUNDUP(EV172/IF(BV172=1,BU172,(Uн_лин/SQRT(3))*1000)*100,2),"")</f>
        <v>1.4</v>
      </c>
      <c r="EX172" t="str">
        <f>IFERROR(VLOOKUP(BZ172,Кабель_обозначение,2,FALSE),"")</f>
        <v>ВВГнг(А)-LS</v>
      </c>
      <c r="EY172" t="str">
        <f t="shared" si="333"/>
        <v>ВВГнг(А)-LS (3х2,5)</v>
      </c>
      <c r="EZ172" t="str">
        <f t="shared" si="334"/>
        <v>ВВГнг(А)-LS (3х2,5)
L=76-1,4%</v>
      </c>
      <c r="FA172">
        <f>IFERROR(2*ρкз_Cu*P172/EN172,"")</f>
        <v>1.59904</v>
      </c>
      <c r="FB172">
        <f t="shared" si="335"/>
        <v>0.53200000000000003</v>
      </c>
      <c r="FC172" s="6" t="str">
        <f>IFERROR(IF(OR(B172="",BV172=1,NOT(ISNUMBER(EN172)),N(P172)=0),"",_xlfn.XLOOKUP(A172,Щиты[Щит],Щиты[Zпетли на шинах, Ом])+FA172),"")</f>
        <v/>
      </c>
      <c r="FD172" s="6" t="str">
        <f>IF(ISNUMBER(FC172),c_min*(Uн_лин*1000/SQRT(3))/FC172,"")</f>
        <v/>
      </c>
      <c r="FE172" s="6" t="str">
        <f>IFERROR(IF(OR(B172="",NOT(ISNUMBER(EN172))),"",1.05*(Uн_лин*1000/SQRT(3))/(_xlfn.XLOOKUP(A172,Щиты[Щит],Щиты[Zmax на шинах, Ом])+FB172)/1000),"")</f>
        <v/>
      </c>
      <c r="FF172" s="6" t="str">
        <f>IF(B172="","",IF(ISNUMBER(AC172),"Сил",IF(IFERROR(_xlfn.XLOOKUP(BC172,Коды_код,Коды_группа)&amp;"","")="","Быт",_xlfn.XLOOKUP(BC172,Коды_код,Коды_группа)&amp;"")))</f>
        <v>Быт</v>
      </c>
      <c r="FG172" s="6" t="str">
        <f t="shared" si="336"/>
        <v>Быт</v>
      </c>
      <c r="FH172" s="6">
        <f>IF(FG172="Щит","щит",IF(FG172="","",IF(FG172="Быт",IFERROR(_xlfn.XLOOKUP(A172,Щиты[Щит],Щиты[Кс быт]),1),IF(FG172="Сил",IF(ISNUMBER(AC172),AC172,IF(Методика="нормы 2026",IFERROR(_xlfn.XLOOKUP(A172,Щиты[Щит],Щиты[Кс силовых (табл. 7.5)]),1),1)),IF(OR(FG172="Пост",FG172="Отоп"),1,IF(FG172="ВНГ",0.7,0))))))</f>
        <v>0.8</v>
      </c>
      <c r="FI172">
        <f>IF(FG172="","",IF(AND(BP172=1,TRIM(AE172&amp;"")=""),IF(COUNTIFS(Линии[Щит],A172,Линии[Секция (1/2/3)],"&gt;=2")&gt;0,MIN(3,MAX(1,IFERROR(--BD172,1))),1),IFERROR(MIN(3,MAX(1,INT(--AE172))),1)))</f>
        <v>1</v>
      </c>
      <c r="FJ172">
        <f t="shared" si="337"/>
        <v>0.54</v>
      </c>
      <c r="FK172">
        <f t="shared" si="338"/>
        <v>0.54</v>
      </c>
      <c r="FL172">
        <f t="shared" si="339"/>
        <v>0</v>
      </c>
      <c r="FM172">
        <f t="shared" si="340"/>
        <v>0</v>
      </c>
      <c r="FN172">
        <f t="shared" si="341"/>
        <v>0</v>
      </c>
      <c r="FO172">
        <f t="shared" si="342"/>
        <v>0</v>
      </c>
      <c r="FP172">
        <f t="shared" si="343"/>
        <v>0.54</v>
      </c>
      <c r="FQ172">
        <f t="shared" si="344"/>
        <v>0.54</v>
      </c>
      <c r="FR172">
        <f t="shared" si="345"/>
        <v>0.51300000000000001</v>
      </c>
      <c r="FS172">
        <f>IF(CG172=1,IF(AND(CH172=1,CW172=1),0,IF(AND(CS172&lt;&gt;"",CS172=BA172,CW172=1),SUMIFS(Линии[_Р линии, кВт],Линии[_блок УЗО],BA172,Линии[Щит],A172),N(BS172)+IF(AJ172="вручную",0,N(CK172)))),0)</f>
        <v>0.54</v>
      </c>
      <c r="FT172" t="str">
        <f t="shared" si="346"/>
        <v>L2</v>
      </c>
      <c r="FU172" t="str">
        <f>IF(B172="","",IF(CG172=0,IF(BA172=1,"",FW171),IF(AND(CH172=1,CW172=1,CS172&lt;&gt;""),IFERROR(_xlfn.XLOOKUP(CS172,Линии[_n],Линии[_фаза итог]),"L1"),IF(OR(N(DL172)&gt;=3,N(BX172)&gt;=3),"L1,L2,L3",IFERROR(_xlfn.TEXTBEFORE(_xlfn.TEXTAFTER(_xlfn.XLOOKUP(A172,Щиты[Щит],Щиты[_фазы авто]),";"&amp;BA172&amp;":"),";"),"L1")))))</f>
        <v>L1</v>
      </c>
      <c r="FV172" t="str">
        <f t="shared" si="347"/>
        <v>L2</v>
      </c>
      <c r="FW172" t="str">
        <f t="shared" si="348"/>
        <v>L2</v>
      </c>
      <c r="FX172" cm="1">
        <f t="array" ref="FX172">IFERROR(IF(CD172=2,_xlfn.IFS(BX172=3,VLOOKUP(BS172,Справочная_двигатели,3,FALSE),BX172=1,VLOOKUP(BS172,Справочная_двигатели,5,TRUE)),0),0)</f>
        <v>0</v>
      </c>
      <c r="FY172">
        <f>IFERROR(IF(CD172=3,VLOOKUP(BS172,Справочная_ЛЭД,2,TRUE),0),0)</f>
        <v>0</v>
      </c>
      <c r="FZ172" s="6">
        <f t="shared" si="349"/>
        <v>0</v>
      </c>
      <c r="GA172" t="str">
        <f>IF(B172="","",IF(TRIM(AH172&amp;"")&lt;&gt;"",IF(LOWER(TRIM(AH172&amp;""))="да","да","нет"),IF(IFERROR(_xlfn.XLOOKUP(BC172,Коды_код,Коды_пожарная),"")="да","да","нет")))</f>
        <v>нет</v>
      </c>
      <c r="GB172" t="str">
        <f t="shared" si="350"/>
        <v/>
      </c>
      <c r="GC172" t="str">
        <f t="shared" si="351"/>
        <v>основная</v>
      </c>
      <c r="GD172">
        <f>IF(AND(BP172=1,TRIM(AE172&amp;"")=""),IF(COUNTIFS(Линии[Щит],A172,Линии[Секция (1/2/3)],"&gt;=2")&gt;0,MIN(3,MAX(1,IFERROR(--BD172,1))),1),IFERROR(MIN(3,MAX(1,INT(--AE172))),1))</f>
        <v>1</v>
      </c>
      <c r="GE172" t="str" cm="1">
        <f t="array" ref="GE172">IF(B172="","",_xlfn.LET(_xlpm.t,IFERROR(_xlfn.XLOOKUP(1,(Шины[Шина]=GC172)*(((Шины[Щит]=A172)+(Шины[Щит]=""))&gt;0),Шины[Тип]),"")&amp;"",IF(_xlpm.t&lt;&gt;"",_xlpm.t,IF(ISNUMBER(SEARCH("ИБП",GC172)),"ИБП",IF(ISNUMBER(SEARCH("ДГУ",GC172)),"ДГУ","Ввод "&amp;GD172)))))</f>
        <v>Ввод 1</v>
      </c>
      <c r="GF172" t="str">
        <f t="shared" si="352"/>
        <v>Ввод 1</v>
      </c>
      <c r="GG172" t="str">
        <f>IF(BP172=0,"",IF(TRIM(AG172&amp;"")&lt;&gt;"",TRIM(AG172&amp;""),IF(OR(GE172="ИБП",GE172="ДГУ"),"I особая",_xlfn.XLOOKUP(A172,Щиты[Щит],Щиты[Категория шины «Ввод»],"III"))))</f>
        <v/>
      </c>
      <c r="GH172" t="str">
        <f>IF(A172="","",_xlfn.XLOOKUP(A172,Щиты[Щит],Щиты[Путь],""))</f>
        <v>|ГРЩ-ЖД|ЩР-001|</v>
      </c>
      <c r="GI172" t="str">
        <f>IF(B172="","",IF(AI172&lt;&gt;"",AI172,IF(IFERROR(_xlfn.XLOOKUP(BC172,Коды_код,Коды_вид)&amp;"","")="","Прочее",_xlfn.XLOOKUP(BC172,Коды_код,Коды_вид)&amp;"")))</f>
        <v>Розеточная сеть и бытовые приборы</v>
      </c>
      <c r="GJ172">
        <f>IF(BM172="","",INT((BM172-1)/Столбцов_на_лист)+1)</f>
        <v>2</v>
      </c>
      <c r="GK172" t="str">
        <f t="shared" si="353"/>
        <v>ВВГнг(А)-LS (3х2,5) L=76-1,4%</v>
      </c>
      <c r="GL172">
        <f t="shared" si="354"/>
        <v>0.54</v>
      </c>
      <c r="GM172">
        <f t="shared" si="355"/>
        <v>2.4699999999999998</v>
      </c>
      <c r="GN172">
        <f t="shared" si="356"/>
        <v>1</v>
      </c>
      <c r="GO172">
        <f t="shared" si="357"/>
        <v>0</v>
      </c>
      <c r="GP172">
        <f t="shared" si="358"/>
        <v>1</v>
      </c>
      <c r="GQ172">
        <f>IF(BM172="","",IF(AND(CG172=1,GP172=1),COUNTIFS(A$3:A172,A172,CG$3:CG172,1,GP$3:GP172,1),IF(OR(OR(BA172=1,A172&lt;&gt;A171),AJ172="вручную",GP172=0),"",IF(BA172=1,"",GR171))))</f>
        <v>18</v>
      </c>
      <c r="GR172">
        <f t="shared" si="359"/>
        <v>18</v>
      </c>
      <c r="GS172">
        <f>IF(B172="","",IFERROR(LOOKUP(INDEX(CHOOSE(EB172,Iдоп_1ж,Iдоп_2ж,Iдоп_3ж),MATCH(EN172,Iдоп_S,0))*DZ172*EA172,{6,10,16,20,25,32,40,50,63,80,100,125,160,200,250,315,400,500,630}),""))</f>
        <v>25</v>
      </c>
      <c r="GT172" t="str">
        <f t="shared" si="360"/>
        <v>QFD18</v>
      </c>
      <c r="GU172" t="str">
        <f t="shared" si="361"/>
        <v>QFD18</v>
      </c>
      <c r="GV172" t="str">
        <f t="shared" si="362"/>
        <v/>
      </c>
      <c r="GW172">
        <f t="shared" si="363"/>
        <v>0</v>
      </c>
      <c r="GX172" t="str">
        <f>IF(OR(B172="",DJ172=""),"",IFERROR(_xlfn.XLOOKUP(DJ172,Модули_умолч[Управление],Модули_умолч[Модель])&amp;"",""))</f>
        <v/>
      </c>
      <c r="GY172">
        <f>IF(DJ172="",1,IFERROR(MAX(0,N(_xlfn.XLOOKUP(DJ172,Модули_умолч[Управление],Модули_умолч[Каналов на линию]))),1))</f>
        <v>1</v>
      </c>
      <c r="GZ172" t="str">
        <f t="shared" si="364"/>
        <v/>
      </c>
      <c r="HA172" t="str">
        <f t="shared" si="365"/>
        <v/>
      </c>
      <c r="HB172" t="str">
        <f t="shared" si="366"/>
        <v/>
      </c>
      <c r="HC172">
        <f>IF(HB172="",0,IFERROR(N(VLOOKUP(HB172,Модули_спр,3,FALSE)),0))</f>
        <v>0</v>
      </c>
      <c r="HD172" t="str">
        <f t="shared" si="367"/>
        <v/>
      </c>
      <c r="HE172" t="str">
        <f t="shared" si="368"/>
        <v/>
      </c>
      <c r="HF172" t="str">
        <f>IF(OR(HE172="",HE172="-"),"",IFERROR(VLOOKUP(HE172,Модули_спр,2,FALSE),"R"))</f>
        <v/>
      </c>
      <c r="HG172" t="str">
        <f>IF(HF172="","",HF172&amp;"."&amp;COUNTIFS(A$3:A172,A172,HF$3:HF172,HF172))</f>
        <v/>
      </c>
      <c r="HH172" t="str">
        <f t="shared" si="369"/>
        <v/>
      </c>
      <c r="HI172" t="str">
        <f t="shared" si="370"/>
        <v/>
      </c>
      <c r="HJ172" t="str">
        <f t="shared" si="371"/>
        <v/>
      </c>
      <c r="HK172" t="str">
        <f t="shared" si="372"/>
        <v/>
      </c>
      <c r="HL172">
        <f t="shared" si="373"/>
        <v>1</v>
      </c>
      <c r="HM172" t="str">
        <f>IF(HL172=1,"XT"&amp;COUNTIFS(A$3:A172,A172,HL$3:HL172,1),"")</f>
        <v>XT18</v>
      </c>
      <c r="HN172" t="str">
        <f t="shared" si="374"/>
        <v/>
      </c>
      <c r="HO172" t="str">
        <f t="shared" si="375"/>
        <v>QFD18</v>
      </c>
      <c r="HP172" t="str">
        <f t="shared" si="376"/>
        <v/>
      </c>
      <c r="HQ172" t="str">
        <f t="shared" si="377"/>
        <v>ok</v>
      </c>
      <c r="HR172" t="str">
        <f>IF(OR(HJ172="",HH172=""),"",IF(HJ172+MAX(0,GY172-1)&gt;IFERROR(VLOOKUP(HI172,Модули_спр,3,FALSE),99),"ЛИШНИЙ КАНАЛ",IF(AND(AL172&lt;&gt;"=",GY172&gt;0,COUNTIFS(Линии[_модуль гр.],HH172,Линии[Канал (итог)],HJ172,Линии[Канал],"&lt;&gt;=",Линии[Щит],A172)&gt;1),"ДУБЛЬ КАНАЛА","")))</f>
        <v/>
      </c>
      <c r="HS172" s="6" t="str">
        <f t="shared" si="378"/>
        <v/>
      </c>
      <c r="HT172">
        <f t="shared" si="379"/>
        <v>10</v>
      </c>
      <c r="HU172" t="str">
        <f t="shared" si="380"/>
        <v/>
      </c>
      <c r="HV172">
        <f t="shared" si="381"/>
        <v>1.7445341432496777</v>
      </c>
      <c r="HW172">
        <f t="shared" si="382"/>
        <v>0</v>
      </c>
      <c r="HX172">
        <f t="shared" si="383"/>
        <v>0</v>
      </c>
      <c r="HY172">
        <f t="shared" si="384"/>
        <v>0</v>
      </c>
      <c r="HZ172">
        <f t="shared" si="385"/>
        <v>0</v>
      </c>
      <c r="IA172">
        <f t="shared" si="386"/>
        <v>0</v>
      </c>
      <c r="IB172">
        <f t="shared" si="387"/>
        <v>0</v>
      </c>
      <c r="IC172" t="str">
        <f t="shared" si="388"/>
        <v/>
      </c>
      <c r="ID172" t="str" cm="1">
        <f t="array" ref="ID172">IF(IC172="","",_xlfn.LET(_xlpm.tk,_xlfn.TEXTSPLIT(SUBSTITUTE(SUBSTITUTE(IC172,";"," "),"→"," ")," ",,TRUE),_xlpm.w_,_xlfn._xlws.FILTER(_xlpm.tk,ISNUMBER(--LEFT(_xlpm.tk,1))*((ISNUMBER(SEARCH("W",_xlpm.tk))+ISNUMBER(SEARCH("Вт",_xlpm.tk)))&gt;0),""),IFERROR(--SUBSTITUTE(SUBSTITUTE(UPPER(INDEX(_xlpm.w_,1)),"W",""),"ВТ",""),"")))</f>
        <v/>
      </c>
      <c r="IE172" t="str" cm="1">
        <f t="array" ref="IE172">IF(IC172="","",_xlfn.LET(_xlpm.tk,_xlfn.TEXTSPLIT(SUBSTITUTE(SUBSTITUTE(IC172,";"," "),"→"," ")," ",,TRUE),_xlpm.v_,_xlfn._xlws.FILTER(_xlpm.tk,ISNUMBER(--LEFT(_xlpm.tk,1))*((ISNUMBER(SEARCH("V",_xlpm.tk))+(RIGHT(UPPER(_xlpm.tk))="В"))&gt;0),""),IFERROR(--SUBSTITUTE(SUBSTITUTE(UPPER(INDEX(_xlpm.v_,1)),"V",""),"В",""),"")))</f>
        <v/>
      </c>
      <c r="IF172" s="6" t="str">
        <f>IF(OR(BV172=0,HI172="",HJ172=""),"",IFERROR(N(_xlfn.XLOOKUP(HI172,Каталог!$C$4:$C$500,Каталог!$Q$4:$Q$500)),""))</f>
        <v/>
      </c>
      <c r="IG172" s="6" t="str">
        <f>IF(N(IF172)=0,"",SUMIFS(Линии[Iр, А],Линии[Щит],A172,Линии[_модуль гр.],HH172,Линии[Канал (итог)],HJ172))</f>
        <v/>
      </c>
      <c r="IH172" t="str">
        <f>IF(AND(B172="",HO172=""),"",_xlfn.TEXTJOIN("; ",TRUE,IF(AND(B172&lt;&gt;"",FV172=""),"нет фазы",""),IF(AND(B172&lt;&gt;"",N(GL172)=0,FG172&lt;&gt;"Нет"),"нет мощности",""),IF(AND(HN172&lt;&gt;"",COUNTIFS(Линии[Щит],A172,Линии[Клемма (итог)],HN172)&gt;1),"дубль клеммы "&amp;HN172,""),IF(AND(HQ172&lt;&gt;"",HQ172&lt;&gt;"ok"),HQ172,""),IF(HR172&lt;&gt;"",HR172,""),IF(AND(N(CB172)&gt;=4,N(BX172)=1),CB172&amp;" жил на 1 фазе",""),IF(AND(BC172="R",CG172=1,IF(CS172&lt;&gt;"",N(CV172)&gt;30,OR(N(DA172)=0,N(DA172)&gt;30))),"розетка без дифзащиты до 30 мА",""),IF(AND(CG172=1,N(DA172)&gt;0,ISNUMBER(T172)),IF(T172&gt;N(DA172)/3,"ток утечки "&amp;FIXED(T172,1)&amp;" мА &gt; 1/3 уставки ("&amp;DA172&amp;" мА)",""),""),IF(AND(CH172=1,CS172=""),"«узо»: нет строки с УЗО выше (УЗО 2P 40А 30мА в «Аппаратах»)",""),IF(AND(CS172&lt;&gt;"",CS172=BA172),IF(CT172="","впишите номинал УЗО (УЗО 2P 40А 30мА)",IF(N(CT172)&lt;N(DT172),"УЗО "&amp;CT172&amp;" А &lt; автомата "&amp;DT172&amp;" А перед ним",IF(N(CT172)&lt;N(CX172),"УЗО "&amp;CT172&amp;" А &lt; тока блока "&amp;FIXED(CX172,1)&amp;" А",""))),""),IF(AND(CS172&lt;&gt;"",CS172=BA172,ISNUMBER(CY172)),IF(CY172&gt;N(CV172)/3,"ток утечки блока УЗО "&amp;FIXED(CY172,1)&amp;" мА &gt; 1/3 уставки ("&amp;CV172&amp;" мА)",""),""),IF(AND(CG172=1,N(BV172)+N(IB172)&gt;0,IC172=""),"линии до 50 В без БП: впишите в «Аппараты» (БП 24V 480W)",""),IF(AND(CG172=1,ISNUMBER(ID172),ISNUMBER(U172)),IF(U172&gt;ID172,"БП "&amp;ID172&amp;" Вт &lt; нужно "&amp;U172&amp;" Вт (×"&amp;Запас_БП&amp;")",""),""),IF(AND(CG172=1,ISNUMBER(IE172),N(BV172)=1),IF(IE172&lt;&gt;N(BU172),"БП на "&amp;IE172&amp;" В, линия "&amp;BU172&amp;" В",""),""),IF(AND(N(IF172)&gt;0,N(IG172)&gt;N(IF172)),HH172&amp;" канал "&amp;HJ172&amp;": "&amp;FIXED(IG172,1)&amp;" А &gt; "&amp;IF172&amp;" А",""),IFERROR(IF(AND(ISNUMBER(Q172),Q172&gt;EL172),"потери "&amp;FIXED(Q172,1)&amp;" % &gt; "&amp;EL172&amp;" %",""),""),IFERROR(IF(LEFT(HU172,4)="мало","Iкз мало — отключение &gt; 0,4 с",""),""),IF(AND(B172&lt;&gt;"",BM172=""),"не на схеме",""),IF(AND(CG172=0,B172&lt;&gt;"",FV172&lt;&gt;"",IF(BA172=1,"",FW171)&lt;&gt;"",FV172&lt;&gt;IF(BA172=1,"",FW171)),"фаза не как у автомата группы ("&amp;IF(BA172=1,"",FW171)&amp;")","")))</f>
        <v/>
      </c>
      <c r="II172" s="6">
        <f>IF(OR(CG172=0,DQ172=""),"",_xlfn.LET(_xlpm.t,IFERROR(_xlfn.XLOOKUP(DQ172,Каталог!$U$4:$U$500,Каталог!$G$4:$G$500),""),_xlpm.k,SEARCH("кА",_xlpm.t),IFERROR(--TRIM(RIGHT(SUBSTITUTE(MID(_xlpm.t,MAX(1,_xlpm.k-4),_xlpm.k-MAX(1,_xlpm.k-4))," ",REPT(" ",9)),5)),"")))</f>
        <v>6</v>
      </c>
      <c r="IJ172" t="str">
        <f>IF(OR(II172="",CG172=0),"",IF(_xlfn.XLOOKUP(A172,Щиты[Щит],Щиты[Iкз max на шинах, кА],"")="","",IF(II172&lt;_xlfn.XLOOKUP(A172,Щиты[Щит],Щиты[Iкз max на шинах, кА]),"Icu "&amp;II172&amp;" кА &lt; Iкз max","ok")))</f>
        <v/>
      </c>
      <c r="IK172" t="str">
        <f t="shared" si="389"/>
        <v/>
      </c>
      <c r="IL172" t="str">
        <f t="shared" si="390"/>
        <v>QFD18</v>
      </c>
      <c r="IM172" t="str">
        <f t="shared" si="391"/>
        <v>QFD18|кабель ВВГнг(А)-LS (3х2,5) → Розеточная группа, пом. 004Б</v>
      </c>
      <c r="IN172" t="str" cm="1">
        <f t="array" ref="IN172">IF(IM172="","",_xlfn.LET(_xlpm.nd,_xlfn.TEXTSPLIT(IM172,"|"),IF(COLUMNS(_xlpm.nd)&gt;1,A172&amp;"¦"&amp;INDEX(_xlpm.nd,1)&amp;"¦"&amp;INDEX(_xlpm.nd,2),"")))</f>
        <v>ЩР-001¦QFD18¦кабель ВВГнг(А)-LS (3х2,5) → Розеточная группа, пом. 004Б</v>
      </c>
      <c r="IO172" t="str">
        <f t="shared" si="392"/>
        <v>R.00.004Б.1¦Розеточная группа, пом. 004Б</v>
      </c>
      <c r="IP172" t="str" cm="1">
        <f t="array" ref="IP172">IF(IM172="","",_xlfn.LET(_xlpm.nd,_xlfn.TEXTSPLIT(IM172,"|"),IF(COLUMNS(_xlpm.nd)&gt;2,A172&amp;"¦"&amp;INDEX(_xlpm.nd,2)&amp;"¦"&amp;INDEX(_xlpm.nd,3),"")))</f>
        <v/>
      </c>
      <c r="IQ172" t="str">
        <f t="shared" si="393"/>
        <v/>
      </c>
      <c r="IR172" t="str" cm="1">
        <f t="array" ref="IR172">IF(IM172="","",_xlfn.LET(_xlpm.nd,_xlfn.TEXTSPLIT(IM172,"|"),IF(COLUMNS(_xlpm.nd)&gt;3,A172&amp;"¦"&amp;INDEX(_xlpm.nd,3)&amp;"¦"&amp;INDEX(_xlpm.nd,4),"")))</f>
        <v/>
      </c>
      <c r="IS172" t="str">
        <f t="shared" si="394"/>
        <v/>
      </c>
      <c r="IT172" t="str" cm="1">
        <f t="array" ref="IT172">IF(IM172="","",_xlfn.LET(_xlpm.nd,_xlfn.TEXTSPLIT(IM172,"|"),IF(COLUMNS(_xlpm.nd)&gt;4,A172&amp;"¦"&amp;INDEX(_xlpm.nd,4)&amp;"¦"&amp;INDEX(_xlpm.nd,5),"")))</f>
        <v/>
      </c>
      <c r="IU172" t="str">
        <f t="shared" si="395"/>
        <v/>
      </c>
      <c r="IV172" t="str" cm="1">
        <f t="array" ref="IV172">IF(IM172="","",_xlfn.LET(_xlpm.nd,_xlfn.TEXTSPLIT(IM172,"|"),IF(COLUMNS(_xlpm.nd)&gt;5,A172&amp;"¦"&amp;INDEX(_xlpm.nd,5)&amp;"¦"&amp;INDEX(_xlpm.nd,6),"")))</f>
        <v/>
      </c>
      <c r="IW172" t="str">
        <f t="shared" si="396"/>
        <v/>
      </c>
      <c r="IX172" t="str" cm="1">
        <f t="array" ref="IX172">IF(IM172="","",_xlfn.LET(_xlpm.nd,_xlfn.TEXTSPLIT(IM172,"|"),IF(COLUMNS(_xlpm.nd)&gt;6,A172&amp;"¦"&amp;INDEX(_xlpm.nd,6)&amp;"¦"&amp;INDEX(_xlpm.nd,7),"")))</f>
        <v/>
      </c>
      <c r="IY172" t="str">
        <f t="shared" si="397"/>
        <v/>
      </c>
      <c r="IZ172" t="str">
        <f t="shared" si="398"/>
        <v/>
      </c>
      <c r="JA172" t="str">
        <f t="shared" si="399"/>
        <v>QFD18</v>
      </c>
      <c r="JB172">
        <f t="shared" si="400"/>
        <v>0</v>
      </c>
      <c r="JC172">
        <f t="shared" si="401"/>
        <v>1</v>
      </c>
      <c r="JD172" t="str">
        <f t="shared" si="402"/>
        <v/>
      </c>
      <c r="JE172" t="str">
        <f t="shared" si="403"/>
        <v/>
      </c>
      <c r="JF172" t="str">
        <f t="shared" si="404"/>
        <v/>
      </c>
      <c r="JG172" t="str">
        <f t="shared" si="405"/>
        <v/>
      </c>
      <c r="JH172" t="str">
        <f>IF(B172="","",IFERROR(_xlfn.XLOOKUP(B172,Коды_код,Коды_уго),IFERROR(_xlfn.XLOOKUP(BC172,Коды_код,Коды_уго),IFERROR(_xlfn.XLOOKUP(LEFT(BC172,2),Коды_код,Коды_уго),""))))</f>
        <v>Розетка</v>
      </c>
      <c r="JI172" t="str">
        <f>IF(B172="","",IF(OR(JH172="",JH172=0),"BOX",IFERROR(IF(VLOOKUP(JH172,УГО_блоки,3,FALSE)&amp;""&lt;&gt;"",VLOOKUP(JH172,УГО_блоки,3,FALSE),VLOOKUP(JH172,УГО_блоки,2,FALSE)),JH172)))</f>
        <v>SOCKET</v>
      </c>
      <c r="JJ172">
        <f t="shared" si="406"/>
        <v>1</v>
      </c>
      <c r="JK172" t="str">
        <f>IF(DQ172="","",IF(COUNTIF(DQ$3:DQ172,DQ172)=1,MAX(JK$2:JK171)+1,""))</f>
        <v/>
      </c>
      <c r="JL172" t="str">
        <f>IF(DE172="","",IF(COUNTIF(DE$3:DE172,DE172)+COUNTIF(DF$2:DF171,DE172)+COUNTIF(DG$2:DG171,DE172)=1,MAX(JL$2:JN171)+1,""))</f>
        <v/>
      </c>
      <c r="JM172" t="str">
        <f>IF(DF172="","",IF(COUNTIF(DE$3:DE172,DF172)+COUNTIF(DF$3:DF172,DF172)+COUNTIF(DG$2:DG171,DF172)=1,MAX(JL$2:JN171,JL172)+1,""))</f>
        <v/>
      </c>
      <c r="JN172" t="str">
        <f>IF(DG172="","",IF(COUNTIF(DE$3:DE172,DG172)+COUNTIF(DF$3:DF172,DG172)+COUNTIF(DG$3:DG172,DG172)=1,MAX(JL$2:JN171,JL172,JM172)+1,""))</f>
        <v/>
      </c>
      <c r="JO172" t="str">
        <f t="shared" si="407"/>
        <v>3х2,5</v>
      </c>
      <c r="JP172" t="str">
        <f>IF(JO172="","",IF(COUNTIF(JO$3:JO172,JO172)=1,MAX(JP$2:JP171)+1,""))</f>
        <v/>
      </c>
      <c r="JQ172" t="str">
        <f>IF(HG172="","",COUNTIF(HG$3:HG172,"?*"))</f>
        <v/>
      </c>
      <c r="JR172" t="str">
        <f>IF(OR(HG172="",HI172=""),"",IF(COUNTIFS(HG$3:HG172,"?*",HI$3:HI172,HI172)=1,MAX(JR$2:JR171)+1,""))</f>
        <v/>
      </c>
      <c r="JS172">
        <f t="shared" si="408"/>
        <v>0</v>
      </c>
      <c r="JT172">
        <f>IF(B172="","",COUNTIF(B$3:B172,"?*"))</f>
        <v>170</v>
      </c>
      <c r="JU172">
        <f>IF(HL172&lt;&gt;1,0,_xlfn.LET(_xlpm.k,MAX(IFERROR(--_xlfn.XLOOKUP(B172,Коды_код,Коды_3L),0),IFERROR(--_xlfn.XLOOKUP(BC172,Коды_код,Коды_3L),0),IFERROR(--_xlfn.XLOOKUP(LEFT(BC172,2),Коды_код,Коды_3L),0)),IF(_xlpm.k&gt;0,_xlpm.k,IF(IFERROR(--LEFT(SUBSTITUTE(JO172,"x","х"),FIND("х",SUBSTITUTE(JO172,"x","х"))-1),3)&gt;3,Каталог!$S$9,1))))</f>
        <v>1</v>
      </c>
      <c r="JV172">
        <f t="shared" si="409"/>
        <v>0</v>
      </c>
      <c r="JW172" t="str">
        <f t="shared" si="410"/>
        <v>авто</v>
      </c>
      <c r="JX172">
        <f t="shared" si="411"/>
        <v>30</v>
      </c>
      <c r="JY172">
        <f t="shared" si="412"/>
        <v>1</v>
      </c>
      <c r="JZ172">
        <f t="shared" si="413"/>
        <v>1</v>
      </c>
    </row>
    <row r="173" spans="1:286" x14ac:dyDescent="0.3">
      <c r="A173" t="s">
        <v>753</v>
      </c>
      <c r="B173" t="s">
        <v>1481</v>
      </c>
      <c r="C173" t="str">
        <f>Линии[[#This Row],[_авто наименование]]</f>
        <v>Розеточная группа, пом. 005Б</v>
      </c>
      <c r="D173">
        <v>4</v>
      </c>
      <c r="E173">
        <v>0.48</v>
      </c>
      <c r="G173">
        <v>16</v>
      </c>
      <c r="H173" t="str">
        <f>Линии[[#This Row],[_авто управление]]</f>
        <v/>
      </c>
      <c r="I173" t="str">
        <f>Линии[[#This Row],[_авто аппараты]]</f>
        <v/>
      </c>
      <c r="J173">
        <v>2.5</v>
      </c>
      <c r="K173">
        <v>50</v>
      </c>
      <c r="L173">
        <v>3</v>
      </c>
      <c r="M173" t="s">
        <v>484</v>
      </c>
      <c r="N173" t="str">
        <f t="shared" si="276"/>
        <v/>
      </c>
      <c r="O173" s="6" cm="1">
        <f t="array" ref="O173">IF(B173="","",IF(BH173&lt;&gt;"",IFERROR(_xlfn.XLOOKUP(BH173,Щиты[Щит],Щиты[Iр, А]),""),IF(BP173=1,IF(OR(N(_xlfn.XLOOKUP(A173,Щиты[Щит],Щиты[Вводов],1))&lt;=1,LOWER(TRIM(_xlfn.XLOOKUP(A173,Щиты[Щит],Щиты[АВР],"")&amp;""))="да"),IFERROR(_xlfn.XLOOKUP(A173,Щиты[Щит],Щиты[Iр, А]),""),IFERROR(N(BS173)*_xlfn.XLOOKUP(A173,Щиты[Щит],Щиты[Кс итог])/(SQRT(3)*Uн_лин*_xlfn.XLOOKUP(A173,Щиты[Щит],Щиты[cos φ])),"")),IF(BV173=1,IFERROR(BS173*1000/BU173,""),IFERROR(_xlfn.IFS(BX173=1,BS173/((Uн_лин/SQRT(3))*CE173),BX173=3,BS173/(SQRT(3)*Uн_лин*CE173)),"")))))</f>
        <v>2.1878536516659501</v>
      </c>
      <c r="P173" s="7">
        <f>IF(B173="","",IFERROR(IF(VLOOKUP(BC173,Потребители_обозначение,4,FALSE)=1,VLOOKUP(BC173,Потребители_обозначение,3,FALSE)*(MAX(1,N(D173))*2-1)+EI173+VLOOKUP(BE173,Этаж_обозначение,3,FALSE)+VLOOKUP(BE173,Этаж_обозначение,4,FALSE),VLOOKUP(BC173,Потребители_обозначение,3,FALSE)*(MAX(1,N(D173))*2-1)+EI173),EI173))</f>
        <v>71</v>
      </c>
      <c r="Q173" s="6">
        <f t="shared" si="277"/>
        <v>2.73</v>
      </c>
      <c r="R173" t="str">
        <f t="shared" si="278"/>
        <v>ВВГнг(А)-LS (3х2,5)</v>
      </c>
      <c r="S173" t="str">
        <f>IF(BM173="","",IF(BN173="вводной узел","узел ","")&amp;"л."&amp;(INT((BM173-1)/Столбцов_на_лист)+1)&amp;" / "&amp;(MOD(BM173-1,Столбцов_на_лист)+1))</f>
        <v>л.2 / 11</v>
      </c>
      <c r="T173" s="119">
        <f t="shared" si="279"/>
        <v>1.6</v>
      </c>
      <c r="U173" s="7" t="str">
        <f>IF(OR(CG173=0,N(BV173)+N(IB173)=0),"",ROUNDUP(Запас_БП*(N(HY173)+N(HZ173)),0))</f>
        <v/>
      </c>
      <c r="V173" s="119" t="str">
        <f t="shared" si="280"/>
        <v/>
      </c>
      <c r="W173" s="7" t="str">
        <f>IFERROR(IF(OR(B173="",BP173=1,BV173=1,NOT(ISNUMBER(EN173)),N(DT173)=0),"",MAX(0,ROUNDDOWN((c_min*(Uн_лин*1000/SQRT(3))/(HT173*N(DT173))-_xlfn.XLOOKUP(A173,Щиты[Щит],Щиты[Zпетли на шинах, Ом]))*EN173/(2*ρкз_Cu),0))),"")</f>
        <v/>
      </c>
      <c r="Y173">
        <f>Линии[[#This Row],[_авто утечка]]</f>
        <v>30</v>
      </c>
      <c r="Z173">
        <v>1</v>
      </c>
      <c r="AA173">
        <v>230</v>
      </c>
      <c r="AB173" t="s">
        <v>562</v>
      </c>
      <c r="AG173" t="s">
        <v>810</v>
      </c>
      <c r="AI173" t="s">
        <v>561</v>
      </c>
      <c r="AK173" t="str">
        <f>Линии[[#This Row],[_авто модуль]]</f>
        <v/>
      </c>
      <c r="AM173">
        <v>28</v>
      </c>
      <c r="AN173" t="s">
        <v>11</v>
      </c>
      <c r="AO173">
        <v>3</v>
      </c>
      <c r="AQ173">
        <v>26</v>
      </c>
      <c r="AR173">
        <v>0</v>
      </c>
      <c r="AS173">
        <v>14</v>
      </c>
      <c r="BA173" cm="1">
        <f t="array" ref="BA173">ROW()-ROW(Линии[#Headers])</f>
        <v>171</v>
      </c>
      <c r="BC173" s="6" t="str">
        <f t="shared" si="281"/>
        <v>R</v>
      </c>
      <c r="BD173" t="str">
        <f t="shared" si="282"/>
        <v>00.005Б.1</v>
      </c>
      <c r="BE173" t="str">
        <f t="shared" si="283"/>
        <v>00</v>
      </c>
      <c r="BF173" t="str">
        <f t="shared" si="284"/>
        <v>005Б.1</v>
      </c>
      <c r="BG173" t="str">
        <f t="shared" si="285"/>
        <v>005Б</v>
      </c>
      <c r="BH173" t="str">
        <f>IF(X173&lt;&gt;"",X173,IF(AND(B173&lt;&gt;"",B173&lt;&gt;A173,ISNUMBER(_xlfn.XMATCH(B173,Щиты[Щит]))),B173,""))</f>
        <v/>
      </c>
      <c r="BI173" t="str" cm="1">
        <f t="array" ref="BI173">IF(B173="","",IF(BH173&lt;&gt;"","Щит "&amp;BH173,_xlfn.LET(_xlpm.nm,IFERROR(_xlfn.XLOOKUP(BC173,Коды_код,Коды_имя)&amp;"",""),_xlpm.md,IFERROR(N(_xlfn.XLOOKUP(BC173,Коды_код,Коды_режим)),1),_xlpm.ex,IF(Имя_режим="по экспликации",IFERROR(_xlfn.XLOOKUP(BE173&amp;"|"&amp;BG173,Экспликация[Этаж]&amp;"|"&amp;Экспликация[Помещение],Экспликация[Название])&amp;"",""),""),_xlpm.rm,IF(BG173="","",IF(_xlpm.ex&lt;&gt;"",". "&amp;_xlpm.ex&amp;IF(Имя_пом="нет"," ("&amp;BG173&amp;")"," (пом. "&amp;BG173&amp;")"),IF(Имя_пом="нет"," ",", пом. ")&amp;BG173)),IF(_xlpm.nm="","",IF(_xlpm.md=2,_xlpm.nm&amp;" шлейф "&amp;BE173,_xlpm.nm&amp;_xlpm.rm)))))</f>
        <v>Розеточная группа, пом. 005Б</v>
      </c>
      <c r="BJ173" t="str">
        <f t="shared" si="286"/>
        <v>Розеточная группа, пом. 005Б</v>
      </c>
      <c r="BK173">
        <f>IFERROR(_xlfn.XMATCH(A173,Щиты[Щит]),0)</f>
        <v>8</v>
      </c>
      <c r="BL173">
        <f>_xlfn.LET(_xlpm.k,IFERROR(_xlfn.XLOOKUP(A173,Щиты[Щит],Щиты[Мест под вводной узел]),""),IF(_xlpm.k="",Столбцов_на_лист,N(_xlpm.k)))</f>
        <v>7</v>
      </c>
      <c r="BM173">
        <f t="shared" si="287"/>
        <v>28</v>
      </c>
      <c r="BN173" t="str">
        <f t="shared" si="288"/>
        <v>линии</v>
      </c>
      <c r="BO173" s="6">
        <f>IFERROR(N(_xlfn.XLOOKUP(BC173,Коды_код,Коды_квт)),0)</f>
        <v>0</v>
      </c>
      <c r="BP173">
        <f t="shared" si="289"/>
        <v>0</v>
      </c>
      <c r="BQ173" t="str">
        <f>IF(B173="","",IF(BH173&lt;&gt;"",IFERROR(_xlfn.XLOOKUP(BH173,Щиты[Щит],Щиты[Руст, кВт]),0),IF(BP173=1,IF(OR(N(_xlfn.XLOOKUP(A173,Щиты[Щит],Щиты[Вводов],1))&lt;=1,LOWER(TRIM(_xlfn.XLOOKUP(A173,Щиты[Щит],Щиты[АВР],"")&amp;""))="да"),IFERROR(_xlfn.XLOOKUP(A173,Щиты[Щит],Щиты[Руст, кВт]),0),SUMIFS(Линии[_Р для вводов],Линии[Щит],A173,Линии[Источник для режимов],GF173)),IF(BO173&gt;0,ROUND(BO173*MAX(1,N(D173)),3),""))))</f>
        <v/>
      </c>
      <c r="BR173">
        <f t="shared" si="290"/>
        <v>0.48</v>
      </c>
      <c r="BS173" s="6">
        <f>IF(B173="","",IF(BH173&lt;&gt;"",IFERROR(_xlfn.XLOOKUP(BH173,Щиты[Щит],Щиты[Руст, кВт]),0),N(BR173)))</f>
        <v>0.48</v>
      </c>
      <c r="BT173" t="str">
        <f>IF(B173="","",IFERROR(IF(VLOOKUP(BC173,Потребители_обозначение,8,FALSE)=0,"",VLOOKUP(BC173,Потребители_обозначение,8,FALSE)),""))</f>
        <v/>
      </c>
      <c r="BU173">
        <f t="shared" si="291"/>
        <v>230</v>
      </c>
      <c r="BV173">
        <f t="shared" si="292"/>
        <v>0</v>
      </c>
      <c r="BW173">
        <f>IF(B173="","",IF(BH173&lt;&gt;"",3,IFERROR(IF(N(VLOOKUP(BC173,Потребители_обозначение,9,FALSE))=0,1,VLOOKUP(BC173,Потребители_обозначение,9,FALSE)),1)))</f>
        <v>1</v>
      </c>
      <c r="BX173">
        <f t="shared" si="293"/>
        <v>1</v>
      </c>
      <c r="BY173" t="str">
        <f>IF(B173="","",_xlfn.LET(_xlpm.bc,IFERROR(IF(VLOOKUP(BC173,Потребители_обозначение,6,FALSE)=0,"",VLOOKUP(BC173,Потребители_обозначение,6,FALSE)&amp;""),""),IF(AND(GA173="да",OR(_xlpm.bc="",_xlpm.bc="мс")),Марка_пож,IF(AND(_xlpm.bc="",BH173&lt;&gt;""),"мс",_xlpm.bc))))</f>
        <v/>
      </c>
      <c r="BZ173" t="str">
        <f t="shared" si="294"/>
        <v>мс</v>
      </c>
      <c r="CA173">
        <f>IF(B173="","",_xlfn.LET(_xlpm.cc,IFERROR(N(VLOOKUP(BC173,Потребители_обозначение,7,FALSE)),0),IF(_xlpm.cc&gt;0,_xlpm.cc,IF(BZ173="","",IF(BV173=1,2,IF(N(BX173)=3,5,3))))))</f>
        <v>3</v>
      </c>
      <c r="CB173">
        <f t="shared" si="295"/>
        <v>3</v>
      </c>
      <c r="CC173">
        <f>IFERROR(N(VLOOKUP(BC173,Потребители_обозначение,10,FALSE)),0)</f>
        <v>0</v>
      </c>
      <c r="CD173">
        <f>IFERROR(VLOOKUP(BC173,Потребители_обозначение,5,FALSE),0)</f>
        <v>1</v>
      </c>
      <c r="CE173" s="6" cm="1">
        <f t="array" ref="CE173">IF(B173="","",IF(BH173&lt;&gt;"",IFERROR(_xlfn.XLOOKUP(BH173,Щиты[Щит],Щиты[cos φ]),0.95),IF(BP173=1,IFERROR(_xlfn.XLOOKUP(A173,Щиты[Щит],Щиты[cos φ]),0.95),IF(ISNUMBER(AD173),AD173,IFERROR(IF(CD173=2,_xlfn.IFS(BX173=3,VLOOKUP(BS173,Справочная_двигатели,8,FALSE),BX173=1,VLOOKUP(BS173,Справочная_двигатели,10,TRUE)),IF(AND(Методика="нормы 2026",FG173="Сил"),0.8,0.95)),0.95)))))</f>
        <v>0.95</v>
      </c>
      <c r="CF173">
        <f t="shared" si="296"/>
        <v>0</v>
      </c>
      <c r="CG173">
        <f t="shared" si="297"/>
        <v>1</v>
      </c>
      <c r="CH173">
        <f t="shared" si="298"/>
        <v>0</v>
      </c>
      <c r="CI173">
        <f>IF(B173="","",IF(BV173=1,IFERROR(BS173/((Uн_лин/SQRT(3))*MAX(0.5,N(CE173))),0),N(O173)))</f>
        <v>2.1878536516659501</v>
      </c>
      <c r="CJ173">
        <f t="shared" si="299"/>
        <v>0</v>
      </c>
      <c r="CK173">
        <f t="shared" si="300"/>
        <v>0</v>
      </c>
      <c r="CL173">
        <f t="shared" si="301"/>
        <v>0</v>
      </c>
      <c r="CM173">
        <f t="shared" si="302"/>
        <v>0</v>
      </c>
      <c r="CN173">
        <f t="shared" si="303"/>
        <v>0</v>
      </c>
      <c r="CO173">
        <f>IF(BC173="",0,_xlfn.LET(_xlpm.v,IFERROR(_xlfn.XLOOKUP(B173,Коды_код,Коды_мА),IFERROR(_xlfn.XLOOKUP(BC173,Коды_код,Коды_мА),IFERROR(_xlfn.XLOOKUP(LEFT(BC173,2),Коды_код,Коды_мА),""))),IF(_xlpm.v="да",30,IF(ISNUMBER(_xlpm.v),_xlpm.v,0))))</f>
        <v>30</v>
      </c>
      <c r="CP173">
        <f t="shared" si="304"/>
        <v>30</v>
      </c>
      <c r="CQ173" t="str">
        <f>_xlfn.LET(_xlpm.k,IFERROR(_xlfn.XLOOKUP(BC173,Коды_код,Коды_утечка)&amp;"",""),IF(_xlpm.k="","дифавтомат",_xlpm.k))</f>
        <v>дифавтомат</v>
      </c>
      <c r="CR173" t="str" cm="1">
        <f t="array" ref="CR173">IF(CG173=0,"",_xlfn.LET(_xlpm.sg,TRIM(_xlfn.TEXTSPLIT(DD173&amp;"",";")),_xlpm.f_,_xlfn._xlws.FILTER(_xlpm.sg,LEFT(_xlpm.sg,3)="УЗО",""),IFERROR(INDEX(_xlpm.f_,1)&amp;"","")))</f>
        <v/>
      </c>
      <c r="CS173" t="str">
        <f t="shared" si="305"/>
        <v/>
      </c>
      <c r="CT173" s="6" t="str" cm="1">
        <f t="array" ref="CT173">IF(CR173="","",_xlfn.LET(_xlpm.tk,_xlfn.TEXTSPLIT(UPPER(CR173)," ",,TRUE),_xlpm.a_,_xlfn._xlws.FILTER(_xlpm.tk,ISNUMBER(--LEFT(_xlpm.tk,1))*((ISNUMBER(SEARCH("А",_xlpm.tk))+ISNUMBER(SEARCH("A",_xlpm.tk)))&gt;0)*NOT(ISNUMBER(SEARCH("МА",_xlpm.tk)))*NOT(ISNUMBER(SEARCH("MA",_xlpm.tk))),""),IFERROR(--SUBSTITUTE(SUBSTITUTE(INDEX(_xlpm.a_,1),"А",""),"A",""),"")))</f>
        <v/>
      </c>
      <c r="CU173" t="str" cm="1">
        <f t="array" ref="CU173">IF(CR173="","",_xlfn.LET(_xlpm.tk,_xlfn.TEXTSPLIT(UPPER(CR173)," ",,TRUE),_xlpm.a_,_xlfn._xlws.FILTER(_xlpm.tk,ISNUMBER(--LEFT(_xlpm.tk,1))*((ISNUMBER(SEARCH("МА",_xlpm.tk))+ISNUMBER(SEARCH("MA",_xlpm.tk)))&gt;0),""),IFERROR(--SUBSTITUTE(SUBSTITUTE(INDEX(_xlpm.a_,1),"МА",""),"MA",""),30)))</f>
        <v/>
      </c>
      <c r="CV173" t="str">
        <f>IF(CS173="","",IFERROR(_xlfn.XLOOKUP(CS173,Линии[_n],Линии[_УЗО, мА]),30))</f>
        <v/>
      </c>
      <c r="CW173">
        <f>IF(CS173="",0,IF(ISNUMBER(SEARCH("4P",IFERROR(_xlfn.XLOOKUP(CS173,Линии[_n],Линии[_УЗО строки])&amp;"",""))),0,1))</f>
        <v>0</v>
      </c>
      <c r="CX173" t="str">
        <f>IF(AND(CS173&lt;&gt;"",CS173=BA173),SUMIFS(Линии[_ток на 230 В],Линии[_блок УЗО],BA173,Линии[Щит],A173),"")</f>
        <v/>
      </c>
      <c r="CY173" t="str">
        <f>IF(AND(CS173&lt;&gt;"",CS173=BA173),SUMIFS(Линии[_ток утечки линии, мА],Линии[_блок УЗО],BA173,Линии[Щит],A173),"")</f>
        <v/>
      </c>
      <c r="CZ173">
        <f t="shared" si="306"/>
        <v>30</v>
      </c>
      <c r="DA173">
        <f t="shared" si="307"/>
        <v>30</v>
      </c>
      <c r="DB173">
        <f>IF(B173="",0,IFERROR(--_xlfn.XLOOKUP(B173,Коды_код,Коды_минавт),IFERROR(--_xlfn.XLOOKUP(BC173,Коды_код,Коды_минавт),IFERROR(--_xlfn.XLOOKUP(LEFT(BC173,2),Коды_код,Коды_минавт),0))))</f>
        <v>16</v>
      </c>
      <c r="DC173" t="str">
        <f>IF(B173="","",IFERROR(_xlfn.XLOOKUP(BC173,Коды_код,Коды_апп)&amp;"",""))</f>
        <v/>
      </c>
      <c r="DD173" t="str">
        <f t="shared" si="308"/>
        <v/>
      </c>
      <c r="DE173" t="str" cm="1">
        <f t="array" ref="DE173">IF(TRIM(DD173&amp;"")="","",IFERROR(TRIM(INDEX(_xlfn.TEXTSPLIT(DD173&amp;";;;",";"),1)),""))</f>
        <v/>
      </c>
      <c r="DF173" t="str" cm="1">
        <f t="array" ref="DF173">IF(TRIM(DD173&amp;"")="","",IFERROR(TRIM(INDEX(_xlfn.TEXTSPLIT(DD173&amp;";;;",";"),2)),""))</f>
        <v/>
      </c>
      <c r="DG173" t="str" cm="1">
        <f t="array" ref="DG173">IF(TRIM(DD173&amp;"")="","",IFERROR(TRIM(INDEX(_xlfn.TEXTSPLIT(DD173&amp;";;;",";"),3)),""))</f>
        <v/>
      </c>
      <c r="DH173">
        <f t="shared" si="309"/>
        <v>0</v>
      </c>
      <c r="DI173" t="str">
        <f>IF(B173="","",_xlfn.LET(_xlpm.t,LOWER(AZ173&amp;""),IF(ISNUMBER(SEARCH("dim",_xlpm.t)),"DIM",IF(ISNUMBER(SEARCH("dali",_xlpm.t)),"DALI",IF(OR(ISNUMBER(SEARCH("relay",_xlpm.t)),ISNUMBER(SEARCH("реле",_xlpm.t))),"Relay",IF(ISNUMBER(SEARCH("кнопк",_xlpm.t)),"",IFERROR(_xlfn.XLOOKUP(BC173,Коды_код,Коды_упр)&amp;"","")))))))</f>
        <v/>
      </c>
      <c r="DJ173" t="str">
        <f t="shared" si="310"/>
        <v/>
      </c>
      <c r="DK173">
        <f>IF(B173="","",_xlfn.LET(_xlpm.ig,IF(N(CX173)&gt;0,N(CX173),N(CI173)+IF(AJ173="вручную",0,N(CJ173))),_xlpm.n0,IFERROR(VLOOKUP(_xlpm.ig,Автомат_номиналы,2,TRUE),0),_xlpm.mn,MAX(DB173,IF(AJ173="вручную",0,N(CM173))),MAX(_xlpm.n0,_xlpm.mn,IF(DH173=1,Мин_автомат_БП,0))))</f>
        <v>16</v>
      </c>
      <c r="DL173">
        <f t="shared" si="311"/>
        <v>1</v>
      </c>
      <c r="DM173" t="str">
        <f t="shared" si="312"/>
        <v>2P</v>
      </c>
      <c r="DN173" t="str">
        <f>_xlfn.LET(_xlpm.cc,UPPER(TRIM(IFERROR(_xlfn.XLOOKUP(BC173,Коды_код,Коды_хар)&amp;"",""))),IF(OR(_xlpm.cc="B",_xlpm.cc="В"),"B",IF(_xlpm.cc="D","D","С")))</f>
        <v>С</v>
      </c>
      <c r="DO173" t="str">
        <f t="shared" si="313"/>
        <v>2P С16А 30мА</v>
      </c>
      <c r="DP173">
        <f t="shared" si="314"/>
        <v>16</v>
      </c>
      <c r="DQ173" t="str">
        <f t="shared" si="315"/>
        <v>2P С16А 30мА</v>
      </c>
      <c r="DR173" cm="1">
        <f t="array" ref="DR173">IF(DQ173="","",_xlfn.LET(_xlpm.t,SUBSTITUTE(SUBSTITUTE(SUBSTITUTE(UPPER(DQ173),"С","C"),"А","A"),"В","B"),_xlpm.tk,_xlfn.TEXTSPLIT(_xlpm.t," "),_xlpm.f,_xlfn._xlws.FILTER(_xlpm.tk,ISNUMBER(--MID(_xlpm.tk,2,1))*ISNUMBER(SEARCH(LEFT(_xlpm.tk,1)&amp;"#","B#C#D#"))*(LEN(_xlpm.tk)&gt;1),""),_xlpm.x,INDEX(_xlpm.f,1),IFERROR(--SUBSTITUTE(MID(_xlpm.x,2,9),"A",""),IFERROR(--SUBSTITUTE(INDEX(_xlfn._xlws.FILTER(_xlpm.tk,ISNUMBER(--SUBSTITUTE(_xlpm.tk,"A","")),""),1),"A",""),""))))</f>
        <v>16</v>
      </c>
      <c r="DS173" t="str">
        <f t="shared" si="316"/>
        <v>ok</v>
      </c>
      <c r="DT173">
        <f t="shared" si="317"/>
        <v>16</v>
      </c>
      <c r="DU173" t="str">
        <f t="shared" si="318"/>
        <v>2P С16А 30мА</v>
      </c>
      <c r="DV173">
        <f t="shared" si="319"/>
        <v>30</v>
      </c>
      <c r="DW173">
        <f t="shared" si="320"/>
        <v>1</v>
      </c>
      <c r="DX173">
        <f t="shared" si="321"/>
        <v>0</v>
      </c>
      <c r="DY173">
        <f t="shared" si="322"/>
        <v>2.1878536516659501</v>
      </c>
      <c r="DZ173">
        <f t="shared" si="323"/>
        <v>1</v>
      </c>
      <c r="EA173">
        <f>IF(ISNUMBER(AP173),AP173,К_прокл)</f>
        <v>1</v>
      </c>
      <c r="EB173">
        <f t="shared" si="324"/>
        <v>2</v>
      </c>
      <c r="EC173">
        <f>IFERROR(N(VLOOKUP(BZ173,Кабель_обозначение,3,FALSE)),1)</f>
        <v>1</v>
      </c>
      <c r="ED173">
        <f>IFERROR(N(_xlfn.XLOOKUP(A173,Щиты[Щит],Щиты[ΔU до шин, %])),0)</f>
        <v>1.57</v>
      </c>
      <c r="EE173" t="str">
        <f>IFERROR(_xlfn.XLOOKUP(A173,Щиты[Щит],Щиты[Zпетли на шинах, Ом]),"")</f>
        <v/>
      </c>
      <c r="EF173">
        <f>IFERROR(N(_xlfn.XLOOKUP(A173,Щиты[Щит],Щиты[ΔU до шин (подбор), %])),0)</f>
        <v>2.5</v>
      </c>
      <c r="EG173" t="str">
        <f>IFERROR(_xlfn.XLOOKUP(A173,Щиты[Щит],Щиты[Zпетли на шинах (подбор), Ом]),"")</f>
        <v/>
      </c>
      <c r="EH173" t="str">
        <f t="shared" si="325"/>
        <v/>
      </c>
      <c r="EI173">
        <f t="shared" si="326"/>
        <v>50</v>
      </c>
      <c r="EJ173">
        <f t="shared" si="327"/>
        <v>2</v>
      </c>
      <c r="EK173">
        <f t="shared" si="328"/>
        <v>0.31</v>
      </c>
      <c r="EL173" s="6">
        <f>IF(B173="","",IF(BV173=1,dU_LED,IF(IFERROR(_xlfn.XLOOKUP(BC173,Коды_код,Коды_уго),"")="Светильник",3,4)+IF(Методика="нормы 2026",MIN(0.5,MAX(0,N(P173)-100)*0.005),0)))</f>
        <v>4</v>
      </c>
      <c r="EM173" cm="1">
        <f t="array" ref="EM173">IF(OR(B173="",BZ173="",EC173&lt;&gt;1),"",_xlfn.LET(_xlpm.sz,Iдоп_S,_xlpm.t_,CHOOSE(EB173,Iдоп_1ж,Iдоп_2ж,Iдоп_3ж)*DZ173*EA173,_xlpm.dcx,BV173=1,_xlpm.inn,IF(_xlpm.dcx,N(O173),N(DT173)),_xlpm.smin,MAX(1.5,CC173),_xlpm.L_,N(P173)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173)/N(BU173)*100,999),IFERROR(N(EJ173)*(_xlpm.rho*_xlpm.L_/_xlpm.sz*N(CE173)+_xlpm.xx*_xlpm.L_*N(EK173)/1000)*N(O173)/((Uн_лин/SQRT(3))*1000)*100,999)),_xlpm.kz,IF(OR(_xlpm.dcx,DW173=1,NOT(ISNUMBER(EG173)),_xlpm.L_=0,_xlpm.inn=0),1,IFERROR(--(c_min*(Uн_лин*1000/SQRT(3))/(EG173+2*ρкз_Cu*_xlpm.L_/_xlpm.sz)&gt;=HT173*_xlpm.inn),0)),_xlpm.ok,IFERROR((_xlpm.sz&gt;=_xlpm.smin)*(_xlpm.t_&gt;=_xlpm.inn)*IF(_xlpm.L_&gt;0,(_xlpm.du_+IF(_xlpm.dcx,0,EF173)&lt;=EL173+0.00001),1)*_xlpm.kz,0),_xlpm.r_,_xlfn._xlws.FILTER(_xlpm.sz,_xlpm.ok,"не подобрано"),INDEX(_xlpm.r_,1)))</f>
        <v>2.5</v>
      </c>
      <c r="EN173">
        <f t="shared" si="329"/>
        <v>2.5</v>
      </c>
      <c r="EO173" cm="1">
        <f t="array" ref="EO173">IF(OR(B173="",BZ173="",EC173&lt;&gt;1),"",_xlfn.LET(_xlpm.sz,Iдоп_S,_xlpm.t_,CHOOSE(EB173,Iдоп_1ж,Iдоп_2ж,Iдоп_3ж)*DZ173*EA173,_xlpm.ok,IFERROR((_xlpm.sz&gt;=MAX(1.5,CC173))*(_xlpm.t_&gt;=N(DT173)),0),_xlpm.r_,_xlfn._xlws.FILTER(_xlpm.sz,_xlpm.ok,""),INDEX(_xlpm.r_,1)))</f>
        <v>1.5</v>
      </c>
      <c r="EP173" s="6" cm="1">
        <f t="array" ref="EP173">IFERROR(ROUNDUP(N(EJ173)*(_xlfn.XLOOKUP(EO173,INDEX(Кабель_сопротивление,0,1),INDEX(Кабель_сопротивление,0,3))*N(P173)/EO173*N(CE173)+_xlfn.XLOOKUP(EO173,INDEX(Кабель_сопротивление,0,1),INDEX(Кабель_сопротивление,0,2))*N(P173)*N(EK173)/1000)*N(O173)/((Uн_лин/SQRT(3))*1000)*100,2),"")</f>
        <v>1.93</v>
      </c>
      <c r="EQ173">
        <f>IFERROR(2*ρкз_Cu*N(P173)/EO173,"")</f>
        <v>2.4897333333333331</v>
      </c>
      <c r="ER173">
        <f>IFERROR(VLOOKUP(EN173,Кабель_сопротивление,3,FALSE),"")</f>
        <v>2.2499999999999999E-2</v>
      </c>
      <c r="ES173">
        <f>IFERROR(VLOOKUP(EN173,Кабель_сопротивление,2,FALSE),"")</f>
        <v>0.1</v>
      </c>
      <c r="ET173">
        <f t="shared" si="330"/>
        <v>0</v>
      </c>
      <c r="EU173">
        <f t="shared" si="331"/>
        <v>14</v>
      </c>
      <c r="EV173">
        <f t="shared" si="332"/>
        <v>2.6659040502622635</v>
      </c>
      <c r="EW173" s="6">
        <f>IFERROR(ROUNDUP(EV173/IF(BV173=1,BU173,(Uн_лин/SQRT(3))*1000)*100,2),"")</f>
        <v>1.1599999999999999</v>
      </c>
      <c r="EX173" t="str">
        <f>IFERROR(VLOOKUP(BZ173,Кабель_обозначение,2,FALSE),"")</f>
        <v>ВВГнг(А)-LS</v>
      </c>
      <c r="EY173" t="str">
        <f t="shared" si="333"/>
        <v>ВВГнг(А)-LS (3х2,5)</v>
      </c>
      <c r="EZ173" t="str">
        <f t="shared" si="334"/>
        <v>ВВГнг(А)-LS (3х2,5)
L=71-1,16%</v>
      </c>
      <c r="FA173">
        <f>IFERROR(2*ρкз_Cu*P173/EN173,"")</f>
        <v>1.4938400000000001</v>
      </c>
      <c r="FB173">
        <f t="shared" si="335"/>
        <v>0.49700000000000005</v>
      </c>
      <c r="FC173" s="6" t="str">
        <f>IFERROR(IF(OR(B173="",BV173=1,NOT(ISNUMBER(EN173)),N(P173)=0),"",_xlfn.XLOOKUP(A173,Щиты[Щит],Щиты[Zпетли на шинах, Ом])+FA173),"")</f>
        <v/>
      </c>
      <c r="FD173" s="6" t="str">
        <f>IF(ISNUMBER(FC173),c_min*(Uн_лин*1000/SQRT(3))/FC173,"")</f>
        <v/>
      </c>
      <c r="FE173" s="6" t="str">
        <f>IFERROR(IF(OR(B173="",NOT(ISNUMBER(EN173))),"",1.05*(Uн_лин*1000/SQRT(3))/(_xlfn.XLOOKUP(A173,Щиты[Щит],Щиты[Zmax на шинах, Ом])+FB173)/1000),"")</f>
        <v/>
      </c>
      <c r="FF173" s="6" t="str">
        <f>IF(B173="","",IF(ISNUMBER(AC173),"Сил",IF(IFERROR(_xlfn.XLOOKUP(BC173,Коды_код,Коды_группа)&amp;"","")="","Быт",_xlfn.XLOOKUP(BC173,Коды_код,Коды_группа)&amp;"")))</f>
        <v>Быт</v>
      </c>
      <c r="FG173" s="6" t="str">
        <f t="shared" si="336"/>
        <v>Быт</v>
      </c>
      <c r="FH173" s="6">
        <f>IF(FG173="Щит","щит",IF(FG173="","",IF(FG173="Быт",IFERROR(_xlfn.XLOOKUP(A173,Щиты[Щит],Щиты[Кс быт]),1),IF(FG173="Сил",IF(ISNUMBER(AC173),AC173,IF(Методика="нормы 2026",IFERROR(_xlfn.XLOOKUP(A173,Щиты[Щит],Щиты[Кс силовых (табл. 7.5)]),1),1)),IF(OR(FG173="Пост",FG173="Отоп"),1,IF(FG173="ВНГ",0.7,0))))))</f>
        <v>0.8</v>
      </c>
      <c r="FI173">
        <f>IF(FG173="","",IF(AND(BP173=1,TRIM(AE173&amp;"")=""),IF(COUNTIFS(Линии[Щит],A173,Линии[Секция (1/2/3)],"&gt;=2")&gt;0,MIN(3,MAX(1,IFERROR(--BD173,1))),1),IFERROR(MIN(3,MAX(1,INT(--AE173))),1)))</f>
        <v>1</v>
      </c>
      <c r="FJ173">
        <f t="shared" si="337"/>
        <v>0.48</v>
      </c>
      <c r="FK173">
        <f t="shared" si="338"/>
        <v>0.48</v>
      </c>
      <c r="FL173">
        <f t="shared" si="339"/>
        <v>0</v>
      </c>
      <c r="FM173">
        <f t="shared" si="340"/>
        <v>0</v>
      </c>
      <c r="FN173">
        <f t="shared" si="341"/>
        <v>0</v>
      </c>
      <c r="FO173">
        <f t="shared" si="342"/>
        <v>0</v>
      </c>
      <c r="FP173">
        <f t="shared" si="343"/>
        <v>0.48</v>
      </c>
      <c r="FQ173">
        <f t="shared" si="344"/>
        <v>0.48</v>
      </c>
      <c r="FR173">
        <f t="shared" si="345"/>
        <v>0.45599999999999996</v>
      </c>
      <c r="FS173">
        <f>IF(CG173=1,IF(AND(CH173=1,CW173=1),0,IF(AND(CS173&lt;&gt;"",CS173=BA173,CW173=1),SUMIFS(Линии[_Р линии, кВт],Линии[_блок УЗО],BA173,Линии[Щит],A173),N(BS173)+IF(AJ173="вручную",0,N(CK173)))),0)</f>
        <v>0.48</v>
      </c>
      <c r="FT173" t="str">
        <f t="shared" si="346"/>
        <v>L3</v>
      </c>
      <c r="FU173" t="str">
        <f>IF(B173="","",IF(CG173=0,IF(BA173=1,"",FW172),IF(AND(CH173=1,CW173=1,CS173&lt;&gt;""),IFERROR(_xlfn.XLOOKUP(CS173,Линии[_n],Линии[_фаза итог]),"L1"),IF(OR(N(DL173)&gt;=3,N(BX173)&gt;=3),"L1,L2,L3",IFERROR(_xlfn.TEXTBEFORE(_xlfn.TEXTAFTER(_xlfn.XLOOKUP(A173,Щиты[Щит],Щиты[_фазы авто]),";"&amp;BA173&amp;":"),";"),"L1")))))</f>
        <v>L1</v>
      </c>
      <c r="FV173" t="str">
        <f t="shared" si="347"/>
        <v>L3</v>
      </c>
      <c r="FW173" t="str">
        <f t="shared" si="348"/>
        <v>L3</v>
      </c>
      <c r="FX173" cm="1">
        <f t="array" ref="FX173">IFERROR(IF(CD173=2,_xlfn.IFS(BX173=3,VLOOKUP(BS173,Справочная_двигатели,3,FALSE),BX173=1,VLOOKUP(BS173,Справочная_двигатели,5,TRUE)),0),0)</f>
        <v>0</v>
      </c>
      <c r="FY173">
        <f>IFERROR(IF(CD173=3,VLOOKUP(BS173,Справочная_ЛЭД,2,TRUE),0),0)</f>
        <v>0</v>
      </c>
      <c r="FZ173" s="6">
        <f t="shared" si="349"/>
        <v>0</v>
      </c>
      <c r="GA173" t="str">
        <f>IF(B173="","",IF(TRIM(AH173&amp;"")&lt;&gt;"",IF(LOWER(TRIM(AH173&amp;""))="да","да","нет"),IF(IFERROR(_xlfn.XLOOKUP(BC173,Коды_код,Коды_пожарная),"")="да","да","нет")))</f>
        <v>нет</v>
      </c>
      <c r="GB173" t="str">
        <f t="shared" si="350"/>
        <v/>
      </c>
      <c r="GC173" t="str">
        <f t="shared" si="351"/>
        <v>основная</v>
      </c>
      <c r="GD173">
        <f>IF(AND(BP173=1,TRIM(AE173&amp;"")=""),IF(COUNTIFS(Линии[Щит],A173,Линии[Секция (1/2/3)],"&gt;=2")&gt;0,MIN(3,MAX(1,IFERROR(--BD173,1))),1),IFERROR(MIN(3,MAX(1,INT(--AE173))),1))</f>
        <v>1</v>
      </c>
      <c r="GE173" t="str" cm="1">
        <f t="array" ref="GE173">IF(B173="","",_xlfn.LET(_xlpm.t,IFERROR(_xlfn.XLOOKUP(1,(Шины[Шина]=GC173)*(((Шины[Щит]=A173)+(Шины[Щит]=""))&gt;0),Шины[Тип]),"")&amp;"",IF(_xlpm.t&lt;&gt;"",_xlpm.t,IF(ISNUMBER(SEARCH("ИБП",GC173)),"ИБП",IF(ISNUMBER(SEARCH("ДГУ",GC173)),"ДГУ","Ввод "&amp;GD173)))))</f>
        <v>Ввод 1</v>
      </c>
      <c r="GF173" t="str">
        <f t="shared" si="352"/>
        <v>Ввод 1</v>
      </c>
      <c r="GG173" t="str">
        <f>IF(BP173=0,"",IF(TRIM(AG173&amp;"")&lt;&gt;"",TRIM(AG173&amp;""),IF(OR(GE173="ИБП",GE173="ДГУ"),"I особая",_xlfn.XLOOKUP(A173,Щиты[Щит],Щиты[Категория шины «Ввод»],"III"))))</f>
        <v/>
      </c>
      <c r="GH173" t="str">
        <f>IF(A173="","",_xlfn.XLOOKUP(A173,Щиты[Щит],Щиты[Путь],""))</f>
        <v>|ГРЩ-ЖД|ЩР-001|</v>
      </c>
      <c r="GI173" t="str">
        <f>IF(B173="","",IF(AI173&lt;&gt;"",AI173,IF(IFERROR(_xlfn.XLOOKUP(BC173,Коды_код,Коды_вид)&amp;"","")="","Прочее",_xlfn.XLOOKUP(BC173,Коды_код,Коды_вид)&amp;"")))</f>
        <v>Розеточная сеть и бытовые приборы</v>
      </c>
      <c r="GJ173">
        <f>IF(BM173="","",INT((BM173-1)/Столбцов_на_лист)+1)</f>
        <v>2</v>
      </c>
      <c r="GK173" t="str">
        <f t="shared" si="353"/>
        <v>ВВГнг(А)-LS (3х2,5) L=71-1,16%</v>
      </c>
      <c r="GL173">
        <f t="shared" si="354"/>
        <v>0.48</v>
      </c>
      <c r="GM173">
        <f t="shared" si="355"/>
        <v>2.19</v>
      </c>
      <c r="GN173">
        <f t="shared" si="356"/>
        <v>1</v>
      </c>
      <c r="GO173">
        <f t="shared" si="357"/>
        <v>0</v>
      </c>
      <c r="GP173">
        <f t="shared" si="358"/>
        <v>1</v>
      </c>
      <c r="GQ173">
        <f>IF(BM173="","",IF(AND(CG173=1,GP173=1),COUNTIFS(A$3:A173,A173,CG$3:CG173,1,GP$3:GP173,1),IF(OR(OR(BA173=1,A173&lt;&gt;A172),AJ173="вручную",GP173=0),"",IF(BA173=1,"",GR172))))</f>
        <v>19</v>
      </c>
      <c r="GR173">
        <f t="shared" si="359"/>
        <v>19</v>
      </c>
      <c r="GS173">
        <f>IF(B173="","",IFERROR(LOOKUP(INDEX(CHOOSE(EB173,Iдоп_1ж,Iдоп_2ж,Iдоп_3ж),MATCH(EN173,Iдоп_S,0))*DZ173*EA173,{6,10,16,20,25,32,40,50,63,80,100,125,160,200,250,315,400,500,630}),""))</f>
        <v>25</v>
      </c>
      <c r="GT173" t="str">
        <f t="shared" si="360"/>
        <v>QFD19</v>
      </c>
      <c r="GU173" t="str">
        <f t="shared" si="361"/>
        <v>QFD19</v>
      </c>
      <c r="GV173" t="str">
        <f t="shared" si="362"/>
        <v/>
      </c>
      <c r="GW173">
        <f t="shared" si="363"/>
        <v>0</v>
      </c>
      <c r="GX173" t="str">
        <f>IF(OR(B173="",DJ173=""),"",IFERROR(_xlfn.XLOOKUP(DJ173,Модули_умолч[Управление],Модули_умолч[Модель])&amp;"",""))</f>
        <v/>
      </c>
      <c r="GY173">
        <f>IF(DJ173="",1,IFERROR(MAX(0,N(_xlfn.XLOOKUP(DJ173,Модули_умолч[Управление],Модули_умолч[Каналов на линию]))),1))</f>
        <v>1</v>
      </c>
      <c r="GZ173" t="str">
        <f t="shared" si="364"/>
        <v/>
      </c>
      <c r="HA173" t="str">
        <f t="shared" si="365"/>
        <v/>
      </c>
      <c r="HB173" t="str">
        <f t="shared" si="366"/>
        <v/>
      </c>
      <c r="HC173">
        <f>IF(HB173="",0,IFERROR(N(VLOOKUP(HB173,Модули_спр,3,FALSE)),0))</f>
        <v>0</v>
      </c>
      <c r="HD173" t="str">
        <f t="shared" si="367"/>
        <v/>
      </c>
      <c r="HE173" t="str">
        <f t="shared" si="368"/>
        <v/>
      </c>
      <c r="HF173" t="str">
        <f>IF(OR(HE173="",HE173="-"),"",IFERROR(VLOOKUP(HE173,Модули_спр,2,FALSE),"R"))</f>
        <v/>
      </c>
      <c r="HG173" t="str">
        <f>IF(HF173="","",HF173&amp;"."&amp;COUNTIFS(A$3:A173,A173,HF$3:HF173,HF173))</f>
        <v/>
      </c>
      <c r="HH173" t="str">
        <f t="shared" si="369"/>
        <v/>
      </c>
      <c r="HI173" t="str">
        <f t="shared" si="370"/>
        <v/>
      </c>
      <c r="HJ173" t="str">
        <f t="shared" si="371"/>
        <v/>
      </c>
      <c r="HK173" t="str">
        <f t="shared" si="372"/>
        <v/>
      </c>
      <c r="HL173">
        <f t="shared" si="373"/>
        <v>1</v>
      </c>
      <c r="HM173" t="str">
        <f>IF(HL173=1,"XT"&amp;COUNTIFS(A$3:A173,A173,HL$3:HL173,1),"")</f>
        <v>XT19</v>
      </c>
      <c r="HN173" t="str">
        <f t="shared" si="374"/>
        <v/>
      </c>
      <c r="HO173" t="str">
        <f t="shared" si="375"/>
        <v>QFD19</v>
      </c>
      <c r="HP173" t="str">
        <f t="shared" si="376"/>
        <v/>
      </c>
      <c r="HQ173" t="str">
        <f t="shared" si="377"/>
        <v>ok</v>
      </c>
      <c r="HR173" t="str">
        <f>IF(OR(HJ173="",HH173=""),"",IF(HJ173+MAX(0,GY173-1)&gt;IFERROR(VLOOKUP(HI173,Модули_спр,3,FALSE),99),"ЛИШНИЙ КАНАЛ",IF(AND(AL173&lt;&gt;"=",GY173&gt;0,COUNTIFS(Линии[_модуль гр.],HH173,Линии[Канал (итог)],HJ173,Линии[Канал],"&lt;&gt;=",Линии[Щит],A173)&gt;1),"ДУБЛЬ КАНАЛА","")))</f>
        <v/>
      </c>
      <c r="HS173" s="6" t="str">
        <f t="shared" si="378"/>
        <v/>
      </c>
      <c r="HT173">
        <f t="shared" si="379"/>
        <v>10</v>
      </c>
      <c r="HU173" t="str">
        <f t="shared" si="380"/>
        <v/>
      </c>
      <c r="HV173">
        <f t="shared" si="381"/>
        <v>1.5851414606663801</v>
      </c>
      <c r="HW173">
        <f t="shared" si="382"/>
        <v>0</v>
      </c>
      <c r="HX173">
        <f t="shared" si="383"/>
        <v>0</v>
      </c>
      <c r="HY173">
        <f t="shared" si="384"/>
        <v>0</v>
      </c>
      <c r="HZ173">
        <f t="shared" si="385"/>
        <v>0</v>
      </c>
      <c r="IA173">
        <f t="shared" si="386"/>
        <v>0</v>
      </c>
      <c r="IB173">
        <f t="shared" si="387"/>
        <v>0</v>
      </c>
      <c r="IC173" t="str">
        <f t="shared" si="388"/>
        <v/>
      </c>
      <c r="ID173" t="str" cm="1">
        <f t="array" ref="ID173">IF(IC173="","",_xlfn.LET(_xlpm.tk,_xlfn.TEXTSPLIT(SUBSTITUTE(SUBSTITUTE(IC173,";"," "),"→"," ")," ",,TRUE),_xlpm.w_,_xlfn._xlws.FILTER(_xlpm.tk,ISNUMBER(--LEFT(_xlpm.tk,1))*((ISNUMBER(SEARCH("W",_xlpm.tk))+ISNUMBER(SEARCH("Вт",_xlpm.tk)))&gt;0),""),IFERROR(--SUBSTITUTE(SUBSTITUTE(UPPER(INDEX(_xlpm.w_,1)),"W",""),"ВТ",""),"")))</f>
        <v/>
      </c>
      <c r="IE173" t="str" cm="1">
        <f t="array" ref="IE173">IF(IC173="","",_xlfn.LET(_xlpm.tk,_xlfn.TEXTSPLIT(SUBSTITUTE(SUBSTITUTE(IC173,";"," "),"→"," ")," ",,TRUE),_xlpm.v_,_xlfn._xlws.FILTER(_xlpm.tk,ISNUMBER(--LEFT(_xlpm.tk,1))*((ISNUMBER(SEARCH("V",_xlpm.tk))+(RIGHT(UPPER(_xlpm.tk))="В"))&gt;0),""),IFERROR(--SUBSTITUTE(SUBSTITUTE(UPPER(INDEX(_xlpm.v_,1)),"V",""),"В",""),"")))</f>
        <v/>
      </c>
      <c r="IF173" s="6" t="str">
        <f>IF(OR(BV173=0,HI173="",HJ173=""),"",IFERROR(N(_xlfn.XLOOKUP(HI173,Каталог!$C$4:$C$500,Каталог!$Q$4:$Q$500)),""))</f>
        <v/>
      </c>
      <c r="IG173" s="6" t="str">
        <f>IF(N(IF173)=0,"",SUMIFS(Линии[Iр, А],Линии[Щит],A173,Линии[_модуль гр.],HH173,Линии[Канал (итог)],HJ173))</f>
        <v/>
      </c>
      <c r="IH173" t="str">
        <f>IF(AND(B173="",HO173=""),"",_xlfn.TEXTJOIN("; ",TRUE,IF(AND(B173&lt;&gt;"",FV173=""),"нет фазы",""),IF(AND(B173&lt;&gt;"",N(GL173)=0,FG173&lt;&gt;"Нет"),"нет мощности",""),IF(AND(HN173&lt;&gt;"",COUNTIFS(Линии[Щит],A173,Линии[Клемма (итог)],HN173)&gt;1),"дубль клеммы "&amp;HN173,""),IF(AND(HQ173&lt;&gt;"",HQ173&lt;&gt;"ok"),HQ173,""),IF(HR173&lt;&gt;"",HR173,""),IF(AND(N(CB173)&gt;=4,N(BX173)=1),CB173&amp;" жил на 1 фазе",""),IF(AND(BC173="R",CG173=1,IF(CS173&lt;&gt;"",N(CV173)&gt;30,OR(N(DA173)=0,N(DA173)&gt;30))),"розетка без дифзащиты до 30 мА",""),IF(AND(CG173=1,N(DA173)&gt;0,ISNUMBER(T173)),IF(T173&gt;N(DA173)/3,"ток утечки "&amp;FIXED(T173,1)&amp;" мА &gt; 1/3 уставки ("&amp;DA173&amp;" мА)",""),""),IF(AND(CH173=1,CS173=""),"«узо»: нет строки с УЗО выше (УЗО 2P 40А 30мА в «Аппаратах»)",""),IF(AND(CS173&lt;&gt;"",CS173=BA173),IF(CT173="","впишите номинал УЗО (УЗО 2P 40А 30мА)",IF(N(CT173)&lt;N(DT173),"УЗО "&amp;CT173&amp;" А &lt; автомата "&amp;DT173&amp;" А перед ним",IF(N(CT173)&lt;N(CX173),"УЗО "&amp;CT173&amp;" А &lt; тока блока "&amp;FIXED(CX173,1)&amp;" А",""))),""),IF(AND(CS173&lt;&gt;"",CS173=BA173,ISNUMBER(CY173)),IF(CY173&gt;N(CV173)/3,"ток утечки блока УЗО "&amp;FIXED(CY173,1)&amp;" мА &gt; 1/3 уставки ("&amp;CV173&amp;" мА)",""),""),IF(AND(CG173=1,N(BV173)+N(IB173)&gt;0,IC173=""),"линии до 50 В без БП: впишите в «Аппараты» (БП 24V 480W)",""),IF(AND(CG173=1,ISNUMBER(ID173),ISNUMBER(U173)),IF(U173&gt;ID173,"БП "&amp;ID173&amp;" Вт &lt; нужно "&amp;U173&amp;" Вт (×"&amp;Запас_БП&amp;")",""),""),IF(AND(CG173=1,ISNUMBER(IE173),N(BV173)=1),IF(IE173&lt;&gt;N(BU173),"БП на "&amp;IE173&amp;" В, линия "&amp;BU173&amp;" В",""),""),IF(AND(N(IF173)&gt;0,N(IG173)&gt;N(IF173)),HH173&amp;" канал "&amp;HJ173&amp;": "&amp;FIXED(IG173,1)&amp;" А &gt; "&amp;IF173&amp;" А",""),IFERROR(IF(AND(ISNUMBER(Q173),Q173&gt;EL173),"потери "&amp;FIXED(Q173,1)&amp;" % &gt; "&amp;EL173&amp;" %",""),""),IFERROR(IF(LEFT(HU173,4)="мало","Iкз мало — отключение &gt; 0,4 с",""),""),IF(AND(B173&lt;&gt;"",BM173=""),"не на схеме",""),IF(AND(CG173=0,B173&lt;&gt;"",FV173&lt;&gt;"",IF(BA173=1,"",FW172)&lt;&gt;"",FV173&lt;&gt;IF(BA173=1,"",FW172)),"фаза не как у автомата группы ("&amp;IF(BA173=1,"",FW172)&amp;")","")))</f>
        <v/>
      </c>
      <c r="II173" s="6">
        <f>IF(OR(CG173=0,DQ173=""),"",_xlfn.LET(_xlpm.t,IFERROR(_xlfn.XLOOKUP(DQ173,Каталог!$U$4:$U$500,Каталог!$G$4:$G$500),""),_xlpm.k,SEARCH("кА",_xlpm.t),IFERROR(--TRIM(RIGHT(SUBSTITUTE(MID(_xlpm.t,MAX(1,_xlpm.k-4),_xlpm.k-MAX(1,_xlpm.k-4))," ",REPT(" ",9)),5)),"")))</f>
        <v>6</v>
      </c>
      <c r="IJ173" t="str">
        <f>IF(OR(II173="",CG173=0),"",IF(_xlfn.XLOOKUP(A173,Щиты[Щит],Щиты[Iкз max на шинах, кА],"")="","",IF(II173&lt;_xlfn.XLOOKUP(A173,Щиты[Щит],Щиты[Iкз max на шинах, кА]),"Icu "&amp;II173&amp;" кА &lt; Iкз max","ok")))</f>
        <v/>
      </c>
      <c r="IK173" t="str">
        <f t="shared" si="389"/>
        <v/>
      </c>
      <c r="IL173" t="str">
        <f t="shared" si="390"/>
        <v>QFD19</v>
      </c>
      <c r="IM173" t="str">
        <f t="shared" si="391"/>
        <v>QFD19|кабель ВВГнг(А)-LS (3х2,5) → Розеточная группа, пом. 005Б</v>
      </c>
      <c r="IN173" t="str" cm="1">
        <f t="array" ref="IN173">IF(IM173="","",_xlfn.LET(_xlpm.nd,_xlfn.TEXTSPLIT(IM173,"|"),IF(COLUMNS(_xlpm.nd)&gt;1,A173&amp;"¦"&amp;INDEX(_xlpm.nd,1)&amp;"¦"&amp;INDEX(_xlpm.nd,2),"")))</f>
        <v>ЩР-001¦QFD19¦кабель ВВГнг(А)-LS (3х2,5) → Розеточная группа, пом. 005Б</v>
      </c>
      <c r="IO173" t="str">
        <f t="shared" si="392"/>
        <v>R.00.005Б.1¦Розеточная группа, пом. 005Б</v>
      </c>
      <c r="IP173" t="str" cm="1">
        <f t="array" ref="IP173">IF(IM173="","",_xlfn.LET(_xlpm.nd,_xlfn.TEXTSPLIT(IM173,"|"),IF(COLUMNS(_xlpm.nd)&gt;2,A173&amp;"¦"&amp;INDEX(_xlpm.nd,2)&amp;"¦"&amp;INDEX(_xlpm.nd,3),"")))</f>
        <v/>
      </c>
      <c r="IQ173" t="str">
        <f t="shared" si="393"/>
        <v/>
      </c>
      <c r="IR173" t="str" cm="1">
        <f t="array" ref="IR173">IF(IM173="","",_xlfn.LET(_xlpm.nd,_xlfn.TEXTSPLIT(IM173,"|"),IF(COLUMNS(_xlpm.nd)&gt;3,A173&amp;"¦"&amp;INDEX(_xlpm.nd,3)&amp;"¦"&amp;INDEX(_xlpm.nd,4),"")))</f>
        <v/>
      </c>
      <c r="IS173" t="str">
        <f t="shared" si="394"/>
        <v/>
      </c>
      <c r="IT173" t="str" cm="1">
        <f t="array" ref="IT173">IF(IM173="","",_xlfn.LET(_xlpm.nd,_xlfn.TEXTSPLIT(IM173,"|"),IF(COLUMNS(_xlpm.nd)&gt;4,A173&amp;"¦"&amp;INDEX(_xlpm.nd,4)&amp;"¦"&amp;INDEX(_xlpm.nd,5),"")))</f>
        <v/>
      </c>
      <c r="IU173" t="str">
        <f t="shared" si="395"/>
        <v/>
      </c>
      <c r="IV173" t="str" cm="1">
        <f t="array" ref="IV173">IF(IM173="","",_xlfn.LET(_xlpm.nd,_xlfn.TEXTSPLIT(IM173,"|"),IF(COLUMNS(_xlpm.nd)&gt;5,A173&amp;"¦"&amp;INDEX(_xlpm.nd,5)&amp;"¦"&amp;INDEX(_xlpm.nd,6),"")))</f>
        <v/>
      </c>
      <c r="IW173" t="str">
        <f t="shared" si="396"/>
        <v/>
      </c>
      <c r="IX173" t="str" cm="1">
        <f t="array" ref="IX173">IF(IM173="","",_xlfn.LET(_xlpm.nd,_xlfn.TEXTSPLIT(IM173,"|"),IF(COLUMNS(_xlpm.nd)&gt;6,A173&amp;"¦"&amp;INDEX(_xlpm.nd,6)&amp;"¦"&amp;INDEX(_xlpm.nd,7),"")))</f>
        <v/>
      </c>
      <c r="IY173" t="str">
        <f t="shared" si="397"/>
        <v/>
      </c>
      <c r="IZ173" t="str">
        <f t="shared" si="398"/>
        <v/>
      </c>
      <c r="JA173" t="str">
        <f t="shared" si="399"/>
        <v>QFD19</v>
      </c>
      <c r="JB173">
        <f t="shared" si="400"/>
        <v>0</v>
      </c>
      <c r="JC173">
        <f t="shared" si="401"/>
        <v>1</v>
      </c>
      <c r="JD173" t="str">
        <f t="shared" si="402"/>
        <v/>
      </c>
      <c r="JE173" t="str">
        <f t="shared" si="403"/>
        <v/>
      </c>
      <c r="JF173" t="str">
        <f t="shared" si="404"/>
        <v/>
      </c>
      <c r="JG173" t="str">
        <f t="shared" si="405"/>
        <v/>
      </c>
      <c r="JH173" t="str">
        <f>IF(B173="","",IFERROR(_xlfn.XLOOKUP(B173,Коды_код,Коды_уго),IFERROR(_xlfn.XLOOKUP(BC173,Коды_код,Коды_уго),IFERROR(_xlfn.XLOOKUP(LEFT(BC173,2),Коды_код,Коды_уго),""))))</f>
        <v>Розетка</v>
      </c>
      <c r="JI173" t="str">
        <f>IF(B173="","",IF(OR(JH173="",JH173=0),"BOX",IFERROR(IF(VLOOKUP(JH173,УГО_блоки,3,FALSE)&amp;""&lt;&gt;"",VLOOKUP(JH173,УГО_блоки,3,FALSE),VLOOKUP(JH173,УГО_блоки,2,FALSE)),JH173)))</f>
        <v>SOCKET</v>
      </c>
      <c r="JJ173">
        <f t="shared" si="406"/>
        <v>1</v>
      </c>
      <c r="JK173" t="str">
        <f>IF(DQ173="","",IF(COUNTIF(DQ$3:DQ173,DQ173)=1,MAX(JK$2:JK172)+1,""))</f>
        <v/>
      </c>
      <c r="JL173" t="str">
        <f>IF(DE173="","",IF(COUNTIF(DE$3:DE173,DE173)+COUNTIF(DF$2:DF172,DE173)+COUNTIF(DG$2:DG172,DE173)=1,MAX(JL$2:JN172)+1,""))</f>
        <v/>
      </c>
      <c r="JM173" t="str">
        <f>IF(DF173="","",IF(COUNTIF(DE$3:DE173,DF173)+COUNTIF(DF$3:DF173,DF173)+COUNTIF(DG$2:DG172,DF173)=1,MAX(JL$2:JN172,JL173)+1,""))</f>
        <v/>
      </c>
      <c r="JN173" t="str">
        <f>IF(DG173="","",IF(COUNTIF(DE$3:DE173,DG173)+COUNTIF(DF$3:DF173,DG173)+COUNTIF(DG$3:DG173,DG173)=1,MAX(JL$2:JN172,JL173,JM173)+1,""))</f>
        <v/>
      </c>
      <c r="JO173" t="str">
        <f t="shared" si="407"/>
        <v>3х2,5</v>
      </c>
      <c r="JP173" t="str">
        <f>IF(JO173="","",IF(COUNTIF(JO$3:JO173,JO173)=1,MAX(JP$2:JP172)+1,""))</f>
        <v/>
      </c>
      <c r="JQ173" t="str">
        <f>IF(HG173="","",COUNTIF(HG$3:HG173,"?*"))</f>
        <v/>
      </c>
      <c r="JR173" t="str">
        <f>IF(OR(HG173="",HI173=""),"",IF(COUNTIFS(HG$3:HG173,"?*",HI$3:HI173,HI173)=1,MAX(JR$2:JR172)+1,""))</f>
        <v/>
      </c>
      <c r="JS173">
        <f t="shared" si="408"/>
        <v>0</v>
      </c>
      <c r="JT173">
        <f>IF(B173="","",COUNTIF(B$3:B173,"?*"))</f>
        <v>171</v>
      </c>
      <c r="JU173">
        <f>IF(HL173&lt;&gt;1,0,_xlfn.LET(_xlpm.k,MAX(IFERROR(--_xlfn.XLOOKUP(B173,Коды_код,Коды_3L),0),IFERROR(--_xlfn.XLOOKUP(BC173,Коды_код,Коды_3L),0),IFERROR(--_xlfn.XLOOKUP(LEFT(BC173,2),Коды_код,Коды_3L),0)),IF(_xlpm.k&gt;0,_xlpm.k,IF(IFERROR(--LEFT(SUBSTITUTE(JO173,"x","х"),FIND("х",SUBSTITUTE(JO173,"x","х"))-1),3)&gt;3,Каталог!$S$9,1))))</f>
        <v>1</v>
      </c>
      <c r="JV173">
        <f t="shared" si="409"/>
        <v>0</v>
      </c>
      <c r="JW173" t="str">
        <f t="shared" si="410"/>
        <v>авто</v>
      </c>
      <c r="JX173">
        <f t="shared" si="411"/>
        <v>30</v>
      </c>
      <c r="JY173">
        <f t="shared" si="412"/>
        <v>1</v>
      </c>
      <c r="JZ173">
        <f t="shared" si="413"/>
        <v>1</v>
      </c>
    </row>
    <row r="174" spans="1:286" x14ac:dyDescent="0.3">
      <c r="A174" t="s">
        <v>753</v>
      </c>
      <c r="B174" t="s">
        <v>1482</v>
      </c>
      <c r="C174" t="str">
        <f>Линии[[#This Row],[_авто наименование]]</f>
        <v>Розеточная группа, пом. 009Б</v>
      </c>
      <c r="D174">
        <v>2</v>
      </c>
      <c r="E174">
        <v>0.12</v>
      </c>
      <c r="G174">
        <v>16</v>
      </c>
      <c r="H174" t="str">
        <f>Линии[[#This Row],[_авто управление]]</f>
        <v/>
      </c>
      <c r="I174" t="str">
        <f>Линии[[#This Row],[_авто аппараты]]</f>
        <v/>
      </c>
      <c r="J174">
        <v>2.5</v>
      </c>
      <c r="K174">
        <v>20</v>
      </c>
      <c r="L174">
        <v>2</v>
      </c>
      <c r="M174" t="s">
        <v>484</v>
      </c>
      <c r="N174" t="str">
        <f t="shared" si="276"/>
        <v/>
      </c>
      <c r="O174" s="6" cm="1">
        <f t="array" ref="O174">IF(B174="","",IF(BH174&lt;&gt;"",IFERROR(_xlfn.XLOOKUP(BH174,Щиты[Щит],Щиты[Iр, А]),""),IF(BP174=1,IF(OR(N(_xlfn.XLOOKUP(A174,Щиты[Щит],Щиты[Вводов],1))&lt;=1,LOWER(TRIM(_xlfn.XLOOKUP(A174,Щиты[Щит],Щиты[АВР],"")&amp;""))="да"),IFERROR(_xlfn.XLOOKUP(A174,Щиты[Щит],Щиты[Iр, А]),""),IFERROR(N(BS174)*_xlfn.XLOOKUP(A174,Щиты[Щит],Щиты[Кс итог])/(SQRT(3)*Uн_лин*_xlfn.XLOOKUP(A174,Щиты[Щит],Щиты[cos φ])),"")),IF(BV174=1,IFERROR(BS174*1000/BU174,""),IFERROR(_xlfn.IFS(BX174=1,BS174/((Uн_лин/SQRT(3))*CE174),BX174=3,BS174/(SQRT(3)*Uн_лин*CE174)),"")))))</f>
        <v>0.54696341291648753</v>
      </c>
      <c r="P174" s="7">
        <f>IF(B174="","",IFERROR(IF(VLOOKUP(BC174,Потребители_обозначение,4,FALSE)=1,VLOOKUP(BC174,Потребители_обозначение,3,FALSE)*(MAX(1,N(D174))*2-1)+EI174+VLOOKUP(BE174,Этаж_обозначение,3,FALSE)+VLOOKUP(BE174,Этаж_обозначение,4,FALSE),VLOOKUP(BC174,Потребители_обозначение,3,FALSE)*(MAX(1,N(D174))*2-1)+EI174),EI174))</f>
        <v>29</v>
      </c>
      <c r="Q174" s="6">
        <f t="shared" si="277"/>
        <v>1.69</v>
      </c>
      <c r="R174" t="str">
        <f t="shared" si="278"/>
        <v>ВВГнг(А)-LS (3х2,5)</v>
      </c>
      <c r="S174" t="str">
        <f>IF(BM174="","",IF(BN174="вводной узел","узел ","")&amp;"л."&amp;(INT((BM174-1)/Столбцов_на_лист)+1)&amp;" / "&amp;(MOD(BM174-1,Столбцов_на_лист)+1))</f>
        <v>л.2 / 12</v>
      </c>
      <c r="T174" s="119">
        <f t="shared" si="279"/>
        <v>0.5</v>
      </c>
      <c r="U174" s="7" t="str">
        <f>IF(OR(CG174=0,N(BV174)+N(IB174)=0),"",ROUNDUP(Запас_БП*(N(HY174)+N(HZ174)),0))</f>
        <v/>
      </c>
      <c r="V174" s="119" t="str">
        <f t="shared" si="280"/>
        <v/>
      </c>
      <c r="W174" s="7" t="str">
        <f>IFERROR(IF(OR(B174="",BP174=1,BV174=1,NOT(ISNUMBER(EN174)),N(DT174)=0),"",MAX(0,ROUNDDOWN((c_min*(Uн_лин*1000/SQRT(3))/(HT174*N(DT174))-_xlfn.XLOOKUP(A174,Щиты[Щит],Щиты[Zпетли на шинах, Ом]))*EN174/(2*ρкз_Cu),0))),"")</f>
        <v/>
      </c>
      <c r="Y174">
        <f>Линии[[#This Row],[_авто утечка]]</f>
        <v>30</v>
      </c>
      <c r="Z174">
        <v>1</v>
      </c>
      <c r="AA174">
        <v>230</v>
      </c>
      <c r="AB174" t="s">
        <v>562</v>
      </c>
      <c r="AG174" t="s">
        <v>810</v>
      </c>
      <c r="AI174" t="s">
        <v>561</v>
      </c>
      <c r="AK174" t="str">
        <f>Линии[[#This Row],[_авто модуль]]</f>
        <v/>
      </c>
      <c r="AM174">
        <v>29</v>
      </c>
      <c r="AN174" t="s">
        <v>11</v>
      </c>
      <c r="AO174">
        <v>3</v>
      </c>
      <c r="AQ174">
        <v>11</v>
      </c>
      <c r="AR174">
        <v>14</v>
      </c>
      <c r="AS174">
        <v>4</v>
      </c>
      <c r="BA174" cm="1">
        <f t="array" ref="BA174">ROW()-ROW(Линии[#Headers])</f>
        <v>172</v>
      </c>
      <c r="BC174" s="6" t="str">
        <f t="shared" si="281"/>
        <v>R</v>
      </c>
      <c r="BD174" t="str">
        <f t="shared" si="282"/>
        <v>00.009Б.1</v>
      </c>
      <c r="BE174" t="str">
        <f t="shared" si="283"/>
        <v>00</v>
      </c>
      <c r="BF174" t="str">
        <f t="shared" si="284"/>
        <v>009Б.1</v>
      </c>
      <c r="BG174" t="str">
        <f t="shared" si="285"/>
        <v>009Б</v>
      </c>
      <c r="BH174" t="str">
        <f>IF(X174&lt;&gt;"",X174,IF(AND(B174&lt;&gt;"",B174&lt;&gt;A174,ISNUMBER(_xlfn.XMATCH(B174,Щиты[Щит]))),B174,""))</f>
        <v/>
      </c>
      <c r="BI174" t="str" cm="1">
        <f t="array" ref="BI174">IF(B174="","",IF(BH174&lt;&gt;"","Щит "&amp;BH174,_xlfn.LET(_xlpm.nm,IFERROR(_xlfn.XLOOKUP(BC174,Коды_код,Коды_имя)&amp;"",""),_xlpm.md,IFERROR(N(_xlfn.XLOOKUP(BC174,Коды_код,Коды_режим)),1),_xlpm.ex,IF(Имя_режим="по экспликации",IFERROR(_xlfn.XLOOKUP(BE174&amp;"|"&amp;BG174,Экспликация[Этаж]&amp;"|"&amp;Экспликация[Помещение],Экспликация[Название])&amp;"",""),""),_xlpm.rm,IF(BG174="","",IF(_xlpm.ex&lt;&gt;"",". "&amp;_xlpm.ex&amp;IF(Имя_пом="нет"," ("&amp;BG174&amp;")"," (пом. "&amp;BG174&amp;")"),IF(Имя_пом="нет"," ",", пом. ")&amp;BG174)),IF(_xlpm.nm="","",IF(_xlpm.md=2,_xlpm.nm&amp;" шлейф "&amp;BE174,_xlpm.nm&amp;_xlpm.rm)))))</f>
        <v>Розеточная группа, пом. 009Б</v>
      </c>
      <c r="BJ174" t="str">
        <f t="shared" si="286"/>
        <v>Розеточная группа, пом. 009Б</v>
      </c>
      <c r="BK174">
        <f>IFERROR(_xlfn.XMATCH(A174,Щиты[Щит]),0)</f>
        <v>8</v>
      </c>
      <c r="BL174">
        <f>_xlfn.LET(_xlpm.k,IFERROR(_xlfn.XLOOKUP(A174,Щиты[Щит],Щиты[Мест под вводной узел]),""),IF(_xlpm.k="",Столбцов_на_лист,N(_xlpm.k)))</f>
        <v>7</v>
      </c>
      <c r="BM174">
        <f t="shared" si="287"/>
        <v>29</v>
      </c>
      <c r="BN174" t="str">
        <f t="shared" si="288"/>
        <v>линии</v>
      </c>
      <c r="BO174" s="6">
        <f>IFERROR(N(_xlfn.XLOOKUP(BC174,Коды_код,Коды_квт)),0)</f>
        <v>0</v>
      </c>
      <c r="BP174">
        <f t="shared" si="289"/>
        <v>0</v>
      </c>
      <c r="BQ174" t="str">
        <f>IF(B174="","",IF(BH174&lt;&gt;"",IFERROR(_xlfn.XLOOKUP(BH174,Щиты[Щит],Щиты[Руст, кВт]),0),IF(BP174=1,IF(OR(N(_xlfn.XLOOKUP(A174,Щиты[Щит],Щиты[Вводов],1))&lt;=1,LOWER(TRIM(_xlfn.XLOOKUP(A174,Щиты[Щит],Щиты[АВР],"")&amp;""))="да"),IFERROR(_xlfn.XLOOKUP(A174,Щиты[Щит],Щиты[Руст, кВт]),0),SUMIFS(Линии[_Р для вводов],Линии[Щит],A174,Линии[Источник для режимов],GF174)),IF(BO174&gt;0,ROUND(BO174*MAX(1,N(D174)),3),""))))</f>
        <v/>
      </c>
      <c r="BR174">
        <f t="shared" si="290"/>
        <v>0.12</v>
      </c>
      <c r="BS174" s="6">
        <f>IF(B174="","",IF(BH174&lt;&gt;"",IFERROR(_xlfn.XLOOKUP(BH174,Щиты[Щит],Щиты[Руст, кВт]),0),N(BR174)))</f>
        <v>0.12</v>
      </c>
      <c r="BT174" t="str">
        <f>IF(B174="","",IFERROR(IF(VLOOKUP(BC174,Потребители_обозначение,8,FALSE)=0,"",VLOOKUP(BC174,Потребители_обозначение,8,FALSE)),""))</f>
        <v/>
      </c>
      <c r="BU174">
        <f t="shared" si="291"/>
        <v>230</v>
      </c>
      <c r="BV174">
        <f t="shared" si="292"/>
        <v>0</v>
      </c>
      <c r="BW174">
        <f>IF(B174="","",IF(BH174&lt;&gt;"",3,IFERROR(IF(N(VLOOKUP(BC174,Потребители_обозначение,9,FALSE))=0,1,VLOOKUP(BC174,Потребители_обозначение,9,FALSE)),1)))</f>
        <v>1</v>
      </c>
      <c r="BX174">
        <f t="shared" si="293"/>
        <v>1</v>
      </c>
      <c r="BY174" t="str">
        <f>IF(B174="","",_xlfn.LET(_xlpm.bc,IFERROR(IF(VLOOKUP(BC174,Потребители_обозначение,6,FALSE)=0,"",VLOOKUP(BC174,Потребители_обозначение,6,FALSE)&amp;""),""),IF(AND(GA174="да",OR(_xlpm.bc="",_xlpm.bc="мс")),Марка_пож,IF(AND(_xlpm.bc="",BH174&lt;&gt;""),"мс",_xlpm.bc))))</f>
        <v/>
      </c>
      <c r="BZ174" t="str">
        <f t="shared" si="294"/>
        <v>мс</v>
      </c>
      <c r="CA174">
        <f>IF(B174="","",_xlfn.LET(_xlpm.cc,IFERROR(N(VLOOKUP(BC174,Потребители_обозначение,7,FALSE)),0),IF(_xlpm.cc&gt;0,_xlpm.cc,IF(BZ174="","",IF(BV174=1,2,IF(N(BX174)=3,5,3))))))</f>
        <v>3</v>
      </c>
      <c r="CB174">
        <f t="shared" si="295"/>
        <v>3</v>
      </c>
      <c r="CC174">
        <f>IFERROR(N(VLOOKUP(BC174,Потребители_обозначение,10,FALSE)),0)</f>
        <v>0</v>
      </c>
      <c r="CD174">
        <f>IFERROR(VLOOKUP(BC174,Потребители_обозначение,5,FALSE),0)</f>
        <v>1</v>
      </c>
      <c r="CE174" s="6" cm="1">
        <f t="array" ref="CE174">IF(B174="","",IF(BH174&lt;&gt;"",IFERROR(_xlfn.XLOOKUP(BH174,Щиты[Щит],Щиты[cos φ]),0.95),IF(BP174=1,IFERROR(_xlfn.XLOOKUP(A174,Щиты[Щит],Щиты[cos φ]),0.95),IF(ISNUMBER(AD174),AD174,IFERROR(IF(CD174=2,_xlfn.IFS(BX174=3,VLOOKUP(BS174,Справочная_двигатели,8,FALSE),BX174=1,VLOOKUP(BS174,Справочная_двигатели,10,TRUE)),IF(AND(Методика="нормы 2026",FG174="Сил"),0.8,0.95)),0.95)))))</f>
        <v>0.95</v>
      </c>
      <c r="CF174">
        <f t="shared" si="296"/>
        <v>0</v>
      </c>
      <c r="CG174">
        <f t="shared" si="297"/>
        <v>1</v>
      </c>
      <c r="CH174">
        <f t="shared" si="298"/>
        <v>0</v>
      </c>
      <c r="CI174">
        <f>IF(B174="","",IF(BV174=1,IFERROR(BS174/((Uн_лин/SQRT(3))*MAX(0.5,N(CE174))),0),N(O174)))</f>
        <v>0.54696341291648753</v>
      </c>
      <c r="CJ174">
        <f t="shared" si="299"/>
        <v>0</v>
      </c>
      <c r="CK174">
        <f t="shared" si="300"/>
        <v>0</v>
      </c>
      <c r="CL174">
        <f t="shared" si="301"/>
        <v>0</v>
      </c>
      <c r="CM174">
        <f t="shared" si="302"/>
        <v>0</v>
      </c>
      <c r="CN174">
        <f t="shared" si="303"/>
        <v>0</v>
      </c>
      <c r="CO174">
        <f>IF(BC174="",0,_xlfn.LET(_xlpm.v,IFERROR(_xlfn.XLOOKUP(B174,Коды_код,Коды_мА),IFERROR(_xlfn.XLOOKUP(BC174,Коды_код,Коды_мА),IFERROR(_xlfn.XLOOKUP(LEFT(BC174,2),Коды_код,Коды_мА),""))),IF(_xlpm.v="да",30,IF(ISNUMBER(_xlpm.v),_xlpm.v,0))))</f>
        <v>30</v>
      </c>
      <c r="CP174">
        <f t="shared" si="304"/>
        <v>30</v>
      </c>
      <c r="CQ174" t="str">
        <f>_xlfn.LET(_xlpm.k,IFERROR(_xlfn.XLOOKUP(BC174,Коды_код,Коды_утечка)&amp;"",""),IF(_xlpm.k="","дифавтомат",_xlpm.k))</f>
        <v>дифавтомат</v>
      </c>
      <c r="CR174" t="str" cm="1">
        <f t="array" ref="CR174">IF(CG174=0,"",_xlfn.LET(_xlpm.sg,TRIM(_xlfn.TEXTSPLIT(DD174&amp;"",";")),_xlpm.f_,_xlfn._xlws.FILTER(_xlpm.sg,LEFT(_xlpm.sg,3)="УЗО",""),IFERROR(INDEX(_xlpm.f_,1)&amp;"","")))</f>
        <v/>
      </c>
      <c r="CS174" t="str">
        <f t="shared" si="305"/>
        <v/>
      </c>
      <c r="CT174" s="6" t="str" cm="1">
        <f t="array" ref="CT174">IF(CR174="","",_xlfn.LET(_xlpm.tk,_xlfn.TEXTSPLIT(UPPER(CR174)," ",,TRUE),_xlpm.a_,_xlfn._xlws.FILTER(_xlpm.tk,ISNUMBER(--LEFT(_xlpm.tk,1))*((ISNUMBER(SEARCH("А",_xlpm.tk))+ISNUMBER(SEARCH("A",_xlpm.tk)))&gt;0)*NOT(ISNUMBER(SEARCH("МА",_xlpm.tk)))*NOT(ISNUMBER(SEARCH("MA",_xlpm.tk))),""),IFERROR(--SUBSTITUTE(SUBSTITUTE(INDEX(_xlpm.a_,1),"А",""),"A",""),"")))</f>
        <v/>
      </c>
      <c r="CU174" t="str" cm="1">
        <f t="array" ref="CU174">IF(CR174="","",_xlfn.LET(_xlpm.tk,_xlfn.TEXTSPLIT(UPPER(CR174)," ",,TRUE),_xlpm.a_,_xlfn._xlws.FILTER(_xlpm.tk,ISNUMBER(--LEFT(_xlpm.tk,1))*((ISNUMBER(SEARCH("МА",_xlpm.tk))+ISNUMBER(SEARCH("MA",_xlpm.tk)))&gt;0),""),IFERROR(--SUBSTITUTE(SUBSTITUTE(INDEX(_xlpm.a_,1),"МА",""),"MA",""),30)))</f>
        <v/>
      </c>
      <c r="CV174" t="str">
        <f>IF(CS174="","",IFERROR(_xlfn.XLOOKUP(CS174,Линии[_n],Линии[_УЗО, мА]),30))</f>
        <v/>
      </c>
      <c r="CW174">
        <f>IF(CS174="",0,IF(ISNUMBER(SEARCH("4P",IFERROR(_xlfn.XLOOKUP(CS174,Линии[_n],Линии[_УЗО строки])&amp;"",""))),0,1))</f>
        <v>0</v>
      </c>
      <c r="CX174" t="str">
        <f>IF(AND(CS174&lt;&gt;"",CS174=BA174),SUMIFS(Линии[_ток на 230 В],Линии[_блок УЗО],BA174,Линии[Щит],A174),"")</f>
        <v/>
      </c>
      <c r="CY174" t="str">
        <f>IF(AND(CS174&lt;&gt;"",CS174=BA174),SUMIFS(Линии[_ток утечки линии, мА],Линии[_блок УЗО],BA174,Линии[Щит],A174),"")</f>
        <v/>
      </c>
      <c r="CZ174">
        <f t="shared" si="306"/>
        <v>30</v>
      </c>
      <c r="DA174">
        <f t="shared" si="307"/>
        <v>30</v>
      </c>
      <c r="DB174">
        <f>IF(B174="",0,IFERROR(--_xlfn.XLOOKUP(B174,Коды_код,Коды_минавт),IFERROR(--_xlfn.XLOOKUP(BC174,Коды_код,Коды_минавт),IFERROR(--_xlfn.XLOOKUP(LEFT(BC174,2),Коды_код,Коды_минавт),0))))</f>
        <v>16</v>
      </c>
      <c r="DC174" t="str">
        <f>IF(B174="","",IFERROR(_xlfn.XLOOKUP(BC174,Коды_код,Коды_апп)&amp;"",""))</f>
        <v/>
      </c>
      <c r="DD174" t="str">
        <f t="shared" si="308"/>
        <v/>
      </c>
      <c r="DE174" t="str" cm="1">
        <f t="array" ref="DE174">IF(TRIM(DD174&amp;"")="","",IFERROR(TRIM(INDEX(_xlfn.TEXTSPLIT(DD174&amp;";;;",";"),1)),""))</f>
        <v/>
      </c>
      <c r="DF174" t="str" cm="1">
        <f t="array" ref="DF174">IF(TRIM(DD174&amp;"")="","",IFERROR(TRIM(INDEX(_xlfn.TEXTSPLIT(DD174&amp;";;;",";"),2)),""))</f>
        <v/>
      </c>
      <c r="DG174" t="str" cm="1">
        <f t="array" ref="DG174">IF(TRIM(DD174&amp;"")="","",IFERROR(TRIM(INDEX(_xlfn.TEXTSPLIT(DD174&amp;";;;",";"),3)),""))</f>
        <v/>
      </c>
      <c r="DH174">
        <f t="shared" si="309"/>
        <v>0</v>
      </c>
      <c r="DI174" t="str">
        <f>IF(B174="","",_xlfn.LET(_xlpm.t,LOWER(AZ174&amp;""),IF(ISNUMBER(SEARCH("dim",_xlpm.t)),"DIM",IF(ISNUMBER(SEARCH("dali",_xlpm.t)),"DALI",IF(OR(ISNUMBER(SEARCH("relay",_xlpm.t)),ISNUMBER(SEARCH("реле",_xlpm.t))),"Relay",IF(ISNUMBER(SEARCH("кнопк",_xlpm.t)),"",IFERROR(_xlfn.XLOOKUP(BC174,Коды_код,Коды_упр)&amp;"","")))))))</f>
        <v/>
      </c>
      <c r="DJ174" t="str">
        <f t="shared" si="310"/>
        <v/>
      </c>
      <c r="DK174">
        <f>IF(B174="","",_xlfn.LET(_xlpm.ig,IF(N(CX174)&gt;0,N(CX174),N(CI174)+IF(AJ174="вручную",0,N(CJ174))),_xlpm.n0,IFERROR(VLOOKUP(_xlpm.ig,Автомат_номиналы,2,TRUE),0),_xlpm.mn,MAX(DB174,IF(AJ174="вручную",0,N(CM174))),MAX(_xlpm.n0,_xlpm.mn,IF(DH174=1,Мин_автомат_БП,0))))</f>
        <v>16</v>
      </c>
      <c r="DL174">
        <f t="shared" si="311"/>
        <v>1</v>
      </c>
      <c r="DM174" t="str">
        <f t="shared" si="312"/>
        <v>2P</v>
      </c>
      <c r="DN174" t="str">
        <f>_xlfn.LET(_xlpm.cc,UPPER(TRIM(IFERROR(_xlfn.XLOOKUP(BC174,Коды_код,Коды_хар)&amp;"",""))),IF(OR(_xlpm.cc="B",_xlpm.cc="В"),"B",IF(_xlpm.cc="D","D","С")))</f>
        <v>С</v>
      </c>
      <c r="DO174" t="str">
        <f t="shared" si="313"/>
        <v>2P С16А 30мА</v>
      </c>
      <c r="DP174">
        <f t="shared" si="314"/>
        <v>16</v>
      </c>
      <c r="DQ174" t="str">
        <f t="shared" si="315"/>
        <v>2P С16А 30мА</v>
      </c>
      <c r="DR174" cm="1">
        <f t="array" ref="DR174">IF(DQ174="","",_xlfn.LET(_xlpm.t,SUBSTITUTE(SUBSTITUTE(SUBSTITUTE(UPPER(DQ174),"С","C"),"А","A"),"В","B"),_xlpm.tk,_xlfn.TEXTSPLIT(_xlpm.t," "),_xlpm.f,_xlfn._xlws.FILTER(_xlpm.tk,ISNUMBER(--MID(_xlpm.tk,2,1))*ISNUMBER(SEARCH(LEFT(_xlpm.tk,1)&amp;"#","B#C#D#"))*(LEN(_xlpm.tk)&gt;1),""),_xlpm.x,INDEX(_xlpm.f,1),IFERROR(--SUBSTITUTE(MID(_xlpm.x,2,9),"A",""),IFERROR(--SUBSTITUTE(INDEX(_xlfn._xlws.FILTER(_xlpm.tk,ISNUMBER(--SUBSTITUTE(_xlpm.tk,"A","")),""),1),"A",""),""))))</f>
        <v>16</v>
      </c>
      <c r="DS174" t="str">
        <f t="shared" si="316"/>
        <v>ok</v>
      </c>
      <c r="DT174">
        <f t="shared" si="317"/>
        <v>16</v>
      </c>
      <c r="DU174" t="str">
        <f t="shared" si="318"/>
        <v>2P С16А 30мА</v>
      </c>
      <c r="DV174">
        <f t="shared" si="319"/>
        <v>30</v>
      </c>
      <c r="DW174">
        <f t="shared" si="320"/>
        <v>1</v>
      </c>
      <c r="DX174">
        <f t="shared" si="321"/>
        <v>0</v>
      </c>
      <c r="DY174">
        <f t="shared" si="322"/>
        <v>0.54696341291648753</v>
      </c>
      <c r="DZ174">
        <f t="shared" si="323"/>
        <v>1</v>
      </c>
      <c r="EA174">
        <f>IF(ISNUMBER(AP174),AP174,К_прокл)</f>
        <v>1</v>
      </c>
      <c r="EB174">
        <f t="shared" si="324"/>
        <v>2</v>
      </c>
      <c r="EC174">
        <f>IFERROR(N(VLOOKUP(BZ174,Кабель_обозначение,3,FALSE)),1)</f>
        <v>1</v>
      </c>
      <c r="ED174">
        <f>IFERROR(N(_xlfn.XLOOKUP(A174,Щиты[Щит],Щиты[ΔU до шин, %])),0)</f>
        <v>1.57</v>
      </c>
      <c r="EE174" t="str">
        <f>IFERROR(_xlfn.XLOOKUP(A174,Щиты[Щит],Щиты[Zпетли на шинах, Ом]),"")</f>
        <v/>
      </c>
      <c r="EF174">
        <f>IFERROR(N(_xlfn.XLOOKUP(A174,Щиты[Щит],Щиты[ΔU до шин (подбор), %])),0)</f>
        <v>2.5</v>
      </c>
      <c r="EG174" t="str">
        <f>IFERROR(_xlfn.XLOOKUP(A174,Щиты[Щит],Щиты[Zпетли на шинах (подбор), Ом]),"")</f>
        <v/>
      </c>
      <c r="EH174" t="str">
        <f t="shared" si="325"/>
        <v/>
      </c>
      <c r="EI174">
        <f t="shared" si="326"/>
        <v>20</v>
      </c>
      <c r="EJ174">
        <f t="shared" si="327"/>
        <v>2</v>
      </c>
      <c r="EK174">
        <f t="shared" si="328"/>
        <v>0.31</v>
      </c>
      <c r="EL174" s="6">
        <f>IF(B174="","",IF(BV174=1,dU_LED,IF(IFERROR(_xlfn.XLOOKUP(BC174,Коды_код,Коды_уго),"")="Светильник",3,4)+IF(Методика="нормы 2026",MIN(0.5,MAX(0,N(P174)-100)*0.005),0)))</f>
        <v>4</v>
      </c>
      <c r="EM174" cm="1">
        <f t="array" ref="EM174">IF(OR(B174="",BZ174="",EC174&lt;&gt;1),"",_xlfn.LET(_xlpm.sz,Iдоп_S,_xlpm.t_,CHOOSE(EB174,Iдоп_1ж,Iдоп_2ж,Iдоп_3ж)*DZ174*EA174,_xlpm.dcx,BV174=1,_xlpm.inn,IF(_xlpm.dcx,N(O174),N(DT174)),_xlpm.smin,MAX(1.5,CC174),_xlpm.L_,N(P174)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174)/N(BU174)*100,999),IFERROR(N(EJ174)*(_xlpm.rho*_xlpm.L_/_xlpm.sz*N(CE174)+_xlpm.xx*_xlpm.L_*N(EK174)/1000)*N(O174)/((Uн_лин/SQRT(3))*1000)*100,999)),_xlpm.kz,IF(OR(_xlpm.dcx,DW174=1,NOT(ISNUMBER(EG174)),_xlpm.L_=0,_xlpm.inn=0),1,IFERROR(--(c_min*(Uн_лин*1000/SQRT(3))/(EG174+2*ρкз_Cu*_xlpm.L_/_xlpm.sz)&gt;=HT174*_xlpm.inn),0)),_xlpm.ok,IFERROR((_xlpm.sz&gt;=_xlpm.smin)*(_xlpm.t_&gt;=_xlpm.inn)*IF(_xlpm.L_&gt;0,(_xlpm.du_+IF(_xlpm.dcx,0,EF174)&lt;=EL174+0.00001),1)*_xlpm.kz,0),_xlpm.r_,_xlfn._xlws.FILTER(_xlpm.sz,_xlpm.ok,"не подобрано"),INDEX(_xlpm.r_,1)))</f>
        <v>1.5</v>
      </c>
      <c r="EN174">
        <f t="shared" si="329"/>
        <v>2.5</v>
      </c>
      <c r="EO174" cm="1">
        <f t="array" ref="EO174">IF(OR(B174="",BZ174="",EC174&lt;&gt;1),"",_xlfn.LET(_xlpm.sz,Iдоп_S,_xlpm.t_,CHOOSE(EB174,Iдоп_1ж,Iдоп_2ж,Iдоп_3ж)*DZ174*EA174,_xlpm.ok,IFERROR((_xlpm.sz&gt;=MAX(1.5,CC174))*(_xlpm.t_&gt;=N(DT174)),0),_xlpm.r_,_xlfn._xlws.FILTER(_xlpm.sz,_xlpm.ok,""),INDEX(_xlpm.r_,1)))</f>
        <v>1.5</v>
      </c>
      <c r="EP174" s="6" cm="1">
        <f t="array" ref="EP174">IFERROR(ROUNDUP(N(EJ174)*(_xlfn.XLOOKUP(EO174,INDEX(Кабель_сопротивление,0,1),INDEX(Кабель_сопротивление,0,3))*N(P174)/EO174*N(CE174)+_xlfn.XLOOKUP(EO174,INDEX(Кабель_сопротивление,0,1),INDEX(Кабель_сопротивление,0,2))*N(P174)*N(EK174)/1000)*N(O174)/((Uн_лин/SQRT(3))*1000)*100,2),"")</f>
        <v>0.2</v>
      </c>
      <c r="EQ174">
        <f>IFERROR(2*ρкз_Cu*N(P174)/EO174,"")</f>
        <v>1.0169333333333335</v>
      </c>
      <c r="ER174">
        <f>IFERROR(VLOOKUP(EN174,Кабель_сопротивление,3,FALSE),"")</f>
        <v>2.2499999999999999E-2</v>
      </c>
      <c r="ES174">
        <f>IFERROR(VLOOKUP(EN174,Кабель_сопротивление,2,FALSE),"")</f>
        <v>0.1</v>
      </c>
      <c r="ET174">
        <f t="shared" si="330"/>
        <v>14</v>
      </c>
      <c r="EU174">
        <f t="shared" si="331"/>
        <v>4</v>
      </c>
      <c r="EV174">
        <f t="shared" si="332"/>
        <v>0.27222259668171001</v>
      </c>
      <c r="EW174" s="6">
        <f>IFERROR(ROUNDUP(EV174/IF(BV174=1,BU174,(Uн_лин/SQRT(3))*1000)*100,2),"")</f>
        <v>0.12</v>
      </c>
      <c r="EX174" t="str">
        <f>IFERROR(VLOOKUP(BZ174,Кабель_обозначение,2,FALSE),"")</f>
        <v>ВВГнг(А)-LS</v>
      </c>
      <c r="EY174" t="str">
        <f t="shared" si="333"/>
        <v>ВВГнг(А)-LS (3х2,5)</v>
      </c>
      <c r="EZ174" t="str">
        <f t="shared" si="334"/>
        <v>ВВГнг(А)-LS (3х2,5)
L=29-0,12%</v>
      </c>
      <c r="FA174">
        <f>IFERROR(2*ρкз_Cu*P174/EN174,"")</f>
        <v>0.61016000000000004</v>
      </c>
      <c r="FB174">
        <f t="shared" si="335"/>
        <v>0.20300000000000001</v>
      </c>
      <c r="FC174" s="6" t="str">
        <f>IFERROR(IF(OR(B174="",BV174=1,NOT(ISNUMBER(EN174)),N(P174)=0),"",_xlfn.XLOOKUP(A174,Щиты[Щит],Щиты[Zпетли на шинах, Ом])+FA174),"")</f>
        <v/>
      </c>
      <c r="FD174" s="6" t="str">
        <f>IF(ISNUMBER(FC174),c_min*(Uн_лин*1000/SQRT(3))/FC174,"")</f>
        <v/>
      </c>
      <c r="FE174" s="6" t="str">
        <f>IFERROR(IF(OR(B174="",NOT(ISNUMBER(EN174))),"",1.05*(Uн_лин*1000/SQRT(3))/(_xlfn.XLOOKUP(A174,Щиты[Щит],Щиты[Zmax на шинах, Ом])+FB174)/1000),"")</f>
        <v/>
      </c>
      <c r="FF174" s="6" t="str">
        <f>IF(B174="","",IF(ISNUMBER(AC174),"Сил",IF(IFERROR(_xlfn.XLOOKUP(BC174,Коды_код,Коды_группа)&amp;"","")="","Быт",_xlfn.XLOOKUP(BC174,Коды_код,Коды_группа)&amp;"")))</f>
        <v>Быт</v>
      </c>
      <c r="FG174" s="6" t="str">
        <f t="shared" si="336"/>
        <v>Быт</v>
      </c>
      <c r="FH174" s="6">
        <f>IF(FG174="Щит","щит",IF(FG174="","",IF(FG174="Быт",IFERROR(_xlfn.XLOOKUP(A174,Щиты[Щит],Щиты[Кс быт]),1),IF(FG174="Сил",IF(ISNUMBER(AC174),AC174,IF(Методика="нормы 2026",IFERROR(_xlfn.XLOOKUP(A174,Щиты[Щит],Щиты[Кс силовых (табл. 7.5)]),1),1)),IF(OR(FG174="Пост",FG174="Отоп"),1,IF(FG174="ВНГ",0.7,0))))))</f>
        <v>0.8</v>
      </c>
      <c r="FI174">
        <f>IF(FG174="","",IF(AND(BP174=1,TRIM(AE174&amp;"")=""),IF(COUNTIFS(Линии[Щит],A174,Линии[Секция (1/2/3)],"&gt;=2")&gt;0,MIN(3,MAX(1,IFERROR(--BD174,1))),1),IFERROR(MIN(3,MAX(1,INT(--AE174))),1)))</f>
        <v>1</v>
      </c>
      <c r="FJ174">
        <f t="shared" si="337"/>
        <v>0.12</v>
      </c>
      <c r="FK174">
        <f t="shared" si="338"/>
        <v>0.12</v>
      </c>
      <c r="FL174">
        <f t="shared" si="339"/>
        <v>0</v>
      </c>
      <c r="FM174">
        <f t="shared" si="340"/>
        <v>0</v>
      </c>
      <c r="FN174">
        <f t="shared" si="341"/>
        <v>0</v>
      </c>
      <c r="FO174">
        <f t="shared" si="342"/>
        <v>0</v>
      </c>
      <c r="FP174">
        <f t="shared" si="343"/>
        <v>0.12</v>
      </c>
      <c r="FQ174">
        <f t="shared" si="344"/>
        <v>0.12</v>
      </c>
      <c r="FR174">
        <f t="shared" si="345"/>
        <v>0.11399999999999999</v>
      </c>
      <c r="FS174">
        <f>IF(CG174=1,IF(AND(CH174=1,CW174=1),0,IF(AND(CS174&lt;&gt;"",CS174=BA174,CW174=1),SUMIFS(Линии[_Р линии, кВт],Линии[_блок УЗО],BA174,Линии[Щит],A174),N(BS174)+IF(AJ174="вручную",0,N(CK174)))),0)</f>
        <v>0.12</v>
      </c>
      <c r="FT174" t="str">
        <f t="shared" si="346"/>
        <v>L2</v>
      </c>
      <c r="FU174" t="str">
        <f>IF(B174="","",IF(CG174=0,IF(BA174=1,"",FW173),IF(AND(CH174=1,CW174=1,CS174&lt;&gt;""),IFERROR(_xlfn.XLOOKUP(CS174,Линии[_n],Линии[_фаза итог]),"L1"),IF(OR(N(DL174)&gt;=3,N(BX174)&gt;=3),"L1,L2,L3",IFERROR(_xlfn.TEXTBEFORE(_xlfn.TEXTAFTER(_xlfn.XLOOKUP(A174,Щиты[Щит],Щиты[_фазы авто]),";"&amp;BA174&amp;":"),";"),"L1")))))</f>
        <v>L1</v>
      </c>
      <c r="FV174" t="str">
        <f t="shared" si="347"/>
        <v>L2</v>
      </c>
      <c r="FW174" t="str">
        <f t="shared" si="348"/>
        <v>L2</v>
      </c>
      <c r="FX174" cm="1">
        <f t="array" ref="FX174">IFERROR(IF(CD174=2,_xlfn.IFS(BX174=3,VLOOKUP(BS174,Справочная_двигатели,3,FALSE),BX174=1,VLOOKUP(BS174,Справочная_двигатели,5,TRUE)),0),0)</f>
        <v>0</v>
      </c>
      <c r="FY174">
        <f>IFERROR(IF(CD174=3,VLOOKUP(BS174,Справочная_ЛЭД,2,TRUE),0),0)</f>
        <v>0</v>
      </c>
      <c r="FZ174" s="6">
        <f t="shared" si="349"/>
        <v>0</v>
      </c>
      <c r="GA174" t="str">
        <f>IF(B174="","",IF(TRIM(AH174&amp;"")&lt;&gt;"",IF(LOWER(TRIM(AH174&amp;""))="да","да","нет"),IF(IFERROR(_xlfn.XLOOKUP(BC174,Коды_код,Коды_пожарная),"")="да","да","нет")))</f>
        <v>нет</v>
      </c>
      <c r="GB174" t="str">
        <f t="shared" si="350"/>
        <v/>
      </c>
      <c r="GC174" t="str">
        <f t="shared" si="351"/>
        <v>основная</v>
      </c>
      <c r="GD174">
        <f>IF(AND(BP174=1,TRIM(AE174&amp;"")=""),IF(COUNTIFS(Линии[Щит],A174,Линии[Секция (1/2/3)],"&gt;=2")&gt;0,MIN(3,MAX(1,IFERROR(--BD174,1))),1),IFERROR(MIN(3,MAX(1,INT(--AE174))),1))</f>
        <v>1</v>
      </c>
      <c r="GE174" t="str" cm="1">
        <f t="array" ref="GE174">IF(B174="","",_xlfn.LET(_xlpm.t,IFERROR(_xlfn.XLOOKUP(1,(Шины[Шина]=GC174)*(((Шины[Щит]=A174)+(Шины[Щит]=""))&gt;0),Шины[Тип]),"")&amp;"",IF(_xlpm.t&lt;&gt;"",_xlpm.t,IF(ISNUMBER(SEARCH("ИБП",GC174)),"ИБП",IF(ISNUMBER(SEARCH("ДГУ",GC174)),"ДГУ","Ввод "&amp;GD174)))))</f>
        <v>Ввод 1</v>
      </c>
      <c r="GF174" t="str">
        <f t="shared" si="352"/>
        <v>Ввод 1</v>
      </c>
      <c r="GG174" t="str">
        <f>IF(BP174=0,"",IF(TRIM(AG174&amp;"")&lt;&gt;"",TRIM(AG174&amp;""),IF(OR(GE174="ИБП",GE174="ДГУ"),"I особая",_xlfn.XLOOKUP(A174,Щиты[Щит],Щиты[Категория шины «Ввод»],"III"))))</f>
        <v/>
      </c>
      <c r="GH174" t="str">
        <f>IF(A174="","",_xlfn.XLOOKUP(A174,Щиты[Щит],Щиты[Путь],""))</f>
        <v>|ГРЩ-ЖД|ЩР-001|</v>
      </c>
      <c r="GI174" t="str">
        <f>IF(B174="","",IF(AI174&lt;&gt;"",AI174,IF(IFERROR(_xlfn.XLOOKUP(BC174,Коды_код,Коды_вид)&amp;"","")="","Прочее",_xlfn.XLOOKUP(BC174,Коды_код,Коды_вид)&amp;"")))</f>
        <v>Розеточная сеть и бытовые приборы</v>
      </c>
      <c r="GJ174">
        <f>IF(BM174="","",INT((BM174-1)/Столбцов_на_лист)+1)</f>
        <v>2</v>
      </c>
      <c r="GK174" t="str">
        <f t="shared" si="353"/>
        <v>ВВГнг(А)-LS (3х2,5) L=29-0,12%</v>
      </c>
      <c r="GL174">
        <f t="shared" si="354"/>
        <v>0.12</v>
      </c>
      <c r="GM174">
        <f t="shared" si="355"/>
        <v>0.55000000000000004</v>
      </c>
      <c r="GN174">
        <f t="shared" si="356"/>
        <v>1</v>
      </c>
      <c r="GO174">
        <f t="shared" si="357"/>
        <v>0</v>
      </c>
      <c r="GP174">
        <f t="shared" si="358"/>
        <v>1</v>
      </c>
      <c r="GQ174">
        <f>IF(BM174="","",IF(AND(CG174=1,GP174=1),COUNTIFS(A$3:A174,A174,CG$3:CG174,1,GP$3:GP174,1),IF(OR(OR(BA174=1,A174&lt;&gt;A173),AJ174="вручную",GP174=0),"",IF(BA174=1,"",GR173))))</f>
        <v>20</v>
      </c>
      <c r="GR174">
        <f t="shared" si="359"/>
        <v>20</v>
      </c>
      <c r="GS174">
        <f>IF(B174="","",IFERROR(LOOKUP(INDEX(CHOOSE(EB174,Iдоп_1ж,Iдоп_2ж,Iдоп_3ж),MATCH(EN174,Iдоп_S,0))*DZ174*EA174,{6,10,16,20,25,32,40,50,63,80,100,125,160,200,250,315,400,500,630}),""))</f>
        <v>25</v>
      </c>
      <c r="GT174" t="str">
        <f t="shared" si="360"/>
        <v>QFD20</v>
      </c>
      <c r="GU174" t="str">
        <f t="shared" si="361"/>
        <v>QFD20</v>
      </c>
      <c r="GV174" t="str">
        <f t="shared" si="362"/>
        <v/>
      </c>
      <c r="GW174">
        <f t="shared" si="363"/>
        <v>0</v>
      </c>
      <c r="GX174" t="str">
        <f>IF(OR(B174="",DJ174=""),"",IFERROR(_xlfn.XLOOKUP(DJ174,Модули_умолч[Управление],Модули_умолч[Модель])&amp;"",""))</f>
        <v/>
      </c>
      <c r="GY174">
        <f>IF(DJ174="",1,IFERROR(MAX(0,N(_xlfn.XLOOKUP(DJ174,Модули_умолч[Управление],Модули_умолч[Каналов на линию]))),1))</f>
        <v>1</v>
      </c>
      <c r="GZ174" t="str">
        <f t="shared" si="364"/>
        <v/>
      </c>
      <c r="HA174" t="str">
        <f t="shared" si="365"/>
        <v/>
      </c>
      <c r="HB174" t="str">
        <f t="shared" si="366"/>
        <v/>
      </c>
      <c r="HC174">
        <f>IF(HB174="",0,IFERROR(N(VLOOKUP(HB174,Модули_спр,3,FALSE)),0))</f>
        <v>0</v>
      </c>
      <c r="HD174" t="str">
        <f t="shared" si="367"/>
        <v/>
      </c>
      <c r="HE174" t="str">
        <f t="shared" si="368"/>
        <v/>
      </c>
      <c r="HF174" t="str">
        <f>IF(OR(HE174="",HE174="-"),"",IFERROR(VLOOKUP(HE174,Модули_спр,2,FALSE),"R"))</f>
        <v/>
      </c>
      <c r="HG174" t="str">
        <f>IF(HF174="","",HF174&amp;"."&amp;COUNTIFS(A$3:A174,A174,HF$3:HF174,HF174))</f>
        <v/>
      </c>
      <c r="HH174" t="str">
        <f t="shared" si="369"/>
        <v/>
      </c>
      <c r="HI174" t="str">
        <f t="shared" si="370"/>
        <v/>
      </c>
      <c r="HJ174" t="str">
        <f t="shared" si="371"/>
        <v/>
      </c>
      <c r="HK174" t="str">
        <f t="shared" si="372"/>
        <v/>
      </c>
      <c r="HL174">
        <f t="shared" si="373"/>
        <v>1</v>
      </c>
      <c r="HM174" t="str">
        <f>IF(HL174=1,"XT"&amp;COUNTIFS(A$3:A174,A174,HL$3:HL174,1),"")</f>
        <v>XT20</v>
      </c>
      <c r="HN174" t="str">
        <f t="shared" si="374"/>
        <v/>
      </c>
      <c r="HO174" t="str">
        <f t="shared" si="375"/>
        <v>QFD20</v>
      </c>
      <c r="HP174" t="str">
        <f t="shared" si="376"/>
        <v/>
      </c>
      <c r="HQ174" t="str">
        <f t="shared" si="377"/>
        <v>ok</v>
      </c>
      <c r="HR174" t="str">
        <f>IF(OR(HJ174="",HH174=""),"",IF(HJ174+MAX(0,GY174-1)&gt;IFERROR(VLOOKUP(HI174,Модули_спр,3,FALSE),99),"ЛИШНИЙ КАНАЛ",IF(AND(AL174&lt;&gt;"=",GY174&gt;0,COUNTIFS(Линии[_модуль гр.],HH174,Линии[Канал (итог)],HJ174,Линии[Канал],"&lt;&gt;=",Линии[Щит],A174)&gt;1),"ДУБЛЬ КАНАЛА","")))</f>
        <v/>
      </c>
      <c r="HS174" s="6" t="str">
        <f t="shared" si="378"/>
        <v/>
      </c>
      <c r="HT174">
        <f t="shared" si="379"/>
        <v>10</v>
      </c>
      <c r="HU174" t="str">
        <f t="shared" si="380"/>
        <v/>
      </c>
      <c r="HV174">
        <f t="shared" si="381"/>
        <v>0.508785365166595</v>
      </c>
      <c r="HW174">
        <f t="shared" si="382"/>
        <v>0</v>
      </c>
      <c r="HX174">
        <f t="shared" si="383"/>
        <v>0</v>
      </c>
      <c r="HY174">
        <f t="shared" si="384"/>
        <v>0</v>
      </c>
      <c r="HZ174">
        <f t="shared" si="385"/>
        <v>0</v>
      </c>
      <c r="IA174">
        <f t="shared" si="386"/>
        <v>0</v>
      </c>
      <c r="IB174">
        <f t="shared" si="387"/>
        <v>0</v>
      </c>
      <c r="IC174" t="str">
        <f t="shared" si="388"/>
        <v/>
      </c>
      <c r="ID174" t="str" cm="1">
        <f t="array" ref="ID174">IF(IC174="","",_xlfn.LET(_xlpm.tk,_xlfn.TEXTSPLIT(SUBSTITUTE(SUBSTITUTE(IC174,";"," "),"→"," ")," ",,TRUE),_xlpm.w_,_xlfn._xlws.FILTER(_xlpm.tk,ISNUMBER(--LEFT(_xlpm.tk,1))*((ISNUMBER(SEARCH("W",_xlpm.tk))+ISNUMBER(SEARCH("Вт",_xlpm.tk)))&gt;0),""),IFERROR(--SUBSTITUTE(SUBSTITUTE(UPPER(INDEX(_xlpm.w_,1)),"W",""),"ВТ",""),"")))</f>
        <v/>
      </c>
      <c r="IE174" t="str" cm="1">
        <f t="array" ref="IE174">IF(IC174="","",_xlfn.LET(_xlpm.tk,_xlfn.TEXTSPLIT(SUBSTITUTE(SUBSTITUTE(IC174,";"," "),"→"," ")," ",,TRUE),_xlpm.v_,_xlfn._xlws.FILTER(_xlpm.tk,ISNUMBER(--LEFT(_xlpm.tk,1))*((ISNUMBER(SEARCH("V",_xlpm.tk))+(RIGHT(UPPER(_xlpm.tk))="В"))&gt;0),""),IFERROR(--SUBSTITUTE(SUBSTITUTE(UPPER(INDEX(_xlpm.v_,1)),"V",""),"В",""),"")))</f>
        <v/>
      </c>
      <c r="IF174" s="6" t="str">
        <f>IF(OR(BV174=0,HI174="",HJ174=""),"",IFERROR(N(_xlfn.XLOOKUP(HI174,Каталог!$C$4:$C$500,Каталог!$Q$4:$Q$500)),""))</f>
        <v/>
      </c>
      <c r="IG174" s="6" t="str">
        <f>IF(N(IF174)=0,"",SUMIFS(Линии[Iр, А],Линии[Щит],A174,Линии[_модуль гр.],HH174,Линии[Канал (итог)],HJ174))</f>
        <v/>
      </c>
      <c r="IH174" t="str">
        <f>IF(AND(B174="",HO174=""),"",_xlfn.TEXTJOIN("; ",TRUE,IF(AND(B174&lt;&gt;"",FV174=""),"нет фазы",""),IF(AND(B174&lt;&gt;"",N(GL174)=0,FG174&lt;&gt;"Нет"),"нет мощности",""),IF(AND(HN174&lt;&gt;"",COUNTIFS(Линии[Щит],A174,Линии[Клемма (итог)],HN174)&gt;1),"дубль клеммы "&amp;HN174,""),IF(AND(HQ174&lt;&gt;"",HQ174&lt;&gt;"ok"),HQ174,""),IF(HR174&lt;&gt;"",HR174,""),IF(AND(N(CB174)&gt;=4,N(BX174)=1),CB174&amp;" жил на 1 фазе",""),IF(AND(BC174="R",CG174=1,IF(CS174&lt;&gt;"",N(CV174)&gt;30,OR(N(DA174)=0,N(DA174)&gt;30))),"розетка без дифзащиты до 30 мА",""),IF(AND(CG174=1,N(DA174)&gt;0,ISNUMBER(T174)),IF(T174&gt;N(DA174)/3,"ток утечки "&amp;FIXED(T174,1)&amp;" мА &gt; 1/3 уставки ("&amp;DA174&amp;" мА)",""),""),IF(AND(CH174=1,CS174=""),"«узо»: нет строки с УЗО выше (УЗО 2P 40А 30мА в «Аппаратах»)",""),IF(AND(CS174&lt;&gt;"",CS174=BA174),IF(CT174="","впишите номинал УЗО (УЗО 2P 40А 30мА)",IF(N(CT174)&lt;N(DT174),"УЗО "&amp;CT174&amp;" А &lt; автомата "&amp;DT174&amp;" А перед ним",IF(N(CT174)&lt;N(CX174),"УЗО "&amp;CT174&amp;" А &lt; тока блока "&amp;FIXED(CX174,1)&amp;" А",""))),""),IF(AND(CS174&lt;&gt;"",CS174=BA174,ISNUMBER(CY174)),IF(CY174&gt;N(CV174)/3,"ток утечки блока УЗО "&amp;FIXED(CY174,1)&amp;" мА &gt; 1/3 уставки ("&amp;CV174&amp;" мА)",""),""),IF(AND(CG174=1,N(BV174)+N(IB174)&gt;0,IC174=""),"линии до 50 В без БП: впишите в «Аппараты» (БП 24V 480W)",""),IF(AND(CG174=1,ISNUMBER(ID174),ISNUMBER(U174)),IF(U174&gt;ID174,"БП "&amp;ID174&amp;" Вт &lt; нужно "&amp;U174&amp;" Вт (×"&amp;Запас_БП&amp;")",""),""),IF(AND(CG174=1,ISNUMBER(IE174),N(BV174)=1),IF(IE174&lt;&gt;N(BU174),"БП на "&amp;IE174&amp;" В, линия "&amp;BU174&amp;" В",""),""),IF(AND(N(IF174)&gt;0,N(IG174)&gt;N(IF174)),HH174&amp;" канал "&amp;HJ174&amp;": "&amp;FIXED(IG174,1)&amp;" А &gt; "&amp;IF174&amp;" А",""),IFERROR(IF(AND(ISNUMBER(Q174),Q174&gt;EL174),"потери "&amp;FIXED(Q174,1)&amp;" % &gt; "&amp;EL174&amp;" %",""),""),IFERROR(IF(LEFT(HU174,4)="мало","Iкз мало — отключение &gt; 0,4 с",""),""),IF(AND(B174&lt;&gt;"",BM174=""),"не на схеме",""),IF(AND(CG174=0,B174&lt;&gt;"",FV174&lt;&gt;"",IF(BA174=1,"",FW173)&lt;&gt;"",FV174&lt;&gt;IF(BA174=1,"",FW173)),"фаза не как у автомата группы ("&amp;IF(BA174=1,"",FW173)&amp;")","")))</f>
        <v/>
      </c>
      <c r="II174" s="6">
        <f>IF(OR(CG174=0,DQ174=""),"",_xlfn.LET(_xlpm.t,IFERROR(_xlfn.XLOOKUP(DQ174,Каталог!$U$4:$U$500,Каталог!$G$4:$G$500),""),_xlpm.k,SEARCH("кА",_xlpm.t),IFERROR(--TRIM(RIGHT(SUBSTITUTE(MID(_xlpm.t,MAX(1,_xlpm.k-4),_xlpm.k-MAX(1,_xlpm.k-4))," ",REPT(" ",9)),5)),"")))</f>
        <v>6</v>
      </c>
      <c r="IJ174" t="str">
        <f>IF(OR(II174="",CG174=0),"",IF(_xlfn.XLOOKUP(A174,Щиты[Щит],Щиты[Iкз max на шинах, кА],"")="","",IF(II174&lt;_xlfn.XLOOKUP(A174,Щиты[Щит],Щиты[Iкз max на шинах, кА]),"Icu "&amp;II174&amp;" кА &lt; Iкз max","ok")))</f>
        <v/>
      </c>
      <c r="IK174" t="str">
        <f t="shared" si="389"/>
        <v/>
      </c>
      <c r="IL174" t="str">
        <f t="shared" si="390"/>
        <v>QFD20</v>
      </c>
      <c r="IM174" t="str">
        <f t="shared" si="391"/>
        <v>QFD20|кабель ВВГнг(А)-LS (3х2,5) → Розеточная группа, пом. 009Б</v>
      </c>
      <c r="IN174" t="str" cm="1">
        <f t="array" ref="IN174">IF(IM174="","",_xlfn.LET(_xlpm.nd,_xlfn.TEXTSPLIT(IM174,"|"),IF(COLUMNS(_xlpm.nd)&gt;1,A174&amp;"¦"&amp;INDEX(_xlpm.nd,1)&amp;"¦"&amp;INDEX(_xlpm.nd,2),"")))</f>
        <v>ЩР-001¦QFD20¦кабель ВВГнг(А)-LS (3х2,5) → Розеточная группа, пом. 009Б</v>
      </c>
      <c r="IO174" t="str">
        <f t="shared" si="392"/>
        <v>R.00.009Б.1¦Розеточная группа, пом. 009Б</v>
      </c>
      <c r="IP174" t="str" cm="1">
        <f t="array" ref="IP174">IF(IM174="","",_xlfn.LET(_xlpm.nd,_xlfn.TEXTSPLIT(IM174,"|"),IF(COLUMNS(_xlpm.nd)&gt;2,A174&amp;"¦"&amp;INDEX(_xlpm.nd,2)&amp;"¦"&amp;INDEX(_xlpm.nd,3),"")))</f>
        <v/>
      </c>
      <c r="IQ174" t="str">
        <f t="shared" si="393"/>
        <v/>
      </c>
      <c r="IR174" t="str" cm="1">
        <f t="array" ref="IR174">IF(IM174="","",_xlfn.LET(_xlpm.nd,_xlfn.TEXTSPLIT(IM174,"|"),IF(COLUMNS(_xlpm.nd)&gt;3,A174&amp;"¦"&amp;INDEX(_xlpm.nd,3)&amp;"¦"&amp;INDEX(_xlpm.nd,4),"")))</f>
        <v/>
      </c>
      <c r="IS174" t="str">
        <f t="shared" si="394"/>
        <v/>
      </c>
      <c r="IT174" t="str" cm="1">
        <f t="array" ref="IT174">IF(IM174="","",_xlfn.LET(_xlpm.nd,_xlfn.TEXTSPLIT(IM174,"|"),IF(COLUMNS(_xlpm.nd)&gt;4,A174&amp;"¦"&amp;INDEX(_xlpm.nd,4)&amp;"¦"&amp;INDEX(_xlpm.nd,5),"")))</f>
        <v/>
      </c>
      <c r="IU174" t="str">
        <f t="shared" si="395"/>
        <v/>
      </c>
      <c r="IV174" t="str" cm="1">
        <f t="array" ref="IV174">IF(IM174="","",_xlfn.LET(_xlpm.nd,_xlfn.TEXTSPLIT(IM174,"|"),IF(COLUMNS(_xlpm.nd)&gt;5,A174&amp;"¦"&amp;INDEX(_xlpm.nd,5)&amp;"¦"&amp;INDEX(_xlpm.nd,6),"")))</f>
        <v/>
      </c>
      <c r="IW174" t="str">
        <f t="shared" si="396"/>
        <v/>
      </c>
      <c r="IX174" t="str" cm="1">
        <f t="array" ref="IX174">IF(IM174="","",_xlfn.LET(_xlpm.nd,_xlfn.TEXTSPLIT(IM174,"|"),IF(COLUMNS(_xlpm.nd)&gt;6,A174&amp;"¦"&amp;INDEX(_xlpm.nd,6)&amp;"¦"&amp;INDEX(_xlpm.nd,7),"")))</f>
        <v/>
      </c>
      <c r="IY174" t="str">
        <f t="shared" si="397"/>
        <v/>
      </c>
      <c r="IZ174" t="str">
        <f t="shared" si="398"/>
        <v/>
      </c>
      <c r="JA174" t="str">
        <f t="shared" si="399"/>
        <v>QFD20</v>
      </c>
      <c r="JB174">
        <f t="shared" si="400"/>
        <v>0</v>
      </c>
      <c r="JC174">
        <f t="shared" si="401"/>
        <v>1</v>
      </c>
      <c r="JD174" t="str">
        <f t="shared" si="402"/>
        <v/>
      </c>
      <c r="JE174" t="str">
        <f t="shared" si="403"/>
        <v/>
      </c>
      <c r="JF174" t="str">
        <f t="shared" si="404"/>
        <v/>
      </c>
      <c r="JG174" t="str">
        <f t="shared" si="405"/>
        <v/>
      </c>
      <c r="JH174" t="str">
        <f>IF(B174="","",IFERROR(_xlfn.XLOOKUP(B174,Коды_код,Коды_уго),IFERROR(_xlfn.XLOOKUP(BC174,Коды_код,Коды_уго),IFERROR(_xlfn.XLOOKUP(LEFT(BC174,2),Коды_код,Коды_уго),""))))</f>
        <v>Розетка</v>
      </c>
      <c r="JI174" t="str">
        <f>IF(B174="","",IF(OR(JH174="",JH174=0),"BOX",IFERROR(IF(VLOOKUP(JH174,УГО_блоки,3,FALSE)&amp;""&lt;&gt;"",VLOOKUP(JH174,УГО_блоки,3,FALSE),VLOOKUP(JH174,УГО_блоки,2,FALSE)),JH174)))</f>
        <v>SOCKET</v>
      </c>
      <c r="JJ174">
        <f t="shared" si="406"/>
        <v>1</v>
      </c>
      <c r="JK174" t="str">
        <f>IF(DQ174="","",IF(COUNTIF(DQ$3:DQ174,DQ174)=1,MAX(JK$2:JK173)+1,""))</f>
        <v/>
      </c>
      <c r="JL174" t="str">
        <f>IF(DE174="","",IF(COUNTIF(DE$3:DE174,DE174)+COUNTIF(DF$2:DF173,DE174)+COUNTIF(DG$2:DG173,DE174)=1,MAX(JL$2:JN173)+1,""))</f>
        <v/>
      </c>
      <c r="JM174" t="str">
        <f>IF(DF174="","",IF(COUNTIF(DE$3:DE174,DF174)+COUNTIF(DF$3:DF174,DF174)+COUNTIF(DG$2:DG173,DF174)=1,MAX(JL$2:JN173,JL174)+1,""))</f>
        <v/>
      </c>
      <c r="JN174" t="str">
        <f>IF(DG174="","",IF(COUNTIF(DE$3:DE174,DG174)+COUNTIF(DF$3:DF174,DG174)+COUNTIF(DG$3:DG174,DG174)=1,MAX(JL$2:JN173,JL174,JM174)+1,""))</f>
        <v/>
      </c>
      <c r="JO174" t="str">
        <f t="shared" si="407"/>
        <v>3х2,5</v>
      </c>
      <c r="JP174" t="str">
        <f>IF(JO174="","",IF(COUNTIF(JO$3:JO174,JO174)=1,MAX(JP$2:JP173)+1,""))</f>
        <v/>
      </c>
      <c r="JQ174" t="str">
        <f>IF(HG174="","",COUNTIF(HG$3:HG174,"?*"))</f>
        <v/>
      </c>
      <c r="JR174" t="str">
        <f>IF(OR(HG174="",HI174=""),"",IF(COUNTIFS(HG$3:HG174,"?*",HI$3:HI174,HI174)=1,MAX(JR$2:JR173)+1,""))</f>
        <v/>
      </c>
      <c r="JS174">
        <f t="shared" si="408"/>
        <v>0</v>
      </c>
      <c r="JT174">
        <f>IF(B174="","",COUNTIF(B$3:B174,"?*"))</f>
        <v>172</v>
      </c>
      <c r="JU174">
        <f>IF(HL174&lt;&gt;1,0,_xlfn.LET(_xlpm.k,MAX(IFERROR(--_xlfn.XLOOKUP(B174,Коды_код,Коды_3L),0),IFERROR(--_xlfn.XLOOKUP(BC174,Коды_код,Коды_3L),0),IFERROR(--_xlfn.XLOOKUP(LEFT(BC174,2),Коды_код,Коды_3L),0)),IF(_xlpm.k&gt;0,_xlpm.k,IF(IFERROR(--LEFT(SUBSTITUTE(JO174,"x","х"),FIND("х",SUBSTITUTE(JO174,"x","х"))-1),3)&gt;3,Каталог!$S$9,1))))</f>
        <v>1</v>
      </c>
      <c r="JV174">
        <f t="shared" si="409"/>
        <v>0</v>
      </c>
      <c r="JW174" t="str">
        <f t="shared" si="410"/>
        <v>авто</v>
      </c>
      <c r="JX174">
        <f t="shared" si="411"/>
        <v>30</v>
      </c>
      <c r="JY174">
        <f t="shared" si="412"/>
        <v>1</v>
      </c>
      <c r="JZ174">
        <f t="shared" si="413"/>
        <v>1</v>
      </c>
    </row>
    <row r="175" spans="1:286" x14ac:dyDescent="0.3">
      <c r="A175" t="s">
        <v>753</v>
      </c>
      <c r="B175" t="s">
        <v>1483</v>
      </c>
      <c r="C175" t="str">
        <f>Линии[[#This Row],[_авто наименование]]</f>
        <v>Розеточная группа, пом. 006Б</v>
      </c>
      <c r="D175">
        <v>2</v>
      </c>
      <c r="E175">
        <v>0.12</v>
      </c>
      <c r="G175">
        <v>16</v>
      </c>
      <c r="H175" t="str">
        <f>Линии[[#This Row],[_авто управление]]</f>
        <v/>
      </c>
      <c r="I175" t="str">
        <f>Линии[[#This Row],[_авто аппараты]]</f>
        <v/>
      </c>
      <c r="J175">
        <v>2.5</v>
      </c>
      <c r="K175">
        <v>21</v>
      </c>
      <c r="L175">
        <v>3</v>
      </c>
      <c r="M175" t="s">
        <v>484</v>
      </c>
      <c r="N175" t="str">
        <f t="shared" si="276"/>
        <v/>
      </c>
      <c r="O175" s="6" cm="1">
        <f t="array" ref="O175">IF(B175="","",IF(BH175&lt;&gt;"",IFERROR(_xlfn.XLOOKUP(BH175,Щиты[Щит],Щиты[Iр, А]),""),IF(BP175=1,IF(OR(N(_xlfn.XLOOKUP(A175,Щиты[Щит],Щиты[Вводов],1))&lt;=1,LOWER(TRIM(_xlfn.XLOOKUP(A175,Щиты[Щит],Щиты[АВР],"")&amp;""))="да"),IFERROR(_xlfn.XLOOKUP(A175,Щиты[Щит],Щиты[Iр, А]),""),IFERROR(N(BS175)*_xlfn.XLOOKUP(A175,Щиты[Щит],Щиты[Кс итог])/(SQRT(3)*Uн_лин*_xlfn.XLOOKUP(A175,Щиты[Щит],Щиты[cos φ])),"")),IF(BV175=1,IFERROR(BS175*1000/BU175,""),IFERROR(_xlfn.IFS(BX175=1,BS175/((Uн_лин/SQRT(3))*CE175),BX175=3,BS175/(SQRT(3)*Uн_лин*CE175)),"")))))</f>
        <v>0.54696341291648753</v>
      </c>
      <c r="P175" s="7">
        <f>IF(B175="","",IFERROR(IF(VLOOKUP(BC175,Потребители_обозначение,4,FALSE)=1,VLOOKUP(BC175,Потребители_обозначение,3,FALSE)*(MAX(1,N(D175))*2-1)+EI175+VLOOKUP(BE175,Этаж_обозначение,3,FALSE)+VLOOKUP(BE175,Этаж_обозначение,4,FALSE),VLOOKUP(BC175,Потребители_обозначение,3,FALSE)*(MAX(1,N(D175))*2-1)+EI175),EI175))</f>
        <v>30</v>
      </c>
      <c r="Q175" s="6">
        <f t="shared" si="277"/>
        <v>1.7000000000000002</v>
      </c>
      <c r="R175" t="str">
        <f t="shared" si="278"/>
        <v>ВВГнг(А)-LS (3х2,5)</v>
      </c>
      <c r="S175" t="str">
        <f>IF(BM175="","",IF(BN175="вводной узел","узел ","")&amp;"л."&amp;(INT((BM175-1)/Столбцов_на_лист)+1)&amp;" / "&amp;(MOD(BM175-1,Столбцов_на_лист)+1))</f>
        <v>л.2 / 13</v>
      </c>
      <c r="T175" s="119">
        <f t="shared" si="279"/>
        <v>0.5</v>
      </c>
      <c r="U175" s="7" t="str">
        <f>IF(OR(CG175=0,N(BV175)+N(IB175)=0),"",ROUNDUP(Запас_БП*(N(HY175)+N(HZ175)),0))</f>
        <v/>
      </c>
      <c r="V175" s="119" t="str">
        <f t="shared" si="280"/>
        <v/>
      </c>
      <c r="W175" s="7" t="str">
        <f>IFERROR(IF(OR(B175="",BP175=1,BV175=1,NOT(ISNUMBER(EN175)),N(DT175)=0),"",MAX(0,ROUNDDOWN((c_min*(Uн_лин*1000/SQRT(3))/(HT175*N(DT175))-_xlfn.XLOOKUP(A175,Щиты[Щит],Щиты[Zпетли на шинах, Ом]))*EN175/(2*ρкз_Cu),0))),"")</f>
        <v/>
      </c>
      <c r="Y175">
        <f>Линии[[#This Row],[_авто утечка]]</f>
        <v>30</v>
      </c>
      <c r="Z175">
        <v>1</v>
      </c>
      <c r="AA175">
        <v>230</v>
      </c>
      <c r="AB175" t="s">
        <v>562</v>
      </c>
      <c r="AG175" t="s">
        <v>810</v>
      </c>
      <c r="AI175" t="s">
        <v>561</v>
      </c>
      <c r="AK175" t="str">
        <f>Линии[[#This Row],[_авто модуль]]</f>
        <v/>
      </c>
      <c r="AM175">
        <v>30</v>
      </c>
      <c r="AN175" t="s">
        <v>11</v>
      </c>
      <c r="AO175">
        <v>3</v>
      </c>
      <c r="AQ175">
        <v>11</v>
      </c>
      <c r="AR175">
        <v>14</v>
      </c>
      <c r="AS175">
        <v>5</v>
      </c>
      <c r="BA175" cm="1">
        <f t="array" ref="BA175">ROW()-ROW(Линии[#Headers])</f>
        <v>173</v>
      </c>
      <c r="BC175" s="6" t="str">
        <f t="shared" si="281"/>
        <v>R</v>
      </c>
      <c r="BD175" t="str">
        <f t="shared" si="282"/>
        <v>00.006Б.1</v>
      </c>
      <c r="BE175" t="str">
        <f t="shared" si="283"/>
        <v>00</v>
      </c>
      <c r="BF175" t="str">
        <f t="shared" si="284"/>
        <v>006Б.1</v>
      </c>
      <c r="BG175" t="str">
        <f t="shared" si="285"/>
        <v>006Б</v>
      </c>
      <c r="BH175" t="str">
        <f>IF(X175&lt;&gt;"",X175,IF(AND(B175&lt;&gt;"",B175&lt;&gt;A175,ISNUMBER(_xlfn.XMATCH(B175,Щиты[Щит]))),B175,""))</f>
        <v/>
      </c>
      <c r="BI175" t="str" cm="1">
        <f t="array" ref="BI175">IF(B175="","",IF(BH175&lt;&gt;"","Щит "&amp;BH175,_xlfn.LET(_xlpm.nm,IFERROR(_xlfn.XLOOKUP(BC175,Коды_код,Коды_имя)&amp;"",""),_xlpm.md,IFERROR(N(_xlfn.XLOOKUP(BC175,Коды_код,Коды_режим)),1),_xlpm.ex,IF(Имя_режим="по экспликации",IFERROR(_xlfn.XLOOKUP(BE175&amp;"|"&amp;BG175,Экспликация[Этаж]&amp;"|"&amp;Экспликация[Помещение],Экспликация[Название])&amp;"",""),""),_xlpm.rm,IF(BG175="","",IF(_xlpm.ex&lt;&gt;"",". "&amp;_xlpm.ex&amp;IF(Имя_пом="нет"," ("&amp;BG175&amp;")"," (пом. "&amp;BG175&amp;")"),IF(Имя_пом="нет"," ",", пом. ")&amp;BG175)),IF(_xlpm.nm="","",IF(_xlpm.md=2,_xlpm.nm&amp;" шлейф "&amp;BE175,_xlpm.nm&amp;_xlpm.rm)))))</f>
        <v>Розеточная группа, пом. 006Б</v>
      </c>
      <c r="BJ175" t="str">
        <f t="shared" si="286"/>
        <v>Розеточная группа, пом. 006Б</v>
      </c>
      <c r="BK175">
        <f>IFERROR(_xlfn.XMATCH(A175,Щиты[Щит]),0)</f>
        <v>8</v>
      </c>
      <c r="BL175">
        <f>_xlfn.LET(_xlpm.k,IFERROR(_xlfn.XLOOKUP(A175,Щиты[Щит],Щиты[Мест под вводной узел]),""),IF(_xlpm.k="",Столбцов_на_лист,N(_xlpm.k)))</f>
        <v>7</v>
      </c>
      <c r="BM175">
        <f t="shared" si="287"/>
        <v>30</v>
      </c>
      <c r="BN175" t="str">
        <f t="shared" si="288"/>
        <v>линии</v>
      </c>
      <c r="BO175" s="6">
        <f>IFERROR(N(_xlfn.XLOOKUP(BC175,Коды_код,Коды_квт)),0)</f>
        <v>0</v>
      </c>
      <c r="BP175">
        <f t="shared" si="289"/>
        <v>0</v>
      </c>
      <c r="BQ175" t="str">
        <f>IF(B175="","",IF(BH175&lt;&gt;"",IFERROR(_xlfn.XLOOKUP(BH175,Щиты[Щит],Щиты[Руст, кВт]),0),IF(BP175=1,IF(OR(N(_xlfn.XLOOKUP(A175,Щиты[Щит],Щиты[Вводов],1))&lt;=1,LOWER(TRIM(_xlfn.XLOOKUP(A175,Щиты[Щит],Щиты[АВР],"")&amp;""))="да"),IFERROR(_xlfn.XLOOKUP(A175,Щиты[Щит],Щиты[Руст, кВт]),0),SUMIFS(Линии[_Р для вводов],Линии[Щит],A175,Линии[Источник для режимов],GF175)),IF(BO175&gt;0,ROUND(BO175*MAX(1,N(D175)),3),""))))</f>
        <v/>
      </c>
      <c r="BR175">
        <f t="shared" si="290"/>
        <v>0.12</v>
      </c>
      <c r="BS175" s="6">
        <f>IF(B175="","",IF(BH175&lt;&gt;"",IFERROR(_xlfn.XLOOKUP(BH175,Щиты[Щит],Щиты[Руст, кВт]),0),N(BR175)))</f>
        <v>0.12</v>
      </c>
      <c r="BT175" t="str">
        <f>IF(B175="","",IFERROR(IF(VLOOKUP(BC175,Потребители_обозначение,8,FALSE)=0,"",VLOOKUP(BC175,Потребители_обозначение,8,FALSE)),""))</f>
        <v/>
      </c>
      <c r="BU175">
        <f t="shared" si="291"/>
        <v>230</v>
      </c>
      <c r="BV175">
        <f t="shared" si="292"/>
        <v>0</v>
      </c>
      <c r="BW175">
        <f>IF(B175="","",IF(BH175&lt;&gt;"",3,IFERROR(IF(N(VLOOKUP(BC175,Потребители_обозначение,9,FALSE))=0,1,VLOOKUP(BC175,Потребители_обозначение,9,FALSE)),1)))</f>
        <v>1</v>
      </c>
      <c r="BX175">
        <f t="shared" si="293"/>
        <v>1</v>
      </c>
      <c r="BY175" t="str">
        <f>IF(B175="","",_xlfn.LET(_xlpm.bc,IFERROR(IF(VLOOKUP(BC175,Потребители_обозначение,6,FALSE)=0,"",VLOOKUP(BC175,Потребители_обозначение,6,FALSE)&amp;""),""),IF(AND(GA175="да",OR(_xlpm.bc="",_xlpm.bc="мс")),Марка_пож,IF(AND(_xlpm.bc="",BH175&lt;&gt;""),"мс",_xlpm.bc))))</f>
        <v/>
      </c>
      <c r="BZ175" t="str">
        <f t="shared" si="294"/>
        <v>мс</v>
      </c>
      <c r="CA175">
        <f>IF(B175="","",_xlfn.LET(_xlpm.cc,IFERROR(N(VLOOKUP(BC175,Потребители_обозначение,7,FALSE)),0),IF(_xlpm.cc&gt;0,_xlpm.cc,IF(BZ175="","",IF(BV175=1,2,IF(N(BX175)=3,5,3))))))</f>
        <v>3</v>
      </c>
      <c r="CB175">
        <f t="shared" si="295"/>
        <v>3</v>
      </c>
      <c r="CC175">
        <f>IFERROR(N(VLOOKUP(BC175,Потребители_обозначение,10,FALSE)),0)</f>
        <v>0</v>
      </c>
      <c r="CD175">
        <f>IFERROR(VLOOKUP(BC175,Потребители_обозначение,5,FALSE),0)</f>
        <v>1</v>
      </c>
      <c r="CE175" s="6" cm="1">
        <f t="array" ref="CE175">IF(B175="","",IF(BH175&lt;&gt;"",IFERROR(_xlfn.XLOOKUP(BH175,Щиты[Щит],Щиты[cos φ]),0.95),IF(BP175=1,IFERROR(_xlfn.XLOOKUP(A175,Щиты[Щит],Щиты[cos φ]),0.95),IF(ISNUMBER(AD175),AD175,IFERROR(IF(CD175=2,_xlfn.IFS(BX175=3,VLOOKUP(BS175,Справочная_двигатели,8,FALSE),BX175=1,VLOOKUP(BS175,Справочная_двигатели,10,TRUE)),IF(AND(Методика="нормы 2026",FG175="Сил"),0.8,0.95)),0.95)))))</f>
        <v>0.95</v>
      </c>
      <c r="CF175">
        <f t="shared" si="296"/>
        <v>0</v>
      </c>
      <c r="CG175">
        <f t="shared" si="297"/>
        <v>1</v>
      </c>
      <c r="CH175">
        <f t="shared" si="298"/>
        <v>0</v>
      </c>
      <c r="CI175">
        <f>IF(B175="","",IF(BV175=1,IFERROR(BS175/((Uн_лин/SQRT(3))*MAX(0.5,N(CE175))),0),N(O175)))</f>
        <v>0.54696341291648753</v>
      </c>
      <c r="CJ175">
        <f t="shared" si="299"/>
        <v>0</v>
      </c>
      <c r="CK175">
        <f t="shared" si="300"/>
        <v>0</v>
      </c>
      <c r="CL175">
        <f t="shared" si="301"/>
        <v>0</v>
      </c>
      <c r="CM175">
        <f t="shared" si="302"/>
        <v>0</v>
      </c>
      <c r="CN175">
        <f t="shared" si="303"/>
        <v>0</v>
      </c>
      <c r="CO175">
        <f>IF(BC175="",0,_xlfn.LET(_xlpm.v,IFERROR(_xlfn.XLOOKUP(B175,Коды_код,Коды_мА),IFERROR(_xlfn.XLOOKUP(BC175,Коды_код,Коды_мА),IFERROR(_xlfn.XLOOKUP(LEFT(BC175,2),Коды_код,Коды_мА),""))),IF(_xlpm.v="да",30,IF(ISNUMBER(_xlpm.v),_xlpm.v,0))))</f>
        <v>30</v>
      </c>
      <c r="CP175">
        <f t="shared" si="304"/>
        <v>30</v>
      </c>
      <c r="CQ175" t="str">
        <f>_xlfn.LET(_xlpm.k,IFERROR(_xlfn.XLOOKUP(BC175,Коды_код,Коды_утечка)&amp;"",""),IF(_xlpm.k="","дифавтомат",_xlpm.k))</f>
        <v>дифавтомат</v>
      </c>
      <c r="CR175" t="str" cm="1">
        <f t="array" ref="CR175">IF(CG175=0,"",_xlfn.LET(_xlpm.sg,TRIM(_xlfn.TEXTSPLIT(DD175&amp;"",";")),_xlpm.f_,_xlfn._xlws.FILTER(_xlpm.sg,LEFT(_xlpm.sg,3)="УЗО",""),IFERROR(INDEX(_xlpm.f_,1)&amp;"","")))</f>
        <v/>
      </c>
      <c r="CS175" t="str">
        <f t="shared" si="305"/>
        <v/>
      </c>
      <c r="CT175" s="6" t="str" cm="1">
        <f t="array" ref="CT175">IF(CR175="","",_xlfn.LET(_xlpm.tk,_xlfn.TEXTSPLIT(UPPER(CR175)," ",,TRUE),_xlpm.a_,_xlfn._xlws.FILTER(_xlpm.tk,ISNUMBER(--LEFT(_xlpm.tk,1))*((ISNUMBER(SEARCH("А",_xlpm.tk))+ISNUMBER(SEARCH("A",_xlpm.tk)))&gt;0)*NOT(ISNUMBER(SEARCH("МА",_xlpm.tk)))*NOT(ISNUMBER(SEARCH("MA",_xlpm.tk))),""),IFERROR(--SUBSTITUTE(SUBSTITUTE(INDEX(_xlpm.a_,1),"А",""),"A",""),"")))</f>
        <v/>
      </c>
      <c r="CU175" t="str" cm="1">
        <f t="array" ref="CU175">IF(CR175="","",_xlfn.LET(_xlpm.tk,_xlfn.TEXTSPLIT(UPPER(CR175)," ",,TRUE),_xlpm.a_,_xlfn._xlws.FILTER(_xlpm.tk,ISNUMBER(--LEFT(_xlpm.tk,1))*((ISNUMBER(SEARCH("МА",_xlpm.tk))+ISNUMBER(SEARCH("MA",_xlpm.tk)))&gt;0),""),IFERROR(--SUBSTITUTE(SUBSTITUTE(INDEX(_xlpm.a_,1),"МА",""),"MA",""),30)))</f>
        <v/>
      </c>
      <c r="CV175" t="str">
        <f>IF(CS175="","",IFERROR(_xlfn.XLOOKUP(CS175,Линии[_n],Линии[_УЗО, мА]),30))</f>
        <v/>
      </c>
      <c r="CW175">
        <f>IF(CS175="",0,IF(ISNUMBER(SEARCH("4P",IFERROR(_xlfn.XLOOKUP(CS175,Линии[_n],Линии[_УЗО строки])&amp;"",""))),0,1))</f>
        <v>0</v>
      </c>
      <c r="CX175" t="str">
        <f>IF(AND(CS175&lt;&gt;"",CS175=BA175),SUMIFS(Линии[_ток на 230 В],Линии[_блок УЗО],BA175,Линии[Щит],A175),"")</f>
        <v/>
      </c>
      <c r="CY175" t="str">
        <f>IF(AND(CS175&lt;&gt;"",CS175=BA175),SUMIFS(Линии[_ток утечки линии, мА],Линии[_блок УЗО],BA175,Линии[Щит],A175),"")</f>
        <v/>
      </c>
      <c r="CZ175">
        <f t="shared" si="306"/>
        <v>30</v>
      </c>
      <c r="DA175">
        <f t="shared" si="307"/>
        <v>30</v>
      </c>
      <c r="DB175">
        <f>IF(B175="",0,IFERROR(--_xlfn.XLOOKUP(B175,Коды_код,Коды_минавт),IFERROR(--_xlfn.XLOOKUP(BC175,Коды_код,Коды_минавт),IFERROR(--_xlfn.XLOOKUP(LEFT(BC175,2),Коды_код,Коды_минавт),0))))</f>
        <v>16</v>
      </c>
      <c r="DC175" t="str">
        <f>IF(B175="","",IFERROR(_xlfn.XLOOKUP(BC175,Коды_код,Коды_апп)&amp;"",""))</f>
        <v/>
      </c>
      <c r="DD175" t="str">
        <f t="shared" si="308"/>
        <v/>
      </c>
      <c r="DE175" t="str" cm="1">
        <f t="array" ref="DE175">IF(TRIM(DD175&amp;"")="","",IFERROR(TRIM(INDEX(_xlfn.TEXTSPLIT(DD175&amp;";;;",";"),1)),""))</f>
        <v/>
      </c>
      <c r="DF175" t="str" cm="1">
        <f t="array" ref="DF175">IF(TRIM(DD175&amp;"")="","",IFERROR(TRIM(INDEX(_xlfn.TEXTSPLIT(DD175&amp;";;;",";"),2)),""))</f>
        <v/>
      </c>
      <c r="DG175" t="str" cm="1">
        <f t="array" ref="DG175">IF(TRIM(DD175&amp;"")="","",IFERROR(TRIM(INDEX(_xlfn.TEXTSPLIT(DD175&amp;";;;",";"),3)),""))</f>
        <v/>
      </c>
      <c r="DH175">
        <f t="shared" si="309"/>
        <v>0</v>
      </c>
      <c r="DI175" t="str">
        <f>IF(B175="","",_xlfn.LET(_xlpm.t,LOWER(AZ175&amp;""),IF(ISNUMBER(SEARCH("dim",_xlpm.t)),"DIM",IF(ISNUMBER(SEARCH("dali",_xlpm.t)),"DALI",IF(OR(ISNUMBER(SEARCH("relay",_xlpm.t)),ISNUMBER(SEARCH("реле",_xlpm.t))),"Relay",IF(ISNUMBER(SEARCH("кнопк",_xlpm.t)),"",IFERROR(_xlfn.XLOOKUP(BC175,Коды_код,Коды_упр)&amp;"","")))))))</f>
        <v/>
      </c>
      <c r="DJ175" t="str">
        <f t="shared" si="310"/>
        <v/>
      </c>
      <c r="DK175">
        <f>IF(B175="","",_xlfn.LET(_xlpm.ig,IF(N(CX175)&gt;0,N(CX175),N(CI175)+IF(AJ175="вручную",0,N(CJ175))),_xlpm.n0,IFERROR(VLOOKUP(_xlpm.ig,Автомат_номиналы,2,TRUE),0),_xlpm.mn,MAX(DB175,IF(AJ175="вручную",0,N(CM175))),MAX(_xlpm.n0,_xlpm.mn,IF(DH175=1,Мин_автомат_БП,0))))</f>
        <v>16</v>
      </c>
      <c r="DL175">
        <f t="shared" si="311"/>
        <v>1</v>
      </c>
      <c r="DM175" t="str">
        <f t="shared" si="312"/>
        <v>2P</v>
      </c>
      <c r="DN175" t="str">
        <f>_xlfn.LET(_xlpm.cc,UPPER(TRIM(IFERROR(_xlfn.XLOOKUP(BC175,Коды_код,Коды_хар)&amp;"",""))),IF(OR(_xlpm.cc="B",_xlpm.cc="В"),"B",IF(_xlpm.cc="D","D","С")))</f>
        <v>С</v>
      </c>
      <c r="DO175" t="str">
        <f t="shared" si="313"/>
        <v>2P С16А 30мА</v>
      </c>
      <c r="DP175">
        <f t="shared" si="314"/>
        <v>16</v>
      </c>
      <c r="DQ175" t="str">
        <f t="shared" si="315"/>
        <v>2P С16А 30мА</v>
      </c>
      <c r="DR175" cm="1">
        <f t="array" ref="DR175">IF(DQ175="","",_xlfn.LET(_xlpm.t,SUBSTITUTE(SUBSTITUTE(SUBSTITUTE(UPPER(DQ175),"С","C"),"А","A"),"В","B"),_xlpm.tk,_xlfn.TEXTSPLIT(_xlpm.t," "),_xlpm.f,_xlfn._xlws.FILTER(_xlpm.tk,ISNUMBER(--MID(_xlpm.tk,2,1))*ISNUMBER(SEARCH(LEFT(_xlpm.tk,1)&amp;"#","B#C#D#"))*(LEN(_xlpm.tk)&gt;1),""),_xlpm.x,INDEX(_xlpm.f,1),IFERROR(--SUBSTITUTE(MID(_xlpm.x,2,9),"A",""),IFERROR(--SUBSTITUTE(INDEX(_xlfn._xlws.FILTER(_xlpm.tk,ISNUMBER(--SUBSTITUTE(_xlpm.tk,"A","")),""),1),"A",""),""))))</f>
        <v>16</v>
      </c>
      <c r="DS175" t="str">
        <f t="shared" si="316"/>
        <v>ok</v>
      </c>
      <c r="DT175">
        <f t="shared" si="317"/>
        <v>16</v>
      </c>
      <c r="DU175" t="str">
        <f t="shared" si="318"/>
        <v>2P С16А 30мА</v>
      </c>
      <c r="DV175">
        <f t="shared" si="319"/>
        <v>30</v>
      </c>
      <c r="DW175">
        <f t="shared" si="320"/>
        <v>1</v>
      </c>
      <c r="DX175">
        <f t="shared" si="321"/>
        <v>0</v>
      </c>
      <c r="DY175">
        <f t="shared" si="322"/>
        <v>0.54696341291648753</v>
      </c>
      <c r="DZ175">
        <f t="shared" si="323"/>
        <v>1</v>
      </c>
      <c r="EA175">
        <f>IF(ISNUMBER(AP175),AP175,К_прокл)</f>
        <v>1</v>
      </c>
      <c r="EB175">
        <f t="shared" si="324"/>
        <v>2</v>
      </c>
      <c r="EC175">
        <f>IFERROR(N(VLOOKUP(BZ175,Кабель_обозначение,3,FALSE)),1)</f>
        <v>1</v>
      </c>
      <c r="ED175">
        <f>IFERROR(N(_xlfn.XLOOKUP(A175,Щиты[Щит],Щиты[ΔU до шин, %])),0)</f>
        <v>1.57</v>
      </c>
      <c r="EE175" t="str">
        <f>IFERROR(_xlfn.XLOOKUP(A175,Щиты[Щит],Щиты[Zпетли на шинах, Ом]),"")</f>
        <v/>
      </c>
      <c r="EF175">
        <f>IFERROR(N(_xlfn.XLOOKUP(A175,Щиты[Щит],Щиты[ΔU до шин (подбор), %])),0)</f>
        <v>2.5</v>
      </c>
      <c r="EG175" t="str">
        <f>IFERROR(_xlfn.XLOOKUP(A175,Щиты[Щит],Щиты[Zпетли на шинах (подбор), Ом]),"")</f>
        <v/>
      </c>
      <c r="EH175" t="str">
        <f t="shared" si="325"/>
        <v/>
      </c>
      <c r="EI175">
        <f t="shared" si="326"/>
        <v>21</v>
      </c>
      <c r="EJ175">
        <f t="shared" si="327"/>
        <v>2</v>
      </c>
      <c r="EK175">
        <f t="shared" si="328"/>
        <v>0.31</v>
      </c>
      <c r="EL175" s="6">
        <f>IF(B175="","",IF(BV175=1,dU_LED,IF(IFERROR(_xlfn.XLOOKUP(BC175,Коды_код,Коды_уго),"")="Светильник",3,4)+IF(Методика="нормы 2026",MIN(0.5,MAX(0,N(P175)-100)*0.005),0)))</f>
        <v>4</v>
      </c>
      <c r="EM175" cm="1">
        <f t="array" ref="EM175">IF(OR(B175="",BZ175="",EC175&lt;&gt;1),"",_xlfn.LET(_xlpm.sz,Iдоп_S,_xlpm.t_,CHOOSE(EB175,Iдоп_1ж,Iдоп_2ж,Iдоп_3ж)*DZ175*EA175,_xlpm.dcx,BV175=1,_xlpm.inn,IF(_xlpm.dcx,N(O175),N(DT175)),_xlpm.smin,MAX(1.5,CC175),_xlpm.L_,N(P175)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175)/N(BU175)*100,999),IFERROR(N(EJ175)*(_xlpm.rho*_xlpm.L_/_xlpm.sz*N(CE175)+_xlpm.xx*_xlpm.L_*N(EK175)/1000)*N(O175)/((Uн_лин/SQRT(3))*1000)*100,999)),_xlpm.kz,IF(OR(_xlpm.dcx,DW175=1,NOT(ISNUMBER(EG175)),_xlpm.L_=0,_xlpm.inn=0),1,IFERROR(--(c_min*(Uн_лин*1000/SQRT(3))/(EG175+2*ρкз_Cu*_xlpm.L_/_xlpm.sz)&gt;=HT175*_xlpm.inn),0)),_xlpm.ok,IFERROR((_xlpm.sz&gt;=_xlpm.smin)*(_xlpm.t_&gt;=_xlpm.inn)*IF(_xlpm.L_&gt;0,(_xlpm.du_+IF(_xlpm.dcx,0,EF175)&lt;=EL175+0.00001),1)*_xlpm.kz,0),_xlpm.r_,_xlfn._xlws.FILTER(_xlpm.sz,_xlpm.ok,"не подобрано"),INDEX(_xlpm.r_,1)))</f>
        <v>1.5</v>
      </c>
      <c r="EN175">
        <f t="shared" si="329"/>
        <v>2.5</v>
      </c>
      <c r="EO175" cm="1">
        <f t="array" ref="EO175">IF(OR(B175="",BZ175="",EC175&lt;&gt;1),"",_xlfn.LET(_xlpm.sz,Iдоп_S,_xlpm.t_,CHOOSE(EB175,Iдоп_1ж,Iдоп_2ж,Iдоп_3ж)*DZ175*EA175,_xlpm.ok,IFERROR((_xlpm.sz&gt;=MAX(1.5,CC175))*(_xlpm.t_&gt;=N(DT175)),0),_xlpm.r_,_xlfn._xlws.FILTER(_xlpm.sz,_xlpm.ok,""),INDEX(_xlpm.r_,1)))</f>
        <v>1.5</v>
      </c>
      <c r="EP175" s="6" cm="1">
        <f t="array" ref="EP175">IFERROR(ROUNDUP(N(EJ175)*(_xlfn.XLOOKUP(EO175,INDEX(Кабель_сопротивление,0,1),INDEX(Кабель_сопротивление,0,3))*N(P175)/EO175*N(CE175)+_xlfn.XLOOKUP(EO175,INDEX(Кабель_сопротивление,0,1),INDEX(Кабель_сопротивление,0,2))*N(P175)*N(EK175)/1000)*N(O175)/((Uн_лин/SQRT(3))*1000)*100,2),"")</f>
        <v>0.21000000000000002</v>
      </c>
      <c r="EQ175">
        <f>IFERROR(2*ρкз_Cu*N(P175)/EO175,"")</f>
        <v>1.052</v>
      </c>
      <c r="ER175">
        <f>IFERROR(VLOOKUP(EN175,Кабель_сопротивление,3,FALSE),"")</f>
        <v>2.2499999999999999E-2</v>
      </c>
      <c r="ES175">
        <f>IFERROR(VLOOKUP(EN175,Кабель_сопротивление,2,FALSE),"")</f>
        <v>0.1</v>
      </c>
      <c r="ET175">
        <f t="shared" si="330"/>
        <v>14</v>
      </c>
      <c r="EU175">
        <f t="shared" si="331"/>
        <v>5</v>
      </c>
      <c r="EV175">
        <f t="shared" si="332"/>
        <v>0.28160958277418269</v>
      </c>
      <c r="EW175" s="6">
        <f>IFERROR(ROUNDUP(EV175/IF(BV175=1,BU175,(Uн_лин/SQRT(3))*1000)*100,2),"")</f>
        <v>0.13</v>
      </c>
      <c r="EX175" t="str">
        <f>IFERROR(VLOOKUP(BZ175,Кабель_обозначение,2,FALSE),"")</f>
        <v>ВВГнг(А)-LS</v>
      </c>
      <c r="EY175" t="str">
        <f t="shared" si="333"/>
        <v>ВВГнг(А)-LS (3х2,5)</v>
      </c>
      <c r="EZ175" t="str">
        <f t="shared" si="334"/>
        <v>ВВГнг(А)-LS (3х2,5)
L=30-0,13%</v>
      </c>
      <c r="FA175">
        <f>IFERROR(2*ρкз_Cu*P175/EN175,"")</f>
        <v>0.63119999999999998</v>
      </c>
      <c r="FB175">
        <f t="shared" si="335"/>
        <v>0.21000000000000002</v>
      </c>
      <c r="FC175" s="6" t="str">
        <f>IFERROR(IF(OR(B175="",BV175=1,NOT(ISNUMBER(EN175)),N(P175)=0),"",_xlfn.XLOOKUP(A175,Щиты[Щит],Щиты[Zпетли на шинах, Ом])+FA175),"")</f>
        <v/>
      </c>
      <c r="FD175" s="6" t="str">
        <f>IF(ISNUMBER(FC175),c_min*(Uн_лин*1000/SQRT(3))/FC175,"")</f>
        <v/>
      </c>
      <c r="FE175" s="6" t="str">
        <f>IFERROR(IF(OR(B175="",NOT(ISNUMBER(EN175))),"",1.05*(Uн_лин*1000/SQRT(3))/(_xlfn.XLOOKUP(A175,Щиты[Щит],Щиты[Zmax на шинах, Ом])+FB175)/1000),"")</f>
        <v/>
      </c>
      <c r="FF175" s="6" t="str">
        <f>IF(B175="","",IF(ISNUMBER(AC175),"Сил",IF(IFERROR(_xlfn.XLOOKUP(BC175,Коды_код,Коды_группа)&amp;"","")="","Быт",_xlfn.XLOOKUP(BC175,Коды_код,Коды_группа)&amp;"")))</f>
        <v>Быт</v>
      </c>
      <c r="FG175" s="6" t="str">
        <f t="shared" si="336"/>
        <v>Быт</v>
      </c>
      <c r="FH175" s="6">
        <f>IF(FG175="Щит","щит",IF(FG175="","",IF(FG175="Быт",IFERROR(_xlfn.XLOOKUP(A175,Щиты[Щит],Щиты[Кс быт]),1),IF(FG175="Сил",IF(ISNUMBER(AC175),AC175,IF(Методика="нормы 2026",IFERROR(_xlfn.XLOOKUP(A175,Щиты[Щит],Щиты[Кс силовых (табл. 7.5)]),1),1)),IF(OR(FG175="Пост",FG175="Отоп"),1,IF(FG175="ВНГ",0.7,0))))))</f>
        <v>0.8</v>
      </c>
      <c r="FI175">
        <f>IF(FG175="","",IF(AND(BP175=1,TRIM(AE175&amp;"")=""),IF(COUNTIFS(Линии[Щит],A175,Линии[Секция (1/2/3)],"&gt;=2")&gt;0,MIN(3,MAX(1,IFERROR(--BD175,1))),1),IFERROR(MIN(3,MAX(1,INT(--AE175))),1)))</f>
        <v>1</v>
      </c>
      <c r="FJ175">
        <f t="shared" si="337"/>
        <v>0.12</v>
      </c>
      <c r="FK175">
        <f t="shared" si="338"/>
        <v>0.12</v>
      </c>
      <c r="FL175">
        <f t="shared" si="339"/>
        <v>0</v>
      </c>
      <c r="FM175">
        <f t="shared" si="340"/>
        <v>0</v>
      </c>
      <c r="FN175">
        <f t="shared" si="341"/>
        <v>0</v>
      </c>
      <c r="FO175">
        <f t="shared" si="342"/>
        <v>0</v>
      </c>
      <c r="FP175">
        <f t="shared" si="343"/>
        <v>0.12</v>
      </c>
      <c r="FQ175">
        <f t="shared" si="344"/>
        <v>0.12</v>
      </c>
      <c r="FR175">
        <f t="shared" si="345"/>
        <v>0.11399999999999999</v>
      </c>
      <c r="FS175">
        <f>IF(CG175=1,IF(AND(CH175=1,CW175=1),0,IF(AND(CS175&lt;&gt;"",CS175=BA175,CW175=1),SUMIFS(Линии[_Р линии, кВт],Линии[_блок УЗО],BA175,Линии[Щит],A175),N(BS175)+IF(AJ175="вручную",0,N(CK175)))),0)</f>
        <v>0.12</v>
      </c>
      <c r="FT175" t="str">
        <f t="shared" si="346"/>
        <v>L3</v>
      </c>
      <c r="FU175" t="str">
        <f>IF(B175="","",IF(CG175=0,IF(BA175=1,"",FW174),IF(AND(CH175=1,CW175=1,CS175&lt;&gt;""),IFERROR(_xlfn.XLOOKUP(CS175,Линии[_n],Линии[_фаза итог]),"L1"),IF(OR(N(DL175)&gt;=3,N(BX175)&gt;=3),"L1,L2,L3",IFERROR(_xlfn.TEXTBEFORE(_xlfn.TEXTAFTER(_xlfn.XLOOKUP(A175,Щиты[Щит],Щиты[_фазы авто]),";"&amp;BA175&amp;":"),";"),"L1")))))</f>
        <v>L1</v>
      </c>
      <c r="FV175" t="str">
        <f t="shared" si="347"/>
        <v>L3</v>
      </c>
      <c r="FW175" t="str">
        <f t="shared" si="348"/>
        <v>L3</v>
      </c>
      <c r="FX175" cm="1">
        <f t="array" ref="FX175">IFERROR(IF(CD175=2,_xlfn.IFS(BX175=3,VLOOKUP(BS175,Справочная_двигатели,3,FALSE),BX175=1,VLOOKUP(BS175,Справочная_двигатели,5,TRUE)),0),0)</f>
        <v>0</v>
      </c>
      <c r="FY175">
        <f>IFERROR(IF(CD175=3,VLOOKUP(BS175,Справочная_ЛЭД,2,TRUE),0),0)</f>
        <v>0</v>
      </c>
      <c r="FZ175" s="6">
        <f t="shared" si="349"/>
        <v>0</v>
      </c>
      <c r="GA175" t="str">
        <f>IF(B175="","",IF(TRIM(AH175&amp;"")&lt;&gt;"",IF(LOWER(TRIM(AH175&amp;""))="да","да","нет"),IF(IFERROR(_xlfn.XLOOKUP(BC175,Коды_код,Коды_пожарная),"")="да","да","нет")))</f>
        <v>нет</v>
      </c>
      <c r="GB175" t="str">
        <f t="shared" si="350"/>
        <v/>
      </c>
      <c r="GC175" t="str">
        <f t="shared" si="351"/>
        <v>основная</v>
      </c>
      <c r="GD175">
        <f>IF(AND(BP175=1,TRIM(AE175&amp;"")=""),IF(COUNTIFS(Линии[Щит],A175,Линии[Секция (1/2/3)],"&gt;=2")&gt;0,MIN(3,MAX(1,IFERROR(--BD175,1))),1),IFERROR(MIN(3,MAX(1,INT(--AE175))),1))</f>
        <v>1</v>
      </c>
      <c r="GE175" t="str" cm="1">
        <f t="array" ref="GE175">IF(B175="","",_xlfn.LET(_xlpm.t,IFERROR(_xlfn.XLOOKUP(1,(Шины[Шина]=GC175)*(((Шины[Щит]=A175)+(Шины[Щит]=""))&gt;0),Шины[Тип]),"")&amp;"",IF(_xlpm.t&lt;&gt;"",_xlpm.t,IF(ISNUMBER(SEARCH("ИБП",GC175)),"ИБП",IF(ISNUMBER(SEARCH("ДГУ",GC175)),"ДГУ","Ввод "&amp;GD175)))))</f>
        <v>Ввод 1</v>
      </c>
      <c r="GF175" t="str">
        <f t="shared" si="352"/>
        <v>Ввод 1</v>
      </c>
      <c r="GG175" t="str">
        <f>IF(BP175=0,"",IF(TRIM(AG175&amp;"")&lt;&gt;"",TRIM(AG175&amp;""),IF(OR(GE175="ИБП",GE175="ДГУ"),"I особая",_xlfn.XLOOKUP(A175,Щиты[Щит],Щиты[Категория шины «Ввод»],"III"))))</f>
        <v/>
      </c>
      <c r="GH175" t="str">
        <f>IF(A175="","",_xlfn.XLOOKUP(A175,Щиты[Щит],Щиты[Путь],""))</f>
        <v>|ГРЩ-ЖД|ЩР-001|</v>
      </c>
      <c r="GI175" t="str">
        <f>IF(B175="","",IF(AI175&lt;&gt;"",AI175,IF(IFERROR(_xlfn.XLOOKUP(BC175,Коды_код,Коды_вид)&amp;"","")="","Прочее",_xlfn.XLOOKUP(BC175,Коды_код,Коды_вид)&amp;"")))</f>
        <v>Розеточная сеть и бытовые приборы</v>
      </c>
      <c r="GJ175">
        <f>IF(BM175="","",INT((BM175-1)/Столбцов_на_лист)+1)</f>
        <v>2</v>
      </c>
      <c r="GK175" t="str">
        <f t="shared" si="353"/>
        <v>ВВГнг(А)-LS (3х2,5) L=30-0,13%</v>
      </c>
      <c r="GL175">
        <f t="shared" si="354"/>
        <v>0.12</v>
      </c>
      <c r="GM175">
        <f t="shared" si="355"/>
        <v>0.55000000000000004</v>
      </c>
      <c r="GN175">
        <f t="shared" si="356"/>
        <v>1</v>
      </c>
      <c r="GO175">
        <f t="shared" si="357"/>
        <v>0</v>
      </c>
      <c r="GP175">
        <f t="shared" si="358"/>
        <v>1</v>
      </c>
      <c r="GQ175">
        <f>IF(BM175="","",IF(AND(CG175=1,GP175=1),COUNTIFS(A$3:A175,A175,CG$3:CG175,1,GP$3:GP175,1),IF(OR(OR(BA175=1,A175&lt;&gt;A174),AJ175="вручную",GP175=0),"",IF(BA175=1,"",GR174))))</f>
        <v>21</v>
      </c>
      <c r="GR175">
        <f t="shared" si="359"/>
        <v>21</v>
      </c>
      <c r="GS175">
        <f>IF(B175="","",IFERROR(LOOKUP(INDEX(CHOOSE(EB175,Iдоп_1ж,Iдоп_2ж,Iдоп_3ж),MATCH(EN175,Iдоп_S,0))*DZ175*EA175,{6,10,16,20,25,32,40,50,63,80,100,125,160,200,250,315,400,500,630}),""))</f>
        <v>25</v>
      </c>
      <c r="GT175" t="str">
        <f t="shared" si="360"/>
        <v>QFD21</v>
      </c>
      <c r="GU175" t="str">
        <f t="shared" si="361"/>
        <v>QFD21</v>
      </c>
      <c r="GV175" t="str">
        <f t="shared" si="362"/>
        <v/>
      </c>
      <c r="GW175">
        <f t="shared" si="363"/>
        <v>0</v>
      </c>
      <c r="GX175" t="str">
        <f>IF(OR(B175="",DJ175=""),"",IFERROR(_xlfn.XLOOKUP(DJ175,Модули_умолч[Управление],Модули_умолч[Модель])&amp;"",""))</f>
        <v/>
      </c>
      <c r="GY175">
        <f>IF(DJ175="",1,IFERROR(MAX(0,N(_xlfn.XLOOKUP(DJ175,Модули_умолч[Управление],Модули_умолч[Каналов на линию]))),1))</f>
        <v>1</v>
      </c>
      <c r="GZ175" t="str">
        <f t="shared" si="364"/>
        <v/>
      </c>
      <c r="HA175" t="str">
        <f t="shared" si="365"/>
        <v/>
      </c>
      <c r="HB175" t="str">
        <f t="shared" si="366"/>
        <v/>
      </c>
      <c r="HC175">
        <f>IF(HB175="",0,IFERROR(N(VLOOKUP(HB175,Модули_спр,3,FALSE)),0))</f>
        <v>0</v>
      </c>
      <c r="HD175" t="str">
        <f t="shared" si="367"/>
        <v/>
      </c>
      <c r="HE175" t="str">
        <f t="shared" si="368"/>
        <v/>
      </c>
      <c r="HF175" t="str">
        <f>IF(OR(HE175="",HE175="-"),"",IFERROR(VLOOKUP(HE175,Модули_спр,2,FALSE),"R"))</f>
        <v/>
      </c>
      <c r="HG175" t="str">
        <f>IF(HF175="","",HF175&amp;"."&amp;COUNTIFS(A$3:A175,A175,HF$3:HF175,HF175))</f>
        <v/>
      </c>
      <c r="HH175" t="str">
        <f t="shared" si="369"/>
        <v/>
      </c>
      <c r="HI175" t="str">
        <f t="shared" si="370"/>
        <v/>
      </c>
      <c r="HJ175" t="str">
        <f t="shared" si="371"/>
        <v/>
      </c>
      <c r="HK175" t="str">
        <f t="shared" si="372"/>
        <v/>
      </c>
      <c r="HL175">
        <f t="shared" si="373"/>
        <v>1</v>
      </c>
      <c r="HM175" t="str">
        <f>IF(HL175=1,"XT"&amp;COUNTIFS(A$3:A175,A175,HL$3:HL175,1),"")</f>
        <v>XT21</v>
      </c>
      <c r="HN175" t="str">
        <f t="shared" si="374"/>
        <v/>
      </c>
      <c r="HO175" t="str">
        <f t="shared" si="375"/>
        <v>QFD21</v>
      </c>
      <c r="HP175" t="str">
        <f t="shared" si="376"/>
        <v/>
      </c>
      <c r="HQ175" t="str">
        <f t="shared" si="377"/>
        <v>ok</v>
      </c>
      <c r="HR175" t="str">
        <f>IF(OR(HJ175="",HH175=""),"",IF(HJ175+MAX(0,GY175-1)&gt;IFERROR(VLOOKUP(HI175,Модули_спр,3,FALSE),99),"ЛИШНИЙ КАНАЛ",IF(AND(AL175&lt;&gt;"=",GY175&gt;0,COUNTIFS(Линии[_модуль гр.],HH175,Линии[Канал (итог)],HJ175,Линии[Канал],"&lt;&gt;=",Линии[Щит],A175)&gt;1),"ДУБЛЬ КАНАЛА","")))</f>
        <v/>
      </c>
      <c r="HS175" s="6" t="str">
        <f t="shared" si="378"/>
        <v/>
      </c>
      <c r="HT175">
        <f t="shared" si="379"/>
        <v>10</v>
      </c>
      <c r="HU175" t="str">
        <f t="shared" si="380"/>
        <v/>
      </c>
      <c r="HV175">
        <f t="shared" si="381"/>
        <v>0.51878536516659501</v>
      </c>
      <c r="HW175">
        <f t="shared" si="382"/>
        <v>0</v>
      </c>
      <c r="HX175">
        <f t="shared" si="383"/>
        <v>0</v>
      </c>
      <c r="HY175">
        <f t="shared" si="384"/>
        <v>0</v>
      </c>
      <c r="HZ175">
        <f t="shared" si="385"/>
        <v>0</v>
      </c>
      <c r="IA175">
        <f t="shared" si="386"/>
        <v>0</v>
      </c>
      <c r="IB175">
        <f t="shared" si="387"/>
        <v>0</v>
      </c>
      <c r="IC175" t="str">
        <f t="shared" si="388"/>
        <v/>
      </c>
      <c r="ID175" t="str" cm="1">
        <f t="array" ref="ID175">IF(IC175="","",_xlfn.LET(_xlpm.tk,_xlfn.TEXTSPLIT(SUBSTITUTE(SUBSTITUTE(IC175,";"," "),"→"," ")," ",,TRUE),_xlpm.w_,_xlfn._xlws.FILTER(_xlpm.tk,ISNUMBER(--LEFT(_xlpm.tk,1))*((ISNUMBER(SEARCH("W",_xlpm.tk))+ISNUMBER(SEARCH("Вт",_xlpm.tk)))&gt;0),""),IFERROR(--SUBSTITUTE(SUBSTITUTE(UPPER(INDEX(_xlpm.w_,1)),"W",""),"ВТ",""),"")))</f>
        <v/>
      </c>
      <c r="IE175" t="str" cm="1">
        <f t="array" ref="IE175">IF(IC175="","",_xlfn.LET(_xlpm.tk,_xlfn.TEXTSPLIT(SUBSTITUTE(SUBSTITUTE(IC175,";"," "),"→"," ")," ",,TRUE),_xlpm.v_,_xlfn._xlws.FILTER(_xlpm.tk,ISNUMBER(--LEFT(_xlpm.tk,1))*((ISNUMBER(SEARCH("V",_xlpm.tk))+(RIGHT(UPPER(_xlpm.tk))="В"))&gt;0),""),IFERROR(--SUBSTITUTE(SUBSTITUTE(UPPER(INDEX(_xlpm.v_,1)),"V",""),"В",""),"")))</f>
        <v/>
      </c>
      <c r="IF175" s="6" t="str">
        <f>IF(OR(BV175=0,HI175="",HJ175=""),"",IFERROR(N(_xlfn.XLOOKUP(HI175,Каталог!$C$4:$C$500,Каталог!$Q$4:$Q$500)),""))</f>
        <v/>
      </c>
      <c r="IG175" s="6" t="str">
        <f>IF(N(IF175)=0,"",SUMIFS(Линии[Iр, А],Линии[Щит],A175,Линии[_модуль гр.],HH175,Линии[Канал (итог)],HJ175))</f>
        <v/>
      </c>
      <c r="IH175" t="str">
        <f>IF(AND(B175="",HO175=""),"",_xlfn.TEXTJOIN("; ",TRUE,IF(AND(B175&lt;&gt;"",FV175=""),"нет фазы",""),IF(AND(B175&lt;&gt;"",N(GL175)=0,FG175&lt;&gt;"Нет"),"нет мощности",""),IF(AND(HN175&lt;&gt;"",COUNTIFS(Линии[Щит],A175,Линии[Клемма (итог)],HN175)&gt;1),"дубль клеммы "&amp;HN175,""),IF(AND(HQ175&lt;&gt;"",HQ175&lt;&gt;"ok"),HQ175,""),IF(HR175&lt;&gt;"",HR175,""),IF(AND(N(CB175)&gt;=4,N(BX175)=1),CB175&amp;" жил на 1 фазе",""),IF(AND(BC175="R",CG175=1,IF(CS175&lt;&gt;"",N(CV175)&gt;30,OR(N(DA175)=0,N(DA175)&gt;30))),"розетка без дифзащиты до 30 мА",""),IF(AND(CG175=1,N(DA175)&gt;0,ISNUMBER(T175)),IF(T175&gt;N(DA175)/3,"ток утечки "&amp;FIXED(T175,1)&amp;" мА &gt; 1/3 уставки ("&amp;DA175&amp;" мА)",""),""),IF(AND(CH175=1,CS175=""),"«узо»: нет строки с УЗО выше (УЗО 2P 40А 30мА в «Аппаратах»)",""),IF(AND(CS175&lt;&gt;"",CS175=BA175),IF(CT175="","впишите номинал УЗО (УЗО 2P 40А 30мА)",IF(N(CT175)&lt;N(DT175),"УЗО "&amp;CT175&amp;" А &lt; автомата "&amp;DT175&amp;" А перед ним",IF(N(CT175)&lt;N(CX175),"УЗО "&amp;CT175&amp;" А &lt; тока блока "&amp;FIXED(CX175,1)&amp;" А",""))),""),IF(AND(CS175&lt;&gt;"",CS175=BA175,ISNUMBER(CY175)),IF(CY175&gt;N(CV175)/3,"ток утечки блока УЗО "&amp;FIXED(CY175,1)&amp;" мА &gt; 1/3 уставки ("&amp;CV175&amp;" мА)",""),""),IF(AND(CG175=1,N(BV175)+N(IB175)&gt;0,IC175=""),"линии до 50 В без БП: впишите в «Аппараты» (БП 24V 480W)",""),IF(AND(CG175=1,ISNUMBER(ID175),ISNUMBER(U175)),IF(U175&gt;ID175,"БП "&amp;ID175&amp;" Вт &lt; нужно "&amp;U175&amp;" Вт (×"&amp;Запас_БП&amp;")",""),""),IF(AND(CG175=1,ISNUMBER(IE175),N(BV175)=1),IF(IE175&lt;&gt;N(BU175),"БП на "&amp;IE175&amp;" В, линия "&amp;BU175&amp;" В",""),""),IF(AND(N(IF175)&gt;0,N(IG175)&gt;N(IF175)),HH175&amp;" канал "&amp;HJ175&amp;": "&amp;FIXED(IG175,1)&amp;" А &gt; "&amp;IF175&amp;" А",""),IFERROR(IF(AND(ISNUMBER(Q175),Q175&gt;EL175),"потери "&amp;FIXED(Q175,1)&amp;" % &gt; "&amp;EL175&amp;" %",""),""),IFERROR(IF(LEFT(HU175,4)="мало","Iкз мало — отключение &gt; 0,4 с",""),""),IF(AND(B175&lt;&gt;"",BM175=""),"не на схеме",""),IF(AND(CG175=0,B175&lt;&gt;"",FV175&lt;&gt;"",IF(BA175=1,"",FW174)&lt;&gt;"",FV175&lt;&gt;IF(BA175=1,"",FW174)),"фаза не как у автомата группы ("&amp;IF(BA175=1,"",FW174)&amp;")","")))</f>
        <v/>
      </c>
      <c r="II175" s="6">
        <f>IF(OR(CG175=0,DQ175=""),"",_xlfn.LET(_xlpm.t,IFERROR(_xlfn.XLOOKUP(DQ175,Каталог!$U$4:$U$500,Каталог!$G$4:$G$500),""),_xlpm.k,SEARCH("кА",_xlpm.t),IFERROR(--TRIM(RIGHT(SUBSTITUTE(MID(_xlpm.t,MAX(1,_xlpm.k-4),_xlpm.k-MAX(1,_xlpm.k-4))," ",REPT(" ",9)),5)),"")))</f>
        <v>6</v>
      </c>
      <c r="IJ175" t="str">
        <f>IF(OR(II175="",CG175=0),"",IF(_xlfn.XLOOKUP(A175,Щиты[Щит],Щиты[Iкз max на шинах, кА],"")="","",IF(II175&lt;_xlfn.XLOOKUP(A175,Щиты[Щит],Щиты[Iкз max на шинах, кА]),"Icu "&amp;II175&amp;" кА &lt; Iкз max","ok")))</f>
        <v/>
      </c>
      <c r="IK175" t="str">
        <f t="shared" si="389"/>
        <v/>
      </c>
      <c r="IL175" t="str">
        <f t="shared" si="390"/>
        <v>QFD21</v>
      </c>
      <c r="IM175" t="str">
        <f t="shared" si="391"/>
        <v>QFD21|кабель ВВГнг(А)-LS (3х2,5) → Розеточная группа, пом. 006Б</v>
      </c>
      <c r="IN175" t="str" cm="1">
        <f t="array" ref="IN175">IF(IM175="","",_xlfn.LET(_xlpm.nd,_xlfn.TEXTSPLIT(IM175,"|"),IF(COLUMNS(_xlpm.nd)&gt;1,A175&amp;"¦"&amp;INDEX(_xlpm.nd,1)&amp;"¦"&amp;INDEX(_xlpm.nd,2),"")))</f>
        <v>ЩР-001¦QFD21¦кабель ВВГнг(А)-LS (3х2,5) → Розеточная группа, пом. 006Б</v>
      </c>
      <c r="IO175" t="str">
        <f t="shared" si="392"/>
        <v>R.00.006Б.1¦Розеточная группа, пом. 006Б</v>
      </c>
      <c r="IP175" t="str" cm="1">
        <f t="array" ref="IP175">IF(IM175="","",_xlfn.LET(_xlpm.nd,_xlfn.TEXTSPLIT(IM175,"|"),IF(COLUMNS(_xlpm.nd)&gt;2,A175&amp;"¦"&amp;INDEX(_xlpm.nd,2)&amp;"¦"&amp;INDEX(_xlpm.nd,3),"")))</f>
        <v/>
      </c>
      <c r="IQ175" t="str">
        <f t="shared" si="393"/>
        <v/>
      </c>
      <c r="IR175" t="str" cm="1">
        <f t="array" ref="IR175">IF(IM175="","",_xlfn.LET(_xlpm.nd,_xlfn.TEXTSPLIT(IM175,"|"),IF(COLUMNS(_xlpm.nd)&gt;3,A175&amp;"¦"&amp;INDEX(_xlpm.nd,3)&amp;"¦"&amp;INDEX(_xlpm.nd,4),"")))</f>
        <v/>
      </c>
      <c r="IS175" t="str">
        <f t="shared" si="394"/>
        <v/>
      </c>
      <c r="IT175" t="str" cm="1">
        <f t="array" ref="IT175">IF(IM175="","",_xlfn.LET(_xlpm.nd,_xlfn.TEXTSPLIT(IM175,"|"),IF(COLUMNS(_xlpm.nd)&gt;4,A175&amp;"¦"&amp;INDEX(_xlpm.nd,4)&amp;"¦"&amp;INDEX(_xlpm.nd,5),"")))</f>
        <v/>
      </c>
      <c r="IU175" t="str">
        <f t="shared" si="395"/>
        <v/>
      </c>
      <c r="IV175" t="str" cm="1">
        <f t="array" ref="IV175">IF(IM175="","",_xlfn.LET(_xlpm.nd,_xlfn.TEXTSPLIT(IM175,"|"),IF(COLUMNS(_xlpm.nd)&gt;5,A175&amp;"¦"&amp;INDEX(_xlpm.nd,5)&amp;"¦"&amp;INDEX(_xlpm.nd,6),"")))</f>
        <v/>
      </c>
      <c r="IW175" t="str">
        <f t="shared" si="396"/>
        <v/>
      </c>
      <c r="IX175" t="str" cm="1">
        <f t="array" ref="IX175">IF(IM175="","",_xlfn.LET(_xlpm.nd,_xlfn.TEXTSPLIT(IM175,"|"),IF(COLUMNS(_xlpm.nd)&gt;6,A175&amp;"¦"&amp;INDEX(_xlpm.nd,6)&amp;"¦"&amp;INDEX(_xlpm.nd,7),"")))</f>
        <v/>
      </c>
      <c r="IY175" t="str">
        <f t="shared" si="397"/>
        <v/>
      </c>
      <c r="IZ175" t="str">
        <f t="shared" si="398"/>
        <v/>
      </c>
      <c r="JA175" t="str">
        <f t="shared" si="399"/>
        <v>QFD21</v>
      </c>
      <c r="JB175">
        <f t="shared" si="400"/>
        <v>0</v>
      </c>
      <c r="JC175">
        <f t="shared" si="401"/>
        <v>1</v>
      </c>
      <c r="JD175" t="str">
        <f t="shared" si="402"/>
        <v/>
      </c>
      <c r="JE175" t="str">
        <f t="shared" si="403"/>
        <v/>
      </c>
      <c r="JF175" t="str">
        <f t="shared" si="404"/>
        <v/>
      </c>
      <c r="JG175" t="str">
        <f t="shared" si="405"/>
        <v/>
      </c>
      <c r="JH175" t="str">
        <f>IF(B175="","",IFERROR(_xlfn.XLOOKUP(B175,Коды_код,Коды_уго),IFERROR(_xlfn.XLOOKUP(BC175,Коды_код,Коды_уго),IFERROR(_xlfn.XLOOKUP(LEFT(BC175,2),Коды_код,Коды_уго),""))))</f>
        <v>Розетка</v>
      </c>
      <c r="JI175" t="str">
        <f>IF(B175="","",IF(OR(JH175="",JH175=0),"BOX",IFERROR(IF(VLOOKUP(JH175,УГО_блоки,3,FALSE)&amp;""&lt;&gt;"",VLOOKUP(JH175,УГО_блоки,3,FALSE),VLOOKUP(JH175,УГО_блоки,2,FALSE)),JH175)))</f>
        <v>SOCKET</v>
      </c>
      <c r="JJ175">
        <f t="shared" si="406"/>
        <v>1</v>
      </c>
      <c r="JK175" t="str">
        <f>IF(DQ175="","",IF(COUNTIF(DQ$3:DQ175,DQ175)=1,MAX(JK$2:JK174)+1,""))</f>
        <v/>
      </c>
      <c r="JL175" t="str">
        <f>IF(DE175="","",IF(COUNTIF(DE$3:DE175,DE175)+COUNTIF(DF$2:DF174,DE175)+COUNTIF(DG$2:DG174,DE175)=1,MAX(JL$2:JN174)+1,""))</f>
        <v/>
      </c>
      <c r="JM175" t="str">
        <f>IF(DF175="","",IF(COUNTIF(DE$3:DE175,DF175)+COUNTIF(DF$3:DF175,DF175)+COUNTIF(DG$2:DG174,DF175)=1,MAX(JL$2:JN174,JL175)+1,""))</f>
        <v/>
      </c>
      <c r="JN175" t="str">
        <f>IF(DG175="","",IF(COUNTIF(DE$3:DE175,DG175)+COUNTIF(DF$3:DF175,DG175)+COUNTIF(DG$3:DG175,DG175)=1,MAX(JL$2:JN174,JL175,JM175)+1,""))</f>
        <v/>
      </c>
      <c r="JO175" t="str">
        <f t="shared" si="407"/>
        <v>3х2,5</v>
      </c>
      <c r="JP175" t="str">
        <f>IF(JO175="","",IF(COUNTIF(JO$3:JO175,JO175)=1,MAX(JP$2:JP174)+1,""))</f>
        <v/>
      </c>
      <c r="JQ175" t="str">
        <f>IF(HG175="","",COUNTIF(HG$3:HG175,"?*"))</f>
        <v/>
      </c>
      <c r="JR175" t="str">
        <f>IF(OR(HG175="",HI175=""),"",IF(COUNTIFS(HG$3:HG175,"?*",HI$3:HI175,HI175)=1,MAX(JR$2:JR174)+1,""))</f>
        <v/>
      </c>
      <c r="JS175">
        <f t="shared" si="408"/>
        <v>0</v>
      </c>
      <c r="JT175">
        <f>IF(B175="","",COUNTIF(B$3:B175,"?*"))</f>
        <v>173</v>
      </c>
      <c r="JU175">
        <f>IF(HL175&lt;&gt;1,0,_xlfn.LET(_xlpm.k,MAX(IFERROR(--_xlfn.XLOOKUP(B175,Коды_код,Коды_3L),0),IFERROR(--_xlfn.XLOOKUP(BC175,Коды_код,Коды_3L),0),IFERROR(--_xlfn.XLOOKUP(LEFT(BC175,2),Коды_код,Коды_3L),0)),IF(_xlpm.k&gt;0,_xlpm.k,IF(IFERROR(--LEFT(SUBSTITUTE(JO175,"x","х"),FIND("х",SUBSTITUTE(JO175,"x","х"))-1),3)&gt;3,Каталог!$S$9,1))))</f>
        <v>1</v>
      </c>
      <c r="JV175">
        <f t="shared" si="409"/>
        <v>0</v>
      </c>
      <c r="JW175" t="str">
        <f t="shared" si="410"/>
        <v>авто</v>
      </c>
      <c r="JX175">
        <f t="shared" si="411"/>
        <v>30</v>
      </c>
      <c r="JY175">
        <f t="shared" si="412"/>
        <v>1</v>
      </c>
      <c r="JZ175">
        <f t="shared" si="413"/>
        <v>1</v>
      </c>
    </row>
    <row r="176" spans="1:286" x14ac:dyDescent="0.3">
      <c r="A176" t="s">
        <v>753</v>
      </c>
      <c r="B176" t="s">
        <v>1484</v>
      </c>
      <c r="C176" t="str">
        <f>Линии[[#This Row],[_авто наименование]]</f>
        <v>Розеточная группа, пом. 007А</v>
      </c>
      <c r="D176">
        <v>4</v>
      </c>
      <c r="E176">
        <v>0.3</v>
      </c>
      <c r="G176">
        <v>16</v>
      </c>
      <c r="H176" t="str">
        <f>Линии[[#This Row],[_авто управление]]</f>
        <v/>
      </c>
      <c r="I176" t="str">
        <f>Линии[[#This Row],[_авто аппараты]]</f>
        <v/>
      </c>
      <c r="J176">
        <v>2.5</v>
      </c>
      <c r="K176">
        <v>59</v>
      </c>
      <c r="L176">
        <v>3</v>
      </c>
      <c r="M176" t="s">
        <v>484</v>
      </c>
      <c r="N176" t="str">
        <f t="shared" si="276"/>
        <v/>
      </c>
      <c r="O176" s="6" cm="1">
        <f t="array" ref="O176">IF(B176="","",IF(BH176&lt;&gt;"",IFERROR(_xlfn.XLOOKUP(BH176,Щиты[Щит],Щиты[Iр, А]),""),IF(BP176=1,IF(OR(N(_xlfn.XLOOKUP(A176,Щиты[Щит],Щиты[Вводов],1))&lt;=1,LOWER(TRIM(_xlfn.XLOOKUP(A176,Щиты[Щит],Щиты[АВР],"")&amp;""))="да"),IFERROR(_xlfn.XLOOKUP(A176,Щиты[Щит],Щиты[Iр, А]),""),IFERROR(N(BS176)*_xlfn.XLOOKUP(A176,Щиты[Щит],Щиты[Кс итог])/(SQRT(3)*Uн_лин*_xlfn.XLOOKUP(A176,Щиты[Щит],Щиты[cos φ])),"")),IF(BV176=1,IFERROR(BS176*1000/BU176,""),IFERROR(_xlfn.IFS(BX176=1,BS176/((Uн_лин/SQRT(3))*CE176),BX176=3,BS176/(SQRT(3)*Uн_лин*CE176)),"")))))</f>
        <v>1.3674085322912188</v>
      </c>
      <c r="P176" s="7">
        <f>IF(B176="","",IFERROR(IF(VLOOKUP(BC176,Потребители_обозначение,4,FALSE)=1,VLOOKUP(BC176,Потребители_обозначение,3,FALSE)*(MAX(1,N(D176))*2-1)+EI176+VLOOKUP(BE176,Этаж_обозначение,3,FALSE)+VLOOKUP(BE176,Этаж_обозначение,4,FALSE),VLOOKUP(BC176,Потребители_обозначение,3,FALSE)*(MAX(1,N(D176))*2-1)+EI176),EI176))</f>
        <v>80</v>
      </c>
      <c r="Q176" s="6">
        <f t="shared" si="277"/>
        <v>2.39</v>
      </c>
      <c r="R176" t="str">
        <f t="shared" si="278"/>
        <v>ВВГнг(А)-LS (3х2,5)</v>
      </c>
      <c r="S176" t="str">
        <f>IF(BM176="","",IF(BN176="вводной узел","узел ","")&amp;"л."&amp;(INT((BM176-1)/Столбцов_на_лист)+1)&amp;" / "&amp;(MOD(BM176-1,Столбцов_на_лист)+1))</f>
        <v>л.2 / 14</v>
      </c>
      <c r="T176" s="119">
        <f t="shared" si="279"/>
        <v>1.3</v>
      </c>
      <c r="U176" s="7" t="str">
        <f>IF(OR(CG176=0,N(BV176)+N(IB176)=0),"",ROUNDUP(Запас_БП*(N(HY176)+N(HZ176)),0))</f>
        <v/>
      </c>
      <c r="V176" s="119" t="str">
        <f t="shared" si="280"/>
        <v/>
      </c>
      <c r="W176" s="7" t="str">
        <f>IFERROR(IF(OR(B176="",BP176=1,BV176=1,NOT(ISNUMBER(EN176)),N(DT176)=0),"",MAX(0,ROUNDDOWN((c_min*(Uн_лин*1000/SQRT(3))/(HT176*N(DT176))-_xlfn.XLOOKUP(A176,Щиты[Щит],Щиты[Zпетли на шинах, Ом]))*EN176/(2*ρкз_Cu),0))),"")</f>
        <v/>
      </c>
      <c r="Y176">
        <f>Линии[[#This Row],[_авто утечка]]</f>
        <v>30</v>
      </c>
      <c r="Z176">
        <v>1</v>
      </c>
      <c r="AA176">
        <v>230</v>
      </c>
      <c r="AB176" t="s">
        <v>562</v>
      </c>
      <c r="AG176" t="s">
        <v>810</v>
      </c>
      <c r="AI176" t="s">
        <v>561</v>
      </c>
      <c r="AK176" t="str">
        <f>Линии[[#This Row],[_авто модуль]]</f>
        <v/>
      </c>
      <c r="AM176">
        <v>31</v>
      </c>
      <c r="AN176" t="s">
        <v>11</v>
      </c>
      <c r="AO176">
        <v>3</v>
      </c>
      <c r="AQ176">
        <v>41</v>
      </c>
      <c r="AR176">
        <v>23</v>
      </c>
      <c r="AS176">
        <v>16</v>
      </c>
      <c r="BA176" cm="1">
        <f t="array" ref="BA176">ROW()-ROW(Линии[#Headers])</f>
        <v>174</v>
      </c>
      <c r="BC176" s="6" t="str">
        <f t="shared" si="281"/>
        <v>R</v>
      </c>
      <c r="BD176" t="str">
        <f t="shared" si="282"/>
        <v>00.007А.1</v>
      </c>
      <c r="BE176" t="str">
        <f t="shared" si="283"/>
        <v>00</v>
      </c>
      <c r="BF176" t="str">
        <f t="shared" si="284"/>
        <v>007А.1</v>
      </c>
      <c r="BG176" t="str">
        <f t="shared" si="285"/>
        <v>007А</v>
      </c>
      <c r="BH176" t="str">
        <f>IF(X176&lt;&gt;"",X176,IF(AND(B176&lt;&gt;"",B176&lt;&gt;A176,ISNUMBER(_xlfn.XMATCH(B176,Щиты[Щит]))),B176,""))</f>
        <v/>
      </c>
      <c r="BI176" t="str" cm="1">
        <f t="array" ref="BI176">IF(B176="","",IF(BH176&lt;&gt;"","Щит "&amp;BH176,_xlfn.LET(_xlpm.nm,IFERROR(_xlfn.XLOOKUP(BC176,Коды_код,Коды_имя)&amp;"",""),_xlpm.md,IFERROR(N(_xlfn.XLOOKUP(BC176,Коды_код,Коды_режим)),1),_xlpm.ex,IF(Имя_режим="по экспликации",IFERROR(_xlfn.XLOOKUP(BE176&amp;"|"&amp;BG176,Экспликация[Этаж]&amp;"|"&amp;Экспликация[Помещение],Экспликация[Название])&amp;"",""),""),_xlpm.rm,IF(BG176="","",IF(_xlpm.ex&lt;&gt;"",". "&amp;_xlpm.ex&amp;IF(Имя_пом="нет"," ("&amp;BG176&amp;")"," (пом. "&amp;BG176&amp;")"),IF(Имя_пом="нет"," ",", пом. ")&amp;BG176)),IF(_xlpm.nm="","",IF(_xlpm.md=2,_xlpm.nm&amp;" шлейф "&amp;BE176,_xlpm.nm&amp;_xlpm.rm)))))</f>
        <v>Розеточная группа, пом. 007А</v>
      </c>
      <c r="BJ176" t="str">
        <f t="shared" si="286"/>
        <v>Розеточная группа, пом. 007А</v>
      </c>
      <c r="BK176">
        <f>IFERROR(_xlfn.XMATCH(A176,Щиты[Щит]),0)</f>
        <v>8</v>
      </c>
      <c r="BL176">
        <f>_xlfn.LET(_xlpm.k,IFERROR(_xlfn.XLOOKUP(A176,Щиты[Щит],Щиты[Мест под вводной узел]),""),IF(_xlpm.k="",Столбцов_на_лист,N(_xlpm.k)))</f>
        <v>7</v>
      </c>
      <c r="BM176">
        <f t="shared" si="287"/>
        <v>31</v>
      </c>
      <c r="BN176" t="str">
        <f t="shared" si="288"/>
        <v>линии</v>
      </c>
      <c r="BO176" s="6">
        <f>IFERROR(N(_xlfn.XLOOKUP(BC176,Коды_код,Коды_квт)),0)</f>
        <v>0</v>
      </c>
      <c r="BP176">
        <f t="shared" si="289"/>
        <v>0</v>
      </c>
      <c r="BQ176" t="str">
        <f>IF(B176="","",IF(BH176&lt;&gt;"",IFERROR(_xlfn.XLOOKUP(BH176,Щиты[Щит],Щиты[Руст, кВт]),0),IF(BP176=1,IF(OR(N(_xlfn.XLOOKUP(A176,Щиты[Щит],Щиты[Вводов],1))&lt;=1,LOWER(TRIM(_xlfn.XLOOKUP(A176,Щиты[Щит],Щиты[АВР],"")&amp;""))="да"),IFERROR(_xlfn.XLOOKUP(A176,Щиты[Щит],Щиты[Руст, кВт]),0),SUMIFS(Линии[_Р для вводов],Линии[Щит],A176,Линии[Источник для режимов],GF176)),IF(BO176&gt;0,ROUND(BO176*MAX(1,N(D176)),3),""))))</f>
        <v/>
      </c>
      <c r="BR176">
        <f t="shared" si="290"/>
        <v>0.3</v>
      </c>
      <c r="BS176" s="6">
        <f>IF(B176="","",IF(BH176&lt;&gt;"",IFERROR(_xlfn.XLOOKUP(BH176,Щиты[Щит],Щиты[Руст, кВт]),0),N(BR176)))</f>
        <v>0.3</v>
      </c>
      <c r="BT176" t="str">
        <f>IF(B176="","",IFERROR(IF(VLOOKUP(BC176,Потребители_обозначение,8,FALSE)=0,"",VLOOKUP(BC176,Потребители_обозначение,8,FALSE)),""))</f>
        <v/>
      </c>
      <c r="BU176">
        <f t="shared" si="291"/>
        <v>230</v>
      </c>
      <c r="BV176">
        <f t="shared" si="292"/>
        <v>0</v>
      </c>
      <c r="BW176">
        <f>IF(B176="","",IF(BH176&lt;&gt;"",3,IFERROR(IF(N(VLOOKUP(BC176,Потребители_обозначение,9,FALSE))=0,1,VLOOKUP(BC176,Потребители_обозначение,9,FALSE)),1)))</f>
        <v>1</v>
      </c>
      <c r="BX176">
        <f t="shared" si="293"/>
        <v>1</v>
      </c>
      <c r="BY176" t="str">
        <f>IF(B176="","",_xlfn.LET(_xlpm.bc,IFERROR(IF(VLOOKUP(BC176,Потребители_обозначение,6,FALSE)=0,"",VLOOKUP(BC176,Потребители_обозначение,6,FALSE)&amp;""),""),IF(AND(GA176="да",OR(_xlpm.bc="",_xlpm.bc="мс")),Марка_пож,IF(AND(_xlpm.bc="",BH176&lt;&gt;""),"мс",_xlpm.bc))))</f>
        <v/>
      </c>
      <c r="BZ176" t="str">
        <f t="shared" si="294"/>
        <v>мс</v>
      </c>
      <c r="CA176">
        <f>IF(B176="","",_xlfn.LET(_xlpm.cc,IFERROR(N(VLOOKUP(BC176,Потребители_обозначение,7,FALSE)),0),IF(_xlpm.cc&gt;0,_xlpm.cc,IF(BZ176="","",IF(BV176=1,2,IF(N(BX176)=3,5,3))))))</f>
        <v>3</v>
      </c>
      <c r="CB176">
        <f t="shared" si="295"/>
        <v>3</v>
      </c>
      <c r="CC176">
        <f>IFERROR(N(VLOOKUP(BC176,Потребители_обозначение,10,FALSE)),0)</f>
        <v>0</v>
      </c>
      <c r="CD176">
        <f>IFERROR(VLOOKUP(BC176,Потребители_обозначение,5,FALSE),0)</f>
        <v>1</v>
      </c>
      <c r="CE176" s="6" cm="1">
        <f t="array" ref="CE176">IF(B176="","",IF(BH176&lt;&gt;"",IFERROR(_xlfn.XLOOKUP(BH176,Щиты[Щит],Щиты[cos φ]),0.95),IF(BP176=1,IFERROR(_xlfn.XLOOKUP(A176,Щиты[Щит],Щиты[cos φ]),0.95),IF(ISNUMBER(AD176),AD176,IFERROR(IF(CD176=2,_xlfn.IFS(BX176=3,VLOOKUP(BS176,Справочная_двигатели,8,FALSE),BX176=1,VLOOKUP(BS176,Справочная_двигатели,10,TRUE)),IF(AND(Методика="нормы 2026",FG176="Сил"),0.8,0.95)),0.95)))))</f>
        <v>0.95</v>
      </c>
      <c r="CF176">
        <f t="shared" si="296"/>
        <v>0</v>
      </c>
      <c r="CG176">
        <f t="shared" si="297"/>
        <v>1</v>
      </c>
      <c r="CH176">
        <f t="shared" si="298"/>
        <v>0</v>
      </c>
      <c r="CI176">
        <f>IF(B176="","",IF(BV176=1,IFERROR(BS176/((Uн_лин/SQRT(3))*MAX(0.5,N(CE176))),0),N(O176)))</f>
        <v>1.3674085322912188</v>
      </c>
      <c r="CJ176">
        <f t="shared" si="299"/>
        <v>0</v>
      </c>
      <c r="CK176">
        <f t="shared" si="300"/>
        <v>0</v>
      </c>
      <c r="CL176">
        <f t="shared" si="301"/>
        <v>0</v>
      </c>
      <c r="CM176">
        <f t="shared" si="302"/>
        <v>0</v>
      </c>
      <c r="CN176">
        <f t="shared" si="303"/>
        <v>0</v>
      </c>
      <c r="CO176">
        <f>IF(BC176="",0,_xlfn.LET(_xlpm.v,IFERROR(_xlfn.XLOOKUP(B176,Коды_код,Коды_мА),IFERROR(_xlfn.XLOOKUP(BC176,Коды_код,Коды_мА),IFERROR(_xlfn.XLOOKUP(LEFT(BC176,2),Коды_код,Коды_мА),""))),IF(_xlpm.v="да",30,IF(ISNUMBER(_xlpm.v),_xlpm.v,0))))</f>
        <v>30</v>
      </c>
      <c r="CP176">
        <f t="shared" si="304"/>
        <v>30</v>
      </c>
      <c r="CQ176" t="str">
        <f>_xlfn.LET(_xlpm.k,IFERROR(_xlfn.XLOOKUP(BC176,Коды_код,Коды_утечка)&amp;"",""),IF(_xlpm.k="","дифавтомат",_xlpm.k))</f>
        <v>дифавтомат</v>
      </c>
      <c r="CR176" t="str" cm="1">
        <f t="array" ref="CR176">IF(CG176=0,"",_xlfn.LET(_xlpm.sg,TRIM(_xlfn.TEXTSPLIT(DD176&amp;"",";")),_xlpm.f_,_xlfn._xlws.FILTER(_xlpm.sg,LEFT(_xlpm.sg,3)="УЗО",""),IFERROR(INDEX(_xlpm.f_,1)&amp;"","")))</f>
        <v/>
      </c>
      <c r="CS176" t="str">
        <f t="shared" si="305"/>
        <v/>
      </c>
      <c r="CT176" s="6" t="str" cm="1">
        <f t="array" ref="CT176">IF(CR176="","",_xlfn.LET(_xlpm.tk,_xlfn.TEXTSPLIT(UPPER(CR176)," ",,TRUE),_xlpm.a_,_xlfn._xlws.FILTER(_xlpm.tk,ISNUMBER(--LEFT(_xlpm.tk,1))*((ISNUMBER(SEARCH("А",_xlpm.tk))+ISNUMBER(SEARCH("A",_xlpm.tk)))&gt;0)*NOT(ISNUMBER(SEARCH("МА",_xlpm.tk)))*NOT(ISNUMBER(SEARCH("MA",_xlpm.tk))),""),IFERROR(--SUBSTITUTE(SUBSTITUTE(INDEX(_xlpm.a_,1),"А",""),"A",""),"")))</f>
        <v/>
      </c>
      <c r="CU176" t="str" cm="1">
        <f t="array" ref="CU176">IF(CR176="","",_xlfn.LET(_xlpm.tk,_xlfn.TEXTSPLIT(UPPER(CR176)," ",,TRUE),_xlpm.a_,_xlfn._xlws.FILTER(_xlpm.tk,ISNUMBER(--LEFT(_xlpm.tk,1))*((ISNUMBER(SEARCH("МА",_xlpm.tk))+ISNUMBER(SEARCH("MA",_xlpm.tk)))&gt;0),""),IFERROR(--SUBSTITUTE(SUBSTITUTE(INDEX(_xlpm.a_,1),"МА",""),"MA",""),30)))</f>
        <v/>
      </c>
      <c r="CV176" t="str">
        <f>IF(CS176="","",IFERROR(_xlfn.XLOOKUP(CS176,Линии[_n],Линии[_УЗО, мА]),30))</f>
        <v/>
      </c>
      <c r="CW176">
        <f>IF(CS176="",0,IF(ISNUMBER(SEARCH("4P",IFERROR(_xlfn.XLOOKUP(CS176,Линии[_n],Линии[_УЗО строки])&amp;"",""))),0,1))</f>
        <v>0</v>
      </c>
      <c r="CX176" t="str">
        <f>IF(AND(CS176&lt;&gt;"",CS176=BA176),SUMIFS(Линии[_ток на 230 В],Линии[_блок УЗО],BA176,Линии[Щит],A176),"")</f>
        <v/>
      </c>
      <c r="CY176" t="str">
        <f>IF(AND(CS176&lt;&gt;"",CS176=BA176),SUMIFS(Линии[_ток утечки линии, мА],Линии[_блок УЗО],BA176,Линии[Щит],A176),"")</f>
        <v/>
      </c>
      <c r="CZ176">
        <f t="shared" si="306"/>
        <v>30</v>
      </c>
      <c r="DA176">
        <f t="shared" si="307"/>
        <v>30</v>
      </c>
      <c r="DB176">
        <f>IF(B176="",0,IFERROR(--_xlfn.XLOOKUP(B176,Коды_код,Коды_минавт),IFERROR(--_xlfn.XLOOKUP(BC176,Коды_код,Коды_минавт),IFERROR(--_xlfn.XLOOKUP(LEFT(BC176,2),Коды_код,Коды_минавт),0))))</f>
        <v>16</v>
      </c>
      <c r="DC176" t="str">
        <f>IF(B176="","",IFERROR(_xlfn.XLOOKUP(BC176,Коды_код,Коды_апп)&amp;"",""))</f>
        <v/>
      </c>
      <c r="DD176" t="str">
        <f t="shared" si="308"/>
        <v/>
      </c>
      <c r="DE176" t="str" cm="1">
        <f t="array" ref="DE176">IF(TRIM(DD176&amp;"")="","",IFERROR(TRIM(INDEX(_xlfn.TEXTSPLIT(DD176&amp;";;;",";"),1)),""))</f>
        <v/>
      </c>
      <c r="DF176" t="str" cm="1">
        <f t="array" ref="DF176">IF(TRIM(DD176&amp;"")="","",IFERROR(TRIM(INDEX(_xlfn.TEXTSPLIT(DD176&amp;";;;",";"),2)),""))</f>
        <v/>
      </c>
      <c r="DG176" t="str" cm="1">
        <f t="array" ref="DG176">IF(TRIM(DD176&amp;"")="","",IFERROR(TRIM(INDEX(_xlfn.TEXTSPLIT(DD176&amp;";;;",";"),3)),""))</f>
        <v/>
      </c>
      <c r="DH176">
        <f t="shared" si="309"/>
        <v>0</v>
      </c>
      <c r="DI176" t="str">
        <f>IF(B176="","",_xlfn.LET(_xlpm.t,LOWER(AZ176&amp;""),IF(ISNUMBER(SEARCH("dim",_xlpm.t)),"DIM",IF(ISNUMBER(SEARCH("dali",_xlpm.t)),"DALI",IF(OR(ISNUMBER(SEARCH("relay",_xlpm.t)),ISNUMBER(SEARCH("реле",_xlpm.t))),"Relay",IF(ISNUMBER(SEARCH("кнопк",_xlpm.t)),"",IFERROR(_xlfn.XLOOKUP(BC176,Коды_код,Коды_упр)&amp;"","")))))))</f>
        <v/>
      </c>
      <c r="DJ176" t="str">
        <f t="shared" si="310"/>
        <v/>
      </c>
      <c r="DK176">
        <f>IF(B176="","",_xlfn.LET(_xlpm.ig,IF(N(CX176)&gt;0,N(CX176),N(CI176)+IF(AJ176="вручную",0,N(CJ176))),_xlpm.n0,IFERROR(VLOOKUP(_xlpm.ig,Автомат_номиналы,2,TRUE),0),_xlpm.mn,MAX(DB176,IF(AJ176="вручную",0,N(CM176))),MAX(_xlpm.n0,_xlpm.mn,IF(DH176=1,Мин_автомат_БП,0))))</f>
        <v>16</v>
      </c>
      <c r="DL176">
        <f t="shared" si="311"/>
        <v>1</v>
      </c>
      <c r="DM176" t="str">
        <f t="shared" si="312"/>
        <v>2P</v>
      </c>
      <c r="DN176" t="str">
        <f>_xlfn.LET(_xlpm.cc,UPPER(TRIM(IFERROR(_xlfn.XLOOKUP(BC176,Коды_код,Коды_хар)&amp;"",""))),IF(OR(_xlpm.cc="B",_xlpm.cc="В"),"B",IF(_xlpm.cc="D","D","С")))</f>
        <v>С</v>
      </c>
      <c r="DO176" t="str">
        <f t="shared" si="313"/>
        <v>2P С16А 30мА</v>
      </c>
      <c r="DP176">
        <f t="shared" si="314"/>
        <v>16</v>
      </c>
      <c r="DQ176" t="str">
        <f t="shared" si="315"/>
        <v>2P С16А 30мА</v>
      </c>
      <c r="DR176" cm="1">
        <f t="array" ref="DR176">IF(DQ176="","",_xlfn.LET(_xlpm.t,SUBSTITUTE(SUBSTITUTE(SUBSTITUTE(UPPER(DQ176),"С","C"),"А","A"),"В","B"),_xlpm.tk,_xlfn.TEXTSPLIT(_xlpm.t," "),_xlpm.f,_xlfn._xlws.FILTER(_xlpm.tk,ISNUMBER(--MID(_xlpm.tk,2,1))*ISNUMBER(SEARCH(LEFT(_xlpm.tk,1)&amp;"#","B#C#D#"))*(LEN(_xlpm.tk)&gt;1),""),_xlpm.x,INDEX(_xlpm.f,1),IFERROR(--SUBSTITUTE(MID(_xlpm.x,2,9),"A",""),IFERROR(--SUBSTITUTE(INDEX(_xlfn._xlws.FILTER(_xlpm.tk,ISNUMBER(--SUBSTITUTE(_xlpm.tk,"A","")),""),1),"A",""),""))))</f>
        <v>16</v>
      </c>
      <c r="DS176" t="str">
        <f t="shared" si="316"/>
        <v>ok</v>
      </c>
      <c r="DT176">
        <f t="shared" si="317"/>
        <v>16</v>
      </c>
      <c r="DU176" t="str">
        <f t="shared" si="318"/>
        <v>2P С16А 30мА</v>
      </c>
      <c r="DV176">
        <f t="shared" si="319"/>
        <v>30</v>
      </c>
      <c r="DW176">
        <f t="shared" si="320"/>
        <v>1</v>
      </c>
      <c r="DX176">
        <f t="shared" si="321"/>
        <v>0</v>
      </c>
      <c r="DY176">
        <f t="shared" si="322"/>
        <v>1.3674085322912188</v>
      </c>
      <c r="DZ176">
        <f t="shared" si="323"/>
        <v>1</v>
      </c>
      <c r="EA176">
        <f>IF(ISNUMBER(AP176),AP176,К_прокл)</f>
        <v>1</v>
      </c>
      <c r="EB176">
        <f t="shared" si="324"/>
        <v>2</v>
      </c>
      <c r="EC176">
        <f>IFERROR(N(VLOOKUP(BZ176,Кабель_обозначение,3,FALSE)),1)</f>
        <v>1</v>
      </c>
      <c r="ED176">
        <f>IFERROR(N(_xlfn.XLOOKUP(A176,Щиты[Щит],Щиты[ΔU до шин, %])),0)</f>
        <v>1.57</v>
      </c>
      <c r="EE176" t="str">
        <f>IFERROR(_xlfn.XLOOKUP(A176,Щиты[Щит],Щиты[Zпетли на шинах, Ом]),"")</f>
        <v/>
      </c>
      <c r="EF176">
        <f>IFERROR(N(_xlfn.XLOOKUP(A176,Щиты[Щит],Щиты[ΔU до шин (подбор), %])),0)</f>
        <v>2.5</v>
      </c>
      <c r="EG176" t="str">
        <f>IFERROR(_xlfn.XLOOKUP(A176,Щиты[Щит],Щиты[Zпетли на шинах (подбор), Ом]),"")</f>
        <v/>
      </c>
      <c r="EH176" t="str">
        <f t="shared" si="325"/>
        <v/>
      </c>
      <c r="EI176">
        <f t="shared" si="326"/>
        <v>59</v>
      </c>
      <c r="EJ176">
        <f t="shared" si="327"/>
        <v>2</v>
      </c>
      <c r="EK176">
        <f t="shared" si="328"/>
        <v>0.31</v>
      </c>
      <c r="EL176" s="6">
        <f>IF(B176="","",IF(BV176=1,dU_LED,IF(IFERROR(_xlfn.XLOOKUP(BC176,Коды_код,Коды_уго),"")="Светильник",3,4)+IF(Методика="нормы 2026",MIN(0.5,MAX(0,N(P176)-100)*0.005),0)))</f>
        <v>4</v>
      </c>
      <c r="EM176" cm="1">
        <f t="array" ref="EM176">IF(OR(B176="",BZ176="",EC176&lt;&gt;1),"",_xlfn.LET(_xlpm.sz,Iдоп_S,_xlpm.t_,CHOOSE(EB176,Iдоп_1ж,Iдоп_2ж,Iдоп_3ж)*DZ176*EA176,_xlpm.dcx,BV176=1,_xlpm.inn,IF(_xlpm.dcx,N(O176),N(DT176)),_xlpm.smin,MAX(1.5,CC176),_xlpm.L_,N(P176)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176)/N(BU176)*100,999),IFERROR(N(EJ176)*(_xlpm.rho*_xlpm.L_/_xlpm.sz*N(CE176)+_xlpm.xx*_xlpm.L_*N(EK176)/1000)*N(O176)/((Uн_лин/SQRT(3))*1000)*100,999)),_xlpm.kz,IF(OR(_xlpm.dcx,DW176=1,NOT(ISNUMBER(EG176)),_xlpm.L_=0,_xlpm.inn=0),1,IFERROR(--(c_min*(Uн_лин*1000/SQRT(3))/(EG176+2*ρкз_Cu*_xlpm.L_/_xlpm.sz)&gt;=HT176*_xlpm.inn),0)),_xlpm.ok,IFERROR((_xlpm.sz&gt;=_xlpm.smin)*(_xlpm.t_&gt;=_xlpm.inn)*IF(_xlpm.L_&gt;0,(_xlpm.du_+IF(_xlpm.dcx,0,EF176)&lt;=EL176+0.00001),1)*_xlpm.kz,0),_xlpm.r_,_xlfn._xlws.FILTER(_xlpm.sz,_xlpm.ok,"не подобрано"),INDEX(_xlpm.r_,1)))</f>
        <v>1.5</v>
      </c>
      <c r="EN176">
        <f t="shared" si="329"/>
        <v>2.5</v>
      </c>
      <c r="EO176" cm="1">
        <f t="array" ref="EO176">IF(OR(B176="",BZ176="",EC176&lt;&gt;1),"",_xlfn.LET(_xlpm.sz,Iдоп_S,_xlpm.t_,CHOOSE(EB176,Iдоп_1ж,Iдоп_2ж,Iдоп_3ж)*DZ176*EA176,_xlpm.ok,IFERROR((_xlpm.sz&gt;=MAX(1.5,CC176))*(_xlpm.t_&gt;=N(DT176)),0),_xlpm.r_,_xlfn._xlws.FILTER(_xlpm.sz,_xlpm.ok,""),INDEX(_xlpm.r_,1)))</f>
        <v>1.5</v>
      </c>
      <c r="EP176" s="6" cm="1">
        <f t="array" ref="EP176">IFERROR(ROUNDUP(N(EJ176)*(_xlfn.XLOOKUP(EO176,INDEX(Кабель_сопротивление,0,1),INDEX(Кабель_сопротивление,0,3))*N(P176)/EO176*N(CE176)+_xlfn.XLOOKUP(EO176,INDEX(Кабель_сопротивление,0,1),INDEX(Кабель_сопротивление,0,2))*N(P176)*N(EK176)/1000)*N(O176)/((Uн_лин/SQRT(3))*1000)*100,2),"")</f>
        <v>1.36</v>
      </c>
      <c r="EQ176">
        <f>IFERROR(2*ρкз_Cu*N(P176)/EO176,"")</f>
        <v>2.8053333333333335</v>
      </c>
      <c r="ER176">
        <f>IFERROR(VLOOKUP(EN176,Кабель_сопротивление,3,FALSE),"")</f>
        <v>2.2499999999999999E-2</v>
      </c>
      <c r="ES176">
        <f>IFERROR(VLOOKUP(EN176,Кабель_сопротивление,2,FALSE),"")</f>
        <v>0.1</v>
      </c>
      <c r="ET176">
        <f t="shared" si="330"/>
        <v>23</v>
      </c>
      <c r="EU176">
        <f t="shared" si="331"/>
        <v>16</v>
      </c>
      <c r="EV176">
        <f t="shared" si="332"/>
        <v>1.8773972184945518</v>
      </c>
      <c r="EW176" s="6">
        <f>IFERROR(ROUNDUP(EV176/IF(BV176=1,BU176,(Uн_лин/SQRT(3))*1000)*100,2),"")</f>
        <v>0.82000000000000006</v>
      </c>
      <c r="EX176" t="str">
        <f>IFERROR(VLOOKUP(BZ176,Кабель_обозначение,2,FALSE),"")</f>
        <v>ВВГнг(А)-LS</v>
      </c>
      <c r="EY176" t="str">
        <f t="shared" si="333"/>
        <v>ВВГнг(А)-LS (3х2,5)</v>
      </c>
      <c r="EZ176" t="str">
        <f t="shared" si="334"/>
        <v>ВВГнг(А)-LS (3х2,5)
L=80-0,82%</v>
      </c>
      <c r="FA176">
        <f>IFERROR(2*ρкз_Cu*P176/EN176,"")</f>
        <v>1.6832</v>
      </c>
      <c r="FB176">
        <f t="shared" si="335"/>
        <v>0.56000000000000005</v>
      </c>
      <c r="FC176" s="6" t="str">
        <f>IFERROR(IF(OR(B176="",BV176=1,NOT(ISNUMBER(EN176)),N(P176)=0),"",_xlfn.XLOOKUP(A176,Щиты[Щит],Щиты[Zпетли на шинах, Ом])+FA176),"")</f>
        <v/>
      </c>
      <c r="FD176" s="6" t="str">
        <f>IF(ISNUMBER(FC176),c_min*(Uн_лин*1000/SQRT(3))/FC176,"")</f>
        <v/>
      </c>
      <c r="FE176" s="6" t="str">
        <f>IFERROR(IF(OR(B176="",NOT(ISNUMBER(EN176))),"",1.05*(Uн_лин*1000/SQRT(3))/(_xlfn.XLOOKUP(A176,Щиты[Щит],Щиты[Zmax на шинах, Ом])+FB176)/1000),"")</f>
        <v/>
      </c>
      <c r="FF176" s="6" t="str">
        <f>IF(B176="","",IF(ISNUMBER(AC176),"Сил",IF(IFERROR(_xlfn.XLOOKUP(BC176,Коды_код,Коды_группа)&amp;"","")="","Быт",_xlfn.XLOOKUP(BC176,Коды_код,Коды_группа)&amp;"")))</f>
        <v>Быт</v>
      </c>
      <c r="FG176" s="6" t="str">
        <f t="shared" si="336"/>
        <v>Быт</v>
      </c>
      <c r="FH176" s="6">
        <f>IF(FG176="Щит","щит",IF(FG176="","",IF(FG176="Быт",IFERROR(_xlfn.XLOOKUP(A176,Щиты[Щит],Щиты[Кс быт]),1),IF(FG176="Сил",IF(ISNUMBER(AC176),AC176,IF(Методика="нормы 2026",IFERROR(_xlfn.XLOOKUP(A176,Щиты[Щит],Щиты[Кс силовых (табл. 7.5)]),1),1)),IF(OR(FG176="Пост",FG176="Отоп"),1,IF(FG176="ВНГ",0.7,0))))))</f>
        <v>0.8</v>
      </c>
      <c r="FI176">
        <f>IF(FG176="","",IF(AND(BP176=1,TRIM(AE176&amp;"")=""),IF(COUNTIFS(Линии[Щит],A176,Линии[Секция (1/2/3)],"&gt;=2")&gt;0,MIN(3,MAX(1,IFERROR(--BD176,1))),1),IFERROR(MIN(3,MAX(1,INT(--AE176))),1)))</f>
        <v>1</v>
      </c>
      <c r="FJ176">
        <f t="shared" si="337"/>
        <v>0.3</v>
      </c>
      <c r="FK176">
        <f t="shared" si="338"/>
        <v>0.3</v>
      </c>
      <c r="FL176">
        <f t="shared" si="339"/>
        <v>0</v>
      </c>
      <c r="FM176">
        <f t="shared" si="340"/>
        <v>0</v>
      </c>
      <c r="FN176">
        <f t="shared" si="341"/>
        <v>0</v>
      </c>
      <c r="FO176">
        <f t="shared" si="342"/>
        <v>0</v>
      </c>
      <c r="FP176">
        <f t="shared" si="343"/>
        <v>0.3</v>
      </c>
      <c r="FQ176">
        <f t="shared" si="344"/>
        <v>0.3</v>
      </c>
      <c r="FR176">
        <f t="shared" si="345"/>
        <v>0.28499999999999998</v>
      </c>
      <c r="FS176">
        <f>IF(CG176=1,IF(AND(CH176=1,CW176=1),0,IF(AND(CS176&lt;&gt;"",CS176=BA176,CW176=1),SUMIFS(Линии[_Р линии, кВт],Линии[_блок УЗО],BA176,Линии[Щит],A176),N(BS176)+IF(AJ176="вручную",0,N(CK176)))),0)</f>
        <v>0.3</v>
      </c>
      <c r="FT176" t="str">
        <f t="shared" si="346"/>
        <v>L3</v>
      </c>
      <c r="FU176" t="str">
        <f>IF(B176="","",IF(CG176=0,IF(BA176=1,"",FW175),IF(AND(CH176=1,CW176=1,CS176&lt;&gt;""),IFERROR(_xlfn.XLOOKUP(CS176,Линии[_n],Линии[_фаза итог]),"L1"),IF(OR(N(DL176)&gt;=3,N(BX176)&gt;=3),"L1,L2,L3",IFERROR(_xlfn.TEXTBEFORE(_xlfn.TEXTAFTER(_xlfn.XLOOKUP(A176,Щиты[Щит],Щиты[_фазы авто]),";"&amp;BA176&amp;":"),";"),"L1")))))</f>
        <v>L1</v>
      </c>
      <c r="FV176" t="str">
        <f t="shared" si="347"/>
        <v>L3</v>
      </c>
      <c r="FW176" t="str">
        <f t="shared" si="348"/>
        <v>L3</v>
      </c>
      <c r="FX176" cm="1">
        <f t="array" ref="FX176">IFERROR(IF(CD176=2,_xlfn.IFS(BX176=3,VLOOKUP(BS176,Справочная_двигатели,3,FALSE),BX176=1,VLOOKUP(BS176,Справочная_двигатели,5,TRUE)),0),0)</f>
        <v>0</v>
      </c>
      <c r="FY176">
        <f>IFERROR(IF(CD176=3,VLOOKUP(BS176,Справочная_ЛЭД,2,TRUE),0),0)</f>
        <v>0</v>
      </c>
      <c r="FZ176" s="6">
        <f t="shared" si="349"/>
        <v>0</v>
      </c>
      <c r="GA176" t="str">
        <f>IF(B176="","",IF(TRIM(AH176&amp;"")&lt;&gt;"",IF(LOWER(TRIM(AH176&amp;""))="да","да","нет"),IF(IFERROR(_xlfn.XLOOKUP(BC176,Коды_код,Коды_пожарная),"")="да","да","нет")))</f>
        <v>нет</v>
      </c>
      <c r="GB176" t="str">
        <f t="shared" si="350"/>
        <v/>
      </c>
      <c r="GC176" t="str">
        <f t="shared" si="351"/>
        <v>основная</v>
      </c>
      <c r="GD176">
        <f>IF(AND(BP176=1,TRIM(AE176&amp;"")=""),IF(COUNTIFS(Линии[Щит],A176,Линии[Секция (1/2/3)],"&gt;=2")&gt;0,MIN(3,MAX(1,IFERROR(--BD176,1))),1),IFERROR(MIN(3,MAX(1,INT(--AE176))),1))</f>
        <v>1</v>
      </c>
      <c r="GE176" t="str" cm="1">
        <f t="array" ref="GE176">IF(B176="","",_xlfn.LET(_xlpm.t,IFERROR(_xlfn.XLOOKUP(1,(Шины[Шина]=GC176)*(((Шины[Щит]=A176)+(Шины[Щит]=""))&gt;0),Шины[Тип]),"")&amp;"",IF(_xlpm.t&lt;&gt;"",_xlpm.t,IF(ISNUMBER(SEARCH("ИБП",GC176)),"ИБП",IF(ISNUMBER(SEARCH("ДГУ",GC176)),"ДГУ","Ввод "&amp;GD176)))))</f>
        <v>Ввод 1</v>
      </c>
      <c r="GF176" t="str">
        <f t="shared" si="352"/>
        <v>Ввод 1</v>
      </c>
      <c r="GG176" t="str">
        <f>IF(BP176=0,"",IF(TRIM(AG176&amp;"")&lt;&gt;"",TRIM(AG176&amp;""),IF(OR(GE176="ИБП",GE176="ДГУ"),"I особая",_xlfn.XLOOKUP(A176,Щиты[Щит],Щиты[Категория шины «Ввод»],"III"))))</f>
        <v/>
      </c>
      <c r="GH176" t="str">
        <f>IF(A176="","",_xlfn.XLOOKUP(A176,Щиты[Щит],Щиты[Путь],""))</f>
        <v>|ГРЩ-ЖД|ЩР-001|</v>
      </c>
      <c r="GI176" t="str">
        <f>IF(B176="","",IF(AI176&lt;&gt;"",AI176,IF(IFERROR(_xlfn.XLOOKUP(BC176,Коды_код,Коды_вид)&amp;"","")="","Прочее",_xlfn.XLOOKUP(BC176,Коды_код,Коды_вид)&amp;"")))</f>
        <v>Розеточная сеть и бытовые приборы</v>
      </c>
      <c r="GJ176">
        <f>IF(BM176="","",INT((BM176-1)/Столбцов_на_лист)+1)</f>
        <v>2</v>
      </c>
      <c r="GK176" t="str">
        <f t="shared" si="353"/>
        <v>ВВГнг(А)-LS (3х2,5) L=80-0,82%</v>
      </c>
      <c r="GL176">
        <f t="shared" si="354"/>
        <v>0.3</v>
      </c>
      <c r="GM176">
        <f t="shared" si="355"/>
        <v>1.37</v>
      </c>
      <c r="GN176">
        <f t="shared" si="356"/>
        <v>1</v>
      </c>
      <c r="GO176">
        <f t="shared" si="357"/>
        <v>0</v>
      </c>
      <c r="GP176">
        <f t="shared" si="358"/>
        <v>1</v>
      </c>
      <c r="GQ176">
        <f>IF(BM176="","",IF(AND(CG176=1,GP176=1),COUNTIFS(A$3:A176,A176,CG$3:CG176,1,GP$3:GP176,1),IF(OR(OR(BA176=1,A176&lt;&gt;A175),AJ176="вручную",GP176=0),"",IF(BA176=1,"",GR175))))</f>
        <v>22</v>
      </c>
      <c r="GR176">
        <f t="shared" si="359"/>
        <v>22</v>
      </c>
      <c r="GS176">
        <f>IF(B176="","",IFERROR(LOOKUP(INDEX(CHOOSE(EB176,Iдоп_1ж,Iдоп_2ж,Iдоп_3ж),MATCH(EN176,Iдоп_S,0))*DZ176*EA176,{6,10,16,20,25,32,40,50,63,80,100,125,160,200,250,315,400,500,630}),""))</f>
        <v>25</v>
      </c>
      <c r="GT176" t="str">
        <f t="shared" si="360"/>
        <v>QFD22</v>
      </c>
      <c r="GU176" t="str">
        <f t="shared" si="361"/>
        <v>QFD22</v>
      </c>
      <c r="GV176" t="str">
        <f t="shared" si="362"/>
        <v/>
      </c>
      <c r="GW176">
        <f t="shared" si="363"/>
        <v>0</v>
      </c>
      <c r="GX176" t="str">
        <f>IF(OR(B176="",DJ176=""),"",IFERROR(_xlfn.XLOOKUP(DJ176,Модули_умолч[Управление],Модули_умолч[Модель])&amp;"",""))</f>
        <v/>
      </c>
      <c r="GY176">
        <f>IF(DJ176="",1,IFERROR(MAX(0,N(_xlfn.XLOOKUP(DJ176,Модули_умолч[Управление],Модули_умолч[Каналов на линию]))),1))</f>
        <v>1</v>
      </c>
      <c r="GZ176" t="str">
        <f t="shared" si="364"/>
        <v/>
      </c>
      <c r="HA176" t="str">
        <f t="shared" si="365"/>
        <v/>
      </c>
      <c r="HB176" t="str">
        <f t="shared" si="366"/>
        <v/>
      </c>
      <c r="HC176">
        <f>IF(HB176="",0,IFERROR(N(VLOOKUP(HB176,Модули_спр,3,FALSE)),0))</f>
        <v>0</v>
      </c>
      <c r="HD176" t="str">
        <f t="shared" si="367"/>
        <v/>
      </c>
      <c r="HE176" t="str">
        <f t="shared" si="368"/>
        <v/>
      </c>
      <c r="HF176" t="str">
        <f>IF(OR(HE176="",HE176="-"),"",IFERROR(VLOOKUP(HE176,Модули_спр,2,FALSE),"R"))</f>
        <v/>
      </c>
      <c r="HG176" t="str">
        <f>IF(HF176="","",HF176&amp;"."&amp;COUNTIFS(A$3:A176,A176,HF$3:HF176,HF176))</f>
        <v/>
      </c>
      <c r="HH176" t="str">
        <f t="shared" si="369"/>
        <v/>
      </c>
      <c r="HI176" t="str">
        <f t="shared" si="370"/>
        <v/>
      </c>
      <c r="HJ176" t="str">
        <f t="shared" si="371"/>
        <v/>
      </c>
      <c r="HK176" t="str">
        <f t="shared" si="372"/>
        <v/>
      </c>
      <c r="HL176">
        <f t="shared" si="373"/>
        <v>1</v>
      </c>
      <c r="HM176" t="str">
        <f>IF(HL176=1,"XT"&amp;COUNTIFS(A$3:A176,A176,HL$3:HL176,1),"")</f>
        <v>XT22</v>
      </c>
      <c r="HN176" t="str">
        <f t="shared" si="374"/>
        <v/>
      </c>
      <c r="HO176" t="str">
        <f t="shared" si="375"/>
        <v>QFD22</v>
      </c>
      <c r="HP176" t="str">
        <f t="shared" si="376"/>
        <v/>
      </c>
      <c r="HQ176" t="str">
        <f t="shared" si="377"/>
        <v>ok</v>
      </c>
      <c r="HR176" t="str">
        <f>IF(OR(HJ176="",HH176=""),"",IF(HJ176+MAX(0,GY176-1)&gt;IFERROR(VLOOKUP(HI176,Модули_спр,3,FALSE),99),"ЛИШНИЙ КАНАЛ",IF(AND(AL176&lt;&gt;"=",GY176&gt;0,COUNTIFS(Линии[_модуль гр.],HH176,Линии[Канал (итог)],HJ176,Линии[Канал],"&lt;&gt;=",Линии[Щит],A176)&gt;1),"ДУБЛЬ КАНАЛА","")))</f>
        <v/>
      </c>
      <c r="HS176" s="6" t="str">
        <f t="shared" si="378"/>
        <v/>
      </c>
      <c r="HT176">
        <f t="shared" si="379"/>
        <v>10</v>
      </c>
      <c r="HU176" t="str">
        <f t="shared" si="380"/>
        <v/>
      </c>
      <c r="HV176">
        <f t="shared" si="381"/>
        <v>1.3469634129164876</v>
      </c>
      <c r="HW176">
        <f t="shared" si="382"/>
        <v>0</v>
      </c>
      <c r="HX176">
        <f t="shared" si="383"/>
        <v>0</v>
      </c>
      <c r="HY176">
        <f t="shared" si="384"/>
        <v>0</v>
      </c>
      <c r="HZ176">
        <f t="shared" si="385"/>
        <v>0</v>
      </c>
      <c r="IA176">
        <f t="shared" si="386"/>
        <v>0</v>
      </c>
      <c r="IB176">
        <f t="shared" si="387"/>
        <v>0</v>
      </c>
      <c r="IC176" t="str">
        <f t="shared" si="388"/>
        <v/>
      </c>
      <c r="ID176" t="str" cm="1">
        <f t="array" ref="ID176">IF(IC176="","",_xlfn.LET(_xlpm.tk,_xlfn.TEXTSPLIT(SUBSTITUTE(SUBSTITUTE(IC176,";"," "),"→"," ")," ",,TRUE),_xlpm.w_,_xlfn._xlws.FILTER(_xlpm.tk,ISNUMBER(--LEFT(_xlpm.tk,1))*((ISNUMBER(SEARCH("W",_xlpm.tk))+ISNUMBER(SEARCH("Вт",_xlpm.tk)))&gt;0),""),IFERROR(--SUBSTITUTE(SUBSTITUTE(UPPER(INDEX(_xlpm.w_,1)),"W",""),"ВТ",""),"")))</f>
        <v/>
      </c>
      <c r="IE176" t="str" cm="1">
        <f t="array" ref="IE176">IF(IC176="","",_xlfn.LET(_xlpm.tk,_xlfn.TEXTSPLIT(SUBSTITUTE(SUBSTITUTE(IC176,";"," "),"→"," ")," ",,TRUE),_xlpm.v_,_xlfn._xlws.FILTER(_xlpm.tk,ISNUMBER(--LEFT(_xlpm.tk,1))*((ISNUMBER(SEARCH("V",_xlpm.tk))+(RIGHT(UPPER(_xlpm.tk))="В"))&gt;0),""),IFERROR(--SUBSTITUTE(SUBSTITUTE(UPPER(INDEX(_xlpm.v_,1)),"V",""),"В",""),"")))</f>
        <v/>
      </c>
      <c r="IF176" s="6" t="str">
        <f>IF(OR(BV176=0,HI176="",HJ176=""),"",IFERROR(N(_xlfn.XLOOKUP(HI176,Каталог!$C$4:$C$500,Каталог!$Q$4:$Q$500)),""))</f>
        <v/>
      </c>
      <c r="IG176" s="6" t="str">
        <f>IF(N(IF176)=0,"",SUMIFS(Линии[Iр, А],Линии[Щит],A176,Линии[_модуль гр.],HH176,Линии[Канал (итог)],HJ176))</f>
        <v/>
      </c>
      <c r="IH176" t="str">
        <f>IF(AND(B176="",HO176=""),"",_xlfn.TEXTJOIN("; ",TRUE,IF(AND(B176&lt;&gt;"",FV176=""),"нет фазы",""),IF(AND(B176&lt;&gt;"",N(GL176)=0,FG176&lt;&gt;"Нет"),"нет мощности",""),IF(AND(HN176&lt;&gt;"",COUNTIFS(Линии[Щит],A176,Линии[Клемма (итог)],HN176)&gt;1),"дубль клеммы "&amp;HN176,""),IF(AND(HQ176&lt;&gt;"",HQ176&lt;&gt;"ok"),HQ176,""),IF(HR176&lt;&gt;"",HR176,""),IF(AND(N(CB176)&gt;=4,N(BX176)=1),CB176&amp;" жил на 1 фазе",""),IF(AND(BC176="R",CG176=1,IF(CS176&lt;&gt;"",N(CV176)&gt;30,OR(N(DA176)=0,N(DA176)&gt;30))),"розетка без дифзащиты до 30 мА",""),IF(AND(CG176=1,N(DA176)&gt;0,ISNUMBER(T176)),IF(T176&gt;N(DA176)/3,"ток утечки "&amp;FIXED(T176,1)&amp;" мА &gt; 1/3 уставки ("&amp;DA176&amp;" мА)",""),""),IF(AND(CH176=1,CS176=""),"«узо»: нет строки с УЗО выше (УЗО 2P 40А 30мА в «Аппаратах»)",""),IF(AND(CS176&lt;&gt;"",CS176=BA176),IF(CT176="","впишите номинал УЗО (УЗО 2P 40А 30мА)",IF(N(CT176)&lt;N(DT176),"УЗО "&amp;CT176&amp;" А &lt; автомата "&amp;DT176&amp;" А перед ним",IF(N(CT176)&lt;N(CX176),"УЗО "&amp;CT176&amp;" А &lt; тока блока "&amp;FIXED(CX176,1)&amp;" А",""))),""),IF(AND(CS176&lt;&gt;"",CS176=BA176,ISNUMBER(CY176)),IF(CY176&gt;N(CV176)/3,"ток утечки блока УЗО "&amp;FIXED(CY176,1)&amp;" мА &gt; 1/3 уставки ("&amp;CV176&amp;" мА)",""),""),IF(AND(CG176=1,N(BV176)+N(IB176)&gt;0,IC176=""),"линии до 50 В без БП: впишите в «Аппараты» (БП 24V 480W)",""),IF(AND(CG176=1,ISNUMBER(ID176),ISNUMBER(U176)),IF(U176&gt;ID176,"БП "&amp;ID176&amp;" Вт &lt; нужно "&amp;U176&amp;" Вт (×"&amp;Запас_БП&amp;")",""),""),IF(AND(CG176=1,ISNUMBER(IE176),N(BV176)=1),IF(IE176&lt;&gt;N(BU176),"БП на "&amp;IE176&amp;" В, линия "&amp;BU176&amp;" В",""),""),IF(AND(N(IF176)&gt;0,N(IG176)&gt;N(IF176)),HH176&amp;" канал "&amp;HJ176&amp;": "&amp;FIXED(IG176,1)&amp;" А &gt; "&amp;IF176&amp;" А",""),IFERROR(IF(AND(ISNUMBER(Q176),Q176&gt;EL176),"потери "&amp;FIXED(Q176,1)&amp;" % &gt; "&amp;EL176&amp;" %",""),""),IFERROR(IF(LEFT(HU176,4)="мало","Iкз мало — отключение &gt; 0,4 с",""),""),IF(AND(B176&lt;&gt;"",BM176=""),"не на схеме",""),IF(AND(CG176=0,B176&lt;&gt;"",FV176&lt;&gt;"",IF(BA176=1,"",FW175)&lt;&gt;"",FV176&lt;&gt;IF(BA176=1,"",FW175)),"фаза не как у автомата группы ("&amp;IF(BA176=1,"",FW175)&amp;")","")))</f>
        <v/>
      </c>
      <c r="II176" s="6">
        <f>IF(OR(CG176=0,DQ176=""),"",_xlfn.LET(_xlpm.t,IFERROR(_xlfn.XLOOKUP(DQ176,Каталог!$U$4:$U$500,Каталог!$G$4:$G$500),""),_xlpm.k,SEARCH("кА",_xlpm.t),IFERROR(--TRIM(RIGHT(SUBSTITUTE(MID(_xlpm.t,MAX(1,_xlpm.k-4),_xlpm.k-MAX(1,_xlpm.k-4))," ",REPT(" ",9)),5)),"")))</f>
        <v>6</v>
      </c>
      <c r="IJ176" t="str">
        <f>IF(OR(II176="",CG176=0),"",IF(_xlfn.XLOOKUP(A176,Щиты[Щит],Щиты[Iкз max на шинах, кА],"")="","",IF(II176&lt;_xlfn.XLOOKUP(A176,Щиты[Щит],Щиты[Iкз max на шинах, кА]),"Icu "&amp;II176&amp;" кА &lt; Iкз max","ok")))</f>
        <v/>
      </c>
      <c r="IK176" t="str">
        <f t="shared" si="389"/>
        <v/>
      </c>
      <c r="IL176" t="str">
        <f t="shared" si="390"/>
        <v>QFD22</v>
      </c>
      <c r="IM176" t="str">
        <f t="shared" si="391"/>
        <v>QFD22|кабель ВВГнг(А)-LS (3х2,5) → Розеточная группа, пом. 007А</v>
      </c>
      <c r="IN176" t="str" cm="1">
        <f t="array" ref="IN176">IF(IM176="","",_xlfn.LET(_xlpm.nd,_xlfn.TEXTSPLIT(IM176,"|"),IF(COLUMNS(_xlpm.nd)&gt;1,A176&amp;"¦"&amp;INDEX(_xlpm.nd,1)&amp;"¦"&amp;INDEX(_xlpm.nd,2),"")))</f>
        <v>ЩР-001¦QFD22¦кабель ВВГнг(А)-LS (3х2,5) → Розеточная группа, пом. 007А</v>
      </c>
      <c r="IO176" t="str">
        <f t="shared" si="392"/>
        <v>R.00.007А.1¦Розеточная группа, пом. 007А</v>
      </c>
      <c r="IP176" t="str" cm="1">
        <f t="array" ref="IP176">IF(IM176="","",_xlfn.LET(_xlpm.nd,_xlfn.TEXTSPLIT(IM176,"|"),IF(COLUMNS(_xlpm.nd)&gt;2,A176&amp;"¦"&amp;INDEX(_xlpm.nd,2)&amp;"¦"&amp;INDEX(_xlpm.nd,3),"")))</f>
        <v/>
      </c>
      <c r="IQ176" t="str">
        <f t="shared" si="393"/>
        <v/>
      </c>
      <c r="IR176" t="str" cm="1">
        <f t="array" ref="IR176">IF(IM176="","",_xlfn.LET(_xlpm.nd,_xlfn.TEXTSPLIT(IM176,"|"),IF(COLUMNS(_xlpm.nd)&gt;3,A176&amp;"¦"&amp;INDEX(_xlpm.nd,3)&amp;"¦"&amp;INDEX(_xlpm.nd,4),"")))</f>
        <v/>
      </c>
      <c r="IS176" t="str">
        <f t="shared" si="394"/>
        <v/>
      </c>
      <c r="IT176" t="str" cm="1">
        <f t="array" ref="IT176">IF(IM176="","",_xlfn.LET(_xlpm.nd,_xlfn.TEXTSPLIT(IM176,"|"),IF(COLUMNS(_xlpm.nd)&gt;4,A176&amp;"¦"&amp;INDEX(_xlpm.nd,4)&amp;"¦"&amp;INDEX(_xlpm.nd,5),"")))</f>
        <v/>
      </c>
      <c r="IU176" t="str">
        <f t="shared" si="395"/>
        <v/>
      </c>
      <c r="IV176" t="str" cm="1">
        <f t="array" ref="IV176">IF(IM176="","",_xlfn.LET(_xlpm.nd,_xlfn.TEXTSPLIT(IM176,"|"),IF(COLUMNS(_xlpm.nd)&gt;5,A176&amp;"¦"&amp;INDEX(_xlpm.nd,5)&amp;"¦"&amp;INDEX(_xlpm.nd,6),"")))</f>
        <v/>
      </c>
      <c r="IW176" t="str">
        <f t="shared" si="396"/>
        <v/>
      </c>
      <c r="IX176" t="str" cm="1">
        <f t="array" ref="IX176">IF(IM176="","",_xlfn.LET(_xlpm.nd,_xlfn.TEXTSPLIT(IM176,"|"),IF(COLUMNS(_xlpm.nd)&gt;6,A176&amp;"¦"&amp;INDEX(_xlpm.nd,6)&amp;"¦"&amp;INDEX(_xlpm.nd,7),"")))</f>
        <v/>
      </c>
      <c r="IY176" t="str">
        <f t="shared" si="397"/>
        <v/>
      </c>
      <c r="IZ176" t="str">
        <f t="shared" si="398"/>
        <v/>
      </c>
      <c r="JA176" t="str">
        <f t="shared" si="399"/>
        <v>QFD22</v>
      </c>
      <c r="JB176">
        <f t="shared" si="400"/>
        <v>0</v>
      </c>
      <c r="JC176">
        <f t="shared" si="401"/>
        <v>1</v>
      </c>
      <c r="JD176" t="str">
        <f t="shared" si="402"/>
        <v/>
      </c>
      <c r="JE176" t="str">
        <f t="shared" si="403"/>
        <v/>
      </c>
      <c r="JF176" t="str">
        <f t="shared" si="404"/>
        <v/>
      </c>
      <c r="JG176" t="str">
        <f t="shared" si="405"/>
        <v/>
      </c>
      <c r="JH176" t="str">
        <f>IF(B176="","",IFERROR(_xlfn.XLOOKUP(B176,Коды_код,Коды_уго),IFERROR(_xlfn.XLOOKUP(BC176,Коды_код,Коды_уго),IFERROR(_xlfn.XLOOKUP(LEFT(BC176,2),Коды_код,Коды_уго),""))))</f>
        <v>Розетка</v>
      </c>
      <c r="JI176" t="str">
        <f>IF(B176="","",IF(OR(JH176="",JH176=0),"BOX",IFERROR(IF(VLOOKUP(JH176,УГО_блоки,3,FALSE)&amp;""&lt;&gt;"",VLOOKUP(JH176,УГО_блоки,3,FALSE),VLOOKUP(JH176,УГО_блоки,2,FALSE)),JH176)))</f>
        <v>SOCKET</v>
      </c>
      <c r="JJ176">
        <f t="shared" si="406"/>
        <v>1</v>
      </c>
      <c r="JK176" t="str">
        <f>IF(DQ176="","",IF(COUNTIF(DQ$3:DQ176,DQ176)=1,MAX(JK$2:JK175)+1,""))</f>
        <v/>
      </c>
      <c r="JL176" t="str">
        <f>IF(DE176="","",IF(COUNTIF(DE$3:DE176,DE176)+COUNTIF(DF$2:DF175,DE176)+COUNTIF(DG$2:DG175,DE176)=1,MAX(JL$2:JN175)+1,""))</f>
        <v/>
      </c>
      <c r="JM176" t="str">
        <f>IF(DF176="","",IF(COUNTIF(DE$3:DE176,DF176)+COUNTIF(DF$3:DF176,DF176)+COUNTIF(DG$2:DG175,DF176)=1,MAX(JL$2:JN175,JL176)+1,""))</f>
        <v/>
      </c>
      <c r="JN176" t="str">
        <f>IF(DG176="","",IF(COUNTIF(DE$3:DE176,DG176)+COUNTIF(DF$3:DF176,DG176)+COUNTIF(DG$3:DG176,DG176)=1,MAX(JL$2:JN175,JL176,JM176)+1,""))</f>
        <v/>
      </c>
      <c r="JO176" t="str">
        <f t="shared" si="407"/>
        <v>3х2,5</v>
      </c>
      <c r="JP176" t="str">
        <f>IF(JO176="","",IF(COUNTIF(JO$3:JO176,JO176)=1,MAX(JP$2:JP175)+1,""))</f>
        <v/>
      </c>
      <c r="JQ176" t="str">
        <f>IF(HG176="","",COUNTIF(HG$3:HG176,"?*"))</f>
        <v/>
      </c>
      <c r="JR176" t="str">
        <f>IF(OR(HG176="",HI176=""),"",IF(COUNTIFS(HG$3:HG176,"?*",HI$3:HI176,HI176)=1,MAX(JR$2:JR175)+1,""))</f>
        <v/>
      </c>
      <c r="JS176">
        <f t="shared" si="408"/>
        <v>0</v>
      </c>
      <c r="JT176">
        <f>IF(B176="","",COUNTIF(B$3:B176,"?*"))</f>
        <v>174</v>
      </c>
      <c r="JU176">
        <f>IF(HL176&lt;&gt;1,0,_xlfn.LET(_xlpm.k,MAX(IFERROR(--_xlfn.XLOOKUP(B176,Коды_код,Коды_3L),0),IFERROR(--_xlfn.XLOOKUP(BC176,Коды_код,Коды_3L),0),IFERROR(--_xlfn.XLOOKUP(LEFT(BC176,2),Коды_код,Коды_3L),0)),IF(_xlpm.k&gt;0,_xlpm.k,IF(IFERROR(--LEFT(SUBSTITUTE(JO176,"x","х"),FIND("х",SUBSTITUTE(JO176,"x","х"))-1),3)&gt;3,Каталог!$S$9,1))))</f>
        <v>1</v>
      </c>
      <c r="JV176">
        <f t="shared" si="409"/>
        <v>0</v>
      </c>
      <c r="JW176" t="str">
        <f t="shared" si="410"/>
        <v>авто</v>
      </c>
      <c r="JX176">
        <f t="shared" si="411"/>
        <v>30</v>
      </c>
      <c r="JY176">
        <f t="shared" si="412"/>
        <v>1</v>
      </c>
      <c r="JZ176">
        <f t="shared" si="413"/>
        <v>1</v>
      </c>
    </row>
    <row r="177" spans="1:286" x14ac:dyDescent="0.3">
      <c r="A177" t="s">
        <v>753</v>
      </c>
      <c r="B177" t="s">
        <v>1485</v>
      </c>
      <c r="C177" t="str">
        <f>Линии[[#This Row],[_авто наименование]]</f>
        <v>Розеточная группа, пом. 008А</v>
      </c>
      <c r="D177">
        <v>1</v>
      </c>
      <c r="E177">
        <v>0.12</v>
      </c>
      <c r="G177">
        <v>16</v>
      </c>
      <c r="H177" t="str">
        <f>Линии[[#This Row],[_авто управление]]</f>
        <v/>
      </c>
      <c r="I177" t="str">
        <f>Линии[[#This Row],[_авто аппараты]]</f>
        <v/>
      </c>
      <c r="J177">
        <v>2.5</v>
      </c>
      <c r="K177">
        <v>44</v>
      </c>
      <c r="L177">
        <v>1</v>
      </c>
      <c r="M177" t="s">
        <v>484</v>
      </c>
      <c r="N177" t="str">
        <f t="shared" si="276"/>
        <v/>
      </c>
      <c r="O177" s="6" cm="1">
        <f t="array" ref="O177">IF(B177="","",IF(BH177&lt;&gt;"",IFERROR(_xlfn.XLOOKUP(BH177,Щиты[Щит],Щиты[Iр, А]),""),IF(BP177=1,IF(OR(N(_xlfn.XLOOKUP(A177,Щиты[Щит],Щиты[Вводов],1))&lt;=1,LOWER(TRIM(_xlfn.XLOOKUP(A177,Щиты[Щит],Щиты[АВР],"")&amp;""))="да"),IFERROR(_xlfn.XLOOKUP(A177,Щиты[Щит],Щиты[Iр, А]),""),IFERROR(N(BS177)*_xlfn.XLOOKUP(A177,Щиты[Щит],Щиты[Кс итог])/(SQRT(3)*Uн_лин*_xlfn.XLOOKUP(A177,Щиты[Щит],Щиты[cos φ])),"")),IF(BV177=1,IFERROR(BS177*1000/BU177,""),IFERROR(_xlfn.IFS(BX177=1,BS177/((Uн_лин/SQRT(3))*CE177),BX177=3,BS177/(SQRT(3)*Uн_лин*CE177)),"")))))</f>
        <v>0.54696341291648753</v>
      </c>
      <c r="P177" s="7">
        <f>IF(B177="","",IFERROR(IF(VLOOKUP(BC177,Потребители_обозначение,4,FALSE)=1,VLOOKUP(BC177,Потребители_обозначение,3,FALSE)*(MAX(1,N(D177))*2-1)+EI177+VLOOKUP(BE177,Этаж_обозначение,3,FALSE)+VLOOKUP(BE177,Этаж_обозначение,4,FALSE),VLOOKUP(BC177,Потребители_обозначение,3,FALSE)*(MAX(1,N(D177))*2-1)+EI177),EI177))</f>
        <v>47</v>
      </c>
      <c r="Q177" s="6">
        <f t="shared" si="277"/>
        <v>1.77</v>
      </c>
      <c r="R177" t="str">
        <f t="shared" si="278"/>
        <v>ВВГнг(А)-LS (3х2,5)</v>
      </c>
      <c r="S177" t="str">
        <f>IF(BM177="","",IF(BN177="вводной узел","узел ","")&amp;"л."&amp;(INT((BM177-1)/Столбцов_на_лист)+1)&amp;" / "&amp;(MOD(BM177-1,Столбцов_на_лист)+1))</f>
        <v>л.2 / 15</v>
      </c>
      <c r="T177" s="119">
        <f t="shared" si="279"/>
        <v>0.7</v>
      </c>
      <c r="U177" s="7" t="str">
        <f>IF(OR(CG177=0,N(BV177)+N(IB177)=0),"",ROUNDUP(Запас_БП*(N(HY177)+N(HZ177)),0))</f>
        <v/>
      </c>
      <c r="V177" s="119" t="str">
        <f t="shared" si="280"/>
        <v/>
      </c>
      <c r="W177" s="7" t="str">
        <f>IFERROR(IF(OR(B177="",BP177=1,BV177=1,NOT(ISNUMBER(EN177)),N(DT177)=0),"",MAX(0,ROUNDDOWN((c_min*(Uн_лин*1000/SQRT(3))/(HT177*N(DT177))-_xlfn.XLOOKUP(A177,Щиты[Щит],Щиты[Zпетли на шинах, Ом]))*EN177/(2*ρкз_Cu),0))),"")</f>
        <v/>
      </c>
      <c r="Y177">
        <f>Линии[[#This Row],[_авто утечка]]</f>
        <v>30</v>
      </c>
      <c r="Z177">
        <v>1</v>
      </c>
      <c r="AA177">
        <v>230</v>
      </c>
      <c r="AB177" t="s">
        <v>562</v>
      </c>
      <c r="AG177" t="s">
        <v>810</v>
      </c>
      <c r="AI177" t="s">
        <v>561</v>
      </c>
      <c r="AK177" t="str">
        <f>Линии[[#This Row],[_авто модуль]]</f>
        <v/>
      </c>
      <c r="AM177">
        <v>32</v>
      </c>
      <c r="AN177" t="s">
        <v>11</v>
      </c>
      <c r="AO177">
        <v>3</v>
      </c>
      <c r="AQ177">
        <v>41</v>
      </c>
      <c r="AR177">
        <v>6</v>
      </c>
      <c r="AS177">
        <v>0</v>
      </c>
      <c r="BA177" cm="1">
        <f t="array" ref="BA177">ROW()-ROW(Линии[#Headers])</f>
        <v>175</v>
      </c>
      <c r="BC177" s="6" t="str">
        <f t="shared" si="281"/>
        <v>R</v>
      </c>
      <c r="BD177" t="str">
        <f t="shared" si="282"/>
        <v>00.008А.1</v>
      </c>
      <c r="BE177" t="str">
        <f t="shared" si="283"/>
        <v>00</v>
      </c>
      <c r="BF177" t="str">
        <f t="shared" si="284"/>
        <v>008А.1</v>
      </c>
      <c r="BG177" t="str">
        <f t="shared" si="285"/>
        <v>008А</v>
      </c>
      <c r="BH177" t="str">
        <f>IF(X177&lt;&gt;"",X177,IF(AND(B177&lt;&gt;"",B177&lt;&gt;A177,ISNUMBER(_xlfn.XMATCH(B177,Щиты[Щит]))),B177,""))</f>
        <v/>
      </c>
      <c r="BI177" t="str" cm="1">
        <f t="array" ref="BI177">IF(B177="","",IF(BH177&lt;&gt;"","Щит "&amp;BH177,_xlfn.LET(_xlpm.nm,IFERROR(_xlfn.XLOOKUP(BC177,Коды_код,Коды_имя)&amp;"",""),_xlpm.md,IFERROR(N(_xlfn.XLOOKUP(BC177,Коды_код,Коды_режим)),1),_xlpm.ex,IF(Имя_режим="по экспликации",IFERROR(_xlfn.XLOOKUP(BE177&amp;"|"&amp;BG177,Экспликация[Этаж]&amp;"|"&amp;Экспликация[Помещение],Экспликация[Название])&amp;"",""),""),_xlpm.rm,IF(BG177="","",IF(_xlpm.ex&lt;&gt;"",". "&amp;_xlpm.ex&amp;IF(Имя_пом="нет"," ("&amp;BG177&amp;")"," (пом. "&amp;BG177&amp;")"),IF(Имя_пом="нет"," ",", пом. ")&amp;BG177)),IF(_xlpm.nm="","",IF(_xlpm.md=2,_xlpm.nm&amp;" шлейф "&amp;BE177,_xlpm.nm&amp;_xlpm.rm)))))</f>
        <v>Розеточная группа, пом. 008А</v>
      </c>
      <c r="BJ177" t="str">
        <f t="shared" si="286"/>
        <v>Розеточная группа, пом. 008А</v>
      </c>
      <c r="BK177">
        <f>IFERROR(_xlfn.XMATCH(A177,Щиты[Щит]),0)</f>
        <v>8</v>
      </c>
      <c r="BL177">
        <f>_xlfn.LET(_xlpm.k,IFERROR(_xlfn.XLOOKUP(A177,Щиты[Щит],Щиты[Мест под вводной узел]),""),IF(_xlpm.k="",Столбцов_на_лист,N(_xlpm.k)))</f>
        <v>7</v>
      </c>
      <c r="BM177">
        <f t="shared" si="287"/>
        <v>32</v>
      </c>
      <c r="BN177" t="str">
        <f t="shared" si="288"/>
        <v>линии</v>
      </c>
      <c r="BO177" s="6">
        <f>IFERROR(N(_xlfn.XLOOKUP(BC177,Коды_код,Коды_квт)),0)</f>
        <v>0</v>
      </c>
      <c r="BP177">
        <f t="shared" si="289"/>
        <v>0</v>
      </c>
      <c r="BQ177" t="str">
        <f>IF(B177="","",IF(BH177&lt;&gt;"",IFERROR(_xlfn.XLOOKUP(BH177,Щиты[Щит],Щиты[Руст, кВт]),0),IF(BP177=1,IF(OR(N(_xlfn.XLOOKUP(A177,Щиты[Щит],Щиты[Вводов],1))&lt;=1,LOWER(TRIM(_xlfn.XLOOKUP(A177,Щиты[Щит],Щиты[АВР],"")&amp;""))="да"),IFERROR(_xlfn.XLOOKUP(A177,Щиты[Щит],Щиты[Руст, кВт]),0),SUMIFS(Линии[_Р для вводов],Линии[Щит],A177,Линии[Источник для режимов],GF177)),IF(BO177&gt;0,ROUND(BO177*MAX(1,N(D177)),3),""))))</f>
        <v/>
      </c>
      <c r="BR177">
        <f t="shared" si="290"/>
        <v>0.12</v>
      </c>
      <c r="BS177" s="6">
        <f>IF(B177="","",IF(BH177&lt;&gt;"",IFERROR(_xlfn.XLOOKUP(BH177,Щиты[Щит],Щиты[Руст, кВт]),0),N(BR177)))</f>
        <v>0.12</v>
      </c>
      <c r="BT177" t="str">
        <f>IF(B177="","",IFERROR(IF(VLOOKUP(BC177,Потребители_обозначение,8,FALSE)=0,"",VLOOKUP(BC177,Потребители_обозначение,8,FALSE)),""))</f>
        <v/>
      </c>
      <c r="BU177">
        <f t="shared" si="291"/>
        <v>230</v>
      </c>
      <c r="BV177">
        <f t="shared" si="292"/>
        <v>0</v>
      </c>
      <c r="BW177">
        <f>IF(B177="","",IF(BH177&lt;&gt;"",3,IFERROR(IF(N(VLOOKUP(BC177,Потребители_обозначение,9,FALSE))=0,1,VLOOKUP(BC177,Потребители_обозначение,9,FALSE)),1)))</f>
        <v>1</v>
      </c>
      <c r="BX177">
        <f t="shared" si="293"/>
        <v>1</v>
      </c>
      <c r="BY177" t="str">
        <f>IF(B177="","",_xlfn.LET(_xlpm.bc,IFERROR(IF(VLOOKUP(BC177,Потребители_обозначение,6,FALSE)=0,"",VLOOKUP(BC177,Потребители_обозначение,6,FALSE)&amp;""),""),IF(AND(GA177="да",OR(_xlpm.bc="",_xlpm.bc="мс")),Марка_пож,IF(AND(_xlpm.bc="",BH177&lt;&gt;""),"мс",_xlpm.bc))))</f>
        <v/>
      </c>
      <c r="BZ177" t="str">
        <f t="shared" si="294"/>
        <v>мс</v>
      </c>
      <c r="CA177">
        <f>IF(B177="","",_xlfn.LET(_xlpm.cc,IFERROR(N(VLOOKUP(BC177,Потребители_обозначение,7,FALSE)),0),IF(_xlpm.cc&gt;0,_xlpm.cc,IF(BZ177="","",IF(BV177=1,2,IF(N(BX177)=3,5,3))))))</f>
        <v>3</v>
      </c>
      <c r="CB177">
        <f t="shared" si="295"/>
        <v>3</v>
      </c>
      <c r="CC177">
        <f>IFERROR(N(VLOOKUP(BC177,Потребители_обозначение,10,FALSE)),0)</f>
        <v>0</v>
      </c>
      <c r="CD177">
        <f>IFERROR(VLOOKUP(BC177,Потребители_обозначение,5,FALSE),0)</f>
        <v>1</v>
      </c>
      <c r="CE177" s="6" cm="1">
        <f t="array" ref="CE177">IF(B177="","",IF(BH177&lt;&gt;"",IFERROR(_xlfn.XLOOKUP(BH177,Щиты[Щит],Щиты[cos φ]),0.95),IF(BP177=1,IFERROR(_xlfn.XLOOKUP(A177,Щиты[Щит],Щиты[cos φ]),0.95),IF(ISNUMBER(AD177),AD177,IFERROR(IF(CD177=2,_xlfn.IFS(BX177=3,VLOOKUP(BS177,Справочная_двигатели,8,FALSE),BX177=1,VLOOKUP(BS177,Справочная_двигатели,10,TRUE)),IF(AND(Методика="нормы 2026",FG177="Сил"),0.8,0.95)),0.95)))))</f>
        <v>0.95</v>
      </c>
      <c r="CF177">
        <f t="shared" si="296"/>
        <v>0</v>
      </c>
      <c r="CG177">
        <f t="shared" si="297"/>
        <v>1</v>
      </c>
      <c r="CH177">
        <f t="shared" si="298"/>
        <v>0</v>
      </c>
      <c r="CI177">
        <f>IF(B177="","",IF(BV177=1,IFERROR(BS177/((Uн_лин/SQRT(3))*MAX(0.5,N(CE177))),0),N(O177)))</f>
        <v>0.54696341291648753</v>
      </c>
      <c r="CJ177">
        <f t="shared" si="299"/>
        <v>0</v>
      </c>
      <c r="CK177">
        <f t="shared" si="300"/>
        <v>0</v>
      </c>
      <c r="CL177">
        <f t="shared" si="301"/>
        <v>0</v>
      </c>
      <c r="CM177">
        <f t="shared" si="302"/>
        <v>0</v>
      </c>
      <c r="CN177">
        <f t="shared" si="303"/>
        <v>0</v>
      </c>
      <c r="CO177">
        <f>IF(BC177="",0,_xlfn.LET(_xlpm.v,IFERROR(_xlfn.XLOOKUP(B177,Коды_код,Коды_мА),IFERROR(_xlfn.XLOOKUP(BC177,Коды_код,Коды_мА),IFERROR(_xlfn.XLOOKUP(LEFT(BC177,2),Коды_код,Коды_мА),""))),IF(_xlpm.v="да",30,IF(ISNUMBER(_xlpm.v),_xlpm.v,0))))</f>
        <v>30</v>
      </c>
      <c r="CP177">
        <f t="shared" si="304"/>
        <v>30</v>
      </c>
      <c r="CQ177" t="str">
        <f>_xlfn.LET(_xlpm.k,IFERROR(_xlfn.XLOOKUP(BC177,Коды_код,Коды_утечка)&amp;"",""),IF(_xlpm.k="","дифавтомат",_xlpm.k))</f>
        <v>дифавтомат</v>
      </c>
      <c r="CR177" t="str" cm="1">
        <f t="array" ref="CR177">IF(CG177=0,"",_xlfn.LET(_xlpm.sg,TRIM(_xlfn.TEXTSPLIT(DD177&amp;"",";")),_xlpm.f_,_xlfn._xlws.FILTER(_xlpm.sg,LEFT(_xlpm.sg,3)="УЗО",""),IFERROR(INDEX(_xlpm.f_,1)&amp;"","")))</f>
        <v/>
      </c>
      <c r="CS177" t="str">
        <f t="shared" si="305"/>
        <v/>
      </c>
      <c r="CT177" s="6" t="str" cm="1">
        <f t="array" ref="CT177">IF(CR177="","",_xlfn.LET(_xlpm.tk,_xlfn.TEXTSPLIT(UPPER(CR177)," ",,TRUE),_xlpm.a_,_xlfn._xlws.FILTER(_xlpm.tk,ISNUMBER(--LEFT(_xlpm.tk,1))*((ISNUMBER(SEARCH("А",_xlpm.tk))+ISNUMBER(SEARCH("A",_xlpm.tk)))&gt;0)*NOT(ISNUMBER(SEARCH("МА",_xlpm.tk)))*NOT(ISNUMBER(SEARCH("MA",_xlpm.tk))),""),IFERROR(--SUBSTITUTE(SUBSTITUTE(INDEX(_xlpm.a_,1),"А",""),"A",""),"")))</f>
        <v/>
      </c>
      <c r="CU177" t="str" cm="1">
        <f t="array" ref="CU177">IF(CR177="","",_xlfn.LET(_xlpm.tk,_xlfn.TEXTSPLIT(UPPER(CR177)," ",,TRUE),_xlpm.a_,_xlfn._xlws.FILTER(_xlpm.tk,ISNUMBER(--LEFT(_xlpm.tk,1))*((ISNUMBER(SEARCH("МА",_xlpm.tk))+ISNUMBER(SEARCH("MA",_xlpm.tk)))&gt;0),""),IFERROR(--SUBSTITUTE(SUBSTITUTE(INDEX(_xlpm.a_,1),"МА",""),"MA",""),30)))</f>
        <v/>
      </c>
      <c r="CV177" t="str">
        <f>IF(CS177="","",IFERROR(_xlfn.XLOOKUP(CS177,Линии[_n],Линии[_УЗО, мА]),30))</f>
        <v/>
      </c>
      <c r="CW177">
        <f>IF(CS177="",0,IF(ISNUMBER(SEARCH("4P",IFERROR(_xlfn.XLOOKUP(CS177,Линии[_n],Линии[_УЗО строки])&amp;"",""))),0,1))</f>
        <v>0</v>
      </c>
      <c r="CX177" t="str">
        <f>IF(AND(CS177&lt;&gt;"",CS177=BA177),SUMIFS(Линии[_ток на 230 В],Линии[_блок УЗО],BA177,Линии[Щит],A177),"")</f>
        <v/>
      </c>
      <c r="CY177" t="str">
        <f>IF(AND(CS177&lt;&gt;"",CS177=BA177),SUMIFS(Линии[_ток утечки линии, мА],Линии[_блок УЗО],BA177,Линии[Щит],A177),"")</f>
        <v/>
      </c>
      <c r="CZ177">
        <f t="shared" si="306"/>
        <v>30</v>
      </c>
      <c r="DA177">
        <f t="shared" si="307"/>
        <v>30</v>
      </c>
      <c r="DB177">
        <f>IF(B177="",0,IFERROR(--_xlfn.XLOOKUP(B177,Коды_код,Коды_минавт),IFERROR(--_xlfn.XLOOKUP(BC177,Коды_код,Коды_минавт),IFERROR(--_xlfn.XLOOKUP(LEFT(BC177,2),Коды_код,Коды_минавт),0))))</f>
        <v>16</v>
      </c>
      <c r="DC177" t="str">
        <f>IF(B177="","",IFERROR(_xlfn.XLOOKUP(BC177,Коды_код,Коды_апп)&amp;"",""))</f>
        <v/>
      </c>
      <c r="DD177" t="str">
        <f t="shared" si="308"/>
        <v/>
      </c>
      <c r="DE177" t="str" cm="1">
        <f t="array" ref="DE177">IF(TRIM(DD177&amp;"")="","",IFERROR(TRIM(INDEX(_xlfn.TEXTSPLIT(DD177&amp;";;;",";"),1)),""))</f>
        <v/>
      </c>
      <c r="DF177" t="str" cm="1">
        <f t="array" ref="DF177">IF(TRIM(DD177&amp;"")="","",IFERROR(TRIM(INDEX(_xlfn.TEXTSPLIT(DD177&amp;";;;",";"),2)),""))</f>
        <v/>
      </c>
      <c r="DG177" t="str" cm="1">
        <f t="array" ref="DG177">IF(TRIM(DD177&amp;"")="","",IFERROR(TRIM(INDEX(_xlfn.TEXTSPLIT(DD177&amp;";;;",";"),3)),""))</f>
        <v/>
      </c>
      <c r="DH177">
        <f t="shared" si="309"/>
        <v>0</v>
      </c>
      <c r="DI177" t="str">
        <f>IF(B177="","",_xlfn.LET(_xlpm.t,LOWER(AZ177&amp;""),IF(ISNUMBER(SEARCH("dim",_xlpm.t)),"DIM",IF(ISNUMBER(SEARCH("dali",_xlpm.t)),"DALI",IF(OR(ISNUMBER(SEARCH("relay",_xlpm.t)),ISNUMBER(SEARCH("реле",_xlpm.t))),"Relay",IF(ISNUMBER(SEARCH("кнопк",_xlpm.t)),"",IFERROR(_xlfn.XLOOKUP(BC177,Коды_код,Коды_упр)&amp;"","")))))))</f>
        <v/>
      </c>
      <c r="DJ177" t="str">
        <f t="shared" si="310"/>
        <v/>
      </c>
      <c r="DK177">
        <f>IF(B177="","",_xlfn.LET(_xlpm.ig,IF(N(CX177)&gt;0,N(CX177),N(CI177)+IF(AJ177="вручную",0,N(CJ177))),_xlpm.n0,IFERROR(VLOOKUP(_xlpm.ig,Автомат_номиналы,2,TRUE),0),_xlpm.mn,MAX(DB177,IF(AJ177="вручную",0,N(CM177))),MAX(_xlpm.n0,_xlpm.mn,IF(DH177=1,Мин_автомат_БП,0))))</f>
        <v>16</v>
      </c>
      <c r="DL177">
        <f t="shared" si="311"/>
        <v>1</v>
      </c>
      <c r="DM177" t="str">
        <f t="shared" si="312"/>
        <v>2P</v>
      </c>
      <c r="DN177" t="str">
        <f>_xlfn.LET(_xlpm.cc,UPPER(TRIM(IFERROR(_xlfn.XLOOKUP(BC177,Коды_код,Коды_хар)&amp;"",""))),IF(OR(_xlpm.cc="B",_xlpm.cc="В"),"B",IF(_xlpm.cc="D","D","С")))</f>
        <v>С</v>
      </c>
      <c r="DO177" t="str">
        <f t="shared" si="313"/>
        <v>2P С16А 30мА</v>
      </c>
      <c r="DP177">
        <f t="shared" si="314"/>
        <v>16</v>
      </c>
      <c r="DQ177" t="str">
        <f t="shared" si="315"/>
        <v>2P С16А 30мА</v>
      </c>
      <c r="DR177" cm="1">
        <f t="array" ref="DR177">IF(DQ177="","",_xlfn.LET(_xlpm.t,SUBSTITUTE(SUBSTITUTE(SUBSTITUTE(UPPER(DQ177),"С","C"),"А","A"),"В","B"),_xlpm.tk,_xlfn.TEXTSPLIT(_xlpm.t," "),_xlpm.f,_xlfn._xlws.FILTER(_xlpm.tk,ISNUMBER(--MID(_xlpm.tk,2,1))*ISNUMBER(SEARCH(LEFT(_xlpm.tk,1)&amp;"#","B#C#D#"))*(LEN(_xlpm.tk)&gt;1),""),_xlpm.x,INDEX(_xlpm.f,1),IFERROR(--SUBSTITUTE(MID(_xlpm.x,2,9),"A",""),IFERROR(--SUBSTITUTE(INDEX(_xlfn._xlws.FILTER(_xlpm.tk,ISNUMBER(--SUBSTITUTE(_xlpm.tk,"A","")),""),1),"A",""),""))))</f>
        <v>16</v>
      </c>
      <c r="DS177" t="str">
        <f t="shared" si="316"/>
        <v>ok</v>
      </c>
      <c r="DT177">
        <f t="shared" si="317"/>
        <v>16</v>
      </c>
      <c r="DU177" t="str">
        <f t="shared" si="318"/>
        <v>2P С16А 30мА</v>
      </c>
      <c r="DV177">
        <f t="shared" si="319"/>
        <v>30</v>
      </c>
      <c r="DW177">
        <f t="shared" si="320"/>
        <v>1</v>
      </c>
      <c r="DX177">
        <f t="shared" si="321"/>
        <v>0</v>
      </c>
      <c r="DY177">
        <f t="shared" si="322"/>
        <v>0.54696341291648753</v>
      </c>
      <c r="DZ177">
        <f t="shared" si="323"/>
        <v>1</v>
      </c>
      <c r="EA177">
        <f>IF(ISNUMBER(AP177),AP177,К_прокл)</f>
        <v>1</v>
      </c>
      <c r="EB177">
        <f t="shared" si="324"/>
        <v>2</v>
      </c>
      <c r="EC177">
        <f>IFERROR(N(VLOOKUP(BZ177,Кабель_обозначение,3,FALSE)),1)</f>
        <v>1</v>
      </c>
      <c r="ED177">
        <f>IFERROR(N(_xlfn.XLOOKUP(A177,Щиты[Щит],Щиты[ΔU до шин, %])),0)</f>
        <v>1.57</v>
      </c>
      <c r="EE177" t="str">
        <f>IFERROR(_xlfn.XLOOKUP(A177,Щиты[Щит],Щиты[Zпетли на шинах, Ом]),"")</f>
        <v/>
      </c>
      <c r="EF177">
        <f>IFERROR(N(_xlfn.XLOOKUP(A177,Щиты[Щит],Щиты[ΔU до шин (подбор), %])),0)</f>
        <v>2.5</v>
      </c>
      <c r="EG177" t="str">
        <f>IFERROR(_xlfn.XLOOKUP(A177,Щиты[Щит],Щиты[Zпетли на шинах (подбор), Ом]),"")</f>
        <v/>
      </c>
      <c r="EH177" t="str">
        <f t="shared" si="325"/>
        <v/>
      </c>
      <c r="EI177">
        <f t="shared" si="326"/>
        <v>44</v>
      </c>
      <c r="EJ177">
        <f t="shared" si="327"/>
        <v>2</v>
      </c>
      <c r="EK177">
        <f t="shared" si="328"/>
        <v>0.31</v>
      </c>
      <c r="EL177" s="6">
        <f>IF(B177="","",IF(BV177=1,dU_LED,IF(IFERROR(_xlfn.XLOOKUP(BC177,Коды_код,Коды_уго),"")="Светильник",3,4)+IF(Методика="нормы 2026",MIN(0.5,MAX(0,N(P177)-100)*0.005),0)))</f>
        <v>4</v>
      </c>
      <c r="EM177" cm="1">
        <f t="array" ref="EM177">IF(OR(B177="",BZ177="",EC177&lt;&gt;1),"",_xlfn.LET(_xlpm.sz,Iдоп_S,_xlpm.t_,CHOOSE(EB177,Iдоп_1ж,Iдоп_2ж,Iдоп_3ж)*DZ177*EA177,_xlpm.dcx,BV177=1,_xlpm.inn,IF(_xlpm.dcx,N(O177),N(DT177)),_xlpm.smin,MAX(1.5,CC177),_xlpm.L_,N(P177)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177)/N(BU177)*100,999),IFERROR(N(EJ177)*(_xlpm.rho*_xlpm.L_/_xlpm.sz*N(CE177)+_xlpm.xx*_xlpm.L_*N(EK177)/1000)*N(O177)/((Uн_лин/SQRT(3))*1000)*100,999)),_xlpm.kz,IF(OR(_xlpm.dcx,DW177=1,NOT(ISNUMBER(EG177)),_xlpm.L_=0,_xlpm.inn=0),1,IFERROR(--(c_min*(Uн_лин*1000/SQRT(3))/(EG177+2*ρкз_Cu*_xlpm.L_/_xlpm.sz)&gt;=HT177*_xlpm.inn),0)),_xlpm.ok,IFERROR((_xlpm.sz&gt;=_xlpm.smin)*(_xlpm.t_&gt;=_xlpm.inn)*IF(_xlpm.L_&gt;0,(_xlpm.du_+IF(_xlpm.dcx,0,EF177)&lt;=EL177+0.00001),1)*_xlpm.kz,0),_xlpm.r_,_xlfn._xlws.FILTER(_xlpm.sz,_xlpm.ok,"не подобрано"),INDEX(_xlpm.r_,1)))</f>
        <v>1.5</v>
      </c>
      <c r="EN177">
        <f t="shared" si="329"/>
        <v>2.5</v>
      </c>
      <c r="EO177" cm="1">
        <f t="array" ref="EO177">IF(OR(B177="",BZ177="",EC177&lt;&gt;1),"",_xlfn.LET(_xlpm.sz,Iдоп_S,_xlpm.t_,CHOOSE(EB177,Iдоп_1ж,Iдоп_2ж,Iдоп_3ж)*DZ177*EA177,_xlpm.ok,IFERROR((_xlpm.sz&gt;=MAX(1.5,CC177))*(_xlpm.t_&gt;=N(DT177)),0),_xlpm.r_,_xlfn._xlws.FILTER(_xlpm.sz,_xlpm.ok,""),INDEX(_xlpm.r_,1)))</f>
        <v>1.5</v>
      </c>
      <c r="EP177" s="6" cm="1">
        <f t="array" ref="EP177">IFERROR(ROUNDUP(N(EJ177)*(_xlfn.XLOOKUP(EO177,INDEX(Кабель_сопротивление,0,1),INDEX(Кабель_сопротивление,0,3))*N(P177)/EO177*N(CE177)+_xlfn.XLOOKUP(EO177,INDEX(Кабель_сопротивление,0,1),INDEX(Кабель_сопротивление,0,2))*N(P177)*N(EK177)/1000)*N(O177)/((Uн_лин/SQRT(3))*1000)*100,2),"")</f>
        <v>0.32</v>
      </c>
      <c r="EQ177">
        <f>IFERROR(2*ρкз_Cu*N(P177)/EO177,"")</f>
        <v>1.6481333333333332</v>
      </c>
      <c r="ER177">
        <f>IFERROR(VLOOKUP(EN177,Кабель_сопротивление,3,FALSE),"")</f>
        <v>2.2499999999999999E-2</v>
      </c>
      <c r="ES177">
        <f>IFERROR(VLOOKUP(EN177,Кабель_сопротивление,2,FALSE),"")</f>
        <v>0.1</v>
      </c>
      <c r="ET177">
        <f t="shared" si="330"/>
        <v>6</v>
      </c>
      <c r="EU177">
        <f t="shared" si="331"/>
        <v>0</v>
      </c>
      <c r="EV177">
        <f t="shared" si="332"/>
        <v>0.44118834634621956</v>
      </c>
      <c r="EW177" s="6">
        <f>IFERROR(ROUNDUP(EV177/IF(BV177=1,BU177,(Uн_лин/SQRT(3))*1000)*100,2),"")</f>
        <v>0.2</v>
      </c>
      <c r="EX177" t="str">
        <f>IFERROR(VLOOKUP(BZ177,Кабель_обозначение,2,FALSE),"")</f>
        <v>ВВГнг(А)-LS</v>
      </c>
      <c r="EY177" t="str">
        <f t="shared" si="333"/>
        <v>ВВГнг(А)-LS (3х2,5)</v>
      </c>
      <c r="EZ177" t="str">
        <f t="shared" si="334"/>
        <v>ВВГнг(А)-LS (3х2,5)
L=47-0,2%</v>
      </c>
      <c r="FA177">
        <f>IFERROR(2*ρкз_Cu*P177/EN177,"")</f>
        <v>0.98887999999999998</v>
      </c>
      <c r="FB177">
        <f t="shared" si="335"/>
        <v>0.32900000000000007</v>
      </c>
      <c r="FC177" s="6" t="str">
        <f>IFERROR(IF(OR(B177="",BV177=1,NOT(ISNUMBER(EN177)),N(P177)=0),"",_xlfn.XLOOKUP(A177,Щиты[Щит],Щиты[Zпетли на шинах, Ом])+FA177),"")</f>
        <v/>
      </c>
      <c r="FD177" s="6" t="str">
        <f>IF(ISNUMBER(FC177),c_min*(Uн_лин*1000/SQRT(3))/FC177,"")</f>
        <v/>
      </c>
      <c r="FE177" s="6" t="str">
        <f>IFERROR(IF(OR(B177="",NOT(ISNUMBER(EN177))),"",1.05*(Uн_лин*1000/SQRT(3))/(_xlfn.XLOOKUP(A177,Щиты[Щит],Щиты[Zmax на шинах, Ом])+FB177)/1000),"")</f>
        <v/>
      </c>
      <c r="FF177" s="6" t="str">
        <f>IF(B177="","",IF(ISNUMBER(AC177),"Сил",IF(IFERROR(_xlfn.XLOOKUP(BC177,Коды_код,Коды_группа)&amp;"","")="","Быт",_xlfn.XLOOKUP(BC177,Коды_код,Коды_группа)&amp;"")))</f>
        <v>Быт</v>
      </c>
      <c r="FG177" s="6" t="str">
        <f t="shared" si="336"/>
        <v>Быт</v>
      </c>
      <c r="FH177" s="6">
        <f>IF(FG177="Щит","щит",IF(FG177="","",IF(FG177="Быт",IFERROR(_xlfn.XLOOKUP(A177,Щиты[Щит],Щиты[Кс быт]),1),IF(FG177="Сил",IF(ISNUMBER(AC177),AC177,IF(Методика="нормы 2026",IFERROR(_xlfn.XLOOKUP(A177,Щиты[Щит],Щиты[Кс силовых (табл. 7.5)]),1),1)),IF(OR(FG177="Пост",FG177="Отоп"),1,IF(FG177="ВНГ",0.7,0))))))</f>
        <v>0.8</v>
      </c>
      <c r="FI177">
        <f>IF(FG177="","",IF(AND(BP177=1,TRIM(AE177&amp;"")=""),IF(COUNTIFS(Линии[Щит],A177,Линии[Секция (1/2/3)],"&gt;=2")&gt;0,MIN(3,MAX(1,IFERROR(--BD177,1))),1),IFERROR(MIN(3,MAX(1,INT(--AE177))),1)))</f>
        <v>1</v>
      </c>
      <c r="FJ177">
        <f t="shared" si="337"/>
        <v>0.12</v>
      </c>
      <c r="FK177">
        <f t="shared" si="338"/>
        <v>0.12</v>
      </c>
      <c r="FL177">
        <f t="shared" si="339"/>
        <v>0</v>
      </c>
      <c r="FM177">
        <f t="shared" si="340"/>
        <v>0</v>
      </c>
      <c r="FN177">
        <f t="shared" si="341"/>
        <v>0</v>
      </c>
      <c r="FO177">
        <f t="shared" si="342"/>
        <v>0</v>
      </c>
      <c r="FP177">
        <f t="shared" si="343"/>
        <v>0.12</v>
      </c>
      <c r="FQ177">
        <f t="shared" si="344"/>
        <v>0.12</v>
      </c>
      <c r="FR177">
        <f t="shared" si="345"/>
        <v>0.11399999999999999</v>
      </c>
      <c r="FS177">
        <f>IF(CG177=1,IF(AND(CH177=1,CW177=1),0,IF(AND(CS177&lt;&gt;"",CS177=BA177,CW177=1),SUMIFS(Линии[_Р линии, кВт],Линии[_блок УЗО],BA177,Линии[Щит],A177),N(BS177)+IF(AJ177="вручную",0,N(CK177)))),0)</f>
        <v>0.12</v>
      </c>
      <c r="FT177" t="str">
        <f t="shared" si="346"/>
        <v>L1</v>
      </c>
      <c r="FU177" t="str">
        <f>IF(B177="","",IF(CG177=0,IF(BA177=1,"",FW176),IF(AND(CH177=1,CW177=1,CS177&lt;&gt;""),IFERROR(_xlfn.XLOOKUP(CS177,Линии[_n],Линии[_фаза итог]),"L1"),IF(OR(N(DL177)&gt;=3,N(BX177)&gt;=3),"L1,L2,L3",IFERROR(_xlfn.TEXTBEFORE(_xlfn.TEXTAFTER(_xlfn.XLOOKUP(A177,Щиты[Щит],Щиты[_фазы авто]),";"&amp;BA177&amp;":"),";"),"L1")))))</f>
        <v>L1</v>
      </c>
      <c r="FV177" t="str">
        <f t="shared" si="347"/>
        <v>L1</v>
      </c>
      <c r="FW177" t="str">
        <f t="shared" si="348"/>
        <v>L1</v>
      </c>
      <c r="FX177" cm="1">
        <f t="array" ref="FX177">IFERROR(IF(CD177=2,_xlfn.IFS(BX177=3,VLOOKUP(BS177,Справочная_двигатели,3,FALSE),BX177=1,VLOOKUP(BS177,Справочная_двигатели,5,TRUE)),0),0)</f>
        <v>0</v>
      </c>
      <c r="FY177">
        <f>IFERROR(IF(CD177=3,VLOOKUP(BS177,Справочная_ЛЭД,2,TRUE),0),0)</f>
        <v>0</v>
      </c>
      <c r="FZ177" s="6">
        <f t="shared" si="349"/>
        <v>0</v>
      </c>
      <c r="GA177" t="str">
        <f>IF(B177="","",IF(TRIM(AH177&amp;"")&lt;&gt;"",IF(LOWER(TRIM(AH177&amp;""))="да","да","нет"),IF(IFERROR(_xlfn.XLOOKUP(BC177,Коды_код,Коды_пожарная),"")="да","да","нет")))</f>
        <v>нет</v>
      </c>
      <c r="GB177" t="str">
        <f t="shared" si="350"/>
        <v/>
      </c>
      <c r="GC177" t="str">
        <f t="shared" si="351"/>
        <v>основная</v>
      </c>
      <c r="GD177">
        <f>IF(AND(BP177=1,TRIM(AE177&amp;"")=""),IF(COUNTIFS(Линии[Щит],A177,Линии[Секция (1/2/3)],"&gt;=2")&gt;0,MIN(3,MAX(1,IFERROR(--BD177,1))),1),IFERROR(MIN(3,MAX(1,INT(--AE177))),1))</f>
        <v>1</v>
      </c>
      <c r="GE177" t="str" cm="1">
        <f t="array" ref="GE177">IF(B177="","",_xlfn.LET(_xlpm.t,IFERROR(_xlfn.XLOOKUP(1,(Шины[Шина]=GC177)*(((Шины[Щит]=A177)+(Шины[Щит]=""))&gt;0),Шины[Тип]),"")&amp;"",IF(_xlpm.t&lt;&gt;"",_xlpm.t,IF(ISNUMBER(SEARCH("ИБП",GC177)),"ИБП",IF(ISNUMBER(SEARCH("ДГУ",GC177)),"ДГУ","Ввод "&amp;GD177)))))</f>
        <v>Ввод 1</v>
      </c>
      <c r="GF177" t="str">
        <f t="shared" si="352"/>
        <v>Ввод 1</v>
      </c>
      <c r="GG177" t="str">
        <f>IF(BP177=0,"",IF(TRIM(AG177&amp;"")&lt;&gt;"",TRIM(AG177&amp;""),IF(OR(GE177="ИБП",GE177="ДГУ"),"I особая",_xlfn.XLOOKUP(A177,Щиты[Щит],Щиты[Категория шины «Ввод»],"III"))))</f>
        <v/>
      </c>
      <c r="GH177" t="str">
        <f>IF(A177="","",_xlfn.XLOOKUP(A177,Щиты[Щит],Щиты[Путь],""))</f>
        <v>|ГРЩ-ЖД|ЩР-001|</v>
      </c>
      <c r="GI177" t="str">
        <f>IF(B177="","",IF(AI177&lt;&gt;"",AI177,IF(IFERROR(_xlfn.XLOOKUP(BC177,Коды_код,Коды_вид)&amp;"","")="","Прочее",_xlfn.XLOOKUP(BC177,Коды_код,Коды_вид)&amp;"")))</f>
        <v>Розеточная сеть и бытовые приборы</v>
      </c>
      <c r="GJ177">
        <f>IF(BM177="","",INT((BM177-1)/Столбцов_на_лист)+1)</f>
        <v>2</v>
      </c>
      <c r="GK177" t="str">
        <f t="shared" si="353"/>
        <v>ВВГнг(А)-LS (3х2,5) L=47-0,2%</v>
      </c>
      <c r="GL177">
        <f t="shared" si="354"/>
        <v>0.12</v>
      </c>
      <c r="GM177">
        <f t="shared" si="355"/>
        <v>0.55000000000000004</v>
      </c>
      <c r="GN177">
        <f t="shared" si="356"/>
        <v>1</v>
      </c>
      <c r="GO177">
        <f t="shared" si="357"/>
        <v>0</v>
      </c>
      <c r="GP177">
        <f t="shared" si="358"/>
        <v>1</v>
      </c>
      <c r="GQ177">
        <f>IF(BM177="","",IF(AND(CG177=1,GP177=1),COUNTIFS(A$3:A177,A177,CG$3:CG177,1,GP$3:GP177,1),IF(OR(OR(BA177=1,A177&lt;&gt;A176),AJ177="вручную",GP177=0),"",IF(BA177=1,"",GR176))))</f>
        <v>23</v>
      </c>
      <c r="GR177">
        <f t="shared" si="359"/>
        <v>23</v>
      </c>
      <c r="GS177">
        <f>IF(B177="","",IFERROR(LOOKUP(INDEX(CHOOSE(EB177,Iдоп_1ж,Iдоп_2ж,Iдоп_3ж),MATCH(EN177,Iдоп_S,0))*DZ177*EA177,{6,10,16,20,25,32,40,50,63,80,100,125,160,200,250,315,400,500,630}),""))</f>
        <v>25</v>
      </c>
      <c r="GT177" t="str">
        <f t="shared" si="360"/>
        <v>QFD23</v>
      </c>
      <c r="GU177" t="str">
        <f t="shared" si="361"/>
        <v>QFD23</v>
      </c>
      <c r="GV177" t="str">
        <f t="shared" si="362"/>
        <v/>
      </c>
      <c r="GW177">
        <f t="shared" si="363"/>
        <v>0</v>
      </c>
      <c r="GX177" t="str">
        <f>IF(OR(B177="",DJ177=""),"",IFERROR(_xlfn.XLOOKUP(DJ177,Модули_умолч[Управление],Модули_умолч[Модель])&amp;"",""))</f>
        <v/>
      </c>
      <c r="GY177">
        <f>IF(DJ177="",1,IFERROR(MAX(0,N(_xlfn.XLOOKUP(DJ177,Модули_умолч[Управление],Модули_умолч[Каналов на линию]))),1))</f>
        <v>1</v>
      </c>
      <c r="GZ177" t="str">
        <f t="shared" si="364"/>
        <v/>
      </c>
      <c r="HA177" t="str">
        <f t="shared" si="365"/>
        <v/>
      </c>
      <c r="HB177" t="str">
        <f t="shared" si="366"/>
        <v/>
      </c>
      <c r="HC177">
        <f>IF(HB177="",0,IFERROR(N(VLOOKUP(HB177,Модули_спр,3,FALSE)),0))</f>
        <v>0</v>
      </c>
      <c r="HD177" t="str">
        <f t="shared" si="367"/>
        <v/>
      </c>
      <c r="HE177" t="str">
        <f t="shared" si="368"/>
        <v/>
      </c>
      <c r="HF177" t="str">
        <f>IF(OR(HE177="",HE177="-"),"",IFERROR(VLOOKUP(HE177,Модули_спр,2,FALSE),"R"))</f>
        <v/>
      </c>
      <c r="HG177" t="str">
        <f>IF(HF177="","",HF177&amp;"."&amp;COUNTIFS(A$3:A177,A177,HF$3:HF177,HF177))</f>
        <v/>
      </c>
      <c r="HH177" t="str">
        <f t="shared" si="369"/>
        <v/>
      </c>
      <c r="HI177" t="str">
        <f t="shared" si="370"/>
        <v/>
      </c>
      <c r="HJ177" t="str">
        <f t="shared" si="371"/>
        <v/>
      </c>
      <c r="HK177" t="str">
        <f t="shared" si="372"/>
        <v/>
      </c>
      <c r="HL177">
        <f t="shared" si="373"/>
        <v>1</v>
      </c>
      <c r="HM177" t="str">
        <f>IF(HL177=1,"XT"&amp;COUNTIFS(A$3:A177,A177,HL$3:HL177,1),"")</f>
        <v>XT23</v>
      </c>
      <c r="HN177" t="str">
        <f t="shared" si="374"/>
        <v/>
      </c>
      <c r="HO177" t="str">
        <f t="shared" si="375"/>
        <v>QFD23</v>
      </c>
      <c r="HP177" t="str">
        <f t="shared" si="376"/>
        <v/>
      </c>
      <c r="HQ177" t="str">
        <f t="shared" si="377"/>
        <v>ok</v>
      </c>
      <c r="HR177" t="str">
        <f>IF(OR(HJ177="",HH177=""),"",IF(HJ177+MAX(0,GY177-1)&gt;IFERROR(VLOOKUP(HI177,Модули_спр,3,FALSE),99),"ЛИШНИЙ КАНАЛ",IF(AND(AL177&lt;&gt;"=",GY177&gt;0,COUNTIFS(Линии[_модуль гр.],HH177,Линии[Канал (итог)],HJ177,Линии[Канал],"&lt;&gt;=",Линии[Щит],A177)&gt;1),"ДУБЛЬ КАНАЛА","")))</f>
        <v/>
      </c>
      <c r="HS177" s="6" t="str">
        <f t="shared" si="378"/>
        <v/>
      </c>
      <c r="HT177">
        <f t="shared" si="379"/>
        <v>10</v>
      </c>
      <c r="HU177" t="str">
        <f t="shared" si="380"/>
        <v/>
      </c>
      <c r="HV177">
        <f t="shared" si="381"/>
        <v>0.68878536516659505</v>
      </c>
      <c r="HW177">
        <f t="shared" si="382"/>
        <v>0</v>
      </c>
      <c r="HX177">
        <f t="shared" si="383"/>
        <v>0</v>
      </c>
      <c r="HY177">
        <f t="shared" si="384"/>
        <v>0</v>
      </c>
      <c r="HZ177">
        <f t="shared" si="385"/>
        <v>0</v>
      </c>
      <c r="IA177">
        <f t="shared" si="386"/>
        <v>0</v>
      </c>
      <c r="IB177">
        <f t="shared" si="387"/>
        <v>0</v>
      </c>
      <c r="IC177" t="str">
        <f t="shared" si="388"/>
        <v/>
      </c>
      <c r="ID177" t="str" cm="1">
        <f t="array" ref="ID177">IF(IC177="","",_xlfn.LET(_xlpm.tk,_xlfn.TEXTSPLIT(SUBSTITUTE(SUBSTITUTE(IC177,";"," "),"→"," ")," ",,TRUE),_xlpm.w_,_xlfn._xlws.FILTER(_xlpm.tk,ISNUMBER(--LEFT(_xlpm.tk,1))*((ISNUMBER(SEARCH("W",_xlpm.tk))+ISNUMBER(SEARCH("Вт",_xlpm.tk)))&gt;0),""),IFERROR(--SUBSTITUTE(SUBSTITUTE(UPPER(INDEX(_xlpm.w_,1)),"W",""),"ВТ",""),"")))</f>
        <v/>
      </c>
      <c r="IE177" t="str" cm="1">
        <f t="array" ref="IE177">IF(IC177="","",_xlfn.LET(_xlpm.tk,_xlfn.TEXTSPLIT(SUBSTITUTE(SUBSTITUTE(IC177,";"," "),"→"," ")," ",,TRUE),_xlpm.v_,_xlfn._xlws.FILTER(_xlpm.tk,ISNUMBER(--LEFT(_xlpm.tk,1))*((ISNUMBER(SEARCH("V",_xlpm.tk))+(RIGHT(UPPER(_xlpm.tk))="В"))&gt;0),""),IFERROR(--SUBSTITUTE(SUBSTITUTE(UPPER(INDEX(_xlpm.v_,1)),"V",""),"В",""),"")))</f>
        <v/>
      </c>
      <c r="IF177" s="6" t="str">
        <f>IF(OR(BV177=0,HI177="",HJ177=""),"",IFERROR(N(_xlfn.XLOOKUP(HI177,Каталог!$C$4:$C$500,Каталог!$Q$4:$Q$500)),""))</f>
        <v/>
      </c>
      <c r="IG177" s="6" t="str">
        <f>IF(N(IF177)=0,"",SUMIFS(Линии[Iр, А],Линии[Щит],A177,Линии[_модуль гр.],HH177,Линии[Канал (итог)],HJ177))</f>
        <v/>
      </c>
      <c r="IH177" t="str">
        <f>IF(AND(B177="",HO177=""),"",_xlfn.TEXTJOIN("; ",TRUE,IF(AND(B177&lt;&gt;"",FV177=""),"нет фазы",""),IF(AND(B177&lt;&gt;"",N(GL177)=0,FG177&lt;&gt;"Нет"),"нет мощности",""),IF(AND(HN177&lt;&gt;"",COUNTIFS(Линии[Щит],A177,Линии[Клемма (итог)],HN177)&gt;1),"дубль клеммы "&amp;HN177,""),IF(AND(HQ177&lt;&gt;"",HQ177&lt;&gt;"ok"),HQ177,""),IF(HR177&lt;&gt;"",HR177,""),IF(AND(N(CB177)&gt;=4,N(BX177)=1),CB177&amp;" жил на 1 фазе",""),IF(AND(BC177="R",CG177=1,IF(CS177&lt;&gt;"",N(CV177)&gt;30,OR(N(DA177)=0,N(DA177)&gt;30))),"розетка без дифзащиты до 30 мА",""),IF(AND(CG177=1,N(DA177)&gt;0,ISNUMBER(T177)),IF(T177&gt;N(DA177)/3,"ток утечки "&amp;FIXED(T177,1)&amp;" мА &gt; 1/3 уставки ("&amp;DA177&amp;" мА)",""),""),IF(AND(CH177=1,CS177=""),"«узо»: нет строки с УЗО выше (УЗО 2P 40А 30мА в «Аппаратах»)",""),IF(AND(CS177&lt;&gt;"",CS177=BA177),IF(CT177="","впишите номинал УЗО (УЗО 2P 40А 30мА)",IF(N(CT177)&lt;N(DT177),"УЗО "&amp;CT177&amp;" А &lt; автомата "&amp;DT177&amp;" А перед ним",IF(N(CT177)&lt;N(CX177),"УЗО "&amp;CT177&amp;" А &lt; тока блока "&amp;FIXED(CX177,1)&amp;" А",""))),""),IF(AND(CS177&lt;&gt;"",CS177=BA177,ISNUMBER(CY177)),IF(CY177&gt;N(CV177)/3,"ток утечки блока УЗО "&amp;FIXED(CY177,1)&amp;" мА &gt; 1/3 уставки ("&amp;CV177&amp;" мА)",""),""),IF(AND(CG177=1,N(BV177)+N(IB177)&gt;0,IC177=""),"линии до 50 В без БП: впишите в «Аппараты» (БП 24V 480W)",""),IF(AND(CG177=1,ISNUMBER(ID177),ISNUMBER(U177)),IF(U177&gt;ID177,"БП "&amp;ID177&amp;" Вт &lt; нужно "&amp;U177&amp;" Вт (×"&amp;Запас_БП&amp;")",""),""),IF(AND(CG177=1,ISNUMBER(IE177),N(BV177)=1),IF(IE177&lt;&gt;N(BU177),"БП на "&amp;IE177&amp;" В, линия "&amp;BU177&amp;" В",""),""),IF(AND(N(IF177)&gt;0,N(IG177)&gt;N(IF177)),HH177&amp;" канал "&amp;HJ177&amp;": "&amp;FIXED(IG177,1)&amp;" А &gt; "&amp;IF177&amp;" А",""),IFERROR(IF(AND(ISNUMBER(Q177),Q177&gt;EL177),"потери "&amp;FIXED(Q177,1)&amp;" % &gt; "&amp;EL177&amp;" %",""),""),IFERROR(IF(LEFT(HU177,4)="мало","Iкз мало — отключение &gt; 0,4 с",""),""),IF(AND(B177&lt;&gt;"",BM177=""),"не на схеме",""),IF(AND(CG177=0,B177&lt;&gt;"",FV177&lt;&gt;"",IF(BA177=1,"",FW176)&lt;&gt;"",FV177&lt;&gt;IF(BA177=1,"",FW176)),"фаза не как у автомата группы ("&amp;IF(BA177=1,"",FW176)&amp;")","")))</f>
        <v/>
      </c>
      <c r="II177" s="6">
        <f>IF(OR(CG177=0,DQ177=""),"",_xlfn.LET(_xlpm.t,IFERROR(_xlfn.XLOOKUP(DQ177,Каталог!$U$4:$U$500,Каталог!$G$4:$G$500),""),_xlpm.k,SEARCH("кА",_xlpm.t),IFERROR(--TRIM(RIGHT(SUBSTITUTE(MID(_xlpm.t,MAX(1,_xlpm.k-4),_xlpm.k-MAX(1,_xlpm.k-4))," ",REPT(" ",9)),5)),"")))</f>
        <v>6</v>
      </c>
      <c r="IJ177" t="str">
        <f>IF(OR(II177="",CG177=0),"",IF(_xlfn.XLOOKUP(A177,Щиты[Щит],Щиты[Iкз max на шинах, кА],"")="","",IF(II177&lt;_xlfn.XLOOKUP(A177,Щиты[Щит],Щиты[Iкз max на шинах, кА]),"Icu "&amp;II177&amp;" кА &lt; Iкз max","ok")))</f>
        <v/>
      </c>
      <c r="IK177" t="str">
        <f t="shared" si="389"/>
        <v/>
      </c>
      <c r="IL177" t="str">
        <f t="shared" si="390"/>
        <v>QFD23</v>
      </c>
      <c r="IM177" t="str">
        <f t="shared" si="391"/>
        <v>QFD23|кабель ВВГнг(А)-LS (3х2,5) → Розеточная группа, пом. 008А</v>
      </c>
      <c r="IN177" t="str" cm="1">
        <f t="array" ref="IN177">IF(IM177="","",_xlfn.LET(_xlpm.nd,_xlfn.TEXTSPLIT(IM177,"|"),IF(COLUMNS(_xlpm.nd)&gt;1,A177&amp;"¦"&amp;INDEX(_xlpm.nd,1)&amp;"¦"&amp;INDEX(_xlpm.nd,2),"")))</f>
        <v>ЩР-001¦QFD23¦кабель ВВГнг(А)-LS (3х2,5) → Розеточная группа, пом. 008А</v>
      </c>
      <c r="IO177" t="str">
        <f t="shared" si="392"/>
        <v>R.00.008А.1¦Розеточная группа, пом. 008А</v>
      </c>
      <c r="IP177" t="str" cm="1">
        <f t="array" ref="IP177">IF(IM177="","",_xlfn.LET(_xlpm.nd,_xlfn.TEXTSPLIT(IM177,"|"),IF(COLUMNS(_xlpm.nd)&gt;2,A177&amp;"¦"&amp;INDEX(_xlpm.nd,2)&amp;"¦"&amp;INDEX(_xlpm.nd,3),"")))</f>
        <v/>
      </c>
      <c r="IQ177" t="str">
        <f t="shared" si="393"/>
        <v/>
      </c>
      <c r="IR177" t="str" cm="1">
        <f t="array" ref="IR177">IF(IM177="","",_xlfn.LET(_xlpm.nd,_xlfn.TEXTSPLIT(IM177,"|"),IF(COLUMNS(_xlpm.nd)&gt;3,A177&amp;"¦"&amp;INDEX(_xlpm.nd,3)&amp;"¦"&amp;INDEX(_xlpm.nd,4),"")))</f>
        <v/>
      </c>
      <c r="IS177" t="str">
        <f t="shared" si="394"/>
        <v/>
      </c>
      <c r="IT177" t="str" cm="1">
        <f t="array" ref="IT177">IF(IM177="","",_xlfn.LET(_xlpm.nd,_xlfn.TEXTSPLIT(IM177,"|"),IF(COLUMNS(_xlpm.nd)&gt;4,A177&amp;"¦"&amp;INDEX(_xlpm.nd,4)&amp;"¦"&amp;INDEX(_xlpm.nd,5),"")))</f>
        <v/>
      </c>
      <c r="IU177" t="str">
        <f t="shared" si="395"/>
        <v/>
      </c>
      <c r="IV177" t="str" cm="1">
        <f t="array" ref="IV177">IF(IM177="","",_xlfn.LET(_xlpm.nd,_xlfn.TEXTSPLIT(IM177,"|"),IF(COLUMNS(_xlpm.nd)&gt;5,A177&amp;"¦"&amp;INDEX(_xlpm.nd,5)&amp;"¦"&amp;INDEX(_xlpm.nd,6),"")))</f>
        <v/>
      </c>
      <c r="IW177" t="str">
        <f t="shared" si="396"/>
        <v/>
      </c>
      <c r="IX177" t="str" cm="1">
        <f t="array" ref="IX177">IF(IM177="","",_xlfn.LET(_xlpm.nd,_xlfn.TEXTSPLIT(IM177,"|"),IF(COLUMNS(_xlpm.nd)&gt;6,A177&amp;"¦"&amp;INDEX(_xlpm.nd,6)&amp;"¦"&amp;INDEX(_xlpm.nd,7),"")))</f>
        <v/>
      </c>
      <c r="IY177" t="str">
        <f t="shared" si="397"/>
        <v/>
      </c>
      <c r="IZ177" t="str">
        <f t="shared" si="398"/>
        <v/>
      </c>
      <c r="JA177" t="str">
        <f t="shared" si="399"/>
        <v>QFD23</v>
      </c>
      <c r="JB177">
        <f t="shared" si="400"/>
        <v>0</v>
      </c>
      <c r="JC177">
        <f t="shared" si="401"/>
        <v>1</v>
      </c>
      <c r="JD177" t="str">
        <f t="shared" si="402"/>
        <v/>
      </c>
      <c r="JE177" t="str">
        <f t="shared" si="403"/>
        <v/>
      </c>
      <c r="JF177" t="str">
        <f t="shared" si="404"/>
        <v/>
      </c>
      <c r="JG177" t="str">
        <f t="shared" si="405"/>
        <v/>
      </c>
      <c r="JH177" t="str">
        <f>IF(B177="","",IFERROR(_xlfn.XLOOKUP(B177,Коды_код,Коды_уго),IFERROR(_xlfn.XLOOKUP(BC177,Коды_код,Коды_уго),IFERROR(_xlfn.XLOOKUP(LEFT(BC177,2),Коды_код,Коды_уго),""))))</f>
        <v>Розетка</v>
      </c>
      <c r="JI177" t="str">
        <f>IF(B177="","",IF(OR(JH177="",JH177=0),"BOX",IFERROR(IF(VLOOKUP(JH177,УГО_блоки,3,FALSE)&amp;""&lt;&gt;"",VLOOKUP(JH177,УГО_блоки,3,FALSE),VLOOKUP(JH177,УГО_блоки,2,FALSE)),JH177)))</f>
        <v>SOCKET</v>
      </c>
      <c r="JJ177">
        <f t="shared" si="406"/>
        <v>1</v>
      </c>
      <c r="JK177" t="str">
        <f>IF(DQ177="","",IF(COUNTIF(DQ$3:DQ177,DQ177)=1,MAX(JK$2:JK176)+1,""))</f>
        <v/>
      </c>
      <c r="JL177" t="str">
        <f>IF(DE177="","",IF(COUNTIF(DE$3:DE177,DE177)+COUNTIF(DF$2:DF176,DE177)+COUNTIF(DG$2:DG176,DE177)=1,MAX(JL$2:JN176)+1,""))</f>
        <v/>
      </c>
      <c r="JM177" t="str">
        <f>IF(DF177="","",IF(COUNTIF(DE$3:DE177,DF177)+COUNTIF(DF$3:DF177,DF177)+COUNTIF(DG$2:DG176,DF177)=1,MAX(JL$2:JN176,JL177)+1,""))</f>
        <v/>
      </c>
      <c r="JN177" t="str">
        <f>IF(DG177="","",IF(COUNTIF(DE$3:DE177,DG177)+COUNTIF(DF$3:DF177,DG177)+COUNTIF(DG$3:DG177,DG177)=1,MAX(JL$2:JN176,JL177,JM177)+1,""))</f>
        <v/>
      </c>
      <c r="JO177" t="str">
        <f t="shared" si="407"/>
        <v>3х2,5</v>
      </c>
      <c r="JP177" t="str">
        <f>IF(JO177="","",IF(COUNTIF(JO$3:JO177,JO177)=1,MAX(JP$2:JP176)+1,""))</f>
        <v/>
      </c>
      <c r="JQ177" t="str">
        <f>IF(HG177="","",COUNTIF(HG$3:HG177,"?*"))</f>
        <v/>
      </c>
      <c r="JR177" t="str">
        <f>IF(OR(HG177="",HI177=""),"",IF(COUNTIFS(HG$3:HG177,"?*",HI$3:HI177,HI177)=1,MAX(JR$2:JR176)+1,""))</f>
        <v/>
      </c>
      <c r="JS177">
        <f t="shared" si="408"/>
        <v>0</v>
      </c>
      <c r="JT177">
        <f>IF(B177="","",COUNTIF(B$3:B177,"?*"))</f>
        <v>175</v>
      </c>
      <c r="JU177">
        <f>IF(HL177&lt;&gt;1,0,_xlfn.LET(_xlpm.k,MAX(IFERROR(--_xlfn.XLOOKUP(B177,Коды_код,Коды_3L),0),IFERROR(--_xlfn.XLOOKUP(BC177,Коды_код,Коды_3L),0),IFERROR(--_xlfn.XLOOKUP(LEFT(BC177,2),Коды_код,Коды_3L),0)),IF(_xlpm.k&gt;0,_xlpm.k,IF(IFERROR(--LEFT(SUBSTITUTE(JO177,"x","х"),FIND("х",SUBSTITUTE(JO177,"x","х"))-1),3)&gt;3,Каталог!$S$9,1))))</f>
        <v>1</v>
      </c>
      <c r="JV177">
        <f t="shared" si="409"/>
        <v>0</v>
      </c>
      <c r="JW177" t="str">
        <f t="shared" si="410"/>
        <v>авто</v>
      </c>
      <c r="JX177">
        <f t="shared" si="411"/>
        <v>30</v>
      </c>
      <c r="JY177">
        <f t="shared" si="412"/>
        <v>1</v>
      </c>
      <c r="JZ177">
        <f t="shared" si="413"/>
        <v>1</v>
      </c>
    </row>
    <row r="178" spans="1:286" x14ac:dyDescent="0.3">
      <c r="A178" t="s">
        <v>753</v>
      </c>
      <c r="B178" t="s">
        <v>1486</v>
      </c>
      <c r="C178" t="str">
        <f>Линии[[#This Row],[_авто наименование]]</f>
        <v>Розеточная группа, пом. 002Б</v>
      </c>
      <c r="D178">
        <v>1</v>
      </c>
      <c r="E178">
        <v>0.06</v>
      </c>
      <c r="G178">
        <v>16</v>
      </c>
      <c r="H178" t="str">
        <f>Линии[[#This Row],[_авто управление]]</f>
        <v/>
      </c>
      <c r="I178" t="str">
        <f>Линии[[#This Row],[_авто аппараты]]</f>
        <v/>
      </c>
      <c r="J178">
        <v>2.5</v>
      </c>
      <c r="K178">
        <v>28</v>
      </c>
      <c r="L178">
        <v>3</v>
      </c>
      <c r="M178" t="s">
        <v>484</v>
      </c>
      <c r="N178" t="str">
        <f t="shared" si="276"/>
        <v/>
      </c>
      <c r="O178" s="6" cm="1">
        <f t="array" ref="O178">IF(B178="","",IF(BH178&lt;&gt;"",IFERROR(_xlfn.XLOOKUP(BH178,Щиты[Щит],Щиты[Iр, А]),""),IF(BP178=1,IF(OR(N(_xlfn.XLOOKUP(A178,Щиты[Щит],Щиты[Вводов],1))&lt;=1,LOWER(TRIM(_xlfn.XLOOKUP(A178,Щиты[Щит],Щиты[АВР],"")&amp;""))="да"),IFERROR(_xlfn.XLOOKUP(A178,Щиты[Щит],Щиты[Iр, А]),""),IFERROR(N(BS178)*_xlfn.XLOOKUP(A178,Щиты[Щит],Щиты[Кс итог])/(SQRT(3)*Uн_лин*_xlfn.XLOOKUP(A178,Щиты[Щит],Щиты[cos φ])),"")),IF(BV178=1,IFERROR(BS178*1000/BU178,""),IFERROR(_xlfn.IFS(BX178=1,BS178/((Uн_лин/SQRT(3))*CE178),BX178=3,BS178/(SQRT(3)*Uн_лин*CE178)),"")))))</f>
        <v>0.27348170645824377</v>
      </c>
      <c r="P178" s="7">
        <f>IF(B178="","",IFERROR(IF(VLOOKUP(BC178,Потребители_обозначение,4,FALSE)=1,VLOOKUP(BC178,Потребители_обозначение,3,FALSE)*(MAX(1,N(D178))*2-1)+EI178+VLOOKUP(BE178,Этаж_обозначение,3,FALSE)+VLOOKUP(BE178,Этаж_обозначение,4,FALSE),VLOOKUP(BC178,Потребители_обозначение,3,FALSE)*(MAX(1,N(D178))*2-1)+EI178),EI178))</f>
        <v>31</v>
      </c>
      <c r="Q178" s="6">
        <f t="shared" si="277"/>
        <v>1.6400000000000001</v>
      </c>
      <c r="R178" t="str">
        <f t="shared" si="278"/>
        <v>ВВГнг(А)-LS (3х2,5)</v>
      </c>
      <c r="S178" t="str">
        <f>IF(BM178="","",IF(BN178="вводной узел","узел ","")&amp;"л."&amp;(INT((BM178-1)/Столбцов_на_лист)+1)&amp;" / "&amp;(MOD(BM178-1,Столбцов_на_лист)+1))</f>
        <v>л.2 / 16</v>
      </c>
      <c r="T178" s="119">
        <f t="shared" si="279"/>
        <v>0.4</v>
      </c>
      <c r="U178" s="7" t="str">
        <f>IF(OR(CG178=0,N(BV178)+N(IB178)=0),"",ROUNDUP(Запас_БП*(N(HY178)+N(HZ178)),0))</f>
        <v/>
      </c>
      <c r="V178" s="119" t="str">
        <f t="shared" si="280"/>
        <v/>
      </c>
      <c r="W178" s="7" t="str">
        <f>IFERROR(IF(OR(B178="",BP178=1,BV178=1,NOT(ISNUMBER(EN178)),N(DT178)=0),"",MAX(0,ROUNDDOWN((c_min*(Uн_лин*1000/SQRT(3))/(HT178*N(DT178))-_xlfn.XLOOKUP(A178,Щиты[Щит],Щиты[Zпетли на шинах, Ом]))*EN178/(2*ρкз_Cu),0))),"")</f>
        <v/>
      </c>
      <c r="Y178">
        <f>Линии[[#This Row],[_авто утечка]]</f>
        <v>30</v>
      </c>
      <c r="Z178">
        <v>1</v>
      </c>
      <c r="AA178">
        <v>230</v>
      </c>
      <c r="AB178" t="s">
        <v>562</v>
      </c>
      <c r="AG178" t="s">
        <v>810</v>
      </c>
      <c r="AI178" t="s">
        <v>561</v>
      </c>
      <c r="AK178" t="str">
        <f>Линии[[#This Row],[_авто модуль]]</f>
        <v/>
      </c>
      <c r="AM178">
        <v>33</v>
      </c>
      <c r="AN178" t="s">
        <v>11</v>
      </c>
      <c r="AO178">
        <v>3</v>
      </c>
      <c r="AQ178">
        <v>24</v>
      </c>
      <c r="AR178">
        <v>7</v>
      </c>
      <c r="AS178">
        <v>0</v>
      </c>
      <c r="BA178" cm="1">
        <f t="array" ref="BA178">ROW()-ROW(Линии[#Headers])</f>
        <v>176</v>
      </c>
      <c r="BC178" s="6" t="str">
        <f t="shared" si="281"/>
        <v>R</v>
      </c>
      <c r="BD178" t="str">
        <f t="shared" si="282"/>
        <v>00.002Б.1</v>
      </c>
      <c r="BE178" t="str">
        <f t="shared" si="283"/>
        <v>00</v>
      </c>
      <c r="BF178" t="str">
        <f t="shared" si="284"/>
        <v>002Б.1</v>
      </c>
      <c r="BG178" t="str">
        <f t="shared" si="285"/>
        <v>002Б</v>
      </c>
      <c r="BH178" t="str">
        <f>IF(X178&lt;&gt;"",X178,IF(AND(B178&lt;&gt;"",B178&lt;&gt;A178,ISNUMBER(_xlfn.XMATCH(B178,Щиты[Щит]))),B178,""))</f>
        <v/>
      </c>
      <c r="BI178" t="str" cm="1">
        <f t="array" ref="BI178">IF(B178="","",IF(BH178&lt;&gt;"","Щит "&amp;BH178,_xlfn.LET(_xlpm.nm,IFERROR(_xlfn.XLOOKUP(BC178,Коды_код,Коды_имя)&amp;"",""),_xlpm.md,IFERROR(N(_xlfn.XLOOKUP(BC178,Коды_код,Коды_режим)),1),_xlpm.ex,IF(Имя_режим="по экспликации",IFERROR(_xlfn.XLOOKUP(BE178&amp;"|"&amp;BG178,Экспликация[Этаж]&amp;"|"&amp;Экспликация[Помещение],Экспликация[Название])&amp;"",""),""),_xlpm.rm,IF(BG178="","",IF(_xlpm.ex&lt;&gt;"",". "&amp;_xlpm.ex&amp;IF(Имя_пом="нет"," ("&amp;BG178&amp;")"," (пом. "&amp;BG178&amp;")"),IF(Имя_пом="нет"," ",", пом. ")&amp;BG178)),IF(_xlpm.nm="","",IF(_xlpm.md=2,_xlpm.nm&amp;" шлейф "&amp;BE178,_xlpm.nm&amp;_xlpm.rm)))))</f>
        <v>Розеточная группа, пом. 002Б</v>
      </c>
      <c r="BJ178" t="str">
        <f t="shared" si="286"/>
        <v>Розеточная группа, пом. 002Б</v>
      </c>
      <c r="BK178">
        <f>IFERROR(_xlfn.XMATCH(A178,Щиты[Щит]),0)</f>
        <v>8</v>
      </c>
      <c r="BL178">
        <f>_xlfn.LET(_xlpm.k,IFERROR(_xlfn.XLOOKUP(A178,Щиты[Щит],Щиты[Мест под вводной узел]),""),IF(_xlpm.k="",Столбцов_на_лист,N(_xlpm.k)))</f>
        <v>7</v>
      </c>
      <c r="BM178">
        <f t="shared" si="287"/>
        <v>33</v>
      </c>
      <c r="BN178" t="str">
        <f t="shared" si="288"/>
        <v>линии</v>
      </c>
      <c r="BO178" s="6">
        <f>IFERROR(N(_xlfn.XLOOKUP(BC178,Коды_код,Коды_квт)),0)</f>
        <v>0</v>
      </c>
      <c r="BP178">
        <f t="shared" si="289"/>
        <v>0</v>
      </c>
      <c r="BQ178" t="str">
        <f>IF(B178="","",IF(BH178&lt;&gt;"",IFERROR(_xlfn.XLOOKUP(BH178,Щиты[Щит],Щиты[Руст, кВт]),0),IF(BP178=1,IF(OR(N(_xlfn.XLOOKUP(A178,Щиты[Щит],Щиты[Вводов],1))&lt;=1,LOWER(TRIM(_xlfn.XLOOKUP(A178,Щиты[Щит],Щиты[АВР],"")&amp;""))="да"),IFERROR(_xlfn.XLOOKUP(A178,Щиты[Щит],Щиты[Руст, кВт]),0),SUMIFS(Линии[_Р для вводов],Линии[Щит],A178,Линии[Источник для режимов],GF178)),IF(BO178&gt;0,ROUND(BO178*MAX(1,N(D178)),3),""))))</f>
        <v/>
      </c>
      <c r="BR178">
        <f t="shared" si="290"/>
        <v>0.06</v>
      </c>
      <c r="BS178" s="6">
        <f>IF(B178="","",IF(BH178&lt;&gt;"",IFERROR(_xlfn.XLOOKUP(BH178,Щиты[Щит],Щиты[Руст, кВт]),0),N(BR178)))</f>
        <v>0.06</v>
      </c>
      <c r="BT178" t="str">
        <f>IF(B178="","",IFERROR(IF(VLOOKUP(BC178,Потребители_обозначение,8,FALSE)=0,"",VLOOKUP(BC178,Потребители_обозначение,8,FALSE)),""))</f>
        <v/>
      </c>
      <c r="BU178">
        <f t="shared" si="291"/>
        <v>230</v>
      </c>
      <c r="BV178">
        <f t="shared" si="292"/>
        <v>0</v>
      </c>
      <c r="BW178">
        <f>IF(B178="","",IF(BH178&lt;&gt;"",3,IFERROR(IF(N(VLOOKUP(BC178,Потребители_обозначение,9,FALSE))=0,1,VLOOKUP(BC178,Потребители_обозначение,9,FALSE)),1)))</f>
        <v>1</v>
      </c>
      <c r="BX178">
        <f t="shared" si="293"/>
        <v>1</v>
      </c>
      <c r="BY178" t="str">
        <f>IF(B178="","",_xlfn.LET(_xlpm.bc,IFERROR(IF(VLOOKUP(BC178,Потребители_обозначение,6,FALSE)=0,"",VLOOKUP(BC178,Потребители_обозначение,6,FALSE)&amp;""),""),IF(AND(GA178="да",OR(_xlpm.bc="",_xlpm.bc="мс")),Марка_пож,IF(AND(_xlpm.bc="",BH178&lt;&gt;""),"мс",_xlpm.bc))))</f>
        <v/>
      </c>
      <c r="BZ178" t="str">
        <f t="shared" si="294"/>
        <v>мс</v>
      </c>
      <c r="CA178">
        <f>IF(B178="","",_xlfn.LET(_xlpm.cc,IFERROR(N(VLOOKUP(BC178,Потребители_обозначение,7,FALSE)),0),IF(_xlpm.cc&gt;0,_xlpm.cc,IF(BZ178="","",IF(BV178=1,2,IF(N(BX178)=3,5,3))))))</f>
        <v>3</v>
      </c>
      <c r="CB178">
        <f t="shared" si="295"/>
        <v>3</v>
      </c>
      <c r="CC178">
        <f>IFERROR(N(VLOOKUP(BC178,Потребители_обозначение,10,FALSE)),0)</f>
        <v>0</v>
      </c>
      <c r="CD178">
        <f>IFERROR(VLOOKUP(BC178,Потребители_обозначение,5,FALSE),0)</f>
        <v>1</v>
      </c>
      <c r="CE178" s="6" cm="1">
        <f t="array" ref="CE178">IF(B178="","",IF(BH178&lt;&gt;"",IFERROR(_xlfn.XLOOKUP(BH178,Щиты[Щит],Щиты[cos φ]),0.95),IF(BP178=1,IFERROR(_xlfn.XLOOKUP(A178,Щиты[Щит],Щиты[cos φ]),0.95),IF(ISNUMBER(AD178),AD178,IFERROR(IF(CD178=2,_xlfn.IFS(BX178=3,VLOOKUP(BS178,Справочная_двигатели,8,FALSE),BX178=1,VLOOKUP(BS178,Справочная_двигатели,10,TRUE)),IF(AND(Методика="нормы 2026",FG178="Сил"),0.8,0.95)),0.95)))))</f>
        <v>0.95</v>
      </c>
      <c r="CF178">
        <f t="shared" si="296"/>
        <v>0</v>
      </c>
      <c r="CG178">
        <f t="shared" si="297"/>
        <v>1</v>
      </c>
      <c r="CH178">
        <f t="shared" si="298"/>
        <v>0</v>
      </c>
      <c r="CI178">
        <f>IF(B178="","",IF(BV178=1,IFERROR(BS178/((Uн_лин/SQRT(3))*MAX(0.5,N(CE178))),0),N(O178)))</f>
        <v>0.27348170645824377</v>
      </c>
      <c r="CJ178">
        <f t="shared" si="299"/>
        <v>0</v>
      </c>
      <c r="CK178">
        <f t="shared" si="300"/>
        <v>0</v>
      </c>
      <c r="CL178">
        <f t="shared" si="301"/>
        <v>0</v>
      </c>
      <c r="CM178">
        <f t="shared" si="302"/>
        <v>0</v>
      </c>
      <c r="CN178">
        <f t="shared" si="303"/>
        <v>0</v>
      </c>
      <c r="CO178">
        <f>IF(BC178="",0,_xlfn.LET(_xlpm.v,IFERROR(_xlfn.XLOOKUP(B178,Коды_код,Коды_мА),IFERROR(_xlfn.XLOOKUP(BC178,Коды_код,Коды_мА),IFERROR(_xlfn.XLOOKUP(LEFT(BC178,2),Коды_код,Коды_мА),""))),IF(_xlpm.v="да",30,IF(ISNUMBER(_xlpm.v),_xlpm.v,0))))</f>
        <v>30</v>
      </c>
      <c r="CP178">
        <f t="shared" si="304"/>
        <v>30</v>
      </c>
      <c r="CQ178" t="str">
        <f>_xlfn.LET(_xlpm.k,IFERROR(_xlfn.XLOOKUP(BC178,Коды_код,Коды_утечка)&amp;"",""),IF(_xlpm.k="","дифавтомат",_xlpm.k))</f>
        <v>дифавтомат</v>
      </c>
      <c r="CR178" t="str" cm="1">
        <f t="array" ref="CR178">IF(CG178=0,"",_xlfn.LET(_xlpm.sg,TRIM(_xlfn.TEXTSPLIT(DD178&amp;"",";")),_xlpm.f_,_xlfn._xlws.FILTER(_xlpm.sg,LEFT(_xlpm.sg,3)="УЗО",""),IFERROR(INDEX(_xlpm.f_,1)&amp;"","")))</f>
        <v/>
      </c>
      <c r="CS178" t="str">
        <f t="shared" si="305"/>
        <v/>
      </c>
      <c r="CT178" s="6" t="str" cm="1">
        <f t="array" ref="CT178">IF(CR178="","",_xlfn.LET(_xlpm.tk,_xlfn.TEXTSPLIT(UPPER(CR178)," ",,TRUE),_xlpm.a_,_xlfn._xlws.FILTER(_xlpm.tk,ISNUMBER(--LEFT(_xlpm.tk,1))*((ISNUMBER(SEARCH("А",_xlpm.tk))+ISNUMBER(SEARCH("A",_xlpm.tk)))&gt;0)*NOT(ISNUMBER(SEARCH("МА",_xlpm.tk)))*NOT(ISNUMBER(SEARCH("MA",_xlpm.tk))),""),IFERROR(--SUBSTITUTE(SUBSTITUTE(INDEX(_xlpm.a_,1),"А",""),"A",""),"")))</f>
        <v/>
      </c>
      <c r="CU178" t="str" cm="1">
        <f t="array" ref="CU178">IF(CR178="","",_xlfn.LET(_xlpm.tk,_xlfn.TEXTSPLIT(UPPER(CR178)," ",,TRUE),_xlpm.a_,_xlfn._xlws.FILTER(_xlpm.tk,ISNUMBER(--LEFT(_xlpm.tk,1))*((ISNUMBER(SEARCH("МА",_xlpm.tk))+ISNUMBER(SEARCH("MA",_xlpm.tk)))&gt;0),""),IFERROR(--SUBSTITUTE(SUBSTITUTE(INDEX(_xlpm.a_,1),"МА",""),"MA",""),30)))</f>
        <v/>
      </c>
      <c r="CV178" t="str">
        <f>IF(CS178="","",IFERROR(_xlfn.XLOOKUP(CS178,Линии[_n],Линии[_УЗО, мА]),30))</f>
        <v/>
      </c>
      <c r="CW178">
        <f>IF(CS178="",0,IF(ISNUMBER(SEARCH("4P",IFERROR(_xlfn.XLOOKUP(CS178,Линии[_n],Линии[_УЗО строки])&amp;"",""))),0,1))</f>
        <v>0</v>
      </c>
      <c r="CX178" t="str">
        <f>IF(AND(CS178&lt;&gt;"",CS178=BA178),SUMIFS(Линии[_ток на 230 В],Линии[_блок УЗО],BA178,Линии[Щит],A178),"")</f>
        <v/>
      </c>
      <c r="CY178" t="str">
        <f>IF(AND(CS178&lt;&gt;"",CS178=BA178),SUMIFS(Линии[_ток утечки линии, мА],Линии[_блок УЗО],BA178,Линии[Щит],A178),"")</f>
        <v/>
      </c>
      <c r="CZ178">
        <f t="shared" si="306"/>
        <v>30</v>
      </c>
      <c r="DA178">
        <f t="shared" si="307"/>
        <v>30</v>
      </c>
      <c r="DB178">
        <f>IF(B178="",0,IFERROR(--_xlfn.XLOOKUP(B178,Коды_код,Коды_минавт),IFERROR(--_xlfn.XLOOKUP(BC178,Коды_код,Коды_минавт),IFERROR(--_xlfn.XLOOKUP(LEFT(BC178,2),Коды_код,Коды_минавт),0))))</f>
        <v>16</v>
      </c>
      <c r="DC178" t="str">
        <f>IF(B178="","",IFERROR(_xlfn.XLOOKUP(BC178,Коды_код,Коды_апп)&amp;"",""))</f>
        <v/>
      </c>
      <c r="DD178" t="str">
        <f t="shared" si="308"/>
        <v/>
      </c>
      <c r="DE178" t="str" cm="1">
        <f t="array" ref="DE178">IF(TRIM(DD178&amp;"")="","",IFERROR(TRIM(INDEX(_xlfn.TEXTSPLIT(DD178&amp;";;;",";"),1)),""))</f>
        <v/>
      </c>
      <c r="DF178" t="str" cm="1">
        <f t="array" ref="DF178">IF(TRIM(DD178&amp;"")="","",IFERROR(TRIM(INDEX(_xlfn.TEXTSPLIT(DD178&amp;";;;",";"),2)),""))</f>
        <v/>
      </c>
      <c r="DG178" t="str" cm="1">
        <f t="array" ref="DG178">IF(TRIM(DD178&amp;"")="","",IFERROR(TRIM(INDEX(_xlfn.TEXTSPLIT(DD178&amp;";;;",";"),3)),""))</f>
        <v/>
      </c>
      <c r="DH178">
        <f t="shared" si="309"/>
        <v>0</v>
      </c>
      <c r="DI178" t="str">
        <f>IF(B178="","",_xlfn.LET(_xlpm.t,LOWER(AZ178&amp;""),IF(ISNUMBER(SEARCH("dim",_xlpm.t)),"DIM",IF(ISNUMBER(SEARCH("dali",_xlpm.t)),"DALI",IF(OR(ISNUMBER(SEARCH("relay",_xlpm.t)),ISNUMBER(SEARCH("реле",_xlpm.t))),"Relay",IF(ISNUMBER(SEARCH("кнопк",_xlpm.t)),"",IFERROR(_xlfn.XLOOKUP(BC178,Коды_код,Коды_упр)&amp;"","")))))))</f>
        <v/>
      </c>
      <c r="DJ178" t="str">
        <f t="shared" si="310"/>
        <v/>
      </c>
      <c r="DK178">
        <f>IF(B178="","",_xlfn.LET(_xlpm.ig,IF(N(CX178)&gt;0,N(CX178),N(CI178)+IF(AJ178="вручную",0,N(CJ178))),_xlpm.n0,IFERROR(VLOOKUP(_xlpm.ig,Автомат_номиналы,2,TRUE),0),_xlpm.mn,MAX(DB178,IF(AJ178="вручную",0,N(CM178))),MAX(_xlpm.n0,_xlpm.mn,IF(DH178=1,Мин_автомат_БП,0))))</f>
        <v>16</v>
      </c>
      <c r="DL178">
        <f t="shared" si="311"/>
        <v>1</v>
      </c>
      <c r="DM178" t="str">
        <f t="shared" si="312"/>
        <v>2P</v>
      </c>
      <c r="DN178" t="str">
        <f>_xlfn.LET(_xlpm.cc,UPPER(TRIM(IFERROR(_xlfn.XLOOKUP(BC178,Коды_код,Коды_хар)&amp;"",""))),IF(OR(_xlpm.cc="B",_xlpm.cc="В"),"B",IF(_xlpm.cc="D","D","С")))</f>
        <v>С</v>
      </c>
      <c r="DO178" t="str">
        <f t="shared" si="313"/>
        <v>2P С16А 30мА</v>
      </c>
      <c r="DP178">
        <f t="shared" si="314"/>
        <v>16</v>
      </c>
      <c r="DQ178" t="str">
        <f t="shared" si="315"/>
        <v>2P С16А 30мА</v>
      </c>
      <c r="DR178" cm="1">
        <f t="array" ref="DR178">IF(DQ178="","",_xlfn.LET(_xlpm.t,SUBSTITUTE(SUBSTITUTE(SUBSTITUTE(UPPER(DQ178),"С","C"),"А","A"),"В","B"),_xlpm.tk,_xlfn.TEXTSPLIT(_xlpm.t," "),_xlpm.f,_xlfn._xlws.FILTER(_xlpm.tk,ISNUMBER(--MID(_xlpm.tk,2,1))*ISNUMBER(SEARCH(LEFT(_xlpm.tk,1)&amp;"#","B#C#D#"))*(LEN(_xlpm.tk)&gt;1),""),_xlpm.x,INDEX(_xlpm.f,1),IFERROR(--SUBSTITUTE(MID(_xlpm.x,2,9),"A",""),IFERROR(--SUBSTITUTE(INDEX(_xlfn._xlws.FILTER(_xlpm.tk,ISNUMBER(--SUBSTITUTE(_xlpm.tk,"A","")),""),1),"A",""),""))))</f>
        <v>16</v>
      </c>
      <c r="DS178" t="str">
        <f t="shared" si="316"/>
        <v>ok</v>
      </c>
      <c r="DT178">
        <f t="shared" si="317"/>
        <v>16</v>
      </c>
      <c r="DU178" t="str">
        <f t="shared" si="318"/>
        <v>2P С16А 30мА</v>
      </c>
      <c r="DV178">
        <f t="shared" si="319"/>
        <v>30</v>
      </c>
      <c r="DW178">
        <f t="shared" si="320"/>
        <v>1</v>
      </c>
      <c r="DX178">
        <f t="shared" si="321"/>
        <v>0</v>
      </c>
      <c r="DY178">
        <f t="shared" si="322"/>
        <v>0.27348170645824377</v>
      </c>
      <c r="DZ178">
        <f t="shared" si="323"/>
        <v>1</v>
      </c>
      <c r="EA178">
        <f>IF(ISNUMBER(AP178),AP178,К_прокл)</f>
        <v>1</v>
      </c>
      <c r="EB178">
        <f t="shared" si="324"/>
        <v>2</v>
      </c>
      <c r="EC178">
        <f>IFERROR(N(VLOOKUP(BZ178,Кабель_обозначение,3,FALSE)),1)</f>
        <v>1</v>
      </c>
      <c r="ED178">
        <f>IFERROR(N(_xlfn.XLOOKUP(A178,Щиты[Щит],Щиты[ΔU до шин, %])),0)</f>
        <v>1.57</v>
      </c>
      <c r="EE178" t="str">
        <f>IFERROR(_xlfn.XLOOKUP(A178,Щиты[Щит],Щиты[Zпетли на шинах, Ом]),"")</f>
        <v/>
      </c>
      <c r="EF178">
        <f>IFERROR(N(_xlfn.XLOOKUP(A178,Щиты[Щит],Щиты[ΔU до шин (подбор), %])),0)</f>
        <v>2.5</v>
      </c>
      <c r="EG178" t="str">
        <f>IFERROR(_xlfn.XLOOKUP(A178,Щиты[Щит],Щиты[Zпетли на шинах (подбор), Ом]),"")</f>
        <v/>
      </c>
      <c r="EH178" t="str">
        <f t="shared" si="325"/>
        <v/>
      </c>
      <c r="EI178">
        <f t="shared" si="326"/>
        <v>28</v>
      </c>
      <c r="EJ178">
        <f t="shared" si="327"/>
        <v>2</v>
      </c>
      <c r="EK178">
        <f t="shared" si="328"/>
        <v>0.31</v>
      </c>
      <c r="EL178" s="6">
        <f>IF(B178="","",IF(BV178=1,dU_LED,IF(IFERROR(_xlfn.XLOOKUP(BC178,Коды_код,Коды_уго),"")="Светильник",3,4)+IF(Методика="нормы 2026",MIN(0.5,MAX(0,N(P178)-100)*0.005),0)))</f>
        <v>4</v>
      </c>
      <c r="EM178" cm="1">
        <f t="array" ref="EM178">IF(OR(B178="",BZ178="",EC178&lt;&gt;1),"",_xlfn.LET(_xlpm.sz,Iдоп_S,_xlpm.t_,CHOOSE(EB178,Iдоп_1ж,Iдоп_2ж,Iдоп_3ж)*DZ178*EA178,_xlpm.dcx,BV178=1,_xlpm.inn,IF(_xlpm.dcx,N(O178),N(DT178)),_xlpm.smin,MAX(1.5,CC178),_xlpm.L_,N(P178)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178)/N(BU178)*100,999),IFERROR(N(EJ178)*(_xlpm.rho*_xlpm.L_/_xlpm.sz*N(CE178)+_xlpm.xx*_xlpm.L_*N(EK178)/1000)*N(O178)/((Uн_лин/SQRT(3))*1000)*100,999)),_xlpm.kz,IF(OR(_xlpm.dcx,DW178=1,NOT(ISNUMBER(EG178)),_xlpm.L_=0,_xlpm.inn=0),1,IFERROR(--(c_min*(Uн_лин*1000/SQRT(3))/(EG178+2*ρкз_Cu*_xlpm.L_/_xlpm.sz)&gt;=HT178*_xlpm.inn),0)),_xlpm.ok,IFERROR((_xlpm.sz&gt;=_xlpm.smin)*(_xlpm.t_&gt;=_xlpm.inn)*IF(_xlpm.L_&gt;0,(_xlpm.du_+IF(_xlpm.dcx,0,EF178)&lt;=EL178+0.00001),1)*_xlpm.kz,0),_xlpm.r_,_xlfn._xlws.FILTER(_xlpm.sz,_xlpm.ok,"не подобрано"),INDEX(_xlpm.r_,1)))</f>
        <v>1.5</v>
      </c>
      <c r="EN178">
        <f t="shared" si="329"/>
        <v>2.5</v>
      </c>
      <c r="EO178" cm="1">
        <f t="array" ref="EO178">IF(OR(B178="",BZ178="",EC178&lt;&gt;1),"",_xlfn.LET(_xlpm.sz,Iдоп_S,_xlpm.t_,CHOOSE(EB178,Iдоп_1ж,Iдоп_2ж,Iдоп_3ж)*DZ178*EA178,_xlpm.ok,IFERROR((_xlpm.sz&gt;=MAX(1.5,CC178))*(_xlpm.t_&gt;=N(DT178)),0),_xlpm.r_,_xlfn._xlws.FILTER(_xlpm.sz,_xlpm.ok,""),INDEX(_xlpm.r_,1)))</f>
        <v>1.5</v>
      </c>
      <c r="EP178" s="6" cm="1">
        <f t="array" ref="EP178">IFERROR(ROUNDUP(N(EJ178)*(_xlfn.XLOOKUP(EO178,INDEX(Кабель_сопротивление,0,1),INDEX(Кабель_сопротивление,0,3))*N(P178)/EO178*N(CE178)+_xlfn.XLOOKUP(EO178,INDEX(Кабель_сопротивление,0,1),INDEX(Кабель_сопротивление,0,2))*N(P178)*N(EK178)/1000)*N(O178)/((Uн_лин/SQRT(3))*1000)*100,2),"")</f>
        <v>0.11</v>
      </c>
      <c r="EQ178">
        <f>IFERROR(2*ρкз_Cu*N(P178)/EO178,"")</f>
        <v>1.0870666666666666</v>
      </c>
      <c r="ER178">
        <f>IFERROR(VLOOKUP(EN178,Кабель_сопротивление,3,FALSE),"")</f>
        <v>2.2499999999999999E-2</v>
      </c>
      <c r="ES178">
        <f>IFERROR(VLOOKUP(EN178,Кабель_сопротивление,2,FALSE),"")</f>
        <v>0.1</v>
      </c>
      <c r="ET178">
        <f t="shared" si="330"/>
        <v>7</v>
      </c>
      <c r="EU178">
        <f t="shared" si="331"/>
        <v>0</v>
      </c>
      <c r="EV178">
        <f t="shared" si="332"/>
        <v>0.14549828443332777</v>
      </c>
      <c r="EW178" s="6">
        <f>IFERROR(ROUNDUP(EV178/IF(BV178=1,BU178,(Uн_лин/SQRT(3))*1000)*100,2),"")</f>
        <v>6.9999999999999993E-2</v>
      </c>
      <c r="EX178" t="str">
        <f>IFERROR(VLOOKUP(BZ178,Кабель_обозначение,2,FALSE),"")</f>
        <v>ВВГнг(А)-LS</v>
      </c>
      <c r="EY178" t="str">
        <f t="shared" si="333"/>
        <v>ВВГнг(А)-LS (3х2,5)</v>
      </c>
      <c r="EZ178" t="str">
        <f t="shared" si="334"/>
        <v>ВВГнг(А)-LS (3х2,5)
L=31-0,07%</v>
      </c>
      <c r="FA178">
        <f>IFERROR(2*ρкз_Cu*P178/EN178,"")</f>
        <v>0.65224000000000004</v>
      </c>
      <c r="FB178">
        <f t="shared" si="335"/>
        <v>0.21700000000000003</v>
      </c>
      <c r="FC178" s="6" t="str">
        <f>IFERROR(IF(OR(B178="",BV178=1,NOT(ISNUMBER(EN178)),N(P178)=0),"",_xlfn.XLOOKUP(A178,Щиты[Щит],Щиты[Zпетли на шинах, Ом])+FA178),"")</f>
        <v/>
      </c>
      <c r="FD178" s="6" t="str">
        <f>IF(ISNUMBER(FC178),c_min*(Uн_лин*1000/SQRT(3))/FC178,"")</f>
        <v/>
      </c>
      <c r="FE178" s="6" t="str">
        <f>IFERROR(IF(OR(B178="",NOT(ISNUMBER(EN178))),"",1.05*(Uн_лин*1000/SQRT(3))/(_xlfn.XLOOKUP(A178,Щиты[Щит],Щиты[Zmax на шинах, Ом])+FB178)/1000),"")</f>
        <v/>
      </c>
      <c r="FF178" s="6" t="str">
        <f>IF(B178="","",IF(ISNUMBER(AC178),"Сил",IF(IFERROR(_xlfn.XLOOKUP(BC178,Коды_код,Коды_группа)&amp;"","")="","Быт",_xlfn.XLOOKUP(BC178,Коды_код,Коды_группа)&amp;"")))</f>
        <v>Быт</v>
      </c>
      <c r="FG178" s="6" t="str">
        <f t="shared" si="336"/>
        <v>Быт</v>
      </c>
      <c r="FH178" s="6">
        <f>IF(FG178="Щит","щит",IF(FG178="","",IF(FG178="Быт",IFERROR(_xlfn.XLOOKUP(A178,Щиты[Щит],Щиты[Кс быт]),1),IF(FG178="Сил",IF(ISNUMBER(AC178),AC178,IF(Методика="нормы 2026",IFERROR(_xlfn.XLOOKUP(A178,Щиты[Щит],Щиты[Кс силовых (табл. 7.5)]),1),1)),IF(OR(FG178="Пост",FG178="Отоп"),1,IF(FG178="ВНГ",0.7,0))))))</f>
        <v>0.8</v>
      </c>
      <c r="FI178">
        <f>IF(FG178="","",IF(AND(BP178=1,TRIM(AE178&amp;"")=""),IF(COUNTIFS(Линии[Щит],A178,Линии[Секция (1/2/3)],"&gt;=2")&gt;0,MIN(3,MAX(1,IFERROR(--BD178,1))),1),IFERROR(MIN(3,MAX(1,INT(--AE178))),1)))</f>
        <v>1</v>
      </c>
      <c r="FJ178">
        <f t="shared" si="337"/>
        <v>0.06</v>
      </c>
      <c r="FK178">
        <f t="shared" si="338"/>
        <v>0.06</v>
      </c>
      <c r="FL178">
        <f t="shared" si="339"/>
        <v>0</v>
      </c>
      <c r="FM178">
        <f t="shared" si="340"/>
        <v>0</v>
      </c>
      <c r="FN178">
        <f t="shared" si="341"/>
        <v>0</v>
      </c>
      <c r="FO178">
        <f t="shared" si="342"/>
        <v>0</v>
      </c>
      <c r="FP178">
        <f t="shared" si="343"/>
        <v>0.06</v>
      </c>
      <c r="FQ178">
        <f t="shared" si="344"/>
        <v>0.06</v>
      </c>
      <c r="FR178">
        <f t="shared" si="345"/>
        <v>5.6999999999999995E-2</v>
      </c>
      <c r="FS178">
        <f>IF(CG178=1,IF(AND(CH178=1,CW178=1),0,IF(AND(CS178&lt;&gt;"",CS178=BA178,CW178=1),SUMIFS(Линии[_Р линии, кВт],Линии[_блок УЗО],BA178,Линии[Щит],A178),N(BS178)+IF(AJ178="вручную",0,N(CK178)))),0)</f>
        <v>0.06</v>
      </c>
      <c r="FT178" t="str">
        <f t="shared" si="346"/>
        <v>L3</v>
      </c>
      <c r="FU178" t="str">
        <f>IF(B178="","",IF(CG178=0,IF(BA178=1,"",FW177),IF(AND(CH178=1,CW178=1,CS178&lt;&gt;""),IFERROR(_xlfn.XLOOKUP(CS178,Линии[_n],Линии[_фаза итог]),"L1"),IF(OR(N(DL178)&gt;=3,N(BX178)&gt;=3),"L1,L2,L3",IFERROR(_xlfn.TEXTBEFORE(_xlfn.TEXTAFTER(_xlfn.XLOOKUP(A178,Щиты[Щит],Щиты[_фазы авто]),";"&amp;BA178&amp;":"),";"),"L1")))))</f>
        <v>L1</v>
      </c>
      <c r="FV178" t="str">
        <f t="shared" si="347"/>
        <v>L3</v>
      </c>
      <c r="FW178" t="str">
        <f t="shared" si="348"/>
        <v>L3</v>
      </c>
      <c r="FX178" cm="1">
        <f t="array" ref="FX178">IFERROR(IF(CD178=2,_xlfn.IFS(BX178=3,VLOOKUP(BS178,Справочная_двигатели,3,FALSE),BX178=1,VLOOKUP(BS178,Справочная_двигатели,5,TRUE)),0),0)</f>
        <v>0</v>
      </c>
      <c r="FY178">
        <f>IFERROR(IF(CD178=3,VLOOKUP(BS178,Справочная_ЛЭД,2,TRUE),0),0)</f>
        <v>0</v>
      </c>
      <c r="FZ178" s="6">
        <f t="shared" si="349"/>
        <v>0</v>
      </c>
      <c r="GA178" t="str">
        <f>IF(B178="","",IF(TRIM(AH178&amp;"")&lt;&gt;"",IF(LOWER(TRIM(AH178&amp;""))="да","да","нет"),IF(IFERROR(_xlfn.XLOOKUP(BC178,Коды_код,Коды_пожарная),"")="да","да","нет")))</f>
        <v>нет</v>
      </c>
      <c r="GB178" t="str">
        <f t="shared" si="350"/>
        <v/>
      </c>
      <c r="GC178" t="str">
        <f t="shared" si="351"/>
        <v>основная</v>
      </c>
      <c r="GD178">
        <f>IF(AND(BP178=1,TRIM(AE178&amp;"")=""),IF(COUNTIFS(Линии[Щит],A178,Линии[Секция (1/2/3)],"&gt;=2")&gt;0,MIN(3,MAX(1,IFERROR(--BD178,1))),1),IFERROR(MIN(3,MAX(1,INT(--AE178))),1))</f>
        <v>1</v>
      </c>
      <c r="GE178" t="str" cm="1">
        <f t="array" ref="GE178">IF(B178="","",_xlfn.LET(_xlpm.t,IFERROR(_xlfn.XLOOKUP(1,(Шины[Шина]=GC178)*(((Шины[Щит]=A178)+(Шины[Щит]=""))&gt;0),Шины[Тип]),"")&amp;"",IF(_xlpm.t&lt;&gt;"",_xlpm.t,IF(ISNUMBER(SEARCH("ИБП",GC178)),"ИБП",IF(ISNUMBER(SEARCH("ДГУ",GC178)),"ДГУ","Ввод "&amp;GD178)))))</f>
        <v>Ввод 1</v>
      </c>
      <c r="GF178" t="str">
        <f t="shared" si="352"/>
        <v>Ввод 1</v>
      </c>
      <c r="GG178" t="str">
        <f>IF(BP178=0,"",IF(TRIM(AG178&amp;"")&lt;&gt;"",TRIM(AG178&amp;""),IF(OR(GE178="ИБП",GE178="ДГУ"),"I особая",_xlfn.XLOOKUP(A178,Щиты[Щит],Щиты[Категория шины «Ввод»],"III"))))</f>
        <v/>
      </c>
      <c r="GH178" t="str">
        <f>IF(A178="","",_xlfn.XLOOKUP(A178,Щиты[Щит],Щиты[Путь],""))</f>
        <v>|ГРЩ-ЖД|ЩР-001|</v>
      </c>
      <c r="GI178" t="str">
        <f>IF(B178="","",IF(AI178&lt;&gt;"",AI178,IF(IFERROR(_xlfn.XLOOKUP(BC178,Коды_код,Коды_вид)&amp;"","")="","Прочее",_xlfn.XLOOKUP(BC178,Коды_код,Коды_вид)&amp;"")))</f>
        <v>Розеточная сеть и бытовые приборы</v>
      </c>
      <c r="GJ178">
        <f>IF(BM178="","",INT((BM178-1)/Столбцов_на_лист)+1)</f>
        <v>2</v>
      </c>
      <c r="GK178" t="str">
        <f t="shared" si="353"/>
        <v>ВВГнг(А)-LS (3х2,5) L=31-0,07%</v>
      </c>
      <c r="GL178">
        <f t="shared" si="354"/>
        <v>0.06</v>
      </c>
      <c r="GM178">
        <f t="shared" si="355"/>
        <v>0.28000000000000003</v>
      </c>
      <c r="GN178">
        <f t="shared" si="356"/>
        <v>1</v>
      </c>
      <c r="GO178">
        <f t="shared" si="357"/>
        <v>0</v>
      </c>
      <c r="GP178">
        <f t="shared" si="358"/>
        <v>1</v>
      </c>
      <c r="GQ178">
        <f>IF(BM178="","",IF(AND(CG178=1,GP178=1),COUNTIFS(A$3:A178,A178,CG$3:CG178,1,GP$3:GP178,1),IF(OR(OR(BA178=1,A178&lt;&gt;A177),AJ178="вручную",GP178=0),"",IF(BA178=1,"",GR177))))</f>
        <v>24</v>
      </c>
      <c r="GR178">
        <f t="shared" si="359"/>
        <v>24</v>
      </c>
      <c r="GS178">
        <f>IF(B178="","",IFERROR(LOOKUP(INDEX(CHOOSE(EB178,Iдоп_1ж,Iдоп_2ж,Iдоп_3ж),MATCH(EN178,Iдоп_S,0))*DZ178*EA178,{6,10,16,20,25,32,40,50,63,80,100,125,160,200,250,315,400,500,630}),""))</f>
        <v>25</v>
      </c>
      <c r="GT178" t="str">
        <f t="shared" si="360"/>
        <v>QFD24</v>
      </c>
      <c r="GU178" t="str">
        <f t="shared" si="361"/>
        <v>QFD24</v>
      </c>
      <c r="GV178" t="str">
        <f t="shared" si="362"/>
        <v/>
      </c>
      <c r="GW178">
        <f t="shared" si="363"/>
        <v>0</v>
      </c>
      <c r="GX178" t="str">
        <f>IF(OR(B178="",DJ178=""),"",IFERROR(_xlfn.XLOOKUP(DJ178,Модули_умолч[Управление],Модули_умолч[Модель])&amp;"",""))</f>
        <v/>
      </c>
      <c r="GY178">
        <f>IF(DJ178="",1,IFERROR(MAX(0,N(_xlfn.XLOOKUP(DJ178,Модули_умолч[Управление],Модули_умолч[Каналов на линию]))),1))</f>
        <v>1</v>
      </c>
      <c r="GZ178" t="str">
        <f t="shared" si="364"/>
        <v/>
      </c>
      <c r="HA178" t="str">
        <f t="shared" si="365"/>
        <v/>
      </c>
      <c r="HB178" t="str">
        <f t="shared" si="366"/>
        <v/>
      </c>
      <c r="HC178">
        <f>IF(HB178="",0,IFERROR(N(VLOOKUP(HB178,Модули_спр,3,FALSE)),0))</f>
        <v>0</v>
      </c>
      <c r="HD178" t="str">
        <f t="shared" si="367"/>
        <v/>
      </c>
      <c r="HE178" t="str">
        <f t="shared" si="368"/>
        <v/>
      </c>
      <c r="HF178" t="str">
        <f>IF(OR(HE178="",HE178="-"),"",IFERROR(VLOOKUP(HE178,Модули_спр,2,FALSE),"R"))</f>
        <v/>
      </c>
      <c r="HG178" t="str">
        <f>IF(HF178="","",HF178&amp;"."&amp;COUNTIFS(A$3:A178,A178,HF$3:HF178,HF178))</f>
        <v/>
      </c>
      <c r="HH178" t="str">
        <f t="shared" si="369"/>
        <v/>
      </c>
      <c r="HI178" t="str">
        <f t="shared" si="370"/>
        <v/>
      </c>
      <c r="HJ178" t="str">
        <f t="shared" si="371"/>
        <v/>
      </c>
      <c r="HK178" t="str">
        <f t="shared" si="372"/>
        <v/>
      </c>
      <c r="HL178">
        <f t="shared" si="373"/>
        <v>1</v>
      </c>
      <c r="HM178" t="str">
        <f>IF(HL178=1,"XT"&amp;COUNTIFS(A$3:A178,A178,HL$3:HL178,1),"")</f>
        <v>XT24</v>
      </c>
      <c r="HN178" t="str">
        <f t="shared" si="374"/>
        <v/>
      </c>
      <c r="HO178" t="str">
        <f t="shared" si="375"/>
        <v>QFD24</v>
      </c>
      <c r="HP178" t="str">
        <f t="shared" si="376"/>
        <v/>
      </c>
      <c r="HQ178" t="str">
        <f t="shared" si="377"/>
        <v>ok</v>
      </c>
      <c r="HR178" t="str">
        <f>IF(OR(HJ178="",HH178=""),"",IF(HJ178+MAX(0,GY178-1)&gt;IFERROR(VLOOKUP(HI178,Модули_спр,3,FALSE),99),"ЛИШНИЙ КАНАЛ",IF(AND(AL178&lt;&gt;"=",GY178&gt;0,COUNTIFS(Линии[_модуль гр.],HH178,Линии[Канал (итог)],HJ178,Линии[Канал],"&lt;&gt;=",Линии[Щит],A178)&gt;1),"ДУБЛЬ КАНАЛА","")))</f>
        <v/>
      </c>
      <c r="HS178" s="6" t="str">
        <f t="shared" si="378"/>
        <v/>
      </c>
      <c r="HT178">
        <f t="shared" si="379"/>
        <v>10</v>
      </c>
      <c r="HU178" t="str">
        <f t="shared" si="380"/>
        <v/>
      </c>
      <c r="HV178">
        <f t="shared" si="381"/>
        <v>0.41939268258329754</v>
      </c>
      <c r="HW178">
        <f t="shared" si="382"/>
        <v>0</v>
      </c>
      <c r="HX178">
        <f t="shared" si="383"/>
        <v>0</v>
      </c>
      <c r="HY178">
        <f t="shared" si="384"/>
        <v>0</v>
      </c>
      <c r="HZ178">
        <f t="shared" si="385"/>
        <v>0</v>
      </c>
      <c r="IA178">
        <f t="shared" si="386"/>
        <v>0</v>
      </c>
      <c r="IB178">
        <f t="shared" si="387"/>
        <v>0</v>
      </c>
      <c r="IC178" t="str">
        <f t="shared" si="388"/>
        <v/>
      </c>
      <c r="ID178" t="str" cm="1">
        <f t="array" ref="ID178">IF(IC178="","",_xlfn.LET(_xlpm.tk,_xlfn.TEXTSPLIT(SUBSTITUTE(SUBSTITUTE(IC178,";"," "),"→"," ")," ",,TRUE),_xlpm.w_,_xlfn._xlws.FILTER(_xlpm.tk,ISNUMBER(--LEFT(_xlpm.tk,1))*((ISNUMBER(SEARCH("W",_xlpm.tk))+ISNUMBER(SEARCH("Вт",_xlpm.tk)))&gt;0),""),IFERROR(--SUBSTITUTE(SUBSTITUTE(UPPER(INDEX(_xlpm.w_,1)),"W",""),"ВТ",""),"")))</f>
        <v/>
      </c>
      <c r="IE178" t="str" cm="1">
        <f t="array" ref="IE178">IF(IC178="","",_xlfn.LET(_xlpm.tk,_xlfn.TEXTSPLIT(SUBSTITUTE(SUBSTITUTE(IC178,";"," "),"→"," ")," ",,TRUE),_xlpm.v_,_xlfn._xlws.FILTER(_xlpm.tk,ISNUMBER(--LEFT(_xlpm.tk,1))*((ISNUMBER(SEARCH("V",_xlpm.tk))+(RIGHT(UPPER(_xlpm.tk))="В"))&gt;0),""),IFERROR(--SUBSTITUTE(SUBSTITUTE(UPPER(INDEX(_xlpm.v_,1)),"V",""),"В",""),"")))</f>
        <v/>
      </c>
      <c r="IF178" s="6" t="str">
        <f>IF(OR(BV178=0,HI178="",HJ178=""),"",IFERROR(N(_xlfn.XLOOKUP(HI178,Каталог!$C$4:$C$500,Каталог!$Q$4:$Q$500)),""))</f>
        <v/>
      </c>
      <c r="IG178" s="6" t="str">
        <f>IF(N(IF178)=0,"",SUMIFS(Линии[Iр, А],Линии[Щит],A178,Линии[_модуль гр.],HH178,Линии[Канал (итог)],HJ178))</f>
        <v/>
      </c>
      <c r="IH178" t="str">
        <f>IF(AND(B178="",HO178=""),"",_xlfn.TEXTJOIN("; ",TRUE,IF(AND(B178&lt;&gt;"",FV178=""),"нет фазы",""),IF(AND(B178&lt;&gt;"",N(GL178)=0,FG178&lt;&gt;"Нет"),"нет мощности",""),IF(AND(HN178&lt;&gt;"",COUNTIFS(Линии[Щит],A178,Линии[Клемма (итог)],HN178)&gt;1),"дубль клеммы "&amp;HN178,""),IF(AND(HQ178&lt;&gt;"",HQ178&lt;&gt;"ok"),HQ178,""),IF(HR178&lt;&gt;"",HR178,""),IF(AND(N(CB178)&gt;=4,N(BX178)=1),CB178&amp;" жил на 1 фазе",""),IF(AND(BC178="R",CG178=1,IF(CS178&lt;&gt;"",N(CV178)&gt;30,OR(N(DA178)=0,N(DA178)&gt;30))),"розетка без дифзащиты до 30 мА",""),IF(AND(CG178=1,N(DA178)&gt;0,ISNUMBER(T178)),IF(T178&gt;N(DA178)/3,"ток утечки "&amp;FIXED(T178,1)&amp;" мА &gt; 1/3 уставки ("&amp;DA178&amp;" мА)",""),""),IF(AND(CH178=1,CS178=""),"«узо»: нет строки с УЗО выше (УЗО 2P 40А 30мА в «Аппаратах»)",""),IF(AND(CS178&lt;&gt;"",CS178=BA178),IF(CT178="","впишите номинал УЗО (УЗО 2P 40А 30мА)",IF(N(CT178)&lt;N(DT178),"УЗО "&amp;CT178&amp;" А &lt; автомата "&amp;DT178&amp;" А перед ним",IF(N(CT178)&lt;N(CX178),"УЗО "&amp;CT178&amp;" А &lt; тока блока "&amp;FIXED(CX178,1)&amp;" А",""))),""),IF(AND(CS178&lt;&gt;"",CS178=BA178,ISNUMBER(CY178)),IF(CY178&gt;N(CV178)/3,"ток утечки блока УЗО "&amp;FIXED(CY178,1)&amp;" мА &gt; 1/3 уставки ("&amp;CV178&amp;" мА)",""),""),IF(AND(CG178=1,N(BV178)+N(IB178)&gt;0,IC178=""),"линии до 50 В без БП: впишите в «Аппараты» (БП 24V 480W)",""),IF(AND(CG178=1,ISNUMBER(ID178),ISNUMBER(U178)),IF(U178&gt;ID178,"БП "&amp;ID178&amp;" Вт &lt; нужно "&amp;U178&amp;" Вт (×"&amp;Запас_БП&amp;")",""),""),IF(AND(CG178=1,ISNUMBER(IE178),N(BV178)=1),IF(IE178&lt;&gt;N(BU178),"БП на "&amp;IE178&amp;" В, линия "&amp;BU178&amp;" В",""),""),IF(AND(N(IF178)&gt;0,N(IG178)&gt;N(IF178)),HH178&amp;" канал "&amp;HJ178&amp;": "&amp;FIXED(IG178,1)&amp;" А &gt; "&amp;IF178&amp;" А",""),IFERROR(IF(AND(ISNUMBER(Q178),Q178&gt;EL178),"потери "&amp;FIXED(Q178,1)&amp;" % &gt; "&amp;EL178&amp;" %",""),""),IFERROR(IF(LEFT(HU178,4)="мало","Iкз мало — отключение &gt; 0,4 с",""),""),IF(AND(B178&lt;&gt;"",BM178=""),"не на схеме",""),IF(AND(CG178=0,B178&lt;&gt;"",FV178&lt;&gt;"",IF(BA178=1,"",FW177)&lt;&gt;"",FV178&lt;&gt;IF(BA178=1,"",FW177)),"фаза не как у автомата группы ("&amp;IF(BA178=1,"",FW177)&amp;")","")))</f>
        <v/>
      </c>
      <c r="II178" s="6">
        <f>IF(OR(CG178=0,DQ178=""),"",_xlfn.LET(_xlpm.t,IFERROR(_xlfn.XLOOKUP(DQ178,Каталог!$U$4:$U$500,Каталог!$G$4:$G$500),""),_xlpm.k,SEARCH("кА",_xlpm.t),IFERROR(--TRIM(RIGHT(SUBSTITUTE(MID(_xlpm.t,MAX(1,_xlpm.k-4),_xlpm.k-MAX(1,_xlpm.k-4))," ",REPT(" ",9)),5)),"")))</f>
        <v>6</v>
      </c>
      <c r="IJ178" t="str">
        <f>IF(OR(II178="",CG178=0),"",IF(_xlfn.XLOOKUP(A178,Щиты[Щит],Щиты[Iкз max на шинах, кА],"")="","",IF(II178&lt;_xlfn.XLOOKUP(A178,Щиты[Щит],Щиты[Iкз max на шинах, кА]),"Icu "&amp;II178&amp;" кА &lt; Iкз max","ok")))</f>
        <v/>
      </c>
      <c r="IK178" t="str">
        <f t="shared" si="389"/>
        <v/>
      </c>
      <c r="IL178" t="str">
        <f t="shared" si="390"/>
        <v>QFD24</v>
      </c>
      <c r="IM178" t="str">
        <f t="shared" si="391"/>
        <v>QFD24|кабель ВВГнг(А)-LS (3х2,5) → Розеточная группа, пом. 002Б</v>
      </c>
      <c r="IN178" t="str" cm="1">
        <f t="array" ref="IN178">IF(IM178="","",_xlfn.LET(_xlpm.nd,_xlfn.TEXTSPLIT(IM178,"|"),IF(COLUMNS(_xlpm.nd)&gt;1,A178&amp;"¦"&amp;INDEX(_xlpm.nd,1)&amp;"¦"&amp;INDEX(_xlpm.nd,2),"")))</f>
        <v>ЩР-001¦QFD24¦кабель ВВГнг(А)-LS (3х2,5) → Розеточная группа, пом. 002Б</v>
      </c>
      <c r="IO178" t="str">
        <f t="shared" si="392"/>
        <v>R.00.002Б.1¦Розеточная группа, пом. 002Б</v>
      </c>
      <c r="IP178" t="str" cm="1">
        <f t="array" ref="IP178">IF(IM178="","",_xlfn.LET(_xlpm.nd,_xlfn.TEXTSPLIT(IM178,"|"),IF(COLUMNS(_xlpm.nd)&gt;2,A178&amp;"¦"&amp;INDEX(_xlpm.nd,2)&amp;"¦"&amp;INDEX(_xlpm.nd,3),"")))</f>
        <v/>
      </c>
      <c r="IQ178" t="str">
        <f t="shared" si="393"/>
        <v/>
      </c>
      <c r="IR178" t="str" cm="1">
        <f t="array" ref="IR178">IF(IM178="","",_xlfn.LET(_xlpm.nd,_xlfn.TEXTSPLIT(IM178,"|"),IF(COLUMNS(_xlpm.nd)&gt;3,A178&amp;"¦"&amp;INDEX(_xlpm.nd,3)&amp;"¦"&amp;INDEX(_xlpm.nd,4),"")))</f>
        <v/>
      </c>
      <c r="IS178" t="str">
        <f t="shared" si="394"/>
        <v/>
      </c>
      <c r="IT178" t="str" cm="1">
        <f t="array" ref="IT178">IF(IM178="","",_xlfn.LET(_xlpm.nd,_xlfn.TEXTSPLIT(IM178,"|"),IF(COLUMNS(_xlpm.nd)&gt;4,A178&amp;"¦"&amp;INDEX(_xlpm.nd,4)&amp;"¦"&amp;INDEX(_xlpm.nd,5),"")))</f>
        <v/>
      </c>
      <c r="IU178" t="str">
        <f t="shared" si="395"/>
        <v/>
      </c>
      <c r="IV178" t="str" cm="1">
        <f t="array" ref="IV178">IF(IM178="","",_xlfn.LET(_xlpm.nd,_xlfn.TEXTSPLIT(IM178,"|"),IF(COLUMNS(_xlpm.nd)&gt;5,A178&amp;"¦"&amp;INDEX(_xlpm.nd,5)&amp;"¦"&amp;INDEX(_xlpm.nd,6),"")))</f>
        <v/>
      </c>
      <c r="IW178" t="str">
        <f t="shared" si="396"/>
        <v/>
      </c>
      <c r="IX178" t="str" cm="1">
        <f t="array" ref="IX178">IF(IM178="","",_xlfn.LET(_xlpm.nd,_xlfn.TEXTSPLIT(IM178,"|"),IF(COLUMNS(_xlpm.nd)&gt;6,A178&amp;"¦"&amp;INDEX(_xlpm.nd,6)&amp;"¦"&amp;INDEX(_xlpm.nd,7),"")))</f>
        <v/>
      </c>
      <c r="IY178" t="str">
        <f t="shared" si="397"/>
        <v/>
      </c>
      <c r="IZ178" t="str">
        <f t="shared" si="398"/>
        <v/>
      </c>
      <c r="JA178" t="str">
        <f t="shared" si="399"/>
        <v>QFD24</v>
      </c>
      <c r="JB178">
        <f t="shared" si="400"/>
        <v>0</v>
      </c>
      <c r="JC178">
        <f t="shared" si="401"/>
        <v>1</v>
      </c>
      <c r="JD178" t="str">
        <f t="shared" si="402"/>
        <v/>
      </c>
      <c r="JE178" t="str">
        <f t="shared" si="403"/>
        <v/>
      </c>
      <c r="JF178" t="str">
        <f t="shared" si="404"/>
        <v/>
      </c>
      <c r="JG178" t="str">
        <f t="shared" si="405"/>
        <v/>
      </c>
      <c r="JH178" t="str">
        <f>IF(B178="","",IFERROR(_xlfn.XLOOKUP(B178,Коды_код,Коды_уго),IFERROR(_xlfn.XLOOKUP(BC178,Коды_код,Коды_уго),IFERROR(_xlfn.XLOOKUP(LEFT(BC178,2),Коды_код,Коды_уго),""))))</f>
        <v>Розетка</v>
      </c>
      <c r="JI178" t="str">
        <f>IF(B178="","",IF(OR(JH178="",JH178=0),"BOX",IFERROR(IF(VLOOKUP(JH178,УГО_блоки,3,FALSE)&amp;""&lt;&gt;"",VLOOKUP(JH178,УГО_блоки,3,FALSE),VLOOKUP(JH178,УГО_блоки,2,FALSE)),JH178)))</f>
        <v>SOCKET</v>
      </c>
      <c r="JJ178">
        <f t="shared" si="406"/>
        <v>1</v>
      </c>
      <c r="JK178" t="str">
        <f>IF(DQ178="","",IF(COUNTIF(DQ$3:DQ178,DQ178)=1,MAX(JK$2:JK177)+1,""))</f>
        <v/>
      </c>
      <c r="JL178" t="str">
        <f>IF(DE178="","",IF(COUNTIF(DE$3:DE178,DE178)+COUNTIF(DF$2:DF177,DE178)+COUNTIF(DG$2:DG177,DE178)=1,MAX(JL$2:JN177)+1,""))</f>
        <v/>
      </c>
      <c r="JM178" t="str">
        <f>IF(DF178="","",IF(COUNTIF(DE$3:DE178,DF178)+COUNTIF(DF$3:DF178,DF178)+COUNTIF(DG$2:DG177,DF178)=1,MAX(JL$2:JN177,JL178)+1,""))</f>
        <v/>
      </c>
      <c r="JN178" t="str">
        <f>IF(DG178="","",IF(COUNTIF(DE$3:DE178,DG178)+COUNTIF(DF$3:DF178,DG178)+COUNTIF(DG$3:DG178,DG178)=1,MAX(JL$2:JN177,JL178,JM178)+1,""))</f>
        <v/>
      </c>
      <c r="JO178" t="str">
        <f t="shared" si="407"/>
        <v>3х2,5</v>
      </c>
      <c r="JP178" t="str">
        <f>IF(JO178="","",IF(COUNTIF(JO$3:JO178,JO178)=1,MAX(JP$2:JP177)+1,""))</f>
        <v/>
      </c>
      <c r="JQ178" t="str">
        <f>IF(HG178="","",COUNTIF(HG$3:HG178,"?*"))</f>
        <v/>
      </c>
      <c r="JR178" t="str">
        <f>IF(OR(HG178="",HI178=""),"",IF(COUNTIFS(HG$3:HG178,"?*",HI$3:HI178,HI178)=1,MAX(JR$2:JR177)+1,""))</f>
        <v/>
      </c>
      <c r="JS178">
        <f t="shared" si="408"/>
        <v>0</v>
      </c>
      <c r="JT178">
        <f>IF(B178="","",COUNTIF(B$3:B178,"?*"))</f>
        <v>176</v>
      </c>
      <c r="JU178">
        <f>IF(HL178&lt;&gt;1,0,_xlfn.LET(_xlpm.k,MAX(IFERROR(--_xlfn.XLOOKUP(B178,Коды_код,Коды_3L),0),IFERROR(--_xlfn.XLOOKUP(BC178,Коды_код,Коды_3L),0),IFERROR(--_xlfn.XLOOKUP(LEFT(BC178,2),Коды_код,Коды_3L),0)),IF(_xlpm.k&gt;0,_xlpm.k,IF(IFERROR(--LEFT(SUBSTITUTE(JO178,"x","х"),FIND("х",SUBSTITUTE(JO178,"x","х"))-1),3)&gt;3,Каталог!$S$9,1))))</f>
        <v>1</v>
      </c>
      <c r="JV178">
        <f t="shared" si="409"/>
        <v>0</v>
      </c>
      <c r="JW178" t="str">
        <f t="shared" si="410"/>
        <v>авто</v>
      </c>
      <c r="JX178">
        <f t="shared" si="411"/>
        <v>30</v>
      </c>
      <c r="JY178">
        <f t="shared" si="412"/>
        <v>1</v>
      </c>
      <c r="JZ178">
        <f t="shared" si="413"/>
        <v>1</v>
      </c>
    </row>
    <row r="179" spans="1:286" x14ac:dyDescent="0.3">
      <c r="A179" t="s">
        <v>753</v>
      </c>
      <c r="B179" t="s">
        <v>1487</v>
      </c>
      <c r="C179" t="s">
        <v>1692</v>
      </c>
      <c r="D179">
        <v>1</v>
      </c>
      <c r="E179">
        <v>0.6</v>
      </c>
      <c r="G179">
        <v>16</v>
      </c>
      <c r="H179" t="str">
        <f>Линии[[#This Row],[_авто управление]]</f>
        <v/>
      </c>
      <c r="I179" t="str">
        <f>Линии[[#This Row],[_авто аппараты]]</f>
        <v/>
      </c>
      <c r="J179">
        <v>2.5</v>
      </c>
      <c r="K179">
        <v>36</v>
      </c>
      <c r="L179">
        <v>3</v>
      </c>
      <c r="M179" t="str">
        <f>Линии[[#This Row],[_авто клемма]]</f>
        <v>XT25</v>
      </c>
      <c r="N179" t="str">
        <f t="shared" si="276"/>
        <v/>
      </c>
      <c r="O179" s="6" cm="1">
        <f t="array" ref="O179">IF(B179="","",IF(BH179&lt;&gt;"",IFERROR(_xlfn.XLOOKUP(BH179,Щиты[Щит],Щиты[Iр, А]),""),IF(BP179=1,IF(OR(N(_xlfn.XLOOKUP(A179,Щиты[Щит],Щиты[Вводов],1))&lt;=1,LOWER(TRIM(_xlfn.XLOOKUP(A179,Щиты[Щит],Щиты[АВР],"")&amp;""))="да"),IFERROR(_xlfn.XLOOKUP(A179,Щиты[Щит],Щиты[Iр, А]),""),IFERROR(N(BS179)*_xlfn.XLOOKUP(A179,Щиты[Щит],Щиты[Кс итог])/(SQRT(3)*Uн_лин*_xlfn.XLOOKUP(A179,Щиты[Щит],Щиты[cos φ])),"")),IF(BV179=1,IFERROR(BS179*1000/BU179,""),IFERROR(_xlfn.IFS(BX179=1,BS179/((Uн_лин/SQRT(3))*CE179),BX179=3,BS179/(SQRT(3)*Uн_лин*CE179)),"")))))</f>
        <v>2.7348170645824377</v>
      </c>
      <c r="P179" s="7">
        <f>IF(B179="","",IFERROR(IF(VLOOKUP(BC179,Потребители_обозначение,4,FALSE)=1,VLOOKUP(BC179,Потребители_обозначение,3,FALSE)*(MAX(1,N(D179))*2-1)+EI179+VLOOKUP(BE179,Этаж_обозначение,3,FALSE)+VLOOKUP(BE179,Этаж_обозначение,4,FALSE),VLOOKUP(BC179,Потребители_обозначение,3,FALSE)*(MAX(1,N(D179))*2-1)+EI179),EI179))</f>
        <v>36</v>
      </c>
      <c r="Q179" s="6">
        <f t="shared" si="277"/>
        <v>2.31</v>
      </c>
      <c r="R179" t="str">
        <f t="shared" si="278"/>
        <v>ВВГнг(А)-LS (3х2,5)</v>
      </c>
      <c r="S179" t="str">
        <f>IF(BM179="","",IF(BN179="вводной узел","узел ","")&amp;"л."&amp;(INT((BM179-1)/Столбцов_на_лист)+1)&amp;" / "&amp;(MOD(BM179-1,Столбцов_на_лист)+1))</f>
        <v>л.3 / 2</v>
      </c>
      <c r="T179" s="119">
        <f t="shared" si="279"/>
        <v>1.5</v>
      </c>
      <c r="U179" s="7" t="str">
        <f>IF(OR(CG179=0,N(BV179)+N(IB179)=0),"",ROUNDUP(Запас_БП*(N(HY179)+N(HZ179)),0))</f>
        <v/>
      </c>
      <c r="V179" s="119" t="str">
        <f t="shared" si="280"/>
        <v/>
      </c>
      <c r="W179" s="7" t="str">
        <f>IFERROR(IF(OR(B179="",BP179=1,BV179=1,NOT(ISNUMBER(EN179)),N(DT179)=0),"",MAX(0,ROUNDDOWN((c_min*(Uн_лин*1000/SQRT(3))/(HT179*N(DT179))-_xlfn.XLOOKUP(A179,Щиты[Щит],Щиты[Zпетли на шинах, Ом]))*EN179/(2*ρкз_Cu),0))),"")</f>
        <v/>
      </c>
      <c r="Y179" t="str">
        <f>Линии[[#This Row],[_авто утечка]]</f>
        <v/>
      </c>
      <c r="Z179">
        <v>1</v>
      </c>
      <c r="AA179">
        <v>230</v>
      </c>
      <c r="AB179" t="s">
        <v>573</v>
      </c>
      <c r="AG179" t="s">
        <v>810</v>
      </c>
      <c r="AI179" t="s">
        <v>572</v>
      </c>
      <c r="AK179" t="str">
        <f>Линии[[#This Row],[_авто модуль]]</f>
        <v/>
      </c>
      <c r="AM179">
        <v>36</v>
      </c>
      <c r="AN179" t="s">
        <v>11</v>
      </c>
      <c r="AO179">
        <v>3</v>
      </c>
      <c r="AQ179">
        <v>17</v>
      </c>
      <c r="AR179">
        <v>11</v>
      </c>
      <c r="BA179" cm="1">
        <f t="array" ref="BA179">ROW()-ROW(Линии[#Headers])</f>
        <v>177</v>
      </c>
      <c r="BC179" s="6" t="str">
        <f t="shared" si="281"/>
        <v>ШТК-0</v>
      </c>
      <c r="BD179" t="str">
        <f t="shared" si="282"/>
        <v/>
      </c>
      <c r="BE179" t="str">
        <f t="shared" si="283"/>
        <v/>
      </c>
      <c r="BF179" t="str">
        <f t="shared" si="284"/>
        <v/>
      </c>
      <c r="BG179" t="str">
        <f t="shared" si="285"/>
        <v/>
      </c>
      <c r="BH179" t="str">
        <f>IF(X179&lt;&gt;"",X179,IF(AND(B179&lt;&gt;"",B179&lt;&gt;A179,ISNUMBER(_xlfn.XMATCH(B179,Щиты[Щит]))),B179,""))</f>
        <v/>
      </c>
      <c r="BI179" t="str" cm="1">
        <f t="array" ref="BI179">IF(B179="","",IF(BH179&lt;&gt;"","Щит "&amp;BH179,_xlfn.LET(_xlpm.nm,IFERROR(_xlfn.XLOOKUP(BC179,Коды_код,Коды_имя)&amp;"",""),_xlpm.md,IFERROR(N(_xlfn.XLOOKUP(BC179,Коды_код,Коды_режим)),1),_xlpm.ex,IF(Имя_режим="по экспликации",IFERROR(_xlfn.XLOOKUP(BE179&amp;"|"&amp;BG179,Экспликация[Этаж]&amp;"|"&amp;Экспликация[Помещение],Экспликация[Название])&amp;"",""),""),_xlpm.rm,IF(BG179="","",IF(_xlpm.ex&lt;&gt;"",". "&amp;_xlpm.ex&amp;IF(Имя_пом="нет"," ("&amp;BG179&amp;")"," (пом. "&amp;BG179&amp;")"),IF(Имя_пом="нет"," ",", пом. ")&amp;BG179)),IF(_xlpm.nm="","",IF(_xlpm.md=2,_xlpm.nm&amp;" шлейф "&amp;BE179,_xlpm.nm&amp;_xlpm.rm)))))</f>
        <v/>
      </c>
      <c r="BJ179" t="str">
        <f t="shared" si="286"/>
        <v>Шкаф телекоммуникационный ШТК-0 Подвальный этаж Пом. №007Т</v>
      </c>
      <c r="BK179">
        <f>IFERROR(_xlfn.XMATCH(A179,Щиты[Щит]),0)</f>
        <v>8</v>
      </c>
      <c r="BL179">
        <f>_xlfn.LET(_xlpm.k,IFERROR(_xlfn.XLOOKUP(A179,Щиты[Щит],Щиты[Мест под вводной узел]),""),IF(_xlpm.k="",Столбцов_на_лист,N(_xlpm.k)))</f>
        <v>7</v>
      </c>
      <c r="BM179">
        <f t="shared" si="287"/>
        <v>36</v>
      </c>
      <c r="BN179" t="str">
        <f t="shared" si="288"/>
        <v>линии</v>
      </c>
      <c r="BO179" s="6">
        <f>IFERROR(N(_xlfn.XLOOKUP(BC179,Коды_код,Коды_квт)),0)</f>
        <v>0</v>
      </c>
      <c r="BP179">
        <f t="shared" si="289"/>
        <v>0</v>
      </c>
      <c r="BQ179" t="str">
        <f>IF(B179="","",IF(BH179&lt;&gt;"",IFERROR(_xlfn.XLOOKUP(BH179,Щиты[Щит],Щиты[Руст, кВт]),0),IF(BP179=1,IF(OR(N(_xlfn.XLOOKUP(A179,Щиты[Щит],Щиты[Вводов],1))&lt;=1,LOWER(TRIM(_xlfn.XLOOKUP(A179,Щиты[Щит],Щиты[АВР],"")&amp;""))="да"),IFERROR(_xlfn.XLOOKUP(A179,Щиты[Щит],Щиты[Руст, кВт]),0),SUMIFS(Линии[_Р для вводов],Линии[Щит],A179,Линии[Источник для режимов],GF179)),IF(BO179&gt;0,ROUND(BO179*MAX(1,N(D179)),3),""))))</f>
        <v/>
      </c>
      <c r="BR179">
        <f t="shared" si="290"/>
        <v>0.6</v>
      </c>
      <c r="BS179" s="6">
        <f>IF(B179="","",IF(BH179&lt;&gt;"",IFERROR(_xlfn.XLOOKUP(BH179,Щиты[Щит],Щиты[Руст, кВт]),0),N(BR179)))</f>
        <v>0.6</v>
      </c>
      <c r="BT179" t="str">
        <f>IF(B179="","",IFERROR(IF(VLOOKUP(BC179,Потребители_обозначение,8,FALSE)=0,"",VLOOKUP(BC179,Потребители_обозначение,8,FALSE)),""))</f>
        <v/>
      </c>
      <c r="BU179">
        <f t="shared" si="291"/>
        <v>230</v>
      </c>
      <c r="BV179">
        <f t="shared" si="292"/>
        <v>0</v>
      </c>
      <c r="BW179">
        <f>IF(B179="","",IF(BH179&lt;&gt;"",3,IFERROR(IF(N(VLOOKUP(BC179,Потребители_обозначение,9,FALSE))=0,1,VLOOKUP(BC179,Потребители_обозначение,9,FALSE)),1)))</f>
        <v>1</v>
      </c>
      <c r="BX179">
        <f t="shared" si="293"/>
        <v>1</v>
      </c>
      <c r="BY179" t="str">
        <f>IF(B179="","",_xlfn.LET(_xlpm.bc,IFERROR(IF(VLOOKUP(BC179,Потребители_обозначение,6,FALSE)=0,"",VLOOKUP(BC179,Потребители_обозначение,6,FALSE)&amp;""),""),IF(AND(GA179="да",OR(_xlpm.bc="",_xlpm.bc="мс")),Марка_пож,IF(AND(_xlpm.bc="",BH179&lt;&gt;""),"мс",_xlpm.bc))))</f>
        <v/>
      </c>
      <c r="BZ179" t="str">
        <f t="shared" si="294"/>
        <v>мс</v>
      </c>
      <c r="CA179">
        <f>IF(B179="","",_xlfn.LET(_xlpm.cc,IFERROR(N(VLOOKUP(BC179,Потребители_обозначение,7,FALSE)),0),IF(_xlpm.cc&gt;0,_xlpm.cc,IF(BZ179="","",IF(BV179=1,2,IF(N(BX179)=3,5,3))))))</f>
        <v>3</v>
      </c>
      <c r="CB179">
        <f t="shared" si="295"/>
        <v>3</v>
      </c>
      <c r="CC179">
        <f>IFERROR(N(VLOOKUP(BC179,Потребители_обозначение,10,FALSE)),0)</f>
        <v>0</v>
      </c>
      <c r="CD179">
        <f>IFERROR(VLOOKUP(BC179,Потребители_обозначение,5,FALSE),0)</f>
        <v>0</v>
      </c>
      <c r="CE179" s="6" cm="1">
        <f t="array" ref="CE179">IF(B179="","",IF(BH179&lt;&gt;"",IFERROR(_xlfn.XLOOKUP(BH179,Щиты[Щит],Щиты[cos φ]),0.95),IF(BP179=1,IFERROR(_xlfn.XLOOKUP(A179,Щиты[Щит],Щиты[cos φ]),0.95),IF(ISNUMBER(AD179),AD179,IFERROR(IF(CD179=2,_xlfn.IFS(BX179=3,VLOOKUP(BS179,Справочная_двигатели,8,FALSE),BX179=1,VLOOKUP(BS179,Справочная_двигатели,10,TRUE)),IF(AND(Методика="нормы 2026",FG179="Сил"),0.8,0.95)),0.95)))))</f>
        <v>0.95</v>
      </c>
      <c r="CF179">
        <f t="shared" si="296"/>
        <v>0</v>
      </c>
      <c r="CG179">
        <f t="shared" si="297"/>
        <v>1</v>
      </c>
      <c r="CH179">
        <f t="shared" si="298"/>
        <v>0</v>
      </c>
      <c r="CI179">
        <f>IF(B179="","",IF(BV179=1,IFERROR(BS179/((Uн_лин/SQRT(3))*MAX(0.5,N(CE179))),0),N(O179)))</f>
        <v>2.7348170645824377</v>
      </c>
      <c r="CJ179">
        <f t="shared" si="299"/>
        <v>0</v>
      </c>
      <c r="CK179">
        <f t="shared" si="300"/>
        <v>0</v>
      </c>
      <c r="CL179">
        <f t="shared" si="301"/>
        <v>0</v>
      </c>
      <c r="CM179">
        <f t="shared" si="302"/>
        <v>0</v>
      </c>
      <c r="CN179">
        <f t="shared" si="303"/>
        <v>0</v>
      </c>
      <c r="CO179">
        <f>IF(BC179="",0,_xlfn.LET(_xlpm.v,IFERROR(_xlfn.XLOOKUP(B179,Коды_код,Коды_мА),IFERROR(_xlfn.XLOOKUP(BC179,Коды_код,Коды_мА),IFERROR(_xlfn.XLOOKUP(LEFT(BC179,2),Коды_код,Коды_мА),""))),IF(_xlpm.v="да",30,IF(ISNUMBER(_xlpm.v),_xlpm.v,0))))</f>
        <v>0</v>
      </c>
      <c r="CP179" t="str">
        <f t="shared" si="304"/>
        <v/>
      </c>
      <c r="CQ179" t="str">
        <f>_xlfn.LET(_xlpm.k,IFERROR(_xlfn.XLOOKUP(BC179,Коды_код,Коды_утечка)&amp;"",""),IF(_xlpm.k="","дифавтомат",_xlpm.k))</f>
        <v>дифавтомат</v>
      </c>
      <c r="CR179" t="str" cm="1">
        <f t="array" ref="CR179">IF(CG179=0,"",_xlfn.LET(_xlpm.sg,TRIM(_xlfn.TEXTSPLIT(DD179&amp;"",";")),_xlpm.f_,_xlfn._xlws.FILTER(_xlpm.sg,LEFT(_xlpm.sg,3)="УЗО",""),IFERROR(INDEX(_xlpm.f_,1)&amp;"","")))</f>
        <v/>
      </c>
      <c r="CS179" t="str">
        <f t="shared" si="305"/>
        <v/>
      </c>
      <c r="CT179" s="6" t="str" cm="1">
        <f t="array" ref="CT179">IF(CR179="","",_xlfn.LET(_xlpm.tk,_xlfn.TEXTSPLIT(UPPER(CR179)," ",,TRUE),_xlpm.a_,_xlfn._xlws.FILTER(_xlpm.tk,ISNUMBER(--LEFT(_xlpm.tk,1))*((ISNUMBER(SEARCH("А",_xlpm.tk))+ISNUMBER(SEARCH("A",_xlpm.tk)))&gt;0)*NOT(ISNUMBER(SEARCH("МА",_xlpm.tk)))*NOT(ISNUMBER(SEARCH("MA",_xlpm.tk))),""),IFERROR(--SUBSTITUTE(SUBSTITUTE(INDEX(_xlpm.a_,1),"А",""),"A",""),"")))</f>
        <v/>
      </c>
      <c r="CU179" t="str" cm="1">
        <f t="array" ref="CU179">IF(CR179="","",_xlfn.LET(_xlpm.tk,_xlfn.TEXTSPLIT(UPPER(CR179)," ",,TRUE),_xlpm.a_,_xlfn._xlws.FILTER(_xlpm.tk,ISNUMBER(--LEFT(_xlpm.tk,1))*((ISNUMBER(SEARCH("МА",_xlpm.tk))+ISNUMBER(SEARCH("MA",_xlpm.tk)))&gt;0),""),IFERROR(--SUBSTITUTE(SUBSTITUTE(INDEX(_xlpm.a_,1),"МА",""),"MA",""),30)))</f>
        <v/>
      </c>
      <c r="CV179" t="str">
        <f>IF(CS179="","",IFERROR(_xlfn.XLOOKUP(CS179,Линии[_n],Линии[_УЗО, мА]),30))</f>
        <v/>
      </c>
      <c r="CW179">
        <f>IF(CS179="",0,IF(ISNUMBER(SEARCH("4P",IFERROR(_xlfn.XLOOKUP(CS179,Линии[_n],Линии[_УЗО строки])&amp;"",""))),0,1))</f>
        <v>0</v>
      </c>
      <c r="CX179" t="str">
        <f>IF(AND(CS179&lt;&gt;"",CS179=BA179),SUMIFS(Линии[_ток на 230 В],Линии[_блок УЗО],BA179,Линии[Щит],A179),"")</f>
        <v/>
      </c>
      <c r="CY179" t="str">
        <f>IF(AND(CS179&lt;&gt;"",CS179=BA179),SUMIFS(Линии[_ток утечки линии, мА],Линии[_блок УЗО],BA179,Линии[Щит],A179),"")</f>
        <v/>
      </c>
      <c r="CZ179">
        <f t="shared" si="306"/>
        <v>0</v>
      </c>
      <c r="DA179">
        <f t="shared" si="307"/>
        <v>0</v>
      </c>
      <c r="DB179">
        <f>IF(B179="",0,IFERROR(--_xlfn.XLOOKUP(B179,Коды_код,Коды_минавт),IFERROR(--_xlfn.XLOOKUP(BC179,Коды_код,Коды_минавт),IFERROR(--_xlfn.XLOOKUP(LEFT(BC179,2),Коды_код,Коды_минавт),0))))</f>
        <v>0</v>
      </c>
      <c r="DC179" t="str">
        <f>IF(B179="","",IFERROR(_xlfn.XLOOKUP(BC179,Коды_код,Коды_апп)&amp;"",""))</f>
        <v/>
      </c>
      <c r="DD179" t="str">
        <f t="shared" si="308"/>
        <v/>
      </c>
      <c r="DE179" t="str" cm="1">
        <f t="array" ref="DE179">IF(TRIM(DD179&amp;"")="","",IFERROR(TRIM(INDEX(_xlfn.TEXTSPLIT(DD179&amp;";;;",";"),1)),""))</f>
        <v/>
      </c>
      <c r="DF179" t="str" cm="1">
        <f t="array" ref="DF179">IF(TRIM(DD179&amp;"")="","",IFERROR(TRIM(INDEX(_xlfn.TEXTSPLIT(DD179&amp;";;;",";"),2)),""))</f>
        <v/>
      </c>
      <c r="DG179" t="str" cm="1">
        <f t="array" ref="DG179">IF(TRIM(DD179&amp;"")="","",IFERROR(TRIM(INDEX(_xlfn.TEXTSPLIT(DD179&amp;";;;",";"),3)),""))</f>
        <v/>
      </c>
      <c r="DH179">
        <f t="shared" si="309"/>
        <v>0</v>
      </c>
      <c r="DI179" t="str">
        <f>IF(B179="","",_xlfn.LET(_xlpm.t,LOWER(AZ179&amp;""),IF(ISNUMBER(SEARCH("dim",_xlpm.t)),"DIM",IF(ISNUMBER(SEARCH("dali",_xlpm.t)),"DALI",IF(OR(ISNUMBER(SEARCH("relay",_xlpm.t)),ISNUMBER(SEARCH("реле",_xlpm.t))),"Relay",IF(ISNUMBER(SEARCH("кнопк",_xlpm.t)),"",IFERROR(_xlfn.XLOOKUP(BC179,Коды_код,Коды_упр)&amp;"","")))))))</f>
        <v/>
      </c>
      <c r="DJ179" t="str">
        <f t="shared" si="310"/>
        <v/>
      </c>
      <c r="DK179">
        <f>IF(B179="","",_xlfn.LET(_xlpm.ig,IF(N(CX179)&gt;0,N(CX179),N(CI179)+IF(AJ179="вручную",0,N(CJ179))),_xlpm.n0,IFERROR(VLOOKUP(_xlpm.ig,Автомат_номиналы,2,TRUE),0),_xlpm.mn,MAX(DB179,IF(AJ179="вручную",0,N(CM179))),MAX(_xlpm.n0,_xlpm.mn,IF(DH179=1,Мин_автомат_БП,0))))</f>
        <v>6</v>
      </c>
      <c r="DL179">
        <f t="shared" si="311"/>
        <v>1</v>
      </c>
      <c r="DM179" t="str">
        <f t="shared" si="312"/>
        <v>1P</v>
      </c>
      <c r="DN179" t="str">
        <f>_xlfn.LET(_xlpm.cc,UPPER(TRIM(IFERROR(_xlfn.XLOOKUP(BC179,Коды_код,Коды_хар)&amp;"",""))),IF(OR(_xlpm.cc="B",_xlpm.cc="В"),"B",IF(_xlpm.cc="D","D","С")))</f>
        <v>С</v>
      </c>
      <c r="DO179" t="str">
        <f t="shared" si="313"/>
        <v>1P С6А</v>
      </c>
      <c r="DP179">
        <f t="shared" si="314"/>
        <v>16</v>
      </c>
      <c r="DQ179" t="str">
        <f t="shared" si="315"/>
        <v>1P С16А</v>
      </c>
      <c r="DR179" cm="1">
        <f t="array" ref="DR179">IF(DQ179="","",_xlfn.LET(_xlpm.t,SUBSTITUTE(SUBSTITUTE(SUBSTITUTE(UPPER(DQ179),"С","C"),"А","A"),"В","B"),_xlpm.tk,_xlfn.TEXTSPLIT(_xlpm.t," "),_xlpm.f,_xlfn._xlws.FILTER(_xlpm.tk,ISNUMBER(--MID(_xlpm.tk,2,1))*ISNUMBER(SEARCH(LEFT(_xlpm.tk,1)&amp;"#","B#C#D#"))*(LEN(_xlpm.tk)&gt;1),""),_xlpm.x,INDEX(_xlpm.f,1),IFERROR(--SUBSTITUTE(MID(_xlpm.x,2,9),"A",""),IFERROR(--SUBSTITUTE(INDEX(_xlfn._xlws.FILTER(_xlpm.tk,ISNUMBER(--SUBSTITUTE(_xlpm.tk,"A","")),""),1),"A",""),""))))</f>
        <v>16</v>
      </c>
      <c r="DS179" t="str">
        <f t="shared" si="316"/>
        <v>ok</v>
      </c>
      <c r="DT179">
        <f t="shared" si="317"/>
        <v>16</v>
      </c>
      <c r="DU179" t="str">
        <f t="shared" si="318"/>
        <v>1P С16А</v>
      </c>
      <c r="DV179">
        <f t="shared" si="319"/>
        <v>0</v>
      </c>
      <c r="DW179">
        <f t="shared" si="320"/>
        <v>0</v>
      </c>
      <c r="DX179">
        <f t="shared" si="321"/>
        <v>0</v>
      </c>
      <c r="DY179">
        <f t="shared" si="322"/>
        <v>2.7348170645824377</v>
      </c>
      <c r="DZ179">
        <f t="shared" si="323"/>
        <v>1</v>
      </c>
      <c r="EA179">
        <f>IF(ISNUMBER(AP179),AP179,К_прокл)</f>
        <v>1</v>
      </c>
      <c r="EB179">
        <f t="shared" si="324"/>
        <v>2</v>
      </c>
      <c r="EC179">
        <f>IFERROR(N(VLOOKUP(BZ179,Кабель_обозначение,3,FALSE)),1)</f>
        <v>1</v>
      </c>
      <c r="ED179">
        <f>IFERROR(N(_xlfn.XLOOKUP(A179,Щиты[Щит],Щиты[ΔU до шин, %])),0)</f>
        <v>1.57</v>
      </c>
      <c r="EE179" t="str">
        <f>IFERROR(_xlfn.XLOOKUP(A179,Щиты[Щит],Щиты[Zпетли на шинах, Ом]),"")</f>
        <v/>
      </c>
      <c r="EF179">
        <f>IFERROR(N(_xlfn.XLOOKUP(A179,Щиты[Щит],Щиты[ΔU до шин (подбор), %])),0)</f>
        <v>2.5</v>
      </c>
      <c r="EG179" t="str">
        <f>IFERROR(_xlfn.XLOOKUP(A179,Щиты[Щит],Щиты[Zпетли на шинах (подбор), Ом]),"")</f>
        <v/>
      </c>
      <c r="EH179" t="str">
        <f t="shared" si="325"/>
        <v/>
      </c>
      <c r="EI179">
        <f t="shared" si="326"/>
        <v>36</v>
      </c>
      <c r="EJ179">
        <f t="shared" si="327"/>
        <v>2</v>
      </c>
      <c r="EK179">
        <f t="shared" si="328"/>
        <v>0.31</v>
      </c>
      <c r="EL179" s="6">
        <f>IF(B179="","",IF(BV179=1,dU_LED,IF(IFERROR(_xlfn.XLOOKUP(BC179,Коды_код,Коды_уго),"")="Светильник",3,4)+IF(Методика="нормы 2026",MIN(0.5,MAX(0,N(P179)-100)*0.005),0)))</f>
        <v>4</v>
      </c>
      <c r="EM179" cm="1">
        <f t="array" ref="EM179">IF(OR(B179="",BZ179="",EC179&lt;&gt;1),"",_xlfn.LET(_xlpm.sz,Iдоп_S,_xlpm.t_,CHOOSE(EB179,Iдоп_1ж,Iдоп_2ж,Iдоп_3ж)*DZ179*EA179,_xlpm.dcx,BV179=1,_xlpm.inn,IF(_xlpm.dcx,N(O179),N(DT179)),_xlpm.smin,MAX(1.5,CC179),_xlpm.L_,N(P179)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179)/N(BU179)*100,999),IFERROR(N(EJ179)*(_xlpm.rho*_xlpm.L_/_xlpm.sz*N(CE179)+_xlpm.xx*_xlpm.L_*N(EK179)/1000)*N(O179)/((Uн_лин/SQRT(3))*1000)*100,999)),_xlpm.kz,IF(OR(_xlpm.dcx,DW179=1,NOT(ISNUMBER(EG179)),_xlpm.L_=0,_xlpm.inn=0),1,IFERROR(--(c_min*(Uн_лин*1000/SQRT(3))/(EG179+2*ρкз_Cu*_xlpm.L_/_xlpm.sz)&gt;=HT179*_xlpm.inn),0)),_xlpm.ok,IFERROR((_xlpm.sz&gt;=_xlpm.smin)*(_xlpm.t_&gt;=_xlpm.inn)*IF(_xlpm.L_&gt;0,(_xlpm.du_+IF(_xlpm.dcx,0,EF179)&lt;=EL179+0.00001),1)*_xlpm.kz,0),_xlpm.r_,_xlfn._xlws.FILTER(_xlpm.sz,_xlpm.ok,"не подобрано"),INDEX(_xlpm.r_,1)))</f>
        <v>1.5</v>
      </c>
      <c r="EN179">
        <f t="shared" si="329"/>
        <v>2.5</v>
      </c>
      <c r="EO179" cm="1">
        <f t="array" ref="EO179">IF(OR(B179="",BZ179="",EC179&lt;&gt;1),"",_xlfn.LET(_xlpm.sz,Iдоп_S,_xlpm.t_,CHOOSE(EB179,Iдоп_1ж,Iдоп_2ж,Iдоп_3ж)*DZ179*EA179,_xlpm.ok,IFERROR((_xlpm.sz&gt;=MAX(1.5,CC179))*(_xlpm.t_&gt;=N(DT179)),0),_xlpm.r_,_xlfn._xlws.FILTER(_xlpm.sz,_xlpm.ok,""),INDEX(_xlpm.r_,1)))</f>
        <v>1.5</v>
      </c>
      <c r="EP179" s="6" cm="1">
        <f t="array" ref="EP179">IFERROR(ROUNDUP(N(EJ179)*(_xlfn.XLOOKUP(EO179,INDEX(Кабель_сопротивление,0,1),INDEX(Кабель_сопротивление,0,3))*N(P179)/EO179*N(CE179)+_xlfn.XLOOKUP(EO179,INDEX(Кабель_сопротивление,0,1),INDEX(Кабель_сопротивление,0,2))*N(P179)*N(EK179)/1000)*N(O179)/((Uн_лин/SQRT(3))*1000)*100,2),"")</f>
        <v>1.22</v>
      </c>
      <c r="EQ179">
        <f>IFERROR(2*ρкз_Cu*N(P179)/EO179,"")</f>
        <v>1.2624</v>
      </c>
      <c r="ER179">
        <f>IFERROR(VLOOKUP(EN179,Кабель_сопротивление,3,FALSE),"")</f>
        <v>2.2499999999999999E-2</v>
      </c>
      <c r="ES179">
        <f>IFERROR(VLOOKUP(EN179,Кабель_сопротивление,2,FALSE),"")</f>
        <v>0.1</v>
      </c>
      <c r="ET179">
        <f t="shared" si="330"/>
        <v>11</v>
      </c>
      <c r="EU179" t="str">
        <f t="shared" si="331"/>
        <v/>
      </c>
      <c r="EV179">
        <f t="shared" si="332"/>
        <v>1.6896574966450966</v>
      </c>
      <c r="EW179" s="6">
        <f>IFERROR(ROUNDUP(EV179/IF(BV179=1,BU179,(Uн_лин/SQRT(3))*1000)*100,2),"")</f>
        <v>0.74</v>
      </c>
      <c r="EX179" t="str">
        <f>IFERROR(VLOOKUP(BZ179,Кабель_обозначение,2,FALSE),"")</f>
        <v>ВВГнг(А)-LS</v>
      </c>
      <c r="EY179" t="str">
        <f t="shared" si="333"/>
        <v>ВВГнг(А)-LS (3х2,5)</v>
      </c>
      <c r="EZ179" t="str">
        <f t="shared" si="334"/>
        <v>ВВГнг(А)-LS (3х2,5)
L=36-0,74%</v>
      </c>
      <c r="FA179">
        <f>IFERROR(2*ρкз_Cu*P179/EN179,"")</f>
        <v>0.75744</v>
      </c>
      <c r="FB179">
        <f t="shared" si="335"/>
        <v>0.25200000000000006</v>
      </c>
      <c r="FC179" s="6" t="str">
        <f>IFERROR(IF(OR(B179="",BV179=1,NOT(ISNUMBER(EN179)),N(P179)=0),"",_xlfn.XLOOKUP(A179,Щиты[Щит],Щиты[Zпетли на шинах, Ом])+FA179),"")</f>
        <v/>
      </c>
      <c r="FD179" s="6" t="str">
        <f>IF(ISNUMBER(FC179),c_min*(Uн_лин*1000/SQRT(3))/FC179,"")</f>
        <v/>
      </c>
      <c r="FE179" s="6" t="str">
        <f>IFERROR(IF(OR(B179="",NOT(ISNUMBER(EN179))),"",1.05*(Uн_лин*1000/SQRT(3))/(_xlfn.XLOOKUP(A179,Щиты[Щит],Щиты[Zmax на шинах, Ом])+FB179)/1000),"")</f>
        <v/>
      </c>
      <c r="FF179" s="6" t="str">
        <f>IF(B179="","",IF(ISNUMBER(AC179),"Сил",IF(IFERROR(_xlfn.XLOOKUP(BC179,Коды_код,Коды_группа)&amp;"","")="","Быт",_xlfn.XLOOKUP(BC179,Коды_код,Коды_группа)&amp;"")))</f>
        <v>Быт</v>
      </c>
      <c r="FG179" s="6" t="str">
        <f t="shared" si="336"/>
        <v>Пост</v>
      </c>
      <c r="FH179" s="6">
        <f>IF(FG179="Щит","щит",IF(FG179="","",IF(FG179="Быт",IFERROR(_xlfn.XLOOKUP(A179,Щиты[Щит],Щиты[Кс быт]),1),IF(FG179="Сил",IF(ISNUMBER(AC179),AC179,IF(Методика="нормы 2026",IFERROR(_xlfn.XLOOKUP(A179,Щиты[Щит],Щиты[Кс силовых (табл. 7.5)]),1),1)),IF(OR(FG179="Пост",FG179="Отоп"),1,IF(FG179="ВНГ",0.7,0))))))</f>
        <v>1</v>
      </c>
      <c r="FI179">
        <f>IF(FG179="","",IF(AND(BP179=1,TRIM(AE179&amp;"")=""),IF(COUNTIFS(Линии[Щит],A179,Линии[Секция (1/2/3)],"&gt;=2")&gt;0,MIN(3,MAX(1,IFERROR(--BD179,1))),1),IFERROR(MIN(3,MAX(1,INT(--AE179))),1)))</f>
        <v>1</v>
      </c>
      <c r="FJ179">
        <f t="shared" si="337"/>
        <v>0.6</v>
      </c>
      <c r="FK179">
        <f t="shared" si="338"/>
        <v>0</v>
      </c>
      <c r="FL179">
        <f t="shared" si="339"/>
        <v>0</v>
      </c>
      <c r="FM179">
        <f t="shared" si="340"/>
        <v>0.6</v>
      </c>
      <c r="FN179">
        <f t="shared" si="341"/>
        <v>0</v>
      </c>
      <c r="FO179">
        <f t="shared" si="342"/>
        <v>0</v>
      </c>
      <c r="FP179">
        <f t="shared" si="343"/>
        <v>0.6</v>
      </c>
      <c r="FQ179">
        <f t="shared" si="344"/>
        <v>0.6</v>
      </c>
      <c r="FR179">
        <f t="shared" si="345"/>
        <v>0.56999999999999995</v>
      </c>
      <c r="FS179">
        <f>IF(CG179=1,IF(AND(CH179=1,CW179=1),0,IF(AND(CS179&lt;&gt;"",CS179=BA179,CW179=1),SUMIFS(Линии[_Р линии, кВт],Линии[_блок УЗО],BA179,Линии[Щит],A179),N(BS179)+IF(AJ179="вручную",0,N(CK179)))),0)</f>
        <v>0.6</v>
      </c>
      <c r="FT179" t="str">
        <f t="shared" si="346"/>
        <v>L3</v>
      </c>
      <c r="FU179" t="str">
        <f>IF(B179="","",IF(CG179=0,IF(BA179=1,"",FW178),IF(AND(CH179=1,CW179=1,CS179&lt;&gt;""),IFERROR(_xlfn.XLOOKUP(CS179,Линии[_n],Линии[_фаза итог]),"L1"),IF(OR(N(DL179)&gt;=3,N(BX179)&gt;=3),"L1,L2,L3",IFERROR(_xlfn.TEXTBEFORE(_xlfn.TEXTAFTER(_xlfn.XLOOKUP(A179,Щиты[Щит],Щиты[_фазы авто]),";"&amp;BA179&amp;":"),";"),"L1")))))</f>
        <v>L1</v>
      </c>
      <c r="FV179" t="str">
        <f t="shared" si="347"/>
        <v>L3</v>
      </c>
      <c r="FW179" t="str">
        <f t="shared" si="348"/>
        <v>L3</v>
      </c>
      <c r="FX179" cm="1">
        <f t="array" ref="FX179">IFERROR(IF(CD179=2,_xlfn.IFS(BX179=3,VLOOKUP(BS179,Справочная_двигатели,3,FALSE),BX179=1,VLOOKUP(BS179,Справочная_двигатели,5,TRUE)),0),0)</f>
        <v>0</v>
      </c>
      <c r="FY179">
        <f>IFERROR(IF(CD179=3,VLOOKUP(BS179,Справочная_ЛЭД,2,TRUE),0),0)</f>
        <v>0</v>
      </c>
      <c r="FZ179" s="6">
        <f t="shared" si="349"/>
        <v>0</v>
      </c>
      <c r="GA179" t="str">
        <f>IF(B179="","",IF(TRIM(AH179&amp;"")&lt;&gt;"",IF(LOWER(TRIM(AH179&amp;""))="да","да","нет"),IF(IFERROR(_xlfn.XLOOKUP(BC179,Коды_код,Коды_пожарная),"")="да","да","нет")))</f>
        <v>нет</v>
      </c>
      <c r="GB179" t="str">
        <f t="shared" si="350"/>
        <v/>
      </c>
      <c r="GC179" t="str">
        <f t="shared" si="351"/>
        <v>основная</v>
      </c>
      <c r="GD179">
        <f>IF(AND(BP179=1,TRIM(AE179&amp;"")=""),IF(COUNTIFS(Линии[Щит],A179,Линии[Секция (1/2/3)],"&gt;=2")&gt;0,MIN(3,MAX(1,IFERROR(--BD179,1))),1),IFERROR(MIN(3,MAX(1,INT(--AE179))),1))</f>
        <v>1</v>
      </c>
      <c r="GE179" t="str" cm="1">
        <f t="array" ref="GE179">IF(B179="","",_xlfn.LET(_xlpm.t,IFERROR(_xlfn.XLOOKUP(1,(Шины[Шина]=GC179)*(((Шины[Щит]=A179)+(Шины[Щит]=""))&gt;0),Шины[Тип]),"")&amp;"",IF(_xlpm.t&lt;&gt;"",_xlpm.t,IF(ISNUMBER(SEARCH("ИБП",GC179)),"ИБП",IF(ISNUMBER(SEARCH("ДГУ",GC179)),"ДГУ","Ввод "&amp;GD179)))))</f>
        <v>Ввод 1</v>
      </c>
      <c r="GF179" t="str">
        <f t="shared" si="352"/>
        <v>Ввод 1</v>
      </c>
      <c r="GG179" t="str">
        <f>IF(BP179=0,"",IF(TRIM(AG179&amp;"")&lt;&gt;"",TRIM(AG179&amp;""),IF(OR(GE179="ИБП",GE179="ДГУ"),"I особая",_xlfn.XLOOKUP(A179,Щиты[Щит],Щиты[Категория шины «Ввод»],"III"))))</f>
        <v/>
      </c>
      <c r="GH179" t="str">
        <f>IF(A179="","",_xlfn.XLOOKUP(A179,Щиты[Щит],Щиты[Путь],""))</f>
        <v>|ГРЩ-ЖД|ЩР-001|</v>
      </c>
      <c r="GI179" t="str">
        <f>IF(B179="","",IF(AI179&lt;&gt;"",AI179,IF(IFERROR(_xlfn.XLOOKUP(BC179,Коды_код,Коды_вид)&amp;"","")="","Прочее",_xlfn.XLOOKUP(BC179,Коды_код,Коды_вид)&amp;"")))</f>
        <v>Слаботочные системы, автоматизация, KNX</v>
      </c>
      <c r="GJ179">
        <f>IF(BM179="","",INT((BM179-1)/Столбцов_на_лист)+1)</f>
        <v>3</v>
      </c>
      <c r="GK179" t="str">
        <f t="shared" si="353"/>
        <v>ВВГнг(А)-LS (3х2,5) L=36-0,74%</v>
      </c>
      <c r="GL179">
        <f t="shared" si="354"/>
        <v>0.6</v>
      </c>
      <c r="GM179">
        <f t="shared" si="355"/>
        <v>2.7399999999999998</v>
      </c>
      <c r="GN179">
        <f t="shared" si="356"/>
        <v>1</v>
      </c>
      <c r="GO179">
        <f t="shared" si="357"/>
        <v>0</v>
      </c>
      <c r="GP179">
        <f t="shared" si="358"/>
        <v>1</v>
      </c>
      <c r="GQ179">
        <f>IF(BM179="","",IF(AND(CG179=1,GP179=1),COUNTIFS(A$3:A179,A179,CG$3:CG179,1,GP$3:GP179,1),IF(OR(OR(BA179=1,A179&lt;&gt;A178),AJ179="вручную",GP179=0),"",IF(BA179=1,"",GR178))))</f>
        <v>25</v>
      </c>
      <c r="GR179">
        <f t="shared" si="359"/>
        <v>25</v>
      </c>
      <c r="GS179">
        <f>IF(B179="","",IFERROR(LOOKUP(INDEX(CHOOSE(EB179,Iдоп_1ж,Iдоп_2ж,Iдоп_3ж),MATCH(EN179,Iдоп_S,0))*DZ179*EA179,{6,10,16,20,25,32,40,50,63,80,100,125,160,200,250,315,400,500,630}),""))</f>
        <v>25</v>
      </c>
      <c r="GT179" t="str">
        <f t="shared" si="360"/>
        <v>QF25</v>
      </c>
      <c r="GU179" t="str">
        <f t="shared" si="361"/>
        <v>QF25</v>
      </c>
      <c r="GV179" t="str">
        <f t="shared" si="362"/>
        <v/>
      </c>
      <c r="GW179">
        <f t="shared" si="363"/>
        <v>0</v>
      </c>
      <c r="GX179" t="str">
        <f>IF(OR(B179="",DJ179=""),"",IFERROR(_xlfn.XLOOKUP(DJ179,Модули_умолч[Управление],Модули_умолч[Модель])&amp;"",""))</f>
        <v/>
      </c>
      <c r="GY179">
        <f>IF(DJ179="",1,IFERROR(MAX(0,N(_xlfn.XLOOKUP(DJ179,Модули_умолч[Управление],Модули_умолч[Каналов на линию]))),1))</f>
        <v>1</v>
      </c>
      <c r="GZ179" t="str">
        <f t="shared" si="364"/>
        <v/>
      </c>
      <c r="HA179" t="str">
        <f t="shared" si="365"/>
        <v/>
      </c>
      <c r="HB179" t="str">
        <f t="shared" si="366"/>
        <v/>
      </c>
      <c r="HC179">
        <f>IF(HB179="",0,IFERROR(N(VLOOKUP(HB179,Модули_спр,3,FALSE)),0))</f>
        <v>0</v>
      </c>
      <c r="HD179" t="str">
        <f t="shared" si="367"/>
        <v/>
      </c>
      <c r="HE179" t="str">
        <f t="shared" si="368"/>
        <v/>
      </c>
      <c r="HF179" t="str">
        <f>IF(OR(HE179="",HE179="-"),"",IFERROR(VLOOKUP(HE179,Модули_спр,2,FALSE),"R"))</f>
        <v/>
      </c>
      <c r="HG179" t="str">
        <f>IF(HF179="","",HF179&amp;"."&amp;COUNTIFS(A$3:A179,A179,HF$3:HF179,HF179))</f>
        <v/>
      </c>
      <c r="HH179" t="str">
        <f t="shared" si="369"/>
        <v/>
      </c>
      <c r="HI179" t="str">
        <f t="shared" si="370"/>
        <v/>
      </c>
      <c r="HJ179" t="str">
        <f t="shared" si="371"/>
        <v/>
      </c>
      <c r="HK179" t="str">
        <f t="shared" si="372"/>
        <v/>
      </c>
      <c r="HL179">
        <f t="shared" si="373"/>
        <v>1</v>
      </c>
      <c r="HM179" t="str">
        <f>IF(HL179=1,"XT"&amp;COUNTIFS(A$3:A179,A179,HL$3:HL179,1),"")</f>
        <v>XT25</v>
      </c>
      <c r="HN179" t="str">
        <f t="shared" si="374"/>
        <v>XT25</v>
      </c>
      <c r="HO179" t="str">
        <f t="shared" si="375"/>
        <v>QF25</v>
      </c>
      <c r="HP179" t="str">
        <f t="shared" si="376"/>
        <v/>
      </c>
      <c r="HQ179" t="str">
        <f t="shared" si="377"/>
        <v>ok</v>
      </c>
      <c r="HR179" t="str">
        <f>IF(OR(HJ179="",HH179=""),"",IF(HJ179+MAX(0,GY179-1)&gt;IFERROR(VLOOKUP(HI179,Модули_спр,3,FALSE),99),"ЛИШНИЙ КАНАЛ",IF(AND(AL179&lt;&gt;"=",GY179&gt;0,COUNTIFS(Линии[_модуль гр.],HH179,Линии[Канал (итог)],HJ179,Линии[Канал],"&lt;&gt;=",Линии[Щит],A179)&gt;1),"ДУБЛЬ КАНАЛА","")))</f>
        <v/>
      </c>
      <c r="HS179" s="6" t="str">
        <f t="shared" si="378"/>
        <v/>
      </c>
      <c r="HT179">
        <f t="shared" si="379"/>
        <v>10</v>
      </c>
      <c r="HU179" t="str">
        <f t="shared" si="380"/>
        <v/>
      </c>
      <c r="HV179">
        <f t="shared" si="381"/>
        <v>1.4539268258329749</v>
      </c>
      <c r="HW179">
        <f t="shared" si="382"/>
        <v>0</v>
      </c>
      <c r="HX179">
        <f t="shared" si="383"/>
        <v>0</v>
      </c>
      <c r="HY179">
        <f t="shared" si="384"/>
        <v>0</v>
      </c>
      <c r="HZ179">
        <f t="shared" si="385"/>
        <v>0</v>
      </c>
      <c r="IA179">
        <f t="shared" si="386"/>
        <v>0</v>
      </c>
      <c r="IB179">
        <f t="shared" si="387"/>
        <v>0</v>
      </c>
      <c r="IC179" t="str">
        <f t="shared" si="388"/>
        <v/>
      </c>
      <c r="ID179" t="str" cm="1">
        <f t="array" ref="ID179">IF(IC179="","",_xlfn.LET(_xlpm.tk,_xlfn.TEXTSPLIT(SUBSTITUTE(SUBSTITUTE(IC179,";"," "),"→"," ")," ",,TRUE),_xlpm.w_,_xlfn._xlws.FILTER(_xlpm.tk,ISNUMBER(--LEFT(_xlpm.tk,1))*((ISNUMBER(SEARCH("W",_xlpm.tk))+ISNUMBER(SEARCH("Вт",_xlpm.tk)))&gt;0),""),IFERROR(--SUBSTITUTE(SUBSTITUTE(UPPER(INDEX(_xlpm.w_,1)),"W",""),"ВТ",""),"")))</f>
        <v/>
      </c>
      <c r="IE179" t="str" cm="1">
        <f t="array" ref="IE179">IF(IC179="","",_xlfn.LET(_xlpm.tk,_xlfn.TEXTSPLIT(SUBSTITUTE(SUBSTITUTE(IC179,";"," "),"→"," ")," ",,TRUE),_xlpm.v_,_xlfn._xlws.FILTER(_xlpm.tk,ISNUMBER(--LEFT(_xlpm.tk,1))*((ISNUMBER(SEARCH("V",_xlpm.tk))+(RIGHT(UPPER(_xlpm.tk))="В"))&gt;0),""),IFERROR(--SUBSTITUTE(SUBSTITUTE(UPPER(INDEX(_xlpm.v_,1)),"V",""),"В",""),"")))</f>
        <v/>
      </c>
      <c r="IF179" s="6" t="str">
        <f>IF(OR(BV179=0,HI179="",HJ179=""),"",IFERROR(N(_xlfn.XLOOKUP(HI179,Каталог!$C$4:$C$500,Каталог!$Q$4:$Q$500)),""))</f>
        <v/>
      </c>
      <c r="IG179" s="6" t="str">
        <f>IF(N(IF179)=0,"",SUMIFS(Линии[Iр, А],Линии[Щит],A179,Линии[_модуль гр.],HH179,Линии[Канал (итог)],HJ179))</f>
        <v/>
      </c>
      <c r="IH179" t="str">
        <f>IF(AND(B179="",HO179=""),"",_xlfn.TEXTJOIN("; ",TRUE,IF(AND(B179&lt;&gt;"",FV179=""),"нет фазы",""),IF(AND(B179&lt;&gt;"",N(GL179)=0,FG179&lt;&gt;"Нет"),"нет мощности",""),IF(AND(HN179&lt;&gt;"",COUNTIFS(Линии[Щит],A179,Линии[Клемма (итог)],HN179)&gt;1),"дубль клеммы "&amp;HN179,""),IF(AND(HQ179&lt;&gt;"",HQ179&lt;&gt;"ok"),HQ179,""),IF(HR179&lt;&gt;"",HR179,""),IF(AND(N(CB179)&gt;=4,N(BX179)=1),CB179&amp;" жил на 1 фазе",""),IF(AND(BC179="R",CG179=1,IF(CS179&lt;&gt;"",N(CV179)&gt;30,OR(N(DA179)=0,N(DA179)&gt;30))),"розетка без дифзащиты до 30 мА",""),IF(AND(CG179=1,N(DA179)&gt;0,ISNUMBER(T179)),IF(T179&gt;N(DA179)/3,"ток утечки "&amp;FIXED(T179,1)&amp;" мА &gt; 1/3 уставки ("&amp;DA179&amp;" мА)",""),""),IF(AND(CH179=1,CS179=""),"«узо»: нет строки с УЗО выше (УЗО 2P 40А 30мА в «Аппаратах»)",""),IF(AND(CS179&lt;&gt;"",CS179=BA179),IF(CT179="","впишите номинал УЗО (УЗО 2P 40А 30мА)",IF(N(CT179)&lt;N(DT179),"УЗО "&amp;CT179&amp;" А &lt; автомата "&amp;DT179&amp;" А перед ним",IF(N(CT179)&lt;N(CX179),"УЗО "&amp;CT179&amp;" А &lt; тока блока "&amp;FIXED(CX179,1)&amp;" А",""))),""),IF(AND(CS179&lt;&gt;"",CS179=BA179,ISNUMBER(CY179)),IF(CY179&gt;N(CV179)/3,"ток утечки блока УЗО "&amp;FIXED(CY179,1)&amp;" мА &gt; 1/3 уставки ("&amp;CV179&amp;" мА)",""),""),IF(AND(CG179=1,N(BV179)+N(IB179)&gt;0,IC179=""),"линии до 50 В без БП: впишите в «Аппараты» (БП 24V 480W)",""),IF(AND(CG179=1,ISNUMBER(ID179),ISNUMBER(U179)),IF(U179&gt;ID179,"БП "&amp;ID179&amp;" Вт &lt; нужно "&amp;U179&amp;" Вт (×"&amp;Запас_БП&amp;")",""),""),IF(AND(CG179=1,ISNUMBER(IE179),N(BV179)=1),IF(IE179&lt;&gt;N(BU179),"БП на "&amp;IE179&amp;" В, линия "&amp;BU179&amp;" В",""),""),IF(AND(N(IF179)&gt;0,N(IG179)&gt;N(IF179)),HH179&amp;" канал "&amp;HJ179&amp;": "&amp;FIXED(IG179,1)&amp;" А &gt; "&amp;IF179&amp;" А",""),IFERROR(IF(AND(ISNUMBER(Q179),Q179&gt;EL179),"потери "&amp;FIXED(Q179,1)&amp;" % &gt; "&amp;EL179&amp;" %",""),""),IFERROR(IF(LEFT(HU179,4)="мало","Iкз мало — отключение &gt; 0,4 с",""),""),IF(AND(B179&lt;&gt;"",BM179=""),"не на схеме",""),IF(AND(CG179=0,B179&lt;&gt;"",FV179&lt;&gt;"",IF(BA179=1,"",FW178)&lt;&gt;"",FV179&lt;&gt;IF(BA179=1,"",FW178)),"фаза не как у автомата группы ("&amp;IF(BA179=1,"",FW178)&amp;")","")))</f>
        <v/>
      </c>
      <c r="II179" s="6">
        <f>IF(OR(CG179=0,DQ179=""),"",_xlfn.LET(_xlpm.t,IFERROR(_xlfn.XLOOKUP(DQ179,Каталог!$U$4:$U$500,Каталог!$G$4:$G$500),""),_xlpm.k,SEARCH("кА",_xlpm.t),IFERROR(--TRIM(RIGHT(SUBSTITUTE(MID(_xlpm.t,MAX(1,_xlpm.k-4),_xlpm.k-MAX(1,_xlpm.k-4))," ",REPT(" ",9)),5)),"")))</f>
        <v>6</v>
      </c>
      <c r="IJ179" t="str">
        <f>IF(OR(II179="",CG179=0),"",IF(_xlfn.XLOOKUP(A179,Щиты[Щит],Щиты[Iкз max на шинах, кА],"")="","",IF(II179&lt;_xlfn.XLOOKUP(A179,Щиты[Щит],Щиты[Iкз max на шинах, кА]),"Icu "&amp;II179&amp;" кА &lt; Iкз max","ok")))</f>
        <v/>
      </c>
      <c r="IK179" t="str">
        <f t="shared" si="389"/>
        <v/>
      </c>
      <c r="IL179" t="str">
        <f t="shared" si="390"/>
        <v>QF25|XT25</v>
      </c>
      <c r="IM179" t="str">
        <f t="shared" si="391"/>
        <v>QF25|XT25|кабель ВВГнг(А)-LS (3х2,5) → Шкаф телекоммуникационный ШТК-0 Подвальный этаж Пом. №007Т</v>
      </c>
      <c r="IN179" t="str" cm="1">
        <f t="array" ref="IN179">IF(IM179="","",_xlfn.LET(_xlpm.nd,_xlfn.TEXTSPLIT(IM179,"|"),IF(COLUMNS(_xlpm.nd)&gt;1,A179&amp;"¦"&amp;INDEX(_xlpm.nd,1)&amp;"¦"&amp;INDEX(_xlpm.nd,2),"")))</f>
        <v>ЩР-001¦QF25¦XT25</v>
      </c>
      <c r="IO179" t="str">
        <f t="shared" si="392"/>
        <v>ШТК-0¦Шкаф телекоммуникационный ШТК-0 Подвальный этаж Пом. №007Т</v>
      </c>
      <c r="IP179" t="str" cm="1">
        <f t="array" ref="IP179">IF(IM179="","",_xlfn.LET(_xlpm.nd,_xlfn.TEXTSPLIT(IM179,"|"),IF(COLUMNS(_xlpm.nd)&gt;2,A179&amp;"¦"&amp;INDEX(_xlpm.nd,2)&amp;"¦"&amp;INDEX(_xlpm.nd,3),"")))</f>
        <v>ЩР-001¦XT25¦кабель ВВГнг(А)-LS (3х2,5) → Шкаф телекоммуникационный ШТК-0 Подвальный этаж Пом. №007Т</v>
      </c>
      <c r="IQ179" t="str">
        <f t="shared" si="393"/>
        <v>ШТК-0¦Шкаф телекоммуникационный ШТК-0 Подвальный этаж Пом. №007Т</v>
      </c>
      <c r="IR179" t="str" cm="1">
        <f t="array" ref="IR179">IF(IM179="","",_xlfn.LET(_xlpm.nd,_xlfn.TEXTSPLIT(IM179,"|"),IF(COLUMNS(_xlpm.nd)&gt;3,A179&amp;"¦"&amp;INDEX(_xlpm.nd,3)&amp;"¦"&amp;INDEX(_xlpm.nd,4),"")))</f>
        <v/>
      </c>
      <c r="IS179" t="str">
        <f t="shared" si="394"/>
        <v/>
      </c>
      <c r="IT179" t="str" cm="1">
        <f t="array" ref="IT179">IF(IM179="","",_xlfn.LET(_xlpm.nd,_xlfn.TEXTSPLIT(IM179,"|"),IF(COLUMNS(_xlpm.nd)&gt;4,A179&amp;"¦"&amp;INDEX(_xlpm.nd,4)&amp;"¦"&amp;INDEX(_xlpm.nd,5),"")))</f>
        <v/>
      </c>
      <c r="IU179" t="str">
        <f t="shared" si="395"/>
        <v/>
      </c>
      <c r="IV179" t="str" cm="1">
        <f t="array" ref="IV179">IF(IM179="","",_xlfn.LET(_xlpm.nd,_xlfn.TEXTSPLIT(IM179,"|"),IF(COLUMNS(_xlpm.nd)&gt;5,A179&amp;"¦"&amp;INDEX(_xlpm.nd,5)&amp;"¦"&amp;INDEX(_xlpm.nd,6),"")))</f>
        <v/>
      </c>
      <c r="IW179" t="str">
        <f t="shared" si="396"/>
        <v/>
      </c>
      <c r="IX179" t="str" cm="1">
        <f t="array" ref="IX179">IF(IM179="","",_xlfn.LET(_xlpm.nd,_xlfn.TEXTSPLIT(IM179,"|"),IF(COLUMNS(_xlpm.nd)&gt;6,A179&amp;"¦"&amp;INDEX(_xlpm.nd,6)&amp;"¦"&amp;INDEX(_xlpm.nd,7),"")))</f>
        <v/>
      </c>
      <c r="IY179" t="str">
        <f t="shared" si="397"/>
        <v/>
      </c>
      <c r="IZ179" t="str">
        <f t="shared" si="398"/>
        <v/>
      </c>
      <c r="JA179" t="str">
        <f t="shared" si="399"/>
        <v>QF25 → XT25</v>
      </c>
      <c r="JB179">
        <f t="shared" si="400"/>
        <v>0</v>
      </c>
      <c r="JC179">
        <f t="shared" si="401"/>
        <v>0</v>
      </c>
      <c r="JD179" t="str">
        <f t="shared" si="402"/>
        <v/>
      </c>
      <c r="JE179" t="str">
        <f t="shared" si="403"/>
        <v/>
      </c>
      <c r="JF179" t="str">
        <f t="shared" si="404"/>
        <v/>
      </c>
      <c r="JG179" t="str">
        <f t="shared" si="405"/>
        <v/>
      </c>
      <c r="JH179" t="str">
        <f>IF(B179="","",IFERROR(_xlfn.XLOOKUP(B179,Коды_код,Коды_уго),IFERROR(_xlfn.XLOOKUP(BC179,Коды_код,Коды_уго),IFERROR(_xlfn.XLOOKUP(LEFT(BC179,2),Коды_код,Коды_уго),""))))</f>
        <v/>
      </c>
      <c r="JI179" t="str">
        <f>IF(B179="","",IF(OR(JH179="",JH179=0),"BOX",IFERROR(IF(VLOOKUP(JH179,УГО_блоки,3,FALSE)&amp;""&lt;&gt;"",VLOOKUP(JH179,УГО_блоки,3,FALSE),VLOOKUP(JH179,УГО_блоки,2,FALSE)),JH179)))</f>
        <v>BOX</v>
      </c>
      <c r="JJ179">
        <f t="shared" si="406"/>
        <v>1</v>
      </c>
      <c r="JK179" t="str">
        <f>IF(DQ179="","",IF(COUNTIF(DQ$3:DQ179,DQ179)=1,MAX(JK$2:JK178)+1,""))</f>
        <v/>
      </c>
      <c r="JL179" t="str">
        <f>IF(DE179="","",IF(COUNTIF(DE$3:DE179,DE179)+COUNTIF(DF$2:DF178,DE179)+COUNTIF(DG$2:DG178,DE179)=1,MAX(JL$2:JN178)+1,""))</f>
        <v/>
      </c>
      <c r="JM179" t="str">
        <f>IF(DF179="","",IF(COUNTIF(DE$3:DE179,DF179)+COUNTIF(DF$3:DF179,DF179)+COUNTIF(DG$2:DG178,DF179)=1,MAX(JL$2:JN178,JL179)+1,""))</f>
        <v/>
      </c>
      <c r="JN179" t="str">
        <f>IF(DG179="","",IF(COUNTIF(DE$3:DE179,DG179)+COUNTIF(DF$3:DF179,DG179)+COUNTIF(DG$3:DG179,DG179)=1,MAX(JL$2:JN178,JL179,JM179)+1,""))</f>
        <v/>
      </c>
      <c r="JO179" t="str">
        <f t="shared" si="407"/>
        <v>3х2,5</v>
      </c>
      <c r="JP179" t="str">
        <f>IF(JO179="","",IF(COUNTIF(JO$3:JO179,JO179)=1,MAX(JP$2:JP178)+1,""))</f>
        <v/>
      </c>
      <c r="JQ179" t="str">
        <f>IF(HG179="","",COUNTIF(HG$3:HG179,"?*"))</f>
        <v/>
      </c>
      <c r="JR179" t="str">
        <f>IF(OR(HG179="",HI179=""),"",IF(COUNTIFS(HG$3:HG179,"?*",HI$3:HI179,HI179)=1,MAX(JR$2:JR178)+1,""))</f>
        <v/>
      </c>
      <c r="JS179">
        <f t="shared" si="408"/>
        <v>0</v>
      </c>
      <c r="JT179">
        <f>IF(B179="","",COUNTIF(B$3:B179,"?*"))</f>
        <v>177</v>
      </c>
      <c r="JU179">
        <f>IF(HL179&lt;&gt;1,0,_xlfn.LET(_xlpm.k,MAX(IFERROR(--_xlfn.XLOOKUP(B179,Коды_код,Коды_3L),0),IFERROR(--_xlfn.XLOOKUP(BC179,Коды_код,Коды_3L),0),IFERROR(--_xlfn.XLOOKUP(LEFT(BC179,2),Коды_код,Коды_3L),0)),IF(_xlpm.k&gt;0,_xlpm.k,IF(IFERROR(--LEFT(SUBSTITUTE(JO179,"x","х"),FIND("х",SUBSTITUTE(JO179,"x","х"))-1),3)&gt;3,Каталог!$S$9,1))))</f>
        <v>1</v>
      </c>
      <c r="JV179">
        <f t="shared" si="409"/>
        <v>0</v>
      </c>
      <c r="JW179" t="str">
        <f t="shared" si="410"/>
        <v>авто</v>
      </c>
      <c r="JX179" t="str">
        <f t="shared" si="411"/>
        <v/>
      </c>
      <c r="JY179">
        <f t="shared" si="412"/>
        <v>0</v>
      </c>
      <c r="JZ179">
        <f t="shared" si="413"/>
        <v>1</v>
      </c>
    </row>
    <row r="180" spans="1:286" x14ac:dyDescent="0.3">
      <c r="A180" t="s">
        <v>753</v>
      </c>
      <c r="B180" t="s">
        <v>1488</v>
      </c>
      <c r="C180" t="s">
        <v>1693</v>
      </c>
      <c r="D180">
        <v>1</v>
      </c>
      <c r="E180">
        <v>2.7</v>
      </c>
      <c r="G180">
        <v>16</v>
      </c>
      <c r="H180" t="str">
        <f>Линии[[#This Row],[_авто управление]]</f>
        <v/>
      </c>
      <c r="I180" t="str">
        <f>Линии[[#This Row],[_авто аппараты]]</f>
        <v/>
      </c>
      <c r="J180">
        <v>2.5</v>
      </c>
      <c r="K180">
        <v>35</v>
      </c>
      <c r="L180">
        <v>1</v>
      </c>
      <c r="M180" t="str">
        <f>Линии[[#This Row],[_авто клемма]]</f>
        <v>XT26</v>
      </c>
      <c r="N180" t="str">
        <f t="shared" si="276"/>
        <v>потери 5,1 % &gt; 4 %</v>
      </c>
      <c r="O180" s="6" cm="1">
        <f t="array" ref="O180">IF(B180="","",IF(BH180&lt;&gt;"",IFERROR(_xlfn.XLOOKUP(BH180,Щиты[Щит],Щиты[Iр, А]),""),IF(BP180=1,IF(OR(N(_xlfn.XLOOKUP(A180,Щиты[Щит],Щиты[Вводов],1))&lt;=1,LOWER(TRIM(_xlfn.XLOOKUP(A180,Щиты[Щит],Щиты[АВР],"")&amp;""))="да"),IFERROR(_xlfn.XLOOKUP(A180,Щиты[Щит],Щиты[Iр, А]),""),IFERROR(N(BS180)*_xlfn.XLOOKUP(A180,Щиты[Щит],Щиты[Кс итог])/(SQRT(3)*Uн_лин*_xlfn.XLOOKUP(A180,Щиты[Щит],Щиты[cos φ])),"")),IF(BV180=1,IFERROR(BS180*1000/BU180,""),IFERROR(_xlfn.IFS(BX180=1,BS180/((Uн_лин/SQRT(3))*CE180),BX180=3,BS180/(SQRT(3)*Uн_лин*CE180)),"")))))</f>
        <v>12.306676790620971</v>
      </c>
      <c r="P180" s="7">
        <f>IF(B180="","",IFERROR(IF(VLOOKUP(BC180,Потребители_обозначение,4,FALSE)=1,VLOOKUP(BC180,Потребители_обозначение,3,FALSE)*(MAX(1,N(D180))*2-1)+EI180+VLOOKUP(BE180,Этаж_обозначение,3,FALSE)+VLOOKUP(BE180,Этаж_обозначение,4,FALSE),VLOOKUP(BC180,Потребители_обозначение,3,FALSE)*(MAX(1,N(D180))*2-1)+EI180),EI180))</f>
        <v>38</v>
      </c>
      <c r="Q180" s="6">
        <f t="shared" si="277"/>
        <v>5.05</v>
      </c>
      <c r="R180" t="str">
        <f t="shared" si="278"/>
        <v>ВВГнг(А)-LS (3х2,5)</v>
      </c>
      <c r="S180" t="str">
        <f>IF(BM180="","",IF(BN180="вводной узел","узел ","")&amp;"л."&amp;(INT((BM180-1)/Столбцов_на_лист)+1)&amp;" / "&amp;(MOD(BM180-1,Столбцов_на_лист)+1))</f>
        <v>л.3 / 3</v>
      </c>
      <c r="T180" s="119">
        <f t="shared" si="279"/>
        <v>5.3</v>
      </c>
      <c r="U180" s="7" t="str">
        <f>IF(OR(CG180=0,N(BV180)+N(IB180)=0),"",ROUNDUP(Запас_БП*(N(HY180)+N(HZ180)),0))</f>
        <v/>
      </c>
      <c r="V180" s="119" t="str">
        <f t="shared" si="280"/>
        <v/>
      </c>
      <c r="W180" s="7" t="str">
        <f>IFERROR(IF(OR(B180="",BP180=1,BV180=1,NOT(ISNUMBER(EN180)),N(DT180)=0),"",MAX(0,ROUNDDOWN((c_min*(Uн_лин*1000/SQRT(3))/(HT180*N(DT180))-_xlfn.XLOOKUP(A180,Щиты[Щит],Щиты[Zпетли на шинах, Ом]))*EN180/(2*ρкз_Cu),0))),"")</f>
        <v/>
      </c>
      <c r="Y180" t="str">
        <f>Линии[[#This Row],[_авто утечка]]</f>
        <v/>
      </c>
      <c r="Z180">
        <v>1</v>
      </c>
      <c r="AA180">
        <v>230</v>
      </c>
      <c r="AB180" t="s">
        <v>573</v>
      </c>
      <c r="AG180" t="s">
        <v>810</v>
      </c>
      <c r="AI180" t="s">
        <v>572</v>
      </c>
      <c r="AK180" t="str">
        <f>Линии[[#This Row],[_авто модуль]]</f>
        <v/>
      </c>
      <c r="AM180">
        <v>37</v>
      </c>
      <c r="AN180" t="s">
        <v>11</v>
      </c>
      <c r="AO180">
        <v>3</v>
      </c>
      <c r="AQ180">
        <v>17</v>
      </c>
      <c r="AR180">
        <v>13</v>
      </c>
      <c r="BA180" cm="1">
        <f t="array" ref="BA180">ROW()-ROW(Линии[#Headers])</f>
        <v>178</v>
      </c>
      <c r="BC180" s="6" t="str">
        <f t="shared" si="281"/>
        <v>ШТК-ЛВС</v>
      </c>
      <c r="BD180" t="str">
        <f t="shared" si="282"/>
        <v>00</v>
      </c>
      <c r="BE180" t="str">
        <f t="shared" si="283"/>
        <v>00</v>
      </c>
      <c r="BF180" t="str">
        <f t="shared" si="284"/>
        <v/>
      </c>
      <c r="BG180" t="str">
        <f t="shared" si="285"/>
        <v/>
      </c>
      <c r="BH180" t="str">
        <f>IF(X180&lt;&gt;"",X180,IF(AND(B180&lt;&gt;"",B180&lt;&gt;A180,ISNUMBER(_xlfn.XMATCH(B180,Щиты[Щит]))),B180,""))</f>
        <v/>
      </c>
      <c r="BI180" t="str" cm="1">
        <f t="array" ref="BI180">IF(B180="","",IF(BH180&lt;&gt;"","Щит "&amp;BH180,_xlfn.LET(_xlpm.nm,IFERROR(_xlfn.XLOOKUP(BC180,Коды_код,Коды_имя)&amp;"",""),_xlpm.md,IFERROR(N(_xlfn.XLOOKUP(BC180,Коды_код,Коды_режим)),1),_xlpm.ex,IF(Имя_режим="по экспликации",IFERROR(_xlfn.XLOOKUP(BE180&amp;"|"&amp;BG180,Экспликация[Этаж]&amp;"|"&amp;Экспликация[Помещение],Экспликация[Название])&amp;"",""),""),_xlpm.rm,IF(BG180="","",IF(_xlpm.ex&lt;&gt;"",". "&amp;_xlpm.ex&amp;IF(Имя_пом="нет"," ("&amp;BG180&amp;")"," (пом. "&amp;BG180&amp;")"),IF(Имя_пом="нет"," ",", пом. ")&amp;BG180)),IF(_xlpm.nm="","",IF(_xlpm.md=2,_xlpm.nm&amp;" шлейф "&amp;BE180,_xlpm.nm&amp;_xlpm.rm)))))</f>
        <v>Шкаф телекоммуникационный ЛВС шлейф 00</v>
      </c>
      <c r="BJ180" t="str">
        <f t="shared" si="286"/>
        <v>Шкаф телекоммуникационный ШТК-ЛВС.00  Подвальный этаж Пом. №007Т</v>
      </c>
      <c r="BK180">
        <f>IFERROR(_xlfn.XMATCH(A180,Щиты[Щит]),0)</f>
        <v>8</v>
      </c>
      <c r="BL180">
        <f>_xlfn.LET(_xlpm.k,IFERROR(_xlfn.XLOOKUP(A180,Щиты[Щит],Щиты[Мест под вводной узел]),""),IF(_xlpm.k="",Столбцов_на_лист,N(_xlpm.k)))</f>
        <v>7</v>
      </c>
      <c r="BM180">
        <f t="shared" si="287"/>
        <v>37</v>
      </c>
      <c r="BN180" t="str">
        <f t="shared" si="288"/>
        <v>линии</v>
      </c>
      <c r="BO180" s="6">
        <f>IFERROR(N(_xlfn.XLOOKUP(BC180,Коды_код,Коды_квт)),0)</f>
        <v>0</v>
      </c>
      <c r="BP180">
        <f t="shared" si="289"/>
        <v>0</v>
      </c>
      <c r="BQ180" t="str">
        <f>IF(B180="","",IF(BH180&lt;&gt;"",IFERROR(_xlfn.XLOOKUP(BH180,Щиты[Щит],Щиты[Руст, кВт]),0),IF(BP180=1,IF(OR(N(_xlfn.XLOOKUP(A180,Щиты[Щит],Щиты[Вводов],1))&lt;=1,LOWER(TRIM(_xlfn.XLOOKUP(A180,Щиты[Щит],Щиты[АВР],"")&amp;""))="да"),IFERROR(_xlfn.XLOOKUP(A180,Щиты[Щит],Щиты[Руст, кВт]),0),SUMIFS(Линии[_Р для вводов],Линии[Щит],A180,Линии[Источник для режимов],GF180)),IF(BO180&gt;0,ROUND(BO180*MAX(1,N(D180)),3),""))))</f>
        <v/>
      </c>
      <c r="BR180">
        <f t="shared" si="290"/>
        <v>2.7</v>
      </c>
      <c r="BS180" s="6">
        <f>IF(B180="","",IF(BH180&lt;&gt;"",IFERROR(_xlfn.XLOOKUP(BH180,Щиты[Щит],Щиты[Руст, кВт]),0),N(BR180)))</f>
        <v>2.7</v>
      </c>
      <c r="BT180" t="str">
        <f>IF(B180="","",IFERROR(IF(VLOOKUP(BC180,Потребители_обозначение,8,FALSE)=0,"",VLOOKUP(BC180,Потребители_обозначение,8,FALSE)),""))</f>
        <v/>
      </c>
      <c r="BU180">
        <f t="shared" si="291"/>
        <v>230</v>
      </c>
      <c r="BV180">
        <f t="shared" si="292"/>
        <v>0</v>
      </c>
      <c r="BW180">
        <f>IF(B180="","",IF(BH180&lt;&gt;"",3,IFERROR(IF(N(VLOOKUP(BC180,Потребители_обозначение,9,FALSE))=0,1,VLOOKUP(BC180,Потребители_обозначение,9,FALSE)),1)))</f>
        <v>1</v>
      </c>
      <c r="BX180">
        <f t="shared" si="293"/>
        <v>1</v>
      </c>
      <c r="BY180" t="str">
        <f>IF(B180="","",_xlfn.LET(_xlpm.bc,IFERROR(IF(VLOOKUP(BC180,Потребители_обозначение,6,FALSE)=0,"",VLOOKUP(BC180,Потребители_обозначение,6,FALSE)&amp;""),""),IF(AND(GA180="да",OR(_xlpm.bc="",_xlpm.bc="мс")),Марка_пож,IF(AND(_xlpm.bc="",BH180&lt;&gt;""),"мс",_xlpm.bc))))</f>
        <v/>
      </c>
      <c r="BZ180" t="str">
        <f t="shared" si="294"/>
        <v>мс</v>
      </c>
      <c r="CA180">
        <f>IF(B180="","",_xlfn.LET(_xlpm.cc,IFERROR(N(VLOOKUP(BC180,Потребители_обозначение,7,FALSE)),0),IF(_xlpm.cc&gt;0,_xlpm.cc,IF(BZ180="","",IF(BV180=1,2,IF(N(BX180)=3,5,3))))))</f>
        <v>3</v>
      </c>
      <c r="CB180">
        <f t="shared" si="295"/>
        <v>3</v>
      </c>
      <c r="CC180">
        <f>IFERROR(N(VLOOKUP(BC180,Потребители_обозначение,10,FALSE)),0)</f>
        <v>0</v>
      </c>
      <c r="CD180">
        <f>IFERROR(VLOOKUP(BC180,Потребители_обозначение,5,FALSE),0)</f>
        <v>1</v>
      </c>
      <c r="CE180" s="6" cm="1">
        <f t="array" ref="CE180">IF(B180="","",IF(BH180&lt;&gt;"",IFERROR(_xlfn.XLOOKUP(BH180,Щиты[Щит],Щиты[cos φ]),0.95),IF(BP180=1,IFERROR(_xlfn.XLOOKUP(A180,Щиты[Щит],Щиты[cos φ]),0.95),IF(ISNUMBER(AD180),AD180,IFERROR(IF(CD180=2,_xlfn.IFS(BX180=3,VLOOKUP(BS180,Справочная_двигатели,8,FALSE),BX180=1,VLOOKUP(BS180,Справочная_двигатели,10,TRUE)),IF(AND(Методика="нормы 2026",FG180="Сил"),0.8,0.95)),0.95)))))</f>
        <v>0.95</v>
      </c>
      <c r="CF180">
        <f t="shared" si="296"/>
        <v>0</v>
      </c>
      <c r="CG180">
        <f t="shared" si="297"/>
        <v>1</v>
      </c>
      <c r="CH180">
        <f t="shared" si="298"/>
        <v>0</v>
      </c>
      <c r="CI180">
        <f>IF(B180="","",IF(BV180=1,IFERROR(BS180/((Uн_лин/SQRT(3))*MAX(0.5,N(CE180))),0),N(O180)))</f>
        <v>12.306676790620971</v>
      </c>
      <c r="CJ180">
        <f t="shared" si="299"/>
        <v>0</v>
      </c>
      <c r="CK180">
        <f t="shared" si="300"/>
        <v>0</v>
      </c>
      <c r="CL180">
        <f t="shared" si="301"/>
        <v>0</v>
      </c>
      <c r="CM180">
        <f t="shared" si="302"/>
        <v>0</v>
      </c>
      <c r="CN180">
        <f t="shared" si="303"/>
        <v>0</v>
      </c>
      <c r="CO180">
        <f>IF(BC180="",0,_xlfn.LET(_xlpm.v,IFERROR(_xlfn.XLOOKUP(B180,Коды_код,Коды_мА),IFERROR(_xlfn.XLOOKUP(BC180,Коды_код,Коды_мА),IFERROR(_xlfn.XLOOKUP(LEFT(BC180,2),Коды_код,Коды_мА),""))),IF(_xlpm.v="да",30,IF(ISNUMBER(_xlpm.v),_xlpm.v,0))))</f>
        <v>0</v>
      </c>
      <c r="CP180" t="str">
        <f t="shared" si="304"/>
        <v/>
      </c>
      <c r="CQ180" t="str">
        <f>_xlfn.LET(_xlpm.k,IFERROR(_xlfn.XLOOKUP(BC180,Коды_код,Коды_утечка)&amp;"",""),IF(_xlpm.k="","дифавтомат",_xlpm.k))</f>
        <v>дифавтомат</v>
      </c>
      <c r="CR180" t="str" cm="1">
        <f t="array" ref="CR180">IF(CG180=0,"",_xlfn.LET(_xlpm.sg,TRIM(_xlfn.TEXTSPLIT(DD180&amp;"",";")),_xlpm.f_,_xlfn._xlws.FILTER(_xlpm.sg,LEFT(_xlpm.sg,3)="УЗО",""),IFERROR(INDEX(_xlpm.f_,1)&amp;"","")))</f>
        <v/>
      </c>
      <c r="CS180" t="str">
        <f t="shared" si="305"/>
        <v/>
      </c>
      <c r="CT180" s="6" t="str" cm="1">
        <f t="array" ref="CT180">IF(CR180="","",_xlfn.LET(_xlpm.tk,_xlfn.TEXTSPLIT(UPPER(CR180)," ",,TRUE),_xlpm.a_,_xlfn._xlws.FILTER(_xlpm.tk,ISNUMBER(--LEFT(_xlpm.tk,1))*((ISNUMBER(SEARCH("А",_xlpm.tk))+ISNUMBER(SEARCH("A",_xlpm.tk)))&gt;0)*NOT(ISNUMBER(SEARCH("МА",_xlpm.tk)))*NOT(ISNUMBER(SEARCH("MA",_xlpm.tk))),""),IFERROR(--SUBSTITUTE(SUBSTITUTE(INDEX(_xlpm.a_,1),"А",""),"A",""),"")))</f>
        <v/>
      </c>
      <c r="CU180" t="str" cm="1">
        <f t="array" ref="CU180">IF(CR180="","",_xlfn.LET(_xlpm.tk,_xlfn.TEXTSPLIT(UPPER(CR180)," ",,TRUE),_xlpm.a_,_xlfn._xlws.FILTER(_xlpm.tk,ISNUMBER(--LEFT(_xlpm.tk,1))*((ISNUMBER(SEARCH("МА",_xlpm.tk))+ISNUMBER(SEARCH("MA",_xlpm.tk)))&gt;0),""),IFERROR(--SUBSTITUTE(SUBSTITUTE(INDEX(_xlpm.a_,1),"МА",""),"MA",""),30)))</f>
        <v/>
      </c>
      <c r="CV180" t="str">
        <f>IF(CS180="","",IFERROR(_xlfn.XLOOKUP(CS180,Линии[_n],Линии[_УЗО, мА]),30))</f>
        <v/>
      </c>
      <c r="CW180">
        <f>IF(CS180="",0,IF(ISNUMBER(SEARCH("4P",IFERROR(_xlfn.XLOOKUP(CS180,Линии[_n],Линии[_УЗО строки])&amp;"",""))),0,1))</f>
        <v>0</v>
      </c>
      <c r="CX180" t="str">
        <f>IF(AND(CS180&lt;&gt;"",CS180=BA180),SUMIFS(Линии[_ток на 230 В],Линии[_блок УЗО],BA180,Линии[Щит],A180),"")</f>
        <v/>
      </c>
      <c r="CY180" t="str">
        <f>IF(AND(CS180&lt;&gt;"",CS180=BA180),SUMIFS(Линии[_ток утечки линии, мА],Линии[_блок УЗО],BA180,Линии[Щит],A180),"")</f>
        <v/>
      </c>
      <c r="CZ180">
        <f t="shared" si="306"/>
        <v>0</v>
      </c>
      <c r="DA180">
        <f t="shared" si="307"/>
        <v>0</v>
      </c>
      <c r="DB180">
        <f>IF(B180="",0,IFERROR(--_xlfn.XLOOKUP(B180,Коды_код,Коды_минавт),IFERROR(--_xlfn.XLOOKUP(BC180,Коды_код,Коды_минавт),IFERROR(--_xlfn.XLOOKUP(LEFT(BC180,2),Коды_код,Коды_минавт),0))))</f>
        <v>0</v>
      </c>
      <c r="DC180" t="str">
        <f>IF(B180="","",IFERROR(_xlfn.XLOOKUP(BC180,Коды_код,Коды_апп)&amp;"",""))</f>
        <v/>
      </c>
      <c r="DD180" t="str">
        <f t="shared" si="308"/>
        <v/>
      </c>
      <c r="DE180" t="str" cm="1">
        <f t="array" ref="DE180">IF(TRIM(DD180&amp;"")="","",IFERROR(TRIM(INDEX(_xlfn.TEXTSPLIT(DD180&amp;";;;",";"),1)),""))</f>
        <v/>
      </c>
      <c r="DF180" t="str" cm="1">
        <f t="array" ref="DF180">IF(TRIM(DD180&amp;"")="","",IFERROR(TRIM(INDEX(_xlfn.TEXTSPLIT(DD180&amp;";;;",";"),2)),""))</f>
        <v/>
      </c>
      <c r="DG180" t="str" cm="1">
        <f t="array" ref="DG180">IF(TRIM(DD180&amp;"")="","",IFERROR(TRIM(INDEX(_xlfn.TEXTSPLIT(DD180&amp;";;;",";"),3)),""))</f>
        <v/>
      </c>
      <c r="DH180">
        <f t="shared" si="309"/>
        <v>0</v>
      </c>
      <c r="DI180" t="str">
        <f>IF(B180="","",_xlfn.LET(_xlpm.t,LOWER(AZ180&amp;""),IF(ISNUMBER(SEARCH("dim",_xlpm.t)),"DIM",IF(ISNUMBER(SEARCH("dali",_xlpm.t)),"DALI",IF(OR(ISNUMBER(SEARCH("relay",_xlpm.t)),ISNUMBER(SEARCH("реле",_xlpm.t))),"Relay",IF(ISNUMBER(SEARCH("кнопк",_xlpm.t)),"",IFERROR(_xlfn.XLOOKUP(BC180,Коды_код,Коды_упр)&amp;"","")))))))</f>
        <v/>
      </c>
      <c r="DJ180" t="str">
        <f t="shared" si="310"/>
        <v/>
      </c>
      <c r="DK180">
        <f>IF(B180="","",_xlfn.LET(_xlpm.ig,IF(N(CX180)&gt;0,N(CX180),N(CI180)+IF(AJ180="вручную",0,N(CJ180))),_xlpm.n0,IFERROR(VLOOKUP(_xlpm.ig,Автомат_номиналы,2,TRUE),0),_xlpm.mn,MAX(DB180,IF(AJ180="вручную",0,N(CM180))),MAX(_xlpm.n0,_xlpm.mn,IF(DH180=1,Мин_автомат_БП,0))))</f>
        <v>16</v>
      </c>
      <c r="DL180">
        <f t="shared" si="311"/>
        <v>1</v>
      </c>
      <c r="DM180" t="str">
        <f t="shared" si="312"/>
        <v>1P</v>
      </c>
      <c r="DN180" t="str">
        <f>_xlfn.LET(_xlpm.cc,UPPER(TRIM(IFERROR(_xlfn.XLOOKUP(BC180,Коды_код,Коды_хар)&amp;"",""))),IF(OR(_xlpm.cc="B",_xlpm.cc="В"),"B",IF(_xlpm.cc="D","D","С")))</f>
        <v>С</v>
      </c>
      <c r="DO180" t="str">
        <f t="shared" si="313"/>
        <v>1P С16А</v>
      </c>
      <c r="DP180">
        <f t="shared" si="314"/>
        <v>16</v>
      </c>
      <c r="DQ180" t="str">
        <f t="shared" si="315"/>
        <v>1P С16А</v>
      </c>
      <c r="DR180" cm="1">
        <f t="array" ref="DR180">IF(DQ180="","",_xlfn.LET(_xlpm.t,SUBSTITUTE(SUBSTITUTE(SUBSTITUTE(UPPER(DQ180),"С","C"),"А","A"),"В","B"),_xlpm.tk,_xlfn.TEXTSPLIT(_xlpm.t," "),_xlpm.f,_xlfn._xlws.FILTER(_xlpm.tk,ISNUMBER(--MID(_xlpm.tk,2,1))*ISNUMBER(SEARCH(LEFT(_xlpm.tk,1)&amp;"#","B#C#D#"))*(LEN(_xlpm.tk)&gt;1),""),_xlpm.x,INDEX(_xlpm.f,1),IFERROR(--SUBSTITUTE(MID(_xlpm.x,2,9),"A",""),IFERROR(--SUBSTITUTE(INDEX(_xlfn._xlws.FILTER(_xlpm.tk,ISNUMBER(--SUBSTITUTE(_xlpm.tk,"A","")),""),1),"A",""),""))))</f>
        <v>16</v>
      </c>
      <c r="DS180" t="str">
        <f t="shared" si="316"/>
        <v>ok</v>
      </c>
      <c r="DT180">
        <f t="shared" si="317"/>
        <v>16</v>
      </c>
      <c r="DU180" t="str">
        <f t="shared" si="318"/>
        <v>1P С16А</v>
      </c>
      <c r="DV180">
        <f t="shared" si="319"/>
        <v>0</v>
      </c>
      <c r="DW180">
        <f t="shared" si="320"/>
        <v>0</v>
      </c>
      <c r="DX180">
        <f t="shared" si="321"/>
        <v>0</v>
      </c>
      <c r="DY180">
        <f t="shared" si="322"/>
        <v>12.306676790620971</v>
      </c>
      <c r="DZ180">
        <f t="shared" si="323"/>
        <v>1</v>
      </c>
      <c r="EA180">
        <f>IF(ISNUMBER(AP180),AP180,К_прокл)</f>
        <v>1</v>
      </c>
      <c r="EB180">
        <f t="shared" si="324"/>
        <v>2</v>
      </c>
      <c r="EC180">
        <f>IFERROR(N(VLOOKUP(BZ180,Кабель_обозначение,3,FALSE)),1)</f>
        <v>1</v>
      </c>
      <c r="ED180">
        <f>IFERROR(N(_xlfn.XLOOKUP(A180,Щиты[Щит],Щиты[ΔU до шин, %])),0)</f>
        <v>1.57</v>
      </c>
      <c r="EE180" t="str">
        <f>IFERROR(_xlfn.XLOOKUP(A180,Щиты[Щит],Щиты[Zпетли на шинах, Ом]),"")</f>
        <v/>
      </c>
      <c r="EF180">
        <f>IFERROR(N(_xlfn.XLOOKUP(A180,Щиты[Щит],Щиты[ΔU до шин (подбор), %])),0)</f>
        <v>2.5</v>
      </c>
      <c r="EG180" t="str">
        <f>IFERROR(_xlfn.XLOOKUP(A180,Щиты[Щит],Щиты[Zпетли на шинах (подбор), Ом]),"")</f>
        <v/>
      </c>
      <c r="EH180" t="str">
        <f t="shared" si="325"/>
        <v/>
      </c>
      <c r="EI180">
        <f t="shared" si="326"/>
        <v>35</v>
      </c>
      <c r="EJ180">
        <f t="shared" si="327"/>
        <v>2</v>
      </c>
      <c r="EK180">
        <f t="shared" si="328"/>
        <v>0.31</v>
      </c>
      <c r="EL180" s="6">
        <f>IF(B180="","",IF(BV180=1,dU_LED,IF(IFERROR(_xlfn.XLOOKUP(BC180,Коды_код,Коды_уго),"")="Светильник",3,4)+IF(Методика="нормы 2026",MIN(0.5,MAX(0,N(P180)-100)*0.005),0)))</f>
        <v>4</v>
      </c>
      <c r="EM180" cm="1">
        <f t="array" ref="EM180">IF(OR(B180="",BZ180="",EC180&lt;&gt;1),"",_xlfn.LET(_xlpm.sz,Iдоп_S,_xlpm.t_,CHOOSE(EB180,Iдоп_1ж,Iдоп_2ж,Iдоп_3ж)*DZ180*EA180,_xlpm.dcx,BV180=1,_xlpm.inn,IF(_xlpm.dcx,N(O180),N(DT180)),_xlpm.smin,MAX(1.5,CC180),_xlpm.L_,N(P180)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180)/N(BU180)*100,999),IFERROR(N(EJ180)*(_xlpm.rho*_xlpm.L_/_xlpm.sz*N(CE180)+_xlpm.xx*_xlpm.L_*N(EK180)/1000)*N(O180)/((Uн_лин/SQRT(3))*1000)*100,999)),_xlpm.kz,IF(OR(_xlpm.dcx,DW180=1,NOT(ISNUMBER(EG180)),_xlpm.L_=0,_xlpm.inn=0),1,IFERROR(--(c_min*(Uн_лин*1000/SQRT(3))/(EG180+2*ρкз_Cu*_xlpm.L_/_xlpm.sz)&gt;=HT180*_xlpm.inn),0)),_xlpm.ok,IFERROR((_xlpm.sz&gt;=_xlpm.smin)*(_xlpm.t_&gt;=_xlpm.inn)*IF(_xlpm.L_&gt;0,(_xlpm.du_+IF(_xlpm.dcx,0,EF180)&lt;=EL180+0.00001),1)*_xlpm.kz,0),_xlpm.r_,_xlfn._xlws.FILTER(_xlpm.sz,_xlpm.ok,"не подобрано"),INDEX(_xlpm.r_,1)))</f>
        <v>6</v>
      </c>
      <c r="EN180">
        <f t="shared" si="329"/>
        <v>2.5</v>
      </c>
      <c r="EO180" cm="1">
        <f t="array" ref="EO180">IF(OR(B180="",BZ180="",EC180&lt;&gt;1),"",_xlfn.LET(_xlpm.sz,Iдоп_S,_xlpm.t_,CHOOSE(EB180,Iдоп_1ж,Iдоп_2ж,Iдоп_3ж)*DZ180*EA180,_xlpm.ok,IFERROR((_xlpm.sz&gt;=MAX(1.5,CC180))*(_xlpm.t_&gt;=N(DT180)),0),_xlpm.r_,_xlfn._xlws.FILTER(_xlpm.sz,_xlpm.ok,""),INDEX(_xlpm.r_,1)))</f>
        <v>1.5</v>
      </c>
      <c r="EP180" s="6" cm="1">
        <f t="array" ref="EP180">IFERROR(ROUNDUP(N(EJ180)*(_xlfn.XLOOKUP(EO180,INDEX(Кабель_сопротивление,0,1),INDEX(Кабель_сопротивление,0,3))*N(P180)/EO180*N(CE180)+_xlfn.XLOOKUP(EO180,INDEX(Кабель_сопротивление,0,1),INDEX(Кабель_сопротивление,0,2))*N(P180)*N(EK180)/1000)*N(O180)/((Uн_лин/SQRT(3))*1000)*100,2),"")</f>
        <v>5.79</v>
      </c>
      <c r="EQ180">
        <f>IFERROR(2*ρкз_Cu*N(P180)/EO180,"")</f>
        <v>1.3325333333333333</v>
      </c>
      <c r="ER180">
        <f>IFERROR(VLOOKUP(EN180,Кабель_сопротивление,3,FALSE),"")</f>
        <v>2.2499999999999999E-2</v>
      </c>
      <c r="ES180">
        <f>IFERROR(VLOOKUP(EN180,Кабель_сопротивление,2,FALSE),"")</f>
        <v>0.1</v>
      </c>
      <c r="ET180">
        <f t="shared" si="330"/>
        <v>13</v>
      </c>
      <c r="EU180" t="str">
        <f t="shared" si="331"/>
        <v/>
      </c>
      <c r="EV180">
        <f t="shared" si="332"/>
        <v>8.025873109064209</v>
      </c>
      <c r="EW180" s="6">
        <f>IFERROR(ROUNDUP(EV180/IF(BV180=1,BU180,(Uн_лин/SQRT(3))*1000)*100,2),"")</f>
        <v>3.48</v>
      </c>
      <c r="EX180" t="str">
        <f>IFERROR(VLOOKUP(BZ180,Кабель_обозначение,2,FALSE),"")</f>
        <v>ВВГнг(А)-LS</v>
      </c>
      <c r="EY180" t="str">
        <f t="shared" si="333"/>
        <v>ВВГнг(А)-LS (3х2,5)</v>
      </c>
      <c r="EZ180" t="str">
        <f t="shared" si="334"/>
        <v>ВВГнг(А)-LS (3х2,5)
L=38-3,48%</v>
      </c>
      <c r="FA180">
        <f>IFERROR(2*ρкз_Cu*P180/EN180,"")</f>
        <v>0.79952000000000001</v>
      </c>
      <c r="FB180">
        <f t="shared" si="335"/>
        <v>0.26600000000000001</v>
      </c>
      <c r="FC180" s="6" t="str">
        <f>IFERROR(IF(OR(B180="",BV180=1,NOT(ISNUMBER(EN180)),N(P180)=0),"",_xlfn.XLOOKUP(A180,Щиты[Щит],Щиты[Zпетли на шинах, Ом])+FA180),"")</f>
        <v/>
      </c>
      <c r="FD180" s="6" t="str">
        <f>IF(ISNUMBER(FC180),c_min*(Uн_лин*1000/SQRT(3))/FC180,"")</f>
        <v/>
      </c>
      <c r="FE180" s="6" t="str">
        <f>IFERROR(IF(OR(B180="",NOT(ISNUMBER(EN180))),"",1.05*(Uн_лин*1000/SQRT(3))/(_xlfn.XLOOKUP(A180,Щиты[Щит],Щиты[Zmax на шинах, Ом])+FB180)/1000),"")</f>
        <v/>
      </c>
      <c r="FF180" s="6" t="str">
        <f>IF(B180="","",IF(ISNUMBER(AC180),"Сил",IF(IFERROR(_xlfn.XLOOKUP(BC180,Коды_код,Коды_группа)&amp;"","")="","Быт",_xlfn.XLOOKUP(BC180,Коды_код,Коды_группа)&amp;"")))</f>
        <v>Быт</v>
      </c>
      <c r="FG180" s="6" t="str">
        <f t="shared" si="336"/>
        <v>Пост</v>
      </c>
      <c r="FH180" s="6">
        <f>IF(FG180="Щит","щит",IF(FG180="","",IF(FG180="Быт",IFERROR(_xlfn.XLOOKUP(A180,Щиты[Щит],Щиты[Кс быт]),1),IF(FG180="Сил",IF(ISNUMBER(AC180),AC180,IF(Методика="нормы 2026",IFERROR(_xlfn.XLOOKUP(A180,Щиты[Щит],Щиты[Кс силовых (табл. 7.5)]),1),1)),IF(OR(FG180="Пост",FG180="Отоп"),1,IF(FG180="ВНГ",0.7,0))))))</f>
        <v>1</v>
      </c>
      <c r="FI180">
        <f>IF(FG180="","",IF(AND(BP180=1,TRIM(AE180&amp;"")=""),IF(COUNTIFS(Линии[Щит],A180,Линии[Секция (1/2/3)],"&gt;=2")&gt;0,MIN(3,MAX(1,IFERROR(--BD180,1))),1),IFERROR(MIN(3,MAX(1,INT(--AE180))),1)))</f>
        <v>1</v>
      </c>
      <c r="FJ180">
        <f t="shared" si="337"/>
        <v>2.7</v>
      </c>
      <c r="FK180">
        <f t="shared" si="338"/>
        <v>0</v>
      </c>
      <c r="FL180">
        <f t="shared" si="339"/>
        <v>0</v>
      </c>
      <c r="FM180">
        <f t="shared" si="340"/>
        <v>2.7</v>
      </c>
      <c r="FN180">
        <f t="shared" si="341"/>
        <v>0</v>
      </c>
      <c r="FO180">
        <f t="shared" si="342"/>
        <v>0</v>
      </c>
      <c r="FP180">
        <f t="shared" si="343"/>
        <v>2.7</v>
      </c>
      <c r="FQ180">
        <f t="shared" si="344"/>
        <v>2.7</v>
      </c>
      <c r="FR180">
        <f t="shared" si="345"/>
        <v>2.5649999999999999</v>
      </c>
      <c r="FS180">
        <f>IF(CG180=1,IF(AND(CH180=1,CW180=1),0,IF(AND(CS180&lt;&gt;"",CS180=BA180,CW180=1),SUMIFS(Линии[_Р линии, кВт],Линии[_блок УЗО],BA180,Линии[Щит],A180),N(BS180)+IF(AJ180="вручную",0,N(CK180)))),0)</f>
        <v>2.7</v>
      </c>
      <c r="FT180" t="str">
        <f t="shared" si="346"/>
        <v>L1</v>
      </c>
      <c r="FU180" t="str">
        <f>IF(B180="","",IF(CG180=0,IF(BA180=1,"",FW179),IF(AND(CH180=1,CW180=1,CS180&lt;&gt;""),IFERROR(_xlfn.XLOOKUP(CS180,Линии[_n],Линии[_фаза итог]),"L1"),IF(OR(N(DL180)&gt;=3,N(BX180)&gt;=3),"L1,L2,L3",IFERROR(_xlfn.TEXTBEFORE(_xlfn.TEXTAFTER(_xlfn.XLOOKUP(A180,Щиты[Щит],Щиты[_фазы авто]),";"&amp;BA180&amp;":"),";"),"L1")))))</f>
        <v>L1</v>
      </c>
      <c r="FV180" t="str">
        <f t="shared" si="347"/>
        <v>L1</v>
      </c>
      <c r="FW180" t="str">
        <f t="shared" si="348"/>
        <v>L1</v>
      </c>
      <c r="FX180" cm="1">
        <f t="array" ref="FX180">IFERROR(IF(CD180=2,_xlfn.IFS(BX180=3,VLOOKUP(BS180,Справочная_двигатели,3,FALSE),BX180=1,VLOOKUP(BS180,Справочная_двигатели,5,TRUE)),0),0)</f>
        <v>0</v>
      </c>
      <c r="FY180">
        <f>IFERROR(IF(CD180=3,VLOOKUP(BS180,Справочная_ЛЭД,2,TRUE),0),0)</f>
        <v>0</v>
      </c>
      <c r="FZ180" s="6">
        <f t="shared" si="349"/>
        <v>0</v>
      </c>
      <c r="GA180" t="str">
        <f>IF(B180="","",IF(TRIM(AH180&amp;"")&lt;&gt;"",IF(LOWER(TRIM(AH180&amp;""))="да","да","нет"),IF(IFERROR(_xlfn.XLOOKUP(BC180,Коды_код,Коды_пожарная),"")="да","да","нет")))</f>
        <v>нет</v>
      </c>
      <c r="GB180" t="str">
        <f t="shared" si="350"/>
        <v/>
      </c>
      <c r="GC180" t="str">
        <f t="shared" si="351"/>
        <v>основная</v>
      </c>
      <c r="GD180">
        <f>IF(AND(BP180=1,TRIM(AE180&amp;"")=""),IF(COUNTIFS(Линии[Щит],A180,Линии[Секция (1/2/3)],"&gt;=2")&gt;0,MIN(3,MAX(1,IFERROR(--BD180,1))),1),IFERROR(MIN(3,MAX(1,INT(--AE180))),1))</f>
        <v>1</v>
      </c>
      <c r="GE180" t="str" cm="1">
        <f t="array" ref="GE180">IF(B180="","",_xlfn.LET(_xlpm.t,IFERROR(_xlfn.XLOOKUP(1,(Шины[Шина]=GC180)*(((Шины[Щит]=A180)+(Шины[Щит]=""))&gt;0),Шины[Тип]),"")&amp;"",IF(_xlpm.t&lt;&gt;"",_xlpm.t,IF(ISNUMBER(SEARCH("ИБП",GC180)),"ИБП",IF(ISNUMBER(SEARCH("ДГУ",GC180)),"ДГУ","Ввод "&amp;GD180)))))</f>
        <v>Ввод 1</v>
      </c>
      <c r="GF180" t="str">
        <f t="shared" si="352"/>
        <v>Ввод 1</v>
      </c>
      <c r="GG180" t="str">
        <f>IF(BP180=0,"",IF(TRIM(AG180&amp;"")&lt;&gt;"",TRIM(AG180&amp;""),IF(OR(GE180="ИБП",GE180="ДГУ"),"I особая",_xlfn.XLOOKUP(A180,Щиты[Щит],Щиты[Категория шины «Ввод»],"III"))))</f>
        <v/>
      </c>
      <c r="GH180" t="str">
        <f>IF(A180="","",_xlfn.XLOOKUP(A180,Щиты[Щит],Щиты[Путь],""))</f>
        <v>|ГРЩ-ЖД|ЩР-001|</v>
      </c>
      <c r="GI180" t="str">
        <f>IF(B180="","",IF(AI180&lt;&gt;"",AI180,IF(IFERROR(_xlfn.XLOOKUP(BC180,Коды_код,Коды_вид)&amp;"","")="","Прочее",_xlfn.XLOOKUP(BC180,Коды_код,Коды_вид)&amp;"")))</f>
        <v>Слаботочные системы, автоматизация, KNX</v>
      </c>
      <c r="GJ180">
        <f>IF(BM180="","",INT((BM180-1)/Столбцов_на_лист)+1)</f>
        <v>3</v>
      </c>
      <c r="GK180" t="str">
        <f t="shared" si="353"/>
        <v>ВВГнг(А)-LS (3х2,5) L=38-3,48%</v>
      </c>
      <c r="GL180">
        <f t="shared" si="354"/>
        <v>2.7</v>
      </c>
      <c r="GM180">
        <f t="shared" si="355"/>
        <v>12.31</v>
      </c>
      <c r="GN180">
        <f t="shared" si="356"/>
        <v>1</v>
      </c>
      <c r="GO180">
        <f t="shared" si="357"/>
        <v>0</v>
      </c>
      <c r="GP180">
        <f t="shared" si="358"/>
        <v>1</v>
      </c>
      <c r="GQ180">
        <f>IF(BM180="","",IF(AND(CG180=1,GP180=1),COUNTIFS(A$3:A180,A180,CG$3:CG180,1,GP$3:GP180,1),IF(OR(OR(BA180=1,A180&lt;&gt;A179),AJ180="вручную",GP180=0),"",IF(BA180=1,"",GR179))))</f>
        <v>26</v>
      </c>
      <c r="GR180">
        <f t="shared" si="359"/>
        <v>26</v>
      </c>
      <c r="GS180">
        <f>IF(B180="","",IFERROR(LOOKUP(INDEX(CHOOSE(EB180,Iдоп_1ж,Iдоп_2ж,Iдоп_3ж),MATCH(EN180,Iдоп_S,0))*DZ180*EA180,{6,10,16,20,25,32,40,50,63,80,100,125,160,200,250,315,400,500,630}),""))</f>
        <v>25</v>
      </c>
      <c r="GT180" t="str">
        <f t="shared" si="360"/>
        <v>QF26</v>
      </c>
      <c r="GU180" t="str">
        <f t="shared" si="361"/>
        <v>QF26</v>
      </c>
      <c r="GV180" t="str">
        <f t="shared" si="362"/>
        <v/>
      </c>
      <c r="GW180">
        <f t="shared" si="363"/>
        <v>0</v>
      </c>
      <c r="GX180" t="str">
        <f>IF(OR(B180="",DJ180=""),"",IFERROR(_xlfn.XLOOKUP(DJ180,Модули_умолч[Управление],Модули_умолч[Модель])&amp;"",""))</f>
        <v/>
      </c>
      <c r="GY180">
        <f>IF(DJ180="",1,IFERROR(MAX(0,N(_xlfn.XLOOKUP(DJ180,Модули_умолч[Управление],Модули_умолч[Каналов на линию]))),1))</f>
        <v>1</v>
      </c>
      <c r="GZ180" t="str">
        <f t="shared" si="364"/>
        <v/>
      </c>
      <c r="HA180" t="str">
        <f t="shared" si="365"/>
        <v/>
      </c>
      <c r="HB180" t="str">
        <f t="shared" si="366"/>
        <v/>
      </c>
      <c r="HC180">
        <f>IF(HB180="",0,IFERROR(N(VLOOKUP(HB180,Модули_спр,3,FALSE)),0))</f>
        <v>0</v>
      </c>
      <c r="HD180" t="str">
        <f t="shared" si="367"/>
        <v/>
      </c>
      <c r="HE180" t="str">
        <f t="shared" si="368"/>
        <v/>
      </c>
      <c r="HF180" t="str">
        <f>IF(OR(HE180="",HE180="-"),"",IFERROR(VLOOKUP(HE180,Модули_спр,2,FALSE),"R"))</f>
        <v/>
      </c>
      <c r="HG180" t="str">
        <f>IF(HF180="","",HF180&amp;"."&amp;COUNTIFS(A$3:A180,A180,HF$3:HF180,HF180))</f>
        <v/>
      </c>
      <c r="HH180" t="str">
        <f t="shared" si="369"/>
        <v/>
      </c>
      <c r="HI180" t="str">
        <f t="shared" si="370"/>
        <v/>
      </c>
      <c r="HJ180" t="str">
        <f t="shared" si="371"/>
        <v/>
      </c>
      <c r="HK180" t="str">
        <f t="shared" si="372"/>
        <v/>
      </c>
      <c r="HL180">
        <f t="shared" si="373"/>
        <v>1</v>
      </c>
      <c r="HM180" t="str">
        <f>IF(HL180=1,"XT"&amp;COUNTIFS(A$3:A180,A180,HL$3:HL180,1),"")</f>
        <v>XT26</v>
      </c>
      <c r="HN180" t="str">
        <f t="shared" si="374"/>
        <v>XT26</v>
      </c>
      <c r="HO180" t="str">
        <f t="shared" si="375"/>
        <v>QF26</v>
      </c>
      <c r="HP180" t="str">
        <f t="shared" si="376"/>
        <v/>
      </c>
      <c r="HQ180" t="str">
        <f t="shared" si="377"/>
        <v>ok</v>
      </c>
      <c r="HR180" t="str">
        <f>IF(OR(HJ180="",HH180=""),"",IF(HJ180+MAX(0,GY180-1)&gt;IFERROR(VLOOKUP(HI180,Модули_спр,3,FALSE),99),"ЛИШНИЙ КАНАЛ",IF(AND(AL180&lt;&gt;"=",GY180&gt;0,COUNTIFS(Линии[_модуль гр.],HH180,Линии[Канал (итог)],HJ180,Линии[Канал],"&lt;&gt;=",Линии[Щит],A180)&gt;1),"ДУБЛЬ КАНАЛА","")))</f>
        <v/>
      </c>
      <c r="HS180" s="6" t="str">
        <f t="shared" si="378"/>
        <v/>
      </c>
      <c r="HT180">
        <f t="shared" si="379"/>
        <v>10</v>
      </c>
      <c r="HU180" t="str">
        <f t="shared" si="380"/>
        <v/>
      </c>
      <c r="HV180">
        <f t="shared" si="381"/>
        <v>5.3026707162483886</v>
      </c>
      <c r="HW180">
        <f t="shared" si="382"/>
        <v>0</v>
      </c>
      <c r="HX180">
        <f t="shared" si="383"/>
        <v>0</v>
      </c>
      <c r="HY180">
        <f t="shared" si="384"/>
        <v>0</v>
      </c>
      <c r="HZ180">
        <f t="shared" si="385"/>
        <v>0</v>
      </c>
      <c r="IA180">
        <f t="shared" si="386"/>
        <v>0</v>
      </c>
      <c r="IB180">
        <f t="shared" si="387"/>
        <v>0</v>
      </c>
      <c r="IC180" t="str">
        <f t="shared" si="388"/>
        <v/>
      </c>
      <c r="ID180" t="str" cm="1">
        <f t="array" ref="ID180">IF(IC180="","",_xlfn.LET(_xlpm.tk,_xlfn.TEXTSPLIT(SUBSTITUTE(SUBSTITUTE(IC180,";"," "),"→"," ")," ",,TRUE),_xlpm.w_,_xlfn._xlws.FILTER(_xlpm.tk,ISNUMBER(--LEFT(_xlpm.tk,1))*((ISNUMBER(SEARCH("W",_xlpm.tk))+ISNUMBER(SEARCH("Вт",_xlpm.tk)))&gt;0),""),IFERROR(--SUBSTITUTE(SUBSTITUTE(UPPER(INDEX(_xlpm.w_,1)),"W",""),"ВТ",""),"")))</f>
        <v/>
      </c>
      <c r="IE180" t="str" cm="1">
        <f t="array" ref="IE180">IF(IC180="","",_xlfn.LET(_xlpm.tk,_xlfn.TEXTSPLIT(SUBSTITUTE(SUBSTITUTE(IC180,";"," "),"→"," ")," ",,TRUE),_xlpm.v_,_xlfn._xlws.FILTER(_xlpm.tk,ISNUMBER(--LEFT(_xlpm.tk,1))*((ISNUMBER(SEARCH("V",_xlpm.tk))+(RIGHT(UPPER(_xlpm.tk))="В"))&gt;0),""),IFERROR(--SUBSTITUTE(SUBSTITUTE(UPPER(INDEX(_xlpm.v_,1)),"V",""),"В",""),"")))</f>
        <v/>
      </c>
      <c r="IF180" s="6" t="str">
        <f>IF(OR(BV180=0,HI180="",HJ180=""),"",IFERROR(N(_xlfn.XLOOKUP(HI180,Каталог!$C$4:$C$500,Каталог!$Q$4:$Q$500)),""))</f>
        <v/>
      </c>
      <c r="IG180" s="6" t="str">
        <f>IF(N(IF180)=0,"",SUMIFS(Линии[Iр, А],Линии[Щит],A180,Линии[_модуль гр.],HH180,Линии[Канал (итог)],HJ180))</f>
        <v/>
      </c>
      <c r="IH180" t="str">
        <f>IF(AND(B180="",HO180=""),"",_xlfn.TEXTJOIN("; ",TRUE,IF(AND(B180&lt;&gt;"",FV180=""),"нет фазы",""),IF(AND(B180&lt;&gt;"",N(GL180)=0,FG180&lt;&gt;"Нет"),"нет мощности",""),IF(AND(HN180&lt;&gt;"",COUNTIFS(Линии[Щит],A180,Линии[Клемма (итог)],HN180)&gt;1),"дубль клеммы "&amp;HN180,""),IF(AND(HQ180&lt;&gt;"",HQ180&lt;&gt;"ok"),HQ180,""),IF(HR180&lt;&gt;"",HR180,""),IF(AND(N(CB180)&gt;=4,N(BX180)=1),CB180&amp;" жил на 1 фазе",""),IF(AND(BC180="R",CG180=1,IF(CS180&lt;&gt;"",N(CV180)&gt;30,OR(N(DA180)=0,N(DA180)&gt;30))),"розетка без дифзащиты до 30 мА",""),IF(AND(CG180=1,N(DA180)&gt;0,ISNUMBER(T180)),IF(T180&gt;N(DA180)/3,"ток утечки "&amp;FIXED(T180,1)&amp;" мА &gt; 1/3 уставки ("&amp;DA180&amp;" мА)",""),""),IF(AND(CH180=1,CS180=""),"«узо»: нет строки с УЗО выше (УЗО 2P 40А 30мА в «Аппаратах»)",""),IF(AND(CS180&lt;&gt;"",CS180=BA180),IF(CT180="","впишите номинал УЗО (УЗО 2P 40А 30мА)",IF(N(CT180)&lt;N(DT180),"УЗО "&amp;CT180&amp;" А &lt; автомата "&amp;DT180&amp;" А перед ним",IF(N(CT180)&lt;N(CX180),"УЗО "&amp;CT180&amp;" А &lt; тока блока "&amp;FIXED(CX180,1)&amp;" А",""))),""),IF(AND(CS180&lt;&gt;"",CS180=BA180,ISNUMBER(CY180)),IF(CY180&gt;N(CV180)/3,"ток утечки блока УЗО "&amp;FIXED(CY180,1)&amp;" мА &gt; 1/3 уставки ("&amp;CV180&amp;" мА)",""),""),IF(AND(CG180=1,N(BV180)+N(IB180)&gt;0,IC180=""),"линии до 50 В без БП: впишите в «Аппараты» (БП 24V 480W)",""),IF(AND(CG180=1,ISNUMBER(ID180),ISNUMBER(U180)),IF(U180&gt;ID180,"БП "&amp;ID180&amp;" Вт &lt; нужно "&amp;U180&amp;" Вт (×"&amp;Запас_БП&amp;")",""),""),IF(AND(CG180=1,ISNUMBER(IE180),N(BV180)=1),IF(IE180&lt;&gt;N(BU180),"БП на "&amp;IE180&amp;" В, линия "&amp;BU180&amp;" В",""),""),IF(AND(N(IF180)&gt;0,N(IG180)&gt;N(IF180)),HH180&amp;" канал "&amp;HJ180&amp;": "&amp;FIXED(IG180,1)&amp;" А &gt; "&amp;IF180&amp;" А",""),IFERROR(IF(AND(ISNUMBER(Q180),Q180&gt;EL180),"потери "&amp;FIXED(Q180,1)&amp;" % &gt; "&amp;EL180&amp;" %",""),""),IFERROR(IF(LEFT(HU180,4)="мало","Iкз мало — отключение &gt; 0,4 с",""),""),IF(AND(B180&lt;&gt;"",BM180=""),"не на схеме",""),IF(AND(CG180=0,B180&lt;&gt;"",FV180&lt;&gt;"",IF(BA180=1,"",FW179)&lt;&gt;"",FV180&lt;&gt;IF(BA180=1,"",FW179)),"фаза не как у автомата группы ("&amp;IF(BA180=1,"",FW179)&amp;")","")))</f>
        <v>потери 5,1 % &gt; 4 %</v>
      </c>
      <c r="II180" s="6">
        <f>IF(OR(CG180=0,DQ180=""),"",_xlfn.LET(_xlpm.t,IFERROR(_xlfn.XLOOKUP(DQ180,Каталог!$U$4:$U$500,Каталог!$G$4:$G$500),""),_xlpm.k,SEARCH("кА",_xlpm.t),IFERROR(--TRIM(RIGHT(SUBSTITUTE(MID(_xlpm.t,MAX(1,_xlpm.k-4),_xlpm.k-MAX(1,_xlpm.k-4))," ",REPT(" ",9)),5)),"")))</f>
        <v>6</v>
      </c>
      <c r="IJ180" t="str">
        <f>IF(OR(II180="",CG180=0),"",IF(_xlfn.XLOOKUP(A180,Щиты[Щит],Щиты[Iкз max на шинах, кА],"")="","",IF(II180&lt;_xlfn.XLOOKUP(A180,Щиты[Щит],Щиты[Iкз max на шинах, кА]),"Icu "&amp;II180&amp;" кА &lt; Iкз max","ok")))</f>
        <v/>
      </c>
      <c r="IK180" t="str">
        <f t="shared" si="389"/>
        <v/>
      </c>
      <c r="IL180" t="str">
        <f t="shared" si="390"/>
        <v>QF26|XT26</v>
      </c>
      <c r="IM180" t="str">
        <f t="shared" si="391"/>
        <v>QF26|XT26|кабель ВВГнг(А)-LS (3х2,5) → Шкаф телекоммуникационный ШТК-ЛВС.00  Подвальный этаж Пом. №007Т</v>
      </c>
      <c r="IN180" t="str" cm="1">
        <f t="array" ref="IN180">IF(IM180="","",_xlfn.LET(_xlpm.nd,_xlfn.TEXTSPLIT(IM180,"|"),IF(COLUMNS(_xlpm.nd)&gt;1,A180&amp;"¦"&amp;INDEX(_xlpm.nd,1)&amp;"¦"&amp;INDEX(_xlpm.nd,2),"")))</f>
        <v>ЩР-001¦QF26¦XT26</v>
      </c>
      <c r="IO180" t="str">
        <f t="shared" si="392"/>
        <v>ШТК-ЛВС.00¦Шкаф телекоммуникационный ШТК-ЛВС.00  Подвальный этаж Пом. №007Т</v>
      </c>
      <c r="IP180" t="str" cm="1">
        <f t="array" ref="IP180">IF(IM180="","",_xlfn.LET(_xlpm.nd,_xlfn.TEXTSPLIT(IM180,"|"),IF(COLUMNS(_xlpm.nd)&gt;2,A180&amp;"¦"&amp;INDEX(_xlpm.nd,2)&amp;"¦"&amp;INDEX(_xlpm.nd,3),"")))</f>
        <v>ЩР-001¦XT26¦кабель ВВГнг(А)-LS (3х2,5) → Шкаф телекоммуникационный ШТК-ЛВС.00  Подвальный этаж Пом. №007Т</v>
      </c>
      <c r="IQ180" t="str">
        <f t="shared" si="393"/>
        <v>ШТК-ЛВС.00¦Шкаф телекоммуникационный ШТК-ЛВС.00  Подвальный этаж Пом. №007Т</v>
      </c>
      <c r="IR180" t="str" cm="1">
        <f t="array" ref="IR180">IF(IM180="","",_xlfn.LET(_xlpm.nd,_xlfn.TEXTSPLIT(IM180,"|"),IF(COLUMNS(_xlpm.nd)&gt;3,A180&amp;"¦"&amp;INDEX(_xlpm.nd,3)&amp;"¦"&amp;INDEX(_xlpm.nd,4),"")))</f>
        <v/>
      </c>
      <c r="IS180" t="str">
        <f t="shared" si="394"/>
        <v/>
      </c>
      <c r="IT180" t="str" cm="1">
        <f t="array" ref="IT180">IF(IM180="","",_xlfn.LET(_xlpm.nd,_xlfn.TEXTSPLIT(IM180,"|"),IF(COLUMNS(_xlpm.nd)&gt;4,A180&amp;"¦"&amp;INDEX(_xlpm.nd,4)&amp;"¦"&amp;INDEX(_xlpm.nd,5),"")))</f>
        <v/>
      </c>
      <c r="IU180" t="str">
        <f t="shared" si="395"/>
        <v/>
      </c>
      <c r="IV180" t="str" cm="1">
        <f t="array" ref="IV180">IF(IM180="","",_xlfn.LET(_xlpm.nd,_xlfn.TEXTSPLIT(IM180,"|"),IF(COLUMNS(_xlpm.nd)&gt;5,A180&amp;"¦"&amp;INDEX(_xlpm.nd,5)&amp;"¦"&amp;INDEX(_xlpm.nd,6),"")))</f>
        <v/>
      </c>
      <c r="IW180" t="str">
        <f t="shared" si="396"/>
        <v/>
      </c>
      <c r="IX180" t="str" cm="1">
        <f t="array" ref="IX180">IF(IM180="","",_xlfn.LET(_xlpm.nd,_xlfn.TEXTSPLIT(IM180,"|"),IF(COLUMNS(_xlpm.nd)&gt;6,A180&amp;"¦"&amp;INDEX(_xlpm.nd,6)&amp;"¦"&amp;INDEX(_xlpm.nd,7),"")))</f>
        <v/>
      </c>
      <c r="IY180" t="str">
        <f t="shared" si="397"/>
        <v/>
      </c>
      <c r="IZ180" t="str">
        <f t="shared" si="398"/>
        <v/>
      </c>
      <c r="JA180" t="str">
        <f t="shared" si="399"/>
        <v>QF26 → XT26</v>
      </c>
      <c r="JB180">
        <f t="shared" si="400"/>
        <v>0</v>
      </c>
      <c r="JC180">
        <f t="shared" si="401"/>
        <v>0</v>
      </c>
      <c r="JD180" t="str">
        <f t="shared" si="402"/>
        <v/>
      </c>
      <c r="JE180" t="str">
        <f t="shared" si="403"/>
        <v/>
      </c>
      <c r="JF180" t="str">
        <f t="shared" si="404"/>
        <v/>
      </c>
      <c r="JG180" t="str">
        <f t="shared" si="405"/>
        <v/>
      </c>
      <c r="JH180">
        <f>IF(B180="","",IFERROR(_xlfn.XLOOKUP(B180,Коды_код,Коды_уго),IFERROR(_xlfn.XLOOKUP(BC180,Коды_код,Коды_уго),IFERROR(_xlfn.XLOOKUP(LEFT(BC180,2),Коды_код,Коды_уго),""))))</f>
        <v>0</v>
      </c>
      <c r="JI180" t="str">
        <f>IF(B180="","",IF(OR(JH180="",JH180=0),"BOX",IFERROR(IF(VLOOKUP(JH180,УГО_блоки,3,FALSE)&amp;""&lt;&gt;"",VLOOKUP(JH180,УГО_блоки,3,FALSE),VLOOKUP(JH180,УГО_блоки,2,FALSE)),JH180)))</f>
        <v>BOX</v>
      </c>
      <c r="JJ180">
        <f t="shared" si="406"/>
        <v>1</v>
      </c>
      <c r="JK180" t="str">
        <f>IF(DQ180="","",IF(COUNTIF(DQ$3:DQ180,DQ180)=1,MAX(JK$2:JK179)+1,""))</f>
        <v/>
      </c>
      <c r="JL180" t="str">
        <f>IF(DE180="","",IF(COUNTIF(DE$3:DE180,DE180)+COUNTIF(DF$2:DF179,DE180)+COUNTIF(DG$2:DG179,DE180)=1,MAX(JL$2:JN179)+1,""))</f>
        <v/>
      </c>
      <c r="JM180" t="str">
        <f>IF(DF180="","",IF(COUNTIF(DE$3:DE180,DF180)+COUNTIF(DF$3:DF180,DF180)+COUNTIF(DG$2:DG179,DF180)=1,MAX(JL$2:JN179,JL180)+1,""))</f>
        <v/>
      </c>
      <c r="JN180" t="str">
        <f>IF(DG180="","",IF(COUNTIF(DE$3:DE180,DG180)+COUNTIF(DF$3:DF180,DG180)+COUNTIF(DG$3:DG180,DG180)=1,MAX(JL$2:JN179,JL180,JM180)+1,""))</f>
        <v/>
      </c>
      <c r="JO180" t="str">
        <f t="shared" si="407"/>
        <v>3х2,5</v>
      </c>
      <c r="JP180" t="str">
        <f>IF(JO180="","",IF(COUNTIF(JO$3:JO180,JO180)=1,MAX(JP$2:JP179)+1,""))</f>
        <v/>
      </c>
      <c r="JQ180" t="str">
        <f>IF(HG180="","",COUNTIF(HG$3:HG180,"?*"))</f>
        <v/>
      </c>
      <c r="JR180" t="str">
        <f>IF(OR(HG180="",HI180=""),"",IF(COUNTIFS(HG$3:HG180,"?*",HI$3:HI180,HI180)=1,MAX(JR$2:JR179)+1,""))</f>
        <v/>
      </c>
      <c r="JS180">
        <f t="shared" si="408"/>
        <v>1</v>
      </c>
      <c r="JT180">
        <f>IF(B180="","",COUNTIF(B$3:B180,"?*"))</f>
        <v>178</v>
      </c>
      <c r="JU180">
        <f>IF(HL180&lt;&gt;1,0,_xlfn.LET(_xlpm.k,MAX(IFERROR(--_xlfn.XLOOKUP(B180,Коды_код,Коды_3L),0),IFERROR(--_xlfn.XLOOKUP(BC180,Коды_код,Коды_3L),0),IFERROR(--_xlfn.XLOOKUP(LEFT(BC180,2),Коды_код,Коды_3L),0)),IF(_xlpm.k&gt;0,_xlpm.k,IF(IFERROR(--LEFT(SUBSTITUTE(JO180,"x","х"),FIND("х",SUBSTITUTE(JO180,"x","х"))-1),3)&gt;3,Каталог!$S$9,1))))</f>
        <v>1</v>
      </c>
      <c r="JV180">
        <f t="shared" si="409"/>
        <v>0</v>
      </c>
      <c r="JW180" t="str">
        <f t="shared" si="410"/>
        <v>авто</v>
      </c>
      <c r="JX180" t="str">
        <f t="shared" si="411"/>
        <v/>
      </c>
      <c r="JY180">
        <f t="shared" si="412"/>
        <v>0</v>
      </c>
      <c r="JZ180">
        <f t="shared" si="413"/>
        <v>1</v>
      </c>
    </row>
    <row r="181" spans="1:286" x14ac:dyDescent="0.3">
      <c r="A181" t="s">
        <v>753</v>
      </c>
      <c r="B181" t="s">
        <v>1489</v>
      </c>
      <c r="C181" t="s">
        <v>1694</v>
      </c>
      <c r="D181">
        <v>1</v>
      </c>
      <c r="E181">
        <v>2</v>
      </c>
      <c r="G181">
        <v>16</v>
      </c>
      <c r="H181" t="str">
        <f>Линии[[#This Row],[_авто управление]]</f>
        <v/>
      </c>
      <c r="I181" t="str">
        <f>Линии[[#This Row],[_авто аппараты]]</f>
        <v/>
      </c>
      <c r="J181">
        <v>2.5</v>
      </c>
      <c r="K181">
        <v>36</v>
      </c>
      <c r="L181">
        <v>2</v>
      </c>
      <c r="M181" t="s">
        <v>484</v>
      </c>
      <c r="N181" t="str">
        <f t="shared" si="276"/>
        <v>потери 4,2 % &gt; 4 %</v>
      </c>
      <c r="O181" s="6" cm="1">
        <f t="array" ref="O181">IF(B181="","",IF(BH181&lt;&gt;"",IFERROR(_xlfn.XLOOKUP(BH181,Щиты[Щит],Щиты[Iр, А]),""),IF(BP181=1,IF(OR(N(_xlfn.XLOOKUP(A181,Щиты[Щит],Щиты[Вводов],1))&lt;=1,LOWER(TRIM(_xlfn.XLOOKUP(A181,Щиты[Щит],Щиты[АВР],"")&amp;""))="да"),IFERROR(_xlfn.XLOOKUP(A181,Щиты[Щит],Щиты[Iр, А]),""),IFERROR(N(BS181)*_xlfn.XLOOKUP(A181,Щиты[Щит],Щиты[Кс итог])/(SQRT(3)*Uн_лин*_xlfn.XLOOKUP(A181,Щиты[Щит],Щиты[cos φ])),"")),IF(BV181=1,IFERROR(BS181*1000/BU181,""),IFERROR(_xlfn.IFS(BX181=1,BS181/((Uн_лин/SQRT(3))*CE181),BX181=3,BS181/(SQRT(3)*Uн_лин*CE181)),"")))))</f>
        <v>9.1160568819414589</v>
      </c>
      <c r="P181" s="7">
        <f>IF(B181="","",IFERROR(IF(VLOOKUP(BC181,Потребители_обозначение,4,FALSE)=1,VLOOKUP(BC181,Потребители_обозначение,3,FALSE)*(MAX(1,N(D181))*2-1)+EI181+VLOOKUP(BE181,Этаж_обозначение,3,FALSE)+VLOOKUP(BE181,Этаж_обозначение,4,FALSE),VLOOKUP(BC181,Потребители_обозначение,3,FALSE)*(MAX(1,N(D181))*2-1)+EI181),EI181))</f>
        <v>39</v>
      </c>
      <c r="Q181" s="6">
        <f t="shared" si="277"/>
        <v>4.22</v>
      </c>
      <c r="R181" t="str">
        <f t="shared" si="278"/>
        <v>ВВГнг(А)-LS (3х2,5)</v>
      </c>
      <c r="S181" t="str">
        <f>IF(BM181="","",IF(BN181="вводной узел","узел ","")&amp;"л."&amp;(INT((BM181-1)/Столбцов_на_лист)+1)&amp;" / "&amp;(MOD(BM181-1,Столбцов_на_лист)+1))</f>
        <v>л.3 / 4</v>
      </c>
      <c r="T181" s="119">
        <f t="shared" si="279"/>
        <v>4</v>
      </c>
      <c r="U181" s="7" t="str">
        <f>IF(OR(CG181=0,N(BV181)+N(IB181)=0),"",ROUNDUP(Запас_БП*(N(HY181)+N(HZ181)),0))</f>
        <v/>
      </c>
      <c r="V181" s="119" t="str">
        <f t="shared" si="280"/>
        <v/>
      </c>
      <c r="W181" s="7" t="str">
        <f>IFERROR(IF(OR(B181="",BP181=1,BV181=1,NOT(ISNUMBER(EN181)),N(DT181)=0),"",MAX(0,ROUNDDOWN((c_min*(Uн_лин*1000/SQRT(3))/(HT181*N(DT181))-_xlfn.XLOOKUP(A181,Щиты[Щит],Щиты[Zпетли на шинах, Ом]))*EN181/(2*ρкз_Cu),0))),"")</f>
        <v/>
      </c>
      <c r="Y181" t="str">
        <f>Линии[[#This Row],[_авто утечка]]</f>
        <v/>
      </c>
      <c r="Z181">
        <v>1</v>
      </c>
      <c r="AA181">
        <v>230</v>
      </c>
      <c r="AB181" t="s">
        <v>573</v>
      </c>
      <c r="AG181" t="s">
        <v>810</v>
      </c>
      <c r="AI181" t="s">
        <v>572</v>
      </c>
      <c r="AK181" t="str">
        <f>Линии[[#This Row],[_авто модуль]]</f>
        <v/>
      </c>
      <c r="AM181">
        <v>38</v>
      </c>
      <c r="AN181" t="s">
        <v>11</v>
      </c>
      <c r="AO181">
        <v>3</v>
      </c>
      <c r="AQ181">
        <v>17</v>
      </c>
      <c r="AR181">
        <v>14</v>
      </c>
      <c r="BA181" cm="1">
        <f t="array" ref="BA181">ROW()-ROW(Линии[#Headers])</f>
        <v>179</v>
      </c>
      <c r="BC181" s="6" t="str">
        <f t="shared" si="281"/>
        <v>ШТК-СОТ</v>
      </c>
      <c r="BD181" t="str">
        <f t="shared" si="282"/>
        <v>00</v>
      </c>
      <c r="BE181" t="str">
        <f t="shared" si="283"/>
        <v>00</v>
      </c>
      <c r="BF181" t="str">
        <f t="shared" si="284"/>
        <v/>
      </c>
      <c r="BG181" t="str">
        <f t="shared" si="285"/>
        <v/>
      </c>
      <c r="BH181" t="str">
        <f>IF(X181&lt;&gt;"",X181,IF(AND(B181&lt;&gt;"",B181&lt;&gt;A181,ISNUMBER(_xlfn.XMATCH(B181,Щиты[Щит]))),B181,""))</f>
        <v/>
      </c>
      <c r="BI181" t="str" cm="1">
        <f t="array" ref="BI181">IF(B181="","",IF(BH181&lt;&gt;"","Щит "&amp;BH181,_xlfn.LET(_xlpm.nm,IFERROR(_xlfn.XLOOKUP(BC181,Коды_код,Коды_имя)&amp;"",""),_xlpm.md,IFERROR(N(_xlfn.XLOOKUP(BC181,Коды_код,Коды_режим)),1),_xlpm.ex,IF(Имя_режим="по экспликации",IFERROR(_xlfn.XLOOKUP(BE181&amp;"|"&amp;BG181,Экспликация[Этаж]&amp;"|"&amp;Экспликация[Помещение],Экспликация[Название])&amp;"",""),""),_xlpm.rm,IF(BG181="","",IF(_xlpm.ex&lt;&gt;"",". "&amp;_xlpm.ex&amp;IF(Имя_пом="нет"," ("&amp;BG181&amp;")"," (пом. "&amp;BG181&amp;")"),IF(Имя_пом="нет"," ",", пом. ")&amp;BG181)),IF(_xlpm.nm="","",IF(_xlpm.md=2,_xlpm.nm&amp;" шлейф "&amp;BE181,_xlpm.nm&amp;_xlpm.rm)))))</f>
        <v>Шкаф телекоммуникационный СОТ шлейф 00</v>
      </c>
      <c r="BJ181" t="str">
        <f t="shared" si="286"/>
        <v>Шкаф телекоммуникационный ШТК-СОТ.00  Подвальный этаж Пом. №007Т</v>
      </c>
      <c r="BK181">
        <f>IFERROR(_xlfn.XMATCH(A181,Щиты[Щит]),0)</f>
        <v>8</v>
      </c>
      <c r="BL181">
        <f>_xlfn.LET(_xlpm.k,IFERROR(_xlfn.XLOOKUP(A181,Щиты[Щит],Щиты[Мест под вводной узел]),""),IF(_xlpm.k="",Столбцов_на_лист,N(_xlpm.k)))</f>
        <v>7</v>
      </c>
      <c r="BM181">
        <f t="shared" si="287"/>
        <v>38</v>
      </c>
      <c r="BN181" t="str">
        <f t="shared" si="288"/>
        <v>линии</v>
      </c>
      <c r="BO181" s="6">
        <f>IFERROR(N(_xlfn.XLOOKUP(BC181,Коды_код,Коды_квт)),0)</f>
        <v>0</v>
      </c>
      <c r="BP181">
        <f t="shared" si="289"/>
        <v>0</v>
      </c>
      <c r="BQ181" t="str">
        <f>IF(B181="","",IF(BH181&lt;&gt;"",IFERROR(_xlfn.XLOOKUP(BH181,Щиты[Щит],Щиты[Руст, кВт]),0),IF(BP181=1,IF(OR(N(_xlfn.XLOOKUP(A181,Щиты[Щит],Щиты[Вводов],1))&lt;=1,LOWER(TRIM(_xlfn.XLOOKUP(A181,Щиты[Щит],Щиты[АВР],"")&amp;""))="да"),IFERROR(_xlfn.XLOOKUP(A181,Щиты[Щит],Щиты[Руст, кВт]),0),SUMIFS(Линии[_Р для вводов],Линии[Щит],A181,Линии[Источник для режимов],GF181)),IF(BO181&gt;0,ROUND(BO181*MAX(1,N(D181)),3),""))))</f>
        <v/>
      </c>
      <c r="BR181">
        <f t="shared" si="290"/>
        <v>2</v>
      </c>
      <c r="BS181" s="6">
        <f>IF(B181="","",IF(BH181&lt;&gt;"",IFERROR(_xlfn.XLOOKUP(BH181,Щиты[Щит],Щиты[Руст, кВт]),0),N(BR181)))</f>
        <v>2</v>
      </c>
      <c r="BT181" t="str">
        <f>IF(B181="","",IFERROR(IF(VLOOKUP(BC181,Потребители_обозначение,8,FALSE)=0,"",VLOOKUP(BC181,Потребители_обозначение,8,FALSE)),""))</f>
        <v/>
      </c>
      <c r="BU181">
        <f t="shared" si="291"/>
        <v>230</v>
      </c>
      <c r="BV181">
        <f t="shared" si="292"/>
        <v>0</v>
      </c>
      <c r="BW181">
        <f>IF(B181="","",IF(BH181&lt;&gt;"",3,IFERROR(IF(N(VLOOKUP(BC181,Потребители_обозначение,9,FALSE))=0,1,VLOOKUP(BC181,Потребители_обозначение,9,FALSE)),1)))</f>
        <v>1</v>
      </c>
      <c r="BX181">
        <f t="shared" si="293"/>
        <v>1</v>
      </c>
      <c r="BY181" t="str">
        <f>IF(B181="","",_xlfn.LET(_xlpm.bc,IFERROR(IF(VLOOKUP(BC181,Потребители_обозначение,6,FALSE)=0,"",VLOOKUP(BC181,Потребители_обозначение,6,FALSE)&amp;""),""),IF(AND(GA181="да",OR(_xlpm.bc="",_xlpm.bc="мс")),Марка_пож,IF(AND(_xlpm.bc="",BH181&lt;&gt;""),"мс",_xlpm.bc))))</f>
        <v/>
      </c>
      <c r="BZ181" t="str">
        <f t="shared" si="294"/>
        <v>мс</v>
      </c>
      <c r="CA181">
        <f>IF(B181="","",_xlfn.LET(_xlpm.cc,IFERROR(N(VLOOKUP(BC181,Потребители_обозначение,7,FALSE)),0),IF(_xlpm.cc&gt;0,_xlpm.cc,IF(BZ181="","",IF(BV181=1,2,IF(N(BX181)=3,5,3))))))</f>
        <v>3</v>
      </c>
      <c r="CB181">
        <f t="shared" si="295"/>
        <v>3</v>
      </c>
      <c r="CC181">
        <f>IFERROR(N(VLOOKUP(BC181,Потребители_обозначение,10,FALSE)),0)</f>
        <v>0</v>
      </c>
      <c r="CD181">
        <f>IFERROR(VLOOKUP(BC181,Потребители_обозначение,5,FALSE),0)</f>
        <v>1</v>
      </c>
      <c r="CE181" s="6" cm="1">
        <f t="array" ref="CE181">IF(B181="","",IF(BH181&lt;&gt;"",IFERROR(_xlfn.XLOOKUP(BH181,Щиты[Щит],Щиты[cos φ]),0.95),IF(BP181=1,IFERROR(_xlfn.XLOOKUP(A181,Щиты[Щит],Щиты[cos φ]),0.95),IF(ISNUMBER(AD181),AD181,IFERROR(IF(CD181=2,_xlfn.IFS(BX181=3,VLOOKUP(BS181,Справочная_двигатели,8,FALSE),BX181=1,VLOOKUP(BS181,Справочная_двигатели,10,TRUE)),IF(AND(Методика="нормы 2026",FG181="Сил"),0.8,0.95)),0.95)))))</f>
        <v>0.95</v>
      </c>
      <c r="CF181">
        <f t="shared" si="296"/>
        <v>0</v>
      </c>
      <c r="CG181">
        <f t="shared" si="297"/>
        <v>1</v>
      </c>
      <c r="CH181">
        <f t="shared" si="298"/>
        <v>0</v>
      </c>
      <c r="CI181">
        <f>IF(B181="","",IF(BV181=1,IFERROR(BS181/((Uн_лин/SQRT(3))*MAX(0.5,N(CE181))),0),N(O181)))</f>
        <v>9.1160568819414589</v>
      </c>
      <c r="CJ181">
        <f t="shared" si="299"/>
        <v>0</v>
      </c>
      <c r="CK181">
        <f t="shared" si="300"/>
        <v>0</v>
      </c>
      <c r="CL181">
        <f t="shared" si="301"/>
        <v>0</v>
      </c>
      <c r="CM181">
        <f t="shared" si="302"/>
        <v>0</v>
      </c>
      <c r="CN181">
        <f t="shared" si="303"/>
        <v>0</v>
      </c>
      <c r="CO181">
        <f>IF(BC181="",0,_xlfn.LET(_xlpm.v,IFERROR(_xlfn.XLOOKUP(B181,Коды_код,Коды_мА),IFERROR(_xlfn.XLOOKUP(BC181,Коды_код,Коды_мА),IFERROR(_xlfn.XLOOKUP(LEFT(BC181,2),Коды_код,Коды_мА),""))),IF(_xlpm.v="да",30,IF(ISNUMBER(_xlpm.v),_xlpm.v,0))))</f>
        <v>0</v>
      </c>
      <c r="CP181" t="str">
        <f t="shared" si="304"/>
        <v/>
      </c>
      <c r="CQ181" t="str">
        <f>_xlfn.LET(_xlpm.k,IFERROR(_xlfn.XLOOKUP(BC181,Коды_код,Коды_утечка)&amp;"",""),IF(_xlpm.k="","дифавтомат",_xlpm.k))</f>
        <v>дифавтомат</v>
      </c>
      <c r="CR181" t="str" cm="1">
        <f t="array" ref="CR181">IF(CG181=0,"",_xlfn.LET(_xlpm.sg,TRIM(_xlfn.TEXTSPLIT(DD181&amp;"",";")),_xlpm.f_,_xlfn._xlws.FILTER(_xlpm.sg,LEFT(_xlpm.sg,3)="УЗО",""),IFERROR(INDEX(_xlpm.f_,1)&amp;"","")))</f>
        <v/>
      </c>
      <c r="CS181" t="str">
        <f t="shared" si="305"/>
        <v/>
      </c>
      <c r="CT181" s="6" t="str" cm="1">
        <f t="array" ref="CT181">IF(CR181="","",_xlfn.LET(_xlpm.tk,_xlfn.TEXTSPLIT(UPPER(CR181)," ",,TRUE),_xlpm.a_,_xlfn._xlws.FILTER(_xlpm.tk,ISNUMBER(--LEFT(_xlpm.tk,1))*((ISNUMBER(SEARCH("А",_xlpm.tk))+ISNUMBER(SEARCH("A",_xlpm.tk)))&gt;0)*NOT(ISNUMBER(SEARCH("МА",_xlpm.tk)))*NOT(ISNUMBER(SEARCH("MA",_xlpm.tk))),""),IFERROR(--SUBSTITUTE(SUBSTITUTE(INDEX(_xlpm.a_,1),"А",""),"A",""),"")))</f>
        <v/>
      </c>
      <c r="CU181" t="str" cm="1">
        <f t="array" ref="CU181">IF(CR181="","",_xlfn.LET(_xlpm.tk,_xlfn.TEXTSPLIT(UPPER(CR181)," ",,TRUE),_xlpm.a_,_xlfn._xlws.FILTER(_xlpm.tk,ISNUMBER(--LEFT(_xlpm.tk,1))*((ISNUMBER(SEARCH("МА",_xlpm.tk))+ISNUMBER(SEARCH("MA",_xlpm.tk)))&gt;0),""),IFERROR(--SUBSTITUTE(SUBSTITUTE(INDEX(_xlpm.a_,1),"МА",""),"MA",""),30)))</f>
        <v/>
      </c>
      <c r="CV181" t="str">
        <f>IF(CS181="","",IFERROR(_xlfn.XLOOKUP(CS181,Линии[_n],Линии[_УЗО, мА]),30))</f>
        <v/>
      </c>
      <c r="CW181">
        <f>IF(CS181="",0,IF(ISNUMBER(SEARCH("4P",IFERROR(_xlfn.XLOOKUP(CS181,Линии[_n],Линии[_УЗО строки])&amp;"",""))),0,1))</f>
        <v>0</v>
      </c>
      <c r="CX181" t="str">
        <f>IF(AND(CS181&lt;&gt;"",CS181=BA181),SUMIFS(Линии[_ток на 230 В],Линии[_блок УЗО],BA181,Линии[Щит],A181),"")</f>
        <v/>
      </c>
      <c r="CY181" t="str">
        <f>IF(AND(CS181&lt;&gt;"",CS181=BA181),SUMIFS(Линии[_ток утечки линии, мА],Линии[_блок УЗО],BA181,Линии[Щит],A181),"")</f>
        <v/>
      </c>
      <c r="CZ181">
        <f t="shared" si="306"/>
        <v>0</v>
      </c>
      <c r="DA181">
        <f t="shared" si="307"/>
        <v>0</v>
      </c>
      <c r="DB181">
        <f>IF(B181="",0,IFERROR(--_xlfn.XLOOKUP(B181,Коды_код,Коды_минавт),IFERROR(--_xlfn.XLOOKUP(BC181,Коды_код,Коды_минавт),IFERROR(--_xlfn.XLOOKUP(LEFT(BC181,2),Коды_код,Коды_минавт),0))))</f>
        <v>0</v>
      </c>
      <c r="DC181" t="str">
        <f>IF(B181="","",IFERROR(_xlfn.XLOOKUP(BC181,Коды_код,Коды_апп)&amp;"",""))</f>
        <v/>
      </c>
      <c r="DD181" t="str">
        <f t="shared" si="308"/>
        <v/>
      </c>
      <c r="DE181" t="str" cm="1">
        <f t="array" ref="DE181">IF(TRIM(DD181&amp;"")="","",IFERROR(TRIM(INDEX(_xlfn.TEXTSPLIT(DD181&amp;";;;",";"),1)),""))</f>
        <v/>
      </c>
      <c r="DF181" t="str" cm="1">
        <f t="array" ref="DF181">IF(TRIM(DD181&amp;"")="","",IFERROR(TRIM(INDEX(_xlfn.TEXTSPLIT(DD181&amp;";;;",";"),2)),""))</f>
        <v/>
      </c>
      <c r="DG181" t="str" cm="1">
        <f t="array" ref="DG181">IF(TRIM(DD181&amp;"")="","",IFERROR(TRIM(INDEX(_xlfn.TEXTSPLIT(DD181&amp;";;;",";"),3)),""))</f>
        <v/>
      </c>
      <c r="DH181">
        <f t="shared" si="309"/>
        <v>0</v>
      </c>
      <c r="DI181" t="str">
        <f>IF(B181="","",_xlfn.LET(_xlpm.t,LOWER(AZ181&amp;""),IF(ISNUMBER(SEARCH("dim",_xlpm.t)),"DIM",IF(ISNUMBER(SEARCH("dali",_xlpm.t)),"DALI",IF(OR(ISNUMBER(SEARCH("relay",_xlpm.t)),ISNUMBER(SEARCH("реле",_xlpm.t))),"Relay",IF(ISNUMBER(SEARCH("кнопк",_xlpm.t)),"",IFERROR(_xlfn.XLOOKUP(BC181,Коды_код,Коды_упр)&amp;"","")))))))</f>
        <v/>
      </c>
      <c r="DJ181" t="str">
        <f t="shared" si="310"/>
        <v/>
      </c>
      <c r="DK181">
        <f>IF(B181="","",_xlfn.LET(_xlpm.ig,IF(N(CX181)&gt;0,N(CX181),N(CI181)+IF(AJ181="вручную",0,N(CJ181))),_xlpm.n0,IFERROR(VLOOKUP(_xlpm.ig,Автомат_номиналы,2,TRUE),0),_xlpm.mn,MAX(DB181,IF(AJ181="вручную",0,N(CM181))),MAX(_xlpm.n0,_xlpm.mn,IF(DH181=1,Мин_автомат_БП,0))))</f>
        <v>16</v>
      </c>
      <c r="DL181">
        <f t="shared" si="311"/>
        <v>1</v>
      </c>
      <c r="DM181" t="str">
        <f t="shared" si="312"/>
        <v>1P</v>
      </c>
      <c r="DN181" t="str">
        <f>_xlfn.LET(_xlpm.cc,UPPER(TRIM(IFERROR(_xlfn.XLOOKUP(BC181,Коды_код,Коды_хар)&amp;"",""))),IF(OR(_xlpm.cc="B",_xlpm.cc="В"),"B",IF(_xlpm.cc="D","D","С")))</f>
        <v>С</v>
      </c>
      <c r="DO181" t="str">
        <f t="shared" si="313"/>
        <v>1P С16А</v>
      </c>
      <c r="DP181">
        <f t="shared" si="314"/>
        <v>16</v>
      </c>
      <c r="DQ181" t="str">
        <f t="shared" si="315"/>
        <v>1P С16А</v>
      </c>
      <c r="DR181" cm="1">
        <f t="array" ref="DR181">IF(DQ181="","",_xlfn.LET(_xlpm.t,SUBSTITUTE(SUBSTITUTE(SUBSTITUTE(UPPER(DQ181),"С","C"),"А","A"),"В","B"),_xlpm.tk,_xlfn.TEXTSPLIT(_xlpm.t," "),_xlpm.f,_xlfn._xlws.FILTER(_xlpm.tk,ISNUMBER(--MID(_xlpm.tk,2,1))*ISNUMBER(SEARCH(LEFT(_xlpm.tk,1)&amp;"#","B#C#D#"))*(LEN(_xlpm.tk)&gt;1),""),_xlpm.x,INDEX(_xlpm.f,1),IFERROR(--SUBSTITUTE(MID(_xlpm.x,2,9),"A",""),IFERROR(--SUBSTITUTE(INDEX(_xlfn._xlws.FILTER(_xlpm.tk,ISNUMBER(--SUBSTITUTE(_xlpm.tk,"A","")),""),1),"A",""),""))))</f>
        <v>16</v>
      </c>
      <c r="DS181" t="str">
        <f t="shared" si="316"/>
        <v>ok</v>
      </c>
      <c r="DT181">
        <f t="shared" si="317"/>
        <v>16</v>
      </c>
      <c r="DU181" t="str">
        <f t="shared" si="318"/>
        <v>1P С16А</v>
      </c>
      <c r="DV181">
        <f t="shared" si="319"/>
        <v>0</v>
      </c>
      <c r="DW181">
        <f t="shared" si="320"/>
        <v>0</v>
      </c>
      <c r="DX181">
        <f t="shared" si="321"/>
        <v>0</v>
      </c>
      <c r="DY181">
        <f t="shared" si="322"/>
        <v>9.1160568819414589</v>
      </c>
      <c r="DZ181">
        <f t="shared" si="323"/>
        <v>1</v>
      </c>
      <c r="EA181">
        <f>IF(ISNUMBER(AP181),AP181,К_прокл)</f>
        <v>1</v>
      </c>
      <c r="EB181">
        <f t="shared" si="324"/>
        <v>2</v>
      </c>
      <c r="EC181">
        <f>IFERROR(N(VLOOKUP(BZ181,Кабель_обозначение,3,FALSE)),1)</f>
        <v>1</v>
      </c>
      <c r="ED181">
        <f>IFERROR(N(_xlfn.XLOOKUP(A181,Щиты[Щит],Щиты[ΔU до шин, %])),0)</f>
        <v>1.57</v>
      </c>
      <c r="EE181" t="str">
        <f>IFERROR(_xlfn.XLOOKUP(A181,Щиты[Щит],Щиты[Zпетли на шинах, Ом]),"")</f>
        <v/>
      </c>
      <c r="EF181">
        <f>IFERROR(N(_xlfn.XLOOKUP(A181,Щиты[Щит],Щиты[ΔU до шин (подбор), %])),0)</f>
        <v>2.5</v>
      </c>
      <c r="EG181" t="str">
        <f>IFERROR(_xlfn.XLOOKUP(A181,Щиты[Щит],Щиты[Zпетли на шинах (подбор), Ом]),"")</f>
        <v/>
      </c>
      <c r="EH181" t="str">
        <f t="shared" si="325"/>
        <v/>
      </c>
      <c r="EI181">
        <f t="shared" si="326"/>
        <v>36</v>
      </c>
      <c r="EJ181">
        <f t="shared" si="327"/>
        <v>2</v>
      </c>
      <c r="EK181">
        <f t="shared" si="328"/>
        <v>0.31</v>
      </c>
      <c r="EL181" s="6">
        <f>IF(B181="","",IF(BV181=1,dU_LED,IF(IFERROR(_xlfn.XLOOKUP(BC181,Коды_код,Коды_уго),"")="Светильник",3,4)+IF(Методика="нормы 2026",MIN(0.5,MAX(0,N(P181)-100)*0.005),0)))</f>
        <v>4</v>
      </c>
      <c r="EM181" cm="1">
        <f t="array" ref="EM181">IF(OR(B181="",BZ181="",EC181&lt;&gt;1),"",_xlfn.LET(_xlpm.sz,Iдоп_S,_xlpm.t_,CHOOSE(EB181,Iдоп_1ж,Iдоп_2ж,Iдоп_3ж)*DZ181*EA181,_xlpm.dcx,BV181=1,_xlpm.inn,IF(_xlpm.dcx,N(O181),N(DT181)),_xlpm.smin,MAX(1.5,CC181),_xlpm.L_,N(P181)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181)/N(BU181)*100,999),IFERROR(N(EJ181)*(_xlpm.rho*_xlpm.L_/_xlpm.sz*N(CE181)+_xlpm.xx*_xlpm.L_*N(EK181)/1000)*N(O181)/((Uн_лин/SQRT(3))*1000)*100,999)),_xlpm.kz,IF(OR(_xlpm.dcx,DW181=1,NOT(ISNUMBER(EG181)),_xlpm.L_=0,_xlpm.inn=0),1,IFERROR(--(c_min*(Uн_лин*1000/SQRT(3))/(EG181+2*ρкз_Cu*_xlpm.L_/_xlpm.sz)&gt;=HT181*_xlpm.inn),0)),_xlpm.ok,IFERROR((_xlpm.sz&gt;=_xlpm.smin)*(_xlpm.t_&gt;=_xlpm.inn)*IF(_xlpm.L_&gt;0,(_xlpm.du_+IF(_xlpm.dcx,0,EF181)&lt;=EL181+0.00001),1)*_xlpm.kz,0),_xlpm.r_,_xlfn._xlws.FILTER(_xlpm.sz,_xlpm.ok,"не подобрано"),INDEX(_xlpm.r_,1)))</f>
        <v>6</v>
      </c>
      <c r="EN181">
        <f t="shared" si="329"/>
        <v>2.5</v>
      </c>
      <c r="EO181" cm="1">
        <f t="array" ref="EO181">IF(OR(B181="",BZ181="",EC181&lt;&gt;1),"",_xlfn.LET(_xlpm.sz,Iдоп_S,_xlpm.t_,CHOOSE(EB181,Iдоп_1ж,Iдоп_2ж,Iдоп_3ж)*DZ181*EA181,_xlpm.ok,IFERROR((_xlpm.sz&gt;=MAX(1.5,CC181))*(_xlpm.t_&gt;=N(DT181)),0),_xlpm.r_,_xlfn._xlws.FILTER(_xlpm.sz,_xlpm.ok,""),INDEX(_xlpm.r_,1)))</f>
        <v>1.5</v>
      </c>
      <c r="EP181" s="6" cm="1">
        <f t="array" ref="EP181">IFERROR(ROUNDUP(N(EJ181)*(_xlfn.XLOOKUP(EO181,INDEX(Кабель_сопротивление,0,1),INDEX(Кабель_сопротивление,0,3))*N(P181)/EO181*N(CE181)+_xlfn.XLOOKUP(EO181,INDEX(Кабель_сопротивление,0,1),INDEX(Кабель_сопротивление,0,2))*N(P181)*N(EK181)/1000)*N(O181)/((Uн_лин/SQRT(3))*1000)*100,2),"")</f>
        <v>4.3999999999999995</v>
      </c>
      <c r="EQ181">
        <f>IFERROR(2*ρкз_Cu*N(P181)/EO181,"")</f>
        <v>1.3676000000000001</v>
      </c>
      <c r="ER181">
        <f>IFERROR(VLOOKUP(EN181,Кабель_сопротивление,3,FALSE),"")</f>
        <v>2.2499999999999999E-2</v>
      </c>
      <c r="ES181">
        <f>IFERROR(VLOOKUP(EN181,Кабель_сопротивление,2,FALSE),"")</f>
        <v>0.1</v>
      </c>
      <c r="ET181">
        <f t="shared" si="330"/>
        <v>14</v>
      </c>
      <c r="EU181" t="str">
        <f t="shared" si="331"/>
        <v/>
      </c>
      <c r="EV181">
        <f t="shared" si="332"/>
        <v>6.1015409601072932</v>
      </c>
      <c r="EW181" s="6">
        <f>IFERROR(ROUNDUP(EV181/IF(BV181=1,BU181,(Uн_лин/SQRT(3))*1000)*100,2),"")</f>
        <v>2.65</v>
      </c>
      <c r="EX181" t="str">
        <f>IFERROR(VLOOKUP(BZ181,Кабель_обозначение,2,FALSE),"")</f>
        <v>ВВГнг(А)-LS</v>
      </c>
      <c r="EY181" t="str">
        <f t="shared" si="333"/>
        <v>ВВГнг(А)-LS (3х2,5)</v>
      </c>
      <c r="EZ181" t="str">
        <f t="shared" si="334"/>
        <v>ВВГнг(А)-LS (3х2,5)
L=39-2,65%</v>
      </c>
      <c r="FA181">
        <f>IFERROR(2*ρкз_Cu*P181/EN181,"")</f>
        <v>0.82056000000000007</v>
      </c>
      <c r="FB181">
        <f t="shared" si="335"/>
        <v>0.27300000000000002</v>
      </c>
      <c r="FC181" s="6" t="str">
        <f>IFERROR(IF(OR(B181="",BV181=1,NOT(ISNUMBER(EN181)),N(P181)=0),"",_xlfn.XLOOKUP(A181,Щиты[Щит],Щиты[Zпетли на шинах, Ом])+FA181),"")</f>
        <v/>
      </c>
      <c r="FD181" s="6" t="str">
        <f>IF(ISNUMBER(FC181),c_min*(Uн_лин*1000/SQRT(3))/FC181,"")</f>
        <v/>
      </c>
      <c r="FE181" s="6" t="str">
        <f>IFERROR(IF(OR(B181="",NOT(ISNUMBER(EN181))),"",1.05*(Uн_лин*1000/SQRT(3))/(_xlfn.XLOOKUP(A181,Щиты[Щит],Щиты[Zmax на шинах, Ом])+FB181)/1000),"")</f>
        <v/>
      </c>
      <c r="FF181" s="6" t="str">
        <f>IF(B181="","",IF(ISNUMBER(AC181),"Сил",IF(IFERROR(_xlfn.XLOOKUP(BC181,Коды_код,Коды_группа)&amp;"","")="","Быт",_xlfn.XLOOKUP(BC181,Коды_код,Коды_группа)&amp;"")))</f>
        <v>Быт</v>
      </c>
      <c r="FG181" s="6" t="str">
        <f t="shared" si="336"/>
        <v>Пост</v>
      </c>
      <c r="FH181" s="6">
        <f>IF(FG181="Щит","щит",IF(FG181="","",IF(FG181="Быт",IFERROR(_xlfn.XLOOKUP(A181,Щиты[Щит],Щиты[Кс быт]),1),IF(FG181="Сил",IF(ISNUMBER(AC181),AC181,IF(Методика="нормы 2026",IFERROR(_xlfn.XLOOKUP(A181,Щиты[Щит],Щиты[Кс силовых (табл. 7.5)]),1),1)),IF(OR(FG181="Пост",FG181="Отоп"),1,IF(FG181="ВНГ",0.7,0))))))</f>
        <v>1</v>
      </c>
      <c r="FI181">
        <f>IF(FG181="","",IF(AND(BP181=1,TRIM(AE181&amp;"")=""),IF(COUNTIFS(Линии[Щит],A181,Линии[Секция (1/2/3)],"&gt;=2")&gt;0,MIN(3,MAX(1,IFERROR(--BD181,1))),1),IFERROR(MIN(3,MAX(1,INT(--AE181))),1)))</f>
        <v>1</v>
      </c>
      <c r="FJ181">
        <f t="shared" si="337"/>
        <v>2</v>
      </c>
      <c r="FK181">
        <f t="shared" si="338"/>
        <v>0</v>
      </c>
      <c r="FL181">
        <f t="shared" si="339"/>
        <v>0</v>
      </c>
      <c r="FM181">
        <f t="shared" si="340"/>
        <v>2</v>
      </c>
      <c r="FN181">
        <f t="shared" si="341"/>
        <v>0</v>
      </c>
      <c r="FO181">
        <f t="shared" si="342"/>
        <v>0</v>
      </c>
      <c r="FP181">
        <f t="shared" si="343"/>
        <v>2</v>
      </c>
      <c r="FQ181">
        <f t="shared" si="344"/>
        <v>2</v>
      </c>
      <c r="FR181">
        <f t="shared" si="345"/>
        <v>1.9</v>
      </c>
      <c r="FS181">
        <f>IF(CG181=1,IF(AND(CH181=1,CW181=1),0,IF(AND(CS181&lt;&gt;"",CS181=BA181,CW181=1),SUMIFS(Линии[_Р линии, кВт],Линии[_блок УЗО],BA181,Линии[Щит],A181),N(BS181)+IF(AJ181="вручную",0,N(CK181)))),0)</f>
        <v>2</v>
      </c>
      <c r="FT181" t="str">
        <f t="shared" si="346"/>
        <v>L2</v>
      </c>
      <c r="FU181" t="str">
        <f>IF(B181="","",IF(CG181=0,IF(BA181=1,"",FW180),IF(AND(CH181=1,CW181=1,CS181&lt;&gt;""),IFERROR(_xlfn.XLOOKUP(CS181,Линии[_n],Линии[_фаза итог]),"L1"),IF(OR(N(DL181)&gt;=3,N(BX181)&gt;=3),"L1,L2,L3",IFERROR(_xlfn.TEXTBEFORE(_xlfn.TEXTAFTER(_xlfn.XLOOKUP(A181,Щиты[Щит],Щиты[_фазы авто]),";"&amp;BA181&amp;":"),";"),"L1")))))</f>
        <v>L1</v>
      </c>
      <c r="FV181" t="str">
        <f t="shared" si="347"/>
        <v>L2</v>
      </c>
      <c r="FW181" t="str">
        <f t="shared" si="348"/>
        <v>L2</v>
      </c>
      <c r="FX181" cm="1">
        <f t="array" ref="FX181">IFERROR(IF(CD181=2,_xlfn.IFS(BX181=3,VLOOKUP(BS181,Справочная_двигатели,3,FALSE),BX181=1,VLOOKUP(BS181,Справочная_двигатели,5,TRUE)),0),0)</f>
        <v>0</v>
      </c>
      <c r="FY181">
        <f>IFERROR(IF(CD181=3,VLOOKUP(BS181,Справочная_ЛЭД,2,TRUE),0),0)</f>
        <v>0</v>
      </c>
      <c r="FZ181" s="6">
        <f t="shared" si="349"/>
        <v>0</v>
      </c>
      <c r="GA181" t="str">
        <f>IF(B181="","",IF(TRIM(AH181&amp;"")&lt;&gt;"",IF(LOWER(TRIM(AH181&amp;""))="да","да","нет"),IF(IFERROR(_xlfn.XLOOKUP(BC181,Коды_код,Коды_пожарная),"")="да","да","нет")))</f>
        <v>нет</v>
      </c>
      <c r="GB181" t="str">
        <f t="shared" si="350"/>
        <v/>
      </c>
      <c r="GC181" t="str">
        <f t="shared" si="351"/>
        <v>основная</v>
      </c>
      <c r="GD181">
        <f>IF(AND(BP181=1,TRIM(AE181&amp;"")=""),IF(COUNTIFS(Линии[Щит],A181,Линии[Секция (1/2/3)],"&gt;=2")&gt;0,MIN(3,MAX(1,IFERROR(--BD181,1))),1),IFERROR(MIN(3,MAX(1,INT(--AE181))),1))</f>
        <v>1</v>
      </c>
      <c r="GE181" t="str" cm="1">
        <f t="array" ref="GE181">IF(B181="","",_xlfn.LET(_xlpm.t,IFERROR(_xlfn.XLOOKUP(1,(Шины[Шина]=GC181)*(((Шины[Щит]=A181)+(Шины[Щит]=""))&gt;0),Шины[Тип]),"")&amp;"",IF(_xlpm.t&lt;&gt;"",_xlpm.t,IF(ISNUMBER(SEARCH("ИБП",GC181)),"ИБП",IF(ISNUMBER(SEARCH("ДГУ",GC181)),"ДГУ","Ввод "&amp;GD181)))))</f>
        <v>Ввод 1</v>
      </c>
      <c r="GF181" t="str">
        <f t="shared" si="352"/>
        <v>Ввод 1</v>
      </c>
      <c r="GG181" t="str">
        <f>IF(BP181=0,"",IF(TRIM(AG181&amp;"")&lt;&gt;"",TRIM(AG181&amp;""),IF(OR(GE181="ИБП",GE181="ДГУ"),"I особая",_xlfn.XLOOKUP(A181,Щиты[Щит],Щиты[Категория шины «Ввод»],"III"))))</f>
        <v/>
      </c>
      <c r="GH181" t="str">
        <f>IF(A181="","",_xlfn.XLOOKUP(A181,Щиты[Щит],Щиты[Путь],""))</f>
        <v>|ГРЩ-ЖД|ЩР-001|</v>
      </c>
      <c r="GI181" t="str">
        <f>IF(B181="","",IF(AI181&lt;&gt;"",AI181,IF(IFERROR(_xlfn.XLOOKUP(BC181,Коды_код,Коды_вид)&amp;"","")="","Прочее",_xlfn.XLOOKUP(BC181,Коды_код,Коды_вид)&amp;"")))</f>
        <v>Слаботочные системы, автоматизация, KNX</v>
      </c>
      <c r="GJ181">
        <f>IF(BM181="","",INT((BM181-1)/Столбцов_на_лист)+1)</f>
        <v>3</v>
      </c>
      <c r="GK181" t="str">
        <f t="shared" si="353"/>
        <v>ВВГнг(А)-LS (3х2,5) L=39-2,65%</v>
      </c>
      <c r="GL181">
        <f t="shared" si="354"/>
        <v>2</v>
      </c>
      <c r="GM181">
        <f t="shared" si="355"/>
        <v>9.1199999999999992</v>
      </c>
      <c r="GN181">
        <f t="shared" si="356"/>
        <v>1</v>
      </c>
      <c r="GO181">
        <f t="shared" si="357"/>
        <v>0</v>
      </c>
      <c r="GP181">
        <f t="shared" si="358"/>
        <v>1</v>
      </c>
      <c r="GQ181">
        <f>IF(BM181="","",IF(AND(CG181=1,GP181=1),COUNTIFS(A$3:A181,A181,CG$3:CG181,1,GP$3:GP181,1),IF(OR(OR(BA181=1,A181&lt;&gt;A180),AJ181="вручную",GP181=0),"",IF(BA181=1,"",GR180))))</f>
        <v>27</v>
      </c>
      <c r="GR181">
        <f t="shared" si="359"/>
        <v>27</v>
      </c>
      <c r="GS181">
        <f>IF(B181="","",IFERROR(LOOKUP(INDEX(CHOOSE(EB181,Iдоп_1ж,Iдоп_2ж,Iдоп_3ж),MATCH(EN181,Iдоп_S,0))*DZ181*EA181,{6,10,16,20,25,32,40,50,63,80,100,125,160,200,250,315,400,500,630}),""))</f>
        <v>25</v>
      </c>
      <c r="GT181" t="str">
        <f t="shared" si="360"/>
        <v>QF27</v>
      </c>
      <c r="GU181" t="str">
        <f t="shared" si="361"/>
        <v>QF27</v>
      </c>
      <c r="GV181" t="str">
        <f t="shared" si="362"/>
        <v/>
      </c>
      <c r="GW181">
        <f t="shared" si="363"/>
        <v>0</v>
      </c>
      <c r="GX181" t="str">
        <f>IF(OR(B181="",DJ181=""),"",IFERROR(_xlfn.XLOOKUP(DJ181,Модули_умолч[Управление],Модули_умолч[Модель])&amp;"",""))</f>
        <v/>
      </c>
      <c r="GY181">
        <f>IF(DJ181="",1,IFERROR(MAX(0,N(_xlfn.XLOOKUP(DJ181,Модули_умолч[Управление],Модули_умолч[Каналов на линию]))),1))</f>
        <v>1</v>
      </c>
      <c r="GZ181" t="str">
        <f t="shared" si="364"/>
        <v/>
      </c>
      <c r="HA181" t="str">
        <f t="shared" si="365"/>
        <v/>
      </c>
      <c r="HB181" t="str">
        <f t="shared" si="366"/>
        <v/>
      </c>
      <c r="HC181">
        <f>IF(HB181="",0,IFERROR(N(VLOOKUP(HB181,Модули_спр,3,FALSE)),0))</f>
        <v>0</v>
      </c>
      <c r="HD181" t="str">
        <f t="shared" si="367"/>
        <v/>
      </c>
      <c r="HE181" t="str">
        <f t="shared" si="368"/>
        <v/>
      </c>
      <c r="HF181" t="str">
        <f>IF(OR(HE181="",HE181="-"),"",IFERROR(VLOOKUP(HE181,Модули_спр,2,FALSE),"R"))</f>
        <v/>
      </c>
      <c r="HG181" t="str">
        <f>IF(HF181="","",HF181&amp;"."&amp;COUNTIFS(A$3:A181,A181,HF$3:HF181,HF181))</f>
        <v/>
      </c>
      <c r="HH181" t="str">
        <f t="shared" si="369"/>
        <v/>
      </c>
      <c r="HI181" t="str">
        <f t="shared" si="370"/>
        <v/>
      </c>
      <c r="HJ181" t="str">
        <f t="shared" si="371"/>
        <v/>
      </c>
      <c r="HK181" t="str">
        <f t="shared" si="372"/>
        <v/>
      </c>
      <c r="HL181">
        <f t="shared" si="373"/>
        <v>1</v>
      </c>
      <c r="HM181" t="str">
        <f>IF(HL181=1,"XT"&amp;COUNTIFS(A$3:A181,A181,HL$3:HL181,1),"")</f>
        <v>XT27</v>
      </c>
      <c r="HN181" t="str">
        <f t="shared" si="374"/>
        <v/>
      </c>
      <c r="HO181" t="str">
        <f t="shared" si="375"/>
        <v>QF27</v>
      </c>
      <c r="HP181" t="str">
        <f t="shared" si="376"/>
        <v/>
      </c>
      <c r="HQ181" t="str">
        <f t="shared" si="377"/>
        <v>ok</v>
      </c>
      <c r="HR181" t="str">
        <f>IF(OR(HJ181="",HH181=""),"",IF(HJ181+MAX(0,GY181-1)&gt;IFERROR(VLOOKUP(HI181,Модули_спр,3,FALSE),99),"ЛИШНИЙ КАНАЛ",IF(AND(AL181&lt;&gt;"=",GY181&gt;0,COUNTIFS(Линии[_модуль гр.],HH181,Линии[Канал (итог)],HJ181,Линии[Канал],"&lt;&gt;=",Линии[Щит],A181)&gt;1),"ДУБЛЬ КАНАЛА","")))</f>
        <v/>
      </c>
      <c r="HS181" s="6" t="str">
        <f t="shared" si="378"/>
        <v/>
      </c>
      <c r="HT181">
        <f t="shared" si="379"/>
        <v>10</v>
      </c>
      <c r="HU181" t="str">
        <f t="shared" si="380"/>
        <v/>
      </c>
      <c r="HV181">
        <f t="shared" si="381"/>
        <v>4.0364227527765832</v>
      </c>
      <c r="HW181">
        <f t="shared" si="382"/>
        <v>0</v>
      </c>
      <c r="HX181">
        <f t="shared" si="383"/>
        <v>0</v>
      </c>
      <c r="HY181">
        <f t="shared" si="384"/>
        <v>0</v>
      </c>
      <c r="HZ181">
        <f t="shared" si="385"/>
        <v>0</v>
      </c>
      <c r="IA181">
        <f t="shared" si="386"/>
        <v>0</v>
      </c>
      <c r="IB181">
        <f t="shared" si="387"/>
        <v>0</v>
      </c>
      <c r="IC181" t="str">
        <f t="shared" si="388"/>
        <v/>
      </c>
      <c r="ID181" t="str" cm="1">
        <f t="array" ref="ID181">IF(IC181="","",_xlfn.LET(_xlpm.tk,_xlfn.TEXTSPLIT(SUBSTITUTE(SUBSTITUTE(IC181,";"," "),"→"," ")," ",,TRUE),_xlpm.w_,_xlfn._xlws.FILTER(_xlpm.tk,ISNUMBER(--LEFT(_xlpm.tk,1))*((ISNUMBER(SEARCH("W",_xlpm.tk))+ISNUMBER(SEARCH("Вт",_xlpm.tk)))&gt;0),""),IFERROR(--SUBSTITUTE(SUBSTITUTE(UPPER(INDEX(_xlpm.w_,1)),"W",""),"ВТ",""),"")))</f>
        <v/>
      </c>
      <c r="IE181" t="str" cm="1">
        <f t="array" ref="IE181">IF(IC181="","",_xlfn.LET(_xlpm.tk,_xlfn.TEXTSPLIT(SUBSTITUTE(SUBSTITUTE(IC181,";"," "),"→"," ")," ",,TRUE),_xlpm.v_,_xlfn._xlws.FILTER(_xlpm.tk,ISNUMBER(--LEFT(_xlpm.tk,1))*((ISNUMBER(SEARCH("V",_xlpm.tk))+(RIGHT(UPPER(_xlpm.tk))="В"))&gt;0),""),IFERROR(--SUBSTITUTE(SUBSTITUTE(UPPER(INDEX(_xlpm.v_,1)),"V",""),"В",""),"")))</f>
        <v/>
      </c>
      <c r="IF181" s="6" t="str">
        <f>IF(OR(BV181=0,HI181="",HJ181=""),"",IFERROR(N(_xlfn.XLOOKUP(HI181,Каталог!$C$4:$C$500,Каталог!$Q$4:$Q$500)),""))</f>
        <v/>
      </c>
      <c r="IG181" s="6" t="str">
        <f>IF(N(IF181)=0,"",SUMIFS(Линии[Iр, А],Линии[Щит],A181,Линии[_модуль гр.],HH181,Линии[Канал (итог)],HJ181))</f>
        <v/>
      </c>
      <c r="IH181" t="str">
        <f>IF(AND(B181="",HO181=""),"",_xlfn.TEXTJOIN("; ",TRUE,IF(AND(B181&lt;&gt;"",FV181=""),"нет фазы",""),IF(AND(B181&lt;&gt;"",N(GL181)=0,FG181&lt;&gt;"Нет"),"нет мощности",""),IF(AND(HN181&lt;&gt;"",COUNTIFS(Линии[Щит],A181,Линии[Клемма (итог)],HN181)&gt;1),"дубль клеммы "&amp;HN181,""),IF(AND(HQ181&lt;&gt;"",HQ181&lt;&gt;"ok"),HQ181,""),IF(HR181&lt;&gt;"",HR181,""),IF(AND(N(CB181)&gt;=4,N(BX181)=1),CB181&amp;" жил на 1 фазе",""),IF(AND(BC181="R",CG181=1,IF(CS181&lt;&gt;"",N(CV181)&gt;30,OR(N(DA181)=0,N(DA181)&gt;30))),"розетка без дифзащиты до 30 мА",""),IF(AND(CG181=1,N(DA181)&gt;0,ISNUMBER(T181)),IF(T181&gt;N(DA181)/3,"ток утечки "&amp;FIXED(T181,1)&amp;" мА &gt; 1/3 уставки ("&amp;DA181&amp;" мА)",""),""),IF(AND(CH181=1,CS181=""),"«узо»: нет строки с УЗО выше (УЗО 2P 40А 30мА в «Аппаратах»)",""),IF(AND(CS181&lt;&gt;"",CS181=BA181),IF(CT181="","впишите номинал УЗО (УЗО 2P 40А 30мА)",IF(N(CT181)&lt;N(DT181),"УЗО "&amp;CT181&amp;" А &lt; автомата "&amp;DT181&amp;" А перед ним",IF(N(CT181)&lt;N(CX181),"УЗО "&amp;CT181&amp;" А &lt; тока блока "&amp;FIXED(CX181,1)&amp;" А",""))),""),IF(AND(CS181&lt;&gt;"",CS181=BA181,ISNUMBER(CY181)),IF(CY181&gt;N(CV181)/3,"ток утечки блока УЗО "&amp;FIXED(CY181,1)&amp;" мА &gt; 1/3 уставки ("&amp;CV181&amp;" мА)",""),""),IF(AND(CG181=1,N(BV181)+N(IB181)&gt;0,IC181=""),"линии до 50 В без БП: впишите в «Аппараты» (БП 24V 480W)",""),IF(AND(CG181=1,ISNUMBER(ID181),ISNUMBER(U181)),IF(U181&gt;ID181,"БП "&amp;ID181&amp;" Вт &lt; нужно "&amp;U181&amp;" Вт (×"&amp;Запас_БП&amp;")",""),""),IF(AND(CG181=1,ISNUMBER(IE181),N(BV181)=1),IF(IE181&lt;&gt;N(BU181),"БП на "&amp;IE181&amp;" В, линия "&amp;BU181&amp;" В",""),""),IF(AND(N(IF181)&gt;0,N(IG181)&gt;N(IF181)),HH181&amp;" канал "&amp;HJ181&amp;": "&amp;FIXED(IG181,1)&amp;" А &gt; "&amp;IF181&amp;" А",""),IFERROR(IF(AND(ISNUMBER(Q181),Q181&gt;EL181),"потери "&amp;FIXED(Q181,1)&amp;" % &gt; "&amp;EL181&amp;" %",""),""),IFERROR(IF(LEFT(HU181,4)="мало","Iкз мало — отключение &gt; 0,4 с",""),""),IF(AND(B181&lt;&gt;"",BM181=""),"не на схеме",""),IF(AND(CG181=0,B181&lt;&gt;"",FV181&lt;&gt;"",IF(BA181=1,"",FW180)&lt;&gt;"",FV181&lt;&gt;IF(BA181=1,"",FW180)),"фаза не как у автомата группы ("&amp;IF(BA181=1,"",FW180)&amp;")","")))</f>
        <v>потери 4,2 % &gt; 4 %</v>
      </c>
      <c r="II181" s="6">
        <f>IF(OR(CG181=0,DQ181=""),"",_xlfn.LET(_xlpm.t,IFERROR(_xlfn.XLOOKUP(DQ181,Каталог!$U$4:$U$500,Каталог!$G$4:$G$500),""),_xlpm.k,SEARCH("кА",_xlpm.t),IFERROR(--TRIM(RIGHT(SUBSTITUTE(MID(_xlpm.t,MAX(1,_xlpm.k-4),_xlpm.k-MAX(1,_xlpm.k-4))," ",REPT(" ",9)),5)),"")))</f>
        <v>6</v>
      </c>
      <c r="IJ181" t="str">
        <f>IF(OR(II181="",CG181=0),"",IF(_xlfn.XLOOKUP(A181,Щиты[Щит],Щиты[Iкз max на шинах, кА],"")="","",IF(II181&lt;_xlfn.XLOOKUP(A181,Щиты[Щит],Щиты[Iкз max на шинах, кА]),"Icu "&amp;II181&amp;" кА &lt; Iкз max","ok")))</f>
        <v/>
      </c>
      <c r="IK181" t="str">
        <f t="shared" si="389"/>
        <v/>
      </c>
      <c r="IL181" t="str">
        <f t="shared" si="390"/>
        <v>QF27</v>
      </c>
      <c r="IM181" t="str">
        <f t="shared" si="391"/>
        <v>QF27|кабель ВВГнг(А)-LS (3х2,5) → Шкаф телекоммуникационный ШТК-СОТ.00  Подвальный этаж Пом. №007Т</v>
      </c>
      <c r="IN181" t="str" cm="1">
        <f t="array" ref="IN181">IF(IM181="","",_xlfn.LET(_xlpm.nd,_xlfn.TEXTSPLIT(IM181,"|"),IF(COLUMNS(_xlpm.nd)&gt;1,A181&amp;"¦"&amp;INDEX(_xlpm.nd,1)&amp;"¦"&amp;INDEX(_xlpm.nd,2),"")))</f>
        <v>ЩР-001¦QF27¦кабель ВВГнг(А)-LS (3х2,5) → Шкаф телекоммуникационный ШТК-СОТ.00  Подвальный этаж Пом. №007Т</v>
      </c>
      <c r="IO181" t="str">
        <f t="shared" si="392"/>
        <v>ШТК-СОТ.00¦Шкаф телекоммуникационный ШТК-СОТ.00  Подвальный этаж Пом. №007Т</v>
      </c>
      <c r="IP181" t="str" cm="1">
        <f t="array" ref="IP181">IF(IM181="","",_xlfn.LET(_xlpm.nd,_xlfn.TEXTSPLIT(IM181,"|"),IF(COLUMNS(_xlpm.nd)&gt;2,A181&amp;"¦"&amp;INDEX(_xlpm.nd,2)&amp;"¦"&amp;INDEX(_xlpm.nd,3),"")))</f>
        <v/>
      </c>
      <c r="IQ181" t="str">
        <f t="shared" si="393"/>
        <v/>
      </c>
      <c r="IR181" t="str" cm="1">
        <f t="array" ref="IR181">IF(IM181="","",_xlfn.LET(_xlpm.nd,_xlfn.TEXTSPLIT(IM181,"|"),IF(COLUMNS(_xlpm.nd)&gt;3,A181&amp;"¦"&amp;INDEX(_xlpm.nd,3)&amp;"¦"&amp;INDEX(_xlpm.nd,4),"")))</f>
        <v/>
      </c>
      <c r="IS181" t="str">
        <f t="shared" si="394"/>
        <v/>
      </c>
      <c r="IT181" t="str" cm="1">
        <f t="array" ref="IT181">IF(IM181="","",_xlfn.LET(_xlpm.nd,_xlfn.TEXTSPLIT(IM181,"|"),IF(COLUMNS(_xlpm.nd)&gt;4,A181&amp;"¦"&amp;INDEX(_xlpm.nd,4)&amp;"¦"&amp;INDEX(_xlpm.nd,5),"")))</f>
        <v/>
      </c>
      <c r="IU181" t="str">
        <f t="shared" si="395"/>
        <v/>
      </c>
      <c r="IV181" t="str" cm="1">
        <f t="array" ref="IV181">IF(IM181="","",_xlfn.LET(_xlpm.nd,_xlfn.TEXTSPLIT(IM181,"|"),IF(COLUMNS(_xlpm.nd)&gt;5,A181&amp;"¦"&amp;INDEX(_xlpm.nd,5)&amp;"¦"&amp;INDEX(_xlpm.nd,6),"")))</f>
        <v/>
      </c>
      <c r="IW181" t="str">
        <f t="shared" si="396"/>
        <v/>
      </c>
      <c r="IX181" t="str" cm="1">
        <f t="array" ref="IX181">IF(IM181="","",_xlfn.LET(_xlpm.nd,_xlfn.TEXTSPLIT(IM181,"|"),IF(COLUMNS(_xlpm.nd)&gt;6,A181&amp;"¦"&amp;INDEX(_xlpm.nd,6)&amp;"¦"&amp;INDEX(_xlpm.nd,7),"")))</f>
        <v/>
      </c>
      <c r="IY181" t="str">
        <f t="shared" si="397"/>
        <v/>
      </c>
      <c r="IZ181" t="str">
        <f t="shared" si="398"/>
        <v/>
      </c>
      <c r="JA181" t="str">
        <f t="shared" si="399"/>
        <v>QF27</v>
      </c>
      <c r="JB181">
        <f t="shared" si="400"/>
        <v>0</v>
      </c>
      <c r="JC181">
        <f t="shared" si="401"/>
        <v>0</v>
      </c>
      <c r="JD181" t="str">
        <f t="shared" si="402"/>
        <v/>
      </c>
      <c r="JE181" t="str">
        <f t="shared" si="403"/>
        <v/>
      </c>
      <c r="JF181" t="str">
        <f t="shared" si="404"/>
        <v/>
      </c>
      <c r="JG181" t="str">
        <f t="shared" si="405"/>
        <v/>
      </c>
      <c r="JH181">
        <f>IF(B181="","",IFERROR(_xlfn.XLOOKUP(B181,Коды_код,Коды_уго),IFERROR(_xlfn.XLOOKUP(BC181,Коды_код,Коды_уго),IFERROR(_xlfn.XLOOKUP(LEFT(BC181,2),Коды_код,Коды_уго),""))))</f>
        <v>0</v>
      </c>
      <c r="JI181" t="str">
        <f>IF(B181="","",IF(OR(JH181="",JH181=0),"BOX",IFERROR(IF(VLOOKUP(JH181,УГО_блоки,3,FALSE)&amp;""&lt;&gt;"",VLOOKUP(JH181,УГО_блоки,3,FALSE),VLOOKUP(JH181,УГО_блоки,2,FALSE)),JH181)))</f>
        <v>BOX</v>
      </c>
      <c r="JJ181">
        <f t="shared" si="406"/>
        <v>1</v>
      </c>
      <c r="JK181" t="str">
        <f>IF(DQ181="","",IF(COUNTIF(DQ$3:DQ181,DQ181)=1,MAX(JK$2:JK180)+1,""))</f>
        <v/>
      </c>
      <c r="JL181" t="str">
        <f>IF(DE181="","",IF(COUNTIF(DE$3:DE181,DE181)+COUNTIF(DF$2:DF180,DE181)+COUNTIF(DG$2:DG180,DE181)=1,MAX(JL$2:JN180)+1,""))</f>
        <v/>
      </c>
      <c r="JM181" t="str">
        <f>IF(DF181="","",IF(COUNTIF(DE$3:DE181,DF181)+COUNTIF(DF$3:DF181,DF181)+COUNTIF(DG$2:DG180,DF181)=1,MAX(JL$2:JN180,JL181)+1,""))</f>
        <v/>
      </c>
      <c r="JN181" t="str">
        <f>IF(DG181="","",IF(COUNTIF(DE$3:DE181,DG181)+COUNTIF(DF$3:DF181,DG181)+COUNTIF(DG$3:DG181,DG181)=1,MAX(JL$2:JN180,JL181,JM181)+1,""))</f>
        <v/>
      </c>
      <c r="JO181" t="str">
        <f t="shared" si="407"/>
        <v>3х2,5</v>
      </c>
      <c r="JP181" t="str">
        <f>IF(JO181="","",IF(COUNTIF(JO$3:JO181,JO181)=1,MAX(JP$2:JP180)+1,""))</f>
        <v/>
      </c>
      <c r="JQ181" t="str">
        <f>IF(HG181="","",COUNTIF(HG$3:HG181,"?*"))</f>
        <v/>
      </c>
      <c r="JR181" t="str">
        <f>IF(OR(HG181="",HI181=""),"",IF(COUNTIFS(HG$3:HG181,"?*",HI$3:HI181,HI181)=1,MAX(JR$2:JR180)+1,""))</f>
        <v/>
      </c>
      <c r="JS181">
        <f t="shared" si="408"/>
        <v>1</v>
      </c>
      <c r="JT181">
        <f>IF(B181="","",COUNTIF(B$3:B181,"?*"))</f>
        <v>179</v>
      </c>
      <c r="JU181">
        <f>IF(HL181&lt;&gt;1,0,_xlfn.LET(_xlpm.k,MAX(IFERROR(--_xlfn.XLOOKUP(B181,Коды_код,Коды_3L),0),IFERROR(--_xlfn.XLOOKUP(BC181,Коды_код,Коды_3L),0),IFERROR(--_xlfn.XLOOKUP(LEFT(BC181,2),Коды_код,Коды_3L),0)),IF(_xlpm.k&gt;0,_xlpm.k,IF(IFERROR(--LEFT(SUBSTITUTE(JO181,"x","х"),FIND("х",SUBSTITUTE(JO181,"x","х"))-1),3)&gt;3,Каталог!$S$9,1))))</f>
        <v>1</v>
      </c>
      <c r="JV181">
        <f t="shared" si="409"/>
        <v>0</v>
      </c>
      <c r="JW181" t="str">
        <f t="shared" si="410"/>
        <v>авто</v>
      </c>
      <c r="JX181" t="str">
        <f t="shared" si="411"/>
        <v/>
      </c>
      <c r="JY181">
        <f t="shared" si="412"/>
        <v>0</v>
      </c>
      <c r="JZ181">
        <f t="shared" si="413"/>
        <v>1</v>
      </c>
    </row>
    <row r="182" spans="1:286" x14ac:dyDescent="0.3">
      <c r="A182" t="s">
        <v>753</v>
      </c>
      <c r="B182" t="s">
        <v>1490</v>
      </c>
      <c r="C182" t="s">
        <v>1695</v>
      </c>
      <c r="D182">
        <v>1</v>
      </c>
      <c r="E182">
        <v>0.3</v>
      </c>
      <c r="G182">
        <v>16</v>
      </c>
      <c r="H182" t="str">
        <f>Линии[[#This Row],[_авто управление]]</f>
        <v/>
      </c>
      <c r="I182" t="str">
        <f>Линии[[#This Row],[_авто аппараты]]</f>
        <v/>
      </c>
      <c r="J182">
        <v>2.5</v>
      </c>
      <c r="K182">
        <v>98</v>
      </c>
      <c r="L182">
        <v>2</v>
      </c>
      <c r="M182" t="s">
        <v>484</v>
      </c>
      <c r="N182" t="str">
        <f t="shared" si="276"/>
        <v/>
      </c>
      <c r="O182" s="6" cm="1">
        <f t="array" ref="O182">IF(B182="","",IF(BH182&lt;&gt;"",IFERROR(_xlfn.XLOOKUP(BH182,Щиты[Щит],Щиты[Iр, А]),""),IF(BP182=1,IF(OR(N(_xlfn.XLOOKUP(A182,Щиты[Щит],Щиты[Вводов],1))&lt;=1,LOWER(TRIM(_xlfn.XLOOKUP(A182,Щиты[Щит],Щиты[АВР],"")&amp;""))="да"),IFERROR(_xlfn.XLOOKUP(A182,Щиты[Щит],Щиты[Iр, А]),""),IFERROR(N(BS182)*_xlfn.XLOOKUP(A182,Щиты[Щит],Щиты[Кс итог])/(SQRT(3)*Uн_лин*_xlfn.XLOOKUP(A182,Щиты[Щит],Щиты[cos φ])),"")),IF(BV182=1,IFERROR(BS182*1000/BU182,""),IFERROR(_xlfn.IFS(BX182=1,BS182/((Uн_лин/SQRT(3))*CE182),BX182=3,BS182/(SQRT(3)*Uн_лин*CE182)),"")))))</f>
        <v>1.3674085322912188</v>
      </c>
      <c r="P182" s="7">
        <f>IF(B182="","",IFERROR(IF(VLOOKUP(BC182,Потребители_обозначение,4,FALSE)=1,VLOOKUP(BC182,Потребители_обозначение,3,FALSE)*(MAX(1,N(D182))*2-1)+EI182+VLOOKUP(BE182,Этаж_обозначение,3,FALSE)+VLOOKUP(BE182,Этаж_обозначение,4,FALSE),VLOOKUP(BC182,Потребители_обозначение,3,FALSE)*(MAX(1,N(D182))*2-1)+EI182),EI182))</f>
        <v>98</v>
      </c>
      <c r="Q182" s="6">
        <f t="shared" si="277"/>
        <v>2.5700000000000003</v>
      </c>
      <c r="R182" t="str">
        <f t="shared" si="278"/>
        <v>ВВГнг(А)-LS (3х2,5)</v>
      </c>
      <c r="S182" t="str">
        <f>IF(BM182="","",IF(BN182="вводной узел","узел ","")&amp;"л."&amp;(INT((BM182-1)/Столбцов_на_лист)+1)&amp;" / "&amp;(MOD(BM182-1,Столбцов_на_лист)+1))</f>
        <v>л.3 / 6</v>
      </c>
      <c r="T182" s="119">
        <f t="shared" si="279"/>
        <v>1.5</v>
      </c>
      <c r="U182" s="7" t="str">
        <f>IF(OR(CG182=0,N(BV182)+N(IB182)=0),"",ROUNDUP(Запас_БП*(N(HY182)+N(HZ182)),0))</f>
        <v/>
      </c>
      <c r="V182" s="119" t="str">
        <f t="shared" si="280"/>
        <v/>
      </c>
      <c r="W182" s="7" t="str">
        <f>IFERROR(IF(OR(B182="",BP182=1,BV182=1,NOT(ISNUMBER(EN182)),N(DT182)=0),"",MAX(0,ROUNDDOWN((c_min*(Uн_лин*1000/SQRT(3))/(HT182*N(DT182))-_xlfn.XLOOKUP(A182,Щиты[Щит],Щиты[Zпетли на шинах, Ом]))*EN182/(2*ρкз_Cu),0))),"")</f>
        <v/>
      </c>
      <c r="Y182" t="str">
        <f>Линии[[#This Row],[_авто утечка]]</f>
        <v/>
      </c>
      <c r="Z182">
        <v>1</v>
      </c>
      <c r="AA182">
        <v>230</v>
      </c>
      <c r="AB182" t="s">
        <v>573</v>
      </c>
      <c r="AG182" t="s">
        <v>810</v>
      </c>
      <c r="AI182" t="s">
        <v>577</v>
      </c>
      <c r="AK182" t="str">
        <f>Линии[[#This Row],[_авто модуль]]</f>
        <v/>
      </c>
      <c r="AM182">
        <v>40</v>
      </c>
      <c r="AN182" t="s">
        <v>11</v>
      </c>
      <c r="AO182">
        <v>3</v>
      </c>
      <c r="AQ182">
        <v>32</v>
      </c>
      <c r="AR182">
        <v>56</v>
      </c>
      <c r="BA182" cm="1">
        <f t="array" ref="BA182">ROW()-ROW(Линии[#Headers])</f>
        <v>180</v>
      </c>
      <c r="BC182" s="6" t="str">
        <f t="shared" si="281"/>
        <v>ЩКД-6</v>
      </c>
      <c r="BD182" t="str">
        <f t="shared" si="282"/>
        <v/>
      </c>
      <c r="BE182" t="str">
        <f t="shared" si="283"/>
        <v/>
      </c>
      <c r="BF182" t="str">
        <f t="shared" si="284"/>
        <v/>
      </c>
      <c r="BG182" t="str">
        <f t="shared" si="285"/>
        <v/>
      </c>
      <c r="BH182" t="str">
        <f>IF(X182&lt;&gt;"",X182,IF(AND(B182&lt;&gt;"",B182&lt;&gt;A182,ISNUMBER(_xlfn.XMATCH(B182,Щиты[Щит]))),B182,""))</f>
        <v/>
      </c>
      <c r="BI182" t="str" cm="1">
        <f t="array" ref="BI182">IF(B182="","",IF(BH182&lt;&gt;"","Щит "&amp;BH182,_xlfn.LET(_xlpm.nm,IFERROR(_xlfn.XLOOKUP(BC182,Коды_код,Коды_имя)&amp;"",""),_xlpm.md,IFERROR(N(_xlfn.XLOOKUP(BC182,Коды_код,Коды_режим)),1),_xlpm.ex,IF(Имя_режим="по экспликации",IFERROR(_xlfn.XLOOKUP(BE182&amp;"|"&amp;BG182,Экспликация[Этаж]&amp;"|"&amp;Экспликация[Помещение],Экспликация[Название])&amp;"",""),""),_xlpm.rm,IF(BG182="","",IF(_xlpm.ex&lt;&gt;"",". "&amp;_xlpm.ex&amp;IF(Имя_пом="нет"," ("&amp;BG182&amp;")"," (пом. "&amp;BG182&amp;")"),IF(Имя_пом="нет"," ",", пом. ")&amp;BG182)),IF(_xlpm.nm="","",IF(_xlpm.md=2,_xlpm.nm&amp;" шлейф "&amp;BE182,_xlpm.nm&amp;_xlpm.rm)))))</f>
        <v/>
      </c>
      <c r="BJ182" t="str">
        <f t="shared" si="286"/>
        <v>Щит контроля доступа ШДК-06. Пом. Венткиосок</v>
      </c>
      <c r="BK182">
        <f>IFERROR(_xlfn.XMATCH(A182,Щиты[Щит]),0)</f>
        <v>8</v>
      </c>
      <c r="BL182">
        <f>_xlfn.LET(_xlpm.k,IFERROR(_xlfn.XLOOKUP(A182,Щиты[Щит],Щиты[Мест под вводной узел]),""),IF(_xlpm.k="",Столбцов_на_лист,N(_xlpm.k)))</f>
        <v>7</v>
      </c>
      <c r="BM182">
        <f t="shared" si="287"/>
        <v>40</v>
      </c>
      <c r="BN182" t="str">
        <f t="shared" si="288"/>
        <v>линии</v>
      </c>
      <c r="BO182" s="6">
        <f>IFERROR(N(_xlfn.XLOOKUP(BC182,Коды_код,Коды_квт)),0)</f>
        <v>0</v>
      </c>
      <c r="BP182">
        <f t="shared" si="289"/>
        <v>0</v>
      </c>
      <c r="BQ182" t="str">
        <f>IF(B182="","",IF(BH182&lt;&gt;"",IFERROR(_xlfn.XLOOKUP(BH182,Щиты[Щит],Щиты[Руст, кВт]),0),IF(BP182=1,IF(OR(N(_xlfn.XLOOKUP(A182,Щиты[Щит],Щиты[Вводов],1))&lt;=1,LOWER(TRIM(_xlfn.XLOOKUP(A182,Щиты[Щит],Щиты[АВР],"")&amp;""))="да"),IFERROR(_xlfn.XLOOKUP(A182,Щиты[Щит],Щиты[Руст, кВт]),0),SUMIFS(Линии[_Р для вводов],Линии[Щит],A182,Линии[Источник для режимов],GF182)),IF(BO182&gt;0,ROUND(BO182*MAX(1,N(D182)),3),""))))</f>
        <v/>
      </c>
      <c r="BR182">
        <f t="shared" si="290"/>
        <v>0.3</v>
      </c>
      <c r="BS182" s="6">
        <f>IF(B182="","",IF(BH182&lt;&gt;"",IFERROR(_xlfn.XLOOKUP(BH182,Щиты[Щит],Щиты[Руст, кВт]),0),N(BR182)))</f>
        <v>0.3</v>
      </c>
      <c r="BT182" t="str">
        <f>IF(B182="","",IFERROR(IF(VLOOKUP(BC182,Потребители_обозначение,8,FALSE)=0,"",VLOOKUP(BC182,Потребители_обозначение,8,FALSE)),""))</f>
        <v/>
      </c>
      <c r="BU182">
        <f t="shared" si="291"/>
        <v>230</v>
      </c>
      <c r="BV182">
        <f t="shared" si="292"/>
        <v>0</v>
      </c>
      <c r="BW182">
        <f>IF(B182="","",IF(BH182&lt;&gt;"",3,IFERROR(IF(N(VLOOKUP(BC182,Потребители_обозначение,9,FALSE))=0,1,VLOOKUP(BC182,Потребители_обозначение,9,FALSE)),1)))</f>
        <v>1</v>
      </c>
      <c r="BX182">
        <f t="shared" si="293"/>
        <v>1</v>
      </c>
      <c r="BY182" t="str">
        <f>IF(B182="","",_xlfn.LET(_xlpm.bc,IFERROR(IF(VLOOKUP(BC182,Потребители_обозначение,6,FALSE)=0,"",VLOOKUP(BC182,Потребители_обозначение,6,FALSE)&amp;""),""),IF(AND(GA182="да",OR(_xlpm.bc="",_xlpm.bc="мс")),Марка_пож,IF(AND(_xlpm.bc="",BH182&lt;&gt;""),"мс",_xlpm.bc))))</f>
        <v/>
      </c>
      <c r="BZ182" t="str">
        <f t="shared" si="294"/>
        <v>мс</v>
      </c>
      <c r="CA182">
        <f>IF(B182="","",_xlfn.LET(_xlpm.cc,IFERROR(N(VLOOKUP(BC182,Потребители_обозначение,7,FALSE)),0),IF(_xlpm.cc&gt;0,_xlpm.cc,IF(BZ182="","",IF(BV182=1,2,IF(N(BX182)=3,5,3))))))</f>
        <v>3</v>
      </c>
      <c r="CB182">
        <f t="shared" si="295"/>
        <v>3</v>
      </c>
      <c r="CC182">
        <f>IFERROR(N(VLOOKUP(BC182,Потребители_обозначение,10,FALSE)),0)</f>
        <v>0</v>
      </c>
      <c r="CD182">
        <f>IFERROR(VLOOKUP(BC182,Потребители_обозначение,5,FALSE),0)</f>
        <v>0</v>
      </c>
      <c r="CE182" s="6" cm="1">
        <f t="array" ref="CE182">IF(B182="","",IF(BH182&lt;&gt;"",IFERROR(_xlfn.XLOOKUP(BH182,Щиты[Щит],Щиты[cos φ]),0.95),IF(BP182=1,IFERROR(_xlfn.XLOOKUP(A182,Щиты[Щит],Щиты[cos φ]),0.95),IF(ISNUMBER(AD182),AD182,IFERROR(IF(CD182=2,_xlfn.IFS(BX182=3,VLOOKUP(BS182,Справочная_двигатели,8,FALSE),BX182=1,VLOOKUP(BS182,Справочная_двигатели,10,TRUE)),IF(AND(Методика="нормы 2026",FG182="Сил"),0.8,0.95)),0.95)))))</f>
        <v>0.95</v>
      </c>
      <c r="CF182">
        <f t="shared" si="296"/>
        <v>0</v>
      </c>
      <c r="CG182">
        <f t="shared" si="297"/>
        <v>1</v>
      </c>
      <c r="CH182">
        <f t="shared" si="298"/>
        <v>0</v>
      </c>
      <c r="CI182">
        <f>IF(B182="","",IF(BV182=1,IFERROR(BS182/((Uн_лин/SQRT(3))*MAX(0.5,N(CE182))),0),N(O182)))</f>
        <v>1.3674085322912188</v>
      </c>
      <c r="CJ182">
        <f t="shared" si="299"/>
        <v>0</v>
      </c>
      <c r="CK182">
        <f t="shared" si="300"/>
        <v>0</v>
      </c>
      <c r="CL182">
        <f t="shared" si="301"/>
        <v>0</v>
      </c>
      <c r="CM182">
        <f t="shared" si="302"/>
        <v>0</v>
      </c>
      <c r="CN182">
        <f t="shared" si="303"/>
        <v>0</v>
      </c>
      <c r="CO182">
        <f>IF(BC182="",0,_xlfn.LET(_xlpm.v,IFERROR(_xlfn.XLOOKUP(B182,Коды_код,Коды_мА),IFERROR(_xlfn.XLOOKUP(BC182,Коды_код,Коды_мА),IFERROR(_xlfn.XLOOKUP(LEFT(BC182,2),Коды_код,Коды_мА),""))),IF(_xlpm.v="да",30,IF(ISNUMBER(_xlpm.v),_xlpm.v,0))))</f>
        <v>0</v>
      </c>
      <c r="CP182" t="str">
        <f t="shared" si="304"/>
        <v/>
      </c>
      <c r="CQ182" t="str">
        <f>_xlfn.LET(_xlpm.k,IFERROR(_xlfn.XLOOKUP(BC182,Коды_код,Коды_утечка)&amp;"",""),IF(_xlpm.k="","дифавтомат",_xlpm.k))</f>
        <v>дифавтомат</v>
      </c>
      <c r="CR182" t="str" cm="1">
        <f t="array" ref="CR182">IF(CG182=0,"",_xlfn.LET(_xlpm.sg,TRIM(_xlfn.TEXTSPLIT(DD182&amp;"",";")),_xlpm.f_,_xlfn._xlws.FILTER(_xlpm.sg,LEFT(_xlpm.sg,3)="УЗО",""),IFERROR(INDEX(_xlpm.f_,1)&amp;"","")))</f>
        <v/>
      </c>
      <c r="CS182" t="str">
        <f t="shared" si="305"/>
        <v/>
      </c>
      <c r="CT182" s="6" t="str" cm="1">
        <f t="array" ref="CT182">IF(CR182="","",_xlfn.LET(_xlpm.tk,_xlfn.TEXTSPLIT(UPPER(CR182)," ",,TRUE),_xlpm.a_,_xlfn._xlws.FILTER(_xlpm.tk,ISNUMBER(--LEFT(_xlpm.tk,1))*((ISNUMBER(SEARCH("А",_xlpm.tk))+ISNUMBER(SEARCH("A",_xlpm.tk)))&gt;0)*NOT(ISNUMBER(SEARCH("МА",_xlpm.tk)))*NOT(ISNUMBER(SEARCH("MA",_xlpm.tk))),""),IFERROR(--SUBSTITUTE(SUBSTITUTE(INDEX(_xlpm.a_,1),"А",""),"A",""),"")))</f>
        <v/>
      </c>
      <c r="CU182" t="str" cm="1">
        <f t="array" ref="CU182">IF(CR182="","",_xlfn.LET(_xlpm.tk,_xlfn.TEXTSPLIT(UPPER(CR182)," ",,TRUE),_xlpm.a_,_xlfn._xlws.FILTER(_xlpm.tk,ISNUMBER(--LEFT(_xlpm.tk,1))*((ISNUMBER(SEARCH("МА",_xlpm.tk))+ISNUMBER(SEARCH("MA",_xlpm.tk)))&gt;0),""),IFERROR(--SUBSTITUTE(SUBSTITUTE(INDEX(_xlpm.a_,1),"МА",""),"MA",""),30)))</f>
        <v/>
      </c>
      <c r="CV182" t="str">
        <f>IF(CS182="","",IFERROR(_xlfn.XLOOKUP(CS182,Линии[_n],Линии[_УЗО, мА]),30))</f>
        <v/>
      </c>
      <c r="CW182">
        <f>IF(CS182="",0,IF(ISNUMBER(SEARCH("4P",IFERROR(_xlfn.XLOOKUP(CS182,Линии[_n],Линии[_УЗО строки])&amp;"",""))),0,1))</f>
        <v>0</v>
      </c>
      <c r="CX182" t="str">
        <f>IF(AND(CS182&lt;&gt;"",CS182=BA182),SUMIFS(Линии[_ток на 230 В],Линии[_блок УЗО],BA182,Линии[Щит],A182),"")</f>
        <v/>
      </c>
      <c r="CY182" t="str">
        <f>IF(AND(CS182&lt;&gt;"",CS182=BA182),SUMIFS(Линии[_ток утечки линии, мА],Линии[_блок УЗО],BA182,Линии[Щит],A182),"")</f>
        <v/>
      </c>
      <c r="CZ182">
        <f t="shared" si="306"/>
        <v>0</v>
      </c>
      <c r="DA182">
        <f t="shared" si="307"/>
        <v>0</v>
      </c>
      <c r="DB182">
        <f>IF(B182="",0,IFERROR(--_xlfn.XLOOKUP(B182,Коды_код,Коды_минавт),IFERROR(--_xlfn.XLOOKUP(BC182,Коды_код,Коды_минавт),IFERROR(--_xlfn.XLOOKUP(LEFT(BC182,2),Коды_код,Коды_минавт),0))))</f>
        <v>0</v>
      </c>
      <c r="DC182" t="str">
        <f>IF(B182="","",IFERROR(_xlfn.XLOOKUP(BC182,Коды_код,Коды_апп)&amp;"",""))</f>
        <v/>
      </c>
      <c r="DD182" t="str">
        <f t="shared" si="308"/>
        <v/>
      </c>
      <c r="DE182" t="str" cm="1">
        <f t="array" ref="DE182">IF(TRIM(DD182&amp;"")="","",IFERROR(TRIM(INDEX(_xlfn.TEXTSPLIT(DD182&amp;";;;",";"),1)),""))</f>
        <v/>
      </c>
      <c r="DF182" t="str" cm="1">
        <f t="array" ref="DF182">IF(TRIM(DD182&amp;"")="","",IFERROR(TRIM(INDEX(_xlfn.TEXTSPLIT(DD182&amp;";;;",";"),2)),""))</f>
        <v/>
      </c>
      <c r="DG182" t="str" cm="1">
        <f t="array" ref="DG182">IF(TRIM(DD182&amp;"")="","",IFERROR(TRIM(INDEX(_xlfn.TEXTSPLIT(DD182&amp;";;;",";"),3)),""))</f>
        <v/>
      </c>
      <c r="DH182">
        <f t="shared" si="309"/>
        <v>0</v>
      </c>
      <c r="DI182" t="str">
        <f>IF(B182="","",_xlfn.LET(_xlpm.t,LOWER(AZ182&amp;""),IF(ISNUMBER(SEARCH("dim",_xlpm.t)),"DIM",IF(ISNUMBER(SEARCH("dali",_xlpm.t)),"DALI",IF(OR(ISNUMBER(SEARCH("relay",_xlpm.t)),ISNUMBER(SEARCH("реле",_xlpm.t))),"Relay",IF(ISNUMBER(SEARCH("кнопк",_xlpm.t)),"",IFERROR(_xlfn.XLOOKUP(BC182,Коды_код,Коды_упр)&amp;"","")))))))</f>
        <v/>
      </c>
      <c r="DJ182" t="str">
        <f t="shared" si="310"/>
        <v/>
      </c>
      <c r="DK182">
        <f>IF(B182="","",_xlfn.LET(_xlpm.ig,IF(N(CX182)&gt;0,N(CX182),N(CI182)+IF(AJ182="вручную",0,N(CJ182))),_xlpm.n0,IFERROR(VLOOKUP(_xlpm.ig,Автомат_номиналы,2,TRUE),0),_xlpm.mn,MAX(DB182,IF(AJ182="вручную",0,N(CM182))),MAX(_xlpm.n0,_xlpm.mn,IF(DH182=1,Мин_автомат_БП,0))))</f>
        <v>6</v>
      </c>
      <c r="DL182">
        <f t="shared" si="311"/>
        <v>1</v>
      </c>
      <c r="DM182" t="str">
        <f t="shared" si="312"/>
        <v>1P</v>
      </c>
      <c r="DN182" t="str">
        <f>_xlfn.LET(_xlpm.cc,UPPER(TRIM(IFERROR(_xlfn.XLOOKUP(BC182,Коды_код,Коды_хар)&amp;"",""))),IF(OR(_xlpm.cc="B",_xlpm.cc="В"),"B",IF(_xlpm.cc="D","D","С")))</f>
        <v>С</v>
      </c>
      <c r="DO182" t="str">
        <f t="shared" si="313"/>
        <v>1P С6А</v>
      </c>
      <c r="DP182">
        <f t="shared" si="314"/>
        <v>16</v>
      </c>
      <c r="DQ182" t="str">
        <f t="shared" si="315"/>
        <v>1P С16А</v>
      </c>
      <c r="DR182" cm="1">
        <f t="array" ref="DR182">IF(DQ182="","",_xlfn.LET(_xlpm.t,SUBSTITUTE(SUBSTITUTE(SUBSTITUTE(UPPER(DQ182),"С","C"),"А","A"),"В","B"),_xlpm.tk,_xlfn.TEXTSPLIT(_xlpm.t," "),_xlpm.f,_xlfn._xlws.FILTER(_xlpm.tk,ISNUMBER(--MID(_xlpm.tk,2,1))*ISNUMBER(SEARCH(LEFT(_xlpm.tk,1)&amp;"#","B#C#D#"))*(LEN(_xlpm.tk)&gt;1),""),_xlpm.x,INDEX(_xlpm.f,1),IFERROR(--SUBSTITUTE(MID(_xlpm.x,2,9),"A",""),IFERROR(--SUBSTITUTE(INDEX(_xlfn._xlws.FILTER(_xlpm.tk,ISNUMBER(--SUBSTITUTE(_xlpm.tk,"A","")),""),1),"A",""),""))))</f>
        <v>16</v>
      </c>
      <c r="DS182" t="str">
        <f t="shared" si="316"/>
        <v>ok</v>
      </c>
      <c r="DT182">
        <f t="shared" si="317"/>
        <v>16</v>
      </c>
      <c r="DU182" t="str">
        <f t="shared" si="318"/>
        <v>1P С16А</v>
      </c>
      <c r="DV182">
        <f t="shared" si="319"/>
        <v>0</v>
      </c>
      <c r="DW182">
        <f t="shared" si="320"/>
        <v>0</v>
      </c>
      <c r="DX182">
        <f t="shared" si="321"/>
        <v>0</v>
      </c>
      <c r="DY182">
        <f t="shared" si="322"/>
        <v>1.3674085322912188</v>
      </c>
      <c r="DZ182">
        <f t="shared" si="323"/>
        <v>1</v>
      </c>
      <c r="EA182">
        <f>IF(ISNUMBER(AP182),AP182,К_прокл)</f>
        <v>1</v>
      </c>
      <c r="EB182">
        <f t="shared" si="324"/>
        <v>2</v>
      </c>
      <c r="EC182">
        <f>IFERROR(N(VLOOKUP(BZ182,Кабель_обозначение,3,FALSE)),1)</f>
        <v>1</v>
      </c>
      <c r="ED182">
        <f>IFERROR(N(_xlfn.XLOOKUP(A182,Щиты[Щит],Щиты[ΔU до шин, %])),0)</f>
        <v>1.57</v>
      </c>
      <c r="EE182" t="str">
        <f>IFERROR(_xlfn.XLOOKUP(A182,Щиты[Щит],Щиты[Zпетли на шинах, Ом]),"")</f>
        <v/>
      </c>
      <c r="EF182">
        <f>IFERROR(N(_xlfn.XLOOKUP(A182,Щиты[Щит],Щиты[ΔU до шин (подбор), %])),0)</f>
        <v>2.5</v>
      </c>
      <c r="EG182" t="str">
        <f>IFERROR(_xlfn.XLOOKUP(A182,Щиты[Щит],Щиты[Zпетли на шинах (подбор), Ом]),"")</f>
        <v/>
      </c>
      <c r="EH182" t="str">
        <f t="shared" si="325"/>
        <v/>
      </c>
      <c r="EI182">
        <f t="shared" si="326"/>
        <v>98</v>
      </c>
      <c r="EJ182">
        <f t="shared" si="327"/>
        <v>2</v>
      </c>
      <c r="EK182">
        <f t="shared" si="328"/>
        <v>0.31</v>
      </c>
      <c r="EL182" s="6">
        <f>IF(B182="","",IF(BV182=1,dU_LED,IF(IFERROR(_xlfn.XLOOKUP(BC182,Коды_код,Коды_уго),"")="Светильник",3,4)+IF(Методика="нормы 2026",MIN(0.5,MAX(0,N(P182)-100)*0.005),0)))</f>
        <v>4</v>
      </c>
      <c r="EM182" cm="1">
        <f t="array" ref="EM182">IF(OR(B182="",BZ182="",EC182&lt;&gt;1),"",_xlfn.LET(_xlpm.sz,Iдоп_S,_xlpm.t_,CHOOSE(EB182,Iдоп_1ж,Iдоп_2ж,Iдоп_3ж)*DZ182*EA182,_xlpm.dcx,BV182=1,_xlpm.inn,IF(_xlpm.dcx,N(O182),N(DT182)),_xlpm.smin,MAX(1.5,CC182),_xlpm.L_,N(P182)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182)/N(BU182)*100,999),IFERROR(N(EJ182)*(_xlpm.rho*_xlpm.L_/_xlpm.sz*N(CE182)+_xlpm.xx*_xlpm.L_*N(EK182)/1000)*N(O182)/((Uн_лин/SQRT(3))*1000)*100,999)),_xlpm.kz,IF(OR(_xlpm.dcx,DW182=1,NOT(ISNUMBER(EG182)),_xlpm.L_=0,_xlpm.inn=0),1,IFERROR(--(c_min*(Uн_лин*1000/SQRT(3))/(EG182+2*ρкз_Cu*_xlpm.L_/_xlpm.sz)&gt;=HT182*_xlpm.inn),0)),_xlpm.ok,IFERROR((_xlpm.sz&gt;=_xlpm.smin)*(_xlpm.t_&gt;=_xlpm.inn)*IF(_xlpm.L_&gt;0,(_xlpm.du_+IF(_xlpm.dcx,0,EF182)&lt;=EL182+0.00001),1)*_xlpm.kz,0),_xlpm.r_,_xlfn._xlws.FILTER(_xlpm.sz,_xlpm.ok,"не подобрано"),INDEX(_xlpm.r_,1)))</f>
        <v>2.5</v>
      </c>
      <c r="EN182">
        <f t="shared" si="329"/>
        <v>2.5</v>
      </c>
      <c r="EO182" cm="1">
        <f t="array" ref="EO182">IF(OR(B182="",BZ182="",EC182&lt;&gt;1),"",_xlfn.LET(_xlpm.sz,Iдоп_S,_xlpm.t_,CHOOSE(EB182,Iдоп_1ж,Iдоп_2ж,Iдоп_3ж)*DZ182*EA182,_xlpm.ok,IFERROR((_xlpm.sz&gt;=MAX(1.5,CC182))*(_xlpm.t_&gt;=N(DT182)),0),_xlpm.r_,_xlfn._xlws.FILTER(_xlpm.sz,_xlpm.ok,""),INDEX(_xlpm.r_,1)))</f>
        <v>1.5</v>
      </c>
      <c r="EP182" s="6" cm="1">
        <f t="array" ref="EP182">IFERROR(ROUNDUP(N(EJ182)*(_xlfn.XLOOKUP(EO182,INDEX(Кабель_сопротивление,0,1),INDEX(Кабель_сопротивление,0,3))*N(P182)/EO182*N(CE182)+_xlfn.XLOOKUP(EO182,INDEX(Кабель_сопротивление,0,1),INDEX(Кабель_сопротивление,0,2))*N(P182)*N(EK182)/1000)*N(O182)/((Uн_лин/SQRT(3))*1000)*100,2),"")</f>
        <v>1.66</v>
      </c>
      <c r="EQ182">
        <f>IFERROR(2*ρкз_Cu*N(P182)/EO182,"")</f>
        <v>3.4365333333333332</v>
      </c>
      <c r="ER182">
        <f>IFERROR(VLOOKUP(EN182,Кабель_сопротивление,3,FALSE),"")</f>
        <v>2.2499999999999999E-2</v>
      </c>
      <c r="ES182">
        <f>IFERROR(VLOOKUP(EN182,Кабель_сопротивление,2,FALSE),"")</f>
        <v>0.1</v>
      </c>
      <c r="ET182">
        <f t="shared" si="330"/>
        <v>56</v>
      </c>
      <c r="EU182" t="str">
        <f t="shared" si="331"/>
        <v/>
      </c>
      <c r="EV182">
        <f t="shared" si="332"/>
        <v>2.2998115926558258</v>
      </c>
      <c r="EW182" s="6">
        <f>IFERROR(ROUNDUP(EV182/IF(BV182=1,BU182,(Uн_лин/SQRT(3))*1000)*100,2),"")</f>
        <v>1</v>
      </c>
      <c r="EX182" t="str">
        <f>IFERROR(VLOOKUP(BZ182,Кабель_обозначение,2,FALSE),"")</f>
        <v>ВВГнг(А)-LS</v>
      </c>
      <c r="EY182" t="str">
        <f t="shared" si="333"/>
        <v>ВВГнг(А)-LS (3х2,5)</v>
      </c>
      <c r="EZ182" t="str">
        <f t="shared" si="334"/>
        <v>ВВГнг(А)-LS (3х2,5)
L=98-1%</v>
      </c>
      <c r="FA182">
        <f>IFERROR(2*ρкз_Cu*P182/EN182,"")</f>
        <v>2.0619199999999998</v>
      </c>
      <c r="FB182">
        <f t="shared" si="335"/>
        <v>0.68600000000000005</v>
      </c>
      <c r="FC182" s="6" t="str">
        <f>IFERROR(IF(OR(B182="",BV182=1,NOT(ISNUMBER(EN182)),N(P182)=0),"",_xlfn.XLOOKUP(A182,Щиты[Щит],Щиты[Zпетли на шинах, Ом])+FA182),"")</f>
        <v/>
      </c>
      <c r="FD182" s="6" t="str">
        <f>IF(ISNUMBER(FC182),c_min*(Uн_лин*1000/SQRT(3))/FC182,"")</f>
        <v/>
      </c>
      <c r="FE182" s="6" t="str">
        <f>IFERROR(IF(OR(B182="",NOT(ISNUMBER(EN182))),"",1.05*(Uн_лин*1000/SQRT(3))/(_xlfn.XLOOKUP(A182,Щиты[Щит],Щиты[Zmax на шинах, Ом])+FB182)/1000),"")</f>
        <v/>
      </c>
      <c r="FF182" s="6" t="str">
        <f>IF(B182="","",IF(ISNUMBER(AC182),"Сил",IF(IFERROR(_xlfn.XLOOKUP(BC182,Коды_код,Коды_группа)&amp;"","")="","Быт",_xlfn.XLOOKUP(BC182,Коды_код,Коды_группа)&amp;"")))</f>
        <v>Быт</v>
      </c>
      <c r="FG182" s="6" t="str">
        <f t="shared" si="336"/>
        <v>Пост</v>
      </c>
      <c r="FH182" s="6">
        <f>IF(FG182="Щит","щит",IF(FG182="","",IF(FG182="Быт",IFERROR(_xlfn.XLOOKUP(A182,Щиты[Щит],Щиты[Кс быт]),1),IF(FG182="Сил",IF(ISNUMBER(AC182),AC182,IF(Методика="нормы 2026",IFERROR(_xlfn.XLOOKUP(A182,Щиты[Щит],Щиты[Кс силовых (табл. 7.5)]),1),1)),IF(OR(FG182="Пост",FG182="Отоп"),1,IF(FG182="ВНГ",0.7,0))))))</f>
        <v>1</v>
      </c>
      <c r="FI182">
        <f>IF(FG182="","",IF(AND(BP182=1,TRIM(AE182&amp;"")=""),IF(COUNTIFS(Линии[Щит],A182,Линии[Секция (1/2/3)],"&gt;=2")&gt;0,MIN(3,MAX(1,IFERROR(--BD182,1))),1),IFERROR(MIN(3,MAX(1,INT(--AE182))),1)))</f>
        <v>1</v>
      </c>
      <c r="FJ182">
        <f t="shared" si="337"/>
        <v>0.3</v>
      </c>
      <c r="FK182">
        <f t="shared" si="338"/>
        <v>0</v>
      </c>
      <c r="FL182">
        <f t="shared" si="339"/>
        <v>0</v>
      </c>
      <c r="FM182">
        <f t="shared" si="340"/>
        <v>0.3</v>
      </c>
      <c r="FN182">
        <f t="shared" si="341"/>
        <v>0</v>
      </c>
      <c r="FO182">
        <f t="shared" si="342"/>
        <v>0</v>
      </c>
      <c r="FP182">
        <f t="shared" si="343"/>
        <v>0.3</v>
      </c>
      <c r="FQ182">
        <f t="shared" si="344"/>
        <v>0.3</v>
      </c>
      <c r="FR182">
        <f t="shared" si="345"/>
        <v>0.28499999999999998</v>
      </c>
      <c r="FS182">
        <f>IF(CG182=1,IF(AND(CH182=1,CW182=1),0,IF(AND(CS182&lt;&gt;"",CS182=BA182,CW182=1),SUMIFS(Линии[_Р линии, кВт],Линии[_блок УЗО],BA182,Линии[Щит],A182),N(BS182)+IF(AJ182="вручную",0,N(CK182)))),0)</f>
        <v>0.3</v>
      </c>
      <c r="FT182" t="str">
        <f t="shared" si="346"/>
        <v>L2</v>
      </c>
      <c r="FU182" t="str">
        <f>IF(B182="","",IF(CG182=0,IF(BA182=1,"",FW181),IF(AND(CH182=1,CW182=1,CS182&lt;&gt;""),IFERROR(_xlfn.XLOOKUP(CS182,Линии[_n],Линии[_фаза итог]),"L1"),IF(OR(N(DL182)&gt;=3,N(BX182)&gt;=3),"L1,L2,L3",IFERROR(_xlfn.TEXTBEFORE(_xlfn.TEXTAFTER(_xlfn.XLOOKUP(A182,Щиты[Щит],Щиты[_фазы авто]),";"&amp;BA182&amp;":"),";"),"L1")))))</f>
        <v>L1</v>
      </c>
      <c r="FV182" t="str">
        <f t="shared" si="347"/>
        <v>L2</v>
      </c>
      <c r="FW182" t="str">
        <f t="shared" si="348"/>
        <v>L2</v>
      </c>
      <c r="FX182" cm="1">
        <f t="array" ref="FX182">IFERROR(IF(CD182=2,_xlfn.IFS(BX182=3,VLOOKUP(BS182,Справочная_двигатели,3,FALSE),BX182=1,VLOOKUP(BS182,Справочная_двигатели,5,TRUE)),0),0)</f>
        <v>0</v>
      </c>
      <c r="FY182">
        <f>IFERROR(IF(CD182=3,VLOOKUP(BS182,Справочная_ЛЭД,2,TRUE),0),0)</f>
        <v>0</v>
      </c>
      <c r="FZ182" s="6">
        <f t="shared" si="349"/>
        <v>0</v>
      </c>
      <c r="GA182" t="str">
        <f>IF(B182="","",IF(TRIM(AH182&amp;"")&lt;&gt;"",IF(LOWER(TRIM(AH182&amp;""))="да","да","нет"),IF(IFERROR(_xlfn.XLOOKUP(BC182,Коды_код,Коды_пожарная),"")="да","да","нет")))</f>
        <v>нет</v>
      </c>
      <c r="GB182" t="str">
        <f t="shared" si="350"/>
        <v/>
      </c>
      <c r="GC182" t="str">
        <f t="shared" si="351"/>
        <v>основная</v>
      </c>
      <c r="GD182">
        <f>IF(AND(BP182=1,TRIM(AE182&amp;"")=""),IF(COUNTIFS(Линии[Щит],A182,Линии[Секция (1/2/3)],"&gt;=2")&gt;0,MIN(3,MAX(1,IFERROR(--BD182,1))),1),IFERROR(MIN(3,MAX(1,INT(--AE182))),1))</f>
        <v>1</v>
      </c>
      <c r="GE182" t="str" cm="1">
        <f t="array" ref="GE182">IF(B182="","",_xlfn.LET(_xlpm.t,IFERROR(_xlfn.XLOOKUP(1,(Шины[Шина]=GC182)*(((Шины[Щит]=A182)+(Шины[Щит]=""))&gt;0),Шины[Тип]),"")&amp;"",IF(_xlpm.t&lt;&gt;"",_xlpm.t,IF(ISNUMBER(SEARCH("ИБП",GC182)),"ИБП",IF(ISNUMBER(SEARCH("ДГУ",GC182)),"ДГУ","Ввод "&amp;GD182)))))</f>
        <v>Ввод 1</v>
      </c>
      <c r="GF182" t="str">
        <f t="shared" si="352"/>
        <v>Ввод 1</v>
      </c>
      <c r="GG182" t="str">
        <f>IF(BP182=0,"",IF(TRIM(AG182&amp;"")&lt;&gt;"",TRIM(AG182&amp;""),IF(OR(GE182="ИБП",GE182="ДГУ"),"I особая",_xlfn.XLOOKUP(A182,Щиты[Щит],Щиты[Категория шины «Ввод»],"III"))))</f>
        <v/>
      </c>
      <c r="GH182" t="str">
        <f>IF(A182="","",_xlfn.XLOOKUP(A182,Щиты[Щит],Щиты[Путь],""))</f>
        <v>|ГРЩ-ЖД|ЩР-001|</v>
      </c>
      <c r="GI182" t="str">
        <f>IF(B182="","",IF(AI182&lt;&gt;"",AI182,IF(IFERROR(_xlfn.XLOOKUP(BC182,Коды_код,Коды_вид)&amp;"","")="","Прочее",_xlfn.XLOOKUP(BC182,Коды_код,Коды_вид)&amp;"")))</f>
        <v>Системы безопасности и связи</v>
      </c>
      <c r="GJ182">
        <f>IF(BM182="","",INT((BM182-1)/Столбцов_на_лист)+1)</f>
        <v>3</v>
      </c>
      <c r="GK182" t="str">
        <f t="shared" si="353"/>
        <v>ВВГнг(А)-LS (3х2,5) L=98-1%</v>
      </c>
      <c r="GL182">
        <f t="shared" si="354"/>
        <v>0.3</v>
      </c>
      <c r="GM182">
        <f t="shared" si="355"/>
        <v>1.37</v>
      </c>
      <c r="GN182">
        <f t="shared" si="356"/>
        <v>1</v>
      </c>
      <c r="GO182">
        <f t="shared" si="357"/>
        <v>0</v>
      </c>
      <c r="GP182">
        <f t="shared" si="358"/>
        <v>1</v>
      </c>
      <c r="GQ182">
        <f>IF(BM182="","",IF(AND(CG182=1,GP182=1),COUNTIFS(A$3:A182,A182,CG$3:CG182,1,GP$3:GP182,1),IF(OR(OR(BA182=1,A182&lt;&gt;A181),AJ182="вручную",GP182=0),"",IF(BA182=1,"",GR181))))</f>
        <v>28</v>
      </c>
      <c r="GR182">
        <f t="shared" si="359"/>
        <v>28</v>
      </c>
      <c r="GS182">
        <f>IF(B182="","",IFERROR(LOOKUP(INDEX(CHOOSE(EB182,Iдоп_1ж,Iдоп_2ж,Iдоп_3ж),MATCH(EN182,Iдоп_S,0))*DZ182*EA182,{6,10,16,20,25,32,40,50,63,80,100,125,160,200,250,315,400,500,630}),""))</f>
        <v>25</v>
      </c>
      <c r="GT182" t="str">
        <f t="shared" si="360"/>
        <v>QF28</v>
      </c>
      <c r="GU182" t="str">
        <f t="shared" si="361"/>
        <v>QF28</v>
      </c>
      <c r="GV182" t="str">
        <f t="shared" si="362"/>
        <v/>
      </c>
      <c r="GW182">
        <f t="shared" si="363"/>
        <v>0</v>
      </c>
      <c r="GX182" t="str">
        <f>IF(OR(B182="",DJ182=""),"",IFERROR(_xlfn.XLOOKUP(DJ182,Модули_умолч[Управление],Модули_умолч[Модель])&amp;"",""))</f>
        <v/>
      </c>
      <c r="GY182">
        <f>IF(DJ182="",1,IFERROR(MAX(0,N(_xlfn.XLOOKUP(DJ182,Модули_умолч[Управление],Модули_умолч[Каналов на линию]))),1))</f>
        <v>1</v>
      </c>
      <c r="GZ182" t="str">
        <f t="shared" si="364"/>
        <v/>
      </c>
      <c r="HA182" t="str">
        <f t="shared" si="365"/>
        <v/>
      </c>
      <c r="HB182" t="str">
        <f t="shared" si="366"/>
        <v/>
      </c>
      <c r="HC182">
        <f>IF(HB182="",0,IFERROR(N(VLOOKUP(HB182,Модули_спр,3,FALSE)),0))</f>
        <v>0</v>
      </c>
      <c r="HD182" t="str">
        <f t="shared" si="367"/>
        <v/>
      </c>
      <c r="HE182" t="str">
        <f t="shared" si="368"/>
        <v/>
      </c>
      <c r="HF182" t="str">
        <f>IF(OR(HE182="",HE182="-"),"",IFERROR(VLOOKUP(HE182,Модули_спр,2,FALSE),"R"))</f>
        <v/>
      </c>
      <c r="HG182" t="str">
        <f>IF(HF182="","",HF182&amp;"."&amp;COUNTIFS(A$3:A182,A182,HF$3:HF182,HF182))</f>
        <v/>
      </c>
      <c r="HH182" t="str">
        <f t="shared" si="369"/>
        <v/>
      </c>
      <c r="HI182" t="str">
        <f t="shared" si="370"/>
        <v/>
      </c>
      <c r="HJ182" t="str">
        <f t="shared" si="371"/>
        <v/>
      </c>
      <c r="HK182" t="str">
        <f t="shared" si="372"/>
        <v/>
      </c>
      <c r="HL182">
        <f t="shared" si="373"/>
        <v>1</v>
      </c>
      <c r="HM182" t="str">
        <f>IF(HL182=1,"XT"&amp;COUNTIFS(A$3:A182,A182,HL$3:HL182,1),"")</f>
        <v>XT28</v>
      </c>
      <c r="HN182" t="str">
        <f t="shared" si="374"/>
        <v/>
      </c>
      <c r="HO182" t="str">
        <f t="shared" si="375"/>
        <v>QF28</v>
      </c>
      <c r="HP182" t="str">
        <f t="shared" si="376"/>
        <v/>
      </c>
      <c r="HQ182" t="str">
        <f t="shared" si="377"/>
        <v>ok</v>
      </c>
      <c r="HR182" t="str">
        <f>IF(OR(HJ182="",HH182=""),"",IF(HJ182+MAX(0,GY182-1)&gt;IFERROR(VLOOKUP(HI182,Модули_спр,3,FALSE),99),"ЛИШНИЙ КАНАЛ",IF(AND(AL182&lt;&gt;"=",GY182&gt;0,COUNTIFS(Линии[_модуль гр.],HH182,Линии[Канал (итог)],HJ182,Линии[Канал],"&lt;&gt;=",Линии[Щит],A182)&gt;1),"ДУБЛЬ КАНАЛА","")))</f>
        <v/>
      </c>
      <c r="HS182" s="6" t="str">
        <f t="shared" si="378"/>
        <v/>
      </c>
      <c r="HT182">
        <f t="shared" si="379"/>
        <v>10</v>
      </c>
      <c r="HU182" t="str">
        <f t="shared" si="380"/>
        <v/>
      </c>
      <c r="HV182">
        <f t="shared" si="381"/>
        <v>1.5269634129164875</v>
      </c>
      <c r="HW182">
        <f t="shared" si="382"/>
        <v>0</v>
      </c>
      <c r="HX182">
        <f t="shared" si="383"/>
        <v>0</v>
      </c>
      <c r="HY182">
        <f t="shared" si="384"/>
        <v>0</v>
      </c>
      <c r="HZ182">
        <f t="shared" si="385"/>
        <v>0</v>
      </c>
      <c r="IA182">
        <f t="shared" si="386"/>
        <v>0</v>
      </c>
      <c r="IB182">
        <f t="shared" si="387"/>
        <v>0</v>
      </c>
      <c r="IC182" t="str">
        <f t="shared" si="388"/>
        <v/>
      </c>
      <c r="ID182" t="str" cm="1">
        <f t="array" ref="ID182">IF(IC182="","",_xlfn.LET(_xlpm.tk,_xlfn.TEXTSPLIT(SUBSTITUTE(SUBSTITUTE(IC182,";"," "),"→"," ")," ",,TRUE),_xlpm.w_,_xlfn._xlws.FILTER(_xlpm.tk,ISNUMBER(--LEFT(_xlpm.tk,1))*((ISNUMBER(SEARCH("W",_xlpm.tk))+ISNUMBER(SEARCH("Вт",_xlpm.tk)))&gt;0),""),IFERROR(--SUBSTITUTE(SUBSTITUTE(UPPER(INDEX(_xlpm.w_,1)),"W",""),"ВТ",""),"")))</f>
        <v/>
      </c>
      <c r="IE182" t="str" cm="1">
        <f t="array" ref="IE182">IF(IC182="","",_xlfn.LET(_xlpm.tk,_xlfn.TEXTSPLIT(SUBSTITUTE(SUBSTITUTE(IC182,";"," "),"→"," ")," ",,TRUE),_xlpm.v_,_xlfn._xlws.FILTER(_xlpm.tk,ISNUMBER(--LEFT(_xlpm.tk,1))*((ISNUMBER(SEARCH("V",_xlpm.tk))+(RIGHT(UPPER(_xlpm.tk))="В"))&gt;0),""),IFERROR(--SUBSTITUTE(SUBSTITUTE(UPPER(INDEX(_xlpm.v_,1)),"V",""),"В",""),"")))</f>
        <v/>
      </c>
      <c r="IF182" s="6" t="str">
        <f>IF(OR(BV182=0,HI182="",HJ182=""),"",IFERROR(N(_xlfn.XLOOKUP(HI182,Каталог!$C$4:$C$500,Каталог!$Q$4:$Q$500)),""))</f>
        <v/>
      </c>
      <c r="IG182" s="6" t="str">
        <f>IF(N(IF182)=0,"",SUMIFS(Линии[Iр, А],Линии[Щит],A182,Линии[_модуль гр.],HH182,Линии[Канал (итог)],HJ182))</f>
        <v/>
      </c>
      <c r="IH182" t="str">
        <f>IF(AND(B182="",HO182=""),"",_xlfn.TEXTJOIN("; ",TRUE,IF(AND(B182&lt;&gt;"",FV182=""),"нет фазы",""),IF(AND(B182&lt;&gt;"",N(GL182)=0,FG182&lt;&gt;"Нет"),"нет мощности",""),IF(AND(HN182&lt;&gt;"",COUNTIFS(Линии[Щит],A182,Линии[Клемма (итог)],HN182)&gt;1),"дубль клеммы "&amp;HN182,""),IF(AND(HQ182&lt;&gt;"",HQ182&lt;&gt;"ok"),HQ182,""),IF(HR182&lt;&gt;"",HR182,""),IF(AND(N(CB182)&gt;=4,N(BX182)=1),CB182&amp;" жил на 1 фазе",""),IF(AND(BC182="R",CG182=1,IF(CS182&lt;&gt;"",N(CV182)&gt;30,OR(N(DA182)=0,N(DA182)&gt;30))),"розетка без дифзащиты до 30 мА",""),IF(AND(CG182=1,N(DA182)&gt;0,ISNUMBER(T182)),IF(T182&gt;N(DA182)/3,"ток утечки "&amp;FIXED(T182,1)&amp;" мА &gt; 1/3 уставки ("&amp;DA182&amp;" мА)",""),""),IF(AND(CH182=1,CS182=""),"«узо»: нет строки с УЗО выше (УЗО 2P 40А 30мА в «Аппаратах»)",""),IF(AND(CS182&lt;&gt;"",CS182=BA182),IF(CT182="","впишите номинал УЗО (УЗО 2P 40А 30мА)",IF(N(CT182)&lt;N(DT182),"УЗО "&amp;CT182&amp;" А &lt; автомата "&amp;DT182&amp;" А перед ним",IF(N(CT182)&lt;N(CX182),"УЗО "&amp;CT182&amp;" А &lt; тока блока "&amp;FIXED(CX182,1)&amp;" А",""))),""),IF(AND(CS182&lt;&gt;"",CS182=BA182,ISNUMBER(CY182)),IF(CY182&gt;N(CV182)/3,"ток утечки блока УЗО "&amp;FIXED(CY182,1)&amp;" мА &gt; 1/3 уставки ("&amp;CV182&amp;" мА)",""),""),IF(AND(CG182=1,N(BV182)+N(IB182)&gt;0,IC182=""),"линии до 50 В без БП: впишите в «Аппараты» (БП 24V 480W)",""),IF(AND(CG182=1,ISNUMBER(ID182),ISNUMBER(U182)),IF(U182&gt;ID182,"БП "&amp;ID182&amp;" Вт &lt; нужно "&amp;U182&amp;" Вт (×"&amp;Запас_БП&amp;")",""),""),IF(AND(CG182=1,ISNUMBER(IE182),N(BV182)=1),IF(IE182&lt;&gt;N(BU182),"БП на "&amp;IE182&amp;" В, линия "&amp;BU182&amp;" В",""),""),IF(AND(N(IF182)&gt;0,N(IG182)&gt;N(IF182)),HH182&amp;" канал "&amp;HJ182&amp;": "&amp;FIXED(IG182,1)&amp;" А &gt; "&amp;IF182&amp;" А",""),IFERROR(IF(AND(ISNUMBER(Q182),Q182&gt;EL182),"потери "&amp;FIXED(Q182,1)&amp;" % &gt; "&amp;EL182&amp;" %",""),""),IFERROR(IF(LEFT(HU182,4)="мало","Iкз мало — отключение &gt; 0,4 с",""),""),IF(AND(B182&lt;&gt;"",BM182=""),"не на схеме",""),IF(AND(CG182=0,B182&lt;&gt;"",FV182&lt;&gt;"",IF(BA182=1,"",FW181)&lt;&gt;"",FV182&lt;&gt;IF(BA182=1,"",FW181)),"фаза не как у автомата группы ("&amp;IF(BA182=1,"",FW181)&amp;")","")))</f>
        <v/>
      </c>
      <c r="II182" s="6">
        <f>IF(OR(CG182=0,DQ182=""),"",_xlfn.LET(_xlpm.t,IFERROR(_xlfn.XLOOKUP(DQ182,Каталог!$U$4:$U$500,Каталог!$G$4:$G$500),""),_xlpm.k,SEARCH("кА",_xlpm.t),IFERROR(--TRIM(RIGHT(SUBSTITUTE(MID(_xlpm.t,MAX(1,_xlpm.k-4),_xlpm.k-MAX(1,_xlpm.k-4))," ",REPT(" ",9)),5)),"")))</f>
        <v>6</v>
      </c>
      <c r="IJ182" t="str">
        <f>IF(OR(II182="",CG182=0),"",IF(_xlfn.XLOOKUP(A182,Щиты[Щит],Щиты[Iкз max на шинах, кА],"")="","",IF(II182&lt;_xlfn.XLOOKUP(A182,Щиты[Щит],Щиты[Iкз max на шинах, кА]),"Icu "&amp;II182&amp;" кА &lt; Iкз max","ok")))</f>
        <v/>
      </c>
      <c r="IK182" t="str">
        <f t="shared" si="389"/>
        <v/>
      </c>
      <c r="IL182" t="str">
        <f t="shared" si="390"/>
        <v>QF28</v>
      </c>
      <c r="IM182" t="str">
        <f t="shared" si="391"/>
        <v>QF28|кабель ВВГнг(А)-LS (3х2,5) → Щит контроля доступа ШДК-06. Пом. Венткиосок</v>
      </c>
      <c r="IN182" t="str" cm="1">
        <f t="array" ref="IN182">IF(IM182="","",_xlfn.LET(_xlpm.nd,_xlfn.TEXTSPLIT(IM182,"|"),IF(COLUMNS(_xlpm.nd)&gt;1,A182&amp;"¦"&amp;INDEX(_xlpm.nd,1)&amp;"¦"&amp;INDEX(_xlpm.nd,2),"")))</f>
        <v>ЩР-001¦QF28¦кабель ВВГнг(А)-LS (3х2,5) → Щит контроля доступа ШДК-06. Пом. Венткиосок</v>
      </c>
      <c r="IO182" t="str">
        <f t="shared" si="392"/>
        <v>ЩКД-6¦Щит контроля доступа ШДК-06. Пом. Венткиосок</v>
      </c>
      <c r="IP182" t="str" cm="1">
        <f t="array" ref="IP182">IF(IM182="","",_xlfn.LET(_xlpm.nd,_xlfn.TEXTSPLIT(IM182,"|"),IF(COLUMNS(_xlpm.nd)&gt;2,A182&amp;"¦"&amp;INDEX(_xlpm.nd,2)&amp;"¦"&amp;INDEX(_xlpm.nd,3),"")))</f>
        <v/>
      </c>
      <c r="IQ182" t="str">
        <f t="shared" si="393"/>
        <v/>
      </c>
      <c r="IR182" t="str" cm="1">
        <f t="array" ref="IR182">IF(IM182="","",_xlfn.LET(_xlpm.nd,_xlfn.TEXTSPLIT(IM182,"|"),IF(COLUMNS(_xlpm.nd)&gt;3,A182&amp;"¦"&amp;INDEX(_xlpm.nd,3)&amp;"¦"&amp;INDEX(_xlpm.nd,4),"")))</f>
        <v/>
      </c>
      <c r="IS182" t="str">
        <f t="shared" si="394"/>
        <v/>
      </c>
      <c r="IT182" t="str" cm="1">
        <f t="array" ref="IT182">IF(IM182="","",_xlfn.LET(_xlpm.nd,_xlfn.TEXTSPLIT(IM182,"|"),IF(COLUMNS(_xlpm.nd)&gt;4,A182&amp;"¦"&amp;INDEX(_xlpm.nd,4)&amp;"¦"&amp;INDEX(_xlpm.nd,5),"")))</f>
        <v/>
      </c>
      <c r="IU182" t="str">
        <f t="shared" si="395"/>
        <v/>
      </c>
      <c r="IV182" t="str" cm="1">
        <f t="array" ref="IV182">IF(IM182="","",_xlfn.LET(_xlpm.nd,_xlfn.TEXTSPLIT(IM182,"|"),IF(COLUMNS(_xlpm.nd)&gt;5,A182&amp;"¦"&amp;INDEX(_xlpm.nd,5)&amp;"¦"&amp;INDEX(_xlpm.nd,6),"")))</f>
        <v/>
      </c>
      <c r="IW182" t="str">
        <f t="shared" si="396"/>
        <v/>
      </c>
      <c r="IX182" t="str" cm="1">
        <f t="array" ref="IX182">IF(IM182="","",_xlfn.LET(_xlpm.nd,_xlfn.TEXTSPLIT(IM182,"|"),IF(COLUMNS(_xlpm.nd)&gt;6,A182&amp;"¦"&amp;INDEX(_xlpm.nd,6)&amp;"¦"&amp;INDEX(_xlpm.nd,7),"")))</f>
        <v/>
      </c>
      <c r="IY182" t="str">
        <f t="shared" si="397"/>
        <v/>
      </c>
      <c r="IZ182" t="str">
        <f t="shared" si="398"/>
        <v/>
      </c>
      <c r="JA182" t="str">
        <f t="shared" si="399"/>
        <v>QF28</v>
      </c>
      <c r="JB182">
        <f t="shared" si="400"/>
        <v>0</v>
      </c>
      <c r="JC182">
        <f t="shared" si="401"/>
        <v>0</v>
      </c>
      <c r="JD182" t="str">
        <f t="shared" si="402"/>
        <v/>
      </c>
      <c r="JE182" t="str">
        <f t="shared" si="403"/>
        <v/>
      </c>
      <c r="JF182" t="str">
        <f t="shared" si="404"/>
        <v/>
      </c>
      <c r="JG182" t="str">
        <f t="shared" si="405"/>
        <v/>
      </c>
      <c r="JH182" t="str">
        <f>IF(B182="","",IFERROR(_xlfn.XLOOKUP(B182,Коды_код,Коды_уго),IFERROR(_xlfn.XLOOKUP(BC182,Коды_код,Коды_уго),IFERROR(_xlfn.XLOOKUP(LEFT(BC182,2),Коды_код,Коды_уго),""))))</f>
        <v/>
      </c>
      <c r="JI182" t="str">
        <f>IF(B182="","",IF(OR(JH182="",JH182=0),"BOX",IFERROR(IF(VLOOKUP(JH182,УГО_блоки,3,FALSE)&amp;""&lt;&gt;"",VLOOKUP(JH182,УГО_блоки,3,FALSE),VLOOKUP(JH182,УГО_блоки,2,FALSE)),JH182)))</f>
        <v>BOX</v>
      </c>
      <c r="JJ182">
        <f t="shared" si="406"/>
        <v>1</v>
      </c>
      <c r="JK182" t="str">
        <f>IF(DQ182="","",IF(COUNTIF(DQ$3:DQ182,DQ182)=1,MAX(JK$2:JK181)+1,""))</f>
        <v/>
      </c>
      <c r="JL182" t="str">
        <f>IF(DE182="","",IF(COUNTIF(DE$3:DE182,DE182)+COUNTIF(DF$2:DF181,DE182)+COUNTIF(DG$2:DG181,DE182)=1,MAX(JL$2:JN181)+1,""))</f>
        <v/>
      </c>
      <c r="JM182" t="str">
        <f>IF(DF182="","",IF(COUNTIF(DE$3:DE182,DF182)+COUNTIF(DF$3:DF182,DF182)+COUNTIF(DG$2:DG181,DF182)=1,MAX(JL$2:JN181,JL182)+1,""))</f>
        <v/>
      </c>
      <c r="JN182" t="str">
        <f>IF(DG182="","",IF(COUNTIF(DE$3:DE182,DG182)+COUNTIF(DF$3:DF182,DG182)+COUNTIF(DG$3:DG182,DG182)=1,MAX(JL$2:JN181,JL182,JM182)+1,""))</f>
        <v/>
      </c>
      <c r="JO182" t="str">
        <f t="shared" si="407"/>
        <v>3х2,5</v>
      </c>
      <c r="JP182" t="str">
        <f>IF(JO182="","",IF(COUNTIF(JO$3:JO182,JO182)=1,MAX(JP$2:JP181)+1,""))</f>
        <v/>
      </c>
      <c r="JQ182" t="str">
        <f>IF(HG182="","",COUNTIF(HG$3:HG182,"?*"))</f>
        <v/>
      </c>
      <c r="JR182" t="str">
        <f>IF(OR(HG182="",HI182=""),"",IF(COUNTIFS(HG$3:HG182,"?*",HI$3:HI182,HI182)=1,MAX(JR$2:JR181)+1,""))</f>
        <v/>
      </c>
      <c r="JS182">
        <f t="shared" si="408"/>
        <v>0</v>
      </c>
      <c r="JT182">
        <f>IF(B182="","",COUNTIF(B$3:B182,"?*"))</f>
        <v>180</v>
      </c>
      <c r="JU182">
        <f>IF(HL182&lt;&gt;1,0,_xlfn.LET(_xlpm.k,MAX(IFERROR(--_xlfn.XLOOKUP(B182,Коды_код,Коды_3L),0),IFERROR(--_xlfn.XLOOKUP(BC182,Коды_код,Коды_3L),0),IFERROR(--_xlfn.XLOOKUP(LEFT(BC182,2),Коды_код,Коды_3L),0)),IF(_xlpm.k&gt;0,_xlpm.k,IF(IFERROR(--LEFT(SUBSTITUTE(JO182,"x","х"),FIND("х",SUBSTITUTE(JO182,"x","х"))-1),3)&gt;3,Каталог!$S$9,1))))</f>
        <v>1</v>
      </c>
      <c r="JV182">
        <f t="shared" si="409"/>
        <v>0</v>
      </c>
      <c r="JW182" t="str">
        <f t="shared" si="410"/>
        <v>авто</v>
      </c>
      <c r="JX182" t="str">
        <f t="shared" si="411"/>
        <v/>
      </c>
      <c r="JY182">
        <f t="shared" si="412"/>
        <v>0</v>
      </c>
      <c r="JZ182">
        <f t="shared" si="413"/>
        <v>1</v>
      </c>
    </row>
    <row r="183" spans="1:286" x14ac:dyDescent="0.3">
      <c r="A183" t="s">
        <v>753</v>
      </c>
      <c r="B183" t="s">
        <v>1491</v>
      </c>
      <c r="C183" t="s">
        <v>1696</v>
      </c>
      <c r="D183">
        <v>1</v>
      </c>
      <c r="E183">
        <v>0.5</v>
      </c>
      <c r="G183">
        <v>16</v>
      </c>
      <c r="H183" t="str">
        <f>Линии[[#This Row],[_авто управление]]</f>
        <v/>
      </c>
      <c r="I183" t="str">
        <f>Линии[[#This Row],[_авто аппараты]]</f>
        <v/>
      </c>
      <c r="J183">
        <v>2.5</v>
      </c>
      <c r="K183">
        <v>12</v>
      </c>
      <c r="L183">
        <v>3</v>
      </c>
      <c r="M183" t="s">
        <v>484</v>
      </c>
      <c r="N183" t="str">
        <f t="shared" si="276"/>
        <v/>
      </c>
      <c r="O183" s="6" cm="1">
        <f t="array" ref="O183">IF(B183="","",IF(BH183&lt;&gt;"",IFERROR(_xlfn.XLOOKUP(BH183,Щиты[Щит],Щиты[Iр, А]),""),IF(BP183=1,IF(OR(N(_xlfn.XLOOKUP(A183,Щиты[Щит],Щиты[Вводов],1))&lt;=1,LOWER(TRIM(_xlfn.XLOOKUP(A183,Щиты[Щит],Щиты[АВР],"")&amp;""))="да"),IFERROR(_xlfn.XLOOKUP(A183,Щиты[Щит],Щиты[Iр, А]),""),IFERROR(N(BS183)*_xlfn.XLOOKUP(A183,Щиты[Щит],Щиты[Кс итог])/(SQRT(3)*Uн_лин*_xlfn.XLOOKUP(A183,Щиты[Щит],Щиты[cos φ])),"")),IF(BV183=1,IFERROR(BS183*1000/BU183,""),IFERROR(_xlfn.IFS(BX183=1,BS183/((Uн_лин/SQRT(3))*CE183),BX183=3,BS183/(SQRT(3)*Uн_лин*CE183)),"")))))</f>
        <v>2.2790142204853647</v>
      </c>
      <c r="P183" s="7">
        <f>IF(B183="","",IFERROR(IF(VLOOKUP(BC183,Потребители_обозначение,4,FALSE)=1,VLOOKUP(BC183,Потребители_обозначение,3,FALSE)*(MAX(1,N(D183))*2-1)+EI183+VLOOKUP(BE183,Этаж_обозначение,3,FALSE)+VLOOKUP(BE183,Этаж_обозначение,4,FALSE),VLOOKUP(BC183,Потребители_обозначение,3,FALSE)*(MAX(1,N(D183))*2-1)+EI183),EI183))</f>
        <v>12</v>
      </c>
      <c r="Q183" s="6">
        <f t="shared" si="277"/>
        <v>1.78</v>
      </c>
      <c r="R183" t="str">
        <f t="shared" si="278"/>
        <v>ВВГнг(А)-LS (3х2,5)</v>
      </c>
      <c r="S183" t="str">
        <f>IF(BM183="","",IF(BN183="вводной узел","узел ","")&amp;"л."&amp;(INT((BM183-1)/Столбцов_на_лист)+1)&amp;" / "&amp;(MOD(BM183-1,Столбцов_на_лист)+1))</f>
        <v>л.3 / 7</v>
      </c>
      <c r="T183" s="119">
        <f t="shared" si="279"/>
        <v>1</v>
      </c>
      <c r="U183" s="7" t="str">
        <f>IF(OR(CG183=0,N(BV183)+N(IB183)=0),"",ROUNDUP(Запас_БП*(N(HY183)+N(HZ183)),0))</f>
        <v/>
      </c>
      <c r="V183" s="119" t="str">
        <f t="shared" si="280"/>
        <v/>
      </c>
      <c r="W183" s="7" t="str">
        <f>IFERROR(IF(OR(B183="",BP183=1,BV183=1,NOT(ISNUMBER(EN183)),N(DT183)=0),"",MAX(0,ROUNDDOWN((c_min*(Uн_лин*1000/SQRT(3))/(HT183*N(DT183))-_xlfn.XLOOKUP(A183,Щиты[Щит],Щиты[Zпетли на шинах, Ом]))*EN183/(2*ρкз_Cu),0))),"")</f>
        <v/>
      </c>
      <c r="Y183" t="str">
        <f>Линии[[#This Row],[_авто утечка]]</f>
        <v/>
      </c>
      <c r="Z183">
        <v>1</v>
      </c>
      <c r="AA183">
        <v>230</v>
      </c>
      <c r="AB183" t="s">
        <v>573</v>
      </c>
      <c r="AG183" t="s">
        <v>810</v>
      </c>
      <c r="AI183" t="s">
        <v>577</v>
      </c>
      <c r="AK183" t="str">
        <f>Линии[[#This Row],[_авто модуль]]</f>
        <v/>
      </c>
      <c r="AM183">
        <v>41</v>
      </c>
      <c r="AN183" t="s">
        <v>11</v>
      </c>
      <c r="AO183">
        <v>3</v>
      </c>
      <c r="AR183">
        <v>12</v>
      </c>
      <c r="BA183" cm="1">
        <f t="array" ref="BA183">ROW()-ROW(Линии[#Headers])</f>
        <v>181</v>
      </c>
      <c r="BC183" s="6" t="str">
        <f t="shared" si="281"/>
        <v>ЩКД-001</v>
      </c>
      <c r="BD183" t="str">
        <f t="shared" si="282"/>
        <v/>
      </c>
      <c r="BE183" t="str">
        <f t="shared" si="283"/>
        <v/>
      </c>
      <c r="BF183" t="str">
        <f t="shared" si="284"/>
        <v/>
      </c>
      <c r="BG183" t="str">
        <f t="shared" si="285"/>
        <v/>
      </c>
      <c r="BH183" t="str">
        <f>IF(X183&lt;&gt;"",X183,IF(AND(B183&lt;&gt;"",B183&lt;&gt;A183,ISNUMBER(_xlfn.XMATCH(B183,Щиты[Щит]))),B183,""))</f>
        <v/>
      </c>
      <c r="BI183" t="str" cm="1">
        <f t="array" ref="BI183">IF(B183="","",IF(BH183&lt;&gt;"","Щит "&amp;BH183,_xlfn.LET(_xlpm.nm,IFERROR(_xlfn.XLOOKUP(BC183,Коды_код,Коды_имя)&amp;"",""),_xlpm.md,IFERROR(N(_xlfn.XLOOKUP(BC183,Коды_код,Коды_режим)),1),_xlpm.ex,IF(Имя_режим="по экспликации",IFERROR(_xlfn.XLOOKUP(BE183&amp;"|"&amp;BG183,Экспликация[Этаж]&amp;"|"&amp;Экспликация[Помещение],Экспликация[Название])&amp;"",""),""),_xlpm.rm,IF(BG183="","",IF(_xlpm.ex&lt;&gt;"",". "&amp;_xlpm.ex&amp;IF(Имя_пом="нет"," ("&amp;BG183&amp;")"," (пом. "&amp;BG183&amp;")"),IF(Имя_пом="нет"," ",", пом. ")&amp;BG183)),IF(_xlpm.nm="","",IF(_xlpm.md=2,_xlpm.nm&amp;" шлейф "&amp;BE183,_xlpm.nm&amp;_xlpm.rm)))))</f>
        <v/>
      </c>
      <c r="BJ183" t="str">
        <f t="shared" si="286"/>
        <v>Щит контроля доступа ШДК-001 Подвальный этаж Пом. №004Т</v>
      </c>
      <c r="BK183">
        <f>IFERROR(_xlfn.XMATCH(A183,Щиты[Щит]),0)</f>
        <v>8</v>
      </c>
      <c r="BL183">
        <f>_xlfn.LET(_xlpm.k,IFERROR(_xlfn.XLOOKUP(A183,Щиты[Щит],Щиты[Мест под вводной узел]),""),IF(_xlpm.k="",Столбцов_на_лист,N(_xlpm.k)))</f>
        <v>7</v>
      </c>
      <c r="BM183">
        <f t="shared" si="287"/>
        <v>41</v>
      </c>
      <c r="BN183" t="str">
        <f t="shared" si="288"/>
        <v>линии</v>
      </c>
      <c r="BO183" s="6">
        <f>IFERROR(N(_xlfn.XLOOKUP(BC183,Коды_код,Коды_квт)),0)</f>
        <v>0</v>
      </c>
      <c r="BP183">
        <f t="shared" si="289"/>
        <v>0</v>
      </c>
      <c r="BQ183" t="str">
        <f>IF(B183="","",IF(BH183&lt;&gt;"",IFERROR(_xlfn.XLOOKUP(BH183,Щиты[Щит],Щиты[Руст, кВт]),0),IF(BP183=1,IF(OR(N(_xlfn.XLOOKUP(A183,Щиты[Щит],Щиты[Вводов],1))&lt;=1,LOWER(TRIM(_xlfn.XLOOKUP(A183,Щиты[Щит],Щиты[АВР],"")&amp;""))="да"),IFERROR(_xlfn.XLOOKUP(A183,Щиты[Щит],Щиты[Руст, кВт]),0),SUMIFS(Линии[_Р для вводов],Линии[Щит],A183,Линии[Источник для режимов],GF183)),IF(BO183&gt;0,ROUND(BO183*MAX(1,N(D183)),3),""))))</f>
        <v/>
      </c>
      <c r="BR183">
        <f t="shared" si="290"/>
        <v>0.5</v>
      </c>
      <c r="BS183" s="6">
        <f>IF(B183="","",IF(BH183&lt;&gt;"",IFERROR(_xlfn.XLOOKUP(BH183,Щиты[Щит],Щиты[Руст, кВт]),0),N(BR183)))</f>
        <v>0.5</v>
      </c>
      <c r="BT183" t="str">
        <f>IF(B183="","",IFERROR(IF(VLOOKUP(BC183,Потребители_обозначение,8,FALSE)=0,"",VLOOKUP(BC183,Потребители_обозначение,8,FALSE)),""))</f>
        <v/>
      </c>
      <c r="BU183">
        <f t="shared" si="291"/>
        <v>230</v>
      </c>
      <c r="BV183">
        <f t="shared" si="292"/>
        <v>0</v>
      </c>
      <c r="BW183">
        <f>IF(B183="","",IF(BH183&lt;&gt;"",3,IFERROR(IF(N(VLOOKUP(BC183,Потребители_обозначение,9,FALSE))=0,1,VLOOKUP(BC183,Потребители_обозначение,9,FALSE)),1)))</f>
        <v>1</v>
      </c>
      <c r="BX183">
        <f t="shared" si="293"/>
        <v>1</v>
      </c>
      <c r="BY183" t="str">
        <f>IF(B183="","",_xlfn.LET(_xlpm.bc,IFERROR(IF(VLOOKUP(BC183,Потребители_обозначение,6,FALSE)=0,"",VLOOKUP(BC183,Потребители_обозначение,6,FALSE)&amp;""),""),IF(AND(GA183="да",OR(_xlpm.bc="",_xlpm.bc="мс")),Марка_пож,IF(AND(_xlpm.bc="",BH183&lt;&gt;""),"мс",_xlpm.bc))))</f>
        <v/>
      </c>
      <c r="BZ183" t="str">
        <f t="shared" si="294"/>
        <v>мс</v>
      </c>
      <c r="CA183">
        <f>IF(B183="","",_xlfn.LET(_xlpm.cc,IFERROR(N(VLOOKUP(BC183,Потребители_обозначение,7,FALSE)),0),IF(_xlpm.cc&gt;0,_xlpm.cc,IF(BZ183="","",IF(BV183=1,2,IF(N(BX183)=3,5,3))))))</f>
        <v>3</v>
      </c>
      <c r="CB183">
        <f t="shared" si="295"/>
        <v>3</v>
      </c>
      <c r="CC183">
        <f>IFERROR(N(VLOOKUP(BC183,Потребители_обозначение,10,FALSE)),0)</f>
        <v>0</v>
      </c>
      <c r="CD183">
        <f>IFERROR(VLOOKUP(BC183,Потребители_обозначение,5,FALSE),0)</f>
        <v>0</v>
      </c>
      <c r="CE183" s="6" cm="1">
        <f t="array" ref="CE183">IF(B183="","",IF(BH183&lt;&gt;"",IFERROR(_xlfn.XLOOKUP(BH183,Щиты[Щит],Щиты[cos φ]),0.95),IF(BP183=1,IFERROR(_xlfn.XLOOKUP(A183,Щиты[Щит],Щиты[cos φ]),0.95),IF(ISNUMBER(AD183),AD183,IFERROR(IF(CD183=2,_xlfn.IFS(BX183=3,VLOOKUP(BS183,Справочная_двигатели,8,FALSE),BX183=1,VLOOKUP(BS183,Справочная_двигатели,10,TRUE)),IF(AND(Методика="нормы 2026",FG183="Сил"),0.8,0.95)),0.95)))))</f>
        <v>0.95</v>
      </c>
      <c r="CF183">
        <f t="shared" si="296"/>
        <v>0</v>
      </c>
      <c r="CG183">
        <f t="shared" si="297"/>
        <v>1</v>
      </c>
      <c r="CH183">
        <f t="shared" si="298"/>
        <v>0</v>
      </c>
      <c r="CI183">
        <f>IF(B183="","",IF(BV183=1,IFERROR(BS183/((Uн_лин/SQRT(3))*MAX(0.5,N(CE183))),0),N(O183)))</f>
        <v>2.2790142204853647</v>
      </c>
      <c r="CJ183">
        <f t="shared" si="299"/>
        <v>0</v>
      </c>
      <c r="CK183">
        <f t="shared" si="300"/>
        <v>0</v>
      </c>
      <c r="CL183">
        <f t="shared" si="301"/>
        <v>0</v>
      </c>
      <c r="CM183">
        <f t="shared" si="302"/>
        <v>0</v>
      </c>
      <c r="CN183">
        <f t="shared" si="303"/>
        <v>0</v>
      </c>
      <c r="CO183">
        <f>IF(BC183="",0,_xlfn.LET(_xlpm.v,IFERROR(_xlfn.XLOOKUP(B183,Коды_код,Коды_мА),IFERROR(_xlfn.XLOOKUP(BC183,Коды_код,Коды_мА),IFERROR(_xlfn.XLOOKUP(LEFT(BC183,2),Коды_код,Коды_мА),""))),IF(_xlpm.v="да",30,IF(ISNUMBER(_xlpm.v),_xlpm.v,0))))</f>
        <v>0</v>
      </c>
      <c r="CP183" t="str">
        <f t="shared" si="304"/>
        <v/>
      </c>
      <c r="CQ183" t="str">
        <f>_xlfn.LET(_xlpm.k,IFERROR(_xlfn.XLOOKUP(BC183,Коды_код,Коды_утечка)&amp;"",""),IF(_xlpm.k="","дифавтомат",_xlpm.k))</f>
        <v>дифавтомат</v>
      </c>
      <c r="CR183" t="str" cm="1">
        <f t="array" ref="CR183">IF(CG183=0,"",_xlfn.LET(_xlpm.sg,TRIM(_xlfn.TEXTSPLIT(DD183&amp;"",";")),_xlpm.f_,_xlfn._xlws.FILTER(_xlpm.sg,LEFT(_xlpm.sg,3)="УЗО",""),IFERROR(INDEX(_xlpm.f_,1)&amp;"","")))</f>
        <v/>
      </c>
      <c r="CS183" t="str">
        <f t="shared" si="305"/>
        <v/>
      </c>
      <c r="CT183" s="6" t="str" cm="1">
        <f t="array" ref="CT183">IF(CR183="","",_xlfn.LET(_xlpm.tk,_xlfn.TEXTSPLIT(UPPER(CR183)," ",,TRUE),_xlpm.a_,_xlfn._xlws.FILTER(_xlpm.tk,ISNUMBER(--LEFT(_xlpm.tk,1))*((ISNUMBER(SEARCH("А",_xlpm.tk))+ISNUMBER(SEARCH("A",_xlpm.tk)))&gt;0)*NOT(ISNUMBER(SEARCH("МА",_xlpm.tk)))*NOT(ISNUMBER(SEARCH("MA",_xlpm.tk))),""),IFERROR(--SUBSTITUTE(SUBSTITUTE(INDEX(_xlpm.a_,1),"А",""),"A",""),"")))</f>
        <v/>
      </c>
      <c r="CU183" t="str" cm="1">
        <f t="array" ref="CU183">IF(CR183="","",_xlfn.LET(_xlpm.tk,_xlfn.TEXTSPLIT(UPPER(CR183)," ",,TRUE),_xlpm.a_,_xlfn._xlws.FILTER(_xlpm.tk,ISNUMBER(--LEFT(_xlpm.tk,1))*((ISNUMBER(SEARCH("МА",_xlpm.tk))+ISNUMBER(SEARCH("MA",_xlpm.tk)))&gt;0),""),IFERROR(--SUBSTITUTE(SUBSTITUTE(INDEX(_xlpm.a_,1),"МА",""),"MA",""),30)))</f>
        <v/>
      </c>
      <c r="CV183" t="str">
        <f>IF(CS183="","",IFERROR(_xlfn.XLOOKUP(CS183,Линии[_n],Линии[_УЗО, мА]),30))</f>
        <v/>
      </c>
      <c r="CW183">
        <f>IF(CS183="",0,IF(ISNUMBER(SEARCH("4P",IFERROR(_xlfn.XLOOKUP(CS183,Линии[_n],Линии[_УЗО строки])&amp;"",""))),0,1))</f>
        <v>0</v>
      </c>
      <c r="CX183" t="str">
        <f>IF(AND(CS183&lt;&gt;"",CS183=BA183),SUMIFS(Линии[_ток на 230 В],Линии[_блок УЗО],BA183,Линии[Щит],A183),"")</f>
        <v/>
      </c>
      <c r="CY183" t="str">
        <f>IF(AND(CS183&lt;&gt;"",CS183=BA183),SUMIFS(Линии[_ток утечки линии, мА],Линии[_блок УЗО],BA183,Линии[Щит],A183),"")</f>
        <v/>
      </c>
      <c r="CZ183">
        <f t="shared" si="306"/>
        <v>0</v>
      </c>
      <c r="DA183">
        <f t="shared" si="307"/>
        <v>0</v>
      </c>
      <c r="DB183">
        <f>IF(B183="",0,IFERROR(--_xlfn.XLOOKUP(B183,Коды_код,Коды_минавт),IFERROR(--_xlfn.XLOOKUP(BC183,Коды_код,Коды_минавт),IFERROR(--_xlfn.XLOOKUP(LEFT(BC183,2),Коды_код,Коды_минавт),0))))</f>
        <v>0</v>
      </c>
      <c r="DC183" t="str">
        <f>IF(B183="","",IFERROR(_xlfn.XLOOKUP(BC183,Коды_код,Коды_апп)&amp;"",""))</f>
        <v/>
      </c>
      <c r="DD183" t="str">
        <f t="shared" si="308"/>
        <v/>
      </c>
      <c r="DE183" t="str" cm="1">
        <f t="array" ref="DE183">IF(TRIM(DD183&amp;"")="","",IFERROR(TRIM(INDEX(_xlfn.TEXTSPLIT(DD183&amp;";;;",";"),1)),""))</f>
        <v/>
      </c>
      <c r="DF183" t="str" cm="1">
        <f t="array" ref="DF183">IF(TRIM(DD183&amp;"")="","",IFERROR(TRIM(INDEX(_xlfn.TEXTSPLIT(DD183&amp;";;;",";"),2)),""))</f>
        <v/>
      </c>
      <c r="DG183" t="str" cm="1">
        <f t="array" ref="DG183">IF(TRIM(DD183&amp;"")="","",IFERROR(TRIM(INDEX(_xlfn.TEXTSPLIT(DD183&amp;";;;",";"),3)),""))</f>
        <v/>
      </c>
      <c r="DH183">
        <f t="shared" si="309"/>
        <v>0</v>
      </c>
      <c r="DI183" t="str">
        <f>IF(B183="","",_xlfn.LET(_xlpm.t,LOWER(AZ183&amp;""),IF(ISNUMBER(SEARCH("dim",_xlpm.t)),"DIM",IF(ISNUMBER(SEARCH("dali",_xlpm.t)),"DALI",IF(OR(ISNUMBER(SEARCH("relay",_xlpm.t)),ISNUMBER(SEARCH("реле",_xlpm.t))),"Relay",IF(ISNUMBER(SEARCH("кнопк",_xlpm.t)),"",IFERROR(_xlfn.XLOOKUP(BC183,Коды_код,Коды_упр)&amp;"","")))))))</f>
        <v/>
      </c>
      <c r="DJ183" t="str">
        <f t="shared" si="310"/>
        <v/>
      </c>
      <c r="DK183">
        <f>IF(B183="","",_xlfn.LET(_xlpm.ig,IF(N(CX183)&gt;0,N(CX183),N(CI183)+IF(AJ183="вручную",0,N(CJ183))),_xlpm.n0,IFERROR(VLOOKUP(_xlpm.ig,Автомат_номиналы,2,TRUE),0),_xlpm.mn,MAX(DB183,IF(AJ183="вручную",0,N(CM183))),MAX(_xlpm.n0,_xlpm.mn,IF(DH183=1,Мин_автомат_БП,0))))</f>
        <v>6</v>
      </c>
      <c r="DL183">
        <f t="shared" si="311"/>
        <v>1</v>
      </c>
      <c r="DM183" t="str">
        <f t="shared" si="312"/>
        <v>1P</v>
      </c>
      <c r="DN183" t="str">
        <f>_xlfn.LET(_xlpm.cc,UPPER(TRIM(IFERROR(_xlfn.XLOOKUP(BC183,Коды_код,Коды_хар)&amp;"",""))),IF(OR(_xlpm.cc="B",_xlpm.cc="В"),"B",IF(_xlpm.cc="D","D","С")))</f>
        <v>С</v>
      </c>
      <c r="DO183" t="str">
        <f t="shared" si="313"/>
        <v>1P С6А</v>
      </c>
      <c r="DP183">
        <f t="shared" si="314"/>
        <v>16</v>
      </c>
      <c r="DQ183" t="str">
        <f t="shared" si="315"/>
        <v>1P С16А</v>
      </c>
      <c r="DR183" cm="1">
        <f t="array" ref="DR183">IF(DQ183="","",_xlfn.LET(_xlpm.t,SUBSTITUTE(SUBSTITUTE(SUBSTITUTE(UPPER(DQ183),"С","C"),"А","A"),"В","B"),_xlpm.tk,_xlfn.TEXTSPLIT(_xlpm.t," "),_xlpm.f,_xlfn._xlws.FILTER(_xlpm.tk,ISNUMBER(--MID(_xlpm.tk,2,1))*ISNUMBER(SEARCH(LEFT(_xlpm.tk,1)&amp;"#","B#C#D#"))*(LEN(_xlpm.tk)&gt;1),""),_xlpm.x,INDEX(_xlpm.f,1),IFERROR(--SUBSTITUTE(MID(_xlpm.x,2,9),"A",""),IFERROR(--SUBSTITUTE(INDEX(_xlfn._xlws.FILTER(_xlpm.tk,ISNUMBER(--SUBSTITUTE(_xlpm.tk,"A","")),""),1),"A",""),""))))</f>
        <v>16</v>
      </c>
      <c r="DS183" t="str">
        <f t="shared" si="316"/>
        <v>ok</v>
      </c>
      <c r="DT183">
        <f t="shared" si="317"/>
        <v>16</v>
      </c>
      <c r="DU183" t="str">
        <f t="shared" si="318"/>
        <v>1P С16А</v>
      </c>
      <c r="DV183">
        <f t="shared" si="319"/>
        <v>0</v>
      </c>
      <c r="DW183">
        <f t="shared" si="320"/>
        <v>0</v>
      </c>
      <c r="DX183">
        <f t="shared" si="321"/>
        <v>0</v>
      </c>
      <c r="DY183">
        <f t="shared" si="322"/>
        <v>2.2790142204853647</v>
      </c>
      <c r="DZ183">
        <f t="shared" si="323"/>
        <v>1</v>
      </c>
      <c r="EA183">
        <f>IF(ISNUMBER(AP183),AP183,К_прокл)</f>
        <v>1</v>
      </c>
      <c r="EB183">
        <f t="shared" si="324"/>
        <v>2</v>
      </c>
      <c r="EC183">
        <f>IFERROR(N(VLOOKUP(BZ183,Кабель_обозначение,3,FALSE)),1)</f>
        <v>1</v>
      </c>
      <c r="ED183">
        <f>IFERROR(N(_xlfn.XLOOKUP(A183,Щиты[Щит],Щиты[ΔU до шин, %])),0)</f>
        <v>1.57</v>
      </c>
      <c r="EE183" t="str">
        <f>IFERROR(_xlfn.XLOOKUP(A183,Щиты[Щит],Щиты[Zпетли на шинах, Ом]),"")</f>
        <v/>
      </c>
      <c r="EF183">
        <f>IFERROR(N(_xlfn.XLOOKUP(A183,Щиты[Щит],Щиты[ΔU до шин (подбор), %])),0)</f>
        <v>2.5</v>
      </c>
      <c r="EG183" t="str">
        <f>IFERROR(_xlfn.XLOOKUP(A183,Щиты[Щит],Щиты[Zпетли на шинах (подбор), Ом]),"")</f>
        <v/>
      </c>
      <c r="EH183" t="str">
        <f t="shared" si="325"/>
        <v/>
      </c>
      <c r="EI183">
        <f t="shared" si="326"/>
        <v>12</v>
      </c>
      <c r="EJ183">
        <f t="shared" si="327"/>
        <v>2</v>
      </c>
      <c r="EK183">
        <f t="shared" si="328"/>
        <v>0.31</v>
      </c>
      <c r="EL183" s="6">
        <f>IF(B183="","",IF(BV183=1,dU_LED,IF(IFERROR(_xlfn.XLOOKUP(BC183,Коды_код,Коды_уго),"")="Светильник",3,4)+IF(Методика="нормы 2026",MIN(0.5,MAX(0,N(P183)-100)*0.005),0)))</f>
        <v>4</v>
      </c>
      <c r="EM183" cm="1">
        <f t="array" ref="EM183">IF(OR(B183="",BZ183="",EC183&lt;&gt;1),"",_xlfn.LET(_xlpm.sz,Iдоп_S,_xlpm.t_,CHOOSE(EB183,Iдоп_1ж,Iдоп_2ж,Iдоп_3ж)*DZ183*EA183,_xlpm.dcx,BV183=1,_xlpm.inn,IF(_xlpm.dcx,N(O183),N(DT183)),_xlpm.smin,MAX(1.5,CC183),_xlpm.L_,N(P183)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183)/N(BU183)*100,999),IFERROR(N(EJ183)*(_xlpm.rho*_xlpm.L_/_xlpm.sz*N(CE183)+_xlpm.xx*_xlpm.L_*N(EK183)/1000)*N(O183)/((Uн_лин/SQRT(3))*1000)*100,999)),_xlpm.kz,IF(OR(_xlpm.dcx,DW183=1,NOT(ISNUMBER(EG183)),_xlpm.L_=0,_xlpm.inn=0),1,IFERROR(--(c_min*(Uн_лин*1000/SQRT(3))/(EG183+2*ρкз_Cu*_xlpm.L_/_xlpm.sz)&gt;=HT183*_xlpm.inn),0)),_xlpm.ok,IFERROR((_xlpm.sz&gt;=_xlpm.smin)*(_xlpm.t_&gt;=_xlpm.inn)*IF(_xlpm.L_&gt;0,(_xlpm.du_+IF(_xlpm.dcx,0,EF183)&lt;=EL183+0.00001),1)*_xlpm.kz,0),_xlpm.r_,_xlfn._xlws.FILTER(_xlpm.sz,_xlpm.ok,"не подобрано"),INDEX(_xlpm.r_,1)))</f>
        <v>1.5</v>
      </c>
      <c r="EN183">
        <f t="shared" si="329"/>
        <v>2.5</v>
      </c>
      <c r="EO183" cm="1">
        <f t="array" ref="EO183">IF(OR(B183="",BZ183="",EC183&lt;&gt;1),"",_xlfn.LET(_xlpm.sz,Iдоп_S,_xlpm.t_,CHOOSE(EB183,Iдоп_1ж,Iдоп_2ж,Iдоп_3ж)*DZ183*EA183,_xlpm.ok,IFERROR((_xlpm.sz&gt;=MAX(1.5,CC183))*(_xlpm.t_&gt;=N(DT183)),0),_xlpm.r_,_xlfn._xlws.FILTER(_xlpm.sz,_xlpm.ok,""),INDEX(_xlpm.r_,1)))</f>
        <v>1.5</v>
      </c>
      <c r="EP183" s="6" cm="1">
        <f t="array" ref="EP183">IFERROR(ROUNDUP(N(EJ183)*(_xlfn.XLOOKUP(EO183,INDEX(Кабель_сопротивление,0,1),INDEX(Кабель_сопротивление,0,3))*N(P183)/EO183*N(CE183)+_xlfn.XLOOKUP(EO183,INDEX(Кабель_сопротивление,0,1),INDEX(Кабель_сопротивление,0,2))*N(P183)*N(EK183)/1000)*N(O183)/((Uн_лин/SQRT(3))*1000)*100,2),"")</f>
        <v>0.34</v>
      </c>
      <c r="EQ183">
        <f>IFERROR(2*ρкз_Cu*N(P183)/EO183,"")</f>
        <v>0.42080000000000001</v>
      </c>
      <c r="ER183">
        <f>IFERROR(VLOOKUP(EN183,Кабель_сопротивление,3,FALSE),"")</f>
        <v>2.2499999999999999E-2</v>
      </c>
      <c r="ES183">
        <f>IFERROR(VLOOKUP(EN183,Кабель_сопротивление,2,FALSE),"")</f>
        <v>0.1</v>
      </c>
      <c r="ET183">
        <f t="shared" si="330"/>
        <v>12</v>
      </c>
      <c r="EU183" t="str">
        <f t="shared" si="331"/>
        <v/>
      </c>
      <c r="EV183">
        <f t="shared" si="332"/>
        <v>0.469349304623638</v>
      </c>
      <c r="EW183" s="6">
        <f>IFERROR(ROUNDUP(EV183/IF(BV183=1,BU183,(Uн_лин/SQRT(3))*1000)*100,2),"")</f>
        <v>0.21000000000000002</v>
      </c>
      <c r="EX183" t="str">
        <f>IFERROR(VLOOKUP(BZ183,Кабель_обозначение,2,FALSE),"")</f>
        <v>ВВГнг(А)-LS</v>
      </c>
      <c r="EY183" t="str">
        <f t="shared" si="333"/>
        <v>ВВГнг(А)-LS (3х2,5)</v>
      </c>
      <c r="EZ183" t="str">
        <f t="shared" si="334"/>
        <v>ВВГнг(А)-LS (3х2,5)
L=12-0,21%</v>
      </c>
      <c r="FA183">
        <f>IFERROR(2*ρкз_Cu*P183/EN183,"")</f>
        <v>0.25247999999999998</v>
      </c>
      <c r="FB183">
        <f t="shared" si="335"/>
        <v>8.4000000000000005E-2</v>
      </c>
      <c r="FC183" s="6" t="str">
        <f>IFERROR(IF(OR(B183="",BV183=1,NOT(ISNUMBER(EN183)),N(P183)=0),"",_xlfn.XLOOKUP(A183,Щиты[Щит],Щиты[Zпетли на шинах, Ом])+FA183),"")</f>
        <v/>
      </c>
      <c r="FD183" s="6" t="str">
        <f>IF(ISNUMBER(FC183),c_min*(Uн_лин*1000/SQRT(3))/FC183,"")</f>
        <v/>
      </c>
      <c r="FE183" s="6" t="str">
        <f>IFERROR(IF(OR(B183="",NOT(ISNUMBER(EN183))),"",1.05*(Uн_лин*1000/SQRT(3))/(_xlfn.XLOOKUP(A183,Щиты[Щит],Щиты[Zmax на шинах, Ом])+FB183)/1000),"")</f>
        <v/>
      </c>
      <c r="FF183" s="6" t="str">
        <f>IF(B183="","",IF(ISNUMBER(AC183),"Сил",IF(IFERROR(_xlfn.XLOOKUP(BC183,Коды_код,Коды_группа)&amp;"","")="","Быт",_xlfn.XLOOKUP(BC183,Коды_код,Коды_группа)&amp;"")))</f>
        <v>Быт</v>
      </c>
      <c r="FG183" s="6" t="str">
        <f t="shared" si="336"/>
        <v>Пост</v>
      </c>
      <c r="FH183" s="6">
        <f>IF(FG183="Щит","щит",IF(FG183="","",IF(FG183="Быт",IFERROR(_xlfn.XLOOKUP(A183,Щиты[Щит],Щиты[Кс быт]),1),IF(FG183="Сил",IF(ISNUMBER(AC183),AC183,IF(Методика="нормы 2026",IFERROR(_xlfn.XLOOKUP(A183,Щиты[Щит],Щиты[Кс силовых (табл. 7.5)]),1),1)),IF(OR(FG183="Пост",FG183="Отоп"),1,IF(FG183="ВНГ",0.7,0))))))</f>
        <v>1</v>
      </c>
      <c r="FI183">
        <f>IF(FG183="","",IF(AND(BP183=1,TRIM(AE183&amp;"")=""),IF(COUNTIFS(Линии[Щит],A183,Линии[Секция (1/2/3)],"&gt;=2")&gt;0,MIN(3,MAX(1,IFERROR(--BD183,1))),1),IFERROR(MIN(3,MAX(1,INT(--AE183))),1)))</f>
        <v>1</v>
      </c>
      <c r="FJ183">
        <f t="shared" si="337"/>
        <v>0.5</v>
      </c>
      <c r="FK183">
        <f t="shared" si="338"/>
        <v>0</v>
      </c>
      <c r="FL183">
        <f t="shared" si="339"/>
        <v>0</v>
      </c>
      <c r="FM183">
        <f t="shared" si="340"/>
        <v>0.5</v>
      </c>
      <c r="FN183">
        <f t="shared" si="341"/>
        <v>0</v>
      </c>
      <c r="FO183">
        <f t="shared" si="342"/>
        <v>0</v>
      </c>
      <c r="FP183">
        <f t="shared" si="343"/>
        <v>0.5</v>
      </c>
      <c r="FQ183">
        <f t="shared" si="344"/>
        <v>0.5</v>
      </c>
      <c r="FR183">
        <f t="shared" si="345"/>
        <v>0.47499999999999998</v>
      </c>
      <c r="FS183">
        <f>IF(CG183=1,IF(AND(CH183=1,CW183=1),0,IF(AND(CS183&lt;&gt;"",CS183=BA183,CW183=1),SUMIFS(Линии[_Р линии, кВт],Линии[_блок УЗО],BA183,Линии[Щит],A183),N(BS183)+IF(AJ183="вручную",0,N(CK183)))),0)</f>
        <v>0.5</v>
      </c>
      <c r="FT183" t="str">
        <f t="shared" si="346"/>
        <v>L3</v>
      </c>
      <c r="FU183" t="str">
        <f>IF(B183="","",IF(CG183=0,IF(BA183=1,"",FW182),IF(AND(CH183=1,CW183=1,CS183&lt;&gt;""),IFERROR(_xlfn.XLOOKUP(CS183,Линии[_n],Линии[_фаза итог]),"L1"),IF(OR(N(DL183)&gt;=3,N(BX183)&gt;=3),"L1,L2,L3",IFERROR(_xlfn.TEXTBEFORE(_xlfn.TEXTAFTER(_xlfn.XLOOKUP(A183,Щиты[Щит],Щиты[_фазы авто]),";"&amp;BA183&amp;":"),";"),"L1")))))</f>
        <v>L1</v>
      </c>
      <c r="FV183" t="str">
        <f t="shared" si="347"/>
        <v>L3</v>
      </c>
      <c r="FW183" t="str">
        <f t="shared" si="348"/>
        <v>L3</v>
      </c>
      <c r="FX183" cm="1">
        <f t="array" ref="FX183">IFERROR(IF(CD183=2,_xlfn.IFS(BX183=3,VLOOKUP(BS183,Справочная_двигатели,3,FALSE),BX183=1,VLOOKUP(BS183,Справочная_двигатели,5,TRUE)),0),0)</f>
        <v>0</v>
      </c>
      <c r="FY183">
        <f>IFERROR(IF(CD183=3,VLOOKUP(BS183,Справочная_ЛЭД,2,TRUE),0),0)</f>
        <v>0</v>
      </c>
      <c r="FZ183" s="6">
        <f t="shared" si="349"/>
        <v>0</v>
      </c>
      <c r="GA183" t="str">
        <f>IF(B183="","",IF(TRIM(AH183&amp;"")&lt;&gt;"",IF(LOWER(TRIM(AH183&amp;""))="да","да","нет"),IF(IFERROR(_xlfn.XLOOKUP(BC183,Коды_код,Коды_пожарная),"")="да","да","нет")))</f>
        <v>нет</v>
      </c>
      <c r="GB183" t="str">
        <f t="shared" si="350"/>
        <v/>
      </c>
      <c r="GC183" t="str">
        <f t="shared" si="351"/>
        <v>основная</v>
      </c>
      <c r="GD183">
        <f>IF(AND(BP183=1,TRIM(AE183&amp;"")=""),IF(COUNTIFS(Линии[Щит],A183,Линии[Секция (1/2/3)],"&gt;=2")&gt;0,MIN(3,MAX(1,IFERROR(--BD183,1))),1),IFERROR(MIN(3,MAX(1,INT(--AE183))),1))</f>
        <v>1</v>
      </c>
      <c r="GE183" t="str" cm="1">
        <f t="array" ref="GE183">IF(B183="","",_xlfn.LET(_xlpm.t,IFERROR(_xlfn.XLOOKUP(1,(Шины[Шина]=GC183)*(((Шины[Щит]=A183)+(Шины[Щит]=""))&gt;0),Шины[Тип]),"")&amp;"",IF(_xlpm.t&lt;&gt;"",_xlpm.t,IF(ISNUMBER(SEARCH("ИБП",GC183)),"ИБП",IF(ISNUMBER(SEARCH("ДГУ",GC183)),"ДГУ","Ввод "&amp;GD183)))))</f>
        <v>Ввод 1</v>
      </c>
      <c r="GF183" t="str">
        <f t="shared" si="352"/>
        <v>Ввод 1</v>
      </c>
      <c r="GG183" t="str">
        <f>IF(BP183=0,"",IF(TRIM(AG183&amp;"")&lt;&gt;"",TRIM(AG183&amp;""),IF(OR(GE183="ИБП",GE183="ДГУ"),"I особая",_xlfn.XLOOKUP(A183,Щиты[Щит],Щиты[Категория шины «Ввод»],"III"))))</f>
        <v/>
      </c>
      <c r="GH183" t="str">
        <f>IF(A183="","",_xlfn.XLOOKUP(A183,Щиты[Щит],Щиты[Путь],""))</f>
        <v>|ГРЩ-ЖД|ЩР-001|</v>
      </c>
      <c r="GI183" t="str">
        <f>IF(B183="","",IF(AI183&lt;&gt;"",AI183,IF(IFERROR(_xlfn.XLOOKUP(BC183,Коды_код,Коды_вид)&amp;"","")="","Прочее",_xlfn.XLOOKUP(BC183,Коды_код,Коды_вид)&amp;"")))</f>
        <v>Системы безопасности и связи</v>
      </c>
      <c r="GJ183">
        <f>IF(BM183="","",INT((BM183-1)/Столбцов_на_лист)+1)</f>
        <v>3</v>
      </c>
      <c r="GK183" t="str">
        <f t="shared" si="353"/>
        <v>ВВГнг(А)-LS (3х2,5) L=12-0,21%</v>
      </c>
      <c r="GL183">
        <f t="shared" si="354"/>
        <v>0.5</v>
      </c>
      <c r="GM183">
        <f t="shared" si="355"/>
        <v>2.2799999999999998</v>
      </c>
      <c r="GN183">
        <f t="shared" si="356"/>
        <v>1</v>
      </c>
      <c r="GO183">
        <f t="shared" si="357"/>
        <v>0</v>
      </c>
      <c r="GP183">
        <f t="shared" si="358"/>
        <v>1</v>
      </c>
      <c r="GQ183">
        <f>IF(BM183="","",IF(AND(CG183=1,GP183=1),COUNTIFS(A$3:A183,A183,CG$3:CG183,1,GP$3:GP183,1),IF(OR(OR(BA183=1,A183&lt;&gt;A182),AJ183="вручную",GP183=0),"",IF(BA183=1,"",GR182))))</f>
        <v>29</v>
      </c>
      <c r="GR183">
        <f t="shared" si="359"/>
        <v>29</v>
      </c>
      <c r="GS183">
        <f>IF(B183="","",IFERROR(LOOKUP(INDEX(CHOOSE(EB183,Iдоп_1ж,Iдоп_2ж,Iдоп_3ж),MATCH(EN183,Iдоп_S,0))*DZ183*EA183,{6,10,16,20,25,32,40,50,63,80,100,125,160,200,250,315,400,500,630}),""))</f>
        <v>25</v>
      </c>
      <c r="GT183" t="str">
        <f t="shared" si="360"/>
        <v>QF29</v>
      </c>
      <c r="GU183" t="str">
        <f t="shared" si="361"/>
        <v>QF29</v>
      </c>
      <c r="GV183" t="str">
        <f t="shared" si="362"/>
        <v/>
      </c>
      <c r="GW183">
        <f t="shared" si="363"/>
        <v>0</v>
      </c>
      <c r="GX183" t="str">
        <f>IF(OR(B183="",DJ183=""),"",IFERROR(_xlfn.XLOOKUP(DJ183,Модули_умолч[Управление],Модули_умолч[Модель])&amp;"",""))</f>
        <v/>
      </c>
      <c r="GY183">
        <f>IF(DJ183="",1,IFERROR(MAX(0,N(_xlfn.XLOOKUP(DJ183,Модули_умолч[Управление],Модули_умолч[Каналов на линию]))),1))</f>
        <v>1</v>
      </c>
      <c r="GZ183" t="str">
        <f t="shared" si="364"/>
        <v/>
      </c>
      <c r="HA183" t="str">
        <f t="shared" si="365"/>
        <v/>
      </c>
      <c r="HB183" t="str">
        <f t="shared" si="366"/>
        <v/>
      </c>
      <c r="HC183">
        <f>IF(HB183="",0,IFERROR(N(VLOOKUP(HB183,Модули_спр,3,FALSE)),0))</f>
        <v>0</v>
      </c>
      <c r="HD183" t="str">
        <f t="shared" si="367"/>
        <v/>
      </c>
      <c r="HE183" t="str">
        <f t="shared" si="368"/>
        <v/>
      </c>
      <c r="HF183" t="str">
        <f>IF(OR(HE183="",HE183="-"),"",IFERROR(VLOOKUP(HE183,Модули_спр,2,FALSE),"R"))</f>
        <v/>
      </c>
      <c r="HG183" t="str">
        <f>IF(HF183="","",HF183&amp;"."&amp;COUNTIFS(A$3:A183,A183,HF$3:HF183,HF183))</f>
        <v/>
      </c>
      <c r="HH183" t="str">
        <f t="shared" si="369"/>
        <v/>
      </c>
      <c r="HI183" t="str">
        <f t="shared" si="370"/>
        <v/>
      </c>
      <c r="HJ183" t="str">
        <f t="shared" si="371"/>
        <v/>
      </c>
      <c r="HK183" t="str">
        <f t="shared" si="372"/>
        <v/>
      </c>
      <c r="HL183">
        <f t="shared" si="373"/>
        <v>1</v>
      </c>
      <c r="HM183" t="str">
        <f>IF(HL183=1,"XT"&amp;COUNTIFS(A$3:A183,A183,HL$3:HL183,1),"")</f>
        <v>XT29</v>
      </c>
      <c r="HN183" t="str">
        <f t="shared" si="374"/>
        <v/>
      </c>
      <c r="HO183" t="str">
        <f t="shared" si="375"/>
        <v>QF29</v>
      </c>
      <c r="HP183" t="str">
        <f t="shared" si="376"/>
        <v/>
      </c>
      <c r="HQ183" t="str">
        <f t="shared" si="377"/>
        <v>ok</v>
      </c>
      <c r="HR183" t="str">
        <f>IF(OR(HJ183="",HH183=""),"",IF(HJ183+MAX(0,GY183-1)&gt;IFERROR(VLOOKUP(HI183,Модули_спр,3,FALSE),99),"ЛИШНИЙ КАНАЛ",IF(AND(AL183&lt;&gt;"=",GY183&gt;0,COUNTIFS(Линии[_модуль гр.],HH183,Линии[Канал (итог)],HJ183,Линии[Канал],"&lt;&gt;=",Линии[Щит],A183)&gt;1),"ДУБЛЬ КАНАЛА","")))</f>
        <v/>
      </c>
      <c r="HS183" s="6" t="str">
        <f t="shared" si="378"/>
        <v/>
      </c>
      <c r="HT183">
        <f t="shared" si="379"/>
        <v>10</v>
      </c>
      <c r="HU183" t="str">
        <f t="shared" si="380"/>
        <v/>
      </c>
      <c r="HV183">
        <f t="shared" si="381"/>
        <v>1.031605688194146</v>
      </c>
      <c r="HW183">
        <f t="shared" si="382"/>
        <v>0</v>
      </c>
      <c r="HX183">
        <f t="shared" si="383"/>
        <v>0</v>
      </c>
      <c r="HY183">
        <f t="shared" si="384"/>
        <v>0</v>
      </c>
      <c r="HZ183">
        <f t="shared" si="385"/>
        <v>0</v>
      </c>
      <c r="IA183">
        <f t="shared" si="386"/>
        <v>0</v>
      </c>
      <c r="IB183">
        <f t="shared" si="387"/>
        <v>0</v>
      </c>
      <c r="IC183" t="str">
        <f t="shared" si="388"/>
        <v/>
      </c>
      <c r="ID183" t="str" cm="1">
        <f t="array" ref="ID183">IF(IC183="","",_xlfn.LET(_xlpm.tk,_xlfn.TEXTSPLIT(SUBSTITUTE(SUBSTITUTE(IC183,";"," "),"→"," ")," ",,TRUE),_xlpm.w_,_xlfn._xlws.FILTER(_xlpm.tk,ISNUMBER(--LEFT(_xlpm.tk,1))*((ISNUMBER(SEARCH("W",_xlpm.tk))+ISNUMBER(SEARCH("Вт",_xlpm.tk)))&gt;0),""),IFERROR(--SUBSTITUTE(SUBSTITUTE(UPPER(INDEX(_xlpm.w_,1)),"W",""),"ВТ",""),"")))</f>
        <v/>
      </c>
      <c r="IE183" t="str" cm="1">
        <f t="array" ref="IE183">IF(IC183="","",_xlfn.LET(_xlpm.tk,_xlfn.TEXTSPLIT(SUBSTITUTE(SUBSTITUTE(IC183,";"," "),"→"," ")," ",,TRUE),_xlpm.v_,_xlfn._xlws.FILTER(_xlpm.tk,ISNUMBER(--LEFT(_xlpm.tk,1))*((ISNUMBER(SEARCH("V",_xlpm.tk))+(RIGHT(UPPER(_xlpm.tk))="В"))&gt;0),""),IFERROR(--SUBSTITUTE(SUBSTITUTE(UPPER(INDEX(_xlpm.v_,1)),"V",""),"В",""),"")))</f>
        <v/>
      </c>
      <c r="IF183" s="6" t="str">
        <f>IF(OR(BV183=0,HI183="",HJ183=""),"",IFERROR(N(_xlfn.XLOOKUP(HI183,Каталог!$C$4:$C$500,Каталог!$Q$4:$Q$500)),""))</f>
        <v/>
      </c>
      <c r="IG183" s="6" t="str">
        <f>IF(N(IF183)=0,"",SUMIFS(Линии[Iр, А],Линии[Щит],A183,Линии[_модуль гр.],HH183,Линии[Канал (итог)],HJ183))</f>
        <v/>
      </c>
      <c r="IH183" t="str">
        <f>IF(AND(B183="",HO183=""),"",_xlfn.TEXTJOIN("; ",TRUE,IF(AND(B183&lt;&gt;"",FV183=""),"нет фазы",""),IF(AND(B183&lt;&gt;"",N(GL183)=0,FG183&lt;&gt;"Нет"),"нет мощности",""),IF(AND(HN183&lt;&gt;"",COUNTIFS(Линии[Щит],A183,Линии[Клемма (итог)],HN183)&gt;1),"дубль клеммы "&amp;HN183,""),IF(AND(HQ183&lt;&gt;"",HQ183&lt;&gt;"ok"),HQ183,""),IF(HR183&lt;&gt;"",HR183,""),IF(AND(N(CB183)&gt;=4,N(BX183)=1),CB183&amp;" жил на 1 фазе",""),IF(AND(BC183="R",CG183=1,IF(CS183&lt;&gt;"",N(CV183)&gt;30,OR(N(DA183)=0,N(DA183)&gt;30))),"розетка без дифзащиты до 30 мА",""),IF(AND(CG183=1,N(DA183)&gt;0,ISNUMBER(T183)),IF(T183&gt;N(DA183)/3,"ток утечки "&amp;FIXED(T183,1)&amp;" мА &gt; 1/3 уставки ("&amp;DA183&amp;" мА)",""),""),IF(AND(CH183=1,CS183=""),"«узо»: нет строки с УЗО выше (УЗО 2P 40А 30мА в «Аппаратах»)",""),IF(AND(CS183&lt;&gt;"",CS183=BA183),IF(CT183="","впишите номинал УЗО (УЗО 2P 40А 30мА)",IF(N(CT183)&lt;N(DT183),"УЗО "&amp;CT183&amp;" А &lt; автомата "&amp;DT183&amp;" А перед ним",IF(N(CT183)&lt;N(CX183),"УЗО "&amp;CT183&amp;" А &lt; тока блока "&amp;FIXED(CX183,1)&amp;" А",""))),""),IF(AND(CS183&lt;&gt;"",CS183=BA183,ISNUMBER(CY183)),IF(CY183&gt;N(CV183)/3,"ток утечки блока УЗО "&amp;FIXED(CY183,1)&amp;" мА &gt; 1/3 уставки ("&amp;CV183&amp;" мА)",""),""),IF(AND(CG183=1,N(BV183)+N(IB183)&gt;0,IC183=""),"линии до 50 В без БП: впишите в «Аппараты» (БП 24V 480W)",""),IF(AND(CG183=1,ISNUMBER(ID183),ISNUMBER(U183)),IF(U183&gt;ID183,"БП "&amp;ID183&amp;" Вт &lt; нужно "&amp;U183&amp;" Вт (×"&amp;Запас_БП&amp;")",""),""),IF(AND(CG183=1,ISNUMBER(IE183),N(BV183)=1),IF(IE183&lt;&gt;N(BU183),"БП на "&amp;IE183&amp;" В, линия "&amp;BU183&amp;" В",""),""),IF(AND(N(IF183)&gt;0,N(IG183)&gt;N(IF183)),HH183&amp;" канал "&amp;HJ183&amp;": "&amp;FIXED(IG183,1)&amp;" А &gt; "&amp;IF183&amp;" А",""),IFERROR(IF(AND(ISNUMBER(Q183),Q183&gt;EL183),"потери "&amp;FIXED(Q183,1)&amp;" % &gt; "&amp;EL183&amp;" %",""),""),IFERROR(IF(LEFT(HU183,4)="мало","Iкз мало — отключение &gt; 0,4 с",""),""),IF(AND(B183&lt;&gt;"",BM183=""),"не на схеме",""),IF(AND(CG183=0,B183&lt;&gt;"",FV183&lt;&gt;"",IF(BA183=1,"",FW182)&lt;&gt;"",FV183&lt;&gt;IF(BA183=1,"",FW182)),"фаза не как у автомата группы ("&amp;IF(BA183=1,"",FW182)&amp;")","")))</f>
        <v/>
      </c>
      <c r="II183" s="6">
        <f>IF(OR(CG183=0,DQ183=""),"",_xlfn.LET(_xlpm.t,IFERROR(_xlfn.XLOOKUP(DQ183,Каталог!$U$4:$U$500,Каталог!$G$4:$G$500),""),_xlpm.k,SEARCH("кА",_xlpm.t),IFERROR(--TRIM(RIGHT(SUBSTITUTE(MID(_xlpm.t,MAX(1,_xlpm.k-4),_xlpm.k-MAX(1,_xlpm.k-4))," ",REPT(" ",9)),5)),"")))</f>
        <v>6</v>
      </c>
      <c r="IJ183" t="str">
        <f>IF(OR(II183="",CG183=0),"",IF(_xlfn.XLOOKUP(A183,Щиты[Щит],Щиты[Iкз max на шинах, кА],"")="","",IF(II183&lt;_xlfn.XLOOKUP(A183,Щиты[Щит],Щиты[Iкз max на шинах, кА]),"Icu "&amp;II183&amp;" кА &lt; Iкз max","ok")))</f>
        <v/>
      </c>
      <c r="IK183" t="str">
        <f t="shared" si="389"/>
        <v/>
      </c>
      <c r="IL183" t="str">
        <f t="shared" si="390"/>
        <v>QF29</v>
      </c>
      <c r="IM183" t="str">
        <f t="shared" si="391"/>
        <v>QF29|кабель ВВГнг(А)-LS (3х2,5) → Щит контроля доступа ШДК-001 Подвальный этаж Пом. №004Т</v>
      </c>
      <c r="IN183" t="str" cm="1">
        <f t="array" ref="IN183">IF(IM183="","",_xlfn.LET(_xlpm.nd,_xlfn.TEXTSPLIT(IM183,"|"),IF(COLUMNS(_xlpm.nd)&gt;1,A183&amp;"¦"&amp;INDEX(_xlpm.nd,1)&amp;"¦"&amp;INDEX(_xlpm.nd,2),"")))</f>
        <v>ЩР-001¦QF29¦кабель ВВГнг(А)-LS (3х2,5) → Щит контроля доступа ШДК-001 Подвальный этаж Пом. №004Т</v>
      </c>
      <c r="IO183" t="str">
        <f t="shared" si="392"/>
        <v>ЩКД-001¦Щит контроля доступа ШДК-001 Подвальный этаж Пом. №004Т</v>
      </c>
      <c r="IP183" t="str" cm="1">
        <f t="array" ref="IP183">IF(IM183="","",_xlfn.LET(_xlpm.nd,_xlfn.TEXTSPLIT(IM183,"|"),IF(COLUMNS(_xlpm.nd)&gt;2,A183&amp;"¦"&amp;INDEX(_xlpm.nd,2)&amp;"¦"&amp;INDEX(_xlpm.nd,3),"")))</f>
        <v/>
      </c>
      <c r="IQ183" t="str">
        <f t="shared" si="393"/>
        <v/>
      </c>
      <c r="IR183" t="str" cm="1">
        <f t="array" ref="IR183">IF(IM183="","",_xlfn.LET(_xlpm.nd,_xlfn.TEXTSPLIT(IM183,"|"),IF(COLUMNS(_xlpm.nd)&gt;3,A183&amp;"¦"&amp;INDEX(_xlpm.nd,3)&amp;"¦"&amp;INDEX(_xlpm.nd,4),"")))</f>
        <v/>
      </c>
      <c r="IS183" t="str">
        <f t="shared" si="394"/>
        <v/>
      </c>
      <c r="IT183" t="str" cm="1">
        <f t="array" ref="IT183">IF(IM183="","",_xlfn.LET(_xlpm.nd,_xlfn.TEXTSPLIT(IM183,"|"),IF(COLUMNS(_xlpm.nd)&gt;4,A183&amp;"¦"&amp;INDEX(_xlpm.nd,4)&amp;"¦"&amp;INDEX(_xlpm.nd,5),"")))</f>
        <v/>
      </c>
      <c r="IU183" t="str">
        <f t="shared" si="395"/>
        <v/>
      </c>
      <c r="IV183" t="str" cm="1">
        <f t="array" ref="IV183">IF(IM183="","",_xlfn.LET(_xlpm.nd,_xlfn.TEXTSPLIT(IM183,"|"),IF(COLUMNS(_xlpm.nd)&gt;5,A183&amp;"¦"&amp;INDEX(_xlpm.nd,5)&amp;"¦"&amp;INDEX(_xlpm.nd,6),"")))</f>
        <v/>
      </c>
      <c r="IW183" t="str">
        <f t="shared" si="396"/>
        <v/>
      </c>
      <c r="IX183" t="str" cm="1">
        <f t="array" ref="IX183">IF(IM183="","",_xlfn.LET(_xlpm.nd,_xlfn.TEXTSPLIT(IM183,"|"),IF(COLUMNS(_xlpm.nd)&gt;6,A183&amp;"¦"&amp;INDEX(_xlpm.nd,6)&amp;"¦"&amp;INDEX(_xlpm.nd,7),"")))</f>
        <v/>
      </c>
      <c r="IY183" t="str">
        <f t="shared" si="397"/>
        <v/>
      </c>
      <c r="IZ183" t="str">
        <f t="shared" si="398"/>
        <v/>
      </c>
      <c r="JA183" t="str">
        <f t="shared" si="399"/>
        <v>QF29</v>
      </c>
      <c r="JB183">
        <f t="shared" si="400"/>
        <v>0</v>
      </c>
      <c r="JC183">
        <f t="shared" si="401"/>
        <v>0</v>
      </c>
      <c r="JD183" t="str">
        <f t="shared" si="402"/>
        <v/>
      </c>
      <c r="JE183" t="str">
        <f t="shared" si="403"/>
        <v/>
      </c>
      <c r="JF183" t="str">
        <f t="shared" si="404"/>
        <v/>
      </c>
      <c r="JG183" t="str">
        <f t="shared" si="405"/>
        <v/>
      </c>
      <c r="JH183" t="str">
        <f>IF(B183="","",IFERROR(_xlfn.XLOOKUP(B183,Коды_код,Коды_уго),IFERROR(_xlfn.XLOOKUP(BC183,Коды_код,Коды_уго),IFERROR(_xlfn.XLOOKUP(LEFT(BC183,2),Коды_код,Коды_уго),""))))</f>
        <v/>
      </c>
      <c r="JI183" t="str">
        <f>IF(B183="","",IF(OR(JH183="",JH183=0),"BOX",IFERROR(IF(VLOOKUP(JH183,УГО_блоки,3,FALSE)&amp;""&lt;&gt;"",VLOOKUP(JH183,УГО_блоки,3,FALSE),VLOOKUP(JH183,УГО_блоки,2,FALSE)),JH183)))</f>
        <v>BOX</v>
      </c>
      <c r="JJ183">
        <f t="shared" si="406"/>
        <v>1</v>
      </c>
      <c r="JK183" t="str">
        <f>IF(DQ183="","",IF(COUNTIF(DQ$3:DQ183,DQ183)=1,MAX(JK$2:JK182)+1,""))</f>
        <v/>
      </c>
      <c r="JL183" t="str">
        <f>IF(DE183="","",IF(COUNTIF(DE$3:DE183,DE183)+COUNTIF(DF$2:DF182,DE183)+COUNTIF(DG$2:DG182,DE183)=1,MAX(JL$2:JN182)+1,""))</f>
        <v/>
      </c>
      <c r="JM183" t="str">
        <f>IF(DF183="","",IF(COUNTIF(DE$3:DE183,DF183)+COUNTIF(DF$3:DF183,DF183)+COUNTIF(DG$2:DG182,DF183)=1,MAX(JL$2:JN182,JL183)+1,""))</f>
        <v/>
      </c>
      <c r="JN183" t="str">
        <f>IF(DG183="","",IF(COUNTIF(DE$3:DE183,DG183)+COUNTIF(DF$3:DF183,DG183)+COUNTIF(DG$3:DG183,DG183)=1,MAX(JL$2:JN182,JL183,JM183)+1,""))</f>
        <v/>
      </c>
      <c r="JO183" t="str">
        <f t="shared" si="407"/>
        <v>3х2,5</v>
      </c>
      <c r="JP183" t="str">
        <f>IF(JO183="","",IF(COUNTIF(JO$3:JO183,JO183)=1,MAX(JP$2:JP182)+1,""))</f>
        <v/>
      </c>
      <c r="JQ183" t="str">
        <f>IF(HG183="","",COUNTIF(HG$3:HG183,"?*"))</f>
        <v/>
      </c>
      <c r="JR183" t="str">
        <f>IF(OR(HG183="",HI183=""),"",IF(COUNTIFS(HG$3:HG183,"?*",HI$3:HI183,HI183)=1,MAX(JR$2:JR182)+1,""))</f>
        <v/>
      </c>
      <c r="JS183">
        <f t="shared" si="408"/>
        <v>0</v>
      </c>
      <c r="JT183">
        <f>IF(B183="","",COUNTIF(B$3:B183,"?*"))</f>
        <v>181</v>
      </c>
      <c r="JU183">
        <f>IF(HL183&lt;&gt;1,0,_xlfn.LET(_xlpm.k,MAX(IFERROR(--_xlfn.XLOOKUP(B183,Коды_код,Коды_3L),0),IFERROR(--_xlfn.XLOOKUP(BC183,Коды_код,Коды_3L),0),IFERROR(--_xlfn.XLOOKUP(LEFT(BC183,2),Коды_код,Коды_3L),0)),IF(_xlpm.k&gt;0,_xlpm.k,IF(IFERROR(--LEFT(SUBSTITUTE(JO183,"x","х"),FIND("х",SUBSTITUTE(JO183,"x","х"))-1),3)&gt;3,Каталог!$S$9,1))))</f>
        <v>1</v>
      </c>
      <c r="JV183">
        <f t="shared" si="409"/>
        <v>0</v>
      </c>
      <c r="JW183" t="str">
        <f t="shared" si="410"/>
        <v>авто</v>
      </c>
      <c r="JX183" t="str">
        <f t="shared" si="411"/>
        <v/>
      </c>
      <c r="JY183">
        <f t="shared" si="412"/>
        <v>0</v>
      </c>
      <c r="JZ183">
        <f t="shared" si="413"/>
        <v>1</v>
      </c>
    </row>
    <row r="184" spans="1:286" x14ac:dyDescent="0.3">
      <c r="A184" t="s">
        <v>755</v>
      </c>
      <c r="B184" t="s">
        <v>741</v>
      </c>
      <c r="C184" t="s">
        <v>52</v>
      </c>
      <c r="D184">
        <v>1</v>
      </c>
      <c r="E184">
        <f>Линии[[#This Row],[_авто Р]]</f>
        <v>24.405000000000005</v>
      </c>
      <c r="G184">
        <v>40</v>
      </c>
      <c r="H184" t="str">
        <f>Линии[[#This Row],[_авто управление]]</f>
        <v/>
      </c>
      <c r="I184" t="str">
        <f>Линии[[#This Row],[_авто аппараты]]</f>
        <v/>
      </c>
      <c r="J184">
        <v>10</v>
      </c>
      <c r="K184" t="str">
        <f>Линии[[#This Row],[_авто длина по плану]]</f>
        <v/>
      </c>
      <c r="L184" t="str">
        <f>Линии[[#This Row],[_авто фаза]]</f>
        <v>L1,L2,L3</v>
      </c>
      <c r="M184" t="str">
        <f>Линии[[#This Row],[_авто клемма]]</f>
        <v/>
      </c>
      <c r="N184" t="str">
        <f t="shared" si="276"/>
        <v/>
      </c>
      <c r="O184" s="6" cm="1">
        <f t="array" ref="O184">IF(B184="","",IF(BH184&lt;&gt;"",IFERROR(_xlfn.XLOOKUP(BH184,Щиты[Щит],Щиты[Iр, А]),""),IF(BP184=1,IF(OR(N(_xlfn.XLOOKUP(A184,Щиты[Щит],Щиты[Вводов],1))&lt;=1,LOWER(TRIM(_xlfn.XLOOKUP(A184,Щиты[Щит],Щиты[АВР],"")&amp;""))="да"),IFERROR(_xlfn.XLOOKUP(A184,Щиты[Щит],Щиты[Iр, А]),""),IFERROR(N(BS184)*_xlfn.XLOOKUP(A184,Щиты[Щит],Щиты[Кс итог])/(SQRT(3)*Uн_лин*_xlfn.XLOOKUP(A184,Щиты[Щит],Щиты[cos φ])),"")),IF(BV184=1,IFERROR(BS184*1000/BU184,""),IFERROR(_xlfn.IFS(BX184=1,BS184/((Uн_лин/SQRT(3))*CE184),BX184=3,BS184/(SQRT(3)*Uн_лин*CE184)),"")))))</f>
        <v>32.798575666043085</v>
      </c>
      <c r="P184" s="7" t="str">
        <f>IF(B184="","",IFERROR(IF(VLOOKUP(BC184,Потребители_обозначение,4,FALSE)=1,VLOOKUP(BC184,Потребители_обозначение,3,FALSE)*(MAX(1,N(D184))*2-1)+EI184+VLOOKUP(BE184,Этаж_обозначение,3,FALSE)+VLOOKUP(BE184,Этаж_обозначение,4,FALSE),VLOOKUP(BC184,Потребители_обозначение,3,FALSE)*(MAX(1,N(D184))*2-1)+EI184),EI184))</f>
        <v/>
      </c>
      <c r="Q184" s="6" t="str">
        <f t="shared" si="277"/>
        <v/>
      </c>
      <c r="R184" t="str">
        <f t="shared" si="278"/>
        <v>ВВГнг(А)-LS (5х10)</v>
      </c>
      <c r="S184" t="str">
        <f>IF(BM184="","",IF(BN184="вводной узел","узел ","")&amp;"л."&amp;(INT((BM184-1)/Столбцов_на_лист)+1)&amp;" / "&amp;(MOD(BM184-1,Столбцов_на_лист)+1))</f>
        <v>узел л.1 / 2</v>
      </c>
      <c r="T184" s="119" t="str">
        <f t="shared" si="279"/>
        <v/>
      </c>
      <c r="U184" s="7" t="str">
        <f>IF(OR(CG184=0,N(BV184)+N(IB184)=0),"",ROUNDUP(Запас_БП*(N(HY184)+N(HZ184)),0))</f>
        <v/>
      </c>
      <c r="V184" s="119" t="str">
        <f t="shared" si="280"/>
        <v/>
      </c>
      <c r="W184" s="7" t="str">
        <f>IFERROR(IF(OR(B184="",BP184=1,BV184=1,NOT(ISNUMBER(EN184)),N(DT184)=0),"",MAX(0,ROUNDDOWN((c_min*(Uн_лин*1000/SQRT(3))/(HT184*N(DT184))-_xlfn.XLOOKUP(A184,Щиты[Щит],Щиты[Zпетли на шинах, Ом]))*EN184/(2*ρкз_Cu),0))),"")</f>
        <v/>
      </c>
      <c r="Y184" t="str">
        <f>Линии[[#This Row],[_авто утечка]]</f>
        <v/>
      </c>
      <c r="Z184">
        <v>3</v>
      </c>
      <c r="AA184">
        <v>400</v>
      </c>
      <c r="AB184" t="s">
        <v>547</v>
      </c>
      <c r="AJ184" t="s">
        <v>1344</v>
      </c>
      <c r="AK184" t="str">
        <f>Линии[[#This Row],[_авто модуль]]</f>
        <v/>
      </c>
      <c r="AM184">
        <v>2</v>
      </c>
      <c r="AN184" t="s">
        <v>11</v>
      </c>
      <c r="AO184">
        <v>5</v>
      </c>
      <c r="BA184" cm="1">
        <f t="array" ref="BA184">ROW()-ROW(Линии[#Headers])</f>
        <v>182</v>
      </c>
      <c r="BC184" s="6" t="str">
        <f t="shared" si="281"/>
        <v>Ввод</v>
      </c>
      <c r="BD184" t="str">
        <f t="shared" si="282"/>
        <v>1</v>
      </c>
      <c r="BE184" t="str">
        <f t="shared" si="283"/>
        <v>1</v>
      </c>
      <c r="BF184" t="str">
        <f t="shared" si="284"/>
        <v/>
      </c>
      <c r="BG184" t="str">
        <f t="shared" si="285"/>
        <v/>
      </c>
      <c r="BH184" t="str">
        <f>IF(X184&lt;&gt;"",X184,IF(AND(B184&lt;&gt;"",B184&lt;&gt;A184,ISNUMBER(_xlfn.XMATCH(B184,Щиты[Щит]))),B184,""))</f>
        <v/>
      </c>
      <c r="BI184" t="str" cm="1">
        <f t="array" ref="BI184">IF(B184="","",IF(BH184&lt;&gt;"","Щит "&amp;BH184,_xlfn.LET(_xlpm.nm,IFERROR(_xlfn.XLOOKUP(BC184,Коды_код,Коды_имя)&amp;"",""),_xlpm.md,IFERROR(N(_xlfn.XLOOKUP(BC184,Коды_код,Коды_режим)),1),_xlpm.ex,IF(Имя_режим="по экспликации",IFERROR(_xlfn.XLOOKUP(BE184&amp;"|"&amp;BG184,Экспликация[Этаж]&amp;"|"&amp;Экспликация[Помещение],Экспликация[Название])&amp;"",""),""),_xlpm.rm,IF(BG184="","",IF(_xlpm.ex&lt;&gt;"",". "&amp;_xlpm.ex&amp;IF(Имя_пом="нет"," ("&amp;BG184&amp;")"," (пом. "&amp;BG184&amp;")"),IF(Имя_пом="нет"," ",", пом. ")&amp;BG184)),IF(_xlpm.nm="","",IF(_xlpm.md=2,_xlpm.nm&amp;" шлейф "&amp;BE184,_xlpm.nm&amp;_xlpm.rm)))))</f>
        <v>Вводной кабель шлейф 1</v>
      </c>
      <c r="BJ184" t="str">
        <f t="shared" si="286"/>
        <v>Ввод</v>
      </c>
      <c r="BK184">
        <f>IFERROR(_xlfn.XMATCH(A184,Щиты[Щит]),0)</f>
        <v>9</v>
      </c>
      <c r="BL184">
        <f>_xlfn.LET(_xlpm.k,IFERROR(_xlfn.XLOOKUP(A184,Щиты[Щит],Щиты[Мест под вводной узел]),""),IF(_xlpm.k="",Столбцов_на_лист,N(_xlpm.k)))</f>
        <v>8</v>
      </c>
      <c r="BM184">
        <f t="shared" si="287"/>
        <v>2</v>
      </c>
      <c r="BN184" t="str">
        <f t="shared" si="288"/>
        <v>вводной узел</v>
      </c>
      <c r="BO184" s="6">
        <f>IFERROR(N(_xlfn.XLOOKUP(BC184,Коды_код,Коды_квт)),0)</f>
        <v>0</v>
      </c>
      <c r="BP184">
        <f t="shared" si="289"/>
        <v>1</v>
      </c>
      <c r="BQ184">
        <f>IF(B184="","",IF(BH184&lt;&gt;"",IFERROR(_xlfn.XLOOKUP(BH184,Щиты[Щит],Щиты[Руст, кВт]),0),IF(BP184=1,IF(OR(N(_xlfn.XLOOKUP(A184,Щиты[Щит],Щиты[Вводов],1))&lt;=1,LOWER(TRIM(_xlfn.XLOOKUP(A184,Щиты[Щит],Щиты[АВР],"")&amp;""))="да"),IFERROR(_xlfn.XLOOKUP(A184,Щиты[Щит],Щиты[Руст, кВт]),0),SUMIFS(Линии[_Р для вводов],Линии[Щит],A184,Линии[Источник для режимов],GF184)),IF(BO184&gt;0,ROUND(BO184*MAX(1,N(D184)),3),""))))</f>
        <v>24.405000000000005</v>
      </c>
      <c r="BR184">
        <f t="shared" si="290"/>
        <v>24.405000000000005</v>
      </c>
      <c r="BS184" s="6">
        <f>IF(B184="","",IF(BH184&lt;&gt;"",IFERROR(_xlfn.XLOOKUP(BH184,Щиты[Щит],Щиты[Руст, кВт]),0),N(BR184)))</f>
        <v>24.405000000000005</v>
      </c>
      <c r="BT184" t="str">
        <f>IF(B184="","",IFERROR(IF(VLOOKUP(BC184,Потребители_обозначение,8,FALSE)=0,"",VLOOKUP(BC184,Потребители_обозначение,8,FALSE)),""))</f>
        <v/>
      </c>
      <c r="BU184">
        <f t="shared" si="291"/>
        <v>400</v>
      </c>
      <c r="BV184">
        <f t="shared" si="292"/>
        <v>0</v>
      </c>
      <c r="BW184">
        <f>IF(B184="","",IF(BH184&lt;&gt;"",3,IFERROR(IF(N(VLOOKUP(BC184,Потребители_обозначение,9,FALSE))=0,1,VLOOKUP(BC184,Потребители_обозначение,9,FALSE)),1)))</f>
        <v>1</v>
      </c>
      <c r="BX184">
        <f t="shared" si="293"/>
        <v>3</v>
      </c>
      <c r="BY184" t="str">
        <f>IF(B184="","",_xlfn.LET(_xlpm.bc,IFERROR(IF(VLOOKUP(BC184,Потребители_обозначение,6,FALSE)=0,"",VLOOKUP(BC184,Потребители_обозначение,6,FALSE)&amp;""),""),IF(AND(GA184="да",OR(_xlpm.bc="",_xlpm.bc="мс")),Марка_пож,IF(AND(_xlpm.bc="",BH184&lt;&gt;""),"мс",_xlpm.bc))))</f>
        <v/>
      </c>
      <c r="BZ184" t="str">
        <f t="shared" si="294"/>
        <v>мс</v>
      </c>
      <c r="CA184">
        <f>IF(B184="","",_xlfn.LET(_xlpm.cc,IFERROR(N(VLOOKUP(BC184,Потребители_обозначение,7,FALSE)),0),IF(_xlpm.cc&gt;0,_xlpm.cc,IF(BZ184="","",IF(BV184=1,2,IF(N(BX184)=3,5,3))))))</f>
        <v>5</v>
      </c>
      <c r="CB184">
        <f t="shared" si="295"/>
        <v>5</v>
      </c>
      <c r="CC184">
        <f>IFERROR(N(VLOOKUP(BC184,Потребители_обозначение,10,FALSE)),0)</f>
        <v>0</v>
      </c>
      <c r="CD184">
        <f>IFERROR(VLOOKUP(BC184,Потребители_обозначение,5,FALSE),0)</f>
        <v>1</v>
      </c>
      <c r="CE184" s="6" cm="1">
        <f t="array" ref="CE184">IF(B184="","",IF(BH184&lt;&gt;"",IFERROR(_xlfn.XLOOKUP(BH184,Щиты[Щит],Щиты[cos φ]),0.95),IF(BP184=1,IFERROR(_xlfn.XLOOKUP(A184,Щиты[Щит],Щиты[cos φ]),0.95),IF(ISNUMBER(AD184),AD184,IFERROR(IF(CD184=2,_xlfn.IFS(BX184=3,VLOOKUP(BS184,Справочная_двигатели,8,FALSE),BX184=1,VLOOKUP(BS184,Справочная_двигатели,10,TRUE)),IF(AND(Методика="нормы 2026",FG184="Сил"),0.8,0.95)),0.95)))))</f>
        <v>0.95000000000000018</v>
      </c>
      <c r="CF184">
        <f t="shared" si="296"/>
        <v>0</v>
      </c>
      <c r="CG184">
        <f t="shared" si="297"/>
        <v>1</v>
      </c>
      <c r="CH184">
        <f t="shared" si="298"/>
        <v>0</v>
      </c>
      <c r="CI184">
        <f>IF(B184="","",IF(BV184=1,IFERROR(BS184/((Uн_лин/SQRT(3))*MAX(0.5,N(CE184))),0),N(O184)))</f>
        <v>32.798575666043085</v>
      </c>
      <c r="CJ184">
        <f t="shared" si="299"/>
        <v>0</v>
      </c>
      <c r="CK184">
        <f t="shared" si="300"/>
        <v>0</v>
      </c>
      <c r="CL184">
        <f t="shared" si="301"/>
        <v>0</v>
      </c>
      <c r="CM184">
        <f t="shared" si="302"/>
        <v>0</v>
      </c>
      <c r="CN184">
        <f t="shared" si="303"/>
        <v>0</v>
      </c>
      <c r="CO184">
        <f>IF(BC184="",0,_xlfn.LET(_xlpm.v,IFERROR(_xlfn.XLOOKUP(B184,Коды_код,Коды_мА),IFERROR(_xlfn.XLOOKUP(BC184,Коды_код,Коды_мА),IFERROR(_xlfn.XLOOKUP(LEFT(BC184,2),Коды_код,Коды_мА),""))),IF(_xlpm.v="да",30,IF(ISNUMBER(_xlpm.v),_xlpm.v,0))))</f>
        <v>0</v>
      </c>
      <c r="CP184" t="str">
        <f t="shared" si="304"/>
        <v/>
      </c>
      <c r="CQ184" t="str">
        <f>_xlfn.LET(_xlpm.k,IFERROR(_xlfn.XLOOKUP(BC184,Коды_код,Коды_утечка)&amp;"",""),IF(_xlpm.k="","дифавтомат",_xlpm.k))</f>
        <v>дифавтомат</v>
      </c>
      <c r="CR184" t="str" cm="1">
        <f t="array" ref="CR184">IF(CG184=0,"",_xlfn.LET(_xlpm.sg,TRIM(_xlfn.TEXTSPLIT(DD184&amp;"",";")),_xlpm.f_,_xlfn._xlws.FILTER(_xlpm.sg,LEFT(_xlpm.sg,3)="УЗО",""),IFERROR(INDEX(_xlpm.f_,1)&amp;"","")))</f>
        <v/>
      </c>
      <c r="CS184" t="str">
        <f t="shared" si="305"/>
        <v/>
      </c>
      <c r="CT184" s="6" t="str" cm="1">
        <f t="array" ref="CT184">IF(CR184="","",_xlfn.LET(_xlpm.tk,_xlfn.TEXTSPLIT(UPPER(CR184)," ",,TRUE),_xlpm.a_,_xlfn._xlws.FILTER(_xlpm.tk,ISNUMBER(--LEFT(_xlpm.tk,1))*((ISNUMBER(SEARCH("А",_xlpm.tk))+ISNUMBER(SEARCH("A",_xlpm.tk)))&gt;0)*NOT(ISNUMBER(SEARCH("МА",_xlpm.tk)))*NOT(ISNUMBER(SEARCH("MA",_xlpm.tk))),""),IFERROR(--SUBSTITUTE(SUBSTITUTE(INDEX(_xlpm.a_,1),"А",""),"A",""),"")))</f>
        <v/>
      </c>
      <c r="CU184" t="str" cm="1">
        <f t="array" ref="CU184">IF(CR184="","",_xlfn.LET(_xlpm.tk,_xlfn.TEXTSPLIT(UPPER(CR184)," ",,TRUE),_xlpm.a_,_xlfn._xlws.FILTER(_xlpm.tk,ISNUMBER(--LEFT(_xlpm.tk,1))*((ISNUMBER(SEARCH("МА",_xlpm.tk))+ISNUMBER(SEARCH("MA",_xlpm.tk)))&gt;0),""),IFERROR(--SUBSTITUTE(SUBSTITUTE(INDEX(_xlpm.a_,1),"МА",""),"MA",""),30)))</f>
        <v/>
      </c>
      <c r="CV184" t="str">
        <f>IF(CS184="","",IFERROR(_xlfn.XLOOKUP(CS184,Линии[_n],Линии[_УЗО, мА]),30))</f>
        <v/>
      </c>
      <c r="CW184">
        <f>IF(CS184="",0,IF(ISNUMBER(SEARCH("4P",IFERROR(_xlfn.XLOOKUP(CS184,Линии[_n],Линии[_УЗО строки])&amp;"",""))),0,1))</f>
        <v>0</v>
      </c>
      <c r="CX184" t="str">
        <f>IF(AND(CS184&lt;&gt;"",CS184=BA184),SUMIFS(Линии[_ток на 230 В],Линии[_блок УЗО],BA184,Линии[Щит],A184),"")</f>
        <v/>
      </c>
      <c r="CY184" t="str">
        <f>IF(AND(CS184&lt;&gt;"",CS184=BA184),SUMIFS(Линии[_ток утечки линии, мА],Линии[_блок УЗО],BA184,Линии[Щит],A184),"")</f>
        <v/>
      </c>
      <c r="CZ184">
        <f t="shared" si="306"/>
        <v>0</v>
      </c>
      <c r="DA184">
        <f t="shared" si="307"/>
        <v>0</v>
      </c>
      <c r="DB184">
        <f>IF(B184="",0,IFERROR(--_xlfn.XLOOKUP(B184,Коды_код,Коды_минавт),IFERROR(--_xlfn.XLOOKUP(BC184,Коды_код,Коды_минавт),IFERROR(--_xlfn.XLOOKUP(LEFT(BC184,2),Коды_код,Коды_минавт),0))))</f>
        <v>0</v>
      </c>
      <c r="DC184" t="str">
        <f>IF(B184="","",IFERROR(_xlfn.XLOOKUP(BC184,Коды_код,Коды_апп)&amp;"",""))</f>
        <v/>
      </c>
      <c r="DD184" t="str">
        <f t="shared" si="308"/>
        <v/>
      </c>
      <c r="DE184" t="str" cm="1">
        <f t="array" ref="DE184">IF(TRIM(DD184&amp;"")="","",IFERROR(TRIM(INDEX(_xlfn.TEXTSPLIT(DD184&amp;";;;",";"),1)),""))</f>
        <v/>
      </c>
      <c r="DF184" t="str" cm="1">
        <f t="array" ref="DF184">IF(TRIM(DD184&amp;"")="","",IFERROR(TRIM(INDEX(_xlfn.TEXTSPLIT(DD184&amp;";;;",";"),2)),""))</f>
        <v/>
      </c>
      <c r="DG184" t="str" cm="1">
        <f t="array" ref="DG184">IF(TRIM(DD184&amp;"")="","",IFERROR(TRIM(INDEX(_xlfn.TEXTSPLIT(DD184&amp;";;;",";"),3)),""))</f>
        <v/>
      </c>
      <c r="DH184">
        <f t="shared" si="309"/>
        <v>0</v>
      </c>
      <c r="DI184" t="str">
        <f>IF(B184="","",_xlfn.LET(_xlpm.t,LOWER(AZ184&amp;""),IF(ISNUMBER(SEARCH("dim",_xlpm.t)),"DIM",IF(ISNUMBER(SEARCH("dali",_xlpm.t)),"DALI",IF(OR(ISNUMBER(SEARCH("relay",_xlpm.t)),ISNUMBER(SEARCH("реле",_xlpm.t))),"Relay",IF(ISNUMBER(SEARCH("кнопк",_xlpm.t)),"",IFERROR(_xlfn.XLOOKUP(BC184,Коды_код,Коды_упр)&amp;"","")))))))</f>
        <v/>
      </c>
      <c r="DJ184" t="str">
        <f t="shared" si="310"/>
        <v/>
      </c>
      <c r="DK184">
        <f>IF(B184="","",_xlfn.LET(_xlpm.ig,IF(N(CX184)&gt;0,N(CX184),N(CI184)+IF(AJ184="вручную",0,N(CJ184))),_xlpm.n0,IFERROR(VLOOKUP(_xlpm.ig,Автомат_номиналы,2,TRUE),0),_xlpm.mn,MAX(DB184,IF(AJ184="вручную",0,N(CM184))),MAX(_xlpm.n0,_xlpm.mn,IF(DH184=1,Мин_автомат_БП,0))))</f>
        <v>40</v>
      </c>
      <c r="DL184">
        <f t="shared" si="311"/>
        <v>3</v>
      </c>
      <c r="DM184" t="str">
        <f t="shared" si="312"/>
        <v>3P</v>
      </c>
      <c r="DN184" t="str">
        <f>_xlfn.LET(_xlpm.cc,UPPER(TRIM(IFERROR(_xlfn.XLOOKUP(BC184,Коды_код,Коды_хар)&amp;"",""))),IF(OR(_xlpm.cc="B",_xlpm.cc="В"),"B",IF(_xlpm.cc="D","D","С")))</f>
        <v>С</v>
      </c>
      <c r="DO184" t="str">
        <f t="shared" si="313"/>
        <v>3P С40А</v>
      </c>
      <c r="DP184">
        <f t="shared" si="314"/>
        <v>40</v>
      </c>
      <c r="DQ184" t="str">
        <f t="shared" si="315"/>
        <v>3P С40А</v>
      </c>
      <c r="DR184" cm="1">
        <f t="array" ref="DR184">IF(DQ184="","",_xlfn.LET(_xlpm.t,SUBSTITUTE(SUBSTITUTE(SUBSTITUTE(UPPER(DQ184),"С","C"),"А","A"),"В","B"),_xlpm.tk,_xlfn.TEXTSPLIT(_xlpm.t," "),_xlpm.f,_xlfn._xlws.FILTER(_xlpm.tk,ISNUMBER(--MID(_xlpm.tk,2,1))*ISNUMBER(SEARCH(LEFT(_xlpm.tk,1)&amp;"#","B#C#D#"))*(LEN(_xlpm.tk)&gt;1),""),_xlpm.x,INDEX(_xlpm.f,1),IFERROR(--SUBSTITUTE(MID(_xlpm.x,2,9),"A",""),IFERROR(--SUBSTITUTE(INDEX(_xlfn._xlws.FILTER(_xlpm.tk,ISNUMBER(--SUBSTITUTE(_xlpm.tk,"A","")),""),1),"A",""),""))))</f>
        <v>40</v>
      </c>
      <c r="DS184" t="str">
        <f t="shared" si="316"/>
        <v>узел</v>
      </c>
      <c r="DT184">
        <f t="shared" si="317"/>
        <v>40</v>
      </c>
      <c r="DU184" t="str">
        <f t="shared" si="318"/>
        <v>3P С40А</v>
      </c>
      <c r="DV184">
        <f t="shared" si="319"/>
        <v>0</v>
      </c>
      <c r="DW184">
        <f t="shared" si="320"/>
        <v>0</v>
      </c>
      <c r="DX184">
        <f t="shared" si="321"/>
        <v>0</v>
      </c>
      <c r="DY184">
        <f t="shared" si="322"/>
        <v>32.798575666043085</v>
      </c>
      <c r="DZ184">
        <f t="shared" si="323"/>
        <v>0.92</v>
      </c>
      <c r="EA184">
        <f>IF(ISNUMBER(AP184),AP184,К_прокл)</f>
        <v>1</v>
      </c>
      <c r="EB184">
        <f t="shared" si="324"/>
        <v>3</v>
      </c>
      <c r="EC184">
        <f>IFERROR(N(VLOOKUP(BZ184,Кабель_обозначение,3,FALSE)),1)</f>
        <v>1</v>
      </c>
      <c r="ED184">
        <f>IFERROR(N(_xlfn.XLOOKUP(A184,Щиты[Щит],Щиты[ΔU до шин, %])),0)</f>
        <v>0.43</v>
      </c>
      <c r="EE184" t="str">
        <f>IFERROR(_xlfn.XLOOKUP(A184,Щиты[Щит],Щиты[Zпетли на шинах, Ом]),"")</f>
        <v/>
      </c>
      <c r="EF184">
        <f>IFERROR(N(_xlfn.XLOOKUP(A184,Щиты[Щит],Щиты[ΔU до шин (подбор), %])),0)</f>
        <v>0.43</v>
      </c>
      <c r="EG184" t="str">
        <f>IFERROR(_xlfn.XLOOKUP(A184,Щиты[Щит],Щиты[Zпетли на шинах (подбор), Ом]),"")</f>
        <v/>
      </c>
      <c r="EH184" t="str">
        <f t="shared" si="325"/>
        <v/>
      </c>
      <c r="EI184" t="str">
        <f t="shared" si="326"/>
        <v/>
      </c>
      <c r="EJ184">
        <f t="shared" si="327"/>
        <v>1</v>
      </c>
      <c r="EK184">
        <f t="shared" si="328"/>
        <v>0.31</v>
      </c>
      <c r="EL184" s="6">
        <f>IF(B184="","",IF(BV184=1,dU_LED,IF(IFERROR(_xlfn.XLOOKUP(BC184,Коды_код,Коды_уго),"")="Светильник",3,4)+IF(Методика="нормы 2026",MIN(0.5,MAX(0,N(P184)-100)*0.005),0)))</f>
        <v>4</v>
      </c>
      <c r="EM184" cm="1">
        <f t="array" ref="EM184">IF(OR(B184="",BZ184="",EC184&lt;&gt;1),"",_xlfn.LET(_xlpm.sz,Iдоп_S,_xlpm.t_,CHOOSE(EB184,Iдоп_1ж,Iдоп_2ж,Iдоп_3ж)*DZ184*EA184,_xlpm.dcx,BV184=1,_xlpm.inn,IF(_xlpm.dcx,N(O184),N(DT184)),_xlpm.smin,MAX(1.5,CC184),_xlpm.L_,N(P184)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184)/N(BU184)*100,999),IFERROR(N(EJ184)*(_xlpm.rho*_xlpm.L_/_xlpm.sz*N(CE184)+_xlpm.xx*_xlpm.L_*N(EK184)/1000)*N(O184)/((Uн_лин/SQRT(3))*1000)*100,999)),_xlpm.kz,IF(OR(_xlpm.dcx,DW184=1,NOT(ISNUMBER(EG184)),_xlpm.L_=0,_xlpm.inn=0),1,IFERROR(--(c_min*(Uн_лин*1000/SQRT(3))/(EG184+2*ρкз_Cu*_xlpm.L_/_xlpm.sz)&gt;=HT184*_xlpm.inn),0)),_xlpm.ok,IFERROR((_xlpm.sz&gt;=_xlpm.smin)*(_xlpm.t_&gt;=_xlpm.inn)*IF(_xlpm.L_&gt;0,(_xlpm.du_+IF(_xlpm.dcx,0,EF184)&lt;=EL184+0.00001),1)*_xlpm.kz,0),_xlpm.r_,_xlfn._xlws.FILTER(_xlpm.sz,_xlpm.ok,"не подобрано"),INDEX(_xlpm.r_,1)))</f>
        <v>10</v>
      </c>
      <c r="EN184">
        <f t="shared" si="329"/>
        <v>10</v>
      </c>
      <c r="EO184" cm="1">
        <f t="array" ref="EO184">IF(OR(B184="",BZ184="",EC184&lt;&gt;1),"",_xlfn.LET(_xlpm.sz,Iдоп_S,_xlpm.t_,CHOOSE(EB184,Iдоп_1ж,Iдоп_2ж,Iдоп_3ж)*DZ184*EA184,_xlpm.ok,IFERROR((_xlpm.sz&gt;=MAX(1.5,CC184))*(_xlpm.t_&gt;=N(DT184)),0),_xlpm.r_,_xlfn._xlws.FILTER(_xlpm.sz,_xlpm.ok,""),INDEX(_xlpm.r_,1)))</f>
        <v>10</v>
      </c>
      <c r="EP184" s="6" cm="1">
        <f t="array" ref="EP184">IFERROR(ROUNDUP(N(EJ184)*(_xlfn.XLOOKUP(EO184,INDEX(Кабель_сопротивление,0,1),INDEX(Кабель_сопротивление,0,3))*N(P184)/EO184*N(CE184)+_xlfn.XLOOKUP(EO184,INDEX(Кабель_сопротивление,0,1),INDEX(Кабель_сопротивление,0,2))*N(P184)*N(EK184)/1000)*N(O184)/((Uн_лин/SQRT(3))*1000)*100,2),"")</f>
        <v>0</v>
      </c>
      <c r="EQ184">
        <f>IFERROR(2*ρкз_Cu*N(P184)/EO184,"")</f>
        <v>0</v>
      </c>
      <c r="ER184">
        <f>IFERROR(VLOOKUP(EN184,Кабель_сопротивление,3,FALSE),"")</f>
        <v>2.2499999999999999E-2</v>
      </c>
      <c r="ES184">
        <f>IFERROR(VLOOKUP(EN184,Кабель_сопротивление,2,FALSE),"")</f>
        <v>7.2999999999999995E-2</v>
      </c>
      <c r="ET184" t="str">
        <f t="shared" si="330"/>
        <v/>
      </c>
      <c r="EU184" t="str">
        <f t="shared" si="331"/>
        <v/>
      </c>
      <c r="EV184" t="str">
        <f t="shared" si="332"/>
        <v/>
      </c>
      <c r="EW184" s="6" t="str">
        <f>IFERROR(ROUNDUP(EV184/IF(BV184=1,BU184,(Uн_лин/SQRT(3))*1000)*100,2),"")</f>
        <v/>
      </c>
      <c r="EX184" t="str">
        <f>IFERROR(VLOOKUP(BZ184,Кабель_обозначение,2,FALSE),"")</f>
        <v>ВВГнг(А)-LS</v>
      </c>
      <c r="EY184" t="str">
        <f t="shared" si="333"/>
        <v>ВВГнг(А)-LS (5х10)</v>
      </c>
      <c r="EZ184" t="str">
        <f t="shared" si="334"/>
        <v>ВВГнг(А)-LS (5х10)</v>
      </c>
      <c r="FA184" t="str">
        <f>IFERROR(2*ρкз_Cu*P184/EN184,"")</f>
        <v/>
      </c>
      <c r="FB184">
        <f t="shared" si="335"/>
        <v>0</v>
      </c>
      <c r="FC184" s="6" t="str">
        <f>IFERROR(IF(OR(B184="",BV184=1,NOT(ISNUMBER(EN184)),N(P184)=0),"",_xlfn.XLOOKUP(A184,Щиты[Щит],Щиты[Zпетли на шинах, Ом])+FA184),"")</f>
        <v/>
      </c>
      <c r="FD184" s="6" t="str">
        <f>IF(ISNUMBER(FC184),c_min*(Uн_лин*1000/SQRT(3))/FC184,"")</f>
        <v/>
      </c>
      <c r="FE184" s="6" t="str">
        <f>IFERROR(IF(OR(B184="",NOT(ISNUMBER(EN184))),"",1.05*(Uн_лин*1000/SQRT(3))/(_xlfn.XLOOKUP(A184,Щиты[Щит],Щиты[Zmax на шинах, Ом])+FB184)/1000),"")</f>
        <v/>
      </c>
      <c r="FF184" s="6" t="str">
        <f>IF(B184="","",IF(ISNUMBER(AC184),"Сил",IF(IFERROR(_xlfn.XLOOKUP(BC184,Коды_код,Коды_группа)&amp;"","")="","Быт",_xlfn.XLOOKUP(BC184,Коды_код,Коды_группа)&amp;"")))</f>
        <v>Быт</v>
      </c>
      <c r="FG184" s="6" t="str">
        <f t="shared" si="336"/>
        <v>Нет</v>
      </c>
      <c r="FH184" s="6">
        <f>IF(FG184="Щит","щит",IF(FG184="","",IF(FG184="Быт",IFERROR(_xlfn.XLOOKUP(A184,Щиты[Щит],Щиты[Кс быт]),1),IF(FG184="Сил",IF(ISNUMBER(AC184),AC184,IF(Методика="нормы 2026",IFERROR(_xlfn.XLOOKUP(A184,Щиты[Щит],Щиты[Кс силовых (табл. 7.5)]),1),1)),IF(OR(FG184="Пост",FG184="Отоп"),1,IF(FG184="ВНГ",0.7,0))))))</f>
        <v>0</v>
      </c>
      <c r="FI184">
        <f>IF(FG184="","",IF(AND(BP184=1,TRIM(AE184&amp;"")=""),IF(COUNTIFS(Линии[Щит],A184,Линии[Секция (1/2/3)],"&gt;=2")&gt;0,MIN(3,MAX(1,IFERROR(--BD184,1))),1),IFERROR(MIN(3,MAX(1,INT(--AE184))),1)))</f>
        <v>1</v>
      </c>
      <c r="FJ184">
        <f t="shared" si="337"/>
        <v>0</v>
      </c>
      <c r="FK184">
        <f t="shared" si="338"/>
        <v>0</v>
      </c>
      <c r="FL184">
        <f t="shared" si="339"/>
        <v>0</v>
      </c>
      <c r="FM184">
        <f t="shared" si="340"/>
        <v>0</v>
      </c>
      <c r="FN184">
        <f t="shared" si="341"/>
        <v>0</v>
      </c>
      <c r="FO184">
        <f t="shared" si="342"/>
        <v>0</v>
      </c>
      <c r="FP184">
        <f t="shared" si="343"/>
        <v>0</v>
      </c>
      <c r="FQ184">
        <f t="shared" si="344"/>
        <v>0</v>
      </c>
      <c r="FR184">
        <f t="shared" si="345"/>
        <v>0</v>
      </c>
      <c r="FS184">
        <f>IF(CG184=1,IF(AND(CH184=1,CW184=1),0,IF(AND(CS184&lt;&gt;"",CS184=BA184,CW184=1),SUMIFS(Линии[_Р линии, кВт],Линии[_блок УЗО],BA184,Линии[Щит],A184),N(BS184)+IF(AJ184="вручную",0,N(CK184)))),0)</f>
        <v>24.405000000000005</v>
      </c>
      <c r="FT184" t="str">
        <f t="shared" si="346"/>
        <v/>
      </c>
      <c r="FU184" t="str">
        <f>IF(B184="","",IF(CG184=0,IF(BA184=1,"",FW183),IF(AND(CH184=1,CW184=1,CS184&lt;&gt;""),IFERROR(_xlfn.XLOOKUP(CS184,Линии[_n],Линии[_фаза итог]),"L1"),IF(OR(N(DL184)&gt;=3,N(BX184)&gt;=3),"L1,L2,L3",IFERROR(_xlfn.TEXTBEFORE(_xlfn.TEXTAFTER(_xlfn.XLOOKUP(A184,Щиты[Щит],Щиты[_фазы авто]),";"&amp;BA184&amp;":"),";"),"L1")))))</f>
        <v>L1,L2,L3</v>
      </c>
      <c r="FV184" t="str">
        <f t="shared" si="347"/>
        <v>L1,L2,L3</v>
      </c>
      <c r="FW184" t="str">
        <f t="shared" si="348"/>
        <v>L1,L2,L3</v>
      </c>
      <c r="FX184" cm="1">
        <f t="array" ref="FX184">IFERROR(IF(CD184=2,_xlfn.IFS(BX184=3,VLOOKUP(BS184,Справочная_двигатели,3,FALSE),BX184=1,VLOOKUP(BS184,Справочная_двигатели,5,TRUE)),0),0)</f>
        <v>0</v>
      </c>
      <c r="FY184">
        <f>IFERROR(IF(CD184=3,VLOOKUP(BS184,Справочная_ЛЭД,2,TRUE),0),0)</f>
        <v>0</v>
      </c>
      <c r="FZ184" s="6">
        <f t="shared" si="349"/>
        <v>0</v>
      </c>
      <c r="GA184" t="str">
        <f>IF(B184="","",IF(TRIM(AH184&amp;"")&lt;&gt;"",IF(LOWER(TRIM(AH184&amp;""))="да","да","нет"),IF(IFERROR(_xlfn.XLOOKUP(BC184,Коды_код,Коды_пожарная),"")="да","да","нет")))</f>
        <v>нет</v>
      </c>
      <c r="GB184" t="str">
        <f t="shared" si="350"/>
        <v/>
      </c>
      <c r="GC184" t="str">
        <f t="shared" si="351"/>
        <v>основная</v>
      </c>
      <c r="GD184">
        <f>IF(AND(BP184=1,TRIM(AE184&amp;"")=""),IF(COUNTIFS(Линии[Щит],A184,Линии[Секция (1/2/3)],"&gt;=2")&gt;0,MIN(3,MAX(1,IFERROR(--BD184,1))),1),IFERROR(MIN(3,MAX(1,INT(--AE184))),1))</f>
        <v>1</v>
      </c>
      <c r="GE184" t="str" cm="1">
        <f t="array" ref="GE184">IF(B184="","",_xlfn.LET(_xlpm.t,IFERROR(_xlfn.XLOOKUP(1,(Шины[Шина]=GC184)*(((Шины[Щит]=A184)+(Шины[Щит]=""))&gt;0),Шины[Тип]),"")&amp;"",IF(_xlpm.t&lt;&gt;"",_xlpm.t,IF(ISNUMBER(SEARCH("ИБП",GC184)),"ИБП",IF(ISNUMBER(SEARCH("ДГУ",GC184)),"ДГУ","Ввод "&amp;GD184)))))</f>
        <v>Ввод 1</v>
      </c>
      <c r="GF184" t="str">
        <f t="shared" si="352"/>
        <v>Ввод 1</v>
      </c>
      <c r="GG184" t="str">
        <f>IF(BP184=0,"",IF(TRIM(AG184&amp;"")&lt;&gt;"",TRIM(AG184&amp;""),IF(OR(GE184="ИБП",GE184="ДГУ"),"I особая",_xlfn.XLOOKUP(A184,Щиты[Щит],Щиты[Категория шины «Ввод»],"III"))))</f>
        <v>II</v>
      </c>
      <c r="GH184" t="str">
        <f>IF(A184="","",_xlfn.XLOOKUP(A184,Щиты[Щит],Щиты[Путь],""))</f>
        <v>|ГРЩ-ЖД|ЩР-01|</v>
      </c>
      <c r="GI184" t="str">
        <f>IF(B184="","",IF(AI184&lt;&gt;"",AI184,IF(IFERROR(_xlfn.XLOOKUP(BC184,Коды_код,Коды_вид)&amp;"","")="","Прочее",_xlfn.XLOOKUP(BC184,Коды_код,Коды_вид)&amp;"")))</f>
        <v>Прочее</v>
      </c>
      <c r="GJ184">
        <f>IF(BM184="","",INT((BM184-1)/Столбцов_на_лист)+1)</f>
        <v>1</v>
      </c>
      <c r="GK184" t="str">
        <f t="shared" si="353"/>
        <v>ВВГнг(А)-LS (5х10)</v>
      </c>
      <c r="GL184">
        <f t="shared" si="354"/>
        <v>24.405000000000005</v>
      </c>
      <c r="GM184">
        <f t="shared" si="355"/>
        <v>32.799999999999997</v>
      </c>
      <c r="GN184">
        <f t="shared" si="356"/>
        <v>3</v>
      </c>
      <c r="GO184">
        <f t="shared" si="357"/>
        <v>0</v>
      </c>
      <c r="GP184">
        <f t="shared" si="358"/>
        <v>0</v>
      </c>
      <c r="GQ184" t="str">
        <f>IF(BM184="","",IF(AND(CG184=1,GP184=1),COUNTIFS(A$3:A184,A184,CG$3:CG184,1,GP$3:GP184,1),IF(OR(OR(BA184=1,A184&lt;&gt;A183),AJ184="вручную",GP184=0),"",IF(BA184=1,"",GR183))))</f>
        <v/>
      </c>
      <c r="GR184" t="str">
        <f t="shared" si="359"/>
        <v/>
      </c>
      <c r="GS184">
        <f>IF(B184="","",IFERROR(LOOKUP(INDEX(CHOOSE(EB184,Iдоп_1ж,Iдоп_2ж,Iдоп_3ж),MATCH(EN184,Iдоп_S,0))*DZ184*EA184,{6,10,16,20,25,32,40,50,63,80,100,125,160,200,250,315,400,500,630}),""))</f>
        <v>50</v>
      </c>
      <c r="GT184" t="str">
        <f t="shared" si="360"/>
        <v/>
      </c>
      <c r="GU184" t="str">
        <f t="shared" si="361"/>
        <v/>
      </c>
      <c r="GV184" t="str">
        <f t="shared" si="362"/>
        <v/>
      </c>
      <c r="GW184">
        <f t="shared" si="363"/>
        <v>0</v>
      </c>
      <c r="GX184" t="str">
        <f>IF(OR(B184="",DJ184=""),"",IFERROR(_xlfn.XLOOKUP(DJ184,Модули_умолч[Управление],Модули_умолч[Модель])&amp;"",""))</f>
        <v/>
      </c>
      <c r="GY184">
        <f>IF(DJ184="",1,IFERROR(MAX(0,N(_xlfn.XLOOKUP(DJ184,Модули_умолч[Управление],Модули_умолч[Каналов на линию]))),1))</f>
        <v>1</v>
      </c>
      <c r="GZ184" t="str">
        <f t="shared" si="364"/>
        <v/>
      </c>
      <c r="HA184" t="str">
        <f t="shared" si="365"/>
        <v/>
      </c>
      <c r="HB184" t="str">
        <f t="shared" si="366"/>
        <v/>
      </c>
      <c r="HC184">
        <f>IF(HB184="",0,IFERROR(N(VLOOKUP(HB184,Модули_спр,3,FALSE)),0))</f>
        <v>0</v>
      </c>
      <c r="HD184" t="str">
        <f t="shared" si="367"/>
        <v/>
      </c>
      <c r="HE184" t="str">
        <f t="shared" si="368"/>
        <v/>
      </c>
      <c r="HF184" t="str">
        <f>IF(OR(HE184="",HE184="-"),"",IFERROR(VLOOKUP(HE184,Модули_спр,2,FALSE),"R"))</f>
        <v/>
      </c>
      <c r="HG184" t="str">
        <f>IF(HF184="","",HF184&amp;"."&amp;COUNTIFS(A$3:A184,A184,HF$3:HF184,HF184))</f>
        <v/>
      </c>
      <c r="HH184" t="str">
        <f t="shared" si="369"/>
        <v/>
      </c>
      <c r="HI184" t="str">
        <f t="shared" si="370"/>
        <v/>
      </c>
      <c r="HJ184" t="str">
        <f t="shared" si="371"/>
        <v/>
      </c>
      <c r="HK184" t="str">
        <f t="shared" si="372"/>
        <v/>
      </c>
      <c r="HL184">
        <f t="shared" si="373"/>
        <v>0</v>
      </c>
      <c r="HM184" t="str">
        <f>IF(HL184=1,"XT"&amp;COUNTIFS(A$3:A184,A184,HL$3:HL184,1),"")</f>
        <v/>
      </c>
      <c r="HN184" t="str">
        <f t="shared" si="374"/>
        <v/>
      </c>
      <c r="HO184" t="str">
        <f t="shared" si="375"/>
        <v/>
      </c>
      <c r="HP184" t="str">
        <f t="shared" si="376"/>
        <v/>
      </c>
      <c r="HQ184" t="str">
        <f t="shared" si="377"/>
        <v>ok</v>
      </c>
      <c r="HR184" t="str">
        <f>IF(OR(HJ184="",HH184=""),"",IF(HJ184+MAX(0,GY184-1)&gt;IFERROR(VLOOKUP(HI184,Модули_спр,3,FALSE),99),"ЛИШНИЙ КАНАЛ",IF(AND(AL184&lt;&gt;"=",GY184&gt;0,COUNTIFS(Линии[_модуль гр.],HH184,Линии[Канал (итог)],HJ184,Линии[Канал],"&lt;&gt;=",Линии[Щит],A184)&gt;1),"ДУБЛЬ КАНАЛА","")))</f>
        <v/>
      </c>
      <c r="HS184" s="6" t="str">
        <f t="shared" si="378"/>
        <v/>
      </c>
      <c r="HT184">
        <f t="shared" si="379"/>
        <v>10</v>
      </c>
      <c r="HU184" t="str">
        <f t="shared" si="380"/>
        <v/>
      </c>
      <c r="HV184">
        <f t="shared" si="381"/>
        <v>0</v>
      </c>
      <c r="HW184">
        <f t="shared" si="382"/>
        <v>0</v>
      </c>
      <c r="HX184">
        <f t="shared" si="383"/>
        <v>0</v>
      </c>
      <c r="HY184">
        <f t="shared" si="384"/>
        <v>0</v>
      </c>
      <c r="HZ184">
        <f t="shared" si="385"/>
        <v>0</v>
      </c>
      <c r="IA184">
        <f t="shared" si="386"/>
        <v>0</v>
      </c>
      <c r="IB184">
        <f t="shared" si="387"/>
        <v>0</v>
      </c>
      <c r="IC184" t="str">
        <f t="shared" si="388"/>
        <v/>
      </c>
      <c r="ID184" t="str" cm="1">
        <f t="array" ref="ID184">IF(IC184="","",_xlfn.LET(_xlpm.tk,_xlfn.TEXTSPLIT(SUBSTITUTE(SUBSTITUTE(IC184,";"," "),"→"," ")," ",,TRUE),_xlpm.w_,_xlfn._xlws.FILTER(_xlpm.tk,ISNUMBER(--LEFT(_xlpm.tk,1))*((ISNUMBER(SEARCH("W",_xlpm.tk))+ISNUMBER(SEARCH("Вт",_xlpm.tk)))&gt;0),""),IFERROR(--SUBSTITUTE(SUBSTITUTE(UPPER(INDEX(_xlpm.w_,1)),"W",""),"ВТ",""),"")))</f>
        <v/>
      </c>
      <c r="IE184" t="str" cm="1">
        <f t="array" ref="IE184">IF(IC184="","",_xlfn.LET(_xlpm.tk,_xlfn.TEXTSPLIT(SUBSTITUTE(SUBSTITUTE(IC184,";"," "),"→"," ")," ",,TRUE),_xlpm.v_,_xlfn._xlws.FILTER(_xlpm.tk,ISNUMBER(--LEFT(_xlpm.tk,1))*((ISNUMBER(SEARCH("V",_xlpm.tk))+(RIGHT(UPPER(_xlpm.tk))="В"))&gt;0),""),IFERROR(--SUBSTITUTE(SUBSTITUTE(UPPER(INDEX(_xlpm.v_,1)),"V",""),"В",""),"")))</f>
        <v/>
      </c>
      <c r="IF184" s="6" t="str">
        <f>IF(OR(BV184=0,HI184="",HJ184=""),"",IFERROR(N(_xlfn.XLOOKUP(HI184,Каталог!$C$4:$C$500,Каталог!$Q$4:$Q$500)),""))</f>
        <v/>
      </c>
      <c r="IG184" s="6" t="str">
        <f>IF(N(IF184)=0,"",SUMIFS(Линии[Iр, А],Линии[Щит],A184,Линии[_модуль гр.],HH184,Линии[Канал (итог)],HJ184))</f>
        <v/>
      </c>
      <c r="IH184" t="str">
        <f>IF(AND(B184="",HO184=""),"",_xlfn.TEXTJOIN("; ",TRUE,IF(AND(B184&lt;&gt;"",FV184=""),"нет фазы",""),IF(AND(B184&lt;&gt;"",N(GL184)=0,FG184&lt;&gt;"Нет"),"нет мощности",""),IF(AND(HN184&lt;&gt;"",COUNTIFS(Линии[Щит],A184,Линии[Клемма (итог)],HN184)&gt;1),"дубль клеммы "&amp;HN184,""),IF(AND(HQ184&lt;&gt;"",HQ184&lt;&gt;"ok"),HQ184,""),IF(HR184&lt;&gt;"",HR184,""),IF(AND(N(CB184)&gt;=4,N(BX184)=1),CB184&amp;" жил на 1 фазе",""),IF(AND(BC184="R",CG184=1,IF(CS184&lt;&gt;"",N(CV184)&gt;30,OR(N(DA184)=0,N(DA184)&gt;30))),"розетка без дифзащиты до 30 мА",""),IF(AND(CG184=1,N(DA184)&gt;0,ISNUMBER(T184)),IF(T184&gt;N(DA184)/3,"ток утечки "&amp;FIXED(T184,1)&amp;" мА &gt; 1/3 уставки ("&amp;DA184&amp;" мА)",""),""),IF(AND(CH184=1,CS184=""),"«узо»: нет строки с УЗО выше (УЗО 2P 40А 30мА в «Аппаратах»)",""),IF(AND(CS184&lt;&gt;"",CS184=BA184),IF(CT184="","впишите номинал УЗО (УЗО 2P 40А 30мА)",IF(N(CT184)&lt;N(DT184),"УЗО "&amp;CT184&amp;" А &lt; автомата "&amp;DT184&amp;" А перед ним",IF(N(CT184)&lt;N(CX184),"УЗО "&amp;CT184&amp;" А &lt; тока блока "&amp;FIXED(CX184,1)&amp;" А",""))),""),IF(AND(CS184&lt;&gt;"",CS184=BA184,ISNUMBER(CY184)),IF(CY184&gt;N(CV184)/3,"ток утечки блока УЗО "&amp;FIXED(CY184,1)&amp;" мА &gt; 1/3 уставки ("&amp;CV184&amp;" мА)",""),""),IF(AND(CG184=1,N(BV184)+N(IB184)&gt;0,IC184=""),"линии до 50 В без БП: впишите в «Аппараты» (БП 24V 480W)",""),IF(AND(CG184=1,ISNUMBER(ID184),ISNUMBER(U184)),IF(U184&gt;ID184,"БП "&amp;ID184&amp;" Вт &lt; нужно "&amp;U184&amp;" Вт (×"&amp;Запас_БП&amp;")",""),""),IF(AND(CG184=1,ISNUMBER(IE184),N(BV184)=1),IF(IE184&lt;&gt;N(BU184),"БП на "&amp;IE184&amp;" В, линия "&amp;BU184&amp;" В",""),""),IF(AND(N(IF184)&gt;0,N(IG184)&gt;N(IF184)),HH184&amp;" канал "&amp;HJ184&amp;": "&amp;FIXED(IG184,1)&amp;" А &gt; "&amp;IF184&amp;" А",""),IFERROR(IF(AND(ISNUMBER(Q184),Q184&gt;EL184),"потери "&amp;FIXED(Q184,1)&amp;" % &gt; "&amp;EL184&amp;" %",""),""),IFERROR(IF(LEFT(HU184,4)="мало","Iкз мало — отключение &gt; 0,4 с",""),""),IF(AND(B184&lt;&gt;"",BM184=""),"не на схеме",""),IF(AND(CG184=0,B184&lt;&gt;"",FV184&lt;&gt;"",IF(BA184=1,"",FW183)&lt;&gt;"",FV184&lt;&gt;IF(BA184=1,"",FW183)),"фаза не как у автомата группы ("&amp;IF(BA184=1,"",FW183)&amp;")","")))</f>
        <v/>
      </c>
      <c r="II184" s="6" t="str">
        <f>IF(OR(CG184=0,DQ184=""),"",_xlfn.LET(_xlpm.t,IFERROR(_xlfn.XLOOKUP(DQ184,Каталог!$U$4:$U$500,Каталог!$G$4:$G$500),""),_xlpm.k,SEARCH("кА",_xlpm.t),IFERROR(--TRIM(RIGHT(SUBSTITUTE(MID(_xlpm.t,MAX(1,_xlpm.k-4),_xlpm.k-MAX(1,_xlpm.k-4))," ",REPT(" ",9)),5)),"")))</f>
        <v/>
      </c>
      <c r="IJ184" t="str">
        <f>IF(OR(II184="",CG184=0),"",IF(_xlfn.XLOOKUP(A184,Щиты[Щит],Щиты[Iкз max на шинах, кА],"")="","",IF(II184&lt;_xlfn.XLOOKUP(A184,Щиты[Щит],Щиты[Iкз max на шинах, кА]),"Icu "&amp;II184&amp;" кА &lt; Iкз max","ok")))</f>
        <v/>
      </c>
      <c r="IK184" t="str">
        <f t="shared" si="389"/>
        <v/>
      </c>
      <c r="IL184" t="str">
        <f t="shared" si="390"/>
        <v/>
      </c>
      <c r="IM184" t="str">
        <f t="shared" si="391"/>
        <v/>
      </c>
      <c r="IN184" t="str" cm="1">
        <f t="array" ref="IN184">IF(IM184="","",_xlfn.LET(_xlpm.nd,_xlfn.TEXTSPLIT(IM184,"|"),IF(COLUMNS(_xlpm.nd)&gt;1,A184&amp;"¦"&amp;INDEX(_xlpm.nd,1)&amp;"¦"&amp;INDEX(_xlpm.nd,2),"")))</f>
        <v/>
      </c>
      <c r="IO184" t="str">
        <f t="shared" si="392"/>
        <v/>
      </c>
      <c r="IP184" t="str" cm="1">
        <f t="array" ref="IP184">IF(IM184="","",_xlfn.LET(_xlpm.nd,_xlfn.TEXTSPLIT(IM184,"|"),IF(COLUMNS(_xlpm.nd)&gt;2,A184&amp;"¦"&amp;INDEX(_xlpm.nd,2)&amp;"¦"&amp;INDEX(_xlpm.nd,3),"")))</f>
        <v/>
      </c>
      <c r="IQ184" t="str">
        <f t="shared" si="393"/>
        <v/>
      </c>
      <c r="IR184" t="str" cm="1">
        <f t="array" ref="IR184">IF(IM184="","",_xlfn.LET(_xlpm.nd,_xlfn.TEXTSPLIT(IM184,"|"),IF(COLUMNS(_xlpm.nd)&gt;3,A184&amp;"¦"&amp;INDEX(_xlpm.nd,3)&amp;"¦"&amp;INDEX(_xlpm.nd,4),"")))</f>
        <v/>
      </c>
      <c r="IS184" t="str">
        <f t="shared" si="394"/>
        <v/>
      </c>
      <c r="IT184" t="str" cm="1">
        <f t="array" ref="IT184">IF(IM184="","",_xlfn.LET(_xlpm.nd,_xlfn.TEXTSPLIT(IM184,"|"),IF(COLUMNS(_xlpm.nd)&gt;4,A184&amp;"¦"&amp;INDEX(_xlpm.nd,4)&amp;"¦"&amp;INDEX(_xlpm.nd,5),"")))</f>
        <v/>
      </c>
      <c r="IU184" t="str">
        <f t="shared" si="395"/>
        <v/>
      </c>
      <c r="IV184" t="str" cm="1">
        <f t="array" ref="IV184">IF(IM184="","",_xlfn.LET(_xlpm.nd,_xlfn.TEXTSPLIT(IM184,"|"),IF(COLUMNS(_xlpm.nd)&gt;5,A184&amp;"¦"&amp;INDEX(_xlpm.nd,5)&amp;"¦"&amp;INDEX(_xlpm.nd,6),"")))</f>
        <v/>
      </c>
      <c r="IW184" t="str">
        <f t="shared" si="396"/>
        <v/>
      </c>
      <c r="IX184" t="str" cm="1">
        <f t="array" ref="IX184">IF(IM184="","",_xlfn.LET(_xlpm.nd,_xlfn.TEXTSPLIT(IM184,"|"),IF(COLUMNS(_xlpm.nd)&gt;6,A184&amp;"¦"&amp;INDEX(_xlpm.nd,6)&amp;"¦"&amp;INDEX(_xlpm.nd,7),"")))</f>
        <v/>
      </c>
      <c r="IY184" t="str">
        <f t="shared" si="397"/>
        <v/>
      </c>
      <c r="IZ184" t="str">
        <f t="shared" si="398"/>
        <v/>
      </c>
      <c r="JA184" t="str">
        <f t="shared" si="399"/>
        <v/>
      </c>
      <c r="JB184">
        <f t="shared" si="400"/>
        <v>0</v>
      </c>
      <c r="JC184">
        <f t="shared" si="401"/>
        <v>0</v>
      </c>
      <c r="JD184" t="str">
        <f t="shared" si="402"/>
        <v/>
      </c>
      <c r="JE184" t="str">
        <f t="shared" si="403"/>
        <v/>
      </c>
      <c r="JF184" t="str">
        <f t="shared" si="404"/>
        <v/>
      </c>
      <c r="JG184" t="str">
        <f t="shared" si="405"/>
        <v/>
      </c>
      <c r="JH184">
        <f>IF(B184="","",IFERROR(_xlfn.XLOOKUP(B184,Коды_код,Коды_уго),IFERROR(_xlfn.XLOOKUP(BC184,Коды_код,Коды_уго),IFERROR(_xlfn.XLOOKUP(LEFT(BC184,2),Коды_код,Коды_уго),""))))</f>
        <v>0</v>
      </c>
      <c r="JI184" t="str">
        <f>IF(B184="","",IF(OR(JH184="",JH184=0),"BOX",IFERROR(IF(VLOOKUP(JH184,УГО_блоки,3,FALSE)&amp;""&lt;&gt;"",VLOOKUP(JH184,УГО_блоки,3,FALSE),VLOOKUP(JH184,УГО_блоки,2,FALSE)),JH184)))</f>
        <v>BOX</v>
      </c>
      <c r="JJ184">
        <f t="shared" si="406"/>
        <v>1</v>
      </c>
      <c r="JK184" t="str">
        <f>IF(DQ184="","",IF(COUNTIF(DQ$3:DQ184,DQ184)=1,MAX(JK$2:JK183)+1,""))</f>
        <v/>
      </c>
      <c r="JL184" t="str">
        <f>IF(DE184="","",IF(COUNTIF(DE$3:DE184,DE184)+COUNTIF(DF$2:DF183,DE184)+COUNTIF(DG$2:DG183,DE184)=1,MAX(JL$2:JN183)+1,""))</f>
        <v/>
      </c>
      <c r="JM184" t="str">
        <f>IF(DF184="","",IF(COUNTIF(DE$3:DE184,DF184)+COUNTIF(DF$3:DF184,DF184)+COUNTIF(DG$2:DG183,DF184)=1,MAX(JL$2:JN183,JL184)+1,""))</f>
        <v/>
      </c>
      <c r="JN184" t="str">
        <f>IF(DG184="","",IF(COUNTIF(DE$3:DE184,DG184)+COUNTIF(DF$3:DF184,DG184)+COUNTIF(DG$3:DG184,DG184)=1,MAX(JL$2:JN183,JL184,JM184)+1,""))</f>
        <v/>
      </c>
      <c r="JO184" t="str">
        <f t="shared" si="407"/>
        <v/>
      </c>
      <c r="JP184" t="str">
        <f>IF(JO184="","",IF(COUNTIF(JO$3:JO184,JO184)=1,MAX(JP$2:JP183)+1,""))</f>
        <v/>
      </c>
      <c r="JQ184" t="str">
        <f>IF(HG184="","",COUNTIF(HG$3:HG184,"?*"))</f>
        <v/>
      </c>
      <c r="JR184" t="str">
        <f>IF(OR(HG184="",HI184=""),"",IF(COUNTIFS(HG$3:HG184,"?*",HI$3:HI184,HI184)=1,MAX(JR$2:JR183)+1,""))</f>
        <v/>
      </c>
      <c r="JS184">
        <f t="shared" si="408"/>
        <v>0</v>
      </c>
      <c r="JT184">
        <f>IF(B184="","",COUNTIF(B$3:B184,"?*"))</f>
        <v>182</v>
      </c>
      <c r="JU184">
        <f>IF(HL184&lt;&gt;1,0,_xlfn.LET(_xlpm.k,MAX(IFERROR(--_xlfn.XLOOKUP(B184,Коды_код,Коды_3L),0),IFERROR(--_xlfn.XLOOKUP(BC184,Коды_код,Коды_3L),0),IFERROR(--_xlfn.XLOOKUP(LEFT(BC184,2),Коды_код,Коды_3L),0)),IF(_xlpm.k&gt;0,_xlpm.k,IF(IFERROR(--LEFT(SUBSTITUTE(JO184,"x","х"),FIND("х",SUBSTITUTE(JO184,"x","х"))-1),3)&gt;3,Каталог!$S$9,1))))</f>
        <v>0</v>
      </c>
      <c r="JV184">
        <f t="shared" si="409"/>
        <v>0</v>
      </c>
      <c r="JW184" t="str">
        <f t="shared" si="410"/>
        <v>авто</v>
      </c>
      <c r="JX184" t="str">
        <f t="shared" si="411"/>
        <v/>
      </c>
      <c r="JY184">
        <f t="shared" si="412"/>
        <v>0</v>
      </c>
      <c r="JZ184">
        <f t="shared" si="413"/>
        <v>1</v>
      </c>
    </row>
    <row r="185" spans="1:286" x14ac:dyDescent="0.3">
      <c r="A185" t="s">
        <v>755</v>
      </c>
      <c r="B185" t="s">
        <v>1492</v>
      </c>
      <c r="C185" t="str">
        <f>Линии[[#This Row],[_авто наименование]]</f>
        <v>Розеточная группа, пом. 002A</v>
      </c>
      <c r="D185">
        <v>2</v>
      </c>
      <c r="E185">
        <v>0.12</v>
      </c>
      <c r="G185" t="str">
        <f>Линии[[#This Row],[_авто автомат]]</f>
        <v>2P С16А 30мА</v>
      </c>
      <c r="H185" t="str">
        <f>Линии[[#This Row],[_авто управление]]</f>
        <v/>
      </c>
      <c r="I185" t="str">
        <f>Линии[[#This Row],[_авто аппараты]]</f>
        <v/>
      </c>
      <c r="J185">
        <v>2.5</v>
      </c>
      <c r="K185">
        <v>29</v>
      </c>
      <c r="L185">
        <v>3</v>
      </c>
      <c r="M185" t="str">
        <f>Линии[[#This Row],[_авто клемма]]</f>
        <v>XT1</v>
      </c>
      <c r="N185" t="str">
        <f t="shared" si="276"/>
        <v/>
      </c>
      <c r="O185" s="6" cm="1">
        <f t="array" ref="O185">IF(B185="","",IF(BH185&lt;&gt;"",IFERROR(_xlfn.XLOOKUP(BH185,Щиты[Щит],Щиты[Iр, А]),""),IF(BP185=1,IF(OR(N(_xlfn.XLOOKUP(A185,Щиты[Щит],Щиты[Вводов],1))&lt;=1,LOWER(TRIM(_xlfn.XLOOKUP(A185,Щиты[Щит],Щиты[АВР],"")&amp;""))="да"),IFERROR(_xlfn.XLOOKUP(A185,Щиты[Щит],Щиты[Iр, А]),""),IFERROR(N(BS185)*_xlfn.XLOOKUP(A185,Щиты[Щит],Щиты[Кс итог])/(SQRT(3)*Uн_лин*_xlfn.XLOOKUP(A185,Щиты[Щит],Щиты[cos φ])),"")),IF(BV185=1,IFERROR(BS185*1000/BU185,""),IFERROR(_xlfn.IFS(BX185=1,BS185/((Uн_лин/SQRT(3))*CE185),BX185=3,BS185/(SQRT(3)*Uн_лин*CE185)),"")))))</f>
        <v>0.54696341291648753</v>
      </c>
      <c r="P185" s="7">
        <f>IF(B185="","",IFERROR(IF(VLOOKUP(BC185,Потребители_обозначение,4,FALSE)=1,VLOOKUP(BC185,Потребители_обозначение,3,FALSE)*(MAX(1,N(D185))*2-1)+EI185+VLOOKUP(BE185,Этаж_обозначение,3,FALSE)+VLOOKUP(BE185,Этаж_обозначение,4,FALSE),VLOOKUP(BC185,Потребители_обозначение,3,FALSE)*(MAX(1,N(D185))*2-1)+EI185),EI185))</f>
        <v>38</v>
      </c>
      <c r="Q185" s="6">
        <f t="shared" si="277"/>
        <v>0.59</v>
      </c>
      <c r="R185" t="str">
        <f t="shared" si="278"/>
        <v>ВВГнг(А)-LS (3х2,5)</v>
      </c>
      <c r="S185" t="str">
        <f>IF(BM185="","",IF(BN185="вводной узел","узел ","")&amp;"л."&amp;(INT((BM185-1)/Столбцов_на_лист)+1)&amp;" / "&amp;(MOD(BM185-1,Столбцов_на_лист)+1))</f>
        <v>л.1 / 9</v>
      </c>
      <c r="T185" s="119">
        <f t="shared" si="279"/>
        <v>0.6</v>
      </c>
      <c r="U185" s="7" t="str">
        <f>IF(OR(CG185=0,N(BV185)+N(IB185)=0),"",ROUNDUP(Запас_БП*(N(HY185)+N(HZ185)),0))</f>
        <v/>
      </c>
      <c r="V185" s="119" t="str">
        <f t="shared" si="280"/>
        <v/>
      </c>
      <c r="W185" s="7" t="str">
        <f>IFERROR(IF(OR(B185="",BP185=1,BV185=1,NOT(ISNUMBER(EN185)),N(DT185)=0),"",MAX(0,ROUNDDOWN((c_min*(Uн_лин*1000/SQRT(3))/(HT185*N(DT185))-_xlfn.XLOOKUP(A185,Щиты[Щит],Щиты[Zпетли на шинах, Ом]))*EN185/(2*ρкз_Cu),0))),"")</f>
        <v/>
      </c>
      <c r="Y185">
        <f>Линии[[#This Row],[_авто утечка]]</f>
        <v>30</v>
      </c>
      <c r="Z185">
        <v>1</v>
      </c>
      <c r="AA185">
        <v>230</v>
      </c>
      <c r="AB185" t="s">
        <v>562</v>
      </c>
      <c r="AG185" t="s">
        <v>810</v>
      </c>
      <c r="AI185" t="s">
        <v>561</v>
      </c>
      <c r="AK185" t="str">
        <f>Линии[[#This Row],[_авто модуль]]</f>
        <v/>
      </c>
      <c r="AM185">
        <v>9</v>
      </c>
      <c r="AN185" t="s">
        <v>11</v>
      </c>
      <c r="AO185">
        <v>3</v>
      </c>
      <c r="AQ185">
        <v>8</v>
      </c>
      <c r="AR185">
        <v>30</v>
      </c>
      <c r="AS185">
        <v>0</v>
      </c>
      <c r="BA185" cm="1">
        <f t="array" ref="BA185">ROW()-ROW(Линии[#Headers])</f>
        <v>183</v>
      </c>
      <c r="BC185" s="6" t="str">
        <f t="shared" si="281"/>
        <v>R</v>
      </c>
      <c r="BD185" t="str">
        <f t="shared" si="282"/>
        <v>0.002A.1</v>
      </c>
      <c r="BE185" t="str">
        <f t="shared" si="283"/>
        <v>0</v>
      </c>
      <c r="BF185" t="str">
        <f t="shared" si="284"/>
        <v>002A.1</v>
      </c>
      <c r="BG185" t="str">
        <f t="shared" si="285"/>
        <v>002A</v>
      </c>
      <c r="BH185" t="str">
        <f>IF(X185&lt;&gt;"",X185,IF(AND(B185&lt;&gt;"",B185&lt;&gt;A185,ISNUMBER(_xlfn.XMATCH(B185,Щиты[Щит]))),B185,""))</f>
        <v/>
      </c>
      <c r="BI185" t="str" cm="1">
        <f t="array" ref="BI185">IF(B185="","",IF(BH185&lt;&gt;"","Щит "&amp;BH185,_xlfn.LET(_xlpm.nm,IFERROR(_xlfn.XLOOKUP(BC185,Коды_код,Коды_имя)&amp;"",""),_xlpm.md,IFERROR(N(_xlfn.XLOOKUP(BC185,Коды_код,Коды_режим)),1),_xlpm.ex,IF(Имя_режим="по экспликации",IFERROR(_xlfn.XLOOKUP(BE185&amp;"|"&amp;BG185,Экспликация[Этаж]&amp;"|"&amp;Экспликация[Помещение],Экспликация[Название])&amp;"",""),""),_xlpm.rm,IF(BG185="","",IF(_xlpm.ex&lt;&gt;"",". "&amp;_xlpm.ex&amp;IF(Имя_пом="нет"," ("&amp;BG185&amp;")"," (пом. "&amp;BG185&amp;")"),IF(Имя_пом="нет"," ",", пом. ")&amp;BG185)),IF(_xlpm.nm="","",IF(_xlpm.md=2,_xlpm.nm&amp;" шлейф "&amp;BE185,_xlpm.nm&amp;_xlpm.rm)))))</f>
        <v>Розеточная группа, пом. 002A</v>
      </c>
      <c r="BJ185" t="str">
        <f t="shared" si="286"/>
        <v>Розеточная группа, пом. 002A</v>
      </c>
      <c r="BK185">
        <f>IFERROR(_xlfn.XMATCH(A185,Щиты[Щит]),0)</f>
        <v>9</v>
      </c>
      <c r="BL185">
        <f>_xlfn.LET(_xlpm.k,IFERROR(_xlfn.XLOOKUP(A185,Щиты[Щит],Щиты[Мест под вводной узел]),""),IF(_xlpm.k="",Столбцов_на_лист,N(_xlpm.k)))</f>
        <v>8</v>
      </c>
      <c r="BM185">
        <f t="shared" si="287"/>
        <v>9</v>
      </c>
      <c r="BN185" t="str">
        <f t="shared" si="288"/>
        <v>линии</v>
      </c>
      <c r="BO185" s="6">
        <f>IFERROR(N(_xlfn.XLOOKUP(BC185,Коды_код,Коды_квт)),0)</f>
        <v>0</v>
      </c>
      <c r="BP185">
        <f t="shared" si="289"/>
        <v>0</v>
      </c>
      <c r="BQ185" t="str">
        <f>IF(B185="","",IF(BH185&lt;&gt;"",IFERROR(_xlfn.XLOOKUP(BH185,Щиты[Щит],Щиты[Руст, кВт]),0),IF(BP185=1,IF(OR(N(_xlfn.XLOOKUP(A185,Щиты[Щит],Щиты[Вводов],1))&lt;=1,LOWER(TRIM(_xlfn.XLOOKUP(A185,Щиты[Щит],Щиты[АВР],"")&amp;""))="да"),IFERROR(_xlfn.XLOOKUP(A185,Щиты[Щит],Щиты[Руст, кВт]),0),SUMIFS(Линии[_Р для вводов],Линии[Щит],A185,Линии[Источник для режимов],GF185)),IF(BO185&gt;0,ROUND(BO185*MAX(1,N(D185)),3),""))))</f>
        <v/>
      </c>
      <c r="BR185">
        <f t="shared" si="290"/>
        <v>0.12</v>
      </c>
      <c r="BS185" s="6">
        <f>IF(B185="","",IF(BH185&lt;&gt;"",IFERROR(_xlfn.XLOOKUP(BH185,Щиты[Щит],Щиты[Руст, кВт]),0),N(BR185)))</f>
        <v>0.12</v>
      </c>
      <c r="BT185" t="str">
        <f>IF(B185="","",IFERROR(IF(VLOOKUP(BC185,Потребители_обозначение,8,FALSE)=0,"",VLOOKUP(BC185,Потребители_обозначение,8,FALSE)),""))</f>
        <v/>
      </c>
      <c r="BU185">
        <f t="shared" si="291"/>
        <v>230</v>
      </c>
      <c r="BV185">
        <f t="shared" si="292"/>
        <v>0</v>
      </c>
      <c r="BW185">
        <f>IF(B185="","",IF(BH185&lt;&gt;"",3,IFERROR(IF(N(VLOOKUP(BC185,Потребители_обозначение,9,FALSE))=0,1,VLOOKUP(BC185,Потребители_обозначение,9,FALSE)),1)))</f>
        <v>1</v>
      </c>
      <c r="BX185">
        <f t="shared" si="293"/>
        <v>1</v>
      </c>
      <c r="BY185" t="str">
        <f>IF(B185="","",_xlfn.LET(_xlpm.bc,IFERROR(IF(VLOOKUP(BC185,Потребители_обозначение,6,FALSE)=0,"",VLOOKUP(BC185,Потребители_обозначение,6,FALSE)&amp;""),""),IF(AND(GA185="да",OR(_xlpm.bc="",_xlpm.bc="мс")),Марка_пож,IF(AND(_xlpm.bc="",BH185&lt;&gt;""),"мс",_xlpm.bc))))</f>
        <v/>
      </c>
      <c r="BZ185" t="str">
        <f t="shared" si="294"/>
        <v>мс</v>
      </c>
      <c r="CA185">
        <f>IF(B185="","",_xlfn.LET(_xlpm.cc,IFERROR(N(VLOOKUP(BC185,Потребители_обозначение,7,FALSE)),0),IF(_xlpm.cc&gt;0,_xlpm.cc,IF(BZ185="","",IF(BV185=1,2,IF(N(BX185)=3,5,3))))))</f>
        <v>3</v>
      </c>
      <c r="CB185">
        <f t="shared" si="295"/>
        <v>3</v>
      </c>
      <c r="CC185">
        <f>IFERROR(N(VLOOKUP(BC185,Потребители_обозначение,10,FALSE)),0)</f>
        <v>0</v>
      </c>
      <c r="CD185">
        <f>IFERROR(VLOOKUP(BC185,Потребители_обозначение,5,FALSE),0)</f>
        <v>1</v>
      </c>
      <c r="CE185" s="6" cm="1">
        <f t="array" ref="CE185">IF(B185="","",IF(BH185&lt;&gt;"",IFERROR(_xlfn.XLOOKUP(BH185,Щиты[Щит],Щиты[cos φ]),0.95),IF(BP185=1,IFERROR(_xlfn.XLOOKUP(A185,Щиты[Щит],Щиты[cos φ]),0.95),IF(ISNUMBER(AD185),AD185,IFERROR(IF(CD185=2,_xlfn.IFS(BX185=3,VLOOKUP(BS185,Справочная_двигатели,8,FALSE),BX185=1,VLOOKUP(BS185,Справочная_двигатели,10,TRUE)),IF(AND(Методика="нормы 2026",FG185="Сил"),0.8,0.95)),0.95)))))</f>
        <v>0.95</v>
      </c>
      <c r="CF185">
        <f t="shared" si="296"/>
        <v>0</v>
      </c>
      <c r="CG185">
        <f t="shared" si="297"/>
        <v>1</v>
      </c>
      <c r="CH185">
        <f t="shared" si="298"/>
        <v>0</v>
      </c>
      <c r="CI185">
        <f>IF(B185="","",IF(BV185=1,IFERROR(BS185/((Uн_лин/SQRT(3))*MAX(0.5,N(CE185))),0),N(O185)))</f>
        <v>0.54696341291648753</v>
      </c>
      <c r="CJ185">
        <f t="shared" si="299"/>
        <v>0</v>
      </c>
      <c r="CK185">
        <f t="shared" si="300"/>
        <v>0</v>
      </c>
      <c r="CL185">
        <f t="shared" si="301"/>
        <v>0</v>
      </c>
      <c r="CM185">
        <f t="shared" si="302"/>
        <v>0</v>
      </c>
      <c r="CN185">
        <f t="shared" si="303"/>
        <v>0</v>
      </c>
      <c r="CO185">
        <f>IF(BC185="",0,_xlfn.LET(_xlpm.v,IFERROR(_xlfn.XLOOKUP(B185,Коды_код,Коды_мА),IFERROR(_xlfn.XLOOKUP(BC185,Коды_код,Коды_мА),IFERROR(_xlfn.XLOOKUP(LEFT(BC185,2),Коды_код,Коды_мА),""))),IF(_xlpm.v="да",30,IF(ISNUMBER(_xlpm.v),_xlpm.v,0))))</f>
        <v>30</v>
      </c>
      <c r="CP185">
        <f t="shared" si="304"/>
        <v>30</v>
      </c>
      <c r="CQ185" t="str">
        <f>_xlfn.LET(_xlpm.k,IFERROR(_xlfn.XLOOKUP(BC185,Коды_код,Коды_утечка)&amp;"",""),IF(_xlpm.k="","дифавтомат",_xlpm.k))</f>
        <v>дифавтомат</v>
      </c>
      <c r="CR185" t="str" cm="1">
        <f t="array" ref="CR185">IF(CG185=0,"",_xlfn.LET(_xlpm.sg,TRIM(_xlfn.TEXTSPLIT(DD185&amp;"",";")),_xlpm.f_,_xlfn._xlws.FILTER(_xlpm.sg,LEFT(_xlpm.sg,3)="УЗО",""),IFERROR(INDEX(_xlpm.f_,1)&amp;"","")))</f>
        <v/>
      </c>
      <c r="CS185" t="str">
        <f t="shared" si="305"/>
        <v/>
      </c>
      <c r="CT185" s="6" t="str" cm="1">
        <f t="array" ref="CT185">IF(CR185="","",_xlfn.LET(_xlpm.tk,_xlfn.TEXTSPLIT(UPPER(CR185)," ",,TRUE),_xlpm.a_,_xlfn._xlws.FILTER(_xlpm.tk,ISNUMBER(--LEFT(_xlpm.tk,1))*((ISNUMBER(SEARCH("А",_xlpm.tk))+ISNUMBER(SEARCH("A",_xlpm.tk)))&gt;0)*NOT(ISNUMBER(SEARCH("МА",_xlpm.tk)))*NOT(ISNUMBER(SEARCH("MA",_xlpm.tk))),""),IFERROR(--SUBSTITUTE(SUBSTITUTE(INDEX(_xlpm.a_,1),"А",""),"A",""),"")))</f>
        <v/>
      </c>
      <c r="CU185" t="str" cm="1">
        <f t="array" ref="CU185">IF(CR185="","",_xlfn.LET(_xlpm.tk,_xlfn.TEXTSPLIT(UPPER(CR185)," ",,TRUE),_xlpm.a_,_xlfn._xlws.FILTER(_xlpm.tk,ISNUMBER(--LEFT(_xlpm.tk,1))*((ISNUMBER(SEARCH("МА",_xlpm.tk))+ISNUMBER(SEARCH("MA",_xlpm.tk)))&gt;0),""),IFERROR(--SUBSTITUTE(SUBSTITUTE(INDEX(_xlpm.a_,1),"МА",""),"MA",""),30)))</f>
        <v/>
      </c>
      <c r="CV185" t="str">
        <f>IF(CS185="","",IFERROR(_xlfn.XLOOKUP(CS185,Линии[_n],Линии[_УЗО, мА]),30))</f>
        <v/>
      </c>
      <c r="CW185">
        <f>IF(CS185="",0,IF(ISNUMBER(SEARCH("4P",IFERROR(_xlfn.XLOOKUP(CS185,Линии[_n],Линии[_УЗО строки])&amp;"",""))),0,1))</f>
        <v>0</v>
      </c>
      <c r="CX185" t="str">
        <f>IF(AND(CS185&lt;&gt;"",CS185=BA185),SUMIFS(Линии[_ток на 230 В],Линии[_блок УЗО],BA185,Линии[Щит],A185),"")</f>
        <v/>
      </c>
      <c r="CY185" t="str">
        <f>IF(AND(CS185&lt;&gt;"",CS185=BA185),SUMIFS(Линии[_ток утечки линии, мА],Линии[_блок УЗО],BA185,Линии[Щит],A185),"")</f>
        <v/>
      </c>
      <c r="CZ185">
        <f t="shared" si="306"/>
        <v>30</v>
      </c>
      <c r="DA185">
        <f t="shared" si="307"/>
        <v>30</v>
      </c>
      <c r="DB185">
        <f>IF(B185="",0,IFERROR(--_xlfn.XLOOKUP(B185,Коды_код,Коды_минавт),IFERROR(--_xlfn.XLOOKUP(BC185,Коды_код,Коды_минавт),IFERROR(--_xlfn.XLOOKUP(LEFT(BC185,2),Коды_код,Коды_минавт),0))))</f>
        <v>16</v>
      </c>
      <c r="DC185" t="str">
        <f>IF(B185="","",IFERROR(_xlfn.XLOOKUP(BC185,Коды_код,Коды_апп)&amp;"",""))</f>
        <v/>
      </c>
      <c r="DD185" t="str">
        <f t="shared" si="308"/>
        <v/>
      </c>
      <c r="DE185" t="str" cm="1">
        <f t="array" ref="DE185">IF(TRIM(DD185&amp;"")="","",IFERROR(TRIM(INDEX(_xlfn.TEXTSPLIT(DD185&amp;";;;",";"),1)),""))</f>
        <v/>
      </c>
      <c r="DF185" t="str" cm="1">
        <f t="array" ref="DF185">IF(TRIM(DD185&amp;"")="","",IFERROR(TRIM(INDEX(_xlfn.TEXTSPLIT(DD185&amp;";;;",";"),2)),""))</f>
        <v/>
      </c>
      <c r="DG185" t="str" cm="1">
        <f t="array" ref="DG185">IF(TRIM(DD185&amp;"")="","",IFERROR(TRIM(INDEX(_xlfn.TEXTSPLIT(DD185&amp;";;;",";"),3)),""))</f>
        <v/>
      </c>
      <c r="DH185">
        <f t="shared" si="309"/>
        <v>0</v>
      </c>
      <c r="DI185" t="str">
        <f>IF(B185="","",_xlfn.LET(_xlpm.t,LOWER(AZ185&amp;""),IF(ISNUMBER(SEARCH("dim",_xlpm.t)),"DIM",IF(ISNUMBER(SEARCH("dali",_xlpm.t)),"DALI",IF(OR(ISNUMBER(SEARCH("relay",_xlpm.t)),ISNUMBER(SEARCH("реле",_xlpm.t))),"Relay",IF(ISNUMBER(SEARCH("кнопк",_xlpm.t)),"",IFERROR(_xlfn.XLOOKUP(BC185,Коды_код,Коды_упр)&amp;"","")))))))</f>
        <v/>
      </c>
      <c r="DJ185" t="str">
        <f t="shared" si="310"/>
        <v/>
      </c>
      <c r="DK185">
        <f>IF(B185="","",_xlfn.LET(_xlpm.ig,IF(N(CX185)&gt;0,N(CX185),N(CI185)+IF(AJ185="вручную",0,N(CJ185))),_xlpm.n0,IFERROR(VLOOKUP(_xlpm.ig,Автомат_номиналы,2,TRUE),0),_xlpm.mn,MAX(DB185,IF(AJ185="вручную",0,N(CM185))),MAX(_xlpm.n0,_xlpm.mn,IF(DH185=1,Мин_автомат_БП,0))))</f>
        <v>16</v>
      </c>
      <c r="DL185">
        <f t="shared" si="311"/>
        <v>1</v>
      </c>
      <c r="DM185" t="str">
        <f t="shared" si="312"/>
        <v>2P</v>
      </c>
      <c r="DN185" t="str">
        <f>_xlfn.LET(_xlpm.cc,UPPER(TRIM(IFERROR(_xlfn.XLOOKUP(BC185,Коды_код,Коды_хар)&amp;"",""))),IF(OR(_xlpm.cc="B",_xlpm.cc="В"),"B",IF(_xlpm.cc="D","D","С")))</f>
        <v>С</v>
      </c>
      <c r="DO185" t="str">
        <f t="shared" si="313"/>
        <v>2P С16А 30мА</v>
      </c>
      <c r="DP185" t="str">
        <f t="shared" si="314"/>
        <v>2P С16А 30мА</v>
      </c>
      <c r="DQ185" t="str">
        <f t="shared" si="315"/>
        <v>2P С16А 30мА</v>
      </c>
      <c r="DR185" cm="1">
        <f t="array" ref="DR185">IF(DQ185="","",_xlfn.LET(_xlpm.t,SUBSTITUTE(SUBSTITUTE(SUBSTITUTE(UPPER(DQ185),"С","C"),"А","A"),"В","B"),_xlpm.tk,_xlfn.TEXTSPLIT(_xlpm.t," "),_xlpm.f,_xlfn._xlws.FILTER(_xlpm.tk,ISNUMBER(--MID(_xlpm.tk,2,1))*ISNUMBER(SEARCH(LEFT(_xlpm.tk,1)&amp;"#","B#C#D#"))*(LEN(_xlpm.tk)&gt;1),""),_xlpm.x,INDEX(_xlpm.f,1),IFERROR(--SUBSTITUTE(MID(_xlpm.x,2,9),"A",""),IFERROR(--SUBSTITUTE(INDEX(_xlfn._xlws.FILTER(_xlpm.tk,ISNUMBER(--SUBSTITUTE(_xlpm.tk,"A","")),""),1),"A",""),""))))</f>
        <v>16</v>
      </c>
      <c r="DS185" t="str">
        <f t="shared" si="316"/>
        <v>ok</v>
      </c>
      <c r="DT185">
        <f t="shared" si="317"/>
        <v>16</v>
      </c>
      <c r="DU185" t="str">
        <f t="shared" si="318"/>
        <v>2P С16А 30мА</v>
      </c>
      <c r="DV185">
        <f t="shared" si="319"/>
        <v>30</v>
      </c>
      <c r="DW185">
        <f t="shared" si="320"/>
        <v>1</v>
      </c>
      <c r="DX185">
        <f t="shared" si="321"/>
        <v>0</v>
      </c>
      <c r="DY185">
        <f t="shared" si="322"/>
        <v>0.54696341291648753</v>
      </c>
      <c r="DZ185">
        <f t="shared" si="323"/>
        <v>1</v>
      </c>
      <c r="EA185">
        <f>IF(ISNUMBER(AP185),AP185,К_прокл)</f>
        <v>1</v>
      </c>
      <c r="EB185">
        <f t="shared" si="324"/>
        <v>2</v>
      </c>
      <c r="EC185">
        <f>IFERROR(N(VLOOKUP(BZ185,Кабель_обозначение,3,FALSE)),1)</f>
        <v>1</v>
      </c>
      <c r="ED185">
        <f>IFERROR(N(_xlfn.XLOOKUP(A185,Щиты[Щит],Щиты[ΔU до шин, %])),0)</f>
        <v>0.43</v>
      </c>
      <c r="EE185" t="str">
        <f>IFERROR(_xlfn.XLOOKUP(A185,Щиты[Щит],Щиты[Zпетли на шинах, Ом]),"")</f>
        <v/>
      </c>
      <c r="EF185">
        <f>IFERROR(N(_xlfn.XLOOKUP(A185,Щиты[Щит],Щиты[ΔU до шин (подбор), %])),0)</f>
        <v>0.43</v>
      </c>
      <c r="EG185" t="str">
        <f>IFERROR(_xlfn.XLOOKUP(A185,Щиты[Щит],Щиты[Zпетли на шинах (подбор), Ом]),"")</f>
        <v/>
      </c>
      <c r="EH185" t="str">
        <f t="shared" si="325"/>
        <v/>
      </c>
      <c r="EI185">
        <f t="shared" si="326"/>
        <v>29</v>
      </c>
      <c r="EJ185">
        <f t="shared" si="327"/>
        <v>2</v>
      </c>
      <c r="EK185">
        <f t="shared" si="328"/>
        <v>0.31</v>
      </c>
      <c r="EL185" s="6">
        <f>IF(B185="","",IF(BV185=1,dU_LED,IF(IFERROR(_xlfn.XLOOKUP(BC185,Коды_код,Коды_уго),"")="Светильник",3,4)+IF(Методика="нормы 2026",MIN(0.5,MAX(0,N(P185)-100)*0.005),0)))</f>
        <v>4</v>
      </c>
      <c r="EM185" cm="1">
        <f t="array" ref="EM185">IF(OR(B185="",BZ185="",EC185&lt;&gt;1),"",_xlfn.LET(_xlpm.sz,Iдоп_S,_xlpm.t_,CHOOSE(EB185,Iдоп_1ж,Iдоп_2ж,Iдоп_3ж)*DZ185*EA185,_xlpm.dcx,BV185=1,_xlpm.inn,IF(_xlpm.dcx,N(O185),N(DT185)),_xlpm.smin,MAX(1.5,CC185),_xlpm.L_,N(P185)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185)/N(BU185)*100,999),IFERROR(N(EJ185)*(_xlpm.rho*_xlpm.L_/_xlpm.sz*N(CE185)+_xlpm.xx*_xlpm.L_*N(EK185)/1000)*N(O185)/((Uн_лин/SQRT(3))*1000)*100,999)),_xlpm.kz,IF(OR(_xlpm.dcx,DW185=1,NOT(ISNUMBER(EG185)),_xlpm.L_=0,_xlpm.inn=0),1,IFERROR(--(c_min*(Uн_лин*1000/SQRT(3))/(EG185+2*ρкз_Cu*_xlpm.L_/_xlpm.sz)&gt;=HT185*_xlpm.inn),0)),_xlpm.ok,IFERROR((_xlpm.sz&gt;=_xlpm.smin)*(_xlpm.t_&gt;=_xlpm.inn)*IF(_xlpm.L_&gt;0,(_xlpm.du_+IF(_xlpm.dcx,0,EF185)&lt;=EL185+0.00001),1)*_xlpm.kz,0),_xlpm.r_,_xlfn._xlws.FILTER(_xlpm.sz,_xlpm.ok,"не подобрано"),INDEX(_xlpm.r_,1)))</f>
        <v>1.5</v>
      </c>
      <c r="EN185">
        <f t="shared" si="329"/>
        <v>2.5</v>
      </c>
      <c r="EO185" cm="1">
        <f t="array" ref="EO185">IF(OR(B185="",BZ185="",EC185&lt;&gt;1),"",_xlfn.LET(_xlpm.sz,Iдоп_S,_xlpm.t_,CHOOSE(EB185,Iдоп_1ж,Iдоп_2ж,Iдоп_3ж)*DZ185*EA185,_xlpm.ok,IFERROR((_xlpm.sz&gt;=MAX(1.5,CC185))*(_xlpm.t_&gt;=N(DT185)),0),_xlpm.r_,_xlfn._xlws.FILTER(_xlpm.sz,_xlpm.ok,""),INDEX(_xlpm.r_,1)))</f>
        <v>1.5</v>
      </c>
      <c r="EP185" s="6" cm="1">
        <f t="array" ref="EP185">IFERROR(ROUNDUP(N(EJ185)*(_xlfn.XLOOKUP(EO185,INDEX(Кабель_сопротивление,0,1),INDEX(Кабель_сопротивление,0,3))*N(P185)/EO185*N(CE185)+_xlfn.XLOOKUP(EO185,INDEX(Кабель_сопротивление,0,1),INDEX(Кабель_сопротивление,0,2))*N(P185)*N(EK185)/1000)*N(O185)/((Uн_лин/SQRT(3))*1000)*100,2),"")</f>
        <v>0.26</v>
      </c>
      <c r="EQ185">
        <f>IFERROR(2*ρкз_Cu*N(P185)/EO185,"")</f>
        <v>1.3325333333333333</v>
      </c>
      <c r="ER185">
        <f>IFERROR(VLOOKUP(EN185,Кабель_сопротивление,3,FALSE),"")</f>
        <v>2.2499999999999999E-2</v>
      </c>
      <c r="ES185">
        <f>IFERROR(VLOOKUP(EN185,Кабель_сопротивление,2,FALSE),"")</f>
        <v>0.1</v>
      </c>
      <c r="ET185">
        <f t="shared" si="330"/>
        <v>30</v>
      </c>
      <c r="EU185">
        <f t="shared" si="331"/>
        <v>0</v>
      </c>
      <c r="EV185">
        <f t="shared" si="332"/>
        <v>0.35670547151396481</v>
      </c>
      <c r="EW185" s="6">
        <f>IFERROR(ROUNDUP(EV185/IF(BV185=1,BU185,(Uн_лин/SQRT(3))*1000)*100,2),"")</f>
        <v>0.16</v>
      </c>
      <c r="EX185" t="str">
        <f>IFERROR(VLOOKUP(BZ185,Кабель_обозначение,2,FALSE),"")</f>
        <v>ВВГнг(А)-LS</v>
      </c>
      <c r="EY185" t="str">
        <f t="shared" si="333"/>
        <v>ВВГнг(А)-LS (3х2,5)</v>
      </c>
      <c r="EZ185" t="str">
        <f t="shared" si="334"/>
        <v>ВВГнг(А)-LS (3х2,5)
L=38-0,16%</v>
      </c>
      <c r="FA185">
        <f>IFERROR(2*ρкз_Cu*P185/EN185,"")</f>
        <v>0.79952000000000001</v>
      </c>
      <c r="FB185">
        <f t="shared" si="335"/>
        <v>0.26600000000000001</v>
      </c>
      <c r="FC185" s="6" t="str">
        <f>IFERROR(IF(OR(B185="",BV185=1,NOT(ISNUMBER(EN185)),N(P185)=0),"",_xlfn.XLOOKUP(A185,Щиты[Щит],Щиты[Zпетли на шинах, Ом])+FA185),"")</f>
        <v/>
      </c>
      <c r="FD185" s="6" t="str">
        <f>IF(ISNUMBER(FC185),c_min*(Uн_лин*1000/SQRT(3))/FC185,"")</f>
        <v/>
      </c>
      <c r="FE185" s="6" t="str">
        <f>IFERROR(IF(OR(B185="",NOT(ISNUMBER(EN185))),"",1.05*(Uн_лин*1000/SQRT(3))/(_xlfn.XLOOKUP(A185,Щиты[Щит],Щиты[Zmax на шинах, Ом])+FB185)/1000),"")</f>
        <v/>
      </c>
      <c r="FF185" s="6" t="str">
        <f>IF(B185="","",IF(ISNUMBER(AC185),"Сил",IF(IFERROR(_xlfn.XLOOKUP(BC185,Коды_код,Коды_группа)&amp;"","")="","Быт",_xlfn.XLOOKUP(BC185,Коды_код,Коды_группа)&amp;"")))</f>
        <v>Быт</v>
      </c>
      <c r="FG185" s="6" t="str">
        <f t="shared" si="336"/>
        <v>Быт</v>
      </c>
      <c r="FH185" s="6">
        <f>IF(FG185="Щит","щит",IF(FG185="","",IF(FG185="Быт",IFERROR(_xlfn.XLOOKUP(A185,Щиты[Щит],Щиты[Кс быт]),1),IF(FG185="Сил",IF(ISNUMBER(AC185),AC185,IF(Методика="нормы 2026",IFERROR(_xlfn.XLOOKUP(A185,Щиты[Щит],Щиты[Кс силовых (табл. 7.5)]),1),1)),IF(OR(FG185="Пост",FG185="Отоп"),1,IF(FG185="ВНГ",0.7,0))))))</f>
        <v>0.79799999999999993</v>
      </c>
      <c r="FI185">
        <f>IF(FG185="","",IF(AND(BP185=1,TRIM(AE185&amp;"")=""),IF(COUNTIFS(Линии[Щит],A185,Линии[Секция (1/2/3)],"&gt;=2")&gt;0,MIN(3,MAX(1,IFERROR(--BD185,1))),1),IFERROR(MIN(3,MAX(1,INT(--AE185))),1)))</f>
        <v>1</v>
      </c>
      <c r="FJ185">
        <f t="shared" si="337"/>
        <v>0.12</v>
      </c>
      <c r="FK185">
        <f t="shared" si="338"/>
        <v>0.12</v>
      </c>
      <c r="FL185">
        <f t="shared" si="339"/>
        <v>0</v>
      </c>
      <c r="FM185">
        <f t="shared" si="340"/>
        <v>0</v>
      </c>
      <c r="FN185">
        <f t="shared" si="341"/>
        <v>0</v>
      </c>
      <c r="FO185">
        <f t="shared" si="342"/>
        <v>0</v>
      </c>
      <c r="FP185">
        <f t="shared" si="343"/>
        <v>0.12</v>
      </c>
      <c r="FQ185">
        <f t="shared" si="344"/>
        <v>0.12</v>
      </c>
      <c r="FR185">
        <f t="shared" si="345"/>
        <v>0.11399999999999999</v>
      </c>
      <c r="FS185">
        <f>IF(CG185=1,IF(AND(CH185=1,CW185=1),0,IF(AND(CS185&lt;&gt;"",CS185=BA185,CW185=1),SUMIFS(Линии[_Р линии, кВт],Линии[_блок УЗО],BA185,Линии[Щит],A185),N(BS185)+IF(AJ185="вручную",0,N(CK185)))),0)</f>
        <v>0.12</v>
      </c>
      <c r="FT185" t="str">
        <f t="shared" si="346"/>
        <v>L3</v>
      </c>
      <c r="FU185" t="str">
        <f>IF(B185="","",IF(CG185=0,IF(BA185=1,"",FW184),IF(AND(CH185=1,CW185=1,CS185&lt;&gt;""),IFERROR(_xlfn.XLOOKUP(CS185,Линии[_n],Линии[_фаза итог]),"L1"),IF(OR(N(DL185)&gt;=3,N(BX185)&gt;=3),"L1,L2,L3",IFERROR(_xlfn.TEXTBEFORE(_xlfn.TEXTAFTER(_xlfn.XLOOKUP(A185,Щиты[Щит],Щиты[_фазы авто]),";"&amp;BA185&amp;":"),";"),"L1")))))</f>
        <v>L1</v>
      </c>
      <c r="FV185" t="str">
        <f t="shared" si="347"/>
        <v>L3</v>
      </c>
      <c r="FW185" t="str">
        <f t="shared" si="348"/>
        <v>L3</v>
      </c>
      <c r="FX185" cm="1">
        <f t="array" ref="FX185">IFERROR(IF(CD185=2,_xlfn.IFS(BX185=3,VLOOKUP(BS185,Справочная_двигатели,3,FALSE),BX185=1,VLOOKUP(BS185,Справочная_двигатели,5,TRUE)),0),0)</f>
        <v>0</v>
      </c>
      <c r="FY185">
        <f>IFERROR(IF(CD185=3,VLOOKUP(BS185,Справочная_ЛЭД,2,TRUE),0),0)</f>
        <v>0</v>
      </c>
      <c r="FZ185" s="6">
        <f t="shared" si="349"/>
        <v>0</v>
      </c>
      <c r="GA185" t="str">
        <f>IF(B185="","",IF(TRIM(AH185&amp;"")&lt;&gt;"",IF(LOWER(TRIM(AH185&amp;""))="да","да","нет"),IF(IFERROR(_xlfn.XLOOKUP(BC185,Коды_код,Коды_пожарная),"")="да","да","нет")))</f>
        <v>нет</v>
      </c>
      <c r="GB185" t="str">
        <f t="shared" si="350"/>
        <v/>
      </c>
      <c r="GC185" t="str">
        <f t="shared" si="351"/>
        <v>основная</v>
      </c>
      <c r="GD185">
        <f>IF(AND(BP185=1,TRIM(AE185&amp;"")=""),IF(COUNTIFS(Линии[Щит],A185,Линии[Секция (1/2/3)],"&gt;=2")&gt;0,MIN(3,MAX(1,IFERROR(--BD185,1))),1),IFERROR(MIN(3,MAX(1,INT(--AE185))),1))</f>
        <v>1</v>
      </c>
      <c r="GE185" t="str" cm="1">
        <f t="array" ref="GE185">IF(B185="","",_xlfn.LET(_xlpm.t,IFERROR(_xlfn.XLOOKUP(1,(Шины[Шина]=GC185)*(((Шины[Щит]=A185)+(Шины[Щит]=""))&gt;0),Шины[Тип]),"")&amp;"",IF(_xlpm.t&lt;&gt;"",_xlpm.t,IF(ISNUMBER(SEARCH("ИБП",GC185)),"ИБП",IF(ISNUMBER(SEARCH("ДГУ",GC185)),"ДГУ","Ввод "&amp;GD185)))))</f>
        <v>Ввод 1</v>
      </c>
      <c r="GF185" t="str">
        <f t="shared" si="352"/>
        <v>Ввод 1</v>
      </c>
      <c r="GG185" t="str">
        <f>IF(BP185=0,"",IF(TRIM(AG185&amp;"")&lt;&gt;"",TRIM(AG185&amp;""),IF(OR(GE185="ИБП",GE185="ДГУ"),"I особая",_xlfn.XLOOKUP(A185,Щиты[Щит],Щиты[Категория шины «Ввод»],"III"))))</f>
        <v/>
      </c>
      <c r="GH185" t="str">
        <f>IF(A185="","",_xlfn.XLOOKUP(A185,Щиты[Щит],Щиты[Путь],""))</f>
        <v>|ГРЩ-ЖД|ЩР-01|</v>
      </c>
      <c r="GI185" t="str">
        <f>IF(B185="","",IF(AI185&lt;&gt;"",AI185,IF(IFERROR(_xlfn.XLOOKUP(BC185,Коды_код,Коды_вид)&amp;"","")="","Прочее",_xlfn.XLOOKUP(BC185,Коды_код,Коды_вид)&amp;"")))</f>
        <v>Розеточная сеть и бытовые приборы</v>
      </c>
      <c r="GJ185">
        <f>IF(BM185="","",INT((BM185-1)/Столбцов_на_лист)+1)</f>
        <v>1</v>
      </c>
      <c r="GK185" t="str">
        <f t="shared" si="353"/>
        <v>ВВГнг(А)-LS (3х2,5) L=38-0,16%</v>
      </c>
      <c r="GL185">
        <f t="shared" si="354"/>
        <v>0.12</v>
      </c>
      <c r="GM185">
        <f t="shared" si="355"/>
        <v>0.55000000000000004</v>
      </c>
      <c r="GN185">
        <f t="shared" si="356"/>
        <v>1</v>
      </c>
      <c r="GO185">
        <f t="shared" si="357"/>
        <v>0</v>
      </c>
      <c r="GP185">
        <f t="shared" si="358"/>
        <v>1</v>
      </c>
      <c r="GQ185">
        <f>IF(BM185="","",IF(AND(CG185=1,GP185=1),COUNTIFS(A$3:A185,A185,CG$3:CG185,1,GP$3:GP185,1),IF(OR(OR(BA185=1,A185&lt;&gt;A184),AJ185="вручную",GP185=0),"",IF(BA185=1,"",GR184))))</f>
        <v>1</v>
      </c>
      <c r="GR185">
        <f t="shared" si="359"/>
        <v>1</v>
      </c>
      <c r="GS185">
        <f>IF(B185="","",IFERROR(LOOKUP(INDEX(CHOOSE(EB185,Iдоп_1ж,Iдоп_2ж,Iдоп_3ж),MATCH(EN185,Iдоп_S,0))*DZ185*EA185,{6,10,16,20,25,32,40,50,63,80,100,125,160,200,250,315,400,500,630}),""))</f>
        <v>25</v>
      </c>
      <c r="GT185" t="str">
        <f t="shared" si="360"/>
        <v>QFD1</v>
      </c>
      <c r="GU185" t="str">
        <f t="shared" si="361"/>
        <v>QFD1</v>
      </c>
      <c r="GV185" t="str">
        <f t="shared" si="362"/>
        <v/>
      </c>
      <c r="GW185">
        <f t="shared" si="363"/>
        <v>0</v>
      </c>
      <c r="GX185" t="str">
        <f>IF(OR(B185="",DJ185=""),"",IFERROR(_xlfn.XLOOKUP(DJ185,Модули_умолч[Управление],Модули_умолч[Модель])&amp;"",""))</f>
        <v/>
      </c>
      <c r="GY185">
        <f>IF(DJ185="",1,IFERROR(MAX(0,N(_xlfn.XLOOKUP(DJ185,Модули_умолч[Управление],Модули_умолч[Каналов на линию]))),1))</f>
        <v>1</v>
      </c>
      <c r="GZ185" t="str">
        <f t="shared" si="364"/>
        <v/>
      </c>
      <c r="HA185" t="str">
        <f t="shared" si="365"/>
        <v/>
      </c>
      <c r="HB185" t="str">
        <f t="shared" si="366"/>
        <v/>
      </c>
      <c r="HC185">
        <f>IF(HB185="",0,IFERROR(N(VLOOKUP(HB185,Модули_спр,3,FALSE)),0))</f>
        <v>0</v>
      </c>
      <c r="HD185" t="str">
        <f t="shared" si="367"/>
        <v/>
      </c>
      <c r="HE185" t="str">
        <f t="shared" si="368"/>
        <v/>
      </c>
      <c r="HF185" t="str">
        <f>IF(OR(HE185="",HE185="-"),"",IFERROR(VLOOKUP(HE185,Модули_спр,2,FALSE),"R"))</f>
        <v/>
      </c>
      <c r="HG185" t="str">
        <f>IF(HF185="","",HF185&amp;"."&amp;COUNTIFS(A$3:A185,A185,HF$3:HF185,HF185))</f>
        <v/>
      </c>
      <c r="HH185" t="str">
        <f t="shared" si="369"/>
        <v/>
      </c>
      <c r="HI185" t="str">
        <f t="shared" si="370"/>
        <v/>
      </c>
      <c r="HJ185" t="str">
        <f t="shared" si="371"/>
        <v/>
      </c>
      <c r="HK185" t="str">
        <f t="shared" si="372"/>
        <v/>
      </c>
      <c r="HL185">
        <f t="shared" si="373"/>
        <v>1</v>
      </c>
      <c r="HM185" t="str">
        <f>IF(HL185=1,"XT"&amp;COUNTIFS(A$3:A185,A185,HL$3:HL185,1),"")</f>
        <v>XT1</v>
      </c>
      <c r="HN185" t="str">
        <f t="shared" si="374"/>
        <v>XT1</v>
      </c>
      <c r="HO185" t="str">
        <f t="shared" si="375"/>
        <v>QFD1</v>
      </c>
      <c r="HP185" t="str">
        <f t="shared" si="376"/>
        <v/>
      </c>
      <c r="HQ185" t="str">
        <f t="shared" si="377"/>
        <v>ok</v>
      </c>
      <c r="HR185" t="str">
        <f>IF(OR(HJ185="",HH185=""),"",IF(HJ185+MAX(0,GY185-1)&gt;IFERROR(VLOOKUP(HI185,Модули_спр,3,FALSE),99),"ЛИШНИЙ КАНАЛ",IF(AND(AL185&lt;&gt;"=",GY185&gt;0,COUNTIFS(Линии[_модуль гр.],HH185,Линии[Канал (итог)],HJ185,Линии[Канал],"&lt;&gt;=",Линии[Щит],A185)&gt;1),"ДУБЛЬ КАНАЛА","")))</f>
        <v/>
      </c>
      <c r="HS185" s="6" t="str">
        <f t="shared" si="378"/>
        <v/>
      </c>
      <c r="HT185">
        <f t="shared" si="379"/>
        <v>10</v>
      </c>
      <c r="HU185" t="str">
        <f t="shared" si="380"/>
        <v/>
      </c>
      <c r="HV185">
        <f t="shared" si="381"/>
        <v>0.59878536516659508</v>
      </c>
      <c r="HW185">
        <f t="shared" si="382"/>
        <v>0</v>
      </c>
      <c r="HX185">
        <f t="shared" si="383"/>
        <v>0</v>
      </c>
      <c r="HY185">
        <f t="shared" si="384"/>
        <v>0</v>
      </c>
      <c r="HZ185">
        <f t="shared" si="385"/>
        <v>0</v>
      </c>
      <c r="IA185">
        <f t="shared" si="386"/>
        <v>0</v>
      </c>
      <c r="IB185">
        <f t="shared" si="387"/>
        <v>0</v>
      </c>
      <c r="IC185" t="str">
        <f t="shared" si="388"/>
        <v/>
      </c>
      <c r="ID185" t="str" cm="1">
        <f t="array" ref="ID185">IF(IC185="","",_xlfn.LET(_xlpm.tk,_xlfn.TEXTSPLIT(SUBSTITUTE(SUBSTITUTE(IC185,";"," "),"→"," ")," ",,TRUE),_xlpm.w_,_xlfn._xlws.FILTER(_xlpm.tk,ISNUMBER(--LEFT(_xlpm.tk,1))*((ISNUMBER(SEARCH("W",_xlpm.tk))+ISNUMBER(SEARCH("Вт",_xlpm.tk)))&gt;0),""),IFERROR(--SUBSTITUTE(SUBSTITUTE(UPPER(INDEX(_xlpm.w_,1)),"W",""),"ВТ",""),"")))</f>
        <v/>
      </c>
      <c r="IE185" t="str" cm="1">
        <f t="array" ref="IE185">IF(IC185="","",_xlfn.LET(_xlpm.tk,_xlfn.TEXTSPLIT(SUBSTITUTE(SUBSTITUTE(IC185,";"," "),"→"," ")," ",,TRUE),_xlpm.v_,_xlfn._xlws.FILTER(_xlpm.tk,ISNUMBER(--LEFT(_xlpm.tk,1))*((ISNUMBER(SEARCH("V",_xlpm.tk))+(RIGHT(UPPER(_xlpm.tk))="В"))&gt;0),""),IFERROR(--SUBSTITUTE(SUBSTITUTE(UPPER(INDEX(_xlpm.v_,1)),"V",""),"В",""),"")))</f>
        <v/>
      </c>
      <c r="IF185" s="6" t="str">
        <f>IF(OR(BV185=0,HI185="",HJ185=""),"",IFERROR(N(_xlfn.XLOOKUP(HI185,Каталог!$C$4:$C$500,Каталог!$Q$4:$Q$500)),""))</f>
        <v/>
      </c>
      <c r="IG185" s="6" t="str">
        <f>IF(N(IF185)=0,"",SUMIFS(Линии[Iр, А],Линии[Щит],A185,Линии[_модуль гр.],HH185,Линии[Канал (итог)],HJ185))</f>
        <v/>
      </c>
      <c r="IH185" t="str">
        <f>IF(AND(B185="",HO185=""),"",_xlfn.TEXTJOIN("; ",TRUE,IF(AND(B185&lt;&gt;"",FV185=""),"нет фазы",""),IF(AND(B185&lt;&gt;"",N(GL185)=0,FG185&lt;&gt;"Нет"),"нет мощности",""),IF(AND(HN185&lt;&gt;"",COUNTIFS(Линии[Щит],A185,Линии[Клемма (итог)],HN185)&gt;1),"дубль клеммы "&amp;HN185,""),IF(AND(HQ185&lt;&gt;"",HQ185&lt;&gt;"ok"),HQ185,""),IF(HR185&lt;&gt;"",HR185,""),IF(AND(N(CB185)&gt;=4,N(BX185)=1),CB185&amp;" жил на 1 фазе",""),IF(AND(BC185="R",CG185=1,IF(CS185&lt;&gt;"",N(CV185)&gt;30,OR(N(DA185)=0,N(DA185)&gt;30))),"розетка без дифзащиты до 30 мА",""),IF(AND(CG185=1,N(DA185)&gt;0,ISNUMBER(T185)),IF(T185&gt;N(DA185)/3,"ток утечки "&amp;FIXED(T185,1)&amp;" мА &gt; 1/3 уставки ("&amp;DA185&amp;" мА)",""),""),IF(AND(CH185=1,CS185=""),"«узо»: нет строки с УЗО выше (УЗО 2P 40А 30мА в «Аппаратах»)",""),IF(AND(CS185&lt;&gt;"",CS185=BA185),IF(CT185="","впишите номинал УЗО (УЗО 2P 40А 30мА)",IF(N(CT185)&lt;N(DT185),"УЗО "&amp;CT185&amp;" А &lt; автомата "&amp;DT185&amp;" А перед ним",IF(N(CT185)&lt;N(CX185),"УЗО "&amp;CT185&amp;" А &lt; тока блока "&amp;FIXED(CX185,1)&amp;" А",""))),""),IF(AND(CS185&lt;&gt;"",CS185=BA185,ISNUMBER(CY185)),IF(CY185&gt;N(CV185)/3,"ток утечки блока УЗО "&amp;FIXED(CY185,1)&amp;" мА &gt; 1/3 уставки ("&amp;CV185&amp;" мА)",""),""),IF(AND(CG185=1,N(BV185)+N(IB185)&gt;0,IC185=""),"линии до 50 В без БП: впишите в «Аппараты» (БП 24V 480W)",""),IF(AND(CG185=1,ISNUMBER(ID185),ISNUMBER(U185)),IF(U185&gt;ID185,"БП "&amp;ID185&amp;" Вт &lt; нужно "&amp;U185&amp;" Вт (×"&amp;Запас_БП&amp;")",""),""),IF(AND(CG185=1,ISNUMBER(IE185),N(BV185)=1),IF(IE185&lt;&gt;N(BU185),"БП на "&amp;IE185&amp;" В, линия "&amp;BU185&amp;" В",""),""),IF(AND(N(IF185)&gt;0,N(IG185)&gt;N(IF185)),HH185&amp;" канал "&amp;HJ185&amp;": "&amp;FIXED(IG185,1)&amp;" А &gt; "&amp;IF185&amp;" А",""),IFERROR(IF(AND(ISNUMBER(Q185),Q185&gt;EL185),"потери "&amp;FIXED(Q185,1)&amp;" % &gt; "&amp;EL185&amp;" %",""),""),IFERROR(IF(LEFT(HU185,4)="мало","Iкз мало — отключение &gt; 0,4 с",""),""),IF(AND(B185&lt;&gt;"",BM185=""),"не на схеме",""),IF(AND(CG185=0,B185&lt;&gt;"",FV185&lt;&gt;"",IF(BA185=1,"",FW184)&lt;&gt;"",FV185&lt;&gt;IF(BA185=1,"",FW184)),"фаза не как у автомата группы ("&amp;IF(BA185=1,"",FW184)&amp;")","")))</f>
        <v/>
      </c>
      <c r="II185" s="6">
        <f>IF(OR(CG185=0,DQ185=""),"",_xlfn.LET(_xlpm.t,IFERROR(_xlfn.XLOOKUP(DQ185,Каталог!$U$4:$U$500,Каталог!$G$4:$G$500),""),_xlpm.k,SEARCH("кА",_xlpm.t),IFERROR(--TRIM(RIGHT(SUBSTITUTE(MID(_xlpm.t,MAX(1,_xlpm.k-4),_xlpm.k-MAX(1,_xlpm.k-4))," ",REPT(" ",9)),5)),"")))</f>
        <v>6</v>
      </c>
      <c r="IJ185" t="str">
        <f>IF(OR(II185="",CG185=0),"",IF(_xlfn.XLOOKUP(A185,Щиты[Щит],Щиты[Iкз max на шинах, кА],"")="","",IF(II185&lt;_xlfn.XLOOKUP(A185,Щиты[Щит],Щиты[Iкз max на шинах, кА]),"Icu "&amp;II185&amp;" кА &lt; Iкз max","ok")))</f>
        <v/>
      </c>
      <c r="IK185" t="str">
        <f t="shared" si="389"/>
        <v/>
      </c>
      <c r="IL185" t="str">
        <f t="shared" si="390"/>
        <v>QFD1|XT1</v>
      </c>
      <c r="IM185" t="str">
        <f t="shared" si="391"/>
        <v>QFD1|XT1|кабель ВВГнг(А)-LS (3х2,5) → Розеточная группа, пом. 002A</v>
      </c>
      <c r="IN185" t="str" cm="1">
        <f t="array" ref="IN185">IF(IM185="","",_xlfn.LET(_xlpm.nd,_xlfn.TEXTSPLIT(IM185,"|"),IF(COLUMNS(_xlpm.nd)&gt;1,A185&amp;"¦"&amp;INDEX(_xlpm.nd,1)&amp;"¦"&amp;INDEX(_xlpm.nd,2),"")))</f>
        <v>ЩР-01¦QFD1¦XT1</v>
      </c>
      <c r="IO185" t="str">
        <f t="shared" si="392"/>
        <v>R.0.002A.1¦Розеточная группа, пом. 002A</v>
      </c>
      <c r="IP185" t="str" cm="1">
        <f t="array" ref="IP185">IF(IM185="","",_xlfn.LET(_xlpm.nd,_xlfn.TEXTSPLIT(IM185,"|"),IF(COLUMNS(_xlpm.nd)&gt;2,A185&amp;"¦"&amp;INDEX(_xlpm.nd,2)&amp;"¦"&amp;INDEX(_xlpm.nd,3),"")))</f>
        <v>ЩР-01¦XT1¦кабель ВВГнг(А)-LS (3х2,5) → Розеточная группа, пом. 002A</v>
      </c>
      <c r="IQ185" t="str">
        <f t="shared" si="393"/>
        <v>R.0.002A.1¦Розеточная группа, пом. 002A</v>
      </c>
      <c r="IR185" t="str" cm="1">
        <f t="array" ref="IR185">IF(IM185="","",_xlfn.LET(_xlpm.nd,_xlfn.TEXTSPLIT(IM185,"|"),IF(COLUMNS(_xlpm.nd)&gt;3,A185&amp;"¦"&amp;INDEX(_xlpm.nd,3)&amp;"¦"&amp;INDEX(_xlpm.nd,4),"")))</f>
        <v/>
      </c>
      <c r="IS185" t="str">
        <f t="shared" si="394"/>
        <v/>
      </c>
      <c r="IT185" t="str" cm="1">
        <f t="array" ref="IT185">IF(IM185="","",_xlfn.LET(_xlpm.nd,_xlfn.TEXTSPLIT(IM185,"|"),IF(COLUMNS(_xlpm.nd)&gt;4,A185&amp;"¦"&amp;INDEX(_xlpm.nd,4)&amp;"¦"&amp;INDEX(_xlpm.nd,5),"")))</f>
        <v/>
      </c>
      <c r="IU185" t="str">
        <f t="shared" si="395"/>
        <v/>
      </c>
      <c r="IV185" t="str" cm="1">
        <f t="array" ref="IV185">IF(IM185="","",_xlfn.LET(_xlpm.nd,_xlfn.TEXTSPLIT(IM185,"|"),IF(COLUMNS(_xlpm.nd)&gt;5,A185&amp;"¦"&amp;INDEX(_xlpm.nd,5)&amp;"¦"&amp;INDEX(_xlpm.nd,6),"")))</f>
        <v/>
      </c>
      <c r="IW185" t="str">
        <f t="shared" si="396"/>
        <v/>
      </c>
      <c r="IX185" t="str" cm="1">
        <f t="array" ref="IX185">IF(IM185="","",_xlfn.LET(_xlpm.nd,_xlfn.TEXTSPLIT(IM185,"|"),IF(COLUMNS(_xlpm.nd)&gt;6,A185&amp;"¦"&amp;INDEX(_xlpm.nd,6)&amp;"¦"&amp;INDEX(_xlpm.nd,7),"")))</f>
        <v/>
      </c>
      <c r="IY185" t="str">
        <f t="shared" si="397"/>
        <v/>
      </c>
      <c r="IZ185" t="str">
        <f t="shared" si="398"/>
        <v/>
      </c>
      <c r="JA185" t="str">
        <f t="shared" si="399"/>
        <v>QFD1 → XT1</v>
      </c>
      <c r="JB185">
        <f t="shared" si="400"/>
        <v>0</v>
      </c>
      <c r="JC185">
        <f t="shared" si="401"/>
        <v>1</v>
      </c>
      <c r="JD185" t="str">
        <f t="shared" si="402"/>
        <v/>
      </c>
      <c r="JE185" t="str">
        <f t="shared" si="403"/>
        <v/>
      </c>
      <c r="JF185" t="str">
        <f t="shared" si="404"/>
        <v/>
      </c>
      <c r="JG185" t="str">
        <f t="shared" si="405"/>
        <v/>
      </c>
      <c r="JH185" t="str">
        <f>IF(B185="","",IFERROR(_xlfn.XLOOKUP(B185,Коды_код,Коды_уго),IFERROR(_xlfn.XLOOKUP(BC185,Коды_код,Коды_уго),IFERROR(_xlfn.XLOOKUP(LEFT(BC185,2),Коды_код,Коды_уго),""))))</f>
        <v>Розетка</v>
      </c>
      <c r="JI185" t="str">
        <f>IF(B185="","",IF(OR(JH185="",JH185=0),"BOX",IFERROR(IF(VLOOKUP(JH185,УГО_блоки,3,FALSE)&amp;""&lt;&gt;"",VLOOKUP(JH185,УГО_блоки,3,FALSE),VLOOKUP(JH185,УГО_блоки,2,FALSE)),JH185)))</f>
        <v>SOCKET</v>
      </c>
      <c r="JJ185">
        <f t="shared" si="406"/>
        <v>1</v>
      </c>
      <c r="JK185" t="str">
        <f>IF(DQ185="","",IF(COUNTIF(DQ$3:DQ185,DQ185)=1,MAX(JK$2:JK184)+1,""))</f>
        <v/>
      </c>
      <c r="JL185" t="str">
        <f>IF(DE185="","",IF(COUNTIF(DE$3:DE185,DE185)+COUNTIF(DF$2:DF184,DE185)+COUNTIF(DG$2:DG184,DE185)=1,MAX(JL$2:JN184)+1,""))</f>
        <v/>
      </c>
      <c r="JM185" t="str">
        <f>IF(DF185="","",IF(COUNTIF(DE$3:DE185,DF185)+COUNTIF(DF$3:DF185,DF185)+COUNTIF(DG$2:DG184,DF185)=1,MAX(JL$2:JN184,JL185)+1,""))</f>
        <v/>
      </c>
      <c r="JN185" t="str">
        <f>IF(DG185="","",IF(COUNTIF(DE$3:DE185,DG185)+COUNTIF(DF$3:DF185,DG185)+COUNTIF(DG$3:DG185,DG185)=1,MAX(JL$2:JN184,JL185,JM185)+1,""))</f>
        <v/>
      </c>
      <c r="JO185" t="str">
        <f t="shared" si="407"/>
        <v>3х2,5</v>
      </c>
      <c r="JP185" t="str">
        <f>IF(JO185="","",IF(COUNTIF(JO$3:JO185,JO185)=1,MAX(JP$2:JP184)+1,""))</f>
        <v/>
      </c>
      <c r="JQ185" t="str">
        <f>IF(HG185="","",COUNTIF(HG$3:HG185,"?*"))</f>
        <v/>
      </c>
      <c r="JR185" t="str">
        <f>IF(OR(HG185="",HI185=""),"",IF(COUNTIFS(HG$3:HG185,"?*",HI$3:HI185,HI185)=1,MAX(JR$2:JR184)+1,""))</f>
        <v/>
      </c>
      <c r="JS185">
        <f t="shared" si="408"/>
        <v>0</v>
      </c>
      <c r="JT185">
        <f>IF(B185="","",COUNTIF(B$3:B185,"?*"))</f>
        <v>183</v>
      </c>
      <c r="JU185">
        <f>IF(HL185&lt;&gt;1,0,_xlfn.LET(_xlpm.k,MAX(IFERROR(--_xlfn.XLOOKUP(B185,Коды_код,Коды_3L),0),IFERROR(--_xlfn.XLOOKUP(BC185,Коды_код,Коды_3L),0),IFERROR(--_xlfn.XLOOKUP(LEFT(BC185,2),Коды_код,Коды_3L),0)),IF(_xlpm.k&gt;0,_xlpm.k,IF(IFERROR(--LEFT(SUBSTITUTE(JO185,"x","х"),FIND("х",SUBSTITUTE(JO185,"x","х"))-1),3)&gt;3,Каталог!$S$9,1))))</f>
        <v>1</v>
      </c>
      <c r="JV185">
        <f t="shared" si="409"/>
        <v>0</v>
      </c>
      <c r="JW185" t="str">
        <f t="shared" si="410"/>
        <v>авто</v>
      </c>
      <c r="JX185">
        <f t="shared" si="411"/>
        <v>30</v>
      </c>
      <c r="JY185">
        <f t="shared" si="412"/>
        <v>1</v>
      </c>
      <c r="JZ185">
        <f t="shared" si="413"/>
        <v>1</v>
      </c>
    </row>
    <row r="186" spans="1:286" x14ac:dyDescent="0.3">
      <c r="A186" t="s">
        <v>755</v>
      </c>
      <c r="B186" t="s">
        <v>1493</v>
      </c>
      <c r="C186" t="str">
        <f>Линии[[#This Row],[_авто наименование]]</f>
        <v>Розеточная группа, пом. 002A</v>
      </c>
      <c r="D186">
        <v>5</v>
      </c>
      <c r="E186">
        <v>0.3</v>
      </c>
      <c r="G186" t="str">
        <f>Линии[[#This Row],[_авто автомат]]</f>
        <v>2P С16А 30мА</v>
      </c>
      <c r="H186" t="str">
        <f>Линии[[#This Row],[_авто управление]]</f>
        <v/>
      </c>
      <c r="I186" t="str">
        <f>Линии[[#This Row],[_авто аппараты]]</f>
        <v/>
      </c>
      <c r="J186">
        <v>2.5</v>
      </c>
      <c r="K186">
        <v>52</v>
      </c>
      <c r="L186">
        <v>3</v>
      </c>
      <c r="M186" t="str">
        <f>Линии[[#This Row],[_авто клемма]]</f>
        <v>XT2</v>
      </c>
      <c r="N186" t="str">
        <f t="shared" si="276"/>
        <v/>
      </c>
      <c r="O186" s="6" cm="1">
        <f t="array" ref="O186">IF(B186="","",IF(BH186&lt;&gt;"",IFERROR(_xlfn.XLOOKUP(BH186,Щиты[Щит],Щиты[Iр, А]),""),IF(BP186=1,IF(OR(N(_xlfn.XLOOKUP(A186,Щиты[Щит],Щиты[Вводов],1))&lt;=1,LOWER(TRIM(_xlfn.XLOOKUP(A186,Щиты[Щит],Щиты[АВР],"")&amp;""))="да"),IFERROR(_xlfn.XLOOKUP(A186,Щиты[Щит],Щиты[Iр, А]),""),IFERROR(N(BS186)*_xlfn.XLOOKUP(A186,Щиты[Щит],Щиты[Кс итог])/(SQRT(3)*Uн_лин*_xlfn.XLOOKUP(A186,Щиты[Щит],Щиты[cos φ])),"")),IF(BV186=1,IFERROR(BS186*1000/BU186,""),IFERROR(_xlfn.IFS(BX186=1,BS186/((Uн_лин/SQRT(3))*CE186),BX186=3,BS186/(SQRT(3)*Uн_лин*CE186)),"")))))</f>
        <v>1.3674085322912188</v>
      </c>
      <c r="P186" s="7">
        <f>IF(B186="","",IFERROR(IF(VLOOKUP(BC186,Потребители_обозначение,4,FALSE)=1,VLOOKUP(BC186,Потребители_обозначение,3,FALSE)*(MAX(1,N(D186))*2-1)+EI186+VLOOKUP(BE186,Этаж_обозначение,3,FALSE)+VLOOKUP(BE186,Этаж_обозначение,4,FALSE),VLOOKUP(BC186,Потребители_обозначение,3,FALSE)*(MAX(1,N(D186))*2-1)+EI186),EI186))</f>
        <v>79</v>
      </c>
      <c r="Q186" s="6">
        <f t="shared" si="277"/>
        <v>1.24</v>
      </c>
      <c r="R186" t="str">
        <f t="shared" si="278"/>
        <v>ВВГнг(А)-LS (3х2,5)</v>
      </c>
      <c r="S186" t="str">
        <f>IF(BM186="","",IF(BN186="вводной узел","узел ","")&amp;"л."&amp;(INT((BM186-1)/Столбцов_на_лист)+1)&amp;" / "&amp;(MOD(BM186-1,Столбцов_на_лист)+1))</f>
        <v>л.1 / 10</v>
      </c>
      <c r="T186" s="119">
        <f t="shared" si="279"/>
        <v>1.3</v>
      </c>
      <c r="U186" s="7" t="str">
        <f>IF(OR(CG186=0,N(BV186)+N(IB186)=0),"",ROUNDUP(Запас_БП*(N(HY186)+N(HZ186)),0))</f>
        <v/>
      </c>
      <c r="V186" s="119" t="str">
        <f t="shared" si="280"/>
        <v/>
      </c>
      <c r="W186" s="7" t="str">
        <f>IFERROR(IF(OR(B186="",BP186=1,BV186=1,NOT(ISNUMBER(EN186)),N(DT186)=0),"",MAX(0,ROUNDDOWN((c_min*(Uн_лин*1000/SQRT(3))/(HT186*N(DT186))-_xlfn.XLOOKUP(A186,Щиты[Щит],Щиты[Zпетли на шинах, Ом]))*EN186/(2*ρкз_Cu),0))),"")</f>
        <v/>
      </c>
      <c r="Y186">
        <f>Линии[[#This Row],[_авто утечка]]</f>
        <v>30</v>
      </c>
      <c r="Z186">
        <v>1</v>
      </c>
      <c r="AA186">
        <v>230</v>
      </c>
      <c r="AB186" t="s">
        <v>562</v>
      </c>
      <c r="AG186" t="s">
        <v>810</v>
      </c>
      <c r="AI186" t="s">
        <v>561</v>
      </c>
      <c r="AK186" t="str">
        <f>Линии[[#This Row],[_авто модуль]]</f>
        <v/>
      </c>
      <c r="AM186">
        <v>10</v>
      </c>
      <c r="AN186" t="s">
        <v>11</v>
      </c>
      <c r="AO186">
        <v>3</v>
      </c>
      <c r="AQ186">
        <v>19</v>
      </c>
      <c r="AR186">
        <v>60</v>
      </c>
      <c r="AS186">
        <v>0</v>
      </c>
      <c r="BA186" cm="1">
        <f t="array" ref="BA186">ROW()-ROW(Линии[#Headers])</f>
        <v>184</v>
      </c>
      <c r="BC186" s="6" t="str">
        <f t="shared" si="281"/>
        <v>R</v>
      </c>
      <c r="BD186" t="str">
        <f t="shared" si="282"/>
        <v>0.002A.2</v>
      </c>
      <c r="BE186" t="str">
        <f t="shared" si="283"/>
        <v>0</v>
      </c>
      <c r="BF186" t="str">
        <f t="shared" si="284"/>
        <v>002A.2</v>
      </c>
      <c r="BG186" t="str">
        <f t="shared" si="285"/>
        <v>002A</v>
      </c>
      <c r="BH186" t="str">
        <f>IF(X186&lt;&gt;"",X186,IF(AND(B186&lt;&gt;"",B186&lt;&gt;A186,ISNUMBER(_xlfn.XMATCH(B186,Щиты[Щит]))),B186,""))</f>
        <v/>
      </c>
      <c r="BI186" t="str" cm="1">
        <f t="array" ref="BI186">IF(B186="","",IF(BH186&lt;&gt;"","Щит "&amp;BH186,_xlfn.LET(_xlpm.nm,IFERROR(_xlfn.XLOOKUP(BC186,Коды_код,Коды_имя)&amp;"",""),_xlpm.md,IFERROR(N(_xlfn.XLOOKUP(BC186,Коды_код,Коды_режим)),1),_xlpm.ex,IF(Имя_режим="по экспликации",IFERROR(_xlfn.XLOOKUP(BE186&amp;"|"&amp;BG186,Экспликация[Этаж]&amp;"|"&amp;Экспликация[Помещение],Экспликация[Название])&amp;"",""),""),_xlpm.rm,IF(BG186="","",IF(_xlpm.ex&lt;&gt;"",". "&amp;_xlpm.ex&amp;IF(Имя_пом="нет"," ("&amp;BG186&amp;")"," (пом. "&amp;BG186&amp;")"),IF(Имя_пом="нет"," ",", пом. ")&amp;BG186)),IF(_xlpm.nm="","",IF(_xlpm.md=2,_xlpm.nm&amp;" шлейф "&amp;BE186,_xlpm.nm&amp;_xlpm.rm)))))</f>
        <v>Розеточная группа, пом. 002A</v>
      </c>
      <c r="BJ186" t="str">
        <f t="shared" si="286"/>
        <v>Розеточная группа, пом. 002A</v>
      </c>
      <c r="BK186">
        <f>IFERROR(_xlfn.XMATCH(A186,Щиты[Щит]),0)</f>
        <v>9</v>
      </c>
      <c r="BL186">
        <f>_xlfn.LET(_xlpm.k,IFERROR(_xlfn.XLOOKUP(A186,Щиты[Щит],Щиты[Мест под вводной узел]),""),IF(_xlpm.k="",Столбцов_на_лист,N(_xlpm.k)))</f>
        <v>8</v>
      </c>
      <c r="BM186">
        <f t="shared" si="287"/>
        <v>10</v>
      </c>
      <c r="BN186" t="str">
        <f t="shared" si="288"/>
        <v>линии</v>
      </c>
      <c r="BO186" s="6">
        <f>IFERROR(N(_xlfn.XLOOKUP(BC186,Коды_код,Коды_квт)),0)</f>
        <v>0</v>
      </c>
      <c r="BP186">
        <f t="shared" si="289"/>
        <v>0</v>
      </c>
      <c r="BQ186" t="str">
        <f>IF(B186="","",IF(BH186&lt;&gt;"",IFERROR(_xlfn.XLOOKUP(BH186,Щиты[Щит],Щиты[Руст, кВт]),0),IF(BP186=1,IF(OR(N(_xlfn.XLOOKUP(A186,Щиты[Щит],Щиты[Вводов],1))&lt;=1,LOWER(TRIM(_xlfn.XLOOKUP(A186,Щиты[Щит],Щиты[АВР],"")&amp;""))="да"),IFERROR(_xlfn.XLOOKUP(A186,Щиты[Щит],Щиты[Руст, кВт]),0),SUMIFS(Линии[_Р для вводов],Линии[Щит],A186,Линии[Источник для режимов],GF186)),IF(BO186&gt;0,ROUND(BO186*MAX(1,N(D186)),3),""))))</f>
        <v/>
      </c>
      <c r="BR186">
        <f t="shared" si="290"/>
        <v>0.3</v>
      </c>
      <c r="BS186" s="6">
        <f>IF(B186="","",IF(BH186&lt;&gt;"",IFERROR(_xlfn.XLOOKUP(BH186,Щиты[Щит],Щиты[Руст, кВт]),0),N(BR186)))</f>
        <v>0.3</v>
      </c>
      <c r="BT186" t="str">
        <f>IF(B186="","",IFERROR(IF(VLOOKUP(BC186,Потребители_обозначение,8,FALSE)=0,"",VLOOKUP(BC186,Потребители_обозначение,8,FALSE)),""))</f>
        <v/>
      </c>
      <c r="BU186">
        <f t="shared" si="291"/>
        <v>230</v>
      </c>
      <c r="BV186">
        <f t="shared" si="292"/>
        <v>0</v>
      </c>
      <c r="BW186">
        <f>IF(B186="","",IF(BH186&lt;&gt;"",3,IFERROR(IF(N(VLOOKUP(BC186,Потребители_обозначение,9,FALSE))=0,1,VLOOKUP(BC186,Потребители_обозначение,9,FALSE)),1)))</f>
        <v>1</v>
      </c>
      <c r="BX186">
        <f t="shared" si="293"/>
        <v>1</v>
      </c>
      <c r="BY186" t="str">
        <f>IF(B186="","",_xlfn.LET(_xlpm.bc,IFERROR(IF(VLOOKUP(BC186,Потребители_обозначение,6,FALSE)=0,"",VLOOKUP(BC186,Потребители_обозначение,6,FALSE)&amp;""),""),IF(AND(GA186="да",OR(_xlpm.bc="",_xlpm.bc="мс")),Марка_пож,IF(AND(_xlpm.bc="",BH186&lt;&gt;""),"мс",_xlpm.bc))))</f>
        <v/>
      </c>
      <c r="BZ186" t="str">
        <f t="shared" si="294"/>
        <v>мс</v>
      </c>
      <c r="CA186">
        <f>IF(B186="","",_xlfn.LET(_xlpm.cc,IFERROR(N(VLOOKUP(BC186,Потребители_обозначение,7,FALSE)),0),IF(_xlpm.cc&gt;0,_xlpm.cc,IF(BZ186="","",IF(BV186=1,2,IF(N(BX186)=3,5,3))))))</f>
        <v>3</v>
      </c>
      <c r="CB186">
        <f t="shared" si="295"/>
        <v>3</v>
      </c>
      <c r="CC186">
        <f>IFERROR(N(VLOOKUP(BC186,Потребители_обозначение,10,FALSE)),0)</f>
        <v>0</v>
      </c>
      <c r="CD186">
        <f>IFERROR(VLOOKUP(BC186,Потребители_обозначение,5,FALSE),0)</f>
        <v>1</v>
      </c>
      <c r="CE186" s="6" cm="1">
        <f t="array" ref="CE186">IF(B186="","",IF(BH186&lt;&gt;"",IFERROR(_xlfn.XLOOKUP(BH186,Щиты[Щит],Щиты[cos φ]),0.95),IF(BP186=1,IFERROR(_xlfn.XLOOKUP(A186,Щиты[Щит],Щиты[cos φ]),0.95),IF(ISNUMBER(AD186),AD186,IFERROR(IF(CD186=2,_xlfn.IFS(BX186=3,VLOOKUP(BS186,Справочная_двигатели,8,FALSE),BX186=1,VLOOKUP(BS186,Справочная_двигатели,10,TRUE)),IF(AND(Методика="нормы 2026",FG186="Сил"),0.8,0.95)),0.95)))))</f>
        <v>0.95</v>
      </c>
      <c r="CF186">
        <f t="shared" si="296"/>
        <v>0</v>
      </c>
      <c r="CG186">
        <f t="shared" si="297"/>
        <v>1</v>
      </c>
      <c r="CH186">
        <f t="shared" si="298"/>
        <v>0</v>
      </c>
      <c r="CI186">
        <f>IF(B186="","",IF(BV186=1,IFERROR(BS186/((Uн_лин/SQRT(3))*MAX(0.5,N(CE186))),0),N(O186)))</f>
        <v>1.3674085322912188</v>
      </c>
      <c r="CJ186">
        <f t="shared" si="299"/>
        <v>0</v>
      </c>
      <c r="CK186">
        <f t="shared" si="300"/>
        <v>0</v>
      </c>
      <c r="CL186">
        <f t="shared" si="301"/>
        <v>0</v>
      </c>
      <c r="CM186">
        <f t="shared" si="302"/>
        <v>0</v>
      </c>
      <c r="CN186">
        <f t="shared" si="303"/>
        <v>0</v>
      </c>
      <c r="CO186">
        <f>IF(BC186="",0,_xlfn.LET(_xlpm.v,IFERROR(_xlfn.XLOOKUP(B186,Коды_код,Коды_мА),IFERROR(_xlfn.XLOOKUP(BC186,Коды_код,Коды_мА),IFERROR(_xlfn.XLOOKUP(LEFT(BC186,2),Коды_код,Коды_мА),""))),IF(_xlpm.v="да",30,IF(ISNUMBER(_xlpm.v),_xlpm.v,0))))</f>
        <v>30</v>
      </c>
      <c r="CP186">
        <f t="shared" si="304"/>
        <v>30</v>
      </c>
      <c r="CQ186" t="str">
        <f>_xlfn.LET(_xlpm.k,IFERROR(_xlfn.XLOOKUP(BC186,Коды_код,Коды_утечка)&amp;"",""),IF(_xlpm.k="","дифавтомат",_xlpm.k))</f>
        <v>дифавтомат</v>
      </c>
      <c r="CR186" t="str" cm="1">
        <f t="array" ref="CR186">IF(CG186=0,"",_xlfn.LET(_xlpm.sg,TRIM(_xlfn.TEXTSPLIT(DD186&amp;"",";")),_xlpm.f_,_xlfn._xlws.FILTER(_xlpm.sg,LEFT(_xlpm.sg,3)="УЗО",""),IFERROR(INDEX(_xlpm.f_,1)&amp;"","")))</f>
        <v/>
      </c>
      <c r="CS186" t="str">
        <f t="shared" si="305"/>
        <v/>
      </c>
      <c r="CT186" s="6" t="str" cm="1">
        <f t="array" ref="CT186">IF(CR186="","",_xlfn.LET(_xlpm.tk,_xlfn.TEXTSPLIT(UPPER(CR186)," ",,TRUE),_xlpm.a_,_xlfn._xlws.FILTER(_xlpm.tk,ISNUMBER(--LEFT(_xlpm.tk,1))*((ISNUMBER(SEARCH("А",_xlpm.tk))+ISNUMBER(SEARCH("A",_xlpm.tk)))&gt;0)*NOT(ISNUMBER(SEARCH("МА",_xlpm.tk)))*NOT(ISNUMBER(SEARCH("MA",_xlpm.tk))),""),IFERROR(--SUBSTITUTE(SUBSTITUTE(INDEX(_xlpm.a_,1),"А",""),"A",""),"")))</f>
        <v/>
      </c>
      <c r="CU186" t="str" cm="1">
        <f t="array" ref="CU186">IF(CR186="","",_xlfn.LET(_xlpm.tk,_xlfn.TEXTSPLIT(UPPER(CR186)," ",,TRUE),_xlpm.a_,_xlfn._xlws.FILTER(_xlpm.tk,ISNUMBER(--LEFT(_xlpm.tk,1))*((ISNUMBER(SEARCH("МА",_xlpm.tk))+ISNUMBER(SEARCH("MA",_xlpm.tk)))&gt;0),""),IFERROR(--SUBSTITUTE(SUBSTITUTE(INDEX(_xlpm.a_,1),"МА",""),"MA",""),30)))</f>
        <v/>
      </c>
      <c r="CV186" t="str">
        <f>IF(CS186="","",IFERROR(_xlfn.XLOOKUP(CS186,Линии[_n],Линии[_УЗО, мА]),30))</f>
        <v/>
      </c>
      <c r="CW186">
        <f>IF(CS186="",0,IF(ISNUMBER(SEARCH("4P",IFERROR(_xlfn.XLOOKUP(CS186,Линии[_n],Линии[_УЗО строки])&amp;"",""))),0,1))</f>
        <v>0</v>
      </c>
      <c r="CX186" t="str">
        <f>IF(AND(CS186&lt;&gt;"",CS186=BA186),SUMIFS(Линии[_ток на 230 В],Линии[_блок УЗО],BA186,Линии[Щит],A186),"")</f>
        <v/>
      </c>
      <c r="CY186" t="str">
        <f>IF(AND(CS186&lt;&gt;"",CS186=BA186),SUMIFS(Линии[_ток утечки линии, мА],Линии[_блок УЗО],BA186,Линии[Щит],A186),"")</f>
        <v/>
      </c>
      <c r="CZ186">
        <f t="shared" si="306"/>
        <v>30</v>
      </c>
      <c r="DA186">
        <f t="shared" si="307"/>
        <v>30</v>
      </c>
      <c r="DB186">
        <f>IF(B186="",0,IFERROR(--_xlfn.XLOOKUP(B186,Коды_код,Коды_минавт),IFERROR(--_xlfn.XLOOKUP(BC186,Коды_код,Коды_минавт),IFERROR(--_xlfn.XLOOKUP(LEFT(BC186,2),Коды_код,Коды_минавт),0))))</f>
        <v>16</v>
      </c>
      <c r="DC186" t="str">
        <f>IF(B186="","",IFERROR(_xlfn.XLOOKUP(BC186,Коды_код,Коды_апп)&amp;"",""))</f>
        <v/>
      </c>
      <c r="DD186" t="str">
        <f t="shared" si="308"/>
        <v/>
      </c>
      <c r="DE186" t="str" cm="1">
        <f t="array" ref="DE186">IF(TRIM(DD186&amp;"")="","",IFERROR(TRIM(INDEX(_xlfn.TEXTSPLIT(DD186&amp;";;;",";"),1)),""))</f>
        <v/>
      </c>
      <c r="DF186" t="str" cm="1">
        <f t="array" ref="DF186">IF(TRIM(DD186&amp;"")="","",IFERROR(TRIM(INDEX(_xlfn.TEXTSPLIT(DD186&amp;";;;",";"),2)),""))</f>
        <v/>
      </c>
      <c r="DG186" t="str" cm="1">
        <f t="array" ref="DG186">IF(TRIM(DD186&amp;"")="","",IFERROR(TRIM(INDEX(_xlfn.TEXTSPLIT(DD186&amp;";;;",";"),3)),""))</f>
        <v/>
      </c>
      <c r="DH186">
        <f t="shared" si="309"/>
        <v>0</v>
      </c>
      <c r="DI186" t="str">
        <f>IF(B186="","",_xlfn.LET(_xlpm.t,LOWER(AZ186&amp;""),IF(ISNUMBER(SEARCH("dim",_xlpm.t)),"DIM",IF(ISNUMBER(SEARCH("dali",_xlpm.t)),"DALI",IF(OR(ISNUMBER(SEARCH("relay",_xlpm.t)),ISNUMBER(SEARCH("реле",_xlpm.t))),"Relay",IF(ISNUMBER(SEARCH("кнопк",_xlpm.t)),"",IFERROR(_xlfn.XLOOKUP(BC186,Коды_код,Коды_упр)&amp;"","")))))))</f>
        <v/>
      </c>
      <c r="DJ186" t="str">
        <f t="shared" si="310"/>
        <v/>
      </c>
      <c r="DK186">
        <f>IF(B186="","",_xlfn.LET(_xlpm.ig,IF(N(CX186)&gt;0,N(CX186),N(CI186)+IF(AJ186="вручную",0,N(CJ186))),_xlpm.n0,IFERROR(VLOOKUP(_xlpm.ig,Автомат_номиналы,2,TRUE),0),_xlpm.mn,MAX(DB186,IF(AJ186="вручную",0,N(CM186))),MAX(_xlpm.n0,_xlpm.mn,IF(DH186=1,Мин_автомат_БП,0))))</f>
        <v>16</v>
      </c>
      <c r="DL186">
        <f t="shared" si="311"/>
        <v>1</v>
      </c>
      <c r="DM186" t="str">
        <f t="shared" si="312"/>
        <v>2P</v>
      </c>
      <c r="DN186" t="str">
        <f>_xlfn.LET(_xlpm.cc,UPPER(TRIM(IFERROR(_xlfn.XLOOKUP(BC186,Коды_код,Коды_хар)&amp;"",""))),IF(OR(_xlpm.cc="B",_xlpm.cc="В"),"B",IF(_xlpm.cc="D","D","С")))</f>
        <v>С</v>
      </c>
      <c r="DO186" t="str">
        <f t="shared" si="313"/>
        <v>2P С16А 30мА</v>
      </c>
      <c r="DP186" t="str">
        <f t="shared" si="314"/>
        <v>2P С16А 30мА</v>
      </c>
      <c r="DQ186" t="str">
        <f t="shared" si="315"/>
        <v>2P С16А 30мА</v>
      </c>
      <c r="DR186" cm="1">
        <f t="array" ref="DR186">IF(DQ186="","",_xlfn.LET(_xlpm.t,SUBSTITUTE(SUBSTITUTE(SUBSTITUTE(UPPER(DQ186),"С","C"),"А","A"),"В","B"),_xlpm.tk,_xlfn.TEXTSPLIT(_xlpm.t," "),_xlpm.f,_xlfn._xlws.FILTER(_xlpm.tk,ISNUMBER(--MID(_xlpm.tk,2,1))*ISNUMBER(SEARCH(LEFT(_xlpm.tk,1)&amp;"#","B#C#D#"))*(LEN(_xlpm.tk)&gt;1),""),_xlpm.x,INDEX(_xlpm.f,1),IFERROR(--SUBSTITUTE(MID(_xlpm.x,2,9),"A",""),IFERROR(--SUBSTITUTE(INDEX(_xlfn._xlws.FILTER(_xlpm.tk,ISNUMBER(--SUBSTITUTE(_xlpm.tk,"A","")),""),1),"A",""),""))))</f>
        <v>16</v>
      </c>
      <c r="DS186" t="str">
        <f t="shared" si="316"/>
        <v>ok</v>
      </c>
      <c r="DT186">
        <f t="shared" si="317"/>
        <v>16</v>
      </c>
      <c r="DU186" t="str">
        <f t="shared" si="318"/>
        <v>2P С16А 30мА</v>
      </c>
      <c r="DV186">
        <f t="shared" si="319"/>
        <v>30</v>
      </c>
      <c r="DW186">
        <f t="shared" si="320"/>
        <v>1</v>
      </c>
      <c r="DX186">
        <f t="shared" si="321"/>
        <v>0</v>
      </c>
      <c r="DY186">
        <f t="shared" si="322"/>
        <v>1.3674085322912188</v>
      </c>
      <c r="DZ186">
        <f t="shared" si="323"/>
        <v>1</v>
      </c>
      <c r="EA186">
        <f>IF(ISNUMBER(AP186),AP186,К_прокл)</f>
        <v>1</v>
      </c>
      <c r="EB186">
        <f t="shared" si="324"/>
        <v>2</v>
      </c>
      <c r="EC186">
        <f>IFERROR(N(VLOOKUP(BZ186,Кабель_обозначение,3,FALSE)),1)</f>
        <v>1</v>
      </c>
      <c r="ED186">
        <f>IFERROR(N(_xlfn.XLOOKUP(A186,Щиты[Щит],Щиты[ΔU до шин, %])),0)</f>
        <v>0.43</v>
      </c>
      <c r="EE186" t="str">
        <f>IFERROR(_xlfn.XLOOKUP(A186,Щиты[Щит],Щиты[Zпетли на шинах, Ом]),"")</f>
        <v/>
      </c>
      <c r="EF186">
        <f>IFERROR(N(_xlfn.XLOOKUP(A186,Щиты[Щит],Щиты[ΔU до шин (подбор), %])),0)</f>
        <v>0.43</v>
      </c>
      <c r="EG186" t="str">
        <f>IFERROR(_xlfn.XLOOKUP(A186,Щиты[Щит],Щиты[Zпетли на шинах (подбор), Ом]),"")</f>
        <v/>
      </c>
      <c r="EH186" t="str">
        <f t="shared" si="325"/>
        <v/>
      </c>
      <c r="EI186">
        <f t="shared" si="326"/>
        <v>52</v>
      </c>
      <c r="EJ186">
        <f t="shared" si="327"/>
        <v>2</v>
      </c>
      <c r="EK186">
        <f t="shared" si="328"/>
        <v>0.31</v>
      </c>
      <c r="EL186" s="6">
        <f>IF(B186="","",IF(BV186=1,dU_LED,IF(IFERROR(_xlfn.XLOOKUP(BC186,Коды_код,Коды_уго),"")="Светильник",3,4)+IF(Методика="нормы 2026",MIN(0.5,MAX(0,N(P186)-100)*0.005),0)))</f>
        <v>4</v>
      </c>
      <c r="EM186" cm="1">
        <f t="array" ref="EM186">IF(OR(B186="",BZ186="",EC186&lt;&gt;1),"",_xlfn.LET(_xlpm.sz,Iдоп_S,_xlpm.t_,CHOOSE(EB186,Iдоп_1ж,Iдоп_2ж,Iдоп_3ж)*DZ186*EA186,_xlpm.dcx,BV186=1,_xlpm.inn,IF(_xlpm.dcx,N(O186),N(DT186)),_xlpm.smin,MAX(1.5,CC186),_xlpm.L_,N(P186)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186)/N(BU186)*100,999),IFERROR(N(EJ186)*(_xlpm.rho*_xlpm.L_/_xlpm.sz*N(CE186)+_xlpm.xx*_xlpm.L_*N(EK186)/1000)*N(O186)/((Uн_лин/SQRT(3))*1000)*100,999)),_xlpm.kz,IF(OR(_xlpm.dcx,DW186=1,NOT(ISNUMBER(EG186)),_xlpm.L_=0,_xlpm.inn=0),1,IFERROR(--(c_min*(Uн_лин*1000/SQRT(3))/(EG186+2*ρкз_Cu*_xlpm.L_/_xlpm.sz)&gt;=HT186*_xlpm.inn),0)),_xlpm.ok,IFERROR((_xlpm.sz&gt;=_xlpm.smin)*(_xlpm.t_&gt;=_xlpm.inn)*IF(_xlpm.L_&gt;0,(_xlpm.du_+IF(_xlpm.dcx,0,EF186)&lt;=EL186+0.00001),1)*_xlpm.kz,0),_xlpm.r_,_xlfn._xlws.FILTER(_xlpm.sz,_xlpm.ok,"не подобрано"),INDEX(_xlpm.r_,1)))</f>
        <v>1.5</v>
      </c>
      <c r="EN186">
        <f t="shared" si="329"/>
        <v>2.5</v>
      </c>
      <c r="EO186" cm="1">
        <f t="array" ref="EO186">IF(OR(B186="",BZ186="",EC186&lt;&gt;1),"",_xlfn.LET(_xlpm.sz,Iдоп_S,_xlpm.t_,CHOOSE(EB186,Iдоп_1ж,Iдоп_2ж,Iдоп_3ж)*DZ186*EA186,_xlpm.ok,IFERROR((_xlpm.sz&gt;=MAX(1.5,CC186))*(_xlpm.t_&gt;=N(DT186)),0),_xlpm.r_,_xlfn._xlws.FILTER(_xlpm.sz,_xlpm.ok,""),INDEX(_xlpm.r_,1)))</f>
        <v>1.5</v>
      </c>
      <c r="EP186" s="6" cm="1">
        <f t="array" ref="EP186">IFERROR(ROUNDUP(N(EJ186)*(_xlfn.XLOOKUP(EO186,INDEX(Кабель_сопротивление,0,1),INDEX(Кабель_сопротивление,0,3))*N(P186)/EO186*N(CE186)+_xlfn.XLOOKUP(EO186,INDEX(Кабель_сопротивление,0,1),INDEX(Кабель_сопротивление,0,2))*N(P186)*N(EK186)/1000)*N(O186)/((Uн_лин/SQRT(3))*1000)*100,2),"")</f>
        <v>1.34</v>
      </c>
      <c r="EQ186">
        <f>IFERROR(2*ρкз_Cu*N(P186)/EO186,"")</f>
        <v>2.7702666666666667</v>
      </c>
      <c r="ER186">
        <f>IFERROR(VLOOKUP(EN186,Кабель_сопротивление,3,FALSE),"")</f>
        <v>2.2499999999999999E-2</v>
      </c>
      <c r="ES186">
        <f>IFERROR(VLOOKUP(EN186,Кабель_сопротивление,2,FALSE),"")</f>
        <v>0.1</v>
      </c>
      <c r="ET186">
        <f t="shared" si="330"/>
        <v>60</v>
      </c>
      <c r="EU186">
        <f t="shared" si="331"/>
        <v>0</v>
      </c>
      <c r="EV186">
        <f t="shared" si="332"/>
        <v>1.8539297532633696</v>
      </c>
      <c r="EW186" s="6">
        <f>IFERROR(ROUNDUP(EV186/IF(BV186=1,BU186,(Uн_лин/SQRT(3))*1000)*100,2),"")</f>
        <v>0.81</v>
      </c>
      <c r="EX186" t="str">
        <f>IFERROR(VLOOKUP(BZ186,Кабель_обозначение,2,FALSE),"")</f>
        <v>ВВГнг(А)-LS</v>
      </c>
      <c r="EY186" t="str">
        <f t="shared" si="333"/>
        <v>ВВГнг(А)-LS (3х2,5)</v>
      </c>
      <c r="EZ186" t="str">
        <f t="shared" si="334"/>
        <v>ВВГнг(А)-LS (3х2,5)
L=79-0,81%</v>
      </c>
      <c r="FA186">
        <f>IFERROR(2*ρкз_Cu*P186/EN186,"")</f>
        <v>1.6621600000000001</v>
      </c>
      <c r="FB186">
        <f t="shared" si="335"/>
        <v>0.55300000000000005</v>
      </c>
      <c r="FC186" s="6" t="str">
        <f>IFERROR(IF(OR(B186="",BV186=1,NOT(ISNUMBER(EN186)),N(P186)=0),"",_xlfn.XLOOKUP(A186,Щиты[Щит],Щиты[Zпетли на шинах, Ом])+FA186),"")</f>
        <v/>
      </c>
      <c r="FD186" s="6" t="str">
        <f>IF(ISNUMBER(FC186),c_min*(Uн_лин*1000/SQRT(3))/FC186,"")</f>
        <v/>
      </c>
      <c r="FE186" s="6" t="str">
        <f>IFERROR(IF(OR(B186="",NOT(ISNUMBER(EN186))),"",1.05*(Uн_лин*1000/SQRT(3))/(_xlfn.XLOOKUP(A186,Щиты[Щит],Щиты[Zmax на шинах, Ом])+FB186)/1000),"")</f>
        <v/>
      </c>
      <c r="FF186" s="6" t="str">
        <f>IF(B186="","",IF(ISNUMBER(AC186),"Сил",IF(IFERROR(_xlfn.XLOOKUP(BC186,Коды_код,Коды_группа)&amp;"","")="","Быт",_xlfn.XLOOKUP(BC186,Коды_код,Коды_группа)&amp;"")))</f>
        <v>Быт</v>
      </c>
      <c r="FG186" s="6" t="str">
        <f t="shared" si="336"/>
        <v>Быт</v>
      </c>
      <c r="FH186" s="6">
        <f>IF(FG186="Щит","щит",IF(FG186="","",IF(FG186="Быт",IFERROR(_xlfn.XLOOKUP(A186,Щиты[Щит],Щиты[Кс быт]),1),IF(FG186="Сил",IF(ISNUMBER(AC186),AC186,IF(Методика="нормы 2026",IFERROR(_xlfn.XLOOKUP(A186,Щиты[Щит],Щиты[Кс силовых (табл. 7.5)]),1),1)),IF(OR(FG186="Пост",FG186="Отоп"),1,IF(FG186="ВНГ",0.7,0))))))</f>
        <v>0.79799999999999993</v>
      </c>
      <c r="FI186">
        <f>IF(FG186="","",IF(AND(BP186=1,TRIM(AE186&amp;"")=""),IF(COUNTIFS(Линии[Щит],A186,Линии[Секция (1/2/3)],"&gt;=2")&gt;0,MIN(3,MAX(1,IFERROR(--BD186,1))),1),IFERROR(MIN(3,MAX(1,INT(--AE186))),1)))</f>
        <v>1</v>
      </c>
      <c r="FJ186">
        <f t="shared" si="337"/>
        <v>0.3</v>
      </c>
      <c r="FK186">
        <f t="shared" si="338"/>
        <v>0.3</v>
      </c>
      <c r="FL186">
        <f t="shared" si="339"/>
        <v>0</v>
      </c>
      <c r="FM186">
        <f t="shared" si="340"/>
        <v>0</v>
      </c>
      <c r="FN186">
        <f t="shared" si="341"/>
        <v>0</v>
      </c>
      <c r="FO186">
        <f t="shared" si="342"/>
        <v>0</v>
      </c>
      <c r="FP186">
        <f t="shared" si="343"/>
        <v>0.3</v>
      </c>
      <c r="FQ186">
        <f t="shared" si="344"/>
        <v>0.3</v>
      </c>
      <c r="FR186">
        <f t="shared" si="345"/>
        <v>0.28499999999999998</v>
      </c>
      <c r="FS186">
        <f>IF(CG186=1,IF(AND(CH186=1,CW186=1),0,IF(AND(CS186&lt;&gt;"",CS186=BA186,CW186=1),SUMIFS(Линии[_Р линии, кВт],Линии[_блок УЗО],BA186,Линии[Щит],A186),N(BS186)+IF(AJ186="вручную",0,N(CK186)))),0)</f>
        <v>0.3</v>
      </c>
      <c r="FT186" t="str">
        <f t="shared" si="346"/>
        <v>L3</v>
      </c>
      <c r="FU186" t="str">
        <f>IF(B186="","",IF(CG186=0,IF(BA186=1,"",FW185),IF(AND(CH186=1,CW186=1,CS186&lt;&gt;""),IFERROR(_xlfn.XLOOKUP(CS186,Линии[_n],Линии[_фаза итог]),"L1"),IF(OR(N(DL186)&gt;=3,N(BX186)&gt;=3),"L1,L2,L3",IFERROR(_xlfn.TEXTBEFORE(_xlfn.TEXTAFTER(_xlfn.XLOOKUP(A186,Щиты[Щит],Щиты[_фазы авто]),";"&amp;BA186&amp;":"),";"),"L1")))))</f>
        <v>L1</v>
      </c>
      <c r="FV186" t="str">
        <f t="shared" si="347"/>
        <v>L3</v>
      </c>
      <c r="FW186" t="str">
        <f t="shared" si="348"/>
        <v>L3</v>
      </c>
      <c r="FX186" cm="1">
        <f t="array" ref="FX186">IFERROR(IF(CD186=2,_xlfn.IFS(BX186=3,VLOOKUP(BS186,Справочная_двигатели,3,FALSE),BX186=1,VLOOKUP(BS186,Справочная_двигатели,5,TRUE)),0),0)</f>
        <v>0</v>
      </c>
      <c r="FY186">
        <f>IFERROR(IF(CD186=3,VLOOKUP(BS186,Справочная_ЛЭД,2,TRUE),0),0)</f>
        <v>0</v>
      </c>
      <c r="FZ186" s="6">
        <f t="shared" si="349"/>
        <v>0</v>
      </c>
      <c r="GA186" t="str">
        <f>IF(B186="","",IF(TRIM(AH186&amp;"")&lt;&gt;"",IF(LOWER(TRIM(AH186&amp;""))="да","да","нет"),IF(IFERROR(_xlfn.XLOOKUP(BC186,Коды_код,Коды_пожарная),"")="да","да","нет")))</f>
        <v>нет</v>
      </c>
      <c r="GB186" t="str">
        <f t="shared" si="350"/>
        <v/>
      </c>
      <c r="GC186" t="str">
        <f t="shared" si="351"/>
        <v>основная</v>
      </c>
      <c r="GD186">
        <f>IF(AND(BP186=1,TRIM(AE186&amp;"")=""),IF(COUNTIFS(Линии[Щит],A186,Линии[Секция (1/2/3)],"&gt;=2")&gt;0,MIN(3,MAX(1,IFERROR(--BD186,1))),1),IFERROR(MIN(3,MAX(1,INT(--AE186))),1))</f>
        <v>1</v>
      </c>
      <c r="GE186" t="str" cm="1">
        <f t="array" ref="GE186">IF(B186="","",_xlfn.LET(_xlpm.t,IFERROR(_xlfn.XLOOKUP(1,(Шины[Шина]=GC186)*(((Шины[Щит]=A186)+(Шины[Щит]=""))&gt;0),Шины[Тип]),"")&amp;"",IF(_xlpm.t&lt;&gt;"",_xlpm.t,IF(ISNUMBER(SEARCH("ИБП",GC186)),"ИБП",IF(ISNUMBER(SEARCH("ДГУ",GC186)),"ДГУ","Ввод "&amp;GD186)))))</f>
        <v>Ввод 1</v>
      </c>
      <c r="GF186" t="str">
        <f t="shared" si="352"/>
        <v>Ввод 1</v>
      </c>
      <c r="GG186" t="str">
        <f>IF(BP186=0,"",IF(TRIM(AG186&amp;"")&lt;&gt;"",TRIM(AG186&amp;""),IF(OR(GE186="ИБП",GE186="ДГУ"),"I особая",_xlfn.XLOOKUP(A186,Щиты[Щит],Щиты[Категория шины «Ввод»],"III"))))</f>
        <v/>
      </c>
      <c r="GH186" t="str">
        <f>IF(A186="","",_xlfn.XLOOKUP(A186,Щиты[Щит],Щиты[Путь],""))</f>
        <v>|ГРЩ-ЖД|ЩР-01|</v>
      </c>
      <c r="GI186" t="str">
        <f>IF(B186="","",IF(AI186&lt;&gt;"",AI186,IF(IFERROR(_xlfn.XLOOKUP(BC186,Коды_код,Коды_вид)&amp;"","")="","Прочее",_xlfn.XLOOKUP(BC186,Коды_код,Коды_вид)&amp;"")))</f>
        <v>Розеточная сеть и бытовые приборы</v>
      </c>
      <c r="GJ186">
        <f>IF(BM186="","",INT((BM186-1)/Столбцов_на_лист)+1)</f>
        <v>1</v>
      </c>
      <c r="GK186" t="str">
        <f t="shared" si="353"/>
        <v>ВВГнг(А)-LS (3х2,5) L=79-0,81%</v>
      </c>
      <c r="GL186">
        <f t="shared" si="354"/>
        <v>0.3</v>
      </c>
      <c r="GM186">
        <f t="shared" si="355"/>
        <v>1.37</v>
      </c>
      <c r="GN186">
        <f t="shared" si="356"/>
        <v>1</v>
      </c>
      <c r="GO186">
        <f t="shared" si="357"/>
        <v>0</v>
      </c>
      <c r="GP186">
        <f t="shared" si="358"/>
        <v>1</v>
      </c>
      <c r="GQ186">
        <f>IF(BM186="","",IF(AND(CG186=1,GP186=1),COUNTIFS(A$3:A186,A186,CG$3:CG186,1,GP$3:GP186,1),IF(OR(OR(BA186=1,A186&lt;&gt;A185),AJ186="вручную",GP186=0),"",IF(BA186=1,"",GR185))))</f>
        <v>2</v>
      </c>
      <c r="GR186">
        <f t="shared" si="359"/>
        <v>2</v>
      </c>
      <c r="GS186">
        <f>IF(B186="","",IFERROR(LOOKUP(INDEX(CHOOSE(EB186,Iдоп_1ж,Iдоп_2ж,Iдоп_3ж),MATCH(EN186,Iдоп_S,0))*DZ186*EA186,{6,10,16,20,25,32,40,50,63,80,100,125,160,200,250,315,400,500,630}),""))</f>
        <v>25</v>
      </c>
      <c r="GT186" t="str">
        <f t="shared" si="360"/>
        <v>QFD2</v>
      </c>
      <c r="GU186" t="str">
        <f t="shared" si="361"/>
        <v>QFD2</v>
      </c>
      <c r="GV186" t="str">
        <f t="shared" si="362"/>
        <v/>
      </c>
      <c r="GW186">
        <f t="shared" si="363"/>
        <v>0</v>
      </c>
      <c r="GX186" t="str">
        <f>IF(OR(B186="",DJ186=""),"",IFERROR(_xlfn.XLOOKUP(DJ186,Модули_умолч[Управление],Модули_умолч[Модель])&amp;"",""))</f>
        <v/>
      </c>
      <c r="GY186">
        <f>IF(DJ186="",1,IFERROR(MAX(0,N(_xlfn.XLOOKUP(DJ186,Модули_умолч[Управление],Модули_умолч[Каналов на линию]))),1))</f>
        <v>1</v>
      </c>
      <c r="GZ186" t="str">
        <f t="shared" si="364"/>
        <v/>
      </c>
      <c r="HA186" t="str">
        <f t="shared" si="365"/>
        <v/>
      </c>
      <c r="HB186" t="str">
        <f t="shared" si="366"/>
        <v/>
      </c>
      <c r="HC186">
        <f>IF(HB186="",0,IFERROR(N(VLOOKUP(HB186,Модули_спр,3,FALSE)),0))</f>
        <v>0</v>
      </c>
      <c r="HD186" t="str">
        <f t="shared" si="367"/>
        <v/>
      </c>
      <c r="HE186" t="str">
        <f t="shared" si="368"/>
        <v/>
      </c>
      <c r="HF186" t="str">
        <f>IF(OR(HE186="",HE186="-"),"",IFERROR(VLOOKUP(HE186,Модули_спр,2,FALSE),"R"))</f>
        <v/>
      </c>
      <c r="HG186" t="str">
        <f>IF(HF186="","",HF186&amp;"."&amp;COUNTIFS(A$3:A186,A186,HF$3:HF186,HF186))</f>
        <v/>
      </c>
      <c r="HH186" t="str">
        <f t="shared" si="369"/>
        <v/>
      </c>
      <c r="HI186" t="str">
        <f t="shared" si="370"/>
        <v/>
      </c>
      <c r="HJ186" t="str">
        <f t="shared" si="371"/>
        <v/>
      </c>
      <c r="HK186" t="str">
        <f t="shared" si="372"/>
        <v/>
      </c>
      <c r="HL186">
        <f t="shared" si="373"/>
        <v>1</v>
      </c>
      <c r="HM186" t="str">
        <f>IF(HL186=1,"XT"&amp;COUNTIFS(A$3:A186,A186,HL$3:HL186,1),"")</f>
        <v>XT2</v>
      </c>
      <c r="HN186" t="str">
        <f t="shared" si="374"/>
        <v>XT2</v>
      </c>
      <c r="HO186" t="str">
        <f t="shared" si="375"/>
        <v>QFD2</v>
      </c>
      <c r="HP186" t="str">
        <f t="shared" si="376"/>
        <v/>
      </c>
      <c r="HQ186" t="str">
        <f t="shared" si="377"/>
        <v>ok</v>
      </c>
      <c r="HR186" t="str">
        <f>IF(OR(HJ186="",HH186=""),"",IF(HJ186+MAX(0,GY186-1)&gt;IFERROR(VLOOKUP(HI186,Модули_спр,3,FALSE),99),"ЛИШНИЙ КАНАЛ",IF(AND(AL186&lt;&gt;"=",GY186&gt;0,COUNTIFS(Линии[_модуль гр.],HH186,Линии[Канал (итог)],HJ186,Линии[Канал],"&lt;&gt;=",Линии[Щит],A186)&gt;1),"ДУБЛЬ КАНАЛА","")))</f>
        <v/>
      </c>
      <c r="HS186" s="6" t="str">
        <f t="shared" si="378"/>
        <v/>
      </c>
      <c r="HT186">
        <f t="shared" si="379"/>
        <v>10</v>
      </c>
      <c r="HU186" t="str">
        <f t="shared" si="380"/>
        <v/>
      </c>
      <c r="HV186">
        <f t="shared" si="381"/>
        <v>1.3369634129164876</v>
      </c>
      <c r="HW186">
        <f t="shared" si="382"/>
        <v>0</v>
      </c>
      <c r="HX186">
        <f t="shared" si="383"/>
        <v>0</v>
      </c>
      <c r="HY186">
        <f t="shared" si="384"/>
        <v>0</v>
      </c>
      <c r="HZ186">
        <f t="shared" si="385"/>
        <v>0</v>
      </c>
      <c r="IA186">
        <f t="shared" si="386"/>
        <v>0</v>
      </c>
      <c r="IB186">
        <f t="shared" si="387"/>
        <v>0</v>
      </c>
      <c r="IC186" t="str">
        <f t="shared" si="388"/>
        <v/>
      </c>
      <c r="ID186" t="str" cm="1">
        <f t="array" ref="ID186">IF(IC186="","",_xlfn.LET(_xlpm.tk,_xlfn.TEXTSPLIT(SUBSTITUTE(SUBSTITUTE(IC186,";"," "),"→"," ")," ",,TRUE),_xlpm.w_,_xlfn._xlws.FILTER(_xlpm.tk,ISNUMBER(--LEFT(_xlpm.tk,1))*((ISNUMBER(SEARCH("W",_xlpm.tk))+ISNUMBER(SEARCH("Вт",_xlpm.tk)))&gt;0),""),IFERROR(--SUBSTITUTE(SUBSTITUTE(UPPER(INDEX(_xlpm.w_,1)),"W",""),"ВТ",""),"")))</f>
        <v/>
      </c>
      <c r="IE186" t="str" cm="1">
        <f t="array" ref="IE186">IF(IC186="","",_xlfn.LET(_xlpm.tk,_xlfn.TEXTSPLIT(SUBSTITUTE(SUBSTITUTE(IC186,";"," "),"→"," ")," ",,TRUE),_xlpm.v_,_xlfn._xlws.FILTER(_xlpm.tk,ISNUMBER(--LEFT(_xlpm.tk,1))*((ISNUMBER(SEARCH("V",_xlpm.tk))+(RIGHT(UPPER(_xlpm.tk))="В"))&gt;0),""),IFERROR(--SUBSTITUTE(SUBSTITUTE(UPPER(INDEX(_xlpm.v_,1)),"V",""),"В",""),"")))</f>
        <v/>
      </c>
      <c r="IF186" s="6" t="str">
        <f>IF(OR(BV186=0,HI186="",HJ186=""),"",IFERROR(N(_xlfn.XLOOKUP(HI186,Каталог!$C$4:$C$500,Каталог!$Q$4:$Q$500)),""))</f>
        <v/>
      </c>
      <c r="IG186" s="6" t="str">
        <f>IF(N(IF186)=0,"",SUMIFS(Линии[Iр, А],Линии[Щит],A186,Линии[_модуль гр.],HH186,Линии[Канал (итог)],HJ186))</f>
        <v/>
      </c>
      <c r="IH186" t="str">
        <f>IF(AND(B186="",HO186=""),"",_xlfn.TEXTJOIN("; ",TRUE,IF(AND(B186&lt;&gt;"",FV186=""),"нет фазы",""),IF(AND(B186&lt;&gt;"",N(GL186)=0,FG186&lt;&gt;"Нет"),"нет мощности",""),IF(AND(HN186&lt;&gt;"",COUNTIFS(Линии[Щит],A186,Линии[Клемма (итог)],HN186)&gt;1),"дубль клеммы "&amp;HN186,""),IF(AND(HQ186&lt;&gt;"",HQ186&lt;&gt;"ok"),HQ186,""),IF(HR186&lt;&gt;"",HR186,""),IF(AND(N(CB186)&gt;=4,N(BX186)=1),CB186&amp;" жил на 1 фазе",""),IF(AND(BC186="R",CG186=1,IF(CS186&lt;&gt;"",N(CV186)&gt;30,OR(N(DA186)=0,N(DA186)&gt;30))),"розетка без дифзащиты до 30 мА",""),IF(AND(CG186=1,N(DA186)&gt;0,ISNUMBER(T186)),IF(T186&gt;N(DA186)/3,"ток утечки "&amp;FIXED(T186,1)&amp;" мА &gt; 1/3 уставки ("&amp;DA186&amp;" мА)",""),""),IF(AND(CH186=1,CS186=""),"«узо»: нет строки с УЗО выше (УЗО 2P 40А 30мА в «Аппаратах»)",""),IF(AND(CS186&lt;&gt;"",CS186=BA186),IF(CT186="","впишите номинал УЗО (УЗО 2P 40А 30мА)",IF(N(CT186)&lt;N(DT186),"УЗО "&amp;CT186&amp;" А &lt; автомата "&amp;DT186&amp;" А перед ним",IF(N(CT186)&lt;N(CX186),"УЗО "&amp;CT186&amp;" А &lt; тока блока "&amp;FIXED(CX186,1)&amp;" А",""))),""),IF(AND(CS186&lt;&gt;"",CS186=BA186,ISNUMBER(CY186)),IF(CY186&gt;N(CV186)/3,"ток утечки блока УЗО "&amp;FIXED(CY186,1)&amp;" мА &gt; 1/3 уставки ("&amp;CV186&amp;" мА)",""),""),IF(AND(CG186=1,N(BV186)+N(IB186)&gt;0,IC186=""),"линии до 50 В без БП: впишите в «Аппараты» (БП 24V 480W)",""),IF(AND(CG186=1,ISNUMBER(ID186),ISNUMBER(U186)),IF(U186&gt;ID186,"БП "&amp;ID186&amp;" Вт &lt; нужно "&amp;U186&amp;" Вт (×"&amp;Запас_БП&amp;")",""),""),IF(AND(CG186=1,ISNUMBER(IE186),N(BV186)=1),IF(IE186&lt;&gt;N(BU186),"БП на "&amp;IE186&amp;" В, линия "&amp;BU186&amp;" В",""),""),IF(AND(N(IF186)&gt;0,N(IG186)&gt;N(IF186)),HH186&amp;" канал "&amp;HJ186&amp;": "&amp;FIXED(IG186,1)&amp;" А &gt; "&amp;IF186&amp;" А",""),IFERROR(IF(AND(ISNUMBER(Q186),Q186&gt;EL186),"потери "&amp;FIXED(Q186,1)&amp;" % &gt; "&amp;EL186&amp;" %",""),""),IFERROR(IF(LEFT(HU186,4)="мало","Iкз мало — отключение &gt; 0,4 с",""),""),IF(AND(B186&lt;&gt;"",BM186=""),"не на схеме",""),IF(AND(CG186=0,B186&lt;&gt;"",FV186&lt;&gt;"",IF(BA186=1,"",FW185)&lt;&gt;"",FV186&lt;&gt;IF(BA186=1,"",FW185)),"фаза не как у автомата группы ("&amp;IF(BA186=1,"",FW185)&amp;")","")))</f>
        <v/>
      </c>
      <c r="II186" s="6">
        <f>IF(OR(CG186=0,DQ186=""),"",_xlfn.LET(_xlpm.t,IFERROR(_xlfn.XLOOKUP(DQ186,Каталог!$U$4:$U$500,Каталог!$G$4:$G$500),""),_xlpm.k,SEARCH("кА",_xlpm.t),IFERROR(--TRIM(RIGHT(SUBSTITUTE(MID(_xlpm.t,MAX(1,_xlpm.k-4),_xlpm.k-MAX(1,_xlpm.k-4))," ",REPT(" ",9)),5)),"")))</f>
        <v>6</v>
      </c>
      <c r="IJ186" t="str">
        <f>IF(OR(II186="",CG186=0),"",IF(_xlfn.XLOOKUP(A186,Щиты[Щит],Щиты[Iкз max на шинах, кА],"")="","",IF(II186&lt;_xlfn.XLOOKUP(A186,Щиты[Щит],Щиты[Iкз max на шинах, кА]),"Icu "&amp;II186&amp;" кА &lt; Iкз max","ok")))</f>
        <v/>
      </c>
      <c r="IK186" t="str">
        <f t="shared" si="389"/>
        <v/>
      </c>
      <c r="IL186" t="str">
        <f t="shared" si="390"/>
        <v>QFD2|XT2</v>
      </c>
      <c r="IM186" t="str">
        <f t="shared" si="391"/>
        <v>QFD2|XT2|кабель ВВГнг(А)-LS (3х2,5) → Розеточная группа, пом. 002A</v>
      </c>
      <c r="IN186" t="str" cm="1">
        <f t="array" ref="IN186">IF(IM186="","",_xlfn.LET(_xlpm.nd,_xlfn.TEXTSPLIT(IM186,"|"),IF(COLUMNS(_xlpm.nd)&gt;1,A186&amp;"¦"&amp;INDEX(_xlpm.nd,1)&amp;"¦"&amp;INDEX(_xlpm.nd,2),"")))</f>
        <v>ЩР-01¦QFD2¦XT2</v>
      </c>
      <c r="IO186" t="str">
        <f t="shared" si="392"/>
        <v>R.0.002A.2¦Розеточная группа, пом. 002A</v>
      </c>
      <c r="IP186" t="str" cm="1">
        <f t="array" ref="IP186">IF(IM186="","",_xlfn.LET(_xlpm.nd,_xlfn.TEXTSPLIT(IM186,"|"),IF(COLUMNS(_xlpm.nd)&gt;2,A186&amp;"¦"&amp;INDEX(_xlpm.nd,2)&amp;"¦"&amp;INDEX(_xlpm.nd,3),"")))</f>
        <v>ЩР-01¦XT2¦кабель ВВГнг(А)-LS (3х2,5) → Розеточная группа, пом. 002A</v>
      </c>
      <c r="IQ186" t="str">
        <f t="shared" si="393"/>
        <v>R.0.002A.2¦Розеточная группа, пом. 002A</v>
      </c>
      <c r="IR186" t="str" cm="1">
        <f t="array" ref="IR186">IF(IM186="","",_xlfn.LET(_xlpm.nd,_xlfn.TEXTSPLIT(IM186,"|"),IF(COLUMNS(_xlpm.nd)&gt;3,A186&amp;"¦"&amp;INDEX(_xlpm.nd,3)&amp;"¦"&amp;INDEX(_xlpm.nd,4),"")))</f>
        <v/>
      </c>
      <c r="IS186" t="str">
        <f t="shared" si="394"/>
        <v/>
      </c>
      <c r="IT186" t="str" cm="1">
        <f t="array" ref="IT186">IF(IM186="","",_xlfn.LET(_xlpm.nd,_xlfn.TEXTSPLIT(IM186,"|"),IF(COLUMNS(_xlpm.nd)&gt;4,A186&amp;"¦"&amp;INDEX(_xlpm.nd,4)&amp;"¦"&amp;INDEX(_xlpm.nd,5),"")))</f>
        <v/>
      </c>
      <c r="IU186" t="str">
        <f t="shared" si="395"/>
        <v/>
      </c>
      <c r="IV186" t="str" cm="1">
        <f t="array" ref="IV186">IF(IM186="","",_xlfn.LET(_xlpm.nd,_xlfn.TEXTSPLIT(IM186,"|"),IF(COLUMNS(_xlpm.nd)&gt;5,A186&amp;"¦"&amp;INDEX(_xlpm.nd,5)&amp;"¦"&amp;INDEX(_xlpm.nd,6),"")))</f>
        <v/>
      </c>
      <c r="IW186" t="str">
        <f t="shared" si="396"/>
        <v/>
      </c>
      <c r="IX186" t="str" cm="1">
        <f t="array" ref="IX186">IF(IM186="","",_xlfn.LET(_xlpm.nd,_xlfn.TEXTSPLIT(IM186,"|"),IF(COLUMNS(_xlpm.nd)&gt;6,A186&amp;"¦"&amp;INDEX(_xlpm.nd,6)&amp;"¦"&amp;INDEX(_xlpm.nd,7),"")))</f>
        <v/>
      </c>
      <c r="IY186" t="str">
        <f t="shared" si="397"/>
        <v/>
      </c>
      <c r="IZ186" t="str">
        <f t="shared" si="398"/>
        <v/>
      </c>
      <c r="JA186" t="str">
        <f t="shared" si="399"/>
        <v>QFD2 → XT2</v>
      </c>
      <c r="JB186">
        <f t="shared" si="400"/>
        <v>0</v>
      </c>
      <c r="JC186">
        <f t="shared" si="401"/>
        <v>1</v>
      </c>
      <c r="JD186" t="str">
        <f t="shared" si="402"/>
        <v/>
      </c>
      <c r="JE186" t="str">
        <f t="shared" si="403"/>
        <v/>
      </c>
      <c r="JF186" t="str">
        <f t="shared" si="404"/>
        <v/>
      </c>
      <c r="JG186" t="str">
        <f t="shared" si="405"/>
        <v/>
      </c>
      <c r="JH186" t="str">
        <f>IF(B186="","",IFERROR(_xlfn.XLOOKUP(B186,Коды_код,Коды_уго),IFERROR(_xlfn.XLOOKUP(BC186,Коды_код,Коды_уго),IFERROR(_xlfn.XLOOKUP(LEFT(BC186,2),Коды_код,Коды_уго),""))))</f>
        <v>Розетка</v>
      </c>
      <c r="JI186" t="str">
        <f>IF(B186="","",IF(OR(JH186="",JH186=0),"BOX",IFERROR(IF(VLOOKUP(JH186,УГО_блоки,3,FALSE)&amp;""&lt;&gt;"",VLOOKUP(JH186,УГО_блоки,3,FALSE),VLOOKUP(JH186,УГО_блоки,2,FALSE)),JH186)))</f>
        <v>SOCKET</v>
      </c>
      <c r="JJ186">
        <f t="shared" si="406"/>
        <v>1</v>
      </c>
      <c r="JK186" t="str">
        <f>IF(DQ186="","",IF(COUNTIF(DQ$3:DQ186,DQ186)=1,MAX(JK$2:JK185)+1,""))</f>
        <v/>
      </c>
      <c r="JL186" t="str">
        <f>IF(DE186="","",IF(COUNTIF(DE$3:DE186,DE186)+COUNTIF(DF$2:DF185,DE186)+COUNTIF(DG$2:DG185,DE186)=1,MAX(JL$2:JN185)+1,""))</f>
        <v/>
      </c>
      <c r="JM186" t="str">
        <f>IF(DF186="","",IF(COUNTIF(DE$3:DE186,DF186)+COUNTIF(DF$3:DF186,DF186)+COUNTIF(DG$2:DG185,DF186)=1,MAX(JL$2:JN185,JL186)+1,""))</f>
        <v/>
      </c>
      <c r="JN186" t="str">
        <f>IF(DG186="","",IF(COUNTIF(DE$3:DE186,DG186)+COUNTIF(DF$3:DF186,DG186)+COUNTIF(DG$3:DG186,DG186)=1,MAX(JL$2:JN185,JL186,JM186)+1,""))</f>
        <v/>
      </c>
      <c r="JO186" t="str">
        <f t="shared" si="407"/>
        <v>3х2,5</v>
      </c>
      <c r="JP186" t="str">
        <f>IF(JO186="","",IF(COUNTIF(JO$3:JO186,JO186)=1,MAX(JP$2:JP185)+1,""))</f>
        <v/>
      </c>
      <c r="JQ186" t="str">
        <f>IF(HG186="","",COUNTIF(HG$3:HG186,"?*"))</f>
        <v/>
      </c>
      <c r="JR186" t="str">
        <f>IF(OR(HG186="",HI186=""),"",IF(COUNTIFS(HG$3:HG186,"?*",HI$3:HI186,HI186)=1,MAX(JR$2:JR185)+1,""))</f>
        <v/>
      </c>
      <c r="JS186">
        <f t="shared" si="408"/>
        <v>0</v>
      </c>
      <c r="JT186">
        <f>IF(B186="","",COUNTIF(B$3:B186,"?*"))</f>
        <v>184</v>
      </c>
      <c r="JU186">
        <f>IF(HL186&lt;&gt;1,0,_xlfn.LET(_xlpm.k,MAX(IFERROR(--_xlfn.XLOOKUP(B186,Коды_код,Коды_3L),0),IFERROR(--_xlfn.XLOOKUP(BC186,Коды_код,Коды_3L),0),IFERROR(--_xlfn.XLOOKUP(LEFT(BC186,2),Коды_код,Коды_3L),0)),IF(_xlpm.k&gt;0,_xlpm.k,IF(IFERROR(--LEFT(SUBSTITUTE(JO186,"x","х"),FIND("х",SUBSTITUTE(JO186,"x","х"))-1),3)&gt;3,Каталог!$S$9,1))))</f>
        <v>1</v>
      </c>
      <c r="JV186">
        <f t="shared" si="409"/>
        <v>0</v>
      </c>
      <c r="JW186" t="str">
        <f t="shared" si="410"/>
        <v>авто</v>
      </c>
      <c r="JX186">
        <f t="shared" si="411"/>
        <v>30</v>
      </c>
      <c r="JY186">
        <f t="shared" si="412"/>
        <v>1</v>
      </c>
      <c r="JZ186">
        <f t="shared" si="413"/>
        <v>1</v>
      </c>
    </row>
    <row r="187" spans="1:286" x14ac:dyDescent="0.3">
      <c r="A187" t="s">
        <v>755</v>
      </c>
      <c r="B187" t="s">
        <v>1494</v>
      </c>
      <c r="C187" t="str">
        <f>Линии[[#This Row],[_авто наименование]]</f>
        <v>Розеточная группа, пом. 002A</v>
      </c>
      <c r="D187">
        <v>3</v>
      </c>
      <c r="E187">
        <v>0.18</v>
      </c>
      <c r="G187" t="str">
        <f>Линии[[#This Row],[_авто автомат]]</f>
        <v>2P С16А 30мА</v>
      </c>
      <c r="H187" t="str">
        <f>Линии[[#This Row],[_авто управление]]</f>
        <v/>
      </c>
      <c r="I187" t="str">
        <f>Линии[[#This Row],[_авто аппараты]]</f>
        <v/>
      </c>
      <c r="J187">
        <v>2.5</v>
      </c>
      <c r="K187">
        <v>32</v>
      </c>
      <c r="L187">
        <v>2</v>
      </c>
      <c r="M187" t="str">
        <f>Линии[[#This Row],[_авто клемма]]</f>
        <v>XT3</v>
      </c>
      <c r="N187" t="str">
        <f t="shared" si="276"/>
        <v/>
      </c>
      <c r="O187" s="6" cm="1">
        <f t="array" ref="O187">IF(B187="","",IF(BH187&lt;&gt;"",IFERROR(_xlfn.XLOOKUP(BH187,Щиты[Щит],Щиты[Iр, А]),""),IF(BP187=1,IF(OR(N(_xlfn.XLOOKUP(A187,Щиты[Щит],Щиты[Вводов],1))&lt;=1,LOWER(TRIM(_xlfn.XLOOKUP(A187,Щиты[Щит],Щиты[АВР],"")&amp;""))="да"),IFERROR(_xlfn.XLOOKUP(A187,Щиты[Щит],Щиты[Iр, А]),""),IFERROR(N(BS187)*_xlfn.XLOOKUP(A187,Щиты[Щит],Щиты[Кс итог])/(SQRT(3)*Uн_лин*_xlfn.XLOOKUP(A187,Щиты[Щит],Щиты[cos φ])),"")),IF(BV187=1,IFERROR(BS187*1000/BU187,""),IFERROR(_xlfn.IFS(BX187=1,BS187/((Uн_лин/SQRT(3))*CE187),BX187=3,BS187/(SQRT(3)*Uн_лин*CE187)),"")))))</f>
        <v>0.8204451193747313</v>
      </c>
      <c r="P187" s="7">
        <f>IF(B187="","",IFERROR(IF(VLOOKUP(BC187,Потребители_обозначение,4,FALSE)=1,VLOOKUP(BC187,Потребители_обозначение,3,FALSE)*(MAX(1,N(D187))*2-1)+EI187+VLOOKUP(BE187,Этаж_обозначение,3,FALSE)+VLOOKUP(BE187,Этаж_обозначение,4,FALSE),VLOOKUP(BC187,Потребители_обозначение,3,FALSE)*(MAX(1,N(D187))*2-1)+EI187),EI187))</f>
        <v>47</v>
      </c>
      <c r="Q187" s="6">
        <f t="shared" si="277"/>
        <v>0.72</v>
      </c>
      <c r="R187" t="str">
        <f t="shared" si="278"/>
        <v>ВВГнг(А)-LS (3х2,5)</v>
      </c>
      <c r="S187" t="str">
        <f>IF(BM187="","",IF(BN187="вводной узел","узел ","")&amp;"л."&amp;(INT((BM187-1)/Столбцов_на_лист)+1)&amp;" / "&amp;(MOD(BM187-1,Столбцов_на_лист)+1))</f>
        <v>л.1 / 11</v>
      </c>
      <c r="T187" s="119">
        <f t="shared" si="279"/>
        <v>0.8</v>
      </c>
      <c r="U187" s="7" t="str">
        <f>IF(OR(CG187=0,N(BV187)+N(IB187)=0),"",ROUNDUP(Запас_БП*(N(HY187)+N(HZ187)),0))</f>
        <v/>
      </c>
      <c r="V187" s="119" t="str">
        <f t="shared" si="280"/>
        <v/>
      </c>
      <c r="W187" s="7" t="str">
        <f>IFERROR(IF(OR(B187="",BP187=1,BV187=1,NOT(ISNUMBER(EN187)),N(DT187)=0),"",MAX(0,ROUNDDOWN((c_min*(Uн_лин*1000/SQRT(3))/(HT187*N(DT187))-_xlfn.XLOOKUP(A187,Щиты[Щит],Щиты[Zпетли на шинах, Ом]))*EN187/(2*ρкз_Cu),0))),"")</f>
        <v/>
      </c>
      <c r="Y187">
        <f>Линии[[#This Row],[_авто утечка]]</f>
        <v>30</v>
      </c>
      <c r="Z187">
        <v>1</v>
      </c>
      <c r="AA187">
        <v>230</v>
      </c>
      <c r="AB187" t="s">
        <v>562</v>
      </c>
      <c r="AG187" t="s">
        <v>810</v>
      </c>
      <c r="AI187" t="s">
        <v>561</v>
      </c>
      <c r="AK187" t="str">
        <f>Линии[[#This Row],[_авто модуль]]</f>
        <v/>
      </c>
      <c r="AM187">
        <v>11</v>
      </c>
      <c r="AN187" t="s">
        <v>11</v>
      </c>
      <c r="AO187">
        <v>3</v>
      </c>
      <c r="AQ187">
        <v>17</v>
      </c>
      <c r="AR187">
        <v>30</v>
      </c>
      <c r="AS187">
        <v>0</v>
      </c>
      <c r="BA187" cm="1">
        <f t="array" ref="BA187">ROW()-ROW(Линии[#Headers])</f>
        <v>185</v>
      </c>
      <c r="BC187" s="6" t="str">
        <f t="shared" si="281"/>
        <v>R</v>
      </c>
      <c r="BD187" t="str">
        <f t="shared" si="282"/>
        <v>0.002A.3</v>
      </c>
      <c r="BE187" t="str">
        <f t="shared" si="283"/>
        <v>0</v>
      </c>
      <c r="BF187" t="str">
        <f t="shared" si="284"/>
        <v>002A.3</v>
      </c>
      <c r="BG187" t="str">
        <f t="shared" si="285"/>
        <v>002A</v>
      </c>
      <c r="BH187" t="str">
        <f>IF(X187&lt;&gt;"",X187,IF(AND(B187&lt;&gt;"",B187&lt;&gt;A187,ISNUMBER(_xlfn.XMATCH(B187,Щиты[Щит]))),B187,""))</f>
        <v/>
      </c>
      <c r="BI187" t="str" cm="1">
        <f t="array" ref="BI187">IF(B187="","",IF(BH187&lt;&gt;"","Щит "&amp;BH187,_xlfn.LET(_xlpm.nm,IFERROR(_xlfn.XLOOKUP(BC187,Коды_код,Коды_имя)&amp;"",""),_xlpm.md,IFERROR(N(_xlfn.XLOOKUP(BC187,Коды_код,Коды_режим)),1),_xlpm.ex,IF(Имя_режим="по экспликации",IFERROR(_xlfn.XLOOKUP(BE187&amp;"|"&amp;BG187,Экспликация[Этаж]&amp;"|"&amp;Экспликация[Помещение],Экспликация[Название])&amp;"",""),""),_xlpm.rm,IF(BG187="","",IF(_xlpm.ex&lt;&gt;"",". "&amp;_xlpm.ex&amp;IF(Имя_пом="нет"," ("&amp;BG187&amp;")"," (пом. "&amp;BG187&amp;")"),IF(Имя_пом="нет"," ",", пом. ")&amp;BG187)),IF(_xlpm.nm="","",IF(_xlpm.md=2,_xlpm.nm&amp;" шлейф "&amp;BE187,_xlpm.nm&amp;_xlpm.rm)))))</f>
        <v>Розеточная группа, пом. 002A</v>
      </c>
      <c r="BJ187" t="str">
        <f t="shared" si="286"/>
        <v>Розеточная группа, пом. 002A</v>
      </c>
      <c r="BK187">
        <f>IFERROR(_xlfn.XMATCH(A187,Щиты[Щит]),0)</f>
        <v>9</v>
      </c>
      <c r="BL187">
        <f>_xlfn.LET(_xlpm.k,IFERROR(_xlfn.XLOOKUP(A187,Щиты[Щит],Щиты[Мест под вводной узел]),""),IF(_xlpm.k="",Столбцов_на_лист,N(_xlpm.k)))</f>
        <v>8</v>
      </c>
      <c r="BM187">
        <f t="shared" si="287"/>
        <v>11</v>
      </c>
      <c r="BN187" t="str">
        <f t="shared" si="288"/>
        <v>линии</v>
      </c>
      <c r="BO187" s="6">
        <f>IFERROR(N(_xlfn.XLOOKUP(BC187,Коды_код,Коды_квт)),0)</f>
        <v>0</v>
      </c>
      <c r="BP187">
        <f t="shared" si="289"/>
        <v>0</v>
      </c>
      <c r="BQ187" t="str">
        <f>IF(B187="","",IF(BH187&lt;&gt;"",IFERROR(_xlfn.XLOOKUP(BH187,Щиты[Щит],Щиты[Руст, кВт]),0),IF(BP187=1,IF(OR(N(_xlfn.XLOOKUP(A187,Щиты[Щит],Щиты[Вводов],1))&lt;=1,LOWER(TRIM(_xlfn.XLOOKUP(A187,Щиты[Щит],Щиты[АВР],"")&amp;""))="да"),IFERROR(_xlfn.XLOOKUP(A187,Щиты[Щит],Щиты[Руст, кВт]),0),SUMIFS(Линии[_Р для вводов],Линии[Щит],A187,Линии[Источник для режимов],GF187)),IF(BO187&gt;0,ROUND(BO187*MAX(1,N(D187)),3),""))))</f>
        <v/>
      </c>
      <c r="BR187">
        <f t="shared" si="290"/>
        <v>0.18</v>
      </c>
      <c r="BS187" s="6">
        <f>IF(B187="","",IF(BH187&lt;&gt;"",IFERROR(_xlfn.XLOOKUP(BH187,Щиты[Щит],Щиты[Руст, кВт]),0),N(BR187)))</f>
        <v>0.18</v>
      </c>
      <c r="BT187" t="str">
        <f>IF(B187="","",IFERROR(IF(VLOOKUP(BC187,Потребители_обозначение,8,FALSE)=0,"",VLOOKUP(BC187,Потребители_обозначение,8,FALSE)),""))</f>
        <v/>
      </c>
      <c r="BU187">
        <f t="shared" si="291"/>
        <v>230</v>
      </c>
      <c r="BV187">
        <f t="shared" si="292"/>
        <v>0</v>
      </c>
      <c r="BW187">
        <f>IF(B187="","",IF(BH187&lt;&gt;"",3,IFERROR(IF(N(VLOOKUP(BC187,Потребители_обозначение,9,FALSE))=0,1,VLOOKUP(BC187,Потребители_обозначение,9,FALSE)),1)))</f>
        <v>1</v>
      </c>
      <c r="BX187">
        <f t="shared" si="293"/>
        <v>1</v>
      </c>
      <c r="BY187" t="str">
        <f>IF(B187="","",_xlfn.LET(_xlpm.bc,IFERROR(IF(VLOOKUP(BC187,Потребители_обозначение,6,FALSE)=0,"",VLOOKUP(BC187,Потребители_обозначение,6,FALSE)&amp;""),""),IF(AND(GA187="да",OR(_xlpm.bc="",_xlpm.bc="мс")),Марка_пож,IF(AND(_xlpm.bc="",BH187&lt;&gt;""),"мс",_xlpm.bc))))</f>
        <v/>
      </c>
      <c r="BZ187" t="str">
        <f t="shared" si="294"/>
        <v>мс</v>
      </c>
      <c r="CA187">
        <f>IF(B187="","",_xlfn.LET(_xlpm.cc,IFERROR(N(VLOOKUP(BC187,Потребители_обозначение,7,FALSE)),0),IF(_xlpm.cc&gt;0,_xlpm.cc,IF(BZ187="","",IF(BV187=1,2,IF(N(BX187)=3,5,3))))))</f>
        <v>3</v>
      </c>
      <c r="CB187">
        <f t="shared" si="295"/>
        <v>3</v>
      </c>
      <c r="CC187">
        <f>IFERROR(N(VLOOKUP(BC187,Потребители_обозначение,10,FALSE)),0)</f>
        <v>0</v>
      </c>
      <c r="CD187">
        <f>IFERROR(VLOOKUP(BC187,Потребители_обозначение,5,FALSE),0)</f>
        <v>1</v>
      </c>
      <c r="CE187" s="6" cm="1">
        <f t="array" ref="CE187">IF(B187="","",IF(BH187&lt;&gt;"",IFERROR(_xlfn.XLOOKUP(BH187,Щиты[Щит],Щиты[cos φ]),0.95),IF(BP187=1,IFERROR(_xlfn.XLOOKUP(A187,Щиты[Щит],Щиты[cos φ]),0.95),IF(ISNUMBER(AD187),AD187,IFERROR(IF(CD187=2,_xlfn.IFS(BX187=3,VLOOKUP(BS187,Справочная_двигатели,8,FALSE),BX187=1,VLOOKUP(BS187,Справочная_двигатели,10,TRUE)),IF(AND(Методика="нормы 2026",FG187="Сил"),0.8,0.95)),0.95)))))</f>
        <v>0.95</v>
      </c>
      <c r="CF187">
        <f t="shared" si="296"/>
        <v>0</v>
      </c>
      <c r="CG187">
        <f t="shared" si="297"/>
        <v>1</v>
      </c>
      <c r="CH187">
        <f t="shared" si="298"/>
        <v>0</v>
      </c>
      <c r="CI187">
        <f>IF(B187="","",IF(BV187=1,IFERROR(BS187/((Uн_лин/SQRT(3))*MAX(0.5,N(CE187))),0),N(O187)))</f>
        <v>0.8204451193747313</v>
      </c>
      <c r="CJ187">
        <f t="shared" si="299"/>
        <v>0</v>
      </c>
      <c r="CK187">
        <f t="shared" si="300"/>
        <v>0</v>
      </c>
      <c r="CL187">
        <f t="shared" si="301"/>
        <v>0</v>
      </c>
      <c r="CM187">
        <f t="shared" si="302"/>
        <v>0</v>
      </c>
      <c r="CN187">
        <f t="shared" si="303"/>
        <v>0</v>
      </c>
      <c r="CO187">
        <f>IF(BC187="",0,_xlfn.LET(_xlpm.v,IFERROR(_xlfn.XLOOKUP(B187,Коды_код,Коды_мА),IFERROR(_xlfn.XLOOKUP(BC187,Коды_код,Коды_мА),IFERROR(_xlfn.XLOOKUP(LEFT(BC187,2),Коды_код,Коды_мА),""))),IF(_xlpm.v="да",30,IF(ISNUMBER(_xlpm.v),_xlpm.v,0))))</f>
        <v>30</v>
      </c>
      <c r="CP187">
        <f t="shared" si="304"/>
        <v>30</v>
      </c>
      <c r="CQ187" t="str">
        <f>_xlfn.LET(_xlpm.k,IFERROR(_xlfn.XLOOKUP(BC187,Коды_код,Коды_утечка)&amp;"",""),IF(_xlpm.k="","дифавтомат",_xlpm.k))</f>
        <v>дифавтомат</v>
      </c>
      <c r="CR187" t="str" cm="1">
        <f t="array" ref="CR187">IF(CG187=0,"",_xlfn.LET(_xlpm.sg,TRIM(_xlfn.TEXTSPLIT(DD187&amp;"",";")),_xlpm.f_,_xlfn._xlws.FILTER(_xlpm.sg,LEFT(_xlpm.sg,3)="УЗО",""),IFERROR(INDEX(_xlpm.f_,1)&amp;"","")))</f>
        <v/>
      </c>
      <c r="CS187" t="str">
        <f t="shared" si="305"/>
        <v/>
      </c>
      <c r="CT187" s="6" t="str" cm="1">
        <f t="array" ref="CT187">IF(CR187="","",_xlfn.LET(_xlpm.tk,_xlfn.TEXTSPLIT(UPPER(CR187)," ",,TRUE),_xlpm.a_,_xlfn._xlws.FILTER(_xlpm.tk,ISNUMBER(--LEFT(_xlpm.tk,1))*((ISNUMBER(SEARCH("А",_xlpm.tk))+ISNUMBER(SEARCH("A",_xlpm.tk)))&gt;0)*NOT(ISNUMBER(SEARCH("МА",_xlpm.tk)))*NOT(ISNUMBER(SEARCH("MA",_xlpm.tk))),""),IFERROR(--SUBSTITUTE(SUBSTITUTE(INDEX(_xlpm.a_,1),"А",""),"A",""),"")))</f>
        <v/>
      </c>
      <c r="CU187" t="str" cm="1">
        <f t="array" ref="CU187">IF(CR187="","",_xlfn.LET(_xlpm.tk,_xlfn.TEXTSPLIT(UPPER(CR187)," ",,TRUE),_xlpm.a_,_xlfn._xlws.FILTER(_xlpm.tk,ISNUMBER(--LEFT(_xlpm.tk,1))*((ISNUMBER(SEARCH("МА",_xlpm.tk))+ISNUMBER(SEARCH("MA",_xlpm.tk)))&gt;0),""),IFERROR(--SUBSTITUTE(SUBSTITUTE(INDEX(_xlpm.a_,1),"МА",""),"MA",""),30)))</f>
        <v/>
      </c>
      <c r="CV187" t="str">
        <f>IF(CS187="","",IFERROR(_xlfn.XLOOKUP(CS187,Линии[_n],Линии[_УЗО, мА]),30))</f>
        <v/>
      </c>
      <c r="CW187">
        <f>IF(CS187="",0,IF(ISNUMBER(SEARCH("4P",IFERROR(_xlfn.XLOOKUP(CS187,Линии[_n],Линии[_УЗО строки])&amp;"",""))),0,1))</f>
        <v>0</v>
      </c>
      <c r="CX187" t="str">
        <f>IF(AND(CS187&lt;&gt;"",CS187=BA187),SUMIFS(Линии[_ток на 230 В],Линии[_блок УЗО],BA187,Линии[Щит],A187),"")</f>
        <v/>
      </c>
      <c r="CY187" t="str">
        <f>IF(AND(CS187&lt;&gt;"",CS187=BA187),SUMIFS(Линии[_ток утечки линии, мА],Линии[_блок УЗО],BA187,Линии[Щит],A187),"")</f>
        <v/>
      </c>
      <c r="CZ187">
        <f t="shared" si="306"/>
        <v>30</v>
      </c>
      <c r="DA187">
        <f t="shared" si="307"/>
        <v>30</v>
      </c>
      <c r="DB187">
        <f>IF(B187="",0,IFERROR(--_xlfn.XLOOKUP(B187,Коды_код,Коды_минавт),IFERROR(--_xlfn.XLOOKUP(BC187,Коды_код,Коды_минавт),IFERROR(--_xlfn.XLOOKUP(LEFT(BC187,2),Коды_код,Коды_минавт),0))))</f>
        <v>16</v>
      </c>
      <c r="DC187" t="str">
        <f>IF(B187="","",IFERROR(_xlfn.XLOOKUP(BC187,Коды_код,Коды_апп)&amp;"",""))</f>
        <v/>
      </c>
      <c r="DD187" t="str">
        <f t="shared" si="308"/>
        <v/>
      </c>
      <c r="DE187" t="str" cm="1">
        <f t="array" ref="DE187">IF(TRIM(DD187&amp;"")="","",IFERROR(TRIM(INDEX(_xlfn.TEXTSPLIT(DD187&amp;";;;",";"),1)),""))</f>
        <v/>
      </c>
      <c r="DF187" t="str" cm="1">
        <f t="array" ref="DF187">IF(TRIM(DD187&amp;"")="","",IFERROR(TRIM(INDEX(_xlfn.TEXTSPLIT(DD187&amp;";;;",";"),2)),""))</f>
        <v/>
      </c>
      <c r="DG187" t="str" cm="1">
        <f t="array" ref="DG187">IF(TRIM(DD187&amp;"")="","",IFERROR(TRIM(INDEX(_xlfn.TEXTSPLIT(DD187&amp;";;;",";"),3)),""))</f>
        <v/>
      </c>
      <c r="DH187">
        <f t="shared" si="309"/>
        <v>0</v>
      </c>
      <c r="DI187" t="str">
        <f>IF(B187="","",_xlfn.LET(_xlpm.t,LOWER(AZ187&amp;""),IF(ISNUMBER(SEARCH("dim",_xlpm.t)),"DIM",IF(ISNUMBER(SEARCH("dali",_xlpm.t)),"DALI",IF(OR(ISNUMBER(SEARCH("relay",_xlpm.t)),ISNUMBER(SEARCH("реле",_xlpm.t))),"Relay",IF(ISNUMBER(SEARCH("кнопк",_xlpm.t)),"",IFERROR(_xlfn.XLOOKUP(BC187,Коды_код,Коды_упр)&amp;"","")))))))</f>
        <v/>
      </c>
      <c r="DJ187" t="str">
        <f t="shared" si="310"/>
        <v/>
      </c>
      <c r="DK187">
        <f>IF(B187="","",_xlfn.LET(_xlpm.ig,IF(N(CX187)&gt;0,N(CX187),N(CI187)+IF(AJ187="вручную",0,N(CJ187))),_xlpm.n0,IFERROR(VLOOKUP(_xlpm.ig,Автомат_номиналы,2,TRUE),0),_xlpm.mn,MAX(DB187,IF(AJ187="вручную",0,N(CM187))),MAX(_xlpm.n0,_xlpm.mn,IF(DH187=1,Мин_автомат_БП,0))))</f>
        <v>16</v>
      </c>
      <c r="DL187">
        <f t="shared" si="311"/>
        <v>1</v>
      </c>
      <c r="DM187" t="str">
        <f t="shared" si="312"/>
        <v>2P</v>
      </c>
      <c r="DN187" t="str">
        <f>_xlfn.LET(_xlpm.cc,UPPER(TRIM(IFERROR(_xlfn.XLOOKUP(BC187,Коды_код,Коды_хар)&amp;"",""))),IF(OR(_xlpm.cc="B",_xlpm.cc="В"),"B",IF(_xlpm.cc="D","D","С")))</f>
        <v>С</v>
      </c>
      <c r="DO187" t="str">
        <f t="shared" si="313"/>
        <v>2P С16А 30мА</v>
      </c>
      <c r="DP187" t="str">
        <f t="shared" si="314"/>
        <v>2P С16А 30мА</v>
      </c>
      <c r="DQ187" t="str">
        <f t="shared" si="315"/>
        <v>2P С16А 30мА</v>
      </c>
      <c r="DR187" cm="1">
        <f t="array" ref="DR187">IF(DQ187="","",_xlfn.LET(_xlpm.t,SUBSTITUTE(SUBSTITUTE(SUBSTITUTE(UPPER(DQ187),"С","C"),"А","A"),"В","B"),_xlpm.tk,_xlfn.TEXTSPLIT(_xlpm.t," "),_xlpm.f,_xlfn._xlws.FILTER(_xlpm.tk,ISNUMBER(--MID(_xlpm.tk,2,1))*ISNUMBER(SEARCH(LEFT(_xlpm.tk,1)&amp;"#","B#C#D#"))*(LEN(_xlpm.tk)&gt;1),""),_xlpm.x,INDEX(_xlpm.f,1),IFERROR(--SUBSTITUTE(MID(_xlpm.x,2,9),"A",""),IFERROR(--SUBSTITUTE(INDEX(_xlfn._xlws.FILTER(_xlpm.tk,ISNUMBER(--SUBSTITUTE(_xlpm.tk,"A","")),""),1),"A",""),""))))</f>
        <v>16</v>
      </c>
      <c r="DS187" t="str">
        <f t="shared" si="316"/>
        <v>ok</v>
      </c>
      <c r="DT187">
        <f t="shared" si="317"/>
        <v>16</v>
      </c>
      <c r="DU187" t="str">
        <f t="shared" si="318"/>
        <v>2P С16А 30мА</v>
      </c>
      <c r="DV187">
        <f t="shared" si="319"/>
        <v>30</v>
      </c>
      <c r="DW187">
        <f t="shared" si="320"/>
        <v>1</v>
      </c>
      <c r="DX187">
        <f t="shared" si="321"/>
        <v>0</v>
      </c>
      <c r="DY187">
        <f t="shared" si="322"/>
        <v>0.8204451193747313</v>
      </c>
      <c r="DZ187">
        <f t="shared" si="323"/>
        <v>1</v>
      </c>
      <c r="EA187">
        <f>IF(ISNUMBER(AP187),AP187,К_прокл)</f>
        <v>1</v>
      </c>
      <c r="EB187">
        <f t="shared" si="324"/>
        <v>2</v>
      </c>
      <c r="EC187">
        <f>IFERROR(N(VLOOKUP(BZ187,Кабель_обозначение,3,FALSE)),1)</f>
        <v>1</v>
      </c>
      <c r="ED187">
        <f>IFERROR(N(_xlfn.XLOOKUP(A187,Щиты[Щит],Щиты[ΔU до шин, %])),0)</f>
        <v>0.43</v>
      </c>
      <c r="EE187" t="str">
        <f>IFERROR(_xlfn.XLOOKUP(A187,Щиты[Щит],Щиты[Zпетли на шинах, Ом]),"")</f>
        <v/>
      </c>
      <c r="EF187">
        <f>IFERROR(N(_xlfn.XLOOKUP(A187,Щиты[Щит],Щиты[ΔU до шин (подбор), %])),0)</f>
        <v>0.43</v>
      </c>
      <c r="EG187" t="str">
        <f>IFERROR(_xlfn.XLOOKUP(A187,Щиты[Щит],Щиты[Zпетли на шинах (подбор), Ом]),"")</f>
        <v/>
      </c>
      <c r="EH187" t="str">
        <f t="shared" si="325"/>
        <v/>
      </c>
      <c r="EI187">
        <f t="shared" si="326"/>
        <v>32</v>
      </c>
      <c r="EJ187">
        <f t="shared" si="327"/>
        <v>2</v>
      </c>
      <c r="EK187">
        <f t="shared" si="328"/>
        <v>0.31</v>
      </c>
      <c r="EL187" s="6">
        <f>IF(B187="","",IF(BV187=1,dU_LED,IF(IFERROR(_xlfn.XLOOKUP(BC187,Коды_код,Коды_уго),"")="Светильник",3,4)+IF(Методика="нормы 2026",MIN(0.5,MAX(0,N(P187)-100)*0.005),0)))</f>
        <v>4</v>
      </c>
      <c r="EM187" cm="1">
        <f t="array" ref="EM187">IF(OR(B187="",BZ187="",EC187&lt;&gt;1),"",_xlfn.LET(_xlpm.sz,Iдоп_S,_xlpm.t_,CHOOSE(EB187,Iдоп_1ж,Iдоп_2ж,Iдоп_3ж)*DZ187*EA187,_xlpm.dcx,BV187=1,_xlpm.inn,IF(_xlpm.dcx,N(O187),N(DT187)),_xlpm.smin,MAX(1.5,CC187),_xlpm.L_,N(P187)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187)/N(BU187)*100,999),IFERROR(N(EJ187)*(_xlpm.rho*_xlpm.L_/_xlpm.sz*N(CE187)+_xlpm.xx*_xlpm.L_*N(EK187)/1000)*N(O187)/((Uн_лин/SQRT(3))*1000)*100,999)),_xlpm.kz,IF(OR(_xlpm.dcx,DW187=1,NOT(ISNUMBER(EG187)),_xlpm.L_=0,_xlpm.inn=0),1,IFERROR(--(c_min*(Uн_лин*1000/SQRT(3))/(EG187+2*ρкз_Cu*_xlpm.L_/_xlpm.sz)&gt;=HT187*_xlpm.inn),0)),_xlpm.ok,IFERROR((_xlpm.sz&gt;=_xlpm.smin)*(_xlpm.t_&gt;=_xlpm.inn)*IF(_xlpm.L_&gt;0,(_xlpm.du_+IF(_xlpm.dcx,0,EF187)&lt;=EL187+0.00001),1)*_xlpm.kz,0),_xlpm.r_,_xlfn._xlws.FILTER(_xlpm.sz,_xlpm.ok,"не подобрано"),INDEX(_xlpm.r_,1)))</f>
        <v>1.5</v>
      </c>
      <c r="EN187">
        <f t="shared" si="329"/>
        <v>2.5</v>
      </c>
      <c r="EO187" cm="1">
        <f t="array" ref="EO187">IF(OR(B187="",BZ187="",EC187&lt;&gt;1),"",_xlfn.LET(_xlpm.sz,Iдоп_S,_xlpm.t_,CHOOSE(EB187,Iдоп_1ж,Iдоп_2ж,Iдоп_3ж)*DZ187*EA187,_xlpm.ok,IFERROR((_xlpm.sz&gt;=MAX(1.5,CC187))*(_xlpm.t_&gt;=N(DT187)),0),_xlpm.r_,_xlfn._xlws.FILTER(_xlpm.sz,_xlpm.ok,""),INDEX(_xlpm.r_,1)))</f>
        <v>1.5</v>
      </c>
      <c r="EP187" s="6" cm="1">
        <f t="array" ref="EP187">IFERROR(ROUNDUP(N(EJ187)*(_xlfn.XLOOKUP(EO187,INDEX(Кабель_сопротивление,0,1),INDEX(Кабель_сопротивление,0,3))*N(P187)/EO187*N(CE187)+_xlfn.XLOOKUP(EO187,INDEX(Кабель_сопротивление,0,1),INDEX(Кабель_сопротивление,0,2))*N(P187)*N(EK187)/1000)*N(O187)/((Uн_лин/SQRT(3))*1000)*100,2),"")</f>
        <v>0.48</v>
      </c>
      <c r="EQ187">
        <f>IFERROR(2*ρкз_Cu*N(P187)/EO187,"")</f>
        <v>1.6481333333333332</v>
      </c>
      <c r="ER187">
        <f>IFERROR(VLOOKUP(EN187,Кабель_сопротивление,3,FALSE),"")</f>
        <v>2.2499999999999999E-2</v>
      </c>
      <c r="ES187">
        <f>IFERROR(VLOOKUP(EN187,Кабель_сопротивление,2,FALSE),"")</f>
        <v>0.1</v>
      </c>
      <c r="ET187">
        <f t="shared" si="330"/>
        <v>30</v>
      </c>
      <c r="EU187">
        <f t="shared" si="331"/>
        <v>0</v>
      </c>
      <c r="EV187">
        <f t="shared" si="332"/>
        <v>0.66178251951932943</v>
      </c>
      <c r="EW187" s="6">
        <f>IFERROR(ROUNDUP(EV187/IF(BV187=1,BU187,(Uн_лин/SQRT(3))*1000)*100,2),"")</f>
        <v>0.29000000000000004</v>
      </c>
      <c r="EX187" t="str">
        <f>IFERROR(VLOOKUP(BZ187,Кабель_обозначение,2,FALSE),"")</f>
        <v>ВВГнг(А)-LS</v>
      </c>
      <c r="EY187" t="str">
        <f t="shared" si="333"/>
        <v>ВВГнг(А)-LS (3х2,5)</v>
      </c>
      <c r="EZ187" t="str">
        <f t="shared" si="334"/>
        <v>ВВГнг(А)-LS (3х2,5)
L=47-0,29%</v>
      </c>
      <c r="FA187">
        <f>IFERROR(2*ρкз_Cu*P187/EN187,"")</f>
        <v>0.98887999999999998</v>
      </c>
      <c r="FB187">
        <f t="shared" si="335"/>
        <v>0.32900000000000007</v>
      </c>
      <c r="FC187" s="6" t="str">
        <f>IFERROR(IF(OR(B187="",BV187=1,NOT(ISNUMBER(EN187)),N(P187)=0),"",_xlfn.XLOOKUP(A187,Щиты[Щит],Щиты[Zпетли на шинах, Ом])+FA187),"")</f>
        <v/>
      </c>
      <c r="FD187" s="6" t="str">
        <f>IF(ISNUMBER(FC187),c_min*(Uн_лин*1000/SQRT(3))/FC187,"")</f>
        <v/>
      </c>
      <c r="FE187" s="6" t="str">
        <f>IFERROR(IF(OR(B187="",NOT(ISNUMBER(EN187))),"",1.05*(Uн_лин*1000/SQRT(3))/(_xlfn.XLOOKUP(A187,Щиты[Щит],Щиты[Zmax на шинах, Ом])+FB187)/1000),"")</f>
        <v/>
      </c>
      <c r="FF187" s="6" t="str">
        <f>IF(B187="","",IF(ISNUMBER(AC187),"Сил",IF(IFERROR(_xlfn.XLOOKUP(BC187,Коды_код,Коды_группа)&amp;"","")="","Быт",_xlfn.XLOOKUP(BC187,Коды_код,Коды_группа)&amp;"")))</f>
        <v>Быт</v>
      </c>
      <c r="FG187" s="6" t="str">
        <f t="shared" si="336"/>
        <v>Быт</v>
      </c>
      <c r="FH187" s="6">
        <f>IF(FG187="Щит","щит",IF(FG187="","",IF(FG187="Быт",IFERROR(_xlfn.XLOOKUP(A187,Щиты[Щит],Щиты[Кс быт]),1),IF(FG187="Сил",IF(ISNUMBER(AC187),AC187,IF(Методика="нормы 2026",IFERROR(_xlfn.XLOOKUP(A187,Щиты[Щит],Щиты[Кс силовых (табл. 7.5)]),1),1)),IF(OR(FG187="Пост",FG187="Отоп"),1,IF(FG187="ВНГ",0.7,0))))))</f>
        <v>0.79799999999999993</v>
      </c>
      <c r="FI187">
        <f>IF(FG187="","",IF(AND(BP187=1,TRIM(AE187&amp;"")=""),IF(COUNTIFS(Линии[Щит],A187,Линии[Секция (1/2/3)],"&gt;=2")&gt;0,MIN(3,MAX(1,IFERROR(--BD187,1))),1),IFERROR(MIN(3,MAX(1,INT(--AE187))),1)))</f>
        <v>1</v>
      </c>
      <c r="FJ187">
        <f t="shared" si="337"/>
        <v>0.18</v>
      </c>
      <c r="FK187">
        <f t="shared" si="338"/>
        <v>0.18</v>
      </c>
      <c r="FL187">
        <f t="shared" si="339"/>
        <v>0</v>
      </c>
      <c r="FM187">
        <f t="shared" si="340"/>
        <v>0</v>
      </c>
      <c r="FN187">
        <f t="shared" si="341"/>
        <v>0</v>
      </c>
      <c r="FO187">
        <f t="shared" si="342"/>
        <v>0</v>
      </c>
      <c r="FP187">
        <f t="shared" si="343"/>
        <v>0.18</v>
      </c>
      <c r="FQ187">
        <f t="shared" si="344"/>
        <v>0.18</v>
      </c>
      <c r="FR187">
        <f t="shared" si="345"/>
        <v>0.17099999999999999</v>
      </c>
      <c r="FS187">
        <f>IF(CG187=1,IF(AND(CH187=1,CW187=1),0,IF(AND(CS187&lt;&gt;"",CS187=BA187,CW187=1),SUMIFS(Линии[_Р линии, кВт],Линии[_блок УЗО],BA187,Линии[Щит],A187),N(BS187)+IF(AJ187="вручную",0,N(CK187)))),0)</f>
        <v>0.18</v>
      </c>
      <c r="FT187" t="str">
        <f t="shared" si="346"/>
        <v>L2</v>
      </c>
      <c r="FU187" t="str">
        <f>IF(B187="","",IF(CG187=0,IF(BA187=1,"",FW186),IF(AND(CH187=1,CW187=1,CS187&lt;&gt;""),IFERROR(_xlfn.XLOOKUP(CS187,Линии[_n],Линии[_фаза итог]),"L1"),IF(OR(N(DL187)&gt;=3,N(BX187)&gt;=3),"L1,L2,L3",IFERROR(_xlfn.TEXTBEFORE(_xlfn.TEXTAFTER(_xlfn.XLOOKUP(A187,Щиты[Щит],Щиты[_фазы авто]),";"&amp;BA187&amp;":"),";"),"L1")))))</f>
        <v>L1</v>
      </c>
      <c r="FV187" t="str">
        <f t="shared" si="347"/>
        <v>L2</v>
      </c>
      <c r="FW187" t="str">
        <f t="shared" si="348"/>
        <v>L2</v>
      </c>
      <c r="FX187" cm="1">
        <f t="array" ref="FX187">IFERROR(IF(CD187=2,_xlfn.IFS(BX187=3,VLOOKUP(BS187,Справочная_двигатели,3,FALSE),BX187=1,VLOOKUP(BS187,Справочная_двигатели,5,TRUE)),0),0)</f>
        <v>0</v>
      </c>
      <c r="FY187">
        <f>IFERROR(IF(CD187=3,VLOOKUP(BS187,Справочная_ЛЭД,2,TRUE),0),0)</f>
        <v>0</v>
      </c>
      <c r="FZ187" s="6">
        <f t="shared" si="349"/>
        <v>0</v>
      </c>
      <c r="GA187" t="str">
        <f>IF(B187="","",IF(TRIM(AH187&amp;"")&lt;&gt;"",IF(LOWER(TRIM(AH187&amp;""))="да","да","нет"),IF(IFERROR(_xlfn.XLOOKUP(BC187,Коды_код,Коды_пожарная),"")="да","да","нет")))</f>
        <v>нет</v>
      </c>
      <c r="GB187" t="str">
        <f t="shared" si="350"/>
        <v/>
      </c>
      <c r="GC187" t="str">
        <f t="shared" si="351"/>
        <v>основная</v>
      </c>
      <c r="GD187">
        <f>IF(AND(BP187=1,TRIM(AE187&amp;"")=""),IF(COUNTIFS(Линии[Щит],A187,Линии[Секция (1/2/3)],"&gt;=2")&gt;0,MIN(3,MAX(1,IFERROR(--BD187,1))),1),IFERROR(MIN(3,MAX(1,INT(--AE187))),1))</f>
        <v>1</v>
      </c>
      <c r="GE187" t="str" cm="1">
        <f t="array" ref="GE187">IF(B187="","",_xlfn.LET(_xlpm.t,IFERROR(_xlfn.XLOOKUP(1,(Шины[Шина]=GC187)*(((Шины[Щит]=A187)+(Шины[Щит]=""))&gt;0),Шины[Тип]),"")&amp;"",IF(_xlpm.t&lt;&gt;"",_xlpm.t,IF(ISNUMBER(SEARCH("ИБП",GC187)),"ИБП",IF(ISNUMBER(SEARCH("ДГУ",GC187)),"ДГУ","Ввод "&amp;GD187)))))</f>
        <v>Ввод 1</v>
      </c>
      <c r="GF187" t="str">
        <f t="shared" si="352"/>
        <v>Ввод 1</v>
      </c>
      <c r="GG187" t="str">
        <f>IF(BP187=0,"",IF(TRIM(AG187&amp;"")&lt;&gt;"",TRIM(AG187&amp;""),IF(OR(GE187="ИБП",GE187="ДГУ"),"I особая",_xlfn.XLOOKUP(A187,Щиты[Щит],Щиты[Категория шины «Ввод»],"III"))))</f>
        <v/>
      </c>
      <c r="GH187" t="str">
        <f>IF(A187="","",_xlfn.XLOOKUP(A187,Щиты[Щит],Щиты[Путь],""))</f>
        <v>|ГРЩ-ЖД|ЩР-01|</v>
      </c>
      <c r="GI187" t="str">
        <f>IF(B187="","",IF(AI187&lt;&gt;"",AI187,IF(IFERROR(_xlfn.XLOOKUP(BC187,Коды_код,Коды_вид)&amp;"","")="","Прочее",_xlfn.XLOOKUP(BC187,Коды_код,Коды_вид)&amp;"")))</f>
        <v>Розеточная сеть и бытовые приборы</v>
      </c>
      <c r="GJ187">
        <f>IF(BM187="","",INT((BM187-1)/Столбцов_на_лист)+1)</f>
        <v>1</v>
      </c>
      <c r="GK187" t="str">
        <f t="shared" si="353"/>
        <v>ВВГнг(А)-LS (3х2,5) L=47-0,29%</v>
      </c>
      <c r="GL187">
        <f t="shared" si="354"/>
        <v>0.18</v>
      </c>
      <c r="GM187">
        <f t="shared" si="355"/>
        <v>0.83</v>
      </c>
      <c r="GN187">
        <f t="shared" si="356"/>
        <v>1</v>
      </c>
      <c r="GO187">
        <f t="shared" si="357"/>
        <v>0</v>
      </c>
      <c r="GP187">
        <f t="shared" si="358"/>
        <v>1</v>
      </c>
      <c r="GQ187">
        <f>IF(BM187="","",IF(AND(CG187=1,GP187=1),COUNTIFS(A$3:A187,A187,CG$3:CG187,1,GP$3:GP187,1),IF(OR(OR(BA187=1,A187&lt;&gt;A186),AJ187="вручную",GP187=0),"",IF(BA187=1,"",GR186))))</f>
        <v>3</v>
      </c>
      <c r="GR187">
        <f t="shared" si="359"/>
        <v>3</v>
      </c>
      <c r="GS187">
        <f>IF(B187="","",IFERROR(LOOKUP(INDEX(CHOOSE(EB187,Iдоп_1ж,Iдоп_2ж,Iдоп_3ж),MATCH(EN187,Iдоп_S,0))*DZ187*EA187,{6,10,16,20,25,32,40,50,63,80,100,125,160,200,250,315,400,500,630}),""))</f>
        <v>25</v>
      </c>
      <c r="GT187" t="str">
        <f t="shared" si="360"/>
        <v>QFD3</v>
      </c>
      <c r="GU187" t="str">
        <f t="shared" si="361"/>
        <v>QFD3</v>
      </c>
      <c r="GV187" t="str">
        <f t="shared" si="362"/>
        <v/>
      </c>
      <c r="GW187">
        <f t="shared" si="363"/>
        <v>0</v>
      </c>
      <c r="GX187" t="str">
        <f>IF(OR(B187="",DJ187=""),"",IFERROR(_xlfn.XLOOKUP(DJ187,Модули_умолч[Управление],Модули_умолч[Модель])&amp;"",""))</f>
        <v/>
      </c>
      <c r="GY187">
        <f>IF(DJ187="",1,IFERROR(MAX(0,N(_xlfn.XLOOKUP(DJ187,Модули_умолч[Управление],Модули_умолч[Каналов на линию]))),1))</f>
        <v>1</v>
      </c>
      <c r="GZ187" t="str">
        <f t="shared" si="364"/>
        <v/>
      </c>
      <c r="HA187" t="str">
        <f t="shared" si="365"/>
        <v/>
      </c>
      <c r="HB187" t="str">
        <f t="shared" si="366"/>
        <v/>
      </c>
      <c r="HC187">
        <f>IF(HB187="",0,IFERROR(N(VLOOKUP(HB187,Модули_спр,3,FALSE)),0))</f>
        <v>0</v>
      </c>
      <c r="HD187" t="str">
        <f t="shared" si="367"/>
        <v/>
      </c>
      <c r="HE187" t="str">
        <f t="shared" si="368"/>
        <v/>
      </c>
      <c r="HF187" t="str">
        <f>IF(OR(HE187="",HE187="-"),"",IFERROR(VLOOKUP(HE187,Модули_спр,2,FALSE),"R"))</f>
        <v/>
      </c>
      <c r="HG187" t="str">
        <f>IF(HF187="","",HF187&amp;"."&amp;COUNTIFS(A$3:A187,A187,HF$3:HF187,HF187))</f>
        <v/>
      </c>
      <c r="HH187" t="str">
        <f t="shared" si="369"/>
        <v/>
      </c>
      <c r="HI187" t="str">
        <f t="shared" si="370"/>
        <v/>
      </c>
      <c r="HJ187" t="str">
        <f t="shared" si="371"/>
        <v/>
      </c>
      <c r="HK187" t="str">
        <f t="shared" si="372"/>
        <v/>
      </c>
      <c r="HL187">
        <f t="shared" si="373"/>
        <v>1</v>
      </c>
      <c r="HM187" t="str">
        <f>IF(HL187=1,"XT"&amp;COUNTIFS(A$3:A187,A187,HL$3:HL187,1),"")</f>
        <v>XT3</v>
      </c>
      <c r="HN187" t="str">
        <f t="shared" si="374"/>
        <v>XT3</v>
      </c>
      <c r="HO187" t="str">
        <f t="shared" si="375"/>
        <v>QFD3</v>
      </c>
      <c r="HP187" t="str">
        <f t="shared" si="376"/>
        <v/>
      </c>
      <c r="HQ187" t="str">
        <f t="shared" si="377"/>
        <v>ok</v>
      </c>
      <c r="HR187" t="str">
        <f>IF(OR(HJ187="",HH187=""),"",IF(HJ187+MAX(0,GY187-1)&gt;IFERROR(VLOOKUP(HI187,Модули_спр,3,FALSE),99),"ЛИШНИЙ КАНАЛ",IF(AND(AL187&lt;&gt;"=",GY187&gt;0,COUNTIFS(Линии[_модуль гр.],HH187,Линии[Канал (итог)],HJ187,Линии[Канал],"&lt;&gt;=",Линии[Щит],A187)&gt;1),"ДУБЛЬ КАНАЛА","")))</f>
        <v/>
      </c>
      <c r="HS187" s="6" t="str">
        <f t="shared" si="378"/>
        <v/>
      </c>
      <c r="HT187">
        <f t="shared" si="379"/>
        <v>10</v>
      </c>
      <c r="HU187" t="str">
        <f t="shared" si="380"/>
        <v/>
      </c>
      <c r="HV187">
        <f t="shared" si="381"/>
        <v>0.79817804774989254</v>
      </c>
      <c r="HW187">
        <f t="shared" si="382"/>
        <v>0</v>
      </c>
      <c r="HX187">
        <f t="shared" si="383"/>
        <v>0</v>
      </c>
      <c r="HY187">
        <f t="shared" si="384"/>
        <v>0</v>
      </c>
      <c r="HZ187">
        <f t="shared" si="385"/>
        <v>0</v>
      </c>
      <c r="IA187">
        <f t="shared" si="386"/>
        <v>0</v>
      </c>
      <c r="IB187">
        <f t="shared" si="387"/>
        <v>0</v>
      </c>
      <c r="IC187" t="str">
        <f t="shared" si="388"/>
        <v/>
      </c>
      <c r="ID187" t="str" cm="1">
        <f t="array" ref="ID187">IF(IC187="","",_xlfn.LET(_xlpm.tk,_xlfn.TEXTSPLIT(SUBSTITUTE(SUBSTITUTE(IC187,";"," "),"→"," ")," ",,TRUE),_xlpm.w_,_xlfn._xlws.FILTER(_xlpm.tk,ISNUMBER(--LEFT(_xlpm.tk,1))*((ISNUMBER(SEARCH("W",_xlpm.tk))+ISNUMBER(SEARCH("Вт",_xlpm.tk)))&gt;0),""),IFERROR(--SUBSTITUTE(SUBSTITUTE(UPPER(INDEX(_xlpm.w_,1)),"W",""),"ВТ",""),"")))</f>
        <v/>
      </c>
      <c r="IE187" t="str" cm="1">
        <f t="array" ref="IE187">IF(IC187="","",_xlfn.LET(_xlpm.tk,_xlfn.TEXTSPLIT(SUBSTITUTE(SUBSTITUTE(IC187,";"," "),"→"," ")," ",,TRUE),_xlpm.v_,_xlfn._xlws.FILTER(_xlpm.tk,ISNUMBER(--LEFT(_xlpm.tk,1))*((ISNUMBER(SEARCH("V",_xlpm.tk))+(RIGHT(UPPER(_xlpm.tk))="В"))&gt;0),""),IFERROR(--SUBSTITUTE(SUBSTITUTE(UPPER(INDEX(_xlpm.v_,1)),"V",""),"В",""),"")))</f>
        <v/>
      </c>
      <c r="IF187" s="6" t="str">
        <f>IF(OR(BV187=0,HI187="",HJ187=""),"",IFERROR(N(_xlfn.XLOOKUP(HI187,Каталог!$C$4:$C$500,Каталог!$Q$4:$Q$500)),""))</f>
        <v/>
      </c>
      <c r="IG187" s="6" t="str">
        <f>IF(N(IF187)=0,"",SUMIFS(Линии[Iр, А],Линии[Щит],A187,Линии[_модуль гр.],HH187,Линии[Канал (итог)],HJ187))</f>
        <v/>
      </c>
      <c r="IH187" t="str">
        <f>IF(AND(B187="",HO187=""),"",_xlfn.TEXTJOIN("; ",TRUE,IF(AND(B187&lt;&gt;"",FV187=""),"нет фазы",""),IF(AND(B187&lt;&gt;"",N(GL187)=0,FG187&lt;&gt;"Нет"),"нет мощности",""),IF(AND(HN187&lt;&gt;"",COUNTIFS(Линии[Щит],A187,Линии[Клемма (итог)],HN187)&gt;1),"дубль клеммы "&amp;HN187,""),IF(AND(HQ187&lt;&gt;"",HQ187&lt;&gt;"ok"),HQ187,""),IF(HR187&lt;&gt;"",HR187,""),IF(AND(N(CB187)&gt;=4,N(BX187)=1),CB187&amp;" жил на 1 фазе",""),IF(AND(BC187="R",CG187=1,IF(CS187&lt;&gt;"",N(CV187)&gt;30,OR(N(DA187)=0,N(DA187)&gt;30))),"розетка без дифзащиты до 30 мА",""),IF(AND(CG187=1,N(DA187)&gt;0,ISNUMBER(T187)),IF(T187&gt;N(DA187)/3,"ток утечки "&amp;FIXED(T187,1)&amp;" мА &gt; 1/3 уставки ("&amp;DA187&amp;" мА)",""),""),IF(AND(CH187=1,CS187=""),"«узо»: нет строки с УЗО выше (УЗО 2P 40А 30мА в «Аппаратах»)",""),IF(AND(CS187&lt;&gt;"",CS187=BA187),IF(CT187="","впишите номинал УЗО (УЗО 2P 40А 30мА)",IF(N(CT187)&lt;N(DT187),"УЗО "&amp;CT187&amp;" А &lt; автомата "&amp;DT187&amp;" А перед ним",IF(N(CT187)&lt;N(CX187),"УЗО "&amp;CT187&amp;" А &lt; тока блока "&amp;FIXED(CX187,1)&amp;" А",""))),""),IF(AND(CS187&lt;&gt;"",CS187=BA187,ISNUMBER(CY187)),IF(CY187&gt;N(CV187)/3,"ток утечки блока УЗО "&amp;FIXED(CY187,1)&amp;" мА &gt; 1/3 уставки ("&amp;CV187&amp;" мА)",""),""),IF(AND(CG187=1,N(BV187)+N(IB187)&gt;0,IC187=""),"линии до 50 В без БП: впишите в «Аппараты» (БП 24V 480W)",""),IF(AND(CG187=1,ISNUMBER(ID187),ISNUMBER(U187)),IF(U187&gt;ID187,"БП "&amp;ID187&amp;" Вт &lt; нужно "&amp;U187&amp;" Вт (×"&amp;Запас_БП&amp;")",""),""),IF(AND(CG187=1,ISNUMBER(IE187),N(BV187)=1),IF(IE187&lt;&gt;N(BU187),"БП на "&amp;IE187&amp;" В, линия "&amp;BU187&amp;" В",""),""),IF(AND(N(IF187)&gt;0,N(IG187)&gt;N(IF187)),HH187&amp;" канал "&amp;HJ187&amp;": "&amp;FIXED(IG187,1)&amp;" А &gt; "&amp;IF187&amp;" А",""),IFERROR(IF(AND(ISNUMBER(Q187),Q187&gt;EL187),"потери "&amp;FIXED(Q187,1)&amp;" % &gt; "&amp;EL187&amp;" %",""),""),IFERROR(IF(LEFT(HU187,4)="мало","Iкз мало — отключение &gt; 0,4 с",""),""),IF(AND(B187&lt;&gt;"",BM187=""),"не на схеме",""),IF(AND(CG187=0,B187&lt;&gt;"",FV187&lt;&gt;"",IF(BA187=1,"",FW186)&lt;&gt;"",FV187&lt;&gt;IF(BA187=1,"",FW186)),"фаза не как у автомата группы ("&amp;IF(BA187=1,"",FW186)&amp;")","")))</f>
        <v/>
      </c>
      <c r="II187" s="6">
        <f>IF(OR(CG187=0,DQ187=""),"",_xlfn.LET(_xlpm.t,IFERROR(_xlfn.XLOOKUP(DQ187,Каталог!$U$4:$U$500,Каталог!$G$4:$G$500),""),_xlpm.k,SEARCH("кА",_xlpm.t),IFERROR(--TRIM(RIGHT(SUBSTITUTE(MID(_xlpm.t,MAX(1,_xlpm.k-4),_xlpm.k-MAX(1,_xlpm.k-4))," ",REPT(" ",9)),5)),"")))</f>
        <v>6</v>
      </c>
      <c r="IJ187" t="str">
        <f>IF(OR(II187="",CG187=0),"",IF(_xlfn.XLOOKUP(A187,Щиты[Щит],Щиты[Iкз max на шинах, кА],"")="","",IF(II187&lt;_xlfn.XLOOKUP(A187,Щиты[Щит],Щиты[Iкз max на шинах, кА]),"Icu "&amp;II187&amp;" кА &lt; Iкз max","ok")))</f>
        <v/>
      </c>
      <c r="IK187" t="str">
        <f t="shared" si="389"/>
        <v/>
      </c>
      <c r="IL187" t="str">
        <f t="shared" si="390"/>
        <v>QFD3|XT3</v>
      </c>
      <c r="IM187" t="str">
        <f t="shared" si="391"/>
        <v>QFD3|XT3|кабель ВВГнг(А)-LS (3х2,5) → Розеточная группа, пом. 002A</v>
      </c>
      <c r="IN187" t="str" cm="1">
        <f t="array" ref="IN187">IF(IM187="","",_xlfn.LET(_xlpm.nd,_xlfn.TEXTSPLIT(IM187,"|"),IF(COLUMNS(_xlpm.nd)&gt;1,A187&amp;"¦"&amp;INDEX(_xlpm.nd,1)&amp;"¦"&amp;INDEX(_xlpm.nd,2),"")))</f>
        <v>ЩР-01¦QFD3¦XT3</v>
      </c>
      <c r="IO187" t="str">
        <f t="shared" si="392"/>
        <v>R.0.002A.3¦Розеточная группа, пом. 002A</v>
      </c>
      <c r="IP187" t="str" cm="1">
        <f t="array" ref="IP187">IF(IM187="","",_xlfn.LET(_xlpm.nd,_xlfn.TEXTSPLIT(IM187,"|"),IF(COLUMNS(_xlpm.nd)&gt;2,A187&amp;"¦"&amp;INDEX(_xlpm.nd,2)&amp;"¦"&amp;INDEX(_xlpm.nd,3),"")))</f>
        <v>ЩР-01¦XT3¦кабель ВВГнг(А)-LS (3х2,5) → Розеточная группа, пом. 002A</v>
      </c>
      <c r="IQ187" t="str">
        <f t="shared" si="393"/>
        <v>R.0.002A.3¦Розеточная группа, пом. 002A</v>
      </c>
      <c r="IR187" t="str" cm="1">
        <f t="array" ref="IR187">IF(IM187="","",_xlfn.LET(_xlpm.nd,_xlfn.TEXTSPLIT(IM187,"|"),IF(COLUMNS(_xlpm.nd)&gt;3,A187&amp;"¦"&amp;INDEX(_xlpm.nd,3)&amp;"¦"&amp;INDEX(_xlpm.nd,4),"")))</f>
        <v/>
      </c>
      <c r="IS187" t="str">
        <f t="shared" si="394"/>
        <v/>
      </c>
      <c r="IT187" t="str" cm="1">
        <f t="array" ref="IT187">IF(IM187="","",_xlfn.LET(_xlpm.nd,_xlfn.TEXTSPLIT(IM187,"|"),IF(COLUMNS(_xlpm.nd)&gt;4,A187&amp;"¦"&amp;INDEX(_xlpm.nd,4)&amp;"¦"&amp;INDEX(_xlpm.nd,5),"")))</f>
        <v/>
      </c>
      <c r="IU187" t="str">
        <f t="shared" si="395"/>
        <v/>
      </c>
      <c r="IV187" t="str" cm="1">
        <f t="array" ref="IV187">IF(IM187="","",_xlfn.LET(_xlpm.nd,_xlfn.TEXTSPLIT(IM187,"|"),IF(COLUMNS(_xlpm.nd)&gt;5,A187&amp;"¦"&amp;INDEX(_xlpm.nd,5)&amp;"¦"&amp;INDEX(_xlpm.nd,6),"")))</f>
        <v/>
      </c>
      <c r="IW187" t="str">
        <f t="shared" si="396"/>
        <v/>
      </c>
      <c r="IX187" t="str" cm="1">
        <f t="array" ref="IX187">IF(IM187="","",_xlfn.LET(_xlpm.nd,_xlfn.TEXTSPLIT(IM187,"|"),IF(COLUMNS(_xlpm.nd)&gt;6,A187&amp;"¦"&amp;INDEX(_xlpm.nd,6)&amp;"¦"&amp;INDEX(_xlpm.nd,7),"")))</f>
        <v/>
      </c>
      <c r="IY187" t="str">
        <f t="shared" si="397"/>
        <v/>
      </c>
      <c r="IZ187" t="str">
        <f t="shared" si="398"/>
        <v/>
      </c>
      <c r="JA187" t="str">
        <f t="shared" si="399"/>
        <v>QFD3 → XT3</v>
      </c>
      <c r="JB187">
        <f t="shared" si="400"/>
        <v>0</v>
      </c>
      <c r="JC187">
        <f t="shared" si="401"/>
        <v>1</v>
      </c>
      <c r="JD187" t="str">
        <f t="shared" si="402"/>
        <v/>
      </c>
      <c r="JE187" t="str">
        <f t="shared" si="403"/>
        <v/>
      </c>
      <c r="JF187" t="str">
        <f t="shared" si="404"/>
        <v/>
      </c>
      <c r="JG187" t="str">
        <f t="shared" si="405"/>
        <v/>
      </c>
      <c r="JH187" t="str">
        <f>IF(B187="","",IFERROR(_xlfn.XLOOKUP(B187,Коды_код,Коды_уго),IFERROR(_xlfn.XLOOKUP(BC187,Коды_код,Коды_уго),IFERROR(_xlfn.XLOOKUP(LEFT(BC187,2),Коды_код,Коды_уго),""))))</f>
        <v>Розетка</v>
      </c>
      <c r="JI187" t="str">
        <f>IF(B187="","",IF(OR(JH187="",JH187=0),"BOX",IFERROR(IF(VLOOKUP(JH187,УГО_блоки,3,FALSE)&amp;""&lt;&gt;"",VLOOKUP(JH187,УГО_блоки,3,FALSE),VLOOKUP(JH187,УГО_блоки,2,FALSE)),JH187)))</f>
        <v>SOCKET</v>
      </c>
      <c r="JJ187">
        <f t="shared" si="406"/>
        <v>1</v>
      </c>
      <c r="JK187" t="str">
        <f>IF(DQ187="","",IF(COUNTIF(DQ$3:DQ187,DQ187)=1,MAX(JK$2:JK186)+1,""))</f>
        <v/>
      </c>
      <c r="JL187" t="str">
        <f>IF(DE187="","",IF(COUNTIF(DE$3:DE187,DE187)+COUNTIF(DF$2:DF186,DE187)+COUNTIF(DG$2:DG186,DE187)=1,MAX(JL$2:JN186)+1,""))</f>
        <v/>
      </c>
      <c r="JM187" t="str">
        <f>IF(DF187="","",IF(COUNTIF(DE$3:DE187,DF187)+COUNTIF(DF$3:DF187,DF187)+COUNTIF(DG$2:DG186,DF187)=1,MAX(JL$2:JN186,JL187)+1,""))</f>
        <v/>
      </c>
      <c r="JN187" t="str">
        <f>IF(DG187="","",IF(COUNTIF(DE$3:DE187,DG187)+COUNTIF(DF$3:DF187,DG187)+COUNTIF(DG$3:DG187,DG187)=1,MAX(JL$2:JN186,JL187,JM187)+1,""))</f>
        <v/>
      </c>
      <c r="JO187" t="str">
        <f t="shared" si="407"/>
        <v>3х2,5</v>
      </c>
      <c r="JP187" t="str">
        <f>IF(JO187="","",IF(COUNTIF(JO$3:JO187,JO187)=1,MAX(JP$2:JP186)+1,""))</f>
        <v/>
      </c>
      <c r="JQ187" t="str">
        <f>IF(HG187="","",COUNTIF(HG$3:HG187,"?*"))</f>
        <v/>
      </c>
      <c r="JR187" t="str">
        <f>IF(OR(HG187="",HI187=""),"",IF(COUNTIFS(HG$3:HG187,"?*",HI$3:HI187,HI187)=1,MAX(JR$2:JR186)+1,""))</f>
        <v/>
      </c>
      <c r="JS187">
        <f t="shared" si="408"/>
        <v>0</v>
      </c>
      <c r="JT187">
        <f>IF(B187="","",COUNTIF(B$3:B187,"?*"))</f>
        <v>185</v>
      </c>
      <c r="JU187">
        <f>IF(HL187&lt;&gt;1,0,_xlfn.LET(_xlpm.k,MAX(IFERROR(--_xlfn.XLOOKUP(B187,Коды_код,Коды_3L),0),IFERROR(--_xlfn.XLOOKUP(BC187,Коды_код,Коды_3L),0),IFERROR(--_xlfn.XLOOKUP(LEFT(BC187,2),Коды_код,Коды_3L),0)),IF(_xlpm.k&gt;0,_xlpm.k,IF(IFERROR(--LEFT(SUBSTITUTE(JO187,"x","х"),FIND("х",SUBSTITUTE(JO187,"x","х"))-1),3)&gt;3,Каталог!$S$9,1))))</f>
        <v>1</v>
      </c>
      <c r="JV187">
        <f t="shared" si="409"/>
        <v>0</v>
      </c>
      <c r="JW187" t="str">
        <f t="shared" si="410"/>
        <v>авто</v>
      </c>
      <c r="JX187">
        <f t="shared" si="411"/>
        <v>30</v>
      </c>
      <c r="JY187">
        <f t="shared" si="412"/>
        <v>1</v>
      </c>
      <c r="JZ187">
        <f t="shared" si="413"/>
        <v>1</v>
      </c>
    </row>
    <row r="188" spans="1:286" x14ac:dyDescent="0.3">
      <c r="A188" t="s">
        <v>755</v>
      </c>
      <c r="B188" t="s">
        <v>1495</v>
      </c>
      <c r="C188" t="str">
        <f>Линии[[#This Row],[_авто наименование]]</f>
        <v>Розеточная группа, пом. 002T</v>
      </c>
      <c r="D188">
        <v>1</v>
      </c>
      <c r="E188">
        <v>0.06</v>
      </c>
      <c r="G188" t="str">
        <f>Линии[[#This Row],[_авто автомат]]</f>
        <v>2P С16А 30мА</v>
      </c>
      <c r="H188" t="str">
        <f>Линии[[#This Row],[_авто управление]]</f>
        <v/>
      </c>
      <c r="I188" t="str">
        <f>Линии[[#This Row],[_авто аппараты]]</f>
        <v/>
      </c>
      <c r="J188">
        <v>2.5</v>
      </c>
      <c r="K188">
        <v>29</v>
      </c>
      <c r="L188">
        <v>3</v>
      </c>
      <c r="M188" t="str">
        <f>Линии[[#This Row],[_авто клемма]]</f>
        <v>XT4</v>
      </c>
      <c r="N188" t="str">
        <f t="shared" si="276"/>
        <v/>
      </c>
      <c r="O188" s="6" cm="1">
        <f t="array" ref="O188">IF(B188="","",IF(BH188&lt;&gt;"",IFERROR(_xlfn.XLOOKUP(BH188,Щиты[Щит],Щиты[Iр, А]),""),IF(BP188=1,IF(OR(N(_xlfn.XLOOKUP(A188,Щиты[Щит],Щиты[Вводов],1))&lt;=1,LOWER(TRIM(_xlfn.XLOOKUP(A188,Щиты[Щит],Щиты[АВР],"")&amp;""))="да"),IFERROR(_xlfn.XLOOKUP(A188,Щиты[Щит],Щиты[Iр, А]),""),IFERROR(N(BS188)*_xlfn.XLOOKUP(A188,Щиты[Щит],Щиты[Кс итог])/(SQRT(3)*Uн_лин*_xlfn.XLOOKUP(A188,Щиты[Щит],Щиты[cos φ])),"")),IF(BV188=1,IFERROR(BS188*1000/BU188,""),IFERROR(_xlfn.IFS(BX188=1,BS188/((Uн_лин/SQRT(3))*CE188),BX188=3,BS188/(SQRT(3)*Uн_лин*CE188)),"")))))</f>
        <v>0.27348170645824377</v>
      </c>
      <c r="P188" s="7">
        <f>IF(B188="","",IFERROR(IF(VLOOKUP(BC188,Потребители_обозначение,4,FALSE)=1,VLOOKUP(BC188,Потребители_обозначение,3,FALSE)*(MAX(1,N(D188))*2-1)+EI188+VLOOKUP(BE188,Этаж_обозначение,3,FALSE)+VLOOKUP(BE188,Этаж_обозначение,4,FALSE),VLOOKUP(BC188,Потребители_обозначение,3,FALSE)*(MAX(1,N(D188))*2-1)+EI188),EI188))</f>
        <v>32</v>
      </c>
      <c r="Q188" s="6">
        <f t="shared" si="277"/>
        <v>0.5</v>
      </c>
      <c r="R188" t="str">
        <f t="shared" si="278"/>
        <v>ВВГнг(А)-LS (3х2,5)</v>
      </c>
      <c r="S188" t="str">
        <f>IF(BM188="","",IF(BN188="вводной узел","узел ","")&amp;"л."&amp;(INT((BM188-1)/Столбцов_на_лист)+1)&amp;" / "&amp;(MOD(BM188-1,Столбцов_на_лист)+1))</f>
        <v>л.1 / 12</v>
      </c>
      <c r="T188" s="119">
        <f t="shared" si="279"/>
        <v>0.4</v>
      </c>
      <c r="U188" s="7" t="str">
        <f>IF(OR(CG188=0,N(BV188)+N(IB188)=0),"",ROUNDUP(Запас_БП*(N(HY188)+N(HZ188)),0))</f>
        <v/>
      </c>
      <c r="V188" s="119" t="str">
        <f t="shared" si="280"/>
        <v/>
      </c>
      <c r="W188" s="7" t="str">
        <f>IFERROR(IF(OR(B188="",BP188=1,BV188=1,NOT(ISNUMBER(EN188)),N(DT188)=0),"",MAX(0,ROUNDDOWN((c_min*(Uн_лин*1000/SQRT(3))/(HT188*N(DT188))-_xlfn.XLOOKUP(A188,Щиты[Щит],Щиты[Zпетли на шинах, Ом]))*EN188/(2*ρкз_Cu),0))),"")</f>
        <v/>
      </c>
      <c r="Y188">
        <f>Линии[[#This Row],[_авто утечка]]</f>
        <v>30</v>
      </c>
      <c r="Z188">
        <v>1</v>
      </c>
      <c r="AA188">
        <v>230</v>
      </c>
      <c r="AB188" t="s">
        <v>562</v>
      </c>
      <c r="AG188" t="s">
        <v>810</v>
      </c>
      <c r="AI188" t="s">
        <v>561</v>
      </c>
      <c r="AK188" t="str">
        <f>Линии[[#This Row],[_авто модуль]]</f>
        <v/>
      </c>
      <c r="AM188">
        <v>12</v>
      </c>
      <c r="AN188" t="s">
        <v>11</v>
      </c>
      <c r="AO188">
        <v>3</v>
      </c>
      <c r="AQ188">
        <v>8</v>
      </c>
      <c r="AR188">
        <v>0</v>
      </c>
      <c r="AS188">
        <v>19</v>
      </c>
      <c r="BA188" cm="1">
        <f t="array" ref="BA188">ROW()-ROW(Линии[#Headers])</f>
        <v>186</v>
      </c>
      <c r="BC188" s="6" t="str">
        <f t="shared" si="281"/>
        <v>R</v>
      </c>
      <c r="BD188" t="str">
        <f t="shared" si="282"/>
        <v>0.002T.1</v>
      </c>
      <c r="BE188" t="str">
        <f t="shared" si="283"/>
        <v>0</v>
      </c>
      <c r="BF188" t="str">
        <f t="shared" si="284"/>
        <v>002T.1</v>
      </c>
      <c r="BG188" t="str">
        <f t="shared" si="285"/>
        <v>002T</v>
      </c>
      <c r="BH188" t="str">
        <f>IF(X188&lt;&gt;"",X188,IF(AND(B188&lt;&gt;"",B188&lt;&gt;A188,ISNUMBER(_xlfn.XMATCH(B188,Щиты[Щит]))),B188,""))</f>
        <v/>
      </c>
      <c r="BI188" t="str" cm="1">
        <f t="array" ref="BI188">IF(B188="","",IF(BH188&lt;&gt;"","Щит "&amp;BH188,_xlfn.LET(_xlpm.nm,IFERROR(_xlfn.XLOOKUP(BC188,Коды_код,Коды_имя)&amp;"",""),_xlpm.md,IFERROR(N(_xlfn.XLOOKUP(BC188,Коды_код,Коды_режим)),1),_xlpm.ex,IF(Имя_режим="по экспликации",IFERROR(_xlfn.XLOOKUP(BE188&amp;"|"&amp;BG188,Экспликация[Этаж]&amp;"|"&amp;Экспликация[Помещение],Экспликация[Название])&amp;"",""),""),_xlpm.rm,IF(BG188="","",IF(_xlpm.ex&lt;&gt;"",". "&amp;_xlpm.ex&amp;IF(Имя_пом="нет"," ("&amp;BG188&amp;")"," (пом. "&amp;BG188&amp;")"),IF(Имя_пом="нет"," ",", пом. ")&amp;BG188)),IF(_xlpm.nm="","",IF(_xlpm.md=2,_xlpm.nm&amp;" шлейф "&amp;BE188,_xlpm.nm&amp;_xlpm.rm)))))</f>
        <v>Розеточная группа, пом. 002T</v>
      </c>
      <c r="BJ188" t="str">
        <f t="shared" si="286"/>
        <v>Розеточная группа, пом. 002T</v>
      </c>
      <c r="BK188">
        <f>IFERROR(_xlfn.XMATCH(A188,Щиты[Щит]),0)</f>
        <v>9</v>
      </c>
      <c r="BL188">
        <f>_xlfn.LET(_xlpm.k,IFERROR(_xlfn.XLOOKUP(A188,Щиты[Щит],Щиты[Мест под вводной узел]),""),IF(_xlpm.k="",Столбцов_на_лист,N(_xlpm.k)))</f>
        <v>8</v>
      </c>
      <c r="BM188">
        <f t="shared" si="287"/>
        <v>12</v>
      </c>
      <c r="BN188" t="str">
        <f t="shared" si="288"/>
        <v>линии</v>
      </c>
      <c r="BO188" s="6">
        <f>IFERROR(N(_xlfn.XLOOKUP(BC188,Коды_код,Коды_квт)),0)</f>
        <v>0</v>
      </c>
      <c r="BP188">
        <f t="shared" si="289"/>
        <v>0</v>
      </c>
      <c r="BQ188" t="str">
        <f>IF(B188="","",IF(BH188&lt;&gt;"",IFERROR(_xlfn.XLOOKUP(BH188,Щиты[Щит],Щиты[Руст, кВт]),0),IF(BP188=1,IF(OR(N(_xlfn.XLOOKUP(A188,Щиты[Щит],Щиты[Вводов],1))&lt;=1,LOWER(TRIM(_xlfn.XLOOKUP(A188,Щиты[Щит],Щиты[АВР],"")&amp;""))="да"),IFERROR(_xlfn.XLOOKUP(A188,Щиты[Щит],Щиты[Руст, кВт]),0),SUMIFS(Линии[_Р для вводов],Линии[Щит],A188,Линии[Источник для режимов],GF188)),IF(BO188&gt;0,ROUND(BO188*MAX(1,N(D188)),3),""))))</f>
        <v/>
      </c>
      <c r="BR188">
        <f t="shared" si="290"/>
        <v>0.06</v>
      </c>
      <c r="BS188" s="6">
        <f>IF(B188="","",IF(BH188&lt;&gt;"",IFERROR(_xlfn.XLOOKUP(BH188,Щиты[Щит],Щиты[Руст, кВт]),0),N(BR188)))</f>
        <v>0.06</v>
      </c>
      <c r="BT188" t="str">
        <f>IF(B188="","",IFERROR(IF(VLOOKUP(BC188,Потребители_обозначение,8,FALSE)=0,"",VLOOKUP(BC188,Потребители_обозначение,8,FALSE)),""))</f>
        <v/>
      </c>
      <c r="BU188">
        <f t="shared" si="291"/>
        <v>230</v>
      </c>
      <c r="BV188">
        <f t="shared" si="292"/>
        <v>0</v>
      </c>
      <c r="BW188">
        <f>IF(B188="","",IF(BH188&lt;&gt;"",3,IFERROR(IF(N(VLOOKUP(BC188,Потребители_обозначение,9,FALSE))=0,1,VLOOKUP(BC188,Потребители_обозначение,9,FALSE)),1)))</f>
        <v>1</v>
      </c>
      <c r="BX188">
        <f t="shared" si="293"/>
        <v>1</v>
      </c>
      <c r="BY188" t="str">
        <f>IF(B188="","",_xlfn.LET(_xlpm.bc,IFERROR(IF(VLOOKUP(BC188,Потребители_обозначение,6,FALSE)=0,"",VLOOKUP(BC188,Потребители_обозначение,6,FALSE)&amp;""),""),IF(AND(GA188="да",OR(_xlpm.bc="",_xlpm.bc="мс")),Марка_пож,IF(AND(_xlpm.bc="",BH188&lt;&gt;""),"мс",_xlpm.bc))))</f>
        <v/>
      </c>
      <c r="BZ188" t="str">
        <f t="shared" si="294"/>
        <v>мс</v>
      </c>
      <c r="CA188">
        <f>IF(B188="","",_xlfn.LET(_xlpm.cc,IFERROR(N(VLOOKUP(BC188,Потребители_обозначение,7,FALSE)),0),IF(_xlpm.cc&gt;0,_xlpm.cc,IF(BZ188="","",IF(BV188=1,2,IF(N(BX188)=3,5,3))))))</f>
        <v>3</v>
      </c>
      <c r="CB188">
        <f t="shared" si="295"/>
        <v>3</v>
      </c>
      <c r="CC188">
        <f>IFERROR(N(VLOOKUP(BC188,Потребители_обозначение,10,FALSE)),0)</f>
        <v>0</v>
      </c>
      <c r="CD188">
        <f>IFERROR(VLOOKUP(BC188,Потребители_обозначение,5,FALSE),0)</f>
        <v>1</v>
      </c>
      <c r="CE188" s="6" cm="1">
        <f t="array" ref="CE188">IF(B188="","",IF(BH188&lt;&gt;"",IFERROR(_xlfn.XLOOKUP(BH188,Щиты[Щит],Щиты[cos φ]),0.95),IF(BP188=1,IFERROR(_xlfn.XLOOKUP(A188,Щиты[Щит],Щиты[cos φ]),0.95),IF(ISNUMBER(AD188),AD188,IFERROR(IF(CD188=2,_xlfn.IFS(BX188=3,VLOOKUP(BS188,Справочная_двигатели,8,FALSE),BX188=1,VLOOKUP(BS188,Справочная_двигатели,10,TRUE)),IF(AND(Методика="нормы 2026",FG188="Сил"),0.8,0.95)),0.95)))))</f>
        <v>0.95</v>
      </c>
      <c r="CF188">
        <f t="shared" si="296"/>
        <v>0</v>
      </c>
      <c r="CG188">
        <f t="shared" si="297"/>
        <v>1</v>
      </c>
      <c r="CH188">
        <f t="shared" si="298"/>
        <v>0</v>
      </c>
      <c r="CI188">
        <f>IF(B188="","",IF(BV188=1,IFERROR(BS188/((Uн_лин/SQRT(3))*MAX(0.5,N(CE188))),0),N(O188)))</f>
        <v>0.27348170645824377</v>
      </c>
      <c r="CJ188">
        <f t="shared" si="299"/>
        <v>0</v>
      </c>
      <c r="CK188">
        <f t="shared" si="300"/>
        <v>0</v>
      </c>
      <c r="CL188">
        <f t="shared" si="301"/>
        <v>0</v>
      </c>
      <c r="CM188">
        <f t="shared" si="302"/>
        <v>0</v>
      </c>
      <c r="CN188">
        <f t="shared" si="303"/>
        <v>0</v>
      </c>
      <c r="CO188">
        <f>IF(BC188="",0,_xlfn.LET(_xlpm.v,IFERROR(_xlfn.XLOOKUP(B188,Коды_код,Коды_мА),IFERROR(_xlfn.XLOOKUP(BC188,Коды_код,Коды_мА),IFERROR(_xlfn.XLOOKUP(LEFT(BC188,2),Коды_код,Коды_мА),""))),IF(_xlpm.v="да",30,IF(ISNUMBER(_xlpm.v),_xlpm.v,0))))</f>
        <v>30</v>
      </c>
      <c r="CP188">
        <f t="shared" si="304"/>
        <v>30</v>
      </c>
      <c r="CQ188" t="str">
        <f>_xlfn.LET(_xlpm.k,IFERROR(_xlfn.XLOOKUP(BC188,Коды_код,Коды_утечка)&amp;"",""),IF(_xlpm.k="","дифавтомат",_xlpm.k))</f>
        <v>дифавтомат</v>
      </c>
      <c r="CR188" t="str" cm="1">
        <f t="array" ref="CR188">IF(CG188=0,"",_xlfn.LET(_xlpm.sg,TRIM(_xlfn.TEXTSPLIT(DD188&amp;"",";")),_xlpm.f_,_xlfn._xlws.FILTER(_xlpm.sg,LEFT(_xlpm.sg,3)="УЗО",""),IFERROR(INDEX(_xlpm.f_,1)&amp;"","")))</f>
        <v/>
      </c>
      <c r="CS188" t="str">
        <f t="shared" si="305"/>
        <v/>
      </c>
      <c r="CT188" s="6" t="str" cm="1">
        <f t="array" ref="CT188">IF(CR188="","",_xlfn.LET(_xlpm.tk,_xlfn.TEXTSPLIT(UPPER(CR188)," ",,TRUE),_xlpm.a_,_xlfn._xlws.FILTER(_xlpm.tk,ISNUMBER(--LEFT(_xlpm.tk,1))*((ISNUMBER(SEARCH("А",_xlpm.tk))+ISNUMBER(SEARCH("A",_xlpm.tk)))&gt;0)*NOT(ISNUMBER(SEARCH("МА",_xlpm.tk)))*NOT(ISNUMBER(SEARCH("MA",_xlpm.tk))),""),IFERROR(--SUBSTITUTE(SUBSTITUTE(INDEX(_xlpm.a_,1),"А",""),"A",""),"")))</f>
        <v/>
      </c>
      <c r="CU188" t="str" cm="1">
        <f t="array" ref="CU188">IF(CR188="","",_xlfn.LET(_xlpm.tk,_xlfn.TEXTSPLIT(UPPER(CR188)," ",,TRUE),_xlpm.a_,_xlfn._xlws.FILTER(_xlpm.tk,ISNUMBER(--LEFT(_xlpm.tk,1))*((ISNUMBER(SEARCH("МА",_xlpm.tk))+ISNUMBER(SEARCH("MA",_xlpm.tk)))&gt;0),""),IFERROR(--SUBSTITUTE(SUBSTITUTE(INDEX(_xlpm.a_,1),"МА",""),"MA",""),30)))</f>
        <v/>
      </c>
      <c r="CV188" t="str">
        <f>IF(CS188="","",IFERROR(_xlfn.XLOOKUP(CS188,Линии[_n],Линии[_УЗО, мА]),30))</f>
        <v/>
      </c>
      <c r="CW188">
        <f>IF(CS188="",0,IF(ISNUMBER(SEARCH("4P",IFERROR(_xlfn.XLOOKUP(CS188,Линии[_n],Линии[_УЗО строки])&amp;"",""))),0,1))</f>
        <v>0</v>
      </c>
      <c r="CX188" t="str">
        <f>IF(AND(CS188&lt;&gt;"",CS188=BA188),SUMIFS(Линии[_ток на 230 В],Линии[_блок УЗО],BA188,Линии[Щит],A188),"")</f>
        <v/>
      </c>
      <c r="CY188" t="str">
        <f>IF(AND(CS188&lt;&gt;"",CS188=BA188),SUMIFS(Линии[_ток утечки линии, мА],Линии[_блок УЗО],BA188,Линии[Щит],A188),"")</f>
        <v/>
      </c>
      <c r="CZ188">
        <f t="shared" si="306"/>
        <v>30</v>
      </c>
      <c r="DA188">
        <f t="shared" si="307"/>
        <v>30</v>
      </c>
      <c r="DB188">
        <f>IF(B188="",0,IFERROR(--_xlfn.XLOOKUP(B188,Коды_код,Коды_минавт),IFERROR(--_xlfn.XLOOKUP(BC188,Коды_код,Коды_минавт),IFERROR(--_xlfn.XLOOKUP(LEFT(BC188,2),Коды_код,Коды_минавт),0))))</f>
        <v>16</v>
      </c>
      <c r="DC188" t="str">
        <f>IF(B188="","",IFERROR(_xlfn.XLOOKUP(BC188,Коды_код,Коды_апп)&amp;"",""))</f>
        <v/>
      </c>
      <c r="DD188" t="str">
        <f t="shared" si="308"/>
        <v/>
      </c>
      <c r="DE188" t="str" cm="1">
        <f t="array" ref="DE188">IF(TRIM(DD188&amp;"")="","",IFERROR(TRIM(INDEX(_xlfn.TEXTSPLIT(DD188&amp;";;;",";"),1)),""))</f>
        <v/>
      </c>
      <c r="DF188" t="str" cm="1">
        <f t="array" ref="DF188">IF(TRIM(DD188&amp;"")="","",IFERROR(TRIM(INDEX(_xlfn.TEXTSPLIT(DD188&amp;";;;",";"),2)),""))</f>
        <v/>
      </c>
      <c r="DG188" t="str" cm="1">
        <f t="array" ref="DG188">IF(TRIM(DD188&amp;"")="","",IFERROR(TRIM(INDEX(_xlfn.TEXTSPLIT(DD188&amp;";;;",";"),3)),""))</f>
        <v/>
      </c>
      <c r="DH188">
        <f t="shared" si="309"/>
        <v>0</v>
      </c>
      <c r="DI188" t="str">
        <f>IF(B188="","",_xlfn.LET(_xlpm.t,LOWER(AZ188&amp;""),IF(ISNUMBER(SEARCH("dim",_xlpm.t)),"DIM",IF(ISNUMBER(SEARCH("dali",_xlpm.t)),"DALI",IF(OR(ISNUMBER(SEARCH("relay",_xlpm.t)),ISNUMBER(SEARCH("реле",_xlpm.t))),"Relay",IF(ISNUMBER(SEARCH("кнопк",_xlpm.t)),"",IFERROR(_xlfn.XLOOKUP(BC188,Коды_код,Коды_упр)&amp;"","")))))))</f>
        <v/>
      </c>
      <c r="DJ188" t="str">
        <f t="shared" si="310"/>
        <v/>
      </c>
      <c r="DK188">
        <f>IF(B188="","",_xlfn.LET(_xlpm.ig,IF(N(CX188)&gt;0,N(CX188),N(CI188)+IF(AJ188="вручную",0,N(CJ188))),_xlpm.n0,IFERROR(VLOOKUP(_xlpm.ig,Автомат_номиналы,2,TRUE),0),_xlpm.mn,MAX(DB188,IF(AJ188="вручную",0,N(CM188))),MAX(_xlpm.n0,_xlpm.mn,IF(DH188=1,Мин_автомат_БП,0))))</f>
        <v>16</v>
      </c>
      <c r="DL188">
        <f t="shared" si="311"/>
        <v>1</v>
      </c>
      <c r="DM188" t="str">
        <f t="shared" si="312"/>
        <v>2P</v>
      </c>
      <c r="DN188" t="str">
        <f>_xlfn.LET(_xlpm.cc,UPPER(TRIM(IFERROR(_xlfn.XLOOKUP(BC188,Коды_код,Коды_хар)&amp;"",""))),IF(OR(_xlpm.cc="B",_xlpm.cc="В"),"B",IF(_xlpm.cc="D","D","С")))</f>
        <v>С</v>
      </c>
      <c r="DO188" t="str">
        <f t="shared" si="313"/>
        <v>2P С16А 30мА</v>
      </c>
      <c r="DP188" t="str">
        <f t="shared" si="314"/>
        <v>2P С16А 30мА</v>
      </c>
      <c r="DQ188" t="str">
        <f t="shared" si="315"/>
        <v>2P С16А 30мА</v>
      </c>
      <c r="DR188" cm="1">
        <f t="array" ref="DR188">IF(DQ188="","",_xlfn.LET(_xlpm.t,SUBSTITUTE(SUBSTITUTE(SUBSTITUTE(UPPER(DQ188),"С","C"),"А","A"),"В","B"),_xlpm.tk,_xlfn.TEXTSPLIT(_xlpm.t," "),_xlpm.f,_xlfn._xlws.FILTER(_xlpm.tk,ISNUMBER(--MID(_xlpm.tk,2,1))*ISNUMBER(SEARCH(LEFT(_xlpm.tk,1)&amp;"#","B#C#D#"))*(LEN(_xlpm.tk)&gt;1),""),_xlpm.x,INDEX(_xlpm.f,1),IFERROR(--SUBSTITUTE(MID(_xlpm.x,2,9),"A",""),IFERROR(--SUBSTITUTE(INDEX(_xlfn._xlws.FILTER(_xlpm.tk,ISNUMBER(--SUBSTITUTE(_xlpm.tk,"A","")),""),1),"A",""),""))))</f>
        <v>16</v>
      </c>
      <c r="DS188" t="str">
        <f t="shared" si="316"/>
        <v>ok</v>
      </c>
      <c r="DT188">
        <f t="shared" si="317"/>
        <v>16</v>
      </c>
      <c r="DU188" t="str">
        <f t="shared" si="318"/>
        <v>2P С16А 30мА</v>
      </c>
      <c r="DV188">
        <f t="shared" si="319"/>
        <v>30</v>
      </c>
      <c r="DW188">
        <f t="shared" si="320"/>
        <v>1</v>
      </c>
      <c r="DX188">
        <f t="shared" si="321"/>
        <v>0</v>
      </c>
      <c r="DY188">
        <f t="shared" si="322"/>
        <v>0.27348170645824377</v>
      </c>
      <c r="DZ188">
        <f t="shared" si="323"/>
        <v>1</v>
      </c>
      <c r="EA188">
        <f>IF(ISNUMBER(AP188),AP188,К_прокл)</f>
        <v>1</v>
      </c>
      <c r="EB188">
        <f t="shared" si="324"/>
        <v>2</v>
      </c>
      <c r="EC188">
        <f>IFERROR(N(VLOOKUP(BZ188,Кабель_обозначение,3,FALSE)),1)</f>
        <v>1</v>
      </c>
      <c r="ED188">
        <f>IFERROR(N(_xlfn.XLOOKUP(A188,Щиты[Щит],Щиты[ΔU до шин, %])),0)</f>
        <v>0.43</v>
      </c>
      <c r="EE188" t="str">
        <f>IFERROR(_xlfn.XLOOKUP(A188,Щиты[Щит],Щиты[Zпетли на шинах, Ом]),"")</f>
        <v/>
      </c>
      <c r="EF188">
        <f>IFERROR(N(_xlfn.XLOOKUP(A188,Щиты[Щит],Щиты[ΔU до шин (подбор), %])),0)</f>
        <v>0.43</v>
      </c>
      <c r="EG188" t="str">
        <f>IFERROR(_xlfn.XLOOKUP(A188,Щиты[Щит],Щиты[Zпетли на шинах (подбор), Ом]),"")</f>
        <v/>
      </c>
      <c r="EH188" t="str">
        <f t="shared" si="325"/>
        <v/>
      </c>
      <c r="EI188">
        <f t="shared" si="326"/>
        <v>29</v>
      </c>
      <c r="EJ188">
        <f t="shared" si="327"/>
        <v>2</v>
      </c>
      <c r="EK188">
        <f t="shared" si="328"/>
        <v>0.31</v>
      </c>
      <c r="EL188" s="6">
        <f>IF(B188="","",IF(BV188=1,dU_LED,IF(IFERROR(_xlfn.XLOOKUP(BC188,Коды_код,Коды_уго),"")="Светильник",3,4)+IF(Методика="нормы 2026",MIN(0.5,MAX(0,N(P188)-100)*0.005),0)))</f>
        <v>4</v>
      </c>
      <c r="EM188" cm="1">
        <f t="array" ref="EM188">IF(OR(B188="",BZ188="",EC188&lt;&gt;1),"",_xlfn.LET(_xlpm.sz,Iдоп_S,_xlpm.t_,CHOOSE(EB188,Iдоп_1ж,Iдоп_2ж,Iдоп_3ж)*DZ188*EA188,_xlpm.dcx,BV188=1,_xlpm.inn,IF(_xlpm.dcx,N(O188),N(DT188)),_xlpm.smin,MAX(1.5,CC188),_xlpm.L_,N(P188)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188)/N(BU188)*100,999),IFERROR(N(EJ188)*(_xlpm.rho*_xlpm.L_/_xlpm.sz*N(CE188)+_xlpm.xx*_xlpm.L_*N(EK188)/1000)*N(O188)/((Uн_лин/SQRT(3))*1000)*100,999)),_xlpm.kz,IF(OR(_xlpm.dcx,DW188=1,NOT(ISNUMBER(EG188)),_xlpm.L_=0,_xlpm.inn=0),1,IFERROR(--(c_min*(Uн_лин*1000/SQRT(3))/(EG188+2*ρкз_Cu*_xlpm.L_/_xlpm.sz)&gt;=HT188*_xlpm.inn),0)),_xlpm.ok,IFERROR((_xlpm.sz&gt;=_xlpm.smin)*(_xlpm.t_&gt;=_xlpm.inn)*IF(_xlpm.L_&gt;0,(_xlpm.du_+IF(_xlpm.dcx,0,EF188)&lt;=EL188+0.00001),1)*_xlpm.kz,0),_xlpm.r_,_xlfn._xlws.FILTER(_xlpm.sz,_xlpm.ok,"не подобрано"),INDEX(_xlpm.r_,1)))</f>
        <v>1.5</v>
      </c>
      <c r="EN188">
        <f t="shared" si="329"/>
        <v>2.5</v>
      </c>
      <c r="EO188" cm="1">
        <f t="array" ref="EO188">IF(OR(B188="",BZ188="",EC188&lt;&gt;1),"",_xlfn.LET(_xlpm.sz,Iдоп_S,_xlpm.t_,CHOOSE(EB188,Iдоп_1ж,Iдоп_2ж,Iдоп_3ж)*DZ188*EA188,_xlpm.ok,IFERROR((_xlpm.sz&gt;=MAX(1.5,CC188))*(_xlpm.t_&gt;=N(DT188)),0),_xlpm.r_,_xlfn._xlws.FILTER(_xlpm.sz,_xlpm.ok,""),INDEX(_xlpm.r_,1)))</f>
        <v>1.5</v>
      </c>
      <c r="EP188" s="6" cm="1">
        <f t="array" ref="EP188">IFERROR(ROUNDUP(N(EJ188)*(_xlfn.XLOOKUP(EO188,INDEX(Кабель_сопротивление,0,1),INDEX(Кабель_сопротивление,0,3))*N(P188)/EO188*N(CE188)+_xlfn.XLOOKUP(EO188,INDEX(Кабель_сопротивление,0,1),INDEX(Кабель_сопротивление,0,2))*N(P188)*N(EK188)/1000)*N(O188)/((Uн_лин/SQRT(3))*1000)*100,2),"")</f>
        <v>0.11</v>
      </c>
      <c r="EQ188">
        <f>IFERROR(2*ρкз_Cu*N(P188)/EO188,"")</f>
        <v>1.1221333333333334</v>
      </c>
      <c r="ER188">
        <f>IFERROR(VLOOKUP(EN188,Кабель_сопротивление,3,FALSE),"")</f>
        <v>2.2499999999999999E-2</v>
      </c>
      <c r="ES188">
        <f>IFERROR(VLOOKUP(EN188,Кабель_сопротивление,2,FALSE),"")</f>
        <v>0.1</v>
      </c>
      <c r="ET188">
        <f t="shared" si="330"/>
        <v>0</v>
      </c>
      <c r="EU188">
        <f t="shared" si="331"/>
        <v>19</v>
      </c>
      <c r="EV188">
        <f t="shared" si="332"/>
        <v>0.15019177747956411</v>
      </c>
      <c r="EW188" s="6">
        <f>IFERROR(ROUNDUP(EV188/IF(BV188=1,BU188,(Uн_лин/SQRT(3))*1000)*100,2),"")</f>
        <v>6.9999999999999993E-2</v>
      </c>
      <c r="EX188" t="str">
        <f>IFERROR(VLOOKUP(BZ188,Кабель_обозначение,2,FALSE),"")</f>
        <v>ВВГнг(А)-LS</v>
      </c>
      <c r="EY188" t="str">
        <f t="shared" si="333"/>
        <v>ВВГнг(А)-LS (3х2,5)</v>
      </c>
      <c r="EZ188" t="str">
        <f t="shared" si="334"/>
        <v>ВВГнг(А)-LS (3х2,5)
L=32-0,07%</v>
      </c>
      <c r="FA188">
        <f>IFERROR(2*ρкз_Cu*P188/EN188,"")</f>
        <v>0.67327999999999999</v>
      </c>
      <c r="FB188">
        <f t="shared" si="335"/>
        <v>0.22400000000000003</v>
      </c>
      <c r="FC188" s="6" t="str">
        <f>IFERROR(IF(OR(B188="",BV188=1,NOT(ISNUMBER(EN188)),N(P188)=0),"",_xlfn.XLOOKUP(A188,Щиты[Щит],Щиты[Zпетли на шинах, Ом])+FA188),"")</f>
        <v/>
      </c>
      <c r="FD188" s="6" t="str">
        <f>IF(ISNUMBER(FC188),c_min*(Uн_лин*1000/SQRT(3))/FC188,"")</f>
        <v/>
      </c>
      <c r="FE188" s="6" t="str">
        <f>IFERROR(IF(OR(B188="",NOT(ISNUMBER(EN188))),"",1.05*(Uн_лин*1000/SQRT(3))/(_xlfn.XLOOKUP(A188,Щиты[Щит],Щиты[Zmax на шинах, Ом])+FB188)/1000),"")</f>
        <v/>
      </c>
      <c r="FF188" s="6" t="str">
        <f>IF(B188="","",IF(ISNUMBER(AC188),"Сил",IF(IFERROR(_xlfn.XLOOKUP(BC188,Коды_код,Коды_группа)&amp;"","")="","Быт",_xlfn.XLOOKUP(BC188,Коды_код,Коды_группа)&amp;"")))</f>
        <v>Быт</v>
      </c>
      <c r="FG188" s="6" t="str">
        <f t="shared" si="336"/>
        <v>Быт</v>
      </c>
      <c r="FH188" s="6">
        <f>IF(FG188="Щит","щит",IF(FG188="","",IF(FG188="Быт",IFERROR(_xlfn.XLOOKUP(A188,Щиты[Щит],Щиты[Кс быт]),1),IF(FG188="Сил",IF(ISNUMBER(AC188),AC188,IF(Методика="нормы 2026",IFERROR(_xlfn.XLOOKUP(A188,Щиты[Щит],Щиты[Кс силовых (табл. 7.5)]),1),1)),IF(OR(FG188="Пост",FG188="Отоп"),1,IF(FG188="ВНГ",0.7,0))))))</f>
        <v>0.79799999999999993</v>
      </c>
      <c r="FI188">
        <f>IF(FG188="","",IF(AND(BP188=1,TRIM(AE188&amp;"")=""),IF(COUNTIFS(Линии[Щит],A188,Линии[Секция (1/2/3)],"&gt;=2")&gt;0,MIN(3,MAX(1,IFERROR(--BD188,1))),1),IFERROR(MIN(3,MAX(1,INT(--AE188))),1)))</f>
        <v>1</v>
      </c>
      <c r="FJ188">
        <f t="shared" si="337"/>
        <v>0.06</v>
      </c>
      <c r="FK188">
        <f t="shared" si="338"/>
        <v>0.06</v>
      </c>
      <c r="FL188">
        <f t="shared" si="339"/>
        <v>0</v>
      </c>
      <c r="FM188">
        <f t="shared" si="340"/>
        <v>0</v>
      </c>
      <c r="FN188">
        <f t="shared" si="341"/>
        <v>0</v>
      </c>
      <c r="FO188">
        <f t="shared" si="342"/>
        <v>0</v>
      </c>
      <c r="FP188">
        <f t="shared" si="343"/>
        <v>0.06</v>
      </c>
      <c r="FQ188">
        <f t="shared" si="344"/>
        <v>0.06</v>
      </c>
      <c r="FR188">
        <f t="shared" si="345"/>
        <v>5.6999999999999995E-2</v>
      </c>
      <c r="FS188">
        <f>IF(CG188=1,IF(AND(CH188=1,CW188=1),0,IF(AND(CS188&lt;&gt;"",CS188=BA188,CW188=1),SUMIFS(Линии[_Р линии, кВт],Линии[_блок УЗО],BA188,Линии[Щит],A188),N(BS188)+IF(AJ188="вручную",0,N(CK188)))),0)</f>
        <v>0.06</v>
      </c>
      <c r="FT188" t="str">
        <f t="shared" si="346"/>
        <v>L3</v>
      </c>
      <c r="FU188" t="str">
        <f>IF(B188="","",IF(CG188=0,IF(BA188=1,"",FW187),IF(AND(CH188=1,CW188=1,CS188&lt;&gt;""),IFERROR(_xlfn.XLOOKUP(CS188,Линии[_n],Линии[_фаза итог]),"L1"),IF(OR(N(DL188)&gt;=3,N(BX188)&gt;=3),"L1,L2,L3",IFERROR(_xlfn.TEXTBEFORE(_xlfn.TEXTAFTER(_xlfn.XLOOKUP(A188,Щиты[Щит],Щиты[_фазы авто]),";"&amp;BA188&amp;":"),";"),"L1")))))</f>
        <v>L1</v>
      </c>
      <c r="FV188" t="str">
        <f t="shared" si="347"/>
        <v>L3</v>
      </c>
      <c r="FW188" t="str">
        <f t="shared" si="348"/>
        <v>L3</v>
      </c>
      <c r="FX188" cm="1">
        <f t="array" ref="FX188">IFERROR(IF(CD188=2,_xlfn.IFS(BX188=3,VLOOKUP(BS188,Справочная_двигатели,3,FALSE),BX188=1,VLOOKUP(BS188,Справочная_двигатели,5,TRUE)),0),0)</f>
        <v>0</v>
      </c>
      <c r="FY188">
        <f>IFERROR(IF(CD188=3,VLOOKUP(BS188,Справочная_ЛЭД,2,TRUE),0),0)</f>
        <v>0</v>
      </c>
      <c r="FZ188" s="6">
        <f t="shared" si="349"/>
        <v>0</v>
      </c>
      <c r="GA188" t="str">
        <f>IF(B188="","",IF(TRIM(AH188&amp;"")&lt;&gt;"",IF(LOWER(TRIM(AH188&amp;""))="да","да","нет"),IF(IFERROR(_xlfn.XLOOKUP(BC188,Коды_код,Коды_пожарная),"")="да","да","нет")))</f>
        <v>нет</v>
      </c>
      <c r="GB188" t="str">
        <f t="shared" si="350"/>
        <v/>
      </c>
      <c r="GC188" t="str">
        <f t="shared" si="351"/>
        <v>основная</v>
      </c>
      <c r="GD188">
        <f>IF(AND(BP188=1,TRIM(AE188&amp;"")=""),IF(COUNTIFS(Линии[Щит],A188,Линии[Секция (1/2/3)],"&gt;=2")&gt;0,MIN(3,MAX(1,IFERROR(--BD188,1))),1),IFERROR(MIN(3,MAX(1,INT(--AE188))),1))</f>
        <v>1</v>
      </c>
      <c r="GE188" t="str" cm="1">
        <f t="array" ref="GE188">IF(B188="","",_xlfn.LET(_xlpm.t,IFERROR(_xlfn.XLOOKUP(1,(Шины[Шина]=GC188)*(((Шины[Щит]=A188)+(Шины[Щит]=""))&gt;0),Шины[Тип]),"")&amp;"",IF(_xlpm.t&lt;&gt;"",_xlpm.t,IF(ISNUMBER(SEARCH("ИБП",GC188)),"ИБП",IF(ISNUMBER(SEARCH("ДГУ",GC188)),"ДГУ","Ввод "&amp;GD188)))))</f>
        <v>Ввод 1</v>
      </c>
      <c r="GF188" t="str">
        <f t="shared" si="352"/>
        <v>Ввод 1</v>
      </c>
      <c r="GG188" t="str">
        <f>IF(BP188=0,"",IF(TRIM(AG188&amp;"")&lt;&gt;"",TRIM(AG188&amp;""),IF(OR(GE188="ИБП",GE188="ДГУ"),"I особая",_xlfn.XLOOKUP(A188,Щиты[Щит],Щиты[Категория шины «Ввод»],"III"))))</f>
        <v/>
      </c>
      <c r="GH188" t="str">
        <f>IF(A188="","",_xlfn.XLOOKUP(A188,Щиты[Щит],Щиты[Путь],""))</f>
        <v>|ГРЩ-ЖД|ЩР-01|</v>
      </c>
      <c r="GI188" t="str">
        <f>IF(B188="","",IF(AI188&lt;&gt;"",AI188,IF(IFERROR(_xlfn.XLOOKUP(BC188,Коды_код,Коды_вид)&amp;"","")="","Прочее",_xlfn.XLOOKUP(BC188,Коды_код,Коды_вид)&amp;"")))</f>
        <v>Розеточная сеть и бытовые приборы</v>
      </c>
      <c r="GJ188">
        <f>IF(BM188="","",INT((BM188-1)/Столбцов_на_лист)+1)</f>
        <v>1</v>
      </c>
      <c r="GK188" t="str">
        <f t="shared" si="353"/>
        <v>ВВГнг(А)-LS (3х2,5) L=32-0,07%</v>
      </c>
      <c r="GL188">
        <f t="shared" si="354"/>
        <v>0.06</v>
      </c>
      <c r="GM188">
        <f t="shared" si="355"/>
        <v>0.28000000000000003</v>
      </c>
      <c r="GN188">
        <f t="shared" si="356"/>
        <v>1</v>
      </c>
      <c r="GO188">
        <f t="shared" si="357"/>
        <v>0</v>
      </c>
      <c r="GP188">
        <f t="shared" si="358"/>
        <v>1</v>
      </c>
      <c r="GQ188">
        <f>IF(BM188="","",IF(AND(CG188=1,GP188=1),COUNTIFS(A$3:A188,A188,CG$3:CG188,1,GP$3:GP188,1),IF(OR(OR(BA188=1,A188&lt;&gt;A187),AJ188="вручную",GP188=0),"",IF(BA188=1,"",GR187))))</f>
        <v>4</v>
      </c>
      <c r="GR188">
        <f t="shared" si="359"/>
        <v>4</v>
      </c>
      <c r="GS188">
        <f>IF(B188="","",IFERROR(LOOKUP(INDEX(CHOOSE(EB188,Iдоп_1ж,Iдоп_2ж,Iдоп_3ж),MATCH(EN188,Iдоп_S,0))*DZ188*EA188,{6,10,16,20,25,32,40,50,63,80,100,125,160,200,250,315,400,500,630}),""))</f>
        <v>25</v>
      </c>
      <c r="GT188" t="str">
        <f t="shared" si="360"/>
        <v>QFD4</v>
      </c>
      <c r="GU188" t="str">
        <f t="shared" si="361"/>
        <v>QFD4</v>
      </c>
      <c r="GV188" t="str">
        <f t="shared" si="362"/>
        <v/>
      </c>
      <c r="GW188">
        <f t="shared" si="363"/>
        <v>0</v>
      </c>
      <c r="GX188" t="str">
        <f>IF(OR(B188="",DJ188=""),"",IFERROR(_xlfn.XLOOKUP(DJ188,Модули_умолч[Управление],Модули_умолч[Модель])&amp;"",""))</f>
        <v/>
      </c>
      <c r="GY188">
        <f>IF(DJ188="",1,IFERROR(MAX(0,N(_xlfn.XLOOKUP(DJ188,Модули_умолч[Управление],Модули_умолч[Каналов на линию]))),1))</f>
        <v>1</v>
      </c>
      <c r="GZ188" t="str">
        <f t="shared" si="364"/>
        <v/>
      </c>
      <c r="HA188" t="str">
        <f t="shared" si="365"/>
        <v/>
      </c>
      <c r="HB188" t="str">
        <f t="shared" si="366"/>
        <v/>
      </c>
      <c r="HC188">
        <f>IF(HB188="",0,IFERROR(N(VLOOKUP(HB188,Модули_спр,3,FALSE)),0))</f>
        <v>0</v>
      </c>
      <c r="HD188" t="str">
        <f t="shared" si="367"/>
        <v/>
      </c>
      <c r="HE188" t="str">
        <f t="shared" si="368"/>
        <v/>
      </c>
      <c r="HF188" t="str">
        <f>IF(OR(HE188="",HE188="-"),"",IFERROR(VLOOKUP(HE188,Модули_спр,2,FALSE),"R"))</f>
        <v/>
      </c>
      <c r="HG188" t="str">
        <f>IF(HF188="","",HF188&amp;"."&amp;COUNTIFS(A$3:A188,A188,HF$3:HF188,HF188))</f>
        <v/>
      </c>
      <c r="HH188" t="str">
        <f t="shared" si="369"/>
        <v/>
      </c>
      <c r="HI188" t="str">
        <f t="shared" si="370"/>
        <v/>
      </c>
      <c r="HJ188" t="str">
        <f t="shared" si="371"/>
        <v/>
      </c>
      <c r="HK188" t="str">
        <f t="shared" si="372"/>
        <v/>
      </c>
      <c r="HL188">
        <f t="shared" si="373"/>
        <v>1</v>
      </c>
      <c r="HM188" t="str">
        <f>IF(HL188=1,"XT"&amp;COUNTIFS(A$3:A188,A188,HL$3:HL188,1),"")</f>
        <v>XT4</v>
      </c>
      <c r="HN188" t="str">
        <f t="shared" si="374"/>
        <v>XT4</v>
      </c>
      <c r="HO188" t="str">
        <f t="shared" si="375"/>
        <v>QFD4</v>
      </c>
      <c r="HP188" t="str">
        <f t="shared" si="376"/>
        <v/>
      </c>
      <c r="HQ188" t="str">
        <f t="shared" si="377"/>
        <v>ok</v>
      </c>
      <c r="HR188" t="str">
        <f>IF(OR(HJ188="",HH188=""),"",IF(HJ188+MAX(0,GY188-1)&gt;IFERROR(VLOOKUP(HI188,Модули_спр,3,FALSE),99),"ЛИШНИЙ КАНАЛ",IF(AND(AL188&lt;&gt;"=",GY188&gt;0,COUNTIFS(Линии[_модуль гр.],HH188,Линии[Канал (итог)],HJ188,Линии[Канал],"&lt;&gt;=",Линии[Щит],A188)&gt;1),"ДУБЛЬ КАНАЛА","")))</f>
        <v/>
      </c>
      <c r="HS188" s="6" t="str">
        <f t="shared" si="378"/>
        <v/>
      </c>
      <c r="HT188">
        <f t="shared" si="379"/>
        <v>10</v>
      </c>
      <c r="HU188" t="str">
        <f t="shared" si="380"/>
        <v/>
      </c>
      <c r="HV188">
        <f t="shared" si="381"/>
        <v>0.42939268258329755</v>
      </c>
      <c r="HW188">
        <f t="shared" si="382"/>
        <v>0</v>
      </c>
      <c r="HX188">
        <f t="shared" si="383"/>
        <v>0</v>
      </c>
      <c r="HY188">
        <f t="shared" si="384"/>
        <v>0</v>
      </c>
      <c r="HZ188">
        <f t="shared" si="385"/>
        <v>0</v>
      </c>
      <c r="IA188">
        <f t="shared" si="386"/>
        <v>0</v>
      </c>
      <c r="IB188">
        <f t="shared" si="387"/>
        <v>0</v>
      </c>
      <c r="IC188" t="str">
        <f t="shared" si="388"/>
        <v/>
      </c>
      <c r="ID188" t="str" cm="1">
        <f t="array" ref="ID188">IF(IC188="","",_xlfn.LET(_xlpm.tk,_xlfn.TEXTSPLIT(SUBSTITUTE(SUBSTITUTE(IC188,";"," "),"→"," ")," ",,TRUE),_xlpm.w_,_xlfn._xlws.FILTER(_xlpm.tk,ISNUMBER(--LEFT(_xlpm.tk,1))*((ISNUMBER(SEARCH("W",_xlpm.tk))+ISNUMBER(SEARCH("Вт",_xlpm.tk)))&gt;0),""),IFERROR(--SUBSTITUTE(SUBSTITUTE(UPPER(INDEX(_xlpm.w_,1)),"W",""),"ВТ",""),"")))</f>
        <v/>
      </c>
      <c r="IE188" t="str" cm="1">
        <f t="array" ref="IE188">IF(IC188="","",_xlfn.LET(_xlpm.tk,_xlfn.TEXTSPLIT(SUBSTITUTE(SUBSTITUTE(IC188,";"," "),"→"," ")," ",,TRUE),_xlpm.v_,_xlfn._xlws.FILTER(_xlpm.tk,ISNUMBER(--LEFT(_xlpm.tk,1))*((ISNUMBER(SEARCH("V",_xlpm.tk))+(RIGHT(UPPER(_xlpm.tk))="В"))&gt;0),""),IFERROR(--SUBSTITUTE(SUBSTITUTE(UPPER(INDEX(_xlpm.v_,1)),"V",""),"В",""),"")))</f>
        <v/>
      </c>
      <c r="IF188" s="6" t="str">
        <f>IF(OR(BV188=0,HI188="",HJ188=""),"",IFERROR(N(_xlfn.XLOOKUP(HI188,Каталог!$C$4:$C$500,Каталог!$Q$4:$Q$500)),""))</f>
        <v/>
      </c>
      <c r="IG188" s="6" t="str">
        <f>IF(N(IF188)=0,"",SUMIFS(Линии[Iр, А],Линии[Щит],A188,Линии[_модуль гр.],HH188,Линии[Канал (итог)],HJ188))</f>
        <v/>
      </c>
      <c r="IH188" t="str">
        <f>IF(AND(B188="",HO188=""),"",_xlfn.TEXTJOIN("; ",TRUE,IF(AND(B188&lt;&gt;"",FV188=""),"нет фазы",""),IF(AND(B188&lt;&gt;"",N(GL188)=0,FG188&lt;&gt;"Нет"),"нет мощности",""),IF(AND(HN188&lt;&gt;"",COUNTIFS(Линии[Щит],A188,Линии[Клемма (итог)],HN188)&gt;1),"дубль клеммы "&amp;HN188,""),IF(AND(HQ188&lt;&gt;"",HQ188&lt;&gt;"ok"),HQ188,""),IF(HR188&lt;&gt;"",HR188,""),IF(AND(N(CB188)&gt;=4,N(BX188)=1),CB188&amp;" жил на 1 фазе",""),IF(AND(BC188="R",CG188=1,IF(CS188&lt;&gt;"",N(CV188)&gt;30,OR(N(DA188)=0,N(DA188)&gt;30))),"розетка без дифзащиты до 30 мА",""),IF(AND(CG188=1,N(DA188)&gt;0,ISNUMBER(T188)),IF(T188&gt;N(DA188)/3,"ток утечки "&amp;FIXED(T188,1)&amp;" мА &gt; 1/3 уставки ("&amp;DA188&amp;" мА)",""),""),IF(AND(CH188=1,CS188=""),"«узо»: нет строки с УЗО выше (УЗО 2P 40А 30мА в «Аппаратах»)",""),IF(AND(CS188&lt;&gt;"",CS188=BA188),IF(CT188="","впишите номинал УЗО (УЗО 2P 40А 30мА)",IF(N(CT188)&lt;N(DT188),"УЗО "&amp;CT188&amp;" А &lt; автомата "&amp;DT188&amp;" А перед ним",IF(N(CT188)&lt;N(CX188),"УЗО "&amp;CT188&amp;" А &lt; тока блока "&amp;FIXED(CX188,1)&amp;" А",""))),""),IF(AND(CS188&lt;&gt;"",CS188=BA188,ISNUMBER(CY188)),IF(CY188&gt;N(CV188)/3,"ток утечки блока УЗО "&amp;FIXED(CY188,1)&amp;" мА &gt; 1/3 уставки ("&amp;CV188&amp;" мА)",""),""),IF(AND(CG188=1,N(BV188)+N(IB188)&gt;0,IC188=""),"линии до 50 В без БП: впишите в «Аппараты» (БП 24V 480W)",""),IF(AND(CG188=1,ISNUMBER(ID188),ISNUMBER(U188)),IF(U188&gt;ID188,"БП "&amp;ID188&amp;" Вт &lt; нужно "&amp;U188&amp;" Вт (×"&amp;Запас_БП&amp;")",""),""),IF(AND(CG188=1,ISNUMBER(IE188),N(BV188)=1),IF(IE188&lt;&gt;N(BU188),"БП на "&amp;IE188&amp;" В, линия "&amp;BU188&amp;" В",""),""),IF(AND(N(IF188)&gt;0,N(IG188)&gt;N(IF188)),HH188&amp;" канал "&amp;HJ188&amp;": "&amp;FIXED(IG188,1)&amp;" А &gt; "&amp;IF188&amp;" А",""),IFERROR(IF(AND(ISNUMBER(Q188),Q188&gt;EL188),"потери "&amp;FIXED(Q188,1)&amp;" % &gt; "&amp;EL188&amp;" %",""),""),IFERROR(IF(LEFT(HU188,4)="мало","Iкз мало — отключение &gt; 0,4 с",""),""),IF(AND(B188&lt;&gt;"",BM188=""),"не на схеме",""),IF(AND(CG188=0,B188&lt;&gt;"",FV188&lt;&gt;"",IF(BA188=1,"",FW187)&lt;&gt;"",FV188&lt;&gt;IF(BA188=1,"",FW187)),"фаза не как у автомата группы ("&amp;IF(BA188=1,"",FW187)&amp;")","")))</f>
        <v/>
      </c>
      <c r="II188" s="6">
        <f>IF(OR(CG188=0,DQ188=""),"",_xlfn.LET(_xlpm.t,IFERROR(_xlfn.XLOOKUP(DQ188,Каталог!$U$4:$U$500,Каталог!$G$4:$G$500),""),_xlpm.k,SEARCH("кА",_xlpm.t),IFERROR(--TRIM(RIGHT(SUBSTITUTE(MID(_xlpm.t,MAX(1,_xlpm.k-4),_xlpm.k-MAX(1,_xlpm.k-4))," ",REPT(" ",9)),5)),"")))</f>
        <v>6</v>
      </c>
      <c r="IJ188" t="str">
        <f>IF(OR(II188="",CG188=0),"",IF(_xlfn.XLOOKUP(A188,Щиты[Щит],Щиты[Iкз max на шинах, кА],"")="","",IF(II188&lt;_xlfn.XLOOKUP(A188,Щиты[Щит],Щиты[Iкз max на шинах, кА]),"Icu "&amp;II188&amp;" кА &lt; Iкз max","ok")))</f>
        <v/>
      </c>
      <c r="IK188" t="str">
        <f t="shared" si="389"/>
        <v/>
      </c>
      <c r="IL188" t="str">
        <f t="shared" si="390"/>
        <v>QFD4|XT4</v>
      </c>
      <c r="IM188" t="str">
        <f t="shared" si="391"/>
        <v>QFD4|XT4|кабель ВВГнг(А)-LS (3х2,5) → Розеточная группа, пом. 002T</v>
      </c>
      <c r="IN188" t="str" cm="1">
        <f t="array" ref="IN188">IF(IM188="","",_xlfn.LET(_xlpm.nd,_xlfn.TEXTSPLIT(IM188,"|"),IF(COLUMNS(_xlpm.nd)&gt;1,A188&amp;"¦"&amp;INDEX(_xlpm.nd,1)&amp;"¦"&amp;INDEX(_xlpm.nd,2),"")))</f>
        <v>ЩР-01¦QFD4¦XT4</v>
      </c>
      <c r="IO188" t="str">
        <f t="shared" si="392"/>
        <v>R.0.002T.1¦Розеточная группа, пом. 002T</v>
      </c>
      <c r="IP188" t="str" cm="1">
        <f t="array" ref="IP188">IF(IM188="","",_xlfn.LET(_xlpm.nd,_xlfn.TEXTSPLIT(IM188,"|"),IF(COLUMNS(_xlpm.nd)&gt;2,A188&amp;"¦"&amp;INDEX(_xlpm.nd,2)&amp;"¦"&amp;INDEX(_xlpm.nd,3),"")))</f>
        <v>ЩР-01¦XT4¦кабель ВВГнг(А)-LS (3х2,5) → Розеточная группа, пом. 002T</v>
      </c>
      <c r="IQ188" t="str">
        <f t="shared" si="393"/>
        <v>R.0.002T.1¦Розеточная группа, пом. 002T</v>
      </c>
      <c r="IR188" t="str" cm="1">
        <f t="array" ref="IR188">IF(IM188="","",_xlfn.LET(_xlpm.nd,_xlfn.TEXTSPLIT(IM188,"|"),IF(COLUMNS(_xlpm.nd)&gt;3,A188&amp;"¦"&amp;INDEX(_xlpm.nd,3)&amp;"¦"&amp;INDEX(_xlpm.nd,4),"")))</f>
        <v/>
      </c>
      <c r="IS188" t="str">
        <f t="shared" si="394"/>
        <v/>
      </c>
      <c r="IT188" t="str" cm="1">
        <f t="array" ref="IT188">IF(IM188="","",_xlfn.LET(_xlpm.nd,_xlfn.TEXTSPLIT(IM188,"|"),IF(COLUMNS(_xlpm.nd)&gt;4,A188&amp;"¦"&amp;INDEX(_xlpm.nd,4)&amp;"¦"&amp;INDEX(_xlpm.nd,5),"")))</f>
        <v/>
      </c>
      <c r="IU188" t="str">
        <f t="shared" si="395"/>
        <v/>
      </c>
      <c r="IV188" t="str" cm="1">
        <f t="array" ref="IV188">IF(IM188="","",_xlfn.LET(_xlpm.nd,_xlfn.TEXTSPLIT(IM188,"|"),IF(COLUMNS(_xlpm.nd)&gt;5,A188&amp;"¦"&amp;INDEX(_xlpm.nd,5)&amp;"¦"&amp;INDEX(_xlpm.nd,6),"")))</f>
        <v/>
      </c>
      <c r="IW188" t="str">
        <f t="shared" si="396"/>
        <v/>
      </c>
      <c r="IX188" t="str" cm="1">
        <f t="array" ref="IX188">IF(IM188="","",_xlfn.LET(_xlpm.nd,_xlfn.TEXTSPLIT(IM188,"|"),IF(COLUMNS(_xlpm.nd)&gt;6,A188&amp;"¦"&amp;INDEX(_xlpm.nd,6)&amp;"¦"&amp;INDEX(_xlpm.nd,7),"")))</f>
        <v/>
      </c>
      <c r="IY188" t="str">
        <f t="shared" si="397"/>
        <v/>
      </c>
      <c r="IZ188" t="str">
        <f t="shared" si="398"/>
        <v/>
      </c>
      <c r="JA188" t="str">
        <f t="shared" si="399"/>
        <v>QFD4 → XT4</v>
      </c>
      <c r="JB188">
        <f t="shared" si="400"/>
        <v>0</v>
      </c>
      <c r="JC188">
        <f t="shared" si="401"/>
        <v>1</v>
      </c>
      <c r="JD188" t="str">
        <f t="shared" si="402"/>
        <v/>
      </c>
      <c r="JE188" t="str">
        <f t="shared" si="403"/>
        <v/>
      </c>
      <c r="JF188" t="str">
        <f t="shared" si="404"/>
        <v/>
      </c>
      <c r="JG188" t="str">
        <f t="shared" si="405"/>
        <v/>
      </c>
      <c r="JH188" t="str">
        <f>IF(B188="","",IFERROR(_xlfn.XLOOKUP(B188,Коды_код,Коды_уго),IFERROR(_xlfn.XLOOKUP(BC188,Коды_код,Коды_уго),IFERROR(_xlfn.XLOOKUP(LEFT(BC188,2),Коды_код,Коды_уго),""))))</f>
        <v>Розетка</v>
      </c>
      <c r="JI188" t="str">
        <f>IF(B188="","",IF(OR(JH188="",JH188=0),"BOX",IFERROR(IF(VLOOKUP(JH188,УГО_блоки,3,FALSE)&amp;""&lt;&gt;"",VLOOKUP(JH188,УГО_блоки,3,FALSE),VLOOKUP(JH188,УГО_блоки,2,FALSE)),JH188)))</f>
        <v>SOCKET</v>
      </c>
      <c r="JJ188">
        <f t="shared" si="406"/>
        <v>1</v>
      </c>
      <c r="JK188" t="str">
        <f>IF(DQ188="","",IF(COUNTIF(DQ$3:DQ188,DQ188)=1,MAX(JK$2:JK187)+1,""))</f>
        <v/>
      </c>
      <c r="JL188" t="str">
        <f>IF(DE188="","",IF(COUNTIF(DE$3:DE188,DE188)+COUNTIF(DF$2:DF187,DE188)+COUNTIF(DG$2:DG187,DE188)=1,MAX(JL$2:JN187)+1,""))</f>
        <v/>
      </c>
      <c r="JM188" t="str">
        <f>IF(DF188="","",IF(COUNTIF(DE$3:DE188,DF188)+COUNTIF(DF$3:DF188,DF188)+COUNTIF(DG$2:DG187,DF188)=1,MAX(JL$2:JN187,JL188)+1,""))</f>
        <v/>
      </c>
      <c r="JN188" t="str">
        <f>IF(DG188="","",IF(COUNTIF(DE$3:DE188,DG188)+COUNTIF(DF$3:DF188,DG188)+COUNTIF(DG$3:DG188,DG188)=1,MAX(JL$2:JN187,JL188,JM188)+1,""))</f>
        <v/>
      </c>
      <c r="JO188" t="str">
        <f t="shared" si="407"/>
        <v>3х2,5</v>
      </c>
      <c r="JP188" t="str">
        <f>IF(JO188="","",IF(COUNTIF(JO$3:JO188,JO188)=1,MAX(JP$2:JP187)+1,""))</f>
        <v/>
      </c>
      <c r="JQ188" t="str">
        <f>IF(HG188="","",COUNTIF(HG$3:HG188,"?*"))</f>
        <v/>
      </c>
      <c r="JR188" t="str">
        <f>IF(OR(HG188="",HI188=""),"",IF(COUNTIFS(HG$3:HG188,"?*",HI$3:HI188,HI188)=1,MAX(JR$2:JR187)+1,""))</f>
        <v/>
      </c>
      <c r="JS188">
        <f t="shared" si="408"/>
        <v>0</v>
      </c>
      <c r="JT188">
        <f>IF(B188="","",COUNTIF(B$3:B188,"?*"))</f>
        <v>186</v>
      </c>
      <c r="JU188">
        <f>IF(HL188&lt;&gt;1,0,_xlfn.LET(_xlpm.k,MAX(IFERROR(--_xlfn.XLOOKUP(B188,Коды_код,Коды_3L),0),IFERROR(--_xlfn.XLOOKUP(BC188,Коды_код,Коды_3L),0),IFERROR(--_xlfn.XLOOKUP(LEFT(BC188,2),Коды_код,Коды_3L),0)),IF(_xlpm.k&gt;0,_xlpm.k,IF(IFERROR(--LEFT(SUBSTITUTE(JO188,"x","х"),FIND("х",SUBSTITUTE(JO188,"x","х"))-1),3)&gt;3,Каталог!$S$9,1))))</f>
        <v>1</v>
      </c>
      <c r="JV188">
        <f t="shared" si="409"/>
        <v>0</v>
      </c>
      <c r="JW188" t="str">
        <f t="shared" si="410"/>
        <v>авто</v>
      </c>
      <c r="JX188">
        <f t="shared" si="411"/>
        <v>30</v>
      </c>
      <c r="JY188">
        <f t="shared" si="412"/>
        <v>1</v>
      </c>
      <c r="JZ188">
        <f t="shared" si="413"/>
        <v>1</v>
      </c>
    </row>
    <row r="189" spans="1:286" x14ac:dyDescent="0.3">
      <c r="A189" t="s">
        <v>755</v>
      </c>
      <c r="B189" t="s">
        <v>1496</v>
      </c>
      <c r="C189" t="str">
        <f>Линии[[#This Row],[_авто наименование]]</f>
        <v>Розеточная группа, пом. 002Б</v>
      </c>
      <c r="D189">
        <v>4</v>
      </c>
      <c r="E189">
        <v>0.24</v>
      </c>
      <c r="G189" t="str">
        <f>Линии[[#This Row],[_авто автомат]]</f>
        <v>2P С16А 30мА</v>
      </c>
      <c r="H189" t="str">
        <f>Линии[[#This Row],[_авто управление]]</f>
        <v/>
      </c>
      <c r="I189" t="str">
        <f>Линии[[#This Row],[_авто аппараты]]</f>
        <v/>
      </c>
      <c r="J189">
        <v>2.5</v>
      </c>
      <c r="K189">
        <v>24</v>
      </c>
      <c r="L189">
        <v>3</v>
      </c>
      <c r="M189" t="str">
        <f>Линии[[#This Row],[_авто клемма]]</f>
        <v>XT5</v>
      </c>
      <c r="N189" t="str">
        <f t="shared" si="276"/>
        <v/>
      </c>
      <c r="O189" s="6" cm="1">
        <f t="array" ref="O189">IF(B189="","",IF(BH189&lt;&gt;"",IFERROR(_xlfn.XLOOKUP(BH189,Щиты[Щит],Щиты[Iр, А]),""),IF(BP189=1,IF(OR(N(_xlfn.XLOOKUP(A189,Щиты[Щит],Щиты[Вводов],1))&lt;=1,LOWER(TRIM(_xlfn.XLOOKUP(A189,Щиты[Щит],Щиты[АВР],"")&amp;""))="да"),IFERROR(_xlfn.XLOOKUP(A189,Щиты[Щит],Щиты[Iр, А]),""),IFERROR(N(BS189)*_xlfn.XLOOKUP(A189,Щиты[Щит],Щиты[Кс итог])/(SQRT(3)*Uн_лин*_xlfn.XLOOKUP(A189,Щиты[Щит],Щиты[cos φ])),"")),IF(BV189=1,IFERROR(BS189*1000/BU189,""),IFERROR(_xlfn.IFS(BX189=1,BS189/((Uн_лин/SQRT(3))*CE189),BX189=3,BS189/(SQRT(3)*Uн_лин*CE189)),"")))))</f>
        <v>1.0939268258329751</v>
      </c>
      <c r="P189" s="7">
        <f>IF(B189="","",IFERROR(IF(VLOOKUP(BC189,Потребители_обозначение,4,FALSE)=1,VLOOKUP(BC189,Потребители_обозначение,3,FALSE)*(MAX(1,N(D189))*2-1)+EI189+VLOOKUP(BE189,Этаж_обозначение,3,FALSE)+VLOOKUP(BE189,Этаж_обозначение,4,FALSE),VLOOKUP(BC189,Потребители_обозначение,3,FALSE)*(MAX(1,N(D189))*2-1)+EI189),EI189))</f>
        <v>45</v>
      </c>
      <c r="Q189" s="6">
        <f t="shared" si="277"/>
        <v>0.8</v>
      </c>
      <c r="R189" t="str">
        <f t="shared" si="278"/>
        <v>ВВГнг(А)-LS (3х2,5)</v>
      </c>
      <c r="S189" t="str">
        <f>IF(BM189="","",IF(BN189="вводной узел","узел ","")&amp;"л."&amp;(INT((BM189-1)/Столбцов_на_лист)+1)&amp;" / "&amp;(MOD(BM189-1,Столбцов_на_лист)+1))</f>
        <v>л.1 / 13</v>
      </c>
      <c r="T189" s="119">
        <f t="shared" si="279"/>
        <v>0.9</v>
      </c>
      <c r="U189" s="7" t="str">
        <f>IF(OR(CG189=0,N(BV189)+N(IB189)=0),"",ROUNDUP(Запас_БП*(N(HY189)+N(HZ189)),0))</f>
        <v/>
      </c>
      <c r="V189" s="119" t="str">
        <f t="shared" si="280"/>
        <v/>
      </c>
      <c r="W189" s="7" t="str">
        <f>IFERROR(IF(OR(B189="",BP189=1,BV189=1,NOT(ISNUMBER(EN189)),N(DT189)=0),"",MAX(0,ROUNDDOWN((c_min*(Uн_лин*1000/SQRT(3))/(HT189*N(DT189))-_xlfn.XLOOKUP(A189,Щиты[Щит],Щиты[Zпетли на шинах, Ом]))*EN189/(2*ρкз_Cu),0))),"")</f>
        <v/>
      </c>
      <c r="Y189">
        <f>Линии[[#This Row],[_авто утечка]]</f>
        <v>30</v>
      </c>
      <c r="Z189">
        <v>1</v>
      </c>
      <c r="AA189">
        <v>230</v>
      </c>
      <c r="AB189" t="s">
        <v>562</v>
      </c>
      <c r="AG189" t="s">
        <v>810</v>
      </c>
      <c r="AI189" t="s">
        <v>561</v>
      </c>
      <c r="AK189" t="str">
        <f>Линии[[#This Row],[_авто модуль]]</f>
        <v/>
      </c>
      <c r="AM189">
        <v>13</v>
      </c>
      <c r="AN189" t="s">
        <v>11</v>
      </c>
      <c r="AO189">
        <v>3</v>
      </c>
      <c r="AQ189">
        <v>0</v>
      </c>
      <c r="AR189">
        <v>0</v>
      </c>
      <c r="AS189">
        <v>24</v>
      </c>
      <c r="BA189" cm="1">
        <f t="array" ref="BA189">ROW()-ROW(Линии[#Headers])</f>
        <v>187</v>
      </c>
      <c r="BC189" s="6" t="str">
        <f t="shared" si="281"/>
        <v>R</v>
      </c>
      <c r="BD189" t="str">
        <f t="shared" si="282"/>
        <v>0.002Б.1</v>
      </c>
      <c r="BE189" t="str">
        <f t="shared" si="283"/>
        <v>0</v>
      </c>
      <c r="BF189" t="str">
        <f t="shared" si="284"/>
        <v>002Б.1</v>
      </c>
      <c r="BG189" t="str">
        <f t="shared" si="285"/>
        <v>002Б</v>
      </c>
      <c r="BH189" t="str">
        <f>IF(X189&lt;&gt;"",X189,IF(AND(B189&lt;&gt;"",B189&lt;&gt;A189,ISNUMBER(_xlfn.XMATCH(B189,Щиты[Щит]))),B189,""))</f>
        <v/>
      </c>
      <c r="BI189" t="str" cm="1">
        <f t="array" ref="BI189">IF(B189="","",IF(BH189&lt;&gt;"","Щит "&amp;BH189,_xlfn.LET(_xlpm.nm,IFERROR(_xlfn.XLOOKUP(BC189,Коды_код,Коды_имя)&amp;"",""),_xlpm.md,IFERROR(N(_xlfn.XLOOKUP(BC189,Коды_код,Коды_режим)),1),_xlpm.ex,IF(Имя_режим="по экспликации",IFERROR(_xlfn.XLOOKUP(BE189&amp;"|"&amp;BG189,Экспликация[Этаж]&amp;"|"&amp;Экспликация[Помещение],Экспликация[Название])&amp;"",""),""),_xlpm.rm,IF(BG189="","",IF(_xlpm.ex&lt;&gt;"",". "&amp;_xlpm.ex&amp;IF(Имя_пом="нет"," ("&amp;BG189&amp;")"," (пом. "&amp;BG189&amp;")"),IF(Имя_пом="нет"," ",", пом. ")&amp;BG189)),IF(_xlpm.nm="","",IF(_xlpm.md=2,_xlpm.nm&amp;" шлейф "&amp;BE189,_xlpm.nm&amp;_xlpm.rm)))))</f>
        <v>Розеточная группа, пом. 002Б</v>
      </c>
      <c r="BJ189" t="str">
        <f t="shared" si="286"/>
        <v>Розеточная группа, пом. 002Б</v>
      </c>
      <c r="BK189">
        <f>IFERROR(_xlfn.XMATCH(A189,Щиты[Щит]),0)</f>
        <v>9</v>
      </c>
      <c r="BL189">
        <f>_xlfn.LET(_xlpm.k,IFERROR(_xlfn.XLOOKUP(A189,Щиты[Щит],Щиты[Мест под вводной узел]),""),IF(_xlpm.k="",Столбцов_на_лист,N(_xlpm.k)))</f>
        <v>8</v>
      </c>
      <c r="BM189">
        <f t="shared" si="287"/>
        <v>13</v>
      </c>
      <c r="BN189" t="str">
        <f t="shared" si="288"/>
        <v>линии</v>
      </c>
      <c r="BO189" s="6">
        <f>IFERROR(N(_xlfn.XLOOKUP(BC189,Коды_код,Коды_квт)),0)</f>
        <v>0</v>
      </c>
      <c r="BP189">
        <f t="shared" si="289"/>
        <v>0</v>
      </c>
      <c r="BQ189" t="str">
        <f>IF(B189="","",IF(BH189&lt;&gt;"",IFERROR(_xlfn.XLOOKUP(BH189,Щиты[Щит],Щиты[Руст, кВт]),0),IF(BP189=1,IF(OR(N(_xlfn.XLOOKUP(A189,Щиты[Щит],Щиты[Вводов],1))&lt;=1,LOWER(TRIM(_xlfn.XLOOKUP(A189,Щиты[Щит],Щиты[АВР],"")&amp;""))="да"),IFERROR(_xlfn.XLOOKUP(A189,Щиты[Щит],Щиты[Руст, кВт]),0),SUMIFS(Линии[_Р для вводов],Линии[Щит],A189,Линии[Источник для режимов],GF189)),IF(BO189&gt;0,ROUND(BO189*MAX(1,N(D189)),3),""))))</f>
        <v/>
      </c>
      <c r="BR189">
        <f t="shared" si="290"/>
        <v>0.24</v>
      </c>
      <c r="BS189" s="6">
        <f>IF(B189="","",IF(BH189&lt;&gt;"",IFERROR(_xlfn.XLOOKUP(BH189,Щиты[Щит],Щиты[Руст, кВт]),0),N(BR189)))</f>
        <v>0.24</v>
      </c>
      <c r="BT189" t="str">
        <f>IF(B189="","",IFERROR(IF(VLOOKUP(BC189,Потребители_обозначение,8,FALSE)=0,"",VLOOKUP(BC189,Потребители_обозначение,8,FALSE)),""))</f>
        <v/>
      </c>
      <c r="BU189">
        <f t="shared" si="291"/>
        <v>230</v>
      </c>
      <c r="BV189">
        <f t="shared" si="292"/>
        <v>0</v>
      </c>
      <c r="BW189">
        <f>IF(B189="","",IF(BH189&lt;&gt;"",3,IFERROR(IF(N(VLOOKUP(BC189,Потребители_обозначение,9,FALSE))=0,1,VLOOKUP(BC189,Потребители_обозначение,9,FALSE)),1)))</f>
        <v>1</v>
      </c>
      <c r="BX189">
        <f t="shared" si="293"/>
        <v>1</v>
      </c>
      <c r="BY189" t="str">
        <f>IF(B189="","",_xlfn.LET(_xlpm.bc,IFERROR(IF(VLOOKUP(BC189,Потребители_обозначение,6,FALSE)=0,"",VLOOKUP(BC189,Потребители_обозначение,6,FALSE)&amp;""),""),IF(AND(GA189="да",OR(_xlpm.bc="",_xlpm.bc="мс")),Марка_пож,IF(AND(_xlpm.bc="",BH189&lt;&gt;""),"мс",_xlpm.bc))))</f>
        <v/>
      </c>
      <c r="BZ189" t="str">
        <f t="shared" si="294"/>
        <v>мс</v>
      </c>
      <c r="CA189">
        <f>IF(B189="","",_xlfn.LET(_xlpm.cc,IFERROR(N(VLOOKUP(BC189,Потребители_обозначение,7,FALSE)),0),IF(_xlpm.cc&gt;0,_xlpm.cc,IF(BZ189="","",IF(BV189=1,2,IF(N(BX189)=3,5,3))))))</f>
        <v>3</v>
      </c>
      <c r="CB189">
        <f t="shared" si="295"/>
        <v>3</v>
      </c>
      <c r="CC189">
        <f>IFERROR(N(VLOOKUP(BC189,Потребители_обозначение,10,FALSE)),0)</f>
        <v>0</v>
      </c>
      <c r="CD189">
        <f>IFERROR(VLOOKUP(BC189,Потребители_обозначение,5,FALSE),0)</f>
        <v>1</v>
      </c>
      <c r="CE189" s="6" cm="1">
        <f t="array" ref="CE189">IF(B189="","",IF(BH189&lt;&gt;"",IFERROR(_xlfn.XLOOKUP(BH189,Щиты[Щит],Щиты[cos φ]),0.95),IF(BP189=1,IFERROR(_xlfn.XLOOKUP(A189,Щиты[Щит],Щиты[cos φ]),0.95),IF(ISNUMBER(AD189),AD189,IFERROR(IF(CD189=2,_xlfn.IFS(BX189=3,VLOOKUP(BS189,Справочная_двигатели,8,FALSE),BX189=1,VLOOKUP(BS189,Справочная_двигатели,10,TRUE)),IF(AND(Методика="нормы 2026",FG189="Сил"),0.8,0.95)),0.95)))))</f>
        <v>0.95</v>
      </c>
      <c r="CF189">
        <f t="shared" si="296"/>
        <v>0</v>
      </c>
      <c r="CG189">
        <f t="shared" si="297"/>
        <v>1</v>
      </c>
      <c r="CH189">
        <f t="shared" si="298"/>
        <v>0</v>
      </c>
      <c r="CI189">
        <f>IF(B189="","",IF(BV189=1,IFERROR(BS189/((Uн_лин/SQRT(3))*MAX(0.5,N(CE189))),0),N(O189)))</f>
        <v>1.0939268258329751</v>
      </c>
      <c r="CJ189">
        <f t="shared" si="299"/>
        <v>0</v>
      </c>
      <c r="CK189">
        <f t="shared" si="300"/>
        <v>0</v>
      </c>
      <c r="CL189">
        <f t="shared" si="301"/>
        <v>0</v>
      </c>
      <c r="CM189">
        <f t="shared" si="302"/>
        <v>0</v>
      </c>
      <c r="CN189">
        <f t="shared" si="303"/>
        <v>0</v>
      </c>
      <c r="CO189">
        <f>IF(BC189="",0,_xlfn.LET(_xlpm.v,IFERROR(_xlfn.XLOOKUP(B189,Коды_код,Коды_мА),IFERROR(_xlfn.XLOOKUP(BC189,Коды_код,Коды_мА),IFERROR(_xlfn.XLOOKUP(LEFT(BC189,2),Коды_код,Коды_мА),""))),IF(_xlpm.v="да",30,IF(ISNUMBER(_xlpm.v),_xlpm.v,0))))</f>
        <v>30</v>
      </c>
      <c r="CP189">
        <f t="shared" si="304"/>
        <v>30</v>
      </c>
      <c r="CQ189" t="str">
        <f>_xlfn.LET(_xlpm.k,IFERROR(_xlfn.XLOOKUP(BC189,Коды_код,Коды_утечка)&amp;"",""),IF(_xlpm.k="","дифавтомат",_xlpm.k))</f>
        <v>дифавтомат</v>
      </c>
      <c r="CR189" t="str" cm="1">
        <f t="array" ref="CR189">IF(CG189=0,"",_xlfn.LET(_xlpm.sg,TRIM(_xlfn.TEXTSPLIT(DD189&amp;"",";")),_xlpm.f_,_xlfn._xlws.FILTER(_xlpm.sg,LEFT(_xlpm.sg,3)="УЗО",""),IFERROR(INDEX(_xlpm.f_,1)&amp;"","")))</f>
        <v/>
      </c>
      <c r="CS189" t="str">
        <f t="shared" si="305"/>
        <v/>
      </c>
      <c r="CT189" s="6" t="str" cm="1">
        <f t="array" ref="CT189">IF(CR189="","",_xlfn.LET(_xlpm.tk,_xlfn.TEXTSPLIT(UPPER(CR189)," ",,TRUE),_xlpm.a_,_xlfn._xlws.FILTER(_xlpm.tk,ISNUMBER(--LEFT(_xlpm.tk,1))*((ISNUMBER(SEARCH("А",_xlpm.tk))+ISNUMBER(SEARCH("A",_xlpm.tk)))&gt;0)*NOT(ISNUMBER(SEARCH("МА",_xlpm.tk)))*NOT(ISNUMBER(SEARCH("MA",_xlpm.tk))),""),IFERROR(--SUBSTITUTE(SUBSTITUTE(INDEX(_xlpm.a_,1),"А",""),"A",""),"")))</f>
        <v/>
      </c>
      <c r="CU189" t="str" cm="1">
        <f t="array" ref="CU189">IF(CR189="","",_xlfn.LET(_xlpm.tk,_xlfn.TEXTSPLIT(UPPER(CR189)," ",,TRUE),_xlpm.a_,_xlfn._xlws.FILTER(_xlpm.tk,ISNUMBER(--LEFT(_xlpm.tk,1))*((ISNUMBER(SEARCH("МА",_xlpm.tk))+ISNUMBER(SEARCH("MA",_xlpm.tk)))&gt;0),""),IFERROR(--SUBSTITUTE(SUBSTITUTE(INDEX(_xlpm.a_,1),"МА",""),"MA",""),30)))</f>
        <v/>
      </c>
      <c r="CV189" t="str">
        <f>IF(CS189="","",IFERROR(_xlfn.XLOOKUP(CS189,Линии[_n],Линии[_УЗО, мА]),30))</f>
        <v/>
      </c>
      <c r="CW189">
        <f>IF(CS189="",0,IF(ISNUMBER(SEARCH("4P",IFERROR(_xlfn.XLOOKUP(CS189,Линии[_n],Линии[_УЗО строки])&amp;"",""))),0,1))</f>
        <v>0</v>
      </c>
      <c r="CX189" t="str">
        <f>IF(AND(CS189&lt;&gt;"",CS189=BA189),SUMIFS(Линии[_ток на 230 В],Линии[_блок УЗО],BA189,Линии[Щит],A189),"")</f>
        <v/>
      </c>
      <c r="CY189" t="str">
        <f>IF(AND(CS189&lt;&gt;"",CS189=BA189),SUMIFS(Линии[_ток утечки линии, мА],Линии[_блок УЗО],BA189,Линии[Щит],A189),"")</f>
        <v/>
      </c>
      <c r="CZ189">
        <f t="shared" si="306"/>
        <v>30</v>
      </c>
      <c r="DA189">
        <f t="shared" si="307"/>
        <v>30</v>
      </c>
      <c r="DB189">
        <f>IF(B189="",0,IFERROR(--_xlfn.XLOOKUP(B189,Коды_код,Коды_минавт),IFERROR(--_xlfn.XLOOKUP(BC189,Коды_код,Коды_минавт),IFERROR(--_xlfn.XLOOKUP(LEFT(BC189,2),Коды_код,Коды_минавт),0))))</f>
        <v>16</v>
      </c>
      <c r="DC189" t="str">
        <f>IF(B189="","",IFERROR(_xlfn.XLOOKUP(BC189,Коды_код,Коды_апп)&amp;"",""))</f>
        <v/>
      </c>
      <c r="DD189" t="str">
        <f t="shared" si="308"/>
        <v/>
      </c>
      <c r="DE189" t="str" cm="1">
        <f t="array" ref="DE189">IF(TRIM(DD189&amp;"")="","",IFERROR(TRIM(INDEX(_xlfn.TEXTSPLIT(DD189&amp;";;;",";"),1)),""))</f>
        <v/>
      </c>
      <c r="DF189" t="str" cm="1">
        <f t="array" ref="DF189">IF(TRIM(DD189&amp;"")="","",IFERROR(TRIM(INDEX(_xlfn.TEXTSPLIT(DD189&amp;";;;",";"),2)),""))</f>
        <v/>
      </c>
      <c r="DG189" t="str" cm="1">
        <f t="array" ref="DG189">IF(TRIM(DD189&amp;"")="","",IFERROR(TRIM(INDEX(_xlfn.TEXTSPLIT(DD189&amp;";;;",";"),3)),""))</f>
        <v/>
      </c>
      <c r="DH189">
        <f t="shared" si="309"/>
        <v>0</v>
      </c>
      <c r="DI189" t="str">
        <f>IF(B189="","",_xlfn.LET(_xlpm.t,LOWER(AZ189&amp;""),IF(ISNUMBER(SEARCH("dim",_xlpm.t)),"DIM",IF(ISNUMBER(SEARCH("dali",_xlpm.t)),"DALI",IF(OR(ISNUMBER(SEARCH("relay",_xlpm.t)),ISNUMBER(SEARCH("реле",_xlpm.t))),"Relay",IF(ISNUMBER(SEARCH("кнопк",_xlpm.t)),"",IFERROR(_xlfn.XLOOKUP(BC189,Коды_код,Коды_упр)&amp;"","")))))))</f>
        <v/>
      </c>
      <c r="DJ189" t="str">
        <f t="shared" si="310"/>
        <v/>
      </c>
      <c r="DK189">
        <f>IF(B189="","",_xlfn.LET(_xlpm.ig,IF(N(CX189)&gt;0,N(CX189),N(CI189)+IF(AJ189="вручную",0,N(CJ189))),_xlpm.n0,IFERROR(VLOOKUP(_xlpm.ig,Автомат_номиналы,2,TRUE),0),_xlpm.mn,MAX(DB189,IF(AJ189="вручную",0,N(CM189))),MAX(_xlpm.n0,_xlpm.mn,IF(DH189=1,Мин_автомат_БП,0))))</f>
        <v>16</v>
      </c>
      <c r="DL189">
        <f t="shared" si="311"/>
        <v>1</v>
      </c>
      <c r="DM189" t="str">
        <f t="shared" si="312"/>
        <v>2P</v>
      </c>
      <c r="DN189" t="str">
        <f>_xlfn.LET(_xlpm.cc,UPPER(TRIM(IFERROR(_xlfn.XLOOKUP(BC189,Коды_код,Коды_хар)&amp;"",""))),IF(OR(_xlpm.cc="B",_xlpm.cc="В"),"B",IF(_xlpm.cc="D","D","С")))</f>
        <v>С</v>
      </c>
      <c r="DO189" t="str">
        <f t="shared" si="313"/>
        <v>2P С16А 30мА</v>
      </c>
      <c r="DP189" t="str">
        <f t="shared" si="314"/>
        <v>2P С16А 30мА</v>
      </c>
      <c r="DQ189" t="str">
        <f t="shared" si="315"/>
        <v>2P С16А 30мА</v>
      </c>
      <c r="DR189" cm="1">
        <f t="array" ref="DR189">IF(DQ189="","",_xlfn.LET(_xlpm.t,SUBSTITUTE(SUBSTITUTE(SUBSTITUTE(UPPER(DQ189),"С","C"),"А","A"),"В","B"),_xlpm.tk,_xlfn.TEXTSPLIT(_xlpm.t," "),_xlpm.f,_xlfn._xlws.FILTER(_xlpm.tk,ISNUMBER(--MID(_xlpm.tk,2,1))*ISNUMBER(SEARCH(LEFT(_xlpm.tk,1)&amp;"#","B#C#D#"))*(LEN(_xlpm.tk)&gt;1),""),_xlpm.x,INDEX(_xlpm.f,1),IFERROR(--SUBSTITUTE(MID(_xlpm.x,2,9),"A",""),IFERROR(--SUBSTITUTE(INDEX(_xlfn._xlws.FILTER(_xlpm.tk,ISNUMBER(--SUBSTITUTE(_xlpm.tk,"A","")),""),1),"A",""),""))))</f>
        <v>16</v>
      </c>
      <c r="DS189" t="str">
        <f t="shared" si="316"/>
        <v>ok</v>
      </c>
      <c r="DT189">
        <f t="shared" si="317"/>
        <v>16</v>
      </c>
      <c r="DU189" t="str">
        <f t="shared" si="318"/>
        <v>2P С16А 30мА</v>
      </c>
      <c r="DV189">
        <f t="shared" si="319"/>
        <v>30</v>
      </c>
      <c r="DW189">
        <f t="shared" si="320"/>
        <v>1</v>
      </c>
      <c r="DX189">
        <f t="shared" si="321"/>
        <v>0</v>
      </c>
      <c r="DY189">
        <f t="shared" si="322"/>
        <v>1.0939268258329751</v>
      </c>
      <c r="DZ189">
        <f t="shared" si="323"/>
        <v>1</v>
      </c>
      <c r="EA189">
        <f>IF(ISNUMBER(AP189),AP189,К_прокл)</f>
        <v>1</v>
      </c>
      <c r="EB189">
        <f t="shared" si="324"/>
        <v>2</v>
      </c>
      <c r="EC189">
        <f>IFERROR(N(VLOOKUP(BZ189,Кабель_обозначение,3,FALSE)),1)</f>
        <v>1</v>
      </c>
      <c r="ED189">
        <f>IFERROR(N(_xlfn.XLOOKUP(A189,Щиты[Щит],Щиты[ΔU до шин, %])),0)</f>
        <v>0.43</v>
      </c>
      <c r="EE189" t="str">
        <f>IFERROR(_xlfn.XLOOKUP(A189,Щиты[Щит],Щиты[Zпетли на шинах, Ом]),"")</f>
        <v/>
      </c>
      <c r="EF189">
        <f>IFERROR(N(_xlfn.XLOOKUP(A189,Щиты[Щит],Щиты[ΔU до шин (подбор), %])),0)</f>
        <v>0.43</v>
      </c>
      <c r="EG189" t="str">
        <f>IFERROR(_xlfn.XLOOKUP(A189,Щиты[Щит],Щиты[Zпетли на шинах (подбор), Ом]),"")</f>
        <v/>
      </c>
      <c r="EH189" t="str">
        <f t="shared" si="325"/>
        <v/>
      </c>
      <c r="EI189">
        <f t="shared" si="326"/>
        <v>24</v>
      </c>
      <c r="EJ189">
        <f t="shared" si="327"/>
        <v>2</v>
      </c>
      <c r="EK189">
        <f t="shared" si="328"/>
        <v>0.31</v>
      </c>
      <c r="EL189" s="6">
        <f>IF(B189="","",IF(BV189=1,dU_LED,IF(IFERROR(_xlfn.XLOOKUP(BC189,Коды_код,Коды_уго),"")="Светильник",3,4)+IF(Методика="нормы 2026",MIN(0.5,MAX(0,N(P189)-100)*0.005),0)))</f>
        <v>4</v>
      </c>
      <c r="EM189" cm="1">
        <f t="array" ref="EM189">IF(OR(B189="",BZ189="",EC189&lt;&gt;1),"",_xlfn.LET(_xlpm.sz,Iдоп_S,_xlpm.t_,CHOOSE(EB189,Iдоп_1ж,Iдоп_2ж,Iдоп_3ж)*DZ189*EA189,_xlpm.dcx,BV189=1,_xlpm.inn,IF(_xlpm.dcx,N(O189),N(DT189)),_xlpm.smin,MAX(1.5,CC189),_xlpm.L_,N(P189)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189)/N(BU189)*100,999),IFERROR(N(EJ189)*(_xlpm.rho*_xlpm.L_/_xlpm.sz*N(CE189)+_xlpm.xx*_xlpm.L_*N(EK189)/1000)*N(O189)/((Uн_лин/SQRT(3))*1000)*100,999)),_xlpm.kz,IF(OR(_xlpm.dcx,DW189=1,NOT(ISNUMBER(EG189)),_xlpm.L_=0,_xlpm.inn=0),1,IFERROR(--(c_min*(Uн_лин*1000/SQRT(3))/(EG189+2*ρкз_Cu*_xlpm.L_/_xlpm.sz)&gt;=HT189*_xlpm.inn),0)),_xlpm.ok,IFERROR((_xlpm.sz&gt;=_xlpm.smin)*(_xlpm.t_&gt;=_xlpm.inn)*IF(_xlpm.L_&gt;0,(_xlpm.du_+IF(_xlpm.dcx,0,EF189)&lt;=EL189+0.00001),1)*_xlpm.kz,0),_xlpm.r_,_xlfn._xlws.FILTER(_xlpm.sz,_xlpm.ok,"не подобрано"),INDEX(_xlpm.r_,1)))</f>
        <v>1.5</v>
      </c>
      <c r="EN189">
        <f t="shared" si="329"/>
        <v>2.5</v>
      </c>
      <c r="EO189" cm="1">
        <f t="array" ref="EO189">IF(OR(B189="",BZ189="",EC189&lt;&gt;1),"",_xlfn.LET(_xlpm.sz,Iдоп_S,_xlpm.t_,CHOOSE(EB189,Iдоп_1ж,Iдоп_2ж,Iдоп_3ж)*DZ189*EA189,_xlpm.ok,IFERROR((_xlpm.sz&gt;=MAX(1.5,CC189))*(_xlpm.t_&gt;=N(DT189)),0),_xlpm.r_,_xlfn._xlws.FILTER(_xlpm.sz,_xlpm.ok,""),INDEX(_xlpm.r_,1)))</f>
        <v>1.5</v>
      </c>
      <c r="EP189" s="6" cm="1">
        <f t="array" ref="EP189">IFERROR(ROUNDUP(N(EJ189)*(_xlfn.XLOOKUP(EO189,INDEX(Кабель_сопротивление,0,1),INDEX(Кабель_сопротивление,0,3))*N(P189)/EO189*N(CE189)+_xlfn.XLOOKUP(EO189,INDEX(Кабель_сопротивление,0,1),INDEX(Кабель_сопротивление,0,2))*N(P189)*N(EK189)/1000)*N(O189)/((Uн_лин/SQRT(3))*1000)*100,2),"")</f>
        <v>0.61</v>
      </c>
      <c r="EQ189">
        <f>IFERROR(2*ρкз_Cu*N(P189)/EO189,"")</f>
        <v>1.5780000000000001</v>
      </c>
      <c r="ER189">
        <f>IFERROR(VLOOKUP(EN189,Кабель_сопротивление,3,FALSE),"")</f>
        <v>2.2499999999999999E-2</v>
      </c>
      <c r="ES189">
        <f>IFERROR(VLOOKUP(EN189,Кабель_сопротивление,2,FALSE),"")</f>
        <v>0.1</v>
      </c>
      <c r="ET189">
        <f t="shared" si="330"/>
        <v>0</v>
      </c>
      <c r="EU189">
        <f t="shared" si="331"/>
        <v>24</v>
      </c>
      <c r="EV189">
        <f t="shared" si="332"/>
        <v>0.84482874832254828</v>
      </c>
      <c r="EW189" s="6">
        <f>IFERROR(ROUNDUP(EV189/IF(BV189=1,BU189,(Uн_лин/SQRT(3))*1000)*100,2),"")</f>
        <v>0.37</v>
      </c>
      <c r="EX189" t="str">
        <f>IFERROR(VLOOKUP(BZ189,Кабель_обозначение,2,FALSE),"")</f>
        <v>ВВГнг(А)-LS</v>
      </c>
      <c r="EY189" t="str">
        <f t="shared" si="333"/>
        <v>ВВГнг(А)-LS (3х2,5)</v>
      </c>
      <c r="EZ189" t="str">
        <f t="shared" si="334"/>
        <v>ВВГнг(А)-LS (3х2,5)
L=45-0,37%</v>
      </c>
      <c r="FA189">
        <f>IFERROR(2*ρкз_Cu*P189/EN189,"")</f>
        <v>0.94679999999999997</v>
      </c>
      <c r="FB189">
        <f t="shared" si="335"/>
        <v>0.31500000000000006</v>
      </c>
      <c r="FC189" s="6" t="str">
        <f>IFERROR(IF(OR(B189="",BV189=1,NOT(ISNUMBER(EN189)),N(P189)=0),"",_xlfn.XLOOKUP(A189,Щиты[Щит],Щиты[Zпетли на шинах, Ом])+FA189),"")</f>
        <v/>
      </c>
      <c r="FD189" s="6" t="str">
        <f>IF(ISNUMBER(FC189),c_min*(Uн_лин*1000/SQRT(3))/FC189,"")</f>
        <v/>
      </c>
      <c r="FE189" s="6" t="str">
        <f>IFERROR(IF(OR(B189="",NOT(ISNUMBER(EN189))),"",1.05*(Uн_лин*1000/SQRT(3))/(_xlfn.XLOOKUP(A189,Щиты[Щит],Щиты[Zmax на шинах, Ом])+FB189)/1000),"")</f>
        <v/>
      </c>
      <c r="FF189" s="6" t="str">
        <f>IF(B189="","",IF(ISNUMBER(AC189),"Сил",IF(IFERROR(_xlfn.XLOOKUP(BC189,Коды_код,Коды_группа)&amp;"","")="","Быт",_xlfn.XLOOKUP(BC189,Коды_код,Коды_группа)&amp;"")))</f>
        <v>Быт</v>
      </c>
      <c r="FG189" s="6" t="str">
        <f t="shared" si="336"/>
        <v>Быт</v>
      </c>
      <c r="FH189" s="6">
        <f>IF(FG189="Щит","щит",IF(FG189="","",IF(FG189="Быт",IFERROR(_xlfn.XLOOKUP(A189,Щиты[Щит],Щиты[Кс быт]),1),IF(FG189="Сил",IF(ISNUMBER(AC189),AC189,IF(Методика="нормы 2026",IFERROR(_xlfn.XLOOKUP(A189,Щиты[Щит],Щиты[Кс силовых (табл. 7.5)]),1),1)),IF(OR(FG189="Пост",FG189="Отоп"),1,IF(FG189="ВНГ",0.7,0))))))</f>
        <v>0.79799999999999993</v>
      </c>
      <c r="FI189">
        <f>IF(FG189="","",IF(AND(BP189=1,TRIM(AE189&amp;"")=""),IF(COUNTIFS(Линии[Щит],A189,Линии[Секция (1/2/3)],"&gt;=2")&gt;0,MIN(3,MAX(1,IFERROR(--BD189,1))),1),IFERROR(MIN(3,MAX(1,INT(--AE189))),1)))</f>
        <v>1</v>
      </c>
      <c r="FJ189">
        <f t="shared" si="337"/>
        <v>0.24</v>
      </c>
      <c r="FK189">
        <f t="shared" si="338"/>
        <v>0.24</v>
      </c>
      <c r="FL189">
        <f t="shared" si="339"/>
        <v>0</v>
      </c>
      <c r="FM189">
        <f t="shared" si="340"/>
        <v>0</v>
      </c>
      <c r="FN189">
        <f t="shared" si="341"/>
        <v>0</v>
      </c>
      <c r="FO189">
        <f t="shared" si="342"/>
        <v>0</v>
      </c>
      <c r="FP189">
        <f t="shared" si="343"/>
        <v>0.24</v>
      </c>
      <c r="FQ189">
        <f t="shared" si="344"/>
        <v>0.24</v>
      </c>
      <c r="FR189">
        <f t="shared" si="345"/>
        <v>0.22799999999999998</v>
      </c>
      <c r="FS189">
        <f>IF(CG189=1,IF(AND(CH189=1,CW189=1),0,IF(AND(CS189&lt;&gt;"",CS189=BA189,CW189=1),SUMIFS(Линии[_Р линии, кВт],Линии[_блок УЗО],BA189,Линии[Щит],A189),N(BS189)+IF(AJ189="вручную",0,N(CK189)))),0)</f>
        <v>0.24</v>
      </c>
      <c r="FT189" t="str">
        <f t="shared" si="346"/>
        <v>L3</v>
      </c>
      <c r="FU189" t="str">
        <f>IF(B189="","",IF(CG189=0,IF(BA189=1,"",FW188),IF(AND(CH189=1,CW189=1,CS189&lt;&gt;""),IFERROR(_xlfn.XLOOKUP(CS189,Линии[_n],Линии[_фаза итог]),"L1"),IF(OR(N(DL189)&gt;=3,N(BX189)&gt;=3),"L1,L2,L3",IFERROR(_xlfn.TEXTBEFORE(_xlfn.TEXTAFTER(_xlfn.XLOOKUP(A189,Щиты[Щит],Щиты[_фазы авто]),";"&amp;BA189&amp;":"),";"),"L1")))))</f>
        <v>L1</v>
      </c>
      <c r="FV189" t="str">
        <f t="shared" si="347"/>
        <v>L3</v>
      </c>
      <c r="FW189" t="str">
        <f t="shared" si="348"/>
        <v>L3</v>
      </c>
      <c r="FX189" cm="1">
        <f t="array" ref="FX189">IFERROR(IF(CD189=2,_xlfn.IFS(BX189=3,VLOOKUP(BS189,Справочная_двигатели,3,FALSE),BX189=1,VLOOKUP(BS189,Справочная_двигатели,5,TRUE)),0),0)</f>
        <v>0</v>
      </c>
      <c r="FY189">
        <f>IFERROR(IF(CD189=3,VLOOKUP(BS189,Справочная_ЛЭД,2,TRUE),0),0)</f>
        <v>0</v>
      </c>
      <c r="FZ189" s="6">
        <f t="shared" si="349"/>
        <v>0</v>
      </c>
      <c r="GA189" t="str">
        <f>IF(B189="","",IF(TRIM(AH189&amp;"")&lt;&gt;"",IF(LOWER(TRIM(AH189&amp;""))="да","да","нет"),IF(IFERROR(_xlfn.XLOOKUP(BC189,Коды_код,Коды_пожарная),"")="да","да","нет")))</f>
        <v>нет</v>
      </c>
      <c r="GB189" t="str">
        <f t="shared" si="350"/>
        <v/>
      </c>
      <c r="GC189" t="str">
        <f t="shared" si="351"/>
        <v>основная</v>
      </c>
      <c r="GD189">
        <f>IF(AND(BP189=1,TRIM(AE189&amp;"")=""),IF(COUNTIFS(Линии[Щит],A189,Линии[Секция (1/2/3)],"&gt;=2")&gt;0,MIN(3,MAX(1,IFERROR(--BD189,1))),1),IFERROR(MIN(3,MAX(1,INT(--AE189))),1))</f>
        <v>1</v>
      </c>
      <c r="GE189" t="str" cm="1">
        <f t="array" ref="GE189">IF(B189="","",_xlfn.LET(_xlpm.t,IFERROR(_xlfn.XLOOKUP(1,(Шины[Шина]=GC189)*(((Шины[Щит]=A189)+(Шины[Щит]=""))&gt;0),Шины[Тип]),"")&amp;"",IF(_xlpm.t&lt;&gt;"",_xlpm.t,IF(ISNUMBER(SEARCH("ИБП",GC189)),"ИБП",IF(ISNUMBER(SEARCH("ДГУ",GC189)),"ДГУ","Ввод "&amp;GD189)))))</f>
        <v>Ввод 1</v>
      </c>
      <c r="GF189" t="str">
        <f t="shared" si="352"/>
        <v>Ввод 1</v>
      </c>
      <c r="GG189" t="str">
        <f>IF(BP189=0,"",IF(TRIM(AG189&amp;"")&lt;&gt;"",TRIM(AG189&amp;""),IF(OR(GE189="ИБП",GE189="ДГУ"),"I особая",_xlfn.XLOOKUP(A189,Щиты[Щит],Щиты[Категория шины «Ввод»],"III"))))</f>
        <v/>
      </c>
      <c r="GH189" t="str">
        <f>IF(A189="","",_xlfn.XLOOKUP(A189,Щиты[Щит],Щиты[Путь],""))</f>
        <v>|ГРЩ-ЖД|ЩР-01|</v>
      </c>
      <c r="GI189" t="str">
        <f>IF(B189="","",IF(AI189&lt;&gt;"",AI189,IF(IFERROR(_xlfn.XLOOKUP(BC189,Коды_код,Коды_вид)&amp;"","")="","Прочее",_xlfn.XLOOKUP(BC189,Коды_код,Коды_вид)&amp;"")))</f>
        <v>Розеточная сеть и бытовые приборы</v>
      </c>
      <c r="GJ189">
        <f>IF(BM189="","",INT((BM189-1)/Столбцов_на_лист)+1)</f>
        <v>1</v>
      </c>
      <c r="GK189" t="str">
        <f t="shared" si="353"/>
        <v>ВВГнг(А)-LS (3х2,5) L=45-0,37%</v>
      </c>
      <c r="GL189">
        <f t="shared" si="354"/>
        <v>0.24</v>
      </c>
      <c r="GM189">
        <f t="shared" si="355"/>
        <v>1.1000000000000001</v>
      </c>
      <c r="GN189">
        <f t="shared" si="356"/>
        <v>1</v>
      </c>
      <c r="GO189">
        <f t="shared" si="357"/>
        <v>0</v>
      </c>
      <c r="GP189">
        <f t="shared" si="358"/>
        <v>1</v>
      </c>
      <c r="GQ189">
        <f>IF(BM189="","",IF(AND(CG189=1,GP189=1),COUNTIFS(A$3:A189,A189,CG$3:CG189,1,GP$3:GP189,1),IF(OR(OR(BA189=1,A189&lt;&gt;A188),AJ189="вручную",GP189=0),"",IF(BA189=1,"",GR188))))</f>
        <v>5</v>
      </c>
      <c r="GR189">
        <f t="shared" si="359"/>
        <v>5</v>
      </c>
      <c r="GS189">
        <f>IF(B189="","",IFERROR(LOOKUP(INDEX(CHOOSE(EB189,Iдоп_1ж,Iдоп_2ж,Iдоп_3ж),MATCH(EN189,Iдоп_S,0))*DZ189*EA189,{6,10,16,20,25,32,40,50,63,80,100,125,160,200,250,315,400,500,630}),""))</f>
        <v>25</v>
      </c>
      <c r="GT189" t="str">
        <f t="shared" si="360"/>
        <v>QFD5</v>
      </c>
      <c r="GU189" t="str">
        <f t="shared" si="361"/>
        <v>QFD5</v>
      </c>
      <c r="GV189" t="str">
        <f t="shared" si="362"/>
        <v/>
      </c>
      <c r="GW189">
        <f t="shared" si="363"/>
        <v>0</v>
      </c>
      <c r="GX189" t="str">
        <f>IF(OR(B189="",DJ189=""),"",IFERROR(_xlfn.XLOOKUP(DJ189,Модули_умолч[Управление],Модули_умолч[Модель])&amp;"",""))</f>
        <v/>
      </c>
      <c r="GY189">
        <f>IF(DJ189="",1,IFERROR(MAX(0,N(_xlfn.XLOOKUP(DJ189,Модули_умолч[Управление],Модули_умолч[Каналов на линию]))),1))</f>
        <v>1</v>
      </c>
      <c r="GZ189" t="str">
        <f t="shared" si="364"/>
        <v/>
      </c>
      <c r="HA189" t="str">
        <f t="shared" si="365"/>
        <v/>
      </c>
      <c r="HB189" t="str">
        <f t="shared" si="366"/>
        <v/>
      </c>
      <c r="HC189">
        <f>IF(HB189="",0,IFERROR(N(VLOOKUP(HB189,Модули_спр,3,FALSE)),0))</f>
        <v>0</v>
      </c>
      <c r="HD189" t="str">
        <f t="shared" si="367"/>
        <v/>
      </c>
      <c r="HE189" t="str">
        <f t="shared" si="368"/>
        <v/>
      </c>
      <c r="HF189" t="str">
        <f>IF(OR(HE189="",HE189="-"),"",IFERROR(VLOOKUP(HE189,Модули_спр,2,FALSE),"R"))</f>
        <v/>
      </c>
      <c r="HG189" t="str">
        <f>IF(HF189="","",HF189&amp;"."&amp;COUNTIFS(A$3:A189,A189,HF$3:HF189,HF189))</f>
        <v/>
      </c>
      <c r="HH189" t="str">
        <f t="shared" si="369"/>
        <v/>
      </c>
      <c r="HI189" t="str">
        <f t="shared" si="370"/>
        <v/>
      </c>
      <c r="HJ189" t="str">
        <f t="shared" si="371"/>
        <v/>
      </c>
      <c r="HK189" t="str">
        <f t="shared" si="372"/>
        <v/>
      </c>
      <c r="HL189">
        <f t="shared" si="373"/>
        <v>1</v>
      </c>
      <c r="HM189" t="str">
        <f>IF(HL189=1,"XT"&amp;COUNTIFS(A$3:A189,A189,HL$3:HL189,1),"")</f>
        <v>XT5</v>
      </c>
      <c r="HN189" t="str">
        <f t="shared" si="374"/>
        <v>XT5</v>
      </c>
      <c r="HO189" t="str">
        <f t="shared" si="375"/>
        <v>QFD5</v>
      </c>
      <c r="HP189" t="str">
        <f t="shared" si="376"/>
        <v/>
      </c>
      <c r="HQ189" t="str">
        <f t="shared" si="377"/>
        <v>ok</v>
      </c>
      <c r="HR189" t="str">
        <f>IF(OR(HJ189="",HH189=""),"",IF(HJ189+MAX(0,GY189-1)&gt;IFERROR(VLOOKUP(HI189,Модули_спр,3,FALSE),99),"ЛИШНИЙ КАНАЛ",IF(AND(AL189&lt;&gt;"=",GY189&gt;0,COUNTIFS(Линии[_модуль гр.],HH189,Линии[Канал (итог)],HJ189,Линии[Канал],"&lt;&gt;=",Линии[Щит],A189)&gt;1),"ДУБЛЬ КАНАЛА","")))</f>
        <v/>
      </c>
      <c r="HS189" s="6" t="str">
        <f t="shared" si="378"/>
        <v/>
      </c>
      <c r="HT189">
        <f t="shared" si="379"/>
        <v>10</v>
      </c>
      <c r="HU189" t="str">
        <f t="shared" si="380"/>
        <v/>
      </c>
      <c r="HV189">
        <f t="shared" si="381"/>
        <v>0.88757073033319012</v>
      </c>
      <c r="HW189">
        <f t="shared" si="382"/>
        <v>0</v>
      </c>
      <c r="HX189">
        <f t="shared" si="383"/>
        <v>0</v>
      </c>
      <c r="HY189">
        <f t="shared" si="384"/>
        <v>0</v>
      </c>
      <c r="HZ189">
        <f t="shared" si="385"/>
        <v>0</v>
      </c>
      <c r="IA189">
        <f t="shared" si="386"/>
        <v>0</v>
      </c>
      <c r="IB189">
        <f t="shared" si="387"/>
        <v>0</v>
      </c>
      <c r="IC189" t="str">
        <f t="shared" si="388"/>
        <v/>
      </c>
      <c r="ID189" t="str" cm="1">
        <f t="array" ref="ID189">IF(IC189="","",_xlfn.LET(_xlpm.tk,_xlfn.TEXTSPLIT(SUBSTITUTE(SUBSTITUTE(IC189,";"," "),"→"," ")," ",,TRUE),_xlpm.w_,_xlfn._xlws.FILTER(_xlpm.tk,ISNUMBER(--LEFT(_xlpm.tk,1))*((ISNUMBER(SEARCH("W",_xlpm.tk))+ISNUMBER(SEARCH("Вт",_xlpm.tk)))&gt;0),""),IFERROR(--SUBSTITUTE(SUBSTITUTE(UPPER(INDEX(_xlpm.w_,1)),"W",""),"ВТ",""),"")))</f>
        <v/>
      </c>
      <c r="IE189" t="str" cm="1">
        <f t="array" ref="IE189">IF(IC189="","",_xlfn.LET(_xlpm.tk,_xlfn.TEXTSPLIT(SUBSTITUTE(SUBSTITUTE(IC189,";"," "),"→"," ")," ",,TRUE),_xlpm.v_,_xlfn._xlws.FILTER(_xlpm.tk,ISNUMBER(--LEFT(_xlpm.tk,1))*((ISNUMBER(SEARCH("V",_xlpm.tk))+(RIGHT(UPPER(_xlpm.tk))="В"))&gt;0),""),IFERROR(--SUBSTITUTE(SUBSTITUTE(UPPER(INDEX(_xlpm.v_,1)),"V",""),"В",""),"")))</f>
        <v/>
      </c>
      <c r="IF189" s="6" t="str">
        <f>IF(OR(BV189=0,HI189="",HJ189=""),"",IFERROR(N(_xlfn.XLOOKUP(HI189,Каталог!$C$4:$C$500,Каталог!$Q$4:$Q$500)),""))</f>
        <v/>
      </c>
      <c r="IG189" s="6" t="str">
        <f>IF(N(IF189)=0,"",SUMIFS(Линии[Iр, А],Линии[Щит],A189,Линии[_модуль гр.],HH189,Линии[Канал (итог)],HJ189))</f>
        <v/>
      </c>
      <c r="IH189" t="str">
        <f>IF(AND(B189="",HO189=""),"",_xlfn.TEXTJOIN("; ",TRUE,IF(AND(B189&lt;&gt;"",FV189=""),"нет фазы",""),IF(AND(B189&lt;&gt;"",N(GL189)=0,FG189&lt;&gt;"Нет"),"нет мощности",""),IF(AND(HN189&lt;&gt;"",COUNTIFS(Линии[Щит],A189,Линии[Клемма (итог)],HN189)&gt;1),"дубль клеммы "&amp;HN189,""),IF(AND(HQ189&lt;&gt;"",HQ189&lt;&gt;"ok"),HQ189,""),IF(HR189&lt;&gt;"",HR189,""),IF(AND(N(CB189)&gt;=4,N(BX189)=1),CB189&amp;" жил на 1 фазе",""),IF(AND(BC189="R",CG189=1,IF(CS189&lt;&gt;"",N(CV189)&gt;30,OR(N(DA189)=0,N(DA189)&gt;30))),"розетка без дифзащиты до 30 мА",""),IF(AND(CG189=1,N(DA189)&gt;0,ISNUMBER(T189)),IF(T189&gt;N(DA189)/3,"ток утечки "&amp;FIXED(T189,1)&amp;" мА &gt; 1/3 уставки ("&amp;DA189&amp;" мА)",""),""),IF(AND(CH189=1,CS189=""),"«узо»: нет строки с УЗО выше (УЗО 2P 40А 30мА в «Аппаратах»)",""),IF(AND(CS189&lt;&gt;"",CS189=BA189),IF(CT189="","впишите номинал УЗО (УЗО 2P 40А 30мА)",IF(N(CT189)&lt;N(DT189),"УЗО "&amp;CT189&amp;" А &lt; автомата "&amp;DT189&amp;" А перед ним",IF(N(CT189)&lt;N(CX189),"УЗО "&amp;CT189&amp;" А &lt; тока блока "&amp;FIXED(CX189,1)&amp;" А",""))),""),IF(AND(CS189&lt;&gt;"",CS189=BA189,ISNUMBER(CY189)),IF(CY189&gt;N(CV189)/3,"ток утечки блока УЗО "&amp;FIXED(CY189,1)&amp;" мА &gt; 1/3 уставки ("&amp;CV189&amp;" мА)",""),""),IF(AND(CG189=1,N(BV189)+N(IB189)&gt;0,IC189=""),"линии до 50 В без БП: впишите в «Аппараты» (БП 24V 480W)",""),IF(AND(CG189=1,ISNUMBER(ID189),ISNUMBER(U189)),IF(U189&gt;ID189,"БП "&amp;ID189&amp;" Вт &lt; нужно "&amp;U189&amp;" Вт (×"&amp;Запас_БП&amp;")",""),""),IF(AND(CG189=1,ISNUMBER(IE189),N(BV189)=1),IF(IE189&lt;&gt;N(BU189),"БП на "&amp;IE189&amp;" В, линия "&amp;BU189&amp;" В",""),""),IF(AND(N(IF189)&gt;0,N(IG189)&gt;N(IF189)),HH189&amp;" канал "&amp;HJ189&amp;": "&amp;FIXED(IG189,1)&amp;" А &gt; "&amp;IF189&amp;" А",""),IFERROR(IF(AND(ISNUMBER(Q189),Q189&gt;EL189),"потери "&amp;FIXED(Q189,1)&amp;" % &gt; "&amp;EL189&amp;" %",""),""),IFERROR(IF(LEFT(HU189,4)="мало","Iкз мало — отключение &gt; 0,4 с",""),""),IF(AND(B189&lt;&gt;"",BM189=""),"не на схеме",""),IF(AND(CG189=0,B189&lt;&gt;"",FV189&lt;&gt;"",IF(BA189=1,"",FW188)&lt;&gt;"",FV189&lt;&gt;IF(BA189=1,"",FW188)),"фаза не как у автомата группы ("&amp;IF(BA189=1,"",FW188)&amp;")","")))</f>
        <v/>
      </c>
      <c r="II189" s="6">
        <f>IF(OR(CG189=0,DQ189=""),"",_xlfn.LET(_xlpm.t,IFERROR(_xlfn.XLOOKUP(DQ189,Каталог!$U$4:$U$500,Каталог!$G$4:$G$500),""),_xlpm.k,SEARCH("кА",_xlpm.t),IFERROR(--TRIM(RIGHT(SUBSTITUTE(MID(_xlpm.t,MAX(1,_xlpm.k-4),_xlpm.k-MAX(1,_xlpm.k-4))," ",REPT(" ",9)),5)),"")))</f>
        <v>6</v>
      </c>
      <c r="IJ189" t="str">
        <f>IF(OR(II189="",CG189=0),"",IF(_xlfn.XLOOKUP(A189,Щиты[Щит],Щиты[Iкз max на шинах, кА],"")="","",IF(II189&lt;_xlfn.XLOOKUP(A189,Щиты[Щит],Щиты[Iкз max на шинах, кА]),"Icu "&amp;II189&amp;" кА &lt; Iкз max","ok")))</f>
        <v/>
      </c>
      <c r="IK189" t="str">
        <f t="shared" si="389"/>
        <v/>
      </c>
      <c r="IL189" t="str">
        <f t="shared" si="390"/>
        <v>QFD5|XT5</v>
      </c>
      <c r="IM189" t="str">
        <f t="shared" si="391"/>
        <v>QFD5|XT5|кабель ВВГнг(А)-LS (3х2,5) → Розеточная группа, пом. 002Б</v>
      </c>
      <c r="IN189" t="str" cm="1">
        <f t="array" ref="IN189">IF(IM189="","",_xlfn.LET(_xlpm.nd,_xlfn.TEXTSPLIT(IM189,"|"),IF(COLUMNS(_xlpm.nd)&gt;1,A189&amp;"¦"&amp;INDEX(_xlpm.nd,1)&amp;"¦"&amp;INDEX(_xlpm.nd,2),"")))</f>
        <v>ЩР-01¦QFD5¦XT5</v>
      </c>
      <c r="IO189" t="str">
        <f t="shared" si="392"/>
        <v>R.0.002Б.1¦Розеточная группа, пом. 002Б</v>
      </c>
      <c r="IP189" t="str" cm="1">
        <f t="array" ref="IP189">IF(IM189="","",_xlfn.LET(_xlpm.nd,_xlfn.TEXTSPLIT(IM189,"|"),IF(COLUMNS(_xlpm.nd)&gt;2,A189&amp;"¦"&amp;INDEX(_xlpm.nd,2)&amp;"¦"&amp;INDEX(_xlpm.nd,3),"")))</f>
        <v>ЩР-01¦XT5¦кабель ВВГнг(А)-LS (3х2,5) → Розеточная группа, пом. 002Б</v>
      </c>
      <c r="IQ189" t="str">
        <f t="shared" si="393"/>
        <v>R.0.002Б.1¦Розеточная группа, пом. 002Б</v>
      </c>
      <c r="IR189" t="str" cm="1">
        <f t="array" ref="IR189">IF(IM189="","",_xlfn.LET(_xlpm.nd,_xlfn.TEXTSPLIT(IM189,"|"),IF(COLUMNS(_xlpm.nd)&gt;3,A189&amp;"¦"&amp;INDEX(_xlpm.nd,3)&amp;"¦"&amp;INDEX(_xlpm.nd,4),"")))</f>
        <v/>
      </c>
      <c r="IS189" t="str">
        <f t="shared" si="394"/>
        <v/>
      </c>
      <c r="IT189" t="str" cm="1">
        <f t="array" ref="IT189">IF(IM189="","",_xlfn.LET(_xlpm.nd,_xlfn.TEXTSPLIT(IM189,"|"),IF(COLUMNS(_xlpm.nd)&gt;4,A189&amp;"¦"&amp;INDEX(_xlpm.nd,4)&amp;"¦"&amp;INDEX(_xlpm.nd,5),"")))</f>
        <v/>
      </c>
      <c r="IU189" t="str">
        <f t="shared" si="395"/>
        <v/>
      </c>
      <c r="IV189" t="str" cm="1">
        <f t="array" ref="IV189">IF(IM189="","",_xlfn.LET(_xlpm.nd,_xlfn.TEXTSPLIT(IM189,"|"),IF(COLUMNS(_xlpm.nd)&gt;5,A189&amp;"¦"&amp;INDEX(_xlpm.nd,5)&amp;"¦"&amp;INDEX(_xlpm.nd,6),"")))</f>
        <v/>
      </c>
      <c r="IW189" t="str">
        <f t="shared" si="396"/>
        <v/>
      </c>
      <c r="IX189" t="str" cm="1">
        <f t="array" ref="IX189">IF(IM189="","",_xlfn.LET(_xlpm.nd,_xlfn.TEXTSPLIT(IM189,"|"),IF(COLUMNS(_xlpm.nd)&gt;6,A189&amp;"¦"&amp;INDEX(_xlpm.nd,6)&amp;"¦"&amp;INDEX(_xlpm.nd,7),"")))</f>
        <v/>
      </c>
      <c r="IY189" t="str">
        <f t="shared" si="397"/>
        <v/>
      </c>
      <c r="IZ189" t="str">
        <f t="shared" si="398"/>
        <v/>
      </c>
      <c r="JA189" t="str">
        <f t="shared" si="399"/>
        <v>QFD5 → XT5</v>
      </c>
      <c r="JB189">
        <f t="shared" si="400"/>
        <v>0</v>
      </c>
      <c r="JC189">
        <f t="shared" si="401"/>
        <v>1</v>
      </c>
      <c r="JD189" t="str">
        <f t="shared" si="402"/>
        <v/>
      </c>
      <c r="JE189" t="str">
        <f t="shared" si="403"/>
        <v/>
      </c>
      <c r="JF189" t="str">
        <f t="shared" si="404"/>
        <v/>
      </c>
      <c r="JG189" t="str">
        <f t="shared" si="405"/>
        <v/>
      </c>
      <c r="JH189" t="str">
        <f>IF(B189="","",IFERROR(_xlfn.XLOOKUP(B189,Коды_код,Коды_уго),IFERROR(_xlfn.XLOOKUP(BC189,Коды_код,Коды_уго),IFERROR(_xlfn.XLOOKUP(LEFT(BC189,2),Коды_код,Коды_уго),""))))</f>
        <v>Розетка</v>
      </c>
      <c r="JI189" t="str">
        <f>IF(B189="","",IF(OR(JH189="",JH189=0),"BOX",IFERROR(IF(VLOOKUP(JH189,УГО_блоки,3,FALSE)&amp;""&lt;&gt;"",VLOOKUP(JH189,УГО_блоки,3,FALSE),VLOOKUP(JH189,УГО_блоки,2,FALSE)),JH189)))</f>
        <v>SOCKET</v>
      </c>
      <c r="JJ189">
        <f t="shared" si="406"/>
        <v>1</v>
      </c>
      <c r="JK189" t="str">
        <f>IF(DQ189="","",IF(COUNTIF(DQ$3:DQ189,DQ189)=1,MAX(JK$2:JK188)+1,""))</f>
        <v/>
      </c>
      <c r="JL189" t="str">
        <f>IF(DE189="","",IF(COUNTIF(DE$3:DE189,DE189)+COUNTIF(DF$2:DF188,DE189)+COUNTIF(DG$2:DG188,DE189)=1,MAX(JL$2:JN188)+1,""))</f>
        <v/>
      </c>
      <c r="JM189" t="str">
        <f>IF(DF189="","",IF(COUNTIF(DE$3:DE189,DF189)+COUNTIF(DF$3:DF189,DF189)+COUNTIF(DG$2:DG188,DF189)=1,MAX(JL$2:JN188,JL189)+1,""))</f>
        <v/>
      </c>
      <c r="JN189" t="str">
        <f>IF(DG189="","",IF(COUNTIF(DE$3:DE189,DG189)+COUNTIF(DF$3:DF189,DG189)+COUNTIF(DG$3:DG189,DG189)=1,MAX(JL$2:JN188,JL189,JM189)+1,""))</f>
        <v/>
      </c>
      <c r="JO189" t="str">
        <f t="shared" si="407"/>
        <v>3х2,5</v>
      </c>
      <c r="JP189" t="str">
        <f>IF(JO189="","",IF(COUNTIF(JO$3:JO189,JO189)=1,MAX(JP$2:JP188)+1,""))</f>
        <v/>
      </c>
      <c r="JQ189" t="str">
        <f>IF(HG189="","",COUNTIF(HG$3:HG189,"?*"))</f>
        <v/>
      </c>
      <c r="JR189" t="str">
        <f>IF(OR(HG189="",HI189=""),"",IF(COUNTIFS(HG$3:HG189,"?*",HI$3:HI189,HI189)=1,MAX(JR$2:JR188)+1,""))</f>
        <v/>
      </c>
      <c r="JS189">
        <f t="shared" si="408"/>
        <v>0</v>
      </c>
      <c r="JT189">
        <f>IF(B189="","",COUNTIF(B$3:B189,"?*"))</f>
        <v>187</v>
      </c>
      <c r="JU189">
        <f>IF(HL189&lt;&gt;1,0,_xlfn.LET(_xlpm.k,MAX(IFERROR(--_xlfn.XLOOKUP(B189,Коды_код,Коды_3L),0),IFERROR(--_xlfn.XLOOKUP(BC189,Коды_код,Коды_3L),0),IFERROR(--_xlfn.XLOOKUP(LEFT(BC189,2),Коды_код,Коды_3L),0)),IF(_xlpm.k&gt;0,_xlpm.k,IF(IFERROR(--LEFT(SUBSTITUTE(JO189,"x","х"),FIND("х",SUBSTITUTE(JO189,"x","х"))-1),3)&gt;3,Каталог!$S$9,1))))</f>
        <v>1</v>
      </c>
      <c r="JV189">
        <f t="shared" si="409"/>
        <v>0</v>
      </c>
      <c r="JW189" t="str">
        <f t="shared" si="410"/>
        <v>авто</v>
      </c>
      <c r="JX189">
        <f t="shared" si="411"/>
        <v>30</v>
      </c>
      <c r="JY189">
        <f t="shared" si="412"/>
        <v>1</v>
      </c>
      <c r="JZ189">
        <f t="shared" si="413"/>
        <v>1</v>
      </c>
    </row>
    <row r="190" spans="1:286" x14ac:dyDescent="0.3">
      <c r="A190" t="s">
        <v>755</v>
      </c>
      <c r="B190" t="s">
        <v>1497</v>
      </c>
      <c r="C190" t="str">
        <f>Линии[[#This Row],[_авто наименование]]</f>
        <v>Розеточная группа, пом. 002Б</v>
      </c>
      <c r="D190">
        <v>9</v>
      </c>
      <c r="E190">
        <v>0.54</v>
      </c>
      <c r="G190" t="str">
        <f>Линии[[#This Row],[_авто автомат]]</f>
        <v>2P С16А 30мА</v>
      </c>
      <c r="H190" t="str">
        <f>Линии[[#This Row],[_авто управление]]</f>
        <v/>
      </c>
      <c r="I190" t="str">
        <f>Линии[[#This Row],[_авто аппараты]]</f>
        <v/>
      </c>
      <c r="J190">
        <v>2.5</v>
      </c>
      <c r="K190">
        <v>70</v>
      </c>
      <c r="L190">
        <v>3</v>
      </c>
      <c r="M190" t="str">
        <f>Линии[[#This Row],[_авто клемма]]</f>
        <v>XT6</v>
      </c>
      <c r="N190" t="str">
        <f t="shared" si="276"/>
        <v/>
      </c>
      <c r="O190" s="6" cm="1">
        <f t="array" ref="O190">IF(B190="","",IF(BH190&lt;&gt;"",IFERROR(_xlfn.XLOOKUP(BH190,Щиты[Щит],Щиты[Iр, А]),""),IF(BP190=1,IF(OR(N(_xlfn.XLOOKUP(A190,Щиты[Щит],Щиты[Вводов],1))&lt;=1,LOWER(TRIM(_xlfn.XLOOKUP(A190,Щиты[Щит],Щиты[АВР],"")&amp;""))="да"),IFERROR(_xlfn.XLOOKUP(A190,Щиты[Щит],Щиты[Iр, А]),""),IFERROR(N(BS190)*_xlfn.XLOOKUP(A190,Щиты[Щит],Щиты[Кс итог])/(SQRT(3)*Uн_лин*_xlfn.XLOOKUP(A190,Щиты[Щит],Щиты[cos φ])),"")),IF(BV190=1,IFERROR(BS190*1000/BU190,""),IFERROR(_xlfn.IFS(BX190=1,BS190/((Uн_лин/SQRT(3))*CE190),BX190=3,BS190/(SQRT(3)*Uн_лин*CE190)),"")))))</f>
        <v>2.4613353581241939</v>
      </c>
      <c r="P190" s="7">
        <f>IF(B190="","",IFERROR(IF(VLOOKUP(BC190,Потребители_обозначение,4,FALSE)=1,VLOOKUP(BC190,Потребители_обозначение,3,FALSE)*(MAX(1,N(D190))*2-1)+EI190+VLOOKUP(BE190,Этаж_обозначение,3,FALSE)+VLOOKUP(BE190,Этаж_обозначение,4,FALSE),VLOOKUP(BC190,Потребители_обозначение,3,FALSE)*(MAX(1,N(D190))*2-1)+EI190),EI190))</f>
        <v>121</v>
      </c>
      <c r="Q190" s="6">
        <f t="shared" si="277"/>
        <v>2.65</v>
      </c>
      <c r="R190" t="str">
        <f t="shared" si="278"/>
        <v>ВВГнг(А)-LS (3х2,5)</v>
      </c>
      <c r="S190" t="str">
        <f>IF(BM190="","",IF(BN190="вводной узел","узел ","")&amp;"л."&amp;(INT((BM190-1)/Столбцов_на_лист)+1)&amp;" / "&amp;(MOD(BM190-1,Столбцов_на_лист)+1))</f>
        <v>л.1 / 14</v>
      </c>
      <c r="T190" s="119">
        <f t="shared" si="279"/>
        <v>2.2000000000000002</v>
      </c>
      <c r="U190" s="7" t="str">
        <f>IF(OR(CG190=0,N(BV190)+N(IB190)=0),"",ROUNDUP(Запас_БП*(N(HY190)+N(HZ190)),0))</f>
        <v/>
      </c>
      <c r="V190" s="119" t="str">
        <f t="shared" si="280"/>
        <v/>
      </c>
      <c r="W190" s="7" t="str">
        <f>IFERROR(IF(OR(B190="",BP190=1,BV190=1,NOT(ISNUMBER(EN190)),N(DT190)=0),"",MAX(0,ROUNDDOWN((c_min*(Uн_лин*1000/SQRT(3))/(HT190*N(DT190))-_xlfn.XLOOKUP(A190,Щиты[Щит],Щиты[Zпетли на шинах, Ом]))*EN190/(2*ρкз_Cu),0))),"")</f>
        <v/>
      </c>
      <c r="Y190">
        <f>Линии[[#This Row],[_авто утечка]]</f>
        <v>30</v>
      </c>
      <c r="Z190">
        <v>1</v>
      </c>
      <c r="AA190">
        <v>230</v>
      </c>
      <c r="AB190" t="s">
        <v>562</v>
      </c>
      <c r="AG190" t="s">
        <v>810</v>
      </c>
      <c r="AI190" t="s">
        <v>561</v>
      </c>
      <c r="AK190" t="str">
        <f>Линии[[#This Row],[_авто модуль]]</f>
        <v/>
      </c>
      <c r="AM190">
        <v>14</v>
      </c>
      <c r="AN190" t="s">
        <v>11</v>
      </c>
      <c r="AO190">
        <v>3</v>
      </c>
      <c r="AQ190">
        <v>0</v>
      </c>
      <c r="AR190">
        <v>0</v>
      </c>
      <c r="AS190">
        <v>70</v>
      </c>
      <c r="BA190" cm="1">
        <f t="array" ref="BA190">ROW()-ROW(Линии[#Headers])</f>
        <v>188</v>
      </c>
      <c r="BC190" s="6" t="str">
        <f t="shared" si="281"/>
        <v>R</v>
      </c>
      <c r="BD190" t="str">
        <f t="shared" si="282"/>
        <v>0.002Б.2</v>
      </c>
      <c r="BE190" t="str">
        <f t="shared" si="283"/>
        <v>0</v>
      </c>
      <c r="BF190" t="str">
        <f t="shared" si="284"/>
        <v>002Б.2</v>
      </c>
      <c r="BG190" t="str">
        <f t="shared" si="285"/>
        <v>002Б</v>
      </c>
      <c r="BH190" t="str">
        <f>IF(X190&lt;&gt;"",X190,IF(AND(B190&lt;&gt;"",B190&lt;&gt;A190,ISNUMBER(_xlfn.XMATCH(B190,Щиты[Щит]))),B190,""))</f>
        <v/>
      </c>
      <c r="BI190" t="str" cm="1">
        <f t="array" ref="BI190">IF(B190="","",IF(BH190&lt;&gt;"","Щит "&amp;BH190,_xlfn.LET(_xlpm.nm,IFERROR(_xlfn.XLOOKUP(BC190,Коды_код,Коды_имя)&amp;"",""),_xlpm.md,IFERROR(N(_xlfn.XLOOKUP(BC190,Коды_код,Коды_режим)),1),_xlpm.ex,IF(Имя_режим="по экспликации",IFERROR(_xlfn.XLOOKUP(BE190&amp;"|"&amp;BG190,Экспликация[Этаж]&amp;"|"&amp;Экспликация[Помещение],Экспликация[Название])&amp;"",""),""),_xlpm.rm,IF(BG190="","",IF(_xlpm.ex&lt;&gt;"",". "&amp;_xlpm.ex&amp;IF(Имя_пом="нет"," ("&amp;BG190&amp;")"," (пом. "&amp;BG190&amp;")"),IF(Имя_пом="нет"," ",", пом. ")&amp;BG190)),IF(_xlpm.nm="","",IF(_xlpm.md=2,_xlpm.nm&amp;" шлейф "&amp;BE190,_xlpm.nm&amp;_xlpm.rm)))))</f>
        <v>Розеточная группа, пом. 002Б</v>
      </c>
      <c r="BJ190" t="str">
        <f t="shared" si="286"/>
        <v>Розеточная группа, пом. 002Б</v>
      </c>
      <c r="BK190">
        <f>IFERROR(_xlfn.XMATCH(A190,Щиты[Щит]),0)</f>
        <v>9</v>
      </c>
      <c r="BL190">
        <f>_xlfn.LET(_xlpm.k,IFERROR(_xlfn.XLOOKUP(A190,Щиты[Щит],Щиты[Мест под вводной узел]),""),IF(_xlpm.k="",Столбцов_на_лист,N(_xlpm.k)))</f>
        <v>8</v>
      </c>
      <c r="BM190">
        <f t="shared" si="287"/>
        <v>14</v>
      </c>
      <c r="BN190" t="str">
        <f t="shared" si="288"/>
        <v>линии</v>
      </c>
      <c r="BO190" s="6">
        <f>IFERROR(N(_xlfn.XLOOKUP(BC190,Коды_код,Коды_квт)),0)</f>
        <v>0</v>
      </c>
      <c r="BP190">
        <f t="shared" si="289"/>
        <v>0</v>
      </c>
      <c r="BQ190" t="str">
        <f>IF(B190="","",IF(BH190&lt;&gt;"",IFERROR(_xlfn.XLOOKUP(BH190,Щиты[Щит],Щиты[Руст, кВт]),0),IF(BP190=1,IF(OR(N(_xlfn.XLOOKUP(A190,Щиты[Щит],Щиты[Вводов],1))&lt;=1,LOWER(TRIM(_xlfn.XLOOKUP(A190,Щиты[Щит],Щиты[АВР],"")&amp;""))="да"),IFERROR(_xlfn.XLOOKUP(A190,Щиты[Щит],Щиты[Руст, кВт]),0),SUMIFS(Линии[_Р для вводов],Линии[Щит],A190,Линии[Источник для режимов],GF190)),IF(BO190&gt;0,ROUND(BO190*MAX(1,N(D190)),3),""))))</f>
        <v/>
      </c>
      <c r="BR190">
        <f t="shared" si="290"/>
        <v>0.54</v>
      </c>
      <c r="BS190" s="6">
        <f>IF(B190="","",IF(BH190&lt;&gt;"",IFERROR(_xlfn.XLOOKUP(BH190,Щиты[Щит],Щиты[Руст, кВт]),0),N(BR190)))</f>
        <v>0.54</v>
      </c>
      <c r="BT190" t="str">
        <f>IF(B190="","",IFERROR(IF(VLOOKUP(BC190,Потребители_обозначение,8,FALSE)=0,"",VLOOKUP(BC190,Потребители_обозначение,8,FALSE)),""))</f>
        <v/>
      </c>
      <c r="BU190">
        <f t="shared" si="291"/>
        <v>230</v>
      </c>
      <c r="BV190">
        <f t="shared" si="292"/>
        <v>0</v>
      </c>
      <c r="BW190">
        <f>IF(B190="","",IF(BH190&lt;&gt;"",3,IFERROR(IF(N(VLOOKUP(BC190,Потребители_обозначение,9,FALSE))=0,1,VLOOKUP(BC190,Потребители_обозначение,9,FALSE)),1)))</f>
        <v>1</v>
      </c>
      <c r="BX190">
        <f t="shared" si="293"/>
        <v>1</v>
      </c>
      <c r="BY190" t="str">
        <f>IF(B190="","",_xlfn.LET(_xlpm.bc,IFERROR(IF(VLOOKUP(BC190,Потребители_обозначение,6,FALSE)=0,"",VLOOKUP(BC190,Потребители_обозначение,6,FALSE)&amp;""),""),IF(AND(GA190="да",OR(_xlpm.bc="",_xlpm.bc="мс")),Марка_пож,IF(AND(_xlpm.bc="",BH190&lt;&gt;""),"мс",_xlpm.bc))))</f>
        <v/>
      </c>
      <c r="BZ190" t="str">
        <f t="shared" si="294"/>
        <v>мс</v>
      </c>
      <c r="CA190">
        <f>IF(B190="","",_xlfn.LET(_xlpm.cc,IFERROR(N(VLOOKUP(BC190,Потребители_обозначение,7,FALSE)),0),IF(_xlpm.cc&gt;0,_xlpm.cc,IF(BZ190="","",IF(BV190=1,2,IF(N(BX190)=3,5,3))))))</f>
        <v>3</v>
      </c>
      <c r="CB190">
        <f t="shared" si="295"/>
        <v>3</v>
      </c>
      <c r="CC190">
        <f>IFERROR(N(VLOOKUP(BC190,Потребители_обозначение,10,FALSE)),0)</f>
        <v>0</v>
      </c>
      <c r="CD190">
        <f>IFERROR(VLOOKUP(BC190,Потребители_обозначение,5,FALSE),0)</f>
        <v>1</v>
      </c>
      <c r="CE190" s="6" cm="1">
        <f t="array" ref="CE190">IF(B190="","",IF(BH190&lt;&gt;"",IFERROR(_xlfn.XLOOKUP(BH190,Щиты[Щит],Щиты[cos φ]),0.95),IF(BP190=1,IFERROR(_xlfn.XLOOKUP(A190,Щиты[Щит],Щиты[cos φ]),0.95),IF(ISNUMBER(AD190),AD190,IFERROR(IF(CD190=2,_xlfn.IFS(BX190=3,VLOOKUP(BS190,Справочная_двигатели,8,FALSE),BX190=1,VLOOKUP(BS190,Справочная_двигатели,10,TRUE)),IF(AND(Методика="нормы 2026",FG190="Сил"),0.8,0.95)),0.95)))))</f>
        <v>0.95</v>
      </c>
      <c r="CF190">
        <f t="shared" si="296"/>
        <v>0</v>
      </c>
      <c r="CG190">
        <f t="shared" si="297"/>
        <v>1</v>
      </c>
      <c r="CH190">
        <f t="shared" si="298"/>
        <v>0</v>
      </c>
      <c r="CI190">
        <f>IF(B190="","",IF(BV190=1,IFERROR(BS190/((Uн_лин/SQRT(3))*MAX(0.5,N(CE190))),0),N(O190)))</f>
        <v>2.4613353581241939</v>
      </c>
      <c r="CJ190">
        <f t="shared" si="299"/>
        <v>0</v>
      </c>
      <c r="CK190">
        <f t="shared" si="300"/>
        <v>0</v>
      </c>
      <c r="CL190">
        <f t="shared" si="301"/>
        <v>0</v>
      </c>
      <c r="CM190">
        <f t="shared" si="302"/>
        <v>0</v>
      </c>
      <c r="CN190">
        <f t="shared" si="303"/>
        <v>0</v>
      </c>
      <c r="CO190">
        <f>IF(BC190="",0,_xlfn.LET(_xlpm.v,IFERROR(_xlfn.XLOOKUP(B190,Коды_код,Коды_мА),IFERROR(_xlfn.XLOOKUP(BC190,Коды_код,Коды_мА),IFERROR(_xlfn.XLOOKUP(LEFT(BC190,2),Коды_код,Коды_мА),""))),IF(_xlpm.v="да",30,IF(ISNUMBER(_xlpm.v),_xlpm.v,0))))</f>
        <v>30</v>
      </c>
      <c r="CP190">
        <f t="shared" si="304"/>
        <v>30</v>
      </c>
      <c r="CQ190" t="str">
        <f>_xlfn.LET(_xlpm.k,IFERROR(_xlfn.XLOOKUP(BC190,Коды_код,Коды_утечка)&amp;"",""),IF(_xlpm.k="","дифавтомат",_xlpm.k))</f>
        <v>дифавтомат</v>
      </c>
      <c r="CR190" t="str" cm="1">
        <f t="array" ref="CR190">IF(CG190=0,"",_xlfn.LET(_xlpm.sg,TRIM(_xlfn.TEXTSPLIT(DD190&amp;"",";")),_xlpm.f_,_xlfn._xlws.FILTER(_xlpm.sg,LEFT(_xlpm.sg,3)="УЗО",""),IFERROR(INDEX(_xlpm.f_,1)&amp;"","")))</f>
        <v/>
      </c>
      <c r="CS190" t="str">
        <f t="shared" si="305"/>
        <v/>
      </c>
      <c r="CT190" s="6" t="str" cm="1">
        <f t="array" ref="CT190">IF(CR190="","",_xlfn.LET(_xlpm.tk,_xlfn.TEXTSPLIT(UPPER(CR190)," ",,TRUE),_xlpm.a_,_xlfn._xlws.FILTER(_xlpm.tk,ISNUMBER(--LEFT(_xlpm.tk,1))*((ISNUMBER(SEARCH("А",_xlpm.tk))+ISNUMBER(SEARCH("A",_xlpm.tk)))&gt;0)*NOT(ISNUMBER(SEARCH("МА",_xlpm.tk)))*NOT(ISNUMBER(SEARCH("MA",_xlpm.tk))),""),IFERROR(--SUBSTITUTE(SUBSTITUTE(INDEX(_xlpm.a_,1),"А",""),"A",""),"")))</f>
        <v/>
      </c>
      <c r="CU190" t="str" cm="1">
        <f t="array" ref="CU190">IF(CR190="","",_xlfn.LET(_xlpm.tk,_xlfn.TEXTSPLIT(UPPER(CR190)," ",,TRUE),_xlpm.a_,_xlfn._xlws.FILTER(_xlpm.tk,ISNUMBER(--LEFT(_xlpm.tk,1))*((ISNUMBER(SEARCH("МА",_xlpm.tk))+ISNUMBER(SEARCH("MA",_xlpm.tk)))&gt;0),""),IFERROR(--SUBSTITUTE(SUBSTITUTE(INDEX(_xlpm.a_,1),"МА",""),"MA",""),30)))</f>
        <v/>
      </c>
      <c r="CV190" t="str">
        <f>IF(CS190="","",IFERROR(_xlfn.XLOOKUP(CS190,Линии[_n],Линии[_УЗО, мА]),30))</f>
        <v/>
      </c>
      <c r="CW190">
        <f>IF(CS190="",0,IF(ISNUMBER(SEARCH("4P",IFERROR(_xlfn.XLOOKUP(CS190,Линии[_n],Линии[_УЗО строки])&amp;"",""))),0,1))</f>
        <v>0</v>
      </c>
      <c r="CX190" t="str">
        <f>IF(AND(CS190&lt;&gt;"",CS190=BA190),SUMIFS(Линии[_ток на 230 В],Линии[_блок УЗО],BA190,Линии[Щит],A190),"")</f>
        <v/>
      </c>
      <c r="CY190" t="str">
        <f>IF(AND(CS190&lt;&gt;"",CS190=BA190),SUMIFS(Линии[_ток утечки линии, мА],Линии[_блок УЗО],BA190,Линии[Щит],A190),"")</f>
        <v/>
      </c>
      <c r="CZ190">
        <f t="shared" si="306"/>
        <v>30</v>
      </c>
      <c r="DA190">
        <f t="shared" si="307"/>
        <v>30</v>
      </c>
      <c r="DB190">
        <f>IF(B190="",0,IFERROR(--_xlfn.XLOOKUP(B190,Коды_код,Коды_минавт),IFERROR(--_xlfn.XLOOKUP(BC190,Коды_код,Коды_минавт),IFERROR(--_xlfn.XLOOKUP(LEFT(BC190,2),Коды_код,Коды_минавт),0))))</f>
        <v>16</v>
      </c>
      <c r="DC190" t="str">
        <f>IF(B190="","",IFERROR(_xlfn.XLOOKUP(BC190,Коды_код,Коды_апп)&amp;"",""))</f>
        <v/>
      </c>
      <c r="DD190" t="str">
        <f t="shared" si="308"/>
        <v/>
      </c>
      <c r="DE190" t="str" cm="1">
        <f t="array" ref="DE190">IF(TRIM(DD190&amp;"")="","",IFERROR(TRIM(INDEX(_xlfn.TEXTSPLIT(DD190&amp;";;;",";"),1)),""))</f>
        <v/>
      </c>
      <c r="DF190" t="str" cm="1">
        <f t="array" ref="DF190">IF(TRIM(DD190&amp;"")="","",IFERROR(TRIM(INDEX(_xlfn.TEXTSPLIT(DD190&amp;";;;",";"),2)),""))</f>
        <v/>
      </c>
      <c r="DG190" t="str" cm="1">
        <f t="array" ref="DG190">IF(TRIM(DD190&amp;"")="","",IFERROR(TRIM(INDEX(_xlfn.TEXTSPLIT(DD190&amp;";;;",";"),3)),""))</f>
        <v/>
      </c>
      <c r="DH190">
        <f t="shared" si="309"/>
        <v>0</v>
      </c>
      <c r="DI190" t="str">
        <f>IF(B190="","",_xlfn.LET(_xlpm.t,LOWER(AZ190&amp;""),IF(ISNUMBER(SEARCH("dim",_xlpm.t)),"DIM",IF(ISNUMBER(SEARCH("dali",_xlpm.t)),"DALI",IF(OR(ISNUMBER(SEARCH("relay",_xlpm.t)),ISNUMBER(SEARCH("реле",_xlpm.t))),"Relay",IF(ISNUMBER(SEARCH("кнопк",_xlpm.t)),"",IFERROR(_xlfn.XLOOKUP(BC190,Коды_код,Коды_упр)&amp;"","")))))))</f>
        <v/>
      </c>
      <c r="DJ190" t="str">
        <f t="shared" si="310"/>
        <v/>
      </c>
      <c r="DK190">
        <f>IF(B190="","",_xlfn.LET(_xlpm.ig,IF(N(CX190)&gt;0,N(CX190),N(CI190)+IF(AJ190="вручную",0,N(CJ190))),_xlpm.n0,IFERROR(VLOOKUP(_xlpm.ig,Автомат_номиналы,2,TRUE),0),_xlpm.mn,MAX(DB190,IF(AJ190="вручную",0,N(CM190))),MAX(_xlpm.n0,_xlpm.mn,IF(DH190=1,Мин_автомат_БП,0))))</f>
        <v>16</v>
      </c>
      <c r="DL190">
        <f t="shared" si="311"/>
        <v>1</v>
      </c>
      <c r="DM190" t="str">
        <f t="shared" si="312"/>
        <v>2P</v>
      </c>
      <c r="DN190" t="str">
        <f>_xlfn.LET(_xlpm.cc,UPPER(TRIM(IFERROR(_xlfn.XLOOKUP(BC190,Коды_код,Коды_хар)&amp;"",""))),IF(OR(_xlpm.cc="B",_xlpm.cc="В"),"B",IF(_xlpm.cc="D","D","С")))</f>
        <v>С</v>
      </c>
      <c r="DO190" t="str">
        <f t="shared" si="313"/>
        <v>2P С16А 30мА</v>
      </c>
      <c r="DP190" t="str">
        <f t="shared" si="314"/>
        <v>2P С16А 30мА</v>
      </c>
      <c r="DQ190" t="str">
        <f t="shared" si="315"/>
        <v>2P С16А 30мА</v>
      </c>
      <c r="DR190" cm="1">
        <f t="array" ref="DR190">IF(DQ190="","",_xlfn.LET(_xlpm.t,SUBSTITUTE(SUBSTITUTE(SUBSTITUTE(UPPER(DQ190),"С","C"),"А","A"),"В","B"),_xlpm.tk,_xlfn.TEXTSPLIT(_xlpm.t," "),_xlpm.f,_xlfn._xlws.FILTER(_xlpm.tk,ISNUMBER(--MID(_xlpm.tk,2,1))*ISNUMBER(SEARCH(LEFT(_xlpm.tk,1)&amp;"#","B#C#D#"))*(LEN(_xlpm.tk)&gt;1),""),_xlpm.x,INDEX(_xlpm.f,1),IFERROR(--SUBSTITUTE(MID(_xlpm.x,2,9),"A",""),IFERROR(--SUBSTITUTE(INDEX(_xlfn._xlws.FILTER(_xlpm.tk,ISNUMBER(--SUBSTITUTE(_xlpm.tk,"A","")),""),1),"A",""),""))))</f>
        <v>16</v>
      </c>
      <c r="DS190" t="str">
        <f t="shared" si="316"/>
        <v>ok</v>
      </c>
      <c r="DT190">
        <f t="shared" si="317"/>
        <v>16</v>
      </c>
      <c r="DU190" t="str">
        <f t="shared" si="318"/>
        <v>2P С16А 30мА</v>
      </c>
      <c r="DV190">
        <f t="shared" si="319"/>
        <v>30</v>
      </c>
      <c r="DW190">
        <f t="shared" si="320"/>
        <v>1</v>
      </c>
      <c r="DX190">
        <f t="shared" si="321"/>
        <v>0</v>
      </c>
      <c r="DY190">
        <f t="shared" si="322"/>
        <v>2.4613353581241939</v>
      </c>
      <c r="DZ190">
        <f t="shared" si="323"/>
        <v>1</v>
      </c>
      <c r="EA190">
        <f>IF(ISNUMBER(AP190),AP190,К_прокл)</f>
        <v>1</v>
      </c>
      <c r="EB190">
        <f t="shared" si="324"/>
        <v>2</v>
      </c>
      <c r="EC190">
        <f>IFERROR(N(VLOOKUP(BZ190,Кабель_обозначение,3,FALSE)),1)</f>
        <v>1</v>
      </c>
      <c r="ED190">
        <f>IFERROR(N(_xlfn.XLOOKUP(A190,Щиты[Щит],Щиты[ΔU до шин, %])),0)</f>
        <v>0.43</v>
      </c>
      <c r="EE190" t="str">
        <f>IFERROR(_xlfn.XLOOKUP(A190,Щиты[Щит],Щиты[Zпетли на шинах, Ом]),"")</f>
        <v/>
      </c>
      <c r="EF190">
        <f>IFERROR(N(_xlfn.XLOOKUP(A190,Щиты[Щит],Щиты[ΔU до шин (подбор), %])),0)</f>
        <v>0.43</v>
      </c>
      <c r="EG190" t="str">
        <f>IFERROR(_xlfn.XLOOKUP(A190,Щиты[Щит],Щиты[Zпетли на шинах (подбор), Ом]),"")</f>
        <v/>
      </c>
      <c r="EH190" t="str">
        <f t="shared" si="325"/>
        <v/>
      </c>
      <c r="EI190">
        <f t="shared" si="326"/>
        <v>70</v>
      </c>
      <c r="EJ190">
        <f t="shared" si="327"/>
        <v>2</v>
      </c>
      <c r="EK190">
        <f t="shared" si="328"/>
        <v>0.31</v>
      </c>
      <c r="EL190" s="6">
        <f>IF(B190="","",IF(BV190=1,dU_LED,IF(IFERROR(_xlfn.XLOOKUP(BC190,Коды_код,Коды_уго),"")="Светильник",3,4)+IF(Методика="нормы 2026",MIN(0.5,MAX(0,N(P190)-100)*0.005),0)))</f>
        <v>4.1050000000000004</v>
      </c>
      <c r="EM190" cm="1">
        <f t="array" ref="EM190">IF(OR(B190="",BZ190="",EC190&lt;&gt;1),"",_xlfn.LET(_xlpm.sz,Iдоп_S,_xlpm.t_,CHOOSE(EB190,Iдоп_1ж,Iдоп_2ж,Iдоп_3ж)*DZ190*EA190,_xlpm.dcx,BV190=1,_xlpm.inn,IF(_xlpm.dcx,N(O190),N(DT190)),_xlpm.smin,MAX(1.5,CC190),_xlpm.L_,N(P190)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190)/N(BU190)*100,999),IFERROR(N(EJ190)*(_xlpm.rho*_xlpm.L_/_xlpm.sz*N(CE190)+_xlpm.xx*_xlpm.L_*N(EK190)/1000)*N(O190)/((Uн_лин/SQRT(3))*1000)*100,999)),_xlpm.kz,IF(OR(_xlpm.dcx,DW190=1,NOT(ISNUMBER(EG190)),_xlpm.L_=0,_xlpm.inn=0),1,IFERROR(--(c_min*(Uн_лин*1000/SQRT(3))/(EG190+2*ρкз_Cu*_xlpm.L_/_xlpm.sz)&gt;=HT190*_xlpm.inn),0)),_xlpm.ok,IFERROR((_xlpm.sz&gt;=_xlpm.smin)*(_xlpm.t_&gt;=_xlpm.inn)*IF(_xlpm.L_&gt;0,(_xlpm.du_+IF(_xlpm.dcx,0,EF190)&lt;=EL190+0.00001),1)*_xlpm.kz,0),_xlpm.r_,_xlfn._xlws.FILTER(_xlpm.sz,_xlpm.ok,"не подобрано"),INDEX(_xlpm.r_,1)))</f>
        <v>2.5</v>
      </c>
      <c r="EN190">
        <f t="shared" si="329"/>
        <v>2.5</v>
      </c>
      <c r="EO190" cm="1">
        <f t="array" ref="EO190">IF(OR(B190="",BZ190="",EC190&lt;&gt;1),"",_xlfn.LET(_xlpm.sz,Iдоп_S,_xlpm.t_,CHOOSE(EB190,Iдоп_1ж,Iдоп_2ж,Iдоп_3ж)*DZ190*EA190,_xlpm.ok,IFERROR((_xlpm.sz&gt;=MAX(1.5,CC190))*(_xlpm.t_&gt;=N(DT190)),0),_xlpm.r_,_xlfn._xlws.FILTER(_xlpm.sz,_xlpm.ok,""),INDEX(_xlpm.r_,1)))</f>
        <v>1.5</v>
      </c>
      <c r="EP190" s="6" cm="1">
        <f t="array" ref="EP190">IFERROR(ROUNDUP(N(EJ190)*(_xlfn.XLOOKUP(EO190,INDEX(Кабель_сопротивление,0,1),INDEX(Кабель_сопротивление,0,3))*N(P190)/EO190*N(CE190)+_xlfn.XLOOKUP(EO190,INDEX(Кабель_сопротивление,0,1),INDEX(Кабель_сопротивление,0,2))*N(P190)*N(EK190)/1000)*N(O190)/((Uн_лин/SQRT(3))*1000)*100,2),"")</f>
        <v>3.69</v>
      </c>
      <c r="EQ190">
        <f>IFERROR(2*ρкз_Cu*N(P190)/EO190,"")</f>
        <v>4.2430666666666665</v>
      </c>
      <c r="ER190">
        <f>IFERROR(VLOOKUP(EN190,Кабель_сопротивление,3,FALSE),"")</f>
        <v>2.2499999999999999E-2</v>
      </c>
      <c r="ES190">
        <f>IFERROR(VLOOKUP(EN190,Кабель_сопротивление,2,FALSE),"")</f>
        <v>0.1</v>
      </c>
      <c r="ET190">
        <f t="shared" si="330"/>
        <v>0</v>
      </c>
      <c r="EU190">
        <f t="shared" si="331"/>
        <v>70</v>
      </c>
      <c r="EV190">
        <f t="shared" si="332"/>
        <v>5.1112139273514172</v>
      </c>
      <c r="EW190" s="6">
        <f>IFERROR(ROUNDUP(EV190/IF(BV190=1,BU190,(Uн_лин/SQRT(3))*1000)*100,2),"")</f>
        <v>2.2199999999999998</v>
      </c>
      <c r="EX190" t="str">
        <f>IFERROR(VLOOKUP(BZ190,Кабель_обозначение,2,FALSE),"")</f>
        <v>ВВГнг(А)-LS</v>
      </c>
      <c r="EY190" t="str">
        <f t="shared" si="333"/>
        <v>ВВГнг(А)-LS (3х2,5)</v>
      </c>
      <c r="EZ190" t="str">
        <f t="shared" si="334"/>
        <v>ВВГнг(А)-LS (3х2,5)
L=121-2,22%</v>
      </c>
      <c r="FA190">
        <f>IFERROR(2*ρкз_Cu*P190/EN190,"")</f>
        <v>2.5458400000000001</v>
      </c>
      <c r="FB190">
        <f t="shared" si="335"/>
        <v>0.84700000000000009</v>
      </c>
      <c r="FC190" s="6" t="str">
        <f>IFERROR(IF(OR(B190="",BV190=1,NOT(ISNUMBER(EN190)),N(P190)=0),"",_xlfn.XLOOKUP(A190,Щиты[Щит],Щиты[Zпетли на шинах, Ом])+FA190),"")</f>
        <v/>
      </c>
      <c r="FD190" s="6" t="str">
        <f>IF(ISNUMBER(FC190),c_min*(Uн_лин*1000/SQRT(3))/FC190,"")</f>
        <v/>
      </c>
      <c r="FE190" s="6" t="str">
        <f>IFERROR(IF(OR(B190="",NOT(ISNUMBER(EN190))),"",1.05*(Uн_лин*1000/SQRT(3))/(_xlfn.XLOOKUP(A190,Щиты[Щит],Щиты[Zmax на шинах, Ом])+FB190)/1000),"")</f>
        <v/>
      </c>
      <c r="FF190" s="6" t="str">
        <f>IF(B190="","",IF(ISNUMBER(AC190),"Сил",IF(IFERROR(_xlfn.XLOOKUP(BC190,Коды_код,Коды_группа)&amp;"","")="","Быт",_xlfn.XLOOKUP(BC190,Коды_код,Коды_группа)&amp;"")))</f>
        <v>Быт</v>
      </c>
      <c r="FG190" s="6" t="str">
        <f t="shared" si="336"/>
        <v>Быт</v>
      </c>
      <c r="FH190" s="6">
        <f>IF(FG190="Щит","щит",IF(FG190="","",IF(FG190="Быт",IFERROR(_xlfn.XLOOKUP(A190,Щиты[Щит],Щиты[Кс быт]),1),IF(FG190="Сил",IF(ISNUMBER(AC190),AC190,IF(Методика="нормы 2026",IFERROR(_xlfn.XLOOKUP(A190,Щиты[Щит],Щиты[Кс силовых (табл. 7.5)]),1),1)),IF(OR(FG190="Пост",FG190="Отоп"),1,IF(FG190="ВНГ",0.7,0))))))</f>
        <v>0.79799999999999993</v>
      </c>
      <c r="FI190">
        <f>IF(FG190="","",IF(AND(BP190=1,TRIM(AE190&amp;"")=""),IF(COUNTIFS(Линии[Щит],A190,Линии[Секция (1/2/3)],"&gt;=2")&gt;0,MIN(3,MAX(1,IFERROR(--BD190,1))),1),IFERROR(MIN(3,MAX(1,INT(--AE190))),1)))</f>
        <v>1</v>
      </c>
      <c r="FJ190">
        <f t="shared" si="337"/>
        <v>0.54</v>
      </c>
      <c r="FK190">
        <f t="shared" si="338"/>
        <v>0.54</v>
      </c>
      <c r="FL190">
        <f t="shared" si="339"/>
        <v>0</v>
      </c>
      <c r="FM190">
        <f t="shared" si="340"/>
        <v>0</v>
      </c>
      <c r="FN190">
        <f t="shared" si="341"/>
        <v>0</v>
      </c>
      <c r="FO190">
        <f t="shared" si="342"/>
        <v>0</v>
      </c>
      <c r="FP190">
        <f t="shared" si="343"/>
        <v>0.54</v>
      </c>
      <c r="FQ190">
        <f t="shared" si="344"/>
        <v>0.54</v>
      </c>
      <c r="FR190">
        <f t="shared" si="345"/>
        <v>0.51300000000000001</v>
      </c>
      <c r="FS190">
        <f>IF(CG190=1,IF(AND(CH190=1,CW190=1),0,IF(AND(CS190&lt;&gt;"",CS190=BA190,CW190=1),SUMIFS(Линии[_Р линии, кВт],Линии[_блок УЗО],BA190,Линии[Щит],A190),N(BS190)+IF(AJ190="вручную",0,N(CK190)))),0)</f>
        <v>0.54</v>
      </c>
      <c r="FT190" t="str">
        <f t="shared" si="346"/>
        <v>L3</v>
      </c>
      <c r="FU190" t="str">
        <f>IF(B190="","",IF(CG190=0,IF(BA190=1,"",FW189),IF(AND(CH190=1,CW190=1,CS190&lt;&gt;""),IFERROR(_xlfn.XLOOKUP(CS190,Линии[_n],Линии[_фаза итог]),"L1"),IF(OR(N(DL190)&gt;=3,N(BX190)&gt;=3),"L1,L2,L3",IFERROR(_xlfn.TEXTBEFORE(_xlfn.TEXTAFTER(_xlfn.XLOOKUP(A190,Щиты[Щит],Щиты[_фазы авто]),";"&amp;BA190&amp;":"),";"),"L1")))))</f>
        <v>L1</v>
      </c>
      <c r="FV190" t="str">
        <f t="shared" si="347"/>
        <v>L3</v>
      </c>
      <c r="FW190" t="str">
        <f t="shared" si="348"/>
        <v>L3</v>
      </c>
      <c r="FX190" cm="1">
        <f t="array" ref="FX190">IFERROR(IF(CD190=2,_xlfn.IFS(BX190=3,VLOOKUP(BS190,Справочная_двигатели,3,FALSE),BX190=1,VLOOKUP(BS190,Справочная_двигатели,5,TRUE)),0),0)</f>
        <v>0</v>
      </c>
      <c r="FY190">
        <f>IFERROR(IF(CD190=3,VLOOKUP(BS190,Справочная_ЛЭД,2,TRUE),0),0)</f>
        <v>0</v>
      </c>
      <c r="FZ190" s="6">
        <f t="shared" si="349"/>
        <v>0</v>
      </c>
      <c r="GA190" t="str">
        <f>IF(B190="","",IF(TRIM(AH190&amp;"")&lt;&gt;"",IF(LOWER(TRIM(AH190&amp;""))="да","да","нет"),IF(IFERROR(_xlfn.XLOOKUP(BC190,Коды_код,Коды_пожарная),"")="да","да","нет")))</f>
        <v>нет</v>
      </c>
      <c r="GB190" t="str">
        <f t="shared" si="350"/>
        <v/>
      </c>
      <c r="GC190" t="str">
        <f t="shared" si="351"/>
        <v>основная</v>
      </c>
      <c r="GD190">
        <f>IF(AND(BP190=1,TRIM(AE190&amp;"")=""),IF(COUNTIFS(Линии[Щит],A190,Линии[Секция (1/2/3)],"&gt;=2")&gt;0,MIN(3,MAX(1,IFERROR(--BD190,1))),1),IFERROR(MIN(3,MAX(1,INT(--AE190))),1))</f>
        <v>1</v>
      </c>
      <c r="GE190" t="str" cm="1">
        <f t="array" ref="GE190">IF(B190="","",_xlfn.LET(_xlpm.t,IFERROR(_xlfn.XLOOKUP(1,(Шины[Шина]=GC190)*(((Шины[Щит]=A190)+(Шины[Щит]=""))&gt;0),Шины[Тип]),"")&amp;"",IF(_xlpm.t&lt;&gt;"",_xlpm.t,IF(ISNUMBER(SEARCH("ИБП",GC190)),"ИБП",IF(ISNUMBER(SEARCH("ДГУ",GC190)),"ДГУ","Ввод "&amp;GD190)))))</f>
        <v>Ввод 1</v>
      </c>
      <c r="GF190" t="str">
        <f t="shared" si="352"/>
        <v>Ввод 1</v>
      </c>
      <c r="GG190" t="str">
        <f>IF(BP190=0,"",IF(TRIM(AG190&amp;"")&lt;&gt;"",TRIM(AG190&amp;""),IF(OR(GE190="ИБП",GE190="ДГУ"),"I особая",_xlfn.XLOOKUP(A190,Щиты[Щит],Щиты[Категория шины «Ввод»],"III"))))</f>
        <v/>
      </c>
      <c r="GH190" t="str">
        <f>IF(A190="","",_xlfn.XLOOKUP(A190,Щиты[Щит],Щиты[Путь],""))</f>
        <v>|ГРЩ-ЖД|ЩР-01|</v>
      </c>
      <c r="GI190" t="str">
        <f>IF(B190="","",IF(AI190&lt;&gt;"",AI190,IF(IFERROR(_xlfn.XLOOKUP(BC190,Коды_код,Коды_вид)&amp;"","")="","Прочее",_xlfn.XLOOKUP(BC190,Коды_код,Коды_вид)&amp;"")))</f>
        <v>Розеточная сеть и бытовые приборы</v>
      </c>
      <c r="GJ190">
        <f>IF(BM190="","",INT((BM190-1)/Столбцов_на_лист)+1)</f>
        <v>1</v>
      </c>
      <c r="GK190" t="str">
        <f t="shared" si="353"/>
        <v>ВВГнг(А)-LS (3х2,5) L=121-2,22%</v>
      </c>
      <c r="GL190">
        <f t="shared" si="354"/>
        <v>0.54</v>
      </c>
      <c r="GM190">
        <f t="shared" si="355"/>
        <v>2.4699999999999998</v>
      </c>
      <c r="GN190">
        <f t="shared" si="356"/>
        <v>1</v>
      </c>
      <c r="GO190">
        <f t="shared" si="357"/>
        <v>0</v>
      </c>
      <c r="GP190">
        <f t="shared" si="358"/>
        <v>1</v>
      </c>
      <c r="GQ190">
        <f>IF(BM190="","",IF(AND(CG190=1,GP190=1),COUNTIFS(A$3:A190,A190,CG$3:CG190,1,GP$3:GP190,1),IF(OR(OR(BA190=1,A190&lt;&gt;A189),AJ190="вручную",GP190=0),"",IF(BA190=1,"",GR189))))</f>
        <v>6</v>
      </c>
      <c r="GR190">
        <f t="shared" si="359"/>
        <v>6</v>
      </c>
      <c r="GS190">
        <f>IF(B190="","",IFERROR(LOOKUP(INDEX(CHOOSE(EB190,Iдоп_1ж,Iдоп_2ж,Iдоп_3ж),MATCH(EN190,Iдоп_S,0))*DZ190*EA190,{6,10,16,20,25,32,40,50,63,80,100,125,160,200,250,315,400,500,630}),""))</f>
        <v>25</v>
      </c>
      <c r="GT190" t="str">
        <f t="shared" si="360"/>
        <v>QFD6</v>
      </c>
      <c r="GU190" t="str">
        <f t="shared" si="361"/>
        <v>QFD6</v>
      </c>
      <c r="GV190" t="str">
        <f t="shared" si="362"/>
        <v/>
      </c>
      <c r="GW190">
        <f t="shared" si="363"/>
        <v>0</v>
      </c>
      <c r="GX190" t="str">
        <f>IF(OR(B190="",DJ190=""),"",IFERROR(_xlfn.XLOOKUP(DJ190,Модули_умолч[Управление],Модули_умолч[Модель])&amp;"",""))</f>
        <v/>
      </c>
      <c r="GY190">
        <f>IF(DJ190="",1,IFERROR(MAX(0,N(_xlfn.XLOOKUP(DJ190,Модули_умолч[Управление],Модули_умолч[Каналов на линию]))),1))</f>
        <v>1</v>
      </c>
      <c r="GZ190" t="str">
        <f t="shared" si="364"/>
        <v/>
      </c>
      <c r="HA190" t="str">
        <f t="shared" si="365"/>
        <v/>
      </c>
      <c r="HB190" t="str">
        <f t="shared" si="366"/>
        <v/>
      </c>
      <c r="HC190">
        <f>IF(HB190="",0,IFERROR(N(VLOOKUP(HB190,Модули_спр,3,FALSE)),0))</f>
        <v>0</v>
      </c>
      <c r="HD190" t="str">
        <f t="shared" si="367"/>
        <v/>
      </c>
      <c r="HE190" t="str">
        <f t="shared" si="368"/>
        <v/>
      </c>
      <c r="HF190" t="str">
        <f>IF(OR(HE190="",HE190="-"),"",IFERROR(VLOOKUP(HE190,Модули_спр,2,FALSE),"R"))</f>
        <v/>
      </c>
      <c r="HG190" t="str">
        <f>IF(HF190="","",HF190&amp;"."&amp;COUNTIFS(A$3:A190,A190,HF$3:HF190,HF190))</f>
        <v/>
      </c>
      <c r="HH190" t="str">
        <f t="shared" si="369"/>
        <v/>
      </c>
      <c r="HI190" t="str">
        <f t="shared" si="370"/>
        <v/>
      </c>
      <c r="HJ190" t="str">
        <f t="shared" si="371"/>
        <v/>
      </c>
      <c r="HK190" t="str">
        <f t="shared" si="372"/>
        <v/>
      </c>
      <c r="HL190">
        <f t="shared" si="373"/>
        <v>1</v>
      </c>
      <c r="HM190" t="str">
        <f>IF(HL190=1,"XT"&amp;COUNTIFS(A$3:A190,A190,HL$3:HL190,1),"")</f>
        <v>XT6</v>
      </c>
      <c r="HN190" t="str">
        <f t="shared" si="374"/>
        <v>XT6</v>
      </c>
      <c r="HO190" t="str">
        <f t="shared" si="375"/>
        <v>QFD6</v>
      </c>
      <c r="HP190" t="str">
        <f t="shared" si="376"/>
        <v/>
      </c>
      <c r="HQ190" t="str">
        <f t="shared" si="377"/>
        <v>ok</v>
      </c>
      <c r="HR190" t="str">
        <f>IF(OR(HJ190="",HH190=""),"",IF(HJ190+MAX(0,GY190-1)&gt;IFERROR(VLOOKUP(HI190,Модули_спр,3,FALSE),99),"ЛИШНИЙ КАНАЛ",IF(AND(AL190&lt;&gt;"=",GY190&gt;0,COUNTIFS(Линии[_модуль гр.],HH190,Линии[Канал (итог)],HJ190,Линии[Канал],"&lt;&gt;=",Линии[Щит],A190)&gt;1),"ДУБЛЬ КАНАЛА","")))</f>
        <v/>
      </c>
      <c r="HS190" s="6" t="str">
        <f t="shared" si="378"/>
        <v/>
      </c>
      <c r="HT190">
        <f t="shared" si="379"/>
        <v>10</v>
      </c>
      <c r="HU190" t="str">
        <f t="shared" si="380"/>
        <v/>
      </c>
      <c r="HV190">
        <f t="shared" si="381"/>
        <v>2.1945341432496774</v>
      </c>
      <c r="HW190">
        <f t="shared" si="382"/>
        <v>0</v>
      </c>
      <c r="HX190">
        <f t="shared" si="383"/>
        <v>0</v>
      </c>
      <c r="HY190">
        <f t="shared" si="384"/>
        <v>0</v>
      </c>
      <c r="HZ190">
        <f t="shared" si="385"/>
        <v>0</v>
      </c>
      <c r="IA190">
        <f t="shared" si="386"/>
        <v>0</v>
      </c>
      <c r="IB190">
        <f t="shared" si="387"/>
        <v>0</v>
      </c>
      <c r="IC190" t="str">
        <f t="shared" si="388"/>
        <v/>
      </c>
      <c r="ID190" t="str" cm="1">
        <f t="array" ref="ID190">IF(IC190="","",_xlfn.LET(_xlpm.tk,_xlfn.TEXTSPLIT(SUBSTITUTE(SUBSTITUTE(IC190,";"," "),"→"," ")," ",,TRUE),_xlpm.w_,_xlfn._xlws.FILTER(_xlpm.tk,ISNUMBER(--LEFT(_xlpm.tk,1))*((ISNUMBER(SEARCH("W",_xlpm.tk))+ISNUMBER(SEARCH("Вт",_xlpm.tk)))&gt;0),""),IFERROR(--SUBSTITUTE(SUBSTITUTE(UPPER(INDEX(_xlpm.w_,1)),"W",""),"ВТ",""),"")))</f>
        <v/>
      </c>
      <c r="IE190" t="str" cm="1">
        <f t="array" ref="IE190">IF(IC190="","",_xlfn.LET(_xlpm.tk,_xlfn.TEXTSPLIT(SUBSTITUTE(SUBSTITUTE(IC190,";"," "),"→"," ")," ",,TRUE),_xlpm.v_,_xlfn._xlws.FILTER(_xlpm.tk,ISNUMBER(--LEFT(_xlpm.tk,1))*((ISNUMBER(SEARCH("V",_xlpm.tk))+(RIGHT(UPPER(_xlpm.tk))="В"))&gt;0),""),IFERROR(--SUBSTITUTE(SUBSTITUTE(UPPER(INDEX(_xlpm.v_,1)),"V",""),"В",""),"")))</f>
        <v/>
      </c>
      <c r="IF190" s="6" t="str">
        <f>IF(OR(BV190=0,HI190="",HJ190=""),"",IFERROR(N(_xlfn.XLOOKUP(HI190,Каталог!$C$4:$C$500,Каталог!$Q$4:$Q$500)),""))</f>
        <v/>
      </c>
      <c r="IG190" s="6" t="str">
        <f>IF(N(IF190)=0,"",SUMIFS(Линии[Iр, А],Линии[Щит],A190,Линии[_модуль гр.],HH190,Линии[Канал (итог)],HJ190))</f>
        <v/>
      </c>
      <c r="IH190" t="str">
        <f>IF(AND(B190="",HO190=""),"",_xlfn.TEXTJOIN("; ",TRUE,IF(AND(B190&lt;&gt;"",FV190=""),"нет фазы",""),IF(AND(B190&lt;&gt;"",N(GL190)=0,FG190&lt;&gt;"Нет"),"нет мощности",""),IF(AND(HN190&lt;&gt;"",COUNTIFS(Линии[Щит],A190,Линии[Клемма (итог)],HN190)&gt;1),"дубль клеммы "&amp;HN190,""),IF(AND(HQ190&lt;&gt;"",HQ190&lt;&gt;"ok"),HQ190,""),IF(HR190&lt;&gt;"",HR190,""),IF(AND(N(CB190)&gt;=4,N(BX190)=1),CB190&amp;" жил на 1 фазе",""),IF(AND(BC190="R",CG190=1,IF(CS190&lt;&gt;"",N(CV190)&gt;30,OR(N(DA190)=0,N(DA190)&gt;30))),"розетка без дифзащиты до 30 мА",""),IF(AND(CG190=1,N(DA190)&gt;0,ISNUMBER(T190)),IF(T190&gt;N(DA190)/3,"ток утечки "&amp;FIXED(T190,1)&amp;" мА &gt; 1/3 уставки ("&amp;DA190&amp;" мА)",""),""),IF(AND(CH190=1,CS190=""),"«узо»: нет строки с УЗО выше (УЗО 2P 40А 30мА в «Аппаратах»)",""),IF(AND(CS190&lt;&gt;"",CS190=BA190),IF(CT190="","впишите номинал УЗО (УЗО 2P 40А 30мА)",IF(N(CT190)&lt;N(DT190),"УЗО "&amp;CT190&amp;" А &lt; автомата "&amp;DT190&amp;" А перед ним",IF(N(CT190)&lt;N(CX190),"УЗО "&amp;CT190&amp;" А &lt; тока блока "&amp;FIXED(CX190,1)&amp;" А",""))),""),IF(AND(CS190&lt;&gt;"",CS190=BA190,ISNUMBER(CY190)),IF(CY190&gt;N(CV190)/3,"ток утечки блока УЗО "&amp;FIXED(CY190,1)&amp;" мА &gt; 1/3 уставки ("&amp;CV190&amp;" мА)",""),""),IF(AND(CG190=1,N(BV190)+N(IB190)&gt;0,IC190=""),"линии до 50 В без БП: впишите в «Аппараты» (БП 24V 480W)",""),IF(AND(CG190=1,ISNUMBER(ID190),ISNUMBER(U190)),IF(U190&gt;ID190,"БП "&amp;ID190&amp;" Вт &lt; нужно "&amp;U190&amp;" Вт (×"&amp;Запас_БП&amp;")",""),""),IF(AND(CG190=1,ISNUMBER(IE190),N(BV190)=1),IF(IE190&lt;&gt;N(BU190),"БП на "&amp;IE190&amp;" В, линия "&amp;BU190&amp;" В",""),""),IF(AND(N(IF190)&gt;0,N(IG190)&gt;N(IF190)),HH190&amp;" канал "&amp;HJ190&amp;": "&amp;FIXED(IG190,1)&amp;" А &gt; "&amp;IF190&amp;" А",""),IFERROR(IF(AND(ISNUMBER(Q190),Q190&gt;EL190),"потери "&amp;FIXED(Q190,1)&amp;" % &gt; "&amp;EL190&amp;" %",""),""),IFERROR(IF(LEFT(HU190,4)="мало","Iкз мало — отключение &gt; 0,4 с",""),""),IF(AND(B190&lt;&gt;"",BM190=""),"не на схеме",""),IF(AND(CG190=0,B190&lt;&gt;"",FV190&lt;&gt;"",IF(BA190=1,"",FW189)&lt;&gt;"",FV190&lt;&gt;IF(BA190=1,"",FW189)),"фаза не как у автомата группы ("&amp;IF(BA190=1,"",FW189)&amp;")","")))</f>
        <v/>
      </c>
      <c r="II190" s="6">
        <f>IF(OR(CG190=0,DQ190=""),"",_xlfn.LET(_xlpm.t,IFERROR(_xlfn.XLOOKUP(DQ190,Каталог!$U$4:$U$500,Каталог!$G$4:$G$500),""),_xlpm.k,SEARCH("кА",_xlpm.t),IFERROR(--TRIM(RIGHT(SUBSTITUTE(MID(_xlpm.t,MAX(1,_xlpm.k-4),_xlpm.k-MAX(1,_xlpm.k-4))," ",REPT(" ",9)),5)),"")))</f>
        <v>6</v>
      </c>
      <c r="IJ190" t="str">
        <f>IF(OR(II190="",CG190=0),"",IF(_xlfn.XLOOKUP(A190,Щиты[Щит],Щиты[Iкз max на шинах, кА],"")="","",IF(II190&lt;_xlfn.XLOOKUP(A190,Щиты[Щит],Щиты[Iкз max на шинах, кА]),"Icu "&amp;II190&amp;" кА &lt; Iкз max","ok")))</f>
        <v/>
      </c>
      <c r="IK190" t="str">
        <f t="shared" si="389"/>
        <v/>
      </c>
      <c r="IL190" t="str">
        <f t="shared" si="390"/>
        <v>QFD6|XT6</v>
      </c>
      <c r="IM190" t="str">
        <f t="shared" si="391"/>
        <v>QFD6|XT6|кабель ВВГнг(А)-LS (3х2,5) → Розеточная группа, пом. 002Б</v>
      </c>
      <c r="IN190" t="str" cm="1">
        <f t="array" ref="IN190">IF(IM190="","",_xlfn.LET(_xlpm.nd,_xlfn.TEXTSPLIT(IM190,"|"),IF(COLUMNS(_xlpm.nd)&gt;1,A190&amp;"¦"&amp;INDEX(_xlpm.nd,1)&amp;"¦"&amp;INDEX(_xlpm.nd,2),"")))</f>
        <v>ЩР-01¦QFD6¦XT6</v>
      </c>
      <c r="IO190" t="str">
        <f t="shared" si="392"/>
        <v>R.0.002Б.2¦Розеточная группа, пом. 002Б</v>
      </c>
      <c r="IP190" t="str" cm="1">
        <f t="array" ref="IP190">IF(IM190="","",_xlfn.LET(_xlpm.nd,_xlfn.TEXTSPLIT(IM190,"|"),IF(COLUMNS(_xlpm.nd)&gt;2,A190&amp;"¦"&amp;INDEX(_xlpm.nd,2)&amp;"¦"&amp;INDEX(_xlpm.nd,3),"")))</f>
        <v>ЩР-01¦XT6¦кабель ВВГнг(А)-LS (3х2,5) → Розеточная группа, пом. 002Б</v>
      </c>
      <c r="IQ190" t="str">
        <f t="shared" si="393"/>
        <v>R.0.002Б.2¦Розеточная группа, пом. 002Б</v>
      </c>
      <c r="IR190" t="str" cm="1">
        <f t="array" ref="IR190">IF(IM190="","",_xlfn.LET(_xlpm.nd,_xlfn.TEXTSPLIT(IM190,"|"),IF(COLUMNS(_xlpm.nd)&gt;3,A190&amp;"¦"&amp;INDEX(_xlpm.nd,3)&amp;"¦"&amp;INDEX(_xlpm.nd,4),"")))</f>
        <v/>
      </c>
      <c r="IS190" t="str">
        <f t="shared" si="394"/>
        <v/>
      </c>
      <c r="IT190" t="str" cm="1">
        <f t="array" ref="IT190">IF(IM190="","",_xlfn.LET(_xlpm.nd,_xlfn.TEXTSPLIT(IM190,"|"),IF(COLUMNS(_xlpm.nd)&gt;4,A190&amp;"¦"&amp;INDEX(_xlpm.nd,4)&amp;"¦"&amp;INDEX(_xlpm.nd,5),"")))</f>
        <v/>
      </c>
      <c r="IU190" t="str">
        <f t="shared" si="395"/>
        <v/>
      </c>
      <c r="IV190" t="str" cm="1">
        <f t="array" ref="IV190">IF(IM190="","",_xlfn.LET(_xlpm.nd,_xlfn.TEXTSPLIT(IM190,"|"),IF(COLUMNS(_xlpm.nd)&gt;5,A190&amp;"¦"&amp;INDEX(_xlpm.nd,5)&amp;"¦"&amp;INDEX(_xlpm.nd,6),"")))</f>
        <v/>
      </c>
      <c r="IW190" t="str">
        <f t="shared" si="396"/>
        <v/>
      </c>
      <c r="IX190" t="str" cm="1">
        <f t="array" ref="IX190">IF(IM190="","",_xlfn.LET(_xlpm.nd,_xlfn.TEXTSPLIT(IM190,"|"),IF(COLUMNS(_xlpm.nd)&gt;6,A190&amp;"¦"&amp;INDEX(_xlpm.nd,6)&amp;"¦"&amp;INDEX(_xlpm.nd,7),"")))</f>
        <v/>
      </c>
      <c r="IY190" t="str">
        <f t="shared" si="397"/>
        <v/>
      </c>
      <c r="IZ190" t="str">
        <f t="shared" si="398"/>
        <v/>
      </c>
      <c r="JA190" t="str">
        <f t="shared" si="399"/>
        <v>QFD6 → XT6</v>
      </c>
      <c r="JB190">
        <f t="shared" si="400"/>
        <v>0</v>
      </c>
      <c r="JC190">
        <f t="shared" si="401"/>
        <v>1</v>
      </c>
      <c r="JD190" t="str">
        <f t="shared" si="402"/>
        <v/>
      </c>
      <c r="JE190" t="str">
        <f t="shared" si="403"/>
        <v/>
      </c>
      <c r="JF190" t="str">
        <f t="shared" si="404"/>
        <v/>
      </c>
      <c r="JG190" t="str">
        <f t="shared" si="405"/>
        <v/>
      </c>
      <c r="JH190" t="str">
        <f>IF(B190="","",IFERROR(_xlfn.XLOOKUP(B190,Коды_код,Коды_уго),IFERROR(_xlfn.XLOOKUP(BC190,Коды_код,Коды_уго),IFERROR(_xlfn.XLOOKUP(LEFT(BC190,2),Коды_код,Коды_уго),""))))</f>
        <v>Розетка</v>
      </c>
      <c r="JI190" t="str">
        <f>IF(B190="","",IF(OR(JH190="",JH190=0),"BOX",IFERROR(IF(VLOOKUP(JH190,УГО_блоки,3,FALSE)&amp;""&lt;&gt;"",VLOOKUP(JH190,УГО_блоки,3,FALSE),VLOOKUP(JH190,УГО_блоки,2,FALSE)),JH190)))</f>
        <v>SOCKET</v>
      </c>
      <c r="JJ190">
        <f t="shared" si="406"/>
        <v>1</v>
      </c>
      <c r="JK190" t="str">
        <f>IF(DQ190="","",IF(COUNTIF(DQ$3:DQ190,DQ190)=1,MAX(JK$2:JK189)+1,""))</f>
        <v/>
      </c>
      <c r="JL190" t="str">
        <f>IF(DE190="","",IF(COUNTIF(DE$3:DE190,DE190)+COUNTIF(DF$2:DF189,DE190)+COUNTIF(DG$2:DG189,DE190)=1,MAX(JL$2:JN189)+1,""))</f>
        <v/>
      </c>
      <c r="JM190" t="str">
        <f>IF(DF190="","",IF(COUNTIF(DE$3:DE190,DF190)+COUNTIF(DF$3:DF190,DF190)+COUNTIF(DG$2:DG189,DF190)=1,MAX(JL$2:JN189,JL190)+1,""))</f>
        <v/>
      </c>
      <c r="JN190" t="str">
        <f>IF(DG190="","",IF(COUNTIF(DE$3:DE190,DG190)+COUNTIF(DF$3:DF190,DG190)+COUNTIF(DG$3:DG190,DG190)=1,MAX(JL$2:JN189,JL190,JM190)+1,""))</f>
        <v/>
      </c>
      <c r="JO190" t="str">
        <f t="shared" si="407"/>
        <v>3х2,5</v>
      </c>
      <c r="JP190" t="str">
        <f>IF(JO190="","",IF(COUNTIF(JO$3:JO190,JO190)=1,MAX(JP$2:JP189)+1,""))</f>
        <v/>
      </c>
      <c r="JQ190" t="str">
        <f>IF(HG190="","",COUNTIF(HG$3:HG190,"?*"))</f>
        <v/>
      </c>
      <c r="JR190" t="str">
        <f>IF(OR(HG190="",HI190=""),"",IF(COUNTIFS(HG$3:HG190,"?*",HI$3:HI190,HI190)=1,MAX(JR$2:JR189)+1,""))</f>
        <v/>
      </c>
      <c r="JS190">
        <f t="shared" si="408"/>
        <v>0</v>
      </c>
      <c r="JT190">
        <f>IF(B190="","",COUNTIF(B$3:B190,"?*"))</f>
        <v>188</v>
      </c>
      <c r="JU190">
        <f>IF(HL190&lt;&gt;1,0,_xlfn.LET(_xlpm.k,MAX(IFERROR(--_xlfn.XLOOKUP(B190,Коды_код,Коды_3L),0),IFERROR(--_xlfn.XLOOKUP(BC190,Коды_код,Коды_3L),0),IFERROR(--_xlfn.XLOOKUP(LEFT(BC190,2),Коды_код,Коды_3L),0)),IF(_xlpm.k&gt;0,_xlpm.k,IF(IFERROR(--LEFT(SUBSTITUTE(JO190,"x","х"),FIND("х",SUBSTITUTE(JO190,"x","х"))-1),3)&gt;3,Каталог!$S$9,1))))</f>
        <v>1</v>
      </c>
      <c r="JV190">
        <f t="shared" si="409"/>
        <v>0</v>
      </c>
      <c r="JW190" t="str">
        <f t="shared" si="410"/>
        <v>авто</v>
      </c>
      <c r="JX190">
        <f t="shared" si="411"/>
        <v>30</v>
      </c>
      <c r="JY190">
        <f t="shared" si="412"/>
        <v>1</v>
      </c>
      <c r="JZ190">
        <f t="shared" si="413"/>
        <v>1</v>
      </c>
    </row>
    <row r="191" spans="1:286" x14ac:dyDescent="0.3">
      <c r="A191" t="s">
        <v>755</v>
      </c>
      <c r="B191" t="s">
        <v>1498</v>
      </c>
      <c r="C191" t="str">
        <f>Линии[[#This Row],[_авто наименование]]</f>
        <v>Розеточная группа, пом. 003A</v>
      </c>
      <c r="D191">
        <v>5</v>
      </c>
      <c r="E191">
        <v>0.3</v>
      </c>
      <c r="G191" t="str">
        <f>Линии[[#This Row],[_авто автомат]]</f>
        <v>2P С16А 30мА</v>
      </c>
      <c r="H191" t="str">
        <f>Линии[[#This Row],[_авто управление]]</f>
        <v/>
      </c>
      <c r="I191" t="str">
        <f>Линии[[#This Row],[_авто аппараты]]</f>
        <v/>
      </c>
      <c r="J191">
        <v>2.5</v>
      </c>
      <c r="K191">
        <v>50</v>
      </c>
      <c r="L191">
        <v>3</v>
      </c>
      <c r="M191" t="str">
        <f>Линии[[#This Row],[_авто клемма]]</f>
        <v>XT7</v>
      </c>
      <c r="N191" t="str">
        <f t="shared" si="276"/>
        <v/>
      </c>
      <c r="O191" s="6" cm="1">
        <f t="array" ref="O191">IF(B191="","",IF(BH191&lt;&gt;"",IFERROR(_xlfn.XLOOKUP(BH191,Щиты[Щит],Щиты[Iр, А]),""),IF(BP191=1,IF(OR(N(_xlfn.XLOOKUP(A191,Щиты[Щит],Щиты[Вводов],1))&lt;=1,LOWER(TRIM(_xlfn.XLOOKUP(A191,Щиты[Щит],Щиты[АВР],"")&amp;""))="да"),IFERROR(_xlfn.XLOOKUP(A191,Щиты[Щит],Щиты[Iр, А]),""),IFERROR(N(BS191)*_xlfn.XLOOKUP(A191,Щиты[Щит],Щиты[Кс итог])/(SQRT(3)*Uн_лин*_xlfn.XLOOKUP(A191,Щиты[Щит],Щиты[cos φ])),"")),IF(BV191=1,IFERROR(BS191*1000/BU191,""),IFERROR(_xlfn.IFS(BX191=1,BS191/((Uн_лин/SQRT(3))*CE191),BX191=3,BS191/(SQRT(3)*Uн_лин*CE191)),"")))))</f>
        <v>1.3674085322912188</v>
      </c>
      <c r="P191" s="7">
        <f>IF(B191="","",IFERROR(IF(VLOOKUP(BC191,Потребители_обозначение,4,FALSE)=1,VLOOKUP(BC191,Потребители_обозначение,3,FALSE)*(MAX(1,N(D191))*2-1)+EI191+VLOOKUP(BE191,Этаж_обозначение,3,FALSE)+VLOOKUP(BE191,Этаж_обозначение,4,FALSE),VLOOKUP(BC191,Потребители_обозначение,3,FALSE)*(MAX(1,N(D191))*2-1)+EI191),EI191))</f>
        <v>77</v>
      </c>
      <c r="Q191" s="6">
        <f t="shared" si="277"/>
        <v>1.22</v>
      </c>
      <c r="R191" t="str">
        <f t="shared" si="278"/>
        <v>ВВГнг(А)-LS (3х2,5)</v>
      </c>
      <c r="S191" t="str">
        <f>IF(BM191="","",IF(BN191="вводной узел","узел ","")&amp;"л."&amp;(INT((BM191-1)/Столбцов_на_лист)+1)&amp;" / "&amp;(MOD(BM191-1,Столбцов_на_лист)+1))</f>
        <v>л.1 / 15</v>
      </c>
      <c r="T191" s="119">
        <f t="shared" si="279"/>
        <v>1.3</v>
      </c>
      <c r="U191" s="7" t="str">
        <f>IF(OR(CG191=0,N(BV191)+N(IB191)=0),"",ROUNDUP(Запас_БП*(N(HY191)+N(HZ191)),0))</f>
        <v/>
      </c>
      <c r="V191" s="119" t="str">
        <f t="shared" si="280"/>
        <v/>
      </c>
      <c r="W191" s="7" t="str">
        <f>IFERROR(IF(OR(B191="",BP191=1,BV191=1,NOT(ISNUMBER(EN191)),N(DT191)=0),"",MAX(0,ROUNDDOWN((c_min*(Uн_лин*1000/SQRT(3))/(HT191*N(DT191))-_xlfn.XLOOKUP(A191,Щиты[Щит],Щиты[Zпетли на шинах, Ом]))*EN191/(2*ρкз_Cu),0))),"")</f>
        <v/>
      </c>
      <c r="Y191">
        <f>Линии[[#This Row],[_авто утечка]]</f>
        <v>30</v>
      </c>
      <c r="Z191">
        <v>1</v>
      </c>
      <c r="AA191">
        <v>230</v>
      </c>
      <c r="AB191" t="s">
        <v>562</v>
      </c>
      <c r="AG191" t="s">
        <v>810</v>
      </c>
      <c r="AI191" t="s">
        <v>561</v>
      </c>
      <c r="AK191" t="str">
        <f>Линии[[#This Row],[_авто модуль]]</f>
        <v/>
      </c>
      <c r="AM191">
        <v>15</v>
      </c>
      <c r="AN191" t="s">
        <v>11</v>
      </c>
      <c r="AO191">
        <v>3</v>
      </c>
      <c r="AQ191">
        <v>55</v>
      </c>
      <c r="AR191">
        <v>22</v>
      </c>
      <c r="AS191">
        <v>50</v>
      </c>
      <c r="BA191" cm="1">
        <f t="array" ref="BA191">ROW()-ROW(Линии[#Headers])</f>
        <v>189</v>
      </c>
      <c r="BC191" s="6" t="str">
        <f t="shared" si="281"/>
        <v>R</v>
      </c>
      <c r="BD191" t="str">
        <f t="shared" si="282"/>
        <v>0.003A.1</v>
      </c>
      <c r="BE191" t="str">
        <f t="shared" si="283"/>
        <v>0</v>
      </c>
      <c r="BF191" t="str">
        <f t="shared" si="284"/>
        <v>003A.1</v>
      </c>
      <c r="BG191" t="str">
        <f t="shared" si="285"/>
        <v>003A</v>
      </c>
      <c r="BH191" t="str">
        <f>IF(X191&lt;&gt;"",X191,IF(AND(B191&lt;&gt;"",B191&lt;&gt;A191,ISNUMBER(_xlfn.XMATCH(B191,Щиты[Щит]))),B191,""))</f>
        <v/>
      </c>
      <c r="BI191" t="str" cm="1">
        <f t="array" ref="BI191">IF(B191="","",IF(BH191&lt;&gt;"","Щит "&amp;BH191,_xlfn.LET(_xlpm.nm,IFERROR(_xlfn.XLOOKUP(BC191,Коды_код,Коды_имя)&amp;"",""),_xlpm.md,IFERROR(N(_xlfn.XLOOKUP(BC191,Коды_код,Коды_режим)),1),_xlpm.ex,IF(Имя_режим="по экспликации",IFERROR(_xlfn.XLOOKUP(BE191&amp;"|"&amp;BG191,Экспликация[Этаж]&amp;"|"&amp;Экспликация[Помещение],Экспликация[Название])&amp;"",""),""),_xlpm.rm,IF(BG191="","",IF(_xlpm.ex&lt;&gt;"",". "&amp;_xlpm.ex&amp;IF(Имя_пом="нет"," ("&amp;BG191&amp;")"," (пом. "&amp;BG191&amp;")"),IF(Имя_пом="нет"," ",", пом. ")&amp;BG191)),IF(_xlpm.nm="","",IF(_xlpm.md=2,_xlpm.nm&amp;" шлейф "&amp;BE191,_xlpm.nm&amp;_xlpm.rm)))))</f>
        <v>Розеточная группа, пом. 003A</v>
      </c>
      <c r="BJ191" t="str">
        <f t="shared" si="286"/>
        <v>Розеточная группа, пом. 003A</v>
      </c>
      <c r="BK191">
        <f>IFERROR(_xlfn.XMATCH(A191,Щиты[Щит]),0)</f>
        <v>9</v>
      </c>
      <c r="BL191">
        <f>_xlfn.LET(_xlpm.k,IFERROR(_xlfn.XLOOKUP(A191,Щиты[Щит],Щиты[Мест под вводной узел]),""),IF(_xlpm.k="",Столбцов_на_лист,N(_xlpm.k)))</f>
        <v>8</v>
      </c>
      <c r="BM191">
        <f t="shared" si="287"/>
        <v>15</v>
      </c>
      <c r="BN191" t="str">
        <f t="shared" si="288"/>
        <v>линии</v>
      </c>
      <c r="BO191" s="6">
        <f>IFERROR(N(_xlfn.XLOOKUP(BC191,Коды_код,Коды_квт)),0)</f>
        <v>0</v>
      </c>
      <c r="BP191">
        <f t="shared" si="289"/>
        <v>0</v>
      </c>
      <c r="BQ191" t="str">
        <f>IF(B191="","",IF(BH191&lt;&gt;"",IFERROR(_xlfn.XLOOKUP(BH191,Щиты[Щит],Щиты[Руст, кВт]),0),IF(BP191=1,IF(OR(N(_xlfn.XLOOKUP(A191,Щиты[Щит],Щиты[Вводов],1))&lt;=1,LOWER(TRIM(_xlfn.XLOOKUP(A191,Щиты[Щит],Щиты[АВР],"")&amp;""))="да"),IFERROR(_xlfn.XLOOKUP(A191,Щиты[Щит],Щиты[Руст, кВт]),0),SUMIFS(Линии[_Р для вводов],Линии[Щит],A191,Линии[Источник для режимов],GF191)),IF(BO191&gt;0,ROUND(BO191*MAX(1,N(D191)),3),""))))</f>
        <v/>
      </c>
      <c r="BR191">
        <f t="shared" si="290"/>
        <v>0.3</v>
      </c>
      <c r="BS191" s="6">
        <f>IF(B191="","",IF(BH191&lt;&gt;"",IFERROR(_xlfn.XLOOKUP(BH191,Щиты[Щит],Щиты[Руст, кВт]),0),N(BR191)))</f>
        <v>0.3</v>
      </c>
      <c r="BT191" t="str">
        <f>IF(B191="","",IFERROR(IF(VLOOKUP(BC191,Потребители_обозначение,8,FALSE)=0,"",VLOOKUP(BC191,Потребители_обозначение,8,FALSE)),""))</f>
        <v/>
      </c>
      <c r="BU191">
        <f t="shared" si="291"/>
        <v>230</v>
      </c>
      <c r="BV191">
        <f t="shared" si="292"/>
        <v>0</v>
      </c>
      <c r="BW191">
        <f>IF(B191="","",IF(BH191&lt;&gt;"",3,IFERROR(IF(N(VLOOKUP(BC191,Потребители_обозначение,9,FALSE))=0,1,VLOOKUP(BC191,Потребители_обозначение,9,FALSE)),1)))</f>
        <v>1</v>
      </c>
      <c r="BX191">
        <f t="shared" si="293"/>
        <v>1</v>
      </c>
      <c r="BY191" t="str">
        <f>IF(B191="","",_xlfn.LET(_xlpm.bc,IFERROR(IF(VLOOKUP(BC191,Потребители_обозначение,6,FALSE)=0,"",VLOOKUP(BC191,Потребители_обозначение,6,FALSE)&amp;""),""),IF(AND(GA191="да",OR(_xlpm.bc="",_xlpm.bc="мс")),Марка_пож,IF(AND(_xlpm.bc="",BH191&lt;&gt;""),"мс",_xlpm.bc))))</f>
        <v/>
      </c>
      <c r="BZ191" t="str">
        <f t="shared" si="294"/>
        <v>мс</v>
      </c>
      <c r="CA191">
        <f>IF(B191="","",_xlfn.LET(_xlpm.cc,IFERROR(N(VLOOKUP(BC191,Потребители_обозначение,7,FALSE)),0),IF(_xlpm.cc&gt;0,_xlpm.cc,IF(BZ191="","",IF(BV191=1,2,IF(N(BX191)=3,5,3))))))</f>
        <v>3</v>
      </c>
      <c r="CB191">
        <f t="shared" si="295"/>
        <v>3</v>
      </c>
      <c r="CC191">
        <f>IFERROR(N(VLOOKUP(BC191,Потребители_обозначение,10,FALSE)),0)</f>
        <v>0</v>
      </c>
      <c r="CD191">
        <f>IFERROR(VLOOKUP(BC191,Потребители_обозначение,5,FALSE),0)</f>
        <v>1</v>
      </c>
      <c r="CE191" s="6" cm="1">
        <f t="array" ref="CE191">IF(B191="","",IF(BH191&lt;&gt;"",IFERROR(_xlfn.XLOOKUP(BH191,Щиты[Щит],Щиты[cos φ]),0.95),IF(BP191=1,IFERROR(_xlfn.XLOOKUP(A191,Щиты[Щит],Щиты[cos φ]),0.95),IF(ISNUMBER(AD191),AD191,IFERROR(IF(CD191=2,_xlfn.IFS(BX191=3,VLOOKUP(BS191,Справочная_двигатели,8,FALSE),BX191=1,VLOOKUP(BS191,Справочная_двигатели,10,TRUE)),IF(AND(Методика="нормы 2026",FG191="Сил"),0.8,0.95)),0.95)))))</f>
        <v>0.95</v>
      </c>
      <c r="CF191">
        <f t="shared" si="296"/>
        <v>0</v>
      </c>
      <c r="CG191">
        <f t="shared" si="297"/>
        <v>1</v>
      </c>
      <c r="CH191">
        <f t="shared" si="298"/>
        <v>0</v>
      </c>
      <c r="CI191">
        <f>IF(B191="","",IF(BV191=1,IFERROR(BS191/((Uн_лин/SQRT(3))*MAX(0.5,N(CE191))),0),N(O191)))</f>
        <v>1.3674085322912188</v>
      </c>
      <c r="CJ191">
        <f t="shared" si="299"/>
        <v>0</v>
      </c>
      <c r="CK191">
        <f t="shared" si="300"/>
        <v>0</v>
      </c>
      <c r="CL191">
        <f t="shared" si="301"/>
        <v>0</v>
      </c>
      <c r="CM191">
        <f t="shared" si="302"/>
        <v>0</v>
      </c>
      <c r="CN191">
        <f t="shared" si="303"/>
        <v>0</v>
      </c>
      <c r="CO191">
        <f>IF(BC191="",0,_xlfn.LET(_xlpm.v,IFERROR(_xlfn.XLOOKUP(B191,Коды_код,Коды_мА),IFERROR(_xlfn.XLOOKUP(BC191,Коды_код,Коды_мА),IFERROR(_xlfn.XLOOKUP(LEFT(BC191,2),Коды_код,Коды_мА),""))),IF(_xlpm.v="да",30,IF(ISNUMBER(_xlpm.v),_xlpm.v,0))))</f>
        <v>30</v>
      </c>
      <c r="CP191">
        <f t="shared" si="304"/>
        <v>30</v>
      </c>
      <c r="CQ191" t="str">
        <f>_xlfn.LET(_xlpm.k,IFERROR(_xlfn.XLOOKUP(BC191,Коды_код,Коды_утечка)&amp;"",""),IF(_xlpm.k="","дифавтомат",_xlpm.k))</f>
        <v>дифавтомат</v>
      </c>
      <c r="CR191" t="str" cm="1">
        <f t="array" ref="CR191">IF(CG191=0,"",_xlfn.LET(_xlpm.sg,TRIM(_xlfn.TEXTSPLIT(DD191&amp;"",";")),_xlpm.f_,_xlfn._xlws.FILTER(_xlpm.sg,LEFT(_xlpm.sg,3)="УЗО",""),IFERROR(INDEX(_xlpm.f_,1)&amp;"","")))</f>
        <v/>
      </c>
      <c r="CS191" t="str">
        <f t="shared" si="305"/>
        <v/>
      </c>
      <c r="CT191" s="6" t="str" cm="1">
        <f t="array" ref="CT191">IF(CR191="","",_xlfn.LET(_xlpm.tk,_xlfn.TEXTSPLIT(UPPER(CR191)," ",,TRUE),_xlpm.a_,_xlfn._xlws.FILTER(_xlpm.tk,ISNUMBER(--LEFT(_xlpm.tk,1))*((ISNUMBER(SEARCH("А",_xlpm.tk))+ISNUMBER(SEARCH("A",_xlpm.tk)))&gt;0)*NOT(ISNUMBER(SEARCH("МА",_xlpm.tk)))*NOT(ISNUMBER(SEARCH("MA",_xlpm.tk))),""),IFERROR(--SUBSTITUTE(SUBSTITUTE(INDEX(_xlpm.a_,1),"А",""),"A",""),"")))</f>
        <v/>
      </c>
      <c r="CU191" t="str" cm="1">
        <f t="array" ref="CU191">IF(CR191="","",_xlfn.LET(_xlpm.tk,_xlfn.TEXTSPLIT(UPPER(CR191)," ",,TRUE),_xlpm.a_,_xlfn._xlws.FILTER(_xlpm.tk,ISNUMBER(--LEFT(_xlpm.tk,1))*((ISNUMBER(SEARCH("МА",_xlpm.tk))+ISNUMBER(SEARCH("MA",_xlpm.tk)))&gt;0),""),IFERROR(--SUBSTITUTE(SUBSTITUTE(INDEX(_xlpm.a_,1),"МА",""),"MA",""),30)))</f>
        <v/>
      </c>
      <c r="CV191" t="str">
        <f>IF(CS191="","",IFERROR(_xlfn.XLOOKUP(CS191,Линии[_n],Линии[_УЗО, мА]),30))</f>
        <v/>
      </c>
      <c r="CW191">
        <f>IF(CS191="",0,IF(ISNUMBER(SEARCH("4P",IFERROR(_xlfn.XLOOKUP(CS191,Линии[_n],Линии[_УЗО строки])&amp;"",""))),0,1))</f>
        <v>0</v>
      </c>
      <c r="CX191" t="str">
        <f>IF(AND(CS191&lt;&gt;"",CS191=BA191),SUMIFS(Линии[_ток на 230 В],Линии[_блок УЗО],BA191,Линии[Щит],A191),"")</f>
        <v/>
      </c>
      <c r="CY191" t="str">
        <f>IF(AND(CS191&lt;&gt;"",CS191=BA191),SUMIFS(Линии[_ток утечки линии, мА],Линии[_блок УЗО],BA191,Линии[Щит],A191),"")</f>
        <v/>
      </c>
      <c r="CZ191">
        <f t="shared" si="306"/>
        <v>30</v>
      </c>
      <c r="DA191">
        <f t="shared" si="307"/>
        <v>30</v>
      </c>
      <c r="DB191">
        <f>IF(B191="",0,IFERROR(--_xlfn.XLOOKUP(B191,Коды_код,Коды_минавт),IFERROR(--_xlfn.XLOOKUP(BC191,Коды_код,Коды_минавт),IFERROR(--_xlfn.XLOOKUP(LEFT(BC191,2),Коды_код,Коды_минавт),0))))</f>
        <v>16</v>
      </c>
      <c r="DC191" t="str">
        <f>IF(B191="","",IFERROR(_xlfn.XLOOKUP(BC191,Коды_код,Коды_апп)&amp;"",""))</f>
        <v/>
      </c>
      <c r="DD191" t="str">
        <f t="shared" si="308"/>
        <v/>
      </c>
      <c r="DE191" t="str" cm="1">
        <f t="array" ref="DE191">IF(TRIM(DD191&amp;"")="","",IFERROR(TRIM(INDEX(_xlfn.TEXTSPLIT(DD191&amp;";;;",";"),1)),""))</f>
        <v/>
      </c>
      <c r="DF191" t="str" cm="1">
        <f t="array" ref="DF191">IF(TRIM(DD191&amp;"")="","",IFERROR(TRIM(INDEX(_xlfn.TEXTSPLIT(DD191&amp;";;;",";"),2)),""))</f>
        <v/>
      </c>
      <c r="DG191" t="str" cm="1">
        <f t="array" ref="DG191">IF(TRIM(DD191&amp;"")="","",IFERROR(TRIM(INDEX(_xlfn.TEXTSPLIT(DD191&amp;";;;",";"),3)),""))</f>
        <v/>
      </c>
      <c r="DH191">
        <f t="shared" si="309"/>
        <v>0</v>
      </c>
      <c r="DI191" t="str">
        <f>IF(B191="","",_xlfn.LET(_xlpm.t,LOWER(AZ191&amp;""),IF(ISNUMBER(SEARCH("dim",_xlpm.t)),"DIM",IF(ISNUMBER(SEARCH("dali",_xlpm.t)),"DALI",IF(OR(ISNUMBER(SEARCH("relay",_xlpm.t)),ISNUMBER(SEARCH("реле",_xlpm.t))),"Relay",IF(ISNUMBER(SEARCH("кнопк",_xlpm.t)),"",IFERROR(_xlfn.XLOOKUP(BC191,Коды_код,Коды_упр)&amp;"","")))))))</f>
        <v/>
      </c>
      <c r="DJ191" t="str">
        <f t="shared" si="310"/>
        <v/>
      </c>
      <c r="DK191">
        <f>IF(B191="","",_xlfn.LET(_xlpm.ig,IF(N(CX191)&gt;0,N(CX191),N(CI191)+IF(AJ191="вручную",0,N(CJ191))),_xlpm.n0,IFERROR(VLOOKUP(_xlpm.ig,Автомат_номиналы,2,TRUE),0),_xlpm.mn,MAX(DB191,IF(AJ191="вручную",0,N(CM191))),MAX(_xlpm.n0,_xlpm.mn,IF(DH191=1,Мин_автомат_БП,0))))</f>
        <v>16</v>
      </c>
      <c r="DL191">
        <f t="shared" si="311"/>
        <v>1</v>
      </c>
      <c r="DM191" t="str">
        <f t="shared" si="312"/>
        <v>2P</v>
      </c>
      <c r="DN191" t="str">
        <f>_xlfn.LET(_xlpm.cc,UPPER(TRIM(IFERROR(_xlfn.XLOOKUP(BC191,Коды_код,Коды_хар)&amp;"",""))),IF(OR(_xlpm.cc="B",_xlpm.cc="В"),"B",IF(_xlpm.cc="D","D","С")))</f>
        <v>С</v>
      </c>
      <c r="DO191" t="str">
        <f t="shared" si="313"/>
        <v>2P С16А 30мА</v>
      </c>
      <c r="DP191" t="str">
        <f t="shared" si="314"/>
        <v>2P С16А 30мА</v>
      </c>
      <c r="DQ191" t="str">
        <f t="shared" si="315"/>
        <v>2P С16А 30мА</v>
      </c>
      <c r="DR191" cm="1">
        <f t="array" ref="DR191">IF(DQ191="","",_xlfn.LET(_xlpm.t,SUBSTITUTE(SUBSTITUTE(SUBSTITUTE(UPPER(DQ191),"С","C"),"А","A"),"В","B"),_xlpm.tk,_xlfn.TEXTSPLIT(_xlpm.t," "),_xlpm.f,_xlfn._xlws.FILTER(_xlpm.tk,ISNUMBER(--MID(_xlpm.tk,2,1))*ISNUMBER(SEARCH(LEFT(_xlpm.tk,1)&amp;"#","B#C#D#"))*(LEN(_xlpm.tk)&gt;1),""),_xlpm.x,INDEX(_xlpm.f,1),IFERROR(--SUBSTITUTE(MID(_xlpm.x,2,9),"A",""),IFERROR(--SUBSTITUTE(INDEX(_xlfn._xlws.FILTER(_xlpm.tk,ISNUMBER(--SUBSTITUTE(_xlpm.tk,"A","")),""),1),"A",""),""))))</f>
        <v>16</v>
      </c>
      <c r="DS191" t="str">
        <f t="shared" si="316"/>
        <v>ok</v>
      </c>
      <c r="DT191">
        <f t="shared" si="317"/>
        <v>16</v>
      </c>
      <c r="DU191" t="str">
        <f t="shared" si="318"/>
        <v>2P С16А 30мА</v>
      </c>
      <c r="DV191">
        <f t="shared" si="319"/>
        <v>30</v>
      </c>
      <c r="DW191">
        <f t="shared" si="320"/>
        <v>1</v>
      </c>
      <c r="DX191">
        <f t="shared" si="321"/>
        <v>0</v>
      </c>
      <c r="DY191">
        <f t="shared" si="322"/>
        <v>1.3674085322912188</v>
      </c>
      <c r="DZ191">
        <f t="shared" si="323"/>
        <v>1</v>
      </c>
      <c r="EA191">
        <f>IF(ISNUMBER(AP191),AP191,К_прокл)</f>
        <v>1</v>
      </c>
      <c r="EB191">
        <f t="shared" si="324"/>
        <v>2</v>
      </c>
      <c r="EC191">
        <f>IFERROR(N(VLOOKUP(BZ191,Кабель_обозначение,3,FALSE)),1)</f>
        <v>1</v>
      </c>
      <c r="ED191">
        <f>IFERROR(N(_xlfn.XLOOKUP(A191,Щиты[Щит],Щиты[ΔU до шин, %])),0)</f>
        <v>0.43</v>
      </c>
      <c r="EE191" t="str">
        <f>IFERROR(_xlfn.XLOOKUP(A191,Щиты[Щит],Щиты[Zпетли на шинах, Ом]),"")</f>
        <v/>
      </c>
      <c r="EF191">
        <f>IFERROR(N(_xlfn.XLOOKUP(A191,Щиты[Щит],Щиты[ΔU до шин (подбор), %])),0)</f>
        <v>0.43</v>
      </c>
      <c r="EG191" t="str">
        <f>IFERROR(_xlfn.XLOOKUP(A191,Щиты[Щит],Щиты[Zпетли на шинах (подбор), Ом]),"")</f>
        <v/>
      </c>
      <c r="EH191" t="str">
        <f t="shared" si="325"/>
        <v/>
      </c>
      <c r="EI191">
        <f t="shared" si="326"/>
        <v>50</v>
      </c>
      <c r="EJ191">
        <f t="shared" si="327"/>
        <v>2</v>
      </c>
      <c r="EK191">
        <f t="shared" si="328"/>
        <v>0.31</v>
      </c>
      <c r="EL191" s="6">
        <f>IF(B191="","",IF(BV191=1,dU_LED,IF(IFERROR(_xlfn.XLOOKUP(BC191,Коды_код,Коды_уго),"")="Светильник",3,4)+IF(Методика="нормы 2026",MIN(0.5,MAX(0,N(P191)-100)*0.005),0)))</f>
        <v>4</v>
      </c>
      <c r="EM191" cm="1">
        <f t="array" ref="EM191">IF(OR(B191="",BZ191="",EC191&lt;&gt;1),"",_xlfn.LET(_xlpm.sz,Iдоп_S,_xlpm.t_,CHOOSE(EB191,Iдоп_1ж,Iдоп_2ж,Iдоп_3ж)*DZ191*EA191,_xlpm.dcx,BV191=1,_xlpm.inn,IF(_xlpm.dcx,N(O191),N(DT191)),_xlpm.smin,MAX(1.5,CC191),_xlpm.L_,N(P191)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191)/N(BU191)*100,999),IFERROR(N(EJ191)*(_xlpm.rho*_xlpm.L_/_xlpm.sz*N(CE191)+_xlpm.xx*_xlpm.L_*N(EK191)/1000)*N(O191)/((Uн_лин/SQRT(3))*1000)*100,999)),_xlpm.kz,IF(OR(_xlpm.dcx,DW191=1,NOT(ISNUMBER(EG191)),_xlpm.L_=0,_xlpm.inn=0),1,IFERROR(--(c_min*(Uн_лин*1000/SQRT(3))/(EG191+2*ρкз_Cu*_xlpm.L_/_xlpm.sz)&gt;=HT191*_xlpm.inn),0)),_xlpm.ok,IFERROR((_xlpm.sz&gt;=_xlpm.smin)*(_xlpm.t_&gt;=_xlpm.inn)*IF(_xlpm.L_&gt;0,(_xlpm.du_+IF(_xlpm.dcx,0,EF191)&lt;=EL191+0.00001),1)*_xlpm.kz,0),_xlpm.r_,_xlfn._xlws.FILTER(_xlpm.sz,_xlpm.ok,"не подобрано"),INDEX(_xlpm.r_,1)))</f>
        <v>1.5</v>
      </c>
      <c r="EN191">
        <f t="shared" si="329"/>
        <v>2.5</v>
      </c>
      <c r="EO191" cm="1">
        <f t="array" ref="EO191">IF(OR(B191="",BZ191="",EC191&lt;&gt;1),"",_xlfn.LET(_xlpm.sz,Iдоп_S,_xlpm.t_,CHOOSE(EB191,Iдоп_1ж,Iдоп_2ж,Iдоп_3ж)*DZ191*EA191,_xlpm.ok,IFERROR((_xlpm.sz&gt;=MAX(1.5,CC191))*(_xlpm.t_&gt;=N(DT191)),0),_xlpm.r_,_xlfn._xlws.FILTER(_xlpm.sz,_xlpm.ok,""),INDEX(_xlpm.r_,1)))</f>
        <v>1.5</v>
      </c>
      <c r="EP191" s="6" cm="1">
        <f t="array" ref="EP191">IFERROR(ROUNDUP(N(EJ191)*(_xlfn.XLOOKUP(EO191,INDEX(Кабель_сопротивление,0,1),INDEX(Кабель_сопротивление,0,3))*N(P191)/EO191*N(CE191)+_xlfn.XLOOKUP(EO191,INDEX(Кабель_сопротивление,0,1),INDEX(Кабель_сопротивление,0,2))*N(P191)*N(EK191)/1000)*N(O191)/((Uн_лин/SQRT(3))*1000)*100,2),"")</f>
        <v>1.31</v>
      </c>
      <c r="EQ191">
        <f>IFERROR(2*ρкз_Cu*N(P191)/EO191,"")</f>
        <v>2.7001333333333335</v>
      </c>
      <c r="ER191">
        <f>IFERROR(VLOOKUP(EN191,Кабель_сопротивление,3,FALSE),"")</f>
        <v>2.2499999999999999E-2</v>
      </c>
      <c r="ES191">
        <f>IFERROR(VLOOKUP(EN191,Кабель_сопротивление,2,FALSE),"")</f>
        <v>0.1</v>
      </c>
      <c r="ET191">
        <f t="shared" si="330"/>
        <v>22</v>
      </c>
      <c r="EU191">
        <f t="shared" si="331"/>
        <v>50</v>
      </c>
      <c r="EV191">
        <f t="shared" si="332"/>
        <v>1.8069948228010058</v>
      </c>
      <c r="EW191" s="6">
        <f>IFERROR(ROUNDUP(EV191/IF(BV191=1,BU191,(Uн_лин/SQRT(3))*1000)*100,2),"")</f>
        <v>0.79</v>
      </c>
      <c r="EX191" t="str">
        <f>IFERROR(VLOOKUP(BZ191,Кабель_обозначение,2,FALSE),"")</f>
        <v>ВВГнг(А)-LS</v>
      </c>
      <c r="EY191" t="str">
        <f t="shared" si="333"/>
        <v>ВВГнг(А)-LS (3х2,5)</v>
      </c>
      <c r="EZ191" t="str">
        <f t="shared" si="334"/>
        <v>ВВГнг(А)-LS (3х2,5)
L=77-0,79%</v>
      </c>
      <c r="FA191">
        <f>IFERROR(2*ρкз_Cu*P191/EN191,"")</f>
        <v>1.6200800000000002</v>
      </c>
      <c r="FB191">
        <f t="shared" si="335"/>
        <v>0.53900000000000003</v>
      </c>
      <c r="FC191" s="6" t="str">
        <f>IFERROR(IF(OR(B191="",BV191=1,NOT(ISNUMBER(EN191)),N(P191)=0),"",_xlfn.XLOOKUP(A191,Щиты[Щит],Щиты[Zпетли на шинах, Ом])+FA191),"")</f>
        <v/>
      </c>
      <c r="FD191" s="6" t="str">
        <f>IF(ISNUMBER(FC191),c_min*(Uн_лин*1000/SQRT(3))/FC191,"")</f>
        <v/>
      </c>
      <c r="FE191" s="6" t="str">
        <f>IFERROR(IF(OR(B191="",NOT(ISNUMBER(EN191))),"",1.05*(Uн_лин*1000/SQRT(3))/(_xlfn.XLOOKUP(A191,Щиты[Щит],Щиты[Zmax на шинах, Ом])+FB191)/1000),"")</f>
        <v/>
      </c>
      <c r="FF191" s="6" t="str">
        <f>IF(B191="","",IF(ISNUMBER(AC191),"Сил",IF(IFERROR(_xlfn.XLOOKUP(BC191,Коды_код,Коды_группа)&amp;"","")="","Быт",_xlfn.XLOOKUP(BC191,Коды_код,Коды_группа)&amp;"")))</f>
        <v>Быт</v>
      </c>
      <c r="FG191" s="6" t="str">
        <f t="shared" si="336"/>
        <v>Быт</v>
      </c>
      <c r="FH191" s="6">
        <f>IF(FG191="Щит","щит",IF(FG191="","",IF(FG191="Быт",IFERROR(_xlfn.XLOOKUP(A191,Щиты[Щит],Щиты[Кс быт]),1),IF(FG191="Сил",IF(ISNUMBER(AC191),AC191,IF(Методика="нормы 2026",IFERROR(_xlfn.XLOOKUP(A191,Щиты[Щит],Щиты[Кс силовых (табл. 7.5)]),1),1)),IF(OR(FG191="Пост",FG191="Отоп"),1,IF(FG191="ВНГ",0.7,0))))))</f>
        <v>0.79799999999999993</v>
      </c>
      <c r="FI191">
        <f>IF(FG191="","",IF(AND(BP191=1,TRIM(AE191&amp;"")=""),IF(COUNTIFS(Линии[Щит],A191,Линии[Секция (1/2/3)],"&gt;=2")&gt;0,MIN(3,MAX(1,IFERROR(--BD191,1))),1),IFERROR(MIN(3,MAX(1,INT(--AE191))),1)))</f>
        <v>1</v>
      </c>
      <c r="FJ191">
        <f t="shared" si="337"/>
        <v>0.3</v>
      </c>
      <c r="FK191">
        <f t="shared" si="338"/>
        <v>0.3</v>
      </c>
      <c r="FL191">
        <f t="shared" si="339"/>
        <v>0</v>
      </c>
      <c r="FM191">
        <f t="shared" si="340"/>
        <v>0</v>
      </c>
      <c r="FN191">
        <f t="shared" si="341"/>
        <v>0</v>
      </c>
      <c r="FO191">
        <f t="shared" si="342"/>
        <v>0</v>
      </c>
      <c r="FP191">
        <f t="shared" si="343"/>
        <v>0.3</v>
      </c>
      <c r="FQ191">
        <f t="shared" si="344"/>
        <v>0.3</v>
      </c>
      <c r="FR191">
        <f t="shared" si="345"/>
        <v>0.28499999999999998</v>
      </c>
      <c r="FS191">
        <f>IF(CG191=1,IF(AND(CH191=1,CW191=1),0,IF(AND(CS191&lt;&gt;"",CS191=BA191,CW191=1),SUMIFS(Линии[_Р линии, кВт],Линии[_блок УЗО],BA191,Линии[Щит],A191),N(BS191)+IF(AJ191="вручную",0,N(CK191)))),0)</f>
        <v>0.3</v>
      </c>
      <c r="FT191" t="str">
        <f t="shared" si="346"/>
        <v>L3</v>
      </c>
      <c r="FU191" t="str">
        <f>IF(B191="","",IF(CG191=0,IF(BA191=1,"",FW190),IF(AND(CH191=1,CW191=1,CS191&lt;&gt;""),IFERROR(_xlfn.XLOOKUP(CS191,Линии[_n],Линии[_фаза итог]),"L1"),IF(OR(N(DL191)&gt;=3,N(BX191)&gt;=3),"L1,L2,L3",IFERROR(_xlfn.TEXTBEFORE(_xlfn.TEXTAFTER(_xlfn.XLOOKUP(A191,Щиты[Щит],Щиты[_фазы авто]),";"&amp;BA191&amp;":"),";"),"L1")))))</f>
        <v>L1</v>
      </c>
      <c r="FV191" t="str">
        <f t="shared" si="347"/>
        <v>L3</v>
      </c>
      <c r="FW191" t="str">
        <f t="shared" si="348"/>
        <v>L3</v>
      </c>
      <c r="FX191" cm="1">
        <f t="array" ref="FX191">IFERROR(IF(CD191=2,_xlfn.IFS(BX191=3,VLOOKUP(BS191,Справочная_двигатели,3,FALSE),BX191=1,VLOOKUP(BS191,Справочная_двигатели,5,TRUE)),0),0)</f>
        <v>0</v>
      </c>
      <c r="FY191">
        <f>IFERROR(IF(CD191=3,VLOOKUP(BS191,Справочная_ЛЭД,2,TRUE),0),0)</f>
        <v>0</v>
      </c>
      <c r="FZ191" s="6">
        <f t="shared" si="349"/>
        <v>0</v>
      </c>
      <c r="GA191" t="str">
        <f>IF(B191="","",IF(TRIM(AH191&amp;"")&lt;&gt;"",IF(LOWER(TRIM(AH191&amp;""))="да","да","нет"),IF(IFERROR(_xlfn.XLOOKUP(BC191,Коды_код,Коды_пожарная),"")="да","да","нет")))</f>
        <v>нет</v>
      </c>
      <c r="GB191" t="str">
        <f t="shared" si="350"/>
        <v/>
      </c>
      <c r="GC191" t="str">
        <f t="shared" si="351"/>
        <v>основная</v>
      </c>
      <c r="GD191">
        <f>IF(AND(BP191=1,TRIM(AE191&amp;"")=""),IF(COUNTIFS(Линии[Щит],A191,Линии[Секция (1/2/3)],"&gt;=2")&gt;0,MIN(3,MAX(1,IFERROR(--BD191,1))),1),IFERROR(MIN(3,MAX(1,INT(--AE191))),1))</f>
        <v>1</v>
      </c>
      <c r="GE191" t="str" cm="1">
        <f t="array" ref="GE191">IF(B191="","",_xlfn.LET(_xlpm.t,IFERROR(_xlfn.XLOOKUP(1,(Шины[Шина]=GC191)*(((Шины[Щит]=A191)+(Шины[Щит]=""))&gt;0),Шины[Тип]),"")&amp;"",IF(_xlpm.t&lt;&gt;"",_xlpm.t,IF(ISNUMBER(SEARCH("ИБП",GC191)),"ИБП",IF(ISNUMBER(SEARCH("ДГУ",GC191)),"ДГУ","Ввод "&amp;GD191)))))</f>
        <v>Ввод 1</v>
      </c>
      <c r="GF191" t="str">
        <f t="shared" si="352"/>
        <v>Ввод 1</v>
      </c>
      <c r="GG191" t="str">
        <f>IF(BP191=0,"",IF(TRIM(AG191&amp;"")&lt;&gt;"",TRIM(AG191&amp;""),IF(OR(GE191="ИБП",GE191="ДГУ"),"I особая",_xlfn.XLOOKUP(A191,Щиты[Щит],Щиты[Категория шины «Ввод»],"III"))))</f>
        <v/>
      </c>
      <c r="GH191" t="str">
        <f>IF(A191="","",_xlfn.XLOOKUP(A191,Щиты[Щит],Щиты[Путь],""))</f>
        <v>|ГРЩ-ЖД|ЩР-01|</v>
      </c>
      <c r="GI191" t="str">
        <f>IF(B191="","",IF(AI191&lt;&gt;"",AI191,IF(IFERROR(_xlfn.XLOOKUP(BC191,Коды_код,Коды_вид)&amp;"","")="","Прочее",_xlfn.XLOOKUP(BC191,Коды_код,Коды_вид)&amp;"")))</f>
        <v>Розеточная сеть и бытовые приборы</v>
      </c>
      <c r="GJ191">
        <f>IF(BM191="","",INT((BM191-1)/Столбцов_на_лист)+1)</f>
        <v>1</v>
      </c>
      <c r="GK191" t="str">
        <f t="shared" si="353"/>
        <v>ВВГнг(А)-LS (3х2,5) L=77-0,79%</v>
      </c>
      <c r="GL191">
        <f t="shared" si="354"/>
        <v>0.3</v>
      </c>
      <c r="GM191">
        <f t="shared" si="355"/>
        <v>1.37</v>
      </c>
      <c r="GN191">
        <f t="shared" si="356"/>
        <v>1</v>
      </c>
      <c r="GO191">
        <f t="shared" si="357"/>
        <v>0</v>
      </c>
      <c r="GP191">
        <f t="shared" si="358"/>
        <v>1</v>
      </c>
      <c r="GQ191">
        <f>IF(BM191="","",IF(AND(CG191=1,GP191=1),COUNTIFS(A$3:A191,A191,CG$3:CG191,1,GP$3:GP191,1),IF(OR(OR(BA191=1,A191&lt;&gt;A190),AJ191="вручную",GP191=0),"",IF(BA191=1,"",GR190))))</f>
        <v>7</v>
      </c>
      <c r="GR191">
        <f t="shared" si="359"/>
        <v>7</v>
      </c>
      <c r="GS191">
        <f>IF(B191="","",IFERROR(LOOKUP(INDEX(CHOOSE(EB191,Iдоп_1ж,Iдоп_2ж,Iдоп_3ж),MATCH(EN191,Iдоп_S,0))*DZ191*EA191,{6,10,16,20,25,32,40,50,63,80,100,125,160,200,250,315,400,500,630}),""))</f>
        <v>25</v>
      </c>
      <c r="GT191" t="str">
        <f t="shared" si="360"/>
        <v>QFD7</v>
      </c>
      <c r="GU191" t="str">
        <f t="shared" si="361"/>
        <v>QFD7</v>
      </c>
      <c r="GV191" t="str">
        <f t="shared" si="362"/>
        <v/>
      </c>
      <c r="GW191">
        <f t="shared" si="363"/>
        <v>0</v>
      </c>
      <c r="GX191" t="str">
        <f>IF(OR(B191="",DJ191=""),"",IFERROR(_xlfn.XLOOKUP(DJ191,Модули_умолч[Управление],Модули_умолч[Модель])&amp;"",""))</f>
        <v/>
      </c>
      <c r="GY191">
        <f>IF(DJ191="",1,IFERROR(MAX(0,N(_xlfn.XLOOKUP(DJ191,Модули_умолч[Управление],Модули_умолч[Каналов на линию]))),1))</f>
        <v>1</v>
      </c>
      <c r="GZ191" t="str">
        <f t="shared" si="364"/>
        <v/>
      </c>
      <c r="HA191" t="str">
        <f t="shared" si="365"/>
        <v/>
      </c>
      <c r="HB191" t="str">
        <f t="shared" si="366"/>
        <v/>
      </c>
      <c r="HC191">
        <f>IF(HB191="",0,IFERROR(N(VLOOKUP(HB191,Модули_спр,3,FALSE)),0))</f>
        <v>0</v>
      </c>
      <c r="HD191" t="str">
        <f t="shared" si="367"/>
        <v/>
      </c>
      <c r="HE191" t="str">
        <f t="shared" si="368"/>
        <v/>
      </c>
      <c r="HF191" t="str">
        <f>IF(OR(HE191="",HE191="-"),"",IFERROR(VLOOKUP(HE191,Модули_спр,2,FALSE),"R"))</f>
        <v/>
      </c>
      <c r="HG191" t="str">
        <f>IF(HF191="","",HF191&amp;"."&amp;COUNTIFS(A$3:A191,A191,HF$3:HF191,HF191))</f>
        <v/>
      </c>
      <c r="HH191" t="str">
        <f t="shared" si="369"/>
        <v/>
      </c>
      <c r="HI191" t="str">
        <f t="shared" si="370"/>
        <v/>
      </c>
      <c r="HJ191" t="str">
        <f t="shared" si="371"/>
        <v/>
      </c>
      <c r="HK191" t="str">
        <f t="shared" si="372"/>
        <v/>
      </c>
      <c r="HL191">
        <f t="shared" si="373"/>
        <v>1</v>
      </c>
      <c r="HM191" t="str">
        <f>IF(HL191=1,"XT"&amp;COUNTIFS(A$3:A191,A191,HL$3:HL191,1),"")</f>
        <v>XT7</v>
      </c>
      <c r="HN191" t="str">
        <f t="shared" si="374"/>
        <v>XT7</v>
      </c>
      <c r="HO191" t="str">
        <f t="shared" si="375"/>
        <v>QFD7</v>
      </c>
      <c r="HP191" t="str">
        <f t="shared" si="376"/>
        <v/>
      </c>
      <c r="HQ191" t="str">
        <f t="shared" si="377"/>
        <v>ok</v>
      </c>
      <c r="HR191" t="str">
        <f>IF(OR(HJ191="",HH191=""),"",IF(HJ191+MAX(0,GY191-1)&gt;IFERROR(VLOOKUP(HI191,Модули_спр,3,FALSE),99),"ЛИШНИЙ КАНАЛ",IF(AND(AL191&lt;&gt;"=",GY191&gt;0,COUNTIFS(Линии[_модуль гр.],HH191,Линии[Канал (итог)],HJ191,Линии[Канал],"&lt;&gt;=",Линии[Щит],A191)&gt;1),"ДУБЛЬ КАНАЛА","")))</f>
        <v/>
      </c>
      <c r="HS191" s="6" t="str">
        <f t="shared" si="378"/>
        <v/>
      </c>
      <c r="HT191">
        <f t="shared" si="379"/>
        <v>10</v>
      </c>
      <c r="HU191" t="str">
        <f t="shared" si="380"/>
        <v/>
      </c>
      <c r="HV191">
        <f t="shared" si="381"/>
        <v>1.3169634129164876</v>
      </c>
      <c r="HW191">
        <f t="shared" si="382"/>
        <v>0</v>
      </c>
      <c r="HX191">
        <f t="shared" si="383"/>
        <v>0</v>
      </c>
      <c r="HY191">
        <f t="shared" si="384"/>
        <v>0</v>
      </c>
      <c r="HZ191">
        <f t="shared" si="385"/>
        <v>0</v>
      </c>
      <c r="IA191">
        <f t="shared" si="386"/>
        <v>0</v>
      </c>
      <c r="IB191">
        <f t="shared" si="387"/>
        <v>0</v>
      </c>
      <c r="IC191" t="str">
        <f t="shared" si="388"/>
        <v/>
      </c>
      <c r="ID191" t="str" cm="1">
        <f t="array" ref="ID191">IF(IC191="","",_xlfn.LET(_xlpm.tk,_xlfn.TEXTSPLIT(SUBSTITUTE(SUBSTITUTE(IC191,";"," "),"→"," ")," ",,TRUE),_xlpm.w_,_xlfn._xlws.FILTER(_xlpm.tk,ISNUMBER(--LEFT(_xlpm.tk,1))*((ISNUMBER(SEARCH("W",_xlpm.tk))+ISNUMBER(SEARCH("Вт",_xlpm.tk)))&gt;0),""),IFERROR(--SUBSTITUTE(SUBSTITUTE(UPPER(INDEX(_xlpm.w_,1)),"W",""),"ВТ",""),"")))</f>
        <v/>
      </c>
      <c r="IE191" t="str" cm="1">
        <f t="array" ref="IE191">IF(IC191="","",_xlfn.LET(_xlpm.tk,_xlfn.TEXTSPLIT(SUBSTITUTE(SUBSTITUTE(IC191,";"," "),"→"," ")," ",,TRUE),_xlpm.v_,_xlfn._xlws.FILTER(_xlpm.tk,ISNUMBER(--LEFT(_xlpm.tk,1))*((ISNUMBER(SEARCH("V",_xlpm.tk))+(RIGHT(UPPER(_xlpm.tk))="В"))&gt;0),""),IFERROR(--SUBSTITUTE(SUBSTITUTE(UPPER(INDEX(_xlpm.v_,1)),"V",""),"В",""),"")))</f>
        <v/>
      </c>
      <c r="IF191" s="6" t="str">
        <f>IF(OR(BV191=0,HI191="",HJ191=""),"",IFERROR(N(_xlfn.XLOOKUP(HI191,Каталог!$C$4:$C$500,Каталог!$Q$4:$Q$500)),""))</f>
        <v/>
      </c>
      <c r="IG191" s="6" t="str">
        <f>IF(N(IF191)=0,"",SUMIFS(Линии[Iр, А],Линии[Щит],A191,Линии[_модуль гр.],HH191,Линии[Канал (итог)],HJ191))</f>
        <v/>
      </c>
      <c r="IH191" t="str">
        <f>IF(AND(B191="",HO191=""),"",_xlfn.TEXTJOIN("; ",TRUE,IF(AND(B191&lt;&gt;"",FV191=""),"нет фазы",""),IF(AND(B191&lt;&gt;"",N(GL191)=0,FG191&lt;&gt;"Нет"),"нет мощности",""),IF(AND(HN191&lt;&gt;"",COUNTIFS(Линии[Щит],A191,Линии[Клемма (итог)],HN191)&gt;1),"дубль клеммы "&amp;HN191,""),IF(AND(HQ191&lt;&gt;"",HQ191&lt;&gt;"ok"),HQ191,""),IF(HR191&lt;&gt;"",HR191,""),IF(AND(N(CB191)&gt;=4,N(BX191)=1),CB191&amp;" жил на 1 фазе",""),IF(AND(BC191="R",CG191=1,IF(CS191&lt;&gt;"",N(CV191)&gt;30,OR(N(DA191)=0,N(DA191)&gt;30))),"розетка без дифзащиты до 30 мА",""),IF(AND(CG191=1,N(DA191)&gt;0,ISNUMBER(T191)),IF(T191&gt;N(DA191)/3,"ток утечки "&amp;FIXED(T191,1)&amp;" мА &gt; 1/3 уставки ("&amp;DA191&amp;" мА)",""),""),IF(AND(CH191=1,CS191=""),"«узо»: нет строки с УЗО выше (УЗО 2P 40А 30мА в «Аппаратах»)",""),IF(AND(CS191&lt;&gt;"",CS191=BA191),IF(CT191="","впишите номинал УЗО (УЗО 2P 40А 30мА)",IF(N(CT191)&lt;N(DT191),"УЗО "&amp;CT191&amp;" А &lt; автомата "&amp;DT191&amp;" А перед ним",IF(N(CT191)&lt;N(CX191),"УЗО "&amp;CT191&amp;" А &lt; тока блока "&amp;FIXED(CX191,1)&amp;" А",""))),""),IF(AND(CS191&lt;&gt;"",CS191=BA191,ISNUMBER(CY191)),IF(CY191&gt;N(CV191)/3,"ток утечки блока УЗО "&amp;FIXED(CY191,1)&amp;" мА &gt; 1/3 уставки ("&amp;CV191&amp;" мА)",""),""),IF(AND(CG191=1,N(BV191)+N(IB191)&gt;0,IC191=""),"линии до 50 В без БП: впишите в «Аппараты» (БП 24V 480W)",""),IF(AND(CG191=1,ISNUMBER(ID191),ISNUMBER(U191)),IF(U191&gt;ID191,"БП "&amp;ID191&amp;" Вт &lt; нужно "&amp;U191&amp;" Вт (×"&amp;Запас_БП&amp;")",""),""),IF(AND(CG191=1,ISNUMBER(IE191),N(BV191)=1),IF(IE191&lt;&gt;N(BU191),"БП на "&amp;IE191&amp;" В, линия "&amp;BU191&amp;" В",""),""),IF(AND(N(IF191)&gt;0,N(IG191)&gt;N(IF191)),HH191&amp;" канал "&amp;HJ191&amp;": "&amp;FIXED(IG191,1)&amp;" А &gt; "&amp;IF191&amp;" А",""),IFERROR(IF(AND(ISNUMBER(Q191),Q191&gt;EL191),"потери "&amp;FIXED(Q191,1)&amp;" % &gt; "&amp;EL191&amp;" %",""),""),IFERROR(IF(LEFT(HU191,4)="мало","Iкз мало — отключение &gt; 0,4 с",""),""),IF(AND(B191&lt;&gt;"",BM191=""),"не на схеме",""),IF(AND(CG191=0,B191&lt;&gt;"",FV191&lt;&gt;"",IF(BA191=1,"",FW190)&lt;&gt;"",FV191&lt;&gt;IF(BA191=1,"",FW190)),"фаза не как у автомата группы ("&amp;IF(BA191=1,"",FW190)&amp;")","")))</f>
        <v/>
      </c>
      <c r="II191" s="6">
        <f>IF(OR(CG191=0,DQ191=""),"",_xlfn.LET(_xlpm.t,IFERROR(_xlfn.XLOOKUP(DQ191,Каталог!$U$4:$U$500,Каталог!$G$4:$G$500),""),_xlpm.k,SEARCH("кА",_xlpm.t),IFERROR(--TRIM(RIGHT(SUBSTITUTE(MID(_xlpm.t,MAX(1,_xlpm.k-4),_xlpm.k-MAX(1,_xlpm.k-4))," ",REPT(" ",9)),5)),"")))</f>
        <v>6</v>
      </c>
      <c r="IJ191" t="str">
        <f>IF(OR(II191="",CG191=0),"",IF(_xlfn.XLOOKUP(A191,Щиты[Щит],Щиты[Iкз max на шинах, кА],"")="","",IF(II191&lt;_xlfn.XLOOKUP(A191,Щиты[Щит],Щиты[Iкз max на шинах, кА]),"Icu "&amp;II191&amp;" кА &lt; Iкз max","ok")))</f>
        <v/>
      </c>
      <c r="IK191" t="str">
        <f t="shared" si="389"/>
        <v/>
      </c>
      <c r="IL191" t="str">
        <f t="shared" si="390"/>
        <v>QFD7|XT7</v>
      </c>
      <c r="IM191" t="str">
        <f t="shared" si="391"/>
        <v>QFD7|XT7|кабель ВВГнг(А)-LS (3х2,5) → Розеточная группа, пом. 003A</v>
      </c>
      <c r="IN191" t="str" cm="1">
        <f t="array" ref="IN191">IF(IM191="","",_xlfn.LET(_xlpm.nd,_xlfn.TEXTSPLIT(IM191,"|"),IF(COLUMNS(_xlpm.nd)&gt;1,A191&amp;"¦"&amp;INDEX(_xlpm.nd,1)&amp;"¦"&amp;INDEX(_xlpm.nd,2),"")))</f>
        <v>ЩР-01¦QFD7¦XT7</v>
      </c>
      <c r="IO191" t="str">
        <f t="shared" si="392"/>
        <v>R.0.003A.1¦Розеточная группа, пом. 003A</v>
      </c>
      <c r="IP191" t="str" cm="1">
        <f t="array" ref="IP191">IF(IM191="","",_xlfn.LET(_xlpm.nd,_xlfn.TEXTSPLIT(IM191,"|"),IF(COLUMNS(_xlpm.nd)&gt;2,A191&amp;"¦"&amp;INDEX(_xlpm.nd,2)&amp;"¦"&amp;INDEX(_xlpm.nd,3),"")))</f>
        <v>ЩР-01¦XT7¦кабель ВВГнг(А)-LS (3х2,5) → Розеточная группа, пом. 003A</v>
      </c>
      <c r="IQ191" t="str">
        <f t="shared" si="393"/>
        <v>R.0.003A.1¦Розеточная группа, пом. 003A</v>
      </c>
      <c r="IR191" t="str" cm="1">
        <f t="array" ref="IR191">IF(IM191="","",_xlfn.LET(_xlpm.nd,_xlfn.TEXTSPLIT(IM191,"|"),IF(COLUMNS(_xlpm.nd)&gt;3,A191&amp;"¦"&amp;INDEX(_xlpm.nd,3)&amp;"¦"&amp;INDEX(_xlpm.nd,4),"")))</f>
        <v/>
      </c>
      <c r="IS191" t="str">
        <f t="shared" si="394"/>
        <v/>
      </c>
      <c r="IT191" t="str" cm="1">
        <f t="array" ref="IT191">IF(IM191="","",_xlfn.LET(_xlpm.nd,_xlfn.TEXTSPLIT(IM191,"|"),IF(COLUMNS(_xlpm.nd)&gt;4,A191&amp;"¦"&amp;INDEX(_xlpm.nd,4)&amp;"¦"&amp;INDEX(_xlpm.nd,5),"")))</f>
        <v/>
      </c>
      <c r="IU191" t="str">
        <f t="shared" si="395"/>
        <v/>
      </c>
      <c r="IV191" t="str" cm="1">
        <f t="array" ref="IV191">IF(IM191="","",_xlfn.LET(_xlpm.nd,_xlfn.TEXTSPLIT(IM191,"|"),IF(COLUMNS(_xlpm.nd)&gt;5,A191&amp;"¦"&amp;INDEX(_xlpm.nd,5)&amp;"¦"&amp;INDEX(_xlpm.nd,6),"")))</f>
        <v/>
      </c>
      <c r="IW191" t="str">
        <f t="shared" si="396"/>
        <v/>
      </c>
      <c r="IX191" t="str" cm="1">
        <f t="array" ref="IX191">IF(IM191="","",_xlfn.LET(_xlpm.nd,_xlfn.TEXTSPLIT(IM191,"|"),IF(COLUMNS(_xlpm.nd)&gt;6,A191&amp;"¦"&amp;INDEX(_xlpm.nd,6)&amp;"¦"&amp;INDEX(_xlpm.nd,7),"")))</f>
        <v/>
      </c>
      <c r="IY191" t="str">
        <f t="shared" si="397"/>
        <v/>
      </c>
      <c r="IZ191" t="str">
        <f t="shared" si="398"/>
        <v/>
      </c>
      <c r="JA191" t="str">
        <f t="shared" si="399"/>
        <v>QFD7 → XT7</v>
      </c>
      <c r="JB191">
        <f t="shared" si="400"/>
        <v>0</v>
      </c>
      <c r="JC191">
        <f t="shared" si="401"/>
        <v>1</v>
      </c>
      <c r="JD191" t="str">
        <f t="shared" si="402"/>
        <v/>
      </c>
      <c r="JE191" t="str">
        <f t="shared" si="403"/>
        <v/>
      </c>
      <c r="JF191" t="str">
        <f t="shared" si="404"/>
        <v/>
      </c>
      <c r="JG191" t="str">
        <f t="shared" si="405"/>
        <v/>
      </c>
      <c r="JH191" t="str">
        <f>IF(B191="","",IFERROR(_xlfn.XLOOKUP(B191,Коды_код,Коды_уго),IFERROR(_xlfn.XLOOKUP(BC191,Коды_код,Коды_уго),IFERROR(_xlfn.XLOOKUP(LEFT(BC191,2),Коды_код,Коды_уго),""))))</f>
        <v>Розетка</v>
      </c>
      <c r="JI191" t="str">
        <f>IF(B191="","",IF(OR(JH191="",JH191=0),"BOX",IFERROR(IF(VLOOKUP(JH191,УГО_блоки,3,FALSE)&amp;""&lt;&gt;"",VLOOKUP(JH191,УГО_блоки,3,FALSE),VLOOKUP(JH191,УГО_блоки,2,FALSE)),JH191)))</f>
        <v>SOCKET</v>
      </c>
      <c r="JJ191">
        <f t="shared" si="406"/>
        <v>1</v>
      </c>
      <c r="JK191" t="str">
        <f>IF(DQ191="","",IF(COUNTIF(DQ$3:DQ191,DQ191)=1,MAX(JK$2:JK190)+1,""))</f>
        <v/>
      </c>
      <c r="JL191" t="str">
        <f>IF(DE191="","",IF(COUNTIF(DE$3:DE191,DE191)+COUNTIF(DF$2:DF190,DE191)+COUNTIF(DG$2:DG190,DE191)=1,MAX(JL$2:JN190)+1,""))</f>
        <v/>
      </c>
      <c r="JM191" t="str">
        <f>IF(DF191="","",IF(COUNTIF(DE$3:DE191,DF191)+COUNTIF(DF$3:DF191,DF191)+COUNTIF(DG$2:DG190,DF191)=1,MAX(JL$2:JN190,JL191)+1,""))</f>
        <v/>
      </c>
      <c r="JN191" t="str">
        <f>IF(DG191="","",IF(COUNTIF(DE$3:DE191,DG191)+COUNTIF(DF$3:DF191,DG191)+COUNTIF(DG$3:DG191,DG191)=1,MAX(JL$2:JN190,JL191,JM191)+1,""))</f>
        <v/>
      </c>
      <c r="JO191" t="str">
        <f t="shared" si="407"/>
        <v>3х2,5</v>
      </c>
      <c r="JP191" t="str">
        <f>IF(JO191="","",IF(COUNTIF(JO$3:JO191,JO191)=1,MAX(JP$2:JP190)+1,""))</f>
        <v/>
      </c>
      <c r="JQ191" t="str">
        <f>IF(HG191="","",COUNTIF(HG$3:HG191,"?*"))</f>
        <v/>
      </c>
      <c r="JR191" t="str">
        <f>IF(OR(HG191="",HI191=""),"",IF(COUNTIFS(HG$3:HG191,"?*",HI$3:HI191,HI191)=1,MAX(JR$2:JR190)+1,""))</f>
        <v/>
      </c>
      <c r="JS191">
        <f t="shared" si="408"/>
        <v>0</v>
      </c>
      <c r="JT191">
        <f>IF(B191="","",COUNTIF(B$3:B191,"?*"))</f>
        <v>189</v>
      </c>
      <c r="JU191">
        <f>IF(HL191&lt;&gt;1,0,_xlfn.LET(_xlpm.k,MAX(IFERROR(--_xlfn.XLOOKUP(B191,Коды_код,Коды_3L),0),IFERROR(--_xlfn.XLOOKUP(BC191,Коды_код,Коды_3L),0),IFERROR(--_xlfn.XLOOKUP(LEFT(BC191,2),Коды_код,Коды_3L),0)),IF(_xlpm.k&gt;0,_xlpm.k,IF(IFERROR(--LEFT(SUBSTITUTE(JO191,"x","х"),FIND("х",SUBSTITUTE(JO191,"x","х"))-1),3)&gt;3,Каталог!$S$9,1))))</f>
        <v>1</v>
      </c>
      <c r="JV191">
        <f t="shared" si="409"/>
        <v>0</v>
      </c>
      <c r="JW191" t="str">
        <f t="shared" si="410"/>
        <v>авто</v>
      </c>
      <c r="JX191">
        <f t="shared" si="411"/>
        <v>30</v>
      </c>
      <c r="JY191">
        <f t="shared" si="412"/>
        <v>1</v>
      </c>
      <c r="JZ191">
        <f t="shared" si="413"/>
        <v>1</v>
      </c>
    </row>
    <row r="192" spans="1:286" x14ac:dyDescent="0.3">
      <c r="A192" t="s">
        <v>755</v>
      </c>
      <c r="B192" t="s">
        <v>1499</v>
      </c>
      <c r="C192" t="str">
        <f>Линии[[#This Row],[_авто наименование]]</f>
        <v>Розеточная группа, пом. 003A</v>
      </c>
      <c r="D192">
        <v>3</v>
      </c>
      <c r="E192">
        <v>0.18</v>
      </c>
      <c r="G192" t="str">
        <f>Линии[[#This Row],[_авто автомат]]</f>
        <v>2P С16А 30мА</v>
      </c>
      <c r="H192" t="str">
        <f>Линии[[#This Row],[_авто управление]]</f>
        <v/>
      </c>
      <c r="I192" t="str">
        <f>Линии[[#This Row],[_авто аппараты]]</f>
        <v/>
      </c>
      <c r="J192">
        <v>2.5</v>
      </c>
      <c r="K192">
        <v>54</v>
      </c>
      <c r="L192">
        <v>1</v>
      </c>
      <c r="M192" t="str">
        <f>Линии[[#This Row],[_авто клемма]]</f>
        <v>XT8</v>
      </c>
      <c r="N192" t="str">
        <f t="shared" si="276"/>
        <v/>
      </c>
      <c r="O192" s="6" cm="1">
        <f t="array" ref="O192">IF(B192="","",IF(BH192&lt;&gt;"",IFERROR(_xlfn.XLOOKUP(BH192,Щиты[Щит],Щиты[Iр, А]),""),IF(BP192=1,IF(OR(N(_xlfn.XLOOKUP(A192,Щиты[Щит],Щиты[Вводов],1))&lt;=1,LOWER(TRIM(_xlfn.XLOOKUP(A192,Щиты[Щит],Щиты[АВР],"")&amp;""))="да"),IFERROR(_xlfn.XLOOKUP(A192,Щиты[Щит],Щиты[Iр, А]),""),IFERROR(N(BS192)*_xlfn.XLOOKUP(A192,Щиты[Щит],Щиты[Кс итог])/(SQRT(3)*Uн_лин*_xlfn.XLOOKUP(A192,Щиты[Щит],Щиты[cos φ])),"")),IF(BV192=1,IFERROR(BS192*1000/BU192,""),IFERROR(_xlfn.IFS(BX192=1,BS192/((Uн_лин/SQRT(3))*CE192),BX192=3,BS192/(SQRT(3)*Uн_лин*CE192)),"")))))</f>
        <v>0.8204451193747313</v>
      </c>
      <c r="P192" s="7">
        <f>IF(B192="","",IFERROR(IF(VLOOKUP(BC192,Потребители_обозначение,4,FALSE)=1,VLOOKUP(BC192,Потребители_обозначение,3,FALSE)*(MAX(1,N(D192))*2-1)+EI192+VLOOKUP(BE192,Этаж_обозначение,3,FALSE)+VLOOKUP(BE192,Этаж_обозначение,4,FALSE),VLOOKUP(BC192,Потребители_обозначение,3,FALSE)*(MAX(1,N(D192))*2-1)+EI192),EI192))</f>
        <v>69</v>
      </c>
      <c r="Q192" s="6">
        <f t="shared" si="277"/>
        <v>0.86</v>
      </c>
      <c r="R192" t="str">
        <f t="shared" si="278"/>
        <v>ВВГнг(А)-LS (3х2,5)</v>
      </c>
      <c r="S192" t="str">
        <f>IF(BM192="","",IF(BN192="вводной узел","узел ","")&amp;"л."&amp;(INT((BM192-1)/Столбцов_на_лист)+1)&amp;" / "&amp;(MOD(BM192-1,Столбцов_на_лист)+1))</f>
        <v>л.1 / 16</v>
      </c>
      <c r="T192" s="119">
        <f t="shared" si="279"/>
        <v>1</v>
      </c>
      <c r="U192" s="7" t="str">
        <f>IF(OR(CG192=0,N(BV192)+N(IB192)=0),"",ROUNDUP(Запас_БП*(N(HY192)+N(HZ192)),0))</f>
        <v/>
      </c>
      <c r="V192" s="119" t="str">
        <f t="shared" si="280"/>
        <v/>
      </c>
      <c r="W192" s="7" t="str">
        <f>IFERROR(IF(OR(B192="",BP192=1,BV192=1,NOT(ISNUMBER(EN192)),N(DT192)=0),"",MAX(0,ROUNDDOWN((c_min*(Uн_лин*1000/SQRT(3))/(HT192*N(DT192))-_xlfn.XLOOKUP(A192,Щиты[Щит],Щиты[Zпетли на шинах, Ом]))*EN192/(2*ρкз_Cu),0))),"")</f>
        <v/>
      </c>
      <c r="Y192">
        <f>Линии[[#This Row],[_авто утечка]]</f>
        <v>30</v>
      </c>
      <c r="Z192">
        <v>1</v>
      </c>
      <c r="AA192">
        <v>230</v>
      </c>
      <c r="AB192" t="s">
        <v>562</v>
      </c>
      <c r="AG192" t="s">
        <v>810</v>
      </c>
      <c r="AI192" t="s">
        <v>561</v>
      </c>
      <c r="AK192" t="str">
        <f>Линии[[#This Row],[_авто модуль]]</f>
        <v/>
      </c>
      <c r="AM192">
        <v>16</v>
      </c>
      <c r="AN192" t="s">
        <v>11</v>
      </c>
      <c r="AO192">
        <v>3</v>
      </c>
      <c r="AQ192">
        <v>10</v>
      </c>
      <c r="AR192">
        <v>59</v>
      </c>
      <c r="AS192">
        <v>0</v>
      </c>
      <c r="BA192" cm="1">
        <f t="array" ref="BA192">ROW()-ROW(Линии[#Headers])</f>
        <v>190</v>
      </c>
      <c r="BC192" s="6" t="str">
        <f t="shared" si="281"/>
        <v>R</v>
      </c>
      <c r="BD192" t="str">
        <f t="shared" si="282"/>
        <v>0.003A.3</v>
      </c>
      <c r="BE192" t="str">
        <f t="shared" si="283"/>
        <v>0</v>
      </c>
      <c r="BF192" t="str">
        <f t="shared" si="284"/>
        <v>003A.3</v>
      </c>
      <c r="BG192" t="str">
        <f t="shared" si="285"/>
        <v>003A</v>
      </c>
      <c r="BH192" t="str">
        <f>IF(X192&lt;&gt;"",X192,IF(AND(B192&lt;&gt;"",B192&lt;&gt;A192,ISNUMBER(_xlfn.XMATCH(B192,Щиты[Щит]))),B192,""))</f>
        <v/>
      </c>
      <c r="BI192" t="str" cm="1">
        <f t="array" ref="BI192">IF(B192="","",IF(BH192&lt;&gt;"","Щит "&amp;BH192,_xlfn.LET(_xlpm.nm,IFERROR(_xlfn.XLOOKUP(BC192,Коды_код,Коды_имя)&amp;"",""),_xlpm.md,IFERROR(N(_xlfn.XLOOKUP(BC192,Коды_код,Коды_режим)),1),_xlpm.ex,IF(Имя_режим="по экспликации",IFERROR(_xlfn.XLOOKUP(BE192&amp;"|"&amp;BG192,Экспликация[Этаж]&amp;"|"&amp;Экспликация[Помещение],Экспликация[Название])&amp;"",""),""),_xlpm.rm,IF(BG192="","",IF(_xlpm.ex&lt;&gt;"",". "&amp;_xlpm.ex&amp;IF(Имя_пом="нет"," ("&amp;BG192&amp;")"," (пом. "&amp;BG192&amp;")"),IF(Имя_пом="нет"," ",", пом. ")&amp;BG192)),IF(_xlpm.nm="","",IF(_xlpm.md=2,_xlpm.nm&amp;" шлейф "&amp;BE192,_xlpm.nm&amp;_xlpm.rm)))))</f>
        <v>Розеточная группа, пом. 003A</v>
      </c>
      <c r="BJ192" t="str">
        <f t="shared" si="286"/>
        <v>Розеточная группа, пом. 003A</v>
      </c>
      <c r="BK192">
        <f>IFERROR(_xlfn.XMATCH(A192,Щиты[Щит]),0)</f>
        <v>9</v>
      </c>
      <c r="BL192">
        <f>_xlfn.LET(_xlpm.k,IFERROR(_xlfn.XLOOKUP(A192,Щиты[Щит],Щиты[Мест под вводной узел]),""),IF(_xlpm.k="",Столбцов_на_лист,N(_xlpm.k)))</f>
        <v>8</v>
      </c>
      <c r="BM192">
        <f t="shared" si="287"/>
        <v>16</v>
      </c>
      <c r="BN192" t="str">
        <f t="shared" si="288"/>
        <v>линии</v>
      </c>
      <c r="BO192" s="6">
        <f>IFERROR(N(_xlfn.XLOOKUP(BC192,Коды_код,Коды_квт)),0)</f>
        <v>0</v>
      </c>
      <c r="BP192">
        <f t="shared" si="289"/>
        <v>0</v>
      </c>
      <c r="BQ192" t="str">
        <f>IF(B192="","",IF(BH192&lt;&gt;"",IFERROR(_xlfn.XLOOKUP(BH192,Щиты[Щит],Щиты[Руст, кВт]),0),IF(BP192=1,IF(OR(N(_xlfn.XLOOKUP(A192,Щиты[Щит],Щиты[Вводов],1))&lt;=1,LOWER(TRIM(_xlfn.XLOOKUP(A192,Щиты[Щит],Щиты[АВР],"")&amp;""))="да"),IFERROR(_xlfn.XLOOKUP(A192,Щиты[Щит],Щиты[Руст, кВт]),0),SUMIFS(Линии[_Р для вводов],Линии[Щит],A192,Линии[Источник для режимов],GF192)),IF(BO192&gt;0,ROUND(BO192*MAX(1,N(D192)),3),""))))</f>
        <v/>
      </c>
      <c r="BR192">
        <f t="shared" si="290"/>
        <v>0.18</v>
      </c>
      <c r="BS192" s="6">
        <f>IF(B192="","",IF(BH192&lt;&gt;"",IFERROR(_xlfn.XLOOKUP(BH192,Щиты[Щит],Щиты[Руст, кВт]),0),N(BR192)))</f>
        <v>0.18</v>
      </c>
      <c r="BT192" t="str">
        <f>IF(B192="","",IFERROR(IF(VLOOKUP(BC192,Потребители_обозначение,8,FALSE)=0,"",VLOOKUP(BC192,Потребители_обозначение,8,FALSE)),""))</f>
        <v/>
      </c>
      <c r="BU192">
        <f t="shared" si="291"/>
        <v>230</v>
      </c>
      <c r="BV192">
        <f t="shared" si="292"/>
        <v>0</v>
      </c>
      <c r="BW192">
        <f>IF(B192="","",IF(BH192&lt;&gt;"",3,IFERROR(IF(N(VLOOKUP(BC192,Потребители_обозначение,9,FALSE))=0,1,VLOOKUP(BC192,Потребители_обозначение,9,FALSE)),1)))</f>
        <v>1</v>
      </c>
      <c r="BX192">
        <f t="shared" si="293"/>
        <v>1</v>
      </c>
      <c r="BY192" t="str">
        <f>IF(B192="","",_xlfn.LET(_xlpm.bc,IFERROR(IF(VLOOKUP(BC192,Потребители_обозначение,6,FALSE)=0,"",VLOOKUP(BC192,Потребители_обозначение,6,FALSE)&amp;""),""),IF(AND(GA192="да",OR(_xlpm.bc="",_xlpm.bc="мс")),Марка_пож,IF(AND(_xlpm.bc="",BH192&lt;&gt;""),"мс",_xlpm.bc))))</f>
        <v/>
      </c>
      <c r="BZ192" t="str">
        <f t="shared" si="294"/>
        <v>мс</v>
      </c>
      <c r="CA192">
        <f>IF(B192="","",_xlfn.LET(_xlpm.cc,IFERROR(N(VLOOKUP(BC192,Потребители_обозначение,7,FALSE)),0),IF(_xlpm.cc&gt;0,_xlpm.cc,IF(BZ192="","",IF(BV192=1,2,IF(N(BX192)=3,5,3))))))</f>
        <v>3</v>
      </c>
      <c r="CB192">
        <f t="shared" si="295"/>
        <v>3</v>
      </c>
      <c r="CC192">
        <f>IFERROR(N(VLOOKUP(BC192,Потребители_обозначение,10,FALSE)),0)</f>
        <v>0</v>
      </c>
      <c r="CD192">
        <f>IFERROR(VLOOKUP(BC192,Потребители_обозначение,5,FALSE),0)</f>
        <v>1</v>
      </c>
      <c r="CE192" s="6" cm="1">
        <f t="array" ref="CE192">IF(B192="","",IF(BH192&lt;&gt;"",IFERROR(_xlfn.XLOOKUP(BH192,Щиты[Щит],Щиты[cos φ]),0.95),IF(BP192=1,IFERROR(_xlfn.XLOOKUP(A192,Щиты[Щит],Щиты[cos φ]),0.95),IF(ISNUMBER(AD192),AD192,IFERROR(IF(CD192=2,_xlfn.IFS(BX192=3,VLOOKUP(BS192,Справочная_двигатели,8,FALSE),BX192=1,VLOOKUP(BS192,Справочная_двигатели,10,TRUE)),IF(AND(Методика="нормы 2026",FG192="Сил"),0.8,0.95)),0.95)))))</f>
        <v>0.95</v>
      </c>
      <c r="CF192">
        <f t="shared" si="296"/>
        <v>0</v>
      </c>
      <c r="CG192">
        <f t="shared" si="297"/>
        <v>1</v>
      </c>
      <c r="CH192">
        <f t="shared" si="298"/>
        <v>0</v>
      </c>
      <c r="CI192">
        <f>IF(B192="","",IF(BV192=1,IFERROR(BS192/((Uн_лин/SQRT(3))*MAX(0.5,N(CE192))),0),N(O192)))</f>
        <v>0.8204451193747313</v>
      </c>
      <c r="CJ192">
        <f t="shared" si="299"/>
        <v>0</v>
      </c>
      <c r="CK192">
        <f t="shared" si="300"/>
        <v>0</v>
      </c>
      <c r="CL192">
        <f t="shared" si="301"/>
        <v>0</v>
      </c>
      <c r="CM192">
        <f t="shared" si="302"/>
        <v>0</v>
      </c>
      <c r="CN192">
        <f t="shared" si="303"/>
        <v>0</v>
      </c>
      <c r="CO192">
        <f>IF(BC192="",0,_xlfn.LET(_xlpm.v,IFERROR(_xlfn.XLOOKUP(B192,Коды_код,Коды_мА),IFERROR(_xlfn.XLOOKUP(BC192,Коды_код,Коды_мА),IFERROR(_xlfn.XLOOKUP(LEFT(BC192,2),Коды_код,Коды_мА),""))),IF(_xlpm.v="да",30,IF(ISNUMBER(_xlpm.v),_xlpm.v,0))))</f>
        <v>30</v>
      </c>
      <c r="CP192">
        <f t="shared" si="304"/>
        <v>30</v>
      </c>
      <c r="CQ192" t="str">
        <f>_xlfn.LET(_xlpm.k,IFERROR(_xlfn.XLOOKUP(BC192,Коды_код,Коды_утечка)&amp;"",""),IF(_xlpm.k="","дифавтомат",_xlpm.k))</f>
        <v>дифавтомат</v>
      </c>
      <c r="CR192" t="str" cm="1">
        <f t="array" ref="CR192">IF(CG192=0,"",_xlfn.LET(_xlpm.sg,TRIM(_xlfn.TEXTSPLIT(DD192&amp;"",";")),_xlpm.f_,_xlfn._xlws.FILTER(_xlpm.sg,LEFT(_xlpm.sg,3)="УЗО",""),IFERROR(INDEX(_xlpm.f_,1)&amp;"","")))</f>
        <v/>
      </c>
      <c r="CS192" t="str">
        <f t="shared" si="305"/>
        <v/>
      </c>
      <c r="CT192" s="6" t="str" cm="1">
        <f t="array" ref="CT192">IF(CR192="","",_xlfn.LET(_xlpm.tk,_xlfn.TEXTSPLIT(UPPER(CR192)," ",,TRUE),_xlpm.a_,_xlfn._xlws.FILTER(_xlpm.tk,ISNUMBER(--LEFT(_xlpm.tk,1))*((ISNUMBER(SEARCH("А",_xlpm.tk))+ISNUMBER(SEARCH("A",_xlpm.tk)))&gt;0)*NOT(ISNUMBER(SEARCH("МА",_xlpm.tk)))*NOT(ISNUMBER(SEARCH("MA",_xlpm.tk))),""),IFERROR(--SUBSTITUTE(SUBSTITUTE(INDEX(_xlpm.a_,1),"А",""),"A",""),"")))</f>
        <v/>
      </c>
      <c r="CU192" t="str" cm="1">
        <f t="array" ref="CU192">IF(CR192="","",_xlfn.LET(_xlpm.tk,_xlfn.TEXTSPLIT(UPPER(CR192)," ",,TRUE),_xlpm.a_,_xlfn._xlws.FILTER(_xlpm.tk,ISNUMBER(--LEFT(_xlpm.tk,1))*((ISNUMBER(SEARCH("МА",_xlpm.tk))+ISNUMBER(SEARCH("MA",_xlpm.tk)))&gt;0),""),IFERROR(--SUBSTITUTE(SUBSTITUTE(INDEX(_xlpm.a_,1),"МА",""),"MA",""),30)))</f>
        <v/>
      </c>
      <c r="CV192" t="str">
        <f>IF(CS192="","",IFERROR(_xlfn.XLOOKUP(CS192,Линии[_n],Линии[_УЗО, мА]),30))</f>
        <v/>
      </c>
      <c r="CW192">
        <f>IF(CS192="",0,IF(ISNUMBER(SEARCH("4P",IFERROR(_xlfn.XLOOKUP(CS192,Линии[_n],Линии[_УЗО строки])&amp;"",""))),0,1))</f>
        <v>0</v>
      </c>
      <c r="CX192" t="str">
        <f>IF(AND(CS192&lt;&gt;"",CS192=BA192),SUMIFS(Линии[_ток на 230 В],Линии[_блок УЗО],BA192,Линии[Щит],A192),"")</f>
        <v/>
      </c>
      <c r="CY192" t="str">
        <f>IF(AND(CS192&lt;&gt;"",CS192=BA192),SUMIFS(Линии[_ток утечки линии, мА],Линии[_блок УЗО],BA192,Линии[Щит],A192),"")</f>
        <v/>
      </c>
      <c r="CZ192">
        <f t="shared" si="306"/>
        <v>30</v>
      </c>
      <c r="DA192">
        <f t="shared" si="307"/>
        <v>30</v>
      </c>
      <c r="DB192">
        <f>IF(B192="",0,IFERROR(--_xlfn.XLOOKUP(B192,Коды_код,Коды_минавт),IFERROR(--_xlfn.XLOOKUP(BC192,Коды_код,Коды_минавт),IFERROR(--_xlfn.XLOOKUP(LEFT(BC192,2),Коды_код,Коды_минавт),0))))</f>
        <v>16</v>
      </c>
      <c r="DC192" t="str">
        <f>IF(B192="","",IFERROR(_xlfn.XLOOKUP(BC192,Коды_код,Коды_апп)&amp;"",""))</f>
        <v/>
      </c>
      <c r="DD192" t="str">
        <f t="shared" si="308"/>
        <v/>
      </c>
      <c r="DE192" t="str" cm="1">
        <f t="array" ref="DE192">IF(TRIM(DD192&amp;"")="","",IFERROR(TRIM(INDEX(_xlfn.TEXTSPLIT(DD192&amp;";;;",";"),1)),""))</f>
        <v/>
      </c>
      <c r="DF192" t="str" cm="1">
        <f t="array" ref="DF192">IF(TRIM(DD192&amp;"")="","",IFERROR(TRIM(INDEX(_xlfn.TEXTSPLIT(DD192&amp;";;;",";"),2)),""))</f>
        <v/>
      </c>
      <c r="DG192" t="str" cm="1">
        <f t="array" ref="DG192">IF(TRIM(DD192&amp;"")="","",IFERROR(TRIM(INDEX(_xlfn.TEXTSPLIT(DD192&amp;";;;",";"),3)),""))</f>
        <v/>
      </c>
      <c r="DH192">
        <f t="shared" si="309"/>
        <v>0</v>
      </c>
      <c r="DI192" t="str">
        <f>IF(B192="","",_xlfn.LET(_xlpm.t,LOWER(AZ192&amp;""),IF(ISNUMBER(SEARCH("dim",_xlpm.t)),"DIM",IF(ISNUMBER(SEARCH("dali",_xlpm.t)),"DALI",IF(OR(ISNUMBER(SEARCH("relay",_xlpm.t)),ISNUMBER(SEARCH("реле",_xlpm.t))),"Relay",IF(ISNUMBER(SEARCH("кнопк",_xlpm.t)),"",IFERROR(_xlfn.XLOOKUP(BC192,Коды_код,Коды_упр)&amp;"","")))))))</f>
        <v/>
      </c>
      <c r="DJ192" t="str">
        <f t="shared" si="310"/>
        <v/>
      </c>
      <c r="DK192">
        <f>IF(B192="","",_xlfn.LET(_xlpm.ig,IF(N(CX192)&gt;0,N(CX192),N(CI192)+IF(AJ192="вручную",0,N(CJ192))),_xlpm.n0,IFERROR(VLOOKUP(_xlpm.ig,Автомат_номиналы,2,TRUE),0),_xlpm.mn,MAX(DB192,IF(AJ192="вручную",0,N(CM192))),MAX(_xlpm.n0,_xlpm.mn,IF(DH192=1,Мин_автомат_БП,0))))</f>
        <v>16</v>
      </c>
      <c r="DL192">
        <f t="shared" si="311"/>
        <v>1</v>
      </c>
      <c r="DM192" t="str">
        <f t="shared" si="312"/>
        <v>2P</v>
      </c>
      <c r="DN192" t="str">
        <f>_xlfn.LET(_xlpm.cc,UPPER(TRIM(IFERROR(_xlfn.XLOOKUP(BC192,Коды_код,Коды_хар)&amp;"",""))),IF(OR(_xlpm.cc="B",_xlpm.cc="В"),"B",IF(_xlpm.cc="D","D","С")))</f>
        <v>С</v>
      </c>
      <c r="DO192" t="str">
        <f t="shared" si="313"/>
        <v>2P С16А 30мА</v>
      </c>
      <c r="DP192" t="str">
        <f t="shared" si="314"/>
        <v>2P С16А 30мА</v>
      </c>
      <c r="DQ192" t="str">
        <f t="shared" si="315"/>
        <v>2P С16А 30мА</v>
      </c>
      <c r="DR192" cm="1">
        <f t="array" ref="DR192">IF(DQ192="","",_xlfn.LET(_xlpm.t,SUBSTITUTE(SUBSTITUTE(SUBSTITUTE(UPPER(DQ192),"С","C"),"А","A"),"В","B"),_xlpm.tk,_xlfn.TEXTSPLIT(_xlpm.t," "),_xlpm.f,_xlfn._xlws.FILTER(_xlpm.tk,ISNUMBER(--MID(_xlpm.tk,2,1))*ISNUMBER(SEARCH(LEFT(_xlpm.tk,1)&amp;"#","B#C#D#"))*(LEN(_xlpm.tk)&gt;1),""),_xlpm.x,INDEX(_xlpm.f,1),IFERROR(--SUBSTITUTE(MID(_xlpm.x,2,9),"A",""),IFERROR(--SUBSTITUTE(INDEX(_xlfn._xlws.FILTER(_xlpm.tk,ISNUMBER(--SUBSTITUTE(_xlpm.tk,"A","")),""),1),"A",""),""))))</f>
        <v>16</v>
      </c>
      <c r="DS192" t="str">
        <f t="shared" si="316"/>
        <v>ok</v>
      </c>
      <c r="DT192">
        <f t="shared" si="317"/>
        <v>16</v>
      </c>
      <c r="DU192" t="str">
        <f t="shared" si="318"/>
        <v>2P С16А 30мА</v>
      </c>
      <c r="DV192">
        <f t="shared" si="319"/>
        <v>30</v>
      </c>
      <c r="DW192">
        <f t="shared" si="320"/>
        <v>1</v>
      </c>
      <c r="DX192">
        <f t="shared" si="321"/>
        <v>0</v>
      </c>
      <c r="DY192">
        <f t="shared" si="322"/>
        <v>0.8204451193747313</v>
      </c>
      <c r="DZ192">
        <f t="shared" si="323"/>
        <v>1</v>
      </c>
      <c r="EA192">
        <f>IF(ISNUMBER(AP192),AP192,К_прокл)</f>
        <v>1</v>
      </c>
      <c r="EB192">
        <f t="shared" si="324"/>
        <v>2</v>
      </c>
      <c r="EC192">
        <f>IFERROR(N(VLOOKUP(BZ192,Кабель_обозначение,3,FALSE)),1)</f>
        <v>1</v>
      </c>
      <c r="ED192">
        <f>IFERROR(N(_xlfn.XLOOKUP(A192,Щиты[Щит],Щиты[ΔU до шин, %])),0)</f>
        <v>0.43</v>
      </c>
      <c r="EE192" t="str">
        <f>IFERROR(_xlfn.XLOOKUP(A192,Щиты[Щит],Щиты[Zпетли на шинах, Ом]),"")</f>
        <v/>
      </c>
      <c r="EF192">
        <f>IFERROR(N(_xlfn.XLOOKUP(A192,Щиты[Щит],Щиты[ΔU до шин (подбор), %])),0)</f>
        <v>0.43</v>
      </c>
      <c r="EG192" t="str">
        <f>IFERROR(_xlfn.XLOOKUP(A192,Щиты[Щит],Щиты[Zпетли на шинах (подбор), Ом]),"")</f>
        <v/>
      </c>
      <c r="EH192" t="str">
        <f t="shared" si="325"/>
        <v/>
      </c>
      <c r="EI192">
        <f t="shared" si="326"/>
        <v>54</v>
      </c>
      <c r="EJ192">
        <f t="shared" si="327"/>
        <v>2</v>
      </c>
      <c r="EK192">
        <f t="shared" si="328"/>
        <v>0.31</v>
      </c>
      <c r="EL192" s="6">
        <f>IF(B192="","",IF(BV192=1,dU_LED,IF(IFERROR(_xlfn.XLOOKUP(BC192,Коды_код,Коды_уго),"")="Светильник",3,4)+IF(Методика="нормы 2026",MIN(0.5,MAX(0,N(P192)-100)*0.005),0)))</f>
        <v>4</v>
      </c>
      <c r="EM192" cm="1">
        <f t="array" ref="EM192">IF(OR(B192="",BZ192="",EC192&lt;&gt;1),"",_xlfn.LET(_xlpm.sz,Iдоп_S,_xlpm.t_,CHOOSE(EB192,Iдоп_1ж,Iдоп_2ж,Iдоп_3ж)*DZ192*EA192,_xlpm.dcx,BV192=1,_xlpm.inn,IF(_xlpm.dcx,N(O192),N(DT192)),_xlpm.smin,MAX(1.5,CC192),_xlpm.L_,N(P192)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192)/N(BU192)*100,999),IFERROR(N(EJ192)*(_xlpm.rho*_xlpm.L_/_xlpm.sz*N(CE192)+_xlpm.xx*_xlpm.L_*N(EK192)/1000)*N(O192)/((Uн_лин/SQRT(3))*1000)*100,999)),_xlpm.kz,IF(OR(_xlpm.dcx,DW192=1,NOT(ISNUMBER(EG192)),_xlpm.L_=0,_xlpm.inn=0),1,IFERROR(--(c_min*(Uн_лин*1000/SQRT(3))/(EG192+2*ρкз_Cu*_xlpm.L_/_xlpm.sz)&gt;=HT192*_xlpm.inn),0)),_xlpm.ok,IFERROR((_xlpm.sz&gt;=_xlpm.smin)*(_xlpm.t_&gt;=_xlpm.inn)*IF(_xlpm.L_&gt;0,(_xlpm.du_+IF(_xlpm.dcx,0,EF192)&lt;=EL192+0.00001),1)*_xlpm.kz,0),_xlpm.r_,_xlfn._xlws.FILTER(_xlpm.sz,_xlpm.ok,"не подобрано"),INDEX(_xlpm.r_,1)))</f>
        <v>1.5</v>
      </c>
      <c r="EN192">
        <f t="shared" si="329"/>
        <v>2.5</v>
      </c>
      <c r="EO192" cm="1">
        <f t="array" ref="EO192">IF(OR(B192="",BZ192="",EC192&lt;&gt;1),"",_xlfn.LET(_xlpm.sz,Iдоп_S,_xlpm.t_,CHOOSE(EB192,Iдоп_1ж,Iдоп_2ж,Iдоп_3ж)*DZ192*EA192,_xlpm.ok,IFERROR((_xlpm.sz&gt;=MAX(1.5,CC192))*(_xlpm.t_&gt;=N(DT192)),0),_xlpm.r_,_xlfn._xlws.FILTER(_xlpm.sz,_xlpm.ok,""),INDEX(_xlpm.r_,1)))</f>
        <v>1.5</v>
      </c>
      <c r="EP192" s="6" cm="1">
        <f t="array" ref="EP192">IFERROR(ROUNDUP(N(EJ192)*(_xlfn.XLOOKUP(EO192,INDEX(Кабель_сопротивление,0,1),INDEX(Кабель_сопротивление,0,3))*N(P192)/EO192*N(CE192)+_xlfn.XLOOKUP(EO192,INDEX(Кабель_сопротивление,0,1),INDEX(Кабель_сопротивление,0,2))*N(P192)*N(EK192)/1000)*N(O192)/((Uн_лин/SQRT(3))*1000)*100,2),"")</f>
        <v>0.71</v>
      </c>
      <c r="EQ192">
        <f>IFERROR(2*ρкз_Cu*N(P192)/EO192,"")</f>
        <v>2.4196</v>
      </c>
      <c r="ER192">
        <f>IFERROR(VLOOKUP(EN192,Кабель_сопротивление,3,FALSE),"")</f>
        <v>2.2499999999999999E-2</v>
      </c>
      <c r="ES192">
        <f>IFERROR(VLOOKUP(EN192,Кабель_сопротивление,2,FALSE),"")</f>
        <v>0.1</v>
      </c>
      <c r="ET192">
        <f t="shared" si="330"/>
        <v>59</v>
      </c>
      <c r="EU192">
        <f t="shared" si="331"/>
        <v>0</v>
      </c>
      <c r="EV192">
        <f t="shared" si="332"/>
        <v>0.97155306057093049</v>
      </c>
      <c r="EW192" s="6">
        <f>IFERROR(ROUNDUP(EV192/IF(BV192=1,BU192,(Uн_лин/SQRT(3))*1000)*100,2),"")</f>
        <v>0.43</v>
      </c>
      <c r="EX192" t="str">
        <f>IFERROR(VLOOKUP(BZ192,Кабель_обозначение,2,FALSE),"")</f>
        <v>ВВГнг(А)-LS</v>
      </c>
      <c r="EY192" t="str">
        <f t="shared" si="333"/>
        <v>ВВГнг(А)-LS (3х2,5)</v>
      </c>
      <c r="EZ192" t="str">
        <f t="shared" si="334"/>
        <v>ВВГнг(А)-LS (3х2,5)
L=69-0,43%</v>
      </c>
      <c r="FA192">
        <f>IFERROR(2*ρкз_Cu*P192/EN192,"")</f>
        <v>1.4517599999999999</v>
      </c>
      <c r="FB192">
        <f t="shared" si="335"/>
        <v>0.48299999999999998</v>
      </c>
      <c r="FC192" s="6" t="str">
        <f>IFERROR(IF(OR(B192="",BV192=1,NOT(ISNUMBER(EN192)),N(P192)=0),"",_xlfn.XLOOKUP(A192,Щиты[Щит],Щиты[Zпетли на шинах, Ом])+FA192),"")</f>
        <v/>
      </c>
      <c r="FD192" s="6" t="str">
        <f>IF(ISNUMBER(FC192),c_min*(Uн_лин*1000/SQRT(3))/FC192,"")</f>
        <v/>
      </c>
      <c r="FE192" s="6" t="str">
        <f>IFERROR(IF(OR(B192="",NOT(ISNUMBER(EN192))),"",1.05*(Uн_лин*1000/SQRT(3))/(_xlfn.XLOOKUP(A192,Щиты[Щит],Щиты[Zmax на шинах, Ом])+FB192)/1000),"")</f>
        <v/>
      </c>
      <c r="FF192" s="6" t="str">
        <f>IF(B192="","",IF(ISNUMBER(AC192),"Сил",IF(IFERROR(_xlfn.XLOOKUP(BC192,Коды_код,Коды_группа)&amp;"","")="","Быт",_xlfn.XLOOKUP(BC192,Коды_код,Коды_группа)&amp;"")))</f>
        <v>Быт</v>
      </c>
      <c r="FG192" s="6" t="str">
        <f t="shared" si="336"/>
        <v>Быт</v>
      </c>
      <c r="FH192" s="6">
        <f>IF(FG192="Щит","щит",IF(FG192="","",IF(FG192="Быт",IFERROR(_xlfn.XLOOKUP(A192,Щиты[Щит],Щиты[Кс быт]),1),IF(FG192="Сил",IF(ISNUMBER(AC192),AC192,IF(Методика="нормы 2026",IFERROR(_xlfn.XLOOKUP(A192,Щиты[Щит],Щиты[Кс силовых (табл. 7.5)]),1),1)),IF(OR(FG192="Пост",FG192="Отоп"),1,IF(FG192="ВНГ",0.7,0))))))</f>
        <v>0.79799999999999993</v>
      </c>
      <c r="FI192">
        <f>IF(FG192="","",IF(AND(BP192=1,TRIM(AE192&amp;"")=""),IF(COUNTIFS(Линии[Щит],A192,Линии[Секция (1/2/3)],"&gt;=2")&gt;0,MIN(3,MAX(1,IFERROR(--BD192,1))),1),IFERROR(MIN(3,MAX(1,INT(--AE192))),1)))</f>
        <v>1</v>
      </c>
      <c r="FJ192">
        <f t="shared" si="337"/>
        <v>0.18</v>
      </c>
      <c r="FK192">
        <f t="shared" si="338"/>
        <v>0.18</v>
      </c>
      <c r="FL192">
        <f t="shared" si="339"/>
        <v>0</v>
      </c>
      <c r="FM192">
        <f t="shared" si="340"/>
        <v>0</v>
      </c>
      <c r="FN192">
        <f t="shared" si="341"/>
        <v>0</v>
      </c>
      <c r="FO192">
        <f t="shared" si="342"/>
        <v>0</v>
      </c>
      <c r="FP192">
        <f t="shared" si="343"/>
        <v>0.18</v>
      </c>
      <c r="FQ192">
        <f t="shared" si="344"/>
        <v>0.18</v>
      </c>
      <c r="FR192">
        <f t="shared" si="345"/>
        <v>0.17099999999999999</v>
      </c>
      <c r="FS192">
        <f>IF(CG192=1,IF(AND(CH192=1,CW192=1),0,IF(AND(CS192&lt;&gt;"",CS192=BA192,CW192=1),SUMIFS(Линии[_Р линии, кВт],Линии[_блок УЗО],BA192,Линии[Щит],A192),N(BS192)+IF(AJ192="вручную",0,N(CK192)))),0)</f>
        <v>0.18</v>
      </c>
      <c r="FT192" t="str">
        <f t="shared" si="346"/>
        <v>L1</v>
      </c>
      <c r="FU192" t="str">
        <f>IF(B192="","",IF(CG192=0,IF(BA192=1,"",FW191),IF(AND(CH192=1,CW192=1,CS192&lt;&gt;""),IFERROR(_xlfn.XLOOKUP(CS192,Линии[_n],Линии[_фаза итог]),"L1"),IF(OR(N(DL192)&gt;=3,N(BX192)&gt;=3),"L1,L2,L3",IFERROR(_xlfn.TEXTBEFORE(_xlfn.TEXTAFTER(_xlfn.XLOOKUP(A192,Щиты[Щит],Щиты[_фазы авто]),";"&amp;BA192&amp;":"),";"),"L1")))))</f>
        <v>L1</v>
      </c>
      <c r="FV192" t="str">
        <f t="shared" si="347"/>
        <v>L1</v>
      </c>
      <c r="FW192" t="str">
        <f t="shared" si="348"/>
        <v>L1</v>
      </c>
      <c r="FX192" cm="1">
        <f t="array" ref="FX192">IFERROR(IF(CD192=2,_xlfn.IFS(BX192=3,VLOOKUP(BS192,Справочная_двигатели,3,FALSE),BX192=1,VLOOKUP(BS192,Справочная_двигатели,5,TRUE)),0),0)</f>
        <v>0</v>
      </c>
      <c r="FY192">
        <f>IFERROR(IF(CD192=3,VLOOKUP(BS192,Справочная_ЛЭД,2,TRUE),0),0)</f>
        <v>0</v>
      </c>
      <c r="FZ192" s="6">
        <f t="shared" si="349"/>
        <v>0</v>
      </c>
      <c r="GA192" t="str">
        <f>IF(B192="","",IF(TRIM(AH192&amp;"")&lt;&gt;"",IF(LOWER(TRIM(AH192&amp;""))="да","да","нет"),IF(IFERROR(_xlfn.XLOOKUP(BC192,Коды_код,Коды_пожарная),"")="да","да","нет")))</f>
        <v>нет</v>
      </c>
      <c r="GB192" t="str">
        <f t="shared" si="350"/>
        <v/>
      </c>
      <c r="GC192" t="str">
        <f t="shared" si="351"/>
        <v>основная</v>
      </c>
      <c r="GD192">
        <f>IF(AND(BP192=1,TRIM(AE192&amp;"")=""),IF(COUNTIFS(Линии[Щит],A192,Линии[Секция (1/2/3)],"&gt;=2")&gt;0,MIN(3,MAX(1,IFERROR(--BD192,1))),1),IFERROR(MIN(3,MAX(1,INT(--AE192))),1))</f>
        <v>1</v>
      </c>
      <c r="GE192" t="str" cm="1">
        <f t="array" ref="GE192">IF(B192="","",_xlfn.LET(_xlpm.t,IFERROR(_xlfn.XLOOKUP(1,(Шины[Шина]=GC192)*(((Шины[Щит]=A192)+(Шины[Щит]=""))&gt;0),Шины[Тип]),"")&amp;"",IF(_xlpm.t&lt;&gt;"",_xlpm.t,IF(ISNUMBER(SEARCH("ИБП",GC192)),"ИБП",IF(ISNUMBER(SEARCH("ДГУ",GC192)),"ДГУ","Ввод "&amp;GD192)))))</f>
        <v>Ввод 1</v>
      </c>
      <c r="GF192" t="str">
        <f t="shared" si="352"/>
        <v>Ввод 1</v>
      </c>
      <c r="GG192" t="str">
        <f>IF(BP192=0,"",IF(TRIM(AG192&amp;"")&lt;&gt;"",TRIM(AG192&amp;""),IF(OR(GE192="ИБП",GE192="ДГУ"),"I особая",_xlfn.XLOOKUP(A192,Щиты[Щит],Щиты[Категория шины «Ввод»],"III"))))</f>
        <v/>
      </c>
      <c r="GH192" t="str">
        <f>IF(A192="","",_xlfn.XLOOKUP(A192,Щиты[Щит],Щиты[Путь],""))</f>
        <v>|ГРЩ-ЖД|ЩР-01|</v>
      </c>
      <c r="GI192" t="str">
        <f>IF(B192="","",IF(AI192&lt;&gt;"",AI192,IF(IFERROR(_xlfn.XLOOKUP(BC192,Коды_код,Коды_вид)&amp;"","")="","Прочее",_xlfn.XLOOKUP(BC192,Коды_код,Коды_вид)&amp;"")))</f>
        <v>Розеточная сеть и бытовые приборы</v>
      </c>
      <c r="GJ192">
        <f>IF(BM192="","",INT((BM192-1)/Столбцов_на_лист)+1)</f>
        <v>1</v>
      </c>
      <c r="GK192" t="str">
        <f t="shared" si="353"/>
        <v>ВВГнг(А)-LS (3х2,5) L=69-0,43%</v>
      </c>
      <c r="GL192">
        <f t="shared" si="354"/>
        <v>0.18</v>
      </c>
      <c r="GM192">
        <f t="shared" si="355"/>
        <v>0.83</v>
      </c>
      <c r="GN192">
        <f t="shared" si="356"/>
        <v>1</v>
      </c>
      <c r="GO192">
        <f t="shared" si="357"/>
        <v>0</v>
      </c>
      <c r="GP192">
        <f t="shared" si="358"/>
        <v>1</v>
      </c>
      <c r="GQ192">
        <f>IF(BM192="","",IF(AND(CG192=1,GP192=1),COUNTIFS(A$3:A192,A192,CG$3:CG192,1,GP$3:GP192,1),IF(OR(OR(BA192=1,A192&lt;&gt;A191),AJ192="вручную",GP192=0),"",IF(BA192=1,"",GR191))))</f>
        <v>8</v>
      </c>
      <c r="GR192">
        <f t="shared" si="359"/>
        <v>8</v>
      </c>
      <c r="GS192">
        <f>IF(B192="","",IFERROR(LOOKUP(INDEX(CHOOSE(EB192,Iдоп_1ж,Iдоп_2ж,Iдоп_3ж),MATCH(EN192,Iдоп_S,0))*DZ192*EA192,{6,10,16,20,25,32,40,50,63,80,100,125,160,200,250,315,400,500,630}),""))</f>
        <v>25</v>
      </c>
      <c r="GT192" t="str">
        <f t="shared" si="360"/>
        <v>QFD8</v>
      </c>
      <c r="GU192" t="str">
        <f t="shared" si="361"/>
        <v>QFD8</v>
      </c>
      <c r="GV192" t="str">
        <f t="shared" si="362"/>
        <v/>
      </c>
      <c r="GW192">
        <f t="shared" si="363"/>
        <v>0</v>
      </c>
      <c r="GX192" t="str">
        <f>IF(OR(B192="",DJ192=""),"",IFERROR(_xlfn.XLOOKUP(DJ192,Модули_умолч[Управление],Модули_умолч[Модель])&amp;"",""))</f>
        <v/>
      </c>
      <c r="GY192">
        <f>IF(DJ192="",1,IFERROR(MAX(0,N(_xlfn.XLOOKUP(DJ192,Модули_умолч[Управление],Модули_умолч[Каналов на линию]))),1))</f>
        <v>1</v>
      </c>
      <c r="GZ192" t="str">
        <f t="shared" si="364"/>
        <v/>
      </c>
      <c r="HA192" t="str">
        <f t="shared" si="365"/>
        <v/>
      </c>
      <c r="HB192" t="str">
        <f t="shared" si="366"/>
        <v/>
      </c>
      <c r="HC192">
        <f>IF(HB192="",0,IFERROR(N(VLOOKUP(HB192,Модули_спр,3,FALSE)),0))</f>
        <v>0</v>
      </c>
      <c r="HD192" t="str">
        <f t="shared" si="367"/>
        <v/>
      </c>
      <c r="HE192" t="str">
        <f t="shared" si="368"/>
        <v/>
      </c>
      <c r="HF192" t="str">
        <f>IF(OR(HE192="",HE192="-"),"",IFERROR(VLOOKUP(HE192,Модули_спр,2,FALSE),"R"))</f>
        <v/>
      </c>
      <c r="HG192" t="str">
        <f>IF(HF192="","",HF192&amp;"."&amp;COUNTIFS(A$3:A192,A192,HF$3:HF192,HF192))</f>
        <v/>
      </c>
      <c r="HH192" t="str">
        <f t="shared" si="369"/>
        <v/>
      </c>
      <c r="HI192" t="str">
        <f t="shared" si="370"/>
        <v/>
      </c>
      <c r="HJ192" t="str">
        <f t="shared" si="371"/>
        <v/>
      </c>
      <c r="HK192" t="str">
        <f t="shared" si="372"/>
        <v/>
      </c>
      <c r="HL192">
        <f t="shared" si="373"/>
        <v>1</v>
      </c>
      <c r="HM192" t="str">
        <f>IF(HL192=1,"XT"&amp;COUNTIFS(A$3:A192,A192,HL$3:HL192,1),"")</f>
        <v>XT8</v>
      </c>
      <c r="HN192" t="str">
        <f t="shared" si="374"/>
        <v>XT8</v>
      </c>
      <c r="HO192" t="str">
        <f t="shared" si="375"/>
        <v>QFD8</v>
      </c>
      <c r="HP192" t="str">
        <f t="shared" si="376"/>
        <v/>
      </c>
      <c r="HQ192" t="str">
        <f t="shared" si="377"/>
        <v>ok</v>
      </c>
      <c r="HR192" t="str">
        <f>IF(OR(HJ192="",HH192=""),"",IF(HJ192+MAX(0,GY192-1)&gt;IFERROR(VLOOKUP(HI192,Модули_спр,3,FALSE),99),"ЛИШНИЙ КАНАЛ",IF(AND(AL192&lt;&gt;"=",GY192&gt;0,COUNTIFS(Линии[_модуль гр.],HH192,Линии[Канал (итог)],HJ192,Линии[Канал],"&lt;&gt;=",Линии[Щит],A192)&gt;1),"ДУБЛЬ КАНАЛА","")))</f>
        <v/>
      </c>
      <c r="HS192" s="6" t="str">
        <f t="shared" si="378"/>
        <v/>
      </c>
      <c r="HT192">
        <f t="shared" si="379"/>
        <v>10</v>
      </c>
      <c r="HU192" t="str">
        <f t="shared" si="380"/>
        <v/>
      </c>
      <c r="HV192">
        <f t="shared" si="381"/>
        <v>1.0181780477498927</v>
      </c>
      <c r="HW192">
        <f t="shared" si="382"/>
        <v>0</v>
      </c>
      <c r="HX192">
        <f t="shared" si="383"/>
        <v>0</v>
      </c>
      <c r="HY192">
        <f t="shared" si="384"/>
        <v>0</v>
      </c>
      <c r="HZ192">
        <f t="shared" si="385"/>
        <v>0</v>
      </c>
      <c r="IA192">
        <f t="shared" si="386"/>
        <v>0</v>
      </c>
      <c r="IB192">
        <f t="shared" si="387"/>
        <v>0</v>
      </c>
      <c r="IC192" t="str">
        <f t="shared" si="388"/>
        <v/>
      </c>
      <c r="ID192" t="str" cm="1">
        <f t="array" ref="ID192">IF(IC192="","",_xlfn.LET(_xlpm.tk,_xlfn.TEXTSPLIT(SUBSTITUTE(SUBSTITUTE(IC192,";"," "),"→"," ")," ",,TRUE),_xlpm.w_,_xlfn._xlws.FILTER(_xlpm.tk,ISNUMBER(--LEFT(_xlpm.tk,1))*((ISNUMBER(SEARCH("W",_xlpm.tk))+ISNUMBER(SEARCH("Вт",_xlpm.tk)))&gt;0),""),IFERROR(--SUBSTITUTE(SUBSTITUTE(UPPER(INDEX(_xlpm.w_,1)),"W",""),"ВТ",""),"")))</f>
        <v/>
      </c>
      <c r="IE192" t="str" cm="1">
        <f t="array" ref="IE192">IF(IC192="","",_xlfn.LET(_xlpm.tk,_xlfn.TEXTSPLIT(SUBSTITUTE(SUBSTITUTE(IC192,";"," "),"→"," ")," ",,TRUE),_xlpm.v_,_xlfn._xlws.FILTER(_xlpm.tk,ISNUMBER(--LEFT(_xlpm.tk,1))*((ISNUMBER(SEARCH("V",_xlpm.tk))+(RIGHT(UPPER(_xlpm.tk))="В"))&gt;0),""),IFERROR(--SUBSTITUTE(SUBSTITUTE(UPPER(INDEX(_xlpm.v_,1)),"V",""),"В",""),"")))</f>
        <v/>
      </c>
      <c r="IF192" s="6" t="str">
        <f>IF(OR(BV192=0,HI192="",HJ192=""),"",IFERROR(N(_xlfn.XLOOKUP(HI192,Каталог!$C$4:$C$500,Каталог!$Q$4:$Q$500)),""))</f>
        <v/>
      </c>
      <c r="IG192" s="6" t="str">
        <f>IF(N(IF192)=0,"",SUMIFS(Линии[Iр, А],Линии[Щит],A192,Линии[_модуль гр.],HH192,Линии[Канал (итог)],HJ192))</f>
        <v/>
      </c>
      <c r="IH192" t="str">
        <f>IF(AND(B192="",HO192=""),"",_xlfn.TEXTJOIN("; ",TRUE,IF(AND(B192&lt;&gt;"",FV192=""),"нет фазы",""),IF(AND(B192&lt;&gt;"",N(GL192)=0,FG192&lt;&gt;"Нет"),"нет мощности",""),IF(AND(HN192&lt;&gt;"",COUNTIFS(Линии[Щит],A192,Линии[Клемма (итог)],HN192)&gt;1),"дубль клеммы "&amp;HN192,""),IF(AND(HQ192&lt;&gt;"",HQ192&lt;&gt;"ok"),HQ192,""),IF(HR192&lt;&gt;"",HR192,""),IF(AND(N(CB192)&gt;=4,N(BX192)=1),CB192&amp;" жил на 1 фазе",""),IF(AND(BC192="R",CG192=1,IF(CS192&lt;&gt;"",N(CV192)&gt;30,OR(N(DA192)=0,N(DA192)&gt;30))),"розетка без дифзащиты до 30 мА",""),IF(AND(CG192=1,N(DA192)&gt;0,ISNUMBER(T192)),IF(T192&gt;N(DA192)/3,"ток утечки "&amp;FIXED(T192,1)&amp;" мА &gt; 1/3 уставки ("&amp;DA192&amp;" мА)",""),""),IF(AND(CH192=1,CS192=""),"«узо»: нет строки с УЗО выше (УЗО 2P 40А 30мА в «Аппаратах»)",""),IF(AND(CS192&lt;&gt;"",CS192=BA192),IF(CT192="","впишите номинал УЗО (УЗО 2P 40А 30мА)",IF(N(CT192)&lt;N(DT192),"УЗО "&amp;CT192&amp;" А &lt; автомата "&amp;DT192&amp;" А перед ним",IF(N(CT192)&lt;N(CX192),"УЗО "&amp;CT192&amp;" А &lt; тока блока "&amp;FIXED(CX192,1)&amp;" А",""))),""),IF(AND(CS192&lt;&gt;"",CS192=BA192,ISNUMBER(CY192)),IF(CY192&gt;N(CV192)/3,"ток утечки блока УЗО "&amp;FIXED(CY192,1)&amp;" мА &gt; 1/3 уставки ("&amp;CV192&amp;" мА)",""),""),IF(AND(CG192=1,N(BV192)+N(IB192)&gt;0,IC192=""),"линии до 50 В без БП: впишите в «Аппараты» (БП 24V 480W)",""),IF(AND(CG192=1,ISNUMBER(ID192),ISNUMBER(U192)),IF(U192&gt;ID192,"БП "&amp;ID192&amp;" Вт &lt; нужно "&amp;U192&amp;" Вт (×"&amp;Запас_БП&amp;")",""),""),IF(AND(CG192=1,ISNUMBER(IE192),N(BV192)=1),IF(IE192&lt;&gt;N(BU192),"БП на "&amp;IE192&amp;" В, линия "&amp;BU192&amp;" В",""),""),IF(AND(N(IF192)&gt;0,N(IG192)&gt;N(IF192)),HH192&amp;" канал "&amp;HJ192&amp;": "&amp;FIXED(IG192,1)&amp;" А &gt; "&amp;IF192&amp;" А",""),IFERROR(IF(AND(ISNUMBER(Q192),Q192&gt;EL192),"потери "&amp;FIXED(Q192,1)&amp;" % &gt; "&amp;EL192&amp;" %",""),""),IFERROR(IF(LEFT(HU192,4)="мало","Iкз мало — отключение &gt; 0,4 с",""),""),IF(AND(B192&lt;&gt;"",BM192=""),"не на схеме",""),IF(AND(CG192=0,B192&lt;&gt;"",FV192&lt;&gt;"",IF(BA192=1,"",FW191)&lt;&gt;"",FV192&lt;&gt;IF(BA192=1,"",FW191)),"фаза не как у автомата группы ("&amp;IF(BA192=1,"",FW191)&amp;")","")))</f>
        <v/>
      </c>
      <c r="II192" s="6">
        <f>IF(OR(CG192=0,DQ192=""),"",_xlfn.LET(_xlpm.t,IFERROR(_xlfn.XLOOKUP(DQ192,Каталог!$U$4:$U$500,Каталог!$G$4:$G$500),""),_xlpm.k,SEARCH("кА",_xlpm.t),IFERROR(--TRIM(RIGHT(SUBSTITUTE(MID(_xlpm.t,MAX(1,_xlpm.k-4),_xlpm.k-MAX(1,_xlpm.k-4))," ",REPT(" ",9)),5)),"")))</f>
        <v>6</v>
      </c>
      <c r="IJ192" t="str">
        <f>IF(OR(II192="",CG192=0),"",IF(_xlfn.XLOOKUP(A192,Щиты[Щит],Щиты[Iкз max на шинах, кА],"")="","",IF(II192&lt;_xlfn.XLOOKUP(A192,Щиты[Щит],Щиты[Iкз max на шинах, кА]),"Icu "&amp;II192&amp;" кА &lt; Iкз max","ok")))</f>
        <v/>
      </c>
      <c r="IK192" t="str">
        <f t="shared" si="389"/>
        <v/>
      </c>
      <c r="IL192" t="str">
        <f t="shared" si="390"/>
        <v>QFD8|XT8</v>
      </c>
      <c r="IM192" t="str">
        <f t="shared" si="391"/>
        <v>QFD8|XT8|кабель ВВГнг(А)-LS (3х2,5) → Розеточная группа, пом. 003A</v>
      </c>
      <c r="IN192" t="str" cm="1">
        <f t="array" ref="IN192">IF(IM192="","",_xlfn.LET(_xlpm.nd,_xlfn.TEXTSPLIT(IM192,"|"),IF(COLUMNS(_xlpm.nd)&gt;1,A192&amp;"¦"&amp;INDEX(_xlpm.nd,1)&amp;"¦"&amp;INDEX(_xlpm.nd,2),"")))</f>
        <v>ЩР-01¦QFD8¦XT8</v>
      </c>
      <c r="IO192" t="str">
        <f t="shared" si="392"/>
        <v>R.0.003A.3¦Розеточная группа, пом. 003A</v>
      </c>
      <c r="IP192" t="str" cm="1">
        <f t="array" ref="IP192">IF(IM192="","",_xlfn.LET(_xlpm.nd,_xlfn.TEXTSPLIT(IM192,"|"),IF(COLUMNS(_xlpm.nd)&gt;2,A192&amp;"¦"&amp;INDEX(_xlpm.nd,2)&amp;"¦"&amp;INDEX(_xlpm.nd,3),"")))</f>
        <v>ЩР-01¦XT8¦кабель ВВГнг(А)-LS (3х2,5) → Розеточная группа, пом. 003A</v>
      </c>
      <c r="IQ192" t="str">
        <f t="shared" si="393"/>
        <v>R.0.003A.3¦Розеточная группа, пом. 003A</v>
      </c>
      <c r="IR192" t="str" cm="1">
        <f t="array" ref="IR192">IF(IM192="","",_xlfn.LET(_xlpm.nd,_xlfn.TEXTSPLIT(IM192,"|"),IF(COLUMNS(_xlpm.nd)&gt;3,A192&amp;"¦"&amp;INDEX(_xlpm.nd,3)&amp;"¦"&amp;INDEX(_xlpm.nd,4),"")))</f>
        <v/>
      </c>
      <c r="IS192" t="str">
        <f t="shared" si="394"/>
        <v/>
      </c>
      <c r="IT192" t="str" cm="1">
        <f t="array" ref="IT192">IF(IM192="","",_xlfn.LET(_xlpm.nd,_xlfn.TEXTSPLIT(IM192,"|"),IF(COLUMNS(_xlpm.nd)&gt;4,A192&amp;"¦"&amp;INDEX(_xlpm.nd,4)&amp;"¦"&amp;INDEX(_xlpm.nd,5),"")))</f>
        <v/>
      </c>
      <c r="IU192" t="str">
        <f t="shared" si="395"/>
        <v/>
      </c>
      <c r="IV192" t="str" cm="1">
        <f t="array" ref="IV192">IF(IM192="","",_xlfn.LET(_xlpm.nd,_xlfn.TEXTSPLIT(IM192,"|"),IF(COLUMNS(_xlpm.nd)&gt;5,A192&amp;"¦"&amp;INDEX(_xlpm.nd,5)&amp;"¦"&amp;INDEX(_xlpm.nd,6),"")))</f>
        <v/>
      </c>
      <c r="IW192" t="str">
        <f t="shared" si="396"/>
        <v/>
      </c>
      <c r="IX192" t="str" cm="1">
        <f t="array" ref="IX192">IF(IM192="","",_xlfn.LET(_xlpm.nd,_xlfn.TEXTSPLIT(IM192,"|"),IF(COLUMNS(_xlpm.nd)&gt;6,A192&amp;"¦"&amp;INDEX(_xlpm.nd,6)&amp;"¦"&amp;INDEX(_xlpm.nd,7),"")))</f>
        <v/>
      </c>
      <c r="IY192" t="str">
        <f t="shared" si="397"/>
        <v/>
      </c>
      <c r="IZ192" t="str">
        <f t="shared" si="398"/>
        <v/>
      </c>
      <c r="JA192" t="str">
        <f t="shared" si="399"/>
        <v>QFD8 → XT8</v>
      </c>
      <c r="JB192">
        <f t="shared" si="400"/>
        <v>0</v>
      </c>
      <c r="JC192">
        <f t="shared" si="401"/>
        <v>1</v>
      </c>
      <c r="JD192" t="str">
        <f t="shared" si="402"/>
        <v/>
      </c>
      <c r="JE192" t="str">
        <f t="shared" si="403"/>
        <v/>
      </c>
      <c r="JF192" t="str">
        <f t="shared" si="404"/>
        <v/>
      </c>
      <c r="JG192" t="str">
        <f t="shared" si="405"/>
        <v/>
      </c>
      <c r="JH192" t="str">
        <f>IF(B192="","",IFERROR(_xlfn.XLOOKUP(B192,Коды_код,Коды_уго),IFERROR(_xlfn.XLOOKUP(BC192,Коды_код,Коды_уго),IFERROR(_xlfn.XLOOKUP(LEFT(BC192,2),Коды_код,Коды_уго),""))))</f>
        <v>Розетка</v>
      </c>
      <c r="JI192" t="str">
        <f>IF(B192="","",IF(OR(JH192="",JH192=0),"BOX",IFERROR(IF(VLOOKUP(JH192,УГО_блоки,3,FALSE)&amp;""&lt;&gt;"",VLOOKUP(JH192,УГО_блоки,3,FALSE),VLOOKUP(JH192,УГО_блоки,2,FALSE)),JH192)))</f>
        <v>SOCKET</v>
      </c>
      <c r="JJ192">
        <f t="shared" si="406"/>
        <v>1</v>
      </c>
      <c r="JK192" t="str">
        <f>IF(DQ192="","",IF(COUNTIF(DQ$3:DQ192,DQ192)=1,MAX(JK$2:JK191)+1,""))</f>
        <v/>
      </c>
      <c r="JL192" t="str">
        <f>IF(DE192="","",IF(COUNTIF(DE$3:DE192,DE192)+COUNTIF(DF$2:DF191,DE192)+COUNTIF(DG$2:DG191,DE192)=1,MAX(JL$2:JN191)+1,""))</f>
        <v/>
      </c>
      <c r="JM192" t="str">
        <f>IF(DF192="","",IF(COUNTIF(DE$3:DE192,DF192)+COUNTIF(DF$3:DF192,DF192)+COUNTIF(DG$2:DG191,DF192)=1,MAX(JL$2:JN191,JL192)+1,""))</f>
        <v/>
      </c>
      <c r="JN192" t="str">
        <f>IF(DG192="","",IF(COUNTIF(DE$3:DE192,DG192)+COUNTIF(DF$3:DF192,DG192)+COUNTIF(DG$3:DG192,DG192)=1,MAX(JL$2:JN191,JL192,JM192)+1,""))</f>
        <v/>
      </c>
      <c r="JO192" t="str">
        <f t="shared" si="407"/>
        <v>3х2,5</v>
      </c>
      <c r="JP192" t="str">
        <f>IF(JO192="","",IF(COUNTIF(JO$3:JO192,JO192)=1,MAX(JP$2:JP191)+1,""))</f>
        <v/>
      </c>
      <c r="JQ192" t="str">
        <f>IF(HG192="","",COUNTIF(HG$3:HG192,"?*"))</f>
        <v/>
      </c>
      <c r="JR192" t="str">
        <f>IF(OR(HG192="",HI192=""),"",IF(COUNTIFS(HG$3:HG192,"?*",HI$3:HI192,HI192)=1,MAX(JR$2:JR191)+1,""))</f>
        <v/>
      </c>
      <c r="JS192">
        <f t="shared" si="408"/>
        <v>0</v>
      </c>
      <c r="JT192">
        <f>IF(B192="","",COUNTIF(B$3:B192,"?*"))</f>
        <v>190</v>
      </c>
      <c r="JU192">
        <f>IF(HL192&lt;&gt;1,0,_xlfn.LET(_xlpm.k,MAX(IFERROR(--_xlfn.XLOOKUP(B192,Коды_код,Коды_3L),0),IFERROR(--_xlfn.XLOOKUP(BC192,Коды_код,Коды_3L),0),IFERROR(--_xlfn.XLOOKUP(LEFT(BC192,2),Коды_код,Коды_3L),0)),IF(_xlpm.k&gt;0,_xlpm.k,IF(IFERROR(--LEFT(SUBSTITUTE(JO192,"x","х"),FIND("х",SUBSTITUTE(JO192,"x","х"))-1),3)&gt;3,Каталог!$S$9,1))))</f>
        <v>1</v>
      </c>
      <c r="JV192">
        <f t="shared" si="409"/>
        <v>0</v>
      </c>
      <c r="JW192" t="str">
        <f t="shared" si="410"/>
        <v>авто</v>
      </c>
      <c r="JX192">
        <f t="shared" si="411"/>
        <v>30</v>
      </c>
      <c r="JY192">
        <f t="shared" si="412"/>
        <v>1</v>
      </c>
      <c r="JZ192">
        <f t="shared" si="413"/>
        <v>1</v>
      </c>
    </row>
    <row r="193" spans="1:286" x14ac:dyDescent="0.3">
      <c r="A193" t="s">
        <v>755</v>
      </c>
      <c r="B193" t="s">
        <v>1500</v>
      </c>
      <c r="C193" t="str">
        <f>Линии[[#This Row],[_авто наименование]]</f>
        <v>Розеточная группа, пом. 003Б</v>
      </c>
      <c r="D193">
        <v>1</v>
      </c>
      <c r="E193">
        <v>0.06</v>
      </c>
      <c r="G193" t="str">
        <f>Линии[[#This Row],[_авто автомат]]</f>
        <v>2P С16А 30мА</v>
      </c>
      <c r="H193" t="str">
        <f>Линии[[#This Row],[_авто управление]]</f>
        <v/>
      </c>
      <c r="I193" t="str">
        <f>Линии[[#This Row],[_авто аппараты]]</f>
        <v/>
      </c>
      <c r="J193">
        <v>2.5</v>
      </c>
      <c r="K193">
        <v>44</v>
      </c>
      <c r="L193">
        <v>2</v>
      </c>
      <c r="M193" t="s">
        <v>484</v>
      </c>
      <c r="N193" t="str">
        <f t="shared" si="276"/>
        <v/>
      </c>
      <c r="O193" s="6" cm="1">
        <f t="array" ref="O193">IF(B193="","",IF(BH193&lt;&gt;"",IFERROR(_xlfn.XLOOKUP(BH193,Щиты[Щит],Щиты[Iр, А]),""),IF(BP193=1,IF(OR(N(_xlfn.XLOOKUP(A193,Щиты[Щит],Щиты[Вводов],1))&lt;=1,LOWER(TRIM(_xlfn.XLOOKUP(A193,Щиты[Щит],Щиты[АВР],"")&amp;""))="да"),IFERROR(_xlfn.XLOOKUP(A193,Щиты[Щит],Щиты[Iр, А]),""),IFERROR(N(BS193)*_xlfn.XLOOKUP(A193,Щиты[Щит],Щиты[Кс итог])/(SQRT(3)*Uн_лин*_xlfn.XLOOKUP(A193,Щиты[Щит],Щиты[cos φ])),"")),IF(BV193=1,IFERROR(BS193*1000/BU193,""),IFERROR(_xlfn.IFS(BX193=1,BS193/((Uн_лин/SQRT(3))*CE193),BX193=3,BS193/(SQRT(3)*Uн_лин*CE193)),"")))))</f>
        <v>0.27348170645824377</v>
      </c>
      <c r="P193" s="7">
        <f>IF(B193="","",IFERROR(IF(VLOOKUP(BC193,Потребители_обозначение,4,FALSE)=1,VLOOKUP(BC193,Потребители_обозначение,3,FALSE)*(MAX(1,N(D193))*2-1)+EI193+VLOOKUP(BE193,Этаж_обозначение,3,FALSE)+VLOOKUP(BE193,Этаж_обозначение,4,FALSE),VLOOKUP(BC193,Потребители_обозначение,3,FALSE)*(MAX(1,N(D193))*2-1)+EI193),EI193))</f>
        <v>47</v>
      </c>
      <c r="Q193" s="6">
        <f t="shared" si="277"/>
        <v>0.53</v>
      </c>
      <c r="R193" t="str">
        <f t="shared" si="278"/>
        <v>ВВГнг(А)-LS (3х2,5)</v>
      </c>
      <c r="S193" t="str">
        <f>IF(BM193="","",IF(BN193="вводной узел","узел ","")&amp;"л."&amp;(INT((BM193-1)/Столбцов_на_лист)+1)&amp;" / "&amp;(MOD(BM193-1,Столбцов_на_лист)+1))</f>
        <v>л.2 / 2</v>
      </c>
      <c r="T193" s="119">
        <f t="shared" si="279"/>
        <v>0.6</v>
      </c>
      <c r="U193" s="7" t="str">
        <f>IF(OR(CG193=0,N(BV193)+N(IB193)=0),"",ROUNDUP(Запас_БП*(N(HY193)+N(HZ193)),0))</f>
        <v/>
      </c>
      <c r="V193" s="119" t="str">
        <f t="shared" si="280"/>
        <v/>
      </c>
      <c r="W193" s="7" t="str">
        <f>IFERROR(IF(OR(B193="",BP193=1,BV193=1,NOT(ISNUMBER(EN193)),N(DT193)=0),"",MAX(0,ROUNDDOWN((c_min*(Uн_лин*1000/SQRT(3))/(HT193*N(DT193))-_xlfn.XLOOKUP(A193,Щиты[Щит],Щиты[Zпетли на шинах, Ом]))*EN193/(2*ρкз_Cu),0))),"")</f>
        <v/>
      </c>
      <c r="Y193">
        <f>Линии[[#This Row],[_авто утечка]]</f>
        <v>30</v>
      </c>
      <c r="Z193">
        <v>1</v>
      </c>
      <c r="AA193">
        <v>230</v>
      </c>
      <c r="AB193" t="s">
        <v>562</v>
      </c>
      <c r="AG193" t="s">
        <v>810</v>
      </c>
      <c r="AI193" t="s">
        <v>561</v>
      </c>
      <c r="AK193" t="str">
        <f>Линии[[#This Row],[_авто модуль]]</f>
        <v/>
      </c>
      <c r="AM193">
        <v>19</v>
      </c>
      <c r="AN193" t="s">
        <v>11</v>
      </c>
      <c r="AO193">
        <v>3</v>
      </c>
      <c r="AQ193">
        <v>8</v>
      </c>
      <c r="AR193">
        <v>39</v>
      </c>
      <c r="AS193">
        <v>0</v>
      </c>
      <c r="BA193" cm="1">
        <f t="array" ref="BA193">ROW()-ROW(Линии[#Headers])</f>
        <v>191</v>
      </c>
      <c r="BC193" s="6" t="str">
        <f t="shared" si="281"/>
        <v>R</v>
      </c>
      <c r="BD193" t="str">
        <f t="shared" si="282"/>
        <v>0.003Б.1</v>
      </c>
      <c r="BE193" t="str">
        <f t="shared" si="283"/>
        <v>0</v>
      </c>
      <c r="BF193" t="str">
        <f t="shared" si="284"/>
        <v>003Б.1</v>
      </c>
      <c r="BG193" t="str">
        <f t="shared" si="285"/>
        <v>003Б</v>
      </c>
      <c r="BH193" t="str">
        <f>IF(X193&lt;&gt;"",X193,IF(AND(B193&lt;&gt;"",B193&lt;&gt;A193,ISNUMBER(_xlfn.XMATCH(B193,Щиты[Щит]))),B193,""))</f>
        <v/>
      </c>
      <c r="BI193" t="str" cm="1">
        <f t="array" ref="BI193">IF(B193="","",IF(BH193&lt;&gt;"","Щит "&amp;BH193,_xlfn.LET(_xlpm.nm,IFERROR(_xlfn.XLOOKUP(BC193,Коды_код,Коды_имя)&amp;"",""),_xlpm.md,IFERROR(N(_xlfn.XLOOKUP(BC193,Коды_код,Коды_режим)),1),_xlpm.ex,IF(Имя_режим="по экспликации",IFERROR(_xlfn.XLOOKUP(BE193&amp;"|"&amp;BG193,Экспликация[Этаж]&amp;"|"&amp;Экспликация[Помещение],Экспликация[Название])&amp;"",""),""),_xlpm.rm,IF(BG193="","",IF(_xlpm.ex&lt;&gt;"",". "&amp;_xlpm.ex&amp;IF(Имя_пом="нет"," ("&amp;BG193&amp;")"," (пом. "&amp;BG193&amp;")"),IF(Имя_пом="нет"," ",", пом. ")&amp;BG193)),IF(_xlpm.nm="","",IF(_xlpm.md=2,_xlpm.nm&amp;" шлейф "&amp;BE193,_xlpm.nm&amp;_xlpm.rm)))))</f>
        <v>Розеточная группа, пом. 003Б</v>
      </c>
      <c r="BJ193" t="str">
        <f t="shared" si="286"/>
        <v>Розеточная группа, пом. 003Б</v>
      </c>
      <c r="BK193">
        <f>IFERROR(_xlfn.XMATCH(A193,Щиты[Щит]),0)</f>
        <v>9</v>
      </c>
      <c r="BL193">
        <f>_xlfn.LET(_xlpm.k,IFERROR(_xlfn.XLOOKUP(A193,Щиты[Щит],Щиты[Мест под вводной узел]),""),IF(_xlpm.k="",Столбцов_на_лист,N(_xlpm.k)))</f>
        <v>8</v>
      </c>
      <c r="BM193">
        <f t="shared" si="287"/>
        <v>19</v>
      </c>
      <c r="BN193" t="str">
        <f t="shared" si="288"/>
        <v>линии</v>
      </c>
      <c r="BO193" s="6">
        <f>IFERROR(N(_xlfn.XLOOKUP(BC193,Коды_код,Коды_квт)),0)</f>
        <v>0</v>
      </c>
      <c r="BP193">
        <f t="shared" si="289"/>
        <v>0</v>
      </c>
      <c r="BQ193" t="str">
        <f>IF(B193="","",IF(BH193&lt;&gt;"",IFERROR(_xlfn.XLOOKUP(BH193,Щиты[Щит],Щиты[Руст, кВт]),0),IF(BP193=1,IF(OR(N(_xlfn.XLOOKUP(A193,Щиты[Щит],Щиты[Вводов],1))&lt;=1,LOWER(TRIM(_xlfn.XLOOKUP(A193,Щиты[Щит],Щиты[АВР],"")&amp;""))="да"),IFERROR(_xlfn.XLOOKUP(A193,Щиты[Щит],Щиты[Руст, кВт]),0),SUMIFS(Линии[_Р для вводов],Линии[Щит],A193,Линии[Источник для режимов],GF193)),IF(BO193&gt;0,ROUND(BO193*MAX(1,N(D193)),3),""))))</f>
        <v/>
      </c>
      <c r="BR193">
        <f t="shared" si="290"/>
        <v>0.06</v>
      </c>
      <c r="BS193" s="6">
        <f>IF(B193="","",IF(BH193&lt;&gt;"",IFERROR(_xlfn.XLOOKUP(BH193,Щиты[Щит],Щиты[Руст, кВт]),0),N(BR193)))</f>
        <v>0.06</v>
      </c>
      <c r="BT193" t="str">
        <f>IF(B193="","",IFERROR(IF(VLOOKUP(BC193,Потребители_обозначение,8,FALSE)=0,"",VLOOKUP(BC193,Потребители_обозначение,8,FALSE)),""))</f>
        <v/>
      </c>
      <c r="BU193">
        <f t="shared" si="291"/>
        <v>230</v>
      </c>
      <c r="BV193">
        <f t="shared" si="292"/>
        <v>0</v>
      </c>
      <c r="BW193">
        <f>IF(B193="","",IF(BH193&lt;&gt;"",3,IFERROR(IF(N(VLOOKUP(BC193,Потребители_обозначение,9,FALSE))=0,1,VLOOKUP(BC193,Потребители_обозначение,9,FALSE)),1)))</f>
        <v>1</v>
      </c>
      <c r="BX193">
        <f t="shared" si="293"/>
        <v>1</v>
      </c>
      <c r="BY193" t="str">
        <f>IF(B193="","",_xlfn.LET(_xlpm.bc,IFERROR(IF(VLOOKUP(BC193,Потребители_обозначение,6,FALSE)=0,"",VLOOKUP(BC193,Потребители_обозначение,6,FALSE)&amp;""),""),IF(AND(GA193="да",OR(_xlpm.bc="",_xlpm.bc="мс")),Марка_пож,IF(AND(_xlpm.bc="",BH193&lt;&gt;""),"мс",_xlpm.bc))))</f>
        <v/>
      </c>
      <c r="BZ193" t="str">
        <f t="shared" si="294"/>
        <v>мс</v>
      </c>
      <c r="CA193">
        <f>IF(B193="","",_xlfn.LET(_xlpm.cc,IFERROR(N(VLOOKUP(BC193,Потребители_обозначение,7,FALSE)),0),IF(_xlpm.cc&gt;0,_xlpm.cc,IF(BZ193="","",IF(BV193=1,2,IF(N(BX193)=3,5,3))))))</f>
        <v>3</v>
      </c>
      <c r="CB193">
        <f t="shared" si="295"/>
        <v>3</v>
      </c>
      <c r="CC193">
        <f>IFERROR(N(VLOOKUP(BC193,Потребители_обозначение,10,FALSE)),0)</f>
        <v>0</v>
      </c>
      <c r="CD193">
        <f>IFERROR(VLOOKUP(BC193,Потребители_обозначение,5,FALSE),0)</f>
        <v>1</v>
      </c>
      <c r="CE193" s="6" cm="1">
        <f t="array" ref="CE193">IF(B193="","",IF(BH193&lt;&gt;"",IFERROR(_xlfn.XLOOKUP(BH193,Щиты[Щит],Щиты[cos φ]),0.95),IF(BP193=1,IFERROR(_xlfn.XLOOKUP(A193,Щиты[Щит],Щиты[cos φ]),0.95),IF(ISNUMBER(AD193),AD193,IFERROR(IF(CD193=2,_xlfn.IFS(BX193=3,VLOOKUP(BS193,Справочная_двигатели,8,FALSE),BX193=1,VLOOKUP(BS193,Справочная_двигатели,10,TRUE)),IF(AND(Методика="нормы 2026",FG193="Сил"),0.8,0.95)),0.95)))))</f>
        <v>0.95</v>
      </c>
      <c r="CF193">
        <f t="shared" si="296"/>
        <v>0</v>
      </c>
      <c r="CG193">
        <f t="shared" si="297"/>
        <v>1</v>
      </c>
      <c r="CH193">
        <f t="shared" si="298"/>
        <v>0</v>
      </c>
      <c r="CI193">
        <f>IF(B193="","",IF(BV193=1,IFERROR(BS193/((Uн_лин/SQRT(3))*MAX(0.5,N(CE193))),0),N(O193)))</f>
        <v>0.27348170645824377</v>
      </c>
      <c r="CJ193">
        <f t="shared" si="299"/>
        <v>0</v>
      </c>
      <c r="CK193">
        <f t="shared" si="300"/>
        <v>0</v>
      </c>
      <c r="CL193">
        <f t="shared" si="301"/>
        <v>0</v>
      </c>
      <c r="CM193">
        <f t="shared" si="302"/>
        <v>0</v>
      </c>
      <c r="CN193">
        <f t="shared" si="303"/>
        <v>0</v>
      </c>
      <c r="CO193">
        <f>IF(BC193="",0,_xlfn.LET(_xlpm.v,IFERROR(_xlfn.XLOOKUP(B193,Коды_код,Коды_мА),IFERROR(_xlfn.XLOOKUP(BC193,Коды_код,Коды_мА),IFERROR(_xlfn.XLOOKUP(LEFT(BC193,2),Коды_код,Коды_мА),""))),IF(_xlpm.v="да",30,IF(ISNUMBER(_xlpm.v),_xlpm.v,0))))</f>
        <v>30</v>
      </c>
      <c r="CP193">
        <f t="shared" si="304"/>
        <v>30</v>
      </c>
      <c r="CQ193" t="str">
        <f>_xlfn.LET(_xlpm.k,IFERROR(_xlfn.XLOOKUP(BC193,Коды_код,Коды_утечка)&amp;"",""),IF(_xlpm.k="","дифавтомат",_xlpm.k))</f>
        <v>дифавтомат</v>
      </c>
      <c r="CR193" t="str" cm="1">
        <f t="array" ref="CR193">IF(CG193=0,"",_xlfn.LET(_xlpm.sg,TRIM(_xlfn.TEXTSPLIT(DD193&amp;"",";")),_xlpm.f_,_xlfn._xlws.FILTER(_xlpm.sg,LEFT(_xlpm.sg,3)="УЗО",""),IFERROR(INDEX(_xlpm.f_,1)&amp;"","")))</f>
        <v/>
      </c>
      <c r="CS193" t="str">
        <f t="shared" si="305"/>
        <v/>
      </c>
      <c r="CT193" s="6" t="str" cm="1">
        <f t="array" ref="CT193">IF(CR193="","",_xlfn.LET(_xlpm.tk,_xlfn.TEXTSPLIT(UPPER(CR193)," ",,TRUE),_xlpm.a_,_xlfn._xlws.FILTER(_xlpm.tk,ISNUMBER(--LEFT(_xlpm.tk,1))*((ISNUMBER(SEARCH("А",_xlpm.tk))+ISNUMBER(SEARCH("A",_xlpm.tk)))&gt;0)*NOT(ISNUMBER(SEARCH("МА",_xlpm.tk)))*NOT(ISNUMBER(SEARCH("MA",_xlpm.tk))),""),IFERROR(--SUBSTITUTE(SUBSTITUTE(INDEX(_xlpm.a_,1),"А",""),"A",""),"")))</f>
        <v/>
      </c>
      <c r="CU193" t="str" cm="1">
        <f t="array" ref="CU193">IF(CR193="","",_xlfn.LET(_xlpm.tk,_xlfn.TEXTSPLIT(UPPER(CR193)," ",,TRUE),_xlpm.a_,_xlfn._xlws.FILTER(_xlpm.tk,ISNUMBER(--LEFT(_xlpm.tk,1))*((ISNUMBER(SEARCH("МА",_xlpm.tk))+ISNUMBER(SEARCH("MA",_xlpm.tk)))&gt;0),""),IFERROR(--SUBSTITUTE(SUBSTITUTE(INDEX(_xlpm.a_,1),"МА",""),"MA",""),30)))</f>
        <v/>
      </c>
      <c r="CV193" t="str">
        <f>IF(CS193="","",IFERROR(_xlfn.XLOOKUP(CS193,Линии[_n],Линии[_УЗО, мА]),30))</f>
        <v/>
      </c>
      <c r="CW193">
        <f>IF(CS193="",0,IF(ISNUMBER(SEARCH("4P",IFERROR(_xlfn.XLOOKUP(CS193,Линии[_n],Линии[_УЗО строки])&amp;"",""))),0,1))</f>
        <v>0</v>
      </c>
      <c r="CX193" t="str">
        <f>IF(AND(CS193&lt;&gt;"",CS193=BA193),SUMIFS(Линии[_ток на 230 В],Линии[_блок УЗО],BA193,Линии[Щит],A193),"")</f>
        <v/>
      </c>
      <c r="CY193" t="str">
        <f>IF(AND(CS193&lt;&gt;"",CS193=BA193),SUMIFS(Линии[_ток утечки линии, мА],Линии[_блок УЗО],BA193,Линии[Щит],A193),"")</f>
        <v/>
      </c>
      <c r="CZ193">
        <f t="shared" si="306"/>
        <v>30</v>
      </c>
      <c r="DA193">
        <f t="shared" si="307"/>
        <v>30</v>
      </c>
      <c r="DB193">
        <f>IF(B193="",0,IFERROR(--_xlfn.XLOOKUP(B193,Коды_код,Коды_минавт),IFERROR(--_xlfn.XLOOKUP(BC193,Коды_код,Коды_минавт),IFERROR(--_xlfn.XLOOKUP(LEFT(BC193,2),Коды_код,Коды_минавт),0))))</f>
        <v>16</v>
      </c>
      <c r="DC193" t="str">
        <f>IF(B193="","",IFERROR(_xlfn.XLOOKUP(BC193,Коды_код,Коды_апп)&amp;"",""))</f>
        <v/>
      </c>
      <c r="DD193" t="str">
        <f t="shared" si="308"/>
        <v/>
      </c>
      <c r="DE193" t="str" cm="1">
        <f t="array" ref="DE193">IF(TRIM(DD193&amp;"")="","",IFERROR(TRIM(INDEX(_xlfn.TEXTSPLIT(DD193&amp;";;;",";"),1)),""))</f>
        <v/>
      </c>
      <c r="DF193" t="str" cm="1">
        <f t="array" ref="DF193">IF(TRIM(DD193&amp;"")="","",IFERROR(TRIM(INDEX(_xlfn.TEXTSPLIT(DD193&amp;";;;",";"),2)),""))</f>
        <v/>
      </c>
      <c r="DG193" t="str" cm="1">
        <f t="array" ref="DG193">IF(TRIM(DD193&amp;"")="","",IFERROR(TRIM(INDEX(_xlfn.TEXTSPLIT(DD193&amp;";;;",";"),3)),""))</f>
        <v/>
      </c>
      <c r="DH193">
        <f t="shared" si="309"/>
        <v>0</v>
      </c>
      <c r="DI193" t="str">
        <f>IF(B193="","",_xlfn.LET(_xlpm.t,LOWER(AZ193&amp;""),IF(ISNUMBER(SEARCH("dim",_xlpm.t)),"DIM",IF(ISNUMBER(SEARCH("dali",_xlpm.t)),"DALI",IF(OR(ISNUMBER(SEARCH("relay",_xlpm.t)),ISNUMBER(SEARCH("реле",_xlpm.t))),"Relay",IF(ISNUMBER(SEARCH("кнопк",_xlpm.t)),"",IFERROR(_xlfn.XLOOKUP(BC193,Коды_код,Коды_упр)&amp;"","")))))))</f>
        <v/>
      </c>
      <c r="DJ193" t="str">
        <f t="shared" si="310"/>
        <v/>
      </c>
      <c r="DK193">
        <f>IF(B193="","",_xlfn.LET(_xlpm.ig,IF(N(CX193)&gt;0,N(CX193),N(CI193)+IF(AJ193="вручную",0,N(CJ193))),_xlpm.n0,IFERROR(VLOOKUP(_xlpm.ig,Автомат_номиналы,2,TRUE),0),_xlpm.mn,MAX(DB193,IF(AJ193="вручную",0,N(CM193))),MAX(_xlpm.n0,_xlpm.mn,IF(DH193=1,Мин_автомат_БП,0))))</f>
        <v>16</v>
      </c>
      <c r="DL193">
        <f t="shared" si="311"/>
        <v>1</v>
      </c>
      <c r="DM193" t="str">
        <f t="shared" si="312"/>
        <v>2P</v>
      </c>
      <c r="DN193" t="str">
        <f>_xlfn.LET(_xlpm.cc,UPPER(TRIM(IFERROR(_xlfn.XLOOKUP(BC193,Коды_код,Коды_хар)&amp;"",""))),IF(OR(_xlpm.cc="B",_xlpm.cc="В"),"B",IF(_xlpm.cc="D","D","С")))</f>
        <v>С</v>
      </c>
      <c r="DO193" t="str">
        <f t="shared" si="313"/>
        <v>2P С16А 30мА</v>
      </c>
      <c r="DP193" t="str">
        <f t="shared" si="314"/>
        <v>2P С16А 30мА</v>
      </c>
      <c r="DQ193" t="str">
        <f t="shared" si="315"/>
        <v>2P С16А 30мА</v>
      </c>
      <c r="DR193" cm="1">
        <f t="array" ref="DR193">IF(DQ193="","",_xlfn.LET(_xlpm.t,SUBSTITUTE(SUBSTITUTE(SUBSTITUTE(UPPER(DQ193),"С","C"),"А","A"),"В","B"),_xlpm.tk,_xlfn.TEXTSPLIT(_xlpm.t," "),_xlpm.f,_xlfn._xlws.FILTER(_xlpm.tk,ISNUMBER(--MID(_xlpm.tk,2,1))*ISNUMBER(SEARCH(LEFT(_xlpm.tk,1)&amp;"#","B#C#D#"))*(LEN(_xlpm.tk)&gt;1),""),_xlpm.x,INDEX(_xlpm.f,1),IFERROR(--SUBSTITUTE(MID(_xlpm.x,2,9),"A",""),IFERROR(--SUBSTITUTE(INDEX(_xlfn._xlws.FILTER(_xlpm.tk,ISNUMBER(--SUBSTITUTE(_xlpm.tk,"A","")),""),1),"A",""),""))))</f>
        <v>16</v>
      </c>
      <c r="DS193" t="str">
        <f t="shared" si="316"/>
        <v>ok</v>
      </c>
      <c r="DT193">
        <f t="shared" si="317"/>
        <v>16</v>
      </c>
      <c r="DU193" t="str">
        <f t="shared" si="318"/>
        <v>2P С16А 30мА</v>
      </c>
      <c r="DV193">
        <f t="shared" si="319"/>
        <v>30</v>
      </c>
      <c r="DW193">
        <f t="shared" si="320"/>
        <v>1</v>
      </c>
      <c r="DX193">
        <f t="shared" si="321"/>
        <v>0</v>
      </c>
      <c r="DY193">
        <f t="shared" si="322"/>
        <v>0.27348170645824377</v>
      </c>
      <c r="DZ193">
        <f t="shared" si="323"/>
        <v>1</v>
      </c>
      <c r="EA193">
        <f>IF(ISNUMBER(AP193),AP193,К_прокл)</f>
        <v>1</v>
      </c>
      <c r="EB193">
        <f t="shared" si="324"/>
        <v>2</v>
      </c>
      <c r="EC193">
        <f>IFERROR(N(VLOOKUP(BZ193,Кабель_обозначение,3,FALSE)),1)</f>
        <v>1</v>
      </c>
      <c r="ED193">
        <f>IFERROR(N(_xlfn.XLOOKUP(A193,Щиты[Щит],Щиты[ΔU до шин, %])),0)</f>
        <v>0.43</v>
      </c>
      <c r="EE193" t="str">
        <f>IFERROR(_xlfn.XLOOKUP(A193,Щиты[Щит],Щиты[Zпетли на шинах, Ом]),"")</f>
        <v/>
      </c>
      <c r="EF193">
        <f>IFERROR(N(_xlfn.XLOOKUP(A193,Щиты[Щит],Щиты[ΔU до шин (подбор), %])),0)</f>
        <v>0.43</v>
      </c>
      <c r="EG193" t="str">
        <f>IFERROR(_xlfn.XLOOKUP(A193,Щиты[Щит],Щиты[Zпетли на шинах (подбор), Ом]),"")</f>
        <v/>
      </c>
      <c r="EH193" t="str">
        <f t="shared" si="325"/>
        <v/>
      </c>
      <c r="EI193">
        <f t="shared" si="326"/>
        <v>44</v>
      </c>
      <c r="EJ193">
        <f t="shared" si="327"/>
        <v>2</v>
      </c>
      <c r="EK193">
        <f t="shared" si="328"/>
        <v>0.31</v>
      </c>
      <c r="EL193" s="6">
        <f>IF(B193="","",IF(BV193=1,dU_LED,IF(IFERROR(_xlfn.XLOOKUP(BC193,Коды_код,Коды_уго),"")="Светильник",3,4)+IF(Методика="нормы 2026",MIN(0.5,MAX(0,N(P193)-100)*0.005),0)))</f>
        <v>4</v>
      </c>
      <c r="EM193" cm="1">
        <f t="array" ref="EM193">IF(OR(B193="",BZ193="",EC193&lt;&gt;1),"",_xlfn.LET(_xlpm.sz,Iдоп_S,_xlpm.t_,CHOOSE(EB193,Iдоп_1ж,Iдоп_2ж,Iдоп_3ж)*DZ193*EA193,_xlpm.dcx,BV193=1,_xlpm.inn,IF(_xlpm.dcx,N(O193),N(DT193)),_xlpm.smin,MAX(1.5,CC193),_xlpm.L_,N(P193)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193)/N(BU193)*100,999),IFERROR(N(EJ193)*(_xlpm.rho*_xlpm.L_/_xlpm.sz*N(CE193)+_xlpm.xx*_xlpm.L_*N(EK193)/1000)*N(O193)/((Uн_лин/SQRT(3))*1000)*100,999)),_xlpm.kz,IF(OR(_xlpm.dcx,DW193=1,NOT(ISNUMBER(EG193)),_xlpm.L_=0,_xlpm.inn=0),1,IFERROR(--(c_min*(Uн_лин*1000/SQRT(3))/(EG193+2*ρкз_Cu*_xlpm.L_/_xlpm.sz)&gt;=HT193*_xlpm.inn),0)),_xlpm.ok,IFERROR((_xlpm.sz&gt;=_xlpm.smin)*(_xlpm.t_&gt;=_xlpm.inn)*IF(_xlpm.L_&gt;0,(_xlpm.du_+IF(_xlpm.dcx,0,EF193)&lt;=EL193+0.00001),1)*_xlpm.kz,0),_xlpm.r_,_xlfn._xlws.FILTER(_xlpm.sz,_xlpm.ok,"не подобрано"),INDEX(_xlpm.r_,1)))</f>
        <v>1.5</v>
      </c>
      <c r="EN193">
        <f t="shared" si="329"/>
        <v>2.5</v>
      </c>
      <c r="EO193" cm="1">
        <f t="array" ref="EO193">IF(OR(B193="",BZ193="",EC193&lt;&gt;1),"",_xlfn.LET(_xlpm.sz,Iдоп_S,_xlpm.t_,CHOOSE(EB193,Iдоп_1ж,Iдоп_2ж,Iдоп_3ж)*DZ193*EA193,_xlpm.ok,IFERROR((_xlpm.sz&gt;=MAX(1.5,CC193))*(_xlpm.t_&gt;=N(DT193)),0),_xlpm.r_,_xlfn._xlws.FILTER(_xlpm.sz,_xlpm.ok,""),INDEX(_xlpm.r_,1)))</f>
        <v>1.5</v>
      </c>
      <c r="EP193" s="6" cm="1">
        <f t="array" ref="EP193">IFERROR(ROUNDUP(N(EJ193)*(_xlfn.XLOOKUP(EO193,INDEX(Кабель_сопротивление,0,1),INDEX(Кабель_сопротивление,0,3))*N(P193)/EO193*N(CE193)+_xlfn.XLOOKUP(EO193,INDEX(Кабель_сопротивление,0,1),INDEX(Кабель_сопротивление,0,2))*N(P193)*N(EK193)/1000)*N(O193)/((Uн_лин/SQRT(3))*1000)*100,2),"")</f>
        <v>0.16</v>
      </c>
      <c r="EQ193">
        <f>IFERROR(2*ρкз_Cu*N(P193)/EO193,"")</f>
        <v>1.6481333333333332</v>
      </c>
      <c r="ER193">
        <f>IFERROR(VLOOKUP(EN193,Кабель_сопротивление,3,FALSE),"")</f>
        <v>2.2499999999999999E-2</v>
      </c>
      <c r="ES193">
        <f>IFERROR(VLOOKUP(EN193,Кабель_сопротивление,2,FALSE),"")</f>
        <v>0.1</v>
      </c>
      <c r="ET193">
        <f t="shared" si="330"/>
        <v>39</v>
      </c>
      <c r="EU193">
        <f t="shared" si="331"/>
        <v>0</v>
      </c>
      <c r="EV193">
        <f t="shared" si="332"/>
        <v>0.22059417317310978</v>
      </c>
      <c r="EW193" s="6">
        <f>IFERROR(ROUNDUP(EV193/IF(BV193=1,BU193,(Uн_лин/SQRT(3))*1000)*100,2),"")</f>
        <v>9.9999999999999992E-2</v>
      </c>
      <c r="EX193" t="str">
        <f>IFERROR(VLOOKUP(BZ193,Кабель_обозначение,2,FALSE),"")</f>
        <v>ВВГнг(А)-LS</v>
      </c>
      <c r="EY193" t="str">
        <f t="shared" si="333"/>
        <v>ВВГнг(А)-LS (3х2,5)</v>
      </c>
      <c r="EZ193" t="str">
        <f t="shared" si="334"/>
        <v>ВВГнг(А)-LS (3х2,5)
L=47-0,1%</v>
      </c>
      <c r="FA193">
        <f>IFERROR(2*ρкз_Cu*P193/EN193,"")</f>
        <v>0.98887999999999998</v>
      </c>
      <c r="FB193">
        <f t="shared" si="335"/>
        <v>0.32900000000000007</v>
      </c>
      <c r="FC193" s="6" t="str">
        <f>IFERROR(IF(OR(B193="",BV193=1,NOT(ISNUMBER(EN193)),N(P193)=0),"",_xlfn.XLOOKUP(A193,Щиты[Щит],Щиты[Zпетли на шинах, Ом])+FA193),"")</f>
        <v/>
      </c>
      <c r="FD193" s="6" t="str">
        <f>IF(ISNUMBER(FC193),c_min*(Uн_лин*1000/SQRT(3))/FC193,"")</f>
        <v/>
      </c>
      <c r="FE193" s="6" t="str">
        <f>IFERROR(IF(OR(B193="",NOT(ISNUMBER(EN193))),"",1.05*(Uн_лин*1000/SQRT(3))/(_xlfn.XLOOKUP(A193,Щиты[Щит],Щиты[Zmax на шинах, Ом])+FB193)/1000),"")</f>
        <v/>
      </c>
      <c r="FF193" s="6" t="str">
        <f>IF(B193="","",IF(ISNUMBER(AC193),"Сил",IF(IFERROR(_xlfn.XLOOKUP(BC193,Коды_код,Коды_группа)&amp;"","")="","Быт",_xlfn.XLOOKUP(BC193,Коды_код,Коды_группа)&amp;"")))</f>
        <v>Быт</v>
      </c>
      <c r="FG193" s="6" t="str">
        <f t="shared" si="336"/>
        <v>Быт</v>
      </c>
      <c r="FH193" s="6">
        <f>IF(FG193="Щит","щит",IF(FG193="","",IF(FG193="Быт",IFERROR(_xlfn.XLOOKUP(A193,Щиты[Щит],Щиты[Кс быт]),1),IF(FG193="Сил",IF(ISNUMBER(AC193),AC193,IF(Методика="нормы 2026",IFERROR(_xlfn.XLOOKUP(A193,Щиты[Щит],Щиты[Кс силовых (табл. 7.5)]),1),1)),IF(OR(FG193="Пост",FG193="Отоп"),1,IF(FG193="ВНГ",0.7,0))))))</f>
        <v>0.79799999999999993</v>
      </c>
      <c r="FI193">
        <f>IF(FG193="","",IF(AND(BP193=1,TRIM(AE193&amp;"")=""),IF(COUNTIFS(Линии[Щит],A193,Линии[Секция (1/2/3)],"&gt;=2")&gt;0,MIN(3,MAX(1,IFERROR(--BD193,1))),1),IFERROR(MIN(3,MAX(1,INT(--AE193))),1)))</f>
        <v>1</v>
      </c>
      <c r="FJ193">
        <f t="shared" si="337"/>
        <v>0.06</v>
      </c>
      <c r="FK193">
        <f t="shared" si="338"/>
        <v>0.06</v>
      </c>
      <c r="FL193">
        <f t="shared" si="339"/>
        <v>0</v>
      </c>
      <c r="FM193">
        <f t="shared" si="340"/>
        <v>0</v>
      </c>
      <c r="FN193">
        <f t="shared" si="341"/>
        <v>0</v>
      </c>
      <c r="FO193">
        <f t="shared" si="342"/>
        <v>0</v>
      </c>
      <c r="FP193">
        <f t="shared" si="343"/>
        <v>0.06</v>
      </c>
      <c r="FQ193">
        <f t="shared" si="344"/>
        <v>0.06</v>
      </c>
      <c r="FR193">
        <f t="shared" si="345"/>
        <v>5.6999999999999995E-2</v>
      </c>
      <c r="FS193">
        <f>IF(CG193=1,IF(AND(CH193=1,CW193=1),0,IF(AND(CS193&lt;&gt;"",CS193=BA193,CW193=1),SUMIFS(Линии[_Р линии, кВт],Линии[_блок УЗО],BA193,Линии[Щит],A193),N(BS193)+IF(AJ193="вручную",0,N(CK193)))),0)</f>
        <v>0.06</v>
      </c>
      <c r="FT193" t="str">
        <f t="shared" si="346"/>
        <v>L2</v>
      </c>
      <c r="FU193" t="str">
        <f>IF(B193="","",IF(CG193=0,IF(BA193=1,"",FW192),IF(AND(CH193=1,CW193=1,CS193&lt;&gt;""),IFERROR(_xlfn.XLOOKUP(CS193,Линии[_n],Линии[_фаза итог]),"L1"),IF(OR(N(DL193)&gt;=3,N(BX193)&gt;=3),"L1,L2,L3",IFERROR(_xlfn.TEXTBEFORE(_xlfn.TEXTAFTER(_xlfn.XLOOKUP(A193,Щиты[Щит],Щиты[_фазы авто]),";"&amp;BA193&amp;":"),";"),"L1")))))</f>
        <v>L1</v>
      </c>
      <c r="FV193" t="str">
        <f t="shared" si="347"/>
        <v>L2</v>
      </c>
      <c r="FW193" t="str">
        <f t="shared" si="348"/>
        <v>L2</v>
      </c>
      <c r="FX193" cm="1">
        <f t="array" ref="FX193">IFERROR(IF(CD193=2,_xlfn.IFS(BX193=3,VLOOKUP(BS193,Справочная_двигатели,3,FALSE),BX193=1,VLOOKUP(BS193,Справочная_двигатели,5,TRUE)),0),0)</f>
        <v>0</v>
      </c>
      <c r="FY193">
        <f>IFERROR(IF(CD193=3,VLOOKUP(BS193,Справочная_ЛЭД,2,TRUE),0),0)</f>
        <v>0</v>
      </c>
      <c r="FZ193" s="6">
        <f t="shared" si="349"/>
        <v>0</v>
      </c>
      <c r="GA193" t="str">
        <f>IF(B193="","",IF(TRIM(AH193&amp;"")&lt;&gt;"",IF(LOWER(TRIM(AH193&amp;""))="да","да","нет"),IF(IFERROR(_xlfn.XLOOKUP(BC193,Коды_код,Коды_пожарная),"")="да","да","нет")))</f>
        <v>нет</v>
      </c>
      <c r="GB193" t="str">
        <f t="shared" si="350"/>
        <v/>
      </c>
      <c r="GC193" t="str">
        <f t="shared" si="351"/>
        <v>основная</v>
      </c>
      <c r="GD193">
        <f>IF(AND(BP193=1,TRIM(AE193&amp;"")=""),IF(COUNTIFS(Линии[Щит],A193,Линии[Секция (1/2/3)],"&gt;=2")&gt;0,MIN(3,MAX(1,IFERROR(--BD193,1))),1),IFERROR(MIN(3,MAX(1,INT(--AE193))),1))</f>
        <v>1</v>
      </c>
      <c r="GE193" t="str" cm="1">
        <f t="array" ref="GE193">IF(B193="","",_xlfn.LET(_xlpm.t,IFERROR(_xlfn.XLOOKUP(1,(Шины[Шина]=GC193)*(((Шины[Щит]=A193)+(Шины[Щит]=""))&gt;0),Шины[Тип]),"")&amp;"",IF(_xlpm.t&lt;&gt;"",_xlpm.t,IF(ISNUMBER(SEARCH("ИБП",GC193)),"ИБП",IF(ISNUMBER(SEARCH("ДГУ",GC193)),"ДГУ","Ввод "&amp;GD193)))))</f>
        <v>Ввод 1</v>
      </c>
      <c r="GF193" t="str">
        <f t="shared" si="352"/>
        <v>Ввод 1</v>
      </c>
      <c r="GG193" t="str">
        <f>IF(BP193=0,"",IF(TRIM(AG193&amp;"")&lt;&gt;"",TRIM(AG193&amp;""),IF(OR(GE193="ИБП",GE193="ДГУ"),"I особая",_xlfn.XLOOKUP(A193,Щиты[Щит],Щиты[Категория шины «Ввод»],"III"))))</f>
        <v/>
      </c>
      <c r="GH193" t="str">
        <f>IF(A193="","",_xlfn.XLOOKUP(A193,Щиты[Щит],Щиты[Путь],""))</f>
        <v>|ГРЩ-ЖД|ЩР-01|</v>
      </c>
      <c r="GI193" t="str">
        <f>IF(B193="","",IF(AI193&lt;&gt;"",AI193,IF(IFERROR(_xlfn.XLOOKUP(BC193,Коды_код,Коды_вид)&amp;"","")="","Прочее",_xlfn.XLOOKUP(BC193,Коды_код,Коды_вид)&amp;"")))</f>
        <v>Розеточная сеть и бытовые приборы</v>
      </c>
      <c r="GJ193">
        <f>IF(BM193="","",INT((BM193-1)/Столбцов_на_лист)+1)</f>
        <v>2</v>
      </c>
      <c r="GK193" t="str">
        <f t="shared" si="353"/>
        <v>ВВГнг(А)-LS (3х2,5) L=47-0,1%</v>
      </c>
      <c r="GL193">
        <f t="shared" si="354"/>
        <v>0.06</v>
      </c>
      <c r="GM193">
        <f t="shared" si="355"/>
        <v>0.28000000000000003</v>
      </c>
      <c r="GN193">
        <f t="shared" si="356"/>
        <v>1</v>
      </c>
      <c r="GO193">
        <f t="shared" si="357"/>
        <v>0</v>
      </c>
      <c r="GP193">
        <f t="shared" si="358"/>
        <v>1</v>
      </c>
      <c r="GQ193">
        <f>IF(BM193="","",IF(AND(CG193=1,GP193=1),COUNTIFS(A$3:A193,A193,CG$3:CG193,1,GP$3:GP193,1),IF(OR(OR(BA193=1,A193&lt;&gt;A192),AJ193="вручную",GP193=0),"",IF(BA193=1,"",GR192))))</f>
        <v>9</v>
      </c>
      <c r="GR193">
        <f t="shared" si="359"/>
        <v>9</v>
      </c>
      <c r="GS193">
        <f>IF(B193="","",IFERROR(LOOKUP(INDEX(CHOOSE(EB193,Iдоп_1ж,Iдоп_2ж,Iдоп_3ж),MATCH(EN193,Iдоп_S,0))*DZ193*EA193,{6,10,16,20,25,32,40,50,63,80,100,125,160,200,250,315,400,500,630}),""))</f>
        <v>25</v>
      </c>
      <c r="GT193" t="str">
        <f t="shared" si="360"/>
        <v>QFD9</v>
      </c>
      <c r="GU193" t="str">
        <f t="shared" si="361"/>
        <v>QFD9</v>
      </c>
      <c r="GV193" t="str">
        <f t="shared" si="362"/>
        <v/>
      </c>
      <c r="GW193">
        <f t="shared" si="363"/>
        <v>0</v>
      </c>
      <c r="GX193" t="str">
        <f>IF(OR(B193="",DJ193=""),"",IFERROR(_xlfn.XLOOKUP(DJ193,Модули_умолч[Управление],Модули_умолч[Модель])&amp;"",""))</f>
        <v/>
      </c>
      <c r="GY193">
        <f>IF(DJ193="",1,IFERROR(MAX(0,N(_xlfn.XLOOKUP(DJ193,Модули_умолч[Управление],Модули_умолч[Каналов на линию]))),1))</f>
        <v>1</v>
      </c>
      <c r="GZ193" t="str">
        <f t="shared" si="364"/>
        <v/>
      </c>
      <c r="HA193" t="str">
        <f t="shared" si="365"/>
        <v/>
      </c>
      <c r="HB193" t="str">
        <f t="shared" si="366"/>
        <v/>
      </c>
      <c r="HC193">
        <f>IF(HB193="",0,IFERROR(N(VLOOKUP(HB193,Модули_спр,3,FALSE)),0))</f>
        <v>0</v>
      </c>
      <c r="HD193" t="str">
        <f t="shared" si="367"/>
        <v/>
      </c>
      <c r="HE193" t="str">
        <f t="shared" si="368"/>
        <v/>
      </c>
      <c r="HF193" t="str">
        <f>IF(OR(HE193="",HE193="-"),"",IFERROR(VLOOKUP(HE193,Модули_спр,2,FALSE),"R"))</f>
        <v/>
      </c>
      <c r="HG193" t="str">
        <f>IF(HF193="","",HF193&amp;"."&amp;COUNTIFS(A$3:A193,A193,HF$3:HF193,HF193))</f>
        <v/>
      </c>
      <c r="HH193" t="str">
        <f t="shared" si="369"/>
        <v/>
      </c>
      <c r="HI193" t="str">
        <f t="shared" si="370"/>
        <v/>
      </c>
      <c r="HJ193" t="str">
        <f t="shared" si="371"/>
        <v/>
      </c>
      <c r="HK193" t="str">
        <f t="shared" si="372"/>
        <v/>
      </c>
      <c r="HL193">
        <f t="shared" si="373"/>
        <v>1</v>
      </c>
      <c r="HM193" t="str">
        <f>IF(HL193=1,"XT"&amp;COUNTIFS(A$3:A193,A193,HL$3:HL193,1),"")</f>
        <v>XT9</v>
      </c>
      <c r="HN193" t="str">
        <f t="shared" si="374"/>
        <v/>
      </c>
      <c r="HO193" t="str">
        <f t="shared" si="375"/>
        <v>QFD9</v>
      </c>
      <c r="HP193" t="str">
        <f t="shared" si="376"/>
        <v/>
      </c>
      <c r="HQ193" t="str">
        <f t="shared" si="377"/>
        <v>ok</v>
      </c>
      <c r="HR193" t="str">
        <f>IF(OR(HJ193="",HH193=""),"",IF(HJ193+MAX(0,GY193-1)&gt;IFERROR(VLOOKUP(HI193,Модули_спр,3,FALSE),99),"ЛИШНИЙ КАНАЛ",IF(AND(AL193&lt;&gt;"=",GY193&gt;0,COUNTIFS(Линии[_модуль гр.],HH193,Линии[Канал (итог)],HJ193,Линии[Канал],"&lt;&gt;=",Линии[Щит],A193)&gt;1),"ДУБЛЬ КАНАЛА","")))</f>
        <v/>
      </c>
      <c r="HS193" s="6" t="str">
        <f t="shared" si="378"/>
        <v/>
      </c>
      <c r="HT193">
        <f t="shared" si="379"/>
        <v>10</v>
      </c>
      <c r="HU193" t="str">
        <f t="shared" si="380"/>
        <v/>
      </c>
      <c r="HV193">
        <f t="shared" si="381"/>
        <v>0.57939268258329757</v>
      </c>
      <c r="HW193">
        <f t="shared" si="382"/>
        <v>0</v>
      </c>
      <c r="HX193">
        <f t="shared" si="383"/>
        <v>0</v>
      </c>
      <c r="HY193">
        <f t="shared" si="384"/>
        <v>0</v>
      </c>
      <c r="HZ193">
        <f t="shared" si="385"/>
        <v>0</v>
      </c>
      <c r="IA193">
        <f t="shared" si="386"/>
        <v>0</v>
      </c>
      <c r="IB193">
        <f t="shared" si="387"/>
        <v>0</v>
      </c>
      <c r="IC193" t="str">
        <f t="shared" si="388"/>
        <v/>
      </c>
      <c r="ID193" t="str" cm="1">
        <f t="array" ref="ID193">IF(IC193="","",_xlfn.LET(_xlpm.tk,_xlfn.TEXTSPLIT(SUBSTITUTE(SUBSTITUTE(IC193,";"," "),"→"," ")," ",,TRUE),_xlpm.w_,_xlfn._xlws.FILTER(_xlpm.tk,ISNUMBER(--LEFT(_xlpm.tk,1))*((ISNUMBER(SEARCH("W",_xlpm.tk))+ISNUMBER(SEARCH("Вт",_xlpm.tk)))&gt;0),""),IFERROR(--SUBSTITUTE(SUBSTITUTE(UPPER(INDEX(_xlpm.w_,1)),"W",""),"ВТ",""),"")))</f>
        <v/>
      </c>
      <c r="IE193" t="str" cm="1">
        <f t="array" ref="IE193">IF(IC193="","",_xlfn.LET(_xlpm.tk,_xlfn.TEXTSPLIT(SUBSTITUTE(SUBSTITUTE(IC193,";"," "),"→"," ")," ",,TRUE),_xlpm.v_,_xlfn._xlws.FILTER(_xlpm.tk,ISNUMBER(--LEFT(_xlpm.tk,1))*((ISNUMBER(SEARCH("V",_xlpm.tk))+(RIGHT(UPPER(_xlpm.tk))="В"))&gt;0),""),IFERROR(--SUBSTITUTE(SUBSTITUTE(UPPER(INDEX(_xlpm.v_,1)),"V",""),"В",""),"")))</f>
        <v/>
      </c>
      <c r="IF193" s="6" t="str">
        <f>IF(OR(BV193=0,HI193="",HJ193=""),"",IFERROR(N(_xlfn.XLOOKUP(HI193,Каталог!$C$4:$C$500,Каталог!$Q$4:$Q$500)),""))</f>
        <v/>
      </c>
      <c r="IG193" s="6" t="str">
        <f>IF(N(IF193)=0,"",SUMIFS(Линии[Iр, А],Линии[Щит],A193,Линии[_модуль гр.],HH193,Линии[Канал (итог)],HJ193))</f>
        <v/>
      </c>
      <c r="IH193" t="str">
        <f>IF(AND(B193="",HO193=""),"",_xlfn.TEXTJOIN("; ",TRUE,IF(AND(B193&lt;&gt;"",FV193=""),"нет фазы",""),IF(AND(B193&lt;&gt;"",N(GL193)=0,FG193&lt;&gt;"Нет"),"нет мощности",""),IF(AND(HN193&lt;&gt;"",COUNTIFS(Линии[Щит],A193,Линии[Клемма (итог)],HN193)&gt;1),"дубль клеммы "&amp;HN193,""),IF(AND(HQ193&lt;&gt;"",HQ193&lt;&gt;"ok"),HQ193,""),IF(HR193&lt;&gt;"",HR193,""),IF(AND(N(CB193)&gt;=4,N(BX193)=1),CB193&amp;" жил на 1 фазе",""),IF(AND(BC193="R",CG193=1,IF(CS193&lt;&gt;"",N(CV193)&gt;30,OR(N(DA193)=0,N(DA193)&gt;30))),"розетка без дифзащиты до 30 мА",""),IF(AND(CG193=1,N(DA193)&gt;0,ISNUMBER(T193)),IF(T193&gt;N(DA193)/3,"ток утечки "&amp;FIXED(T193,1)&amp;" мА &gt; 1/3 уставки ("&amp;DA193&amp;" мА)",""),""),IF(AND(CH193=1,CS193=""),"«узо»: нет строки с УЗО выше (УЗО 2P 40А 30мА в «Аппаратах»)",""),IF(AND(CS193&lt;&gt;"",CS193=BA193),IF(CT193="","впишите номинал УЗО (УЗО 2P 40А 30мА)",IF(N(CT193)&lt;N(DT193),"УЗО "&amp;CT193&amp;" А &lt; автомата "&amp;DT193&amp;" А перед ним",IF(N(CT193)&lt;N(CX193),"УЗО "&amp;CT193&amp;" А &lt; тока блока "&amp;FIXED(CX193,1)&amp;" А",""))),""),IF(AND(CS193&lt;&gt;"",CS193=BA193,ISNUMBER(CY193)),IF(CY193&gt;N(CV193)/3,"ток утечки блока УЗО "&amp;FIXED(CY193,1)&amp;" мА &gt; 1/3 уставки ("&amp;CV193&amp;" мА)",""),""),IF(AND(CG193=1,N(BV193)+N(IB193)&gt;0,IC193=""),"линии до 50 В без БП: впишите в «Аппараты» (БП 24V 480W)",""),IF(AND(CG193=1,ISNUMBER(ID193),ISNUMBER(U193)),IF(U193&gt;ID193,"БП "&amp;ID193&amp;" Вт &lt; нужно "&amp;U193&amp;" Вт (×"&amp;Запас_БП&amp;")",""),""),IF(AND(CG193=1,ISNUMBER(IE193),N(BV193)=1),IF(IE193&lt;&gt;N(BU193),"БП на "&amp;IE193&amp;" В, линия "&amp;BU193&amp;" В",""),""),IF(AND(N(IF193)&gt;0,N(IG193)&gt;N(IF193)),HH193&amp;" канал "&amp;HJ193&amp;": "&amp;FIXED(IG193,1)&amp;" А &gt; "&amp;IF193&amp;" А",""),IFERROR(IF(AND(ISNUMBER(Q193),Q193&gt;EL193),"потери "&amp;FIXED(Q193,1)&amp;" % &gt; "&amp;EL193&amp;" %",""),""),IFERROR(IF(LEFT(HU193,4)="мало","Iкз мало — отключение &gt; 0,4 с",""),""),IF(AND(B193&lt;&gt;"",BM193=""),"не на схеме",""),IF(AND(CG193=0,B193&lt;&gt;"",FV193&lt;&gt;"",IF(BA193=1,"",FW192)&lt;&gt;"",FV193&lt;&gt;IF(BA193=1,"",FW192)),"фаза не как у автомата группы ("&amp;IF(BA193=1,"",FW192)&amp;")","")))</f>
        <v/>
      </c>
      <c r="II193" s="6">
        <f>IF(OR(CG193=0,DQ193=""),"",_xlfn.LET(_xlpm.t,IFERROR(_xlfn.XLOOKUP(DQ193,Каталог!$U$4:$U$500,Каталог!$G$4:$G$500),""),_xlpm.k,SEARCH("кА",_xlpm.t),IFERROR(--TRIM(RIGHT(SUBSTITUTE(MID(_xlpm.t,MAX(1,_xlpm.k-4),_xlpm.k-MAX(1,_xlpm.k-4))," ",REPT(" ",9)),5)),"")))</f>
        <v>6</v>
      </c>
      <c r="IJ193" t="str">
        <f>IF(OR(II193="",CG193=0),"",IF(_xlfn.XLOOKUP(A193,Щиты[Щит],Щиты[Iкз max на шинах, кА],"")="","",IF(II193&lt;_xlfn.XLOOKUP(A193,Щиты[Щит],Щиты[Iкз max на шинах, кА]),"Icu "&amp;II193&amp;" кА &lt; Iкз max","ok")))</f>
        <v/>
      </c>
      <c r="IK193" t="str">
        <f t="shared" si="389"/>
        <v/>
      </c>
      <c r="IL193" t="str">
        <f t="shared" si="390"/>
        <v>QFD9</v>
      </c>
      <c r="IM193" t="str">
        <f t="shared" si="391"/>
        <v>QFD9|кабель ВВГнг(А)-LS (3х2,5) → Розеточная группа, пом. 003Б</v>
      </c>
      <c r="IN193" t="str" cm="1">
        <f t="array" ref="IN193">IF(IM193="","",_xlfn.LET(_xlpm.nd,_xlfn.TEXTSPLIT(IM193,"|"),IF(COLUMNS(_xlpm.nd)&gt;1,A193&amp;"¦"&amp;INDEX(_xlpm.nd,1)&amp;"¦"&amp;INDEX(_xlpm.nd,2),"")))</f>
        <v>ЩР-01¦QFD9¦кабель ВВГнг(А)-LS (3х2,5) → Розеточная группа, пом. 003Б</v>
      </c>
      <c r="IO193" t="str">
        <f t="shared" si="392"/>
        <v>R.0.003Б.1¦Розеточная группа, пом. 003Б</v>
      </c>
      <c r="IP193" t="str" cm="1">
        <f t="array" ref="IP193">IF(IM193="","",_xlfn.LET(_xlpm.nd,_xlfn.TEXTSPLIT(IM193,"|"),IF(COLUMNS(_xlpm.nd)&gt;2,A193&amp;"¦"&amp;INDEX(_xlpm.nd,2)&amp;"¦"&amp;INDEX(_xlpm.nd,3),"")))</f>
        <v/>
      </c>
      <c r="IQ193" t="str">
        <f t="shared" si="393"/>
        <v/>
      </c>
      <c r="IR193" t="str" cm="1">
        <f t="array" ref="IR193">IF(IM193="","",_xlfn.LET(_xlpm.nd,_xlfn.TEXTSPLIT(IM193,"|"),IF(COLUMNS(_xlpm.nd)&gt;3,A193&amp;"¦"&amp;INDEX(_xlpm.nd,3)&amp;"¦"&amp;INDEX(_xlpm.nd,4),"")))</f>
        <v/>
      </c>
      <c r="IS193" t="str">
        <f t="shared" si="394"/>
        <v/>
      </c>
      <c r="IT193" t="str" cm="1">
        <f t="array" ref="IT193">IF(IM193="","",_xlfn.LET(_xlpm.nd,_xlfn.TEXTSPLIT(IM193,"|"),IF(COLUMNS(_xlpm.nd)&gt;4,A193&amp;"¦"&amp;INDEX(_xlpm.nd,4)&amp;"¦"&amp;INDEX(_xlpm.nd,5),"")))</f>
        <v/>
      </c>
      <c r="IU193" t="str">
        <f t="shared" si="395"/>
        <v/>
      </c>
      <c r="IV193" t="str" cm="1">
        <f t="array" ref="IV193">IF(IM193="","",_xlfn.LET(_xlpm.nd,_xlfn.TEXTSPLIT(IM193,"|"),IF(COLUMNS(_xlpm.nd)&gt;5,A193&amp;"¦"&amp;INDEX(_xlpm.nd,5)&amp;"¦"&amp;INDEX(_xlpm.nd,6),"")))</f>
        <v/>
      </c>
      <c r="IW193" t="str">
        <f t="shared" si="396"/>
        <v/>
      </c>
      <c r="IX193" t="str" cm="1">
        <f t="array" ref="IX193">IF(IM193="","",_xlfn.LET(_xlpm.nd,_xlfn.TEXTSPLIT(IM193,"|"),IF(COLUMNS(_xlpm.nd)&gt;6,A193&amp;"¦"&amp;INDEX(_xlpm.nd,6)&amp;"¦"&amp;INDEX(_xlpm.nd,7),"")))</f>
        <v/>
      </c>
      <c r="IY193" t="str">
        <f t="shared" si="397"/>
        <v/>
      </c>
      <c r="IZ193" t="str">
        <f t="shared" si="398"/>
        <v/>
      </c>
      <c r="JA193" t="str">
        <f t="shared" si="399"/>
        <v>QFD9</v>
      </c>
      <c r="JB193">
        <f t="shared" si="400"/>
        <v>0</v>
      </c>
      <c r="JC193">
        <f t="shared" si="401"/>
        <v>1</v>
      </c>
      <c r="JD193" t="str">
        <f t="shared" si="402"/>
        <v/>
      </c>
      <c r="JE193" t="str">
        <f t="shared" si="403"/>
        <v/>
      </c>
      <c r="JF193" t="str">
        <f t="shared" si="404"/>
        <v/>
      </c>
      <c r="JG193" t="str">
        <f t="shared" si="405"/>
        <v/>
      </c>
      <c r="JH193" t="str">
        <f>IF(B193="","",IFERROR(_xlfn.XLOOKUP(B193,Коды_код,Коды_уго),IFERROR(_xlfn.XLOOKUP(BC193,Коды_код,Коды_уго),IFERROR(_xlfn.XLOOKUP(LEFT(BC193,2),Коды_код,Коды_уго),""))))</f>
        <v>Розетка</v>
      </c>
      <c r="JI193" t="str">
        <f>IF(B193="","",IF(OR(JH193="",JH193=0),"BOX",IFERROR(IF(VLOOKUP(JH193,УГО_блоки,3,FALSE)&amp;""&lt;&gt;"",VLOOKUP(JH193,УГО_блоки,3,FALSE),VLOOKUP(JH193,УГО_блоки,2,FALSE)),JH193)))</f>
        <v>SOCKET</v>
      </c>
      <c r="JJ193">
        <f t="shared" si="406"/>
        <v>1</v>
      </c>
      <c r="JK193" t="str">
        <f>IF(DQ193="","",IF(COUNTIF(DQ$3:DQ193,DQ193)=1,MAX(JK$2:JK192)+1,""))</f>
        <v/>
      </c>
      <c r="JL193" t="str">
        <f>IF(DE193="","",IF(COUNTIF(DE$3:DE193,DE193)+COUNTIF(DF$2:DF192,DE193)+COUNTIF(DG$2:DG192,DE193)=1,MAX(JL$2:JN192)+1,""))</f>
        <v/>
      </c>
      <c r="JM193" t="str">
        <f>IF(DF193="","",IF(COUNTIF(DE$3:DE193,DF193)+COUNTIF(DF$3:DF193,DF193)+COUNTIF(DG$2:DG192,DF193)=1,MAX(JL$2:JN192,JL193)+1,""))</f>
        <v/>
      </c>
      <c r="JN193" t="str">
        <f>IF(DG193="","",IF(COUNTIF(DE$3:DE193,DG193)+COUNTIF(DF$3:DF193,DG193)+COUNTIF(DG$3:DG193,DG193)=1,MAX(JL$2:JN192,JL193,JM193)+1,""))</f>
        <v/>
      </c>
      <c r="JO193" t="str">
        <f t="shared" si="407"/>
        <v>3х2,5</v>
      </c>
      <c r="JP193" t="str">
        <f>IF(JO193="","",IF(COUNTIF(JO$3:JO193,JO193)=1,MAX(JP$2:JP192)+1,""))</f>
        <v/>
      </c>
      <c r="JQ193" t="str">
        <f>IF(HG193="","",COUNTIF(HG$3:HG193,"?*"))</f>
        <v/>
      </c>
      <c r="JR193" t="str">
        <f>IF(OR(HG193="",HI193=""),"",IF(COUNTIFS(HG$3:HG193,"?*",HI$3:HI193,HI193)=1,MAX(JR$2:JR192)+1,""))</f>
        <v/>
      </c>
      <c r="JS193">
        <f t="shared" si="408"/>
        <v>0</v>
      </c>
      <c r="JT193">
        <f>IF(B193="","",COUNTIF(B$3:B193,"?*"))</f>
        <v>191</v>
      </c>
      <c r="JU193">
        <f>IF(HL193&lt;&gt;1,0,_xlfn.LET(_xlpm.k,MAX(IFERROR(--_xlfn.XLOOKUP(B193,Коды_код,Коды_3L),0),IFERROR(--_xlfn.XLOOKUP(BC193,Коды_код,Коды_3L),0),IFERROR(--_xlfn.XLOOKUP(LEFT(BC193,2),Коды_код,Коды_3L),0)),IF(_xlpm.k&gt;0,_xlpm.k,IF(IFERROR(--LEFT(SUBSTITUTE(JO193,"x","х"),FIND("х",SUBSTITUTE(JO193,"x","х"))-1),3)&gt;3,Каталог!$S$9,1))))</f>
        <v>1</v>
      </c>
      <c r="JV193">
        <f t="shared" si="409"/>
        <v>0</v>
      </c>
      <c r="JW193" t="str">
        <f t="shared" si="410"/>
        <v>авто</v>
      </c>
      <c r="JX193">
        <f t="shared" si="411"/>
        <v>30</v>
      </c>
      <c r="JY193">
        <f t="shared" si="412"/>
        <v>1</v>
      </c>
      <c r="JZ193">
        <f t="shared" si="413"/>
        <v>1</v>
      </c>
    </row>
    <row r="194" spans="1:286" x14ac:dyDescent="0.3">
      <c r="A194" t="s">
        <v>755</v>
      </c>
      <c r="B194" t="s">
        <v>1501</v>
      </c>
      <c r="C194" t="str">
        <f>Линии[[#This Row],[_авто наименование]]</f>
        <v>Розеточная группа, пом. 004Б</v>
      </c>
      <c r="D194">
        <v>3</v>
      </c>
      <c r="E194">
        <v>0.18</v>
      </c>
      <c r="G194" t="str">
        <f>Линии[[#This Row],[_авто автомат]]</f>
        <v>2P С16А 30мА</v>
      </c>
      <c r="H194" t="str">
        <f>Линии[[#This Row],[_авто управление]]</f>
        <v/>
      </c>
      <c r="I194" t="str">
        <f>Линии[[#This Row],[_авто аппараты]]</f>
        <v/>
      </c>
      <c r="J194">
        <v>2.5</v>
      </c>
      <c r="K194">
        <v>20</v>
      </c>
      <c r="L194">
        <v>3</v>
      </c>
      <c r="M194" t="str">
        <f>Линии[[#This Row],[_авто клемма]]</f>
        <v>XT10</v>
      </c>
      <c r="N194" t="str">
        <f t="shared" si="276"/>
        <v/>
      </c>
      <c r="O194" s="6" cm="1">
        <f t="array" ref="O194">IF(B194="","",IF(BH194&lt;&gt;"",IFERROR(_xlfn.XLOOKUP(BH194,Щиты[Щит],Щиты[Iр, А]),""),IF(BP194=1,IF(OR(N(_xlfn.XLOOKUP(A194,Щиты[Щит],Щиты[Вводов],1))&lt;=1,LOWER(TRIM(_xlfn.XLOOKUP(A194,Щиты[Щит],Щиты[АВР],"")&amp;""))="да"),IFERROR(_xlfn.XLOOKUP(A194,Щиты[Щит],Щиты[Iр, А]),""),IFERROR(N(BS194)*_xlfn.XLOOKUP(A194,Щиты[Щит],Щиты[Кс итог])/(SQRT(3)*Uн_лин*_xlfn.XLOOKUP(A194,Щиты[Щит],Щиты[cos φ])),"")),IF(BV194=1,IFERROR(BS194*1000/BU194,""),IFERROR(_xlfn.IFS(BX194=1,BS194/((Uн_лин/SQRT(3))*CE194),BX194=3,BS194/(SQRT(3)*Uн_лин*CE194)),"")))))</f>
        <v>0.8204451193747313</v>
      </c>
      <c r="P194" s="7">
        <f>IF(B194="","",IFERROR(IF(VLOOKUP(BC194,Потребители_обозначение,4,FALSE)=1,VLOOKUP(BC194,Потребители_обозначение,3,FALSE)*(MAX(1,N(D194))*2-1)+EI194+VLOOKUP(BE194,Этаж_обозначение,3,FALSE)+VLOOKUP(BE194,Этаж_обозначение,4,FALSE),VLOOKUP(BC194,Потребители_обозначение,3,FALSE)*(MAX(1,N(D194))*2-1)+EI194),EI194))</f>
        <v>35</v>
      </c>
      <c r="Q194" s="6">
        <f t="shared" si="277"/>
        <v>0.65</v>
      </c>
      <c r="R194" t="str">
        <f t="shared" si="278"/>
        <v>ВВГнг(А)-LS (3х2,5)</v>
      </c>
      <c r="S194" t="str">
        <f>IF(BM194="","",IF(BN194="вводной узел","узел ","")&amp;"л."&amp;(INT((BM194-1)/Столбцов_на_лист)+1)&amp;" / "&amp;(MOD(BM194-1,Столбцов_на_лист)+1))</f>
        <v>л.2 / 3</v>
      </c>
      <c r="T194" s="119">
        <f t="shared" si="279"/>
        <v>0.7</v>
      </c>
      <c r="U194" s="7" t="str">
        <f>IF(OR(CG194=0,N(BV194)+N(IB194)=0),"",ROUNDUP(Запас_БП*(N(HY194)+N(HZ194)),0))</f>
        <v/>
      </c>
      <c r="V194" s="119" t="str">
        <f t="shared" si="280"/>
        <v/>
      </c>
      <c r="W194" s="7" t="str">
        <f>IFERROR(IF(OR(B194="",BP194=1,BV194=1,NOT(ISNUMBER(EN194)),N(DT194)=0),"",MAX(0,ROUNDDOWN((c_min*(Uн_лин*1000/SQRT(3))/(HT194*N(DT194))-_xlfn.XLOOKUP(A194,Щиты[Щит],Щиты[Zпетли на шинах, Ом]))*EN194/(2*ρкз_Cu),0))),"")</f>
        <v/>
      </c>
      <c r="Y194">
        <f>Линии[[#This Row],[_авто утечка]]</f>
        <v>30</v>
      </c>
      <c r="Z194">
        <v>1</v>
      </c>
      <c r="AA194">
        <v>230</v>
      </c>
      <c r="AB194" t="s">
        <v>562</v>
      </c>
      <c r="AG194" t="s">
        <v>810</v>
      </c>
      <c r="AI194" t="s">
        <v>561</v>
      </c>
      <c r="AK194" t="str">
        <f>Линии[[#This Row],[_авто модуль]]</f>
        <v/>
      </c>
      <c r="AM194">
        <v>20</v>
      </c>
      <c r="AN194" t="s">
        <v>11</v>
      </c>
      <c r="AO194">
        <v>3</v>
      </c>
      <c r="AQ194">
        <v>12</v>
      </c>
      <c r="AR194">
        <v>23</v>
      </c>
      <c r="AS194">
        <v>0</v>
      </c>
      <c r="BA194" cm="1">
        <f t="array" ref="BA194">ROW()-ROW(Линии[#Headers])</f>
        <v>192</v>
      </c>
      <c r="BC194" s="6" t="str">
        <f t="shared" si="281"/>
        <v>R</v>
      </c>
      <c r="BD194" t="str">
        <f t="shared" si="282"/>
        <v>0.004Б.1</v>
      </c>
      <c r="BE194" t="str">
        <f t="shared" si="283"/>
        <v>0</v>
      </c>
      <c r="BF194" t="str">
        <f t="shared" si="284"/>
        <v>004Б.1</v>
      </c>
      <c r="BG194" t="str">
        <f t="shared" si="285"/>
        <v>004Б</v>
      </c>
      <c r="BH194" t="str">
        <f>IF(X194&lt;&gt;"",X194,IF(AND(B194&lt;&gt;"",B194&lt;&gt;A194,ISNUMBER(_xlfn.XMATCH(B194,Щиты[Щит]))),B194,""))</f>
        <v/>
      </c>
      <c r="BI194" t="str" cm="1">
        <f t="array" ref="BI194">IF(B194="","",IF(BH194&lt;&gt;"","Щит "&amp;BH194,_xlfn.LET(_xlpm.nm,IFERROR(_xlfn.XLOOKUP(BC194,Коды_код,Коды_имя)&amp;"",""),_xlpm.md,IFERROR(N(_xlfn.XLOOKUP(BC194,Коды_код,Коды_режим)),1),_xlpm.ex,IF(Имя_режим="по экспликации",IFERROR(_xlfn.XLOOKUP(BE194&amp;"|"&amp;BG194,Экспликация[Этаж]&amp;"|"&amp;Экспликация[Помещение],Экспликация[Название])&amp;"",""),""),_xlpm.rm,IF(BG194="","",IF(_xlpm.ex&lt;&gt;"",". "&amp;_xlpm.ex&amp;IF(Имя_пом="нет"," ("&amp;BG194&amp;")"," (пом. "&amp;BG194&amp;")"),IF(Имя_пом="нет"," ",", пом. ")&amp;BG194)),IF(_xlpm.nm="","",IF(_xlpm.md=2,_xlpm.nm&amp;" шлейф "&amp;BE194,_xlpm.nm&amp;_xlpm.rm)))))</f>
        <v>Розеточная группа, пом. 004Б</v>
      </c>
      <c r="BJ194" t="str">
        <f t="shared" si="286"/>
        <v>Розеточная группа, пом. 004Б</v>
      </c>
      <c r="BK194">
        <f>IFERROR(_xlfn.XMATCH(A194,Щиты[Щит]),0)</f>
        <v>9</v>
      </c>
      <c r="BL194">
        <f>_xlfn.LET(_xlpm.k,IFERROR(_xlfn.XLOOKUP(A194,Щиты[Щит],Щиты[Мест под вводной узел]),""),IF(_xlpm.k="",Столбцов_на_лист,N(_xlpm.k)))</f>
        <v>8</v>
      </c>
      <c r="BM194">
        <f t="shared" si="287"/>
        <v>20</v>
      </c>
      <c r="BN194" t="str">
        <f t="shared" si="288"/>
        <v>линии</v>
      </c>
      <c r="BO194" s="6">
        <f>IFERROR(N(_xlfn.XLOOKUP(BC194,Коды_код,Коды_квт)),0)</f>
        <v>0</v>
      </c>
      <c r="BP194">
        <f t="shared" si="289"/>
        <v>0</v>
      </c>
      <c r="BQ194" t="str">
        <f>IF(B194="","",IF(BH194&lt;&gt;"",IFERROR(_xlfn.XLOOKUP(BH194,Щиты[Щит],Щиты[Руст, кВт]),0),IF(BP194=1,IF(OR(N(_xlfn.XLOOKUP(A194,Щиты[Щит],Щиты[Вводов],1))&lt;=1,LOWER(TRIM(_xlfn.XLOOKUP(A194,Щиты[Щит],Щиты[АВР],"")&amp;""))="да"),IFERROR(_xlfn.XLOOKUP(A194,Щиты[Щит],Щиты[Руст, кВт]),0),SUMIFS(Линии[_Р для вводов],Линии[Щит],A194,Линии[Источник для режимов],GF194)),IF(BO194&gt;0,ROUND(BO194*MAX(1,N(D194)),3),""))))</f>
        <v/>
      </c>
      <c r="BR194">
        <f t="shared" si="290"/>
        <v>0.18</v>
      </c>
      <c r="BS194" s="6">
        <f>IF(B194="","",IF(BH194&lt;&gt;"",IFERROR(_xlfn.XLOOKUP(BH194,Щиты[Щит],Щиты[Руст, кВт]),0),N(BR194)))</f>
        <v>0.18</v>
      </c>
      <c r="BT194" t="str">
        <f>IF(B194="","",IFERROR(IF(VLOOKUP(BC194,Потребители_обозначение,8,FALSE)=0,"",VLOOKUP(BC194,Потребители_обозначение,8,FALSE)),""))</f>
        <v/>
      </c>
      <c r="BU194">
        <f t="shared" si="291"/>
        <v>230</v>
      </c>
      <c r="BV194">
        <f t="shared" si="292"/>
        <v>0</v>
      </c>
      <c r="BW194">
        <f>IF(B194="","",IF(BH194&lt;&gt;"",3,IFERROR(IF(N(VLOOKUP(BC194,Потребители_обозначение,9,FALSE))=0,1,VLOOKUP(BC194,Потребители_обозначение,9,FALSE)),1)))</f>
        <v>1</v>
      </c>
      <c r="BX194">
        <f t="shared" si="293"/>
        <v>1</v>
      </c>
      <c r="BY194" t="str">
        <f>IF(B194="","",_xlfn.LET(_xlpm.bc,IFERROR(IF(VLOOKUP(BC194,Потребители_обозначение,6,FALSE)=0,"",VLOOKUP(BC194,Потребители_обозначение,6,FALSE)&amp;""),""),IF(AND(GA194="да",OR(_xlpm.bc="",_xlpm.bc="мс")),Марка_пож,IF(AND(_xlpm.bc="",BH194&lt;&gt;""),"мс",_xlpm.bc))))</f>
        <v/>
      </c>
      <c r="BZ194" t="str">
        <f t="shared" si="294"/>
        <v>мс</v>
      </c>
      <c r="CA194">
        <f>IF(B194="","",_xlfn.LET(_xlpm.cc,IFERROR(N(VLOOKUP(BC194,Потребители_обозначение,7,FALSE)),0),IF(_xlpm.cc&gt;0,_xlpm.cc,IF(BZ194="","",IF(BV194=1,2,IF(N(BX194)=3,5,3))))))</f>
        <v>3</v>
      </c>
      <c r="CB194">
        <f t="shared" si="295"/>
        <v>3</v>
      </c>
      <c r="CC194">
        <f>IFERROR(N(VLOOKUP(BC194,Потребители_обозначение,10,FALSE)),0)</f>
        <v>0</v>
      </c>
      <c r="CD194">
        <f>IFERROR(VLOOKUP(BC194,Потребители_обозначение,5,FALSE),0)</f>
        <v>1</v>
      </c>
      <c r="CE194" s="6" cm="1">
        <f t="array" ref="CE194">IF(B194="","",IF(BH194&lt;&gt;"",IFERROR(_xlfn.XLOOKUP(BH194,Щиты[Щит],Щиты[cos φ]),0.95),IF(BP194=1,IFERROR(_xlfn.XLOOKUP(A194,Щиты[Щит],Щиты[cos φ]),0.95),IF(ISNUMBER(AD194),AD194,IFERROR(IF(CD194=2,_xlfn.IFS(BX194=3,VLOOKUP(BS194,Справочная_двигатели,8,FALSE),BX194=1,VLOOKUP(BS194,Справочная_двигатели,10,TRUE)),IF(AND(Методика="нормы 2026",FG194="Сил"),0.8,0.95)),0.95)))))</f>
        <v>0.95</v>
      </c>
      <c r="CF194">
        <f t="shared" si="296"/>
        <v>0</v>
      </c>
      <c r="CG194">
        <f t="shared" si="297"/>
        <v>1</v>
      </c>
      <c r="CH194">
        <f t="shared" si="298"/>
        <v>0</v>
      </c>
      <c r="CI194">
        <f>IF(B194="","",IF(BV194=1,IFERROR(BS194/((Uн_лин/SQRT(3))*MAX(0.5,N(CE194))),0),N(O194)))</f>
        <v>0.8204451193747313</v>
      </c>
      <c r="CJ194">
        <f t="shared" si="299"/>
        <v>0</v>
      </c>
      <c r="CK194">
        <f t="shared" si="300"/>
        <v>0</v>
      </c>
      <c r="CL194">
        <f t="shared" si="301"/>
        <v>0</v>
      </c>
      <c r="CM194">
        <f t="shared" si="302"/>
        <v>0</v>
      </c>
      <c r="CN194">
        <f t="shared" si="303"/>
        <v>0</v>
      </c>
      <c r="CO194">
        <f>IF(BC194="",0,_xlfn.LET(_xlpm.v,IFERROR(_xlfn.XLOOKUP(B194,Коды_код,Коды_мА),IFERROR(_xlfn.XLOOKUP(BC194,Коды_код,Коды_мА),IFERROR(_xlfn.XLOOKUP(LEFT(BC194,2),Коды_код,Коды_мА),""))),IF(_xlpm.v="да",30,IF(ISNUMBER(_xlpm.v),_xlpm.v,0))))</f>
        <v>30</v>
      </c>
      <c r="CP194">
        <f t="shared" si="304"/>
        <v>30</v>
      </c>
      <c r="CQ194" t="str">
        <f>_xlfn.LET(_xlpm.k,IFERROR(_xlfn.XLOOKUP(BC194,Коды_код,Коды_утечка)&amp;"",""),IF(_xlpm.k="","дифавтомат",_xlpm.k))</f>
        <v>дифавтомат</v>
      </c>
      <c r="CR194" t="str" cm="1">
        <f t="array" ref="CR194">IF(CG194=0,"",_xlfn.LET(_xlpm.sg,TRIM(_xlfn.TEXTSPLIT(DD194&amp;"",";")),_xlpm.f_,_xlfn._xlws.FILTER(_xlpm.sg,LEFT(_xlpm.sg,3)="УЗО",""),IFERROR(INDEX(_xlpm.f_,1)&amp;"","")))</f>
        <v/>
      </c>
      <c r="CS194" t="str">
        <f t="shared" si="305"/>
        <v/>
      </c>
      <c r="CT194" s="6" t="str" cm="1">
        <f t="array" ref="CT194">IF(CR194="","",_xlfn.LET(_xlpm.tk,_xlfn.TEXTSPLIT(UPPER(CR194)," ",,TRUE),_xlpm.a_,_xlfn._xlws.FILTER(_xlpm.tk,ISNUMBER(--LEFT(_xlpm.tk,1))*((ISNUMBER(SEARCH("А",_xlpm.tk))+ISNUMBER(SEARCH("A",_xlpm.tk)))&gt;0)*NOT(ISNUMBER(SEARCH("МА",_xlpm.tk)))*NOT(ISNUMBER(SEARCH("MA",_xlpm.tk))),""),IFERROR(--SUBSTITUTE(SUBSTITUTE(INDEX(_xlpm.a_,1),"А",""),"A",""),"")))</f>
        <v/>
      </c>
      <c r="CU194" t="str" cm="1">
        <f t="array" ref="CU194">IF(CR194="","",_xlfn.LET(_xlpm.tk,_xlfn.TEXTSPLIT(UPPER(CR194)," ",,TRUE),_xlpm.a_,_xlfn._xlws.FILTER(_xlpm.tk,ISNUMBER(--LEFT(_xlpm.tk,1))*((ISNUMBER(SEARCH("МА",_xlpm.tk))+ISNUMBER(SEARCH("MA",_xlpm.tk)))&gt;0),""),IFERROR(--SUBSTITUTE(SUBSTITUTE(INDEX(_xlpm.a_,1),"МА",""),"MA",""),30)))</f>
        <v/>
      </c>
      <c r="CV194" t="str">
        <f>IF(CS194="","",IFERROR(_xlfn.XLOOKUP(CS194,Линии[_n],Линии[_УЗО, мА]),30))</f>
        <v/>
      </c>
      <c r="CW194">
        <f>IF(CS194="",0,IF(ISNUMBER(SEARCH("4P",IFERROR(_xlfn.XLOOKUP(CS194,Линии[_n],Линии[_УЗО строки])&amp;"",""))),0,1))</f>
        <v>0</v>
      </c>
      <c r="CX194" t="str">
        <f>IF(AND(CS194&lt;&gt;"",CS194=BA194),SUMIFS(Линии[_ток на 230 В],Линии[_блок УЗО],BA194,Линии[Щит],A194),"")</f>
        <v/>
      </c>
      <c r="CY194" t="str">
        <f>IF(AND(CS194&lt;&gt;"",CS194=BA194),SUMIFS(Линии[_ток утечки линии, мА],Линии[_блок УЗО],BA194,Линии[Щит],A194),"")</f>
        <v/>
      </c>
      <c r="CZ194">
        <f t="shared" si="306"/>
        <v>30</v>
      </c>
      <c r="DA194">
        <f t="shared" si="307"/>
        <v>30</v>
      </c>
      <c r="DB194">
        <f>IF(B194="",0,IFERROR(--_xlfn.XLOOKUP(B194,Коды_код,Коды_минавт),IFERROR(--_xlfn.XLOOKUP(BC194,Коды_код,Коды_минавт),IFERROR(--_xlfn.XLOOKUP(LEFT(BC194,2),Коды_код,Коды_минавт),0))))</f>
        <v>16</v>
      </c>
      <c r="DC194" t="str">
        <f>IF(B194="","",IFERROR(_xlfn.XLOOKUP(BC194,Коды_код,Коды_апп)&amp;"",""))</f>
        <v/>
      </c>
      <c r="DD194" t="str">
        <f t="shared" si="308"/>
        <v/>
      </c>
      <c r="DE194" t="str" cm="1">
        <f t="array" ref="DE194">IF(TRIM(DD194&amp;"")="","",IFERROR(TRIM(INDEX(_xlfn.TEXTSPLIT(DD194&amp;";;;",";"),1)),""))</f>
        <v/>
      </c>
      <c r="DF194" t="str" cm="1">
        <f t="array" ref="DF194">IF(TRIM(DD194&amp;"")="","",IFERROR(TRIM(INDEX(_xlfn.TEXTSPLIT(DD194&amp;";;;",";"),2)),""))</f>
        <v/>
      </c>
      <c r="DG194" t="str" cm="1">
        <f t="array" ref="DG194">IF(TRIM(DD194&amp;"")="","",IFERROR(TRIM(INDEX(_xlfn.TEXTSPLIT(DD194&amp;";;;",";"),3)),""))</f>
        <v/>
      </c>
      <c r="DH194">
        <f t="shared" si="309"/>
        <v>0</v>
      </c>
      <c r="DI194" t="str">
        <f>IF(B194="","",_xlfn.LET(_xlpm.t,LOWER(AZ194&amp;""),IF(ISNUMBER(SEARCH("dim",_xlpm.t)),"DIM",IF(ISNUMBER(SEARCH("dali",_xlpm.t)),"DALI",IF(OR(ISNUMBER(SEARCH("relay",_xlpm.t)),ISNUMBER(SEARCH("реле",_xlpm.t))),"Relay",IF(ISNUMBER(SEARCH("кнопк",_xlpm.t)),"",IFERROR(_xlfn.XLOOKUP(BC194,Коды_код,Коды_упр)&amp;"","")))))))</f>
        <v/>
      </c>
      <c r="DJ194" t="str">
        <f t="shared" si="310"/>
        <v/>
      </c>
      <c r="DK194">
        <f>IF(B194="","",_xlfn.LET(_xlpm.ig,IF(N(CX194)&gt;0,N(CX194),N(CI194)+IF(AJ194="вручную",0,N(CJ194))),_xlpm.n0,IFERROR(VLOOKUP(_xlpm.ig,Автомат_номиналы,2,TRUE),0),_xlpm.mn,MAX(DB194,IF(AJ194="вручную",0,N(CM194))),MAX(_xlpm.n0,_xlpm.mn,IF(DH194=1,Мин_автомат_БП,0))))</f>
        <v>16</v>
      </c>
      <c r="DL194">
        <f t="shared" si="311"/>
        <v>1</v>
      </c>
      <c r="DM194" t="str">
        <f t="shared" si="312"/>
        <v>2P</v>
      </c>
      <c r="DN194" t="str">
        <f>_xlfn.LET(_xlpm.cc,UPPER(TRIM(IFERROR(_xlfn.XLOOKUP(BC194,Коды_код,Коды_хар)&amp;"",""))),IF(OR(_xlpm.cc="B",_xlpm.cc="В"),"B",IF(_xlpm.cc="D","D","С")))</f>
        <v>С</v>
      </c>
      <c r="DO194" t="str">
        <f t="shared" si="313"/>
        <v>2P С16А 30мА</v>
      </c>
      <c r="DP194" t="str">
        <f t="shared" si="314"/>
        <v>2P С16А 30мА</v>
      </c>
      <c r="DQ194" t="str">
        <f t="shared" si="315"/>
        <v>2P С16А 30мА</v>
      </c>
      <c r="DR194" cm="1">
        <f t="array" ref="DR194">IF(DQ194="","",_xlfn.LET(_xlpm.t,SUBSTITUTE(SUBSTITUTE(SUBSTITUTE(UPPER(DQ194),"С","C"),"А","A"),"В","B"),_xlpm.tk,_xlfn.TEXTSPLIT(_xlpm.t," "),_xlpm.f,_xlfn._xlws.FILTER(_xlpm.tk,ISNUMBER(--MID(_xlpm.tk,2,1))*ISNUMBER(SEARCH(LEFT(_xlpm.tk,1)&amp;"#","B#C#D#"))*(LEN(_xlpm.tk)&gt;1),""),_xlpm.x,INDEX(_xlpm.f,1),IFERROR(--SUBSTITUTE(MID(_xlpm.x,2,9),"A",""),IFERROR(--SUBSTITUTE(INDEX(_xlfn._xlws.FILTER(_xlpm.tk,ISNUMBER(--SUBSTITUTE(_xlpm.tk,"A","")),""),1),"A",""),""))))</f>
        <v>16</v>
      </c>
      <c r="DS194" t="str">
        <f t="shared" si="316"/>
        <v>ok</v>
      </c>
      <c r="DT194">
        <f t="shared" si="317"/>
        <v>16</v>
      </c>
      <c r="DU194" t="str">
        <f t="shared" si="318"/>
        <v>2P С16А 30мА</v>
      </c>
      <c r="DV194">
        <f t="shared" si="319"/>
        <v>30</v>
      </c>
      <c r="DW194">
        <f t="shared" si="320"/>
        <v>1</v>
      </c>
      <c r="DX194">
        <f t="shared" si="321"/>
        <v>0</v>
      </c>
      <c r="DY194">
        <f t="shared" si="322"/>
        <v>0.8204451193747313</v>
      </c>
      <c r="DZ194">
        <f t="shared" si="323"/>
        <v>1</v>
      </c>
      <c r="EA194">
        <f>IF(ISNUMBER(AP194),AP194,К_прокл)</f>
        <v>1</v>
      </c>
      <c r="EB194">
        <f t="shared" si="324"/>
        <v>2</v>
      </c>
      <c r="EC194">
        <f>IFERROR(N(VLOOKUP(BZ194,Кабель_обозначение,3,FALSE)),1)</f>
        <v>1</v>
      </c>
      <c r="ED194">
        <f>IFERROR(N(_xlfn.XLOOKUP(A194,Щиты[Щит],Щиты[ΔU до шин, %])),0)</f>
        <v>0.43</v>
      </c>
      <c r="EE194" t="str">
        <f>IFERROR(_xlfn.XLOOKUP(A194,Щиты[Щит],Щиты[Zпетли на шинах, Ом]),"")</f>
        <v/>
      </c>
      <c r="EF194">
        <f>IFERROR(N(_xlfn.XLOOKUP(A194,Щиты[Щит],Щиты[ΔU до шин (подбор), %])),0)</f>
        <v>0.43</v>
      </c>
      <c r="EG194" t="str">
        <f>IFERROR(_xlfn.XLOOKUP(A194,Щиты[Щит],Щиты[Zпетли на шинах (подбор), Ом]),"")</f>
        <v/>
      </c>
      <c r="EH194" t="str">
        <f t="shared" si="325"/>
        <v/>
      </c>
      <c r="EI194">
        <f t="shared" si="326"/>
        <v>20</v>
      </c>
      <c r="EJ194">
        <f t="shared" si="327"/>
        <v>2</v>
      </c>
      <c r="EK194">
        <f t="shared" si="328"/>
        <v>0.31</v>
      </c>
      <c r="EL194" s="6">
        <f>IF(B194="","",IF(BV194=1,dU_LED,IF(IFERROR(_xlfn.XLOOKUP(BC194,Коды_код,Коды_уго),"")="Светильник",3,4)+IF(Методика="нормы 2026",MIN(0.5,MAX(0,N(P194)-100)*0.005),0)))</f>
        <v>4</v>
      </c>
      <c r="EM194" cm="1">
        <f t="array" ref="EM194">IF(OR(B194="",BZ194="",EC194&lt;&gt;1),"",_xlfn.LET(_xlpm.sz,Iдоп_S,_xlpm.t_,CHOOSE(EB194,Iдоп_1ж,Iдоп_2ж,Iдоп_3ж)*DZ194*EA194,_xlpm.dcx,BV194=1,_xlpm.inn,IF(_xlpm.dcx,N(O194),N(DT194)),_xlpm.smin,MAX(1.5,CC194),_xlpm.L_,N(P194)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194)/N(BU194)*100,999),IFERROR(N(EJ194)*(_xlpm.rho*_xlpm.L_/_xlpm.sz*N(CE194)+_xlpm.xx*_xlpm.L_*N(EK194)/1000)*N(O194)/((Uн_лин/SQRT(3))*1000)*100,999)),_xlpm.kz,IF(OR(_xlpm.dcx,DW194=1,NOT(ISNUMBER(EG194)),_xlpm.L_=0,_xlpm.inn=0),1,IFERROR(--(c_min*(Uн_лин*1000/SQRT(3))/(EG194+2*ρкз_Cu*_xlpm.L_/_xlpm.sz)&gt;=HT194*_xlpm.inn),0)),_xlpm.ok,IFERROR((_xlpm.sz&gt;=_xlpm.smin)*(_xlpm.t_&gt;=_xlpm.inn)*IF(_xlpm.L_&gt;0,(_xlpm.du_+IF(_xlpm.dcx,0,EF194)&lt;=EL194+0.00001),1)*_xlpm.kz,0),_xlpm.r_,_xlfn._xlws.FILTER(_xlpm.sz,_xlpm.ok,"не подобрано"),INDEX(_xlpm.r_,1)))</f>
        <v>1.5</v>
      </c>
      <c r="EN194">
        <f t="shared" si="329"/>
        <v>2.5</v>
      </c>
      <c r="EO194" cm="1">
        <f t="array" ref="EO194">IF(OR(B194="",BZ194="",EC194&lt;&gt;1),"",_xlfn.LET(_xlpm.sz,Iдоп_S,_xlpm.t_,CHOOSE(EB194,Iдоп_1ж,Iдоп_2ж,Iдоп_3ж)*DZ194*EA194,_xlpm.ok,IFERROR((_xlpm.sz&gt;=MAX(1.5,CC194))*(_xlpm.t_&gt;=N(DT194)),0),_xlpm.r_,_xlfn._xlws.FILTER(_xlpm.sz,_xlpm.ok,""),INDEX(_xlpm.r_,1)))</f>
        <v>1.5</v>
      </c>
      <c r="EP194" s="6" cm="1">
        <f t="array" ref="EP194">IFERROR(ROUNDUP(N(EJ194)*(_xlfn.XLOOKUP(EO194,INDEX(Кабель_сопротивление,0,1),INDEX(Кабель_сопротивление,0,3))*N(P194)/EO194*N(CE194)+_xlfn.XLOOKUP(EO194,INDEX(Кабель_сопротивление,0,1),INDEX(Кабель_сопротивление,0,2))*N(P194)*N(EK194)/1000)*N(O194)/((Uн_лин/SQRT(3))*1000)*100,2),"")</f>
        <v>0.36</v>
      </c>
      <c r="EQ194">
        <f>IFERROR(2*ρкз_Cu*N(P194)/EO194,"")</f>
        <v>1.2273333333333334</v>
      </c>
      <c r="ER194">
        <f>IFERROR(VLOOKUP(EN194,Кабель_сопротивление,3,FALSE),"")</f>
        <v>2.2499999999999999E-2</v>
      </c>
      <c r="ES194">
        <f>IFERROR(VLOOKUP(EN194,Кабель_сопротивление,2,FALSE),"")</f>
        <v>0.1</v>
      </c>
      <c r="ET194">
        <f t="shared" si="330"/>
        <v>23</v>
      </c>
      <c r="EU194">
        <f t="shared" si="331"/>
        <v>0</v>
      </c>
      <c r="EV194">
        <f t="shared" si="332"/>
        <v>0.49281676985481981</v>
      </c>
      <c r="EW194" s="6">
        <f>IFERROR(ROUNDUP(EV194/IF(BV194=1,BU194,(Uн_лин/SQRT(3))*1000)*100,2),"")</f>
        <v>0.22</v>
      </c>
      <c r="EX194" t="str">
        <f>IFERROR(VLOOKUP(BZ194,Кабель_обозначение,2,FALSE),"")</f>
        <v>ВВГнг(А)-LS</v>
      </c>
      <c r="EY194" t="str">
        <f t="shared" si="333"/>
        <v>ВВГнг(А)-LS (3х2,5)</v>
      </c>
      <c r="EZ194" t="str">
        <f t="shared" si="334"/>
        <v>ВВГнг(А)-LS (3х2,5)
L=35-0,22%</v>
      </c>
      <c r="FA194">
        <f>IFERROR(2*ρкз_Cu*P194/EN194,"")</f>
        <v>0.73639999999999994</v>
      </c>
      <c r="FB194">
        <f t="shared" si="335"/>
        <v>0.24500000000000002</v>
      </c>
      <c r="FC194" s="6" t="str">
        <f>IFERROR(IF(OR(B194="",BV194=1,NOT(ISNUMBER(EN194)),N(P194)=0),"",_xlfn.XLOOKUP(A194,Щиты[Щит],Щиты[Zпетли на шинах, Ом])+FA194),"")</f>
        <v/>
      </c>
      <c r="FD194" s="6" t="str">
        <f>IF(ISNUMBER(FC194),c_min*(Uн_лин*1000/SQRT(3))/FC194,"")</f>
        <v/>
      </c>
      <c r="FE194" s="6" t="str">
        <f>IFERROR(IF(OR(B194="",NOT(ISNUMBER(EN194))),"",1.05*(Uн_лин*1000/SQRT(3))/(_xlfn.XLOOKUP(A194,Щиты[Щит],Щиты[Zmax на шинах, Ом])+FB194)/1000),"")</f>
        <v/>
      </c>
      <c r="FF194" s="6" t="str">
        <f>IF(B194="","",IF(ISNUMBER(AC194),"Сил",IF(IFERROR(_xlfn.XLOOKUP(BC194,Коды_код,Коды_группа)&amp;"","")="","Быт",_xlfn.XLOOKUP(BC194,Коды_код,Коды_группа)&amp;"")))</f>
        <v>Быт</v>
      </c>
      <c r="FG194" s="6" t="str">
        <f t="shared" si="336"/>
        <v>Быт</v>
      </c>
      <c r="FH194" s="6">
        <f>IF(FG194="Щит","щит",IF(FG194="","",IF(FG194="Быт",IFERROR(_xlfn.XLOOKUP(A194,Щиты[Щит],Щиты[Кс быт]),1),IF(FG194="Сил",IF(ISNUMBER(AC194),AC194,IF(Методика="нормы 2026",IFERROR(_xlfn.XLOOKUP(A194,Щиты[Щит],Щиты[Кс силовых (табл. 7.5)]),1),1)),IF(OR(FG194="Пост",FG194="Отоп"),1,IF(FG194="ВНГ",0.7,0))))))</f>
        <v>0.79799999999999993</v>
      </c>
      <c r="FI194">
        <f>IF(FG194="","",IF(AND(BP194=1,TRIM(AE194&amp;"")=""),IF(COUNTIFS(Линии[Щит],A194,Линии[Секция (1/2/3)],"&gt;=2")&gt;0,MIN(3,MAX(1,IFERROR(--BD194,1))),1),IFERROR(MIN(3,MAX(1,INT(--AE194))),1)))</f>
        <v>1</v>
      </c>
      <c r="FJ194">
        <f t="shared" si="337"/>
        <v>0.18</v>
      </c>
      <c r="FK194">
        <f t="shared" si="338"/>
        <v>0.18</v>
      </c>
      <c r="FL194">
        <f t="shared" si="339"/>
        <v>0</v>
      </c>
      <c r="FM194">
        <f t="shared" si="340"/>
        <v>0</v>
      </c>
      <c r="FN194">
        <f t="shared" si="341"/>
        <v>0</v>
      </c>
      <c r="FO194">
        <f t="shared" si="342"/>
        <v>0</v>
      </c>
      <c r="FP194">
        <f t="shared" si="343"/>
        <v>0.18</v>
      </c>
      <c r="FQ194">
        <f t="shared" si="344"/>
        <v>0.18</v>
      </c>
      <c r="FR194">
        <f t="shared" si="345"/>
        <v>0.17099999999999999</v>
      </c>
      <c r="FS194">
        <f>IF(CG194=1,IF(AND(CH194=1,CW194=1),0,IF(AND(CS194&lt;&gt;"",CS194=BA194,CW194=1),SUMIFS(Линии[_Р линии, кВт],Линии[_блок УЗО],BA194,Линии[Щит],A194),N(BS194)+IF(AJ194="вручную",0,N(CK194)))),0)</f>
        <v>0.18</v>
      </c>
      <c r="FT194" t="str">
        <f t="shared" si="346"/>
        <v>L3</v>
      </c>
      <c r="FU194" t="str">
        <f>IF(B194="","",IF(CG194=0,IF(BA194=1,"",FW193),IF(AND(CH194=1,CW194=1,CS194&lt;&gt;""),IFERROR(_xlfn.XLOOKUP(CS194,Линии[_n],Линии[_фаза итог]),"L1"),IF(OR(N(DL194)&gt;=3,N(BX194)&gt;=3),"L1,L2,L3",IFERROR(_xlfn.TEXTBEFORE(_xlfn.TEXTAFTER(_xlfn.XLOOKUP(A194,Щиты[Щит],Щиты[_фазы авто]),";"&amp;BA194&amp;":"),";"),"L1")))))</f>
        <v>L1</v>
      </c>
      <c r="FV194" t="str">
        <f t="shared" si="347"/>
        <v>L3</v>
      </c>
      <c r="FW194" t="str">
        <f t="shared" si="348"/>
        <v>L3</v>
      </c>
      <c r="FX194" cm="1">
        <f t="array" ref="FX194">IFERROR(IF(CD194=2,_xlfn.IFS(BX194=3,VLOOKUP(BS194,Справочная_двигатели,3,FALSE),BX194=1,VLOOKUP(BS194,Справочная_двигатели,5,TRUE)),0),0)</f>
        <v>0</v>
      </c>
      <c r="FY194">
        <f>IFERROR(IF(CD194=3,VLOOKUP(BS194,Справочная_ЛЭД,2,TRUE),0),0)</f>
        <v>0</v>
      </c>
      <c r="FZ194" s="6">
        <f t="shared" si="349"/>
        <v>0</v>
      </c>
      <c r="GA194" t="str">
        <f>IF(B194="","",IF(TRIM(AH194&amp;"")&lt;&gt;"",IF(LOWER(TRIM(AH194&amp;""))="да","да","нет"),IF(IFERROR(_xlfn.XLOOKUP(BC194,Коды_код,Коды_пожарная),"")="да","да","нет")))</f>
        <v>нет</v>
      </c>
      <c r="GB194" t="str">
        <f t="shared" si="350"/>
        <v/>
      </c>
      <c r="GC194" t="str">
        <f t="shared" si="351"/>
        <v>основная</v>
      </c>
      <c r="GD194">
        <f>IF(AND(BP194=1,TRIM(AE194&amp;"")=""),IF(COUNTIFS(Линии[Щит],A194,Линии[Секция (1/2/3)],"&gt;=2")&gt;0,MIN(3,MAX(1,IFERROR(--BD194,1))),1),IFERROR(MIN(3,MAX(1,INT(--AE194))),1))</f>
        <v>1</v>
      </c>
      <c r="GE194" t="str" cm="1">
        <f t="array" ref="GE194">IF(B194="","",_xlfn.LET(_xlpm.t,IFERROR(_xlfn.XLOOKUP(1,(Шины[Шина]=GC194)*(((Шины[Щит]=A194)+(Шины[Щит]=""))&gt;0),Шины[Тип]),"")&amp;"",IF(_xlpm.t&lt;&gt;"",_xlpm.t,IF(ISNUMBER(SEARCH("ИБП",GC194)),"ИБП",IF(ISNUMBER(SEARCH("ДГУ",GC194)),"ДГУ","Ввод "&amp;GD194)))))</f>
        <v>Ввод 1</v>
      </c>
      <c r="GF194" t="str">
        <f t="shared" si="352"/>
        <v>Ввод 1</v>
      </c>
      <c r="GG194" t="str">
        <f>IF(BP194=0,"",IF(TRIM(AG194&amp;"")&lt;&gt;"",TRIM(AG194&amp;""),IF(OR(GE194="ИБП",GE194="ДГУ"),"I особая",_xlfn.XLOOKUP(A194,Щиты[Щит],Щиты[Категория шины «Ввод»],"III"))))</f>
        <v/>
      </c>
      <c r="GH194" t="str">
        <f>IF(A194="","",_xlfn.XLOOKUP(A194,Щиты[Щит],Щиты[Путь],""))</f>
        <v>|ГРЩ-ЖД|ЩР-01|</v>
      </c>
      <c r="GI194" t="str">
        <f>IF(B194="","",IF(AI194&lt;&gt;"",AI194,IF(IFERROR(_xlfn.XLOOKUP(BC194,Коды_код,Коды_вид)&amp;"","")="","Прочее",_xlfn.XLOOKUP(BC194,Коды_код,Коды_вид)&amp;"")))</f>
        <v>Розеточная сеть и бытовые приборы</v>
      </c>
      <c r="GJ194">
        <f>IF(BM194="","",INT((BM194-1)/Столбцов_на_лист)+1)</f>
        <v>2</v>
      </c>
      <c r="GK194" t="str">
        <f t="shared" si="353"/>
        <v>ВВГнг(А)-LS (3х2,5) L=35-0,22%</v>
      </c>
      <c r="GL194">
        <f t="shared" si="354"/>
        <v>0.18</v>
      </c>
      <c r="GM194">
        <f t="shared" si="355"/>
        <v>0.83</v>
      </c>
      <c r="GN194">
        <f t="shared" si="356"/>
        <v>1</v>
      </c>
      <c r="GO194">
        <f t="shared" si="357"/>
        <v>0</v>
      </c>
      <c r="GP194">
        <f t="shared" si="358"/>
        <v>1</v>
      </c>
      <c r="GQ194">
        <f>IF(BM194="","",IF(AND(CG194=1,GP194=1),COUNTIFS(A$3:A194,A194,CG$3:CG194,1,GP$3:GP194,1),IF(OR(OR(BA194=1,A194&lt;&gt;A193),AJ194="вручную",GP194=0),"",IF(BA194=1,"",GR193))))</f>
        <v>10</v>
      </c>
      <c r="GR194">
        <f t="shared" si="359"/>
        <v>10</v>
      </c>
      <c r="GS194">
        <f>IF(B194="","",IFERROR(LOOKUP(INDEX(CHOOSE(EB194,Iдоп_1ж,Iдоп_2ж,Iдоп_3ж),MATCH(EN194,Iдоп_S,0))*DZ194*EA194,{6,10,16,20,25,32,40,50,63,80,100,125,160,200,250,315,400,500,630}),""))</f>
        <v>25</v>
      </c>
      <c r="GT194" t="str">
        <f t="shared" si="360"/>
        <v>QFD10</v>
      </c>
      <c r="GU194" t="str">
        <f t="shared" si="361"/>
        <v>QFD10</v>
      </c>
      <c r="GV194" t="str">
        <f t="shared" si="362"/>
        <v/>
      </c>
      <c r="GW194">
        <f t="shared" si="363"/>
        <v>0</v>
      </c>
      <c r="GX194" t="str">
        <f>IF(OR(B194="",DJ194=""),"",IFERROR(_xlfn.XLOOKUP(DJ194,Модули_умолч[Управление],Модули_умолч[Модель])&amp;"",""))</f>
        <v/>
      </c>
      <c r="GY194">
        <f>IF(DJ194="",1,IFERROR(MAX(0,N(_xlfn.XLOOKUP(DJ194,Модули_умолч[Управление],Модули_умолч[Каналов на линию]))),1))</f>
        <v>1</v>
      </c>
      <c r="GZ194" t="str">
        <f t="shared" si="364"/>
        <v/>
      </c>
      <c r="HA194" t="str">
        <f t="shared" si="365"/>
        <v/>
      </c>
      <c r="HB194" t="str">
        <f t="shared" si="366"/>
        <v/>
      </c>
      <c r="HC194">
        <f>IF(HB194="",0,IFERROR(N(VLOOKUP(HB194,Модули_спр,3,FALSE)),0))</f>
        <v>0</v>
      </c>
      <c r="HD194" t="str">
        <f t="shared" si="367"/>
        <v/>
      </c>
      <c r="HE194" t="str">
        <f t="shared" si="368"/>
        <v/>
      </c>
      <c r="HF194" t="str">
        <f>IF(OR(HE194="",HE194="-"),"",IFERROR(VLOOKUP(HE194,Модули_спр,2,FALSE),"R"))</f>
        <v/>
      </c>
      <c r="HG194" t="str">
        <f>IF(HF194="","",HF194&amp;"."&amp;COUNTIFS(A$3:A194,A194,HF$3:HF194,HF194))</f>
        <v/>
      </c>
      <c r="HH194" t="str">
        <f t="shared" si="369"/>
        <v/>
      </c>
      <c r="HI194" t="str">
        <f t="shared" si="370"/>
        <v/>
      </c>
      <c r="HJ194" t="str">
        <f t="shared" si="371"/>
        <v/>
      </c>
      <c r="HK194" t="str">
        <f t="shared" si="372"/>
        <v/>
      </c>
      <c r="HL194">
        <f t="shared" si="373"/>
        <v>1</v>
      </c>
      <c r="HM194" t="str">
        <f>IF(HL194=1,"XT"&amp;COUNTIFS(A$3:A194,A194,HL$3:HL194,1),"")</f>
        <v>XT10</v>
      </c>
      <c r="HN194" t="str">
        <f t="shared" si="374"/>
        <v>XT10</v>
      </c>
      <c r="HO194" t="str">
        <f t="shared" si="375"/>
        <v>QFD10</v>
      </c>
      <c r="HP194" t="str">
        <f t="shared" si="376"/>
        <v/>
      </c>
      <c r="HQ194" t="str">
        <f t="shared" si="377"/>
        <v>ok</v>
      </c>
      <c r="HR194" t="str">
        <f>IF(OR(HJ194="",HH194=""),"",IF(HJ194+MAX(0,GY194-1)&gt;IFERROR(VLOOKUP(HI194,Модули_спр,3,FALSE),99),"ЛИШНИЙ КАНАЛ",IF(AND(AL194&lt;&gt;"=",GY194&gt;0,COUNTIFS(Линии[_модуль гр.],HH194,Линии[Канал (итог)],HJ194,Линии[Канал],"&lt;&gt;=",Линии[Щит],A194)&gt;1),"ДУБЛЬ КАНАЛА","")))</f>
        <v/>
      </c>
      <c r="HS194" s="6" t="str">
        <f t="shared" si="378"/>
        <v/>
      </c>
      <c r="HT194">
        <f t="shared" si="379"/>
        <v>10</v>
      </c>
      <c r="HU194" t="str">
        <f t="shared" si="380"/>
        <v/>
      </c>
      <c r="HV194">
        <f t="shared" si="381"/>
        <v>0.67817804774989265</v>
      </c>
      <c r="HW194">
        <f t="shared" si="382"/>
        <v>0</v>
      </c>
      <c r="HX194">
        <f t="shared" si="383"/>
        <v>0</v>
      </c>
      <c r="HY194">
        <f t="shared" si="384"/>
        <v>0</v>
      </c>
      <c r="HZ194">
        <f t="shared" si="385"/>
        <v>0</v>
      </c>
      <c r="IA194">
        <f t="shared" si="386"/>
        <v>0</v>
      </c>
      <c r="IB194">
        <f t="shared" si="387"/>
        <v>0</v>
      </c>
      <c r="IC194" t="str">
        <f t="shared" si="388"/>
        <v/>
      </c>
      <c r="ID194" t="str" cm="1">
        <f t="array" ref="ID194">IF(IC194="","",_xlfn.LET(_xlpm.tk,_xlfn.TEXTSPLIT(SUBSTITUTE(SUBSTITUTE(IC194,";"," "),"→"," ")," ",,TRUE),_xlpm.w_,_xlfn._xlws.FILTER(_xlpm.tk,ISNUMBER(--LEFT(_xlpm.tk,1))*((ISNUMBER(SEARCH("W",_xlpm.tk))+ISNUMBER(SEARCH("Вт",_xlpm.tk)))&gt;0),""),IFERROR(--SUBSTITUTE(SUBSTITUTE(UPPER(INDEX(_xlpm.w_,1)),"W",""),"ВТ",""),"")))</f>
        <v/>
      </c>
      <c r="IE194" t="str" cm="1">
        <f t="array" ref="IE194">IF(IC194="","",_xlfn.LET(_xlpm.tk,_xlfn.TEXTSPLIT(SUBSTITUTE(SUBSTITUTE(IC194,";"," "),"→"," ")," ",,TRUE),_xlpm.v_,_xlfn._xlws.FILTER(_xlpm.tk,ISNUMBER(--LEFT(_xlpm.tk,1))*((ISNUMBER(SEARCH("V",_xlpm.tk))+(RIGHT(UPPER(_xlpm.tk))="В"))&gt;0),""),IFERROR(--SUBSTITUTE(SUBSTITUTE(UPPER(INDEX(_xlpm.v_,1)),"V",""),"В",""),"")))</f>
        <v/>
      </c>
      <c r="IF194" s="6" t="str">
        <f>IF(OR(BV194=0,HI194="",HJ194=""),"",IFERROR(N(_xlfn.XLOOKUP(HI194,Каталог!$C$4:$C$500,Каталог!$Q$4:$Q$500)),""))</f>
        <v/>
      </c>
      <c r="IG194" s="6" t="str">
        <f>IF(N(IF194)=0,"",SUMIFS(Линии[Iр, А],Линии[Щит],A194,Линии[_модуль гр.],HH194,Линии[Канал (итог)],HJ194))</f>
        <v/>
      </c>
      <c r="IH194" t="str">
        <f>IF(AND(B194="",HO194=""),"",_xlfn.TEXTJOIN("; ",TRUE,IF(AND(B194&lt;&gt;"",FV194=""),"нет фазы",""),IF(AND(B194&lt;&gt;"",N(GL194)=0,FG194&lt;&gt;"Нет"),"нет мощности",""),IF(AND(HN194&lt;&gt;"",COUNTIFS(Линии[Щит],A194,Линии[Клемма (итог)],HN194)&gt;1),"дубль клеммы "&amp;HN194,""),IF(AND(HQ194&lt;&gt;"",HQ194&lt;&gt;"ok"),HQ194,""),IF(HR194&lt;&gt;"",HR194,""),IF(AND(N(CB194)&gt;=4,N(BX194)=1),CB194&amp;" жил на 1 фазе",""),IF(AND(BC194="R",CG194=1,IF(CS194&lt;&gt;"",N(CV194)&gt;30,OR(N(DA194)=0,N(DA194)&gt;30))),"розетка без дифзащиты до 30 мА",""),IF(AND(CG194=1,N(DA194)&gt;0,ISNUMBER(T194)),IF(T194&gt;N(DA194)/3,"ток утечки "&amp;FIXED(T194,1)&amp;" мА &gt; 1/3 уставки ("&amp;DA194&amp;" мА)",""),""),IF(AND(CH194=1,CS194=""),"«узо»: нет строки с УЗО выше (УЗО 2P 40А 30мА в «Аппаратах»)",""),IF(AND(CS194&lt;&gt;"",CS194=BA194),IF(CT194="","впишите номинал УЗО (УЗО 2P 40А 30мА)",IF(N(CT194)&lt;N(DT194),"УЗО "&amp;CT194&amp;" А &lt; автомата "&amp;DT194&amp;" А перед ним",IF(N(CT194)&lt;N(CX194),"УЗО "&amp;CT194&amp;" А &lt; тока блока "&amp;FIXED(CX194,1)&amp;" А",""))),""),IF(AND(CS194&lt;&gt;"",CS194=BA194,ISNUMBER(CY194)),IF(CY194&gt;N(CV194)/3,"ток утечки блока УЗО "&amp;FIXED(CY194,1)&amp;" мА &gt; 1/3 уставки ("&amp;CV194&amp;" мА)",""),""),IF(AND(CG194=1,N(BV194)+N(IB194)&gt;0,IC194=""),"линии до 50 В без БП: впишите в «Аппараты» (БП 24V 480W)",""),IF(AND(CG194=1,ISNUMBER(ID194),ISNUMBER(U194)),IF(U194&gt;ID194,"БП "&amp;ID194&amp;" Вт &lt; нужно "&amp;U194&amp;" Вт (×"&amp;Запас_БП&amp;")",""),""),IF(AND(CG194=1,ISNUMBER(IE194),N(BV194)=1),IF(IE194&lt;&gt;N(BU194),"БП на "&amp;IE194&amp;" В, линия "&amp;BU194&amp;" В",""),""),IF(AND(N(IF194)&gt;0,N(IG194)&gt;N(IF194)),HH194&amp;" канал "&amp;HJ194&amp;": "&amp;FIXED(IG194,1)&amp;" А &gt; "&amp;IF194&amp;" А",""),IFERROR(IF(AND(ISNUMBER(Q194),Q194&gt;EL194),"потери "&amp;FIXED(Q194,1)&amp;" % &gt; "&amp;EL194&amp;" %",""),""),IFERROR(IF(LEFT(HU194,4)="мало","Iкз мало — отключение &gt; 0,4 с",""),""),IF(AND(B194&lt;&gt;"",BM194=""),"не на схеме",""),IF(AND(CG194=0,B194&lt;&gt;"",FV194&lt;&gt;"",IF(BA194=1,"",FW193)&lt;&gt;"",FV194&lt;&gt;IF(BA194=1,"",FW193)),"фаза не как у автомата группы ("&amp;IF(BA194=1,"",FW193)&amp;")","")))</f>
        <v/>
      </c>
      <c r="II194" s="6">
        <f>IF(OR(CG194=0,DQ194=""),"",_xlfn.LET(_xlpm.t,IFERROR(_xlfn.XLOOKUP(DQ194,Каталог!$U$4:$U$500,Каталог!$G$4:$G$500),""),_xlpm.k,SEARCH("кА",_xlpm.t),IFERROR(--TRIM(RIGHT(SUBSTITUTE(MID(_xlpm.t,MAX(1,_xlpm.k-4),_xlpm.k-MAX(1,_xlpm.k-4))," ",REPT(" ",9)),5)),"")))</f>
        <v>6</v>
      </c>
      <c r="IJ194" t="str">
        <f>IF(OR(II194="",CG194=0),"",IF(_xlfn.XLOOKUP(A194,Щиты[Щит],Щиты[Iкз max на шинах, кА],"")="","",IF(II194&lt;_xlfn.XLOOKUP(A194,Щиты[Щит],Щиты[Iкз max на шинах, кА]),"Icu "&amp;II194&amp;" кА &lt; Iкз max","ok")))</f>
        <v/>
      </c>
      <c r="IK194" t="str">
        <f t="shared" si="389"/>
        <v/>
      </c>
      <c r="IL194" t="str">
        <f t="shared" si="390"/>
        <v>QFD10|XT10</v>
      </c>
      <c r="IM194" t="str">
        <f t="shared" si="391"/>
        <v>QFD10|XT10|кабель ВВГнг(А)-LS (3х2,5) → Розеточная группа, пом. 004Б</v>
      </c>
      <c r="IN194" t="str" cm="1">
        <f t="array" ref="IN194">IF(IM194="","",_xlfn.LET(_xlpm.nd,_xlfn.TEXTSPLIT(IM194,"|"),IF(COLUMNS(_xlpm.nd)&gt;1,A194&amp;"¦"&amp;INDEX(_xlpm.nd,1)&amp;"¦"&amp;INDEX(_xlpm.nd,2),"")))</f>
        <v>ЩР-01¦QFD10¦XT10</v>
      </c>
      <c r="IO194" t="str">
        <f t="shared" si="392"/>
        <v>R.0.004Б.1¦Розеточная группа, пом. 004Б</v>
      </c>
      <c r="IP194" t="str" cm="1">
        <f t="array" ref="IP194">IF(IM194="","",_xlfn.LET(_xlpm.nd,_xlfn.TEXTSPLIT(IM194,"|"),IF(COLUMNS(_xlpm.nd)&gt;2,A194&amp;"¦"&amp;INDEX(_xlpm.nd,2)&amp;"¦"&amp;INDEX(_xlpm.nd,3),"")))</f>
        <v>ЩР-01¦XT10¦кабель ВВГнг(А)-LS (3х2,5) → Розеточная группа, пом. 004Б</v>
      </c>
      <c r="IQ194" t="str">
        <f t="shared" si="393"/>
        <v>R.0.004Б.1¦Розеточная группа, пом. 004Б</v>
      </c>
      <c r="IR194" t="str" cm="1">
        <f t="array" ref="IR194">IF(IM194="","",_xlfn.LET(_xlpm.nd,_xlfn.TEXTSPLIT(IM194,"|"),IF(COLUMNS(_xlpm.nd)&gt;3,A194&amp;"¦"&amp;INDEX(_xlpm.nd,3)&amp;"¦"&amp;INDEX(_xlpm.nd,4),"")))</f>
        <v/>
      </c>
      <c r="IS194" t="str">
        <f t="shared" si="394"/>
        <v/>
      </c>
      <c r="IT194" t="str" cm="1">
        <f t="array" ref="IT194">IF(IM194="","",_xlfn.LET(_xlpm.nd,_xlfn.TEXTSPLIT(IM194,"|"),IF(COLUMNS(_xlpm.nd)&gt;4,A194&amp;"¦"&amp;INDEX(_xlpm.nd,4)&amp;"¦"&amp;INDEX(_xlpm.nd,5),"")))</f>
        <v/>
      </c>
      <c r="IU194" t="str">
        <f t="shared" si="395"/>
        <v/>
      </c>
      <c r="IV194" t="str" cm="1">
        <f t="array" ref="IV194">IF(IM194="","",_xlfn.LET(_xlpm.nd,_xlfn.TEXTSPLIT(IM194,"|"),IF(COLUMNS(_xlpm.nd)&gt;5,A194&amp;"¦"&amp;INDEX(_xlpm.nd,5)&amp;"¦"&amp;INDEX(_xlpm.nd,6),"")))</f>
        <v/>
      </c>
      <c r="IW194" t="str">
        <f t="shared" si="396"/>
        <v/>
      </c>
      <c r="IX194" t="str" cm="1">
        <f t="array" ref="IX194">IF(IM194="","",_xlfn.LET(_xlpm.nd,_xlfn.TEXTSPLIT(IM194,"|"),IF(COLUMNS(_xlpm.nd)&gt;6,A194&amp;"¦"&amp;INDEX(_xlpm.nd,6)&amp;"¦"&amp;INDEX(_xlpm.nd,7),"")))</f>
        <v/>
      </c>
      <c r="IY194" t="str">
        <f t="shared" si="397"/>
        <v/>
      </c>
      <c r="IZ194" t="str">
        <f t="shared" si="398"/>
        <v/>
      </c>
      <c r="JA194" t="str">
        <f t="shared" si="399"/>
        <v>QFD10 → XT10</v>
      </c>
      <c r="JB194">
        <f t="shared" si="400"/>
        <v>0</v>
      </c>
      <c r="JC194">
        <f t="shared" si="401"/>
        <v>1</v>
      </c>
      <c r="JD194" t="str">
        <f t="shared" si="402"/>
        <v/>
      </c>
      <c r="JE194" t="str">
        <f t="shared" si="403"/>
        <v/>
      </c>
      <c r="JF194" t="str">
        <f t="shared" si="404"/>
        <v/>
      </c>
      <c r="JG194" t="str">
        <f t="shared" si="405"/>
        <v/>
      </c>
      <c r="JH194" t="str">
        <f>IF(B194="","",IFERROR(_xlfn.XLOOKUP(B194,Коды_код,Коды_уго),IFERROR(_xlfn.XLOOKUP(BC194,Коды_код,Коды_уго),IFERROR(_xlfn.XLOOKUP(LEFT(BC194,2),Коды_код,Коды_уго),""))))</f>
        <v>Розетка</v>
      </c>
      <c r="JI194" t="str">
        <f>IF(B194="","",IF(OR(JH194="",JH194=0),"BOX",IFERROR(IF(VLOOKUP(JH194,УГО_блоки,3,FALSE)&amp;""&lt;&gt;"",VLOOKUP(JH194,УГО_блоки,3,FALSE),VLOOKUP(JH194,УГО_блоки,2,FALSE)),JH194)))</f>
        <v>SOCKET</v>
      </c>
      <c r="JJ194">
        <f t="shared" si="406"/>
        <v>1</v>
      </c>
      <c r="JK194" t="str">
        <f>IF(DQ194="","",IF(COUNTIF(DQ$3:DQ194,DQ194)=1,MAX(JK$2:JK193)+1,""))</f>
        <v/>
      </c>
      <c r="JL194" t="str">
        <f>IF(DE194="","",IF(COUNTIF(DE$3:DE194,DE194)+COUNTIF(DF$2:DF193,DE194)+COUNTIF(DG$2:DG193,DE194)=1,MAX(JL$2:JN193)+1,""))</f>
        <v/>
      </c>
      <c r="JM194" t="str">
        <f>IF(DF194="","",IF(COUNTIF(DE$3:DE194,DF194)+COUNTIF(DF$3:DF194,DF194)+COUNTIF(DG$2:DG193,DF194)=1,MAX(JL$2:JN193,JL194)+1,""))</f>
        <v/>
      </c>
      <c r="JN194" t="str">
        <f>IF(DG194="","",IF(COUNTIF(DE$3:DE194,DG194)+COUNTIF(DF$3:DF194,DG194)+COUNTIF(DG$3:DG194,DG194)=1,MAX(JL$2:JN193,JL194,JM194)+1,""))</f>
        <v/>
      </c>
      <c r="JO194" t="str">
        <f t="shared" si="407"/>
        <v>3х2,5</v>
      </c>
      <c r="JP194" t="str">
        <f>IF(JO194="","",IF(COUNTIF(JO$3:JO194,JO194)=1,MAX(JP$2:JP193)+1,""))</f>
        <v/>
      </c>
      <c r="JQ194" t="str">
        <f>IF(HG194="","",COUNTIF(HG$3:HG194,"?*"))</f>
        <v/>
      </c>
      <c r="JR194" t="str">
        <f>IF(OR(HG194="",HI194=""),"",IF(COUNTIFS(HG$3:HG194,"?*",HI$3:HI194,HI194)=1,MAX(JR$2:JR193)+1,""))</f>
        <v/>
      </c>
      <c r="JS194">
        <f t="shared" si="408"/>
        <v>0</v>
      </c>
      <c r="JT194">
        <f>IF(B194="","",COUNTIF(B$3:B194,"?*"))</f>
        <v>192</v>
      </c>
      <c r="JU194">
        <f>IF(HL194&lt;&gt;1,0,_xlfn.LET(_xlpm.k,MAX(IFERROR(--_xlfn.XLOOKUP(B194,Коды_код,Коды_3L),0),IFERROR(--_xlfn.XLOOKUP(BC194,Коды_код,Коды_3L),0),IFERROR(--_xlfn.XLOOKUP(LEFT(BC194,2),Коды_код,Коды_3L),0)),IF(_xlpm.k&gt;0,_xlpm.k,IF(IFERROR(--LEFT(SUBSTITUTE(JO194,"x","х"),FIND("х",SUBSTITUTE(JO194,"x","х"))-1),3)&gt;3,Каталог!$S$9,1))))</f>
        <v>1</v>
      </c>
      <c r="JV194">
        <f t="shared" si="409"/>
        <v>0</v>
      </c>
      <c r="JW194" t="str">
        <f t="shared" si="410"/>
        <v>авто</v>
      </c>
      <c r="JX194">
        <f t="shared" si="411"/>
        <v>30</v>
      </c>
      <c r="JY194">
        <f t="shared" si="412"/>
        <v>1</v>
      </c>
      <c r="JZ194">
        <f t="shared" si="413"/>
        <v>1</v>
      </c>
    </row>
    <row r="195" spans="1:286" x14ac:dyDescent="0.3">
      <c r="A195" t="s">
        <v>755</v>
      </c>
      <c r="B195" t="s">
        <v>1502</v>
      </c>
      <c r="C195" t="s">
        <v>1697</v>
      </c>
      <c r="D195">
        <v>1</v>
      </c>
      <c r="E195">
        <v>2.2000000000000002</v>
      </c>
      <c r="G195" t="str">
        <f>Линии[[#This Row],[_авто автомат]]</f>
        <v>2P С16А 30мА</v>
      </c>
      <c r="H195" t="str">
        <f>Линии[[#This Row],[_авто управление]]</f>
        <v/>
      </c>
      <c r="I195" t="str">
        <f>Линии[[#This Row],[_авто аппараты]]</f>
        <v/>
      </c>
      <c r="J195">
        <v>2.5</v>
      </c>
      <c r="K195">
        <v>16</v>
      </c>
      <c r="L195">
        <v>2</v>
      </c>
      <c r="M195" t="s">
        <v>484</v>
      </c>
      <c r="N195" t="str">
        <f t="shared" ref="N195:N258" si="414">_xlfn.TEXTJOIN("; ",TRUE,IK195,IH195,IF(LEFT(IJ195,3)="Icu",IJ195,""),IF(AND(B195&lt;&gt;"",EN195="не подобрано"),"сечение не подобрано: проверьте длину и автомат или впишите сечение",""))</f>
        <v/>
      </c>
      <c r="O195" s="6" cm="1">
        <f t="array" ref="O195">IF(B195="","",IF(BH195&lt;&gt;"",IFERROR(_xlfn.XLOOKUP(BH195,Щиты[Щит],Щиты[Iр, А]),""),IF(BP195=1,IF(OR(N(_xlfn.XLOOKUP(A195,Щиты[Щит],Щиты[Вводов],1))&lt;=1,LOWER(TRIM(_xlfn.XLOOKUP(A195,Щиты[Щит],Щиты[АВР],"")&amp;""))="да"),IFERROR(_xlfn.XLOOKUP(A195,Щиты[Щит],Щиты[Iр, А]),""),IFERROR(N(BS195)*_xlfn.XLOOKUP(A195,Щиты[Щит],Щиты[Кс итог])/(SQRT(3)*Uн_лин*_xlfn.XLOOKUP(A195,Щиты[Щит],Щиты[cos φ])),"")),IF(BV195=1,IFERROR(BS195*1000/BU195,""),IFERROR(_xlfn.IFS(BX195=1,BS195/((Uн_лин/SQRT(3))*CE195),BX195=3,BS195/(SQRT(3)*Uн_лин*CE195)),"")))))</f>
        <v>10.027662570135606</v>
      </c>
      <c r="P195" s="7">
        <f>IF(B195="","",IFERROR(IF(VLOOKUP(BC195,Потребители_обозначение,4,FALSE)=1,VLOOKUP(BC195,Потребители_обозначение,3,FALSE)*(MAX(1,N(D195))*2-1)+EI195+VLOOKUP(BE195,Этаж_обозначение,3,FALSE)+VLOOKUP(BE195,Этаж_обозначение,4,FALSE),VLOOKUP(BC195,Потребители_обозначение,3,FALSE)*(MAX(1,N(D195))*2-1)+EI195),EI195))</f>
        <v>19</v>
      </c>
      <c r="Q195" s="6">
        <f t="shared" ref="Q195:Q258" si="415">IF(ISNUMBER(EW195),EW195+IF(BV195=1,0,ED195),"")</f>
        <v>1.8499999999999999</v>
      </c>
      <c r="R195" t="str">
        <f t="shared" ref="R195:R258" si="416">IF(OR(B195="",EX195=""),"",IF(EN195="не подобрано",EX195&amp;" — сечение не подобрано",EY195))</f>
        <v>ВВГнг(А)-LS (3х2,5)</v>
      </c>
      <c r="S195" t="str">
        <f>IF(BM195="","",IF(BN195="вводной узел","узел ","")&amp;"л."&amp;(INT((BM195-1)/Столбцов_на_лист)+1)&amp;" / "&amp;(MOD(BM195-1,Столбцов_на_лист)+1))</f>
        <v>л.2 / 4</v>
      </c>
      <c r="T195" s="119">
        <f t="shared" ref="T195:T258" si="417">IF(OR(CG195=0,BH195&lt;&gt;"",BP195=1),"",IF(AND(CS195&lt;&gt;"",CS195=BA195),ROUND(N(CY195),1),ROUND(N(HV195)+N(HW195),1)))</f>
        <v>4.2</v>
      </c>
      <c r="U195" s="7" t="str">
        <f>IF(OR(CG195=0,N(BV195)+N(IB195)=0),"",ROUNDUP(Запас_БП*(N(HY195)+N(HZ195)),0))</f>
        <v/>
      </c>
      <c r="V195" s="119" t="str">
        <f t="shared" ref="V195:V258" si="418">IF(OR(CG195=0,N(BV195)+N(IB195)=0),"",ROUND(MAX(N(HX195),N(IA195)),1))</f>
        <v/>
      </c>
      <c r="W195" s="7" t="str">
        <f>IFERROR(IF(OR(B195="",BP195=1,BV195=1,NOT(ISNUMBER(EN195)),N(DT195)=0),"",MAX(0,ROUNDDOWN((c_min*(Uн_лин*1000/SQRT(3))/(HT195*N(DT195))-_xlfn.XLOOKUP(A195,Щиты[Щит],Щиты[Zпетли на шинах, Ом]))*EN195/(2*ρкз_Cu),0))),"")</f>
        <v/>
      </c>
      <c r="Y195">
        <f>Линии[[#This Row],[_авто утечка]]</f>
        <v>30</v>
      </c>
      <c r="Z195">
        <v>1</v>
      </c>
      <c r="AA195">
        <v>230</v>
      </c>
      <c r="AB195" t="s">
        <v>562</v>
      </c>
      <c r="AG195" t="s">
        <v>810</v>
      </c>
      <c r="AI195" t="s">
        <v>561</v>
      </c>
      <c r="AK195" t="str">
        <f>Линии[[#This Row],[_авто модуль]]</f>
        <v/>
      </c>
      <c r="AM195">
        <v>21</v>
      </c>
      <c r="AN195" t="s">
        <v>11</v>
      </c>
      <c r="AO195">
        <v>3</v>
      </c>
      <c r="AQ195">
        <v>12</v>
      </c>
      <c r="AR195">
        <v>7</v>
      </c>
      <c r="AS195">
        <v>0</v>
      </c>
      <c r="BA195" cm="1">
        <f t="array" ref="BA195">ROW()-ROW(Линии[#Headers])</f>
        <v>193</v>
      </c>
      <c r="BC195" s="6" t="str">
        <f t="shared" ref="BC195:BC258" si="419">IF(B195="","",IFERROR(LEFT(B195,SEARCH(".",B195)-1),B195))</f>
        <v>R</v>
      </c>
      <c r="BD195" t="str">
        <f t="shared" ref="BD195:BD258" si="420">IFERROR(RIGHT(B195,LEN(B195)-SEARCH(".",B195)),"")</f>
        <v>0.004Б.2</v>
      </c>
      <c r="BE195" t="str">
        <f t="shared" ref="BE195:BE258" si="421">IFERROR(LEFT(BD195,SEARCH(".",BD195)-1),BD195)</f>
        <v>0</v>
      </c>
      <c r="BF195" t="str">
        <f t="shared" ref="BF195:BF258" si="422">IFERROR(RIGHT(BD195,LEN(BD195)-SEARCH(".",BD195)),"")</f>
        <v>004Б.2</v>
      </c>
      <c r="BG195" t="str">
        <f t="shared" ref="BG195:BG258" si="423">IFERROR(LEFT(BF195,SEARCH(".",BF195)-1),BF195)</f>
        <v>004Б</v>
      </c>
      <c r="BH195" t="str">
        <f>IF(X195&lt;&gt;"",X195,IF(AND(B195&lt;&gt;"",B195&lt;&gt;A195,ISNUMBER(_xlfn.XMATCH(B195,Щиты[Щит]))),B195,""))</f>
        <v/>
      </c>
      <c r="BI195" t="str" cm="1">
        <f t="array" ref="BI195">IF(B195="","",IF(BH195&lt;&gt;"","Щит "&amp;BH195,_xlfn.LET(_xlpm.nm,IFERROR(_xlfn.XLOOKUP(BC195,Коды_код,Коды_имя)&amp;"",""),_xlpm.md,IFERROR(N(_xlfn.XLOOKUP(BC195,Коды_код,Коды_режим)),1),_xlpm.ex,IF(Имя_режим="по экспликации",IFERROR(_xlfn.XLOOKUP(BE195&amp;"|"&amp;BG195,Экспликация[Этаж]&amp;"|"&amp;Экспликация[Помещение],Экспликация[Название])&amp;"",""),""),_xlpm.rm,IF(BG195="","",IF(_xlpm.ex&lt;&gt;"",". "&amp;_xlpm.ex&amp;IF(Имя_пом="нет"," ("&amp;BG195&amp;")"," (пом. "&amp;BG195&amp;")"),IF(Имя_пом="нет"," ",", пом. ")&amp;BG195)),IF(_xlpm.nm="","",IF(_xlpm.md=2,_xlpm.nm&amp;" шлейф "&amp;BE195,_xlpm.nm&amp;_xlpm.rm)))))</f>
        <v>Розеточная группа, пом. 004Б</v>
      </c>
      <c r="BJ195" t="str">
        <f t="shared" ref="BJ195:BJ258" si="424">IF(TRIM(C195&amp;"")="",BI195,C195)</f>
        <v>Розеточная группа Цокольный этаж Пом. №004Б Сушильная машина</v>
      </c>
      <c r="BK195">
        <f>IFERROR(_xlfn.XMATCH(A195,Щиты[Щит]),0)</f>
        <v>9</v>
      </c>
      <c r="BL195">
        <f>_xlfn.LET(_xlpm.k,IFERROR(_xlfn.XLOOKUP(A195,Щиты[Щит],Щиты[Мест под вводной узел]),""),IF(_xlpm.k="",Столбцов_на_лист,N(_xlpm.k)))</f>
        <v>8</v>
      </c>
      <c r="BM195">
        <f t="shared" ref="BM195:BM258" si="425">IF(AM195="-","",IF(ISNUMBER(AM195),AM195,_xlfn.LET(_xlpm.prev,IF(OR(BA195=1,A195&lt;&gt;A194),0,N(IF(BA195=1,"",BM194))),_xlpm.nx,_xlpm.prev+1,IF(AND(AJ195&lt;&gt;"вручную",_xlpm.nx&lt;=BL195),BL195+1,_xlpm.nx))))</f>
        <v>21</v>
      </c>
      <c r="BN195" t="str">
        <f t="shared" ref="BN195:BN258" si="426">IF(BM195="","",IF(BM195&lt;=BL195,"вводной узел","линии"))</f>
        <v>линии</v>
      </c>
      <c r="BO195" s="6">
        <f>IFERROR(N(_xlfn.XLOOKUP(BC195,Коды_код,Коды_квт)),0)</f>
        <v>0</v>
      </c>
      <c r="BP195">
        <f t="shared" ref="BP195:BP258" si="427">IF(AND(B195&lt;&gt;"",BC195="Ввод"),1,0)</f>
        <v>0</v>
      </c>
      <c r="BQ195" t="str">
        <f>IF(B195="","",IF(BH195&lt;&gt;"",IFERROR(_xlfn.XLOOKUP(BH195,Щиты[Щит],Щиты[Руст, кВт]),0),IF(BP195=1,IF(OR(N(_xlfn.XLOOKUP(A195,Щиты[Щит],Щиты[Вводов],1))&lt;=1,LOWER(TRIM(_xlfn.XLOOKUP(A195,Щиты[Щит],Щиты[АВР],"")&amp;""))="да"),IFERROR(_xlfn.XLOOKUP(A195,Щиты[Щит],Щиты[Руст, кВт]),0),SUMIFS(Линии[_Р для вводов],Линии[Щит],A195,Линии[Источник для режимов],GF195)),IF(BO195&gt;0,ROUND(BO195*MAX(1,N(D195)),3),""))))</f>
        <v/>
      </c>
      <c r="BR195">
        <f t="shared" ref="BR195:BR258" si="428">IF(TRIM(E195&amp;"")="",BQ195,E195)</f>
        <v>2.2000000000000002</v>
      </c>
      <c r="BS195" s="6">
        <f>IF(B195="","",IF(BH195&lt;&gt;"",IFERROR(_xlfn.XLOOKUP(BH195,Щиты[Щит],Щиты[Руст, кВт]),0),N(BR195)))</f>
        <v>2.2000000000000002</v>
      </c>
      <c r="BT195" t="str">
        <f>IF(B195="","",IFERROR(IF(VLOOKUP(BC195,Потребители_обозначение,8,FALSE)=0,"",VLOOKUP(BC195,Потребители_обозначение,8,FALSE)),""))</f>
        <v/>
      </c>
      <c r="BU195">
        <f t="shared" ref="BU195:BU258" si="429">IF(TRIM(AA195&amp;"")="",BT195,AA195)</f>
        <v>230</v>
      </c>
      <c r="BV195">
        <f t="shared" ref="BV195:BV258" si="430">IF(B195="",0,IF(AND(N(BU195)&gt;0,N(BU195)&lt;=50),1,0))</f>
        <v>0</v>
      </c>
      <c r="BW195">
        <f>IF(B195="","",IF(BH195&lt;&gt;"",3,IFERROR(IF(N(VLOOKUP(BC195,Потребители_обозначение,9,FALSE))=0,1,VLOOKUP(BC195,Потребители_обозначение,9,FALSE)),1)))</f>
        <v>1</v>
      </c>
      <c r="BX195">
        <f t="shared" ref="BX195:BX258" si="431">IF(B195="","",IF(TRIM(Z195&amp;"")="",BW195,N(Z195)))</f>
        <v>1</v>
      </c>
      <c r="BY195" t="str">
        <f>IF(B195="","",_xlfn.LET(_xlpm.bc,IFERROR(IF(VLOOKUP(BC195,Потребители_обозначение,6,FALSE)=0,"",VLOOKUP(BC195,Потребители_обозначение,6,FALSE)&amp;""),""),IF(AND(GA195="да",OR(_xlpm.bc="",_xlpm.bc="мс")),Марка_пож,IF(AND(_xlpm.bc="",BH195&lt;&gt;""),"мс",_xlpm.bc))))</f>
        <v/>
      </c>
      <c r="BZ195" t="str">
        <f t="shared" ref="BZ195:BZ258" si="432">IF(TRIM(AN195&amp;"")="",BY195,AN195)</f>
        <v>мс</v>
      </c>
      <c r="CA195">
        <f>IF(B195="","",_xlfn.LET(_xlpm.cc,IFERROR(N(VLOOKUP(BC195,Потребители_обозначение,7,FALSE)),0),IF(_xlpm.cc&gt;0,_xlpm.cc,IF(BZ195="","",IF(BV195=1,2,IF(N(BX195)=3,5,3))))))</f>
        <v>3</v>
      </c>
      <c r="CB195">
        <f t="shared" ref="CB195:CB258" si="433">IF(TRIM(AO195&amp;"")="",CA195,AO195)</f>
        <v>3</v>
      </c>
      <c r="CC195">
        <f>IFERROR(N(VLOOKUP(BC195,Потребители_обозначение,10,FALSE)),0)</f>
        <v>0</v>
      </c>
      <c r="CD195">
        <f>IFERROR(VLOOKUP(BC195,Потребители_обозначение,5,FALSE),0)</f>
        <v>1</v>
      </c>
      <c r="CE195" s="6" cm="1">
        <f t="array" ref="CE195">IF(B195="","",IF(BH195&lt;&gt;"",IFERROR(_xlfn.XLOOKUP(BH195,Щиты[Щит],Щиты[cos φ]),0.95),IF(BP195=1,IFERROR(_xlfn.XLOOKUP(A195,Щиты[Щит],Щиты[cos φ]),0.95),IF(ISNUMBER(AD195),AD195,IFERROR(IF(CD195=2,_xlfn.IFS(BX195=3,VLOOKUP(BS195,Справочная_двигатели,8,FALSE),BX195=1,VLOOKUP(BS195,Справочная_двигатели,10,TRUE)),IF(AND(Методика="нормы 2026",FG195="Сил"),0.8,0.95)),0.95)))))</f>
        <v>0.95</v>
      </c>
      <c r="CF195">
        <f t="shared" ref="CF195:CF258" si="434">IF(OR(TRIM(F195&amp;"")="гр",TRIM(F195&amp;"")="=",TRIM(F195&amp;"")="^",TRIM(F195&amp;"")="↑"),1,0)</f>
        <v>0</v>
      </c>
      <c r="CG195">
        <f t="shared" ref="CG195:CG258" si="435">IF(AND(B195&lt;&gt;"",CF195=0),1,0)</f>
        <v>1</v>
      </c>
      <c r="CH195">
        <f t="shared" ref="CH195:CH258" si="436">IF(B195="",0,IF(TRIM(F195&amp;"")="узо",1,0))</f>
        <v>0</v>
      </c>
      <c r="CI195">
        <f>IF(B195="","",IF(BV195=1,IFERROR(BS195/((Uн_лин/SQRT(3))*MAX(0.5,N(CE195))),0),N(O195)))</f>
        <v>10.027662570135606</v>
      </c>
      <c r="CJ195">
        <f t="shared" ref="CJ195:CJ258" si="437">IF(AND(A196=A195,AJ196&lt;&gt;"вручную",OR(B196="",CF196=1)),IF(B196="",0,N(CI196))+N(CJ196),0)</f>
        <v>0</v>
      </c>
      <c r="CK195">
        <f t="shared" ref="CK195:CK258" si="438">IF(AND(A196=A195,AJ196&lt;&gt;"вручную",OR(B196="",CF196=1)),IF(B196="",0,N(BS196))+N(CK196),0)</f>
        <v>0</v>
      </c>
      <c r="CL195">
        <f t="shared" ref="CL195:CL258" si="439">IF(AND(A196=A195,AJ196&lt;&gt;"вручную",OR(B196="",CF196=1)),MAX(IF(B196="",0,N(BX196)),N(CL196)),0)</f>
        <v>0</v>
      </c>
      <c r="CM195">
        <f t="shared" ref="CM195:CM258" si="440">IF(AND(A196=A195,AJ196&lt;&gt;"вручную",OR(B196="",CF196=1)),MAX(IF(B196="",0,N(DB196)),N(CM196)),0)</f>
        <v>0</v>
      </c>
      <c r="CN195">
        <f t="shared" ref="CN195:CN258" si="441">IF(AND(A196=A195,AJ196&lt;&gt;"вручную",OR(B196="",CF196=1)),_xlfn.LET(_xlpm.a_,IF(B196="",0,N(CZ196)),_xlpm.b_,N(CN196),IF(_xlpm.a_=0,_xlpm.b_,IF(_xlpm.b_=0,_xlpm.a_,MIN(_xlpm.a_,_xlpm.b_)))),0)</f>
        <v>0</v>
      </c>
      <c r="CO195">
        <f>IF(BC195="",0,_xlfn.LET(_xlpm.v,IFERROR(_xlfn.XLOOKUP(B195,Коды_код,Коды_мА),IFERROR(_xlfn.XLOOKUP(BC195,Коды_код,Коды_мА),IFERROR(_xlfn.XLOOKUP(LEFT(BC195,2),Коды_код,Коды_мА),""))),IF(_xlpm.v="да",30,IF(ISNUMBER(_xlpm.v),_xlpm.v,0))))</f>
        <v>30</v>
      </c>
      <c r="CP195">
        <f t="shared" ref="CP195:CP258" si="442">IF(B195="","",IF(N(CO195)&gt;0,CO195,""))</f>
        <v>30</v>
      </c>
      <c r="CQ195" t="str">
        <f>_xlfn.LET(_xlpm.k,IFERROR(_xlfn.XLOOKUP(BC195,Коды_код,Коды_утечка)&amp;"",""),IF(_xlpm.k="","дифавтомат",_xlpm.k))</f>
        <v>дифавтомат</v>
      </c>
      <c r="CR195" t="str" cm="1">
        <f t="array" ref="CR195">IF(CG195=0,"",_xlfn.LET(_xlpm.sg,TRIM(_xlfn.TEXTSPLIT(DD195&amp;"",";")),_xlpm.f_,_xlfn._xlws.FILTER(_xlpm.sg,LEFT(_xlpm.sg,3)="УЗО",""),IFERROR(INDEX(_xlpm.f_,1)&amp;"","")))</f>
        <v/>
      </c>
      <c r="CS195" t="str">
        <f t="shared" ref="CS195:CS258" si="443">IF(B195="",IF(OR(OR(BA195=1,A195&lt;&gt;A194),AJ195="вручную"),"",IF(BA195=1,"",CS194)),IF(CG195=1,IF(CH195=1,IF(OR(BA195=1,A195&lt;&gt;A194),"",IF(BA195=1,"",CS194)),IF(CR195&lt;&gt;"",BA195,"")),IF(AND(NOT(OR(BA195=1,A195&lt;&gt;A194)),AJ195&lt;&gt;"вручную",IF(BA195=1,"",DS194)="ok"),IF(BA195=1,"",CS194),"")))</f>
        <v/>
      </c>
      <c r="CT195" s="6" t="str" cm="1">
        <f t="array" ref="CT195">IF(CR195="","",_xlfn.LET(_xlpm.tk,_xlfn.TEXTSPLIT(UPPER(CR195)," ",,TRUE),_xlpm.a_,_xlfn._xlws.FILTER(_xlpm.tk,ISNUMBER(--LEFT(_xlpm.tk,1))*((ISNUMBER(SEARCH("А",_xlpm.tk))+ISNUMBER(SEARCH("A",_xlpm.tk)))&gt;0)*NOT(ISNUMBER(SEARCH("МА",_xlpm.tk)))*NOT(ISNUMBER(SEARCH("MA",_xlpm.tk))),""),IFERROR(--SUBSTITUTE(SUBSTITUTE(INDEX(_xlpm.a_,1),"А",""),"A",""),"")))</f>
        <v/>
      </c>
      <c r="CU195" t="str" cm="1">
        <f t="array" ref="CU195">IF(CR195="","",_xlfn.LET(_xlpm.tk,_xlfn.TEXTSPLIT(UPPER(CR195)," ",,TRUE),_xlpm.a_,_xlfn._xlws.FILTER(_xlpm.tk,ISNUMBER(--LEFT(_xlpm.tk,1))*((ISNUMBER(SEARCH("МА",_xlpm.tk))+ISNUMBER(SEARCH("MA",_xlpm.tk)))&gt;0),""),IFERROR(--SUBSTITUTE(SUBSTITUTE(INDEX(_xlpm.a_,1),"МА",""),"MA",""),30)))</f>
        <v/>
      </c>
      <c r="CV195" t="str">
        <f>IF(CS195="","",IFERROR(_xlfn.XLOOKUP(CS195,Линии[_n],Линии[_УЗО, мА]),30))</f>
        <v/>
      </c>
      <c r="CW195">
        <f>IF(CS195="",0,IF(ISNUMBER(SEARCH("4P",IFERROR(_xlfn.XLOOKUP(CS195,Линии[_n],Линии[_УЗО строки])&amp;"",""))),0,1))</f>
        <v>0</v>
      </c>
      <c r="CX195" t="str">
        <f>IF(AND(CS195&lt;&gt;"",CS195=BA195),SUMIFS(Линии[_ток на 230 В],Линии[_блок УЗО],BA195,Линии[Щит],A195),"")</f>
        <v/>
      </c>
      <c r="CY195" t="str">
        <f>IF(AND(CS195&lt;&gt;"",CS195=BA195),SUMIFS(Линии[_ток утечки линии, мА],Линии[_блок УЗО],BA195,Линии[Щит],A195),"")</f>
        <v/>
      </c>
      <c r="CZ195">
        <f t="shared" ref="CZ195:CZ258" si="444">IF(B195="",0,_xlfn.LET(_xlpm.v,IF(TRIM(Y195&amp;"")="",CP195,Y195),_xlpm.nm,IF(_xlpm.v&amp;""="нет",0,IF(_xlpm.v&amp;""="да",30,IFERROR(--_xlpm.v,0))),IF(OR(CQ195="УЗО на группу",CS195&lt;&gt;""),0,_xlpm.nm)))</f>
        <v>30</v>
      </c>
      <c r="DA195">
        <f t="shared" ref="DA195:DA258" si="445">IF(CG195=0,"",_xlfn.LET(_xlpm.a_,N(CZ195),_xlpm.b_,IF(AJ195="вручную",0,N(CN195)),IF(_xlpm.a_=0,_xlpm.b_,IF(_xlpm.b_=0,_xlpm.a_,MIN(_xlpm.a_,_xlpm.b_)))))</f>
        <v>30</v>
      </c>
      <c r="DB195">
        <f>IF(B195="",0,IFERROR(--_xlfn.XLOOKUP(B195,Коды_код,Коды_минавт),IFERROR(--_xlfn.XLOOKUP(BC195,Коды_код,Коды_минавт),IFERROR(--_xlfn.XLOOKUP(LEFT(BC195,2),Коды_код,Коды_минавт),0))))</f>
        <v>16</v>
      </c>
      <c r="DC195" t="str">
        <f>IF(B195="","",IFERROR(_xlfn.XLOOKUP(BC195,Коды_код,Коды_апп)&amp;"",""))</f>
        <v/>
      </c>
      <c r="DD195" t="str">
        <f t="shared" ref="DD195:DD258" si="446">IF(TRIM(I195&amp;"")="",DC195,I195)</f>
        <v/>
      </c>
      <c r="DE195" t="str" cm="1">
        <f t="array" ref="DE195">IF(TRIM(DD195&amp;"")="","",IFERROR(TRIM(INDEX(_xlfn.TEXTSPLIT(DD195&amp;";;;",";"),1)),""))</f>
        <v/>
      </c>
      <c r="DF195" t="str" cm="1">
        <f t="array" ref="DF195">IF(TRIM(DD195&amp;"")="","",IFERROR(TRIM(INDEX(_xlfn.TEXTSPLIT(DD195&amp;";;;",";"),2)),""))</f>
        <v/>
      </c>
      <c r="DG195" t="str" cm="1">
        <f t="array" ref="DG195">IF(TRIM(DD195&amp;"")="","",IFERROR(TRIM(INDEX(_xlfn.TEXTSPLIT(DD195&amp;";;;",";"),3)),""))</f>
        <v/>
      </c>
      <c r="DH195">
        <f t="shared" ref="DH195:DH258" si="447">IF(DD195="",0,IF(OR(LEFT(DE195,2)="T ",LEFT(DE195,2)="Т ",ISNUMBER(SEARCH("БП",DD195)),ISNUMBER(SEARCH("; T ",DD195)),ISNUMBER(SEARCH("; Т ",DD195))),1,0))</f>
        <v>0</v>
      </c>
      <c r="DI195" t="str">
        <f>IF(B195="","",_xlfn.LET(_xlpm.t,LOWER(AZ195&amp;""),IF(ISNUMBER(SEARCH("dim",_xlpm.t)),"DIM",IF(ISNUMBER(SEARCH("dali",_xlpm.t)),"DALI",IF(OR(ISNUMBER(SEARCH("relay",_xlpm.t)),ISNUMBER(SEARCH("реле",_xlpm.t))),"Relay",IF(ISNUMBER(SEARCH("кнопк",_xlpm.t)),"",IFERROR(_xlfn.XLOOKUP(BC195,Коды_код,Коды_упр)&amp;"","")))))))</f>
        <v/>
      </c>
      <c r="DJ195" t="str">
        <f t="shared" ref="DJ195:DJ258" si="448">IF(TRIM(H195&amp;"")="",DI195,H195)</f>
        <v/>
      </c>
      <c r="DK195">
        <f>IF(B195="","",_xlfn.LET(_xlpm.ig,IF(N(CX195)&gt;0,N(CX195),N(CI195)+IF(AJ195="вручную",0,N(CJ195))),_xlpm.n0,IFERROR(VLOOKUP(_xlpm.ig,Автомат_номиналы,2,TRUE),0),_xlpm.mn,MAX(DB195,IF(AJ195="вручную",0,N(CM195))),MAX(_xlpm.n0,_xlpm.mn,IF(DH195=1,Мин_автомат_БП,0))))</f>
        <v>16</v>
      </c>
      <c r="DL195">
        <f t="shared" ref="DL195:DL258" si="449">IF(B195="","",MAX(N(BX195),IF(AJ195="вручную",0,N(CL195))))</f>
        <v>1</v>
      </c>
      <c r="DM195" t="str">
        <f t="shared" ref="DM195:DM258" si="450">IF(B195="","",IF(N(DL195)&gt;=3,IF(N(DA195)&gt;0,"4P","3P"),IF(N(DA195)&gt;0,"2P","1P")))</f>
        <v>2P</v>
      </c>
      <c r="DN195" t="str">
        <f>_xlfn.LET(_xlpm.cc,UPPER(TRIM(IFERROR(_xlfn.XLOOKUP(BC195,Коды_код,Коды_хар)&amp;"",""))),IF(OR(_xlpm.cc="B",_xlpm.cc="В"),"B",IF(_xlpm.cc="D","D","С")))</f>
        <v>С</v>
      </c>
      <c r="DO195" t="str">
        <f t="shared" ref="DO195:DO258" si="451">IF(B195="","",IF(CG195=0,IF(AND(AND(NOT(OR(BA195=1,A195&lt;&gt;A194)),AJ195&lt;&gt;"вручную",IF(BA195=1,"",DS194)="ok"),IF(BA195=1,"",DU194)&lt;&gt;""),"↑ "&amp;IF(BA195=1,"",DU194),""),IF(N(DK195)=0,"",DM195&amp;" "&amp;DN195&amp;DK195&amp;"А"&amp;IF(N(DA195)&gt;0," "&amp;DA195&amp;"мА",""))))</f>
        <v>2P С16А 30мА</v>
      </c>
      <c r="DP195" t="str">
        <f t="shared" ref="DP195:DP258" si="452">IF(TRIM(G195&amp;"")="",DO195,G195)</f>
        <v>2P С16А 30мА</v>
      </c>
      <c r="DQ195" t="str">
        <f t="shared" ref="DQ195:DQ258" si="453">IF(CG195=0,"",_xlfn.LET(_xlpm.v,TRIM(DP195&amp;""),IF(_xlpm.v="","",IF(ISNUMBER(--_xlpm.v),DM195&amp;" "&amp;DN195&amp;(--_xlpm.v)&amp;"А"&amp;IF(N(DA195)&gt;0," "&amp;DA195&amp;"мА",""),IF(ISNUMBER(SEARCH("P",UPPER(_xlpm.v))),_xlpm.v,DM195&amp;" "&amp;_xlpm.v)))))</f>
        <v>2P С16А 30мА</v>
      </c>
      <c r="DR195" cm="1">
        <f t="array" ref="DR195">IF(DQ195="","",_xlfn.LET(_xlpm.t,SUBSTITUTE(SUBSTITUTE(SUBSTITUTE(UPPER(DQ195),"С","C"),"А","A"),"В","B"),_xlpm.tk,_xlfn.TEXTSPLIT(_xlpm.t," "),_xlpm.f,_xlfn._xlws.FILTER(_xlpm.tk,ISNUMBER(--MID(_xlpm.tk,2,1))*ISNUMBER(SEARCH(LEFT(_xlpm.tk,1)&amp;"#","B#C#D#"))*(LEN(_xlpm.tk)&gt;1),""),_xlpm.x,INDEX(_xlpm.f,1),IFERROR(--SUBSTITUTE(MID(_xlpm.x,2,9),"A",""),IFERROR(--SUBSTITUTE(INDEX(_xlfn._xlws.FILTER(_xlpm.tk,ISNUMBER(--SUBSTITUTE(_xlpm.tk,"A","")),""),1),"A",""),""))))</f>
        <v>16</v>
      </c>
      <c r="DS195" t="str">
        <f t="shared" ref="DS195:DS258" si="454">IF(CG195=1,IF(AJ195="вручную","узел","ok"),IF(OR(OR(BA195=1,A195&lt;&gt;A194),AJ195="вручную"),"",IF(BA195=1,"",DS194)))</f>
        <v>ok</v>
      </c>
      <c r="DT195">
        <f t="shared" ref="DT195:DT258" si="455">IF(CG195=1,DR195,IF(AND(NOT(OR(BA195=1,A195&lt;&gt;A194)),AJ195&lt;&gt;"вручную",IF(BA195=1,"",DS194)="ok"),IF(BA195=1,"",DT194),""))</f>
        <v>16</v>
      </c>
      <c r="DU195" t="str">
        <f t="shared" ref="DU195:DU258" si="456">IF(CG195=1,DQ195,IF(AND(NOT(OR(BA195=1,A195&lt;&gt;A194)),AJ195&lt;&gt;"вручную",IF(BA195=1,"",DS194)="ok"),IF(BA195=1,"",DU194),""))</f>
        <v>2P С16А 30мА</v>
      </c>
      <c r="DV195">
        <f t="shared" ref="DV195:DV258" si="457">IF(CG195=1,DA195,IF(AND(NOT(OR(BA195=1,A195&lt;&gt;A194)),AJ195&lt;&gt;"вручную",IF(BA195=1,"",DS194)="ok"),IF(BA195=1,"",DV194),""))</f>
        <v>30</v>
      </c>
      <c r="DW195">
        <f t="shared" ref="DW195:DW258" si="458">IF(OR(N(DV195)&gt;0,CS195&lt;&gt;""),1,0)</f>
        <v>1</v>
      </c>
      <c r="DX195">
        <f t="shared" ref="DX195:DX258" si="459">IF(CG195=1,DH195,IF(AND(NOT(OR(BA195=1,A195&lt;&gt;A194)),AJ195&lt;&gt;"вручную",IF(BA195=1,"",DS194)="ok"),N(IF(BA195=1,"",DX194)),0))</f>
        <v>0</v>
      </c>
      <c r="DY195">
        <f t="shared" ref="DY195:DY258" si="460">IF(CG195=1,IF(N(CX195)&gt;0,N(CX195),N(CI195)+IF(AJ195="вручную",0,N(CJ195))),"")</f>
        <v>10.027662570135606</v>
      </c>
      <c r="DZ195">
        <f t="shared" ref="DZ195:DZ258" si="461">IF(N(CB195)=1,1,IF(BX195=1,1,IF(N(CB195)&gt;=4,0.92,1)))</f>
        <v>1</v>
      </c>
      <c r="EA195">
        <f>IF(ISNUMBER(AP195),AP195,К_прокл)</f>
        <v>1</v>
      </c>
      <c r="EB195">
        <f t="shared" ref="EB195:EB258" si="462">IF(N(CB195)=1,1,IF(BX195=1,2,3))</f>
        <v>2</v>
      </c>
      <c r="EC195">
        <f>IFERROR(N(VLOOKUP(BZ195,Кабель_обозначение,3,FALSE)),1)</f>
        <v>1</v>
      </c>
      <c r="ED195">
        <f>IFERROR(N(_xlfn.XLOOKUP(A195,Щиты[Щит],Щиты[ΔU до шин, %])),0)</f>
        <v>0.43</v>
      </c>
      <c r="EE195" t="str">
        <f>IFERROR(_xlfn.XLOOKUP(A195,Щиты[Щит],Щиты[Zпетли на шинах, Ом]),"")</f>
        <v/>
      </c>
      <c r="EF195">
        <f>IFERROR(N(_xlfn.XLOOKUP(A195,Щиты[Щит],Щиты[ΔU до шин (подбор), %])),0)</f>
        <v>0.43</v>
      </c>
      <c r="EG195" t="str">
        <f>IFERROR(_xlfn.XLOOKUP(A195,Щиты[Щит],Щиты[Zпетли на шинах (подбор), Ом]),"")</f>
        <v/>
      </c>
      <c r="EH195" t="str">
        <f t="shared" ref="EH195:EH258" si="463">IF(COUNT(AV195,AW195)=0,"",ROUNDUP(SUM(AV195,AW195),0))</f>
        <v/>
      </c>
      <c r="EI195">
        <f t="shared" ref="EI195:EI258" si="464">IF(TRIM(K195&amp;"")="",EH195,K195)</f>
        <v>16</v>
      </c>
      <c r="EJ195">
        <f t="shared" ref="EJ195:EJ258" si="465">IF(BX195=1,2,IF(BX195=3,1,""))</f>
        <v>2</v>
      </c>
      <c r="EK195">
        <f t="shared" ref="EK195:EK258" si="466">IFERROR(ROUND(SIN(ACOS(CE195)),2),"")</f>
        <v>0.31</v>
      </c>
      <c r="EL195" s="6">
        <f>IF(B195="","",IF(BV195=1,dU_LED,IF(IFERROR(_xlfn.XLOOKUP(BC195,Коды_код,Коды_уго),"")="Светильник",3,4)+IF(Методика="нормы 2026",MIN(0.5,MAX(0,N(P195)-100)*0.005),0)))</f>
        <v>4</v>
      </c>
      <c r="EM195" cm="1">
        <f t="array" ref="EM195">IF(OR(B195="",BZ195="",EC195&lt;&gt;1),"",_xlfn.LET(_xlpm.sz,Iдоп_S,_xlpm.t_,CHOOSE(EB195,Iдоп_1ж,Iдоп_2ж,Iдоп_3ж)*DZ195*EA195,_xlpm.dcx,BV195=1,_xlpm.inn,IF(_xlpm.dcx,N(O195),N(DT195)),_xlpm.smin,MAX(1.5,CC195),_xlpm.L_,N(P195)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195)/N(BU195)*100,999),IFERROR(N(EJ195)*(_xlpm.rho*_xlpm.L_/_xlpm.sz*N(CE195)+_xlpm.xx*_xlpm.L_*N(EK195)/1000)*N(O195)/((Uн_лин/SQRT(3))*1000)*100,999)),_xlpm.kz,IF(OR(_xlpm.dcx,DW195=1,NOT(ISNUMBER(EG195)),_xlpm.L_=0,_xlpm.inn=0),1,IFERROR(--(c_min*(Uн_лин*1000/SQRT(3))/(EG195+2*ρкз_Cu*_xlpm.L_/_xlpm.sz)&gt;=HT195*_xlpm.inn),0)),_xlpm.ok,IFERROR((_xlpm.sz&gt;=_xlpm.smin)*(_xlpm.t_&gt;=_xlpm.inn)*IF(_xlpm.L_&gt;0,(_xlpm.du_+IF(_xlpm.dcx,0,EF195)&lt;=EL195+0.00001),1)*_xlpm.kz,0),_xlpm.r_,_xlfn._xlws.FILTER(_xlpm.sz,_xlpm.ok,"не подобрано"),INDEX(_xlpm.r_,1)))</f>
        <v>1.5</v>
      </c>
      <c r="EN195">
        <f t="shared" ref="EN195:EN258" si="467">IF(B195="","",IF(TRIM(J195&amp;"")="",EM195,J195))</f>
        <v>2.5</v>
      </c>
      <c r="EO195" cm="1">
        <f t="array" ref="EO195">IF(OR(B195="",BZ195="",EC195&lt;&gt;1),"",_xlfn.LET(_xlpm.sz,Iдоп_S,_xlpm.t_,CHOOSE(EB195,Iдоп_1ж,Iдоп_2ж,Iдоп_3ж)*DZ195*EA195,_xlpm.ok,IFERROR((_xlpm.sz&gt;=MAX(1.5,CC195))*(_xlpm.t_&gt;=N(DT195)),0),_xlpm.r_,_xlfn._xlws.FILTER(_xlpm.sz,_xlpm.ok,""),INDEX(_xlpm.r_,1)))</f>
        <v>1.5</v>
      </c>
      <c r="EP195" s="6" cm="1">
        <f t="array" ref="EP195">IFERROR(ROUNDUP(N(EJ195)*(_xlfn.XLOOKUP(EO195,INDEX(Кабель_сопротивление,0,1),INDEX(Кабель_сопротивление,0,3))*N(P195)/EO195*N(CE195)+_xlfn.XLOOKUP(EO195,INDEX(Кабель_сопротивление,0,1),INDEX(Кабель_сопротивление,0,2))*N(P195)*N(EK195)/1000)*N(O195)/((Uн_лин/SQRT(3))*1000)*100,2),"")</f>
        <v>2.36</v>
      </c>
      <c r="EQ195">
        <f>IFERROR(2*ρкз_Cu*N(P195)/EO195,"")</f>
        <v>0.66626666666666667</v>
      </c>
      <c r="ER195">
        <f>IFERROR(VLOOKUP(EN195,Кабель_сопротивление,3,FALSE),"")</f>
        <v>2.2499999999999999E-2</v>
      </c>
      <c r="ES195">
        <f>IFERROR(VLOOKUP(EN195,Кабель_сопротивление,2,FALSE),"")</f>
        <v>0.1</v>
      </c>
      <c r="ET195">
        <f t="shared" ref="ET195:ET258" si="468">IF(AR195&lt;&gt;"",AR195,IF(OR(EI195="",AT195=""),"",IF(AT195=1,MAX(0,P195-ROUNDUP(N(AW195),0)-4),ROUNDUP(N(AV195),0))))</f>
        <v>7</v>
      </c>
      <c r="EU195">
        <f t="shared" ref="EU195:EU258" si="469">IF(AS195&lt;&gt;"",AS195,IF(OR(EI195="",AT195=""),"",IF(AT195=2,MAX(0,P195-ROUNDUP(N(AV195),0)-4),ROUNDUP(N(AW195),0))))</f>
        <v>0</v>
      </c>
      <c r="EV195">
        <f t="shared" ref="EV195:EV258" si="470">IFERROR(IF(BV195=1,2*ER195*P195/EN195*O195,EJ195*(ER195*P195/EN195*CE195+ES195*P195*EK195/1000)*O195),"")</f>
        <v>3.2698001555446776</v>
      </c>
      <c r="EW195" s="6">
        <f>IFERROR(ROUNDUP(EV195/IF(BV195=1,BU195,(Uн_лин/SQRT(3))*1000)*100,2),"")</f>
        <v>1.42</v>
      </c>
      <c r="EX195" t="str">
        <f>IFERROR(VLOOKUP(BZ195,Кабель_обозначение,2,FALSE),"")</f>
        <v>ВВГнг(А)-LS</v>
      </c>
      <c r="EY195" t="str">
        <f t="shared" ref="EY195:EY258" si="471">IFERROR(IF(EC195=1,IF(ISNUMBER(EN195),EX195&amp;" ("&amp;CB195&amp;"х"&amp;EN195&amp;")",EX195),EX195),"")</f>
        <v>ВВГнг(А)-LS (3х2,5)</v>
      </c>
      <c r="EZ195" t="str">
        <f t="shared" ref="EZ195:EZ258" si="472">IF(OR(B195="",EX195="",AND(BR195&lt;&gt;"",NOT(ISNUMBER(BR195)))),"",IF(N(EN195)=0,EX195,EY195&amp;IF(N(P195)=0,"",CHAR(10)&amp;"L="&amp;P195&amp;"-"&amp;EW195&amp;"%")))</f>
        <v>ВВГнг(А)-LS (3х2,5)
L=19-1,42%</v>
      </c>
      <c r="FA195">
        <f>IFERROR(2*ρкз_Cu*P195/EN195,"")</f>
        <v>0.39976</v>
      </c>
      <c r="FB195">
        <f t="shared" ref="FB195:FB258" si="473">IFERROR(0.0175*N(P195)/EN195,"")</f>
        <v>0.13300000000000001</v>
      </c>
      <c r="FC195" s="6" t="str">
        <f>IFERROR(IF(OR(B195="",BV195=1,NOT(ISNUMBER(EN195)),N(P195)=0),"",_xlfn.XLOOKUP(A195,Щиты[Щит],Щиты[Zпетли на шинах, Ом])+FA195),"")</f>
        <v/>
      </c>
      <c r="FD195" s="6" t="str">
        <f>IF(ISNUMBER(FC195),c_min*(Uн_лин*1000/SQRT(3))/FC195,"")</f>
        <v/>
      </c>
      <c r="FE195" s="6" t="str">
        <f>IFERROR(IF(OR(B195="",NOT(ISNUMBER(EN195))),"",1.05*(Uн_лин*1000/SQRT(3))/(_xlfn.XLOOKUP(A195,Щиты[Щит],Щиты[Zmax на шинах, Ом])+FB195)/1000),"")</f>
        <v/>
      </c>
      <c r="FF195" s="6" t="str">
        <f>IF(B195="","",IF(ISNUMBER(AC195),"Сил",IF(IFERROR(_xlfn.XLOOKUP(BC195,Коды_код,Коды_группа)&amp;"","")="","Быт",_xlfn.XLOOKUP(BC195,Коды_код,Коды_группа)&amp;"")))</f>
        <v>Быт</v>
      </c>
      <c r="FG195" s="6" t="str">
        <f t="shared" ref="FG195:FG258" si="474">IF(B195="","",IF(BH195&lt;&gt;"","Щит",IF(TRIM(AB195&amp;"")="",FF195,AB195)))</f>
        <v>Быт</v>
      </c>
      <c r="FH195" s="6">
        <f>IF(FG195="Щит","щит",IF(FG195="","",IF(FG195="Быт",IFERROR(_xlfn.XLOOKUP(A195,Щиты[Щит],Щиты[Кс быт]),1),IF(FG195="Сил",IF(ISNUMBER(AC195),AC195,IF(Методика="нормы 2026",IFERROR(_xlfn.XLOOKUP(A195,Щиты[Щит],Щиты[Кс силовых (табл. 7.5)]),1),1)),IF(OR(FG195="Пост",FG195="Отоп"),1,IF(FG195="ВНГ",0.7,0))))))</f>
        <v>0.79799999999999993</v>
      </c>
      <c r="FI195">
        <f>IF(FG195="","",IF(AND(BP195=1,TRIM(AE195&amp;"")=""),IF(COUNTIFS(Линии[Щит],A195,Линии[Секция (1/2/3)],"&gt;=2")&gt;0,MIN(3,MAX(1,IFERROR(--BD195,1))),1),IFERROR(MIN(3,MAX(1,INT(--AE195))),1)))</f>
        <v>1</v>
      </c>
      <c r="FJ195">
        <f t="shared" ref="FJ195:FJ258" si="475">IF(OR(FG195="",FG195="Нет",FG195="Щит"),0,N(BS195))</f>
        <v>2.2000000000000002</v>
      </c>
      <c r="FK195">
        <f t="shared" ref="FK195:FK258" si="476">IF(FG195="Быт",N(BS195),0)</f>
        <v>2.2000000000000002</v>
      </c>
      <c r="FL195">
        <f t="shared" ref="FL195:FL258" si="477">IF(FG195="Сил",N(BS195)*N(FH195),0)</f>
        <v>0</v>
      </c>
      <c r="FM195">
        <f t="shared" ref="FM195:FM258" si="478">IF(FG195="Пост",N(BS195),0)</f>
        <v>0</v>
      </c>
      <c r="FN195">
        <f t="shared" ref="FN195:FN258" si="479">IF(FG195="Отоп",N(BS195),0)</f>
        <v>0</v>
      </c>
      <c r="FO195">
        <f t="shared" ref="FO195:FO258" si="480">IF(FG195="ВНГ",N(BS195)*0.7,0)</f>
        <v>0</v>
      </c>
      <c r="FP195">
        <f t="shared" ref="FP195:FP258" si="481">IF(OR(B195="",FG195="Нет"),0,N(BS195))</f>
        <v>2.2000000000000002</v>
      </c>
      <c r="FQ195">
        <f t="shared" ref="FQ195:FQ258" si="482">IF(OR(B195="",FG195="Щит",FG195="Нет"),0,N(BS195))</f>
        <v>2.2000000000000002</v>
      </c>
      <c r="FR195">
        <f t="shared" ref="FR195:FR258" si="483">IF(OR(B195="",FG195="Щит",FG195="Нет"),0,N(BS195)*N(CE195))</f>
        <v>2.09</v>
      </c>
      <c r="FS195">
        <f>IF(CG195=1,IF(AND(CH195=1,CW195=1),0,IF(AND(CS195&lt;&gt;"",CS195=BA195,CW195=1),SUMIFS(Линии[_Р линии, кВт],Линии[_блок УЗО],BA195,Линии[Щит],A195),N(BS195)+IF(AJ195="вручную",0,N(CK195)))),0)</f>
        <v>2.2000000000000002</v>
      </c>
      <c r="FT195" t="str">
        <f t="shared" ref="FT195:FT258" si="484">IF(B195="","",IF(_xlfn.ISFORMULA(L195),"",_xlfn.LET(_xlpm.v,UPPER(SUBSTITUTE(TRIM(L195&amp;"")," ","")),IF(_xlpm.v="","",IF(OR(_xlpm.v="1,2,3",_xlpm.v="L1,L2,L3",_xlpm.v="123",_xlpm.v="3Ф"),"L1,L2,L3",IF(OR(_xlpm.v="1",_xlpm.v="2",_xlpm.v="3"),"L"&amp;_xlpm.v,IF(OR(_xlpm.v="L1",_xlpm.v="L2",_xlpm.v="L3"),_xlpm.v,"")))))))</f>
        <v>L2</v>
      </c>
      <c r="FU195" t="str">
        <f>IF(B195="","",IF(CG195=0,IF(BA195=1,"",FW194),IF(AND(CH195=1,CW195=1,CS195&lt;&gt;""),IFERROR(_xlfn.XLOOKUP(CS195,Линии[_n],Линии[_фаза итог]),"L1"),IF(OR(N(DL195)&gt;=3,N(BX195)&gt;=3),"L1,L2,L3",IFERROR(_xlfn.TEXTBEFORE(_xlfn.TEXTAFTER(_xlfn.XLOOKUP(A195,Щиты[Щит],Щиты[_фазы авто]),";"&amp;BA195&amp;":"),";"),"L1")))))</f>
        <v>L1</v>
      </c>
      <c r="FV195" t="str">
        <f t="shared" ref="FV195:FV258" si="485">IF(B195="","",_xlfn.LET(_xlpm.v,UPPER(SUBSTITUTE(TRIM(L195&amp;"")," ","")),IF(_xlpm.v="",FU195,IF(OR(_xlpm.v="1,2,3",_xlpm.v="L1,L2,L3",_xlpm.v="123",_xlpm.v="3Ф"),"L1,L2,L3",IF(OR(_xlpm.v="1",_xlpm.v="2",_xlpm.v="3"),"L"&amp;_xlpm.v,IF(OR(_xlpm.v="L1",_xlpm.v="L2",_xlpm.v="L3"),_xlpm.v,IF(_xlpm.v="УПР","",_xlpm.v)))))))</f>
        <v>L2</v>
      </c>
      <c r="FW195" t="str">
        <f t="shared" ref="FW195:FW258" si="486">IF(CG195=1,FV195,IF(AND(NOT(OR(BA195=1,A195&lt;&gt;A194)),AJ195&lt;&gt;"вручную",IF(BA195=1,"",DS194)="ok"),IF(BA195=1,"",FW194),""))</f>
        <v>L2</v>
      </c>
      <c r="FX195" cm="1">
        <f t="array" ref="FX195">IFERROR(IF(CD195=2,_xlfn.IFS(BX195=3,VLOOKUP(BS195,Справочная_двигатели,3,FALSE),BX195=1,VLOOKUP(BS195,Справочная_двигатели,5,TRUE)),0),0)</f>
        <v>0</v>
      </c>
      <c r="FY195">
        <f>IFERROR(IF(CD195=3,VLOOKUP(BS195,Справочная_ЛЭД,2,TRUE),0),0)</f>
        <v>0</v>
      </c>
      <c r="FZ195" s="6">
        <f t="shared" ref="FZ195:FZ258" si="487">IF(B195="","",IF(FX195=0,FY195,FX195))</f>
        <v>0</v>
      </c>
      <c r="GA195" t="str">
        <f>IF(B195="","",IF(TRIM(AH195&amp;"")&lt;&gt;"",IF(LOWER(TRIM(AH195&amp;""))="да","да","нет"),IF(IFERROR(_xlfn.XLOOKUP(BC195,Коды_код,Коды_пожарная),"")="да","да","нет")))</f>
        <v>нет</v>
      </c>
      <c r="GB195" t="str">
        <f t="shared" ref="GB195:GB258" si="488">IF(AF195&lt;&gt;"",AF195,IF(CG195=1,"",IF(GU195="","",IF(BA195=1,"",GB194))))</f>
        <v/>
      </c>
      <c r="GC195" t="str">
        <f t="shared" ref="GC195:GC258" si="489">IF(B195="","",IF(GB195="","основная",GB195))</f>
        <v>основная</v>
      </c>
      <c r="GD195">
        <f>IF(AND(BP195=1,TRIM(AE195&amp;"")=""),IF(COUNTIFS(Линии[Щит],A195,Линии[Секция (1/2/3)],"&gt;=2")&gt;0,MIN(3,MAX(1,IFERROR(--BD195,1))),1),IFERROR(MIN(3,MAX(1,INT(--AE195))),1))</f>
        <v>1</v>
      </c>
      <c r="GE195" t="str" cm="1">
        <f t="array" ref="GE195">IF(B195="","",_xlfn.LET(_xlpm.t,IFERROR(_xlfn.XLOOKUP(1,(Шины[Шина]=GC195)*(((Шины[Щит]=A195)+(Шины[Щит]=""))&gt;0),Шины[Тип]),"")&amp;"",IF(_xlpm.t&lt;&gt;"",_xlpm.t,IF(ISNUMBER(SEARCH("ИБП",GC195)),"ИБП",IF(ISNUMBER(SEARCH("ДГУ",GC195)),"ДГУ","Ввод "&amp;GD195)))))</f>
        <v>Ввод 1</v>
      </c>
      <c r="GF195" t="str">
        <f t="shared" ref="GF195:GF258" si="490">IF(B195="","",IF(OR(GE195="ИБП",GE195="ДГУ"),GE195,IF(LEFT(GE195,5)="Ввод ",GE195,"Ввод "&amp;GD195)))</f>
        <v>Ввод 1</v>
      </c>
      <c r="GG195" t="str">
        <f>IF(BP195=0,"",IF(TRIM(AG195&amp;"")&lt;&gt;"",TRIM(AG195&amp;""),IF(OR(GE195="ИБП",GE195="ДГУ"),"I особая",_xlfn.XLOOKUP(A195,Щиты[Щит],Щиты[Категория шины «Ввод»],"III"))))</f>
        <v/>
      </c>
      <c r="GH195" t="str">
        <f>IF(A195="","",_xlfn.XLOOKUP(A195,Щиты[Щит],Щиты[Путь],""))</f>
        <v>|ГРЩ-ЖД|ЩР-01|</v>
      </c>
      <c r="GI195" t="str">
        <f>IF(B195="","",IF(AI195&lt;&gt;"",AI195,IF(IFERROR(_xlfn.XLOOKUP(BC195,Коды_код,Коды_вид)&amp;"","")="","Прочее",_xlfn.XLOOKUP(BC195,Коды_код,Коды_вид)&amp;"")))</f>
        <v>Розеточная сеть и бытовые приборы</v>
      </c>
      <c r="GJ195">
        <f>IF(BM195="","",INT((BM195-1)/Столбцов_на_лист)+1)</f>
        <v>2</v>
      </c>
      <c r="GK195" t="str">
        <f t="shared" ref="GK195:GK258" si="491">IF(B195="","",SUBSTITUTE(EZ195,CHAR(10)," "))</f>
        <v>ВВГнг(А)-LS (3х2,5) L=19-1,42%</v>
      </c>
      <c r="GL195">
        <f t="shared" ref="GL195:GL258" si="492">IF(B195="","",IFERROR(--BS195,""))</f>
        <v>2.2000000000000002</v>
      </c>
      <c r="GM195">
        <f t="shared" ref="GM195:GM258" si="493">IF(B195="","",IFERROR(ROUNDUP(O195,2),""))</f>
        <v>10.029999999999999</v>
      </c>
      <c r="GN195">
        <f t="shared" ref="GN195:GN258" si="494">IF(B195="","",IFERROR(--BX195,1))</f>
        <v>1</v>
      </c>
      <c r="GO195">
        <f t="shared" ref="GO195:GO258" si="495">IF(OR(AL195="+",AND(B195&lt;&gt;"",B195=IF(BA195=1,"",B194))),1,0)</f>
        <v>0</v>
      </c>
      <c r="GP195">
        <f t="shared" ref="GP195:GP258" si="496">IF(OR(BM195="",AJ195="вручную",AND(BN195="вводной узел",AJ195&lt;&gt;"рисовать")),0,1)</f>
        <v>1</v>
      </c>
      <c r="GQ195">
        <f>IF(BM195="","",IF(AND(CG195=1,GP195=1),COUNTIFS(A$3:A195,A195,CG$3:CG195,1,GP$3:GP195,1),IF(OR(OR(BA195=1,A195&lt;&gt;A194),AJ195="вручную",GP195=0),"",IF(BA195=1,"",GR194))))</f>
        <v>11</v>
      </c>
      <c r="GR195">
        <f t="shared" ref="GR195:GR258" si="497">IF(BM195="",IF(OR(BA195=1,A195&lt;&gt;A194),"",IF(BA195=1,"",GR194)),GQ195)</f>
        <v>11</v>
      </c>
      <c r="GS195">
        <f>IF(B195="","",IFERROR(LOOKUP(INDEX(CHOOSE(EB195,Iдоп_1ж,Iдоп_2ж,Iдоп_3ж),MATCH(EN195,Iдоп_S,0))*DZ195*EA195,{6,10,16,20,25,32,40,50,63,80,100,125,160,200,250,315,400,500,630}),""))</f>
        <v>25</v>
      </c>
      <c r="GT195" t="str">
        <f t="shared" ref="GT195:GT258" si="498">IF(AND(CG195=1,GP195=1,GQ195&lt;&gt;""),IF(N(DA195)&gt;0,"QFD","QF")&amp;GQ195,"")</f>
        <v>QFD11</v>
      </c>
      <c r="GU195" t="str">
        <f t="shared" ref="GU195:GU258" si="499">IF(GT195&lt;&gt;"",GT195,IF(OR(OR(BA195=1,A195&lt;&gt;A194),AJ195="вручную"),"",IF(BA195=1,"",GU194)))</f>
        <v>QFD11</v>
      </c>
      <c r="GV195" t="str">
        <f t="shared" ref="GV195:GV258" si="500">IF(GT195&lt;&gt;"",_xlfn.TEXTJOIN(" → ",TRUE,DE195,DF195,DG195),IF(GU195="","",IF(BA195=1,"",GV194)))</f>
        <v/>
      </c>
      <c r="GW195">
        <f t="shared" ref="GW195:GW258" si="501">IF(GV195="",0,IF(OR(LEFT(GV195,2)="T ",LEFT(GV195,2)="Т ",ISNUMBER(SEARCH("→ T ",GV195)),ISNUMBER(SEARCH("→ Т ",GV195)),ISNUMBER(SEARCH("БП",GV195))),1,0))</f>
        <v>0</v>
      </c>
      <c r="GX195" t="str">
        <f>IF(OR(B195="",DJ195=""),"",IFERROR(_xlfn.XLOOKUP(DJ195,Модули_умолч[Управление],Модули_умолч[Модель])&amp;"",""))</f>
        <v/>
      </c>
      <c r="GY195">
        <f>IF(DJ195="",1,IFERROR(MAX(0,N(_xlfn.XLOOKUP(DJ195,Модули_умолч[Управление],Модули_умолч[Каналов на линию]))),1))</f>
        <v>1</v>
      </c>
      <c r="GZ195" t="str">
        <f t="shared" ref="GZ195:GZ258" si="502">IF(_xlfn.ISFORMULA(AK195),"",TRIM(AK195&amp;""))</f>
        <v/>
      </c>
      <c r="HA195" t="str">
        <f t="shared" ref="HA195:HA258" si="503">IF(GZ195="-","",IF(GZ195&lt;&gt;"","M",IF(AND(NOT(OR(BA195=1,A195&lt;&gt;A194)),IF(BA195=1,"",HA194)="M"),"M",IF(GX195&lt;&gt;"","A",IF(AND(NOT(OR(BA195=1,A195&lt;&gt;A194)),IF(BA195=1,"",HA194)="A",B195="",OR(AL195="р",AL195="+",AL195="=")),"A","")))))</f>
        <v/>
      </c>
      <c r="HB195" t="str">
        <f t="shared" ref="HB195:HB258" si="504">IF(HA195="A",IF(GX195&lt;&gt;"",GX195,IF(BA195=1,"",HB194)),"")</f>
        <v/>
      </c>
      <c r="HC195">
        <f>IF(HB195="",0,IFERROR(N(VLOOKUP(HB195,Модули_спр,3,FALSE)),0))</f>
        <v>0</v>
      </c>
      <c r="HD195" t="str">
        <f t="shared" ref="HD195:HD258" si="505">IF(HA195="A",IF(OR(OR(BA195=1,A195&lt;&gt;A194),IF(BA195=1,"",HA194)&lt;&gt;"A",IF(BA195=1,"",HB194)&lt;&gt;HB195,AND(HC195&gt;0,GY195&gt;0,N(IF(BA195=1,"",HK194))+GY195&gt;HC195)),HB195,""),IF(AND(HA195="",NOT(OR(BA195=1,A195&lt;&gt;A194)),IF(BA195=1,"",HA194)="A",GZ195=""),"-",""))</f>
        <v/>
      </c>
      <c r="HE195" t="str">
        <f t="shared" ref="HE195:HE258" si="506">IF(GZ195&lt;&gt;"",GZ195,HD195)</f>
        <v/>
      </c>
      <c r="HF195" t="str">
        <f>IF(OR(HE195="",HE195="-"),"",IFERROR(VLOOKUP(HE195,Модули_спр,2,FALSE),"R"))</f>
        <v/>
      </c>
      <c r="HG195" t="str">
        <f>IF(HF195="","",HF195&amp;"."&amp;COUNTIFS(A$3:A195,A195,HF$3:HF195,HF195))</f>
        <v/>
      </c>
      <c r="HH195" t="str">
        <f t="shared" ref="HH195:HH258" si="507">IF(HE195="-","",IF(HG195&lt;&gt;"",HG195,IF(OR(BA195=1,A195&lt;&gt;A194),"",IF(BA195=1,"",HH194))))</f>
        <v/>
      </c>
      <c r="HI195" t="str">
        <f t="shared" ref="HI195:HI258" si="508">IF(HH195="","",IF(AND(HE195&lt;&gt;"",HE195&lt;&gt;"-"),HE195,IF(BA195=1,"",HI194)))</f>
        <v/>
      </c>
      <c r="HJ195" t="str">
        <f t="shared" ref="HJ195:HJ258" si="509">IF(AL195="=",IF(BA195=1,"",HK194),IF(ISNUMBER(AL195),AL195,IF(HH195="","",IF(OR(B195&lt;&gt;"",AL195="+",AL195="р"),IF(OR(HG195&lt;&gt;"",IF(BA195=1,"",HK194)=""),1,IF(BA195=1,"",HK194)+IF(GY195=0,0,1)),""))))</f>
        <v/>
      </c>
      <c r="HK195" t="str">
        <f t="shared" ref="HK195:HK258" si="510">IF(HJ195&lt;&gt;"",MAX(HJ195,HJ195+GY195-1),IF(OR(OR(BA195=1,A195&lt;&gt;A194),HE195="-",HG195&lt;&gt;""),"",IF(BA195=1,"",HK194)))</f>
        <v/>
      </c>
      <c r="HL195">
        <f t="shared" ref="HL195:HL258" si="511">IF(OR(AL195="б/к",AJ195="вручную"),0,IF(OR(EZ195&lt;&gt;"",AL195="+",AL195="="),1,0))</f>
        <v>1</v>
      </c>
      <c r="HM195" t="str">
        <f>IF(HL195=1,"XT"&amp;COUNTIFS(A$3:A195,A195,HL$3:HL195,1),"")</f>
        <v>XT11</v>
      </c>
      <c r="HN195" t="str">
        <f t="shared" ref="HN195:HN258" si="512">_xlfn.LET(_xlpm.v,TRIM(M195&amp;""),IF(_xlpm.v="нет","",IF(_xlpm.v="",HM195,_xlpm.v)))</f>
        <v/>
      </c>
      <c r="HO195" t="str">
        <f t="shared" ref="HO195:HO258" si="513">IF(OR(B195&lt;&gt;"",HJ195&lt;&gt;"",HL195=1),GU195,"")</f>
        <v>QFD11</v>
      </c>
      <c r="HP195" t="str">
        <f t="shared" ref="HP195:HP258" si="514">IF(OR(HJ195&lt;&gt;"",AND(HE195&lt;&gt;"",HE195&lt;&gt;"-")),HH195,"")</f>
        <v/>
      </c>
      <c r="HQ195" t="str">
        <f t="shared" ref="HQ195:HQ258" si="515">IF(B195="","",IF(AND(CG195=1,DQ195&lt;&gt;"",DR195=""),"номинал автомата не распознан",IF(DT195="",IF(CF195=1,"«гр»: нет автомата выше",""),IF(AND(CG195=1,N(DY195)&gt;N(DT195)),"ПЕРЕГРУЗ",IF(AND(N(DX195)=0,ISNUMBER(GS195),N(GS195)&lt;N(DT195)),"КАБЕЛЬ НЕ ЗАЩИЩЁН","ok")))))</f>
        <v>ok</v>
      </c>
      <c r="HR195" t="str">
        <f>IF(OR(HJ195="",HH195=""),"",IF(HJ195+MAX(0,GY195-1)&gt;IFERROR(VLOOKUP(HI195,Модули_спр,3,FALSE),99),"ЛИШНИЙ КАНАЛ",IF(AND(AL195&lt;&gt;"=",GY195&gt;0,COUNTIFS(Линии[_модуль гр.],HH195,Линии[Канал (итог)],HJ195,Линии[Канал],"&lt;&gt;=",Линии[Щит],A195)&gt;1),"ДУБЛЬ КАНАЛА","")))</f>
        <v/>
      </c>
      <c r="HS195" s="6" t="str">
        <f t="shared" ref="HS195:HS258" si="516">IFERROR(IF(ISNUMBER(FD195),FD195/N(DT195),""),"")</f>
        <v/>
      </c>
      <c r="HT195">
        <f t="shared" ref="HT195:HT258" si="517">IF(OR(ISNUMBER(SEARCH(" B"," "&amp;DU195)),ISNUMBER(SEARCH(" В"," "&amp;DU195))),5,IF(ISNUMBER(SEARCH(" D"," "&amp;DU195)),20,10))</f>
        <v>10</v>
      </c>
      <c r="HU195" t="str">
        <f t="shared" ref="HU195:HU258" si="518">IF(NOT(ISNUMBER(HS195)),"",IF(HS195&gt;=HT195,"ok",IF(N(DW195)=1,"ok (дифзащита "&amp;IF(CS195&lt;&gt;"",CV195,DV195)&amp;" мА)","мало: Iкз &lt; "&amp;HT195&amp;"·In")))</f>
        <v/>
      </c>
      <c r="HV195">
        <f t="shared" ref="HV195:HV258" si="519">IF(OR(B195="",BH195&lt;&gt;"",BP195=1),0,0.4*N(CI195)+IF(BV195=1,0,0.01*N(P195)))</f>
        <v>4.2010650280542432</v>
      </c>
      <c r="HW195">
        <f t="shared" ref="HW195:HW258" si="520">IF(AND(A196=A195,AJ196&lt;&gt;"вручную",OR(B196="",CF196=1)),IF(B196="",0,N(HV196))+N(HW196),0)</f>
        <v>0</v>
      </c>
      <c r="HX195">
        <f t="shared" ref="HX195:HX258" si="521">IF(BV195=1,N(BU195)+N(EV195),0)</f>
        <v>0</v>
      </c>
      <c r="HY195">
        <f t="shared" ref="HY195:HY258" si="522">IF(BV195=1,(N(BU195)+N(EV195))*N(O195),0)</f>
        <v>0</v>
      </c>
      <c r="HZ195">
        <f t="shared" ref="HZ195:HZ258" si="523">IF(AND(A196=A195,AJ196&lt;&gt;"вручную",OR(B196="",CF196=1)),IF(B196="",0,N(HY196))+N(HZ196),0)</f>
        <v>0</v>
      </c>
      <c r="IA195">
        <f t="shared" ref="IA195:IA258" si="524">IF(AND(A196=A195,AJ196&lt;&gt;"вручную",OR(B196="",CF196=1)),MAX(IF(B196="",0,N(HX196)),N(IA196)),0)</f>
        <v>0</v>
      </c>
      <c r="IB195">
        <f t="shared" ref="IB195:IB258" si="525">IF(AND(A196=A195,AJ196&lt;&gt;"вручную",OR(B196="",CF196=1)),IF(B196="",0,N(BV196))+N(IB196),0)</f>
        <v>0</v>
      </c>
      <c r="IC195" t="str">
        <f t="shared" ref="IC195:IC258" si="526">IF(CG195=0,"",IFERROR(TRIM(MID(DD195,SEARCH("БП",DD195),40)),""))</f>
        <v/>
      </c>
      <c r="ID195" t="str" cm="1">
        <f t="array" ref="ID195">IF(IC195="","",_xlfn.LET(_xlpm.tk,_xlfn.TEXTSPLIT(SUBSTITUTE(SUBSTITUTE(IC195,";"," "),"→"," ")," ",,TRUE),_xlpm.w_,_xlfn._xlws.FILTER(_xlpm.tk,ISNUMBER(--LEFT(_xlpm.tk,1))*((ISNUMBER(SEARCH("W",_xlpm.tk))+ISNUMBER(SEARCH("Вт",_xlpm.tk)))&gt;0),""),IFERROR(--SUBSTITUTE(SUBSTITUTE(UPPER(INDEX(_xlpm.w_,1)),"W",""),"ВТ",""),"")))</f>
        <v/>
      </c>
      <c r="IE195" t="str" cm="1">
        <f t="array" ref="IE195">IF(IC195="","",_xlfn.LET(_xlpm.tk,_xlfn.TEXTSPLIT(SUBSTITUTE(SUBSTITUTE(IC195,";"," "),"→"," ")," ",,TRUE),_xlpm.v_,_xlfn._xlws.FILTER(_xlpm.tk,ISNUMBER(--LEFT(_xlpm.tk,1))*((ISNUMBER(SEARCH("V",_xlpm.tk))+(RIGHT(UPPER(_xlpm.tk))="В"))&gt;0),""),IFERROR(--SUBSTITUTE(SUBSTITUTE(UPPER(INDEX(_xlpm.v_,1)),"V",""),"В",""),"")))</f>
        <v/>
      </c>
      <c r="IF195" s="6" t="str">
        <f>IF(OR(BV195=0,HI195="",HJ195=""),"",IFERROR(N(_xlfn.XLOOKUP(HI195,Каталог!$C$4:$C$500,Каталог!$Q$4:$Q$500)),""))</f>
        <v/>
      </c>
      <c r="IG195" s="6" t="str">
        <f>IF(N(IF195)=0,"",SUMIFS(Линии[Iр, А],Линии[Щит],A195,Линии[_модуль гр.],HH195,Линии[Канал (итог)],HJ195))</f>
        <v/>
      </c>
      <c r="IH195" t="str">
        <f>IF(AND(B195="",HO195=""),"",_xlfn.TEXTJOIN("; ",TRUE,IF(AND(B195&lt;&gt;"",FV195=""),"нет фазы",""),IF(AND(B195&lt;&gt;"",N(GL195)=0,FG195&lt;&gt;"Нет"),"нет мощности",""),IF(AND(HN195&lt;&gt;"",COUNTIFS(Линии[Щит],A195,Линии[Клемма (итог)],HN195)&gt;1),"дубль клеммы "&amp;HN195,""),IF(AND(HQ195&lt;&gt;"",HQ195&lt;&gt;"ok"),HQ195,""),IF(HR195&lt;&gt;"",HR195,""),IF(AND(N(CB195)&gt;=4,N(BX195)=1),CB195&amp;" жил на 1 фазе",""),IF(AND(BC195="R",CG195=1,IF(CS195&lt;&gt;"",N(CV195)&gt;30,OR(N(DA195)=0,N(DA195)&gt;30))),"розетка без дифзащиты до 30 мА",""),IF(AND(CG195=1,N(DA195)&gt;0,ISNUMBER(T195)),IF(T195&gt;N(DA195)/3,"ток утечки "&amp;FIXED(T195,1)&amp;" мА &gt; 1/3 уставки ("&amp;DA195&amp;" мА)",""),""),IF(AND(CH195=1,CS195=""),"«узо»: нет строки с УЗО выше (УЗО 2P 40А 30мА в «Аппаратах»)",""),IF(AND(CS195&lt;&gt;"",CS195=BA195),IF(CT195="","впишите номинал УЗО (УЗО 2P 40А 30мА)",IF(N(CT195)&lt;N(DT195),"УЗО "&amp;CT195&amp;" А &lt; автомата "&amp;DT195&amp;" А перед ним",IF(N(CT195)&lt;N(CX195),"УЗО "&amp;CT195&amp;" А &lt; тока блока "&amp;FIXED(CX195,1)&amp;" А",""))),""),IF(AND(CS195&lt;&gt;"",CS195=BA195,ISNUMBER(CY195)),IF(CY195&gt;N(CV195)/3,"ток утечки блока УЗО "&amp;FIXED(CY195,1)&amp;" мА &gt; 1/3 уставки ("&amp;CV195&amp;" мА)",""),""),IF(AND(CG195=1,N(BV195)+N(IB195)&gt;0,IC195=""),"линии до 50 В без БП: впишите в «Аппараты» (БП 24V 480W)",""),IF(AND(CG195=1,ISNUMBER(ID195),ISNUMBER(U195)),IF(U195&gt;ID195,"БП "&amp;ID195&amp;" Вт &lt; нужно "&amp;U195&amp;" Вт (×"&amp;Запас_БП&amp;")",""),""),IF(AND(CG195=1,ISNUMBER(IE195),N(BV195)=1),IF(IE195&lt;&gt;N(BU195),"БП на "&amp;IE195&amp;" В, линия "&amp;BU195&amp;" В",""),""),IF(AND(N(IF195)&gt;0,N(IG195)&gt;N(IF195)),HH195&amp;" канал "&amp;HJ195&amp;": "&amp;FIXED(IG195,1)&amp;" А &gt; "&amp;IF195&amp;" А",""),IFERROR(IF(AND(ISNUMBER(Q195),Q195&gt;EL195),"потери "&amp;FIXED(Q195,1)&amp;" % &gt; "&amp;EL195&amp;" %",""),""),IFERROR(IF(LEFT(HU195,4)="мало","Iкз мало — отключение &gt; 0,4 с",""),""),IF(AND(B195&lt;&gt;"",BM195=""),"не на схеме",""),IF(AND(CG195=0,B195&lt;&gt;"",FV195&lt;&gt;"",IF(BA195=1,"",FW194)&lt;&gt;"",FV195&lt;&gt;IF(BA195=1,"",FW194)),"фаза не как у автомата группы ("&amp;IF(BA195=1,"",FW194)&amp;")","")))</f>
        <v/>
      </c>
      <c r="II195" s="6">
        <f>IF(OR(CG195=0,DQ195=""),"",_xlfn.LET(_xlpm.t,IFERROR(_xlfn.XLOOKUP(DQ195,Каталог!$U$4:$U$500,Каталог!$G$4:$G$500),""),_xlpm.k,SEARCH("кА",_xlpm.t),IFERROR(--TRIM(RIGHT(SUBSTITUTE(MID(_xlpm.t,MAX(1,_xlpm.k-4),_xlpm.k-MAX(1,_xlpm.k-4))," ",REPT(" ",9)),5)),"")))</f>
        <v>6</v>
      </c>
      <c r="IJ195" t="str">
        <f>IF(OR(II195="",CG195=0),"",IF(_xlfn.XLOOKUP(A195,Щиты[Щит],Щиты[Iкз max на шинах, кА],"")="","",IF(II195&lt;_xlfn.XLOOKUP(A195,Щиты[Щит],Щиты[Iкз max на шинах, кА]),"Icu "&amp;II195&amp;" кА &lt; Iкз max","ok")))</f>
        <v/>
      </c>
      <c r="IK195" t="str">
        <f t="shared" ref="IK195:IK258" si="527">IF(OR(AND(BA195&gt;1,N(BA194)&lt;&gt;BA195-1),AND(BA196&lt;&gt;"",N(BA196)&lt;&gt;BA195+1)),"строки сдвинуты (вставка или удаление) — нажмите «Починить формулы»","")</f>
        <v/>
      </c>
      <c r="IL195" t="str">
        <f t="shared" ref="IL195:IL258" si="528">IF(OR(AJ195="вручную",BM195="",AND(B195="",HN195="")),"",_xlfn.TEXTJOIN("|",TRUE,GU195,SUBSTITUTE(GV195," → ","|"),IF(HH195&lt;&gt;"",HH195&amp;IF(HJ195&lt;&gt;""," к."&amp;HJ195,""),""),HN195))</f>
        <v>QFD11</v>
      </c>
      <c r="IM195" t="str">
        <f t="shared" ref="IM195:IM258" si="529">IF(IL195="","",IL195&amp;IF(B195&lt;&gt;"","|кабель "&amp;EY195&amp;" → "&amp;BJ195,""))</f>
        <v>QFD11|кабель ВВГнг(А)-LS (3х2,5) → Розеточная группа Цокольный этаж Пом. №004Б Сушильная машина</v>
      </c>
      <c r="IN195" t="str" cm="1">
        <f t="array" ref="IN195">IF(IM195="","",_xlfn.LET(_xlpm.nd,_xlfn.TEXTSPLIT(IM195,"|"),IF(COLUMNS(_xlpm.nd)&gt;1,A195&amp;"¦"&amp;INDEX(_xlpm.nd,1)&amp;"¦"&amp;INDEX(_xlpm.nd,2),"")))</f>
        <v>ЩР-01¦QFD11¦кабель ВВГнг(А)-LS (3х2,5) → Розеточная группа Цокольный этаж Пом. №004Б Сушильная машина</v>
      </c>
      <c r="IO195" t="str">
        <f t="shared" ref="IO195:IO258" si="530">IF(IN195="","",B195&amp;"¦"&amp;BJ195)</f>
        <v>R.0.004Б.2¦Розеточная группа Цокольный этаж Пом. №004Б Сушильная машина</v>
      </c>
      <c r="IP195" t="str" cm="1">
        <f t="array" ref="IP195">IF(IM195="","",_xlfn.LET(_xlpm.nd,_xlfn.TEXTSPLIT(IM195,"|"),IF(COLUMNS(_xlpm.nd)&gt;2,A195&amp;"¦"&amp;INDEX(_xlpm.nd,2)&amp;"¦"&amp;INDEX(_xlpm.nd,3),"")))</f>
        <v/>
      </c>
      <c r="IQ195" t="str">
        <f t="shared" ref="IQ195:IQ258" si="531">IF(IP195="","",B195&amp;"¦"&amp;BJ195)</f>
        <v/>
      </c>
      <c r="IR195" t="str" cm="1">
        <f t="array" ref="IR195">IF(IM195="","",_xlfn.LET(_xlpm.nd,_xlfn.TEXTSPLIT(IM195,"|"),IF(COLUMNS(_xlpm.nd)&gt;3,A195&amp;"¦"&amp;INDEX(_xlpm.nd,3)&amp;"¦"&amp;INDEX(_xlpm.nd,4),"")))</f>
        <v/>
      </c>
      <c r="IS195" t="str">
        <f t="shared" ref="IS195:IS258" si="532">IF(IR195="","",B195&amp;"¦"&amp;BJ195)</f>
        <v/>
      </c>
      <c r="IT195" t="str" cm="1">
        <f t="array" ref="IT195">IF(IM195="","",_xlfn.LET(_xlpm.nd,_xlfn.TEXTSPLIT(IM195,"|"),IF(COLUMNS(_xlpm.nd)&gt;4,A195&amp;"¦"&amp;INDEX(_xlpm.nd,4)&amp;"¦"&amp;INDEX(_xlpm.nd,5),"")))</f>
        <v/>
      </c>
      <c r="IU195" t="str">
        <f t="shared" ref="IU195:IU258" si="533">IF(IT195="","",B195&amp;"¦"&amp;BJ195)</f>
        <v/>
      </c>
      <c r="IV195" t="str" cm="1">
        <f t="array" ref="IV195">IF(IM195="","",_xlfn.LET(_xlpm.nd,_xlfn.TEXTSPLIT(IM195,"|"),IF(COLUMNS(_xlpm.nd)&gt;5,A195&amp;"¦"&amp;INDEX(_xlpm.nd,5)&amp;"¦"&amp;INDEX(_xlpm.nd,6),"")))</f>
        <v/>
      </c>
      <c r="IW195" t="str">
        <f t="shared" ref="IW195:IW258" si="534">IF(IV195="","",B195&amp;"¦"&amp;BJ195)</f>
        <v/>
      </c>
      <c r="IX195" t="str" cm="1">
        <f t="array" ref="IX195">IF(IM195="","",_xlfn.LET(_xlpm.nd,_xlfn.TEXTSPLIT(IM195,"|"),IF(COLUMNS(_xlpm.nd)&gt;6,A195&amp;"¦"&amp;INDEX(_xlpm.nd,6)&amp;"¦"&amp;INDEX(_xlpm.nd,7),"")))</f>
        <v/>
      </c>
      <c r="IY195" t="str">
        <f t="shared" ref="IY195:IY258" si="535">IF(IX195="","",B195&amp;"¦"&amp;BJ195)</f>
        <v/>
      </c>
      <c r="IZ195" t="str">
        <f t="shared" ref="IZ195:IZ258" si="536">IF(HP195="","",HI195)</f>
        <v/>
      </c>
      <c r="JA195" t="str">
        <f t="shared" ref="JA195:JA258" si="537">IF(AND(B195="",HJ195="",HN195=""),"",_xlfn.TEXTJOIN(" → ",TRUE,GU195,GV195,IF(HH195&lt;&gt;"",HH195&amp;IF(HJ195&lt;&gt;""," к."&amp;HJ195,""),IF(HJ195&lt;&gt;"","к."&amp;HJ195,"")),HN195,IF(GO195=1,"(в кабель выше)","")))</f>
        <v>QFD11</v>
      </c>
      <c r="JB195">
        <f t="shared" ref="JB195:JB258" si="538">IF(AF195="",0,1)</f>
        <v>0</v>
      </c>
      <c r="JC195">
        <f t="shared" ref="JC195:JC258" si="539">IF(GT195="",0,IF(LEFT(GT195,3)="QFD",1,0))</f>
        <v>1</v>
      </c>
      <c r="JD195" t="str">
        <f t="shared" ref="JD195:JD258" si="540">IF(AL195="=","=",IF(AL195="+","+",IF(AL195="р","R","")))</f>
        <v/>
      </c>
      <c r="JE195" t="str">
        <f t="shared" ref="JE195:JE258" si="541">IF(DE195="","",IF(OR(LEFT(DE195,1)="T",LEFT(DE195,1)="Т"),"T",IF(LEFT(UPPER(DE195),2)="БП","PS",IF(OR(LEFT(UPPER(DE195),2)="МК",LEFT(UPPER(DE195),2)="MK"),"MK",IF(OR(LEFT(UPPER(DE195),2)="КМ",LEFT(UPPER(DE195),2)="KM"),"KM","X")))))</f>
        <v/>
      </c>
      <c r="JF195" t="str">
        <f t="shared" ref="JF195:JF258" si="542">IF(DF195="","",IF(OR(LEFT(DF195,1)="T",LEFT(DF195,1)="Т"),"T",IF(LEFT(UPPER(DF195),2)="БП","PS",IF(OR(LEFT(UPPER(DF195),2)="МК",LEFT(UPPER(DF195),2)="MK"),"MK",IF(OR(LEFT(UPPER(DF195),2)="КМ",LEFT(UPPER(DF195),2)="KM"),"KM","X")))))</f>
        <v/>
      </c>
      <c r="JG195" t="str">
        <f t="shared" ref="JG195:JG258" si="543">IF(DG195="","",IF(OR(LEFT(DG195,1)="T",LEFT(DG195,1)="Т"),"T",IF(LEFT(UPPER(DG195),2)="БП","PS",IF(OR(LEFT(UPPER(DG195),2)="МК",LEFT(UPPER(DG195),2)="MK"),"MK",IF(OR(LEFT(UPPER(DG195),2)="КМ",LEFT(UPPER(DG195),2)="KM"),"KM","X")))))</f>
        <v/>
      </c>
      <c r="JH195" t="str">
        <f>IF(B195="","",IFERROR(_xlfn.XLOOKUP(B195,Коды_код,Коды_уго),IFERROR(_xlfn.XLOOKUP(BC195,Коды_код,Коды_уго),IFERROR(_xlfn.XLOOKUP(LEFT(BC195,2),Коды_код,Коды_уго),""))))</f>
        <v>Розетка</v>
      </c>
      <c r="JI195" t="str">
        <f>IF(B195="","",IF(OR(JH195="",JH195=0),"BOX",IFERROR(IF(VLOOKUP(JH195,УГО_блоки,3,FALSE)&amp;""&lt;&gt;"",VLOOKUP(JH195,УГО_блоки,3,FALSE),VLOOKUP(JH195,УГО_блоки,2,FALSE)),JH195)))</f>
        <v>SOCKET</v>
      </c>
      <c r="JJ195">
        <f t="shared" ref="JJ195:JJ258" si="544">IF(B195="",0,1)</f>
        <v>1</v>
      </c>
      <c r="JK195" t="str">
        <f>IF(DQ195="","",IF(COUNTIF(DQ$3:DQ195,DQ195)=1,MAX(JK$2:JK194)+1,""))</f>
        <v/>
      </c>
      <c r="JL195" t="str">
        <f>IF(DE195="","",IF(COUNTIF(DE$3:DE195,DE195)+COUNTIF(DF$2:DF194,DE195)+COUNTIF(DG$2:DG194,DE195)=1,MAX(JL$2:JN194)+1,""))</f>
        <v/>
      </c>
      <c r="JM195" t="str">
        <f>IF(DF195="","",IF(COUNTIF(DE$3:DE195,DF195)+COUNTIF(DF$3:DF195,DF195)+COUNTIF(DG$2:DG194,DF195)=1,MAX(JL$2:JN194,JL195)+1,""))</f>
        <v/>
      </c>
      <c r="JN195" t="str">
        <f>IF(DG195="","",IF(COUNTIF(DE$3:DE195,DG195)+COUNTIF(DF$3:DF195,DG195)+COUNTIF(DG$3:DG195,DG195)=1,MAX(JL$2:JN194,JL195,JM195)+1,""))</f>
        <v/>
      </c>
      <c r="JO195" t="str">
        <f t="shared" ref="JO195:JO258" si="545">IF(HL195=1,IFERROR(MID(GK195,FIND(" (",GK195)+2,FIND(")",GK195,FIND(" (",GK195))-FIND(" (",GK195)-2),"?"),"")</f>
        <v>3х2,5</v>
      </c>
      <c r="JP195" t="str">
        <f>IF(JO195="","",IF(COUNTIF(JO$3:JO195,JO195)=1,MAX(JP$2:JP194)+1,""))</f>
        <v/>
      </c>
      <c r="JQ195" t="str">
        <f>IF(HG195="","",COUNTIF(HG$3:HG195,"?*"))</f>
        <v/>
      </c>
      <c r="JR195" t="str">
        <f>IF(OR(HG195="",HI195=""),"",IF(COUNTIFS(HG$3:HG195,"?*",HI$3:HI195,HI195)=1,MAX(JR$2:JR194)+1,""))</f>
        <v/>
      </c>
      <c r="JS195">
        <f t="shared" ref="JS195:JS258" si="546">IF(IH195="",0,IF(OR(ISNUMBER(SEARCH("дубль",IH195)),ISNUMBER(SEARCH("ПЕРЕГРУЗ",IH195)),ISNUMBER(SEARCH("ЗАЩИЩ",IH195)),ISNUMBER(SEARCH("КАНАЛ",IH195)),ISNUMBER(SEARCH("без диф",IH195))),2,1))</f>
        <v>0</v>
      </c>
      <c r="JT195">
        <f>IF(B195="","",COUNTIF(B$3:B195,"?*"))</f>
        <v>193</v>
      </c>
      <c r="JU195">
        <f>IF(HL195&lt;&gt;1,0,_xlfn.LET(_xlpm.k,MAX(IFERROR(--_xlfn.XLOOKUP(B195,Коды_код,Коды_3L),0),IFERROR(--_xlfn.XLOOKUP(BC195,Коды_код,Коды_3L),0),IFERROR(--_xlfn.XLOOKUP(LEFT(BC195,2),Коды_код,Коды_3L),0)),IF(_xlpm.k&gt;0,_xlpm.k,IF(IFERROR(--LEFT(SUBSTITUTE(JO195,"x","х"),FIND("х",SUBSTITUTE(JO195,"x","х"))-1),3)&gt;3,Каталог!$S$9,1))))</f>
        <v>1</v>
      </c>
      <c r="JV195">
        <f t="shared" ref="JV195:JV258" si="547">IF(HL195&lt;&gt;1,0,MAX(0,IFERROR(--LEFT(SUBSTITUTE(JO195,"x","х"),FIND("х",SUBSTITUTE(JO195,"x","х"))-1),3)-3*JU195))</f>
        <v>0</v>
      </c>
      <c r="JW195" t="str">
        <f t="shared" ref="JW195:JW258" si="548">IF(CG195=1,"авто","")</f>
        <v>авто</v>
      </c>
      <c r="JX195">
        <f t="shared" ref="JX195:JX258" si="549">IF(CG195=1,IF(N(DA195)&gt;0,DA195,""),"")</f>
        <v>30</v>
      </c>
      <c r="JY195">
        <f t="shared" ref="JY195:JY258" si="550">IF(CG195=1,IF(N(DA195)&gt;0,1,0),"")</f>
        <v>1</v>
      </c>
      <c r="JZ195">
        <f t="shared" ref="JZ195:JZ258" si="551">SUBTOTAL(103,A195)</f>
        <v>1</v>
      </c>
    </row>
    <row r="196" spans="1:286" x14ac:dyDescent="0.3">
      <c r="A196" t="s">
        <v>755</v>
      </c>
      <c r="B196" t="s">
        <v>1503</v>
      </c>
      <c r="C196" t="s">
        <v>1698</v>
      </c>
      <c r="D196">
        <v>1</v>
      </c>
      <c r="E196">
        <v>2.2000000000000002</v>
      </c>
      <c r="G196" t="str">
        <f>Линии[[#This Row],[_авто автомат]]</f>
        <v>2P С16А 30мА</v>
      </c>
      <c r="H196" t="str">
        <f>Линии[[#This Row],[_авто управление]]</f>
        <v/>
      </c>
      <c r="I196" t="str">
        <f>Линии[[#This Row],[_авто аппараты]]</f>
        <v/>
      </c>
      <c r="J196">
        <v>2.5</v>
      </c>
      <c r="K196">
        <v>26</v>
      </c>
      <c r="L196">
        <v>3</v>
      </c>
      <c r="M196" t="s">
        <v>484</v>
      </c>
      <c r="N196" t="str">
        <f t="shared" si="414"/>
        <v/>
      </c>
      <c r="O196" s="6" cm="1">
        <f t="array" ref="O196">IF(B196="","",IF(BH196&lt;&gt;"",IFERROR(_xlfn.XLOOKUP(BH196,Щиты[Щит],Щиты[Iр, А]),""),IF(BP196=1,IF(OR(N(_xlfn.XLOOKUP(A196,Щиты[Щит],Щиты[Вводов],1))&lt;=1,LOWER(TRIM(_xlfn.XLOOKUP(A196,Щиты[Щит],Щиты[АВР],"")&amp;""))="да"),IFERROR(_xlfn.XLOOKUP(A196,Щиты[Щит],Щиты[Iр, А]),""),IFERROR(N(BS196)*_xlfn.XLOOKUP(A196,Щиты[Щит],Щиты[Кс итог])/(SQRT(3)*Uн_лин*_xlfn.XLOOKUP(A196,Щиты[Щит],Щиты[cos φ])),"")),IF(BV196=1,IFERROR(BS196*1000/BU196,""),IFERROR(_xlfn.IFS(BX196=1,BS196/((Uн_лин/SQRT(3))*CE196),BX196=3,BS196/(SQRT(3)*Uн_лин*CE196)),"")))))</f>
        <v>10.027662570135606</v>
      </c>
      <c r="P196" s="7">
        <f>IF(B196="","",IFERROR(IF(VLOOKUP(BC196,Потребители_обозначение,4,FALSE)=1,VLOOKUP(BC196,Потребители_обозначение,3,FALSE)*(MAX(1,N(D196))*2-1)+EI196+VLOOKUP(BE196,Этаж_обозначение,3,FALSE)+VLOOKUP(BE196,Этаж_обозначение,4,FALSE),VLOOKUP(BC196,Потребители_обозначение,3,FALSE)*(MAX(1,N(D196))*2-1)+EI196),EI196))</f>
        <v>29</v>
      </c>
      <c r="Q196" s="6">
        <f t="shared" si="415"/>
        <v>2.6</v>
      </c>
      <c r="R196" t="str">
        <f t="shared" si="416"/>
        <v>ВВГнг(А)-LS (3х2,5)</v>
      </c>
      <c r="S196" t="str">
        <f>IF(BM196="","",IF(BN196="вводной узел","узел ","")&amp;"л."&amp;(INT((BM196-1)/Столбцов_на_лист)+1)&amp;" / "&amp;(MOD(BM196-1,Столбцов_на_лист)+1))</f>
        <v>л.2 / 5</v>
      </c>
      <c r="T196" s="119">
        <f t="shared" si="417"/>
        <v>4.3</v>
      </c>
      <c r="U196" s="7" t="str">
        <f>IF(OR(CG196=0,N(BV196)+N(IB196)=0),"",ROUNDUP(Запас_БП*(N(HY196)+N(HZ196)),0))</f>
        <v/>
      </c>
      <c r="V196" s="119" t="str">
        <f t="shared" si="418"/>
        <v/>
      </c>
      <c r="W196" s="7" t="str">
        <f>IFERROR(IF(OR(B196="",BP196=1,BV196=1,NOT(ISNUMBER(EN196)),N(DT196)=0),"",MAX(0,ROUNDDOWN((c_min*(Uн_лин*1000/SQRT(3))/(HT196*N(DT196))-_xlfn.XLOOKUP(A196,Щиты[Щит],Щиты[Zпетли на шинах, Ом]))*EN196/(2*ρкз_Cu),0))),"")</f>
        <v/>
      </c>
      <c r="Y196">
        <f>Линии[[#This Row],[_авто утечка]]</f>
        <v>30</v>
      </c>
      <c r="Z196">
        <v>1</v>
      </c>
      <c r="AA196">
        <v>230</v>
      </c>
      <c r="AB196" t="s">
        <v>562</v>
      </c>
      <c r="AG196" t="s">
        <v>810</v>
      </c>
      <c r="AI196" t="s">
        <v>561</v>
      </c>
      <c r="AK196" t="str">
        <f>Линии[[#This Row],[_авто модуль]]</f>
        <v/>
      </c>
      <c r="AM196">
        <v>22</v>
      </c>
      <c r="AN196" t="s">
        <v>11</v>
      </c>
      <c r="AO196">
        <v>3</v>
      </c>
      <c r="AQ196">
        <v>12</v>
      </c>
      <c r="AR196">
        <v>17</v>
      </c>
      <c r="AS196">
        <v>0</v>
      </c>
      <c r="BA196" cm="1">
        <f t="array" ref="BA196">ROW()-ROW(Линии[#Headers])</f>
        <v>194</v>
      </c>
      <c r="BC196" s="6" t="str">
        <f t="shared" si="419"/>
        <v>R</v>
      </c>
      <c r="BD196" t="str">
        <f t="shared" si="420"/>
        <v>0.004Б.3</v>
      </c>
      <c r="BE196" t="str">
        <f t="shared" si="421"/>
        <v>0</v>
      </c>
      <c r="BF196" t="str">
        <f t="shared" si="422"/>
        <v>004Б.3</v>
      </c>
      <c r="BG196" t="str">
        <f t="shared" si="423"/>
        <v>004Б</v>
      </c>
      <c r="BH196" t="str">
        <f>IF(X196&lt;&gt;"",X196,IF(AND(B196&lt;&gt;"",B196&lt;&gt;A196,ISNUMBER(_xlfn.XMATCH(B196,Щиты[Щит]))),B196,""))</f>
        <v/>
      </c>
      <c r="BI196" t="str" cm="1">
        <f t="array" ref="BI196">IF(B196="","",IF(BH196&lt;&gt;"","Щит "&amp;BH196,_xlfn.LET(_xlpm.nm,IFERROR(_xlfn.XLOOKUP(BC196,Коды_код,Коды_имя)&amp;"",""),_xlpm.md,IFERROR(N(_xlfn.XLOOKUP(BC196,Коды_код,Коды_режим)),1),_xlpm.ex,IF(Имя_режим="по экспликации",IFERROR(_xlfn.XLOOKUP(BE196&amp;"|"&amp;BG196,Экспликация[Этаж]&amp;"|"&amp;Экспликация[Помещение],Экспликация[Название])&amp;"",""),""),_xlpm.rm,IF(BG196="","",IF(_xlpm.ex&lt;&gt;"",". "&amp;_xlpm.ex&amp;IF(Имя_пом="нет"," ("&amp;BG196&amp;")"," (пом. "&amp;BG196&amp;")"),IF(Имя_пом="нет"," ",", пом. ")&amp;BG196)),IF(_xlpm.nm="","",IF(_xlpm.md=2,_xlpm.nm&amp;" шлейф "&amp;BE196,_xlpm.nm&amp;_xlpm.rm)))))</f>
        <v>Розеточная группа, пом. 004Б</v>
      </c>
      <c r="BJ196" t="str">
        <f t="shared" si="424"/>
        <v>Розеточная группа Цокольный этаж Пом. №004Б Стиральная машина</v>
      </c>
      <c r="BK196">
        <f>IFERROR(_xlfn.XMATCH(A196,Щиты[Щит]),0)</f>
        <v>9</v>
      </c>
      <c r="BL196">
        <f>_xlfn.LET(_xlpm.k,IFERROR(_xlfn.XLOOKUP(A196,Щиты[Щит],Щиты[Мест под вводной узел]),""),IF(_xlpm.k="",Столбцов_на_лист,N(_xlpm.k)))</f>
        <v>8</v>
      </c>
      <c r="BM196">
        <f t="shared" si="425"/>
        <v>22</v>
      </c>
      <c r="BN196" t="str">
        <f t="shared" si="426"/>
        <v>линии</v>
      </c>
      <c r="BO196" s="6">
        <f>IFERROR(N(_xlfn.XLOOKUP(BC196,Коды_код,Коды_квт)),0)</f>
        <v>0</v>
      </c>
      <c r="BP196">
        <f t="shared" si="427"/>
        <v>0</v>
      </c>
      <c r="BQ196" t="str">
        <f>IF(B196="","",IF(BH196&lt;&gt;"",IFERROR(_xlfn.XLOOKUP(BH196,Щиты[Щит],Щиты[Руст, кВт]),0),IF(BP196=1,IF(OR(N(_xlfn.XLOOKUP(A196,Щиты[Щит],Щиты[Вводов],1))&lt;=1,LOWER(TRIM(_xlfn.XLOOKUP(A196,Щиты[Щит],Щиты[АВР],"")&amp;""))="да"),IFERROR(_xlfn.XLOOKUP(A196,Щиты[Щит],Щиты[Руст, кВт]),0),SUMIFS(Линии[_Р для вводов],Линии[Щит],A196,Линии[Источник для режимов],GF196)),IF(BO196&gt;0,ROUND(BO196*MAX(1,N(D196)),3),""))))</f>
        <v/>
      </c>
      <c r="BR196">
        <f t="shared" si="428"/>
        <v>2.2000000000000002</v>
      </c>
      <c r="BS196" s="6">
        <f>IF(B196="","",IF(BH196&lt;&gt;"",IFERROR(_xlfn.XLOOKUP(BH196,Щиты[Щит],Щиты[Руст, кВт]),0),N(BR196)))</f>
        <v>2.2000000000000002</v>
      </c>
      <c r="BT196" t="str">
        <f>IF(B196="","",IFERROR(IF(VLOOKUP(BC196,Потребители_обозначение,8,FALSE)=0,"",VLOOKUP(BC196,Потребители_обозначение,8,FALSE)),""))</f>
        <v/>
      </c>
      <c r="BU196">
        <f t="shared" si="429"/>
        <v>230</v>
      </c>
      <c r="BV196">
        <f t="shared" si="430"/>
        <v>0</v>
      </c>
      <c r="BW196">
        <f>IF(B196="","",IF(BH196&lt;&gt;"",3,IFERROR(IF(N(VLOOKUP(BC196,Потребители_обозначение,9,FALSE))=0,1,VLOOKUP(BC196,Потребители_обозначение,9,FALSE)),1)))</f>
        <v>1</v>
      </c>
      <c r="BX196">
        <f t="shared" si="431"/>
        <v>1</v>
      </c>
      <c r="BY196" t="str">
        <f>IF(B196="","",_xlfn.LET(_xlpm.bc,IFERROR(IF(VLOOKUP(BC196,Потребители_обозначение,6,FALSE)=0,"",VLOOKUP(BC196,Потребители_обозначение,6,FALSE)&amp;""),""),IF(AND(GA196="да",OR(_xlpm.bc="",_xlpm.bc="мс")),Марка_пож,IF(AND(_xlpm.bc="",BH196&lt;&gt;""),"мс",_xlpm.bc))))</f>
        <v/>
      </c>
      <c r="BZ196" t="str">
        <f t="shared" si="432"/>
        <v>мс</v>
      </c>
      <c r="CA196">
        <f>IF(B196="","",_xlfn.LET(_xlpm.cc,IFERROR(N(VLOOKUP(BC196,Потребители_обозначение,7,FALSE)),0),IF(_xlpm.cc&gt;0,_xlpm.cc,IF(BZ196="","",IF(BV196=1,2,IF(N(BX196)=3,5,3))))))</f>
        <v>3</v>
      </c>
      <c r="CB196">
        <f t="shared" si="433"/>
        <v>3</v>
      </c>
      <c r="CC196">
        <f>IFERROR(N(VLOOKUP(BC196,Потребители_обозначение,10,FALSE)),0)</f>
        <v>0</v>
      </c>
      <c r="CD196">
        <f>IFERROR(VLOOKUP(BC196,Потребители_обозначение,5,FALSE),0)</f>
        <v>1</v>
      </c>
      <c r="CE196" s="6" cm="1">
        <f t="array" ref="CE196">IF(B196="","",IF(BH196&lt;&gt;"",IFERROR(_xlfn.XLOOKUP(BH196,Щиты[Щит],Щиты[cos φ]),0.95),IF(BP196=1,IFERROR(_xlfn.XLOOKUP(A196,Щиты[Щит],Щиты[cos φ]),0.95),IF(ISNUMBER(AD196),AD196,IFERROR(IF(CD196=2,_xlfn.IFS(BX196=3,VLOOKUP(BS196,Справочная_двигатели,8,FALSE),BX196=1,VLOOKUP(BS196,Справочная_двигатели,10,TRUE)),IF(AND(Методика="нормы 2026",FG196="Сил"),0.8,0.95)),0.95)))))</f>
        <v>0.95</v>
      </c>
      <c r="CF196">
        <f t="shared" si="434"/>
        <v>0</v>
      </c>
      <c r="CG196">
        <f t="shared" si="435"/>
        <v>1</v>
      </c>
      <c r="CH196">
        <f t="shared" si="436"/>
        <v>0</v>
      </c>
      <c r="CI196">
        <f>IF(B196="","",IF(BV196=1,IFERROR(BS196/((Uн_лин/SQRT(3))*MAX(0.5,N(CE196))),0),N(O196)))</f>
        <v>10.027662570135606</v>
      </c>
      <c r="CJ196">
        <f t="shared" si="437"/>
        <v>0</v>
      </c>
      <c r="CK196">
        <f t="shared" si="438"/>
        <v>0</v>
      </c>
      <c r="CL196">
        <f t="shared" si="439"/>
        <v>0</v>
      </c>
      <c r="CM196">
        <f t="shared" si="440"/>
        <v>0</v>
      </c>
      <c r="CN196">
        <f t="shared" si="441"/>
        <v>0</v>
      </c>
      <c r="CO196">
        <f>IF(BC196="",0,_xlfn.LET(_xlpm.v,IFERROR(_xlfn.XLOOKUP(B196,Коды_код,Коды_мА),IFERROR(_xlfn.XLOOKUP(BC196,Коды_код,Коды_мА),IFERROR(_xlfn.XLOOKUP(LEFT(BC196,2),Коды_код,Коды_мА),""))),IF(_xlpm.v="да",30,IF(ISNUMBER(_xlpm.v),_xlpm.v,0))))</f>
        <v>30</v>
      </c>
      <c r="CP196">
        <f t="shared" si="442"/>
        <v>30</v>
      </c>
      <c r="CQ196" t="str">
        <f>_xlfn.LET(_xlpm.k,IFERROR(_xlfn.XLOOKUP(BC196,Коды_код,Коды_утечка)&amp;"",""),IF(_xlpm.k="","дифавтомат",_xlpm.k))</f>
        <v>дифавтомат</v>
      </c>
      <c r="CR196" t="str" cm="1">
        <f t="array" ref="CR196">IF(CG196=0,"",_xlfn.LET(_xlpm.sg,TRIM(_xlfn.TEXTSPLIT(DD196&amp;"",";")),_xlpm.f_,_xlfn._xlws.FILTER(_xlpm.sg,LEFT(_xlpm.sg,3)="УЗО",""),IFERROR(INDEX(_xlpm.f_,1)&amp;"","")))</f>
        <v/>
      </c>
      <c r="CS196" t="str">
        <f t="shared" si="443"/>
        <v/>
      </c>
      <c r="CT196" s="6" t="str" cm="1">
        <f t="array" ref="CT196">IF(CR196="","",_xlfn.LET(_xlpm.tk,_xlfn.TEXTSPLIT(UPPER(CR196)," ",,TRUE),_xlpm.a_,_xlfn._xlws.FILTER(_xlpm.tk,ISNUMBER(--LEFT(_xlpm.tk,1))*((ISNUMBER(SEARCH("А",_xlpm.tk))+ISNUMBER(SEARCH("A",_xlpm.tk)))&gt;0)*NOT(ISNUMBER(SEARCH("МА",_xlpm.tk)))*NOT(ISNUMBER(SEARCH("MA",_xlpm.tk))),""),IFERROR(--SUBSTITUTE(SUBSTITUTE(INDEX(_xlpm.a_,1),"А",""),"A",""),"")))</f>
        <v/>
      </c>
      <c r="CU196" t="str" cm="1">
        <f t="array" ref="CU196">IF(CR196="","",_xlfn.LET(_xlpm.tk,_xlfn.TEXTSPLIT(UPPER(CR196)," ",,TRUE),_xlpm.a_,_xlfn._xlws.FILTER(_xlpm.tk,ISNUMBER(--LEFT(_xlpm.tk,1))*((ISNUMBER(SEARCH("МА",_xlpm.tk))+ISNUMBER(SEARCH("MA",_xlpm.tk)))&gt;0),""),IFERROR(--SUBSTITUTE(SUBSTITUTE(INDEX(_xlpm.a_,1),"МА",""),"MA",""),30)))</f>
        <v/>
      </c>
      <c r="CV196" t="str">
        <f>IF(CS196="","",IFERROR(_xlfn.XLOOKUP(CS196,Линии[_n],Линии[_УЗО, мА]),30))</f>
        <v/>
      </c>
      <c r="CW196">
        <f>IF(CS196="",0,IF(ISNUMBER(SEARCH("4P",IFERROR(_xlfn.XLOOKUP(CS196,Линии[_n],Линии[_УЗО строки])&amp;"",""))),0,1))</f>
        <v>0</v>
      </c>
      <c r="CX196" t="str">
        <f>IF(AND(CS196&lt;&gt;"",CS196=BA196),SUMIFS(Линии[_ток на 230 В],Линии[_блок УЗО],BA196,Линии[Щит],A196),"")</f>
        <v/>
      </c>
      <c r="CY196" t="str">
        <f>IF(AND(CS196&lt;&gt;"",CS196=BA196),SUMIFS(Линии[_ток утечки линии, мА],Линии[_блок УЗО],BA196,Линии[Щит],A196),"")</f>
        <v/>
      </c>
      <c r="CZ196">
        <f t="shared" si="444"/>
        <v>30</v>
      </c>
      <c r="DA196">
        <f t="shared" si="445"/>
        <v>30</v>
      </c>
      <c r="DB196">
        <f>IF(B196="",0,IFERROR(--_xlfn.XLOOKUP(B196,Коды_код,Коды_минавт),IFERROR(--_xlfn.XLOOKUP(BC196,Коды_код,Коды_минавт),IFERROR(--_xlfn.XLOOKUP(LEFT(BC196,2),Коды_код,Коды_минавт),0))))</f>
        <v>16</v>
      </c>
      <c r="DC196" t="str">
        <f>IF(B196="","",IFERROR(_xlfn.XLOOKUP(BC196,Коды_код,Коды_апп)&amp;"",""))</f>
        <v/>
      </c>
      <c r="DD196" t="str">
        <f t="shared" si="446"/>
        <v/>
      </c>
      <c r="DE196" t="str" cm="1">
        <f t="array" ref="DE196">IF(TRIM(DD196&amp;"")="","",IFERROR(TRIM(INDEX(_xlfn.TEXTSPLIT(DD196&amp;";;;",";"),1)),""))</f>
        <v/>
      </c>
      <c r="DF196" t="str" cm="1">
        <f t="array" ref="DF196">IF(TRIM(DD196&amp;"")="","",IFERROR(TRIM(INDEX(_xlfn.TEXTSPLIT(DD196&amp;";;;",";"),2)),""))</f>
        <v/>
      </c>
      <c r="DG196" t="str" cm="1">
        <f t="array" ref="DG196">IF(TRIM(DD196&amp;"")="","",IFERROR(TRIM(INDEX(_xlfn.TEXTSPLIT(DD196&amp;";;;",";"),3)),""))</f>
        <v/>
      </c>
      <c r="DH196">
        <f t="shared" si="447"/>
        <v>0</v>
      </c>
      <c r="DI196" t="str">
        <f>IF(B196="","",_xlfn.LET(_xlpm.t,LOWER(AZ196&amp;""),IF(ISNUMBER(SEARCH("dim",_xlpm.t)),"DIM",IF(ISNUMBER(SEARCH("dali",_xlpm.t)),"DALI",IF(OR(ISNUMBER(SEARCH("relay",_xlpm.t)),ISNUMBER(SEARCH("реле",_xlpm.t))),"Relay",IF(ISNUMBER(SEARCH("кнопк",_xlpm.t)),"",IFERROR(_xlfn.XLOOKUP(BC196,Коды_код,Коды_упр)&amp;"","")))))))</f>
        <v/>
      </c>
      <c r="DJ196" t="str">
        <f t="shared" si="448"/>
        <v/>
      </c>
      <c r="DK196">
        <f>IF(B196="","",_xlfn.LET(_xlpm.ig,IF(N(CX196)&gt;0,N(CX196),N(CI196)+IF(AJ196="вручную",0,N(CJ196))),_xlpm.n0,IFERROR(VLOOKUP(_xlpm.ig,Автомат_номиналы,2,TRUE),0),_xlpm.mn,MAX(DB196,IF(AJ196="вручную",0,N(CM196))),MAX(_xlpm.n0,_xlpm.mn,IF(DH196=1,Мин_автомат_БП,0))))</f>
        <v>16</v>
      </c>
      <c r="DL196">
        <f t="shared" si="449"/>
        <v>1</v>
      </c>
      <c r="DM196" t="str">
        <f t="shared" si="450"/>
        <v>2P</v>
      </c>
      <c r="DN196" t="str">
        <f>_xlfn.LET(_xlpm.cc,UPPER(TRIM(IFERROR(_xlfn.XLOOKUP(BC196,Коды_код,Коды_хар)&amp;"",""))),IF(OR(_xlpm.cc="B",_xlpm.cc="В"),"B",IF(_xlpm.cc="D","D","С")))</f>
        <v>С</v>
      </c>
      <c r="DO196" t="str">
        <f t="shared" si="451"/>
        <v>2P С16А 30мА</v>
      </c>
      <c r="DP196" t="str">
        <f t="shared" si="452"/>
        <v>2P С16А 30мА</v>
      </c>
      <c r="DQ196" t="str">
        <f t="shared" si="453"/>
        <v>2P С16А 30мА</v>
      </c>
      <c r="DR196" cm="1">
        <f t="array" ref="DR196">IF(DQ196="","",_xlfn.LET(_xlpm.t,SUBSTITUTE(SUBSTITUTE(SUBSTITUTE(UPPER(DQ196),"С","C"),"А","A"),"В","B"),_xlpm.tk,_xlfn.TEXTSPLIT(_xlpm.t," "),_xlpm.f,_xlfn._xlws.FILTER(_xlpm.tk,ISNUMBER(--MID(_xlpm.tk,2,1))*ISNUMBER(SEARCH(LEFT(_xlpm.tk,1)&amp;"#","B#C#D#"))*(LEN(_xlpm.tk)&gt;1),""),_xlpm.x,INDEX(_xlpm.f,1),IFERROR(--SUBSTITUTE(MID(_xlpm.x,2,9),"A",""),IFERROR(--SUBSTITUTE(INDEX(_xlfn._xlws.FILTER(_xlpm.tk,ISNUMBER(--SUBSTITUTE(_xlpm.tk,"A","")),""),1),"A",""),""))))</f>
        <v>16</v>
      </c>
      <c r="DS196" t="str">
        <f t="shared" si="454"/>
        <v>ok</v>
      </c>
      <c r="DT196">
        <f t="shared" si="455"/>
        <v>16</v>
      </c>
      <c r="DU196" t="str">
        <f t="shared" si="456"/>
        <v>2P С16А 30мА</v>
      </c>
      <c r="DV196">
        <f t="shared" si="457"/>
        <v>30</v>
      </c>
      <c r="DW196">
        <f t="shared" si="458"/>
        <v>1</v>
      </c>
      <c r="DX196">
        <f t="shared" si="459"/>
        <v>0</v>
      </c>
      <c r="DY196">
        <f t="shared" si="460"/>
        <v>10.027662570135606</v>
      </c>
      <c r="DZ196">
        <f t="shared" si="461"/>
        <v>1</v>
      </c>
      <c r="EA196">
        <f>IF(ISNUMBER(AP196),AP196,К_прокл)</f>
        <v>1</v>
      </c>
      <c r="EB196">
        <f t="shared" si="462"/>
        <v>2</v>
      </c>
      <c r="EC196">
        <f>IFERROR(N(VLOOKUP(BZ196,Кабель_обозначение,3,FALSE)),1)</f>
        <v>1</v>
      </c>
      <c r="ED196">
        <f>IFERROR(N(_xlfn.XLOOKUP(A196,Щиты[Щит],Щиты[ΔU до шин, %])),0)</f>
        <v>0.43</v>
      </c>
      <c r="EE196" t="str">
        <f>IFERROR(_xlfn.XLOOKUP(A196,Щиты[Щит],Щиты[Zпетли на шинах, Ом]),"")</f>
        <v/>
      </c>
      <c r="EF196">
        <f>IFERROR(N(_xlfn.XLOOKUP(A196,Щиты[Щит],Щиты[ΔU до шин (подбор), %])),0)</f>
        <v>0.43</v>
      </c>
      <c r="EG196" t="str">
        <f>IFERROR(_xlfn.XLOOKUP(A196,Щиты[Щит],Щиты[Zпетли на шинах (подбор), Ом]),"")</f>
        <v/>
      </c>
      <c r="EH196" t="str">
        <f t="shared" si="463"/>
        <v/>
      </c>
      <c r="EI196">
        <f t="shared" si="464"/>
        <v>26</v>
      </c>
      <c r="EJ196">
        <f t="shared" si="465"/>
        <v>2</v>
      </c>
      <c r="EK196">
        <f t="shared" si="466"/>
        <v>0.31</v>
      </c>
      <c r="EL196" s="6">
        <f>IF(B196="","",IF(BV196=1,dU_LED,IF(IFERROR(_xlfn.XLOOKUP(BC196,Коды_код,Коды_уго),"")="Светильник",3,4)+IF(Методика="нормы 2026",MIN(0.5,MAX(0,N(P196)-100)*0.005),0)))</f>
        <v>4</v>
      </c>
      <c r="EM196" cm="1">
        <f t="array" ref="EM196">IF(OR(B196="",BZ196="",EC196&lt;&gt;1),"",_xlfn.LET(_xlpm.sz,Iдоп_S,_xlpm.t_,CHOOSE(EB196,Iдоп_1ж,Iдоп_2ж,Iдоп_3ж)*DZ196*EA196,_xlpm.dcx,BV196=1,_xlpm.inn,IF(_xlpm.dcx,N(O196),N(DT196)),_xlpm.smin,MAX(1.5,CC196),_xlpm.L_,N(P196)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196)/N(BU196)*100,999),IFERROR(N(EJ196)*(_xlpm.rho*_xlpm.L_/_xlpm.sz*N(CE196)+_xlpm.xx*_xlpm.L_*N(EK196)/1000)*N(O196)/((Uн_лин/SQRT(3))*1000)*100,999)),_xlpm.kz,IF(OR(_xlpm.dcx,DW196=1,NOT(ISNUMBER(EG196)),_xlpm.L_=0,_xlpm.inn=0),1,IFERROR(--(c_min*(Uн_лин*1000/SQRT(3))/(EG196+2*ρкз_Cu*_xlpm.L_/_xlpm.sz)&gt;=HT196*_xlpm.inn),0)),_xlpm.ok,IFERROR((_xlpm.sz&gt;=_xlpm.smin)*(_xlpm.t_&gt;=_xlpm.inn)*IF(_xlpm.L_&gt;0,(_xlpm.du_+IF(_xlpm.dcx,0,EF196)&lt;=EL196+0.00001),1)*_xlpm.kz,0),_xlpm.r_,_xlfn._xlws.FILTER(_xlpm.sz,_xlpm.ok,"не подобрано"),INDEX(_xlpm.r_,1)))</f>
        <v>2.5</v>
      </c>
      <c r="EN196">
        <f t="shared" si="467"/>
        <v>2.5</v>
      </c>
      <c r="EO196" cm="1">
        <f t="array" ref="EO196">IF(OR(B196="",BZ196="",EC196&lt;&gt;1),"",_xlfn.LET(_xlpm.sz,Iдоп_S,_xlpm.t_,CHOOSE(EB196,Iдоп_1ж,Iдоп_2ж,Iдоп_3ж)*DZ196*EA196,_xlpm.ok,IFERROR((_xlpm.sz&gt;=MAX(1.5,CC196))*(_xlpm.t_&gt;=N(DT196)),0),_xlpm.r_,_xlfn._xlws.FILTER(_xlpm.sz,_xlpm.ok,""),INDEX(_xlpm.r_,1)))</f>
        <v>1.5</v>
      </c>
      <c r="EP196" s="6" cm="1">
        <f t="array" ref="EP196">IFERROR(ROUNDUP(N(EJ196)*(_xlfn.XLOOKUP(EO196,INDEX(Кабель_сопротивление,0,1),INDEX(Кабель_сопротивление,0,3))*N(P196)/EO196*N(CE196)+_xlfn.XLOOKUP(EO196,INDEX(Кабель_сопротивление,0,1),INDEX(Кабель_сопротивление,0,2))*N(P196)*N(EK196)/1000)*N(O196)/((Uн_лин/SQRT(3))*1000)*100,2),"")</f>
        <v>3.5999999999999996</v>
      </c>
      <c r="EQ196">
        <f>IFERROR(2*ρкз_Cu*N(P196)/EO196,"")</f>
        <v>1.0169333333333335</v>
      </c>
      <c r="ER196">
        <f>IFERROR(VLOOKUP(EN196,Кабель_сопротивление,3,FALSE),"")</f>
        <v>2.2499999999999999E-2</v>
      </c>
      <c r="ES196">
        <f>IFERROR(VLOOKUP(EN196,Кабель_сопротивление,2,FALSE),"")</f>
        <v>0.1</v>
      </c>
      <c r="ET196">
        <f t="shared" si="468"/>
        <v>17</v>
      </c>
      <c r="EU196">
        <f t="shared" si="469"/>
        <v>0</v>
      </c>
      <c r="EV196">
        <f t="shared" si="470"/>
        <v>4.9907476058313511</v>
      </c>
      <c r="EW196" s="6">
        <f>IFERROR(ROUNDUP(EV196/IF(BV196=1,BU196,(Uн_лин/SQRT(3))*1000)*100,2),"")</f>
        <v>2.17</v>
      </c>
      <c r="EX196" t="str">
        <f>IFERROR(VLOOKUP(BZ196,Кабель_обозначение,2,FALSE),"")</f>
        <v>ВВГнг(А)-LS</v>
      </c>
      <c r="EY196" t="str">
        <f t="shared" si="471"/>
        <v>ВВГнг(А)-LS (3х2,5)</v>
      </c>
      <c r="EZ196" t="str">
        <f t="shared" si="472"/>
        <v>ВВГнг(А)-LS (3х2,5)
L=29-2,17%</v>
      </c>
      <c r="FA196">
        <f>IFERROR(2*ρкз_Cu*P196/EN196,"")</f>
        <v>0.61016000000000004</v>
      </c>
      <c r="FB196">
        <f t="shared" si="473"/>
        <v>0.20300000000000001</v>
      </c>
      <c r="FC196" s="6" t="str">
        <f>IFERROR(IF(OR(B196="",BV196=1,NOT(ISNUMBER(EN196)),N(P196)=0),"",_xlfn.XLOOKUP(A196,Щиты[Щит],Щиты[Zпетли на шинах, Ом])+FA196),"")</f>
        <v/>
      </c>
      <c r="FD196" s="6" t="str">
        <f>IF(ISNUMBER(FC196),c_min*(Uн_лин*1000/SQRT(3))/FC196,"")</f>
        <v/>
      </c>
      <c r="FE196" s="6" t="str">
        <f>IFERROR(IF(OR(B196="",NOT(ISNUMBER(EN196))),"",1.05*(Uн_лин*1000/SQRT(3))/(_xlfn.XLOOKUP(A196,Щиты[Щит],Щиты[Zmax на шинах, Ом])+FB196)/1000),"")</f>
        <v/>
      </c>
      <c r="FF196" s="6" t="str">
        <f>IF(B196="","",IF(ISNUMBER(AC196),"Сил",IF(IFERROR(_xlfn.XLOOKUP(BC196,Коды_код,Коды_группа)&amp;"","")="","Быт",_xlfn.XLOOKUP(BC196,Коды_код,Коды_группа)&amp;"")))</f>
        <v>Быт</v>
      </c>
      <c r="FG196" s="6" t="str">
        <f t="shared" si="474"/>
        <v>Быт</v>
      </c>
      <c r="FH196" s="6">
        <f>IF(FG196="Щит","щит",IF(FG196="","",IF(FG196="Быт",IFERROR(_xlfn.XLOOKUP(A196,Щиты[Щит],Щиты[Кс быт]),1),IF(FG196="Сил",IF(ISNUMBER(AC196),AC196,IF(Методика="нормы 2026",IFERROR(_xlfn.XLOOKUP(A196,Щиты[Щит],Щиты[Кс силовых (табл. 7.5)]),1),1)),IF(OR(FG196="Пост",FG196="Отоп"),1,IF(FG196="ВНГ",0.7,0))))))</f>
        <v>0.79799999999999993</v>
      </c>
      <c r="FI196">
        <f>IF(FG196="","",IF(AND(BP196=1,TRIM(AE196&amp;"")=""),IF(COUNTIFS(Линии[Щит],A196,Линии[Секция (1/2/3)],"&gt;=2")&gt;0,MIN(3,MAX(1,IFERROR(--BD196,1))),1),IFERROR(MIN(3,MAX(1,INT(--AE196))),1)))</f>
        <v>1</v>
      </c>
      <c r="FJ196">
        <f t="shared" si="475"/>
        <v>2.2000000000000002</v>
      </c>
      <c r="FK196">
        <f t="shared" si="476"/>
        <v>2.2000000000000002</v>
      </c>
      <c r="FL196">
        <f t="shared" si="477"/>
        <v>0</v>
      </c>
      <c r="FM196">
        <f t="shared" si="478"/>
        <v>0</v>
      </c>
      <c r="FN196">
        <f t="shared" si="479"/>
        <v>0</v>
      </c>
      <c r="FO196">
        <f t="shared" si="480"/>
        <v>0</v>
      </c>
      <c r="FP196">
        <f t="shared" si="481"/>
        <v>2.2000000000000002</v>
      </c>
      <c r="FQ196">
        <f t="shared" si="482"/>
        <v>2.2000000000000002</v>
      </c>
      <c r="FR196">
        <f t="shared" si="483"/>
        <v>2.09</v>
      </c>
      <c r="FS196">
        <f>IF(CG196=1,IF(AND(CH196=1,CW196=1),0,IF(AND(CS196&lt;&gt;"",CS196=BA196,CW196=1),SUMIFS(Линии[_Р линии, кВт],Линии[_блок УЗО],BA196,Линии[Щит],A196),N(BS196)+IF(AJ196="вручную",0,N(CK196)))),0)</f>
        <v>2.2000000000000002</v>
      </c>
      <c r="FT196" t="str">
        <f t="shared" si="484"/>
        <v>L3</v>
      </c>
      <c r="FU196" t="str">
        <f>IF(B196="","",IF(CG196=0,IF(BA196=1,"",FW195),IF(AND(CH196=1,CW196=1,CS196&lt;&gt;""),IFERROR(_xlfn.XLOOKUP(CS196,Линии[_n],Линии[_фаза итог]),"L1"),IF(OR(N(DL196)&gt;=3,N(BX196)&gt;=3),"L1,L2,L3",IFERROR(_xlfn.TEXTBEFORE(_xlfn.TEXTAFTER(_xlfn.XLOOKUP(A196,Щиты[Щит],Щиты[_фазы авто]),";"&amp;BA196&amp;":"),";"),"L1")))))</f>
        <v>L1</v>
      </c>
      <c r="FV196" t="str">
        <f t="shared" si="485"/>
        <v>L3</v>
      </c>
      <c r="FW196" t="str">
        <f t="shared" si="486"/>
        <v>L3</v>
      </c>
      <c r="FX196" cm="1">
        <f t="array" ref="FX196">IFERROR(IF(CD196=2,_xlfn.IFS(BX196=3,VLOOKUP(BS196,Справочная_двигатели,3,FALSE),BX196=1,VLOOKUP(BS196,Справочная_двигатели,5,TRUE)),0),0)</f>
        <v>0</v>
      </c>
      <c r="FY196">
        <f>IFERROR(IF(CD196=3,VLOOKUP(BS196,Справочная_ЛЭД,2,TRUE),0),0)</f>
        <v>0</v>
      </c>
      <c r="FZ196" s="6">
        <f t="shared" si="487"/>
        <v>0</v>
      </c>
      <c r="GA196" t="str">
        <f>IF(B196="","",IF(TRIM(AH196&amp;"")&lt;&gt;"",IF(LOWER(TRIM(AH196&amp;""))="да","да","нет"),IF(IFERROR(_xlfn.XLOOKUP(BC196,Коды_код,Коды_пожарная),"")="да","да","нет")))</f>
        <v>нет</v>
      </c>
      <c r="GB196" t="str">
        <f t="shared" si="488"/>
        <v/>
      </c>
      <c r="GC196" t="str">
        <f t="shared" si="489"/>
        <v>основная</v>
      </c>
      <c r="GD196">
        <f>IF(AND(BP196=1,TRIM(AE196&amp;"")=""),IF(COUNTIFS(Линии[Щит],A196,Линии[Секция (1/2/3)],"&gt;=2")&gt;0,MIN(3,MAX(1,IFERROR(--BD196,1))),1),IFERROR(MIN(3,MAX(1,INT(--AE196))),1))</f>
        <v>1</v>
      </c>
      <c r="GE196" t="str" cm="1">
        <f t="array" ref="GE196">IF(B196="","",_xlfn.LET(_xlpm.t,IFERROR(_xlfn.XLOOKUP(1,(Шины[Шина]=GC196)*(((Шины[Щит]=A196)+(Шины[Щит]=""))&gt;0),Шины[Тип]),"")&amp;"",IF(_xlpm.t&lt;&gt;"",_xlpm.t,IF(ISNUMBER(SEARCH("ИБП",GC196)),"ИБП",IF(ISNUMBER(SEARCH("ДГУ",GC196)),"ДГУ","Ввод "&amp;GD196)))))</f>
        <v>Ввод 1</v>
      </c>
      <c r="GF196" t="str">
        <f t="shared" si="490"/>
        <v>Ввод 1</v>
      </c>
      <c r="GG196" t="str">
        <f>IF(BP196=0,"",IF(TRIM(AG196&amp;"")&lt;&gt;"",TRIM(AG196&amp;""),IF(OR(GE196="ИБП",GE196="ДГУ"),"I особая",_xlfn.XLOOKUP(A196,Щиты[Щит],Щиты[Категория шины «Ввод»],"III"))))</f>
        <v/>
      </c>
      <c r="GH196" t="str">
        <f>IF(A196="","",_xlfn.XLOOKUP(A196,Щиты[Щит],Щиты[Путь],""))</f>
        <v>|ГРЩ-ЖД|ЩР-01|</v>
      </c>
      <c r="GI196" t="str">
        <f>IF(B196="","",IF(AI196&lt;&gt;"",AI196,IF(IFERROR(_xlfn.XLOOKUP(BC196,Коды_код,Коды_вид)&amp;"","")="","Прочее",_xlfn.XLOOKUP(BC196,Коды_код,Коды_вид)&amp;"")))</f>
        <v>Розеточная сеть и бытовые приборы</v>
      </c>
      <c r="GJ196">
        <f>IF(BM196="","",INT((BM196-1)/Столбцов_на_лист)+1)</f>
        <v>2</v>
      </c>
      <c r="GK196" t="str">
        <f t="shared" si="491"/>
        <v>ВВГнг(А)-LS (3х2,5) L=29-2,17%</v>
      </c>
      <c r="GL196">
        <f t="shared" si="492"/>
        <v>2.2000000000000002</v>
      </c>
      <c r="GM196">
        <f t="shared" si="493"/>
        <v>10.029999999999999</v>
      </c>
      <c r="GN196">
        <f t="shared" si="494"/>
        <v>1</v>
      </c>
      <c r="GO196">
        <f t="shared" si="495"/>
        <v>0</v>
      </c>
      <c r="GP196">
        <f t="shared" si="496"/>
        <v>1</v>
      </c>
      <c r="GQ196">
        <f>IF(BM196="","",IF(AND(CG196=1,GP196=1),COUNTIFS(A$3:A196,A196,CG$3:CG196,1,GP$3:GP196,1),IF(OR(OR(BA196=1,A196&lt;&gt;A195),AJ196="вручную",GP196=0),"",IF(BA196=1,"",GR195))))</f>
        <v>12</v>
      </c>
      <c r="GR196">
        <f t="shared" si="497"/>
        <v>12</v>
      </c>
      <c r="GS196">
        <f>IF(B196="","",IFERROR(LOOKUP(INDEX(CHOOSE(EB196,Iдоп_1ж,Iдоп_2ж,Iдоп_3ж),MATCH(EN196,Iдоп_S,0))*DZ196*EA196,{6,10,16,20,25,32,40,50,63,80,100,125,160,200,250,315,400,500,630}),""))</f>
        <v>25</v>
      </c>
      <c r="GT196" t="str">
        <f t="shared" si="498"/>
        <v>QFD12</v>
      </c>
      <c r="GU196" t="str">
        <f t="shared" si="499"/>
        <v>QFD12</v>
      </c>
      <c r="GV196" t="str">
        <f t="shared" si="500"/>
        <v/>
      </c>
      <c r="GW196">
        <f t="shared" si="501"/>
        <v>0</v>
      </c>
      <c r="GX196" t="str">
        <f>IF(OR(B196="",DJ196=""),"",IFERROR(_xlfn.XLOOKUP(DJ196,Модули_умолч[Управление],Модули_умолч[Модель])&amp;"",""))</f>
        <v/>
      </c>
      <c r="GY196">
        <f>IF(DJ196="",1,IFERROR(MAX(0,N(_xlfn.XLOOKUP(DJ196,Модули_умолч[Управление],Модули_умолч[Каналов на линию]))),1))</f>
        <v>1</v>
      </c>
      <c r="GZ196" t="str">
        <f t="shared" si="502"/>
        <v/>
      </c>
      <c r="HA196" t="str">
        <f t="shared" si="503"/>
        <v/>
      </c>
      <c r="HB196" t="str">
        <f t="shared" si="504"/>
        <v/>
      </c>
      <c r="HC196">
        <f>IF(HB196="",0,IFERROR(N(VLOOKUP(HB196,Модули_спр,3,FALSE)),0))</f>
        <v>0</v>
      </c>
      <c r="HD196" t="str">
        <f t="shared" si="505"/>
        <v/>
      </c>
      <c r="HE196" t="str">
        <f t="shared" si="506"/>
        <v/>
      </c>
      <c r="HF196" t="str">
        <f>IF(OR(HE196="",HE196="-"),"",IFERROR(VLOOKUP(HE196,Модули_спр,2,FALSE),"R"))</f>
        <v/>
      </c>
      <c r="HG196" t="str">
        <f>IF(HF196="","",HF196&amp;"."&amp;COUNTIFS(A$3:A196,A196,HF$3:HF196,HF196))</f>
        <v/>
      </c>
      <c r="HH196" t="str">
        <f t="shared" si="507"/>
        <v/>
      </c>
      <c r="HI196" t="str">
        <f t="shared" si="508"/>
        <v/>
      </c>
      <c r="HJ196" t="str">
        <f t="shared" si="509"/>
        <v/>
      </c>
      <c r="HK196" t="str">
        <f t="shared" si="510"/>
        <v/>
      </c>
      <c r="HL196">
        <f t="shared" si="511"/>
        <v>1</v>
      </c>
      <c r="HM196" t="str">
        <f>IF(HL196=1,"XT"&amp;COUNTIFS(A$3:A196,A196,HL$3:HL196,1),"")</f>
        <v>XT12</v>
      </c>
      <c r="HN196" t="str">
        <f t="shared" si="512"/>
        <v/>
      </c>
      <c r="HO196" t="str">
        <f t="shared" si="513"/>
        <v>QFD12</v>
      </c>
      <c r="HP196" t="str">
        <f t="shared" si="514"/>
        <v/>
      </c>
      <c r="HQ196" t="str">
        <f t="shared" si="515"/>
        <v>ok</v>
      </c>
      <c r="HR196" t="str">
        <f>IF(OR(HJ196="",HH196=""),"",IF(HJ196+MAX(0,GY196-1)&gt;IFERROR(VLOOKUP(HI196,Модули_спр,3,FALSE),99),"ЛИШНИЙ КАНАЛ",IF(AND(AL196&lt;&gt;"=",GY196&gt;0,COUNTIFS(Линии[_модуль гр.],HH196,Линии[Канал (итог)],HJ196,Линии[Канал],"&lt;&gt;=",Линии[Щит],A196)&gt;1),"ДУБЛЬ КАНАЛА","")))</f>
        <v/>
      </c>
      <c r="HS196" s="6" t="str">
        <f t="shared" si="516"/>
        <v/>
      </c>
      <c r="HT196">
        <f t="shared" si="517"/>
        <v>10</v>
      </c>
      <c r="HU196" t="str">
        <f t="shared" si="518"/>
        <v/>
      </c>
      <c r="HV196">
        <f t="shared" si="519"/>
        <v>4.3010650280542428</v>
      </c>
      <c r="HW196">
        <f t="shared" si="520"/>
        <v>0</v>
      </c>
      <c r="HX196">
        <f t="shared" si="521"/>
        <v>0</v>
      </c>
      <c r="HY196">
        <f t="shared" si="522"/>
        <v>0</v>
      </c>
      <c r="HZ196">
        <f t="shared" si="523"/>
        <v>0</v>
      </c>
      <c r="IA196">
        <f t="shared" si="524"/>
        <v>0</v>
      </c>
      <c r="IB196">
        <f t="shared" si="525"/>
        <v>0</v>
      </c>
      <c r="IC196" t="str">
        <f t="shared" si="526"/>
        <v/>
      </c>
      <c r="ID196" t="str" cm="1">
        <f t="array" ref="ID196">IF(IC196="","",_xlfn.LET(_xlpm.tk,_xlfn.TEXTSPLIT(SUBSTITUTE(SUBSTITUTE(IC196,";"," "),"→"," ")," ",,TRUE),_xlpm.w_,_xlfn._xlws.FILTER(_xlpm.tk,ISNUMBER(--LEFT(_xlpm.tk,1))*((ISNUMBER(SEARCH("W",_xlpm.tk))+ISNUMBER(SEARCH("Вт",_xlpm.tk)))&gt;0),""),IFERROR(--SUBSTITUTE(SUBSTITUTE(UPPER(INDEX(_xlpm.w_,1)),"W",""),"ВТ",""),"")))</f>
        <v/>
      </c>
      <c r="IE196" t="str" cm="1">
        <f t="array" ref="IE196">IF(IC196="","",_xlfn.LET(_xlpm.tk,_xlfn.TEXTSPLIT(SUBSTITUTE(SUBSTITUTE(IC196,";"," "),"→"," ")," ",,TRUE),_xlpm.v_,_xlfn._xlws.FILTER(_xlpm.tk,ISNUMBER(--LEFT(_xlpm.tk,1))*((ISNUMBER(SEARCH("V",_xlpm.tk))+(RIGHT(UPPER(_xlpm.tk))="В"))&gt;0),""),IFERROR(--SUBSTITUTE(SUBSTITUTE(UPPER(INDEX(_xlpm.v_,1)),"V",""),"В",""),"")))</f>
        <v/>
      </c>
      <c r="IF196" s="6" t="str">
        <f>IF(OR(BV196=0,HI196="",HJ196=""),"",IFERROR(N(_xlfn.XLOOKUP(HI196,Каталог!$C$4:$C$500,Каталог!$Q$4:$Q$500)),""))</f>
        <v/>
      </c>
      <c r="IG196" s="6" t="str">
        <f>IF(N(IF196)=0,"",SUMIFS(Линии[Iр, А],Линии[Щит],A196,Линии[_модуль гр.],HH196,Линии[Канал (итог)],HJ196))</f>
        <v/>
      </c>
      <c r="IH196" t="str">
        <f>IF(AND(B196="",HO196=""),"",_xlfn.TEXTJOIN("; ",TRUE,IF(AND(B196&lt;&gt;"",FV196=""),"нет фазы",""),IF(AND(B196&lt;&gt;"",N(GL196)=0,FG196&lt;&gt;"Нет"),"нет мощности",""),IF(AND(HN196&lt;&gt;"",COUNTIFS(Линии[Щит],A196,Линии[Клемма (итог)],HN196)&gt;1),"дубль клеммы "&amp;HN196,""),IF(AND(HQ196&lt;&gt;"",HQ196&lt;&gt;"ok"),HQ196,""),IF(HR196&lt;&gt;"",HR196,""),IF(AND(N(CB196)&gt;=4,N(BX196)=1),CB196&amp;" жил на 1 фазе",""),IF(AND(BC196="R",CG196=1,IF(CS196&lt;&gt;"",N(CV196)&gt;30,OR(N(DA196)=0,N(DA196)&gt;30))),"розетка без дифзащиты до 30 мА",""),IF(AND(CG196=1,N(DA196)&gt;0,ISNUMBER(T196)),IF(T196&gt;N(DA196)/3,"ток утечки "&amp;FIXED(T196,1)&amp;" мА &gt; 1/3 уставки ("&amp;DA196&amp;" мА)",""),""),IF(AND(CH196=1,CS196=""),"«узо»: нет строки с УЗО выше (УЗО 2P 40А 30мА в «Аппаратах»)",""),IF(AND(CS196&lt;&gt;"",CS196=BA196),IF(CT196="","впишите номинал УЗО (УЗО 2P 40А 30мА)",IF(N(CT196)&lt;N(DT196),"УЗО "&amp;CT196&amp;" А &lt; автомата "&amp;DT196&amp;" А перед ним",IF(N(CT196)&lt;N(CX196),"УЗО "&amp;CT196&amp;" А &lt; тока блока "&amp;FIXED(CX196,1)&amp;" А",""))),""),IF(AND(CS196&lt;&gt;"",CS196=BA196,ISNUMBER(CY196)),IF(CY196&gt;N(CV196)/3,"ток утечки блока УЗО "&amp;FIXED(CY196,1)&amp;" мА &gt; 1/3 уставки ("&amp;CV196&amp;" мА)",""),""),IF(AND(CG196=1,N(BV196)+N(IB196)&gt;0,IC196=""),"линии до 50 В без БП: впишите в «Аппараты» (БП 24V 480W)",""),IF(AND(CG196=1,ISNUMBER(ID196),ISNUMBER(U196)),IF(U196&gt;ID196,"БП "&amp;ID196&amp;" Вт &lt; нужно "&amp;U196&amp;" Вт (×"&amp;Запас_БП&amp;")",""),""),IF(AND(CG196=1,ISNUMBER(IE196),N(BV196)=1),IF(IE196&lt;&gt;N(BU196),"БП на "&amp;IE196&amp;" В, линия "&amp;BU196&amp;" В",""),""),IF(AND(N(IF196)&gt;0,N(IG196)&gt;N(IF196)),HH196&amp;" канал "&amp;HJ196&amp;": "&amp;FIXED(IG196,1)&amp;" А &gt; "&amp;IF196&amp;" А",""),IFERROR(IF(AND(ISNUMBER(Q196),Q196&gt;EL196),"потери "&amp;FIXED(Q196,1)&amp;" % &gt; "&amp;EL196&amp;" %",""),""),IFERROR(IF(LEFT(HU196,4)="мало","Iкз мало — отключение &gt; 0,4 с",""),""),IF(AND(B196&lt;&gt;"",BM196=""),"не на схеме",""),IF(AND(CG196=0,B196&lt;&gt;"",FV196&lt;&gt;"",IF(BA196=1,"",FW195)&lt;&gt;"",FV196&lt;&gt;IF(BA196=1,"",FW195)),"фаза не как у автомата группы ("&amp;IF(BA196=1,"",FW195)&amp;")","")))</f>
        <v/>
      </c>
      <c r="II196" s="6">
        <f>IF(OR(CG196=0,DQ196=""),"",_xlfn.LET(_xlpm.t,IFERROR(_xlfn.XLOOKUP(DQ196,Каталог!$U$4:$U$500,Каталог!$G$4:$G$500),""),_xlpm.k,SEARCH("кА",_xlpm.t),IFERROR(--TRIM(RIGHT(SUBSTITUTE(MID(_xlpm.t,MAX(1,_xlpm.k-4),_xlpm.k-MAX(1,_xlpm.k-4))," ",REPT(" ",9)),5)),"")))</f>
        <v>6</v>
      </c>
      <c r="IJ196" t="str">
        <f>IF(OR(II196="",CG196=0),"",IF(_xlfn.XLOOKUP(A196,Щиты[Щит],Щиты[Iкз max на шинах, кА],"")="","",IF(II196&lt;_xlfn.XLOOKUP(A196,Щиты[Щит],Щиты[Iкз max на шинах, кА]),"Icu "&amp;II196&amp;" кА &lt; Iкз max","ok")))</f>
        <v/>
      </c>
      <c r="IK196" t="str">
        <f t="shared" si="527"/>
        <v/>
      </c>
      <c r="IL196" t="str">
        <f t="shared" si="528"/>
        <v>QFD12</v>
      </c>
      <c r="IM196" t="str">
        <f t="shared" si="529"/>
        <v>QFD12|кабель ВВГнг(А)-LS (3х2,5) → Розеточная группа Цокольный этаж Пом. №004Б Стиральная машина</v>
      </c>
      <c r="IN196" t="str" cm="1">
        <f t="array" ref="IN196">IF(IM196="","",_xlfn.LET(_xlpm.nd,_xlfn.TEXTSPLIT(IM196,"|"),IF(COLUMNS(_xlpm.nd)&gt;1,A196&amp;"¦"&amp;INDEX(_xlpm.nd,1)&amp;"¦"&amp;INDEX(_xlpm.nd,2),"")))</f>
        <v>ЩР-01¦QFD12¦кабель ВВГнг(А)-LS (3х2,5) → Розеточная группа Цокольный этаж Пом. №004Б Стиральная машина</v>
      </c>
      <c r="IO196" t="str">
        <f t="shared" si="530"/>
        <v>R.0.004Б.3¦Розеточная группа Цокольный этаж Пом. №004Б Стиральная машина</v>
      </c>
      <c r="IP196" t="str" cm="1">
        <f t="array" ref="IP196">IF(IM196="","",_xlfn.LET(_xlpm.nd,_xlfn.TEXTSPLIT(IM196,"|"),IF(COLUMNS(_xlpm.nd)&gt;2,A196&amp;"¦"&amp;INDEX(_xlpm.nd,2)&amp;"¦"&amp;INDEX(_xlpm.nd,3),"")))</f>
        <v/>
      </c>
      <c r="IQ196" t="str">
        <f t="shared" si="531"/>
        <v/>
      </c>
      <c r="IR196" t="str" cm="1">
        <f t="array" ref="IR196">IF(IM196="","",_xlfn.LET(_xlpm.nd,_xlfn.TEXTSPLIT(IM196,"|"),IF(COLUMNS(_xlpm.nd)&gt;3,A196&amp;"¦"&amp;INDEX(_xlpm.nd,3)&amp;"¦"&amp;INDEX(_xlpm.nd,4),"")))</f>
        <v/>
      </c>
      <c r="IS196" t="str">
        <f t="shared" si="532"/>
        <v/>
      </c>
      <c r="IT196" t="str" cm="1">
        <f t="array" ref="IT196">IF(IM196="","",_xlfn.LET(_xlpm.nd,_xlfn.TEXTSPLIT(IM196,"|"),IF(COLUMNS(_xlpm.nd)&gt;4,A196&amp;"¦"&amp;INDEX(_xlpm.nd,4)&amp;"¦"&amp;INDEX(_xlpm.nd,5),"")))</f>
        <v/>
      </c>
      <c r="IU196" t="str">
        <f t="shared" si="533"/>
        <v/>
      </c>
      <c r="IV196" t="str" cm="1">
        <f t="array" ref="IV196">IF(IM196="","",_xlfn.LET(_xlpm.nd,_xlfn.TEXTSPLIT(IM196,"|"),IF(COLUMNS(_xlpm.nd)&gt;5,A196&amp;"¦"&amp;INDEX(_xlpm.nd,5)&amp;"¦"&amp;INDEX(_xlpm.nd,6),"")))</f>
        <v/>
      </c>
      <c r="IW196" t="str">
        <f t="shared" si="534"/>
        <v/>
      </c>
      <c r="IX196" t="str" cm="1">
        <f t="array" ref="IX196">IF(IM196="","",_xlfn.LET(_xlpm.nd,_xlfn.TEXTSPLIT(IM196,"|"),IF(COLUMNS(_xlpm.nd)&gt;6,A196&amp;"¦"&amp;INDEX(_xlpm.nd,6)&amp;"¦"&amp;INDEX(_xlpm.nd,7),"")))</f>
        <v/>
      </c>
      <c r="IY196" t="str">
        <f t="shared" si="535"/>
        <v/>
      </c>
      <c r="IZ196" t="str">
        <f t="shared" si="536"/>
        <v/>
      </c>
      <c r="JA196" t="str">
        <f t="shared" si="537"/>
        <v>QFD12</v>
      </c>
      <c r="JB196">
        <f t="shared" si="538"/>
        <v>0</v>
      </c>
      <c r="JC196">
        <f t="shared" si="539"/>
        <v>1</v>
      </c>
      <c r="JD196" t="str">
        <f t="shared" si="540"/>
        <v/>
      </c>
      <c r="JE196" t="str">
        <f t="shared" si="541"/>
        <v/>
      </c>
      <c r="JF196" t="str">
        <f t="shared" si="542"/>
        <v/>
      </c>
      <c r="JG196" t="str">
        <f t="shared" si="543"/>
        <v/>
      </c>
      <c r="JH196" t="str">
        <f>IF(B196="","",IFERROR(_xlfn.XLOOKUP(B196,Коды_код,Коды_уго),IFERROR(_xlfn.XLOOKUP(BC196,Коды_код,Коды_уго),IFERROR(_xlfn.XLOOKUP(LEFT(BC196,2),Коды_код,Коды_уго),""))))</f>
        <v>Розетка</v>
      </c>
      <c r="JI196" t="str">
        <f>IF(B196="","",IF(OR(JH196="",JH196=0),"BOX",IFERROR(IF(VLOOKUP(JH196,УГО_блоки,3,FALSE)&amp;""&lt;&gt;"",VLOOKUP(JH196,УГО_блоки,3,FALSE),VLOOKUP(JH196,УГО_блоки,2,FALSE)),JH196)))</f>
        <v>SOCKET</v>
      </c>
      <c r="JJ196">
        <f t="shared" si="544"/>
        <v>1</v>
      </c>
      <c r="JK196" t="str">
        <f>IF(DQ196="","",IF(COUNTIF(DQ$3:DQ196,DQ196)=1,MAX(JK$2:JK195)+1,""))</f>
        <v/>
      </c>
      <c r="JL196" t="str">
        <f>IF(DE196="","",IF(COUNTIF(DE$3:DE196,DE196)+COUNTIF(DF$2:DF195,DE196)+COUNTIF(DG$2:DG195,DE196)=1,MAX(JL$2:JN195)+1,""))</f>
        <v/>
      </c>
      <c r="JM196" t="str">
        <f>IF(DF196="","",IF(COUNTIF(DE$3:DE196,DF196)+COUNTIF(DF$3:DF196,DF196)+COUNTIF(DG$2:DG195,DF196)=1,MAX(JL$2:JN195,JL196)+1,""))</f>
        <v/>
      </c>
      <c r="JN196" t="str">
        <f>IF(DG196="","",IF(COUNTIF(DE$3:DE196,DG196)+COUNTIF(DF$3:DF196,DG196)+COUNTIF(DG$3:DG196,DG196)=1,MAX(JL$2:JN195,JL196,JM196)+1,""))</f>
        <v/>
      </c>
      <c r="JO196" t="str">
        <f t="shared" si="545"/>
        <v>3х2,5</v>
      </c>
      <c r="JP196" t="str">
        <f>IF(JO196="","",IF(COUNTIF(JO$3:JO196,JO196)=1,MAX(JP$2:JP195)+1,""))</f>
        <v/>
      </c>
      <c r="JQ196" t="str">
        <f>IF(HG196="","",COUNTIF(HG$3:HG196,"?*"))</f>
        <v/>
      </c>
      <c r="JR196" t="str">
        <f>IF(OR(HG196="",HI196=""),"",IF(COUNTIFS(HG$3:HG196,"?*",HI$3:HI196,HI196)=1,MAX(JR$2:JR195)+1,""))</f>
        <v/>
      </c>
      <c r="JS196">
        <f t="shared" si="546"/>
        <v>0</v>
      </c>
      <c r="JT196">
        <f>IF(B196="","",COUNTIF(B$3:B196,"?*"))</f>
        <v>194</v>
      </c>
      <c r="JU196">
        <f>IF(HL196&lt;&gt;1,0,_xlfn.LET(_xlpm.k,MAX(IFERROR(--_xlfn.XLOOKUP(B196,Коды_код,Коды_3L),0),IFERROR(--_xlfn.XLOOKUP(BC196,Коды_код,Коды_3L),0),IFERROR(--_xlfn.XLOOKUP(LEFT(BC196,2),Коды_код,Коды_3L),0)),IF(_xlpm.k&gt;0,_xlpm.k,IF(IFERROR(--LEFT(SUBSTITUTE(JO196,"x","х"),FIND("х",SUBSTITUTE(JO196,"x","х"))-1),3)&gt;3,Каталог!$S$9,1))))</f>
        <v>1</v>
      </c>
      <c r="JV196">
        <f t="shared" si="547"/>
        <v>0</v>
      </c>
      <c r="JW196" t="str">
        <f t="shared" si="548"/>
        <v>авто</v>
      </c>
      <c r="JX196">
        <f t="shared" si="549"/>
        <v>30</v>
      </c>
      <c r="JY196">
        <f t="shared" si="550"/>
        <v>1</v>
      </c>
      <c r="JZ196">
        <f t="shared" si="551"/>
        <v>1</v>
      </c>
    </row>
    <row r="197" spans="1:286" x14ac:dyDescent="0.3">
      <c r="A197" t="s">
        <v>755</v>
      </c>
      <c r="B197" t="s">
        <v>1504</v>
      </c>
      <c r="C197" t="str">
        <f>Линии[[#This Row],[_авто наименование]]</f>
        <v>Розеточная группа, пом. 006A</v>
      </c>
      <c r="D197">
        <v>3</v>
      </c>
      <c r="E197">
        <v>0.18</v>
      </c>
      <c r="G197" t="str">
        <f>Линии[[#This Row],[_авто автомат]]</f>
        <v>2P С16А 30мА</v>
      </c>
      <c r="H197" t="str">
        <f>Линии[[#This Row],[_авто управление]]</f>
        <v/>
      </c>
      <c r="I197" t="str">
        <f>Линии[[#This Row],[_авто аппараты]]</f>
        <v/>
      </c>
      <c r="J197">
        <v>2.5</v>
      </c>
      <c r="K197">
        <v>46</v>
      </c>
      <c r="L197">
        <v>2</v>
      </c>
      <c r="M197" t="s">
        <v>484</v>
      </c>
      <c r="N197" t="str">
        <f t="shared" si="414"/>
        <v/>
      </c>
      <c r="O197" s="6" cm="1">
        <f t="array" ref="O197">IF(B197="","",IF(BH197&lt;&gt;"",IFERROR(_xlfn.XLOOKUP(BH197,Щиты[Щит],Щиты[Iр, А]),""),IF(BP197=1,IF(OR(N(_xlfn.XLOOKUP(A197,Щиты[Щит],Щиты[Вводов],1))&lt;=1,LOWER(TRIM(_xlfn.XLOOKUP(A197,Щиты[Щит],Щиты[АВР],"")&amp;""))="да"),IFERROR(_xlfn.XLOOKUP(A197,Щиты[Щит],Щиты[Iр, А]),""),IFERROR(N(BS197)*_xlfn.XLOOKUP(A197,Щиты[Щит],Щиты[Кс итог])/(SQRT(3)*Uн_лин*_xlfn.XLOOKUP(A197,Щиты[Щит],Щиты[cos φ])),"")),IF(BV197=1,IFERROR(BS197*1000/BU197,""),IFERROR(_xlfn.IFS(BX197=1,BS197/((Uн_лин/SQRT(3))*CE197),BX197=3,BS197/(SQRT(3)*Uн_лин*CE197)),"")))))</f>
        <v>0.8204451193747313</v>
      </c>
      <c r="P197" s="7">
        <f>IF(B197="","",IFERROR(IF(VLOOKUP(BC197,Потребители_обозначение,4,FALSE)=1,VLOOKUP(BC197,Потребители_обозначение,3,FALSE)*(MAX(1,N(D197))*2-1)+EI197+VLOOKUP(BE197,Этаж_обозначение,3,FALSE)+VLOOKUP(BE197,Этаж_обозначение,4,FALSE),VLOOKUP(BC197,Потребители_обозначение,3,FALSE)*(MAX(1,N(D197))*2-1)+EI197),EI197))</f>
        <v>61</v>
      </c>
      <c r="Q197" s="6">
        <f t="shared" si="415"/>
        <v>0.81</v>
      </c>
      <c r="R197" t="str">
        <f t="shared" si="416"/>
        <v>ВВГнг(А)-LS (3х2,5)</v>
      </c>
      <c r="S197" t="str">
        <f>IF(BM197="","",IF(BN197="вводной узел","узел ","")&amp;"л."&amp;(INT((BM197-1)/Столбцов_на_лист)+1)&amp;" / "&amp;(MOD(BM197-1,Столбцов_на_лист)+1))</f>
        <v>л.2 / 6</v>
      </c>
      <c r="T197" s="119">
        <f t="shared" si="417"/>
        <v>0.9</v>
      </c>
      <c r="U197" s="7" t="str">
        <f>IF(OR(CG197=0,N(BV197)+N(IB197)=0),"",ROUNDUP(Запас_БП*(N(HY197)+N(HZ197)),0))</f>
        <v/>
      </c>
      <c r="V197" s="119" t="str">
        <f t="shared" si="418"/>
        <v/>
      </c>
      <c r="W197" s="7" t="str">
        <f>IFERROR(IF(OR(B197="",BP197=1,BV197=1,NOT(ISNUMBER(EN197)),N(DT197)=0),"",MAX(0,ROUNDDOWN((c_min*(Uн_лин*1000/SQRT(3))/(HT197*N(DT197))-_xlfn.XLOOKUP(A197,Щиты[Щит],Щиты[Zпетли на шинах, Ом]))*EN197/(2*ρкз_Cu),0))),"")</f>
        <v/>
      </c>
      <c r="Y197">
        <f>Линии[[#This Row],[_авто утечка]]</f>
        <v>30</v>
      </c>
      <c r="Z197">
        <v>1</v>
      </c>
      <c r="AA197">
        <v>230</v>
      </c>
      <c r="AB197" t="s">
        <v>562</v>
      </c>
      <c r="AG197" t="s">
        <v>810</v>
      </c>
      <c r="AI197" t="s">
        <v>561</v>
      </c>
      <c r="AK197" t="str">
        <f>Линии[[#This Row],[_авто модуль]]</f>
        <v/>
      </c>
      <c r="AM197">
        <v>23</v>
      </c>
      <c r="AN197" t="s">
        <v>11</v>
      </c>
      <c r="AO197">
        <v>3</v>
      </c>
      <c r="AQ197">
        <v>15</v>
      </c>
      <c r="AR197">
        <v>39</v>
      </c>
      <c r="AS197">
        <v>7</v>
      </c>
      <c r="BA197" cm="1">
        <f t="array" ref="BA197">ROW()-ROW(Линии[#Headers])</f>
        <v>195</v>
      </c>
      <c r="BC197" s="6" t="str">
        <f t="shared" si="419"/>
        <v>R</v>
      </c>
      <c r="BD197" t="str">
        <f t="shared" si="420"/>
        <v>0.006A.1</v>
      </c>
      <c r="BE197" t="str">
        <f t="shared" si="421"/>
        <v>0</v>
      </c>
      <c r="BF197" t="str">
        <f t="shared" si="422"/>
        <v>006A.1</v>
      </c>
      <c r="BG197" t="str">
        <f t="shared" si="423"/>
        <v>006A</v>
      </c>
      <c r="BH197" t="str">
        <f>IF(X197&lt;&gt;"",X197,IF(AND(B197&lt;&gt;"",B197&lt;&gt;A197,ISNUMBER(_xlfn.XMATCH(B197,Щиты[Щит]))),B197,""))</f>
        <v/>
      </c>
      <c r="BI197" t="str" cm="1">
        <f t="array" ref="BI197">IF(B197="","",IF(BH197&lt;&gt;"","Щит "&amp;BH197,_xlfn.LET(_xlpm.nm,IFERROR(_xlfn.XLOOKUP(BC197,Коды_код,Коды_имя)&amp;"",""),_xlpm.md,IFERROR(N(_xlfn.XLOOKUP(BC197,Коды_код,Коды_режим)),1),_xlpm.ex,IF(Имя_режим="по экспликации",IFERROR(_xlfn.XLOOKUP(BE197&amp;"|"&amp;BG197,Экспликация[Этаж]&amp;"|"&amp;Экспликация[Помещение],Экспликация[Название])&amp;"",""),""),_xlpm.rm,IF(BG197="","",IF(_xlpm.ex&lt;&gt;"",". "&amp;_xlpm.ex&amp;IF(Имя_пом="нет"," ("&amp;BG197&amp;")"," (пом. "&amp;BG197&amp;")"),IF(Имя_пом="нет"," ",", пом. ")&amp;BG197)),IF(_xlpm.nm="","",IF(_xlpm.md=2,_xlpm.nm&amp;" шлейф "&amp;BE197,_xlpm.nm&amp;_xlpm.rm)))))</f>
        <v>Розеточная группа, пом. 006A</v>
      </c>
      <c r="BJ197" t="str">
        <f t="shared" si="424"/>
        <v>Розеточная группа, пом. 006A</v>
      </c>
      <c r="BK197">
        <f>IFERROR(_xlfn.XMATCH(A197,Щиты[Щит]),0)</f>
        <v>9</v>
      </c>
      <c r="BL197">
        <f>_xlfn.LET(_xlpm.k,IFERROR(_xlfn.XLOOKUP(A197,Щиты[Щит],Щиты[Мест под вводной узел]),""),IF(_xlpm.k="",Столбцов_на_лист,N(_xlpm.k)))</f>
        <v>8</v>
      </c>
      <c r="BM197">
        <f t="shared" si="425"/>
        <v>23</v>
      </c>
      <c r="BN197" t="str">
        <f t="shared" si="426"/>
        <v>линии</v>
      </c>
      <c r="BO197" s="6">
        <f>IFERROR(N(_xlfn.XLOOKUP(BC197,Коды_код,Коды_квт)),0)</f>
        <v>0</v>
      </c>
      <c r="BP197">
        <f t="shared" si="427"/>
        <v>0</v>
      </c>
      <c r="BQ197" t="str">
        <f>IF(B197="","",IF(BH197&lt;&gt;"",IFERROR(_xlfn.XLOOKUP(BH197,Щиты[Щит],Щиты[Руст, кВт]),0),IF(BP197=1,IF(OR(N(_xlfn.XLOOKUP(A197,Щиты[Щит],Щиты[Вводов],1))&lt;=1,LOWER(TRIM(_xlfn.XLOOKUP(A197,Щиты[Щит],Щиты[АВР],"")&amp;""))="да"),IFERROR(_xlfn.XLOOKUP(A197,Щиты[Щит],Щиты[Руст, кВт]),0),SUMIFS(Линии[_Р для вводов],Линии[Щит],A197,Линии[Источник для режимов],GF197)),IF(BO197&gt;0,ROUND(BO197*MAX(1,N(D197)),3),""))))</f>
        <v/>
      </c>
      <c r="BR197">
        <f t="shared" si="428"/>
        <v>0.18</v>
      </c>
      <c r="BS197" s="6">
        <f>IF(B197="","",IF(BH197&lt;&gt;"",IFERROR(_xlfn.XLOOKUP(BH197,Щиты[Щит],Щиты[Руст, кВт]),0),N(BR197)))</f>
        <v>0.18</v>
      </c>
      <c r="BT197" t="str">
        <f>IF(B197="","",IFERROR(IF(VLOOKUP(BC197,Потребители_обозначение,8,FALSE)=0,"",VLOOKUP(BC197,Потребители_обозначение,8,FALSE)),""))</f>
        <v/>
      </c>
      <c r="BU197">
        <f t="shared" si="429"/>
        <v>230</v>
      </c>
      <c r="BV197">
        <f t="shared" si="430"/>
        <v>0</v>
      </c>
      <c r="BW197">
        <f>IF(B197="","",IF(BH197&lt;&gt;"",3,IFERROR(IF(N(VLOOKUP(BC197,Потребители_обозначение,9,FALSE))=0,1,VLOOKUP(BC197,Потребители_обозначение,9,FALSE)),1)))</f>
        <v>1</v>
      </c>
      <c r="BX197">
        <f t="shared" si="431"/>
        <v>1</v>
      </c>
      <c r="BY197" t="str">
        <f>IF(B197="","",_xlfn.LET(_xlpm.bc,IFERROR(IF(VLOOKUP(BC197,Потребители_обозначение,6,FALSE)=0,"",VLOOKUP(BC197,Потребители_обозначение,6,FALSE)&amp;""),""),IF(AND(GA197="да",OR(_xlpm.bc="",_xlpm.bc="мс")),Марка_пож,IF(AND(_xlpm.bc="",BH197&lt;&gt;""),"мс",_xlpm.bc))))</f>
        <v/>
      </c>
      <c r="BZ197" t="str">
        <f t="shared" si="432"/>
        <v>мс</v>
      </c>
      <c r="CA197">
        <f>IF(B197="","",_xlfn.LET(_xlpm.cc,IFERROR(N(VLOOKUP(BC197,Потребители_обозначение,7,FALSE)),0),IF(_xlpm.cc&gt;0,_xlpm.cc,IF(BZ197="","",IF(BV197=1,2,IF(N(BX197)=3,5,3))))))</f>
        <v>3</v>
      </c>
      <c r="CB197">
        <f t="shared" si="433"/>
        <v>3</v>
      </c>
      <c r="CC197">
        <f>IFERROR(N(VLOOKUP(BC197,Потребители_обозначение,10,FALSE)),0)</f>
        <v>0</v>
      </c>
      <c r="CD197">
        <f>IFERROR(VLOOKUP(BC197,Потребители_обозначение,5,FALSE),0)</f>
        <v>1</v>
      </c>
      <c r="CE197" s="6" cm="1">
        <f t="array" ref="CE197">IF(B197="","",IF(BH197&lt;&gt;"",IFERROR(_xlfn.XLOOKUP(BH197,Щиты[Щит],Щиты[cos φ]),0.95),IF(BP197=1,IFERROR(_xlfn.XLOOKUP(A197,Щиты[Щит],Щиты[cos φ]),0.95),IF(ISNUMBER(AD197),AD197,IFERROR(IF(CD197=2,_xlfn.IFS(BX197=3,VLOOKUP(BS197,Справочная_двигатели,8,FALSE),BX197=1,VLOOKUP(BS197,Справочная_двигатели,10,TRUE)),IF(AND(Методика="нормы 2026",FG197="Сил"),0.8,0.95)),0.95)))))</f>
        <v>0.95</v>
      </c>
      <c r="CF197">
        <f t="shared" si="434"/>
        <v>0</v>
      </c>
      <c r="CG197">
        <f t="shared" si="435"/>
        <v>1</v>
      </c>
      <c r="CH197">
        <f t="shared" si="436"/>
        <v>0</v>
      </c>
      <c r="CI197">
        <f>IF(B197="","",IF(BV197=1,IFERROR(BS197/((Uн_лин/SQRT(3))*MAX(0.5,N(CE197))),0),N(O197)))</f>
        <v>0.8204451193747313</v>
      </c>
      <c r="CJ197">
        <f t="shared" si="437"/>
        <v>0</v>
      </c>
      <c r="CK197">
        <f t="shared" si="438"/>
        <v>0</v>
      </c>
      <c r="CL197">
        <f t="shared" si="439"/>
        <v>0</v>
      </c>
      <c r="CM197">
        <f t="shared" si="440"/>
        <v>0</v>
      </c>
      <c r="CN197">
        <f t="shared" si="441"/>
        <v>0</v>
      </c>
      <c r="CO197">
        <f>IF(BC197="",0,_xlfn.LET(_xlpm.v,IFERROR(_xlfn.XLOOKUP(B197,Коды_код,Коды_мА),IFERROR(_xlfn.XLOOKUP(BC197,Коды_код,Коды_мА),IFERROR(_xlfn.XLOOKUP(LEFT(BC197,2),Коды_код,Коды_мА),""))),IF(_xlpm.v="да",30,IF(ISNUMBER(_xlpm.v),_xlpm.v,0))))</f>
        <v>30</v>
      </c>
      <c r="CP197">
        <f t="shared" si="442"/>
        <v>30</v>
      </c>
      <c r="CQ197" t="str">
        <f>_xlfn.LET(_xlpm.k,IFERROR(_xlfn.XLOOKUP(BC197,Коды_код,Коды_утечка)&amp;"",""),IF(_xlpm.k="","дифавтомат",_xlpm.k))</f>
        <v>дифавтомат</v>
      </c>
      <c r="CR197" t="str" cm="1">
        <f t="array" ref="CR197">IF(CG197=0,"",_xlfn.LET(_xlpm.sg,TRIM(_xlfn.TEXTSPLIT(DD197&amp;"",";")),_xlpm.f_,_xlfn._xlws.FILTER(_xlpm.sg,LEFT(_xlpm.sg,3)="УЗО",""),IFERROR(INDEX(_xlpm.f_,1)&amp;"","")))</f>
        <v/>
      </c>
      <c r="CS197" t="str">
        <f t="shared" si="443"/>
        <v/>
      </c>
      <c r="CT197" s="6" t="str" cm="1">
        <f t="array" ref="CT197">IF(CR197="","",_xlfn.LET(_xlpm.tk,_xlfn.TEXTSPLIT(UPPER(CR197)," ",,TRUE),_xlpm.a_,_xlfn._xlws.FILTER(_xlpm.tk,ISNUMBER(--LEFT(_xlpm.tk,1))*((ISNUMBER(SEARCH("А",_xlpm.tk))+ISNUMBER(SEARCH("A",_xlpm.tk)))&gt;0)*NOT(ISNUMBER(SEARCH("МА",_xlpm.tk)))*NOT(ISNUMBER(SEARCH("MA",_xlpm.tk))),""),IFERROR(--SUBSTITUTE(SUBSTITUTE(INDEX(_xlpm.a_,1),"А",""),"A",""),"")))</f>
        <v/>
      </c>
      <c r="CU197" t="str" cm="1">
        <f t="array" ref="CU197">IF(CR197="","",_xlfn.LET(_xlpm.tk,_xlfn.TEXTSPLIT(UPPER(CR197)," ",,TRUE),_xlpm.a_,_xlfn._xlws.FILTER(_xlpm.tk,ISNUMBER(--LEFT(_xlpm.tk,1))*((ISNUMBER(SEARCH("МА",_xlpm.tk))+ISNUMBER(SEARCH("MA",_xlpm.tk)))&gt;0),""),IFERROR(--SUBSTITUTE(SUBSTITUTE(INDEX(_xlpm.a_,1),"МА",""),"MA",""),30)))</f>
        <v/>
      </c>
      <c r="CV197" t="str">
        <f>IF(CS197="","",IFERROR(_xlfn.XLOOKUP(CS197,Линии[_n],Линии[_УЗО, мА]),30))</f>
        <v/>
      </c>
      <c r="CW197">
        <f>IF(CS197="",0,IF(ISNUMBER(SEARCH("4P",IFERROR(_xlfn.XLOOKUP(CS197,Линии[_n],Линии[_УЗО строки])&amp;"",""))),0,1))</f>
        <v>0</v>
      </c>
      <c r="CX197" t="str">
        <f>IF(AND(CS197&lt;&gt;"",CS197=BA197),SUMIFS(Линии[_ток на 230 В],Линии[_блок УЗО],BA197,Линии[Щит],A197),"")</f>
        <v/>
      </c>
      <c r="CY197" t="str">
        <f>IF(AND(CS197&lt;&gt;"",CS197=BA197),SUMIFS(Линии[_ток утечки линии, мА],Линии[_блок УЗО],BA197,Линии[Щит],A197),"")</f>
        <v/>
      </c>
      <c r="CZ197">
        <f t="shared" si="444"/>
        <v>30</v>
      </c>
      <c r="DA197">
        <f t="shared" si="445"/>
        <v>30</v>
      </c>
      <c r="DB197">
        <f>IF(B197="",0,IFERROR(--_xlfn.XLOOKUP(B197,Коды_код,Коды_минавт),IFERROR(--_xlfn.XLOOKUP(BC197,Коды_код,Коды_минавт),IFERROR(--_xlfn.XLOOKUP(LEFT(BC197,2),Коды_код,Коды_минавт),0))))</f>
        <v>16</v>
      </c>
      <c r="DC197" t="str">
        <f>IF(B197="","",IFERROR(_xlfn.XLOOKUP(BC197,Коды_код,Коды_апп)&amp;"",""))</f>
        <v/>
      </c>
      <c r="DD197" t="str">
        <f t="shared" si="446"/>
        <v/>
      </c>
      <c r="DE197" t="str" cm="1">
        <f t="array" ref="DE197">IF(TRIM(DD197&amp;"")="","",IFERROR(TRIM(INDEX(_xlfn.TEXTSPLIT(DD197&amp;";;;",";"),1)),""))</f>
        <v/>
      </c>
      <c r="DF197" t="str" cm="1">
        <f t="array" ref="DF197">IF(TRIM(DD197&amp;"")="","",IFERROR(TRIM(INDEX(_xlfn.TEXTSPLIT(DD197&amp;";;;",";"),2)),""))</f>
        <v/>
      </c>
      <c r="DG197" t="str" cm="1">
        <f t="array" ref="DG197">IF(TRIM(DD197&amp;"")="","",IFERROR(TRIM(INDEX(_xlfn.TEXTSPLIT(DD197&amp;";;;",";"),3)),""))</f>
        <v/>
      </c>
      <c r="DH197">
        <f t="shared" si="447"/>
        <v>0</v>
      </c>
      <c r="DI197" t="str">
        <f>IF(B197="","",_xlfn.LET(_xlpm.t,LOWER(AZ197&amp;""),IF(ISNUMBER(SEARCH("dim",_xlpm.t)),"DIM",IF(ISNUMBER(SEARCH("dali",_xlpm.t)),"DALI",IF(OR(ISNUMBER(SEARCH("relay",_xlpm.t)),ISNUMBER(SEARCH("реле",_xlpm.t))),"Relay",IF(ISNUMBER(SEARCH("кнопк",_xlpm.t)),"",IFERROR(_xlfn.XLOOKUP(BC197,Коды_код,Коды_упр)&amp;"","")))))))</f>
        <v/>
      </c>
      <c r="DJ197" t="str">
        <f t="shared" si="448"/>
        <v/>
      </c>
      <c r="DK197">
        <f>IF(B197="","",_xlfn.LET(_xlpm.ig,IF(N(CX197)&gt;0,N(CX197),N(CI197)+IF(AJ197="вручную",0,N(CJ197))),_xlpm.n0,IFERROR(VLOOKUP(_xlpm.ig,Автомат_номиналы,2,TRUE),0),_xlpm.mn,MAX(DB197,IF(AJ197="вручную",0,N(CM197))),MAX(_xlpm.n0,_xlpm.mn,IF(DH197=1,Мин_автомат_БП,0))))</f>
        <v>16</v>
      </c>
      <c r="DL197">
        <f t="shared" si="449"/>
        <v>1</v>
      </c>
      <c r="DM197" t="str">
        <f t="shared" si="450"/>
        <v>2P</v>
      </c>
      <c r="DN197" t="str">
        <f>_xlfn.LET(_xlpm.cc,UPPER(TRIM(IFERROR(_xlfn.XLOOKUP(BC197,Коды_код,Коды_хар)&amp;"",""))),IF(OR(_xlpm.cc="B",_xlpm.cc="В"),"B",IF(_xlpm.cc="D","D","С")))</f>
        <v>С</v>
      </c>
      <c r="DO197" t="str">
        <f t="shared" si="451"/>
        <v>2P С16А 30мА</v>
      </c>
      <c r="DP197" t="str">
        <f t="shared" si="452"/>
        <v>2P С16А 30мА</v>
      </c>
      <c r="DQ197" t="str">
        <f t="shared" si="453"/>
        <v>2P С16А 30мА</v>
      </c>
      <c r="DR197" cm="1">
        <f t="array" ref="DR197">IF(DQ197="","",_xlfn.LET(_xlpm.t,SUBSTITUTE(SUBSTITUTE(SUBSTITUTE(UPPER(DQ197),"С","C"),"А","A"),"В","B"),_xlpm.tk,_xlfn.TEXTSPLIT(_xlpm.t," "),_xlpm.f,_xlfn._xlws.FILTER(_xlpm.tk,ISNUMBER(--MID(_xlpm.tk,2,1))*ISNUMBER(SEARCH(LEFT(_xlpm.tk,1)&amp;"#","B#C#D#"))*(LEN(_xlpm.tk)&gt;1),""),_xlpm.x,INDEX(_xlpm.f,1),IFERROR(--SUBSTITUTE(MID(_xlpm.x,2,9),"A",""),IFERROR(--SUBSTITUTE(INDEX(_xlfn._xlws.FILTER(_xlpm.tk,ISNUMBER(--SUBSTITUTE(_xlpm.tk,"A","")),""),1),"A",""),""))))</f>
        <v>16</v>
      </c>
      <c r="DS197" t="str">
        <f t="shared" si="454"/>
        <v>ok</v>
      </c>
      <c r="DT197">
        <f t="shared" si="455"/>
        <v>16</v>
      </c>
      <c r="DU197" t="str">
        <f t="shared" si="456"/>
        <v>2P С16А 30мА</v>
      </c>
      <c r="DV197">
        <f t="shared" si="457"/>
        <v>30</v>
      </c>
      <c r="DW197">
        <f t="shared" si="458"/>
        <v>1</v>
      </c>
      <c r="DX197">
        <f t="shared" si="459"/>
        <v>0</v>
      </c>
      <c r="DY197">
        <f t="shared" si="460"/>
        <v>0.8204451193747313</v>
      </c>
      <c r="DZ197">
        <f t="shared" si="461"/>
        <v>1</v>
      </c>
      <c r="EA197">
        <f>IF(ISNUMBER(AP197),AP197,К_прокл)</f>
        <v>1</v>
      </c>
      <c r="EB197">
        <f t="shared" si="462"/>
        <v>2</v>
      </c>
      <c r="EC197">
        <f>IFERROR(N(VLOOKUP(BZ197,Кабель_обозначение,3,FALSE)),1)</f>
        <v>1</v>
      </c>
      <c r="ED197">
        <f>IFERROR(N(_xlfn.XLOOKUP(A197,Щиты[Щит],Щиты[ΔU до шин, %])),0)</f>
        <v>0.43</v>
      </c>
      <c r="EE197" t="str">
        <f>IFERROR(_xlfn.XLOOKUP(A197,Щиты[Щит],Щиты[Zпетли на шинах, Ом]),"")</f>
        <v/>
      </c>
      <c r="EF197">
        <f>IFERROR(N(_xlfn.XLOOKUP(A197,Щиты[Щит],Щиты[ΔU до шин (подбор), %])),0)</f>
        <v>0.43</v>
      </c>
      <c r="EG197" t="str">
        <f>IFERROR(_xlfn.XLOOKUP(A197,Щиты[Щит],Щиты[Zпетли на шинах (подбор), Ом]),"")</f>
        <v/>
      </c>
      <c r="EH197" t="str">
        <f t="shared" si="463"/>
        <v/>
      </c>
      <c r="EI197">
        <f t="shared" si="464"/>
        <v>46</v>
      </c>
      <c r="EJ197">
        <f t="shared" si="465"/>
        <v>2</v>
      </c>
      <c r="EK197">
        <f t="shared" si="466"/>
        <v>0.31</v>
      </c>
      <c r="EL197" s="6">
        <f>IF(B197="","",IF(BV197=1,dU_LED,IF(IFERROR(_xlfn.XLOOKUP(BC197,Коды_код,Коды_уго),"")="Светильник",3,4)+IF(Методика="нормы 2026",MIN(0.5,MAX(0,N(P197)-100)*0.005),0)))</f>
        <v>4</v>
      </c>
      <c r="EM197" cm="1">
        <f t="array" ref="EM197">IF(OR(B197="",BZ197="",EC197&lt;&gt;1),"",_xlfn.LET(_xlpm.sz,Iдоп_S,_xlpm.t_,CHOOSE(EB197,Iдоп_1ж,Iдоп_2ж,Iдоп_3ж)*DZ197*EA197,_xlpm.dcx,BV197=1,_xlpm.inn,IF(_xlpm.dcx,N(O197),N(DT197)),_xlpm.smin,MAX(1.5,CC197),_xlpm.L_,N(P197)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197)/N(BU197)*100,999),IFERROR(N(EJ197)*(_xlpm.rho*_xlpm.L_/_xlpm.sz*N(CE197)+_xlpm.xx*_xlpm.L_*N(EK197)/1000)*N(O197)/((Uн_лин/SQRT(3))*1000)*100,999)),_xlpm.kz,IF(OR(_xlpm.dcx,DW197=1,NOT(ISNUMBER(EG197)),_xlpm.L_=0,_xlpm.inn=0),1,IFERROR(--(c_min*(Uн_лин*1000/SQRT(3))/(EG197+2*ρкз_Cu*_xlpm.L_/_xlpm.sz)&gt;=HT197*_xlpm.inn),0)),_xlpm.ok,IFERROR((_xlpm.sz&gt;=_xlpm.smin)*(_xlpm.t_&gt;=_xlpm.inn)*IF(_xlpm.L_&gt;0,(_xlpm.du_+IF(_xlpm.dcx,0,EF197)&lt;=EL197+0.00001),1)*_xlpm.kz,0),_xlpm.r_,_xlfn._xlws.FILTER(_xlpm.sz,_xlpm.ok,"не подобрано"),INDEX(_xlpm.r_,1)))</f>
        <v>1.5</v>
      </c>
      <c r="EN197">
        <f t="shared" si="467"/>
        <v>2.5</v>
      </c>
      <c r="EO197" cm="1">
        <f t="array" ref="EO197">IF(OR(B197="",BZ197="",EC197&lt;&gt;1),"",_xlfn.LET(_xlpm.sz,Iдоп_S,_xlpm.t_,CHOOSE(EB197,Iдоп_1ж,Iдоп_2ж,Iдоп_3ж)*DZ197*EA197,_xlpm.ok,IFERROR((_xlpm.sz&gt;=MAX(1.5,CC197))*(_xlpm.t_&gt;=N(DT197)),0),_xlpm.r_,_xlfn._xlws.FILTER(_xlpm.sz,_xlpm.ok,""),INDEX(_xlpm.r_,1)))</f>
        <v>1.5</v>
      </c>
      <c r="EP197" s="6" cm="1">
        <f t="array" ref="EP197">IFERROR(ROUNDUP(N(EJ197)*(_xlfn.XLOOKUP(EO197,INDEX(Кабель_сопротивление,0,1),INDEX(Кабель_сопротивление,0,3))*N(P197)/EO197*N(CE197)+_xlfn.XLOOKUP(EO197,INDEX(Кабель_сопротивление,0,1),INDEX(Кабель_сопротивление,0,2))*N(P197)*N(EK197)/1000)*N(O197)/((Uн_лин/SQRT(3))*1000)*100,2),"")</f>
        <v>0.62</v>
      </c>
      <c r="EQ197">
        <f>IFERROR(2*ρкз_Cu*N(P197)/EO197,"")</f>
        <v>2.1390666666666669</v>
      </c>
      <c r="ER197">
        <f>IFERROR(VLOOKUP(EN197,Кабель_сопротивление,3,FALSE),"")</f>
        <v>2.2499999999999999E-2</v>
      </c>
      <c r="ES197">
        <f>IFERROR(VLOOKUP(EN197,Кабель_сопротивление,2,FALSE),"")</f>
        <v>0.1</v>
      </c>
      <c r="ET197">
        <f t="shared" si="468"/>
        <v>39</v>
      </c>
      <c r="EU197">
        <f t="shared" si="469"/>
        <v>7</v>
      </c>
      <c r="EV197">
        <f t="shared" si="470"/>
        <v>0.85890922746125753</v>
      </c>
      <c r="EW197" s="6">
        <f>IFERROR(ROUNDUP(EV197/IF(BV197=1,BU197,(Uн_лин/SQRT(3))*1000)*100,2),"")</f>
        <v>0.38</v>
      </c>
      <c r="EX197" t="str">
        <f>IFERROR(VLOOKUP(BZ197,Кабель_обозначение,2,FALSE),"")</f>
        <v>ВВГнг(А)-LS</v>
      </c>
      <c r="EY197" t="str">
        <f t="shared" si="471"/>
        <v>ВВГнг(А)-LS (3х2,5)</v>
      </c>
      <c r="EZ197" t="str">
        <f t="shared" si="472"/>
        <v>ВВГнг(А)-LS (3х2,5)
L=61-0,38%</v>
      </c>
      <c r="FA197">
        <f>IFERROR(2*ρкз_Cu*P197/EN197,"")</f>
        <v>1.2834400000000001</v>
      </c>
      <c r="FB197">
        <f t="shared" si="473"/>
        <v>0.42700000000000005</v>
      </c>
      <c r="FC197" s="6" t="str">
        <f>IFERROR(IF(OR(B197="",BV197=1,NOT(ISNUMBER(EN197)),N(P197)=0),"",_xlfn.XLOOKUP(A197,Щиты[Щит],Щиты[Zпетли на шинах, Ом])+FA197),"")</f>
        <v/>
      </c>
      <c r="FD197" s="6" t="str">
        <f>IF(ISNUMBER(FC197),c_min*(Uн_лин*1000/SQRT(3))/FC197,"")</f>
        <v/>
      </c>
      <c r="FE197" s="6" t="str">
        <f>IFERROR(IF(OR(B197="",NOT(ISNUMBER(EN197))),"",1.05*(Uн_лин*1000/SQRT(3))/(_xlfn.XLOOKUP(A197,Щиты[Щит],Щиты[Zmax на шинах, Ом])+FB197)/1000),"")</f>
        <v/>
      </c>
      <c r="FF197" s="6" t="str">
        <f>IF(B197="","",IF(ISNUMBER(AC197),"Сил",IF(IFERROR(_xlfn.XLOOKUP(BC197,Коды_код,Коды_группа)&amp;"","")="","Быт",_xlfn.XLOOKUP(BC197,Коды_код,Коды_группа)&amp;"")))</f>
        <v>Быт</v>
      </c>
      <c r="FG197" s="6" t="str">
        <f t="shared" si="474"/>
        <v>Быт</v>
      </c>
      <c r="FH197" s="6">
        <f>IF(FG197="Щит","щит",IF(FG197="","",IF(FG197="Быт",IFERROR(_xlfn.XLOOKUP(A197,Щиты[Щит],Щиты[Кс быт]),1),IF(FG197="Сил",IF(ISNUMBER(AC197),AC197,IF(Методика="нормы 2026",IFERROR(_xlfn.XLOOKUP(A197,Щиты[Щит],Щиты[Кс силовых (табл. 7.5)]),1),1)),IF(OR(FG197="Пост",FG197="Отоп"),1,IF(FG197="ВНГ",0.7,0))))))</f>
        <v>0.79799999999999993</v>
      </c>
      <c r="FI197">
        <f>IF(FG197="","",IF(AND(BP197=1,TRIM(AE197&amp;"")=""),IF(COUNTIFS(Линии[Щит],A197,Линии[Секция (1/2/3)],"&gt;=2")&gt;0,MIN(3,MAX(1,IFERROR(--BD197,1))),1),IFERROR(MIN(3,MAX(1,INT(--AE197))),1)))</f>
        <v>1</v>
      </c>
      <c r="FJ197">
        <f t="shared" si="475"/>
        <v>0.18</v>
      </c>
      <c r="FK197">
        <f t="shared" si="476"/>
        <v>0.18</v>
      </c>
      <c r="FL197">
        <f t="shared" si="477"/>
        <v>0</v>
      </c>
      <c r="FM197">
        <f t="shared" si="478"/>
        <v>0</v>
      </c>
      <c r="FN197">
        <f t="shared" si="479"/>
        <v>0</v>
      </c>
      <c r="FO197">
        <f t="shared" si="480"/>
        <v>0</v>
      </c>
      <c r="FP197">
        <f t="shared" si="481"/>
        <v>0.18</v>
      </c>
      <c r="FQ197">
        <f t="shared" si="482"/>
        <v>0.18</v>
      </c>
      <c r="FR197">
        <f t="shared" si="483"/>
        <v>0.17099999999999999</v>
      </c>
      <c r="FS197">
        <f>IF(CG197=1,IF(AND(CH197=1,CW197=1),0,IF(AND(CS197&lt;&gt;"",CS197=BA197,CW197=1),SUMIFS(Линии[_Р линии, кВт],Линии[_блок УЗО],BA197,Линии[Щит],A197),N(BS197)+IF(AJ197="вручную",0,N(CK197)))),0)</f>
        <v>0.18</v>
      </c>
      <c r="FT197" t="str">
        <f t="shared" si="484"/>
        <v>L2</v>
      </c>
      <c r="FU197" t="str">
        <f>IF(B197="","",IF(CG197=0,IF(BA197=1,"",FW196),IF(AND(CH197=1,CW197=1,CS197&lt;&gt;""),IFERROR(_xlfn.XLOOKUP(CS197,Линии[_n],Линии[_фаза итог]),"L1"),IF(OR(N(DL197)&gt;=3,N(BX197)&gt;=3),"L1,L2,L3",IFERROR(_xlfn.TEXTBEFORE(_xlfn.TEXTAFTER(_xlfn.XLOOKUP(A197,Щиты[Щит],Щиты[_фазы авто]),";"&amp;BA197&amp;":"),";"),"L1")))))</f>
        <v>L1</v>
      </c>
      <c r="FV197" t="str">
        <f t="shared" si="485"/>
        <v>L2</v>
      </c>
      <c r="FW197" t="str">
        <f t="shared" si="486"/>
        <v>L2</v>
      </c>
      <c r="FX197" cm="1">
        <f t="array" ref="FX197">IFERROR(IF(CD197=2,_xlfn.IFS(BX197=3,VLOOKUP(BS197,Справочная_двигатели,3,FALSE),BX197=1,VLOOKUP(BS197,Справочная_двигатели,5,TRUE)),0),0)</f>
        <v>0</v>
      </c>
      <c r="FY197">
        <f>IFERROR(IF(CD197=3,VLOOKUP(BS197,Справочная_ЛЭД,2,TRUE),0),0)</f>
        <v>0</v>
      </c>
      <c r="FZ197" s="6">
        <f t="shared" si="487"/>
        <v>0</v>
      </c>
      <c r="GA197" t="str">
        <f>IF(B197="","",IF(TRIM(AH197&amp;"")&lt;&gt;"",IF(LOWER(TRIM(AH197&amp;""))="да","да","нет"),IF(IFERROR(_xlfn.XLOOKUP(BC197,Коды_код,Коды_пожарная),"")="да","да","нет")))</f>
        <v>нет</v>
      </c>
      <c r="GB197" t="str">
        <f t="shared" si="488"/>
        <v/>
      </c>
      <c r="GC197" t="str">
        <f t="shared" si="489"/>
        <v>основная</v>
      </c>
      <c r="GD197">
        <f>IF(AND(BP197=1,TRIM(AE197&amp;"")=""),IF(COUNTIFS(Линии[Щит],A197,Линии[Секция (1/2/3)],"&gt;=2")&gt;0,MIN(3,MAX(1,IFERROR(--BD197,1))),1),IFERROR(MIN(3,MAX(1,INT(--AE197))),1))</f>
        <v>1</v>
      </c>
      <c r="GE197" t="str" cm="1">
        <f t="array" ref="GE197">IF(B197="","",_xlfn.LET(_xlpm.t,IFERROR(_xlfn.XLOOKUP(1,(Шины[Шина]=GC197)*(((Шины[Щит]=A197)+(Шины[Щит]=""))&gt;0),Шины[Тип]),"")&amp;"",IF(_xlpm.t&lt;&gt;"",_xlpm.t,IF(ISNUMBER(SEARCH("ИБП",GC197)),"ИБП",IF(ISNUMBER(SEARCH("ДГУ",GC197)),"ДГУ","Ввод "&amp;GD197)))))</f>
        <v>Ввод 1</v>
      </c>
      <c r="GF197" t="str">
        <f t="shared" si="490"/>
        <v>Ввод 1</v>
      </c>
      <c r="GG197" t="str">
        <f>IF(BP197=0,"",IF(TRIM(AG197&amp;"")&lt;&gt;"",TRIM(AG197&amp;""),IF(OR(GE197="ИБП",GE197="ДГУ"),"I особая",_xlfn.XLOOKUP(A197,Щиты[Щит],Щиты[Категория шины «Ввод»],"III"))))</f>
        <v/>
      </c>
      <c r="GH197" t="str">
        <f>IF(A197="","",_xlfn.XLOOKUP(A197,Щиты[Щит],Щиты[Путь],""))</f>
        <v>|ГРЩ-ЖД|ЩР-01|</v>
      </c>
      <c r="GI197" t="str">
        <f>IF(B197="","",IF(AI197&lt;&gt;"",AI197,IF(IFERROR(_xlfn.XLOOKUP(BC197,Коды_код,Коды_вид)&amp;"","")="","Прочее",_xlfn.XLOOKUP(BC197,Коды_код,Коды_вид)&amp;"")))</f>
        <v>Розеточная сеть и бытовые приборы</v>
      </c>
      <c r="GJ197">
        <f>IF(BM197="","",INT((BM197-1)/Столбцов_на_лист)+1)</f>
        <v>2</v>
      </c>
      <c r="GK197" t="str">
        <f t="shared" si="491"/>
        <v>ВВГнг(А)-LS (3х2,5) L=61-0,38%</v>
      </c>
      <c r="GL197">
        <f t="shared" si="492"/>
        <v>0.18</v>
      </c>
      <c r="GM197">
        <f t="shared" si="493"/>
        <v>0.83</v>
      </c>
      <c r="GN197">
        <f t="shared" si="494"/>
        <v>1</v>
      </c>
      <c r="GO197">
        <f t="shared" si="495"/>
        <v>0</v>
      </c>
      <c r="GP197">
        <f t="shared" si="496"/>
        <v>1</v>
      </c>
      <c r="GQ197">
        <f>IF(BM197="","",IF(AND(CG197=1,GP197=1),COUNTIFS(A$3:A197,A197,CG$3:CG197,1,GP$3:GP197,1),IF(OR(OR(BA197=1,A197&lt;&gt;A196),AJ197="вручную",GP197=0),"",IF(BA197=1,"",GR196))))</f>
        <v>13</v>
      </c>
      <c r="GR197">
        <f t="shared" si="497"/>
        <v>13</v>
      </c>
      <c r="GS197">
        <f>IF(B197="","",IFERROR(LOOKUP(INDEX(CHOOSE(EB197,Iдоп_1ж,Iдоп_2ж,Iдоп_3ж),MATCH(EN197,Iдоп_S,0))*DZ197*EA197,{6,10,16,20,25,32,40,50,63,80,100,125,160,200,250,315,400,500,630}),""))</f>
        <v>25</v>
      </c>
      <c r="GT197" t="str">
        <f t="shared" si="498"/>
        <v>QFD13</v>
      </c>
      <c r="GU197" t="str">
        <f t="shared" si="499"/>
        <v>QFD13</v>
      </c>
      <c r="GV197" t="str">
        <f t="shared" si="500"/>
        <v/>
      </c>
      <c r="GW197">
        <f t="shared" si="501"/>
        <v>0</v>
      </c>
      <c r="GX197" t="str">
        <f>IF(OR(B197="",DJ197=""),"",IFERROR(_xlfn.XLOOKUP(DJ197,Модули_умолч[Управление],Модули_умолч[Модель])&amp;"",""))</f>
        <v/>
      </c>
      <c r="GY197">
        <f>IF(DJ197="",1,IFERROR(MAX(0,N(_xlfn.XLOOKUP(DJ197,Модули_умолч[Управление],Модули_умолч[Каналов на линию]))),1))</f>
        <v>1</v>
      </c>
      <c r="GZ197" t="str">
        <f t="shared" si="502"/>
        <v/>
      </c>
      <c r="HA197" t="str">
        <f t="shared" si="503"/>
        <v/>
      </c>
      <c r="HB197" t="str">
        <f t="shared" si="504"/>
        <v/>
      </c>
      <c r="HC197">
        <f>IF(HB197="",0,IFERROR(N(VLOOKUP(HB197,Модули_спр,3,FALSE)),0))</f>
        <v>0</v>
      </c>
      <c r="HD197" t="str">
        <f t="shared" si="505"/>
        <v/>
      </c>
      <c r="HE197" t="str">
        <f t="shared" si="506"/>
        <v/>
      </c>
      <c r="HF197" t="str">
        <f>IF(OR(HE197="",HE197="-"),"",IFERROR(VLOOKUP(HE197,Модули_спр,2,FALSE),"R"))</f>
        <v/>
      </c>
      <c r="HG197" t="str">
        <f>IF(HF197="","",HF197&amp;"."&amp;COUNTIFS(A$3:A197,A197,HF$3:HF197,HF197))</f>
        <v/>
      </c>
      <c r="HH197" t="str">
        <f t="shared" si="507"/>
        <v/>
      </c>
      <c r="HI197" t="str">
        <f t="shared" si="508"/>
        <v/>
      </c>
      <c r="HJ197" t="str">
        <f t="shared" si="509"/>
        <v/>
      </c>
      <c r="HK197" t="str">
        <f t="shared" si="510"/>
        <v/>
      </c>
      <c r="HL197">
        <f t="shared" si="511"/>
        <v>1</v>
      </c>
      <c r="HM197" t="str">
        <f>IF(HL197=1,"XT"&amp;COUNTIFS(A$3:A197,A197,HL$3:HL197,1),"")</f>
        <v>XT13</v>
      </c>
      <c r="HN197" t="str">
        <f t="shared" si="512"/>
        <v/>
      </c>
      <c r="HO197" t="str">
        <f t="shared" si="513"/>
        <v>QFD13</v>
      </c>
      <c r="HP197" t="str">
        <f t="shared" si="514"/>
        <v/>
      </c>
      <c r="HQ197" t="str">
        <f t="shared" si="515"/>
        <v>ok</v>
      </c>
      <c r="HR197" t="str">
        <f>IF(OR(HJ197="",HH197=""),"",IF(HJ197+MAX(0,GY197-1)&gt;IFERROR(VLOOKUP(HI197,Модули_спр,3,FALSE),99),"ЛИШНИЙ КАНАЛ",IF(AND(AL197&lt;&gt;"=",GY197&gt;0,COUNTIFS(Линии[_модуль гр.],HH197,Линии[Канал (итог)],HJ197,Линии[Канал],"&lt;&gt;=",Линии[Щит],A197)&gt;1),"ДУБЛЬ КАНАЛА","")))</f>
        <v/>
      </c>
      <c r="HS197" s="6" t="str">
        <f t="shared" si="516"/>
        <v/>
      </c>
      <c r="HT197">
        <f t="shared" si="517"/>
        <v>10</v>
      </c>
      <c r="HU197" t="str">
        <f t="shared" si="518"/>
        <v/>
      </c>
      <c r="HV197">
        <f t="shared" si="519"/>
        <v>0.93817804774989255</v>
      </c>
      <c r="HW197">
        <f t="shared" si="520"/>
        <v>0</v>
      </c>
      <c r="HX197">
        <f t="shared" si="521"/>
        <v>0</v>
      </c>
      <c r="HY197">
        <f t="shared" si="522"/>
        <v>0</v>
      </c>
      <c r="HZ197">
        <f t="shared" si="523"/>
        <v>0</v>
      </c>
      <c r="IA197">
        <f t="shared" si="524"/>
        <v>0</v>
      </c>
      <c r="IB197">
        <f t="shared" si="525"/>
        <v>0</v>
      </c>
      <c r="IC197" t="str">
        <f t="shared" si="526"/>
        <v/>
      </c>
      <c r="ID197" t="str" cm="1">
        <f t="array" ref="ID197">IF(IC197="","",_xlfn.LET(_xlpm.tk,_xlfn.TEXTSPLIT(SUBSTITUTE(SUBSTITUTE(IC197,";"," "),"→"," ")," ",,TRUE),_xlpm.w_,_xlfn._xlws.FILTER(_xlpm.tk,ISNUMBER(--LEFT(_xlpm.tk,1))*((ISNUMBER(SEARCH("W",_xlpm.tk))+ISNUMBER(SEARCH("Вт",_xlpm.tk)))&gt;0),""),IFERROR(--SUBSTITUTE(SUBSTITUTE(UPPER(INDEX(_xlpm.w_,1)),"W",""),"ВТ",""),"")))</f>
        <v/>
      </c>
      <c r="IE197" t="str" cm="1">
        <f t="array" ref="IE197">IF(IC197="","",_xlfn.LET(_xlpm.tk,_xlfn.TEXTSPLIT(SUBSTITUTE(SUBSTITUTE(IC197,";"," "),"→"," ")," ",,TRUE),_xlpm.v_,_xlfn._xlws.FILTER(_xlpm.tk,ISNUMBER(--LEFT(_xlpm.tk,1))*((ISNUMBER(SEARCH("V",_xlpm.tk))+(RIGHT(UPPER(_xlpm.tk))="В"))&gt;0),""),IFERROR(--SUBSTITUTE(SUBSTITUTE(UPPER(INDEX(_xlpm.v_,1)),"V",""),"В",""),"")))</f>
        <v/>
      </c>
      <c r="IF197" s="6" t="str">
        <f>IF(OR(BV197=0,HI197="",HJ197=""),"",IFERROR(N(_xlfn.XLOOKUP(HI197,Каталог!$C$4:$C$500,Каталог!$Q$4:$Q$500)),""))</f>
        <v/>
      </c>
      <c r="IG197" s="6" t="str">
        <f>IF(N(IF197)=0,"",SUMIFS(Линии[Iр, А],Линии[Щит],A197,Линии[_модуль гр.],HH197,Линии[Канал (итог)],HJ197))</f>
        <v/>
      </c>
      <c r="IH197" t="str">
        <f>IF(AND(B197="",HO197=""),"",_xlfn.TEXTJOIN("; ",TRUE,IF(AND(B197&lt;&gt;"",FV197=""),"нет фазы",""),IF(AND(B197&lt;&gt;"",N(GL197)=0,FG197&lt;&gt;"Нет"),"нет мощности",""),IF(AND(HN197&lt;&gt;"",COUNTIFS(Линии[Щит],A197,Линии[Клемма (итог)],HN197)&gt;1),"дубль клеммы "&amp;HN197,""),IF(AND(HQ197&lt;&gt;"",HQ197&lt;&gt;"ok"),HQ197,""),IF(HR197&lt;&gt;"",HR197,""),IF(AND(N(CB197)&gt;=4,N(BX197)=1),CB197&amp;" жил на 1 фазе",""),IF(AND(BC197="R",CG197=1,IF(CS197&lt;&gt;"",N(CV197)&gt;30,OR(N(DA197)=0,N(DA197)&gt;30))),"розетка без дифзащиты до 30 мА",""),IF(AND(CG197=1,N(DA197)&gt;0,ISNUMBER(T197)),IF(T197&gt;N(DA197)/3,"ток утечки "&amp;FIXED(T197,1)&amp;" мА &gt; 1/3 уставки ("&amp;DA197&amp;" мА)",""),""),IF(AND(CH197=1,CS197=""),"«узо»: нет строки с УЗО выше (УЗО 2P 40А 30мА в «Аппаратах»)",""),IF(AND(CS197&lt;&gt;"",CS197=BA197),IF(CT197="","впишите номинал УЗО (УЗО 2P 40А 30мА)",IF(N(CT197)&lt;N(DT197),"УЗО "&amp;CT197&amp;" А &lt; автомата "&amp;DT197&amp;" А перед ним",IF(N(CT197)&lt;N(CX197),"УЗО "&amp;CT197&amp;" А &lt; тока блока "&amp;FIXED(CX197,1)&amp;" А",""))),""),IF(AND(CS197&lt;&gt;"",CS197=BA197,ISNUMBER(CY197)),IF(CY197&gt;N(CV197)/3,"ток утечки блока УЗО "&amp;FIXED(CY197,1)&amp;" мА &gt; 1/3 уставки ("&amp;CV197&amp;" мА)",""),""),IF(AND(CG197=1,N(BV197)+N(IB197)&gt;0,IC197=""),"линии до 50 В без БП: впишите в «Аппараты» (БП 24V 480W)",""),IF(AND(CG197=1,ISNUMBER(ID197),ISNUMBER(U197)),IF(U197&gt;ID197,"БП "&amp;ID197&amp;" Вт &lt; нужно "&amp;U197&amp;" Вт (×"&amp;Запас_БП&amp;")",""),""),IF(AND(CG197=1,ISNUMBER(IE197),N(BV197)=1),IF(IE197&lt;&gt;N(BU197),"БП на "&amp;IE197&amp;" В, линия "&amp;BU197&amp;" В",""),""),IF(AND(N(IF197)&gt;0,N(IG197)&gt;N(IF197)),HH197&amp;" канал "&amp;HJ197&amp;": "&amp;FIXED(IG197,1)&amp;" А &gt; "&amp;IF197&amp;" А",""),IFERROR(IF(AND(ISNUMBER(Q197),Q197&gt;EL197),"потери "&amp;FIXED(Q197,1)&amp;" % &gt; "&amp;EL197&amp;" %",""),""),IFERROR(IF(LEFT(HU197,4)="мало","Iкз мало — отключение &gt; 0,4 с",""),""),IF(AND(B197&lt;&gt;"",BM197=""),"не на схеме",""),IF(AND(CG197=0,B197&lt;&gt;"",FV197&lt;&gt;"",IF(BA197=1,"",FW196)&lt;&gt;"",FV197&lt;&gt;IF(BA197=1,"",FW196)),"фаза не как у автомата группы ("&amp;IF(BA197=1,"",FW196)&amp;")","")))</f>
        <v/>
      </c>
      <c r="II197" s="6">
        <f>IF(OR(CG197=0,DQ197=""),"",_xlfn.LET(_xlpm.t,IFERROR(_xlfn.XLOOKUP(DQ197,Каталог!$U$4:$U$500,Каталог!$G$4:$G$500),""),_xlpm.k,SEARCH("кА",_xlpm.t),IFERROR(--TRIM(RIGHT(SUBSTITUTE(MID(_xlpm.t,MAX(1,_xlpm.k-4),_xlpm.k-MAX(1,_xlpm.k-4))," ",REPT(" ",9)),5)),"")))</f>
        <v>6</v>
      </c>
      <c r="IJ197" t="str">
        <f>IF(OR(II197="",CG197=0),"",IF(_xlfn.XLOOKUP(A197,Щиты[Щит],Щиты[Iкз max на шинах, кА],"")="","",IF(II197&lt;_xlfn.XLOOKUP(A197,Щиты[Щит],Щиты[Iкз max на шинах, кА]),"Icu "&amp;II197&amp;" кА &lt; Iкз max","ok")))</f>
        <v/>
      </c>
      <c r="IK197" t="str">
        <f t="shared" si="527"/>
        <v/>
      </c>
      <c r="IL197" t="str">
        <f t="shared" si="528"/>
        <v>QFD13</v>
      </c>
      <c r="IM197" t="str">
        <f t="shared" si="529"/>
        <v>QFD13|кабель ВВГнг(А)-LS (3х2,5) → Розеточная группа, пом. 006A</v>
      </c>
      <c r="IN197" t="str" cm="1">
        <f t="array" ref="IN197">IF(IM197="","",_xlfn.LET(_xlpm.nd,_xlfn.TEXTSPLIT(IM197,"|"),IF(COLUMNS(_xlpm.nd)&gt;1,A197&amp;"¦"&amp;INDEX(_xlpm.nd,1)&amp;"¦"&amp;INDEX(_xlpm.nd,2),"")))</f>
        <v>ЩР-01¦QFD13¦кабель ВВГнг(А)-LS (3х2,5) → Розеточная группа, пом. 006A</v>
      </c>
      <c r="IO197" t="str">
        <f t="shared" si="530"/>
        <v>R.0.006A.1¦Розеточная группа, пом. 006A</v>
      </c>
      <c r="IP197" t="str" cm="1">
        <f t="array" ref="IP197">IF(IM197="","",_xlfn.LET(_xlpm.nd,_xlfn.TEXTSPLIT(IM197,"|"),IF(COLUMNS(_xlpm.nd)&gt;2,A197&amp;"¦"&amp;INDEX(_xlpm.nd,2)&amp;"¦"&amp;INDEX(_xlpm.nd,3),"")))</f>
        <v/>
      </c>
      <c r="IQ197" t="str">
        <f t="shared" si="531"/>
        <v/>
      </c>
      <c r="IR197" t="str" cm="1">
        <f t="array" ref="IR197">IF(IM197="","",_xlfn.LET(_xlpm.nd,_xlfn.TEXTSPLIT(IM197,"|"),IF(COLUMNS(_xlpm.nd)&gt;3,A197&amp;"¦"&amp;INDEX(_xlpm.nd,3)&amp;"¦"&amp;INDEX(_xlpm.nd,4),"")))</f>
        <v/>
      </c>
      <c r="IS197" t="str">
        <f t="shared" si="532"/>
        <v/>
      </c>
      <c r="IT197" t="str" cm="1">
        <f t="array" ref="IT197">IF(IM197="","",_xlfn.LET(_xlpm.nd,_xlfn.TEXTSPLIT(IM197,"|"),IF(COLUMNS(_xlpm.nd)&gt;4,A197&amp;"¦"&amp;INDEX(_xlpm.nd,4)&amp;"¦"&amp;INDEX(_xlpm.nd,5),"")))</f>
        <v/>
      </c>
      <c r="IU197" t="str">
        <f t="shared" si="533"/>
        <v/>
      </c>
      <c r="IV197" t="str" cm="1">
        <f t="array" ref="IV197">IF(IM197="","",_xlfn.LET(_xlpm.nd,_xlfn.TEXTSPLIT(IM197,"|"),IF(COLUMNS(_xlpm.nd)&gt;5,A197&amp;"¦"&amp;INDEX(_xlpm.nd,5)&amp;"¦"&amp;INDEX(_xlpm.nd,6),"")))</f>
        <v/>
      </c>
      <c r="IW197" t="str">
        <f t="shared" si="534"/>
        <v/>
      </c>
      <c r="IX197" t="str" cm="1">
        <f t="array" ref="IX197">IF(IM197="","",_xlfn.LET(_xlpm.nd,_xlfn.TEXTSPLIT(IM197,"|"),IF(COLUMNS(_xlpm.nd)&gt;6,A197&amp;"¦"&amp;INDEX(_xlpm.nd,6)&amp;"¦"&amp;INDEX(_xlpm.nd,7),"")))</f>
        <v/>
      </c>
      <c r="IY197" t="str">
        <f t="shared" si="535"/>
        <v/>
      </c>
      <c r="IZ197" t="str">
        <f t="shared" si="536"/>
        <v/>
      </c>
      <c r="JA197" t="str">
        <f t="shared" si="537"/>
        <v>QFD13</v>
      </c>
      <c r="JB197">
        <f t="shared" si="538"/>
        <v>0</v>
      </c>
      <c r="JC197">
        <f t="shared" si="539"/>
        <v>1</v>
      </c>
      <c r="JD197" t="str">
        <f t="shared" si="540"/>
        <v/>
      </c>
      <c r="JE197" t="str">
        <f t="shared" si="541"/>
        <v/>
      </c>
      <c r="JF197" t="str">
        <f t="shared" si="542"/>
        <v/>
      </c>
      <c r="JG197" t="str">
        <f t="shared" si="543"/>
        <v/>
      </c>
      <c r="JH197" t="str">
        <f>IF(B197="","",IFERROR(_xlfn.XLOOKUP(B197,Коды_код,Коды_уго),IFERROR(_xlfn.XLOOKUP(BC197,Коды_код,Коды_уго),IFERROR(_xlfn.XLOOKUP(LEFT(BC197,2),Коды_код,Коды_уго),""))))</f>
        <v>Розетка</v>
      </c>
      <c r="JI197" t="str">
        <f>IF(B197="","",IF(OR(JH197="",JH197=0),"BOX",IFERROR(IF(VLOOKUP(JH197,УГО_блоки,3,FALSE)&amp;""&lt;&gt;"",VLOOKUP(JH197,УГО_блоки,3,FALSE),VLOOKUP(JH197,УГО_блоки,2,FALSE)),JH197)))</f>
        <v>SOCKET</v>
      </c>
      <c r="JJ197">
        <f t="shared" si="544"/>
        <v>1</v>
      </c>
      <c r="JK197" t="str">
        <f>IF(DQ197="","",IF(COUNTIF(DQ$3:DQ197,DQ197)=1,MAX(JK$2:JK196)+1,""))</f>
        <v/>
      </c>
      <c r="JL197" t="str">
        <f>IF(DE197="","",IF(COUNTIF(DE$3:DE197,DE197)+COUNTIF(DF$2:DF196,DE197)+COUNTIF(DG$2:DG196,DE197)=1,MAX(JL$2:JN196)+1,""))</f>
        <v/>
      </c>
      <c r="JM197" t="str">
        <f>IF(DF197="","",IF(COUNTIF(DE$3:DE197,DF197)+COUNTIF(DF$3:DF197,DF197)+COUNTIF(DG$2:DG196,DF197)=1,MAX(JL$2:JN196,JL197)+1,""))</f>
        <v/>
      </c>
      <c r="JN197" t="str">
        <f>IF(DG197="","",IF(COUNTIF(DE$3:DE197,DG197)+COUNTIF(DF$3:DF197,DG197)+COUNTIF(DG$3:DG197,DG197)=1,MAX(JL$2:JN196,JL197,JM197)+1,""))</f>
        <v/>
      </c>
      <c r="JO197" t="str">
        <f t="shared" si="545"/>
        <v>3х2,5</v>
      </c>
      <c r="JP197" t="str">
        <f>IF(JO197="","",IF(COUNTIF(JO$3:JO197,JO197)=1,MAX(JP$2:JP196)+1,""))</f>
        <v/>
      </c>
      <c r="JQ197" t="str">
        <f>IF(HG197="","",COUNTIF(HG$3:HG197,"?*"))</f>
        <v/>
      </c>
      <c r="JR197" t="str">
        <f>IF(OR(HG197="",HI197=""),"",IF(COUNTIFS(HG$3:HG197,"?*",HI$3:HI197,HI197)=1,MAX(JR$2:JR196)+1,""))</f>
        <v/>
      </c>
      <c r="JS197">
        <f t="shared" si="546"/>
        <v>0</v>
      </c>
      <c r="JT197">
        <f>IF(B197="","",COUNTIF(B$3:B197,"?*"))</f>
        <v>195</v>
      </c>
      <c r="JU197">
        <f>IF(HL197&lt;&gt;1,0,_xlfn.LET(_xlpm.k,MAX(IFERROR(--_xlfn.XLOOKUP(B197,Коды_код,Коды_3L),0),IFERROR(--_xlfn.XLOOKUP(BC197,Коды_код,Коды_3L),0),IFERROR(--_xlfn.XLOOKUP(LEFT(BC197,2),Коды_код,Коды_3L),0)),IF(_xlpm.k&gt;0,_xlpm.k,IF(IFERROR(--LEFT(SUBSTITUTE(JO197,"x","х"),FIND("х",SUBSTITUTE(JO197,"x","х"))-1),3)&gt;3,Каталог!$S$9,1))))</f>
        <v>1</v>
      </c>
      <c r="JV197">
        <f t="shared" si="547"/>
        <v>0</v>
      </c>
      <c r="JW197" t="str">
        <f t="shared" si="548"/>
        <v>авто</v>
      </c>
      <c r="JX197">
        <f t="shared" si="549"/>
        <v>30</v>
      </c>
      <c r="JY197">
        <f t="shared" si="550"/>
        <v>1</v>
      </c>
      <c r="JZ197">
        <f t="shared" si="551"/>
        <v>1</v>
      </c>
    </row>
    <row r="198" spans="1:286" x14ac:dyDescent="0.3">
      <c r="A198" t="s">
        <v>755</v>
      </c>
      <c r="B198" t="s">
        <v>1505</v>
      </c>
      <c r="C198" t="str">
        <f>Линии[[#This Row],[_авто наименование]]</f>
        <v>Розеточная группа, пом. 007A</v>
      </c>
      <c r="D198">
        <v>2</v>
      </c>
      <c r="E198">
        <v>0.12</v>
      </c>
      <c r="G198" t="str">
        <f>Линии[[#This Row],[_авто автомат]]</f>
        <v>2P С16А 30мА</v>
      </c>
      <c r="H198" t="str">
        <f>Линии[[#This Row],[_авто управление]]</f>
        <v/>
      </c>
      <c r="I198" t="str">
        <f>Линии[[#This Row],[_авто аппараты]]</f>
        <v/>
      </c>
      <c r="J198">
        <v>2.5</v>
      </c>
      <c r="K198">
        <v>20</v>
      </c>
      <c r="L198">
        <v>2</v>
      </c>
      <c r="M198" t="s">
        <v>484</v>
      </c>
      <c r="N198" t="str">
        <f t="shared" si="414"/>
        <v/>
      </c>
      <c r="O198" s="6" cm="1">
        <f t="array" ref="O198">IF(B198="","",IF(BH198&lt;&gt;"",IFERROR(_xlfn.XLOOKUP(BH198,Щиты[Щит],Щиты[Iр, А]),""),IF(BP198=1,IF(OR(N(_xlfn.XLOOKUP(A198,Щиты[Щит],Щиты[Вводов],1))&lt;=1,LOWER(TRIM(_xlfn.XLOOKUP(A198,Щиты[Щит],Щиты[АВР],"")&amp;""))="да"),IFERROR(_xlfn.XLOOKUP(A198,Щиты[Щит],Щиты[Iр, А]),""),IFERROR(N(BS198)*_xlfn.XLOOKUP(A198,Щиты[Щит],Щиты[Кс итог])/(SQRT(3)*Uн_лин*_xlfn.XLOOKUP(A198,Щиты[Щит],Щиты[cos φ])),"")),IF(BV198=1,IFERROR(BS198*1000/BU198,""),IFERROR(_xlfn.IFS(BX198=1,BS198/((Uн_лин/SQRT(3))*CE198),BX198=3,BS198/(SQRT(3)*Uн_лин*CE198)),"")))))</f>
        <v>0.54696341291648753</v>
      </c>
      <c r="P198" s="7">
        <f>IF(B198="","",IFERROR(IF(VLOOKUP(BC198,Потребители_обозначение,4,FALSE)=1,VLOOKUP(BC198,Потребители_обозначение,3,FALSE)*(MAX(1,N(D198))*2-1)+EI198+VLOOKUP(BE198,Этаж_обозначение,3,FALSE)+VLOOKUP(BE198,Этаж_обозначение,4,FALSE),VLOOKUP(BC198,Потребители_обозначение,3,FALSE)*(MAX(1,N(D198))*2-1)+EI198),EI198))</f>
        <v>29</v>
      </c>
      <c r="Q198" s="6">
        <f t="shared" si="415"/>
        <v>0.55000000000000004</v>
      </c>
      <c r="R198" t="str">
        <f t="shared" si="416"/>
        <v>ВВГнг(А)-LS (3х2,5)</v>
      </c>
      <c r="S198" t="str">
        <f>IF(BM198="","",IF(BN198="вводной узел","узел ","")&amp;"л."&amp;(INT((BM198-1)/Столбцов_на_лист)+1)&amp;" / "&amp;(MOD(BM198-1,Столбцов_на_лист)+1))</f>
        <v>л.2 / 7</v>
      </c>
      <c r="T198" s="119">
        <f t="shared" si="417"/>
        <v>0.5</v>
      </c>
      <c r="U198" s="7" t="str">
        <f>IF(OR(CG198=0,N(BV198)+N(IB198)=0),"",ROUNDUP(Запас_БП*(N(HY198)+N(HZ198)),0))</f>
        <v/>
      </c>
      <c r="V198" s="119" t="str">
        <f t="shared" si="418"/>
        <v/>
      </c>
      <c r="W198" s="7" t="str">
        <f>IFERROR(IF(OR(B198="",BP198=1,BV198=1,NOT(ISNUMBER(EN198)),N(DT198)=0),"",MAX(0,ROUNDDOWN((c_min*(Uн_лин*1000/SQRT(3))/(HT198*N(DT198))-_xlfn.XLOOKUP(A198,Щиты[Щит],Щиты[Zпетли на шинах, Ом]))*EN198/(2*ρкз_Cu),0))),"")</f>
        <v/>
      </c>
      <c r="Y198">
        <f>Линии[[#This Row],[_авто утечка]]</f>
        <v>30</v>
      </c>
      <c r="Z198">
        <v>1</v>
      </c>
      <c r="AA198">
        <v>230</v>
      </c>
      <c r="AB198" t="s">
        <v>562</v>
      </c>
      <c r="AG198" t="s">
        <v>810</v>
      </c>
      <c r="AI198" t="s">
        <v>561</v>
      </c>
      <c r="AK198" t="str">
        <f>Линии[[#This Row],[_авто модуль]]</f>
        <v/>
      </c>
      <c r="AM198">
        <v>24</v>
      </c>
      <c r="AN198" t="s">
        <v>11</v>
      </c>
      <c r="AO198">
        <v>3</v>
      </c>
      <c r="AQ198">
        <v>7</v>
      </c>
      <c r="AR198">
        <v>22</v>
      </c>
      <c r="AS198">
        <v>0</v>
      </c>
      <c r="BA198" cm="1">
        <f t="array" ref="BA198">ROW()-ROW(Линии[#Headers])</f>
        <v>196</v>
      </c>
      <c r="BC198" s="6" t="str">
        <f t="shared" si="419"/>
        <v>R</v>
      </c>
      <c r="BD198" t="str">
        <f t="shared" si="420"/>
        <v>0.007A.1</v>
      </c>
      <c r="BE198" t="str">
        <f t="shared" si="421"/>
        <v>0</v>
      </c>
      <c r="BF198" t="str">
        <f t="shared" si="422"/>
        <v>007A.1</v>
      </c>
      <c r="BG198" t="str">
        <f t="shared" si="423"/>
        <v>007A</v>
      </c>
      <c r="BH198" t="str">
        <f>IF(X198&lt;&gt;"",X198,IF(AND(B198&lt;&gt;"",B198&lt;&gt;A198,ISNUMBER(_xlfn.XMATCH(B198,Щиты[Щит]))),B198,""))</f>
        <v/>
      </c>
      <c r="BI198" t="str" cm="1">
        <f t="array" ref="BI198">IF(B198="","",IF(BH198&lt;&gt;"","Щит "&amp;BH198,_xlfn.LET(_xlpm.nm,IFERROR(_xlfn.XLOOKUP(BC198,Коды_код,Коды_имя)&amp;"",""),_xlpm.md,IFERROR(N(_xlfn.XLOOKUP(BC198,Коды_код,Коды_режим)),1),_xlpm.ex,IF(Имя_режим="по экспликации",IFERROR(_xlfn.XLOOKUP(BE198&amp;"|"&amp;BG198,Экспликация[Этаж]&amp;"|"&amp;Экспликация[Помещение],Экспликация[Название])&amp;"",""),""),_xlpm.rm,IF(BG198="","",IF(_xlpm.ex&lt;&gt;"",". "&amp;_xlpm.ex&amp;IF(Имя_пом="нет"," ("&amp;BG198&amp;")"," (пом. "&amp;BG198&amp;")"),IF(Имя_пом="нет"," ",", пом. ")&amp;BG198)),IF(_xlpm.nm="","",IF(_xlpm.md=2,_xlpm.nm&amp;" шлейф "&amp;BE198,_xlpm.nm&amp;_xlpm.rm)))))</f>
        <v>Розеточная группа, пом. 007A</v>
      </c>
      <c r="BJ198" t="str">
        <f t="shared" si="424"/>
        <v>Розеточная группа, пом. 007A</v>
      </c>
      <c r="BK198">
        <f>IFERROR(_xlfn.XMATCH(A198,Щиты[Щит]),0)</f>
        <v>9</v>
      </c>
      <c r="BL198">
        <f>_xlfn.LET(_xlpm.k,IFERROR(_xlfn.XLOOKUP(A198,Щиты[Щит],Щиты[Мест под вводной узел]),""),IF(_xlpm.k="",Столбцов_на_лист,N(_xlpm.k)))</f>
        <v>8</v>
      </c>
      <c r="BM198">
        <f t="shared" si="425"/>
        <v>24</v>
      </c>
      <c r="BN198" t="str">
        <f t="shared" si="426"/>
        <v>линии</v>
      </c>
      <c r="BO198" s="6">
        <f>IFERROR(N(_xlfn.XLOOKUP(BC198,Коды_код,Коды_квт)),0)</f>
        <v>0</v>
      </c>
      <c r="BP198">
        <f t="shared" si="427"/>
        <v>0</v>
      </c>
      <c r="BQ198" t="str">
        <f>IF(B198="","",IF(BH198&lt;&gt;"",IFERROR(_xlfn.XLOOKUP(BH198,Щиты[Щит],Щиты[Руст, кВт]),0),IF(BP198=1,IF(OR(N(_xlfn.XLOOKUP(A198,Щиты[Щит],Щиты[Вводов],1))&lt;=1,LOWER(TRIM(_xlfn.XLOOKUP(A198,Щиты[Щит],Щиты[АВР],"")&amp;""))="да"),IFERROR(_xlfn.XLOOKUP(A198,Щиты[Щит],Щиты[Руст, кВт]),0),SUMIFS(Линии[_Р для вводов],Линии[Щит],A198,Линии[Источник для режимов],GF198)),IF(BO198&gt;0,ROUND(BO198*MAX(1,N(D198)),3),""))))</f>
        <v/>
      </c>
      <c r="BR198">
        <f t="shared" si="428"/>
        <v>0.12</v>
      </c>
      <c r="BS198" s="6">
        <f>IF(B198="","",IF(BH198&lt;&gt;"",IFERROR(_xlfn.XLOOKUP(BH198,Щиты[Щит],Щиты[Руст, кВт]),0),N(BR198)))</f>
        <v>0.12</v>
      </c>
      <c r="BT198" t="str">
        <f>IF(B198="","",IFERROR(IF(VLOOKUP(BC198,Потребители_обозначение,8,FALSE)=0,"",VLOOKUP(BC198,Потребители_обозначение,8,FALSE)),""))</f>
        <v/>
      </c>
      <c r="BU198">
        <f t="shared" si="429"/>
        <v>230</v>
      </c>
      <c r="BV198">
        <f t="shared" si="430"/>
        <v>0</v>
      </c>
      <c r="BW198">
        <f>IF(B198="","",IF(BH198&lt;&gt;"",3,IFERROR(IF(N(VLOOKUP(BC198,Потребители_обозначение,9,FALSE))=0,1,VLOOKUP(BC198,Потребители_обозначение,9,FALSE)),1)))</f>
        <v>1</v>
      </c>
      <c r="BX198">
        <f t="shared" si="431"/>
        <v>1</v>
      </c>
      <c r="BY198" t="str">
        <f>IF(B198="","",_xlfn.LET(_xlpm.bc,IFERROR(IF(VLOOKUP(BC198,Потребители_обозначение,6,FALSE)=0,"",VLOOKUP(BC198,Потребители_обозначение,6,FALSE)&amp;""),""),IF(AND(GA198="да",OR(_xlpm.bc="",_xlpm.bc="мс")),Марка_пож,IF(AND(_xlpm.bc="",BH198&lt;&gt;""),"мс",_xlpm.bc))))</f>
        <v/>
      </c>
      <c r="BZ198" t="str">
        <f t="shared" si="432"/>
        <v>мс</v>
      </c>
      <c r="CA198">
        <f>IF(B198="","",_xlfn.LET(_xlpm.cc,IFERROR(N(VLOOKUP(BC198,Потребители_обозначение,7,FALSE)),0),IF(_xlpm.cc&gt;0,_xlpm.cc,IF(BZ198="","",IF(BV198=1,2,IF(N(BX198)=3,5,3))))))</f>
        <v>3</v>
      </c>
      <c r="CB198">
        <f t="shared" si="433"/>
        <v>3</v>
      </c>
      <c r="CC198">
        <f>IFERROR(N(VLOOKUP(BC198,Потребители_обозначение,10,FALSE)),0)</f>
        <v>0</v>
      </c>
      <c r="CD198">
        <f>IFERROR(VLOOKUP(BC198,Потребители_обозначение,5,FALSE),0)</f>
        <v>1</v>
      </c>
      <c r="CE198" s="6" cm="1">
        <f t="array" ref="CE198">IF(B198="","",IF(BH198&lt;&gt;"",IFERROR(_xlfn.XLOOKUP(BH198,Щиты[Щит],Щиты[cos φ]),0.95),IF(BP198=1,IFERROR(_xlfn.XLOOKUP(A198,Щиты[Щит],Щиты[cos φ]),0.95),IF(ISNUMBER(AD198),AD198,IFERROR(IF(CD198=2,_xlfn.IFS(BX198=3,VLOOKUP(BS198,Справочная_двигатели,8,FALSE),BX198=1,VLOOKUP(BS198,Справочная_двигатели,10,TRUE)),IF(AND(Методика="нормы 2026",FG198="Сил"),0.8,0.95)),0.95)))))</f>
        <v>0.95</v>
      </c>
      <c r="CF198">
        <f t="shared" si="434"/>
        <v>0</v>
      </c>
      <c r="CG198">
        <f t="shared" si="435"/>
        <v>1</v>
      </c>
      <c r="CH198">
        <f t="shared" si="436"/>
        <v>0</v>
      </c>
      <c r="CI198">
        <f>IF(B198="","",IF(BV198=1,IFERROR(BS198/((Uн_лин/SQRT(3))*MAX(0.5,N(CE198))),0),N(O198)))</f>
        <v>0.54696341291648753</v>
      </c>
      <c r="CJ198">
        <f t="shared" si="437"/>
        <v>0</v>
      </c>
      <c r="CK198">
        <f t="shared" si="438"/>
        <v>0</v>
      </c>
      <c r="CL198">
        <f t="shared" si="439"/>
        <v>0</v>
      </c>
      <c r="CM198">
        <f t="shared" si="440"/>
        <v>0</v>
      </c>
      <c r="CN198">
        <f t="shared" si="441"/>
        <v>0</v>
      </c>
      <c r="CO198">
        <f>IF(BC198="",0,_xlfn.LET(_xlpm.v,IFERROR(_xlfn.XLOOKUP(B198,Коды_код,Коды_мА),IFERROR(_xlfn.XLOOKUP(BC198,Коды_код,Коды_мА),IFERROR(_xlfn.XLOOKUP(LEFT(BC198,2),Коды_код,Коды_мА),""))),IF(_xlpm.v="да",30,IF(ISNUMBER(_xlpm.v),_xlpm.v,0))))</f>
        <v>30</v>
      </c>
      <c r="CP198">
        <f t="shared" si="442"/>
        <v>30</v>
      </c>
      <c r="CQ198" t="str">
        <f>_xlfn.LET(_xlpm.k,IFERROR(_xlfn.XLOOKUP(BC198,Коды_код,Коды_утечка)&amp;"",""),IF(_xlpm.k="","дифавтомат",_xlpm.k))</f>
        <v>дифавтомат</v>
      </c>
      <c r="CR198" t="str" cm="1">
        <f t="array" ref="CR198">IF(CG198=0,"",_xlfn.LET(_xlpm.sg,TRIM(_xlfn.TEXTSPLIT(DD198&amp;"",";")),_xlpm.f_,_xlfn._xlws.FILTER(_xlpm.sg,LEFT(_xlpm.sg,3)="УЗО",""),IFERROR(INDEX(_xlpm.f_,1)&amp;"","")))</f>
        <v/>
      </c>
      <c r="CS198" t="str">
        <f t="shared" si="443"/>
        <v/>
      </c>
      <c r="CT198" s="6" t="str" cm="1">
        <f t="array" ref="CT198">IF(CR198="","",_xlfn.LET(_xlpm.tk,_xlfn.TEXTSPLIT(UPPER(CR198)," ",,TRUE),_xlpm.a_,_xlfn._xlws.FILTER(_xlpm.tk,ISNUMBER(--LEFT(_xlpm.tk,1))*((ISNUMBER(SEARCH("А",_xlpm.tk))+ISNUMBER(SEARCH("A",_xlpm.tk)))&gt;0)*NOT(ISNUMBER(SEARCH("МА",_xlpm.tk)))*NOT(ISNUMBER(SEARCH("MA",_xlpm.tk))),""),IFERROR(--SUBSTITUTE(SUBSTITUTE(INDEX(_xlpm.a_,1),"А",""),"A",""),"")))</f>
        <v/>
      </c>
      <c r="CU198" t="str" cm="1">
        <f t="array" ref="CU198">IF(CR198="","",_xlfn.LET(_xlpm.tk,_xlfn.TEXTSPLIT(UPPER(CR198)," ",,TRUE),_xlpm.a_,_xlfn._xlws.FILTER(_xlpm.tk,ISNUMBER(--LEFT(_xlpm.tk,1))*((ISNUMBER(SEARCH("МА",_xlpm.tk))+ISNUMBER(SEARCH("MA",_xlpm.tk)))&gt;0),""),IFERROR(--SUBSTITUTE(SUBSTITUTE(INDEX(_xlpm.a_,1),"МА",""),"MA",""),30)))</f>
        <v/>
      </c>
      <c r="CV198" t="str">
        <f>IF(CS198="","",IFERROR(_xlfn.XLOOKUP(CS198,Линии[_n],Линии[_УЗО, мА]),30))</f>
        <v/>
      </c>
      <c r="CW198">
        <f>IF(CS198="",0,IF(ISNUMBER(SEARCH("4P",IFERROR(_xlfn.XLOOKUP(CS198,Линии[_n],Линии[_УЗО строки])&amp;"",""))),0,1))</f>
        <v>0</v>
      </c>
      <c r="CX198" t="str">
        <f>IF(AND(CS198&lt;&gt;"",CS198=BA198),SUMIFS(Линии[_ток на 230 В],Линии[_блок УЗО],BA198,Линии[Щит],A198),"")</f>
        <v/>
      </c>
      <c r="CY198" t="str">
        <f>IF(AND(CS198&lt;&gt;"",CS198=BA198),SUMIFS(Линии[_ток утечки линии, мА],Линии[_блок УЗО],BA198,Линии[Щит],A198),"")</f>
        <v/>
      </c>
      <c r="CZ198">
        <f t="shared" si="444"/>
        <v>30</v>
      </c>
      <c r="DA198">
        <f t="shared" si="445"/>
        <v>30</v>
      </c>
      <c r="DB198">
        <f>IF(B198="",0,IFERROR(--_xlfn.XLOOKUP(B198,Коды_код,Коды_минавт),IFERROR(--_xlfn.XLOOKUP(BC198,Коды_код,Коды_минавт),IFERROR(--_xlfn.XLOOKUP(LEFT(BC198,2),Коды_код,Коды_минавт),0))))</f>
        <v>16</v>
      </c>
      <c r="DC198" t="str">
        <f>IF(B198="","",IFERROR(_xlfn.XLOOKUP(BC198,Коды_код,Коды_апп)&amp;"",""))</f>
        <v/>
      </c>
      <c r="DD198" t="str">
        <f t="shared" si="446"/>
        <v/>
      </c>
      <c r="DE198" t="str" cm="1">
        <f t="array" ref="DE198">IF(TRIM(DD198&amp;"")="","",IFERROR(TRIM(INDEX(_xlfn.TEXTSPLIT(DD198&amp;";;;",";"),1)),""))</f>
        <v/>
      </c>
      <c r="DF198" t="str" cm="1">
        <f t="array" ref="DF198">IF(TRIM(DD198&amp;"")="","",IFERROR(TRIM(INDEX(_xlfn.TEXTSPLIT(DD198&amp;";;;",";"),2)),""))</f>
        <v/>
      </c>
      <c r="DG198" t="str" cm="1">
        <f t="array" ref="DG198">IF(TRIM(DD198&amp;"")="","",IFERROR(TRIM(INDEX(_xlfn.TEXTSPLIT(DD198&amp;";;;",";"),3)),""))</f>
        <v/>
      </c>
      <c r="DH198">
        <f t="shared" si="447"/>
        <v>0</v>
      </c>
      <c r="DI198" t="str">
        <f>IF(B198="","",_xlfn.LET(_xlpm.t,LOWER(AZ198&amp;""),IF(ISNUMBER(SEARCH("dim",_xlpm.t)),"DIM",IF(ISNUMBER(SEARCH("dali",_xlpm.t)),"DALI",IF(OR(ISNUMBER(SEARCH("relay",_xlpm.t)),ISNUMBER(SEARCH("реле",_xlpm.t))),"Relay",IF(ISNUMBER(SEARCH("кнопк",_xlpm.t)),"",IFERROR(_xlfn.XLOOKUP(BC198,Коды_код,Коды_упр)&amp;"","")))))))</f>
        <v/>
      </c>
      <c r="DJ198" t="str">
        <f t="shared" si="448"/>
        <v/>
      </c>
      <c r="DK198">
        <f>IF(B198="","",_xlfn.LET(_xlpm.ig,IF(N(CX198)&gt;0,N(CX198),N(CI198)+IF(AJ198="вручную",0,N(CJ198))),_xlpm.n0,IFERROR(VLOOKUP(_xlpm.ig,Автомат_номиналы,2,TRUE),0),_xlpm.mn,MAX(DB198,IF(AJ198="вручную",0,N(CM198))),MAX(_xlpm.n0,_xlpm.mn,IF(DH198=1,Мин_автомат_БП,0))))</f>
        <v>16</v>
      </c>
      <c r="DL198">
        <f t="shared" si="449"/>
        <v>1</v>
      </c>
      <c r="DM198" t="str">
        <f t="shared" si="450"/>
        <v>2P</v>
      </c>
      <c r="DN198" t="str">
        <f>_xlfn.LET(_xlpm.cc,UPPER(TRIM(IFERROR(_xlfn.XLOOKUP(BC198,Коды_код,Коды_хар)&amp;"",""))),IF(OR(_xlpm.cc="B",_xlpm.cc="В"),"B",IF(_xlpm.cc="D","D","С")))</f>
        <v>С</v>
      </c>
      <c r="DO198" t="str">
        <f t="shared" si="451"/>
        <v>2P С16А 30мА</v>
      </c>
      <c r="DP198" t="str">
        <f t="shared" si="452"/>
        <v>2P С16А 30мА</v>
      </c>
      <c r="DQ198" t="str">
        <f t="shared" si="453"/>
        <v>2P С16А 30мА</v>
      </c>
      <c r="DR198" cm="1">
        <f t="array" ref="DR198">IF(DQ198="","",_xlfn.LET(_xlpm.t,SUBSTITUTE(SUBSTITUTE(SUBSTITUTE(UPPER(DQ198),"С","C"),"А","A"),"В","B"),_xlpm.tk,_xlfn.TEXTSPLIT(_xlpm.t," "),_xlpm.f,_xlfn._xlws.FILTER(_xlpm.tk,ISNUMBER(--MID(_xlpm.tk,2,1))*ISNUMBER(SEARCH(LEFT(_xlpm.tk,1)&amp;"#","B#C#D#"))*(LEN(_xlpm.tk)&gt;1),""),_xlpm.x,INDEX(_xlpm.f,1),IFERROR(--SUBSTITUTE(MID(_xlpm.x,2,9),"A",""),IFERROR(--SUBSTITUTE(INDEX(_xlfn._xlws.FILTER(_xlpm.tk,ISNUMBER(--SUBSTITUTE(_xlpm.tk,"A","")),""),1),"A",""),""))))</f>
        <v>16</v>
      </c>
      <c r="DS198" t="str">
        <f t="shared" si="454"/>
        <v>ok</v>
      </c>
      <c r="DT198">
        <f t="shared" si="455"/>
        <v>16</v>
      </c>
      <c r="DU198" t="str">
        <f t="shared" si="456"/>
        <v>2P С16А 30мА</v>
      </c>
      <c r="DV198">
        <f t="shared" si="457"/>
        <v>30</v>
      </c>
      <c r="DW198">
        <f t="shared" si="458"/>
        <v>1</v>
      </c>
      <c r="DX198">
        <f t="shared" si="459"/>
        <v>0</v>
      </c>
      <c r="DY198">
        <f t="shared" si="460"/>
        <v>0.54696341291648753</v>
      </c>
      <c r="DZ198">
        <f t="shared" si="461"/>
        <v>1</v>
      </c>
      <c r="EA198">
        <f>IF(ISNUMBER(AP198),AP198,К_прокл)</f>
        <v>1</v>
      </c>
      <c r="EB198">
        <f t="shared" si="462"/>
        <v>2</v>
      </c>
      <c r="EC198">
        <f>IFERROR(N(VLOOKUP(BZ198,Кабель_обозначение,3,FALSE)),1)</f>
        <v>1</v>
      </c>
      <c r="ED198">
        <f>IFERROR(N(_xlfn.XLOOKUP(A198,Щиты[Щит],Щиты[ΔU до шин, %])),0)</f>
        <v>0.43</v>
      </c>
      <c r="EE198" t="str">
        <f>IFERROR(_xlfn.XLOOKUP(A198,Щиты[Щит],Щиты[Zпетли на шинах, Ом]),"")</f>
        <v/>
      </c>
      <c r="EF198">
        <f>IFERROR(N(_xlfn.XLOOKUP(A198,Щиты[Щит],Щиты[ΔU до шин (подбор), %])),0)</f>
        <v>0.43</v>
      </c>
      <c r="EG198" t="str">
        <f>IFERROR(_xlfn.XLOOKUP(A198,Щиты[Щит],Щиты[Zпетли на шинах (подбор), Ом]),"")</f>
        <v/>
      </c>
      <c r="EH198" t="str">
        <f t="shared" si="463"/>
        <v/>
      </c>
      <c r="EI198">
        <f t="shared" si="464"/>
        <v>20</v>
      </c>
      <c r="EJ198">
        <f t="shared" si="465"/>
        <v>2</v>
      </c>
      <c r="EK198">
        <f t="shared" si="466"/>
        <v>0.31</v>
      </c>
      <c r="EL198" s="6">
        <f>IF(B198="","",IF(BV198=1,dU_LED,IF(IFERROR(_xlfn.XLOOKUP(BC198,Коды_код,Коды_уго),"")="Светильник",3,4)+IF(Методика="нормы 2026",MIN(0.5,MAX(0,N(P198)-100)*0.005),0)))</f>
        <v>4</v>
      </c>
      <c r="EM198" cm="1">
        <f t="array" ref="EM198">IF(OR(B198="",BZ198="",EC198&lt;&gt;1),"",_xlfn.LET(_xlpm.sz,Iдоп_S,_xlpm.t_,CHOOSE(EB198,Iдоп_1ж,Iдоп_2ж,Iдоп_3ж)*DZ198*EA198,_xlpm.dcx,BV198=1,_xlpm.inn,IF(_xlpm.dcx,N(O198),N(DT198)),_xlpm.smin,MAX(1.5,CC198),_xlpm.L_,N(P198)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198)/N(BU198)*100,999),IFERROR(N(EJ198)*(_xlpm.rho*_xlpm.L_/_xlpm.sz*N(CE198)+_xlpm.xx*_xlpm.L_*N(EK198)/1000)*N(O198)/((Uн_лин/SQRT(3))*1000)*100,999)),_xlpm.kz,IF(OR(_xlpm.dcx,DW198=1,NOT(ISNUMBER(EG198)),_xlpm.L_=0,_xlpm.inn=0),1,IFERROR(--(c_min*(Uн_лин*1000/SQRT(3))/(EG198+2*ρкз_Cu*_xlpm.L_/_xlpm.sz)&gt;=HT198*_xlpm.inn),0)),_xlpm.ok,IFERROR((_xlpm.sz&gt;=_xlpm.smin)*(_xlpm.t_&gt;=_xlpm.inn)*IF(_xlpm.L_&gt;0,(_xlpm.du_+IF(_xlpm.dcx,0,EF198)&lt;=EL198+0.00001),1)*_xlpm.kz,0),_xlpm.r_,_xlfn._xlws.FILTER(_xlpm.sz,_xlpm.ok,"не подобрано"),INDEX(_xlpm.r_,1)))</f>
        <v>1.5</v>
      </c>
      <c r="EN198">
        <f t="shared" si="467"/>
        <v>2.5</v>
      </c>
      <c r="EO198" cm="1">
        <f t="array" ref="EO198">IF(OR(B198="",BZ198="",EC198&lt;&gt;1),"",_xlfn.LET(_xlpm.sz,Iдоп_S,_xlpm.t_,CHOOSE(EB198,Iдоп_1ж,Iдоп_2ж,Iдоп_3ж)*DZ198*EA198,_xlpm.ok,IFERROR((_xlpm.sz&gt;=MAX(1.5,CC198))*(_xlpm.t_&gt;=N(DT198)),0),_xlpm.r_,_xlfn._xlws.FILTER(_xlpm.sz,_xlpm.ok,""),INDEX(_xlpm.r_,1)))</f>
        <v>1.5</v>
      </c>
      <c r="EP198" s="6" cm="1">
        <f t="array" ref="EP198">IFERROR(ROUNDUP(N(EJ198)*(_xlfn.XLOOKUP(EO198,INDEX(Кабель_сопротивление,0,1),INDEX(Кабель_сопротивление,0,3))*N(P198)/EO198*N(CE198)+_xlfn.XLOOKUP(EO198,INDEX(Кабель_сопротивление,0,1),INDEX(Кабель_сопротивление,0,2))*N(P198)*N(EK198)/1000)*N(O198)/((Uн_лин/SQRT(3))*1000)*100,2),"")</f>
        <v>0.2</v>
      </c>
      <c r="EQ198">
        <f>IFERROR(2*ρкз_Cu*N(P198)/EO198,"")</f>
        <v>1.0169333333333335</v>
      </c>
      <c r="ER198">
        <f>IFERROR(VLOOKUP(EN198,Кабель_сопротивление,3,FALSE),"")</f>
        <v>2.2499999999999999E-2</v>
      </c>
      <c r="ES198">
        <f>IFERROR(VLOOKUP(EN198,Кабель_сопротивление,2,FALSE),"")</f>
        <v>0.1</v>
      </c>
      <c r="ET198">
        <f t="shared" si="468"/>
        <v>22</v>
      </c>
      <c r="EU198">
        <f t="shared" si="469"/>
        <v>0</v>
      </c>
      <c r="EV198">
        <f t="shared" si="470"/>
        <v>0.27222259668171001</v>
      </c>
      <c r="EW198" s="6">
        <f>IFERROR(ROUNDUP(EV198/IF(BV198=1,BU198,(Uн_лин/SQRT(3))*1000)*100,2),"")</f>
        <v>0.12</v>
      </c>
      <c r="EX198" t="str">
        <f>IFERROR(VLOOKUP(BZ198,Кабель_обозначение,2,FALSE),"")</f>
        <v>ВВГнг(А)-LS</v>
      </c>
      <c r="EY198" t="str">
        <f t="shared" si="471"/>
        <v>ВВГнг(А)-LS (3х2,5)</v>
      </c>
      <c r="EZ198" t="str">
        <f t="shared" si="472"/>
        <v>ВВГнг(А)-LS (3х2,5)
L=29-0,12%</v>
      </c>
      <c r="FA198">
        <f>IFERROR(2*ρкз_Cu*P198/EN198,"")</f>
        <v>0.61016000000000004</v>
      </c>
      <c r="FB198">
        <f t="shared" si="473"/>
        <v>0.20300000000000001</v>
      </c>
      <c r="FC198" s="6" t="str">
        <f>IFERROR(IF(OR(B198="",BV198=1,NOT(ISNUMBER(EN198)),N(P198)=0),"",_xlfn.XLOOKUP(A198,Щиты[Щит],Щиты[Zпетли на шинах, Ом])+FA198),"")</f>
        <v/>
      </c>
      <c r="FD198" s="6" t="str">
        <f>IF(ISNUMBER(FC198),c_min*(Uн_лин*1000/SQRT(3))/FC198,"")</f>
        <v/>
      </c>
      <c r="FE198" s="6" t="str">
        <f>IFERROR(IF(OR(B198="",NOT(ISNUMBER(EN198))),"",1.05*(Uн_лин*1000/SQRT(3))/(_xlfn.XLOOKUP(A198,Щиты[Щит],Щиты[Zmax на шинах, Ом])+FB198)/1000),"")</f>
        <v/>
      </c>
      <c r="FF198" s="6" t="str">
        <f>IF(B198="","",IF(ISNUMBER(AC198),"Сил",IF(IFERROR(_xlfn.XLOOKUP(BC198,Коды_код,Коды_группа)&amp;"","")="","Быт",_xlfn.XLOOKUP(BC198,Коды_код,Коды_группа)&amp;"")))</f>
        <v>Быт</v>
      </c>
      <c r="FG198" s="6" t="str">
        <f t="shared" si="474"/>
        <v>Быт</v>
      </c>
      <c r="FH198" s="6">
        <f>IF(FG198="Щит","щит",IF(FG198="","",IF(FG198="Быт",IFERROR(_xlfn.XLOOKUP(A198,Щиты[Щит],Щиты[Кс быт]),1),IF(FG198="Сил",IF(ISNUMBER(AC198),AC198,IF(Методика="нормы 2026",IFERROR(_xlfn.XLOOKUP(A198,Щиты[Щит],Щиты[Кс силовых (табл. 7.5)]),1),1)),IF(OR(FG198="Пост",FG198="Отоп"),1,IF(FG198="ВНГ",0.7,0))))))</f>
        <v>0.79799999999999993</v>
      </c>
      <c r="FI198">
        <f>IF(FG198="","",IF(AND(BP198=1,TRIM(AE198&amp;"")=""),IF(COUNTIFS(Линии[Щит],A198,Линии[Секция (1/2/3)],"&gt;=2")&gt;0,MIN(3,MAX(1,IFERROR(--BD198,1))),1),IFERROR(MIN(3,MAX(1,INT(--AE198))),1)))</f>
        <v>1</v>
      </c>
      <c r="FJ198">
        <f t="shared" si="475"/>
        <v>0.12</v>
      </c>
      <c r="FK198">
        <f t="shared" si="476"/>
        <v>0.12</v>
      </c>
      <c r="FL198">
        <f t="shared" si="477"/>
        <v>0</v>
      </c>
      <c r="FM198">
        <f t="shared" si="478"/>
        <v>0</v>
      </c>
      <c r="FN198">
        <f t="shared" si="479"/>
        <v>0</v>
      </c>
      <c r="FO198">
        <f t="shared" si="480"/>
        <v>0</v>
      </c>
      <c r="FP198">
        <f t="shared" si="481"/>
        <v>0.12</v>
      </c>
      <c r="FQ198">
        <f t="shared" si="482"/>
        <v>0.12</v>
      </c>
      <c r="FR198">
        <f t="shared" si="483"/>
        <v>0.11399999999999999</v>
      </c>
      <c r="FS198">
        <f>IF(CG198=1,IF(AND(CH198=1,CW198=1),0,IF(AND(CS198&lt;&gt;"",CS198=BA198,CW198=1),SUMIFS(Линии[_Р линии, кВт],Линии[_блок УЗО],BA198,Линии[Щит],A198),N(BS198)+IF(AJ198="вручную",0,N(CK198)))),0)</f>
        <v>0.12</v>
      </c>
      <c r="FT198" t="str">
        <f t="shared" si="484"/>
        <v>L2</v>
      </c>
      <c r="FU198" t="str">
        <f>IF(B198="","",IF(CG198=0,IF(BA198=1,"",FW197),IF(AND(CH198=1,CW198=1,CS198&lt;&gt;""),IFERROR(_xlfn.XLOOKUP(CS198,Линии[_n],Линии[_фаза итог]),"L1"),IF(OR(N(DL198)&gt;=3,N(BX198)&gt;=3),"L1,L2,L3",IFERROR(_xlfn.TEXTBEFORE(_xlfn.TEXTAFTER(_xlfn.XLOOKUP(A198,Щиты[Щит],Щиты[_фазы авто]),";"&amp;BA198&amp;":"),";"),"L1")))))</f>
        <v>L1</v>
      </c>
      <c r="FV198" t="str">
        <f t="shared" si="485"/>
        <v>L2</v>
      </c>
      <c r="FW198" t="str">
        <f t="shared" si="486"/>
        <v>L2</v>
      </c>
      <c r="FX198" cm="1">
        <f t="array" ref="FX198">IFERROR(IF(CD198=2,_xlfn.IFS(BX198=3,VLOOKUP(BS198,Справочная_двигатели,3,FALSE),BX198=1,VLOOKUP(BS198,Справочная_двигатели,5,TRUE)),0),0)</f>
        <v>0</v>
      </c>
      <c r="FY198">
        <f>IFERROR(IF(CD198=3,VLOOKUP(BS198,Справочная_ЛЭД,2,TRUE),0),0)</f>
        <v>0</v>
      </c>
      <c r="FZ198" s="6">
        <f t="shared" si="487"/>
        <v>0</v>
      </c>
      <c r="GA198" t="str">
        <f>IF(B198="","",IF(TRIM(AH198&amp;"")&lt;&gt;"",IF(LOWER(TRIM(AH198&amp;""))="да","да","нет"),IF(IFERROR(_xlfn.XLOOKUP(BC198,Коды_код,Коды_пожарная),"")="да","да","нет")))</f>
        <v>нет</v>
      </c>
      <c r="GB198" t="str">
        <f t="shared" si="488"/>
        <v/>
      </c>
      <c r="GC198" t="str">
        <f t="shared" si="489"/>
        <v>основная</v>
      </c>
      <c r="GD198">
        <f>IF(AND(BP198=1,TRIM(AE198&amp;"")=""),IF(COUNTIFS(Линии[Щит],A198,Линии[Секция (1/2/3)],"&gt;=2")&gt;0,MIN(3,MAX(1,IFERROR(--BD198,1))),1),IFERROR(MIN(3,MAX(1,INT(--AE198))),1))</f>
        <v>1</v>
      </c>
      <c r="GE198" t="str" cm="1">
        <f t="array" ref="GE198">IF(B198="","",_xlfn.LET(_xlpm.t,IFERROR(_xlfn.XLOOKUP(1,(Шины[Шина]=GC198)*(((Шины[Щит]=A198)+(Шины[Щит]=""))&gt;0),Шины[Тип]),"")&amp;"",IF(_xlpm.t&lt;&gt;"",_xlpm.t,IF(ISNUMBER(SEARCH("ИБП",GC198)),"ИБП",IF(ISNUMBER(SEARCH("ДГУ",GC198)),"ДГУ","Ввод "&amp;GD198)))))</f>
        <v>Ввод 1</v>
      </c>
      <c r="GF198" t="str">
        <f t="shared" si="490"/>
        <v>Ввод 1</v>
      </c>
      <c r="GG198" t="str">
        <f>IF(BP198=0,"",IF(TRIM(AG198&amp;"")&lt;&gt;"",TRIM(AG198&amp;""),IF(OR(GE198="ИБП",GE198="ДГУ"),"I особая",_xlfn.XLOOKUP(A198,Щиты[Щит],Щиты[Категория шины «Ввод»],"III"))))</f>
        <v/>
      </c>
      <c r="GH198" t="str">
        <f>IF(A198="","",_xlfn.XLOOKUP(A198,Щиты[Щит],Щиты[Путь],""))</f>
        <v>|ГРЩ-ЖД|ЩР-01|</v>
      </c>
      <c r="GI198" t="str">
        <f>IF(B198="","",IF(AI198&lt;&gt;"",AI198,IF(IFERROR(_xlfn.XLOOKUP(BC198,Коды_код,Коды_вид)&amp;"","")="","Прочее",_xlfn.XLOOKUP(BC198,Коды_код,Коды_вид)&amp;"")))</f>
        <v>Розеточная сеть и бытовые приборы</v>
      </c>
      <c r="GJ198">
        <f>IF(BM198="","",INT((BM198-1)/Столбцов_на_лист)+1)</f>
        <v>2</v>
      </c>
      <c r="GK198" t="str">
        <f t="shared" si="491"/>
        <v>ВВГнг(А)-LS (3х2,5) L=29-0,12%</v>
      </c>
      <c r="GL198">
        <f t="shared" si="492"/>
        <v>0.12</v>
      </c>
      <c r="GM198">
        <f t="shared" si="493"/>
        <v>0.55000000000000004</v>
      </c>
      <c r="GN198">
        <f t="shared" si="494"/>
        <v>1</v>
      </c>
      <c r="GO198">
        <f t="shared" si="495"/>
        <v>0</v>
      </c>
      <c r="GP198">
        <f t="shared" si="496"/>
        <v>1</v>
      </c>
      <c r="GQ198">
        <f>IF(BM198="","",IF(AND(CG198=1,GP198=1),COUNTIFS(A$3:A198,A198,CG$3:CG198,1,GP$3:GP198,1),IF(OR(OR(BA198=1,A198&lt;&gt;A197),AJ198="вручную",GP198=0),"",IF(BA198=1,"",GR197))))</f>
        <v>14</v>
      </c>
      <c r="GR198">
        <f t="shared" si="497"/>
        <v>14</v>
      </c>
      <c r="GS198">
        <f>IF(B198="","",IFERROR(LOOKUP(INDEX(CHOOSE(EB198,Iдоп_1ж,Iдоп_2ж,Iдоп_3ж),MATCH(EN198,Iдоп_S,0))*DZ198*EA198,{6,10,16,20,25,32,40,50,63,80,100,125,160,200,250,315,400,500,630}),""))</f>
        <v>25</v>
      </c>
      <c r="GT198" t="str">
        <f t="shared" si="498"/>
        <v>QFD14</v>
      </c>
      <c r="GU198" t="str">
        <f t="shared" si="499"/>
        <v>QFD14</v>
      </c>
      <c r="GV198" t="str">
        <f t="shared" si="500"/>
        <v/>
      </c>
      <c r="GW198">
        <f t="shared" si="501"/>
        <v>0</v>
      </c>
      <c r="GX198" t="str">
        <f>IF(OR(B198="",DJ198=""),"",IFERROR(_xlfn.XLOOKUP(DJ198,Модули_умолч[Управление],Модули_умолч[Модель])&amp;"",""))</f>
        <v/>
      </c>
      <c r="GY198">
        <f>IF(DJ198="",1,IFERROR(MAX(0,N(_xlfn.XLOOKUP(DJ198,Модули_умолч[Управление],Модули_умолч[Каналов на линию]))),1))</f>
        <v>1</v>
      </c>
      <c r="GZ198" t="str">
        <f t="shared" si="502"/>
        <v/>
      </c>
      <c r="HA198" t="str">
        <f t="shared" si="503"/>
        <v/>
      </c>
      <c r="HB198" t="str">
        <f t="shared" si="504"/>
        <v/>
      </c>
      <c r="HC198">
        <f>IF(HB198="",0,IFERROR(N(VLOOKUP(HB198,Модули_спр,3,FALSE)),0))</f>
        <v>0</v>
      </c>
      <c r="HD198" t="str">
        <f t="shared" si="505"/>
        <v/>
      </c>
      <c r="HE198" t="str">
        <f t="shared" si="506"/>
        <v/>
      </c>
      <c r="HF198" t="str">
        <f>IF(OR(HE198="",HE198="-"),"",IFERROR(VLOOKUP(HE198,Модули_спр,2,FALSE),"R"))</f>
        <v/>
      </c>
      <c r="HG198" t="str">
        <f>IF(HF198="","",HF198&amp;"."&amp;COUNTIFS(A$3:A198,A198,HF$3:HF198,HF198))</f>
        <v/>
      </c>
      <c r="HH198" t="str">
        <f t="shared" si="507"/>
        <v/>
      </c>
      <c r="HI198" t="str">
        <f t="shared" si="508"/>
        <v/>
      </c>
      <c r="HJ198" t="str">
        <f t="shared" si="509"/>
        <v/>
      </c>
      <c r="HK198" t="str">
        <f t="shared" si="510"/>
        <v/>
      </c>
      <c r="HL198">
        <f t="shared" si="511"/>
        <v>1</v>
      </c>
      <c r="HM198" t="str">
        <f>IF(HL198=1,"XT"&amp;COUNTIFS(A$3:A198,A198,HL$3:HL198,1),"")</f>
        <v>XT14</v>
      </c>
      <c r="HN198" t="str">
        <f t="shared" si="512"/>
        <v/>
      </c>
      <c r="HO198" t="str">
        <f t="shared" si="513"/>
        <v>QFD14</v>
      </c>
      <c r="HP198" t="str">
        <f t="shared" si="514"/>
        <v/>
      </c>
      <c r="HQ198" t="str">
        <f t="shared" si="515"/>
        <v>ok</v>
      </c>
      <c r="HR198" t="str">
        <f>IF(OR(HJ198="",HH198=""),"",IF(HJ198+MAX(0,GY198-1)&gt;IFERROR(VLOOKUP(HI198,Модули_спр,3,FALSE),99),"ЛИШНИЙ КАНАЛ",IF(AND(AL198&lt;&gt;"=",GY198&gt;0,COUNTIFS(Линии[_модуль гр.],HH198,Линии[Канал (итог)],HJ198,Линии[Канал],"&lt;&gt;=",Линии[Щит],A198)&gt;1),"ДУБЛЬ КАНАЛА","")))</f>
        <v/>
      </c>
      <c r="HS198" s="6" t="str">
        <f t="shared" si="516"/>
        <v/>
      </c>
      <c r="HT198">
        <f t="shared" si="517"/>
        <v>10</v>
      </c>
      <c r="HU198" t="str">
        <f t="shared" si="518"/>
        <v/>
      </c>
      <c r="HV198">
        <f t="shared" si="519"/>
        <v>0.508785365166595</v>
      </c>
      <c r="HW198">
        <f t="shared" si="520"/>
        <v>0</v>
      </c>
      <c r="HX198">
        <f t="shared" si="521"/>
        <v>0</v>
      </c>
      <c r="HY198">
        <f t="shared" si="522"/>
        <v>0</v>
      </c>
      <c r="HZ198">
        <f t="shared" si="523"/>
        <v>0</v>
      </c>
      <c r="IA198">
        <f t="shared" si="524"/>
        <v>0</v>
      </c>
      <c r="IB198">
        <f t="shared" si="525"/>
        <v>0</v>
      </c>
      <c r="IC198" t="str">
        <f t="shared" si="526"/>
        <v/>
      </c>
      <c r="ID198" t="str" cm="1">
        <f t="array" ref="ID198">IF(IC198="","",_xlfn.LET(_xlpm.tk,_xlfn.TEXTSPLIT(SUBSTITUTE(SUBSTITUTE(IC198,";"," "),"→"," ")," ",,TRUE),_xlpm.w_,_xlfn._xlws.FILTER(_xlpm.tk,ISNUMBER(--LEFT(_xlpm.tk,1))*((ISNUMBER(SEARCH("W",_xlpm.tk))+ISNUMBER(SEARCH("Вт",_xlpm.tk)))&gt;0),""),IFERROR(--SUBSTITUTE(SUBSTITUTE(UPPER(INDEX(_xlpm.w_,1)),"W",""),"ВТ",""),"")))</f>
        <v/>
      </c>
      <c r="IE198" t="str" cm="1">
        <f t="array" ref="IE198">IF(IC198="","",_xlfn.LET(_xlpm.tk,_xlfn.TEXTSPLIT(SUBSTITUTE(SUBSTITUTE(IC198,";"," "),"→"," ")," ",,TRUE),_xlpm.v_,_xlfn._xlws.FILTER(_xlpm.tk,ISNUMBER(--LEFT(_xlpm.tk,1))*((ISNUMBER(SEARCH("V",_xlpm.tk))+(RIGHT(UPPER(_xlpm.tk))="В"))&gt;0),""),IFERROR(--SUBSTITUTE(SUBSTITUTE(UPPER(INDEX(_xlpm.v_,1)),"V",""),"В",""),"")))</f>
        <v/>
      </c>
      <c r="IF198" s="6" t="str">
        <f>IF(OR(BV198=0,HI198="",HJ198=""),"",IFERROR(N(_xlfn.XLOOKUP(HI198,Каталог!$C$4:$C$500,Каталог!$Q$4:$Q$500)),""))</f>
        <v/>
      </c>
      <c r="IG198" s="6" t="str">
        <f>IF(N(IF198)=0,"",SUMIFS(Линии[Iр, А],Линии[Щит],A198,Линии[_модуль гр.],HH198,Линии[Канал (итог)],HJ198))</f>
        <v/>
      </c>
      <c r="IH198" t="str">
        <f>IF(AND(B198="",HO198=""),"",_xlfn.TEXTJOIN("; ",TRUE,IF(AND(B198&lt;&gt;"",FV198=""),"нет фазы",""),IF(AND(B198&lt;&gt;"",N(GL198)=0,FG198&lt;&gt;"Нет"),"нет мощности",""),IF(AND(HN198&lt;&gt;"",COUNTIFS(Линии[Щит],A198,Линии[Клемма (итог)],HN198)&gt;1),"дубль клеммы "&amp;HN198,""),IF(AND(HQ198&lt;&gt;"",HQ198&lt;&gt;"ok"),HQ198,""),IF(HR198&lt;&gt;"",HR198,""),IF(AND(N(CB198)&gt;=4,N(BX198)=1),CB198&amp;" жил на 1 фазе",""),IF(AND(BC198="R",CG198=1,IF(CS198&lt;&gt;"",N(CV198)&gt;30,OR(N(DA198)=0,N(DA198)&gt;30))),"розетка без дифзащиты до 30 мА",""),IF(AND(CG198=1,N(DA198)&gt;0,ISNUMBER(T198)),IF(T198&gt;N(DA198)/3,"ток утечки "&amp;FIXED(T198,1)&amp;" мА &gt; 1/3 уставки ("&amp;DA198&amp;" мА)",""),""),IF(AND(CH198=1,CS198=""),"«узо»: нет строки с УЗО выше (УЗО 2P 40А 30мА в «Аппаратах»)",""),IF(AND(CS198&lt;&gt;"",CS198=BA198),IF(CT198="","впишите номинал УЗО (УЗО 2P 40А 30мА)",IF(N(CT198)&lt;N(DT198),"УЗО "&amp;CT198&amp;" А &lt; автомата "&amp;DT198&amp;" А перед ним",IF(N(CT198)&lt;N(CX198),"УЗО "&amp;CT198&amp;" А &lt; тока блока "&amp;FIXED(CX198,1)&amp;" А",""))),""),IF(AND(CS198&lt;&gt;"",CS198=BA198,ISNUMBER(CY198)),IF(CY198&gt;N(CV198)/3,"ток утечки блока УЗО "&amp;FIXED(CY198,1)&amp;" мА &gt; 1/3 уставки ("&amp;CV198&amp;" мА)",""),""),IF(AND(CG198=1,N(BV198)+N(IB198)&gt;0,IC198=""),"линии до 50 В без БП: впишите в «Аппараты» (БП 24V 480W)",""),IF(AND(CG198=1,ISNUMBER(ID198),ISNUMBER(U198)),IF(U198&gt;ID198,"БП "&amp;ID198&amp;" Вт &lt; нужно "&amp;U198&amp;" Вт (×"&amp;Запас_БП&amp;")",""),""),IF(AND(CG198=1,ISNUMBER(IE198),N(BV198)=1),IF(IE198&lt;&gt;N(BU198),"БП на "&amp;IE198&amp;" В, линия "&amp;BU198&amp;" В",""),""),IF(AND(N(IF198)&gt;0,N(IG198)&gt;N(IF198)),HH198&amp;" канал "&amp;HJ198&amp;": "&amp;FIXED(IG198,1)&amp;" А &gt; "&amp;IF198&amp;" А",""),IFERROR(IF(AND(ISNUMBER(Q198),Q198&gt;EL198),"потери "&amp;FIXED(Q198,1)&amp;" % &gt; "&amp;EL198&amp;" %",""),""),IFERROR(IF(LEFT(HU198,4)="мало","Iкз мало — отключение &gt; 0,4 с",""),""),IF(AND(B198&lt;&gt;"",BM198=""),"не на схеме",""),IF(AND(CG198=0,B198&lt;&gt;"",FV198&lt;&gt;"",IF(BA198=1,"",FW197)&lt;&gt;"",FV198&lt;&gt;IF(BA198=1,"",FW197)),"фаза не как у автомата группы ("&amp;IF(BA198=1,"",FW197)&amp;")","")))</f>
        <v/>
      </c>
      <c r="II198" s="6">
        <f>IF(OR(CG198=0,DQ198=""),"",_xlfn.LET(_xlpm.t,IFERROR(_xlfn.XLOOKUP(DQ198,Каталог!$U$4:$U$500,Каталог!$G$4:$G$500),""),_xlpm.k,SEARCH("кА",_xlpm.t),IFERROR(--TRIM(RIGHT(SUBSTITUTE(MID(_xlpm.t,MAX(1,_xlpm.k-4),_xlpm.k-MAX(1,_xlpm.k-4))," ",REPT(" ",9)),5)),"")))</f>
        <v>6</v>
      </c>
      <c r="IJ198" t="str">
        <f>IF(OR(II198="",CG198=0),"",IF(_xlfn.XLOOKUP(A198,Щиты[Щит],Щиты[Iкз max на шинах, кА],"")="","",IF(II198&lt;_xlfn.XLOOKUP(A198,Щиты[Щит],Щиты[Iкз max на шинах, кА]),"Icu "&amp;II198&amp;" кА &lt; Iкз max","ok")))</f>
        <v/>
      </c>
      <c r="IK198" t="str">
        <f t="shared" si="527"/>
        <v/>
      </c>
      <c r="IL198" t="str">
        <f t="shared" si="528"/>
        <v>QFD14</v>
      </c>
      <c r="IM198" t="str">
        <f t="shared" si="529"/>
        <v>QFD14|кабель ВВГнг(А)-LS (3х2,5) → Розеточная группа, пом. 007A</v>
      </c>
      <c r="IN198" t="str" cm="1">
        <f t="array" ref="IN198">IF(IM198="","",_xlfn.LET(_xlpm.nd,_xlfn.TEXTSPLIT(IM198,"|"),IF(COLUMNS(_xlpm.nd)&gt;1,A198&amp;"¦"&amp;INDEX(_xlpm.nd,1)&amp;"¦"&amp;INDEX(_xlpm.nd,2),"")))</f>
        <v>ЩР-01¦QFD14¦кабель ВВГнг(А)-LS (3х2,5) → Розеточная группа, пом. 007A</v>
      </c>
      <c r="IO198" t="str">
        <f t="shared" si="530"/>
        <v>R.0.007A.1¦Розеточная группа, пом. 007A</v>
      </c>
      <c r="IP198" t="str" cm="1">
        <f t="array" ref="IP198">IF(IM198="","",_xlfn.LET(_xlpm.nd,_xlfn.TEXTSPLIT(IM198,"|"),IF(COLUMNS(_xlpm.nd)&gt;2,A198&amp;"¦"&amp;INDEX(_xlpm.nd,2)&amp;"¦"&amp;INDEX(_xlpm.nd,3),"")))</f>
        <v/>
      </c>
      <c r="IQ198" t="str">
        <f t="shared" si="531"/>
        <v/>
      </c>
      <c r="IR198" t="str" cm="1">
        <f t="array" ref="IR198">IF(IM198="","",_xlfn.LET(_xlpm.nd,_xlfn.TEXTSPLIT(IM198,"|"),IF(COLUMNS(_xlpm.nd)&gt;3,A198&amp;"¦"&amp;INDEX(_xlpm.nd,3)&amp;"¦"&amp;INDEX(_xlpm.nd,4),"")))</f>
        <v/>
      </c>
      <c r="IS198" t="str">
        <f t="shared" si="532"/>
        <v/>
      </c>
      <c r="IT198" t="str" cm="1">
        <f t="array" ref="IT198">IF(IM198="","",_xlfn.LET(_xlpm.nd,_xlfn.TEXTSPLIT(IM198,"|"),IF(COLUMNS(_xlpm.nd)&gt;4,A198&amp;"¦"&amp;INDEX(_xlpm.nd,4)&amp;"¦"&amp;INDEX(_xlpm.nd,5),"")))</f>
        <v/>
      </c>
      <c r="IU198" t="str">
        <f t="shared" si="533"/>
        <v/>
      </c>
      <c r="IV198" t="str" cm="1">
        <f t="array" ref="IV198">IF(IM198="","",_xlfn.LET(_xlpm.nd,_xlfn.TEXTSPLIT(IM198,"|"),IF(COLUMNS(_xlpm.nd)&gt;5,A198&amp;"¦"&amp;INDEX(_xlpm.nd,5)&amp;"¦"&amp;INDEX(_xlpm.nd,6),"")))</f>
        <v/>
      </c>
      <c r="IW198" t="str">
        <f t="shared" si="534"/>
        <v/>
      </c>
      <c r="IX198" t="str" cm="1">
        <f t="array" ref="IX198">IF(IM198="","",_xlfn.LET(_xlpm.nd,_xlfn.TEXTSPLIT(IM198,"|"),IF(COLUMNS(_xlpm.nd)&gt;6,A198&amp;"¦"&amp;INDEX(_xlpm.nd,6)&amp;"¦"&amp;INDEX(_xlpm.nd,7),"")))</f>
        <v/>
      </c>
      <c r="IY198" t="str">
        <f t="shared" si="535"/>
        <v/>
      </c>
      <c r="IZ198" t="str">
        <f t="shared" si="536"/>
        <v/>
      </c>
      <c r="JA198" t="str">
        <f t="shared" si="537"/>
        <v>QFD14</v>
      </c>
      <c r="JB198">
        <f t="shared" si="538"/>
        <v>0</v>
      </c>
      <c r="JC198">
        <f t="shared" si="539"/>
        <v>1</v>
      </c>
      <c r="JD198" t="str">
        <f t="shared" si="540"/>
        <v/>
      </c>
      <c r="JE198" t="str">
        <f t="shared" si="541"/>
        <v/>
      </c>
      <c r="JF198" t="str">
        <f t="shared" si="542"/>
        <v/>
      </c>
      <c r="JG198" t="str">
        <f t="shared" si="543"/>
        <v/>
      </c>
      <c r="JH198" t="str">
        <f>IF(B198="","",IFERROR(_xlfn.XLOOKUP(B198,Коды_код,Коды_уго),IFERROR(_xlfn.XLOOKUP(BC198,Коды_код,Коды_уго),IFERROR(_xlfn.XLOOKUP(LEFT(BC198,2),Коды_код,Коды_уго),""))))</f>
        <v>Розетка</v>
      </c>
      <c r="JI198" t="str">
        <f>IF(B198="","",IF(OR(JH198="",JH198=0),"BOX",IFERROR(IF(VLOOKUP(JH198,УГО_блоки,3,FALSE)&amp;""&lt;&gt;"",VLOOKUP(JH198,УГО_блоки,3,FALSE),VLOOKUP(JH198,УГО_блоки,2,FALSE)),JH198)))</f>
        <v>SOCKET</v>
      </c>
      <c r="JJ198">
        <f t="shared" si="544"/>
        <v>1</v>
      </c>
      <c r="JK198" t="str">
        <f>IF(DQ198="","",IF(COUNTIF(DQ$3:DQ198,DQ198)=1,MAX(JK$2:JK197)+1,""))</f>
        <v/>
      </c>
      <c r="JL198" t="str">
        <f>IF(DE198="","",IF(COUNTIF(DE$3:DE198,DE198)+COUNTIF(DF$2:DF197,DE198)+COUNTIF(DG$2:DG197,DE198)=1,MAX(JL$2:JN197)+1,""))</f>
        <v/>
      </c>
      <c r="JM198" t="str">
        <f>IF(DF198="","",IF(COUNTIF(DE$3:DE198,DF198)+COUNTIF(DF$3:DF198,DF198)+COUNTIF(DG$2:DG197,DF198)=1,MAX(JL$2:JN197,JL198)+1,""))</f>
        <v/>
      </c>
      <c r="JN198" t="str">
        <f>IF(DG198="","",IF(COUNTIF(DE$3:DE198,DG198)+COUNTIF(DF$3:DF198,DG198)+COUNTIF(DG$3:DG198,DG198)=1,MAX(JL$2:JN197,JL198,JM198)+1,""))</f>
        <v/>
      </c>
      <c r="JO198" t="str">
        <f t="shared" si="545"/>
        <v>3х2,5</v>
      </c>
      <c r="JP198" t="str">
        <f>IF(JO198="","",IF(COUNTIF(JO$3:JO198,JO198)=1,MAX(JP$2:JP197)+1,""))</f>
        <v/>
      </c>
      <c r="JQ198" t="str">
        <f>IF(HG198="","",COUNTIF(HG$3:HG198,"?*"))</f>
        <v/>
      </c>
      <c r="JR198" t="str">
        <f>IF(OR(HG198="",HI198=""),"",IF(COUNTIFS(HG$3:HG198,"?*",HI$3:HI198,HI198)=1,MAX(JR$2:JR197)+1,""))</f>
        <v/>
      </c>
      <c r="JS198">
        <f t="shared" si="546"/>
        <v>0</v>
      </c>
      <c r="JT198">
        <f>IF(B198="","",COUNTIF(B$3:B198,"?*"))</f>
        <v>196</v>
      </c>
      <c r="JU198">
        <f>IF(HL198&lt;&gt;1,0,_xlfn.LET(_xlpm.k,MAX(IFERROR(--_xlfn.XLOOKUP(B198,Коды_код,Коды_3L),0),IFERROR(--_xlfn.XLOOKUP(BC198,Коды_код,Коды_3L),0),IFERROR(--_xlfn.XLOOKUP(LEFT(BC198,2),Коды_код,Коды_3L),0)),IF(_xlpm.k&gt;0,_xlpm.k,IF(IFERROR(--LEFT(SUBSTITUTE(JO198,"x","х"),FIND("х",SUBSTITUTE(JO198,"x","х"))-1),3)&gt;3,Каталог!$S$9,1))))</f>
        <v>1</v>
      </c>
      <c r="JV198">
        <f t="shared" si="547"/>
        <v>0</v>
      </c>
      <c r="JW198" t="str">
        <f t="shared" si="548"/>
        <v>авто</v>
      </c>
      <c r="JX198">
        <f t="shared" si="549"/>
        <v>30</v>
      </c>
      <c r="JY198">
        <f t="shared" si="550"/>
        <v>1</v>
      </c>
      <c r="JZ198">
        <f t="shared" si="551"/>
        <v>1</v>
      </c>
    </row>
    <row r="199" spans="1:286" x14ac:dyDescent="0.3">
      <c r="A199" t="s">
        <v>755</v>
      </c>
      <c r="B199" t="s">
        <v>1506</v>
      </c>
      <c r="C199" t="str">
        <f>Линии[[#This Row],[_авто наименование]]</f>
        <v>Розеточная группа, пом. 008A</v>
      </c>
      <c r="D199">
        <v>2</v>
      </c>
      <c r="E199">
        <v>0.12</v>
      </c>
      <c r="G199" t="str">
        <f>Линии[[#This Row],[_авто автомат]]</f>
        <v>2P С16А 30мА</v>
      </c>
      <c r="H199" t="str">
        <f>Линии[[#This Row],[_авто управление]]</f>
        <v/>
      </c>
      <c r="I199" t="str">
        <f>Линии[[#This Row],[_авто аппараты]]</f>
        <v/>
      </c>
      <c r="J199">
        <v>2.5</v>
      </c>
      <c r="K199">
        <v>53</v>
      </c>
      <c r="L199">
        <v>1</v>
      </c>
      <c r="M199" t="s">
        <v>484</v>
      </c>
      <c r="N199" t="str">
        <f t="shared" si="414"/>
        <v/>
      </c>
      <c r="O199" s="6" cm="1">
        <f t="array" ref="O199">IF(B199="","",IF(BH199&lt;&gt;"",IFERROR(_xlfn.XLOOKUP(BH199,Щиты[Щит],Щиты[Iр, А]),""),IF(BP199=1,IF(OR(N(_xlfn.XLOOKUP(A199,Щиты[Щит],Щиты[Вводов],1))&lt;=1,LOWER(TRIM(_xlfn.XLOOKUP(A199,Щиты[Щит],Щиты[АВР],"")&amp;""))="да"),IFERROR(_xlfn.XLOOKUP(A199,Щиты[Щит],Щиты[Iр, А]),""),IFERROR(N(BS199)*_xlfn.XLOOKUP(A199,Щиты[Щит],Щиты[Кс итог])/(SQRT(3)*Uн_лин*_xlfn.XLOOKUP(A199,Щиты[Щит],Щиты[cos φ])),"")),IF(BV199=1,IFERROR(BS199*1000/BU199,""),IFERROR(_xlfn.IFS(BX199=1,BS199/((Uн_лин/SQRT(3))*CE199),BX199=3,BS199/(SQRT(3)*Uн_лин*CE199)),"")))))</f>
        <v>0.54696341291648753</v>
      </c>
      <c r="P199" s="7">
        <f>IF(B199="","",IFERROR(IF(VLOOKUP(BC199,Потребители_обозначение,4,FALSE)=1,VLOOKUP(BC199,Потребители_обозначение,3,FALSE)*(MAX(1,N(D199))*2-1)+EI199+VLOOKUP(BE199,Этаж_обозначение,3,FALSE)+VLOOKUP(BE199,Этаж_обозначение,4,FALSE),VLOOKUP(BC199,Потребители_обозначение,3,FALSE)*(MAX(1,N(D199))*2-1)+EI199),EI199))</f>
        <v>62</v>
      </c>
      <c r="Q199" s="6">
        <f t="shared" si="415"/>
        <v>0.69</v>
      </c>
      <c r="R199" t="str">
        <f t="shared" si="416"/>
        <v>ВВГнг(А)-LS (3х2,5)</v>
      </c>
      <c r="S199" t="str">
        <f>IF(BM199="","",IF(BN199="вводной узел","узел ","")&amp;"л."&amp;(INT((BM199-1)/Столбцов_на_лист)+1)&amp;" / "&amp;(MOD(BM199-1,Столбцов_на_лист)+1))</f>
        <v>л.2 / 8</v>
      </c>
      <c r="T199" s="119">
        <f t="shared" si="417"/>
        <v>0.8</v>
      </c>
      <c r="U199" s="7" t="str">
        <f>IF(OR(CG199=0,N(BV199)+N(IB199)=0),"",ROUNDUP(Запас_БП*(N(HY199)+N(HZ199)),0))</f>
        <v/>
      </c>
      <c r="V199" s="119" t="str">
        <f t="shared" si="418"/>
        <v/>
      </c>
      <c r="W199" s="7" t="str">
        <f>IFERROR(IF(OR(B199="",BP199=1,BV199=1,NOT(ISNUMBER(EN199)),N(DT199)=0),"",MAX(0,ROUNDDOWN((c_min*(Uн_лин*1000/SQRT(3))/(HT199*N(DT199))-_xlfn.XLOOKUP(A199,Щиты[Щит],Щиты[Zпетли на шинах, Ом]))*EN199/(2*ρкз_Cu),0))),"")</f>
        <v/>
      </c>
      <c r="Y199">
        <f>Линии[[#This Row],[_авто утечка]]</f>
        <v>30</v>
      </c>
      <c r="Z199">
        <v>1</v>
      </c>
      <c r="AA199">
        <v>230</v>
      </c>
      <c r="AB199" t="s">
        <v>562</v>
      </c>
      <c r="AG199" t="s">
        <v>810</v>
      </c>
      <c r="AI199" t="s">
        <v>561</v>
      </c>
      <c r="AK199" t="str">
        <f>Линии[[#This Row],[_авто модуль]]</f>
        <v/>
      </c>
      <c r="AM199">
        <v>25</v>
      </c>
      <c r="AN199" t="s">
        <v>11</v>
      </c>
      <c r="AO199">
        <v>3</v>
      </c>
      <c r="AQ199">
        <v>47</v>
      </c>
      <c r="AR199">
        <v>10</v>
      </c>
      <c r="AS199">
        <v>5</v>
      </c>
      <c r="BA199" cm="1">
        <f t="array" ref="BA199">ROW()-ROW(Линии[#Headers])</f>
        <v>197</v>
      </c>
      <c r="BC199" s="6" t="str">
        <f t="shared" si="419"/>
        <v>R</v>
      </c>
      <c r="BD199" t="str">
        <f t="shared" si="420"/>
        <v>0.008A.1</v>
      </c>
      <c r="BE199" t="str">
        <f t="shared" si="421"/>
        <v>0</v>
      </c>
      <c r="BF199" t="str">
        <f t="shared" si="422"/>
        <v>008A.1</v>
      </c>
      <c r="BG199" t="str">
        <f t="shared" si="423"/>
        <v>008A</v>
      </c>
      <c r="BH199" t="str">
        <f>IF(X199&lt;&gt;"",X199,IF(AND(B199&lt;&gt;"",B199&lt;&gt;A199,ISNUMBER(_xlfn.XMATCH(B199,Щиты[Щит]))),B199,""))</f>
        <v/>
      </c>
      <c r="BI199" t="str" cm="1">
        <f t="array" ref="BI199">IF(B199="","",IF(BH199&lt;&gt;"","Щит "&amp;BH199,_xlfn.LET(_xlpm.nm,IFERROR(_xlfn.XLOOKUP(BC199,Коды_код,Коды_имя)&amp;"",""),_xlpm.md,IFERROR(N(_xlfn.XLOOKUP(BC199,Коды_код,Коды_режим)),1),_xlpm.ex,IF(Имя_режим="по экспликации",IFERROR(_xlfn.XLOOKUP(BE199&amp;"|"&amp;BG199,Экспликация[Этаж]&amp;"|"&amp;Экспликация[Помещение],Экспликация[Название])&amp;"",""),""),_xlpm.rm,IF(BG199="","",IF(_xlpm.ex&lt;&gt;"",". "&amp;_xlpm.ex&amp;IF(Имя_пом="нет"," ("&amp;BG199&amp;")"," (пом. "&amp;BG199&amp;")"),IF(Имя_пом="нет"," ",", пом. ")&amp;BG199)),IF(_xlpm.nm="","",IF(_xlpm.md=2,_xlpm.nm&amp;" шлейф "&amp;BE199,_xlpm.nm&amp;_xlpm.rm)))))</f>
        <v>Розеточная группа, пом. 008A</v>
      </c>
      <c r="BJ199" t="str">
        <f t="shared" si="424"/>
        <v>Розеточная группа, пом. 008A</v>
      </c>
      <c r="BK199">
        <f>IFERROR(_xlfn.XMATCH(A199,Щиты[Щит]),0)</f>
        <v>9</v>
      </c>
      <c r="BL199">
        <f>_xlfn.LET(_xlpm.k,IFERROR(_xlfn.XLOOKUP(A199,Щиты[Щит],Щиты[Мест под вводной узел]),""),IF(_xlpm.k="",Столбцов_на_лист,N(_xlpm.k)))</f>
        <v>8</v>
      </c>
      <c r="BM199">
        <f t="shared" si="425"/>
        <v>25</v>
      </c>
      <c r="BN199" t="str">
        <f t="shared" si="426"/>
        <v>линии</v>
      </c>
      <c r="BO199" s="6">
        <f>IFERROR(N(_xlfn.XLOOKUP(BC199,Коды_код,Коды_квт)),0)</f>
        <v>0</v>
      </c>
      <c r="BP199">
        <f t="shared" si="427"/>
        <v>0</v>
      </c>
      <c r="BQ199" t="str">
        <f>IF(B199="","",IF(BH199&lt;&gt;"",IFERROR(_xlfn.XLOOKUP(BH199,Щиты[Щит],Щиты[Руст, кВт]),0),IF(BP199=1,IF(OR(N(_xlfn.XLOOKUP(A199,Щиты[Щит],Щиты[Вводов],1))&lt;=1,LOWER(TRIM(_xlfn.XLOOKUP(A199,Щиты[Щит],Щиты[АВР],"")&amp;""))="да"),IFERROR(_xlfn.XLOOKUP(A199,Щиты[Щит],Щиты[Руст, кВт]),0),SUMIFS(Линии[_Р для вводов],Линии[Щит],A199,Линии[Источник для режимов],GF199)),IF(BO199&gt;0,ROUND(BO199*MAX(1,N(D199)),3),""))))</f>
        <v/>
      </c>
      <c r="BR199">
        <f t="shared" si="428"/>
        <v>0.12</v>
      </c>
      <c r="BS199" s="6">
        <f>IF(B199="","",IF(BH199&lt;&gt;"",IFERROR(_xlfn.XLOOKUP(BH199,Щиты[Щит],Щиты[Руст, кВт]),0),N(BR199)))</f>
        <v>0.12</v>
      </c>
      <c r="BT199" t="str">
        <f>IF(B199="","",IFERROR(IF(VLOOKUP(BC199,Потребители_обозначение,8,FALSE)=0,"",VLOOKUP(BC199,Потребители_обозначение,8,FALSE)),""))</f>
        <v/>
      </c>
      <c r="BU199">
        <f t="shared" si="429"/>
        <v>230</v>
      </c>
      <c r="BV199">
        <f t="shared" si="430"/>
        <v>0</v>
      </c>
      <c r="BW199">
        <f>IF(B199="","",IF(BH199&lt;&gt;"",3,IFERROR(IF(N(VLOOKUP(BC199,Потребители_обозначение,9,FALSE))=0,1,VLOOKUP(BC199,Потребители_обозначение,9,FALSE)),1)))</f>
        <v>1</v>
      </c>
      <c r="BX199">
        <f t="shared" si="431"/>
        <v>1</v>
      </c>
      <c r="BY199" t="str">
        <f>IF(B199="","",_xlfn.LET(_xlpm.bc,IFERROR(IF(VLOOKUP(BC199,Потребители_обозначение,6,FALSE)=0,"",VLOOKUP(BC199,Потребители_обозначение,6,FALSE)&amp;""),""),IF(AND(GA199="да",OR(_xlpm.bc="",_xlpm.bc="мс")),Марка_пож,IF(AND(_xlpm.bc="",BH199&lt;&gt;""),"мс",_xlpm.bc))))</f>
        <v/>
      </c>
      <c r="BZ199" t="str">
        <f t="shared" si="432"/>
        <v>мс</v>
      </c>
      <c r="CA199">
        <f>IF(B199="","",_xlfn.LET(_xlpm.cc,IFERROR(N(VLOOKUP(BC199,Потребители_обозначение,7,FALSE)),0),IF(_xlpm.cc&gt;0,_xlpm.cc,IF(BZ199="","",IF(BV199=1,2,IF(N(BX199)=3,5,3))))))</f>
        <v>3</v>
      </c>
      <c r="CB199">
        <f t="shared" si="433"/>
        <v>3</v>
      </c>
      <c r="CC199">
        <f>IFERROR(N(VLOOKUP(BC199,Потребители_обозначение,10,FALSE)),0)</f>
        <v>0</v>
      </c>
      <c r="CD199">
        <f>IFERROR(VLOOKUP(BC199,Потребители_обозначение,5,FALSE),0)</f>
        <v>1</v>
      </c>
      <c r="CE199" s="6" cm="1">
        <f t="array" ref="CE199">IF(B199="","",IF(BH199&lt;&gt;"",IFERROR(_xlfn.XLOOKUP(BH199,Щиты[Щит],Щиты[cos φ]),0.95),IF(BP199=1,IFERROR(_xlfn.XLOOKUP(A199,Щиты[Щит],Щиты[cos φ]),0.95),IF(ISNUMBER(AD199),AD199,IFERROR(IF(CD199=2,_xlfn.IFS(BX199=3,VLOOKUP(BS199,Справочная_двигатели,8,FALSE),BX199=1,VLOOKUP(BS199,Справочная_двигатели,10,TRUE)),IF(AND(Методика="нормы 2026",FG199="Сил"),0.8,0.95)),0.95)))))</f>
        <v>0.95</v>
      </c>
      <c r="CF199">
        <f t="shared" si="434"/>
        <v>0</v>
      </c>
      <c r="CG199">
        <f t="shared" si="435"/>
        <v>1</v>
      </c>
      <c r="CH199">
        <f t="shared" si="436"/>
        <v>0</v>
      </c>
      <c r="CI199">
        <f>IF(B199="","",IF(BV199=1,IFERROR(BS199/((Uн_лин/SQRT(3))*MAX(0.5,N(CE199))),0),N(O199)))</f>
        <v>0.54696341291648753</v>
      </c>
      <c r="CJ199">
        <f t="shared" si="437"/>
        <v>0</v>
      </c>
      <c r="CK199">
        <f t="shared" si="438"/>
        <v>0</v>
      </c>
      <c r="CL199">
        <f t="shared" si="439"/>
        <v>0</v>
      </c>
      <c r="CM199">
        <f t="shared" si="440"/>
        <v>0</v>
      </c>
      <c r="CN199">
        <f t="shared" si="441"/>
        <v>0</v>
      </c>
      <c r="CO199">
        <f>IF(BC199="",0,_xlfn.LET(_xlpm.v,IFERROR(_xlfn.XLOOKUP(B199,Коды_код,Коды_мА),IFERROR(_xlfn.XLOOKUP(BC199,Коды_код,Коды_мА),IFERROR(_xlfn.XLOOKUP(LEFT(BC199,2),Коды_код,Коды_мА),""))),IF(_xlpm.v="да",30,IF(ISNUMBER(_xlpm.v),_xlpm.v,0))))</f>
        <v>30</v>
      </c>
      <c r="CP199">
        <f t="shared" si="442"/>
        <v>30</v>
      </c>
      <c r="CQ199" t="str">
        <f>_xlfn.LET(_xlpm.k,IFERROR(_xlfn.XLOOKUP(BC199,Коды_код,Коды_утечка)&amp;"",""),IF(_xlpm.k="","дифавтомат",_xlpm.k))</f>
        <v>дифавтомат</v>
      </c>
      <c r="CR199" t="str" cm="1">
        <f t="array" ref="CR199">IF(CG199=0,"",_xlfn.LET(_xlpm.sg,TRIM(_xlfn.TEXTSPLIT(DD199&amp;"",";")),_xlpm.f_,_xlfn._xlws.FILTER(_xlpm.sg,LEFT(_xlpm.sg,3)="УЗО",""),IFERROR(INDEX(_xlpm.f_,1)&amp;"","")))</f>
        <v/>
      </c>
      <c r="CS199" t="str">
        <f t="shared" si="443"/>
        <v/>
      </c>
      <c r="CT199" s="6" t="str" cm="1">
        <f t="array" ref="CT199">IF(CR199="","",_xlfn.LET(_xlpm.tk,_xlfn.TEXTSPLIT(UPPER(CR199)," ",,TRUE),_xlpm.a_,_xlfn._xlws.FILTER(_xlpm.tk,ISNUMBER(--LEFT(_xlpm.tk,1))*((ISNUMBER(SEARCH("А",_xlpm.tk))+ISNUMBER(SEARCH("A",_xlpm.tk)))&gt;0)*NOT(ISNUMBER(SEARCH("МА",_xlpm.tk)))*NOT(ISNUMBER(SEARCH("MA",_xlpm.tk))),""),IFERROR(--SUBSTITUTE(SUBSTITUTE(INDEX(_xlpm.a_,1),"А",""),"A",""),"")))</f>
        <v/>
      </c>
      <c r="CU199" t="str" cm="1">
        <f t="array" ref="CU199">IF(CR199="","",_xlfn.LET(_xlpm.tk,_xlfn.TEXTSPLIT(UPPER(CR199)," ",,TRUE),_xlpm.a_,_xlfn._xlws.FILTER(_xlpm.tk,ISNUMBER(--LEFT(_xlpm.tk,1))*((ISNUMBER(SEARCH("МА",_xlpm.tk))+ISNUMBER(SEARCH("MA",_xlpm.tk)))&gt;0),""),IFERROR(--SUBSTITUTE(SUBSTITUTE(INDEX(_xlpm.a_,1),"МА",""),"MA",""),30)))</f>
        <v/>
      </c>
      <c r="CV199" t="str">
        <f>IF(CS199="","",IFERROR(_xlfn.XLOOKUP(CS199,Линии[_n],Линии[_УЗО, мА]),30))</f>
        <v/>
      </c>
      <c r="CW199">
        <f>IF(CS199="",0,IF(ISNUMBER(SEARCH("4P",IFERROR(_xlfn.XLOOKUP(CS199,Линии[_n],Линии[_УЗО строки])&amp;"",""))),0,1))</f>
        <v>0</v>
      </c>
      <c r="CX199" t="str">
        <f>IF(AND(CS199&lt;&gt;"",CS199=BA199),SUMIFS(Линии[_ток на 230 В],Линии[_блок УЗО],BA199,Линии[Щит],A199),"")</f>
        <v/>
      </c>
      <c r="CY199" t="str">
        <f>IF(AND(CS199&lt;&gt;"",CS199=BA199),SUMIFS(Линии[_ток утечки линии, мА],Линии[_блок УЗО],BA199,Линии[Щит],A199),"")</f>
        <v/>
      </c>
      <c r="CZ199">
        <f t="shared" si="444"/>
        <v>30</v>
      </c>
      <c r="DA199">
        <f t="shared" si="445"/>
        <v>30</v>
      </c>
      <c r="DB199">
        <f>IF(B199="",0,IFERROR(--_xlfn.XLOOKUP(B199,Коды_код,Коды_минавт),IFERROR(--_xlfn.XLOOKUP(BC199,Коды_код,Коды_минавт),IFERROR(--_xlfn.XLOOKUP(LEFT(BC199,2),Коды_код,Коды_минавт),0))))</f>
        <v>16</v>
      </c>
      <c r="DC199" t="str">
        <f>IF(B199="","",IFERROR(_xlfn.XLOOKUP(BC199,Коды_код,Коды_апп)&amp;"",""))</f>
        <v/>
      </c>
      <c r="DD199" t="str">
        <f t="shared" si="446"/>
        <v/>
      </c>
      <c r="DE199" t="str" cm="1">
        <f t="array" ref="DE199">IF(TRIM(DD199&amp;"")="","",IFERROR(TRIM(INDEX(_xlfn.TEXTSPLIT(DD199&amp;";;;",";"),1)),""))</f>
        <v/>
      </c>
      <c r="DF199" t="str" cm="1">
        <f t="array" ref="DF199">IF(TRIM(DD199&amp;"")="","",IFERROR(TRIM(INDEX(_xlfn.TEXTSPLIT(DD199&amp;";;;",";"),2)),""))</f>
        <v/>
      </c>
      <c r="DG199" t="str" cm="1">
        <f t="array" ref="DG199">IF(TRIM(DD199&amp;"")="","",IFERROR(TRIM(INDEX(_xlfn.TEXTSPLIT(DD199&amp;";;;",";"),3)),""))</f>
        <v/>
      </c>
      <c r="DH199">
        <f t="shared" si="447"/>
        <v>0</v>
      </c>
      <c r="DI199" t="str">
        <f>IF(B199="","",_xlfn.LET(_xlpm.t,LOWER(AZ199&amp;""),IF(ISNUMBER(SEARCH("dim",_xlpm.t)),"DIM",IF(ISNUMBER(SEARCH("dali",_xlpm.t)),"DALI",IF(OR(ISNUMBER(SEARCH("relay",_xlpm.t)),ISNUMBER(SEARCH("реле",_xlpm.t))),"Relay",IF(ISNUMBER(SEARCH("кнопк",_xlpm.t)),"",IFERROR(_xlfn.XLOOKUP(BC199,Коды_код,Коды_упр)&amp;"","")))))))</f>
        <v/>
      </c>
      <c r="DJ199" t="str">
        <f t="shared" si="448"/>
        <v/>
      </c>
      <c r="DK199">
        <f>IF(B199="","",_xlfn.LET(_xlpm.ig,IF(N(CX199)&gt;0,N(CX199),N(CI199)+IF(AJ199="вручную",0,N(CJ199))),_xlpm.n0,IFERROR(VLOOKUP(_xlpm.ig,Автомат_номиналы,2,TRUE),0),_xlpm.mn,MAX(DB199,IF(AJ199="вручную",0,N(CM199))),MAX(_xlpm.n0,_xlpm.mn,IF(DH199=1,Мин_автомат_БП,0))))</f>
        <v>16</v>
      </c>
      <c r="DL199">
        <f t="shared" si="449"/>
        <v>1</v>
      </c>
      <c r="DM199" t="str">
        <f t="shared" si="450"/>
        <v>2P</v>
      </c>
      <c r="DN199" t="str">
        <f>_xlfn.LET(_xlpm.cc,UPPER(TRIM(IFERROR(_xlfn.XLOOKUP(BC199,Коды_код,Коды_хар)&amp;"",""))),IF(OR(_xlpm.cc="B",_xlpm.cc="В"),"B",IF(_xlpm.cc="D","D","С")))</f>
        <v>С</v>
      </c>
      <c r="DO199" t="str">
        <f t="shared" si="451"/>
        <v>2P С16А 30мА</v>
      </c>
      <c r="DP199" t="str">
        <f t="shared" si="452"/>
        <v>2P С16А 30мА</v>
      </c>
      <c r="DQ199" t="str">
        <f t="shared" si="453"/>
        <v>2P С16А 30мА</v>
      </c>
      <c r="DR199" cm="1">
        <f t="array" ref="DR199">IF(DQ199="","",_xlfn.LET(_xlpm.t,SUBSTITUTE(SUBSTITUTE(SUBSTITUTE(UPPER(DQ199),"С","C"),"А","A"),"В","B"),_xlpm.tk,_xlfn.TEXTSPLIT(_xlpm.t," "),_xlpm.f,_xlfn._xlws.FILTER(_xlpm.tk,ISNUMBER(--MID(_xlpm.tk,2,1))*ISNUMBER(SEARCH(LEFT(_xlpm.tk,1)&amp;"#","B#C#D#"))*(LEN(_xlpm.tk)&gt;1),""),_xlpm.x,INDEX(_xlpm.f,1),IFERROR(--SUBSTITUTE(MID(_xlpm.x,2,9),"A",""),IFERROR(--SUBSTITUTE(INDEX(_xlfn._xlws.FILTER(_xlpm.tk,ISNUMBER(--SUBSTITUTE(_xlpm.tk,"A","")),""),1),"A",""),""))))</f>
        <v>16</v>
      </c>
      <c r="DS199" t="str">
        <f t="shared" si="454"/>
        <v>ok</v>
      </c>
      <c r="DT199">
        <f t="shared" si="455"/>
        <v>16</v>
      </c>
      <c r="DU199" t="str">
        <f t="shared" si="456"/>
        <v>2P С16А 30мА</v>
      </c>
      <c r="DV199">
        <f t="shared" si="457"/>
        <v>30</v>
      </c>
      <c r="DW199">
        <f t="shared" si="458"/>
        <v>1</v>
      </c>
      <c r="DX199">
        <f t="shared" si="459"/>
        <v>0</v>
      </c>
      <c r="DY199">
        <f t="shared" si="460"/>
        <v>0.54696341291648753</v>
      </c>
      <c r="DZ199">
        <f t="shared" si="461"/>
        <v>1</v>
      </c>
      <c r="EA199">
        <f>IF(ISNUMBER(AP199),AP199,К_прокл)</f>
        <v>1</v>
      </c>
      <c r="EB199">
        <f t="shared" si="462"/>
        <v>2</v>
      </c>
      <c r="EC199">
        <f>IFERROR(N(VLOOKUP(BZ199,Кабель_обозначение,3,FALSE)),1)</f>
        <v>1</v>
      </c>
      <c r="ED199">
        <f>IFERROR(N(_xlfn.XLOOKUP(A199,Щиты[Щит],Щиты[ΔU до шин, %])),0)</f>
        <v>0.43</v>
      </c>
      <c r="EE199" t="str">
        <f>IFERROR(_xlfn.XLOOKUP(A199,Щиты[Щит],Щиты[Zпетли на шинах, Ом]),"")</f>
        <v/>
      </c>
      <c r="EF199">
        <f>IFERROR(N(_xlfn.XLOOKUP(A199,Щиты[Щит],Щиты[ΔU до шин (подбор), %])),0)</f>
        <v>0.43</v>
      </c>
      <c r="EG199" t="str">
        <f>IFERROR(_xlfn.XLOOKUP(A199,Щиты[Щит],Щиты[Zпетли на шинах (подбор), Ом]),"")</f>
        <v/>
      </c>
      <c r="EH199" t="str">
        <f t="shared" si="463"/>
        <v/>
      </c>
      <c r="EI199">
        <f t="shared" si="464"/>
        <v>53</v>
      </c>
      <c r="EJ199">
        <f t="shared" si="465"/>
        <v>2</v>
      </c>
      <c r="EK199">
        <f t="shared" si="466"/>
        <v>0.31</v>
      </c>
      <c r="EL199" s="6">
        <f>IF(B199="","",IF(BV199=1,dU_LED,IF(IFERROR(_xlfn.XLOOKUP(BC199,Коды_код,Коды_уго),"")="Светильник",3,4)+IF(Методика="нормы 2026",MIN(0.5,MAX(0,N(P199)-100)*0.005),0)))</f>
        <v>4</v>
      </c>
      <c r="EM199" cm="1">
        <f t="array" ref="EM199">IF(OR(B199="",BZ199="",EC199&lt;&gt;1),"",_xlfn.LET(_xlpm.sz,Iдоп_S,_xlpm.t_,CHOOSE(EB199,Iдоп_1ж,Iдоп_2ж,Iдоп_3ж)*DZ199*EA199,_xlpm.dcx,BV199=1,_xlpm.inn,IF(_xlpm.dcx,N(O199),N(DT199)),_xlpm.smin,MAX(1.5,CC199),_xlpm.L_,N(P199)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199)/N(BU199)*100,999),IFERROR(N(EJ199)*(_xlpm.rho*_xlpm.L_/_xlpm.sz*N(CE199)+_xlpm.xx*_xlpm.L_*N(EK199)/1000)*N(O199)/((Uн_лин/SQRT(3))*1000)*100,999)),_xlpm.kz,IF(OR(_xlpm.dcx,DW199=1,NOT(ISNUMBER(EG199)),_xlpm.L_=0,_xlpm.inn=0),1,IFERROR(--(c_min*(Uн_лин*1000/SQRT(3))/(EG199+2*ρкз_Cu*_xlpm.L_/_xlpm.sz)&gt;=HT199*_xlpm.inn),0)),_xlpm.ok,IFERROR((_xlpm.sz&gt;=_xlpm.smin)*(_xlpm.t_&gt;=_xlpm.inn)*IF(_xlpm.L_&gt;0,(_xlpm.du_+IF(_xlpm.dcx,0,EF199)&lt;=EL199+0.00001),1)*_xlpm.kz,0),_xlpm.r_,_xlfn._xlws.FILTER(_xlpm.sz,_xlpm.ok,"не подобрано"),INDEX(_xlpm.r_,1)))</f>
        <v>1.5</v>
      </c>
      <c r="EN199">
        <f t="shared" si="467"/>
        <v>2.5</v>
      </c>
      <c r="EO199" cm="1">
        <f t="array" ref="EO199">IF(OR(B199="",BZ199="",EC199&lt;&gt;1),"",_xlfn.LET(_xlpm.sz,Iдоп_S,_xlpm.t_,CHOOSE(EB199,Iдоп_1ж,Iдоп_2ж,Iдоп_3ж)*DZ199*EA199,_xlpm.ok,IFERROR((_xlpm.sz&gt;=MAX(1.5,CC199))*(_xlpm.t_&gt;=N(DT199)),0),_xlpm.r_,_xlfn._xlws.FILTER(_xlpm.sz,_xlpm.ok,""),INDEX(_xlpm.r_,1)))</f>
        <v>1.5</v>
      </c>
      <c r="EP199" s="6" cm="1">
        <f t="array" ref="EP199">IFERROR(ROUNDUP(N(EJ199)*(_xlfn.XLOOKUP(EO199,INDEX(Кабель_сопротивление,0,1),INDEX(Кабель_сопротивление,0,3))*N(P199)/EO199*N(CE199)+_xlfn.XLOOKUP(EO199,INDEX(Кабель_сопротивление,0,1),INDEX(Кабель_сопротивление,0,2))*N(P199)*N(EK199)/1000)*N(O199)/((Uн_лин/SQRT(3))*1000)*100,2),"")</f>
        <v>0.42</v>
      </c>
      <c r="EQ199">
        <f>IFERROR(2*ρкз_Cu*N(P199)/EO199,"")</f>
        <v>2.1741333333333333</v>
      </c>
      <c r="ER199">
        <f>IFERROR(VLOOKUP(EN199,Кабель_сопротивление,3,FALSE),"")</f>
        <v>2.2499999999999999E-2</v>
      </c>
      <c r="ES199">
        <f>IFERROR(VLOOKUP(EN199,Кабель_сопротивление,2,FALSE),"")</f>
        <v>0.1</v>
      </c>
      <c r="ET199">
        <f t="shared" si="468"/>
        <v>10</v>
      </c>
      <c r="EU199">
        <f t="shared" si="469"/>
        <v>5</v>
      </c>
      <c r="EV199">
        <f t="shared" si="470"/>
        <v>0.58199313773331107</v>
      </c>
      <c r="EW199" s="6">
        <f>IFERROR(ROUNDUP(EV199/IF(BV199=1,BU199,(Uн_лин/SQRT(3))*1000)*100,2),"")</f>
        <v>0.26</v>
      </c>
      <c r="EX199" t="str">
        <f>IFERROR(VLOOKUP(BZ199,Кабель_обозначение,2,FALSE),"")</f>
        <v>ВВГнг(А)-LS</v>
      </c>
      <c r="EY199" t="str">
        <f t="shared" si="471"/>
        <v>ВВГнг(А)-LS (3х2,5)</v>
      </c>
      <c r="EZ199" t="str">
        <f t="shared" si="472"/>
        <v>ВВГнг(А)-LS (3х2,5)
L=62-0,26%</v>
      </c>
      <c r="FA199">
        <f>IFERROR(2*ρкз_Cu*P199/EN199,"")</f>
        <v>1.3044800000000001</v>
      </c>
      <c r="FB199">
        <f t="shared" si="473"/>
        <v>0.43400000000000005</v>
      </c>
      <c r="FC199" s="6" t="str">
        <f>IFERROR(IF(OR(B199="",BV199=1,NOT(ISNUMBER(EN199)),N(P199)=0),"",_xlfn.XLOOKUP(A199,Щиты[Щит],Щиты[Zпетли на шинах, Ом])+FA199),"")</f>
        <v/>
      </c>
      <c r="FD199" s="6" t="str">
        <f>IF(ISNUMBER(FC199),c_min*(Uн_лин*1000/SQRT(3))/FC199,"")</f>
        <v/>
      </c>
      <c r="FE199" s="6" t="str">
        <f>IFERROR(IF(OR(B199="",NOT(ISNUMBER(EN199))),"",1.05*(Uн_лин*1000/SQRT(3))/(_xlfn.XLOOKUP(A199,Щиты[Щит],Щиты[Zmax на шинах, Ом])+FB199)/1000),"")</f>
        <v/>
      </c>
      <c r="FF199" s="6" t="str">
        <f>IF(B199="","",IF(ISNUMBER(AC199),"Сил",IF(IFERROR(_xlfn.XLOOKUP(BC199,Коды_код,Коды_группа)&amp;"","")="","Быт",_xlfn.XLOOKUP(BC199,Коды_код,Коды_группа)&amp;"")))</f>
        <v>Быт</v>
      </c>
      <c r="FG199" s="6" t="str">
        <f t="shared" si="474"/>
        <v>Быт</v>
      </c>
      <c r="FH199" s="6">
        <f>IF(FG199="Щит","щит",IF(FG199="","",IF(FG199="Быт",IFERROR(_xlfn.XLOOKUP(A199,Щиты[Щит],Щиты[Кс быт]),1),IF(FG199="Сил",IF(ISNUMBER(AC199),AC199,IF(Методика="нормы 2026",IFERROR(_xlfn.XLOOKUP(A199,Щиты[Щит],Щиты[Кс силовых (табл. 7.5)]),1),1)),IF(OR(FG199="Пост",FG199="Отоп"),1,IF(FG199="ВНГ",0.7,0))))))</f>
        <v>0.79799999999999993</v>
      </c>
      <c r="FI199">
        <f>IF(FG199="","",IF(AND(BP199=1,TRIM(AE199&amp;"")=""),IF(COUNTIFS(Линии[Щит],A199,Линии[Секция (1/2/3)],"&gt;=2")&gt;0,MIN(3,MAX(1,IFERROR(--BD199,1))),1),IFERROR(MIN(3,MAX(1,INT(--AE199))),1)))</f>
        <v>1</v>
      </c>
      <c r="FJ199">
        <f t="shared" si="475"/>
        <v>0.12</v>
      </c>
      <c r="FK199">
        <f t="shared" si="476"/>
        <v>0.12</v>
      </c>
      <c r="FL199">
        <f t="shared" si="477"/>
        <v>0</v>
      </c>
      <c r="FM199">
        <f t="shared" si="478"/>
        <v>0</v>
      </c>
      <c r="FN199">
        <f t="shared" si="479"/>
        <v>0</v>
      </c>
      <c r="FO199">
        <f t="shared" si="480"/>
        <v>0</v>
      </c>
      <c r="FP199">
        <f t="shared" si="481"/>
        <v>0.12</v>
      </c>
      <c r="FQ199">
        <f t="shared" si="482"/>
        <v>0.12</v>
      </c>
      <c r="FR199">
        <f t="shared" si="483"/>
        <v>0.11399999999999999</v>
      </c>
      <c r="FS199">
        <f>IF(CG199=1,IF(AND(CH199=1,CW199=1),0,IF(AND(CS199&lt;&gt;"",CS199=BA199,CW199=1),SUMIFS(Линии[_Р линии, кВт],Линии[_блок УЗО],BA199,Линии[Щит],A199),N(BS199)+IF(AJ199="вручную",0,N(CK199)))),0)</f>
        <v>0.12</v>
      </c>
      <c r="FT199" t="str">
        <f t="shared" si="484"/>
        <v>L1</v>
      </c>
      <c r="FU199" t="str">
        <f>IF(B199="","",IF(CG199=0,IF(BA199=1,"",FW198),IF(AND(CH199=1,CW199=1,CS199&lt;&gt;""),IFERROR(_xlfn.XLOOKUP(CS199,Линии[_n],Линии[_фаза итог]),"L1"),IF(OR(N(DL199)&gt;=3,N(BX199)&gt;=3),"L1,L2,L3",IFERROR(_xlfn.TEXTBEFORE(_xlfn.TEXTAFTER(_xlfn.XLOOKUP(A199,Щиты[Щит],Щиты[_фазы авто]),";"&amp;BA199&amp;":"),";"),"L1")))))</f>
        <v>L1</v>
      </c>
      <c r="FV199" t="str">
        <f t="shared" si="485"/>
        <v>L1</v>
      </c>
      <c r="FW199" t="str">
        <f t="shared" si="486"/>
        <v>L1</v>
      </c>
      <c r="FX199" cm="1">
        <f t="array" ref="FX199">IFERROR(IF(CD199=2,_xlfn.IFS(BX199=3,VLOOKUP(BS199,Справочная_двигатели,3,FALSE),BX199=1,VLOOKUP(BS199,Справочная_двигатели,5,TRUE)),0),0)</f>
        <v>0</v>
      </c>
      <c r="FY199">
        <f>IFERROR(IF(CD199=3,VLOOKUP(BS199,Справочная_ЛЭД,2,TRUE),0),0)</f>
        <v>0</v>
      </c>
      <c r="FZ199" s="6">
        <f t="shared" si="487"/>
        <v>0</v>
      </c>
      <c r="GA199" t="str">
        <f>IF(B199="","",IF(TRIM(AH199&amp;"")&lt;&gt;"",IF(LOWER(TRIM(AH199&amp;""))="да","да","нет"),IF(IFERROR(_xlfn.XLOOKUP(BC199,Коды_код,Коды_пожарная),"")="да","да","нет")))</f>
        <v>нет</v>
      </c>
      <c r="GB199" t="str">
        <f t="shared" si="488"/>
        <v/>
      </c>
      <c r="GC199" t="str">
        <f t="shared" si="489"/>
        <v>основная</v>
      </c>
      <c r="GD199">
        <f>IF(AND(BP199=1,TRIM(AE199&amp;"")=""),IF(COUNTIFS(Линии[Щит],A199,Линии[Секция (1/2/3)],"&gt;=2")&gt;0,MIN(3,MAX(1,IFERROR(--BD199,1))),1),IFERROR(MIN(3,MAX(1,INT(--AE199))),1))</f>
        <v>1</v>
      </c>
      <c r="GE199" t="str" cm="1">
        <f t="array" ref="GE199">IF(B199="","",_xlfn.LET(_xlpm.t,IFERROR(_xlfn.XLOOKUP(1,(Шины[Шина]=GC199)*(((Шины[Щит]=A199)+(Шины[Щит]=""))&gt;0),Шины[Тип]),"")&amp;"",IF(_xlpm.t&lt;&gt;"",_xlpm.t,IF(ISNUMBER(SEARCH("ИБП",GC199)),"ИБП",IF(ISNUMBER(SEARCH("ДГУ",GC199)),"ДГУ","Ввод "&amp;GD199)))))</f>
        <v>Ввод 1</v>
      </c>
      <c r="GF199" t="str">
        <f t="shared" si="490"/>
        <v>Ввод 1</v>
      </c>
      <c r="GG199" t="str">
        <f>IF(BP199=0,"",IF(TRIM(AG199&amp;"")&lt;&gt;"",TRIM(AG199&amp;""),IF(OR(GE199="ИБП",GE199="ДГУ"),"I особая",_xlfn.XLOOKUP(A199,Щиты[Щит],Щиты[Категория шины «Ввод»],"III"))))</f>
        <v/>
      </c>
      <c r="GH199" t="str">
        <f>IF(A199="","",_xlfn.XLOOKUP(A199,Щиты[Щит],Щиты[Путь],""))</f>
        <v>|ГРЩ-ЖД|ЩР-01|</v>
      </c>
      <c r="GI199" t="str">
        <f>IF(B199="","",IF(AI199&lt;&gt;"",AI199,IF(IFERROR(_xlfn.XLOOKUP(BC199,Коды_код,Коды_вид)&amp;"","")="","Прочее",_xlfn.XLOOKUP(BC199,Коды_код,Коды_вид)&amp;"")))</f>
        <v>Розеточная сеть и бытовые приборы</v>
      </c>
      <c r="GJ199">
        <f>IF(BM199="","",INT((BM199-1)/Столбцов_на_лист)+1)</f>
        <v>2</v>
      </c>
      <c r="GK199" t="str">
        <f t="shared" si="491"/>
        <v>ВВГнг(А)-LS (3х2,5) L=62-0,26%</v>
      </c>
      <c r="GL199">
        <f t="shared" si="492"/>
        <v>0.12</v>
      </c>
      <c r="GM199">
        <f t="shared" si="493"/>
        <v>0.55000000000000004</v>
      </c>
      <c r="GN199">
        <f t="shared" si="494"/>
        <v>1</v>
      </c>
      <c r="GO199">
        <f t="shared" si="495"/>
        <v>0</v>
      </c>
      <c r="GP199">
        <f t="shared" si="496"/>
        <v>1</v>
      </c>
      <c r="GQ199">
        <f>IF(BM199="","",IF(AND(CG199=1,GP199=1),COUNTIFS(A$3:A199,A199,CG$3:CG199,1,GP$3:GP199,1),IF(OR(OR(BA199=1,A199&lt;&gt;A198),AJ199="вручную",GP199=0),"",IF(BA199=1,"",GR198))))</f>
        <v>15</v>
      </c>
      <c r="GR199">
        <f t="shared" si="497"/>
        <v>15</v>
      </c>
      <c r="GS199">
        <f>IF(B199="","",IFERROR(LOOKUP(INDEX(CHOOSE(EB199,Iдоп_1ж,Iдоп_2ж,Iдоп_3ж),MATCH(EN199,Iдоп_S,0))*DZ199*EA199,{6,10,16,20,25,32,40,50,63,80,100,125,160,200,250,315,400,500,630}),""))</f>
        <v>25</v>
      </c>
      <c r="GT199" t="str">
        <f t="shared" si="498"/>
        <v>QFD15</v>
      </c>
      <c r="GU199" t="str">
        <f t="shared" si="499"/>
        <v>QFD15</v>
      </c>
      <c r="GV199" t="str">
        <f t="shared" si="500"/>
        <v/>
      </c>
      <c r="GW199">
        <f t="shared" si="501"/>
        <v>0</v>
      </c>
      <c r="GX199" t="str">
        <f>IF(OR(B199="",DJ199=""),"",IFERROR(_xlfn.XLOOKUP(DJ199,Модули_умолч[Управление],Модули_умолч[Модель])&amp;"",""))</f>
        <v/>
      </c>
      <c r="GY199">
        <f>IF(DJ199="",1,IFERROR(MAX(0,N(_xlfn.XLOOKUP(DJ199,Модули_умолч[Управление],Модули_умолч[Каналов на линию]))),1))</f>
        <v>1</v>
      </c>
      <c r="GZ199" t="str">
        <f t="shared" si="502"/>
        <v/>
      </c>
      <c r="HA199" t="str">
        <f t="shared" si="503"/>
        <v/>
      </c>
      <c r="HB199" t="str">
        <f t="shared" si="504"/>
        <v/>
      </c>
      <c r="HC199">
        <f>IF(HB199="",0,IFERROR(N(VLOOKUP(HB199,Модули_спр,3,FALSE)),0))</f>
        <v>0</v>
      </c>
      <c r="HD199" t="str">
        <f t="shared" si="505"/>
        <v/>
      </c>
      <c r="HE199" t="str">
        <f t="shared" si="506"/>
        <v/>
      </c>
      <c r="HF199" t="str">
        <f>IF(OR(HE199="",HE199="-"),"",IFERROR(VLOOKUP(HE199,Модули_спр,2,FALSE),"R"))</f>
        <v/>
      </c>
      <c r="HG199" t="str">
        <f>IF(HF199="","",HF199&amp;"."&amp;COUNTIFS(A$3:A199,A199,HF$3:HF199,HF199))</f>
        <v/>
      </c>
      <c r="HH199" t="str">
        <f t="shared" si="507"/>
        <v/>
      </c>
      <c r="HI199" t="str">
        <f t="shared" si="508"/>
        <v/>
      </c>
      <c r="HJ199" t="str">
        <f t="shared" si="509"/>
        <v/>
      </c>
      <c r="HK199" t="str">
        <f t="shared" si="510"/>
        <v/>
      </c>
      <c r="HL199">
        <f t="shared" si="511"/>
        <v>1</v>
      </c>
      <c r="HM199" t="str">
        <f>IF(HL199=1,"XT"&amp;COUNTIFS(A$3:A199,A199,HL$3:HL199,1),"")</f>
        <v>XT15</v>
      </c>
      <c r="HN199" t="str">
        <f t="shared" si="512"/>
        <v/>
      </c>
      <c r="HO199" t="str">
        <f t="shared" si="513"/>
        <v>QFD15</v>
      </c>
      <c r="HP199" t="str">
        <f t="shared" si="514"/>
        <v/>
      </c>
      <c r="HQ199" t="str">
        <f t="shared" si="515"/>
        <v>ok</v>
      </c>
      <c r="HR199" t="str">
        <f>IF(OR(HJ199="",HH199=""),"",IF(HJ199+MAX(0,GY199-1)&gt;IFERROR(VLOOKUP(HI199,Модули_спр,3,FALSE),99),"ЛИШНИЙ КАНАЛ",IF(AND(AL199&lt;&gt;"=",GY199&gt;0,COUNTIFS(Линии[_модуль гр.],HH199,Линии[Канал (итог)],HJ199,Линии[Канал],"&lt;&gt;=",Линии[Щит],A199)&gt;1),"ДУБЛЬ КАНАЛА","")))</f>
        <v/>
      </c>
      <c r="HS199" s="6" t="str">
        <f t="shared" si="516"/>
        <v/>
      </c>
      <c r="HT199">
        <f t="shared" si="517"/>
        <v>10</v>
      </c>
      <c r="HU199" t="str">
        <f t="shared" si="518"/>
        <v/>
      </c>
      <c r="HV199">
        <f t="shared" si="519"/>
        <v>0.83878536516659508</v>
      </c>
      <c r="HW199">
        <f t="shared" si="520"/>
        <v>0</v>
      </c>
      <c r="HX199">
        <f t="shared" si="521"/>
        <v>0</v>
      </c>
      <c r="HY199">
        <f t="shared" si="522"/>
        <v>0</v>
      </c>
      <c r="HZ199">
        <f t="shared" si="523"/>
        <v>0</v>
      </c>
      <c r="IA199">
        <f t="shared" si="524"/>
        <v>0</v>
      </c>
      <c r="IB199">
        <f t="shared" si="525"/>
        <v>0</v>
      </c>
      <c r="IC199" t="str">
        <f t="shared" si="526"/>
        <v/>
      </c>
      <c r="ID199" t="str" cm="1">
        <f t="array" ref="ID199">IF(IC199="","",_xlfn.LET(_xlpm.tk,_xlfn.TEXTSPLIT(SUBSTITUTE(SUBSTITUTE(IC199,";"," "),"→"," ")," ",,TRUE),_xlpm.w_,_xlfn._xlws.FILTER(_xlpm.tk,ISNUMBER(--LEFT(_xlpm.tk,1))*((ISNUMBER(SEARCH("W",_xlpm.tk))+ISNUMBER(SEARCH("Вт",_xlpm.tk)))&gt;0),""),IFERROR(--SUBSTITUTE(SUBSTITUTE(UPPER(INDEX(_xlpm.w_,1)),"W",""),"ВТ",""),"")))</f>
        <v/>
      </c>
      <c r="IE199" t="str" cm="1">
        <f t="array" ref="IE199">IF(IC199="","",_xlfn.LET(_xlpm.tk,_xlfn.TEXTSPLIT(SUBSTITUTE(SUBSTITUTE(IC199,";"," "),"→"," ")," ",,TRUE),_xlpm.v_,_xlfn._xlws.FILTER(_xlpm.tk,ISNUMBER(--LEFT(_xlpm.tk,1))*((ISNUMBER(SEARCH("V",_xlpm.tk))+(RIGHT(UPPER(_xlpm.tk))="В"))&gt;0),""),IFERROR(--SUBSTITUTE(SUBSTITUTE(UPPER(INDEX(_xlpm.v_,1)),"V",""),"В",""),"")))</f>
        <v/>
      </c>
      <c r="IF199" s="6" t="str">
        <f>IF(OR(BV199=0,HI199="",HJ199=""),"",IFERROR(N(_xlfn.XLOOKUP(HI199,Каталог!$C$4:$C$500,Каталог!$Q$4:$Q$500)),""))</f>
        <v/>
      </c>
      <c r="IG199" s="6" t="str">
        <f>IF(N(IF199)=0,"",SUMIFS(Линии[Iр, А],Линии[Щит],A199,Линии[_модуль гр.],HH199,Линии[Канал (итог)],HJ199))</f>
        <v/>
      </c>
      <c r="IH199" t="str">
        <f>IF(AND(B199="",HO199=""),"",_xlfn.TEXTJOIN("; ",TRUE,IF(AND(B199&lt;&gt;"",FV199=""),"нет фазы",""),IF(AND(B199&lt;&gt;"",N(GL199)=0,FG199&lt;&gt;"Нет"),"нет мощности",""),IF(AND(HN199&lt;&gt;"",COUNTIFS(Линии[Щит],A199,Линии[Клемма (итог)],HN199)&gt;1),"дубль клеммы "&amp;HN199,""),IF(AND(HQ199&lt;&gt;"",HQ199&lt;&gt;"ok"),HQ199,""),IF(HR199&lt;&gt;"",HR199,""),IF(AND(N(CB199)&gt;=4,N(BX199)=1),CB199&amp;" жил на 1 фазе",""),IF(AND(BC199="R",CG199=1,IF(CS199&lt;&gt;"",N(CV199)&gt;30,OR(N(DA199)=0,N(DA199)&gt;30))),"розетка без дифзащиты до 30 мА",""),IF(AND(CG199=1,N(DA199)&gt;0,ISNUMBER(T199)),IF(T199&gt;N(DA199)/3,"ток утечки "&amp;FIXED(T199,1)&amp;" мА &gt; 1/3 уставки ("&amp;DA199&amp;" мА)",""),""),IF(AND(CH199=1,CS199=""),"«узо»: нет строки с УЗО выше (УЗО 2P 40А 30мА в «Аппаратах»)",""),IF(AND(CS199&lt;&gt;"",CS199=BA199),IF(CT199="","впишите номинал УЗО (УЗО 2P 40А 30мА)",IF(N(CT199)&lt;N(DT199),"УЗО "&amp;CT199&amp;" А &lt; автомата "&amp;DT199&amp;" А перед ним",IF(N(CT199)&lt;N(CX199),"УЗО "&amp;CT199&amp;" А &lt; тока блока "&amp;FIXED(CX199,1)&amp;" А",""))),""),IF(AND(CS199&lt;&gt;"",CS199=BA199,ISNUMBER(CY199)),IF(CY199&gt;N(CV199)/3,"ток утечки блока УЗО "&amp;FIXED(CY199,1)&amp;" мА &gt; 1/3 уставки ("&amp;CV199&amp;" мА)",""),""),IF(AND(CG199=1,N(BV199)+N(IB199)&gt;0,IC199=""),"линии до 50 В без БП: впишите в «Аппараты» (БП 24V 480W)",""),IF(AND(CG199=1,ISNUMBER(ID199),ISNUMBER(U199)),IF(U199&gt;ID199,"БП "&amp;ID199&amp;" Вт &lt; нужно "&amp;U199&amp;" Вт (×"&amp;Запас_БП&amp;")",""),""),IF(AND(CG199=1,ISNUMBER(IE199),N(BV199)=1),IF(IE199&lt;&gt;N(BU199),"БП на "&amp;IE199&amp;" В, линия "&amp;BU199&amp;" В",""),""),IF(AND(N(IF199)&gt;0,N(IG199)&gt;N(IF199)),HH199&amp;" канал "&amp;HJ199&amp;": "&amp;FIXED(IG199,1)&amp;" А &gt; "&amp;IF199&amp;" А",""),IFERROR(IF(AND(ISNUMBER(Q199),Q199&gt;EL199),"потери "&amp;FIXED(Q199,1)&amp;" % &gt; "&amp;EL199&amp;" %",""),""),IFERROR(IF(LEFT(HU199,4)="мало","Iкз мало — отключение &gt; 0,4 с",""),""),IF(AND(B199&lt;&gt;"",BM199=""),"не на схеме",""),IF(AND(CG199=0,B199&lt;&gt;"",FV199&lt;&gt;"",IF(BA199=1,"",FW198)&lt;&gt;"",FV199&lt;&gt;IF(BA199=1,"",FW198)),"фаза не как у автомата группы ("&amp;IF(BA199=1,"",FW198)&amp;")","")))</f>
        <v/>
      </c>
      <c r="II199" s="6">
        <f>IF(OR(CG199=0,DQ199=""),"",_xlfn.LET(_xlpm.t,IFERROR(_xlfn.XLOOKUP(DQ199,Каталог!$U$4:$U$500,Каталог!$G$4:$G$500),""),_xlpm.k,SEARCH("кА",_xlpm.t),IFERROR(--TRIM(RIGHT(SUBSTITUTE(MID(_xlpm.t,MAX(1,_xlpm.k-4),_xlpm.k-MAX(1,_xlpm.k-4))," ",REPT(" ",9)),5)),"")))</f>
        <v>6</v>
      </c>
      <c r="IJ199" t="str">
        <f>IF(OR(II199="",CG199=0),"",IF(_xlfn.XLOOKUP(A199,Щиты[Щит],Щиты[Iкз max на шинах, кА],"")="","",IF(II199&lt;_xlfn.XLOOKUP(A199,Щиты[Щит],Щиты[Iкз max на шинах, кА]),"Icu "&amp;II199&amp;" кА &lt; Iкз max","ok")))</f>
        <v/>
      </c>
      <c r="IK199" t="str">
        <f t="shared" si="527"/>
        <v/>
      </c>
      <c r="IL199" t="str">
        <f t="shared" si="528"/>
        <v>QFD15</v>
      </c>
      <c r="IM199" t="str">
        <f t="shared" si="529"/>
        <v>QFD15|кабель ВВГнг(А)-LS (3х2,5) → Розеточная группа, пом. 008A</v>
      </c>
      <c r="IN199" t="str" cm="1">
        <f t="array" ref="IN199">IF(IM199="","",_xlfn.LET(_xlpm.nd,_xlfn.TEXTSPLIT(IM199,"|"),IF(COLUMNS(_xlpm.nd)&gt;1,A199&amp;"¦"&amp;INDEX(_xlpm.nd,1)&amp;"¦"&amp;INDEX(_xlpm.nd,2),"")))</f>
        <v>ЩР-01¦QFD15¦кабель ВВГнг(А)-LS (3х2,5) → Розеточная группа, пом. 008A</v>
      </c>
      <c r="IO199" t="str">
        <f t="shared" si="530"/>
        <v>R.0.008A.1¦Розеточная группа, пом. 008A</v>
      </c>
      <c r="IP199" t="str" cm="1">
        <f t="array" ref="IP199">IF(IM199="","",_xlfn.LET(_xlpm.nd,_xlfn.TEXTSPLIT(IM199,"|"),IF(COLUMNS(_xlpm.nd)&gt;2,A199&amp;"¦"&amp;INDEX(_xlpm.nd,2)&amp;"¦"&amp;INDEX(_xlpm.nd,3),"")))</f>
        <v/>
      </c>
      <c r="IQ199" t="str">
        <f t="shared" si="531"/>
        <v/>
      </c>
      <c r="IR199" t="str" cm="1">
        <f t="array" ref="IR199">IF(IM199="","",_xlfn.LET(_xlpm.nd,_xlfn.TEXTSPLIT(IM199,"|"),IF(COLUMNS(_xlpm.nd)&gt;3,A199&amp;"¦"&amp;INDEX(_xlpm.nd,3)&amp;"¦"&amp;INDEX(_xlpm.nd,4),"")))</f>
        <v/>
      </c>
      <c r="IS199" t="str">
        <f t="shared" si="532"/>
        <v/>
      </c>
      <c r="IT199" t="str" cm="1">
        <f t="array" ref="IT199">IF(IM199="","",_xlfn.LET(_xlpm.nd,_xlfn.TEXTSPLIT(IM199,"|"),IF(COLUMNS(_xlpm.nd)&gt;4,A199&amp;"¦"&amp;INDEX(_xlpm.nd,4)&amp;"¦"&amp;INDEX(_xlpm.nd,5),"")))</f>
        <v/>
      </c>
      <c r="IU199" t="str">
        <f t="shared" si="533"/>
        <v/>
      </c>
      <c r="IV199" t="str" cm="1">
        <f t="array" ref="IV199">IF(IM199="","",_xlfn.LET(_xlpm.nd,_xlfn.TEXTSPLIT(IM199,"|"),IF(COLUMNS(_xlpm.nd)&gt;5,A199&amp;"¦"&amp;INDEX(_xlpm.nd,5)&amp;"¦"&amp;INDEX(_xlpm.nd,6),"")))</f>
        <v/>
      </c>
      <c r="IW199" t="str">
        <f t="shared" si="534"/>
        <v/>
      </c>
      <c r="IX199" t="str" cm="1">
        <f t="array" ref="IX199">IF(IM199="","",_xlfn.LET(_xlpm.nd,_xlfn.TEXTSPLIT(IM199,"|"),IF(COLUMNS(_xlpm.nd)&gt;6,A199&amp;"¦"&amp;INDEX(_xlpm.nd,6)&amp;"¦"&amp;INDEX(_xlpm.nd,7),"")))</f>
        <v/>
      </c>
      <c r="IY199" t="str">
        <f t="shared" si="535"/>
        <v/>
      </c>
      <c r="IZ199" t="str">
        <f t="shared" si="536"/>
        <v/>
      </c>
      <c r="JA199" t="str">
        <f t="shared" si="537"/>
        <v>QFD15</v>
      </c>
      <c r="JB199">
        <f t="shared" si="538"/>
        <v>0</v>
      </c>
      <c r="JC199">
        <f t="shared" si="539"/>
        <v>1</v>
      </c>
      <c r="JD199" t="str">
        <f t="shared" si="540"/>
        <v/>
      </c>
      <c r="JE199" t="str">
        <f t="shared" si="541"/>
        <v/>
      </c>
      <c r="JF199" t="str">
        <f t="shared" si="542"/>
        <v/>
      </c>
      <c r="JG199" t="str">
        <f t="shared" si="543"/>
        <v/>
      </c>
      <c r="JH199" t="str">
        <f>IF(B199="","",IFERROR(_xlfn.XLOOKUP(B199,Коды_код,Коды_уго),IFERROR(_xlfn.XLOOKUP(BC199,Коды_код,Коды_уго),IFERROR(_xlfn.XLOOKUP(LEFT(BC199,2),Коды_код,Коды_уго),""))))</f>
        <v>Розетка</v>
      </c>
      <c r="JI199" t="str">
        <f>IF(B199="","",IF(OR(JH199="",JH199=0),"BOX",IFERROR(IF(VLOOKUP(JH199,УГО_блоки,3,FALSE)&amp;""&lt;&gt;"",VLOOKUP(JH199,УГО_блоки,3,FALSE),VLOOKUP(JH199,УГО_блоки,2,FALSE)),JH199)))</f>
        <v>SOCKET</v>
      </c>
      <c r="JJ199">
        <f t="shared" si="544"/>
        <v>1</v>
      </c>
      <c r="JK199" t="str">
        <f>IF(DQ199="","",IF(COUNTIF(DQ$3:DQ199,DQ199)=1,MAX(JK$2:JK198)+1,""))</f>
        <v/>
      </c>
      <c r="JL199" t="str">
        <f>IF(DE199="","",IF(COUNTIF(DE$3:DE199,DE199)+COUNTIF(DF$2:DF198,DE199)+COUNTIF(DG$2:DG198,DE199)=1,MAX(JL$2:JN198)+1,""))</f>
        <v/>
      </c>
      <c r="JM199" t="str">
        <f>IF(DF199="","",IF(COUNTIF(DE$3:DE199,DF199)+COUNTIF(DF$3:DF199,DF199)+COUNTIF(DG$2:DG198,DF199)=1,MAX(JL$2:JN198,JL199)+1,""))</f>
        <v/>
      </c>
      <c r="JN199" t="str">
        <f>IF(DG199="","",IF(COUNTIF(DE$3:DE199,DG199)+COUNTIF(DF$3:DF199,DG199)+COUNTIF(DG$3:DG199,DG199)=1,MAX(JL$2:JN198,JL199,JM199)+1,""))</f>
        <v/>
      </c>
      <c r="JO199" t="str">
        <f t="shared" si="545"/>
        <v>3х2,5</v>
      </c>
      <c r="JP199" t="str">
        <f>IF(JO199="","",IF(COUNTIF(JO$3:JO199,JO199)=1,MAX(JP$2:JP198)+1,""))</f>
        <v/>
      </c>
      <c r="JQ199" t="str">
        <f>IF(HG199="","",COUNTIF(HG$3:HG199,"?*"))</f>
        <v/>
      </c>
      <c r="JR199" t="str">
        <f>IF(OR(HG199="",HI199=""),"",IF(COUNTIFS(HG$3:HG199,"?*",HI$3:HI199,HI199)=1,MAX(JR$2:JR198)+1,""))</f>
        <v/>
      </c>
      <c r="JS199">
        <f t="shared" si="546"/>
        <v>0</v>
      </c>
      <c r="JT199">
        <f>IF(B199="","",COUNTIF(B$3:B199,"?*"))</f>
        <v>197</v>
      </c>
      <c r="JU199">
        <f>IF(HL199&lt;&gt;1,0,_xlfn.LET(_xlpm.k,MAX(IFERROR(--_xlfn.XLOOKUP(B199,Коды_код,Коды_3L),0),IFERROR(--_xlfn.XLOOKUP(BC199,Коды_код,Коды_3L),0),IFERROR(--_xlfn.XLOOKUP(LEFT(BC199,2),Коды_код,Коды_3L),0)),IF(_xlpm.k&gt;0,_xlpm.k,IF(IFERROR(--LEFT(SUBSTITUTE(JO199,"x","х"),FIND("х",SUBSTITUTE(JO199,"x","х"))-1),3)&gt;3,Каталог!$S$9,1))))</f>
        <v>1</v>
      </c>
      <c r="JV199">
        <f t="shared" si="547"/>
        <v>0</v>
      </c>
      <c r="JW199" t="str">
        <f t="shared" si="548"/>
        <v>авто</v>
      </c>
      <c r="JX199">
        <f t="shared" si="549"/>
        <v>30</v>
      </c>
      <c r="JY199">
        <f t="shared" si="550"/>
        <v>1</v>
      </c>
      <c r="JZ199">
        <f t="shared" si="551"/>
        <v>1</v>
      </c>
    </row>
    <row r="200" spans="1:286" x14ac:dyDescent="0.3">
      <c r="A200" t="s">
        <v>755</v>
      </c>
      <c r="B200" t="s">
        <v>1507</v>
      </c>
      <c r="C200" t="s">
        <v>1699</v>
      </c>
      <c r="D200">
        <v>1</v>
      </c>
      <c r="E200">
        <v>2.2000000000000002</v>
      </c>
      <c r="G200" t="str">
        <f>Линии[[#This Row],[_авто автомат]]</f>
        <v>2P С16А 30мА</v>
      </c>
      <c r="H200" t="str">
        <f>Линии[[#This Row],[_авто управление]]</f>
        <v/>
      </c>
      <c r="I200" t="str">
        <f>Линии[[#This Row],[_авто аппараты]]</f>
        <v/>
      </c>
      <c r="J200">
        <v>2.5</v>
      </c>
      <c r="K200">
        <v>61</v>
      </c>
      <c r="L200">
        <v>1</v>
      </c>
      <c r="M200" t="s">
        <v>484</v>
      </c>
      <c r="N200" t="str">
        <f t="shared" si="414"/>
        <v>потери 5,2 % &gt; 4 %</v>
      </c>
      <c r="O200" s="6" cm="1">
        <f t="array" ref="O200">IF(B200="","",IF(BH200&lt;&gt;"",IFERROR(_xlfn.XLOOKUP(BH200,Щиты[Щит],Щиты[Iр, А]),""),IF(BP200=1,IF(OR(N(_xlfn.XLOOKUP(A200,Щиты[Щит],Щиты[Вводов],1))&lt;=1,LOWER(TRIM(_xlfn.XLOOKUP(A200,Щиты[Щит],Щиты[АВР],"")&amp;""))="да"),IFERROR(_xlfn.XLOOKUP(A200,Щиты[Щит],Щиты[Iр, А]),""),IFERROR(N(BS200)*_xlfn.XLOOKUP(A200,Щиты[Щит],Щиты[Кс итог])/(SQRT(3)*Uн_лин*_xlfn.XLOOKUP(A200,Щиты[Щит],Щиты[cos φ])),"")),IF(BV200=1,IFERROR(BS200*1000/BU200,""),IFERROR(_xlfn.IFS(BX200=1,BS200/((Uн_лин/SQRT(3))*CE200),BX200=3,BS200/(SQRT(3)*Uн_лин*CE200)),"")))))</f>
        <v>10.027662570135606</v>
      </c>
      <c r="P200" s="7">
        <f>IF(B200="","",IFERROR(IF(VLOOKUP(BC200,Потребители_обозначение,4,FALSE)=1,VLOOKUP(BC200,Потребители_обозначение,3,FALSE)*(MAX(1,N(D200))*2-1)+EI200+VLOOKUP(BE200,Этаж_обозначение,3,FALSE)+VLOOKUP(BE200,Этаж_обозначение,4,FALSE),VLOOKUP(BC200,Потребители_обозначение,3,FALSE)*(MAX(1,N(D200))*2-1)+EI200),EI200))</f>
        <v>64</v>
      </c>
      <c r="Q200" s="6">
        <f t="shared" si="415"/>
        <v>5.1999999999999993</v>
      </c>
      <c r="R200" t="str">
        <f t="shared" si="416"/>
        <v>ВВГнг(А)-LS (3х2,5)</v>
      </c>
      <c r="S200" t="str">
        <f>IF(BM200="","",IF(BN200="вводной узел","узел ","")&amp;"л."&amp;(INT((BM200-1)/Столбцов_на_лист)+1)&amp;" / "&amp;(MOD(BM200-1,Столбцов_на_лист)+1))</f>
        <v>л.2 / 9</v>
      </c>
      <c r="T200" s="119">
        <f t="shared" si="417"/>
        <v>4.7</v>
      </c>
      <c r="U200" s="7" t="str">
        <f>IF(OR(CG200=0,N(BV200)+N(IB200)=0),"",ROUNDUP(Запас_БП*(N(HY200)+N(HZ200)),0))</f>
        <v/>
      </c>
      <c r="V200" s="119" t="str">
        <f t="shared" si="418"/>
        <v/>
      </c>
      <c r="W200" s="7" t="str">
        <f>IFERROR(IF(OR(B200="",BP200=1,BV200=1,NOT(ISNUMBER(EN200)),N(DT200)=0),"",MAX(0,ROUNDDOWN((c_min*(Uн_лин*1000/SQRT(3))/(HT200*N(DT200))-_xlfn.XLOOKUP(A200,Щиты[Щит],Щиты[Zпетли на шинах, Ом]))*EN200/(2*ρкз_Cu),0))),"")</f>
        <v/>
      </c>
      <c r="Y200">
        <f>Линии[[#This Row],[_авто утечка]]</f>
        <v>30</v>
      </c>
      <c r="Z200">
        <v>1</v>
      </c>
      <c r="AA200">
        <v>230</v>
      </c>
      <c r="AB200" t="s">
        <v>562</v>
      </c>
      <c r="AG200" t="s">
        <v>810</v>
      </c>
      <c r="AI200" t="s">
        <v>561</v>
      </c>
      <c r="AK200" t="str">
        <f>Линии[[#This Row],[_авто модуль]]</f>
        <v/>
      </c>
      <c r="AM200">
        <v>26</v>
      </c>
      <c r="AN200" t="s">
        <v>11</v>
      </c>
      <c r="AO200">
        <v>3</v>
      </c>
      <c r="AQ200">
        <v>49</v>
      </c>
      <c r="AR200">
        <v>15</v>
      </c>
      <c r="AS200">
        <v>0</v>
      </c>
      <c r="BA200" cm="1">
        <f t="array" ref="BA200">ROW()-ROW(Линии[#Headers])</f>
        <v>198</v>
      </c>
      <c r="BC200" s="6" t="str">
        <f t="shared" si="419"/>
        <v>R</v>
      </c>
      <c r="BD200" t="str">
        <f t="shared" si="420"/>
        <v>0.008A.2</v>
      </c>
      <c r="BE200" t="str">
        <f t="shared" si="421"/>
        <v>0</v>
      </c>
      <c r="BF200" t="str">
        <f t="shared" si="422"/>
        <v>008A.2</v>
      </c>
      <c r="BG200" t="str">
        <f t="shared" si="423"/>
        <v>008A</v>
      </c>
      <c r="BH200" t="str">
        <f>IF(X200&lt;&gt;"",X200,IF(AND(B200&lt;&gt;"",B200&lt;&gt;A200,ISNUMBER(_xlfn.XMATCH(B200,Щиты[Щит]))),B200,""))</f>
        <v/>
      </c>
      <c r="BI200" t="str" cm="1">
        <f t="array" ref="BI200">IF(B200="","",IF(BH200&lt;&gt;"","Щит "&amp;BH200,_xlfn.LET(_xlpm.nm,IFERROR(_xlfn.XLOOKUP(BC200,Коды_код,Коды_имя)&amp;"",""),_xlpm.md,IFERROR(N(_xlfn.XLOOKUP(BC200,Коды_код,Коды_режим)),1),_xlpm.ex,IF(Имя_режим="по экспликации",IFERROR(_xlfn.XLOOKUP(BE200&amp;"|"&amp;BG200,Экспликация[Этаж]&amp;"|"&amp;Экспликация[Помещение],Экспликация[Название])&amp;"",""),""),_xlpm.rm,IF(BG200="","",IF(_xlpm.ex&lt;&gt;"",". "&amp;_xlpm.ex&amp;IF(Имя_пом="нет"," ("&amp;BG200&amp;")"," (пом. "&amp;BG200&amp;")"),IF(Имя_пом="нет"," ",", пом. ")&amp;BG200)),IF(_xlpm.nm="","",IF(_xlpm.md=2,_xlpm.nm&amp;" шлейф "&amp;BE200,_xlpm.nm&amp;_xlpm.rm)))))</f>
        <v>Розеточная группа, пом. 008A</v>
      </c>
      <c r="BJ200" t="str">
        <f t="shared" si="424"/>
        <v>Розеточная группа Цокольный этаж Пом. №008A Душ виши</v>
      </c>
      <c r="BK200">
        <f>IFERROR(_xlfn.XMATCH(A200,Щиты[Щит]),0)</f>
        <v>9</v>
      </c>
      <c r="BL200">
        <f>_xlfn.LET(_xlpm.k,IFERROR(_xlfn.XLOOKUP(A200,Щиты[Щит],Щиты[Мест под вводной узел]),""),IF(_xlpm.k="",Столбцов_на_лист,N(_xlpm.k)))</f>
        <v>8</v>
      </c>
      <c r="BM200">
        <f t="shared" si="425"/>
        <v>26</v>
      </c>
      <c r="BN200" t="str">
        <f t="shared" si="426"/>
        <v>линии</v>
      </c>
      <c r="BO200" s="6">
        <f>IFERROR(N(_xlfn.XLOOKUP(BC200,Коды_код,Коды_квт)),0)</f>
        <v>0</v>
      </c>
      <c r="BP200">
        <f t="shared" si="427"/>
        <v>0</v>
      </c>
      <c r="BQ200" t="str">
        <f>IF(B200="","",IF(BH200&lt;&gt;"",IFERROR(_xlfn.XLOOKUP(BH200,Щиты[Щит],Щиты[Руст, кВт]),0),IF(BP200=1,IF(OR(N(_xlfn.XLOOKUP(A200,Щиты[Щит],Щиты[Вводов],1))&lt;=1,LOWER(TRIM(_xlfn.XLOOKUP(A200,Щиты[Щит],Щиты[АВР],"")&amp;""))="да"),IFERROR(_xlfn.XLOOKUP(A200,Щиты[Щит],Щиты[Руст, кВт]),0),SUMIFS(Линии[_Р для вводов],Линии[Щит],A200,Линии[Источник для режимов],GF200)),IF(BO200&gt;0,ROUND(BO200*MAX(1,N(D200)),3),""))))</f>
        <v/>
      </c>
      <c r="BR200">
        <f t="shared" si="428"/>
        <v>2.2000000000000002</v>
      </c>
      <c r="BS200" s="6">
        <f>IF(B200="","",IF(BH200&lt;&gt;"",IFERROR(_xlfn.XLOOKUP(BH200,Щиты[Щит],Щиты[Руст, кВт]),0),N(BR200)))</f>
        <v>2.2000000000000002</v>
      </c>
      <c r="BT200" t="str">
        <f>IF(B200="","",IFERROR(IF(VLOOKUP(BC200,Потребители_обозначение,8,FALSE)=0,"",VLOOKUP(BC200,Потребители_обозначение,8,FALSE)),""))</f>
        <v/>
      </c>
      <c r="BU200">
        <f t="shared" si="429"/>
        <v>230</v>
      </c>
      <c r="BV200">
        <f t="shared" si="430"/>
        <v>0</v>
      </c>
      <c r="BW200">
        <f>IF(B200="","",IF(BH200&lt;&gt;"",3,IFERROR(IF(N(VLOOKUP(BC200,Потребители_обозначение,9,FALSE))=0,1,VLOOKUP(BC200,Потребители_обозначение,9,FALSE)),1)))</f>
        <v>1</v>
      </c>
      <c r="BX200">
        <f t="shared" si="431"/>
        <v>1</v>
      </c>
      <c r="BY200" t="str">
        <f>IF(B200="","",_xlfn.LET(_xlpm.bc,IFERROR(IF(VLOOKUP(BC200,Потребители_обозначение,6,FALSE)=0,"",VLOOKUP(BC200,Потребители_обозначение,6,FALSE)&amp;""),""),IF(AND(GA200="да",OR(_xlpm.bc="",_xlpm.bc="мс")),Марка_пож,IF(AND(_xlpm.bc="",BH200&lt;&gt;""),"мс",_xlpm.bc))))</f>
        <v/>
      </c>
      <c r="BZ200" t="str">
        <f t="shared" si="432"/>
        <v>мс</v>
      </c>
      <c r="CA200">
        <f>IF(B200="","",_xlfn.LET(_xlpm.cc,IFERROR(N(VLOOKUP(BC200,Потребители_обозначение,7,FALSE)),0),IF(_xlpm.cc&gt;0,_xlpm.cc,IF(BZ200="","",IF(BV200=1,2,IF(N(BX200)=3,5,3))))))</f>
        <v>3</v>
      </c>
      <c r="CB200">
        <f t="shared" si="433"/>
        <v>3</v>
      </c>
      <c r="CC200">
        <f>IFERROR(N(VLOOKUP(BC200,Потребители_обозначение,10,FALSE)),0)</f>
        <v>0</v>
      </c>
      <c r="CD200">
        <f>IFERROR(VLOOKUP(BC200,Потребители_обозначение,5,FALSE),0)</f>
        <v>1</v>
      </c>
      <c r="CE200" s="6" cm="1">
        <f t="array" ref="CE200">IF(B200="","",IF(BH200&lt;&gt;"",IFERROR(_xlfn.XLOOKUP(BH200,Щиты[Щит],Щиты[cos φ]),0.95),IF(BP200=1,IFERROR(_xlfn.XLOOKUP(A200,Щиты[Щит],Щиты[cos φ]),0.95),IF(ISNUMBER(AD200),AD200,IFERROR(IF(CD200=2,_xlfn.IFS(BX200=3,VLOOKUP(BS200,Справочная_двигатели,8,FALSE),BX200=1,VLOOKUP(BS200,Справочная_двигатели,10,TRUE)),IF(AND(Методика="нормы 2026",FG200="Сил"),0.8,0.95)),0.95)))))</f>
        <v>0.95</v>
      </c>
      <c r="CF200">
        <f t="shared" si="434"/>
        <v>0</v>
      </c>
      <c r="CG200">
        <f t="shared" si="435"/>
        <v>1</v>
      </c>
      <c r="CH200">
        <f t="shared" si="436"/>
        <v>0</v>
      </c>
      <c r="CI200">
        <f>IF(B200="","",IF(BV200=1,IFERROR(BS200/((Uн_лин/SQRT(3))*MAX(0.5,N(CE200))),0),N(O200)))</f>
        <v>10.027662570135606</v>
      </c>
      <c r="CJ200">
        <f t="shared" si="437"/>
        <v>0</v>
      </c>
      <c r="CK200">
        <f t="shared" si="438"/>
        <v>0</v>
      </c>
      <c r="CL200">
        <f t="shared" si="439"/>
        <v>0</v>
      </c>
      <c r="CM200">
        <f t="shared" si="440"/>
        <v>0</v>
      </c>
      <c r="CN200">
        <f t="shared" si="441"/>
        <v>0</v>
      </c>
      <c r="CO200">
        <f>IF(BC200="",0,_xlfn.LET(_xlpm.v,IFERROR(_xlfn.XLOOKUP(B200,Коды_код,Коды_мА),IFERROR(_xlfn.XLOOKUP(BC200,Коды_код,Коды_мА),IFERROR(_xlfn.XLOOKUP(LEFT(BC200,2),Коды_код,Коды_мА),""))),IF(_xlpm.v="да",30,IF(ISNUMBER(_xlpm.v),_xlpm.v,0))))</f>
        <v>30</v>
      </c>
      <c r="CP200">
        <f t="shared" si="442"/>
        <v>30</v>
      </c>
      <c r="CQ200" t="str">
        <f>_xlfn.LET(_xlpm.k,IFERROR(_xlfn.XLOOKUP(BC200,Коды_код,Коды_утечка)&amp;"",""),IF(_xlpm.k="","дифавтомат",_xlpm.k))</f>
        <v>дифавтомат</v>
      </c>
      <c r="CR200" t="str" cm="1">
        <f t="array" ref="CR200">IF(CG200=0,"",_xlfn.LET(_xlpm.sg,TRIM(_xlfn.TEXTSPLIT(DD200&amp;"",";")),_xlpm.f_,_xlfn._xlws.FILTER(_xlpm.sg,LEFT(_xlpm.sg,3)="УЗО",""),IFERROR(INDEX(_xlpm.f_,1)&amp;"","")))</f>
        <v/>
      </c>
      <c r="CS200" t="str">
        <f t="shared" si="443"/>
        <v/>
      </c>
      <c r="CT200" s="6" t="str" cm="1">
        <f t="array" ref="CT200">IF(CR200="","",_xlfn.LET(_xlpm.tk,_xlfn.TEXTSPLIT(UPPER(CR200)," ",,TRUE),_xlpm.a_,_xlfn._xlws.FILTER(_xlpm.tk,ISNUMBER(--LEFT(_xlpm.tk,1))*((ISNUMBER(SEARCH("А",_xlpm.tk))+ISNUMBER(SEARCH("A",_xlpm.tk)))&gt;0)*NOT(ISNUMBER(SEARCH("МА",_xlpm.tk)))*NOT(ISNUMBER(SEARCH("MA",_xlpm.tk))),""),IFERROR(--SUBSTITUTE(SUBSTITUTE(INDEX(_xlpm.a_,1),"А",""),"A",""),"")))</f>
        <v/>
      </c>
      <c r="CU200" t="str" cm="1">
        <f t="array" ref="CU200">IF(CR200="","",_xlfn.LET(_xlpm.tk,_xlfn.TEXTSPLIT(UPPER(CR200)," ",,TRUE),_xlpm.a_,_xlfn._xlws.FILTER(_xlpm.tk,ISNUMBER(--LEFT(_xlpm.tk,1))*((ISNUMBER(SEARCH("МА",_xlpm.tk))+ISNUMBER(SEARCH("MA",_xlpm.tk)))&gt;0),""),IFERROR(--SUBSTITUTE(SUBSTITUTE(INDEX(_xlpm.a_,1),"МА",""),"MA",""),30)))</f>
        <v/>
      </c>
      <c r="CV200" t="str">
        <f>IF(CS200="","",IFERROR(_xlfn.XLOOKUP(CS200,Линии[_n],Линии[_УЗО, мА]),30))</f>
        <v/>
      </c>
      <c r="CW200">
        <f>IF(CS200="",0,IF(ISNUMBER(SEARCH("4P",IFERROR(_xlfn.XLOOKUP(CS200,Линии[_n],Линии[_УЗО строки])&amp;"",""))),0,1))</f>
        <v>0</v>
      </c>
      <c r="CX200" t="str">
        <f>IF(AND(CS200&lt;&gt;"",CS200=BA200),SUMIFS(Линии[_ток на 230 В],Линии[_блок УЗО],BA200,Линии[Щит],A200),"")</f>
        <v/>
      </c>
      <c r="CY200" t="str">
        <f>IF(AND(CS200&lt;&gt;"",CS200=BA200),SUMIFS(Линии[_ток утечки линии, мА],Линии[_блок УЗО],BA200,Линии[Щит],A200),"")</f>
        <v/>
      </c>
      <c r="CZ200">
        <f t="shared" si="444"/>
        <v>30</v>
      </c>
      <c r="DA200">
        <f t="shared" si="445"/>
        <v>30</v>
      </c>
      <c r="DB200">
        <f>IF(B200="",0,IFERROR(--_xlfn.XLOOKUP(B200,Коды_код,Коды_минавт),IFERROR(--_xlfn.XLOOKUP(BC200,Коды_код,Коды_минавт),IFERROR(--_xlfn.XLOOKUP(LEFT(BC200,2),Коды_код,Коды_минавт),0))))</f>
        <v>16</v>
      </c>
      <c r="DC200" t="str">
        <f>IF(B200="","",IFERROR(_xlfn.XLOOKUP(BC200,Коды_код,Коды_апп)&amp;"",""))</f>
        <v/>
      </c>
      <c r="DD200" t="str">
        <f t="shared" si="446"/>
        <v/>
      </c>
      <c r="DE200" t="str" cm="1">
        <f t="array" ref="DE200">IF(TRIM(DD200&amp;"")="","",IFERROR(TRIM(INDEX(_xlfn.TEXTSPLIT(DD200&amp;";;;",";"),1)),""))</f>
        <v/>
      </c>
      <c r="DF200" t="str" cm="1">
        <f t="array" ref="DF200">IF(TRIM(DD200&amp;"")="","",IFERROR(TRIM(INDEX(_xlfn.TEXTSPLIT(DD200&amp;";;;",";"),2)),""))</f>
        <v/>
      </c>
      <c r="DG200" t="str" cm="1">
        <f t="array" ref="DG200">IF(TRIM(DD200&amp;"")="","",IFERROR(TRIM(INDEX(_xlfn.TEXTSPLIT(DD200&amp;";;;",";"),3)),""))</f>
        <v/>
      </c>
      <c r="DH200">
        <f t="shared" si="447"/>
        <v>0</v>
      </c>
      <c r="DI200" t="str">
        <f>IF(B200="","",_xlfn.LET(_xlpm.t,LOWER(AZ200&amp;""),IF(ISNUMBER(SEARCH("dim",_xlpm.t)),"DIM",IF(ISNUMBER(SEARCH("dali",_xlpm.t)),"DALI",IF(OR(ISNUMBER(SEARCH("relay",_xlpm.t)),ISNUMBER(SEARCH("реле",_xlpm.t))),"Relay",IF(ISNUMBER(SEARCH("кнопк",_xlpm.t)),"",IFERROR(_xlfn.XLOOKUP(BC200,Коды_код,Коды_упр)&amp;"","")))))))</f>
        <v/>
      </c>
      <c r="DJ200" t="str">
        <f t="shared" si="448"/>
        <v/>
      </c>
      <c r="DK200">
        <f>IF(B200="","",_xlfn.LET(_xlpm.ig,IF(N(CX200)&gt;0,N(CX200),N(CI200)+IF(AJ200="вручную",0,N(CJ200))),_xlpm.n0,IFERROR(VLOOKUP(_xlpm.ig,Автомат_номиналы,2,TRUE),0),_xlpm.mn,MAX(DB200,IF(AJ200="вручную",0,N(CM200))),MAX(_xlpm.n0,_xlpm.mn,IF(DH200=1,Мин_автомат_БП,0))))</f>
        <v>16</v>
      </c>
      <c r="DL200">
        <f t="shared" si="449"/>
        <v>1</v>
      </c>
      <c r="DM200" t="str">
        <f t="shared" si="450"/>
        <v>2P</v>
      </c>
      <c r="DN200" t="str">
        <f>_xlfn.LET(_xlpm.cc,UPPER(TRIM(IFERROR(_xlfn.XLOOKUP(BC200,Коды_код,Коды_хар)&amp;"",""))),IF(OR(_xlpm.cc="B",_xlpm.cc="В"),"B",IF(_xlpm.cc="D","D","С")))</f>
        <v>С</v>
      </c>
      <c r="DO200" t="str">
        <f t="shared" si="451"/>
        <v>2P С16А 30мА</v>
      </c>
      <c r="DP200" t="str">
        <f t="shared" si="452"/>
        <v>2P С16А 30мА</v>
      </c>
      <c r="DQ200" t="str">
        <f t="shared" si="453"/>
        <v>2P С16А 30мА</v>
      </c>
      <c r="DR200" cm="1">
        <f t="array" ref="DR200">IF(DQ200="","",_xlfn.LET(_xlpm.t,SUBSTITUTE(SUBSTITUTE(SUBSTITUTE(UPPER(DQ200),"С","C"),"А","A"),"В","B"),_xlpm.tk,_xlfn.TEXTSPLIT(_xlpm.t," "),_xlpm.f,_xlfn._xlws.FILTER(_xlpm.tk,ISNUMBER(--MID(_xlpm.tk,2,1))*ISNUMBER(SEARCH(LEFT(_xlpm.tk,1)&amp;"#","B#C#D#"))*(LEN(_xlpm.tk)&gt;1),""),_xlpm.x,INDEX(_xlpm.f,1),IFERROR(--SUBSTITUTE(MID(_xlpm.x,2,9),"A",""),IFERROR(--SUBSTITUTE(INDEX(_xlfn._xlws.FILTER(_xlpm.tk,ISNUMBER(--SUBSTITUTE(_xlpm.tk,"A","")),""),1),"A",""),""))))</f>
        <v>16</v>
      </c>
      <c r="DS200" t="str">
        <f t="shared" si="454"/>
        <v>ok</v>
      </c>
      <c r="DT200">
        <f t="shared" si="455"/>
        <v>16</v>
      </c>
      <c r="DU200" t="str">
        <f t="shared" si="456"/>
        <v>2P С16А 30мА</v>
      </c>
      <c r="DV200">
        <f t="shared" si="457"/>
        <v>30</v>
      </c>
      <c r="DW200">
        <f t="shared" si="458"/>
        <v>1</v>
      </c>
      <c r="DX200">
        <f t="shared" si="459"/>
        <v>0</v>
      </c>
      <c r="DY200">
        <f t="shared" si="460"/>
        <v>10.027662570135606</v>
      </c>
      <c r="DZ200">
        <f t="shared" si="461"/>
        <v>1</v>
      </c>
      <c r="EA200">
        <f>IF(ISNUMBER(AP200),AP200,К_прокл)</f>
        <v>1</v>
      </c>
      <c r="EB200">
        <f t="shared" si="462"/>
        <v>2</v>
      </c>
      <c r="EC200">
        <f>IFERROR(N(VLOOKUP(BZ200,Кабель_обозначение,3,FALSE)),1)</f>
        <v>1</v>
      </c>
      <c r="ED200">
        <f>IFERROR(N(_xlfn.XLOOKUP(A200,Щиты[Щит],Щиты[ΔU до шин, %])),0)</f>
        <v>0.43</v>
      </c>
      <c r="EE200" t="str">
        <f>IFERROR(_xlfn.XLOOKUP(A200,Щиты[Щит],Щиты[Zпетли на шинах, Ом]),"")</f>
        <v/>
      </c>
      <c r="EF200">
        <f>IFERROR(N(_xlfn.XLOOKUP(A200,Щиты[Щит],Щиты[ΔU до шин (подбор), %])),0)</f>
        <v>0.43</v>
      </c>
      <c r="EG200" t="str">
        <f>IFERROR(_xlfn.XLOOKUP(A200,Щиты[Щит],Щиты[Zпетли на шинах (подбор), Ом]),"")</f>
        <v/>
      </c>
      <c r="EH200" t="str">
        <f t="shared" si="463"/>
        <v/>
      </c>
      <c r="EI200">
        <f t="shared" si="464"/>
        <v>61</v>
      </c>
      <c r="EJ200">
        <f t="shared" si="465"/>
        <v>2</v>
      </c>
      <c r="EK200">
        <f t="shared" si="466"/>
        <v>0.31</v>
      </c>
      <c r="EL200" s="6">
        <f>IF(B200="","",IF(BV200=1,dU_LED,IF(IFERROR(_xlfn.XLOOKUP(BC200,Коды_код,Коды_уго),"")="Светильник",3,4)+IF(Методика="нормы 2026",MIN(0.5,MAX(0,N(P200)-100)*0.005),0)))</f>
        <v>4</v>
      </c>
      <c r="EM200" cm="1">
        <f t="array" ref="EM200">IF(OR(B200="",BZ200="",EC200&lt;&gt;1),"",_xlfn.LET(_xlpm.sz,Iдоп_S,_xlpm.t_,CHOOSE(EB200,Iдоп_1ж,Iдоп_2ж,Iдоп_3ж)*DZ200*EA200,_xlpm.dcx,BV200=1,_xlpm.inn,IF(_xlpm.dcx,N(O200),N(DT200)),_xlpm.smin,MAX(1.5,CC200),_xlpm.L_,N(P200)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200)/N(BU200)*100,999),IFERROR(N(EJ200)*(_xlpm.rho*_xlpm.L_/_xlpm.sz*N(CE200)+_xlpm.xx*_xlpm.L_*N(EK200)/1000)*N(O200)/((Uн_лин/SQRT(3))*1000)*100,999)),_xlpm.kz,IF(OR(_xlpm.dcx,DW200=1,NOT(ISNUMBER(EG200)),_xlpm.L_=0,_xlpm.inn=0),1,IFERROR(--(c_min*(Uн_лин*1000/SQRT(3))/(EG200+2*ρкз_Cu*_xlpm.L_/_xlpm.sz)&gt;=HT200*_xlpm.inn),0)),_xlpm.ok,IFERROR((_xlpm.sz&gt;=_xlpm.smin)*(_xlpm.t_&gt;=_xlpm.inn)*IF(_xlpm.L_&gt;0,(_xlpm.du_+IF(_xlpm.dcx,0,EF200)&lt;=EL200+0.00001),1)*_xlpm.kz,0),_xlpm.r_,_xlfn._xlws.FILTER(_xlpm.sz,_xlpm.ok,"не подобрано"),INDEX(_xlpm.r_,1)))</f>
        <v>4</v>
      </c>
      <c r="EN200">
        <f t="shared" si="467"/>
        <v>2.5</v>
      </c>
      <c r="EO200" cm="1">
        <f t="array" ref="EO200">IF(OR(B200="",BZ200="",EC200&lt;&gt;1),"",_xlfn.LET(_xlpm.sz,Iдоп_S,_xlpm.t_,CHOOSE(EB200,Iдоп_1ж,Iдоп_2ж,Iдоп_3ж)*DZ200*EA200,_xlpm.ok,IFERROR((_xlpm.sz&gt;=MAX(1.5,CC200))*(_xlpm.t_&gt;=N(DT200)),0),_xlpm.r_,_xlfn._xlws.FILTER(_xlpm.sz,_xlpm.ok,""),INDEX(_xlpm.r_,1)))</f>
        <v>1.5</v>
      </c>
      <c r="EP200" s="6" cm="1">
        <f t="array" ref="EP200">IFERROR(ROUNDUP(N(EJ200)*(_xlfn.XLOOKUP(EO200,INDEX(Кабель_сопротивление,0,1),INDEX(Кабель_сопротивление,0,3))*N(P200)/EO200*N(CE200)+_xlfn.XLOOKUP(EO200,INDEX(Кабель_сопротивление,0,1),INDEX(Кабель_сопротивление,0,2))*N(P200)*N(EK200)/1000)*N(O200)/((Uн_лин/SQRT(3))*1000)*100,2),"")</f>
        <v>7.9399999999999995</v>
      </c>
      <c r="EQ200">
        <f>IFERROR(2*ρкз_Cu*N(P200)/EO200,"")</f>
        <v>2.2442666666666669</v>
      </c>
      <c r="ER200">
        <f>IFERROR(VLOOKUP(EN200,Кабель_сопротивление,3,FALSE),"")</f>
        <v>2.2499999999999999E-2</v>
      </c>
      <c r="ES200">
        <f>IFERROR(VLOOKUP(EN200,Кабель_сопротивление,2,FALSE),"")</f>
        <v>0.1</v>
      </c>
      <c r="ET200">
        <f t="shared" si="468"/>
        <v>15</v>
      </c>
      <c r="EU200">
        <f t="shared" si="469"/>
        <v>0</v>
      </c>
      <c r="EV200">
        <f t="shared" si="470"/>
        <v>11.014063681834703</v>
      </c>
      <c r="EW200" s="6">
        <f>IFERROR(ROUNDUP(EV200/IF(BV200=1,BU200,(Uн_лин/SQRT(3))*1000)*100,2),"")</f>
        <v>4.7699999999999996</v>
      </c>
      <c r="EX200" t="str">
        <f>IFERROR(VLOOKUP(BZ200,Кабель_обозначение,2,FALSE),"")</f>
        <v>ВВГнг(А)-LS</v>
      </c>
      <c r="EY200" t="str">
        <f t="shared" si="471"/>
        <v>ВВГнг(А)-LS (3х2,5)</v>
      </c>
      <c r="EZ200" t="str">
        <f t="shared" si="472"/>
        <v>ВВГнг(А)-LS (3х2,5)
L=64-4,77%</v>
      </c>
      <c r="FA200">
        <f>IFERROR(2*ρкз_Cu*P200/EN200,"")</f>
        <v>1.34656</v>
      </c>
      <c r="FB200">
        <f t="shared" si="473"/>
        <v>0.44800000000000006</v>
      </c>
      <c r="FC200" s="6" t="str">
        <f>IFERROR(IF(OR(B200="",BV200=1,NOT(ISNUMBER(EN200)),N(P200)=0),"",_xlfn.XLOOKUP(A200,Щиты[Щит],Щиты[Zпетли на шинах, Ом])+FA200),"")</f>
        <v/>
      </c>
      <c r="FD200" s="6" t="str">
        <f>IF(ISNUMBER(FC200),c_min*(Uн_лин*1000/SQRT(3))/FC200,"")</f>
        <v/>
      </c>
      <c r="FE200" s="6" t="str">
        <f>IFERROR(IF(OR(B200="",NOT(ISNUMBER(EN200))),"",1.05*(Uн_лин*1000/SQRT(3))/(_xlfn.XLOOKUP(A200,Щиты[Щит],Щиты[Zmax на шинах, Ом])+FB200)/1000),"")</f>
        <v/>
      </c>
      <c r="FF200" s="6" t="str">
        <f>IF(B200="","",IF(ISNUMBER(AC200),"Сил",IF(IFERROR(_xlfn.XLOOKUP(BC200,Коды_код,Коды_группа)&amp;"","")="","Быт",_xlfn.XLOOKUP(BC200,Коды_код,Коды_группа)&amp;"")))</f>
        <v>Быт</v>
      </c>
      <c r="FG200" s="6" t="str">
        <f t="shared" si="474"/>
        <v>Быт</v>
      </c>
      <c r="FH200" s="6">
        <f>IF(FG200="Щит","щит",IF(FG200="","",IF(FG200="Быт",IFERROR(_xlfn.XLOOKUP(A200,Щиты[Щит],Щиты[Кс быт]),1),IF(FG200="Сил",IF(ISNUMBER(AC200),AC200,IF(Методика="нормы 2026",IFERROR(_xlfn.XLOOKUP(A200,Щиты[Щит],Щиты[Кс силовых (табл. 7.5)]),1),1)),IF(OR(FG200="Пост",FG200="Отоп"),1,IF(FG200="ВНГ",0.7,0))))))</f>
        <v>0.79799999999999993</v>
      </c>
      <c r="FI200">
        <f>IF(FG200="","",IF(AND(BP200=1,TRIM(AE200&amp;"")=""),IF(COUNTIFS(Линии[Щит],A200,Линии[Секция (1/2/3)],"&gt;=2")&gt;0,MIN(3,MAX(1,IFERROR(--BD200,1))),1),IFERROR(MIN(3,MAX(1,INT(--AE200))),1)))</f>
        <v>1</v>
      </c>
      <c r="FJ200">
        <f t="shared" si="475"/>
        <v>2.2000000000000002</v>
      </c>
      <c r="FK200">
        <f t="shared" si="476"/>
        <v>2.2000000000000002</v>
      </c>
      <c r="FL200">
        <f t="shared" si="477"/>
        <v>0</v>
      </c>
      <c r="FM200">
        <f t="shared" si="478"/>
        <v>0</v>
      </c>
      <c r="FN200">
        <f t="shared" si="479"/>
        <v>0</v>
      </c>
      <c r="FO200">
        <f t="shared" si="480"/>
        <v>0</v>
      </c>
      <c r="FP200">
        <f t="shared" si="481"/>
        <v>2.2000000000000002</v>
      </c>
      <c r="FQ200">
        <f t="shared" si="482"/>
        <v>2.2000000000000002</v>
      </c>
      <c r="FR200">
        <f t="shared" si="483"/>
        <v>2.09</v>
      </c>
      <c r="FS200">
        <f>IF(CG200=1,IF(AND(CH200=1,CW200=1),0,IF(AND(CS200&lt;&gt;"",CS200=BA200,CW200=1),SUMIFS(Линии[_Р линии, кВт],Линии[_блок УЗО],BA200,Линии[Щит],A200),N(BS200)+IF(AJ200="вручную",0,N(CK200)))),0)</f>
        <v>2.2000000000000002</v>
      </c>
      <c r="FT200" t="str">
        <f t="shared" si="484"/>
        <v>L1</v>
      </c>
      <c r="FU200" t="str">
        <f>IF(B200="","",IF(CG200=0,IF(BA200=1,"",FW199),IF(AND(CH200=1,CW200=1,CS200&lt;&gt;""),IFERROR(_xlfn.XLOOKUP(CS200,Линии[_n],Линии[_фаза итог]),"L1"),IF(OR(N(DL200)&gt;=3,N(BX200)&gt;=3),"L1,L2,L3",IFERROR(_xlfn.TEXTBEFORE(_xlfn.TEXTAFTER(_xlfn.XLOOKUP(A200,Щиты[Щит],Щиты[_фазы авто]),";"&amp;BA200&amp;":"),";"),"L1")))))</f>
        <v>L1</v>
      </c>
      <c r="FV200" t="str">
        <f t="shared" si="485"/>
        <v>L1</v>
      </c>
      <c r="FW200" t="str">
        <f t="shared" si="486"/>
        <v>L1</v>
      </c>
      <c r="FX200" cm="1">
        <f t="array" ref="FX200">IFERROR(IF(CD200=2,_xlfn.IFS(BX200=3,VLOOKUP(BS200,Справочная_двигатели,3,FALSE),BX200=1,VLOOKUP(BS200,Справочная_двигатели,5,TRUE)),0),0)</f>
        <v>0</v>
      </c>
      <c r="FY200">
        <f>IFERROR(IF(CD200=3,VLOOKUP(BS200,Справочная_ЛЭД,2,TRUE),0),0)</f>
        <v>0</v>
      </c>
      <c r="FZ200" s="6">
        <f t="shared" si="487"/>
        <v>0</v>
      </c>
      <c r="GA200" t="str">
        <f>IF(B200="","",IF(TRIM(AH200&amp;"")&lt;&gt;"",IF(LOWER(TRIM(AH200&amp;""))="да","да","нет"),IF(IFERROR(_xlfn.XLOOKUP(BC200,Коды_код,Коды_пожарная),"")="да","да","нет")))</f>
        <v>нет</v>
      </c>
      <c r="GB200" t="str">
        <f t="shared" si="488"/>
        <v/>
      </c>
      <c r="GC200" t="str">
        <f t="shared" si="489"/>
        <v>основная</v>
      </c>
      <c r="GD200">
        <f>IF(AND(BP200=1,TRIM(AE200&amp;"")=""),IF(COUNTIFS(Линии[Щит],A200,Линии[Секция (1/2/3)],"&gt;=2")&gt;0,MIN(3,MAX(1,IFERROR(--BD200,1))),1),IFERROR(MIN(3,MAX(1,INT(--AE200))),1))</f>
        <v>1</v>
      </c>
      <c r="GE200" t="str" cm="1">
        <f t="array" ref="GE200">IF(B200="","",_xlfn.LET(_xlpm.t,IFERROR(_xlfn.XLOOKUP(1,(Шины[Шина]=GC200)*(((Шины[Щит]=A200)+(Шины[Щит]=""))&gt;0),Шины[Тип]),"")&amp;"",IF(_xlpm.t&lt;&gt;"",_xlpm.t,IF(ISNUMBER(SEARCH("ИБП",GC200)),"ИБП",IF(ISNUMBER(SEARCH("ДГУ",GC200)),"ДГУ","Ввод "&amp;GD200)))))</f>
        <v>Ввод 1</v>
      </c>
      <c r="GF200" t="str">
        <f t="shared" si="490"/>
        <v>Ввод 1</v>
      </c>
      <c r="GG200" t="str">
        <f>IF(BP200=0,"",IF(TRIM(AG200&amp;"")&lt;&gt;"",TRIM(AG200&amp;""),IF(OR(GE200="ИБП",GE200="ДГУ"),"I особая",_xlfn.XLOOKUP(A200,Щиты[Щит],Щиты[Категория шины «Ввод»],"III"))))</f>
        <v/>
      </c>
      <c r="GH200" t="str">
        <f>IF(A200="","",_xlfn.XLOOKUP(A200,Щиты[Щит],Щиты[Путь],""))</f>
        <v>|ГРЩ-ЖД|ЩР-01|</v>
      </c>
      <c r="GI200" t="str">
        <f>IF(B200="","",IF(AI200&lt;&gt;"",AI200,IF(IFERROR(_xlfn.XLOOKUP(BC200,Коды_код,Коды_вид)&amp;"","")="","Прочее",_xlfn.XLOOKUP(BC200,Коды_код,Коды_вид)&amp;"")))</f>
        <v>Розеточная сеть и бытовые приборы</v>
      </c>
      <c r="GJ200">
        <f>IF(BM200="","",INT((BM200-1)/Столбцов_на_лист)+1)</f>
        <v>2</v>
      </c>
      <c r="GK200" t="str">
        <f t="shared" si="491"/>
        <v>ВВГнг(А)-LS (3х2,5) L=64-4,77%</v>
      </c>
      <c r="GL200">
        <f t="shared" si="492"/>
        <v>2.2000000000000002</v>
      </c>
      <c r="GM200">
        <f t="shared" si="493"/>
        <v>10.029999999999999</v>
      </c>
      <c r="GN200">
        <f t="shared" si="494"/>
        <v>1</v>
      </c>
      <c r="GO200">
        <f t="shared" si="495"/>
        <v>0</v>
      </c>
      <c r="GP200">
        <f t="shared" si="496"/>
        <v>1</v>
      </c>
      <c r="GQ200">
        <f>IF(BM200="","",IF(AND(CG200=1,GP200=1),COUNTIFS(A$3:A200,A200,CG$3:CG200,1,GP$3:GP200,1),IF(OR(OR(BA200=1,A200&lt;&gt;A199),AJ200="вручную",GP200=0),"",IF(BA200=1,"",GR199))))</f>
        <v>16</v>
      </c>
      <c r="GR200">
        <f t="shared" si="497"/>
        <v>16</v>
      </c>
      <c r="GS200">
        <f>IF(B200="","",IFERROR(LOOKUP(INDEX(CHOOSE(EB200,Iдоп_1ж,Iдоп_2ж,Iдоп_3ж),MATCH(EN200,Iдоп_S,0))*DZ200*EA200,{6,10,16,20,25,32,40,50,63,80,100,125,160,200,250,315,400,500,630}),""))</f>
        <v>25</v>
      </c>
      <c r="GT200" t="str">
        <f t="shared" si="498"/>
        <v>QFD16</v>
      </c>
      <c r="GU200" t="str">
        <f t="shared" si="499"/>
        <v>QFD16</v>
      </c>
      <c r="GV200" t="str">
        <f t="shared" si="500"/>
        <v/>
      </c>
      <c r="GW200">
        <f t="shared" si="501"/>
        <v>0</v>
      </c>
      <c r="GX200" t="str">
        <f>IF(OR(B200="",DJ200=""),"",IFERROR(_xlfn.XLOOKUP(DJ200,Модули_умолч[Управление],Модули_умолч[Модель])&amp;"",""))</f>
        <v/>
      </c>
      <c r="GY200">
        <f>IF(DJ200="",1,IFERROR(MAX(0,N(_xlfn.XLOOKUP(DJ200,Модули_умолч[Управление],Модули_умолч[Каналов на линию]))),1))</f>
        <v>1</v>
      </c>
      <c r="GZ200" t="str">
        <f t="shared" si="502"/>
        <v/>
      </c>
      <c r="HA200" t="str">
        <f t="shared" si="503"/>
        <v/>
      </c>
      <c r="HB200" t="str">
        <f t="shared" si="504"/>
        <v/>
      </c>
      <c r="HC200">
        <f>IF(HB200="",0,IFERROR(N(VLOOKUP(HB200,Модули_спр,3,FALSE)),0))</f>
        <v>0</v>
      </c>
      <c r="HD200" t="str">
        <f t="shared" si="505"/>
        <v/>
      </c>
      <c r="HE200" t="str">
        <f t="shared" si="506"/>
        <v/>
      </c>
      <c r="HF200" t="str">
        <f>IF(OR(HE200="",HE200="-"),"",IFERROR(VLOOKUP(HE200,Модули_спр,2,FALSE),"R"))</f>
        <v/>
      </c>
      <c r="HG200" t="str">
        <f>IF(HF200="","",HF200&amp;"."&amp;COUNTIFS(A$3:A200,A200,HF$3:HF200,HF200))</f>
        <v/>
      </c>
      <c r="HH200" t="str">
        <f t="shared" si="507"/>
        <v/>
      </c>
      <c r="HI200" t="str">
        <f t="shared" si="508"/>
        <v/>
      </c>
      <c r="HJ200" t="str">
        <f t="shared" si="509"/>
        <v/>
      </c>
      <c r="HK200" t="str">
        <f t="shared" si="510"/>
        <v/>
      </c>
      <c r="HL200">
        <f t="shared" si="511"/>
        <v>1</v>
      </c>
      <c r="HM200" t="str">
        <f>IF(HL200=1,"XT"&amp;COUNTIFS(A$3:A200,A200,HL$3:HL200,1),"")</f>
        <v>XT16</v>
      </c>
      <c r="HN200" t="str">
        <f t="shared" si="512"/>
        <v/>
      </c>
      <c r="HO200" t="str">
        <f t="shared" si="513"/>
        <v>QFD16</v>
      </c>
      <c r="HP200" t="str">
        <f t="shared" si="514"/>
        <v/>
      </c>
      <c r="HQ200" t="str">
        <f t="shared" si="515"/>
        <v>ok</v>
      </c>
      <c r="HR200" t="str">
        <f>IF(OR(HJ200="",HH200=""),"",IF(HJ200+MAX(0,GY200-1)&gt;IFERROR(VLOOKUP(HI200,Модули_спр,3,FALSE),99),"ЛИШНИЙ КАНАЛ",IF(AND(AL200&lt;&gt;"=",GY200&gt;0,COUNTIFS(Линии[_модуль гр.],HH200,Линии[Канал (итог)],HJ200,Линии[Канал],"&lt;&gt;=",Линии[Щит],A200)&gt;1),"ДУБЛЬ КАНАЛА","")))</f>
        <v/>
      </c>
      <c r="HS200" s="6" t="str">
        <f t="shared" si="516"/>
        <v/>
      </c>
      <c r="HT200">
        <f t="shared" si="517"/>
        <v>10</v>
      </c>
      <c r="HU200" t="str">
        <f t="shared" si="518"/>
        <v/>
      </c>
      <c r="HV200">
        <f t="shared" si="519"/>
        <v>4.6510650280542425</v>
      </c>
      <c r="HW200">
        <f t="shared" si="520"/>
        <v>0</v>
      </c>
      <c r="HX200">
        <f t="shared" si="521"/>
        <v>0</v>
      </c>
      <c r="HY200">
        <f t="shared" si="522"/>
        <v>0</v>
      </c>
      <c r="HZ200">
        <f t="shared" si="523"/>
        <v>0</v>
      </c>
      <c r="IA200">
        <f t="shared" si="524"/>
        <v>0</v>
      </c>
      <c r="IB200">
        <f t="shared" si="525"/>
        <v>0</v>
      </c>
      <c r="IC200" t="str">
        <f t="shared" si="526"/>
        <v/>
      </c>
      <c r="ID200" t="str" cm="1">
        <f t="array" ref="ID200">IF(IC200="","",_xlfn.LET(_xlpm.tk,_xlfn.TEXTSPLIT(SUBSTITUTE(SUBSTITUTE(IC200,";"," "),"→"," ")," ",,TRUE),_xlpm.w_,_xlfn._xlws.FILTER(_xlpm.tk,ISNUMBER(--LEFT(_xlpm.tk,1))*((ISNUMBER(SEARCH("W",_xlpm.tk))+ISNUMBER(SEARCH("Вт",_xlpm.tk)))&gt;0),""),IFERROR(--SUBSTITUTE(SUBSTITUTE(UPPER(INDEX(_xlpm.w_,1)),"W",""),"ВТ",""),"")))</f>
        <v/>
      </c>
      <c r="IE200" t="str" cm="1">
        <f t="array" ref="IE200">IF(IC200="","",_xlfn.LET(_xlpm.tk,_xlfn.TEXTSPLIT(SUBSTITUTE(SUBSTITUTE(IC200,";"," "),"→"," ")," ",,TRUE),_xlpm.v_,_xlfn._xlws.FILTER(_xlpm.tk,ISNUMBER(--LEFT(_xlpm.tk,1))*((ISNUMBER(SEARCH("V",_xlpm.tk))+(RIGHT(UPPER(_xlpm.tk))="В"))&gt;0),""),IFERROR(--SUBSTITUTE(SUBSTITUTE(UPPER(INDEX(_xlpm.v_,1)),"V",""),"В",""),"")))</f>
        <v/>
      </c>
      <c r="IF200" s="6" t="str">
        <f>IF(OR(BV200=0,HI200="",HJ200=""),"",IFERROR(N(_xlfn.XLOOKUP(HI200,Каталог!$C$4:$C$500,Каталог!$Q$4:$Q$500)),""))</f>
        <v/>
      </c>
      <c r="IG200" s="6" t="str">
        <f>IF(N(IF200)=0,"",SUMIFS(Линии[Iр, А],Линии[Щит],A200,Линии[_модуль гр.],HH200,Линии[Канал (итог)],HJ200))</f>
        <v/>
      </c>
      <c r="IH200" t="str">
        <f>IF(AND(B200="",HO200=""),"",_xlfn.TEXTJOIN("; ",TRUE,IF(AND(B200&lt;&gt;"",FV200=""),"нет фазы",""),IF(AND(B200&lt;&gt;"",N(GL200)=0,FG200&lt;&gt;"Нет"),"нет мощности",""),IF(AND(HN200&lt;&gt;"",COUNTIFS(Линии[Щит],A200,Линии[Клемма (итог)],HN200)&gt;1),"дубль клеммы "&amp;HN200,""),IF(AND(HQ200&lt;&gt;"",HQ200&lt;&gt;"ok"),HQ200,""),IF(HR200&lt;&gt;"",HR200,""),IF(AND(N(CB200)&gt;=4,N(BX200)=1),CB200&amp;" жил на 1 фазе",""),IF(AND(BC200="R",CG200=1,IF(CS200&lt;&gt;"",N(CV200)&gt;30,OR(N(DA200)=0,N(DA200)&gt;30))),"розетка без дифзащиты до 30 мА",""),IF(AND(CG200=1,N(DA200)&gt;0,ISNUMBER(T200)),IF(T200&gt;N(DA200)/3,"ток утечки "&amp;FIXED(T200,1)&amp;" мА &gt; 1/3 уставки ("&amp;DA200&amp;" мА)",""),""),IF(AND(CH200=1,CS200=""),"«узо»: нет строки с УЗО выше (УЗО 2P 40А 30мА в «Аппаратах»)",""),IF(AND(CS200&lt;&gt;"",CS200=BA200),IF(CT200="","впишите номинал УЗО (УЗО 2P 40А 30мА)",IF(N(CT200)&lt;N(DT200),"УЗО "&amp;CT200&amp;" А &lt; автомата "&amp;DT200&amp;" А перед ним",IF(N(CT200)&lt;N(CX200),"УЗО "&amp;CT200&amp;" А &lt; тока блока "&amp;FIXED(CX200,1)&amp;" А",""))),""),IF(AND(CS200&lt;&gt;"",CS200=BA200,ISNUMBER(CY200)),IF(CY200&gt;N(CV200)/3,"ток утечки блока УЗО "&amp;FIXED(CY200,1)&amp;" мА &gt; 1/3 уставки ("&amp;CV200&amp;" мА)",""),""),IF(AND(CG200=1,N(BV200)+N(IB200)&gt;0,IC200=""),"линии до 50 В без БП: впишите в «Аппараты» (БП 24V 480W)",""),IF(AND(CG200=1,ISNUMBER(ID200),ISNUMBER(U200)),IF(U200&gt;ID200,"БП "&amp;ID200&amp;" Вт &lt; нужно "&amp;U200&amp;" Вт (×"&amp;Запас_БП&amp;")",""),""),IF(AND(CG200=1,ISNUMBER(IE200),N(BV200)=1),IF(IE200&lt;&gt;N(BU200),"БП на "&amp;IE200&amp;" В, линия "&amp;BU200&amp;" В",""),""),IF(AND(N(IF200)&gt;0,N(IG200)&gt;N(IF200)),HH200&amp;" канал "&amp;HJ200&amp;": "&amp;FIXED(IG200,1)&amp;" А &gt; "&amp;IF200&amp;" А",""),IFERROR(IF(AND(ISNUMBER(Q200),Q200&gt;EL200),"потери "&amp;FIXED(Q200,1)&amp;" % &gt; "&amp;EL200&amp;" %",""),""),IFERROR(IF(LEFT(HU200,4)="мало","Iкз мало — отключение &gt; 0,4 с",""),""),IF(AND(B200&lt;&gt;"",BM200=""),"не на схеме",""),IF(AND(CG200=0,B200&lt;&gt;"",FV200&lt;&gt;"",IF(BA200=1,"",FW199)&lt;&gt;"",FV200&lt;&gt;IF(BA200=1,"",FW199)),"фаза не как у автомата группы ("&amp;IF(BA200=1,"",FW199)&amp;")","")))</f>
        <v>потери 5,2 % &gt; 4 %</v>
      </c>
      <c r="II200" s="6">
        <f>IF(OR(CG200=0,DQ200=""),"",_xlfn.LET(_xlpm.t,IFERROR(_xlfn.XLOOKUP(DQ200,Каталог!$U$4:$U$500,Каталог!$G$4:$G$500),""),_xlpm.k,SEARCH("кА",_xlpm.t),IFERROR(--TRIM(RIGHT(SUBSTITUTE(MID(_xlpm.t,MAX(1,_xlpm.k-4),_xlpm.k-MAX(1,_xlpm.k-4))," ",REPT(" ",9)),5)),"")))</f>
        <v>6</v>
      </c>
      <c r="IJ200" t="str">
        <f>IF(OR(II200="",CG200=0),"",IF(_xlfn.XLOOKUP(A200,Щиты[Щит],Щиты[Iкз max на шинах, кА],"")="","",IF(II200&lt;_xlfn.XLOOKUP(A200,Щиты[Щит],Щиты[Iкз max на шинах, кА]),"Icu "&amp;II200&amp;" кА &lt; Iкз max","ok")))</f>
        <v/>
      </c>
      <c r="IK200" t="str">
        <f t="shared" si="527"/>
        <v/>
      </c>
      <c r="IL200" t="str">
        <f t="shared" si="528"/>
        <v>QFD16</v>
      </c>
      <c r="IM200" t="str">
        <f t="shared" si="529"/>
        <v>QFD16|кабель ВВГнг(А)-LS (3х2,5) → Розеточная группа Цокольный этаж Пом. №008A Душ виши</v>
      </c>
      <c r="IN200" t="str" cm="1">
        <f t="array" ref="IN200">IF(IM200="","",_xlfn.LET(_xlpm.nd,_xlfn.TEXTSPLIT(IM200,"|"),IF(COLUMNS(_xlpm.nd)&gt;1,A200&amp;"¦"&amp;INDEX(_xlpm.nd,1)&amp;"¦"&amp;INDEX(_xlpm.nd,2),"")))</f>
        <v>ЩР-01¦QFD16¦кабель ВВГнг(А)-LS (3х2,5) → Розеточная группа Цокольный этаж Пом. №008A Душ виши</v>
      </c>
      <c r="IO200" t="str">
        <f t="shared" si="530"/>
        <v>R.0.008A.2¦Розеточная группа Цокольный этаж Пом. №008A Душ виши</v>
      </c>
      <c r="IP200" t="str" cm="1">
        <f t="array" ref="IP200">IF(IM200="","",_xlfn.LET(_xlpm.nd,_xlfn.TEXTSPLIT(IM200,"|"),IF(COLUMNS(_xlpm.nd)&gt;2,A200&amp;"¦"&amp;INDEX(_xlpm.nd,2)&amp;"¦"&amp;INDEX(_xlpm.nd,3),"")))</f>
        <v/>
      </c>
      <c r="IQ200" t="str">
        <f t="shared" si="531"/>
        <v/>
      </c>
      <c r="IR200" t="str" cm="1">
        <f t="array" ref="IR200">IF(IM200="","",_xlfn.LET(_xlpm.nd,_xlfn.TEXTSPLIT(IM200,"|"),IF(COLUMNS(_xlpm.nd)&gt;3,A200&amp;"¦"&amp;INDEX(_xlpm.nd,3)&amp;"¦"&amp;INDEX(_xlpm.nd,4),"")))</f>
        <v/>
      </c>
      <c r="IS200" t="str">
        <f t="shared" si="532"/>
        <v/>
      </c>
      <c r="IT200" t="str" cm="1">
        <f t="array" ref="IT200">IF(IM200="","",_xlfn.LET(_xlpm.nd,_xlfn.TEXTSPLIT(IM200,"|"),IF(COLUMNS(_xlpm.nd)&gt;4,A200&amp;"¦"&amp;INDEX(_xlpm.nd,4)&amp;"¦"&amp;INDEX(_xlpm.nd,5),"")))</f>
        <v/>
      </c>
      <c r="IU200" t="str">
        <f t="shared" si="533"/>
        <v/>
      </c>
      <c r="IV200" t="str" cm="1">
        <f t="array" ref="IV200">IF(IM200="","",_xlfn.LET(_xlpm.nd,_xlfn.TEXTSPLIT(IM200,"|"),IF(COLUMNS(_xlpm.nd)&gt;5,A200&amp;"¦"&amp;INDEX(_xlpm.nd,5)&amp;"¦"&amp;INDEX(_xlpm.nd,6),"")))</f>
        <v/>
      </c>
      <c r="IW200" t="str">
        <f t="shared" si="534"/>
        <v/>
      </c>
      <c r="IX200" t="str" cm="1">
        <f t="array" ref="IX200">IF(IM200="","",_xlfn.LET(_xlpm.nd,_xlfn.TEXTSPLIT(IM200,"|"),IF(COLUMNS(_xlpm.nd)&gt;6,A200&amp;"¦"&amp;INDEX(_xlpm.nd,6)&amp;"¦"&amp;INDEX(_xlpm.nd,7),"")))</f>
        <v/>
      </c>
      <c r="IY200" t="str">
        <f t="shared" si="535"/>
        <v/>
      </c>
      <c r="IZ200" t="str">
        <f t="shared" si="536"/>
        <v/>
      </c>
      <c r="JA200" t="str">
        <f t="shared" si="537"/>
        <v>QFD16</v>
      </c>
      <c r="JB200">
        <f t="shared" si="538"/>
        <v>0</v>
      </c>
      <c r="JC200">
        <f t="shared" si="539"/>
        <v>1</v>
      </c>
      <c r="JD200" t="str">
        <f t="shared" si="540"/>
        <v/>
      </c>
      <c r="JE200" t="str">
        <f t="shared" si="541"/>
        <v/>
      </c>
      <c r="JF200" t="str">
        <f t="shared" si="542"/>
        <v/>
      </c>
      <c r="JG200" t="str">
        <f t="shared" si="543"/>
        <v/>
      </c>
      <c r="JH200" t="str">
        <f>IF(B200="","",IFERROR(_xlfn.XLOOKUP(B200,Коды_код,Коды_уго),IFERROR(_xlfn.XLOOKUP(BC200,Коды_код,Коды_уго),IFERROR(_xlfn.XLOOKUP(LEFT(BC200,2),Коды_код,Коды_уго),""))))</f>
        <v>Розетка</v>
      </c>
      <c r="JI200" t="str">
        <f>IF(B200="","",IF(OR(JH200="",JH200=0),"BOX",IFERROR(IF(VLOOKUP(JH200,УГО_блоки,3,FALSE)&amp;""&lt;&gt;"",VLOOKUP(JH200,УГО_блоки,3,FALSE),VLOOKUP(JH200,УГО_блоки,2,FALSE)),JH200)))</f>
        <v>SOCKET</v>
      </c>
      <c r="JJ200">
        <f t="shared" si="544"/>
        <v>1</v>
      </c>
      <c r="JK200" t="str">
        <f>IF(DQ200="","",IF(COUNTIF(DQ$3:DQ200,DQ200)=1,MAX(JK$2:JK199)+1,""))</f>
        <v/>
      </c>
      <c r="JL200" t="str">
        <f>IF(DE200="","",IF(COUNTIF(DE$3:DE200,DE200)+COUNTIF(DF$2:DF199,DE200)+COUNTIF(DG$2:DG199,DE200)=1,MAX(JL$2:JN199)+1,""))</f>
        <v/>
      </c>
      <c r="JM200" t="str">
        <f>IF(DF200="","",IF(COUNTIF(DE$3:DE200,DF200)+COUNTIF(DF$3:DF200,DF200)+COUNTIF(DG$2:DG199,DF200)=1,MAX(JL$2:JN199,JL200)+1,""))</f>
        <v/>
      </c>
      <c r="JN200" t="str">
        <f>IF(DG200="","",IF(COUNTIF(DE$3:DE200,DG200)+COUNTIF(DF$3:DF200,DG200)+COUNTIF(DG$3:DG200,DG200)=1,MAX(JL$2:JN199,JL200,JM200)+1,""))</f>
        <v/>
      </c>
      <c r="JO200" t="str">
        <f t="shared" si="545"/>
        <v>3х2,5</v>
      </c>
      <c r="JP200" t="str">
        <f>IF(JO200="","",IF(COUNTIF(JO$3:JO200,JO200)=1,MAX(JP$2:JP199)+1,""))</f>
        <v/>
      </c>
      <c r="JQ200" t="str">
        <f>IF(HG200="","",COUNTIF(HG$3:HG200,"?*"))</f>
        <v/>
      </c>
      <c r="JR200" t="str">
        <f>IF(OR(HG200="",HI200=""),"",IF(COUNTIFS(HG$3:HG200,"?*",HI$3:HI200,HI200)=1,MAX(JR$2:JR199)+1,""))</f>
        <v/>
      </c>
      <c r="JS200">
        <f t="shared" si="546"/>
        <v>1</v>
      </c>
      <c r="JT200">
        <f>IF(B200="","",COUNTIF(B$3:B200,"?*"))</f>
        <v>198</v>
      </c>
      <c r="JU200">
        <f>IF(HL200&lt;&gt;1,0,_xlfn.LET(_xlpm.k,MAX(IFERROR(--_xlfn.XLOOKUP(B200,Коды_код,Коды_3L),0),IFERROR(--_xlfn.XLOOKUP(BC200,Коды_код,Коды_3L),0),IFERROR(--_xlfn.XLOOKUP(LEFT(BC200,2),Коды_код,Коды_3L),0)),IF(_xlpm.k&gt;0,_xlpm.k,IF(IFERROR(--LEFT(SUBSTITUTE(JO200,"x","х"),FIND("х",SUBSTITUTE(JO200,"x","х"))-1),3)&gt;3,Каталог!$S$9,1))))</f>
        <v>1</v>
      </c>
      <c r="JV200">
        <f t="shared" si="547"/>
        <v>0</v>
      </c>
      <c r="JW200" t="str">
        <f t="shared" si="548"/>
        <v>авто</v>
      </c>
      <c r="JX200">
        <f t="shared" si="549"/>
        <v>30</v>
      </c>
      <c r="JY200">
        <f t="shared" si="550"/>
        <v>1</v>
      </c>
      <c r="JZ200">
        <f t="shared" si="551"/>
        <v>1</v>
      </c>
    </row>
    <row r="201" spans="1:286" x14ac:dyDescent="0.3">
      <c r="A201" t="s">
        <v>755</v>
      </c>
      <c r="B201" t="s">
        <v>1508</v>
      </c>
      <c r="C201" t="str">
        <f>Линии[[#This Row],[_авто наименование]]</f>
        <v>Розеточная группа, пом. 009A</v>
      </c>
      <c r="D201">
        <v>4</v>
      </c>
      <c r="E201">
        <v>0.24</v>
      </c>
      <c r="G201" t="str">
        <f>Линии[[#This Row],[_авто автомат]]</f>
        <v>2P С16А 30мА</v>
      </c>
      <c r="H201" t="str">
        <f>Линии[[#This Row],[_авто управление]]</f>
        <v/>
      </c>
      <c r="I201" t="str">
        <f>Линии[[#This Row],[_авто аппараты]]</f>
        <v/>
      </c>
      <c r="J201">
        <v>2.5</v>
      </c>
      <c r="K201">
        <v>31</v>
      </c>
      <c r="L201">
        <v>2</v>
      </c>
      <c r="M201" t="s">
        <v>484</v>
      </c>
      <c r="N201" t="str">
        <f t="shared" si="414"/>
        <v/>
      </c>
      <c r="O201" s="6" cm="1">
        <f t="array" ref="O201">IF(B201="","",IF(BH201&lt;&gt;"",IFERROR(_xlfn.XLOOKUP(BH201,Щиты[Щит],Щиты[Iр, А]),""),IF(BP201=1,IF(OR(N(_xlfn.XLOOKUP(A201,Щиты[Щит],Щиты[Вводов],1))&lt;=1,LOWER(TRIM(_xlfn.XLOOKUP(A201,Щиты[Щит],Щиты[АВР],"")&amp;""))="да"),IFERROR(_xlfn.XLOOKUP(A201,Щиты[Щит],Щиты[Iр, А]),""),IFERROR(N(BS201)*_xlfn.XLOOKUP(A201,Щиты[Щит],Щиты[Кс итог])/(SQRT(3)*Uн_лин*_xlfn.XLOOKUP(A201,Щиты[Щит],Щиты[cos φ])),"")),IF(BV201=1,IFERROR(BS201*1000/BU201,""),IFERROR(_xlfn.IFS(BX201=1,BS201/((Uн_лин/SQRT(3))*CE201),BX201=3,BS201/(SQRT(3)*Uн_лин*CE201)),"")))))</f>
        <v>1.0939268258329751</v>
      </c>
      <c r="P201" s="7">
        <f>IF(B201="","",IFERROR(IF(VLOOKUP(BC201,Потребители_обозначение,4,FALSE)=1,VLOOKUP(BC201,Потребители_обозначение,3,FALSE)*(MAX(1,N(D201))*2-1)+EI201+VLOOKUP(BE201,Этаж_обозначение,3,FALSE)+VLOOKUP(BE201,Этаж_обозначение,4,FALSE),VLOOKUP(BC201,Потребители_обозначение,3,FALSE)*(MAX(1,N(D201))*2-1)+EI201),EI201))</f>
        <v>52</v>
      </c>
      <c r="Q201" s="6">
        <f t="shared" si="415"/>
        <v>0.86</v>
      </c>
      <c r="R201" t="str">
        <f t="shared" si="416"/>
        <v>ВВГнг(А)-LS (3х2,5)</v>
      </c>
      <c r="S201" t="str">
        <f>IF(BM201="","",IF(BN201="вводной узел","узел ","")&amp;"л."&amp;(INT((BM201-1)/Столбцов_на_лист)+1)&amp;" / "&amp;(MOD(BM201-1,Столбцов_на_лист)+1))</f>
        <v>л.2 / 10</v>
      </c>
      <c r="T201" s="119">
        <f t="shared" si="417"/>
        <v>1</v>
      </c>
      <c r="U201" s="7" t="str">
        <f>IF(OR(CG201=0,N(BV201)+N(IB201)=0),"",ROUNDUP(Запас_БП*(N(HY201)+N(HZ201)),0))</f>
        <v/>
      </c>
      <c r="V201" s="119" t="str">
        <f t="shared" si="418"/>
        <v/>
      </c>
      <c r="W201" s="7" t="str">
        <f>IFERROR(IF(OR(B201="",BP201=1,BV201=1,NOT(ISNUMBER(EN201)),N(DT201)=0),"",MAX(0,ROUNDDOWN((c_min*(Uн_лин*1000/SQRT(3))/(HT201*N(DT201))-_xlfn.XLOOKUP(A201,Щиты[Щит],Щиты[Zпетли на шинах, Ом]))*EN201/(2*ρкз_Cu),0))),"")</f>
        <v/>
      </c>
      <c r="Y201">
        <f>Линии[[#This Row],[_авто утечка]]</f>
        <v>30</v>
      </c>
      <c r="Z201">
        <v>1</v>
      </c>
      <c r="AA201">
        <v>230</v>
      </c>
      <c r="AB201" t="s">
        <v>562</v>
      </c>
      <c r="AG201" t="s">
        <v>810</v>
      </c>
      <c r="AI201" t="s">
        <v>561</v>
      </c>
      <c r="AK201" t="str">
        <f>Линии[[#This Row],[_авто модуль]]</f>
        <v/>
      </c>
      <c r="AM201">
        <v>27</v>
      </c>
      <c r="AN201" t="s">
        <v>11</v>
      </c>
      <c r="AO201">
        <v>3</v>
      </c>
      <c r="AQ201">
        <v>12</v>
      </c>
      <c r="AR201">
        <v>40</v>
      </c>
      <c r="AS201">
        <v>0</v>
      </c>
      <c r="BA201" cm="1">
        <f t="array" ref="BA201">ROW()-ROW(Линии[#Headers])</f>
        <v>199</v>
      </c>
      <c r="BC201" s="6" t="str">
        <f t="shared" si="419"/>
        <v>R</v>
      </c>
      <c r="BD201" t="str">
        <f t="shared" si="420"/>
        <v>0.009A.1</v>
      </c>
      <c r="BE201" t="str">
        <f t="shared" si="421"/>
        <v>0</v>
      </c>
      <c r="BF201" t="str">
        <f t="shared" si="422"/>
        <v>009A.1</v>
      </c>
      <c r="BG201" t="str">
        <f t="shared" si="423"/>
        <v>009A</v>
      </c>
      <c r="BH201" t="str">
        <f>IF(X201&lt;&gt;"",X201,IF(AND(B201&lt;&gt;"",B201&lt;&gt;A201,ISNUMBER(_xlfn.XMATCH(B201,Щиты[Щит]))),B201,""))</f>
        <v/>
      </c>
      <c r="BI201" t="str" cm="1">
        <f t="array" ref="BI201">IF(B201="","",IF(BH201&lt;&gt;"","Щит "&amp;BH201,_xlfn.LET(_xlpm.nm,IFERROR(_xlfn.XLOOKUP(BC201,Коды_код,Коды_имя)&amp;"",""),_xlpm.md,IFERROR(N(_xlfn.XLOOKUP(BC201,Коды_код,Коды_режим)),1),_xlpm.ex,IF(Имя_режим="по экспликации",IFERROR(_xlfn.XLOOKUP(BE201&amp;"|"&amp;BG201,Экспликация[Этаж]&amp;"|"&amp;Экспликация[Помещение],Экспликация[Название])&amp;"",""),""),_xlpm.rm,IF(BG201="","",IF(_xlpm.ex&lt;&gt;"",". "&amp;_xlpm.ex&amp;IF(Имя_пом="нет"," ("&amp;BG201&amp;")"," (пом. "&amp;BG201&amp;")"),IF(Имя_пом="нет"," ",", пом. ")&amp;BG201)),IF(_xlpm.nm="","",IF(_xlpm.md=2,_xlpm.nm&amp;" шлейф "&amp;BE201,_xlpm.nm&amp;_xlpm.rm)))))</f>
        <v>Розеточная группа, пом. 009A</v>
      </c>
      <c r="BJ201" t="str">
        <f t="shared" si="424"/>
        <v>Розеточная группа, пом. 009A</v>
      </c>
      <c r="BK201">
        <f>IFERROR(_xlfn.XMATCH(A201,Щиты[Щит]),0)</f>
        <v>9</v>
      </c>
      <c r="BL201">
        <f>_xlfn.LET(_xlpm.k,IFERROR(_xlfn.XLOOKUP(A201,Щиты[Щит],Щиты[Мест под вводной узел]),""),IF(_xlpm.k="",Столбцов_на_лист,N(_xlpm.k)))</f>
        <v>8</v>
      </c>
      <c r="BM201">
        <f t="shared" si="425"/>
        <v>27</v>
      </c>
      <c r="BN201" t="str">
        <f t="shared" si="426"/>
        <v>линии</v>
      </c>
      <c r="BO201" s="6">
        <f>IFERROR(N(_xlfn.XLOOKUP(BC201,Коды_код,Коды_квт)),0)</f>
        <v>0</v>
      </c>
      <c r="BP201">
        <f t="shared" si="427"/>
        <v>0</v>
      </c>
      <c r="BQ201" t="str">
        <f>IF(B201="","",IF(BH201&lt;&gt;"",IFERROR(_xlfn.XLOOKUP(BH201,Щиты[Щит],Щиты[Руст, кВт]),0),IF(BP201=1,IF(OR(N(_xlfn.XLOOKUP(A201,Щиты[Щит],Щиты[Вводов],1))&lt;=1,LOWER(TRIM(_xlfn.XLOOKUP(A201,Щиты[Щит],Щиты[АВР],"")&amp;""))="да"),IFERROR(_xlfn.XLOOKUP(A201,Щиты[Щит],Щиты[Руст, кВт]),0),SUMIFS(Линии[_Р для вводов],Линии[Щит],A201,Линии[Источник для режимов],GF201)),IF(BO201&gt;0,ROUND(BO201*MAX(1,N(D201)),3),""))))</f>
        <v/>
      </c>
      <c r="BR201">
        <f t="shared" si="428"/>
        <v>0.24</v>
      </c>
      <c r="BS201" s="6">
        <f>IF(B201="","",IF(BH201&lt;&gt;"",IFERROR(_xlfn.XLOOKUP(BH201,Щиты[Щит],Щиты[Руст, кВт]),0),N(BR201)))</f>
        <v>0.24</v>
      </c>
      <c r="BT201" t="str">
        <f>IF(B201="","",IFERROR(IF(VLOOKUP(BC201,Потребители_обозначение,8,FALSE)=0,"",VLOOKUP(BC201,Потребители_обозначение,8,FALSE)),""))</f>
        <v/>
      </c>
      <c r="BU201">
        <f t="shared" si="429"/>
        <v>230</v>
      </c>
      <c r="BV201">
        <f t="shared" si="430"/>
        <v>0</v>
      </c>
      <c r="BW201">
        <f>IF(B201="","",IF(BH201&lt;&gt;"",3,IFERROR(IF(N(VLOOKUP(BC201,Потребители_обозначение,9,FALSE))=0,1,VLOOKUP(BC201,Потребители_обозначение,9,FALSE)),1)))</f>
        <v>1</v>
      </c>
      <c r="BX201">
        <f t="shared" si="431"/>
        <v>1</v>
      </c>
      <c r="BY201" t="str">
        <f>IF(B201="","",_xlfn.LET(_xlpm.bc,IFERROR(IF(VLOOKUP(BC201,Потребители_обозначение,6,FALSE)=0,"",VLOOKUP(BC201,Потребители_обозначение,6,FALSE)&amp;""),""),IF(AND(GA201="да",OR(_xlpm.bc="",_xlpm.bc="мс")),Марка_пож,IF(AND(_xlpm.bc="",BH201&lt;&gt;""),"мс",_xlpm.bc))))</f>
        <v/>
      </c>
      <c r="BZ201" t="str">
        <f t="shared" si="432"/>
        <v>мс</v>
      </c>
      <c r="CA201">
        <f>IF(B201="","",_xlfn.LET(_xlpm.cc,IFERROR(N(VLOOKUP(BC201,Потребители_обозначение,7,FALSE)),0),IF(_xlpm.cc&gt;0,_xlpm.cc,IF(BZ201="","",IF(BV201=1,2,IF(N(BX201)=3,5,3))))))</f>
        <v>3</v>
      </c>
      <c r="CB201">
        <f t="shared" si="433"/>
        <v>3</v>
      </c>
      <c r="CC201">
        <f>IFERROR(N(VLOOKUP(BC201,Потребители_обозначение,10,FALSE)),0)</f>
        <v>0</v>
      </c>
      <c r="CD201">
        <f>IFERROR(VLOOKUP(BC201,Потребители_обозначение,5,FALSE),0)</f>
        <v>1</v>
      </c>
      <c r="CE201" s="6" cm="1">
        <f t="array" ref="CE201">IF(B201="","",IF(BH201&lt;&gt;"",IFERROR(_xlfn.XLOOKUP(BH201,Щиты[Щит],Щиты[cos φ]),0.95),IF(BP201=1,IFERROR(_xlfn.XLOOKUP(A201,Щиты[Щит],Щиты[cos φ]),0.95),IF(ISNUMBER(AD201),AD201,IFERROR(IF(CD201=2,_xlfn.IFS(BX201=3,VLOOKUP(BS201,Справочная_двигатели,8,FALSE),BX201=1,VLOOKUP(BS201,Справочная_двигатели,10,TRUE)),IF(AND(Методика="нормы 2026",FG201="Сил"),0.8,0.95)),0.95)))))</f>
        <v>0.95</v>
      </c>
      <c r="CF201">
        <f t="shared" si="434"/>
        <v>0</v>
      </c>
      <c r="CG201">
        <f t="shared" si="435"/>
        <v>1</v>
      </c>
      <c r="CH201">
        <f t="shared" si="436"/>
        <v>0</v>
      </c>
      <c r="CI201">
        <f>IF(B201="","",IF(BV201=1,IFERROR(BS201/((Uн_лин/SQRT(3))*MAX(0.5,N(CE201))),0),N(O201)))</f>
        <v>1.0939268258329751</v>
      </c>
      <c r="CJ201">
        <f t="shared" si="437"/>
        <v>0</v>
      </c>
      <c r="CK201">
        <f t="shared" si="438"/>
        <v>0</v>
      </c>
      <c r="CL201">
        <f t="shared" si="439"/>
        <v>0</v>
      </c>
      <c r="CM201">
        <f t="shared" si="440"/>
        <v>0</v>
      </c>
      <c r="CN201">
        <f t="shared" si="441"/>
        <v>0</v>
      </c>
      <c r="CO201">
        <f>IF(BC201="",0,_xlfn.LET(_xlpm.v,IFERROR(_xlfn.XLOOKUP(B201,Коды_код,Коды_мА),IFERROR(_xlfn.XLOOKUP(BC201,Коды_код,Коды_мА),IFERROR(_xlfn.XLOOKUP(LEFT(BC201,2),Коды_код,Коды_мА),""))),IF(_xlpm.v="да",30,IF(ISNUMBER(_xlpm.v),_xlpm.v,0))))</f>
        <v>30</v>
      </c>
      <c r="CP201">
        <f t="shared" si="442"/>
        <v>30</v>
      </c>
      <c r="CQ201" t="str">
        <f>_xlfn.LET(_xlpm.k,IFERROR(_xlfn.XLOOKUP(BC201,Коды_код,Коды_утечка)&amp;"",""),IF(_xlpm.k="","дифавтомат",_xlpm.k))</f>
        <v>дифавтомат</v>
      </c>
      <c r="CR201" t="str" cm="1">
        <f t="array" ref="CR201">IF(CG201=0,"",_xlfn.LET(_xlpm.sg,TRIM(_xlfn.TEXTSPLIT(DD201&amp;"",";")),_xlpm.f_,_xlfn._xlws.FILTER(_xlpm.sg,LEFT(_xlpm.sg,3)="УЗО",""),IFERROR(INDEX(_xlpm.f_,1)&amp;"","")))</f>
        <v/>
      </c>
      <c r="CS201" t="str">
        <f t="shared" si="443"/>
        <v/>
      </c>
      <c r="CT201" s="6" t="str" cm="1">
        <f t="array" ref="CT201">IF(CR201="","",_xlfn.LET(_xlpm.tk,_xlfn.TEXTSPLIT(UPPER(CR201)," ",,TRUE),_xlpm.a_,_xlfn._xlws.FILTER(_xlpm.tk,ISNUMBER(--LEFT(_xlpm.tk,1))*((ISNUMBER(SEARCH("А",_xlpm.tk))+ISNUMBER(SEARCH("A",_xlpm.tk)))&gt;0)*NOT(ISNUMBER(SEARCH("МА",_xlpm.tk)))*NOT(ISNUMBER(SEARCH("MA",_xlpm.tk))),""),IFERROR(--SUBSTITUTE(SUBSTITUTE(INDEX(_xlpm.a_,1),"А",""),"A",""),"")))</f>
        <v/>
      </c>
      <c r="CU201" t="str" cm="1">
        <f t="array" ref="CU201">IF(CR201="","",_xlfn.LET(_xlpm.tk,_xlfn.TEXTSPLIT(UPPER(CR201)," ",,TRUE),_xlpm.a_,_xlfn._xlws.FILTER(_xlpm.tk,ISNUMBER(--LEFT(_xlpm.tk,1))*((ISNUMBER(SEARCH("МА",_xlpm.tk))+ISNUMBER(SEARCH("MA",_xlpm.tk)))&gt;0),""),IFERROR(--SUBSTITUTE(SUBSTITUTE(INDEX(_xlpm.a_,1),"МА",""),"MA",""),30)))</f>
        <v/>
      </c>
      <c r="CV201" t="str">
        <f>IF(CS201="","",IFERROR(_xlfn.XLOOKUP(CS201,Линии[_n],Линии[_УЗО, мА]),30))</f>
        <v/>
      </c>
      <c r="CW201">
        <f>IF(CS201="",0,IF(ISNUMBER(SEARCH("4P",IFERROR(_xlfn.XLOOKUP(CS201,Линии[_n],Линии[_УЗО строки])&amp;"",""))),0,1))</f>
        <v>0</v>
      </c>
      <c r="CX201" t="str">
        <f>IF(AND(CS201&lt;&gt;"",CS201=BA201),SUMIFS(Линии[_ток на 230 В],Линии[_блок УЗО],BA201,Линии[Щит],A201),"")</f>
        <v/>
      </c>
      <c r="CY201" t="str">
        <f>IF(AND(CS201&lt;&gt;"",CS201=BA201),SUMIFS(Линии[_ток утечки линии, мА],Линии[_блок УЗО],BA201,Линии[Щит],A201),"")</f>
        <v/>
      </c>
      <c r="CZ201">
        <f t="shared" si="444"/>
        <v>30</v>
      </c>
      <c r="DA201">
        <f t="shared" si="445"/>
        <v>30</v>
      </c>
      <c r="DB201">
        <f>IF(B201="",0,IFERROR(--_xlfn.XLOOKUP(B201,Коды_код,Коды_минавт),IFERROR(--_xlfn.XLOOKUP(BC201,Коды_код,Коды_минавт),IFERROR(--_xlfn.XLOOKUP(LEFT(BC201,2),Коды_код,Коды_минавт),0))))</f>
        <v>16</v>
      </c>
      <c r="DC201" t="str">
        <f>IF(B201="","",IFERROR(_xlfn.XLOOKUP(BC201,Коды_код,Коды_апп)&amp;"",""))</f>
        <v/>
      </c>
      <c r="DD201" t="str">
        <f t="shared" si="446"/>
        <v/>
      </c>
      <c r="DE201" t="str" cm="1">
        <f t="array" ref="DE201">IF(TRIM(DD201&amp;"")="","",IFERROR(TRIM(INDEX(_xlfn.TEXTSPLIT(DD201&amp;";;;",";"),1)),""))</f>
        <v/>
      </c>
      <c r="DF201" t="str" cm="1">
        <f t="array" ref="DF201">IF(TRIM(DD201&amp;"")="","",IFERROR(TRIM(INDEX(_xlfn.TEXTSPLIT(DD201&amp;";;;",";"),2)),""))</f>
        <v/>
      </c>
      <c r="DG201" t="str" cm="1">
        <f t="array" ref="DG201">IF(TRIM(DD201&amp;"")="","",IFERROR(TRIM(INDEX(_xlfn.TEXTSPLIT(DD201&amp;";;;",";"),3)),""))</f>
        <v/>
      </c>
      <c r="DH201">
        <f t="shared" si="447"/>
        <v>0</v>
      </c>
      <c r="DI201" t="str">
        <f>IF(B201="","",_xlfn.LET(_xlpm.t,LOWER(AZ201&amp;""),IF(ISNUMBER(SEARCH("dim",_xlpm.t)),"DIM",IF(ISNUMBER(SEARCH("dali",_xlpm.t)),"DALI",IF(OR(ISNUMBER(SEARCH("relay",_xlpm.t)),ISNUMBER(SEARCH("реле",_xlpm.t))),"Relay",IF(ISNUMBER(SEARCH("кнопк",_xlpm.t)),"",IFERROR(_xlfn.XLOOKUP(BC201,Коды_код,Коды_упр)&amp;"","")))))))</f>
        <v/>
      </c>
      <c r="DJ201" t="str">
        <f t="shared" si="448"/>
        <v/>
      </c>
      <c r="DK201">
        <f>IF(B201="","",_xlfn.LET(_xlpm.ig,IF(N(CX201)&gt;0,N(CX201),N(CI201)+IF(AJ201="вручную",0,N(CJ201))),_xlpm.n0,IFERROR(VLOOKUP(_xlpm.ig,Автомат_номиналы,2,TRUE),0),_xlpm.mn,MAX(DB201,IF(AJ201="вручную",0,N(CM201))),MAX(_xlpm.n0,_xlpm.mn,IF(DH201=1,Мин_автомат_БП,0))))</f>
        <v>16</v>
      </c>
      <c r="DL201">
        <f t="shared" si="449"/>
        <v>1</v>
      </c>
      <c r="DM201" t="str">
        <f t="shared" si="450"/>
        <v>2P</v>
      </c>
      <c r="DN201" t="str">
        <f>_xlfn.LET(_xlpm.cc,UPPER(TRIM(IFERROR(_xlfn.XLOOKUP(BC201,Коды_код,Коды_хар)&amp;"",""))),IF(OR(_xlpm.cc="B",_xlpm.cc="В"),"B",IF(_xlpm.cc="D","D","С")))</f>
        <v>С</v>
      </c>
      <c r="DO201" t="str">
        <f t="shared" si="451"/>
        <v>2P С16А 30мА</v>
      </c>
      <c r="DP201" t="str">
        <f t="shared" si="452"/>
        <v>2P С16А 30мА</v>
      </c>
      <c r="DQ201" t="str">
        <f t="shared" si="453"/>
        <v>2P С16А 30мА</v>
      </c>
      <c r="DR201" cm="1">
        <f t="array" ref="DR201">IF(DQ201="","",_xlfn.LET(_xlpm.t,SUBSTITUTE(SUBSTITUTE(SUBSTITUTE(UPPER(DQ201),"С","C"),"А","A"),"В","B"),_xlpm.tk,_xlfn.TEXTSPLIT(_xlpm.t," "),_xlpm.f,_xlfn._xlws.FILTER(_xlpm.tk,ISNUMBER(--MID(_xlpm.tk,2,1))*ISNUMBER(SEARCH(LEFT(_xlpm.tk,1)&amp;"#","B#C#D#"))*(LEN(_xlpm.tk)&gt;1),""),_xlpm.x,INDEX(_xlpm.f,1),IFERROR(--SUBSTITUTE(MID(_xlpm.x,2,9),"A",""),IFERROR(--SUBSTITUTE(INDEX(_xlfn._xlws.FILTER(_xlpm.tk,ISNUMBER(--SUBSTITUTE(_xlpm.tk,"A","")),""),1),"A",""),""))))</f>
        <v>16</v>
      </c>
      <c r="DS201" t="str">
        <f t="shared" si="454"/>
        <v>ok</v>
      </c>
      <c r="DT201">
        <f t="shared" si="455"/>
        <v>16</v>
      </c>
      <c r="DU201" t="str">
        <f t="shared" si="456"/>
        <v>2P С16А 30мА</v>
      </c>
      <c r="DV201">
        <f t="shared" si="457"/>
        <v>30</v>
      </c>
      <c r="DW201">
        <f t="shared" si="458"/>
        <v>1</v>
      </c>
      <c r="DX201">
        <f t="shared" si="459"/>
        <v>0</v>
      </c>
      <c r="DY201">
        <f t="shared" si="460"/>
        <v>1.0939268258329751</v>
      </c>
      <c r="DZ201">
        <f t="shared" si="461"/>
        <v>1</v>
      </c>
      <c r="EA201">
        <f>IF(ISNUMBER(AP201),AP201,К_прокл)</f>
        <v>1</v>
      </c>
      <c r="EB201">
        <f t="shared" si="462"/>
        <v>2</v>
      </c>
      <c r="EC201">
        <f>IFERROR(N(VLOOKUP(BZ201,Кабель_обозначение,3,FALSE)),1)</f>
        <v>1</v>
      </c>
      <c r="ED201">
        <f>IFERROR(N(_xlfn.XLOOKUP(A201,Щиты[Щит],Щиты[ΔU до шин, %])),0)</f>
        <v>0.43</v>
      </c>
      <c r="EE201" t="str">
        <f>IFERROR(_xlfn.XLOOKUP(A201,Щиты[Щит],Щиты[Zпетли на шинах, Ом]),"")</f>
        <v/>
      </c>
      <c r="EF201">
        <f>IFERROR(N(_xlfn.XLOOKUP(A201,Щиты[Щит],Щиты[ΔU до шин (подбор), %])),0)</f>
        <v>0.43</v>
      </c>
      <c r="EG201" t="str">
        <f>IFERROR(_xlfn.XLOOKUP(A201,Щиты[Щит],Щиты[Zпетли на шинах (подбор), Ом]),"")</f>
        <v/>
      </c>
      <c r="EH201" t="str">
        <f t="shared" si="463"/>
        <v/>
      </c>
      <c r="EI201">
        <f t="shared" si="464"/>
        <v>31</v>
      </c>
      <c r="EJ201">
        <f t="shared" si="465"/>
        <v>2</v>
      </c>
      <c r="EK201">
        <f t="shared" si="466"/>
        <v>0.31</v>
      </c>
      <c r="EL201" s="6">
        <f>IF(B201="","",IF(BV201=1,dU_LED,IF(IFERROR(_xlfn.XLOOKUP(BC201,Коды_код,Коды_уго),"")="Светильник",3,4)+IF(Методика="нормы 2026",MIN(0.5,MAX(0,N(P201)-100)*0.005),0)))</f>
        <v>4</v>
      </c>
      <c r="EM201" cm="1">
        <f t="array" ref="EM201">IF(OR(B201="",BZ201="",EC201&lt;&gt;1),"",_xlfn.LET(_xlpm.sz,Iдоп_S,_xlpm.t_,CHOOSE(EB201,Iдоп_1ж,Iдоп_2ж,Iдоп_3ж)*DZ201*EA201,_xlpm.dcx,BV201=1,_xlpm.inn,IF(_xlpm.dcx,N(O201),N(DT201)),_xlpm.smin,MAX(1.5,CC201),_xlpm.L_,N(P201)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201)/N(BU201)*100,999),IFERROR(N(EJ201)*(_xlpm.rho*_xlpm.L_/_xlpm.sz*N(CE201)+_xlpm.xx*_xlpm.L_*N(EK201)/1000)*N(O201)/((Uн_лин/SQRT(3))*1000)*100,999)),_xlpm.kz,IF(OR(_xlpm.dcx,DW201=1,NOT(ISNUMBER(EG201)),_xlpm.L_=0,_xlpm.inn=0),1,IFERROR(--(c_min*(Uн_лин*1000/SQRT(3))/(EG201+2*ρкз_Cu*_xlpm.L_/_xlpm.sz)&gt;=HT201*_xlpm.inn),0)),_xlpm.ok,IFERROR((_xlpm.sz&gt;=_xlpm.smin)*(_xlpm.t_&gt;=_xlpm.inn)*IF(_xlpm.L_&gt;0,(_xlpm.du_+IF(_xlpm.dcx,0,EF201)&lt;=EL201+0.00001),1)*_xlpm.kz,0),_xlpm.r_,_xlfn._xlws.FILTER(_xlpm.sz,_xlpm.ok,"не подобрано"),INDEX(_xlpm.r_,1)))</f>
        <v>1.5</v>
      </c>
      <c r="EN201">
        <f t="shared" si="467"/>
        <v>2.5</v>
      </c>
      <c r="EO201" cm="1">
        <f t="array" ref="EO201">IF(OR(B201="",BZ201="",EC201&lt;&gt;1),"",_xlfn.LET(_xlpm.sz,Iдоп_S,_xlpm.t_,CHOOSE(EB201,Iдоп_1ж,Iдоп_2ж,Iдоп_3ж)*DZ201*EA201,_xlpm.ok,IFERROR((_xlpm.sz&gt;=MAX(1.5,CC201))*(_xlpm.t_&gt;=N(DT201)),0),_xlpm.r_,_xlfn._xlws.FILTER(_xlpm.sz,_xlpm.ok,""),INDEX(_xlpm.r_,1)))</f>
        <v>1.5</v>
      </c>
      <c r="EP201" s="6" cm="1">
        <f t="array" ref="EP201">IFERROR(ROUNDUP(N(EJ201)*(_xlfn.XLOOKUP(EO201,INDEX(Кабель_сопротивление,0,1),INDEX(Кабель_сопротивление,0,3))*N(P201)/EO201*N(CE201)+_xlfn.XLOOKUP(EO201,INDEX(Кабель_сопротивление,0,1),INDEX(Кабель_сопротивление,0,2))*N(P201)*N(EK201)/1000)*N(O201)/((Uн_лин/SQRT(3))*1000)*100,2),"")</f>
        <v>0.71</v>
      </c>
      <c r="EQ201">
        <f>IFERROR(2*ρкз_Cu*N(P201)/EO201,"")</f>
        <v>1.8234666666666666</v>
      </c>
      <c r="ER201">
        <f>IFERROR(VLOOKUP(EN201,Кабель_сопротивление,3,FALSE),"")</f>
        <v>2.2499999999999999E-2</v>
      </c>
      <c r="ES201">
        <f>IFERROR(VLOOKUP(EN201,Кабель_сопротивление,2,FALSE),"")</f>
        <v>0.1</v>
      </c>
      <c r="ET201">
        <f t="shared" si="468"/>
        <v>40</v>
      </c>
      <c r="EU201">
        <f t="shared" si="469"/>
        <v>0</v>
      </c>
      <c r="EV201">
        <f t="shared" si="470"/>
        <v>0.97624655361716683</v>
      </c>
      <c r="EW201" s="6">
        <f>IFERROR(ROUNDUP(EV201/IF(BV201=1,BU201,(Uн_лин/SQRT(3))*1000)*100,2),"")</f>
        <v>0.43</v>
      </c>
      <c r="EX201" t="str">
        <f>IFERROR(VLOOKUP(BZ201,Кабель_обозначение,2,FALSE),"")</f>
        <v>ВВГнг(А)-LS</v>
      </c>
      <c r="EY201" t="str">
        <f t="shared" si="471"/>
        <v>ВВГнг(А)-LS (3х2,5)</v>
      </c>
      <c r="EZ201" t="str">
        <f t="shared" si="472"/>
        <v>ВВГнг(А)-LS (3х2,5)
L=52-0,43%</v>
      </c>
      <c r="FA201">
        <f>IFERROR(2*ρкз_Cu*P201/EN201,"")</f>
        <v>1.0940799999999999</v>
      </c>
      <c r="FB201">
        <f t="shared" si="473"/>
        <v>0.36400000000000005</v>
      </c>
      <c r="FC201" s="6" t="str">
        <f>IFERROR(IF(OR(B201="",BV201=1,NOT(ISNUMBER(EN201)),N(P201)=0),"",_xlfn.XLOOKUP(A201,Щиты[Щит],Щиты[Zпетли на шинах, Ом])+FA201),"")</f>
        <v/>
      </c>
      <c r="FD201" s="6" t="str">
        <f>IF(ISNUMBER(FC201),c_min*(Uн_лин*1000/SQRT(3))/FC201,"")</f>
        <v/>
      </c>
      <c r="FE201" s="6" t="str">
        <f>IFERROR(IF(OR(B201="",NOT(ISNUMBER(EN201))),"",1.05*(Uн_лин*1000/SQRT(3))/(_xlfn.XLOOKUP(A201,Щиты[Щит],Щиты[Zmax на шинах, Ом])+FB201)/1000),"")</f>
        <v/>
      </c>
      <c r="FF201" s="6" t="str">
        <f>IF(B201="","",IF(ISNUMBER(AC201),"Сил",IF(IFERROR(_xlfn.XLOOKUP(BC201,Коды_код,Коды_группа)&amp;"","")="","Быт",_xlfn.XLOOKUP(BC201,Коды_код,Коды_группа)&amp;"")))</f>
        <v>Быт</v>
      </c>
      <c r="FG201" s="6" t="str">
        <f t="shared" si="474"/>
        <v>Быт</v>
      </c>
      <c r="FH201" s="6">
        <f>IF(FG201="Щит","щит",IF(FG201="","",IF(FG201="Быт",IFERROR(_xlfn.XLOOKUP(A201,Щиты[Щит],Щиты[Кс быт]),1),IF(FG201="Сил",IF(ISNUMBER(AC201),AC201,IF(Методика="нормы 2026",IFERROR(_xlfn.XLOOKUP(A201,Щиты[Щит],Щиты[Кс силовых (табл. 7.5)]),1),1)),IF(OR(FG201="Пост",FG201="Отоп"),1,IF(FG201="ВНГ",0.7,0))))))</f>
        <v>0.79799999999999993</v>
      </c>
      <c r="FI201">
        <f>IF(FG201="","",IF(AND(BP201=1,TRIM(AE201&amp;"")=""),IF(COUNTIFS(Линии[Щит],A201,Линии[Секция (1/2/3)],"&gt;=2")&gt;0,MIN(3,MAX(1,IFERROR(--BD201,1))),1),IFERROR(MIN(3,MAX(1,INT(--AE201))),1)))</f>
        <v>1</v>
      </c>
      <c r="FJ201">
        <f t="shared" si="475"/>
        <v>0.24</v>
      </c>
      <c r="FK201">
        <f t="shared" si="476"/>
        <v>0.24</v>
      </c>
      <c r="FL201">
        <f t="shared" si="477"/>
        <v>0</v>
      </c>
      <c r="FM201">
        <f t="shared" si="478"/>
        <v>0</v>
      </c>
      <c r="FN201">
        <f t="shared" si="479"/>
        <v>0</v>
      </c>
      <c r="FO201">
        <f t="shared" si="480"/>
        <v>0</v>
      </c>
      <c r="FP201">
        <f t="shared" si="481"/>
        <v>0.24</v>
      </c>
      <c r="FQ201">
        <f t="shared" si="482"/>
        <v>0.24</v>
      </c>
      <c r="FR201">
        <f t="shared" si="483"/>
        <v>0.22799999999999998</v>
      </c>
      <c r="FS201">
        <f>IF(CG201=1,IF(AND(CH201=1,CW201=1),0,IF(AND(CS201&lt;&gt;"",CS201=BA201,CW201=1),SUMIFS(Линии[_Р линии, кВт],Линии[_блок УЗО],BA201,Линии[Щит],A201),N(BS201)+IF(AJ201="вручную",0,N(CK201)))),0)</f>
        <v>0.24</v>
      </c>
      <c r="FT201" t="str">
        <f t="shared" si="484"/>
        <v>L2</v>
      </c>
      <c r="FU201" t="str">
        <f>IF(B201="","",IF(CG201=0,IF(BA201=1,"",FW200),IF(AND(CH201=1,CW201=1,CS201&lt;&gt;""),IFERROR(_xlfn.XLOOKUP(CS201,Линии[_n],Линии[_фаза итог]),"L1"),IF(OR(N(DL201)&gt;=3,N(BX201)&gt;=3),"L1,L2,L3",IFERROR(_xlfn.TEXTBEFORE(_xlfn.TEXTAFTER(_xlfn.XLOOKUP(A201,Щиты[Щит],Щиты[_фазы авто]),";"&amp;BA201&amp;":"),";"),"L1")))))</f>
        <v>L1</v>
      </c>
      <c r="FV201" t="str">
        <f t="shared" si="485"/>
        <v>L2</v>
      </c>
      <c r="FW201" t="str">
        <f t="shared" si="486"/>
        <v>L2</v>
      </c>
      <c r="FX201" cm="1">
        <f t="array" ref="FX201">IFERROR(IF(CD201=2,_xlfn.IFS(BX201=3,VLOOKUP(BS201,Справочная_двигатели,3,FALSE),BX201=1,VLOOKUP(BS201,Справочная_двигатели,5,TRUE)),0),0)</f>
        <v>0</v>
      </c>
      <c r="FY201">
        <f>IFERROR(IF(CD201=3,VLOOKUP(BS201,Справочная_ЛЭД,2,TRUE),0),0)</f>
        <v>0</v>
      </c>
      <c r="FZ201" s="6">
        <f t="shared" si="487"/>
        <v>0</v>
      </c>
      <c r="GA201" t="str">
        <f>IF(B201="","",IF(TRIM(AH201&amp;"")&lt;&gt;"",IF(LOWER(TRIM(AH201&amp;""))="да","да","нет"),IF(IFERROR(_xlfn.XLOOKUP(BC201,Коды_код,Коды_пожарная),"")="да","да","нет")))</f>
        <v>нет</v>
      </c>
      <c r="GB201" t="str">
        <f t="shared" si="488"/>
        <v/>
      </c>
      <c r="GC201" t="str">
        <f t="shared" si="489"/>
        <v>основная</v>
      </c>
      <c r="GD201">
        <f>IF(AND(BP201=1,TRIM(AE201&amp;"")=""),IF(COUNTIFS(Линии[Щит],A201,Линии[Секция (1/2/3)],"&gt;=2")&gt;0,MIN(3,MAX(1,IFERROR(--BD201,1))),1),IFERROR(MIN(3,MAX(1,INT(--AE201))),1))</f>
        <v>1</v>
      </c>
      <c r="GE201" t="str" cm="1">
        <f t="array" ref="GE201">IF(B201="","",_xlfn.LET(_xlpm.t,IFERROR(_xlfn.XLOOKUP(1,(Шины[Шина]=GC201)*(((Шины[Щит]=A201)+(Шины[Щит]=""))&gt;0),Шины[Тип]),"")&amp;"",IF(_xlpm.t&lt;&gt;"",_xlpm.t,IF(ISNUMBER(SEARCH("ИБП",GC201)),"ИБП",IF(ISNUMBER(SEARCH("ДГУ",GC201)),"ДГУ","Ввод "&amp;GD201)))))</f>
        <v>Ввод 1</v>
      </c>
      <c r="GF201" t="str">
        <f t="shared" si="490"/>
        <v>Ввод 1</v>
      </c>
      <c r="GG201" t="str">
        <f>IF(BP201=0,"",IF(TRIM(AG201&amp;"")&lt;&gt;"",TRIM(AG201&amp;""),IF(OR(GE201="ИБП",GE201="ДГУ"),"I особая",_xlfn.XLOOKUP(A201,Щиты[Щит],Щиты[Категория шины «Ввод»],"III"))))</f>
        <v/>
      </c>
      <c r="GH201" t="str">
        <f>IF(A201="","",_xlfn.XLOOKUP(A201,Щиты[Щит],Щиты[Путь],""))</f>
        <v>|ГРЩ-ЖД|ЩР-01|</v>
      </c>
      <c r="GI201" t="str">
        <f>IF(B201="","",IF(AI201&lt;&gt;"",AI201,IF(IFERROR(_xlfn.XLOOKUP(BC201,Коды_код,Коды_вид)&amp;"","")="","Прочее",_xlfn.XLOOKUP(BC201,Коды_код,Коды_вид)&amp;"")))</f>
        <v>Розеточная сеть и бытовые приборы</v>
      </c>
      <c r="GJ201">
        <f>IF(BM201="","",INT((BM201-1)/Столбцов_на_лист)+1)</f>
        <v>2</v>
      </c>
      <c r="GK201" t="str">
        <f t="shared" si="491"/>
        <v>ВВГнг(А)-LS (3х2,5) L=52-0,43%</v>
      </c>
      <c r="GL201">
        <f t="shared" si="492"/>
        <v>0.24</v>
      </c>
      <c r="GM201">
        <f t="shared" si="493"/>
        <v>1.1000000000000001</v>
      </c>
      <c r="GN201">
        <f t="shared" si="494"/>
        <v>1</v>
      </c>
      <c r="GO201">
        <f t="shared" si="495"/>
        <v>0</v>
      </c>
      <c r="GP201">
        <f t="shared" si="496"/>
        <v>1</v>
      </c>
      <c r="GQ201">
        <f>IF(BM201="","",IF(AND(CG201=1,GP201=1),COUNTIFS(A$3:A201,A201,CG$3:CG201,1,GP$3:GP201,1),IF(OR(OR(BA201=1,A201&lt;&gt;A200),AJ201="вручную",GP201=0),"",IF(BA201=1,"",GR200))))</f>
        <v>17</v>
      </c>
      <c r="GR201">
        <f t="shared" si="497"/>
        <v>17</v>
      </c>
      <c r="GS201">
        <f>IF(B201="","",IFERROR(LOOKUP(INDEX(CHOOSE(EB201,Iдоп_1ж,Iдоп_2ж,Iдоп_3ж),MATCH(EN201,Iдоп_S,0))*DZ201*EA201,{6,10,16,20,25,32,40,50,63,80,100,125,160,200,250,315,400,500,630}),""))</f>
        <v>25</v>
      </c>
      <c r="GT201" t="str">
        <f t="shared" si="498"/>
        <v>QFD17</v>
      </c>
      <c r="GU201" t="str">
        <f t="shared" si="499"/>
        <v>QFD17</v>
      </c>
      <c r="GV201" t="str">
        <f t="shared" si="500"/>
        <v/>
      </c>
      <c r="GW201">
        <f t="shared" si="501"/>
        <v>0</v>
      </c>
      <c r="GX201" t="str">
        <f>IF(OR(B201="",DJ201=""),"",IFERROR(_xlfn.XLOOKUP(DJ201,Модули_умолч[Управление],Модули_умолч[Модель])&amp;"",""))</f>
        <v/>
      </c>
      <c r="GY201">
        <f>IF(DJ201="",1,IFERROR(MAX(0,N(_xlfn.XLOOKUP(DJ201,Модули_умолч[Управление],Модули_умолч[Каналов на линию]))),1))</f>
        <v>1</v>
      </c>
      <c r="GZ201" t="str">
        <f t="shared" si="502"/>
        <v/>
      </c>
      <c r="HA201" t="str">
        <f t="shared" si="503"/>
        <v/>
      </c>
      <c r="HB201" t="str">
        <f t="shared" si="504"/>
        <v/>
      </c>
      <c r="HC201">
        <f>IF(HB201="",0,IFERROR(N(VLOOKUP(HB201,Модули_спр,3,FALSE)),0))</f>
        <v>0</v>
      </c>
      <c r="HD201" t="str">
        <f t="shared" si="505"/>
        <v/>
      </c>
      <c r="HE201" t="str">
        <f t="shared" si="506"/>
        <v/>
      </c>
      <c r="HF201" t="str">
        <f>IF(OR(HE201="",HE201="-"),"",IFERROR(VLOOKUP(HE201,Модули_спр,2,FALSE),"R"))</f>
        <v/>
      </c>
      <c r="HG201" t="str">
        <f>IF(HF201="","",HF201&amp;"."&amp;COUNTIFS(A$3:A201,A201,HF$3:HF201,HF201))</f>
        <v/>
      </c>
      <c r="HH201" t="str">
        <f t="shared" si="507"/>
        <v/>
      </c>
      <c r="HI201" t="str">
        <f t="shared" si="508"/>
        <v/>
      </c>
      <c r="HJ201" t="str">
        <f t="shared" si="509"/>
        <v/>
      </c>
      <c r="HK201" t="str">
        <f t="shared" si="510"/>
        <v/>
      </c>
      <c r="HL201">
        <f t="shared" si="511"/>
        <v>1</v>
      </c>
      <c r="HM201" t="str">
        <f>IF(HL201=1,"XT"&amp;COUNTIFS(A$3:A201,A201,HL$3:HL201,1),"")</f>
        <v>XT17</v>
      </c>
      <c r="HN201" t="str">
        <f t="shared" si="512"/>
        <v/>
      </c>
      <c r="HO201" t="str">
        <f t="shared" si="513"/>
        <v>QFD17</v>
      </c>
      <c r="HP201" t="str">
        <f t="shared" si="514"/>
        <v/>
      </c>
      <c r="HQ201" t="str">
        <f t="shared" si="515"/>
        <v>ok</v>
      </c>
      <c r="HR201" t="str">
        <f>IF(OR(HJ201="",HH201=""),"",IF(HJ201+MAX(0,GY201-1)&gt;IFERROR(VLOOKUP(HI201,Модули_спр,3,FALSE),99),"ЛИШНИЙ КАНАЛ",IF(AND(AL201&lt;&gt;"=",GY201&gt;0,COUNTIFS(Линии[_модуль гр.],HH201,Линии[Канал (итог)],HJ201,Линии[Канал],"&lt;&gt;=",Линии[Щит],A201)&gt;1),"ДУБЛЬ КАНАЛА","")))</f>
        <v/>
      </c>
      <c r="HS201" s="6" t="str">
        <f t="shared" si="516"/>
        <v/>
      </c>
      <c r="HT201">
        <f t="shared" si="517"/>
        <v>10</v>
      </c>
      <c r="HU201" t="str">
        <f t="shared" si="518"/>
        <v/>
      </c>
      <c r="HV201">
        <f t="shared" si="519"/>
        <v>0.95757073033319007</v>
      </c>
      <c r="HW201">
        <f t="shared" si="520"/>
        <v>0</v>
      </c>
      <c r="HX201">
        <f t="shared" si="521"/>
        <v>0</v>
      </c>
      <c r="HY201">
        <f t="shared" si="522"/>
        <v>0</v>
      </c>
      <c r="HZ201">
        <f t="shared" si="523"/>
        <v>0</v>
      </c>
      <c r="IA201">
        <f t="shared" si="524"/>
        <v>0</v>
      </c>
      <c r="IB201">
        <f t="shared" si="525"/>
        <v>0</v>
      </c>
      <c r="IC201" t="str">
        <f t="shared" si="526"/>
        <v/>
      </c>
      <c r="ID201" t="str" cm="1">
        <f t="array" ref="ID201">IF(IC201="","",_xlfn.LET(_xlpm.tk,_xlfn.TEXTSPLIT(SUBSTITUTE(SUBSTITUTE(IC201,";"," "),"→"," ")," ",,TRUE),_xlpm.w_,_xlfn._xlws.FILTER(_xlpm.tk,ISNUMBER(--LEFT(_xlpm.tk,1))*((ISNUMBER(SEARCH("W",_xlpm.tk))+ISNUMBER(SEARCH("Вт",_xlpm.tk)))&gt;0),""),IFERROR(--SUBSTITUTE(SUBSTITUTE(UPPER(INDEX(_xlpm.w_,1)),"W",""),"ВТ",""),"")))</f>
        <v/>
      </c>
      <c r="IE201" t="str" cm="1">
        <f t="array" ref="IE201">IF(IC201="","",_xlfn.LET(_xlpm.tk,_xlfn.TEXTSPLIT(SUBSTITUTE(SUBSTITUTE(IC201,";"," "),"→"," ")," ",,TRUE),_xlpm.v_,_xlfn._xlws.FILTER(_xlpm.tk,ISNUMBER(--LEFT(_xlpm.tk,1))*((ISNUMBER(SEARCH("V",_xlpm.tk))+(RIGHT(UPPER(_xlpm.tk))="В"))&gt;0),""),IFERROR(--SUBSTITUTE(SUBSTITUTE(UPPER(INDEX(_xlpm.v_,1)),"V",""),"В",""),"")))</f>
        <v/>
      </c>
      <c r="IF201" s="6" t="str">
        <f>IF(OR(BV201=0,HI201="",HJ201=""),"",IFERROR(N(_xlfn.XLOOKUP(HI201,Каталог!$C$4:$C$500,Каталог!$Q$4:$Q$500)),""))</f>
        <v/>
      </c>
      <c r="IG201" s="6" t="str">
        <f>IF(N(IF201)=0,"",SUMIFS(Линии[Iр, А],Линии[Щит],A201,Линии[_модуль гр.],HH201,Линии[Канал (итог)],HJ201))</f>
        <v/>
      </c>
      <c r="IH201" t="str">
        <f>IF(AND(B201="",HO201=""),"",_xlfn.TEXTJOIN("; ",TRUE,IF(AND(B201&lt;&gt;"",FV201=""),"нет фазы",""),IF(AND(B201&lt;&gt;"",N(GL201)=0,FG201&lt;&gt;"Нет"),"нет мощности",""),IF(AND(HN201&lt;&gt;"",COUNTIFS(Линии[Щит],A201,Линии[Клемма (итог)],HN201)&gt;1),"дубль клеммы "&amp;HN201,""),IF(AND(HQ201&lt;&gt;"",HQ201&lt;&gt;"ok"),HQ201,""),IF(HR201&lt;&gt;"",HR201,""),IF(AND(N(CB201)&gt;=4,N(BX201)=1),CB201&amp;" жил на 1 фазе",""),IF(AND(BC201="R",CG201=1,IF(CS201&lt;&gt;"",N(CV201)&gt;30,OR(N(DA201)=0,N(DA201)&gt;30))),"розетка без дифзащиты до 30 мА",""),IF(AND(CG201=1,N(DA201)&gt;0,ISNUMBER(T201)),IF(T201&gt;N(DA201)/3,"ток утечки "&amp;FIXED(T201,1)&amp;" мА &gt; 1/3 уставки ("&amp;DA201&amp;" мА)",""),""),IF(AND(CH201=1,CS201=""),"«узо»: нет строки с УЗО выше (УЗО 2P 40А 30мА в «Аппаратах»)",""),IF(AND(CS201&lt;&gt;"",CS201=BA201),IF(CT201="","впишите номинал УЗО (УЗО 2P 40А 30мА)",IF(N(CT201)&lt;N(DT201),"УЗО "&amp;CT201&amp;" А &lt; автомата "&amp;DT201&amp;" А перед ним",IF(N(CT201)&lt;N(CX201),"УЗО "&amp;CT201&amp;" А &lt; тока блока "&amp;FIXED(CX201,1)&amp;" А",""))),""),IF(AND(CS201&lt;&gt;"",CS201=BA201,ISNUMBER(CY201)),IF(CY201&gt;N(CV201)/3,"ток утечки блока УЗО "&amp;FIXED(CY201,1)&amp;" мА &gt; 1/3 уставки ("&amp;CV201&amp;" мА)",""),""),IF(AND(CG201=1,N(BV201)+N(IB201)&gt;0,IC201=""),"линии до 50 В без БП: впишите в «Аппараты» (БП 24V 480W)",""),IF(AND(CG201=1,ISNUMBER(ID201),ISNUMBER(U201)),IF(U201&gt;ID201,"БП "&amp;ID201&amp;" Вт &lt; нужно "&amp;U201&amp;" Вт (×"&amp;Запас_БП&amp;")",""),""),IF(AND(CG201=1,ISNUMBER(IE201),N(BV201)=1),IF(IE201&lt;&gt;N(BU201),"БП на "&amp;IE201&amp;" В, линия "&amp;BU201&amp;" В",""),""),IF(AND(N(IF201)&gt;0,N(IG201)&gt;N(IF201)),HH201&amp;" канал "&amp;HJ201&amp;": "&amp;FIXED(IG201,1)&amp;" А &gt; "&amp;IF201&amp;" А",""),IFERROR(IF(AND(ISNUMBER(Q201),Q201&gt;EL201),"потери "&amp;FIXED(Q201,1)&amp;" % &gt; "&amp;EL201&amp;" %",""),""),IFERROR(IF(LEFT(HU201,4)="мало","Iкз мало — отключение &gt; 0,4 с",""),""),IF(AND(B201&lt;&gt;"",BM201=""),"не на схеме",""),IF(AND(CG201=0,B201&lt;&gt;"",FV201&lt;&gt;"",IF(BA201=1,"",FW200)&lt;&gt;"",FV201&lt;&gt;IF(BA201=1,"",FW200)),"фаза не как у автомата группы ("&amp;IF(BA201=1,"",FW200)&amp;")","")))</f>
        <v/>
      </c>
      <c r="II201" s="6">
        <f>IF(OR(CG201=0,DQ201=""),"",_xlfn.LET(_xlpm.t,IFERROR(_xlfn.XLOOKUP(DQ201,Каталог!$U$4:$U$500,Каталог!$G$4:$G$500),""),_xlpm.k,SEARCH("кА",_xlpm.t),IFERROR(--TRIM(RIGHT(SUBSTITUTE(MID(_xlpm.t,MAX(1,_xlpm.k-4),_xlpm.k-MAX(1,_xlpm.k-4))," ",REPT(" ",9)),5)),"")))</f>
        <v>6</v>
      </c>
      <c r="IJ201" t="str">
        <f>IF(OR(II201="",CG201=0),"",IF(_xlfn.XLOOKUP(A201,Щиты[Щит],Щиты[Iкз max на шинах, кА],"")="","",IF(II201&lt;_xlfn.XLOOKUP(A201,Щиты[Щит],Щиты[Iкз max на шинах, кА]),"Icu "&amp;II201&amp;" кА &lt; Iкз max","ok")))</f>
        <v/>
      </c>
      <c r="IK201" t="str">
        <f t="shared" si="527"/>
        <v/>
      </c>
      <c r="IL201" t="str">
        <f t="shared" si="528"/>
        <v>QFD17</v>
      </c>
      <c r="IM201" t="str">
        <f t="shared" si="529"/>
        <v>QFD17|кабель ВВГнг(А)-LS (3х2,5) → Розеточная группа, пом. 009A</v>
      </c>
      <c r="IN201" t="str" cm="1">
        <f t="array" ref="IN201">IF(IM201="","",_xlfn.LET(_xlpm.nd,_xlfn.TEXTSPLIT(IM201,"|"),IF(COLUMNS(_xlpm.nd)&gt;1,A201&amp;"¦"&amp;INDEX(_xlpm.nd,1)&amp;"¦"&amp;INDEX(_xlpm.nd,2),"")))</f>
        <v>ЩР-01¦QFD17¦кабель ВВГнг(А)-LS (3х2,5) → Розеточная группа, пом. 009A</v>
      </c>
      <c r="IO201" t="str">
        <f t="shared" si="530"/>
        <v>R.0.009A.1¦Розеточная группа, пом. 009A</v>
      </c>
      <c r="IP201" t="str" cm="1">
        <f t="array" ref="IP201">IF(IM201="","",_xlfn.LET(_xlpm.nd,_xlfn.TEXTSPLIT(IM201,"|"),IF(COLUMNS(_xlpm.nd)&gt;2,A201&amp;"¦"&amp;INDEX(_xlpm.nd,2)&amp;"¦"&amp;INDEX(_xlpm.nd,3),"")))</f>
        <v/>
      </c>
      <c r="IQ201" t="str">
        <f t="shared" si="531"/>
        <v/>
      </c>
      <c r="IR201" t="str" cm="1">
        <f t="array" ref="IR201">IF(IM201="","",_xlfn.LET(_xlpm.nd,_xlfn.TEXTSPLIT(IM201,"|"),IF(COLUMNS(_xlpm.nd)&gt;3,A201&amp;"¦"&amp;INDEX(_xlpm.nd,3)&amp;"¦"&amp;INDEX(_xlpm.nd,4),"")))</f>
        <v/>
      </c>
      <c r="IS201" t="str">
        <f t="shared" si="532"/>
        <v/>
      </c>
      <c r="IT201" t="str" cm="1">
        <f t="array" ref="IT201">IF(IM201="","",_xlfn.LET(_xlpm.nd,_xlfn.TEXTSPLIT(IM201,"|"),IF(COLUMNS(_xlpm.nd)&gt;4,A201&amp;"¦"&amp;INDEX(_xlpm.nd,4)&amp;"¦"&amp;INDEX(_xlpm.nd,5),"")))</f>
        <v/>
      </c>
      <c r="IU201" t="str">
        <f t="shared" si="533"/>
        <v/>
      </c>
      <c r="IV201" t="str" cm="1">
        <f t="array" ref="IV201">IF(IM201="","",_xlfn.LET(_xlpm.nd,_xlfn.TEXTSPLIT(IM201,"|"),IF(COLUMNS(_xlpm.nd)&gt;5,A201&amp;"¦"&amp;INDEX(_xlpm.nd,5)&amp;"¦"&amp;INDEX(_xlpm.nd,6),"")))</f>
        <v/>
      </c>
      <c r="IW201" t="str">
        <f t="shared" si="534"/>
        <v/>
      </c>
      <c r="IX201" t="str" cm="1">
        <f t="array" ref="IX201">IF(IM201="","",_xlfn.LET(_xlpm.nd,_xlfn.TEXTSPLIT(IM201,"|"),IF(COLUMNS(_xlpm.nd)&gt;6,A201&amp;"¦"&amp;INDEX(_xlpm.nd,6)&amp;"¦"&amp;INDEX(_xlpm.nd,7),"")))</f>
        <v/>
      </c>
      <c r="IY201" t="str">
        <f t="shared" si="535"/>
        <v/>
      </c>
      <c r="IZ201" t="str">
        <f t="shared" si="536"/>
        <v/>
      </c>
      <c r="JA201" t="str">
        <f t="shared" si="537"/>
        <v>QFD17</v>
      </c>
      <c r="JB201">
        <f t="shared" si="538"/>
        <v>0</v>
      </c>
      <c r="JC201">
        <f t="shared" si="539"/>
        <v>1</v>
      </c>
      <c r="JD201" t="str">
        <f t="shared" si="540"/>
        <v/>
      </c>
      <c r="JE201" t="str">
        <f t="shared" si="541"/>
        <v/>
      </c>
      <c r="JF201" t="str">
        <f t="shared" si="542"/>
        <v/>
      </c>
      <c r="JG201" t="str">
        <f t="shared" si="543"/>
        <v/>
      </c>
      <c r="JH201" t="str">
        <f>IF(B201="","",IFERROR(_xlfn.XLOOKUP(B201,Коды_код,Коды_уго),IFERROR(_xlfn.XLOOKUP(BC201,Коды_код,Коды_уго),IFERROR(_xlfn.XLOOKUP(LEFT(BC201,2),Коды_код,Коды_уго),""))))</f>
        <v>Розетка</v>
      </c>
      <c r="JI201" t="str">
        <f>IF(B201="","",IF(OR(JH201="",JH201=0),"BOX",IFERROR(IF(VLOOKUP(JH201,УГО_блоки,3,FALSE)&amp;""&lt;&gt;"",VLOOKUP(JH201,УГО_блоки,3,FALSE),VLOOKUP(JH201,УГО_блоки,2,FALSE)),JH201)))</f>
        <v>SOCKET</v>
      </c>
      <c r="JJ201">
        <f t="shared" si="544"/>
        <v>1</v>
      </c>
      <c r="JK201" t="str">
        <f>IF(DQ201="","",IF(COUNTIF(DQ$3:DQ201,DQ201)=1,MAX(JK$2:JK200)+1,""))</f>
        <v/>
      </c>
      <c r="JL201" t="str">
        <f>IF(DE201="","",IF(COUNTIF(DE$3:DE201,DE201)+COUNTIF(DF$2:DF200,DE201)+COUNTIF(DG$2:DG200,DE201)=1,MAX(JL$2:JN200)+1,""))</f>
        <v/>
      </c>
      <c r="JM201" t="str">
        <f>IF(DF201="","",IF(COUNTIF(DE$3:DE201,DF201)+COUNTIF(DF$3:DF201,DF201)+COUNTIF(DG$2:DG200,DF201)=1,MAX(JL$2:JN200,JL201)+1,""))</f>
        <v/>
      </c>
      <c r="JN201" t="str">
        <f>IF(DG201="","",IF(COUNTIF(DE$3:DE201,DG201)+COUNTIF(DF$3:DF201,DG201)+COUNTIF(DG$3:DG201,DG201)=1,MAX(JL$2:JN200,JL201,JM201)+1,""))</f>
        <v/>
      </c>
      <c r="JO201" t="str">
        <f t="shared" si="545"/>
        <v>3х2,5</v>
      </c>
      <c r="JP201" t="str">
        <f>IF(JO201="","",IF(COUNTIF(JO$3:JO201,JO201)=1,MAX(JP$2:JP200)+1,""))</f>
        <v/>
      </c>
      <c r="JQ201" t="str">
        <f>IF(HG201="","",COUNTIF(HG$3:HG201,"?*"))</f>
        <v/>
      </c>
      <c r="JR201" t="str">
        <f>IF(OR(HG201="",HI201=""),"",IF(COUNTIFS(HG$3:HG201,"?*",HI$3:HI201,HI201)=1,MAX(JR$2:JR200)+1,""))</f>
        <v/>
      </c>
      <c r="JS201">
        <f t="shared" si="546"/>
        <v>0</v>
      </c>
      <c r="JT201">
        <f>IF(B201="","",COUNTIF(B$3:B201,"?*"))</f>
        <v>199</v>
      </c>
      <c r="JU201">
        <f>IF(HL201&lt;&gt;1,0,_xlfn.LET(_xlpm.k,MAX(IFERROR(--_xlfn.XLOOKUP(B201,Коды_код,Коды_3L),0),IFERROR(--_xlfn.XLOOKUP(BC201,Коды_код,Коды_3L),0),IFERROR(--_xlfn.XLOOKUP(LEFT(BC201,2),Коды_код,Коды_3L),0)),IF(_xlpm.k&gt;0,_xlpm.k,IF(IFERROR(--LEFT(SUBSTITUTE(JO201,"x","х"),FIND("х",SUBSTITUTE(JO201,"x","х"))-1),3)&gt;3,Каталог!$S$9,1))))</f>
        <v>1</v>
      </c>
      <c r="JV201">
        <f t="shared" si="547"/>
        <v>0</v>
      </c>
      <c r="JW201" t="str">
        <f t="shared" si="548"/>
        <v>авто</v>
      </c>
      <c r="JX201">
        <f t="shared" si="549"/>
        <v>30</v>
      </c>
      <c r="JY201">
        <f t="shared" si="550"/>
        <v>1</v>
      </c>
      <c r="JZ201">
        <f t="shared" si="551"/>
        <v>1</v>
      </c>
    </row>
    <row r="202" spans="1:286" x14ac:dyDescent="0.3">
      <c r="A202" t="s">
        <v>755</v>
      </c>
      <c r="B202" t="s">
        <v>1509</v>
      </c>
      <c r="C202" t="str">
        <f>Линии[[#This Row],[_авто наименование]]</f>
        <v>Розеточная группа, пом. 009A</v>
      </c>
      <c r="D202">
        <v>6</v>
      </c>
      <c r="E202">
        <v>0.36</v>
      </c>
      <c r="G202" t="str">
        <f>Линии[[#This Row],[_авто автомат]]</f>
        <v>2P С16А 30мА</v>
      </c>
      <c r="H202" t="str">
        <f>Линии[[#This Row],[_авто управление]]</f>
        <v/>
      </c>
      <c r="I202" t="str">
        <f>Линии[[#This Row],[_авто аппараты]]</f>
        <v/>
      </c>
      <c r="J202">
        <v>2.5</v>
      </c>
      <c r="K202">
        <v>26</v>
      </c>
      <c r="L202">
        <v>3</v>
      </c>
      <c r="M202" t="s">
        <v>484</v>
      </c>
      <c r="N202" t="str">
        <f t="shared" si="414"/>
        <v/>
      </c>
      <c r="O202" s="6" cm="1">
        <f t="array" ref="O202">IF(B202="","",IF(BH202&lt;&gt;"",IFERROR(_xlfn.XLOOKUP(BH202,Щиты[Щит],Щиты[Iр, А]),""),IF(BP202=1,IF(OR(N(_xlfn.XLOOKUP(A202,Щиты[Щит],Щиты[Вводов],1))&lt;=1,LOWER(TRIM(_xlfn.XLOOKUP(A202,Щиты[Щит],Щиты[АВР],"")&amp;""))="да"),IFERROR(_xlfn.XLOOKUP(A202,Щиты[Щит],Щиты[Iр, А]),""),IFERROR(N(BS202)*_xlfn.XLOOKUP(A202,Щиты[Щит],Щиты[Кс итог])/(SQRT(3)*Uн_лин*_xlfn.XLOOKUP(A202,Щиты[Щит],Щиты[cos φ])),"")),IF(BV202=1,IFERROR(BS202*1000/BU202,""),IFERROR(_xlfn.IFS(BX202=1,BS202/((Uн_лин/SQRT(3))*CE202),BX202=3,BS202/(SQRT(3)*Uн_лин*CE202)),"")))))</f>
        <v>1.6408902387494626</v>
      </c>
      <c r="P202" s="7">
        <f>IF(B202="","",IFERROR(IF(VLOOKUP(BC202,Потребители_обозначение,4,FALSE)=1,VLOOKUP(BC202,Потребители_обозначение,3,FALSE)*(MAX(1,N(D202))*2-1)+EI202+VLOOKUP(BE202,Этаж_обозначение,3,FALSE)+VLOOKUP(BE202,Этаж_обозначение,4,FALSE),VLOOKUP(BC202,Потребители_обозначение,3,FALSE)*(MAX(1,N(D202))*2-1)+EI202),EI202))</f>
        <v>59</v>
      </c>
      <c r="Q202" s="6">
        <f t="shared" si="415"/>
        <v>1.1499999999999999</v>
      </c>
      <c r="R202" t="str">
        <f t="shared" si="416"/>
        <v>ВВГнг(А)-LS (3х2,5)</v>
      </c>
      <c r="S202" t="str">
        <f>IF(BM202="","",IF(BN202="вводной узел","узел ","")&amp;"л."&amp;(INT((BM202-1)/Столбцов_на_лист)+1)&amp;" / "&amp;(MOD(BM202-1,Столбцов_на_лист)+1))</f>
        <v>л.2 / 11</v>
      </c>
      <c r="T202" s="119">
        <f t="shared" si="417"/>
        <v>1.2</v>
      </c>
      <c r="U202" s="7" t="str">
        <f>IF(OR(CG202=0,N(BV202)+N(IB202)=0),"",ROUNDUP(Запас_БП*(N(HY202)+N(HZ202)),0))</f>
        <v/>
      </c>
      <c r="V202" s="119" t="str">
        <f t="shared" si="418"/>
        <v/>
      </c>
      <c r="W202" s="7" t="str">
        <f>IFERROR(IF(OR(B202="",BP202=1,BV202=1,NOT(ISNUMBER(EN202)),N(DT202)=0),"",MAX(0,ROUNDDOWN((c_min*(Uн_лин*1000/SQRT(3))/(HT202*N(DT202))-_xlfn.XLOOKUP(A202,Щиты[Щит],Щиты[Zпетли на шинах, Ом]))*EN202/(2*ρкз_Cu),0))),"")</f>
        <v/>
      </c>
      <c r="Y202">
        <f>Линии[[#This Row],[_авто утечка]]</f>
        <v>30</v>
      </c>
      <c r="Z202">
        <v>1</v>
      </c>
      <c r="AA202">
        <v>230</v>
      </c>
      <c r="AB202" t="s">
        <v>562</v>
      </c>
      <c r="AG202" t="s">
        <v>810</v>
      </c>
      <c r="AI202" t="s">
        <v>561</v>
      </c>
      <c r="AK202" t="str">
        <f>Линии[[#This Row],[_авто модуль]]</f>
        <v/>
      </c>
      <c r="AM202">
        <v>28</v>
      </c>
      <c r="AN202" t="s">
        <v>11</v>
      </c>
      <c r="AO202">
        <v>3</v>
      </c>
      <c r="AQ202">
        <v>14</v>
      </c>
      <c r="AR202">
        <v>45</v>
      </c>
      <c r="AS202">
        <v>0</v>
      </c>
      <c r="BA202" cm="1">
        <f t="array" ref="BA202">ROW()-ROW(Линии[#Headers])</f>
        <v>200</v>
      </c>
      <c r="BC202" s="6" t="str">
        <f t="shared" si="419"/>
        <v>R</v>
      </c>
      <c r="BD202" t="str">
        <f t="shared" si="420"/>
        <v>0.009A.2</v>
      </c>
      <c r="BE202" t="str">
        <f t="shared" si="421"/>
        <v>0</v>
      </c>
      <c r="BF202" t="str">
        <f t="shared" si="422"/>
        <v>009A.2</v>
      </c>
      <c r="BG202" t="str">
        <f t="shared" si="423"/>
        <v>009A</v>
      </c>
      <c r="BH202" t="str">
        <f>IF(X202&lt;&gt;"",X202,IF(AND(B202&lt;&gt;"",B202&lt;&gt;A202,ISNUMBER(_xlfn.XMATCH(B202,Щиты[Щит]))),B202,""))</f>
        <v/>
      </c>
      <c r="BI202" t="str" cm="1">
        <f t="array" ref="BI202">IF(B202="","",IF(BH202&lt;&gt;"","Щит "&amp;BH202,_xlfn.LET(_xlpm.nm,IFERROR(_xlfn.XLOOKUP(BC202,Коды_код,Коды_имя)&amp;"",""),_xlpm.md,IFERROR(N(_xlfn.XLOOKUP(BC202,Коды_код,Коды_режим)),1),_xlpm.ex,IF(Имя_режим="по экспликации",IFERROR(_xlfn.XLOOKUP(BE202&amp;"|"&amp;BG202,Экспликация[Этаж]&amp;"|"&amp;Экспликация[Помещение],Экспликация[Название])&amp;"",""),""),_xlpm.rm,IF(BG202="","",IF(_xlpm.ex&lt;&gt;"",". "&amp;_xlpm.ex&amp;IF(Имя_пом="нет"," ("&amp;BG202&amp;")"," (пом. "&amp;BG202&amp;")"),IF(Имя_пом="нет"," ",", пом. ")&amp;BG202)),IF(_xlpm.nm="","",IF(_xlpm.md=2,_xlpm.nm&amp;" шлейф "&amp;BE202,_xlpm.nm&amp;_xlpm.rm)))))</f>
        <v>Розеточная группа, пом. 009A</v>
      </c>
      <c r="BJ202" t="str">
        <f t="shared" si="424"/>
        <v>Розеточная группа, пом. 009A</v>
      </c>
      <c r="BK202">
        <f>IFERROR(_xlfn.XMATCH(A202,Щиты[Щит]),0)</f>
        <v>9</v>
      </c>
      <c r="BL202">
        <f>_xlfn.LET(_xlpm.k,IFERROR(_xlfn.XLOOKUP(A202,Щиты[Щит],Щиты[Мест под вводной узел]),""),IF(_xlpm.k="",Столбцов_на_лист,N(_xlpm.k)))</f>
        <v>8</v>
      </c>
      <c r="BM202">
        <f t="shared" si="425"/>
        <v>28</v>
      </c>
      <c r="BN202" t="str">
        <f t="shared" si="426"/>
        <v>линии</v>
      </c>
      <c r="BO202" s="6">
        <f>IFERROR(N(_xlfn.XLOOKUP(BC202,Коды_код,Коды_квт)),0)</f>
        <v>0</v>
      </c>
      <c r="BP202">
        <f t="shared" si="427"/>
        <v>0</v>
      </c>
      <c r="BQ202" t="str">
        <f>IF(B202="","",IF(BH202&lt;&gt;"",IFERROR(_xlfn.XLOOKUP(BH202,Щиты[Щит],Щиты[Руст, кВт]),0),IF(BP202=1,IF(OR(N(_xlfn.XLOOKUP(A202,Щиты[Щит],Щиты[Вводов],1))&lt;=1,LOWER(TRIM(_xlfn.XLOOKUP(A202,Щиты[Щит],Щиты[АВР],"")&amp;""))="да"),IFERROR(_xlfn.XLOOKUP(A202,Щиты[Щит],Щиты[Руст, кВт]),0),SUMIFS(Линии[_Р для вводов],Линии[Щит],A202,Линии[Источник для режимов],GF202)),IF(BO202&gt;0,ROUND(BO202*MAX(1,N(D202)),3),""))))</f>
        <v/>
      </c>
      <c r="BR202">
        <f t="shared" si="428"/>
        <v>0.36</v>
      </c>
      <c r="BS202" s="6">
        <f>IF(B202="","",IF(BH202&lt;&gt;"",IFERROR(_xlfn.XLOOKUP(BH202,Щиты[Щит],Щиты[Руст, кВт]),0),N(BR202)))</f>
        <v>0.36</v>
      </c>
      <c r="BT202" t="str">
        <f>IF(B202="","",IFERROR(IF(VLOOKUP(BC202,Потребители_обозначение,8,FALSE)=0,"",VLOOKUP(BC202,Потребители_обозначение,8,FALSE)),""))</f>
        <v/>
      </c>
      <c r="BU202">
        <f t="shared" si="429"/>
        <v>230</v>
      </c>
      <c r="BV202">
        <f t="shared" si="430"/>
        <v>0</v>
      </c>
      <c r="BW202">
        <f>IF(B202="","",IF(BH202&lt;&gt;"",3,IFERROR(IF(N(VLOOKUP(BC202,Потребители_обозначение,9,FALSE))=0,1,VLOOKUP(BC202,Потребители_обозначение,9,FALSE)),1)))</f>
        <v>1</v>
      </c>
      <c r="BX202">
        <f t="shared" si="431"/>
        <v>1</v>
      </c>
      <c r="BY202" t="str">
        <f>IF(B202="","",_xlfn.LET(_xlpm.bc,IFERROR(IF(VLOOKUP(BC202,Потребители_обозначение,6,FALSE)=0,"",VLOOKUP(BC202,Потребители_обозначение,6,FALSE)&amp;""),""),IF(AND(GA202="да",OR(_xlpm.bc="",_xlpm.bc="мс")),Марка_пож,IF(AND(_xlpm.bc="",BH202&lt;&gt;""),"мс",_xlpm.bc))))</f>
        <v/>
      </c>
      <c r="BZ202" t="str">
        <f t="shared" si="432"/>
        <v>мс</v>
      </c>
      <c r="CA202">
        <f>IF(B202="","",_xlfn.LET(_xlpm.cc,IFERROR(N(VLOOKUP(BC202,Потребители_обозначение,7,FALSE)),0),IF(_xlpm.cc&gt;0,_xlpm.cc,IF(BZ202="","",IF(BV202=1,2,IF(N(BX202)=3,5,3))))))</f>
        <v>3</v>
      </c>
      <c r="CB202">
        <f t="shared" si="433"/>
        <v>3</v>
      </c>
      <c r="CC202">
        <f>IFERROR(N(VLOOKUP(BC202,Потребители_обозначение,10,FALSE)),0)</f>
        <v>0</v>
      </c>
      <c r="CD202">
        <f>IFERROR(VLOOKUP(BC202,Потребители_обозначение,5,FALSE),0)</f>
        <v>1</v>
      </c>
      <c r="CE202" s="6" cm="1">
        <f t="array" ref="CE202">IF(B202="","",IF(BH202&lt;&gt;"",IFERROR(_xlfn.XLOOKUP(BH202,Щиты[Щит],Щиты[cos φ]),0.95),IF(BP202=1,IFERROR(_xlfn.XLOOKUP(A202,Щиты[Щит],Щиты[cos φ]),0.95),IF(ISNUMBER(AD202),AD202,IFERROR(IF(CD202=2,_xlfn.IFS(BX202=3,VLOOKUP(BS202,Справочная_двигатели,8,FALSE),BX202=1,VLOOKUP(BS202,Справочная_двигатели,10,TRUE)),IF(AND(Методика="нормы 2026",FG202="Сил"),0.8,0.95)),0.95)))))</f>
        <v>0.95</v>
      </c>
      <c r="CF202">
        <f t="shared" si="434"/>
        <v>0</v>
      </c>
      <c r="CG202">
        <f t="shared" si="435"/>
        <v>1</v>
      </c>
      <c r="CH202">
        <f t="shared" si="436"/>
        <v>0</v>
      </c>
      <c r="CI202">
        <f>IF(B202="","",IF(BV202=1,IFERROR(BS202/((Uн_лин/SQRT(3))*MAX(0.5,N(CE202))),0),N(O202)))</f>
        <v>1.6408902387494626</v>
      </c>
      <c r="CJ202">
        <f t="shared" si="437"/>
        <v>0</v>
      </c>
      <c r="CK202">
        <f t="shared" si="438"/>
        <v>0</v>
      </c>
      <c r="CL202">
        <f t="shared" si="439"/>
        <v>0</v>
      </c>
      <c r="CM202">
        <f t="shared" si="440"/>
        <v>0</v>
      </c>
      <c r="CN202">
        <f t="shared" si="441"/>
        <v>0</v>
      </c>
      <c r="CO202">
        <f>IF(BC202="",0,_xlfn.LET(_xlpm.v,IFERROR(_xlfn.XLOOKUP(B202,Коды_код,Коды_мА),IFERROR(_xlfn.XLOOKUP(BC202,Коды_код,Коды_мА),IFERROR(_xlfn.XLOOKUP(LEFT(BC202,2),Коды_код,Коды_мА),""))),IF(_xlpm.v="да",30,IF(ISNUMBER(_xlpm.v),_xlpm.v,0))))</f>
        <v>30</v>
      </c>
      <c r="CP202">
        <f t="shared" si="442"/>
        <v>30</v>
      </c>
      <c r="CQ202" t="str">
        <f>_xlfn.LET(_xlpm.k,IFERROR(_xlfn.XLOOKUP(BC202,Коды_код,Коды_утечка)&amp;"",""),IF(_xlpm.k="","дифавтомат",_xlpm.k))</f>
        <v>дифавтомат</v>
      </c>
      <c r="CR202" t="str" cm="1">
        <f t="array" ref="CR202">IF(CG202=0,"",_xlfn.LET(_xlpm.sg,TRIM(_xlfn.TEXTSPLIT(DD202&amp;"",";")),_xlpm.f_,_xlfn._xlws.FILTER(_xlpm.sg,LEFT(_xlpm.sg,3)="УЗО",""),IFERROR(INDEX(_xlpm.f_,1)&amp;"","")))</f>
        <v/>
      </c>
      <c r="CS202" t="str">
        <f t="shared" si="443"/>
        <v/>
      </c>
      <c r="CT202" s="6" t="str" cm="1">
        <f t="array" ref="CT202">IF(CR202="","",_xlfn.LET(_xlpm.tk,_xlfn.TEXTSPLIT(UPPER(CR202)," ",,TRUE),_xlpm.a_,_xlfn._xlws.FILTER(_xlpm.tk,ISNUMBER(--LEFT(_xlpm.tk,1))*((ISNUMBER(SEARCH("А",_xlpm.tk))+ISNUMBER(SEARCH("A",_xlpm.tk)))&gt;0)*NOT(ISNUMBER(SEARCH("МА",_xlpm.tk)))*NOT(ISNUMBER(SEARCH("MA",_xlpm.tk))),""),IFERROR(--SUBSTITUTE(SUBSTITUTE(INDEX(_xlpm.a_,1),"А",""),"A",""),"")))</f>
        <v/>
      </c>
      <c r="CU202" t="str" cm="1">
        <f t="array" ref="CU202">IF(CR202="","",_xlfn.LET(_xlpm.tk,_xlfn.TEXTSPLIT(UPPER(CR202)," ",,TRUE),_xlpm.a_,_xlfn._xlws.FILTER(_xlpm.tk,ISNUMBER(--LEFT(_xlpm.tk,1))*((ISNUMBER(SEARCH("МА",_xlpm.tk))+ISNUMBER(SEARCH("MA",_xlpm.tk)))&gt;0),""),IFERROR(--SUBSTITUTE(SUBSTITUTE(INDEX(_xlpm.a_,1),"МА",""),"MA",""),30)))</f>
        <v/>
      </c>
      <c r="CV202" t="str">
        <f>IF(CS202="","",IFERROR(_xlfn.XLOOKUP(CS202,Линии[_n],Линии[_УЗО, мА]),30))</f>
        <v/>
      </c>
      <c r="CW202">
        <f>IF(CS202="",0,IF(ISNUMBER(SEARCH("4P",IFERROR(_xlfn.XLOOKUP(CS202,Линии[_n],Линии[_УЗО строки])&amp;"",""))),0,1))</f>
        <v>0</v>
      </c>
      <c r="CX202" t="str">
        <f>IF(AND(CS202&lt;&gt;"",CS202=BA202),SUMIFS(Линии[_ток на 230 В],Линии[_блок УЗО],BA202,Линии[Щит],A202),"")</f>
        <v/>
      </c>
      <c r="CY202" t="str">
        <f>IF(AND(CS202&lt;&gt;"",CS202=BA202),SUMIFS(Линии[_ток утечки линии, мА],Линии[_блок УЗО],BA202,Линии[Щит],A202),"")</f>
        <v/>
      </c>
      <c r="CZ202">
        <f t="shared" si="444"/>
        <v>30</v>
      </c>
      <c r="DA202">
        <f t="shared" si="445"/>
        <v>30</v>
      </c>
      <c r="DB202">
        <f>IF(B202="",0,IFERROR(--_xlfn.XLOOKUP(B202,Коды_код,Коды_минавт),IFERROR(--_xlfn.XLOOKUP(BC202,Коды_код,Коды_минавт),IFERROR(--_xlfn.XLOOKUP(LEFT(BC202,2),Коды_код,Коды_минавт),0))))</f>
        <v>16</v>
      </c>
      <c r="DC202" t="str">
        <f>IF(B202="","",IFERROR(_xlfn.XLOOKUP(BC202,Коды_код,Коды_апп)&amp;"",""))</f>
        <v/>
      </c>
      <c r="DD202" t="str">
        <f t="shared" si="446"/>
        <v/>
      </c>
      <c r="DE202" t="str" cm="1">
        <f t="array" ref="DE202">IF(TRIM(DD202&amp;"")="","",IFERROR(TRIM(INDEX(_xlfn.TEXTSPLIT(DD202&amp;";;;",";"),1)),""))</f>
        <v/>
      </c>
      <c r="DF202" t="str" cm="1">
        <f t="array" ref="DF202">IF(TRIM(DD202&amp;"")="","",IFERROR(TRIM(INDEX(_xlfn.TEXTSPLIT(DD202&amp;";;;",";"),2)),""))</f>
        <v/>
      </c>
      <c r="DG202" t="str" cm="1">
        <f t="array" ref="DG202">IF(TRIM(DD202&amp;"")="","",IFERROR(TRIM(INDEX(_xlfn.TEXTSPLIT(DD202&amp;";;;",";"),3)),""))</f>
        <v/>
      </c>
      <c r="DH202">
        <f t="shared" si="447"/>
        <v>0</v>
      </c>
      <c r="DI202" t="str">
        <f>IF(B202="","",_xlfn.LET(_xlpm.t,LOWER(AZ202&amp;""),IF(ISNUMBER(SEARCH("dim",_xlpm.t)),"DIM",IF(ISNUMBER(SEARCH("dali",_xlpm.t)),"DALI",IF(OR(ISNUMBER(SEARCH("relay",_xlpm.t)),ISNUMBER(SEARCH("реле",_xlpm.t))),"Relay",IF(ISNUMBER(SEARCH("кнопк",_xlpm.t)),"",IFERROR(_xlfn.XLOOKUP(BC202,Коды_код,Коды_упр)&amp;"","")))))))</f>
        <v/>
      </c>
      <c r="DJ202" t="str">
        <f t="shared" si="448"/>
        <v/>
      </c>
      <c r="DK202">
        <f>IF(B202="","",_xlfn.LET(_xlpm.ig,IF(N(CX202)&gt;0,N(CX202),N(CI202)+IF(AJ202="вручную",0,N(CJ202))),_xlpm.n0,IFERROR(VLOOKUP(_xlpm.ig,Автомат_номиналы,2,TRUE),0),_xlpm.mn,MAX(DB202,IF(AJ202="вручную",0,N(CM202))),MAX(_xlpm.n0,_xlpm.mn,IF(DH202=1,Мин_автомат_БП,0))))</f>
        <v>16</v>
      </c>
      <c r="DL202">
        <f t="shared" si="449"/>
        <v>1</v>
      </c>
      <c r="DM202" t="str">
        <f t="shared" si="450"/>
        <v>2P</v>
      </c>
      <c r="DN202" t="str">
        <f>_xlfn.LET(_xlpm.cc,UPPER(TRIM(IFERROR(_xlfn.XLOOKUP(BC202,Коды_код,Коды_хар)&amp;"",""))),IF(OR(_xlpm.cc="B",_xlpm.cc="В"),"B",IF(_xlpm.cc="D","D","С")))</f>
        <v>С</v>
      </c>
      <c r="DO202" t="str">
        <f t="shared" si="451"/>
        <v>2P С16А 30мА</v>
      </c>
      <c r="DP202" t="str">
        <f t="shared" si="452"/>
        <v>2P С16А 30мА</v>
      </c>
      <c r="DQ202" t="str">
        <f t="shared" si="453"/>
        <v>2P С16А 30мА</v>
      </c>
      <c r="DR202" cm="1">
        <f t="array" ref="DR202">IF(DQ202="","",_xlfn.LET(_xlpm.t,SUBSTITUTE(SUBSTITUTE(SUBSTITUTE(UPPER(DQ202),"С","C"),"А","A"),"В","B"),_xlpm.tk,_xlfn.TEXTSPLIT(_xlpm.t," "),_xlpm.f,_xlfn._xlws.FILTER(_xlpm.tk,ISNUMBER(--MID(_xlpm.tk,2,1))*ISNUMBER(SEARCH(LEFT(_xlpm.tk,1)&amp;"#","B#C#D#"))*(LEN(_xlpm.tk)&gt;1),""),_xlpm.x,INDEX(_xlpm.f,1),IFERROR(--SUBSTITUTE(MID(_xlpm.x,2,9),"A",""),IFERROR(--SUBSTITUTE(INDEX(_xlfn._xlws.FILTER(_xlpm.tk,ISNUMBER(--SUBSTITUTE(_xlpm.tk,"A","")),""),1),"A",""),""))))</f>
        <v>16</v>
      </c>
      <c r="DS202" t="str">
        <f t="shared" si="454"/>
        <v>ok</v>
      </c>
      <c r="DT202">
        <f t="shared" si="455"/>
        <v>16</v>
      </c>
      <c r="DU202" t="str">
        <f t="shared" si="456"/>
        <v>2P С16А 30мА</v>
      </c>
      <c r="DV202">
        <f t="shared" si="457"/>
        <v>30</v>
      </c>
      <c r="DW202">
        <f t="shared" si="458"/>
        <v>1</v>
      </c>
      <c r="DX202">
        <f t="shared" si="459"/>
        <v>0</v>
      </c>
      <c r="DY202">
        <f t="shared" si="460"/>
        <v>1.6408902387494626</v>
      </c>
      <c r="DZ202">
        <f t="shared" si="461"/>
        <v>1</v>
      </c>
      <c r="EA202">
        <f>IF(ISNUMBER(AP202),AP202,К_прокл)</f>
        <v>1</v>
      </c>
      <c r="EB202">
        <f t="shared" si="462"/>
        <v>2</v>
      </c>
      <c r="EC202">
        <f>IFERROR(N(VLOOKUP(BZ202,Кабель_обозначение,3,FALSE)),1)</f>
        <v>1</v>
      </c>
      <c r="ED202">
        <f>IFERROR(N(_xlfn.XLOOKUP(A202,Щиты[Щит],Щиты[ΔU до шин, %])),0)</f>
        <v>0.43</v>
      </c>
      <c r="EE202" t="str">
        <f>IFERROR(_xlfn.XLOOKUP(A202,Щиты[Щит],Щиты[Zпетли на шинах, Ом]),"")</f>
        <v/>
      </c>
      <c r="EF202">
        <f>IFERROR(N(_xlfn.XLOOKUP(A202,Щиты[Щит],Щиты[ΔU до шин (подбор), %])),0)</f>
        <v>0.43</v>
      </c>
      <c r="EG202" t="str">
        <f>IFERROR(_xlfn.XLOOKUP(A202,Щиты[Щит],Щиты[Zпетли на шинах (подбор), Ом]),"")</f>
        <v/>
      </c>
      <c r="EH202" t="str">
        <f t="shared" si="463"/>
        <v/>
      </c>
      <c r="EI202">
        <f t="shared" si="464"/>
        <v>26</v>
      </c>
      <c r="EJ202">
        <f t="shared" si="465"/>
        <v>2</v>
      </c>
      <c r="EK202">
        <f t="shared" si="466"/>
        <v>0.31</v>
      </c>
      <c r="EL202" s="6">
        <f>IF(B202="","",IF(BV202=1,dU_LED,IF(IFERROR(_xlfn.XLOOKUP(BC202,Коды_код,Коды_уго),"")="Светильник",3,4)+IF(Методика="нормы 2026",MIN(0.5,MAX(0,N(P202)-100)*0.005),0)))</f>
        <v>4</v>
      </c>
      <c r="EM202" cm="1">
        <f t="array" ref="EM202">IF(OR(B202="",BZ202="",EC202&lt;&gt;1),"",_xlfn.LET(_xlpm.sz,Iдоп_S,_xlpm.t_,CHOOSE(EB202,Iдоп_1ж,Iдоп_2ж,Iдоп_3ж)*DZ202*EA202,_xlpm.dcx,BV202=1,_xlpm.inn,IF(_xlpm.dcx,N(O202),N(DT202)),_xlpm.smin,MAX(1.5,CC202),_xlpm.L_,N(P202)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202)/N(BU202)*100,999),IFERROR(N(EJ202)*(_xlpm.rho*_xlpm.L_/_xlpm.sz*N(CE202)+_xlpm.xx*_xlpm.L_*N(EK202)/1000)*N(O202)/((Uн_лин/SQRT(3))*1000)*100,999)),_xlpm.kz,IF(OR(_xlpm.dcx,DW202=1,NOT(ISNUMBER(EG202)),_xlpm.L_=0,_xlpm.inn=0),1,IFERROR(--(c_min*(Uн_лин*1000/SQRT(3))/(EG202+2*ρкз_Cu*_xlpm.L_/_xlpm.sz)&gt;=HT202*_xlpm.inn),0)),_xlpm.ok,IFERROR((_xlpm.sz&gt;=_xlpm.smin)*(_xlpm.t_&gt;=_xlpm.inn)*IF(_xlpm.L_&gt;0,(_xlpm.du_+IF(_xlpm.dcx,0,EF202)&lt;=EL202+0.00001),1)*_xlpm.kz,0),_xlpm.r_,_xlfn._xlws.FILTER(_xlpm.sz,_xlpm.ok,"не подобрано"),INDEX(_xlpm.r_,1)))</f>
        <v>1.5</v>
      </c>
      <c r="EN202">
        <f t="shared" si="467"/>
        <v>2.5</v>
      </c>
      <c r="EO202" cm="1">
        <f t="array" ref="EO202">IF(OR(B202="",BZ202="",EC202&lt;&gt;1),"",_xlfn.LET(_xlpm.sz,Iдоп_S,_xlpm.t_,CHOOSE(EB202,Iдоп_1ж,Iдоп_2ж,Iдоп_3ж)*DZ202*EA202,_xlpm.ok,IFERROR((_xlpm.sz&gt;=MAX(1.5,CC202))*(_xlpm.t_&gt;=N(DT202)),0),_xlpm.r_,_xlfn._xlws.FILTER(_xlpm.sz,_xlpm.ok,""),INDEX(_xlpm.r_,1)))</f>
        <v>1.5</v>
      </c>
      <c r="EP202" s="6" cm="1">
        <f t="array" ref="EP202">IFERROR(ROUNDUP(N(EJ202)*(_xlfn.XLOOKUP(EO202,INDEX(Кабель_сопротивление,0,1),INDEX(Кабель_сопротивление,0,3))*N(P202)/EO202*N(CE202)+_xlfn.XLOOKUP(EO202,INDEX(Кабель_сопротивление,0,1),INDEX(Кабель_сопротивление,0,2))*N(P202)*N(EK202)/1000)*N(O202)/((Uн_лин/SQRT(3))*1000)*100,2),"")</f>
        <v>1.2</v>
      </c>
      <c r="EQ202">
        <f>IFERROR(2*ρкз_Cu*N(P202)/EO202,"")</f>
        <v>2.0689333333333333</v>
      </c>
      <c r="ER202">
        <f>IFERROR(VLOOKUP(EN202,Кабель_сопротивление,3,FALSE),"")</f>
        <v>2.2499999999999999E-2</v>
      </c>
      <c r="ES202">
        <f>IFERROR(VLOOKUP(EN202,Кабель_сопротивление,2,FALSE),"")</f>
        <v>0.1</v>
      </c>
      <c r="ET202">
        <f t="shared" si="468"/>
        <v>45</v>
      </c>
      <c r="EU202">
        <f t="shared" si="469"/>
        <v>0</v>
      </c>
      <c r="EV202">
        <f t="shared" si="470"/>
        <v>1.6614965383676776</v>
      </c>
      <c r="EW202" s="6">
        <f>IFERROR(ROUNDUP(EV202/IF(BV202=1,BU202,(Uн_лин/SQRT(3))*1000)*100,2),"")</f>
        <v>0.72</v>
      </c>
      <c r="EX202" t="str">
        <f>IFERROR(VLOOKUP(BZ202,Кабель_обозначение,2,FALSE),"")</f>
        <v>ВВГнг(А)-LS</v>
      </c>
      <c r="EY202" t="str">
        <f t="shared" si="471"/>
        <v>ВВГнг(А)-LS (3х2,5)</v>
      </c>
      <c r="EZ202" t="str">
        <f t="shared" si="472"/>
        <v>ВВГнг(А)-LS (3х2,5)
L=59-0,72%</v>
      </c>
      <c r="FA202">
        <f>IFERROR(2*ρкз_Cu*P202/EN202,"")</f>
        <v>1.24136</v>
      </c>
      <c r="FB202">
        <f t="shared" si="473"/>
        <v>0.41300000000000009</v>
      </c>
      <c r="FC202" s="6" t="str">
        <f>IFERROR(IF(OR(B202="",BV202=1,NOT(ISNUMBER(EN202)),N(P202)=0),"",_xlfn.XLOOKUP(A202,Щиты[Щит],Щиты[Zпетли на шинах, Ом])+FA202),"")</f>
        <v/>
      </c>
      <c r="FD202" s="6" t="str">
        <f>IF(ISNUMBER(FC202),c_min*(Uн_лин*1000/SQRT(3))/FC202,"")</f>
        <v/>
      </c>
      <c r="FE202" s="6" t="str">
        <f>IFERROR(IF(OR(B202="",NOT(ISNUMBER(EN202))),"",1.05*(Uн_лин*1000/SQRT(3))/(_xlfn.XLOOKUP(A202,Щиты[Щит],Щиты[Zmax на шинах, Ом])+FB202)/1000),"")</f>
        <v/>
      </c>
      <c r="FF202" s="6" t="str">
        <f>IF(B202="","",IF(ISNUMBER(AC202),"Сил",IF(IFERROR(_xlfn.XLOOKUP(BC202,Коды_код,Коды_группа)&amp;"","")="","Быт",_xlfn.XLOOKUP(BC202,Коды_код,Коды_группа)&amp;"")))</f>
        <v>Быт</v>
      </c>
      <c r="FG202" s="6" t="str">
        <f t="shared" si="474"/>
        <v>Быт</v>
      </c>
      <c r="FH202" s="6">
        <f>IF(FG202="Щит","щит",IF(FG202="","",IF(FG202="Быт",IFERROR(_xlfn.XLOOKUP(A202,Щиты[Щит],Щиты[Кс быт]),1),IF(FG202="Сил",IF(ISNUMBER(AC202),AC202,IF(Методика="нормы 2026",IFERROR(_xlfn.XLOOKUP(A202,Щиты[Щит],Щиты[Кс силовых (табл. 7.5)]),1),1)),IF(OR(FG202="Пост",FG202="Отоп"),1,IF(FG202="ВНГ",0.7,0))))))</f>
        <v>0.79799999999999993</v>
      </c>
      <c r="FI202">
        <f>IF(FG202="","",IF(AND(BP202=1,TRIM(AE202&amp;"")=""),IF(COUNTIFS(Линии[Щит],A202,Линии[Секция (1/2/3)],"&gt;=2")&gt;0,MIN(3,MAX(1,IFERROR(--BD202,1))),1),IFERROR(MIN(3,MAX(1,INT(--AE202))),1)))</f>
        <v>1</v>
      </c>
      <c r="FJ202">
        <f t="shared" si="475"/>
        <v>0.36</v>
      </c>
      <c r="FK202">
        <f t="shared" si="476"/>
        <v>0.36</v>
      </c>
      <c r="FL202">
        <f t="shared" si="477"/>
        <v>0</v>
      </c>
      <c r="FM202">
        <f t="shared" si="478"/>
        <v>0</v>
      </c>
      <c r="FN202">
        <f t="shared" si="479"/>
        <v>0</v>
      </c>
      <c r="FO202">
        <f t="shared" si="480"/>
        <v>0</v>
      </c>
      <c r="FP202">
        <f t="shared" si="481"/>
        <v>0.36</v>
      </c>
      <c r="FQ202">
        <f t="shared" si="482"/>
        <v>0.36</v>
      </c>
      <c r="FR202">
        <f t="shared" si="483"/>
        <v>0.34199999999999997</v>
      </c>
      <c r="FS202">
        <f>IF(CG202=1,IF(AND(CH202=1,CW202=1),0,IF(AND(CS202&lt;&gt;"",CS202=BA202,CW202=1),SUMIFS(Линии[_Р линии, кВт],Линии[_блок УЗО],BA202,Линии[Щит],A202),N(BS202)+IF(AJ202="вручную",0,N(CK202)))),0)</f>
        <v>0.36</v>
      </c>
      <c r="FT202" t="str">
        <f t="shared" si="484"/>
        <v>L3</v>
      </c>
      <c r="FU202" t="str">
        <f>IF(B202="","",IF(CG202=0,IF(BA202=1,"",FW201),IF(AND(CH202=1,CW202=1,CS202&lt;&gt;""),IFERROR(_xlfn.XLOOKUP(CS202,Линии[_n],Линии[_фаза итог]),"L1"),IF(OR(N(DL202)&gt;=3,N(BX202)&gt;=3),"L1,L2,L3",IFERROR(_xlfn.TEXTBEFORE(_xlfn.TEXTAFTER(_xlfn.XLOOKUP(A202,Щиты[Щит],Щиты[_фазы авто]),";"&amp;BA202&amp;":"),";"),"L1")))))</f>
        <v>L1</v>
      </c>
      <c r="FV202" t="str">
        <f t="shared" si="485"/>
        <v>L3</v>
      </c>
      <c r="FW202" t="str">
        <f t="shared" si="486"/>
        <v>L3</v>
      </c>
      <c r="FX202" cm="1">
        <f t="array" ref="FX202">IFERROR(IF(CD202=2,_xlfn.IFS(BX202=3,VLOOKUP(BS202,Справочная_двигатели,3,FALSE),BX202=1,VLOOKUP(BS202,Справочная_двигатели,5,TRUE)),0),0)</f>
        <v>0</v>
      </c>
      <c r="FY202">
        <f>IFERROR(IF(CD202=3,VLOOKUP(BS202,Справочная_ЛЭД,2,TRUE),0),0)</f>
        <v>0</v>
      </c>
      <c r="FZ202" s="6">
        <f t="shared" si="487"/>
        <v>0</v>
      </c>
      <c r="GA202" t="str">
        <f>IF(B202="","",IF(TRIM(AH202&amp;"")&lt;&gt;"",IF(LOWER(TRIM(AH202&amp;""))="да","да","нет"),IF(IFERROR(_xlfn.XLOOKUP(BC202,Коды_код,Коды_пожарная),"")="да","да","нет")))</f>
        <v>нет</v>
      </c>
      <c r="GB202" t="str">
        <f t="shared" si="488"/>
        <v/>
      </c>
      <c r="GC202" t="str">
        <f t="shared" si="489"/>
        <v>основная</v>
      </c>
      <c r="GD202">
        <f>IF(AND(BP202=1,TRIM(AE202&amp;"")=""),IF(COUNTIFS(Линии[Щит],A202,Линии[Секция (1/2/3)],"&gt;=2")&gt;0,MIN(3,MAX(1,IFERROR(--BD202,1))),1),IFERROR(MIN(3,MAX(1,INT(--AE202))),1))</f>
        <v>1</v>
      </c>
      <c r="GE202" t="str" cm="1">
        <f t="array" ref="GE202">IF(B202="","",_xlfn.LET(_xlpm.t,IFERROR(_xlfn.XLOOKUP(1,(Шины[Шина]=GC202)*(((Шины[Щит]=A202)+(Шины[Щит]=""))&gt;0),Шины[Тип]),"")&amp;"",IF(_xlpm.t&lt;&gt;"",_xlpm.t,IF(ISNUMBER(SEARCH("ИБП",GC202)),"ИБП",IF(ISNUMBER(SEARCH("ДГУ",GC202)),"ДГУ","Ввод "&amp;GD202)))))</f>
        <v>Ввод 1</v>
      </c>
      <c r="GF202" t="str">
        <f t="shared" si="490"/>
        <v>Ввод 1</v>
      </c>
      <c r="GG202" t="str">
        <f>IF(BP202=0,"",IF(TRIM(AG202&amp;"")&lt;&gt;"",TRIM(AG202&amp;""),IF(OR(GE202="ИБП",GE202="ДГУ"),"I особая",_xlfn.XLOOKUP(A202,Щиты[Щит],Щиты[Категория шины «Ввод»],"III"))))</f>
        <v/>
      </c>
      <c r="GH202" t="str">
        <f>IF(A202="","",_xlfn.XLOOKUP(A202,Щиты[Щит],Щиты[Путь],""))</f>
        <v>|ГРЩ-ЖД|ЩР-01|</v>
      </c>
      <c r="GI202" t="str">
        <f>IF(B202="","",IF(AI202&lt;&gt;"",AI202,IF(IFERROR(_xlfn.XLOOKUP(BC202,Коды_код,Коды_вид)&amp;"","")="","Прочее",_xlfn.XLOOKUP(BC202,Коды_код,Коды_вид)&amp;"")))</f>
        <v>Розеточная сеть и бытовые приборы</v>
      </c>
      <c r="GJ202">
        <f>IF(BM202="","",INT((BM202-1)/Столбцов_на_лист)+1)</f>
        <v>2</v>
      </c>
      <c r="GK202" t="str">
        <f t="shared" si="491"/>
        <v>ВВГнг(А)-LS (3х2,5) L=59-0,72%</v>
      </c>
      <c r="GL202">
        <f t="shared" si="492"/>
        <v>0.36</v>
      </c>
      <c r="GM202">
        <f t="shared" si="493"/>
        <v>1.65</v>
      </c>
      <c r="GN202">
        <f t="shared" si="494"/>
        <v>1</v>
      </c>
      <c r="GO202">
        <f t="shared" si="495"/>
        <v>0</v>
      </c>
      <c r="GP202">
        <f t="shared" si="496"/>
        <v>1</v>
      </c>
      <c r="GQ202">
        <f>IF(BM202="","",IF(AND(CG202=1,GP202=1),COUNTIFS(A$3:A202,A202,CG$3:CG202,1,GP$3:GP202,1),IF(OR(OR(BA202=1,A202&lt;&gt;A201),AJ202="вручную",GP202=0),"",IF(BA202=1,"",GR201))))</f>
        <v>18</v>
      </c>
      <c r="GR202">
        <f t="shared" si="497"/>
        <v>18</v>
      </c>
      <c r="GS202">
        <f>IF(B202="","",IFERROR(LOOKUP(INDEX(CHOOSE(EB202,Iдоп_1ж,Iдоп_2ж,Iдоп_3ж),MATCH(EN202,Iдоп_S,0))*DZ202*EA202,{6,10,16,20,25,32,40,50,63,80,100,125,160,200,250,315,400,500,630}),""))</f>
        <v>25</v>
      </c>
      <c r="GT202" t="str">
        <f t="shared" si="498"/>
        <v>QFD18</v>
      </c>
      <c r="GU202" t="str">
        <f t="shared" si="499"/>
        <v>QFD18</v>
      </c>
      <c r="GV202" t="str">
        <f t="shared" si="500"/>
        <v/>
      </c>
      <c r="GW202">
        <f t="shared" si="501"/>
        <v>0</v>
      </c>
      <c r="GX202" t="str">
        <f>IF(OR(B202="",DJ202=""),"",IFERROR(_xlfn.XLOOKUP(DJ202,Модули_умолч[Управление],Модули_умолч[Модель])&amp;"",""))</f>
        <v/>
      </c>
      <c r="GY202">
        <f>IF(DJ202="",1,IFERROR(MAX(0,N(_xlfn.XLOOKUP(DJ202,Модули_умолч[Управление],Модули_умолч[Каналов на линию]))),1))</f>
        <v>1</v>
      </c>
      <c r="GZ202" t="str">
        <f t="shared" si="502"/>
        <v/>
      </c>
      <c r="HA202" t="str">
        <f t="shared" si="503"/>
        <v/>
      </c>
      <c r="HB202" t="str">
        <f t="shared" si="504"/>
        <v/>
      </c>
      <c r="HC202">
        <f>IF(HB202="",0,IFERROR(N(VLOOKUP(HB202,Модули_спр,3,FALSE)),0))</f>
        <v>0</v>
      </c>
      <c r="HD202" t="str">
        <f t="shared" si="505"/>
        <v/>
      </c>
      <c r="HE202" t="str">
        <f t="shared" si="506"/>
        <v/>
      </c>
      <c r="HF202" t="str">
        <f>IF(OR(HE202="",HE202="-"),"",IFERROR(VLOOKUP(HE202,Модули_спр,2,FALSE),"R"))</f>
        <v/>
      </c>
      <c r="HG202" t="str">
        <f>IF(HF202="","",HF202&amp;"."&amp;COUNTIFS(A$3:A202,A202,HF$3:HF202,HF202))</f>
        <v/>
      </c>
      <c r="HH202" t="str">
        <f t="shared" si="507"/>
        <v/>
      </c>
      <c r="HI202" t="str">
        <f t="shared" si="508"/>
        <v/>
      </c>
      <c r="HJ202" t="str">
        <f t="shared" si="509"/>
        <v/>
      </c>
      <c r="HK202" t="str">
        <f t="shared" si="510"/>
        <v/>
      </c>
      <c r="HL202">
        <f t="shared" si="511"/>
        <v>1</v>
      </c>
      <c r="HM202" t="str">
        <f>IF(HL202=1,"XT"&amp;COUNTIFS(A$3:A202,A202,HL$3:HL202,1),"")</f>
        <v>XT18</v>
      </c>
      <c r="HN202" t="str">
        <f t="shared" si="512"/>
        <v/>
      </c>
      <c r="HO202" t="str">
        <f t="shared" si="513"/>
        <v>QFD18</v>
      </c>
      <c r="HP202" t="str">
        <f t="shared" si="514"/>
        <v/>
      </c>
      <c r="HQ202" t="str">
        <f t="shared" si="515"/>
        <v>ok</v>
      </c>
      <c r="HR202" t="str">
        <f>IF(OR(HJ202="",HH202=""),"",IF(HJ202+MAX(0,GY202-1)&gt;IFERROR(VLOOKUP(HI202,Модули_спр,3,FALSE),99),"ЛИШНИЙ КАНАЛ",IF(AND(AL202&lt;&gt;"=",GY202&gt;0,COUNTIFS(Линии[_модуль гр.],HH202,Линии[Канал (итог)],HJ202,Линии[Канал],"&lt;&gt;=",Линии[Щит],A202)&gt;1),"ДУБЛЬ КАНАЛА","")))</f>
        <v/>
      </c>
      <c r="HS202" s="6" t="str">
        <f t="shared" si="516"/>
        <v/>
      </c>
      <c r="HT202">
        <f t="shared" si="517"/>
        <v>10</v>
      </c>
      <c r="HU202" t="str">
        <f t="shared" si="518"/>
        <v/>
      </c>
      <c r="HV202">
        <f t="shared" si="519"/>
        <v>1.246356095499785</v>
      </c>
      <c r="HW202">
        <f t="shared" si="520"/>
        <v>0</v>
      </c>
      <c r="HX202">
        <f t="shared" si="521"/>
        <v>0</v>
      </c>
      <c r="HY202">
        <f t="shared" si="522"/>
        <v>0</v>
      </c>
      <c r="HZ202">
        <f t="shared" si="523"/>
        <v>0</v>
      </c>
      <c r="IA202">
        <f t="shared" si="524"/>
        <v>0</v>
      </c>
      <c r="IB202">
        <f t="shared" si="525"/>
        <v>0</v>
      </c>
      <c r="IC202" t="str">
        <f t="shared" si="526"/>
        <v/>
      </c>
      <c r="ID202" t="str" cm="1">
        <f t="array" ref="ID202">IF(IC202="","",_xlfn.LET(_xlpm.tk,_xlfn.TEXTSPLIT(SUBSTITUTE(SUBSTITUTE(IC202,";"," "),"→"," ")," ",,TRUE),_xlpm.w_,_xlfn._xlws.FILTER(_xlpm.tk,ISNUMBER(--LEFT(_xlpm.tk,1))*((ISNUMBER(SEARCH("W",_xlpm.tk))+ISNUMBER(SEARCH("Вт",_xlpm.tk)))&gt;0),""),IFERROR(--SUBSTITUTE(SUBSTITUTE(UPPER(INDEX(_xlpm.w_,1)),"W",""),"ВТ",""),"")))</f>
        <v/>
      </c>
      <c r="IE202" t="str" cm="1">
        <f t="array" ref="IE202">IF(IC202="","",_xlfn.LET(_xlpm.tk,_xlfn.TEXTSPLIT(SUBSTITUTE(SUBSTITUTE(IC202,";"," "),"→"," ")," ",,TRUE),_xlpm.v_,_xlfn._xlws.FILTER(_xlpm.tk,ISNUMBER(--LEFT(_xlpm.tk,1))*((ISNUMBER(SEARCH("V",_xlpm.tk))+(RIGHT(UPPER(_xlpm.tk))="В"))&gt;0),""),IFERROR(--SUBSTITUTE(SUBSTITUTE(UPPER(INDEX(_xlpm.v_,1)),"V",""),"В",""),"")))</f>
        <v/>
      </c>
      <c r="IF202" s="6" t="str">
        <f>IF(OR(BV202=0,HI202="",HJ202=""),"",IFERROR(N(_xlfn.XLOOKUP(HI202,Каталог!$C$4:$C$500,Каталог!$Q$4:$Q$500)),""))</f>
        <v/>
      </c>
      <c r="IG202" s="6" t="str">
        <f>IF(N(IF202)=0,"",SUMIFS(Линии[Iр, А],Линии[Щит],A202,Линии[_модуль гр.],HH202,Линии[Канал (итог)],HJ202))</f>
        <v/>
      </c>
      <c r="IH202" t="str">
        <f>IF(AND(B202="",HO202=""),"",_xlfn.TEXTJOIN("; ",TRUE,IF(AND(B202&lt;&gt;"",FV202=""),"нет фазы",""),IF(AND(B202&lt;&gt;"",N(GL202)=0,FG202&lt;&gt;"Нет"),"нет мощности",""),IF(AND(HN202&lt;&gt;"",COUNTIFS(Линии[Щит],A202,Линии[Клемма (итог)],HN202)&gt;1),"дубль клеммы "&amp;HN202,""),IF(AND(HQ202&lt;&gt;"",HQ202&lt;&gt;"ok"),HQ202,""),IF(HR202&lt;&gt;"",HR202,""),IF(AND(N(CB202)&gt;=4,N(BX202)=1),CB202&amp;" жил на 1 фазе",""),IF(AND(BC202="R",CG202=1,IF(CS202&lt;&gt;"",N(CV202)&gt;30,OR(N(DA202)=0,N(DA202)&gt;30))),"розетка без дифзащиты до 30 мА",""),IF(AND(CG202=1,N(DA202)&gt;0,ISNUMBER(T202)),IF(T202&gt;N(DA202)/3,"ток утечки "&amp;FIXED(T202,1)&amp;" мА &gt; 1/3 уставки ("&amp;DA202&amp;" мА)",""),""),IF(AND(CH202=1,CS202=""),"«узо»: нет строки с УЗО выше (УЗО 2P 40А 30мА в «Аппаратах»)",""),IF(AND(CS202&lt;&gt;"",CS202=BA202),IF(CT202="","впишите номинал УЗО (УЗО 2P 40А 30мА)",IF(N(CT202)&lt;N(DT202),"УЗО "&amp;CT202&amp;" А &lt; автомата "&amp;DT202&amp;" А перед ним",IF(N(CT202)&lt;N(CX202),"УЗО "&amp;CT202&amp;" А &lt; тока блока "&amp;FIXED(CX202,1)&amp;" А",""))),""),IF(AND(CS202&lt;&gt;"",CS202=BA202,ISNUMBER(CY202)),IF(CY202&gt;N(CV202)/3,"ток утечки блока УЗО "&amp;FIXED(CY202,1)&amp;" мА &gt; 1/3 уставки ("&amp;CV202&amp;" мА)",""),""),IF(AND(CG202=1,N(BV202)+N(IB202)&gt;0,IC202=""),"линии до 50 В без БП: впишите в «Аппараты» (БП 24V 480W)",""),IF(AND(CG202=1,ISNUMBER(ID202),ISNUMBER(U202)),IF(U202&gt;ID202,"БП "&amp;ID202&amp;" Вт &lt; нужно "&amp;U202&amp;" Вт (×"&amp;Запас_БП&amp;")",""),""),IF(AND(CG202=1,ISNUMBER(IE202),N(BV202)=1),IF(IE202&lt;&gt;N(BU202),"БП на "&amp;IE202&amp;" В, линия "&amp;BU202&amp;" В",""),""),IF(AND(N(IF202)&gt;0,N(IG202)&gt;N(IF202)),HH202&amp;" канал "&amp;HJ202&amp;": "&amp;FIXED(IG202,1)&amp;" А &gt; "&amp;IF202&amp;" А",""),IFERROR(IF(AND(ISNUMBER(Q202),Q202&gt;EL202),"потери "&amp;FIXED(Q202,1)&amp;" % &gt; "&amp;EL202&amp;" %",""),""),IFERROR(IF(LEFT(HU202,4)="мало","Iкз мало — отключение &gt; 0,4 с",""),""),IF(AND(B202&lt;&gt;"",BM202=""),"не на схеме",""),IF(AND(CG202=0,B202&lt;&gt;"",FV202&lt;&gt;"",IF(BA202=1,"",FW201)&lt;&gt;"",FV202&lt;&gt;IF(BA202=1,"",FW201)),"фаза не как у автомата группы ("&amp;IF(BA202=1,"",FW201)&amp;")","")))</f>
        <v/>
      </c>
      <c r="II202" s="6">
        <f>IF(OR(CG202=0,DQ202=""),"",_xlfn.LET(_xlpm.t,IFERROR(_xlfn.XLOOKUP(DQ202,Каталог!$U$4:$U$500,Каталог!$G$4:$G$500),""),_xlpm.k,SEARCH("кА",_xlpm.t),IFERROR(--TRIM(RIGHT(SUBSTITUTE(MID(_xlpm.t,MAX(1,_xlpm.k-4),_xlpm.k-MAX(1,_xlpm.k-4))," ",REPT(" ",9)),5)),"")))</f>
        <v>6</v>
      </c>
      <c r="IJ202" t="str">
        <f>IF(OR(II202="",CG202=0),"",IF(_xlfn.XLOOKUP(A202,Щиты[Щит],Щиты[Iкз max на шинах, кА],"")="","",IF(II202&lt;_xlfn.XLOOKUP(A202,Щиты[Щит],Щиты[Iкз max на шинах, кА]),"Icu "&amp;II202&amp;" кА &lt; Iкз max","ok")))</f>
        <v/>
      </c>
      <c r="IK202" t="str">
        <f t="shared" si="527"/>
        <v/>
      </c>
      <c r="IL202" t="str">
        <f t="shared" si="528"/>
        <v>QFD18</v>
      </c>
      <c r="IM202" t="str">
        <f t="shared" si="529"/>
        <v>QFD18|кабель ВВГнг(А)-LS (3х2,5) → Розеточная группа, пом. 009A</v>
      </c>
      <c r="IN202" t="str" cm="1">
        <f t="array" ref="IN202">IF(IM202="","",_xlfn.LET(_xlpm.nd,_xlfn.TEXTSPLIT(IM202,"|"),IF(COLUMNS(_xlpm.nd)&gt;1,A202&amp;"¦"&amp;INDEX(_xlpm.nd,1)&amp;"¦"&amp;INDEX(_xlpm.nd,2),"")))</f>
        <v>ЩР-01¦QFD18¦кабель ВВГнг(А)-LS (3х2,5) → Розеточная группа, пом. 009A</v>
      </c>
      <c r="IO202" t="str">
        <f t="shared" si="530"/>
        <v>R.0.009A.2¦Розеточная группа, пом. 009A</v>
      </c>
      <c r="IP202" t="str" cm="1">
        <f t="array" ref="IP202">IF(IM202="","",_xlfn.LET(_xlpm.nd,_xlfn.TEXTSPLIT(IM202,"|"),IF(COLUMNS(_xlpm.nd)&gt;2,A202&amp;"¦"&amp;INDEX(_xlpm.nd,2)&amp;"¦"&amp;INDEX(_xlpm.nd,3),"")))</f>
        <v/>
      </c>
      <c r="IQ202" t="str">
        <f t="shared" si="531"/>
        <v/>
      </c>
      <c r="IR202" t="str" cm="1">
        <f t="array" ref="IR202">IF(IM202="","",_xlfn.LET(_xlpm.nd,_xlfn.TEXTSPLIT(IM202,"|"),IF(COLUMNS(_xlpm.nd)&gt;3,A202&amp;"¦"&amp;INDEX(_xlpm.nd,3)&amp;"¦"&amp;INDEX(_xlpm.nd,4),"")))</f>
        <v/>
      </c>
      <c r="IS202" t="str">
        <f t="shared" si="532"/>
        <v/>
      </c>
      <c r="IT202" t="str" cm="1">
        <f t="array" ref="IT202">IF(IM202="","",_xlfn.LET(_xlpm.nd,_xlfn.TEXTSPLIT(IM202,"|"),IF(COLUMNS(_xlpm.nd)&gt;4,A202&amp;"¦"&amp;INDEX(_xlpm.nd,4)&amp;"¦"&amp;INDEX(_xlpm.nd,5),"")))</f>
        <v/>
      </c>
      <c r="IU202" t="str">
        <f t="shared" si="533"/>
        <v/>
      </c>
      <c r="IV202" t="str" cm="1">
        <f t="array" ref="IV202">IF(IM202="","",_xlfn.LET(_xlpm.nd,_xlfn.TEXTSPLIT(IM202,"|"),IF(COLUMNS(_xlpm.nd)&gt;5,A202&amp;"¦"&amp;INDEX(_xlpm.nd,5)&amp;"¦"&amp;INDEX(_xlpm.nd,6),"")))</f>
        <v/>
      </c>
      <c r="IW202" t="str">
        <f t="shared" si="534"/>
        <v/>
      </c>
      <c r="IX202" t="str" cm="1">
        <f t="array" ref="IX202">IF(IM202="","",_xlfn.LET(_xlpm.nd,_xlfn.TEXTSPLIT(IM202,"|"),IF(COLUMNS(_xlpm.nd)&gt;6,A202&amp;"¦"&amp;INDEX(_xlpm.nd,6)&amp;"¦"&amp;INDEX(_xlpm.nd,7),"")))</f>
        <v/>
      </c>
      <c r="IY202" t="str">
        <f t="shared" si="535"/>
        <v/>
      </c>
      <c r="IZ202" t="str">
        <f t="shared" si="536"/>
        <v/>
      </c>
      <c r="JA202" t="str">
        <f t="shared" si="537"/>
        <v>QFD18</v>
      </c>
      <c r="JB202">
        <f t="shared" si="538"/>
        <v>0</v>
      </c>
      <c r="JC202">
        <f t="shared" si="539"/>
        <v>1</v>
      </c>
      <c r="JD202" t="str">
        <f t="shared" si="540"/>
        <v/>
      </c>
      <c r="JE202" t="str">
        <f t="shared" si="541"/>
        <v/>
      </c>
      <c r="JF202" t="str">
        <f t="shared" si="542"/>
        <v/>
      </c>
      <c r="JG202" t="str">
        <f t="shared" si="543"/>
        <v/>
      </c>
      <c r="JH202" t="str">
        <f>IF(B202="","",IFERROR(_xlfn.XLOOKUP(B202,Коды_код,Коды_уго),IFERROR(_xlfn.XLOOKUP(BC202,Коды_код,Коды_уго),IFERROR(_xlfn.XLOOKUP(LEFT(BC202,2),Коды_код,Коды_уго),""))))</f>
        <v>Розетка</v>
      </c>
      <c r="JI202" t="str">
        <f>IF(B202="","",IF(OR(JH202="",JH202=0),"BOX",IFERROR(IF(VLOOKUP(JH202,УГО_блоки,3,FALSE)&amp;""&lt;&gt;"",VLOOKUP(JH202,УГО_блоки,3,FALSE),VLOOKUP(JH202,УГО_блоки,2,FALSE)),JH202)))</f>
        <v>SOCKET</v>
      </c>
      <c r="JJ202">
        <f t="shared" si="544"/>
        <v>1</v>
      </c>
      <c r="JK202" t="str">
        <f>IF(DQ202="","",IF(COUNTIF(DQ$3:DQ202,DQ202)=1,MAX(JK$2:JK201)+1,""))</f>
        <v/>
      </c>
      <c r="JL202" t="str">
        <f>IF(DE202="","",IF(COUNTIF(DE$3:DE202,DE202)+COUNTIF(DF$2:DF201,DE202)+COUNTIF(DG$2:DG201,DE202)=1,MAX(JL$2:JN201)+1,""))</f>
        <v/>
      </c>
      <c r="JM202" t="str">
        <f>IF(DF202="","",IF(COUNTIF(DE$3:DE202,DF202)+COUNTIF(DF$3:DF202,DF202)+COUNTIF(DG$2:DG201,DF202)=1,MAX(JL$2:JN201,JL202)+1,""))</f>
        <v/>
      </c>
      <c r="JN202" t="str">
        <f>IF(DG202="","",IF(COUNTIF(DE$3:DE202,DG202)+COUNTIF(DF$3:DF202,DG202)+COUNTIF(DG$3:DG202,DG202)=1,MAX(JL$2:JN201,JL202,JM202)+1,""))</f>
        <v/>
      </c>
      <c r="JO202" t="str">
        <f t="shared" si="545"/>
        <v>3х2,5</v>
      </c>
      <c r="JP202" t="str">
        <f>IF(JO202="","",IF(COUNTIF(JO$3:JO202,JO202)=1,MAX(JP$2:JP201)+1,""))</f>
        <v/>
      </c>
      <c r="JQ202" t="str">
        <f>IF(HG202="","",COUNTIF(HG$3:HG202,"?*"))</f>
        <v/>
      </c>
      <c r="JR202" t="str">
        <f>IF(OR(HG202="",HI202=""),"",IF(COUNTIFS(HG$3:HG202,"?*",HI$3:HI202,HI202)=1,MAX(JR$2:JR201)+1,""))</f>
        <v/>
      </c>
      <c r="JS202">
        <f t="shared" si="546"/>
        <v>0</v>
      </c>
      <c r="JT202">
        <f>IF(B202="","",COUNTIF(B$3:B202,"?*"))</f>
        <v>200</v>
      </c>
      <c r="JU202">
        <f>IF(HL202&lt;&gt;1,0,_xlfn.LET(_xlpm.k,MAX(IFERROR(--_xlfn.XLOOKUP(B202,Коды_код,Коды_3L),0),IFERROR(--_xlfn.XLOOKUP(BC202,Коды_код,Коды_3L),0),IFERROR(--_xlfn.XLOOKUP(LEFT(BC202,2),Коды_код,Коды_3L),0)),IF(_xlpm.k&gt;0,_xlpm.k,IF(IFERROR(--LEFT(SUBSTITUTE(JO202,"x","х"),FIND("х",SUBSTITUTE(JO202,"x","х"))-1),3)&gt;3,Каталог!$S$9,1))))</f>
        <v>1</v>
      </c>
      <c r="JV202">
        <f t="shared" si="547"/>
        <v>0</v>
      </c>
      <c r="JW202" t="str">
        <f t="shared" si="548"/>
        <v>авто</v>
      </c>
      <c r="JX202">
        <f t="shared" si="549"/>
        <v>30</v>
      </c>
      <c r="JY202">
        <f t="shared" si="550"/>
        <v>1</v>
      </c>
      <c r="JZ202">
        <f t="shared" si="551"/>
        <v>1</v>
      </c>
    </row>
    <row r="203" spans="1:286" x14ac:dyDescent="0.3">
      <c r="A203" t="s">
        <v>755</v>
      </c>
      <c r="B203" t="s">
        <v>1510</v>
      </c>
      <c r="C203" t="str">
        <f>Линии[[#This Row],[_авто наименование]]</f>
        <v>Розеточная группа, пом. 010A</v>
      </c>
      <c r="D203">
        <v>1</v>
      </c>
      <c r="E203">
        <v>0.06</v>
      </c>
      <c r="G203" t="str">
        <f>Линии[[#This Row],[_авто автомат]]</f>
        <v>2P С16А 30мА</v>
      </c>
      <c r="H203" t="str">
        <f>Линии[[#This Row],[_авто управление]]</f>
        <v/>
      </c>
      <c r="I203" t="str">
        <f>Линии[[#This Row],[_авто аппараты]]</f>
        <v/>
      </c>
      <c r="J203">
        <v>2.5</v>
      </c>
      <c r="K203">
        <v>27</v>
      </c>
      <c r="L203">
        <v>3</v>
      </c>
      <c r="M203" t="s">
        <v>484</v>
      </c>
      <c r="N203" t="str">
        <f t="shared" si="414"/>
        <v/>
      </c>
      <c r="O203" s="6" cm="1">
        <f t="array" ref="O203">IF(B203="","",IF(BH203&lt;&gt;"",IFERROR(_xlfn.XLOOKUP(BH203,Щиты[Щит],Щиты[Iр, А]),""),IF(BP203=1,IF(OR(N(_xlfn.XLOOKUP(A203,Щиты[Щит],Щиты[Вводов],1))&lt;=1,LOWER(TRIM(_xlfn.XLOOKUP(A203,Щиты[Щит],Щиты[АВР],"")&amp;""))="да"),IFERROR(_xlfn.XLOOKUP(A203,Щиты[Щит],Щиты[Iр, А]),""),IFERROR(N(BS203)*_xlfn.XLOOKUP(A203,Щиты[Щит],Щиты[Кс итог])/(SQRT(3)*Uн_лин*_xlfn.XLOOKUP(A203,Щиты[Щит],Щиты[cos φ])),"")),IF(BV203=1,IFERROR(BS203*1000/BU203,""),IFERROR(_xlfn.IFS(BX203=1,BS203/((Uн_лин/SQRT(3))*CE203),BX203=3,BS203/(SQRT(3)*Uн_лин*CE203)),"")))))</f>
        <v>0.27348170645824377</v>
      </c>
      <c r="P203" s="7">
        <f>IF(B203="","",IFERROR(IF(VLOOKUP(BC203,Потребители_обозначение,4,FALSE)=1,VLOOKUP(BC203,Потребители_обозначение,3,FALSE)*(MAX(1,N(D203))*2-1)+EI203+VLOOKUP(BE203,Этаж_обозначение,3,FALSE)+VLOOKUP(BE203,Этаж_обозначение,4,FALSE),VLOOKUP(BC203,Потребители_обозначение,3,FALSE)*(MAX(1,N(D203))*2-1)+EI203),EI203))</f>
        <v>30</v>
      </c>
      <c r="Q203" s="6">
        <f t="shared" si="415"/>
        <v>0.5</v>
      </c>
      <c r="R203" t="str">
        <f t="shared" si="416"/>
        <v>ВВГнг(А)-LS (3х2,5)</v>
      </c>
      <c r="S203" t="str">
        <f>IF(BM203="","",IF(BN203="вводной узел","узел ","")&amp;"л."&amp;(INT((BM203-1)/Столбцов_на_лист)+1)&amp;" / "&amp;(MOD(BM203-1,Столбцов_на_лист)+1))</f>
        <v>л.2 / 12</v>
      </c>
      <c r="T203" s="119">
        <f t="shared" si="417"/>
        <v>0.4</v>
      </c>
      <c r="U203" s="7" t="str">
        <f>IF(OR(CG203=0,N(BV203)+N(IB203)=0),"",ROUNDUP(Запас_БП*(N(HY203)+N(HZ203)),0))</f>
        <v/>
      </c>
      <c r="V203" s="119" t="str">
        <f t="shared" si="418"/>
        <v/>
      </c>
      <c r="W203" s="7" t="str">
        <f>IFERROR(IF(OR(B203="",BP203=1,BV203=1,NOT(ISNUMBER(EN203)),N(DT203)=0),"",MAX(0,ROUNDDOWN((c_min*(Uн_лин*1000/SQRT(3))/(HT203*N(DT203))-_xlfn.XLOOKUP(A203,Щиты[Щит],Щиты[Zпетли на шинах, Ом]))*EN203/(2*ρкз_Cu),0))),"")</f>
        <v/>
      </c>
      <c r="Y203">
        <f>Линии[[#This Row],[_авто утечка]]</f>
        <v>30</v>
      </c>
      <c r="Z203">
        <v>1</v>
      </c>
      <c r="AA203">
        <v>230</v>
      </c>
      <c r="AB203" t="s">
        <v>562</v>
      </c>
      <c r="AG203" t="s">
        <v>810</v>
      </c>
      <c r="AI203" t="s">
        <v>561</v>
      </c>
      <c r="AK203" t="str">
        <f>Линии[[#This Row],[_авто модуль]]</f>
        <v/>
      </c>
      <c r="AM203">
        <v>29</v>
      </c>
      <c r="AN203" t="s">
        <v>11</v>
      </c>
      <c r="AO203">
        <v>3</v>
      </c>
      <c r="AQ203">
        <v>13</v>
      </c>
      <c r="AR203">
        <v>17</v>
      </c>
      <c r="AS203">
        <v>0</v>
      </c>
      <c r="BA203" cm="1">
        <f t="array" ref="BA203">ROW()-ROW(Линии[#Headers])</f>
        <v>201</v>
      </c>
      <c r="BC203" s="6" t="str">
        <f t="shared" si="419"/>
        <v>R</v>
      </c>
      <c r="BD203" t="str">
        <f t="shared" si="420"/>
        <v>0.010A.1</v>
      </c>
      <c r="BE203" t="str">
        <f t="shared" si="421"/>
        <v>0</v>
      </c>
      <c r="BF203" t="str">
        <f t="shared" si="422"/>
        <v>010A.1</v>
      </c>
      <c r="BG203" t="str">
        <f t="shared" si="423"/>
        <v>010A</v>
      </c>
      <c r="BH203" t="str">
        <f>IF(X203&lt;&gt;"",X203,IF(AND(B203&lt;&gt;"",B203&lt;&gt;A203,ISNUMBER(_xlfn.XMATCH(B203,Щиты[Щит]))),B203,""))</f>
        <v/>
      </c>
      <c r="BI203" t="str" cm="1">
        <f t="array" ref="BI203">IF(B203="","",IF(BH203&lt;&gt;"","Щит "&amp;BH203,_xlfn.LET(_xlpm.nm,IFERROR(_xlfn.XLOOKUP(BC203,Коды_код,Коды_имя)&amp;"",""),_xlpm.md,IFERROR(N(_xlfn.XLOOKUP(BC203,Коды_код,Коды_режим)),1),_xlpm.ex,IF(Имя_режим="по экспликации",IFERROR(_xlfn.XLOOKUP(BE203&amp;"|"&amp;BG203,Экспликация[Этаж]&amp;"|"&amp;Экспликация[Помещение],Экспликация[Название])&amp;"",""),""),_xlpm.rm,IF(BG203="","",IF(_xlpm.ex&lt;&gt;"",". "&amp;_xlpm.ex&amp;IF(Имя_пом="нет"," ("&amp;BG203&amp;")"," (пом. "&amp;BG203&amp;")"),IF(Имя_пом="нет"," ",", пом. ")&amp;BG203)),IF(_xlpm.nm="","",IF(_xlpm.md=2,_xlpm.nm&amp;" шлейф "&amp;BE203,_xlpm.nm&amp;_xlpm.rm)))))</f>
        <v>Розеточная группа, пом. 010A</v>
      </c>
      <c r="BJ203" t="str">
        <f t="shared" si="424"/>
        <v>Розеточная группа, пом. 010A</v>
      </c>
      <c r="BK203">
        <f>IFERROR(_xlfn.XMATCH(A203,Щиты[Щит]),0)</f>
        <v>9</v>
      </c>
      <c r="BL203">
        <f>_xlfn.LET(_xlpm.k,IFERROR(_xlfn.XLOOKUP(A203,Щиты[Щит],Щиты[Мест под вводной узел]),""),IF(_xlpm.k="",Столбцов_на_лист,N(_xlpm.k)))</f>
        <v>8</v>
      </c>
      <c r="BM203">
        <f t="shared" si="425"/>
        <v>29</v>
      </c>
      <c r="BN203" t="str">
        <f t="shared" si="426"/>
        <v>линии</v>
      </c>
      <c r="BO203" s="6">
        <f>IFERROR(N(_xlfn.XLOOKUP(BC203,Коды_код,Коды_квт)),0)</f>
        <v>0</v>
      </c>
      <c r="BP203">
        <f t="shared" si="427"/>
        <v>0</v>
      </c>
      <c r="BQ203" t="str">
        <f>IF(B203="","",IF(BH203&lt;&gt;"",IFERROR(_xlfn.XLOOKUP(BH203,Щиты[Щит],Щиты[Руст, кВт]),0),IF(BP203=1,IF(OR(N(_xlfn.XLOOKUP(A203,Щиты[Щит],Щиты[Вводов],1))&lt;=1,LOWER(TRIM(_xlfn.XLOOKUP(A203,Щиты[Щит],Щиты[АВР],"")&amp;""))="да"),IFERROR(_xlfn.XLOOKUP(A203,Щиты[Щит],Щиты[Руст, кВт]),0),SUMIFS(Линии[_Р для вводов],Линии[Щит],A203,Линии[Источник для режимов],GF203)),IF(BO203&gt;0,ROUND(BO203*MAX(1,N(D203)),3),""))))</f>
        <v/>
      </c>
      <c r="BR203">
        <f t="shared" si="428"/>
        <v>0.06</v>
      </c>
      <c r="BS203" s="6">
        <f>IF(B203="","",IF(BH203&lt;&gt;"",IFERROR(_xlfn.XLOOKUP(BH203,Щиты[Щит],Щиты[Руст, кВт]),0),N(BR203)))</f>
        <v>0.06</v>
      </c>
      <c r="BT203" t="str">
        <f>IF(B203="","",IFERROR(IF(VLOOKUP(BC203,Потребители_обозначение,8,FALSE)=0,"",VLOOKUP(BC203,Потребители_обозначение,8,FALSE)),""))</f>
        <v/>
      </c>
      <c r="BU203">
        <f t="shared" si="429"/>
        <v>230</v>
      </c>
      <c r="BV203">
        <f t="shared" si="430"/>
        <v>0</v>
      </c>
      <c r="BW203">
        <f>IF(B203="","",IF(BH203&lt;&gt;"",3,IFERROR(IF(N(VLOOKUP(BC203,Потребители_обозначение,9,FALSE))=0,1,VLOOKUP(BC203,Потребители_обозначение,9,FALSE)),1)))</f>
        <v>1</v>
      </c>
      <c r="BX203">
        <f t="shared" si="431"/>
        <v>1</v>
      </c>
      <c r="BY203" t="str">
        <f>IF(B203="","",_xlfn.LET(_xlpm.bc,IFERROR(IF(VLOOKUP(BC203,Потребители_обозначение,6,FALSE)=0,"",VLOOKUP(BC203,Потребители_обозначение,6,FALSE)&amp;""),""),IF(AND(GA203="да",OR(_xlpm.bc="",_xlpm.bc="мс")),Марка_пож,IF(AND(_xlpm.bc="",BH203&lt;&gt;""),"мс",_xlpm.bc))))</f>
        <v/>
      </c>
      <c r="BZ203" t="str">
        <f t="shared" si="432"/>
        <v>мс</v>
      </c>
      <c r="CA203">
        <f>IF(B203="","",_xlfn.LET(_xlpm.cc,IFERROR(N(VLOOKUP(BC203,Потребители_обозначение,7,FALSE)),0),IF(_xlpm.cc&gt;0,_xlpm.cc,IF(BZ203="","",IF(BV203=1,2,IF(N(BX203)=3,5,3))))))</f>
        <v>3</v>
      </c>
      <c r="CB203">
        <f t="shared" si="433"/>
        <v>3</v>
      </c>
      <c r="CC203">
        <f>IFERROR(N(VLOOKUP(BC203,Потребители_обозначение,10,FALSE)),0)</f>
        <v>0</v>
      </c>
      <c r="CD203">
        <f>IFERROR(VLOOKUP(BC203,Потребители_обозначение,5,FALSE),0)</f>
        <v>1</v>
      </c>
      <c r="CE203" s="6" cm="1">
        <f t="array" ref="CE203">IF(B203="","",IF(BH203&lt;&gt;"",IFERROR(_xlfn.XLOOKUP(BH203,Щиты[Щит],Щиты[cos φ]),0.95),IF(BP203=1,IFERROR(_xlfn.XLOOKUP(A203,Щиты[Щит],Щиты[cos φ]),0.95),IF(ISNUMBER(AD203),AD203,IFERROR(IF(CD203=2,_xlfn.IFS(BX203=3,VLOOKUP(BS203,Справочная_двигатели,8,FALSE),BX203=1,VLOOKUP(BS203,Справочная_двигатели,10,TRUE)),IF(AND(Методика="нормы 2026",FG203="Сил"),0.8,0.95)),0.95)))))</f>
        <v>0.95</v>
      </c>
      <c r="CF203">
        <f t="shared" si="434"/>
        <v>0</v>
      </c>
      <c r="CG203">
        <f t="shared" si="435"/>
        <v>1</v>
      </c>
      <c r="CH203">
        <f t="shared" si="436"/>
        <v>0</v>
      </c>
      <c r="CI203">
        <f>IF(B203="","",IF(BV203=1,IFERROR(BS203/((Uн_лин/SQRT(3))*MAX(0.5,N(CE203))),0),N(O203)))</f>
        <v>0.27348170645824377</v>
      </c>
      <c r="CJ203">
        <f t="shared" si="437"/>
        <v>0</v>
      </c>
      <c r="CK203">
        <f t="shared" si="438"/>
        <v>0</v>
      </c>
      <c r="CL203">
        <f t="shared" si="439"/>
        <v>0</v>
      </c>
      <c r="CM203">
        <f t="shared" si="440"/>
        <v>0</v>
      </c>
      <c r="CN203">
        <f t="shared" si="441"/>
        <v>0</v>
      </c>
      <c r="CO203">
        <f>IF(BC203="",0,_xlfn.LET(_xlpm.v,IFERROR(_xlfn.XLOOKUP(B203,Коды_код,Коды_мА),IFERROR(_xlfn.XLOOKUP(BC203,Коды_код,Коды_мА),IFERROR(_xlfn.XLOOKUP(LEFT(BC203,2),Коды_код,Коды_мА),""))),IF(_xlpm.v="да",30,IF(ISNUMBER(_xlpm.v),_xlpm.v,0))))</f>
        <v>30</v>
      </c>
      <c r="CP203">
        <f t="shared" si="442"/>
        <v>30</v>
      </c>
      <c r="CQ203" t="str">
        <f>_xlfn.LET(_xlpm.k,IFERROR(_xlfn.XLOOKUP(BC203,Коды_код,Коды_утечка)&amp;"",""),IF(_xlpm.k="","дифавтомат",_xlpm.k))</f>
        <v>дифавтомат</v>
      </c>
      <c r="CR203" t="str" cm="1">
        <f t="array" ref="CR203">IF(CG203=0,"",_xlfn.LET(_xlpm.sg,TRIM(_xlfn.TEXTSPLIT(DD203&amp;"",";")),_xlpm.f_,_xlfn._xlws.FILTER(_xlpm.sg,LEFT(_xlpm.sg,3)="УЗО",""),IFERROR(INDEX(_xlpm.f_,1)&amp;"","")))</f>
        <v/>
      </c>
      <c r="CS203" t="str">
        <f t="shared" si="443"/>
        <v/>
      </c>
      <c r="CT203" s="6" t="str" cm="1">
        <f t="array" ref="CT203">IF(CR203="","",_xlfn.LET(_xlpm.tk,_xlfn.TEXTSPLIT(UPPER(CR203)," ",,TRUE),_xlpm.a_,_xlfn._xlws.FILTER(_xlpm.tk,ISNUMBER(--LEFT(_xlpm.tk,1))*((ISNUMBER(SEARCH("А",_xlpm.tk))+ISNUMBER(SEARCH("A",_xlpm.tk)))&gt;0)*NOT(ISNUMBER(SEARCH("МА",_xlpm.tk)))*NOT(ISNUMBER(SEARCH("MA",_xlpm.tk))),""),IFERROR(--SUBSTITUTE(SUBSTITUTE(INDEX(_xlpm.a_,1),"А",""),"A",""),"")))</f>
        <v/>
      </c>
      <c r="CU203" t="str" cm="1">
        <f t="array" ref="CU203">IF(CR203="","",_xlfn.LET(_xlpm.tk,_xlfn.TEXTSPLIT(UPPER(CR203)," ",,TRUE),_xlpm.a_,_xlfn._xlws.FILTER(_xlpm.tk,ISNUMBER(--LEFT(_xlpm.tk,1))*((ISNUMBER(SEARCH("МА",_xlpm.tk))+ISNUMBER(SEARCH("MA",_xlpm.tk)))&gt;0),""),IFERROR(--SUBSTITUTE(SUBSTITUTE(INDEX(_xlpm.a_,1),"МА",""),"MA",""),30)))</f>
        <v/>
      </c>
      <c r="CV203" t="str">
        <f>IF(CS203="","",IFERROR(_xlfn.XLOOKUP(CS203,Линии[_n],Линии[_УЗО, мА]),30))</f>
        <v/>
      </c>
      <c r="CW203">
        <f>IF(CS203="",0,IF(ISNUMBER(SEARCH("4P",IFERROR(_xlfn.XLOOKUP(CS203,Линии[_n],Линии[_УЗО строки])&amp;"",""))),0,1))</f>
        <v>0</v>
      </c>
      <c r="CX203" t="str">
        <f>IF(AND(CS203&lt;&gt;"",CS203=BA203),SUMIFS(Линии[_ток на 230 В],Линии[_блок УЗО],BA203,Линии[Щит],A203),"")</f>
        <v/>
      </c>
      <c r="CY203" t="str">
        <f>IF(AND(CS203&lt;&gt;"",CS203=BA203),SUMIFS(Линии[_ток утечки линии, мА],Линии[_блок УЗО],BA203,Линии[Щит],A203),"")</f>
        <v/>
      </c>
      <c r="CZ203">
        <f t="shared" si="444"/>
        <v>30</v>
      </c>
      <c r="DA203">
        <f t="shared" si="445"/>
        <v>30</v>
      </c>
      <c r="DB203">
        <f>IF(B203="",0,IFERROR(--_xlfn.XLOOKUP(B203,Коды_код,Коды_минавт),IFERROR(--_xlfn.XLOOKUP(BC203,Коды_код,Коды_минавт),IFERROR(--_xlfn.XLOOKUP(LEFT(BC203,2),Коды_код,Коды_минавт),0))))</f>
        <v>16</v>
      </c>
      <c r="DC203" t="str">
        <f>IF(B203="","",IFERROR(_xlfn.XLOOKUP(BC203,Коды_код,Коды_апп)&amp;"",""))</f>
        <v/>
      </c>
      <c r="DD203" t="str">
        <f t="shared" si="446"/>
        <v/>
      </c>
      <c r="DE203" t="str" cm="1">
        <f t="array" ref="DE203">IF(TRIM(DD203&amp;"")="","",IFERROR(TRIM(INDEX(_xlfn.TEXTSPLIT(DD203&amp;";;;",";"),1)),""))</f>
        <v/>
      </c>
      <c r="DF203" t="str" cm="1">
        <f t="array" ref="DF203">IF(TRIM(DD203&amp;"")="","",IFERROR(TRIM(INDEX(_xlfn.TEXTSPLIT(DD203&amp;";;;",";"),2)),""))</f>
        <v/>
      </c>
      <c r="DG203" t="str" cm="1">
        <f t="array" ref="DG203">IF(TRIM(DD203&amp;"")="","",IFERROR(TRIM(INDEX(_xlfn.TEXTSPLIT(DD203&amp;";;;",";"),3)),""))</f>
        <v/>
      </c>
      <c r="DH203">
        <f t="shared" si="447"/>
        <v>0</v>
      </c>
      <c r="DI203" t="str">
        <f>IF(B203="","",_xlfn.LET(_xlpm.t,LOWER(AZ203&amp;""),IF(ISNUMBER(SEARCH("dim",_xlpm.t)),"DIM",IF(ISNUMBER(SEARCH("dali",_xlpm.t)),"DALI",IF(OR(ISNUMBER(SEARCH("relay",_xlpm.t)),ISNUMBER(SEARCH("реле",_xlpm.t))),"Relay",IF(ISNUMBER(SEARCH("кнопк",_xlpm.t)),"",IFERROR(_xlfn.XLOOKUP(BC203,Коды_код,Коды_упр)&amp;"","")))))))</f>
        <v/>
      </c>
      <c r="DJ203" t="str">
        <f t="shared" si="448"/>
        <v/>
      </c>
      <c r="DK203">
        <f>IF(B203="","",_xlfn.LET(_xlpm.ig,IF(N(CX203)&gt;0,N(CX203),N(CI203)+IF(AJ203="вручную",0,N(CJ203))),_xlpm.n0,IFERROR(VLOOKUP(_xlpm.ig,Автомат_номиналы,2,TRUE),0),_xlpm.mn,MAX(DB203,IF(AJ203="вручную",0,N(CM203))),MAX(_xlpm.n0,_xlpm.mn,IF(DH203=1,Мин_автомат_БП,0))))</f>
        <v>16</v>
      </c>
      <c r="DL203">
        <f t="shared" si="449"/>
        <v>1</v>
      </c>
      <c r="DM203" t="str">
        <f t="shared" si="450"/>
        <v>2P</v>
      </c>
      <c r="DN203" t="str">
        <f>_xlfn.LET(_xlpm.cc,UPPER(TRIM(IFERROR(_xlfn.XLOOKUP(BC203,Коды_код,Коды_хар)&amp;"",""))),IF(OR(_xlpm.cc="B",_xlpm.cc="В"),"B",IF(_xlpm.cc="D","D","С")))</f>
        <v>С</v>
      </c>
      <c r="DO203" t="str">
        <f t="shared" si="451"/>
        <v>2P С16А 30мА</v>
      </c>
      <c r="DP203" t="str">
        <f t="shared" si="452"/>
        <v>2P С16А 30мА</v>
      </c>
      <c r="DQ203" t="str">
        <f t="shared" si="453"/>
        <v>2P С16А 30мА</v>
      </c>
      <c r="DR203" cm="1">
        <f t="array" ref="DR203">IF(DQ203="","",_xlfn.LET(_xlpm.t,SUBSTITUTE(SUBSTITUTE(SUBSTITUTE(UPPER(DQ203),"С","C"),"А","A"),"В","B"),_xlpm.tk,_xlfn.TEXTSPLIT(_xlpm.t," "),_xlpm.f,_xlfn._xlws.FILTER(_xlpm.tk,ISNUMBER(--MID(_xlpm.tk,2,1))*ISNUMBER(SEARCH(LEFT(_xlpm.tk,1)&amp;"#","B#C#D#"))*(LEN(_xlpm.tk)&gt;1),""),_xlpm.x,INDEX(_xlpm.f,1),IFERROR(--SUBSTITUTE(MID(_xlpm.x,2,9),"A",""),IFERROR(--SUBSTITUTE(INDEX(_xlfn._xlws.FILTER(_xlpm.tk,ISNUMBER(--SUBSTITUTE(_xlpm.tk,"A","")),""),1),"A",""),""))))</f>
        <v>16</v>
      </c>
      <c r="DS203" t="str">
        <f t="shared" si="454"/>
        <v>ok</v>
      </c>
      <c r="DT203">
        <f t="shared" si="455"/>
        <v>16</v>
      </c>
      <c r="DU203" t="str">
        <f t="shared" si="456"/>
        <v>2P С16А 30мА</v>
      </c>
      <c r="DV203">
        <f t="shared" si="457"/>
        <v>30</v>
      </c>
      <c r="DW203">
        <f t="shared" si="458"/>
        <v>1</v>
      </c>
      <c r="DX203">
        <f t="shared" si="459"/>
        <v>0</v>
      </c>
      <c r="DY203">
        <f t="shared" si="460"/>
        <v>0.27348170645824377</v>
      </c>
      <c r="DZ203">
        <f t="shared" si="461"/>
        <v>1</v>
      </c>
      <c r="EA203">
        <f>IF(ISNUMBER(AP203),AP203,К_прокл)</f>
        <v>1</v>
      </c>
      <c r="EB203">
        <f t="shared" si="462"/>
        <v>2</v>
      </c>
      <c r="EC203">
        <f>IFERROR(N(VLOOKUP(BZ203,Кабель_обозначение,3,FALSE)),1)</f>
        <v>1</v>
      </c>
      <c r="ED203">
        <f>IFERROR(N(_xlfn.XLOOKUP(A203,Щиты[Щит],Щиты[ΔU до шин, %])),0)</f>
        <v>0.43</v>
      </c>
      <c r="EE203" t="str">
        <f>IFERROR(_xlfn.XLOOKUP(A203,Щиты[Щит],Щиты[Zпетли на шинах, Ом]),"")</f>
        <v/>
      </c>
      <c r="EF203">
        <f>IFERROR(N(_xlfn.XLOOKUP(A203,Щиты[Щит],Щиты[ΔU до шин (подбор), %])),0)</f>
        <v>0.43</v>
      </c>
      <c r="EG203" t="str">
        <f>IFERROR(_xlfn.XLOOKUP(A203,Щиты[Щит],Щиты[Zпетли на шинах (подбор), Ом]),"")</f>
        <v/>
      </c>
      <c r="EH203" t="str">
        <f t="shared" si="463"/>
        <v/>
      </c>
      <c r="EI203">
        <f t="shared" si="464"/>
        <v>27</v>
      </c>
      <c r="EJ203">
        <f t="shared" si="465"/>
        <v>2</v>
      </c>
      <c r="EK203">
        <f t="shared" si="466"/>
        <v>0.31</v>
      </c>
      <c r="EL203" s="6">
        <f>IF(B203="","",IF(BV203=1,dU_LED,IF(IFERROR(_xlfn.XLOOKUP(BC203,Коды_код,Коды_уго),"")="Светильник",3,4)+IF(Методика="нормы 2026",MIN(0.5,MAX(0,N(P203)-100)*0.005),0)))</f>
        <v>4</v>
      </c>
      <c r="EM203" cm="1">
        <f t="array" ref="EM203">IF(OR(B203="",BZ203="",EC203&lt;&gt;1),"",_xlfn.LET(_xlpm.sz,Iдоп_S,_xlpm.t_,CHOOSE(EB203,Iдоп_1ж,Iдоп_2ж,Iдоп_3ж)*DZ203*EA203,_xlpm.dcx,BV203=1,_xlpm.inn,IF(_xlpm.dcx,N(O203),N(DT203)),_xlpm.smin,MAX(1.5,CC203),_xlpm.L_,N(P203)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203)/N(BU203)*100,999),IFERROR(N(EJ203)*(_xlpm.rho*_xlpm.L_/_xlpm.sz*N(CE203)+_xlpm.xx*_xlpm.L_*N(EK203)/1000)*N(O203)/((Uн_лин/SQRT(3))*1000)*100,999)),_xlpm.kz,IF(OR(_xlpm.dcx,DW203=1,NOT(ISNUMBER(EG203)),_xlpm.L_=0,_xlpm.inn=0),1,IFERROR(--(c_min*(Uн_лин*1000/SQRT(3))/(EG203+2*ρкз_Cu*_xlpm.L_/_xlpm.sz)&gt;=HT203*_xlpm.inn),0)),_xlpm.ok,IFERROR((_xlpm.sz&gt;=_xlpm.smin)*(_xlpm.t_&gt;=_xlpm.inn)*IF(_xlpm.L_&gt;0,(_xlpm.du_+IF(_xlpm.dcx,0,EF203)&lt;=EL203+0.00001),1)*_xlpm.kz,0),_xlpm.r_,_xlfn._xlws.FILTER(_xlpm.sz,_xlpm.ok,"не подобрано"),INDEX(_xlpm.r_,1)))</f>
        <v>1.5</v>
      </c>
      <c r="EN203">
        <f t="shared" si="467"/>
        <v>2.5</v>
      </c>
      <c r="EO203" cm="1">
        <f t="array" ref="EO203">IF(OR(B203="",BZ203="",EC203&lt;&gt;1),"",_xlfn.LET(_xlpm.sz,Iдоп_S,_xlpm.t_,CHOOSE(EB203,Iдоп_1ж,Iдоп_2ж,Iдоп_3ж)*DZ203*EA203,_xlpm.ok,IFERROR((_xlpm.sz&gt;=MAX(1.5,CC203))*(_xlpm.t_&gt;=N(DT203)),0),_xlpm.r_,_xlfn._xlws.FILTER(_xlpm.sz,_xlpm.ok,""),INDEX(_xlpm.r_,1)))</f>
        <v>1.5</v>
      </c>
      <c r="EP203" s="6" cm="1">
        <f t="array" ref="EP203">IFERROR(ROUNDUP(N(EJ203)*(_xlfn.XLOOKUP(EO203,INDEX(Кабель_сопротивление,0,1),INDEX(Кабель_сопротивление,0,3))*N(P203)/EO203*N(CE203)+_xlfn.XLOOKUP(EO203,INDEX(Кабель_сопротивление,0,1),INDEX(Кабель_сопротивление,0,2))*N(P203)*N(EK203)/1000)*N(O203)/((Uн_лин/SQRT(3))*1000)*100,2),"")</f>
        <v>0.11</v>
      </c>
      <c r="EQ203">
        <f>IFERROR(2*ρкз_Cu*N(P203)/EO203,"")</f>
        <v>1.052</v>
      </c>
      <c r="ER203">
        <f>IFERROR(VLOOKUP(EN203,Кабель_сопротивление,3,FALSE),"")</f>
        <v>2.2499999999999999E-2</v>
      </c>
      <c r="ES203">
        <f>IFERROR(VLOOKUP(EN203,Кабель_сопротивление,2,FALSE),"")</f>
        <v>0.1</v>
      </c>
      <c r="ET203">
        <f t="shared" si="468"/>
        <v>17</v>
      </c>
      <c r="EU203">
        <f t="shared" si="469"/>
        <v>0</v>
      </c>
      <c r="EV203">
        <f t="shared" si="470"/>
        <v>0.14080479138709134</v>
      </c>
      <c r="EW203" s="6">
        <f>IFERROR(ROUNDUP(EV203/IF(BV203=1,BU203,(Uн_лин/SQRT(3))*1000)*100,2),"")</f>
        <v>6.9999999999999993E-2</v>
      </c>
      <c r="EX203" t="str">
        <f>IFERROR(VLOOKUP(BZ203,Кабель_обозначение,2,FALSE),"")</f>
        <v>ВВГнг(А)-LS</v>
      </c>
      <c r="EY203" t="str">
        <f t="shared" si="471"/>
        <v>ВВГнг(А)-LS (3х2,5)</v>
      </c>
      <c r="EZ203" t="str">
        <f t="shared" si="472"/>
        <v>ВВГнг(А)-LS (3х2,5)
L=30-0,07%</v>
      </c>
      <c r="FA203">
        <f>IFERROR(2*ρкз_Cu*P203/EN203,"")</f>
        <v>0.63119999999999998</v>
      </c>
      <c r="FB203">
        <f t="shared" si="473"/>
        <v>0.21000000000000002</v>
      </c>
      <c r="FC203" s="6" t="str">
        <f>IFERROR(IF(OR(B203="",BV203=1,NOT(ISNUMBER(EN203)),N(P203)=0),"",_xlfn.XLOOKUP(A203,Щиты[Щит],Щиты[Zпетли на шинах, Ом])+FA203),"")</f>
        <v/>
      </c>
      <c r="FD203" s="6" t="str">
        <f>IF(ISNUMBER(FC203),c_min*(Uн_лин*1000/SQRT(3))/FC203,"")</f>
        <v/>
      </c>
      <c r="FE203" s="6" t="str">
        <f>IFERROR(IF(OR(B203="",NOT(ISNUMBER(EN203))),"",1.05*(Uн_лин*1000/SQRT(3))/(_xlfn.XLOOKUP(A203,Щиты[Щит],Щиты[Zmax на шинах, Ом])+FB203)/1000),"")</f>
        <v/>
      </c>
      <c r="FF203" s="6" t="str">
        <f>IF(B203="","",IF(ISNUMBER(AC203),"Сил",IF(IFERROR(_xlfn.XLOOKUP(BC203,Коды_код,Коды_группа)&amp;"","")="","Быт",_xlfn.XLOOKUP(BC203,Коды_код,Коды_группа)&amp;"")))</f>
        <v>Быт</v>
      </c>
      <c r="FG203" s="6" t="str">
        <f t="shared" si="474"/>
        <v>Быт</v>
      </c>
      <c r="FH203" s="6">
        <f>IF(FG203="Щит","щит",IF(FG203="","",IF(FG203="Быт",IFERROR(_xlfn.XLOOKUP(A203,Щиты[Щит],Щиты[Кс быт]),1),IF(FG203="Сил",IF(ISNUMBER(AC203),AC203,IF(Методика="нормы 2026",IFERROR(_xlfn.XLOOKUP(A203,Щиты[Щит],Щиты[Кс силовых (табл. 7.5)]),1),1)),IF(OR(FG203="Пост",FG203="Отоп"),1,IF(FG203="ВНГ",0.7,0))))))</f>
        <v>0.79799999999999993</v>
      </c>
      <c r="FI203">
        <f>IF(FG203="","",IF(AND(BP203=1,TRIM(AE203&amp;"")=""),IF(COUNTIFS(Линии[Щит],A203,Линии[Секция (1/2/3)],"&gt;=2")&gt;0,MIN(3,MAX(1,IFERROR(--BD203,1))),1),IFERROR(MIN(3,MAX(1,INT(--AE203))),1)))</f>
        <v>1</v>
      </c>
      <c r="FJ203">
        <f t="shared" si="475"/>
        <v>0.06</v>
      </c>
      <c r="FK203">
        <f t="shared" si="476"/>
        <v>0.06</v>
      </c>
      <c r="FL203">
        <f t="shared" si="477"/>
        <v>0</v>
      </c>
      <c r="FM203">
        <f t="shared" si="478"/>
        <v>0</v>
      </c>
      <c r="FN203">
        <f t="shared" si="479"/>
        <v>0</v>
      </c>
      <c r="FO203">
        <f t="shared" si="480"/>
        <v>0</v>
      </c>
      <c r="FP203">
        <f t="shared" si="481"/>
        <v>0.06</v>
      </c>
      <c r="FQ203">
        <f t="shared" si="482"/>
        <v>0.06</v>
      </c>
      <c r="FR203">
        <f t="shared" si="483"/>
        <v>5.6999999999999995E-2</v>
      </c>
      <c r="FS203">
        <f>IF(CG203=1,IF(AND(CH203=1,CW203=1),0,IF(AND(CS203&lt;&gt;"",CS203=BA203,CW203=1),SUMIFS(Линии[_Р линии, кВт],Линии[_блок УЗО],BA203,Линии[Щит],A203),N(BS203)+IF(AJ203="вручную",0,N(CK203)))),0)</f>
        <v>0.06</v>
      </c>
      <c r="FT203" t="str">
        <f t="shared" si="484"/>
        <v>L3</v>
      </c>
      <c r="FU203" t="str">
        <f>IF(B203="","",IF(CG203=0,IF(BA203=1,"",FW202),IF(AND(CH203=1,CW203=1,CS203&lt;&gt;""),IFERROR(_xlfn.XLOOKUP(CS203,Линии[_n],Линии[_фаза итог]),"L1"),IF(OR(N(DL203)&gt;=3,N(BX203)&gt;=3),"L1,L2,L3",IFERROR(_xlfn.TEXTBEFORE(_xlfn.TEXTAFTER(_xlfn.XLOOKUP(A203,Щиты[Щит],Щиты[_фазы авто]),";"&amp;BA203&amp;":"),";"),"L1")))))</f>
        <v>L1</v>
      </c>
      <c r="FV203" t="str">
        <f t="shared" si="485"/>
        <v>L3</v>
      </c>
      <c r="FW203" t="str">
        <f t="shared" si="486"/>
        <v>L3</v>
      </c>
      <c r="FX203" cm="1">
        <f t="array" ref="FX203">IFERROR(IF(CD203=2,_xlfn.IFS(BX203=3,VLOOKUP(BS203,Справочная_двигатели,3,FALSE),BX203=1,VLOOKUP(BS203,Справочная_двигатели,5,TRUE)),0),0)</f>
        <v>0</v>
      </c>
      <c r="FY203">
        <f>IFERROR(IF(CD203=3,VLOOKUP(BS203,Справочная_ЛЭД,2,TRUE),0),0)</f>
        <v>0</v>
      </c>
      <c r="FZ203" s="6">
        <f t="shared" si="487"/>
        <v>0</v>
      </c>
      <c r="GA203" t="str">
        <f>IF(B203="","",IF(TRIM(AH203&amp;"")&lt;&gt;"",IF(LOWER(TRIM(AH203&amp;""))="да","да","нет"),IF(IFERROR(_xlfn.XLOOKUP(BC203,Коды_код,Коды_пожарная),"")="да","да","нет")))</f>
        <v>нет</v>
      </c>
      <c r="GB203" t="str">
        <f t="shared" si="488"/>
        <v/>
      </c>
      <c r="GC203" t="str">
        <f t="shared" si="489"/>
        <v>основная</v>
      </c>
      <c r="GD203">
        <f>IF(AND(BP203=1,TRIM(AE203&amp;"")=""),IF(COUNTIFS(Линии[Щит],A203,Линии[Секция (1/2/3)],"&gt;=2")&gt;0,MIN(3,MAX(1,IFERROR(--BD203,1))),1),IFERROR(MIN(3,MAX(1,INT(--AE203))),1))</f>
        <v>1</v>
      </c>
      <c r="GE203" t="str" cm="1">
        <f t="array" ref="GE203">IF(B203="","",_xlfn.LET(_xlpm.t,IFERROR(_xlfn.XLOOKUP(1,(Шины[Шина]=GC203)*(((Шины[Щит]=A203)+(Шины[Щит]=""))&gt;0),Шины[Тип]),"")&amp;"",IF(_xlpm.t&lt;&gt;"",_xlpm.t,IF(ISNUMBER(SEARCH("ИБП",GC203)),"ИБП",IF(ISNUMBER(SEARCH("ДГУ",GC203)),"ДГУ","Ввод "&amp;GD203)))))</f>
        <v>Ввод 1</v>
      </c>
      <c r="GF203" t="str">
        <f t="shared" si="490"/>
        <v>Ввод 1</v>
      </c>
      <c r="GG203" t="str">
        <f>IF(BP203=0,"",IF(TRIM(AG203&amp;"")&lt;&gt;"",TRIM(AG203&amp;""),IF(OR(GE203="ИБП",GE203="ДГУ"),"I особая",_xlfn.XLOOKUP(A203,Щиты[Щит],Щиты[Категория шины «Ввод»],"III"))))</f>
        <v/>
      </c>
      <c r="GH203" t="str">
        <f>IF(A203="","",_xlfn.XLOOKUP(A203,Щиты[Щит],Щиты[Путь],""))</f>
        <v>|ГРЩ-ЖД|ЩР-01|</v>
      </c>
      <c r="GI203" t="str">
        <f>IF(B203="","",IF(AI203&lt;&gt;"",AI203,IF(IFERROR(_xlfn.XLOOKUP(BC203,Коды_код,Коды_вид)&amp;"","")="","Прочее",_xlfn.XLOOKUP(BC203,Коды_код,Коды_вид)&amp;"")))</f>
        <v>Розеточная сеть и бытовые приборы</v>
      </c>
      <c r="GJ203">
        <f>IF(BM203="","",INT((BM203-1)/Столбцов_на_лист)+1)</f>
        <v>2</v>
      </c>
      <c r="GK203" t="str">
        <f t="shared" si="491"/>
        <v>ВВГнг(А)-LS (3х2,5) L=30-0,07%</v>
      </c>
      <c r="GL203">
        <f t="shared" si="492"/>
        <v>0.06</v>
      </c>
      <c r="GM203">
        <f t="shared" si="493"/>
        <v>0.28000000000000003</v>
      </c>
      <c r="GN203">
        <f t="shared" si="494"/>
        <v>1</v>
      </c>
      <c r="GO203">
        <f t="shared" si="495"/>
        <v>0</v>
      </c>
      <c r="GP203">
        <f t="shared" si="496"/>
        <v>1</v>
      </c>
      <c r="GQ203">
        <f>IF(BM203="","",IF(AND(CG203=1,GP203=1),COUNTIFS(A$3:A203,A203,CG$3:CG203,1,GP$3:GP203,1),IF(OR(OR(BA203=1,A203&lt;&gt;A202),AJ203="вручную",GP203=0),"",IF(BA203=1,"",GR202))))</f>
        <v>19</v>
      </c>
      <c r="GR203">
        <f t="shared" si="497"/>
        <v>19</v>
      </c>
      <c r="GS203">
        <f>IF(B203="","",IFERROR(LOOKUP(INDEX(CHOOSE(EB203,Iдоп_1ж,Iдоп_2ж,Iдоп_3ж),MATCH(EN203,Iдоп_S,0))*DZ203*EA203,{6,10,16,20,25,32,40,50,63,80,100,125,160,200,250,315,400,500,630}),""))</f>
        <v>25</v>
      </c>
      <c r="GT203" t="str">
        <f t="shared" si="498"/>
        <v>QFD19</v>
      </c>
      <c r="GU203" t="str">
        <f t="shared" si="499"/>
        <v>QFD19</v>
      </c>
      <c r="GV203" t="str">
        <f t="shared" si="500"/>
        <v/>
      </c>
      <c r="GW203">
        <f t="shared" si="501"/>
        <v>0</v>
      </c>
      <c r="GX203" t="str">
        <f>IF(OR(B203="",DJ203=""),"",IFERROR(_xlfn.XLOOKUP(DJ203,Модули_умолч[Управление],Модули_умолч[Модель])&amp;"",""))</f>
        <v/>
      </c>
      <c r="GY203">
        <f>IF(DJ203="",1,IFERROR(MAX(0,N(_xlfn.XLOOKUP(DJ203,Модули_умолч[Управление],Модули_умолч[Каналов на линию]))),1))</f>
        <v>1</v>
      </c>
      <c r="GZ203" t="str">
        <f t="shared" si="502"/>
        <v/>
      </c>
      <c r="HA203" t="str">
        <f t="shared" si="503"/>
        <v/>
      </c>
      <c r="HB203" t="str">
        <f t="shared" si="504"/>
        <v/>
      </c>
      <c r="HC203">
        <f>IF(HB203="",0,IFERROR(N(VLOOKUP(HB203,Модули_спр,3,FALSE)),0))</f>
        <v>0</v>
      </c>
      <c r="HD203" t="str">
        <f t="shared" si="505"/>
        <v/>
      </c>
      <c r="HE203" t="str">
        <f t="shared" si="506"/>
        <v/>
      </c>
      <c r="HF203" t="str">
        <f>IF(OR(HE203="",HE203="-"),"",IFERROR(VLOOKUP(HE203,Модули_спр,2,FALSE),"R"))</f>
        <v/>
      </c>
      <c r="HG203" t="str">
        <f>IF(HF203="","",HF203&amp;"."&amp;COUNTIFS(A$3:A203,A203,HF$3:HF203,HF203))</f>
        <v/>
      </c>
      <c r="HH203" t="str">
        <f t="shared" si="507"/>
        <v/>
      </c>
      <c r="HI203" t="str">
        <f t="shared" si="508"/>
        <v/>
      </c>
      <c r="HJ203" t="str">
        <f t="shared" si="509"/>
        <v/>
      </c>
      <c r="HK203" t="str">
        <f t="shared" si="510"/>
        <v/>
      </c>
      <c r="HL203">
        <f t="shared" si="511"/>
        <v>1</v>
      </c>
      <c r="HM203" t="str">
        <f>IF(HL203=1,"XT"&amp;COUNTIFS(A$3:A203,A203,HL$3:HL203,1),"")</f>
        <v>XT19</v>
      </c>
      <c r="HN203" t="str">
        <f t="shared" si="512"/>
        <v/>
      </c>
      <c r="HO203" t="str">
        <f t="shared" si="513"/>
        <v>QFD19</v>
      </c>
      <c r="HP203" t="str">
        <f t="shared" si="514"/>
        <v/>
      </c>
      <c r="HQ203" t="str">
        <f t="shared" si="515"/>
        <v>ok</v>
      </c>
      <c r="HR203" t="str">
        <f>IF(OR(HJ203="",HH203=""),"",IF(HJ203+MAX(0,GY203-1)&gt;IFERROR(VLOOKUP(HI203,Модули_спр,3,FALSE),99),"ЛИШНИЙ КАНАЛ",IF(AND(AL203&lt;&gt;"=",GY203&gt;0,COUNTIFS(Линии[_модуль гр.],HH203,Линии[Канал (итог)],HJ203,Линии[Канал],"&lt;&gt;=",Линии[Щит],A203)&gt;1),"ДУБЛЬ КАНАЛА","")))</f>
        <v/>
      </c>
      <c r="HS203" s="6" t="str">
        <f t="shared" si="516"/>
        <v/>
      </c>
      <c r="HT203">
        <f t="shared" si="517"/>
        <v>10</v>
      </c>
      <c r="HU203" t="str">
        <f t="shared" si="518"/>
        <v/>
      </c>
      <c r="HV203">
        <f t="shared" si="519"/>
        <v>0.40939268258329753</v>
      </c>
      <c r="HW203">
        <f t="shared" si="520"/>
        <v>0</v>
      </c>
      <c r="HX203">
        <f t="shared" si="521"/>
        <v>0</v>
      </c>
      <c r="HY203">
        <f t="shared" si="522"/>
        <v>0</v>
      </c>
      <c r="HZ203">
        <f t="shared" si="523"/>
        <v>0</v>
      </c>
      <c r="IA203">
        <f t="shared" si="524"/>
        <v>0</v>
      </c>
      <c r="IB203">
        <f t="shared" si="525"/>
        <v>0</v>
      </c>
      <c r="IC203" t="str">
        <f t="shared" si="526"/>
        <v/>
      </c>
      <c r="ID203" t="str" cm="1">
        <f t="array" ref="ID203">IF(IC203="","",_xlfn.LET(_xlpm.tk,_xlfn.TEXTSPLIT(SUBSTITUTE(SUBSTITUTE(IC203,";"," "),"→"," ")," ",,TRUE),_xlpm.w_,_xlfn._xlws.FILTER(_xlpm.tk,ISNUMBER(--LEFT(_xlpm.tk,1))*((ISNUMBER(SEARCH("W",_xlpm.tk))+ISNUMBER(SEARCH("Вт",_xlpm.tk)))&gt;0),""),IFERROR(--SUBSTITUTE(SUBSTITUTE(UPPER(INDEX(_xlpm.w_,1)),"W",""),"ВТ",""),"")))</f>
        <v/>
      </c>
      <c r="IE203" t="str" cm="1">
        <f t="array" ref="IE203">IF(IC203="","",_xlfn.LET(_xlpm.tk,_xlfn.TEXTSPLIT(SUBSTITUTE(SUBSTITUTE(IC203,";"," "),"→"," ")," ",,TRUE),_xlpm.v_,_xlfn._xlws.FILTER(_xlpm.tk,ISNUMBER(--LEFT(_xlpm.tk,1))*((ISNUMBER(SEARCH("V",_xlpm.tk))+(RIGHT(UPPER(_xlpm.tk))="В"))&gt;0),""),IFERROR(--SUBSTITUTE(SUBSTITUTE(UPPER(INDEX(_xlpm.v_,1)),"V",""),"В",""),"")))</f>
        <v/>
      </c>
      <c r="IF203" s="6" t="str">
        <f>IF(OR(BV203=0,HI203="",HJ203=""),"",IFERROR(N(_xlfn.XLOOKUP(HI203,Каталог!$C$4:$C$500,Каталог!$Q$4:$Q$500)),""))</f>
        <v/>
      </c>
      <c r="IG203" s="6" t="str">
        <f>IF(N(IF203)=0,"",SUMIFS(Линии[Iр, А],Линии[Щит],A203,Линии[_модуль гр.],HH203,Линии[Канал (итог)],HJ203))</f>
        <v/>
      </c>
      <c r="IH203" t="str">
        <f>IF(AND(B203="",HO203=""),"",_xlfn.TEXTJOIN("; ",TRUE,IF(AND(B203&lt;&gt;"",FV203=""),"нет фазы",""),IF(AND(B203&lt;&gt;"",N(GL203)=0,FG203&lt;&gt;"Нет"),"нет мощности",""),IF(AND(HN203&lt;&gt;"",COUNTIFS(Линии[Щит],A203,Линии[Клемма (итог)],HN203)&gt;1),"дубль клеммы "&amp;HN203,""),IF(AND(HQ203&lt;&gt;"",HQ203&lt;&gt;"ok"),HQ203,""),IF(HR203&lt;&gt;"",HR203,""),IF(AND(N(CB203)&gt;=4,N(BX203)=1),CB203&amp;" жил на 1 фазе",""),IF(AND(BC203="R",CG203=1,IF(CS203&lt;&gt;"",N(CV203)&gt;30,OR(N(DA203)=0,N(DA203)&gt;30))),"розетка без дифзащиты до 30 мА",""),IF(AND(CG203=1,N(DA203)&gt;0,ISNUMBER(T203)),IF(T203&gt;N(DA203)/3,"ток утечки "&amp;FIXED(T203,1)&amp;" мА &gt; 1/3 уставки ("&amp;DA203&amp;" мА)",""),""),IF(AND(CH203=1,CS203=""),"«узо»: нет строки с УЗО выше (УЗО 2P 40А 30мА в «Аппаратах»)",""),IF(AND(CS203&lt;&gt;"",CS203=BA203),IF(CT203="","впишите номинал УЗО (УЗО 2P 40А 30мА)",IF(N(CT203)&lt;N(DT203),"УЗО "&amp;CT203&amp;" А &lt; автомата "&amp;DT203&amp;" А перед ним",IF(N(CT203)&lt;N(CX203),"УЗО "&amp;CT203&amp;" А &lt; тока блока "&amp;FIXED(CX203,1)&amp;" А",""))),""),IF(AND(CS203&lt;&gt;"",CS203=BA203,ISNUMBER(CY203)),IF(CY203&gt;N(CV203)/3,"ток утечки блока УЗО "&amp;FIXED(CY203,1)&amp;" мА &gt; 1/3 уставки ("&amp;CV203&amp;" мА)",""),""),IF(AND(CG203=1,N(BV203)+N(IB203)&gt;0,IC203=""),"линии до 50 В без БП: впишите в «Аппараты» (БП 24V 480W)",""),IF(AND(CG203=1,ISNUMBER(ID203),ISNUMBER(U203)),IF(U203&gt;ID203,"БП "&amp;ID203&amp;" Вт &lt; нужно "&amp;U203&amp;" Вт (×"&amp;Запас_БП&amp;")",""),""),IF(AND(CG203=1,ISNUMBER(IE203),N(BV203)=1),IF(IE203&lt;&gt;N(BU203),"БП на "&amp;IE203&amp;" В, линия "&amp;BU203&amp;" В",""),""),IF(AND(N(IF203)&gt;0,N(IG203)&gt;N(IF203)),HH203&amp;" канал "&amp;HJ203&amp;": "&amp;FIXED(IG203,1)&amp;" А &gt; "&amp;IF203&amp;" А",""),IFERROR(IF(AND(ISNUMBER(Q203),Q203&gt;EL203),"потери "&amp;FIXED(Q203,1)&amp;" % &gt; "&amp;EL203&amp;" %",""),""),IFERROR(IF(LEFT(HU203,4)="мало","Iкз мало — отключение &gt; 0,4 с",""),""),IF(AND(B203&lt;&gt;"",BM203=""),"не на схеме",""),IF(AND(CG203=0,B203&lt;&gt;"",FV203&lt;&gt;"",IF(BA203=1,"",FW202)&lt;&gt;"",FV203&lt;&gt;IF(BA203=1,"",FW202)),"фаза не как у автомата группы ("&amp;IF(BA203=1,"",FW202)&amp;")","")))</f>
        <v/>
      </c>
      <c r="II203" s="6">
        <f>IF(OR(CG203=0,DQ203=""),"",_xlfn.LET(_xlpm.t,IFERROR(_xlfn.XLOOKUP(DQ203,Каталог!$U$4:$U$500,Каталог!$G$4:$G$500),""),_xlpm.k,SEARCH("кА",_xlpm.t),IFERROR(--TRIM(RIGHT(SUBSTITUTE(MID(_xlpm.t,MAX(1,_xlpm.k-4),_xlpm.k-MAX(1,_xlpm.k-4))," ",REPT(" ",9)),5)),"")))</f>
        <v>6</v>
      </c>
      <c r="IJ203" t="str">
        <f>IF(OR(II203="",CG203=0),"",IF(_xlfn.XLOOKUP(A203,Щиты[Щит],Щиты[Iкз max на шинах, кА],"")="","",IF(II203&lt;_xlfn.XLOOKUP(A203,Щиты[Щит],Щиты[Iкз max на шинах, кА]),"Icu "&amp;II203&amp;" кА &lt; Iкз max","ok")))</f>
        <v/>
      </c>
      <c r="IK203" t="str">
        <f t="shared" si="527"/>
        <v/>
      </c>
      <c r="IL203" t="str">
        <f t="shared" si="528"/>
        <v>QFD19</v>
      </c>
      <c r="IM203" t="str">
        <f t="shared" si="529"/>
        <v>QFD19|кабель ВВГнг(А)-LS (3х2,5) → Розеточная группа, пом. 010A</v>
      </c>
      <c r="IN203" t="str" cm="1">
        <f t="array" ref="IN203">IF(IM203="","",_xlfn.LET(_xlpm.nd,_xlfn.TEXTSPLIT(IM203,"|"),IF(COLUMNS(_xlpm.nd)&gt;1,A203&amp;"¦"&amp;INDEX(_xlpm.nd,1)&amp;"¦"&amp;INDEX(_xlpm.nd,2),"")))</f>
        <v>ЩР-01¦QFD19¦кабель ВВГнг(А)-LS (3х2,5) → Розеточная группа, пом. 010A</v>
      </c>
      <c r="IO203" t="str">
        <f t="shared" si="530"/>
        <v>R.0.010A.1¦Розеточная группа, пом. 010A</v>
      </c>
      <c r="IP203" t="str" cm="1">
        <f t="array" ref="IP203">IF(IM203="","",_xlfn.LET(_xlpm.nd,_xlfn.TEXTSPLIT(IM203,"|"),IF(COLUMNS(_xlpm.nd)&gt;2,A203&amp;"¦"&amp;INDEX(_xlpm.nd,2)&amp;"¦"&amp;INDEX(_xlpm.nd,3),"")))</f>
        <v/>
      </c>
      <c r="IQ203" t="str">
        <f t="shared" si="531"/>
        <v/>
      </c>
      <c r="IR203" t="str" cm="1">
        <f t="array" ref="IR203">IF(IM203="","",_xlfn.LET(_xlpm.nd,_xlfn.TEXTSPLIT(IM203,"|"),IF(COLUMNS(_xlpm.nd)&gt;3,A203&amp;"¦"&amp;INDEX(_xlpm.nd,3)&amp;"¦"&amp;INDEX(_xlpm.nd,4),"")))</f>
        <v/>
      </c>
      <c r="IS203" t="str">
        <f t="shared" si="532"/>
        <v/>
      </c>
      <c r="IT203" t="str" cm="1">
        <f t="array" ref="IT203">IF(IM203="","",_xlfn.LET(_xlpm.nd,_xlfn.TEXTSPLIT(IM203,"|"),IF(COLUMNS(_xlpm.nd)&gt;4,A203&amp;"¦"&amp;INDEX(_xlpm.nd,4)&amp;"¦"&amp;INDEX(_xlpm.nd,5),"")))</f>
        <v/>
      </c>
      <c r="IU203" t="str">
        <f t="shared" si="533"/>
        <v/>
      </c>
      <c r="IV203" t="str" cm="1">
        <f t="array" ref="IV203">IF(IM203="","",_xlfn.LET(_xlpm.nd,_xlfn.TEXTSPLIT(IM203,"|"),IF(COLUMNS(_xlpm.nd)&gt;5,A203&amp;"¦"&amp;INDEX(_xlpm.nd,5)&amp;"¦"&amp;INDEX(_xlpm.nd,6),"")))</f>
        <v/>
      </c>
      <c r="IW203" t="str">
        <f t="shared" si="534"/>
        <v/>
      </c>
      <c r="IX203" t="str" cm="1">
        <f t="array" ref="IX203">IF(IM203="","",_xlfn.LET(_xlpm.nd,_xlfn.TEXTSPLIT(IM203,"|"),IF(COLUMNS(_xlpm.nd)&gt;6,A203&amp;"¦"&amp;INDEX(_xlpm.nd,6)&amp;"¦"&amp;INDEX(_xlpm.nd,7),"")))</f>
        <v/>
      </c>
      <c r="IY203" t="str">
        <f t="shared" si="535"/>
        <v/>
      </c>
      <c r="IZ203" t="str">
        <f t="shared" si="536"/>
        <v/>
      </c>
      <c r="JA203" t="str">
        <f t="shared" si="537"/>
        <v>QFD19</v>
      </c>
      <c r="JB203">
        <f t="shared" si="538"/>
        <v>0</v>
      </c>
      <c r="JC203">
        <f t="shared" si="539"/>
        <v>1</v>
      </c>
      <c r="JD203" t="str">
        <f t="shared" si="540"/>
        <v/>
      </c>
      <c r="JE203" t="str">
        <f t="shared" si="541"/>
        <v/>
      </c>
      <c r="JF203" t="str">
        <f t="shared" si="542"/>
        <v/>
      </c>
      <c r="JG203" t="str">
        <f t="shared" si="543"/>
        <v/>
      </c>
      <c r="JH203" t="str">
        <f>IF(B203="","",IFERROR(_xlfn.XLOOKUP(B203,Коды_код,Коды_уго),IFERROR(_xlfn.XLOOKUP(BC203,Коды_код,Коды_уго),IFERROR(_xlfn.XLOOKUP(LEFT(BC203,2),Коды_код,Коды_уго),""))))</f>
        <v>Розетка</v>
      </c>
      <c r="JI203" t="str">
        <f>IF(B203="","",IF(OR(JH203="",JH203=0),"BOX",IFERROR(IF(VLOOKUP(JH203,УГО_блоки,3,FALSE)&amp;""&lt;&gt;"",VLOOKUP(JH203,УГО_блоки,3,FALSE),VLOOKUP(JH203,УГО_блоки,2,FALSE)),JH203)))</f>
        <v>SOCKET</v>
      </c>
      <c r="JJ203">
        <f t="shared" si="544"/>
        <v>1</v>
      </c>
      <c r="JK203" t="str">
        <f>IF(DQ203="","",IF(COUNTIF(DQ$3:DQ203,DQ203)=1,MAX(JK$2:JK202)+1,""))</f>
        <v/>
      </c>
      <c r="JL203" t="str">
        <f>IF(DE203="","",IF(COUNTIF(DE$3:DE203,DE203)+COUNTIF(DF$2:DF202,DE203)+COUNTIF(DG$2:DG202,DE203)=1,MAX(JL$2:JN202)+1,""))</f>
        <v/>
      </c>
      <c r="JM203" t="str">
        <f>IF(DF203="","",IF(COUNTIF(DE$3:DE203,DF203)+COUNTIF(DF$3:DF203,DF203)+COUNTIF(DG$2:DG202,DF203)=1,MAX(JL$2:JN202,JL203)+1,""))</f>
        <v/>
      </c>
      <c r="JN203" t="str">
        <f>IF(DG203="","",IF(COUNTIF(DE$3:DE203,DG203)+COUNTIF(DF$3:DF203,DG203)+COUNTIF(DG$3:DG203,DG203)=1,MAX(JL$2:JN202,JL203,JM203)+1,""))</f>
        <v/>
      </c>
      <c r="JO203" t="str">
        <f t="shared" si="545"/>
        <v>3х2,5</v>
      </c>
      <c r="JP203" t="str">
        <f>IF(JO203="","",IF(COUNTIF(JO$3:JO203,JO203)=1,MAX(JP$2:JP202)+1,""))</f>
        <v/>
      </c>
      <c r="JQ203" t="str">
        <f>IF(HG203="","",COUNTIF(HG$3:HG203,"?*"))</f>
        <v/>
      </c>
      <c r="JR203" t="str">
        <f>IF(OR(HG203="",HI203=""),"",IF(COUNTIFS(HG$3:HG203,"?*",HI$3:HI203,HI203)=1,MAX(JR$2:JR202)+1,""))</f>
        <v/>
      </c>
      <c r="JS203">
        <f t="shared" si="546"/>
        <v>0</v>
      </c>
      <c r="JT203">
        <f>IF(B203="","",COUNTIF(B$3:B203,"?*"))</f>
        <v>201</v>
      </c>
      <c r="JU203">
        <f>IF(HL203&lt;&gt;1,0,_xlfn.LET(_xlpm.k,MAX(IFERROR(--_xlfn.XLOOKUP(B203,Коды_код,Коды_3L),0),IFERROR(--_xlfn.XLOOKUP(BC203,Коды_код,Коды_3L),0),IFERROR(--_xlfn.XLOOKUP(LEFT(BC203,2),Коды_код,Коды_3L),0)),IF(_xlpm.k&gt;0,_xlpm.k,IF(IFERROR(--LEFT(SUBSTITUTE(JO203,"x","х"),FIND("х",SUBSTITUTE(JO203,"x","х"))-1),3)&gt;3,Каталог!$S$9,1))))</f>
        <v>1</v>
      </c>
      <c r="JV203">
        <f t="shared" si="547"/>
        <v>0</v>
      </c>
      <c r="JW203" t="str">
        <f t="shared" si="548"/>
        <v>авто</v>
      </c>
      <c r="JX203">
        <f t="shared" si="549"/>
        <v>30</v>
      </c>
      <c r="JY203">
        <f t="shared" si="550"/>
        <v>1</v>
      </c>
      <c r="JZ203">
        <f t="shared" si="551"/>
        <v>1</v>
      </c>
    </row>
    <row r="204" spans="1:286" x14ac:dyDescent="0.3">
      <c r="A204" t="s">
        <v>755</v>
      </c>
      <c r="B204" t="s">
        <v>1511</v>
      </c>
      <c r="C204" t="str">
        <f>Линии[[#This Row],[_авто наименование]]</f>
        <v>Розеточная группа, пом. 011</v>
      </c>
      <c r="D204">
        <v>1</v>
      </c>
      <c r="E204">
        <v>0.06</v>
      </c>
      <c r="G204" t="str">
        <f>Линии[[#This Row],[_авто автомат]]</f>
        <v>2P С16А 30мА</v>
      </c>
      <c r="H204" t="str">
        <f>Линии[[#This Row],[_авто управление]]</f>
        <v/>
      </c>
      <c r="I204" t="str">
        <f>Линии[[#This Row],[_авто аппараты]]</f>
        <v/>
      </c>
      <c r="J204">
        <v>2.5</v>
      </c>
      <c r="K204">
        <v>22</v>
      </c>
      <c r="L204">
        <v>1</v>
      </c>
      <c r="M204" t="s">
        <v>484</v>
      </c>
      <c r="N204" t="str">
        <f t="shared" si="414"/>
        <v/>
      </c>
      <c r="O204" s="6" cm="1">
        <f t="array" ref="O204">IF(B204="","",IF(BH204&lt;&gt;"",IFERROR(_xlfn.XLOOKUP(BH204,Щиты[Щит],Щиты[Iр, А]),""),IF(BP204=1,IF(OR(N(_xlfn.XLOOKUP(A204,Щиты[Щит],Щиты[Вводов],1))&lt;=1,LOWER(TRIM(_xlfn.XLOOKUP(A204,Щиты[Щит],Щиты[АВР],"")&amp;""))="да"),IFERROR(_xlfn.XLOOKUP(A204,Щиты[Щит],Щиты[Iр, А]),""),IFERROR(N(BS204)*_xlfn.XLOOKUP(A204,Щиты[Щит],Щиты[Кс итог])/(SQRT(3)*Uн_лин*_xlfn.XLOOKUP(A204,Щиты[Щит],Щиты[cos φ])),"")),IF(BV204=1,IFERROR(BS204*1000/BU204,""),IFERROR(_xlfn.IFS(BX204=1,BS204/((Uн_лин/SQRT(3))*CE204),BX204=3,BS204/(SQRT(3)*Uн_лин*CE204)),"")))))</f>
        <v>0.27348170645824377</v>
      </c>
      <c r="P204" s="7">
        <f>IF(B204="","",IFERROR(IF(VLOOKUP(BC204,Потребители_обозначение,4,FALSE)=1,VLOOKUP(BC204,Потребители_обозначение,3,FALSE)*(MAX(1,N(D204))*2-1)+EI204+VLOOKUP(BE204,Этаж_обозначение,3,FALSE)+VLOOKUP(BE204,Этаж_обозначение,4,FALSE),VLOOKUP(BC204,Потребители_обозначение,3,FALSE)*(MAX(1,N(D204))*2-1)+EI204),EI204))</f>
        <v>25</v>
      </c>
      <c r="Q204" s="6">
        <f t="shared" si="415"/>
        <v>0.49</v>
      </c>
      <c r="R204" t="str">
        <f t="shared" si="416"/>
        <v>ВВГнг(А)-LS (3х2,5)</v>
      </c>
      <c r="S204" t="str">
        <f>IF(BM204="","",IF(BN204="вводной узел","узел ","")&amp;"л."&amp;(INT((BM204-1)/Столбцов_на_лист)+1)&amp;" / "&amp;(MOD(BM204-1,Столбцов_на_лист)+1))</f>
        <v>л.2 / 13</v>
      </c>
      <c r="T204" s="119">
        <f t="shared" si="417"/>
        <v>0.4</v>
      </c>
      <c r="U204" s="7" t="str">
        <f>IF(OR(CG204=0,N(BV204)+N(IB204)=0),"",ROUNDUP(Запас_БП*(N(HY204)+N(HZ204)),0))</f>
        <v/>
      </c>
      <c r="V204" s="119" t="str">
        <f t="shared" si="418"/>
        <v/>
      </c>
      <c r="W204" s="7" t="str">
        <f>IFERROR(IF(OR(B204="",BP204=1,BV204=1,NOT(ISNUMBER(EN204)),N(DT204)=0),"",MAX(0,ROUNDDOWN((c_min*(Uн_лин*1000/SQRT(3))/(HT204*N(DT204))-_xlfn.XLOOKUP(A204,Щиты[Щит],Щиты[Zпетли на шинах, Ом]))*EN204/(2*ρкз_Cu),0))),"")</f>
        <v/>
      </c>
      <c r="Y204">
        <f>Линии[[#This Row],[_авто утечка]]</f>
        <v>30</v>
      </c>
      <c r="Z204">
        <v>1</v>
      </c>
      <c r="AA204">
        <v>230</v>
      </c>
      <c r="AB204" t="s">
        <v>562</v>
      </c>
      <c r="AG204" t="s">
        <v>810</v>
      </c>
      <c r="AI204" t="s">
        <v>561</v>
      </c>
      <c r="AK204" t="str">
        <f>Линии[[#This Row],[_авто модуль]]</f>
        <v/>
      </c>
      <c r="AM204">
        <v>30</v>
      </c>
      <c r="AN204" t="s">
        <v>11</v>
      </c>
      <c r="AO204">
        <v>3</v>
      </c>
      <c r="AQ204">
        <v>8</v>
      </c>
      <c r="AR204">
        <v>17</v>
      </c>
      <c r="AS204">
        <v>0</v>
      </c>
      <c r="BA204" cm="1">
        <f t="array" ref="BA204">ROW()-ROW(Линии[#Headers])</f>
        <v>202</v>
      </c>
      <c r="BC204" s="6" t="str">
        <f t="shared" si="419"/>
        <v>R</v>
      </c>
      <c r="BD204" t="str">
        <f t="shared" si="420"/>
        <v>0.011.1A</v>
      </c>
      <c r="BE204" t="str">
        <f t="shared" si="421"/>
        <v>0</v>
      </c>
      <c r="BF204" t="str">
        <f t="shared" si="422"/>
        <v>011.1A</v>
      </c>
      <c r="BG204" t="str">
        <f t="shared" si="423"/>
        <v>011</v>
      </c>
      <c r="BH204" t="str">
        <f>IF(X204&lt;&gt;"",X204,IF(AND(B204&lt;&gt;"",B204&lt;&gt;A204,ISNUMBER(_xlfn.XMATCH(B204,Щиты[Щит]))),B204,""))</f>
        <v/>
      </c>
      <c r="BI204" t="str" cm="1">
        <f t="array" ref="BI204">IF(B204="","",IF(BH204&lt;&gt;"","Щит "&amp;BH204,_xlfn.LET(_xlpm.nm,IFERROR(_xlfn.XLOOKUP(BC204,Коды_код,Коды_имя)&amp;"",""),_xlpm.md,IFERROR(N(_xlfn.XLOOKUP(BC204,Коды_код,Коды_режим)),1),_xlpm.ex,IF(Имя_режим="по экспликации",IFERROR(_xlfn.XLOOKUP(BE204&amp;"|"&amp;BG204,Экспликация[Этаж]&amp;"|"&amp;Экспликация[Помещение],Экспликация[Название])&amp;"",""),""),_xlpm.rm,IF(BG204="","",IF(_xlpm.ex&lt;&gt;"",". "&amp;_xlpm.ex&amp;IF(Имя_пом="нет"," ("&amp;BG204&amp;")"," (пом. "&amp;BG204&amp;")"),IF(Имя_пом="нет"," ",", пом. ")&amp;BG204)),IF(_xlpm.nm="","",IF(_xlpm.md=2,_xlpm.nm&amp;" шлейф "&amp;BE204,_xlpm.nm&amp;_xlpm.rm)))))</f>
        <v>Розеточная группа, пом. 011</v>
      </c>
      <c r="BJ204" t="str">
        <f t="shared" si="424"/>
        <v>Розеточная группа, пом. 011</v>
      </c>
      <c r="BK204">
        <f>IFERROR(_xlfn.XMATCH(A204,Щиты[Щит]),0)</f>
        <v>9</v>
      </c>
      <c r="BL204">
        <f>_xlfn.LET(_xlpm.k,IFERROR(_xlfn.XLOOKUP(A204,Щиты[Щит],Щиты[Мест под вводной узел]),""),IF(_xlpm.k="",Столбцов_на_лист,N(_xlpm.k)))</f>
        <v>8</v>
      </c>
      <c r="BM204">
        <f t="shared" si="425"/>
        <v>30</v>
      </c>
      <c r="BN204" t="str">
        <f t="shared" si="426"/>
        <v>линии</v>
      </c>
      <c r="BO204" s="6">
        <f>IFERROR(N(_xlfn.XLOOKUP(BC204,Коды_код,Коды_квт)),0)</f>
        <v>0</v>
      </c>
      <c r="BP204">
        <f t="shared" si="427"/>
        <v>0</v>
      </c>
      <c r="BQ204" t="str">
        <f>IF(B204="","",IF(BH204&lt;&gt;"",IFERROR(_xlfn.XLOOKUP(BH204,Щиты[Щит],Щиты[Руст, кВт]),0),IF(BP204=1,IF(OR(N(_xlfn.XLOOKUP(A204,Щиты[Щит],Щиты[Вводов],1))&lt;=1,LOWER(TRIM(_xlfn.XLOOKUP(A204,Щиты[Щит],Щиты[АВР],"")&amp;""))="да"),IFERROR(_xlfn.XLOOKUP(A204,Щиты[Щит],Щиты[Руст, кВт]),0),SUMIFS(Линии[_Р для вводов],Линии[Щит],A204,Линии[Источник для режимов],GF204)),IF(BO204&gt;0,ROUND(BO204*MAX(1,N(D204)),3),""))))</f>
        <v/>
      </c>
      <c r="BR204">
        <f t="shared" si="428"/>
        <v>0.06</v>
      </c>
      <c r="BS204" s="6">
        <f>IF(B204="","",IF(BH204&lt;&gt;"",IFERROR(_xlfn.XLOOKUP(BH204,Щиты[Щит],Щиты[Руст, кВт]),0),N(BR204)))</f>
        <v>0.06</v>
      </c>
      <c r="BT204" t="str">
        <f>IF(B204="","",IFERROR(IF(VLOOKUP(BC204,Потребители_обозначение,8,FALSE)=0,"",VLOOKUP(BC204,Потребители_обозначение,8,FALSE)),""))</f>
        <v/>
      </c>
      <c r="BU204">
        <f t="shared" si="429"/>
        <v>230</v>
      </c>
      <c r="BV204">
        <f t="shared" si="430"/>
        <v>0</v>
      </c>
      <c r="BW204">
        <f>IF(B204="","",IF(BH204&lt;&gt;"",3,IFERROR(IF(N(VLOOKUP(BC204,Потребители_обозначение,9,FALSE))=0,1,VLOOKUP(BC204,Потребители_обозначение,9,FALSE)),1)))</f>
        <v>1</v>
      </c>
      <c r="BX204">
        <f t="shared" si="431"/>
        <v>1</v>
      </c>
      <c r="BY204" t="str">
        <f>IF(B204="","",_xlfn.LET(_xlpm.bc,IFERROR(IF(VLOOKUP(BC204,Потребители_обозначение,6,FALSE)=0,"",VLOOKUP(BC204,Потребители_обозначение,6,FALSE)&amp;""),""),IF(AND(GA204="да",OR(_xlpm.bc="",_xlpm.bc="мс")),Марка_пож,IF(AND(_xlpm.bc="",BH204&lt;&gt;""),"мс",_xlpm.bc))))</f>
        <v/>
      </c>
      <c r="BZ204" t="str">
        <f t="shared" si="432"/>
        <v>мс</v>
      </c>
      <c r="CA204">
        <f>IF(B204="","",_xlfn.LET(_xlpm.cc,IFERROR(N(VLOOKUP(BC204,Потребители_обозначение,7,FALSE)),0),IF(_xlpm.cc&gt;0,_xlpm.cc,IF(BZ204="","",IF(BV204=1,2,IF(N(BX204)=3,5,3))))))</f>
        <v>3</v>
      </c>
      <c r="CB204">
        <f t="shared" si="433"/>
        <v>3</v>
      </c>
      <c r="CC204">
        <f>IFERROR(N(VLOOKUP(BC204,Потребители_обозначение,10,FALSE)),0)</f>
        <v>0</v>
      </c>
      <c r="CD204">
        <f>IFERROR(VLOOKUP(BC204,Потребители_обозначение,5,FALSE),0)</f>
        <v>1</v>
      </c>
      <c r="CE204" s="6" cm="1">
        <f t="array" ref="CE204">IF(B204="","",IF(BH204&lt;&gt;"",IFERROR(_xlfn.XLOOKUP(BH204,Щиты[Щит],Щиты[cos φ]),0.95),IF(BP204=1,IFERROR(_xlfn.XLOOKUP(A204,Щиты[Щит],Щиты[cos φ]),0.95),IF(ISNUMBER(AD204),AD204,IFERROR(IF(CD204=2,_xlfn.IFS(BX204=3,VLOOKUP(BS204,Справочная_двигатели,8,FALSE),BX204=1,VLOOKUP(BS204,Справочная_двигатели,10,TRUE)),IF(AND(Методика="нормы 2026",FG204="Сил"),0.8,0.95)),0.95)))))</f>
        <v>0.95</v>
      </c>
      <c r="CF204">
        <f t="shared" si="434"/>
        <v>0</v>
      </c>
      <c r="CG204">
        <f t="shared" si="435"/>
        <v>1</v>
      </c>
      <c r="CH204">
        <f t="shared" si="436"/>
        <v>0</v>
      </c>
      <c r="CI204">
        <f>IF(B204="","",IF(BV204=1,IFERROR(BS204/((Uн_лин/SQRT(3))*MAX(0.5,N(CE204))),0),N(O204)))</f>
        <v>0.27348170645824377</v>
      </c>
      <c r="CJ204">
        <f t="shared" si="437"/>
        <v>0</v>
      </c>
      <c r="CK204">
        <f t="shared" si="438"/>
        <v>0</v>
      </c>
      <c r="CL204">
        <f t="shared" si="439"/>
        <v>0</v>
      </c>
      <c r="CM204">
        <f t="shared" si="440"/>
        <v>0</v>
      </c>
      <c r="CN204">
        <f t="shared" si="441"/>
        <v>0</v>
      </c>
      <c r="CO204">
        <f>IF(BC204="",0,_xlfn.LET(_xlpm.v,IFERROR(_xlfn.XLOOKUP(B204,Коды_код,Коды_мА),IFERROR(_xlfn.XLOOKUP(BC204,Коды_код,Коды_мА),IFERROR(_xlfn.XLOOKUP(LEFT(BC204,2),Коды_код,Коды_мА),""))),IF(_xlpm.v="да",30,IF(ISNUMBER(_xlpm.v),_xlpm.v,0))))</f>
        <v>30</v>
      </c>
      <c r="CP204">
        <f t="shared" si="442"/>
        <v>30</v>
      </c>
      <c r="CQ204" t="str">
        <f>_xlfn.LET(_xlpm.k,IFERROR(_xlfn.XLOOKUP(BC204,Коды_код,Коды_утечка)&amp;"",""),IF(_xlpm.k="","дифавтомат",_xlpm.k))</f>
        <v>дифавтомат</v>
      </c>
      <c r="CR204" t="str" cm="1">
        <f t="array" ref="CR204">IF(CG204=0,"",_xlfn.LET(_xlpm.sg,TRIM(_xlfn.TEXTSPLIT(DD204&amp;"",";")),_xlpm.f_,_xlfn._xlws.FILTER(_xlpm.sg,LEFT(_xlpm.sg,3)="УЗО",""),IFERROR(INDEX(_xlpm.f_,1)&amp;"","")))</f>
        <v/>
      </c>
      <c r="CS204" t="str">
        <f t="shared" si="443"/>
        <v/>
      </c>
      <c r="CT204" s="6" t="str" cm="1">
        <f t="array" ref="CT204">IF(CR204="","",_xlfn.LET(_xlpm.tk,_xlfn.TEXTSPLIT(UPPER(CR204)," ",,TRUE),_xlpm.a_,_xlfn._xlws.FILTER(_xlpm.tk,ISNUMBER(--LEFT(_xlpm.tk,1))*((ISNUMBER(SEARCH("А",_xlpm.tk))+ISNUMBER(SEARCH("A",_xlpm.tk)))&gt;0)*NOT(ISNUMBER(SEARCH("МА",_xlpm.tk)))*NOT(ISNUMBER(SEARCH("MA",_xlpm.tk))),""),IFERROR(--SUBSTITUTE(SUBSTITUTE(INDEX(_xlpm.a_,1),"А",""),"A",""),"")))</f>
        <v/>
      </c>
      <c r="CU204" t="str" cm="1">
        <f t="array" ref="CU204">IF(CR204="","",_xlfn.LET(_xlpm.tk,_xlfn.TEXTSPLIT(UPPER(CR204)," ",,TRUE),_xlpm.a_,_xlfn._xlws.FILTER(_xlpm.tk,ISNUMBER(--LEFT(_xlpm.tk,1))*((ISNUMBER(SEARCH("МА",_xlpm.tk))+ISNUMBER(SEARCH("MA",_xlpm.tk)))&gt;0),""),IFERROR(--SUBSTITUTE(SUBSTITUTE(INDEX(_xlpm.a_,1),"МА",""),"MA",""),30)))</f>
        <v/>
      </c>
      <c r="CV204" t="str">
        <f>IF(CS204="","",IFERROR(_xlfn.XLOOKUP(CS204,Линии[_n],Линии[_УЗО, мА]),30))</f>
        <v/>
      </c>
      <c r="CW204">
        <f>IF(CS204="",0,IF(ISNUMBER(SEARCH("4P",IFERROR(_xlfn.XLOOKUP(CS204,Линии[_n],Линии[_УЗО строки])&amp;"",""))),0,1))</f>
        <v>0</v>
      </c>
      <c r="CX204" t="str">
        <f>IF(AND(CS204&lt;&gt;"",CS204=BA204),SUMIFS(Линии[_ток на 230 В],Линии[_блок УЗО],BA204,Линии[Щит],A204),"")</f>
        <v/>
      </c>
      <c r="CY204" t="str">
        <f>IF(AND(CS204&lt;&gt;"",CS204=BA204),SUMIFS(Линии[_ток утечки линии, мА],Линии[_блок УЗО],BA204,Линии[Щит],A204),"")</f>
        <v/>
      </c>
      <c r="CZ204">
        <f t="shared" si="444"/>
        <v>30</v>
      </c>
      <c r="DA204">
        <f t="shared" si="445"/>
        <v>30</v>
      </c>
      <c r="DB204">
        <f>IF(B204="",0,IFERROR(--_xlfn.XLOOKUP(B204,Коды_код,Коды_минавт),IFERROR(--_xlfn.XLOOKUP(BC204,Коды_код,Коды_минавт),IFERROR(--_xlfn.XLOOKUP(LEFT(BC204,2),Коды_код,Коды_минавт),0))))</f>
        <v>16</v>
      </c>
      <c r="DC204" t="str">
        <f>IF(B204="","",IFERROR(_xlfn.XLOOKUP(BC204,Коды_код,Коды_апп)&amp;"",""))</f>
        <v/>
      </c>
      <c r="DD204" t="str">
        <f t="shared" si="446"/>
        <v/>
      </c>
      <c r="DE204" t="str" cm="1">
        <f t="array" ref="DE204">IF(TRIM(DD204&amp;"")="","",IFERROR(TRIM(INDEX(_xlfn.TEXTSPLIT(DD204&amp;";;;",";"),1)),""))</f>
        <v/>
      </c>
      <c r="DF204" t="str" cm="1">
        <f t="array" ref="DF204">IF(TRIM(DD204&amp;"")="","",IFERROR(TRIM(INDEX(_xlfn.TEXTSPLIT(DD204&amp;";;;",";"),2)),""))</f>
        <v/>
      </c>
      <c r="DG204" t="str" cm="1">
        <f t="array" ref="DG204">IF(TRIM(DD204&amp;"")="","",IFERROR(TRIM(INDEX(_xlfn.TEXTSPLIT(DD204&amp;";;;",";"),3)),""))</f>
        <v/>
      </c>
      <c r="DH204">
        <f t="shared" si="447"/>
        <v>0</v>
      </c>
      <c r="DI204" t="str">
        <f>IF(B204="","",_xlfn.LET(_xlpm.t,LOWER(AZ204&amp;""),IF(ISNUMBER(SEARCH("dim",_xlpm.t)),"DIM",IF(ISNUMBER(SEARCH("dali",_xlpm.t)),"DALI",IF(OR(ISNUMBER(SEARCH("relay",_xlpm.t)),ISNUMBER(SEARCH("реле",_xlpm.t))),"Relay",IF(ISNUMBER(SEARCH("кнопк",_xlpm.t)),"",IFERROR(_xlfn.XLOOKUP(BC204,Коды_код,Коды_упр)&amp;"","")))))))</f>
        <v/>
      </c>
      <c r="DJ204" t="str">
        <f t="shared" si="448"/>
        <v/>
      </c>
      <c r="DK204">
        <f>IF(B204="","",_xlfn.LET(_xlpm.ig,IF(N(CX204)&gt;0,N(CX204),N(CI204)+IF(AJ204="вручную",0,N(CJ204))),_xlpm.n0,IFERROR(VLOOKUP(_xlpm.ig,Автомат_номиналы,2,TRUE),0),_xlpm.mn,MAX(DB204,IF(AJ204="вручную",0,N(CM204))),MAX(_xlpm.n0,_xlpm.mn,IF(DH204=1,Мин_автомат_БП,0))))</f>
        <v>16</v>
      </c>
      <c r="DL204">
        <f t="shared" si="449"/>
        <v>1</v>
      </c>
      <c r="DM204" t="str">
        <f t="shared" si="450"/>
        <v>2P</v>
      </c>
      <c r="DN204" t="str">
        <f>_xlfn.LET(_xlpm.cc,UPPER(TRIM(IFERROR(_xlfn.XLOOKUP(BC204,Коды_код,Коды_хар)&amp;"",""))),IF(OR(_xlpm.cc="B",_xlpm.cc="В"),"B",IF(_xlpm.cc="D","D","С")))</f>
        <v>С</v>
      </c>
      <c r="DO204" t="str">
        <f t="shared" si="451"/>
        <v>2P С16А 30мА</v>
      </c>
      <c r="DP204" t="str">
        <f t="shared" si="452"/>
        <v>2P С16А 30мА</v>
      </c>
      <c r="DQ204" t="str">
        <f t="shared" si="453"/>
        <v>2P С16А 30мА</v>
      </c>
      <c r="DR204" cm="1">
        <f t="array" ref="DR204">IF(DQ204="","",_xlfn.LET(_xlpm.t,SUBSTITUTE(SUBSTITUTE(SUBSTITUTE(UPPER(DQ204),"С","C"),"А","A"),"В","B"),_xlpm.tk,_xlfn.TEXTSPLIT(_xlpm.t," "),_xlpm.f,_xlfn._xlws.FILTER(_xlpm.tk,ISNUMBER(--MID(_xlpm.tk,2,1))*ISNUMBER(SEARCH(LEFT(_xlpm.tk,1)&amp;"#","B#C#D#"))*(LEN(_xlpm.tk)&gt;1),""),_xlpm.x,INDEX(_xlpm.f,1),IFERROR(--SUBSTITUTE(MID(_xlpm.x,2,9),"A",""),IFERROR(--SUBSTITUTE(INDEX(_xlfn._xlws.FILTER(_xlpm.tk,ISNUMBER(--SUBSTITUTE(_xlpm.tk,"A","")),""),1),"A",""),""))))</f>
        <v>16</v>
      </c>
      <c r="DS204" t="str">
        <f t="shared" si="454"/>
        <v>ok</v>
      </c>
      <c r="DT204">
        <f t="shared" si="455"/>
        <v>16</v>
      </c>
      <c r="DU204" t="str">
        <f t="shared" si="456"/>
        <v>2P С16А 30мА</v>
      </c>
      <c r="DV204">
        <f t="shared" si="457"/>
        <v>30</v>
      </c>
      <c r="DW204">
        <f t="shared" si="458"/>
        <v>1</v>
      </c>
      <c r="DX204">
        <f t="shared" si="459"/>
        <v>0</v>
      </c>
      <c r="DY204">
        <f t="shared" si="460"/>
        <v>0.27348170645824377</v>
      </c>
      <c r="DZ204">
        <f t="shared" si="461"/>
        <v>1</v>
      </c>
      <c r="EA204">
        <f>IF(ISNUMBER(AP204),AP204,К_прокл)</f>
        <v>1</v>
      </c>
      <c r="EB204">
        <f t="shared" si="462"/>
        <v>2</v>
      </c>
      <c r="EC204">
        <f>IFERROR(N(VLOOKUP(BZ204,Кабель_обозначение,3,FALSE)),1)</f>
        <v>1</v>
      </c>
      <c r="ED204">
        <f>IFERROR(N(_xlfn.XLOOKUP(A204,Щиты[Щит],Щиты[ΔU до шин, %])),0)</f>
        <v>0.43</v>
      </c>
      <c r="EE204" t="str">
        <f>IFERROR(_xlfn.XLOOKUP(A204,Щиты[Щит],Щиты[Zпетли на шинах, Ом]),"")</f>
        <v/>
      </c>
      <c r="EF204">
        <f>IFERROR(N(_xlfn.XLOOKUP(A204,Щиты[Щит],Щиты[ΔU до шин (подбор), %])),0)</f>
        <v>0.43</v>
      </c>
      <c r="EG204" t="str">
        <f>IFERROR(_xlfn.XLOOKUP(A204,Щиты[Щит],Щиты[Zпетли на шинах (подбор), Ом]),"")</f>
        <v/>
      </c>
      <c r="EH204" t="str">
        <f t="shared" si="463"/>
        <v/>
      </c>
      <c r="EI204">
        <f t="shared" si="464"/>
        <v>22</v>
      </c>
      <c r="EJ204">
        <f t="shared" si="465"/>
        <v>2</v>
      </c>
      <c r="EK204">
        <f t="shared" si="466"/>
        <v>0.31</v>
      </c>
      <c r="EL204" s="6">
        <f>IF(B204="","",IF(BV204=1,dU_LED,IF(IFERROR(_xlfn.XLOOKUP(BC204,Коды_код,Коды_уго),"")="Светильник",3,4)+IF(Методика="нормы 2026",MIN(0.5,MAX(0,N(P204)-100)*0.005),0)))</f>
        <v>4</v>
      </c>
      <c r="EM204" cm="1">
        <f t="array" ref="EM204">IF(OR(B204="",BZ204="",EC204&lt;&gt;1),"",_xlfn.LET(_xlpm.sz,Iдоп_S,_xlpm.t_,CHOOSE(EB204,Iдоп_1ж,Iдоп_2ж,Iдоп_3ж)*DZ204*EA204,_xlpm.dcx,BV204=1,_xlpm.inn,IF(_xlpm.dcx,N(O204),N(DT204)),_xlpm.smin,MAX(1.5,CC204),_xlpm.L_,N(P204)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204)/N(BU204)*100,999),IFERROR(N(EJ204)*(_xlpm.rho*_xlpm.L_/_xlpm.sz*N(CE204)+_xlpm.xx*_xlpm.L_*N(EK204)/1000)*N(O204)/((Uн_лин/SQRT(3))*1000)*100,999)),_xlpm.kz,IF(OR(_xlpm.dcx,DW204=1,NOT(ISNUMBER(EG204)),_xlpm.L_=0,_xlpm.inn=0),1,IFERROR(--(c_min*(Uн_лин*1000/SQRT(3))/(EG204+2*ρкз_Cu*_xlpm.L_/_xlpm.sz)&gt;=HT204*_xlpm.inn),0)),_xlpm.ok,IFERROR((_xlpm.sz&gt;=_xlpm.smin)*(_xlpm.t_&gt;=_xlpm.inn)*IF(_xlpm.L_&gt;0,(_xlpm.du_+IF(_xlpm.dcx,0,EF204)&lt;=EL204+0.00001),1)*_xlpm.kz,0),_xlpm.r_,_xlfn._xlws.FILTER(_xlpm.sz,_xlpm.ok,"не подобрано"),INDEX(_xlpm.r_,1)))</f>
        <v>1.5</v>
      </c>
      <c r="EN204">
        <f t="shared" si="467"/>
        <v>2.5</v>
      </c>
      <c r="EO204" cm="1">
        <f t="array" ref="EO204">IF(OR(B204="",BZ204="",EC204&lt;&gt;1),"",_xlfn.LET(_xlpm.sz,Iдоп_S,_xlpm.t_,CHOOSE(EB204,Iдоп_1ж,Iдоп_2ж,Iдоп_3ж)*DZ204*EA204,_xlpm.ok,IFERROR((_xlpm.sz&gt;=MAX(1.5,CC204))*(_xlpm.t_&gt;=N(DT204)),0),_xlpm.r_,_xlfn._xlws.FILTER(_xlpm.sz,_xlpm.ok,""),INDEX(_xlpm.r_,1)))</f>
        <v>1.5</v>
      </c>
      <c r="EP204" s="6" cm="1">
        <f t="array" ref="EP204">IFERROR(ROUNDUP(N(EJ204)*(_xlfn.XLOOKUP(EO204,INDEX(Кабель_сопротивление,0,1),INDEX(Кабель_сопротивление,0,3))*N(P204)/EO204*N(CE204)+_xlfn.XLOOKUP(EO204,INDEX(Кабель_сопротивление,0,1),INDEX(Кабель_сопротивление,0,2))*N(P204)*N(EK204)/1000)*N(O204)/((Uн_лин/SQRT(3))*1000)*100,2),"")</f>
        <v>0.09</v>
      </c>
      <c r="EQ204">
        <f>IFERROR(2*ρкз_Cu*N(P204)/EO204,"")</f>
        <v>0.87666666666666659</v>
      </c>
      <c r="ER204">
        <f>IFERROR(VLOOKUP(EN204,Кабель_сопротивление,3,FALSE),"")</f>
        <v>2.2499999999999999E-2</v>
      </c>
      <c r="ES204">
        <f>IFERROR(VLOOKUP(EN204,Кабель_сопротивление,2,FALSE),"")</f>
        <v>0.1</v>
      </c>
      <c r="ET204">
        <f t="shared" si="468"/>
        <v>17</v>
      </c>
      <c r="EU204">
        <f t="shared" si="469"/>
        <v>0</v>
      </c>
      <c r="EV204">
        <f t="shared" si="470"/>
        <v>0.11733732615590949</v>
      </c>
      <c r="EW204" s="6">
        <f>IFERROR(ROUNDUP(EV204/IF(BV204=1,BU204,(Uн_лин/SQRT(3))*1000)*100,2),"")</f>
        <v>6.0000000000000005E-2</v>
      </c>
      <c r="EX204" t="str">
        <f>IFERROR(VLOOKUP(BZ204,Кабель_обозначение,2,FALSE),"")</f>
        <v>ВВГнг(А)-LS</v>
      </c>
      <c r="EY204" t="str">
        <f t="shared" si="471"/>
        <v>ВВГнг(А)-LS (3х2,5)</v>
      </c>
      <c r="EZ204" t="str">
        <f t="shared" si="472"/>
        <v>ВВГнг(А)-LS (3х2,5)
L=25-0,06%</v>
      </c>
      <c r="FA204">
        <f>IFERROR(2*ρкз_Cu*P204/EN204,"")</f>
        <v>0.52600000000000002</v>
      </c>
      <c r="FB204">
        <f t="shared" si="473"/>
        <v>0.17500000000000002</v>
      </c>
      <c r="FC204" s="6" t="str">
        <f>IFERROR(IF(OR(B204="",BV204=1,NOT(ISNUMBER(EN204)),N(P204)=0),"",_xlfn.XLOOKUP(A204,Щиты[Щит],Щиты[Zпетли на шинах, Ом])+FA204),"")</f>
        <v/>
      </c>
      <c r="FD204" s="6" t="str">
        <f>IF(ISNUMBER(FC204),c_min*(Uн_лин*1000/SQRT(3))/FC204,"")</f>
        <v/>
      </c>
      <c r="FE204" s="6" t="str">
        <f>IFERROR(IF(OR(B204="",NOT(ISNUMBER(EN204))),"",1.05*(Uн_лин*1000/SQRT(3))/(_xlfn.XLOOKUP(A204,Щиты[Щит],Щиты[Zmax на шинах, Ом])+FB204)/1000),"")</f>
        <v/>
      </c>
      <c r="FF204" s="6" t="str">
        <f>IF(B204="","",IF(ISNUMBER(AC204),"Сил",IF(IFERROR(_xlfn.XLOOKUP(BC204,Коды_код,Коды_группа)&amp;"","")="","Быт",_xlfn.XLOOKUP(BC204,Коды_код,Коды_группа)&amp;"")))</f>
        <v>Быт</v>
      </c>
      <c r="FG204" s="6" t="str">
        <f t="shared" si="474"/>
        <v>Быт</v>
      </c>
      <c r="FH204" s="6">
        <f>IF(FG204="Щит","щит",IF(FG204="","",IF(FG204="Быт",IFERROR(_xlfn.XLOOKUP(A204,Щиты[Щит],Щиты[Кс быт]),1),IF(FG204="Сил",IF(ISNUMBER(AC204),AC204,IF(Методика="нормы 2026",IFERROR(_xlfn.XLOOKUP(A204,Щиты[Щит],Щиты[Кс силовых (табл. 7.5)]),1),1)),IF(OR(FG204="Пост",FG204="Отоп"),1,IF(FG204="ВНГ",0.7,0))))))</f>
        <v>0.79799999999999993</v>
      </c>
      <c r="FI204">
        <f>IF(FG204="","",IF(AND(BP204=1,TRIM(AE204&amp;"")=""),IF(COUNTIFS(Линии[Щит],A204,Линии[Секция (1/2/3)],"&gt;=2")&gt;0,MIN(3,MAX(1,IFERROR(--BD204,1))),1),IFERROR(MIN(3,MAX(1,INT(--AE204))),1)))</f>
        <v>1</v>
      </c>
      <c r="FJ204">
        <f t="shared" si="475"/>
        <v>0.06</v>
      </c>
      <c r="FK204">
        <f t="shared" si="476"/>
        <v>0.06</v>
      </c>
      <c r="FL204">
        <f t="shared" si="477"/>
        <v>0</v>
      </c>
      <c r="FM204">
        <f t="shared" si="478"/>
        <v>0</v>
      </c>
      <c r="FN204">
        <f t="shared" si="479"/>
        <v>0</v>
      </c>
      <c r="FO204">
        <f t="shared" si="480"/>
        <v>0</v>
      </c>
      <c r="FP204">
        <f t="shared" si="481"/>
        <v>0.06</v>
      </c>
      <c r="FQ204">
        <f t="shared" si="482"/>
        <v>0.06</v>
      </c>
      <c r="FR204">
        <f t="shared" si="483"/>
        <v>5.6999999999999995E-2</v>
      </c>
      <c r="FS204">
        <f>IF(CG204=1,IF(AND(CH204=1,CW204=1),0,IF(AND(CS204&lt;&gt;"",CS204=BA204,CW204=1),SUMIFS(Линии[_Р линии, кВт],Линии[_блок УЗО],BA204,Линии[Щит],A204),N(BS204)+IF(AJ204="вручную",0,N(CK204)))),0)</f>
        <v>0.06</v>
      </c>
      <c r="FT204" t="str">
        <f t="shared" si="484"/>
        <v>L1</v>
      </c>
      <c r="FU204" t="str">
        <f>IF(B204="","",IF(CG204=0,IF(BA204=1,"",FW203),IF(AND(CH204=1,CW204=1,CS204&lt;&gt;""),IFERROR(_xlfn.XLOOKUP(CS204,Линии[_n],Линии[_фаза итог]),"L1"),IF(OR(N(DL204)&gt;=3,N(BX204)&gt;=3),"L1,L2,L3",IFERROR(_xlfn.TEXTBEFORE(_xlfn.TEXTAFTER(_xlfn.XLOOKUP(A204,Щиты[Щит],Щиты[_фазы авто]),";"&amp;BA204&amp;":"),";"),"L1")))))</f>
        <v>L1</v>
      </c>
      <c r="FV204" t="str">
        <f t="shared" si="485"/>
        <v>L1</v>
      </c>
      <c r="FW204" t="str">
        <f t="shared" si="486"/>
        <v>L1</v>
      </c>
      <c r="FX204" cm="1">
        <f t="array" ref="FX204">IFERROR(IF(CD204=2,_xlfn.IFS(BX204=3,VLOOKUP(BS204,Справочная_двигатели,3,FALSE),BX204=1,VLOOKUP(BS204,Справочная_двигатели,5,TRUE)),0),0)</f>
        <v>0</v>
      </c>
      <c r="FY204">
        <f>IFERROR(IF(CD204=3,VLOOKUP(BS204,Справочная_ЛЭД,2,TRUE),0),0)</f>
        <v>0</v>
      </c>
      <c r="FZ204" s="6">
        <f t="shared" si="487"/>
        <v>0</v>
      </c>
      <c r="GA204" t="str">
        <f>IF(B204="","",IF(TRIM(AH204&amp;"")&lt;&gt;"",IF(LOWER(TRIM(AH204&amp;""))="да","да","нет"),IF(IFERROR(_xlfn.XLOOKUP(BC204,Коды_код,Коды_пожарная),"")="да","да","нет")))</f>
        <v>нет</v>
      </c>
      <c r="GB204" t="str">
        <f t="shared" si="488"/>
        <v/>
      </c>
      <c r="GC204" t="str">
        <f t="shared" si="489"/>
        <v>основная</v>
      </c>
      <c r="GD204">
        <f>IF(AND(BP204=1,TRIM(AE204&amp;"")=""),IF(COUNTIFS(Линии[Щит],A204,Линии[Секция (1/2/3)],"&gt;=2")&gt;0,MIN(3,MAX(1,IFERROR(--BD204,1))),1),IFERROR(MIN(3,MAX(1,INT(--AE204))),1))</f>
        <v>1</v>
      </c>
      <c r="GE204" t="str" cm="1">
        <f t="array" ref="GE204">IF(B204="","",_xlfn.LET(_xlpm.t,IFERROR(_xlfn.XLOOKUP(1,(Шины[Шина]=GC204)*(((Шины[Щит]=A204)+(Шины[Щит]=""))&gt;0),Шины[Тип]),"")&amp;"",IF(_xlpm.t&lt;&gt;"",_xlpm.t,IF(ISNUMBER(SEARCH("ИБП",GC204)),"ИБП",IF(ISNUMBER(SEARCH("ДГУ",GC204)),"ДГУ","Ввод "&amp;GD204)))))</f>
        <v>Ввод 1</v>
      </c>
      <c r="GF204" t="str">
        <f t="shared" si="490"/>
        <v>Ввод 1</v>
      </c>
      <c r="GG204" t="str">
        <f>IF(BP204=0,"",IF(TRIM(AG204&amp;"")&lt;&gt;"",TRIM(AG204&amp;""),IF(OR(GE204="ИБП",GE204="ДГУ"),"I особая",_xlfn.XLOOKUP(A204,Щиты[Щит],Щиты[Категория шины «Ввод»],"III"))))</f>
        <v/>
      </c>
      <c r="GH204" t="str">
        <f>IF(A204="","",_xlfn.XLOOKUP(A204,Щиты[Щит],Щиты[Путь],""))</f>
        <v>|ГРЩ-ЖД|ЩР-01|</v>
      </c>
      <c r="GI204" t="str">
        <f>IF(B204="","",IF(AI204&lt;&gt;"",AI204,IF(IFERROR(_xlfn.XLOOKUP(BC204,Коды_код,Коды_вид)&amp;"","")="","Прочее",_xlfn.XLOOKUP(BC204,Коды_код,Коды_вид)&amp;"")))</f>
        <v>Розеточная сеть и бытовые приборы</v>
      </c>
      <c r="GJ204">
        <f>IF(BM204="","",INT((BM204-1)/Столбцов_на_лист)+1)</f>
        <v>2</v>
      </c>
      <c r="GK204" t="str">
        <f t="shared" si="491"/>
        <v>ВВГнг(А)-LS (3х2,5) L=25-0,06%</v>
      </c>
      <c r="GL204">
        <f t="shared" si="492"/>
        <v>0.06</v>
      </c>
      <c r="GM204">
        <f t="shared" si="493"/>
        <v>0.28000000000000003</v>
      </c>
      <c r="GN204">
        <f t="shared" si="494"/>
        <v>1</v>
      </c>
      <c r="GO204">
        <f t="shared" si="495"/>
        <v>0</v>
      </c>
      <c r="GP204">
        <f t="shared" si="496"/>
        <v>1</v>
      </c>
      <c r="GQ204">
        <f>IF(BM204="","",IF(AND(CG204=1,GP204=1),COUNTIFS(A$3:A204,A204,CG$3:CG204,1,GP$3:GP204,1),IF(OR(OR(BA204=1,A204&lt;&gt;A203),AJ204="вручную",GP204=0),"",IF(BA204=1,"",GR203))))</f>
        <v>20</v>
      </c>
      <c r="GR204">
        <f t="shared" si="497"/>
        <v>20</v>
      </c>
      <c r="GS204">
        <f>IF(B204="","",IFERROR(LOOKUP(INDEX(CHOOSE(EB204,Iдоп_1ж,Iдоп_2ж,Iдоп_3ж),MATCH(EN204,Iдоп_S,0))*DZ204*EA204,{6,10,16,20,25,32,40,50,63,80,100,125,160,200,250,315,400,500,630}),""))</f>
        <v>25</v>
      </c>
      <c r="GT204" t="str">
        <f t="shared" si="498"/>
        <v>QFD20</v>
      </c>
      <c r="GU204" t="str">
        <f t="shared" si="499"/>
        <v>QFD20</v>
      </c>
      <c r="GV204" t="str">
        <f t="shared" si="500"/>
        <v/>
      </c>
      <c r="GW204">
        <f t="shared" si="501"/>
        <v>0</v>
      </c>
      <c r="GX204" t="str">
        <f>IF(OR(B204="",DJ204=""),"",IFERROR(_xlfn.XLOOKUP(DJ204,Модули_умолч[Управление],Модули_умолч[Модель])&amp;"",""))</f>
        <v/>
      </c>
      <c r="GY204">
        <f>IF(DJ204="",1,IFERROR(MAX(0,N(_xlfn.XLOOKUP(DJ204,Модули_умолч[Управление],Модули_умолч[Каналов на линию]))),1))</f>
        <v>1</v>
      </c>
      <c r="GZ204" t="str">
        <f t="shared" si="502"/>
        <v/>
      </c>
      <c r="HA204" t="str">
        <f t="shared" si="503"/>
        <v/>
      </c>
      <c r="HB204" t="str">
        <f t="shared" si="504"/>
        <v/>
      </c>
      <c r="HC204">
        <f>IF(HB204="",0,IFERROR(N(VLOOKUP(HB204,Модули_спр,3,FALSE)),0))</f>
        <v>0</v>
      </c>
      <c r="HD204" t="str">
        <f t="shared" si="505"/>
        <v/>
      </c>
      <c r="HE204" t="str">
        <f t="shared" si="506"/>
        <v/>
      </c>
      <c r="HF204" t="str">
        <f>IF(OR(HE204="",HE204="-"),"",IFERROR(VLOOKUP(HE204,Модули_спр,2,FALSE),"R"))</f>
        <v/>
      </c>
      <c r="HG204" t="str">
        <f>IF(HF204="","",HF204&amp;"."&amp;COUNTIFS(A$3:A204,A204,HF$3:HF204,HF204))</f>
        <v/>
      </c>
      <c r="HH204" t="str">
        <f t="shared" si="507"/>
        <v/>
      </c>
      <c r="HI204" t="str">
        <f t="shared" si="508"/>
        <v/>
      </c>
      <c r="HJ204" t="str">
        <f t="shared" si="509"/>
        <v/>
      </c>
      <c r="HK204" t="str">
        <f t="shared" si="510"/>
        <v/>
      </c>
      <c r="HL204">
        <f t="shared" si="511"/>
        <v>1</v>
      </c>
      <c r="HM204" t="str">
        <f>IF(HL204=1,"XT"&amp;COUNTIFS(A$3:A204,A204,HL$3:HL204,1),"")</f>
        <v>XT20</v>
      </c>
      <c r="HN204" t="str">
        <f t="shared" si="512"/>
        <v/>
      </c>
      <c r="HO204" t="str">
        <f t="shared" si="513"/>
        <v>QFD20</v>
      </c>
      <c r="HP204" t="str">
        <f t="shared" si="514"/>
        <v/>
      </c>
      <c r="HQ204" t="str">
        <f t="shared" si="515"/>
        <v>ok</v>
      </c>
      <c r="HR204" t="str">
        <f>IF(OR(HJ204="",HH204=""),"",IF(HJ204+MAX(0,GY204-1)&gt;IFERROR(VLOOKUP(HI204,Модули_спр,3,FALSE),99),"ЛИШНИЙ КАНАЛ",IF(AND(AL204&lt;&gt;"=",GY204&gt;0,COUNTIFS(Линии[_модуль гр.],HH204,Линии[Канал (итог)],HJ204,Линии[Канал],"&lt;&gt;=",Линии[Щит],A204)&gt;1),"ДУБЛЬ КАНАЛА","")))</f>
        <v/>
      </c>
      <c r="HS204" s="6" t="str">
        <f t="shared" si="516"/>
        <v/>
      </c>
      <c r="HT204">
        <f t="shared" si="517"/>
        <v>10</v>
      </c>
      <c r="HU204" t="str">
        <f t="shared" si="518"/>
        <v/>
      </c>
      <c r="HV204">
        <f t="shared" si="519"/>
        <v>0.35939268258329748</v>
      </c>
      <c r="HW204">
        <f t="shared" si="520"/>
        <v>0</v>
      </c>
      <c r="HX204">
        <f t="shared" si="521"/>
        <v>0</v>
      </c>
      <c r="HY204">
        <f t="shared" si="522"/>
        <v>0</v>
      </c>
      <c r="HZ204">
        <f t="shared" si="523"/>
        <v>0</v>
      </c>
      <c r="IA204">
        <f t="shared" si="524"/>
        <v>0</v>
      </c>
      <c r="IB204">
        <f t="shared" si="525"/>
        <v>0</v>
      </c>
      <c r="IC204" t="str">
        <f t="shared" si="526"/>
        <v/>
      </c>
      <c r="ID204" t="str" cm="1">
        <f t="array" ref="ID204">IF(IC204="","",_xlfn.LET(_xlpm.tk,_xlfn.TEXTSPLIT(SUBSTITUTE(SUBSTITUTE(IC204,";"," "),"→"," ")," ",,TRUE),_xlpm.w_,_xlfn._xlws.FILTER(_xlpm.tk,ISNUMBER(--LEFT(_xlpm.tk,1))*((ISNUMBER(SEARCH("W",_xlpm.tk))+ISNUMBER(SEARCH("Вт",_xlpm.tk)))&gt;0),""),IFERROR(--SUBSTITUTE(SUBSTITUTE(UPPER(INDEX(_xlpm.w_,1)),"W",""),"ВТ",""),"")))</f>
        <v/>
      </c>
      <c r="IE204" t="str" cm="1">
        <f t="array" ref="IE204">IF(IC204="","",_xlfn.LET(_xlpm.tk,_xlfn.TEXTSPLIT(SUBSTITUTE(SUBSTITUTE(IC204,";"," "),"→"," ")," ",,TRUE),_xlpm.v_,_xlfn._xlws.FILTER(_xlpm.tk,ISNUMBER(--LEFT(_xlpm.tk,1))*((ISNUMBER(SEARCH("V",_xlpm.tk))+(RIGHT(UPPER(_xlpm.tk))="В"))&gt;0),""),IFERROR(--SUBSTITUTE(SUBSTITUTE(UPPER(INDEX(_xlpm.v_,1)),"V",""),"В",""),"")))</f>
        <v/>
      </c>
      <c r="IF204" s="6" t="str">
        <f>IF(OR(BV204=0,HI204="",HJ204=""),"",IFERROR(N(_xlfn.XLOOKUP(HI204,Каталог!$C$4:$C$500,Каталог!$Q$4:$Q$500)),""))</f>
        <v/>
      </c>
      <c r="IG204" s="6" t="str">
        <f>IF(N(IF204)=0,"",SUMIFS(Линии[Iр, А],Линии[Щит],A204,Линии[_модуль гр.],HH204,Линии[Канал (итог)],HJ204))</f>
        <v/>
      </c>
      <c r="IH204" t="str">
        <f>IF(AND(B204="",HO204=""),"",_xlfn.TEXTJOIN("; ",TRUE,IF(AND(B204&lt;&gt;"",FV204=""),"нет фазы",""),IF(AND(B204&lt;&gt;"",N(GL204)=0,FG204&lt;&gt;"Нет"),"нет мощности",""),IF(AND(HN204&lt;&gt;"",COUNTIFS(Линии[Щит],A204,Линии[Клемма (итог)],HN204)&gt;1),"дубль клеммы "&amp;HN204,""),IF(AND(HQ204&lt;&gt;"",HQ204&lt;&gt;"ok"),HQ204,""),IF(HR204&lt;&gt;"",HR204,""),IF(AND(N(CB204)&gt;=4,N(BX204)=1),CB204&amp;" жил на 1 фазе",""),IF(AND(BC204="R",CG204=1,IF(CS204&lt;&gt;"",N(CV204)&gt;30,OR(N(DA204)=0,N(DA204)&gt;30))),"розетка без дифзащиты до 30 мА",""),IF(AND(CG204=1,N(DA204)&gt;0,ISNUMBER(T204)),IF(T204&gt;N(DA204)/3,"ток утечки "&amp;FIXED(T204,1)&amp;" мА &gt; 1/3 уставки ("&amp;DA204&amp;" мА)",""),""),IF(AND(CH204=1,CS204=""),"«узо»: нет строки с УЗО выше (УЗО 2P 40А 30мА в «Аппаратах»)",""),IF(AND(CS204&lt;&gt;"",CS204=BA204),IF(CT204="","впишите номинал УЗО (УЗО 2P 40А 30мА)",IF(N(CT204)&lt;N(DT204),"УЗО "&amp;CT204&amp;" А &lt; автомата "&amp;DT204&amp;" А перед ним",IF(N(CT204)&lt;N(CX204),"УЗО "&amp;CT204&amp;" А &lt; тока блока "&amp;FIXED(CX204,1)&amp;" А",""))),""),IF(AND(CS204&lt;&gt;"",CS204=BA204,ISNUMBER(CY204)),IF(CY204&gt;N(CV204)/3,"ток утечки блока УЗО "&amp;FIXED(CY204,1)&amp;" мА &gt; 1/3 уставки ("&amp;CV204&amp;" мА)",""),""),IF(AND(CG204=1,N(BV204)+N(IB204)&gt;0,IC204=""),"линии до 50 В без БП: впишите в «Аппараты» (БП 24V 480W)",""),IF(AND(CG204=1,ISNUMBER(ID204),ISNUMBER(U204)),IF(U204&gt;ID204,"БП "&amp;ID204&amp;" Вт &lt; нужно "&amp;U204&amp;" Вт (×"&amp;Запас_БП&amp;")",""),""),IF(AND(CG204=1,ISNUMBER(IE204),N(BV204)=1),IF(IE204&lt;&gt;N(BU204),"БП на "&amp;IE204&amp;" В, линия "&amp;BU204&amp;" В",""),""),IF(AND(N(IF204)&gt;0,N(IG204)&gt;N(IF204)),HH204&amp;" канал "&amp;HJ204&amp;": "&amp;FIXED(IG204,1)&amp;" А &gt; "&amp;IF204&amp;" А",""),IFERROR(IF(AND(ISNUMBER(Q204),Q204&gt;EL204),"потери "&amp;FIXED(Q204,1)&amp;" % &gt; "&amp;EL204&amp;" %",""),""),IFERROR(IF(LEFT(HU204,4)="мало","Iкз мало — отключение &gt; 0,4 с",""),""),IF(AND(B204&lt;&gt;"",BM204=""),"не на схеме",""),IF(AND(CG204=0,B204&lt;&gt;"",FV204&lt;&gt;"",IF(BA204=1,"",FW203)&lt;&gt;"",FV204&lt;&gt;IF(BA204=1,"",FW203)),"фаза не как у автомата группы ("&amp;IF(BA204=1,"",FW203)&amp;")","")))</f>
        <v/>
      </c>
      <c r="II204" s="6">
        <f>IF(OR(CG204=0,DQ204=""),"",_xlfn.LET(_xlpm.t,IFERROR(_xlfn.XLOOKUP(DQ204,Каталог!$U$4:$U$500,Каталог!$G$4:$G$500),""),_xlpm.k,SEARCH("кА",_xlpm.t),IFERROR(--TRIM(RIGHT(SUBSTITUTE(MID(_xlpm.t,MAX(1,_xlpm.k-4),_xlpm.k-MAX(1,_xlpm.k-4))," ",REPT(" ",9)),5)),"")))</f>
        <v>6</v>
      </c>
      <c r="IJ204" t="str">
        <f>IF(OR(II204="",CG204=0),"",IF(_xlfn.XLOOKUP(A204,Щиты[Щит],Щиты[Iкз max на шинах, кА],"")="","",IF(II204&lt;_xlfn.XLOOKUP(A204,Щиты[Щит],Щиты[Iкз max на шинах, кА]),"Icu "&amp;II204&amp;" кА &lt; Iкз max","ok")))</f>
        <v/>
      </c>
      <c r="IK204" t="str">
        <f t="shared" si="527"/>
        <v/>
      </c>
      <c r="IL204" t="str">
        <f t="shared" si="528"/>
        <v>QFD20</v>
      </c>
      <c r="IM204" t="str">
        <f t="shared" si="529"/>
        <v>QFD20|кабель ВВГнг(А)-LS (3х2,5) → Розеточная группа, пом. 011</v>
      </c>
      <c r="IN204" t="str" cm="1">
        <f t="array" ref="IN204">IF(IM204="","",_xlfn.LET(_xlpm.nd,_xlfn.TEXTSPLIT(IM204,"|"),IF(COLUMNS(_xlpm.nd)&gt;1,A204&amp;"¦"&amp;INDEX(_xlpm.nd,1)&amp;"¦"&amp;INDEX(_xlpm.nd,2),"")))</f>
        <v>ЩР-01¦QFD20¦кабель ВВГнг(А)-LS (3х2,5) → Розеточная группа, пом. 011</v>
      </c>
      <c r="IO204" t="str">
        <f t="shared" si="530"/>
        <v>R.0.011.1A¦Розеточная группа, пом. 011</v>
      </c>
      <c r="IP204" t="str" cm="1">
        <f t="array" ref="IP204">IF(IM204="","",_xlfn.LET(_xlpm.nd,_xlfn.TEXTSPLIT(IM204,"|"),IF(COLUMNS(_xlpm.nd)&gt;2,A204&amp;"¦"&amp;INDEX(_xlpm.nd,2)&amp;"¦"&amp;INDEX(_xlpm.nd,3),"")))</f>
        <v/>
      </c>
      <c r="IQ204" t="str">
        <f t="shared" si="531"/>
        <v/>
      </c>
      <c r="IR204" t="str" cm="1">
        <f t="array" ref="IR204">IF(IM204="","",_xlfn.LET(_xlpm.nd,_xlfn.TEXTSPLIT(IM204,"|"),IF(COLUMNS(_xlpm.nd)&gt;3,A204&amp;"¦"&amp;INDEX(_xlpm.nd,3)&amp;"¦"&amp;INDEX(_xlpm.nd,4),"")))</f>
        <v/>
      </c>
      <c r="IS204" t="str">
        <f t="shared" si="532"/>
        <v/>
      </c>
      <c r="IT204" t="str" cm="1">
        <f t="array" ref="IT204">IF(IM204="","",_xlfn.LET(_xlpm.nd,_xlfn.TEXTSPLIT(IM204,"|"),IF(COLUMNS(_xlpm.nd)&gt;4,A204&amp;"¦"&amp;INDEX(_xlpm.nd,4)&amp;"¦"&amp;INDEX(_xlpm.nd,5),"")))</f>
        <v/>
      </c>
      <c r="IU204" t="str">
        <f t="shared" si="533"/>
        <v/>
      </c>
      <c r="IV204" t="str" cm="1">
        <f t="array" ref="IV204">IF(IM204="","",_xlfn.LET(_xlpm.nd,_xlfn.TEXTSPLIT(IM204,"|"),IF(COLUMNS(_xlpm.nd)&gt;5,A204&amp;"¦"&amp;INDEX(_xlpm.nd,5)&amp;"¦"&amp;INDEX(_xlpm.nd,6),"")))</f>
        <v/>
      </c>
      <c r="IW204" t="str">
        <f t="shared" si="534"/>
        <v/>
      </c>
      <c r="IX204" t="str" cm="1">
        <f t="array" ref="IX204">IF(IM204="","",_xlfn.LET(_xlpm.nd,_xlfn.TEXTSPLIT(IM204,"|"),IF(COLUMNS(_xlpm.nd)&gt;6,A204&amp;"¦"&amp;INDEX(_xlpm.nd,6)&amp;"¦"&amp;INDEX(_xlpm.nd,7),"")))</f>
        <v/>
      </c>
      <c r="IY204" t="str">
        <f t="shared" si="535"/>
        <v/>
      </c>
      <c r="IZ204" t="str">
        <f t="shared" si="536"/>
        <v/>
      </c>
      <c r="JA204" t="str">
        <f t="shared" si="537"/>
        <v>QFD20</v>
      </c>
      <c r="JB204">
        <f t="shared" si="538"/>
        <v>0</v>
      </c>
      <c r="JC204">
        <f t="shared" si="539"/>
        <v>1</v>
      </c>
      <c r="JD204" t="str">
        <f t="shared" si="540"/>
        <v/>
      </c>
      <c r="JE204" t="str">
        <f t="shared" si="541"/>
        <v/>
      </c>
      <c r="JF204" t="str">
        <f t="shared" si="542"/>
        <v/>
      </c>
      <c r="JG204" t="str">
        <f t="shared" si="543"/>
        <v/>
      </c>
      <c r="JH204" t="str">
        <f>IF(B204="","",IFERROR(_xlfn.XLOOKUP(B204,Коды_код,Коды_уго),IFERROR(_xlfn.XLOOKUP(BC204,Коды_код,Коды_уго),IFERROR(_xlfn.XLOOKUP(LEFT(BC204,2),Коды_код,Коды_уго),""))))</f>
        <v>Розетка</v>
      </c>
      <c r="JI204" t="str">
        <f>IF(B204="","",IF(OR(JH204="",JH204=0),"BOX",IFERROR(IF(VLOOKUP(JH204,УГО_блоки,3,FALSE)&amp;""&lt;&gt;"",VLOOKUP(JH204,УГО_блоки,3,FALSE),VLOOKUP(JH204,УГО_блоки,2,FALSE)),JH204)))</f>
        <v>SOCKET</v>
      </c>
      <c r="JJ204">
        <f t="shared" si="544"/>
        <v>1</v>
      </c>
      <c r="JK204" t="str">
        <f>IF(DQ204="","",IF(COUNTIF(DQ$3:DQ204,DQ204)=1,MAX(JK$2:JK203)+1,""))</f>
        <v/>
      </c>
      <c r="JL204" t="str">
        <f>IF(DE204="","",IF(COUNTIF(DE$3:DE204,DE204)+COUNTIF(DF$2:DF203,DE204)+COUNTIF(DG$2:DG203,DE204)=1,MAX(JL$2:JN203)+1,""))</f>
        <v/>
      </c>
      <c r="JM204" t="str">
        <f>IF(DF204="","",IF(COUNTIF(DE$3:DE204,DF204)+COUNTIF(DF$3:DF204,DF204)+COUNTIF(DG$2:DG203,DF204)=1,MAX(JL$2:JN203,JL204)+1,""))</f>
        <v/>
      </c>
      <c r="JN204" t="str">
        <f>IF(DG204="","",IF(COUNTIF(DE$3:DE204,DG204)+COUNTIF(DF$3:DF204,DG204)+COUNTIF(DG$3:DG204,DG204)=1,MAX(JL$2:JN203,JL204,JM204)+1,""))</f>
        <v/>
      </c>
      <c r="JO204" t="str">
        <f t="shared" si="545"/>
        <v>3х2,5</v>
      </c>
      <c r="JP204" t="str">
        <f>IF(JO204="","",IF(COUNTIF(JO$3:JO204,JO204)=1,MAX(JP$2:JP203)+1,""))</f>
        <v/>
      </c>
      <c r="JQ204" t="str">
        <f>IF(HG204="","",COUNTIF(HG$3:HG204,"?*"))</f>
        <v/>
      </c>
      <c r="JR204" t="str">
        <f>IF(OR(HG204="",HI204=""),"",IF(COUNTIFS(HG$3:HG204,"?*",HI$3:HI204,HI204)=1,MAX(JR$2:JR203)+1,""))</f>
        <v/>
      </c>
      <c r="JS204">
        <f t="shared" si="546"/>
        <v>0</v>
      </c>
      <c r="JT204">
        <f>IF(B204="","",COUNTIF(B$3:B204,"?*"))</f>
        <v>202</v>
      </c>
      <c r="JU204">
        <f>IF(HL204&lt;&gt;1,0,_xlfn.LET(_xlpm.k,MAX(IFERROR(--_xlfn.XLOOKUP(B204,Коды_код,Коды_3L),0),IFERROR(--_xlfn.XLOOKUP(BC204,Коды_код,Коды_3L),0),IFERROR(--_xlfn.XLOOKUP(LEFT(BC204,2),Коды_код,Коды_3L),0)),IF(_xlpm.k&gt;0,_xlpm.k,IF(IFERROR(--LEFT(SUBSTITUTE(JO204,"x","х"),FIND("х",SUBSTITUTE(JO204,"x","х"))-1),3)&gt;3,Каталог!$S$9,1))))</f>
        <v>1</v>
      </c>
      <c r="JV204">
        <f t="shared" si="547"/>
        <v>0</v>
      </c>
      <c r="JW204" t="str">
        <f t="shared" si="548"/>
        <v>авто</v>
      </c>
      <c r="JX204">
        <f t="shared" si="549"/>
        <v>30</v>
      </c>
      <c r="JY204">
        <f t="shared" si="550"/>
        <v>1</v>
      </c>
      <c r="JZ204">
        <f t="shared" si="551"/>
        <v>1</v>
      </c>
    </row>
    <row r="205" spans="1:286" x14ac:dyDescent="0.3">
      <c r="A205" t="s">
        <v>755</v>
      </c>
      <c r="B205" t="s">
        <v>1512</v>
      </c>
      <c r="C205" t="str">
        <f>Линии[[#This Row],[_авто наименование]]</f>
        <v>Розеточная группа, пом. 011Б</v>
      </c>
      <c r="D205">
        <v>1</v>
      </c>
      <c r="E205">
        <v>0.06</v>
      </c>
      <c r="G205" t="str">
        <f>Линии[[#This Row],[_авто автомат]]</f>
        <v>2P С16А 30мА</v>
      </c>
      <c r="H205" t="str">
        <f>Линии[[#This Row],[_авто управление]]</f>
        <v/>
      </c>
      <c r="I205" t="str">
        <f>Линии[[#This Row],[_авто аппараты]]</f>
        <v/>
      </c>
      <c r="J205">
        <v>2.5</v>
      </c>
      <c r="K205">
        <v>28</v>
      </c>
      <c r="L205">
        <v>2</v>
      </c>
      <c r="M205" t="s">
        <v>484</v>
      </c>
      <c r="N205" t="str">
        <f t="shared" si="414"/>
        <v/>
      </c>
      <c r="O205" s="6" cm="1">
        <f t="array" ref="O205">IF(B205="","",IF(BH205&lt;&gt;"",IFERROR(_xlfn.XLOOKUP(BH205,Щиты[Щит],Щиты[Iр, А]),""),IF(BP205=1,IF(OR(N(_xlfn.XLOOKUP(A205,Щиты[Щит],Щиты[Вводов],1))&lt;=1,LOWER(TRIM(_xlfn.XLOOKUP(A205,Щиты[Щит],Щиты[АВР],"")&amp;""))="да"),IFERROR(_xlfn.XLOOKUP(A205,Щиты[Щит],Щиты[Iр, А]),""),IFERROR(N(BS205)*_xlfn.XLOOKUP(A205,Щиты[Щит],Щиты[Кс итог])/(SQRT(3)*Uн_лин*_xlfn.XLOOKUP(A205,Щиты[Щит],Щиты[cos φ])),"")),IF(BV205=1,IFERROR(BS205*1000/BU205,""),IFERROR(_xlfn.IFS(BX205=1,BS205/((Uн_лин/SQRT(3))*CE205),BX205=3,BS205/(SQRT(3)*Uн_лин*CE205)),"")))))</f>
        <v>0.27348170645824377</v>
      </c>
      <c r="P205" s="7">
        <f>IF(B205="","",IFERROR(IF(VLOOKUP(BC205,Потребители_обозначение,4,FALSE)=1,VLOOKUP(BC205,Потребители_обозначение,3,FALSE)*(MAX(1,N(D205))*2-1)+EI205+VLOOKUP(BE205,Этаж_обозначение,3,FALSE)+VLOOKUP(BE205,Этаж_обозначение,4,FALSE),VLOOKUP(BC205,Потребители_обозначение,3,FALSE)*(MAX(1,N(D205))*2-1)+EI205),EI205))</f>
        <v>31</v>
      </c>
      <c r="Q205" s="6">
        <f t="shared" si="415"/>
        <v>0.5</v>
      </c>
      <c r="R205" t="str">
        <f t="shared" si="416"/>
        <v>ВВГнг(А)-LS (3х2,5)</v>
      </c>
      <c r="S205" t="str">
        <f>IF(BM205="","",IF(BN205="вводной узел","узел ","")&amp;"л."&amp;(INT((BM205-1)/Столбцов_на_лист)+1)&amp;" / "&amp;(MOD(BM205-1,Столбцов_на_лист)+1))</f>
        <v>л.2 / 14</v>
      </c>
      <c r="T205" s="119">
        <f t="shared" si="417"/>
        <v>0.4</v>
      </c>
      <c r="U205" s="7" t="str">
        <f>IF(OR(CG205=0,N(BV205)+N(IB205)=0),"",ROUNDUP(Запас_БП*(N(HY205)+N(HZ205)),0))</f>
        <v/>
      </c>
      <c r="V205" s="119" t="str">
        <f t="shared" si="418"/>
        <v/>
      </c>
      <c r="W205" s="7" t="str">
        <f>IFERROR(IF(OR(B205="",BP205=1,BV205=1,NOT(ISNUMBER(EN205)),N(DT205)=0),"",MAX(0,ROUNDDOWN((c_min*(Uн_лин*1000/SQRT(3))/(HT205*N(DT205))-_xlfn.XLOOKUP(A205,Щиты[Щит],Щиты[Zпетли на шинах, Ом]))*EN205/(2*ρкз_Cu),0))),"")</f>
        <v/>
      </c>
      <c r="Y205">
        <f>Линии[[#This Row],[_авто утечка]]</f>
        <v>30</v>
      </c>
      <c r="Z205">
        <v>1</v>
      </c>
      <c r="AA205">
        <v>230</v>
      </c>
      <c r="AB205" t="s">
        <v>562</v>
      </c>
      <c r="AG205" t="s">
        <v>810</v>
      </c>
      <c r="AI205" t="s">
        <v>561</v>
      </c>
      <c r="AK205" t="str">
        <f>Линии[[#This Row],[_авто модуль]]</f>
        <v/>
      </c>
      <c r="AM205">
        <v>31</v>
      </c>
      <c r="AN205" t="s">
        <v>11</v>
      </c>
      <c r="AO205">
        <v>3</v>
      </c>
      <c r="AQ205">
        <v>17</v>
      </c>
      <c r="AR205">
        <v>14</v>
      </c>
      <c r="AS205">
        <v>0</v>
      </c>
      <c r="BA205" cm="1">
        <f t="array" ref="BA205">ROW()-ROW(Линии[#Headers])</f>
        <v>203</v>
      </c>
      <c r="BC205" s="6" t="str">
        <f t="shared" si="419"/>
        <v>R</v>
      </c>
      <c r="BD205" t="str">
        <f t="shared" si="420"/>
        <v>0.011Б.1</v>
      </c>
      <c r="BE205" t="str">
        <f t="shared" si="421"/>
        <v>0</v>
      </c>
      <c r="BF205" t="str">
        <f t="shared" si="422"/>
        <v>011Б.1</v>
      </c>
      <c r="BG205" t="str">
        <f t="shared" si="423"/>
        <v>011Б</v>
      </c>
      <c r="BH205" t="str">
        <f>IF(X205&lt;&gt;"",X205,IF(AND(B205&lt;&gt;"",B205&lt;&gt;A205,ISNUMBER(_xlfn.XMATCH(B205,Щиты[Щит]))),B205,""))</f>
        <v/>
      </c>
      <c r="BI205" t="str" cm="1">
        <f t="array" ref="BI205">IF(B205="","",IF(BH205&lt;&gt;"","Щит "&amp;BH205,_xlfn.LET(_xlpm.nm,IFERROR(_xlfn.XLOOKUP(BC205,Коды_код,Коды_имя)&amp;"",""),_xlpm.md,IFERROR(N(_xlfn.XLOOKUP(BC205,Коды_код,Коды_режим)),1),_xlpm.ex,IF(Имя_режим="по экспликации",IFERROR(_xlfn.XLOOKUP(BE205&amp;"|"&amp;BG205,Экспликация[Этаж]&amp;"|"&amp;Экспликация[Помещение],Экспликация[Название])&amp;"",""),""),_xlpm.rm,IF(BG205="","",IF(_xlpm.ex&lt;&gt;"",". "&amp;_xlpm.ex&amp;IF(Имя_пом="нет"," ("&amp;BG205&amp;")"," (пом. "&amp;BG205&amp;")"),IF(Имя_пом="нет"," ",", пом. ")&amp;BG205)),IF(_xlpm.nm="","",IF(_xlpm.md=2,_xlpm.nm&amp;" шлейф "&amp;BE205,_xlpm.nm&amp;_xlpm.rm)))))</f>
        <v>Розеточная группа, пом. 011Б</v>
      </c>
      <c r="BJ205" t="str">
        <f t="shared" si="424"/>
        <v>Розеточная группа, пом. 011Б</v>
      </c>
      <c r="BK205">
        <f>IFERROR(_xlfn.XMATCH(A205,Щиты[Щит]),0)</f>
        <v>9</v>
      </c>
      <c r="BL205">
        <f>_xlfn.LET(_xlpm.k,IFERROR(_xlfn.XLOOKUP(A205,Щиты[Щит],Щиты[Мест под вводной узел]),""),IF(_xlpm.k="",Столбцов_на_лист,N(_xlpm.k)))</f>
        <v>8</v>
      </c>
      <c r="BM205">
        <f t="shared" si="425"/>
        <v>31</v>
      </c>
      <c r="BN205" t="str">
        <f t="shared" si="426"/>
        <v>линии</v>
      </c>
      <c r="BO205" s="6">
        <f>IFERROR(N(_xlfn.XLOOKUP(BC205,Коды_код,Коды_квт)),0)</f>
        <v>0</v>
      </c>
      <c r="BP205">
        <f t="shared" si="427"/>
        <v>0</v>
      </c>
      <c r="BQ205" t="str">
        <f>IF(B205="","",IF(BH205&lt;&gt;"",IFERROR(_xlfn.XLOOKUP(BH205,Щиты[Щит],Щиты[Руст, кВт]),0),IF(BP205=1,IF(OR(N(_xlfn.XLOOKUP(A205,Щиты[Щит],Щиты[Вводов],1))&lt;=1,LOWER(TRIM(_xlfn.XLOOKUP(A205,Щиты[Щит],Щиты[АВР],"")&amp;""))="да"),IFERROR(_xlfn.XLOOKUP(A205,Щиты[Щит],Щиты[Руст, кВт]),0),SUMIFS(Линии[_Р для вводов],Линии[Щит],A205,Линии[Источник для режимов],GF205)),IF(BO205&gt;0,ROUND(BO205*MAX(1,N(D205)),3),""))))</f>
        <v/>
      </c>
      <c r="BR205">
        <f t="shared" si="428"/>
        <v>0.06</v>
      </c>
      <c r="BS205" s="6">
        <f>IF(B205="","",IF(BH205&lt;&gt;"",IFERROR(_xlfn.XLOOKUP(BH205,Щиты[Щит],Щиты[Руст, кВт]),0),N(BR205)))</f>
        <v>0.06</v>
      </c>
      <c r="BT205" t="str">
        <f>IF(B205="","",IFERROR(IF(VLOOKUP(BC205,Потребители_обозначение,8,FALSE)=0,"",VLOOKUP(BC205,Потребители_обозначение,8,FALSE)),""))</f>
        <v/>
      </c>
      <c r="BU205">
        <f t="shared" si="429"/>
        <v>230</v>
      </c>
      <c r="BV205">
        <f t="shared" si="430"/>
        <v>0</v>
      </c>
      <c r="BW205">
        <f>IF(B205="","",IF(BH205&lt;&gt;"",3,IFERROR(IF(N(VLOOKUP(BC205,Потребители_обозначение,9,FALSE))=0,1,VLOOKUP(BC205,Потребители_обозначение,9,FALSE)),1)))</f>
        <v>1</v>
      </c>
      <c r="BX205">
        <f t="shared" si="431"/>
        <v>1</v>
      </c>
      <c r="BY205" t="str">
        <f>IF(B205="","",_xlfn.LET(_xlpm.bc,IFERROR(IF(VLOOKUP(BC205,Потребители_обозначение,6,FALSE)=0,"",VLOOKUP(BC205,Потребители_обозначение,6,FALSE)&amp;""),""),IF(AND(GA205="да",OR(_xlpm.bc="",_xlpm.bc="мс")),Марка_пож,IF(AND(_xlpm.bc="",BH205&lt;&gt;""),"мс",_xlpm.bc))))</f>
        <v/>
      </c>
      <c r="BZ205" t="str">
        <f t="shared" si="432"/>
        <v>мс</v>
      </c>
      <c r="CA205">
        <f>IF(B205="","",_xlfn.LET(_xlpm.cc,IFERROR(N(VLOOKUP(BC205,Потребители_обозначение,7,FALSE)),0),IF(_xlpm.cc&gt;0,_xlpm.cc,IF(BZ205="","",IF(BV205=1,2,IF(N(BX205)=3,5,3))))))</f>
        <v>3</v>
      </c>
      <c r="CB205">
        <f t="shared" si="433"/>
        <v>3</v>
      </c>
      <c r="CC205">
        <f>IFERROR(N(VLOOKUP(BC205,Потребители_обозначение,10,FALSE)),0)</f>
        <v>0</v>
      </c>
      <c r="CD205">
        <f>IFERROR(VLOOKUP(BC205,Потребители_обозначение,5,FALSE),0)</f>
        <v>1</v>
      </c>
      <c r="CE205" s="6" cm="1">
        <f t="array" ref="CE205">IF(B205="","",IF(BH205&lt;&gt;"",IFERROR(_xlfn.XLOOKUP(BH205,Щиты[Щит],Щиты[cos φ]),0.95),IF(BP205=1,IFERROR(_xlfn.XLOOKUP(A205,Щиты[Щит],Щиты[cos φ]),0.95),IF(ISNUMBER(AD205),AD205,IFERROR(IF(CD205=2,_xlfn.IFS(BX205=3,VLOOKUP(BS205,Справочная_двигатели,8,FALSE),BX205=1,VLOOKUP(BS205,Справочная_двигатели,10,TRUE)),IF(AND(Методика="нормы 2026",FG205="Сил"),0.8,0.95)),0.95)))))</f>
        <v>0.95</v>
      </c>
      <c r="CF205">
        <f t="shared" si="434"/>
        <v>0</v>
      </c>
      <c r="CG205">
        <f t="shared" si="435"/>
        <v>1</v>
      </c>
      <c r="CH205">
        <f t="shared" si="436"/>
        <v>0</v>
      </c>
      <c r="CI205">
        <f>IF(B205="","",IF(BV205=1,IFERROR(BS205/((Uн_лин/SQRT(3))*MAX(0.5,N(CE205))),0),N(O205)))</f>
        <v>0.27348170645824377</v>
      </c>
      <c r="CJ205">
        <f t="shared" si="437"/>
        <v>0</v>
      </c>
      <c r="CK205">
        <f t="shared" si="438"/>
        <v>0</v>
      </c>
      <c r="CL205">
        <f t="shared" si="439"/>
        <v>0</v>
      </c>
      <c r="CM205">
        <f t="shared" si="440"/>
        <v>0</v>
      </c>
      <c r="CN205">
        <f t="shared" si="441"/>
        <v>0</v>
      </c>
      <c r="CO205">
        <f>IF(BC205="",0,_xlfn.LET(_xlpm.v,IFERROR(_xlfn.XLOOKUP(B205,Коды_код,Коды_мА),IFERROR(_xlfn.XLOOKUP(BC205,Коды_код,Коды_мА),IFERROR(_xlfn.XLOOKUP(LEFT(BC205,2),Коды_код,Коды_мА),""))),IF(_xlpm.v="да",30,IF(ISNUMBER(_xlpm.v),_xlpm.v,0))))</f>
        <v>30</v>
      </c>
      <c r="CP205">
        <f t="shared" si="442"/>
        <v>30</v>
      </c>
      <c r="CQ205" t="str">
        <f>_xlfn.LET(_xlpm.k,IFERROR(_xlfn.XLOOKUP(BC205,Коды_код,Коды_утечка)&amp;"",""),IF(_xlpm.k="","дифавтомат",_xlpm.k))</f>
        <v>дифавтомат</v>
      </c>
      <c r="CR205" t="str" cm="1">
        <f t="array" ref="CR205">IF(CG205=0,"",_xlfn.LET(_xlpm.sg,TRIM(_xlfn.TEXTSPLIT(DD205&amp;"",";")),_xlpm.f_,_xlfn._xlws.FILTER(_xlpm.sg,LEFT(_xlpm.sg,3)="УЗО",""),IFERROR(INDEX(_xlpm.f_,1)&amp;"","")))</f>
        <v/>
      </c>
      <c r="CS205" t="str">
        <f t="shared" si="443"/>
        <v/>
      </c>
      <c r="CT205" s="6" t="str" cm="1">
        <f t="array" ref="CT205">IF(CR205="","",_xlfn.LET(_xlpm.tk,_xlfn.TEXTSPLIT(UPPER(CR205)," ",,TRUE),_xlpm.a_,_xlfn._xlws.FILTER(_xlpm.tk,ISNUMBER(--LEFT(_xlpm.tk,1))*((ISNUMBER(SEARCH("А",_xlpm.tk))+ISNUMBER(SEARCH("A",_xlpm.tk)))&gt;0)*NOT(ISNUMBER(SEARCH("МА",_xlpm.tk)))*NOT(ISNUMBER(SEARCH("MA",_xlpm.tk))),""),IFERROR(--SUBSTITUTE(SUBSTITUTE(INDEX(_xlpm.a_,1),"А",""),"A",""),"")))</f>
        <v/>
      </c>
      <c r="CU205" t="str" cm="1">
        <f t="array" ref="CU205">IF(CR205="","",_xlfn.LET(_xlpm.tk,_xlfn.TEXTSPLIT(UPPER(CR205)," ",,TRUE),_xlpm.a_,_xlfn._xlws.FILTER(_xlpm.tk,ISNUMBER(--LEFT(_xlpm.tk,1))*((ISNUMBER(SEARCH("МА",_xlpm.tk))+ISNUMBER(SEARCH("MA",_xlpm.tk)))&gt;0),""),IFERROR(--SUBSTITUTE(SUBSTITUTE(INDEX(_xlpm.a_,1),"МА",""),"MA",""),30)))</f>
        <v/>
      </c>
      <c r="CV205" t="str">
        <f>IF(CS205="","",IFERROR(_xlfn.XLOOKUP(CS205,Линии[_n],Линии[_УЗО, мА]),30))</f>
        <v/>
      </c>
      <c r="CW205">
        <f>IF(CS205="",0,IF(ISNUMBER(SEARCH("4P",IFERROR(_xlfn.XLOOKUP(CS205,Линии[_n],Линии[_УЗО строки])&amp;"",""))),0,1))</f>
        <v>0</v>
      </c>
      <c r="CX205" t="str">
        <f>IF(AND(CS205&lt;&gt;"",CS205=BA205),SUMIFS(Линии[_ток на 230 В],Линии[_блок УЗО],BA205,Линии[Щит],A205),"")</f>
        <v/>
      </c>
      <c r="CY205" t="str">
        <f>IF(AND(CS205&lt;&gt;"",CS205=BA205),SUMIFS(Линии[_ток утечки линии, мА],Линии[_блок УЗО],BA205,Линии[Щит],A205),"")</f>
        <v/>
      </c>
      <c r="CZ205">
        <f t="shared" si="444"/>
        <v>30</v>
      </c>
      <c r="DA205">
        <f t="shared" si="445"/>
        <v>30</v>
      </c>
      <c r="DB205">
        <f>IF(B205="",0,IFERROR(--_xlfn.XLOOKUP(B205,Коды_код,Коды_минавт),IFERROR(--_xlfn.XLOOKUP(BC205,Коды_код,Коды_минавт),IFERROR(--_xlfn.XLOOKUP(LEFT(BC205,2),Коды_код,Коды_минавт),0))))</f>
        <v>16</v>
      </c>
      <c r="DC205" t="str">
        <f>IF(B205="","",IFERROR(_xlfn.XLOOKUP(BC205,Коды_код,Коды_апп)&amp;"",""))</f>
        <v/>
      </c>
      <c r="DD205" t="str">
        <f t="shared" si="446"/>
        <v/>
      </c>
      <c r="DE205" t="str" cm="1">
        <f t="array" ref="DE205">IF(TRIM(DD205&amp;"")="","",IFERROR(TRIM(INDEX(_xlfn.TEXTSPLIT(DD205&amp;";;;",";"),1)),""))</f>
        <v/>
      </c>
      <c r="DF205" t="str" cm="1">
        <f t="array" ref="DF205">IF(TRIM(DD205&amp;"")="","",IFERROR(TRIM(INDEX(_xlfn.TEXTSPLIT(DD205&amp;";;;",";"),2)),""))</f>
        <v/>
      </c>
      <c r="DG205" t="str" cm="1">
        <f t="array" ref="DG205">IF(TRIM(DD205&amp;"")="","",IFERROR(TRIM(INDEX(_xlfn.TEXTSPLIT(DD205&amp;";;;",";"),3)),""))</f>
        <v/>
      </c>
      <c r="DH205">
        <f t="shared" si="447"/>
        <v>0</v>
      </c>
      <c r="DI205" t="str">
        <f>IF(B205="","",_xlfn.LET(_xlpm.t,LOWER(AZ205&amp;""),IF(ISNUMBER(SEARCH("dim",_xlpm.t)),"DIM",IF(ISNUMBER(SEARCH("dali",_xlpm.t)),"DALI",IF(OR(ISNUMBER(SEARCH("relay",_xlpm.t)),ISNUMBER(SEARCH("реле",_xlpm.t))),"Relay",IF(ISNUMBER(SEARCH("кнопк",_xlpm.t)),"",IFERROR(_xlfn.XLOOKUP(BC205,Коды_код,Коды_упр)&amp;"","")))))))</f>
        <v/>
      </c>
      <c r="DJ205" t="str">
        <f t="shared" si="448"/>
        <v/>
      </c>
      <c r="DK205">
        <f>IF(B205="","",_xlfn.LET(_xlpm.ig,IF(N(CX205)&gt;0,N(CX205),N(CI205)+IF(AJ205="вручную",0,N(CJ205))),_xlpm.n0,IFERROR(VLOOKUP(_xlpm.ig,Автомат_номиналы,2,TRUE),0),_xlpm.mn,MAX(DB205,IF(AJ205="вручную",0,N(CM205))),MAX(_xlpm.n0,_xlpm.mn,IF(DH205=1,Мин_автомат_БП,0))))</f>
        <v>16</v>
      </c>
      <c r="DL205">
        <f t="shared" si="449"/>
        <v>1</v>
      </c>
      <c r="DM205" t="str">
        <f t="shared" si="450"/>
        <v>2P</v>
      </c>
      <c r="DN205" t="str">
        <f>_xlfn.LET(_xlpm.cc,UPPER(TRIM(IFERROR(_xlfn.XLOOKUP(BC205,Коды_код,Коды_хар)&amp;"",""))),IF(OR(_xlpm.cc="B",_xlpm.cc="В"),"B",IF(_xlpm.cc="D","D","С")))</f>
        <v>С</v>
      </c>
      <c r="DO205" t="str">
        <f t="shared" si="451"/>
        <v>2P С16А 30мА</v>
      </c>
      <c r="DP205" t="str">
        <f t="shared" si="452"/>
        <v>2P С16А 30мА</v>
      </c>
      <c r="DQ205" t="str">
        <f t="shared" si="453"/>
        <v>2P С16А 30мА</v>
      </c>
      <c r="DR205" cm="1">
        <f t="array" ref="DR205">IF(DQ205="","",_xlfn.LET(_xlpm.t,SUBSTITUTE(SUBSTITUTE(SUBSTITUTE(UPPER(DQ205),"С","C"),"А","A"),"В","B"),_xlpm.tk,_xlfn.TEXTSPLIT(_xlpm.t," "),_xlpm.f,_xlfn._xlws.FILTER(_xlpm.tk,ISNUMBER(--MID(_xlpm.tk,2,1))*ISNUMBER(SEARCH(LEFT(_xlpm.tk,1)&amp;"#","B#C#D#"))*(LEN(_xlpm.tk)&gt;1),""),_xlpm.x,INDEX(_xlpm.f,1),IFERROR(--SUBSTITUTE(MID(_xlpm.x,2,9),"A",""),IFERROR(--SUBSTITUTE(INDEX(_xlfn._xlws.FILTER(_xlpm.tk,ISNUMBER(--SUBSTITUTE(_xlpm.tk,"A","")),""),1),"A",""),""))))</f>
        <v>16</v>
      </c>
      <c r="DS205" t="str">
        <f t="shared" si="454"/>
        <v>ok</v>
      </c>
      <c r="DT205">
        <f t="shared" si="455"/>
        <v>16</v>
      </c>
      <c r="DU205" t="str">
        <f t="shared" si="456"/>
        <v>2P С16А 30мА</v>
      </c>
      <c r="DV205">
        <f t="shared" si="457"/>
        <v>30</v>
      </c>
      <c r="DW205">
        <f t="shared" si="458"/>
        <v>1</v>
      </c>
      <c r="DX205">
        <f t="shared" si="459"/>
        <v>0</v>
      </c>
      <c r="DY205">
        <f t="shared" si="460"/>
        <v>0.27348170645824377</v>
      </c>
      <c r="DZ205">
        <f t="shared" si="461"/>
        <v>1</v>
      </c>
      <c r="EA205">
        <f>IF(ISNUMBER(AP205),AP205,К_прокл)</f>
        <v>1</v>
      </c>
      <c r="EB205">
        <f t="shared" si="462"/>
        <v>2</v>
      </c>
      <c r="EC205">
        <f>IFERROR(N(VLOOKUP(BZ205,Кабель_обозначение,3,FALSE)),1)</f>
        <v>1</v>
      </c>
      <c r="ED205">
        <f>IFERROR(N(_xlfn.XLOOKUP(A205,Щиты[Щит],Щиты[ΔU до шин, %])),0)</f>
        <v>0.43</v>
      </c>
      <c r="EE205" t="str">
        <f>IFERROR(_xlfn.XLOOKUP(A205,Щиты[Щит],Щиты[Zпетли на шинах, Ом]),"")</f>
        <v/>
      </c>
      <c r="EF205">
        <f>IFERROR(N(_xlfn.XLOOKUP(A205,Щиты[Щит],Щиты[ΔU до шин (подбор), %])),0)</f>
        <v>0.43</v>
      </c>
      <c r="EG205" t="str">
        <f>IFERROR(_xlfn.XLOOKUP(A205,Щиты[Щит],Щиты[Zпетли на шинах (подбор), Ом]),"")</f>
        <v/>
      </c>
      <c r="EH205" t="str">
        <f t="shared" si="463"/>
        <v/>
      </c>
      <c r="EI205">
        <f t="shared" si="464"/>
        <v>28</v>
      </c>
      <c r="EJ205">
        <f t="shared" si="465"/>
        <v>2</v>
      </c>
      <c r="EK205">
        <f t="shared" si="466"/>
        <v>0.31</v>
      </c>
      <c r="EL205" s="6">
        <f>IF(B205="","",IF(BV205=1,dU_LED,IF(IFERROR(_xlfn.XLOOKUP(BC205,Коды_код,Коды_уго),"")="Светильник",3,4)+IF(Методика="нормы 2026",MIN(0.5,MAX(0,N(P205)-100)*0.005),0)))</f>
        <v>4</v>
      </c>
      <c r="EM205" cm="1">
        <f t="array" ref="EM205">IF(OR(B205="",BZ205="",EC205&lt;&gt;1),"",_xlfn.LET(_xlpm.sz,Iдоп_S,_xlpm.t_,CHOOSE(EB205,Iдоп_1ж,Iдоп_2ж,Iдоп_3ж)*DZ205*EA205,_xlpm.dcx,BV205=1,_xlpm.inn,IF(_xlpm.dcx,N(O205),N(DT205)),_xlpm.smin,MAX(1.5,CC205),_xlpm.L_,N(P205)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205)/N(BU205)*100,999),IFERROR(N(EJ205)*(_xlpm.rho*_xlpm.L_/_xlpm.sz*N(CE205)+_xlpm.xx*_xlpm.L_*N(EK205)/1000)*N(O205)/((Uн_лин/SQRT(3))*1000)*100,999)),_xlpm.kz,IF(OR(_xlpm.dcx,DW205=1,NOT(ISNUMBER(EG205)),_xlpm.L_=0,_xlpm.inn=0),1,IFERROR(--(c_min*(Uн_лин*1000/SQRT(3))/(EG205+2*ρкз_Cu*_xlpm.L_/_xlpm.sz)&gt;=HT205*_xlpm.inn),0)),_xlpm.ok,IFERROR((_xlpm.sz&gt;=_xlpm.smin)*(_xlpm.t_&gt;=_xlpm.inn)*IF(_xlpm.L_&gt;0,(_xlpm.du_+IF(_xlpm.dcx,0,EF205)&lt;=EL205+0.00001),1)*_xlpm.kz,0),_xlpm.r_,_xlfn._xlws.FILTER(_xlpm.sz,_xlpm.ok,"не подобрано"),INDEX(_xlpm.r_,1)))</f>
        <v>1.5</v>
      </c>
      <c r="EN205">
        <f t="shared" si="467"/>
        <v>2.5</v>
      </c>
      <c r="EO205" cm="1">
        <f t="array" ref="EO205">IF(OR(B205="",BZ205="",EC205&lt;&gt;1),"",_xlfn.LET(_xlpm.sz,Iдоп_S,_xlpm.t_,CHOOSE(EB205,Iдоп_1ж,Iдоп_2ж,Iдоп_3ж)*DZ205*EA205,_xlpm.ok,IFERROR((_xlpm.sz&gt;=MAX(1.5,CC205))*(_xlpm.t_&gt;=N(DT205)),0),_xlpm.r_,_xlfn._xlws.FILTER(_xlpm.sz,_xlpm.ok,""),INDEX(_xlpm.r_,1)))</f>
        <v>1.5</v>
      </c>
      <c r="EP205" s="6" cm="1">
        <f t="array" ref="EP205">IFERROR(ROUNDUP(N(EJ205)*(_xlfn.XLOOKUP(EO205,INDEX(Кабель_сопротивление,0,1),INDEX(Кабель_сопротивление,0,3))*N(P205)/EO205*N(CE205)+_xlfn.XLOOKUP(EO205,INDEX(Кабель_сопротивление,0,1),INDEX(Кабель_сопротивление,0,2))*N(P205)*N(EK205)/1000)*N(O205)/((Uн_лин/SQRT(3))*1000)*100,2),"")</f>
        <v>0.11</v>
      </c>
      <c r="EQ205">
        <f>IFERROR(2*ρкз_Cu*N(P205)/EO205,"")</f>
        <v>1.0870666666666666</v>
      </c>
      <c r="ER205">
        <f>IFERROR(VLOOKUP(EN205,Кабель_сопротивление,3,FALSE),"")</f>
        <v>2.2499999999999999E-2</v>
      </c>
      <c r="ES205">
        <f>IFERROR(VLOOKUP(EN205,Кабель_сопротивление,2,FALSE),"")</f>
        <v>0.1</v>
      </c>
      <c r="ET205">
        <f t="shared" si="468"/>
        <v>14</v>
      </c>
      <c r="EU205">
        <f t="shared" si="469"/>
        <v>0</v>
      </c>
      <c r="EV205">
        <f t="shared" si="470"/>
        <v>0.14549828443332777</v>
      </c>
      <c r="EW205" s="6">
        <f>IFERROR(ROUNDUP(EV205/IF(BV205=1,BU205,(Uн_лин/SQRT(3))*1000)*100,2),"")</f>
        <v>6.9999999999999993E-2</v>
      </c>
      <c r="EX205" t="str">
        <f>IFERROR(VLOOKUP(BZ205,Кабель_обозначение,2,FALSE),"")</f>
        <v>ВВГнг(А)-LS</v>
      </c>
      <c r="EY205" t="str">
        <f t="shared" si="471"/>
        <v>ВВГнг(А)-LS (3х2,5)</v>
      </c>
      <c r="EZ205" t="str">
        <f t="shared" si="472"/>
        <v>ВВГнг(А)-LS (3х2,5)
L=31-0,07%</v>
      </c>
      <c r="FA205">
        <f>IFERROR(2*ρкз_Cu*P205/EN205,"")</f>
        <v>0.65224000000000004</v>
      </c>
      <c r="FB205">
        <f t="shared" si="473"/>
        <v>0.21700000000000003</v>
      </c>
      <c r="FC205" s="6" t="str">
        <f>IFERROR(IF(OR(B205="",BV205=1,NOT(ISNUMBER(EN205)),N(P205)=0),"",_xlfn.XLOOKUP(A205,Щиты[Щит],Щиты[Zпетли на шинах, Ом])+FA205),"")</f>
        <v/>
      </c>
      <c r="FD205" s="6" t="str">
        <f>IF(ISNUMBER(FC205),c_min*(Uн_лин*1000/SQRT(3))/FC205,"")</f>
        <v/>
      </c>
      <c r="FE205" s="6" t="str">
        <f>IFERROR(IF(OR(B205="",NOT(ISNUMBER(EN205))),"",1.05*(Uн_лин*1000/SQRT(3))/(_xlfn.XLOOKUP(A205,Щиты[Щит],Щиты[Zmax на шинах, Ом])+FB205)/1000),"")</f>
        <v/>
      </c>
      <c r="FF205" s="6" t="str">
        <f>IF(B205="","",IF(ISNUMBER(AC205),"Сил",IF(IFERROR(_xlfn.XLOOKUP(BC205,Коды_код,Коды_группа)&amp;"","")="","Быт",_xlfn.XLOOKUP(BC205,Коды_код,Коды_группа)&amp;"")))</f>
        <v>Быт</v>
      </c>
      <c r="FG205" s="6" t="str">
        <f t="shared" si="474"/>
        <v>Быт</v>
      </c>
      <c r="FH205" s="6">
        <f>IF(FG205="Щит","щит",IF(FG205="","",IF(FG205="Быт",IFERROR(_xlfn.XLOOKUP(A205,Щиты[Щит],Щиты[Кс быт]),1),IF(FG205="Сил",IF(ISNUMBER(AC205),AC205,IF(Методика="нормы 2026",IFERROR(_xlfn.XLOOKUP(A205,Щиты[Щит],Щиты[Кс силовых (табл. 7.5)]),1),1)),IF(OR(FG205="Пост",FG205="Отоп"),1,IF(FG205="ВНГ",0.7,0))))))</f>
        <v>0.79799999999999993</v>
      </c>
      <c r="FI205">
        <f>IF(FG205="","",IF(AND(BP205=1,TRIM(AE205&amp;"")=""),IF(COUNTIFS(Линии[Щит],A205,Линии[Секция (1/2/3)],"&gt;=2")&gt;0,MIN(3,MAX(1,IFERROR(--BD205,1))),1),IFERROR(MIN(3,MAX(1,INT(--AE205))),1)))</f>
        <v>1</v>
      </c>
      <c r="FJ205">
        <f t="shared" si="475"/>
        <v>0.06</v>
      </c>
      <c r="FK205">
        <f t="shared" si="476"/>
        <v>0.06</v>
      </c>
      <c r="FL205">
        <f t="shared" si="477"/>
        <v>0</v>
      </c>
      <c r="FM205">
        <f t="shared" si="478"/>
        <v>0</v>
      </c>
      <c r="FN205">
        <f t="shared" si="479"/>
        <v>0</v>
      </c>
      <c r="FO205">
        <f t="shared" si="480"/>
        <v>0</v>
      </c>
      <c r="FP205">
        <f t="shared" si="481"/>
        <v>0.06</v>
      </c>
      <c r="FQ205">
        <f t="shared" si="482"/>
        <v>0.06</v>
      </c>
      <c r="FR205">
        <f t="shared" si="483"/>
        <v>5.6999999999999995E-2</v>
      </c>
      <c r="FS205">
        <f>IF(CG205=1,IF(AND(CH205=1,CW205=1),0,IF(AND(CS205&lt;&gt;"",CS205=BA205,CW205=1),SUMIFS(Линии[_Р линии, кВт],Линии[_блок УЗО],BA205,Линии[Щит],A205),N(BS205)+IF(AJ205="вручную",0,N(CK205)))),0)</f>
        <v>0.06</v>
      </c>
      <c r="FT205" t="str">
        <f t="shared" si="484"/>
        <v>L2</v>
      </c>
      <c r="FU205" t="str">
        <f>IF(B205="","",IF(CG205=0,IF(BA205=1,"",FW204),IF(AND(CH205=1,CW205=1,CS205&lt;&gt;""),IFERROR(_xlfn.XLOOKUP(CS205,Линии[_n],Линии[_фаза итог]),"L1"),IF(OR(N(DL205)&gt;=3,N(BX205)&gt;=3),"L1,L2,L3",IFERROR(_xlfn.TEXTBEFORE(_xlfn.TEXTAFTER(_xlfn.XLOOKUP(A205,Щиты[Щит],Щиты[_фазы авто]),";"&amp;BA205&amp;":"),";"),"L1")))))</f>
        <v>L1</v>
      </c>
      <c r="FV205" t="str">
        <f t="shared" si="485"/>
        <v>L2</v>
      </c>
      <c r="FW205" t="str">
        <f t="shared" si="486"/>
        <v>L2</v>
      </c>
      <c r="FX205" cm="1">
        <f t="array" ref="FX205">IFERROR(IF(CD205=2,_xlfn.IFS(BX205=3,VLOOKUP(BS205,Справочная_двигатели,3,FALSE),BX205=1,VLOOKUP(BS205,Справочная_двигатели,5,TRUE)),0),0)</f>
        <v>0</v>
      </c>
      <c r="FY205">
        <f>IFERROR(IF(CD205=3,VLOOKUP(BS205,Справочная_ЛЭД,2,TRUE),0),0)</f>
        <v>0</v>
      </c>
      <c r="FZ205" s="6">
        <f t="shared" si="487"/>
        <v>0</v>
      </c>
      <c r="GA205" t="str">
        <f>IF(B205="","",IF(TRIM(AH205&amp;"")&lt;&gt;"",IF(LOWER(TRIM(AH205&amp;""))="да","да","нет"),IF(IFERROR(_xlfn.XLOOKUP(BC205,Коды_код,Коды_пожарная),"")="да","да","нет")))</f>
        <v>нет</v>
      </c>
      <c r="GB205" t="str">
        <f t="shared" si="488"/>
        <v/>
      </c>
      <c r="GC205" t="str">
        <f t="shared" si="489"/>
        <v>основная</v>
      </c>
      <c r="GD205">
        <f>IF(AND(BP205=1,TRIM(AE205&amp;"")=""),IF(COUNTIFS(Линии[Щит],A205,Линии[Секция (1/2/3)],"&gt;=2")&gt;0,MIN(3,MAX(1,IFERROR(--BD205,1))),1),IFERROR(MIN(3,MAX(1,INT(--AE205))),1))</f>
        <v>1</v>
      </c>
      <c r="GE205" t="str" cm="1">
        <f t="array" ref="GE205">IF(B205="","",_xlfn.LET(_xlpm.t,IFERROR(_xlfn.XLOOKUP(1,(Шины[Шина]=GC205)*(((Шины[Щит]=A205)+(Шины[Щит]=""))&gt;0),Шины[Тип]),"")&amp;"",IF(_xlpm.t&lt;&gt;"",_xlpm.t,IF(ISNUMBER(SEARCH("ИБП",GC205)),"ИБП",IF(ISNUMBER(SEARCH("ДГУ",GC205)),"ДГУ","Ввод "&amp;GD205)))))</f>
        <v>Ввод 1</v>
      </c>
      <c r="GF205" t="str">
        <f t="shared" si="490"/>
        <v>Ввод 1</v>
      </c>
      <c r="GG205" t="str">
        <f>IF(BP205=0,"",IF(TRIM(AG205&amp;"")&lt;&gt;"",TRIM(AG205&amp;""),IF(OR(GE205="ИБП",GE205="ДГУ"),"I особая",_xlfn.XLOOKUP(A205,Щиты[Щит],Щиты[Категория шины «Ввод»],"III"))))</f>
        <v/>
      </c>
      <c r="GH205" t="str">
        <f>IF(A205="","",_xlfn.XLOOKUP(A205,Щиты[Щит],Щиты[Путь],""))</f>
        <v>|ГРЩ-ЖД|ЩР-01|</v>
      </c>
      <c r="GI205" t="str">
        <f>IF(B205="","",IF(AI205&lt;&gt;"",AI205,IF(IFERROR(_xlfn.XLOOKUP(BC205,Коды_код,Коды_вид)&amp;"","")="","Прочее",_xlfn.XLOOKUP(BC205,Коды_код,Коды_вид)&amp;"")))</f>
        <v>Розеточная сеть и бытовые приборы</v>
      </c>
      <c r="GJ205">
        <f>IF(BM205="","",INT((BM205-1)/Столбцов_на_лист)+1)</f>
        <v>2</v>
      </c>
      <c r="GK205" t="str">
        <f t="shared" si="491"/>
        <v>ВВГнг(А)-LS (3х2,5) L=31-0,07%</v>
      </c>
      <c r="GL205">
        <f t="shared" si="492"/>
        <v>0.06</v>
      </c>
      <c r="GM205">
        <f t="shared" si="493"/>
        <v>0.28000000000000003</v>
      </c>
      <c r="GN205">
        <f t="shared" si="494"/>
        <v>1</v>
      </c>
      <c r="GO205">
        <f t="shared" si="495"/>
        <v>0</v>
      </c>
      <c r="GP205">
        <f t="shared" si="496"/>
        <v>1</v>
      </c>
      <c r="GQ205">
        <f>IF(BM205="","",IF(AND(CG205=1,GP205=1),COUNTIFS(A$3:A205,A205,CG$3:CG205,1,GP$3:GP205,1),IF(OR(OR(BA205=1,A205&lt;&gt;A204),AJ205="вручную",GP205=0),"",IF(BA205=1,"",GR204))))</f>
        <v>21</v>
      </c>
      <c r="GR205">
        <f t="shared" si="497"/>
        <v>21</v>
      </c>
      <c r="GS205">
        <f>IF(B205="","",IFERROR(LOOKUP(INDEX(CHOOSE(EB205,Iдоп_1ж,Iдоп_2ж,Iдоп_3ж),MATCH(EN205,Iдоп_S,0))*DZ205*EA205,{6,10,16,20,25,32,40,50,63,80,100,125,160,200,250,315,400,500,630}),""))</f>
        <v>25</v>
      </c>
      <c r="GT205" t="str">
        <f t="shared" si="498"/>
        <v>QFD21</v>
      </c>
      <c r="GU205" t="str">
        <f t="shared" si="499"/>
        <v>QFD21</v>
      </c>
      <c r="GV205" t="str">
        <f t="shared" si="500"/>
        <v/>
      </c>
      <c r="GW205">
        <f t="shared" si="501"/>
        <v>0</v>
      </c>
      <c r="GX205" t="str">
        <f>IF(OR(B205="",DJ205=""),"",IFERROR(_xlfn.XLOOKUP(DJ205,Модули_умолч[Управление],Модули_умолч[Модель])&amp;"",""))</f>
        <v/>
      </c>
      <c r="GY205">
        <f>IF(DJ205="",1,IFERROR(MAX(0,N(_xlfn.XLOOKUP(DJ205,Модули_умолч[Управление],Модули_умолч[Каналов на линию]))),1))</f>
        <v>1</v>
      </c>
      <c r="GZ205" t="str">
        <f t="shared" si="502"/>
        <v/>
      </c>
      <c r="HA205" t="str">
        <f t="shared" si="503"/>
        <v/>
      </c>
      <c r="HB205" t="str">
        <f t="shared" si="504"/>
        <v/>
      </c>
      <c r="HC205">
        <f>IF(HB205="",0,IFERROR(N(VLOOKUP(HB205,Модули_спр,3,FALSE)),0))</f>
        <v>0</v>
      </c>
      <c r="HD205" t="str">
        <f t="shared" si="505"/>
        <v/>
      </c>
      <c r="HE205" t="str">
        <f t="shared" si="506"/>
        <v/>
      </c>
      <c r="HF205" t="str">
        <f>IF(OR(HE205="",HE205="-"),"",IFERROR(VLOOKUP(HE205,Модули_спр,2,FALSE),"R"))</f>
        <v/>
      </c>
      <c r="HG205" t="str">
        <f>IF(HF205="","",HF205&amp;"."&amp;COUNTIFS(A$3:A205,A205,HF$3:HF205,HF205))</f>
        <v/>
      </c>
      <c r="HH205" t="str">
        <f t="shared" si="507"/>
        <v/>
      </c>
      <c r="HI205" t="str">
        <f t="shared" si="508"/>
        <v/>
      </c>
      <c r="HJ205" t="str">
        <f t="shared" si="509"/>
        <v/>
      </c>
      <c r="HK205" t="str">
        <f t="shared" si="510"/>
        <v/>
      </c>
      <c r="HL205">
        <f t="shared" si="511"/>
        <v>1</v>
      </c>
      <c r="HM205" t="str">
        <f>IF(HL205=1,"XT"&amp;COUNTIFS(A$3:A205,A205,HL$3:HL205,1),"")</f>
        <v>XT21</v>
      </c>
      <c r="HN205" t="str">
        <f t="shared" si="512"/>
        <v/>
      </c>
      <c r="HO205" t="str">
        <f t="shared" si="513"/>
        <v>QFD21</v>
      </c>
      <c r="HP205" t="str">
        <f t="shared" si="514"/>
        <v/>
      </c>
      <c r="HQ205" t="str">
        <f t="shared" si="515"/>
        <v>ok</v>
      </c>
      <c r="HR205" t="str">
        <f>IF(OR(HJ205="",HH205=""),"",IF(HJ205+MAX(0,GY205-1)&gt;IFERROR(VLOOKUP(HI205,Модули_спр,3,FALSE),99),"ЛИШНИЙ КАНАЛ",IF(AND(AL205&lt;&gt;"=",GY205&gt;0,COUNTIFS(Линии[_модуль гр.],HH205,Линии[Канал (итог)],HJ205,Линии[Канал],"&lt;&gt;=",Линии[Щит],A205)&gt;1),"ДУБЛЬ КАНАЛА","")))</f>
        <v/>
      </c>
      <c r="HS205" s="6" t="str">
        <f t="shared" si="516"/>
        <v/>
      </c>
      <c r="HT205">
        <f t="shared" si="517"/>
        <v>10</v>
      </c>
      <c r="HU205" t="str">
        <f t="shared" si="518"/>
        <v/>
      </c>
      <c r="HV205">
        <f t="shared" si="519"/>
        <v>0.41939268258329754</v>
      </c>
      <c r="HW205">
        <f t="shared" si="520"/>
        <v>0</v>
      </c>
      <c r="HX205">
        <f t="shared" si="521"/>
        <v>0</v>
      </c>
      <c r="HY205">
        <f t="shared" si="522"/>
        <v>0</v>
      </c>
      <c r="HZ205">
        <f t="shared" si="523"/>
        <v>0</v>
      </c>
      <c r="IA205">
        <f t="shared" si="524"/>
        <v>0</v>
      </c>
      <c r="IB205">
        <f t="shared" si="525"/>
        <v>0</v>
      </c>
      <c r="IC205" t="str">
        <f t="shared" si="526"/>
        <v/>
      </c>
      <c r="ID205" t="str" cm="1">
        <f t="array" ref="ID205">IF(IC205="","",_xlfn.LET(_xlpm.tk,_xlfn.TEXTSPLIT(SUBSTITUTE(SUBSTITUTE(IC205,";"," "),"→"," ")," ",,TRUE),_xlpm.w_,_xlfn._xlws.FILTER(_xlpm.tk,ISNUMBER(--LEFT(_xlpm.tk,1))*((ISNUMBER(SEARCH("W",_xlpm.tk))+ISNUMBER(SEARCH("Вт",_xlpm.tk)))&gt;0),""),IFERROR(--SUBSTITUTE(SUBSTITUTE(UPPER(INDEX(_xlpm.w_,1)),"W",""),"ВТ",""),"")))</f>
        <v/>
      </c>
      <c r="IE205" t="str" cm="1">
        <f t="array" ref="IE205">IF(IC205="","",_xlfn.LET(_xlpm.tk,_xlfn.TEXTSPLIT(SUBSTITUTE(SUBSTITUTE(IC205,";"," "),"→"," ")," ",,TRUE),_xlpm.v_,_xlfn._xlws.FILTER(_xlpm.tk,ISNUMBER(--LEFT(_xlpm.tk,1))*((ISNUMBER(SEARCH("V",_xlpm.tk))+(RIGHT(UPPER(_xlpm.tk))="В"))&gt;0),""),IFERROR(--SUBSTITUTE(SUBSTITUTE(UPPER(INDEX(_xlpm.v_,1)),"V",""),"В",""),"")))</f>
        <v/>
      </c>
      <c r="IF205" s="6" t="str">
        <f>IF(OR(BV205=0,HI205="",HJ205=""),"",IFERROR(N(_xlfn.XLOOKUP(HI205,Каталог!$C$4:$C$500,Каталог!$Q$4:$Q$500)),""))</f>
        <v/>
      </c>
      <c r="IG205" s="6" t="str">
        <f>IF(N(IF205)=0,"",SUMIFS(Линии[Iр, А],Линии[Щит],A205,Линии[_модуль гр.],HH205,Линии[Канал (итог)],HJ205))</f>
        <v/>
      </c>
      <c r="IH205" t="str">
        <f>IF(AND(B205="",HO205=""),"",_xlfn.TEXTJOIN("; ",TRUE,IF(AND(B205&lt;&gt;"",FV205=""),"нет фазы",""),IF(AND(B205&lt;&gt;"",N(GL205)=0,FG205&lt;&gt;"Нет"),"нет мощности",""),IF(AND(HN205&lt;&gt;"",COUNTIFS(Линии[Щит],A205,Линии[Клемма (итог)],HN205)&gt;1),"дубль клеммы "&amp;HN205,""),IF(AND(HQ205&lt;&gt;"",HQ205&lt;&gt;"ok"),HQ205,""),IF(HR205&lt;&gt;"",HR205,""),IF(AND(N(CB205)&gt;=4,N(BX205)=1),CB205&amp;" жил на 1 фазе",""),IF(AND(BC205="R",CG205=1,IF(CS205&lt;&gt;"",N(CV205)&gt;30,OR(N(DA205)=0,N(DA205)&gt;30))),"розетка без дифзащиты до 30 мА",""),IF(AND(CG205=1,N(DA205)&gt;0,ISNUMBER(T205)),IF(T205&gt;N(DA205)/3,"ток утечки "&amp;FIXED(T205,1)&amp;" мА &gt; 1/3 уставки ("&amp;DA205&amp;" мА)",""),""),IF(AND(CH205=1,CS205=""),"«узо»: нет строки с УЗО выше (УЗО 2P 40А 30мА в «Аппаратах»)",""),IF(AND(CS205&lt;&gt;"",CS205=BA205),IF(CT205="","впишите номинал УЗО (УЗО 2P 40А 30мА)",IF(N(CT205)&lt;N(DT205),"УЗО "&amp;CT205&amp;" А &lt; автомата "&amp;DT205&amp;" А перед ним",IF(N(CT205)&lt;N(CX205),"УЗО "&amp;CT205&amp;" А &lt; тока блока "&amp;FIXED(CX205,1)&amp;" А",""))),""),IF(AND(CS205&lt;&gt;"",CS205=BA205,ISNUMBER(CY205)),IF(CY205&gt;N(CV205)/3,"ток утечки блока УЗО "&amp;FIXED(CY205,1)&amp;" мА &gt; 1/3 уставки ("&amp;CV205&amp;" мА)",""),""),IF(AND(CG205=1,N(BV205)+N(IB205)&gt;0,IC205=""),"линии до 50 В без БП: впишите в «Аппараты» (БП 24V 480W)",""),IF(AND(CG205=1,ISNUMBER(ID205),ISNUMBER(U205)),IF(U205&gt;ID205,"БП "&amp;ID205&amp;" Вт &lt; нужно "&amp;U205&amp;" Вт (×"&amp;Запас_БП&amp;")",""),""),IF(AND(CG205=1,ISNUMBER(IE205),N(BV205)=1),IF(IE205&lt;&gt;N(BU205),"БП на "&amp;IE205&amp;" В, линия "&amp;BU205&amp;" В",""),""),IF(AND(N(IF205)&gt;0,N(IG205)&gt;N(IF205)),HH205&amp;" канал "&amp;HJ205&amp;": "&amp;FIXED(IG205,1)&amp;" А &gt; "&amp;IF205&amp;" А",""),IFERROR(IF(AND(ISNUMBER(Q205),Q205&gt;EL205),"потери "&amp;FIXED(Q205,1)&amp;" % &gt; "&amp;EL205&amp;" %",""),""),IFERROR(IF(LEFT(HU205,4)="мало","Iкз мало — отключение &gt; 0,4 с",""),""),IF(AND(B205&lt;&gt;"",BM205=""),"не на схеме",""),IF(AND(CG205=0,B205&lt;&gt;"",FV205&lt;&gt;"",IF(BA205=1,"",FW204)&lt;&gt;"",FV205&lt;&gt;IF(BA205=1,"",FW204)),"фаза не как у автомата группы ("&amp;IF(BA205=1,"",FW204)&amp;")","")))</f>
        <v/>
      </c>
      <c r="II205" s="6">
        <f>IF(OR(CG205=0,DQ205=""),"",_xlfn.LET(_xlpm.t,IFERROR(_xlfn.XLOOKUP(DQ205,Каталог!$U$4:$U$500,Каталог!$G$4:$G$500),""),_xlpm.k,SEARCH("кА",_xlpm.t),IFERROR(--TRIM(RIGHT(SUBSTITUTE(MID(_xlpm.t,MAX(1,_xlpm.k-4),_xlpm.k-MAX(1,_xlpm.k-4))," ",REPT(" ",9)),5)),"")))</f>
        <v>6</v>
      </c>
      <c r="IJ205" t="str">
        <f>IF(OR(II205="",CG205=0),"",IF(_xlfn.XLOOKUP(A205,Щиты[Щит],Щиты[Iкз max на шинах, кА],"")="","",IF(II205&lt;_xlfn.XLOOKUP(A205,Щиты[Щит],Щиты[Iкз max на шинах, кА]),"Icu "&amp;II205&amp;" кА &lt; Iкз max","ok")))</f>
        <v/>
      </c>
      <c r="IK205" t="str">
        <f t="shared" si="527"/>
        <v/>
      </c>
      <c r="IL205" t="str">
        <f t="shared" si="528"/>
        <v>QFD21</v>
      </c>
      <c r="IM205" t="str">
        <f t="shared" si="529"/>
        <v>QFD21|кабель ВВГнг(А)-LS (3х2,5) → Розеточная группа, пом. 011Б</v>
      </c>
      <c r="IN205" t="str" cm="1">
        <f t="array" ref="IN205">IF(IM205="","",_xlfn.LET(_xlpm.nd,_xlfn.TEXTSPLIT(IM205,"|"),IF(COLUMNS(_xlpm.nd)&gt;1,A205&amp;"¦"&amp;INDEX(_xlpm.nd,1)&amp;"¦"&amp;INDEX(_xlpm.nd,2),"")))</f>
        <v>ЩР-01¦QFD21¦кабель ВВГнг(А)-LS (3х2,5) → Розеточная группа, пом. 011Б</v>
      </c>
      <c r="IO205" t="str">
        <f t="shared" si="530"/>
        <v>R.0.011Б.1¦Розеточная группа, пом. 011Б</v>
      </c>
      <c r="IP205" t="str" cm="1">
        <f t="array" ref="IP205">IF(IM205="","",_xlfn.LET(_xlpm.nd,_xlfn.TEXTSPLIT(IM205,"|"),IF(COLUMNS(_xlpm.nd)&gt;2,A205&amp;"¦"&amp;INDEX(_xlpm.nd,2)&amp;"¦"&amp;INDEX(_xlpm.nd,3),"")))</f>
        <v/>
      </c>
      <c r="IQ205" t="str">
        <f t="shared" si="531"/>
        <v/>
      </c>
      <c r="IR205" t="str" cm="1">
        <f t="array" ref="IR205">IF(IM205="","",_xlfn.LET(_xlpm.nd,_xlfn.TEXTSPLIT(IM205,"|"),IF(COLUMNS(_xlpm.nd)&gt;3,A205&amp;"¦"&amp;INDEX(_xlpm.nd,3)&amp;"¦"&amp;INDEX(_xlpm.nd,4),"")))</f>
        <v/>
      </c>
      <c r="IS205" t="str">
        <f t="shared" si="532"/>
        <v/>
      </c>
      <c r="IT205" t="str" cm="1">
        <f t="array" ref="IT205">IF(IM205="","",_xlfn.LET(_xlpm.nd,_xlfn.TEXTSPLIT(IM205,"|"),IF(COLUMNS(_xlpm.nd)&gt;4,A205&amp;"¦"&amp;INDEX(_xlpm.nd,4)&amp;"¦"&amp;INDEX(_xlpm.nd,5),"")))</f>
        <v/>
      </c>
      <c r="IU205" t="str">
        <f t="shared" si="533"/>
        <v/>
      </c>
      <c r="IV205" t="str" cm="1">
        <f t="array" ref="IV205">IF(IM205="","",_xlfn.LET(_xlpm.nd,_xlfn.TEXTSPLIT(IM205,"|"),IF(COLUMNS(_xlpm.nd)&gt;5,A205&amp;"¦"&amp;INDEX(_xlpm.nd,5)&amp;"¦"&amp;INDEX(_xlpm.nd,6),"")))</f>
        <v/>
      </c>
      <c r="IW205" t="str">
        <f t="shared" si="534"/>
        <v/>
      </c>
      <c r="IX205" t="str" cm="1">
        <f t="array" ref="IX205">IF(IM205="","",_xlfn.LET(_xlpm.nd,_xlfn.TEXTSPLIT(IM205,"|"),IF(COLUMNS(_xlpm.nd)&gt;6,A205&amp;"¦"&amp;INDEX(_xlpm.nd,6)&amp;"¦"&amp;INDEX(_xlpm.nd,7),"")))</f>
        <v/>
      </c>
      <c r="IY205" t="str">
        <f t="shared" si="535"/>
        <v/>
      </c>
      <c r="IZ205" t="str">
        <f t="shared" si="536"/>
        <v/>
      </c>
      <c r="JA205" t="str">
        <f t="shared" si="537"/>
        <v>QFD21</v>
      </c>
      <c r="JB205">
        <f t="shared" si="538"/>
        <v>0</v>
      </c>
      <c r="JC205">
        <f t="shared" si="539"/>
        <v>1</v>
      </c>
      <c r="JD205" t="str">
        <f t="shared" si="540"/>
        <v/>
      </c>
      <c r="JE205" t="str">
        <f t="shared" si="541"/>
        <v/>
      </c>
      <c r="JF205" t="str">
        <f t="shared" si="542"/>
        <v/>
      </c>
      <c r="JG205" t="str">
        <f t="shared" si="543"/>
        <v/>
      </c>
      <c r="JH205" t="str">
        <f>IF(B205="","",IFERROR(_xlfn.XLOOKUP(B205,Коды_код,Коды_уго),IFERROR(_xlfn.XLOOKUP(BC205,Коды_код,Коды_уго),IFERROR(_xlfn.XLOOKUP(LEFT(BC205,2),Коды_код,Коды_уго),""))))</f>
        <v>Розетка</v>
      </c>
      <c r="JI205" t="str">
        <f>IF(B205="","",IF(OR(JH205="",JH205=0),"BOX",IFERROR(IF(VLOOKUP(JH205,УГО_блоки,3,FALSE)&amp;""&lt;&gt;"",VLOOKUP(JH205,УГО_блоки,3,FALSE),VLOOKUP(JH205,УГО_блоки,2,FALSE)),JH205)))</f>
        <v>SOCKET</v>
      </c>
      <c r="JJ205">
        <f t="shared" si="544"/>
        <v>1</v>
      </c>
      <c r="JK205" t="str">
        <f>IF(DQ205="","",IF(COUNTIF(DQ$3:DQ205,DQ205)=1,MAX(JK$2:JK204)+1,""))</f>
        <v/>
      </c>
      <c r="JL205" t="str">
        <f>IF(DE205="","",IF(COUNTIF(DE$3:DE205,DE205)+COUNTIF(DF$2:DF204,DE205)+COUNTIF(DG$2:DG204,DE205)=1,MAX(JL$2:JN204)+1,""))</f>
        <v/>
      </c>
      <c r="JM205" t="str">
        <f>IF(DF205="","",IF(COUNTIF(DE$3:DE205,DF205)+COUNTIF(DF$3:DF205,DF205)+COUNTIF(DG$2:DG204,DF205)=1,MAX(JL$2:JN204,JL205)+1,""))</f>
        <v/>
      </c>
      <c r="JN205" t="str">
        <f>IF(DG205="","",IF(COUNTIF(DE$3:DE205,DG205)+COUNTIF(DF$3:DF205,DG205)+COUNTIF(DG$3:DG205,DG205)=1,MAX(JL$2:JN204,JL205,JM205)+1,""))</f>
        <v/>
      </c>
      <c r="JO205" t="str">
        <f t="shared" si="545"/>
        <v>3х2,5</v>
      </c>
      <c r="JP205" t="str">
        <f>IF(JO205="","",IF(COUNTIF(JO$3:JO205,JO205)=1,MAX(JP$2:JP204)+1,""))</f>
        <v/>
      </c>
      <c r="JQ205" t="str">
        <f>IF(HG205="","",COUNTIF(HG$3:HG205,"?*"))</f>
        <v/>
      </c>
      <c r="JR205" t="str">
        <f>IF(OR(HG205="",HI205=""),"",IF(COUNTIFS(HG$3:HG205,"?*",HI$3:HI205,HI205)=1,MAX(JR$2:JR204)+1,""))</f>
        <v/>
      </c>
      <c r="JS205">
        <f t="shared" si="546"/>
        <v>0</v>
      </c>
      <c r="JT205">
        <f>IF(B205="","",COUNTIF(B$3:B205,"?*"))</f>
        <v>203</v>
      </c>
      <c r="JU205">
        <f>IF(HL205&lt;&gt;1,0,_xlfn.LET(_xlpm.k,MAX(IFERROR(--_xlfn.XLOOKUP(B205,Коды_код,Коды_3L),0),IFERROR(--_xlfn.XLOOKUP(BC205,Коды_код,Коды_3L),0),IFERROR(--_xlfn.XLOOKUP(LEFT(BC205,2),Коды_код,Коды_3L),0)),IF(_xlpm.k&gt;0,_xlpm.k,IF(IFERROR(--LEFT(SUBSTITUTE(JO205,"x","х"),FIND("х",SUBSTITUTE(JO205,"x","х"))-1),3)&gt;3,Каталог!$S$9,1))))</f>
        <v>1</v>
      </c>
      <c r="JV205">
        <f t="shared" si="547"/>
        <v>0</v>
      </c>
      <c r="JW205" t="str">
        <f t="shared" si="548"/>
        <v>авто</v>
      </c>
      <c r="JX205">
        <f t="shared" si="549"/>
        <v>30</v>
      </c>
      <c r="JY205">
        <f t="shared" si="550"/>
        <v>1</v>
      </c>
      <c r="JZ205">
        <f t="shared" si="551"/>
        <v>1</v>
      </c>
    </row>
    <row r="206" spans="1:286" x14ac:dyDescent="0.3">
      <c r="A206" t="s">
        <v>755</v>
      </c>
      <c r="B206" t="s">
        <v>1513</v>
      </c>
      <c r="C206" t="str">
        <f>Линии[[#This Row],[_авто наименование]]</f>
        <v>Розеточная группа, пом. 012A</v>
      </c>
      <c r="D206">
        <v>5</v>
      </c>
      <c r="E206">
        <v>0.3</v>
      </c>
      <c r="G206" t="str">
        <f>Линии[[#This Row],[_авто автомат]]</f>
        <v>2P С16А 30мА</v>
      </c>
      <c r="H206" t="str">
        <f>Линии[[#This Row],[_авто управление]]</f>
        <v/>
      </c>
      <c r="I206" t="str">
        <f>Линии[[#This Row],[_авто аппараты]]</f>
        <v/>
      </c>
      <c r="J206">
        <v>2.5</v>
      </c>
      <c r="K206">
        <v>52</v>
      </c>
      <c r="L206">
        <v>3</v>
      </c>
      <c r="M206" t="s">
        <v>484</v>
      </c>
      <c r="N206" t="str">
        <f t="shared" si="414"/>
        <v/>
      </c>
      <c r="O206" s="6" cm="1">
        <f t="array" ref="O206">IF(B206="","",IF(BH206&lt;&gt;"",IFERROR(_xlfn.XLOOKUP(BH206,Щиты[Щит],Щиты[Iр, А]),""),IF(BP206=1,IF(OR(N(_xlfn.XLOOKUP(A206,Щиты[Щит],Щиты[Вводов],1))&lt;=1,LOWER(TRIM(_xlfn.XLOOKUP(A206,Щиты[Щит],Щиты[АВР],"")&amp;""))="да"),IFERROR(_xlfn.XLOOKUP(A206,Щиты[Щит],Щиты[Iр, А]),""),IFERROR(N(BS206)*_xlfn.XLOOKUP(A206,Щиты[Щит],Щиты[Кс итог])/(SQRT(3)*Uн_лин*_xlfn.XLOOKUP(A206,Щиты[Щит],Щиты[cos φ])),"")),IF(BV206=1,IFERROR(BS206*1000/BU206,""),IFERROR(_xlfn.IFS(BX206=1,BS206/((Uн_лин/SQRT(3))*CE206),BX206=3,BS206/(SQRT(3)*Uн_лин*CE206)),"")))))</f>
        <v>1.3674085322912188</v>
      </c>
      <c r="P206" s="7">
        <f>IF(B206="","",IFERROR(IF(VLOOKUP(BC206,Потребители_обозначение,4,FALSE)=1,VLOOKUP(BC206,Потребители_обозначение,3,FALSE)*(MAX(1,N(D206))*2-1)+EI206+VLOOKUP(BE206,Этаж_обозначение,3,FALSE)+VLOOKUP(BE206,Этаж_обозначение,4,FALSE),VLOOKUP(BC206,Потребители_обозначение,3,FALSE)*(MAX(1,N(D206))*2-1)+EI206),EI206))</f>
        <v>79</v>
      </c>
      <c r="Q206" s="6">
        <f t="shared" si="415"/>
        <v>1.24</v>
      </c>
      <c r="R206" t="str">
        <f t="shared" si="416"/>
        <v>ВВГнг(А)-LS (3х2,5)</v>
      </c>
      <c r="S206" t="str">
        <f>IF(BM206="","",IF(BN206="вводной узел","узел ","")&amp;"л."&amp;(INT((BM206-1)/Столбцов_на_лист)+1)&amp;" / "&amp;(MOD(BM206-1,Столбцов_на_лист)+1))</f>
        <v>л.2 / 15</v>
      </c>
      <c r="T206" s="119">
        <f t="shared" si="417"/>
        <v>1.3</v>
      </c>
      <c r="U206" s="7" t="str">
        <f>IF(OR(CG206=0,N(BV206)+N(IB206)=0),"",ROUNDUP(Запас_БП*(N(HY206)+N(HZ206)),0))</f>
        <v/>
      </c>
      <c r="V206" s="119" t="str">
        <f t="shared" si="418"/>
        <v/>
      </c>
      <c r="W206" s="7" t="str">
        <f>IFERROR(IF(OR(B206="",BP206=1,BV206=1,NOT(ISNUMBER(EN206)),N(DT206)=0),"",MAX(0,ROUNDDOWN((c_min*(Uн_лин*1000/SQRT(3))/(HT206*N(DT206))-_xlfn.XLOOKUP(A206,Щиты[Щит],Щиты[Zпетли на шинах, Ом]))*EN206/(2*ρкз_Cu),0))),"")</f>
        <v/>
      </c>
      <c r="Y206">
        <f>Линии[[#This Row],[_авто утечка]]</f>
        <v>30</v>
      </c>
      <c r="Z206">
        <v>1</v>
      </c>
      <c r="AA206">
        <v>230</v>
      </c>
      <c r="AB206" t="s">
        <v>562</v>
      </c>
      <c r="AG206" t="s">
        <v>810</v>
      </c>
      <c r="AI206" t="s">
        <v>561</v>
      </c>
      <c r="AK206" t="str">
        <f>Линии[[#This Row],[_авто модуль]]</f>
        <v/>
      </c>
      <c r="AM206">
        <v>32</v>
      </c>
      <c r="AN206" t="s">
        <v>11</v>
      </c>
      <c r="AO206">
        <v>3</v>
      </c>
      <c r="AQ206">
        <v>48</v>
      </c>
      <c r="AR206">
        <v>31</v>
      </c>
      <c r="AS206">
        <v>0</v>
      </c>
      <c r="BA206" cm="1">
        <f t="array" ref="BA206">ROW()-ROW(Линии[#Headers])</f>
        <v>204</v>
      </c>
      <c r="BC206" s="6" t="str">
        <f t="shared" si="419"/>
        <v>R</v>
      </c>
      <c r="BD206" t="str">
        <f t="shared" si="420"/>
        <v>0.012A.1</v>
      </c>
      <c r="BE206" t="str">
        <f t="shared" si="421"/>
        <v>0</v>
      </c>
      <c r="BF206" t="str">
        <f t="shared" si="422"/>
        <v>012A.1</v>
      </c>
      <c r="BG206" t="str">
        <f t="shared" si="423"/>
        <v>012A</v>
      </c>
      <c r="BH206" t="str">
        <f>IF(X206&lt;&gt;"",X206,IF(AND(B206&lt;&gt;"",B206&lt;&gt;A206,ISNUMBER(_xlfn.XMATCH(B206,Щиты[Щит]))),B206,""))</f>
        <v/>
      </c>
      <c r="BI206" t="str" cm="1">
        <f t="array" ref="BI206">IF(B206="","",IF(BH206&lt;&gt;"","Щит "&amp;BH206,_xlfn.LET(_xlpm.nm,IFERROR(_xlfn.XLOOKUP(BC206,Коды_код,Коды_имя)&amp;"",""),_xlpm.md,IFERROR(N(_xlfn.XLOOKUP(BC206,Коды_код,Коды_режим)),1),_xlpm.ex,IF(Имя_режим="по экспликации",IFERROR(_xlfn.XLOOKUP(BE206&amp;"|"&amp;BG206,Экспликация[Этаж]&amp;"|"&amp;Экспликация[Помещение],Экспликация[Название])&amp;"",""),""),_xlpm.rm,IF(BG206="","",IF(_xlpm.ex&lt;&gt;"",". "&amp;_xlpm.ex&amp;IF(Имя_пом="нет"," ("&amp;BG206&amp;")"," (пом. "&amp;BG206&amp;")"),IF(Имя_пом="нет"," ",", пом. ")&amp;BG206)),IF(_xlpm.nm="","",IF(_xlpm.md=2,_xlpm.nm&amp;" шлейф "&amp;BE206,_xlpm.nm&amp;_xlpm.rm)))))</f>
        <v>Розеточная группа, пом. 012A</v>
      </c>
      <c r="BJ206" t="str">
        <f t="shared" si="424"/>
        <v>Розеточная группа, пом. 012A</v>
      </c>
      <c r="BK206">
        <f>IFERROR(_xlfn.XMATCH(A206,Щиты[Щит]),0)</f>
        <v>9</v>
      </c>
      <c r="BL206">
        <f>_xlfn.LET(_xlpm.k,IFERROR(_xlfn.XLOOKUP(A206,Щиты[Щит],Щиты[Мест под вводной узел]),""),IF(_xlpm.k="",Столбцов_на_лист,N(_xlpm.k)))</f>
        <v>8</v>
      </c>
      <c r="BM206">
        <f t="shared" si="425"/>
        <v>32</v>
      </c>
      <c r="BN206" t="str">
        <f t="shared" si="426"/>
        <v>линии</v>
      </c>
      <c r="BO206" s="6">
        <f>IFERROR(N(_xlfn.XLOOKUP(BC206,Коды_код,Коды_квт)),0)</f>
        <v>0</v>
      </c>
      <c r="BP206">
        <f t="shared" si="427"/>
        <v>0</v>
      </c>
      <c r="BQ206" t="str">
        <f>IF(B206="","",IF(BH206&lt;&gt;"",IFERROR(_xlfn.XLOOKUP(BH206,Щиты[Щит],Щиты[Руст, кВт]),0),IF(BP206=1,IF(OR(N(_xlfn.XLOOKUP(A206,Щиты[Щит],Щиты[Вводов],1))&lt;=1,LOWER(TRIM(_xlfn.XLOOKUP(A206,Щиты[Щит],Щиты[АВР],"")&amp;""))="да"),IFERROR(_xlfn.XLOOKUP(A206,Щиты[Щит],Щиты[Руст, кВт]),0),SUMIFS(Линии[_Р для вводов],Линии[Щит],A206,Линии[Источник для режимов],GF206)),IF(BO206&gt;0,ROUND(BO206*MAX(1,N(D206)),3),""))))</f>
        <v/>
      </c>
      <c r="BR206">
        <f t="shared" si="428"/>
        <v>0.3</v>
      </c>
      <c r="BS206" s="6">
        <f>IF(B206="","",IF(BH206&lt;&gt;"",IFERROR(_xlfn.XLOOKUP(BH206,Щиты[Щит],Щиты[Руст, кВт]),0),N(BR206)))</f>
        <v>0.3</v>
      </c>
      <c r="BT206" t="str">
        <f>IF(B206="","",IFERROR(IF(VLOOKUP(BC206,Потребители_обозначение,8,FALSE)=0,"",VLOOKUP(BC206,Потребители_обозначение,8,FALSE)),""))</f>
        <v/>
      </c>
      <c r="BU206">
        <f t="shared" si="429"/>
        <v>230</v>
      </c>
      <c r="BV206">
        <f t="shared" si="430"/>
        <v>0</v>
      </c>
      <c r="BW206">
        <f>IF(B206="","",IF(BH206&lt;&gt;"",3,IFERROR(IF(N(VLOOKUP(BC206,Потребители_обозначение,9,FALSE))=0,1,VLOOKUP(BC206,Потребители_обозначение,9,FALSE)),1)))</f>
        <v>1</v>
      </c>
      <c r="BX206">
        <f t="shared" si="431"/>
        <v>1</v>
      </c>
      <c r="BY206" t="str">
        <f>IF(B206="","",_xlfn.LET(_xlpm.bc,IFERROR(IF(VLOOKUP(BC206,Потребители_обозначение,6,FALSE)=0,"",VLOOKUP(BC206,Потребители_обозначение,6,FALSE)&amp;""),""),IF(AND(GA206="да",OR(_xlpm.bc="",_xlpm.bc="мс")),Марка_пож,IF(AND(_xlpm.bc="",BH206&lt;&gt;""),"мс",_xlpm.bc))))</f>
        <v/>
      </c>
      <c r="BZ206" t="str">
        <f t="shared" si="432"/>
        <v>мс</v>
      </c>
      <c r="CA206">
        <f>IF(B206="","",_xlfn.LET(_xlpm.cc,IFERROR(N(VLOOKUP(BC206,Потребители_обозначение,7,FALSE)),0),IF(_xlpm.cc&gt;0,_xlpm.cc,IF(BZ206="","",IF(BV206=1,2,IF(N(BX206)=3,5,3))))))</f>
        <v>3</v>
      </c>
      <c r="CB206">
        <f t="shared" si="433"/>
        <v>3</v>
      </c>
      <c r="CC206">
        <f>IFERROR(N(VLOOKUP(BC206,Потребители_обозначение,10,FALSE)),0)</f>
        <v>0</v>
      </c>
      <c r="CD206">
        <f>IFERROR(VLOOKUP(BC206,Потребители_обозначение,5,FALSE),0)</f>
        <v>1</v>
      </c>
      <c r="CE206" s="6" cm="1">
        <f t="array" ref="CE206">IF(B206="","",IF(BH206&lt;&gt;"",IFERROR(_xlfn.XLOOKUP(BH206,Щиты[Щит],Щиты[cos φ]),0.95),IF(BP206=1,IFERROR(_xlfn.XLOOKUP(A206,Щиты[Щит],Щиты[cos φ]),0.95),IF(ISNUMBER(AD206),AD206,IFERROR(IF(CD206=2,_xlfn.IFS(BX206=3,VLOOKUP(BS206,Справочная_двигатели,8,FALSE),BX206=1,VLOOKUP(BS206,Справочная_двигатели,10,TRUE)),IF(AND(Методика="нормы 2026",FG206="Сил"),0.8,0.95)),0.95)))))</f>
        <v>0.95</v>
      </c>
      <c r="CF206">
        <f t="shared" si="434"/>
        <v>0</v>
      </c>
      <c r="CG206">
        <f t="shared" si="435"/>
        <v>1</v>
      </c>
      <c r="CH206">
        <f t="shared" si="436"/>
        <v>0</v>
      </c>
      <c r="CI206">
        <f>IF(B206="","",IF(BV206=1,IFERROR(BS206/((Uн_лин/SQRT(3))*MAX(0.5,N(CE206))),0),N(O206)))</f>
        <v>1.3674085322912188</v>
      </c>
      <c r="CJ206">
        <f t="shared" si="437"/>
        <v>0</v>
      </c>
      <c r="CK206">
        <f t="shared" si="438"/>
        <v>0</v>
      </c>
      <c r="CL206">
        <f t="shared" si="439"/>
        <v>0</v>
      </c>
      <c r="CM206">
        <f t="shared" si="440"/>
        <v>0</v>
      </c>
      <c r="CN206">
        <f t="shared" si="441"/>
        <v>0</v>
      </c>
      <c r="CO206">
        <f>IF(BC206="",0,_xlfn.LET(_xlpm.v,IFERROR(_xlfn.XLOOKUP(B206,Коды_код,Коды_мА),IFERROR(_xlfn.XLOOKUP(BC206,Коды_код,Коды_мА),IFERROR(_xlfn.XLOOKUP(LEFT(BC206,2),Коды_код,Коды_мА),""))),IF(_xlpm.v="да",30,IF(ISNUMBER(_xlpm.v),_xlpm.v,0))))</f>
        <v>30</v>
      </c>
      <c r="CP206">
        <f t="shared" si="442"/>
        <v>30</v>
      </c>
      <c r="CQ206" t="str">
        <f>_xlfn.LET(_xlpm.k,IFERROR(_xlfn.XLOOKUP(BC206,Коды_код,Коды_утечка)&amp;"",""),IF(_xlpm.k="","дифавтомат",_xlpm.k))</f>
        <v>дифавтомат</v>
      </c>
      <c r="CR206" t="str" cm="1">
        <f t="array" ref="CR206">IF(CG206=0,"",_xlfn.LET(_xlpm.sg,TRIM(_xlfn.TEXTSPLIT(DD206&amp;"",";")),_xlpm.f_,_xlfn._xlws.FILTER(_xlpm.sg,LEFT(_xlpm.sg,3)="УЗО",""),IFERROR(INDEX(_xlpm.f_,1)&amp;"","")))</f>
        <v/>
      </c>
      <c r="CS206" t="str">
        <f t="shared" si="443"/>
        <v/>
      </c>
      <c r="CT206" s="6" t="str" cm="1">
        <f t="array" ref="CT206">IF(CR206="","",_xlfn.LET(_xlpm.tk,_xlfn.TEXTSPLIT(UPPER(CR206)," ",,TRUE),_xlpm.a_,_xlfn._xlws.FILTER(_xlpm.tk,ISNUMBER(--LEFT(_xlpm.tk,1))*((ISNUMBER(SEARCH("А",_xlpm.tk))+ISNUMBER(SEARCH("A",_xlpm.tk)))&gt;0)*NOT(ISNUMBER(SEARCH("МА",_xlpm.tk)))*NOT(ISNUMBER(SEARCH("MA",_xlpm.tk))),""),IFERROR(--SUBSTITUTE(SUBSTITUTE(INDEX(_xlpm.a_,1),"А",""),"A",""),"")))</f>
        <v/>
      </c>
      <c r="CU206" t="str" cm="1">
        <f t="array" ref="CU206">IF(CR206="","",_xlfn.LET(_xlpm.tk,_xlfn.TEXTSPLIT(UPPER(CR206)," ",,TRUE),_xlpm.a_,_xlfn._xlws.FILTER(_xlpm.tk,ISNUMBER(--LEFT(_xlpm.tk,1))*((ISNUMBER(SEARCH("МА",_xlpm.tk))+ISNUMBER(SEARCH("MA",_xlpm.tk)))&gt;0),""),IFERROR(--SUBSTITUTE(SUBSTITUTE(INDEX(_xlpm.a_,1),"МА",""),"MA",""),30)))</f>
        <v/>
      </c>
      <c r="CV206" t="str">
        <f>IF(CS206="","",IFERROR(_xlfn.XLOOKUP(CS206,Линии[_n],Линии[_УЗО, мА]),30))</f>
        <v/>
      </c>
      <c r="CW206">
        <f>IF(CS206="",0,IF(ISNUMBER(SEARCH("4P",IFERROR(_xlfn.XLOOKUP(CS206,Линии[_n],Линии[_УЗО строки])&amp;"",""))),0,1))</f>
        <v>0</v>
      </c>
      <c r="CX206" t="str">
        <f>IF(AND(CS206&lt;&gt;"",CS206=BA206),SUMIFS(Линии[_ток на 230 В],Линии[_блок УЗО],BA206,Линии[Щит],A206),"")</f>
        <v/>
      </c>
      <c r="CY206" t="str">
        <f>IF(AND(CS206&lt;&gt;"",CS206=BA206),SUMIFS(Линии[_ток утечки линии, мА],Линии[_блок УЗО],BA206,Линии[Щит],A206),"")</f>
        <v/>
      </c>
      <c r="CZ206">
        <f t="shared" si="444"/>
        <v>30</v>
      </c>
      <c r="DA206">
        <f t="shared" si="445"/>
        <v>30</v>
      </c>
      <c r="DB206">
        <f>IF(B206="",0,IFERROR(--_xlfn.XLOOKUP(B206,Коды_код,Коды_минавт),IFERROR(--_xlfn.XLOOKUP(BC206,Коды_код,Коды_минавт),IFERROR(--_xlfn.XLOOKUP(LEFT(BC206,2),Коды_код,Коды_минавт),0))))</f>
        <v>16</v>
      </c>
      <c r="DC206" t="str">
        <f>IF(B206="","",IFERROR(_xlfn.XLOOKUP(BC206,Коды_код,Коды_апп)&amp;"",""))</f>
        <v/>
      </c>
      <c r="DD206" t="str">
        <f t="shared" si="446"/>
        <v/>
      </c>
      <c r="DE206" t="str" cm="1">
        <f t="array" ref="DE206">IF(TRIM(DD206&amp;"")="","",IFERROR(TRIM(INDEX(_xlfn.TEXTSPLIT(DD206&amp;";;;",";"),1)),""))</f>
        <v/>
      </c>
      <c r="DF206" t="str" cm="1">
        <f t="array" ref="DF206">IF(TRIM(DD206&amp;"")="","",IFERROR(TRIM(INDEX(_xlfn.TEXTSPLIT(DD206&amp;";;;",";"),2)),""))</f>
        <v/>
      </c>
      <c r="DG206" t="str" cm="1">
        <f t="array" ref="DG206">IF(TRIM(DD206&amp;"")="","",IFERROR(TRIM(INDEX(_xlfn.TEXTSPLIT(DD206&amp;";;;",";"),3)),""))</f>
        <v/>
      </c>
      <c r="DH206">
        <f t="shared" si="447"/>
        <v>0</v>
      </c>
      <c r="DI206" t="str">
        <f>IF(B206="","",_xlfn.LET(_xlpm.t,LOWER(AZ206&amp;""),IF(ISNUMBER(SEARCH("dim",_xlpm.t)),"DIM",IF(ISNUMBER(SEARCH("dali",_xlpm.t)),"DALI",IF(OR(ISNUMBER(SEARCH("relay",_xlpm.t)),ISNUMBER(SEARCH("реле",_xlpm.t))),"Relay",IF(ISNUMBER(SEARCH("кнопк",_xlpm.t)),"",IFERROR(_xlfn.XLOOKUP(BC206,Коды_код,Коды_упр)&amp;"","")))))))</f>
        <v/>
      </c>
      <c r="DJ206" t="str">
        <f t="shared" si="448"/>
        <v/>
      </c>
      <c r="DK206">
        <f>IF(B206="","",_xlfn.LET(_xlpm.ig,IF(N(CX206)&gt;0,N(CX206),N(CI206)+IF(AJ206="вручную",0,N(CJ206))),_xlpm.n0,IFERROR(VLOOKUP(_xlpm.ig,Автомат_номиналы,2,TRUE),0),_xlpm.mn,MAX(DB206,IF(AJ206="вручную",0,N(CM206))),MAX(_xlpm.n0,_xlpm.mn,IF(DH206=1,Мин_автомат_БП,0))))</f>
        <v>16</v>
      </c>
      <c r="DL206">
        <f t="shared" si="449"/>
        <v>1</v>
      </c>
      <c r="DM206" t="str">
        <f t="shared" si="450"/>
        <v>2P</v>
      </c>
      <c r="DN206" t="str">
        <f>_xlfn.LET(_xlpm.cc,UPPER(TRIM(IFERROR(_xlfn.XLOOKUP(BC206,Коды_код,Коды_хар)&amp;"",""))),IF(OR(_xlpm.cc="B",_xlpm.cc="В"),"B",IF(_xlpm.cc="D","D","С")))</f>
        <v>С</v>
      </c>
      <c r="DO206" t="str">
        <f t="shared" si="451"/>
        <v>2P С16А 30мА</v>
      </c>
      <c r="DP206" t="str">
        <f t="shared" si="452"/>
        <v>2P С16А 30мА</v>
      </c>
      <c r="DQ206" t="str">
        <f t="shared" si="453"/>
        <v>2P С16А 30мА</v>
      </c>
      <c r="DR206" cm="1">
        <f t="array" ref="DR206">IF(DQ206="","",_xlfn.LET(_xlpm.t,SUBSTITUTE(SUBSTITUTE(SUBSTITUTE(UPPER(DQ206),"С","C"),"А","A"),"В","B"),_xlpm.tk,_xlfn.TEXTSPLIT(_xlpm.t," "),_xlpm.f,_xlfn._xlws.FILTER(_xlpm.tk,ISNUMBER(--MID(_xlpm.tk,2,1))*ISNUMBER(SEARCH(LEFT(_xlpm.tk,1)&amp;"#","B#C#D#"))*(LEN(_xlpm.tk)&gt;1),""),_xlpm.x,INDEX(_xlpm.f,1),IFERROR(--SUBSTITUTE(MID(_xlpm.x,2,9),"A",""),IFERROR(--SUBSTITUTE(INDEX(_xlfn._xlws.FILTER(_xlpm.tk,ISNUMBER(--SUBSTITUTE(_xlpm.tk,"A","")),""),1),"A",""),""))))</f>
        <v>16</v>
      </c>
      <c r="DS206" t="str">
        <f t="shared" si="454"/>
        <v>ok</v>
      </c>
      <c r="DT206">
        <f t="shared" si="455"/>
        <v>16</v>
      </c>
      <c r="DU206" t="str">
        <f t="shared" si="456"/>
        <v>2P С16А 30мА</v>
      </c>
      <c r="DV206">
        <f t="shared" si="457"/>
        <v>30</v>
      </c>
      <c r="DW206">
        <f t="shared" si="458"/>
        <v>1</v>
      </c>
      <c r="DX206">
        <f t="shared" si="459"/>
        <v>0</v>
      </c>
      <c r="DY206">
        <f t="shared" si="460"/>
        <v>1.3674085322912188</v>
      </c>
      <c r="DZ206">
        <f t="shared" si="461"/>
        <v>1</v>
      </c>
      <c r="EA206">
        <f>IF(ISNUMBER(AP206),AP206,К_прокл)</f>
        <v>1</v>
      </c>
      <c r="EB206">
        <f t="shared" si="462"/>
        <v>2</v>
      </c>
      <c r="EC206">
        <f>IFERROR(N(VLOOKUP(BZ206,Кабель_обозначение,3,FALSE)),1)</f>
        <v>1</v>
      </c>
      <c r="ED206">
        <f>IFERROR(N(_xlfn.XLOOKUP(A206,Щиты[Щит],Щиты[ΔU до шин, %])),0)</f>
        <v>0.43</v>
      </c>
      <c r="EE206" t="str">
        <f>IFERROR(_xlfn.XLOOKUP(A206,Щиты[Щит],Щиты[Zпетли на шинах, Ом]),"")</f>
        <v/>
      </c>
      <c r="EF206">
        <f>IFERROR(N(_xlfn.XLOOKUP(A206,Щиты[Щит],Щиты[ΔU до шин (подбор), %])),0)</f>
        <v>0.43</v>
      </c>
      <c r="EG206" t="str">
        <f>IFERROR(_xlfn.XLOOKUP(A206,Щиты[Щит],Щиты[Zпетли на шинах (подбор), Ом]),"")</f>
        <v/>
      </c>
      <c r="EH206" t="str">
        <f t="shared" si="463"/>
        <v/>
      </c>
      <c r="EI206">
        <f t="shared" si="464"/>
        <v>52</v>
      </c>
      <c r="EJ206">
        <f t="shared" si="465"/>
        <v>2</v>
      </c>
      <c r="EK206">
        <f t="shared" si="466"/>
        <v>0.31</v>
      </c>
      <c r="EL206" s="6">
        <f>IF(B206="","",IF(BV206=1,dU_LED,IF(IFERROR(_xlfn.XLOOKUP(BC206,Коды_код,Коды_уго),"")="Светильник",3,4)+IF(Методика="нормы 2026",MIN(0.5,MAX(0,N(P206)-100)*0.005),0)))</f>
        <v>4</v>
      </c>
      <c r="EM206" cm="1">
        <f t="array" ref="EM206">IF(OR(B206="",BZ206="",EC206&lt;&gt;1),"",_xlfn.LET(_xlpm.sz,Iдоп_S,_xlpm.t_,CHOOSE(EB206,Iдоп_1ж,Iдоп_2ж,Iдоп_3ж)*DZ206*EA206,_xlpm.dcx,BV206=1,_xlpm.inn,IF(_xlpm.dcx,N(O206),N(DT206)),_xlpm.smin,MAX(1.5,CC206),_xlpm.L_,N(P206)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206)/N(BU206)*100,999),IFERROR(N(EJ206)*(_xlpm.rho*_xlpm.L_/_xlpm.sz*N(CE206)+_xlpm.xx*_xlpm.L_*N(EK206)/1000)*N(O206)/((Uн_лин/SQRT(3))*1000)*100,999)),_xlpm.kz,IF(OR(_xlpm.dcx,DW206=1,NOT(ISNUMBER(EG206)),_xlpm.L_=0,_xlpm.inn=0),1,IFERROR(--(c_min*(Uн_лин*1000/SQRT(3))/(EG206+2*ρкз_Cu*_xlpm.L_/_xlpm.sz)&gt;=HT206*_xlpm.inn),0)),_xlpm.ok,IFERROR((_xlpm.sz&gt;=_xlpm.smin)*(_xlpm.t_&gt;=_xlpm.inn)*IF(_xlpm.L_&gt;0,(_xlpm.du_+IF(_xlpm.dcx,0,EF206)&lt;=EL206+0.00001),1)*_xlpm.kz,0),_xlpm.r_,_xlfn._xlws.FILTER(_xlpm.sz,_xlpm.ok,"не подобрано"),INDEX(_xlpm.r_,1)))</f>
        <v>1.5</v>
      </c>
      <c r="EN206">
        <f t="shared" si="467"/>
        <v>2.5</v>
      </c>
      <c r="EO206" cm="1">
        <f t="array" ref="EO206">IF(OR(B206="",BZ206="",EC206&lt;&gt;1),"",_xlfn.LET(_xlpm.sz,Iдоп_S,_xlpm.t_,CHOOSE(EB206,Iдоп_1ж,Iдоп_2ж,Iдоп_3ж)*DZ206*EA206,_xlpm.ok,IFERROR((_xlpm.sz&gt;=MAX(1.5,CC206))*(_xlpm.t_&gt;=N(DT206)),0),_xlpm.r_,_xlfn._xlws.FILTER(_xlpm.sz,_xlpm.ok,""),INDEX(_xlpm.r_,1)))</f>
        <v>1.5</v>
      </c>
      <c r="EP206" s="6" cm="1">
        <f t="array" ref="EP206">IFERROR(ROUNDUP(N(EJ206)*(_xlfn.XLOOKUP(EO206,INDEX(Кабель_сопротивление,0,1),INDEX(Кабель_сопротивление,0,3))*N(P206)/EO206*N(CE206)+_xlfn.XLOOKUP(EO206,INDEX(Кабель_сопротивление,0,1),INDEX(Кабель_сопротивление,0,2))*N(P206)*N(EK206)/1000)*N(O206)/((Uн_лин/SQRT(3))*1000)*100,2),"")</f>
        <v>1.34</v>
      </c>
      <c r="EQ206">
        <f>IFERROR(2*ρкз_Cu*N(P206)/EO206,"")</f>
        <v>2.7702666666666667</v>
      </c>
      <c r="ER206">
        <f>IFERROR(VLOOKUP(EN206,Кабель_сопротивление,3,FALSE),"")</f>
        <v>2.2499999999999999E-2</v>
      </c>
      <c r="ES206">
        <f>IFERROR(VLOOKUP(EN206,Кабель_сопротивление,2,FALSE),"")</f>
        <v>0.1</v>
      </c>
      <c r="ET206">
        <f t="shared" si="468"/>
        <v>31</v>
      </c>
      <c r="EU206">
        <f t="shared" si="469"/>
        <v>0</v>
      </c>
      <c r="EV206">
        <f t="shared" si="470"/>
        <v>1.8539297532633696</v>
      </c>
      <c r="EW206" s="6">
        <f>IFERROR(ROUNDUP(EV206/IF(BV206=1,BU206,(Uн_лин/SQRT(3))*1000)*100,2),"")</f>
        <v>0.81</v>
      </c>
      <c r="EX206" t="str">
        <f>IFERROR(VLOOKUP(BZ206,Кабель_обозначение,2,FALSE),"")</f>
        <v>ВВГнг(А)-LS</v>
      </c>
      <c r="EY206" t="str">
        <f t="shared" si="471"/>
        <v>ВВГнг(А)-LS (3х2,5)</v>
      </c>
      <c r="EZ206" t="str">
        <f t="shared" si="472"/>
        <v>ВВГнг(А)-LS (3х2,5)
L=79-0,81%</v>
      </c>
      <c r="FA206">
        <f>IFERROR(2*ρкз_Cu*P206/EN206,"")</f>
        <v>1.6621600000000001</v>
      </c>
      <c r="FB206">
        <f t="shared" si="473"/>
        <v>0.55300000000000005</v>
      </c>
      <c r="FC206" s="6" t="str">
        <f>IFERROR(IF(OR(B206="",BV206=1,NOT(ISNUMBER(EN206)),N(P206)=0),"",_xlfn.XLOOKUP(A206,Щиты[Щит],Щиты[Zпетли на шинах, Ом])+FA206),"")</f>
        <v/>
      </c>
      <c r="FD206" s="6" t="str">
        <f>IF(ISNUMBER(FC206),c_min*(Uн_лин*1000/SQRT(3))/FC206,"")</f>
        <v/>
      </c>
      <c r="FE206" s="6" t="str">
        <f>IFERROR(IF(OR(B206="",NOT(ISNUMBER(EN206))),"",1.05*(Uн_лин*1000/SQRT(3))/(_xlfn.XLOOKUP(A206,Щиты[Щит],Щиты[Zmax на шинах, Ом])+FB206)/1000),"")</f>
        <v/>
      </c>
      <c r="FF206" s="6" t="str">
        <f>IF(B206="","",IF(ISNUMBER(AC206),"Сил",IF(IFERROR(_xlfn.XLOOKUP(BC206,Коды_код,Коды_группа)&amp;"","")="","Быт",_xlfn.XLOOKUP(BC206,Коды_код,Коды_группа)&amp;"")))</f>
        <v>Быт</v>
      </c>
      <c r="FG206" s="6" t="str">
        <f t="shared" si="474"/>
        <v>Быт</v>
      </c>
      <c r="FH206" s="6">
        <f>IF(FG206="Щит","щит",IF(FG206="","",IF(FG206="Быт",IFERROR(_xlfn.XLOOKUP(A206,Щиты[Щит],Щиты[Кс быт]),1),IF(FG206="Сил",IF(ISNUMBER(AC206),AC206,IF(Методика="нормы 2026",IFERROR(_xlfn.XLOOKUP(A206,Щиты[Щит],Щиты[Кс силовых (табл. 7.5)]),1),1)),IF(OR(FG206="Пост",FG206="Отоп"),1,IF(FG206="ВНГ",0.7,0))))))</f>
        <v>0.79799999999999993</v>
      </c>
      <c r="FI206">
        <f>IF(FG206="","",IF(AND(BP206=1,TRIM(AE206&amp;"")=""),IF(COUNTIFS(Линии[Щит],A206,Линии[Секция (1/2/3)],"&gt;=2")&gt;0,MIN(3,MAX(1,IFERROR(--BD206,1))),1),IFERROR(MIN(3,MAX(1,INT(--AE206))),1)))</f>
        <v>1</v>
      </c>
      <c r="FJ206">
        <f t="shared" si="475"/>
        <v>0.3</v>
      </c>
      <c r="FK206">
        <f t="shared" si="476"/>
        <v>0.3</v>
      </c>
      <c r="FL206">
        <f t="shared" si="477"/>
        <v>0</v>
      </c>
      <c r="FM206">
        <f t="shared" si="478"/>
        <v>0</v>
      </c>
      <c r="FN206">
        <f t="shared" si="479"/>
        <v>0</v>
      </c>
      <c r="FO206">
        <f t="shared" si="480"/>
        <v>0</v>
      </c>
      <c r="FP206">
        <f t="shared" si="481"/>
        <v>0.3</v>
      </c>
      <c r="FQ206">
        <f t="shared" si="482"/>
        <v>0.3</v>
      </c>
      <c r="FR206">
        <f t="shared" si="483"/>
        <v>0.28499999999999998</v>
      </c>
      <c r="FS206">
        <f>IF(CG206=1,IF(AND(CH206=1,CW206=1),0,IF(AND(CS206&lt;&gt;"",CS206=BA206,CW206=1),SUMIFS(Линии[_Р линии, кВт],Линии[_блок УЗО],BA206,Линии[Щит],A206),N(BS206)+IF(AJ206="вручную",0,N(CK206)))),0)</f>
        <v>0.3</v>
      </c>
      <c r="FT206" t="str">
        <f t="shared" si="484"/>
        <v>L3</v>
      </c>
      <c r="FU206" t="str">
        <f>IF(B206="","",IF(CG206=0,IF(BA206=1,"",FW205),IF(AND(CH206=1,CW206=1,CS206&lt;&gt;""),IFERROR(_xlfn.XLOOKUP(CS206,Линии[_n],Линии[_фаза итог]),"L1"),IF(OR(N(DL206)&gt;=3,N(BX206)&gt;=3),"L1,L2,L3",IFERROR(_xlfn.TEXTBEFORE(_xlfn.TEXTAFTER(_xlfn.XLOOKUP(A206,Щиты[Щит],Щиты[_фазы авто]),";"&amp;BA206&amp;":"),";"),"L1")))))</f>
        <v>L1</v>
      </c>
      <c r="FV206" t="str">
        <f t="shared" si="485"/>
        <v>L3</v>
      </c>
      <c r="FW206" t="str">
        <f t="shared" si="486"/>
        <v>L3</v>
      </c>
      <c r="FX206" cm="1">
        <f t="array" ref="FX206">IFERROR(IF(CD206=2,_xlfn.IFS(BX206=3,VLOOKUP(BS206,Справочная_двигатели,3,FALSE),BX206=1,VLOOKUP(BS206,Справочная_двигатели,5,TRUE)),0),0)</f>
        <v>0</v>
      </c>
      <c r="FY206">
        <f>IFERROR(IF(CD206=3,VLOOKUP(BS206,Справочная_ЛЭД,2,TRUE),0),0)</f>
        <v>0</v>
      </c>
      <c r="FZ206" s="6">
        <f t="shared" si="487"/>
        <v>0</v>
      </c>
      <c r="GA206" t="str">
        <f>IF(B206="","",IF(TRIM(AH206&amp;"")&lt;&gt;"",IF(LOWER(TRIM(AH206&amp;""))="да","да","нет"),IF(IFERROR(_xlfn.XLOOKUP(BC206,Коды_код,Коды_пожарная),"")="да","да","нет")))</f>
        <v>нет</v>
      </c>
      <c r="GB206" t="str">
        <f t="shared" si="488"/>
        <v/>
      </c>
      <c r="GC206" t="str">
        <f t="shared" si="489"/>
        <v>основная</v>
      </c>
      <c r="GD206">
        <f>IF(AND(BP206=1,TRIM(AE206&amp;"")=""),IF(COUNTIFS(Линии[Щит],A206,Линии[Секция (1/2/3)],"&gt;=2")&gt;0,MIN(3,MAX(1,IFERROR(--BD206,1))),1),IFERROR(MIN(3,MAX(1,INT(--AE206))),1))</f>
        <v>1</v>
      </c>
      <c r="GE206" t="str" cm="1">
        <f t="array" ref="GE206">IF(B206="","",_xlfn.LET(_xlpm.t,IFERROR(_xlfn.XLOOKUP(1,(Шины[Шина]=GC206)*(((Шины[Щит]=A206)+(Шины[Щит]=""))&gt;0),Шины[Тип]),"")&amp;"",IF(_xlpm.t&lt;&gt;"",_xlpm.t,IF(ISNUMBER(SEARCH("ИБП",GC206)),"ИБП",IF(ISNUMBER(SEARCH("ДГУ",GC206)),"ДГУ","Ввод "&amp;GD206)))))</f>
        <v>Ввод 1</v>
      </c>
      <c r="GF206" t="str">
        <f t="shared" si="490"/>
        <v>Ввод 1</v>
      </c>
      <c r="GG206" t="str">
        <f>IF(BP206=0,"",IF(TRIM(AG206&amp;"")&lt;&gt;"",TRIM(AG206&amp;""),IF(OR(GE206="ИБП",GE206="ДГУ"),"I особая",_xlfn.XLOOKUP(A206,Щиты[Щит],Щиты[Категория шины «Ввод»],"III"))))</f>
        <v/>
      </c>
      <c r="GH206" t="str">
        <f>IF(A206="","",_xlfn.XLOOKUP(A206,Щиты[Щит],Щиты[Путь],""))</f>
        <v>|ГРЩ-ЖД|ЩР-01|</v>
      </c>
      <c r="GI206" t="str">
        <f>IF(B206="","",IF(AI206&lt;&gt;"",AI206,IF(IFERROR(_xlfn.XLOOKUP(BC206,Коды_код,Коды_вид)&amp;"","")="","Прочее",_xlfn.XLOOKUP(BC206,Коды_код,Коды_вид)&amp;"")))</f>
        <v>Розеточная сеть и бытовые приборы</v>
      </c>
      <c r="GJ206">
        <f>IF(BM206="","",INT((BM206-1)/Столбцов_на_лист)+1)</f>
        <v>2</v>
      </c>
      <c r="GK206" t="str">
        <f t="shared" si="491"/>
        <v>ВВГнг(А)-LS (3х2,5) L=79-0,81%</v>
      </c>
      <c r="GL206">
        <f t="shared" si="492"/>
        <v>0.3</v>
      </c>
      <c r="GM206">
        <f t="shared" si="493"/>
        <v>1.37</v>
      </c>
      <c r="GN206">
        <f t="shared" si="494"/>
        <v>1</v>
      </c>
      <c r="GO206">
        <f t="shared" si="495"/>
        <v>0</v>
      </c>
      <c r="GP206">
        <f t="shared" si="496"/>
        <v>1</v>
      </c>
      <c r="GQ206">
        <f>IF(BM206="","",IF(AND(CG206=1,GP206=1),COUNTIFS(A$3:A206,A206,CG$3:CG206,1,GP$3:GP206,1),IF(OR(OR(BA206=1,A206&lt;&gt;A205),AJ206="вручную",GP206=0),"",IF(BA206=1,"",GR205))))</f>
        <v>22</v>
      </c>
      <c r="GR206">
        <f t="shared" si="497"/>
        <v>22</v>
      </c>
      <c r="GS206">
        <f>IF(B206="","",IFERROR(LOOKUP(INDEX(CHOOSE(EB206,Iдоп_1ж,Iдоп_2ж,Iдоп_3ж),MATCH(EN206,Iдоп_S,0))*DZ206*EA206,{6,10,16,20,25,32,40,50,63,80,100,125,160,200,250,315,400,500,630}),""))</f>
        <v>25</v>
      </c>
      <c r="GT206" t="str">
        <f t="shared" si="498"/>
        <v>QFD22</v>
      </c>
      <c r="GU206" t="str">
        <f t="shared" si="499"/>
        <v>QFD22</v>
      </c>
      <c r="GV206" t="str">
        <f t="shared" si="500"/>
        <v/>
      </c>
      <c r="GW206">
        <f t="shared" si="501"/>
        <v>0</v>
      </c>
      <c r="GX206" t="str">
        <f>IF(OR(B206="",DJ206=""),"",IFERROR(_xlfn.XLOOKUP(DJ206,Модули_умолч[Управление],Модули_умолч[Модель])&amp;"",""))</f>
        <v/>
      </c>
      <c r="GY206">
        <f>IF(DJ206="",1,IFERROR(MAX(0,N(_xlfn.XLOOKUP(DJ206,Модули_умолч[Управление],Модули_умолч[Каналов на линию]))),1))</f>
        <v>1</v>
      </c>
      <c r="GZ206" t="str">
        <f t="shared" si="502"/>
        <v/>
      </c>
      <c r="HA206" t="str">
        <f t="shared" si="503"/>
        <v/>
      </c>
      <c r="HB206" t="str">
        <f t="shared" si="504"/>
        <v/>
      </c>
      <c r="HC206">
        <f>IF(HB206="",0,IFERROR(N(VLOOKUP(HB206,Модули_спр,3,FALSE)),0))</f>
        <v>0</v>
      </c>
      <c r="HD206" t="str">
        <f t="shared" si="505"/>
        <v/>
      </c>
      <c r="HE206" t="str">
        <f t="shared" si="506"/>
        <v/>
      </c>
      <c r="HF206" t="str">
        <f>IF(OR(HE206="",HE206="-"),"",IFERROR(VLOOKUP(HE206,Модули_спр,2,FALSE),"R"))</f>
        <v/>
      </c>
      <c r="HG206" t="str">
        <f>IF(HF206="","",HF206&amp;"."&amp;COUNTIFS(A$3:A206,A206,HF$3:HF206,HF206))</f>
        <v/>
      </c>
      <c r="HH206" t="str">
        <f t="shared" si="507"/>
        <v/>
      </c>
      <c r="HI206" t="str">
        <f t="shared" si="508"/>
        <v/>
      </c>
      <c r="HJ206" t="str">
        <f t="shared" si="509"/>
        <v/>
      </c>
      <c r="HK206" t="str">
        <f t="shared" si="510"/>
        <v/>
      </c>
      <c r="HL206">
        <f t="shared" si="511"/>
        <v>1</v>
      </c>
      <c r="HM206" t="str">
        <f>IF(HL206=1,"XT"&amp;COUNTIFS(A$3:A206,A206,HL$3:HL206,1),"")</f>
        <v>XT22</v>
      </c>
      <c r="HN206" t="str">
        <f t="shared" si="512"/>
        <v/>
      </c>
      <c r="HO206" t="str">
        <f t="shared" si="513"/>
        <v>QFD22</v>
      </c>
      <c r="HP206" t="str">
        <f t="shared" si="514"/>
        <v/>
      </c>
      <c r="HQ206" t="str">
        <f t="shared" si="515"/>
        <v>ok</v>
      </c>
      <c r="HR206" t="str">
        <f>IF(OR(HJ206="",HH206=""),"",IF(HJ206+MAX(0,GY206-1)&gt;IFERROR(VLOOKUP(HI206,Модули_спр,3,FALSE),99),"ЛИШНИЙ КАНАЛ",IF(AND(AL206&lt;&gt;"=",GY206&gt;0,COUNTIFS(Линии[_модуль гр.],HH206,Линии[Канал (итог)],HJ206,Линии[Канал],"&lt;&gt;=",Линии[Щит],A206)&gt;1),"ДУБЛЬ КАНАЛА","")))</f>
        <v/>
      </c>
      <c r="HS206" s="6" t="str">
        <f t="shared" si="516"/>
        <v/>
      </c>
      <c r="HT206">
        <f t="shared" si="517"/>
        <v>10</v>
      </c>
      <c r="HU206" t="str">
        <f t="shared" si="518"/>
        <v/>
      </c>
      <c r="HV206">
        <f t="shared" si="519"/>
        <v>1.3369634129164876</v>
      </c>
      <c r="HW206">
        <f t="shared" si="520"/>
        <v>0</v>
      </c>
      <c r="HX206">
        <f t="shared" si="521"/>
        <v>0</v>
      </c>
      <c r="HY206">
        <f t="shared" si="522"/>
        <v>0</v>
      </c>
      <c r="HZ206">
        <f t="shared" si="523"/>
        <v>0</v>
      </c>
      <c r="IA206">
        <f t="shared" si="524"/>
        <v>0</v>
      </c>
      <c r="IB206">
        <f t="shared" si="525"/>
        <v>0</v>
      </c>
      <c r="IC206" t="str">
        <f t="shared" si="526"/>
        <v/>
      </c>
      <c r="ID206" t="str" cm="1">
        <f t="array" ref="ID206">IF(IC206="","",_xlfn.LET(_xlpm.tk,_xlfn.TEXTSPLIT(SUBSTITUTE(SUBSTITUTE(IC206,";"," "),"→"," ")," ",,TRUE),_xlpm.w_,_xlfn._xlws.FILTER(_xlpm.tk,ISNUMBER(--LEFT(_xlpm.tk,1))*((ISNUMBER(SEARCH("W",_xlpm.tk))+ISNUMBER(SEARCH("Вт",_xlpm.tk)))&gt;0),""),IFERROR(--SUBSTITUTE(SUBSTITUTE(UPPER(INDEX(_xlpm.w_,1)),"W",""),"ВТ",""),"")))</f>
        <v/>
      </c>
      <c r="IE206" t="str" cm="1">
        <f t="array" ref="IE206">IF(IC206="","",_xlfn.LET(_xlpm.tk,_xlfn.TEXTSPLIT(SUBSTITUTE(SUBSTITUTE(IC206,";"," "),"→"," ")," ",,TRUE),_xlpm.v_,_xlfn._xlws.FILTER(_xlpm.tk,ISNUMBER(--LEFT(_xlpm.tk,1))*((ISNUMBER(SEARCH("V",_xlpm.tk))+(RIGHT(UPPER(_xlpm.tk))="В"))&gt;0),""),IFERROR(--SUBSTITUTE(SUBSTITUTE(UPPER(INDEX(_xlpm.v_,1)),"V",""),"В",""),"")))</f>
        <v/>
      </c>
      <c r="IF206" s="6" t="str">
        <f>IF(OR(BV206=0,HI206="",HJ206=""),"",IFERROR(N(_xlfn.XLOOKUP(HI206,Каталог!$C$4:$C$500,Каталог!$Q$4:$Q$500)),""))</f>
        <v/>
      </c>
      <c r="IG206" s="6" t="str">
        <f>IF(N(IF206)=0,"",SUMIFS(Линии[Iр, А],Линии[Щит],A206,Линии[_модуль гр.],HH206,Линии[Канал (итог)],HJ206))</f>
        <v/>
      </c>
      <c r="IH206" t="str">
        <f>IF(AND(B206="",HO206=""),"",_xlfn.TEXTJOIN("; ",TRUE,IF(AND(B206&lt;&gt;"",FV206=""),"нет фазы",""),IF(AND(B206&lt;&gt;"",N(GL206)=0,FG206&lt;&gt;"Нет"),"нет мощности",""),IF(AND(HN206&lt;&gt;"",COUNTIFS(Линии[Щит],A206,Линии[Клемма (итог)],HN206)&gt;1),"дубль клеммы "&amp;HN206,""),IF(AND(HQ206&lt;&gt;"",HQ206&lt;&gt;"ok"),HQ206,""),IF(HR206&lt;&gt;"",HR206,""),IF(AND(N(CB206)&gt;=4,N(BX206)=1),CB206&amp;" жил на 1 фазе",""),IF(AND(BC206="R",CG206=1,IF(CS206&lt;&gt;"",N(CV206)&gt;30,OR(N(DA206)=0,N(DA206)&gt;30))),"розетка без дифзащиты до 30 мА",""),IF(AND(CG206=1,N(DA206)&gt;0,ISNUMBER(T206)),IF(T206&gt;N(DA206)/3,"ток утечки "&amp;FIXED(T206,1)&amp;" мА &gt; 1/3 уставки ("&amp;DA206&amp;" мА)",""),""),IF(AND(CH206=1,CS206=""),"«узо»: нет строки с УЗО выше (УЗО 2P 40А 30мА в «Аппаратах»)",""),IF(AND(CS206&lt;&gt;"",CS206=BA206),IF(CT206="","впишите номинал УЗО (УЗО 2P 40А 30мА)",IF(N(CT206)&lt;N(DT206),"УЗО "&amp;CT206&amp;" А &lt; автомата "&amp;DT206&amp;" А перед ним",IF(N(CT206)&lt;N(CX206),"УЗО "&amp;CT206&amp;" А &lt; тока блока "&amp;FIXED(CX206,1)&amp;" А",""))),""),IF(AND(CS206&lt;&gt;"",CS206=BA206,ISNUMBER(CY206)),IF(CY206&gt;N(CV206)/3,"ток утечки блока УЗО "&amp;FIXED(CY206,1)&amp;" мА &gt; 1/3 уставки ("&amp;CV206&amp;" мА)",""),""),IF(AND(CG206=1,N(BV206)+N(IB206)&gt;0,IC206=""),"линии до 50 В без БП: впишите в «Аппараты» (БП 24V 480W)",""),IF(AND(CG206=1,ISNUMBER(ID206),ISNUMBER(U206)),IF(U206&gt;ID206,"БП "&amp;ID206&amp;" Вт &lt; нужно "&amp;U206&amp;" Вт (×"&amp;Запас_БП&amp;")",""),""),IF(AND(CG206=1,ISNUMBER(IE206),N(BV206)=1),IF(IE206&lt;&gt;N(BU206),"БП на "&amp;IE206&amp;" В, линия "&amp;BU206&amp;" В",""),""),IF(AND(N(IF206)&gt;0,N(IG206)&gt;N(IF206)),HH206&amp;" канал "&amp;HJ206&amp;": "&amp;FIXED(IG206,1)&amp;" А &gt; "&amp;IF206&amp;" А",""),IFERROR(IF(AND(ISNUMBER(Q206),Q206&gt;EL206),"потери "&amp;FIXED(Q206,1)&amp;" % &gt; "&amp;EL206&amp;" %",""),""),IFERROR(IF(LEFT(HU206,4)="мало","Iкз мало — отключение &gt; 0,4 с",""),""),IF(AND(B206&lt;&gt;"",BM206=""),"не на схеме",""),IF(AND(CG206=0,B206&lt;&gt;"",FV206&lt;&gt;"",IF(BA206=1,"",FW205)&lt;&gt;"",FV206&lt;&gt;IF(BA206=1,"",FW205)),"фаза не как у автомата группы ("&amp;IF(BA206=1,"",FW205)&amp;")","")))</f>
        <v/>
      </c>
      <c r="II206" s="6">
        <f>IF(OR(CG206=0,DQ206=""),"",_xlfn.LET(_xlpm.t,IFERROR(_xlfn.XLOOKUP(DQ206,Каталог!$U$4:$U$500,Каталог!$G$4:$G$500),""),_xlpm.k,SEARCH("кА",_xlpm.t),IFERROR(--TRIM(RIGHT(SUBSTITUTE(MID(_xlpm.t,MAX(1,_xlpm.k-4),_xlpm.k-MAX(1,_xlpm.k-4))," ",REPT(" ",9)),5)),"")))</f>
        <v>6</v>
      </c>
      <c r="IJ206" t="str">
        <f>IF(OR(II206="",CG206=0),"",IF(_xlfn.XLOOKUP(A206,Щиты[Щит],Щиты[Iкз max на шинах, кА],"")="","",IF(II206&lt;_xlfn.XLOOKUP(A206,Щиты[Щит],Щиты[Iкз max на шинах, кА]),"Icu "&amp;II206&amp;" кА &lt; Iкз max","ok")))</f>
        <v/>
      </c>
      <c r="IK206" t="str">
        <f t="shared" si="527"/>
        <v/>
      </c>
      <c r="IL206" t="str">
        <f t="shared" si="528"/>
        <v>QFD22</v>
      </c>
      <c r="IM206" t="str">
        <f t="shared" si="529"/>
        <v>QFD22|кабель ВВГнг(А)-LS (3х2,5) → Розеточная группа, пом. 012A</v>
      </c>
      <c r="IN206" t="str" cm="1">
        <f t="array" ref="IN206">IF(IM206="","",_xlfn.LET(_xlpm.nd,_xlfn.TEXTSPLIT(IM206,"|"),IF(COLUMNS(_xlpm.nd)&gt;1,A206&amp;"¦"&amp;INDEX(_xlpm.nd,1)&amp;"¦"&amp;INDEX(_xlpm.nd,2),"")))</f>
        <v>ЩР-01¦QFD22¦кабель ВВГнг(А)-LS (3х2,5) → Розеточная группа, пом. 012A</v>
      </c>
      <c r="IO206" t="str">
        <f t="shared" si="530"/>
        <v>R.0.012A.1¦Розеточная группа, пом. 012A</v>
      </c>
      <c r="IP206" t="str" cm="1">
        <f t="array" ref="IP206">IF(IM206="","",_xlfn.LET(_xlpm.nd,_xlfn.TEXTSPLIT(IM206,"|"),IF(COLUMNS(_xlpm.nd)&gt;2,A206&amp;"¦"&amp;INDEX(_xlpm.nd,2)&amp;"¦"&amp;INDEX(_xlpm.nd,3),"")))</f>
        <v/>
      </c>
      <c r="IQ206" t="str">
        <f t="shared" si="531"/>
        <v/>
      </c>
      <c r="IR206" t="str" cm="1">
        <f t="array" ref="IR206">IF(IM206="","",_xlfn.LET(_xlpm.nd,_xlfn.TEXTSPLIT(IM206,"|"),IF(COLUMNS(_xlpm.nd)&gt;3,A206&amp;"¦"&amp;INDEX(_xlpm.nd,3)&amp;"¦"&amp;INDEX(_xlpm.nd,4),"")))</f>
        <v/>
      </c>
      <c r="IS206" t="str">
        <f t="shared" si="532"/>
        <v/>
      </c>
      <c r="IT206" t="str" cm="1">
        <f t="array" ref="IT206">IF(IM206="","",_xlfn.LET(_xlpm.nd,_xlfn.TEXTSPLIT(IM206,"|"),IF(COLUMNS(_xlpm.nd)&gt;4,A206&amp;"¦"&amp;INDEX(_xlpm.nd,4)&amp;"¦"&amp;INDEX(_xlpm.nd,5),"")))</f>
        <v/>
      </c>
      <c r="IU206" t="str">
        <f t="shared" si="533"/>
        <v/>
      </c>
      <c r="IV206" t="str" cm="1">
        <f t="array" ref="IV206">IF(IM206="","",_xlfn.LET(_xlpm.nd,_xlfn.TEXTSPLIT(IM206,"|"),IF(COLUMNS(_xlpm.nd)&gt;5,A206&amp;"¦"&amp;INDEX(_xlpm.nd,5)&amp;"¦"&amp;INDEX(_xlpm.nd,6),"")))</f>
        <v/>
      </c>
      <c r="IW206" t="str">
        <f t="shared" si="534"/>
        <v/>
      </c>
      <c r="IX206" t="str" cm="1">
        <f t="array" ref="IX206">IF(IM206="","",_xlfn.LET(_xlpm.nd,_xlfn.TEXTSPLIT(IM206,"|"),IF(COLUMNS(_xlpm.nd)&gt;6,A206&amp;"¦"&amp;INDEX(_xlpm.nd,6)&amp;"¦"&amp;INDEX(_xlpm.nd,7),"")))</f>
        <v/>
      </c>
      <c r="IY206" t="str">
        <f t="shared" si="535"/>
        <v/>
      </c>
      <c r="IZ206" t="str">
        <f t="shared" si="536"/>
        <v/>
      </c>
      <c r="JA206" t="str">
        <f t="shared" si="537"/>
        <v>QFD22</v>
      </c>
      <c r="JB206">
        <f t="shared" si="538"/>
        <v>0</v>
      </c>
      <c r="JC206">
        <f t="shared" si="539"/>
        <v>1</v>
      </c>
      <c r="JD206" t="str">
        <f t="shared" si="540"/>
        <v/>
      </c>
      <c r="JE206" t="str">
        <f t="shared" si="541"/>
        <v/>
      </c>
      <c r="JF206" t="str">
        <f t="shared" si="542"/>
        <v/>
      </c>
      <c r="JG206" t="str">
        <f t="shared" si="543"/>
        <v/>
      </c>
      <c r="JH206" t="str">
        <f>IF(B206="","",IFERROR(_xlfn.XLOOKUP(B206,Коды_код,Коды_уго),IFERROR(_xlfn.XLOOKUP(BC206,Коды_код,Коды_уго),IFERROR(_xlfn.XLOOKUP(LEFT(BC206,2),Коды_код,Коды_уго),""))))</f>
        <v>Розетка</v>
      </c>
      <c r="JI206" t="str">
        <f>IF(B206="","",IF(OR(JH206="",JH206=0),"BOX",IFERROR(IF(VLOOKUP(JH206,УГО_блоки,3,FALSE)&amp;""&lt;&gt;"",VLOOKUP(JH206,УГО_блоки,3,FALSE),VLOOKUP(JH206,УГО_блоки,2,FALSE)),JH206)))</f>
        <v>SOCKET</v>
      </c>
      <c r="JJ206">
        <f t="shared" si="544"/>
        <v>1</v>
      </c>
      <c r="JK206" t="str">
        <f>IF(DQ206="","",IF(COUNTIF(DQ$3:DQ206,DQ206)=1,MAX(JK$2:JK205)+1,""))</f>
        <v/>
      </c>
      <c r="JL206" t="str">
        <f>IF(DE206="","",IF(COUNTIF(DE$3:DE206,DE206)+COUNTIF(DF$2:DF205,DE206)+COUNTIF(DG$2:DG205,DE206)=1,MAX(JL$2:JN205)+1,""))</f>
        <v/>
      </c>
      <c r="JM206" t="str">
        <f>IF(DF206="","",IF(COUNTIF(DE$3:DE206,DF206)+COUNTIF(DF$3:DF206,DF206)+COUNTIF(DG$2:DG205,DF206)=1,MAX(JL$2:JN205,JL206)+1,""))</f>
        <v/>
      </c>
      <c r="JN206" t="str">
        <f>IF(DG206="","",IF(COUNTIF(DE$3:DE206,DG206)+COUNTIF(DF$3:DF206,DG206)+COUNTIF(DG$3:DG206,DG206)=1,MAX(JL$2:JN205,JL206,JM206)+1,""))</f>
        <v/>
      </c>
      <c r="JO206" t="str">
        <f t="shared" si="545"/>
        <v>3х2,5</v>
      </c>
      <c r="JP206" t="str">
        <f>IF(JO206="","",IF(COUNTIF(JO$3:JO206,JO206)=1,MAX(JP$2:JP205)+1,""))</f>
        <v/>
      </c>
      <c r="JQ206" t="str">
        <f>IF(HG206="","",COUNTIF(HG$3:HG206,"?*"))</f>
        <v/>
      </c>
      <c r="JR206" t="str">
        <f>IF(OR(HG206="",HI206=""),"",IF(COUNTIFS(HG$3:HG206,"?*",HI$3:HI206,HI206)=1,MAX(JR$2:JR205)+1,""))</f>
        <v/>
      </c>
      <c r="JS206">
        <f t="shared" si="546"/>
        <v>0</v>
      </c>
      <c r="JT206">
        <f>IF(B206="","",COUNTIF(B$3:B206,"?*"))</f>
        <v>204</v>
      </c>
      <c r="JU206">
        <f>IF(HL206&lt;&gt;1,0,_xlfn.LET(_xlpm.k,MAX(IFERROR(--_xlfn.XLOOKUP(B206,Коды_код,Коды_3L),0),IFERROR(--_xlfn.XLOOKUP(BC206,Коды_код,Коды_3L),0),IFERROR(--_xlfn.XLOOKUP(LEFT(BC206,2),Коды_код,Коды_3L),0)),IF(_xlpm.k&gt;0,_xlpm.k,IF(IFERROR(--LEFT(SUBSTITUTE(JO206,"x","х"),FIND("х",SUBSTITUTE(JO206,"x","х"))-1),3)&gt;3,Каталог!$S$9,1))))</f>
        <v>1</v>
      </c>
      <c r="JV206">
        <f t="shared" si="547"/>
        <v>0</v>
      </c>
      <c r="JW206" t="str">
        <f t="shared" si="548"/>
        <v>авто</v>
      </c>
      <c r="JX206">
        <f t="shared" si="549"/>
        <v>30</v>
      </c>
      <c r="JY206">
        <f t="shared" si="550"/>
        <v>1</v>
      </c>
      <c r="JZ206">
        <f t="shared" si="551"/>
        <v>1</v>
      </c>
    </row>
    <row r="207" spans="1:286" x14ac:dyDescent="0.3">
      <c r="A207" t="s">
        <v>755</v>
      </c>
      <c r="B207" t="s">
        <v>1514</v>
      </c>
      <c r="C207" t="str">
        <f>Линии[[#This Row],[_авто наименование]]</f>
        <v>Розеточная группа, пом. 013A</v>
      </c>
      <c r="D207">
        <v>2</v>
      </c>
      <c r="E207">
        <v>0.12</v>
      </c>
      <c r="G207" t="str">
        <f>Линии[[#This Row],[_авто автомат]]</f>
        <v>2P С16А 30мА</v>
      </c>
      <c r="H207" t="str">
        <f>Линии[[#This Row],[_авто управление]]</f>
        <v/>
      </c>
      <c r="I207" t="str">
        <f>Линии[[#This Row],[_авто аппараты]]</f>
        <v/>
      </c>
      <c r="J207">
        <v>2.5</v>
      </c>
      <c r="K207">
        <v>54</v>
      </c>
      <c r="L207">
        <v>3</v>
      </c>
      <c r="M207" t="s">
        <v>484</v>
      </c>
      <c r="N207" t="str">
        <f t="shared" si="414"/>
        <v/>
      </c>
      <c r="O207" s="6" cm="1">
        <f t="array" ref="O207">IF(B207="","",IF(BH207&lt;&gt;"",IFERROR(_xlfn.XLOOKUP(BH207,Щиты[Щит],Щиты[Iр, А]),""),IF(BP207=1,IF(OR(N(_xlfn.XLOOKUP(A207,Щиты[Щит],Щиты[Вводов],1))&lt;=1,LOWER(TRIM(_xlfn.XLOOKUP(A207,Щиты[Щит],Щиты[АВР],"")&amp;""))="да"),IFERROR(_xlfn.XLOOKUP(A207,Щиты[Щит],Щиты[Iр, А]),""),IFERROR(N(BS207)*_xlfn.XLOOKUP(A207,Щиты[Щит],Щиты[Кс итог])/(SQRT(3)*Uн_лин*_xlfn.XLOOKUP(A207,Щиты[Щит],Щиты[cos φ])),"")),IF(BV207=1,IFERROR(BS207*1000/BU207,""),IFERROR(_xlfn.IFS(BX207=1,BS207/((Uн_лин/SQRT(3))*CE207),BX207=3,BS207/(SQRT(3)*Uн_лин*CE207)),"")))))</f>
        <v>0.54696341291648753</v>
      </c>
      <c r="P207" s="7">
        <f>IF(B207="","",IFERROR(IF(VLOOKUP(BC207,Потребители_обозначение,4,FALSE)=1,VLOOKUP(BC207,Потребители_обозначение,3,FALSE)*(MAX(1,N(D207))*2-1)+EI207+VLOOKUP(BE207,Этаж_обозначение,3,FALSE)+VLOOKUP(BE207,Этаж_обозначение,4,FALSE),VLOOKUP(BC207,Потребители_обозначение,3,FALSE)*(MAX(1,N(D207))*2-1)+EI207),EI207))</f>
        <v>63</v>
      </c>
      <c r="Q207" s="6">
        <f t="shared" si="415"/>
        <v>0.69</v>
      </c>
      <c r="R207" t="str">
        <f t="shared" si="416"/>
        <v>ВВГнг(А)-LS (3х2,5)</v>
      </c>
      <c r="S207" t="str">
        <f>IF(BM207="","",IF(BN207="вводной узел","узел ","")&amp;"л."&amp;(INT((BM207-1)/Столбцов_на_лист)+1)&amp;" / "&amp;(MOD(BM207-1,Столбцов_на_лист)+1))</f>
        <v>л.2 / 16</v>
      </c>
      <c r="T207" s="119">
        <f t="shared" si="417"/>
        <v>0.8</v>
      </c>
      <c r="U207" s="7" t="str">
        <f>IF(OR(CG207=0,N(BV207)+N(IB207)=0),"",ROUNDUP(Запас_БП*(N(HY207)+N(HZ207)),0))</f>
        <v/>
      </c>
      <c r="V207" s="119" t="str">
        <f t="shared" si="418"/>
        <v/>
      </c>
      <c r="W207" s="7" t="str">
        <f>IFERROR(IF(OR(B207="",BP207=1,BV207=1,NOT(ISNUMBER(EN207)),N(DT207)=0),"",MAX(0,ROUNDDOWN((c_min*(Uн_лин*1000/SQRT(3))/(HT207*N(DT207))-_xlfn.XLOOKUP(A207,Щиты[Щит],Щиты[Zпетли на шинах, Ом]))*EN207/(2*ρкз_Cu),0))),"")</f>
        <v/>
      </c>
      <c r="Y207">
        <f>Линии[[#This Row],[_авто утечка]]</f>
        <v>30</v>
      </c>
      <c r="Z207">
        <v>1</v>
      </c>
      <c r="AA207">
        <v>230</v>
      </c>
      <c r="AB207" t="s">
        <v>562</v>
      </c>
      <c r="AG207" t="s">
        <v>810</v>
      </c>
      <c r="AI207" t="s">
        <v>561</v>
      </c>
      <c r="AK207" t="str">
        <f>Линии[[#This Row],[_авто модуль]]</f>
        <v/>
      </c>
      <c r="AM207">
        <v>33</v>
      </c>
      <c r="AN207" t="s">
        <v>11</v>
      </c>
      <c r="AO207">
        <v>3</v>
      </c>
      <c r="AQ207">
        <v>40</v>
      </c>
      <c r="AR207">
        <v>23</v>
      </c>
      <c r="AS207">
        <v>8</v>
      </c>
      <c r="BA207" cm="1">
        <f t="array" ref="BA207">ROW()-ROW(Линии[#Headers])</f>
        <v>205</v>
      </c>
      <c r="BC207" s="6" t="str">
        <f t="shared" si="419"/>
        <v>R</v>
      </c>
      <c r="BD207" t="str">
        <f t="shared" si="420"/>
        <v>0.013A.1</v>
      </c>
      <c r="BE207" t="str">
        <f t="shared" si="421"/>
        <v>0</v>
      </c>
      <c r="BF207" t="str">
        <f t="shared" si="422"/>
        <v>013A.1</v>
      </c>
      <c r="BG207" t="str">
        <f t="shared" si="423"/>
        <v>013A</v>
      </c>
      <c r="BH207" t="str">
        <f>IF(X207&lt;&gt;"",X207,IF(AND(B207&lt;&gt;"",B207&lt;&gt;A207,ISNUMBER(_xlfn.XMATCH(B207,Щиты[Щит]))),B207,""))</f>
        <v/>
      </c>
      <c r="BI207" t="str" cm="1">
        <f t="array" ref="BI207">IF(B207="","",IF(BH207&lt;&gt;"","Щит "&amp;BH207,_xlfn.LET(_xlpm.nm,IFERROR(_xlfn.XLOOKUP(BC207,Коды_код,Коды_имя)&amp;"",""),_xlpm.md,IFERROR(N(_xlfn.XLOOKUP(BC207,Коды_код,Коды_режим)),1),_xlpm.ex,IF(Имя_режим="по экспликации",IFERROR(_xlfn.XLOOKUP(BE207&amp;"|"&amp;BG207,Экспликация[Этаж]&amp;"|"&amp;Экспликация[Помещение],Экспликация[Название])&amp;"",""),""),_xlpm.rm,IF(BG207="","",IF(_xlpm.ex&lt;&gt;"",". "&amp;_xlpm.ex&amp;IF(Имя_пом="нет"," ("&amp;BG207&amp;")"," (пом. "&amp;BG207&amp;")"),IF(Имя_пом="нет"," ",", пом. ")&amp;BG207)),IF(_xlpm.nm="","",IF(_xlpm.md=2,_xlpm.nm&amp;" шлейф "&amp;BE207,_xlpm.nm&amp;_xlpm.rm)))))</f>
        <v>Розеточная группа, пом. 013A</v>
      </c>
      <c r="BJ207" t="str">
        <f t="shared" si="424"/>
        <v>Розеточная группа, пом. 013A</v>
      </c>
      <c r="BK207">
        <f>IFERROR(_xlfn.XMATCH(A207,Щиты[Щит]),0)</f>
        <v>9</v>
      </c>
      <c r="BL207">
        <f>_xlfn.LET(_xlpm.k,IFERROR(_xlfn.XLOOKUP(A207,Щиты[Щит],Щиты[Мест под вводной узел]),""),IF(_xlpm.k="",Столбцов_на_лист,N(_xlpm.k)))</f>
        <v>8</v>
      </c>
      <c r="BM207">
        <f t="shared" si="425"/>
        <v>33</v>
      </c>
      <c r="BN207" t="str">
        <f t="shared" si="426"/>
        <v>линии</v>
      </c>
      <c r="BO207" s="6">
        <f>IFERROR(N(_xlfn.XLOOKUP(BC207,Коды_код,Коды_квт)),0)</f>
        <v>0</v>
      </c>
      <c r="BP207">
        <f t="shared" si="427"/>
        <v>0</v>
      </c>
      <c r="BQ207" t="str">
        <f>IF(B207="","",IF(BH207&lt;&gt;"",IFERROR(_xlfn.XLOOKUP(BH207,Щиты[Щит],Щиты[Руст, кВт]),0),IF(BP207=1,IF(OR(N(_xlfn.XLOOKUP(A207,Щиты[Щит],Щиты[Вводов],1))&lt;=1,LOWER(TRIM(_xlfn.XLOOKUP(A207,Щиты[Щит],Щиты[АВР],"")&amp;""))="да"),IFERROR(_xlfn.XLOOKUP(A207,Щиты[Щит],Щиты[Руст, кВт]),0),SUMIFS(Линии[_Р для вводов],Линии[Щит],A207,Линии[Источник для режимов],GF207)),IF(BO207&gt;0,ROUND(BO207*MAX(1,N(D207)),3),""))))</f>
        <v/>
      </c>
      <c r="BR207">
        <f t="shared" si="428"/>
        <v>0.12</v>
      </c>
      <c r="BS207" s="6">
        <f>IF(B207="","",IF(BH207&lt;&gt;"",IFERROR(_xlfn.XLOOKUP(BH207,Щиты[Щит],Щиты[Руст, кВт]),0),N(BR207)))</f>
        <v>0.12</v>
      </c>
      <c r="BT207" t="str">
        <f>IF(B207="","",IFERROR(IF(VLOOKUP(BC207,Потребители_обозначение,8,FALSE)=0,"",VLOOKUP(BC207,Потребители_обозначение,8,FALSE)),""))</f>
        <v/>
      </c>
      <c r="BU207">
        <f t="shared" si="429"/>
        <v>230</v>
      </c>
      <c r="BV207">
        <f t="shared" si="430"/>
        <v>0</v>
      </c>
      <c r="BW207">
        <f>IF(B207="","",IF(BH207&lt;&gt;"",3,IFERROR(IF(N(VLOOKUP(BC207,Потребители_обозначение,9,FALSE))=0,1,VLOOKUP(BC207,Потребители_обозначение,9,FALSE)),1)))</f>
        <v>1</v>
      </c>
      <c r="BX207">
        <f t="shared" si="431"/>
        <v>1</v>
      </c>
      <c r="BY207" t="str">
        <f>IF(B207="","",_xlfn.LET(_xlpm.bc,IFERROR(IF(VLOOKUP(BC207,Потребители_обозначение,6,FALSE)=0,"",VLOOKUP(BC207,Потребители_обозначение,6,FALSE)&amp;""),""),IF(AND(GA207="да",OR(_xlpm.bc="",_xlpm.bc="мс")),Марка_пож,IF(AND(_xlpm.bc="",BH207&lt;&gt;""),"мс",_xlpm.bc))))</f>
        <v/>
      </c>
      <c r="BZ207" t="str">
        <f t="shared" si="432"/>
        <v>мс</v>
      </c>
      <c r="CA207">
        <f>IF(B207="","",_xlfn.LET(_xlpm.cc,IFERROR(N(VLOOKUP(BC207,Потребители_обозначение,7,FALSE)),0),IF(_xlpm.cc&gt;0,_xlpm.cc,IF(BZ207="","",IF(BV207=1,2,IF(N(BX207)=3,5,3))))))</f>
        <v>3</v>
      </c>
      <c r="CB207">
        <f t="shared" si="433"/>
        <v>3</v>
      </c>
      <c r="CC207">
        <f>IFERROR(N(VLOOKUP(BC207,Потребители_обозначение,10,FALSE)),0)</f>
        <v>0</v>
      </c>
      <c r="CD207">
        <f>IFERROR(VLOOKUP(BC207,Потребители_обозначение,5,FALSE),0)</f>
        <v>1</v>
      </c>
      <c r="CE207" s="6" cm="1">
        <f t="array" ref="CE207">IF(B207="","",IF(BH207&lt;&gt;"",IFERROR(_xlfn.XLOOKUP(BH207,Щиты[Щит],Щиты[cos φ]),0.95),IF(BP207=1,IFERROR(_xlfn.XLOOKUP(A207,Щиты[Щит],Щиты[cos φ]),0.95),IF(ISNUMBER(AD207),AD207,IFERROR(IF(CD207=2,_xlfn.IFS(BX207=3,VLOOKUP(BS207,Справочная_двигатели,8,FALSE),BX207=1,VLOOKUP(BS207,Справочная_двигатели,10,TRUE)),IF(AND(Методика="нормы 2026",FG207="Сил"),0.8,0.95)),0.95)))))</f>
        <v>0.95</v>
      </c>
      <c r="CF207">
        <f t="shared" si="434"/>
        <v>0</v>
      </c>
      <c r="CG207">
        <f t="shared" si="435"/>
        <v>1</v>
      </c>
      <c r="CH207">
        <f t="shared" si="436"/>
        <v>0</v>
      </c>
      <c r="CI207">
        <f>IF(B207="","",IF(BV207=1,IFERROR(BS207/((Uн_лин/SQRT(3))*MAX(0.5,N(CE207))),0),N(O207)))</f>
        <v>0.54696341291648753</v>
      </c>
      <c r="CJ207">
        <f t="shared" si="437"/>
        <v>0</v>
      </c>
      <c r="CK207">
        <f t="shared" si="438"/>
        <v>0</v>
      </c>
      <c r="CL207">
        <f t="shared" si="439"/>
        <v>0</v>
      </c>
      <c r="CM207">
        <f t="shared" si="440"/>
        <v>0</v>
      </c>
      <c r="CN207">
        <f t="shared" si="441"/>
        <v>0</v>
      </c>
      <c r="CO207">
        <f>IF(BC207="",0,_xlfn.LET(_xlpm.v,IFERROR(_xlfn.XLOOKUP(B207,Коды_код,Коды_мА),IFERROR(_xlfn.XLOOKUP(BC207,Коды_код,Коды_мА),IFERROR(_xlfn.XLOOKUP(LEFT(BC207,2),Коды_код,Коды_мА),""))),IF(_xlpm.v="да",30,IF(ISNUMBER(_xlpm.v),_xlpm.v,0))))</f>
        <v>30</v>
      </c>
      <c r="CP207">
        <f t="shared" si="442"/>
        <v>30</v>
      </c>
      <c r="CQ207" t="str">
        <f>_xlfn.LET(_xlpm.k,IFERROR(_xlfn.XLOOKUP(BC207,Коды_код,Коды_утечка)&amp;"",""),IF(_xlpm.k="","дифавтомат",_xlpm.k))</f>
        <v>дифавтомат</v>
      </c>
      <c r="CR207" t="str" cm="1">
        <f t="array" ref="CR207">IF(CG207=0,"",_xlfn.LET(_xlpm.sg,TRIM(_xlfn.TEXTSPLIT(DD207&amp;"",";")),_xlpm.f_,_xlfn._xlws.FILTER(_xlpm.sg,LEFT(_xlpm.sg,3)="УЗО",""),IFERROR(INDEX(_xlpm.f_,1)&amp;"","")))</f>
        <v/>
      </c>
      <c r="CS207" t="str">
        <f t="shared" si="443"/>
        <v/>
      </c>
      <c r="CT207" s="6" t="str" cm="1">
        <f t="array" ref="CT207">IF(CR207="","",_xlfn.LET(_xlpm.tk,_xlfn.TEXTSPLIT(UPPER(CR207)," ",,TRUE),_xlpm.a_,_xlfn._xlws.FILTER(_xlpm.tk,ISNUMBER(--LEFT(_xlpm.tk,1))*((ISNUMBER(SEARCH("А",_xlpm.tk))+ISNUMBER(SEARCH("A",_xlpm.tk)))&gt;0)*NOT(ISNUMBER(SEARCH("МА",_xlpm.tk)))*NOT(ISNUMBER(SEARCH("MA",_xlpm.tk))),""),IFERROR(--SUBSTITUTE(SUBSTITUTE(INDEX(_xlpm.a_,1),"А",""),"A",""),"")))</f>
        <v/>
      </c>
      <c r="CU207" t="str" cm="1">
        <f t="array" ref="CU207">IF(CR207="","",_xlfn.LET(_xlpm.tk,_xlfn.TEXTSPLIT(UPPER(CR207)," ",,TRUE),_xlpm.a_,_xlfn._xlws.FILTER(_xlpm.tk,ISNUMBER(--LEFT(_xlpm.tk,1))*((ISNUMBER(SEARCH("МА",_xlpm.tk))+ISNUMBER(SEARCH("MA",_xlpm.tk)))&gt;0),""),IFERROR(--SUBSTITUTE(SUBSTITUTE(INDEX(_xlpm.a_,1),"МА",""),"MA",""),30)))</f>
        <v/>
      </c>
      <c r="CV207" t="str">
        <f>IF(CS207="","",IFERROR(_xlfn.XLOOKUP(CS207,Линии[_n],Линии[_УЗО, мА]),30))</f>
        <v/>
      </c>
      <c r="CW207">
        <f>IF(CS207="",0,IF(ISNUMBER(SEARCH("4P",IFERROR(_xlfn.XLOOKUP(CS207,Линии[_n],Линии[_УЗО строки])&amp;"",""))),0,1))</f>
        <v>0</v>
      </c>
      <c r="CX207" t="str">
        <f>IF(AND(CS207&lt;&gt;"",CS207=BA207),SUMIFS(Линии[_ток на 230 В],Линии[_блок УЗО],BA207,Линии[Щит],A207),"")</f>
        <v/>
      </c>
      <c r="CY207" t="str">
        <f>IF(AND(CS207&lt;&gt;"",CS207=BA207),SUMIFS(Линии[_ток утечки линии, мА],Линии[_блок УЗО],BA207,Линии[Щит],A207),"")</f>
        <v/>
      </c>
      <c r="CZ207">
        <f t="shared" si="444"/>
        <v>30</v>
      </c>
      <c r="DA207">
        <f t="shared" si="445"/>
        <v>30</v>
      </c>
      <c r="DB207">
        <f>IF(B207="",0,IFERROR(--_xlfn.XLOOKUP(B207,Коды_код,Коды_минавт),IFERROR(--_xlfn.XLOOKUP(BC207,Коды_код,Коды_минавт),IFERROR(--_xlfn.XLOOKUP(LEFT(BC207,2),Коды_код,Коды_минавт),0))))</f>
        <v>16</v>
      </c>
      <c r="DC207" t="str">
        <f>IF(B207="","",IFERROR(_xlfn.XLOOKUP(BC207,Коды_код,Коды_апп)&amp;"",""))</f>
        <v/>
      </c>
      <c r="DD207" t="str">
        <f t="shared" si="446"/>
        <v/>
      </c>
      <c r="DE207" t="str" cm="1">
        <f t="array" ref="DE207">IF(TRIM(DD207&amp;"")="","",IFERROR(TRIM(INDEX(_xlfn.TEXTSPLIT(DD207&amp;";;;",";"),1)),""))</f>
        <v/>
      </c>
      <c r="DF207" t="str" cm="1">
        <f t="array" ref="DF207">IF(TRIM(DD207&amp;"")="","",IFERROR(TRIM(INDEX(_xlfn.TEXTSPLIT(DD207&amp;";;;",";"),2)),""))</f>
        <v/>
      </c>
      <c r="DG207" t="str" cm="1">
        <f t="array" ref="DG207">IF(TRIM(DD207&amp;"")="","",IFERROR(TRIM(INDEX(_xlfn.TEXTSPLIT(DD207&amp;";;;",";"),3)),""))</f>
        <v/>
      </c>
      <c r="DH207">
        <f t="shared" si="447"/>
        <v>0</v>
      </c>
      <c r="DI207" t="str">
        <f>IF(B207="","",_xlfn.LET(_xlpm.t,LOWER(AZ207&amp;""),IF(ISNUMBER(SEARCH("dim",_xlpm.t)),"DIM",IF(ISNUMBER(SEARCH("dali",_xlpm.t)),"DALI",IF(OR(ISNUMBER(SEARCH("relay",_xlpm.t)),ISNUMBER(SEARCH("реле",_xlpm.t))),"Relay",IF(ISNUMBER(SEARCH("кнопк",_xlpm.t)),"",IFERROR(_xlfn.XLOOKUP(BC207,Коды_код,Коды_упр)&amp;"","")))))))</f>
        <v/>
      </c>
      <c r="DJ207" t="str">
        <f t="shared" si="448"/>
        <v/>
      </c>
      <c r="DK207">
        <f>IF(B207="","",_xlfn.LET(_xlpm.ig,IF(N(CX207)&gt;0,N(CX207),N(CI207)+IF(AJ207="вручную",0,N(CJ207))),_xlpm.n0,IFERROR(VLOOKUP(_xlpm.ig,Автомат_номиналы,2,TRUE),0),_xlpm.mn,MAX(DB207,IF(AJ207="вручную",0,N(CM207))),MAX(_xlpm.n0,_xlpm.mn,IF(DH207=1,Мин_автомат_БП,0))))</f>
        <v>16</v>
      </c>
      <c r="DL207">
        <f t="shared" si="449"/>
        <v>1</v>
      </c>
      <c r="DM207" t="str">
        <f t="shared" si="450"/>
        <v>2P</v>
      </c>
      <c r="DN207" t="str">
        <f>_xlfn.LET(_xlpm.cc,UPPER(TRIM(IFERROR(_xlfn.XLOOKUP(BC207,Коды_код,Коды_хар)&amp;"",""))),IF(OR(_xlpm.cc="B",_xlpm.cc="В"),"B",IF(_xlpm.cc="D","D","С")))</f>
        <v>С</v>
      </c>
      <c r="DO207" t="str">
        <f t="shared" si="451"/>
        <v>2P С16А 30мА</v>
      </c>
      <c r="DP207" t="str">
        <f t="shared" si="452"/>
        <v>2P С16А 30мА</v>
      </c>
      <c r="DQ207" t="str">
        <f t="shared" si="453"/>
        <v>2P С16А 30мА</v>
      </c>
      <c r="DR207" cm="1">
        <f t="array" ref="DR207">IF(DQ207="","",_xlfn.LET(_xlpm.t,SUBSTITUTE(SUBSTITUTE(SUBSTITUTE(UPPER(DQ207),"С","C"),"А","A"),"В","B"),_xlpm.tk,_xlfn.TEXTSPLIT(_xlpm.t," "),_xlpm.f,_xlfn._xlws.FILTER(_xlpm.tk,ISNUMBER(--MID(_xlpm.tk,2,1))*ISNUMBER(SEARCH(LEFT(_xlpm.tk,1)&amp;"#","B#C#D#"))*(LEN(_xlpm.tk)&gt;1),""),_xlpm.x,INDEX(_xlpm.f,1),IFERROR(--SUBSTITUTE(MID(_xlpm.x,2,9),"A",""),IFERROR(--SUBSTITUTE(INDEX(_xlfn._xlws.FILTER(_xlpm.tk,ISNUMBER(--SUBSTITUTE(_xlpm.tk,"A","")),""),1),"A",""),""))))</f>
        <v>16</v>
      </c>
      <c r="DS207" t="str">
        <f t="shared" si="454"/>
        <v>ok</v>
      </c>
      <c r="DT207">
        <f t="shared" si="455"/>
        <v>16</v>
      </c>
      <c r="DU207" t="str">
        <f t="shared" si="456"/>
        <v>2P С16А 30мА</v>
      </c>
      <c r="DV207">
        <f t="shared" si="457"/>
        <v>30</v>
      </c>
      <c r="DW207">
        <f t="shared" si="458"/>
        <v>1</v>
      </c>
      <c r="DX207">
        <f t="shared" si="459"/>
        <v>0</v>
      </c>
      <c r="DY207">
        <f t="shared" si="460"/>
        <v>0.54696341291648753</v>
      </c>
      <c r="DZ207">
        <f t="shared" si="461"/>
        <v>1</v>
      </c>
      <c r="EA207">
        <f>IF(ISNUMBER(AP207),AP207,К_прокл)</f>
        <v>1</v>
      </c>
      <c r="EB207">
        <f t="shared" si="462"/>
        <v>2</v>
      </c>
      <c r="EC207">
        <f>IFERROR(N(VLOOKUP(BZ207,Кабель_обозначение,3,FALSE)),1)</f>
        <v>1</v>
      </c>
      <c r="ED207">
        <f>IFERROR(N(_xlfn.XLOOKUP(A207,Щиты[Щит],Щиты[ΔU до шин, %])),0)</f>
        <v>0.43</v>
      </c>
      <c r="EE207" t="str">
        <f>IFERROR(_xlfn.XLOOKUP(A207,Щиты[Щит],Щиты[Zпетли на шинах, Ом]),"")</f>
        <v/>
      </c>
      <c r="EF207">
        <f>IFERROR(N(_xlfn.XLOOKUP(A207,Щиты[Щит],Щиты[ΔU до шин (подбор), %])),0)</f>
        <v>0.43</v>
      </c>
      <c r="EG207" t="str">
        <f>IFERROR(_xlfn.XLOOKUP(A207,Щиты[Щит],Щиты[Zпетли на шинах (подбор), Ом]),"")</f>
        <v/>
      </c>
      <c r="EH207" t="str">
        <f t="shared" si="463"/>
        <v/>
      </c>
      <c r="EI207">
        <f t="shared" si="464"/>
        <v>54</v>
      </c>
      <c r="EJ207">
        <f t="shared" si="465"/>
        <v>2</v>
      </c>
      <c r="EK207">
        <f t="shared" si="466"/>
        <v>0.31</v>
      </c>
      <c r="EL207" s="6">
        <f>IF(B207="","",IF(BV207=1,dU_LED,IF(IFERROR(_xlfn.XLOOKUP(BC207,Коды_код,Коды_уго),"")="Светильник",3,4)+IF(Методика="нормы 2026",MIN(0.5,MAX(0,N(P207)-100)*0.005),0)))</f>
        <v>4</v>
      </c>
      <c r="EM207" cm="1">
        <f t="array" ref="EM207">IF(OR(B207="",BZ207="",EC207&lt;&gt;1),"",_xlfn.LET(_xlpm.sz,Iдоп_S,_xlpm.t_,CHOOSE(EB207,Iдоп_1ж,Iдоп_2ж,Iдоп_3ж)*DZ207*EA207,_xlpm.dcx,BV207=1,_xlpm.inn,IF(_xlpm.dcx,N(O207),N(DT207)),_xlpm.smin,MAX(1.5,CC207),_xlpm.L_,N(P207)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207)/N(BU207)*100,999),IFERROR(N(EJ207)*(_xlpm.rho*_xlpm.L_/_xlpm.sz*N(CE207)+_xlpm.xx*_xlpm.L_*N(EK207)/1000)*N(O207)/((Uн_лин/SQRT(3))*1000)*100,999)),_xlpm.kz,IF(OR(_xlpm.dcx,DW207=1,NOT(ISNUMBER(EG207)),_xlpm.L_=0,_xlpm.inn=0),1,IFERROR(--(c_min*(Uн_лин*1000/SQRT(3))/(EG207+2*ρкз_Cu*_xlpm.L_/_xlpm.sz)&gt;=HT207*_xlpm.inn),0)),_xlpm.ok,IFERROR((_xlpm.sz&gt;=_xlpm.smin)*(_xlpm.t_&gt;=_xlpm.inn)*IF(_xlpm.L_&gt;0,(_xlpm.du_+IF(_xlpm.dcx,0,EF207)&lt;=EL207+0.00001),1)*_xlpm.kz,0),_xlpm.r_,_xlfn._xlws.FILTER(_xlpm.sz,_xlpm.ok,"не подобрано"),INDEX(_xlpm.r_,1)))</f>
        <v>1.5</v>
      </c>
      <c r="EN207">
        <f t="shared" si="467"/>
        <v>2.5</v>
      </c>
      <c r="EO207" cm="1">
        <f t="array" ref="EO207">IF(OR(B207="",BZ207="",EC207&lt;&gt;1),"",_xlfn.LET(_xlpm.sz,Iдоп_S,_xlpm.t_,CHOOSE(EB207,Iдоп_1ж,Iдоп_2ж,Iдоп_3ж)*DZ207*EA207,_xlpm.ok,IFERROR((_xlpm.sz&gt;=MAX(1.5,CC207))*(_xlpm.t_&gt;=N(DT207)),0),_xlpm.r_,_xlfn._xlws.FILTER(_xlpm.sz,_xlpm.ok,""),INDEX(_xlpm.r_,1)))</f>
        <v>1.5</v>
      </c>
      <c r="EP207" s="6" cm="1">
        <f t="array" ref="EP207">IFERROR(ROUNDUP(N(EJ207)*(_xlfn.XLOOKUP(EO207,INDEX(Кабель_сопротивление,0,1),INDEX(Кабель_сопротивление,0,3))*N(P207)/EO207*N(CE207)+_xlfn.XLOOKUP(EO207,INDEX(Кабель_сопротивление,0,1),INDEX(Кабель_сопротивление,0,2))*N(P207)*N(EK207)/1000)*N(O207)/((Uн_лин/SQRT(3))*1000)*100,2),"")</f>
        <v>0.43</v>
      </c>
      <c r="EQ207">
        <f>IFERROR(2*ρкз_Cu*N(P207)/EO207,"")</f>
        <v>2.2092000000000001</v>
      </c>
      <c r="ER207">
        <f>IFERROR(VLOOKUP(EN207,Кабель_сопротивление,3,FALSE),"")</f>
        <v>2.2499999999999999E-2</v>
      </c>
      <c r="ES207">
        <f>IFERROR(VLOOKUP(EN207,Кабель_сопротивление,2,FALSE),"")</f>
        <v>0.1</v>
      </c>
      <c r="ET207">
        <f t="shared" si="468"/>
        <v>23</v>
      </c>
      <c r="EU207">
        <f t="shared" si="469"/>
        <v>8</v>
      </c>
      <c r="EV207">
        <f t="shared" si="470"/>
        <v>0.59138012382578375</v>
      </c>
      <c r="EW207" s="6">
        <f>IFERROR(ROUNDUP(EV207/IF(BV207=1,BU207,(Uн_лин/SQRT(3))*1000)*100,2),"")</f>
        <v>0.26</v>
      </c>
      <c r="EX207" t="str">
        <f>IFERROR(VLOOKUP(BZ207,Кабель_обозначение,2,FALSE),"")</f>
        <v>ВВГнг(А)-LS</v>
      </c>
      <c r="EY207" t="str">
        <f t="shared" si="471"/>
        <v>ВВГнг(А)-LS (3х2,5)</v>
      </c>
      <c r="EZ207" t="str">
        <f t="shared" si="472"/>
        <v>ВВГнг(А)-LS (3х2,5)
L=63-0,26%</v>
      </c>
      <c r="FA207">
        <f>IFERROR(2*ρкз_Cu*P207/EN207,"")</f>
        <v>1.32552</v>
      </c>
      <c r="FB207">
        <f t="shared" si="473"/>
        <v>0.441</v>
      </c>
      <c r="FC207" s="6" t="str">
        <f>IFERROR(IF(OR(B207="",BV207=1,NOT(ISNUMBER(EN207)),N(P207)=0),"",_xlfn.XLOOKUP(A207,Щиты[Щит],Щиты[Zпетли на шинах, Ом])+FA207),"")</f>
        <v/>
      </c>
      <c r="FD207" s="6" t="str">
        <f>IF(ISNUMBER(FC207),c_min*(Uн_лин*1000/SQRT(3))/FC207,"")</f>
        <v/>
      </c>
      <c r="FE207" s="6" t="str">
        <f>IFERROR(IF(OR(B207="",NOT(ISNUMBER(EN207))),"",1.05*(Uн_лин*1000/SQRT(3))/(_xlfn.XLOOKUP(A207,Щиты[Щит],Щиты[Zmax на шинах, Ом])+FB207)/1000),"")</f>
        <v/>
      </c>
      <c r="FF207" s="6" t="str">
        <f>IF(B207="","",IF(ISNUMBER(AC207),"Сил",IF(IFERROR(_xlfn.XLOOKUP(BC207,Коды_код,Коды_группа)&amp;"","")="","Быт",_xlfn.XLOOKUP(BC207,Коды_код,Коды_группа)&amp;"")))</f>
        <v>Быт</v>
      </c>
      <c r="FG207" s="6" t="str">
        <f t="shared" si="474"/>
        <v>Быт</v>
      </c>
      <c r="FH207" s="6">
        <f>IF(FG207="Щит","щит",IF(FG207="","",IF(FG207="Быт",IFERROR(_xlfn.XLOOKUP(A207,Щиты[Щит],Щиты[Кс быт]),1),IF(FG207="Сил",IF(ISNUMBER(AC207),AC207,IF(Методика="нормы 2026",IFERROR(_xlfn.XLOOKUP(A207,Щиты[Щит],Щиты[Кс силовых (табл. 7.5)]),1),1)),IF(OR(FG207="Пост",FG207="Отоп"),1,IF(FG207="ВНГ",0.7,0))))))</f>
        <v>0.79799999999999993</v>
      </c>
      <c r="FI207">
        <f>IF(FG207="","",IF(AND(BP207=1,TRIM(AE207&amp;"")=""),IF(COUNTIFS(Линии[Щит],A207,Линии[Секция (1/2/3)],"&gt;=2")&gt;0,MIN(3,MAX(1,IFERROR(--BD207,1))),1),IFERROR(MIN(3,MAX(1,INT(--AE207))),1)))</f>
        <v>1</v>
      </c>
      <c r="FJ207">
        <f t="shared" si="475"/>
        <v>0.12</v>
      </c>
      <c r="FK207">
        <f t="shared" si="476"/>
        <v>0.12</v>
      </c>
      <c r="FL207">
        <f t="shared" si="477"/>
        <v>0</v>
      </c>
      <c r="FM207">
        <f t="shared" si="478"/>
        <v>0</v>
      </c>
      <c r="FN207">
        <f t="shared" si="479"/>
        <v>0</v>
      </c>
      <c r="FO207">
        <f t="shared" si="480"/>
        <v>0</v>
      </c>
      <c r="FP207">
        <f t="shared" si="481"/>
        <v>0.12</v>
      </c>
      <c r="FQ207">
        <f t="shared" si="482"/>
        <v>0.12</v>
      </c>
      <c r="FR207">
        <f t="shared" si="483"/>
        <v>0.11399999999999999</v>
      </c>
      <c r="FS207">
        <f>IF(CG207=1,IF(AND(CH207=1,CW207=1),0,IF(AND(CS207&lt;&gt;"",CS207=BA207,CW207=1),SUMIFS(Линии[_Р линии, кВт],Линии[_блок УЗО],BA207,Линии[Щит],A207),N(BS207)+IF(AJ207="вручную",0,N(CK207)))),0)</f>
        <v>0.12</v>
      </c>
      <c r="FT207" t="str">
        <f t="shared" si="484"/>
        <v>L3</v>
      </c>
      <c r="FU207" t="str">
        <f>IF(B207="","",IF(CG207=0,IF(BA207=1,"",FW206),IF(AND(CH207=1,CW207=1,CS207&lt;&gt;""),IFERROR(_xlfn.XLOOKUP(CS207,Линии[_n],Линии[_фаза итог]),"L1"),IF(OR(N(DL207)&gt;=3,N(BX207)&gt;=3),"L1,L2,L3",IFERROR(_xlfn.TEXTBEFORE(_xlfn.TEXTAFTER(_xlfn.XLOOKUP(A207,Щиты[Щит],Щиты[_фазы авто]),";"&amp;BA207&amp;":"),";"),"L1")))))</f>
        <v>L1</v>
      </c>
      <c r="FV207" t="str">
        <f t="shared" si="485"/>
        <v>L3</v>
      </c>
      <c r="FW207" t="str">
        <f t="shared" si="486"/>
        <v>L3</v>
      </c>
      <c r="FX207" cm="1">
        <f t="array" ref="FX207">IFERROR(IF(CD207=2,_xlfn.IFS(BX207=3,VLOOKUP(BS207,Справочная_двигатели,3,FALSE),BX207=1,VLOOKUP(BS207,Справочная_двигатели,5,TRUE)),0),0)</f>
        <v>0</v>
      </c>
      <c r="FY207">
        <f>IFERROR(IF(CD207=3,VLOOKUP(BS207,Справочная_ЛЭД,2,TRUE),0),0)</f>
        <v>0</v>
      </c>
      <c r="FZ207" s="6">
        <f t="shared" si="487"/>
        <v>0</v>
      </c>
      <c r="GA207" t="str">
        <f>IF(B207="","",IF(TRIM(AH207&amp;"")&lt;&gt;"",IF(LOWER(TRIM(AH207&amp;""))="да","да","нет"),IF(IFERROR(_xlfn.XLOOKUP(BC207,Коды_код,Коды_пожарная),"")="да","да","нет")))</f>
        <v>нет</v>
      </c>
      <c r="GB207" t="str">
        <f t="shared" si="488"/>
        <v/>
      </c>
      <c r="GC207" t="str">
        <f t="shared" si="489"/>
        <v>основная</v>
      </c>
      <c r="GD207">
        <f>IF(AND(BP207=1,TRIM(AE207&amp;"")=""),IF(COUNTIFS(Линии[Щит],A207,Линии[Секция (1/2/3)],"&gt;=2")&gt;0,MIN(3,MAX(1,IFERROR(--BD207,1))),1),IFERROR(MIN(3,MAX(1,INT(--AE207))),1))</f>
        <v>1</v>
      </c>
      <c r="GE207" t="str" cm="1">
        <f t="array" ref="GE207">IF(B207="","",_xlfn.LET(_xlpm.t,IFERROR(_xlfn.XLOOKUP(1,(Шины[Шина]=GC207)*(((Шины[Щит]=A207)+(Шины[Щит]=""))&gt;0),Шины[Тип]),"")&amp;"",IF(_xlpm.t&lt;&gt;"",_xlpm.t,IF(ISNUMBER(SEARCH("ИБП",GC207)),"ИБП",IF(ISNUMBER(SEARCH("ДГУ",GC207)),"ДГУ","Ввод "&amp;GD207)))))</f>
        <v>Ввод 1</v>
      </c>
      <c r="GF207" t="str">
        <f t="shared" si="490"/>
        <v>Ввод 1</v>
      </c>
      <c r="GG207" t="str">
        <f>IF(BP207=0,"",IF(TRIM(AG207&amp;"")&lt;&gt;"",TRIM(AG207&amp;""),IF(OR(GE207="ИБП",GE207="ДГУ"),"I особая",_xlfn.XLOOKUP(A207,Щиты[Щит],Щиты[Категория шины «Ввод»],"III"))))</f>
        <v/>
      </c>
      <c r="GH207" t="str">
        <f>IF(A207="","",_xlfn.XLOOKUP(A207,Щиты[Щит],Щиты[Путь],""))</f>
        <v>|ГРЩ-ЖД|ЩР-01|</v>
      </c>
      <c r="GI207" t="str">
        <f>IF(B207="","",IF(AI207&lt;&gt;"",AI207,IF(IFERROR(_xlfn.XLOOKUP(BC207,Коды_код,Коды_вид)&amp;"","")="","Прочее",_xlfn.XLOOKUP(BC207,Коды_код,Коды_вид)&amp;"")))</f>
        <v>Розеточная сеть и бытовые приборы</v>
      </c>
      <c r="GJ207">
        <f>IF(BM207="","",INT((BM207-1)/Столбцов_на_лист)+1)</f>
        <v>2</v>
      </c>
      <c r="GK207" t="str">
        <f t="shared" si="491"/>
        <v>ВВГнг(А)-LS (3х2,5) L=63-0,26%</v>
      </c>
      <c r="GL207">
        <f t="shared" si="492"/>
        <v>0.12</v>
      </c>
      <c r="GM207">
        <f t="shared" si="493"/>
        <v>0.55000000000000004</v>
      </c>
      <c r="GN207">
        <f t="shared" si="494"/>
        <v>1</v>
      </c>
      <c r="GO207">
        <f t="shared" si="495"/>
        <v>0</v>
      </c>
      <c r="GP207">
        <f t="shared" si="496"/>
        <v>1</v>
      </c>
      <c r="GQ207">
        <f>IF(BM207="","",IF(AND(CG207=1,GP207=1),COUNTIFS(A$3:A207,A207,CG$3:CG207,1,GP$3:GP207,1),IF(OR(OR(BA207=1,A207&lt;&gt;A206),AJ207="вручную",GP207=0),"",IF(BA207=1,"",GR206))))</f>
        <v>23</v>
      </c>
      <c r="GR207">
        <f t="shared" si="497"/>
        <v>23</v>
      </c>
      <c r="GS207">
        <f>IF(B207="","",IFERROR(LOOKUP(INDEX(CHOOSE(EB207,Iдоп_1ж,Iдоп_2ж,Iдоп_3ж),MATCH(EN207,Iдоп_S,0))*DZ207*EA207,{6,10,16,20,25,32,40,50,63,80,100,125,160,200,250,315,400,500,630}),""))</f>
        <v>25</v>
      </c>
      <c r="GT207" t="str">
        <f t="shared" si="498"/>
        <v>QFD23</v>
      </c>
      <c r="GU207" t="str">
        <f t="shared" si="499"/>
        <v>QFD23</v>
      </c>
      <c r="GV207" t="str">
        <f t="shared" si="500"/>
        <v/>
      </c>
      <c r="GW207">
        <f t="shared" si="501"/>
        <v>0</v>
      </c>
      <c r="GX207" t="str">
        <f>IF(OR(B207="",DJ207=""),"",IFERROR(_xlfn.XLOOKUP(DJ207,Модули_умолч[Управление],Модули_умолч[Модель])&amp;"",""))</f>
        <v/>
      </c>
      <c r="GY207">
        <f>IF(DJ207="",1,IFERROR(MAX(0,N(_xlfn.XLOOKUP(DJ207,Модули_умолч[Управление],Модули_умолч[Каналов на линию]))),1))</f>
        <v>1</v>
      </c>
      <c r="GZ207" t="str">
        <f t="shared" si="502"/>
        <v/>
      </c>
      <c r="HA207" t="str">
        <f t="shared" si="503"/>
        <v/>
      </c>
      <c r="HB207" t="str">
        <f t="shared" si="504"/>
        <v/>
      </c>
      <c r="HC207">
        <f>IF(HB207="",0,IFERROR(N(VLOOKUP(HB207,Модули_спр,3,FALSE)),0))</f>
        <v>0</v>
      </c>
      <c r="HD207" t="str">
        <f t="shared" si="505"/>
        <v/>
      </c>
      <c r="HE207" t="str">
        <f t="shared" si="506"/>
        <v/>
      </c>
      <c r="HF207" t="str">
        <f>IF(OR(HE207="",HE207="-"),"",IFERROR(VLOOKUP(HE207,Модули_спр,2,FALSE),"R"))</f>
        <v/>
      </c>
      <c r="HG207" t="str">
        <f>IF(HF207="","",HF207&amp;"."&amp;COUNTIFS(A$3:A207,A207,HF$3:HF207,HF207))</f>
        <v/>
      </c>
      <c r="HH207" t="str">
        <f t="shared" si="507"/>
        <v/>
      </c>
      <c r="HI207" t="str">
        <f t="shared" si="508"/>
        <v/>
      </c>
      <c r="HJ207" t="str">
        <f t="shared" si="509"/>
        <v/>
      </c>
      <c r="HK207" t="str">
        <f t="shared" si="510"/>
        <v/>
      </c>
      <c r="HL207">
        <f t="shared" si="511"/>
        <v>1</v>
      </c>
      <c r="HM207" t="str">
        <f>IF(HL207=1,"XT"&amp;COUNTIFS(A$3:A207,A207,HL$3:HL207,1),"")</f>
        <v>XT23</v>
      </c>
      <c r="HN207" t="str">
        <f t="shared" si="512"/>
        <v/>
      </c>
      <c r="HO207" t="str">
        <f t="shared" si="513"/>
        <v>QFD23</v>
      </c>
      <c r="HP207" t="str">
        <f t="shared" si="514"/>
        <v/>
      </c>
      <c r="HQ207" t="str">
        <f t="shared" si="515"/>
        <v>ok</v>
      </c>
      <c r="HR207" t="str">
        <f>IF(OR(HJ207="",HH207=""),"",IF(HJ207+MAX(0,GY207-1)&gt;IFERROR(VLOOKUP(HI207,Модули_спр,3,FALSE),99),"ЛИШНИЙ КАНАЛ",IF(AND(AL207&lt;&gt;"=",GY207&gt;0,COUNTIFS(Линии[_модуль гр.],HH207,Линии[Канал (итог)],HJ207,Линии[Канал],"&lt;&gt;=",Линии[Щит],A207)&gt;1),"ДУБЛЬ КАНАЛА","")))</f>
        <v/>
      </c>
      <c r="HS207" s="6" t="str">
        <f t="shared" si="516"/>
        <v/>
      </c>
      <c r="HT207">
        <f t="shared" si="517"/>
        <v>10</v>
      </c>
      <c r="HU207" t="str">
        <f t="shared" si="518"/>
        <v/>
      </c>
      <c r="HV207">
        <f t="shared" si="519"/>
        <v>0.84878536516659508</v>
      </c>
      <c r="HW207">
        <f t="shared" si="520"/>
        <v>0</v>
      </c>
      <c r="HX207">
        <f t="shared" si="521"/>
        <v>0</v>
      </c>
      <c r="HY207">
        <f t="shared" si="522"/>
        <v>0</v>
      </c>
      <c r="HZ207">
        <f t="shared" si="523"/>
        <v>0</v>
      </c>
      <c r="IA207">
        <f t="shared" si="524"/>
        <v>0</v>
      </c>
      <c r="IB207">
        <f t="shared" si="525"/>
        <v>0</v>
      </c>
      <c r="IC207" t="str">
        <f t="shared" si="526"/>
        <v/>
      </c>
      <c r="ID207" t="str" cm="1">
        <f t="array" ref="ID207">IF(IC207="","",_xlfn.LET(_xlpm.tk,_xlfn.TEXTSPLIT(SUBSTITUTE(SUBSTITUTE(IC207,";"," "),"→"," ")," ",,TRUE),_xlpm.w_,_xlfn._xlws.FILTER(_xlpm.tk,ISNUMBER(--LEFT(_xlpm.tk,1))*((ISNUMBER(SEARCH("W",_xlpm.tk))+ISNUMBER(SEARCH("Вт",_xlpm.tk)))&gt;0),""),IFERROR(--SUBSTITUTE(SUBSTITUTE(UPPER(INDEX(_xlpm.w_,1)),"W",""),"ВТ",""),"")))</f>
        <v/>
      </c>
      <c r="IE207" t="str" cm="1">
        <f t="array" ref="IE207">IF(IC207="","",_xlfn.LET(_xlpm.tk,_xlfn.TEXTSPLIT(SUBSTITUTE(SUBSTITUTE(IC207,";"," "),"→"," ")," ",,TRUE),_xlpm.v_,_xlfn._xlws.FILTER(_xlpm.tk,ISNUMBER(--LEFT(_xlpm.tk,1))*((ISNUMBER(SEARCH("V",_xlpm.tk))+(RIGHT(UPPER(_xlpm.tk))="В"))&gt;0),""),IFERROR(--SUBSTITUTE(SUBSTITUTE(UPPER(INDEX(_xlpm.v_,1)),"V",""),"В",""),"")))</f>
        <v/>
      </c>
      <c r="IF207" s="6" t="str">
        <f>IF(OR(BV207=0,HI207="",HJ207=""),"",IFERROR(N(_xlfn.XLOOKUP(HI207,Каталог!$C$4:$C$500,Каталог!$Q$4:$Q$500)),""))</f>
        <v/>
      </c>
      <c r="IG207" s="6" t="str">
        <f>IF(N(IF207)=0,"",SUMIFS(Линии[Iр, А],Линии[Щит],A207,Линии[_модуль гр.],HH207,Линии[Канал (итог)],HJ207))</f>
        <v/>
      </c>
      <c r="IH207" t="str">
        <f>IF(AND(B207="",HO207=""),"",_xlfn.TEXTJOIN("; ",TRUE,IF(AND(B207&lt;&gt;"",FV207=""),"нет фазы",""),IF(AND(B207&lt;&gt;"",N(GL207)=0,FG207&lt;&gt;"Нет"),"нет мощности",""),IF(AND(HN207&lt;&gt;"",COUNTIFS(Линии[Щит],A207,Линии[Клемма (итог)],HN207)&gt;1),"дубль клеммы "&amp;HN207,""),IF(AND(HQ207&lt;&gt;"",HQ207&lt;&gt;"ok"),HQ207,""),IF(HR207&lt;&gt;"",HR207,""),IF(AND(N(CB207)&gt;=4,N(BX207)=1),CB207&amp;" жил на 1 фазе",""),IF(AND(BC207="R",CG207=1,IF(CS207&lt;&gt;"",N(CV207)&gt;30,OR(N(DA207)=0,N(DA207)&gt;30))),"розетка без дифзащиты до 30 мА",""),IF(AND(CG207=1,N(DA207)&gt;0,ISNUMBER(T207)),IF(T207&gt;N(DA207)/3,"ток утечки "&amp;FIXED(T207,1)&amp;" мА &gt; 1/3 уставки ("&amp;DA207&amp;" мА)",""),""),IF(AND(CH207=1,CS207=""),"«узо»: нет строки с УЗО выше (УЗО 2P 40А 30мА в «Аппаратах»)",""),IF(AND(CS207&lt;&gt;"",CS207=BA207),IF(CT207="","впишите номинал УЗО (УЗО 2P 40А 30мА)",IF(N(CT207)&lt;N(DT207),"УЗО "&amp;CT207&amp;" А &lt; автомата "&amp;DT207&amp;" А перед ним",IF(N(CT207)&lt;N(CX207),"УЗО "&amp;CT207&amp;" А &lt; тока блока "&amp;FIXED(CX207,1)&amp;" А",""))),""),IF(AND(CS207&lt;&gt;"",CS207=BA207,ISNUMBER(CY207)),IF(CY207&gt;N(CV207)/3,"ток утечки блока УЗО "&amp;FIXED(CY207,1)&amp;" мА &gt; 1/3 уставки ("&amp;CV207&amp;" мА)",""),""),IF(AND(CG207=1,N(BV207)+N(IB207)&gt;0,IC207=""),"линии до 50 В без БП: впишите в «Аппараты» (БП 24V 480W)",""),IF(AND(CG207=1,ISNUMBER(ID207),ISNUMBER(U207)),IF(U207&gt;ID207,"БП "&amp;ID207&amp;" Вт &lt; нужно "&amp;U207&amp;" Вт (×"&amp;Запас_БП&amp;")",""),""),IF(AND(CG207=1,ISNUMBER(IE207),N(BV207)=1),IF(IE207&lt;&gt;N(BU207),"БП на "&amp;IE207&amp;" В, линия "&amp;BU207&amp;" В",""),""),IF(AND(N(IF207)&gt;0,N(IG207)&gt;N(IF207)),HH207&amp;" канал "&amp;HJ207&amp;": "&amp;FIXED(IG207,1)&amp;" А &gt; "&amp;IF207&amp;" А",""),IFERROR(IF(AND(ISNUMBER(Q207),Q207&gt;EL207),"потери "&amp;FIXED(Q207,1)&amp;" % &gt; "&amp;EL207&amp;" %",""),""),IFERROR(IF(LEFT(HU207,4)="мало","Iкз мало — отключение &gt; 0,4 с",""),""),IF(AND(B207&lt;&gt;"",BM207=""),"не на схеме",""),IF(AND(CG207=0,B207&lt;&gt;"",FV207&lt;&gt;"",IF(BA207=1,"",FW206)&lt;&gt;"",FV207&lt;&gt;IF(BA207=1,"",FW206)),"фаза не как у автомата группы ("&amp;IF(BA207=1,"",FW206)&amp;")","")))</f>
        <v/>
      </c>
      <c r="II207" s="6">
        <f>IF(OR(CG207=0,DQ207=""),"",_xlfn.LET(_xlpm.t,IFERROR(_xlfn.XLOOKUP(DQ207,Каталог!$U$4:$U$500,Каталог!$G$4:$G$500),""),_xlpm.k,SEARCH("кА",_xlpm.t),IFERROR(--TRIM(RIGHT(SUBSTITUTE(MID(_xlpm.t,MAX(1,_xlpm.k-4),_xlpm.k-MAX(1,_xlpm.k-4))," ",REPT(" ",9)),5)),"")))</f>
        <v>6</v>
      </c>
      <c r="IJ207" t="str">
        <f>IF(OR(II207="",CG207=0),"",IF(_xlfn.XLOOKUP(A207,Щиты[Щит],Щиты[Iкз max на шинах, кА],"")="","",IF(II207&lt;_xlfn.XLOOKUP(A207,Щиты[Щит],Щиты[Iкз max на шинах, кА]),"Icu "&amp;II207&amp;" кА &lt; Iкз max","ok")))</f>
        <v/>
      </c>
      <c r="IK207" t="str">
        <f t="shared" si="527"/>
        <v/>
      </c>
      <c r="IL207" t="str">
        <f t="shared" si="528"/>
        <v>QFD23</v>
      </c>
      <c r="IM207" t="str">
        <f t="shared" si="529"/>
        <v>QFD23|кабель ВВГнг(А)-LS (3х2,5) → Розеточная группа, пом. 013A</v>
      </c>
      <c r="IN207" t="str" cm="1">
        <f t="array" ref="IN207">IF(IM207="","",_xlfn.LET(_xlpm.nd,_xlfn.TEXTSPLIT(IM207,"|"),IF(COLUMNS(_xlpm.nd)&gt;1,A207&amp;"¦"&amp;INDEX(_xlpm.nd,1)&amp;"¦"&amp;INDEX(_xlpm.nd,2),"")))</f>
        <v>ЩР-01¦QFD23¦кабель ВВГнг(А)-LS (3х2,5) → Розеточная группа, пом. 013A</v>
      </c>
      <c r="IO207" t="str">
        <f t="shared" si="530"/>
        <v>R.0.013A.1¦Розеточная группа, пом. 013A</v>
      </c>
      <c r="IP207" t="str" cm="1">
        <f t="array" ref="IP207">IF(IM207="","",_xlfn.LET(_xlpm.nd,_xlfn.TEXTSPLIT(IM207,"|"),IF(COLUMNS(_xlpm.nd)&gt;2,A207&amp;"¦"&amp;INDEX(_xlpm.nd,2)&amp;"¦"&amp;INDEX(_xlpm.nd,3),"")))</f>
        <v/>
      </c>
      <c r="IQ207" t="str">
        <f t="shared" si="531"/>
        <v/>
      </c>
      <c r="IR207" t="str" cm="1">
        <f t="array" ref="IR207">IF(IM207="","",_xlfn.LET(_xlpm.nd,_xlfn.TEXTSPLIT(IM207,"|"),IF(COLUMNS(_xlpm.nd)&gt;3,A207&amp;"¦"&amp;INDEX(_xlpm.nd,3)&amp;"¦"&amp;INDEX(_xlpm.nd,4),"")))</f>
        <v/>
      </c>
      <c r="IS207" t="str">
        <f t="shared" si="532"/>
        <v/>
      </c>
      <c r="IT207" t="str" cm="1">
        <f t="array" ref="IT207">IF(IM207="","",_xlfn.LET(_xlpm.nd,_xlfn.TEXTSPLIT(IM207,"|"),IF(COLUMNS(_xlpm.nd)&gt;4,A207&amp;"¦"&amp;INDEX(_xlpm.nd,4)&amp;"¦"&amp;INDEX(_xlpm.nd,5),"")))</f>
        <v/>
      </c>
      <c r="IU207" t="str">
        <f t="shared" si="533"/>
        <v/>
      </c>
      <c r="IV207" t="str" cm="1">
        <f t="array" ref="IV207">IF(IM207="","",_xlfn.LET(_xlpm.nd,_xlfn.TEXTSPLIT(IM207,"|"),IF(COLUMNS(_xlpm.nd)&gt;5,A207&amp;"¦"&amp;INDEX(_xlpm.nd,5)&amp;"¦"&amp;INDEX(_xlpm.nd,6),"")))</f>
        <v/>
      </c>
      <c r="IW207" t="str">
        <f t="shared" si="534"/>
        <v/>
      </c>
      <c r="IX207" t="str" cm="1">
        <f t="array" ref="IX207">IF(IM207="","",_xlfn.LET(_xlpm.nd,_xlfn.TEXTSPLIT(IM207,"|"),IF(COLUMNS(_xlpm.nd)&gt;6,A207&amp;"¦"&amp;INDEX(_xlpm.nd,6)&amp;"¦"&amp;INDEX(_xlpm.nd,7),"")))</f>
        <v/>
      </c>
      <c r="IY207" t="str">
        <f t="shared" si="535"/>
        <v/>
      </c>
      <c r="IZ207" t="str">
        <f t="shared" si="536"/>
        <v/>
      </c>
      <c r="JA207" t="str">
        <f t="shared" si="537"/>
        <v>QFD23</v>
      </c>
      <c r="JB207">
        <f t="shared" si="538"/>
        <v>0</v>
      </c>
      <c r="JC207">
        <f t="shared" si="539"/>
        <v>1</v>
      </c>
      <c r="JD207" t="str">
        <f t="shared" si="540"/>
        <v/>
      </c>
      <c r="JE207" t="str">
        <f t="shared" si="541"/>
        <v/>
      </c>
      <c r="JF207" t="str">
        <f t="shared" si="542"/>
        <v/>
      </c>
      <c r="JG207" t="str">
        <f t="shared" si="543"/>
        <v/>
      </c>
      <c r="JH207" t="str">
        <f>IF(B207="","",IFERROR(_xlfn.XLOOKUP(B207,Коды_код,Коды_уго),IFERROR(_xlfn.XLOOKUP(BC207,Коды_код,Коды_уго),IFERROR(_xlfn.XLOOKUP(LEFT(BC207,2),Коды_код,Коды_уго),""))))</f>
        <v>Розетка</v>
      </c>
      <c r="JI207" t="str">
        <f>IF(B207="","",IF(OR(JH207="",JH207=0),"BOX",IFERROR(IF(VLOOKUP(JH207,УГО_блоки,3,FALSE)&amp;""&lt;&gt;"",VLOOKUP(JH207,УГО_блоки,3,FALSE),VLOOKUP(JH207,УГО_блоки,2,FALSE)),JH207)))</f>
        <v>SOCKET</v>
      </c>
      <c r="JJ207">
        <f t="shared" si="544"/>
        <v>1</v>
      </c>
      <c r="JK207" t="str">
        <f>IF(DQ207="","",IF(COUNTIF(DQ$3:DQ207,DQ207)=1,MAX(JK$2:JK206)+1,""))</f>
        <v/>
      </c>
      <c r="JL207" t="str">
        <f>IF(DE207="","",IF(COUNTIF(DE$3:DE207,DE207)+COUNTIF(DF$2:DF206,DE207)+COUNTIF(DG$2:DG206,DE207)=1,MAX(JL$2:JN206)+1,""))</f>
        <v/>
      </c>
      <c r="JM207" t="str">
        <f>IF(DF207="","",IF(COUNTIF(DE$3:DE207,DF207)+COUNTIF(DF$3:DF207,DF207)+COUNTIF(DG$2:DG206,DF207)=1,MAX(JL$2:JN206,JL207)+1,""))</f>
        <v/>
      </c>
      <c r="JN207" t="str">
        <f>IF(DG207="","",IF(COUNTIF(DE$3:DE207,DG207)+COUNTIF(DF$3:DF207,DG207)+COUNTIF(DG$3:DG207,DG207)=1,MAX(JL$2:JN206,JL207,JM207)+1,""))</f>
        <v/>
      </c>
      <c r="JO207" t="str">
        <f t="shared" si="545"/>
        <v>3х2,5</v>
      </c>
      <c r="JP207" t="str">
        <f>IF(JO207="","",IF(COUNTIF(JO$3:JO207,JO207)=1,MAX(JP$2:JP206)+1,""))</f>
        <v/>
      </c>
      <c r="JQ207" t="str">
        <f>IF(HG207="","",COUNTIF(HG$3:HG207,"?*"))</f>
        <v/>
      </c>
      <c r="JR207" t="str">
        <f>IF(OR(HG207="",HI207=""),"",IF(COUNTIFS(HG$3:HG207,"?*",HI$3:HI207,HI207)=1,MAX(JR$2:JR206)+1,""))</f>
        <v/>
      </c>
      <c r="JS207">
        <f t="shared" si="546"/>
        <v>0</v>
      </c>
      <c r="JT207">
        <f>IF(B207="","",COUNTIF(B$3:B207,"?*"))</f>
        <v>205</v>
      </c>
      <c r="JU207">
        <f>IF(HL207&lt;&gt;1,0,_xlfn.LET(_xlpm.k,MAX(IFERROR(--_xlfn.XLOOKUP(B207,Коды_код,Коды_3L),0),IFERROR(--_xlfn.XLOOKUP(BC207,Коды_код,Коды_3L),0),IFERROR(--_xlfn.XLOOKUP(LEFT(BC207,2),Коды_код,Коды_3L),0)),IF(_xlpm.k&gt;0,_xlpm.k,IF(IFERROR(--LEFT(SUBSTITUTE(JO207,"x","х"),FIND("х",SUBSTITUTE(JO207,"x","х"))-1),3)&gt;3,Каталог!$S$9,1))))</f>
        <v>1</v>
      </c>
      <c r="JV207">
        <f t="shared" si="547"/>
        <v>0</v>
      </c>
      <c r="JW207" t="str">
        <f t="shared" si="548"/>
        <v>авто</v>
      </c>
      <c r="JX207">
        <f t="shared" si="549"/>
        <v>30</v>
      </c>
      <c r="JY207">
        <f t="shared" si="550"/>
        <v>1</v>
      </c>
      <c r="JZ207">
        <f t="shared" si="551"/>
        <v>1</v>
      </c>
    </row>
    <row r="208" spans="1:286" x14ac:dyDescent="0.3">
      <c r="A208" t="s">
        <v>755</v>
      </c>
      <c r="B208" t="s">
        <v>1515</v>
      </c>
      <c r="C208" t="str">
        <f>Линии[[#This Row],[_авто наименование]]</f>
        <v>Розеточная группа, пом. 013Б</v>
      </c>
      <c r="D208">
        <v>1</v>
      </c>
      <c r="E208">
        <v>0.06</v>
      </c>
      <c r="G208" t="str">
        <f>Линии[[#This Row],[_авто автомат]]</f>
        <v>2P С16А 30мА</v>
      </c>
      <c r="H208" t="str">
        <f>Линии[[#This Row],[_авто управление]]</f>
        <v/>
      </c>
      <c r="I208" t="str">
        <f>Линии[[#This Row],[_авто аппараты]]</f>
        <v/>
      </c>
      <c r="J208">
        <v>2.5</v>
      </c>
      <c r="K208">
        <v>54</v>
      </c>
      <c r="L208">
        <v>3</v>
      </c>
      <c r="M208" t="str">
        <f>Линии[[#This Row],[_авто клемма]]</f>
        <v>XT24</v>
      </c>
      <c r="N208" t="str">
        <f t="shared" si="414"/>
        <v/>
      </c>
      <c r="O208" s="6" cm="1">
        <f t="array" ref="O208">IF(B208="","",IF(BH208&lt;&gt;"",IFERROR(_xlfn.XLOOKUP(BH208,Щиты[Щит],Щиты[Iр, А]),""),IF(BP208=1,IF(OR(N(_xlfn.XLOOKUP(A208,Щиты[Щит],Щиты[Вводов],1))&lt;=1,LOWER(TRIM(_xlfn.XLOOKUP(A208,Щиты[Щит],Щиты[АВР],"")&amp;""))="да"),IFERROR(_xlfn.XLOOKUP(A208,Щиты[Щит],Щиты[Iр, А]),""),IFERROR(N(BS208)*_xlfn.XLOOKUP(A208,Щиты[Щит],Щиты[Кс итог])/(SQRT(3)*Uн_лин*_xlfn.XLOOKUP(A208,Щиты[Щит],Щиты[cos φ])),"")),IF(BV208=1,IFERROR(BS208*1000/BU208,""),IFERROR(_xlfn.IFS(BX208=1,BS208/((Uн_лин/SQRT(3))*CE208),BX208=3,BS208/(SQRT(3)*Uн_лин*CE208)),"")))))</f>
        <v>0.27348170645824377</v>
      </c>
      <c r="P208" s="7">
        <f>IF(B208="","",IFERROR(IF(VLOOKUP(BC208,Потребители_обозначение,4,FALSE)=1,VLOOKUP(BC208,Потребители_обозначение,3,FALSE)*(MAX(1,N(D208))*2-1)+EI208+VLOOKUP(BE208,Этаж_обозначение,3,FALSE)+VLOOKUP(BE208,Этаж_обозначение,4,FALSE),VLOOKUP(BC208,Потребители_обозначение,3,FALSE)*(MAX(1,N(D208))*2-1)+EI208),EI208))</f>
        <v>57</v>
      </c>
      <c r="Q208" s="6">
        <f t="shared" si="415"/>
        <v>0.55000000000000004</v>
      </c>
      <c r="R208" t="str">
        <f t="shared" si="416"/>
        <v>ВВГнг(А)-LS (3х2,5)</v>
      </c>
      <c r="S208" t="str">
        <f>IF(BM208="","",IF(BN208="вводной узел","узел ","")&amp;"л."&amp;(INT((BM208-1)/Столбцов_на_лист)+1)&amp;" / "&amp;(MOD(BM208-1,Столбцов_на_лист)+1))</f>
        <v>л.3 / 2</v>
      </c>
      <c r="T208" s="119">
        <f t="shared" si="417"/>
        <v>0.7</v>
      </c>
      <c r="U208" s="7" t="str">
        <f>IF(OR(CG208=0,N(BV208)+N(IB208)=0),"",ROUNDUP(Запас_БП*(N(HY208)+N(HZ208)),0))</f>
        <v/>
      </c>
      <c r="V208" s="119" t="str">
        <f t="shared" si="418"/>
        <v/>
      </c>
      <c r="W208" s="7" t="str">
        <f>IFERROR(IF(OR(B208="",BP208=1,BV208=1,NOT(ISNUMBER(EN208)),N(DT208)=0),"",MAX(0,ROUNDDOWN((c_min*(Uн_лин*1000/SQRT(3))/(HT208*N(DT208))-_xlfn.XLOOKUP(A208,Щиты[Щит],Щиты[Zпетли на шинах, Ом]))*EN208/(2*ρкз_Cu),0))),"")</f>
        <v/>
      </c>
      <c r="Y208">
        <f>Линии[[#This Row],[_авто утечка]]</f>
        <v>30</v>
      </c>
      <c r="Z208">
        <v>1</v>
      </c>
      <c r="AA208">
        <v>230</v>
      </c>
      <c r="AB208" t="s">
        <v>562</v>
      </c>
      <c r="AG208" t="s">
        <v>810</v>
      </c>
      <c r="AI208" t="s">
        <v>561</v>
      </c>
      <c r="AK208" t="str">
        <f>Линии[[#This Row],[_авто модуль]]</f>
        <v/>
      </c>
      <c r="AM208">
        <v>36</v>
      </c>
      <c r="AN208" t="s">
        <v>11</v>
      </c>
      <c r="AO208">
        <v>3</v>
      </c>
      <c r="AQ208">
        <v>40</v>
      </c>
      <c r="AR208">
        <v>13</v>
      </c>
      <c r="AS208">
        <v>4</v>
      </c>
      <c r="BA208" cm="1">
        <f t="array" ref="BA208">ROW()-ROW(Линии[#Headers])</f>
        <v>206</v>
      </c>
      <c r="BC208" s="6" t="str">
        <f t="shared" si="419"/>
        <v>R</v>
      </c>
      <c r="BD208" t="str">
        <f t="shared" si="420"/>
        <v>0.013Б.1</v>
      </c>
      <c r="BE208" t="str">
        <f t="shared" si="421"/>
        <v>0</v>
      </c>
      <c r="BF208" t="str">
        <f t="shared" si="422"/>
        <v>013Б.1</v>
      </c>
      <c r="BG208" t="str">
        <f t="shared" si="423"/>
        <v>013Б</v>
      </c>
      <c r="BH208" t="str">
        <f>IF(X208&lt;&gt;"",X208,IF(AND(B208&lt;&gt;"",B208&lt;&gt;A208,ISNUMBER(_xlfn.XMATCH(B208,Щиты[Щит]))),B208,""))</f>
        <v/>
      </c>
      <c r="BI208" t="str" cm="1">
        <f t="array" ref="BI208">IF(B208="","",IF(BH208&lt;&gt;"","Щит "&amp;BH208,_xlfn.LET(_xlpm.nm,IFERROR(_xlfn.XLOOKUP(BC208,Коды_код,Коды_имя)&amp;"",""),_xlpm.md,IFERROR(N(_xlfn.XLOOKUP(BC208,Коды_код,Коды_режим)),1),_xlpm.ex,IF(Имя_режим="по экспликации",IFERROR(_xlfn.XLOOKUP(BE208&amp;"|"&amp;BG208,Экспликация[Этаж]&amp;"|"&amp;Экспликация[Помещение],Экспликация[Название])&amp;"",""),""),_xlpm.rm,IF(BG208="","",IF(_xlpm.ex&lt;&gt;"",". "&amp;_xlpm.ex&amp;IF(Имя_пом="нет"," ("&amp;BG208&amp;")"," (пом. "&amp;BG208&amp;")"),IF(Имя_пом="нет"," ",", пом. ")&amp;BG208)),IF(_xlpm.nm="","",IF(_xlpm.md=2,_xlpm.nm&amp;" шлейф "&amp;BE208,_xlpm.nm&amp;_xlpm.rm)))))</f>
        <v>Розеточная группа, пом. 013Б</v>
      </c>
      <c r="BJ208" t="str">
        <f t="shared" si="424"/>
        <v>Розеточная группа, пом. 013Б</v>
      </c>
      <c r="BK208">
        <f>IFERROR(_xlfn.XMATCH(A208,Щиты[Щит]),0)</f>
        <v>9</v>
      </c>
      <c r="BL208">
        <f>_xlfn.LET(_xlpm.k,IFERROR(_xlfn.XLOOKUP(A208,Щиты[Щит],Щиты[Мест под вводной узел]),""),IF(_xlpm.k="",Столбцов_на_лист,N(_xlpm.k)))</f>
        <v>8</v>
      </c>
      <c r="BM208">
        <f t="shared" si="425"/>
        <v>36</v>
      </c>
      <c r="BN208" t="str">
        <f t="shared" si="426"/>
        <v>линии</v>
      </c>
      <c r="BO208" s="6">
        <f>IFERROR(N(_xlfn.XLOOKUP(BC208,Коды_код,Коды_квт)),0)</f>
        <v>0</v>
      </c>
      <c r="BP208">
        <f t="shared" si="427"/>
        <v>0</v>
      </c>
      <c r="BQ208" t="str">
        <f>IF(B208="","",IF(BH208&lt;&gt;"",IFERROR(_xlfn.XLOOKUP(BH208,Щиты[Щит],Щиты[Руст, кВт]),0),IF(BP208=1,IF(OR(N(_xlfn.XLOOKUP(A208,Щиты[Щит],Щиты[Вводов],1))&lt;=1,LOWER(TRIM(_xlfn.XLOOKUP(A208,Щиты[Щит],Щиты[АВР],"")&amp;""))="да"),IFERROR(_xlfn.XLOOKUP(A208,Щиты[Щит],Щиты[Руст, кВт]),0),SUMIFS(Линии[_Р для вводов],Линии[Щит],A208,Линии[Источник для режимов],GF208)),IF(BO208&gt;0,ROUND(BO208*MAX(1,N(D208)),3),""))))</f>
        <v/>
      </c>
      <c r="BR208">
        <f t="shared" si="428"/>
        <v>0.06</v>
      </c>
      <c r="BS208" s="6">
        <f>IF(B208="","",IF(BH208&lt;&gt;"",IFERROR(_xlfn.XLOOKUP(BH208,Щиты[Щит],Щиты[Руст, кВт]),0),N(BR208)))</f>
        <v>0.06</v>
      </c>
      <c r="BT208" t="str">
        <f>IF(B208="","",IFERROR(IF(VLOOKUP(BC208,Потребители_обозначение,8,FALSE)=0,"",VLOOKUP(BC208,Потребители_обозначение,8,FALSE)),""))</f>
        <v/>
      </c>
      <c r="BU208">
        <f t="shared" si="429"/>
        <v>230</v>
      </c>
      <c r="BV208">
        <f t="shared" si="430"/>
        <v>0</v>
      </c>
      <c r="BW208">
        <f>IF(B208="","",IF(BH208&lt;&gt;"",3,IFERROR(IF(N(VLOOKUP(BC208,Потребители_обозначение,9,FALSE))=0,1,VLOOKUP(BC208,Потребители_обозначение,9,FALSE)),1)))</f>
        <v>1</v>
      </c>
      <c r="BX208">
        <f t="shared" si="431"/>
        <v>1</v>
      </c>
      <c r="BY208" t="str">
        <f>IF(B208="","",_xlfn.LET(_xlpm.bc,IFERROR(IF(VLOOKUP(BC208,Потребители_обозначение,6,FALSE)=0,"",VLOOKUP(BC208,Потребители_обозначение,6,FALSE)&amp;""),""),IF(AND(GA208="да",OR(_xlpm.bc="",_xlpm.bc="мс")),Марка_пож,IF(AND(_xlpm.bc="",BH208&lt;&gt;""),"мс",_xlpm.bc))))</f>
        <v/>
      </c>
      <c r="BZ208" t="str">
        <f t="shared" si="432"/>
        <v>мс</v>
      </c>
      <c r="CA208">
        <f>IF(B208="","",_xlfn.LET(_xlpm.cc,IFERROR(N(VLOOKUP(BC208,Потребители_обозначение,7,FALSE)),0),IF(_xlpm.cc&gt;0,_xlpm.cc,IF(BZ208="","",IF(BV208=1,2,IF(N(BX208)=3,5,3))))))</f>
        <v>3</v>
      </c>
      <c r="CB208">
        <f t="shared" si="433"/>
        <v>3</v>
      </c>
      <c r="CC208">
        <f>IFERROR(N(VLOOKUP(BC208,Потребители_обозначение,10,FALSE)),0)</f>
        <v>0</v>
      </c>
      <c r="CD208">
        <f>IFERROR(VLOOKUP(BC208,Потребители_обозначение,5,FALSE),0)</f>
        <v>1</v>
      </c>
      <c r="CE208" s="6" cm="1">
        <f t="array" ref="CE208">IF(B208="","",IF(BH208&lt;&gt;"",IFERROR(_xlfn.XLOOKUP(BH208,Щиты[Щит],Щиты[cos φ]),0.95),IF(BP208=1,IFERROR(_xlfn.XLOOKUP(A208,Щиты[Щит],Щиты[cos φ]),0.95),IF(ISNUMBER(AD208),AD208,IFERROR(IF(CD208=2,_xlfn.IFS(BX208=3,VLOOKUP(BS208,Справочная_двигатели,8,FALSE),BX208=1,VLOOKUP(BS208,Справочная_двигатели,10,TRUE)),IF(AND(Методика="нормы 2026",FG208="Сил"),0.8,0.95)),0.95)))))</f>
        <v>0.95</v>
      </c>
      <c r="CF208">
        <f t="shared" si="434"/>
        <v>0</v>
      </c>
      <c r="CG208">
        <f t="shared" si="435"/>
        <v>1</v>
      </c>
      <c r="CH208">
        <f t="shared" si="436"/>
        <v>0</v>
      </c>
      <c r="CI208">
        <f>IF(B208="","",IF(BV208=1,IFERROR(BS208/((Uн_лин/SQRT(3))*MAX(0.5,N(CE208))),0),N(O208)))</f>
        <v>0.27348170645824377</v>
      </c>
      <c r="CJ208">
        <f t="shared" si="437"/>
        <v>0</v>
      </c>
      <c r="CK208">
        <f t="shared" si="438"/>
        <v>0</v>
      </c>
      <c r="CL208">
        <f t="shared" si="439"/>
        <v>0</v>
      </c>
      <c r="CM208">
        <f t="shared" si="440"/>
        <v>0</v>
      </c>
      <c r="CN208">
        <f t="shared" si="441"/>
        <v>0</v>
      </c>
      <c r="CO208">
        <f>IF(BC208="",0,_xlfn.LET(_xlpm.v,IFERROR(_xlfn.XLOOKUP(B208,Коды_код,Коды_мА),IFERROR(_xlfn.XLOOKUP(BC208,Коды_код,Коды_мА),IFERROR(_xlfn.XLOOKUP(LEFT(BC208,2),Коды_код,Коды_мА),""))),IF(_xlpm.v="да",30,IF(ISNUMBER(_xlpm.v),_xlpm.v,0))))</f>
        <v>30</v>
      </c>
      <c r="CP208">
        <f t="shared" si="442"/>
        <v>30</v>
      </c>
      <c r="CQ208" t="str">
        <f>_xlfn.LET(_xlpm.k,IFERROR(_xlfn.XLOOKUP(BC208,Коды_код,Коды_утечка)&amp;"",""),IF(_xlpm.k="","дифавтомат",_xlpm.k))</f>
        <v>дифавтомат</v>
      </c>
      <c r="CR208" t="str" cm="1">
        <f t="array" ref="CR208">IF(CG208=0,"",_xlfn.LET(_xlpm.sg,TRIM(_xlfn.TEXTSPLIT(DD208&amp;"",";")),_xlpm.f_,_xlfn._xlws.FILTER(_xlpm.sg,LEFT(_xlpm.sg,3)="УЗО",""),IFERROR(INDEX(_xlpm.f_,1)&amp;"","")))</f>
        <v/>
      </c>
      <c r="CS208" t="str">
        <f t="shared" si="443"/>
        <v/>
      </c>
      <c r="CT208" s="6" t="str" cm="1">
        <f t="array" ref="CT208">IF(CR208="","",_xlfn.LET(_xlpm.tk,_xlfn.TEXTSPLIT(UPPER(CR208)," ",,TRUE),_xlpm.a_,_xlfn._xlws.FILTER(_xlpm.tk,ISNUMBER(--LEFT(_xlpm.tk,1))*((ISNUMBER(SEARCH("А",_xlpm.tk))+ISNUMBER(SEARCH("A",_xlpm.tk)))&gt;0)*NOT(ISNUMBER(SEARCH("МА",_xlpm.tk)))*NOT(ISNUMBER(SEARCH("MA",_xlpm.tk))),""),IFERROR(--SUBSTITUTE(SUBSTITUTE(INDEX(_xlpm.a_,1),"А",""),"A",""),"")))</f>
        <v/>
      </c>
      <c r="CU208" t="str" cm="1">
        <f t="array" ref="CU208">IF(CR208="","",_xlfn.LET(_xlpm.tk,_xlfn.TEXTSPLIT(UPPER(CR208)," ",,TRUE),_xlpm.a_,_xlfn._xlws.FILTER(_xlpm.tk,ISNUMBER(--LEFT(_xlpm.tk,1))*((ISNUMBER(SEARCH("МА",_xlpm.tk))+ISNUMBER(SEARCH("MA",_xlpm.tk)))&gt;0),""),IFERROR(--SUBSTITUTE(SUBSTITUTE(INDEX(_xlpm.a_,1),"МА",""),"MA",""),30)))</f>
        <v/>
      </c>
      <c r="CV208" t="str">
        <f>IF(CS208="","",IFERROR(_xlfn.XLOOKUP(CS208,Линии[_n],Линии[_УЗО, мА]),30))</f>
        <v/>
      </c>
      <c r="CW208">
        <f>IF(CS208="",0,IF(ISNUMBER(SEARCH("4P",IFERROR(_xlfn.XLOOKUP(CS208,Линии[_n],Линии[_УЗО строки])&amp;"",""))),0,1))</f>
        <v>0</v>
      </c>
      <c r="CX208" t="str">
        <f>IF(AND(CS208&lt;&gt;"",CS208=BA208),SUMIFS(Линии[_ток на 230 В],Линии[_блок УЗО],BA208,Линии[Щит],A208),"")</f>
        <v/>
      </c>
      <c r="CY208" t="str">
        <f>IF(AND(CS208&lt;&gt;"",CS208=BA208),SUMIFS(Линии[_ток утечки линии, мА],Линии[_блок УЗО],BA208,Линии[Щит],A208),"")</f>
        <v/>
      </c>
      <c r="CZ208">
        <f t="shared" si="444"/>
        <v>30</v>
      </c>
      <c r="DA208">
        <f t="shared" si="445"/>
        <v>30</v>
      </c>
      <c r="DB208">
        <f>IF(B208="",0,IFERROR(--_xlfn.XLOOKUP(B208,Коды_код,Коды_минавт),IFERROR(--_xlfn.XLOOKUP(BC208,Коды_код,Коды_минавт),IFERROR(--_xlfn.XLOOKUP(LEFT(BC208,2),Коды_код,Коды_минавт),0))))</f>
        <v>16</v>
      </c>
      <c r="DC208" t="str">
        <f>IF(B208="","",IFERROR(_xlfn.XLOOKUP(BC208,Коды_код,Коды_апп)&amp;"",""))</f>
        <v/>
      </c>
      <c r="DD208" t="str">
        <f t="shared" si="446"/>
        <v/>
      </c>
      <c r="DE208" t="str" cm="1">
        <f t="array" ref="DE208">IF(TRIM(DD208&amp;"")="","",IFERROR(TRIM(INDEX(_xlfn.TEXTSPLIT(DD208&amp;";;;",";"),1)),""))</f>
        <v/>
      </c>
      <c r="DF208" t="str" cm="1">
        <f t="array" ref="DF208">IF(TRIM(DD208&amp;"")="","",IFERROR(TRIM(INDEX(_xlfn.TEXTSPLIT(DD208&amp;";;;",";"),2)),""))</f>
        <v/>
      </c>
      <c r="DG208" t="str" cm="1">
        <f t="array" ref="DG208">IF(TRIM(DD208&amp;"")="","",IFERROR(TRIM(INDEX(_xlfn.TEXTSPLIT(DD208&amp;";;;",";"),3)),""))</f>
        <v/>
      </c>
      <c r="DH208">
        <f t="shared" si="447"/>
        <v>0</v>
      </c>
      <c r="DI208" t="str">
        <f>IF(B208="","",_xlfn.LET(_xlpm.t,LOWER(AZ208&amp;""),IF(ISNUMBER(SEARCH("dim",_xlpm.t)),"DIM",IF(ISNUMBER(SEARCH("dali",_xlpm.t)),"DALI",IF(OR(ISNUMBER(SEARCH("relay",_xlpm.t)),ISNUMBER(SEARCH("реле",_xlpm.t))),"Relay",IF(ISNUMBER(SEARCH("кнопк",_xlpm.t)),"",IFERROR(_xlfn.XLOOKUP(BC208,Коды_код,Коды_упр)&amp;"","")))))))</f>
        <v/>
      </c>
      <c r="DJ208" t="str">
        <f t="shared" si="448"/>
        <v/>
      </c>
      <c r="DK208">
        <f>IF(B208="","",_xlfn.LET(_xlpm.ig,IF(N(CX208)&gt;0,N(CX208),N(CI208)+IF(AJ208="вручную",0,N(CJ208))),_xlpm.n0,IFERROR(VLOOKUP(_xlpm.ig,Автомат_номиналы,2,TRUE),0),_xlpm.mn,MAX(DB208,IF(AJ208="вручную",0,N(CM208))),MAX(_xlpm.n0,_xlpm.mn,IF(DH208=1,Мин_автомат_БП,0))))</f>
        <v>16</v>
      </c>
      <c r="DL208">
        <f t="shared" si="449"/>
        <v>1</v>
      </c>
      <c r="DM208" t="str">
        <f t="shared" si="450"/>
        <v>2P</v>
      </c>
      <c r="DN208" t="str">
        <f>_xlfn.LET(_xlpm.cc,UPPER(TRIM(IFERROR(_xlfn.XLOOKUP(BC208,Коды_код,Коды_хар)&amp;"",""))),IF(OR(_xlpm.cc="B",_xlpm.cc="В"),"B",IF(_xlpm.cc="D","D","С")))</f>
        <v>С</v>
      </c>
      <c r="DO208" t="str">
        <f t="shared" si="451"/>
        <v>2P С16А 30мА</v>
      </c>
      <c r="DP208" t="str">
        <f t="shared" si="452"/>
        <v>2P С16А 30мА</v>
      </c>
      <c r="DQ208" t="str">
        <f t="shared" si="453"/>
        <v>2P С16А 30мА</v>
      </c>
      <c r="DR208" cm="1">
        <f t="array" ref="DR208">IF(DQ208="","",_xlfn.LET(_xlpm.t,SUBSTITUTE(SUBSTITUTE(SUBSTITUTE(UPPER(DQ208),"С","C"),"А","A"),"В","B"),_xlpm.tk,_xlfn.TEXTSPLIT(_xlpm.t," "),_xlpm.f,_xlfn._xlws.FILTER(_xlpm.tk,ISNUMBER(--MID(_xlpm.tk,2,1))*ISNUMBER(SEARCH(LEFT(_xlpm.tk,1)&amp;"#","B#C#D#"))*(LEN(_xlpm.tk)&gt;1),""),_xlpm.x,INDEX(_xlpm.f,1),IFERROR(--SUBSTITUTE(MID(_xlpm.x,2,9),"A",""),IFERROR(--SUBSTITUTE(INDEX(_xlfn._xlws.FILTER(_xlpm.tk,ISNUMBER(--SUBSTITUTE(_xlpm.tk,"A","")),""),1),"A",""),""))))</f>
        <v>16</v>
      </c>
      <c r="DS208" t="str">
        <f t="shared" si="454"/>
        <v>ok</v>
      </c>
      <c r="DT208">
        <f t="shared" si="455"/>
        <v>16</v>
      </c>
      <c r="DU208" t="str">
        <f t="shared" si="456"/>
        <v>2P С16А 30мА</v>
      </c>
      <c r="DV208">
        <f t="shared" si="457"/>
        <v>30</v>
      </c>
      <c r="DW208">
        <f t="shared" si="458"/>
        <v>1</v>
      </c>
      <c r="DX208">
        <f t="shared" si="459"/>
        <v>0</v>
      </c>
      <c r="DY208">
        <f t="shared" si="460"/>
        <v>0.27348170645824377</v>
      </c>
      <c r="DZ208">
        <f t="shared" si="461"/>
        <v>1</v>
      </c>
      <c r="EA208">
        <f>IF(ISNUMBER(AP208),AP208,К_прокл)</f>
        <v>1</v>
      </c>
      <c r="EB208">
        <f t="shared" si="462"/>
        <v>2</v>
      </c>
      <c r="EC208">
        <f>IFERROR(N(VLOOKUP(BZ208,Кабель_обозначение,3,FALSE)),1)</f>
        <v>1</v>
      </c>
      <c r="ED208">
        <f>IFERROR(N(_xlfn.XLOOKUP(A208,Щиты[Щит],Щиты[ΔU до шин, %])),0)</f>
        <v>0.43</v>
      </c>
      <c r="EE208" t="str">
        <f>IFERROR(_xlfn.XLOOKUP(A208,Щиты[Щит],Щиты[Zпетли на шинах, Ом]),"")</f>
        <v/>
      </c>
      <c r="EF208">
        <f>IFERROR(N(_xlfn.XLOOKUP(A208,Щиты[Щит],Щиты[ΔU до шин (подбор), %])),0)</f>
        <v>0.43</v>
      </c>
      <c r="EG208" t="str">
        <f>IFERROR(_xlfn.XLOOKUP(A208,Щиты[Щит],Щиты[Zпетли на шинах (подбор), Ом]),"")</f>
        <v/>
      </c>
      <c r="EH208" t="str">
        <f t="shared" si="463"/>
        <v/>
      </c>
      <c r="EI208">
        <f t="shared" si="464"/>
        <v>54</v>
      </c>
      <c r="EJ208">
        <f t="shared" si="465"/>
        <v>2</v>
      </c>
      <c r="EK208">
        <f t="shared" si="466"/>
        <v>0.31</v>
      </c>
      <c r="EL208" s="6">
        <f>IF(B208="","",IF(BV208=1,dU_LED,IF(IFERROR(_xlfn.XLOOKUP(BC208,Коды_код,Коды_уго),"")="Светильник",3,4)+IF(Методика="нормы 2026",MIN(0.5,MAX(0,N(P208)-100)*0.005),0)))</f>
        <v>4</v>
      </c>
      <c r="EM208" cm="1">
        <f t="array" ref="EM208">IF(OR(B208="",BZ208="",EC208&lt;&gt;1),"",_xlfn.LET(_xlpm.sz,Iдоп_S,_xlpm.t_,CHOOSE(EB208,Iдоп_1ж,Iдоп_2ж,Iдоп_3ж)*DZ208*EA208,_xlpm.dcx,BV208=1,_xlpm.inn,IF(_xlpm.dcx,N(O208),N(DT208)),_xlpm.smin,MAX(1.5,CC208),_xlpm.L_,N(P208)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208)/N(BU208)*100,999),IFERROR(N(EJ208)*(_xlpm.rho*_xlpm.L_/_xlpm.sz*N(CE208)+_xlpm.xx*_xlpm.L_*N(EK208)/1000)*N(O208)/((Uн_лин/SQRT(3))*1000)*100,999)),_xlpm.kz,IF(OR(_xlpm.dcx,DW208=1,NOT(ISNUMBER(EG208)),_xlpm.L_=0,_xlpm.inn=0),1,IFERROR(--(c_min*(Uн_лин*1000/SQRT(3))/(EG208+2*ρкз_Cu*_xlpm.L_/_xlpm.sz)&gt;=HT208*_xlpm.inn),0)),_xlpm.ok,IFERROR((_xlpm.sz&gt;=_xlpm.smin)*(_xlpm.t_&gt;=_xlpm.inn)*IF(_xlpm.L_&gt;0,(_xlpm.du_+IF(_xlpm.dcx,0,EF208)&lt;=EL208+0.00001),1)*_xlpm.kz,0),_xlpm.r_,_xlfn._xlws.FILTER(_xlpm.sz,_xlpm.ok,"не подобрано"),INDEX(_xlpm.r_,1)))</f>
        <v>1.5</v>
      </c>
      <c r="EN208">
        <f t="shared" si="467"/>
        <v>2.5</v>
      </c>
      <c r="EO208" cm="1">
        <f t="array" ref="EO208">IF(OR(B208="",BZ208="",EC208&lt;&gt;1),"",_xlfn.LET(_xlpm.sz,Iдоп_S,_xlpm.t_,CHOOSE(EB208,Iдоп_1ж,Iдоп_2ж,Iдоп_3ж)*DZ208*EA208,_xlpm.ok,IFERROR((_xlpm.sz&gt;=MAX(1.5,CC208))*(_xlpm.t_&gt;=N(DT208)),0),_xlpm.r_,_xlfn._xlws.FILTER(_xlpm.sz,_xlpm.ok,""),INDEX(_xlpm.r_,1)))</f>
        <v>1.5</v>
      </c>
      <c r="EP208" s="6" cm="1">
        <f t="array" ref="EP208">IFERROR(ROUNDUP(N(EJ208)*(_xlfn.XLOOKUP(EO208,INDEX(Кабель_сопротивление,0,1),INDEX(Кабель_сопротивление,0,3))*N(P208)/EO208*N(CE208)+_xlfn.XLOOKUP(EO208,INDEX(Кабель_сопротивление,0,1),INDEX(Кабель_сопротивление,0,2))*N(P208)*N(EK208)/1000)*N(O208)/((Uн_лин/SQRT(3))*1000)*100,2),"")</f>
        <v>0.2</v>
      </c>
      <c r="EQ208">
        <f>IFERROR(2*ρкз_Cu*N(P208)/EO208,"")</f>
        <v>1.9988000000000001</v>
      </c>
      <c r="ER208">
        <f>IFERROR(VLOOKUP(EN208,Кабель_сопротивление,3,FALSE),"")</f>
        <v>2.2499999999999999E-2</v>
      </c>
      <c r="ES208">
        <f>IFERROR(VLOOKUP(EN208,Кабель_сопротивление,2,FALSE),"")</f>
        <v>0.1</v>
      </c>
      <c r="ET208">
        <f t="shared" si="468"/>
        <v>13</v>
      </c>
      <c r="EU208">
        <f t="shared" si="469"/>
        <v>4</v>
      </c>
      <c r="EV208">
        <f t="shared" si="470"/>
        <v>0.26752910363547366</v>
      </c>
      <c r="EW208" s="6">
        <f>IFERROR(ROUNDUP(EV208/IF(BV208=1,BU208,(Uн_лин/SQRT(3))*1000)*100,2),"")</f>
        <v>0.12</v>
      </c>
      <c r="EX208" t="str">
        <f>IFERROR(VLOOKUP(BZ208,Кабель_обозначение,2,FALSE),"")</f>
        <v>ВВГнг(А)-LS</v>
      </c>
      <c r="EY208" t="str">
        <f t="shared" si="471"/>
        <v>ВВГнг(А)-LS (3х2,5)</v>
      </c>
      <c r="EZ208" t="str">
        <f t="shared" si="472"/>
        <v>ВВГнг(А)-LS (3х2,5)
L=57-0,12%</v>
      </c>
      <c r="FA208">
        <f>IFERROR(2*ρкз_Cu*P208/EN208,"")</f>
        <v>1.1992800000000001</v>
      </c>
      <c r="FB208">
        <f t="shared" si="473"/>
        <v>0.39900000000000002</v>
      </c>
      <c r="FC208" s="6" t="str">
        <f>IFERROR(IF(OR(B208="",BV208=1,NOT(ISNUMBER(EN208)),N(P208)=0),"",_xlfn.XLOOKUP(A208,Щиты[Щит],Щиты[Zпетли на шинах, Ом])+FA208),"")</f>
        <v/>
      </c>
      <c r="FD208" s="6" t="str">
        <f>IF(ISNUMBER(FC208),c_min*(Uн_лин*1000/SQRT(3))/FC208,"")</f>
        <v/>
      </c>
      <c r="FE208" s="6" t="str">
        <f>IFERROR(IF(OR(B208="",NOT(ISNUMBER(EN208))),"",1.05*(Uн_лин*1000/SQRT(3))/(_xlfn.XLOOKUP(A208,Щиты[Щит],Щиты[Zmax на шинах, Ом])+FB208)/1000),"")</f>
        <v/>
      </c>
      <c r="FF208" s="6" t="str">
        <f>IF(B208="","",IF(ISNUMBER(AC208),"Сил",IF(IFERROR(_xlfn.XLOOKUP(BC208,Коды_код,Коды_группа)&amp;"","")="","Быт",_xlfn.XLOOKUP(BC208,Коды_код,Коды_группа)&amp;"")))</f>
        <v>Быт</v>
      </c>
      <c r="FG208" s="6" t="str">
        <f t="shared" si="474"/>
        <v>Быт</v>
      </c>
      <c r="FH208" s="6">
        <f>IF(FG208="Щит","щит",IF(FG208="","",IF(FG208="Быт",IFERROR(_xlfn.XLOOKUP(A208,Щиты[Щит],Щиты[Кс быт]),1),IF(FG208="Сил",IF(ISNUMBER(AC208),AC208,IF(Методика="нормы 2026",IFERROR(_xlfn.XLOOKUP(A208,Щиты[Щит],Щиты[Кс силовых (табл. 7.5)]),1),1)),IF(OR(FG208="Пост",FG208="Отоп"),1,IF(FG208="ВНГ",0.7,0))))))</f>
        <v>0.79799999999999993</v>
      </c>
      <c r="FI208">
        <f>IF(FG208="","",IF(AND(BP208=1,TRIM(AE208&amp;"")=""),IF(COUNTIFS(Линии[Щит],A208,Линии[Секция (1/2/3)],"&gt;=2")&gt;0,MIN(3,MAX(1,IFERROR(--BD208,1))),1),IFERROR(MIN(3,MAX(1,INT(--AE208))),1)))</f>
        <v>1</v>
      </c>
      <c r="FJ208">
        <f t="shared" si="475"/>
        <v>0.06</v>
      </c>
      <c r="FK208">
        <f t="shared" si="476"/>
        <v>0.06</v>
      </c>
      <c r="FL208">
        <f t="shared" si="477"/>
        <v>0</v>
      </c>
      <c r="FM208">
        <f t="shared" si="478"/>
        <v>0</v>
      </c>
      <c r="FN208">
        <f t="shared" si="479"/>
        <v>0</v>
      </c>
      <c r="FO208">
        <f t="shared" si="480"/>
        <v>0</v>
      </c>
      <c r="FP208">
        <f t="shared" si="481"/>
        <v>0.06</v>
      </c>
      <c r="FQ208">
        <f t="shared" si="482"/>
        <v>0.06</v>
      </c>
      <c r="FR208">
        <f t="shared" si="483"/>
        <v>5.6999999999999995E-2</v>
      </c>
      <c r="FS208">
        <f>IF(CG208=1,IF(AND(CH208=1,CW208=1),0,IF(AND(CS208&lt;&gt;"",CS208=BA208,CW208=1),SUMIFS(Линии[_Р линии, кВт],Линии[_блок УЗО],BA208,Линии[Щит],A208),N(BS208)+IF(AJ208="вручную",0,N(CK208)))),0)</f>
        <v>0.06</v>
      </c>
      <c r="FT208" t="str">
        <f t="shared" si="484"/>
        <v>L3</v>
      </c>
      <c r="FU208" t="str">
        <f>IF(B208="","",IF(CG208=0,IF(BA208=1,"",FW207),IF(AND(CH208=1,CW208=1,CS208&lt;&gt;""),IFERROR(_xlfn.XLOOKUP(CS208,Линии[_n],Линии[_фаза итог]),"L1"),IF(OR(N(DL208)&gt;=3,N(BX208)&gt;=3),"L1,L2,L3",IFERROR(_xlfn.TEXTBEFORE(_xlfn.TEXTAFTER(_xlfn.XLOOKUP(A208,Щиты[Щит],Щиты[_фазы авто]),";"&amp;BA208&amp;":"),";"),"L1")))))</f>
        <v>L1</v>
      </c>
      <c r="FV208" t="str">
        <f t="shared" si="485"/>
        <v>L3</v>
      </c>
      <c r="FW208" t="str">
        <f t="shared" si="486"/>
        <v>L3</v>
      </c>
      <c r="FX208" cm="1">
        <f t="array" ref="FX208">IFERROR(IF(CD208=2,_xlfn.IFS(BX208=3,VLOOKUP(BS208,Справочная_двигатели,3,FALSE),BX208=1,VLOOKUP(BS208,Справочная_двигатели,5,TRUE)),0),0)</f>
        <v>0</v>
      </c>
      <c r="FY208">
        <f>IFERROR(IF(CD208=3,VLOOKUP(BS208,Справочная_ЛЭД,2,TRUE),0),0)</f>
        <v>0</v>
      </c>
      <c r="FZ208" s="6">
        <f t="shared" si="487"/>
        <v>0</v>
      </c>
      <c r="GA208" t="str">
        <f>IF(B208="","",IF(TRIM(AH208&amp;"")&lt;&gt;"",IF(LOWER(TRIM(AH208&amp;""))="да","да","нет"),IF(IFERROR(_xlfn.XLOOKUP(BC208,Коды_код,Коды_пожарная),"")="да","да","нет")))</f>
        <v>нет</v>
      </c>
      <c r="GB208" t="str">
        <f t="shared" si="488"/>
        <v/>
      </c>
      <c r="GC208" t="str">
        <f t="shared" si="489"/>
        <v>основная</v>
      </c>
      <c r="GD208">
        <f>IF(AND(BP208=1,TRIM(AE208&amp;"")=""),IF(COUNTIFS(Линии[Щит],A208,Линии[Секция (1/2/3)],"&gt;=2")&gt;0,MIN(3,MAX(1,IFERROR(--BD208,1))),1),IFERROR(MIN(3,MAX(1,INT(--AE208))),1))</f>
        <v>1</v>
      </c>
      <c r="GE208" t="str" cm="1">
        <f t="array" ref="GE208">IF(B208="","",_xlfn.LET(_xlpm.t,IFERROR(_xlfn.XLOOKUP(1,(Шины[Шина]=GC208)*(((Шины[Щит]=A208)+(Шины[Щит]=""))&gt;0),Шины[Тип]),"")&amp;"",IF(_xlpm.t&lt;&gt;"",_xlpm.t,IF(ISNUMBER(SEARCH("ИБП",GC208)),"ИБП",IF(ISNUMBER(SEARCH("ДГУ",GC208)),"ДГУ","Ввод "&amp;GD208)))))</f>
        <v>Ввод 1</v>
      </c>
      <c r="GF208" t="str">
        <f t="shared" si="490"/>
        <v>Ввод 1</v>
      </c>
      <c r="GG208" t="str">
        <f>IF(BP208=0,"",IF(TRIM(AG208&amp;"")&lt;&gt;"",TRIM(AG208&amp;""),IF(OR(GE208="ИБП",GE208="ДГУ"),"I особая",_xlfn.XLOOKUP(A208,Щиты[Щит],Щиты[Категория шины «Ввод»],"III"))))</f>
        <v/>
      </c>
      <c r="GH208" t="str">
        <f>IF(A208="","",_xlfn.XLOOKUP(A208,Щиты[Щит],Щиты[Путь],""))</f>
        <v>|ГРЩ-ЖД|ЩР-01|</v>
      </c>
      <c r="GI208" t="str">
        <f>IF(B208="","",IF(AI208&lt;&gt;"",AI208,IF(IFERROR(_xlfn.XLOOKUP(BC208,Коды_код,Коды_вид)&amp;"","")="","Прочее",_xlfn.XLOOKUP(BC208,Коды_код,Коды_вид)&amp;"")))</f>
        <v>Розеточная сеть и бытовые приборы</v>
      </c>
      <c r="GJ208">
        <f>IF(BM208="","",INT((BM208-1)/Столбцов_на_лист)+1)</f>
        <v>3</v>
      </c>
      <c r="GK208" t="str">
        <f t="shared" si="491"/>
        <v>ВВГнг(А)-LS (3х2,5) L=57-0,12%</v>
      </c>
      <c r="GL208">
        <f t="shared" si="492"/>
        <v>0.06</v>
      </c>
      <c r="GM208">
        <f t="shared" si="493"/>
        <v>0.28000000000000003</v>
      </c>
      <c r="GN208">
        <f t="shared" si="494"/>
        <v>1</v>
      </c>
      <c r="GO208">
        <f t="shared" si="495"/>
        <v>0</v>
      </c>
      <c r="GP208">
        <f t="shared" si="496"/>
        <v>1</v>
      </c>
      <c r="GQ208">
        <f>IF(BM208="","",IF(AND(CG208=1,GP208=1),COUNTIFS(A$3:A208,A208,CG$3:CG208,1,GP$3:GP208,1),IF(OR(OR(BA208=1,A208&lt;&gt;A207),AJ208="вручную",GP208=0),"",IF(BA208=1,"",GR207))))</f>
        <v>24</v>
      </c>
      <c r="GR208">
        <f t="shared" si="497"/>
        <v>24</v>
      </c>
      <c r="GS208">
        <f>IF(B208="","",IFERROR(LOOKUP(INDEX(CHOOSE(EB208,Iдоп_1ж,Iдоп_2ж,Iдоп_3ж),MATCH(EN208,Iдоп_S,0))*DZ208*EA208,{6,10,16,20,25,32,40,50,63,80,100,125,160,200,250,315,400,500,630}),""))</f>
        <v>25</v>
      </c>
      <c r="GT208" t="str">
        <f t="shared" si="498"/>
        <v>QFD24</v>
      </c>
      <c r="GU208" t="str">
        <f t="shared" si="499"/>
        <v>QFD24</v>
      </c>
      <c r="GV208" t="str">
        <f t="shared" si="500"/>
        <v/>
      </c>
      <c r="GW208">
        <f t="shared" si="501"/>
        <v>0</v>
      </c>
      <c r="GX208" t="str">
        <f>IF(OR(B208="",DJ208=""),"",IFERROR(_xlfn.XLOOKUP(DJ208,Модули_умолч[Управление],Модули_умолч[Модель])&amp;"",""))</f>
        <v/>
      </c>
      <c r="GY208">
        <f>IF(DJ208="",1,IFERROR(MAX(0,N(_xlfn.XLOOKUP(DJ208,Модули_умолч[Управление],Модули_умолч[Каналов на линию]))),1))</f>
        <v>1</v>
      </c>
      <c r="GZ208" t="str">
        <f t="shared" si="502"/>
        <v/>
      </c>
      <c r="HA208" t="str">
        <f t="shared" si="503"/>
        <v/>
      </c>
      <c r="HB208" t="str">
        <f t="shared" si="504"/>
        <v/>
      </c>
      <c r="HC208">
        <f>IF(HB208="",0,IFERROR(N(VLOOKUP(HB208,Модули_спр,3,FALSE)),0))</f>
        <v>0</v>
      </c>
      <c r="HD208" t="str">
        <f t="shared" si="505"/>
        <v/>
      </c>
      <c r="HE208" t="str">
        <f t="shared" si="506"/>
        <v/>
      </c>
      <c r="HF208" t="str">
        <f>IF(OR(HE208="",HE208="-"),"",IFERROR(VLOOKUP(HE208,Модули_спр,2,FALSE),"R"))</f>
        <v/>
      </c>
      <c r="HG208" t="str">
        <f>IF(HF208="","",HF208&amp;"."&amp;COUNTIFS(A$3:A208,A208,HF$3:HF208,HF208))</f>
        <v/>
      </c>
      <c r="HH208" t="str">
        <f t="shared" si="507"/>
        <v/>
      </c>
      <c r="HI208" t="str">
        <f t="shared" si="508"/>
        <v/>
      </c>
      <c r="HJ208" t="str">
        <f t="shared" si="509"/>
        <v/>
      </c>
      <c r="HK208" t="str">
        <f t="shared" si="510"/>
        <v/>
      </c>
      <c r="HL208">
        <f t="shared" si="511"/>
        <v>1</v>
      </c>
      <c r="HM208" t="str">
        <f>IF(HL208=1,"XT"&amp;COUNTIFS(A$3:A208,A208,HL$3:HL208,1),"")</f>
        <v>XT24</v>
      </c>
      <c r="HN208" t="str">
        <f t="shared" si="512"/>
        <v>XT24</v>
      </c>
      <c r="HO208" t="str">
        <f t="shared" si="513"/>
        <v>QFD24</v>
      </c>
      <c r="HP208" t="str">
        <f t="shared" si="514"/>
        <v/>
      </c>
      <c r="HQ208" t="str">
        <f t="shared" si="515"/>
        <v>ok</v>
      </c>
      <c r="HR208" t="str">
        <f>IF(OR(HJ208="",HH208=""),"",IF(HJ208+MAX(0,GY208-1)&gt;IFERROR(VLOOKUP(HI208,Модули_спр,3,FALSE),99),"ЛИШНИЙ КАНАЛ",IF(AND(AL208&lt;&gt;"=",GY208&gt;0,COUNTIFS(Линии[_модуль гр.],HH208,Линии[Канал (итог)],HJ208,Линии[Канал],"&lt;&gt;=",Линии[Щит],A208)&gt;1),"ДУБЛЬ КАНАЛА","")))</f>
        <v/>
      </c>
      <c r="HS208" s="6" t="str">
        <f t="shared" si="516"/>
        <v/>
      </c>
      <c r="HT208">
        <f t="shared" si="517"/>
        <v>10</v>
      </c>
      <c r="HU208" t="str">
        <f t="shared" si="518"/>
        <v/>
      </c>
      <c r="HV208">
        <f t="shared" si="519"/>
        <v>0.67939268258329755</v>
      </c>
      <c r="HW208">
        <f t="shared" si="520"/>
        <v>0</v>
      </c>
      <c r="HX208">
        <f t="shared" si="521"/>
        <v>0</v>
      </c>
      <c r="HY208">
        <f t="shared" si="522"/>
        <v>0</v>
      </c>
      <c r="HZ208">
        <f t="shared" si="523"/>
        <v>0</v>
      </c>
      <c r="IA208">
        <f t="shared" si="524"/>
        <v>0</v>
      </c>
      <c r="IB208">
        <f t="shared" si="525"/>
        <v>0</v>
      </c>
      <c r="IC208" t="str">
        <f t="shared" si="526"/>
        <v/>
      </c>
      <c r="ID208" t="str" cm="1">
        <f t="array" ref="ID208">IF(IC208="","",_xlfn.LET(_xlpm.tk,_xlfn.TEXTSPLIT(SUBSTITUTE(SUBSTITUTE(IC208,";"," "),"→"," ")," ",,TRUE),_xlpm.w_,_xlfn._xlws.FILTER(_xlpm.tk,ISNUMBER(--LEFT(_xlpm.tk,1))*((ISNUMBER(SEARCH("W",_xlpm.tk))+ISNUMBER(SEARCH("Вт",_xlpm.tk)))&gt;0),""),IFERROR(--SUBSTITUTE(SUBSTITUTE(UPPER(INDEX(_xlpm.w_,1)),"W",""),"ВТ",""),"")))</f>
        <v/>
      </c>
      <c r="IE208" t="str" cm="1">
        <f t="array" ref="IE208">IF(IC208="","",_xlfn.LET(_xlpm.tk,_xlfn.TEXTSPLIT(SUBSTITUTE(SUBSTITUTE(IC208,";"," "),"→"," ")," ",,TRUE),_xlpm.v_,_xlfn._xlws.FILTER(_xlpm.tk,ISNUMBER(--LEFT(_xlpm.tk,1))*((ISNUMBER(SEARCH("V",_xlpm.tk))+(RIGHT(UPPER(_xlpm.tk))="В"))&gt;0),""),IFERROR(--SUBSTITUTE(SUBSTITUTE(UPPER(INDEX(_xlpm.v_,1)),"V",""),"В",""),"")))</f>
        <v/>
      </c>
      <c r="IF208" s="6" t="str">
        <f>IF(OR(BV208=0,HI208="",HJ208=""),"",IFERROR(N(_xlfn.XLOOKUP(HI208,Каталог!$C$4:$C$500,Каталог!$Q$4:$Q$500)),""))</f>
        <v/>
      </c>
      <c r="IG208" s="6" t="str">
        <f>IF(N(IF208)=0,"",SUMIFS(Линии[Iр, А],Линии[Щит],A208,Линии[_модуль гр.],HH208,Линии[Канал (итог)],HJ208))</f>
        <v/>
      </c>
      <c r="IH208" t="str">
        <f>IF(AND(B208="",HO208=""),"",_xlfn.TEXTJOIN("; ",TRUE,IF(AND(B208&lt;&gt;"",FV208=""),"нет фазы",""),IF(AND(B208&lt;&gt;"",N(GL208)=0,FG208&lt;&gt;"Нет"),"нет мощности",""),IF(AND(HN208&lt;&gt;"",COUNTIFS(Линии[Щит],A208,Линии[Клемма (итог)],HN208)&gt;1),"дубль клеммы "&amp;HN208,""),IF(AND(HQ208&lt;&gt;"",HQ208&lt;&gt;"ok"),HQ208,""),IF(HR208&lt;&gt;"",HR208,""),IF(AND(N(CB208)&gt;=4,N(BX208)=1),CB208&amp;" жил на 1 фазе",""),IF(AND(BC208="R",CG208=1,IF(CS208&lt;&gt;"",N(CV208)&gt;30,OR(N(DA208)=0,N(DA208)&gt;30))),"розетка без дифзащиты до 30 мА",""),IF(AND(CG208=1,N(DA208)&gt;0,ISNUMBER(T208)),IF(T208&gt;N(DA208)/3,"ток утечки "&amp;FIXED(T208,1)&amp;" мА &gt; 1/3 уставки ("&amp;DA208&amp;" мА)",""),""),IF(AND(CH208=1,CS208=""),"«узо»: нет строки с УЗО выше (УЗО 2P 40А 30мА в «Аппаратах»)",""),IF(AND(CS208&lt;&gt;"",CS208=BA208),IF(CT208="","впишите номинал УЗО (УЗО 2P 40А 30мА)",IF(N(CT208)&lt;N(DT208),"УЗО "&amp;CT208&amp;" А &lt; автомата "&amp;DT208&amp;" А перед ним",IF(N(CT208)&lt;N(CX208),"УЗО "&amp;CT208&amp;" А &lt; тока блока "&amp;FIXED(CX208,1)&amp;" А",""))),""),IF(AND(CS208&lt;&gt;"",CS208=BA208,ISNUMBER(CY208)),IF(CY208&gt;N(CV208)/3,"ток утечки блока УЗО "&amp;FIXED(CY208,1)&amp;" мА &gt; 1/3 уставки ("&amp;CV208&amp;" мА)",""),""),IF(AND(CG208=1,N(BV208)+N(IB208)&gt;0,IC208=""),"линии до 50 В без БП: впишите в «Аппараты» (БП 24V 480W)",""),IF(AND(CG208=1,ISNUMBER(ID208),ISNUMBER(U208)),IF(U208&gt;ID208,"БП "&amp;ID208&amp;" Вт &lt; нужно "&amp;U208&amp;" Вт (×"&amp;Запас_БП&amp;")",""),""),IF(AND(CG208=1,ISNUMBER(IE208),N(BV208)=1),IF(IE208&lt;&gt;N(BU208),"БП на "&amp;IE208&amp;" В, линия "&amp;BU208&amp;" В",""),""),IF(AND(N(IF208)&gt;0,N(IG208)&gt;N(IF208)),HH208&amp;" канал "&amp;HJ208&amp;": "&amp;FIXED(IG208,1)&amp;" А &gt; "&amp;IF208&amp;" А",""),IFERROR(IF(AND(ISNUMBER(Q208),Q208&gt;EL208),"потери "&amp;FIXED(Q208,1)&amp;" % &gt; "&amp;EL208&amp;" %",""),""),IFERROR(IF(LEFT(HU208,4)="мало","Iкз мало — отключение &gt; 0,4 с",""),""),IF(AND(B208&lt;&gt;"",BM208=""),"не на схеме",""),IF(AND(CG208=0,B208&lt;&gt;"",FV208&lt;&gt;"",IF(BA208=1,"",FW207)&lt;&gt;"",FV208&lt;&gt;IF(BA208=1,"",FW207)),"фаза не как у автомата группы ("&amp;IF(BA208=1,"",FW207)&amp;")","")))</f>
        <v/>
      </c>
      <c r="II208" s="6">
        <f>IF(OR(CG208=0,DQ208=""),"",_xlfn.LET(_xlpm.t,IFERROR(_xlfn.XLOOKUP(DQ208,Каталог!$U$4:$U$500,Каталог!$G$4:$G$500),""),_xlpm.k,SEARCH("кА",_xlpm.t),IFERROR(--TRIM(RIGHT(SUBSTITUTE(MID(_xlpm.t,MAX(1,_xlpm.k-4),_xlpm.k-MAX(1,_xlpm.k-4))," ",REPT(" ",9)),5)),"")))</f>
        <v>6</v>
      </c>
      <c r="IJ208" t="str">
        <f>IF(OR(II208="",CG208=0),"",IF(_xlfn.XLOOKUP(A208,Щиты[Щит],Щиты[Iкз max на шинах, кА],"")="","",IF(II208&lt;_xlfn.XLOOKUP(A208,Щиты[Щит],Щиты[Iкз max на шинах, кА]),"Icu "&amp;II208&amp;" кА &lt; Iкз max","ok")))</f>
        <v/>
      </c>
      <c r="IK208" t="str">
        <f t="shared" si="527"/>
        <v/>
      </c>
      <c r="IL208" t="str">
        <f t="shared" si="528"/>
        <v>QFD24|XT24</v>
      </c>
      <c r="IM208" t="str">
        <f t="shared" si="529"/>
        <v>QFD24|XT24|кабель ВВГнг(А)-LS (3х2,5) → Розеточная группа, пом. 013Б</v>
      </c>
      <c r="IN208" t="str" cm="1">
        <f t="array" ref="IN208">IF(IM208="","",_xlfn.LET(_xlpm.nd,_xlfn.TEXTSPLIT(IM208,"|"),IF(COLUMNS(_xlpm.nd)&gt;1,A208&amp;"¦"&amp;INDEX(_xlpm.nd,1)&amp;"¦"&amp;INDEX(_xlpm.nd,2),"")))</f>
        <v>ЩР-01¦QFD24¦XT24</v>
      </c>
      <c r="IO208" t="str">
        <f t="shared" si="530"/>
        <v>R.0.013Б.1¦Розеточная группа, пом. 013Б</v>
      </c>
      <c r="IP208" t="str" cm="1">
        <f t="array" ref="IP208">IF(IM208="","",_xlfn.LET(_xlpm.nd,_xlfn.TEXTSPLIT(IM208,"|"),IF(COLUMNS(_xlpm.nd)&gt;2,A208&amp;"¦"&amp;INDEX(_xlpm.nd,2)&amp;"¦"&amp;INDEX(_xlpm.nd,3),"")))</f>
        <v>ЩР-01¦XT24¦кабель ВВГнг(А)-LS (3х2,5) → Розеточная группа, пом. 013Б</v>
      </c>
      <c r="IQ208" t="str">
        <f t="shared" si="531"/>
        <v>R.0.013Б.1¦Розеточная группа, пом. 013Б</v>
      </c>
      <c r="IR208" t="str" cm="1">
        <f t="array" ref="IR208">IF(IM208="","",_xlfn.LET(_xlpm.nd,_xlfn.TEXTSPLIT(IM208,"|"),IF(COLUMNS(_xlpm.nd)&gt;3,A208&amp;"¦"&amp;INDEX(_xlpm.nd,3)&amp;"¦"&amp;INDEX(_xlpm.nd,4),"")))</f>
        <v/>
      </c>
      <c r="IS208" t="str">
        <f t="shared" si="532"/>
        <v/>
      </c>
      <c r="IT208" t="str" cm="1">
        <f t="array" ref="IT208">IF(IM208="","",_xlfn.LET(_xlpm.nd,_xlfn.TEXTSPLIT(IM208,"|"),IF(COLUMNS(_xlpm.nd)&gt;4,A208&amp;"¦"&amp;INDEX(_xlpm.nd,4)&amp;"¦"&amp;INDEX(_xlpm.nd,5),"")))</f>
        <v/>
      </c>
      <c r="IU208" t="str">
        <f t="shared" si="533"/>
        <v/>
      </c>
      <c r="IV208" t="str" cm="1">
        <f t="array" ref="IV208">IF(IM208="","",_xlfn.LET(_xlpm.nd,_xlfn.TEXTSPLIT(IM208,"|"),IF(COLUMNS(_xlpm.nd)&gt;5,A208&amp;"¦"&amp;INDEX(_xlpm.nd,5)&amp;"¦"&amp;INDEX(_xlpm.nd,6),"")))</f>
        <v/>
      </c>
      <c r="IW208" t="str">
        <f t="shared" si="534"/>
        <v/>
      </c>
      <c r="IX208" t="str" cm="1">
        <f t="array" ref="IX208">IF(IM208="","",_xlfn.LET(_xlpm.nd,_xlfn.TEXTSPLIT(IM208,"|"),IF(COLUMNS(_xlpm.nd)&gt;6,A208&amp;"¦"&amp;INDEX(_xlpm.nd,6)&amp;"¦"&amp;INDEX(_xlpm.nd,7),"")))</f>
        <v/>
      </c>
      <c r="IY208" t="str">
        <f t="shared" si="535"/>
        <v/>
      </c>
      <c r="IZ208" t="str">
        <f t="shared" si="536"/>
        <v/>
      </c>
      <c r="JA208" t="str">
        <f t="shared" si="537"/>
        <v>QFD24 → XT24</v>
      </c>
      <c r="JB208">
        <f t="shared" si="538"/>
        <v>0</v>
      </c>
      <c r="JC208">
        <f t="shared" si="539"/>
        <v>1</v>
      </c>
      <c r="JD208" t="str">
        <f t="shared" si="540"/>
        <v/>
      </c>
      <c r="JE208" t="str">
        <f t="shared" si="541"/>
        <v/>
      </c>
      <c r="JF208" t="str">
        <f t="shared" si="542"/>
        <v/>
      </c>
      <c r="JG208" t="str">
        <f t="shared" si="543"/>
        <v/>
      </c>
      <c r="JH208" t="str">
        <f>IF(B208="","",IFERROR(_xlfn.XLOOKUP(B208,Коды_код,Коды_уго),IFERROR(_xlfn.XLOOKUP(BC208,Коды_код,Коды_уго),IFERROR(_xlfn.XLOOKUP(LEFT(BC208,2),Коды_код,Коды_уго),""))))</f>
        <v>Розетка</v>
      </c>
      <c r="JI208" t="str">
        <f>IF(B208="","",IF(OR(JH208="",JH208=0),"BOX",IFERROR(IF(VLOOKUP(JH208,УГО_блоки,3,FALSE)&amp;""&lt;&gt;"",VLOOKUP(JH208,УГО_блоки,3,FALSE),VLOOKUP(JH208,УГО_блоки,2,FALSE)),JH208)))</f>
        <v>SOCKET</v>
      </c>
      <c r="JJ208">
        <f t="shared" si="544"/>
        <v>1</v>
      </c>
      <c r="JK208" t="str">
        <f>IF(DQ208="","",IF(COUNTIF(DQ$3:DQ208,DQ208)=1,MAX(JK$2:JK207)+1,""))</f>
        <v/>
      </c>
      <c r="JL208" t="str">
        <f>IF(DE208="","",IF(COUNTIF(DE$3:DE208,DE208)+COUNTIF(DF$2:DF207,DE208)+COUNTIF(DG$2:DG207,DE208)=1,MAX(JL$2:JN207)+1,""))</f>
        <v/>
      </c>
      <c r="JM208" t="str">
        <f>IF(DF208="","",IF(COUNTIF(DE$3:DE208,DF208)+COUNTIF(DF$3:DF208,DF208)+COUNTIF(DG$2:DG207,DF208)=1,MAX(JL$2:JN207,JL208)+1,""))</f>
        <v/>
      </c>
      <c r="JN208" t="str">
        <f>IF(DG208="","",IF(COUNTIF(DE$3:DE208,DG208)+COUNTIF(DF$3:DF208,DG208)+COUNTIF(DG$3:DG208,DG208)=1,MAX(JL$2:JN207,JL208,JM208)+1,""))</f>
        <v/>
      </c>
      <c r="JO208" t="str">
        <f t="shared" si="545"/>
        <v>3х2,5</v>
      </c>
      <c r="JP208" t="str">
        <f>IF(JO208="","",IF(COUNTIF(JO$3:JO208,JO208)=1,MAX(JP$2:JP207)+1,""))</f>
        <v/>
      </c>
      <c r="JQ208" t="str">
        <f>IF(HG208="","",COUNTIF(HG$3:HG208,"?*"))</f>
        <v/>
      </c>
      <c r="JR208" t="str">
        <f>IF(OR(HG208="",HI208=""),"",IF(COUNTIFS(HG$3:HG208,"?*",HI$3:HI208,HI208)=1,MAX(JR$2:JR207)+1,""))</f>
        <v/>
      </c>
      <c r="JS208">
        <f t="shared" si="546"/>
        <v>0</v>
      </c>
      <c r="JT208">
        <f>IF(B208="","",COUNTIF(B$3:B208,"?*"))</f>
        <v>206</v>
      </c>
      <c r="JU208">
        <f>IF(HL208&lt;&gt;1,0,_xlfn.LET(_xlpm.k,MAX(IFERROR(--_xlfn.XLOOKUP(B208,Коды_код,Коды_3L),0),IFERROR(--_xlfn.XLOOKUP(BC208,Коды_код,Коды_3L),0),IFERROR(--_xlfn.XLOOKUP(LEFT(BC208,2),Коды_код,Коды_3L),0)),IF(_xlpm.k&gt;0,_xlpm.k,IF(IFERROR(--LEFT(SUBSTITUTE(JO208,"x","х"),FIND("х",SUBSTITUTE(JO208,"x","х"))-1),3)&gt;3,Каталог!$S$9,1))))</f>
        <v>1</v>
      </c>
      <c r="JV208">
        <f t="shared" si="547"/>
        <v>0</v>
      </c>
      <c r="JW208" t="str">
        <f t="shared" si="548"/>
        <v>авто</v>
      </c>
      <c r="JX208">
        <f t="shared" si="549"/>
        <v>30</v>
      </c>
      <c r="JY208">
        <f t="shared" si="550"/>
        <v>1</v>
      </c>
      <c r="JZ208">
        <f t="shared" si="551"/>
        <v>1</v>
      </c>
    </row>
    <row r="209" spans="1:286" x14ac:dyDescent="0.3">
      <c r="A209" t="s">
        <v>755</v>
      </c>
      <c r="B209" t="s">
        <v>1516</v>
      </c>
      <c r="C209" t="str">
        <f>Линии[[#This Row],[_авто наименование]]</f>
        <v>Розеточная группа, пом. 013Б</v>
      </c>
      <c r="D209">
        <v>2</v>
      </c>
      <c r="E209">
        <v>0.12</v>
      </c>
      <c r="G209" t="str">
        <f>Линии[[#This Row],[_авто автомат]]</f>
        <v>2P С16А 30мА</v>
      </c>
      <c r="H209" t="str">
        <f>Линии[[#This Row],[_авто управление]]</f>
        <v/>
      </c>
      <c r="I209" t="str">
        <f>Линии[[#This Row],[_авто аппараты]]</f>
        <v/>
      </c>
      <c r="J209">
        <v>2.5</v>
      </c>
      <c r="K209">
        <v>42</v>
      </c>
      <c r="L209">
        <v>2</v>
      </c>
      <c r="M209" t="str">
        <f>Линии[[#This Row],[_авто клемма]]</f>
        <v>XT25</v>
      </c>
      <c r="N209" t="str">
        <f t="shared" si="414"/>
        <v/>
      </c>
      <c r="O209" s="6" cm="1">
        <f t="array" ref="O209">IF(B209="","",IF(BH209&lt;&gt;"",IFERROR(_xlfn.XLOOKUP(BH209,Щиты[Щит],Щиты[Iр, А]),""),IF(BP209=1,IF(OR(N(_xlfn.XLOOKUP(A209,Щиты[Щит],Щиты[Вводов],1))&lt;=1,LOWER(TRIM(_xlfn.XLOOKUP(A209,Щиты[Щит],Щиты[АВР],"")&amp;""))="да"),IFERROR(_xlfn.XLOOKUP(A209,Щиты[Щит],Щиты[Iр, А]),""),IFERROR(N(BS209)*_xlfn.XLOOKUP(A209,Щиты[Щит],Щиты[Кс итог])/(SQRT(3)*Uн_лин*_xlfn.XLOOKUP(A209,Щиты[Щит],Щиты[cos φ])),"")),IF(BV209=1,IFERROR(BS209*1000/BU209,""),IFERROR(_xlfn.IFS(BX209=1,BS209/((Uн_лин/SQRT(3))*CE209),BX209=3,BS209/(SQRT(3)*Uн_лин*CE209)),"")))))</f>
        <v>0.54696341291648753</v>
      </c>
      <c r="P209" s="7">
        <f>IF(B209="","",IFERROR(IF(VLOOKUP(BC209,Потребители_обозначение,4,FALSE)=1,VLOOKUP(BC209,Потребители_обозначение,3,FALSE)*(MAX(1,N(D209))*2-1)+EI209+VLOOKUP(BE209,Этаж_обозначение,3,FALSE)+VLOOKUP(BE209,Этаж_обозначение,4,FALSE),VLOOKUP(BC209,Потребители_обозначение,3,FALSE)*(MAX(1,N(D209))*2-1)+EI209),EI209))</f>
        <v>51</v>
      </c>
      <c r="Q209" s="6">
        <f t="shared" si="415"/>
        <v>0.64</v>
      </c>
      <c r="R209" t="str">
        <f t="shared" si="416"/>
        <v>ВВГнг(А)-LS (3х2,5)</v>
      </c>
      <c r="S209" t="str">
        <f>IF(BM209="","",IF(BN209="вводной узел","узел ","")&amp;"л."&amp;(INT((BM209-1)/Столбцов_на_лист)+1)&amp;" / "&amp;(MOD(BM209-1,Столбцов_на_лист)+1))</f>
        <v>л.3 / 3</v>
      </c>
      <c r="T209" s="119">
        <f t="shared" si="417"/>
        <v>0.7</v>
      </c>
      <c r="U209" s="7" t="str">
        <f>IF(OR(CG209=0,N(BV209)+N(IB209)=0),"",ROUNDUP(Запас_БП*(N(HY209)+N(HZ209)),0))</f>
        <v/>
      </c>
      <c r="V209" s="119" t="str">
        <f t="shared" si="418"/>
        <v/>
      </c>
      <c r="W209" s="7" t="str">
        <f>IFERROR(IF(OR(B209="",BP209=1,BV209=1,NOT(ISNUMBER(EN209)),N(DT209)=0),"",MAX(0,ROUNDDOWN((c_min*(Uн_лин*1000/SQRT(3))/(HT209*N(DT209))-_xlfn.XLOOKUP(A209,Щиты[Щит],Щиты[Zпетли на шинах, Ом]))*EN209/(2*ρкз_Cu),0))),"")</f>
        <v/>
      </c>
      <c r="Y209">
        <f>Линии[[#This Row],[_авто утечка]]</f>
        <v>30</v>
      </c>
      <c r="Z209">
        <v>1</v>
      </c>
      <c r="AA209">
        <v>230</v>
      </c>
      <c r="AB209" t="s">
        <v>562</v>
      </c>
      <c r="AG209" t="s">
        <v>810</v>
      </c>
      <c r="AI209" t="s">
        <v>561</v>
      </c>
      <c r="AK209" t="str">
        <f>Линии[[#This Row],[_авто модуль]]</f>
        <v/>
      </c>
      <c r="AM209">
        <v>37</v>
      </c>
      <c r="AN209" t="s">
        <v>11</v>
      </c>
      <c r="AO209">
        <v>3</v>
      </c>
      <c r="AQ209">
        <v>33</v>
      </c>
      <c r="AR209">
        <v>18</v>
      </c>
      <c r="AS209">
        <v>0</v>
      </c>
      <c r="BA209" cm="1">
        <f t="array" ref="BA209">ROW()-ROW(Линии[#Headers])</f>
        <v>207</v>
      </c>
      <c r="BC209" s="6" t="str">
        <f t="shared" si="419"/>
        <v>R</v>
      </c>
      <c r="BD209" t="str">
        <f t="shared" si="420"/>
        <v>0.013Б.2</v>
      </c>
      <c r="BE209" t="str">
        <f t="shared" si="421"/>
        <v>0</v>
      </c>
      <c r="BF209" t="str">
        <f t="shared" si="422"/>
        <v>013Б.2</v>
      </c>
      <c r="BG209" t="str">
        <f t="shared" si="423"/>
        <v>013Б</v>
      </c>
      <c r="BH209" t="str">
        <f>IF(X209&lt;&gt;"",X209,IF(AND(B209&lt;&gt;"",B209&lt;&gt;A209,ISNUMBER(_xlfn.XMATCH(B209,Щиты[Щит]))),B209,""))</f>
        <v/>
      </c>
      <c r="BI209" t="str" cm="1">
        <f t="array" ref="BI209">IF(B209="","",IF(BH209&lt;&gt;"","Щит "&amp;BH209,_xlfn.LET(_xlpm.nm,IFERROR(_xlfn.XLOOKUP(BC209,Коды_код,Коды_имя)&amp;"",""),_xlpm.md,IFERROR(N(_xlfn.XLOOKUP(BC209,Коды_код,Коды_режим)),1),_xlpm.ex,IF(Имя_режим="по экспликации",IFERROR(_xlfn.XLOOKUP(BE209&amp;"|"&amp;BG209,Экспликация[Этаж]&amp;"|"&amp;Экспликация[Помещение],Экспликация[Название])&amp;"",""),""),_xlpm.rm,IF(BG209="","",IF(_xlpm.ex&lt;&gt;"",". "&amp;_xlpm.ex&amp;IF(Имя_пом="нет"," ("&amp;BG209&amp;")"," (пом. "&amp;BG209&amp;")"),IF(Имя_пом="нет"," ",", пом. ")&amp;BG209)),IF(_xlpm.nm="","",IF(_xlpm.md=2,_xlpm.nm&amp;" шлейф "&amp;BE209,_xlpm.nm&amp;_xlpm.rm)))))</f>
        <v>Розеточная группа, пом. 013Б</v>
      </c>
      <c r="BJ209" t="str">
        <f t="shared" si="424"/>
        <v>Розеточная группа, пом. 013Б</v>
      </c>
      <c r="BK209">
        <f>IFERROR(_xlfn.XMATCH(A209,Щиты[Щит]),0)</f>
        <v>9</v>
      </c>
      <c r="BL209">
        <f>_xlfn.LET(_xlpm.k,IFERROR(_xlfn.XLOOKUP(A209,Щиты[Щит],Щиты[Мест под вводной узел]),""),IF(_xlpm.k="",Столбцов_на_лист,N(_xlpm.k)))</f>
        <v>8</v>
      </c>
      <c r="BM209">
        <f t="shared" si="425"/>
        <v>37</v>
      </c>
      <c r="BN209" t="str">
        <f t="shared" si="426"/>
        <v>линии</v>
      </c>
      <c r="BO209" s="6">
        <f>IFERROR(N(_xlfn.XLOOKUP(BC209,Коды_код,Коды_квт)),0)</f>
        <v>0</v>
      </c>
      <c r="BP209">
        <f t="shared" si="427"/>
        <v>0</v>
      </c>
      <c r="BQ209" t="str">
        <f>IF(B209="","",IF(BH209&lt;&gt;"",IFERROR(_xlfn.XLOOKUP(BH209,Щиты[Щит],Щиты[Руст, кВт]),0),IF(BP209=1,IF(OR(N(_xlfn.XLOOKUP(A209,Щиты[Щит],Щиты[Вводов],1))&lt;=1,LOWER(TRIM(_xlfn.XLOOKUP(A209,Щиты[Щит],Щиты[АВР],"")&amp;""))="да"),IFERROR(_xlfn.XLOOKUP(A209,Щиты[Щит],Щиты[Руст, кВт]),0),SUMIFS(Линии[_Р для вводов],Линии[Щит],A209,Линии[Источник для режимов],GF209)),IF(BO209&gt;0,ROUND(BO209*MAX(1,N(D209)),3),""))))</f>
        <v/>
      </c>
      <c r="BR209">
        <f t="shared" si="428"/>
        <v>0.12</v>
      </c>
      <c r="BS209" s="6">
        <f>IF(B209="","",IF(BH209&lt;&gt;"",IFERROR(_xlfn.XLOOKUP(BH209,Щиты[Щит],Щиты[Руст, кВт]),0),N(BR209)))</f>
        <v>0.12</v>
      </c>
      <c r="BT209" t="str">
        <f>IF(B209="","",IFERROR(IF(VLOOKUP(BC209,Потребители_обозначение,8,FALSE)=0,"",VLOOKUP(BC209,Потребители_обозначение,8,FALSE)),""))</f>
        <v/>
      </c>
      <c r="BU209">
        <f t="shared" si="429"/>
        <v>230</v>
      </c>
      <c r="BV209">
        <f t="shared" si="430"/>
        <v>0</v>
      </c>
      <c r="BW209">
        <f>IF(B209="","",IF(BH209&lt;&gt;"",3,IFERROR(IF(N(VLOOKUP(BC209,Потребители_обозначение,9,FALSE))=0,1,VLOOKUP(BC209,Потребители_обозначение,9,FALSE)),1)))</f>
        <v>1</v>
      </c>
      <c r="BX209">
        <f t="shared" si="431"/>
        <v>1</v>
      </c>
      <c r="BY209" t="str">
        <f>IF(B209="","",_xlfn.LET(_xlpm.bc,IFERROR(IF(VLOOKUP(BC209,Потребители_обозначение,6,FALSE)=0,"",VLOOKUP(BC209,Потребители_обозначение,6,FALSE)&amp;""),""),IF(AND(GA209="да",OR(_xlpm.bc="",_xlpm.bc="мс")),Марка_пож,IF(AND(_xlpm.bc="",BH209&lt;&gt;""),"мс",_xlpm.bc))))</f>
        <v/>
      </c>
      <c r="BZ209" t="str">
        <f t="shared" si="432"/>
        <v>мс</v>
      </c>
      <c r="CA209">
        <f>IF(B209="","",_xlfn.LET(_xlpm.cc,IFERROR(N(VLOOKUP(BC209,Потребители_обозначение,7,FALSE)),0),IF(_xlpm.cc&gt;0,_xlpm.cc,IF(BZ209="","",IF(BV209=1,2,IF(N(BX209)=3,5,3))))))</f>
        <v>3</v>
      </c>
      <c r="CB209">
        <f t="shared" si="433"/>
        <v>3</v>
      </c>
      <c r="CC209">
        <f>IFERROR(N(VLOOKUP(BC209,Потребители_обозначение,10,FALSE)),0)</f>
        <v>0</v>
      </c>
      <c r="CD209">
        <f>IFERROR(VLOOKUP(BC209,Потребители_обозначение,5,FALSE),0)</f>
        <v>1</v>
      </c>
      <c r="CE209" s="6" cm="1">
        <f t="array" ref="CE209">IF(B209="","",IF(BH209&lt;&gt;"",IFERROR(_xlfn.XLOOKUP(BH209,Щиты[Щит],Щиты[cos φ]),0.95),IF(BP209=1,IFERROR(_xlfn.XLOOKUP(A209,Щиты[Щит],Щиты[cos φ]),0.95),IF(ISNUMBER(AD209),AD209,IFERROR(IF(CD209=2,_xlfn.IFS(BX209=3,VLOOKUP(BS209,Справочная_двигатели,8,FALSE),BX209=1,VLOOKUP(BS209,Справочная_двигатели,10,TRUE)),IF(AND(Методика="нормы 2026",FG209="Сил"),0.8,0.95)),0.95)))))</f>
        <v>0.95</v>
      </c>
      <c r="CF209">
        <f t="shared" si="434"/>
        <v>0</v>
      </c>
      <c r="CG209">
        <f t="shared" si="435"/>
        <v>1</v>
      </c>
      <c r="CH209">
        <f t="shared" si="436"/>
        <v>0</v>
      </c>
      <c r="CI209">
        <f>IF(B209="","",IF(BV209=1,IFERROR(BS209/((Uн_лин/SQRT(3))*MAX(0.5,N(CE209))),0),N(O209)))</f>
        <v>0.54696341291648753</v>
      </c>
      <c r="CJ209">
        <f t="shared" si="437"/>
        <v>0</v>
      </c>
      <c r="CK209">
        <f t="shared" si="438"/>
        <v>0</v>
      </c>
      <c r="CL209">
        <f t="shared" si="439"/>
        <v>0</v>
      </c>
      <c r="CM209">
        <f t="shared" si="440"/>
        <v>0</v>
      </c>
      <c r="CN209">
        <f t="shared" si="441"/>
        <v>0</v>
      </c>
      <c r="CO209">
        <f>IF(BC209="",0,_xlfn.LET(_xlpm.v,IFERROR(_xlfn.XLOOKUP(B209,Коды_код,Коды_мА),IFERROR(_xlfn.XLOOKUP(BC209,Коды_код,Коды_мА),IFERROR(_xlfn.XLOOKUP(LEFT(BC209,2),Коды_код,Коды_мА),""))),IF(_xlpm.v="да",30,IF(ISNUMBER(_xlpm.v),_xlpm.v,0))))</f>
        <v>30</v>
      </c>
      <c r="CP209">
        <f t="shared" si="442"/>
        <v>30</v>
      </c>
      <c r="CQ209" t="str">
        <f>_xlfn.LET(_xlpm.k,IFERROR(_xlfn.XLOOKUP(BC209,Коды_код,Коды_утечка)&amp;"",""),IF(_xlpm.k="","дифавтомат",_xlpm.k))</f>
        <v>дифавтомат</v>
      </c>
      <c r="CR209" t="str" cm="1">
        <f t="array" ref="CR209">IF(CG209=0,"",_xlfn.LET(_xlpm.sg,TRIM(_xlfn.TEXTSPLIT(DD209&amp;"",";")),_xlpm.f_,_xlfn._xlws.FILTER(_xlpm.sg,LEFT(_xlpm.sg,3)="УЗО",""),IFERROR(INDEX(_xlpm.f_,1)&amp;"","")))</f>
        <v/>
      </c>
      <c r="CS209" t="str">
        <f t="shared" si="443"/>
        <v/>
      </c>
      <c r="CT209" s="6" t="str" cm="1">
        <f t="array" ref="CT209">IF(CR209="","",_xlfn.LET(_xlpm.tk,_xlfn.TEXTSPLIT(UPPER(CR209)," ",,TRUE),_xlpm.a_,_xlfn._xlws.FILTER(_xlpm.tk,ISNUMBER(--LEFT(_xlpm.tk,1))*((ISNUMBER(SEARCH("А",_xlpm.tk))+ISNUMBER(SEARCH("A",_xlpm.tk)))&gt;0)*NOT(ISNUMBER(SEARCH("МА",_xlpm.tk)))*NOT(ISNUMBER(SEARCH("MA",_xlpm.tk))),""),IFERROR(--SUBSTITUTE(SUBSTITUTE(INDEX(_xlpm.a_,1),"А",""),"A",""),"")))</f>
        <v/>
      </c>
      <c r="CU209" t="str" cm="1">
        <f t="array" ref="CU209">IF(CR209="","",_xlfn.LET(_xlpm.tk,_xlfn.TEXTSPLIT(UPPER(CR209)," ",,TRUE),_xlpm.a_,_xlfn._xlws.FILTER(_xlpm.tk,ISNUMBER(--LEFT(_xlpm.tk,1))*((ISNUMBER(SEARCH("МА",_xlpm.tk))+ISNUMBER(SEARCH("MA",_xlpm.tk)))&gt;0),""),IFERROR(--SUBSTITUTE(SUBSTITUTE(INDEX(_xlpm.a_,1),"МА",""),"MA",""),30)))</f>
        <v/>
      </c>
      <c r="CV209" t="str">
        <f>IF(CS209="","",IFERROR(_xlfn.XLOOKUP(CS209,Линии[_n],Линии[_УЗО, мА]),30))</f>
        <v/>
      </c>
      <c r="CW209">
        <f>IF(CS209="",0,IF(ISNUMBER(SEARCH("4P",IFERROR(_xlfn.XLOOKUP(CS209,Линии[_n],Линии[_УЗО строки])&amp;"",""))),0,1))</f>
        <v>0</v>
      </c>
      <c r="CX209" t="str">
        <f>IF(AND(CS209&lt;&gt;"",CS209=BA209),SUMIFS(Линии[_ток на 230 В],Линии[_блок УЗО],BA209,Линии[Щит],A209),"")</f>
        <v/>
      </c>
      <c r="CY209" t="str">
        <f>IF(AND(CS209&lt;&gt;"",CS209=BA209),SUMIFS(Линии[_ток утечки линии, мА],Линии[_блок УЗО],BA209,Линии[Щит],A209),"")</f>
        <v/>
      </c>
      <c r="CZ209">
        <f t="shared" si="444"/>
        <v>30</v>
      </c>
      <c r="DA209">
        <f t="shared" si="445"/>
        <v>30</v>
      </c>
      <c r="DB209">
        <f>IF(B209="",0,IFERROR(--_xlfn.XLOOKUP(B209,Коды_код,Коды_минавт),IFERROR(--_xlfn.XLOOKUP(BC209,Коды_код,Коды_минавт),IFERROR(--_xlfn.XLOOKUP(LEFT(BC209,2),Коды_код,Коды_минавт),0))))</f>
        <v>16</v>
      </c>
      <c r="DC209" t="str">
        <f>IF(B209="","",IFERROR(_xlfn.XLOOKUP(BC209,Коды_код,Коды_апп)&amp;"",""))</f>
        <v/>
      </c>
      <c r="DD209" t="str">
        <f t="shared" si="446"/>
        <v/>
      </c>
      <c r="DE209" t="str" cm="1">
        <f t="array" ref="DE209">IF(TRIM(DD209&amp;"")="","",IFERROR(TRIM(INDEX(_xlfn.TEXTSPLIT(DD209&amp;";;;",";"),1)),""))</f>
        <v/>
      </c>
      <c r="DF209" t="str" cm="1">
        <f t="array" ref="DF209">IF(TRIM(DD209&amp;"")="","",IFERROR(TRIM(INDEX(_xlfn.TEXTSPLIT(DD209&amp;";;;",";"),2)),""))</f>
        <v/>
      </c>
      <c r="DG209" t="str" cm="1">
        <f t="array" ref="DG209">IF(TRIM(DD209&amp;"")="","",IFERROR(TRIM(INDEX(_xlfn.TEXTSPLIT(DD209&amp;";;;",";"),3)),""))</f>
        <v/>
      </c>
      <c r="DH209">
        <f t="shared" si="447"/>
        <v>0</v>
      </c>
      <c r="DI209" t="str">
        <f>IF(B209="","",_xlfn.LET(_xlpm.t,LOWER(AZ209&amp;""),IF(ISNUMBER(SEARCH("dim",_xlpm.t)),"DIM",IF(ISNUMBER(SEARCH("dali",_xlpm.t)),"DALI",IF(OR(ISNUMBER(SEARCH("relay",_xlpm.t)),ISNUMBER(SEARCH("реле",_xlpm.t))),"Relay",IF(ISNUMBER(SEARCH("кнопк",_xlpm.t)),"",IFERROR(_xlfn.XLOOKUP(BC209,Коды_код,Коды_упр)&amp;"","")))))))</f>
        <v/>
      </c>
      <c r="DJ209" t="str">
        <f t="shared" si="448"/>
        <v/>
      </c>
      <c r="DK209">
        <f>IF(B209="","",_xlfn.LET(_xlpm.ig,IF(N(CX209)&gt;0,N(CX209),N(CI209)+IF(AJ209="вручную",0,N(CJ209))),_xlpm.n0,IFERROR(VLOOKUP(_xlpm.ig,Автомат_номиналы,2,TRUE),0),_xlpm.mn,MAX(DB209,IF(AJ209="вручную",0,N(CM209))),MAX(_xlpm.n0,_xlpm.mn,IF(DH209=1,Мин_автомат_БП,0))))</f>
        <v>16</v>
      </c>
      <c r="DL209">
        <f t="shared" si="449"/>
        <v>1</v>
      </c>
      <c r="DM209" t="str">
        <f t="shared" si="450"/>
        <v>2P</v>
      </c>
      <c r="DN209" t="str">
        <f>_xlfn.LET(_xlpm.cc,UPPER(TRIM(IFERROR(_xlfn.XLOOKUP(BC209,Коды_код,Коды_хар)&amp;"",""))),IF(OR(_xlpm.cc="B",_xlpm.cc="В"),"B",IF(_xlpm.cc="D","D","С")))</f>
        <v>С</v>
      </c>
      <c r="DO209" t="str">
        <f t="shared" si="451"/>
        <v>2P С16А 30мА</v>
      </c>
      <c r="DP209" t="str">
        <f t="shared" si="452"/>
        <v>2P С16А 30мА</v>
      </c>
      <c r="DQ209" t="str">
        <f t="shared" si="453"/>
        <v>2P С16А 30мА</v>
      </c>
      <c r="DR209" cm="1">
        <f t="array" ref="DR209">IF(DQ209="","",_xlfn.LET(_xlpm.t,SUBSTITUTE(SUBSTITUTE(SUBSTITUTE(UPPER(DQ209),"С","C"),"А","A"),"В","B"),_xlpm.tk,_xlfn.TEXTSPLIT(_xlpm.t," "),_xlpm.f,_xlfn._xlws.FILTER(_xlpm.tk,ISNUMBER(--MID(_xlpm.tk,2,1))*ISNUMBER(SEARCH(LEFT(_xlpm.tk,1)&amp;"#","B#C#D#"))*(LEN(_xlpm.tk)&gt;1),""),_xlpm.x,INDEX(_xlpm.f,1),IFERROR(--SUBSTITUTE(MID(_xlpm.x,2,9),"A",""),IFERROR(--SUBSTITUTE(INDEX(_xlfn._xlws.FILTER(_xlpm.tk,ISNUMBER(--SUBSTITUTE(_xlpm.tk,"A","")),""),1),"A",""),""))))</f>
        <v>16</v>
      </c>
      <c r="DS209" t="str">
        <f t="shared" si="454"/>
        <v>ok</v>
      </c>
      <c r="DT209">
        <f t="shared" si="455"/>
        <v>16</v>
      </c>
      <c r="DU209" t="str">
        <f t="shared" si="456"/>
        <v>2P С16А 30мА</v>
      </c>
      <c r="DV209">
        <f t="shared" si="457"/>
        <v>30</v>
      </c>
      <c r="DW209">
        <f t="shared" si="458"/>
        <v>1</v>
      </c>
      <c r="DX209">
        <f t="shared" si="459"/>
        <v>0</v>
      </c>
      <c r="DY209">
        <f t="shared" si="460"/>
        <v>0.54696341291648753</v>
      </c>
      <c r="DZ209">
        <f t="shared" si="461"/>
        <v>1</v>
      </c>
      <c r="EA209">
        <f>IF(ISNUMBER(AP209),AP209,К_прокл)</f>
        <v>1</v>
      </c>
      <c r="EB209">
        <f t="shared" si="462"/>
        <v>2</v>
      </c>
      <c r="EC209">
        <f>IFERROR(N(VLOOKUP(BZ209,Кабель_обозначение,3,FALSE)),1)</f>
        <v>1</v>
      </c>
      <c r="ED209">
        <f>IFERROR(N(_xlfn.XLOOKUP(A209,Щиты[Щит],Щиты[ΔU до шин, %])),0)</f>
        <v>0.43</v>
      </c>
      <c r="EE209" t="str">
        <f>IFERROR(_xlfn.XLOOKUP(A209,Щиты[Щит],Щиты[Zпетли на шинах, Ом]),"")</f>
        <v/>
      </c>
      <c r="EF209">
        <f>IFERROR(N(_xlfn.XLOOKUP(A209,Щиты[Щит],Щиты[ΔU до шин (подбор), %])),0)</f>
        <v>0.43</v>
      </c>
      <c r="EG209" t="str">
        <f>IFERROR(_xlfn.XLOOKUP(A209,Щиты[Щит],Щиты[Zпетли на шинах (подбор), Ом]),"")</f>
        <v/>
      </c>
      <c r="EH209" t="str">
        <f t="shared" si="463"/>
        <v/>
      </c>
      <c r="EI209">
        <f t="shared" si="464"/>
        <v>42</v>
      </c>
      <c r="EJ209">
        <f t="shared" si="465"/>
        <v>2</v>
      </c>
      <c r="EK209">
        <f t="shared" si="466"/>
        <v>0.31</v>
      </c>
      <c r="EL209" s="6">
        <f>IF(B209="","",IF(BV209=1,dU_LED,IF(IFERROR(_xlfn.XLOOKUP(BC209,Коды_код,Коды_уго),"")="Светильник",3,4)+IF(Методика="нормы 2026",MIN(0.5,MAX(0,N(P209)-100)*0.005),0)))</f>
        <v>4</v>
      </c>
      <c r="EM209" cm="1">
        <f t="array" ref="EM209">IF(OR(B209="",BZ209="",EC209&lt;&gt;1),"",_xlfn.LET(_xlpm.sz,Iдоп_S,_xlpm.t_,CHOOSE(EB209,Iдоп_1ж,Iдоп_2ж,Iдоп_3ж)*DZ209*EA209,_xlpm.dcx,BV209=1,_xlpm.inn,IF(_xlpm.dcx,N(O209),N(DT209)),_xlpm.smin,MAX(1.5,CC209),_xlpm.L_,N(P209)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209)/N(BU209)*100,999),IFERROR(N(EJ209)*(_xlpm.rho*_xlpm.L_/_xlpm.sz*N(CE209)+_xlpm.xx*_xlpm.L_*N(EK209)/1000)*N(O209)/((Uн_лин/SQRT(3))*1000)*100,999)),_xlpm.kz,IF(OR(_xlpm.dcx,DW209=1,NOT(ISNUMBER(EG209)),_xlpm.L_=0,_xlpm.inn=0),1,IFERROR(--(c_min*(Uн_лин*1000/SQRT(3))/(EG209+2*ρкз_Cu*_xlpm.L_/_xlpm.sz)&gt;=HT209*_xlpm.inn),0)),_xlpm.ok,IFERROR((_xlpm.sz&gt;=_xlpm.smin)*(_xlpm.t_&gt;=_xlpm.inn)*IF(_xlpm.L_&gt;0,(_xlpm.du_+IF(_xlpm.dcx,0,EF209)&lt;=EL209+0.00001),1)*_xlpm.kz,0),_xlpm.r_,_xlfn._xlws.FILTER(_xlpm.sz,_xlpm.ok,"не подобрано"),INDEX(_xlpm.r_,1)))</f>
        <v>1.5</v>
      </c>
      <c r="EN209">
        <f t="shared" si="467"/>
        <v>2.5</v>
      </c>
      <c r="EO209" cm="1">
        <f t="array" ref="EO209">IF(OR(B209="",BZ209="",EC209&lt;&gt;1),"",_xlfn.LET(_xlpm.sz,Iдоп_S,_xlpm.t_,CHOOSE(EB209,Iдоп_1ж,Iдоп_2ж,Iдоп_3ж)*DZ209*EA209,_xlpm.ok,IFERROR((_xlpm.sz&gt;=MAX(1.5,CC209))*(_xlpm.t_&gt;=N(DT209)),0),_xlpm.r_,_xlfn._xlws.FILTER(_xlpm.sz,_xlpm.ok,""),INDEX(_xlpm.r_,1)))</f>
        <v>1.5</v>
      </c>
      <c r="EP209" s="6" cm="1">
        <f t="array" ref="EP209">IFERROR(ROUNDUP(N(EJ209)*(_xlfn.XLOOKUP(EO209,INDEX(Кабель_сопротивление,0,1),INDEX(Кабель_сопротивление,0,3))*N(P209)/EO209*N(CE209)+_xlfn.XLOOKUP(EO209,INDEX(Кабель_сопротивление,0,1),INDEX(Кабель_сопротивление,0,2))*N(P209)*N(EK209)/1000)*N(O209)/((Uн_лин/SQRT(3))*1000)*100,2),"")</f>
        <v>0.35000000000000003</v>
      </c>
      <c r="EQ209">
        <f>IFERROR(2*ρкз_Cu*N(P209)/EO209,"")</f>
        <v>1.7884</v>
      </c>
      <c r="ER209">
        <f>IFERROR(VLOOKUP(EN209,Кабель_сопротивление,3,FALSE),"")</f>
        <v>2.2499999999999999E-2</v>
      </c>
      <c r="ES209">
        <f>IFERROR(VLOOKUP(EN209,Кабель_сопротивление,2,FALSE),"")</f>
        <v>0.1</v>
      </c>
      <c r="ET209">
        <f t="shared" si="468"/>
        <v>18</v>
      </c>
      <c r="EU209">
        <f t="shared" si="469"/>
        <v>0</v>
      </c>
      <c r="EV209">
        <f t="shared" si="470"/>
        <v>0.47873629071611062</v>
      </c>
      <c r="EW209" s="6">
        <f>IFERROR(ROUNDUP(EV209/IF(BV209=1,BU209,(Uн_лин/SQRT(3))*1000)*100,2),"")</f>
        <v>0.21000000000000002</v>
      </c>
      <c r="EX209" t="str">
        <f>IFERROR(VLOOKUP(BZ209,Кабель_обозначение,2,FALSE),"")</f>
        <v>ВВГнг(А)-LS</v>
      </c>
      <c r="EY209" t="str">
        <f t="shared" si="471"/>
        <v>ВВГнг(А)-LS (3х2,5)</v>
      </c>
      <c r="EZ209" t="str">
        <f t="shared" si="472"/>
        <v>ВВГнг(А)-LS (3х2,5)
L=51-0,21%</v>
      </c>
      <c r="FA209">
        <f>IFERROR(2*ρкз_Cu*P209/EN209,"")</f>
        <v>1.07304</v>
      </c>
      <c r="FB209">
        <f t="shared" si="473"/>
        <v>0.35700000000000004</v>
      </c>
      <c r="FC209" s="6" t="str">
        <f>IFERROR(IF(OR(B209="",BV209=1,NOT(ISNUMBER(EN209)),N(P209)=0),"",_xlfn.XLOOKUP(A209,Щиты[Щит],Щиты[Zпетли на шинах, Ом])+FA209),"")</f>
        <v/>
      </c>
      <c r="FD209" s="6" t="str">
        <f>IF(ISNUMBER(FC209),c_min*(Uн_лин*1000/SQRT(3))/FC209,"")</f>
        <v/>
      </c>
      <c r="FE209" s="6" t="str">
        <f>IFERROR(IF(OR(B209="",NOT(ISNUMBER(EN209))),"",1.05*(Uн_лин*1000/SQRT(3))/(_xlfn.XLOOKUP(A209,Щиты[Щит],Щиты[Zmax на шинах, Ом])+FB209)/1000),"")</f>
        <v/>
      </c>
      <c r="FF209" s="6" t="str">
        <f>IF(B209="","",IF(ISNUMBER(AC209),"Сил",IF(IFERROR(_xlfn.XLOOKUP(BC209,Коды_код,Коды_группа)&amp;"","")="","Быт",_xlfn.XLOOKUP(BC209,Коды_код,Коды_группа)&amp;"")))</f>
        <v>Быт</v>
      </c>
      <c r="FG209" s="6" t="str">
        <f t="shared" si="474"/>
        <v>Быт</v>
      </c>
      <c r="FH209" s="6">
        <f>IF(FG209="Щит","щит",IF(FG209="","",IF(FG209="Быт",IFERROR(_xlfn.XLOOKUP(A209,Щиты[Щит],Щиты[Кс быт]),1),IF(FG209="Сил",IF(ISNUMBER(AC209),AC209,IF(Методика="нормы 2026",IFERROR(_xlfn.XLOOKUP(A209,Щиты[Щит],Щиты[Кс силовых (табл. 7.5)]),1),1)),IF(OR(FG209="Пост",FG209="Отоп"),1,IF(FG209="ВНГ",0.7,0))))))</f>
        <v>0.79799999999999993</v>
      </c>
      <c r="FI209">
        <f>IF(FG209="","",IF(AND(BP209=1,TRIM(AE209&amp;"")=""),IF(COUNTIFS(Линии[Щит],A209,Линии[Секция (1/2/3)],"&gt;=2")&gt;0,MIN(3,MAX(1,IFERROR(--BD209,1))),1),IFERROR(MIN(3,MAX(1,INT(--AE209))),1)))</f>
        <v>1</v>
      </c>
      <c r="FJ209">
        <f t="shared" si="475"/>
        <v>0.12</v>
      </c>
      <c r="FK209">
        <f t="shared" si="476"/>
        <v>0.12</v>
      </c>
      <c r="FL209">
        <f t="shared" si="477"/>
        <v>0</v>
      </c>
      <c r="FM209">
        <f t="shared" si="478"/>
        <v>0</v>
      </c>
      <c r="FN209">
        <f t="shared" si="479"/>
        <v>0</v>
      </c>
      <c r="FO209">
        <f t="shared" si="480"/>
        <v>0</v>
      </c>
      <c r="FP209">
        <f t="shared" si="481"/>
        <v>0.12</v>
      </c>
      <c r="FQ209">
        <f t="shared" si="482"/>
        <v>0.12</v>
      </c>
      <c r="FR209">
        <f t="shared" si="483"/>
        <v>0.11399999999999999</v>
      </c>
      <c r="FS209">
        <f>IF(CG209=1,IF(AND(CH209=1,CW209=1),0,IF(AND(CS209&lt;&gt;"",CS209=BA209,CW209=1),SUMIFS(Линии[_Р линии, кВт],Линии[_блок УЗО],BA209,Линии[Щит],A209),N(BS209)+IF(AJ209="вручную",0,N(CK209)))),0)</f>
        <v>0.12</v>
      </c>
      <c r="FT209" t="str">
        <f t="shared" si="484"/>
        <v>L2</v>
      </c>
      <c r="FU209" t="str">
        <f>IF(B209="","",IF(CG209=0,IF(BA209=1,"",FW208),IF(AND(CH209=1,CW209=1,CS209&lt;&gt;""),IFERROR(_xlfn.XLOOKUP(CS209,Линии[_n],Линии[_фаза итог]),"L1"),IF(OR(N(DL209)&gt;=3,N(BX209)&gt;=3),"L1,L2,L3",IFERROR(_xlfn.TEXTBEFORE(_xlfn.TEXTAFTER(_xlfn.XLOOKUP(A209,Щиты[Щит],Щиты[_фазы авто]),";"&amp;BA209&amp;":"),";"),"L1")))))</f>
        <v>L1</v>
      </c>
      <c r="FV209" t="str">
        <f t="shared" si="485"/>
        <v>L2</v>
      </c>
      <c r="FW209" t="str">
        <f t="shared" si="486"/>
        <v>L2</v>
      </c>
      <c r="FX209" cm="1">
        <f t="array" ref="FX209">IFERROR(IF(CD209=2,_xlfn.IFS(BX209=3,VLOOKUP(BS209,Справочная_двигатели,3,FALSE),BX209=1,VLOOKUP(BS209,Справочная_двигатели,5,TRUE)),0),0)</f>
        <v>0</v>
      </c>
      <c r="FY209">
        <f>IFERROR(IF(CD209=3,VLOOKUP(BS209,Справочная_ЛЭД,2,TRUE),0),0)</f>
        <v>0</v>
      </c>
      <c r="FZ209" s="6">
        <f t="shared" si="487"/>
        <v>0</v>
      </c>
      <c r="GA209" t="str">
        <f>IF(B209="","",IF(TRIM(AH209&amp;"")&lt;&gt;"",IF(LOWER(TRIM(AH209&amp;""))="да","да","нет"),IF(IFERROR(_xlfn.XLOOKUP(BC209,Коды_код,Коды_пожарная),"")="да","да","нет")))</f>
        <v>нет</v>
      </c>
      <c r="GB209" t="str">
        <f t="shared" si="488"/>
        <v/>
      </c>
      <c r="GC209" t="str">
        <f t="shared" si="489"/>
        <v>основная</v>
      </c>
      <c r="GD209">
        <f>IF(AND(BP209=1,TRIM(AE209&amp;"")=""),IF(COUNTIFS(Линии[Щит],A209,Линии[Секция (1/2/3)],"&gt;=2")&gt;0,MIN(3,MAX(1,IFERROR(--BD209,1))),1),IFERROR(MIN(3,MAX(1,INT(--AE209))),1))</f>
        <v>1</v>
      </c>
      <c r="GE209" t="str" cm="1">
        <f t="array" ref="GE209">IF(B209="","",_xlfn.LET(_xlpm.t,IFERROR(_xlfn.XLOOKUP(1,(Шины[Шина]=GC209)*(((Шины[Щит]=A209)+(Шины[Щит]=""))&gt;0),Шины[Тип]),"")&amp;"",IF(_xlpm.t&lt;&gt;"",_xlpm.t,IF(ISNUMBER(SEARCH("ИБП",GC209)),"ИБП",IF(ISNUMBER(SEARCH("ДГУ",GC209)),"ДГУ","Ввод "&amp;GD209)))))</f>
        <v>Ввод 1</v>
      </c>
      <c r="GF209" t="str">
        <f t="shared" si="490"/>
        <v>Ввод 1</v>
      </c>
      <c r="GG209" t="str">
        <f>IF(BP209=0,"",IF(TRIM(AG209&amp;"")&lt;&gt;"",TRIM(AG209&amp;""),IF(OR(GE209="ИБП",GE209="ДГУ"),"I особая",_xlfn.XLOOKUP(A209,Щиты[Щит],Щиты[Категория шины «Ввод»],"III"))))</f>
        <v/>
      </c>
      <c r="GH209" t="str">
        <f>IF(A209="","",_xlfn.XLOOKUP(A209,Щиты[Щит],Щиты[Путь],""))</f>
        <v>|ГРЩ-ЖД|ЩР-01|</v>
      </c>
      <c r="GI209" t="str">
        <f>IF(B209="","",IF(AI209&lt;&gt;"",AI209,IF(IFERROR(_xlfn.XLOOKUP(BC209,Коды_код,Коды_вид)&amp;"","")="","Прочее",_xlfn.XLOOKUP(BC209,Коды_код,Коды_вид)&amp;"")))</f>
        <v>Розеточная сеть и бытовые приборы</v>
      </c>
      <c r="GJ209">
        <f>IF(BM209="","",INT((BM209-1)/Столбцов_на_лист)+1)</f>
        <v>3</v>
      </c>
      <c r="GK209" t="str">
        <f t="shared" si="491"/>
        <v>ВВГнг(А)-LS (3х2,5) L=51-0,21%</v>
      </c>
      <c r="GL209">
        <f t="shared" si="492"/>
        <v>0.12</v>
      </c>
      <c r="GM209">
        <f t="shared" si="493"/>
        <v>0.55000000000000004</v>
      </c>
      <c r="GN209">
        <f t="shared" si="494"/>
        <v>1</v>
      </c>
      <c r="GO209">
        <f t="shared" si="495"/>
        <v>0</v>
      </c>
      <c r="GP209">
        <f t="shared" si="496"/>
        <v>1</v>
      </c>
      <c r="GQ209">
        <f>IF(BM209="","",IF(AND(CG209=1,GP209=1),COUNTIFS(A$3:A209,A209,CG$3:CG209,1,GP$3:GP209,1),IF(OR(OR(BA209=1,A209&lt;&gt;A208),AJ209="вручную",GP209=0),"",IF(BA209=1,"",GR208))))</f>
        <v>25</v>
      </c>
      <c r="GR209">
        <f t="shared" si="497"/>
        <v>25</v>
      </c>
      <c r="GS209">
        <f>IF(B209="","",IFERROR(LOOKUP(INDEX(CHOOSE(EB209,Iдоп_1ж,Iдоп_2ж,Iдоп_3ж),MATCH(EN209,Iдоп_S,0))*DZ209*EA209,{6,10,16,20,25,32,40,50,63,80,100,125,160,200,250,315,400,500,630}),""))</f>
        <v>25</v>
      </c>
      <c r="GT209" t="str">
        <f t="shared" si="498"/>
        <v>QFD25</v>
      </c>
      <c r="GU209" t="str">
        <f t="shared" si="499"/>
        <v>QFD25</v>
      </c>
      <c r="GV209" t="str">
        <f t="shared" si="500"/>
        <v/>
      </c>
      <c r="GW209">
        <f t="shared" si="501"/>
        <v>0</v>
      </c>
      <c r="GX209" t="str">
        <f>IF(OR(B209="",DJ209=""),"",IFERROR(_xlfn.XLOOKUP(DJ209,Модули_умолч[Управление],Модули_умолч[Модель])&amp;"",""))</f>
        <v/>
      </c>
      <c r="GY209">
        <f>IF(DJ209="",1,IFERROR(MAX(0,N(_xlfn.XLOOKUP(DJ209,Модули_умолч[Управление],Модули_умолч[Каналов на линию]))),1))</f>
        <v>1</v>
      </c>
      <c r="GZ209" t="str">
        <f t="shared" si="502"/>
        <v/>
      </c>
      <c r="HA209" t="str">
        <f t="shared" si="503"/>
        <v/>
      </c>
      <c r="HB209" t="str">
        <f t="shared" si="504"/>
        <v/>
      </c>
      <c r="HC209">
        <f>IF(HB209="",0,IFERROR(N(VLOOKUP(HB209,Модули_спр,3,FALSE)),0))</f>
        <v>0</v>
      </c>
      <c r="HD209" t="str">
        <f t="shared" si="505"/>
        <v/>
      </c>
      <c r="HE209" t="str">
        <f t="shared" si="506"/>
        <v/>
      </c>
      <c r="HF209" t="str">
        <f>IF(OR(HE209="",HE209="-"),"",IFERROR(VLOOKUP(HE209,Модули_спр,2,FALSE),"R"))</f>
        <v/>
      </c>
      <c r="HG209" t="str">
        <f>IF(HF209="","",HF209&amp;"."&amp;COUNTIFS(A$3:A209,A209,HF$3:HF209,HF209))</f>
        <v/>
      </c>
      <c r="HH209" t="str">
        <f t="shared" si="507"/>
        <v/>
      </c>
      <c r="HI209" t="str">
        <f t="shared" si="508"/>
        <v/>
      </c>
      <c r="HJ209" t="str">
        <f t="shared" si="509"/>
        <v/>
      </c>
      <c r="HK209" t="str">
        <f t="shared" si="510"/>
        <v/>
      </c>
      <c r="HL209">
        <f t="shared" si="511"/>
        <v>1</v>
      </c>
      <c r="HM209" t="str">
        <f>IF(HL209=1,"XT"&amp;COUNTIFS(A$3:A209,A209,HL$3:HL209,1),"")</f>
        <v>XT25</v>
      </c>
      <c r="HN209" t="str">
        <f t="shared" si="512"/>
        <v>XT25</v>
      </c>
      <c r="HO209" t="str">
        <f t="shared" si="513"/>
        <v>QFD25</v>
      </c>
      <c r="HP209" t="str">
        <f t="shared" si="514"/>
        <v/>
      </c>
      <c r="HQ209" t="str">
        <f t="shared" si="515"/>
        <v>ok</v>
      </c>
      <c r="HR209" t="str">
        <f>IF(OR(HJ209="",HH209=""),"",IF(HJ209+MAX(0,GY209-1)&gt;IFERROR(VLOOKUP(HI209,Модули_спр,3,FALSE),99),"ЛИШНИЙ КАНАЛ",IF(AND(AL209&lt;&gt;"=",GY209&gt;0,COUNTIFS(Линии[_модуль гр.],HH209,Линии[Канал (итог)],HJ209,Линии[Канал],"&lt;&gt;=",Линии[Щит],A209)&gt;1),"ДУБЛЬ КАНАЛА","")))</f>
        <v/>
      </c>
      <c r="HS209" s="6" t="str">
        <f t="shared" si="516"/>
        <v/>
      </c>
      <c r="HT209">
        <f t="shared" si="517"/>
        <v>10</v>
      </c>
      <c r="HU209" t="str">
        <f t="shared" si="518"/>
        <v/>
      </c>
      <c r="HV209">
        <f t="shared" si="519"/>
        <v>0.72878536516659498</v>
      </c>
      <c r="HW209">
        <f t="shared" si="520"/>
        <v>0</v>
      </c>
      <c r="HX209">
        <f t="shared" si="521"/>
        <v>0</v>
      </c>
      <c r="HY209">
        <f t="shared" si="522"/>
        <v>0</v>
      </c>
      <c r="HZ209">
        <f t="shared" si="523"/>
        <v>0</v>
      </c>
      <c r="IA209">
        <f t="shared" si="524"/>
        <v>0</v>
      </c>
      <c r="IB209">
        <f t="shared" si="525"/>
        <v>0</v>
      </c>
      <c r="IC209" t="str">
        <f t="shared" si="526"/>
        <v/>
      </c>
      <c r="ID209" t="str" cm="1">
        <f t="array" ref="ID209">IF(IC209="","",_xlfn.LET(_xlpm.tk,_xlfn.TEXTSPLIT(SUBSTITUTE(SUBSTITUTE(IC209,";"," "),"→"," ")," ",,TRUE),_xlpm.w_,_xlfn._xlws.FILTER(_xlpm.tk,ISNUMBER(--LEFT(_xlpm.tk,1))*((ISNUMBER(SEARCH("W",_xlpm.tk))+ISNUMBER(SEARCH("Вт",_xlpm.tk)))&gt;0),""),IFERROR(--SUBSTITUTE(SUBSTITUTE(UPPER(INDEX(_xlpm.w_,1)),"W",""),"ВТ",""),"")))</f>
        <v/>
      </c>
      <c r="IE209" t="str" cm="1">
        <f t="array" ref="IE209">IF(IC209="","",_xlfn.LET(_xlpm.tk,_xlfn.TEXTSPLIT(SUBSTITUTE(SUBSTITUTE(IC209,";"," "),"→"," ")," ",,TRUE),_xlpm.v_,_xlfn._xlws.FILTER(_xlpm.tk,ISNUMBER(--LEFT(_xlpm.tk,1))*((ISNUMBER(SEARCH("V",_xlpm.tk))+(RIGHT(UPPER(_xlpm.tk))="В"))&gt;0),""),IFERROR(--SUBSTITUTE(SUBSTITUTE(UPPER(INDEX(_xlpm.v_,1)),"V",""),"В",""),"")))</f>
        <v/>
      </c>
      <c r="IF209" s="6" t="str">
        <f>IF(OR(BV209=0,HI209="",HJ209=""),"",IFERROR(N(_xlfn.XLOOKUP(HI209,Каталог!$C$4:$C$500,Каталог!$Q$4:$Q$500)),""))</f>
        <v/>
      </c>
      <c r="IG209" s="6" t="str">
        <f>IF(N(IF209)=0,"",SUMIFS(Линии[Iр, А],Линии[Щит],A209,Линии[_модуль гр.],HH209,Линии[Канал (итог)],HJ209))</f>
        <v/>
      </c>
      <c r="IH209" t="str">
        <f>IF(AND(B209="",HO209=""),"",_xlfn.TEXTJOIN("; ",TRUE,IF(AND(B209&lt;&gt;"",FV209=""),"нет фазы",""),IF(AND(B209&lt;&gt;"",N(GL209)=0,FG209&lt;&gt;"Нет"),"нет мощности",""),IF(AND(HN209&lt;&gt;"",COUNTIFS(Линии[Щит],A209,Линии[Клемма (итог)],HN209)&gt;1),"дубль клеммы "&amp;HN209,""),IF(AND(HQ209&lt;&gt;"",HQ209&lt;&gt;"ok"),HQ209,""),IF(HR209&lt;&gt;"",HR209,""),IF(AND(N(CB209)&gt;=4,N(BX209)=1),CB209&amp;" жил на 1 фазе",""),IF(AND(BC209="R",CG209=1,IF(CS209&lt;&gt;"",N(CV209)&gt;30,OR(N(DA209)=0,N(DA209)&gt;30))),"розетка без дифзащиты до 30 мА",""),IF(AND(CG209=1,N(DA209)&gt;0,ISNUMBER(T209)),IF(T209&gt;N(DA209)/3,"ток утечки "&amp;FIXED(T209,1)&amp;" мА &gt; 1/3 уставки ("&amp;DA209&amp;" мА)",""),""),IF(AND(CH209=1,CS209=""),"«узо»: нет строки с УЗО выше (УЗО 2P 40А 30мА в «Аппаратах»)",""),IF(AND(CS209&lt;&gt;"",CS209=BA209),IF(CT209="","впишите номинал УЗО (УЗО 2P 40А 30мА)",IF(N(CT209)&lt;N(DT209),"УЗО "&amp;CT209&amp;" А &lt; автомата "&amp;DT209&amp;" А перед ним",IF(N(CT209)&lt;N(CX209),"УЗО "&amp;CT209&amp;" А &lt; тока блока "&amp;FIXED(CX209,1)&amp;" А",""))),""),IF(AND(CS209&lt;&gt;"",CS209=BA209,ISNUMBER(CY209)),IF(CY209&gt;N(CV209)/3,"ток утечки блока УЗО "&amp;FIXED(CY209,1)&amp;" мА &gt; 1/3 уставки ("&amp;CV209&amp;" мА)",""),""),IF(AND(CG209=1,N(BV209)+N(IB209)&gt;0,IC209=""),"линии до 50 В без БП: впишите в «Аппараты» (БП 24V 480W)",""),IF(AND(CG209=1,ISNUMBER(ID209),ISNUMBER(U209)),IF(U209&gt;ID209,"БП "&amp;ID209&amp;" Вт &lt; нужно "&amp;U209&amp;" Вт (×"&amp;Запас_БП&amp;")",""),""),IF(AND(CG209=1,ISNUMBER(IE209),N(BV209)=1),IF(IE209&lt;&gt;N(BU209),"БП на "&amp;IE209&amp;" В, линия "&amp;BU209&amp;" В",""),""),IF(AND(N(IF209)&gt;0,N(IG209)&gt;N(IF209)),HH209&amp;" канал "&amp;HJ209&amp;": "&amp;FIXED(IG209,1)&amp;" А &gt; "&amp;IF209&amp;" А",""),IFERROR(IF(AND(ISNUMBER(Q209),Q209&gt;EL209),"потери "&amp;FIXED(Q209,1)&amp;" % &gt; "&amp;EL209&amp;" %",""),""),IFERROR(IF(LEFT(HU209,4)="мало","Iкз мало — отключение &gt; 0,4 с",""),""),IF(AND(B209&lt;&gt;"",BM209=""),"не на схеме",""),IF(AND(CG209=0,B209&lt;&gt;"",FV209&lt;&gt;"",IF(BA209=1,"",FW208)&lt;&gt;"",FV209&lt;&gt;IF(BA209=1,"",FW208)),"фаза не как у автомата группы ("&amp;IF(BA209=1,"",FW208)&amp;")","")))</f>
        <v/>
      </c>
      <c r="II209" s="6">
        <f>IF(OR(CG209=0,DQ209=""),"",_xlfn.LET(_xlpm.t,IFERROR(_xlfn.XLOOKUP(DQ209,Каталог!$U$4:$U$500,Каталог!$G$4:$G$500),""),_xlpm.k,SEARCH("кА",_xlpm.t),IFERROR(--TRIM(RIGHT(SUBSTITUTE(MID(_xlpm.t,MAX(1,_xlpm.k-4),_xlpm.k-MAX(1,_xlpm.k-4))," ",REPT(" ",9)),5)),"")))</f>
        <v>6</v>
      </c>
      <c r="IJ209" t="str">
        <f>IF(OR(II209="",CG209=0),"",IF(_xlfn.XLOOKUP(A209,Щиты[Щит],Щиты[Iкз max на шинах, кА],"")="","",IF(II209&lt;_xlfn.XLOOKUP(A209,Щиты[Щит],Щиты[Iкз max на шинах, кА]),"Icu "&amp;II209&amp;" кА &lt; Iкз max","ok")))</f>
        <v/>
      </c>
      <c r="IK209" t="str">
        <f t="shared" si="527"/>
        <v/>
      </c>
      <c r="IL209" t="str">
        <f t="shared" si="528"/>
        <v>QFD25|XT25</v>
      </c>
      <c r="IM209" t="str">
        <f t="shared" si="529"/>
        <v>QFD25|XT25|кабель ВВГнг(А)-LS (3х2,5) → Розеточная группа, пом. 013Б</v>
      </c>
      <c r="IN209" t="str" cm="1">
        <f t="array" ref="IN209">IF(IM209="","",_xlfn.LET(_xlpm.nd,_xlfn.TEXTSPLIT(IM209,"|"),IF(COLUMNS(_xlpm.nd)&gt;1,A209&amp;"¦"&amp;INDEX(_xlpm.nd,1)&amp;"¦"&amp;INDEX(_xlpm.nd,2),"")))</f>
        <v>ЩР-01¦QFD25¦XT25</v>
      </c>
      <c r="IO209" t="str">
        <f t="shared" si="530"/>
        <v>R.0.013Б.2¦Розеточная группа, пом. 013Б</v>
      </c>
      <c r="IP209" t="str" cm="1">
        <f t="array" ref="IP209">IF(IM209="","",_xlfn.LET(_xlpm.nd,_xlfn.TEXTSPLIT(IM209,"|"),IF(COLUMNS(_xlpm.nd)&gt;2,A209&amp;"¦"&amp;INDEX(_xlpm.nd,2)&amp;"¦"&amp;INDEX(_xlpm.nd,3),"")))</f>
        <v>ЩР-01¦XT25¦кабель ВВГнг(А)-LS (3х2,5) → Розеточная группа, пом. 013Б</v>
      </c>
      <c r="IQ209" t="str">
        <f t="shared" si="531"/>
        <v>R.0.013Б.2¦Розеточная группа, пом. 013Б</v>
      </c>
      <c r="IR209" t="str" cm="1">
        <f t="array" ref="IR209">IF(IM209="","",_xlfn.LET(_xlpm.nd,_xlfn.TEXTSPLIT(IM209,"|"),IF(COLUMNS(_xlpm.nd)&gt;3,A209&amp;"¦"&amp;INDEX(_xlpm.nd,3)&amp;"¦"&amp;INDEX(_xlpm.nd,4),"")))</f>
        <v/>
      </c>
      <c r="IS209" t="str">
        <f t="shared" si="532"/>
        <v/>
      </c>
      <c r="IT209" t="str" cm="1">
        <f t="array" ref="IT209">IF(IM209="","",_xlfn.LET(_xlpm.nd,_xlfn.TEXTSPLIT(IM209,"|"),IF(COLUMNS(_xlpm.nd)&gt;4,A209&amp;"¦"&amp;INDEX(_xlpm.nd,4)&amp;"¦"&amp;INDEX(_xlpm.nd,5),"")))</f>
        <v/>
      </c>
      <c r="IU209" t="str">
        <f t="shared" si="533"/>
        <v/>
      </c>
      <c r="IV209" t="str" cm="1">
        <f t="array" ref="IV209">IF(IM209="","",_xlfn.LET(_xlpm.nd,_xlfn.TEXTSPLIT(IM209,"|"),IF(COLUMNS(_xlpm.nd)&gt;5,A209&amp;"¦"&amp;INDEX(_xlpm.nd,5)&amp;"¦"&amp;INDEX(_xlpm.nd,6),"")))</f>
        <v/>
      </c>
      <c r="IW209" t="str">
        <f t="shared" si="534"/>
        <v/>
      </c>
      <c r="IX209" t="str" cm="1">
        <f t="array" ref="IX209">IF(IM209="","",_xlfn.LET(_xlpm.nd,_xlfn.TEXTSPLIT(IM209,"|"),IF(COLUMNS(_xlpm.nd)&gt;6,A209&amp;"¦"&amp;INDEX(_xlpm.nd,6)&amp;"¦"&amp;INDEX(_xlpm.nd,7),"")))</f>
        <v/>
      </c>
      <c r="IY209" t="str">
        <f t="shared" si="535"/>
        <v/>
      </c>
      <c r="IZ209" t="str">
        <f t="shared" si="536"/>
        <v/>
      </c>
      <c r="JA209" t="str">
        <f t="shared" si="537"/>
        <v>QFD25 → XT25</v>
      </c>
      <c r="JB209">
        <f t="shared" si="538"/>
        <v>0</v>
      </c>
      <c r="JC209">
        <f t="shared" si="539"/>
        <v>1</v>
      </c>
      <c r="JD209" t="str">
        <f t="shared" si="540"/>
        <v/>
      </c>
      <c r="JE209" t="str">
        <f t="shared" si="541"/>
        <v/>
      </c>
      <c r="JF209" t="str">
        <f t="shared" si="542"/>
        <v/>
      </c>
      <c r="JG209" t="str">
        <f t="shared" si="543"/>
        <v/>
      </c>
      <c r="JH209" t="str">
        <f>IF(B209="","",IFERROR(_xlfn.XLOOKUP(B209,Коды_код,Коды_уго),IFERROR(_xlfn.XLOOKUP(BC209,Коды_код,Коды_уго),IFERROR(_xlfn.XLOOKUP(LEFT(BC209,2),Коды_код,Коды_уго),""))))</f>
        <v>Розетка</v>
      </c>
      <c r="JI209" t="str">
        <f>IF(B209="","",IF(OR(JH209="",JH209=0),"BOX",IFERROR(IF(VLOOKUP(JH209,УГО_блоки,3,FALSE)&amp;""&lt;&gt;"",VLOOKUP(JH209,УГО_блоки,3,FALSE),VLOOKUP(JH209,УГО_блоки,2,FALSE)),JH209)))</f>
        <v>SOCKET</v>
      </c>
      <c r="JJ209">
        <f t="shared" si="544"/>
        <v>1</v>
      </c>
      <c r="JK209" t="str">
        <f>IF(DQ209="","",IF(COUNTIF(DQ$3:DQ209,DQ209)=1,MAX(JK$2:JK208)+1,""))</f>
        <v/>
      </c>
      <c r="JL209" t="str">
        <f>IF(DE209="","",IF(COUNTIF(DE$3:DE209,DE209)+COUNTIF(DF$2:DF208,DE209)+COUNTIF(DG$2:DG208,DE209)=1,MAX(JL$2:JN208)+1,""))</f>
        <v/>
      </c>
      <c r="JM209" t="str">
        <f>IF(DF209="","",IF(COUNTIF(DE$3:DE209,DF209)+COUNTIF(DF$3:DF209,DF209)+COUNTIF(DG$2:DG208,DF209)=1,MAX(JL$2:JN208,JL209)+1,""))</f>
        <v/>
      </c>
      <c r="JN209" t="str">
        <f>IF(DG209="","",IF(COUNTIF(DE$3:DE209,DG209)+COUNTIF(DF$3:DF209,DG209)+COUNTIF(DG$3:DG209,DG209)=1,MAX(JL$2:JN208,JL209,JM209)+1,""))</f>
        <v/>
      </c>
      <c r="JO209" t="str">
        <f t="shared" si="545"/>
        <v>3х2,5</v>
      </c>
      <c r="JP209" t="str">
        <f>IF(JO209="","",IF(COUNTIF(JO$3:JO209,JO209)=1,MAX(JP$2:JP208)+1,""))</f>
        <v/>
      </c>
      <c r="JQ209" t="str">
        <f>IF(HG209="","",COUNTIF(HG$3:HG209,"?*"))</f>
        <v/>
      </c>
      <c r="JR209" t="str">
        <f>IF(OR(HG209="",HI209=""),"",IF(COUNTIFS(HG$3:HG209,"?*",HI$3:HI209,HI209)=1,MAX(JR$2:JR208)+1,""))</f>
        <v/>
      </c>
      <c r="JS209">
        <f t="shared" si="546"/>
        <v>0</v>
      </c>
      <c r="JT209">
        <f>IF(B209="","",COUNTIF(B$3:B209,"?*"))</f>
        <v>207</v>
      </c>
      <c r="JU209">
        <f>IF(HL209&lt;&gt;1,0,_xlfn.LET(_xlpm.k,MAX(IFERROR(--_xlfn.XLOOKUP(B209,Коды_код,Коды_3L),0),IFERROR(--_xlfn.XLOOKUP(BC209,Коды_код,Коды_3L),0),IFERROR(--_xlfn.XLOOKUP(LEFT(BC209,2),Коды_код,Коды_3L),0)),IF(_xlpm.k&gt;0,_xlpm.k,IF(IFERROR(--LEFT(SUBSTITUTE(JO209,"x","х"),FIND("х",SUBSTITUTE(JO209,"x","х"))-1),3)&gt;3,Каталог!$S$9,1))))</f>
        <v>1</v>
      </c>
      <c r="JV209">
        <f t="shared" si="547"/>
        <v>0</v>
      </c>
      <c r="JW209" t="str">
        <f t="shared" si="548"/>
        <v>авто</v>
      </c>
      <c r="JX209">
        <f t="shared" si="549"/>
        <v>30</v>
      </c>
      <c r="JY209">
        <f t="shared" si="550"/>
        <v>1</v>
      </c>
      <c r="JZ209">
        <f t="shared" si="551"/>
        <v>1</v>
      </c>
    </row>
    <row r="210" spans="1:286" x14ac:dyDescent="0.3">
      <c r="A210" t="s">
        <v>755</v>
      </c>
      <c r="B210" t="s">
        <v>1517</v>
      </c>
      <c r="C210" t="s">
        <v>1700</v>
      </c>
      <c r="D210">
        <v>1</v>
      </c>
      <c r="E210">
        <v>0.3</v>
      </c>
      <c r="G210" t="str">
        <f>Линии[[#This Row],[_авто автомат]]</f>
        <v>2P С16А 30мА</v>
      </c>
      <c r="H210" t="str">
        <f>Линии[[#This Row],[_авто управление]]</f>
        <v/>
      </c>
      <c r="I210" t="str">
        <f>Линии[[#This Row],[_авто аппараты]]</f>
        <v/>
      </c>
      <c r="J210">
        <v>2.5</v>
      </c>
      <c r="K210">
        <v>48</v>
      </c>
      <c r="L210">
        <v>3</v>
      </c>
      <c r="M210" t="s">
        <v>484</v>
      </c>
      <c r="N210" t="str">
        <f t="shared" si="414"/>
        <v/>
      </c>
      <c r="O210" s="6" cm="1">
        <f t="array" ref="O210">IF(B210="","",IF(BH210&lt;&gt;"",IFERROR(_xlfn.XLOOKUP(BH210,Щиты[Щит],Щиты[Iр, А]),""),IF(BP210=1,IF(OR(N(_xlfn.XLOOKUP(A210,Щиты[Щит],Щиты[Вводов],1))&lt;=1,LOWER(TRIM(_xlfn.XLOOKUP(A210,Щиты[Щит],Щиты[АВР],"")&amp;""))="да"),IFERROR(_xlfn.XLOOKUP(A210,Щиты[Щит],Щиты[Iр, А]),""),IFERROR(N(BS210)*_xlfn.XLOOKUP(A210,Щиты[Щит],Щиты[Кс итог])/(SQRT(3)*Uн_лин*_xlfn.XLOOKUP(A210,Щиты[Щит],Щиты[cos φ])),"")),IF(BV210=1,IFERROR(BS210*1000/BU210,""),IFERROR(_xlfn.IFS(BX210=1,BS210/((Uн_лин/SQRT(3))*CE210),BX210=3,BS210/(SQRT(3)*Uн_лин*CE210)),"")))))</f>
        <v>1.3674085322912188</v>
      </c>
      <c r="P210" s="7">
        <f>IF(B210="","",IFERROR(IF(VLOOKUP(BC210,Потребители_обозначение,4,FALSE)=1,VLOOKUP(BC210,Потребители_обозначение,3,FALSE)*(MAX(1,N(D210))*2-1)+EI210+VLOOKUP(BE210,Этаж_обозначение,3,FALSE)+VLOOKUP(BE210,Этаж_обозначение,4,FALSE),VLOOKUP(BC210,Потребители_обозначение,3,FALSE)*(MAX(1,N(D210))*2-1)+EI210),EI210))</f>
        <v>51</v>
      </c>
      <c r="Q210" s="6">
        <f t="shared" si="415"/>
        <v>0.95</v>
      </c>
      <c r="R210" t="str">
        <f t="shared" si="416"/>
        <v>ВВГнг(А)-LS (3х2,5)</v>
      </c>
      <c r="S210" t="str">
        <f>IF(BM210="","",IF(BN210="вводной узел","узел ","")&amp;"л."&amp;(INT((BM210-1)/Столбцов_на_лист)+1)&amp;" / "&amp;(MOD(BM210-1,Столбцов_на_лист)+1))</f>
        <v>л.3 / 4</v>
      </c>
      <c r="T210" s="119">
        <f t="shared" si="417"/>
        <v>1.1000000000000001</v>
      </c>
      <c r="U210" s="7" t="str">
        <f>IF(OR(CG210=0,N(BV210)+N(IB210)=0),"",ROUNDUP(Запас_БП*(N(HY210)+N(HZ210)),0))</f>
        <v/>
      </c>
      <c r="V210" s="119" t="str">
        <f t="shared" si="418"/>
        <v/>
      </c>
      <c r="W210" s="7" t="str">
        <f>IFERROR(IF(OR(B210="",BP210=1,BV210=1,NOT(ISNUMBER(EN210)),N(DT210)=0),"",MAX(0,ROUNDDOWN((c_min*(Uн_лин*1000/SQRT(3))/(HT210*N(DT210))-_xlfn.XLOOKUP(A210,Щиты[Щит],Щиты[Zпетли на шинах, Ом]))*EN210/(2*ρкз_Cu),0))),"")</f>
        <v/>
      </c>
      <c r="Y210">
        <f>Линии[[#This Row],[_авто утечка]]</f>
        <v>30</v>
      </c>
      <c r="Z210">
        <v>1</v>
      </c>
      <c r="AA210">
        <v>230</v>
      </c>
      <c r="AB210" t="s">
        <v>562</v>
      </c>
      <c r="AG210" t="s">
        <v>810</v>
      </c>
      <c r="AI210" t="s">
        <v>561</v>
      </c>
      <c r="AK210" t="str">
        <f>Линии[[#This Row],[_авто модуль]]</f>
        <v/>
      </c>
      <c r="AM210">
        <v>38</v>
      </c>
      <c r="AN210" t="s">
        <v>11</v>
      </c>
      <c r="AO210">
        <v>3</v>
      </c>
      <c r="AQ210">
        <v>36</v>
      </c>
      <c r="AR210">
        <v>15</v>
      </c>
      <c r="AS210">
        <v>0</v>
      </c>
      <c r="BA210" cm="1">
        <f t="array" ref="BA210">ROW()-ROW(Линии[#Headers])</f>
        <v>208</v>
      </c>
      <c r="BC210" s="6" t="str">
        <f t="shared" si="419"/>
        <v>R</v>
      </c>
      <c r="BD210" t="str">
        <f t="shared" si="420"/>
        <v>0.013Б.3</v>
      </c>
      <c r="BE210" t="str">
        <f t="shared" si="421"/>
        <v>0</v>
      </c>
      <c r="BF210" t="str">
        <f t="shared" si="422"/>
        <v>013Б.3</v>
      </c>
      <c r="BG210" t="str">
        <f t="shared" si="423"/>
        <v>013Б</v>
      </c>
      <c r="BH210" t="str">
        <f>IF(X210&lt;&gt;"",X210,IF(AND(B210&lt;&gt;"",B210&lt;&gt;A210,ISNUMBER(_xlfn.XMATCH(B210,Щиты[Щит]))),B210,""))</f>
        <v/>
      </c>
      <c r="BI210" t="str" cm="1">
        <f t="array" ref="BI210">IF(B210="","",IF(BH210&lt;&gt;"","Щит "&amp;BH210,_xlfn.LET(_xlpm.nm,IFERROR(_xlfn.XLOOKUP(BC210,Коды_код,Коды_имя)&amp;"",""),_xlpm.md,IFERROR(N(_xlfn.XLOOKUP(BC210,Коды_код,Коды_режим)),1),_xlpm.ex,IF(Имя_режим="по экспликации",IFERROR(_xlfn.XLOOKUP(BE210&amp;"|"&amp;BG210,Экспликация[Этаж]&amp;"|"&amp;Экспликация[Помещение],Экспликация[Название])&amp;"",""),""),_xlpm.rm,IF(BG210="","",IF(_xlpm.ex&lt;&gt;"",". "&amp;_xlpm.ex&amp;IF(Имя_пом="нет"," ("&amp;BG210&amp;")"," (пом. "&amp;BG210&amp;")"),IF(Имя_пом="нет"," ",", пом. ")&amp;BG210)),IF(_xlpm.nm="","",IF(_xlpm.md=2,_xlpm.nm&amp;" шлейф "&amp;BE210,_xlpm.nm&amp;_xlpm.rm)))))</f>
        <v>Розеточная группа, пом. 013Б</v>
      </c>
      <c r="BJ210" t="str">
        <f t="shared" si="424"/>
        <v>Розеточная группа Цокольный этаж Пом. №013Б Полотенцесушитель</v>
      </c>
      <c r="BK210">
        <f>IFERROR(_xlfn.XMATCH(A210,Щиты[Щит]),0)</f>
        <v>9</v>
      </c>
      <c r="BL210">
        <f>_xlfn.LET(_xlpm.k,IFERROR(_xlfn.XLOOKUP(A210,Щиты[Щит],Щиты[Мест под вводной узел]),""),IF(_xlpm.k="",Столбцов_на_лист,N(_xlpm.k)))</f>
        <v>8</v>
      </c>
      <c r="BM210">
        <f t="shared" si="425"/>
        <v>38</v>
      </c>
      <c r="BN210" t="str">
        <f t="shared" si="426"/>
        <v>линии</v>
      </c>
      <c r="BO210" s="6">
        <f>IFERROR(N(_xlfn.XLOOKUP(BC210,Коды_код,Коды_квт)),0)</f>
        <v>0</v>
      </c>
      <c r="BP210">
        <f t="shared" si="427"/>
        <v>0</v>
      </c>
      <c r="BQ210" t="str">
        <f>IF(B210="","",IF(BH210&lt;&gt;"",IFERROR(_xlfn.XLOOKUP(BH210,Щиты[Щит],Щиты[Руст, кВт]),0),IF(BP210=1,IF(OR(N(_xlfn.XLOOKUP(A210,Щиты[Щит],Щиты[Вводов],1))&lt;=1,LOWER(TRIM(_xlfn.XLOOKUP(A210,Щиты[Щит],Щиты[АВР],"")&amp;""))="да"),IFERROR(_xlfn.XLOOKUP(A210,Щиты[Щит],Щиты[Руст, кВт]),0),SUMIFS(Линии[_Р для вводов],Линии[Щит],A210,Линии[Источник для режимов],GF210)),IF(BO210&gt;0,ROUND(BO210*MAX(1,N(D210)),3),""))))</f>
        <v/>
      </c>
      <c r="BR210">
        <f t="shared" si="428"/>
        <v>0.3</v>
      </c>
      <c r="BS210" s="6">
        <f>IF(B210="","",IF(BH210&lt;&gt;"",IFERROR(_xlfn.XLOOKUP(BH210,Щиты[Щит],Щиты[Руст, кВт]),0),N(BR210)))</f>
        <v>0.3</v>
      </c>
      <c r="BT210" t="str">
        <f>IF(B210="","",IFERROR(IF(VLOOKUP(BC210,Потребители_обозначение,8,FALSE)=0,"",VLOOKUP(BC210,Потребители_обозначение,8,FALSE)),""))</f>
        <v/>
      </c>
      <c r="BU210">
        <f t="shared" si="429"/>
        <v>230</v>
      </c>
      <c r="BV210">
        <f t="shared" si="430"/>
        <v>0</v>
      </c>
      <c r="BW210">
        <f>IF(B210="","",IF(BH210&lt;&gt;"",3,IFERROR(IF(N(VLOOKUP(BC210,Потребители_обозначение,9,FALSE))=0,1,VLOOKUP(BC210,Потребители_обозначение,9,FALSE)),1)))</f>
        <v>1</v>
      </c>
      <c r="BX210">
        <f t="shared" si="431"/>
        <v>1</v>
      </c>
      <c r="BY210" t="str">
        <f>IF(B210="","",_xlfn.LET(_xlpm.bc,IFERROR(IF(VLOOKUP(BC210,Потребители_обозначение,6,FALSE)=0,"",VLOOKUP(BC210,Потребители_обозначение,6,FALSE)&amp;""),""),IF(AND(GA210="да",OR(_xlpm.bc="",_xlpm.bc="мс")),Марка_пож,IF(AND(_xlpm.bc="",BH210&lt;&gt;""),"мс",_xlpm.bc))))</f>
        <v/>
      </c>
      <c r="BZ210" t="str">
        <f t="shared" si="432"/>
        <v>мс</v>
      </c>
      <c r="CA210">
        <f>IF(B210="","",_xlfn.LET(_xlpm.cc,IFERROR(N(VLOOKUP(BC210,Потребители_обозначение,7,FALSE)),0),IF(_xlpm.cc&gt;0,_xlpm.cc,IF(BZ210="","",IF(BV210=1,2,IF(N(BX210)=3,5,3))))))</f>
        <v>3</v>
      </c>
      <c r="CB210">
        <f t="shared" si="433"/>
        <v>3</v>
      </c>
      <c r="CC210">
        <f>IFERROR(N(VLOOKUP(BC210,Потребители_обозначение,10,FALSE)),0)</f>
        <v>0</v>
      </c>
      <c r="CD210">
        <f>IFERROR(VLOOKUP(BC210,Потребители_обозначение,5,FALSE),0)</f>
        <v>1</v>
      </c>
      <c r="CE210" s="6" cm="1">
        <f t="array" ref="CE210">IF(B210="","",IF(BH210&lt;&gt;"",IFERROR(_xlfn.XLOOKUP(BH210,Щиты[Щит],Щиты[cos φ]),0.95),IF(BP210=1,IFERROR(_xlfn.XLOOKUP(A210,Щиты[Щит],Щиты[cos φ]),0.95),IF(ISNUMBER(AD210),AD210,IFERROR(IF(CD210=2,_xlfn.IFS(BX210=3,VLOOKUP(BS210,Справочная_двигатели,8,FALSE),BX210=1,VLOOKUP(BS210,Справочная_двигатели,10,TRUE)),IF(AND(Методика="нормы 2026",FG210="Сил"),0.8,0.95)),0.95)))))</f>
        <v>0.95</v>
      </c>
      <c r="CF210">
        <f t="shared" si="434"/>
        <v>0</v>
      </c>
      <c r="CG210">
        <f t="shared" si="435"/>
        <v>1</v>
      </c>
      <c r="CH210">
        <f t="shared" si="436"/>
        <v>0</v>
      </c>
      <c r="CI210">
        <f>IF(B210="","",IF(BV210=1,IFERROR(BS210/((Uн_лин/SQRT(3))*MAX(0.5,N(CE210))),0),N(O210)))</f>
        <v>1.3674085322912188</v>
      </c>
      <c r="CJ210">
        <f t="shared" si="437"/>
        <v>0</v>
      </c>
      <c r="CK210">
        <f t="shared" si="438"/>
        <v>0</v>
      </c>
      <c r="CL210">
        <f t="shared" si="439"/>
        <v>0</v>
      </c>
      <c r="CM210">
        <f t="shared" si="440"/>
        <v>0</v>
      </c>
      <c r="CN210">
        <f t="shared" si="441"/>
        <v>0</v>
      </c>
      <c r="CO210">
        <f>IF(BC210="",0,_xlfn.LET(_xlpm.v,IFERROR(_xlfn.XLOOKUP(B210,Коды_код,Коды_мА),IFERROR(_xlfn.XLOOKUP(BC210,Коды_код,Коды_мА),IFERROR(_xlfn.XLOOKUP(LEFT(BC210,2),Коды_код,Коды_мА),""))),IF(_xlpm.v="да",30,IF(ISNUMBER(_xlpm.v),_xlpm.v,0))))</f>
        <v>30</v>
      </c>
      <c r="CP210">
        <f t="shared" si="442"/>
        <v>30</v>
      </c>
      <c r="CQ210" t="str">
        <f>_xlfn.LET(_xlpm.k,IFERROR(_xlfn.XLOOKUP(BC210,Коды_код,Коды_утечка)&amp;"",""),IF(_xlpm.k="","дифавтомат",_xlpm.k))</f>
        <v>дифавтомат</v>
      </c>
      <c r="CR210" t="str" cm="1">
        <f t="array" ref="CR210">IF(CG210=0,"",_xlfn.LET(_xlpm.sg,TRIM(_xlfn.TEXTSPLIT(DD210&amp;"",";")),_xlpm.f_,_xlfn._xlws.FILTER(_xlpm.sg,LEFT(_xlpm.sg,3)="УЗО",""),IFERROR(INDEX(_xlpm.f_,1)&amp;"","")))</f>
        <v/>
      </c>
      <c r="CS210" t="str">
        <f t="shared" si="443"/>
        <v/>
      </c>
      <c r="CT210" s="6" t="str" cm="1">
        <f t="array" ref="CT210">IF(CR210="","",_xlfn.LET(_xlpm.tk,_xlfn.TEXTSPLIT(UPPER(CR210)," ",,TRUE),_xlpm.a_,_xlfn._xlws.FILTER(_xlpm.tk,ISNUMBER(--LEFT(_xlpm.tk,1))*((ISNUMBER(SEARCH("А",_xlpm.tk))+ISNUMBER(SEARCH("A",_xlpm.tk)))&gt;0)*NOT(ISNUMBER(SEARCH("МА",_xlpm.tk)))*NOT(ISNUMBER(SEARCH("MA",_xlpm.tk))),""),IFERROR(--SUBSTITUTE(SUBSTITUTE(INDEX(_xlpm.a_,1),"А",""),"A",""),"")))</f>
        <v/>
      </c>
      <c r="CU210" t="str" cm="1">
        <f t="array" ref="CU210">IF(CR210="","",_xlfn.LET(_xlpm.tk,_xlfn.TEXTSPLIT(UPPER(CR210)," ",,TRUE),_xlpm.a_,_xlfn._xlws.FILTER(_xlpm.tk,ISNUMBER(--LEFT(_xlpm.tk,1))*((ISNUMBER(SEARCH("МА",_xlpm.tk))+ISNUMBER(SEARCH("MA",_xlpm.tk)))&gt;0),""),IFERROR(--SUBSTITUTE(SUBSTITUTE(INDEX(_xlpm.a_,1),"МА",""),"MA",""),30)))</f>
        <v/>
      </c>
      <c r="CV210" t="str">
        <f>IF(CS210="","",IFERROR(_xlfn.XLOOKUP(CS210,Линии[_n],Линии[_УЗО, мА]),30))</f>
        <v/>
      </c>
      <c r="CW210">
        <f>IF(CS210="",0,IF(ISNUMBER(SEARCH("4P",IFERROR(_xlfn.XLOOKUP(CS210,Линии[_n],Линии[_УЗО строки])&amp;"",""))),0,1))</f>
        <v>0</v>
      </c>
      <c r="CX210" t="str">
        <f>IF(AND(CS210&lt;&gt;"",CS210=BA210),SUMIFS(Линии[_ток на 230 В],Линии[_блок УЗО],BA210,Линии[Щит],A210),"")</f>
        <v/>
      </c>
      <c r="CY210" t="str">
        <f>IF(AND(CS210&lt;&gt;"",CS210=BA210),SUMIFS(Линии[_ток утечки линии, мА],Линии[_блок УЗО],BA210,Линии[Щит],A210),"")</f>
        <v/>
      </c>
      <c r="CZ210">
        <f t="shared" si="444"/>
        <v>30</v>
      </c>
      <c r="DA210">
        <f t="shared" si="445"/>
        <v>30</v>
      </c>
      <c r="DB210">
        <f>IF(B210="",0,IFERROR(--_xlfn.XLOOKUP(B210,Коды_код,Коды_минавт),IFERROR(--_xlfn.XLOOKUP(BC210,Коды_код,Коды_минавт),IFERROR(--_xlfn.XLOOKUP(LEFT(BC210,2),Коды_код,Коды_минавт),0))))</f>
        <v>16</v>
      </c>
      <c r="DC210" t="str">
        <f>IF(B210="","",IFERROR(_xlfn.XLOOKUP(BC210,Коды_код,Коды_апп)&amp;"",""))</f>
        <v/>
      </c>
      <c r="DD210" t="str">
        <f t="shared" si="446"/>
        <v/>
      </c>
      <c r="DE210" t="str" cm="1">
        <f t="array" ref="DE210">IF(TRIM(DD210&amp;"")="","",IFERROR(TRIM(INDEX(_xlfn.TEXTSPLIT(DD210&amp;";;;",";"),1)),""))</f>
        <v/>
      </c>
      <c r="DF210" t="str" cm="1">
        <f t="array" ref="DF210">IF(TRIM(DD210&amp;"")="","",IFERROR(TRIM(INDEX(_xlfn.TEXTSPLIT(DD210&amp;";;;",";"),2)),""))</f>
        <v/>
      </c>
      <c r="DG210" t="str" cm="1">
        <f t="array" ref="DG210">IF(TRIM(DD210&amp;"")="","",IFERROR(TRIM(INDEX(_xlfn.TEXTSPLIT(DD210&amp;";;;",";"),3)),""))</f>
        <v/>
      </c>
      <c r="DH210">
        <f t="shared" si="447"/>
        <v>0</v>
      </c>
      <c r="DI210" t="str">
        <f>IF(B210="","",_xlfn.LET(_xlpm.t,LOWER(AZ210&amp;""),IF(ISNUMBER(SEARCH("dim",_xlpm.t)),"DIM",IF(ISNUMBER(SEARCH("dali",_xlpm.t)),"DALI",IF(OR(ISNUMBER(SEARCH("relay",_xlpm.t)),ISNUMBER(SEARCH("реле",_xlpm.t))),"Relay",IF(ISNUMBER(SEARCH("кнопк",_xlpm.t)),"",IFERROR(_xlfn.XLOOKUP(BC210,Коды_код,Коды_упр)&amp;"","")))))))</f>
        <v/>
      </c>
      <c r="DJ210" t="str">
        <f t="shared" si="448"/>
        <v/>
      </c>
      <c r="DK210">
        <f>IF(B210="","",_xlfn.LET(_xlpm.ig,IF(N(CX210)&gt;0,N(CX210),N(CI210)+IF(AJ210="вручную",0,N(CJ210))),_xlpm.n0,IFERROR(VLOOKUP(_xlpm.ig,Автомат_номиналы,2,TRUE),0),_xlpm.mn,MAX(DB210,IF(AJ210="вручную",0,N(CM210))),MAX(_xlpm.n0,_xlpm.mn,IF(DH210=1,Мин_автомат_БП,0))))</f>
        <v>16</v>
      </c>
      <c r="DL210">
        <f t="shared" si="449"/>
        <v>1</v>
      </c>
      <c r="DM210" t="str">
        <f t="shared" si="450"/>
        <v>2P</v>
      </c>
      <c r="DN210" t="str">
        <f>_xlfn.LET(_xlpm.cc,UPPER(TRIM(IFERROR(_xlfn.XLOOKUP(BC210,Коды_код,Коды_хар)&amp;"",""))),IF(OR(_xlpm.cc="B",_xlpm.cc="В"),"B",IF(_xlpm.cc="D","D","С")))</f>
        <v>С</v>
      </c>
      <c r="DO210" t="str">
        <f t="shared" si="451"/>
        <v>2P С16А 30мА</v>
      </c>
      <c r="DP210" t="str">
        <f t="shared" si="452"/>
        <v>2P С16А 30мА</v>
      </c>
      <c r="DQ210" t="str">
        <f t="shared" si="453"/>
        <v>2P С16А 30мА</v>
      </c>
      <c r="DR210" cm="1">
        <f t="array" ref="DR210">IF(DQ210="","",_xlfn.LET(_xlpm.t,SUBSTITUTE(SUBSTITUTE(SUBSTITUTE(UPPER(DQ210),"С","C"),"А","A"),"В","B"),_xlpm.tk,_xlfn.TEXTSPLIT(_xlpm.t," "),_xlpm.f,_xlfn._xlws.FILTER(_xlpm.tk,ISNUMBER(--MID(_xlpm.tk,2,1))*ISNUMBER(SEARCH(LEFT(_xlpm.tk,1)&amp;"#","B#C#D#"))*(LEN(_xlpm.tk)&gt;1),""),_xlpm.x,INDEX(_xlpm.f,1),IFERROR(--SUBSTITUTE(MID(_xlpm.x,2,9),"A",""),IFERROR(--SUBSTITUTE(INDEX(_xlfn._xlws.FILTER(_xlpm.tk,ISNUMBER(--SUBSTITUTE(_xlpm.tk,"A","")),""),1),"A",""),""))))</f>
        <v>16</v>
      </c>
      <c r="DS210" t="str">
        <f t="shared" si="454"/>
        <v>ok</v>
      </c>
      <c r="DT210">
        <f t="shared" si="455"/>
        <v>16</v>
      </c>
      <c r="DU210" t="str">
        <f t="shared" si="456"/>
        <v>2P С16А 30мА</v>
      </c>
      <c r="DV210">
        <f t="shared" si="457"/>
        <v>30</v>
      </c>
      <c r="DW210">
        <f t="shared" si="458"/>
        <v>1</v>
      </c>
      <c r="DX210">
        <f t="shared" si="459"/>
        <v>0</v>
      </c>
      <c r="DY210">
        <f t="shared" si="460"/>
        <v>1.3674085322912188</v>
      </c>
      <c r="DZ210">
        <f t="shared" si="461"/>
        <v>1</v>
      </c>
      <c r="EA210">
        <f>IF(ISNUMBER(AP210),AP210,К_прокл)</f>
        <v>1</v>
      </c>
      <c r="EB210">
        <f t="shared" si="462"/>
        <v>2</v>
      </c>
      <c r="EC210">
        <f>IFERROR(N(VLOOKUP(BZ210,Кабель_обозначение,3,FALSE)),1)</f>
        <v>1</v>
      </c>
      <c r="ED210">
        <f>IFERROR(N(_xlfn.XLOOKUP(A210,Щиты[Щит],Щиты[ΔU до шин, %])),0)</f>
        <v>0.43</v>
      </c>
      <c r="EE210" t="str">
        <f>IFERROR(_xlfn.XLOOKUP(A210,Щиты[Щит],Щиты[Zпетли на шинах, Ом]),"")</f>
        <v/>
      </c>
      <c r="EF210">
        <f>IFERROR(N(_xlfn.XLOOKUP(A210,Щиты[Щит],Щиты[ΔU до шин (подбор), %])),0)</f>
        <v>0.43</v>
      </c>
      <c r="EG210" t="str">
        <f>IFERROR(_xlfn.XLOOKUP(A210,Щиты[Щит],Щиты[Zпетли на шинах (подбор), Ом]),"")</f>
        <v/>
      </c>
      <c r="EH210" t="str">
        <f t="shared" si="463"/>
        <v/>
      </c>
      <c r="EI210">
        <f t="shared" si="464"/>
        <v>48</v>
      </c>
      <c r="EJ210">
        <f t="shared" si="465"/>
        <v>2</v>
      </c>
      <c r="EK210">
        <f t="shared" si="466"/>
        <v>0.31</v>
      </c>
      <c r="EL210" s="6">
        <f>IF(B210="","",IF(BV210=1,dU_LED,IF(IFERROR(_xlfn.XLOOKUP(BC210,Коды_код,Коды_уго),"")="Светильник",3,4)+IF(Методика="нормы 2026",MIN(0.5,MAX(0,N(P210)-100)*0.005),0)))</f>
        <v>4</v>
      </c>
      <c r="EM210" cm="1">
        <f t="array" ref="EM210">IF(OR(B210="",BZ210="",EC210&lt;&gt;1),"",_xlfn.LET(_xlpm.sz,Iдоп_S,_xlpm.t_,CHOOSE(EB210,Iдоп_1ж,Iдоп_2ж,Iдоп_3ж)*DZ210*EA210,_xlpm.dcx,BV210=1,_xlpm.inn,IF(_xlpm.dcx,N(O210),N(DT210)),_xlpm.smin,MAX(1.5,CC210),_xlpm.L_,N(P210)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210)/N(BU210)*100,999),IFERROR(N(EJ210)*(_xlpm.rho*_xlpm.L_/_xlpm.sz*N(CE210)+_xlpm.xx*_xlpm.L_*N(EK210)/1000)*N(O210)/((Uн_лин/SQRT(3))*1000)*100,999)),_xlpm.kz,IF(OR(_xlpm.dcx,DW210=1,NOT(ISNUMBER(EG210)),_xlpm.L_=0,_xlpm.inn=0),1,IFERROR(--(c_min*(Uн_лин*1000/SQRT(3))/(EG210+2*ρкз_Cu*_xlpm.L_/_xlpm.sz)&gt;=HT210*_xlpm.inn),0)),_xlpm.ok,IFERROR((_xlpm.sz&gt;=_xlpm.smin)*(_xlpm.t_&gt;=_xlpm.inn)*IF(_xlpm.L_&gt;0,(_xlpm.du_+IF(_xlpm.dcx,0,EF210)&lt;=EL210+0.00001),1)*_xlpm.kz,0),_xlpm.r_,_xlfn._xlws.FILTER(_xlpm.sz,_xlpm.ok,"не подобрано"),INDEX(_xlpm.r_,1)))</f>
        <v>1.5</v>
      </c>
      <c r="EN210">
        <f t="shared" si="467"/>
        <v>2.5</v>
      </c>
      <c r="EO210" cm="1">
        <f t="array" ref="EO210">IF(OR(B210="",BZ210="",EC210&lt;&gt;1),"",_xlfn.LET(_xlpm.sz,Iдоп_S,_xlpm.t_,CHOOSE(EB210,Iдоп_1ж,Iдоп_2ж,Iдоп_3ж)*DZ210*EA210,_xlpm.ok,IFERROR((_xlpm.sz&gt;=MAX(1.5,CC210))*(_xlpm.t_&gt;=N(DT210)),0),_xlpm.r_,_xlfn._xlws.FILTER(_xlpm.sz,_xlpm.ok,""),INDEX(_xlpm.r_,1)))</f>
        <v>1.5</v>
      </c>
      <c r="EP210" s="6" cm="1">
        <f t="array" ref="EP210">IFERROR(ROUNDUP(N(EJ210)*(_xlfn.XLOOKUP(EO210,INDEX(Кабель_сопротивление,0,1),INDEX(Кабель_сопротивление,0,3))*N(P210)/EO210*N(CE210)+_xlfn.XLOOKUP(EO210,INDEX(Кабель_сопротивление,0,1),INDEX(Кабель_сопротивление,0,2))*N(P210)*N(EK210)/1000)*N(O210)/((Uн_лин/SQRT(3))*1000)*100,2),"")</f>
        <v>0.87</v>
      </c>
      <c r="EQ210">
        <f>IFERROR(2*ρкз_Cu*N(P210)/EO210,"")</f>
        <v>1.7884</v>
      </c>
      <c r="ER210">
        <f>IFERROR(VLOOKUP(EN210,Кабель_сопротивление,3,FALSE),"")</f>
        <v>2.2499999999999999E-2</v>
      </c>
      <c r="ES210">
        <f>IFERROR(VLOOKUP(EN210,Кабель_сопротивление,2,FALSE),"")</f>
        <v>0.1</v>
      </c>
      <c r="ET210">
        <f t="shared" si="468"/>
        <v>15</v>
      </c>
      <c r="EU210">
        <f t="shared" si="469"/>
        <v>0</v>
      </c>
      <c r="EV210">
        <f t="shared" si="470"/>
        <v>1.1968407267902765</v>
      </c>
      <c r="EW210" s="6">
        <f>IFERROR(ROUNDUP(EV210/IF(BV210=1,BU210,(Uн_лин/SQRT(3))*1000)*100,2),"")</f>
        <v>0.52</v>
      </c>
      <c r="EX210" t="str">
        <f>IFERROR(VLOOKUP(BZ210,Кабель_обозначение,2,FALSE),"")</f>
        <v>ВВГнг(А)-LS</v>
      </c>
      <c r="EY210" t="str">
        <f t="shared" si="471"/>
        <v>ВВГнг(А)-LS (3х2,5)</v>
      </c>
      <c r="EZ210" t="str">
        <f t="shared" si="472"/>
        <v>ВВГнг(А)-LS (3х2,5)
L=51-0,52%</v>
      </c>
      <c r="FA210">
        <f>IFERROR(2*ρкз_Cu*P210/EN210,"")</f>
        <v>1.07304</v>
      </c>
      <c r="FB210">
        <f t="shared" si="473"/>
        <v>0.35700000000000004</v>
      </c>
      <c r="FC210" s="6" t="str">
        <f>IFERROR(IF(OR(B210="",BV210=1,NOT(ISNUMBER(EN210)),N(P210)=0),"",_xlfn.XLOOKUP(A210,Щиты[Щит],Щиты[Zпетли на шинах, Ом])+FA210),"")</f>
        <v/>
      </c>
      <c r="FD210" s="6" t="str">
        <f>IF(ISNUMBER(FC210),c_min*(Uн_лин*1000/SQRT(3))/FC210,"")</f>
        <v/>
      </c>
      <c r="FE210" s="6" t="str">
        <f>IFERROR(IF(OR(B210="",NOT(ISNUMBER(EN210))),"",1.05*(Uн_лин*1000/SQRT(3))/(_xlfn.XLOOKUP(A210,Щиты[Щит],Щиты[Zmax на шинах, Ом])+FB210)/1000),"")</f>
        <v/>
      </c>
      <c r="FF210" s="6" t="str">
        <f>IF(B210="","",IF(ISNUMBER(AC210),"Сил",IF(IFERROR(_xlfn.XLOOKUP(BC210,Коды_код,Коды_группа)&amp;"","")="","Быт",_xlfn.XLOOKUP(BC210,Коды_код,Коды_группа)&amp;"")))</f>
        <v>Быт</v>
      </c>
      <c r="FG210" s="6" t="str">
        <f t="shared" si="474"/>
        <v>Быт</v>
      </c>
      <c r="FH210" s="6">
        <f>IF(FG210="Щит","щит",IF(FG210="","",IF(FG210="Быт",IFERROR(_xlfn.XLOOKUP(A210,Щиты[Щит],Щиты[Кс быт]),1),IF(FG210="Сил",IF(ISNUMBER(AC210),AC210,IF(Методика="нормы 2026",IFERROR(_xlfn.XLOOKUP(A210,Щиты[Щит],Щиты[Кс силовых (табл. 7.5)]),1),1)),IF(OR(FG210="Пост",FG210="Отоп"),1,IF(FG210="ВНГ",0.7,0))))))</f>
        <v>0.79799999999999993</v>
      </c>
      <c r="FI210">
        <f>IF(FG210="","",IF(AND(BP210=1,TRIM(AE210&amp;"")=""),IF(COUNTIFS(Линии[Щит],A210,Линии[Секция (1/2/3)],"&gt;=2")&gt;0,MIN(3,MAX(1,IFERROR(--BD210,1))),1),IFERROR(MIN(3,MAX(1,INT(--AE210))),1)))</f>
        <v>1</v>
      </c>
      <c r="FJ210">
        <f t="shared" si="475"/>
        <v>0.3</v>
      </c>
      <c r="FK210">
        <f t="shared" si="476"/>
        <v>0.3</v>
      </c>
      <c r="FL210">
        <f t="shared" si="477"/>
        <v>0</v>
      </c>
      <c r="FM210">
        <f t="shared" si="478"/>
        <v>0</v>
      </c>
      <c r="FN210">
        <f t="shared" si="479"/>
        <v>0</v>
      </c>
      <c r="FO210">
        <f t="shared" si="480"/>
        <v>0</v>
      </c>
      <c r="FP210">
        <f t="shared" si="481"/>
        <v>0.3</v>
      </c>
      <c r="FQ210">
        <f t="shared" si="482"/>
        <v>0.3</v>
      </c>
      <c r="FR210">
        <f t="shared" si="483"/>
        <v>0.28499999999999998</v>
      </c>
      <c r="FS210">
        <f>IF(CG210=1,IF(AND(CH210=1,CW210=1),0,IF(AND(CS210&lt;&gt;"",CS210=BA210,CW210=1),SUMIFS(Линии[_Р линии, кВт],Линии[_блок УЗО],BA210,Линии[Щит],A210),N(BS210)+IF(AJ210="вручную",0,N(CK210)))),0)</f>
        <v>0.3</v>
      </c>
      <c r="FT210" t="str">
        <f t="shared" si="484"/>
        <v>L3</v>
      </c>
      <c r="FU210" t="str">
        <f>IF(B210="","",IF(CG210=0,IF(BA210=1,"",FW209),IF(AND(CH210=1,CW210=1,CS210&lt;&gt;""),IFERROR(_xlfn.XLOOKUP(CS210,Линии[_n],Линии[_фаза итог]),"L1"),IF(OR(N(DL210)&gt;=3,N(BX210)&gt;=3),"L1,L2,L3",IFERROR(_xlfn.TEXTBEFORE(_xlfn.TEXTAFTER(_xlfn.XLOOKUP(A210,Щиты[Щит],Щиты[_фазы авто]),";"&amp;BA210&amp;":"),";"),"L1")))))</f>
        <v>L1</v>
      </c>
      <c r="FV210" t="str">
        <f t="shared" si="485"/>
        <v>L3</v>
      </c>
      <c r="FW210" t="str">
        <f t="shared" si="486"/>
        <v>L3</v>
      </c>
      <c r="FX210" cm="1">
        <f t="array" ref="FX210">IFERROR(IF(CD210=2,_xlfn.IFS(BX210=3,VLOOKUP(BS210,Справочная_двигатели,3,FALSE),BX210=1,VLOOKUP(BS210,Справочная_двигатели,5,TRUE)),0),0)</f>
        <v>0</v>
      </c>
      <c r="FY210">
        <f>IFERROR(IF(CD210=3,VLOOKUP(BS210,Справочная_ЛЭД,2,TRUE),0),0)</f>
        <v>0</v>
      </c>
      <c r="FZ210" s="6">
        <f t="shared" si="487"/>
        <v>0</v>
      </c>
      <c r="GA210" t="str">
        <f>IF(B210="","",IF(TRIM(AH210&amp;"")&lt;&gt;"",IF(LOWER(TRIM(AH210&amp;""))="да","да","нет"),IF(IFERROR(_xlfn.XLOOKUP(BC210,Коды_код,Коды_пожарная),"")="да","да","нет")))</f>
        <v>нет</v>
      </c>
      <c r="GB210" t="str">
        <f t="shared" si="488"/>
        <v/>
      </c>
      <c r="GC210" t="str">
        <f t="shared" si="489"/>
        <v>основная</v>
      </c>
      <c r="GD210">
        <f>IF(AND(BP210=1,TRIM(AE210&amp;"")=""),IF(COUNTIFS(Линии[Щит],A210,Линии[Секция (1/2/3)],"&gt;=2")&gt;0,MIN(3,MAX(1,IFERROR(--BD210,1))),1),IFERROR(MIN(3,MAX(1,INT(--AE210))),1))</f>
        <v>1</v>
      </c>
      <c r="GE210" t="str" cm="1">
        <f t="array" ref="GE210">IF(B210="","",_xlfn.LET(_xlpm.t,IFERROR(_xlfn.XLOOKUP(1,(Шины[Шина]=GC210)*(((Шины[Щит]=A210)+(Шины[Щит]=""))&gt;0),Шины[Тип]),"")&amp;"",IF(_xlpm.t&lt;&gt;"",_xlpm.t,IF(ISNUMBER(SEARCH("ИБП",GC210)),"ИБП",IF(ISNUMBER(SEARCH("ДГУ",GC210)),"ДГУ","Ввод "&amp;GD210)))))</f>
        <v>Ввод 1</v>
      </c>
      <c r="GF210" t="str">
        <f t="shared" si="490"/>
        <v>Ввод 1</v>
      </c>
      <c r="GG210" t="str">
        <f>IF(BP210=0,"",IF(TRIM(AG210&amp;"")&lt;&gt;"",TRIM(AG210&amp;""),IF(OR(GE210="ИБП",GE210="ДГУ"),"I особая",_xlfn.XLOOKUP(A210,Щиты[Щит],Щиты[Категория шины «Ввод»],"III"))))</f>
        <v/>
      </c>
      <c r="GH210" t="str">
        <f>IF(A210="","",_xlfn.XLOOKUP(A210,Щиты[Щит],Щиты[Путь],""))</f>
        <v>|ГРЩ-ЖД|ЩР-01|</v>
      </c>
      <c r="GI210" t="str">
        <f>IF(B210="","",IF(AI210&lt;&gt;"",AI210,IF(IFERROR(_xlfn.XLOOKUP(BC210,Коды_код,Коды_вид)&amp;"","")="","Прочее",_xlfn.XLOOKUP(BC210,Коды_код,Коды_вид)&amp;"")))</f>
        <v>Розеточная сеть и бытовые приборы</v>
      </c>
      <c r="GJ210">
        <f>IF(BM210="","",INT((BM210-1)/Столбцов_на_лист)+1)</f>
        <v>3</v>
      </c>
      <c r="GK210" t="str">
        <f t="shared" si="491"/>
        <v>ВВГнг(А)-LS (3х2,5) L=51-0,52%</v>
      </c>
      <c r="GL210">
        <f t="shared" si="492"/>
        <v>0.3</v>
      </c>
      <c r="GM210">
        <f t="shared" si="493"/>
        <v>1.37</v>
      </c>
      <c r="GN210">
        <f t="shared" si="494"/>
        <v>1</v>
      </c>
      <c r="GO210">
        <f t="shared" si="495"/>
        <v>0</v>
      </c>
      <c r="GP210">
        <f t="shared" si="496"/>
        <v>1</v>
      </c>
      <c r="GQ210">
        <f>IF(BM210="","",IF(AND(CG210=1,GP210=1),COUNTIFS(A$3:A210,A210,CG$3:CG210,1,GP$3:GP210,1),IF(OR(OR(BA210=1,A210&lt;&gt;A209),AJ210="вручную",GP210=0),"",IF(BA210=1,"",GR209))))</f>
        <v>26</v>
      </c>
      <c r="GR210">
        <f t="shared" si="497"/>
        <v>26</v>
      </c>
      <c r="GS210">
        <f>IF(B210="","",IFERROR(LOOKUP(INDEX(CHOOSE(EB210,Iдоп_1ж,Iдоп_2ж,Iдоп_3ж),MATCH(EN210,Iдоп_S,0))*DZ210*EA210,{6,10,16,20,25,32,40,50,63,80,100,125,160,200,250,315,400,500,630}),""))</f>
        <v>25</v>
      </c>
      <c r="GT210" t="str">
        <f t="shared" si="498"/>
        <v>QFD26</v>
      </c>
      <c r="GU210" t="str">
        <f t="shared" si="499"/>
        <v>QFD26</v>
      </c>
      <c r="GV210" t="str">
        <f t="shared" si="500"/>
        <v/>
      </c>
      <c r="GW210">
        <f t="shared" si="501"/>
        <v>0</v>
      </c>
      <c r="GX210" t="str">
        <f>IF(OR(B210="",DJ210=""),"",IFERROR(_xlfn.XLOOKUP(DJ210,Модули_умолч[Управление],Модули_умолч[Модель])&amp;"",""))</f>
        <v/>
      </c>
      <c r="GY210">
        <f>IF(DJ210="",1,IFERROR(MAX(0,N(_xlfn.XLOOKUP(DJ210,Модули_умолч[Управление],Модули_умолч[Каналов на линию]))),1))</f>
        <v>1</v>
      </c>
      <c r="GZ210" t="str">
        <f t="shared" si="502"/>
        <v/>
      </c>
      <c r="HA210" t="str">
        <f t="shared" si="503"/>
        <v/>
      </c>
      <c r="HB210" t="str">
        <f t="shared" si="504"/>
        <v/>
      </c>
      <c r="HC210">
        <f>IF(HB210="",0,IFERROR(N(VLOOKUP(HB210,Модули_спр,3,FALSE)),0))</f>
        <v>0</v>
      </c>
      <c r="HD210" t="str">
        <f t="shared" si="505"/>
        <v/>
      </c>
      <c r="HE210" t="str">
        <f t="shared" si="506"/>
        <v/>
      </c>
      <c r="HF210" t="str">
        <f>IF(OR(HE210="",HE210="-"),"",IFERROR(VLOOKUP(HE210,Модули_спр,2,FALSE),"R"))</f>
        <v/>
      </c>
      <c r="HG210" t="str">
        <f>IF(HF210="","",HF210&amp;"."&amp;COUNTIFS(A$3:A210,A210,HF$3:HF210,HF210))</f>
        <v/>
      </c>
      <c r="HH210" t="str">
        <f t="shared" si="507"/>
        <v/>
      </c>
      <c r="HI210" t="str">
        <f t="shared" si="508"/>
        <v/>
      </c>
      <c r="HJ210" t="str">
        <f t="shared" si="509"/>
        <v/>
      </c>
      <c r="HK210" t="str">
        <f t="shared" si="510"/>
        <v/>
      </c>
      <c r="HL210">
        <f t="shared" si="511"/>
        <v>1</v>
      </c>
      <c r="HM210" t="str">
        <f>IF(HL210=1,"XT"&amp;COUNTIFS(A$3:A210,A210,HL$3:HL210,1),"")</f>
        <v>XT26</v>
      </c>
      <c r="HN210" t="str">
        <f t="shared" si="512"/>
        <v/>
      </c>
      <c r="HO210" t="str">
        <f t="shared" si="513"/>
        <v>QFD26</v>
      </c>
      <c r="HP210" t="str">
        <f t="shared" si="514"/>
        <v/>
      </c>
      <c r="HQ210" t="str">
        <f t="shared" si="515"/>
        <v>ok</v>
      </c>
      <c r="HR210" t="str">
        <f>IF(OR(HJ210="",HH210=""),"",IF(HJ210+MAX(0,GY210-1)&gt;IFERROR(VLOOKUP(HI210,Модули_спр,3,FALSE),99),"ЛИШНИЙ КАНАЛ",IF(AND(AL210&lt;&gt;"=",GY210&gt;0,COUNTIFS(Линии[_модуль гр.],HH210,Линии[Канал (итог)],HJ210,Линии[Канал],"&lt;&gt;=",Линии[Щит],A210)&gt;1),"ДУБЛЬ КАНАЛА","")))</f>
        <v/>
      </c>
      <c r="HS210" s="6" t="str">
        <f t="shared" si="516"/>
        <v/>
      </c>
      <c r="HT210">
        <f t="shared" si="517"/>
        <v>10</v>
      </c>
      <c r="HU210" t="str">
        <f t="shared" si="518"/>
        <v/>
      </c>
      <c r="HV210">
        <f t="shared" si="519"/>
        <v>1.0569634129164875</v>
      </c>
      <c r="HW210">
        <f t="shared" si="520"/>
        <v>0</v>
      </c>
      <c r="HX210">
        <f t="shared" si="521"/>
        <v>0</v>
      </c>
      <c r="HY210">
        <f t="shared" si="522"/>
        <v>0</v>
      </c>
      <c r="HZ210">
        <f t="shared" si="523"/>
        <v>0</v>
      </c>
      <c r="IA210">
        <f t="shared" si="524"/>
        <v>0</v>
      </c>
      <c r="IB210">
        <f t="shared" si="525"/>
        <v>0</v>
      </c>
      <c r="IC210" t="str">
        <f t="shared" si="526"/>
        <v/>
      </c>
      <c r="ID210" t="str" cm="1">
        <f t="array" ref="ID210">IF(IC210="","",_xlfn.LET(_xlpm.tk,_xlfn.TEXTSPLIT(SUBSTITUTE(SUBSTITUTE(IC210,";"," "),"→"," ")," ",,TRUE),_xlpm.w_,_xlfn._xlws.FILTER(_xlpm.tk,ISNUMBER(--LEFT(_xlpm.tk,1))*((ISNUMBER(SEARCH("W",_xlpm.tk))+ISNUMBER(SEARCH("Вт",_xlpm.tk)))&gt;0),""),IFERROR(--SUBSTITUTE(SUBSTITUTE(UPPER(INDEX(_xlpm.w_,1)),"W",""),"ВТ",""),"")))</f>
        <v/>
      </c>
      <c r="IE210" t="str" cm="1">
        <f t="array" ref="IE210">IF(IC210="","",_xlfn.LET(_xlpm.tk,_xlfn.TEXTSPLIT(SUBSTITUTE(SUBSTITUTE(IC210,";"," "),"→"," ")," ",,TRUE),_xlpm.v_,_xlfn._xlws.FILTER(_xlpm.tk,ISNUMBER(--LEFT(_xlpm.tk,1))*((ISNUMBER(SEARCH("V",_xlpm.tk))+(RIGHT(UPPER(_xlpm.tk))="В"))&gt;0),""),IFERROR(--SUBSTITUTE(SUBSTITUTE(UPPER(INDEX(_xlpm.v_,1)),"V",""),"В",""),"")))</f>
        <v/>
      </c>
      <c r="IF210" s="6" t="str">
        <f>IF(OR(BV210=0,HI210="",HJ210=""),"",IFERROR(N(_xlfn.XLOOKUP(HI210,Каталог!$C$4:$C$500,Каталог!$Q$4:$Q$500)),""))</f>
        <v/>
      </c>
      <c r="IG210" s="6" t="str">
        <f>IF(N(IF210)=0,"",SUMIFS(Линии[Iр, А],Линии[Щит],A210,Линии[_модуль гр.],HH210,Линии[Канал (итог)],HJ210))</f>
        <v/>
      </c>
      <c r="IH210" t="str">
        <f>IF(AND(B210="",HO210=""),"",_xlfn.TEXTJOIN("; ",TRUE,IF(AND(B210&lt;&gt;"",FV210=""),"нет фазы",""),IF(AND(B210&lt;&gt;"",N(GL210)=0,FG210&lt;&gt;"Нет"),"нет мощности",""),IF(AND(HN210&lt;&gt;"",COUNTIFS(Линии[Щит],A210,Линии[Клемма (итог)],HN210)&gt;1),"дубль клеммы "&amp;HN210,""),IF(AND(HQ210&lt;&gt;"",HQ210&lt;&gt;"ok"),HQ210,""),IF(HR210&lt;&gt;"",HR210,""),IF(AND(N(CB210)&gt;=4,N(BX210)=1),CB210&amp;" жил на 1 фазе",""),IF(AND(BC210="R",CG210=1,IF(CS210&lt;&gt;"",N(CV210)&gt;30,OR(N(DA210)=0,N(DA210)&gt;30))),"розетка без дифзащиты до 30 мА",""),IF(AND(CG210=1,N(DA210)&gt;0,ISNUMBER(T210)),IF(T210&gt;N(DA210)/3,"ток утечки "&amp;FIXED(T210,1)&amp;" мА &gt; 1/3 уставки ("&amp;DA210&amp;" мА)",""),""),IF(AND(CH210=1,CS210=""),"«узо»: нет строки с УЗО выше (УЗО 2P 40А 30мА в «Аппаратах»)",""),IF(AND(CS210&lt;&gt;"",CS210=BA210),IF(CT210="","впишите номинал УЗО (УЗО 2P 40А 30мА)",IF(N(CT210)&lt;N(DT210),"УЗО "&amp;CT210&amp;" А &lt; автомата "&amp;DT210&amp;" А перед ним",IF(N(CT210)&lt;N(CX210),"УЗО "&amp;CT210&amp;" А &lt; тока блока "&amp;FIXED(CX210,1)&amp;" А",""))),""),IF(AND(CS210&lt;&gt;"",CS210=BA210,ISNUMBER(CY210)),IF(CY210&gt;N(CV210)/3,"ток утечки блока УЗО "&amp;FIXED(CY210,1)&amp;" мА &gt; 1/3 уставки ("&amp;CV210&amp;" мА)",""),""),IF(AND(CG210=1,N(BV210)+N(IB210)&gt;0,IC210=""),"линии до 50 В без БП: впишите в «Аппараты» (БП 24V 480W)",""),IF(AND(CG210=1,ISNUMBER(ID210),ISNUMBER(U210)),IF(U210&gt;ID210,"БП "&amp;ID210&amp;" Вт &lt; нужно "&amp;U210&amp;" Вт (×"&amp;Запас_БП&amp;")",""),""),IF(AND(CG210=1,ISNUMBER(IE210),N(BV210)=1),IF(IE210&lt;&gt;N(BU210),"БП на "&amp;IE210&amp;" В, линия "&amp;BU210&amp;" В",""),""),IF(AND(N(IF210)&gt;0,N(IG210)&gt;N(IF210)),HH210&amp;" канал "&amp;HJ210&amp;": "&amp;FIXED(IG210,1)&amp;" А &gt; "&amp;IF210&amp;" А",""),IFERROR(IF(AND(ISNUMBER(Q210),Q210&gt;EL210),"потери "&amp;FIXED(Q210,1)&amp;" % &gt; "&amp;EL210&amp;" %",""),""),IFERROR(IF(LEFT(HU210,4)="мало","Iкз мало — отключение &gt; 0,4 с",""),""),IF(AND(B210&lt;&gt;"",BM210=""),"не на схеме",""),IF(AND(CG210=0,B210&lt;&gt;"",FV210&lt;&gt;"",IF(BA210=1,"",FW209)&lt;&gt;"",FV210&lt;&gt;IF(BA210=1,"",FW209)),"фаза не как у автомата группы ("&amp;IF(BA210=1,"",FW209)&amp;")","")))</f>
        <v/>
      </c>
      <c r="II210" s="6">
        <f>IF(OR(CG210=0,DQ210=""),"",_xlfn.LET(_xlpm.t,IFERROR(_xlfn.XLOOKUP(DQ210,Каталог!$U$4:$U$500,Каталог!$G$4:$G$500),""),_xlpm.k,SEARCH("кА",_xlpm.t),IFERROR(--TRIM(RIGHT(SUBSTITUTE(MID(_xlpm.t,MAX(1,_xlpm.k-4),_xlpm.k-MAX(1,_xlpm.k-4))," ",REPT(" ",9)),5)),"")))</f>
        <v>6</v>
      </c>
      <c r="IJ210" t="str">
        <f>IF(OR(II210="",CG210=0),"",IF(_xlfn.XLOOKUP(A210,Щиты[Щит],Щиты[Iкз max на шинах, кА],"")="","",IF(II210&lt;_xlfn.XLOOKUP(A210,Щиты[Щит],Щиты[Iкз max на шинах, кА]),"Icu "&amp;II210&amp;" кА &lt; Iкз max","ok")))</f>
        <v/>
      </c>
      <c r="IK210" t="str">
        <f t="shared" si="527"/>
        <v/>
      </c>
      <c r="IL210" t="str">
        <f t="shared" si="528"/>
        <v>QFD26</v>
      </c>
      <c r="IM210" t="str">
        <f t="shared" si="529"/>
        <v>QFD26|кабель ВВГнг(А)-LS (3х2,5) → Розеточная группа Цокольный этаж Пом. №013Б Полотенцесушитель</v>
      </c>
      <c r="IN210" t="str" cm="1">
        <f t="array" ref="IN210">IF(IM210="","",_xlfn.LET(_xlpm.nd,_xlfn.TEXTSPLIT(IM210,"|"),IF(COLUMNS(_xlpm.nd)&gt;1,A210&amp;"¦"&amp;INDEX(_xlpm.nd,1)&amp;"¦"&amp;INDEX(_xlpm.nd,2),"")))</f>
        <v>ЩР-01¦QFD26¦кабель ВВГнг(А)-LS (3х2,5) → Розеточная группа Цокольный этаж Пом. №013Б Полотенцесушитель</v>
      </c>
      <c r="IO210" t="str">
        <f t="shared" si="530"/>
        <v>R.0.013Б.3¦Розеточная группа Цокольный этаж Пом. №013Б Полотенцесушитель</v>
      </c>
      <c r="IP210" t="str" cm="1">
        <f t="array" ref="IP210">IF(IM210="","",_xlfn.LET(_xlpm.nd,_xlfn.TEXTSPLIT(IM210,"|"),IF(COLUMNS(_xlpm.nd)&gt;2,A210&amp;"¦"&amp;INDEX(_xlpm.nd,2)&amp;"¦"&amp;INDEX(_xlpm.nd,3),"")))</f>
        <v/>
      </c>
      <c r="IQ210" t="str">
        <f t="shared" si="531"/>
        <v/>
      </c>
      <c r="IR210" t="str" cm="1">
        <f t="array" ref="IR210">IF(IM210="","",_xlfn.LET(_xlpm.nd,_xlfn.TEXTSPLIT(IM210,"|"),IF(COLUMNS(_xlpm.nd)&gt;3,A210&amp;"¦"&amp;INDEX(_xlpm.nd,3)&amp;"¦"&amp;INDEX(_xlpm.nd,4),"")))</f>
        <v/>
      </c>
      <c r="IS210" t="str">
        <f t="shared" si="532"/>
        <v/>
      </c>
      <c r="IT210" t="str" cm="1">
        <f t="array" ref="IT210">IF(IM210="","",_xlfn.LET(_xlpm.nd,_xlfn.TEXTSPLIT(IM210,"|"),IF(COLUMNS(_xlpm.nd)&gt;4,A210&amp;"¦"&amp;INDEX(_xlpm.nd,4)&amp;"¦"&amp;INDEX(_xlpm.nd,5),"")))</f>
        <v/>
      </c>
      <c r="IU210" t="str">
        <f t="shared" si="533"/>
        <v/>
      </c>
      <c r="IV210" t="str" cm="1">
        <f t="array" ref="IV210">IF(IM210="","",_xlfn.LET(_xlpm.nd,_xlfn.TEXTSPLIT(IM210,"|"),IF(COLUMNS(_xlpm.nd)&gt;5,A210&amp;"¦"&amp;INDEX(_xlpm.nd,5)&amp;"¦"&amp;INDEX(_xlpm.nd,6),"")))</f>
        <v/>
      </c>
      <c r="IW210" t="str">
        <f t="shared" si="534"/>
        <v/>
      </c>
      <c r="IX210" t="str" cm="1">
        <f t="array" ref="IX210">IF(IM210="","",_xlfn.LET(_xlpm.nd,_xlfn.TEXTSPLIT(IM210,"|"),IF(COLUMNS(_xlpm.nd)&gt;6,A210&amp;"¦"&amp;INDEX(_xlpm.nd,6)&amp;"¦"&amp;INDEX(_xlpm.nd,7),"")))</f>
        <v/>
      </c>
      <c r="IY210" t="str">
        <f t="shared" si="535"/>
        <v/>
      </c>
      <c r="IZ210" t="str">
        <f t="shared" si="536"/>
        <v/>
      </c>
      <c r="JA210" t="str">
        <f t="shared" si="537"/>
        <v>QFD26</v>
      </c>
      <c r="JB210">
        <f t="shared" si="538"/>
        <v>0</v>
      </c>
      <c r="JC210">
        <f t="shared" si="539"/>
        <v>1</v>
      </c>
      <c r="JD210" t="str">
        <f t="shared" si="540"/>
        <v/>
      </c>
      <c r="JE210" t="str">
        <f t="shared" si="541"/>
        <v/>
      </c>
      <c r="JF210" t="str">
        <f t="shared" si="542"/>
        <v/>
      </c>
      <c r="JG210" t="str">
        <f t="shared" si="543"/>
        <v/>
      </c>
      <c r="JH210" t="str">
        <f>IF(B210="","",IFERROR(_xlfn.XLOOKUP(B210,Коды_код,Коды_уго),IFERROR(_xlfn.XLOOKUP(BC210,Коды_код,Коды_уго),IFERROR(_xlfn.XLOOKUP(LEFT(BC210,2),Коды_код,Коды_уго),""))))</f>
        <v>Розетка</v>
      </c>
      <c r="JI210" t="str">
        <f>IF(B210="","",IF(OR(JH210="",JH210=0),"BOX",IFERROR(IF(VLOOKUP(JH210,УГО_блоки,3,FALSE)&amp;""&lt;&gt;"",VLOOKUP(JH210,УГО_блоки,3,FALSE),VLOOKUP(JH210,УГО_блоки,2,FALSE)),JH210)))</f>
        <v>SOCKET</v>
      </c>
      <c r="JJ210">
        <f t="shared" si="544"/>
        <v>1</v>
      </c>
      <c r="JK210" t="str">
        <f>IF(DQ210="","",IF(COUNTIF(DQ$3:DQ210,DQ210)=1,MAX(JK$2:JK209)+1,""))</f>
        <v/>
      </c>
      <c r="JL210" t="str">
        <f>IF(DE210="","",IF(COUNTIF(DE$3:DE210,DE210)+COUNTIF(DF$2:DF209,DE210)+COUNTIF(DG$2:DG209,DE210)=1,MAX(JL$2:JN209)+1,""))</f>
        <v/>
      </c>
      <c r="JM210" t="str">
        <f>IF(DF210="","",IF(COUNTIF(DE$3:DE210,DF210)+COUNTIF(DF$3:DF210,DF210)+COUNTIF(DG$2:DG209,DF210)=1,MAX(JL$2:JN209,JL210)+1,""))</f>
        <v/>
      </c>
      <c r="JN210" t="str">
        <f>IF(DG210="","",IF(COUNTIF(DE$3:DE210,DG210)+COUNTIF(DF$3:DF210,DG210)+COUNTIF(DG$3:DG210,DG210)=1,MAX(JL$2:JN209,JL210,JM210)+1,""))</f>
        <v/>
      </c>
      <c r="JO210" t="str">
        <f t="shared" si="545"/>
        <v>3х2,5</v>
      </c>
      <c r="JP210" t="str">
        <f>IF(JO210="","",IF(COUNTIF(JO$3:JO210,JO210)=1,MAX(JP$2:JP209)+1,""))</f>
        <v/>
      </c>
      <c r="JQ210" t="str">
        <f>IF(HG210="","",COUNTIF(HG$3:HG210,"?*"))</f>
        <v/>
      </c>
      <c r="JR210" t="str">
        <f>IF(OR(HG210="",HI210=""),"",IF(COUNTIFS(HG$3:HG210,"?*",HI$3:HI210,HI210)=1,MAX(JR$2:JR209)+1,""))</f>
        <v/>
      </c>
      <c r="JS210">
        <f t="shared" si="546"/>
        <v>0</v>
      </c>
      <c r="JT210">
        <f>IF(B210="","",COUNTIF(B$3:B210,"?*"))</f>
        <v>208</v>
      </c>
      <c r="JU210">
        <f>IF(HL210&lt;&gt;1,0,_xlfn.LET(_xlpm.k,MAX(IFERROR(--_xlfn.XLOOKUP(B210,Коды_код,Коды_3L),0),IFERROR(--_xlfn.XLOOKUP(BC210,Коды_код,Коды_3L),0),IFERROR(--_xlfn.XLOOKUP(LEFT(BC210,2),Коды_код,Коды_3L),0)),IF(_xlpm.k&gt;0,_xlpm.k,IF(IFERROR(--LEFT(SUBSTITUTE(JO210,"x","х"),FIND("х",SUBSTITUTE(JO210,"x","х"))-1),3)&gt;3,Каталог!$S$9,1))))</f>
        <v>1</v>
      </c>
      <c r="JV210">
        <f t="shared" si="547"/>
        <v>0</v>
      </c>
      <c r="JW210" t="str">
        <f t="shared" si="548"/>
        <v>авто</v>
      </c>
      <c r="JX210">
        <f t="shared" si="549"/>
        <v>30</v>
      </c>
      <c r="JY210">
        <f t="shared" si="550"/>
        <v>1</v>
      </c>
      <c r="JZ210">
        <f t="shared" si="551"/>
        <v>1</v>
      </c>
    </row>
    <row r="211" spans="1:286" x14ac:dyDescent="0.3">
      <c r="A211" t="s">
        <v>755</v>
      </c>
      <c r="B211" t="s">
        <v>1518</v>
      </c>
      <c r="C211" t="s">
        <v>1701</v>
      </c>
      <c r="D211">
        <v>1</v>
      </c>
      <c r="E211">
        <v>2.2000000000000002</v>
      </c>
      <c r="G211" t="str">
        <f>Линии[[#This Row],[_авто автомат]]</f>
        <v>2P С16А 30мА</v>
      </c>
      <c r="H211" t="str">
        <f>Линии[[#This Row],[_авто управление]]</f>
        <v/>
      </c>
      <c r="I211" t="str">
        <f>Линии[[#This Row],[_авто аппараты]]</f>
        <v/>
      </c>
      <c r="J211">
        <v>2.5</v>
      </c>
      <c r="K211">
        <v>55</v>
      </c>
      <c r="L211">
        <v>2</v>
      </c>
      <c r="M211" t="s">
        <v>484</v>
      </c>
      <c r="N211" t="str">
        <f t="shared" si="414"/>
        <v>потери 4,8 % &gt; 4 %</v>
      </c>
      <c r="O211" s="6" cm="1">
        <f t="array" ref="O211">IF(B211="","",IF(BH211&lt;&gt;"",IFERROR(_xlfn.XLOOKUP(BH211,Щиты[Щит],Щиты[Iр, А]),""),IF(BP211=1,IF(OR(N(_xlfn.XLOOKUP(A211,Щиты[Щит],Щиты[Вводов],1))&lt;=1,LOWER(TRIM(_xlfn.XLOOKUP(A211,Щиты[Щит],Щиты[АВР],"")&amp;""))="да"),IFERROR(_xlfn.XLOOKUP(A211,Щиты[Щит],Щиты[Iр, А]),""),IFERROR(N(BS211)*_xlfn.XLOOKUP(A211,Щиты[Щит],Щиты[Кс итог])/(SQRT(3)*Uн_лин*_xlfn.XLOOKUP(A211,Щиты[Щит],Щиты[cos φ])),"")),IF(BV211=1,IFERROR(BS211*1000/BU211,""),IFERROR(_xlfn.IFS(BX211=1,BS211/((Uн_лин/SQRT(3))*CE211),BX211=3,BS211/(SQRT(3)*Uн_лин*CE211)),"")))))</f>
        <v>10.027662570135606</v>
      </c>
      <c r="P211" s="7">
        <f>IF(B211="","",IFERROR(IF(VLOOKUP(BC211,Потребители_обозначение,4,FALSE)=1,VLOOKUP(BC211,Потребители_обозначение,3,FALSE)*(MAX(1,N(D211))*2-1)+EI211+VLOOKUP(BE211,Этаж_обозначение,3,FALSE)+VLOOKUP(BE211,Этаж_обозначение,4,FALSE),VLOOKUP(BC211,Потребители_обозначение,3,FALSE)*(MAX(1,N(D211))*2-1)+EI211),EI211))</f>
        <v>58</v>
      </c>
      <c r="Q211" s="6">
        <f t="shared" si="415"/>
        <v>4.76</v>
      </c>
      <c r="R211" t="str">
        <f t="shared" si="416"/>
        <v>ВВГнг(А)-LS (3х2,5)</v>
      </c>
      <c r="S211" t="str">
        <f>IF(BM211="","",IF(BN211="вводной узел","узел ","")&amp;"л."&amp;(INT((BM211-1)/Столбцов_на_лист)+1)&amp;" / "&amp;(MOD(BM211-1,Столбцов_на_лист)+1))</f>
        <v>л.3 / 5</v>
      </c>
      <c r="T211" s="119">
        <f t="shared" si="417"/>
        <v>4.5999999999999996</v>
      </c>
      <c r="U211" s="7" t="str">
        <f>IF(OR(CG211=0,N(BV211)+N(IB211)=0),"",ROUNDUP(Запас_БП*(N(HY211)+N(HZ211)),0))</f>
        <v/>
      </c>
      <c r="V211" s="119" t="str">
        <f t="shared" si="418"/>
        <v/>
      </c>
      <c r="W211" s="7" t="str">
        <f>IFERROR(IF(OR(B211="",BP211=1,BV211=1,NOT(ISNUMBER(EN211)),N(DT211)=0),"",MAX(0,ROUNDDOWN((c_min*(Uн_лин*1000/SQRT(3))/(HT211*N(DT211))-_xlfn.XLOOKUP(A211,Щиты[Щит],Щиты[Zпетли на шинах, Ом]))*EN211/(2*ρкз_Cu),0))),"")</f>
        <v/>
      </c>
      <c r="Y211">
        <f>Линии[[#This Row],[_авто утечка]]</f>
        <v>30</v>
      </c>
      <c r="Z211">
        <v>1</v>
      </c>
      <c r="AA211">
        <v>230</v>
      </c>
      <c r="AB211" t="s">
        <v>562</v>
      </c>
      <c r="AG211" t="s">
        <v>810</v>
      </c>
      <c r="AI211" t="s">
        <v>561</v>
      </c>
      <c r="AK211" t="str">
        <f>Линии[[#This Row],[_авто модуль]]</f>
        <v/>
      </c>
      <c r="AM211">
        <v>39</v>
      </c>
      <c r="AN211" t="s">
        <v>11</v>
      </c>
      <c r="AO211">
        <v>3</v>
      </c>
      <c r="AQ211">
        <v>44</v>
      </c>
      <c r="AR211">
        <v>14</v>
      </c>
      <c r="AS211">
        <v>0</v>
      </c>
      <c r="BA211" cm="1">
        <f t="array" ref="BA211">ROW()-ROW(Линии[#Headers])</f>
        <v>209</v>
      </c>
      <c r="BC211" s="6" t="str">
        <f t="shared" si="419"/>
        <v>R</v>
      </c>
      <c r="BD211" t="str">
        <f t="shared" si="420"/>
        <v>0.013Б.4</v>
      </c>
      <c r="BE211" t="str">
        <f t="shared" si="421"/>
        <v>0</v>
      </c>
      <c r="BF211" t="str">
        <f t="shared" si="422"/>
        <v>013Б.4</v>
      </c>
      <c r="BG211" t="str">
        <f t="shared" si="423"/>
        <v>013Б</v>
      </c>
      <c r="BH211" t="str">
        <f>IF(X211&lt;&gt;"",X211,IF(AND(B211&lt;&gt;"",B211&lt;&gt;A211,ISNUMBER(_xlfn.XMATCH(B211,Щиты[Щит]))),B211,""))</f>
        <v/>
      </c>
      <c r="BI211" t="str" cm="1">
        <f t="array" ref="BI211">IF(B211="","",IF(BH211&lt;&gt;"","Щит "&amp;BH211,_xlfn.LET(_xlpm.nm,IFERROR(_xlfn.XLOOKUP(BC211,Коды_код,Коды_имя)&amp;"",""),_xlpm.md,IFERROR(N(_xlfn.XLOOKUP(BC211,Коды_код,Коды_режим)),1),_xlpm.ex,IF(Имя_режим="по экспликации",IFERROR(_xlfn.XLOOKUP(BE211&amp;"|"&amp;BG211,Экспликация[Этаж]&amp;"|"&amp;Экспликация[Помещение],Экспликация[Название])&amp;"",""),""),_xlpm.rm,IF(BG211="","",IF(_xlpm.ex&lt;&gt;"",". "&amp;_xlpm.ex&amp;IF(Имя_пом="нет"," ("&amp;BG211&amp;")"," (пом. "&amp;BG211&amp;")"),IF(Имя_пом="нет"," ",", пом. ")&amp;BG211)),IF(_xlpm.nm="","",IF(_xlpm.md=2,_xlpm.nm&amp;" шлейф "&amp;BE211,_xlpm.nm&amp;_xlpm.rm)))))</f>
        <v>Розеточная группа, пом. 013Б</v>
      </c>
      <c r="BJ211" t="str">
        <f t="shared" si="424"/>
        <v>Розеточная группа Цокольный этаж Пом. №013Б Сушильная машина</v>
      </c>
      <c r="BK211">
        <f>IFERROR(_xlfn.XMATCH(A211,Щиты[Щит]),0)</f>
        <v>9</v>
      </c>
      <c r="BL211">
        <f>_xlfn.LET(_xlpm.k,IFERROR(_xlfn.XLOOKUP(A211,Щиты[Щит],Щиты[Мест под вводной узел]),""),IF(_xlpm.k="",Столбцов_на_лист,N(_xlpm.k)))</f>
        <v>8</v>
      </c>
      <c r="BM211">
        <f t="shared" si="425"/>
        <v>39</v>
      </c>
      <c r="BN211" t="str">
        <f t="shared" si="426"/>
        <v>линии</v>
      </c>
      <c r="BO211" s="6">
        <f>IFERROR(N(_xlfn.XLOOKUP(BC211,Коды_код,Коды_квт)),0)</f>
        <v>0</v>
      </c>
      <c r="BP211">
        <f t="shared" si="427"/>
        <v>0</v>
      </c>
      <c r="BQ211" t="str">
        <f>IF(B211="","",IF(BH211&lt;&gt;"",IFERROR(_xlfn.XLOOKUP(BH211,Щиты[Щит],Щиты[Руст, кВт]),0),IF(BP211=1,IF(OR(N(_xlfn.XLOOKUP(A211,Щиты[Щит],Щиты[Вводов],1))&lt;=1,LOWER(TRIM(_xlfn.XLOOKUP(A211,Щиты[Щит],Щиты[АВР],"")&amp;""))="да"),IFERROR(_xlfn.XLOOKUP(A211,Щиты[Щит],Щиты[Руст, кВт]),0),SUMIFS(Линии[_Р для вводов],Линии[Щит],A211,Линии[Источник для режимов],GF211)),IF(BO211&gt;0,ROUND(BO211*MAX(1,N(D211)),3),""))))</f>
        <v/>
      </c>
      <c r="BR211">
        <f t="shared" si="428"/>
        <v>2.2000000000000002</v>
      </c>
      <c r="BS211" s="6">
        <f>IF(B211="","",IF(BH211&lt;&gt;"",IFERROR(_xlfn.XLOOKUP(BH211,Щиты[Щит],Щиты[Руст, кВт]),0),N(BR211)))</f>
        <v>2.2000000000000002</v>
      </c>
      <c r="BT211" t="str">
        <f>IF(B211="","",IFERROR(IF(VLOOKUP(BC211,Потребители_обозначение,8,FALSE)=0,"",VLOOKUP(BC211,Потребители_обозначение,8,FALSE)),""))</f>
        <v/>
      </c>
      <c r="BU211">
        <f t="shared" si="429"/>
        <v>230</v>
      </c>
      <c r="BV211">
        <f t="shared" si="430"/>
        <v>0</v>
      </c>
      <c r="BW211">
        <f>IF(B211="","",IF(BH211&lt;&gt;"",3,IFERROR(IF(N(VLOOKUP(BC211,Потребители_обозначение,9,FALSE))=0,1,VLOOKUP(BC211,Потребители_обозначение,9,FALSE)),1)))</f>
        <v>1</v>
      </c>
      <c r="BX211">
        <f t="shared" si="431"/>
        <v>1</v>
      </c>
      <c r="BY211" t="str">
        <f>IF(B211="","",_xlfn.LET(_xlpm.bc,IFERROR(IF(VLOOKUP(BC211,Потребители_обозначение,6,FALSE)=0,"",VLOOKUP(BC211,Потребители_обозначение,6,FALSE)&amp;""),""),IF(AND(GA211="да",OR(_xlpm.bc="",_xlpm.bc="мс")),Марка_пож,IF(AND(_xlpm.bc="",BH211&lt;&gt;""),"мс",_xlpm.bc))))</f>
        <v/>
      </c>
      <c r="BZ211" t="str">
        <f t="shared" si="432"/>
        <v>мс</v>
      </c>
      <c r="CA211">
        <f>IF(B211="","",_xlfn.LET(_xlpm.cc,IFERROR(N(VLOOKUP(BC211,Потребители_обозначение,7,FALSE)),0),IF(_xlpm.cc&gt;0,_xlpm.cc,IF(BZ211="","",IF(BV211=1,2,IF(N(BX211)=3,5,3))))))</f>
        <v>3</v>
      </c>
      <c r="CB211">
        <f t="shared" si="433"/>
        <v>3</v>
      </c>
      <c r="CC211">
        <f>IFERROR(N(VLOOKUP(BC211,Потребители_обозначение,10,FALSE)),0)</f>
        <v>0</v>
      </c>
      <c r="CD211">
        <f>IFERROR(VLOOKUP(BC211,Потребители_обозначение,5,FALSE),0)</f>
        <v>1</v>
      </c>
      <c r="CE211" s="6" cm="1">
        <f t="array" ref="CE211">IF(B211="","",IF(BH211&lt;&gt;"",IFERROR(_xlfn.XLOOKUP(BH211,Щиты[Щит],Щиты[cos φ]),0.95),IF(BP211=1,IFERROR(_xlfn.XLOOKUP(A211,Щиты[Щит],Щиты[cos φ]),0.95),IF(ISNUMBER(AD211),AD211,IFERROR(IF(CD211=2,_xlfn.IFS(BX211=3,VLOOKUP(BS211,Справочная_двигатели,8,FALSE),BX211=1,VLOOKUP(BS211,Справочная_двигатели,10,TRUE)),IF(AND(Методика="нормы 2026",FG211="Сил"),0.8,0.95)),0.95)))))</f>
        <v>0.95</v>
      </c>
      <c r="CF211">
        <f t="shared" si="434"/>
        <v>0</v>
      </c>
      <c r="CG211">
        <f t="shared" si="435"/>
        <v>1</v>
      </c>
      <c r="CH211">
        <f t="shared" si="436"/>
        <v>0</v>
      </c>
      <c r="CI211">
        <f>IF(B211="","",IF(BV211=1,IFERROR(BS211/((Uн_лин/SQRT(3))*MAX(0.5,N(CE211))),0),N(O211)))</f>
        <v>10.027662570135606</v>
      </c>
      <c r="CJ211">
        <f t="shared" si="437"/>
        <v>0</v>
      </c>
      <c r="CK211">
        <f t="shared" si="438"/>
        <v>0</v>
      </c>
      <c r="CL211">
        <f t="shared" si="439"/>
        <v>0</v>
      </c>
      <c r="CM211">
        <f t="shared" si="440"/>
        <v>0</v>
      </c>
      <c r="CN211">
        <f t="shared" si="441"/>
        <v>0</v>
      </c>
      <c r="CO211">
        <f>IF(BC211="",0,_xlfn.LET(_xlpm.v,IFERROR(_xlfn.XLOOKUP(B211,Коды_код,Коды_мА),IFERROR(_xlfn.XLOOKUP(BC211,Коды_код,Коды_мА),IFERROR(_xlfn.XLOOKUP(LEFT(BC211,2),Коды_код,Коды_мА),""))),IF(_xlpm.v="да",30,IF(ISNUMBER(_xlpm.v),_xlpm.v,0))))</f>
        <v>30</v>
      </c>
      <c r="CP211">
        <f t="shared" si="442"/>
        <v>30</v>
      </c>
      <c r="CQ211" t="str">
        <f>_xlfn.LET(_xlpm.k,IFERROR(_xlfn.XLOOKUP(BC211,Коды_код,Коды_утечка)&amp;"",""),IF(_xlpm.k="","дифавтомат",_xlpm.k))</f>
        <v>дифавтомат</v>
      </c>
      <c r="CR211" t="str" cm="1">
        <f t="array" ref="CR211">IF(CG211=0,"",_xlfn.LET(_xlpm.sg,TRIM(_xlfn.TEXTSPLIT(DD211&amp;"",";")),_xlpm.f_,_xlfn._xlws.FILTER(_xlpm.sg,LEFT(_xlpm.sg,3)="УЗО",""),IFERROR(INDEX(_xlpm.f_,1)&amp;"","")))</f>
        <v/>
      </c>
      <c r="CS211" t="str">
        <f t="shared" si="443"/>
        <v/>
      </c>
      <c r="CT211" s="6" t="str" cm="1">
        <f t="array" ref="CT211">IF(CR211="","",_xlfn.LET(_xlpm.tk,_xlfn.TEXTSPLIT(UPPER(CR211)," ",,TRUE),_xlpm.a_,_xlfn._xlws.FILTER(_xlpm.tk,ISNUMBER(--LEFT(_xlpm.tk,1))*((ISNUMBER(SEARCH("А",_xlpm.tk))+ISNUMBER(SEARCH("A",_xlpm.tk)))&gt;0)*NOT(ISNUMBER(SEARCH("МА",_xlpm.tk)))*NOT(ISNUMBER(SEARCH("MA",_xlpm.tk))),""),IFERROR(--SUBSTITUTE(SUBSTITUTE(INDEX(_xlpm.a_,1),"А",""),"A",""),"")))</f>
        <v/>
      </c>
      <c r="CU211" t="str" cm="1">
        <f t="array" ref="CU211">IF(CR211="","",_xlfn.LET(_xlpm.tk,_xlfn.TEXTSPLIT(UPPER(CR211)," ",,TRUE),_xlpm.a_,_xlfn._xlws.FILTER(_xlpm.tk,ISNUMBER(--LEFT(_xlpm.tk,1))*((ISNUMBER(SEARCH("МА",_xlpm.tk))+ISNUMBER(SEARCH("MA",_xlpm.tk)))&gt;0),""),IFERROR(--SUBSTITUTE(SUBSTITUTE(INDEX(_xlpm.a_,1),"МА",""),"MA",""),30)))</f>
        <v/>
      </c>
      <c r="CV211" t="str">
        <f>IF(CS211="","",IFERROR(_xlfn.XLOOKUP(CS211,Линии[_n],Линии[_УЗО, мА]),30))</f>
        <v/>
      </c>
      <c r="CW211">
        <f>IF(CS211="",0,IF(ISNUMBER(SEARCH("4P",IFERROR(_xlfn.XLOOKUP(CS211,Линии[_n],Линии[_УЗО строки])&amp;"",""))),0,1))</f>
        <v>0</v>
      </c>
      <c r="CX211" t="str">
        <f>IF(AND(CS211&lt;&gt;"",CS211=BA211),SUMIFS(Линии[_ток на 230 В],Линии[_блок УЗО],BA211,Линии[Щит],A211),"")</f>
        <v/>
      </c>
      <c r="CY211" t="str">
        <f>IF(AND(CS211&lt;&gt;"",CS211=BA211),SUMIFS(Линии[_ток утечки линии, мА],Линии[_блок УЗО],BA211,Линии[Щит],A211),"")</f>
        <v/>
      </c>
      <c r="CZ211">
        <f t="shared" si="444"/>
        <v>30</v>
      </c>
      <c r="DA211">
        <f t="shared" si="445"/>
        <v>30</v>
      </c>
      <c r="DB211">
        <f>IF(B211="",0,IFERROR(--_xlfn.XLOOKUP(B211,Коды_код,Коды_минавт),IFERROR(--_xlfn.XLOOKUP(BC211,Коды_код,Коды_минавт),IFERROR(--_xlfn.XLOOKUP(LEFT(BC211,2),Коды_код,Коды_минавт),0))))</f>
        <v>16</v>
      </c>
      <c r="DC211" t="str">
        <f>IF(B211="","",IFERROR(_xlfn.XLOOKUP(BC211,Коды_код,Коды_апп)&amp;"",""))</f>
        <v/>
      </c>
      <c r="DD211" t="str">
        <f t="shared" si="446"/>
        <v/>
      </c>
      <c r="DE211" t="str" cm="1">
        <f t="array" ref="DE211">IF(TRIM(DD211&amp;"")="","",IFERROR(TRIM(INDEX(_xlfn.TEXTSPLIT(DD211&amp;";;;",";"),1)),""))</f>
        <v/>
      </c>
      <c r="DF211" t="str" cm="1">
        <f t="array" ref="DF211">IF(TRIM(DD211&amp;"")="","",IFERROR(TRIM(INDEX(_xlfn.TEXTSPLIT(DD211&amp;";;;",";"),2)),""))</f>
        <v/>
      </c>
      <c r="DG211" t="str" cm="1">
        <f t="array" ref="DG211">IF(TRIM(DD211&amp;"")="","",IFERROR(TRIM(INDEX(_xlfn.TEXTSPLIT(DD211&amp;";;;",";"),3)),""))</f>
        <v/>
      </c>
      <c r="DH211">
        <f t="shared" si="447"/>
        <v>0</v>
      </c>
      <c r="DI211" t="str">
        <f>IF(B211="","",_xlfn.LET(_xlpm.t,LOWER(AZ211&amp;""),IF(ISNUMBER(SEARCH("dim",_xlpm.t)),"DIM",IF(ISNUMBER(SEARCH("dali",_xlpm.t)),"DALI",IF(OR(ISNUMBER(SEARCH("relay",_xlpm.t)),ISNUMBER(SEARCH("реле",_xlpm.t))),"Relay",IF(ISNUMBER(SEARCH("кнопк",_xlpm.t)),"",IFERROR(_xlfn.XLOOKUP(BC211,Коды_код,Коды_упр)&amp;"","")))))))</f>
        <v/>
      </c>
      <c r="DJ211" t="str">
        <f t="shared" si="448"/>
        <v/>
      </c>
      <c r="DK211">
        <f>IF(B211="","",_xlfn.LET(_xlpm.ig,IF(N(CX211)&gt;0,N(CX211),N(CI211)+IF(AJ211="вручную",0,N(CJ211))),_xlpm.n0,IFERROR(VLOOKUP(_xlpm.ig,Автомат_номиналы,2,TRUE),0),_xlpm.mn,MAX(DB211,IF(AJ211="вручную",0,N(CM211))),MAX(_xlpm.n0,_xlpm.mn,IF(DH211=1,Мин_автомат_БП,0))))</f>
        <v>16</v>
      </c>
      <c r="DL211">
        <f t="shared" si="449"/>
        <v>1</v>
      </c>
      <c r="DM211" t="str">
        <f t="shared" si="450"/>
        <v>2P</v>
      </c>
      <c r="DN211" t="str">
        <f>_xlfn.LET(_xlpm.cc,UPPER(TRIM(IFERROR(_xlfn.XLOOKUP(BC211,Коды_код,Коды_хар)&amp;"",""))),IF(OR(_xlpm.cc="B",_xlpm.cc="В"),"B",IF(_xlpm.cc="D","D","С")))</f>
        <v>С</v>
      </c>
      <c r="DO211" t="str">
        <f t="shared" si="451"/>
        <v>2P С16А 30мА</v>
      </c>
      <c r="DP211" t="str">
        <f t="shared" si="452"/>
        <v>2P С16А 30мА</v>
      </c>
      <c r="DQ211" t="str">
        <f t="shared" si="453"/>
        <v>2P С16А 30мА</v>
      </c>
      <c r="DR211" cm="1">
        <f t="array" ref="DR211">IF(DQ211="","",_xlfn.LET(_xlpm.t,SUBSTITUTE(SUBSTITUTE(SUBSTITUTE(UPPER(DQ211),"С","C"),"А","A"),"В","B"),_xlpm.tk,_xlfn.TEXTSPLIT(_xlpm.t," "),_xlpm.f,_xlfn._xlws.FILTER(_xlpm.tk,ISNUMBER(--MID(_xlpm.tk,2,1))*ISNUMBER(SEARCH(LEFT(_xlpm.tk,1)&amp;"#","B#C#D#"))*(LEN(_xlpm.tk)&gt;1),""),_xlpm.x,INDEX(_xlpm.f,1),IFERROR(--SUBSTITUTE(MID(_xlpm.x,2,9),"A",""),IFERROR(--SUBSTITUTE(INDEX(_xlfn._xlws.FILTER(_xlpm.tk,ISNUMBER(--SUBSTITUTE(_xlpm.tk,"A","")),""),1),"A",""),""))))</f>
        <v>16</v>
      </c>
      <c r="DS211" t="str">
        <f t="shared" si="454"/>
        <v>ok</v>
      </c>
      <c r="DT211">
        <f t="shared" si="455"/>
        <v>16</v>
      </c>
      <c r="DU211" t="str">
        <f t="shared" si="456"/>
        <v>2P С16А 30мА</v>
      </c>
      <c r="DV211">
        <f t="shared" si="457"/>
        <v>30</v>
      </c>
      <c r="DW211">
        <f t="shared" si="458"/>
        <v>1</v>
      </c>
      <c r="DX211">
        <f t="shared" si="459"/>
        <v>0</v>
      </c>
      <c r="DY211">
        <f t="shared" si="460"/>
        <v>10.027662570135606</v>
      </c>
      <c r="DZ211">
        <f t="shared" si="461"/>
        <v>1</v>
      </c>
      <c r="EA211">
        <f>IF(ISNUMBER(AP211),AP211,К_прокл)</f>
        <v>1</v>
      </c>
      <c r="EB211">
        <f t="shared" si="462"/>
        <v>2</v>
      </c>
      <c r="EC211">
        <f>IFERROR(N(VLOOKUP(BZ211,Кабель_обозначение,3,FALSE)),1)</f>
        <v>1</v>
      </c>
      <c r="ED211">
        <f>IFERROR(N(_xlfn.XLOOKUP(A211,Щиты[Щит],Щиты[ΔU до шин, %])),0)</f>
        <v>0.43</v>
      </c>
      <c r="EE211" t="str">
        <f>IFERROR(_xlfn.XLOOKUP(A211,Щиты[Щит],Щиты[Zпетли на шинах, Ом]),"")</f>
        <v/>
      </c>
      <c r="EF211">
        <f>IFERROR(N(_xlfn.XLOOKUP(A211,Щиты[Щит],Щиты[ΔU до шин (подбор), %])),0)</f>
        <v>0.43</v>
      </c>
      <c r="EG211" t="str">
        <f>IFERROR(_xlfn.XLOOKUP(A211,Щиты[Щит],Щиты[Zпетли на шинах (подбор), Ом]),"")</f>
        <v/>
      </c>
      <c r="EH211" t="str">
        <f t="shared" si="463"/>
        <v/>
      </c>
      <c r="EI211">
        <f t="shared" si="464"/>
        <v>55</v>
      </c>
      <c r="EJ211">
        <f t="shared" si="465"/>
        <v>2</v>
      </c>
      <c r="EK211">
        <f t="shared" si="466"/>
        <v>0.31</v>
      </c>
      <c r="EL211" s="6">
        <f>IF(B211="","",IF(BV211=1,dU_LED,IF(IFERROR(_xlfn.XLOOKUP(BC211,Коды_код,Коды_уго),"")="Светильник",3,4)+IF(Методика="нормы 2026",MIN(0.5,MAX(0,N(P211)-100)*0.005),0)))</f>
        <v>4</v>
      </c>
      <c r="EM211" cm="1">
        <f t="array" ref="EM211">IF(OR(B211="",BZ211="",EC211&lt;&gt;1),"",_xlfn.LET(_xlpm.sz,Iдоп_S,_xlpm.t_,CHOOSE(EB211,Iдоп_1ж,Iдоп_2ж,Iдоп_3ж)*DZ211*EA211,_xlpm.dcx,BV211=1,_xlpm.inn,IF(_xlpm.dcx,N(O211),N(DT211)),_xlpm.smin,MAX(1.5,CC211),_xlpm.L_,N(P211)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211)/N(BU211)*100,999),IFERROR(N(EJ211)*(_xlpm.rho*_xlpm.L_/_xlpm.sz*N(CE211)+_xlpm.xx*_xlpm.L_*N(EK211)/1000)*N(O211)/((Uн_лин/SQRT(3))*1000)*100,999)),_xlpm.kz,IF(OR(_xlpm.dcx,DW211=1,NOT(ISNUMBER(EG211)),_xlpm.L_=0,_xlpm.inn=0),1,IFERROR(--(c_min*(Uн_лин*1000/SQRT(3))/(EG211+2*ρкз_Cu*_xlpm.L_/_xlpm.sz)&gt;=HT211*_xlpm.inn),0)),_xlpm.ok,IFERROR((_xlpm.sz&gt;=_xlpm.smin)*(_xlpm.t_&gt;=_xlpm.inn)*IF(_xlpm.L_&gt;0,(_xlpm.du_+IF(_xlpm.dcx,0,EF211)&lt;=EL211+0.00001),1)*_xlpm.kz,0),_xlpm.r_,_xlfn._xlws.FILTER(_xlpm.sz,_xlpm.ok,"не подобрано"),INDEX(_xlpm.r_,1)))</f>
        <v>4</v>
      </c>
      <c r="EN211">
        <f t="shared" si="467"/>
        <v>2.5</v>
      </c>
      <c r="EO211" cm="1">
        <f t="array" ref="EO211">IF(OR(B211="",BZ211="",EC211&lt;&gt;1),"",_xlfn.LET(_xlpm.sz,Iдоп_S,_xlpm.t_,CHOOSE(EB211,Iдоп_1ж,Iдоп_2ж,Iдоп_3ж)*DZ211*EA211,_xlpm.ok,IFERROR((_xlpm.sz&gt;=MAX(1.5,CC211))*(_xlpm.t_&gt;=N(DT211)),0),_xlpm.r_,_xlfn._xlws.FILTER(_xlpm.sz,_xlpm.ok,""),INDEX(_xlpm.r_,1)))</f>
        <v>1.5</v>
      </c>
      <c r="EP211" s="6" cm="1">
        <f t="array" ref="EP211">IFERROR(ROUNDUP(N(EJ211)*(_xlfn.XLOOKUP(EO211,INDEX(Кабель_сопротивление,0,1),INDEX(Кабель_сопротивление,0,3))*N(P211)/EO211*N(CE211)+_xlfn.XLOOKUP(EO211,INDEX(Кабель_сопротивление,0,1),INDEX(Кабель_сопротивление,0,2))*N(P211)*N(EK211)/1000)*N(O211)/((Uн_лин/SQRT(3))*1000)*100,2),"")</f>
        <v>7.2</v>
      </c>
      <c r="EQ211">
        <f>IFERROR(2*ρкз_Cu*N(P211)/EO211,"")</f>
        <v>2.0338666666666669</v>
      </c>
      <c r="ER211">
        <f>IFERROR(VLOOKUP(EN211,Кабель_сопротивление,3,FALSE),"")</f>
        <v>2.2499999999999999E-2</v>
      </c>
      <c r="ES211">
        <f>IFERROR(VLOOKUP(EN211,Кабель_сопротивление,2,FALSE),"")</f>
        <v>0.1</v>
      </c>
      <c r="ET211">
        <f t="shared" si="468"/>
        <v>14</v>
      </c>
      <c r="EU211">
        <f t="shared" si="469"/>
        <v>0</v>
      </c>
      <c r="EV211">
        <f t="shared" si="470"/>
        <v>9.9814952116627023</v>
      </c>
      <c r="EW211" s="6">
        <f>IFERROR(ROUNDUP(EV211/IF(BV211=1,BU211,(Uн_лин/SQRT(3))*1000)*100,2),"")</f>
        <v>4.33</v>
      </c>
      <c r="EX211" t="str">
        <f>IFERROR(VLOOKUP(BZ211,Кабель_обозначение,2,FALSE),"")</f>
        <v>ВВГнг(А)-LS</v>
      </c>
      <c r="EY211" t="str">
        <f t="shared" si="471"/>
        <v>ВВГнг(А)-LS (3х2,5)</v>
      </c>
      <c r="EZ211" t="str">
        <f t="shared" si="472"/>
        <v>ВВГнг(А)-LS (3х2,5)
L=58-4,33%</v>
      </c>
      <c r="FA211">
        <f>IFERROR(2*ρкз_Cu*P211/EN211,"")</f>
        <v>1.2203200000000001</v>
      </c>
      <c r="FB211">
        <f t="shared" si="473"/>
        <v>0.40600000000000003</v>
      </c>
      <c r="FC211" s="6" t="str">
        <f>IFERROR(IF(OR(B211="",BV211=1,NOT(ISNUMBER(EN211)),N(P211)=0),"",_xlfn.XLOOKUP(A211,Щиты[Щит],Щиты[Zпетли на шинах, Ом])+FA211),"")</f>
        <v/>
      </c>
      <c r="FD211" s="6" t="str">
        <f>IF(ISNUMBER(FC211),c_min*(Uн_лин*1000/SQRT(3))/FC211,"")</f>
        <v/>
      </c>
      <c r="FE211" s="6" t="str">
        <f>IFERROR(IF(OR(B211="",NOT(ISNUMBER(EN211))),"",1.05*(Uн_лин*1000/SQRT(3))/(_xlfn.XLOOKUP(A211,Щиты[Щит],Щиты[Zmax на шинах, Ом])+FB211)/1000),"")</f>
        <v/>
      </c>
      <c r="FF211" s="6" t="str">
        <f>IF(B211="","",IF(ISNUMBER(AC211),"Сил",IF(IFERROR(_xlfn.XLOOKUP(BC211,Коды_код,Коды_группа)&amp;"","")="","Быт",_xlfn.XLOOKUP(BC211,Коды_код,Коды_группа)&amp;"")))</f>
        <v>Быт</v>
      </c>
      <c r="FG211" s="6" t="str">
        <f t="shared" si="474"/>
        <v>Быт</v>
      </c>
      <c r="FH211" s="6">
        <f>IF(FG211="Щит","щит",IF(FG211="","",IF(FG211="Быт",IFERROR(_xlfn.XLOOKUP(A211,Щиты[Щит],Щиты[Кс быт]),1),IF(FG211="Сил",IF(ISNUMBER(AC211),AC211,IF(Методика="нормы 2026",IFERROR(_xlfn.XLOOKUP(A211,Щиты[Щит],Щиты[Кс силовых (табл. 7.5)]),1),1)),IF(OR(FG211="Пост",FG211="Отоп"),1,IF(FG211="ВНГ",0.7,0))))))</f>
        <v>0.79799999999999993</v>
      </c>
      <c r="FI211">
        <f>IF(FG211="","",IF(AND(BP211=1,TRIM(AE211&amp;"")=""),IF(COUNTIFS(Линии[Щит],A211,Линии[Секция (1/2/3)],"&gt;=2")&gt;0,MIN(3,MAX(1,IFERROR(--BD211,1))),1),IFERROR(MIN(3,MAX(1,INT(--AE211))),1)))</f>
        <v>1</v>
      </c>
      <c r="FJ211">
        <f t="shared" si="475"/>
        <v>2.2000000000000002</v>
      </c>
      <c r="FK211">
        <f t="shared" si="476"/>
        <v>2.2000000000000002</v>
      </c>
      <c r="FL211">
        <f t="shared" si="477"/>
        <v>0</v>
      </c>
      <c r="FM211">
        <f t="shared" si="478"/>
        <v>0</v>
      </c>
      <c r="FN211">
        <f t="shared" si="479"/>
        <v>0</v>
      </c>
      <c r="FO211">
        <f t="shared" si="480"/>
        <v>0</v>
      </c>
      <c r="FP211">
        <f t="shared" si="481"/>
        <v>2.2000000000000002</v>
      </c>
      <c r="FQ211">
        <f t="shared" si="482"/>
        <v>2.2000000000000002</v>
      </c>
      <c r="FR211">
        <f t="shared" si="483"/>
        <v>2.09</v>
      </c>
      <c r="FS211">
        <f>IF(CG211=1,IF(AND(CH211=1,CW211=1),0,IF(AND(CS211&lt;&gt;"",CS211=BA211,CW211=1),SUMIFS(Линии[_Р линии, кВт],Линии[_блок УЗО],BA211,Линии[Щит],A211),N(BS211)+IF(AJ211="вручную",0,N(CK211)))),0)</f>
        <v>2.2000000000000002</v>
      </c>
      <c r="FT211" t="str">
        <f t="shared" si="484"/>
        <v>L2</v>
      </c>
      <c r="FU211" t="str">
        <f>IF(B211="","",IF(CG211=0,IF(BA211=1,"",FW210),IF(AND(CH211=1,CW211=1,CS211&lt;&gt;""),IFERROR(_xlfn.XLOOKUP(CS211,Линии[_n],Линии[_фаза итог]),"L1"),IF(OR(N(DL211)&gt;=3,N(BX211)&gt;=3),"L1,L2,L3",IFERROR(_xlfn.TEXTBEFORE(_xlfn.TEXTAFTER(_xlfn.XLOOKUP(A211,Щиты[Щит],Щиты[_фазы авто]),";"&amp;BA211&amp;":"),";"),"L1")))))</f>
        <v>L1</v>
      </c>
      <c r="FV211" t="str">
        <f t="shared" si="485"/>
        <v>L2</v>
      </c>
      <c r="FW211" t="str">
        <f t="shared" si="486"/>
        <v>L2</v>
      </c>
      <c r="FX211" cm="1">
        <f t="array" ref="FX211">IFERROR(IF(CD211=2,_xlfn.IFS(BX211=3,VLOOKUP(BS211,Справочная_двигатели,3,FALSE),BX211=1,VLOOKUP(BS211,Справочная_двигатели,5,TRUE)),0),0)</f>
        <v>0</v>
      </c>
      <c r="FY211">
        <f>IFERROR(IF(CD211=3,VLOOKUP(BS211,Справочная_ЛЭД,2,TRUE),0),0)</f>
        <v>0</v>
      </c>
      <c r="FZ211" s="6">
        <f t="shared" si="487"/>
        <v>0</v>
      </c>
      <c r="GA211" t="str">
        <f>IF(B211="","",IF(TRIM(AH211&amp;"")&lt;&gt;"",IF(LOWER(TRIM(AH211&amp;""))="да","да","нет"),IF(IFERROR(_xlfn.XLOOKUP(BC211,Коды_код,Коды_пожарная),"")="да","да","нет")))</f>
        <v>нет</v>
      </c>
      <c r="GB211" t="str">
        <f t="shared" si="488"/>
        <v/>
      </c>
      <c r="GC211" t="str">
        <f t="shared" si="489"/>
        <v>основная</v>
      </c>
      <c r="GD211">
        <f>IF(AND(BP211=1,TRIM(AE211&amp;"")=""),IF(COUNTIFS(Линии[Щит],A211,Линии[Секция (1/2/3)],"&gt;=2")&gt;0,MIN(3,MAX(1,IFERROR(--BD211,1))),1),IFERROR(MIN(3,MAX(1,INT(--AE211))),1))</f>
        <v>1</v>
      </c>
      <c r="GE211" t="str" cm="1">
        <f t="array" ref="GE211">IF(B211="","",_xlfn.LET(_xlpm.t,IFERROR(_xlfn.XLOOKUP(1,(Шины[Шина]=GC211)*(((Шины[Щит]=A211)+(Шины[Щит]=""))&gt;0),Шины[Тип]),"")&amp;"",IF(_xlpm.t&lt;&gt;"",_xlpm.t,IF(ISNUMBER(SEARCH("ИБП",GC211)),"ИБП",IF(ISNUMBER(SEARCH("ДГУ",GC211)),"ДГУ","Ввод "&amp;GD211)))))</f>
        <v>Ввод 1</v>
      </c>
      <c r="GF211" t="str">
        <f t="shared" si="490"/>
        <v>Ввод 1</v>
      </c>
      <c r="GG211" t="str">
        <f>IF(BP211=0,"",IF(TRIM(AG211&amp;"")&lt;&gt;"",TRIM(AG211&amp;""),IF(OR(GE211="ИБП",GE211="ДГУ"),"I особая",_xlfn.XLOOKUP(A211,Щиты[Щит],Щиты[Категория шины «Ввод»],"III"))))</f>
        <v/>
      </c>
      <c r="GH211" t="str">
        <f>IF(A211="","",_xlfn.XLOOKUP(A211,Щиты[Щит],Щиты[Путь],""))</f>
        <v>|ГРЩ-ЖД|ЩР-01|</v>
      </c>
      <c r="GI211" t="str">
        <f>IF(B211="","",IF(AI211&lt;&gt;"",AI211,IF(IFERROR(_xlfn.XLOOKUP(BC211,Коды_код,Коды_вид)&amp;"","")="","Прочее",_xlfn.XLOOKUP(BC211,Коды_код,Коды_вид)&amp;"")))</f>
        <v>Розеточная сеть и бытовые приборы</v>
      </c>
      <c r="GJ211">
        <f>IF(BM211="","",INT((BM211-1)/Столбцов_на_лист)+1)</f>
        <v>3</v>
      </c>
      <c r="GK211" t="str">
        <f t="shared" si="491"/>
        <v>ВВГнг(А)-LS (3х2,5) L=58-4,33%</v>
      </c>
      <c r="GL211">
        <f t="shared" si="492"/>
        <v>2.2000000000000002</v>
      </c>
      <c r="GM211">
        <f t="shared" si="493"/>
        <v>10.029999999999999</v>
      </c>
      <c r="GN211">
        <f t="shared" si="494"/>
        <v>1</v>
      </c>
      <c r="GO211">
        <f t="shared" si="495"/>
        <v>0</v>
      </c>
      <c r="GP211">
        <f t="shared" si="496"/>
        <v>1</v>
      </c>
      <c r="GQ211">
        <f>IF(BM211="","",IF(AND(CG211=1,GP211=1),COUNTIFS(A$3:A211,A211,CG$3:CG211,1,GP$3:GP211,1),IF(OR(OR(BA211=1,A211&lt;&gt;A210),AJ211="вручную",GP211=0),"",IF(BA211=1,"",GR210))))</f>
        <v>27</v>
      </c>
      <c r="GR211">
        <f t="shared" si="497"/>
        <v>27</v>
      </c>
      <c r="GS211">
        <f>IF(B211="","",IFERROR(LOOKUP(INDEX(CHOOSE(EB211,Iдоп_1ж,Iдоп_2ж,Iдоп_3ж),MATCH(EN211,Iдоп_S,0))*DZ211*EA211,{6,10,16,20,25,32,40,50,63,80,100,125,160,200,250,315,400,500,630}),""))</f>
        <v>25</v>
      </c>
      <c r="GT211" t="str">
        <f t="shared" si="498"/>
        <v>QFD27</v>
      </c>
      <c r="GU211" t="str">
        <f t="shared" si="499"/>
        <v>QFD27</v>
      </c>
      <c r="GV211" t="str">
        <f t="shared" si="500"/>
        <v/>
      </c>
      <c r="GW211">
        <f t="shared" si="501"/>
        <v>0</v>
      </c>
      <c r="GX211" t="str">
        <f>IF(OR(B211="",DJ211=""),"",IFERROR(_xlfn.XLOOKUP(DJ211,Модули_умолч[Управление],Модули_умолч[Модель])&amp;"",""))</f>
        <v/>
      </c>
      <c r="GY211">
        <f>IF(DJ211="",1,IFERROR(MAX(0,N(_xlfn.XLOOKUP(DJ211,Модули_умолч[Управление],Модули_умолч[Каналов на линию]))),1))</f>
        <v>1</v>
      </c>
      <c r="GZ211" t="str">
        <f t="shared" si="502"/>
        <v/>
      </c>
      <c r="HA211" t="str">
        <f t="shared" si="503"/>
        <v/>
      </c>
      <c r="HB211" t="str">
        <f t="shared" si="504"/>
        <v/>
      </c>
      <c r="HC211">
        <f>IF(HB211="",0,IFERROR(N(VLOOKUP(HB211,Модули_спр,3,FALSE)),0))</f>
        <v>0</v>
      </c>
      <c r="HD211" t="str">
        <f t="shared" si="505"/>
        <v/>
      </c>
      <c r="HE211" t="str">
        <f t="shared" si="506"/>
        <v/>
      </c>
      <c r="HF211" t="str">
        <f>IF(OR(HE211="",HE211="-"),"",IFERROR(VLOOKUP(HE211,Модули_спр,2,FALSE),"R"))</f>
        <v/>
      </c>
      <c r="HG211" t="str">
        <f>IF(HF211="","",HF211&amp;"."&amp;COUNTIFS(A$3:A211,A211,HF$3:HF211,HF211))</f>
        <v/>
      </c>
      <c r="HH211" t="str">
        <f t="shared" si="507"/>
        <v/>
      </c>
      <c r="HI211" t="str">
        <f t="shared" si="508"/>
        <v/>
      </c>
      <c r="HJ211" t="str">
        <f t="shared" si="509"/>
        <v/>
      </c>
      <c r="HK211" t="str">
        <f t="shared" si="510"/>
        <v/>
      </c>
      <c r="HL211">
        <f t="shared" si="511"/>
        <v>1</v>
      </c>
      <c r="HM211" t="str">
        <f>IF(HL211=1,"XT"&amp;COUNTIFS(A$3:A211,A211,HL$3:HL211,1),"")</f>
        <v>XT27</v>
      </c>
      <c r="HN211" t="str">
        <f t="shared" si="512"/>
        <v/>
      </c>
      <c r="HO211" t="str">
        <f t="shared" si="513"/>
        <v>QFD27</v>
      </c>
      <c r="HP211" t="str">
        <f t="shared" si="514"/>
        <v/>
      </c>
      <c r="HQ211" t="str">
        <f t="shared" si="515"/>
        <v>ok</v>
      </c>
      <c r="HR211" t="str">
        <f>IF(OR(HJ211="",HH211=""),"",IF(HJ211+MAX(0,GY211-1)&gt;IFERROR(VLOOKUP(HI211,Модули_спр,3,FALSE),99),"ЛИШНИЙ КАНАЛ",IF(AND(AL211&lt;&gt;"=",GY211&gt;0,COUNTIFS(Линии[_модуль гр.],HH211,Линии[Канал (итог)],HJ211,Линии[Канал],"&lt;&gt;=",Линии[Щит],A211)&gt;1),"ДУБЛЬ КАНАЛА","")))</f>
        <v/>
      </c>
      <c r="HS211" s="6" t="str">
        <f t="shared" si="516"/>
        <v/>
      </c>
      <c r="HT211">
        <f t="shared" si="517"/>
        <v>10</v>
      </c>
      <c r="HU211" t="str">
        <f t="shared" si="518"/>
        <v/>
      </c>
      <c r="HV211">
        <f t="shared" si="519"/>
        <v>4.5910650280542429</v>
      </c>
      <c r="HW211">
        <f t="shared" si="520"/>
        <v>0</v>
      </c>
      <c r="HX211">
        <f t="shared" si="521"/>
        <v>0</v>
      </c>
      <c r="HY211">
        <f t="shared" si="522"/>
        <v>0</v>
      </c>
      <c r="HZ211">
        <f t="shared" si="523"/>
        <v>0</v>
      </c>
      <c r="IA211">
        <f t="shared" si="524"/>
        <v>0</v>
      </c>
      <c r="IB211">
        <f t="shared" si="525"/>
        <v>0</v>
      </c>
      <c r="IC211" t="str">
        <f t="shared" si="526"/>
        <v/>
      </c>
      <c r="ID211" t="str" cm="1">
        <f t="array" ref="ID211">IF(IC211="","",_xlfn.LET(_xlpm.tk,_xlfn.TEXTSPLIT(SUBSTITUTE(SUBSTITUTE(IC211,";"," "),"→"," ")," ",,TRUE),_xlpm.w_,_xlfn._xlws.FILTER(_xlpm.tk,ISNUMBER(--LEFT(_xlpm.tk,1))*((ISNUMBER(SEARCH("W",_xlpm.tk))+ISNUMBER(SEARCH("Вт",_xlpm.tk)))&gt;0),""),IFERROR(--SUBSTITUTE(SUBSTITUTE(UPPER(INDEX(_xlpm.w_,1)),"W",""),"ВТ",""),"")))</f>
        <v/>
      </c>
      <c r="IE211" t="str" cm="1">
        <f t="array" ref="IE211">IF(IC211="","",_xlfn.LET(_xlpm.tk,_xlfn.TEXTSPLIT(SUBSTITUTE(SUBSTITUTE(IC211,";"," "),"→"," ")," ",,TRUE),_xlpm.v_,_xlfn._xlws.FILTER(_xlpm.tk,ISNUMBER(--LEFT(_xlpm.tk,1))*((ISNUMBER(SEARCH("V",_xlpm.tk))+(RIGHT(UPPER(_xlpm.tk))="В"))&gt;0),""),IFERROR(--SUBSTITUTE(SUBSTITUTE(UPPER(INDEX(_xlpm.v_,1)),"V",""),"В",""),"")))</f>
        <v/>
      </c>
      <c r="IF211" s="6" t="str">
        <f>IF(OR(BV211=0,HI211="",HJ211=""),"",IFERROR(N(_xlfn.XLOOKUP(HI211,Каталог!$C$4:$C$500,Каталог!$Q$4:$Q$500)),""))</f>
        <v/>
      </c>
      <c r="IG211" s="6" t="str">
        <f>IF(N(IF211)=0,"",SUMIFS(Линии[Iр, А],Линии[Щит],A211,Линии[_модуль гр.],HH211,Линии[Канал (итог)],HJ211))</f>
        <v/>
      </c>
      <c r="IH211" t="str">
        <f>IF(AND(B211="",HO211=""),"",_xlfn.TEXTJOIN("; ",TRUE,IF(AND(B211&lt;&gt;"",FV211=""),"нет фазы",""),IF(AND(B211&lt;&gt;"",N(GL211)=0,FG211&lt;&gt;"Нет"),"нет мощности",""),IF(AND(HN211&lt;&gt;"",COUNTIFS(Линии[Щит],A211,Линии[Клемма (итог)],HN211)&gt;1),"дубль клеммы "&amp;HN211,""),IF(AND(HQ211&lt;&gt;"",HQ211&lt;&gt;"ok"),HQ211,""),IF(HR211&lt;&gt;"",HR211,""),IF(AND(N(CB211)&gt;=4,N(BX211)=1),CB211&amp;" жил на 1 фазе",""),IF(AND(BC211="R",CG211=1,IF(CS211&lt;&gt;"",N(CV211)&gt;30,OR(N(DA211)=0,N(DA211)&gt;30))),"розетка без дифзащиты до 30 мА",""),IF(AND(CG211=1,N(DA211)&gt;0,ISNUMBER(T211)),IF(T211&gt;N(DA211)/3,"ток утечки "&amp;FIXED(T211,1)&amp;" мА &gt; 1/3 уставки ("&amp;DA211&amp;" мА)",""),""),IF(AND(CH211=1,CS211=""),"«узо»: нет строки с УЗО выше (УЗО 2P 40А 30мА в «Аппаратах»)",""),IF(AND(CS211&lt;&gt;"",CS211=BA211),IF(CT211="","впишите номинал УЗО (УЗО 2P 40А 30мА)",IF(N(CT211)&lt;N(DT211),"УЗО "&amp;CT211&amp;" А &lt; автомата "&amp;DT211&amp;" А перед ним",IF(N(CT211)&lt;N(CX211),"УЗО "&amp;CT211&amp;" А &lt; тока блока "&amp;FIXED(CX211,1)&amp;" А",""))),""),IF(AND(CS211&lt;&gt;"",CS211=BA211,ISNUMBER(CY211)),IF(CY211&gt;N(CV211)/3,"ток утечки блока УЗО "&amp;FIXED(CY211,1)&amp;" мА &gt; 1/3 уставки ("&amp;CV211&amp;" мА)",""),""),IF(AND(CG211=1,N(BV211)+N(IB211)&gt;0,IC211=""),"линии до 50 В без БП: впишите в «Аппараты» (БП 24V 480W)",""),IF(AND(CG211=1,ISNUMBER(ID211),ISNUMBER(U211)),IF(U211&gt;ID211,"БП "&amp;ID211&amp;" Вт &lt; нужно "&amp;U211&amp;" Вт (×"&amp;Запас_БП&amp;")",""),""),IF(AND(CG211=1,ISNUMBER(IE211),N(BV211)=1),IF(IE211&lt;&gt;N(BU211),"БП на "&amp;IE211&amp;" В, линия "&amp;BU211&amp;" В",""),""),IF(AND(N(IF211)&gt;0,N(IG211)&gt;N(IF211)),HH211&amp;" канал "&amp;HJ211&amp;": "&amp;FIXED(IG211,1)&amp;" А &gt; "&amp;IF211&amp;" А",""),IFERROR(IF(AND(ISNUMBER(Q211),Q211&gt;EL211),"потери "&amp;FIXED(Q211,1)&amp;" % &gt; "&amp;EL211&amp;" %",""),""),IFERROR(IF(LEFT(HU211,4)="мало","Iкз мало — отключение &gt; 0,4 с",""),""),IF(AND(B211&lt;&gt;"",BM211=""),"не на схеме",""),IF(AND(CG211=0,B211&lt;&gt;"",FV211&lt;&gt;"",IF(BA211=1,"",FW210)&lt;&gt;"",FV211&lt;&gt;IF(BA211=1,"",FW210)),"фаза не как у автомата группы ("&amp;IF(BA211=1,"",FW210)&amp;")","")))</f>
        <v>потери 4,8 % &gt; 4 %</v>
      </c>
      <c r="II211" s="6">
        <f>IF(OR(CG211=0,DQ211=""),"",_xlfn.LET(_xlpm.t,IFERROR(_xlfn.XLOOKUP(DQ211,Каталог!$U$4:$U$500,Каталог!$G$4:$G$500),""),_xlpm.k,SEARCH("кА",_xlpm.t),IFERROR(--TRIM(RIGHT(SUBSTITUTE(MID(_xlpm.t,MAX(1,_xlpm.k-4),_xlpm.k-MAX(1,_xlpm.k-4))," ",REPT(" ",9)),5)),"")))</f>
        <v>6</v>
      </c>
      <c r="IJ211" t="str">
        <f>IF(OR(II211="",CG211=0),"",IF(_xlfn.XLOOKUP(A211,Щиты[Щит],Щиты[Iкз max на шинах, кА],"")="","",IF(II211&lt;_xlfn.XLOOKUP(A211,Щиты[Щит],Щиты[Iкз max на шинах, кА]),"Icu "&amp;II211&amp;" кА &lt; Iкз max","ok")))</f>
        <v/>
      </c>
      <c r="IK211" t="str">
        <f t="shared" si="527"/>
        <v/>
      </c>
      <c r="IL211" t="str">
        <f t="shared" si="528"/>
        <v>QFD27</v>
      </c>
      <c r="IM211" t="str">
        <f t="shared" si="529"/>
        <v>QFD27|кабель ВВГнг(А)-LS (3х2,5) → Розеточная группа Цокольный этаж Пом. №013Б Сушильная машина</v>
      </c>
      <c r="IN211" t="str" cm="1">
        <f t="array" ref="IN211">IF(IM211="","",_xlfn.LET(_xlpm.nd,_xlfn.TEXTSPLIT(IM211,"|"),IF(COLUMNS(_xlpm.nd)&gt;1,A211&amp;"¦"&amp;INDEX(_xlpm.nd,1)&amp;"¦"&amp;INDEX(_xlpm.nd,2),"")))</f>
        <v>ЩР-01¦QFD27¦кабель ВВГнг(А)-LS (3х2,5) → Розеточная группа Цокольный этаж Пом. №013Б Сушильная машина</v>
      </c>
      <c r="IO211" t="str">
        <f t="shared" si="530"/>
        <v>R.0.013Б.4¦Розеточная группа Цокольный этаж Пом. №013Б Сушильная машина</v>
      </c>
      <c r="IP211" t="str" cm="1">
        <f t="array" ref="IP211">IF(IM211="","",_xlfn.LET(_xlpm.nd,_xlfn.TEXTSPLIT(IM211,"|"),IF(COLUMNS(_xlpm.nd)&gt;2,A211&amp;"¦"&amp;INDEX(_xlpm.nd,2)&amp;"¦"&amp;INDEX(_xlpm.nd,3),"")))</f>
        <v/>
      </c>
      <c r="IQ211" t="str">
        <f t="shared" si="531"/>
        <v/>
      </c>
      <c r="IR211" t="str" cm="1">
        <f t="array" ref="IR211">IF(IM211="","",_xlfn.LET(_xlpm.nd,_xlfn.TEXTSPLIT(IM211,"|"),IF(COLUMNS(_xlpm.nd)&gt;3,A211&amp;"¦"&amp;INDEX(_xlpm.nd,3)&amp;"¦"&amp;INDEX(_xlpm.nd,4),"")))</f>
        <v/>
      </c>
      <c r="IS211" t="str">
        <f t="shared" si="532"/>
        <v/>
      </c>
      <c r="IT211" t="str" cm="1">
        <f t="array" ref="IT211">IF(IM211="","",_xlfn.LET(_xlpm.nd,_xlfn.TEXTSPLIT(IM211,"|"),IF(COLUMNS(_xlpm.nd)&gt;4,A211&amp;"¦"&amp;INDEX(_xlpm.nd,4)&amp;"¦"&amp;INDEX(_xlpm.nd,5),"")))</f>
        <v/>
      </c>
      <c r="IU211" t="str">
        <f t="shared" si="533"/>
        <v/>
      </c>
      <c r="IV211" t="str" cm="1">
        <f t="array" ref="IV211">IF(IM211="","",_xlfn.LET(_xlpm.nd,_xlfn.TEXTSPLIT(IM211,"|"),IF(COLUMNS(_xlpm.nd)&gt;5,A211&amp;"¦"&amp;INDEX(_xlpm.nd,5)&amp;"¦"&amp;INDEX(_xlpm.nd,6),"")))</f>
        <v/>
      </c>
      <c r="IW211" t="str">
        <f t="shared" si="534"/>
        <v/>
      </c>
      <c r="IX211" t="str" cm="1">
        <f t="array" ref="IX211">IF(IM211="","",_xlfn.LET(_xlpm.nd,_xlfn.TEXTSPLIT(IM211,"|"),IF(COLUMNS(_xlpm.nd)&gt;6,A211&amp;"¦"&amp;INDEX(_xlpm.nd,6)&amp;"¦"&amp;INDEX(_xlpm.nd,7),"")))</f>
        <v/>
      </c>
      <c r="IY211" t="str">
        <f t="shared" si="535"/>
        <v/>
      </c>
      <c r="IZ211" t="str">
        <f t="shared" si="536"/>
        <v/>
      </c>
      <c r="JA211" t="str">
        <f t="shared" si="537"/>
        <v>QFD27</v>
      </c>
      <c r="JB211">
        <f t="shared" si="538"/>
        <v>0</v>
      </c>
      <c r="JC211">
        <f t="shared" si="539"/>
        <v>1</v>
      </c>
      <c r="JD211" t="str">
        <f t="shared" si="540"/>
        <v/>
      </c>
      <c r="JE211" t="str">
        <f t="shared" si="541"/>
        <v/>
      </c>
      <c r="JF211" t="str">
        <f t="shared" si="542"/>
        <v/>
      </c>
      <c r="JG211" t="str">
        <f t="shared" si="543"/>
        <v/>
      </c>
      <c r="JH211" t="str">
        <f>IF(B211="","",IFERROR(_xlfn.XLOOKUP(B211,Коды_код,Коды_уго),IFERROR(_xlfn.XLOOKUP(BC211,Коды_код,Коды_уго),IFERROR(_xlfn.XLOOKUP(LEFT(BC211,2),Коды_код,Коды_уго),""))))</f>
        <v>Розетка</v>
      </c>
      <c r="JI211" t="str">
        <f>IF(B211="","",IF(OR(JH211="",JH211=0),"BOX",IFERROR(IF(VLOOKUP(JH211,УГО_блоки,3,FALSE)&amp;""&lt;&gt;"",VLOOKUP(JH211,УГО_блоки,3,FALSE),VLOOKUP(JH211,УГО_блоки,2,FALSE)),JH211)))</f>
        <v>SOCKET</v>
      </c>
      <c r="JJ211">
        <f t="shared" si="544"/>
        <v>1</v>
      </c>
      <c r="JK211" t="str">
        <f>IF(DQ211="","",IF(COUNTIF(DQ$3:DQ211,DQ211)=1,MAX(JK$2:JK210)+1,""))</f>
        <v/>
      </c>
      <c r="JL211" t="str">
        <f>IF(DE211="","",IF(COUNTIF(DE$3:DE211,DE211)+COUNTIF(DF$2:DF210,DE211)+COUNTIF(DG$2:DG210,DE211)=1,MAX(JL$2:JN210)+1,""))</f>
        <v/>
      </c>
      <c r="JM211" t="str">
        <f>IF(DF211="","",IF(COUNTIF(DE$3:DE211,DF211)+COUNTIF(DF$3:DF211,DF211)+COUNTIF(DG$2:DG210,DF211)=1,MAX(JL$2:JN210,JL211)+1,""))</f>
        <v/>
      </c>
      <c r="JN211" t="str">
        <f>IF(DG211="","",IF(COUNTIF(DE$3:DE211,DG211)+COUNTIF(DF$3:DF211,DG211)+COUNTIF(DG$3:DG211,DG211)=1,MAX(JL$2:JN210,JL211,JM211)+1,""))</f>
        <v/>
      </c>
      <c r="JO211" t="str">
        <f t="shared" si="545"/>
        <v>3х2,5</v>
      </c>
      <c r="JP211" t="str">
        <f>IF(JO211="","",IF(COUNTIF(JO$3:JO211,JO211)=1,MAX(JP$2:JP210)+1,""))</f>
        <v/>
      </c>
      <c r="JQ211" t="str">
        <f>IF(HG211="","",COUNTIF(HG$3:HG211,"?*"))</f>
        <v/>
      </c>
      <c r="JR211" t="str">
        <f>IF(OR(HG211="",HI211=""),"",IF(COUNTIFS(HG$3:HG211,"?*",HI$3:HI211,HI211)=1,MAX(JR$2:JR210)+1,""))</f>
        <v/>
      </c>
      <c r="JS211">
        <f t="shared" si="546"/>
        <v>1</v>
      </c>
      <c r="JT211">
        <f>IF(B211="","",COUNTIF(B$3:B211,"?*"))</f>
        <v>209</v>
      </c>
      <c r="JU211">
        <f>IF(HL211&lt;&gt;1,0,_xlfn.LET(_xlpm.k,MAX(IFERROR(--_xlfn.XLOOKUP(B211,Коды_код,Коды_3L),0),IFERROR(--_xlfn.XLOOKUP(BC211,Коды_код,Коды_3L),0),IFERROR(--_xlfn.XLOOKUP(LEFT(BC211,2),Коды_код,Коды_3L),0)),IF(_xlpm.k&gt;0,_xlpm.k,IF(IFERROR(--LEFT(SUBSTITUTE(JO211,"x","х"),FIND("х",SUBSTITUTE(JO211,"x","х"))-1),3)&gt;3,Каталог!$S$9,1))))</f>
        <v>1</v>
      </c>
      <c r="JV211">
        <f t="shared" si="547"/>
        <v>0</v>
      </c>
      <c r="JW211" t="str">
        <f t="shared" si="548"/>
        <v>авто</v>
      </c>
      <c r="JX211">
        <f t="shared" si="549"/>
        <v>30</v>
      </c>
      <c r="JY211">
        <f t="shared" si="550"/>
        <v>1</v>
      </c>
      <c r="JZ211">
        <f t="shared" si="551"/>
        <v>1</v>
      </c>
    </row>
    <row r="212" spans="1:286" x14ac:dyDescent="0.3">
      <c r="A212" t="s">
        <v>755</v>
      </c>
      <c r="B212" t="s">
        <v>1519</v>
      </c>
      <c r="C212" t="str">
        <f>Линии[[#This Row],[_авто наименование]]</f>
        <v>Розеточная группа, пом. 015A</v>
      </c>
      <c r="D212">
        <v>2</v>
      </c>
      <c r="E212">
        <v>0.12</v>
      </c>
      <c r="G212" t="str">
        <f>Линии[[#This Row],[_авто автомат]]</f>
        <v>2P С16А 30мА</v>
      </c>
      <c r="H212" t="str">
        <f>Линии[[#This Row],[_авто управление]]</f>
        <v/>
      </c>
      <c r="I212" t="str">
        <f>Линии[[#This Row],[_авто аппараты]]</f>
        <v/>
      </c>
      <c r="J212">
        <v>2.5</v>
      </c>
      <c r="K212">
        <v>63</v>
      </c>
      <c r="L212">
        <v>1</v>
      </c>
      <c r="M212" t="s">
        <v>484</v>
      </c>
      <c r="N212" t="str">
        <f t="shared" si="414"/>
        <v/>
      </c>
      <c r="O212" s="6" cm="1">
        <f t="array" ref="O212">IF(B212="","",IF(BH212&lt;&gt;"",IFERROR(_xlfn.XLOOKUP(BH212,Щиты[Щит],Щиты[Iр, А]),""),IF(BP212=1,IF(OR(N(_xlfn.XLOOKUP(A212,Щиты[Щит],Щиты[Вводов],1))&lt;=1,LOWER(TRIM(_xlfn.XLOOKUP(A212,Щиты[Щит],Щиты[АВР],"")&amp;""))="да"),IFERROR(_xlfn.XLOOKUP(A212,Щиты[Щит],Щиты[Iр, А]),""),IFERROR(N(BS212)*_xlfn.XLOOKUP(A212,Щиты[Щит],Щиты[Кс итог])/(SQRT(3)*Uн_лин*_xlfn.XLOOKUP(A212,Щиты[Щит],Щиты[cos φ])),"")),IF(BV212=1,IFERROR(BS212*1000/BU212,""),IFERROR(_xlfn.IFS(BX212=1,BS212/((Uн_лин/SQRT(3))*CE212),BX212=3,BS212/(SQRT(3)*Uн_лин*CE212)),"")))))</f>
        <v>0.54696341291648753</v>
      </c>
      <c r="P212" s="7">
        <f>IF(B212="","",IFERROR(IF(VLOOKUP(BC212,Потребители_обозначение,4,FALSE)=1,VLOOKUP(BC212,Потребители_обозначение,3,FALSE)*(MAX(1,N(D212))*2-1)+EI212+VLOOKUP(BE212,Этаж_обозначение,3,FALSE)+VLOOKUP(BE212,Этаж_обозначение,4,FALSE),VLOOKUP(BC212,Потребители_обозначение,3,FALSE)*(MAX(1,N(D212))*2-1)+EI212),EI212))</f>
        <v>72</v>
      </c>
      <c r="Q212" s="6">
        <f t="shared" si="415"/>
        <v>0.73</v>
      </c>
      <c r="R212" t="str">
        <f t="shared" si="416"/>
        <v>ВВГнг(А)-LS (3х2,5)</v>
      </c>
      <c r="S212" t="str">
        <f>IF(BM212="","",IF(BN212="вводной узел","узел ","")&amp;"л."&amp;(INT((BM212-1)/Столбцов_на_лист)+1)&amp;" / "&amp;(MOD(BM212-1,Столбцов_на_лист)+1))</f>
        <v>л.3 / 6</v>
      </c>
      <c r="T212" s="119">
        <f t="shared" si="417"/>
        <v>0.9</v>
      </c>
      <c r="U212" s="7" t="str">
        <f>IF(OR(CG212=0,N(BV212)+N(IB212)=0),"",ROUNDUP(Запас_БП*(N(HY212)+N(HZ212)),0))</f>
        <v/>
      </c>
      <c r="V212" s="119" t="str">
        <f t="shared" si="418"/>
        <v/>
      </c>
      <c r="W212" s="7" t="str">
        <f>IFERROR(IF(OR(B212="",BP212=1,BV212=1,NOT(ISNUMBER(EN212)),N(DT212)=0),"",MAX(0,ROUNDDOWN((c_min*(Uн_лин*1000/SQRT(3))/(HT212*N(DT212))-_xlfn.XLOOKUP(A212,Щиты[Щит],Щиты[Zпетли на шинах, Ом]))*EN212/(2*ρкз_Cu),0))),"")</f>
        <v/>
      </c>
      <c r="Y212">
        <f>Линии[[#This Row],[_авто утечка]]</f>
        <v>30</v>
      </c>
      <c r="Z212">
        <v>1</v>
      </c>
      <c r="AA212">
        <v>230</v>
      </c>
      <c r="AB212" t="s">
        <v>562</v>
      </c>
      <c r="AG212" t="s">
        <v>810</v>
      </c>
      <c r="AI212" t="s">
        <v>561</v>
      </c>
      <c r="AK212" t="str">
        <f>Линии[[#This Row],[_авто модуль]]</f>
        <v/>
      </c>
      <c r="AM212">
        <v>40</v>
      </c>
      <c r="AN212" t="s">
        <v>11</v>
      </c>
      <c r="AO212">
        <v>3</v>
      </c>
      <c r="AQ212">
        <v>50</v>
      </c>
      <c r="AR212">
        <v>17</v>
      </c>
      <c r="AS212">
        <v>5</v>
      </c>
      <c r="BA212" cm="1">
        <f t="array" ref="BA212">ROW()-ROW(Линии[#Headers])</f>
        <v>210</v>
      </c>
      <c r="BC212" s="6" t="str">
        <f t="shared" si="419"/>
        <v>R</v>
      </c>
      <c r="BD212" t="str">
        <f t="shared" si="420"/>
        <v>0.015A.1</v>
      </c>
      <c r="BE212" t="str">
        <f t="shared" si="421"/>
        <v>0</v>
      </c>
      <c r="BF212" t="str">
        <f t="shared" si="422"/>
        <v>015A.1</v>
      </c>
      <c r="BG212" t="str">
        <f t="shared" si="423"/>
        <v>015A</v>
      </c>
      <c r="BH212" t="str">
        <f>IF(X212&lt;&gt;"",X212,IF(AND(B212&lt;&gt;"",B212&lt;&gt;A212,ISNUMBER(_xlfn.XMATCH(B212,Щиты[Щит]))),B212,""))</f>
        <v/>
      </c>
      <c r="BI212" t="str" cm="1">
        <f t="array" ref="BI212">IF(B212="","",IF(BH212&lt;&gt;"","Щит "&amp;BH212,_xlfn.LET(_xlpm.nm,IFERROR(_xlfn.XLOOKUP(BC212,Коды_код,Коды_имя)&amp;"",""),_xlpm.md,IFERROR(N(_xlfn.XLOOKUP(BC212,Коды_код,Коды_режим)),1),_xlpm.ex,IF(Имя_режим="по экспликации",IFERROR(_xlfn.XLOOKUP(BE212&amp;"|"&amp;BG212,Экспликация[Этаж]&amp;"|"&amp;Экспликация[Помещение],Экспликация[Название])&amp;"",""),""),_xlpm.rm,IF(BG212="","",IF(_xlpm.ex&lt;&gt;"",". "&amp;_xlpm.ex&amp;IF(Имя_пом="нет"," ("&amp;BG212&amp;")"," (пом. "&amp;BG212&amp;")"),IF(Имя_пом="нет"," ",", пом. ")&amp;BG212)),IF(_xlpm.nm="","",IF(_xlpm.md=2,_xlpm.nm&amp;" шлейф "&amp;BE212,_xlpm.nm&amp;_xlpm.rm)))))</f>
        <v>Розеточная группа, пом. 015A</v>
      </c>
      <c r="BJ212" t="str">
        <f t="shared" si="424"/>
        <v>Розеточная группа, пом. 015A</v>
      </c>
      <c r="BK212">
        <f>IFERROR(_xlfn.XMATCH(A212,Щиты[Щит]),0)</f>
        <v>9</v>
      </c>
      <c r="BL212">
        <f>_xlfn.LET(_xlpm.k,IFERROR(_xlfn.XLOOKUP(A212,Щиты[Щит],Щиты[Мест под вводной узел]),""),IF(_xlpm.k="",Столбцов_на_лист,N(_xlpm.k)))</f>
        <v>8</v>
      </c>
      <c r="BM212">
        <f t="shared" si="425"/>
        <v>40</v>
      </c>
      <c r="BN212" t="str">
        <f t="shared" si="426"/>
        <v>линии</v>
      </c>
      <c r="BO212" s="6">
        <f>IFERROR(N(_xlfn.XLOOKUP(BC212,Коды_код,Коды_квт)),0)</f>
        <v>0</v>
      </c>
      <c r="BP212">
        <f t="shared" si="427"/>
        <v>0</v>
      </c>
      <c r="BQ212" t="str">
        <f>IF(B212="","",IF(BH212&lt;&gt;"",IFERROR(_xlfn.XLOOKUP(BH212,Щиты[Щит],Щиты[Руст, кВт]),0),IF(BP212=1,IF(OR(N(_xlfn.XLOOKUP(A212,Щиты[Щит],Щиты[Вводов],1))&lt;=1,LOWER(TRIM(_xlfn.XLOOKUP(A212,Щиты[Щит],Щиты[АВР],"")&amp;""))="да"),IFERROR(_xlfn.XLOOKUP(A212,Щиты[Щит],Щиты[Руст, кВт]),0),SUMIFS(Линии[_Р для вводов],Линии[Щит],A212,Линии[Источник для режимов],GF212)),IF(BO212&gt;0,ROUND(BO212*MAX(1,N(D212)),3),""))))</f>
        <v/>
      </c>
      <c r="BR212">
        <f t="shared" si="428"/>
        <v>0.12</v>
      </c>
      <c r="BS212" s="6">
        <f>IF(B212="","",IF(BH212&lt;&gt;"",IFERROR(_xlfn.XLOOKUP(BH212,Щиты[Щит],Щиты[Руст, кВт]),0),N(BR212)))</f>
        <v>0.12</v>
      </c>
      <c r="BT212" t="str">
        <f>IF(B212="","",IFERROR(IF(VLOOKUP(BC212,Потребители_обозначение,8,FALSE)=0,"",VLOOKUP(BC212,Потребители_обозначение,8,FALSE)),""))</f>
        <v/>
      </c>
      <c r="BU212">
        <f t="shared" si="429"/>
        <v>230</v>
      </c>
      <c r="BV212">
        <f t="shared" si="430"/>
        <v>0</v>
      </c>
      <c r="BW212">
        <f>IF(B212="","",IF(BH212&lt;&gt;"",3,IFERROR(IF(N(VLOOKUP(BC212,Потребители_обозначение,9,FALSE))=0,1,VLOOKUP(BC212,Потребители_обозначение,9,FALSE)),1)))</f>
        <v>1</v>
      </c>
      <c r="BX212">
        <f t="shared" si="431"/>
        <v>1</v>
      </c>
      <c r="BY212" t="str">
        <f>IF(B212="","",_xlfn.LET(_xlpm.bc,IFERROR(IF(VLOOKUP(BC212,Потребители_обозначение,6,FALSE)=0,"",VLOOKUP(BC212,Потребители_обозначение,6,FALSE)&amp;""),""),IF(AND(GA212="да",OR(_xlpm.bc="",_xlpm.bc="мс")),Марка_пож,IF(AND(_xlpm.bc="",BH212&lt;&gt;""),"мс",_xlpm.bc))))</f>
        <v/>
      </c>
      <c r="BZ212" t="str">
        <f t="shared" si="432"/>
        <v>мс</v>
      </c>
      <c r="CA212">
        <f>IF(B212="","",_xlfn.LET(_xlpm.cc,IFERROR(N(VLOOKUP(BC212,Потребители_обозначение,7,FALSE)),0),IF(_xlpm.cc&gt;0,_xlpm.cc,IF(BZ212="","",IF(BV212=1,2,IF(N(BX212)=3,5,3))))))</f>
        <v>3</v>
      </c>
      <c r="CB212">
        <f t="shared" si="433"/>
        <v>3</v>
      </c>
      <c r="CC212">
        <f>IFERROR(N(VLOOKUP(BC212,Потребители_обозначение,10,FALSE)),0)</f>
        <v>0</v>
      </c>
      <c r="CD212">
        <f>IFERROR(VLOOKUP(BC212,Потребители_обозначение,5,FALSE),0)</f>
        <v>1</v>
      </c>
      <c r="CE212" s="6" cm="1">
        <f t="array" ref="CE212">IF(B212="","",IF(BH212&lt;&gt;"",IFERROR(_xlfn.XLOOKUP(BH212,Щиты[Щит],Щиты[cos φ]),0.95),IF(BP212=1,IFERROR(_xlfn.XLOOKUP(A212,Щиты[Щит],Щиты[cos φ]),0.95),IF(ISNUMBER(AD212),AD212,IFERROR(IF(CD212=2,_xlfn.IFS(BX212=3,VLOOKUP(BS212,Справочная_двигатели,8,FALSE),BX212=1,VLOOKUP(BS212,Справочная_двигатели,10,TRUE)),IF(AND(Методика="нормы 2026",FG212="Сил"),0.8,0.95)),0.95)))))</f>
        <v>0.95</v>
      </c>
      <c r="CF212">
        <f t="shared" si="434"/>
        <v>0</v>
      </c>
      <c r="CG212">
        <f t="shared" si="435"/>
        <v>1</v>
      </c>
      <c r="CH212">
        <f t="shared" si="436"/>
        <v>0</v>
      </c>
      <c r="CI212">
        <f>IF(B212="","",IF(BV212=1,IFERROR(BS212/((Uн_лин/SQRT(3))*MAX(0.5,N(CE212))),0),N(O212)))</f>
        <v>0.54696341291648753</v>
      </c>
      <c r="CJ212">
        <f t="shared" si="437"/>
        <v>0</v>
      </c>
      <c r="CK212">
        <f t="shared" si="438"/>
        <v>0</v>
      </c>
      <c r="CL212">
        <f t="shared" si="439"/>
        <v>0</v>
      </c>
      <c r="CM212">
        <f t="shared" si="440"/>
        <v>0</v>
      </c>
      <c r="CN212">
        <f t="shared" si="441"/>
        <v>0</v>
      </c>
      <c r="CO212">
        <f>IF(BC212="",0,_xlfn.LET(_xlpm.v,IFERROR(_xlfn.XLOOKUP(B212,Коды_код,Коды_мА),IFERROR(_xlfn.XLOOKUP(BC212,Коды_код,Коды_мА),IFERROR(_xlfn.XLOOKUP(LEFT(BC212,2),Коды_код,Коды_мА),""))),IF(_xlpm.v="да",30,IF(ISNUMBER(_xlpm.v),_xlpm.v,0))))</f>
        <v>30</v>
      </c>
      <c r="CP212">
        <f t="shared" si="442"/>
        <v>30</v>
      </c>
      <c r="CQ212" t="str">
        <f>_xlfn.LET(_xlpm.k,IFERROR(_xlfn.XLOOKUP(BC212,Коды_код,Коды_утечка)&amp;"",""),IF(_xlpm.k="","дифавтомат",_xlpm.k))</f>
        <v>дифавтомат</v>
      </c>
      <c r="CR212" t="str" cm="1">
        <f t="array" ref="CR212">IF(CG212=0,"",_xlfn.LET(_xlpm.sg,TRIM(_xlfn.TEXTSPLIT(DD212&amp;"",";")),_xlpm.f_,_xlfn._xlws.FILTER(_xlpm.sg,LEFT(_xlpm.sg,3)="УЗО",""),IFERROR(INDEX(_xlpm.f_,1)&amp;"","")))</f>
        <v/>
      </c>
      <c r="CS212" t="str">
        <f t="shared" si="443"/>
        <v/>
      </c>
      <c r="CT212" s="6" t="str" cm="1">
        <f t="array" ref="CT212">IF(CR212="","",_xlfn.LET(_xlpm.tk,_xlfn.TEXTSPLIT(UPPER(CR212)," ",,TRUE),_xlpm.a_,_xlfn._xlws.FILTER(_xlpm.tk,ISNUMBER(--LEFT(_xlpm.tk,1))*((ISNUMBER(SEARCH("А",_xlpm.tk))+ISNUMBER(SEARCH("A",_xlpm.tk)))&gt;0)*NOT(ISNUMBER(SEARCH("МА",_xlpm.tk)))*NOT(ISNUMBER(SEARCH("MA",_xlpm.tk))),""),IFERROR(--SUBSTITUTE(SUBSTITUTE(INDEX(_xlpm.a_,1),"А",""),"A",""),"")))</f>
        <v/>
      </c>
      <c r="CU212" t="str" cm="1">
        <f t="array" ref="CU212">IF(CR212="","",_xlfn.LET(_xlpm.tk,_xlfn.TEXTSPLIT(UPPER(CR212)," ",,TRUE),_xlpm.a_,_xlfn._xlws.FILTER(_xlpm.tk,ISNUMBER(--LEFT(_xlpm.tk,1))*((ISNUMBER(SEARCH("МА",_xlpm.tk))+ISNUMBER(SEARCH("MA",_xlpm.tk)))&gt;0),""),IFERROR(--SUBSTITUTE(SUBSTITUTE(INDEX(_xlpm.a_,1),"МА",""),"MA",""),30)))</f>
        <v/>
      </c>
      <c r="CV212" t="str">
        <f>IF(CS212="","",IFERROR(_xlfn.XLOOKUP(CS212,Линии[_n],Линии[_УЗО, мА]),30))</f>
        <v/>
      </c>
      <c r="CW212">
        <f>IF(CS212="",0,IF(ISNUMBER(SEARCH("4P",IFERROR(_xlfn.XLOOKUP(CS212,Линии[_n],Линии[_УЗО строки])&amp;"",""))),0,1))</f>
        <v>0</v>
      </c>
      <c r="CX212" t="str">
        <f>IF(AND(CS212&lt;&gt;"",CS212=BA212),SUMIFS(Линии[_ток на 230 В],Линии[_блок УЗО],BA212,Линии[Щит],A212),"")</f>
        <v/>
      </c>
      <c r="CY212" t="str">
        <f>IF(AND(CS212&lt;&gt;"",CS212=BA212),SUMIFS(Линии[_ток утечки линии, мА],Линии[_блок УЗО],BA212,Линии[Щит],A212),"")</f>
        <v/>
      </c>
      <c r="CZ212">
        <f t="shared" si="444"/>
        <v>30</v>
      </c>
      <c r="DA212">
        <f t="shared" si="445"/>
        <v>30</v>
      </c>
      <c r="DB212">
        <f>IF(B212="",0,IFERROR(--_xlfn.XLOOKUP(B212,Коды_код,Коды_минавт),IFERROR(--_xlfn.XLOOKUP(BC212,Коды_код,Коды_минавт),IFERROR(--_xlfn.XLOOKUP(LEFT(BC212,2),Коды_код,Коды_минавт),0))))</f>
        <v>16</v>
      </c>
      <c r="DC212" t="str">
        <f>IF(B212="","",IFERROR(_xlfn.XLOOKUP(BC212,Коды_код,Коды_апп)&amp;"",""))</f>
        <v/>
      </c>
      <c r="DD212" t="str">
        <f t="shared" si="446"/>
        <v/>
      </c>
      <c r="DE212" t="str" cm="1">
        <f t="array" ref="DE212">IF(TRIM(DD212&amp;"")="","",IFERROR(TRIM(INDEX(_xlfn.TEXTSPLIT(DD212&amp;";;;",";"),1)),""))</f>
        <v/>
      </c>
      <c r="DF212" t="str" cm="1">
        <f t="array" ref="DF212">IF(TRIM(DD212&amp;"")="","",IFERROR(TRIM(INDEX(_xlfn.TEXTSPLIT(DD212&amp;";;;",";"),2)),""))</f>
        <v/>
      </c>
      <c r="DG212" t="str" cm="1">
        <f t="array" ref="DG212">IF(TRIM(DD212&amp;"")="","",IFERROR(TRIM(INDEX(_xlfn.TEXTSPLIT(DD212&amp;";;;",";"),3)),""))</f>
        <v/>
      </c>
      <c r="DH212">
        <f t="shared" si="447"/>
        <v>0</v>
      </c>
      <c r="DI212" t="str">
        <f>IF(B212="","",_xlfn.LET(_xlpm.t,LOWER(AZ212&amp;""),IF(ISNUMBER(SEARCH("dim",_xlpm.t)),"DIM",IF(ISNUMBER(SEARCH("dali",_xlpm.t)),"DALI",IF(OR(ISNUMBER(SEARCH("relay",_xlpm.t)),ISNUMBER(SEARCH("реле",_xlpm.t))),"Relay",IF(ISNUMBER(SEARCH("кнопк",_xlpm.t)),"",IFERROR(_xlfn.XLOOKUP(BC212,Коды_код,Коды_упр)&amp;"","")))))))</f>
        <v/>
      </c>
      <c r="DJ212" t="str">
        <f t="shared" si="448"/>
        <v/>
      </c>
      <c r="DK212">
        <f>IF(B212="","",_xlfn.LET(_xlpm.ig,IF(N(CX212)&gt;0,N(CX212),N(CI212)+IF(AJ212="вручную",0,N(CJ212))),_xlpm.n0,IFERROR(VLOOKUP(_xlpm.ig,Автомат_номиналы,2,TRUE),0),_xlpm.mn,MAX(DB212,IF(AJ212="вручную",0,N(CM212))),MAX(_xlpm.n0,_xlpm.mn,IF(DH212=1,Мин_автомат_БП,0))))</f>
        <v>16</v>
      </c>
      <c r="DL212">
        <f t="shared" si="449"/>
        <v>1</v>
      </c>
      <c r="DM212" t="str">
        <f t="shared" si="450"/>
        <v>2P</v>
      </c>
      <c r="DN212" t="str">
        <f>_xlfn.LET(_xlpm.cc,UPPER(TRIM(IFERROR(_xlfn.XLOOKUP(BC212,Коды_код,Коды_хар)&amp;"",""))),IF(OR(_xlpm.cc="B",_xlpm.cc="В"),"B",IF(_xlpm.cc="D","D","С")))</f>
        <v>С</v>
      </c>
      <c r="DO212" t="str">
        <f t="shared" si="451"/>
        <v>2P С16А 30мА</v>
      </c>
      <c r="DP212" t="str">
        <f t="shared" si="452"/>
        <v>2P С16А 30мА</v>
      </c>
      <c r="DQ212" t="str">
        <f t="shared" si="453"/>
        <v>2P С16А 30мА</v>
      </c>
      <c r="DR212" cm="1">
        <f t="array" ref="DR212">IF(DQ212="","",_xlfn.LET(_xlpm.t,SUBSTITUTE(SUBSTITUTE(SUBSTITUTE(UPPER(DQ212),"С","C"),"А","A"),"В","B"),_xlpm.tk,_xlfn.TEXTSPLIT(_xlpm.t," "),_xlpm.f,_xlfn._xlws.FILTER(_xlpm.tk,ISNUMBER(--MID(_xlpm.tk,2,1))*ISNUMBER(SEARCH(LEFT(_xlpm.tk,1)&amp;"#","B#C#D#"))*(LEN(_xlpm.tk)&gt;1),""),_xlpm.x,INDEX(_xlpm.f,1),IFERROR(--SUBSTITUTE(MID(_xlpm.x,2,9),"A",""),IFERROR(--SUBSTITUTE(INDEX(_xlfn._xlws.FILTER(_xlpm.tk,ISNUMBER(--SUBSTITUTE(_xlpm.tk,"A","")),""),1),"A",""),""))))</f>
        <v>16</v>
      </c>
      <c r="DS212" t="str">
        <f t="shared" si="454"/>
        <v>ok</v>
      </c>
      <c r="DT212">
        <f t="shared" si="455"/>
        <v>16</v>
      </c>
      <c r="DU212" t="str">
        <f t="shared" si="456"/>
        <v>2P С16А 30мА</v>
      </c>
      <c r="DV212">
        <f t="shared" si="457"/>
        <v>30</v>
      </c>
      <c r="DW212">
        <f t="shared" si="458"/>
        <v>1</v>
      </c>
      <c r="DX212">
        <f t="shared" si="459"/>
        <v>0</v>
      </c>
      <c r="DY212">
        <f t="shared" si="460"/>
        <v>0.54696341291648753</v>
      </c>
      <c r="DZ212">
        <f t="shared" si="461"/>
        <v>1</v>
      </c>
      <c r="EA212">
        <f>IF(ISNUMBER(AP212),AP212,К_прокл)</f>
        <v>1</v>
      </c>
      <c r="EB212">
        <f t="shared" si="462"/>
        <v>2</v>
      </c>
      <c r="EC212">
        <f>IFERROR(N(VLOOKUP(BZ212,Кабель_обозначение,3,FALSE)),1)</f>
        <v>1</v>
      </c>
      <c r="ED212">
        <f>IFERROR(N(_xlfn.XLOOKUP(A212,Щиты[Щит],Щиты[ΔU до шин, %])),0)</f>
        <v>0.43</v>
      </c>
      <c r="EE212" t="str">
        <f>IFERROR(_xlfn.XLOOKUP(A212,Щиты[Щит],Щиты[Zпетли на шинах, Ом]),"")</f>
        <v/>
      </c>
      <c r="EF212">
        <f>IFERROR(N(_xlfn.XLOOKUP(A212,Щиты[Щит],Щиты[ΔU до шин (подбор), %])),0)</f>
        <v>0.43</v>
      </c>
      <c r="EG212" t="str">
        <f>IFERROR(_xlfn.XLOOKUP(A212,Щиты[Щит],Щиты[Zпетли на шинах (подбор), Ом]),"")</f>
        <v/>
      </c>
      <c r="EH212" t="str">
        <f t="shared" si="463"/>
        <v/>
      </c>
      <c r="EI212">
        <f t="shared" si="464"/>
        <v>63</v>
      </c>
      <c r="EJ212">
        <f t="shared" si="465"/>
        <v>2</v>
      </c>
      <c r="EK212">
        <f t="shared" si="466"/>
        <v>0.31</v>
      </c>
      <c r="EL212" s="6">
        <f>IF(B212="","",IF(BV212=1,dU_LED,IF(IFERROR(_xlfn.XLOOKUP(BC212,Коды_код,Коды_уго),"")="Светильник",3,4)+IF(Методика="нормы 2026",MIN(0.5,MAX(0,N(P212)-100)*0.005),0)))</f>
        <v>4</v>
      </c>
      <c r="EM212" cm="1">
        <f t="array" ref="EM212">IF(OR(B212="",BZ212="",EC212&lt;&gt;1),"",_xlfn.LET(_xlpm.sz,Iдоп_S,_xlpm.t_,CHOOSE(EB212,Iдоп_1ж,Iдоп_2ж,Iдоп_3ж)*DZ212*EA212,_xlpm.dcx,BV212=1,_xlpm.inn,IF(_xlpm.dcx,N(O212),N(DT212)),_xlpm.smin,MAX(1.5,CC212),_xlpm.L_,N(P212)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212)/N(BU212)*100,999),IFERROR(N(EJ212)*(_xlpm.rho*_xlpm.L_/_xlpm.sz*N(CE212)+_xlpm.xx*_xlpm.L_*N(EK212)/1000)*N(O212)/((Uн_лин/SQRT(3))*1000)*100,999)),_xlpm.kz,IF(OR(_xlpm.dcx,DW212=1,NOT(ISNUMBER(EG212)),_xlpm.L_=0,_xlpm.inn=0),1,IFERROR(--(c_min*(Uн_лин*1000/SQRT(3))/(EG212+2*ρкз_Cu*_xlpm.L_/_xlpm.sz)&gt;=HT212*_xlpm.inn),0)),_xlpm.ok,IFERROR((_xlpm.sz&gt;=_xlpm.smin)*(_xlpm.t_&gt;=_xlpm.inn)*IF(_xlpm.L_&gt;0,(_xlpm.du_+IF(_xlpm.dcx,0,EF212)&lt;=EL212+0.00001),1)*_xlpm.kz,0),_xlpm.r_,_xlfn._xlws.FILTER(_xlpm.sz,_xlpm.ok,"не подобрано"),INDEX(_xlpm.r_,1)))</f>
        <v>1.5</v>
      </c>
      <c r="EN212">
        <f t="shared" si="467"/>
        <v>2.5</v>
      </c>
      <c r="EO212" cm="1">
        <f t="array" ref="EO212">IF(OR(B212="",BZ212="",EC212&lt;&gt;1),"",_xlfn.LET(_xlpm.sz,Iдоп_S,_xlpm.t_,CHOOSE(EB212,Iдоп_1ж,Iдоп_2ж,Iдоп_3ж)*DZ212*EA212,_xlpm.ok,IFERROR((_xlpm.sz&gt;=MAX(1.5,CC212))*(_xlpm.t_&gt;=N(DT212)),0),_xlpm.r_,_xlfn._xlws.FILTER(_xlpm.sz,_xlpm.ok,""),INDEX(_xlpm.r_,1)))</f>
        <v>1.5</v>
      </c>
      <c r="EP212" s="6" cm="1">
        <f t="array" ref="EP212">IFERROR(ROUNDUP(N(EJ212)*(_xlfn.XLOOKUP(EO212,INDEX(Кабель_сопротивление,0,1),INDEX(Кабель_сопротивление,0,3))*N(P212)/EO212*N(CE212)+_xlfn.XLOOKUP(EO212,INDEX(Кабель_сопротивление,0,1),INDEX(Кабель_сопротивление,0,2))*N(P212)*N(EK212)/1000)*N(O212)/((Uн_лин/SQRT(3))*1000)*100,2),"")</f>
        <v>0.49</v>
      </c>
      <c r="EQ212">
        <f>IFERROR(2*ρкз_Cu*N(P212)/EO212,"")</f>
        <v>2.5247999999999999</v>
      </c>
      <c r="ER212">
        <f>IFERROR(VLOOKUP(EN212,Кабель_сопротивление,3,FALSE),"")</f>
        <v>2.2499999999999999E-2</v>
      </c>
      <c r="ES212">
        <f>IFERROR(VLOOKUP(EN212,Кабель_сопротивление,2,FALSE),"")</f>
        <v>0.1</v>
      </c>
      <c r="ET212">
        <f t="shared" si="468"/>
        <v>17</v>
      </c>
      <c r="EU212">
        <f t="shared" si="469"/>
        <v>5</v>
      </c>
      <c r="EV212">
        <f t="shared" si="470"/>
        <v>0.67586299865803856</v>
      </c>
      <c r="EW212" s="6">
        <f>IFERROR(ROUNDUP(EV212/IF(BV212=1,BU212,(Uн_лин/SQRT(3))*1000)*100,2),"")</f>
        <v>0.3</v>
      </c>
      <c r="EX212" t="str">
        <f>IFERROR(VLOOKUP(BZ212,Кабель_обозначение,2,FALSE),"")</f>
        <v>ВВГнг(А)-LS</v>
      </c>
      <c r="EY212" t="str">
        <f t="shared" si="471"/>
        <v>ВВГнг(А)-LS (3х2,5)</v>
      </c>
      <c r="EZ212" t="str">
        <f t="shared" si="472"/>
        <v>ВВГнг(А)-LS (3х2,5)
L=72-0,3%</v>
      </c>
      <c r="FA212">
        <f>IFERROR(2*ρкз_Cu*P212/EN212,"")</f>
        <v>1.51488</v>
      </c>
      <c r="FB212">
        <f t="shared" si="473"/>
        <v>0.50400000000000011</v>
      </c>
      <c r="FC212" s="6" t="str">
        <f>IFERROR(IF(OR(B212="",BV212=1,NOT(ISNUMBER(EN212)),N(P212)=0),"",_xlfn.XLOOKUP(A212,Щиты[Щит],Щиты[Zпетли на шинах, Ом])+FA212),"")</f>
        <v/>
      </c>
      <c r="FD212" s="6" t="str">
        <f>IF(ISNUMBER(FC212),c_min*(Uн_лин*1000/SQRT(3))/FC212,"")</f>
        <v/>
      </c>
      <c r="FE212" s="6" t="str">
        <f>IFERROR(IF(OR(B212="",NOT(ISNUMBER(EN212))),"",1.05*(Uн_лин*1000/SQRT(3))/(_xlfn.XLOOKUP(A212,Щиты[Щит],Щиты[Zmax на шинах, Ом])+FB212)/1000),"")</f>
        <v/>
      </c>
      <c r="FF212" s="6" t="str">
        <f>IF(B212="","",IF(ISNUMBER(AC212),"Сил",IF(IFERROR(_xlfn.XLOOKUP(BC212,Коды_код,Коды_группа)&amp;"","")="","Быт",_xlfn.XLOOKUP(BC212,Коды_код,Коды_группа)&amp;"")))</f>
        <v>Быт</v>
      </c>
      <c r="FG212" s="6" t="str">
        <f t="shared" si="474"/>
        <v>Быт</v>
      </c>
      <c r="FH212" s="6">
        <f>IF(FG212="Щит","щит",IF(FG212="","",IF(FG212="Быт",IFERROR(_xlfn.XLOOKUP(A212,Щиты[Щит],Щиты[Кс быт]),1),IF(FG212="Сил",IF(ISNUMBER(AC212),AC212,IF(Методика="нормы 2026",IFERROR(_xlfn.XLOOKUP(A212,Щиты[Щит],Щиты[Кс силовых (табл. 7.5)]),1),1)),IF(OR(FG212="Пост",FG212="Отоп"),1,IF(FG212="ВНГ",0.7,0))))))</f>
        <v>0.79799999999999993</v>
      </c>
      <c r="FI212">
        <f>IF(FG212="","",IF(AND(BP212=1,TRIM(AE212&amp;"")=""),IF(COUNTIFS(Линии[Щит],A212,Линии[Секция (1/2/3)],"&gt;=2")&gt;0,MIN(3,MAX(1,IFERROR(--BD212,1))),1),IFERROR(MIN(3,MAX(1,INT(--AE212))),1)))</f>
        <v>1</v>
      </c>
      <c r="FJ212">
        <f t="shared" si="475"/>
        <v>0.12</v>
      </c>
      <c r="FK212">
        <f t="shared" si="476"/>
        <v>0.12</v>
      </c>
      <c r="FL212">
        <f t="shared" si="477"/>
        <v>0</v>
      </c>
      <c r="FM212">
        <f t="shared" si="478"/>
        <v>0</v>
      </c>
      <c r="FN212">
        <f t="shared" si="479"/>
        <v>0</v>
      </c>
      <c r="FO212">
        <f t="shared" si="480"/>
        <v>0</v>
      </c>
      <c r="FP212">
        <f t="shared" si="481"/>
        <v>0.12</v>
      </c>
      <c r="FQ212">
        <f t="shared" si="482"/>
        <v>0.12</v>
      </c>
      <c r="FR212">
        <f t="shared" si="483"/>
        <v>0.11399999999999999</v>
      </c>
      <c r="FS212">
        <f>IF(CG212=1,IF(AND(CH212=1,CW212=1),0,IF(AND(CS212&lt;&gt;"",CS212=BA212,CW212=1),SUMIFS(Линии[_Р линии, кВт],Линии[_блок УЗО],BA212,Линии[Щит],A212),N(BS212)+IF(AJ212="вручную",0,N(CK212)))),0)</f>
        <v>0.12</v>
      </c>
      <c r="FT212" t="str">
        <f t="shared" si="484"/>
        <v>L1</v>
      </c>
      <c r="FU212" t="str">
        <f>IF(B212="","",IF(CG212=0,IF(BA212=1,"",FW211),IF(AND(CH212=1,CW212=1,CS212&lt;&gt;""),IFERROR(_xlfn.XLOOKUP(CS212,Линии[_n],Линии[_фаза итог]),"L1"),IF(OR(N(DL212)&gt;=3,N(BX212)&gt;=3),"L1,L2,L3",IFERROR(_xlfn.TEXTBEFORE(_xlfn.TEXTAFTER(_xlfn.XLOOKUP(A212,Щиты[Щит],Щиты[_фазы авто]),";"&amp;BA212&amp;":"),";"),"L1")))))</f>
        <v>L1</v>
      </c>
      <c r="FV212" t="str">
        <f t="shared" si="485"/>
        <v>L1</v>
      </c>
      <c r="FW212" t="str">
        <f t="shared" si="486"/>
        <v>L1</v>
      </c>
      <c r="FX212" cm="1">
        <f t="array" ref="FX212">IFERROR(IF(CD212=2,_xlfn.IFS(BX212=3,VLOOKUP(BS212,Справочная_двигатели,3,FALSE),BX212=1,VLOOKUP(BS212,Справочная_двигатели,5,TRUE)),0),0)</f>
        <v>0</v>
      </c>
      <c r="FY212">
        <f>IFERROR(IF(CD212=3,VLOOKUP(BS212,Справочная_ЛЭД,2,TRUE),0),0)</f>
        <v>0</v>
      </c>
      <c r="FZ212" s="6">
        <f t="shared" si="487"/>
        <v>0</v>
      </c>
      <c r="GA212" t="str">
        <f>IF(B212="","",IF(TRIM(AH212&amp;"")&lt;&gt;"",IF(LOWER(TRIM(AH212&amp;""))="да","да","нет"),IF(IFERROR(_xlfn.XLOOKUP(BC212,Коды_код,Коды_пожарная),"")="да","да","нет")))</f>
        <v>нет</v>
      </c>
      <c r="GB212" t="str">
        <f t="shared" si="488"/>
        <v/>
      </c>
      <c r="GC212" t="str">
        <f t="shared" si="489"/>
        <v>основная</v>
      </c>
      <c r="GD212">
        <f>IF(AND(BP212=1,TRIM(AE212&amp;"")=""),IF(COUNTIFS(Линии[Щит],A212,Линии[Секция (1/2/3)],"&gt;=2")&gt;0,MIN(3,MAX(1,IFERROR(--BD212,1))),1),IFERROR(MIN(3,MAX(1,INT(--AE212))),1))</f>
        <v>1</v>
      </c>
      <c r="GE212" t="str" cm="1">
        <f t="array" ref="GE212">IF(B212="","",_xlfn.LET(_xlpm.t,IFERROR(_xlfn.XLOOKUP(1,(Шины[Шина]=GC212)*(((Шины[Щит]=A212)+(Шины[Щит]=""))&gt;0),Шины[Тип]),"")&amp;"",IF(_xlpm.t&lt;&gt;"",_xlpm.t,IF(ISNUMBER(SEARCH("ИБП",GC212)),"ИБП",IF(ISNUMBER(SEARCH("ДГУ",GC212)),"ДГУ","Ввод "&amp;GD212)))))</f>
        <v>Ввод 1</v>
      </c>
      <c r="GF212" t="str">
        <f t="shared" si="490"/>
        <v>Ввод 1</v>
      </c>
      <c r="GG212" t="str">
        <f>IF(BP212=0,"",IF(TRIM(AG212&amp;"")&lt;&gt;"",TRIM(AG212&amp;""),IF(OR(GE212="ИБП",GE212="ДГУ"),"I особая",_xlfn.XLOOKUP(A212,Щиты[Щит],Щиты[Категория шины «Ввод»],"III"))))</f>
        <v/>
      </c>
      <c r="GH212" t="str">
        <f>IF(A212="","",_xlfn.XLOOKUP(A212,Щиты[Щит],Щиты[Путь],""))</f>
        <v>|ГРЩ-ЖД|ЩР-01|</v>
      </c>
      <c r="GI212" t="str">
        <f>IF(B212="","",IF(AI212&lt;&gt;"",AI212,IF(IFERROR(_xlfn.XLOOKUP(BC212,Коды_код,Коды_вид)&amp;"","")="","Прочее",_xlfn.XLOOKUP(BC212,Коды_код,Коды_вид)&amp;"")))</f>
        <v>Розеточная сеть и бытовые приборы</v>
      </c>
      <c r="GJ212">
        <f>IF(BM212="","",INT((BM212-1)/Столбцов_на_лист)+1)</f>
        <v>3</v>
      </c>
      <c r="GK212" t="str">
        <f t="shared" si="491"/>
        <v>ВВГнг(А)-LS (3х2,5) L=72-0,3%</v>
      </c>
      <c r="GL212">
        <f t="shared" si="492"/>
        <v>0.12</v>
      </c>
      <c r="GM212">
        <f t="shared" si="493"/>
        <v>0.55000000000000004</v>
      </c>
      <c r="GN212">
        <f t="shared" si="494"/>
        <v>1</v>
      </c>
      <c r="GO212">
        <f t="shared" si="495"/>
        <v>0</v>
      </c>
      <c r="GP212">
        <f t="shared" si="496"/>
        <v>1</v>
      </c>
      <c r="GQ212">
        <f>IF(BM212="","",IF(AND(CG212=1,GP212=1),COUNTIFS(A$3:A212,A212,CG$3:CG212,1,GP$3:GP212,1),IF(OR(OR(BA212=1,A212&lt;&gt;A211),AJ212="вручную",GP212=0),"",IF(BA212=1,"",GR211))))</f>
        <v>28</v>
      </c>
      <c r="GR212">
        <f t="shared" si="497"/>
        <v>28</v>
      </c>
      <c r="GS212">
        <f>IF(B212="","",IFERROR(LOOKUP(INDEX(CHOOSE(EB212,Iдоп_1ж,Iдоп_2ж,Iдоп_3ж),MATCH(EN212,Iдоп_S,0))*DZ212*EA212,{6,10,16,20,25,32,40,50,63,80,100,125,160,200,250,315,400,500,630}),""))</f>
        <v>25</v>
      </c>
      <c r="GT212" t="str">
        <f t="shared" si="498"/>
        <v>QFD28</v>
      </c>
      <c r="GU212" t="str">
        <f t="shared" si="499"/>
        <v>QFD28</v>
      </c>
      <c r="GV212" t="str">
        <f t="shared" si="500"/>
        <v/>
      </c>
      <c r="GW212">
        <f t="shared" si="501"/>
        <v>0</v>
      </c>
      <c r="GX212" t="str">
        <f>IF(OR(B212="",DJ212=""),"",IFERROR(_xlfn.XLOOKUP(DJ212,Модули_умолч[Управление],Модули_умолч[Модель])&amp;"",""))</f>
        <v/>
      </c>
      <c r="GY212">
        <f>IF(DJ212="",1,IFERROR(MAX(0,N(_xlfn.XLOOKUP(DJ212,Модули_умолч[Управление],Модули_умолч[Каналов на линию]))),1))</f>
        <v>1</v>
      </c>
      <c r="GZ212" t="str">
        <f t="shared" si="502"/>
        <v/>
      </c>
      <c r="HA212" t="str">
        <f t="shared" si="503"/>
        <v/>
      </c>
      <c r="HB212" t="str">
        <f t="shared" si="504"/>
        <v/>
      </c>
      <c r="HC212">
        <f>IF(HB212="",0,IFERROR(N(VLOOKUP(HB212,Модули_спр,3,FALSE)),0))</f>
        <v>0</v>
      </c>
      <c r="HD212" t="str">
        <f t="shared" si="505"/>
        <v/>
      </c>
      <c r="HE212" t="str">
        <f t="shared" si="506"/>
        <v/>
      </c>
      <c r="HF212" t="str">
        <f>IF(OR(HE212="",HE212="-"),"",IFERROR(VLOOKUP(HE212,Модули_спр,2,FALSE),"R"))</f>
        <v/>
      </c>
      <c r="HG212" t="str">
        <f>IF(HF212="","",HF212&amp;"."&amp;COUNTIFS(A$3:A212,A212,HF$3:HF212,HF212))</f>
        <v/>
      </c>
      <c r="HH212" t="str">
        <f t="shared" si="507"/>
        <v/>
      </c>
      <c r="HI212" t="str">
        <f t="shared" si="508"/>
        <v/>
      </c>
      <c r="HJ212" t="str">
        <f t="shared" si="509"/>
        <v/>
      </c>
      <c r="HK212" t="str">
        <f t="shared" si="510"/>
        <v/>
      </c>
      <c r="HL212">
        <f t="shared" si="511"/>
        <v>1</v>
      </c>
      <c r="HM212" t="str">
        <f>IF(HL212=1,"XT"&amp;COUNTIFS(A$3:A212,A212,HL$3:HL212,1),"")</f>
        <v>XT28</v>
      </c>
      <c r="HN212" t="str">
        <f t="shared" si="512"/>
        <v/>
      </c>
      <c r="HO212" t="str">
        <f t="shared" si="513"/>
        <v>QFD28</v>
      </c>
      <c r="HP212" t="str">
        <f t="shared" si="514"/>
        <v/>
      </c>
      <c r="HQ212" t="str">
        <f t="shared" si="515"/>
        <v>ok</v>
      </c>
      <c r="HR212" t="str">
        <f>IF(OR(HJ212="",HH212=""),"",IF(HJ212+MAX(0,GY212-1)&gt;IFERROR(VLOOKUP(HI212,Модули_спр,3,FALSE),99),"ЛИШНИЙ КАНАЛ",IF(AND(AL212&lt;&gt;"=",GY212&gt;0,COUNTIFS(Линии[_модуль гр.],HH212,Линии[Канал (итог)],HJ212,Линии[Канал],"&lt;&gt;=",Линии[Щит],A212)&gt;1),"ДУБЛЬ КАНАЛА","")))</f>
        <v/>
      </c>
      <c r="HS212" s="6" t="str">
        <f t="shared" si="516"/>
        <v/>
      </c>
      <c r="HT212">
        <f t="shared" si="517"/>
        <v>10</v>
      </c>
      <c r="HU212" t="str">
        <f t="shared" si="518"/>
        <v/>
      </c>
      <c r="HV212">
        <f t="shared" si="519"/>
        <v>0.93878536516659494</v>
      </c>
      <c r="HW212">
        <f t="shared" si="520"/>
        <v>0</v>
      </c>
      <c r="HX212">
        <f t="shared" si="521"/>
        <v>0</v>
      </c>
      <c r="HY212">
        <f t="shared" si="522"/>
        <v>0</v>
      </c>
      <c r="HZ212">
        <f t="shared" si="523"/>
        <v>0</v>
      </c>
      <c r="IA212">
        <f t="shared" si="524"/>
        <v>0</v>
      </c>
      <c r="IB212">
        <f t="shared" si="525"/>
        <v>0</v>
      </c>
      <c r="IC212" t="str">
        <f t="shared" si="526"/>
        <v/>
      </c>
      <c r="ID212" t="str" cm="1">
        <f t="array" ref="ID212">IF(IC212="","",_xlfn.LET(_xlpm.tk,_xlfn.TEXTSPLIT(SUBSTITUTE(SUBSTITUTE(IC212,";"," "),"→"," ")," ",,TRUE),_xlpm.w_,_xlfn._xlws.FILTER(_xlpm.tk,ISNUMBER(--LEFT(_xlpm.tk,1))*((ISNUMBER(SEARCH("W",_xlpm.tk))+ISNUMBER(SEARCH("Вт",_xlpm.tk)))&gt;0),""),IFERROR(--SUBSTITUTE(SUBSTITUTE(UPPER(INDEX(_xlpm.w_,1)),"W",""),"ВТ",""),"")))</f>
        <v/>
      </c>
      <c r="IE212" t="str" cm="1">
        <f t="array" ref="IE212">IF(IC212="","",_xlfn.LET(_xlpm.tk,_xlfn.TEXTSPLIT(SUBSTITUTE(SUBSTITUTE(IC212,";"," "),"→"," ")," ",,TRUE),_xlpm.v_,_xlfn._xlws.FILTER(_xlpm.tk,ISNUMBER(--LEFT(_xlpm.tk,1))*((ISNUMBER(SEARCH("V",_xlpm.tk))+(RIGHT(UPPER(_xlpm.tk))="В"))&gt;0),""),IFERROR(--SUBSTITUTE(SUBSTITUTE(UPPER(INDEX(_xlpm.v_,1)),"V",""),"В",""),"")))</f>
        <v/>
      </c>
      <c r="IF212" s="6" t="str">
        <f>IF(OR(BV212=0,HI212="",HJ212=""),"",IFERROR(N(_xlfn.XLOOKUP(HI212,Каталог!$C$4:$C$500,Каталог!$Q$4:$Q$500)),""))</f>
        <v/>
      </c>
      <c r="IG212" s="6" t="str">
        <f>IF(N(IF212)=0,"",SUMIFS(Линии[Iр, А],Линии[Щит],A212,Линии[_модуль гр.],HH212,Линии[Канал (итог)],HJ212))</f>
        <v/>
      </c>
      <c r="IH212" t="str">
        <f>IF(AND(B212="",HO212=""),"",_xlfn.TEXTJOIN("; ",TRUE,IF(AND(B212&lt;&gt;"",FV212=""),"нет фазы",""),IF(AND(B212&lt;&gt;"",N(GL212)=0,FG212&lt;&gt;"Нет"),"нет мощности",""),IF(AND(HN212&lt;&gt;"",COUNTIFS(Линии[Щит],A212,Линии[Клемма (итог)],HN212)&gt;1),"дубль клеммы "&amp;HN212,""),IF(AND(HQ212&lt;&gt;"",HQ212&lt;&gt;"ok"),HQ212,""),IF(HR212&lt;&gt;"",HR212,""),IF(AND(N(CB212)&gt;=4,N(BX212)=1),CB212&amp;" жил на 1 фазе",""),IF(AND(BC212="R",CG212=1,IF(CS212&lt;&gt;"",N(CV212)&gt;30,OR(N(DA212)=0,N(DA212)&gt;30))),"розетка без дифзащиты до 30 мА",""),IF(AND(CG212=1,N(DA212)&gt;0,ISNUMBER(T212)),IF(T212&gt;N(DA212)/3,"ток утечки "&amp;FIXED(T212,1)&amp;" мА &gt; 1/3 уставки ("&amp;DA212&amp;" мА)",""),""),IF(AND(CH212=1,CS212=""),"«узо»: нет строки с УЗО выше (УЗО 2P 40А 30мА в «Аппаратах»)",""),IF(AND(CS212&lt;&gt;"",CS212=BA212),IF(CT212="","впишите номинал УЗО (УЗО 2P 40А 30мА)",IF(N(CT212)&lt;N(DT212),"УЗО "&amp;CT212&amp;" А &lt; автомата "&amp;DT212&amp;" А перед ним",IF(N(CT212)&lt;N(CX212),"УЗО "&amp;CT212&amp;" А &lt; тока блока "&amp;FIXED(CX212,1)&amp;" А",""))),""),IF(AND(CS212&lt;&gt;"",CS212=BA212,ISNUMBER(CY212)),IF(CY212&gt;N(CV212)/3,"ток утечки блока УЗО "&amp;FIXED(CY212,1)&amp;" мА &gt; 1/3 уставки ("&amp;CV212&amp;" мА)",""),""),IF(AND(CG212=1,N(BV212)+N(IB212)&gt;0,IC212=""),"линии до 50 В без БП: впишите в «Аппараты» (БП 24V 480W)",""),IF(AND(CG212=1,ISNUMBER(ID212),ISNUMBER(U212)),IF(U212&gt;ID212,"БП "&amp;ID212&amp;" Вт &lt; нужно "&amp;U212&amp;" Вт (×"&amp;Запас_БП&amp;")",""),""),IF(AND(CG212=1,ISNUMBER(IE212),N(BV212)=1),IF(IE212&lt;&gt;N(BU212),"БП на "&amp;IE212&amp;" В, линия "&amp;BU212&amp;" В",""),""),IF(AND(N(IF212)&gt;0,N(IG212)&gt;N(IF212)),HH212&amp;" канал "&amp;HJ212&amp;": "&amp;FIXED(IG212,1)&amp;" А &gt; "&amp;IF212&amp;" А",""),IFERROR(IF(AND(ISNUMBER(Q212),Q212&gt;EL212),"потери "&amp;FIXED(Q212,1)&amp;" % &gt; "&amp;EL212&amp;" %",""),""),IFERROR(IF(LEFT(HU212,4)="мало","Iкз мало — отключение &gt; 0,4 с",""),""),IF(AND(B212&lt;&gt;"",BM212=""),"не на схеме",""),IF(AND(CG212=0,B212&lt;&gt;"",FV212&lt;&gt;"",IF(BA212=1,"",FW211)&lt;&gt;"",FV212&lt;&gt;IF(BA212=1,"",FW211)),"фаза не как у автомата группы ("&amp;IF(BA212=1,"",FW211)&amp;")","")))</f>
        <v/>
      </c>
      <c r="II212" s="6">
        <f>IF(OR(CG212=0,DQ212=""),"",_xlfn.LET(_xlpm.t,IFERROR(_xlfn.XLOOKUP(DQ212,Каталог!$U$4:$U$500,Каталог!$G$4:$G$500),""),_xlpm.k,SEARCH("кА",_xlpm.t),IFERROR(--TRIM(RIGHT(SUBSTITUTE(MID(_xlpm.t,MAX(1,_xlpm.k-4),_xlpm.k-MAX(1,_xlpm.k-4))," ",REPT(" ",9)),5)),"")))</f>
        <v>6</v>
      </c>
      <c r="IJ212" t="str">
        <f>IF(OR(II212="",CG212=0),"",IF(_xlfn.XLOOKUP(A212,Щиты[Щит],Щиты[Iкз max на шинах, кА],"")="","",IF(II212&lt;_xlfn.XLOOKUP(A212,Щиты[Щит],Щиты[Iкз max на шинах, кА]),"Icu "&amp;II212&amp;" кА &lt; Iкз max","ok")))</f>
        <v/>
      </c>
      <c r="IK212" t="str">
        <f t="shared" si="527"/>
        <v/>
      </c>
      <c r="IL212" t="str">
        <f t="shared" si="528"/>
        <v>QFD28</v>
      </c>
      <c r="IM212" t="str">
        <f t="shared" si="529"/>
        <v>QFD28|кабель ВВГнг(А)-LS (3х2,5) → Розеточная группа, пом. 015A</v>
      </c>
      <c r="IN212" t="str" cm="1">
        <f t="array" ref="IN212">IF(IM212="","",_xlfn.LET(_xlpm.nd,_xlfn.TEXTSPLIT(IM212,"|"),IF(COLUMNS(_xlpm.nd)&gt;1,A212&amp;"¦"&amp;INDEX(_xlpm.nd,1)&amp;"¦"&amp;INDEX(_xlpm.nd,2),"")))</f>
        <v>ЩР-01¦QFD28¦кабель ВВГнг(А)-LS (3х2,5) → Розеточная группа, пом. 015A</v>
      </c>
      <c r="IO212" t="str">
        <f t="shared" si="530"/>
        <v>R.0.015A.1¦Розеточная группа, пом. 015A</v>
      </c>
      <c r="IP212" t="str" cm="1">
        <f t="array" ref="IP212">IF(IM212="","",_xlfn.LET(_xlpm.nd,_xlfn.TEXTSPLIT(IM212,"|"),IF(COLUMNS(_xlpm.nd)&gt;2,A212&amp;"¦"&amp;INDEX(_xlpm.nd,2)&amp;"¦"&amp;INDEX(_xlpm.nd,3),"")))</f>
        <v/>
      </c>
      <c r="IQ212" t="str">
        <f t="shared" si="531"/>
        <v/>
      </c>
      <c r="IR212" t="str" cm="1">
        <f t="array" ref="IR212">IF(IM212="","",_xlfn.LET(_xlpm.nd,_xlfn.TEXTSPLIT(IM212,"|"),IF(COLUMNS(_xlpm.nd)&gt;3,A212&amp;"¦"&amp;INDEX(_xlpm.nd,3)&amp;"¦"&amp;INDEX(_xlpm.nd,4),"")))</f>
        <v/>
      </c>
      <c r="IS212" t="str">
        <f t="shared" si="532"/>
        <v/>
      </c>
      <c r="IT212" t="str" cm="1">
        <f t="array" ref="IT212">IF(IM212="","",_xlfn.LET(_xlpm.nd,_xlfn.TEXTSPLIT(IM212,"|"),IF(COLUMNS(_xlpm.nd)&gt;4,A212&amp;"¦"&amp;INDEX(_xlpm.nd,4)&amp;"¦"&amp;INDEX(_xlpm.nd,5),"")))</f>
        <v/>
      </c>
      <c r="IU212" t="str">
        <f t="shared" si="533"/>
        <v/>
      </c>
      <c r="IV212" t="str" cm="1">
        <f t="array" ref="IV212">IF(IM212="","",_xlfn.LET(_xlpm.nd,_xlfn.TEXTSPLIT(IM212,"|"),IF(COLUMNS(_xlpm.nd)&gt;5,A212&amp;"¦"&amp;INDEX(_xlpm.nd,5)&amp;"¦"&amp;INDEX(_xlpm.nd,6),"")))</f>
        <v/>
      </c>
      <c r="IW212" t="str">
        <f t="shared" si="534"/>
        <v/>
      </c>
      <c r="IX212" t="str" cm="1">
        <f t="array" ref="IX212">IF(IM212="","",_xlfn.LET(_xlpm.nd,_xlfn.TEXTSPLIT(IM212,"|"),IF(COLUMNS(_xlpm.nd)&gt;6,A212&amp;"¦"&amp;INDEX(_xlpm.nd,6)&amp;"¦"&amp;INDEX(_xlpm.nd,7),"")))</f>
        <v/>
      </c>
      <c r="IY212" t="str">
        <f t="shared" si="535"/>
        <v/>
      </c>
      <c r="IZ212" t="str">
        <f t="shared" si="536"/>
        <v/>
      </c>
      <c r="JA212" t="str">
        <f t="shared" si="537"/>
        <v>QFD28</v>
      </c>
      <c r="JB212">
        <f t="shared" si="538"/>
        <v>0</v>
      </c>
      <c r="JC212">
        <f t="shared" si="539"/>
        <v>1</v>
      </c>
      <c r="JD212" t="str">
        <f t="shared" si="540"/>
        <v/>
      </c>
      <c r="JE212" t="str">
        <f t="shared" si="541"/>
        <v/>
      </c>
      <c r="JF212" t="str">
        <f t="shared" si="542"/>
        <v/>
      </c>
      <c r="JG212" t="str">
        <f t="shared" si="543"/>
        <v/>
      </c>
      <c r="JH212" t="str">
        <f>IF(B212="","",IFERROR(_xlfn.XLOOKUP(B212,Коды_код,Коды_уго),IFERROR(_xlfn.XLOOKUP(BC212,Коды_код,Коды_уго),IFERROR(_xlfn.XLOOKUP(LEFT(BC212,2),Коды_код,Коды_уго),""))))</f>
        <v>Розетка</v>
      </c>
      <c r="JI212" t="str">
        <f>IF(B212="","",IF(OR(JH212="",JH212=0),"BOX",IFERROR(IF(VLOOKUP(JH212,УГО_блоки,3,FALSE)&amp;""&lt;&gt;"",VLOOKUP(JH212,УГО_блоки,3,FALSE),VLOOKUP(JH212,УГО_блоки,2,FALSE)),JH212)))</f>
        <v>SOCKET</v>
      </c>
      <c r="JJ212">
        <f t="shared" si="544"/>
        <v>1</v>
      </c>
      <c r="JK212" t="str">
        <f>IF(DQ212="","",IF(COUNTIF(DQ$3:DQ212,DQ212)=1,MAX(JK$2:JK211)+1,""))</f>
        <v/>
      </c>
      <c r="JL212" t="str">
        <f>IF(DE212="","",IF(COUNTIF(DE$3:DE212,DE212)+COUNTIF(DF$2:DF211,DE212)+COUNTIF(DG$2:DG211,DE212)=1,MAX(JL$2:JN211)+1,""))</f>
        <v/>
      </c>
      <c r="JM212" t="str">
        <f>IF(DF212="","",IF(COUNTIF(DE$3:DE212,DF212)+COUNTIF(DF$3:DF212,DF212)+COUNTIF(DG$2:DG211,DF212)=1,MAX(JL$2:JN211,JL212)+1,""))</f>
        <v/>
      </c>
      <c r="JN212" t="str">
        <f>IF(DG212="","",IF(COUNTIF(DE$3:DE212,DG212)+COUNTIF(DF$3:DF212,DG212)+COUNTIF(DG$3:DG212,DG212)=1,MAX(JL$2:JN211,JL212,JM212)+1,""))</f>
        <v/>
      </c>
      <c r="JO212" t="str">
        <f t="shared" si="545"/>
        <v>3х2,5</v>
      </c>
      <c r="JP212" t="str">
        <f>IF(JO212="","",IF(COUNTIF(JO$3:JO212,JO212)=1,MAX(JP$2:JP211)+1,""))</f>
        <v/>
      </c>
      <c r="JQ212" t="str">
        <f>IF(HG212="","",COUNTIF(HG$3:HG212,"?*"))</f>
        <v/>
      </c>
      <c r="JR212" t="str">
        <f>IF(OR(HG212="",HI212=""),"",IF(COUNTIFS(HG$3:HG212,"?*",HI$3:HI212,HI212)=1,MAX(JR$2:JR211)+1,""))</f>
        <v/>
      </c>
      <c r="JS212">
        <f t="shared" si="546"/>
        <v>0</v>
      </c>
      <c r="JT212">
        <f>IF(B212="","",COUNTIF(B$3:B212,"?*"))</f>
        <v>210</v>
      </c>
      <c r="JU212">
        <f>IF(HL212&lt;&gt;1,0,_xlfn.LET(_xlpm.k,MAX(IFERROR(--_xlfn.XLOOKUP(B212,Коды_код,Коды_3L),0),IFERROR(--_xlfn.XLOOKUP(BC212,Коды_код,Коды_3L),0),IFERROR(--_xlfn.XLOOKUP(LEFT(BC212,2),Коды_код,Коды_3L),0)),IF(_xlpm.k&gt;0,_xlpm.k,IF(IFERROR(--LEFT(SUBSTITUTE(JO212,"x","х"),FIND("х",SUBSTITUTE(JO212,"x","х"))-1),3)&gt;3,Каталог!$S$9,1))))</f>
        <v>1</v>
      </c>
      <c r="JV212">
        <f t="shared" si="547"/>
        <v>0</v>
      </c>
      <c r="JW212" t="str">
        <f t="shared" si="548"/>
        <v>авто</v>
      </c>
      <c r="JX212">
        <f t="shared" si="549"/>
        <v>30</v>
      </c>
      <c r="JY212">
        <f t="shared" si="550"/>
        <v>1</v>
      </c>
      <c r="JZ212">
        <f t="shared" si="551"/>
        <v>1</v>
      </c>
    </row>
    <row r="213" spans="1:286" x14ac:dyDescent="0.3">
      <c r="A213" t="s">
        <v>755</v>
      </c>
      <c r="B213" t="s">
        <v>1520</v>
      </c>
      <c r="C213" t="str">
        <f>Линии[[#This Row],[_авто наименование]]</f>
        <v>Розеточная группа, пом. 017A</v>
      </c>
      <c r="D213">
        <v>4</v>
      </c>
      <c r="E213">
        <v>0.24</v>
      </c>
      <c r="G213" t="str">
        <f>Линии[[#This Row],[_авто автомат]]</f>
        <v>2P С16А 30мА</v>
      </c>
      <c r="H213" t="str">
        <f>Линии[[#This Row],[_авто управление]]</f>
        <v/>
      </c>
      <c r="I213" t="str">
        <f>Линии[[#This Row],[_авто аппараты]]</f>
        <v/>
      </c>
      <c r="J213">
        <v>2.5</v>
      </c>
      <c r="K213">
        <v>63</v>
      </c>
      <c r="L213">
        <v>1</v>
      </c>
      <c r="M213" t="s">
        <v>484</v>
      </c>
      <c r="N213" t="str">
        <f t="shared" si="414"/>
        <v/>
      </c>
      <c r="O213" s="6" cm="1">
        <f t="array" ref="O213">IF(B213="","",IF(BH213&lt;&gt;"",IFERROR(_xlfn.XLOOKUP(BH213,Щиты[Щит],Щиты[Iр, А]),""),IF(BP213=1,IF(OR(N(_xlfn.XLOOKUP(A213,Щиты[Щит],Щиты[Вводов],1))&lt;=1,LOWER(TRIM(_xlfn.XLOOKUP(A213,Щиты[Щит],Щиты[АВР],"")&amp;""))="да"),IFERROR(_xlfn.XLOOKUP(A213,Щиты[Щит],Щиты[Iр, А]),""),IFERROR(N(BS213)*_xlfn.XLOOKUP(A213,Щиты[Щит],Щиты[Кс итог])/(SQRT(3)*Uн_лин*_xlfn.XLOOKUP(A213,Щиты[Щит],Щиты[cos φ])),"")),IF(BV213=1,IFERROR(BS213*1000/BU213,""),IFERROR(_xlfn.IFS(BX213=1,BS213/((Uн_лин/SQRT(3))*CE213),BX213=3,BS213/(SQRT(3)*Uн_лин*CE213)),"")))))</f>
        <v>1.0939268258329751</v>
      </c>
      <c r="P213" s="7">
        <f>IF(B213="","",IFERROR(IF(VLOOKUP(BC213,Потребители_обозначение,4,FALSE)=1,VLOOKUP(BC213,Потребители_обозначение,3,FALSE)*(MAX(1,N(D213))*2-1)+EI213+VLOOKUP(BE213,Этаж_обозначение,3,FALSE)+VLOOKUP(BE213,Этаж_обозначение,4,FALSE),VLOOKUP(BC213,Потребители_обозначение,3,FALSE)*(MAX(1,N(D213))*2-1)+EI213),EI213))</f>
        <v>84</v>
      </c>
      <c r="Q213" s="6">
        <f t="shared" si="415"/>
        <v>1.1200000000000001</v>
      </c>
      <c r="R213" t="str">
        <f t="shared" si="416"/>
        <v>ВВГнг(А)-LS (3х2,5)</v>
      </c>
      <c r="S213" t="str">
        <f>IF(BM213="","",IF(BN213="вводной узел","узел ","")&amp;"л."&amp;(INT((BM213-1)/Столбцов_на_лист)+1)&amp;" / "&amp;(MOD(BM213-1,Столбцов_на_лист)+1))</f>
        <v>л.3 / 7</v>
      </c>
      <c r="T213" s="119">
        <f t="shared" si="417"/>
        <v>1.3</v>
      </c>
      <c r="U213" s="7" t="str">
        <f>IF(OR(CG213=0,N(BV213)+N(IB213)=0),"",ROUNDUP(Запас_БП*(N(HY213)+N(HZ213)),0))</f>
        <v/>
      </c>
      <c r="V213" s="119" t="str">
        <f t="shared" si="418"/>
        <v/>
      </c>
      <c r="W213" s="7" t="str">
        <f>IFERROR(IF(OR(B213="",BP213=1,BV213=1,NOT(ISNUMBER(EN213)),N(DT213)=0),"",MAX(0,ROUNDDOWN((c_min*(Uн_лин*1000/SQRT(3))/(HT213*N(DT213))-_xlfn.XLOOKUP(A213,Щиты[Щит],Щиты[Zпетли на шинах, Ом]))*EN213/(2*ρкз_Cu),0))),"")</f>
        <v/>
      </c>
      <c r="Y213">
        <f>Линии[[#This Row],[_авто утечка]]</f>
        <v>30</v>
      </c>
      <c r="Z213">
        <v>1</v>
      </c>
      <c r="AA213">
        <v>230</v>
      </c>
      <c r="AB213" t="s">
        <v>562</v>
      </c>
      <c r="AG213" t="s">
        <v>810</v>
      </c>
      <c r="AI213" t="s">
        <v>561</v>
      </c>
      <c r="AK213" t="str">
        <f>Линии[[#This Row],[_авто модуль]]</f>
        <v/>
      </c>
      <c r="AM213">
        <v>41</v>
      </c>
      <c r="AN213" t="s">
        <v>11</v>
      </c>
      <c r="AO213">
        <v>3</v>
      </c>
      <c r="AQ213">
        <v>45</v>
      </c>
      <c r="AR213">
        <v>30</v>
      </c>
      <c r="AS213">
        <v>9</v>
      </c>
      <c r="BA213" cm="1">
        <f t="array" ref="BA213">ROW()-ROW(Линии[#Headers])</f>
        <v>211</v>
      </c>
      <c r="BC213" s="6" t="str">
        <f t="shared" si="419"/>
        <v>R</v>
      </c>
      <c r="BD213" t="str">
        <f t="shared" si="420"/>
        <v>0.017A.1</v>
      </c>
      <c r="BE213" t="str">
        <f t="shared" si="421"/>
        <v>0</v>
      </c>
      <c r="BF213" t="str">
        <f t="shared" si="422"/>
        <v>017A.1</v>
      </c>
      <c r="BG213" t="str">
        <f t="shared" si="423"/>
        <v>017A</v>
      </c>
      <c r="BH213" t="str">
        <f>IF(X213&lt;&gt;"",X213,IF(AND(B213&lt;&gt;"",B213&lt;&gt;A213,ISNUMBER(_xlfn.XMATCH(B213,Щиты[Щит]))),B213,""))</f>
        <v/>
      </c>
      <c r="BI213" t="str" cm="1">
        <f t="array" ref="BI213">IF(B213="","",IF(BH213&lt;&gt;"","Щит "&amp;BH213,_xlfn.LET(_xlpm.nm,IFERROR(_xlfn.XLOOKUP(BC213,Коды_код,Коды_имя)&amp;"",""),_xlpm.md,IFERROR(N(_xlfn.XLOOKUP(BC213,Коды_код,Коды_режим)),1),_xlpm.ex,IF(Имя_режим="по экспликации",IFERROR(_xlfn.XLOOKUP(BE213&amp;"|"&amp;BG213,Экспликация[Этаж]&amp;"|"&amp;Экспликация[Помещение],Экспликация[Название])&amp;"",""),""),_xlpm.rm,IF(BG213="","",IF(_xlpm.ex&lt;&gt;"",". "&amp;_xlpm.ex&amp;IF(Имя_пом="нет"," ("&amp;BG213&amp;")"," (пом. "&amp;BG213&amp;")"),IF(Имя_пом="нет"," ",", пом. ")&amp;BG213)),IF(_xlpm.nm="","",IF(_xlpm.md=2,_xlpm.nm&amp;" шлейф "&amp;BE213,_xlpm.nm&amp;_xlpm.rm)))))</f>
        <v>Розеточная группа, пом. 017A</v>
      </c>
      <c r="BJ213" t="str">
        <f t="shared" si="424"/>
        <v>Розеточная группа, пом. 017A</v>
      </c>
      <c r="BK213">
        <f>IFERROR(_xlfn.XMATCH(A213,Щиты[Щит]),0)</f>
        <v>9</v>
      </c>
      <c r="BL213">
        <f>_xlfn.LET(_xlpm.k,IFERROR(_xlfn.XLOOKUP(A213,Щиты[Щит],Щиты[Мест под вводной узел]),""),IF(_xlpm.k="",Столбцов_на_лист,N(_xlpm.k)))</f>
        <v>8</v>
      </c>
      <c r="BM213">
        <f t="shared" si="425"/>
        <v>41</v>
      </c>
      <c r="BN213" t="str">
        <f t="shared" si="426"/>
        <v>линии</v>
      </c>
      <c r="BO213" s="6">
        <f>IFERROR(N(_xlfn.XLOOKUP(BC213,Коды_код,Коды_квт)),0)</f>
        <v>0</v>
      </c>
      <c r="BP213">
        <f t="shared" si="427"/>
        <v>0</v>
      </c>
      <c r="BQ213" t="str">
        <f>IF(B213="","",IF(BH213&lt;&gt;"",IFERROR(_xlfn.XLOOKUP(BH213,Щиты[Щит],Щиты[Руст, кВт]),0),IF(BP213=1,IF(OR(N(_xlfn.XLOOKUP(A213,Щиты[Щит],Щиты[Вводов],1))&lt;=1,LOWER(TRIM(_xlfn.XLOOKUP(A213,Щиты[Щит],Щиты[АВР],"")&amp;""))="да"),IFERROR(_xlfn.XLOOKUP(A213,Щиты[Щит],Щиты[Руст, кВт]),0),SUMIFS(Линии[_Р для вводов],Линии[Щит],A213,Линии[Источник для режимов],GF213)),IF(BO213&gt;0,ROUND(BO213*MAX(1,N(D213)),3),""))))</f>
        <v/>
      </c>
      <c r="BR213">
        <f t="shared" si="428"/>
        <v>0.24</v>
      </c>
      <c r="BS213" s="6">
        <f>IF(B213="","",IF(BH213&lt;&gt;"",IFERROR(_xlfn.XLOOKUP(BH213,Щиты[Щит],Щиты[Руст, кВт]),0),N(BR213)))</f>
        <v>0.24</v>
      </c>
      <c r="BT213" t="str">
        <f>IF(B213="","",IFERROR(IF(VLOOKUP(BC213,Потребители_обозначение,8,FALSE)=0,"",VLOOKUP(BC213,Потребители_обозначение,8,FALSE)),""))</f>
        <v/>
      </c>
      <c r="BU213">
        <f t="shared" si="429"/>
        <v>230</v>
      </c>
      <c r="BV213">
        <f t="shared" si="430"/>
        <v>0</v>
      </c>
      <c r="BW213">
        <f>IF(B213="","",IF(BH213&lt;&gt;"",3,IFERROR(IF(N(VLOOKUP(BC213,Потребители_обозначение,9,FALSE))=0,1,VLOOKUP(BC213,Потребители_обозначение,9,FALSE)),1)))</f>
        <v>1</v>
      </c>
      <c r="BX213">
        <f t="shared" si="431"/>
        <v>1</v>
      </c>
      <c r="BY213" t="str">
        <f>IF(B213="","",_xlfn.LET(_xlpm.bc,IFERROR(IF(VLOOKUP(BC213,Потребители_обозначение,6,FALSE)=0,"",VLOOKUP(BC213,Потребители_обозначение,6,FALSE)&amp;""),""),IF(AND(GA213="да",OR(_xlpm.bc="",_xlpm.bc="мс")),Марка_пож,IF(AND(_xlpm.bc="",BH213&lt;&gt;""),"мс",_xlpm.bc))))</f>
        <v/>
      </c>
      <c r="BZ213" t="str">
        <f t="shared" si="432"/>
        <v>мс</v>
      </c>
      <c r="CA213">
        <f>IF(B213="","",_xlfn.LET(_xlpm.cc,IFERROR(N(VLOOKUP(BC213,Потребители_обозначение,7,FALSE)),0),IF(_xlpm.cc&gt;0,_xlpm.cc,IF(BZ213="","",IF(BV213=1,2,IF(N(BX213)=3,5,3))))))</f>
        <v>3</v>
      </c>
      <c r="CB213">
        <f t="shared" si="433"/>
        <v>3</v>
      </c>
      <c r="CC213">
        <f>IFERROR(N(VLOOKUP(BC213,Потребители_обозначение,10,FALSE)),0)</f>
        <v>0</v>
      </c>
      <c r="CD213">
        <f>IFERROR(VLOOKUP(BC213,Потребители_обозначение,5,FALSE),0)</f>
        <v>1</v>
      </c>
      <c r="CE213" s="6" cm="1">
        <f t="array" ref="CE213">IF(B213="","",IF(BH213&lt;&gt;"",IFERROR(_xlfn.XLOOKUP(BH213,Щиты[Щит],Щиты[cos φ]),0.95),IF(BP213=1,IFERROR(_xlfn.XLOOKUP(A213,Щиты[Щит],Щиты[cos φ]),0.95),IF(ISNUMBER(AD213),AD213,IFERROR(IF(CD213=2,_xlfn.IFS(BX213=3,VLOOKUP(BS213,Справочная_двигатели,8,FALSE),BX213=1,VLOOKUP(BS213,Справочная_двигатели,10,TRUE)),IF(AND(Методика="нормы 2026",FG213="Сил"),0.8,0.95)),0.95)))))</f>
        <v>0.95</v>
      </c>
      <c r="CF213">
        <f t="shared" si="434"/>
        <v>0</v>
      </c>
      <c r="CG213">
        <f t="shared" si="435"/>
        <v>1</v>
      </c>
      <c r="CH213">
        <f t="shared" si="436"/>
        <v>0</v>
      </c>
      <c r="CI213">
        <f>IF(B213="","",IF(BV213=1,IFERROR(BS213/((Uн_лин/SQRT(3))*MAX(0.5,N(CE213))),0),N(O213)))</f>
        <v>1.0939268258329751</v>
      </c>
      <c r="CJ213">
        <f t="shared" si="437"/>
        <v>0</v>
      </c>
      <c r="CK213">
        <f t="shared" si="438"/>
        <v>0</v>
      </c>
      <c r="CL213">
        <f t="shared" si="439"/>
        <v>0</v>
      </c>
      <c r="CM213">
        <f t="shared" si="440"/>
        <v>0</v>
      </c>
      <c r="CN213">
        <f t="shared" si="441"/>
        <v>0</v>
      </c>
      <c r="CO213">
        <f>IF(BC213="",0,_xlfn.LET(_xlpm.v,IFERROR(_xlfn.XLOOKUP(B213,Коды_код,Коды_мА),IFERROR(_xlfn.XLOOKUP(BC213,Коды_код,Коды_мА),IFERROR(_xlfn.XLOOKUP(LEFT(BC213,2),Коды_код,Коды_мА),""))),IF(_xlpm.v="да",30,IF(ISNUMBER(_xlpm.v),_xlpm.v,0))))</f>
        <v>30</v>
      </c>
      <c r="CP213">
        <f t="shared" si="442"/>
        <v>30</v>
      </c>
      <c r="CQ213" t="str">
        <f>_xlfn.LET(_xlpm.k,IFERROR(_xlfn.XLOOKUP(BC213,Коды_код,Коды_утечка)&amp;"",""),IF(_xlpm.k="","дифавтомат",_xlpm.k))</f>
        <v>дифавтомат</v>
      </c>
      <c r="CR213" t="str" cm="1">
        <f t="array" ref="CR213">IF(CG213=0,"",_xlfn.LET(_xlpm.sg,TRIM(_xlfn.TEXTSPLIT(DD213&amp;"",";")),_xlpm.f_,_xlfn._xlws.FILTER(_xlpm.sg,LEFT(_xlpm.sg,3)="УЗО",""),IFERROR(INDEX(_xlpm.f_,1)&amp;"","")))</f>
        <v/>
      </c>
      <c r="CS213" t="str">
        <f t="shared" si="443"/>
        <v/>
      </c>
      <c r="CT213" s="6" t="str" cm="1">
        <f t="array" ref="CT213">IF(CR213="","",_xlfn.LET(_xlpm.tk,_xlfn.TEXTSPLIT(UPPER(CR213)," ",,TRUE),_xlpm.a_,_xlfn._xlws.FILTER(_xlpm.tk,ISNUMBER(--LEFT(_xlpm.tk,1))*((ISNUMBER(SEARCH("А",_xlpm.tk))+ISNUMBER(SEARCH("A",_xlpm.tk)))&gt;0)*NOT(ISNUMBER(SEARCH("МА",_xlpm.tk)))*NOT(ISNUMBER(SEARCH("MA",_xlpm.tk))),""),IFERROR(--SUBSTITUTE(SUBSTITUTE(INDEX(_xlpm.a_,1),"А",""),"A",""),"")))</f>
        <v/>
      </c>
      <c r="CU213" t="str" cm="1">
        <f t="array" ref="CU213">IF(CR213="","",_xlfn.LET(_xlpm.tk,_xlfn.TEXTSPLIT(UPPER(CR213)," ",,TRUE),_xlpm.a_,_xlfn._xlws.FILTER(_xlpm.tk,ISNUMBER(--LEFT(_xlpm.tk,1))*((ISNUMBER(SEARCH("МА",_xlpm.tk))+ISNUMBER(SEARCH("MA",_xlpm.tk)))&gt;0),""),IFERROR(--SUBSTITUTE(SUBSTITUTE(INDEX(_xlpm.a_,1),"МА",""),"MA",""),30)))</f>
        <v/>
      </c>
      <c r="CV213" t="str">
        <f>IF(CS213="","",IFERROR(_xlfn.XLOOKUP(CS213,Линии[_n],Линии[_УЗО, мА]),30))</f>
        <v/>
      </c>
      <c r="CW213">
        <f>IF(CS213="",0,IF(ISNUMBER(SEARCH("4P",IFERROR(_xlfn.XLOOKUP(CS213,Линии[_n],Линии[_УЗО строки])&amp;"",""))),0,1))</f>
        <v>0</v>
      </c>
      <c r="CX213" t="str">
        <f>IF(AND(CS213&lt;&gt;"",CS213=BA213),SUMIFS(Линии[_ток на 230 В],Линии[_блок УЗО],BA213,Линии[Щит],A213),"")</f>
        <v/>
      </c>
      <c r="CY213" t="str">
        <f>IF(AND(CS213&lt;&gt;"",CS213=BA213),SUMIFS(Линии[_ток утечки линии, мА],Линии[_блок УЗО],BA213,Линии[Щит],A213),"")</f>
        <v/>
      </c>
      <c r="CZ213">
        <f t="shared" si="444"/>
        <v>30</v>
      </c>
      <c r="DA213">
        <f t="shared" si="445"/>
        <v>30</v>
      </c>
      <c r="DB213">
        <f>IF(B213="",0,IFERROR(--_xlfn.XLOOKUP(B213,Коды_код,Коды_минавт),IFERROR(--_xlfn.XLOOKUP(BC213,Коды_код,Коды_минавт),IFERROR(--_xlfn.XLOOKUP(LEFT(BC213,2),Коды_код,Коды_минавт),0))))</f>
        <v>16</v>
      </c>
      <c r="DC213" t="str">
        <f>IF(B213="","",IFERROR(_xlfn.XLOOKUP(BC213,Коды_код,Коды_апп)&amp;"",""))</f>
        <v/>
      </c>
      <c r="DD213" t="str">
        <f t="shared" si="446"/>
        <v/>
      </c>
      <c r="DE213" t="str" cm="1">
        <f t="array" ref="DE213">IF(TRIM(DD213&amp;"")="","",IFERROR(TRIM(INDEX(_xlfn.TEXTSPLIT(DD213&amp;";;;",";"),1)),""))</f>
        <v/>
      </c>
      <c r="DF213" t="str" cm="1">
        <f t="array" ref="DF213">IF(TRIM(DD213&amp;"")="","",IFERROR(TRIM(INDEX(_xlfn.TEXTSPLIT(DD213&amp;";;;",";"),2)),""))</f>
        <v/>
      </c>
      <c r="DG213" t="str" cm="1">
        <f t="array" ref="DG213">IF(TRIM(DD213&amp;"")="","",IFERROR(TRIM(INDEX(_xlfn.TEXTSPLIT(DD213&amp;";;;",";"),3)),""))</f>
        <v/>
      </c>
      <c r="DH213">
        <f t="shared" si="447"/>
        <v>0</v>
      </c>
      <c r="DI213" t="str">
        <f>IF(B213="","",_xlfn.LET(_xlpm.t,LOWER(AZ213&amp;""),IF(ISNUMBER(SEARCH("dim",_xlpm.t)),"DIM",IF(ISNUMBER(SEARCH("dali",_xlpm.t)),"DALI",IF(OR(ISNUMBER(SEARCH("relay",_xlpm.t)),ISNUMBER(SEARCH("реле",_xlpm.t))),"Relay",IF(ISNUMBER(SEARCH("кнопк",_xlpm.t)),"",IFERROR(_xlfn.XLOOKUP(BC213,Коды_код,Коды_упр)&amp;"","")))))))</f>
        <v/>
      </c>
      <c r="DJ213" t="str">
        <f t="shared" si="448"/>
        <v/>
      </c>
      <c r="DK213">
        <f>IF(B213="","",_xlfn.LET(_xlpm.ig,IF(N(CX213)&gt;0,N(CX213),N(CI213)+IF(AJ213="вручную",0,N(CJ213))),_xlpm.n0,IFERROR(VLOOKUP(_xlpm.ig,Автомат_номиналы,2,TRUE),0),_xlpm.mn,MAX(DB213,IF(AJ213="вручную",0,N(CM213))),MAX(_xlpm.n0,_xlpm.mn,IF(DH213=1,Мин_автомат_БП,0))))</f>
        <v>16</v>
      </c>
      <c r="DL213">
        <f t="shared" si="449"/>
        <v>1</v>
      </c>
      <c r="DM213" t="str">
        <f t="shared" si="450"/>
        <v>2P</v>
      </c>
      <c r="DN213" t="str">
        <f>_xlfn.LET(_xlpm.cc,UPPER(TRIM(IFERROR(_xlfn.XLOOKUP(BC213,Коды_код,Коды_хар)&amp;"",""))),IF(OR(_xlpm.cc="B",_xlpm.cc="В"),"B",IF(_xlpm.cc="D","D","С")))</f>
        <v>С</v>
      </c>
      <c r="DO213" t="str">
        <f t="shared" si="451"/>
        <v>2P С16А 30мА</v>
      </c>
      <c r="DP213" t="str">
        <f t="shared" si="452"/>
        <v>2P С16А 30мА</v>
      </c>
      <c r="DQ213" t="str">
        <f t="shared" si="453"/>
        <v>2P С16А 30мА</v>
      </c>
      <c r="DR213" cm="1">
        <f t="array" ref="DR213">IF(DQ213="","",_xlfn.LET(_xlpm.t,SUBSTITUTE(SUBSTITUTE(SUBSTITUTE(UPPER(DQ213),"С","C"),"А","A"),"В","B"),_xlpm.tk,_xlfn.TEXTSPLIT(_xlpm.t," "),_xlpm.f,_xlfn._xlws.FILTER(_xlpm.tk,ISNUMBER(--MID(_xlpm.tk,2,1))*ISNUMBER(SEARCH(LEFT(_xlpm.tk,1)&amp;"#","B#C#D#"))*(LEN(_xlpm.tk)&gt;1),""),_xlpm.x,INDEX(_xlpm.f,1),IFERROR(--SUBSTITUTE(MID(_xlpm.x,2,9),"A",""),IFERROR(--SUBSTITUTE(INDEX(_xlfn._xlws.FILTER(_xlpm.tk,ISNUMBER(--SUBSTITUTE(_xlpm.tk,"A","")),""),1),"A",""),""))))</f>
        <v>16</v>
      </c>
      <c r="DS213" t="str">
        <f t="shared" si="454"/>
        <v>ok</v>
      </c>
      <c r="DT213">
        <f t="shared" si="455"/>
        <v>16</v>
      </c>
      <c r="DU213" t="str">
        <f t="shared" si="456"/>
        <v>2P С16А 30мА</v>
      </c>
      <c r="DV213">
        <f t="shared" si="457"/>
        <v>30</v>
      </c>
      <c r="DW213">
        <f t="shared" si="458"/>
        <v>1</v>
      </c>
      <c r="DX213">
        <f t="shared" si="459"/>
        <v>0</v>
      </c>
      <c r="DY213">
        <f t="shared" si="460"/>
        <v>1.0939268258329751</v>
      </c>
      <c r="DZ213">
        <f t="shared" si="461"/>
        <v>1</v>
      </c>
      <c r="EA213">
        <f>IF(ISNUMBER(AP213),AP213,К_прокл)</f>
        <v>1</v>
      </c>
      <c r="EB213">
        <f t="shared" si="462"/>
        <v>2</v>
      </c>
      <c r="EC213">
        <f>IFERROR(N(VLOOKUP(BZ213,Кабель_обозначение,3,FALSE)),1)</f>
        <v>1</v>
      </c>
      <c r="ED213">
        <f>IFERROR(N(_xlfn.XLOOKUP(A213,Щиты[Щит],Щиты[ΔU до шин, %])),0)</f>
        <v>0.43</v>
      </c>
      <c r="EE213" t="str">
        <f>IFERROR(_xlfn.XLOOKUP(A213,Щиты[Щит],Щиты[Zпетли на шинах, Ом]),"")</f>
        <v/>
      </c>
      <c r="EF213">
        <f>IFERROR(N(_xlfn.XLOOKUP(A213,Щиты[Щит],Щиты[ΔU до шин (подбор), %])),0)</f>
        <v>0.43</v>
      </c>
      <c r="EG213" t="str">
        <f>IFERROR(_xlfn.XLOOKUP(A213,Щиты[Щит],Щиты[Zпетли на шинах (подбор), Ом]),"")</f>
        <v/>
      </c>
      <c r="EH213" t="str">
        <f t="shared" si="463"/>
        <v/>
      </c>
      <c r="EI213">
        <f t="shared" si="464"/>
        <v>63</v>
      </c>
      <c r="EJ213">
        <f t="shared" si="465"/>
        <v>2</v>
      </c>
      <c r="EK213">
        <f t="shared" si="466"/>
        <v>0.31</v>
      </c>
      <c r="EL213" s="6">
        <f>IF(B213="","",IF(BV213=1,dU_LED,IF(IFERROR(_xlfn.XLOOKUP(BC213,Коды_код,Коды_уго),"")="Светильник",3,4)+IF(Методика="нормы 2026",MIN(0.5,MAX(0,N(P213)-100)*0.005),0)))</f>
        <v>4</v>
      </c>
      <c r="EM213" cm="1">
        <f t="array" ref="EM213">IF(OR(B213="",BZ213="",EC213&lt;&gt;1),"",_xlfn.LET(_xlpm.sz,Iдоп_S,_xlpm.t_,CHOOSE(EB213,Iдоп_1ж,Iдоп_2ж,Iдоп_3ж)*DZ213*EA213,_xlpm.dcx,BV213=1,_xlpm.inn,IF(_xlpm.dcx,N(O213),N(DT213)),_xlpm.smin,MAX(1.5,CC213),_xlpm.L_,N(P213)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213)/N(BU213)*100,999),IFERROR(N(EJ213)*(_xlpm.rho*_xlpm.L_/_xlpm.sz*N(CE213)+_xlpm.xx*_xlpm.L_*N(EK213)/1000)*N(O213)/((Uн_лин/SQRT(3))*1000)*100,999)),_xlpm.kz,IF(OR(_xlpm.dcx,DW213=1,NOT(ISNUMBER(EG213)),_xlpm.L_=0,_xlpm.inn=0),1,IFERROR(--(c_min*(Uн_лин*1000/SQRT(3))/(EG213+2*ρкз_Cu*_xlpm.L_/_xlpm.sz)&gt;=HT213*_xlpm.inn),0)),_xlpm.ok,IFERROR((_xlpm.sz&gt;=_xlpm.smin)*(_xlpm.t_&gt;=_xlpm.inn)*IF(_xlpm.L_&gt;0,(_xlpm.du_+IF(_xlpm.dcx,0,EF213)&lt;=EL213+0.00001),1)*_xlpm.kz,0),_xlpm.r_,_xlfn._xlws.FILTER(_xlpm.sz,_xlpm.ok,"не подобрано"),INDEX(_xlpm.r_,1)))</f>
        <v>1.5</v>
      </c>
      <c r="EN213">
        <f t="shared" si="467"/>
        <v>2.5</v>
      </c>
      <c r="EO213" cm="1">
        <f t="array" ref="EO213">IF(OR(B213="",BZ213="",EC213&lt;&gt;1),"",_xlfn.LET(_xlpm.sz,Iдоп_S,_xlpm.t_,CHOOSE(EB213,Iдоп_1ж,Iдоп_2ж,Iдоп_3ж)*DZ213*EA213,_xlpm.ok,IFERROR((_xlpm.sz&gt;=MAX(1.5,CC213))*(_xlpm.t_&gt;=N(DT213)),0),_xlpm.r_,_xlfn._xlws.FILTER(_xlpm.sz,_xlpm.ok,""),INDEX(_xlpm.r_,1)))</f>
        <v>1.5</v>
      </c>
      <c r="EP213" s="6" cm="1">
        <f t="array" ref="EP213">IFERROR(ROUNDUP(N(EJ213)*(_xlfn.XLOOKUP(EO213,INDEX(Кабель_сопротивление,0,1),INDEX(Кабель_сопротивление,0,3))*N(P213)/EO213*N(CE213)+_xlfn.XLOOKUP(EO213,INDEX(Кабель_сопротивление,0,1),INDEX(Кабель_сопротивление,0,2))*N(P213)*N(EK213)/1000)*N(O213)/((Uн_лин/SQRT(3))*1000)*100,2),"")</f>
        <v>1.1399999999999999</v>
      </c>
      <c r="EQ213">
        <f>IFERROR(2*ρкз_Cu*N(P213)/EO213,"")</f>
        <v>2.9456000000000002</v>
      </c>
      <c r="ER213">
        <f>IFERROR(VLOOKUP(EN213,Кабель_сопротивление,3,FALSE),"")</f>
        <v>2.2499999999999999E-2</v>
      </c>
      <c r="ES213">
        <f>IFERROR(VLOOKUP(EN213,Кабель_сопротивление,2,FALSE),"")</f>
        <v>0.1</v>
      </c>
      <c r="ET213">
        <f t="shared" si="468"/>
        <v>30</v>
      </c>
      <c r="EU213">
        <f t="shared" si="469"/>
        <v>9</v>
      </c>
      <c r="EV213">
        <f t="shared" si="470"/>
        <v>1.5770136635354235</v>
      </c>
      <c r="EW213" s="6">
        <f>IFERROR(ROUNDUP(EV213/IF(BV213=1,BU213,(Uн_лин/SQRT(3))*1000)*100,2),"")</f>
        <v>0.69000000000000006</v>
      </c>
      <c r="EX213" t="str">
        <f>IFERROR(VLOOKUP(BZ213,Кабель_обозначение,2,FALSE),"")</f>
        <v>ВВГнг(А)-LS</v>
      </c>
      <c r="EY213" t="str">
        <f t="shared" si="471"/>
        <v>ВВГнг(А)-LS (3х2,5)</v>
      </c>
      <c r="EZ213" t="str">
        <f t="shared" si="472"/>
        <v>ВВГнг(А)-LS (3х2,5)
L=84-0,69%</v>
      </c>
      <c r="FA213">
        <f>IFERROR(2*ρкз_Cu*P213/EN213,"")</f>
        <v>1.76736</v>
      </c>
      <c r="FB213">
        <f t="shared" si="473"/>
        <v>0.58800000000000008</v>
      </c>
      <c r="FC213" s="6" t="str">
        <f>IFERROR(IF(OR(B213="",BV213=1,NOT(ISNUMBER(EN213)),N(P213)=0),"",_xlfn.XLOOKUP(A213,Щиты[Щит],Щиты[Zпетли на шинах, Ом])+FA213),"")</f>
        <v/>
      </c>
      <c r="FD213" s="6" t="str">
        <f>IF(ISNUMBER(FC213),c_min*(Uн_лин*1000/SQRT(3))/FC213,"")</f>
        <v/>
      </c>
      <c r="FE213" s="6" t="str">
        <f>IFERROR(IF(OR(B213="",NOT(ISNUMBER(EN213))),"",1.05*(Uн_лин*1000/SQRT(3))/(_xlfn.XLOOKUP(A213,Щиты[Щит],Щиты[Zmax на шинах, Ом])+FB213)/1000),"")</f>
        <v/>
      </c>
      <c r="FF213" s="6" t="str">
        <f>IF(B213="","",IF(ISNUMBER(AC213),"Сил",IF(IFERROR(_xlfn.XLOOKUP(BC213,Коды_код,Коды_группа)&amp;"","")="","Быт",_xlfn.XLOOKUP(BC213,Коды_код,Коды_группа)&amp;"")))</f>
        <v>Быт</v>
      </c>
      <c r="FG213" s="6" t="str">
        <f t="shared" si="474"/>
        <v>Быт</v>
      </c>
      <c r="FH213" s="6">
        <f>IF(FG213="Щит","щит",IF(FG213="","",IF(FG213="Быт",IFERROR(_xlfn.XLOOKUP(A213,Щиты[Щит],Щиты[Кс быт]),1),IF(FG213="Сил",IF(ISNUMBER(AC213),AC213,IF(Методика="нормы 2026",IFERROR(_xlfn.XLOOKUP(A213,Щиты[Щит],Щиты[Кс силовых (табл. 7.5)]),1),1)),IF(OR(FG213="Пост",FG213="Отоп"),1,IF(FG213="ВНГ",0.7,0))))))</f>
        <v>0.79799999999999993</v>
      </c>
      <c r="FI213">
        <f>IF(FG213="","",IF(AND(BP213=1,TRIM(AE213&amp;"")=""),IF(COUNTIFS(Линии[Щит],A213,Линии[Секция (1/2/3)],"&gt;=2")&gt;0,MIN(3,MAX(1,IFERROR(--BD213,1))),1),IFERROR(MIN(3,MAX(1,INT(--AE213))),1)))</f>
        <v>1</v>
      </c>
      <c r="FJ213">
        <f t="shared" si="475"/>
        <v>0.24</v>
      </c>
      <c r="FK213">
        <f t="shared" si="476"/>
        <v>0.24</v>
      </c>
      <c r="FL213">
        <f t="shared" si="477"/>
        <v>0</v>
      </c>
      <c r="FM213">
        <f t="shared" si="478"/>
        <v>0</v>
      </c>
      <c r="FN213">
        <f t="shared" si="479"/>
        <v>0</v>
      </c>
      <c r="FO213">
        <f t="shared" si="480"/>
        <v>0</v>
      </c>
      <c r="FP213">
        <f t="shared" si="481"/>
        <v>0.24</v>
      </c>
      <c r="FQ213">
        <f t="shared" si="482"/>
        <v>0.24</v>
      </c>
      <c r="FR213">
        <f t="shared" si="483"/>
        <v>0.22799999999999998</v>
      </c>
      <c r="FS213">
        <f>IF(CG213=1,IF(AND(CH213=1,CW213=1),0,IF(AND(CS213&lt;&gt;"",CS213=BA213,CW213=1),SUMIFS(Линии[_Р линии, кВт],Линии[_блок УЗО],BA213,Линии[Щит],A213),N(BS213)+IF(AJ213="вручную",0,N(CK213)))),0)</f>
        <v>0.24</v>
      </c>
      <c r="FT213" t="str">
        <f t="shared" si="484"/>
        <v>L1</v>
      </c>
      <c r="FU213" t="str">
        <f>IF(B213="","",IF(CG213=0,IF(BA213=1,"",FW212),IF(AND(CH213=1,CW213=1,CS213&lt;&gt;""),IFERROR(_xlfn.XLOOKUP(CS213,Линии[_n],Линии[_фаза итог]),"L1"),IF(OR(N(DL213)&gt;=3,N(BX213)&gt;=3),"L1,L2,L3",IFERROR(_xlfn.TEXTBEFORE(_xlfn.TEXTAFTER(_xlfn.XLOOKUP(A213,Щиты[Щит],Щиты[_фазы авто]),";"&amp;BA213&amp;":"),";"),"L1")))))</f>
        <v>L1</v>
      </c>
      <c r="FV213" t="str">
        <f t="shared" si="485"/>
        <v>L1</v>
      </c>
      <c r="FW213" t="str">
        <f t="shared" si="486"/>
        <v>L1</v>
      </c>
      <c r="FX213" cm="1">
        <f t="array" ref="FX213">IFERROR(IF(CD213=2,_xlfn.IFS(BX213=3,VLOOKUP(BS213,Справочная_двигатели,3,FALSE),BX213=1,VLOOKUP(BS213,Справочная_двигатели,5,TRUE)),0),0)</f>
        <v>0</v>
      </c>
      <c r="FY213">
        <f>IFERROR(IF(CD213=3,VLOOKUP(BS213,Справочная_ЛЭД,2,TRUE),0),0)</f>
        <v>0</v>
      </c>
      <c r="FZ213" s="6">
        <f t="shared" si="487"/>
        <v>0</v>
      </c>
      <c r="GA213" t="str">
        <f>IF(B213="","",IF(TRIM(AH213&amp;"")&lt;&gt;"",IF(LOWER(TRIM(AH213&amp;""))="да","да","нет"),IF(IFERROR(_xlfn.XLOOKUP(BC213,Коды_код,Коды_пожарная),"")="да","да","нет")))</f>
        <v>нет</v>
      </c>
      <c r="GB213" t="str">
        <f t="shared" si="488"/>
        <v/>
      </c>
      <c r="GC213" t="str">
        <f t="shared" si="489"/>
        <v>основная</v>
      </c>
      <c r="GD213">
        <f>IF(AND(BP213=1,TRIM(AE213&amp;"")=""),IF(COUNTIFS(Линии[Щит],A213,Линии[Секция (1/2/3)],"&gt;=2")&gt;0,MIN(3,MAX(1,IFERROR(--BD213,1))),1),IFERROR(MIN(3,MAX(1,INT(--AE213))),1))</f>
        <v>1</v>
      </c>
      <c r="GE213" t="str" cm="1">
        <f t="array" ref="GE213">IF(B213="","",_xlfn.LET(_xlpm.t,IFERROR(_xlfn.XLOOKUP(1,(Шины[Шина]=GC213)*(((Шины[Щит]=A213)+(Шины[Щит]=""))&gt;0),Шины[Тип]),"")&amp;"",IF(_xlpm.t&lt;&gt;"",_xlpm.t,IF(ISNUMBER(SEARCH("ИБП",GC213)),"ИБП",IF(ISNUMBER(SEARCH("ДГУ",GC213)),"ДГУ","Ввод "&amp;GD213)))))</f>
        <v>Ввод 1</v>
      </c>
      <c r="GF213" t="str">
        <f t="shared" si="490"/>
        <v>Ввод 1</v>
      </c>
      <c r="GG213" t="str">
        <f>IF(BP213=0,"",IF(TRIM(AG213&amp;"")&lt;&gt;"",TRIM(AG213&amp;""),IF(OR(GE213="ИБП",GE213="ДГУ"),"I особая",_xlfn.XLOOKUP(A213,Щиты[Щит],Щиты[Категория шины «Ввод»],"III"))))</f>
        <v/>
      </c>
      <c r="GH213" t="str">
        <f>IF(A213="","",_xlfn.XLOOKUP(A213,Щиты[Щит],Щиты[Путь],""))</f>
        <v>|ГРЩ-ЖД|ЩР-01|</v>
      </c>
      <c r="GI213" t="str">
        <f>IF(B213="","",IF(AI213&lt;&gt;"",AI213,IF(IFERROR(_xlfn.XLOOKUP(BC213,Коды_код,Коды_вид)&amp;"","")="","Прочее",_xlfn.XLOOKUP(BC213,Коды_код,Коды_вид)&amp;"")))</f>
        <v>Розеточная сеть и бытовые приборы</v>
      </c>
      <c r="GJ213">
        <f>IF(BM213="","",INT((BM213-1)/Столбцов_на_лист)+1)</f>
        <v>3</v>
      </c>
      <c r="GK213" t="str">
        <f t="shared" si="491"/>
        <v>ВВГнг(А)-LS (3х2,5) L=84-0,69%</v>
      </c>
      <c r="GL213">
        <f t="shared" si="492"/>
        <v>0.24</v>
      </c>
      <c r="GM213">
        <f t="shared" si="493"/>
        <v>1.1000000000000001</v>
      </c>
      <c r="GN213">
        <f t="shared" si="494"/>
        <v>1</v>
      </c>
      <c r="GO213">
        <f t="shared" si="495"/>
        <v>0</v>
      </c>
      <c r="GP213">
        <f t="shared" si="496"/>
        <v>1</v>
      </c>
      <c r="GQ213">
        <f>IF(BM213="","",IF(AND(CG213=1,GP213=1),COUNTIFS(A$3:A213,A213,CG$3:CG213,1,GP$3:GP213,1),IF(OR(OR(BA213=1,A213&lt;&gt;A212),AJ213="вручную",GP213=0),"",IF(BA213=1,"",GR212))))</f>
        <v>29</v>
      </c>
      <c r="GR213">
        <f t="shared" si="497"/>
        <v>29</v>
      </c>
      <c r="GS213">
        <f>IF(B213="","",IFERROR(LOOKUP(INDEX(CHOOSE(EB213,Iдоп_1ж,Iдоп_2ж,Iдоп_3ж),MATCH(EN213,Iдоп_S,0))*DZ213*EA213,{6,10,16,20,25,32,40,50,63,80,100,125,160,200,250,315,400,500,630}),""))</f>
        <v>25</v>
      </c>
      <c r="GT213" t="str">
        <f t="shared" si="498"/>
        <v>QFD29</v>
      </c>
      <c r="GU213" t="str">
        <f t="shared" si="499"/>
        <v>QFD29</v>
      </c>
      <c r="GV213" t="str">
        <f t="shared" si="500"/>
        <v/>
      </c>
      <c r="GW213">
        <f t="shared" si="501"/>
        <v>0</v>
      </c>
      <c r="GX213" t="str">
        <f>IF(OR(B213="",DJ213=""),"",IFERROR(_xlfn.XLOOKUP(DJ213,Модули_умолч[Управление],Модули_умолч[Модель])&amp;"",""))</f>
        <v/>
      </c>
      <c r="GY213">
        <f>IF(DJ213="",1,IFERROR(MAX(0,N(_xlfn.XLOOKUP(DJ213,Модули_умолч[Управление],Модули_умолч[Каналов на линию]))),1))</f>
        <v>1</v>
      </c>
      <c r="GZ213" t="str">
        <f t="shared" si="502"/>
        <v/>
      </c>
      <c r="HA213" t="str">
        <f t="shared" si="503"/>
        <v/>
      </c>
      <c r="HB213" t="str">
        <f t="shared" si="504"/>
        <v/>
      </c>
      <c r="HC213">
        <f>IF(HB213="",0,IFERROR(N(VLOOKUP(HB213,Модули_спр,3,FALSE)),0))</f>
        <v>0</v>
      </c>
      <c r="HD213" t="str">
        <f t="shared" si="505"/>
        <v/>
      </c>
      <c r="HE213" t="str">
        <f t="shared" si="506"/>
        <v/>
      </c>
      <c r="HF213" t="str">
        <f>IF(OR(HE213="",HE213="-"),"",IFERROR(VLOOKUP(HE213,Модули_спр,2,FALSE),"R"))</f>
        <v/>
      </c>
      <c r="HG213" t="str">
        <f>IF(HF213="","",HF213&amp;"."&amp;COUNTIFS(A$3:A213,A213,HF$3:HF213,HF213))</f>
        <v/>
      </c>
      <c r="HH213" t="str">
        <f t="shared" si="507"/>
        <v/>
      </c>
      <c r="HI213" t="str">
        <f t="shared" si="508"/>
        <v/>
      </c>
      <c r="HJ213" t="str">
        <f t="shared" si="509"/>
        <v/>
      </c>
      <c r="HK213" t="str">
        <f t="shared" si="510"/>
        <v/>
      </c>
      <c r="HL213">
        <f t="shared" si="511"/>
        <v>1</v>
      </c>
      <c r="HM213" t="str">
        <f>IF(HL213=1,"XT"&amp;COUNTIFS(A$3:A213,A213,HL$3:HL213,1),"")</f>
        <v>XT29</v>
      </c>
      <c r="HN213" t="str">
        <f t="shared" si="512"/>
        <v/>
      </c>
      <c r="HO213" t="str">
        <f t="shared" si="513"/>
        <v>QFD29</v>
      </c>
      <c r="HP213" t="str">
        <f t="shared" si="514"/>
        <v/>
      </c>
      <c r="HQ213" t="str">
        <f t="shared" si="515"/>
        <v>ok</v>
      </c>
      <c r="HR213" t="str">
        <f>IF(OR(HJ213="",HH213=""),"",IF(HJ213+MAX(0,GY213-1)&gt;IFERROR(VLOOKUP(HI213,Модули_спр,3,FALSE),99),"ЛИШНИЙ КАНАЛ",IF(AND(AL213&lt;&gt;"=",GY213&gt;0,COUNTIFS(Линии[_модуль гр.],HH213,Линии[Канал (итог)],HJ213,Линии[Канал],"&lt;&gt;=",Линии[Щит],A213)&gt;1),"ДУБЛЬ КАНАЛА","")))</f>
        <v/>
      </c>
      <c r="HS213" s="6" t="str">
        <f t="shared" si="516"/>
        <v/>
      </c>
      <c r="HT213">
        <f t="shared" si="517"/>
        <v>10</v>
      </c>
      <c r="HU213" t="str">
        <f t="shared" si="518"/>
        <v/>
      </c>
      <c r="HV213">
        <f t="shared" si="519"/>
        <v>1.27757073033319</v>
      </c>
      <c r="HW213">
        <f t="shared" si="520"/>
        <v>0</v>
      </c>
      <c r="HX213">
        <f t="shared" si="521"/>
        <v>0</v>
      </c>
      <c r="HY213">
        <f t="shared" si="522"/>
        <v>0</v>
      </c>
      <c r="HZ213">
        <f t="shared" si="523"/>
        <v>0</v>
      </c>
      <c r="IA213">
        <f t="shared" si="524"/>
        <v>0</v>
      </c>
      <c r="IB213">
        <f t="shared" si="525"/>
        <v>0</v>
      </c>
      <c r="IC213" t="str">
        <f t="shared" si="526"/>
        <v/>
      </c>
      <c r="ID213" t="str" cm="1">
        <f t="array" ref="ID213">IF(IC213="","",_xlfn.LET(_xlpm.tk,_xlfn.TEXTSPLIT(SUBSTITUTE(SUBSTITUTE(IC213,";"," "),"→"," ")," ",,TRUE),_xlpm.w_,_xlfn._xlws.FILTER(_xlpm.tk,ISNUMBER(--LEFT(_xlpm.tk,1))*((ISNUMBER(SEARCH("W",_xlpm.tk))+ISNUMBER(SEARCH("Вт",_xlpm.tk)))&gt;0),""),IFERROR(--SUBSTITUTE(SUBSTITUTE(UPPER(INDEX(_xlpm.w_,1)),"W",""),"ВТ",""),"")))</f>
        <v/>
      </c>
      <c r="IE213" t="str" cm="1">
        <f t="array" ref="IE213">IF(IC213="","",_xlfn.LET(_xlpm.tk,_xlfn.TEXTSPLIT(SUBSTITUTE(SUBSTITUTE(IC213,";"," "),"→"," ")," ",,TRUE),_xlpm.v_,_xlfn._xlws.FILTER(_xlpm.tk,ISNUMBER(--LEFT(_xlpm.tk,1))*((ISNUMBER(SEARCH("V",_xlpm.tk))+(RIGHT(UPPER(_xlpm.tk))="В"))&gt;0),""),IFERROR(--SUBSTITUTE(SUBSTITUTE(UPPER(INDEX(_xlpm.v_,1)),"V",""),"В",""),"")))</f>
        <v/>
      </c>
      <c r="IF213" s="6" t="str">
        <f>IF(OR(BV213=0,HI213="",HJ213=""),"",IFERROR(N(_xlfn.XLOOKUP(HI213,Каталог!$C$4:$C$500,Каталог!$Q$4:$Q$500)),""))</f>
        <v/>
      </c>
      <c r="IG213" s="6" t="str">
        <f>IF(N(IF213)=0,"",SUMIFS(Линии[Iр, А],Линии[Щит],A213,Линии[_модуль гр.],HH213,Линии[Канал (итог)],HJ213))</f>
        <v/>
      </c>
      <c r="IH213" t="str">
        <f>IF(AND(B213="",HO213=""),"",_xlfn.TEXTJOIN("; ",TRUE,IF(AND(B213&lt;&gt;"",FV213=""),"нет фазы",""),IF(AND(B213&lt;&gt;"",N(GL213)=0,FG213&lt;&gt;"Нет"),"нет мощности",""),IF(AND(HN213&lt;&gt;"",COUNTIFS(Линии[Щит],A213,Линии[Клемма (итог)],HN213)&gt;1),"дубль клеммы "&amp;HN213,""),IF(AND(HQ213&lt;&gt;"",HQ213&lt;&gt;"ok"),HQ213,""),IF(HR213&lt;&gt;"",HR213,""),IF(AND(N(CB213)&gt;=4,N(BX213)=1),CB213&amp;" жил на 1 фазе",""),IF(AND(BC213="R",CG213=1,IF(CS213&lt;&gt;"",N(CV213)&gt;30,OR(N(DA213)=0,N(DA213)&gt;30))),"розетка без дифзащиты до 30 мА",""),IF(AND(CG213=1,N(DA213)&gt;0,ISNUMBER(T213)),IF(T213&gt;N(DA213)/3,"ток утечки "&amp;FIXED(T213,1)&amp;" мА &gt; 1/3 уставки ("&amp;DA213&amp;" мА)",""),""),IF(AND(CH213=1,CS213=""),"«узо»: нет строки с УЗО выше (УЗО 2P 40А 30мА в «Аппаратах»)",""),IF(AND(CS213&lt;&gt;"",CS213=BA213),IF(CT213="","впишите номинал УЗО (УЗО 2P 40А 30мА)",IF(N(CT213)&lt;N(DT213),"УЗО "&amp;CT213&amp;" А &lt; автомата "&amp;DT213&amp;" А перед ним",IF(N(CT213)&lt;N(CX213),"УЗО "&amp;CT213&amp;" А &lt; тока блока "&amp;FIXED(CX213,1)&amp;" А",""))),""),IF(AND(CS213&lt;&gt;"",CS213=BA213,ISNUMBER(CY213)),IF(CY213&gt;N(CV213)/3,"ток утечки блока УЗО "&amp;FIXED(CY213,1)&amp;" мА &gt; 1/3 уставки ("&amp;CV213&amp;" мА)",""),""),IF(AND(CG213=1,N(BV213)+N(IB213)&gt;0,IC213=""),"линии до 50 В без БП: впишите в «Аппараты» (БП 24V 480W)",""),IF(AND(CG213=1,ISNUMBER(ID213),ISNUMBER(U213)),IF(U213&gt;ID213,"БП "&amp;ID213&amp;" Вт &lt; нужно "&amp;U213&amp;" Вт (×"&amp;Запас_БП&amp;")",""),""),IF(AND(CG213=1,ISNUMBER(IE213),N(BV213)=1),IF(IE213&lt;&gt;N(BU213),"БП на "&amp;IE213&amp;" В, линия "&amp;BU213&amp;" В",""),""),IF(AND(N(IF213)&gt;0,N(IG213)&gt;N(IF213)),HH213&amp;" канал "&amp;HJ213&amp;": "&amp;FIXED(IG213,1)&amp;" А &gt; "&amp;IF213&amp;" А",""),IFERROR(IF(AND(ISNUMBER(Q213),Q213&gt;EL213),"потери "&amp;FIXED(Q213,1)&amp;" % &gt; "&amp;EL213&amp;" %",""),""),IFERROR(IF(LEFT(HU213,4)="мало","Iкз мало — отключение &gt; 0,4 с",""),""),IF(AND(B213&lt;&gt;"",BM213=""),"не на схеме",""),IF(AND(CG213=0,B213&lt;&gt;"",FV213&lt;&gt;"",IF(BA213=1,"",FW212)&lt;&gt;"",FV213&lt;&gt;IF(BA213=1,"",FW212)),"фаза не как у автомата группы ("&amp;IF(BA213=1,"",FW212)&amp;")","")))</f>
        <v/>
      </c>
      <c r="II213" s="6">
        <f>IF(OR(CG213=0,DQ213=""),"",_xlfn.LET(_xlpm.t,IFERROR(_xlfn.XLOOKUP(DQ213,Каталог!$U$4:$U$500,Каталог!$G$4:$G$500),""),_xlpm.k,SEARCH("кА",_xlpm.t),IFERROR(--TRIM(RIGHT(SUBSTITUTE(MID(_xlpm.t,MAX(1,_xlpm.k-4),_xlpm.k-MAX(1,_xlpm.k-4))," ",REPT(" ",9)),5)),"")))</f>
        <v>6</v>
      </c>
      <c r="IJ213" t="str">
        <f>IF(OR(II213="",CG213=0),"",IF(_xlfn.XLOOKUP(A213,Щиты[Щит],Щиты[Iкз max на шинах, кА],"")="","",IF(II213&lt;_xlfn.XLOOKUP(A213,Щиты[Щит],Щиты[Iкз max на шинах, кА]),"Icu "&amp;II213&amp;" кА &lt; Iкз max","ok")))</f>
        <v/>
      </c>
      <c r="IK213" t="str">
        <f t="shared" si="527"/>
        <v/>
      </c>
      <c r="IL213" t="str">
        <f t="shared" si="528"/>
        <v>QFD29</v>
      </c>
      <c r="IM213" t="str">
        <f t="shared" si="529"/>
        <v>QFD29|кабель ВВГнг(А)-LS (3х2,5) → Розеточная группа, пом. 017A</v>
      </c>
      <c r="IN213" t="str" cm="1">
        <f t="array" ref="IN213">IF(IM213="","",_xlfn.LET(_xlpm.nd,_xlfn.TEXTSPLIT(IM213,"|"),IF(COLUMNS(_xlpm.nd)&gt;1,A213&amp;"¦"&amp;INDEX(_xlpm.nd,1)&amp;"¦"&amp;INDEX(_xlpm.nd,2),"")))</f>
        <v>ЩР-01¦QFD29¦кабель ВВГнг(А)-LS (3х2,5) → Розеточная группа, пом. 017A</v>
      </c>
      <c r="IO213" t="str">
        <f t="shared" si="530"/>
        <v>R.0.017A.1¦Розеточная группа, пом. 017A</v>
      </c>
      <c r="IP213" t="str" cm="1">
        <f t="array" ref="IP213">IF(IM213="","",_xlfn.LET(_xlpm.nd,_xlfn.TEXTSPLIT(IM213,"|"),IF(COLUMNS(_xlpm.nd)&gt;2,A213&amp;"¦"&amp;INDEX(_xlpm.nd,2)&amp;"¦"&amp;INDEX(_xlpm.nd,3),"")))</f>
        <v/>
      </c>
      <c r="IQ213" t="str">
        <f t="shared" si="531"/>
        <v/>
      </c>
      <c r="IR213" t="str" cm="1">
        <f t="array" ref="IR213">IF(IM213="","",_xlfn.LET(_xlpm.nd,_xlfn.TEXTSPLIT(IM213,"|"),IF(COLUMNS(_xlpm.nd)&gt;3,A213&amp;"¦"&amp;INDEX(_xlpm.nd,3)&amp;"¦"&amp;INDEX(_xlpm.nd,4),"")))</f>
        <v/>
      </c>
      <c r="IS213" t="str">
        <f t="shared" si="532"/>
        <v/>
      </c>
      <c r="IT213" t="str" cm="1">
        <f t="array" ref="IT213">IF(IM213="","",_xlfn.LET(_xlpm.nd,_xlfn.TEXTSPLIT(IM213,"|"),IF(COLUMNS(_xlpm.nd)&gt;4,A213&amp;"¦"&amp;INDEX(_xlpm.nd,4)&amp;"¦"&amp;INDEX(_xlpm.nd,5),"")))</f>
        <v/>
      </c>
      <c r="IU213" t="str">
        <f t="shared" si="533"/>
        <v/>
      </c>
      <c r="IV213" t="str" cm="1">
        <f t="array" ref="IV213">IF(IM213="","",_xlfn.LET(_xlpm.nd,_xlfn.TEXTSPLIT(IM213,"|"),IF(COLUMNS(_xlpm.nd)&gt;5,A213&amp;"¦"&amp;INDEX(_xlpm.nd,5)&amp;"¦"&amp;INDEX(_xlpm.nd,6),"")))</f>
        <v/>
      </c>
      <c r="IW213" t="str">
        <f t="shared" si="534"/>
        <v/>
      </c>
      <c r="IX213" t="str" cm="1">
        <f t="array" ref="IX213">IF(IM213="","",_xlfn.LET(_xlpm.nd,_xlfn.TEXTSPLIT(IM213,"|"),IF(COLUMNS(_xlpm.nd)&gt;6,A213&amp;"¦"&amp;INDEX(_xlpm.nd,6)&amp;"¦"&amp;INDEX(_xlpm.nd,7),"")))</f>
        <v/>
      </c>
      <c r="IY213" t="str">
        <f t="shared" si="535"/>
        <v/>
      </c>
      <c r="IZ213" t="str">
        <f t="shared" si="536"/>
        <v/>
      </c>
      <c r="JA213" t="str">
        <f t="shared" si="537"/>
        <v>QFD29</v>
      </c>
      <c r="JB213">
        <f t="shared" si="538"/>
        <v>0</v>
      </c>
      <c r="JC213">
        <f t="shared" si="539"/>
        <v>1</v>
      </c>
      <c r="JD213" t="str">
        <f t="shared" si="540"/>
        <v/>
      </c>
      <c r="JE213" t="str">
        <f t="shared" si="541"/>
        <v/>
      </c>
      <c r="JF213" t="str">
        <f t="shared" si="542"/>
        <v/>
      </c>
      <c r="JG213" t="str">
        <f t="shared" si="543"/>
        <v/>
      </c>
      <c r="JH213" t="str">
        <f>IF(B213="","",IFERROR(_xlfn.XLOOKUP(B213,Коды_код,Коды_уго),IFERROR(_xlfn.XLOOKUP(BC213,Коды_код,Коды_уго),IFERROR(_xlfn.XLOOKUP(LEFT(BC213,2),Коды_код,Коды_уго),""))))</f>
        <v>Розетка</v>
      </c>
      <c r="JI213" t="str">
        <f>IF(B213="","",IF(OR(JH213="",JH213=0),"BOX",IFERROR(IF(VLOOKUP(JH213,УГО_блоки,3,FALSE)&amp;""&lt;&gt;"",VLOOKUP(JH213,УГО_блоки,3,FALSE),VLOOKUP(JH213,УГО_блоки,2,FALSE)),JH213)))</f>
        <v>SOCKET</v>
      </c>
      <c r="JJ213">
        <f t="shared" si="544"/>
        <v>1</v>
      </c>
      <c r="JK213" t="str">
        <f>IF(DQ213="","",IF(COUNTIF(DQ$3:DQ213,DQ213)=1,MAX(JK$2:JK212)+1,""))</f>
        <v/>
      </c>
      <c r="JL213" t="str">
        <f>IF(DE213="","",IF(COUNTIF(DE$3:DE213,DE213)+COUNTIF(DF$2:DF212,DE213)+COUNTIF(DG$2:DG212,DE213)=1,MAX(JL$2:JN212)+1,""))</f>
        <v/>
      </c>
      <c r="JM213" t="str">
        <f>IF(DF213="","",IF(COUNTIF(DE$3:DE213,DF213)+COUNTIF(DF$3:DF213,DF213)+COUNTIF(DG$2:DG212,DF213)=1,MAX(JL$2:JN212,JL213)+1,""))</f>
        <v/>
      </c>
      <c r="JN213" t="str">
        <f>IF(DG213="","",IF(COUNTIF(DE$3:DE213,DG213)+COUNTIF(DF$3:DF213,DG213)+COUNTIF(DG$3:DG213,DG213)=1,MAX(JL$2:JN212,JL213,JM213)+1,""))</f>
        <v/>
      </c>
      <c r="JO213" t="str">
        <f t="shared" si="545"/>
        <v>3х2,5</v>
      </c>
      <c r="JP213" t="str">
        <f>IF(JO213="","",IF(COUNTIF(JO$3:JO213,JO213)=1,MAX(JP$2:JP212)+1,""))</f>
        <v/>
      </c>
      <c r="JQ213" t="str">
        <f>IF(HG213="","",COUNTIF(HG$3:HG213,"?*"))</f>
        <v/>
      </c>
      <c r="JR213" t="str">
        <f>IF(OR(HG213="",HI213=""),"",IF(COUNTIFS(HG$3:HG213,"?*",HI$3:HI213,HI213)=1,MAX(JR$2:JR212)+1,""))</f>
        <v/>
      </c>
      <c r="JS213">
        <f t="shared" si="546"/>
        <v>0</v>
      </c>
      <c r="JT213">
        <f>IF(B213="","",COUNTIF(B$3:B213,"?*"))</f>
        <v>211</v>
      </c>
      <c r="JU213">
        <f>IF(HL213&lt;&gt;1,0,_xlfn.LET(_xlpm.k,MAX(IFERROR(--_xlfn.XLOOKUP(B213,Коды_код,Коды_3L),0),IFERROR(--_xlfn.XLOOKUP(BC213,Коды_код,Коды_3L),0),IFERROR(--_xlfn.XLOOKUP(LEFT(BC213,2),Коды_код,Коды_3L),0)),IF(_xlpm.k&gt;0,_xlpm.k,IF(IFERROR(--LEFT(SUBSTITUTE(JO213,"x","х"),FIND("х",SUBSTITUTE(JO213,"x","х"))-1),3)&gt;3,Каталог!$S$9,1))))</f>
        <v>1</v>
      </c>
      <c r="JV213">
        <f t="shared" si="547"/>
        <v>0</v>
      </c>
      <c r="JW213" t="str">
        <f t="shared" si="548"/>
        <v>авто</v>
      </c>
      <c r="JX213">
        <f t="shared" si="549"/>
        <v>30</v>
      </c>
      <c r="JY213">
        <f t="shared" si="550"/>
        <v>1</v>
      </c>
      <c r="JZ213">
        <f t="shared" si="551"/>
        <v>1</v>
      </c>
    </row>
    <row r="214" spans="1:286" x14ac:dyDescent="0.3">
      <c r="A214" t="s">
        <v>755</v>
      </c>
      <c r="B214" t="s">
        <v>1521</v>
      </c>
      <c r="C214" t="str">
        <f>Линии[[#This Row],[_авто наименование]]</f>
        <v>Розеточная группа, пом. 018A</v>
      </c>
      <c r="D214">
        <v>1</v>
      </c>
      <c r="E214">
        <v>0.06</v>
      </c>
      <c r="G214" t="str">
        <f>Линии[[#This Row],[_авто автомат]]</f>
        <v>2P С16А 30мА</v>
      </c>
      <c r="H214" t="str">
        <f>Линии[[#This Row],[_авто управление]]</f>
        <v/>
      </c>
      <c r="I214" t="str">
        <f>Линии[[#This Row],[_авто аппараты]]</f>
        <v/>
      </c>
      <c r="J214">
        <v>2.5</v>
      </c>
      <c r="K214">
        <v>53</v>
      </c>
      <c r="L214">
        <v>1</v>
      </c>
      <c r="M214" t="s">
        <v>484</v>
      </c>
      <c r="N214" t="str">
        <f t="shared" si="414"/>
        <v/>
      </c>
      <c r="O214" s="6" cm="1">
        <f t="array" ref="O214">IF(B214="","",IF(BH214&lt;&gt;"",IFERROR(_xlfn.XLOOKUP(BH214,Щиты[Щит],Щиты[Iр, А]),""),IF(BP214=1,IF(OR(N(_xlfn.XLOOKUP(A214,Щиты[Щит],Щиты[Вводов],1))&lt;=1,LOWER(TRIM(_xlfn.XLOOKUP(A214,Щиты[Щит],Щиты[АВР],"")&amp;""))="да"),IFERROR(_xlfn.XLOOKUP(A214,Щиты[Щит],Щиты[Iр, А]),""),IFERROR(N(BS214)*_xlfn.XLOOKUP(A214,Щиты[Щит],Щиты[Кс итог])/(SQRT(3)*Uн_лин*_xlfn.XLOOKUP(A214,Щиты[Щит],Щиты[cos φ])),"")),IF(BV214=1,IFERROR(BS214*1000/BU214,""),IFERROR(_xlfn.IFS(BX214=1,BS214/((Uн_лин/SQRT(3))*CE214),BX214=3,BS214/(SQRT(3)*Uн_лин*CE214)),"")))))</f>
        <v>0.27348170645824377</v>
      </c>
      <c r="P214" s="7">
        <f>IF(B214="","",IFERROR(IF(VLOOKUP(BC214,Потребители_обозначение,4,FALSE)=1,VLOOKUP(BC214,Потребители_обозначение,3,FALSE)*(MAX(1,N(D214))*2-1)+EI214+VLOOKUP(BE214,Этаж_обозначение,3,FALSE)+VLOOKUP(BE214,Этаж_обозначение,4,FALSE),VLOOKUP(BC214,Потребители_обозначение,3,FALSE)*(MAX(1,N(D214))*2-1)+EI214),EI214))</f>
        <v>56</v>
      </c>
      <c r="Q214" s="6">
        <f t="shared" si="415"/>
        <v>0.55000000000000004</v>
      </c>
      <c r="R214" t="str">
        <f t="shared" si="416"/>
        <v>ВВГнг(А)-LS (3х2,5)</v>
      </c>
      <c r="S214" t="str">
        <f>IF(BM214="","",IF(BN214="вводной узел","узел ","")&amp;"л."&amp;(INT((BM214-1)/Столбцов_на_лист)+1)&amp;" / "&amp;(MOD(BM214-1,Столбцов_на_лист)+1))</f>
        <v>л.3 / 8</v>
      </c>
      <c r="T214" s="119">
        <f t="shared" si="417"/>
        <v>0.7</v>
      </c>
      <c r="U214" s="7" t="str">
        <f>IF(OR(CG214=0,N(BV214)+N(IB214)=0),"",ROUNDUP(Запас_БП*(N(HY214)+N(HZ214)),0))</f>
        <v/>
      </c>
      <c r="V214" s="119" t="str">
        <f t="shared" si="418"/>
        <v/>
      </c>
      <c r="W214" s="7" t="str">
        <f>IFERROR(IF(OR(B214="",BP214=1,BV214=1,NOT(ISNUMBER(EN214)),N(DT214)=0),"",MAX(0,ROUNDDOWN((c_min*(Uн_лин*1000/SQRT(3))/(HT214*N(DT214))-_xlfn.XLOOKUP(A214,Щиты[Щит],Щиты[Zпетли на шинах, Ом]))*EN214/(2*ρкз_Cu),0))),"")</f>
        <v/>
      </c>
      <c r="Y214">
        <f>Линии[[#This Row],[_авто утечка]]</f>
        <v>30</v>
      </c>
      <c r="Z214">
        <v>1</v>
      </c>
      <c r="AA214">
        <v>230</v>
      </c>
      <c r="AB214" t="s">
        <v>562</v>
      </c>
      <c r="AG214" t="s">
        <v>810</v>
      </c>
      <c r="AI214" t="s">
        <v>561</v>
      </c>
      <c r="AK214" t="str">
        <f>Линии[[#This Row],[_авто модуль]]</f>
        <v/>
      </c>
      <c r="AM214">
        <v>42</v>
      </c>
      <c r="AN214" t="s">
        <v>11</v>
      </c>
      <c r="AO214">
        <v>3</v>
      </c>
      <c r="AQ214">
        <v>43</v>
      </c>
      <c r="AR214">
        <v>13</v>
      </c>
      <c r="AS214">
        <v>0</v>
      </c>
      <c r="BA214" cm="1">
        <f t="array" ref="BA214">ROW()-ROW(Линии[#Headers])</f>
        <v>212</v>
      </c>
      <c r="BC214" s="6" t="str">
        <f t="shared" si="419"/>
        <v>R</v>
      </c>
      <c r="BD214" t="str">
        <f t="shared" si="420"/>
        <v>0.018A.1</v>
      </c>
      <c r="BE214" t="str">
        <f t="shared" si="421"/>
        <v>0</v>
      </c>
      <c r="BF214" t="str">
        <f t="shared" si="422"/>
        <v>018A.1</v>
      </c>
      <c r="BG214" t="str">
        <f t="shared" si="423"/>
        <v>018A</v>
      </c>
      <c r="BH214" t="str">
        <f>IF(X214&lt;&gt;"",X214,IF(AND(B214&lt;&gt;"",B214&lt;&gt;A214,ISNUMBER(_xlfn.XMATCH(B214,Щиты[Щит]))),B214,""))</f>
        <v/>
      </c>
      <c r="BI214" t="str" cm="1">
        <f t="array" ref="BI214">IF(B214="","",IF(BH214&lt;&gt;"","Щит "&amp;BH214,_xlfn.LET(_xlpm.nm,IFERROR(_xlfn.XLOOKUP(BC214,Коды_код,Коды_имя)&amp;"",""),_xlpm.md,IFERROR(N(_xlfn.XLOOKUP(BC214,Коды_код,Коды_режим)),1),_xlpm.ex,IF(Имя_режим="по экспликации",IFERROR(_xlfn.XLOOKUP(BE214&amp;"|"&amp;BG214,Экспликация[Этаж]&amp;"|"&amp;Экспликация[Помещение],Экспликация[Название])&amp;"",""),""),_xlpm.rm,IF(BG214="","",IF(_xlpm.ex&lt;&gt;"",". "&amp;_xlpm.ex&amp;IF(Имя_пом="нет"," ("&amp;BG214&amp;")"," (пом. "&amp;BG214&amp;")"),IF(Имя_пом="нет"," ",", пом. ")&amp;BG214)),IF(_xlpm.nm="","",IF(_xlpm.md=2,_xlpm.nm&amp;" шлейф "&amp;BE214,_xlpm.nm&amp;_xlpm.rm)))))</f>
        <v>Розеточная группа, пом. 018A</v>
      </c>
      <c r="BJ214" t="str">
        <f t="shared" si="424"/>
        <v>Розеточная группа, пом. 018A</v>
      </c>
      <c r="BK214">
        <f>IFERROR(_xlfn.XMATCH(A214,Щиты[Щит]),0)</f>
        <v>9</v>
      </c>
      <c r="BL214">
        <f>_xlfn.LET(_xlpm.k,IFERROR(_xlfn.XLOOKUP(A214,Щиты[Щит],Щиты[Мест под вводной узел]),""),IF(_xlpm.k="",Столбцов_на_лист,N(_xlpm.k)))</f>
        <v>8</v>
      </c>
      <c r="BM214">
        <f t="shared" si="425"/>
        <v>42</v>
      </c>
      <c r="BN214" t="str">
        <f t="shared" si="426"/>
        <v>линии</v>
      </c>
      <c r="BO214" s="6">
        <f>IFERROR(N(_xlfn.XLOOKUP(BC214,Коды_код,Коды_квт)),0)</f>
        <v>0</v>
      </c>
      <c r="BP214">
        <f t="shared" si="427"/>
        <v>0</v>
      </c>
      <c r="BQ214" t="str">
        <f>IF(B214="","",IF(BH214&lt;&gt;"",IFERROR(_xlfn.XLOOKUP(BH214,Щиты[Щит],Щиты[Руст, кВт]),0),IF(BP214=1,IF(OR(N(_xlfn.XLOOKUP(A214,Щиты[Щит],Щиты[Вводов],1))&lt;=1,LOWER(TRIM(_xlfn.XLOOKUP(A214,Щиты[Щит],Щиты[АВР],"")&amp;""))="да"),IFERROR(_xlfn.XLOOKUP(A214,Щиты[Щит],Щиты[Руст, кВт]),0),SUMIFS(Линии[_Р для вводов],Линии[Щит],A214,Линии[Источник для режимов],GF214)),IF(BO214&gt;0,ROUND(BO214*MAX(1,N(D214)),3),""))))</f>
        <v/>
      </c>
      <c r="BR214">
        <f t="shared" si="428"/>
        <v>0.06</v>
      </c>
      <c r="BS214" s="6">
        <f>IF(B214="","",IF(BH214&lt;&gt;"",IFERROR(_xlfn.XLOOKUP(BH214,Щиты[Щит],Щиты[Руст, кВт]),0),N(BR214)))</f>
        <v>0.06</v>
      </c>
      <c r="BT214" t="str">
        <f>IF(B214="","",IFERROR(IF(VLOOKUP(BC214,Потребители_обозначение,8,FALSE)=0,"",VLOOKUP(BC214,Потребители_обозначение,8,FALSE)),""))</f>
        <v/>
      </c>
      <c r="BU214">
        <f t="shared" si="429"/>
        <v>230</v>
      </c>
      <c r="BV214">
        <f t="shared" si="430"/>
        <v>0</v>
      </c>
      <c r="BW214">
        <f>IF(B214="","",IF(BH214&lt;&gt;"",3,IFERROR(IF(N(VLOOKUP(BC214,Потребители_обозначение,9,FALSE))=0,1,VLOOKUP(BC214,Потребители_обозначение,9,FALSE)),1)))</f>
        <v>1</v>
      </c>
      <c r="BX214">
        <f t="shared" si="431"/>
        <v>1</v>
      </c>
      <c r="BY214" t="str">
        <f>IF(B214="","",_xlfn.LET(_xlpm.bc,IFERROR(IF(VLOOKUP(BC214,Потребители_обозначение,6,FALSE)=0,"",VLOOKUP(BC214,Потребители_обозначение,6,FALSE)&amp;""),""),IF(AND(GA214="да",OR(_xlpm.bc="",_xlpm.bc="мс")),Марка_пож,IF(AND(_xlpm.bc="",BH214&lt;&gt;""),"мс",_xlpm.bc))))</f>
        <v/>
      </c>
      <c r="BZ214" t="str">
        <f t="shared" si="432"/>
        <v>мс</v>
      </c>
      <c r="CA214">
        <f>IF(B214="","",_xlfn.LET(_xlpm.cc,IFERROR(N(VLOOKUP(BC214,Потребители_обозначение,7,FALSE)),0),IF(_xlpm.cc&gt;0,_xlpm.cc,IF(BZ214="","",IF(BV214=1,2,IF(N(BX214)=3,5,3))))))</f>
        <v>3</v>
      </c>
      <c r="CB214">
        <f t="shared" si="433"/>
        <v>3</v>
      </c>
      <c r="CC214">
        <f>IFERROR(N(VLOOKUP(BC214,Потребители_обозначение,10,FALSE)),0)</f>
        <v>0</v>
      </c>
      <c r="CD214">
        <f>IFERROR(VLOOKUP(BC214,Потребители_обозначение,5,FALSE),0)</f>
        <v>1</v>
      </c>
      <c r="CE214" s="6" cm="1">
        <f t="array" ref="CE214">IF(B214="","",IF(BH214&lt;&gt;"",IFERROR(_xlfn.XLOOKUP(BH214,Щиты[Щит],Щиты[cos φ]),0.95),IF(BP214=1,IFERROR(_xlfn.XLOOKUP(A214,Щиты[Щит],Щиты[cos φ]),0.95),IF(ISNUMBER(AD214),AD214,IFERROR(IF(CD214=2,_xlfn.IFS(BX214=3,VLOOKUP(BS214,Справочная_двигатели,8,FALSE),BX214=1,VLOOKUP(BS214,Справочная_двигатели,10,TRUE)),IF(AND(Методика="нормы 2026",FG214="Сил"),0.8,0.95)),0.95)))))</f>
        <v>0.95</v>
      </c>
      <c r="CF214">
        <f t="shared" si="434"/>
        <v>0</v>
      </c>
      <c r="CG214">
        <f t="shared" si="435"/>
        <v>1</v>
      </c>
      <c r="CH214">
        <f t="shared" si="436"/>
        <v>0</v>
      </c>
      <c r="CI214">
        <f>IF(B214="","",IF(BV214=1,IFERROR(BS214/((Uн_лин/SQRT(3))*MAX(0.5,N(CE214))),0),N(O214)))</f>
        <v>0.27348170645824377</v>
      </c>
      <c r="CJ214">
        <f t="shared" si="437"/>
        <v>0</v>
      </c>
      <c r="CK214">
        <f t="shared" si="438"/>
        <v>0</v>
      </c>
      <c r="CL214">
        <f t="shared" si="439"/>
        <v>0</v>
      </c>
      <c r="CM214">
        <f t="shared" si="440"/>
        <v>0</v>
      </c>
      <c r="CN214">
        <f t="shared" si="441"/>
        <v>0</v>
      </c>
      <c r="CO214">
        <f>IF(BC214="",0,_xlfn.LET(_xlpm.v,IFERROR(_xlfn.XLOOKUP(B214,Коды_код,Коды_мА),IFERROR(_xlfn.XLOOKUP(BC214,Коды_код,Коды_мА),IFERROR(_xlfn.XLOOKUP(LEFT(BC214,2),Коды_код,Коды_мА),""))),IF(_xlpm.v="да",30,IF(ISNUMBER(_xlpm.v),_xlpm.v,0))))</f>
        <v>30</v>
      </c>
      <c r="CP214">
        <f t="shared" si="442"/>
        <v>30</v>
      </c>
      <c r="CQ214" t="str">
        <f>_xlfn.LET(_xlpm.k,IFERROR(_xlfn.XLOOKUP(BC214,Коды_код,Коды_утечка)&amp;"",""),IF(_xlpm.k="","дифавтомат",_xlpm.k))</f>
        <v>дифавтомат</v>
      </c>
      <c r="CR214" t="str" cm="1">
        <f t="array" ref="CR214">IF(CG214=0,"",_xlfn.LET(_xlpm.sg,TRIM(_xlfn.TEXTSPLIT(DD214&amp;"",";")),_xlpm.f_,_xlfn._xlws.FILTER(_xlpm.sg,LEFT(_xlpm.sg,3)="УЗО",""),IFERROR(INDEX(_xlpm.f_,1)&amp;"","")))</f>
        <v/>
      </c>
      <c r="CS214" t="str">
        <f t="shared" si="443"/>
        <v/>
      </c>
      <c r="CT214" s="6" t="str" cm="1">
        <f t="array" ref="CT214">IF(CR214="","",_xlfn.LET(_xlpm.tk,_xlfn.TEXTSPLIT(UPPER(CR214)," ",,TRUE),_xlpm.a_,_xlfn._xlws.FILTER(_xlpm.tk,ISNUMBER(--LEFT(_xlpm.tk,1))*((ISNUMBER(SEARCH("А",_xlpm.tk))+ISNUMBER(SEARCH("A",_xlpm.tk)))&gt;0)*NOT(ISNUMBER(SEARCH("МА",_xlpm.tk)))*NOT(ISNUMBER(SEARCH("MA",_xlpm.tk))),""),IFERROR(--SUBSTITUTE(SUBSTITUTE(INDEX(_xlpm.a_,1),"А",""),"A",""),"")))</f>
        <v/>
      </c>
      <c r="CU214" t="str" cm="1">
        <f t="array" ref="CU214">IF(CR214="","",_xlfn.LET(_xlpm.tk,_xlfn.TEXTSPLIT(UPPER(CR214)," ",,TRUE),_xlpm.a_,_xlfn._xlws.FILTER(_xlpm.tk,ISNUMBER(--LEFT(_xlpm.tk,1))*((ISNUMBER(SEARCH("МА",_xlpm.tk))+ISNUMBER(SEARCH("MA",_xlpm.tk)))&gt;0),""),IFERROR(--SUBSTITUTE(SUBSTITUTE(INDEX(_xlpm.a_,1),"МА",""),"MA",""),30)))</f>
        <v/>
      </c>
      <c r="CV214" t="str">
        <f>IF(CS214="","",IFERROR(_xlfn.XLOOKUP(CS214,Линии[_n],Линии[_УЗО, мА]),30))</f>
        <v/>
      </c>
      <c r="CW214">
        <f>IF(CS214="",0,IF(ISNUMBER(SEARCH("4P",IFERROR(_xlfn.XLOOKUP(CS214,Линии[_n],Линии[_УЗО строки])&amp;"",""))),0,1))</f>
        <v>0</v>
      </c>
      <c r="CX214" t="str">
        <f>IF(AND(CS214&lt;&gt;"",CS214=BA214),SUMIFS(Линии[_ток на 230 В],Линии[_блок УЗО],BA214,Линии[Щит],A214),"")</f>
        <v/>
      </c>
      <c r="CY214" t="str">
        <f>IF(AND(CS214&lt;&gt;"",CS214=BA214),SUMIFS(Линии[_ток утечки линии, мА],Линии[_блок УЗО],BA214,Линии[Щит],A214),"")</f>
        <v/>
      </c>
      <c r="CZ214">
        <f t="shared" si="444"/>
        <v>30</v>
      </c>
      <c r="DA214">
        <f t="shared" si="445"/>
        <v>30</v>
      </c>
      <c r="DB214">
        <f>IF(B214="",0,IFERROR(--_xlfn.XLOOKUP(B214,Коды_код,Коды_минавт),IFERROR(--_xlfn.XLOOKUP(BC214,Коды_код,Коды_минавт),IFERROR(--_xlfn.XLOOKUP(LEFT(BC214,2),Коды_код,Коды_минавт),0))))</f>
        <v>16</v>
      </c>
      <c r="DC214" t="str">
        <f>IF(B214="","",IFERROR(_xlfn.XLOOKUP(BC214,Коды_код,Коды_апп)&amp;"",""))</f>
        <v/>
      </c>
      <c r="DD214" t="str">
        <f t="shared" si="446"/>
        <v/>
      </c>
      <c r="DE214" t="str" cm="1">
        <f t="array" ref="DE214">IF(TRIM(DD214&amp;"")="","",IFERROR(TRIM(INDEX(_xlfn.TEXTSPLIT(DD214&amp;";;;",";"),1)),""))</f>
        <v/>
      </c>
      <c r="DF214" t="str" cm="1">
        <f t="array" ref="DF214">IF(TRIM(DD214&amp;"")="","",IFERROR(TRIM(INDEX(_xlfn.TEXTSPLIT(DD214&amp;";;;",";"),2)),""))</f>
        <v/>
      </c>
      <c r="DG214" t="str" cm="1">
        <f t="array" ref="DG214">IF(TRIM(DD214&amp;"")="","",IFERROR(TRIM(INDEX(_xlfn.TEXTSPLIT(DD214&amp;";;;",";"),3)),""))</f>
        <v/>
      </c>
      <c r="DH214">
        <f t="shared" si="447"/>
        <v>0</v>
      </c>
      <c r="DI214" t="str">
        <f>IF(B214="","",_xlfn.LET(_xlpm.t,LOWER(AZ214&amp;""),IF(ISNUMBER(SEARCH("dim",_xlpm.t)),"DIM",IF(ISNUMBER(SEARCH("dali",_xlpm.t)),"DALI",IF(OR(ISNUMBER(SEARCH("relay",_xlpm.t)),ISNUMBER(SEARCH("реле",_xlpm.t))),"Relay",IF(ISNUMBER(SEARCH("кнопк",_xlpm.t)),"",IFERROR(_xlfn.XLOOKUP(BC214,Коды_код,Коды_упр)&amp;"","")))))))</f>
        <v/>
      </c>
      <c r="DJ214" t="str">
        <f t="shared" si="448"/>
        <v/>
      </c>
      <c r="DK214">
        <f>IF(B214="","",_xlfn.LET(_xlpm.ig,IF(N(CX214)&gt;0,N(CX214),N(CI214)+IF(AJ214="вручную",0,N(CJ214))),_xlpm.n0,IFERROR(VLOOKUP(_xlpm.ig,Автомат_номиналы,2,TRUE),0),_xlpm.mn,MAX(DB214,IF(AJ214="вручную",0,N(CM214))),MAX(_xlpm.n0,_xlpm.mn,IF(DH214=1,Мин_автомат_БП,0))))</f>
        <v>16</v>
      </c>
      <c r="DL214">
        <f t="shared" si="449"/>
        <v>1</v>
      </c>
      <c r="DM214" t="str">
        <f t="shared" si="450"/>
        <v>2P</v>
      </c>
      <c r="DN214" t="str">
        <f>_xlfn.LET(_xlpm.cc,UPPER(TRIM(IFERROR(_xlfn.XLOOKUP(BC214,Коды_код,Коды_хар)&amp;"",""))),IF(OR(_xlpm.cc="B",_xlpm.cc="В"),"B",IF(_xlpm.cc="D","D","С")))</f>
        <v>С</v>
      </c>
      <c r="DO214" t="str">
        <f t="shared" si="451"/>
        <v>2P С16А 30мА</v>
      </c>
      <c r="DP214" t="str">
        <f t="shared" si="452"/>
        <v>2P С16А 30мА</v>
      </c>
      <c r="DQ214" t="str">
        <f t="shared" si="453"/>
        <v>2P С16А 30мА</v>
      </c>
      <c r="DR214" cm="1">
        <f t="array" ref="DR214">IF(DQ214="","",_xlfn.LET(_xlpm.t,SUBSTITUTE(SUBSTITUTE(SUBSTITUTE(UPPER(DQ214),"С","C"),"А","A"),"В","B"),_xlpm.tk,_xlfn.TEXTSPLIT(_xlpm.t," "),_xlpm.f,_xlfn._xlws.FILTER(_xlpm.tk,ISNUMBER(--MID(_xlpm.tk,2,1))*ISNUMBER(SEARCH(LEFT(_xlpm.tk,1)&amp;"#","B#C#D#"))*(LEN(_xlpm.tk)&gt;1),""),_xlpm.x,INDEX(_xlpm.f,1),IFERROR(--SUBSTITUTE(MID(_xlpm.x,2,9),"A",""),IFERROR(--SUBSTITUTE(INDEX(_xlfn._xlws.FILTER(_xlpm.tk,ISNUMBER(--SUBSTITUTE(_xlpm.tk,"A","")),""),1),"A",""),""))))</f>
        <v>16</v>
      </c>
      <c r="DS214" t="str">
        <f t="shared" si="454"/>
        <v>ok</v>
      </c>
      <c r="DT214">
        <f t="shared" si="455"/>
        <v>16</v>
      </c>
      <c r="DU214" t="str">
        <f t="shared" si="456"/>
        <v>2P С16А 30мА</v>
      </c>
      <c r="DV214">
        <f t="shared" si="457"/>
        <v>30</v>
      </c>
      <c r="DW214">
        <f t="shared" si="458"/>
        <v>1</v>
      </c>
      <c r="DX214">
        <f t="shared" si="459"/>
        <v>0</v>
      </c>
      <c r="DY214">
        <f t="shared" si="460"/>
        <v>0.27348170645824377</v>
      </c>
      <c r="DZ214">
        <f t="shared" si="461"/>
        <v>1</v>
      </c>
      <c r="EA214">
        <f>IF(ISNUMBER(AP214),AP214,К_прокл)</f>
        <v>1</v>
      </c>
      <c r="EB214">
        <f t="shared" si="462"/>
        <v>2</v>
      </c>
      <c r="EC214">
        <f>IFERROR(N(VLOOKUP(BZ214,Кабель_обозначение,3,FALSE)),1)</f>
        <v>1</v>
      </c>
      <c r="ED214">
        <f>IFERROR(N(_xlfn.XLOOKUP(A214,Щиты[Щит],Щиты[ΔU до шин, %])),0)</f>
        <v>0.43</v>
      </c>
      <c r="EE214" t="str">
        <f>IFERROR(_xlfn.XLOOKUP(A214,Щиты[Щит],Щиты[Zпетли на шинах, Ом]),"")</f>
        <v/>
      </c>
      <c r="EF214">
        <f>IFERROR(N(_xlfn.XLOOKUP(A214,Щиты[Щит],Щиты[ΔU до шин (подбор), %])),0)</f>
        <v>0.43</v>
      </c>
      <c r="EG214" t="str">
        <f>IFERROR(_xlfn.XLOOKUP(A214,Щиты[Щит],Щиты[Zпетли на шинах (подбор), Ом]),"")</f>
        <v/>
      </c>
      <c r="EH214" t="str">
        <f t="shared" si="463"/>
        <v/>
      </c>
      <c r="EI214">
        <f t="shared" si="464"/>
        <v>53</v>
      </c>
      <c r="EJ214">
        <f t="shared" si="465"/>
        <v>2</v>
      </c>
      <c r="EK214">
        <f t="shared" si="466"/>
        <v>0.31</v>
      </c>
      <c r="EL214" s="6">
        <f>IF(B214="","",IF(BV214=1,dU_LED,IF(IFERROR(_xlfn.XLOOKUP(BC214,Коды_код,Коды_уго),"")="Светильник",3,4)+IF(Методика="нормы 2026",MIN(0.5,MAX(0,N(P214)-100)*0.005),0)))</f>
        <v>4</v>
      </c>
      <c r="EM214" cm="1">
        <f t="array" ref="EM214">IF(OR(B214="",BZ214="",EC214&lt;&gt;1),"",_xlfn.LET(_xlpm.sz,Iдоп_S,_xlpm.t_,CHOOSE(EB214,Iдоп_1ж,Iдоп_2ж,Iдоп_3ж)*DZ214*EA214,_xlpm.dcx,BV214=1,_xlpm.inn,IF(_xlpm.dcx,N(O214),N(DT214)),_xlpm.smin,MAX(1.5,CC214),_xlpm.L_,N(P214)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214)/N(BU214)*100,999),IFERROR(N(EJ214)*(_xlpm.rho*_xlpm.L_/_xlpm.sz*N(CE214)+_xlpm.xx*_xlpm.L_*N(EK214)/1000)*N(O214)/((Uн_лин/SQRT(3))*1000)*100,999)),_xlpm.kz,IF(OR(_xlpm.dcx,DW214=1,NOT(ISNUMBER(EG214)),_xlpm.L_=0,_xlpm.inn=0),1,IFERROR(--(c_min*(Uн_лин*1000/SQRT(3))/(EG214+2*ρкз_Cu*_xlpm.L_/_xlpm.sz)&gt;=HT214*_xlpm.inn),0)),_xlpm.ok,IFERROR((_xlpm.sz&gt;=_xlpm.smin)*(_xlpm.t_&gt;=_xlpm.inn)*IF(_xlpm.L_&gt;0,(_xlpm.du_+IF(_xlpm.dcx,0,EF214)&lt;=EL214+0.00001),1)*_xlpm.kz,0),_xlpm.r_,_xlfn._xlws.FILTER(_xlpm.sz,_xlpm.ok,"не подобрано"),INDEX(_xlpm.r_,1)))</f>
        <v>1.5</v>
      </c>
      <c r="EN214">
        <f t="shared" si="467"/>
        <v>2.5</v>
      </c>
      <c r="EO214" cm="1">
        <f t="array" ref="EO214">IF(OR(B214="",BZ214="",EC214&lt;&gt;1),"",_xlfn.LET(_xlpm.sz,Iдоп_S,_xlpm.t_,CHOOSE(EB214,Iдоп_1ж,Iдоп_2ж,Iдоп_3ж)*DZ214*EA214,_xlpm.ok,IFERROR((_xlpm.sz&gt;=MAX(1.5,CC214))*(_xlpm.t_&gt;=N(DT214)),0),_xlpm.r_,_xlfn._xlws.FILTER(_xlpm.sz,_xlpm.ok,""),INDEX(_xlpm.r_,1)))</f>
        <v>1.5</v>
      </c>
      <c r="EP214" s="6" cm="1">
        <f t="array" ref="EP214">IFERROR(ROUNDUP(N(EJ214)*(_xlfn.XLOOKUP(EO214,INDEX(Кабель_сопротивление,0,1),INDEX(Кабель_сопротивление,0,3))*N(P214)/EO214*N(CE214)+_xlfn.XLOOKUP(EO214,INDEX(Кабель_сопротивление,0,1),INDEX(Кабель_сопротивление,0,2))*N(P214)*N(EK214)/1000)*N(O214)/((Uн_лин/SQRT(3))*1000)*100,2),"")</f>
        <v>0.19</v>
      </c>
      <c r="EQ214">
        <f>IFERROR(2*ρкз_Cu*N(P214)/EO214,"")</f>
        <v>1.9637333333333336</v>
      </c>
      <c r="ER214">
        <f>IFERROR(VLOOKUP(EN214,Кабель_сопротивление,3,FALSE),"")</f>
        <v>2.2499999999999999E-2</v>
      </c>
      <c r="ES214">
        <f>IFERROR(VLOOKUP(EN214,Кабель_сопротивление,2,FALSE),"")</f>
        <v>0.1</v>
      </c>
      <c r="ET214">
        <f t="shared" si="468"/>
        <v>13</v>
      </c>
      <c r="EU214">
        <f t="shared" si="469"/>
        <v>0</v>
      </c>
      <c r="EV214">
        <f t="shared" si="470"/>
        <v>0.26283561058923727</v>
      </c>
      <c r="EW214" s="6">
        <f>IFERROR(ROUNDUP(EV214/IF(BV214=1,BU214,(Uн_лин/SQRT(3))*1000)*100,2),"")</f>
        <v>0.12</v>
      </c>
      <c r="EX214" t="str">
        <f>IFERROR(VLOOKUP(BZ214,Кабель_обозначение,2,FALSE),"")</f>
        <v>ВВГнг(А)-LS</v>
      </c>
      <c r="EY214" t="str">
        <f t="shared" si="471"/>
        <v>ВВГнг(А)-LS (3х2,5)</v>
      </c>
      <c r="EZ214" t="str">
        <f t="shared" si="472"/>
        <v>ВВГнг(А)-LS (3х2,5)
L=56-0,12%</v>
      </c>
      <c r="FA214">
        <f>IFERROR(2*ρкз_Cu*P214/EN214,"")</f>
        <v>1.1782400000000002</v>
      </c>
      <c r="FB214">
        <f t="shared" si="473"/>
        <v>0.39200000000000002</v>
      </c>
      <c r="FC214" s="6" t="str">
        <f>IFERROR(IF(OR(B214="",BV214=1,NOT(ISNUMBER(EN214)),N(P214)=0),"",_xlfn.XLOOKUP(A214,Щиты[Щит],Щиты[Zпетли на шинах, Ом])+FA214),"")</f>
        <v/>
      </c>
      <c r="FD214" s="6" t="str">
        <f>IF(ISNUMBER(FC214),c_min*(Uн_лин*1000/SQRT(3))/FC214,"")</f>
        <v/>
      </c>
      <c r="FE214" s="6" t="str">
        <f>IFERROR(IF(OR(B214="",NOT(ISNUMBER(EN214))),"",1.05*(Uн_лин*1000/SQRT(3))/(_xlfn.XLOOKUP(A214,Щиты[Щит],Щиты[Zmax на шинах, Ом])+FB214)/1000),"")</f>
        <v/>
      </c>
      <c r="FF214" s="6" t="str">
        <f>IF(B214="","",IF(ISNUMBER(AC214),"Сил",IF(IFERROR(_xlfn.XLOOKUP(BC214,Коды_код,Коды_группа)&amp;"","")="","Быт",_xlfn.XLOOKUP(BC214,Коды_код,Коды_группа)&amp;"")))</f>
        <v>Быт</v>
      </c>
      <c r="FG214" s="6" t="str">
        <f t="shared" si="474"/>
        <v>Быт</v>
      </c>
      <c r="FH214" s="6">
        <f>IF(FG214="Щит","щит",IF(FG214="","",IF(FG214="Быт",IFERROR(_xlfn.XLOOKUP(A214,Щиты[Щит],Щиты[Кс быт]),1),IF(FG214="Сил",IF(ISNUMBER(AC214),AC214,IF(Методика="нормы 2026",IFERROR(_xlfn.XLOOKUP(A214,Щиты[Щит],Щиты[Кс силовых (табл. 7.5)]),1),1)),IF(OR(FG214="Пост",FG214="Отоп"),1,IF(FG214="ВНГ",0.7,0))))))</f>
        <v>0.79799999999999993</v>
      </c>
      <c r="FI214">
        <f>IF(FG214="","",IF(AND(BP214=1,TRIM(AE214&amp;"")=""),IF(COUNTIFS(Линии[Щит],A214,Линии[Секция (1/2/3)],"&gt;=2")&gt;0,MIN(3,MAX(1,IFERROR(--BD214,1))),1),IFERROR(MIN(3,MAX(1,INT(--AE214))),1)))</f>
        <v>1</v>
      </c>
      <c r="FJ214">
        <f t="shared" si="475"/>
        <v>0.06</v>
      </c>
      <c r="FK214">
        <f t="shared" si="476"/>
        <v>0.06</v>
      </c>
      <c r="FL214">
        <f t="shared" si="477"/>
        <v>0</v>
      </c>
      <c r="FM214">
        <f t="shared" si="478"/>
        <v>0</v>
      </c>
      <c r="FN214">
        <f t="shared" si="479"/>
        <v>0</v>
      </c>
      <c r="FO214">
        <f t="shared" si="480"/>
        <v>0</v>
      </c>
      <c r="FP214">
        <f t="shared" si="481"/>
        <v>0.06</v>
      </c>
      <c r="FQ214">
        <f t="shared" si="482"/>
        <v>0.06</v>
      </c>
      <c r="FR214">
        <f t="shared" si="483"/>
        <v>5.6999999999999995E-2</v>
      </c>
      <c r="FS214">
        <f>IF(CG214=1,IF(AND(CH214=1,CW214=1),0,IF(AND(CS214&lt;&gt;"",CS214=BA214,CW214=1),SUMIFS(Линии[_Р линии, кВт],Линии[_блок УЗО],BA214,Линии[Щит],A214),N(BS214)+IF(AJ214="вручную",0,N(CK214)))),0)</f>
        <v>0.06</v>
      </c>
      <c r="FT214" t="str">
        <f t="shared" si="484"/>
        <v>L1</v>
      </c>
      <c r="FU214" t="str">
        <f>IF(B214="","",IF(CG214=0,IF(BA214=1,"",FW213),IF(AND(CH214=1,CW214=1,CS214&lt;&gt;""),IFERROR(_xlfn.XLOOKUP(CS214,Линии[_n],Линии[_фаза итог]),"L1"),IF(OR(N(DL214)&gt;=3,N(BX214)&gt;=3),"L1,L2,L3",IFERROR(_xlfn.TEXTBEFORE(_xlfn.TEXTAFTER(_xlfn.XLOOKUP(A214,Щиты[Щит],Щиты[_фазы авто]),";"&amp;BA214&amp;":"),";"),"L1")))))</f>
        <v>L1</v>
      </c>
      <c r="FV214" t="str">
        <f t="shared" si="485"/>
        <v>L1</v>
      </c>
      <c r="FW214" t="str">
        <f t="shared" si="486"/>
        <v>L1</v>
      </c>
      <c r="FX214" cm="1">
        <f t="array" ref="FX214">IFERROR(IF(CD214=2,_xlfn.IFS(BX214=3,VLOOKUP(BS214,Справочная_двигатели,3,FALSE),BX214=1,VLOOKUP(BS214,Справочная_двигатели,5,TRUE)),0),0)</f>
        <v>0</v>
      </c>
      <c r="FY214">
        <f>IFERROR(IF(CD214=3,VLOOKUP(BS214,Справочная_ЛЭД,2,TRUE),0),0)</f>
        <v>0</v>
      </c>
      <c r="FZ214" s="6">
        <f t="shared" si="487"/>
        <v>0</v>
      </c>
      <c r="GA214" t="str">
        <f>IF(B214="","",IF(TRIM(AH214&amp;"")&lt;&gt;"",IF(LOWER(TRIM(AH214&amp;""))="да","да","нет"),IF(IFERROR(_xlfn.XLOOKUP(BC214,Коды_код,Коды_пожарная),"")="да","да","нет")))</f>
        <v>нет</v>
      </c>
      <c r="GB214" t="str">
        <f t="shared" si="488"/>
        <v/>
      </c>
      <c r="GC214" t="str">
        <f t="shared" si="489"/>
        <v>основная</v>
      </c>
      <c r="GD214">
        <f>IF(AND(BP214=1,TRIM(AE214&amp;"")=""),IF(COUNTIFS(Линии[Щит],A214,Линии[Секция (1/2/3)],"&gt;=2")&gt;0,MIN(3,MAX(1,IFERROR(--BD214,1))),1),IFERROR(MIN(3,MAX(1,INT(--AE214))),1))</f>
        <v>1</v>
      </c>
      <c r="GE214" t="str" cm="1">
        <f t="array" ref="GE214">IF(B214="","",_xlfn.LET(_xlpm.t,IFERROR(_xlfn.XLOOKUP(1,(Шины[Шина]=GC214)*(((Шины[Щит]=A214)+(Шины[Щит]=""))&gt;0),Шины[Тип]),"")&amp;"",IF(_xlpm.t&lt;&gt;"",_xlpm.t,IF(ISNUMBER(SEARCH("ИБП",GC214)),"ИБП",IF(ISNUMBER(SEARCH("ДГУ",GC214)),"ДГУ","Ввод "&amp;GD214)))))</f>
        <v>Ввод 1</v>
      </c>
      <c r="GF214" t="str">
        <f t="shared" si="490"/>
        <v>Ввод 1</v>
      </c>
      <c r="GG214" t="str">
        <f>IF(BP214=0,"",IF(TRIM(AG214&amp;"")&lt;&gt;"",TRIM(AG214&amp;""),IF(OR(GE214="ИБП",GE214="ДГУ"),"I особая",_xlfn.XLOOKUP(A214,Щиты[Щит],Щиты[Категория шины «Ввод»],"III"))))</f>
        <v/>
      </c>
      <c r="GH214" t="str">
        <f>IF(A214="","",_xlfn.XLOOKUP(A214,Щиты[Щит],Щиты[Путь],""))</f>
        <v>|ГРЩ-ЖД|ЩР-01|</v>
      </c>
      <c r="GI214" t="str">
        <f>IF(B214="","",IF(AI214&lt;&gt;"",AI214,IF(IFERROR(_xlfn.XLOOKUP(BC214,Коды_код,Коды_вид)&amp;"","")="","Прочее",_xlfn.XLOOKUP(BC214,Коды_код,Коды_вид)&amp;"")))</f>
        <v>Розеточная сеть и бытовые приборы</v>
      </c>
      <c r="GJ214">
        <f>IF(BM214="","",INT((BM214-1)/Столбцов_на_лист)+1)</f>
        <v>3</v>
      </c>
      <c r="GK214" t="str">
        <f t="shared" si="491"/>
        <v>ВВГнг(А)-LS (3х2,5) L=56-0,12%</v>
      </c>
      <c r="GL214">
        <f t="shared" si="492"/>
        <v>0.06</v>
      </c>
      <c r="GM214">
        <f t="shared" si="493"/>
        <v>0.28000000000000003</v>
      </c>
      <c r="GN214">
        <f t="shared" si="494"/>
        <v>1</v>
      </c>
      <c r="GO214">
        <f t="shared" si="495"/>
        <v>0</v>
      </c>
      <c r="GP214">
        <f t="shared" si="496"/>
        <v>1</v>
      </c>
      <c r="GQ214">
        <f>IF(BM214="","",IF(AND(CG214=1,GP214=1),COUNTIFS(A$3:A214,A214,CG$3:CG214,1,GP$3:GP214,1),IF(OR(OR(BA214=1,A214&lt;&gt;A213),AJ214="вручную",GP214=0),"",IF(BA214=1,"",GR213))))</f>
        <v>30</v>
      </c>
      <c r="GR214">
        <f t="shared" si="497"/>
        <v>30</v>
      </c>
      <c r="GS214">
        <f>IF(B214="","",IFERROR(LOOKUP(INDEX(CHOOSE(EB214,Iдоп_1ж,Iдоп_2ж,Iдоп_3ж),MATCH(EN214,Iдоп_S,0))*DZ214*EA214,{6,10,16,20,25,32,40,50,63,80,100,125,160,200,250,315,400,500,630}),""))</f>
        <v>25</v>
      </c>
      <c r="GT214" t="str">
        <f t="shared" si="498"/>
        <v>QFD30</v>
      </c>
      <c r="GU214" t="str">
        <f t="shared" si="499"/>
        <v>QFD30</v>
      </c>
      <c r="GV214" t="str">
        <f t="shared" si="500"/>
        <v/>
      </c>
      <c r="GW214">
        <f t="shared" si="501"/>
        <v>0</v>
      </c>
      <c r="GX214" t="str">
        <f>IF(OR(B214="",DJ214=""),"",IFERROR(_xlfn.XLOOKUP(DJ214,Модули_умолч[Управление],Модули_умолч[Модель])&amp;"",""))</f>
        <v/>
      </c>
      <c r="GY214">
        <f>IF(DJ214="",1,IFERROR(MAX(0,N(_xlfn.XLOOKUP(DJ214,Модули_умолч[Управление],Модули_умолч[Каналов на линию]))),1))</f>
        <v>1</v>
      </c>
      <c r="GZ214" t="str">
        <f t="shared" si="502"/>
        <v/>
      </c>
      <c r="HA214" t="str">
        <f t="shared" si="503"/>
        <v/>
      </c>
      <c r="HB214" t="str">
        <f t="shared" si="504"/>
        <v/>
      </c>
      <c r="HC214">
        <f>IF(HB214="",0,IFERROR(N(VLOOKUP(HB214,Модули_спр,3,FALSE)),0))</f>
        <v>0</v>
      </c>
      <c r="HD214" t="str">
        <f t="shared" si="505"/>
        <v/>
      </c>
      <c r="HE214" t="str">
        <f t="shared" si="506"/>
        <v/>
      </c>
      <c r="HF214" t="str">
        <f>IF(OR(HE214="",HE214="-"),"",IFERROR(VLOOKUP(HE214,Модули_спр,2,FALSE),"R"))</f>
        <v/>
      </c>
      <c r="HG214" t="str">
        <f>IF(HF214="","",HF214&amp;"."&amp;COUNTIFS(A$3:A214,A214,HF$3:HF214,HF214))</f>
        <v/>
      </c>
      <c r="HH214" t="str">
        <f t="shared" si="507"/>
        <v/>
      </c>
      <c r="HI214" t="str">
        <f t="shared" si="508"/>
        <v/>
      </c>
      <c r="HJ214" t="str">
        <f t="shared" si="509"/>
        <v/>
      </c>
      <c r="HK214" t="str">
        <f t="shared" si="510"/>
        <v/>
      </c>
      <c r="HL214">
        <f t="shared" si="511"/>
        <v>1</v>
      </c>
      <c r="HM214" t="str">
        <f>IF(HL214=1,"XT"&amp;COUNTIFS(A$3:A214,A214,HL$3:HL214,1),"")</f>
        <v>XT30</v>
      </c>
      <c r="HN214" t="str">
        <f t="shared" si="512"/>
        <v/>
      </c>
      <c r="HO214" t="str">
        <f t="shared" si="513"/>
        <v>QFD30</v>
      </c>
      <c r="HP214" t="str">
        <f t="shared" si="514"/>
        <v/>
      </c>
      <c r="HQ214" t="str">
        <f t="shared" si="515"/>
        <v>ok</v>
      </c>
      <c r="HR214" t="str">
        <f>IF(OR(HJ214="",HH214=""),"",IF(HJ214+MAX(0,GY214-1)&gt;IFERROR(VLOOKUP(HI214,Модули_спр,3,FALSE),99),"ЛИШНИЙ КАНАЛ",IF(AND(AL214&lt;&gt;"=",GY214&gt;0,COUNTIFS(Линии[_модуль гр.],HH214,Линии[Канал (итог)],HJ214,Линии[Канал],"&lt;&gt;=",Линии[Щит],A214)&gt;1),"ДУБЛЬ КАНАЛА","")))</f>
        <v/>
      </c>
      <c r="HS214" s="6" t="str">
        <f t="shared" si="516"/>
        <v/>
      </c>
      <c r="HT214">
        <f t="shared" si="517"/>
        <v>10</v>
      </c>
      <c r="HU214" t="str">
        <f t="shared" si="518"/>
        <v/>
      </c>
      <c r="HV214">
        <f t="shared" si="519"/>
        <v>0.66939268258329754</v>
      </c>
      <c r="HW214">
        <f t="shared" si="520"/>
        <v>0</v>
      </c>
      <c r="HX214">
        <f t="shared" si="521"/>
        <v>0</v>
      </c>
      <c r="HY214">
        <f t="shared" si="522"/>
        <v>0</v>
      </c>
      <c r="HZ214">
        <f t="shared" si="523"/>
        <v>0</v>
      </c>
      <c r="IA214">
        <f t="shared" si="524"/>
        <v>0</v>
      </c>
      <c r="IB214">
        <f t="shared" si="525"/>
        <v>0</v>
      </c>
      <c r="IC214" t="str">
        <f t="shared" si="526"/>
        <v/>
      </c>
      <c r="ID214" t="str" cm="1">
        <f t="array" ref="ID214">IF(IC214="","",_xlfn.LET(_xlpm.tk,_xlfn.TEXTSPLIT(SUBSTITUTE(SUBSTITUTE(IC214,";"," "),"→"," ")," ",,TRUE),_xlpm.w_,_xlfn._xlws.FILTER(_xlpm.tk,ISNUMBER(--LEFT(_xlpm.tk,1))*((ISNUMBER(SEARCH("W",_xlpm.tk))+ISNUMBER(SEARCH("Вт",_xlpm.tk)))&gt;0),""),IFERROR(--SUBSTITUTE(SUBSTITUTE(UPPER(INDEX(_xlpm.w_,1)),"W",""),"ВТ",""),"")))</f>
        <v/>
      </c>
      <c r="IE214" t="str" cm="1">
        <f t="array" ref="IE214">IF(IC214="","",_xlfn.LET(_xlpm.tk,_xlfn.TEXTSPLIT(SUBSTITUTE(SUBSTITUTE(IC214,";"," "),"→"," ")," ",,TRUE),_xlpm.v_,_xlfn._xlws.FILTER(_xlpm.tk,ISNUMBER(--LEFT(_xlpm.tk,1))*((ISNUMBER(SEARCH("V",_xlpm.tk))+(RIGHT(UPPER(_xlpm.tk))="В"))&gt;0),""),IFERROR(--SUBSTITUTE(SUBSTITUTE(UPPER(INDEX(_xlpm.v_,1)),"V",""),"В",""),"")))</f>
        <v/>
      </c>
      <c r="IF214" s="6" t="str">
        <f>IF(OR(BV214=0,HI214="",HJ214=""),"",IFERROR(N(_xlfn.XLOOKUP(HI214,Каталог!$C$4:$C$500,Каталог!$Q$4:$Q$500)),""))</f>
        <v/>
      </c>
      <c r="IG214" s="6" t="str">
        <f>IF(N(IF214)=0,"",SUMIFS(Линии[Iр, А],Линии[Щит],A214,Линии[_модуль гр.],HH214,Линии[Канал (итог)],HJ214))</f>
        <v/>
      </c>
      <c r="IH214" t="str">
        <f>IF(AND(B214="",HO214=""),"",_xlfn.TEXTJOIN("; ",TRUE,IF(AND(B214&lt;&gt;"",FV214=""),"нет фазы",""),IF(AND(B214&lt;&gt;"",N(GL214)=0,FG214&lt;&gt;"Нет"),"нет мощности",""),IF(AND(HN214&lt;&gt;"",COUNTIFS(Линии[Щит],A214,Линии[Клемма (итог)],HN214)&gt;1),"дубль клеммы "&amp;HN214,""),IF(AND(HQ214&lt;&gt;"",HQ214&lt;&gt;"ok"),HQ214,""),IF(HR214&lt;&gt;"",HR214,""),IF(AND(N(CB214)&gt;=4,N(BX214)=1),CB214&amp;" жил на 1 фазе",""),IF(AND(BC214="R",CG214=1,IF(CS214&lt;&gt;"",N(CV214)&gt;30,OR(N(DA214)=0,N(DA214)&gt;30))),"розетка без дифзащиты до 30 мА",""),IF(AND(CG214=1,N(DA214)&gt;0,ISNUMBER(T214)),IF(T214&gt;N(DA214)/3,"ток утечки "&amp;FIXED(T214,1)&amp;" мА &gt; 1/3 уставки ("&amp;DA214&amp;" мА)",""),""),IF(AND(CH214=1,CS214=""),"«узо»: нет строки с УЗО выше (УЗО 2P 40А 30мА в «Аппаратах»)",""),IF(AND(CS214&lt;&gt;"",CS214=BA214),IF(CT214="","впишите номинал УЗО (УЗО 2P 40А 30мА)",IF(N(CT214)&lt;N(DT214),"УЗО "&amp;CT214&amp;" А &lt; автомата "&amp;DT214&amp;" А перед ним",IF(N(CT214)&lt;N(CX214),"УЗО "&amp;CT214&amp;" А &lt; тока блока "&amp;FIXED(CX214,1)&amp;" А",""))),""),IF(AND(CS214&lt;&gt;"",CS214=BA214,ISNUMBER(CY214)),IF(CY214&gt;N(CV214)/3,"ток утечки блока УЗО "&amp;FIXED(CY214,1)&amp;" мА &gt; 1/3 уставки ("&amp;CV214&amp;" мА)",""),""),IF(AND(CG214=1,N(BV214)+N(IB214)&gt;0,IC214=""),"линии до 50 В без БП: впишите в «Аппараты» (БП 24V 480W)",""),IF(AND(CG214=1,ISNUMBER(ID214),ISNUMBER(U214)),IF(U214&gt;ID214,"БП "&amp;ID214&amp;" Вт &lt; нужно "&amp;U214&amp;" Вт (×"&amp;Запас_БП&amp;")",""),""),IF(AND(CG214=1,ISNUMBER(IE214),N(BV214)=1),IF(IE214&lt;&gt;N(BU214),"БП на "&amp;IE214&amp;" В, линия "&amp;BU214&amp;" В",""),""),IF(AND(N(IF214)&gt;0,N(IG214)&gt;N(IF214)),HH214&amp;" канал "&amp;HJ214&amp;": "&amp;FIXED(IG214,1)&amp;" А &gt; "&amp;IF214&amp;" А",""),IFERROR(IF(AND(ISNUMBER(Q214),Q214&gt;EL214),"потери "&amp;FIXED(Q214,1)&amp;" % &gt; "&amp;EL214&amp;" %",""),""),IFERROR(IF(LEFT(HU214,4)="мало","Iкз мало — отключение &gt; 0,4 с",""),""),IF(AND(B214&lt;&gt;"",BM214=""),"не на схеме",""),IF(AND(CG214=0,B214&lt;&gt;"",FV214&lt;&gt;"",IF(BA214=1,"",FW213)&lt;&gt;"",FV214&lt;&gt;IF(BA214=1,"",FW213)),"фаза не как у автомата группы ("&amp;IF(BA214=1,"",FW213)&amp;")","")))</f>
        <v/>
      </c>
      <c r="II214" s="6">
        <f>IF(OR(CG214=0,DQ214=""),"",_xlfn.LET(_xlpm.t,IFERROR(_xlfn.XLOOKUP(DQ214,Каталог!$U$4:$U$500,Каталог!$G$4:$G$500),""),_xlpm.k,SEARCH("кА",_xlpm.t),IFERROR(--TRIM(RIGHT(SUBSTITUTE(MID(_xlpm.t,MAX(1,_xlpm.k-4),_xlpm.k-MAX(1,_xlpm.k-4))," ",REPT(" ",9)),5)),"")))</f>
        <v>6</v>
      </c>
      <c r="IJ214" t="str">
        <f>IF(OR(II214="",CG214=0),"",IF(_xlfn.XLOOKUP(A214,Щиты[Щит],Щиты[Iкз max на шинах, кА],"")="","",IF(II214&lt;_xlfn.XLOOKUP(A214,Щиты[Щит],Щиты[Iкз max на шинах, кА]),"Icu "&amp;II214&amp;" кА &lt; Iкз max","ok")))</f>
        <v/>
      </c>
      <c r="IK214" t="str">
        <f t="shared" si="527"/>
        <v/>
      </c>
      <c r="IL214" t="str">
        <f t="shared" si="528"/>
        <v>QFD30</v>
      </c>
      <c r="IM214" t="str">
        <f t="shared" si="529"/>
        <v>QFD30|кабель ВВГнг(А)-LS (3х2,5) → Розеточная группа, пом. 018A</v>
      </c>
      <c r="IN214" t="str" cm="1">
        <f t="array" ref="IN214">IF(IM214="","",_xlfn.LET(_xlpm.nd,_xlfn.TEXTSPLIT(IM214,"|"),IF(COLUMNS(_xlpm.nd)&gt;1,A214&amp;"¦"&amp;INDEX(_xlpm.nd,1)&amp;"¦"&amp;INDEX(_xlpm.nd,2),"")))</f>
        <v>ЩР-01¦QFD30¦кабель ВВГнг(А)-LS (3х2,5) → Розеточная группа, пом. 018A</v>
      </c>
      <c r="IO214" t="str">
        <f t="shared" si="530"/>
        <v>R.0.018A.1¦Розеточная группа, пом. 018A</v>
      </c>
      <c r="IP214" t="str" cm="1">
        <f t="array" ref="IP214">IF(IM214="","",_xlfn.LET(_xlpm.nd,_xlfn.TEXTSPLIT(IM214,"|"),IF(COLUMNS(_xlpm.nd)&gt;2,A214&amp;"¦"&amp;INDEX(_xlpm.nd,2)&amp;"¦"&amp;INDEX(_xlpm.nd,3),"")))</f>
        <v/>
      </c>
      <c r="IQ214" t="str">
        <f t="shared" si="531"/>
        <v/>
      </c>
      <c r="IR214" t="str" cm="1">
        <f t="array" ref="IR214">IF(IM214="","",_xlfn.LET(_xlpm.nd,_xlfn.TEXTSPLIT(IM214,"|"),IF(COLUMNS(_xlpm.nd)&gt;3,A214&amp;"¦"&amp;INDEX(_xlpm.nd,3)&amp;"¦"&amp;INDEX(_xlpm.nd,4),"")))</f>
        <v/>
      </c>
      <c r="IS214" t="str">
        <f t="shared" si="532"/>
        <v/>
      </c>
      <c r="IT214" t="str" cm="1">
        <f t="array" ref="IT214">IF(IM214="","",_xlfn.LET(_xlpm.nd,_xlfn.TEXTSPLIT(IM214,"|"),IF(COLUMNS(_xlpm.nd)&gt;4,A214&amp;"¦"&amp;INDEX(_xlpm.nd,4)&amp;"¦"&amp;INDEX(_xlpm.nd,5),"")))</f>
        <v/>
      </c>
      <c r="IU214" t="str">
        <f t="shared" si="533"/>
        <v/>
      </c>
      <c r="IV214" t="str" cm="1">
        <f t="array" ref="IV214">IF(IM214="","",_xlfn.LET(_xlpm.nd,_xlfn.TEXTSPLIT(IM214,"|"),IF(COLUMNS(_xlpm.nd)&gt;5,A214&amp;"¦"&amp;INDEX(_xlpm.nd,5)&amp;"¦"&amp;INDEX(_xlpm.nd,6),"")))</f>
        <v/>
      </c>
      <c r="IW214" t="str">
        <f t="shared" si="534"/>
        <v/>
      </c>
      <c r="IX214" t="str" cm="1">
        <f t="array" ref="IX214">IF(IM214="","",_xlfn.LET(_xlpm.nd,_xlfn.TEXTSPLIT(IM214,"|"),IF(COLUMNS(_xlpm.nd)&gt;6,A214&amp;"¦"&amp;INDEX(_xlpm.nd,6)&amp;"¦"&amp;INDEX(_xlpm.nd,7),"")))</f>
        <v/>
      </c>
      <c r="IY214" t="str">
        <f t="shared" si="535"/>
        <v/>
      </c>
      <c r="IZ214" t="str">
        <f t="shared" si="536"/>
        <v/>
      </c>
      <c r="JA214" t="str">
        <f t="shared" si="537"/>
        <v>QFD30</v>
      </c>
      <c r="JB214">
        <f t="shared" si="538"/>
        <v>0</v>
      </c>
      <c r="JC214">
        <f t="shared" si="539"/>
        <v>1</v>
      </c>
      <c r="JD214" t="str">
        <f t="shared" si="540"/>
        <v/>
      </c>
      <c r="JE214" t="str">
        <f t="shared" si="541"/>
        <v/>
      </c>
      <c r="JF214" t="str">
        <f t="shared" si="542"/>
        <v/>
      </c>
      <c r="JG214" t="str">
        <f t="shared" si="543"/>
        <v/>
      </c>
      <c r="JH214" t="str">
        <f>IF(B214="","",IFERROR(_xlfn.XLOOKUP(B214,Коды_код,Коды_уго),IFERROR(_xlfn.XLOOKUP(BC214,Коды_код,Коды_уго),IFERROR(_xlfn.XLOOKUP(LEFT(BC214,2),Коды_код,Коды_уго),""))))</f>
        <v>Розетка</v>
      </c>
      <c r="JI214" t="str">
        <f>IF(B214="","",IF(OR(JH214="",JH214=0),"BOX",IFERROR(IF(VLOOKUP(JH214,УГО_блоки,3,FALSE)&amp;""&lt;&gt;"",VLOOKUP(JH214,УГО_блоки,3,FALSE),VLOOKUP(JH214,УГО_блоки,2,FALSE)),JH214)))</f>
        <v>SOCKET</v>
      </c>
      <c r="JJ214">
        <f t="shared" si="544"/>
        <v>1</v>
      </c>
      <c r="JK214" t="str">
        <f>IF(DQ214="","",IF(COUNTIF(DQ$3:DQ214,DQ214)=1,MAX(JK$2:JK213)+1,""))</f>
        <v/>
      </c>
      <c r="JL214" t="str">
        <f>IF(DE214="","",IF(COUNTIF(DE$3:DE214,DE214)+COUNTIF(DF$2:DF213,DE214)+COUNTIF(DG$2:DG213,DE214)=1,MAX(JL$2:JN213)+1,""))</f>
        <v/>
      </c>
      <c r="JM214" t="str">
        <f>IF(DF214="","",IF(COUNTIF(DE$3:DE214,DF214)+COUNTIF(DF$3:DF214,DF214)+COUNTIF(DG$2:DG213,DF214)=1,MAX(JL$2:JN213,JL214)+1,""))</f>
        <v/>
      </c>
      <c r="JN214" t="str">
        <f>IF(DG214="","",IF(COUNTIF(DE$3:DE214,DG214)+COUNTIF(DF$3:DF214,DG214)+COUNTIF(DG$3:DG214,DG214)=1,MAX(JL$2:JN213,JL214,JM214)+1,""))</f>
        <v/>
      </c>
      <c r="JO214" t="str">
        <f t="shared" si="545"/>
        <v>3х2,5</v>
      </c>
      <c r="JP214" t="str">
        <f>IF(JO214="","",IF(COUNTIF(JO$3:JO214,JO214)=1,MAX(JP$2:JP213)+1,""))</f>
        <v/>
      </c>
      <c r="JQ214" t="str">
        <f>IF(HG214="","",COUNTIF(HG$3:HG214,"?*"))</f>
        <v/>
      </c>
      <c r="JR214" t="str">
        <f>IF(OR(HG214="",HI214=""),"",IF(COUNTIFS(HG$3:HG214,"?*",HI$3:HI214,HI214)=1,MAX(JR$2:JR213)+1,""))</f>
        <v/>
      </c>
      <c r="JS214">
        <f t="shared" si="546"/>
        <v>0</v>
      </c>
      <c r="JT214">
        <f>IF(B214="","",COUNTIF(B$3:B214,"?*"))</f>
        <v>212</v>
      </c>
      <c r="JU214">
        <f>IF(HL214&lt;&gt;1,0,_xlfn.LET(_xlpm.k,MAX(IFERROR(--_xlfn.XLOOKUP(B214,Коды_код,Коды_3L),0),IFERROR(--_xlfn.XLOOKUP(BC214,Коды_код,Коды_3L),0),IFERROR(--_xlfn.XLOOKUP(LEFT(BC214,2),Коды_код,Коды_3L),0)),IF(_xlpm.k&gt;0,_xlpm.k,IF(IFERROR(--LEFT(SUBSTITUTE(JO214,"x","х"),FIND("х",SUBSTITUTE(JO214,"x","х"))-1),3)&gt;3,Каталог!$S$9,1))))</f>
        <v>1</v>
      </c>
      <c r="JV214">
        <f t="shared" si="547"/>
        <v>0</v>
      </c>
      <c r="JW214" t="str">
        <f t="shared" si="548"/>
        <v>авто</v>
      </c>
      <c r="JX214">
        <f t="shared" si="549"/>
        <v>30</v>
      </c>
      <c r="JY214">
        <f t="shared" si="550"/>
        <v>1</v>
      </c>
      <c r="JZ214">
        <f t="shared" si="551"/>
        <v>1</v>
      </c>
    </row>
    <row r="215" spans="1:286" x14ac:dyDescent="0.3">
      <c r="A215" t="s">
        <v>755</v>
      </c>
      <c r="B215" t="s">
        <v>1522</v>
      </c>
      <c r="C215" t="str">
        <f>Линии[[#This Row],[_авто наименование]]</f>
        <v>Розеточная группа, пом. 018Б</v>
      </c>
      <c r="D215">
        <v>1</v>
      </c>
      <c r="E215">
        <v>0.06</v>
      </c>
      <c r="G215" t="str">
        <f>Линии[[#This Row],[_авто автомат]]</f>
        <v>2P С16А 30мА</v>
      </c>
      <c r="H215" t="str">
        <f>Линии[[#This Row],[_авто управление]]</f>
        <v/>
      </c>
      <c r="I215" t="str">
        <f>Линии[[#This Row],[_авто аппараты]]</f>
        <v/>
      </c>
      <c r="J215">
        <v>2.5</v>
      </c>
      <c r="K215">
        <v>30</v>
      </c>
      <c r="L215">
        <v>2</v>
      </c>
      <c r="M215" t="s">
        <v>484</v>
      </c>
      <c r="N215" t="str">
        <f t="shared" si="414"/>
        <v/>
      </c>
      <c r="O215" s="6" cm="1">
        <f t="array" ref="O215">IF(B215="","",IF(BH215&lt;&gt;"",IFERROR(_xlfn.XLOOKUP(BH215,Щиты[Щит],Щиты[Iр, А]),""),IF(BP215=1,IF(OR(N(_xlfn.XLOOKUP(A215,Щиты[Щит],Щиты[Вводов],1))&lt;=1,LOWER(TRIM(_xlfn.XLOOKUP(A215,Щиты[Щит],Щиты[АВР],"")&amp;""))="да"),IFERROR(_xlfn.XLOOKUP(A215,Щиты[Щит],Щиты[Iр, А]),""),IFERROR(N(BS215)*_xlfn.XLOOKUP(A215,Щиты[Щит],Щиты[Кс итог])/(SQRT(3)*Uн_лин*_xlfn.XLOOKUP(A215,Щиты[Щит],Щиты[cos φ])),"")),IF(BV215=1,IFERROR(BS215*1000/BU215,""),IFERROR(_xlfn.IFS(BX215=1,BS215/((Uн_лин/SQRT(3))*CE215),BX215=3,BS215/(SQRT(3)*Uн_лин*CE215)),"")))))</f>
        <v>0.27348170645824377</v>
      </c>
      <c r="P215" s="7">
        <f>IF(B215="","",IFERROR(IF(VLOOKUP(BC215,Потребители_обозначение,4,FALSE)=1,VLOOKUP(BC215,Потребители_обозначение,3,FALSE)*(MAX(1,N(D215))*2-1)+EI215+VLOOKUP(BE215,Этаж_обозначение,3,FALSE)+VLOOKUP(BE215,Этаж_обозначение,4,FALSE),VLOOKUP(BC215,Потребители_обозначение,3,FALSE)*(MAX(1,N(D215))*2-1)+EI215),EI215))</f>
        <v>33</v>
      </c>
      <c r="Q215" s="6">
        <f t="shared" si="415"/>
        <v>0.5</v>
      </c>
      <c r="R215" t="str">
        <f t="shared" si="416"/>
        <v>ВВГнг(А)-LS (3х2,5)</v>
      </c>
      <c r="S215" t="str">
        <f>IF(BM215="","",IF(BN215="вводной узел","узел ","")&amp;"л."&amp;(INT((BM215-1)/Столбцов_на_лист)+1)&amp;" / "&amp;(MOD(BM215-1,Столбцов_на_лист)+1))</f>
        <v>л.3 / 9</v>
      </c>
      <c r="T215" s="119">
        <f t="shared" si="417"/>
        <v>0.4</v>
      </c>
      <c r="U215" s="7" t="str">
        <f>IF(OR(CG215=0,N(BV215)+N(IB215)=0),"",ROUNDUP(Запас_БП*(N(HY215)+N(HZ215)),0))</f>
        <v/>
      </c>
      <c r="V215" s="119" t="str">
        <f t="shared" si="418"/>
        <v/>
      </c>
      <c r="W215" s="7" t="str">
        <f>IFERROR(IF(OR(B215="",BP215=1,BV215=1,NOT(ISNUMBER(EN215)),N(DT215)=0),"",MAX(0,ROUNDDOWN((c_min*(Uн_лин*1000/SQRT(3))/(HT215*N(DT215))-_xlfn.XLOOKUP(A215,Щиты[Щит],Щиты[Zпетли на шинах, Ом]))*EN215/(2*ρкз_Cu),0))),"")</f>
        <v/>
      </c>
      <c r="Y215">
        <f>Линии[[#This Row],[_авто утечка]]</f>
        <v>30</v>
      </c>
      <c r="Z215">
        <v>1</v>
      </c>
      <c r="AA215">
        <v>230</v>
      </c>
      <c r="AB215" t="s">
        <v>562</v>
      </c>
      <c r="AG215" t="s">
        <v>810</v>
      </c>
      <c r="AI215" t="s">
        <v>561</v>
      </c>
      <c r="AK215" t="str">
        <f>Линии[[#This Row],[_авто модуль]]</f>
        <v/>
      </c>
      <c r="AM215">
        <v>43</v>
      </c>
      <c r="AN215" t="s">
        <v>11</v>
      </c>
      <c r="AO215">
        <v>3</v>
      </c>
      <c r="AQ215">
        <v>24</v>
      </c>
      <c r="AR215">
        <v>9</v>
      </c>
      <c r="AS215">
        <v>0</v>
      </c>
      <c r="BA215" cm="1">
        <f t="array" ref="BA215">ROW()-ROW(Линии[#Headers])</f>
        <v>213</v>
      </c>
      <c r="BC215" s="6" t="str">
        <f t="shared" si="419"/>
        <v>R</v>
      </c>
      <c r="BD215" t="str">
        <f t="shared" si="420"/>
        <v>0.018Б.1</v>
      </c>
      <c r="BE215" t="str">
        <f t="shared" si="421"/>
        <v>0</v>
      </c>
      <c r="BF215" t="str">
        <f t="shared" si="422"/>
        <v>018Б.1</v>
      </c>
      <c r="BG215" t="str">
        <f t="shared" si="423"/>
        <v>018Б</v>
      </c>
      <c r="BH215" t="str">
        <f>IF(X215&lt;&gt;"",X215,IF(AND(B215&lt;&gt;"",B215&lt;&gt;A215,ISNUMBER(_xlfn.XMATCH(B215,Щиты[Щит]))),B215,""))</f>
        <v/>
      </c>
      <c r="BI215" t="str" cm="1">
        <f t="array" ref="BI215">IF(B215="","",IF(BH215&lt;&gt;"","Щит "&amp;BH215,_xlfn.LET(_xlpm.nm,IFERROR(_xlfn.XLOOKUP(BC215,Коды_код,Коды_имя)&amp;"",""),_xlpm.md,IFERROR(N(_xlfn.XLOOKUP(BC215,Коды_код,Коды_режим)),1),_xlpm.ex,IF(Имя_режим="по экспликации",IFERROR(_xlfn.XLOOKUP(BE215&amp;"|"&amp;BG215,Экспликация[Этаж]&amp;"|"&amp;Экспликация[Помещение],Экспликация[Название])&amp;"",""),""),_xlpm.rm,IF(BG215="","",IF(_xlpm.ex&lt;&gt;"",". "&amp;_xlpm.ex&amp;IF(Имя_пом="нет"," ("&amp;BG215&amp;")"," (пом. "&amp;BG215&amp;")"),IF(Имя_пом="нет"," ",", пом. ")&amp;BG215)),IF(_xlpm.nm="","",IF(_xlpm.md=2,_xlpm.nm&amp;" шлейф "&amp;BE215,_xlpm.nm&amp;_xlpm.rm)))))</f>
        <v>Розеточная группа, пом. 018Б</v>
      </c>
      <c r="BJ215" t="str">
        <f t="shared" si="424"/>
        <v>Розеточная группа, пом. 018Б</v>
      </c>
      <c r="BK215">
        <f>IFERROR(_xlfn.XMATCH(A215,Щиты[Щит]),0)</f>
        <v>9</v>
      </c>
      <c r="BL215">
        <f>_xlfn.LET(_xlpm.k,IFERROR(_xlfn.XLOOKUP(A215,Щиты[Щит],Щиты[Мест под вводной узел]),""),IF(_xlpm.k="",Столбцов_на_лист,N(_xlpm.k)))</f>
        <v>8</v>
      </c>
      <c r="BM215">
        <f t="shared" si="425"/>
        <v>43</v>
      </c>
      <c r="BN215" t="str">
        <f t="shared" si="426"/>
        <v>линии</v>
      </c>
      <c r="BO215" s="6">
        <f>IFERROR(N(_xlfn.XLOOKUP(BC215,Коды_код,Коды_квт)),0)</f>
        <v>0</v>
      </c>
      <c r="BP215">
        <f t="shared" si="427"/>
        <v>0</v>
      </c>
      <c r="BQ215" t="str">
        <f>IF(B215="","",IF(BH215&lt;&gt;"",IFERROR(_xlfn.XLOOKUP(BH215,Щиты[Щит],Щиты[Руст, кВт]),0),IF(BP215=1,IF(OR(N(_xlfn.XLOOKUP(A215,Щиты[Щит],Щиты[Вводов],1))&lt;=1,LOWER(TRIM(_xlfn.XLOOKUP(A215,Щиты[Щит],Щиты[АВР],"")&amp;""))="да"),IFERROR(_xlfn.XLOOKUP(A215,Щиты[Щит],Щиты[Руст, кВт]),0),SUMIFS(Линии[_Р для вводов],Линии[Щит],A215,Линии[Источник для режимов],GF215)),IF(BO215&gt;0,ROUND(BO215*MAX(1,N(D215)),3),""))))</f>
        <v/>
      </c>
      <c r="BR215">
        <f t="shared" si="428"/>
        <v>0.06</v>
      </c>
      <c r="BS215" s="6">
        <f>IF(B215="","",IF(BH215&lt;&gt;"",IFERROR(_xlfn.XLOOKUP(BH215,Щиты[Щит],Щиты[Руст, кВт]),0),N(BR215)))</f>
        <v>0.06</v>
      </c>
      <c r="BT215" t="str">
        <f>IF(B215="","",IFERROR(IF(VLOOKUP(BC215,Потребители_обозначение,8,FALSE)=0,"",VLOOKUP(BC215,Потребители_обозначение,8,FALSE)),""))</f>
        <v/>
      </c>
      <c r="BU215">
        <f t="shared" si="429"/>
        <v>230</v>
      </c>
      <c r="BV215">
        <f t="shared" si="430"/>
        <v>0</v>
      </c>
      <c r="BW215">
        <f>IF(B215="","",IF(BH215&lt;&gt;"",3,IFERROR(IF(N(VLOOKUP(BC215,Потребители_обозначение,9,FALSE))=0,1,VLOOKUP(BC215,Потребители_обозначение,9,FALSE)),1)))</f>
        <v>1</v>
      </c>
      <c r="BX215">
        <f t="shared" si="431"/>
        <v>1</v>
      </c>
      <c r="BY215" t="str">
        <f>IF(B215="","",_xlfn.LET(_xlpm.bc,IFERROR(IF(VLOOKUP(BC215,Потребители_обозначение,6,FALSE)=0,"",VLOOKUP(BC215,Потребители_обозначение,6,FALSE)&amp;""),""),IF(AND(GA215="да",OR(_xlpm.bc="",_xlpm.bc="мс")),Марка_пож,IF(AND(_xlpm.bc="",BH215&lt;&gt;""),"мс",_xlpm.bc))))</f>
        <v/>
      </c>
      <c r="BZ215" t="str">
        <f t="shared" si="432"/>
        <v>мс</v>
      </c>
      <c r="CA215">
        <f>IF(B215="","",_xlfn.LET(_xlpm.cc,IFERROR(N(VLOOKUP(BC215,Потребители_обозначение,7,FALSE)),0),IF(_xlpm.cc&gt;0,_xlpm.cc,IF(BZ215="","",IF(BV215=1,2,IF(N(BX215)=3,5,3))))))</f>
        <v>3</v>
      </c>
      <c r="CB215">
        <f t="shared" si="433"/>
        <v>3</v>
      </c>
      <c r="CC215">
        <f>IFERROR(N(VLOOKUP(BC215,Потребители_обозначение,10,FALSE)),0)</f>
        <v>0</v>
      </c>
      <c r="CD215">
        <f>IFERROR(VLOOKUP(BC215,Потребители_обозначение,5,FALSE),0)</f>
        <v>1</v>
      </c>
      <c r="CE215" s="6" cm="1">
        <f t="array" ref="CE215">IF(B215="","",IF(BH215&lt;&gt;"",IFERROR(_xlfn.XLOOKUP(BH215,Щиты[Щит],Щиты[cos φ]),0.95),IF(BP215=1,IFERROR(_xlfn.XLOOKUP(A215,Щиты[Щит],Щиты[cos φ]),0.95),IF(ISNUMBER(AD215),AD215,IFERROR(IF(CD215=2,_xlfn.IFS(BX215=3,VLOOKUP(BS215,Справочная_двигатели,8,FALSE),BX215=1,VLOOKUP(BS215,Справочная_двигатели,10,TRUE)),IF(AND(Методика="нормы 2026",FG215="Сил"),0.8,0.95)),0.95)))))</f>
        <v>0.95</v>
      </c>
      <c r="CF215">
        <f t="shared" si="434"/>
        <v>0</v>
      </c>
      <c r="CG215">
        <f t="shared" si="435"/>
        <v>1</v>
      </c>
      <c r="CH215">
        <f t="shared" si="436"/>
        <v>0</v>
      </c>
      <c r="CI215">
        <f>IF(B215="","",IF(BV215=1,IFERROR(BS215/((Uн_лин/SQRT(3))*MAX(0.5,N(CE215))),0),N(O215)))</f>
        <v>0.27348170645824377</v>
      </c>
      <c r="CJ215">
        <f t="shared" si="437"/>
        <v>0</v>
      </c>
      <c r="CK215">
        <f t="shared" si="438"/>
        <v>0</v>
      </c>
      <c r="CL215">
        <f t="shared" si="439"/>
        <v>0</v>
      </c>
      <c r="CM215">
        <f t="shared" si="440"/>
        <v>0</v>
      </c>
      <c r="CN215">
        <f t="shared" si="441"/>
        <v>0</v>
      </c>
      <c r="CO215">
        <f>IF(BC215="",0,_xlfn.LET(_xlpm.v,IFERROR(_xlfn.XLOOKUP(B215,Коды_код,Коды_мА),IFERROR(_xlfn.XLOOKUP(BC215,Коды_код,Коды_мА),IFERROR(_xlfn.XLOOKUP(LEFT(BC215,2),Коды_код,Коды_мА),""))),IF(_xlpm.v="да",30,IF(ISNUMBER(_xlpm.v),_xlpm.v,0))))</f>
        <v>30</v>
      </c>
      <c r="CP215">
        <f t="shared" si="442"/>
        <v>30</v>
      </c>
      <c r="CQ215" t="str">
        <f>_xlfn.LET(_xlpm.k,IFERROR(_xlfn.XLOOKUP(BC215,Коды_код,Коды_утечка)&amp;"",""),IF(_xlpm.k="","дифавтомат",_xlpm.k))</f>
        <v>дифавтомат</v>
      </c>
      <c r="CR215" t="str" cm="1">
        <f t="array" ref="CR215">IF(CG215=0,"",_xlfn.LET(_xlpm.sg,TRIM(_xlfn.TEXTSPLIT(DD215&amp;"",";")),_xlpm.f_,_xlfn._xlws.FILTER(_xlpm.sg,LEFT(_xlpm.sg,3)="УЗО",""),IFERROR(INDEX(_xlpm.f_,1)&amp;"","")))</f>
        <v/>
      </c>
      <c r="CS215" t="str">
        <f t="shared" si="443"/>
        <v/>
      </c>
      <c r="CT215" s="6" t="str" cm="1">
        <f t="array" ref="CT215">IF(CR215="","",_xlfn.LET(_xlpm.tk,_xlfn.TEXTSPLIT(UPPER(CR215)," ",,TRUE),_xlpm.a_,_xlfn._xlws.FILTER(_xlpm.tk,ISNUMBER(--LEFT(_xlpm.tk,1))*((ISNUMBER(SEARCH("А",_xlpm.tk))+ISNUMBER(SEARCH("A",_xlpm.tk)))&gt;0)*NOT(ISNUMBER(SEARCH("МА",_xlpm.tk)))*NOT(ISNUMBER(SEARCH("MA",_xlpm.tk))),""),IFERROR(--SUBSTITUTE(SUBSTITUTE(INDEX(_xlpm.a_,1),"А",""),"A",""),"")))</f>
        <v/>
      </c>
      <c r="CU215" t="str" cm="1">
        <f t="array" ref="CU215">IF(CR215="","",_xlfn.LET(_xlpm.tk,_xlfn.TEXTSPLIT(UPPER(CR215)," ",,TRUE),_xlpm.a_,_xlfn._xlws.FILTER(_xlpm.tk,ISNUMBER(--LEFT(_xlpm.tk,1))*((ISNUMBER(SEARCH("МА",_xlpm.tk))+ISNUMBER(SEARCH("MA",_xlpm.tk)))&gt;0),""),IFERROR(--SUBSTITUTE(SUBSTITUTE(INDEX(_xlpm.a_,1),"МА",""),"MA",""),30)))</f>
        <v/>
      </c>
      <c r="CV215" t="str">
        <f>IF(CS215="","",IFERROR(_xlfn.XLOOKUP(CS215,Линии[_n],Линии[_УЗО, мА]),30))</f>
        <v/>
      </c>
      <c r="CW215">
        <f>IF(CS215="",0,IF(ISNUMBER(SEARCH("4P",IFERROR(_xlfn.XLOOKUP(CS215,Линии[_n],Линии[_УЗО строки])&amp;"",""))),0,1))</f>
        <v>0</v>
      </c>
      <c r="CX215" t="str">
        <f>IF(AND(CS215&lt;&gt;"",CS215=BA215),SUMIFS(Линии[_ток на 230 В],Линии[_блок УЗО],BA215,Линии[Щит],A215),"")</f>
        <v/>
      </c>
      <c r="CY215" t="str">
        <f>IF(AND(CS215&lt;&gt;"",CS215=BA215),SUMIFS(Линии[_ток утечки линии, мА],Линии[_блок УЗО],BA215,Линии[Щит],A215),"")</f>
        <v/>
      </c>
      <c r="CZ215">
        <f t="shared" si="444"/>
        <v>30</v>
      </c>
      <c r="DA215">
        <f t="shared" si="445"/>
        <v>30</v>
      </c>
      <c r="DB215">
        <f>IF(B215="",0,IFERROR(--_xlfn.XLOOKUP(B215,Коды_код,Коды_минавт),IFERROR(--_xlfn.XLOOKUP(BC215,Коды_код,Коды_минавт),IFERROR(--_xlfn.XLOOKUP(LEFT(BC215,2),Коды_код,Коды_минавт),0))))</f>
        <v>16</v>
      </c>
      <c r="DC215" t="str">
        <f>IF(B215="","",IFERROR(_xlfn.XLOOKUP(BC215,Коды_код,Коды_апп)&amp;"",""))</f>
        <v/>
      </c>
      <c r="DD215" t="str">
        <f t="shared" si="446"/>
        <v/>
      </c>
      <c r="DE215" t="str" cm="1">
        <f t="array" ref="DE215">IF(TRIM(DD215&amp;"")="","",IFERROR(TRIM(INDEX(_xlfn.TEXTSPLIT(DD215&amp;";;;",";"),1)),""))</f>
        <v/>
      </c>
      <c r="DF215" t="str" cm="1">
        <f t="array" ref="DF215">IF(TRIM(DD215&amp;"")="","",IFERROR(TRIM(INDEX(_xlfn.TEXTSPLIT(DD215&amp;";;;",";"),2)),""))</f>
        <v/>
      </c>
      <c r="DG215" t="str" cm="1">
        <f t="array" ref="DG215">IF(TRIM(DD215&amp;"")="","",IFERROR(TRIM(INDEX(_xlfn.TEXTSPLIT(DD215&amp;";;;",";"),3)),""))</f>
        <v/>
      </c>
      <c r="DH215">
        <f t="shared" si="447"/>
        <v>0</v>
      </c>
      <c r="DI215" t="str">
        <f>IF(B215="","",_xlfn.LET(_xlpm.t,LOWER(AZ215&amp;""),IF(ISNUMBER(SEARCH("dim",_xlpm.t)),"DIM",IF(ISNUMBER(SEARCH("dali",_xlpm.t)),"DALI",IF(OR(ISNUMBER(SEARCH("relay",_xlpm.t)),ISNUMBER(SEARCH("реле",_xlpm.t))),"Relay",IF(ISNUMBER(SEARCH("кнопк",_xlpm.t)),"",IFERROR(_xlfn.XLOOKUP(BC215,Коды_код,Коды_упр)&amp;"","")))))))</f>
        <v/>
      </c>
      <c r="DJ215" t="str">
        <f t="shared" si="448"/>
        <v/>
      </c>
      <c r="DK215">
        <f>IF(B215="","",_xlfn.LET(_xlpm.ig,IF(N(CX215)&gt;0,N(CX215),N(CI215)+IF(AJ215="вручную",0,N(CJ215))),_xlpm.n0,IFERROR(VLOOKUP(_xlpm.ig,Автомат_номиналы,2,TRUE),0),_xlpm.mn,MAX(DB215,IF(AJ215="вручную",0,N(CM215))),MAX(_xlpm.n0,_xlpm.mn,IF(DH215=1,Мин_автомат_БП,0))))</f>
        <v>16</v>
      </c>
      <c r="DL215">
        <f t="shared" si="449"/>
        <v>1</v>
      </c>
      <c r="DM215" t="str">
        <f t="shared" si="450"/>
        <v>2P</v>
      </c>
      <c r="DN215" t="str">
        <f>_xlfn.LET(_xlpm.cc,UPPER(TRIM(IFERROR(_xlfn.XLOOKUP(BC215,Коды_код,Коды_хар)&amp;"",""))),IF(OR(_xlpm.cc="B",_xlpm.cc="В"),"B",IF(_xlpm.cc="D","D","С")))</f>
        <v>С</v>
      </c>
      <c r="DO215" t="str">
        <f t="shared" si="451"/>
        <v>2P С16А 30мА</v>
      </c>
      <c r="DP215" t="str">
        <f t="shared" si="452"/>
        <v>2P С16А 30мА</v>
      </c>
      <c r="DQ215" t="str">
        <f t="shared" si="453"/>
        <v>2P С16А 30мА</v>
      </c>
      <c r="DR215" cm="1">
        <f t="array" ref="DR215">IF(DQ215="","",_xlfn.LET(_xlpm.t,SUBSTITUTE(SUBSTITUTE(SUBSTITUTE(UPPER(DQ215),"С","C"),"А","A"),"В","B"),_xlpm.tk,_xlfn.TEXTSPLIT(_xlpm.t," "),_xlpm.f,_xlfn._xlws.FILTER(_xlpm.tk,ISNUMBER(--MID(_xlpm.tk,2,1))*ISNUMBER(SEARCH(LEFT(_xlpm.tk,1)&amp;"#","B#C#D#"))*(LEN(_xlpm.tk)&gt;1),""),_xlpm.x,INDEX(_xlpm.f,1),IFERROR(--SUBSTITUTE(MID(_xlpm.x,2,9),"A",""),IFERROR(--SUBSTITUTE(INDEX(_xlfn._xlws.FILTER(_xlpm.tk,ISNUMBER(--SUBSTITUTE(_xlpm.tk,"A","")),""),1),"A",""),""))))</f>
        <v>16</v>
      </c>
      <c r="DS215" t="str">
        <f t="shared" si="454"/>
        <v>ok</v>
      </c>
      <c r="DT215">
        <f t="shared" si="455"/>
        <v>16</v>
      </c>
      <c r="DU215" t="str">
        <f t="shared" si="456"/>
        <v>2P С16А 30мА</v>
      </c>
      <c r="DV215">
        <f t="shared" si="457"/>
        <v>30</v>
      </c>
      <c r="DW215">
        <f t="shared" si="458"/>
        <v>1</v>
      </c>
      <c r="DX215">
        <f t="shared" si="459"/>
        <v>0</v>
      </c>
      <c r="DY215">
        <f t="shared" si="460"/>
        <v>0.27348170645824377</v>
      </c>
      <c r="DZ215">
        <f t="shared" si="461"/>
        <v>1</v>
      </c>
      <c r="EA215">
        <f>IF(ISNUMBER(AP215),AP215,К_прокл)</f>
        <v>1</v>
      </c>
      <c r="EB215">
        <f t="shared" si="462"/>
        <v>2</v>
      </c>
      <c r="EC215">
        <f>IFERROR(N(VLOOKUP(BZ215,Кабель_обозначение,3,FALSE)),1)</f>
        <v>1</v>
      </c>
      <c r="ED215">
        <f>IFERROR(N(_xlfn.XLOOKUP(A215,Щиты[Щит],Щиты[ΔU до шин, %])),0)</f>
        <v>0.43</v>
      </c>
      <c r="EE215" t="str">
        <f>IFERROR(_xlfn.XLOOKUP(A215,Щиты[Щит],Щиты[Zпетли на шинах, Ом]),"")</f>
        <v/>
      </c>
      <c r="EF215">
        <f>IFERROR(N(_xlfn.XLOOKUP(A215,Щиты[Щит],Щиты[ΔU до шин (подбор), %])),0)</f>
        <v>0.43</v>
      </c>
      <c r="EG215" t="str">
        <f>IFERROR(_xlfn.XLOOKUP(A215,Щиты[Щит],Щиты[Zпетли на шинах (подбор), Ом]),"")</f>
        <v/>
      </c>
      <c r="EH215" t="str">
        <f t="shared" si="463"/>
        <v/>
      </c>
      <c r="EI215">
        <f t="shared" si="464"/>
        <v>30</v>
      </c>
      <c r="EJ215">
        <f t="shared" si="465"/>
        <v>2</v>
      </c>
      <c r="EK215">
        <f t="shared" si="466"/>
        <v>0.31</v>
      </c>
      <c r="EL215" s="6">
        <f>IF(B215="","",IF(BV215=1,dU_LED,IF(IFERROR(_xlfn.XLOOKUP(BC215,Коды_код,Коды_уго),"")="Светильник",3,4)+IF(Методика="нормы 2026",MIN(0.5,MAX(0,N(P215)-100)*0.005),0)))</f>
        <v>4</v>
      </c>
      <c r="EM215" cm="1">
        <f t="array" ref="EM215">IF(OR(B215="",BZ215="",EC215&lt;&gt;1),"",_xlfn.LET(_xlpm.sz,Iдоп_S,_xlpm.t_,CHOOSE(EB215,Iдоп_1ж,Iдоп_2ж,Iдоп_3ж)*DZ215*EA215,_xlpm.dcx,BV215=1,_xlpm.inn,IF(_xlpm.dcx,N(O215),N(DT215)),_xlpm.smin,MAX(1.5,CC215),_xlpm.L_,N(P215)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215)/N(BU215)*100,999),IFERROR(N(EJ215)*(_xlpm.rho*_xlpm.L_/_xlpm.sz*N(CE215)+_xlpm.xx*_xlpm.L_*N(EK215)/1000)*N(O215)/((Uн_лин/SQRT(3))*1000)*100,999)),_xlpm.kz,IF(OR(_xlpm.dcx,DW215=1,NOT(ISNUMBER(EG215)),_xlpm.L_=0,_xlpm.inn=0),1,IFERROR(--(c_min*(Uн_лин*1000/SQRT(3))/(EG215+2*ρкз_Cu*_xlpm.L_/_xlpm.sz)&gt;=HT215*_xlpm.inn),0)),_xlpm.ok,IFERROR((_xlpm.sz&gt;=_xlpm.smin)*(_xlpm.t_&gt;=_xlpm.inn)*IF(_xlpm.L_&gt;0,(_xlpm.du_+IF(_xlpm.dcx,0,EF215)&lt;=EL215+0.00001),1)*_xlpm.kz,0),_xlpm.r_,_xlfn._xlws.FILTER(_xlpm.sz,_xlpm.ok,"не подобрано"),INDEX(_xlpm.r_,1)))</f>
        <v>1.5</v>
      </c>
      <c r="EN215">
        <f t="shared" si="467"/>
        <v>2.5</v>
      </c>
      <c r="EO215" cm="1">
        <f t="array" ref="EO215">IF(OR(B215="",BZ215="",EC215&lt;&gt;1),"",_xlfn.LET(_xlpm.sz,Iдоп_S,_xlpm.t_,CHOOSE(EB215,Iдоп_1ж,Iдоп_2ж,Iдоп_3ж)*DZ215*EA215,_xlpm.ok,IFERROR((_xlpm.sz&gt;=MAX(1.5,CC215))*(_xlpm.t_&gt;=N(DT215)),0),_xlpm.r_,_xlfn._xlws.FILTER(_xlpm.sz,_xlpm.ok,""),INDEX(_xlpm.r_,1)))</f>
        <v>1.5</v>
      </c>
      <c r="EP215" s="6" cm="1">
        <f t="array" ref="EP215">IFERROR(ROUNDUP(N(EJ215)*(_xlfn.XLOOKUP(EO215,INDEX(Кабель_сопротивление,0,1),INDEX(Кабель_сопротивление,0,3))*N(P215)/EO215*N(CE215)+_xlfn.XLOOKUP(EO215,INDEX(Кабель_сопротивление,0,1),INDEX(Кабель_сопротивление,0,2))*N(P215)*N(EK215)/1000)*N(O215)/((Uн_лин/SQRT(3))*1000)*100,2),"")</f>
        <v>0.12</v>
      </c>
      <c r="EQ215">
        <f>IFERROR(2*ρкз_Cu*N(P215)/EO215,"")</f>
        <v>1.1572</v>
      </c>
      <c r="ER215">
        <f>IFERROR(VLOOKUP(EN215,Кабель_сопротивление,3,FALSE),"")</f>
        <v>2.2499999999999999E-2</v>
      </c>
      <c r="ES215">
        <f>IFERROR(VLOOKUP(EN215,Кабель_сопротивление,2,FALSE),"")</f>
        <v>0.1</v>
      </c>
      <c r="ET215">
        <f t="shared" si="468"/>
        <v>9</v>
      </c>
      <c r="EU215">
        <f t="shared" si="469"/>
        <v>0</v>
      </c>
      <c r="EV215">
        <f t="shared" si="470"/>
        <v>0.15488527052580051</v>
      </c>
      <c r="EW215" s="6">
        <f>IFERROR(ROUNDUP(EV215/IF(BV215=1,BU215,(Uн_лин/SQRT(3))*1000)*100,2),"")</f>
        <v>6.9999999999999993E-2</v>
      </c>
      <c r="EX215" t="str">
        <f>IFERROR(VLOOKUP(BZ215,Кабель_обозначение,2,FALSE),"")</f>
        <v>ВВГнг(А)-LS</v>
      </c>
      <c r="EY215" t="str">
        <f t="shared" si="471"/>
        <v>ВВГнг(А)-LS (3х2,5)</v>
      </c>
      <c r="EZ215" t="str">
        <f t="shared" si="472"/>
        <v>ВВГнг(А)-LS (3х2,5)
L=33-0,07%</v>
      </c>
      <c r="FA215">
        <f>IFERROR(2*ρкз_Cu*P215/EN215,"")</f>
        <v>0.69432000000000005</v>
      </c>
      <c r="FB215">
        <f t="shared" si="473"/>
        <v>0.23100000000000001</v>
      </c>
      <c r="FC215" s="6" t="str">
        <f>IFERROR(IF(OR(B215="",BV215=1,NOT(ISNUMBER(EN215)),N(P215)=0),"",_xlfn.XLOOKUP(A215,Щиты[Щит],Щиты[Zпетли на шинах, Ом])+FA215),"")</f>
        <v/>
      </c>
      <c r="FD215" s="6" t="str">
        <f>IF(ISNUMBER(FC215),c_min*(Uн_лин*1000/SQRT(3))/FC215,"")</f>
        <v/>
      </c>
      <c r="FE215" s="6" t="str">
        <f>IFERROR(IF(OR(B215="",NOT(ISNUMBER(EN215))),"",1.05*(Uн_лин*1000/SQRT(3))/(_xlfn.XLOOKUP(A215,Щиты[Щит],Щиты[Zmax на шинах, Ом])+FB215)/1000),"")</f>
        <v/>
      </c>
      <c r="FF215" s="6" t="str">
        <f>IF(B215="","",IF(ISNUMBER(AC215),"Сил",IF(IFERROR(_xlfn.XLOOKUP(BC215,Коды_код,Коды_группа)&amp;"","")="","Быт",_xlfn.XLOOKUP(BC215,Коды_код,Коды_группа)&amp;"")))</f>
        <v>Быт</v>
      </c>
      <c r="FG215" s="6" t="str">
        <f t="shared" si="474"/>
        <v>Быт</v>
      </c>
      <c r="FH215" s="6">
        <f>IF(FG215="Щит","щит",IF(FG215="","",IF(FG215="Быт",IFERROR(_xlfn.XLOOKUP(A215,Щиты[Щит],Щиты[Кс быт]),1),IF(FG215="Сил",IF(ISNUMBER(AC215),AC215,IF(Методика="нормы 2026",IFERROR(_xlfn.XLOOKUP(A215,Щиты[Щит],Щиты[Кс силовых (табл. 7.5)]),1),1)),IF(OR(FG215="Пост",FG215="Отоп"),1,IF(FG215="ВНГ",0.7,0))))))</f>
        <v>0.79799999999999993</v>
      </c>
      <c r="FI215">
        <f>IF(FG215="","",IF(AND(BP215=1,TRIM(AE215&amp;"")=""),IF(COUNTIFS(Линии[Щит],A215,Линии[Секция (1/2/3)],"&gt;=2")&gt;0,MIN(3,MAX(1,IFERROR(--BD215,1))),1),IFERROR(MIN(3,MAX(1,INT(--AE215))),1)))</f>
        <v>1</v>
      </c>
      <c r="FJ215">
        <f t="shared" si="475"/>
        <v>0.06</v>
      </c>
      <c r="FK215">
        <f t="shared" si="476"/>
        <v>0.06</v>
      </c>
      <c r="FL215">
        <f t="shared" si="477"/>
        <v>0</v>
      </c>
      <c r="FM215">
        <f t="shared" si="478"/>
        <v>0</v>
      </c>
      <c r="FN215">
        <f t="shared" si="479"/>
        <v>0</v>
      </c>
      <c r="FO215">
        <f t="shared" si="480"/>
        <v>0</v>
      </c>
      <c r="FP215">
        <f t="shared" si="481"/>
        <v>0.06</v>
      </c>
      <c r="FQ215">
        <f t="shared" si="482"/>
        <v>0.06</v>
      </c>
      <c r="FR215">
        <f t="shared" si="483"/>
        <v>5.6999999999999995E-2</v>
      </c>
      <c r="FS215">
        <f>IF(CG215=1,IF(AND(CH215=1,CW215=1),0,IF(AND(CS215&lt;&gt;"",CS215=BA215,CW215=1),SUMIFS(Линии[_Р линии, кВт],Линии[_блок УЗО],BA215,Линии[Щит],A215),N(BS215)+IF(AJ215="вручную",0,N(CK215)))),0)</f>
        <v>0.06</v>
      </c>
      <c r="FT215" t="str">
        <f t="shared" si="484"/>
        <v>L2</v>
      </c>
      <c r="FU215" t="str">
        <f>IF(B215="","",IF(CG215=0,IF(BA215=1,"",FW214),IF(AND(CH215=1,CW215=1,CS215&lt;&gt;""),IFERROR(_xlfn.XLOOKUP(CS215,Линии[_n],Линии[_фаза итог]),"L1"),IF(OR(N(DL215)&gt;=3,N(BX215)&gt;=3),"L1,L2,L3",IFERROR(_xlfn.TEXTBEFORE(_xlfn.TEXTAFTER(_xlfn.XLOOKUP(A215,Щиты[Щит],Щиты[_фазы авто]),";"&amp;BA215&amp;":"),";"),"L1")))))</f>
        <v>L1</v>
      </c>
      <c r="FV215" t="str">
        <f t="shared" si="485"/>
        <v>L2</v>
      </c>
      <c r="FW215" t="str">
        <f t="shared" si="486"/>
        <v>L2</v>
      </c>
      <c r="FX215" cm="1">
        <f t="array" ref="FX215">IFERROR(IF(CD215=2,_xlfn.IFS(BX215=3,VLOOKUP(BS215,Справочная_двигатели,3,FALSE),BX215=1,VLOOKUP(BS215,Справочная_двигатели,5,TRUE)),0),0)</f>
        <v>0</v>
      </c>
      <c r="FY215">
        <f>IFERROR(IF(CD215=3,VLOOKUP(BS215,Справочная_ЛЭД,2,TRUE),0),0)</f>
        <v>0</v>
      </c>
      <c r="FZ215" s="6">
        <f t="shared" si="487"/>
        <v>0</v>
      </c>
      <c r="GA215" t="str">
        <f>IF(B215="","",IF(TRIM(AH215&amp;"")&lt;&gt;"",IF(LOWER(TRIM(AH215&amp;""))="да","да","нет"),IF(IFERROR(_xlfn.XLOOKUP(BC215,Коды_код,Коды_пожарная),"")="да","да","нет")))</f>
        <v>нет</v>
      </c>
      <c r="GB215" t="str">
        <f t="shared" si="488"/>
        <v/>
      </c>
      <c r="GC215" t="str">
        <f t="shared" si="489"/>
        <v>основная</v>
      </c>
      <c r="GD215">
        <f>IF(AND(BP215=1,TRIM(AE215&amp;"")=""),IF(COUNTIFS(Линии[Щит],A215,Линии[Секция (1/2/3)],"&gt;=2")&gt;0,MIN(3,MAX(1,IFERROR(--BD215,1))),1),IFERROR(MIN(3,MAX(1,INT(--AE215))),1))</f>
        <v>1</v>
      </c>
      <c r="GE215" t="str" cm="1">
        <f t="array" ref="GE215">IF(B215="","",_xlfn.LET(_xlpm.t,IFERROR(_xlfn.XLOOKUP(1,(Шины[Шина]=GC215)*(((Шины[Щит]=A215)+(Шины[Щит]=""))&gt;0),Шины[Тип]),"")&amp;"",IF(_xlpm.t&lt;&gt;"",_xlpm.t,IF(ISNUMBER(SEARCH("ИБП",GC215)),"ИБП",IF(ISNUMBER(SEARCH("ДГУ",GC215)),"ДГУ","Ввод "&amp;GD215)))))</f>
        <v>Ввод 1</v>
      </c>
      <c r="GF215" t="str">
        <f t="shared" si="490"/>
        <v>Ввод 1</v>
      </c>
      <c r="GG215" t="str">
        <f>IF(BP215=0,"",IF(TRIM(AG215&amp;"")&lt;&gt;"",TRIM(AG215&amp;""),IF(OR(GE215="ИБП",GE215="ДГУ"),"I особая",_xlfn.XLOOKUP(A215,Щиты[Щит],Щиты[Категория шины «Ввод»],"III"))))</f>
        <v/>
      </c>
      <c r="GH215" t="str">
        <f>IF(A215="","",_xlfn.XLOOKUP(A215,Щиты[Щит],Щиты[Путь],""))</f>
        <v>|ГРЩ-ЖД|ЩР-01|</v>
      </c>
      <c r="GI215" t="str">
        <f>IF(B215="","",IF(AI215&lt;&gt;"",AI215,IF(IFERROR(_xlfn.XLOOKUP(BC215,Коды_код,Коды_вид)&amp;"","")="","Прочее",_xlfn.XLOOKUP(BC215,Коды_код,Коды_вид)&amp;"")))</f>
        <v>Розеточная сеть и бытовые приборы</v>
      </c>
      <c r="GJ215">
        <f>IF(BM215="","",INT((BM215-1)/Столбцов_на_лист)+1)</f>
        <v>3</v>
      </c>
      <c r="GK215" t="str">
        <f t="shared" si="491"/>
        <v>ВВГнг(А)-LS (3х2,5) L=33-0,07%</v>
      </c>
      <c r="GL215">
        <f t="shared" si="492"/>
        <v>0.06</v>
      </c>
      <c r="GM215">
        <f t="shared" si="493"/>
        <v>0.28000000000000003</v>
      </c>
      <c r="GN215">
        <f t="shared" si="494"/>
        <v>1</v>
      </c>
      <c r="GO215">
        <f t="shared" si="495"/>
        <v>0</v>
      </c>
      <c r="GP215">
        <f t="shared" si="496"/>
        <v>1</v>
      </c>
      <c r="GQ215">
        <f>IF(BM215="","",IF(AND(CG215=1,GP215=1),COUNTIFS(A$3:A215,A215,CG$3:CG215,1,GP$3:GP215,1),IF(OR(OR(BA215=1,A215&lt;&gt;A214),AJ215="вручную",GP215=0),"",IF(BA215=1,"",GR214))))</f>
        <v>31</v>
      </c>
      <c r="GR215">
        <f t="shared" si="497"/>
        <v>31</v>
      </c>
      <c r="GS215">
        <f>IF(B215="","",IFERROR(LOOKUP(INDEX(CHOOSE(EB215,Iдоп_1ж,Iдоп_2ж,Iдоп_3ж),MATCH(EN215,Iдоп_S,0))*DZ215*EA215,{6,10,16,20,25,32,40,50,63,80,100,125,160,200,250,315,400,500,630}),""))</f>
        <v>25</v>
      </c>
      <c r="GT215" t="str">
        <f t="shared" si="498"/>
        <v>QFD31</v>
      </c>
      <c r="GU215" t="str">
        <f t="shared" si="499"/>
        <v>QFD31</v>
      </c>
      <c r="GV215" t="str">
        <f t="shared" si="500"/>
        <v/>
      </c>
      <c r="GW215">
        <f t="shared" si="501"/>
        <v>0</v>
      </c>
      <c r="GX215" t="str">
        <f>IF(OR(B215="",DJ215=""),"",IFERROR(_xlfn.XLOOKUP(DJ215,Модули_умолч[Управление],Модули_умолч[Модель])&amp;"",""))</f>
        <v/>
      </c>
      <c r="GY215">
        <f>IF(DJ215="",1,IFERROR(MAX(0,N(_xlfn.XLOOKUP(DJ215,Модули_умолч[Управление],Модули_умолч[Каналов на линию]))),1))</f>
        <v>1</v>
      </c>
      <c r="GZ215" t="str">
        <f t="shared" si="502"/>
        <v/>
      </c>
      <c r="HA215" t="str">
        <f t="shared" si="503"/>
        <v/>
      </c>
      <c r="HB215" t="str">
        <f t="shared" si="504"/>
        <v/>
      </c>
      <c r="HC215">
        <f>IF(HB215="",0,IFERROR(N(VLOOKUP(HB215,Модули_спр,3,FALSE)),0))</f>
        <v>0</v>
      </c>
      <c r="HD215" t="str">
        <f t="shared" si="505"/>
        <v/>
      </c>
      <c r="HE215" t="str">
        <f t="shared" si="506"/>
        <v/>
      </c>
      <c r="HF215" t="str">
        <f>IF(OR(HE215="",HE215="-"),"",IFERROR(VLOOKUP(HE215,Модули_спр,2,FALSE),"R"))</f>
        <v/>
      </c>
      <c r="HG215" t="str">
        <f>IF(HF215="","",HF215&amp;"."&amp;COUNTIFS(A$3:A215,A215,HF$3:HF215,HF215))</f>
        <v/>
      </c>
      <c r="HH215" t="str">
        <f t="shared" si="507"/>
        <v/>
      </c>
      <c r="HI215" t="str">
        <f t="shared" si="508"/>
        <v/>
      </c>
      <c r="HJ215" t="str">
        <f t="shared" si="509"/>
        <v/>
      </c>
      <c r="HK215" t="str">
        <f t="shared" si="510"/>
        <v/>
      </c>
      <c r="HL215">
        <f t="shared" si="511"/>
        <v>1</v>
      </c>
      <c r="HM215" t="str">
        <f>IF(HL215=1,"XT"&amp;COUNTIFS(A$3:A215,A215,HL$3:HL215,1),"")</f>
        <v>XT31</v>
      </c>
      <c r="HN215" t="str">
        <f t="shared" si="512"/>
        <v/>
      </c>
      <c r="HO215" t="str">
        <f t="shared" si="513"/>
        <v>QFD31</v>
      </c>
      <c r="HP215" t="str">
        <f t="shared" si="514"/>
        <v/>
      </c>
      <c r="HQ215" t="str">
        <f t="shared" si="515"/>
        <v>ok</v>
      </c>
      <c r="HR215" t="str">
        <f>IF(OR(HJ215="",HH215=""),"",IF(HJ215+MAX(0,GY215-1)&gt;IFERROR(VLOOKUP(HI215,Модули_спр,3,FALSE),99),"ЛИШНИЙ КАНАЛ",IF(AND(AL215&lt;&gt;"=",GY215&gt;0,COUNTIFS(Линии[_модуль гр.],HH215,Линии[Канал (итог)],HJ215,Линии[Канал],"&lt;&gt;=",Линии[Щит],A215)&gt;1),"ДУБЛЬ КАНАЛА","")))</f>
        <v/>
      </c>
      <c r="HS215" s="6" t="str">
        <f t="shared" si="516"/>
        <v/>
      </c>
      <c r="HT215">
        <f t="shared" si="517"/>
        <v>10</v>
      </c>
      <c r="HU215" t="str">
        <f t="shared" si="518"/>
        <v/>
      </c>
      <c r="HV215">
        <f t="shared" si="519"/>
        <v>0.43939268258329756</v>
      </c>
      <c r="HW215">
        <f t="shared" si="520"/>
        <v>0</v>
      </c>
      <c r="HX215">
        <f t="shared" si="521"/>
        <v>0</v>
      </c>
      <c r="HY215">
        <f t="shared" si="522"/>
        <v>0</v>
      </c>
      <c r="HZ215">
        <f t="shared" si="523"/>
        <v>0</v>
      </c>
      <c r="IA215">
        <f t="shared" si="524"/>
        <v>0</v>
      </c>
      <c r="IB215">
        <f t="shared" si="525"/>
        <v>0</v>
      </c>
      <c r="IC215" t="str">
        <f t="shared" si="526"/>
        <v/>
      </c>
      <c r="ID215" t="str" cm="1">
        <f t="array" ref="ID215">IF(IC215="","",_xlfn.LET(_xlpm.tk,_xlfn.TEXTSPLIT(SUBSTITUTE(SUBSTITUTE(IC215,";"," "),"→"," ")," ",,TRUE),_xlpm.w_,_xlfn._xlws.FILTER(_xlpm.tk,ISNUMBER(--LEFT(_xlpm.tk,1))*((ISNUMBER(SEARCH("W",_xlpm.tk))+ISNUMBER(SEARCH("Вт",_xlpm.tk)))&gt;0),""),IFERROR(--SUBSTITUTE(SUBSTITUTE(UPPER(INDEX(_xlpm.w_,1)),"W",""),"ВТ",""),"")))</f>
        <v/>
      </c>
      <c r="IE215" t="str" cm="1">
        <f t="array" ref="IE215">IF(IC215="","",_xlfn.LET(_xlpm.tk,_xlfn.TEXTSPLIT(SUBSTITUTE(SUBSTITUTE(IC215,";"," "),"→"," ")," ",,TRUE),_xlpm.v_,_xlfn._xlws.FILTER(_xlpm.tk,ISNUMBER(--LEFT(_xlpm.tk,1))*((ISNUMBER(SEARCH("V",_xlpm.tk))+(RIGHT(UPPER(_xlpm.tk))="В"))&gt;0),""),IFERROR(--SUBSTITUTE(SUBSTITUTE(UPPER(INDEX(_xlpm.v_,1)),"V",""),"В",""),"")))</f>
        <v/>
      </c>
      <c r="IF215" s="6" t="str">
        <f>IF(OR(BV215=0,HI215="",HJ215=""),"",IFERROR(N(_xlfn.XLOOKUP(HI215,Каталог!$C$4:$C$500,Каталог!$Q$4:$Q$500)),""))</f>
        <v/>
      </c>
      <c r="IG215" s="6" t="str">
        <f>IF(N(IF215)=0,"",SUMIFS(Линии[Iр, А],Линии[Щит],A215,Линии[_модуль гр.],HH215,Линии[Канал (итог)],HJ215))</f>
        <v/>
      </c>
      <c r="IH215" t="str">
        <f>IF(AND(B215="",HO215=""),"",_xlfn.TEXTJOIN("; ",TRUE,IF(AND(B215&lt;&gt;"",FV215=""),"нет фазы",""),IF(AND(B215&lt;&gt;"",N(GL215)=0,FG215&lt;&gt;"Нет"),"нет мощности",""),IF(AND(HN215&lt;&gt;"",COUNTIFS(Линии[Щит],A215,Линии[Клемма (итог)],HN215)&gt;1),"дубль клеммы "&amp;HN215,""),IF(AND(HQ215&lt;&gt;"",HQ215&lt;&gt;"ok"),HQ215,""),IF(HR215&lt;&gt;"",HR215,""),IF(AND(N(CB215)&gt;=4,N(BX215)=1),CB215&amp;" жил на 1 фазе",""),IF(AND(BC215="R",CG215=1,IF(CS215&lt;&gt;"",N(CV215)&gt;30,OR(N(DA215)=0,N(DA215)&gt;30))),"розетка без дифзащиты до 30 мА",""),IF(AND(CG215=1,N(DA215)&gt;0,ISNUMBER(T215)),IF(T215&gt;N(DA215)/3,"ток утечки "&amp;FIXED(T215,1)&amp;" мА &gt; 1/3 уставки ("&amp;DA215&amp;" мА)",""),""),IF(AND(CH215=1,CS215=""),"«узо»: нет строки с УЗО выше (УЗО 2P 40А 30мА в «Аппаратах»)",""),IF(AND(CS215&lt;&gt;"",CS215=BA215),IF(CT215="","впишите номинал УЗО (УЗО 2P 40А 30мА)",IF(N(CT215)&lt;N(DT215),"УЗО "&amp;CT215&amp;" А &lt; автомата "&amp;DT215&amp;" А перед ним",IF(N(CT215)&lt;N(CX215),"УЗО "&amp;CT215&amp;" А &lt; тока блока "&amp;FIXED(CX215,1)&amp;" А",""))),""),IF(AND(CS215&lt;&gt;"",CS215=BA215,ISNUMBER(CY215)),IF(CY215&gt;N(CV215)/3,"ток утечки блока УЗО "&amp;FIXED(CY215,1)&amp;" мА &gt; 1/3 уставки ("&amp;CV215&amp;" мА)",""),""),IF(AND(CG215=1,N(BV215)+N(IB215)&gt;0,IC215=""),"линии до 50 В без БП: впишите в «Аппараты» (БП 24V 480W)",""),IF(AND(CG215=1,ISNUMBER(ID215),ISNUMBER(U215)),IF(U215&gt;ID215,"БП "&amp;ID215&amp;" Вт &lt; нужно "&amp;U215&amp;" Вт (×"&amp;Запас_БП&amp;")",""),""),IF(AND(CG215=1,ISNUMBER(IE215),N(BV215)=1),IF(IE215&lt;&gt;N(BU215),"БП на "&amp;IE215&amp;" В, линия "&amp;BU215&amp;" В",""),""),IF(AND(N(IF215)&gt;0,N(IG215)&gt;N(IF215)),HH215&amp;" канал "&amp;HJ215&amp;": "&amp;FIXED(IG215,1)&amp;" А &gt; "&amp;IF215&amp;" А",""),IFERROR(IF(AND(ISNUMBER(Q215),Q215&gt;EL215),"потери "&amp;FIXED(Q215,1)&amp;" % &gt; "&amp;EL215&amp;" %",""),""),IFERROR(IF(LEFT(HU215,4)="мало","Iкз мало — отключение &gt; 0,4 с",""),""),IF(AND(B215&lt;&gt;"",BM215=""),"не на схеме",""),IF(AND(CG215=0,B215&lt;&gt;"",FV215&lt;&gt;"",IF(BA215=1,"",FW214)&lt;&gt;"",FV215&lt;&gt;IF(BA215=1,"",FW214)),"фаза не как у автомата группы ("&amp;IF(BA215=1,"",FW214)&amp;")","")))</f>
        <v/>
      </c>
      <c r="II215" s="6">
        <f>IF(OR(CG215=0,DQ215=""),"",_xlfn.LET(_xlpm.t,IFERROR(_xlfn.XLOOKUP(DQ215,Каталог!$U$4:$U$500,Каталог!$G$4:$G$500),""),_xlpm.k,SEARCH("кА",_xlpm.t),IFERROR(--TRIM(RIGHT(SUBSTITUTE(MID(_xlpm.t,MAX(1,_xlpm.k-4),_xlpm.k-MAX(1,_xlpm.k-4))," ",REPT(" ",9)),5)),"")))</f>
        <v>6</v>
      </c>
      <c r="IJ215" t="str">
        <f>IF(OR(II215="",CG215=0),"",IF(_xlfn.XLOOKUP(A215,Щиты[Щит],Щиты[Iкз max на шинах, кА],"")="","",IF(II215&lt;_xlfn.XLOOKUP(A215,Щиты[Щит],Щиты[Iкз max на шинах, кА]),"Icu "&amp;II215&amp;" кА &lt; Iкз max","ok")))</f>
        <v/>
      </c>
      <c r="IK215" t="str">
        <f t="shared" si="527"/>
        <v/>
      </c>
      <c r="IL215" t="str">
        <f t="shared" si="528"/>
        <v>QFD31</v>
      </c>
      <c r="IM215" t="str">
        <f t="shared" si="529"/>
        <v>QFD31|кабель ВВГнг(А)-LS (3х2,5) → Розеточная группа, пом. 018Б</v>
      </c>
      <c r="IN215" t="str" cm="1">
        <f t="array" ref="IN215">IF(IM215="","",_xlfn.LET(_xlpm.nd,_xlfn.TEXTSPLIT(IM215,"|"),IF(COLUMNS(_xlpm.nd)&gt;1,A215&amp;"¦"&amp;INDEX(_xlpm.nd,1)&amp;"¦"&amp;INDEX(_xlpm.nd,2),"")))</f>
        <v>ЩР-01¦QFD31¦кабель ВВГнг(А)-LS (3х2,5) → Розеточная группа, пом. 018Б</v>
      </c>
      <c r="IO215" t="str">
        <f t="shared" si="530"/>
        <v>R.0.018Б.1¦Розеточная группа, пом. 018Б</v>
      </c>
      <c r="IP215" t="str" cm="1">
        <f t="array" ref="IP215">IF(IM215="","",_xlfn.LET(_xlpm.nd,_xlfn.TEXTSPLIT(IM215,"|"),IF(COLUMNS(_xlpm.nd)&gt;2,A215&amp;"¦"&amp;INDEX(_xlpm.nd,2)&amp;"¦"&amp;INDEX(_xlpm.nd,3),"")))</f>
        <v/>
      </c>
      <c r="IQ215" t="str">
        <f t="shared" si="531"/>
        <v/>
      </c>
      <c r="IR215" t="str" cm="1">
        <f t="array" ref="IR215">IF(IM215="","",_xlfn.LET(_xlpm.nd,_xlfn.TEXTSPLIT(IM215,"|"),IF(COLUMNS(_xlpm.nd)&gt;3,A215&amp;"¦"&amp;INDEX(_xlpm.nd,3)&amp;"¦"&amp;INDEX(_xlpm.nd,4),"")))</f>
        <v/>
      </c>
      <c r="IS215" t="str">
        <f t="shared" si="532"/>
        <v/>
      </c>
      <c r="IT215" t="str" cm="1">
        <f t="array" ref="IT215">IF(IM215="","",_xlfn.LET(_xlpm.nd,_xlfn.TEXTSPLIT(IM215,"|"),IF(COLUMNS(_xlpm.nd)&gt;4,A215&amp;"¦"&amp;INDEX(_xlpm.nd,4)&amp;"¦"&amp;INDEX(_xlpm.nd,5),"")))</f>
        <v/>
      </c>
      <c r="IU215" t="str">
        <f t="shared" si="533"/>
        <v/>
      </c>
      <c r="IV215" t="str" cm="1">
        <f t="array" ref="IV215">IF(IM215="","",_xlfn.LET(_xlpm.nd,_xlfn.TEXTSPLIT(IM215,"|"),IF(COLUMNS(_xlpm.nd)&gt;5,A215&amp;"¦"&amp;INDEX(_xlpm.nd,5)&amp;"¦"&amp;INDEX(_xlpm.nd,6),"")))</f>
        <v/>
      </c>
      <c r="IW215" t="str">
        <f t="shared" si="534"/>
        <v/>
      </c>
      <c r="IX215" t="str" cm="1">
        <f t="array" ref="IX215">IF(IM215="","",_xlfn.LET(_xlpm.nd,_xlfn.TEXTSPLIT(IM215,"|"),IF(COLUMNS(_xlpm.nd)&gt;6,A215&amp;"¦"&amp;INDEX(_xlpm.nd,6)&amp;"¦"&amp;INDEX(_xlpm.nd,7),"")))</f>
        <v/>
      </c>
      <c r="IY215" t="str">
        <f t="shared" si="535"/>
        <v/>
      </c>
      <c r="IZ215" t="str">
        <f t="shared" si="536"/>
        <v/>
      </c>
      <c r="JA215" t="str">
        <f t="shared" si="537"/>
        <v>QFD31</v>
      </c>
      <c r="JB215">
        <f t="shared" si="538"/>
        <v>0</v>
      </c>
      <c r="JC215">
        <f t="shared" si="539"/>
        <v>1</v>
      </c>
      <c r="JD215" t="str">
        <f t="shared" si="540"/>
        <v/>
      </c>
      <c r="JE215" t="str">
        <f t="shared" si="541"/>
        <v/>
      </c>
      <c r="JF215" t="str">
        <f t="shared" si="542"/>
        <v/>
      </c>
      <c r="JG215" t="str">
        <f t="shared" si="543"/>
        <v/>
      </c>
      <c r="JH215" t="str">
        <f>IF(B215="","",IFERROR(_xlfn.XLOOKUP(B215,Коды_код,Коды_уго),IFERROR(_xlfn.XLOOKUP(BC215,Коды_код,Коды_уго),IFERROR(_xlfn.XLOOKUP(LEFT(BC215,2),Коды_код,Коды_уго),""))))</f>
        <v>Розетка</v>
      </c>
      <c r="JI215" t="str">
        <f>IF(B215="","",IF(OR(JH215="",JH215=0),"BOX",IFERROR(IF(VLOOKUP(JH215,УГО_блоки,3,FALSE)&amp;""&lt;&gt;"",VLOOKUP(JH215,УГО_блоки,3,FALSE),VLOOKUP(JH215,УГО_блоки,2,FALSE)),JH215)))</f>
        <v>SOCKET</v>
      </c>
      <c r="JJ215">
        <f t="shared" si="544"/>
        <v>1</v>
      </c>
      <c r="JK215" t="str">
        <f>IF(DQ215="","",IF(COUNTIF(DQ$3:DQ215,DQ215)=1,MAX(JK$2:JK214)+1,""))</f>
        <v/>
      </c>
      <c r="JL215" t="str">
        <f>IF(DE215="","",IF(COUNTIF(DE$3:DE215,DE215)+COUNTIF(DF$2:DF214,DE215)+COUNTIF(DG$2:DG214,DE215)=1,MAX(JL$2:JN214)+1,""))</f>
        <v/>
      </c>
      <c r="JM215" t="str">
        <f>IF(DF215="","",IF(COUNTIF(DE$3:DE215,DF215)+COUNTIF(DF$3:DF215,DF215)+COUNTIF(DG$2:DG214,DF215)=1,MAX(JL$2:JN214,JL215)+1,""))</f>
        <v/>
      </c>
      <c r="JN215" t="str">
        <f>IF(DG215="","",IF(COUNTIF(DE$3:DE215,DG215)+COUNTIF(DF$3:DF215,DG215)+COUNTIF(DG$3:DG215,DG215)=1,MAX(JL$2:JN214,JL215,JM215)+1,""))</f>
        <v/>
      </c>
      <c r="JO215" t="str">
        <f t="shared" si="545"/>
        <v>3х2,5</v>
      </c>
      <c r="JP215" t="str">
        <f>IF(JO215="","",IF(COUNTIF(JO$3:JO215,JO215)=1,MAX(JP$2:JP214)+1,""))</f>
        <v/>
      </c>
      <c r="JQ215" t="str">
        <f>IF(HG215="","",COUNTIF(HG$3:HG215,"?*"))</f>
        <v/>
      </c>
      <c r="JR215" t="str">
        <f>IF(OR(HG215="",HI215=""),"",IF(COUNTIFS(HG$3:HG215,"?*",HI$3:HI215,HI215)=1,MAX(JR$2:JR214)+1,""))</f>
        <v/>
      </c>
      <c r="JS215">
        <f t="shared" si="546"/>
        <v>0</v>
      </c>
      <c r="JT215">
        <f>IF(B215="","",COUNTIF(B$3:B215,"?*"))</f>
        <v>213</v>
      </c>
      <c r="JU215">
        <f>IF(HL215&lt;&gt;1,0,_xlfn.LET(_xlpm.k,MAX(IFERROR(--_xlfn.XLOOKUP(B215,Коды_код,Коды_3L),0),IFERROR(--_xlfn.XLOOKUP(BC215,Коды_код,Коды_3L),0),IFERROR(--_xlfn.XLOOKUP(LEFT(BC215,2),Коды_код,Коды_3L),0)),IF(_xlpm.k&gt;0,_xlpm.k,IF(IFERROR(--LEFT(SUBSTITUTE(JO215,"x","х"),FIND("х",SUBSTITUTE(JO215,"x","х"))-1),3)&gt;3,Каталог!$S$9,1))))</f>
        <v>1</v>
      </c>
      <c r="JV215">
        <f t="shared" si="547"/>
        <v>0</v>
      </c>
      <c r="JW215" t="str">
        <f t="shared" si="548"/>
        <v>авто</v>
      </c>
      <c r="JX215">
        <f t="shared" si="549"/>
        <v>30</v>
      </c>
      <c r="JY215">
        <f t="shared" si="550"/>
        <v>1</v>
      </c>
      <c r="JZ215">
        <f t="shared" si="551"/>
        <v>1</v>
      </c>
    </row>
    <row r="216" spans="1:286" x14ac:dyDescent="0.3">
      <c r="A216" t="s">
        <v>755</v>
      </c>
      <c r="B216" t="s">
        <v>1523</v>
      </c>
      <c r="C216" t="str">
        <f>Линии[[#This Row],[_авто наименование]]</f>
        <v>Розеточная группа, пом. 021A</v>
      </c>
      <c r="D216">
        <v>4</v>
      </c>
      <c r="E216">
        <v>0.24</v>
      </c>
      <c r="G216" t="str">
        <f>Линии[[#This Row],[_авто автомат]]</f>
        <v>2P С16А 30мА</v>
      </c>
      <c r="H216" t="str">
        <f>Линии[[#This Row],[_авто управление]]</f>
        <v/>
      </c>
      <c r="I216" t="str">
        <f>Линии[[#This Row],[_авто аппараты]]</f>
        <v/>
      </c>
      <c r="J216">
        <v>2.5</v>
      </c>
      <c r="K216">
        <v>51</v>
      </c>
      <c r="L216">
        <v>3</v>
      </c>
      <c r="M216" t="s">
        <v>484</v>
      </c>
      <c r="N216" t="str">
        <f t="shared" si="414"/>
        <v/>
      </c>
      <c r="O216" s="6" cm="1">
        <f t="array" ref="O216">IF(B216="","",IF(BH216&lt;&gt;"",IFERROR(_xlfn.XLOOKUP(BH216,Щиты[Щит],Щиты[Iр, А]),""),IF(BP216=1,IF(OR(N(_xlfn.XLOOKUP(A216,Щиты[Щит],Щиты[Вводов],1))&lt;=1,LOWER(TRIM(_xlfn.XLOOKUP(A216,Щиты[Щит],Щиты[АВР],"")&amp;""))="да"),IFERROR(_xlfn.XLOOKUP(A216,Щиты[Щит],Щиты[Iр, А]),""),IFERROR(N(BS216)*_xlfn.XLOOKUP(A216,Щиты[Щит],Щиты[Кс итог])/(SQRT(3)*Uн_лин*_xlfn.XLOOKUP(A216,Щиты[Щит],Щиты[cos φ])),"")),IF(BV216=1,IFERROR(BS216*1000/BU216,""),IFERROR(_xlfn.IFS(BX216=1,BS216/((Uн_лин/SQRT(3))*CE216),BX216=3,BS216/(SQRT(3)*Uн_лин*CE216)),"")))))</f>
        <v>1.0939268258329751</v>
      </c>
      <c r="P216" s="7">
        <f>IF(B216="","",IFERROR(IF(VLOOKUP(BC216,Потребители_обозначение,4,FALSE)=1,VLOOKUP(BC216,Потребители_обозначение,3,FALSE)*(MAX(1,N(D216))*2-1)+EI216+VLOOKUP(BE216,Этаж_обозначение,3,FALSE)+VLOOKUP(BE216,Этаж_обозначение,4,FALSE),VLOOKUP(BC216,Потребители_обозначение,3,FALSE)*(MAX(1,N(D216))*2-1)+EI216),EI216))</f>
        <v>72</v>
      </c>
      <c r="Q216" s="6">
        <f t="shared" si="415"/>
        <v>1.02</v>
      </c>
      <c r="R216" t="str">
        <f t="shared" si="416"/>
        <v>ВВГнг(А)-LS (3х2,5)</v>
      </c>
      <c r="S216" t="str">
        <f>IF(BM216="","",IF(BN216="вводной узел","узел ","")&amp;"л."&amp;(INT((BM216-1)/Столбцов_на_лист)+1)&amp;" / "&amp;(MOD(BM216-1,Столбцов_на_лист)+1))</f>
        <v>л.3 / 10</v>
      </c>
      <c r="T216" s="119">
        <f t="shared" si="417"/>
        <v>1.2</v>
      </c>
      <c r="U216" s="7" t="str">
        <f>IF(OR(CG216=0,N(BV216)+N(IB216)=0),"",ROUNDUP(Запас_БП*(N(HY216)+N(HZ216)),0))</f>
        <v/>
      </c>
      <c r="V216" s="119" t="str">
        <f t="shared" si="418"/>
        <v/>
      </c>
      <c r="W216" s="7" t="str">
        <f>IFERROR(IF(OR(B216="",BP216=1,BV216=1,NOT(ISNUMBER(EN216)),N(DT216)=0),"",MAX(0,ROUNDDOWN((c_min*(Uн_лин*1000/SQRT(3))/(HT216*N(DT216))-_xlfn.XLOOKUP(A216,Щиты[Щит],Щиты[Zпетли на шинах, Ом]))*EN216/(2*ρкз_Cu),0))),"")</f>
        <v/>
      </c>
      <c r="Y216">
        <f>Линии[[#This Row],[_авто утечка]]</f>
        <v>30</v>
      </c>
      <c r="Z216">
        <v>1</v>
      </c>
      <c r="AA216">
        <v>230</v>
      </c>
      <c r="AB216" t="s">
        <v>562</v>
      </c>
      <c r="AG216" t="s">
        <v>810</v>
      </c>
      <c r="AI216" t="s">
        <v>561</v>
      </c>
      <c r="AK216" t="str">
        <f>Линии[[#This Row],[_авто модуль]]</f>
        <v/>
      </c>
      <c r="AM216">
        <v>44</v>
      </c>
      <c r="AN216" t="s">
        <v>11</v>
      </c>
      <c r="AO216">
        <v>3</v>
      </c>
      <c r="AQ216">
        <v>49</v>
      </c>
      <c r="AR216">
        <v>14</v>
      </c>
      <c r="AS216">
        <v>9</v>
      </c>
      <c r="BA216" cm="1">
        <f t="array" ref="BA216">ROW()-ROW(Линии[#Headers])</f>
        <v>214</v>
      </c>
      <c r="BC216" s="6" t="str">
        <f t="shared" si="419"/>
        <v>R</v>
      </c>
      <c r="BD216" t="str">
        <f t="shared" si="420"/>
        <v>0.021A.1</v>
      </c>
      <c r="BE216" t="str">
        <f t="shared" si="421"/>
        <v>0</v>
      </c>
      <c r="BF216" t="str">
        <f t="shared" si="422"/>
        <v>021A.1</v>
      </c>
      <c r="BG216" t="str">
        <f t="shared" si="423"/>
        <v>021A</v>
      </c>
      <c r="BH216" t="str">
        <f>IF(X216&lt;&gt;"",X216,IF(AND(B216&lt;&gt;"",B216&lt;&gt;A216,ISNUMBER(_xlfn.XMATCH(B216,Щиты[Щит]))),B216,""))</f>
        <v/>
      </c>
      <c r="BI216" t="str" cm="1">
        <f t="array" ref="BI216">IF(B216="","",IF(BH216&lt;&gt;"","Щит "&amp;BH216,_xlfn.LET(_xlpm.nm,IFERROR(_xlfn.XLOOKUP(BC216,Коды_код,Коды_имя)&amp;"",""),_xlpm.md,IFERROR(N(_xlfn.XLOOKUP(BC216,Коды_код,Коды_режим)),1),_xlpm.ex,IF(Имя_режим="по экспликации",IFERROR(_xlfn.XLOOKUP(BE216&amp;"|"&amp;BG216,Экспликация[Этаж]&amp;"|"&amp;Экспликация[Помещение],Экспликация[Название])&amp;"",""),""),_xlpm.rm,IF(BG216="","",IF(_xlpm.ex&lt;&gt;"",". "&amp;_xlpm.ex&amp;IF(Имя_пом="нет"," ("&amp;BG216&amp;")"," (пом. "&amp;BG216&amp;")"),IF(Имя_пом="нет"," ",", пом. ")&amp;BG216)),IF(_xlpm.nm="","",IF(_xlpm.md=2,_xlpm.nm&amp;" шлейф "&amp;BE216,_xlpm.nm&amp;_xlpm.rm)))))</f>
        <v>Розеточная группа, пом. 021A</v>
      </c>
      <c r="BJ216" t="str">
        <f t="shared" si="424"/>
        <v>Розеточная группа, пом. 021A</v>
      </c>
      <c r="BK216">
        <f>IFERROR(_xlfn.XMATCH(A216,Щиты[Щит]),0)</f>
        <v>9</v>
      </c>
      <c r="BL216">
        <f>_xlfn.LET(_xlpm.k,IFERROR(_xlfn.XLOOKUP(A216,Щиты[Щит],Щиты[Мест под вводной узел]),""),IF(_xlpm.k="",Столбцов_на_лист,N(_xlpm.k)))</f>
        <v>8</v>
      </c>
      <c r="BM216">
        <f t="shared" si="425"/>
        <v>44</v>
      </c>
      <c r="BN216" t="str">
        <f t="shared" si="426"/>
        <v>линии</v>
      </c>
      <c r="BO216" s="6">
        <f>IFERROR(N(_xlfn.XLOOKUP(BC216,Коды_код,Коды_квт)),0)</f>
        <v>0</v>
      </c>
      <c r="BP216">
        <f t="shared" si="427"/>
        <v>0</v>
      </c>
      <c r="BQ216" t="str">
        <f>IF(B216="","",IF(BH216&lt;&gt;"",IFERROR(_xlfn.XLOOKUP(BH216,Щиты[Щит],Щиты[Руст, кВт]),0),IF(BP216=1,IF(OR(N(_xlfn.XLOOKUP(A216,Щиты[Щит],Щиты[Вводов],1))&lt;=1,LOWER(TRIM(_xlfn.XLOOKUP(A216,Щиты[Щит],Щиты[АВР],"")&amp;""))="да"),IFERROR(_xlfn.XLOOKUP(A216,Щиты[Щит],Щиты[Руст, кВт]),0),SUMIFS(Линии[_Р для вводов],Линии[Щит],A216,Линии[Источник для режимов],GF216)),IF(BO216&gt;0,ROUND(BO216*MAX(1,N(D216)),3),""))))</f>
        <v/>
      </c>
      <c r="BR216">
        <f t="shared" si="428"/>
        <v>0.24</v>
      </c>
      <c r="BS216" s="6">
        <f>IF(B216="","",IF(BH216&lt;&gt;"",IFERROR(_xlfn.XLOOKUP(BH216,Щиты[Щит],Щиты[Руст, кВт]),0),N(BR216)))</f>
        <v>0.24</v>
      </c>
      <c r="BT216" t="str">
        <f>IF(B216="","",IFERROR(IF(VLOOKUP(BC216,Потребители_обозначение,8,FALSE)=0,"",VLOOKUP(BC216,Потребители_обозначение,8,FALSE)),""))</f>
        <v/>
      </c>
      <c r="BU216">
        <f t="shared" si="429"/>
        <v>230</v>
      </c>
      <c r="BV216">
        <f t="shared" si="430"/>
        <v>0</v>
      </c>
      <c r="BW216">
        <f>IF(B216="","",IF(BH216&lt;&gt;"",3,IFERROR(IF(N(VLOOKUP(BC216,Потребители_обозначение,9,FALSE))=0,1,VLOOKUP(BC216,Потребители_обозначение,9,FALSE)),1)))</f>
        <v>1</v>
      </c>
      <c r="BX216">
        <f t="shared" si="431"/>
        <v>1</v>
      </c>
      <c r="BY216" t="str">
        <f>IF(B216="","",_xlfn.LET(_xlpm.bc,IFERROR(IF(VLOOKUP(BC216,Потребители_обозначение,6,FALSE)=0,"",VLOOKUP(BC216,Потребители_обозначение,6,FALSE)&amp;""),""),IF(AND(GA216="да",OR(_xlpm.bc="",_xlpm.bc="мс")),Марка_пож,IF(AND(_xlpm.bc="",BH216&lt;&gt;""),"мс",_xlpm.bc))))</f>
        <v/>
      </c>
      <c r="BZ216" t="str">
        <f t="shared" si="432"/>
        <v>мс</v>
      </c>
      <c r="CA216">
        <f>IF(B216="","",_xlfn.LET(_xlpm.cc,IFERROR(N(VLOOKUP(BC216,Потребители_обозначение,7,FALSE)),0),IF(_xlpm.cc&gt;0,_xlpm.cc,IF(BZ216="","",IF(BV216=1,2,IF(N(BX216)=3,5,3))))))</f>
        <v>3</v>
      </c>
      <c r="CB216">
        <f t="shared" si="433"/>
        <v>3</v>
      </c>
      <c r="CC216">
        <f>IFERROR(N(VLOOKUP(BC216,Потребители_обозначение,10,FALSE)),0)</f>
        <v>0</v>
      </c>
      <c r="CD216">
        <f>IFERROR(VLOOKUP(BC216,Потребители_обозначение,5,FALSE),0)</f>
        <v>1</v>
      </c>
      <c r="CE216" s="6" cm="1">
        <f t="array" ref="CE216">IF(B216="","",IF(BH216&lt;&gt;"",IFERROR(_xlfn.XLOOKUP(BH216,Щиты[Щит],Щиты[cos φ]),0.95),IF(BP216=1,IFERROR(_xlfn.XLOOKUP(A216,Щиты[Щит],Щиты[cos φ]),0.95),IF(ISNUMBER(AD216),AD216,IFERROR(IF(CD216=2,_xlfn.IFS(BX216=3,VLOOKUP(BS216,Справочная_двигатели,8,FALSE),BX216=1,VLOOKUP(BS216,Справочная_двигатели,10,TRUE)),IF(AND(Методика="нормы 2026",FG216="Сил"),0.8,0.95)),0.95)))))</f>
        <v>0.95</v>
      </c>
      <c r="CF216">
        <f t="shared" si="434"/>
        <v>0</v>
      </c>
      <c r="CG216">
        <f t="shared" si="435"/>
        <v>1</v>
      </c>
      <c r="CH216">
        <f t="shared" si="436"/>
        <v>0</v>
      </c>
      <c r="CI216">
        <f>IF(B216="","",IF(BV216=1,IFERROR(BS216/((Uн_лин/SQRT(3))*MAX(0.5,N(CE216))),0),N(O216)))</f>
        <v>1.0939268258329751</v>
      </c>
      <c r="CJ216">
        <f t="shared" si="437"/>
        <v>0</v>
      </c>
      <c r="CK216">
        <f t="shared" si="438"/>
        <v>0</v>
      </c>
      <c r="CL216">
        <f t="shared" si="439"/>
        <v>0</v>
      </c>
      <c r="CM216">
        <f t="shared" si="440"/>
        <v>0</v>
      </c>
      <c r="CN216">
        <f t="shared" si="441"/>
        <v>0</v>
      </c>
      <c r="CO216">
        <f>IF(BC216="",0,_xlfn.LET(_xlpm.v,IFERROR(_xlfn.XLOOKUP(B216,Коды_код,Коды_мА),IFERROR(_xlfn.XLOOKUP(BC216,Коды_код,Коды_мА),IFERROR(_xlfn.XLOOKUP(LEFT(BC216,2),Коды_код,Коды_мА),""))),IF(_xlpm.v="да",30,IF(ISNUMBER(_xlpm.v),_xlpm.v,0))))</f>
        <v>30</v>
      </c>
      <c r="CP216">
        <f t="shared" si="442"/>
        <v>30</v>
      </c>
      <c r="CQ216" t="str">
        <f>_xlfn.LET(_xlpm.k,IFERROR(_xlfn.XLOOKUP(BC216,Коды_код,Коды_утечка)&amp;"",""),IF(_xlpm.k="","дифавтомат",_xlpm.k))</f>
        <v>дифавтомат</v>
      </c>
      <c r="CR216" t="str" cm="1">
        <f t="array" ref="CR216">IF(CG216=0,"",_xlfn.LET(_xlpm.sg,TRIM(_xlfn.TEXTSPLIT(DD216&amp;"",";")),_xlpm.f_,_xlfn._xlws.FILTER(_xlpm.sg,LEFT(_xlpm.sg,3)="УЗО",""),IFERROR(INDEX(_xlpm.f_,1)&amp;"","")))</f>
        <v/>
      </c>
      <c r="CS216" t="str">
        <f t="shared" si="443"/>
        <v/>
      </c>
      <c r="CT216" s="6" t="str" cm="1">
        <f t="array" ref="CT216">IF(CR216="","",_xlfn.LET(_xlpm.tk,_xlfn.TEXTSPLIT(UPPER(CR216)," ",,TRUE),_xlpm.a_,_xlfn._xlws.FILTER(_xlpm.tk,ISNUMBER(--LEFT(_xlpm.tk,1))*((ISNUMBER(SEARCH("А",_xlpm.tk))+ISNUMBER(SEARCH("A",_xlpm.tk)))&gt;0)*NOT(ISNUMBER(SEARCH("МА",_xlpm.tk)))*NOT(ISNUMBER(SEARCH("MA",_xlpm.tk))),""),IFERROR(--SUBSTITUTE(SUBSTITUTE(INDEX(_xlpm.a_,1),"А",""),"A",""),"")))</f>
        <v/>
      </c>
      <c r="CU216" t="str" cm="1">
        <f t="array" ref="CU216">IF(CR216="","",_xlfn.LET(_xlpm.tk,_xlfn.TEXTSPLIT(UPPER(CR216)," ",,TRUE),_xlpm.a_,_xlfn._xlws.FILTER(_xlpm.tk,ISNUMBER(--LEFT(_xlpm.tk,1))*((ISNUMBER(SEARCH("МА",_xlpm.tk))+ISNUMBER(SEARCH("MA",_xlpm.tk)))&gt;0),""),IFERROR(--SUBSTITUTE(SUBSTITUTE(INDEX(_xlpm.a_,1),"МА",""),"MA",""),30)))</f>
        <v/>
      </c>
      <c r="CV216" t="str">
        <f>IF(CS216="","",IFERROR(_xlfn.XLOOKUP(CS216,Линии[_n],Линии[_УЗО, мА]),30))</f>
        <v/>
      </c>
      <c r="CW216">
        <f>IF(CS216="",0,IF(ISNUMBER(SEARCH("4P",IFERROR(_xlfn.XLOOKUP(CS216,Линии[_n],Линии[_УЗО строки])&amp;"",""))),0,1))</f>
        <v>0</v>
      </c>
      <c r="CX216" t="str">
        <f>IF(AND(CS216&lt;&gt;"",CS216=BA216),SUMIFS(Линии[_ток на 230 В],Линии[_блок УЗО],BA216,Линии[Щит],A216),"")</f>
        <v/>
      </c>
      <c r="CY216" t="str">
        <f>IF(AND(CS216&lt;&gt;"",CS216=BA216),SUMIFS(Линии[_ток утечки линии, мА],Линии[_блок УЗО],BA216,Линии[Щит],A216),"")</f>
        <v/>
      </c>
      <c r="CZ216">
        <f t="shared" si="444"/>
        <v>30</v>
      </c>
      <c r="DA216">
        <f t="shared" si="445"/>
        <v>30</v>
      </c>
      <c r="DB216">
        <f>IF(B216="",0,IFERROR(--_xlfn.XLOOKUP(B216,Коды_код,Коды_минавт),IFERROR(--_xlfn.XLOOKUP(BC216,Коды_код,Коды_минавт),IFERROR(--_xlfn.XLOOKUP(LEFT(BC216,2),Коды_код,Коды_минавт),0))))</f>
        <v>16</v>
      </c>
      <c r="DC216" t="str">
        <f>IF(B216="","",IFERROR(_xlfn.XLOOKUP(BC216,Коды_код,Коды_апп)&amp;"",""))</f>
        <v/>
      </c>
      <c r="DD216" t="str">
        <f t="shared" si="446"/>
        <v/>
      </c>
      <c r="DE216" t="str" cm="1">
        <f t="array" ref="DE216">IF(TRIM(DD216&amp;"")="","",IFERROR(TRIM(INDEX(_xlfn.TEXTSPLIT(DD216&amp;";;;",";"),1)),""))</f>
        <v/>
      </c>
      <c r="DF216" t="str" cm="1">
        <f t="array" ref="DF216">IF(TRIM(DD216&amp;"")="","",IFERROR(TRIM(INDEX(_xlfn.TEXTSPLIT(DD216&amp;";;;",";"),2)),""))</f>
        <v/>
      </c>
      <c r="DG216" t="str" cm="1">
        <f t="array" ref="DG216">IF(TRIM(DD216&amp;"")="","",IFERROR(TRIM(INDEX(_xlfn.TEXTSPLIT(DD216&amp;";;;",";"),3)),""))</f>
        <v/>
      </c>
      <c r="DH216">
        <f t="shared" si="447"/>
        <v>0</v>
      </c>
      <c r="DI216" t="str">
        <f>IF(B216="","",_xlfn.LET(_xlpm.t,LOWER(AZ216&amp;""),IF(ISNUMBER(SEARCH("dim",_xlpm.t)),"DIM",IF(ISNUMBER(SEARCH("dali",_xlpm.t)),"DALI",IF(OR(ISNUMBER(SEARCH("relay",_xlpm.t)),ISNUMBER(SEARCH("реле",_xlpm.t))),"Relay",IF(ISNUMBER(SEARCH("кнопк",_xlpm.t)),"",IFERROR(_xlfn.XLOOKUP(BC216,Коды_код,Коды_упр)&amp;"","")))))))</f>
        <v/>
      </c>
      <c r="DJ216" t="str">
        <f t="shared" si="448"/>
        <v/>
      </c>
      <c r="DK216">
        <f>IF(B216="","",_xlfn.LET(_xlpm.ig,IF(N(CX216)&gt;0,N(CX216),N(CI216)+IF(AJ216="вручную",0,N(CJ216))),_xlpm.n0,IFERROR(VLOOKUP(_xlpm.ig,Автомат_номиналы,2,TRUE),0),_xlpm.mn,MAX(DB216,IF(AJ216="вручную",0,N(CM216))),MAX(_xlpm.n0,_xlpm.mn,IF(DH216=1,Мин_автомат_БП,0))))</f>
        <v>16</v>
      </c>
      <c r="DL216">
        <f t="shared" si="449"/>
        <v>1</v>
      </c>
      <c r="DM216" t="str">
        <f t="shared" si="450"/>
        <v>2P</v>
      </c>
      <c r="DN216" t="str">
        <f>_xlfn.LET(_xlpm.cc,UPPER(TRIM(IFERROR(_xlfn.XLOOKUP(BC216,Коды_код,Коды_хар)&amp;"",""))),IF(OR(_xlpm.cc="B",_xlpm.cc="В"),"B",IF(_xlpm.cc="D","D","С")))</f>
        <v>С</v>
      </c>
      <c r="DO216" t="str">
        <f t="shared" si="451"/>
        <v>2P С16А 30мА</v>
      </c>
      <c r="DP216" t="str">
        <f t="shared" si="452"/>
        <v>2P С16А 30мА</v>
      </c>
      <c r="DQ216" t="str">
        <f t="shared" si="453"/>
        <v>2P С16А 30мА</v>
      </c>
      <c r="DR216" cm="1">
        <f t="array" ref="DR216">IF(DQ216="","",_xlfn.LET(_xlpm.t,SUBSTITUTE(SUBSTITUTE(SUBSTITUTE(UPPER(DQ216),"С","C"),"А","A"),"В","B"),_xlpm.tk,_xlfn.TEXTSPLIT(_xlpm.t," "),_xlpm.f,_xlfn._xlws.FILTER(_xlpm.tk,ISNUMBER(--MID(_xlpm.tk,2,1))*ISNUMBER(SEARCH(LEFT(_xlpm.tk,1)&amp;"#","B#C#D#"))*(LEN(_xlpm.tk)&gt;1),""),_xlpm.x,INDEX(_xlpm.f,1),IFERROR(--SUBSTITUTE(MID(_xlpm.x,2,9),"A",""),IFERROR(--SUBSTITUTE(INDEX(_xlfn._xlws.FILTER(_xlpm.tk,ISNUMBER(--SUBSTITUTE(_xlpm.tk,"A","")),""),1),"A",""),""))))</f>
        <v>16</v>
      </c>
      <c r="DS216" t="str">
        <f t="shared" si="454"/>
        <v>ok</v>
      </c>
      <c r="DT216">
        <f t="shared" si="455"/>
        <v>16</v>
      </c>
      <c r="DU216" t="str">
        <f t="shared" si="456"/>
        <v>2P С16А 30мА</v>
      </c>
      <c r="DV216">
        <f t="shared" si="457"/>
        <v>30</v>
      </c>
      <c r="DW216">
        <f t="shared" si="458"/>
        <v>1</v>
      </c>
      <c r="DX216">
        <f t="shared" si="459"/>
        <v>0</v>
      </c>
      <c r="DY216">
        <f t="shared" si="460"/>
        <v>1.0939268258329751</v>
      </c>
      <c r="DZ216">
        <f t="shared" si="461"/>
        <v>1</v>
      </c>
      <c r="EA216">
        <f>IF(ISNUMBER(AP216),AP216,К_прокл)</f>
        <v>1</v>
      </c>
      <c r="EB216">
        <f t="shared" si="462"/>
        <v>2</v>
      </c>
      <c r="EC216">
        <f>IFERROR(N(VLOOKUP(BZ216,Кабель_обозначение,3,FALSE)),1)</f>
        <v>1</v>
      </c>
      <c r="ED216">
        <f>IFERROR(N(_xlfn.XLOOKUP(A216,Щиты[Щит],Щиты[ΔU до шин, %])),0)</f>
        <v>0.43</v>
      </c>
      <c r="EE216" t="str">
        <f>IFERROR(_xlfn.XLOOKUP(A216,Щиты[Щит],Щиты[Zпетли на шинах, Ом]),"")</f>
        <v/>
      </c>
      <c r="EF216">
        <f>IFERROR(N(_xlfn.XLOOKUP(A216,Щиты[Щит],Щиты[ΔU до шин (подбор), %])),0)</f>
        <v>0.43</v>
      </c>
      <c r="EG216" t="str">
        <f>IFERROR(_xlfn.XLOOKUP(A216,Щиты[Щит],Щиты[Zпетли на шинах (подбор), Ом]),"")</f>
        <v/>
      </c>
      <c r="EH216" t="str">
        <f t="shared" si="463"/>
        <v/>
      </c>
      <c r="EI216">
        <f t="shared" si="464"/>
        <v>51</v>
      </c>
      <c r="EJ216">
        <f t="shared" si="465"/>
        <v>2</v>
      </c>
      <c r="EK216">
        <f t="shared" si="466"/>
        <v>0.31</v>
      </c>
      <c r="EL216" s="6">
        <f>IF(B216="","",IF(BV216=1,dU_LED,IF(IFERROR(_xlfn.XLOOKUP(BC216,Коды_код,Коды_уго),"")="Светильник",3,4)+IF(Методика="нормы 2026",MIN(0.5,MAX(0,N(P216)-100)*0.005),0)))</f>
        <v>4</v>
      </c>
      <c r="EM216" cm="1">
        <f t="array" ref="EM216">IF(OR(B216="",BZ216="",EC216&lt;&gt;1),"",_xlfn.LET(_xlpm.sz,Iдоп_S,_xlpm.t_,CHOOSE(EB216,Iдоп_1ж,Iдоп_2ж,Iдоп_3ж)*DZ216*EA216,_xlpm.dcx,BV216=1,_xlpm.inn,IF(_xlpm.dcx,N(O216),N(DT216)),_xlpm.smin,MAX(1.5,CC216),_xlpm.L_,N(P216)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216)/N(BU216)*100,999),IFERROR(N(EJ216)*(_xlpm.rho*_xlpm.L_/_xlpm.sz*N(CE216)+_xlpm.xx*_xlpm.L_*N(EK216)/1000)*N(O216)/((Uн_лин/SQRT(3))*1000)*100,999)),_xlpm.kz,IF(OR(_xlpm.dcx,DW216=1,NOT(ISNUMBER(EG216)),_xlpm.L_=0,_xlpm.inn=0),1,IFERROR(--(c_min*(Uн_лин*1000/SQRT(3))/(EG216+2*ρкз_Cu*_xlpm.L_/_xlpm.sz)&gt;=HT216*_xlpm.inn),0)),_xlpm.ok,IFERROR((_xlpm.sz&gt;=_xlpm.smin)*(_xlpm.t_&gt;=_xlpm.inn)*IF(_xlpm.L_&gt;0,(_xlpm.du_+IF(_xlpm.dcx,0,EF216)&lt;=EL216+0.00001),1)*_xlpm.kz,0),_xlpm.r_,_xlfn._xlws.FILTER(_xlpm.sz,_xlpm.ok,"не подобрано"),INDEX(_xlpm.r_,1)))</f>
        <v>1.5</v>
      </c>
      <c r="EN216">
        <f t="shared" si="467"/>
        <v>2.5</v>
      </c>
      <c r="EO216" cm="1">
        <f t="array" ref="EO216">IF(OR(B216="",BZ216="",EC216&lt;&gt;1),"",_xlfn.LET(_xlpm.sz,Iдоп_S,_xlpm.t_,CHOOSE(EB216,Iдоп_1ж,Iдоп_2ж,Iдоп_3ж)*DZ216*EA216,_xlpm.ok,IFERROR((_xlpm.sz&gt;=MAX(1.5,CC216))*(_xlpm.t_&gt;=N(DT216)),0),_xlpm.r_,_xlfn._xlws.FILTER(_xlpm.sz,_xlpm.ok,""),INDEX(_xlpm.r_,1)))</f>
        <v>1.5</v>
      </c>
      <c r="EP216" s="6" cm="1">
        <f t="array" ref="EP216">IFERROR(ROUNDUP(N(EJ216)*(_xlfn.XLOOKUP(EO216,INDEX(Кабель_сопротивление,0,1),INDEX(Кабель_сопротивление,0,3))*N(P216)/EO216*N(CE216)+_xlfn.XLOOKUP(EO216,INDEX(Кабель_сопротивление,0,1),INDEX(Кабель_сопротивление,0,2))*N(P216)*N(EK216)/1000)*N(O216)/((Uн_лин/SQRT(3))*1000)*100,2),"")</f>
        <v>0.98</v>
      </c>
      <c r="EQ216">
        <f>IFERROR(2*ρкз_Cu*N(P216)/EO216,"")</f>
        <v>2.5247999999999999</v>
      </c>
      <c r="ER216">
        <f>IFERROR(VLOOKUP(EN216,Кабель_сопротивление,3,FALSE),"")</f>
        <v>2.2499999999999999E-2</v>
      </c>
      <c r="ES216">
        <f>IFERROR(VLOOKUP(EN216,Кабель_сопротивление,2,FALSE),"")</f>
        <v>0.1</v>
      </c>
      <c r="ET216">
        <f t="shared" si="468"/>
        <v>14</v>
      </c>
      <c r="EU216">
        <f t="shared" si="469"/>
        <v>9</v>
      </c>
      <c r="EV216">
        <f t="shared" si="470"/>
        <v>1.3517259973160771</v>
      </c>
      <c r="EW216" s="6">
        <f>IFERROR(ROUNDUP(EV216/IF(BV216=1,BU216,(Uн_лин/SQRT(3))*1000)*100,2),"")</f>
        <v>0.59</v>
      </c>
      <c r="EX216" t="str">
        <f>IFERROR(VLOOKUP(BZ216,Кабель_обозначение,2,FALSE),"")</f>
        <v>ВВГнг(А)-LS</v>
      </c>
      <c r="EY216" t="str">
        <f t="shared" si="471"/>
        <v>ВВГнг(А)-LS (3х2,5)</v>
      </c>
      <c r="EZ216" t="str">
        <f t="shared" si="472"/>
        <v>ВВГнг(А)-LS (3х2,5)
L=72-0,59%</v>
      </c>
      <c r="FA216">
        <f>IFERROR(2*ρкз_Cu*P216/EN216,"")</f>
        <v>1.51488</v>
      </c>
      <c r="FB216">
        <f t="shared" si="473"/>
        <v>0.50400000000000011</v>
      </c>
      <c r="FC216" s="6" t="str">
        <f>IFERROR(IF(OR(B216="",BV216=1,NOT(ISNUMBER(EN216)),N(P216)=0),"",_xlfn.XLOOKUP(A216,Щиты[Щит],Щиты[Zпетли на шинах, Ом])+FA216),"")</f>
        <v/>
      </c>
      <c r="FD216" s="6" t="str">
        <f>IF(ISNUMBER(FC216),c_min*(Uн_лин*1000/SQRT(3))/FC216,"")</f>
        <v/>
      </c>
      <c r="FE216" s="6" t="str">
        <f>IFERROR(IF(OR(B216="",NOT(ISNUMBER(EN216))),"",1.05*(Uн_лин*1000/SQRT(3))/(_xlfn.XLOOKUP(A216,Щиты[Щит],Щиты[Zmax на шинах, Ом])+FB216)/1000),"")</f>
        <v/>
      </c>
      <c r="FF216" s="6" t="str">
        <f>IF(B216="","",IF(ISNUMBER(AC216),"Сил",IF(IFERROR(_xlfn.XLOOKUP(BC216,Коды_код,Коды_группа)&amp;"","")="","Быт",_xlfn.XLOOKUP(BC216,Коды_код,Коды_группа)&amp;"")))</f>
        <v>Быт</v>
      </c>
      <c r="FG216" s="6" t="str">
        <f t="shared" si="474"/>
        <v>Быт</v>
      </c>
      <c r="FH216" s="6">
        <f>IF(FG216="Щит","щит",IF(FG216="","",IF(FG216="Быт",IFERROR(_xlfn.XLOOKUP(A216,Щиты[Щит],Щиты[Кс быт]),1),IF(FG216="Сил",IF(ISNUMBER(AC216),AC216,IF(Методика="нормы 2026",IFERROR(_xlfn.XLOOKUP(A216,Щиты[Щит],Щиты[Кс силовых (табл. 7.5)]),1),1)),IF(OR(FG216="Пост",FG216="Отоп"),1,IF(FG216="ВНГ",0.7,0))))))</f>
        <v>0.79799999999999993</v>
      </c>
      <c r="FI216">
        <f>IF(FG216="","",IF(AND(BP216=1,TRIM(AE216&amp;"")=""),IF(COUNTIFS(Линии[Щит],A216,Линии[Секция (1/2/3)],"&gt;=2")&gt;0,MIN(3,MAX(1,IFERROR(--BD216,1))),1),IFERROR(MIN(3,MAX(1,INT(--AE216))),1)))</f>
        <v>1</v>
      </c>
      <c r="FJ216">
        <f t="shared" si="475"/>
        <v>0.24</v>
      </c>
      <c r="FK216">
        <f t="shared" si="476"/>
        <v>0.24</v>
      </c>
      <c r="FL216">
        <f t="shared" si="477"/>
        <v>0</v>
      </c>
      <c r="FM216">
        <f t="shared" si="478"/>
        <v>0</v>
      </c>
      <c r="FN216">
        <f t="shared" si="479"/>
        <v>0</v>
      </c>
      <c r="FO216">
        <f t="shared" si="480"/>
        <v>0</v>
      </c>
      <c r="FP216">
        <f t="shared" si="481"/>
        <v>0.24</v>
      </c>
      <c r="FQ216">
        <f t="shared" si="482"/>
        <v>0.24</v>
      </c>
      <c r="FR216">
        <f t="shared" si="483"/>
        <v>0.22799999999999998</v>
      </c>
      <c r="FS216">
        <f>IF(CG216=1,IF(AND(CH216=1,CW216=1),0,IF(AND(CS216&lt;&gt;"",CS216=BA216,CW216=1),SUMIFS(Линии[_Р линии, кВт],Линии[_блок УЗО],BA216,Линии[Щит],A216),N(BS216)+IF(AJ216="вручную",0,N(CK216)))),0)</f>
        <v>0.24</v>
      </c>
      <c r="FT216" t="str">
        <f t="shared" si="484"/>
        <v>L3</v>
      </c>
      <c r="FU216" t="str">
        <f>IF(B216="","",IF(CG216=0,IF(BA216=1,"",FW215),IF(AND(CH216=1,CW216=1,CS216&lt;&gt;""),IFERROR(_xlfn.XLOOKUP(CS216,Линии[_n],Линии[_фаза итог]),"L1"),IF(OR(N(DL216)&gt;=3,N(BX216)&gt;=3),"L1,L2,L3",IFERROR(_xlfn.TEXTBEFORE(_xlfn.TEXTAFTER(_xlfn.XLOOKUP(A216,Щиты[Щит],Щиты[_фазы авто]),";"&amp;BA216&amp;":"),";"),"L1")))))</f>
        <v>L1</v>
      </c>
      <c r="FV216" t="str">
        <f t="shared" si="485"/>
        <v>L3</v>
      </c>
      <c r="FW216" t="str">
        <f t="shared" si="486"/>
        <v>L3</v>
      </c>
      <c r="FX216" cm="1">
        <f t="array" ref="FX216">IFERROR(IF(CD216=2,_xlfn.IFS(BX216=3,VLOOKUP(BS216,Справочная_двигатели,3,FALSE),BX216=1,VLOOKUP(BS216,Справочная_двигатели,5,TRUE)),0),0)</f>
        <v>0</v>
      </c>
      <c r="FY216">
        <f>IFERROR(IF(CD216=3,VLOOKUP(BS216,Справочная_ЛЭД,2,TRUE),0),0)</f>
        <v>0</v>
      </c>
      <c r="FZ216" s="6">
        <f t="shared" si="487"/>
        <v>0</v>
      </c>
      <c r="GA216" t="str">
        <f>IF(B216="","",IF(TRIM(AH216&amp;"")&lt;&gt;"",IF(LOWER(TRIM(AH216&amp;""))="да","да","нет"),IF(IFERROR(_xlfn.XLOOKUP(BC216,Коды_код,Коды_пожарная),"")="да","да","нет")))</f>
        <v>нет</v>
      </c>
      <c r="GB216" t="str">
        <f t="shared" si="488"/>
        <v/>
      </c>
      <c r="GC216" t="str">
        <f t="shared" si="489"/>
        <v>основная</v>
      </c>
      <c r="GD216">
        <f>IF(AND(BP216=1,TRIM(AE216&amp;"")=""),IF(COUNTIFS(Линии[Щит],A216,Линии[Секция (1/2/3)],"&gt;=2")&gt;0,MIN(3,MAX(1,IFERROR(--BD216,1))),1),IFERROR(MIN(3,MAX(1,INT(--AE216))),1))</f>
        <v>1</v>
      </c>
      <c r="GE216" t="str" cm="1">
        <f t="array" ref="GE216">IF(B216="","",_xlfn.LET(_xlpm.t,IFERROR(_xlfn.XLOOKUP(1,(Шины[Шина]=GC216)*(((Шины[Щит]=A216)+(Шины[Щит]=""))&gt;0),Шины[Тип]),"")&amp;"",IF(_xlpm.t&lt;&gt;"",_xlpm.t,IF(ISNUMBER(SEARCH("ИБП",GC216)),"ИБП",IF(ISNUMBER(SEARCH("ДГУ",GC216)),"ДГУ","Ввод "&amp;GD216)))))</f>
        <v>Ввод 1</v>
      </c>
      <c r="GF216" t="str">
        <f t="shared" si="490"/>
        <v>Ввод 1</v>
      </c>
      <c r="GG216" t="str">
        <f>IF(BP216=0,"",IF(TRIM(AG216&amp;"")&lt;&gt;"",TRIM(AG216&amp;""),IF(OR(GE216="ИБП",GE216="ДГУ"),"I особая",_xlfn.XLOOKUP(A216,Щиты[Щит],Щиты[Категория шины «Ввод»],"III"))))</f>
        <v/>
      </c>
      <c r="GH216" t="str">
        <f>IF(A216="","",_xlfn.XLOOKUP(A216,Щиты[Щит],Щиты[Путь],""))</f>
        <v>|ГРЩ-ЖД|ЩР-01|</v>
      </c>
      <c r="GI216" t="str">
        <f>IF(B216="","",IF(AI216&lt;&gt;"",AI216,IF(IFERROR(_xlfn.XLOOKUP(BC216,Коды_код,Коды_вид)&amp;"","")="","Прочее",_xlfn.XLOOKUP(BC216,Коды_код,Коды_вид)&amp;"")))</f>
        <v>Розеточная сеть и бытовые приборы</v>
      </c>
      <c r="GJ216">
        <f>IF(BM216="","",INT((BM216-1)/Столбцов_на_лист)+1)</f>
        <v>3</v>
      </c>
      <c r="GK216" t="str">
        <f t="shared" si="491"/>
        <v>ВВГнг(А)-LS (3х2,5) L=72-0,59%</v>
      </c>
      <c r="GL216">
        <f t="shared" si="492"/>
        <v>0.24</v>
      </c>
      <c r="GM216">
        <f t="shared" si="493"/>
        <v>1.1000000000000001</v>
      </c>
      <c r="GN216">
        <f t="shared" si="494"/>
        <v>1</v>
      </c>
      <c r="GO216">
        <f t="shared" si="495"/>
        <v>0</v>
      </c>
      <c r="GP216">
        <f t="shared" si="496"/>
        <v>1</v>
      </c>
      <c r="GQ216">
        <f>IF(BM216="","",IF(AND(CG216=1,GP216=1),COUNTIFS(A$3:A216,A216,CG$3:CG216,1,GP$3:GP216,1),IF(OR(OR(BA216=1,A216&lt;&gt;A215),AJ216="вручную",GP216=0),"",IF(BA216=1,"",GR215))))</f>
        <v>32</v>
      </c>
      <c r="GR216">
        <f t="shared" si="497"/>
        <v>32</v>
      </c>
      <c r="GS216">
        <f>IF(B216="","",IFERROR(LOOKUP(INDEX(CHOOSE(EB216,Iдоп_1ж,Iдоп_2ж,Iдоп_3ж),MATCH(EN216,Iдоп_S,0))*DZ216*EA216,{6,10,16,20,25,32,40,50,63,80,100,125,160,200,250,315,400,500,630}),""))</f>
        <v>25</v>
      </c>
      <c r="GT216" t="str">
        <f t="shared" si="498"/>
        <v>QFD32</v>
      </c>
      <c r="GU216" t="str">
        <f t="shared" si="499"/>
        <v>QFD32</v>
      </c>
      <c r="GV216" t="str">
        <f t="shared" si="500"/>
        <v/>
      </c>
      <c r="GW216">
        <f t="shared" si="501"/>
        <v>0</v>
      </c>
      <c r="GX216" t="str">
        <f>IF(OR(B216="",DJ216=""),"",IFERROR(_xlfn.XLOOKUP(DJ216,Модули_умолч[Управление],Модули_умолч[Модель])&amp;"",""))</f>
        <v/>
      </c>
      <c r="GY216">
        <f>IF(DJ216="",1,IFERROR(MAX(0,N(_xlfn.XLOOKUP(DJ216,Модули_умолч[Управление],Модули_умолч[Каналов на линию]))),1))</f>
        <v>1</v>
      </c>
      <c r="GZ216" t="str">
        <f t="shared" si="502"/>
        <v/>
      </c>
      <c r="HA216" t="str">
        <f t="shared" si="503"/>
        <v/>
      </c>
      <c r="HB216" t="str">
        <f t="shared" si="504"/>
        <v/>
      </c>
      <c r="HC216">
        <f>IF(HB216="",0,IFERROR(N(VLOOKUP(HB216,Модули_спр,3,FALSE)),0))</f>
        <v>0</v>
      </c>
      <c r="HD216" t="str">
        <f t="shared" si="505"/>
        <v/>
      </c>
      <c r="HE216" t="str">
        <f t="shared" si="506"/>
        <v/>
      </c>
      <c r="HF216" t="str">
        <f>IF(OR(HE216="",HE216="-"),"",IFERROR(VLOOKUP(HE216,Модули_спр,2,FALSE),"R"))</f>
        <v/>
      </c>
      <c r="HG216" t="str">
        <f>IF(HF216="","",HF216&amp;"."&amp;COUNTIFS(A$3:A216,A216,HF$3:HF216,HF216))</f>
        <v/>
      </c>
      <c r="HH216" t="str">
        <f t="shared" si="507"/>
        <v/>
      </c>
      <c r="HI216" t="str">
        <f t="shared" si="508"/>
        <v/>
      </c>
      <c r="HJ216" t="str">
        <f t="shared" si="509"/>
        <v/>
      </c>
      <c r="HK216" t="str">
        <f t="shared" si="510"/>
        <v/>
      </c>
      <c r="HL216">
        <f t="shared" si="511"/>
        <v>1</v>
      </c>
      <c r="HM216" t="str">
        <f>IF(HL216=1,"XT"&amp;COUNTIFS(A$3:A216,A216,HL$3:HL216,1),"")</f>
        <v>XT32</v>
      </c>
      <c r="HN216" t="str">
        <f t="shared" si="512"/>
        <v/>
      </c>
      <c r="HO216" t="str">
        <f t="shared" si="513"/>
        <v>QFD32</v>
      </c>
      <c r="HP216" t="str">
        <f t="shared" si="514"/>
        <v/>
      </c>
      <c r="HQ216" t="str">
        <f t="shared" si="515"/>
        <v>ok</v>
      </c>
      <c r="HR216" t="str">
        <f>IF(OR(HJ216="",HH216=""),"",IF(HJ216+MAX(0,GY216-1)&gt;IFERROR(VLOOKUP(HI216,Модули_спр,3,FALSE),99),"ЛИШНИЙ КАНАЛ",IF(AND(AL216&lt;&gt;"=",GY216&gt;0,COUNTIFS(Линии[_модуль гр.],HH216,Линии[Канал (итог)],HJ216,Линии[Канал],"&lt;&gt;=",Линии[Щит],A216)&gt;1),"ДУБЛЬ КАНАЛА","")))</f>
        <v/>
      </c>
      <c r="HS216" s="6" t="str">
        <f t="shared" si="516"/>
        <v/>
      </c>
      <c r="HT216">
        <f t="shared" si="517"/>
        <v>10</v>
      </c>
      <c r="HU216" t="str">
        <f t="shared" si="518"/>
        <v/>
      </c>
      <c r="HV216">
        <f t="shared" si="519"/>
        <v>1.1575707303331901</v>
      </c>
      <c r="HW216">
        <f t="shared" si="520"/>
        <v>0</v>
      </c>
      <c r="HX216">
        <f t="shared" si="521"/>
        <v>0</v>
      </c>
      <c r="HY216">
        <f t="shared" si="522"/>
        <v>0</v>
      </c>
      <c r="HZ216">
        <f t="shared" si="523"/>
        <v>0</v>
      </c>
      <c r="IA216">
        <f t="shared" si="524"/>
        <v>0</v>
      </c>
      <c r="IB216">
        <f t="shared" si="525"/>
        <v>0</v>
      </c>
      <c r="IC216" t="str">
        <f t="shared" si="526"/>
        <v/>
      </c>
      <c r="ID216" t="str" cm="1">
        <f t="array" ref="ID216">IF(IC216="","",_xlfn.LET(_xlpm.tk,_xlfn.TEXTSPLIT(SUBSTITUTE(SUBSTITUTE(IC216,";"," "),"→"," ")," ",,TRUE),_xlpm.w_,_xlfn._xlws.FILTER(_xlpm.tk,ISNUMBER(--LEFT(_xlpm.tk,1))*((ISNUMBER(SEARCH("W",_xlpm.tk))+ISNUMBER(SEARCH("Вт",_xlpm.tk)))&gt;0),""),IFERROR(--SUBSTITUTE(SUBSTITUTE(UPPER(INDEX(_xlpm.w_,1)),"W",""),"ВТ",""),"")))</f>
        <v/>
      </c>
      <c r="IE216" t="str" cm="1">
        <f t="array" ref="IE216">IF(IC216="","",_xlfn.LET(_xlpm.tk,_xlfn.TEXTSPLIT(SUBSTITUTE(SUBSTITUTE(IC216,";"," "),"→"," ")," ",,TRUE),_xlpm.v_,_xlfn._xlws.FILTER(_xlpm.tk,ISNUMBER(--LEFT(_xlpm.tk,1))*((ISNUMBER(SEARCH("V",_xlpm.tk))+(RIGHT(UPPER(_xlpm.tk))="В"))&gt;0),""),IFERROR(--SUBSTITUTE(SUBSTITUTE(UPPER(INDEX(_xlpm.v_,1)),"V",""),"В",""),"")))</f>
        <v/>
      </c>
      <c r="IF216" s="6" t="str">
        <f>IF(OR(BV216=0,HI216="",HJ216=""),"",IFERROR(N(_xlfn.XLOOKUP(HI216,Каталог!$C$4:$C$500,Каталог!$Q$4:$Q$500)),""))</f>
        <v/>
      </c>
      <c r="IG216" s="6" t="str">
        <f>IF(N(IF216)=0,"",SUMIFS(Линии[Iр, А],Линии[Щит],A216,Линии[_модуль гр.],HH216,Линии[Канал (итог)],HJ216))</f>
        <v/>
      </c>
      <c r="IH216" t="str">
        <f>IF(AND(B216="",HO216=""),"",_xlfn.TEXTJOIN("; ",TRUE,IF(AND(B216&lt;&gt;"",FV216=""),"нет фазы",""),IF(AND(B216&lt;&gt;"",N(GL216)=0,FG216&lt;&gt;"Нет"),"нет мощности",""),IF(AND(HN216&lt;&gt;"",COUNTIFS(Линии[Щит],A216,Линии[Клемма (итог)],HN216)&gt;1),"дубль клеммы "&amp;HN216,""),IF(AND(HQ216&lt;&gt;"",HQ216&lt;&gt;"ok"),HQ216,""),IF(HR216&lt;&gt;"",HR216,""),IF(AND(N(CB216)&gt;=4,N(BX216)=1),CB216&amp;" жил на 1 фазе",""),IF(AND(BC216="R",CG216=1,IF(CS216&lt;&gt;"",N(CV216)&gt;30,OR(N(DA216)=0,N(DA216)&gt;30))),"розетка без дифзащиты до 30 мА",""),IF(AND(CG216=1,N(DA216)&gt;0,ISNUMBER(T216)),IF(T216&gt;N(DA216)/3,"ток утечки "&amp;FIXED(T216,1)&amp;" мА &gt; 1/3 уставки ("&amp;DA216&amp;" мА)",""),""),IF(AND(CH216=1,CS216=""),"«узо»: нет строки с УЗО выше (УЗО 2P 40А 30мА в «Аппаратах»)",""),IF(AND(CS216&lt;&gt;"",CS216=BA216),IF(CT216="","впишите номинал УЗО (УЗО 2P 40А 30мА)",IF(N(CT216)&lt;N(DT216),"УЗО "&amp;CT216&amp;" А &lt; автомата "&amp;DT216&amp;" А перед ним",IF(N(CT216)&lt;N(CX216),"УЗО "&amp;CT216&amp;" А &lt; тока блока "&amp;FIXED(CX216,1)&amp;" А",""))),""),IF(AND(CS216&lt;&gt;"",CS216=BA216,ISNUMBER(CY216)),IF(CY216&gt;N(CV216)/3,"ток утечки блока УЗО "&amp;FIXED(CY216,1)&amp;" мА &gt; 1/3 уставки ("&amp;CV216&amp;" мА)",""),""),IF(AND(CG216=1,N(BV216)+N(IB216)&gt;0,IC216=""),"линии до 50 В без БП: впишите в «Аппараты» (БП 24V 480W)",""),IF(AND(CG216=1,ISNUMBER(ID216),ISNUMBER(U216)),IF(U216&gt;ID216,"БП "&amp;ID216&amp;" Вт &lt; нужно "&amp;U216&amp;" Вт (×"&amp;Запас_БП&amp;")",""),""),IF(AND(CG216=1,ISNUMBER(IE216),N(BV216)=1),IF(IE216&lt;&gt;N(BU216),"БП на "&amp;IE216&amp;" В, линия "&amp;BU216&amp;" В",""),""),IF(AND(N(IF216)&gt;0,N(IG216)&gt;N(IF216)),HH216&amp;" канал "&amp;HJ216&amp;": "&amp;FIXED(IG216,1)&amp;" А &gt; "&amp;IF216&amp;" А",""),IFERROR(IF(AND(ISNUMBER(Q216),Q216&gt;EL216),"потери "&amp;FIXED(Q216,1)&amp;" % &gt; "&amp;EL216&amp;" %",""),""),IFERROR(IF(LEFT(HU216,4)="мало","Iкз мало — отключение &gt; 0,4 с",""),""),IF(AND(B216&lt;&gt;"",BM216=""),"не на схеме",""),IF(AND(CG216=0,B216&lt;&gt;"",FV216&lt;&gt;"",IF(BA216=1,"",FW215)&lt;&gt;"",FV216&lt;&gt;IF(BA216=1,"",FW215)),"фаза не как у автомата группы ("&amp;IF(BA216=1,"",FW215)&amp;")","")))</f>
        <v/>
      </c>
      <c r="II216" s="6">
        <f>IF(OR(CG216=0,DQ216=""),"",_xlfn.LET(_xlpm.t,IFERROR(_xlfn.XLOOKUP(DQ216,Каталог!$U$4:$U$500,Каталог!$G$4:$G$500),""),_xlpm.k,SEARCH("кА",_xlpm.t),IFERROR(--TRIM(RIGHT(SUBSTITUTE(MID(_xlpm.t,MAX(1,_xlpm.k-4),_xlpm.k-MAX(1,_xlpm.k-4))," ",REPT(" ",9)),5)),"")))</f>
        <v>6</v>
      </c>
      <c r="IJ216" t="str">
        <f>IF(OR(II216="",CG216=0),"",IF(_xlfn.XLOOKUP(A216,Щиты[Щит],Щиты[Iкз max на шинах, кА],"")="","",IF(II216&lt;_xlfn.XLOOKUP(A216,Щиты[Щит],Щиты[Iкз max на шинах, кА]),"Icu "&amp;II216&amp;" кА &lt; Iкз max","ok")))</f>
        <v/>
      </c>
      <c r="IK216" t="str">
        <f t="shared" si="527"/>
        <v/>
      </c>
      <c r="IL216" t="str">
        <f t="shared" si="528"/>
        <v>QFD32</v>
      </c>
      <c r="IM216" t="str">
        <f t="shared" si="529"/>
        <v>QFD32|кабель ВВГнг(А)-LS (3х2,5) → Розеточная группа, пом. 021A</v>
      </c>
      <c r="IN216" t="str" cm="1">
        <f t="array" ref="IN216">IF(IM216="","",_xlfn.LET(_xlpm.nd,_xlfn.TEXTSPLIT(IM216,"|"),IF(COLUMNS(_xlpm.nd)&gt;1,A216&amp;"¦"&amp;INDEX(_xlpm.nd,1)&amp;"¦"&amp;INDEX(_xlpm.nd,2),"")))</f>
        <v>ЩР-01¦QFD32¦кабель ВВГнг(А)-LS (3х2,5) → Розеточная группа, пом. 021A</v>
      </c>
      <c r="IO216" t="str">
        <f t="shared" si="530"/>
        <v>R.0.021A.1¦Розеточная группа, пом. 021A</v>
      </c>
      <c r="IP216" t="str" cm="1">
        <f t="array" ref="IP216">IF(IM216="","",_xlfn.LET(_xlpm.nd,_xlfn.TEXTSPLIT(IM216,"|"),IF(COLUMNS(_xlpm.nd)&gt;2,A216&amp;"¦"&amp;INDEX(_xlpm.nd,2)&amp;"¦"&amp;INDEX(_xlpm.nd,3),"")))</f>
        <v/>
      </c>
      <c r="IQ216" t="str">
        <f t="shared" si="531"/>
        <v/>
      </c>
      <c r="IR216" t="str" cm="1">
        <f t="array" ref="IR216">IF(IM216="","",_xlfn.LET(_xlpm.nd,_xlfn.TEXTSPLIT(IM216,"|"),IF(COLUMNS(_xlpm.nd)&gt;3,A216&amp;"¦"&amp;INDEX(_xlpm.nd,3)&amp;"¦"&amp;INDEX(_xlpm.nd,4),"")))</f>
        <v/>
      </c>
      <c r="IS216" t="str">
        <f t="shared" si="532"/>
        <v/>
      </c>
      <c r="IT216" t="str" cm="1">
        <f t="array" ref="IT216">IF(IM216="","",_xlfn.LET(_xlpm.nd,_xlfn.TEXTSPLIT(IM216,"|"),IF(COLUMNS(_xlpm.nd)&gt;4,A216&amp;"¦"&amp;INDEX(_xlpm.nd,4)&amp;"¦"&amp;INDEX(_xlpm.nd,5),"")))</f>
        <v/>
      </c>
      <c r="IU216" t="str">
        <f t="shared" si="533"/>
        <v/>
      </c>
      <c r="IV216" t="str" cm="1">
        <f t="array" ref="IV216">IF(IM216="","",_xlfn.LET(_xlpm.nd,_xlfn.TEXTSPLIT(IM216,"|"),IF(COLUMNS(_xlpm.nd)&gt;5,A216&amp;"¦"&amp;INDEX(_xlpm.nd,5)&amp;"¦"&amp;INDEX(_xlpm.nd,6),"")))</f>
        <v/>
      </c>
      <c r="IW216" t="str">
        <f t="shared" si="534"/>
        <v/>
      </c>
      <c r="IX216" t="str" cm="1">
        <f t="array" ref="IX216">IF(IM216="","",_xlfn.LET(_xlpm.nd,_xlfn.TEXTSPLIT(IM216,"|"),IF(COLUMNS(_xlpm.nd)&gt;6,A216&amp;"¦"&amp;INDEX(_xlpm.nd,6)&amp;"¦"&amp;INDEX(_xlpm.nd,7),"")))</f>
        <v/>
      </c>
      <c r="IY216" t="str">
        <f t="shared" si="535"/>
        <v/>
      </c>
      <c r="IZ216" t="str">
        <f t="shared" si="536"/>
        <v/>
      </c>
      <c r="JA216" t="str">
        <f t="shared" si="537"/>
        <v>QFD32</v>
      </c>
      <c r="JB216">
        <f t="shared" si="538"/>
        <v>0</v>
      </c>
      <c r="JC216">
        <f t="shared" si="539"/>
        <v>1</v>
      </c>
      <c r="JD216" t="str">
        <f t="shared" si="540"/>
        <v/>
      </c>
      <c r="JE216" t="str">
        <f t="shared" si="541"/>
        <v/>
      </c>
      <c r="JF216" t="str">
        <f t="shared" si="542"/>
        <v/>
      </c>
      <c r="JG216" t="str">
        <f t="shared" si="543"/>
        <v/>
      </c>
      <c r="JH216" t="str">
        <f>IF(B216="","",IFERROR(_xlfn.XLOOKUP(B216,Коды_код,Коды_уго),IFERROR(_xlfn.XLOOKUP(BC216,Коды_код,Коды_уго),IFERROR(_xlfn.XLOOKUP(LEFT(BC216,2),Коды_код,Коды_уго),""))))</f>
        <v>Розетка</v>
      </c>
      <c r="JI216" t="str">
        <f>IF(B216="","",IF(OR(JH216="",JH216=0),"BOX",IFERROR(IF(VLOOKUP(JH216,УГО_блоки,3,FALSE)&amp;""&lt;&gt;"",VLOOKUP(JH216,УГО_блоки,3,FALSE),VLOOKUP(JH216,УГО_блоки,2,FALSE)),JH216)))</f>
        <v>SOCKET</v>
      </c>
      <c r="JJ216">
        <f t="shared" si="544"/>
        <v>1</v>
      </c>
      <c r="JK216" t="str">
        <f>IF(DQ216="","",IF(COUNTIF(DQ$3:DQ216,DQ216)=1,MAX(JK$2:JK215)+1,""))</f>
        <v/>
      </c>
      <c r="JL216" t="str">
        <f>IF(DE216="","",IF(COUNTIF(DE$3:DE216,DE216)+COUNTIF(DF$2:DF215,DE216)+COUNTIF(DG$2:DG215,DE216)=1,MAX(JL$2:JN215)+1,""))</f>
        <v/>
      </c>
      <c r="JM216" t="str">
        <f>IF(DF216="","",IF(COUNTIF(DE$3:DE216,DF216)+COUNTIF(DF$3:DF216,DF216)+COUNTIF(DG$2:DG215,DF216)=1,MAX(JL$2:JN215,JL216)+1,""))</f>
        <v/>
      </c>
      <c r="JN216" t="str">
        <f>IF(DG216="","",IF(COUNTIF(DE$3:DE216,DG216)+COUNTIF(DF$3:DF216,DG216)+COUNTIF(DG$3:DG216,DG216)=1,MAX(JL$2:JN215,JL216,JM216)+1,""))</f>
        <v/>
      </c>
      <c r="JO216" t="str">
        <f t="shared" si="545"/>
        <v>3х2,5</v>
      </c>
      <c r="JP216" t="str">
        <f>IF(JO216="","",IF(COUNTIF(JO$3:JO216,JO216)=1,MAX(JP$2:JP215)+1,""))</f>
        <v/>
      </c>
      <c r="JQ216" t="str">
        <f>IF(HG216="","",COUNTIF(HG$3:HG216,"?*"))</f>
        <v/>
      </c>
      <c r="JR216" t="str">
        <f>IF(OR(HG216="",HI216=""),"",IF(COUNTIFS(HG$3:HG216,"?*",HI$3:HI216,HI216)=1,MAX(JR$2:JR215)+1,""))</f>
        <v/>
      </c>
      <c r="JS216">
        <f t="shared" si="546"/>
        <v>0</v>
      </c>
      <c r="JT216">
        <f>IF(B216="","",COUNTIF(B$3:B216,"?*"))</f>
        <v>214</v>
      </c>
      <c r="JU216">
        <f>IF(HL216&lt;&gt;1,0,_xlfn.LET(_xlpm.k,MAX(IFERROR(--_xlfn.XLOOKUP(B216,Коды_код,Коды_3L),0),IFERROR(--_xlfn.XLOOKUP(BC216,Коды_код,Коды_3L),0),IFERROR(--_xlfn.XLOOKUP(LEFT(BC216,2),Коды_код,Коды_3L),0)),IF(_xlpm.k&gt;0,_xlpm.k,IF(IFERROR(--LEFT(SUBSTITUTE(JO216,"x","х"),FIND("х",SUBSTITUTE(JO216,"x","х"))-1),3)&gt;3,Каталог!$S$9,1))))</f>
        <v>1</v>
      </c>
      <c r="JV216">
        <f t="shared" si="547"/>
        <v>0</v>
      </c>
      <c r="JW216" t="str">
        <f t="shared" si="548"/>
        <v>авто</v>
      </c>
      <c r="JX216">
        <f t="shared" si="549"/>
        <v>30</v>
      </c>
      <c r="JY216">
        <f t="shared" si="550"/>
        <v>1</v>
      </c>
      <c r="JZ216">
        <f t="shared" si="551"/>
        <v>1</v>
      </c>
    </row>
    <row r="217" spans="1:286" x14ac:dyDescent="0.3">
      <c r="A217" t="s">
        <v>755</v>
      </c>
      <c r="B217" t="s">
        <v>1524</v>
      </c>
      <c r="C217" t="str">
        <f>Линии[[#This Row],[_авто наименование]]</f>
        <v>Розеточная группа, пом. 022</v>
      </c>
      <c r="D217">
        <v>1</v>
      </c>
      <c r="E217">
        <v>0.06</v>
      </c>
      <c r="G217" t="str">
        <f>Линии[[#This Row],[_авто автомат]]</f>
        <v>2P С16А 30мА</v>
      </c>
      <c r="H217" t="str">
        <f>Линии[[#This Row],[_авто управление]]</f>
        <v/>
      </c>
      <c r="I217" t="str">
        <f>Линии[[#This Row],[_авто аппараты]]</f>
        <v/>
      </c>
      <c r="J217">
        <v>2.5</v>
      </c>
      <c r="K217">
        <v>51</v>
      </c>
      <c r="L217">
        <v>3</v>
      </c>
      <c r="M217" t="s">
        <v>484</v>
      </c>
      <c r="N217" t="str">
        <f t="shared" si="414"/>
        <v/>
      </c>
      <c r="O217" s="6" cm="1">
        <f t="array" ref="O217">IF(B217="","",IF(BH217&lt;&gt;"",IFERROR(_xlfn.XLOOKUP(BH217,Щиты[Щит],Щиты[Iр, А]),""),IF(BP217=1,IF(OR(N(_xlfn.XLOOKUP(A217,Щиты[Щит],Щиты[Вводов],1))&lt;=1,LOWER(TRIM(_xlfn.XLOOKUP(A217,Щиты[Щит],Щиты[АВР],"")&amp;""))="да"),IFERROR(_xlfn.XLOOKUP(A217,Щиты[Щит],Щиты[Iр, А]),""),IFERROR(N(BS217)*_xlfn.XLOOKUP(A217,Щиты[Щит],Щиты[Кс итог])/(SQRT(3)*Uн_лин*_xlfn.XLOOKUP(A217,Щиты[Щит],Щиты[cos φ])),"")),IF(BV217=1,IFERROR(BS217*1000/BU217,""),IFERROR(_xlfn.IFS(BX217=1,BS217/((Uн_лин/SQRT(3))*CE217),BX217=3,BS217/(SQRT(3)*Uн_лин*CE217)),"")))))</f>
        <v>0.27348170645824377</v>
      </c>
      <c r="P217" s="7">
        <f>IF(B217="","",IFERROR(IF(VLOOKUP(BC217,Потребители_обозначение,4,FALSE)=1,VLOOKUP(BC217,Потребители_обозначение,3,FALSE)*(MAX(1,N(D217))*2-1)+EI217+VLOOKUP(BE217,Этаж_обозначение,3,FALSE)+VLOOKUP(BE217,Этаж_обозначение,4,FALSE),VLOOKUP(BC217,Потребители_обозначение,3,FALSE)*(MAX(1,N(D217))*2-1)+EI217),EI217))</f>
        <v>54</v>
      </c>
      <c r="Q217" s="6">
        <f t="shared" si="415"/>
        <v>0.54</v>
      </c>
      <c r="R217" t="str">
        <f t="shared" si="416"/>
        <v>ВВГнг(А)-LS (3х2,5)</v>
      </c>
      <c r="S217" t="str">
        <f>IF(BM217="","",IF(BN217="вводной узел","узел ","")&amp;"л."&amp;(INT((BM217-1)/Столбцов_на_лист)+1)&amp;" / "&amp;(MOD(BM217-1,Столбцов_на_лист)+1))</f>
        <v>л.3 / 11</v>
      </c>
      <c r="T217" s="119">
        <f t="shared" si="417"/>
        <v>0.6</v>
      </c>
      <c r="U217" s="7" t="str">
        <f>IF(OR(CG217=0,N(BV217)+N(IB217)=0),"",ROUNDUP(Запас_БП*(N(HY217)+N(HZ217)),0))</f>
        <v/>
      </c>
      <c r="V217" s="119" t="str">
        <f t="shared" si="418"/>
        <v/>
      </c>
      <c r="W217" s="7" t="str">
        <f>IFERROR(IF(OR(B217="",BP217=1,BV217=1,NOT(ISNUMBER(EN217)),N(DT217)=0),"",MAX(0,ROUNDDOWN((c_min*(Uн_лин*1000/SQRT(3))/(HT217*N(DT217))-_xlfn.XLOOKUP(A217,Щиты[Щит],Щиты[Zпетли на шинах, Ом]))*EN217/(2*ρкз_Cu),0))),"")</f>
        <v/>
      </c>
      <c r="Y217">
        <f>Линии[[#This Row],[_авто утечка]]</f>
        <v>30</v>
      </c>
      <c r="Z217">
        <v>1</v>
      </c>
      <c r="AA217">
        <v>230</v>
      </c>
      <c r="AB217" t="s">
        <v>562</v>
      </c>
      <c r="AG217" t="s">
        <v>810</v>
      </c>
      <c r="AI217" t="s">
        <v>561</v>
      </c>
      <c r="AK217" t="str">
        <f>Линии[[#This Row],[_авто модуль]]</f>
        <v/>
      </c>
      <c r="AM217">
        <v>45</v>
      </c>
      <c r="AN217" t="s">
        <v>11</v>
      </c>
      <c r="AO217">
        <v>3</v>
      </c>
      <c r="AQ217">
        <v>44</v>
      </c>
      <c r="AR217">
        <v>7</v>
      </c>
      <c r="AS217">
        <v>0</v>
      </c>
      <c r="BA217" cm="1">
        <f t="array" ref="BA217">ROW()-ROW(Линии[#Headers])</f>
        <v>215</v>
      </c>
      <c r="BC217" s="6" t="str">
        <f t="shared" si="419"/>
        <v>R</v>
      </c>
      <c r="BD217" t="str">
        <f t="shared" si="420"/>
        <v>0.022.1</v>
      </c>
      <c r="BE217" t="str">
        <f t="shared" si="421"/>
        <v>0</v>
      </c>
      <c r="BF217" t="str">
        <f t="shared" si="422"/>
        <v>022.1</v>
      </c>
      <c r="BG217" t="str">
        <f t="shared" si="423"/>
        <v>022</v>
      </c>
      <c r="BH217" t="str">
        <f>IF(X217&lt;&gt;"",X217,IF(AND(B217&lt;&gt;"",B217&lt;&gt;A217,ISNUMBER(_xlfn.XMATCH(B217,Щиты[Щит]))),B217,""))</f>
        <v/>
      </c>
      <c r="BI217" t="str" cm="1">
        <f t="array" ref="BI217">IF(B217="","",IF(BH217&lt;&gt;"","Щит "&amp;BH217,_xlfn.LET(_xlpm.nm,IFERROR(_xlfn.XLOOKUP(BC217,Коды_код,Коды_имя)&amp;"",""),_xlpm.md,IFERROR(N(_xlfn.XLOOKUP(BC217,Коды_код,Коды_режим)),1),_xlpm.ex,IF(Имя_режим="по экспликации",IFERROR(_xlfn.XLOOKUP(BE217&amp;"|"&amp;BG217,Экспликация[Этаж]&amp;"|"&amp;Экспликация[Помещение],Экспликация[Название])&amp;"",""),""),_xlpm.rm,IF(BG217="","",IF(_xlpm.ex&lt;&gt;"",". "&amp;_xlpm.ex&amp;IF(Имя_пом="нет"," ("&amp;BG217&amp;")"," (пом. "&amp;BG217&amp;")"),IF(Имя_пом="нет"," ",", пом. ")&amp;BG217)),IF(_xlpm.nm="","",IF(_xlpm.md=2,_xlpm.nm&amp;" шлейф "&amp;BE217,_xlpm.nm&amp;_xlpm.rm)))))</f>
        <v>Розеточная группа, пом. 022</v>
      </c>
      <c r="BJ217" t="str">
        <f t="shared" si="424"/>
        <v>Розеточная группа, пом. 022</v>
      </c>
      <c r="BK217">
        <f>IFERROR(_xlfn.XMATCH(A217,Щиты[Щит]),0)</f>
        <v>9</v>
      </c>
      <c r="BL217">
        <f>_xlfn.LET(_xlpm.k,IFERROR(_xlfn.XLOOKUP(A217,Щиты[Щит],Щиты[Мест под вводной узел]),""),IF(_xlpm.k="",Столбцов_на_лист,N(_xlpm.k)))</f>
        <v>8</v>
      </c>
      <c r="BM217">
        <f t="shared" si="425"/>
        <v>45</v>
      </c>
      <c r="BN217" t="str">
        <f t="shared" si="426"/>
        <v>линии</v>
      </c>
      <c r="BO217" s="6">
        <f>IFERROR(N(_xlfn.XLOOKUP(BC217,Коды_код,Коды_квт)),0)</f>
        <v>0</v>
      </c>
      <c r="BP217">
        <f t="shared" si="427"/>
        <v>0</v>
      </c>
      <c r="BQ217" t="str">
        <f>IF(B217="","",IF(BH217&lt;&gt;"",IFERROR(_xlfn.XLOOKUP(BH217,Щиты[Щит],Щиты[Руст, кВт]),0),IF(BP217=1,IF(OR(N(_xlfn.XLOOKUP(A217,Щиты[Щит],Щиты[Вводов],1))&lt;=1,LOWER(TRIM(_xlfn.XLOOKUP(A217,Щиты[Щит],Щиты[АВР],"")&amp;""))="да"),IFERROR(_xlfn.XLOOKUP(A217,Щиты[Щит],Щиты[Руст, кВт]),0),SUMIFS(Линии[_Р для вводов],Линии[Щит],A217,Линии[Источник для режимов],GF217)),IF(BO217&gt;0,ROUND(BO217*MAX(1,N(D217)),3),""))))</f>
        <v/>
      </c>
      <c r="BR217">
        <f t="shared" si="428"/>
        <v>0.06</v>
      </c>
      <c r="BS217" s="6">
        <f>IF(B217="","",IF(BH217&lt;&gt;"",IFERROR(_xlfn.XLOOKUP(BH217,Щиты[Щит],Щиты[Руст, кВт]),0),N(BR217)))</f>
        <v>0.06</v>
      </c>
      <c r="BT217" t="str">
        <f>IF(B217="","",IFERROR(IF(VLOOKUP(BC217,Потребители_обозначение,8,FALSE)=0,"",VLOOKUP(BC217,Потребители_обозначение,8,FALSE)),""))</f>
        <v/>
      </c>
      <c r="BU217">
        <f t="shared" si="429"/>
        <v>230</v>
      </c>
      <c r="BV217">
        <f t="shared" si="430"/>
        <v>0</v>
      </c>
      <c r="BW217">
        <f>IF(B217="","",IF(BH217&lt;&gt;"",3,IFERROR(IF(N(VLOOKUP(BC217,Потребители_обозначение,9,FALSE))=0,1,VLOOKUP(BC217,Потребители_обозначение,9,FALSE)),1)))</f>
        <v>1</v>
      </c>
      <c r="BX217">
        <f t="shared" si="431"/>
        <v>1</v>
      </c>
      <c r="BY217" t="str">
        <f>IF(B217="","",_xlfn.LET(_xlpm.bc,IFERROR(IF(VLOOKUP(BC217,Потребители_обозначение,6,FALSE)=0,"",VLOOKUP(BC217,Потребители_обозначение,6,FALSE)&amp;""),""),IF(AND(GA217="да",OR(_xlpm.bc="",_xlpm.bc="мс")),Марка_пож,IF(AND(_xlpm.bc="",BH217&lt;&gt;""),"мс",_xlpm.bc))))</f>
        <v/>
      </c>
      <c r="BZ217" t="str">
        <f t="shared" si="432"/>
        <v>мс</v>
      </c>
      <c r="CA217">
        <f>IF(B217="","",_xlfn.LET(_xlpm.cc,IFERROR(N(VLOOKUP(BC217,Потребители_обозначение,7,FALSE)),0),IF(_xlpm.cc&gt;0,_xlpm.cc,IF(BZ217="","",IF(BV217=1,2,IF(N(BX217)=3,5,3))))))</f>
        <v>3</v>
      </c>
      <c r="CB217">
        <f t="shared" si="433"/>
        <v>3</v>
      </c>
      <c r="CC217">
        <f>IFERROR(N(VLOOKUP(BC217,Потребители_обозначение,10,FALSE)),0)</f>
        <v>0</v>
      </c>
      <c r="CD217">
        <f>IFERROR(VLOOKUP(BC217,Потребители_обозначение,5,FALSE),0)</f>
        <v>1</v>
      </c>
      <c r="CE217" s="6" cm="1">
        <f t="array" ref="CE217">IF(B217="","",IF(BH217&lt;&gt;"",IFERROR(_xlfn.XLOOKUP(BH217,Щиты[Щит],Щиты[cos φ]),0.95),IF(BP217=1,IFERROR(_xlfn.XLOOKUP(A217,Щиты[Щит],Щиты[cos φ]),0.95),IF(ISNUMBER(AD217),AD217,IFERROR(IF(CD217=2,_xlfn.IFS(BX217=3,VLOOKUP(BS217,Справочная_двигатели,8,FALSE),BX217=1,VLOOKUP(BS217,Справочная_двигатели,10,TRUE)),IF(AND(Методика="нормы 2026",FG217="Сил"),0.8,0.95)),0.95)))))</f>
        <v>0.95</v>
      </c>
      <c r="CF217">
        <f t="shared" si="434"/>
        <v>0</v>
      </c>
      <c r="CG217">
        <f t="shared" si="435"/>
        <v>1</v>
      </c>
      <c r="CH217">
        <f t="shared" si="436"/>
        <v>0</v>
      </c>
      <c r="CI217">
        <f>IF(B217="","",IF(BV217=1,IFERROR(BS217/((Uн_лин/SQRT(3))*MAX(0.5,N(CE217))),0),N(O217)))</f>
        <v>0.27348170645824377</v>
      </c>
      <c r="CJ217">
        <f t="shared" si="437"/>
        <v>0</v>
      </c>
      <c r="CK217">
        <f t="shared" si="438"/>
        <v>0</v>
      </c>
      <c r="CL217">
        <f t="shared" si="439"/>
        <v>0</v>
      </c>
      <c r="CM217">
        <f t="shared" si="440"/>
        <v>0</v>
      </c>
      <c r="CN217">
        <f t="shared" si="441"/>
        <v>0</v>
      </c>
      <c r="CO217">
        <f>IF(BC217="",0,_xlfn.LET(_xlpm.v,IFERROR(_xlfn.XLOOKUP(B217,Коды_код,Коды_мА),IFERROR(_xlfn.XLOOKUP(BC217,Коды_код,Коды_мА),IFERROR(_xlfn.XLOOKUP(LEFT(BC217,2),Коды_код,Коды_мА),""))),IF(_xlpm.v="да",30,IF(ISNUMBER(_xlpm.v),_xlpm.v,0))))</f>
        <v>30</v>
      </c>
      <c r="CP217">
        <f t="shared" si="442"/>
        <v>30</v>
      </c>
      <c r="CQ217" t="str">
        <f>_xlfn.LET(_xlpm.k,IFERROR(_xlfn.XLOOKUP(BC217,Коды_код,Коды_утечка)&amp;"",""),IF(_xlpm.k="","дифавтомат",_xlpm.k))</f>
        <v>дифавтомат</v>
      </c>
      <c r="CR217" t="str" cm="1">
        <f t="array" ref="CR217">IF(CG217=0,"",_xlfn.LET(_xlpm.sg,TRIM(_xlfn.TEXTSPLIT(DD217&amp;"",";")),_xlpm.f_,_xlfn._xlws.FILTER(_xlpm.sg,LEFT(_xlpm.sg,3)="УЗО",""),IFERROR(INDEX(_xlpm.f_,1)&amp;"","")))</f>
        <v/>
      </c>
      <c r="CS217" t="str">
        <f t="shared" si="443"/>
        <v/>
      </c>
      <c r="CT217" s="6" t="str" cm="1">
        <f t="array" ref="CT217">IF(CR217="","",_xlfn.LET(_xlpm.tk,_xlfn.TEXTSPLIT(UPPER(CR217)," ",,TRUE),_xlpm.a_,_xlfn._xlws.FILTER(_xlpm.tk,ISNUMBER(--LEFT(_xlpm.tk,1))*((ISNUMBER(SEARCH("А",_xlpm.tk))+ISNUMBER(SEARCH("A",_xlpm.tk)))&gt;0)*NOT(ISNUMBER(SEARCH("МА",_xlpm.tk)))*NOT(ISNUMBER(SEARCH("MA",_xlpm.tk))),""),IFERROR(--SUBSTITUTE(SUBSTITUTE(INDEX(_xlpm.a_,1),"А",""),"A",""),"")))</f>
        <v/>
      </c>
      <c r="CU217" t="str" cm="1">
        <f t="array" ref="CU217">IF(CR217="","",_xlfn.LET(_xlpm.tk,_xlfn.TEXTSPLIT(UPPER(CR217)," ",,TRUE),_xlpm.a_,_xlfn._xlws.FILTER(_xlpm.tk,ISNUMBER(--LEFT(_xlpm.tk,1))*((ISNUMBER(SEARCH("МА",_xlpm.tk))+ISNUMBER(SEARCH("MA",_xlpm.tk)))&gt;0),""),IFERROR(--SUBSTITUTE(SUBSTITUTE(INDEX(_xlpm.a_,1),"МА",""),"MA",""),30)))</f>
        <v/>
      </c>
      <c r="CV217" t="str">
        <f>IF(CS217="","",IFERROR(_xlfn.XLOOKUP(CS217,Линии[_n],Линии[_УЗО, мА]),30))</f>
        <v/>
      </c>
      <c r="CW217">
        <f>IF(CS217="",0,IF(ISNUMBER(SEARCH("4P",IFERROR(_xlfn.XLOOKUP(CS217,Линии[_n],Линии[_УЗО строки])&amp;"",""))),0,1))</f>
        <v>0</v>
      </c>
      <c r="CX217" t="str">
        <f>IF(AND(CS217&lt;&gt;"",CS217=BA217),SUMIFS(Линии[_ток на 230 В],Линии[_блок УЗО],BA217,Линии[Щит],A217),"")</f>
        <v/>
      </c>
      <c r="CY217" t="str">
        <f>IF(AND(CS217&lt;&gt;"",CS217=BA217),SUMIFS(Линии[_ток утечки линии, мА],Линии[_блок УЗО],BA217,Линии[Щит],A217),"")</f>
        <v/>
      </c>
      <c r="CZ217">
        <f t="shared" si="444"/>
        <v>30</v>
      </c>
      <c r="DA217">
        <f t="shared" si="445"/>
        <v>30</v>
      </c>
      <c r="DB217">
        <f>IF(B217="",0,IFERROR(--_xlfn.XLOOKUP(B217,Коды_код,Коды_минавт),IFERROR(--_xlfn.XLOOKUP(BC217,Коды_код,Коды_минавт),IFERROR(--_xlfn.XLOOKUP(LEFT(BC217,2),Коды_код,Коды_минавт),0))))</f>
        <v>16</v>
      </c>
      <c r="DC217" t="str">
        <f>IF(B217="","",IFERROR(_xlfn.XLOOKUP(BC217,Коды_код,Коды_апп)&amp;"",""))</f>
        <v/>
      </c>
      <c r="DD217" t="str">
        <f t="shared" si="446"/>
        <v/>
      </c>
      <c r="DE217" t="str" cm="1">
        <f t="array" ref="DE217">IF(TRIM(DD217&amp;"")="","",IFERROR(TRIM(INDEX(_xlfn.TEXTSPLIT(DD217&amp;";;;",";"),1)),""))</f>
        <v/>
      </c>
      <c r="DF217" t="str" cm="1">
        <f t="array" ref="DF217">IF(TRIM(DD217&amp;"")="","",IFERROR(TRIM(INDEX(_xlfn.TEXTSPLIT(DD217&amp;";;;",";"),2)),""))</f>
        <v/>
      </c>
      <c r="DG217" t="str" cm="1">
        <f t="array" ref="DG217">IF(TRIM(DD217&amp;"")="","",IFERROR(TRIM(INDEX(_xlfn.TEXTSPLIT(DD217&amp;";;;",";"),3)),""))</f>
        <v/>
      </c>
      <c r="DH217">
        <f t="shared" si="447"/>
        <v>0</v>
      </c>
      <c r="DI217" t="str">
        <f>IF(B217="","",_xlfn.LET(_xlpm.t,LOWER(AZ217&amp;""),IF(ISNUMBER(SEARCH("dim",_xlpm.t)),"DIM",IF(ISNUMBER(SEARCH("dali",_xlpm.t)),"DALI",IF(OR(ISNUMBER(SEARCH("relay",_xlpm.t)),ISNUMBER(SEARCH("реле",_xlpm.t))),"Relay",IF(ISNUMBER(SEARCH("кнопк",_xlpm.t)),"",IFERROR(_xlfn.XLOOKUP(BC217,Коды_код,Коды_упр)&amp;"","")))))))</f>
        <v/>
      </c>
      <c r="DJ217" t="str">
        <f t="shared" si="448"/>
        <v/>
      </c>
      <c r="DK217">
        <f>IF(B217="","",_xlfn.LET(_xlpm.ig,IF(N(CX217)&gt;0,N(CX217),N(CI217)+IF(AJ217="вручную",0,N(CJ217))),_xlpm.n0,IFERROR(VLOOKUP(_xlpm.ig,Автомат_номиналы,2,TRUE),0),_xlpm.mn,MAX(DB217,IF(AJ217="вручную",0,N(CM217))),MAX(_xlpm.n0,_xlpm.mn,IF(DH217=1,Мин_автомат_БП,0))))</f>
        <v>16</v>
      </c>
      <c r="DL217">
        <f t="shared" si="449"/>
        <v>1</v>
      </c>
      <c r="DM217" t="str">
        <f t="shared" si="450"/>
        <v>2P</v>
      </c>
      <c r="DN217" t="str">
        <f>_xlfn.LET(_xlpm.cc,UPPER(TRIM(IFERROR(_xlfn.XLOOKUP(BC217,Коды_код,Коды_хар)&amp;"",""))),IF(OR(_xlpm.cc="B",_xlpm.cc="В"),"B",IF(_xlpm.cc="D","D","С")))</f>
        <v>С</v>
      </c>
      <c r="DO217" t="str">
        <f t="shared" si="451"/>
        <v>2P С16А 30мА</v>
      </c>
      <c r="DP217" t="str">
        <f t="shared" si="452"/>
        <v>2P С16А 30мА</v>
      </c>
      <c r="DQ217" t="str">
        <f t="shared" si="453"/>
        <v>2P С16А 30мА</v>
      </c>
      <c r="DR217" cm="1">
        <f t="array" ref="DR217">IF(DQ217="","",_xlfn.LET(_xlpm.t,SUBSTITUTE(SUBSTITUTE(SUBSTITUTE(UPPER(DQ217),"С","C"),"А","A"),"В","B"),_xlpm.tk,_xlfn.TEXTSPLIT(_xlpm.t," "),_xlpm.f,_xlfn._xlws.FILTER(_xlpm.tk,ISNUMBER(--MID(_xlpm.tk,2,1))*ISNUMBER(SEARCH(LEFT(_xlpm.tk,1)&amp;"#","B#C#D#"))*(LEN(_xlpm.tk)&gt;1),""),_xlpm.x,INDEX(_xlpm.f,1),IFERROR(--SUBSTITUTE(MID(_xlpm.x,2,9),"A",""),IFERROR(--SUBSTITUTE(INDEX(_xlfn._xlws.FILTER(_xlpm.tk,ISNUMBER(--SUBSTITUTE(_xlpm.tk,"A","")),""),1),"A",""),""))))</f>
        <v>16</v>
      </c>
      <c r="DS217" t="str">
        <f t="shared" si="454"/>
        <v>ok</v>
      </c>
      <c r="DT217">
        <f t="shared" si="455"/>
        <v>16</v>
      </c>
      <c r="DU217" t="str">
        <f t="shared" si="456"/>
        <v>2P С16А 30мА</v>
      </c>
      <c r="DV217">
        <f t="shared" si="457"/>
        <v>30</v>
      </c>
      <c r="DW217">
        <f t="shared" si="458"/>
        <v>1</v>
      </c>
      <c r="DX217">
        <f t="shared" si="459"/>
        <v>0</v>
      </c>
      <c r="DY217">
        <f t="shared" si="460"/>
        <v>0.27348170645824377</v>
      </c>
      <c r="DZ217">
        <f t="shared" si="461"/>
        <v>1</v>
      </c>
      <c r="EA217">
        <f>IF(ISNUMBER(AP217),AP217,К_прокл)</f>
        <v>1</v>
      </c>
      <c r="EB217">
        <f t="shared" si="462"/>
        <v>2</v>
      </c>
      <c r="EC217">
        <f>IFERROR(N(VLOOKUP(BZ217,Кабель_обозначение,3,FALSE)),1)</f>
        <v>1</v>
      </c>
      <c r="ED217">
        <f>IFERROR(N(_xlfn.XLOOKUP(A217,Щиты[Щит],Щиты[ΔU до шин, %])),0)</f>
        <v>0.43</v>
      </c>
      <c r="EE217" t="str">
        <f>IFERROR(_xlfn.XLOOKUP(A217,Щиты[Щит],Щиты[Zпетли на шинах, Ом]),"")</f>
        <v/>
      </c>
      <c r="EF217">
        <f>IFERROR(N(_xlfn.XLOOKUP(A217,Щиты[Щит],Щиты[ΔU до шин (подбор), %])),0)</f>
        <v>0.43</v>
      </c>
      <c r="EG217" t="str">
        <f>IFERROR(_xlfn.XLOOKUP(A217,Щиты[Щит],Щиты[Zпетли на шинах (подбор), Ом]),"")</f>
        <v/>
      </c>
      <c r="EH217" t="str">
        <f t="shared" si="463"/>
        <v/>
      </c>
      <c r="EI217">
        <f t="shared" si="464"/>
        <v>51</v>
      </c>
      <c r="EJ217">
        <f t="shared" si="465"/>
        <v>2</v>
      </c>
      <c r="EK217">
        <f t="shared" si="466"/>
        <v>0.31</v>
      </c>
      <c r="EL217" s="6">
        <f>IF(B217="","",IF(BV217=1,dU_LED,IF(IFERROR(_xlfn.XLOOKUP(BC217,Коды_код,Коды_уго),"")="Светильник",3,4)+IF(Методика="нормы 2026",MIN(0.5,MAX(0,N(P217)-100)*0.005),0)))</f>
        <v>4</v>
      </c>
      <c r="EM217" cm="1">
        <f t="array" ref="EM217">IF(OR(B217="",BZ217="",EC217&lt;&gt;1),"",_xlfn.LET(_xlpm.sz,Iдоп_S,_xlpm.t_,CHOOSE(EB217,Iдоп_1ж,Iдоп_2ж,Iдоп_3ж)*DZ217*EA217,_xlpm.dcx,BV217=1,_xlpm.inn,IF(_xlpm.dcx,N(O217),N(DT217)),_xlpm.smin,MAX(1.5,CC217),_xlpm.L_,N(P217)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217)/N(BU217)*100,999),IFERROR(N(EJ217)*(_xlpm.rho*_xlpm.L_/_xlpm.sz*N(CE217)+_xlpm.xx*_xlpm.L_*N(EK217)/1000)*N(O217)/((Uн_лин/SQRT(3))*1000)*100,999)),_xlpm.kz,IF(OR(_xlpm.dcx,DW217=1,NOT(ISNUMBER(EG217)),_xlpm.L_=0,_xlpm.inn=0),1,IFERROR(--(c_min*(Uн_лин*1000/SQRT(3))/(EG217+2*ρкз_Cu*_xlpm.L_/_xlpm.sz)&gt;=HT217*_xlpm.inn),0)),_xlpm.ok,IFERROR((_xlpm.sz&gt;=_xlpm.smin)*(_xlpm.t_&gt;=_xlpm.inn)*IF(_xlpm.L_&gt;0,(_xlpm.du_+IF(_xlpm.dcx,0,EF217)&lt;=EL217+0.00001),1)*_xlpm.kz,0),_xlpm.r_,_xlfn._xlws.FILTER(_xlpm.sz,_xlpm.ok,"не подобрано"),INDEX(_xlpm.r_,1)))</f>
        <v>1.5</v>
      </c>
      <c r="EN217">
        <f t="shared" si="467"/>
        <v>2.5</v>
      </c>
      <c r="EO217" cm="1">
        <f t="array" ref="EO217">IF(OR(B217="",BZ217="",EC217&lt;&gt;1),"",_xlfn.LET(_xlpm.sz,Iдоп_S,_xlpm.t_,CHOOSE(EB217,Iдоп_1ж,Iдоп_2ж,Iдоп_3ж)*DZ217*EA217,_xlpm.ok,IFERROR((_xlpm.sz&gt;=MAX(1.5,CC217))*(_xlpm.t_&gt;=N(DT217)),0),_xlpm.r_,_xlfn._xlws.FILTER(_xlpm.sz,_xlpm.ok,""),INDEX(_xlpm.r_,1)))</f>
        <v>1.5</v>
      </c>
      <c r="EP217" s="6" cm="1">
        <f t="array" ref="EP217">IFERROR(ROUNDUP(N(EJ217)*(_xlfn.XLOOKUP(EO217,INDEX(Кабель_сопротивление,0,1),INDEX(Кабель_сопротивление,0,3))*N(P217)/EO217*N(CE217)+_xlfn.XLOOKUP(EO217,INDEX(Кабель_сопротивление,0,1),INDEX(Кабель_сопротивление,0,2))*N(P217)*N(EK217)/1000)*N(O217)/((Uн_лин/SQRT(3))*1000)*100,2),"")</f>
        <v>0.19</v>
      </c>
      <c r="EQ217">
        <f>IFERROR(2*ρкз_Cu*N(P217)/EO217,"")</f>
        <v>1.8936000000000002</v>
      </c>
      <c r="ER217">
        <f>IFERROR(VLOOKUP(EN217,Кабель_сопротивление,3,FALSE),"")</f>
        <v>2.2499999999999999E-2</v>
      </c>
      <c r="ES217">
        <f>IFERROR(VLOOKUP(EN217,Кабель_сопротивление,2,FALSE),"")</f>
        <v>0.1</v>
      </c>
      <c r="ET217">
        <f t="shared" si="468"/>
        <v>7</v>
      </c>
      <c r="EU217">
        <f t="shared" si="469"/>
        <v>0</v>
      </c>
      <c r="EV217">
        <f t="shared" si="470"/>
        <v>0.25344862449676442</v>
      </c>
      <c r="EW217" s="6">
        <f>IFERROR(ROUNDUP(EV217/IF(BV217=1,BU217,(Uн_лин/SQRT(3))*1000)*100,2),"")</f>
        <v>0.11</v>
      </c>
      <c r="EX217" t="str">
        <f>IFERROR(VLOOKUP(BZ217,Кабель_обозначение,2,FALSE),"")</f>
        <v>ВВГнг(А)-LS</v>
      </c>
      <c r="EY217" t="str">
        <f t="shared" si="471"/>
        <v>ВВГнг(А)-LS (3х2,5)</v>
      </c>
      <c r="EZ217" t="str">
        <f t="shared" si="472"/>
        <v>ВВГнг(А)-LS (3х2,5)
L=54-0,11%</v>
      </c>
      <c r="FA217">
        <f>IFERROR(2*ρкз_Cu*P217/EN217,"")</f>
        <v>1.1361600000000001</v>
      </c>
      <c r="FB217">
        <f t="shared" si="473"/>
        <v>0.378</v>
      </c>
      <c r="FC217" s="6" t="str">
        <f>IFERROR(IF(OR(B217="",BV217=1,NOT(ISNUMBER(EN217)),N(P217)=0),"",_xlfn.XLOOKUP(A217,Щиты[Щит],Щиты[Zпетли на шинах, Ом])+FA217),"")</f>
        <v/>
      </c>
      <c r="FD217" s="6" t="str">
        <f>IF(ISNUMBER(FC217),c_min*(Uн_лин*1000/SQRT(3))/FC217,"")</f>
        <v/>
      </c>
      <c r="FE217" s="6" t="str">
        <f>IFERROR(IF(OR(B217="",NOT(ISNUMBER(EN217))),"",1.05*(Uн_лин*1000/SQRT(3))/(_xlfn.XLOOKUP(A217,Щиты[Щит],Щиты[Zmax на шинах, Ом])+FB217)/1000),"")</f>
        <v/>
      </c>
      <c r="FF217" s="6" t="str">
        <f>IF(B217="","",IF(ISNUMBER(AC217),"Сил",IF(IFERROR(_xlfn.XLOOKUP(BC217,Коды_код,Коды_группа)&amp;"","")="","Быт",_xlfn.XLOOKUP(BC217,Коды_код,Коды_группа)&amp;"")))</f>
        <v>Быт</v>
      </c>
      <c r="FG217" s="6" t="str">
        <f t="shared" si="474"/>
        <v>Быт</v>
      </c>
      <c r="FH217" s="6">
        <f>IF(FG217="Щит","щит",IF(FG217="","",IF(FG217="Быт",IFERROR(_xlfn.XLOOKUP(A217,Щиты[Щит],Щиты[Кс быт]),1),IF(FG217="Сил",IF(ISNUMBER(AC217),AC217,IF(Методика="нормы 2026",IFERROR(_xlfn.XLOOKUP(A217,Щиты[Щит],Щиты[Кс силовых (табл. 7.5)]),1),1)),IF(OR(FG217="Пост",FG217="Отоп"),1,IF(FG217="ВНГ",0.7,0))))))</f>
        <v>0.79799999999999993</v>
      </c>
      <c r="FI217">
        <f>IF(FG217="","",IF(AND(BP217=1,TRIM(AE217&amp;"")=""),IF(COUNTIFS(Линии[Щит],A217,Линии[Секция (1/2/3)],"&gt;=2")&gt;0,MIN(3,MAX(1,IFERROR(--BD217,1))),1),IFERROR(MIN(3,MAX(1,INT(--AE217))),1)))</f>
        <v>1</v>
      </c>
      <c r="FJ217">
        <f t="shared" si="475"/>
        <v>0.06</v>
      </c>
      <c r="FK217">
        <f t="shared" si="476"/>
        <v>0.06</v>
      </c>
      <c r="FL217">
        <f t="shared" si="477"/>
        <v>0</v>
      </c>
      <c r="FM217">
        <f t="shared" si="478"/>
        <v>0</v>
      </c>
      <c r="FN217">
        <f t="shared" si="479"/>
        <v>0</v>
      </c>
      <c r="FO217">
        <f t="shared" si="480"/>
        <v>0</v>
      </c>
      <c r="FP217">
        <f t="shared" si="481"/>
        <v>0.06</v>
      </c>
      <c r="FQ217">
        <f t="shared" si="482"/>
        <v>0.06</v>
      </c>
      <c r="FR217">
        <f t="shared" si="483"/>
        <v>5.6999999999999995E-2</v>
      </c>
      <c r="FS217">
        <f>IF(CG217=1,IF(AND(CH217=1,CW217=1),0,IF(AND(CS217&lt;&gt;"",CS217=BA217,CW217=1),SUMIFS(Линии[_Р линии, кВт],Линии[_блок УЗО],BA217,Линии[Щит],A217),N(BS217)+IF(AJ217="вручную",0,N(CK217)))),0)</f>
        <v>0.06</v>
      </c>
      <c r="FT217" t="str">
        <f t="shared" si="484"/>
        <v>L3</v>
      </c>
      <c r="FU217" t="str">
        <f>IF(B217="","",IF(CG217=0,IF(BA217=1,"",FW216),IF(AND(CH217=1,CW217=1,CS217&lt;&gt;""),IFERROR(_xlfn.XLOOKUP(CS217,Линии[_n],Линии[_фаза итог]),"L1"),IF(OR(N(DL217)&gt;=3,N(BX217)&gt;=3),"L1,L2,L3",IFERROR(_xlfn.TEXTBEFORE(_xlfn.TEXTAFTER(_xlfn.XLOOKUP(A217,Щиты[Щит],Щиты[_фазы авто]),";"&amp;BA217&amp;":"),";"),"L1")))))</f>
        <v>L1</v>
      </c>
      <c r="FV217" t="str">
        <f t="shared" si="485"/>
        <v>L3</v>
      </c>
      <c r="FW217" t="str">
        <f t="shared" si="486"/>
        <v>L3</v>
      </c>
      <c r="FX217" cm="1">
        <f t="array" ref="FX217">IFERROR(IF(CD217=2,_xlfn.IFS(BX217=3,VLOOKUP(BS217,Справочная_двигатели,3,FALSE),BX217=1,VLOOKUP(BS217,Справочная_двигатели,5,TRUE)),0),0)</f>
        <v>0</v>
      </c>
      <c r="FY217">
        <f>IFERROR(IF(CD217=3,VLOOKUP(BS217,Справочная_ЛЭД,2,TRUE),0),0)</f>
        <v>0</v>
      </c>
      <c r="FZ217" s="6">
        <f t="shared" si="487"/>
        <v>0</v>
      </c>
      <c r="GA217" t="str">
        <f>IF(B217="","",IF(TRIM(AH217&amp;"")&lt;&gt;"",IF(LOWER(TRIM(AH217&amp;""))="да","да","нет"),IF(IFERROR(_xlfn.XLOOKUP(BC217,Коды_код,Коды_пожарная),"")="да","да","нет")))</f>
        <v>нет</v>
      </c>
      <c r="GB217" t="str">
        <f t="shared" si="488"/>
        <v/>
      </c>
      <c r="GC217" t="str">
        <f t="shared" si="489"/>
        <v>основная</v>
      </c>
      <c r="GD217">
        <f>IF(AND(BP217=1,TRIM(AE217&amp;"")=""),IF(COUNTIFS(Линии[Щит],A217,Линии[Секция (1/2/3)],"&gt;=2")&gt;0,MIN(3,MAX(1,IFERROR(--BD217,1))),1),IFERROR(MIN(3,MAX(1,INT(--AE217))),1))</f>
        <v>1</v>
      </c>
      <c r="GE217" t="str" cm="1">
        <f t="array" ref="GE217">IF(B217="","",_xlfn.LET(_xlpm.t,IFERROR(_xlfn.XLOOKUP(1,(Шины[Шина]=GC217)*(((Шины[Щит]=A217)+(Шины[Щит]=""))&gt;0),Шины[Тип]),"")&amp;"",IF(_xlpm.t&lt;&gt;"",_xlpm.t,IF(ISNUMBER(SEARCH("ИБП",GC217)),"ИБП",IF(ISNUMBER(SEARCH("ДГУ",GC217)),"ДГУ","Ввод "&amp;GD217)))))</f>
        <v>Ввод 1</v>
      </c>
      <c r="GF217" t="str">
        <f t="shared" si="490"/>
        <v>Ввод 1</v>
      </c>
      <c r="GG217" t="str">
        <f>IF(BP217=0,"",IF(TRIM(AG217&amp;"")&lt;&gt;"",TRIM(AG217&amp;""),IF(OR(GE217="ИБП",GE217="ДГУ"),"I особая",_xlfn.XLOOKUP(A217,Щиты[Щит],Щиты[Категория шины «Ввод»],"III"))))</f>
        <v/>
      </c>
      <c r="GH217" t="str">
        <f>IF(A217="","",_xlfn.XLOOKUP(A217,Щиты[Щит],Щиты[Путь],""))</f>
        <v>|ГРЩ-ЖД|ЩР-01|</v>
      </c>
      <c r="GI217" t="str">
        <f>IF(B217="","",IF(AI217&lt;&gt;"",AI217,IF(IFERROR(_xlfn.XLOOKUP(BC217,Коды_код,Коды_вид)&amp;"","")="","Прочее",_xlfn.XLOOKUP(BC217,Коды_код,Коды_вид)&amp;"")))</f>
        <v>Розеточная сеть и бытовые приборы</v>
      </c>
      <c r="GJ217">
        <f>IF(BM217="","",INT((BM217-1)/Столбцов_на_лист)+1)</f>
        <v>3</v>
      </c>
      <c r="GK217" t="str">
        <f t="shared" si="491"/>
        <v>ВВГнг(А)-LS (3х2,5) L=54-0,11%</v>
      </c>
      <c r="GL217">
        <f t="shared" si="492"/>
        <v>0.06</v>
      </c>
      <c r="GM217">
        <f t="shared" si="493"/>
        <v>0.28000000000000003</v>
      </c>
      <c r="GN217">
        <f t="shared" si="494"/>
        <v>1</v>
      </c>
      <c r="GO217">
        <f t="shared" si="495"/>
        <v>0</v>
      </c>
      <c r="GP217">
        <f t="shared" si="496"/>
        <v>1</v>
      </c>
      <c r="GQ217">
        <f>IF(BM217="","",IF(AND(CG217=1,GP217=1),COUNTIFS(A$3:A217,A217,CG$3:CG217,1,GP$3:GP217,1),IF(OR(OR(BA217=1,A217&lt;&gt;A216),AJ217="вручную",GP217=0),"",IF(BA217=1,"",GR216))))</f>
        <v>33</v>
      </c>
      <c r="GR217">
        <f t="shared" si="497"/>
        <v>33</v>
      </c>
      <c r="GS217">
        <f>IF(B217="","",IFERROR(LOOKUP(INDEX(CHOOSE(EB217,Iдоп_1ж,Iдоп_2ж,Iдоп_3ж),MATCH(EN217,Iдоп_S,0))*DZ217*EA217,{6,10,16,20,25,32,40,50,63,80,100,125,160,200,250,315,400,500,630}),""))</f>
        <v>25</v>
      </c>
      <c r="GT217" t="str">
        <f t="shared" si="498"/>
        <v>QFD33</v>
      </c>
      <c r="GU217" t="str">
        <f t="shared" si="499"/>
        <v>QFD33</v>
      </c>
      <c r="GV217" t="str">
        <f t="shared" si="500"/>
        <v/>
      </c>
      <c r="GW217">
        <f t="shared" si="501"/>
        <v>0</v>
      </c>
      <c r="GX217" t="str">
        <f>IF(OR(B217="",DJ217=""),"",IFERROR(_xlfn.XLOOKUP(DJ217,Модули_умолч[Управление],Модули_умолч[Модель])&amp;"",""))</f>
        <v/>
      </c>
      <c r="GY217">
        <f>IF(DJ217="",1,IFERROR(MAX(0,N(_xlfn.XLOOKUP(DJ217,Модули_умолч[Управление],Модули_умолч[Каналов на линию]))),1))</f>
        <v>1</v>
      </c>
      <c r="GZ217" t="str">
        <f t="shared" si="502"/>
        <v/>
      </c>
      <c r="HA217" t="str">
        <f t="shared" si="503"/>
        <v/>
      </c>
      <c r="HB217" t="str">
        <f t="shared" si="504"/>
        <v/>
      </c>
      <c r="HC217">
        <f>IF(HB217="",0,IFERROR(N(VLOOKUP(HB217,Модули_спр,3,FALSE)),0))</f>
        <v>0</v>
      </c>
      <c r="HD217" t="str">
        <f t="shared" si="505"/>
        <v/>
      </c>
      <c r="HE217" t="str">
        <f t="shared" si="506"/>
        <v/>
      </c>
      <c r="HF217" t="str">
        <f>IF(OR(HE217="",HE217="-"),"",IFERROR(VLOOKUP(HE217,Модули_спр,2,FALSE),"R"))</f>
        <v/>
      </c>
      <c r="HG217" t="str">
        <f>IF(HF217="","",HF217&amp;"."&amp;COUNTIFS(A$3:A217,A217,HF$3:HF217,HF217))</f>
        <v/>
      </c>
      <c r="HH217" t="str">
        <f t="shared" si="507"/>
        <v/>
      </c>
      <c r="HI217" t="str">
        <f t="shared" si="508"/>
        <v/>
      </c>
      <c r="HJ217" t="str">
        <f t="shared" si="509"/>
        <v/>
      </c>
      <c r="HK217" t="str">
        <f t="shared" si="510"/>
        <v/>
      </c>
      <c r="HL217">
        <f t="shared" si="511"/>
        <v>1</v>
      </c>
      <c r="HM217" t="str">
        <f>IF(HL217=1,"XT"&amp;COUNTIFS(A$3:A217,A217,HL$3:HL217,1),"")</f>
        <v>XT33</v>
      </c>
      <c r="HN217" t="str">
        <f t="shared" si="512"/>
        <v/>
      </c>
      <c r="HO217" t="str">
        <f t="shared" si="513"/>
        <v>QFD33</v>
      </c>
      <c r="HP217" t="str">
        <f t="shared" si="514"/>
        <v/>
      </c>
      <c r="HQ217" t="str">
        <f t="shared" si="515"/>
        <v>ok</v>
      </c>
      <c r="HR217" t="str">
        <f>IF(OR(HJ217="",HH217=""),"",IF(HJ217+MAX(0,GY217-1)&gt;IFERROR(VLOOKUP(HI217,Модули_спр,3,FALSE),99),"ЛИШНИЙ КАНАЛ",IF(AND(AL217&lt;&gt;"=",GY217&gt;0,COUNTIFS(Линии[_модуль гр.],HH217,Линии[Канал (итог)],HJ217,Линии[Канал],"&lt;&gt;=",Линии[Щит],A217)&gt;1),"ДУБЛЬ КАНАЛА","")))</f>
        <v/>
      </c>
      <c r="HS217" s="6" t="str">
        <f t="shared" si="516"/>
        <v/>
      </c>
      <c r="HT217">
        <f t="shared" si="517"/>
        <v>10</v>
      </c>
      <c r="HU217" t="str">
        <f t="shared" si="518"/>
        <v/>
      </c>
      <c r="HV217">
        <f t="shared" si="519"/>
        <v>0.64939268258329752</v>
      </c>
      <c r="HW217">
        <f t="shared" si="520"/>
        <v>0</v>
      </c>
      <c r="HX217">
        <f t="shared" si="521"/>
        <v>0</v>
      </c>
      <c r="HY217">
        <f t="shared" si="522"/>
        <v>0</v>
      </c>
      <c r="HZ217">
        <f t="shared" si="523"/>
        <v>0</v>
      </c>
      <c r="IA217">
        <f t="shared" si="524"/>
        <v>0</v>
      </c>
      <c r="IB217">
        <f t="shared" si="525"/>
        <v>0</v>
      </c>
      <c r="IC217" t="str">
        <f t="shared" si="526"/>
        <v/>
      </c>
      <c r="ID217" t="str" cm="1">
        <f t="array" ref="ID217">IF(IC217="","",_xlfn.LET(_xlpm.tk,_xlfn.TEXTSPLIT(SUBSTITUTE(SUBSTITUTE(IC217,";"," "),"→"," ")," ",,TRUE),_xlpm.w_,_xlfn._xlws.FILTER(_xlpm.tk,ISNUMBER(--LEFT(_xlpm.tk,1))*((ISNUMBER(SEARCH("W",_xlpm.tk))+ISNUMBER(SEARCH("Вт",_xlpm.tk)))&gt;0),""),IFERROR(--SUBSTITUTE(SUBSTITUTE(UPPER(INDEX(_xlpm.w_,1)),"W",""),"ВТ",""),"")))</f>
        <v/>
      </c>
      <c r="IE217" t="str" cm="1">
        <f t="array" ref="IE217">IF(IC217="","",_xlfn.LET(_xlpm.tk,_xlfn.TEXTSPLIT(SUBSTITUTE(SUBSTITUTE(IC217,";"," "),"→"," ")," ",,TRUE),_xlpm.v_,_xlfn._xlws.FILTER(_xlpm.tk,ISNUMBER(--LEFT(_xlpm.tk,1))*((ISNUMBER(SEARCH("V",_xlpm.tk))+(RIGHT(UPPER(_xlpm.tk))="В"))&gt;0),""),IFERROR(--SUBSTITUTE(SUBSTITUTE(UPPER(INDEX(_xlpm.v_,1)),"V",""),"В",""),"")))</f>
        <v/>
      </c>
      <c r="IF217" s="6" t="str">
        <f>IF(OR(BV217=0,HI217="",HJ217=""),"",IFERROR(N(_xlfn.XLOOKUP(HI217,Каталог!$C$4:$C$500,Каталог!$Q$4:$Q$500)),""))</f>
        <v/>
      </c>
      <c r="IG217" s="6" t="str">
        <f>IF(N(IF217)=0,"",SUMIFS(Линии[Iр, А],Линии[Щит],A217,Линии[_модуль гр.],HH217,Линии[Канал (итог)],HJ217))</f>
        <v/>
      </c>
      <c r="IH217" t="str">
        <f>IF(AND(B217="",HO217=""),"",_xlfn.TEXTJOIN("; ",TRUE,IF(AND(B217&lt;&gt;"",FV217=""),"нет фазы",""),IF(AND(B217&lt;&gt;"",N(GL217)=0,FG217&lt;&gt;"Нет"),"нет мощности",""),IF(AND(HN217&lt;&gt;"",COUNTIFS(Линии[Щит],A217,Линии[Клемма (итог)],HN217)&gt;1),"дубль клеммы "&amp;HN217,""),IF(AND(HQ217&lt;&gt;"",HQ217&lt;&gt;"ok"),HQ217,""),IF(HR217&lt;&gt;"",HR217,""),IF(AND(N(CB217)&gt;=4,N(BX217)=1),CB217&amp;" жил на 1 фазе",""),IF(AND(BC217="R",CG217=1,IF(CS217&lt;&gt;"",N(CV217)&gt;30,OR(N(DA217)=0,N(DA217)&gt;30))),"розетка без дифзащиты до 30 мА",""),IF(AND(CG217=1,N(DA217)&gt;0,ISNUMBER(T217)),IF(T217&gt;N(DA217)/3,"ток утечки "&amp;FIXED(T217,1)&amp;" мА &gt; 1/3 уставки ("&amp;DA217&amp;" мА)",""),""),IF(AND(CH217=1,CS217=""),"«узо»: нет строки с УЗО выше (УЗО 2P 40А 30мА в «Аппаратах»)",""),IF(AND(CS217&lt;&gt;"",CS217=BA217),IF(CT217="","впишите номинал УЗО (УЗО 2P 40А 30мА)",IF(N(CT217)&lt;N(DT217),"УЗО "&amp;CT217&amp;" А &lt; автомата "&amp;DT217&amp;" А перед ним",IF(N(CT217)&lt;N(CX217),"УЗО "&amp;CT217&amp;" А &lt; тока блока "&amp;FIXED(CX217,1)&amp;" А",""))),""),IF(AND(CS217&lt;&gt;"",CS217=BA217,ISNUMBER(CY217)),IF(CY217&gt;N(CV217)/3,"ток утечки блока УЗО "&amp;FIXED(CY217,1)&amp;" мА &gt; 1/3 уставки ("&amp;CV217&amp;" мА)",""),""),IF(AND(CG217=1,N(BV217)+N(IB217)&gt;0,IC217=""),"линии до 50 В без БП: впишите в «Аппараты» (БП 24V 480W)",""),IF(AND(CG217=1,ISNUMBER(ID217),ISNUMBER(U217)),IF(U217&gt;ID217,"БП "&amp;ID217&amp;" Вт &lt; нужно "&amp;U217&amp;" Вт (×"&amp;Запас_БП&amp;")",""),""),IF(AND(CG217=1,ISNUMBER(IE217),N(BV217)=1),IF(IE217&lt;&gt;N(BU217),"БП на "&amp;IE217&amp;" В, линия "&amp;BU217&amp;" В",""),""),IF(AND(N(IF217)&gt;0,N(IG217)&gt;N(IF217)),HH217&amp;" канал "&amp;HJ217&amp;": "&amp;FIXED(IG217,1)&amp;" А &gt; "&amp;IF217&amp;" А",""),IFERROR(IF(AND(ISNUMBER(Q217),Q217&gt;EL217),"потери "&amp;FIXED(Q217,1)&amp;" % &gt; "&amp;EL217&amp;" %",""),""),IFERROR(IF(LEFT(HU217,4)="мало","Iкз мало — отключение &gt; 0,4 с",""),""),IF(AND(B217&lt;&gt;"",BM217=""),"не на схеме",""),IF(AND(CG217=0,B217&lt;&gt;"",FV217&lt;&gt;"",IF(BA217=1,"",FW216)&lt;&gt;"",FV217&lt;&gt;IF(BA217=1,"",FW216)),"фаза не как у автомата группы ("&amp;IF(BA217=1,"",FW216)&amp;")","")))</f>
        <v/>
      </c>
      <c r="II217" s="6">
        <f>IF(OR(CG217=0,DQ217=""),"",_xlfn.LET(_xlpm.t,IFERROR(_xlfn.XLOOKUP(DQ217,Каталог!$U$4:$U$500,Каталог!$G$4:$G$500),""),_xlpm.k,SEARCH("кА",_xlpm.t),IFERROR(--TRIM(RIGHT(SUBSTITUTE(MID(_xlpm.t,MAX(1,_xlpm.k-4),_xlpm.k-MAX(1,_xlpm.k-4))," ",REPT(" ",9)),5)),"")))</f>
        <v>6</v>
      </c>
      <c r="IJ217" t="str">
        <f>IF(OR(II217="",CG217=0),"",IF(_xlfn.XLOOKUP(A217,Щиты[Щит],Щиты[Iкз max на шинах, кА],"")="","",IF(II217&lt;_xlfn.XLOOKUP(A217,Щиты[Щит],Щиты[Iкз max на шинах, кА]),"Icu "&amp;II217&amp;" кА &lt; Iкз max","ok")))</f>
        <v/>
      </c>
      <c r="IK217" t="str">
        <f t="shared" si="527"/>
        <v/>
      </c>
      <c r="IL217" t="str">
        <f t="shared" si="528"/>
        <v>QFD33</v>
      </c>
      <c r="IM217" t="str">
        <f t="shared" si="529"/>
        <v>QFD33|кабель ВВГнг(А)-LS (3х2,5) → Розеточная группа, пом. 022</v>
      </c>
      <c r="IN217" t="str" cm="1">
        <f t="array" ref="IN217">IF(IM217="","",_xlfn.LET(_xlpm.nd,_xlfn.TEXTSPLIT(IM217,"|"),IF(COLUMNS(_xlpm.nd)&gt;1,A217&amp;"¦"&amp;INDEX(_xlpm.nd,1)&amp;"¦"&amp;INDEX(_xlpm.nd,2),"")))</f>
        <v>ЩР-01¦QFD33¦кабель ВВГнг(А)-LS (3х2,5) → Розеточная группа, пом. 022</v>
      </c>
      <c r="IO217" t="str">
        <f t="shared" si="530"/>
        <v>R.0.022.1¦Розеточная группа, пом. 022</v>
      </c>
      <c r="IP217" t="str" cm="1">
        <f t="array" ref="IP217">IF(IM217="","",_xlfn.LET(_xlpm.nd,_xlfn.TEXTSPLIT(IM217,"|"),IF(COLUMNS(_xlpm.nd)&gt;2,A217&amp;"¦"&amp;INDEX(_xlpm.nd,2)&amp;"¦"&amp;INDEX(_xlpm.nd,3),"")))</f>
        <v/>
      </c>
      <c r="IQ217" t="str">
        <f t="shared" si="531"/>
        <v/>
      </c>
      <c r="IR217" t="str" cm="1">
        <f t="array" ref="IR217">IF(IM217="","",_xlfn.LET(_xlpm.nd,_xlfn.TEXTSPLIT(IM217,"|"),IF(COLUMNS(_xlpm.nd)&gt;3,A217&amp;"¦"&amp;INDEX(_xlpm.nd,3)&amp;"¦"&amp;INDEX(_xlpm.nd,4),"")))</f>
        <v/>
      </c>
      <c r="IS217" t="str">
        <f t="shared" si="532"/>
        <v/>
      </c>
      <c r="IT217" t="str" cm="1">
        <f t="array" ref="IT217">IF(IM217="","",_xlfn.LET(_xlpm.nd,_xlfn.TEXTSPLIT(IM217,"|"),IF(COLUMNS(_xlpm.nd)&gt;4,A217&amp;"¦"&amp;INDEX(_xlpm.nd,4)&amp;"¦"&amp;INDEX(_xlpm.nd,5),"")))</f>
        <v/>
      </c>
      <c r="IU217" t="str">
        <f t="shared" si="533"/>
        <v/>
      </c>
      <c r="IV217" t="str" cm="1">
        <f t="array" ref="IV217">IF(IM217="","",_xlfn.LET(_xlpm.nd,_xlfn.TEXTSPLIT(IM217,"|"),IF(COLUMNS(_xlpm.nd)&gt;5,A217&amp;"¦"&amp;INDEX(_xlpm.nd,5)&amp;"¦"&amp;INDEX(_xlpm.nd,6),"")))</f>
        <v/>
      </c>
      <c r="IW217" t="str">
        <f t="shared" si="534"/>
        <v/>
      </c>
      <c r="IX217" t="str" cm="1">
        <f t="array" ref="IX217">IF(IM217="","",_xlfn.LET(_xlpm.nd,_xlfn.TEXTSPLIT(IM217,"|"),IF(COLUMNS(_xlpm.nd)&gt;6,A217&amp;"¦"&amp;INDEX(_xlpm.nd,6)&amp;"¦"&amp;INDEX(_xlpm.nd,7),"")))</f>
        <v/>
      </c>
      <c r="IY217" t="str">
        <f t="shared" si="535"/>
        <v/>
      </c>
      <c r="IZ217" t="str">
        <f t="shared" si="536"/>
        <v/>
      </c>
      <c r="JA217" t="str">
        <f t="shared" si="537"/>
        <v>QFD33</v>
      </c>
      <c r="JB217">
        <f t="shared" si="538"/>
        <v>0</v>
      </c>
      <c r="JC217">
        <f t="shared" si="539"/>
        <v>1</v>
      </c>
      <c r="JD217" t="str">
        <f t="shared" si="540"/>
        <v/>
      </c>
      <c r="JE217" t="str">
        <f t="shared" si="541"/>
        <v/>
      </c>
      <c r="JF217" t="str">
        <f t="shared" si="542"/>
        <v/>
      </c>
      <c r="JG217" t="str">
        <f t="shared" si="543"/>
        <v/>
      </c>
      <c r="JH217" t="str">
        <f>IF(B217="","",IFERROR(_xlfn.XLOOKUP(B217,Коды_код,Коды_уго),IFERROR(_xlfn.XLOOKUP(BC217,Коды_код,Коды_уго),IFERROR(_xlfn.XLOOKUP(LEFT(BC217,2),Коды_код,Коды_уго),""))))</f>
        <v>Розетка</v>
      </c>
      <c r="JI217" t="str">
        <f>IF(B217="","",IF(OR(JH217="",JH217=0),"BOX",IFERROR(IF(VLOOKUP(JH217,УГО_блоки,3,FALSE)&amp;""&lt;&gt;"",VLOOKUP(JH217,УГО_блоки,3,FALSE),VLOOKUP(JH217,УГО_блоки,2,FALSE)),JH217)))</f>
        <v>SOCKET</v>
      </c>
      <c r="JJ217">
        <f t="shared" si="544"/>
        <v>1</v>
      </c>
      <c r="JK217" t="str">
        <f>IF(DQ217="","",IF(COUNTIF(DQ$3:DQ217,DQ217)=1,MAX(JK$2:JK216)+1,""))</f>
        <v/>
      </c>
      <c r="JL217" t="str">
        <f>IF(DE217="","",IF(COUNTIF(DE$3:DE217,DE217)+COUNTIF(DF$2:DF216,DE217)+COUNTIF(DG$2:DG216,DE217)=1,MAX(JL$2:JN216)+1,""))</f>
        <v/>
      </c>
      <c r="JM217" t="str">
        <f>IF(DF217="","",IF(COUNTIF(DE$3:DE217,DF217)+COUNTIF(DF$3:DF217,DF217)+COUNTIF(DG$2:DG216,DF217)=1,MAX(JL$2:JN216,JL217)+1,""))</f>
        <v/>
      </c>
      <c r="JN217" t="str">
        <f>IF(DG217="","",IF(COUNTIF(DE$3:DE217,DG217)+COUNTIF(DF$3:DF217,DG217)+COUNTIF(DG$3:DG217,DG217)=1,MAX(JL$2:JN216,JL217,JM217)+1,""))</f>
        <v/>
      </c>
      <c r="JO217" t="str">
        <f t="shared" si="545"/>
        <v>3х2,5</v>
      </c>
      <c r="JP217" t="str">
        <f>IF(JO217="","",IF(COUNTIF(JO$3:JO217,JO217)=1,MAX(JP$2:JP216)+1,""))</f>
        <v/>
      </c>
      <c r="JQ217" t="str">
        <f>IF(HG217="","",COUNTIF(HG$3:HG217,"?*"))</f>
        <v/>
      </c>
      <c r="JR217" t="str">
        <f>IF(OR(HG217="",HI217=""),"",IF(COUNTIFS(HG$3:HG217,"?*",HI$3:HI217,HI217)=1,MAX(JR$2:JR216)+1,""))</f>
        <v/>
      </c>
      <c r="JS217">
        <f t="shared" si="546"/>
        <v>0</v>
      </c>
      <c r="JT217">
        <f>IF(B217="","",COUNTIF(B$3:B217,"?*"))</f>
        <v>215</v>
      </c>
      <c r="JU217">
        <f>IF(HL217&lt;&gt;1,0,_xlfn.LET(_xlpm.k,MAX(IFERROR(--_xlfn.XLOOKUP(B217,Коды_код,Коды_3L),0),IFERROR(--_xlfn.XLOOKUP(BC217,Коды_код,Коды_3L),0),IFERROR(--_xlfn.XLOOKUP(LEFT(BC217,2),Коды_код,Коды_3L),0)),IF(_xlpm.k&gt;0,_xlpm.k,IF(IFERROR(--LEFT(SUBSTITUTE(JO217,"x","х"),FIND("х",SUBSTITUTE(JO217,"x","х"))-1),3)&gt;3,Каталог!$S$9,1))))</f>
        <v>1</v>
      </c>
      <c r="JV217">
        <f t="shared" si="547"/>
        <v>0</v>
      </c>
      <c r="JW217" t="str">
        <f t="shared" si="548"/>
        <v>авто</v>
      </c>
      <c r="JX217">
        <f t="shared" si="549"/>
        <v>30</v>
      </c>
      <c r="JY217">
        <f t="shared" si="550"/>
        <v>1</v>
      </c>
      <c r="JZ217">
        <f t="shared" si="551"/>
        <v>1</v>
      </c>
    </row>
    <row r="218" spans="1:286" x14ac:dyDescent="0.3">
      <c r="A218" t="s">
        <v>755</v>
      </c>
      <c r="B218" t="s">
        <v>1525</v>
      </c>
      <c r="C218" t="str">
        <f>Линии[[#This Row],[_авто наименование]]</f>
        <v>Розеточная группа, пом. 012A</v>
      </c>
      <c r="D218">
        <v>3</v>
      </c>
      <c r="E218">
        <v>0.18</v>
      </c>
      <c r="G218" t="str">
        <f>Линии[[#This Row],[_авто автомат]]</f>
        <v>2P С16А 30мА</v>
      </c>
      <c r="H218" t="str">
        <f>Линии[[#This Row],[_авто управление]]</f>
        <v/>
      </c>
      <c r="I218" t="str">
        <f>Линии[[#This Row],[_авто аппараты]]</f>
        <v/>
      </c>
      <c r="J218">
        <v>2.5</v>
      </c>
      <c r="K218">
        <v>48</v>
      </c>
      <c r="L218">
        <v>1</v>
      </c>
      <c r="M218" t="s">
        <v>484</v>
      </c>
      <c r="N218" t="str">
        <f t="shared" si="414"/>
        <v/>
      </c>
      <c r="O218" s="6" cm="1">
        <f t="array" ref="O218">IF(B218="","",IF(BH218&lt;&gt;"",IFERROR(_xlfn.XLOOKUP(BH218,Щиты[Щит],Щиты[Iр, А]),""),IF(BP218=1,IF(OR(N(_xlfn.XLOOKUP(A218,Щиты[Щит],Щиты[Вводов],1))&lt;=1,LOWER(TRIM(_xlfn.XLOOKUP(A218,Щиты[Щит],Щиты[АВР],"")&amp;""))="да"),IFERROR(_xlfn.XLOOKUP(A218,Щиты[Щит],Щиты[Iр, А]),""),IFERROR(N(BS218)*_xlfn.XLOOKUP(A218,Щиты[Щит],Щиты[Кс итог])/(SQRT(3)*Uн_лин*_xlfn.XLOOKUP(A218,Щиты[Щит],Щиты[cos φ])),"")),IF(BV218=1,IFERROR(BS218*1000/BU218,""),IFERROR(_xlfn.IFS(BX218=1,BS218/((Uн_лин/SQRT(3))*CE218),BX218=3,BS218/(SQRT(3)*Uн_лин*CE218)),"")))))</f>
        <v>0.8204451193747313</v>
      </c>
      <c r="P218" s="7">
        <f>IF(B218="","",IFERROR(IF(VLOOKUP(BC218,Потребители_обозначение,4,FALSE)=1,VLOOKUP(BC218,Потребители_обозначение,3,FALSE)*(MAX(1,N(D218))*2-1)+EI218+VLOOKUP(BE218,Этаж_обозначение,3,FALSE)+VLOOKUP(BE218,Этаж_обозначение,4,FALSE),VLOOKUP(BC218,Потребители_обозначение,3,FALSE)*(MAX(1,N(D218))*2-1)+EI218),EI218))</f>
        <v>63</v>
      </c>
      <c r="Q218" s="6">
        <f t="shared" si="415"/>
        <v>0.82000000000000006</v>
      </c>
      <c r="R218" t="str">
        <f t="shared" si="416"/>
        <v>ВВГнг(А)-LS (3х2,5)</v>
      </c>
      <c r="S218" t="str">
        <f>IF(BM218="","",IF(BN218="вводной узел","узел ","")&amp;"л."&amp;(INT((BM218-1)/Столбцов_на_лист)+1)&amp;" / "&amp;(MOD(BM218-1,Столбцов_на_лист)+1))</f>
        <v>л.3 / 12</v>
      </c>
      <c r="T218" s="119">
        <f t="shared" si="417"/>
        <v>1</v>
      </c>
      <c r="U218" s="7" t="str">
        <f>IF(OR(CG218=0,N(BV218)+N(IB218)=0),"",ROUNDUP(Запас_БП*(N(HY218)+N(HZ218)),0))</f>
        <v/>
      </c>
      <c r="V218" s="119" t="str">
        <f t="shared" si="418"/>
        <v/>
      </c>
      <c r="W218" s="7" t="str">
        <f>IFERROR(IF(OR(B218="",BP218=1,BV218=1,NOT(ISNUMBER(EN218)),N(DT218)=0),"",MAX(0,ROUNDDOWN((c_min*(Uн_лин*1000/SQRT(3))/(HT218*N(DT218))-_xlfn.XLOOKUP(A218,Щиты[Щит],Щиты[Zпетли на шинах, Ом]))*EN218/(2*ρкз_Cu),0))),"")</f>
        <v/>
      </c>
      <c r="Y218">
        <f>Линии[[#This Row],[_авто утечка]]</f>
        <v>30</v>
      </c>
      <c r="Z218">
        <v>1</v>
      </c>
      <c r="AA218">
        <v>230</v>
      </c>
      <c r="AB218" t="s">
        <v>562</v>
      </c>
      <c r="AG218" t="s">
        <v>810</v>
      </c>
      <c r="AI218" t="s">
        <v>561</v>
      </c>
      <c r="AK218" t="str">
        <f>Линии[[#This Row],[_авто модуль]]</f>
        <v/>
      </c>
      <c r="AM218">
        <v>46</v>
      </c>
      <c r="AN218" t="s">
        <v>11</v>
      </c>
      <c r="AO218">
        <v>3</v>
      </c>
      <c r="AQ218">
        <v>9</v>
      </c>
      <c r="AR218">
        <v>54</v>
      </c>
      <c r="BA218" cm="1">
        <f t="array" ref="BA218">ROW()-ROW(Линии[#Headers])</f>
        <v>216</v>
      </c>
      <c r="BC218" s="6" t="str">
        <f t="shared" si="419"/>
        <v>R</v>
      </c>
      <c r="BD218" t="str">
        <f t="shared" si="420"/>
        <v>0.012A.2</v>
      </c>
      <c r="BE218" t="str">
        <f t="shared" si="421"/>
        <v>0</v>
      </c>
      <c r="BF218" t="str">
        <f t="shared" si="422"/>
        <v>012A.2</v>
      </c>
      <c r="BG218" t="str">
        <f t="shared" si="423"/>
        <v>012A</v>
      </c>
      <c r="BH218" t="str">
        <f>IF(X218&lt;&gt;"",X218,IF(AND(B218&lt;&gt;"",B218&lt;&gt;A218,ISNUMBER(_xlfn.XMATCH(B218,Щиты[Щит]))),B218,""))</f>
        <v/>
      </c>
      <c r="BI218" t="str" cm="1">
        <f t="array" ref="BI218">IF(B218="","",IF(BH218&lt;&gt;"","Щит "&amp;BH218,_xlfn.LET(_xlpm.nm,IFERROR(_xlfn.XLOOKUP(BC218,Коды_код,Коды_имя)&amp;"",""),_xlpm.md,IFERROR(N(_xlfn.XLOOKUP(BC218,Коды_код,Коды_режим)),1),_xlpm.ex,IF(Имя_режим="по экспликации",IFERROR(_xlfn.XLOOKUP(BE218&amp;"|"&amp;BG218,Экспликация[Этаж]&amp;"|"&amp;Экспликация[Помещение],Экспликация[Название])&amp;"",""),""),_xlpm.rm,IF(BG218="","",IF(_xlpm.ex&lt;&gt;"",". "&amp;_xlpm.ex&amp;IF(Имя_пом="нет"," ("&amp;BG218&amp;")"," (пом. "&amp;BG218&amp;")"),IF(Имя_пом="нет"," ",", пом. ")&amp;BG218)),IF(_xlpm.nm="","",IF(_xlpm.md=2,_xlpm.nm&amp;" шлейф "&amp;BE218,_xlpm.nm&amp;_xlpm.rm)))))</f>
        <v>Розеточная группа, пом. 012A</v>
      </c>
      <c r="BJ218" t="str">
        <f t="shared" si="424"/>
        <v>Розеточная группа, пом. 012A</v>
      </c>
      <c r="BK218">
        <f>IFERROR(_xlfn.XMATCH(A218,Щиты[Щит]),0)</f>
        <v>9</v>
      </c>
      <c r="BL218">
        <f>_xlfn.LET(_xlpm.k,IFERROR(_xlfn.XLOOKUP(A218,Щиты[Щит],Щиты[Мест под вводной узел]),""),IF(_xlpm.k="",Столбцов_на_лист,N(_xlpm.k)))</f>
        <v>8</v>
      </c>
      <c r="BM218">
        <f t="shared" si="425"/>
        <v>46</v>
      </c>
      <c r="BN218" t="str">
        <f t="shared" si="426"/>
        <v>линии</v>
      </c>
      <c r="BO218" s="6">
        <f>IFERROR(N(_xlfn.XLOOKUP(BC218,Коды_код,Коды_квт)),0)</f>
        <v>0</v>
      </c>
      <c r="BP218">
        <f t="shared" si="427"/>
        <v>0</v>
      </c>
      <c r="BQ218" t="str">
        <f>IF(B218="","",IF(BH218&lt;&gt;"",IFERROR(_xlfn.XLOOKUP(BH218,Щиты[Щит],Щиты[Руст, кВт]),0),IF(BP218=1,IF(OR(N(_xlfn.XLOOKUP(A218,Щиты[Щит],Щиты[Вводов],1))&lt;=1,LOWER(TRIM(_xlfn.XLOOKUP(A218,Щиты[Щит],Щиты[АВР],"")&amp;""))="да"),IFERROR(_xlfn.XLOOKUP(A218,Щиты[Щит],Щиты[Руст, кВт]),0),SUMIFS(Линии[_Р для вводов],Линии[Щит],A218,Линии[Источник для режимов],GF218)),IF(BO218&gt;0,ROUND(BO218*MAX(1,N(D218)),3),""))))</f>
        <v/>
      </c>
      <c r="BR218">
        <f t="shared" si="428"/>
        <v>0.18</v>
      </c>
      <c r="BS218" s="6">
        <f>IF(B218="","",IF(BH218&lt;&gt;"",IFERROR(_xlfn.XLOOKUP(BH218,Щиты[Щит],Щиты[Руст, кВт]),0),N(BR218)))</f>
        <v>0.18</v>
      </c>
      <c r="BT218" t="str">
        <f>IF(B218="","",IFERROR(IF(VLOOKUP(BC218,Потребители_обозначение,8,FALSE)=0,"",VLOOKUP(BC218,Потребители_обозначение,8,FALSE)),""))</f>
        <v/>
      </c>
      <c r="BU218">
        <f t="shared" si="429"/>
        <v>230</v>
      </c>
      <c r="BV218">
        <f t="shared" si="430"/>
        <v>0</v>
      </c>
      <c r="BW218">
        <f>IF(B218="","",IF(BH218&lt;&gt;"",3,IFERROR(IF(N(VLOOKUP(BC218,Потребители_обозначение,9,FALSE))=0,1,VLOOKUP(BC218,Потребители_обозначение,9,FALSE)),1)))</f>
        <v>1</v>
      </c>
      <c r="BX218">
        <f t="shared" si="431"/>
        <v>1</v>
      </c>
      <c r="BY218" t="str">
        <f>IF(B218="","",_xlfn.LET(_xlpm.bc,IFERROR(IF(VLOOKUP(BC218,Потребители_обозначение,6,FALSE)=0,"",VLOOKUP(BC218,Потребители_обозначение,6,FALSE)&amp;""),""),IF(AND(GA218="да",OR(_xlpm.bc="",_xlpm.bc="мс")),Марка_пож,IF(AND(_xlpm.bc="",BH218&lt;&gt;""),"мс",_xlpm.bc))))</f>
        <v/>
      </c>
      <c r="BZ218" t="str">
        <f t="shared" si="432"/>
        <v>мс</v>
      </c>
      <c r="CA218">
        <f>IF(B218="","",_xlfn.LET(_xlpm.cc,IFERROR(N(VLOOKUP(BC218,Потребители_обозначение,7,FALSE)),0),IF(_xlpm.cc&gt;0,_xlpm.cc,IF(BZ218="","",IF(BV218=1,2,IF(N(BX218)=3,5,3))))))</f>
        <v>3</v>
      </c>
      <c r="CB218">
        <f t="shared" si="433"/>
        <v>3</v>
      </c>
      <c r="CC218">
        <f>IFERROR(N(VLOOKUP(BC218,Потребители_обозначение,10,FALSE)),0)</f>
        <v>0</v>
      </c>
      <c r="CD218">
        <f>IFERROR(VLOOKUP(BC218,Потребители_обозначение,5,FALSE),0)</f>
        <v>1</v>
      </c>
      <c r="CE218" s="6" cm="1">
        <f t="array" ref="CE218">IF(B218="","",IF(BH218&lt;&gt;"",IFERROR(_xlfn.XLOOKUP(BH218,Щиты[Щит],Щиты[cos φ]),0.95),IF(BP218=1,IFERROR(_xlfn.XLOOKUP(A218,Щиты[Щит],Щиты[cos φ]),0.95),IF(ISNUMBER(AD218),AD218,IFERROR(IF(CD218=2,_xlfn.IFS(BX218=3,VLOOKUP(BS218,Справочная_двигатели,8,FALSE),BX218=1,VLOOKUP(BS218,Справочная_двигатели,10,TRUE)),IF(AND(Методика="нормы 2026",FG218="Сил"),0.8,0.95)),0.95)))))</f>
        <v>0.95</v>
      </c>
      <c r="CF218">
        <f t="shared" si="434"/>
        <v>0</v>
      </c>
      <c r="CG218">
        <f t="shared" si="435"/>
        <v>1</v>
      </c>
      <c r="CH218">
        <f t="shared" si="436"/>
        <v>0</v>
      </c>
      <c r="CI218">
        <f>IF(B218="","",IF(BV218=1,IFERROR(BS218/((Uн_лин/SQRT(3))*MAX(0.5,N(CE218))),0),N(O218)))</f>
        <v>0.8204451193747313</v>
      </c>
      <c r="CJ218">
        <f t="shared" si="437"/>
        <v>0</v>
      </c>
      <c r="CK218">
        <f t="shared" si="438"/>
        <v>0</v>
      </c>
      <c r="CL218">
        <f t="shared" si="439"/>
        <v>0</v>
      </c>
      <c r="CM218">
        <f t="shared" si="440"/>
        <v>0</v>
      </c>
      <c r="CN218">
        <f t="shared" si="441"/>
        <v>0</v>
      </c>
      <c r="CO218">
        <f>IF(BC218="",0,_xlfn.LET(_xlpm.v,IFERROR(_xlfn.XLOOKUP(B218,Коды_код,Коды_мА),IFERROR(_xlfn.XLOOKUP(BC218,Коды_код,Коды_мА),IFERROR(_xlfn.XLOOKUP(LEFT(BC218,2),Коды_код,Коды_мА),""))),IF(_xlpm.v="да",30,IF(ISNUMBER(_xlpm.v),_xlpm.v,0))))</f>
        <v>30</v>
      </c>
      <c r="CP218">
        <f t="shared" si="442"/>
        <v>30</v>
      </c>
      <c r="CQ218" t="str">
        <f>_xlfn.LET(_xlpm.k,IFERROR(_xlfn.XLOOKUP(BC218,Коды_код,Коды_утечка)&amp;"",""),IF(_xlpm.k="","дифавтомат",_xlpm.k))</f>
        <v>дифавтомат</v>
      </c>
      <c r="CR218" t="str" cm="1">
        <f t="array" ref="CR218">IF(CG218=0,"",_xlfn.LET(_xlpm.sg,TRIM(_xlfn.TEXTSPLIT(DD218&amp;"",";")),_xlpm.f_,_xlfn._xlws.FILTER(_xlpm.sg,LEFT(_xlpm.sg,3)="УЗО",""),IFERROR(INDEX(_xlpm.f_,1)&amp;"","")))</f>
        <v/>
      </c>
      <c r="CS218" t="str">
        <f t="shared" si="443"/>
        <v/>
      </c>
      <c r="CT218" s="6" t="str" cm="1">
        <f t="array" ref="CT218">IF(CR218="","",_xlfn.LET(_xlpm.tk,_xlfn.TEXTSPLIT(UPPER(CR218)," ",,TRUE),_xlpm.a_,_xlfn._xlws.FILTER(_xlpm.tk,ISNUMBER(--LEFT(_xlpm.tk,1))*((ISNUMBER(SEARCH("А",_xlpm.tk))+ISNUMBER(SEARCH("A",_xlpm.tk)))&gt;0)*NOT(ISNUMBER(SEARCH("МА",_xlpm.tk)))*NOT(ISNUMBER(SEARCH("MA",_xlpm.tk))),""),IFERROR(--SUBSTITUTE(SUBSTITUTE(INDEX(_xlpm.a_,1),"А",""),"A",""),"")))</f>
        <v/>
      </c>
      <c r="CU218" t="str" cm="1">
        <f t="array" ref="CU218">IF(CR218="","",_xlfn.LET(_xlpm.tk,_xlfn.TEXTSPLIT(UPPER(CR218)," ",,TRUE),_xlpm.a_,_xlfn._xlws.FILTER(_xlpm.tk,ISNUMBER(--LEFT(_xlpm.tk,1))*((ISNUMBER(SEARCH("МА",_xlpm.tk))+ISNUMBER(SEARCH("MA",_xlpm.tk)))&gt;0),""),IFERROR(--SUBSTITUTE(SUBSTITUTE(INDEX(_xlpm.a_,1),"МА",""),"MA",""),30)))</f>
        <v/>
      </c>
      <c r="CV218" t="str">
        <f>IF(CS218="","",IFERROR(_xlfn.XLOOKUP(CS218,Линии[_n],Линии[_УЗО, мА]),30))</f>
        <v/>
      </c>
      <c r="CW218">
        <f>IF(CS218="",0,IF(ISNUMBER(SEARCH("4P",IFERROR(_xlfn.XLOOKUP(CS218,Линии[_n],Линии[_УЗО строки])&amp;"",""))),0,1))</f>
        <v>0</v>
      </c>
      <c r="CX218" t="str">
        <f>IF(AND(CS218&lt;&gt;"",CS218=BA218),SUMIFS(Линии[_ток на 230 В],Линии[_блок УЗО],BA218,Линии[Щит],A218),"")</f>
        <v/>
      </c>
      <c r="CY218" t="str">
        <f>IF(AND(CS218&lt;&gt;"",CS218=BA218),SUMIFS(Линии[_ток утечки линии, мА],Линии[_блок УЗО],BA218,Линии[Щит],A218),"")</f>
        <v/>
      </c>
      <c r="CZ218">
        <f t="shared" si="444"/>
        <v>30</v>
      </c>
      <c r="DA218">
        <f t="shared" si="445"/>
        <v>30</v>
      </c>
      <c r="DB218">
        <f>IF(B218="",0,IFERROR(--_xlfn.XLOOKUP(B218,Коды_код,Коды_минавт),IFERROR(--_xlfn.XLOOKUP(BC218,Коды_код,Коды_минавт),IFERROR(--_xlfn.XLOOKUP(LEFT(BC218,2),Коды_код,Коды_минавт),0))))</f>
        <v>16</v>
      </c>
      <c r="DC218" t="str">
        <f>IF(B218="","",IFERROR(_xlfn.XLOOKUP(BC218,Коды_код,Коды_апп)&amp;"",""))</f>
        <v/>
      </c>
      <c r="DD218" t="str">
        <f t="shared" si="446"/>
        <v/>
      </c>
      <c r="DE218" t="str" cm="1">
        <f t="array" ref="DE218">IF(TRIM(DD218&amp;"")="","",IFERROR(TRIM(INDEX(_xlfn.TEXTSPLIT(DD218&amp;";;;",";"),1)),""))</f>
        <v/>
      </c>
      <c r="DF218" t="str" cm="1">
        <f t="array" ref="DF218">IF(TRIM(DD218&amp;"")="","",IFERROR(TRIM(INDEX(_xlfn.TEXTSPLIT(DD218&amp;";;;",";"),2)),""))</f>
        <v/>
      </c>
      <c r="DG218" t="str" cm="1">
        <f t="array" ref="DG218">IF(TRIM(DD218&amp;"")="","",IFERROR(TRIM(INDEX(_xlfn.TEXTSPLIT(DD218&amp;";;;",";"),3)),""))</f>
        <v/>
      </c>
      <c r="DH218">
        <f t="shared" si="447"/>
        <v>0</v>
      </c>
      <c r="DI218" t="str">
        <f>IF(B218="","",_xlfn.LET(_xlpm.t,LOWER(AZ218&amp;""),IF(ISNUMBER(SEARCH("dim",_xlpm.t)),"DIM",IF(ISNUMBER(SEARCH("dali",_xlpm.t)),"DALI",IF(OR(ISNUMBER(SEARCH("relay",_xlpm.t)),ISNUMBER(SEARCH("реле",_xlpm.t))),"Relay",IF(ISNUMBER(SEARCH("кнопк",_xlpm.t)),"",IFERROR(_xlfn.XLOOKUP(BC218,Коды_код,Коды_упр)&amp;"","")))))))</f>
        <v/>
      </c>
      <c r="DJ218" t="str">
        <f t="shared" si="448"/>
        <v/>
      </c>
      <c r="DK218">
        <f>IF(B218="","",_xlfn.LET(_xlpm.ig,IF(N(CX218)&gt;0,N(CX218),N(CI218)+IF(AJ218="вручную",0,N(CJ218))),_xlpm.n0,IFERROR(VLOOKUP(_xlpm.ig,Автомат_номиналы,2,TRUE),0),_xlpm.mn,MAX(DB218,IF(AJ218="вручную",0,N(CM218))),MAX(_xlpm.n0,_xlpm.mn,IF(DH218=1,Мин_автомат_БП,0))))</f>
        <v>16</v>
      </c>
      <c r="DL218">
        <f t="shared" si="449"/>
        <v>1</v>
      </c>
      <c r="DM218" t="str">
        <f t="shared" si="450"/>
        <v>2P</v>
      </c>
      <c r="DN218" t="str">
        <f>_xlfn.LET(_xlpm.cc,UPPER(TRIM(IFERROR(_xlfn.XLOOKUP(BC218,Коды_код,Коды_хар)&amp;"",""))),IF(OR(_xlpm.cc="B",_xlpm.cc="В"),"B",IF(_xlpm.cc="D","D","С")))</f>
        <v>С</v>
      </c>
      <c r="DO218" t="str">
        <f t="shared" si="451"/>
        <v>2P С16А 30мА</v>
      </c>
      <c r="DP218" t="str">
        <f t="shared" si="452"/>
        <v>2P С16А 30мА</v>
      </c>
      <c r="DQ218" t="str">
        <f t="shared" si="453"/>
        <v>2P С16А 30мА</v>
      </c>
      <c r="DR218" cm="1">
        <f t="array" ref="DR218">IF(DQ218="","",_xlfn.LET(_xlpm.t,SUBSTITUTE(SUBSTITUTE(SUBSTITUTE(UPPER(DQ218),"С","C"),"А","A"),"В","B"),_xlpm.tk,_xlfn.TEXTSPLIT(_xlpm.t," "),_xlpm.f,_xlfn._xlws.FILTER(_xlpm.tk,ISNUMBER(--MID(_xlpm.tk,2,1))*ISNUMBER(SEARCH(LEFT(_xlpm.tk,1)&amp;"#","B#C#D#"))*(LEN(_xlpm.tk)&gt;1),""),_xlpm.x,INDEX(_xlpm.f,1),IFERROR(--SUBSTITUTE(MID(_xlpm.x,2,9),"A",""),IFERROR(--SUBSTITUTE(INDEX(_xlfn._xlws.FILTER(_xlpm.tk,ISNUMBER(--SUBSTITUTE(_xlpm.tk,"A","")),""),1),"A",""),""))))</f>
        <v>16</v>
      </c>
      <c r="DS218" t="str">
        <f t="shared" si="454"/>
        <v>ok</v>
      </c>
      <c r="DT218">
        <f t="shared" si="455"/>
        <v>16</v>
      </c>
      <c r="DU218" t="str">
        <f t="shared" si="456"/>
        <v>2P С16А 30мА</v>
      </c>
      <c r="DV218">
        <f t="shared" si="457"/>
        <v>30</v>
      </c>
      <c r="DW218">
        <f t="shared" si="458"/>
        <v>1</v>
      </c>
      <c r="DX218">
        <f t="shared" si="459"/>
        <v>0</v>
      </c>
      <c r="DY218">
        <f t="shared" si="460"/>
        <v>0.8204451193747313</v>
      </c>
      <c r="DZ218">
        <f t="shared" si="461"/>
        <v>1</v>
      </c>
      <c r="EA218">
        <f>IF(ISNUMBER(AP218),AP218,К_прокл)</f>
        <v>1</v>
      </c>
      <c r="EB218">
        <f t="shared" si="462"/>
        <v>2</v>
      </c>
      <c r="EC218">
        <f>IFERROR(N(VLOOKUP(BZ218,Кабель_обозначение,3,FALSE)),1)</f>
        <v>1</v>
      </c>
      <c r="ED218">
        <f>IFERROR(N(_xlfn.XLOOKUP(A218,Щиты[Щит],Щиты[ΔU до шин, %])),0)</f>
        <v>0.43</v>
      </c>
      <c r="EE218" t="str">
        <f>IFERROR(_xlfn.XLOOKUP(A218,Щиты[Щит],Щиты[Zпетли на шинах, Ом]),"")</f>
        <v/>
      </c>
      <c r="EF218">
        <f>IFERROR(N(_xlfn.XLOOKUP(A218,Щиты[Щит],Щиты[ΔU до шин (подбор), %])),0)</f>
        <v>0.43</v>
      </c>
      <c r="EG218" t="str">
        <f>IFERROR(_xlfn.XLOOKUP(A218,Щиты[Щит],Щиты[Zпетли на шинах (подбор), Ом]),"")</f>
        <v/>
      </c>
      <c r="EH218" t="str">
        <f t="shared" si="463"/>
        <v/>
      </c>
      <c r="EI218">
        <f t="shared" si="464"/>
        <v>48</v>
      </c>
      <c r="EJ218">
        <f t="shared" si="465"/>
        <v>2</v>
      </c>
      <c r="EK218">
        <f t="shared" si="466"/>
        <v>0.31</v>
      </c>
      <c r="EL218" s="6">
        <f>IF(B218="","",IF(BV218=1,dU_LED,IF(IFERROR(_xlfn.XLOOKUP(BC218,Коды_код,Коды_уго),"")="Светильник",3,4)+IF(Методика="нормы 2026",MIN(0.5,MAX(0,N(P218)-100)*0.005),0)))</f>
        <v>4</v>
      </c>
      <c r="EM218" cm="1">
        <f t="array" ref="EM218">IF(OR(B218="",BZ218="",EC218&lt;&gt;1),"",_xlfn.LET(_xlpm.sz,Iдоп_S,_xlpm.t_,CHOOSE(EB218,Iдоп_1ж,Iдоп_2ж,Iдоп_3ж)*DZ218*EA218,_xlpm.dcx,BV218=1,_xlpm.inn,IF(_xlpm.dcx,N(O218),N(DT218)),_xlpm.smin,MAX(1.5,CC218),_xlpm.L_,N(P218)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218)/N(BU218)*100,999),IFERROR(N(EJ218)*(_xlpm.rho*_xlpm.L_/_xlpm.sz*N(CE218)+_xlpm.xx*_xlpm.L_*N(EK218)/1000)*N(O218)/((Uн_лин/SQRT(3))*1000)*100,999)),_xlpm.kz,IF(OR(_xlpm.dcx,DW218=1,NOT(ISNUMBER(EG218)),_xlpm.L_=0,_xlpm.inn=0),1,IFERROR(--(c_min*(Uн_лин*1000/SQRT(3))/(EG218+2*ρкз_Cu*_xlpm.L_/_xlpm.sz)&gt;=HT218*_xlpm.inn),0)),_xlpm.ok,IFERROR((_xlpm.sz&gt;=_xlpm.smin)*(_xlpm.t_&gt;=_xlpm.inn)*IF(_xlpm.L_&gt;0,(_xlpm.du_+IF(_xlpm.dcx,0,EF218)&lt;=EL218+0.00001),1)*_xlpm.kz,0),_xlpm.r_,_xlfn._xlws.FILTER(_xlpm.sz,_xlpm.ok,"не подобрано"),INDEX(_xlpm.r_,1)))</f>
        <v>1.5</v>
      </c>
      <c r="EN218">
        <f t="shared" si="467"/>
        <v>2.5</v>
      </c>
      <c r="EO218" cm="1">
        <f t="array" ref="EO218">IF(OR(B218="",BZ218="",EC218&lt;&gt;1),"",_xlfn.LET(_xlpm.sz,Iдоп_S,_xlpm.t_,CHOOSE(EB218,Iдоп_1ж,Iдоп_2ж,Iдоп_3ж)*DZ218*EA218,_xlpm.ok,IFERROR((_xlpm.sz&gt;=MAX(1.5,CC218))*(_xlpm.t_&gt;=N(DT218)),0),_xlpm.r_,_xlfn._xlws.FILTER(_xlpm.sz,_xlpm.ok,""),INDEX(_xlpm.r_,1)))</f>
        <v>1.5</v>
      </c>
      <c r="EP218" s="6" cm="1">
        <f t="array" ref="EP218">IFERROR(ROUNDUP(N(EJ218)*(_xlfn.XLOOKUP(EO218,INDEX(Кабель_сопротивление,0,1),INDEX(Кабель_сопротивление,0,3))*N(P218)/EO218*N(CE218)+_xlfn.XLOOKUP(EO218,INDEX(Кабель_сопротивление,0,1),INDEX(Кабель_сопротивление,0,2))*N(P218)*N(EK218)/1000)*N(O218)/((Uн_лин/SQRT(3))*1000)*100,2),"")</f>
        <v>0.64</v>
      </c>
      <c r="EQ218">
        <f>IFERROR(2*ρкз_Cu*N(P218)/EO218,"")</f>
        <v>2.2092000000000001</v>
      </c>
      <c r="ER218">
        <f>IFERROR(VLOOKUP(EN218,Кабель_сопротивление,3,FALSE),"")</f>
        <v>2.2499999999999999E-2</v>
      </c>
      <c r="ES218">
        <f>IFERROR(VLOOKUP(EN218,Кабель_сопротивление,2,FALSE),"")</f>
        <v>0.1</v>
      </c>
      <c r="ET218">
        <f t="shared" si="468"/>
        <v>54</v>
      </c>
      <c r="EU218" t="str">
        <f t="shared" si="469"/>
        <v/>
      </c>
      <c r="EV218">
        <f t="shared" si="470"/>
        <v>0.88707018573867569</v>
      </c>
      <c r="EW218" s="6">
        <f>IFERROR(ROUNDUP(EV218/IF(BV218=1,BU218,(Uн_лин/SQRT(3))*1000)*100,2),"")</f>
        <v>0.39</v>
      </c>
      <c r="EX218" t="str">
        <f>IFERROR(VLOOKUP(BZ218,Кабель_обозначение,2,FALSE),"")</f>
        <v>ВВГнг(А)-LS</v>
      </c>
      <c r="EY218" t="str">
        <f t="shared" si="471"/>
        <v>ВВГнг(А)-LS (3х2,5)</v>
      </c>
      <c r="EZ218" t="str">
        <f t="shared" si="472"/>
        <v>ВВГнг(А)-LS (3х2,5)
L=63-0,39%</v>
      </c>
      <c r="FA218">
        <f>IFERROR(2*ρкз_Cu*P218/EN218,"")</f>
        <v>1.32552</v>
      </c>
      <c r="FB218">
        <f t="shared" si="473"/>
        <v>0.441</v>
      </c>
      <c r="FC218" s="6" t="str">
        <f>IFERROR(IF(OR(B218="",BV218=1,NOT(ISNUMBER(EN218)),N(P218)=0),"",_xlfn.XLOOKUP(A218,Щиты[Щит],Щиты[Zпетли на шинах, Ом])+FA218),"")</f>
        <v/>
      </c>
      <c r="FD218" s="6" t="str">
        <f>IF(ISNUMBER(FC218),c_min*(Uн_лин*1000/SQRT(3))/FC218,"")</f>
        <v/>
      </c>
      <c r="FE218" s="6" t="str">
        <f>IFERROR(IF(OR(B218="",NOT(ISNUMBER(EN218))),"",1.05*(Uн_лин*1000/SQRT(3))/(_xlfn.XLOOKUP(A218,Щиты[Щит],Щиты[Zmax на шинах, Ом])+FB218)/1000),"")</f>
        <v/>
      </c>
      <c r="FF218" s="6" t="str">
        <f>IF(B218="","",IF(ISNUMBER(AC218),"Сил",IF(IFERROR(_xlfn.XLOOKUP(BC218,Коды_код,Коды_группа)&amp;"","")="","Быт",_xlfn.XLOOKUP(BC218,Коды_код,Коды_группа)&amp;"")))</f>
        <v>Быт</v>
      </c>
      <c r="FG218" s="6" t="str">
        <f t="shared" si="474"/>
        <v>Быт</v>
      </c>
      <c r="FH218" s="6">
        <f>IF(FG218="Щит","щит",IF(FG218="","",IF(FG218="Быт",IFERROR(_xlfn.XLOOKUP(A218,Щиты[Щит],Щиты[Кс быт]),1),IF(FG218="Сил",IF(ISNUMBER(AC218),AC218,IF(Методика="нормы 2026",IFERROR(_xlfn.XLOOKUP(A218,Щиты[Щит],Щиты[Кс силовых (табл. 7.5)]),1),1)),IF(OR(FG218="Пост",FG218="Отоп"),1,IF(FG218="ВНГ",0.7,0))))))</f>
        <v>0.79799999999999993</v>
      </c>
      <c r="FI218">
        <f>IF(FG218="","",IF(AND(BP218=1,TRIM(AE218&amp;"")=""),IF(COUNTIFS(Линии[Щит],A218,Линии[Секция (1/2/3)],"&gt;=2")&gt;0,MIN(3,MAX(1,IFERROR(--BD218,1))),1),IFERROR(MIN(3,MAX(1,INT(--AE218))),1)))</f>
        <v>1</v>
      </c>
      <c r="FJ218">
        <f t="shared" si="475"/>
        <v>0.18</v>
      </c>
      <c r="FK218">
        <f t="shared" si="476"/>
        <v>0.18</v>
      </c>
      <c r="FL218">
        <f t="shared" si="477"/>
        <v>0</v>
      </c>
      <c r="FM218">
        <f t="shared" si="478"/>
        <v>0</v>
      </c>
      <c r="FN218">
        <f t="shared" si="479"/>
        <v>0</v>
      </c>
      <c r="FO218">
        <f t="shared" si="480"/>
        <v>0</v>
      </c>
      <c r="FP218">
        <f t="shared" si="481"/>
        <v>0.18</v>
      </c>
      <c r="FQ218">
        <f t="shared" si="482"/>
        <v>0.18</v>
      </c>
      <c r="FR218">
        <f t="shared" si="483"/>
        <v>0.17099999999999999</v>
      </c>
      <c r="FS218">
        <f>IF(CG218=1,IF(AND(CH218=1,CW218=1),0,IF(AND(CS218&lt;&gt;"",CS218=BA218,CW218=1),SUMIFS(Линии[_Р линии, кВт],Линии[_блок УЗО],BA218,Линии[Щит],A218),N(BS218)+IF(AJ218="вручную",0,N(CK218)))),0)</f>
        <v>0.18</v>
      </c>
      <c r="FT218" t="str">
        <f t="shared" si="484"/>
        <v>L1</v>
      </c>
      <c r="FU218" t="str">
        <f>IF(B218="","",IF(CG218=0,IF(BA218=1,"",FW217),IF(AND(CH218=1,CW218=1,CS218&lt;&gt;""),IFERROR(_xlfn.XLOOKUP(CS218,Линии[_n],Линии[_фаза итог]),"L1"),IF(OR(N(DL218)&gt;=3,N(BX218)&gt;=3),"L1,L2,L3",IFERROR(_xlfn.TEXTBEFORE(_xlfn.TEXTAFTER(_xlfn.XLOOKUP(A218,Щиты[Щит],Щиты[_фазы авто]),";"&amp;BA218&amp;":"),";"),"L1")))))</f>
        <v>L1</v>
      </c>
      <c r="FV218" t="str">
        <f t="shared" si="485"/>
        <v>L1</v>
      </c>
      <c r="FW218" t="str">
        <f t="shared" si="486"/>
        <v>L1</v>
      </c>
      <c r="FX218" cm="1">
        <f t="array" ref="FX218">IFERROR(IF(CD218=2,_xlfn.IFS(BX218=3,VLOOKUP(BS218,Справочная_двигатели,3,FALSE),BX218=1,VLOOKUP(BS218,Справочная_двигатели,5,TRUE)),0),0)</f>
        <v>0</v>
      </c>
      <c r="FY218">
        <f>IFERROR(IF(CD218=3,VLOOKUP(BS218,Справочная_ЛЭД,2,TRUE),0),0)</f>
        <v>0</v>
      </c>
      <c r="FZ218" s="6">
        <f t="shared" si="487"/>
        <v>0</v>
      </c>
      <c r="GA218" t="str">
        <f>IF(B218="","",IF(TRIM(AH218&amp;"")&lt;&gt;"",IF(LOWER(TRIM(AH218&amp;""))="да","да","нет"),IF(IFERROR(_xlfn.XLOOKUP(BC218,Коды_код,Коды_пожарная),"")="да","да","нет")))</f>
        <v>нет</v>
      </c>
      <c r="GB218" t="str">
        <f t="shared" si="488"/>
        <v/>
      </c>
      <c r="GC218" t="str">
        <f t="shared" si="489"/>
        <v>основная</v>
      </c>
      <c r="GD218">
        <f>IF(AND(BP218=1,TRIM(AE218&amp;"")=""),IF(COUNTIFS(Линии[Щит],A218,Линии[Секция (1/2/3)],"&gt;=2")&gt;0,MIN(3,MAX(1,IFERROR(--BD218,1))),1),IFERROR(MIN(3,MAX(1,INT(--AE218))),1))</f>
        <v>1</v>
      </c>
      <c r="GE218" t="str" cm="1">
        <f t="array" ref="GE218">IF(B218="","",_xlfn.LET(_xlpm.t,IFERROR(_xlfn.XLOOKUP(1,(Шины[Шина]=GC218)*(((Шины[Щит]=A218)+(Шины[Щит]=""))&gt;0),Шины[Тип]),"")&amp;"",IF(_xlpm.t&lt;&gt;"",_xlpm.t,IF(ISNUMBER(SEARCH("ИБП",GC218)),"ИБП",IF(ISNUMBER(SEARCH("ДГУ",GC218)),"ДГУ","Ввод "&amp;GD218)))))</f>
        <v>Ввод 1</v>
      </c>
      <c r="GF218" t="str">
        <f t="shared" si="490"/>
        <v>Ввод 1</v>
      </c>
      <c r="GG218" t="str">
        <f>IF(BP218=0,"",IF(TRIM(AG218&amp;"")&lt;&gt;"",TRIM(AG218&amp;""),IF(OR(GE218="ИБП",GE218="ДГУ"),"I особая",_xlfn.XLOOKUP(A218,Щиты[Щит],Щиты[Категория шины «Ввод»],"III"))))</f>
        <v/>
      </c>
      <c r="GH218" t="str">
        <f>IF(A218="","",_xlfn.XLOOKUP(A218,Щиты[Щит],Щиты[Путь],""))</f>
        <v>|ГРЩ-ЖД|ЩР-01|</v>
      </c>
      <c r="GI218" t="str">
        <f>IF(B218="","",IF(AI218&lt;&gt;"",AI218,IF(IFERROR(_xlfn.XLOOKUP(BC218,Коды_код,Коды_вид)&amp;"","")="","Прочее",_xlfn.XLOOKUP(BC218,Коды_код,Коды_вид)&amp;"")))</f>
        <v>Розеточная сеть и бытовые приборы</v>
      </c>
      <c r="GJ218">
        <f>IF(BM218="","",INT((BM218-1)/Столбцов_на_лист)+1)</f>
        <v>3</v>
      </c>
      <c r="GK218" t="str">
        <f t="shared" si="491"/>
        <v>ВВГнг(А)-LS (3х2,5) L=63-0,39%</v>
      </c>
      <c r="GL218">
        <f t="shared" si="492"/>
        <v>0.18</v>
      </c>
      <c r="GM218">
        <f t="shared" si="493"/>
        <v>0.83</v>
      </c>
      <c r="GN218">
        <f t="shared" si="494"/>
        <v>1</v>
      </c>
      <c r="GO218">
        <f t="shared" si="495"/>
        <v>0</v>
      </c>
      <c r="GP218">
        <f t="shared" si="496"/>
        <v>1</v>
      </c>
      <c r="GQ218">
        <f>IF(BM218="","",IF(AND(CG218=1,GP218=1),COUNTIFS(A$3:A218,A218,CG$3:CG218,1,GP$3:GP218,1),IF(OR(OR(BA218=1,A218&lt;&gt;A217),AJ218="вручную",GP218=0),"",IF(BA218=1,"",GR217))))</f>
        <v>34</v>
      </c>
      <c r="GR218">
        <f t="shared" si="497"/>
        <v>34</v>
      </c>
      <c r="GS218">
        <f>IF(B218="","",IFERROR(LOOKUP(INDEX(CHOOSE(EB218,Iдоп_1ж,Iдоп_2ж,Iдоп_3ж),MATCH(EN218,Iдоп_S,0))*DZ218*EA218,{6,10,16,20,25,32,40,50,63,80,100,125,160,200,250,315,400,500,630}),""))</f>
        <v>25</v>
      </c>
      <c r="GT218" t="str">
        <f t="shared" si="498"/>
        <v>QFD34</v>
      </c>
      <c r="GU218" t="str">
        <f t="shared" si="499"/>
        <v>QFD34</v>
      </c>
      <c r="GV218" t="str">
        <f t="shared" si="500"/>
        <v/>
      </c>
      <c r="GW218">
        <f t="shared" si="501"/>
        <v>0</v>
      </c>
      <c r="GX218" t="str">
        <f>IF(OR(B218="",DJ218=""),"",IFERROR(_xlfn.XLOOKUP(DJ218,Модули_умолч[Управление],Модули_умолч[Модель])&amp;"",""))</f>
        <v/>
      </c>
      <c r="GY218">
        <f>IF(DJ218="",1,IFERROR(MAX(0,N(_xlfn.XLOOKUP(DJ218,Модули_умолч[Управление],Модули_умолч[Каналов на линию]))),1))</f>
        <v>1</v>
      </c>
      <c r="GZ218" t="str">
        <f t="shared" si="502"/>
        <v/>
      </c>
      <c r="HA218" t="str">
        <f t="shared" si="503"/>
        <v/>
      </c>
      <c r="HB218" t="str">
        <f t="shared" si="504"/>
        <v/>
      </c>
      <c r="HC218">
        <f>IF(HB218="",0,IFERROR(N(VLOOKUP(HB218,Модули_спр,3,FALSE)),0))</f>
        <v>0</v>
      </c>
      <c r="HD218" t="str">
        <f t="shared" si="505"/>
        <v/>
      </c>
      <c r="HE218" t="str">
        <f t="shared" si="506"/>
        <v/>
      </c>
      <c r="HF218" t="str">
        <f>IF(OR(HE218="",HE218="-"),"",IFERROR(VLOOKUP(HE218,Модули_спр,2,FALSE),"R"))</f>
        <v/>
      </c>
      <c r="HG218" t="str">
        <f>IF(HF218="","",HF218&amp;"."&amp;COUNTIFS(A$3:A218,A218,HF$3:HF218,HF218))</f>
        <v/>
      </c>
      <c r="HH218" t="str">
        <f t="shared" si="507"/>
        <v/>
      </c>
      <c r="HI218" t="str">
        <f t="shared" si="508"/>
        <v/>
      </c>
      <c r="HJ218" t="str">
        <f t="shared" si="509"/>
        <v/>
      </c>
      <c r="HK218" t="str">
        <f t="shared" si="510"/>
        <v/>
      </c>
      <c r="HL218">
        <f t="shared" si="511"/>
        <v>1</v>
      </c>
      <c r="HM218" t="str">
        <f>IF(HL218=1,"XT"&amp;COUNTIFS(A$3:A218,A218,HL$3:HL218,1),"")</f>
        <v>XT34</v>
      </c>
      <c r="HN218" t="str">
        <f t="shared" si="512"/>
        <v/>
      </c>
      <c r="HO218" t="str">
        <f t="shared" si="513"/>
        <v>QFD34</v>
      </c>
      <c r="HP218" t="str">
        <f t="shared" si="514"/>
        <v/>
      </c>
      <c r="HQ218" t="str">
        <f t="shared" si="515"/>
        <v>ok</v>
      </c>
      <c r="HR218" t="str">
        <f>IF(OR(HJ218="",HH218=""),"",IF(HJ218+MAX(0,GY218-1)&gt;IFERROR(VLOOKUP(HI218,Модули_спр,3,FALSE),99),"ЛИШНИЙ КАНАЛ",IF(AND(AL218&lt;&gt;"=",GY218&gt;0,COUNTIFS(Линии[_модуль гр.],HH218,Линии[Канал (итог)],HJ218,Линии[Канал],"&lt;&gt;=",Линии[Щит],A218)&gt;1),"ДУБЛЬ КАНАЛА","")))</f>
        <v/>
      </c>
      <c r="HS218" s="6" t="str">
        <f t="shared" si="516"/>
        <v/>
      </c>
      <c r="HT218">
        <f t="shared" si="517"/>
        <v>10</v>
      </c>
      <c r="HU218" t="str">
        <f t="shared" si="518"/>
        <v/>
      </c>
      <c r="HV218">
        <f t="shared" si="519"/>
        <v>0.95817804774989257</v>
      </c>
      <c r="HW218">
        <f t="shared" si="520"/>
        <v>0</v>
      </c>
      <c r="HX218">
        <f t="shared" si="521"/>
        <v>0</v>
      </c>
      <c r="HY218">
        <f t="shared" si="522"/>
        <v>0</v>
      </c>
      <c r="HZ218">
        <f t="shared" si="523"/>
        <v>0</v>
      </c>
      <c r="IA218">
        <f t="shared" si="524"/>
        <v>0</v>
      </c>
      <c r="IB218">
        <f t="shared" si="525"/>
        <v>0</v>
      </c>
      <c r="IC218" t="str">
        <f t="shared" si="526"/>
        <v/>
      </c>
      <c r="ID218" t="str" cm="1">
        <f t="array" ref="ID218">IF(IC218="","",_xlfn.LET(_xlpm.tk,_xlfn.TEXTSPLIT(SUBSTITUTE(SUBSTITUTE(IC218,";"," "),"→"," ")," ",,TRUE),_xlpm.w_,_xlfn._xlws.FILTER(_xlpm.tk,ISNUMBER(--LEFT(_xlpm.tk,1))*((ISNUMBER(SEARCH("W",_xlpm.tk))+ISNUMBER(SEARCH("Вт",_xlpm.tk)))&gt;0),""),IFERROR(--SUBSTITUTE(SUBSTITUTE(UPPER(INDEX(_xlpm.w_,1)),"W",""),"ВТ",""),"")))</f>
        <v/>
      </c>
      <c r="IE218" t="str" cm="1">
        <f t="array" ref="IE218">IF(IC218="","",_xlfn.LET(_xlpm.tk,_xlfn.TEXTSPLIT(SUBSTITUTE(SUBSTITUTE(IC218,";"," "),"→"," ")," ",,TRUE),_xlpm.v_,_xlfn._xlws.FILTER(_xlpm.tk,ISNUMBER(--LEFT(_xlpm.tk,1))*((ISNUMBER(SEARCH("V",_xlpm.tk))+(RIGHT(UPPER(_xlpm.tk))="В"))&gt;0),""),IFERROR(--SUBSTITUTE(SUBSTITUTE(UPPER(INDEX(_xlpm.v_,1)),"V",""),"В",""),"")))</f>
        <v/>
      </c>
      <c r="IF218" s="6" t="str">
        <f>IF(OR(BV218=0,HI218="",HJ218=""),"",IFERROR(N(_xlfn.XLOOKUP(HI218,Каталог!$C$4:$C$500,Каталог!$Q$4:$Q$500)),""))</f>
        <v/>
      </c>
      <c r="IG218" s="6" t="str">
        <f>IF(N(IF218)=0,"",SUMIFS(Линии[Iр, А],Линии[Щит],A218,Линии[_модуль гр.],HH218,Линии[Канал (итог)],HJ218))</f>
        <v/>
      </c>
      <c r="IH218" t="str">
        <f>IF(AND(B218="",HO218=""),"",_xlfn.TEXTJOIN("; ",TRUE,IF(AND(B218&lt;&gt;"",FV218=""),"нет фазы",""),IF(AND(B218&lt;&gt;"",N(GL218)=0,FG218&lt;&gt;"Нет"),"нет мощности",""),IF(AND(HN218&lt;&gt;"",COUNTIFS(Линии[Щит],A218,Линии[Клемма (итог)],HN218)&gt;1),"дубль клеммы "&amp;HN218,""),IF(AND(HQ218&lt;&gt;"",HQ218&lt;&gt;"ok"),HQ218,""),IF(HR218&lt;&gt;"",HR218,""),IF(AND(N(CB218)&gt;=4,N(BX218)=1),CB218&amp;" жил на 1 фазе",""),IF(AND(BC218="R",CG218=1,IF(CS218&lt;&gt;"",N(CV218)&gt;30,OR(N(DA218)=0,N(DA218)&gt;30))),"розетка без дифзащиты до 30 мА",""),IF(AND(CG218=1,N(DA218)&gt;0,ISNUMBER(T218)),IF(T218&gt;N(DA218)/3,"ток утечки "&amp;FIXED(T218,1)&amp;" мА &gt; 1/3 уставки ("&amp;DA218&amp;" мА)",""),""),IF(AND(CH218=1,CS218=""),"«узо»: нет строки с УЗО выше (УЗО 2P 40А 30мА в «Аппаратах»)",""),IF(AND(CS218&lt;&gt;"",CS218=BA218),IF(CT218="","впишите номинал УЗО (УЗО 2P 40А 30мА)",IF(N(CT218)&lt;N(DT218),"УЗО "&amp;CT218&amp;" А &lt; автомата "&amp;DT218&amp;" А перед ним",IF(N(CT218)&lt;N(CX218),"УЗО "&amp;CT218&amp;" А &lt; тока блока "&amp;FIXED(CX218,1)&amp;" А",""))),""),IF(AND(CS218&lt;&gt;"",CS218=BA218,ISNUMBER(CY218)),IF(CY218&gt;N(CV218)/3,"ток утечки блока УЗО "&amp;FIXED(CY218,1)&amp;" мА &gt; 1/3 уставки ("&amp;CV218&amp;" мА)",""),""),IF(AND(CG218=1,N(BV218)+N(IB218)&gt;0,IC218=""),"линии до 50 В без БП: впишите в «Аппараты» (БП 24V 480W)",""),IF(AND(CG218=1,ISNUMBER(ID218),ISNUMBER(U218)),IF(U218&gt;ID218,"БП "&amp;ID218&amp;" Вт &lt; нужно "&amp;U218&amp;" Вт (×"&amp;Запас_БП&amp;")",""),""),IF(AND(CG218=1,ISNUMBER(IE218),N(BV218)=1),IF(IE218&lt;&gt;N(BU218),"БП на "&amp;IE218&amp;" В, линия "&amp;BU218&amp;" В",""),""),IF(AND(N(IF218)&gt;0,N(IG218)&gt;N(IF218)),HH218&amp;" канал "&amp;HJ218&amp;": "&amp;FIXED(IG218,1)&amp;" А &gt; "&amp;IF218&amp;" А",""),IFERROR(IF(AND(ISNUMBER(Q218),Q218&gt;EL218),"потери "&amp;FIXED(Q218,1)&amp;" % &gt; "&amp;EL218&amp;" %",""),""),IFERROR(IF(LEFT(HU218,4)="мало","Iкз мало — отключение &gt; 0,4 с",""),""),IF(AND(B218&lt;&gt;"",BM218=""),"не на схеме",""),IF(AND(CG218=0,B218&lt;&gt;"",FV218&lt;&gt;"",IF(BA218=1,"",FW217)&lt;&gt;"",FV218&lt;&gt;IF(BA218=1,"",FW217)),"фаза не как у автомата группы ("&amp;IF(BA218=1,"",FW217)&amp;")","")))</f>
        <v/>
      </c>
      <c r="II218" s="6">
        <f>IF(OR(CG218=0,DQ218=""),"",_xlfn.LET(_xlpm.t,IFERROR(_xlfn.XLOOKUP(DQ218,Каталог!$U$4:$U$500,Каталог!$G$4:$G$500),""),_xlpm.k,SEARCH("кА",_xlpm.t),IFERROR(--TRIM(RIGHT(SUBSTITUTE(MID(_xlpm.t,MAX(1,_xlpm.k-4),_xlpm.k-MAX(1,_xlpm.k-4))," ",REPT(" ",9)),5)),"")))</f>
        <v>6</v>
      </c>
      <c r="IJ218" t="str">
        <f>IF(OR(II218="",CG218=0),"",IF(_xlfn.XLOOKUP(A218,Щиты[Щит],Щиты[Iкз max на шинах, кА],"")="","",IF(II218&lt;_xlfn.XLOOKUP(A218,Щиты[Щит],Щиты[Iкз max на шинах, кА]),"Icu "&amp;II218&amp;" кА &lt; Iкз max","ok")))</f>
        <v/>
      </c>
      <c r="IK218" t="str">
        <f t="shared" si="527"/>
        <v/>
      </c>
      <c r="IL218" t="str">
        <f t="shared" si="528"/>
        <v>QFD34</v>
      </c>
      <c r="IM218" t="str">
        <f t="shared" si="529"/>
        <v>QFD34|кабель ВВГнг(А)-LS (3х2,5) → Розеточная группа, пом. 012A</v>
      </c>
      <c r="IN218" t="str" cm="1">
        <f t="array" ref="IN218">IF(IM218="","",_xlfn.LET(_xlpm.nd,_xlfn.TEXTSPLIT(IM218,"|"),IF(COLUMNS(_xlpm.nd)&gt;1,A218&amp;"¦"&amp;INDEX(_xlpm.nd,1)&amp;"¦"&amp;INDEX(_xlpm.nd,2),"")))</f>
        <v>ЩР-01¦QFD34¦кабель ВВГнг(А)-LS (3х2,5) → Розеточная группа, пом. 012A</v>
      </c>
      <c r="IO218" t="str">
        <f t="shared" si="530"/>
        <v>R.0.012A.2¦Розеточная группа, пом. 012A</v>
      </c>
      <c r="IP218" t="str" cm="1">
        <f t="array" ref="IP218">IF(IM218="","",_xlfn.LET(_xlpm.nd,_xlfn.TEXTSPLIT(IM218,"|"),IF(COLUMNS(_xlpm.nd)&gt;2,A218&amp;"¦"&amp;INDEX(_xlpm.nd,2)&amp;"¦"&amp;INDEX(_xlpm.nd,3),"")))</f>
        <v/>
      </c>
      <c r="IQ218" t="str">
        <f t="shared" si="531"/>
        <v/>
      </c>
      <c r="IR218" t="str" cm="1">
        <f t="array" ref="IR218">IF(IM218="","",_xlfn.LET(_xlpm.nd,_xlfn.TEXTSPLIT(IM218,"|"),IF(COLUMNS(_xlpm.nd)&gt;3,A218&amp;"¦"&amp;INDEX(_xlpm.nd,3)&amp;"¦"&amp;INDEX(_xlpm.nd,4),"")))</f>
        <v/>
      </c>
      <c r="IS218" t="str">
        <f t="shared" si="532"/>
        <v/>
      </c>
      <c r="IT218" t="str" cm="1">
        <f t="array" ref="IT218">IF(IM218="","",_xlfn.LET(_xlpm.nd,_xlfn.TEXTSPLIT(IM218,"|"),IF(COLUMNS(_xlpm.nd)&gt;4,A218&amp;"¦"&amp;INDEX(_xlpm.nd,4)&amp;"¦"&amp;INDEX(_xlpm.nd,5),"")))</f>
        <v/>
      </c>
      <c r="IU218" t="str">
        <f t="shared" si="533"/>
        <v/>
      </c>
      <c r="IV218" t="str" cm="1">
        <f t="array" ref="IV218">IF(IM218="","",_xlfn.LET(_xlpm.nd,_xlfn.TEXTSPLIT(IM218,"|"),IF(COLUMNS(_xlpm.nd)&gt;5,A218&amp;"¦"&amp;INDEX(_xlpm.nd,5)&amp;"¦"&amp;INDEX(_xlpm.nd,6),"")))</f>
        <v/>
      </c>
      <c r="IW218" t="str">
        <f t="shared" si="534"/>
        <v/>
      </c>
      <c r="IX218" t="str" cm="1">
        <f t="array" ref="IX218">IF(IM218="","",_xlfn.LET(_xlpm.nd,_xlfn.TEXTSPLIT(IM218,"|"),IF(COLUMNS(_xlpm.nd)&gt;6,A218&amp;"¦"&amp;INDEX(_xlpm.nd,6)&amp;"¦"&amp;INDEX(_xlpm.nd,7),"")))</f>
        <v/>
      </c>
      <c r="IY218" t="str">
        <f t="shared" si="535"/>
        <v/>
      </c>
      <c r="IZ218" t="str">
        <f t="shared" si="536"/>
        <v/>
      </c>
      <c r="JA218" t="str">
        <f t="shared" si="537"/>
        <v>QFD34</v>
      </c>
      <c r="JB218">
        <f t="shared" si="538"/>
        <v>0</v>
      </c>
      <c r="JC218">
        <f t="shared" si="539"/>
        <v>1</v>
      </c>
      <c r="JD218" t="str">
        <f t="shared" si="540"/>
        <v/>
      </c>
      <c r="JE218" t="str">
        <f t="shared" si="541"/>
        <v/>
      </c>
      <c r="JF218" t="str">
        <f t="shared" si="542"/>
        <v/>
      </c>
      <c r="JG218" t="str">
        <f t="shared" si="543"/>
        <v/>
      </c>
      <c r="JH218" t="str">
        <f>IF(B218="","",IFERROR(_xlfn.XLOOKUP(B218,Коды_код,Коды_уго),IFERROR(_xlfn.XLOOKUP(BC218,Коды_код,Коды_уго),IFERROR(_xlfn.XLOOKUP(LEFT(BC218,2),Коды_код,Коды_уго),""))))</f>
        <v>Розетка</v>
      </c>
      <c r="JI218" t="str">
        <f>IF(B218="","",IF(OR(JH218="",JH218=0),"BOX",IFERROR(IF(VLOOKUP(JH218,УГО_блоки,3,FALSE)&amp;""&lt;&gt;"",VLOOKUP(JH218,УГО_блоки,3,FALSE),VLOOKUP(JH218,УГО_блоки,2,FALSE)),JH218)))</f>
        <v>SOCKET</v>
      </c>
      <c r="JJ218">
        <f t="shared" si="544"/>
        <v>1</v>
      </c>
      <c r="JK218" t="str">
        <f>IF(DQ218="","",IF(COUNTIF(DQ$3:DQ218,DQ218)=1,MAX(JK$2:JK217)+1,""))</f>
        <v/>
      </c>
      <c r="JL218" t="str">
        <f>IF(DE218="","",IF(COUNTIF(DE$3:DE218,DE218)+COUNTIF(DF$2:DF217,DE218)+COUNTIF(DG$2:DG217,DE218)=1,MAX(JL$2:JN217)+1,""))</f>
        <v/>
      </c>
      <c r="JM218" t="str">
        <f>IF(DF218="","",IF(COUNTIF(DE$3:DE218,DF218)+COUNTIF(DF$3:DF218,DF218)+COUNTIF(DG$2:DG217,DF218)=1,MAX(JL$2:JN217,JL218)+1,""))</f>
        <v/>
      </c>
      <c r="JN218" t="str">
        <f>IF(DG218="","",IF(COUNTIF(DE$3:DE218,DG218)+COUNTIF(DF$3:DF218,DG218)+COUNTIF(DG$3:DG218,DG218)=1,MAX(JL$2:JN217,JL218,JM218)+1,""))</f>
        <v/>
      </c>
      <c r="JO218" t="str">
        <f t="shared" si="545"/>
        <v>3х2,5</v>
      </c>
      <c r="JP218" t="str">
        <f>IF(JO218="","",IF(COUNTIF(JO$3:JO218,JO218)=1,MAX(JP$2:JP217)+1,""))</f>
        <v/>
      </c>
      <c r="JQ218" t="str">
        <f>IF(HG218="","",COUNTIF(HG$3:HG218,"?*"))</f>
        <v/>
      </c>
      <c r="JR218" t="str">
        <f>IF(OR(HG218="",HI218=""),"",IF(COUNTIFS(HG$3:HG218,"?*",HI$3:HI218,HI218)=1,MAX(JR$2:JR217)+1,""))</f>
        <v/>
      </c>
      <c r="JS218">
        <f t="shared" si="546"/>
        <v>0</v>
      </c>
      <c r="JT218">
        <f>IF(B218="","",COUNTIF(B$3:B218,"?*"))</f>
        <v>216</v>
      </c>
      <c r="JU218">
        <f>IF(HL218&lt;&gt;1,0,_xlfn.LET(_xlpm.k,MAX(IFERROR(--_xlfn.XLOOKUP(B218,Коды_код,Коды_3L),0),IFERROR(--_xlfn.XLOOKUP(BC218,Коды_код,Коды_3L),0),IFERROR(--_xlfn.XLOOKUP(LEFT(BC218,2),Коды_код,Коды_3L),0)),IF(_xlpm.k&gt;0,_xlpm.k,IF(IFERROR(--LEFT(SUBSTITUTE(JO218,"x","х"),FIND("х",SUBSTITUTE(JO218,"x","х"))-1),3)&gt;3,Каталог!$S$9,1))))</f>
        <v>1</v>
      </c>
      <c r="JV218">
        <f t="shared" si="547"/>
        <v>0</v>
      </c>
      <c r="JW218" t="str">
        <f t="shared" si="548"/>
        <v>авто</v>
      </c>
      <c r="JX218">
        <f t="shared" si="549"/>
        <v>30</v>
      </c>
      <c r="JY218">
        <f t="shared" si="550"/>
        <v>1</v>
      </c>
      <c r="JZ218">
        <f t="shared" si="551"/>
        <v>1</v>
      </c>
    </row>
    <row r="219" spans="1:286" x14ac:dyDescent="0.3">
      <c r="A219" t="s">
        <v>755</v>
      </c>
      <c r="B219" t="s">
        <v>1526</v>
      </c>
      <c r="C219" t="str">
        <f>Линии[[#This Row],[_авто наименование]]</f>
        <v>Розеточная группа, пом. 020A</v>
      </c>
      <c r="D219">
        <v>1</v>
      </c>
      <c r="E219">
        <v>0.06</v>
      </c>
      <c r="G219" t="str">
        <f>Линии[[#This Row],[_авто автомат]]</f>
        <v>2P С16А 30мА</v>
      </c>
      <c r="H219" t="str">
        <f>Линии[[#This Row],[_авто управление]]</f>
        <v/>
      </c>
      <c r="I219" t="str">
        <f>Линии[[#This Row],[_авто аппараты]]</f>
        <v/>
      </c>
      <c r="J219">
        <v>2.5</v>
      </c>
      <c r="K219">
        <v>48</v>
      </c>
      <c r="L219">
        <v>1</v>
      </c>
      <c r="M219" t="s">
        <v>484</v>
      </c>
      <c r="N219" t="str">
        <f t="shared" si="414"/>
        <v/>
      </c>
      <c r="O219" s="6" cm="1">
        <f t="array" ref="O219">IF(B219="","",IF(BH219&lt;&gt;"",IFERROR(_xlfn.XLOOKUP(BH219,Щиты[Щит],Щиты[Iр, А]),""),IF(BP219=1,IF(OR(N(_xlfn.XLOOKUP(A219,Щиты[Щит],Щиты[Вводов],1))&lt;=1,LOWER(TRIM(_xlfn.XLOOKUP(A219,Щиты[Щит],Щиты[АВР],"")&amp;""))="да"),IFERROR(_xlfn.XLOOKUP(A219,Щиты[Щит],Щиты[Iр, А]),""),IFERROR(N(BS219)*_xlfn.XLOOKUP(A219,Щиты[Щит],Щиты[Кс итог])/(SQRT(3)*Uн_лин*_xlfn.XLOOKUP(A219,Щиты[Щит],Щиты[cos φ])),"")),IF(BV219=1,IFERROR(BS219*1000/BU219,""),IFERROR(_xlfn.IFS(BX219=1,BS219/((Uн_лин/SQRT(3))*CE219),BX219=3,BS219/(SQRT(3)*Uн_лин*CE219)),"")))))</f>
        <v>0.27348170645824377</v>
      </c>
      <c r="P219" s="7">
        <f>IF(B219="","",IFERROR(IF(VLOOKUP(BC219,Потребители_обозначение,4,FALSE)=1,VLOOKUP(BC219,Потребители_обозначение,3,FALSE)*(MAX(1,N(D219))*2-1)+EI219+VLOOKUP(BE219,Этаж_обозначение,3,FALSE)+VLOOKUP(BE219,Этаж_обозначение,4,FALSE),VLOOKUP(BC219,Потребители_обозначение,3,FALSE)*(MAX(1,N(D219))*2-1)+EI219),EI219))</f>
        <v>51</v>
      </c>
      <c r="Q219" s="6">
        <f t="shared" si="415"/>
        <v>0.54</v>
      </c>
      <c r="R219" t="str">
        <f t="shared" si="416"/>
        <v>ВВГнг(А)-LS (3х2,5)</v>
      </c>
      <c r="S219" t="str">
        <f>IF(BM219="","",IF(BN219="вводной узел","узел ","")&amp;"л."&amp;(INT((BM219-1)/Столбцов_на_лист)+1)&amp;" / "&amp;(MOD(BM219-1,Столбцов_на_лист)+1))</f>
        <v>л.3 / 13</v>
      </c>
      <c r="T219" s="119">
        <f t="shared" si="417"/>
        <v>0.6</v>
      </c>
      <c r="U219" s="7" t="str">
        <f>IF(OR(CG219=0,N(BV219)+N(IB219)=0),"",ROUNDUP(Запас_БП*(N(HY219)+N(HZ219)),0))</f>
        <v/>
      </c>
      <c r="V219" s="119" t="str">
        <f t="shared" si="418"/>
        <v/>
      </c>
      <c r="W219" s="7" t="str">
        <f>IFERROR(IF(OR(B219="",BP219=1,BV219=1,NOT(ISNUMBER(EN219)),N(DT219)=0),"",MAX(0,ROUNDDOWN((c_min*(Uн_лин*1000/SQRT(3))/(HT219*N(DT219))-_xlfn.XLOOKUP(A219,Щиты[Щит],Щиты[Zпетли на шинах, Ом]))*EN219/(2*ρкз_Cu),0))),"")</f>
        <v/>
      </c>
      <c r="Y219">
        <f>Линии[[#This Row],[_авто утечка]]</f>
        <v>30</v>
      </c>
      <c r="Z219">
        <v>1</v>
      </c>
      <c r="AA219">
        <v>230</v>
      </c>
      <c r="AB219" t="s">
        <v>562</v>
      </c>
      <c r="AG219" t="s">
        <v>810</v>
      </c>
      <c r="AI219" t="s">
        <v>561</v>
      </c>
      <c r="AK219" t="str">
        <f>Линии[[#This Row],[_авто модуль]]</f>
        <v/>
      </c>
      <c r="AM219">
        <v>47</v>
      </c>
      <c r="AN219" t="s">
        <v>11</v>
      </c>
      <c r="AO219">
        <v>3</v>
      </c>
      <c r="AQ219">
        <v>44</v>
      </c>
      <c r="AR219">
        <v>7</v>
      </c>
      <c r="AS219">
        <v>0</v>
      </c>
      <c r="BA219" cm="1">
        <f t="array" ref="BA219">ROW()-ROW(Линии[#Headers])</f>
        <v>217</v>
      </c>
      <c r="BC219" s="6" t="str">
        <f t="shared" si="419"/>
        <v>R</v>
      </c>
      <c r="BD219" t="str">
        <f t="shared" si="420"/>
        <v>0.020A.1</v>
      </c>
      <c r="BE219" t="str">
        <f t="shared" si="421"/>
        <v>0</v>
      </c>
      <c r="BF219" t="str">
        <f t="shared" si="422"/>
        <v>020A.1</v>
      </c>
      <c r="BG219" t="str">
        <f t="shared" si="423"/>
        <v>020A</v>
      </c>
      <c r="BH219" t="str">
        <f>IF(X219&lt;&gt;"",X219,IF(AND(B219&lt;&gt;"",B219&lt;&gt;A219,ISNUMBER(_xlfn.XMATCH(B219,Щиты[Щит]))),B219,""))</f>
        <v/>
      </c>
      <c r="BI219" t="str" cm="1">
        <f t="array" ref="BI219">IF(B219="","",IF(BH219&lt;&gt;"","Щит "&amp;BH219,_xlfn.LET(_xlpm.nm,IFERROR(_xlfn.XLOOKUP(BC219,Коды_код,Коды_имя)&amp;"",""),_xlpm.md,IFERROR(N(_xlfn.XLOOKUP(BC219,Коды_код,Коды_режим)),1),_xlpm.ex,IF(Имя_режим="по экспликации",IFERROR(_xlfn.XLOOKUP(BE219&amp;"|"&amp;BG219,Экспликация[Этаж]&amp;"|"&amp;Экспликация[Помещение],Экспликация[Название])&amp;"",""),""),_xlpm.rm,IF(BG219="","",IF(_xlpm.ex&lt;&gt;"",". "&amp;_xlpm.ex&amp;IF(Имя_пом="нет"," ("&amp;BG219&amp;")"," (пом. "&amp;BG219&amp;")"),IF(Имя_пом="нет"," ",", пом. ")&amp;BG219)),IF(_xlpm.nm="","",IF(_xlpm.md=2,_xlpm.nm&amp;" шлейф "&amp;BE219,_xlpm.nm&amp;_xlpm.rm)))))</f>
        <v>Розеточная группа, пом. 020A</v>
      </c>
      <c r="BJ219" t="str">
        <f t="shared" si="424"/>
        <v>Розеточная группа, пом. 020A</v>
      </c>
      <c r="BK219">
        <f>IFERROR(_xlfn.XMATCH(A219,Щиты[Щит]),0)</f>
        <v>9</v>
      </c>
      <c r="BL219">
        <f>_xlfn.LET(_xlpm.k,IFERROR(_xlfn.XLOOKUP(A219,Щиты[Щит],Щиты[Мест под вводной узел]),""),IF(_xlpm.k="",Столбцов_на_лист,N(_xlpm.k)))</f>
        <v>8</v>
      </c>
      <c r="BM219">
        <f t="shared" si="425"/>
        <v>47</v>
      </c>
      <c r="BN219" t="str">
        <f t="shared" si="426"/>
        <v>линии</v>
      </c>
      <c r="BO219" s="6">
        <f>IFERROR(N(_xlfn.XLOOKUP(BC219,Коды_код,Коды_квт)),0)</f>
        <v>0</v>
      </c>
      <c r="BP219">
        <f t="shared" si="427"/>
        <v>0</v>
      </c>
      <c r="BQ219" t="str">
        <f>IF(B219="","",IF(BH219&lt;&gt;"",IFERROR(_xlfn.XLOOKUP(BH219,Щиты[Щит],Щиты[Руст, кВт]),0),IF(BP219=1,IF(OR(N(_xlfn.XLOOKUP(A219,Щиты[Щит],Щиты[Вводов],1))&lt;=1,LOWER(TRIM(_xlfn.XLOOKUP(A219,Щиты[Щит],Щиты[АВР],"")&amp;""))="да"),IFERROR(_xlfn.XLOOKUP(A219,Щиты[Щит],Щиты[Руст, кВт]),0),SUMIFS(Линии[_Р для вводов],Линии[Щит],A219,Линии[Источник для режимов],GF219)),IF(BO219&gt;0,ROUND(BO219*MAX(1,N(D219)),3),""))))</f>
        <v/>
      </c>
      <c r="BR219">
        <f t="shared" si="428"/>
        <v>0.06</v>
      </c>
      <c r="BS219" s="6">
        <f>IF(B219="","",IF(BH219&lt;&gt;"",IFERROR(_xlfn.XLOOKUP(BH219,Щиты[Щит],Щиты[Руст, кВт]),0),N(BR219)))</f>
        <v>0.06</v>
      </c>
      <c r="BT219" t="str">
        <f>IF(B219="","",IFERROR(IF(VLOOKUP(BC219,Потребители_обозначение,8,FALSE)=0,"",VLOOKUP(BC219,Потребители_обозначение,8,FALSE)),""))</f>
        <v/>
      </c>
      <c r="BU219">
        <f t="shared" si="429"/>
        <v>230</v>
      </c>
      <c r="BV219">
        <f t="shared" si="430"/>
        <v>0</v>
      </c>
      <c r="BW219">
        <f>IF(B219="","",IF(BH219&lt;&gt;"",3,IFERROR(IF(N(VLOOKUP(BC219,Потребители_обозначение,9,FALSE))=0,1,VLOOKUP(BC219,Потребители_обозначение,9,FALSE)),1)))</f>
        <v>1</v>
      </c>
      <c r="BX219">
        <f t="shared" si="431"/>
        <v>1</v>
      </c>
      <c r="BY219" t="str">
        <f>IF(B219="","",_xlfn.LET(_xlpm.bc,IFERROR(IF(VLOOKUP(BC219,Потребители_обозначение,6,FALSE)=0,"",VLOOKUP(BC219,Потребители_обозначение,6,FALSE)&amp;""),""),IF(AND(GA219="да",OR(_xlpm.bc="",_xlpm.bc="мс")),Марка_пож,IF(AND(_xlpm.bc="",BH219&lt;&gt;""),"мс",_xlpm.bc))))</f>
        <v/>
      </c>
      <c r="BZ219" t="str">
        <f t="shared" si="432"/>
        <v>мс</v>
      </c>
      <c r="CA219">
        <f>IF(B219="","",_xlfn.LET(_xlpm.cc,IFERROR(N(VLOOKUP(BC219,Потребители_обозначение,7,FALSE)),0),IF(_xlpm.cc&gt;0,_xlpm.cc,IF(BZ219="","",IF(BV219=1,2,IF(N(BX219)=3,5,3))))))</f>
        <v>3</v>
      </c>
      <c r="CB219">
        <f t="shared" si="433"/>
        <v>3</v>
      </c>
      <c r="CC219">
        <f>IFERROR(N(VLOOKUP(BC219,Потребители_обозначение,10,FALSE)),0)</f>
        <v>0</v>
      </c>
      <c r="CD219">
        <f>IFERROR(VLOOKUP(BC219,Потребители_обозначение,5,FALSE),0)</f>
        <v>1</v>
      </c>
      <c r="CE219" s="6" cm="1">
        <f t="array" ref="CE219">IF(B219="","",IF(BH219&lt;&gt;"",IFERROR(_xlfn.XLOOKUP(BH219,Щиты[Щит],Щиты[cos φ]),0.95),IF(BP219=1,IFERROR(_xlfn.XLOOKUP(A219,Щиты[Щит],Щиты[cos φ]),0.95),IF(ISNUMBER(AD219),AD219,IFERROR(IF(CD219=2,_xlfn.IFS(BX219=3,VLOOKUP(BS219,Справочная_двигатели,8,FALSE),BX219=1,VLOOKUP(BS219,Справочная_двигатели,10,TRUE)),IF(AND(Методика="нормы 2026",FG219="Сил"),0.8,0.95)),0.95)))))</f>
        <v>0.95</v>
      </c>
      <c r="CF219">
        <f t="shared" si="434"/>
        <v>0</v>
      </c>
      <c r="CG219">
        <f t="shared" si="435"/>
        <v>1</v>
      </c>
      <c r="CH219">
        <f t="shared" si="436"/>
        <v>0</v>
      </c>
      <c r="CI219">
        <f>IF(B219="","",IF(BV219=1,IFERROR(BS219/((Uн_лин/SQRT(3))*MAX(0.5,N(CE219))),0),N(O219)))</f>
        <v>0.27348170645824377</v>
      </c>
      <c r="CJ219">
        <f t="shared" si="437"/>
        <v>0</v>
      </c>
      <c r="CK219">
        <f t="shared" si="438"/>
        <v>0</v>
      </c>
      <c r="CL219">
        <f t="shared" si="439"/>
        <v>0</v>
      </c>
      <c r="CM219">
        <f t="shared" si="440"/>
        <v>0</v>
      </c>
      <c r="CN219">
        <f t="shared" si="441"/>
        <v>0</v>
      </c>
      <c r="CO219">
        <f>IF(BC219="",0,_xlfn.LET(_xlpm.v,IFERROR(_xlfn.XLOOKUP(B219,Коды_код,Коды_мА),IFERROR(_xlfn.XLOOKUP(BC219,Коды_код,Коды_мА),IFERROR(_xlfn.XLOOKUP(LEFT(BC219,2),Коды_код,Коды_мА),""))),IF(_xlpm.v="да",30,IF(ISNUMBER(_xlpm.v),_xlpm.v,0))))</f>
        <v>30</v>
      </c>
      <c r="CP219">
        <f t="shared" si="442"/>
        <v>30</v>
      </c>
      <c r="CQ219" t="str">
        <f>_xlfn.LET(_xlpm.k,IFERROR(_xlfn.XLOOKUP(BC219,Коды_код,Коды_утечка)&amp;"",""),IF(_xlpm.k="","дифавтомат",_xlpm.k))</f>
        <v>дифавтомат</v>
      </c>
      <c r="CR219" t="str" cm="1">
        <f t="array" ref="CR219">IF(CG219=0,"",_xlfn.LET(_xlpm.sg,TRIM(_xlfn.TEXTSPLIT(DD219&amp;"",";")),_xlpm.f_,_xlfn._xlws.FILTER(_xlpm.sg,LEFT(_xlpm.sg,3)="УЗО",""),IFERROR(INDEX(_xlpm.f_,1)&amp;"","")))</f>
        <v/>
      </c>
      <c r="CS219" t="str">
        <f t="shared" si="443"/>
        <v/>
      </c>
      <c r="CT219" s="6" t="str" cm="1">
        <f t="array" ref="CT219">IF(CR219="","",_xlfn.LET(_xlpm.tk,_xlfn.TEXTSPLIT(UPPER(CR219)," ",,TRUE),_xlpm.a_,_xlfn._xlws.FILTER(_xlpm.tk,ISNUMBER(--LEFT(_xlpm.tk,1))*((ISNUMBER(SEARCH("А",_xlpm.tk))+ISNUMBER(SEARCH("A",_xlpm.tk)))&gt;0)*NOT(ISNUMBER(SEARCH("МА",_xlpm.tk)))*NOT(ISNUMBER(SEARCH("MA",_xlpm.tk))),""),IFERROR(--SUBSTITUTE(SUBSTITUTE(INDEX(_xlpm.a_,1),"А",""),"A",""),"")))</f>
        <v/>
      </c>
      <c r="CU219" t="str" cm="1">
        <f t="array" ref="CU219">IF(CR219="","",_xlfn.LET(_xlpm.tk,_xlfn.TEXTSPLIT(UPPER(CR219)," ",,TRUE),_xlpm.a_,_xlfn._xlws.FILTER(_xlpm.tk,ISNUMBER(--LEFT(_xlpm.tk,1))*((ISNUMBER(SEARCH("МА",_xlpm.tk))+ISNUMBER(SEARCH("MA",_xlpm.tk)))&gt;0),""),IFERROR(--SUBSTITUTE(SUBSTITUTE(INDEX(_xlpm.a_,1),"МА",""),"MA",""),30)))</f>
        <v/>
      </c>
      <c r="CV219" t="str">
        <f>IF(CS219="","",IFERROR(_xlfn.XLOOKUP(CS219,Линии[_n],Линии[_УЗО, мА]),30))</f>
        <v/>
      </c>
      <c r="CW219">
        <f>IF(CS219="",0,IF(ISNUMBER(SEARCH("4P",IFERROR(_xlfn.XLOOKUP(CS219,Линии[_n],Линии[_УЗО строки])&amp;"",""))),0,1))</f>
        <v>0</v>
      </c>
      <c r="CX219" t="str">
        <f>IF(AND(CS219&lt;&gt;"",CS219=BA219),SUMIFS(Линии[_ток на 230 В],Линии[_блок УЗО],BA219,Линии[Щит],A219),"")</f>
        <v/>
      </c>
      <c r="CY219" t="str">
        <f>IF(AND(CS219&lt;&gt;"",CS219=BA219),SUMIFS(Линии[_ток утечки линии, мА],Линии[_блок УЗО],BA219,Линии[Щит],A219),"")</f>
        <v/>
      </c>
      <c r="CZ219">
        <f t="shared" si="444"/>
        <v>30</v>
      </c>
      <c r="DA219">
        <f t="shared" si="445"/>
        <v>30</v>
      </c>
      <c r="DB219">
        <f>IF(B219="",0,IFERROR(--_xlfn.XLOOKUP(B219,Коды_код,Коды_минавт),IFERROR(--_xlfn.XLOOKUP(BC219,Коды_код,Коды_минавт),IFERROR(--_xlfn.XLOOKUP(LEFT(BC219,2),Коды_код,Коды_минавт),0))))</f>
        <v>16</v>
      </c>
      <c r="DC219" t="str">
        <f>IF(B219="","",IFERROR(_xlfn.XLOOKUP(BC219,Коды_код,Коды_апп)&amp;"",""))</f>
        <v/>
      </c>
      <c r="DD219" t="str">
        <f t="shared" si="446"/>
        <v/>
      </c>
      <c r="DE219" t="str" cm="1">
        <f t="array" ref="DE219">IF(TRIM(DD219&amp;"")="","",IFERROR(TRIM(INDEX(_xlfn.TEXTSPLIT(DD219&amp;";;;",";"),1)),""))</f>
        <v/>
      </c>
      <c r="DF219" t="str" cm="1">
        <f t="array" ref="DF219">IF(TRIM(DD219&amp;"")="","",IFERROR(TRIM(INDEX(_xlfn.TEXTSPLIT(DD219&amp;";;;",";"),2)),""))</f>
        <v/>
      </c>
      <c r="DG219" t="str" cm="1">
        <f t="array" ref="DG219">IF(TRIM(DD219&amp;"")="","",IFERROR(TRIM(INDEX(_xlfn.TEXTSPLIT(DD219&amp;";;;",";"),3)),""))</f>
        <v/>
      </c>
      <c r="DH219">
        <f t="shared" si="447"/>
        <v>0</v>
      </c>
      <c r="DI219" t="str">
        <f>IF(B219="","",_xlfn.LET(_xlpm.t,LOWER(AZ219&amp;""),IF(ISNUMBER(SEARCH("dim",_xlpm.t)),"DIM",IF(ISNUMBER(SEARCH("dali",_xlpm.t)),"DALI",IF(OR(ISNUMBER(SEARCH("relay",_xlpm.t)),ISNUMBER(SEARCH("реле",_xlpm.t))),"Relay",IF(ISNUMBER(SEARCH("кнопк",_xlpm.t)),"",IFERROR(_xlfn.XLOOKUP(BC219,Коды_код,Коды_упр)&amp;"","")))))))</f>
        <v/>
      </c>
      <c r="DJ219" t="str">
        <f t="shared" si="448"/>
        <v/>
      </c>
      <c r="DK219">
        <f>IF(B219="","",_xlfn.LET(_xlpm.ig,IF(N(CX219)&gt;0,N(CX219),N(CI219)+IF(AJ219="вручную",0,N(CJ219))),_xlpm.n0,IFERROR(VLOOKUP(_xlpm.ig,Автомат_номиналы,2,TRUE),0),_xlpm.mn,MAX(DB219,IF(AJ219="вручную",0,N(CM219))),MAX(_xlpm.n0,_xlpm.mn,IF(DH219=1,Мин_автомат_БП,0))))</f>
        <v>16</v>
      </c>
      <c r="DL219">
        <f t="shared" si="449"/>
        <v>1</v>
      </c>
      <c r="DM219" t="str">
        <f t="shared" si="450"/>
        <v>2P</v>
      </c>
      <c r="DN219" t="str">
        <f>_xlfn.LET(_xlpm.cc,UPPER(TRIM(IFERROR(_xlfn.XLOOKUP(BC219,Коды_код,Коды_хар)&amp;"",""))),IF(OR(_xlpm.cc="B",_xlpm.cc="В"),"B",IF(_xlpm.cc="D","D","С")))</f>
        <v>С</v>
      </c>
      <c r="DO219" t="str">
        <f t="shared" si="451"/>
        <v>2P С16А 30мА</v>
      </c>
      <c r="DP219" t="str">
        <f t="shared" si="452"/>
        <v>2P С16А 30мА</v>
      </c>
      <c r="DQ219" t="str">
        <f t="shared" si="453"/>
        <v>2P С16А 30мА</v>
      </c>
      <c r="DR219" cm="1">
        <f t="array" ref="DR219">IF(DQ219="","",_xlfn.LET(_xlpm.t,SUBSTITUTE(SUBSTITUTE(SUBSTITUTE(UPPER(DQ219),"С","C"),"А","A"),"В","B"),_xlpm.tk,_xlfn.TEXTSPLIT(_xlpm.t," "),_xlpm.f,_xlfn._xlws.FILTER(_xlpm.tk,ISNUMBER(--MID(_xlpm.tk,2,1))*ISNUMBER(SEARCH(LEFT(_xlpm.tk,1)&amp;"#","B#C#D#"))*(LEN(_xlpm.tk)&gt;1),""),_xlpm.x,INDEX(_xlpm.f,1),IFERROR(--SUBSTITUTE(MID(_xlpm.x,2,9),"A",""),IFERROR(--SUBSTITUTE(INDEX(_xlfn._xlws.FILTER(_xlpm.tk,ISNUMBER(--SUBSTITUTE(_xlpm.tk,"A","")),""),1),"A",""),""))))</f>
        <v>16</v>
      </c>
      <c r="DS219" t="str">
        <f t="shared" si="454"/>
        <v>ok</v>
      </c>
      <c r="DT219">
        <f t="shared" si="455"/>
        <v>16</v>
      </c>
      <c r="DU219" t="str">
        <f t="shared" si="456"/>
        <v>2P С16А 30мА</v>
      </c>
      <c r="DV219">
        <f t="shared" si="457"/>
        <v>30</v>
      </c>
      <c r="DW219">
        <f t="shared" si="458"/>
        <v>1</v>
      </c>
      <c r="DX219">
        <f t="shared" si="459"/>
        <v>0</v>
      </c>
      <c r="DY219">
        <f t="shared" si="460"/>
        <v>0.27348170645824377</v>
      </c>
      <c r="DZ219">
        <f t="shared" si="461"/>
        <v>1</v>
      </c>
      <c r="EA219">
        <f>IF(ISNUMBER(AP219),AP219,К_прокл)</f>
        <v>1</v>
      </c>
      <c r="EB219">
        <f t="shared" si="462"/>
        <v>2</v>
      </c>
      <c r="EC219">
        <f>IFERROR(N(VLOOKUP(BZ219,Кабель_обозначение,3,FALSE)),1)</f>
        <v>1</v>
      </c>
      <c r="ED219">
        <f>IFERROR(N(_xlfn.XLOOKUP(A219,Щиты[Щит],Щиты[ΔU до шин, %])),0)</f>
        <v>0.43</v>
      </c>
      <c r="EE219" t="str">
        <f>IFERROR(_xlfn.XLOOKUP(A219,Щиты[Щит],Щиты[Zпетли на шинах, Ом]),"")</f>
        <v/>
      </c>
      <c r="EF219">
        <f>IFERROR(N(_xlfn.XLOOKUP(A219,Щиты[Щит],Щиты[ΔU до шин (подбор), %])),0)</f>
        <v>0.43</v>
      </c>
      <c r="EG219" t="str">
        <f>IFERROR(_xlfn.XLOOKUP(A219,Щиты[Щит],Щиты[Zпетли на шинах (подбор), Ом]),"")</f>
        <v/>
      </c>
      <c r="EH219" t="str">
        <f t="shared" si="463"/>
        <v/>
      </c>
      <c r="EI219">
        <f t="shared" si="464"/>
        <v>48</v>
      </c>
      <c r="EJ219">
        <f t="shared" si="465"/>
        <v>2</v>
      </c>
      <c r="EK219">
        <f t="shared" si="466"/>
        <v>0.31</v>
      </c>
      <c r="EL219" s="6">
        <f>IF(B219="","",IF(BV219=1,dU_LED,IF(IFERROR(_xlfn.XLOOKUP(BC219,Коды_код,Коды_уго),"")="Светильник",3,4)+IF(Методика="нормы 2026",MIN(0.5,MAX(0,N(P219)-100)*0.005),0)))</f>
        <v>4</v>
      </c>
      <c r="EM219" cm="1">
        <f t="array" ref="EM219">IF(OR(B219="",BZ219="",EC219&lt;&gt;1),"",_xlfn.LET(_xlpm.sz,Iдоп_S,_xlpm.t_,CHOOSE(EB219,Iдоп_1ж,Iдоп_2ж,Iдоп_3ж)*DZ219*EA219,_xlpm.dcx,BV219=1,_xlpm.inn,IF(_xlpm.dcx,N(O219),N(DT219)),_xlpm.smin,MAX(1.5,CC219),_xlpm.L_,N(P219)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219)/N(BU219)*100,999),IFERROR(N(EJ219)*(_xlpm.rho*_xlpm.L_/_xlpm.sz*N(CE219)+_xlpm.xx*_xlpm.L_*N(EK219)/1000)*N(O219)/((Uн_лин/SQRT(3))*1000)*100,999)),_xlpm.kz,IF(OR(_xlpm.dcx,DW219=1,NOT(ISNUMBER(EG219)),_xlpm.L_=0,_xlpm.inn=0),1,IFERROR(--(c_min*(Uн_лин*1000/SQRT(3))/(EG219+2*ρкз_Cu*_xlpm.L_/_xlpm.sz)&gt;=HT219*_xlpm.inn),0)),_xlpm.ok,IFERROR((_xlpm.sz&gt;=_xlpm.smin)*(_xlpm.t_&gt;=_xlpm.inn)*IF(_xlpm.L_&gt;0,(_xlpm.du_+IF(_xlpm.dcx,0,EF219)&lt;=EL219+0.00001),1)*_xlpm.kz,0),_xlpm.r_,_xlfn._xlws.FILTER(_xlpm.sz,_xlpm.ok,"не подобрано"),INDEX(_xlpm.r_,1)))</f>
        <v>1.5</v>
      </c>
      <c r="EN219">
        <f t="shared" si="467"/>
        <v>2.5</v>
      </c>
      <c r="EO219" cm="1">
        <f t="array" ref="EO219">IF(OR(B219="",BZ219="",EC219&lt;&gt;1),"",_xlfn.LET(_xlpm.sz,Iдоп_S,_xlpm.t_,CHOOSE(EB219,Iдоп_1ж,Iдоп_2ж,Iдоп_3ж)*DZ219*EA219,_xlpm.ok,IFERROR((_xlpm.sz&gt;=MAX(1.5,CC219))*(_xlpm.t_&gt;=N(DT219)),0),_xlpm.r_,_xlfn._xlws.FILTER(_xlpm.sz,_xlpm.ok,""),INDEX(_xlpm.r_,1)))</f>
        <v>1.5</v>
      </c>
      <c r="EP219" s="6" cm="1">
        <f t="array" ref="EP219">IFERROR(ROUNDUP(N(EJ219)*(_xlfn.XLOOKUP(EO219,INDEX(Кабель_сопротивление,0,1),INDEX(Кабель_сопротивление,0,3))*N(P219)/EO219*N(CE219)+_xlfn.XLOOKUP(EO219,INDEX(Кабель_сопротивление,0,1),INDEX(Кабель_сопротивление,0,2))*N(P219)*N(EK219)/1000)*N(O219)/((Uн_лин/SQRT(3))*1000)*100,2),"")</f>
        <v>0.18000000000000002</v>
      </c>
      <c r="EQ219">
        <f>IFERROR(2*ρкз_Cu*N(P219)/EO219,"")</f>
        <v>1.7884</v>
      </c>
      <c r="ER219">
        <f>IFERROR(VLOOKUP(EN219,Кабель_сопротивление,3,FALSE),"")</f>
        <v>2.2499999999999999E-2</v>
      </c>
      <c r="ES219">
        <f>IFERROR(VLOOKUP(EN219,Кабель_сопротивление,2,FALSE),"")</f>
        <v>0.1</v>
      </c>
      <c r="ET219">
        <f t="shared" si="468"/>
        <v>7</v>
      </c>
      <c r="EU219">
        <f t="shared" si="469"/>
        <v>0</v>
      </c>
      <c r="EV219">
        <f t="shared" si="470"/>
        <v>0.23936814535805531</v>
      </c>
      <c r="EW219" s="6">
        <f>IFERROR(ROUNDUP(EV219/IF(BV219=1,BU219,(Uн_лин/SQRT(3))*1000)*100,2),"")</f>
        <v>0.11</v>
      </c>
      <c r="EX219" t="str">
        <f>IFERROR(VLOOKUP(BZ219,Кабель_обозначение,2,FALSE),"")</f>
        <v>ВВГнг(А)-LS</v>
      </c>
      <c r="EY219" t="str">
        <f t="shared" si="471"/>
        <v>ВВГнг(А)-LS (3х2,5)</v>
      </c>
      <c r="EZ219" t="str">
        <f t="shared" si="472"/>
        <v>ВВГнг(А)-LS (3х2,5)
L=51-0,11%</v>
      </c>
      <c r="FA219">
        <f>IFERROR(2*ρкз_Cu*P219/EN219,"")</f>
        <v>1.07304</v>
      </c>
      <c r="FB219">
        <f t="shared" si="473"/>
        <v>0.35700000000000004</v>
      </c>
      <c r="FC219" s="6" t="str">
        <f>IFERROR(IF(OR(B219="",BV219=1,NOT(ISNUMBER(EN219)),N(P219)=0),"",_xlfn.XLOOKUP(A219,Щиты[Щит],Щиты[Zпетли на шинах, Ом])+FA219),"")</f>
        <v/>
      </c>
      <c r="FD219" s="6" t="str">
        <f>IF(ISNUMBER(FC219),c_min*(Uн_лин*1000/SQRT(3))/FC219,"")</f>
        <v/>
      </c>
      <c r="FE219" s="6" t="str">
        <f>IFERROR(IF(OR(B219="",NOT(ISNUMBER(EN219))),"",1.05*(Uн_лин*1000/SQRT(3))/(_xlfn.XLOOKUP(A219,Щиты[Щит],Щиты[Zmax на шинах, Ом])+FB219)/1000),"")</f>
        <v/>
      </c>
      <c r="FF219" s="6" t="str">
        <f>IF(B219="","",IF(ISNUMBER(AC219),"Сил",IF(IFERROR(_xlfn.XLOOKUP(BC219,Коды_код,Коды_группа)&amp;"","")="","Быт",_xlfn.XLOOKUP(BC219,Коды_код,Коды_группа)&amp;"")))</f>
        <v>Быт</v>
      </c>
      <c r="FG219" s="6" t="str">
        <f t="shared" si="474"/>
        <v>Быт</v>
      </c>
      <c r="FH219" s="6">
        <f>IF(FG219="Щит","щит",IF(FG219="","",IF(FG219="Быт",IFERROR(_xlfn.XLOOKUP(A219,Щиты[Щит],Щиты[Кс быт]),1),IF(FG219="Сил",IF(ISNUMBER(AC219),AC219,IF(Методика="нормы 2026",IFERROR(_xlfn.XLOOKUP(A219,Щиты[Щит],Щиты[Кс силовых (табл. 7.5)]),1),1)),IF(OR(FG219="Пост",FG219="Отоп"),1,IF(FG219="ВНГ",0.7,0))))))</f>
        <v>0.79799999999999993</v>
      </c>
      <c r="FI219">
        <f>IF(FG219="","",IF(AND(BP219=1,TRIM(AE219&amp;"")=""),IF(COUNTIFS(Линии[Щит],A219,Линии[Секция (1/2/3)],"&gt;=2")&gt;0,MIN(3,MAX(1,IFERROR(--BD219,1))),1),IFERROR(MIN(3,MAX(1,INT(--AE219))),1)))</f>
        <v>1</v>
      </c>
      <c r="FJ219">
        <f t="shared" si="475"/>
        <v>0.06</v>
      </c>
      <c r="FK219">
        <f t="shared" si="476"/>
        <v>0.06</v>
      </c>
      <c r="FL219">
        <f t="shared" si="477"/>
        <v>0</v>
      </c>
      <c r="FM219">
        <f t="shared" si="478"/>
        <v>0</v>
      </c>
      <c r="FN219">
        <f t="shared" si="479"/>
        <v>0</v>
      </c>
      <c r="FO219">
        <f t="shared" si="480"/>
        <v>0</v>
      </c>
      <c r="FP219">
        <f t="shared" si="481"/>
        <v>0.06</v>
      </c>
      <c r="FQ219">
        <f t="shared" si="482"/>
        <v>0.06</v>
      </c>
      <c r="FR219">
        <f t="shared" si="483"/>
        <v>5.6999999999999995E-2</v>
      </c>
      <c r="FS219">
        <f>IF(CG219=1,IF(AND(CH219=1,CW219=1),0,IF(AND(CS219&lt;&gt;"",CS219=BA219,CW219=1),SUMIFS(Линии[_Р линии, кВт],Линии[_блок УЗО],BA219,Линии[Щит],A219),N(BS219)+IF(AJ219="вручную",0,N(CK219)))),0)</f>
        <v>0.06</v>
      </c>
      <c r="FT219" t="str">
        <f t="shared" si="484"/>
        <v>L1</v>
      </c>
      <c r="FU219" t="str">
        <f>IF(B219="","",IF(CG219=0,IF(BA219=1,"",FW218),IF(AND(CH219=1,CW219=1,CS219&lt;&gt;""),IFERROR(_xlfn.XLOOKUP(CS219,Линии[_n],Линии[_фаза итог]),"L1"),IF(OR(N(DL219)&gt;=3,N(BX219)&gt;=3),"L1,L2,L3",IFERROR(_xlfn.TEXTBEFORE(_xlfn.TEXTAFTER(_xlfn.XLOOKUP(A219,Щиты[Щит],Щиты[_фазы авто]),";"&amp;BA219&amp;":"),";"),"L1")))))</f>
        <v>L1</v>
      </c>
      <c r="FV219" t="str">
        <f t="shared" si="485"/>
        <v>L1</v>
      </c>
      <c r="FW219" t="str">
        <f t="shared" si="486"/>
        <v>L1</v>
      </c>
      <c r="FX219" cm="1">
        <f t="array" ref="FX219">IFERROR(IF(CD219=2,_xlfn.IFS(BX219=3,VLOOKUP(BS219,Справочная_двигатели,3,FALSE),BX219=1,VLOOKUP(BS219,Справочная_двигатели,5,TRUE)),0),0)</f>
        <v>0</v>
      </c>
      <c r="FY219">
        <f>IFERROR(IF(CD219=3,VLOOKUP(BS219,Справочная_ЛЭД,2,TRUE),0),0)</f>
        <v>0</v>
      </c>
      <c r="FZ219" s="6">
        <f t="shared" si="487"/>
        <v>0</v>
      </c>
      <c r="GA219" t="str">
        <f>IF(B219="","",IF(TRIM(AH219&amp;"")&lt;&gt;"",IF(LOWER(TRIM(AH219&amp;""))="да","да","нет"),IF(IFERROR(_xlfn.XLOOKUP(BC219,Коды_код,Коды_пожарная),"")="да","да","нет")))</f>
        <v>нет</v>
      </c>
      <c r="GB219" t="str">
        <f t="shared" si="488"/>
        <v/>
      </c>
      <c r="GC219" t="str">
        <f t="shared" si="489"/>
        <v>основная</v>
      </c>
      <c r="GD219">
        <f>IF(AND(BP219=1,TRIM(AE219&amp;"")=""),IF(COUNTIFS(Линии[Щит],A219,Линии[Секция (1/2/3)],"&gt;=2")&gt;0,MIN(3,MAX(1,IFERROR(--BD219,1))),1),IFERROR(MIN(3,MAX(1,INT(--AE219))),1))</f>
        <v>1</v>
      </c>
      <c r="GE219" t="str" cm="1">
        <f t="array" ref="GE219">IF(B219="","",_xlfn.LET(_xlpm.t,IFERROR(_xlfn.XLOOKUP(1,(Шины[Шина]=GC219)*(((Шины[Щит]=A219)+(Шины[Щит]=""))&gt;0),Шины[Тип]),"")&amp;"",IF(_xlpm.t&lt;&gt;"",_xlpm.t,IF(ISNUMBER(SEARCH("ИБП",GC219)),"ИБП",IF(ISNUMBER(SEARCH("ДГУ",GC219)),"ДГУ","Ввод "&amp;GD219)))))</f>
        <v>Ввод 1</v>
      </c>
      <c r="GF219" t="str">
        <f t="shared" si="490"/>
        <v>Ввод 1</v>
      </c>
      <c r="GG219" t="str">
        <f>IF(BP219=0,"",IF(TRIM(AG219&amp;"")&lt;&gt;"",TRIM(AG219&amp;""),IF(OR(GE219="ИБП",GE219="ДГУ"),"I особая",_xlfn.XLOOKUP(A219,Щиты[Щит],Щиты[Категория шины «Ввод»],"III"))))</f>
        <v/>
      </c>
      <c r="GH219" t="str">
        <f>IF(A219="","",_xlfn.XLOOKUP(A219,Щиты[Щит],Щиты[Путь],""))</f>
        <v>|ГРЩ-ЖД|ЩР-01|</v>
      </c>
      <c r="GI219" t="str">
        <f>IF(B219="","",IF(AI219&lt;&gt;"",AI219,IF(IFERROR(_xlfn.XLOOKUP(BC219,Коды_код,Коды_вид)&amp;"","")="","Прочее",_xlfn.XLOOKUP(BC219,Коды_код,Коды_вид)&amp;"")))</f>
        <v>Розеточная сеть и бытовые приборы</v>
      </c>
      <c r="GJ219">
        <f>IF(BM219="","",INT((BM219-1)/Столбцов_на_лист)+1)</f>
        <v>3</v>
      </c>
      <c r="GK219" t="str">
        <f t="shared" si="491"/>
        <v>ВВГнг(А)-LS (3х2,5) L=51-0,11%</v>
      </c>
      <c r="GL219">
        <f t="shared" si="492"/>
        <v>0.06</v>
      </c>
      <c r="GM219">
        <f t="shared" si="493"/>
        <v>0.28000000000000003</v>
      </c>
      <c r="GN219">
        <f t="shared" si="494"/>
        <v>1</v>
      </c>
      <c r="GO219">
        <f t="shared" si="495"/>
        <v>0</v>
      </c>
      <c r="GP219">
        <f t="shared" si="496"/>
        <v>1</v>
      </c>
      <c r="GQ219">
        <f>IF(BM219="","",IF(AND(CG219=1,GP219=1),COUNTIFS(A$3:A219,A219,CG$3:CG219,1,GP$3:GP219,1),IF(OR(OR(BA219=1,A219&lt;&gt;A218),AJ219="вручную",GP219=0),"",IF(BA219=1,"",GR218))))</f>
        <v>35</v>
      </c>
      <c r="GR219">
        <f t="shared" si="497"/>
        <v>35</v>
      </c>
      <c r="GS219">
        <f>IF(B219="","",IFERROR(LOOKUP(INDEX(CHOOSE(EB219,Iдоп_1ж,Iдоп_2ж,Iдоп_3ж),MATCH(EN219,Iдоп_S,0))*DZ219*EA219,{6,10,16,20,25,32,40,50,63,80,100,125,160,200,250,315,400,500,630}),""))</f>
        <v>25</v>
      </c>
      <c r="GT219" t="str">
        <f t="shared" si="498"/>
        <v>QFD35</v>
      </c>
      <c r="GU219" t="str">
        <f t="shared" si="499"/>
        <v>QFD35</v>
      </c>
      <c r="GV219" t="str">
        <f t="shared" si="500"/>
        <v/>
      </c>
      <c r="GW219">
        <f t="shared" si="501"/>
        <v>0</v>
      </c>
      <c r="GX219" t="str">
        <f>IF(OR(B219="",DJ219=""),"",IFERROR(_xlfn.XLOOKUP(DJ219,Модули_умолч[Управление],Модули_умолч[Модель])&amp;"",""))</f>
        <v/>
      </c>
      <c r="GY219">
        <f>IF(DJ219="",1,IFERROR(MAX(0,N(_xlfn.XLOOKUP(DJ219,Модули_умолч[Управление],Модули_умолч[Каналов на линию]))),1))</f>
        <v>1</v>
      </c>
      <c r="GZ219" t="str">
        <f t="shared" si="502"/>
        <v/>
      </c>
      <c r="HA219" t="str">
        <f t="shared" si="503"/>
        <v/>
      </c>
      <c r="HB219" t="str">
        <f t="shared" si="504"/>
        <v/>
      </c>
      <c r="HC219">
        <f>IF(HB219="",0,IFERROR(N(VLOOKUP(HB219,Модули_спр,3,FALSE)),0))</f>
        <v>0</v>
      </c>
      <c r="HD219" t="str">
        <f t="shared" si="505"/>
        <v/>
      </c>
      <c r="HE219" t="str">
        <f t="shared" si="506"/>
        <v/>
      </c>
      <c r="HF219" t="str">
        <f>IF(OR(HE219="",HE219="-"),"",IFERROR(VLOOKUP(HE219,Модули_спр,2,FALSE),"R"))</f>
        <v/>
      </c>
      <c r="HG219" t="str">
        <f>IF(HF219="","",HF219&amp;"."&amp;COUNTIFS(A$3:A219,A219,HF$3:HF219,HF219))</f>
        <v/>
      </c>
      <c r="HH219" t="str">
        <f t="shared" si="507"/>
        <v/>
      </c>
      <c r="HI219" t="str">
        <f t="shared" si="508"/>
        <v/>
      </c>
      <c r="HJ219" t="str">
        <f t="shared" si="509"/>
        <v/>
      </c>
      <c r="HK219" t="str">
        <f t="shared" si="510"/>
        <v/>
      </c>
      <c r="HL219">
        <f t="shared" si="511"/>
        <v>1</v>
      </c>
      <c r="HM219" t="str">
        <f>IF(HL219=1,"XT"&amp;COUNTIFS(A$3:A219,A219,HL$3:HL219,1),"")</f>
        <v>XT35</v>
      </c>
      <c r="HN219" t="str">
        <f t="shared" si="512"/>
        <v/>
      </c>
      <c r="HO219" t="str">
        <f t="shared" si="513"/>
        <v>QFD35</v>
      </c>
      <c r="HP219" t="str">
        <f t="shared" si="514"/>
        <v/>
      </c>
      <c r="HQ219" t="str">
        <f t="shared" si="515"/>
        <v>ok</v>
      </c>
      <c r="HR219" t="str">
        <f>IF(OR(HJ219="",HH219=""),"",IF(HJ219+MAX(0,GY219-1)&gt;IFERROR(VLOOKUP(HI219,Модули_спр,3,FALSE),99),"ЛИШНИЙ КАНАЛ",IF(AND(AL219&lt;&gt;"=",GY219&gt;0,COUNTIFS(Линии[_модуль гр.],HH219,Линии[Канал (итог)],HJ219,Линии[Канал],"&lt;&gt;=",Линии[Щит],A219)&gt;1),"ДУБЛЬ КАНАЛА","")))</f>
        <v/>
      </c>
      <c r="HS219" s="6" t="str">
        <f t="shared" si="516"/>
        <v/>
      </c>
      <c r="HT219">
        <f t="shared" si="517"/>
        <v>10</v>
      </c>
      <c r="HU219" t="str">
        <f t="shared" si="518"/>
        <v/>
      </c>
      <c r="HV219">
        <f t="shared" si="519"/>
        <v>0.61939268258329749</v>
      </c>
      <c r="HW219">
        <f t="shared" si="520"/>
        <v>0</v>
      </c>
      <c r="HX219">
        <f t="shared" si="521"/>
        <v>0</v>
      </c>
      <c r="HY219">
        <f t="shared" si="522"/>
        <v>0</v>
      </c>
      <c r="HZ219">
        <f t="shared" si="523"/>
        <v>0</v>
      </c>
      <c r="IA219">
        <f t="shared" si="524"/>
        <v>0</v>
      </c>
      <c r="IB219">
        <f t="shared" si="525"/>
        <v>0</v>
      </c>
      <c r="IC219" t="str">
        <f t="shared" si="526"/>
        <v/>
      </c>
      <c r="ID219" t="str" cm="1">
        <f t="array" ref="ID219">IF(IC219="","",_xlfn.LET(_xlpm.tk,_xlfn.TEXTSPLIT(SUBSTITUTE(SUBSTITUTE(IC219,";"," "),"→"," ")," ",,TRUE),_xlpm.w_,_xlfn._xlws.FILTER(_xlpm.tk,ISNUMBER(--LEFT(_xlpm.tk,1))*((ISNUMBER(SEARCH("W",_xlpm.tk))+ISNUMBER(SEARCH("Вт",_xlpm.tk)))&gt;0),""),IFERROR(--SUBSTITUTE(SUBSTITUTE(UPPER(INDEX(_xlpm.w_,1)),"W",""),"ВТ",""),"")))</f>
        <v/>
      </c>
      <c r="IE219" t="str" cm="1">
        <f t="array" ref="IE219">IF(IC219="","",_xlfn.LET(_xlpm.tk,_xlfn.TEXTSPLIT(SUBSTITUTE(SUBSTITUTE(IC219,";"," "),"→"," ")," ",,TRUE),_xlpm.v_,_xlfn._xlws.FILTER(_xlpm.tk,ISNUMBER(--LEFT(_xlpm.tk,1))*((ISNUMBER(SEARCH("V",_xlpm.tk))+(RIGHT(UPPER(_xlpm.tk))="В"))&gt;0),""),IFERROR(--SUBSTITUTE(SUBSTITUTE(UPPER(INDEX(_xlpm.v_,1)),"V",""),"В",""),"")))</f>
        <v/>
      </c>
      <c r="IF219" s="6" t="str">
        <f>IF(OR(BV219=0,HI219="",HJ219=""),"",IFERROR(N(_xlfn.XLOOKUP(HI219,Каталог!$C$4:$C$500,Каталог!$Q$4:$Q$500)),""))</f>
        <v/>
      </c>
      <c r="IG219" s="6" t="str">
        <f>IF(N(IF219)=0,"",SUMIFS(Линии[Iр, А],Линии[Щит],A219,Линии[_модуль гр.],HH219,Линии[Канал (итог)],HJ219))</f>
        <v/>
      </c>
      <c r="IH219" t="str">
        <f>IF(AND(B219="",HO219=""),"",_xlfn.TEXTJOIN("; ",TRUE,IF(AND(B219&lt;&gt;"",FV219=""),"нет фазы",""),IF(AND(B219&lt;&gt;"",N(GL219)=0,FG219&lt;&gt;"Нет"),"нет мощности",""),IF(AND(HN219&lt;&gt;"",COUNTIFS(Линии[Щит],A219,Линии[Клемма (итог)],HN219)&gt;1),"дубль клеммы "&amp;HN219,""),IF(AND(HQ219&lt;&gt;"",HQ219&lt;&gt;"ok"),HQ219,""),IF(HR219&lt;&gt;"",HR219,""),IF(AND(N(CB219)&gt;=4,N(BX219)=1),CB219&amp;" жил на 1 фазе",""),IF(AND(BC219="R",CG219=1,IF(CS219&lt;&gt;"",N(CV219)&gt;30,OR(N(DA219)=0,N(DA219)&gt;30))),"розетка без дифзащиты до 30 мА",""),IF(AND(CG219=1,N(DA219)&gt;0,ISNUMBER(T219)),IF(T219&gt;N(DA219)/3,"ток утечки "&amp;FIXED(T219,1)&amp;" мА &gt; 1/3 уставки ("&amp;DA219&amp;" мА)",""),""),IF(AND(CH219=1,CS219=""),"«узо»: нет строки с УЗО выше (УЗО 2P 40А 30мА в «Аппаратах»)",""),IF(AND(CS219&lt;&gt;"",CS219=BA219),IF(CT219="","впишите номинал УЗО (УЗО 2P 40А 30мА)",IF(N(CT219)&lt;N(DT219),"УЗО "&amp;CT219&amp;" А &lt; автомата "&amp;DT219&amp;" А перед ним",IF(N(CT219)&lt;N(CX219),"УЗО "&amp;CT219&amp;" А &lt; тока блока "&amp;FIXED(CX219,1)&amp;" А",""))),""),IF(AND(CS219&lt;&gt;"",CS219=BA219,ISNUMBER(CY219)),IF(CY219&gt;N(CV219)/3,"ток утечки блока УЗО "&amp;FIXED(CY219,1)&amp;" мА &gt; 1/3 уставки ("&amp;CV219&amp;" мА)",""),""),IF(AND(CG219=1,N(BV219)+N(IB219)&gt;0,IC219=""),"линии до 50 В без БП: впишите в «Аппараты» (БП 24V 480W)",""),IF(AND(CG219=1,ISNUMBER(ID219),ISNUMBER(U219)),IF(U219&gt;ID219,"БП "&amp;ID219&amp;" Вт &lt; нужно "&amp;U219&amp;" Вт (×"&amp;Запас_БП&amp;")",""),""),IF(AND(CG219=1,ISNUMBER(IE219),N(BV219)=1),IF(IE219&lt;&gt;N(BU219),"БП на "&amp;IE219&amp;" В, линия "&amp;BU219&amp;" В",""),""),IF(AND(N(IF219)&gt;0,N(IG219)&gt;N(IF219)),HH219&amp;" канал "&amp;HJ219&amp;": "&amp;FIXED(IG219,1)&amp;" А &gt; "&amp;IF219&amp;" А",""),IFERROR(IF(AND(ISNUMBER(Q219),Q219&gt;EL219),"потери "&amp;FIXED(Q219,1)&amp;" % &gt; "&amp;EL219&amp;" %",""),""),IFERROR(IF(LEFT(HU219,4)="мало","Iкз мало — отключение &gt; 0,4 с",""),""),IF(AND(B219&lt;&gt;"",BM219=""),"не на схеме",""),IF(AND(CG219=0,B219&lt;&gt;"",FV219&lt;&gt;"",IF(BA219=1,"",FW218)&lt;&gt;"",FV219&lt;&gt;IF(BA219=1,"",FW218)),"фаза не как у автомата группы ("&amp;IF(BA219=1,"",FW218)&amp;")","")))</f>
        <v/>
      </c>
      <c r="II219" s="6">
        <f>IF(OR(CG219=0,DQ219=""),"",_xlfn.LET(_xlpm.t,IFERROR(_xlfn.XLOOKUP(DQ219,Каталог!$U$4:$U$500,Каталог!$G$4:$G$500),""),_xlpm.k,SEARCH("кА",_xlpm.t),IFERROR(--TRIM(RIGHT(SUBSTITUTE(MID(_xlpm.t,MAX(1,_xlpm.k-4),_xlpm.k-MAX(1,_xlpm.k-4))," ",REPT(" ",9)),5)),"")))</f>
        <v>6</v>
      </c>
      <c r="IJ219" t="str">
        <f>IF(OR(II219="",CG219=0),"",IF(_xlfn.XLOOKUP(A219,Щиты[Щит],Щиты[Iкз max на шинах, кА],"")="","",IF(II219&lt;_xlfn.XLOOKUP(A219,Щиты[Щит],Щиты[Iкз max на шинах, кА]),"Icu "&amp;II219&amp;" кА &lt; Iкз max","ok")))</f>
        <v/>
      </c>
      <c r="IK219" t="str">
        <f t="shared" si="527"/>
        <v/>
      </c>
      <c r="IL219" t="str">
        <f t="shared" si="528"/>
        <v>QFD35</v>
      </c>
      <c r="IM219" t="str">
        <f t="shared" si="529"/>
        <v>QFD35|кабель ВВГнг(А)-LS (3х2,5) → Розеточная группа, пом. 020A</v>
      </c>
      <c r="IN219" t="str" cm="1">
        <f t="array" ref="IN219">IF(IM219="","",_xlfn.LET(_xlpm.nd,_xlfn.TEXTSPLIT(IM219,"|"),IF(COLUMNS(_xlpm.nd)&gt;1,A219&amp;"¦"&amp;INDEX(_xlpm.nd,1)&amp;"¦"&amp;INDEX(_xlpm.nd,2),"")))</f>
        <v>ЩР-01¦QFD35¦кабель ВВГнг(А)-LS (3х2,5) → Розеточная группа, пом. 020A</v>
      </c>
      <c r="IO219" t="str">
        <f t="shared" si="530"/>
        <v>R.0.020A.1¦Розеточная группа, пом. 020A</v>
      </c>
      <c r="IP219" t="str" cm="1">
        <f t="array" ref="IP219">IF(IM219="","",_xlfn.LET(_xlpm.nd,_xlfn.TEXTSPLIT(IM219,"|"),IF(COLUMNS(_xlpm.nd)&gt;2,A219&amp;"¦"&amp;INDEX(_xlpm.nd,2)&amp;"¦"&amp;INDEX(_xlpm.nd,3),"")))</f>
        <v/>
      </c>
      <c r="IQ219" t="str">
        <f t="shared" si="531"/>
        <v/>
      </c>
      <c r="IR219" t="str" cm="1">
        <f t="array" ref="IR219">IF(IM219="","",_xlfn.LET(_xlpm.nd,_xlfn.TEXTSPLIT(IM219,"|"),IF(COLUMNS(_xlpm.nd)&gt;3,A219&amp;"¦"&amp;INDEX(_xlpm.nd,3)&amp;"¦"&amp;INDEX(_xlpm.nd,4),"")))</f>
        <v/>
      </c>
      <c r="IS219" t="str">
        <f t="shared" si="532"/>
        <v/>
      </c>
      <c r="IT219" t="str" cm="1">
        <f t="array" ref="IT219">IF(IM219="","",_xlfn.LET(_xlpm.nd,_xlfn.TEXTSPLIT(IM219,"|"),IF(COLUMNS(_xlpm.nd)&gt;4,A219&amp;"¦"&amp;INDEX(_xlpm.nd,4)&amp;"¦"&amp;INDEX(_xlpm.nd,5),"")))</f>
        <v/>
      </c>
      <c r="IU219" t="str">
        <f t="shared" si="533"/>
        <v/>
      </c>
      <c r="IV219" t="str" cm="1">
        <f t="array" ref="IV219">IF(IM219="","",_xlfn.LET(_xlpm.nd,_xlfn.TEXTSPLIT(IM219,"|"),IF(COLUMNS(_xlpm.nd)&gt;5,A219&amp;"¦"&amp;INDEX(_xlpm.nd,5)&amp;"¦"&amp;INDEX(_xlpm.nd,6),"")))</f>
        <v/>
      </c>
      <c r="IW219" t="str">
        <f t="shared" si="534"/>
        <v/>
      </c>
      <c r="IX219" t="str" cm="1">
        <f t="array" ref="IX219">IF(IM219="","",_xlfn.LET(_xlpm.nd,_xlfn.TEXTSPLIT(IM219,"|"),IF(COLUMNS(_xlpm.nd)&gt;6,A219&amp;"¦"&amp;INDEX(_xlpm.nd,6)&amp;"¦"&amp;INDEX(_xlpm.nd,7),"")))</f>
        <v/>
      </c>
      <c r="IY219" t="str">
        <f t="shared" si="535"/>
        <v/>
      </c>
      <c r="IZ219" t="str">
        <f t="shared" si="536"/>
        <v/>
      </c>
      <c r="JA219" t="str">
        <f t="shared" si="537"/>
        <v>QFD35</v>
      </c>
      <c r="JB219">
        <f t="shared" si="538"/>
        <v>0</v>
      </c>
      <c r="JC219">
        <f t="shared" si="539"/>
        <v>1</v>
      </c>
      <c r="JD219" t="str">
        <f t="shared" si="540"/>
        <v/>
      </c>
      <c r="JE219" t="str">
        <f t="shared" si="541"/>
        <v/>
      </c>
      <c r="JF219" t="str">
        <f t="shared" si="542"/>
        <v/>
      </c>
      <c r="JG219" t="str">
        <f t="shared" si="543"/>
        <v/>
      </c>
      <c r="JH219" t="str">
        <f>IF(B219="","",IFERROR(_xlfn.XLOOKUP(B219,Коды_код,Коды_уго),IFERROR(_xlfn.XLOOKUP(BC219,Коды_код,Коды_уго),IFERROR(_xlfn.XLOOKUP(LEFT(BC219,2),Коды_код,Коды_уго),""))))</f>
        <v>Розетка</v>
      </c>
      <c r="JI219" t="str">
        <f>IF(B219="","",IF(OR(JH219="",JH219=0),"BOX",IFERROR(IF(VLOOKUP(JH219,УГО_блоки,3,FALSE)&amp;""&lt;&gt;"",VLOOKUP(JH219,УГО_блоки,3,FALSE),VLOOKUP(JH219,УГО_блоки,2,FALSE)),JH219)))</f>
        <v>SOCKET</v>
      </c>
      <c r="JJ219">
        <f t="shared" si="544"/>
        <v>1</v>
      </c>
      <c r="JK219" t="str">
        <f>IF(DQ219="","",IF(COUNTIF(DQ$3:DQ219,DQ219)=1,MAX(JK$2:JK218)+1,""))</f>
        <v/>
      </c>
      <c r="JL219" t="str">
        <f>IF(DE219="","",IF(COUNTIF(DE$3:DE219,DE219)+COUNTIF(DF$2:DF218,DE219)+COUNTIF(DG$2:DG218,DE219)=1,MAX(JL$2:JN218)+1,""))</f>
        <v/>
      </c>
      <c r="JM219" t="str">
        <f>IF(DF219="","",IF(COUNTIF(DE$3:DE219,DF219)+COUNTIF(DF$3:DF219,DF219)+COUNTIF(DG$2:DG218,DF219)=1,MAX(JL$2:JN218,JL219)+1,""))</f>
        <v/>
      </c>
      <c r="JN219" t="str">
        <f>IF(DG219="","",IF(COUNTIF(DE$3:DE219,DG219)+COUNTIF(DF$3:DF219,DG219)+COUNTIF(DG$3:DG219,DG219)=1,MAX(JL$2:JN218,JL219,JM219)+1,""))</f>
        <v/>
      </c>
      <c r="JO219" t="str">
        <f t="shared" si="545"/>
        <v>3х2,5</v>
      </c>
      <c r="JP219" t="str">
        <f>IF(JO219="","",IF(COUNTIF(JO$3:JO219,JO219)=1,MAX(JP$2:JP218)+1,""))</f>
        <v/>
      </c>
      <c r="JQ219" t="str">
        <f>IF(HG219="","",COUNTIF(HG$3:HG219,"?*"))</f>
        <v/>
      </c>
      <c r="JR219" t="str">
        <f>IF(OR(HG219="",HI219=""),"",IF(COUNTIFS(HG$3:HG219,"?*",HI$3:HI219,HI219)=1,MAX(JR$2:JR218)+1,""))</f>
        <v/>
      </c>
      <c r="JS219">
        <f t="shared" si="546"/>
        <v>0</v>
      </c>
      <c r="JT219">
        <f>IF(B219="","",COUNTIF(B$3:B219,"?*"))</f>
        <v>217</v>
      </c>
      <c r="JU219">
        <f>IF(HL219&lt;&gt;1,0,_xlfn.LET(_xlpm.k,MAX(IFERROR(--_xlfn.XLOOKUP(B219,Коды_код,Коды_3L),0),IFERROR(--_xlfn.XLOOKUP(BC219,Коды_код,Коды_3L),0),IFERROR(--_xlfn.XLOOKUP(LEFT(BC219,2),Коды_код,Коды_3L),0)),IF(_xlpm.k&gt;0,_xlpm.k,IF(IFERROR(--LEFT(SUBSTITUTE(JO219,"x","х"),FIND("х",SUBSTITUTE(JO219,"x","х"))-1),3)&gt;3,Каталог!$S$9,1))))</f>
        <v>1</v>
      </c>
      <c r="JV219">
        <f t="shared" si="547"/>
        <v>0</v>
      </c>
      <c r="JW219" t="str">
        <f t="shared" si="548"/>
        <v>авто</v>
      </c>
      <c r="JX219">
        <f t="shared" si="549"/>
        <v>30</v>
      </c>
      <c r="JY219">
        <f t="shared" si="550"/>
        <v>1</v>
      </c>
      <c r="JZ219">
        <f t="shared" si="551"/>
        <v>1</v>
      </c>
    </row>
    <row r="220" spans="1:286" x14ac:dyDescent="0.3">
      <c r="A220" t="s">
        <v>755</v>
      </c>
      <c r="B220" t="s">
        <v>1527</v>
      </c>
      <c r="C220" t="s">
        <v>1702</v>
      </c>
      <c r="D220">
        <v>1</v>
      </c>
      <c r="E220">
        <v>4.625</v>
      </c>
      <c r="G220">
        <v>25</v>
      </c>
      <c r="H220" t="str">
        <f>Линии[[#This Row],[_авто управление]]</f>
        <v/>
      </c>
      <c r="I220" t="str">
        <f>Линии[[#This Row],[_авто аппараты]]</f>
        <v/>
      </c>
      <c r="J220">
        <v>6</v>
      </c>
      <c r="K220">
        <v>22</v>
      </c>
      <c r="L220">
        <v>1</v>
      </c>
      <c r="M220" t="str">
        <f>Линии[[#This Row],[_авто клемма]]</f>
        <v>XT36</v>
      </c>
      <c r="N220" t="str">
        <f t="shared" si="414"/>
        <v/>
      </c>
      <c r="O220" s="6" cm="1">
        <f t="array" ref="O220">IF(B220="","",IF(BH220&lt;&gt;"",IFERROR(_xlfn.XLOOKUP(BH220,Щиты[Щит],Щиты[Iр, А]),""),IF(BP220=1,IF(OR(N(_xlfn.XLOOKUP(A220,Щиты[Щит],Щиты[Вводов],1))&lt;=1,LOWER(TRIM(_xlfn.XLOOKUP(A220,Щиты[Щит],Щиты[АВР],"")&amp;""))="да"),IFERROR(_xlfn.XLOOKUP(A220,Щиты[Щит],Щиты[Iр, А]),""),IFERROR(N(BS220)*_xlfn.XLOOKUP(A220,Щиты[Щит],Щиты[Кс итог])/(SQRT(3)*Uн_лин*_xlfn.XLOOKUP(A220,Щиты[Щит],Щиты[cos φ])),"")),IF(BV220=1,IFERROR(BS220*1000/BU220,""),IFERROR(_xlfn.IFS(BX220=1,BS220/((Uн_лин/SQRT(3))*CE220),BX220=3,BS220/(SQRT(3)*Uн_лин*CE220)),"")))))</f>
        <v>21.080881539489624</v>
      </c>
      <c r="P220" s="7">
        <f>IF(B220="","",IFERROR(IF(VLOOKUP(BC220,Потребители_обозначение,4,FALSE)=1,VLOOKUP(BC220,Потребители_обозначение,3,FALSE)*(MAX(1,N(D220))*2-1)+EI220+VLOOKUP(BE220,Этаж_обозначение,3,FALSE)+VLOOKUP(BE220,Этаж_обозначение,4,FALSE),VLOOKUP(BC220,Потребители_обозначение,3,FALSE)*(MAX(1,N(D220))*2-1)+EI220),EI220))</f>
        <v>22</v>
      </c>
      <c r="Q220" s="6">
        <f t="shared" si="415"/>
        <v>1.88</v>
      </c>
      <c r="R220" t="str">
        <f t="shared" si="416"/>
        <v>ВВГнг(А)-LS (3х6)</v>
      </c>
      <c r="S220" t="str">
        <f>IF(BM220="","",IF(BN220="вводной узел","узел ","")&amp;"л."&amp;(INT((BM220-1)/Столбцов_на_лист)+1)&amp;" / "&amp;(MOD(BM220-1,Столбцов_на_лист)+1))</f>
        <v>л.4 / 2</v>
      </c>
      <c r="T220" s="119">
        <f t="shared" si="417"/>
        <v>8.6999999999999993</v>
      </c>
      <c r="U220" s="7" t="str">
        <f>IF(OR(CG220=0,N(BV220)+N(IB220)=0),"",ROUNDUP(Запас_БП*(N(HY220)+N(HZ220)),0))</f>
        <v/>
      </c>
      <c r="V220" s="119" t="str">
        <f t="shared" si="418"/>
        <v/>
      </c>
      <c r="W220" s="7" t="str">
        <f>IFERROR(IF(OR(B220="",BP220=1,BV220=1,NOT(ISNUMBER(EN220)),N(DT220)=0),"",MAX(0,ROUNDDOWN((c_min*(Uн_лин*1000/SQRT(3))/(HT220*N(DT220))-_xlfn.XLOOKUP(A220,Щиты[Щит],Щиты[Zпетли на шинах, Ом]))*EN220/(2*ρкз_Cu),0))),"")</f>
        <v/>
      </c>
      <c r="Y220" t="str">
        <f>Линии[[#This Row],[_авто утечка]]</f>
        <v/>
      </c>
      <c r="Z220">
        <v>1</v>
      </c>
      <c r="AA220">
        <v>230</v>
      </c>
      <c r="AB220" t="s">
        <v>573</v>
      </c>
      <c r="AG220" t="s">
        <v>810</v>
      </c>
      <c r="AI220" t="s">
        <v>572</v>
      </c>
      <c r="AK220" t="str">
        <f>Линии[[#This Row],[_авто модуль]]</f>
        <v/>
      </c>
      <c r="AM220">
        <v>53</v>
      </c>
      <c r="AN220" t="s">
        <v>11</v>
      </c>
      <c r="AO220">
        <v>3</v>
      </c>
      <c r="AQ220">
        <v>6</v>
      </c>
      <c r="AR220">
        <v>8</v>
      </c>
      <c r="BA220" cm="1">
        <f t="array" ref="BA220">ROW()-ROW(Линии[#Headers])</f>
        <v>218</v>
      </c>
      <c r="BC220" s="6" t="str">
        <f t="shared" si="419"/>
        <v>ШТК-1</v>
      </c>
      <c r="BD220" t="str">
        <f t="shared" si="420"/>
        <v/>
      </c>
      <c r="BE220" t="str">
        <f t="shared" si="421"/>
        <v/>
      </c>
      <c r="BF220" t="str">
        <f t="shared" si="422"/>
        <v/>
      </c>
      <c r="BG220" t="str">
        <f t="shared" si="423"/>
        <v/>
      </c>
      <c r="BH220" t="str">
        <f>IF(X220&lt;&gt;"",X220,IF(AND(B220&lt;&gt;"",B220&lt;&gt;A220,ISNUMBER(_xlfn.XMATCH(B220,Щиты[Щит]))),B220,""))</f>
        <v/>
      </c>
      <c r="BI220" t="str" cm="1">
        <f t="array" ref="BI220">IF(B220="","",IF(BH220&lt;&gt;"","Щит "&amp;BH220,_xlfn.LET(_xlpm.nm,IFERROR(_xlfn.XLOOKUP(BC220,Коды_код,Коды_имя)&amp;"",""),_xlpm.md,IFERROR(N(_xlfn.XLOOKUP(BC220,Коды_код,Коды_режим)),1),_xlpm.ex,IF(Имя_режим="по экспликации",IFERROR(_xlfn.XLOOKUP(BE220&amp;"|"&amp;BG220,Экспликация[Этаж]&amp;"|"&amp;Экспликация[Помещение],Экспликация[Название])&amp;"",""),""),_xlpm.rm,IF(BG220="","",IF(_xlpm.ex&lt;&gt;"",". "&amp;_xlpm.ex&amp;IF(Имя_пом="нет"," ("&amp;BG220&amp;")"," (пом. "&amp;BG220&amp;")"),IF(Имя_пом="нет"," ",", пом. ")&amp;BG220)),IF(_xlpm.nm="","",IF(_xlpm.md=2,_xlpm.nm&amp;" шлейф "&amp;BE220,_xlpm.nm&amp;_xlpm.rm)))))</f>
        <v/>
      </c>
      <c r="BJ220" t="str">
        <f t="shared" si="424"/>
        <v>Шкаф телекоммуникационный ШТК-2 Цокольный этаж Пом. №002Т</v>
      </c>
      <c r="BK220">
        <f>IFERROR(_xlfn.XMATCH(A220,Щиты[Щит]),0)</f>
        <v>9</v>
      </c>
      <c r="BL220">
        <f>_xlfn.LET(_xlpm.k,IFERROR(_xlfn.XLOOKUP(A220,Щиты[Щит],Щиты[Мест под вводной узел]),""),IF(_xlpm.k="",Столбцов_на_лист,N(_xlpm.k)))</f>
        <v>8</v>
      </c>
      <c r="BM220">
        <f t="shared" si="425"/>
        <v>53</v>
      </c>
      <c r="BN220" t="str">
        <f t="shared" si="426"/>
        <v>линии</v>
      </c>
      <c r="BO220" s="6">
        <f>IFERROR(N(_xlfn.XLOOKUP(BC220,Коды_код,Коды_квт)),0)</f>
        <v>0</v>
      </c>
      <c r="BP220">
        <f t="shared" si="427"/>
        <v>0</v>
      </c>
      <c r="BQ220" t="str">
        <f>IF(B220="","",IF(BH220&lt;&gt;"",IFERROR(_xlfn.XLOOKUP(BH220,Щиты[Щит],Щиты[Руст, кВт]),0),IF(BP220=1,IF(OR(N(_xlfn.XLOOKUP(A220,Щиты[Щит],Щиты[Вводов],1))&lt;=1,LOWER(TRIM(_xlfn.XLOOKUP(A220,Щиты[Щит],Щиты[АВР],"")&amp;""))="да"),IFERROR(_xlfn.XLOOKUP(A220,Щиты[Щит],Щиты[Руст, кВт]),0),SUMIFS(Линии[_Р для вводов],Линии[Щит],A220,Линии[Источник для режимов],GF220)),IF(BO220&gt;0,ROUND(BO220*MAX(1,N(D220)),3),""))))</f>
        <v/>
      </c>
      <c r="BR220">
        <f t="shared" si="428"/>
        <v>4.625</v>
      </c>
      <c r="BS220" s="6">
        <f>IF(B220="","",IF(BH220&lt;&gt;"",IFERROR(_xlfn.XLOOKUP(BH220,Щиты[Щит],Щиты[Руст, кВт]),0),N(BR220)))</f>
        <v>4.625</v>
      </c>
      <c r="BT220" t="str">
        <f>IF(B220="","",IFERROR(IF(VLOOKUP(BC220,Потребители_обозначение,8,FALSE)=0,"",VLOOKUP(BC220,Потребители_обозначение,8,FALSE)),""))</f>
        <v/>
      </c>
      <c r="BU220">
        <f t="shared" si="429"/>
        <v>230</v>
      </c>
      <c r="BV220">
        <f t="shared" si="430"/>
        <v>0</v>
      </c>
      <c r="BW220">
        <f>IF(B220="","",IF(BH220&lt;&gt;"",3,IFERROR(IF(N(VLOOKUP(BC220,Потребители_обозначение,9,FALSE))=0,1,VLOOKUP(BC220,Потребители_обозначение,9,FALSE)),1)))</f>
        <v>1</v>
      </c>
      <c r="BX220">
        <f t="shared" si="431"/>
        <v>1</v>
      </c>
      <c r="BY220" t="str">
        <f>IF(B220="","",_xlfn.LET(_xlpm.bc,IFERROR(IF(VLOOKUP(BC220,Потребители_обозначение,6,FALSE)=0,"",VLOOKUP(BC220,Потребители_обозначение,6,FALSE)&amp;""),""),IF(AND(GA220="да",OR(_xlpm.bc="",_xlpm.bc="мс")),Марка_пож,IF(AND(_xlpm.bc="",BH220&lt;&gt;""),"мс",_xlpm.bc))))</f>
        <v/>
      </c>
      <c r="BZ220" t="str">
        <f t="shared" si="432"/>
        <v>мс</v>
      </c>
      <c r="CA220">
        <f>IF(B220="","",_xlfn.LET(_xlpm.cc,IFERROR(N(VLOOKUP(BC220,Потребители_обозначение,7,FALSE)),0),IF(_xlpm.cc&gt;0,_xlpm.cc,IF(BZ220="","",IF(BV220=1,2,IF(N(BX220)=3,5,3))))))</f>
        <v>3</v>
      </c>
      <c r="CB220">
        <f t="shared" si="433"/>
        <v>3</v>
      </c>
      <c r="CC220">
        <f>IFERROR(N(VLOOKUP(BC220,Потребители_обозначение,10,FALSE)),0)</f>
        <v>0</v>
      </c>
      <c r="CD220">
        <f>IFERROR(VLOOKUP(BC220,Потребители_обозначение,5,FALSE),0)</f>
        <v>0</v>
      </c>
      <c r="CE220" s="6" cm="1">
        <f t="array" ref="CE220">IF(B220="","",IF(BH220&lt;&gt;"",IFERROR(_xlfn.XLOOKUP(BH220,Щиты[Щит],Щиты[cos φ]),0.95),IF(BP220=1,IFERROR(_xlfn.XLOOKUP(A220,Щиты[Щит],Щиты[cos φ]),0.95),IF(ISNUMBER(AD220),AD220,IFERROR(IF(CD220=2,_xlfn.IFS(BX220=3,VLOOKUP(BS220,Справочная_двигатели,8,FALSE),BX220=1,VLOOKUP(BS220,Справочная_двигатели,10,TRUE)),IF(AND(Методика="нормы 2026",FG220="Сил"),0.8,0.95)),0.95)))))</f>
        <v>0.95</v>
      </c>
      <c r="CF220">
        <f t="shared" si="434"/>
        <v>0</v>
      </c>
      <c r="CG220">
        <f t="shared" si="435"/>
        <v>1</v>
      </c>
      <c r="CH220">
        <f t="shared" si="436"/>
        <v>0</v>
      </c>
      <c r="CI220">
        <f>IF(B220="","",IF(BV220=1,IFERROR(BS220/((Uн_лин/SQRT(3))*MAX(0.5,N(CE220))),0),N(O220)))</f>
        <v>21.080881539489624</v>
      </c>
      <c r="CJ220">
        <f t="shared" si="437"/>
        <v>0</v>
      </c>
      <c r="CK220">
        <f t="shared" si="438"/>
        <v>0</v>
      </c>
      <c r="CL220">
        <f t="shared" si="439"/>
        <v>0</v>
      </c>
      <c r="CM220">
        <f t="shared" si="440"/>
        <v>0</v>
      </c>
      <c r="CN220">
        <f t="shared" si="441"/>
        <v>0</v>
      </c>
      <c r="CO220">
        <f>IF(BC220="",0,_xlfn.LET(_xlpm.v,IFERROR(_xlfn.XLOOKUP(B220,Коды_код,Коды_мА),IFERROR(_xlfn.XLOOKUP(BC220,Коды_код,Коды_мА),IFERROR(_xlfn.XLOOKUP(LEFT(BC220,2),Коды_код,Коды_мА),""))),IF(_xlpm.v="да",30,IF(ISNUMBER(_xlpm.v),_xlpm.v,0))))</f>
        <v>0</v>
      </c>
      <c r="CP220" t="str">
        <f t="shared" si="442"/>
        <v/>
      </c>
      <c r="CQ220" t="str">
        <f>_xlfn.LET(_xlpm.k,IFERROR(_xlfn.XLOOKUP(BC220,Коды_код,Коды_утечка)&amp;"",""),IF(_xlpm.k="","дифавтомат",_xlpm.k))</f>
        <v>дифавтомат</v>
      </c>
      <c r="CR220" t="str" cm="1">
        <f t="array" ref="CR220">IF(CG220=0,"",_xlfn.LET(_xlpm.sg,TRIM(_xlfn.TEXTSPLIT(DD220&amp;"",";")),_xlpm.f_,_xlfn._xlws.FILTER(_xlpm.sg,LEFT(_xlpm.sg,3)="УЗО",""),IFERROR(INDEX(_xlpm.f_,1)&amp;"","")))</f>
        <v/>
      </c>
      <c r="CS220" t="str">
        <f t="shared" si="443"/>
        <v/>
      </c>
      <c r="CT220" s="6" t="str" cm="1">
        <f t="array" ref="CT220">IF(CR220="","",_xlfn.LET(_xlpm.tk,_xlfn.TEXTSPLIT(UPPER(CR220)," ",,TRUE),_xlpm.a_,_xlfn._xlws.FILTER(_xlpm.tk,ISNUMBER(--LEFT(_xlpm.tk,1))*((ISNUMBER(SEARCH("А",_xlpm.tk))+ISNUMBER(SEARCH("A",_xlpm.tk)))&gt;0)*NOT(ISNUMBER(SEARCH("МА",_xlpm.tk)))*NOT(ISNUMBER(SEARCH("MA",_xlpm.tk))),""),IFERROR(--SUBSTITUTE(SUBSTITUTE(INDEX(_xlpm.a_,1),"А",""),"A",""),"")))</f>
        <v/>
      </c>
      <c r="CU220" t="str" cm="1">
        <f t="array" ref="CU220">IF(CR220="","",_xlfn.LET(_xlpm.tk,_xlfn.TEXTSPLIT(UPPER(CR220)," ",,TRUE),_xlpm.a_,_xlfn._xlws.FILTER(_xlpm.tk,ISNUMBER(--LEFT(_xlpm.tk,1))*((ISNUMBER(SEARCH("МА",_xlpm.tk))+ISNUMBER(SEARCH("MA",_xlpm.tk)))&gt;0),""),IFERROR(--SUBSTITUTE(SUBSTITUTE(INDEX(_xlpm.a_,1),"МА",""),"MA",""),30)))</f>
        <v/>
      </c>
      <c r="CV220" t="str">
        <f>IF(CS220="","",IFERROR(_xlfn.XLOOKUP(CS220,Линии[_n],Линии[_УЗО, мА]),30))</f>
        <v/>
      </c>
      <c r="CW220">
        <f>IF(CS220="",0,IF(ISNUMBER(SEARCH("4P",IFERROR(_xlfn.XLOOKUP(CS220,Линии[_n],Линии[_УЗО строки])&amp;"",""))),0,1))</f>
        <v>0</v>
      </c>
      <c r="CX220" t="str">
        <f>IF(AND(CS220&lt;&gt;"",CS220=BA220),SUMIFS(Линии[_ток на 230 В],Линии[_блок УЗО],BA220,Линии[Щит],A220),"")</f>
        <v/>
      </c>
      <c r="CY220" t="str">
        <f>IF(AND(CS220&lt;&gt;"",CS220=BA220),SUMIFS(Линии[_ток утечки линии, мА],Линии[_блок УЗО],BA220,Линии[Щит],A220),"")</f>
        <v/>
      </c>
      <c r="CZ220">
        <f t="shared" si="444"/>
        <v>0</v>
      </c>
      <c r="DA220">
        <f t="shared" si="445"/>
        <v>0</v>
      </c>
      <c r="DB220">
        <f>IF(B220="",0,IFERROR(--_xlfn.XLOOKUP(B220,Коды_код,Коды_минавт),IFERROR(--_xlfn.XLOOKUP(BC220,Коды_код,Коды_минавт),IFERROR(--_xlfn.XLOOKUP(LEFT(BC220,2),Коды_код,Коды_минавт),0))))</f>
        <v>0</v>
      </c>
      <c r="DC220" t="str">
        <f>IF(B220="","",IFERROR(_xlfn.XLOOKUP(BC220,Коды_код,Коды_апп)&amp;"",""))</f>
        <v/>
      </c>
      <c r="DD220" t="str">
        <f t="shared" si="446"/>
        <v/>
      </c>
      <c r="DE220" t="str" cm="1">
        <f t="array" ref="DE220">IF(TRIM(DD220&amp;"")="","",IFERROR(TRIM(INDEX(_xlfn.TEXTSPLIT(DD220&amp;";;;",";"),1)),""))</f>
        <v/>
      </c>
      <c r="DF220" t="str" cm="1">
        <f t="array" ref="DF220">IF(TRIM(DD220&amp;"")="","",IFERROR(TRIM(INDEX(_xlfn.TEXTSPLIT(DD220&amp;";;;",";"),2)),""))</f>
        <v/>
      </c>
      <c r="DG220" t="str" cm="1">
        <f t="array" ref="DG220">IF(TRIM(DD220&amp;"")="","",IFERROR(TRIM(INDEX(_xlfn.TEXTSPLIT(DD220&amp;";;;",";"),3)),""))</f>
        <v/>
      </c>
      <c r="DH220">
        <f t="shared" si="447"/>
        <v>0</v>
      </c>
      <c r="DI220" t="str">
        <f>IF(B220="","",_xlfn.LET(_xlpm.t,LOWER(AZ220&amp;""),IF(ISNUMBER(SEARCH("dim",_xlpm.t)),"DIM",IF(ISNUMBER(SEARCH("dali",_xlpm.t)),"DALI",IF(OR(ISNUMBER(SEARCH("relay",_xlpm.t)),ISNUMBER(SEARCH("реле",_xlpm.t))),"Relay",IF(ISNUMBER(SEARCH("кнопк",_xlpm.t)),"",IFERROR(_xlfn.XLOOKUP(BC220,Коды_код,Коды_упр)&amp;"","")))))))</f>
        <v/>
      </c>
      <c r="DJ220" t="str">
        <f t="shared" si="448"/>
        <v/>
      </c>
      <c r="DK220">
        <f>IF(B220="","",_xlfn.LET(_xlpm.ig,IF(N(CX220)&gt;0,N(CX220),N(CI220)+IF(AJ220="вручную",0,N(CJ220))),_xlpm.n0,IFERROR(VLOOKUP(_xlpm.ig,Автомат_номиналы,2,TRUE),0),_xlpm.mn,MAX(DB220,IF(AJ220="вручную",0,N(CM220))),MAX(_xlpm.n0,_xlpm.mn,IF(DH220=1,Мин_автомат_БП,0))))</f>
        <v>25</v>
      </c>
      <c r="DL220">
        <f t="shared" si="449"/>
        <v>1</v>
      </c>
      <c r="DM220" t="str">
        <f t="shared" si="450"/>
        <v>1P</v>
      </c>
      <c r="DN220" t="str">
        <f>_xlfn.LET(_xlpm.cc,UPPER(TRIM(IFERROR(_xlfn.XLOOKUP(BC220,Коды_код,Коды_хар)&amp;"",""))),IF(OR(_xlpm.cc="B",_xlpm.cc="В"),"B",IF(_xlpm.cc="D","D","С")))</f>
        <v>С</v>
      </c>
      <c r="DO220" t="str">
        <f t="shared" si="451"/>
        <v>1P С25А</v>
      </c>
      <c r="DP220">
        <f t="shared" si="452"/>
        <v>25</v>
      </c>
      <c r="DQ220" t="str">
        <f t="shared" si="453"/>
        <v>1P С25А</v>
      </c>
      <c r="DR220" cm="1">
        <f t="array" ref="DR220">IF(DQ220="","",_xlfn.LET(_xlpm.t,SUBSTITUTE(SUBSTITUTE(SUBSTITUTE(UPPER(DQ220),"С","C"),"А","A"),"В","B"),_xlpm.tk,_xlfn.TEXTSPLIT(_xlpm.t," "),_xlpm.f,_xlfn._xlws.FILTER(_xlpm.tk,ISNUMBER(--MID(_xlpm.tk,2,1))*ISNUMBER(SEARCH(LEFT(_xlpm.tk,1)&amp;"#","B#C#D#"))*(LEN(_xlpm.tk)&gt;1),""),_xlpm.x,INDEX(_xlpm.f,1),IFERROR(--SUBSTITUTE(MID(_xlpm.x,2,9),"A",""),IFERROR(--SUBSTITUTE(INDEX(_xlfn._xlws.FILTER(_xlpm.tk,ISNUMBER(--SUBSTITUTE(_xlpm.tk,"A","")),""),1),"A",""),""))))</f>
        <v>25</v>
      </c>
      <c r="DS220" t="str">
        <f t="shared" si="454"/>
        <v>ok</v>
      </c>
      <c r="DT220">
        <f t="shared" si="455"/>
        <v>25</v>
      </c>
      <c r="DU220" t="str">
        <f t="shared" si="456"/>
        <v>1P С25А</v>
      </c>
      <c r="DV220">
        <f t="shared" si="457"/>
        <v>0</v>
      </c>
      <c r="DW220">
        <f t="shared" si="458"/>
        <v>0</v>
      </c>
      <c r="DX220">
        <f t="shared" si="459"/>
        <v>0</v>
      </c>
      <c r="DY220">
        <f t="shared" si="460"/>
        <v>21.080881539489624</v>
      </c>
      <c r="DZ220">
        <f t="shared" si="461"/>
        <v>1</v>
      </c>
      <c r="EA220">
        <f>IF(ISNUMBER(AP220),AP220,К_прокл)</f>
        <v>1</v>
      </c>
      <c r="EB220">
        <f t="shared" si="462"/>
        <v>2</v>
      </c>
      <c r="EC220">
        <f>IFERROR(N(VLOOKUP(BZ220,Кабель_обозначение,3,FALSE)),1)</f>
        <v>1</v>
      </c>
      <c r="ED220">
        <f>IFERROR(N(_xlfn.XLOOKUP(A220,Щиты[Щит],Щиты[ΔU до шин, %])),0)</f>
        <v>0.43</v>
      </c>
      <c r="EE220" t="str">
        <f>IFERROR(_xlfn.XLOOKUP(A220,Щиты[Щит],Щиты[Zпетли на шинах, Ом]),"")</f>
        <v/>
      </c>
      <c r="EF220">
        <f>IFERROR(N(_xlfn.XLOOKUP(A220,Щиты[Щит],Щиты[ΔU до шин (подбор), %])),0)</f>
        <v>0.43</v>
      </c>
      <c r="EG220" t="str">
        <f>IFERROR(_xlfn.XLOOKUP(A220,Щиты[Щит],Щиты[Zпетли на шинах (подбор), Ом]),"")</f>
        <v/>
      </c>
      <c r="EH220" t="str">
        <f t="shared" si="463"/>
        <v/>
      </c>
      <c r="EI220">
        <f t="shared" si="464"/>
        <v>22</v>
      </c>
      <c r="EJ220">
        <f t="shared" si="465"/>
        <v>2</v>
      </c>
      <c r="EK220">
        <f t="shared" si="466"/>
        <v>0.31</v>
      </c>
      <c r="EL220" s="6">
        <f>IF(B220="","",IF(BV220=1,dU_LED,IF(IFERROR(_xlfn.XLOOKUP(BC220,Коды_код,Коды_уго),"")="Светильник",3,4)+IF(Методика="нормы 2026",MIN(0.5,MAX(0,N(P220)-100)*0.005),0)))</f>
        <v>4</v>
      </c>
      <c r="EM220" cm="1">
        <f t="array" ref="EM220">IF(OR(B220="",BZ220="",EC220&lt;&gt;1),"",_xlfn.LET(_xlpm.sz,Iдоп_S,_xlpm.t_,CHOOSE(EB220,Iдоп_1ж,Iдоп_2ж,Iдоп_3ж)*DZ220*EA220,_xlpm.dcx,BV220=1,_xlpm.inn,IF(_xlpm.dcx,N(O220),N(DT220)),_xlpm.smin,MAX(1.5,CC220),_xlpm.L_,N(P220)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220)/N(BU220)*100,999),IFERROR(N(EJ220)*(_xlpm.rho*_xlpm.L_/_xlpm.sz*N(CE220)+_xlpm.xx*_xlpm.L_*N(EK220)/1000)*N(O220)/((Uн_лин/SQRT(3))*1000)*100,999)),_xlpm.kz,IF(OR(_xlpm.dcx,DW220=1,NOT(ISNUMBER(EG220)),_xlpm.L_=0,_xlpm.inn=0),1,IFERROR(--(c_min*(Uн_лин*1000/SQRT(3))/(EG220+2*ρкз_Cu*_xlpm.L_/_xlpm.sz)&gt;=HT220*_xlpm.inn),0)),_xlpm.ok,IFERROR((_xlpm.sz&gt;=_xlpm.smin)*(_xlpm.t_&gt;=_xlpm.inn)*IF(_xlpm.L_&gt;0,(_xlpm.du_+IF(_xlpm.dcx,0,EF220)&lt;=EL220+0.00001),1)*_xlpm.kz,0),_xlpm.r_,_xlfn._xlws.FILTER(_xlpm.sz,_xlpm.ok,"не подобрано"),INDEX(_xlpm.r_,1)))</f>
        <v>2.5</v>
      </c>
      <c r="EN220">
        <f t="shared" si="467"/>
        <v>6</v>
      </c>
      <c r="EO220" cm="1">
        <f t="array" ref="EO220">IF(OR(B220="",BZ220="",EC220&lt;&gt;1),"",_xlfn.LET(_xlpm.sz,Iдоп_S,_xlpm.t_,CHOOSE(EB220,Iдоп_1ж,Iдоп_2ж,Iдоп_3ж)*DZ220*EA220,_xlpm.ok,IFERROR((_xlpm.sz&gt;=MAX(1.5,CC220))*(_xlpm.t_&gt;=N(DT220)),0),_xlpm.r_,_xlfn._xlws.FILTER(_xlpm.sz,_xlpm.ok,""),INDEX(_xlpm.r_,1)))</f>
        <v>2.5</v>
      </c>
      <c r="EP220" s="6" cm="1">
        <f t="array" ref="EP220">IFERROR(ROUNDUP(N(EJ220)*(_xlfn.XLOOKUP(EO220,INDEX(Кабель_сопротивление,0,1),INDEX(Кабель_сопротивление,0,3))*N(P220)/EO220*N(CE220)+_xlfn.XLOOKUP(EO220,INDEX(Кабель_сопротивление,0,1),INDEX(Кабель_сопротивление,0,2))*N(P220)*N(EK220)/1000)*N(O220)/((Uн_лин/SQRT(3))*1000)*100,2),"")</f>
        <v>3.4499999999999997</v>
      </c>
      <c r="EQ220">
        <f>IFERROR(2*ρкз_Cu*N(P220)/EO220,"")</f>
        <v>0.46288000000000001</v>
      </c>
      <c r="ER220">
        <f>IFERROR(VLOOKUP(EN220,Кабель_сопротивление,3,FALSE),"")</f>
        <v>2.2499999999999999E-2</v>
      </c>
      <c r="ES220">
        <f>IFERROR(VLOOKUP(EN220,Кабель_сопротивление,2,FALSE),"")</f>
        <v>0.09</v>
      </c>
      <c r="ET220">
        <f t="shared" si="468"/>
        <v>8</v>
      </c>
      <c r="EU220" t="str">
        <f t="shared" si="469"/>
        <v/>
      </c>
      <c r="EV220">
        <f t="shared" si="470"/>
        <v>3.330307071492876</v>
      </c>
      <c r="EW220" s="6">
        <f>IFERROR(ROUNDUP(EV220/IF(BV220=1,BU220,(Uн_лин/SQRT(3))*1000)*100,2),"")</f>
        <v>1.45</v>
      </c>
      <c r="EX220" t="str">
        <f>IFERROR(VLOOKUP(BZ220,Кабель_обозначение,2,FALSE),"")</f>
        <v>ВВГнг(А)-LS</v>
      </c>
      <c r="EY220" t="str">
        <f t="shared" si="471"/>
        <v>ВВГнг(А)-LS (3х6)</v>
      </c>
      <c r="EZ220" t="str">
        <f t="shared" si="472"/>
        <v>ВВГнг(А)-LS (3х6)
L=22-1,45%</v>
      </c>
      <c r="FA220">
        <f>IFERROR(2*ρкз_Cu*P220/EN220,"")</f>
        <v>0.19286666666666666</v>
      </c>
      <c r="FB220">
        <f t="shared" si="473"/>
        <v>6.4166666666666664E-2</v>
      </c>
      <c r="FC220" s="6" t="str">
        <f>IFERROR(IF(OR(B220="",BV220=1,NOT(ISNUMBER(EN220)),N(P220)=0),"",_xlfn.XLOOKUP(A220,Щиты[Щит],Щиты[Zпетли на шинах, Ом])+FA220),"")</f>
        <v/>
      </c>
      <c r="FD220" s="6" t="str">
        <f>IF(ISNUMBER(FC220),c_min*(Uн_лин*1000/SQRT(3))/FC220,"")</f>
        <v/>
      </c>
      <c r="FE220" s="6" t="str">
        <f>IFERROR(IF(OR(B220="",NOT(ISNUMBER(EN220))),"",1.05*(Uн_лин*1000/SQRT(3))/(_xlfn.XLOOKUP(A220,Щиты[Щит],Щиты[Zmax на шинах, Ом])+FB220)/1000),"")</f>
        <v/>
      </c>
      <c r="FF220" s="6" t="str">
        <f>IF(B220="","",IF(ISNUMBER(AC220),"Сил",IF(IFERROR(_xlfn.XLOOKUP(BC220,Коды_код,Коды_группа)&amp;"","")="","Быт",_xlfn.XLOOKUP(BC220,Коды_код,Коды_группа)&amp;"")))</f>
        <v>Быт</v>
      </c>
      <c r="FG220" s="6" t="str">
        <f t="shared" si="474"/>
        <v>Пост</v>
      </c>
      <c r="FH220" s="6">
        <f>IF(FG220="Щит","щит",IF(FG220="","",IF(FG220="Быт",IFERROR(_xlfn.XLOOKUP(A220,Щиты[Щит],Щиты[Кс быт]),1),IF(FG220="Сил",IF(ISNUMBER(AC220),AC220,IF(Методика="нормы 2026",IFERROR(_xlfn.XLOOKUP(A220,Щиты[Щит],Щиты[Кс силовых (табл. 7.5)]),1),1)),IF(OR(FG220="Пост",FG220="Отоп"),1,IF(FG220="ВНГ",0.7,0))))))</f>
        <v>1</v>
      </c>
      <c r="FI220">
        <f>IF(FG220="","",IF(AND(BP220=1,TRIM(AE220&amp;"")=""),IF(COUNTIFS(Линии[Щит],A220,Линии[Секция (1/2/3)],"&gt;=2")&gt;0,MIN(3,MAX(1,IFERROR(--BD220,1))),1),IFERROR(MIN(3,MAX(1,INT(--AE220))),1)))</f>
        <v>1</v>
      </c>
      <c r="FJ220">
        <f t="shared" si="475"/>
        <v>4.625</v>
      </c>
      <c r="FK220">
        <f t="shared" si="476"/>
        <v>0</v>
      </c>
      <c r="FL220">
        <f t="shared" si="477"/>
        <v>0</v>
      </c>
      <c r="FM220">
        <f t="shared" si="478"/>
        <v>4.625</v>
      </c>
      <c r="FN220">
        <f t="shared" si="479"/>
        <v>0</v>
      </c>
      <c r="FO220">
        <f t="shared" si="480"/>
        <v>0</v>
      </c>
      <c r="FP220">
        <f t="shared" si="481"/>
        <v>4.625</v>
      </c>
      <c r="FQ220">
        <f t="shared" si="482"/>
        <v>4.625</v>
      </c>
      <c r="FR220">
        <f t="shared" si="483"/>
        <v>4.3937499999999998</v>
      </c>
      <c r="FS220">
        <f>IF(CG220=1,IF(AND(CH220=1,CW220=1),0,IF(AND(CS220&lt;&gt;"",CS220=BA220,CW220=1),SUMIFS(Линии[_Р линии, кВт],Линии[_блок УЗО],BA220,Линии[Щит],A220),N(BS220)+IF(AJ220="вручную",0,N(CK220)))),0)</f>
        <v>4.625</v>
      </c>
      <c r="FT220" t="str">
        <f t="shared" si="484"/>
        <v>L1</v>
      </c>
      <c r="FU220" t="str">
        <f>IF(B220="","",IF(CG220=0,IF(BA220=1,"",FW219),IF(AND(CH220=1,CW220=1,CS220&lt;&gt;""),IFERROR(_xlfn.XLOOKUP(CS220,Линии[_n],Линии[_фаза итог]),"L1"),IF(OR(N(DL220)&gt;=3,N(BX220)&gt;=3),"L1,L2,L3",IFERROR(_xlfn.TEXTBEFORE(_xlfn.TEXTAFTER(_xlfn.XLOOKUP(A220,Щиты[Щит],Щиты[_фазы авто]),";"&amp;BA220&amp;":"),";"),"L1")))))</f>
        <v>L1</v>
      </c>
      <c r="FV220" t="str">
        <f t="shared" si="485"/>
        <v>L1</v>
      </c>
      <c r="FW220" t="str">
        <f t="shared" si="486"/>
        <v>L1</v>
      </c>
      <c r="FX220" cm="1">
        <f t="array" ref="FX220">IFERROR(IF(CD220=2,_xlfn.IFS(BX220=3,VLOOKUP(BS220,Справочная_двигатели,3,FALSE),BX220=1,VLOOKUP(BS220,Справочная_двигатели,5,TRUE)),0),0)</f>
        <v>0</v>
      </c>
      <c r="FY220">
        <f>IFERROR(IF(CD220=3,VLOOKUP(BS220,Справочная_ЛЭД,2,TRUE),0),0)</f>
        <v>0</v>
      </c>
      <c r="FZ220" s="6">
        <f t="shared" si="487"/>
        <v>0</v>
      </c>
      <c r="GA220" t="str">
        <f>IF(B220="","",IF(TRIM(AH220&amp;"")&lt;&gt;"",IF(LOWER(TRIM(AH220&amp;""))="да","да","нет"),IF(IFERROR(_xlfn.XLOOKUP(BC220,Коды_код,Коды_пожарная),"")="да","да","нет")))</f>
        <v>нет</v>
      </c>
      <c r="GB220" t="str">
        <f t="shared" si="488"/>
        <v/>
      </c>
      <c r="GC220" t="str">
        <f t="shared" si="489"/>
        <v>основная</v>
      </c>
      <c r="GD220">
        <f>IF(AND(BP220=1,TRIM(AE220&amp;"")=""),IF(COUNTIFS(Линии[Щит],A220,Линии[Секция (1/2/3)],"&gt;=2")&gt;0,MIN(3,MAX(1,IFERROR(--BD220,1))),1),IFERROR(MIN(3,MAX(1,INT(--AE220))),1))</f>
        <v>1</v>
      </c>
      <c r="GE220" t="str" cm="1">
        <f t="array" ref="GE220">IF(B220="","",_xlfn.LET(_xlpm.t,IFERROR(_xlfn.XLOOKUP(1,(Шины[Шина]=GC220)*(((Шины[Щит]=A220)+(Шины[Щит]=""))&gt;0),Шины[Тип]),"")&amp;"",IF(_xlpm.t&lt;&gt;"",_xlpm.t,IF(ISNUMBER(SEARCH("ИБП",GC220)),"ИБП",IF(ISNUMBER(SEARCH("ДГУ",GC220)),"ДГУ","Ввод "&amp;GD220)))))</f>
        <v>Ввод 1</v>
      </c>
      <c r="GF220" t="str">
        <f t="shared" si="490"/>
        <v>Ввод 1</v>
      </c>
      <c r="GG220" t="str">
        <f>IF(BP220=0,"",IF(TRIM(AG220&amp;"")&lt;&gt;"",TRIM(AG220&amp;""),IF(OR(GE220="ИБП",GE220="ДГУ"),"I особая",_xlfn.XLOOKUP(A220,Щиты[Щит],Щиты[Категория шины «Ввод»],"III"))))</f>
        <v/>
      </c>
      <c r="GH220" t="str">
        <f>IF(A220="","",_xlfn.XLOOKUP(A220,Щиты[Щит],Щиты[Путь],""))</f>
        <v>|ГРЩ-ЖД|ЩР-01|</v>
      </c>
      <c r="GI220" t="str">
        <f>IF(B220="","",IF(AI220&lt;&gt;"",AI220,IF(IFERROR(_xlfn.XLOOKUP(BC220,Коды_код,Коды_вид)&amp;"","")="","Прочее",_xlfn.XLOOKUP(BC220,Коды_код,Коды_вид)&amp;"")))</f>
        <v>Слаботочные системы, автоматизация, KNX</v>
      </c>
      <c r="GJ220">
        <f>IF(BM220="","",INT((BM220-1)/Столбцов_на_лист)+1)</f>
        <v>4</v>
      </c>
      <c r="GK220" t="str">
        <f t="shared" si="491"/>
        <v>ВВГнг(А)-LS (3х6) L=22-1,45%</v>
      </c>
      <c r="GL220">
        <f t="shared" si="492"/>
        <v>4.625</v>
      </c>
      <c r="GM220">
        <f t="shared" si="493"/>
        <v>21.09</v>
      </c>
      <c r="GN220">
        <f t="shared" si="494"/>
        <v>1</v>
      </c>
      <c r="GO220">
        <f t="shared" si="495"/>
        <v>0</v>
      </c>
      <c r="GP220">
        <f t="shared" si="496"/>
        <v>1</v>
      </c>
      <c r="GQ220">
        <f>IF(BM220="","",IF(AND(CG220=1,GP220=1),COUNTIFS(A$3:A220,A220,CG$3:CG220,1,GP$3:GP220,1),IF(OR(OR(BA220=1,A220&lt;&gt;A219),AJ220="вручную",GP220=0),"",IF(BA220=1,"",GR219))))</f>
        <v>36</v>
      </c>
      <c r="GR220">
        <f t="shared" si="497"/>
        <v>36</v>
      </c>
      <c r="GS220">
        <f>IF(B220="","",IFERROR(LOOKUP(INDEX(CHOOSE(EB220,Iдоп_1ж,Iдоп_2ж,Iдоп_3ж),MATCH(EN220,Iдоп_S,0))*DZ220*EA220,{6,10,16,20,25,32,40,50,63,80,100,125,160,200,250,315,400,500,630}),""))</f>
        <v>50</v>
      </c>
      <c r="GT220" t="str">
        <f t="shared" si="498"/>
        <v>QF36</v>
      </c>
      <c r="GU220" t="str">
        <f t="shared" si="499"/>
        <v>QF36</v>
      </c>
      <c r="GV220" t="str">
        <f t="shared" si="500"/>
        <v/>
      </c>
      <c r="GW220">
        <f t="shared" si="501"/>
        <v>0</v>
      </c>
      <c r="GX220" t="str">
        <f>IF(OR(B220="",DJ220=""),"",IFERROR(_xlfn.XLOOKUP(DJ220,Модули_умолч[Управление],Модули_умолч[Модель])&amp;"",""))</f>
        <v/>
      </c>
      <c r="GY220">
        <f>IF(DJ220="",1,IFERROR(MAX(0,N(_xlfn.XLOOKUP(DJ220,Модули_умолч[Управление],Модули_умолч[Каналов на линию]))),1))</f>
        <v>1</v>
      </c>
      <c r="GZ220" t="str">
        <f t="shared" si="502"/>
        <v/>
      </c>
      <c r="HA220" t="str">
        <f t="shared" si="503"/>
        <v/>
      </c>
      <c r="HB220" t="str">
        <f t="shared" si="504"/>
        <v/>
      </c>
      <c r="HC220">
        <f>IF(HB220="",0,IFERROR(N(VLOOKUP(HB220,Модули_спр,3,FALSE)),0))</f>
        <v>0</v>
      </c>
      <c r="HD220" t="str">
        <f t="shared" si="505"/>
        <v/>
      </c>
      <c r="HE220" t="str">
        <f t="shared" si="506"/>
        <v/>
      </c>
      <c r="HF220" t="str">
        <f>IF(OR(HE220="",HE220="-"),"",IFERROR(VLOOKUP(HE220,Модули_спр,2,FALSE),"R"))</f>
        <v/>
      </c>
      <c r="HG220" t="str">
        <f>IF(HF220="","",HF220&amp;"."&amp;COUNTIFS(A$3:A220,A220,HF$3:HF220,HF220))</f>
        <v/>
      </c>
      <c r="HH220" t="str">
        <f t="shared" si="507"/>
        <v/>
      </c>
      <c r="HI220" t="str">
        <f t="shared" si="508"/>
        <v/>
      </c>
      <c r="HJ220" t="str">
        <f t="shared" si="509"/>
        <v/>
      </c>
      <c r="HK220" t="str">
        <f t="shared" si="510"/>
        <v/>
      </c>
      <c r="HL220">
        <f t="shared" si="511"/>
        <v>1</v>
      </c>
      <c r="HM220" t="str">
        <f>IF(HL220=1,"XT"&amp;COUNTIFS(A$3:A220,A220,HL$3:HL220,1),"")</f>
        <v>XT36</v>
      </c>
      <c r="HN220" t="str">
        <f t="shared" si="512"/>
        <v>XT36</v>
      </c>
      <c r="HO220" t="str">
        <f t="shared" si="513"/>
        <v>QF36</v>
      </c>
      <c r="HP220" t="str">
        <f t="shared" si="514"/>
        <v/>
      </c>
      <c r="HQ220" t="str">
        <f t="shared" si="515"/>
        <v>ok</v>
      </c>
      <c r="HR220" t="str">
        <f>IF(OR(HJ220="",HH220=""),"",IF(HJ220+MAX(0,GY220-1)&gt;IFERROR(VLOOKUP(HI220,Модули_спр,3,FALSE),99),"ЛИШНИЙ КАНАЛ",IF(AND(AL220&lt;&gt;"=",GY220&gt;0,COUNTIFS(Линии[_модуль гр.],HH220,Линии[Канал (итог)],HJ220,Линии[Канал],"&lt;&gt;=",Линии[Щит],A220)&gt;1),"ДУБЛЬ КАНАЛА","")))</f>
        <v/>
      </c>
      <c r="HS220" s="6" t="str">
        <f t="shared" si="516"/>
        <v/>
      </c>
      <c r="HT220">
        <f t="shared" si="517"/>
        <v>10</v>
      </c>
      <c r="HU220" t="str">
        <f t="shared" si="518"/>
        <v/>
      </c>
      <c r="HV220">
        <f t="shared" si="519"/>
        <v>8.6523526157958504</v>
      </c>
      <c r="HW220">
        <f t="shared" si="520"/>
        <v>0</v>
      </c>
      <c r="HX220">
        <f t="shared" si="521"/>
        <v>0</v>
      </c>
      <c r="HY220">
        <f t="shared" si="522"/>
        <v>0</v>
      </c>
      <c r="HZ220">
        <f t="shared" si="523"/>
        <v>0</v>
      </c>
      <c r="IA220">
        <f t="shared" si="524"/>
        <v>0</v>
      </c>
      <c r="IB220">
        <f t="shared" si="525"/>
        <v>0</v>
      </c>
      <c r="IC220" t="str">
        <f t="shared" si="526"/>
        <v/>
      </c>
      <c r="ID220" t="str" cm="1">
        <f t="array" ref="ID220">IF(IC220="","",_xlfn.LET(_xlpm.tk,_xlfn.TEXTSPLIT(SUBSTITUTE(SUBSTITUTE(IC220,";"," "),"→"," ")," ",,TRUE),_xlpm.w_,_xlfn._xlws.FILTER(_xlpm.tk,ISNUMBER(--LEFT(_xlpm.tk,1))*((ISNUMBER(SEARCH("W",_xlpm.tk))+ISNUMBER(SEARCH("Вт",_xlpm.tk)))&gt;0),""),IFERROR(--SUBSTITUTE(SUBSTITUTE(UPPER(INDEX(_xlpm.w_,1)),"W",""),"ВТ",""),"")))</f>
        <v/>
      </c>
      <c r="IE220" t="str" cm="1">
        <f t="array" ref="IE220">IF(IC220="","",_xlfn.LET(_xlpm.tk,_xlfn.TEXTSPLIT(SUBSTITUTE(SUBSTITUTE(IC220,";"," "),"→"," ")," ",,TRUE),_xlpm.v_,_xlfn._xlws.FILTER(_xlpm.tk,ISNUMBER(--LEFT(_xlpm.tk,1))*((ISNUMBER(SEARCH("V",_xlpm.tk))+(RIGHT(UPPER(_xlpm.tk))="В"))&gt;0),""),IFERROR(--SUBSTITUTE(SUBSTITUTE(UPPER(INDEX(_xlpm.v_,1)),"V",""),"В",""),"")))</f>
        <v/>
      </c>
      <c r="IF220" s="6" t="str">
        <f>IF(OR(BV220=0,HI220="",HJ220=""),"",IFERROR(N(_xlfn.XLOOKUP(HI220,Каталог!$C$4:$C$500,Каталог!$Q$4:$Q$500)),""))</f>
        <v/>
      </c>
      <c r="IG220" s="6" t="str">
        <f>IF(N(IF220)=0,"",SUMIFS(Линии[Iр, А],Линии[Щит],A220,Линии[_модуль гр.],HH220,Линии[Канал (итог)],HJ220))</f>
        <v/>
      </c>
      <c r="IH220" t="str">
        <f>IF(AND(B220="",HO220=""),"",_xlfn.TEXTJOIN("; ",TRUE,IF(AND(B220&lt;&gt;"",FV220=""),"нет фазы",""),IF(AND(B220&lt;&gt;"",N(GL220)=0,FG220&lt;&gt;"Нет"),"нет мощности",""),IF(AND(HN220&lt;&gt;"",COUNTIFS(Линии[Щит],A220,Линии[Клемма (итог)],HN220)&gt;1),"дубль клеммы "&amp;HN220,""),IF(AND(HQ220&lt;&gt;"",HQ220&lt;&gt;"ok"),HQ220,""),IF(HR220&lt;&gt;"",HR220,""),IF(AND(N(CB220)&gt;=4,N(BX220)=1),CB220&amp;" жил на 1 фазе",""),IF(AND(BC220="R",CG220=1,IF(CS220&lt;&gt;"",N(CV220)&gt;30,OR(N(DA220)=0,N(DA220)&gt;30))),"розетка без дифзащиты до 30 мА",""),IF(AND(CG220=1,N(DA220)&gt;0,ISNUMBER(T220)),IF(T220&gt;N(DA220)/3,"ток утечки "&amp;FIXED(T220,1)&amp;" мА &gt; 1/3 уставки ("&amp;DA220&amp;" мА)",""),""),IF(AND(CH220=1,CS220=""),"«узо»: нет строки с УЗО выше (УЗО 2P 40А 30мА в «Аппаратах»)",""),IF(AND(CS220&lt;&gt;"",CS220=BA220),IF(CT220="","впишите номинал УЗО (УЗО 2P 40А 30мА)",IF(N(CT220)&lt;N(DT220),"УЗО "&amp;CT220&amp;" А &lt; автомата "&amp;DT220&amp;" А перед ним",IF(N(CT220)&lt;N(CX220),"УЗО "&amp;CT220&amp;" А &lt; тока блока "&amp;FIXED(CX220,1)&amp;" А",""))),""),IF(AND(CS220&lt;&gt;"",CS220=BA220,ISNUMBER(CY220)),IF(CY220&gt;N(CV220)/3,"ток утечки блока УЗО "&amp;FIXED(CY220,1)&amp;" мА &gt; 1/3 уставки ("&amp;CV220&amp;" мА)",""),""),IF(AND(CG220=1,N(BV220)+N(IB220)&gt;0,IC220=""),"линии до 50 В без БП: впишите в «Аппараты» (БП 24V 480W)",""),IF(AND(CG220=1,ISNUMBER(ID220),ISNUMBER(U220)),IF(U220&gt;ID220,"БП "&amp;ID220&amp;" Вт &lt; нужно "&amp;U220&amp;" Вт (×"&amp;Запас_БП&amp;")",""),""),IF(AND(CG220=1,ISNUMBER(IE220),N(BV220)=1),IF(IE220&lt;&gt;N(BU220),"БП на "&amp;IE220&amp;" В, линия "&amp;BU220&amp;" В",""),""),IF(AND(N(IF220)&gt;0,N(IG220)&gt;N(IF220)),HH220&amp;" канал "&amp;HJ220&amp;": "&amp;FIXED(IG220,1)&amp;" А &gt; "&amp;IF220&amp;" А",""),IFERROR(IF(AND(ISNUMBER(Q220),Q220&gt;EL220),"потери "&amp;FIXED(Q220,1)&amp;" % &gt; "&amp;EL220&amp;" %",""),""),IFERROR(IF(LEFT(HU220,4)="мало","Iкз мало — отключение &gt; 0,4 с",""),""),IF(AND(B220&lt;&gt;"",BM220=""),"не на схеме",""),IF(AND(CG220=0,B220&lt;&gt;"",FV220&lt;&gt;"",IF(BA220=1,"",FW219)&lt;&gt;"",FV220&lt;&gt;IF(BA220=1,"",FW219)),"фаза не как у автомата группы ("&amp;IF(BA220=1,"",FW219)&amp;")","")))</f>
        <v/>
      </c>
      <c r="II220" s="6" t="str">
        <f>IF(OR(CG220=0,DQ220=""),"",_xlfn.LET(_xlpm.t,IFERROR(_xlfn.XLOOKUP(DQ220,Каталог!$U$4:$U$500,Каталог!$G$4:$G$500),""),_xlpm.k,SEARCH("кА",_xlpm.t),IFERROR(--TRIM(RIGHT(SUBSTITUTE(MID(_xlpm.t,MAX(1,_xlpm.k-4),_xlpm.k-MAX(1,_xlpm.k-4))," ",REPT(" ",9)),5)),"")))</f>
        <v/>
      </c>
      <c r="IJ220" t="str">
        <f>IF(OR(II220="",CG220=0),"",IF(_xlfn.XLOOKUP(A220,Щиты[Щит],Щиты[Iкз max на шинах, кА],"")="","",IF(II220&lt;_xlfn.XLOOKUP(A220,Щиты[Щит],Щиты[Iкз max на шинах, кА]),"Icu "&amp;II220&amp;" кА &lt; Iкз max","ok")))</f>
        <v/>
      </c>
      <c r="IK220" t="str">
        <f t="shared" si="527"/>
        <v/>
      </c>
      <c r="IL220" t="str">
        <f t="shared" si="528"/>
        <v>QF36|XT36</v>
      </c>
      <c r="IM220" t="str">
        <f t="shared" si="529"/>
        <v>QF36|XT36|кабель ВВГнг(А)-LS (3х6) → Шкаф телекоммуникационный ШТК-2 Цокольный этаж Пом. №002Т</v>
      </c>
      <c r="IN220" t="str" cm="1">
        <f t="array" ref="IN220">IF(IM220="","",_xlfn.LET(_xlpm.nd,_xlfn.TEXTSPLIT(IM220,"|"),IF(COLUMNS(_xlpm.nd)&gt;1,A220&amp;"¦"&amp;INDEX(_xlpm.nd,1)&amp;"¦"&amp;INDEX(_xlpm.nd,2),"")))</f>
        <v>ЩР-01¦QF36¦XT36</v>
      </c>
      <c r="IO220" t="str">
        <f t="shared" si="530"/>
        <v>ШТК-1¦Шкаф телекоммуникационный ШТК-2 Цокольный этаж Пом. №002Т</v>
      </c>
      <c r="IP220" t="str" cm="1">
        <f t="array" ref="IP220">IF(IM220="","",_xlfn.LET(_xlpm.nd,_xlfn.TEXTSPLIT(IM220,"|"),IF(COLUMNS(_xlpm.nd)&gt;2,A220&amp;"¦"&amp;INDEX(_xlpm.nd,2)&amp;"¦"&amp;INDEX(_xlpm.nd,3),"")))</f>
        <v>ЩР-01¦XT36¦кабель ВВГнг(А)-LS (3х6) → Шкаф телекоммуникационный ШТК-2 Цокольный этаж Пом. №002Т</v>
      </c>
      <c r="IQ220" t="str">
        <f t="shared" si="531"/>
        <v>ШТК-1¦Шкаф телекоммуникационный ШТК-2 Цокольный этаж Пом. №002Т</v>
      </c>
      <c r="IR220" t="str" cm="1">
        <f t="array" ref="IR220">IF(IM220="","",_xlfn.LET(_xlpm.nd,_xlfn.TEXTSPLIT(IM220,"|"),IF(COLUMNS(_xlpm.nd)&gt;3,A220&amp;"¦"&amp;INDEX(_xlpm.nd,3)&amp;"¦"&amp;INDEX(_xlpm.nd,4),"")))</f>
        <v/>
      </c>
      <c r="IS220" t="str">
        <f t="shared" si="532"/>
        <v/>
      </c>
      <c r="IT220" t="str" cm="1">
        <f t="array" ref="IT220">IF(IM220="","",_xlfn.LET(_xlpm.nd,_xlfn.TEXTSPLIT(IM220,"|"),IF(COLUMNS(_xlpm.nd)&gt;4,A220&amp;"¦"&amp;INDEX(_xlpm.nd,4)&amp;"¦"&amp;INDEX(_xlpm.nd,5),"")))</f>
        <v/>
      </c>
      <c r="IU220" t="str">
        <f t="shared" si="533"/>
        <v/>
      </c>
      <c r="IV220" t="str" cm="1">
        <f t="array" ref="IV220">IF(IM220="","",_xlfn.LET(_xlpm.nd,_xlfn.TEXTSPLIT(IM220,"|"),IF(COLUMNS(_xlpm.nd)&gt;5,A220&amp;"¦"&amp;INDEX(_xlpm.nd,5)&amp;"¦"&amp;INDEX(_xlpm.nd,6),"")))</f>
        <v/>
      </c>
      <c r="IW220" t="str">
        <f t="shared" si="534"/>
        <v/>
      </c>
      <c r="IX220" t="str" cm="1">
        <f t="array" ref="IX220">IF(IM220="","",_xlfn.LET(_xlpm.nd,_xlfn.TEXTSPLIT(IM220,"|"),IF(COLUMNS(_xlpm.nd)&gt;6,A220&amp;"¦"&amp;INDEX(_xlpm.nd,6)&amp;"¦"&amp;INDEX(_xlpm.nd,7),"")))</f>
        <v/>
      </c>
      <c r="IY220" t="str">
        <f t="shared" si="535"/>
        <v/>
      </c>
      <c r="IZ220" t="str">
        <f t="shared" si="536"/>
        <v/>
      </c>
      <c r="JA220" t="str">
        <f t="shared" si="537"/>
        <v>QF36 → XT36</v>
      </c>
      <c r="JB220">
        <f t="shared" si="538"/>
        <v>0</v>
      </c>
      <c r="JC220">
        <f t="shared" si="539"/>
        <v>0</v>
      </c>
      <c r="JD220" t="str">
        <f t="shared" si="540"/>
        <v/>
      </c>
      <c r="JE220" t="str">
        <f t="shared" si="541"/>
        <v/>
      </c>
      <c r="JF220" t="str">
        <f t="shared" si="542"/>
        <v/>
      </c>
      <c r="JG220" t="str">
        <f t="shared" si="543"/>
        <v/>
      </c>
      <c r="JH220" t="str">
        <f>IF(B220="","",IFERROR(_xlfn.XLOOKUP(B220,Коды_код,Коды_уго),IFERROR(_xlfn.XLOOKUP(BC220,Коды_код,Коды_уго),IFERROR(_xlfn.XLOOKUP(LEFT(BC220,2),Коды_код,Коды_уго),""))))</f>
        <v/>
      </c>
      <c r="JI220" t="str">
        <f>IF(B220="","",IF(OR(JH220="",JH220=0),"BOX",IFERROR(IF(VLOOKUP(JH220,УГО_блоки,3,FALSE)&amp;""&lt;&gt;"",VLOOKUP(JH220,УГО_блоки,3,FALSE),VLOOKUP(JH220,УГО_блоки,2,FALSE)),JH220)))</f>
        <v>BOX</v>
      </c>
      <c r="JJ220">
        <f t="shared" si="544"/>
        <v>1</v>
      </c>
      <c r="JK220" t="str">
        <f>IF(DQ220="","",IF(COUNTIF(DQ$3:DQ220,DQ220)=1,MAX(JK$2:JK219)+1,""))</f>
        <v/>
      </c>
      <c r="JL220" t="str">
        <f>IF(DE220="","",IF(COUNTIF(DE$3:DE220,DE220)+COUNTIF(DF$2:DF219,DE220)+COUNTIF(DG$2:DG219,DE220)=1,MAX(JL$2:JN219)+1,""))</f>
        <v/>
      </c>
      <c r="JM220" t="str">
        <f>IF(DF220="","",IF(COUNTIF(DE$3:DE220,DF220)+COUNTIF(DF$3:DF220,DF220)+COUNTIF(DG$2:DG219,DF220)=1,MAX(JL$2:JN219,JL220)+1,""))</f>
        <v/>
      </c>
      <c r="JN220" t="str">
        <f>IF(DG220="","",IF(COUNTIF(DE$3:DE220,DG220)+COUNTIF(DF$3:DF220,DG220)+COUNTIF(DG$3:DG220,DG220)=1,MAX(JL$2:JN219,JL220,JM220)+1,""))</f>
        <v/>
      </c>
      <c r="JO220" t="str">
        <f t="shared" si="545"/>
        <v>3х6</v>
      </c>
      <c r="JP220" t="str">
        <f>IF(JO220="","",IF(COUNTIF(JO$3:JO220,JO220)=1,MAX(JP$2:JP219)+1,""))</f>
        <v/>
      </c>
      <c r="JQ220" t="str">
        <f>IF(HG220="","",COUNTIF(HG$3:HG220,"?*"))</f>
        <v/>
      </c>
      <c r="JR220" t="str">
        <f>IF(OR(HG220="",HI220=""),"",IF(COUNTIFS(HG$3:HG220,"?*",HI$3:HI220,HI220)=1,MAX(JR$2:JR219)+1,""))</f>
        <v/>
      </c>
      <c r="JS220">
        <f t="shared" si="546"/>
        <v>0</v>
      </c>
      <c r="JT220">
        <f>IF(B220="","",COUNTIF(B$3:B220,"?*"))</f>
        <v>218</v>
      </c>
      <c r="JU220">
        <f>IF(HL220&lt;&gt;1,0,_xlfn.LET(_xlpm.k,MAX(IFERROR(--_xlfn.XLOOKUP(B220,Коды_код,Коды_3L),0),IFERROR(--_xlfn.XLOOKUP(BC220,Коды_код,Коды_3L),0),IFERROR(--_xlfn.XLOOKUP(LEFT(BC220,2),Коды_код,Коды_3L),0)),IF(_xlpm.k&gt;0,_xlpm.k,IF(IFERROR(--LEFT(SUBSTITUTE(JO220,"x","х"),FIND("х",SUBSTITUTE(JO220,"x","х"))-1),3)&gt;3,Каталог!$S$9,1))))</f>
        <v>1</v>
      </c>
      <c r="JV220">
        <f t="shared" si="547"/>
        <v>0</v>
      </c>
      <c r="JW220" t="str">
        <f t="shared" si="548"/>
        <v>авто</v>
      </c>
      <c r="JX220" t="str">
        <f t="shared" si="549"/>
        <v/>
      </c>
      <c r="JY220">
        <f t="shared" si="550"/>
        <v>0</v>
      </c>
      <c r="JZ220">
        <f t="shared" si="551"/>
        <v>1</v>
      </c>
    </row>
    <row r="221" spans="1:286" x14ac:dyDescent="0.3">
      <c r="A221" t="s">
        <v>755</v>
      </c>
      <c r="B221" t="s">
        <v>1528</v>
      </c>
      <c r="C221" t="s">
        <v>1703</v>
      </c>
      <c r="D221">
        <v>1</v>
      </c>
      <c r="E221">
        <v>2.7</v>
      </c>
      <c r="G221">
        <v>16</v>
      </c>
      <c r="H221" t="str">
        <f>Линии[[#This Row],[_авто управление]]</f>
        <v/>
      </c>
      <c r="I221" t="str">
        <f>Линии[[#This Row],[_авто аппараты]]</f>
        <v/>
      </c>
      <c r="J221">
        <v>2.5</v>
      </c>
      <c r="K221">
        <v>22</v>
      </c>
      <c r="L221">
        <v>2</v>
      </c>
      <c r="M221" t="str">
        <f>Линии[[#This Row],[_авто клемма]]</f>
        <v>XT37</v>
      </c>
      <c r="N221" t="str">
        <f t="shared" si="414"/>
        <v/>
      </c>
      <c r="O221" s="6" cm="1">
        <f t="array" ref="O221">IF(B221="","",IF(BH221&lt;&gt;"",IFERROR(_xlfn.XLOOKUP(BH221,Щиты[Щит],Щиты[Iр, А]),""),IF(BP221=1,IF(OR(N(_xlfn.XLOOKUP(A221,Щиты[Щит],Щиты[Вводов],1))&lt;=1,LOWER(TRIM(_xlfn.XLOOKUP(A221,Щиты[Щит],Щиты[АВР],"")&amp;""))="да"),IFERROR(_xlfn.XLOOKUP(A221,Щиты[Щит],Щиты[Iр, А]),""),IFERROR(N(BS221)*_xlfn.XLOOKUP(A221,Щиты[Щит],Щиты[Кс итог])/(SQRT(3)*Uн_лин*_xlfn.XLOOKUP(A221,Щиты[Щит],Щиты[cos φ])),"")),IF(BV221=1,IFERROR(BS221*1000/BU221,""),IFERROR(_xlfn.IFS(BX221=1,BS221/((Uн_лин/SQRT(3))*CE221),BX221=3,BS221/(SQRT(3)*Uн_лин*CE221)),"")))))</f>
        <v>12.306676790620971</v>
      </c>
      <c r="P221" s="7">
        <f>IF(B221="","",IFERROR(IF(VLOOKUP(BC221,Потребители_обозначение,4,FALSE)=1,VLOOKUP(BC221,Потребители_обозначение,3,FALSE)*(MAX(1,N(D221))*2-1)+EI221+VLOOKUP(BE221,Этаж_обозначение,3,FALSE)+VLOOKUP(BE221,Этаж_обозначение,4,FALSE),VLOOKUP(BC221,Потребители_обозначение,3,FALSE)*(MAX(1,N(D221))*2-1)+EI221),EI221))</f>
        <v>25</v>
      </c>
      <c r="Q221" s="6">
        <f t="shared" si="415"/>
        <v>2.7199999999999998</v>
      </c>
      <c r="R221" t="str">
        <f t="shared" si="416"/>
        <v>ВВГнг(А)-LS (3х2,5)</v>
      </c>
      <c r="S221" t="str">
        <f>IF(BM221="","",IF(BN221="вводной узел","узел ","")&amp;"л."&amp;(INT((BM221-1)/Столбцов_на_лист)+1)&amp;" / "&amp;(MOD(BM221-1,Столбцов_на_лист)+1))</f>
        <v>л.4 / 3</v>
      </c>
      <c r="T221" s="119">
        <f t="shared" si="417"/>
        <v>5.2</v>
      </c>
      <c r="U221" s="7" t="str">
        <f>IF(OR(CG221=0,N(BV221)+N(IB221)=0),"",ROUNDUP(Запас_БП*(N(HY221)+N(HZ221)),0))</f>
        <v/>
      </c>
      <c r="V221" s="119" t="str">
        <f t="shared" si="418"/>
        <v/>
      </c>
      <c r="W221" s="7" t="str">
        <f>IFERROR(IF(OR(B221="",BP221=1,BV221=1,NOT(ISNUMBER(EN221)),N(DT221)=0),"",MAX(0,ROUNDDOWN((c_min*(Uн_лин*1000/SQRT(3))/(HT221*N(DT221))-_xlfn.XLOOKUP(A221,Щиты[Щит],Щиты[Zпетли на шинах, Ом]))*EN221/(2*ρкз_Cu),0))),"")</f>
        <v/>
      </c>
      <c r="Y221" t="str">
        <f>Линии[[#This Row],[_авто утечка]]</f>
        <v/>
      </c>
      <c r="Z221">
        <v>1</v>
      </c>
      <c r="AA221">
        <v>230</v>
      </c>
      <c r="AB221" t="s">
        <v>573</v>
      </c>
      <c r="AG221" t="s">
        <v>810</v>
      </c>
      <c r="AI221" t="s">
        <v>572</v>
      </c>
      <c r="AK221" t="str">
        <f>Линии[[#This Row],[_авто модуль]]</f>
        <v/>
      </c>
      <c r="AM221">
        <v>54</v>
      </c>
      <c r="AN221" t="s">
        <v>11</v>
      </c>
      <c r="AO221">
        <v>3</v>
      </c>
      <c r="AQ221">
        <v>6</v>
      </c>
      <c r="AR221">
        <v>8</v>
      </c>
      <c r="BA221" cm="1">
        <f t="array" ref="BA221">ROW()-ROW(Линии[#Headers])</f>
        <v>219</v>
      </c>
      <c r="BC221" s="6" t="str">
        <f t="shared" si="419"/>
        <v>ШТК-СОТ</v>
      </c>
      <c r="BD221" t="str">
        <f t="shared" si="420"/>
        <v>0</v>
      </c>
      <c r="BE221" t="str">
        <f t="shared" si="421"/>
        <v>0</v>
      </c>
      <c r="BF221" t="str">
        <f t="shared" si="422"/>
        <v/>
      </c>
      <c r="BG221" t="str">
        <f t="shared" si="423"/>
        <v/>
      </c>
      <c r="BH221" t="str">
        <f>IF(X221&lt;&gt;"",X221,IF(AND(B221&lt;&gt;"",B221&lt;&gt;A221,ISNUMBER(_xlfn.XMATCH(B221,Щиты[Щит]))),B221,""))</f>
        <v/>
      </c>
      <c r="BI221" t="str" cm="1">
        <f t="array" ref="BI221">IF(B221="","",IF(BH221&lt;&gt;"","Щит "&amp;BH221,_xlfn.LET(_xlpm.nm,IFERROR(_xlfn.XLOOKUP(BC221,Коды_код,Коды_имя)&amp;"",""),_xlpm.md,IFERROR(N(_xlfn.XLOOKUP(BC221,Коды_код,Коды_режим)),1),_xlpm.ex,IF(Имя_режим="по экспликации",IFERROR(_xlfn.XLOOKUP(BE221&amp;"|"&amp;BG221,Экспликация[Этаж]&amp;"|"&amp;Экспликация[Помещение],Экспликация[Название])&amp;"",""),""),_xlpm.rm,IF(BG221="","",IF(_xlpm.ex&lt;&gt;"",". "&amp;_xlpm.ex&amp;IF(Имя_пом="нет"," ("&amp;BG221&amp;")"," (пом. "&amp;BG221&amp;")"),IF(Имя_пом="нет"," ",", пом. ")&amp;BG221)),IF(_xlpm.nm="","",IF(_xlpm.md=2,_xlpm.nm&amp;" шлейф "&amp;BE221,_xlpm.nm&amp;_xlpm.rm)))))</f>
        <v>Шкаф телекоммуникационный СОТ шлейф 0</v>
      </c>
      <c r="BJ221" t="str">
        <f t="shared" si="424"/>
        <v>Шкаф телекоммуникационный ШТК-СОТ.0 Цокольный этаж Пом. №002Т</v>
      </c>
      <c r="BK221">
        <f>IFERROR(_xlfn.XMATCH(A221,Щиты[Щит]),0)</f>
        <v>9</v>
      </c>
      <c r="BL221">
        <f>_xlfn.LET(_xlpm.k,IFERROR(_xlfn.XLOOKUP(A221,Щиты[Щит],Щиты[Мест под вводной узел]),""),IF(_xlpm.k="",Столбцов_на_лист,N(_xlpm.k)))</f>
        <v>8</v>
      </c>
      <c r="BM221">
        <f t="shared" si="425"/>
        <v>54</v>
      </c>
      <c r="BN221" t="str">
        <f t="shared" si="426"/>
        <v>линии</v>
      </c>
      <c r="BO221" s="6">
        <f>IFERROR(N(_xlfn.XLOOKUP(BC221,Коды_код,Коды_квт)),0)</f>
        <v>0</v>
      </c>
      <c r="BP221">
        <f t="shared" si="427"/>
        <v>0</v>
      </c>
      <c r="BQ221" t="str">
        <f>IF(B221="","",IF(BH221&lt;&gt;"",IFERROR(_xlfn.XLOOKUP(BH221,Щиты[Щит],Щиты[Руст, кВт]),0),IF(BP221=1,IF(OR(N(_xlfn.XLOOKUP(A221,Щиты[Щит],Щиты[Вводов],1))&lt;=1,LOWER(TRIM(_xlfn.XLOOKUP(A221,Щиты[Щит],Щиты[АВР],"")&amp;""))="да"),IFERROR(_xlfn.XLOOKUP(A221,Щиты[Щит],Щиты[Руст, кВт]),0),SUMIFS(Линии[_Р для вводов],Линии[Щит],A221,Линии[Источник для режимов],GF221)),IF(BO221&gt;0,ROUND(BO221*MAX(1,N(D221)),3),""))))</f>
        <v/>
      </c>
      <c r="BR221">
        <f t="shared" si="428"/>
        <v>2.7</v>
      </c>
      <c r="BS221" s="6">
        <f>IF(B221="","",IF(BH221&lt;&gt;"",IFERROR(_xlfn.XLOOKUP(BH221,Щиты[Щит],Щиты[Руст, кВт]),0),N(BR221)))</f>
        <v>2.7</v>
      </c>
      <c r="BT221" t="str">
        <f>IF(B221="","",IFERROR(IF(VLOOKUP(BC221,Потребители_обозначение,8,FALSE)=0,"",VLOOKUP(BC221,Потребители_обозначение,8,FALSE)),""))</f>
        <v/>
      </c>
      <c r="BU221">
        <f t="shared" si="429"/>
        <v>230</v>
      </c>
      <c r="BV221">
        <f t="shared" si="430"/>
        <v>0</v>
      </c>
      <c r="BW221">
        <f>IF(B221="","",IF(BH221&lt;&gt;"",3,IFERROR(IF(N(VLOOKUP(BC221,Потребители_обозначение,9,FALSE))=0,1,VLOOKUP(BC221,Потребители_обозначение,9,FALSE)),1)))</f>
        <v>1</v>
      </c>
      <c r="BX221">
        <f t="shared" si="431"/>
        <v>1</v>
      </c>
      <c r="BY221" t="str">
        <f>IF(B221="","",_xlfn.LET(_xlpm.bc,IFERROR(IF(VLOOKUP(BC221,Потребители_обозначение,6,FALSE)=0,"",VLOOKUP(BC221,Потребители_обозначение,6,FALSE)&amp;""),""),IF(AND(GA221="да",OR(_xlpm.bc="",_xlpm.bc="мс")),Марка_пож,IF(AND(_xlpm.bc="",BH221&lt;&gt;""),"мс",_xlpm.bc))))</f>
        <v/>
      </c>
      <c r="BZ221" t="str">
        <f t="shared" si="432"/>
        <v>мс</v>
      </c>
      <c r="CA221">
        <f>IF(B221="","",_xlfn.LET(_xlpm.cc,IFERROR(N(VLOOKUP(BC221,Потребители_обозначение,7,FALSE)),0),IF(_xlpm.cc&gt;0,_xlpm.cc,IF(BZ221="","",IF(BV221=1,2,IF(N(BX221)=3,5,3))))))</f>
        <v>3</v>
      </c>
      <c r="CB221">
        <f t="shared" si="433"/>
        <v>3</v>
      </c>
      <c r="CC221">
        <f>IFERROR(N(VLOOKUP(BC221,Потребители_обозначение,10,FALSE)),0)</f>
        <v>0</v>
      </c>
      <c r="CD221">
        <f>IFERROR(VLOOKUP(BC221,Потребители_обозначение,5,FALSE),0)</f>
        <v>1</v>
      </c>
      <c r="CE221" s="6" cm="1">
        <f t="array" ref="CE221">IF(B221="","",IF(BH221&lt;&gt;"",IFERROR(_xlfn.XLOOKUP(BH221,Щиты[Щит],Щиты[cos φ]),0.95),IF(BP221=1,IFERROR(_xlfn.XLOOKUP(A221,Щиты[Щит],Щиты[cos φ]),0.95),IF(ISNUMBER(AD221),AD221,IFERROR(IF(CD221=2,_xlfn.IFS(BX221=3,VLOOKUP(BS221,Справочная_двигатели,8,FALSE),BX221=1,VLOOKUP(BS221,Справочная_двигатели,10,TRUE)),IF(AND(Методика="нормы 2026",FG221="Сил"),0.8,0.95)),0.95)))))</f>
        <v>0.95</v>
      </c>
      <c r="CF221">
        <f t="shared" si="434"/>
        <v>0</v>
      </c>
      <c r="CG221">
        <f t="shared" si="435"/>
        <v>1</v>
      </c>
      <c r="CH221">
        <f t="shared" si="436"/>
        <v>0</v>
      </c>
      <c r="CI221">
        <f>IF(B221="","",IF(BV221=1,IFERROR(BS221/((Uн_лин/SQRT(3))*MAX(0.5,N(CE221))),0),N(O221)))</f>
        <v>12.306676790620971</v>
      </c>
      <c r="CJ221">
        <f t="shared" si="437"/>
        <v>0</v>
      </c>
      <c r="CK221">
        <f t="shared" si="438"/>
        <v>0</v>
      </c>
      <c r="CL221">
        <f t="shared" si="439"/>
        <v>0</v>
      </c>
      <c r="CM221">
        <f t="shared" si="440"/>
        <v>0</v>
      </c>
      <c r="CN221">
        <f t="shared" si="441"/>
        <v>0</v>
      </c>
      <c r="CO221">
        <f>IF(BC221="",0,_xlfn.LET(_xlpm.v,IFERROR(_xlfn.XLOOKUP(B221,Коды_код,Коды_мА),IFERROR(_xlfn.XLOOKUP(BC221,Коды_код,Коды_мА),IFERROR(_xlfn.XLOOKUP(LEFT(BC221,2),Коды_код,Коды_мА),""))),IF(_xlpm.v="да",30,IF(ISNUMBER(_xlpm.v),_xlpm.v,0))))</f>
        <v>0</v>
      </c>
      <c r="CP221" t="str">
        <f t="shared" si="442"/>
        <v/>
      </c>
      <c r="CQ221" t="str">
        <f>_xlfn.LET(_xlpm.k,IFERROR(_xlfn.XLOOKUP(BC221,Коды_код,Коды_утечка)&amp;"",""),IF(_xlpm.k="","дифавтомат",_xlpm.k))</f>
        <v>дифавтомат</v>
      </c>
      <c r="CR221" t="str" cm="1">
        <f t="array" ref="CR221">IF(CG221=0,"",_xlfn.LET(_xlpm.sg,TRIM(_xlfn.TEXTSPLIT(DD221&amp;"",";")),_xlpm.f_,_xlfn._xlws.FILTER(_xlpm.sg,LEFT(_xlpm.sg,3)="УЗО",""),IFERROR(INDEX(_xlpm.f_,1)&amp;"","")))</f>
        <v/>
      </c>
      <c r="CS221" t="str">
        <f t="shared" si="443"/>
        <v/>
      </c>
      <c r="CT221" s="6" t="str" cm="1">
        <f t="array" ref="CT221">IF(CR221="","",_xlfn.LET(_xlpm.tk,_xlfn.TEXTSPLIT(UPPER(CR221)," ",,TRUE),_xlpm.a_,_xlfn._xlws.FILTER(_xlpm.tk,ISNUMBER(--LEFT(_xlpm.tk,1))*((ISNUMBER(SEARCH("А",_xlpm.tk))+ISNUMBER(SEARCH("A",_xlpm.tk)))&gt;0)*NOT(ISNUMBER(SEARCH("МА",_xlpm.tk)))*NOT(ISNUMBER(SEARCH("MA",_xlpm.tk))),""),IFERROR(--SUBSTITUTE(SUBSTITUTE(INDEX(_xlpm.a_,1),"А",""),"A",""),"")))</f>
        <v/>
      </c>
      <c r="CU221" t="str" cm="1">
        <f t="array" ref="CU221">IF(CR221="","",_xlfn.LET(_xlpm.tk,_xlfn.TEXTSPLIT(UPPER(CR221)," ",,TRUE),_xlpm.a_,_xlfn._xlws.FILTER(_xlpm.tk,ISNUMBER(--LEFT(_xlpm.tk,1))*((ISNUMBER(SEARCH("МА",_xlpm.tk))+ISNUMBER(SEARCH("MA",_xlpm.tk)))&gt;0),""),IFERROR(--SUBSTITUTE(SUBSTITUTE(INDEX(_xlpm.a_,1),"МА",""),"MA",""),30)))</f>
        <v/>
      </c>
      <c r="CV221" t="str">
        <f>IF(CS221="","",IFERROR(_xlfn.XLOOKUP(CS221,Линии[_n],Линии[_УЗО, мА]),30))</f>
        <v/>
      </c>
      <c r="CW221">
        <f>IF(CS221="",0,IF(ISNUMBER(SEARCH("4P",IFERROR(_xlfn.XLOOKUP(CS221,Линии[_n],Линии[_УЗО строки])&amp;"",""))),0,1))</f>
        <v>0</v>
      </c>
      <c r="CX221" t="str">
        <f>IF(AND(CS221&lt;&gt;"",CS221=BA221),SUMIFS(Линии[_ток на 230 В],Линии[_блок УЗО],BA221,Линии[Щит],A221),"")</f>
        <v/>
      </c>
      <c r="CY221" t="str">
        <f>IF(AND(CS221&lt;&gt;"",CS221=BA221),SUMIFS(Линии[_ток утечки линии, мА],Линии[_блок УЗО],BA221,Линии[Щит],A221),"")</f>
        <v/>
      </c>
      <c r="CZ221">
        <f t="shared" si="444"/>
        <v>0</v>
      </c>
      <c r="DA221">
        <f t="shared" si="445"/>
        <v>0</v>
      </c>
      <c r="DB221">
        <f>IF(B221="",0,IFERROR(--_xlfn.XLOOKUP(B221,Коды_код,Коды_минавт),IFERROR(--_xlfn.XLOOKUP(BC221,Коды_код,Коды_минавт),IFERROR(--_xlfn.XLOOKUP(LEFT(BC221,2),Коды_код,Коды_минавт),0))))</f>
        <v>0</v>
      </c>
      <c r="DC221" t="str">
        <f>IF(B221="","",IFERROR(_xlfn.XLOOKUP(BC221,Коды_код,Коды_апп)&amp;"",""))</f>
        <v/>
      </c>
      <c r="DD221" t="str">
        <f t="shared" si="446"/>
        <v/>
      </c>
      <c r="DE221" t="str" cm="1">
        <f t="array" ref="DE221">IF(TRIM(DD221&amp;"")="","",IFERROR(TRIM(INDEX(_xlfn.TEXTSPLIT(DD221&amp;";;;",";"),1)),""))</f>
        <v/>
      </c>
      <c r="DF221" t="str" cm="1">
        <f t="array" ref="DF221">IF(TRIM(DD221&amp;"")="","",IFERROR(TRIM(INDEX(_xlfn.TEXTSPLIT(DD221&amp;";;;",";"),2)),""))</f>
        <v/>
      </c>
      <c r="DG221" t="str" cm="1">
        <f t="array" ref="DG221">IF(TRIM(DD221&amp;"")="","",IFERROR(TRIM(INDEX(_xlfn.TEXTSPLIT(DD221&amp;";;;",";"),3)),""))</f>
        <v/>
      </c>
      <c r="DH221">
        <f t="shared" si="447"/>
        <v>0</v>
      </c>
      <c r="DI221" t="str">
        <f>IF(B221="","",_xlfn.LET(_xlpm.t,LOWER(AZ221&amp;""),IF(ISNUMBER(SEARCH("dim",_xlpm.t)),"DIM",IF(ISNUMBER(SEARCH("dali",_xlpm.t)),"DALI",IF(OR(ISNUMBER(SEARCH("relay",_xlpm.t)),ISNUMBER(SEARCH("реле",_xlpm.t))),"Relay",IF(ISNUMBER(SEARCH("кнопк",_xlpm.t)),"",IFERROR(_xlfn.XLOOKUP(BC221,Коды_код,Коды_упр)&amp;"","")))))))</f>
        <v/>
      </c>
      <c r="DJ221" t="str">
        <f t="shared" si="448"/>
        <v/>
      </c>
      <c r="DK221">
        <f>IF(B221="","",_xlfn.LET(_xlpm.ig,IF(N(CX221)&gt;0,N(CX221),N(CI221)+IF(AJ221="вручную",0,N(CJ221))),_xlpm.n0,IFERROR(VLOOKUP(_xlpm.ig,Автомат_номиналы,2,TRUE),0),_xlpm.mn,MAX(DB221,IF(AJ221="вручную",0,N(CM221))),MAX(_xlpm.n0,_xlpm.mn,IF(DH221=1,Мин_автомат_БП,0))))</f>
        <v>16</v>
      </c>
      <c r="DL221">
        <f t="shared" si="449"/>
        <v>1</v>
      </c>
      <c r="DM221" t="str">
        <f t="shared" si="450"/>
        <v>1P</v>
      </c>
      <c r="DN221" t="str">
        <f>_xlfn.LET(_xlpm.cc,UPPER(TRIM(IFERROR(_xlfn.XLOOKUP(BC221,Коды_код,Коды_хар)&amp;"",""))),IF(OR(_xlpm.cc="B",_xlpm.cc="В"),"B",IF(_xlpm.cc="D","D","С")))</f>
        <v>С</v>
      </c>
      <c r="DO221" t="str">
        <f t="shared" si="451"/>
        <v>1P С16А</v>
      </c>
      <c r="DP221">
        <f t="shared" si="452"/>
        <v>16</v>
      </c>
      <c r="DQ221" t="str">
        <f t="shared" si="453"/>
        <v>1P С16А</v>
      </c>
      <c r="DR221" cm="1">
        <f t="array" ref="DR221">IF(DQ221="","",_xlfn.LET(_xlpm.t,SUBSTITUTE(SUBSTITUTE(SUBSTITUTE(UPPER(DQ221),"С","C"),"А","A"),"В","B"),_xlpm.tk,_xlfn.TEXTSPLIT(_xlpm.t," "),_xlpm.f,_xlfn._xlws.FILTER(_xlpm.tk,ISNUMBER(--MID(_xlpm.tk,2,1))*ISNUMBER(SEARCH(LEFT(_xlpm.tk,1)&amp;"#","B#C#D#"))*(LEN(_xlpm.tk)&gt;1),""),_xlpm.x,INDEX(_xlpm.f,1),IFERROR(--SUBSTITUTE(MID(_xlpm.x,2,9),"A",""),IFERROR(--SUBSTITUTE(INDEX(_xlfn._xlws.FILTER(_xlpm.tk,ISNUMBER(--SUBSTITUTE(_xlpm.tk,"A","")),""),1),"A",""),""))))</f>
        <v>16</v>
      </c>
      <c r="DS221" t="str">
        <f t="shared" si="454"/>
        <v>ok</v>
      </c>
      <c r="DT221">
        <f t="shared" si="455"/>
        <v>16</v>
      </c>
      <c r="DU221" t="str">
        <f t="shared" si="456"/>
        <v>1P С16А</v>
      </c>
      <c r="DV221">
        <f t="shared" si="457"/>
        <v>0</v>
      </c>
      <c r="DW221">
        <f t="shared" si="458"/>
        <v>0</v>
      </c>
      <c r="DX221">
        <f t="shared" si="459"/>
        <v>0</v>
      </c>
      <c r="DY221">
        <f t="shared" si="460"/>
        <v>12.306676790620971</v>
      </c>
      <c r="DZ221">
        <f t="shared" si="461"/>
        <v>1</v>
      </c>
      <c r="EA221">
        <f>IF(ISNUMBER(AP221),AP221,К_прокл)</f>
        <v>1</v>
      </c>
      <c r="EB221">
        <f t="shared" si="462"/>
        <v>2</v>
      </c>
      <c r="EC221">
        <f>IFERROR(N(VLOOKUP(BZ221,Кабель_обозначение,3,FALSE)),1)</f>
        <v>1</v>
      </c>
      <c r="ED221">
        <f>IFERROR(N(_xlfn.XLOOKUP(A221,Щиты[Щит],Щиты[ΔU до шин, %])),0)</f>
        <v>0.43</v>
      </c>
      <c r="EE221" t="str">
        <f>IFERROR(_xlfn.XLOOKUP(A221,Щиты[Щит],Щиты[Zпетли на шинах, Ом]),"")</f>
        <v/>
      </c>
      <c r="EF221">
        <f>IFERROR(N(_xlfn.XLOOKUP(A221,Щиты[Щит],Щиты[ΔU до шин (подбор), %])),0)</f>
        <v>0.43</v>
      </c>
      <c r="EG221" t="str">
        <f>IFERROR(_xlfn.XLOOKUP(A221,Щиты[Щит],Щиты[Zпетли на шинах (подбор), Ом]),"")</f>
        <v/>
      </c>
      <c r="EH221" t="str">
        <f t="shared" si="463"/>
        <v/>
      </c>
      <c r="EI221">
        <f t="shared" si="464"/>
        <v>22</v>
      </c>
      <c r="EJ221">
        <f t="shared" si="465"/>
        <v>2</v>
      </c>
      <c r="EK221">
        <f t="shared" si="466"/>
        <v>0.31</v>
      </c>
      <c r="EL221" s="6">
        <f>IF(B221="","",IF(BV221=1,dU_LED,IF(IFERROR(_xlfn.XLOOKUP(BC221,Коды_код,Коды_уго),"")="Светильник",3,4)+IF(Методика="нормы 2026",MIN(0.5,MAX(0,N(P221)-100)*0.005),0)))</f>
        <v>4</v>
      </c>
      <c r="EM221" cm="1">
        <f t="array" ref="EM221">IF(OR(B221="",BZ221="",EC221&lt;&gt;1),"",_xlfn.LET(_xlpm.sz,Iдоп_S,_xlpm.t_,CHOOSE(EB221,Iдоп_1ж,Iдоп_2ж,Iдоп_3ж)*DZ221*EA221,_xlpm.dcx,BV221=1,_xlpm.inn,IF(_xlpm.dcx,N(O221),N(DT221)),_xlpm.smin,MAX(1.5,CC221),_xlpm.L_,N(P221)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221)/N(BU221)*100,999),IFERROR(N(EJ221)*(_xlpm.rho*_xlpm.L_/_xlpm.sz*N(CE221)+_xlpm.xx*_xlpm.L_*N(EK221)/1000)*N(O221)/((Uн_лин/SQRT(3))*1000)*100,999)),_xlpm.kz,IF(OR(_xlpm.dcx,DW221=1,NOT(ISNUMBER(EG221)),_xlpm.L_=0,_xlpm.inn=0),1,IFERROR(--(c_min*(Uн_лин*1000/SQRT(3))/(EG221+2*ρкз_Cu*_xlpm.L_/_xlpm.sz)&gt;=HT221*_xlpm.inn),0)),_xlpm.ok,IFERROR((_xlpm.sz&gt;=_xlpm.smin)*(_xlpm.t_&gt;=_xlpm.inn)*IF(_xlpm.L_&gt;0,(_xlpm.du_+IF(_xlpm.dcx,0,EF221)&lt;=EL221+0.00001),1)*_xlpm.kz,0),_xlpm.r_,_xlfn._xlws.FILTER(_xlpm.sz,_xlpm.ok,"не подобрано"),INDEX(_xlpm.r_,1)))</f>
        <v>2.5</v>
      </c>
      <c r="EN221">
        <f t="shared" si="467"/>
        <v>2.5</v>
      </c>
      <c r="EO221" cm="1">
        <f t="array" ref="EO221">IF(OR(B221="",BZ221="",EC221&lt;&gt;1),"",_xlfn.LET(_xlpm.sz,Iдоп_S,_xlpm.t_,CHOOSE(EB221,Iдоп_1ж,Iдоп_2ж,Iдоп_3ж)*DZ221*EA221,_xlpm.ok,IFERROR((_xlpm.sz&gt;=MAX(1.5,CC221))*(_xlpm.t_&gt;=N(DT221)),0),_xlpm.r_,_xlfn._xlws.FILTER(_xlpm.sz,_xlpm.ok,""),INDEX(_xlpm.r_,1)))</f>
        <v>1.5</v>
      </c>
      <c r="EP221" s="6" cm="1">
        <f t="array" ref="EP221">IFERROR(ROUNDUP(N(EJ221)*(_xlfn.XLOOKUP(EO221,INDEX(Кабель_сопротивление,0,1),INDEX(Кабель_сопротивление,0,3))*N(P221)/EO221*N(CE221)+_xlfn.XLOOKUP(EO221,INDEX(Кабель_сопротивление,0,1),INDEX(Кабель_сопротивление,0,2))*N(P221)*N(EK221)/1000)*N(O221)/((Uн_лин/SQRT(3))*1000)*100,2),"")</f>
        <v>3.8099999999999996</v>
      </c>
      <c r="EQ221">
        <f>IFERROR(2*ρкз_Cu*N(P221)/EO221,"")</f>
        <v>0.87666666666666659</v>
      </c>
      <c r="ER221">
        <f>IFERROR(VLOOKUP(EN221,Кабель_сопротивление,3,FALSE),"")</f>
        <v>2.2499999999999999E-2</v>
      </c>
      <c r="ES221">
        <f>IFERROR(VLOOKUP(EN221,Кабель_сопротивление,2,FALSE),"")</f>
        <v>0.1</v>
      </c>
      <c r="ET221">
        <f t="shared" si="468"/>
        <v>8</v>
      </c>
      <c r="EU221" t="str">
        <f t="shared" si="469"/>
        <v/>
      </c>
      <c r="EV221">
        <f t="shared" si="470"/>
        <v>5.2801796770159273</v>
      </c>
      <c r="EW221" s="6">
        <f>IFERROR(ROUNDUP(EV221/IF(BV221=1,BU221,(Uн_лин/SQRT(3))*1000)*100,2),"")</f>
        <v>2.2899999999999996</v>
      </c>
      <c r="EX221" t="str">
        <f>IFERROR(VLOOKUP(BZ221,Кабель_обозначение,2,FALSE),"")</f>
        <v>ВВГнг(А)-LS</v>
      </c>
      <c r="EY221" t="str">
        <f t="shared" si="471"/>
        <v>ВВГнг(А)-LS (3х2,5)</v>
      </c>
      <c r="EZ221" t="str">
        <f t="shared" si="472"/>
        <v>ВВГнг(А)-LS (3х2,5)
L=25-2,29%</v>
      </c>
      <c r="FA221">
        <f>IFERROR(2*ρкз_Cu*P221/EN221,"")</f>
        <v>0.52600000000000002</v>
      </c>
      <c r="FB221">
        <f t="shared" si="473"/>
        <v>0.17500000000000002</v>
      </c>
      <c r="FC221" s="6" t="str">
        <f>IFERROR(IF(OR(B221="",BV221=1,NOT(ISNUMBER(EN221)),N(P221)=0),"",_xlfn.XLOOKUP(A221,Щиты[Щит],Щиты[Zпетли на шинах, Ом])+FA221),"")</f>
        <v/>
      </c>
      <c r="FD221" s="6" t="str">
        <f>IF(ISNUMBER(FC221),c_min*(Uн_лин*1000/SQRT(3))/FC221,"")</f>
        <v/>
      </c>
      <c r="FE221" s="6" t="str">
        <f>IFERROR(IF(OR(B221="",NOT(ISNUMBER(EN221))),"",1.05*(Uн_лин*1000/SQRT(3))/(_xlfn.XLOOKUP(A221,Щиты[Щит],Щиты[Zmax на шинах, Ом])+FB221)/1000),"")</f>
        <v/>
      </c>
      <c r="FF221" s="6" t="str">
        <f>IF(B221="","",IF(ISNUMBER(AC221),"Сил",IF(IFERROR(_xlfn.XLOOKUP(BC221,Коды_код,Коды_группа)&amp;"","")="","Быт",_xlfn.XLOOKUP(BC221,Коды_код,Коды_группа)&amp;"")))</f>
        <v>Быт</v>
      </c>
      <c r="FG221" s="6" t="str">
        <f t="shared" si="474"/>
        <v>Пост</v>
      </c>
      <c r="FH221" s="6">
        <f>IF(FG221="Щит","щит",IF(FG221="","",IF(FG221="Быт",IFERROR(_xlfn.XLOOKUP(A221,Щиты[Щит],Щиты[Кс быт]),1),IF(FG221="Сил",IF(ISNUMBER(AC221),AC221,IF(Методика="нормы 2026",IFERROR(_xlfn.XLOOKUP(A221,Щиты[Щит],Щиты[Кс силовых (табл. 7.5)]),1),1)),IF(OR(FG221="Пост",FG221="Отоп"),1,IF(FG221="ВНГ",0.7,0))))))</f>
        <v>1</v>
      </c>
      <c r="FI221">
        <f>IF(FG221="","",IF(AND(BP221=1,TRIM(AE221&amp;"")=""),IF(COUNTIFS(Линии[Щит],A221,Линии[Секция (1/2/3)],"&gt;=2")&gt;0,MIN(3,MAX(1,IFERROR(--BD221,1))),1),IFERROR(MIN(3,MAX(1,INT(--AE221))),1)))</f>
        <v>1</v>
      </c>
      <c r="FJ221">
        <f t="shared" si="475"/>
        <v>2.7</v>
      </c>
      <c r="FK221">
        <f t="shared" si="476"/>
        <v>0</v>
      </c>
      <c r="FL221">
        <f t="shared" si="477"/>
        <v>0</v>
      </c>
      <c r="FM221">
        <f t="shared" si="478"/>
        <v>2.7</v>
      </c>
      <c r="FN221">
        <f t="shared" si="479"/>
        <v>0</v>
      </c>
      <c r="FO221">
        <f t="shared" si="480"/>
        <v>0</v>
      </c>
      <c r="FP221">
        <f t="shared" si="481"/>
        <v>2.7</v>
      </c>
      <c r="FQ221">
        <f t="shared" si="482"/>
        <v>2.7</v>
      </c>
      <c r="FR221">
        <f t="shared" si="483"/>
        <v>2.5649999999999999</v>
      </c>
      <c r="FS221">
        <f>IF(CG221=1,IF(AND(CH221=1,CW221=1),0,IF(AND(CS221&lt;&gt;"",CS221=BA221,CW221=1),SUMIFS(Линии[_Р линии, кВт],Линии[_блок УЗО],BA221,Линии[Щит],A221),N(BS221)+IF(AJ221="вручную",0,N(CK221)))),0)</f>
        <v>2.7</v>
      </c>
      <c r="FT221" t="str">
        <f t="shared" si="484"/>
        <v>L2</v>
      </c>
      <c r="FU221" t="str">
        <f>IF(B221="","",IF(CG221=0,IF(BA221=1,"",FW220),IF(AND(CH221=1,CW221=1,CS221&lt;&gt;""),IFERROR(_xlfn.XLOOKUP(CS221,Линии[_n],Линии[_фаза итог]),"L1"),IF(OR(N(DL221)&gt;=3,N(BX221)&gt;=3),"L1,L2,L3",IFERROR(_xlfn.TEXTBEFORE(_xlfn.TEXTAFTER(_xlfn.XLOOKUP(A221,Щиты[Щит],Щиты[_фазы авто]),";"&amp;BA221&amp;":"),";"),"L1")))))</f>
        <v>L1</v>
      </c>
      <c r="FV221" t="str">
        <f t="shared" si="485"/>
        <v>L2</v>
      </c>
      <c r="FW221" t="str">
        <f t="shared" si="486"/>
        <v>L2</v>
      </c>
      <c r="FX221" cm="1">
        <f t="array" ref="FX221">IFERROR(IF(CD221=2,_xlfn.IFS(BX221=3,VLOOKUP(BS221,Справочная_двигатели,3,FALSE),BX221=1,VLOOKUP(BS221,Справочная_двигатели,5,TRUE)),0),0)</f>
        <v>0</v>
      </c>
      <c r="FY221">
        <f>IFERROR(IF(CD221=3,VLOOKUP(BS221,Справочная_ЛЭД,2,TRUE),0),0)</f>
        <v>0</v>
      </c>
      <c r="FZ221" s="6">
        <f t="shared" si="487"/>
        <v>0</v>
      </c>
      <c r="GA221" t="str">
        <f>IF(B221="","",IF(TRIM(AH221&amp;"")&lt;&gt;"",IF(LOWER(TRIM(AH221&amp;""))="да","да","нет"),IF(IFERROR(_xlfn.XLOOKUP(BC221,Коды_код,Коды_пожарная),"")="да","да","нет")))</f>
        <v>нет</v>
      </c>
      <c r="GB221" t="str">
        <f t="shared" si="488"/>
        <v/>
      </c>
      <c r="GC221" t="str">
        <f t="shared" si="489"/>
        <v>основная</v>
      </c>
      <c r="GD221">
        <f>IF(AND(BP221=1,TRIM(AE221&amp;"")=""),IF(COUNTIFS(Линии[Щит],A221,Линии[Секция (1/2/3)],"&gt;=2")&gt;0,MIN(3,MAX(1,IFERROR(--BD221,1))),1),IFERROR(MIN(3,MAX(1,INT(--AE221))),1))</f>
        <v>1</v>
      </c>
      <c r="GE221" t="str" cm="1">
        <f t="array" ref="GE221">IF(B221="","",_xlfn.LET(_xlpm.t,IFERROR(_xlfn.XLOOKUP(1,(Шины[Шина]=GC221)*(((Шины[Щит]=A221)+(Шины[Щит]=""))&gt;0),Шины[Тип]),"")&amp;"",IF(_xlpm.t&lt;&gt;"",_xlpm.t,IF(ISNUMBER(SEARCH("ИБП",GC221)),"ИБП",IF(ISNUMBER(SEARCH("ДГУ",GC221)),"ДГУ","Ввод "&amp;GD221)))))</f>
        <v>Ввод 1</v>
      </c>
      <c r="GF221" t="str">
        <f t="shared" si="490"/>
        <v>Ввод 1</v>
      </c>
      <c r="GG221" t="str">
        <f>IF(BP221=0,"",IF(TRIM(AG221&amp;"")&lt;&gt;"",TRIM(AG221&amp;""),IF(OR(GE221="ИБП",GE221="ДГУ"),"I особая",_xlfn.XLOOKUP(A221,Щиты[Щит],Щиты[Категория шины «Ввод»],"III"))))</f>
        <v/>
      </c>
      <c r="GH221" t="str">
        <f>IF(A221="","",_xlfn.XLOOKUP(A221,Щиты[Щит],Щиты[Путь],""))</f>
        <v>|ГРЩ-ЖД|ЩР-01|</v>
      </c>
      <c r="GI221" t="str">
        <f>IF(B221="","",IF(AI221&lt;&gt;"",AI221,IF(IFERROR(_xlfn.XLOOKUP(BC221,Коды_код,Коды_вид)&amp;"","")="","Прочее",_xlfn.XLOOKUP(BC221,Коды_код,Коды_вид)&amp;"")))</f>
        <v>Слаботочные системы, автоматизация, KNX</v>
      </c>
      <c r="GJ221">
        <f>IF(BM221="","",INT((BM221-1)/Столбцов_на_лист)+1)</f>
        <v>4</v>
      </c>
      <c r="GK221" t="str">
        <f t="shared" si="491"/>
        <v>ВВГнг(А)-LS (3х2,5) L=25-2,29%</v>
      </c>
      <c r="GL221">
        <f t="shared" si="492"/>
        <v>2.7</v>
      </c>
      <c r="GM221">
        <f t="shared" si="493"/>
        <v>12.31</v>
      </c>
      <c r="GN221">
        <f t="shared" si="494"/>
        <v>1</v>
      </c>
      <c r="GO221">
        <f t="shared" si="495"/>
        <v>0</v>
      </c>
      <c r="GP221">
        <f t="shared" si="496"/>
        <v>1</v>
      </c>
      <c r="GQ221">
        <f>IF(BM221="","",IF(AND(CG221=1,GP221=1),COUNTIFS(A$3:A221,A221,CG$3:CG221,1,GP$3:GP221,1),IF(OR(OR(BA221=1,A221&lt;&gt;A220),AJ221="вручную",GP221=0),"",IF(BA221=1,"",GR220))))</f>
        <v>37</v>
      </c>
      <c r="GR221">
        <f t="shared" si="497"/>
        <v>37</v>
      </c>
      <c r="GS221">
        <f>IF(B221="","",IFERROR(LOOKUP(INDEX(CHOOSE(EB221,Iдоп_1ж,Iдоп_2ж,Iдоп_3ж),MATCH(EN221,Iдоп_S,0))*DZ221*EA221,{6,10,16,20,25,32,40,50,63,80,100,125,160,200,250,315,400,500,630}),""))</f>
        <v>25</v>
      </c>
      <c r="GT221" t="str">
        <f t="shared" si="498"/>
        <v>QF37</v>
      </c>
      <c r="GU221" t="str">
        <f t="shared" si="499"/>
        <v>QF37</v>
      </c>
      <c r="GV221" t="str">
        <f t="shared" si="500"/>
        <v/>
      </c>
      <c r="GW221">
        <f t="shared" si="501"/>
        <v>0</v>
      </c>
      <c r="GX221" t="str">
        <f>IF(OR(B221="",DJ221=""),"",IFERROR(_xlfn.XLOOKUP(DJ221,Модули_умолч[Управление],Модули_умолч[Модель])&amp;"",""))</f>
        <v/>
      </c>
      <c r="GY221">
        <f>IF(DJ221="",1,IFERROR(MAX(0,N(_xlfn.XLOOKUP(DJ221,Модули_умолч[Управление],Модули_умолч[Каналов на линию]))),1))</f>
        <v>1</v>
      </c>
      <c r="GZ221" t="str">
        <f t="shared" si="502"/>
        <v/>
      </c>
      <c r="HA221" t="str">
        <f t="shared" si="503"/>
        <v/>
      </c>
      <c r="HB221" t="str">
        <f t="shared" si="504"/>
        <v/>
      </c>
      <c r="HC221">
        <f>IF(HB221="",0,IFERROR(N(VLOOKUP(HB221,Модули_спр,3,FALSE)),0))</f>
        <v>0</v>
      </c>
      <c r="HD221" t="str">
        <f t="shared" si="505"/>
        <v/>
      </c>
      <c r="HE221" t="str">
        <f t="shared" si="506"/>
        <v/>
      </c>
      <c r="HF221" t="str">
        <f>IF(OR(HE221="",HE221="-"),"",IFERROR(VLOOKUP(HE221,Модули_спр,2,FALSE),"R"))</f>
        <v/>
      </c>
      <c r="HG221" t="str">
        <f>IF(HF221="","",HF221&amp;"."&amp;COUNTIFS(A$3:A221,A221,HF$3:HF221,HF221))</f>
        <v/>
      </c>
      <c r="HH221" t="str">
        <f t="shared" si="507"/>
        <v/>
      </c>
      <c r="HI221" t="str">
        <f t="shared" si="508"/>
        <v/>
      </c>
      <c r="HJ221" t="str">
        <f t="shared" si="509"/>
        <v/>
      </c>
      <c r="HK221" t="str">
        <f t="shared" si="510"/>
        <v/>
      </c>
      <c r="HL221">
        <f t="shared" si="511"/>
        <v>1</v>
      </c>
      <c r="HM221" t="str">
        <f>IF(HL221=1,"XT"&amp;COUNTIFS(A$3:A221,A221,HL$3:HL221,1),"")</f>
        <v>XT37</v>
      </c>
      <c r="HN221" t="str">
        <f t="shared" si="512"/>
        <v>XT37</v>
      </c>
      <c r="HO221" t="str">
        <f t="shared" si="513"/>
        <v>QF37</v>
      </c>
      <c r="HP221" t="str">
        <f t="shared" si="514"/>
        <v/>
      </c>
      <c r="HQ221" t="str">
        <f t="shared" si="515"/>
        <v>ok</v>
      </c>
      <c r="HR221" t="str">
        <f>IF(OR(HJ221="",HH221=""),"",IF(HJ221+MAX(0,GY221-1)&gt;IFERROR(VLOOKUP(HI221,Модули_спр,3,FALSE),99),"ЛИШНИЙ КАНАЛ",IF(AND(AL221&lt;&gt;"=",GY221&gt;0,COUNTIFS(Линии[_модуль гр.],HH221,Линии[Канал (итог)],HJ221,Линии[Канал],"&lt;&gt;=",Линии[Щит],A221)&gt;1),"ДУБЛЬ КАНАЛА","")))</f>
        <v/>
      </c>
      <c r="HS221" s="6" t="str">
        <f t="shared" si="516"/>
        <v/>
      </c>
      <c r="HT221">
        <f t="shared" si="517"/>
        <v>10</v>
      </c>
      <c r="HU221" t="str">
        <f t="shared" si="518"/>
        <v/>
      </c>
      <c r="HV221">
        <f t="shared" si="519"/>
        <v>5.1726707162483887</v>
      </c>
      <c r="HW221">
        <f t="shared" si="520"/>
        <v>0</v>
      </c>
      <c r="HX221">
        <f t="shared" si="521"/>
        <v>0</v>
      </c>
      <c r="HY221">
        <f t="shared" si="522"/>
        <v>0</v>
      </c>
      <c r="HZ221">
        <f t="shared" si="523"/>
        <v>0</v>
      </c>
      <c r="IA221">
        <f t="shared" si="524"/>
        <v>0</v>
      </c>
      <c r="IB221">
        <f t="shared" si="525"/>
        <v>0</v>
      </c>
      <c r="IC221" t="str">
        <f t="shared" si="526"/>
        <v/>
      </c>
      <c r="ID221" t="str" cm="1">
        <f t="array" ref="ID221">IF(IC221="","",_xlfn.LET(_xlpm.tk,_xlfn.TEXTSPLIT(SUBSTITUTE(SUBSTITUTE(IC221,";"," "),"→"," ")," ",,TRUE),_xlpm.w_,_xlfn._xlws.FILTER(_xlpm.tk,ISNUMBER(--LEFT(_xlpm.tk,1))*((ISNUMBER(SEARCH("W",_xlpm.tk))+ISNUMBER(SEARCH("Вт",_xlpm.tk)))&gt;0),""),IFERROR(--SUBSTITUTE(SUBSTITUTE(UPPER(INDEX(_xlpm.w_,1)),"W",""),"ВТ",""),"")))</f>
        <v/>
      </c>
      <c r="IE221" t="str" cm="1">
        <f t="array" ref="IE221">IF(IC221="","",_xlfn.LET(_xlpm.tk,_xlfn.TEXTSPLIT(SUBSTITUTE(SUBSTITUTE(IC221,";"," "),"→"," ")," ",,TRUE),_xlpm.v_,_xlfn._xlws.FILTER(_xlpm.tk,ISNUMBER(--LEFT(_xlpm.tk,1))*((ISNUMBER(SEARCH("V",_xlpm.tk))+(RIGHT(UPPER(_xlpm.tk))="В"))&gt;0),""),IFERROR(--SUBSTITUTE(SUBSTITUTE(UPPER(INDEX(_xlpm.v_,1)),"V",""),"В",""),"")))</f>
        <v/>
      </c>
      <c r="IF221" s="6" t="str">
        <f>IF(OR(BV221=0,HI221="",HJ221=""),"",IFERROR(N(_xlfn.XLOOKUP(HI221,Каталог!$C$4:$C$500,Каталог!$Q$4:$Q$500)),""))</f>
        <v/>
      </c>
      <c r="IG221" s="6" t="str">
        <f>IF(N(IF221)=0,"",SUMIFS(Линии[Iр, А],Линии[Щит],A221,Линии[_модуль гр.],HH221,Линии[Канал (итог)],HJ221))</f>
        <v/>
      </c>
      <c r="IH221" t="str">
        <f>IF(AND(B221="",HO221=""),"",_xlfn.TEXTJOIN("; ",TRUE,IF(AND(B221&lt;&gt;"",FV221=""),"нет фазы",""),IF(AND(B221&lt;&gt;"",N(GL221)=0,FG221&lt;&gt;"Нет"),"нет мощности",""),IF(AND(HN221&lt;&gt;"",COUNTIFS(Линии[Щит],A221,Линии[Клемма (итог)],HN221)&gt;1),"дубль клеммы "&amp;HN221,""),IF(AND(HQ221&lt;&gt;"",HQ221&lt;&gt;"ok"),HQ221,""),IF(HR221&lt;&gt;"",HR221,""),IF(AND(N(CB221)&gt;=4,N(BX221)=1),CB221&amp;" жил на 1 фазе",""),IF(AND(BC221="R",CG221=1,IF(CS221&lt;&gt;"",N(CV221)&gt;30,OR(N(DA221)=0,N(DA221)&gt;30))),"розетка без дифзащиты до 30 мА",""),IF(AND(CG221=1,N(DA221)&gt;0,ISNUMBER(T221)),IF(T221&gt;N(DA221)/3,"ток утечки "&amp;FIXED(T221,1)&amp;" мА &gt; 1/3 уставки ("&amp;DA221&amp;" мА)",""),""),IF(AND(CH221=1,CS221=""),"«узо»: нет строки с УЗО выше (УЗО 2P 40А 30мА в «Аппаратах»)",""),IF(AND(CS221&lt;&gt;"",CS221=BA221),IF(CT221="","впишите номинал УЗО (УЗО 2P 40А 30мА)",IF(N(CT221)&lt;N(DT221),"УЗО "&amp;CT221&amp;" А &lt; автомата "&amp;DT221&amp;" А перед ним",IF(N(CT221)&lt;N(CX221),"УЗО "&amp;CT221&amp;" А &lt; тока блока "&amp;FIXED(CX221,1)&amp;" А",""))),""),IF(AND(CS221&lt;&gt;"",CS221=BA221,ISNUMBER(CY221)),IF(CY221&gt;N(CV221)/3,"ток утечки блока УЗО "&amp;FIXED(CY221,1)&amp;" мА &gt; 1/3 уставки ("&amp;CV221&amp;" мА)",""),""),IF(AND(CG221=1,N(BV221)+N(IB221)&gt;0,IC221=""),"линии до 50 В без БП: впишите в «Аппараты» (БП 24V 480W)",""),IF(AND(CG221=1,ISNUMBER(ID221),ISNUMBER(U221)),IF(U221&gt;ID221,"БП "&amp;ID221&amp;" Вт &lt; нужно "&amp;U221&amp;" Вт (×"&amp;Запас_БП&amp;")",""),""),IF(AND(CG221=1,ISNUMBER(IE221),N(BV221)=1),IF(IE221&lt;&gt;N(BU221),"БП на "&amp;IE221&amp;" В, линия "&amp;BU221&amp;" В",""),""),IF(AND(N(IF221)&gt;0,N(IG221)&gt;N(IF221)),HH221&amp;" канал "&amp;HJ221&amp;": "&amp;FIXED(IG221,1)&amp;" А &gt; "&amp;IF221&amp;" А",""),IFERROR(IF(AND(ISNUMBER(Q221),Q221&gt;EL221),"потери "&amp;FIXED(Q221,1)&amp;" % &gt; "&amp;EL221&amp;" %",""),""),IFERROR(IF(LEFT(HU221,4)="мало","Iкз мало — отключение &gt; 0,4 с",""),""),IF(AND(B221&lt;&gt;"",BM221=""),"не на схеме",""),IF(AND(CG221=0,B221&lt;&gt;"",FV221&lt;&gt;"",IF(BA221=1,"",FW220)&lt;&gt;"",FV221&lt;&gt;IF(BA221=1,"",FW220)),"фаза не как у автомата группы ("&amp;IF(BA221=1,"",FW220)&amp;")","")))</f>
        <v/>
      </c>
      <c r="II221" s="6">
        <f>IF(OR(CG221=0,DQ221=""),"",_xlfn.LET(_xlpm.t,IFERROR(_xlfn.XLOOKUP(DQ221,Каталог!$U$4:$U$500,Каталог!$G$4:$G$500),""),_xlpm.k,SEARCH("кА",_xlpm.t),IFERROR(--TRIM(RIGHT(SUBSTITUTE(MID(_xlpm.t,MAX(1,_xlpm.k-4),_xlpm.k-MAX(1,_xlpm.k-4))," ",REPT(" ",9)),5)),"")))</f>
        <v>6</v>
      </c>
      <c r="IJ221" t="str">
        <f>IF(OR(II221="",CG221=0),"",IF(_xlfn.XLOOKUP(A221,Щиты[Щит],Щиты[Iкз max на шинах, кА],"")="","",IF(II221&lt;_xlfn.XLOOKUP(A221,Щиты[Щит],Щиты[Iкз max на шинах, кА]),"Icu "&amp;II221&amp;" кА &lt; Iкз max","ok")))</f>
        <v/>
      </c>
      <c r="IK221" t="str">
        <f t="shared" si="527"/>
        <v/>
      </c>
      <c r="IL221" t="str">
        <f t="shared" si="528"/>
        <v>QF37|XT37</v>
      </c>
      <c r="IM221" t="str">
        <f t="shared" si="529"/>
        <v>QF37|XT37|кабель ВВГнг(А)-LS (3х2,5) → Шкаф телекоммуникационный ШТК-СОТ.0 Цокольный этаж Пом. №002Т</v>
      </c>
      <c r="IN221" t="str" cm="1">
        <f t="array" ref="IN221">IF(IM221="","",_xlfn.LET(_xlpm.nd,_xlfn.TEXTSPLIT(IM221,"|"),IF(COLUMNS(_xlpm.nd)&gt;1,A221&amp;"¦"&amp;INDEX(_xlpm.nd,1)&amp;"¦"&amp;INDEX(_xlpm.nd,2),"")))</f>
        <v>ЩР-01¦QF37¦XT37</v>
      </c>
      <c r="IO221" t="str">
        <f t="shared" si="530"/>
        <v>ШТК-СОТ.0¦Шкаф телекоммуникационный ШТК-СОТ.0 Цокольный этаж Пом. №002Т</v>
      </c>
      <c r="IP221" t="str" cm="1">
        <f t="array" ref="IP221">IF(IM221="","",_xlfn.LET(_xlpm.nd,_xlfn.TEXTSPLIT(IM221,"|"),IF(COLUMNS(_xlpm.nd)&gt;2,A221&amp;"¦"&amp;INDEX(_xlpm.nd,2)&amp;"¦"&amp;INDEX(_xlpm.nd,3),"")))</f>
        <v>ЩР-01¦XT37¦кабель ВВГнг(А)-LS (3х2,5) → Шкаф телекоммуникационный ШТК-СОТ.0 Цокольный этаж Пом. №002Т</v>
      </c>
      <c r="IQ221" t="str">
        <f t="shared" si="531"/>
        <v>ШТК-СОТ.0¦Шкаф телекоммуникационный ШТК-СОТ.0 Цокольный этаж Пом. №002Т</v>
      </c>
      <c r="IR221" t="str" cm="1">
        <f t="array" ref="IR221">IF(IM221="","",_xlfn.LET(_xlpm.nd,_xlfn.TEXTSPLIT(IM221,"|"),IF(COLUMNS(_xlpm.nd)&gt;3,A221&amp;"¦"&amp;INDEX(_xlpm.nd,3)&amp;"¦"&amp;INDEX(_xlpm.nd,4),"")))</f>
        <v/>
      </c>
      <c r="IS221" t="str">
        <f t="shared" si="532"/>
        <v/>
      </c>
      <c r="IT221" t="str" cm="1">
        <f t="array" ref="IT221">IF(IM221="","",_xlfn.LET(_xlpm.nd,_xlfn.TEXTSPLIT(IM221,"|"),IF(COLUMNS(_xlpm.nd)&gt;4,A221&amp;"¦"&amp;INDEX(_xlpm.nd,4)&amp;"¦"&amp;INDEX(_xlpm.nd,5),"")))</f>
        <v/>
      </c>
      <c r="IU221" t="str">
        <f t="shared" si="533"/>
        <v/>
      </c>
      <c r="IV221" t="str" cm="1">
        <f t="array" ref="IV221">IF(IM221="","",_xlfn.LET(_xlpm.nd,_xlfn.TEXTSPLIT(IM221,"|"),IF(COLUMNS(_xlpm.nd)&gt;5,A221&amp;"¦"&amp;INDEX(_xlpm.nd,5)&amp;"¦"&amp;INDEX(_xlpm.nd,6),"")))</f>
        <v/>
      </c>
      <c r="IW221" t="str">
        <f t="shared" si="534"/>
        <v/>
      </c>
      <c r="IX221" t="str" cm="1">
        <f t="array" ref="IX221">IF(IM221="","",_xlfn.LET(_xlpm.nd,_xlfn.TEXTSPLIT(IM221,"|"),IF(COLUMNS(_xlpm.nd)&gt;6,A221&amp;"¦"&amp;INDEX(_xlpm.nd,6)&amp;"¦"&amp;INDEX(_xlpm.nd,7),"")))</f>
        <v/>
      </c>
      <c r="IY221" t="str">
        <f t="shared" si="535"/>
        <v/>
      </c>
      <c r="IZ221" t="str">
        <f t="shared" si="536"/>
        <v/>
      </c>
      <c r="JA221" t="str">
        <f t="shared" si="537"/>
        <v>QF37 → XT37</v>
      </c>
      <c r="JB221">
        <f t="shared" si="538"/>
        <v>0</v>
      </c>
      <c r="JC221">
        <f t="shared" si="539"/>
        <v>0</v>
      </c>
      <c r="JD221" t="str">
        <f t="shared" si="540"/>
        <v/>
      </c>
      <c r="JE221" t="str">
        <f t="shared" si="541"/>
        <v/>
      </c>
      <c r="JF221" t="str">
        <f t="shared" si="542"/>
        <v/>
      </c>
      <c r="JG221" t="str">
        <f t="shared" si="543"/>
        <v/>
      </c>
      <c r="JH221">
        <f>IF(B221="","",IFERROR(_xlfn.XLOOKUP(B221,Коды_код,Коды_уго),IFERROR(_xlfn.XLOOKUP(BC221,Коды_код,Коды_уго),IFERROR(_xlfn.XLOOKUP(LEFT(BC221,2),Коды_код,Коды_уго),""))))</f>
        <v>0</v>
      </c>
      <c r="JI221" t="str">
        <f>IF(B221="","",IF(OR(JH221="",JH221=0),"BOX",IFERROR(IF(VLOOKUP(JH221,УГО_блоки,3,FALSE)&amp;""&lt;&gt;"",VLOOKUP(JH221,УГО_блоки,3,FALSE),VLOOKUP(JH221,УГО_блоки,2,FALSE)),JH221)))</f>
        <v>BOX</v>
      </c>
      <c r="JJ221">
        <f t="shared" si="544"/>
        <v>1</v>
      </c>
      <c r="JK221" t="str">
        <f>IF(DQ221="","",IF(COUNTIF(DQ$3:DQ221,DQ221)=1,MAX(JK$2:JK220)+1,""))</f>
        <v/>
      </c>
      <c r="JL221" t="str">
        <f>IF(DE221="","",IF(COUNTIF(DE$3:DE221,DE221)+COUNTIF(DF$2:DF220,DE221)+COUNTIF(DG$2:DG220,DE221)=1,MAX(JL$2:JN220)+1,""))</f>
        <v/>
      </c>
      <c r="JM221" t="str">
        <f>IF(DF221="","",IF(COUNTIF(DE$3:DE221,DF221)+COUNTIF(DF$3:DF221,DF221)+COUNTIF(DG$2:DG220,DF221)=1,MAX(JL$2:JN220,JL221)+1,""))</f>
        <v/>
      </c>
      <c r="JN221" t="str">
        <f>IF(DG221="","",IF(COUNTIF(DE$3:DE221,DG221)+COUNTIF(DF$3:DF221,DG221)+COUNTIF(DG$3:DG221,DG221)=1,MAX(JL$2:JN220,JL221,JM221)+1,""))</f>
        <v/>
      </c>
      <c r="JO221" t="str">
        <f t="shared" si="545"/>
        <v>3х2,5</v>
      </c>
      <c r="JP221" t="str">
        <f>IF(JO221="","",IF(COUNTIF(JO$3:JO221,JO221)=1,MAX(JP$2:JP220)+1,""))</f>
        <v/>
      </c>
      <c r="JQ221" t="str">
        <f>IF(HG221="","",COUNTIF(HG$3:HG221,"?*"))</f>
        <v/>
      </c>
      <c r="JR221" t="str">
        <f>IF(OR(HG221="",HI221=""),"",IF(COUNTIFS(HG$3:HG221,"?*",HI$3:HI221,HI221)=1,MAX(JR$2:JR220)+1,""))</f>
        <v/>
      </c>
      <c r="JS221">
        <f t="shared" si="546"/>
        <v>0</v>
      </c>
      <c r="JT221">
        <f>IF(B221="","",COUNTIF(B$3:B221,"?*"))</f>
        <v>219</v>
      </c>
      <c r="JU221">
        <f>IF(HL221&lt;&gt;1,0,_xlfn.LET(_xlpm.k,MAX(IFERROR(--_xlfn.XLOOKUP(B221,Коды_код,Коды_3L),0),IFERROR(--_xlfn.XLOOKUP(BC221,Коды_код,Коды_3L),0),IFERROR(--_xlfn.XLOOKUP(LEFT(BC221,2),Коды_код,Коды_3L),0)),IF(_xlpm.k&gt;0,_xlpm.k,IF(IFERROR(--LEFT(SUBSTITUTE(JO221,"x","х"),FIND("х",SUBSTITUTE(JO221,"x","х"))-1),3)&gt;3,Каталог!$S$9,1))))</f>
        <v>1</v>
      </c>
      <c r="JV221">
        <f t="shared" si="547"/>
        <v>0</v>
      </c>
      <c r="JW221" t="str">
        <f t="shared" si="548"/>
        <v>авто</v>
      </c>
      <c r="JX221" t="str">
        <f t="shared" si="549"/>
        <v/>
      </c>
      <c r="JY221">
        <f t="shared" si="550"/>
        <v>0</v>
      </c>
      <c r="JZ221">
        <f t="shared" si="551"/>
        <v>1</v>
      </c>
    </row>
    <row r="222" spans="1:286" x14ac:dyDescent="0.3">
      <c r="A222" t="s">
        <v>755</v>
      </c>
      <c r="B222" t="s">
        <v>1529</v>
      </c>
      <c r="C222" t="s">
        <v>1704</v>
      </c>
      <c r="D222">
        <v>1</v>
      </c>
      <c r="E222">
        <v>2.7</v>
      </c>
      <c r="G222">
        <v>16</v>
      </c>
      <c r="H222" t="str">
        <f>Линии[[#This Row],[_авто управление]]</f>
        <v/>
      </c>
      <c r="I222" t="str">
        <f>Линии[[#This Row],[_авто аппараты]]</f>
        <v/>
      </c>
      <c r="J222">
        <v>2.5</v>
      </c>
      <c r="K222">
        <v>24</v>
      </c>
      <c r="L222">
        <v>3</v>
      </c>
      <c r="M222" t="str">
        <f>Линии[[#This Row],[_авто клемма]]</f>
        <v>XT38</v>
      </c>
      <c r="N222" t="str">
        <f t="shared" si="414"/>
        <v/>
      </c>
      <c r="O222" s="6" cm="1">
        <f t="array" ref="O222">IF(B222="","",IF(BH222&lt;&gt;"",IFERROR(_xlfn.XLOOKUP(BH222,Щиты[Щит],Щиты[Iр, А]),""),IF(BP222=1,IF(OR(N(_xlfn.XLOOKUP(A222,Щиты[Щит],Щиты[Вводов],1))&lt;=1,LOWER(TRIM(_xlfn.XLOOKUP(A222,Щиты[Щит],Щиты[АВР],"")&amp;""))="да"),IFERROR(_xlfn.XLOOKUP(A222,Щиты[Щит],Щиты[Iр, А]),""),IFERROR(N(BS222)*_xlfn.XLOOKUP(A222,Щиты[Щит],Щиты[Кс итог])/(SQRT(3)*Uн_лин*_xlfn.XLOOKUP(A222,Щиты[Щит],Щиты[cos φ])),"")),IF(BV222=1,IFERROR(BS222*1000/BU222,""),IFERROR(_xlfn.IFS(BX222=1,BS222/((Uн_лин/SQRT(3))*CE222),BX222=3,BS222/(SQRT(3)*Uн_лин*CE222)),"")))))</f>
        <v>12.306676790620971</v>
      </c>
      <c r="P222" s="7">
        <f>IF(B222="","",IFERROR(IF(VLOOKUP(BC222,Потребители_обозначение,4,FALSE)=1,VLOOKUP(BC222,Потребители_обозначение,3,FALSE)*(MAX(1,N(D222))*2-1)+EI222+VLOOKUP(BE222,Этаж_обозначение,3,FALSE)+VLOOKUP(BE222,Этаж_обозначение,4,FALSE),VLOOKUP(BC222,Потребители_обозначение,3,FALSE)*(MAX(1,N(D222))*2-1)+EI222),EI222))</f>
        <v>27</v>
      </c>
      <c r="Q222" s="6">
        <f t="shared" si="415"/>
        <v>2.9</v>
      </c>
      <c r="R222" t="str">
        <f t="shared" si="416"/>
        <v>ВВГнг(А)-LS (3х2,5)</v>
      </c>
      <c r="S222" t="str">
        <f>IF(BM222="","",IF(BN222="вводной узел","узел ","")&amp;"л."&amp;(INT((BM222-1)/Столбцов_на_лист)+1)&amp;" / "&amp;(MOD(BM222-1,Столбцов_на_лист)+1))</f>
        <v>л.4 / 4</v>
      </c>
      <c r="T222" s="119">
        <f t="shared" si="417"/>
        <v>5.2</v>
      </c>
      <c r="U222" s="7" t="str">
        <f>IF(OR(CG222=0,N(BV222)+N(IB222)=0),"",ROUNDUP(Запас_БП*(N(HY222)+N(HZ222)),0))</f>
        <v/>
      </c>
      <c r="V222" s="119" t="str">
        <f t="shared" si="418"/>
        <v/>
      </c>
      <c r="W222" s="7" t="str">
        <f>IFERROR(IF(OR(B222="",BP222=1,BV222=1,NOT(ISNUMBER(EN222)),N(DT222)=0),"",MAX(0,ROUNDDOWN((c_min*(Uн_лин*1000/SQRT(3))/(HT222*N(DT222))-_xlfn.XLOOKUP(A222,Щиты[Щит],Щиты[Zпетли на шинах, Ом]))*EN222/(2*ρкз_Cu),0))),"")</f>
        <v/>
      </c>
      <c r="Y222" t="str">
        <f>Линии[[#This Row],[_авто утечка]]</f>
        <v/>
      </c>
      <c r="Z222">
        <v>1</v>
      </c>
      <c r="AA222">
        <v>230</v>
      </c>
      <c r="AB222" t="s">
        <v>573</v>
      </c>
      <c r="AG222" t="s">
        <v>810</v>
      </c>
      <c r="AI222" t="s">
        <v>572</v>
      </c>
      <c r="AK222" t="str">
        <f>Линии[[#This Row],[_авто модуль]]</f>
        <v/>
      </c>
      <c r="AM222">
        <v>55</v>
      </c>
      <c r="AN222" t="s">
        <v>11</v>
      </c>
      <c r="AO222">
        <v>3</v>
      </c>
      <c r="AQ222">
        <v>8</v>
      </c>
      <c r="AR222">
        <v>11</v>
      </c>
      <c r="BA222" cm="1">
        <f t="array" ref="BA222">ROW()-ROW(Линии[#Headers])</f>
        <v>220</v>
      </c>
      <c r="BC222" s="6" t="str">
        <f t="shared" si="419"/>
        <v>ШТК-ЛВС</v>
      </c>
      <c r="BD222" t="str">
        <f t="shared" si="420"/>
        <v>0</v>
      </c>
      <c r="BE222" t="str">
        <f t="shared" si="421"/>
        <v>0</v>
      </c>
      <c r="BF222" t="str">
        <f t="shared" si="422"/>
        <v/>
      </c>
      <c r="BG222" t="str">
        <f t="shared" si="423"/>
        <v/>
      </c>
      <c r="BH222" t="str">
        <f>IF(X222&lt;&gt;"",X222,IF(AND(B222&lt;&gt;"",B222&lt;&gt;A222,ISNUMBER(_xlfn.XMATCH(B222,Щиты[Щит]))),B222,""))</f>
        <v/>
      </c>
      <c r="BI222" t="str" cm="1">
        <f t="array" ref="BI222">IF(B222="","",IF(BH222&lt;&gt;"","Щит "&amp;BH222,_xlfn.LET(_xlpm.nm,IFERROR(_xlfn.XLOOKUP(BC222,Коды_код,Коды_имя)&amp;"",""),_xlpm.md,IFERROR(N(_xlfn.XLOOKUP(BC222,Коды_код,Коды_режим)),1),_xlpm.ex,IF(Имя_режим="по экспликации",IFERROR(_xlfn.XLOOKUP(BE222&amp;"|"&amp;BG222,Экспликация[Этаж]&amp;"|"&amp;Экспликация[Помещение],Экспликация[Название])&amp;"",""),""),_xlpm.rm,IF(BG222="","",IF(_xlpm.ex&lt;&gt;"",". "&amp;_xlpm.ex&amp;IF(Имя_пом="нет"," ("&amp;BG222&amp;")"," (пом. "&amp;BG222&amp;")"),IF(Имя_пом="нет"," ",", пом. ")&amp;BG222)),IF(_xlpm.nm="","",IF(_xlpm.md=2,_xlpm.nm&amp;" шлейф "&amp;BE222,_xlpm.nm&amp;_xlpm.rm)))))</f>
        <v>Шкаф телекоммуникационный ЛВС шлейф 0</v>
      </c>
      <c r="BJ222" t="str">
        <f t="shared" si="424"/>
        <v>Шкаф телекоммуникационный ШТК-ЛВС.0 Цокольный этаж Пом. №002Т</v>
      </c>
      <c r="BK222">
        <f>IFERROR(_xlfn.XMATCH(A222,Щиты[Щит]),0)</f>
        <v>9</v>
      </c>
      <c r="BL222">
        <f>_xlfn.LET(_xlpm.k,IFERROR(_xlfn.XLOOKUP(A222,Щиты[Щит],Щиты[Мест под вводной узел]),""),IF(_xlpm.k="",Столбцов_на_лист,N(_xlpm.k)))</f>
        <v>8</v>
      </c>
      <c r="BM222">
        <f t="shared" si="425"/>
        <v>55</v>
      </c>
      <c r="BN222" t="str">
        <f t="shared" si="426"/>
        <v>линии</v>
      </c>
      <c r="BO222" s="6">
        <f>IFERROR(N(_xlfn.XLOOKUP(BC222,Коды_код,Коды_квт)),0)</f>
        <v>0</v>
      </c>
      <c r="BP222">
        <f t="shared" si="427"/>
        <v>0</v>
      </c>
      <c r="BQ222" t="str">
        <f>IF(B222="","",IF(BH222&lt;&gt;"",IFERROR(_xlfn.XLOOKUP(BH222,Щиты[Щит],Щиты[Руст, кВт]),0),IF(BP222=1,IF(OR(N(_xlfn.XLOOKUP(A222,Щиты[Щит],Щиты[Вводов],1))&lt;=1,LOWER(TRIM(_xlfn.XLOOKUP(A222,Щиты[Щит],Щиты[АВР],"")&amp;""))="да"),IFERROR(_xlfn.XLOOKUP(A222,Щиты[Щит],Щиты[Руст, кВт]),0),SUMIFS(Линии[_Р для вводов],Линии[Щит],A222,Линии[Источник для режимов],GF222)),IF(BO222&gt;0,ROUND(BO222*MAX(1,N(D222)),3),""))))</f>
        <v/>
      </c>
      <c r="BR222">
        <f t="shared" si="428"/>
        <v>2.7</v>
      </c>
      <c r="BS222" s="6">
        <f>IF(B222="","",IF(BH222&lt;&gt;"",IFERROR(_xlfn.XLOOKUP(BH222,Щиты[Щит],Щиты[Руст, кВт]),0),N(BR222)))</f>
        <v>2.7</v>
      </c>
      <c r="BT222" t="str">
        <f>IF(B222="","",IFERROR(IF(VLOOKUP(BC222,Потребители_обозначение,8,FALSE)=0,"",VLOOKUP(BC222,Потребители_обозначение,8,FALSE)),""))</f>
        <v/>
      </c>
      <c r="BU222">
        <f t="shared" si="429"/>
        <v>230</v>
      </c>
      <c r="BV222">
        <f t="shared" si="430"/>
        <v>0</v>
      </c>
      <c r="BW222">
        <f>IF(B222="","",IF(BH222&lt;&gt;"",3,IFERROR(IF(N(VLOOKUP(BC222,Потребители_обозначение,9,FALSE))=0,1,VLOOKUP(BC222,Потребители_обозначение,9,FALSE)),1)))</f>
        <v>1</v>
      </c>
      <c r="BX222">
        <f t="shared" si="431"/>
        <v>1</v>
      </c>
      <c r="BY222" t="str">
        <f>IF(B222="","",_xlfn.LET(_xlpm.bc,IFERROR(IF(VLOOKUP(BC222,Потребители_обозначение,6,FALSE)=0,"",VLOOKUP(BC222,Потребители_обозначение,6,FALSE)&amp;""),""),IF(AND(GA222="да",OR(_xlpm.bc="",_xlpm.bc="мс")),Марка_пож,IF(AND(_xlpm.bc="",BH222&lt;&gt;""),"мс",_xlpm.bc))))</f>
        <v/>
      </c>
      <c r="BZ222" t="str">
        <f t="shared" si="432"/>
        <v>мс</v>
      </c>
      <c r="CA222">
        <f>IF(B222="","",_xlfn.LET(_xlpm.cc,IFERROR(N(VLOOKUP(BC222,Потребители_обозначение,7,FALSE)),0),IF(_xlpm.cc&gt;0,_xlpm.cc,IF(BZ222="","",IF(BV222=1,2,IF(N(BX222)=3,5,3))))))</f>
        <v>3</v>
      </c>
      <c r="CB222">
        <f t="shared" si="433"/>
        <v>3</v>
      </c>
      <c r="CC222">
        <f>IFERROR(N(VLOOKUP(BC222,Потребители_обозначение,10,FALSE)),0)</f>
        <v>0</v>
      </c>
      <c r="CD222">
        <f>IFERROR(VLOOKUP(BC222,Потребители_обозначение,5,FALSE),0)</f>
        <v>1</v>
      </c>
      <c r="CE222" s="6" cm="1">
        <f t="array" ref="CE222">IF(B222="","",IF(BH222&lt;&gt;"",IFERROR(_xlfn.XLOOKUP(BH222,Щиты[Щит],Щиты[cos φ]),0.95),IF(BP222=1,IFERROR(_xlfn.XLOOKUP(A222,Щиты[Щит],Щиты[cos φ]),0.95),IF(ISNUMBER(AD222),AD222,IFERROR(IF(CD222=2,_xlfn.IFS(BX222=3,VLOOKUP(BS222,Справочная_двигатели,8,FALSE),BX222=1,VLOOKUP(BS222,Справочная_двигатели,10,TRUE)),IF(AND(Методика="нормы 2026",FG222="Сил"),0.8,0.95)),0.95)))))</f>
        <v>0.95</v>
      </c>
      <c r="CF222">
        <f t="shared" si="434"/>
        <v>0</v>
      </c>
      <c r="CG222">
        <f t="shared" si="435"/>
        <v>1</v>
      </c>
      <c r="CH222">
        <f t="shared" si="436"/>
        <v>0</v>
      </c>
      <c r="CI222">
        <f>IF(B222="","",IF(BV222=1,IFERROR(BS222/((Uн_лин/SQRT(3))*MAX(0.5,N(CE222))),0),N(O222)))</f>
        <v>12.306676790620971</v>
      </c>
      <c r="CJ222">
        <f t="shared" si="437"/>
        <v>0</v>
      </c>
      <c r="CK222">
        <f t="shared" si="438"/>
        <v>0</v>
      </c>
      <c r="CL222">
        <f t="shared" si="439"/>
        <v>0</v>
      </c>
      <c r="CM222">
        <f t="shared" si="440"/>
        <v>0</v>
      </c>
      <c r="CN222">
        <f t="shared" si="441"/>
        <v>0</v>
      </c>
      <c r="CO222">
        <f>IF(BC222="",0,_xlfn.LET(_xlpm.v,IFERROR(_xlfn.XLOOKUP(B222,Коды_код,Коды_мА),IFERROR(_xlfn.XLOOKUP(BC222,Коды_код,Коды_мА),IFERROR(_xlfn.XLOOKUP(LEFT(BC222,2),Коды_код,Коды_мА),""))),IF(_xlpm.v="да",30,IF(ISNUMBER(_xlpm.v),_xlpm.v,0))))</f>
        <v>0</v>
      </c>
      <c r="CP222" t="str">
        <f t="shared" si="442"/>
        <v/>
      </c>
      <c r="CQ222" t="str">
        <f>_xlfn.LET(_xlpm.k,IFERROR(_xlfn.XLOOKUP(BC222,Коды_код,Коды_утечка)&amp;"",""),IF(_xlpm.k="","дифавтомат",_xlpm.k))</f>
        <v>дифавтомат</v>
      </c>
      <c r="CR222" t="str" cm="1">
        <f t="array" ref="CR222">IF(CG222=0,"",_xlfn.LET(_xlpm.sg,TRIM(_xlfn.TEXTSPLIT(DD222&amp;"",";")),_xlpm.f_,_xlfn._xlws.FILTER(_xlpm.sg,LEFT(_xlpm.sg,3)="УЗО",""),IFERROR(INDEX(_xlpm.f_,1)&amp;"","")))</f>
        <v/>
      </c>
      <c r="CS222" t="str">
        <f t="shared" si="443"/>
        <v/>
      </c>
      <c r="CT222" s="6" t="str" cm="1">
        <f t="array" ref="CT222">IF(CR222="","",_xlfn.LET(_xlpm.tk,_xlfn.TEXTSPLIT(UPPER(CR222)," ",,TRUE),_xlpm.a_,_xlfn._xlws.FILTER(_xlpm.tk,ISNUMBER(--LEFT(_xlpm.tk,1))*((ISNUMBER(SEARCH("А",_xlpm.tk))+ISNUMBER(SEARCH("A",_xlpm.tk)))&gt;0)*NOT(ISNUMBER(SEARCH("МА",_xlpm.tk)))*NOT(ISNUMBER(SEARCH("MA",_xlpm.tk))),""),IFERROR(--SUBSTITUTE(SUBSTITUTE(INDEX(_xlpm.a_,1),"А",""),"A",""),"")))</f>
        <v/>
      </c>
      <c r="CU222" t="str" cm="1">
        <f t="array" ref="CU222">IF(CR222="","",_xlfn.LET(_xlpm.tk,_xlfn.TEXTSPLIT(UPPER(CR222)," ",,TRUE),_xlpm.a_,_xlfn._xlws.FILTER(_xlpm.tk,ISNUMBER(--LEFT(_xlpm.tk,1))*((ISNUMBER(SEARCH("МА",_xlpm.tk))+ISNUMBER(SEARCH("MA",_xlpm.tk)))&gt;0),""),IFERROR(--SUBSTITUTE(SUBSTITUTE(INDEX(_xlpm.a_,1),"МА",""),"MA",""),30)))</f>
        <v/>
      </c>
      <c r="CV222" t="str">
        <f>IF(CS222="","",IFERROR(_xlfn.XLOOKUP(CS222,Линии[_n],Линии[_УЗО, мА]),30))</f>
        <v/>
      </c>
      <c r="CW222">
        <f>IF(CS222="",0,IF(ISNUMBER(SEARCH("4P",IFERROR(_xlfn.XLOOKUP(CS222,Линии[_n],Линии[_УЗО строки])&amp;"",""))),0,1))</f>
        <v>0</v>
      </c>
      <c r="CX222" t="str">
        <f>IF(AND(CS222&lt;&gt;"",CS222=BA222),SUMIFS(Линии[_ток на 230 В],Линии[_блок УЗО],BA222,Линии[Щит],A222),"")</f>
        <v/>
      </c>
      <c r="CY222" t="str">
        <f>IF(AND(CS222&lt;&gt;"",CS222=BA222),SUMIFS(Линии[_ток утечки линии, мА],Линии[_блок УЗО],BA222,Линии[Щит],A222),"")</f>
        <v/>
      </c>
      <c r="CZ222">
        <f t="shared" si="444"/>
        <v>0</v>
      </c>
      <c r="DA222">
        <f t="shared" si="445"/>
        <v>0</v>
      </c>
      <c r="DB222">
        <f>IF(B222="",0,IFERROR(--_xlfn.XLOOKUP(B222,Коды_код,Коды_минавт),IFERROR(--_xlfn.XLOOKUP(BC222,Коды_код,Коды_минавт),IFERROR(--_xlfn.XLOOKUP(LEFT(BC222,2),Коды_код,Коды_минавт),0))))</f>
        <v>0</v>
      </c>
      <c r="DC222" t="str">
        <f>IF(B222="","",IFERROR(_xlfn.XLOOKUP(BC222,Коды_код,Коды_апп)&amp;"",""))</f>
        <v/>
      </c>
      <c r="DD222" t="str">
        <f t="shared" si="446"/>
        <v/>
      </c>
      <c r="DE222" t="str" cm="1">
        <f t="array" ref="DE222">IF(TRIM(DD222&amp;"")="","",IFERROR(TRIM(INDEX(_xlfn.TEXTSPLIT(DD222&amp;";;;",";"),1)),""))</f>
        <v/>
      </c>
      <c r="DF222" t="str" cm="1">
        <f t="array" ref="DF222">IF(TRIM(DD222&amp;"")="","",IFERROR(TRIM(INDEX(_xlfn.TEXTSPLIT(DD222&amp;";;;",";"),2)),""))</f>
        <v/>
      </c>
      <c r="DG222" t="str" cm="1">
        <f t="array" ref="DG222">IF(TRIM(DD222&amp;"")="","",IFERROR(TRIM(INDEX(_xlfn.TEXTSPLIT(DD222&amp;";;;",";"),3)),""))</f>
        <v/>
      </c>
      <c r="DH222">
        <f t="shared" si="447"/>
        <v>0</v>
      </c>
      <c r="DI222" t="str">
        <f>IF(B222="","",_xlfn.LET(_xlpm.t,LOWER(AZ222&amp;""),IF(ISNUMBER(SEARCH("dim",_xlpm.t)),"DIM",IF(ISNUMBER(SEARCH("dali",_xlpm.t)),"DALI",IF(OR(ISNUMBER(SEARCH("relay",_xlpm.t)),ISNUMBER(SEARCH("реле",_xlpm.t))),"Relay",IF(ISNUMBER(SEARCH("кнопк",_xlpm.t)),"",IFERROR(_xlfn.XLOOKUP(BC222,Коды_код,Коды_упр)&amp;"","")))))))</f>
        <v/>
      </c>
      <c r="DJ222" t="str">
        <f t="shared" si="448"/>
        <v/>
      </c>
      <c r="DK222">
        <f>IF(B222="","",_xlfn.LET(_xlpm.ig,IF(N(CX222)&gt;0,N(CX222),N(CI222)+IF(AJ222="вручную",0,N(CJ222))),_xlpm.n0,IFERROR(VLOOKUP(_xlpm.ig,Автомат_номиналы,2,TRUE),0),_xlpm.mn,MAX(DB222,IF(AJ222="вручную",0,N(CM222))),MAX(_xlpm.n0,_xlpm.mn,IF(DH222=1,Мин_автомат_БП,0))))</f>
        <v>16</v>
      </c>
      <c r="DL222">
        <f t="shared" si="449"/>
        <v>1</v>
      </c>
      <c r="DM222" t="str">
        <f t="shared" si="450"/>
        <v>1P</v>
      </c>
      <c r="DN222" t="str">
        <f>_xlfn.LET(_xlpm.cc,UPPER(TRIM(IFERROR(_xlfn.XLOOKUP(BC222,Коды_код,Коды_хар)&amp;"",""))),IF(OR(_xlpm.cc="B",_xlpm.cc="В"),"B",IF(_xlpm.cc="D","D","С")))</f>
        <v>С</v>
      </c>
      <c r="DO222" t="str">
        <f t="shared" si="451"/>
        <v>1P С16А</v>
      </c>
      <c r="DP222">
        <f t="shared" si="452"/>
        <v>16</v>
      </c>
      <c r="DQ222" t="str">
        <f t="shared" si="453"/>
        <v>1P С16А</v>
      </c>
      <c r="DR222" cm="1">
        <f t="array" ref="DR222">IF(DQ222="","",_xlfn.LET(_xlpm.t,SUBSTITUTE(SUBSTITUTE(SUBSTITUTE(UPPER(DQ222),"С","C"),"А","A"),"В","B"),_xlpm.tk,_xlfn.TEXTSPLIT(_xlpm.t," "),_xlpm.f,_xlfn._xlws.FILTER(_xlpm.tk,ISNUMBER(--MID(_xlpm.tk,2,1))*ISNUMBER(SEARCH(LEFT(_xlpm.tk,1)&amp;"#","B#C#D#"))*(LEN(_xlpm.tk)&gt;1),""),_xlpm.x,INDEX(_xlpm.f,1),IFERROR(--SUBSTITUTE(MID(_xlpm.x,2,9),"A",""),IFERROR(--SUBSTITUTE(INDEX(_xlfn._xlws.FILTER(_xlpm.tk,ISNUMBER(--SUBSTITUTE(_xlpm.tk,"A","")),""),1),"A",""),""))))</f>
        <v>16</v>
      </c>
      <c r="DS222" t="str">
        <f t="shared" si="454"/>
        <v>ok</v>
      </c>
      <c r="DT222">
        <f t="shared" si="455"/>
        <v>16</v>
      </c>
      <c r="DU222" t="str">
        <f t="shared" si="456"/>
        <v>1P С16А</v>
      </c>
      <c r="DV222">
        <f t="shared" si="457"/>
        <v>0</v>
      </c>
      <c r="DW222">
        <f t="shared" si="458"/>
        <v>0</v>
      </c>
      <c r="DX222">
        <f t="shared" si="459"/>
        <v>0</v>
      </c>
      <c r="DY222">
        <f t="shared" si="460"/>
        <v>12.306676790620971</v>
      </c>
      <c r="DZ222">
        <f t="shared" si="461"/>
        <v>1</v>
      </c>
      <c r="EA222">
        <f>IF(ISNUMBER(AP222),AP222,К_прокл)</f>
        <v>1</v>
      </c>
      <c r="EB222">
        <f t="shared" si="462"/>
        <v>2</v>
      </c>
      <c r="EC222">
        <f>IFERROR(N(VLOOKUP(BZ222,Кабель_обозначение,3,FALSE)),1)</f>
        <v>1</v>
      </c>
      <c r="ED222">
        <f>IFERROR(N(_xlfn.XLOOKUP(A222,Щиты[Щит],Щиты[ΔU до шин, %])),0)</f>
        <v>0.43</v>
      </c>
      <c r="EE222" t="str">
        <f>IFERROR(_xlfn.XLOOKUP(A222,Щиты[Щит],Щиты[Zпетли на шинах, Ом]),"")</f>
        <v/>
      </c>
      <c r="EF222">
        <f>IFERROR(N(_xlfn.XLOOKUP(A222,Щиты[Щит],Щиты[ΔU до шин (подбор), %])),0)</f>
        <v>0.43</v>
      </c>
      <c r="EG222" t="str">
        <f>IFERROR(_xlfn.XLOOKUP(A222,Щиты[Щит],Щиты[Zпетли на шинах (подбор), Ом]),"")</f>
        <v/>
      </c>
      <c r="EH222" t="str">
        <f t="shared" si="463"/>
        <v/>
      </c>
      <c r="EI222">
        <f t="shared" si="464"/>
        <v>24</v>
      </c>
      <c r="EJ222">
        <f t="shared" si="465"/>
        <v>2</v>
      </c>
      <c r="EK222">
        <f t="shared" si="466"/>
        <v>0.31</v>
      </c>
      <c r="EL222" s="6">
        <f>IF(B222="","",IF(BV222=1,dU_LED,IF(IFERROR(_xlfn.XLOOKUP(BC222,Коды_код,Коды_уго),"")="Светильник",3,4)+IF(Методика="нормы 2026",MIN(0.5,MAX(0,N(P222)-100)*0.005),0)))</f>
        <v>4</v>
      </c>
      <c r="EM222" cm="1">
        <f t="array" ref="EM222">IF(OR(B222="",BZ222="",EC222&lt;&gt;1),"",_xlfn.LET(_xlpm.sz,Iдоп_S,_xlpm.t_,CHOOSE(EB222,Iдоп_1ж,Iдоп_2ж,Iдоп_3ж)*DZ222*EA222,_xlpm.dcx,BV222=1,_xlpm.inn,IF(_xlpm.dcx,N(O222),N(DT222)),_xlpm.smin,MAX(1.5,CC222),_xlpm.L_,N(P222)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222)/N(BU222)*100,999),IFERROR(N(EJ222)*(_xlpm.rho*_xlpm.L_/_xlpm.sz*N(CE222)+_xlpm.xx*_xlpm.L_*N(EK222)/1000)*N(O222)/((Uн_лин/SQRT(3))*1000)*100,999)),_xlpm.kz,IF(OR(_xlpm.dcx,DW222=1,NOT(ISNUMBER(EG222)),_xlpm.L_=0,_xlpm.inn=0),1,IFERROR(--(c_min*(Uн_лин*1000/SQRT(3))/(EG222+2*ρкз_Cu*_xlpm.L_/_xlpm.sz)&gt;=HT222*_xlpm.inn),0)),_xlpm.ok,IFERROR((_xlpm.sz&gt;=_xlpm.smin)*(_xlpm.t_&gt;=_xlpm.inn)*IF(_xlpm.L_&gt;0,(_xlpm.du_+IF(_xlpm.dcx,0,EF222)&lt;=EL222+0.00001),1)*_xlpm.kz,0),_xlpm.r_,_xlfn._xlws.FILTER(_xlpm.sz,_xlpm.ok,"не подобрано"),INDEX(_xlpm.r_,1)))</f>
        <v>2.5</v>
      </c>
      <c r="EN222">
        <f t="shared" si="467"/>
        <v>2.5</v>
      </c>
      <c r="EO222" cm="1">
        <f t="array" ref="EO222">IF(OR(B222="",BZ222="",EC222&lt;&gt;1),"",_xlfn.LET(_xlpm.sz,Iдоп_S,_xlpm.t_,CHOOSE(EB222,Iдоп_1ж,Iдоп_2ж,Iдоп_3ж)*DZ222*EA222,_xlpm.ok,IFERROR((_xlpm.sz&gt;=MAX(1.5,CC222))*(_xlpm.t_&gt;=N(DT222)),0),_xlpm.r_,_xlfn._xlws.FILTER(_xlpm.sz,_xlpm.ok,""),INDEX(_xlpm.r_,1)))</f>
        <v>1.5</v>
      </c>
      <c r="EP222" s="6" cm="1">
        <f t="array" ref="EP222">IFERROR(ROUNDUP(N(EJ222)*(_xlfn.XLOOKUP(EO222,INDEX(Кабель_сопротивление,0,1),INDEX(Кабель_сопротивление,0,3))*N(P222)/EO222*N(CE222)+_xlfn.XLOOKUP(EO222,INDEX(Кабель_сопротивление,0,1),INDEX(Кабель_сопротивление,0,2))*N(P222)*N(EK222)/1000)*N(O222)/((Uн_лин/SQRT(3))*1000)*100,2),"")</f>
        <v>4.12</v>
      </c>
      <c r="EQ222">
        <f>IFERROR(2*ρкз_Cu*N(P222)/EO222,"")</f>
        <v>0.94680000000000009</v>
      </c>
      <c r="ER222">
        <f>IFERROR(VLOOKUP(EN222,Кабель_сопротивление,3,FALSE),"")</f>
        <v>2.2499999999999999E-2</v>
      </c>
      <c r="ES222">
        <f>IFERROR(VLOOKUP(EN222,Кабель_сопротивление,2,FALSE),"")</f>
        <v>0.1</v>
      </c>
      <c r="ET222">
        <f t="shared" si="468"/>
        <v>11</v>
      </c>
      <c r="EU222" t="str">
        <f t="shared" si="469"/>
        <v/>
      </c>
      <c r="EV222">
        <f t="shared" si="470"/>
        <v>5.7025940511772006</v>
      </c>
      <c r="EW222" s="6">
        <f>IFERROR(ROUNDUP(EV222/IF(BV222=1,BU222,(Uн_лин/SQRT(3))*1000)*100,2),"")</f>
        <v>2.4699999999999998</v>
      </c>
      <c r="EX222" t="str">
        <f>IFERROR(VLOOKUP(BZ222,Кабель_обозначение,2,FALSE),"")</f>
        <v>ВВГнг(А)-LS</v>
      </c>
      <c r="EY222" t="str">
        <f t="shared" si="471"/>
        <v>ВВГнг(А)-LS (3х2,5)</v>
      </c>
      <c r="EZ222" t="str">
        <f t="shared" si="472"/>
        <v>ВВГнг(А)-LS (3х2,5)
L=27-2,47%</v>
      </c>
      <c r="FA222">
        <f>IFERROR(2*ρкз_Cu*P222/EN222,"")</f>
        <v>0.56808000000000003</v>
      </c>
      <c r="FB222">
        <f t="shared" si="473"/>
        <v>0.189</v>
      </c>
      <c r="FC222" s="6" t="str">
        <f>IFERROR(IF(OR(B222="",BV222=1,NOT(ISNUMBER(EN222)),N(P222)=0),"",_xlfn.XLOOKUP(A222,Щиты[Щит],Щиты[Zпетли на шинах, Ом])+FA222),"")</f>
        <v/>
      </c>
      <c r="FD222" s="6" t="str">
        <f>IF(ISNUMBER(FC222),c_min*(Uн_лин*1000/SQRT(3))/FC222,"")</f>
        <v/>
      </c>
      <c r="FE222" s="6" t="str">
        <f>IFERROR(IF(OR(B222="",NOT(ISNUMBER(EN222))),"",1.05*(Uн_лин*1000/SQRT(3))/(_xlfn.XLOOKUP(A222,Щиты[Щит],Щиты[Zmax на шинах, Ом])+FB222)/1000),"")</f>
        <v/>
      </c>
      <c r="FF222" s="6" t="str">
        <f>IF(B222="","",IF(ISNUMBER(AC222),"Сил",IF(IFERROR(_xlfn.XLOOKUP(BC222,Коды_код,Коды_группа)&amp;"","")="","Быт",_xlfn.XLOOKUP(BC222,Коды_код,Коды_группа)&amp;"")))</f>
        <v>Быт</v>
      </c>
      <c r="FG222" s="6" t="str">
        <f t="shared" si="474"/>
        <v>Пост</v>
      </c>
      <c r="FH222" s="6">
        <f>IF(FG222="Щит","щит",IF(FG222="","",IF(FG222="Быт",IFERROR(_xlfn.XLOOKUP(A222,Щиты[Щит],Щиты[Кс быт]),1),IF(FG222="Сил",IF(ISNUMBER(AC222),AC222,IF(Методика="нормы 2026",IFERROR(_xlfn.XLOOKUP(A222,Щиты[Щит],Щиты[Кс силовых (табл. 7.5)]),1),1)),IF(OR(FG222="Пост",FG222="Отоп"),1,IF(FG222="ВНГ",0.7,0))))))</f>
        <v>1</v>
      </c>
      <c r="FI222">
        <f>IF(FG222="","",IF(AND(BP222=1,TRIM(AE222&amp;"")=""),IF(COUNTIFS(Линии[Щит],A222,Линии[Секция (1/2/3)],"&gt;=2")&gt;0,MIN(3,MAX(1,IFERROR(--BD222,1))),1),IFERROR(MIN(3,MAX(1,INT(--AE222))),1)))</f>
        <v>1</v>
      </c>
      <c r="FJ222">
        <f t="shared" si="475"/>
        <v>2.7</v>
      </c>
      <c r="FK222">
        <f t="shared" si="476"/>
        <v>0</v>
      </c>
      <c r="FL222">
        <f t="shared" si="477"/>
        <v>0</v>
      </c>
      <c r="FM222">
        <f t="shared" si="478"/>
        <v>2.7</v>
      </c>
      <c r="FN222">
        <f t="shared" si="479"/>
        <v>0</v>
      </c>
      <c r="FO222">
        <f t="shared" si="480"/>
        <v>0</v>
      </c>
      <c r="FP222">
        <f t="shared" si="481"/>
        <v>2.7</v>
      </c>
      <c r="FQ222">
        <f t="shared" si="482"/>
        <v>2.7</v>
      </c>
      <c r="FR222">
        <f t="shared" si="483"/>
        <v>2.5649999999999999</v>
      </c>
      <c r="FS222">
        <f>IF(CG222=1,IF(AND(CH222=1,CW222=1),0,IF(AND(CS222&lt;&gt;"",CS222=BA222,CW222=1),SUMIFS(Линии[_Р линии, кВт],Линии[_блок УЗО],BA222,Линии[Щит],A222),N(BS222)+IF(AJ222="вручную",0,N(CK222)))),0)</f>
        <v>2.7</v>
      </c>
      <c r="FT222" t="str">
        <f t="shared" si="484"/>
        <v>L3</v>
      </c>
      <c r="FU222" t="str">
        <f>IF(B222="","",IF(CG222=0,IF(BA222=1,"",FW221),IF(AND(CH222=1,CW222=1,CS222&lt;&gt;""),IFERROR(_xlfn.XLOOKUP(CS222,Линии[_n],Линии[_фаза итог]),"L1"),IF(OR(N(DL222)&gt;=3,N(BX222)&gt;=3),"L1,L2,L3",IFERROR(_xlfn.TEXTBEFORE(_xlfn.TEXTAFTER(_xlfn.XLOOKUP(A222,Щиты[Щит],Щиты[_фазы авто]),";"&amp;BA222&amp;":"),";"),"L1")))))</f>
        <v>L1</v>
      </c>
      <c r="FV222" t="str">
        <f t="shared" si="485"/>
        <v>L3</v>
      </c>
      <c r="FW222" t="str">
        <f t="shared" si="486"/>
        <v>L3</v>
      </c>
      <c r="FX222" cm="1">
        <f t="array" ref="FX222">IFERROR(IF(CD222=2,_xlfn.IFS(BX222=3,VLOOKUP(BS222,Справочная_двигатели,3,FALSE),BX222=1,VLOOKUP(BS222,Справочная_двигатели,5,TRUE)),0),0)</f>
        <v>0</v>
      </c>
      <c r="FY222">
        <f>IFERROR(IF(CD222=3,VLOOKUP(BS222,Справочная_ЛЭД,2,TRUE),0),0)</f>
        <v>0</v>
      </c>
      <c r="FZ222" s="6">
        <f t="shared" si="487"/>
        <v>0</v>
      </c>
      <c r="GA222" t="str">
        <f>IF(B222="","",IF(TRIM(AH222&amp;"")&lt;&gt;"",IF(LOWER(TRIM(AH222&amp;""))="да","да","нет"),IF(IFERROR(_xlfn.XLOOKUP(BC222,Коды_код,Коды_пожарная),"")="да","да","нет")))</f>
        <v>нет</v>
      </c>
      <c r="GB222" t="str">
        <f t="shared" si="488"/>
        <v/>
      </c>
      <c r="GC222" t="str">
        <f t="shared" si="489"/>
        <v>основная</v>
      </c>
      <c r="GD222">
        <f>IF(AND(BP222=1,TRIM(AE222&amp;"")=""),IF(COUNTIFS(Линии[Щит],A222,Линии[Секция (1/2/3)],"&gt;=2")&gt;0,MIN(3,MAX(1,IFERROR(--BD222,1))),1),IFERROR(MIN(3,MAX(1,INT(--AE222))),1))</f>
        <v>1</v>
      </c>
      <c r="GE222" t="str" cm="1">
        <f t="array" ref="GE222">IF(B222="","",_xlfn.LET(_xlpm.t,IFERROR(_xlfn.XLOOKUP(1,(Шины[Шина]=GC222)*(((Шины[Щит]=A222)+(Шины[Щит]=""))&gt;0),Шины[Тип]),"")&amp;"",IF(_xlpm.t&lt;&gt;"",_xlpm.t,IF(ISNUMBER(SEARCH("ИБП",GC222)),"ИБП",IF(ISNUMBER(SEARCH("ДГУ",GC222)),"ДГУ","Ввод "&amp;GD222)))))</f>
        <v>Ввод 1</v>
      </c>
      <c r="GF222" t="str">
        <f t="shared" si="490"/>
        <v>Ввод 1</v>
      </c>
      <c r="GG222" t="str">
        <f>IF(BP222=0,"",IF(TRIM(AG222&amp;"")&lt;&gt;"",TRIM(AG222&amp;""),IF(OR(GE222="ИБП",GE222="ДГУ"),"I особая",_xlfn.XLOOKUP(A222,Щиты[Щит],Щиты[Категория шины «Ввод»],"III"))))</f>
        <v/>
      </c>
      <c r="GH222" t="str">
        <f>IF(A222="","",_xlfn.XLOOKUP(A222,Щиты[Щит],Щиты[Путь],""))</f>
        <v>|ГРЩ-ЖД|ЩР-01|</v>
      </c>
      <c r="GI222" t="str">
        <f>IF(B222="","",IF(AI222&lt;&gt;"",AI222,IF(IFERROR(_xlfn.XLOOKUP(BC222,Коды_код,Коды_вид)&amp;"","")="","Прочее",_xlfn.XLOOKUP(BC222,Коды_код,Коды_вид)&amp;"")))</f>
        <v>Слаботочные системы, автоматизация, KNX</v>
      </c>
      <c r="GJ222">
        <f>IF(BM222="","",INT((BM222-1)/Столбцов_на_лист)+1)</f>
        <v>4</v>
      </c>
      <c r="GK222" t="str">
        <f t="shared" si="491"/>
        <v>ВВГнг(А)-LS (3х2,5) L=27-2,47%</v>
      </c>
      <c r="GL222">
        <f t="shared" si="492"/>
        <v>2.7</v>
      </c>
      <c r="GM222">
        <f t="shared" si="493"/>
        <v>12.31</v>
      </c>
      <c r="GN222">
        <f t="shared" si="494"/>
        <v>1</v>
      </c>
      <c r="GO222">
        <f t="shared" si="495"/>
        <v>0</v>
      </c>
      <c r="GP222">
        <f t="shared" si="496"/>
        <v>1</v>
      </c>
      <c r="GQ222">
        <f>IF(BM222="","",IF(AND(CG222=1,GP222=1),COUNTIFS(A$3:A222,A222,CG$3:CG222,1,GP$3:GP222,1),IF(OR(OR(BA222=1,A222&lt;&gt;A221),AJ222="вручную",GP222=0),"",IF(BA222=1,"",GR221))))</f>
        <v>38</v>
      </c>
      <c r="GR222">
        <f t="shared" si="497"/>
        <v>38</v>
      </c>
      <c r="GS222">
        <f>IF(B222="","",IFERROR(LOOKUP(INDEX(CHOOSE(EB222,Iдоп_1ж,Iдоп_2ж,Iдоп_3ж),MATCH(EN222,Iдоп_S,0))*DZ222*EA222,{6,10,16,20,25,32,40,50,63,80,100,125,160,200,250,315,400,500,630}),""))</f>
        <v>25</v>
      </c>
      <c r="GT222" t="str">
        <f t="shared" si="498"/>
        <v>QF38</v>
      </c>
      <c r="GU222" t="str">
        <f t="shared" si="499"/>
        <v>QF38</v>
      </c>
      <c r="GV222" t="str">
        <f t="shared" si="500"/>
        <v/>
      </c>
      <c r="GW222">
        <f t="shared" si="501"/>
        <v>0</v>
      </c>
      <c r="GX222" t="str">
        <f>IF(OR(B222="",DJ222=""),"",IFERROR(_xlfn.XLOOKUP(DJ222,Модули_умолч[Управление],Модули_умолч[Модель])&amp;"",""))</f>
        <v/>
      </c>
      <c r="GY222">
        <f>IF(DJ222="",1,IFERROR(MAX(0,N(_xlfn.XLOOKUP(DJ222,Модули_умолч[Управление],Модули_умолч[Каналов на линию]))),1))</f>
        <v>1</v>
      </c>
      <c r="GZ222" t="str">
        <f t="shared" si="502"/>
        <v/>
      </c>
      <c r="HA222" t="str">
        <f t="shared" si="503"/>
        <v/>
      </c>
      <c r="HB222" t="str">
        <f t="shared" si="504"/>
        <v/>
      </c>
      <c r="HC222">
        <f>IF(HB222="",0,IFERROR(N(VLOOKUP(HB222,Модули_спр,3,FALSE)),0))</f>
        <v>0</v>
      </c>
      <c r="HD222" t="str">
        <f t="shared" si="505"/>
        <v/>
      </c>
      <c r="HE222" t="str">
        <f t="shared" si="506"/>
        <v/>
      </c>
      <c r="HF222" t="str">
        <f>IF(OR(HE222="",HE222="-"),"",IFERROR(VLOOKUP(HE222,Модули_спр,2,FALSE),"R"))</f>
        <v/>
      </c>
      <c r="HG222" t="str">
        <f>IF(HF222="","",HF222&amp;"."&amp;COUNTIFS(A$3:A222,A222,HF$3:HF222,HF222))</f>
        <v/>
      </c>
      <c r="HH222" t="str">
        <f t="shared" si="507"/>
        <v/>
      </c>
      <c r="HI222" t="str">
        <f t="shared" si="508"/>
        <v/>
      </c>
      <c r="HJ222" t="str">
        <f t="shared" si="509"/>
        <v/>
      </c>
      <c r="HK222" t="str">
        <f t="shared" si="510"/>
        <v/>
      </c>
      <c r="HL222">
        <f t="shared" si="511"/>
        <v>1</v>
      </c>
      <c r="HM222" t="str">
        <f>IF(HL222=1,"XT"&amp;COUNTIFS(A$3:A222,A222,HL$3:HL222,1),"")</f>
        <v>XT38</v>
      </c>
      <c r="HN222" t="str">
        <f t="shared" si="512"/>
        <v>XT38</v>
      </c>
      <c r="HO222" t="str">
        <f t="shared" si="513"/>
        <v>QF38</v>
      </c>
      <c r="HP222" t="str">
        <f t="shared" si="514"/>
        <v/>
      </c>
      <c r="HQ222" t="str">
        <f t="shared" si="515"/>
        <v>ok</v>
      </c>
      <c r="HR222" t="str">
        <f>IF(OR(HJ222="",HH222=""),"",IF(HJ222+MAX(0,GY222-1)&gt;IFERROR(VLOOKUP(HI222,Модули_спр,3,FALSE),99),"ЛИШНИЙ КАНАЛ",IF(AND(AL222&lt;&gt;"=",GY222&gt;0,COUNTIFS(Линии[_модуль гр.],HH222,Линии[Канал (итог)],HJ222,Линии[Канал],"&lt;&gt;=",Линии[Щит],A222)&gt;1),"ДУБЛЬ КАНАЛА","")))</f>
        <v/>
      </c>
      <c r="HS222" s="6" t="str">
        <f t="shared" si="516"/>
        <v/>
      </c>
      <c r="HT222">
        <f t="shared" si="517"/>
        <v>10</v>
      </c>
      <c r="HU222" t="str">
        <f t="shared" si="518"/>
        <v/>
      </c>
      <c r="HV222">
        <f t="shared" si="519"/>
        <v>5.1926707162483883</v>
      </c>
      <c r="HW222">
        <f t="shared" si="520"/>
        <v>0</v>
      </c>
      <c r="HX222">
        <f t="shared" si="521"/>
        <v>0</v>
      </c>
      <c r="HY222">
        <f t="shared" si="522"/>
        <v>0</v>
      </c>
      <c r="HZ222">
        <f t="shared" si="523"/>
        <v>0</v>
      </c>
      <c r="IA222">
        <f t="shared" si="524"/>
        <v>0</v>
      </c>
      <c r="IB222">
        <f t="shared" si="525"/>
        <v>0</v>
      </c>
      <c r="IC222" t="str">
        <f t="shared" si="526"/>
        <v/>
      </c>
      <c r="ID222" t="str" cm="1">
        <f t="array" ref="ID222">IF(IC222="","",_xlfn.LET(_xlpm.tk,_xlfn.TEXTSPLIT(SUBSTITUTE(SUBSTITUTE(IC222,";"," "),"→"," ")," ",,TRUE),_xlpm.w_,_xlfn._xlws.FILTER(_xlpm.tk,ISNUMBER(--LEFT(_xlpm.tk,1))*((ISNUMBER(SEARCH("W",_xlpm.tk))+ISNUMBER(SEARCH("Вт",_xlpm.tk)))&gt;0),""),IFERROR(--SUBSTITUTE(SUBSTITUTE(UPPER(INDEX(_xlpm.w_,1)),"W",""),"ВТ",""),"")))</f>
        <v/>
      </c>
      <c r="IE222" t="str" cm="1">
        <f t="array" ref="IE222">IF(IC222="","",_xlfn.LET(_xlpm.tk,_xlfn.TEXTSPLIT(SUBSTITUTE(SUBSTITUTE(IC222,";"," "),"→"," ")," ",,TRUE),_xlpm.v_,_xlfn._xlws.FILTER(_xlpm.tk,ISNUMBER(--LEFT(_xlpm.tk,1))*((ISNUMBER(SEARCH("V",_xlpm.tk))+(RIGHT(UPPER(_xlpm.tk))="В"))&gt;0),""),IFERROR(--SUBSTITUTE(SUBSTITUTE(UPPER(INDEX(_xlpm.v_,1)),"V",""),"В",""),"")))</f>
        <v/>
      </c>
      <c r="IF222" s="6" t="str">
        <f>IF(OR(BV222=0,HI222="",HJ222=""),"",IFERROR(N(_xlfn.XLOOKUP(HI222,Каталог!$C$4:$C$500,Каталог!$Q$4:$Q$500)),""))</f>
        <v/>
      </c>
      <c r="IG222" s="6" t="str">
        <f>IF(N(IF222)=0,"",SUMIFS(Линии[Iр, А],Линии[Щит],A222,Линии[_модуль гр.],HH222,Линии[Канал (итог)],HJ222))</f>
        <v/>
      </c>
      <c r="IH222" t="str">
        <f>IF(AND(B222="",HO222=""),"",_xlfn.TEXTJOIN("; ",TRUE,IF(AND(B222&lt;&gt;"",FV222=""),"нет фазы",""),IF(AND(B222&lt;&gt;"",N(GL222)=0,FG222&lt;&gt;"Нет"),"нет мощности",""),IF(AND(HN222&lt;&gt;"",COUNTIFS(Линии[Щит],A222,Линии[Клемма (итог)],HN222)&gt;1),"дубль клеммы "&amp;HN222,""),IF(AND(HQ222&lt;&gt;"",HQ222&lt;&gt;"ok"),HQ222,""),IF(HR222&lt;&gt;"",HR222,""),IF(AND(N(CB222)&gt;=4,N(BX222)=1),CB222&amp;" жил на 1 фазе",""),IF(AND(BC222="R",CG222=1,IF(CS222&lt;&gt;"",N(CV222)&gt;30,OR(N(DA222)=0,N(DA222)&gt;30))),"розетка без дифзащиты до 30 мА",""),IF(AND(CG222=1,N(DA222)&gt;0,ISNUMBER(T222)),IF(T222&gt;N(DA222)/3,"ток утечки "&amp;FIXED(T222,1)&amp;" мА &gt; 1/3 уставки ("&amp;DA222&amp;" мА)",""),""),IF(AND(CH222=1,CS222=""),"«узо»: нет строки с УЗО выше (УЗО 2P 40А 30мА в «Аппаратах»)",""),IF(AND(CS222&lt;&gt;"",CS222=BA222),IF(CT222="","впишите номинал УЗО (УЗО 2P 40А 30мА)",IF(N(CT222)&lt;N(DT222),"УЗО "&amp;CT222&amp;" А &lt; автомата "&amp;DT222&amp;" А перед ним",IF(N(CT222)&lt;N(CX222),"УЗО "&amp;CT222&amp;" А &lt; тока блока "&amp;FIXED(CX222,1)&amp;" А",""))),""),IF(AND(CS222&lt;&gt;"",CS222=BA222,ISNUMBER(CY222)),IF(CY222&gt;N(CV222)/3,"ток утечки блока УЗО "&amp;FIXED(CY222,1)&amp;" мА &gt; 1/3 уставки ("&amp;CV222&amp;" мА)",""),""),IF(AND(CG222=1,N(BV222)+N(IB222)&gt;0,IC222=""),"линии до 50 В без БП: впишите в «Аппараты» (БП 24V 480W)",""),IF(AND(CG222=1,ISNUMBER(ID222),ISNUMBER(U222)),IF(U222&gt;ID222,"БП "&amp;ID222&amp;" Вт &lt; нужно "&amp;U222&amp;" Вт (×"&amp;Запас_БП&amp;")",""),""),IF(AND(CG222=1,ISNUMBER(IE222),N(BV222)=1),IF(IE222&lt;&gt;N(BU222),"БП на "&amp;IE222&amp;" В, линия "&amp;BU222&amp;" В",""),""),IF(AND(N(IF222)&gt;0,N(IG222)&gt;N(IF222)),HH222&amp;" канал "&amp;HJ222&amp;": "&amp;FIXED(IG222,1)&amp;" А &gt; "&amp;IF222&amp;" А",""),IFERROR(IF(AND(ISNUMBER(Q222),Q222&gt;EL222),"потери "&amp;FIXED(Q222,1)&amp;" % &gt; "&amp;EL222&amp;" %",""),""),IFERROR(IF(LEFT(HU222,4)="мало","Iкз мало — отключение &gt; 0,4 с",""),""),IF(AND(B222&lt;&gt;"",BM222=""),"не на схеме",""),IF(AND(CG222=0,B222&lt;&gt;"",FV222&lt;&gt;"",IF(BA222=1,"",FW221)&lt;&gt;"",FV222&lt;&gt;IF(BA222=1,"",FW221)),"фаза не как у автомата группы ("&amp;IF(BA222=1,"",FW221)&amp;")","")))</f>
        <v/>
      </c>
      <c r="II222" s="6">
        <f>IF(OR(CG222=0,DQ222=""),"",_xlfn.LET(_xlpm.t,IFERROR(_xlfn.XLOOKUP(DQ222,Каталог!$U$4:$U$500,Каталог!$G$4:$G$500),""),_xlpm.k,SEARCH("кА",_xlpm.t),IFERROR(--TRIM(RIGHT(SUBSTITUTE(MID(_xlpm.t,MAX(1,_xlpm.k-4),_xlpm.k-MAX(1,_xlpm.k-4))," ",REPT(" ",9)),5)),"")))</f>
        <v>6</v>
      </c>
      <c r="IJ222" t="str">
        <f>IF(OR(II222="",CG222=0),"",IF(_xlfn.XLOOKUP(A222,Щиты[Щит],Щиты[Iкз max на шинах, кА],"")="","",IF(II222&lt;_xlfn.XLOOKUP(A222,Щиты[Щит],Щиты[Iкз max на шинах, кА]),"Icu "&amp;II222&amp;" кА &lt; Iкз max","ok")))</f>
        <v/>
      </c>
      <c r="IK222" t="str">
        <f t="shared" si="527"/>
        <v/>
      </c>
      <c r="IL222" t="str">
        <f t="shared" si="528"/>
        <v>QF38|XT38</v>
      </c>
      <c r="IM222" t="str">
        <f t="shared" si="529"/>
        <v>QF38|XT38|кабель ВВГнг(А)-LS (3х2,5) → Шкаф телекоммуникационный ШТК-ЛВС.0 Цокольный этаж Пом. №002Т</v>
      </c>
      <c r="IN222" t="str" cm="1">
        <f t="array" ref="IN222">IF(IM222="","",_xlfn.LET(_xlpm.nd,_xlfn.TEXTSPLIT(IM222,"|"),IF(COLUMNS(_xlpm.nd)&gt;1,A222&amp;"¦"&amp;INDEX(_xlpm.nd,1)&amp;"¦"&amp;INDEX(_xlpm.nd,2),"")))</f>
        <v>ЩР-01¦QF38¦XT38</v>
      </c>
      <c r="IO222" t="str">
        <f t="shared" si="530"/>
        <v>ШТК-ЛВС.0¦Шкаф телекоммуникационный ШТК-ЛВС.0 Цокольный этаж Пом. №002Т</v>
      </c>
      <c r="IP222" t="str" cm="1">
        <f t="array" ref="IP222">IF(IM222="","",_xlfn.LET(_xlpm.nd,_xlfn.TEXTSPLIT(IM222,"|"),IF(COLUMNS(_xlpm.nd)&gt;2,A222&amp;"¦"&amp;INDEX(_xlpm.nd,2)&amp;"¦"&amp;INDEX(_xlpm.nd,3),"")))</f>
        <v>ЩР-01¦XT38¦кабель ВВГнг(А)-LS (3х2,5) → Шкаф телекоммуникационный ШТК-ЛВС.0 Цокольный этаж Пом. №002Т</v>
      </c>
      <c r="IQ222" t="str">
        <f t="shared" si="531"/>
        <v>ШТК-ЛВС.0¦Шкаф телекоммуникационный ШТК-ЛВС.0 Цокольный этаж Пом. №002Т</v>
      </c>
      <c r="IR222" t="str" cm="1">
        <f t="array" ref="IR222">IF(IM222="","",_xlfn.LET(_xlpm.nd,_xlfn.TEXTSPLIT(IM222,"|"),IF(COLUMNS(_xlpm.nd)&gt;3,A222&amp;"¦"&amp;INDEX(_xlpm.nd,3)&amp;"¦"&amp;INDEX(_xlpm.nd,4),"")))</f>
        <v/>
      </c>
      <c r="IS222" t="str">
        <f t="shared" si="532"/>
        <v/>
      </c>
      <c r="IT222" t="str" cm="1">
        <f t="array" ref="IT222">IF(IM222="","",_xlfn.LET(_xlpm.nd,_xlfn.TEXTSPLIT(IM222,"|"),IF(COLUMNS(_xlpm.nd)&gt;4,A222&amp;"¦"&amp;INDEX(_xlpm.nd,4)&amp;"¦"&amp;INDEX(_xlpm.nd,5),"")))</f>
        <v/>
      </c>
      <c r="IU222" t="str">
        <f t="shared" si="533"/>
        <v/>
      </c>
      <c r="IV222" t="str" cm="1">
        <f t="array" ref="IV222">IF(IM222="","",_xlfn.LET(_xlpm.nd,_xlfn.TEXTSPLIT(IM222,"|"),IF(COLUMNS(_xlpm.nd)&gt;5,A222&amp;"¦"&amp;INDEX(_xlpm.nd,5)&amp;"¦"&amp;INDEX(_xlpm.nd,6),"")))</f>
        <v/>
      </c>
      <c r="IW222" t="str">
        <f t="shared" si="534"/>
        <v/>
      </c>
      <c r="IX222" t="str" cm="1">
        <f t="array" ref="IX222">IF(IM222="","",_xlfn.LET(_xlpm.nd,_xlfn.TEXTSPLIT(IM222,"|"),IF(COLUMNS(_xlpm.nd)&gt;6,A222&amp;"¦"&amp;INDEX(_xlpm.nd,6)&amp;"¦"&amp;INDEX(_xlpm.nd,7),"")))</f>
        <v/>
      </c>
      <c r="IY222" t="str">
        <f t="shared" si="535"/>
        <v/>
      </c>
      <c r="IZ222" t="str">
        <f t="shared" si="536"/>
        <v/>
      </c>
      <c r="JA222" t="str">
        <f t="shared" si="537"/>
        <v>QF38 → XT38</v>
      </c>
      <c r="JB222">
        <f t="shared" si="538"/>
        <v>0</v>
      </c>
      <c r="JC222">
        <f t="shared" si="539"/>
        <v>0</v>
      </c>
      <c r="JD222" t="str">
        <f t="shared" si="540"/>
        <v/>
      </c>
      <c r="JE222" t="str">
        <f t="shared" si="541"/>
        <v/>
      </c>
      <c r="JF222" t="str">
        <f t="shared" si="542"/>
        <v/>
      </c>
      <c r="JG222" t="str">
        <f t="shared" si="543"/>
        <v/>
      </c>
      <c r="JH222">
        <f>IF(B222="","",IFERROR(_xlfn.XLOOKUP(B222,Коды_код,Коды_уго),IFERROR(_xlfn.XLOOKUP(BC222,Коды_код,Коды_уго),IFERROR(_xlfn.XLOOKUP(LEFT(BC222,2),Коды_код,Коды_уго),""))))</f>
        <v>0</v>
      </c>
      <c r="JI222" t="str">
        <f>IF(B222="","",IF(OR(JH222="",JH222=0),"BOX",IFERROR(IF(VLOOKUP(JH222,УГО_блоки,3,FALSE)&amp;""&lt;&gt;"",VLOOKUP(JH222,УГО_блоки,3,FALSE),VLOOKUP(JH222,УГО_блоки,2,FALSE)),JH222)))</f>
        <v>BOX</v>
      </c>
      <c r="JJ222">
        <f t="shared" si="544"/>
        <v>1</v>
      </c>
      <c r="JK222" t="str">
        <f>IF(DQ222="","",IF(COUNTIF(DQ$3:DQ222,DQ222)=1,MAX(JK$2:JK221)+1,""))</f>
        <v/>
      </c>
      <c r="JL222" t="str">
        <f>IF(DE222="","",IF(COUNTIF(DE$3:DE222,DE222)+COUNTIF(DF$2:DF221,DE222)+COUNTIF(DG$2:DG221,DE222)=1,MAX(JL$2:JN221)+1,""))</f>
        <v/>
      </c>
      <c r="JM222" t="str">
        <f>IF(DF222="","",IF(COUNTIF(DE$3:DE222,DF222)+COUNTIF(DF$3:DF222,DF222)+COUNTIF(DG$2:DG221,DF222)=1,MAX(JL$2:JN221,JL222)+1,""))</f>
        <v/>
      </c>
      <c r="JN222" t="str">
        <f>IF(DG222="","",IF(COUNTIF(DE$3:DE222,DG222)+COUNTIF(DF$3:DF222,DG222)+COUNTIF(DG$3:DG222,DG222)=1,MAX(JL$2:JN221,JL222,JM222)+1,""))</f>
        <v/>
      </c>
      <c r="JO222" t="str">
        <f t="shared" si="545"/>
        <v>3х2,5</v>
      </c>
      <c r="JP222" t="str">
        <f>IF(JO222="","",IF(COUNTIF(JO$3:JO222,JO222)=1,MAX(JP$2:JP221)+1,""))</f>
        <v/>
      </c>
      <c r="JQ222" t="str">
        <f>IF(HG222="","",COUNTIF(HG$3:HG222,"?*"))</f>
        <v/>
      </c>
      <c r="JR222" t="str">
        <f>IF(OR(HG222="",HI222=""),"",IF(COUNTIFS(HG$3:HG222,"?*",HI$3:HI222,HI222)=1,MAX(JR$2:JR221)+1,""))</f>
        <v/>
      </c>
      <c r="JS222">
        <f t="shared" si="546"/>
        <v>0</v>
      </c>
      <c r="JT222">
        <f>IF(B222="","",COUNTIF(B$3:B222,"?*"))</f>
        <v>220</v>
      </c>
      <c r="JU222">
        <f>IF(HL222&lt;&gt;1,0,_xlfn.LET(_xlpm.k,MAX(IFERROR(--_xlfn.XLOOKUP(B222,Коды_код,Коды_3L),0),IFERROR(--_xlfn.XLOOKUP(BC222,Коды_код,Коды_3L),0),IFERROR(--_xlfn.XLOOKUP(LEFT(BC222,2),Коды_код,Коды_3L),0)),IF(_xlpm.k&gt;0,_xlpm.k,IF(IFERROR(--LEFT(SUBSTITUTE(JO222,"x","х"),FIND("х",SUBSTITUTE(JO222,"x","х"))-1),3)&gt;3,Каталог!$S$9,1))))</f>
        <v>1</v>
      </c>
      <c r="JV222">
        <f t="shared" si="547"/>
        <v>0</v>
      </c>
      <c r="JW222" t="str">
        <f t="shared" si="548"/>
        <v>авто</v>
      </c>
      <c r="JX222" t="str">
        <f t="shared" si="549"/>
        <v/>
      </c>
      <c r="JY222">
        <f t="shared" si="550"/>
        <v>0</v>
      </c>
      <c r="JZ222">
        <f t="shared" si="551"/>
        <v>1</v>
      </c>
    </row>
    <row r="223" spans="1:286" x14ac:dyDescent="0.3">
      <c r="A223" t="s">
        <v>755</v>
      </c>
      <c r="B223" t="s">
        <v>1530</v>
      </c>
      <c r="C223" t="s">
        <v>1705</v>
      </c>
      <c r="D223">
        <v>1</v>
      </c>
      <c r="E223">
        <v>0.3</v>
      </c>
      <c r="G223">
        <v>16</v>
      </c>
      <c r="H223" t="str">
        <f>Линии[[#This Row],[_авто управление]]</f>
        <v/>
      </c>
      <c r="I223" t="str">
        <f>Линии[[#This Row],[_авто аппараты]]</f>
        <v/>
      </c>
      <c r="J223">
        <v>2.5</v>
      </c>
      <c r="K223">
        <v>12</v>
      </c>
      <c r="L223">
        <v>1</v>
      </c>
      <c r="M223" t="str">
        <f>Линии[[#This Row],[_авто клемма]]</f>
        <v>XT39</v>
      </c>
      <c r="N223" t="str">
        <f t="shared" si="414"/>
        <v/>
      </c>
      <c r="O223" s="6" cm="1">
        <f t="array" ref="O223">IF(B223="","",IF(BH223&lt;&gt;"",IFERROR(_xlfn.XLOOKUP(BH223,Щиты[Щит],Щиты[Iр, А]),""),IF(BP223=1,IF(OR(N(_xlfn.XLOOKUP(A223,Щиты[Щит],Щиты[Вводов],1))&lt;=1,LOWER(TRIM(_xlfn.XLOOKUP(A223,Щиты[Щит],Щиты[АВР],"")&amp;""))="да"),IFERROR(_xlfn.XLOOKUP(A223,Щиты[Щит],Щиты[Iр, А]),""),IFERROR(N(BS223)*_xlfn.XLOOKUP(A223,Щиты[Щит],Щиты[Кс итог])/(SQRT(3)*Uн_лин*_xlfn.XLOOKUP(A223,Щиты[Щит],Щиты[cos φ])),"")),IF(BV223=1,IFERROR(BS223*1000/BU223,""),IFERROR(_xlfn.IFS(BX223=1,BS223/((Uн_лин/SQRT(3))*CE223),BX223=3,BS223/(SQRT(3)*Uн_лин*CE223)),"")))))</f>
        <v>1.3674085322912188</v>
      </c>
      <c r="P223" s="7">
        <f>IF(B223="","",IFERROR(IF(VLOOKUP(BC223,Потребители_обозначение,4,FALSE)=1,VLOOKUP(BC223,Потребители_обозначение,3,FALSE)*(MAX(1,N(D223))*2-1)+EI223+VLOOKUP(BE223,Этаж_обозначение,3,FALSE)+VLOOKUP(BE223,Этаж_обозначение,4,FALSE),VLOOKUP(BC223,Потребители_обозначение,3,FALSE)*(MAX(1,N(D223))*2-1)+EI223),EI223))</f>
        <v>12</v>
      </c>
      <c r="Q223" s="6">
        <f t="shared" si="415"/>
        <v>0.56000000000000005</v>
      </c>
      <c r="R223" t="str">
        <f t="shared" si="416"/>
        <v>ВВГнг(А)-LS (3х2,5)</v>
      </c>
      <c r="S223" t="str">
        <f>IF(BM223="","",IF(BN223="вводной узел","узел ","")&amp;"л."&amp;(INT((BM223-1)/Столбцов_на_лист)+1)&amp;" / "&amp;(MOD(BM223-1,Столбцов_на_лист)+1))</f>
        <v>л.4 / 6</v>
      </c>
      <c r="T223" s="119">
        <f t="shared" si="417"/>
        <v>0.7</v>
      </c>
      <c r="U223" s="7" t="str">
        <f>IF(OR(CG223=0,N(BV223)+N(IB223)=0),"",ROUNDUP(Запас_БП*(N(HY223)+N(HZ223)),0))</f>
        <v/>
      </c>
      <c r="V223" s="119" t="str">
        <f t="shared" si="418"/>
        <v/>
      </c>
      <c r="W223" s="7" t="str">
        <f>IFERROR(IF(OR(B223="",BP223=1,BV223=1,NOT(ISNUMBER(EN223)),N(DT223)=0),"",MAX(0,ROUNDDOWN((c_min*(Uн_лин*1000/SQRT(3))/(HT223*N(DT223))-_xlfn.XLOOKUP(A223,Щиты[Щит],Щиты[Zпетли на шинах, Ом]))*EN223/(2*ρкз_Cu),0))),"")</f>
        <v/>
      </c>
      <c r="Y223" t="str">
        <f>Линии[[#This Row],[_авто утечка]]</f>
        <v/>
      </c>
      <c r="Z223">
        <v>1</v>
      </c>
      <c r="AA223">
        <v>230</v>
      </c>
      <c r="AB223" t="s">
        <v>573</v>
      </c>
      <c r="AG223" t="s">
        <v>810</v>
      </c>
      <c r="AI223" t="s">
        <v>577</v>
      </c>
      <c r="AK223" t="str">
        <f>Линии[[#This Row],[_авто модуль]]</f>
        <v/>
      </c>
      <c r="AM223">
        <v>57</v>
      </c>
      <c r="AN223" t="s">
        <v>11</v>
      </c>
      <c r="AO223">
        <v>3</v>
      </c>
      <c r="AR223">
        <v>12</v>
      </c>
      <c r="BA223" cm="1">
        <f t="array" ref="BA223">ROW()-ROW(Линии[#Headers])</f>
        <v>221</v>
      </c>
      <c r="BC223" s="6" t="str">
        <f t="shared" si="419"/>
        <v>ЩДК-01</v>
      </c>
      <c r="BD223" t="str">
        <f t="shared" si="420"/>
        <v/>
      </c>
      <c r="BE223" t="str">
        <f t="shared" si="421"/>
        <v/>
      </c>
      <c r="BF223" t="str">
        <f t="shared" si="422"/>
        <v/>
      </c>
      <c r="BG223" t="str">
        <f t="shared" si="423"/>
        <v/>
      </c>
      <c r="BH223" t="str">
        <f>IF(X223&lt;&gt;"",X223,IF(AND(B223&lt;&gt;"",B223&lt;&gt;A223,ISNUMBER(_xlfn.XMATCH(B223,Щиты[Щит]))),B223,""))</f>
        <v/>
      </c>
      <c r="BI223" t="str" cm="1">
        <f t="array" ref="BI223">IF(B223="","",IF(BH223&lt;&gt;"","Щит "&amp;BH223,_xlfn.LET(_xlpm.nm,IFERROR(_xlfn.XLOOKUP(BC223,Коды_код,Коды_имя)&amp;"",""),_xlpm.md,IFERROR(N(_xlfn.XLOOKUP(BC223,Коды_код,Коды_режим)),1),_xlpm.ex,IF(Имя_режим="по экспликации",IFERROR(_xlfn.XLOOKUP(BE223&amp;"|"&amp;BG223,Экспликация[Этаж]&amp;"|"&amp;Экспликация[Помещение],Экспликация[Название])&amp;"",""),""),_xlpm.rm,IF(BG223="","",IF(_xlpm.ex&lt;&gt;"",". "&amp;_xlpm.ex&amp;IF(Имя_пом="нет"," ("&amp;BG223&amp;")"," (пом. "&amp;BG223&amp;")"),IF(Имя_пом="нет"," ",", пом. ")&amp;BG223)),IF(_xlpm.nm="","",IF(_xlpm.md=2,_xlpm.nm&amp;" шлейф "&amp;BE223,_xlpm.nm&amp;_xlpm.rm)))))</f>
        <v/>
      </c>
      <c r="BJ223" t="str">
        <f t="shared" si="424"/>
        <v>Щит контроля доступа ШДК-01 Цокольный этаж Пом. №001Т</v>
      </c>
      <c r="BK223">
        <f>IFERROR(_xlfn.XMATCH(A223,Щиты[Щит]),0)</f>
        <v>9</v>
      </c>
      <c r="BL223">
        <f>_xlfn.LET(_xlpm.k,IFERROR(_xlfn.XLOOKUP(A223,Щиты[Щит],Щиты[Мест под вводной узел]),""),IF(_xlpm.k="",Столбцов_на_лист,N(_xlpm.k)))</f>
        <v>8</v>
      </c>
      <c r="BM223">
        <f t="shared" si="425"/>
        <v>57</v>
      </c>
      <c r="BN223" t="str">
        <f t="shared" si="426"/>
        <v>линии</v>
      </c>
      <c r="BO223" s="6">
        <f>IFERROR(N(_xlfn.XLOOKUP(BC223,Коды_код,Коды_квт)),0)</f>
        <v>0</v>
      </c>
      <c r="BP223">
        <f t="shared" si="427"/>
        <v>0</v>
      </c>
      <c r="BQ223" t="str">
        <f>IF(B223="","",IF(BH223&lt;&gt;"",IFERROR(_xlfn.XLOOKUP(BH223,Щиты[Щит],Щиты[Руст, кВт]),0),IF(BP223=1,IF(OR(N(_xlfn.XLOOKUP(A223,Щиты[Щит],Щиты[Вводов],1))&lt;=1,LOWER(TRIM(_xlfn.XLOOKUP(A223,Щиты[Щит],Щиты[АВР],"")&amp;""))="да"),IFERROR(_xlfn.XLOOKUP(A223,Щиты[Щит],Щиты[Руст, кВт]),0),SUMIFS(Линии[_Р для вводов],Линии[Щит],A223,Линии[Источник для режимов],GF223)),IF(BO223&gt;0,ROUND(BO223*MAX(1,N(D223)),3),""))))</f>
        <v/>
      </c>
      <c r="BR223">
        <f t="shared" si="428"/>
        <v>0.3</v>
      </c>
      <c r="BS223" s="6">
        <f>IF(B223="","",IF(BH223&lt;&gt;"",IFERROR(_xlfn.XLOOKUP(BH223,Щиты[Щит],Щиты[Руст, кВт]),0),N(BR223)))</f>
        <v>0.3</v>
      </c>
      <c r="BT223" t="str">
        <f>IF(B223="","",IFERROR(IF(VLOOKUP(BC223,Потребители_обозначение,8,FALSE)=0,"",VLOOKUP(BC223,Потребители_обозначение,8,FALSE)),""))</f>
        <v/>
      </c>
      <c r="BU223">
        <f t="shared" si="429"/>
        <v>230</v>
      </c>
      <c r="BV223">
        <f t="shared" si="430"/>
        <v>0</v>
      </c>
      <c r="BW223">
        <f>IF(B223="","",IF(BH223&lt;&gt;"",3,IFERROR(IF(N(VLOOKUP(BC223,Потребители_обозначение,9,FALSE))=0,1,VLOOKUP(BC223,Потребители_обозначение,9,FALSE)),1)))</f>
        <v>1</v>
      </c>
      <c r="BX223">
        <f t="shared" si="431"/>
        <v>1</v>
      </c>
      <c r="BY223" t="str">
        <f>IF(B223="","",_xlfn.LET(_xlpm.bc,IFERROR(IF(VLOOKUP(BC223,Потребители_обозначение,6,FALSE)=0,"",VLOOKUP(BC223,Потребители_обозначение,6,FALSE)&amp;""),""),IF(AND(GA223="да",OR(_xlpm.bc="",_xlpm.bc="мс")),Марка_пож,IF(AND(_xlpm.bc="",BH223&lt;&gt;""),"мс",_xlpm.bc))))</f>
        <v/>
      </c>
      <c r="BZ223" t="str">
        <f t="shared" si="432"/>
        <v>мс</v>
      </c>
      <c r="CA223">
        <f>IF(B223="","",_xlfn.LET(_xlpm.cc,IFERROR(N(VLOOKUP(BC223,Потребители_обозначение,7,FALSE)),0),IF(_xlpm.cc&gt;0,_xlpm.cc,IF(BZ223="","",IF(BV223=1,2,IF(N(BX223)=3,5,3))))))</f>
        <v>3</v>
      </c>
      <c r="CB223">
        <f t="shared" si="433"/>
        <v>3</v>
      </c>
      <c r="CC223">
        <f>IFERROR(N(VLOOKUP(BC223,Потребители_обозначение,10,FALSE)),0)</f>
        <v>0</v>
      </c>
      <c r="CD223">
        <f>IFERROR(VLOOKUP(BC223,Потребители_обозначение,5,FALSE),0)</f>
        <v>0</v>
      </c>
      <c r="CE223" s="6" cm="1">
        <f t="array" ref="CE223">IF(B223="","",IF(BH223&lt;&gt;"",IFERROR(_xlfn.XLOOKUP(BH223,Щиты[Щит],Щиты[cos φ]),0.95),IF(BP223=1,IFERROR(_xlfn.XLOOKUP(A223,Щиты[Щит],Щиты[cos φ]),0.95),IF(ISNUMBER(AD223),AD223,IFERROR(IF(CD223=2,_xlfn.IFS(BX223=3,VLOOKUP(BS223,Справочная_двигатели,8,FALSE),BX223=1,VLOOKUP(BS223,Справочная_двигатели,10,TRUE)),IF(AND(Методика="нормы 2026",FG223="Сил"),0.8,0.95)),0.95)))))</f>
        <v>0.95</v>
      </c>
      <c r="CF223">
        <f t="shared" si="434"/>
        <v>0</v>
      </c>
      <c r="CG223">
        <f t="shared" si="435"/>
        <v>1</v>
      </c>
      <c r="CH223">
        <f t="shared" si="436"/>
        <v>0</v>
      </c>
      <c r="CI223">
        <f>IF(B223="","",IF(BV223=1,IFERROR(BS223/((Uн_лин/SQRT(3))*MAX(0.5,N(CE223))),0),N(O223)))</f>
        <v>1.3674085322912188</v>
      </c>
      <c r="CJ223">
        <f t="shared" si="437"/>
        <v>0</v>
      </c>
      <c r="CK223">
        <f t="shared" si="438"/>
        <v>0</v>
      </c>
      <c r="CL223">
        <f t="shared" si="439"/>
        <v>0</v>
      </c>
      <c r="CM223">
        <f t="shared" si="440"/>
        <v>0</v>
      </c>
      <c r="CN223">
        <f t="shared" si="441"/>
        <v>0</v>
      </c>
      <c r="CO223">
        <f>IF(BC223="",0,_xlfn.LET(_xlpm.v,IFERROR(_xlfn.XLOOKUP(B223,Коды_код,Коды_мА),IFERROR(_xlfn.XLOOKUP(BC223,Коды_код,Коды_мА),IFERROR(_xlfn.XLOOKUP(LEFT(BC223,2),Коды_код,Коды_мА),""))),IF(_xlpm.v="да",30,IF(ISNUMBER(_xlpm.v),_xlpm.v,0))))</f>
        <v>0</v>
      </c>
      <c r="CP223" t="str">
        <f t="shared" si="442"/>
        <v/>
      </c>
      <c r="CQ223" t="str">
        <f>_xlfn.LET(_xlpm.k,IFERROR(_xlfn.XLOOKUP(BC223,Коды_код,Коды_утечка)&amp;"",""),IF(_xlpm.k="","дифавтомат",_xlpm.k))</f>
        <v>дифавтомат</v>
      </c>
      <c r="CR223" t="str" cm="1">
        <f t="array" ref="CR223">IF(CG223=0,"",_xlfn.LET(_xlpm.sg,TRIM(_xlfn.TEXTSPLIT(DD223&amp;"",";")),_xlpm.f_,_xlfn._xlws.FILTER(_xlpm.sg,LEFT(_xlpm.sg,3)="УЗО",""),IFERROR(INDEX(_xlpm.f_,1)&amp;"","")))</f>
        <v/>
      </c>
      <c r="CS223" t="str">
        <f t="shared" si="443"/>
        <v/>
      </c>
      <c r="CT223" s="6" t="str" cm="1">
        <f t="array" ref="CT223">IF(CR223="","",_xlfn.LET(_xlpm.tk,_xlfn.TEXTSPLIT(UPPER(CR223)," ",,TRUE),_xlpm.a_,_xlfn._xlws.FILTER(_xlpm.tk,ISNUMBER(--LEFT(_xlpm.tk,1))*((ISNUMBER(SEARCH("А",_xlpm.tk))+ISNUMBER(SEARCH("A",_xlpm.tk)))&gt;0)*NOT(ISNUMBER(SEARCH("МА",_xlpm.tk)))*NOT(ISNUMBER(SEARCH("MA",_xlpm.tk))),""),IFERROR(--SUBSTITUTE(SUBSTITUTE(INDEX(_xlpm.a_,1),"А",""),"A",""),"")))</f>
        <v/>
      </c>
      <c r="CU223" t="str" cm="1">
        <f t="array" ref="CU223">IF(CR223="","",_xlfn.LET(_xlpm.tk,_xlfn.TEXTSPLIT(UPPER(CR223)," ",,TRUE),_xlpm.a_,_xlfn._xlws.FILTER(_xlpm.tk,ISNUMBER(--LEFT(_xlpm.tk,1))*((ISNUMBER(SEARCH("МА",_xlpm.tk))+ISNUMBER(SEARCH("MA",_xlpm.tk)))&gt;0),""),IFERROR(--SUBSTITUTE(SUBSTITUTE(INDEX(_xlpm.a_,1),"МА",""),"MA",""),30)))</f>
        <v/>
      </c>
      <c r="CV223" t="str">
        <f>IF(CS223="","",IFERROR(_xlfn.XLOOKUP(CS223,Линии[_n],Линии[_УЗО, мА]),30))</f>
        <v/>
      </c>
      <c r="CW223">
        <f>IF(CS223="",0,IF(ISNUMBER(SEARCH("4P",IFERROR(_xlfn.XLOOKUP(CS223,Линии[_n],Линии[_УЗО строки])&amp;"",""))),0,1))</f>
        <v>0</v>
      </c>
      <c r="CX223" t="str">
        <f>IF(AND(CS223&lt;&gt;"",CS223=BA223),SUMIFS(Линии[_ток на 230 В],Линии[_блок УЗО],BA223,Линии[Щит],A223),"")</f>
        <v/>
      </c>
      <c r="CY223" t="str">
        <f>IF(AND(CS223&lt;&gt;"",CS223=BA223),SUMIFS(Линии[_ток утечки линии, мА],Линии[_блок УЗО],BA223,Линии[Щит],A223),"")</f>
        <v/>
      </c>
      <c r="CZ223">
        <f t="shared" si="444"/>
        <v>0</v>
      </c>
      <c r="DA223">
        <f t="shared" si="445"/>
        <v>0</v>
      </c>
      <c r="DB223">
        <f>IF(B223="",0,IFERROR(--_xlfn.XLOOKUP(B223,Коды_код,Коды_минавт),IFERROR(--_xlfn.XLOOKUP(BC223,Коды_код,Коды_минавт),IFERROR(--_xlfn.XLOOKUP(LEFT(BC223,2),Коды_код,Коды_минавт),0))))</f>
        <v>0</v>
      </c>
      <c r="DC223" t="str">
        <f>IF(B223="","",IFERROR(_xlfn.XLOOKUP(BC223,Коды_код,Коды_апп)&amp;"",""))</f>
        <v/>
      </c>
      <c r="DD223" t="str">
        <f t="shared" si="446"/>
        <v/>
      </c>
      <c r="DE223" t="str" cm="1">
        <f t="array" ref="DE223">IF(TRIM(DD223&amp;"")="","",IFERROR(TRIM(INDEX(_xlfn.TEXTSPLIT(DD223&amp;";;;",";"),1)),""))</f>
        <v/>
      </c>
      <c r="DF223" t="str" cm="1">
        <f t="array" ref="DF223">IF(TRIM(DD223&amp;"")="","",IFERROR(TRIM(INDEX(_xlfn.TEXTSPLIT(DD223&amp;";;;",";"),2)),""))</f>
        <v/>
      </c>
      <c r="DG223" t="str" cm="1">
        <f t="array" ref="DG223">IF(TRIM(DD223&amp;"")="","",IFERROR(TRIM(INDEX(_xlfn.TEXTSPLIT(DD223&amp;";;;",";"),3)),""))</f>
        <v/>
      </c>
      <c r="DH223">
        <f t="shared" si="447"/>
        <v>0</v>
      </c>
      <c r="DI223" t="str">
        <f>IF(B223="","",_xlfn.LET(_xlpm.t,LOWER(AZ223&amp;""),IF(ISNUMBER(SEARCH("dim",_xlpm.t)),"DIM",IF(ISNUMBER(SEARCH("dali",_xlpm.t)),"DALI",IF(OR(ISNUMBER(SEARCH("relay",_xlpm.t)),ISNUMBER(SEARCH("реле",_xlpm.t))),"Relay",IF(ISNUMBER(SEARCH("кнопк",_xlpm.t)),"",IFERROR(_xlfn.XLOOKUP(BC223,Коды_код,Коды_упр)&amp;"","")))))))</f>
        <v/>
      </c>
      <c r="DJ223" t="str">
        <f t="shared" si="448"/>
        <v/>
      </c>
      <c r="DK223">
        <f>IF(B223="","",_xlfn.LET(_xlpm.ig,IF(N(CX223)&gt;0,N(CX223),N(CI223)+IF(AJ223="вручную",0,N(CJ223))),_xlpm.n0,IFERROR(VLOOKUP(_xlpm.ig,Автомат_номиналы,2,TRUE),0),_xlpm.mn,MAX(DB223,IF(AJ223="вручную",0,N(CM223))),MAX(_xlpm.n0,_xlpm.mn,IF(DH223=1,Мин_автомат_БП,0))))</f>
        <v>6</v>
      </c>
      <c r="DL223">
        <f t="shared" si="449"/>
        <v>1</v>
      </c>
      <c r="DM223" t="str">
        <f t="shared" si="450"/>
        <v>1P</v>
      </c>
      <c r="DN223" t="str">
        <f>_xlfn.LET(_xlpm.cc,UPPER(TRIM(IFERROR(_xlfn.XLOOKUP(BC223,Коды_код,Коды_хар)&amp;"",""))),IF(OR(_xlpm.cc="B",_xlpm.cc="В"),"B",IF(_xlpm.cc="D","D","С")))</f>
        <v>С</v>
      </c>
      <c r="DO223" t="str">
        <f t="shared" si="451"/>
        <v>1P С6А</v>
      </c>
      <c r="DP223">
        <f t="shared" si="452"/>
        <v>16</v>
      </c>
      <c r="DQ223" t="str">
        <f t="shared" si="453"/>
        <v>1P С16А</v>
      </c>
      <c r="DR223" cm="1">
        <f t="array" ref="DR223">IF(DQ223="","",_xlfn.LET(_xlpm.t,SUBSTITUTE(SUBSTITUTE(SUBSTITUTE(UPPER(DQ223),"С","C"),"А","A"),"В","B"),_xlpm.tk,_xlfn.TEXTSPLIT(_xlpm.t," "),_xlpm.f,_xlfn._xlws.FILTER(_xlpm.tk,ISNUMBER(--MID(_xlpm.tk,2,1))*ISNUMBER(SEARCH(LEFT(_xlpm.tk,1)&amp;"#","B#C#D#"))*(LEN(_xlpm.tk)&gt;1),""),_xlpm.x,INDEX(_xlpm.f,1),IFERROR(--SUBSTITUTE(MID(_xlpm.x,2,9),"A",""),IFERROR(--SUBSTITUTE(INDEX(_xlfn._xlws.FILTER(_xlpm.tk,ISNUMBER(--SUBSTITUTE(_xlpm.tk,"A","")),""),1),"A",""),""))))</f>
        <v>16</v>
      </c>
      <c r="DS223" t="str">
        <f t="shared" si="454"/>
        <v>ok</v>
      </c>
      <c r="DT223">
        <f t="shared" si="455"/>
        <v>16</v>
      </c>
      <c r="DU223" t="str">
        <f t="shared" si="456"/>
        <v>1P С16А</v>
      </c>
      <c r="DV223">
        <f t="shared" si="457"/>
        <v>0</v>
      </c>
      <c r="DW223">
        <f t="shared" si="458"/>
        <v>0</v>
      </c>
      <c r="DX223">
        <f t="shared" si="459"/>
        <v>0</v>
      </c>
      <c r="DY223">
        <f t="shared" si="460"/>
        <v>1.3674085322912188</v>
      </c>
      <c r="DZ223">
        <f t="shared" si="461"/>
        <v>1</v>
      </c>
      <c r="EA223">
        <f>IF(ISNUMBER(AP223),AP223,К_прокл)</f>
        <v>1</v>
      </c>
      <c r="EB223">
        <f t="shared" si="462"/>
        <v>2</v>
      </c>
      <c r="EC223">
        <f>IFERROR(N(VLOOKUP(BZ223,Кабель_обозначение,3,FALSE)),1)</f>
        <v>1</v>
      </c>
      <c r="ED223">
        <f>IFERROR(N(_xlfn.XLOOKUP(A223,Щиты[Щит],Щиты[ΔU до шин, %])),0)</f>
        <v>0.43</v>
      </c>
      <c r="EE223" t="str">
        <f>IFERROR(_xlfn.XLOOKUP(A223,Щиты[Щит],Щиты[Zпетли на шинах, Ом]),"")</f>
        <v/>
      </c>
      <c r="EF223">
        <f>IFERROR(N(_xlfn.XLOOKUP(A223,Щиты[Щит],Щиты[ΔU до шин (подбор), %])),0)</f>
        <v>0.43</v>
      </c>
      <c r="EG223" t="str">
        <f>IFERROR(_xlfn.XLOOKUP(A223,Щиты[Щит],Щиты[Zпетли на шинах (подбор), Ом]),"")</f>
        <v/>
      </c>
      <c r="EH223" t="str">
        <f t="shared" si="463"/>
        <v/>
      </c>
      <c r="EI223">
        <f t="shared" si="464"/>
        <v>12</v>
      </c>
      <c r="EJ223">
        <f t="shared" si="465"/>
        <v>2</v>
      </c>
      <c r="EK223">
        <f t="shared" si="466"/>
        <v>0.31</v>
      </c>
      <c r="EL223" s="6">
        <f>IF(B223="","",IF(BV223=1,dU_LED,IF(IFERROR(_xlfn.XLOOKUP(BC223,Коды_код,Коды_уго),"")="Светильник",3,4)+IF(Методика="нормы 2026",MIN(0.5,MAX(0,N(P223)-100)*0.005),0)))</f>
        <v>4</v>
      </c>
      <c r="EM223" cm="1">
        <f t="array" ref="EM223">IF(OR(B223="",BZ223="",EC223&lt;&gt;1),"",_xlfn.LET(_xlpm.sz,Iдоп_S,_xlpm.t_,CHOOSE(EB223,Iдоп_1ж,Iдоп_2ж,Iдоп_3ж)*DZ223*EA223,_xlpm.dcx,BV223=1,_xlpm.inn,IF(_xlpm.dcx,N(O223),N(DT223)),_xlpm.smin,MAX(1.5,CC223),_xlpm.L_,N(P223)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223)/N(BU223)*100,999),IFERROR(N(EJ223)*(_xlpm.rho*_xlpm.L_/_xlpm.sz*N(CE223)+_xlpm.xx*_xlpm.L_*N(EK223)/1000)*N(O223)/((Uн_лин/SQRT(3))*1000)*100,999)),_xlpm.kz,IF(OR(_xlpm.dcx,DW223=1,NOT(ISNUMBER(EG223)),_xlpm.L_=0,_xlpm.inn=0),1,IFERROR(--(c_min*(Uн_лин*1000/SQRT(3))/(EG223+2*ρкз_Cu*_xlpm.L_/_xlpm.sz)&gt;=HT223*_xlpm.inn),0)),_xlpm.ok,IFERROR((_xlpm.sz&gt;=_xlpm.smin)*(_xlpm.t_&gt;=_xlpm.inn)*IF(_xlpm.L_&gt;0,(_xlpm.du_+IF(_xlpm.dcx,0,EF223)&lt;=EL223+0.00001),1)*_xlpm.kz,0),_xlpm.r_,_xlfn._xlws.FILTER(_xlpm.sz,_xlpm.ok,"не подобрано"),INDEX(_xlpm.r_,1)))</f>
        <v>1.5</v>
      </c>
      <c r="EN223">
        <f t="shared" si="467"/>
        <v>2.5</v>
      </c>
      <c r="EO223" cm="1">
        <f t="array" ref="EO223">IF(OR(B223="",BZ223="",EC223&lt;&gt;1),"",_xlfn.LET(_xlpm.sz,Iдоп_S,_xlpm.t_,CHOOSE(EB223,Iдоп_1ж,Iдоп_2ж,Iдоп_3ж)*DZ223*EA223,_xlpm.ok,IFERROR((_xlpm.sz&gt;=MAX(1.5,CC223))*(_xlpm.t_&gt;=N(DT223)),0),_xlpm.r_,_xlfn._xlws.FILTER(_xlpm.sz,_xlpm.ok,""),INDEX(_xlpm.r_,1)))</f>
        <v>1.5</v>
      </c>
      <c r="EP223" s="6" cm="1">
        <f t="array" ref="EP223">IFERROR(ROUNDUP(N(EJ223)*(_xlfn.XLOOKUP(EO223,INDEX(Кабель_сопротивление,0,1),INDEX(Кабель_сопротивление,0,3))*N(P223)/EO223*N(CE223)+_xlfn.XLOOKUP(EO223,INDEX(Кабель_сопротивление,0,1),INDEX(Кабель_сопротивление,0,2))*N(P223)*N(EK223)/1000)*N(O223)/((Uн_лин/SQRT(3))*1000)*100,2),"")</f>
        <v>0.21000000000000002</v>
      </c>
      <c r="EQ223">
        <f>IFERROR(2*ρкз_Cu*N(P223)/EO223,"")</f>
        <v>0.42080000000000001</v>
      </c>
      <c r="ER223">
        <f>IFERROR(VLOOKUP(EN223,Кабель_сопротивление,3,FALSE),"")</f>
        <v>2.2499999999999999E-2</v>
      </c>
      <c r="ES223">
        <f>IFERROR(VLOOKUP(EN223,Кабель_сопротивление,2,FALSE),"")</f>
        <v>0.1</v>
      </c>
      <c r="ET223">
        <f t="shared" si="468"/>
        <v>12</v>
      </c>
      <c r="EU223" t="str">
        <f t="shared" si="469"/>
        <v/>
      </c>
      <c r="EV223">
        <f t="shared" si="470"/>
        <v>0.2816095827741828</v>
      </c>
      <c r="EW223" s="6">
        <f>IFERROR(ROUNDUP(EV223/IF(BV223=1,BU223,(Uн_лин/SQRT(3))*1000)*100,2),"")</f>
        <v>0.13</v>
      </c>
      <c r="EX223" t="str">
        <f>IFERROR(VLOOKUP(BZ223,Кабель_обозначение,2,FALSE),"")</f>
        <v>ВВГнг(А)-LS</v>
      </c>
      <c r="EY223" t="str">
        <f t="shared" si="471"/>
        <v>ВВГнг(А)-LS (3х2,5)</v>
      </c>
      <c r="EZ223" t="str">
        <f t="shared" si="472"/>
        <v>ВВГнг(А)-LS (3х2,5)
L=12-0,13%</v>
      </c>
      <c r="FA223">
        <f>IFERROR(2*ρкз_Cu*P223/EN223,"")</f>
        <v>0.25247999999999998</v>
      </c>
      <c r="FB223">
        <f t="shared" si="473"/>
        <v>8.4000000000000005E-2</v>
      </c>
      <c r="FC223" s="6" t="str">
        <f>IFERROR(IF(OR(B223="",BV223=1,NOT(ISNUMBER(EN223)),N(P223)=0),"",_xlfn.XLOOKUP(A223,Щиты[Щит],Щиты[Zпетли на шинах, Ом])+FA223),"")</f>
        <v/>
      </c>
      <c r="FD223" s="6" t="str">
        <f>IF(ISNUMBER(FC223),c_min*(Uн_лин*1000/SQRT(3))/FC223,"")</f>
        <v/>
      </c>
      <c r="FE223" s="6" t="str">
        <f>IFERROR(IF(OR(B223="",NOT(ISNUMBER(EN223))),"",1.05*(Uн_лин*1000/SQRT(3))/(_xlfn.XLOOKUP(A223,Щиты[Щит],Щиты[Zmax на шинах, Ом])+FB223)/1000),"")</f>
        <v/>
      </c>
      <c r="FF223" s="6" t="str">
        <f>IF(B223="","",IF(ISNUMBER(AC223),"Сил",IF(IFERROR(_xlfn.XLOOKUP(BC223,Коды_код,Коды_группа)&amp;"","")="","Быт",_xlfn.XLOOKUP(BC223,Коды_код,Коды_группа)&amp;"")))</f>
        <v>Быт</v>
      </c>
      <c r="FG223" s="6" t="str">
        <f t="shared" si="474"/>
        <v>Пост</v>
      </c>
      <c r="FH223" s="6">
        <f>IF(FG223="Щит","щит",IF(FG223="","",IF(FG223="Быт",IFERROR(_xlfn.XLOOKUP(A223,Щиты[Щит],Щиты[Кс быт]),1),IF(FG223="Сил",IF(ISNUMBER(AC223),AC223,IF(Методика="нормы 2026",IFERROR(_xlfn.XLOOKUP(A223,Щиты[Щит],Щиты[Кс силовых (табл. 7.5)]),1),1)),IF(OR(FG223="Пост",FG223="Отоп"),1,IF(FG223="ВНГ",0.7,0))))))</f>
        <v>1</v>
      </c>
      <c r="FI223">
        <f>IF(FG223="","",IF(AND(BP223=1,TRIM(AE223&amp;"")=""),IF(COUNTIFS(Линии[Щит],A223,Линии[Секция (1/2/3)],"&gt;=2")&gt;0,MIN(3,MAX(1,IFERROR(--BD223,1))),1),IFERROR(MIN(3,MAX(1,INT(--AE223))),1)))</f>
        <v>1</v>
      </c>
      <c r="FJ223">
        <f t="shared" si="475"/>
        <v>0.3</v>
      </c>
      <c r="FK223">
        <f t="shared" si="476"/>
        <v>0</v>
      </c>
      <c r="FL223">
        <f t="shared" si="477"/>
        <v>0</v>
      </c>
      <c r="FM223">
        <f t="shared" si="478"/>
        <v>0.3</v>
      </c>
      <c r="FN223">
        <f t="shared" si="479"/>
        <v>0</v>
      </c>
      <c r="FO223">
        <f t="shared" si="480"/>
        <v>0</v>
      </c>
      <c r="FP223">
        <f t="shared" si="481"/>
        <v>0.3</v>
      </c>
      <c r="FQ223">
        <f t="shared" si="482"/>
        <v>0.3</v>
      </c>
      <c r="FR223">
        <f t="shared" si="483"/>
        <v>0.28499999999999998</v>
      </c>
      <c r="FS223">
        <f>IF(CG223=1,IF(AND(CH223=1,CW223=1),0,IF(AND(CS223&lt;&gt;"",CS223=BA223,CW223=1),SUMIFS(Линии[_Р линии, кВт],Линии[_блок УЗО],BA223,Линии[Щит],A223),N(BS223)+IF(AJ223="вручную",0,N(CK223)))),0)</f>
        <v>0.3</v>
      </c>
      <c r="FT223" t="str">
        <f t="shared" si="484"/>
        <v>L1</v>
      </c>
      <c r="FU223" t="str">
        <f>IF(B223="","",IF(CG223=0,IF(BA223=1,"",FW222),IF(AND(CH223=1,CW223=1,CS223&lt;&gt;""),IFERROR(_xlfn.XLOOKUP(CS223,Линии[_n],Линии[_фаза итог]),"L1"),IF(OR(N(DL223)&gt;=3,N(BX223)&gt;=3),"L1,L2,L3",IFERROR(_xlfn.TEXTBEFORE(_xlfn.TEXTAFTER(_xlfn.XLOOKUP(A223,Щиты[Щит],Щиты[_фазы авто]),";"&amp;BA223&amp;":"),";"),"L1")))))</f>
        <v>L1</v>
      </c>
      <c r="FV223" t="str">
        <f t="shared" si="485"/>
        <v>L1</v>
      </c>
      <c r="FW223" t="str">
        <f t="shared" si="486"/>
        <v>L1</v>
      </c>
      <c r="FX223" cm="1">
        <f t="array" ref="FX223">IFERROR(IF(CD223=2,_xlfn.IFS(BX223=3,VLOOKUP(BS223,Справочная_двигатели,3,FALSE),BX223=1,VLOOKUP(BS223,Справочная_двигатели,5,TRUE)),0),0)</f>
        <v>0</v>
      </c>
      <c r="FY223">
        <f>IFERROR(IF(CD223=3,VLOOKUP(BS223,Справочная_ЛЭД,2,TRUE),0),0)</f>
        <v>0</v>
      </c>
      <c r="FZ223" s="6">
        <f t="shared" si="487"/>
        <v>0</v>
      </c>
      <c r="GA223" t="str">
        <f>IF(B223="","",IF(TRIM(AH223&amp;"")&lt;&gt;"",IF(LOWER(TRIM(AH223&amp;""))="да","да","нет"),IF(IFERROR(_xlfn.XLOOKUP(BC223,Коды_код,Коды_пожарная),"")="да","да","нет")))</f>
        <v>нет</v>
      </c>
      <c r="GB223" t="str">
        <f t="shared" si="488"/>
        <v/>
      </c>
      <c r="GC223" t="str">
        <f t="shared" si="489"/>
        <v>основная</v>
      </c>
      <c r="GD223">
        <f>IF(AND(BP223=1,TRIM(AE223&amp;"")=""),IF(COUNTIFS(Линии[Щит],A223,Линии[Секция (1/2/3)],"&gt;=2")&gt;0,MIN(3,MAX(1,IFERROR(--BD223,1))),1),IFERROR(MIN(3,MAX(1,INT(--AE223))),1))</f>
        <v>1</v>
      </c>
      <c r="GE223" t="str" cm="1">
        <f t="array" ref="GE223">IF(B223="","",_xlfn.LET(_xlpm.t,IFERROR(_xlfn.XLOOKUP(1,(Шины[Шина]=GC223)*(((Шины[Щит]=A223)+(Шины[Щит]=""))&gt;0),Шины[Тип]),"")&amp;"",IF(_xlpm.t&lt;&gt;"",_xlpm.t,IF(ISNUMBER(SEARCH("ИБП",GC223)),"ИБП",IF(ISNUMBER(SEARCH("ДГУ",GC223)),"ДГУ","Ввод "&amp;GD223)))))</f>
        <v>Ввод 1</v>
      </c>
      <c r="GF223" t="str">
        <f t="shared" si="490"/>
        <v>Ввод 1</v>
      </c>
      <c r="GG223" t="str">
        <f>IF(BP223=0,"",IF(TRIM(AG223&amp;"")&lt;&gt;"",TRIM(AG223&amp;""),IF(OR(GE223="ИБП",GE223="ДГУ"),"I особая",_xlfn.XLOOKUP(A223,Щиты[Щит],Щиты[Категория шины «Ввод»],"III"))))</f>
        <v/>
      </c>
      <c r="GH223" t="str">
        <f>IF(A223="","",_xlfn.XLOOKUP(A223,Щиты[Щит],Щиты[Путь],""))</f>
        <v>|ГРЩ-ЖД|ЩР-01|</v>
      </c>
      <c r="GI223" t="str">
        <f>IF(B223="","",IF(AI223&lt;&gt;"",AI223,IF(IFERROR(_xlfn.XLOOKUP(BC223,Коды_код,Коды_вид)&amp;"","")="","Прочее",_xlfn.XLOOKUP(BC223,Коды_код,Коды_вид)&amp;"")))</f>
        <v>Системы безопасности и связи</v>
      </c>
      <c r="GJ223">
        <f>IF(BM223="","",INT((BM223-1)/Столбцов_на_лист)+1)</f>
        <v>4</v>
      </c>
      <c r="GK223" t="str">
        <f t="shared" si="491"/>
        <v>ВВГнг(А)-LS (3х2,5) L=12-0,13%</v>
      </c>
      <c r="GL223">
        <f t="shared" si="492"/>
        <v>0.3</v>
      </c>
      <c r="GM223">
        <f t="shared" si="493"/>
        <v>1.37</v>
      </c>
      <c r="GN223">
        <f t="shared" si="494"/>
        <v>1</v>
      </c>
      <c r="GO223">
        <f t="shared" si="495"/>
        <v>0</v>
      </c>
      <c r="GP223">
        <f t="shared" si="496"/>
        <v>1</v>
      </c>
      <c r="GQ223">
        <f>IF(BM223="","",IF(AND(CG223=1,GP223=1),COUNTIFS(A$3:A223,A223,CG$3:CG223,1,GP$3:GP223,1),IF(OR(OR(BA223=1,A223&lt;&gt;A222),AJ223="вручную",GP223=0),"",IF(BA223=1,"",GR222))))</f>
        <v>39</v>
      </c>
      <c r="GR223">
        <f t="shared" si="497"/>
        <v>39</v>
      </c>
      <c r="GS223">
        <f>IF(B223="","",IFERROR(LOOKUP(INDEX(CHOOSE(EB223,Iдоп_1ж,Iдоп_2ж,Iдоп_3ж),MATCH(EN223,Iдоп_S,0))*DZ223*EA223,{6,10,16,20,25,32,40,50,63,80,100,125,160,200,250,315,400,500,630}),""))</f>
        <v>25</v>
      </c>
      <c r="GT223" t="str">
        <f t="shared" si="498"/>
        <v>QF39</v>
      </c>
      <c r="GU223" t="str">
        <f t="shared" si="499"/>
        <v>QF39</v>
      </c>
      <c r="GV223" t="str">
        <f t="shared" si="500"/>
        <v/>
      </c>
      <c r="GW223">
        <f t="shared" si="501"/>
        <v>0</v>
      </c>
      <c r="GX223" t="str">
        <f>IF(OR(B223="",DJ223=""),"",IFERROR(_xlfn.XLOOKUP(DJ223,Модули_умолч[Управление],Модули_умолч[Модель])&amp;"",""))</f>
        <v/>
      </c>
      <c r="GY223">
        <f>IF(DJ223="",1,IFERROR(MAX(0,N(_xlfn.XLOOKUP(DJ223,Модули_умолч[Управление],Модули_умолч[Каналов на линию]))),1))</f>
        <v>1</v>
      </c>
      <c r="GZ223" t="str">
        <f t="shared" si="502"/>
        <v/>
      </c>
      <c r="HA223" t="str">
        <f t="shared" si="503"/>
        <v/>
      </c>
      <c r="HB223" t="str">
        <f t="shared" si="504"/>
        <v/>
      </c>
      <c r="HC223">
        <f>IF(HB223="",0,IFERROR(N(VLOOKUP(HB223,Модули_спр,3,FALSE)),0))</f>
        <v>0</v>
      </c>
      <c r="HD223" t="str">
        <f t="shared" si="505"/>
        <v/>
      </c>
      <c r="HE223" t="str">
        <f t="shared" si="506"/>
        <v/>
      </c>
      <c r="HF223" t="str">
        <f>IF(OR(HE223="",HE223="-"),"",IFERROR(VLOOKUP(HE223,Модули_спр,2,FALSE),"R"))</f>
        <v/>
      </c>
      <c r="HG223" t="str">
        <f>IF(HF223="","",HF223&amp;"."&amp;COUNTIFS(A$3:A223,A223,HF$3:HF223,HF223))</f>
        <v/>
      </c>
      <c r="HH223" t="str">
        <f t="shared" si="507"/>
        <v/>
      </c>
      <c r="HI223" t="str">
        <f t="shared" si="508"/>
        <v/>
      </c>
      <c r="HJ223" t="str">
        <f t="shared" si="509"/>
        <v/>
      </c>
      <c r="HK223" t="str">
        <f t="shared" si="510"/>
        <v/>
      </c>
      <c r="HL223">
        <f t="shared" si="511"/>
        <v>1</v>
      </c>
      <c r="HM223" t="str">
        <f>IF(HL223=1,"XT"&amp;COUNTIFS(A$3:A223,A223,HL$3:HL223,1),"")</f>
        <v>XT39</v>
      </c>
      <c r="HN223" t="str">
        <f t="shared" si="512"/>
        <v>XT39</v>
      </c>
      <c r="HO223" t="str">
        <f t="shared" si="513"/>
        <v>QF39</v>
      </c>
      <c r="HP223" t="str">
        <f t="shared" si="514"/>
        <v/>
      </c>
      <c r="HQ223" t="str">
        <f t="shared" si="515"/>
        <v>ok</v>
      </c>
      <c r="HR223" t="str">
        <f>IF(OR(HJ223="",HH223=""),"",IF(HJ223+MAX(0,GY223-1)&gt;IFERROR(VLOOKUP(HI223,Модули_спр,3,FALSE),99),"ЛИШНИЙ КАНАЛ",IF(AND(AL223&lt;&gt;"=",GY223&gt;0,COUNTIFS(Линии[_модуль гр.],HH223,Линии[Канал (итог)],HJ223,Линии[Канал],"&lt;&gt;=",Линии[Щит],A223)&gt;1),"ДУБЛЬ КАНАЛА","")))</f>
        <v/>
      </c>
      <c r="HS223" s="6" t="str">
        <f t="shared" si="516"/>
        <v/>
      </c>
      <c r="HT223">
        <f t="shared" si="517"/>
        <v>10</v>
      </c>
      <c r="HU223" t="str">
        <f t="shared" si="518"/>
        <v/>
      </c>
      <c r="HV223">
        <f t="shared" si="519"/>
        <v>0.66696341291648753</v>
      </c>
      <c r="HW223">
        <f t="shared" si="520"/>
        <v>0</v>
      </c>
      <c r="HX223">
        <f t="shared" si="521"/>
        <v>0</v>
      </c>
      <c r="HY223">
        <f t="shared" si="522"/>
        <v>0</v>
      </c>
      <c r="HZ223">
        <f t="shared" si="523"/>
        <v>0</v>
      </c>
      <c r="IA223">
        <f t="shared" si="524"/>
        <v>0</v>
      </c>
      <c r="IB223">
        <f t="shared" si="525"/>
        <v>0</v>
      </c>
      <c r="IC223" t="str">
        <f t="shared" si="526"/>
        <v/>
      </c>
      <c r="ID223" t="str" cm="1">
        <f t="array" ref="ID223">IF(IC223="","",_xlfn.LET(_xlpm.tk,_xlfn.TEXTSPLIT(SUBSTITUTE(SUBSTITUTE(IC223,";"," "),"→"," ")," ",,TRUE),_xlpm.w_,_xlfn._xlws.FILTER(_xlpm.tk,ISNUMBER(--LEFT(_xlpm.tk,1))*((ISNUMBER(SEARCH("W",_xlpm.tk))+ISNUMBER(SEARCH("Вт",_xlpm.tk)))&gt;0),""),IFERROR(--SUBSTITUTE(SUBSTITUTE(UPPER(INDEX(_xlpm.w_,1)),"W",""),"ВТ",""),"")))</f>
        <v/>
      </c>
      <c r="IE223" t="str" cm="1">
        <f t="array" ref="IE223">IF(IC223="","",_xlfn.LET(_xlpm.tk,_xlfn.TEXTSPLIT(SUBSTITUTE(SUBSTITUTE(IC223,";"," "),"→"," ")," ",,TRUE),_xlpm.v_,_xlfn._xlws.FILTER(_xlpm.tk,ISNUMBER(--LEFT(_xlpm.tk,1))*((ISNUMBER(SEARCH("V",_xlpm.tk))+(RIGHT(UPPER(_xlpm.tk))="В"))&gt;0),""),IFERROR(--SUBSTITUTE(SUBSTITUTE(UPPER(INDEX(_xlpm.v_,1)),"V",""),"В",""),"")))</f>
        <v/>
      </c>
      <c r="IF223" s="6" t="str">
        <f>IF(OR(BV223=0,HI223="",HJ223=""),"",IFERROR(N(_xlfn.XLOOKUP(HI223,Каталог!$C$4:$C$500,Каталог!$Q$4:$Q$500)),""))</f>
        <v/>
      </c>
      <c r="IG223" s="6" t="str">
        <f>IF(N(IF223)=0,"",SUMIFS(Линии[Iр, А],Линии[Щит],A223,Линии[_модуль гр.],HH223,Линии[Канал (итог)],HJ223))</f>
        <v/>
      </c>
      <c r="IH223" t="str">
        <f>IF(AND(B223="",HO223=""),"",_xlfn.TEXTJOIN("; ",TRUE,IF(AND(B223&lt;&gt;"",FV223=""),"нет фазы",""),IF(AND(B223&lt;&gt;"",N(GL223)=0,FG223&lt;&gt;"Нет"),"нет мощности",""),IF(AND(HN223&lt;&gt;"",COUNTIFS(Линии[Щит],A223,Линии[Клемма (итог)],HN223)&gt;1),"дубль клеммы "&amp;HN223,""),IF(AND(HQ223&lt;&gt;"",HQ223&lt;&gt;"ok"),HQ223,""),IF(HR223&lt;&gt;"",HR223,""),IF(AND(N(CB223)&gt;=4,N(BX223)=1),CB223&amp;" жил на 1 фазе",""),IF(AND(BC223="R",CG223=1,IF(CS223&lt;&gt;"",N(CV223)&gt;30,OR(N(DA223)=0,N(DA223)&gt;30))),"розетка без дифзащиты до 30 мА",""),IF(AND(CG223=1,N(DA223)&gt;0,ISNUMBER(T223)),IF(T223&gt;N(DA223)/3,"ток утечки "&amp;FIXED(T223,1)&amp;" мА &gt; 1/3 уставки ("&amp;DA223&amp;" мА)",""),""),IF(AND(CH223=1,CS223=""),"«узо»: нет строки с УЗО выше (УЗО 2P 40А 30мА в «Аппаратах»)",""),IF(AND(CS223&lt;&gt;"",CS223=BA223),IF(CT223="","впишите номинал УЗО (УЗО 2P 40А 30мА)",IF(N(CT223)&lt;N(DT223),"УЗО "&amp;CT223&amp;" А &lt; автомата "&amp;DT223&amp;" А перед ним",IF(N(CT223)&lt;N(CX223),"УЗО "&amp;CT223&amp;" А &lt; тока блока "&amp;FIXED(CX223,1)&amp;" А",""))),""),IF(AND(CS223&lt;&gt;"",CS223=BA223,ISNUMBER(CY223)),IF(CY223&gt;N(CV223)/3,"ток утечки блока УЗО "&amp;FIXED(CY223,1)&amp;" мА &gt; 1/3 уставки ("&amp;CV223&amp;" мА)",""),""),IF(AND(CG223=1,N(BV223)+N(IB223)&gt;0,IC223=""),"линии до 50 В без БП: впишите в «Аппараты» (БП 24V 480W)",""),IF(AND(CG223=1,ISNUMBER(ID223),ISNUMBER(U223)),IF(U223&gt;ID223,"БП "&amp;ID223&amp;" Вт &lt; нужно "&amp;U223&amp;" Вт (×"&amp;Запас_БП&amp;")",""),""),IF(AND(CG223=1,ISNUMBER(IE223),N(BV223)=1),IF(IE223&lt;&gt;N(BU223),"БП на "&amp;IE223&amp;" В, линия "&amp;BU223&amp;" В",""),""),IF(AND(N(IF223)&gt;0,N(IG223)&gt;N(IF223)),HH223&amp;" канал "&amp;HJ223&amp;": "&amp;FIXED(IG223,1)&amp;" А &gt; "&amp;IF223&amp;" А",""),IFERROR(IF(AND(ISNUMBER(Q223),Q223&gt;EL223),"потери "&amp;FIXED(Q223,1)&amp;" % &gt; "&amp;EL223&amp;" %",""),""),IFERROR(IF(LEFT(HU223,4)="мало","Iкз мало — отключение &gt; 0,4 с",""),""),IF(AND(B223&lt;&gt;"",BM223=""),"не на схеме",""),IF(AND(CG223=0,B223&lt;&gt;"",FV223&lt;&gt;"",IF(BA223=1,"",FW222)&lt;&gt;"",FV223&lt;&gt;IF(BA223=1,"",FW222)),"фаза не как у автомата группы ("&amp;IF(BA223=1,"",FW222)&amp;")","")))</f>
        <v/>
      </c>
      <c r="II223" s="6">
        <f>IF(OR(CG223=0,DQ223=""),"",_xlfn.LET(_xlpm.t,IFERROR(_xlfn.XLOOKUP(DQ223,Каталог!$U$4:$U$500,Каталог!$G$4:$G$500),""),_xlpm.k,SEARCH("кА",_xlpm.t),IFERROR(--TRIM(RIGHT(SUBSTITUTE(MID(_xlpm.t,MAX(1,_xlpm.k-4),_xlpm.k-MAX(1,_xlpm.k-4))," ",REPT(" ",9)),5)),"")))</f>
        <v>6</v>
      </c>
      <c r="IJ223" t="str">
        <f>IF(OR(II223="",CG223=0),"",IF(_xlfn.XLOOKUP(A223,Щиты[Щит],Щиты[Iкз max на шинах, кА],"")="","",IF(II223&lt;_xlfn.XLOOKUP(A223,Щиты[Щит],Щиты[Iкз max на шинах, кА]),"Icu "&amp;II223&amp;" кА &lt; Iкз max","ok")))</f>
        <v/>
      </c>
      <c r="IK223" t="str">
        <f t="shared" si="527"/>
        <v/>
      </c>
      <c r="IL223" t="str">
        <f t="shared" si="528"/>
        <v>QF39|XT39</v>
      </c>
      <c r="IM223" t="str">
        <f t="shared" si="529"/>
        <v>QF39|XT39|кабель ВВГнг(А)-LS (3х2,5) → Щит контроля доступа ШДК-01 Цокольный этаж Пом. №001Т</v>
      </c>
      <c r="IN223" t="str" cm="1">
        <f t="array" ref="IN223">IF(IM223="","",_xlfn.LET(_xlpm.nd,_xlfn.TEXTSPLIT(IM223,"|"),IF(COLUMNS(_xlpm.nd)&gt;1,A223&amp;"¦"&amp;INDEX(_xlpm.nd,1)&amp;"¦"&amp;INDEX(_xlpm.nd,2),"")))</f>
        <v>ЩР-01¦QF39¦XT39</v>
      </c>
      <c r="IO223" t="str">
        <f t="shared" si="530"/>
        <v>ЩДК-01¦Щит контроля доступа ШДК-01 Цокольный этаж Пом. №001Т</v>
      </c>
      <c r="IP223" t="str" cm="1">
        <f t="array" ref="IP223">IF(IM223="","",_xlfn.LET(_xlpm.nd,_xlfn.TEXTSPLIT(IM223,"|"),IF(COLUMNS(_xlpm.nd)&gt;2,A223&amp;"¦"&amp;INDEX(_xlpm.nd,2)&amp;"¦"&amp;INDEX(_xlpm.nd,3),"")))</f>
        <v>ЩР-01¦XT39¦кабель ВВГнг(А)-LS (3х2,5) → Щит контроля доступа ШДК-01 Цокольный этаж Пом. №001Т</v>
      </c>
      <c r="IQ223" t="str">
        <f t="shared" si="531"/>
        <v>ЩДК-01¦Щит контроля доступа ШДК-01 Цокольный этаж Пом. №001Т</v>
      </c>
      <c r="IR223" t="str" cm="1">
        <f t="array" ref="IR223">IF(IM223="","",_xlfn.LET(_xlpm.nd,_xlfn.TEXTSPLIT(IM223,"|"),IF(COLUMNS(_xlpm.nd)&gt;3,A223&amp;"¦"&amp;INDEX(_xlpm.nd,3)&amp;"¦"&amp;INDEX(_xlpm.nd,4),"")))</f>
        <v/>
      </c>
      <c r="IS223" t="str">
        <f t="shared" si="532"/>
        <v/>
      </c>
      <c r="IT223" t="str" cm="1">
        <f t="array" ref="IT223">IF(IM223="","",_xlfn.LET(_xlpm.nd,_xlfn.TEXTSPLIT(IM223,"|"),IF(COLUMNS(_xlpm.nd)&gt;4,A223&amp;"¦"&amp;INDEX(_xlpm.nd,4)&amp;"¦"&amp;INDEX(_xlpm.nd,5),"")))</f>
        <v/>
      </c>
      <c r="IU223" t="str">
        <f t="shared" si="533"/>
        <v/>
      </c>
      <c r="IV223" t="str" cm="1">
        <f t="array" ref="IV223">IF(IM223="","",_xlfn.LET(_xlpm.nd,_xlfn.TEXTSPLIT(IM223,"|"),IF(COLUMNS(_xlpm.nd)&gt;5,A223&amp;"¦"&amp;INDEX(_xlpm.nd,5)&amp;"¦"&amp;INDEX(_xlpm.nd,6),"")))</f>
        <v/>
      </c>
      <c r="IW223" t="str">
        <f t="shared" si="534"/>
        <v/>
      </c>
      <c r="IX223" t="str" cm="1">
        <f t="array" ref="IX223">IF(IM223="","",_xlfn.LET(_xlpm.nd,_xlfn.TEXTSPLIT(IM223,"|"),IF(COLUMNS(_xlpm.nd)&gt;6,A223&amp;"¦"&amp;INDEX(_xlpm.nd,6)&amp;"¦"&amp;INDEX(_xlpm.nd,7),"")))</f>
        <v/>
      </c>
      <c r="IY223" t="str">
        <f t="shared" si="535"/>
        <v/>
      </c>
      <c r="IZ223" t="str">
        <f t="shared" si="536"/>
        <v/>
      </c>
      <c r="JA223" t="str">
        <f t="shared" si="537"/>
        <v>QF39 → XT39</v>
      </c>
      <c r="JB223">
        <f t="shared" si="538"/>
        <v>0</v>
      </c>
      <c r="JC223">
        <f t="shared" si="539"/>
        <v>0</v>
      </c>
      <c r="JD223" t="str">
        <f t="shared" si="540"/>
        <v/>
      </c>
      <c r="JE223" t="str">
        <f t="shared" si="541"/>
        <v/>
      </c>
      <c r="JF223" t="str">
        <f t="shared" si="542"/>
        <v/>
      </c>
      <c r="JG223" t="str">
        <f t="shared" si="543"/>
        <v/>
      </c>
      <c r="JH223" t="str">
        <f>IF(B223="","",IFERROR(_xlfn.XLOOKUP(B223,Коды_код,Коды_уго),IFERROR(_xlfn.XLOOKUP(BC223,Коды_код,Коды_уго),IFERROR(_xlfn.XLOOKUP(LEFT(BC223,2),Коды_код,Коды_уго),""))))</f>
        <v/>
      </c>
      <c r="JI223" t="str">
        <f>IF(B223="","",IF(OR(JH223="",JH223=0),"BOX",IFERROR(IF(VLOOKUP(JH223,УГО_блоки,3,FALSE)&amp;""&lt;&gt;"",VLOOKUP(JH223,УГО_блоки,3,FALSE),VLOOKUP(JH223,УГО_блоки,2,FALSE)),JH223)))</f>
        <v>BOX</v>
      </c>
      <c r="JJ223">
        <f t="shared" si="544"/>
        <v>1</v>
      </c>
      <c r="JK223" t="str">
        <f>IF(DQ223="","",IF(COUNTIF(DQ$3:DQ223,DQ223)=1,MAX(JK$2:JK222)+1,""))</f>
        <v/>
      </c>
      <c r="JL223" t="str">
        <f>IF(DE223="","",IF(COUNTIF(DE$3:DE223,DE223)+COUNTIF(DF$2:DF222,DE223)+COUNTIF(DG$2:DG222,DE223)=1,MAX(JL$2:JN222)+1,""))</f>
        <v/>
      </c>
      <c r="JM223" t="str">
        <f>IF(DF223="","",IF(COUNTIF(DE$3:DE223,DF223)+COUNTIF(DF$3:DF223,DF223)+COUNTIF(DG$2:DG222,DF223)=1,MAX(JL$2:JN222,JL223)+1,""))</f>
        <v/>
      </c>
      <c r="JN223" t="str">
        <f>IF(DG223="","",IF(COUNTIF(DE$3:DE223,DG223)+COUNTIF(DF$3:DF223,DG223)+COUNTIF(DG$3:DG223,DG223)=1,MAX(JL$2:JN222,JL223,JM223)+1,""))</f>
        <v/>
      </c>
      <c r="JO223" t="str">
        <f t="shared" si="545"/>
        <v>3х2,5</v>
      </c>
      <c r="JP223" t="str">
        <f>IF(JO223="","",IF(COUNTIF(JO$3:JO223,JO223)=1,MAX(JP$2:JP222)+1,""))</f>
        <v/>
      </c>
      <c r="JQ223" t="str">
        <f>IF(HG223="","",COUNTIF(HG$3:HG223,"?*"))</f>
        <v/>
      </c>
      <c r="JR223" t="str">
        <f>IF(OR(HG223="",HI223=""),"",IF(COUNTIFS(HG$3:HG223,"?*",HI$3:HI223,HI223)=1,MAX(JR$2:JR222)+1,""))</f>
        <v/>
      </c>
      <c r="JS223">
        <f t="shared" si="546"/>
        <v>0</v>
      </c>
      <c r="JT223">
        <f>IF(B223="","",COUNTIF(B$3:B223,"?*"))</f>
        <v>221</v>
      </c>
      <c r="JU223">
        <f>IF(HL223&lt;&gt;1,0,_xlfn.LET(_xlpm.k,MAX(IFERROR(--_xlfn.XLOOKUP(B223,Коды_код,Коды_3L),0),IFERROR(--_xlfn.XLOOKUP(BC223,Коды_код,Коды_3L),0),IFERROR(--_xlfn.XLOOKUP(LEFT(BC223,2),Коды_код,Коды_3L),0)),IF(_xlpm.k&gt;0,_xlpm.k,IF(IFERROR(--LEFT(SUBSTITUTE(JO223,"x","х"),FIND("х",SUBSTITUTE(JO223,"x","х"))-1),3)&gt;3,Каталог!$S$9,1))))</f>
        <v>1</v>
      </c>
      <c r="JV223">
        <f t="shared" si="547"/>
        <v>0</v>
      </c>
      <c r="JW223" t="str">
        <f t="shared" si="548"/>
        <v>авто</v>
      </c>
      <c r="JX223" t="str">
        <f t="shared" si="549"/>
        <v/>
      </c>
      <c r="JY223">
        <f t="shared" si="550"/>
        <v>0</v>
      </c>
      <c r="JZ223">
        <f t="shared" si="551"/>
        <v>1</v>
      </c>
    </row>
    <row r="224" spans="1:286" x14ac:dyDescent="0.3">
      <c r="A224" t="s">
        <v>757</v>
      </c>
      <c r="B224" t="s">
        <v>741</v>
      </c>
      <c r="C224" t="s">
        <v>52</v>
      </c>
      <c r="D224">
        <v>1</v>
      </c>
      <c r="E224">
        <f>Линии[[#This Row],[_авто Р]]</f>
        <v>34.840000000000003</v>
      </c>
      <c r="G224">
        <v>63</v>
      </c>
      <c r="H224" t="str">
        <f>Линии[[#This Row],[_авто управление]]</f>
        <v/>
      </c>
      <c r="I224" t="str">
        <f>Линии[[#This Row],[_авто аппараты]]</f>
        <v/>
      </c>
      <c r="J224">
        <v>16</v>
      </c>
      <c r="K224" t="str">
        <f>Линии[[#This Row],[_авто длина по плану]]</f>
        <v/>
      </c>
      <c r="L224" t="str">
        <f>Линии[[#This Row],[_авто фаза]]</f>
        <v>L1,L2,L3</v>
      </c>
      <c r="M224" t="str">
        <f>Линии[[#This Row],[_авто клемма]]</f>
        <v/>
      </c>
      <c r="N224" t="str">
        <f t="shared" si="414"/>
        <v/>
      </c>
      <c r="O224" s="6" cm="1">
        <f t="array" ref="O224">IF(B224="","",IF(BH224&lt;&gt;"",IFERROR(_xlfn.XLOOKUP(BH224,Щиты[Щит],Щиты[Iр, А]),""),IF(BP224=1,IF(OR(N(_xlfn.XLOOKUP(A224,Щиты[Щит],Щиты[Вводов],1))&lt;=1,LOWER(TRIM(_xlfn.XLOOKUP(A224,Щиты[Щит],Щиты[АВР],"")&amp;""))="да"),IFERROR(_xlfn.XLOOKUP(A224,Щиты[Щит],Щиты[Iр, А]),""),IFERROR(N(BS224)*_xlfn.XLOOKUP(A224,Щиты[Щит],Щиты[Кс итог])/(SQRT(3)*Uн_лин*_xlfn.XLOOKUP(A224,Щиты[Щит],Щиты[cos φ])),"")),IF(BV224=1,IFERROR(BS224*1000/BU224,""),IFERROR(_xlfn.IFS(BX224=1,BS224/((Uн_лин/SQRT(3))*CE224),BX224=3,BS224/(SQRT(3)*Uн_лин*CE224)),"")))))</f>
        <v>30.958664828377682</v>
      </c>
      <c r="P224" s="7" t="str">
        <f>IF(B224="","",IFERROR(IF(VLOOKUP(BC224,Потребители_обозначение,4,FALSE)=1,VLOOKUP(BC224,Потребители_обозначение,3,FALSE)*(MAX(1,N(D224))*2-1)+EI224+VLOOKUP(BE224,Этаж_обозначение,3,FALSE)+VLOOKUP(BE224,Этаж_обозначение,4,FALSE),VLOOKUP(BC224,Потребители_обозначение,3,FALSE)*(MAX(1,N(D224))*2-1)+EI224),EI224))</f>
        <v/>
      </c>
      <c r="Q224" s="6" t="str">
        <f t="shared" si="415"/>
        <v/>
      </c>
      <c r="R224" t="str">
        <f t="shared" si="416"/>
        <v>ВВГнг(А)-LS (5х16)</v>
      </c>
      <c r="S224" t="str">
        <f>IF(BM224="","",IF(BN224="вводной узел","узел ","")&amp;"л."&amp;(INT((BM224-1)/Столбцов_на_лист)+1)&amp;" / "&amp;(MOD(BM224-1,Столбцов_на_лист)+1))</f>
        <v>узел л.1 / 2</v>
      </c>
      <c r="T224" s="119" t="str">
        <f t="shared" si="417"/>
        <v/>
      </c>
      <c r="U224" s="7" t="str">
        <f>IF(OR(CG224=0,N(BV224)+N(IB224)=0),"",ROUNDUP(Запас_БП*(N(HY224)+N(HZ224)),0))</f>
        <v/>
      </c>
      <c r="V224" s="119" t="str">
        <f t="shared" si="418"/>
        <v/>
      </c>
      <c r="W224" s="7" t="str">
        <f>IFERROR(IF(OR(B224="",BP224=1,BV224=1,NOT(ISNUMBER(EN224)),N(DT224)=0),"",MAX(0,ROUNDDOWN((c_min*(Uн_лин*1000/SQRT(3))/(HT224*N(DT224))-_xlfn.XLOOKUP(A224,Щиты[Щит],Щиты[Zпетли на шинах, Ом]))*EN224/(2*ρкз_Cu),0))),"")</f>
        <v/>
      </c>
      <c r="Y224" t="str">
        <f>Линии[[#This Row],[_авто утечка]]</f>
        <v/>
      </c>
      <c r="Z224">
        <v>3</v>
      </c>
      <c r="AA224">
        <v>400</v>
      </c>
      <c r="AB224" t="s">
        <v>547</v>
      </c>
      <c r="AJ224" t="s">
        <v>1344</v>
      </c>
      <c r="AK224" t="str">
        <f>Линии[[#This Row],[_авто модуль]]</f>
        <v/>
      </c>
      <c r="AM224">
        <v>2</v>
      </c>
      <c r="AN224" t="s">
        <v>11</v>
      </c>
      <c r="AO224">
        <v>5</v>
      </c>
      <c r="BA224" cm="1">
        <f t="array" ref="BA224">ROW()-ROW(Линии[#Headers])</f>
        <v>222</v>
      </c>
      <c r="BC224" s="6" t="str">
        <f t="shared" si="419"/>
        <v>Ввод</v>
      </c>
      <c r="BD224" t="str">
        <f t="shared" si="420"/>
        <v>1</v>
      </c>
      <c r="BE224" t="str">
        <f t="shared" si="421"/>
        <v>1</v>
      </c>
      <c r="BF224" t="str">
        <f t="shared" si="422"/>
        <v/>
      </c>
      <c r="BG224" t="str">
        <f t="shared" si="423"/>
        <v/>
      </c>
      <c r="BH224" t="str">
        <f>IF(X224&lt;&gt;"",X224,IF(AND(B224&lt;&gt;"",B224&lt;&gt;A224,ISNUMBER(_xlfn.XMATCH(B224,Щиты[Щит]))),B224,""))</f>
        <v/>
      </c>
      <c r="BI224" t="str" cm="1">
        <f t="array" ref="BI224">IF(B224="","",IF(BH224&lt;&gt;"","Щит "&amp;BH224,_xlfn.LET(_xlpm.nm,IFERROR(_xlfn.XLOOKUP(BC224,Коды_код,Коды_имя)&amp;"",""),_xlpm.md,IFERROR(N(_xlfn.XLOOKUP(BC224,Коды_код,Коды_режим)),1),_xlpm.ex,IF(Имя_режим="по экспликации",IFERROR(_xlfn.XLOOKUP(BE224&amp;"|"&amp;BG224,Экспликация[Этаж]&amp;"|"&amp;Экспликация[Помещение],Экспликация[Название])&amp;"",""),""),_xlpm.rm,IF(BG224="","",IF(_xlpm.ex&lt;&gt;"",". "&amp;_xlpm.ex&amp;IF(Имя_пом="нет"," ("&amp;BG224&amp;")"," (пом. "&amp;BG224&amp;")"),IF(Имя_пом="нет"," ",", пом. ")&amp;BG224)),IF(_xlpm.nm="","",IF(_xlpm.md=2,_xlpm.nm&amp;" шлейф "&amp;BE224,_xlpm.nm&amp;_xlpm.rm)))))</f>
        <v>Вводной кабель шлейф 1</v>
      </c>
      <c r="BJ224" t="str">
        <f t="shared" si="424"/>
        <v>Ввод</v>
      </c>
      <c r="BK224">
        <f>IFERROR(_xlfn.XMATCH(A224,Щиты[Щит]),0)</f>
        <v>10</v>
      </c>
      <c r="BL224">
        <f>_xlfn.LET(_xlpm.k,IFERROR(_xlfn.XLOOKUP(A224,Щиты[Щит],Щиты[Мест под вводной узел]),""),IF(_xlpm.k="",Столбцов_на_лист,N(_xlpm.k)))</f>
        <v>8</v>
      </c>
      <c r="BM224">
        <f t="shared" si="425"/>
        <v>2</v>
      </c>
      <c r="BN224" t="str">
        <f t="shared" si="426"/>
        <v>вводной узел</v>
      </c>
      <c r="BO224" s="6">
        <f>IFERROR(N(_xlfn.XLOOKUP(BC224,Коды_код,Коды_квт)),0)</f>
        <v>0</v>
      </c>
      <c r="BP224">
        <f t="shared" si="427"/>
        <v>1</v>
      </c>
      <c r="BQ224">
        <f>IF(B224="","",IF(BH224&lt;&gt;"",IFERROR(_xlfn.XLOOKUP(BH224,Щиты[Щит],Щиты[Руст, кВт]),0),IF(BP224=1,IF(OR(N(_xlfn.XLOOKUP(A224,Щиты[Щит],Щиты[Вводов],1))&lt;=1,LOWER(TRIM(_xlfn.XLOOKUP(A224,Щиты[Щит],Щиты[АВР],"")&amp;""))="да"),IFERROR(_xlfn.XLOOKUP(A224,Щиты[Щит],Щиты[Руст, кВт]),0),SUMIFS(Линии[_Р для вводов],Линии[Щит],A224,Линии[Источник для режимов],GF224)),IF(BO224&gt;0,ROUND(BO224*MAX(1,N(D224)),3),""))))</f>
        <v>34.840000000000003</v>
      </c>
      <c r="BR224">
        <f t="shared" si="428"/>
        <v>34.840000000000003</v>
      </c>
      <c r="BS224" s="6">
        <f>IF(B224="","",IF(BH224&lt;&gt;"",IFERROR(_xlfn.XLOOKUP(BH224,Щиты[Щит],Щиты[Руст, кВт]),0),N(BR224)))</f>
        <v>34.840000000000003</v>
      </c>
      <c r="BT224" t="str">
        <f>IF(B224="","",IFERROR(IF(VLOOKUP(BC224,Потребители_обозначение,8,FALSE)=0,"",VLOOKUP(BC224,Потребители_обозначение,8,FALSE)),""))</f>
        <v/>
      </c>
      <c r="BU224">
        <f t="shared" si="429"/>
        <v>400</v>
      </c>
      <c r="BV224">
        <f t="shared" si="430"/>
        <v>0</v>
      </c>
      <c r="BW224">
        <f>IF(B224="","",IF(BH224&lt;&gt;"",3,IFERROR(IF(N(VLOOKUP(BC224,Потребители_обозначение,9,FALSE))=0,1,VLOOKUP(BC224,Потребители_обозначение,9,FALSE)),1)))</f>
        <v>1</v>
      </c>
      <c r="BX224">
        <f t="shared" si="431"/>
        <v>3</v>
      </c>
      <c r="BY224" t="str">
        <f>IF(B224="","",_xlfn.LET(_xlpm.bc,IFERROR(IF(VLOOKUP(BC224,Потребители_обозначение,6,FALSE)=0,"",VLOOKUP(BC224,Потребители_обозначение,6,FALSE)&amp;""),""),IF(AND(GA224="да",OR(_xlpm.bc="",_xlpm.bc="мс")),Марка_пож,IF(AND(_xlpm.bc="",BH224&lt;&gt;""),"мс",_xlpm.bc))))</f>
        <v/>
      </c>
      <c r="BZ224" t="str">
        <f t="shared" si="432"/>
        <v>мс</v>
      </c>
      <c r="CA224">
        <f>IF(B224="","",_xlfn.LET(_xlpm.cc,IFERROR(N(VLOOKUP(BC224,Потребители_обозначение,7,FALSE)),0),IF(_xlpm.cc&gt;0,_xlpm.cc,IF(BZ224="","",IF(BV224=1,2,IF(N(BX224)=3,5,3))))))</f>
        <v>5</v>
      </c>
      <c r="CB224">
        <f t="shared" si="433"/>
        <v>5</v>
      </c>
      <c r="CC224">
        <f>IFERROR(N(VLOOKUP(BC224,Потребители_обозначение,10,FALSE)),0)</f>
        <v>0</v>
      </c>
      <c r="CD224">
        <f>IFERROR(VLOOKUP(BC224,Потребители_обозначение,5,FALSE),0)</f>
        <v>1</v>
      </c>
      <c r="CE224" s="6" cm="1">
        <f t="array" ref="CE224">IF(B224="","",IF(BH224&lt;&gt;"",IFERROR(_xlfn.XLOOKUP(BH224,Щиты[Щит],Щиты[cos φ]),0.95),IF(BP224=1,IFERROR(_xlfn.XLOOKUP(A224,Щиты[Щит],Щиты[cos φ]),0.95),IF(ISNUMBER(AD224),AD224,IFERROR(IF(CD224=2,_xlfn.IFS(BX224=3,VLOOKUP(BS224,Справочная_двигатели,8,FALSE),BX224=1,VLOOKUP(BS224,Справочная_двигатели,10,TRUE)),IF(AND(Методика="нормы 2026",FG224="Сил"),0.8,0.95)),0.95)))))</f>
        <v>0.94999999999999984</v>
      </c>
      <c r="CF224">
        <f t="shared" si="434"/>
        <v>0</v>
      </c>
      <c r="CG224">
        <f t="shared" si="435"/>
        <v>1</v>
      </c>
      <c r="CH224">
        <f t="shared" si="436"/>
        <v>0</v>
      </c>
      <c r="CI224">
        <f>IF(B224="","",IF(BV224=1,IFERROR(BS224/((Uн_лин/SQRT(3))*MAX(0.5,N(CE224))),0),N(O224)))</f>
        <v>30.958664828377682</v>
      </c>
      <c r="CJ224">
        <f t="shared" si="437"/>
        <v>0</v>
      </c>
      <c r="CK224">
        <f t="shared" si="438"/>
        <v>0</v>
      </c>
      <c r="CL224">
        <f t="shared" si="439"/>
        <v>0</v>
      </c>
      <c r="CM224">
        <f t="shared" si="440"/>
        <v>0</v>
      </c>
      <c r="CN224">
        <f t="shared" si="441"/>
        <v>0</v>
      </c>
      <c r="CO224">
        <f>IF(BC224="",0,_xlfn.LET(_xlpm.v,IFERROR(_xlfn.XLOOKUP(B224,Коды_код,Коды_мА),IFERROR(_xlfn.XLOOKUP(BC224,Коды_код,Коды_мА),IFERROR(_xlfn.XLOOKUP(LEFT(BC224,2),Коды_код,Коды_мА),""))),IF(_xlpm.v="да",30,IF(ISNUMBER(_xlpm.v),_xlpm.v,0))))</f>
        <v>0</v>
      </c>
      <c r="CP224" t="str">
        <f t="shared" si="442"/>
        <v/>
      </c>
      <c r="CQ224" t="str">
        <f>_xlfn.LET(_xlpm.k,IFERROR(_xlfn.XLOOKUP(BC224,Коды_код,Коды_утечка)&amp;"",""),IF(_xlpm.k="","дифавтомат",_xlpm.k))</f>
        <v>дифавтомат</v>
      </c>
      <c r="CR224" t="str" cm="1">
        <f t="array" ref="CR224">IF(CG224=0,"",_xlfn.LET(_xlpm.sg,TRIM(_xlfn.TEXTSPLIT(DD224&amp;"",";")),_xlpm.f_,_xlfn._xlws.FILTER(_xlpm.sg,LEFT(_xlpm.sg,3)="УЗО",""),IFERROR(INDEX(_xlpm.f_,1)&amp;"","")))</f>
        <v/>
      </c>
      <c r="CS224" t="str">
        <f t="shared" si="443"/>
        <v/>
      </c>
      <c r="CT224" s="6" t="str" cm="1">
        <f t="array" ref="CT224">IF(CR224="","",_xlfn.LET(_xlpm.tk,_xlfn.TEXTSPLIT(UPPER(CR224)," ",,TRUE),_xlpm.a_,_xlfn._xlws.FILTER(_xlpm.tk,ISNUMBER(--LEFT(_xlpm.tk,1))*((ISNUMBER(SEARCH("А",_xlpm.tk))+ISNUMBER(SEARCH("A",_xlpm.tk)))&gt;0)*NOT(ISNUMBER(SEARCH("МА",_xlpm.tk)))*NOT(ISNUMBER(SEARCH("MA",_xlpm.tk))),""),IFERROR(--SUBSTITUTE(SUBSTITUTE(INDEX(_xlpm.a_,1),"А",""),"A",""),"")))</f>
        <v/>
      </c>
      <c r="CU224" t="str" cm="1">
        <f t="array" ref="CU224">IF(CR224="","",_xlfn.LET(_xlpm.tk,_xlfn.TEXTSPLIT(UPPER(CR224)," ",,TRUE),_xlpm.a_,_xlfn._xlws.FILTER(_xlpm.tk,ISNUMBER(--LEFT(_xlpm.tk,1))*((ISNUMBER(SEARCH("МА",_xlpm.tk))+ISNUMBER(SEARCH("MA",_xlpm.tk)))&gt;0),""),IFERROR(--SUBSTITUTE(SUBSTITUTE(INDEX(_xlpm.a_,1),"МА",""),"MA",""),30)))</f>
        <v/>
      </c>
      <c r="CV224" t="str">
        <f>IF(CS224="","",IFERROR(_xlfn.XLOOKUP(CS224,Линии[_n],Линии[_УЗО, мА]),30))</f>
        <v/>
      </c>
      <c r="CW224">
        <f>IF(CS224="",0,IF(ISNUMBER(SEARCH("4P",IFERROR(_xlfn.XLOOKUP(CS224,Линии[_n],Линии[_УЗО строки])&amp;"",""))),0,1))</f>
        <v>0</v>
      </c>
      <c r="CX224" t="str">
        <f>IF(AND(CS224&lt;&gt;"",CS224=BA224),SUMIFS(Линии[_ток на 230 В],Линии[_блок УЗО],BA224,Линии[Щит],A224),"")</f>
        <v/>
      </c>
      <c r="CY224" t="str">
        <f>IF(AND(CS224&lt;&gt;"",CS224=BA224),SUMIFS(Линии[_ток утечки линии, мА],Линии[_блок УЗО],BA224,Линии[Щит],A224),"")</f>
        <v/>
      </c>
      <c r="CZ224">
        <f t="shared" si="444"/>
        <v>0</v>
      </c>
      <c r="DA224">
        <f t="shared" si="445"/>
        <v>0</v>
      </c>
      <c r="DB224">
        <f>IF(B224="",0,IFERROR(--_xlfn.XLOOKUP(B224,Коды_код,Коды_минавт),IFERROR(--_xlfn.XLOOKUP(BC224,Коды_код,Коды_минавт),IFERROR(--_xlfn.XLOOKUP(LEFT(BC224,2),Коды_код,Коды_минавт),0))))</f>
        <v>0</v>
      </c>
      <c r="DC224" t="str">
        <f>IF(B224="","",IFERROR(_xlfn.XLOOKUP(BC224,Коды_код,Коды_апп)&amp;"",""))</f>
        <v/>
      </c>
      <c r="DD224" t="str">
        <f t="shared" si="446"/>
        <v/>
      </c>
      <c r="DE224" t="str" cm="1">
        <f t="array" ref="DE224">IF(TRIM(DD224&amp;"")="","",IFERROR(TRIM(INDEX(_xlfn.TEXTSPLIT(DD224&amp;";;;",";"),1)),""))</f>
        <v/>
      </c>
      <c r="DF224" t="str" cm="1">
        <f t="array" ref="DF224">IF(TRIM(DD224&amp;"")="","",IFERROR(TRIM(INDEX(_xlfn.TEXTSPLIT(DD224&amp;";;;",";"),2)),""))</f>
        <v/>
      </c>
      <c r="DG224" t="str" cm="1">
        <f t="array" ref="DG224">IF(TRIM(DD224&amp;"")="","",IFERROR(TRIM(INDEX(_xlfn.TEXTSPLIT(DD224&amp;";;;",";"),3)),""))</f>
        <v/>
      </c>
      <c r="DH224">
        <f t="shared" si="447"/>
        <v>0</v>
      </c>
      <c r="DI224" t="str">
        <f>IF(B224="","",_xlfn.LET(_xlpm.t,LOWER(AZ224&amp;""),IF(ISNUMBER(SEARCH("dim",_xlpm.t)),"DIM",IF(ISNUMBER(SEARCH("dali",_xlpm.t)),"DALI",IF(OR(ISNUMBER(SEARCH("relay",_xlpm.t)),ISNUMBER(SEARCH("реле",_xlpm.t))),"Relay",IF(ISNUMBER(SEARCH("кнопк",_xlpm.t)),"",IFERROR(_xlfn.XLOOKUP(BC224,Коды_код,Коды_упр)&amp;"","")))))))</f>
        <v/>
      </c>
      <c r="DJ224" t="str">
        <f t="shared" si="448"/>
        <v/>
      </c>
      <c r="DK224">
        <f>IF(B224="","",_xlfn.LET(_xlpm.ig,IF(N(CX224)&gt;0,N(CX224),N(CI224)+IF(AJ224="вручную",0,N(CJ224))),_xlpm.n0,IFERROR(VLOOKUP(_xlpm.ig,Автомат_номиналы,2,TRUE),0),_xlpm.mn,MAX(DB224,IF(AJ224="вручную",0,N(CM224))),MAX(_xlpm.n0,_xlpm.mn,IF(DH224=1,Мин_автомат_БП,0))))</f>
        <v>40</v>
      </c>
      <c r="DL224">
        <f t="shared" si="449"/>
        <v>3</v>
      </c>
      <c r="DM224" t="str">
        <f t="shared" si="450"/>
        <v>3P</v>
      </c>
      <c r="DN224" t="str">
        <f>_xlfn.LET(_xlpm.cc,UPPER(TRIM(IFERROR(_xlfn.XLOOKUP(BC224,Коды_код,Коды_хар)&amp;"",""))),IF(OR(_xlpm.cc="B",_xlpm.cc="В"),"B",IF(_xlpm.cc="D","D","С")))</f>
        <v>С</v>
      </c>
      <c r="DO224" t="str">
        <f t="shared" si="451"/>
        <v>3P С40А</v>
      </c>
      <c r="DP224">
        <f t="shared" si="452"/>
        <v>63</v>
      </c>
      <c r="DQ224" t="str">
        <f t="shared" si="453"/>
        <v>3P С63А</v>
      </c>
      <c r="DR224" cm="1">
        <f t="array" ref="DR224">IF(DQ224="","",_xlfn.LET(_xlpm.t,SUBSTITUTE(SUBSTITUTE(SUBSTITUTE(UPPER(DQ224),"С","C"),"А","A"),"В","B"),_xlpm.tk,_xlfn.TEXTSPLIT(_xlpm.t," "),_xlpm.f,_xlfn._xlws.FILTER(_xlpm.tk,ISNUMBER(--MID(_xlpm.tk,2,1))*ISNUMBER(SEARCH(LEFT(_xlpm.tk,1)&amp;"#","B#C#D#"))*(LEN(_xlpm.tk)&gt;1),""),_xlpm.x,INDEX(_xlpm.f,1),IFERROR(--SUBSTITUTE(MID(_xlpm.x,2,9),"A",""),IFERROR(--SUBSTITUTE(INDEX(_xlfn._xlws.FILTER(_xlpm.tk,ISNUMBER(--SUBSTITUTE(_xlpm.tk,"A","")),""),1),"A",""),""))))</f>
        <v>63</v>
      </c>
      <c r="DS224" t="str">
        <f t="shared" si="454"/>
        <v>узел</v>
      </c>
      <c r="DT224">
        <f t="shared" si="455"/>
        <v>63</v>
      </c>
      <c r="DU224" t="str">
        <f t="shared" si="456"/>
        <v>3P С63А</v>
      </c>
      <c r="DV224">
        <f t="shared" si="457"/>
        <v>0</v>
      </c>
      <c r="DW224">
        <f t="shared" si="458"/>
        <v>0</v>
      </c>
      <c r="DX224">
        <f t="shared" si="459"/>
        <v>0</v>
      </c>
      <c r="DY224">
        <f t="shared" si="460"/>
        <v>30.958664828377682</v>
      </c>
      <c r="DZ224">
        <f t="shared" si="461"/>
        <v>0.92</v>
      </c>
      <c r="EA224">
        <f>IF(ISNUMBER(AP224),AP224,К_прокл)</f>
        <v>1</v>
      </c>
      <c r="EB224">
        <f t="shared" si="462"/>
        <v>3</v>
      </c>
      <c r="EC224">
        <f>IFERROR(N(VLOOKUP(BZ224,Кабель_обозначение,3,FALSE)),1)</f>
        <v>1</v>
      </c>
      <c r="ED224">
        <f>IFERROR(N(_xlfn.XLOOKUP(A224,Щиты[Щит],Щиты[ΔU до шин, %])),0)</f>
        <v>1.19</v>
      </c>
      <c r="EE224" t="str">
        <f>IFERROR(_xlfn.XLOOKUP(A224,Щиты[Щит],Щиты[Zпетли на шинах, Ом]),"")</f>
        <v/>
      </c>
      <c r="EF224">
        <f>IFERROR(N(_xlfn.XLOOKUP(A224,Щиты[Щит],Щиты[ΔU до шин (подбор), %])),0)</f>
        <v>1.19</v>
      </c>
      <c r="EG224" t="str">
        <f>IFERROR(_xlfn.XLOOKUP(A224,Щиты[Щит],Щиты[Zпетли на шинах (подбор), Ом]),"")</f>
        <v/>
      </c>
      <c r="EH224" t="str">
        <f t="shared" si="463"/>
        <v/>
      </c>
      <c r="EI224" t="str">
        <f t="shared" si="464"/>
        <v/>
      </c>
      <c r="EJ224">
        <f t="shared" si="465"/>
        <v>1</v>
      </c>
      <c r="EK224">
        <f t="shared" si="466"/>
        <v>0.31</v>
      </c>
      <c r="EL224" s="6">
        <f>IF(B224="","",IF(BV224=1,dU_LED,IF(IFERROR(_xlfn.XLOOKUP(BC224,Коды_код,Коды_уго),"")="Светильник",3,4)+IF(Методика="нормы 2026",MIN(0.5,MAX(0,N(P224)-100)*0.005),0)))</f>
        <v>4</v>
      </c>
      <c r="EM224" cm="1">
        <f t="array" ref="EM224">IF(OR(B224="",BZ224="",EC224&lt;&gt;1),"",_xlfn.LET(_xlpm.sz,Iдоп_S,_xlpm.t_,CHOOSE(EB224,Iдоп_1ж,Iдоп_2ж,Iдоп_3ж)*DZ224*EA224,_xlpm.dcx,BV224=1,_xlpm.inn,IF(_xlpm.dcx,N(O224),N(DT224)),_xlpm.smin,MAX(1.5,CC224),_xlpm.L_,N(P224)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224)/N(BU224)*100,999),IFERROR(N(EJ224)*(_xlpm.rho*_xlpm.L_/_xlpm.sz*N(CE224)+_xlpm.xx*_xlpm.L_*N(EK224)/1000)*N(O224)/((Uн_лин/SQRT(3))*1000)*100,999)),_xlpm.kz,IF(OR(_xlpm.dcx,DW224=1,NOT(ISNUMBER(EG224)),_xlpm.L_=0,_xlpm.inn=0),1,IFERROR(--(c_min*(Uн_лин*1000/SQRT(3))/(EG224+2*ρкз_Cu*_xlpm.L_/_xlpm.sz)&gt;=HT224*_xlpm.inn),0)),_xlpm.ok,IFERROR((_xlpm.sz&gt;=_xlpm.smin)*(_xlpm.t_&gt;=_xlpm.inn)*IF(_xlpm.L_&gt;0,(_xlpm.du_+IF(_xlpm.dcx,0,EF224)&lt;=EL224+0.00001),1)*_xlpm.kz,0),_xlpm.r_,_xlfn._xlws.FILTER(_xlpm.sz,_xlpm.ok,"не подобрано"),INDEX(_xlpm.r_,1)))</f>
        <v>16</v>
      </c>
      <c r="EN224">
        <f t="shared" si="467"/>
        <v>16</v>
      </c>
      <c r="EO224" cm="1">
        <f t="array" ref="EO224">IF(OR(B224="",BZ224="",EC224&lt;&gt;1),"",_xlfn.LET(_xlpm.sz,Iдоп_S,_xlpm.t_,CHOOSE(EB224,Iдоп_1ж,Iдоп_2ж,Iдоп_3ж)*DZ224*EA224,_xlpm.ok,IFERROR((_xlpm.sz&gt;=MAX(1.5,CC224))*(_xlpm.t_&gt;=N(DT224)),0),_xlpm.r_,_xlfn._xlws.FILTER(_xlpm.sz,_xlpm.ok,""),INDEX(_xlpm.r_,1)))</f>
        <v>16</v>
      </c>
      <c r="EP224" s="6" cm="1">
        <f t="array" ref="EP224">IFERROR(ROUNDUP(N(EJ224)*(_xlfn.XLOOKUP(EO224,INDEX(Кабель_сопротивление,0,1),INDEX(Кабель_сопротивление,0,3))*N(P224)/EO224*N(CE224)+_xlfn.XLOOKUP(EO224,INDEX(Кабель_сопротивление,0,1),INDEX(Кабель_сопротивление,0,2))*N(P224)*N(EK224)/1000)*N(O224)/((Uн_лин/SQRT(3))*1000)*100,2),"")</f>
        <v>0</v>
      </c>
      <c r="EQ224">
        <f>IFERROR(2*ρкз_Cu*N(P224)/EO224,"")</f>
        <v>0</v>
      </c>
      <c r="ER224">
        <f>IFERROR(VLOOKUP(EN224,Кабель_сопротивление,3,FALSE),"")</f>
        <v>2.2499999999999999E-2</v>
      </c>
      <c r="ES224">
        <f>IFERROR(VLOOKUP(EN224,Кабель_сопротивление,2,FALSE),"")</f>
        <v>6.7500000000000004E-2</v>
      </c>
      <c r="ET224" t="str">
        <f t="shared" si="468"/>
        <v/>
      </c>
      <c r="EU224" t="str">
        <f t="shared" si="469"/>
        <v/>
      </c>
      <c r="EV224" t="str">
        <f t="shared" si="470"/>
        <v/>
      </c>
      <c r="EW224" s="6" t="str">
        <f>IFERROR(ROUNDUP(EV224/IF(BV224=1,BU224,(Uн_лин/SQRT(3))*1000)*100,2),"")</f>
        <v/>
      </c>
      <c r="EX224" t="str">
        <f>IFERROR(VLOOKUP(BZ224,Кабель_обозначение,2,FALSE),"")</f>
        <v>ВВГнг(А)-LS</v>
      </c>
      <c r="EY224" t="str">
        <f t="shared" si="471"/>
        <v>ВВГнг(А)-LS (5х16)</v>
      </c>
      <c r="EZ224" t="str">
        <f t="shared" si="472"/>
        <v>ВВГнг(А)-LS (5х16)</v>
      </c>
      <c r="FA224" t="str">
        <f>IFERROR(2*ρкз_Cu*P224/EN224,"")</f>
        <v/>
      </c>
      <c r="FB224">
        <f t="shared" si="473"/>
        <v>0</v>
      </c>
      <c r="FC224" s="6" t="str">
        <f>IFERROR(IF(OR(B224="",BV224=1,NOT(ISNUMBER(EN224)),N(P224)=0),"",_xlfn.XLOOKUP(A224,Щиты[Щит],Щиты[Zпетли на шинах, Ом])+FA224),"")</f>
        <v/>
      </c>
      <c r="FD224" s="6" t="str">
        <f>IF(ISNUMBER(FC224),c_min*(Uн_лин*1000/SQRT(3))/FC224,"")</f>
        <v/>
      </c>
      <c r="FE224" s="6" t="str">
        <f>IFERROR(IF(OR(B224="",NOT(ISNUMBER(EN224))),"",1.05*(Uн_лин*1000/SQRT(3))/(_xlfn.XLOOKUP(A224,Щиты[Щит],Щиты[Zmax на шинах, Ом])+FB224)/1000),"")</f>
        <v/>
      </c>
      <c r="FF224" s="6" t="str">
        <f>IF(B224="","",IF(ISNUMBER(AC224),"Сил",IF(IFERROR(_xlfn.XLOOKUP(BC224,Коды_код,Коды_группа)&amp;"","")="","Быт",_xlfn.XLOOKUP(BC224,Коды_код,Коды_группа)&amp;"")))</f>
        <v>Быт</v>
      </c>
      <c r="FG224" s="6" t="str">
        <f t="shared" si="474"/>
        <v>Нет</v>
      </c>
      <c r="FH224" s="6">
        <f>IF(FG224="Щит","щит",IF(FG224="","",IF(FG224="Быт",IFERROR(_xlfn.XLOOKUP(A224,Щиты[Щит],Щиты[Кс быт]),1),IF(FG224="Сил",IF(ISNUMBER(AC224),AC224,IF(Методика="нормы 2026",IFERROR(_xlfn.XLOOKUP(A224,Щиты[Щит],Щиты[Кс силовых (табл. 7.5)]),1),1)),IF(OR(FG224="Пост",FG224="Отоп"),1,IF(FG224="ВНГ",0.7,0))))))</f>
        <v>0</v>
      </c>
      <c r="FI224">
        <f>IF(FG224="","",IF(AND(BP224=1,TRIM(AE224&amp;"")=""),IF(COUNTIFS(Линии[Щит],A224,Линии[Секция (1/2/3)],"&gt;=2")&gt;0,MIN(3,MAX(1,IFERROR(--BD224,1))),1),IFERROR(MIN(3,MAX(1,INT(--AE224))),1)))</f>
        <v>1</v>
      </c>
      <c r="FJ224">
        <f t="shared" si="475"/>
        <v>0</v>
      </c>
      <c r="FK224">
        <f t="shared" si="476"/>
        <v>0</v>
      </c>
      <c r="FL224">
        <f t="shared" si="477"/>
        <v>0</v>
      </c>
      <c r="FM224">
        <f t="shared" si="478"/>
        <v>0</v>
      </c>
      <c r="FN224">
        <f t="shared" si="479"/>
        <v>0</v>
      </c>
      <c r="FO224">
        <f t="shared" si="480"/>
        <v>0</v>
      </c>
      <c r="FP224">
        <f t="shared" si="481"/>
        <v>0</v>
      </c>
      <c r="FQ224">
        <f t="shared" si="482"/>
        <v>0</v>
      </c>
      <c r="FR224">
        <f t="shared" si="483"/>
        <v>0</v>
      </c>
      <c r="FS224">
        <f>IF(CG224=1,IF(AND(CH224=1,CW224=1),0,IF(AND(CS224&lt;&gt;"",CS224=BA224,CW224=1),SUMIFS(Линии[_Р линии, кВт],Линии[_блок УЗО],BA224,Линии[Щит],A224),N(BS224)+IF(AJ224="вручную",0,N(CK224)))),0)</f>
        <v>34.840000000000003</v>
      </c>
      <c r="FT224" t="str">
        <f t="shared" si="484"/>
        <v/>
      </c>
      <c r="FU224" t="str">
        <f>IF(B224="","",IF(CG224=0,IF(BA224=1,"",FW223),IF(AND(CH224=1,CW224=1,CS224&lt;&gt;""),IFERROR(_xlfn.XLOOKUP(CS224,Линии[_n],Линии[_фаза итог]),"L1"),IF(OR(N(DL224)&gt;=3,N(BX224)&gt;=3),"L1,L2,L3",IFERROR(_xlfn.TEXTBEFORE(_xlfn.TEXTAFTER(_xlfn.XLOOKUP(A224,Щиты[Щит],Щиты[_фазы авто]),";"&amp;BA224&amp;":"),";"),"L1")))))</f>
        <v>L1,L2,L3</v>
      </c>
      <c r="FV224" t="str">
        <f t="shared" si="485"/>
        <v>L1,L2,L3</v>
      </c>
      <c r="FW224" t="str">
        <f t="shared" si="486"/>
        <v>L1,L2,L3</v>
      </c>
      <c r="FX224" cm="1">
        <f t="array" ref="FX224">IFERROR(IF(CD224=2,_xlfn.IFS(BX224=3,VLOOKUP(BS224,Справочная_двигатели,3,FALSE),BX224=1,VLOOKUP(BS224,Справочная_двигатели,5,TRUE)),0),0)</f>
        <v>0</v>
      </c>
      <c r="FY224">
        <f>IFERROR(IF(CD224=3,VLOOKUP(BS224,Справочная_ЛЭД,2,TRUE),0),0)</f>
        <v>0</v>
      </c>
      <c r="FZ224" s="6">
        <f t="shared" si="487"/>
        <v>0</v>
      </c>
      <c r="GA224" t="str">
        <f>IF(B224="","",IF(TRIM(AH224&amp;"")&lt;&gt;"",IF(LOWER(TRIM(AH224&amp;""))="да","да","нет"),IF(IFERROR(_xlfn.XLOOKUP(BC224,Коды_код,Коды_пожарная),"")="да","да","нет")))</f>
        <v>нет</v>
      </c>
      <c r="GB224" t="str">
        <f t="shared" si="488"/>
        <v/>
      </c>
      <c r="GC224" t="str">
        <f t="shared" si="489"/>
        <v>основная</v>
      </c>
      <c r="GD224">
        <f>IF(AND(BP224=1,TRIM(AE224&amp;"")=""),IF(COUNTIFS(Линии[Щит],A224,Линии[Секция (1/2/3)],"&gt;=2")&gt;0,MIN(3,MAX(1,IFERROR(--BD224,1))),1),IFERROR(MIN(3,MAX(1,INT(--AE224))),1))</f>
        <v>1</v>
      </c>
      <c r="GE224" t="str" cm="1">
        <f t="array" ref="GE224">IF(B224="","",_xlfn.LET(_xlpm.t,IFERROR(_xlfn.XLOOKUP(1,(Шины[Шина]=GC224)*(((Шины[Щит]=A224)+(Шины[Щит]=""))&gt;0),Шины[Тип]),"")&amp;"",IF(_xlpm.t&lt;&gt;"",_xlpm.t,IF(ISNUMBER(SEARCH("ИБП",GC224)),"ИБП",IF(ISNUMBER(SEARCH("ДГУ",GC224)),"ДГУ","Ввод "&amp;GD224)))))</f>
        <v>Ввод 1</v>
      </c>
      <c r="GF224" t="str">
        <f t="shared" si="490"/>
        <v>Ввод 1</v>
      </c>
      <c r="GG224" t="str">
        <f>IF(BP224=0,"",IF(TRIM(AG224&amp;"")&lt;&gt;"",TRIM(AG224&amp;""),IF(OR(GE224="ИБП",GE224="ДГУ"),"I особая",_xlfn.XLOOKUP(A224,Щиты[Щит],Щиты[Категория шины «Ввод»],"III"))))</f>
        <v>II</v>
      </c>
      <c r="GH224" t="str">
        <f>IF(A224="","",_xlfn.XLOOKUP(A224,Щиты[Щит],Щиты[Путь],""))</f>
        <v>|ГРЩ-ЖД|ЩР-1|</v>
      </c>
      <c r="GI224" t="str">
        <f>IF(B224="","",IF(AI224&lt;&gt;"",AI224,IF(IFERROR(_xlfn.XLOOKUP(BC224,Коды_код,Коды_вид)&amp;"","")="","Прочее",_xlfn.XLOOKUP(BC224,Коды_код,Коды_вид)&amp;"")))</f>
        <v>Прочее</v>
      </c>
      <c r="GJ224">
        <f>IF(BM224="","",INT((BM224-1)/Столбцов_на_лист)+1)</f>
        <v>1</v>
      </c>
      <c r="GK224" t="str">
        <f t="shared" si="491"/>
        <v>ВВГнг(А)-LS (5х16)</v>
      </c>
      <c r="GL224">
        <f t="shared" si="492"/>
        <v>34.840000000000003</v>
      </c>
      <c r="GM224">
        <f t="shared" si="493"/>
        <v>30.96</v>
      </c>
      <c r="GN224">
        <f t="shared" si="494"/>
        <v>3</v>
      </c>
      <c r="GO224">
        <f t="shared" si="495"/>
        <v>0</v>
      </c>
      <c r="GP224">
        <f t="shared" si="496"/>
        <v>0</v>
      </c>
      <c r="GQ224" t="str">
        <f>IF(BM224="","",IF(AND(CG224=1,GP224=1),COUNTIFS(A$3:A224,A224,CG$3:CG224,1,GP$3:GP224,1),IF(OR(OR(BA224=1,A224&lt;&gt;A223),AJ224="вручную",GP224=0),"",IF(BA224=1,"",GR223))))</f>
        <v/>
      </c>
      <c r="GR224" t="str">
        <f t="shared" si="497"/>
        <v/>
      </c>
      <c r="GS224">
        <f>IF(B224="","",IFERROR(LOOKUP(INDEX(CHOOSE(EB224,Iдоп_1ж,Iдоп_2ж,Iдоп_3ж),MATCH(EN224,Iдоп_S,0))*DZ224*EA224,{6,10,16,20,25,32,40,50,63,80,100,125,160,200,250,315,400,500,630}),""))</f>
        <v>63</v>
      </c>
      <c r="GT224" t="str">
        <f t="shared" si="498"/>
        <v/>
      </c>
      <c r="GU224" t="str">
        <f t="shared" si="499"/>
        <v/>
      </c>
      <c r="GV224" t="str">
        <f t="shared" si="500"/>
        <v/>
      </c>
      <c r="GW224">
        <f t="shared" si="501"/>
        <v>0</v>
      </c>
      <c r="GX224" t="str">
        <f>IF(OR(B224="",DJ224=""),"",IFERROR(_xlfn.XLOOKUP(DJ224,Модули_умолч[Управление],Модули_умолч[Модель])&amp;"",""))</f>
        <v/>
      </c>
      <c r="GY224">
        <f>IF(DJ224="",1,IFERROR(MAX(0,N(_xlfn.XLOOKUP(DJ224,Модули_умолч[Управление],Модули_умолч[Каналов на линию]))),1))</f>
        <v>1</v>
      </c>
      <c r="GZ224" t="str">
        <f t="shared" si="502"/>
        <v/>
      </c>
      <c r="HA224" t="str">
        <f t="shared" si="503"/>
        <v/>
      </c>
      <c r="HB224" t="str">
        <f t="shared" si="504"/>
        <v/>
      </c>
      <c r="HC224">
        <f>IF(HB224="",0,IFERROR(N(VLOOKUP(HB224,Модули_спр,3,FALSE)),0))</f>
        <v>0</v>
      </c>
      <c r="HD224" t="str">
        <f t="shared" si="505"/>
        <v/>
      </c>
      <c r="HE224" t="str">
        <f t="shared" si="506"/>
        <v/>
      </c>
      <c r="HF224" t="str">
        <f>IF(OR(HE224="",HE224="-"),"",IFERROR(VLOOKUP(HE224,Модули_спр,2,FALSE),"R"))</f>
        <v/>
      </c>
      <c r="HG224" t="str">
        <f>IF(HF224="","",HF224&amp;"."&amp;COUNTIFS(A$3:A224,A224,HF$3:HF224,HF224))</f>
        <v/>
      </c>
      <c r="HH224" t="str">
        <f t="shared" si="507"/>
        <v/>
      </c>
      <c r="HI224" t="str">
        <f t="shared" si="508"/>
        <v/>
      </c>
      <c r="HJ224" t="str">
        <f t="shared" si="509"/>
        <v/>
      </c>
      <c r="HK224" t="str">
        <f t="shared" si="510"/>
        <v/>
      </c>
      <c r="HL224">
        <f t="shared" si="511"/>
        <v>0</v>
      </c>
      <c r="HM224" t="str">
        <f>IF(HL224=1,"XT"&amp;COUNTIFS(A$3:A224,A224,HL$3:HL224,1),"")</f>
        <v/>
      </c>
      <c r="HN224" t="str">
        <f t="shared" si="512"/>
        <v/>
      </c>
      <c r="HO224" t="str">
        <f t="shared" si="513"/>
        <v/>
      </c>
      <c r="HP224" t="str">
        <f t="shared" si="514"/>
        <v/>
      </c>
      <c r="HQ224" t="str">
        <f t="shared" si="515"/>
        <v>ok</v>
      </c>
      <c r="HR224" t="str">
        <f>IF(OR(HJ224="",HH224=""),"",IF(HJ224+MAX(0,GY224-1)&gt;IFERROR(VLOOKUP(HI224,Модули_спр,3,FALSE),99),"ЛИШНИЙ КАНАЛ",IF(AND(AL224&lt;&gt;"=",GY224&gt;0,COUNTIFS(Линии[_модуль гр.],HH224,Линии[Канал (итог)],HJ224,Линии[Канал],"&lt;&gt;=",Линии[Щит],A224)&gt;1),"ДУБЛЬ КАНАЛА","")))</f>
        <v/>
      </c>
      <c r="HS224" s="6" t="str">
        <f t="shared" si="516"/>
        <v/>
      </c>
      <c r="HT224">
        <f t="shared" si="517"/>
        <v>10</v>
      </c>
      <c r="HU224" t="str">
        <f t="shared" si="518"/>
        <v/>
      </c>
      <c r="HV224">
        <f t="shared" si="519"/>
        <v>0</v>
      </c>
      <c r="HW224">
        <f t="shared" si="520"/>
        <v>0</v>
      </c>
      <c r="HX224">
        <f t="shared" si="521"/>
        <v>0</v>
      </c>
      <c r="HY224">
        <f t="shared" si="522"/>
        <v>0</v>
      </c>
      <c r="HZ224">
        <f t="shared" si="523"/>
        <v>0</v>
      </c>
      <c r="IA224">
        <f t="shared" si="524"/>
        <v>0</v>
      </c>
      <c r="IB224">
        <f t="shared" si="525"/>
        <v>0</v>
      </c>
      <c r="IC224" t="str">
        <f t="shared" si="526"/>
        <v/>
      </c>
      <c r="ID224" t="str" cm="1">
        <f t="array" ref="ID224">IF(IC224="","",_xlfn.LET(_xlpm.tk,_xlfn.TEXTSPLIT(SUBSTITUTE(SUBSTITUTE(IC224,";"," "),"→"," ")," ",,TRUE),_xlpm.w_,_xlfn._xlws.FILTER(_xlpm.tk,ISNUMBER(--LEFT(_xlpm.tk,1))*((ISNUMBER(SEARCH("W",_xlpm.tk))+ISNUMBER(SEARCH("Вт",_xlpm.tk)))&gt;0),""),IFERROR(--SUBSTITUTE(SUBSTITUTE(UPPER(INDEX(_xlpm.w_,1)),"W",""),"ВТ",""),"")))</f>
        <v/>
      </c>
      <c r="IE224" t="str" cm="1">
        <f t="array" ref="IE224">IF(IC224="","",_xlfn.LET(_xlpm.tk,_xlfn.TEXTSPLIT(SUBSTITUTE(SUBSTITUTE(IC224,";"," "),"→"," ")," ",,TRUE),_xlpm.v_,_xlfn._xlws.FILTER(_xlpm.tk,ISNUMBER(--LEFT(_xlpm.tk,1))*((ISNUMBER(SEARCH("V",_xlpm.tk))+(RIGHT(UPPER(_xlpm.tk))="В"))&gt;0),""),IFERROR(--SUBSTITUTE(SUBSTITUTE(UPPER(INDEX(_xlpm.v_,1)),"V",""),"В",""),"")))</f>
        <v/>
      </c>
      <c r="IF224" s="6" t="str">
        <f>IF(OR(BV224=0,HI224="",HJ224=""),"",IFERROR(N(_xlfn.XLOOKUP(HI224,Каталог!$C$4:$C$500,Каталог!$Q$4:$Q$500)),""))</f>
        <v/>
      </c>
      <c r="IG224" s="6" t="str">
        <f>IF(N(IF224)=0,"",SUMIFS(Линии[Iр, А],Линии[Щит],A224,Линии[_модуль гр.],HH224,Линии[Канал (итог)],HJ224))</f>
        <v/>
      </c>
      <c r="IH224" t="str">
        <f>IF(AND(B224="",HO224=""),"",_xlfn.TEXTJOIN("; ",TRUE,IF(AND(B224&lt;&gt;"",FV224=""),"нет фазы",""),IF(AND(B224&lt;&gt;"",N(GL224)=0,FG224&lt;&gt;"Нет"),"нет мощности",""),IF(AND(HN224&lt;&gt;"",COUNTIFS(Линии[Щит],A224,Линии[Клемма (итог)],HN224)&gt;1),"дубль клеммы "&amp;HN224,""),IF(AND(HQ224&lt;&gt;"",HQ224&lt;&gt;"ok"),HQ224,""),IF(HR224&lt;&gt;"",HR224,""),IF(AND(N(CB224)&gt;=4,N(BX224)=1),CB224&amp;" жил на 1 фазе",""),IF(AND(BC224="R",CG224=1,IF(CS224&lt;&gt;"",N(CV224)&gt;30,OR(N(DA224)=0,N(DA224)&gt;30))),"розетка без дифзащиты до 30 мА",""),IF(AND(CG224=1,N(DA224)&gt;0,ISNUMBER(T224)),IF(T224&gt;N(DA224)/3,"ток утечки "&amp;FIXED(T224,1)&amp;" мА &gt; 1/3 уставки ("&amp;DA224&amp;" мА)",""),""),IF(AND(CH224=1,CS224=""),"«узо»: нет строки с УЗО выше (УЗО 2P 40А 30мА в «Аппаратах»)",""),IF(AND(CS224&lt;&gt;"",CS224=BA224),IF(CT224="","впишите номинал УЗО (УЗО 2P 40А 30мА)",IF(N(CT224)&lt;N(DT224),"УЗО "&amp;CT224&amp;" А &lt; автомата "&amp;DT224&amp;" А перед ним",IF(N(CT224)&lt;N(CX224),"УЗО "&amp;CT224&amp;" А &lt; тока блока "&amp;FIXED(CX224,1)&amp;" А",""))),""),IF(AND(CS224&lt;&gt;"",CS224=BA224,ISNUMBER(CY224)),IF(CY224&gt;N(CV224)/3,"ток утечки блока УЗО "&amp;FIXED(CY224,1)&amp;" мА &gt; 1/3 уставки ("&amp;CV224&amp;" мА)",""),""),IF(AND(CG224=1,N(BV224)+N(IB224)&gt;0,IC224=""),"линии до 50 В без БП: впишите в «Аппараты» (БП 24V 480W)",""),IF(AND(CG224=1,ISNUMBER(ID224),ISNUMBER(U224)),IF(U224&gt;ID224,"БП "&amp;ID224&amp;" Вт &lt; нужно "&amp;U224&amp;" Вт (×"&amp;Запас_БП&amp;")",""),""),IF(AND(CG224=1,ISNUMBER(IE224),N(BV224)=1),IF(IE224&lt;&gt;N(BU224),"БП на "&amp;IE224&amp;" В, линия "&amp;BU224&amp;" В",""),""),IF(AND(N(IF224)&gt;0,N(IG224)&gt;N(IF224)),HH224&amp;" канал "&amp;HJ224&amp;": "&amp;FIXED(IG224,1)&amp;" А &gt; "&amp;IF224&amp;" А",""),IFERROR(IF(AND(ISNUMBER(Q224),Q224&gt;EL224),"потери "&amp;FIXED(Q224,1)&amp;" % &gt; "&amp;EL224&amp;" %",""),""),IFERROR(IF(LEFT(HU224,4)="мало","Iкз мало — отключение &gt; 0,4 с",""),""),IF(AND(B224&lt;&gt;"",BM224=""),"не на схеме",""),IF(AND(CG224=0,B224&lt;&gt;"",FV224&lt;&gt;"",IF(BA224=1,"",FW223)&lt;&gt;"",FV224&lt;&gt;IF(BA224=1,"",FW223)),"фаза не как у автомата группы ("&amp;IF(BA224=1,"",FW223)&amp;")","")))</f>
        <v/>
      </c>
      <c r="II224" s="6" t="str">
        <f>IF(OR(CG224=0,DQ224=""),"",_xlfn.LET(_xlpm.t,IFERROR(_xlfn.XLOOKUP(DQ224,Каталог!$U$4:$U$500,Каталог!$G$4:$G$500),""),_xlpm.k,SEARCH("кА",_xlpm.t),IFERROR(--TRIM(RIGHT(SUBSTITUTE(MID(_xlpm.t,MAX(1,_xlpm.k-4),_xlpm.k-MAX(1,_xlpm.k-4))," ",REPT(" ",9)),5)),"")))</f>
        <v/>
      </c>
      <c r="IJ224" t="str">
        <f>IF(OR(II224="",CG224=0),"",IF(_xlfn.XLOOKUP(A224,Щиты[Щит],Щиты[Iкз max на шинах, кА],"")="","",IF(II224&lt;_xlfn.XLOOKUP(A224,Щиты[Щит],Щиты[Iкз max на шинах, кА]),"Icu "&amp;II224&amp;" кА &lt; Iкз max","ok")))</f>
        <v/>
      </c>
      <c r="IK224" t="str">
        <f t="shared" si="527"/>
        <v/>
      </c>
      <c r="IL224" t="str">
        <f t="shared" si="528"/>
        <v/>
      </c>
      <c r="IM224" t="str">
        <f t="shared" si="529"/>
        <v/>
      </c>
      <c r="IN224" t="str" cm="1">
        <f t="array" ref="IN224">IF(IM224="","",_xlfn.LET(_xlpm.nd,_xlfn.TEXTSPLIT(IM224,"|"),IF(COLUMNS(_xlpm.nd)&gt;1,A224&amp;"¦"&amp;INDEX(_xlpm.nd,1)&amp;"¦"&amp;INDEX(_xlpm.nd,2),"")))</f>
        <v/>
      </c>
      <c r="IO224" t="str">
        <f t="shared" si="530"/>
        <v/>
      </c>
      <c r="IP224" t="str" cm="1">
        <f t="array" ref="IP224">IF(IM224="","",_xlfn.LET(_xlpm.nd,_xlfn.TEXTSPLIT(IM224,"|"),IF(COLUMNS(_xlpm.nd)&gt;2,A224&amp;"¦"&amp;INDEX(_xlpm.nd,2)&amp;"¦"&amp;INDEX(_xlpm.nd,3),"")))</f>
        <v/>
      </c>
      <c r="IQ224" t="str">
        <f t="shared" si="531"/>
        <v/>
      </c>
      <c r="IR224" t="str" cm="1">
        <f t="array" ref="IR224">IF(IM224="","",_xlfn.LET(_xlpm.nd,_xlfn.TEXTSPLIT(IM224,"|"),IF(COLUMNS(_xlpm.nd)&gt;3,A224&amp;"¦"&amp;INDEX(_xlpm.nd,3)&amp;"¦"&amp;INDEX(_xlpm.nd,4),"")))</f>
        <v/>
      </c>
      <c r="IS224" t="str">
        <f t="shared" si="532"/>
        <v/>
      </c>
      <c r="IT224" t="str" cm="1">
        <f t="array" ref="IT224">IF(IM224="","",_xlfn.LET(_xlpm.nd,_xlfn.TEXTSPLIT(IM224,"|"),IF(COLUMNS(_xlpm.nd)&gt;4,A224&amp;"¦"&amp;INDEX(_xlpm.nd,4)&amp;"¦"&amp;INDEX(_xlpm.nd,5),"")))</f>
        <v/>
      </c>
      <c r="IU224" t="str">
        <f t="shared" si="533"/>
        <v/>
      </c>
      <c r="IV224" t="str" cm="1">
        <f t="array" ref="IV224">IF(IM224="","",_xlfn.LET(_xlpm.nd,_xlfn.TEXTSPLIT(IM224,"|"),IF(COLUMNS(_xlpm.nd)&gt;5,A224&amp;"¦"&amp;INDEX(_xlpm.nd,5)&amp;"¦"&amp;INDEX(_xlpm.nd,6),"")))</f>
        <v/>
      </c>
      <c r="IW224" t="str">
        <f t="shared" si="534"/>
        <v/>
      </c>
      <c r="IX224" t="str" cm="1">
        <f t="array" ref="IX224">IF(IM224="","",_xlfn.LET(_xlpm.nd,_xlfn.TEXTSPLIT(IM224,"|"),IF(COLUMNS(_xlpm.nd)&gt;6,A224&amp;"¦"&amp;INDEX(_xlpm.nd,6)&amp;"¦"&amp;INDEX(_xlpm.nd,7),"")))</f>
        <v/>
      </c>
      <c r="IY224" t="str">
        <f t="shared" si="535"/>
        <v/>
      </c>
      <c r="IZ224" t="str">
        <f t="shared" si="536"/>
        <v/>
      </c>
      <c r="JA224" t="str">
        <f t="shared" si="537"/>
        <v/>
      </c>
      <c r="JB224">
        <f t="shared" si="538"/>
        <v>0</v>
      </c>
      <c r="JC224">
        <f t="shared" si="539"/>
        <v>0</v>
      </c>
      <c r="JD224" t="str">
        <f t="shared" si="540"/>
        <v/>
      </c>
      <c r="JE224" t="str">
        <f t="shared" si="541"/>
        <v/>
      </c>
      <c r="JF224" t="str">
        <f t="shared" si="542"/>
        <v/>
      </c>
      <c r="JG224" t="str">
        <f t="shared" si="543"/>
        <v/>
      </c>
      <c r="JH224">
        <f>IF(B224="","",IFERROR(_xlfn.XLOOKUP(B224,Коды_код,Коды_уго),IFERROR(_xlfn.XLOOKUP(BC224,Коды_код,Коды_уго),IFERROR(_xlfn.XLOOKUP(LEFT(BC224,2),Коды_код,Коды_уго),""))))</f>
        <v>0</v>
      </c>
      <c r="JI224" t="str">
        <f>IF(B224="","",IF(OR(JH224="",JH224=0),"BOX",IFERROR(IF(VLOOKUP(JH224,УГО_блоки,3,FALSE)&amp;""&lt;&gt;"",VLOOKUP(JH224,УГО_блоки,3,FALSE),VLOOKUP(JH224,УГО_блоки,2,FALSE)),JH224)))</f>
        <v>BOX</v>
      </c>
      <c r="JJ224">
        <f t="shared" si="544"/>
        <v>1</v>
      </c>
      <c r="JK224" t="str">
        <f>IF(DQ224="","",IF(COUNTIF(DQ$3:DQ224,DQ224)=1,MAX(JK$2:JK223)+1,""))</f>
        <v/>
      </c>
      <c r="JL224" t="str">
        <f>IF(DE224="","",IF(COUNTIF(DE$3:DE224,DE224)+COUNTIF(DF$2:DF223,DE224)+COUNTIF(DG$2:DG223,DE224)=1,MAX(JL$2:JN223)+1,""))</f>
        <v/>
      </c>
      <c r="JM224" t="str">
        <f>IF(DF224="","",IF(COUNTIF(DE$3:DE224,DF224)+COUNTIF(DF$3:DF224,DF224)+COUNTIF(DG$2:DG223,DF224)=1,MAX(JL$2:JN223,JL224)+1,""))</f>
        <v/>
      </c>
      <c r="JN224" t="str">
        <f>IF(DG224="","",IF(COUNTIF(DE$3:DE224,DG224)+COUNTIF(DF$3:DF224,DG224)+COUNTIF(DG$3:DG224,DG224)=1,MAX(JL$2:JN223,JL224,JM224)+1,""))</f>
        <v/>
      </c>
      <c r="JO224" t="str">
        <f t="shared" si="545"/>
        <v/>
      </c>
      <c r="JP224" t="str">
        <f>IF(JO224="","",IF(COUNTIF(JO$3:JO224,JO224)=1,MAX(JP$2:JP223)+1,""))</f>
        <v/>
      </c>
      <c r="JQ224" t="str">
        <f>IF(HG224="","",COUNTIF(HG$3:HG224,"?*"))</f>
        <v/>
      </c>
      <c r="JR224" t="str">
        <f>IF(OR(HG224="",HI224=""),"",IF(COUNTIFS(HG$3:HG224,"?*",HI$3:HI224,HI224)=1,MAX(JR$2:JR223)+1,""))</f>
        <v/>
      </c>
      <c r="JS224">
        <f t="shared" si="546"/>
        <v>0</v>
      </c>
      <c r="JT224">
        <f>IF(B224="","",COUNTIF(B$3:B224,"?*"))</f>
        <v>222</v>
      </c>
      <c r="JU224">
        <f>IF(HL224&lt;&gt;1,0,_xlfn.LET(_xlpm.k,MAX(IFERROR(--_xlfn.XLOOKUP(B224,Коды_код,Коды_3L),0),IFERROR(--_xlfn.XLOOKUP(BC224,Коды_код,Коды_3L),0),IFERROR(--_xlfn.XLOOKUP(LEFT(BC224,2),Коды_код,Коды_3L),0)),IF(_xlpm.k&gt;0,_xlpm.k,IF(IFERROR(--LEFT(SUBSTITUTE(JO224,"x","х"),FIND("х",SUBSTITUTE(JO224,"x","х"))-1),3)&gt;3,Каталог!$S$9,1))))</f>
        <v>0</v>
      </c>
      <c r="JV224">
        <f t="shared" si="547"/>
        <v>0</v>
      </c>
      <c r="JW224" t="str">
        <f t="shared" si="548"/>
        <v>авто</v>
      </c>
      <c r="JX224" t="str">
        <f t="shared" si="549"/>
        <v/>
      </c>
      <c r="JY224">
        <f t="shared" si="550"/>
        <v>0</v>
      </c>
      <c r="JZ224">
        <f t="shared" si="551"/>
        <v>1</v>
      </c>
    </row>
    <row r="225" spans="1:286" x14ac:dyDescent="0.3">
      <c r="A225" t="s">
        <v>757</v>
      </c>
      <c r="B225" t="s">
        <v>1531</v>
      </c>
      <c r="C225" t="str">
        <f>Линии[[#This Row],[_авто наименование]]</f>
        <v>Розеточная группа, пом. 001A</v>
      </c>
      <c r="D225">
        <v>6</v>
      </c>
      <c r="E225">
        <v>0.36</v>
      </c>
      <c r="G225" t="str">
        <f>Линии[[#This Row],[_авто автомат]]</f>
        <v>2P С16А 30мА</v>
      </c>
      <c r="H225" t="str">
        <f>Линии[[#This Row],[_авто управление]]</f>
        <v/>
      </c>
      <c r="I225" t="str">
        <f>Линии[[#This Row],[_авто аппараты]]</f>
        <v/>
      </c>
      <c r="J225">
        <v>2.5</v>
      </c>
      <c r="K225">
        <v>48</v>
      </c>
      <c r="L225">
        <v>3</v>
      </c>
      <c r="M225" t="str">
        <f>Линии[[#This Row],[_авто клемма]]</f>
        <v>XT1</v>
      </c>
      <c r="N225" t="str">
        <f t="shared" si="414"/>
        <v/>
      </c>
      <c r="O225" s="6" cm="1">
        <f t="array" ref="O225">IF(B225="","",IF(BH225&lt;&gt;"",IFERROR(_xlfn.XLOOKUP(BH225,Щиты[Щит],Щиты[Iр, А]),""),IF(BP225=1,IF(OR(N(_xlfn.XLOOKUP(A225,Щиты[Щит],Щиты[Вводов],1))&lt;=1,LOWER(TRIM(_xlfn.XLOOKUP(A225,Щиты[Щит],Щиты[АВР],"")&amp;""))="да"),IFERROR(_xlfn.XLOOKUP(A225,Щиты[Щит],Щиты[Iр, А]),""),IFERROR(N(BS225)*_xlfn.XLOOKUP(A225,Щиты[Щит],Щиты[Кс итог])/(SQRT(3)*Uн_лин*_xlfn.XLOOKUP(A225,Щиты[Щит],Щиты[cos φ])),"")),IF(BV225=1,IFERROR(BS225*1000/BU225,""),IFERROR(_xlfn.IFS(BX225=1,BS225/((Uн_лин/SQRT(3))*CE225),BX225=3,BS225/(SQRT(3)*Uн_лин*CE225)),"")))))</f>
        <v>1.6408902387494626</v>
      </c>
      <c r="P225" s="7">
        <f>IF(B225="","",IFERROR(IF(VLOOKUP(BC225,Потребители_обозначение,4,FALSE)=1,VLOOKUP(BC225,Потребители_обозначение,3,FALSE)*(MAX(1,N(D225))*2-1)+EI225+VLOOKUP(BE225,Этаж_обозначение,3,FALSE)+VLOOKUP(BE225,Этаж_обозначение,4,FALSE),VLOOKUP(BC225,Потребители_обозначение,3,FALSE)*(MAX(1,N(D225))*2-1)+EI225),EI225))</f>
        <v>81</v>
      </c>
      <c r="Q225" s="6">
        <f t="shared" si="415"/>
        <v>2.1799999999999997</v>
      </c>
      <c r="R225" t="str">
        <f t="shared" si="416"/>
        <v>ВВГнг(А)-LS (3х2,5)</v>
      </c>
      <c r="S225" t="str">
        <f>IF(BM225="","",IF(BN225="вводной узел","узел ","")&amp;"л."&amp;(INT((BM225-1)/Столбцов_на_лист)+1)&amp;" / "&amp;(MOD(BM225-1,Столбцов_на_лист)+1))</f>
        <v>л.1 / 9</v>
      </c>
      <c r="T225" s="119">
        <f t="shared" si="417"/>
        <v>1.5</v>
      </c>
      <c r="U225" s="7" t="str">
        <f>IF(OR(CG225=0,N(BV225)+N(IB225)=0),"",ROUNDUP(Запас_БП*(N(HY225)+N(HZ225)),0))</f>
        <v/>
      </c>
      <c r="V225" s="119" t="str">
        <f t="shared" si="418"/>
        <v/>
      </c>
      <c r="W225" s="7" t="str">
        <f>IFERROR(IF(OR(B225="",BP225=1,BV225=1,NOT(ISNUMBER(EN225)),N(DT225)=0),"",MAX(0,ROUNDDOWN((c_min*(Uн_лин*1000/SQRT(3))/(HT225*N(DT225))-_xlfn.XLOOKUP(A225,Щиты[Щит],Щиты[Zпетли на шинах, Ом]))*EN225/(2*ρкз_Cu),0))),"")</f>
        <v/>
      </c>
      <c r="Y225">
        <f>Линии[[#This Row],[_авто утечка]]</f>
        <v>30</v>
      </c>
      <c r="Z225">
        <v>1</v>
      </c>
      <c r="AA225">
        <v>230</v>
      </c>
      <c r="AB225" t="s">
        <v>562</v>
      </c>
      <c r="AG225" t="s">
        <v>810</v>
      </c>
      <c r="AI225" t="s">
        <v>561</v>
      </c>
      <c r="AK225" t="str">
        <f>Линии[[#This Row],[_авто модуль]]</f>
        <v/>
      </c>
      <c r="AM225">
        <v>9</v>
      </c>
      <c r="AN225" t="s">
        <v>11</v>
      </c>
      <c r="AO225">
        <v>3</v>
      </c>
      <c r="AQ225">
        <v>0</v>
      </c>
      <c r="AR225">
        <v>0</v>
      </c>
      <c r="AS225">
        <v>48</v>
      </c>
      <c r="BA225" cm="1">
        <f t="array" ref="BA225">ROW()-ROW(Линии[#Headers])</f>
        <v>223</v>
      </c>
      <c r="BC225" s="6" t="str">
        <f t="shared" si="419"/>
        <v>R</v>
      </c>
      <c r="BD225" t="str">
        <f t="shared" si="420"/>
        <v>1.001A.1</v>
      </c>
      <c r="BE225" t="str">
        <f t="shared" si="421"/>
        <v>1</v>
      </c>
      <c r="BF225" t="str">
        <f t="shared" si="422"/>
        <v>001A.1</v>
      </c>
      <c r="BG225" t="str">
        <f t="shared" si="423"/>
        <v>001A</v>
      </c>
      <c r="BH225" t="str">
        <f>IF(X225&lt;&gt;"",X225,IF(AND(B225&lt;&gt;"",B225&lt;&gt;A225,ISNUMBER(_xlfn.XMATCH(B225,Щиты[Щит]))),B225,""))</f>
        <v/>
      </c>
      <c r="BI225" t="str" cm="1">
        <f t="array" ref="BI225">IF(B225="","",IF(BH225&lt;&gt;"","Щит "&amp;BH225,_xlfn.LET(_xlpm.nm,IFERROR(_xlfn.XLOOKUP(BC225,Коды_код,Коды_имя)&amp;"",""),_xlpm.md,IFERROR(N(_xlfn.XLOOKUP(BC225,Коды_код,Коды_режим)),1),_xlpm.ex,IF(Имя_режим="по экспликации",IFERROR(_xlfn.XLOOKUP(BE225&amp;"|"&amp;BG225,Экспликация[Этаж]&amp;"|"&amp;Экспликация[Помещение],Экспликация[Название])&amp;"",""),""),_xlpm.rm,IF(BG225="","",IF(_xlpm.ex&lt;&gt;"",". "&amp;_xlpm.ex&amp;IF(Имя_пом="нет"," ("&amp;BG225&amp;")"," (пом. "&amp;BG225&amp;")"),IF(Имя_пом="нет"," ",", пом. ")&amp;BG225)),IF(_xlpm.nm="","",IF(_xlpm.md=2,_xlpm.nm&amp;" шлейф "&amp;BE225,_xlpm.nm&amp;_xlpm.rm)))))</f>
        <v>Розеточная группа, пом. 001A</v>
      </c>
      <c r="BJ225" t="str">
        <f t="shared" si="424"/>
        <v>Розеточная группа, пом. 001A</v>
      </c>
      <c r="BK225">
        <f>IFERROR(_xlfn.XMATCH(A225,Щиты[Щит]),0)</f>
        <v>10</v>
      </c>
      <c r="BL225">
        <f>_xlfn.LET(_xlpm.k,IFERROR(_xlfn.XLOOKUP(A225,Щиты[Щит],Щиты[Мест под вводной узел]),""),IF(_xlpm.k="",Столбцов_на_лист,N(_xlpm.k)))</f>
        <v>8</v>
      </c>
      <c r="BM225">
        <f t="shared" si="425"/>
        <v>9</v>
      </c>
      <c r="BN225" t="str">
        <f t="shared" si="426"/>
        <v>линии</v>
      </c>
      <c r="BO225" s="6">
        <f>IFERROR(N(_xlfn.XLOOKUP(BC225,Коды_код,Коды_квт)),0)</f>
        <v>0</v>
      </c>
      <c r="BP225">
        <f t="shared" si="427"/>
        <v>0</v>
      </c>
      <c r="BQ225" t="str">
        <f>IF(B225="","",IF(BH225&lt;&gt;"",IFERROR(_xlfn.XLOOKUP(BH225,Щиты[Щит],Щиты[Руст, кВт]),0),IF(BP225=1,IF(OR(N(_xlfn.XLOOKUP(A225,Щиты[Щит],Щиты[Вводов],1))&lt;=1,LOWER(TRIM(_xlfn.XLOOKUP(A225,Щиты[Щит],Щиты[АВР],"")&amp;""))="да"),IFERROR(_xlfn.XLOOKUP(A225,Щиты[Щит],Щиты[Руст, кВт]),0),SUMIFS(Линии[_Р для вводов],Линии[Щит],A225,Линии[Источник для режимов],GF225)),IF(BO225&gt;0,ROUND(BO225*MAX(1,N(D225)),3),""))))</f>
        <v/>
      </c>
      <c r="BR225">
        <f t="shared" si="428"/>
        <v>0.36</v>
      </c>
      <c r="BS225" s="6">
        <f>IF(B225="","",IF(BH225&lt;&gt;"",IFERROR(_xlfn.XLOOKUP(BH225,Щиты[Щит],Щиты[Руст, кВт]),0),N(BR225)))</f>
        <v>0.36</v>
      </c>
      <c r="BT225" t="str">
        <f>IF(B225="","",IFERROR(IF(VLOOKUP(BC225,Потребители_обозначение,8,FALSE)=0,"",VLOOKUP(BC225,Потребители_обозначение,8,FALSE)),""))</f>
        <v/>
      </c>
      <c r="BU225">
        <f t="shared" si="429"/>
        <v>230</v>
      </c>
      <c r="BV225">
        <f t="shared" si="430"/>
        <v>0</v>
      </c>
      <c r="BW225">
        <f>IF(B225="","",IF(BH225&lt;&gt;"",3,IFERROR(IF(N(VLOOKUP(BC225,Потребители_обозначение,9,FALSE))=0,1,VLOOKUP(BC225,Потребители_обозначение,9,FALSE)),1)))</f>
        <v>1</v>
      </c>
      <c r="BX225">
        <f t="shared" si="431"/>
        <v>1</v>
      </c>
      <c r="BY225" t="str">
        <f>IF(B225="","",_xlfn.LET(_xlpm.bc,IFERROR(IF(VLOOKUP(BC225,Потребители_обозначение,6,FALSE)=0,"",VLOOKUP(BC225,Потребители_обозначение,6,FALSE)&amp;""),""),IF(AND(GA225="да",OR(_xlpm.bc="",_xlpm.bc="мс")),Марка_пож,IF(AND(_xlpm.bc="",BH225&lt;&gt;""),"мс",_xlpm.bc))))</f>
        <v/>
      </c>
      <c r="BZ225" t="str">
        <f t="shared" si="432"/>
        <v>мс</v>
      </c>
      <c r="CA225">
        <f>IF(B225="","",_xlfn.LET(_xlpm.cc,IFERROR(N(VLOOKUP(BC225,Потребители_обозначение,7,FALSE)),0),IF(_xlpm.cc&gt;0,_xlpm.cc,IF(BZ225="","",IF(BV225=1,2,IF(N(BX225)=3,5,3))))))</f>
        <v>3</v>
      </c>
      <c r="CB225">
        <f t="shared" si="433"/>
        <v>3</v>
      </c>
      <c r="CC225">
        <f>IFERROR(N(VLOOKUP(BC225,Потребители_обозначение,10,FALSE)),0)</f>
        <v>0</v>
      </c>
      <c r="CD225">
        <f>IFERROR(VLOOKUP(BC225,Потребители_обозначение,5,FALSE),0)</f>
        <v>1</v>
      </c>
      <c r="CE225" s="6" cm="1">
        <f t="array" ref="CE225">IF(B225="","",IF(BH225&lt;&gt;"",IFERROR(_xlfn.XLOOKUP(BH225,Щиты[Щит],Щиты[cos φ]),0.95),IF(BP225=1,IFERROR(_xlfn.XLOOKUP(A225,Щиты[Щит],Щиты[cos φ]),0.95),IF(ISNUMBER(AD225),AD225,IFERROR(IF(CD225=2,_xlfn.IFS(BX225=3,VLOOKUP(BS225,Справочная_двигатели,8,FALSE),BX225=1,VLOOKUP(BS225,Справочная_двигатели,10,TRUE)),IF(AND(Методика="нормы 2026",FG225="Сил"),0.8,0.95)),0.95)))))</f>
        <v>0.95</v>
      </c>
      <c r="CF225">
        <f t="shared" si="434"/>
        <v>0</v>
      </c>
      <c r="CG225">
        <f t="shared" si="435"/>
        <v>1</v>
      </c>
      <c r="CH225">
        <f t="shared" si="436"/>
        <v>0</v>
      </c>
      <c r="CI225">
        <f>IF(B225="","",IF(BV225=1,IFERROR(BS225/((Uн_лин/SQRT(3))*MAX(0.5,N(CE225))),0),N(O225)))</f>
        <v>1.6408902387494626</v>
      </c>
      <c r="CJ225">
        <f t="shared" si="437"/>
        <v>0</v>
      </c>
      <c r="CK225">
        <f t="shared" si="438"/>
        <v>0</v>
      </c>
      <c r="CL225">
        <f t="shared" si="439"/>
        <v>0</v>
      </c>
      <c r="CM225">
        <f t="shared" si="440"/>
        <v>0</v>
      </c>
      <c r="CN225">
        <f t="shared" si="441"/>
        <v>0</v>
      </c>
      <c r="CO225">
        <f>IF(BC225="",0,_xlfn.LET(_xlpm.v,IFERROR(_xlfn.XLOOKUP(B225,Коды_код,Коды_мА),IFERROR(_xlfn.XLOOKUP(BC225,Коды_код,Коды_мА),IFERROR(_xlfn.XLOOKUP(LEFT(BC225,2),Коды_код,Коды_мА),""))),IF(_xlpm.v="да",30,IF(ISNUMBER(_xlpm.v),_xlpm.v,0))))</f>
        <v>30</v>
      </c>
      <c r="CP225">
        <f t="shared" si="442"/>
        <v>30</v>
      </c>
      <c r="CQ225" t="str">
        <f>_xlfn.LET(_xlpm.k,IFERROR(_xlfn.XLOOKUP(BC225,Коды_код,Коды_утечка)&amp;"",""),IF(_xlpm.k="","дифавтомат",_xlpm.k))</f>
        <v>дифавтомат</v>
      </c>
      <c r="CR225" t="str" cm="1">
        <f t="array" ref="CR225">IF(CG225=0,"",_xlfn.LET(_xlpm.sg,TRIM(_xlfn.TEXTSPLIT(DD225&amp;"",";")),_xlpm.f_,_xlfn._xlws.FILTER(_xlpm.sg,LEFT(_xlpm.sg,3)="УЗО",""),IFERROR(INDEX(_xlpm.f_,1)&amp;"","")))</f>
        <v/>
      </c>
      <c r="CS225" t="str">
        <f t="shared" si="443"/>
        <v/>
      </c>
      <c r="CT225" s="6" t="str" cm="1">
        <f t="array" ref="CT225">IF(CR225="","",_xlfn.LET(_xlpm.tk,_xlfn.TEXTSPLIT(UPPER(CR225)," ",,TRUE),_xlpm.a_,_xlfn._xlws.FILTER(_xlpm.tk,ISNUMBER(--LEFT(_xlpm.tk,1))*((ISNUMBER(SEARCH("А",_xlpm.tk))+ISNUMBER(SEARCH("A",_xlpm.tk)))&gt;0)*NOT(ISNUMBER(SEARCH("МА",_xlpm.tk)))*NOT(ISNUMBER(SEARCH("MA",_xlpm.tk))),""),IFERROR(--SUBSTITUTE(SUBSTITUTE(INDEX(_xlpm.a_,1),"А",""),"A",""),"")))</f>
        <v/>
      </c>
      <c r="CU225" t="str" cm="1">
        <f t="array" ref="CU225">IF(CR225="","",_xlfn.LET(_xlpm.tk,_xlfn.TEXTSPLIT(UPPER(CR225)," ",,TRUE),_xlpm.a_,_xlfn._xlws.FILTER(_xlpm.tk,ISNUMBER(--LEFT(_xlpm.tk,1))*((ISNUMBER(SEARCH("МА",_xlpm.tk))+ISNUMBER(SEARCH("MA",_xlpm.tk)))&gt;0),""),IFERROR(--SUBSTITUTE(SUBSTITUTE(INDEX(_xlpm.a_,1),"МА",""),"MA",""),30)))</f>
        <v/>
      </c>
      <c r="CV225" t="str">
        <f>IF(CS225="","",IFERROR(_xlfn.XLOOKUP(CS225,Линии[_n],Линии[_УЗО, мА]),30))</f>
        <v/>
      </c>
      <c r="CW225">
        <f>IF(CS225="",0,IF(ISNUMBER(SEARCH("4P",IFERROR(_xlfn.XLOOKUP(CS225,Линии[_n],Линии[_УЗО строки])&amp;"",""))),0,1))</f>
        <v>0</v>
      </c>
      <c r="CX225" t="str">
        <f>IF(AND(CS225&lt;&gt;"",CS225=BA225),SUMIFS(Линии[_ток на 230 В],Линии[_блок УЗО],BA225,Линии[Щит],A225),"")</f>
        <v/>
      </c>
      <c r="CY225" t="str">
        <f>IF(AND(CS225&lt;&gt;"",CS225=BA225),SUMIFS(Линии[_ток утечки линии, мА],Линии[_блок УЗО],BA225,Линии[Щит],A225),"")</f>
        <v/>
      </c>
      <c r="CZ225">
        <f t="shared" si="444"/>
        <v>30</v>
      </c>
      <c r="DA225">
        <f t="shared" si="445"/>
        <v>30</v>
      </c>
      <c r="DB225">
        <f>IF(B225="",0,IFERROR(--_xlfn.XLOOKUP(B225,Коды_код,Коды_минавт),IFERROR(--_xlfn.XLOOKUP(BC225,Коды_код,Коды_минавт),IFERROR(--_xlfn.XLOOKUP(LEFT(BC225,2),Коды_код,Коды_минавт),0))))</f>
        <v>16</v>
      </c>
      <c r="DC225" t="str">
        <f>IF(B225="","",IFERROR(_xlfn.XLOOKUP(BC225,Коды_код,Коды_апп)&amp;"",""))</f>
        <v/>
      </c>
      <c r="DD225" t="str">
        <f t="shared" si="446"/>
        <v/>
      </c>
      <c r="DE225" t="str" cm="1">
        <f t="array" ref="DE225">IF(TRIM(DD225&amp;"")="","",IFERROR(TRIM(INDEX(_xlfn.TEXTSPLIT(DD225&amp;";;;",";"),1)),""))</f>
        <v/>
      </c>
      <c r="DF225" t="str" cm="1">
        <f t="array" ref="DF225">IF(TRIM(DD225&amp;"")="","",IFERROR(TRIM(INDEX(_xlfn.TEXTSPLIT(DD225&amp;";;;",";"),2)),""))</f>
        <v/>
      </c>
      <c r="DG225" t="str" cm="1">
        <f t="array" ref="DG225">IF(TRIM(DD225&amp;"")="","",IFERROR(TRIM(INDEX(_xlfn.TEXTSPLIT(DD225&amp;";;;",";"),3)),""))</f>
        <v/>
      </c>
      <c r="DH225">
        <f t="shared" si="447"/>
        <v>0</v>
      </c>
      <c r="DI225" t="str">
        <f>IF(B225="","",_xlfn.LET(_xlpm.t,LOWER(AZ225&amp;""),IF(ISNUMBER(SEARCH("dim",_xlpm.t)),"DIM",IF(ISNUMBER(SEARCH("dali",_xlpm.t)),"DALI",IF(OR(ISNUMBER(SEARCH("relay",_xlpm.t)),ISNUMBER(SEARCH("реле",_xlpm.t))),"Relay",IF(ISNUMBER(SEARCH("кнопк",_xlpm.t)),"",IFERROR(_xlfn.XLOOKUP(BC225,Коды_код,Коды_упр)&amp;"","")))))))</f>
        <v/>
      </c>
      <c r="DJ225" t="str">
        <f t="shared" si="448"/>
        <v/>
      </c>
      <c r="DK225">
        <f>IF(B225="","",_xlfn.LET(_xlpm.ig,IF(N(CX225)&gt;0,N(CX225),N(CI225)+IF(AJ225="вручную",0,N(CJ225))),_xlpm.n0,IFERROR(VLOOKUP(_xlpm.ig,Автомат_номиналы,2,TRUE),0),_xlpm.mn,MAX(DB225,IF(AJ225="вручную",0,N(CM225))),MAX(_xlpm.n0,_xlpm.mn,IF(DH225=1,Мин_автомат_БП,0))))</f>
        <v>16</v>
      </c>
      <c r="DL225">
        <f t="shared" si="449"/>
        <v>1</v>
      </c>
      <c r="DM225" t="str">
        <f t="shared" si="450"/>
        <v>2P</v>
      </c>
      <c r="DN225" t="str">
        <f>_xlfn.LET(_xlpm.cc,UPPER(TRIM(IFERROR(_xlfn.XLOOKUP(BC225,Коды_код,Коды_хар)&amp;"",""))),IF(OR(_xlpm.cc="B",_xlpm.cc="В"),"B",IF(_xlpm.cc="D","D","С")))</f>
        <v>С</v>
      </c>
      <c r="DO225" t="str">
        <f t="shared" si="451"/>
        <v>2P С16А 30мА</v>
      </c>
      <c r="DP225" t="str">
        <f t="shared" si="452"/>
        <v>2P С16А 30мА</v>
      </c>
      <c r="DQ225" t="str">
        <f t="shared" si="453"/>
        <v>2P С16А 30мА</v>
      </c>
      <c r="DR225" cm="1">
        <f t="array" ref="DR225">IF(DQ225="","",_xlfn.LET(_xlpm.t,SUBSTITUTE(SUBSTITUTE(SUBSTITUTE(UPPER(DQ225),"С","C"),"А","A"),"В","B"),_xlpm.tk,_xlfn.TEXTSPLIT(_xlpm.t," "),_xlpm.f,_xlfn._xlws.FILTER(_xlpm.tk,ISNUMBER(--MID(_xlpm.tk,2,1))*ISNUMBER(SEARCH(LEFT(_xlpm.tk,1)&amp;"#","B#C#D#"))*(LEN(_xlpm.tk)&gt;1),""),_xlpm.x,INDEX(_xlpm.f,1),IFERROR(--SUBSTITUTE(MID(_xlpm.x,2,9),"A",""),IFERROR(--SUBSTITUTE(INDEX(_xlfn._xlws.FILTER(_xlpm.tk,ISNUMBER(--SUBSTITUTE(_xlpm.tk,"A","")),""),1),"A",""),""))))</f>
        <v>16</v>
      </c>
      <c r="DS225" t="str">
        <f t="shared" si="454"/>
        <v>ok</v>
      </c>
      <c r="DT225">
        <f t="shared" si="455"/>
        <v>16</v>
      </c>
      <c r="DU225" t="str">
        <f t="shared" si="456"/>
        <v>2P С16А 30мА</v>
      </c>
      <c r="DV225">
        <f t="shared" si="457"/>
        <v>30</v>
      </c>
      <c r="DW225">
        <f t="shared" si="458"/>
        <v>1</v>
      </c>
      <c r="DX225">
        <f t="shared" si="459"/>
        <v>0</v>
      </c>
      <c r="DY225">
        <f t="shared" si="460"/>
        <v>1.6408902387494626</v>
      </c>
      <c r="DZ225">
        <f t="shared" si="461"/>
        <v>1</v>
      </c>
      <c r="EA225">
        <f>IF(ISNUMBER(AP225),AP225,К_прокл)</f>
        <v>1</v>
      </c>
      <c r="EB225">
        <f t="shared" si="462"/>
        <v>2</v>
      </c>
      <c r="EC225">
        <f>IFERROR(N(VLOOKUP(BZ225,Кабель_обозначение,3,FALSE)),1)</f>
        <v>1</v>
      </c>
      <c r="ED225">
        <f>IFERROR(N(_xlfn.XLOOKUP(A225,Щиты[Щит],Щиты[ΔU до шин, %])),0)</f>
        <v>1.19</v>
      </c>
      <c r="EE225" t="str">
        <f>IFERROR(_xlfn.XLOOKUP(A225,Щиты[Щит],Щиты[Zпетли на шинах, Ом]),"")</f>
        <v/>
      </c>
      <c r="EF225">
        <f>IFERROR(N(_xlfn.XLOOKUP(A225,Щиты[Щит],Щиты[ΔU до шин (подбор), %])),0)</f>
        <v>1.19</v>
      </c>
      <c r="EG225" t="str">
        <f>IFERROR(_xlfn.XLOOKUP(A225,Щиты[Щит],Щиты[Zпетли на шинах (подбор), Ом]),"")</f>
        <v/>
      </c>
      <c r="EH225" t="str">
        <f t="shared" si="463"/>
        <v/>
      </c>
      <c r="EI225">
        <f t="shared" si="464"/>
        <v>48</v>
      </c>
      <c r="EJ225">
        <f t="shared" si="465"/>
        <v>2</v>
      </c>
      <c r="EK225">
        <f t="shared" si="466"/>
        <v>0.31</v>
      </c>
      <c r="EL225" s="6">
        <f>IF(B225="","",IF(BV225=1,dU_LED,IF(IFERROR(_xlfn.XLOOKUP(BC225,Коды_код,Коды_уго),"")="Светильник",3,4)+IF(Методика="нормы 2026",MIN(0.5,MAX(0,N(P225)-100)*0.005),0)))</f>
        <v>4</v>
      </c>
      <c r="EM225" cm="1">
        <f t="array" ref="EM225">IF(OR(B225="",BZ225="",EC225&lt;&gt;1),"",_xlfn.LET(_xlpm.sz,Iдоп_S,_xlpm.t_,CHOOSE(EB225,Iдоп_1ж,Iдоп_2ж,Iдоп_3ж)*DZ225*EA225,_xlpm.dcx,BV225=1,_xlpm.inn,IF(_xlpm.dcx,N(O225),N(DT225)),_xlpm.smin,MAX(1.5,CC225),_xlpm.L_,N(P225)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225)/N(BU225)*100,999),IFERROR(N(EJ225)*(_xlpm.rho*_xlpm.L_/_xlpm.sz*N(CE225)+_xlpm.xx*_xlpm.L_*N(EK225)/1000)*N(O225)/((Uн_лин/SQRT(3))*1000)*100,999)),_xlpm.kz,IF(OR(_xlpm.dcx,DW225=1,NOT(ISNUMBER(EG225)),_xlpm.L_=0,_xlpm.inn=0),1,IFERROR(--(c_min*(Uн_лин*1000/SQRT(3))/(EG225+2*ρкз_Cu*_xlpm.L_/_xlpm.sz)&gt;=HT225*_xlpm.inn),0)),_xlpm.ok,IFERROR((_xlpm.sz&gt;=_xlpm.smin)*(_xlpm.t_&gt;=_xlpm.inn)*IF(_xlpm.L_&gt;0,(_xlpm.du_+IF(_xlpm.dcx,0,EF225)&lt;=EL225+0.00001),1)*_xlpm.kz,0),_xlpm.r_,_xlfn._xlws.FILTER(_xlpm.sz,_xlpm.ok,"не подобрано"),INDEX(_xlpm.r_,1)))</f>
        <v>1.5</v>
      </c>
      <c r="EN225">
        <f t="shared" si="467"/>
        <v>2.5</v>
      </c>
      <c r="EO225" cm="1">
        <f t="array" ref="EO225">IF(OR(B225="",BZ225="",EC225&lt;&gt;1),"",_xlfn.LET(_xlpm.sz,Iдоп_S,_xlpm.t_,CHOOSE(EB225,Iдоп_1ж,Iдоп_2ж,Iдоп_3ж)*DZ225*EA225,_xlpm.ok,IFERROR((_xlpm.sz&gt;=MAX(1.5,CC225))*(_xlpm.t_&gt;=N(DT225)),0),_xlpm.r_,_xlfn._xlws.FILTER(_xlpm.sz,_xlpm.ok,""),INDEX(_xlpm.r_,1)))</f>
        <v>1.5</v>
      </c>
      <c r="EP225" s="6" cm="1">
        <f t="array" ref="EP225">IFERROR(ROUNDUP(N(EJ225)*(_xlfn.XLOOKUP(EO225,INDEX(Кабель_сопротивление,0,1),INDEX(Кабель_сопротивление,0,3))*N(P225)/EO225*N(CE225)+_xlfn.XLOOKUP(EO225,INDEX(Кабель_сопротивление,0,1),INDEX(Кабель_сопротивление,0,2))*N(P225)*N(EK225)/1000)*N(O225)/((Uн_лин/SQRT(3))*1000)*100,2),"")</f>
        <v>1.65</v>
      </c>
      <c r="EQ225">
        <f>IFERROR(2*ρкз_Cu*N(P225)/EO225,"")</f>
        <v>2.8404000000000003</v>
      </c>
      <c r="ER225">
        <f>IFERROR(VLOOKUP(EN225,Кабель_сопротивление,3,FALSE),"")</f>
        <v>2.2499999999999999E-2</v>
      </c>
      <c r="ES225">
        <f>IFERROR(VLOOKUP(EN225,Кабель_сопротивление,2,FALSE),"")</f>
        <v>0.1</v>
      </c>
      <c r="ET225">
        <f t="shared" si="468"/>
        <v>0</v>
      </c>
      <c r="EU225">
        <f t="shared" si="469"/>
        <v>48</v>
      </c>
      <c r="EV225">
        <f t="shared" si="470"/>
        <v>2.2810376204708804</v>
      </c>
      <c r="EW225" s="6">
        <f>IFERROR(ROUNDUP(EV225/IF(BV225=1,BU225,(Uн_лин/SQRT(3))*1000)*100,2),"")</f>
        <v>0.99</v>
      </c>
      <c r="EX225" t="str">
        <f>IFERROR(VLOOKUP(BZ225,Кабель_обозначение,2,FALSE),"")</f>
        <v>ВВГнг(А)-LS</v>
      </c>
      <c r="EY225" t="str">
        <f t="shared" si="471"/>
        <v>ВВГнг(А)-LS (3х2,5)</v>
      </c>
      <c r="EZ225" t="str">
        <f t="shared" si="472"/>
        <v>ВВГнг(А)-LS (3х2,5)
L=81-0,99%</v>
      </c>
      <c r="FA225">
        <f>IFERROR(2*ρкз_Cu*P225/EN225,"")</f>
        <v>1.70424</v>
      </c>
      <c r="FB225">
        <f t="shared" si="473"/>
        <v>0.56700000000000006</v>
      </c>
      <c r="FC225" s="6" t="str">
        <f>IFERROR(IF(OR(B225="",BV225=1,NOT(ISNUMBER(EN225)),N(P225)=0),"",_xlfn.XLOOKUP(A225,Щиты[Щит],Щиты[Zпетли на шинах, Ом])+FA225),"")</f>
        <v/>
      </c>
      <c r="FD225" s="6" t="str">
        <f>IF(ISNUMBER(FC225),c_min*(Uн_лин*1000/SQRT(3))/FC225,"")</f>
        <v/>
      </c>
      <c r="FE225" s="6" t="str">
        <f>IFERROR(IF(OR(B225="",NOT(ISNUMBER(EN225))),"",1.05*(Uн_лин*1000/SQRT(3))/(_xlfn.XLOOKUP(A225,Щиты[Щит],Щиты[Zmax на шинах, Ом])+FB225)/1000),"")</f>
        <v/>
      </c>
      <c r="FF225" s="6" t="str">
        <f>IF(B225="","",IF(ISNUMBER(AC225),"Сил",IF(IFERROR(_xlfn.XLOOKUP(BC225,Коды_код,Коды_группа)&amp;"","")="","Быт",_xlfn.XLOOKUP(BC225,Коды_код,Коды_группа)&amp;"")))</f>
        <v>Быт</v>
      </c>
      <c r="FG225" s="6" t="str">
        <f t="shared" si="474"/>
        <v>Быт</v>
      </c>
      <c r="FH225" s="6">
        <f>IF(FG225="Щит","щит",IF(FG225="","",IF(FG225="Быт",IFERROR(_xlfn.XLOOKUP(A225,Щиты[Щит],Щиты[Кс быт]),1),IF(FG225="Сил",IF(ISNUMBER(AC225),AC225,IF(Методика="нормы 2026",IFERROR(_xlfn.XLOOKUP(A225,Щиты[Щит],Щиты[Кс силовых (табл. 7.5)]),1),1)),IF(OR(FG225="Пост",FG225="Отоп"),1,IF(FG225="ВНГ",0.7,0))))))</f>
        <v>0.57830000000000004</v>
      </c>
      <c r="FI225">
        <f>IF(FG225="","",IF(AND(BP225=1,TRIM(AE225&amp;"")=""),IF(COUNTIFS(Линии[Щит],A225,Линии[Секция (1/2/3)],"&gt;=2")&gt;0,MIN(3,MAX(1,IFERROR(--BD225,1))),1),IFERROR(MIN(3,MAX(1,INT(--AE225))),1)))</f>
        <v>1</v>
      </c>
      <c r="FJ225">
        <f t="shared" si="475"/>
        <v>0.36</v>
      </c>
      <c r="FK225">
        <f t="shared" si="476"/>
        <v>0.36</v>
      </c>
      <c r="FL225">
        <f t="shared" si="477"/>
        <v>0</v>
      </c>
      <c r="FM225">
        <f t="shared" si="478"/>
        <v>0</v>
      </c>
      <c r="FN225">
        <f t="shared" si="479"/>
        <v>0</v>
      </c>
      <c r="FO225">
        <f t="shared" si="480"/>
        <v>0</v>
      </c>
      <c r="FP225">
        <f t="shared" si="481"/>
        <v>0.36</v>
      </c>
      <c r="FQ225">
        <f t="shared" si="482"/>
        <v>0.36</v>
      </c>
      <c r="FR225">
        <f t="shared" si="483"/>
        <v>0.34199999999999997</v>
      </c>
      <c r="FS225">
        <f>IF(CG225=1,IF(AND(CH225=1,CW225=1),0,IF(AND(CS225&lt;&gt;"",CS225=BA225,CW225=1),SUMIFS(Линии[_Р линии, кВт],Линии[_блок УЗО],BA225,Линии[Щит],A225),N(BS225)+IF(AJ225="вручную",0,N(CK225)))),0)</f>
        <v>0.36</v>
      </c>
      <c r="FT225" t="str">
        <f t="shared" si="484"/>
        <v>L3</v>
      </c>
      <c r="FU225" t="str">
        <f>IF(B225="","",IF(CG225=0,IF(BA225=1,"",FW224),IF(AND(CH225=1,CW225=1,CS225&lt;&gt;""),IFERROR(_xlfn.XLOOKUP(CS225,Линии[_n],Линии[_фаза итог]),"L1"),IF(OR(N(DL225)&gt;=3,N(BX225)&gt;=3),"L1,L2,L3",IFERROR(_xlfn.TEXTBEFORE(_xlfn.TEXTAFTER(_xlfn.XLOOKUP(A225,Щиты[Щит],Щиты[_фазы авто]),";"&amp;BA225&amp;":"),";"),"L1")))))</f>
        <v>L1</v>
      </c>
      <c r="FV225" t="str">
        <f t="shared" si="485"/>
        <v>L3</v>
      </c>
      <c r="FW225" t="str">
        <f t="shared" si="486"/>
        <v>L3</v>
      </c>
      <c r="FX225" cm="1">
        <f t="array" ref="FX225">IFERROR(IF(CD225=2,_xlfn.IFS(BX225=3,VLOOKUP(BS225,Справочная_двигатели,3,FALSE),BX225=1,VLOOKUP(BS225,Справочная_двигатели,5,TRUE)),0),0)</f>
        <v>0</v>
      </c>
      <c r="FY225">
        <f>IFERROR(IF(CD225=3,VLOOKUP(BS225,Справочная_ЛЭД,2,TRUE),0),0)</f>
        <v>0</v>
      </c>
      <c r="FZ225" s="6">
        <f t="shared" si="487"/>
        <v>0</v>
      </c>
      <c r="GA225" t="str">
        <f>IF(B225="","",IF(TRIM(AH225&amp;"")&lt;&gt;"",IF(LOWER(TRIM(AH225&amp;""))="да","да","нет"),IF(IFERROR(_xlfn.XLOOKUP(BC225,Коды_код,Коды_пожарная),"")="да","да","нет")))</f>
        <v>нет</v>
      </c>
      <c r="GB225" t="str">
        <f t="shared" si="488"/>
        <v/>
      </c>
      <c r="GC225" t="str">
        <f t="shared" si="489"/>
        <v>основная</v>
      </c>
      <c r="GD225">
        <f>IF(AND(BP225=1,TRIM(AE225&amp;"")=""),IF(COUNTIFS(Линии[Щит],A225,Линии[Секция (1/2/3)],"&gt;=2")&gt;0,MIN(3,MAX(1,IFERROR(--BD225,1))),1),IFERROR(MIN(3,MAX(1,INT(--AE225))),1))</f>
        <v>1</v>
      </c>
      <c r="GE225" t="str" cm="1">
        <f t="array" ref="GE225">IF(B225="","",_xlfn.LET(_xlpm.t,IFERROR(_xlfn.XLOOKUP(1,(Шины[Шина]=GC225)*(((Шины[Щит]=A225)+(Шины[Щит]=""))&gt;0),Шины[Тип]),"")&amp;"",IF(_xlpm.t&lt;&gt;"",_xlpm.t,IF(ISNUMBER(SEARCH("ИБП",GC225)),"ИБП",IF(ISNUMBER(SEARCH("ДГУ",GC225)),"ДГУ","Ввод "&amp;GD225)))))</f>
        <v>Ввод 1</v>
      </c>
      <c r="GF225" t="str">
        <f t="shared" si="490"/>
        <v>Ввод 1</v>
      </c>
      <c r="GG225" t="str">
        <f>IF(BP225=0,"",IF(TRIM(AG225&amp;"")&lt;&gt;"",TRIM(AG225&amp;""),IF(OR(GE225="ИБП",GE225="ДГУ"),"I особая",_xlfn.XLOOKUP(A225,Щиты[Щит],Щиты[Категория шины «Ввод»],"III"))))</f>
        <v/>
      </c>
      <c r="GH225" t="str">
        <f>IF(A225="","",_xlfn.XLOOKUP(A225,Щиты[Щит],Щиты[Путь],""))</f>
        <v>|ГРЩ-ЖД|ЩР-1|</v>
      </c>
      <c r="GI225" t="str">
        <f>IF(B225="","",IF(AI225&lt;&gt;"",AI225,IF(IFERROR(_xlfn.XLOOKUP(BC225,Коды_код,Коды_вид)&amp;"","")="","Прочее",_xlfn.XLOOKUP(BC225,Коды_код,Коды_вид)&amp;"")))</f>
        <v>Розеточная сеть и бытовые приборы</v>
      </c>
      <c r="GJ225">
        <f>IF(BM225="","",INT((BM225-1)/Столбцов_на_лист)+1)</f>
        <v>1</v>
      </c>
      <c r="GK225" t="str">
        <f t="shared" si="491"/>
        <v>ВВГнг(А)-LS (3х2,5) L=81-0,99%</v>
      </c>
      <c r="GL225">
        <f t="shared" si="492"/>
        <v>0.36</v>
      </c>
      <c r="GM225">
        <f t="shared" si="493"/>
        <v>1.65</v>
      </c>
      <c r="GN225">
        <f t="shared" si="494"/>
        <v>1</v>
      </c>
      <c r="GO225">
        <f t="shared" si="495"/>
        <v>0</v>
      </c>
      <c r="GP225">
        <f t="shared" si="496"/>
        <v>1</v>
      </c>
      <c r="GQ225">
        <f>IF(BM225="","",IF(AND(CG225=1,GP225=1),COUNTIFS(A$3:A225,A225,CG$3:CG225,1,GP$3:GP225,1),IF(OR(OR(BA225=1,A225&lt;&gt;A224),AJ225="вручную",GP225=0),"",IF(BA225=1,"",GR224))))</f>
        <v>1</v>
      </c>
      <c r="GR225">
        <f t="shared" si="497"/>
        <v>1</v>
      </c>
      <c r="GS225">
        <f>IF(B225="","",IFERROR(LOOKUP(INDEX(CHOOSE(EB225,Iдоп_1ж,Iдоп_2ж,Iдоп_3ж),MATCH(EN225,Iдоп_S,0))*DZ225*EA225,{6,10,16,20,25,32,40,50,63,80,100,125,160,200,250,315,400,500,630}),""))</f>
        <v>25</v>
      </c>
      <c r="GT225" t="str">
        <f t="shared" si="498"/>
        <v>QFD1</v>
      </c>
      <c r="GU225" t="str">
        <f t="shared" si="499"/>
        <v>QFD1</v>
      </c>
      <c r="GV225" t="str">
        <f t="shared" si="500"/>
        <v/>
      </c>
      <c r="GW225">
        <f t="shared" si="501"/>
        <v>0</v>
      </c>
      <c r="GX225" t="str">
        <f>IF(OR(B225="",DJ225=""),"",IFERROR(_xlfn.XLOOKUP(DJ225,Модули_умолч[Управление],Модули_умолч[Модель])&amp;"",""))</f>
        <v/>
      </c>
      <c r="GY225">
        <f>IF(DJ225="",1,IFERROR(MAX(0,N(_xlfn.XLOOKUP(DJ225,Модули_умолч[Управление],Модули_умолч[Каналов на линию]))),1))</f>
        <v>1</v>
      </c>
      <c r="GZ225" t="str">
        <f t="shared" si="502"/>
        <v/>
      </c>
      <c r="HA225" t="str">
        <f t="shared" si="503"/>
        <v/>
      </c>
      <c r="HB225" t="str">
        <f t="shared" si="504"/>
        <v/>
      </c>
      <c r="HC225">
        <f>IF(HB225="",0,IFERROR(N(VLOOKUP(HB225,Модули_спр,3,FALSE)),0))</f>
        <v>0</v>
      </c>
      <c r="HD225" t="str">
        <f t="shared" si="505"/>
        <v/>
      </c>
      <c r="HE225" t="str">
        <f t="shared" si="506"/>
        <v/>
      </c>
      <c r="HF225" t="str">
        <f>IF(OR(HE225="",HE225="-"),"",IFERROR(VLOOKUP(HE225,Модули_спр,2,FALSE),"R"))</f>
        <v/>
      </c>
      <c r="HG225" t="str">
        <f>IF(HF225="","",HF225&amp;"."&amp;COUNTIFS(A$3:A225,A225,HF$3:HF225,HF225))</f>
        <v/>
      </c>
      <c r="HH225" t="str">
        <f t="shared" si="507"/>
        <v/>
      </c>
      <c r="HI225" t="str">
        <f t="shared" si="508"/>
        <v/>
      </c>
      <c r="HJ225" t="str">
        <f t="shared" si="509"/>
        <v/>
      </c>
      <c r="HK225" t="str">
        <f t="shared" si="510"/>
        <v/>
      </c>
      <c r="HL225">
        <f t="shared" si="511"/>
        <v>1</v>
      </c>
      <c r="HM225" t="str">
        <f>IF(HL225=1,"XT"&amp;COUNTIFS(A$3:A225,A225,HL$3:HL225,1),"")</f>
        <v>XT1</v>
      </c>
      <c r="HN225" t="str">
        <f t="shared" si="512"/>
        <v>XT1</v>
      </c>
      <c r="HO225" t="str">
        <f t="shared" si="513"/>
        <v>QFD1</v>
      </c>
      <c r="HP225" t="str">
        <f t="shared" si="514"/>
        <v/>
      </c>
      <c r="HQ225" t="str">
        <f t="shared" si="515"/>
        <v>ok</v>
      </c>
      <c r="HR225" t="str">
        <f>IF(OR(HJ225="",HH225=""),"",IF(HJ225+MAX(0,GY225-1)&gt;IFERROR(VLOOKUP(HI225,Модули_спр,3,FALSE),99),"ЛИШНИЙ КАНАЛ",IF(AND(AL225&lt;&gt;"=",GY225&gt;0,COUNTIFS(Линии[_модуль гр.],HH225,Линии[Канал (итог)],HJ225,Линии[Канал],"&lt;&gt;=",Линии[Щит],A225)&gt;1),"ДУБЛЬ КАНАЛА","")))</f>
        <v/>
      </c>
      <c r="HS225" s="6" t="str">
        <f t="shared" si="516"/>
        <v/>
      </c>
      <c r="HT225">
        <f t="shared" si="517"/>
        <v>10</v>
      </c>
      <c r="HU225" t="str">
        <f t="shared" si="518"/>
        <v/>
      </c>
      <c r="HV225">
        <f t="shared" si="519"/>
        <v>1.4663560954997852</v>
      </c>
      <c r="HW225">
        <f t="shared" si="520"/>
        <v>0</v>
      </c>
      <c r="HX225">
        <f t="shared" si="521"/>
        <v>0</v>
      </c>
      <c r="HY225">
        <f t="shared" si="522"/>
        <v>0</v>
      </c>
      <c r="HZ225">
        <f t="shared" si="523"/>
        <v>0</v>
      </c>
      <c r="IA225">
        <f t="shared" si="524"/>
        <v>0</v>
      </c>
      <c r="IB225">
        <f t="shared" si="525"/>
        <v>0</v>
      </c>
      <c r="IC225" t="str">
        <f t="shared" si="526"/>
        <v/>
      </c>
      <c r="ID225" t="str" cm="1">
        <f t="array" ref="ID225">IF(IC225="","",_xlfn.LET(_xlpm.tk,_xlfn.TEXTSPLIT(SUBSTITUTE(SUBSTITUTE(IC225,";"," "),"→"," ")," ",,TRUE),_xlpm.w_,_xlfn._xlws.FILTER(_xlpm.tk,ISNUMBER(--LEFT(_xlpm.tk,1))*((ISNUMBER(SEARCH("W",_xlpm.tk))+ISNUMBER(SEARCH("Вт",_xlpm.tk)))&gt;0),""),IFERROR(--SUBSTITUTE(SUBSTITUTE(UPPER(INDEX(_xlpm.w_,1)),"W",""),"ВТ",""),"")))</f>
        <v/>
      </c>
      <c r="IE225" t="str" cm="1">
        <f t="array" ref="IE225">IF(IC225="","",_xlfn.LET(_xlpm.tk,_xlfn.TEXTSPLIT(SUBSTITUTE(SUBSTITUTE(IC225,";"," "),"→"," ")," ",,TRUE),_xlpm.v_,_xlfn._xlws.FILTER(_xlpm.tk,ISNUMBER(--LEFT(_xlpm.tk,1))*((ISNUMBER(SEARCH("V",_xlpm.tk))+(RIGHT(UPPER(_xlpm.tk))="В"))&gt;0),""),IFERROR(--SUBSTITUTE(SUBSTITUTE(UPPER(INDEX(_xlpm.v_,1)),"V",""),"В",""),"")))</f>
        <v/>
      </c>
      <c r="IF225" s="6" t="str">
        <f>IF(OR(BV225=0,HI225="",HJ225=""),"",IFERROR(N(_xlfn.XLOOKUP(HI225,Каталог!$C$4:$C$500,Каталог!$Q$4:$Q$500)),""))</f>
        <v/>
      </c>
      <c r="IG225" s="6" t="str">
        <f>IF(N(IF225)=0,"",SUMIFS(Линии[Iр, А],Линии[Щит],A225,Линии[_модуль гр.],HH225,Линии[Канал (итог)],HJ225))</f>
        <v/>
      </c>
      <c r="IH225" t="str">
        <f>IF(AND(B225="",HO225=""),"",_xlfn.TEXTJOIN("; ",TRUE,IF(AND(B225&lt;&gt;"",FV225=""),"нет фазы",""),IF(AND(B225&lt;&gt;"",N(GL225)=0,FG225&lt;&gt;"Нет"),"нет мощности",""),IF(AND(HN225&lt;&gt;"",COUNTIFS(Линии[Щит],A225,Линии[Клемма (итог)],HN225)&gt;1),"дубль клеммы "&amp;HN225,""),IF(AND(HQ225&lt;&gt;"",HQ225&lt;&gt;"ok"),HQ225,""),IF(HR225&lt;&gt;"",HR225,""),IF(AND(N(CB225)&gt;=4,N(BX225)=1),CB225&amp;" жил на 1 фазе",""),IF(AND(BC225="R",CG225=1,IF(CS225&lt;&gt;"",N(CV225)&gt;30,OR(N(DA225)=0,N(DA225)&gt;30))),"розетка без дифзащиты до 30 мА",""),IF(AND(CG225=1,N(DA225)&gt;0,ISNUMBER(T225)),IF(T225&gt;N(DA225)/3,"ток утечки "&amp;FIXED(T225,1)&amp;" мА &gt; 1/3 уставки ("&amp;DA225&amp;" мА)",""),""),IF(AND(CH225=1,CS225=""),"«узо»: нет строки с УЗО выше (УЗО 2P 40А 30мА в «Аппаратах»)",""),IF(AND(CS225&lt;&gt;"",CS225=BA225),IF(CT225="","впишите номинал УЗО (УЗО 2P 40А 30мА)",IF(N(CT225)&lt;N(DT225),"УЗО "&amp;CT225&amp;" А &lt; автомата "&amp;DT225&amp;" А перед ним",IF(N(CT225)&lt;N(CX225),"УЗО "&amp;CT225&amp;" А &lt; тока блока "&amp;FIXED(CX225,1)&amp;" А",""))),""),IF(AND(CS225&lt;&gt;"",CS225=BA225,ISNUMBER(CY225)),IF(CY225&gt;N(CV225)/3,"ток утечки блока УЗО "&amp;FIXED(CY225,1)&amp;" мА &gt; 1/3 уставки ("&amp;CV225&amp;" мА)",""),""),IF(AND(CG225=1,N(BV225)+N(IB225)&gt;0,IC225=""),"линии до 50 В без БП: впишите в «Аппараты» (БП 24V 480W)",""),IF(AND(CG225=1,ISNUMBER(ID225),ISNUMBER(U225)),IF(U225&gt;ID225,"БП "&amp;ID225&amp;" Вт &lt; нужно "&amp;U225&amp;" Вт (×"&amp;Запас_БП&amp;")",""),""),IF(AND(CG225=1,ISNUMBER(IE225),N(BV225)=1),IF(IE225&lt;&gt;N(BU225),"БП на "&amp;IE225&amp;" В, линия "&amp;BU225&amp;" В",""),""),IF(AND(N(IF225)&gt;0,N(IG225)&gt;N(IF225)),HH225&amp;" канал "&amp;HJ225&amp;": "&amp;FIXED(IG225,1)&amp;" А &gt; "&amp;IF225&amp;" А",""),IFERROR(IF(AND(ISNUMBER(Q225),Q225&gt;EL225),"потери "&amp;FIXED(Q225,1)&amp;" % &gt; "&amp;EL225&amp;" %",""),""),IFERROR(IF(LEFT(HU225,4)="мало","Iкз мало — отключение &gt; 0,4 с",""),""),IF(AND(B225&lt;&gt;"",BM225=""),"не на схеме",""),IF(AND(CG225=0,B225&lt;&gt;"",FV225&lt;&gt;"",IF(BA225=1,"",FW224)&lt;&gt;"",FV225&lt;&gt;IF(BA225=1,"",FW224)),"фаза не как у автомата группы ("&amp;IF(BA225=1,"",FW224)&amp;")","")))</f>
        <v/>
      </c>
      <c r="II225" s="6">
        <f>IF(OR(CG225=0,DQ225=""),"",_xlfn.LET(_xlpm.t,IFERROR(_xlfn.XLOOKUP(DQ225,Каталог!$U$4:$U$500,Каталог!$G$4:$G$500),""),_xlpm.k,SEARCH("кА",_xlpm.t),IFERROR(--TRIM(RIGHT(SUBSTITUTE(MID(_xlpm.t,MAX(1,_xlpm.k-4),_xlpm.k-MAX(1,_xlpm.k-4))," ",REPT(" ",9)),5)),"")))</f>
        <v>6</v>
      </c>
      <c r="IJ225" t="str">
        <f>IF(OR(II225="",CG225=0),"",IF(_xlfn.XLOOKUP(A225,Щиты[Щит],Щиты[Iкз max на шинах, кА],"")="","",IF(II225&lt;_xlfn.XLOOKUP(A225,Щиты[Щит],Щиты[Iкз max на шинах, кА]),"Icu "&amp;II225&amp;" кА &lt; Iкз max","ok")))</f>
        <v/>
      </c>
      <c r="IK225" t="str">
        <f t="shared" si="527"/>
        <v/>
      </c>
      <c r="IL225" t="str">
        <f t="shared" si="528"/>
        <v>QFD1|XT1</v>
      </c>
      <c r="IM225" t="str">
        <f t="shared" si="529"/>
        <v>QFD1|XT1|кабель ВВГнг(А)-LS (3х2,5) → Розеточная группа, пом. 001A</v>
      </c>
      <c r="IN225" t="str" cm="1">
        <f t="array" ref="IN225">IF(IM225="","",_xlfn.LET(_xlpm.nd,_xlfn.TEXTSPLIT(IM225,"|"),IF(COLUMNS(_xlpm.nd)&gt;1,A225&amp;"¦"&amp;INDEX(_xlpm.nd,1)&amp;"¦"&amp;INDEX(_xlpm.nd,2),"")))</f>
        <v>ЩР-1¦QFD1¦XT1</v>
      </c>
      <c r="IO225" t="str">
        <f t="shared" si="530"/>
        <v>R.1.001A.1¦Розеточная группа, пом. 001A</v>
      </c>
      <c r="IP225" t="str" cm="1">
        <f t="array" ref="IP225">IF(IM225="","",_xlfn.LET(_xlpm.nd,_xlfn.TEXTSPLIT(IM225,"|"),IF(COLUMNS(_xlpm.nd)&gt;2,A225&amp;"¦"&amp;INDEX(_xlpm.nd,2)&amp;"¦"&amp;INDEX(_xlpm.nd,3),"")))</f>
        <v>ЩР-1¦XT1¦кабель ВВГнг(А)-LS (3х2,5) → Розеточная группа, пом. 001A</v>
      </c>
      <c r="IQ225" t="str">
        <f t="shared" si="531"/>
        <v>R.1.001A.1¦Розеточная группа, пом. 001A</v>
      </c>
      <c r="IR225" t="str" cm="1">
        <f t="array" ref="IR225">IF(IM225="","",_xlfn.LET(_xlpm.nd,_xlfn.TEXTSPLIT(IM225,"|"),IF(COLUMNS(_xlpm.nd)&gt;3,A225&amp;"¦"&amp;INDEX(_xlpm.nd,3)&amp;"¦"&amp;INDEX(_xlpm.nd,4),"")))</f>
        <v/>
      </c>
      <c r="IS225" t="str">
        <f t="shared" si="532"/>
        <v/>
      </c>
      <c r="IT225" t="str" cm="1">
        <f t="array" ref="IT225">IF(IM225="","",_xlfn.LET(_xlpm.nd,_xlfn.TEXTSPLIT(IM225,"|"),IF(COLUMNS(_xlpm.nd)&gt;4,A225&amp;"¦"&amp;INDEX(_xlpm.nd,4)&amp;"¦"&amp;INDEX(_xlpm.nd,5),"")))</f>
        <v/>
      </c>
      <c r="IU225" t="str">
        <f t="shared" si="533"/>
        <v/>
      </c>
      <c r="IV225" t="str" cm="1">
        <f t="array" ref="IV225">IF(IM225="","",_xlfn.LET(_xlpm.nd,_xlfn.TEXTSPLIT(IM225,"|"),IF(COLUMNS(_xlpm.nd)&gt;5,A225&amp;"¦"&amp;INDEX(_xlpm.nd,5)&amp;"¦"&amp;INDEX(_xlpm.nd,6),"")))</f>
        <v/>
      </c>
      <c r="IW225" t="str">
        <f t="shared" si="534"/>
        <v/>
      </c>
      <c r="IX225" t="str" cm="1">
        <f t="array" ref="IX225">IF(IM225="","",_xlfn.LET(_xlpm.nd,_xlfn.TEXTSPLIT(IM225,"|"),IF(COLUMNS(_xlpm.nd)&gt;6,A225&amp;"¦"&amp;INDEX(_xlpm.nd,6)&amp;"¦"&amp;INDEX(_xlpm.nd,7),"")))</f>
        <v/>
      </c>
      <c r="IY225" t="str">
        <f t="shared" si="535"/>
        <v/>
      </c>
      <c r="IZ225" t="str">
        <f t="shared" si="536"/>
        <v/>
      </c>
      <c r="JA225" t="str">
        <f t="shared" si="537"/>
        <v>QFD1 → XT1</v>
      </c>
      <c r="JB225">
        <f t="shared" si="538"/>
        <v>0</v>
      </c>
      <c r="JC225">
        <f t="shared" si="539"/>
        <v>1</v>
      </c>
      <c r="JD225" t="str">
        <f t="shared" si="540"/>
        <v/>
      </c>
      <c r="JE225" t="str">
        <f t="shared" si="541"/>
        <v/>
      </c>
      <c r="JF225" t="str">
        <f t="shared" si="542"/>
        <v/>
      </c>
      <c r="JG225" t="str">
        <f t="shared" si="543"/>
        <v/>
      </c>
      <c r="JH225" t="str">
        <f>IF(B225="","",IFERROR(_xlfn.XLOOKUP(B225,Коды_код,Коды_уго),IFERROR(_xlfn.XLOOKUP(BC225,Коды_код,Коды_уго),IFERROR(_xlfn.XLOOKUP(LEFT(BC225,2),Коды_код,Коды_уго),""))))</f>
        <v>Розетка</v>
      </c>
      <c r="JI225" t="str">
        <f>IF(B225="","",IF(OR(JH225="",JH225=0),"BOX",IFERROR(IF(VLOOKUP(JH225,УГО_блоки,3,FALSE)&amp;""&lt;&gt;"",VLOOKUP(JH225,УГО_блоки,3,FALSE),VLOOKUP(JH225,УГО_блоки,2,FALSE)),JH225)))</f>
        <v>SOCKET</v>
      </c>
      <c r="JJ225">
        <f t="shared" si="544"/>
        <v>1</v>
      </c>
      <c r="JK225" t="str">
        <f>IF(DQ225="","",IF(COUNTIF(DQ$3:DQ225,DQ225)=1,MAX(JK$2:JK224)+1,""))</f>
        <v/>
      </c>
      <c r="JL225" t="str">
        <f>IF(DE225="","",IF(COUNTIF(DE$3:DE225,DE225)+COUNTIF(DF$2:DF224,DE225)+COUNTIF(DG$2:DG224,DE225)=1,MAX(JL$2:JN224)+1,""))</f>
        <v/>
      </c>
      <c r="JM225" t="str">
        <f>IF(DF225="","",IF(COUNTIF(DE$3:DE225,DF225)+COUNTIF(DF$3:DF225,DF225)+COUNTIF(DG$2:DG224,DF225)=1,MAX(JL$2:JN224,JL225)+1,""))</f>
        <v/>
      </c>
      <c r="JN225" t="str">
        <f>IF(DG225="","",IF(COUNTIF(DE$3:DE225,DG225)+COUNTIF(DF$3:DF225,DG225)+COUNTIF(DG$3:DG225,DG225)=1,MAX(JL$2:JN224,JL225,JM225)+1,""))</f>
        <v/>
      </c>
      <c r="JO225" t="str">
        <f t="shared" si="545"/>
        <v>3х2,5</v>
      </c>
      <c r="JP225" t="str">
        <f>IF(JO225="","",IF(COUNTIF(JO$3:JO225,JO225)=1,MAX(JP$2:JP224)+1,""))</f>
        <v/>
      </c>
      <c r="JQ225" t="str">
        <f>IF(HG225="","",COUNTIF(HG$3:HG225,"?*"))</f>
        <v/>
      </c>
      <c r="JR225" t="str">
        <f>IF(OR(HG225="",HI225=""),"",IF(COUNTIFS(HG$3:HG225,"?*",HI$3:HI225,HI225)=1,MAX(JR$2:JR224)+1,""))</f>
        <v/>
      </c>
      <c r="JS225">
        <f t="shared" si="546"/>
        <v>0</v>
      </c>
      <c r="JT225">
        <f>IF(B225="","",COUNTIF(B$3:B225,"?*"))</f>
        <v>223</v>
      </c>
      <c r="JU225">
        <f>IF(HL225&lt;&gt;1,0,_xlfn.LET(_xlpm.k,MAX(IFERROR(--_xlfn.XLOOKUP(B225,Коды_код,Коды_3L),0),IFERROR(--_xlfn.XLOOKUP(BC225,Коды_код,Коды_3L),0),IFERROR(--_xlfn.XLOOKUP(LEFT(BC225,2),Коды_код,Коды_3L),0)),IF(_xlpm.k&gt;0,_xlpm.k,IF(IFERROR(--LEFT(SUBSTITUTE(JO225,"x","х"),FIND("х",SUBSTITUTE(JO225,"x","х"))-1),3)&gt;3,Каталог!$S$9,1))))</f>
        <v>1</v>
      </c>
      <c r="JV225">
        <f t="shared" si="547"/>
        <v>0</v>
      </c>
      <c r="JW225" t="str">
        <f t="shared" si="548"/>
        <v>авто</v>
      </c>
      <c r="JX225">
        <f t="shared" si="549"/>
        <v>30</v>
      </c>
      <c r="JY225">
        <f t="shared" si="550"/>
        <v>1</v>
      </c>
      <c r="JZ225">
        <f t="shared" si="551"/>
        <v>1</v>
      </c>
    </row>
    <row r="226" spans="1:286" x14ac:dyDescent="0.3">
      <c r="A226" t="s">
        <v>757</v>
      </c>
      <c r="B226" t="s">
        <v>1532</v>
      </c>
      <c r="C226" t="s">
        <v>1706</v>
      </c>
      <c r="D226">
        <v>2</v>
      </c>
      <c r="E226">
        <v>0.12</v>
      </c>
      <c r="G226" t="str">
        <f>Линии[[#This Row],[_авто автомат]]</f>
        <v>2P С16А 30мА</v>
      </c>
      <c r="H226" t="str">
        <f>Линии[[#This Row],[_авто управление]]</f>
        <v/>
      </c>
      <c r="I226" t="str">
        <f>Линии[[#This Row],[_авто аппараты]]</f>
        <v/>
      </c>
      <c r="J226">
        <v>2.5</v>
      </c>
      <c r="K226">
        <v>64</v>
      </c>
      <c r="L226" t="str">
        <f>Линии[[#This Row],[_авто фаза]]</f>
        <v>L2</v>
      </c>
      <c r="M226" t="str">
        <f>Линии[[#This Row],[_авто клемма]]</f>
        <v>XT2</v>
      </c>
      <c r="N226" t="str">
        <f t="shared" si="414"/>
        <v/>
      </c>
      <c r="O226" s="6" cm="1">
        <f t="array" ref="O226">IF(B226="","",IF(BH226&lt;&gt;"",IFERROR(_xlfn.XLOOKUP(BH226,Щиты[Щит],Щиты[Iр, А]),""),IF(BP226=1,IF(OR(N(_xlfn.XLOOKUP(A226,Щиты[Щит],Щиты[Вводов],1))&lt;=1,LOWER(TRIM(_xlfn.XLOOKUP(A226,Щиты[Щит],Щиты[АВР],"")&amp;""))="да"),IFERROR(_xlfn.XLOOKUP(A226,Щиты[Щит],Щиты[Iр, А]),""),IFERROR(N(BS226)*_xlfn.XLOOKUP(A226,Щиты[Щит],Щиты[Кс итог])/(SQRT(3)*Uн_лин*_xlfn.XLOOKUP(A226,Щиты[Щит],Щиты[cos φ])),"")),IF(BV226=1,IFERROR(BS226*1000/BU226,""),IFERROR(_xlfn.IFS(BX226=1,BS226/((Uн_лин/SQRT(3))*CE226),BX226=3,BS226/(SQRT(3)*Uн_лин*CE226)),"")))))</f>
        <v>0.54696341291648753</v>
      </c>
      <c r="P226" s="7">
        <f>IF(B226="","",IFERROR(IF(VLOOKUP(BC226,Потребители_обозначение,4,FALSE)=1,VLOOKUP(BC226,Потребители_обозначение,3,FALSE)*(MAX(1,N(D226))*2-1)+EI226+VLOOKUP(BE226,Этаж_обозначение,3,FALSE)+VLOOKUP(BE226,Этаж_обозначение,4,FALSE),VLOOKUP(BC226,Потребители_обозначение,3,FALSE)*(MAX(1,N(D226))*2-1)+EI226),EI226))</f>
        <v>73</v>
      </c>
      <c r="Q226" s="6">
        <f t="shared" si="415"/>
        <v>1.49</v>
      </c>
      <c r="R226" t="str">
        <f t="shared" si="416"/>
        <v>ВВГнг(А)-LS (3х2,5)</v>
      </c>
      <c r="S226" t="str">
        <f>IF(BM226="","",IF(BN226="вводной узел","узел ","")&amp;"л."&amp;(INT((BM226-1)/Столбцов_на_лист)+1)&amp;" / "&amp;(MOD(BM226-1,Столбцов_на_лист)+1))</f>
        <v>л.1 / 10</v>
      </c>
      <c r="T226" s="119">
        <f t="shared" si="417"/>
        <v>0.9</v>
      </c>
      <c r="U226" s="7" t="str">
        <f>IF(OR(CG226=0,N(BV226)+N(IB226)=0),"",ROUNDUP(Запас_БП*(N(HY226)+N(HZ226)),0))</f>
        <v/>
      </c>
      <c r="V226" s="119" t="str">
        <f t="shared" si="418"/>
        <v/>
      </c>
      <c r="W226" s="7" t="str">
        <f>IFERROR(IF(OR(B226="",BP226=1,BV226=1,NOT(ISNUMBER(EN226)),N(DT226)=0),"",MAX(0,ROUNDDOWN((c_min*(Uн_лин*1000/SQRT(3))/(HT226*N(DT226))-_xlfn.XLOOKUP(A226,Щиты[Щит],Щиты[Zпетли на шинах, Ом]))*EN226/(2*ρкз_Cu),0))),"")</f>
        <v/>
      </c>
      <c r="Y226">
        <f>Линии[[#This Row],[_авто утечка]]</f>
        <v>30</v>
      </c>
      <c r="Z226">
        <v>1</v>
      </c>
      <c r="AA226">
        <v>230</v>
      </c>
      <c r="AB226" t="s">
        <v>562</v>
      </c>
      <c r="AG226" t="s">
        <v>810</v>
      </c>
      <c r="AI226" t="s">
        <v>561</v>
      </c>
      <c r="AK226" t="str">
        <f>Линии[[#This Row],[_авто модуль]]</f>
        <v/>
      </c>
      <c r="AM226">
        <v>10</v>
      </c>
      <c r="AN226" t="s">
        <v>11</v>
      </c>
      <c r="AO226">
        <v>3</v>
      </c>
      <c r="AQ226">
        <v>28</v>
      </c>
      <c r="AR226">
        <v>1</v>
      </c>
      <c r="AS226">
        <v>0</v>
      </c>
      <c r="BA226" cm="1">
        <f t="array" ref="BA226">ROW()-ROW(Линии[#Headers])</f>
        <v>224</v>
      </c>
      <c r="BC226" s="6" t="str">
        <f t="shared" si="419"/>
        <v>R</v>
      </c>
      <c r="BD226" t="str">
        <f t="shared" si="420"/>
        <v>1.001Aб.1</v>
      </c>
      <c r="BE226" t="str">
        <f t="shared" si="421"/>
        <v>1</v>
      </c>
      <c r="BF226" t="str">
        <f t="shared" si="422"/>
        <v>001Aб.1</v>
      </c>
      <c r="BG226" t="str">
        <f t="shared" si="423"/>
        <v>001Aб</v>
      </c>
      <c r="BH226" t="str">
        <f>IF(X226&lt;&gt;"",X226,IF(AND(B226&lt;&gt;"",B226&lt;&gt;A226,ISNUMBER(_xlfn.XMATCH(B226,Щиты[Щит]))),B226,""))</f>
        <v/>
      </c>
      <c r="BI226" t="str" cm="1">
        <f t="array" ref="BI226">IF(B226="","",IF(BH226&lt;&gt;"","Щит "&amp;BH226,_xlfn.LET(_xlpm.nm,IFERROR(_xlfn.XLOOKUP(BC226,Коды_код,Коды_имя)&amp;"",""),_xlpm.md,IFERROR(N(_xlfn.XLOOKUP(BC226,Коды_код,Коды_режим)),1),_xlpm.ex,IF(Имя_режим="по экспликации",IFERROR(_xlfn.XLOOKUP(BE226&amp;"|"&amp;BG226,Экспликация[Этаж]&amp;"|"&amp;Экспликация[Помещение],Экспликация[Название])&amp;"",""),""),_xlpm.rm,IF(BG226="","",IF(_xlpm.ex&lt;&gt;"",". "&amp;_xlpm.ex&amp;IF(Имя_пом="нет"," ("&amp;BG226&amp;")"," (пом. "&amp;BG226&amp;")"),IF(Имя_пом="нет"," ",", пом. ")&amp;BG226)),IF(_xlpm.nm="","",IF(_xlpm.md=2,_xlpm.nm&amp;" шлейф "&amp;BE226,_xlpm.nm&amp;_xlpm.rm)))))</f>
        <v>Розеточная группа, пом. 001Aб</v>
      </c>
      <c r="BJ226" t="str">
        <f t="shared" si="424"/>
        <v>Розеточная группа Первый этаж Пом. №001Aб, 002Аб</v>
      </c>
      <c r="BK226">
        <f>IFERROR(_xlfn.XMATCH(A226,Щиты[Щит]),0)</f>
        <v>10</v>
      </c>
      <c r="BL226">
        <f>_xlfn.LET(_xlpm.k,IFERROR(_xlfn.XLOOKUP(A226,Щиты[Щит],Щиты[Мест под вводной узел]),""),IF(_xlpm.k="",Столбцов_на_лист,N(_xlpm.k)))</f>
        <v>8</v>
      </c>
      <c r="BM226">
        <f t="shared" si="425"/>
        <v>10</v>
      </c>
      <c r="BN226" t="str">
        <f t="shared" si="426"/>
        <v>линии</v>
      </c>
      <c r="BO226" s="6">
        <f>IFERROR(N(_xlfn.XLOOKUP(BC226,Коды_код,Коды_квт)),0)</f>
        <v>0</v>
      </c>
      <c r="BP226">
        <f t="shared" si="427"/>
        <v>0</v>
      </c>
      <c r="BQ226" t="str">
        <f>IF(B226="","",IF(BH226&lt;&gt;"",IFERROR(_xlfn.XLOOKUP(BH226,Щиты[Щит],Щиты[Руст, кВт]),0),IF(BP226=1,IF(OR(N(_xlfn.XLOOKUP(A226,Щиты[Щит],Щиты[Вводов],1))&lt;=1,LOWER(TRIM(_xlfn.XLOOKUP(A226,Щиты[Щит],Щиты[АВР],"")&amp;""))="да"),IFERROR(_xlfn.XLOOKUP(A226,Щиты[Щит],Щиты[Руст, кВт]),0),SUMIFS(Линии[_Р для вводов],Линии[Щит],A226,Линии[Источник для режимов],GF226)),IF(BO226&gt;0,ROUND(BO226*MAX(1,N(D226)),3),""))))</f>
        <v/>
      </c>
      <c r="BR226">
        <f t="shared" si="428"/>
        <v>0.12</v>
      </c>
      <c r="BS226" s="6">
        <f>IF(B226="","",IF(BH226&lt;&gt;"",IFERROR(_xlfn.XLOOKUP(BH226,Щиты[Щит],Щиты[Руст, кВт]),0),N(BR226)))</f>
        <v>0.12</v>
      </c>
      <c r="BT226" t="str">
        <f>IF(B226="","",IFERROR(IF(VLOOKUP(BC226,Потребители_обозначение,8,FALSE)=0,"",VLOOKUP(BC226,Потребители_обозначение,8,FALSE)),""))</f>
        <v/>
      </c>
      <c r="BU226">
        <f t="shared" si="429"/>
        <v>230</v>
      </c>
      <c r="BV226">
        <f t="shared" si="430"/>
        <v>0</v>
      </c>
      <c r="BW226">
        <f>IF(B226="","",IF(BH226&lt;&gt;"",3,IFERROR(IF(N(VLOOKUP(BC226,Потребители_обозначение,9,FALSE))=0,1,VLOOKUP(BC226,Потребители_обозначение,9,FALSE)),1)))</f>
        <v>1</v>
      </c>
      <c r="BX226">
        <f t="shared" si="431"/>
        <v>1</v>
      </c>
      <c r="BY226" t="str">
        <f>IF(B226="","",_xlfn.LET(_xlpm.bc,IFERROR(IF(VLOOKUP(BC226,Потребители_обозначение,6,FALSE)=0,"",VLOOKUP(BC226,Потребители_обозначение,6,FALSE)&amp;""),""),IF(AND(GA226="да",OR(_xlpm.bc="",_xlpm.bc="мс")),Марка_пож,IF(AND(_xlpm.bc="",BH226&lt;&gt;""),"мс",_xlpm.bc))))</f>
        <v/>
      </c>
      <c r="BZ226" t="str">
        <f t="shared" si="432"/>
        <v>мс</v>
      </c>
      <c r="CA226">
        <f>IF(B226="","",_xlfn.LET(_xlpm.cc,IFERROR(N(VLOOKUP(BC226,Потребители_обозначение,7,FALSE)),0),IF(_xlpm.cc&gt;0,_xlpm.cc,IF(BZ226="","",IF(BV226=1,2,IF(N(BX226)=3,5,3))))))</f>
        <v>3</v>
      </c>
      <c r="CB226">
        <f t="shared" si="433"/>
        <v>3</v>
      </c>
      <c r="CC226">
        <f>IFERROR(N(VLOOKUP(BC226,Потребители_обозначение,10,FALSE)),0)</f>
        <v>0</v>
      </c>
      <c r="CD226">
        <f>IFERROR(VLOOKUP(BC226,Потребители_обозначение,5,FALSE),0)</f>
        <v>1</v>
      </c>
      <c r="CE226" s="6" cm="1">
        <f t="array" ref="CE226">IF(B226="","",IF(BH226&lt;&gt;"",IFERROR(_xlfn.XLOOKUP(BH226,Щиты[Щит],Щиты[cos φ]),0.95),IF(BP226=1,IFERROR(_xlfn.XLOOKUP(A226,Щиты[Щит],Щиты[cos φ]),0.95),IF(ISNUMBER(AD226),AD226,IFERROR(IF(CD226=2,_xlfn.IFS(BX226=3,VLOOKUP(BS226,Справочная_двигатели,8,FALSE),BX226=1,VLOOKUP(BS226,Справочная_двигатели,10,TRUE)),IF(AND(Методика="нормы 2026",FG226="Сил"),0.8,0.95)),0.95)))))</f>
        <v>0.95</v>
      </c>
      <c r="CF226">
        <f t="shared" si="434"/>
        <v>0</v>
      </c>
      <c r="CG226">
        <f t="shared" si="435"/>
        <v>1</v>
      </c>
      <c r="CH226">
        <f t="shared" si="436"/>
        <v>0</v>
      </c>
      <c r="CI226">
        <f>IF(B226="","",IF(BV226=1,IFERROR(BS226/((Uн_лин/SQRT(3))*MAX(0.5,N(CE226))),0),N(O226)))</f>
        <v>0.54696341291648753</v>
      </c>
      <c r="CJ226">
        <f t="shared" si="437"/>
        <v>0</v>
      </c>
      <c r="CK226">
        <f t="shared" si="438"/>
        <v>0</v>
      </c>
      <c r="CL226">
        <f t="shared" si="439"/>
        <v>0</v>
      </c>
      <c r="CM226">
        <f t="shared" si="440"/>
        <v>0</v>
      </c>
      <c r="CN226">
        <f t="shared" si="441"/>
        <v>0</v>
      </c>
      <c r="CO226">
        <f>IF(BC226="",0,_xlfn.LET(_xlpm.v,IFERROR(_xlfn.XLOOKUP(B226,Коды_код,Коды_мА),IFERROR(_xlfn.XLOOKUP(BC226,Коды_код,Коды_мА),IFERROR(_xlfn.XLOOKUP(LEFT(BC226,2),Коды_код,Коды_мА),""))),IF(_xlpm.v="да",30,IF(ISNUMBER(_xlpm.v),_xlpm.v,0))))</f>
        <v>30</v>
      </c>
      <c r="CP226">
        <f t="shared" si="442"/>
        <v>30</v>
      </c>
      <c r="CQ226" t="str">
        <f>_xlfn.LET(_xlpm.k,IFERROR(_xlfn.XLOOKUP(BC226,Коды_код,Коды_утечка)&amp;"",""),IF(_xlpm.k="","дифавтомат",_xlpm.k))</f>
        <v>дифавтомат</v>
      </c>
      <c r="CR226" t="str" cm="1">
        <f t="array" ref="CR226">IF(CG226=0,"",_xlfn.LET(_xlpm.sg,TRIM(_xlfn.TEXTSPLIT(DD226&amp;"",";")),_xlpm.f_,_xlfn._xlws.FILTER(_xlpm.sg,LEFT(_xlpm.sg,3)="УЗО",""),IFERROR(INDEX(_xlpm.f_,1)&amp;"","")))</f>
        <v/>
      </c>
      <c r="CS226" t="str">
        <f t="shared" si="443"/>
        <v/>
      </c>
      <c r="CT226" s="6" t="str" cm="1">
        <f t="array" ref="CT226">IF(CR226="","",_xlfn.LET(_xlpm.tk,_xlfn.TEXTSPLIT(UPPER(CR226)," ",,TRUE),_xlpm.a_,_xlfn._xlws.FILTER(_xlpm.tk,ISNUMBER(--LEFT(_xlpm.tk,1))*((ISNUMBER(SEARCH("А",_xlpm.tk))+ISNUMBER(SEARCH("A",_xlpm.tk)))&gt;0)*NOT(ISNUMBER(SEARCH("МА",_xlpm.tk)))*NOT(ISNUMBER(SEARCH("MA",_xlpm.tk))),""),IFERROR(--SUBSTITUTE(SUBSTITUTE(INDEX(_xlpm.a_,1),"А",""),"A",""),"")))</f>
        <v/>
      </c>
      <c r="CU226" t="str" cm="1">
        <f t="array" ref="CU226">IF(CR226="","",_xlfn.LET(_xlpm.tk,_xlfn.TEXTSPLIT(UPPER(CR226)," ",,TRUE),_xlpm.a_,_xlfn._xlws.FILTER(_xlpm.tk,ISNUMBER(--LEFT(_xlpm.tk,1))*((ISNUMBER(SEARCH("МА",_xlpm.tk))+ISNUMBER(SEARCH("MA",_xlpm.tk)))&gt;0),""),IFERROR(--SUBSTITUTE(SUBSTITUTE(INDEX(_xlpm.a_,1),"МА",""),"MA",""),30)))</f>
        <v/>
      </c>
      <c r="CV226" t="str">
        <f>IF(CS226="","",IFERROR(_xlfn.XLOOKUP(CS226,Линии[_n],Линии[_УЗО, мА]),30))</f>
        <v/>
      </c>
      <c r="CW226">
        <f>IF(CS226="",0,IF(ISNUMBER(SEARCH("4P",IFERROR(_xlfn.XLOOKUP(CS226,Линии[_n],Линии[_УЗО строки])&amp;"",""))),0,1))</f>
        <v>0</v>
      </c>
      <c r="CX226" t="str">
        <f>IF(AND(CS226&lt;&gt;"",CS226=BA226),SUMIFS(Линии[_ток на 230 В],Линии[_блок УЗО],BA226,Линии[Щит],A226),"")</f>
        <v/>
      </c>
      <c r="CY226" t="str">
        <f>IF(AND(CS226&lt;&gt;"",CS226=BA226),SUMIFS(Линии[_ток утечки линии, мА],Линии[_блок УЗО],BA226,Линии[Щит],A226),"")</f>
        <v/>
      </c>
      <c r="CZ226">
        <f t="shared" si="444"/>
        <v>30</v>
      </c>
      <c r="DA226">
        <f t="shared" si="445"/>
        <v>30</v>
      </c>
      <c r="DB226">
        <f>IF(B226="",0,IFERROR(--_xlfn.XLOOKUP(B226,Коды_код,Коды_минавт),IFERROR(--_xlfn.XLOOKUP(BC226,Коды_код,Коды_минавт),IFERROR(--_xlfn.XLOOKUP(LEFT(BC226,2),Коды_код,Коды_минавт),0))))</f>
        <v>16</v>
      </c>
      <c r="DC226" t="str">
        <f>IF(B226="","",IFERROR(_xlfn.XLOOKUP(BC226,Коды_код,Коды_апп)&amp;"",""))</f>
        <v/>
      </c>
      <c r="DD226" t="str">
        <f t="shared" si="446"/>
        <v/>
      </c>
      <c r="DE226" t="str" cm="1">
        <f t="array" ref="DE226">IF(TRIM(DD226&amp;"")="","",IFERROR(TRIM(INDEX(_xlfn.TEXTSPLIT(DD226&amp;";;;",";"),1)),""))</f>
        <v/>
      </c>
      <c r="DF226" t="str" cm="1">
        <f t="array" ref="DF226">IF(TRIM(DD226&amp;"")="","",IFERROR(TRIM(INDEX(_xlfn.TEXTSPLIT(DD226&amp;";;;",";"),2)),""))</f>
        <v/>
      </c>
      <c r="DG226" t="str" cm="1">
        <f t="array" ref="DG226">IF(TRIM(DD226&amp;"")="","",IFERROR(TRIM(INDEX(_xlfn.TEXTSPLIT(DD226&amp;";;;",";"),3)),""))</f>
        <v/>
      </c>
      <c r="DH226">
        <f t="shared" si="447"/>
        <v>0</v>
      </c>
      <c r="DI226" t="str">
        <f>IF(B226="","",_xlfn.LET(_xlpm.t,LOWER(AZ226&amp;""),IF(ISNUMBER(SEARCH("dim",_xlpm.t)),"DIM",IF(ISNUMBER(SEARCH("dali",_xlpm.t)),"DALI",IF(OR(ISNUMBER(SEARCH("relay",_xlpm.t)),ISNUMBER(SEARCH("реле",_xlpm.t))),"Relay",IF(ISNUMBER(SEARCH("кнопк",_xlpm.t)),"",IFERROR(_xlfn.XLOOKUP(BC226,Коды_код,Коды_упр)&amp;"","")))))))</f>
        <v/>
      </c>
      <c r="DJ226" t="str">
        <f t="shared" si="448"/>
        <v/>
      </c>
      <c r="DK226">
        <f>IF(B226="","",_xlfn.LET(_xlpm.ig,IF(N(CX226)&gt;0,N(CX226),N(CI226)+IF(AJ226="вручную",0,N(CJ226))),_xlpm.n0,IFERROR(VLOOKUP(_xlpm.ig,Автомат_номиналы,2,TRUE),0),_xlpm.mn,MAX(DB226,IF(AJ226="вручную",0,N(CM226))),MAX(_xlpm.n0,_xlpm.mn,IF(DH226=1,Мин_автомат_БП,0))))</f>
        <v>16</v>
      </c>
      <c r="DL226">
        <f t="shared" si="449"/>
        <v>1</v>
      </c>
      <c r="DM226" t="str">
        <f t="shared" si="450"/>
        <v>2P</v>
      </c>
      <c r="DN226" t="str">
        <f>_xlfn.LET(_xlpm.cc,UPPER(TRIM(IFERROR(_xlfn.XLOOKUP(BC226,Коды_код,Коды_хар)&amp;"",""))),IF(OR(_xlpm.cc="B",_xlpm.cc="В"),"B",IF(_xlpm.cc="D","D","С")))</f>
        <v>С</v>
      </c>
      <c r="DO226" t="str">
        <f t="shared" si="451"/>
        <v>2P С16А 30мА</v>
      </c>
      <c r="DP226" t="str">
        <f t="shared" si="452"/>
        <v>2P С16А 30мА</v>
      </c>
      <c r="DQ226" t="str">
        <f t="shared" si="453"/>
        <v>2P С16А 30мА</v>
      </c>
      <c r="DR226" cm="1">
        <f t="array" ref="DR226">IF(DQ226="","",_xlfn.LET(_xlpm.t,SUBSTITUTE(SUBSTITUTE(SUBSTITUTE(UPPER(DQ226),"С","C"),"А","A"),"В","B"),_xlpm.tk,_xlfn.TEXTSPLIT(_xlpm.t," "),_xlpm.f,_xlfn._xlws.FILTER(_xlpm.tk,ISNUMBER(--MID(_xlpm.tk,2,1))*ISNUMBER(SEARCH(LEFT(_xlpm.tk,1)&amp;"#","B#C#D#"))*(LEN(_xlpm.tk)&gt;1),""),_xlpm.x,INDEX(_xlpm.f,1),IFERROR(--SUBSTITUTE(MID(_xlpm.x,2,9),"A",""),IFERROR(--SUBSTITUTE(INDEX(_xlfn._xlws.FILTER(_xlpm.tk,ISNUMBER(--SUBSTITUTE(_xlpm.tk,"A","")),""),1),"A",""),""))))</f>
        <v>16</v>
      </c>
      <c r="DS226" t="str">
        <f t="shared" si="454"/>
        <v>ok</v>
      </c>
      <c r="DT226">
        <f t="shared" si="455"/>
        <v>16</v>
      </c>
      <c r="DU226" t="str">
        <f t="shared" si="456"/>
        <v>2P С16А 30мА</v>
      </c>
      <c r="DV226">
        <f t="shared" si="457"/>
        <v>30</v>
      </c>
      <c r="DW226">
        <f t="shared" si="458"/>
        <v>1</v>
      </c>
      <c r="DX226">
        <f t="shared" si="459"/>
        <v>0</v>
      </c>
      <c r="DY226">
        <f t="shared" si="460"/>
        <v>0.54696341291648753</v>
      </c>
      <c r="DZ226">
        <f t="shared" si="461"/>
        <v>1</v>
      </c>
      <c r="EA226">
        <f>IF(ISNUMBER(AP226),AP226,К_прокл)</f>
        <v>1</v>
      </c>
      <c r="EB226">
        <f t="shared" si="462"/>
        <v>2</v>
      </c>
      <c r="EC226">
        <f>IFERROR(N(VLOOKUP(BZ226,Кабель_обозначение,3,FALSE)),1)</f>
        <v>1</v>
      </c>
      <c r="ED226">
        <f>IFERROR(N(_xlfn.XLOOKUP(A226,Щиты[Щит],Щиты[ΔU до шин, %])),0)</f>
        <v>1.19</v>
      </c>
      <c r="EE226" t="str">
        <f>IFERROR(_xlfn.XLOOKUP(A226,Щиты[Щит],Щиты[Zпетли на шинах, Ом]),"")</f>
        <v/>
      </c>
      <c r="EF226">
        <f>IFERROR(N(_xlfn.XLOOKUP(A226,Щиты[Щит],Щиты[ΔU до шин (подбор), %])),0)</f>
        <v>1.19</v>
      </c>
      <c r="EG226" t="str">
        <f>IFERROR(_xlfn.XLOOKUP(A226,Щиты[Щит],Щиты[Zпетли на шинах (подбор), Ом]),"")</f>
        <v/>
      </c>
      <c r="EH226" t="str">
        <f t="shared" si="463"/>
        <v/>
      </c>
      <c r="EI226">
        <f t="shared" si="464"/>
        <v>64</v>
      </c>
      <c r="EJ226">
        <f t="shared" si="465"/>
        <v>2</v>
      </c>
      <c r="EK226">
        <f t="shared" si="466"/>
        <v>0.31</v>
      </c>
      <c r="EL226" s="6">
        <f>IF(B226="","",IF(BV226=1,dU_LED,IF(IFERROR(_xlfn.XLOOKUP(BC226,Коды_код,Коды_уго),"")="Светильник",3,4)+IF(Методика="нормы 2026",MIN(0.5,MAX(0,N(P226)-100)*0.005),0)))</f>
        <v>4</v>
      </c>
      <c r="EM226" cm="1">
        <f t="array" ref="EM226">IF(OR(B226="",BZ226="",EC226&lt;&gt;1),"",_xlfn.LET(_xlpm.sz,Iдоп_S,_xlpm.t_,CHOOSE(EB226,Iдоп_1ж,Iдоп_2ж,Iдоп_3ж)*DZ226*EA226,_xlpm.dcx,BV226=1,_xlpm.inn,IF(_xlpm.dcx,N(O226),N(DT226)),_xlpm.smin,MAX(1.5,CC226),_xlpm.L_,N(P226)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226)/N(BU226)*100,999),IFERROR(N(EJ226)*(_xlpm.rho*_xlpm.L_/_xlpm.sz*N(CE226)+_xlpm.xx*_xlpm.L_*N(EK226)/1000)*N(O226)/((Uн_лин/SQRT(3))*1000)*100,999)),_xlpm.kz,IF(OR(_xlpm.dcx,DW226=1,NOT(ISNUMBER(EG226)),_xlpm.L_=0,_xlpm.inn=0),1,IFERROR(--(c_min*(Uн_лин*1000/SQRT(3))/(EG226+2*ρкз_Cu*_xlpm.L_/_xlpm.sz)&gt;=HT226*_xlpm.inn),0)),_xlpm.ok,IFERROR((_xlpm.sz&gt;=_xlpm.smin)*(_xlpm.t_&gt;=_xlpm.inn)*IF(_xlpm.L_&gt;0,(_xlpm.du_+IF(_xlpm.dcx,0,EF226)&lt;=EL226+0.00001),1)*_xlpm.kz,0),_xlpm.r_,_xlfn._xlws.FILTER(_xlpm.sz,_xlpm.ok,"не подобрано"),INDEX(_xlpm.r_,1)))</f>
        <v>1.5</v>
      </c>
      <c r="EN226">
        <f t="shared" si="467"/>
        <v>2.5</v>
      </c>
      <c r="EO226" cm="1">
        <f t="array" ref="EO226">IF(OR(B226="",BZ226="",EC226&lt;&gt;1),"",_xlfn.LET(_xlpm.sz,Iдоп_S,_xlpm.t_,CHOOSE(EB226,Iдоп_1ж,Iдоп_2ж,Iдоп_3ж)*DZ226*EA226,_xlpm.ok,IFERROR((_xlpm.sz&gt;=MAX(1.5,CC226))*(_xlpm.t_&gt;=N(DT226)),0),_xlpm.r_,_xlfn._xlws.FILTER(_xlpm.sz,_xlpm.ok,""),INDEX(_xlpm.r_,1)))</f>
        <v>1.5</v>
      </c>
      <c r="EP226" s="6" cm="1">
        <f t="array" ref="EP226">IFERROR(ROUNDUP(N(EJ226)*(_xlfn.XLOOKUP(EO226,INDEX(Кабель_сопротивление,0,1),INDEX(Кабель_сопротивление,0,3))*N(P226)/EO226*N(CE226)+_xlfn.XLOOKUP(EO226,INDEX(Кабель_сопротивление,0,1),INDEX(Кабель_сопротивление,0,2))*N(P226)*N(EK226)/1000)*N(O226)/((Uн_лин/SQRT(3))*1000)*100,2),"")</f>
        <v>0.5</v>
      </c>
      <c r="EQ226">
        <f>IFERROR(2*ρкз_Cu*N(P226)/EO226,"")</f>
        <v>2.5598666666666667</v>
      </c>
      <c r="ER226">
        <f>IFERROR(VLOOKUP(EN226,Кабель_сопротивление,3,FALSE),"")</f>
        <v>2.2499999999999999E-2</v>
      </c>
      <c r="ES226">
        <f>IFERROR(VLOOKUP(EN226,Кабель_сопротивление,2,FALSE),"")</f>
        <v>0.1</v>
      </c>
      <c r="ET226">
        <f t="shared" si="468"/>
        <v>1</v>
      </c>
      <c r="EU226">
        <f t="shared" si="469"/>
        <v>0</v>
      </c>
      <c r="EV226">
        <f t="shared" si="470"/>
        <v>0.68524998475051124</v>
      </c>
      <c r="EW226" s="6">
        <f>IFERROR(ROUNDUP(EV226/IF(BV226=1,BU226,(Uн_лин/SQRT(3))*1000)*100,2),"")</f>
        <v>0.3</v>
      </c>
      <c r="EX226" t="str">
        <f>IFERROR(VLOOKUP(BZ226,Кабель_обозначение,2,FALSE),"")</f>
        <v>ВВГнг(А)-LS</v>
      </c>
      <c r="EY226" t="str">
        <f t="shared" si="471"/>
        <v>ВВГнг(А)-LS (3х2,5)</v>
      </c>
      <c r="EZ226" t="str">
        <f t="shared" si="472"/>
        <v>ВВГнг(А)-LS (3х2,5)
L=73-0,3%</v>
      </c>
      <c r="FA226">
        <f>IFERROR(2*ρкз_Cu*P226/EN226,"")</f>
        <v>1.53592</v>
      </c>
      <c r="FB226">
        <f t="shared" si="473"/>
        <v>0.51100000000000001</v>
      </c>
      <c r="FC226" s="6" t="str">
        <f>IFERROR(IF(OR(B226="",BV226=1,NOT(ISNUMBER(EN226)),N(P226)=0),"",_xlfn.XLOOKUP(A226,Щиты[Щит],Щиты[Zпетли на шинах, Ом])+FA226),"")</f>
        <v/>
      </c>
      <c r="FD226" s="6" t="str">
        <f>IF(ISNUMBER(FC226),c_min*(Uн_лин*1000/SQRT(3))/FC226,"")</f>
        <v/>
      </c>
      <c r="FE226" s="6" t="str">
        <f>IFERROR(IF(OR(B226="",NOT(ISNUMBER(EN226))),"",1.05*(Uн_лин*1000/SQRT(3))/(_xlfn.XLOOKUP(A226,Щиты[Щит],Щиты[Zmax на шинах, Ом])+FB226)/1000),"")</f>
        <v/>
      </c>
      <c r="FF226" s="6" t="str">
        <f>IF(B226="","",IF(ISNUMBER(AC226),"Сил",IF(IFERROR(_xlfn.XLOOKUP(BC226,Коды_код,Коды_группа)&amp;"","")="","Быт",_xlfn.XLOOKUP(BC226,Коды_код,Коды_группа)&amp;"")))</f>
        <v>Быт</v>
      </c>
      <c r="FG226" s="6" t="str">
        <f t="shared" si="474"/>
        <v>Быт</v>
      </c>
      <c r="FH226" s="6">
        <f>IF(FG226="Щит","щит",IF(FG226="","",IF(FG226="Быт",IFERROR(_xlfn.XLOOKUP(A226,Щиты[Щит],Щиты[Кс быт]),1),IF(FG226="Сил",IF(ISNUMBER(AC226),AC226,IF(Методика="нормы 2026",IFERROR(_xlfn.XLOOKUP(A226,Щиты[Щит],Щиты[Кс силовых (табл. 7.5)]),1),1)),IF(OR(FG226="Пост",FG226="Отоп"),1,IF(FG226="ВНГ",0.7,0))))))</f>
        <v>0.57830000000000004</v>
      </c>
      <c r="FI226">
        <f>IF(FG226="","",IF(AND(BP226=1,TRIM(AE226&amp;"")=""),IF(COUNTIFS(Линии[Щит],A226,Линии[Секция (1/2/3)],"&gt;=2")&gt;0,MIN(3,MAX(1,IFERROR(--BD226,1))),1),IFERROR(MIN(3,MAX(1,INT(--AE226))),1)))</f>
        <v>1</v>
      </c>
      <c r="FJ226">
        <f t="shared" si="475"/>
        <v>0.12</v>
      </c>
      <c r="FK226">
        <f t="shared" si="476"/>
        <v>0.12</v>
      </c>
      <c r="FL226">
        <f t="shared" si="477"/>
        <v>0</v>
      </c>
      <c r="FM226">
        <f t="shared" si="478"/>
        <v>0</v>
      </c>
      <c r="FN226">
        <f t="shared" si="479"/>
        <v>0</v>
      </c>
      <c r="FO226">
        <f t="shared" si="480"/>
        <v>0</v>
      </c>
      <c r="FP226">
        <f t="shared" si="481"/>
        <v>0.12</v>
      </c>
      <c r="FQ226">
        <f t="shared" si="482"/>
        <v>0.12</v>
      </c>
      <c r="FR226">
        <f t="shared" si="483"/>
        <v>0.11399999999999999</v>
      </c>
      <c r="FS226">
        <f>IF(CG226=1,IF(AND(CH226=1,CW226=1),0,IF(AND(CS226&lt;&gt;"",CS226=BA226,CW226=1),SUMIFS(Линии[_Р линии, кВт],Линии[_блок УЗО],BA226,Линии[Щит],A226),N(BS226)+IF(AJ226="вручную",0,N(CK226)))),0)</f>
        <v>0.12</v>
      </c>
      <c r="FT226" t="str">
        <f t="shared" si="484"/>
        <v/>
      </c>
      <c r="FU226" t="str">
        <f>IF(B226="","",IF(CG226=0,IF(BA226=1,"",FW225),IF(AND(CH226=1,CW226=1,CS226&lt;&gt;""),IFERROR(_xlfn.XLOOKUP(CS226,Линии[_n],Линии[_фаза итог]),"L1"),IF(OR(N(DL226)&gt;=3,N(BX226)&gt;=3),"L1,L2,L3",IFERROR(_xlfn.TEXTBEFORE(_xlfn.TEXTAFTER(_xlfn.XLOOKUP(A226,Щиты[Щит],Щиты[_фазы авто]),";"&amp;BA226&amp;":"),";"),"L1")))))</f>
        <v>L2</v>
      </c>
      <c r="FV226" t="str">
        <f t="shared" si="485"/>
        <v>L2</v>
      </c>
      <c r="FW226" t="str">
        <f t="shared" si="486"/>
        <v>L2</v>
      </c>
      <c r="FX226" cm="1">
        <f t="array" ref="FX226">IFERROR(IF(CD226=2,_xlfn.IFS(BX226=3,VLOOKUP(BS226,Справочная_двигатели,3,FALSE),BX226=1,VLOOKUP(BS226,Справочная_двигатели,5,TRUE)),0),0)</f>
        <v>0</v>
      </c>
      <c r="FY226">
        <f>IFERROR(IF(CD226=3,VLOOKUP(BS226,Справочная_ЛЭД,2,TRUE),0),0)</f>
        <v>0</v>
      </c>
      <c r="FZ226" s="6">
        <f t="shared" si="487"/>
        <v>0</v>
      </c>
      <c r="GA226" t="str">
        <f>IF(B226="","",IF(TRIM(AH226&amp;"")&lt;&gt;"",IF(LOWER(TRIM(AH226&amp;""))="да","да","нет"),IF(IFERROR(_xlfn.XLOOKUP(BC226,Коды_код,Коды_пожарная),"")="да","да","нет")))</f>
        <v>нет</v>
      </c>
      <c r="GB226" t="str">
        <f t="shared" si="488"/>
        <v/>
      </c>
      <c r="GC226" t="str">
        <f t="shared" si="489"/>
        <v>основная</v>
      </c>
      <c r="GD226">
        <f>IF(AND(BP226=1,TRIM(AE226&amp;"")=""),IF(COUNTIFS(Линии[Щит],A226,Линии[Секция (1/2/3)],"&gt;=2")&gt;0,MIN(3,MAX(1,IFERROR(--BD226,1))),1),IFERROR(MIN(3,MAX(1,INT(--AE226))),1))</f>
        <v>1</v>
      </c>
      <c r="GE226" t="str" cm="1">
        <f t="array" ref="GE226">IF(B226="","",_xlfn.LET(_xlpm.t,IFERROR(_xlfn.XLOOKUP(1,(Шины[Шина]=GC226)*(((Шины[Щит]=A226)+(Шины[Щит]=""))&gt;0),Шины[Тип]),"")&amp;"",IF(_xlpm.t&lt;&gt;"",_xlpm.t,IF(ISNUMBER(SEARCH("ИБП",GC226)),"ИБП",IF(ISNUMBER(SEARCH("ДГУ",GC226)),"ДГУ","Ввод "&amp;GD226)))))</f>
        <v>Ввод 1</v>
      </c>
      <c r="GF226" t="str">
        <f t="shared" si="490"/>
        <v>Ввод 1</v>
      </c>
      <c r="GG226" t="str">
        <f>IF(BP226=0,"",IF(TRIM(AG226&amp;"")&lt;&gt;"",TRIM(AG226&amp;""),IF(OR(GE226="ИБП",GE226="ДГУ"),"I особая",_xlfn.XLOOKUP(A226,Щиты[Щит],Щиты[Категория шины «Ввод»],"III"))))</f>
        <v/>
      </c>
      <c r="GH226" t="str">
        <f>IF(A226="","",_xlfn.XLOOKUP(A226,Щиты[Щит],Щиты[Путь],""))</f>
        <v>|ГРЩ-ЖД|ЩР-1|</v>
      </c>
      <c r="GI226" t="str">
        <f>IF(B226="","",IF(AI226&lt;&gt;"",AI226,IF(IFERROR(_xlfn.XLOOKUP(BC226,Коды_код,Коды_вид)&amp;"","")="","Прочее",_xlfn.XLOOKUP(BC226,Коды_код,Коды_вид)&amp;"")))</f>
        <v>Розеточная сеть и бытовые приборы</v>
      </c>
      <c r="GJ226">
        <f>IF(BM226="","",INT((BM226-1)/Столбцов_на_лист)+1)</f>
        <v>1</v>
      </c>
      <c r="GK226" t="str">
        <f t="shared" si="491"/>
        <v>ВВГнг(А)-LS (3х2,5) L=73-0,3%</v>
      </c>
      <c r="GL226">
        <f t="shared" si="492"/>
        <v>0.12</v>
      </c>
      <c r="GM226">
        <f t="shared" si="493"/>
        <v>0.55000000000000004</v>
      </c>
      <c r="GN226">
        <f t="shared" si="494"/>
        <v>1</v>
      </c>
      <c r="GO226">
        <f t="shared" si="495"/>
        <v>0</v>
      </c>
      <c r="GP226">
        <f t="shared" si="496"/>
        <v>1</v>
      </c>
      <c r="GQ226">
        <f>IF(BM226="","",IF(AND(CG226=1,GP226=1),COUNTIFS(A$3:A226,A226,CG$3:CG226,1,GP$3:GP226,1),IF(OR(OR(BA226=1,A226&lt;&gt;A225),AJ226="вручную",GP226=0),"",IF(BA226=1,"",GR225))))</f>
        <v>2</v>
      </c>
      <c r="GR226">
        <f t="shared" si="497"/>
        <v>2</v>
      </c>
      <c r="GS226">
        <f>IF(B226="","",IFERROR(LOOKUP(INDEX(CHOOSE(EB226,Iдоп_1ж,Iдоп_2ж,Iдоп_3ж),MATCH(EN226,Iдоп_S,0))*DZ226*EA226,{6,10,16,20,25,32,40,50,63,80,100,125,160,200,250,315,400,500,630}),""))</f>
        <v>25</v>
      </c>
      <c r="GT226" t="str">
        <f t="shared" si="498"/>
        <v>QFD2</v>
      </c>
      <c r="GU226" t="str">
        <f t="shared" si="499"/>
        <v>QFD2</v>
      </c>
      <c r="GV226" t="str">
        <f t="shared" si="500"/>
        <v/>
      </c>
      <c r="GW226">
        <f t="shared" si="501"/>
        <v>0</v>
      </c>
      <c r="GX226" t="str">
        <f>IF(OR(B226="",DJ226=""),"",IFERROR(_xlfn.XLOOKUP(DJ226,Модули_умолч[Управление],Модули_умолч[Модель])&amp;"",""))</f>
        <v/>
      </c>
      <c r="GY226">
        <f>IF(DJ226="",1,IFERROR(MAX(0,N(_xlfn.XLOOKUP(DJ226,Модули_умолч[Управление],Модули_умолч[Каналов на линию]))),1))</f>
        <v>1</v>
      </c>
      <c r="GZ226" t="str">
        <f t="shared" si="502"/>
        <v/>
      </c>
      <c r="HA226" t="str">
        <f t="shared" si="503"/>
        <v/>
      </c>
      <c r="HB226" t="str">
        <f t="shared" si="504"/>
        <v/>
      </c>
      <c r="HC226">
        <f>IF(HB226="",0,IFERROR(N(VLOOKUP(HB226,Модули_спр,3,FALSE)),0))</f>
        <v>0</v>
      </c>
      <c r="HD226" t="str">
        <f t="shared" si="505"/>
        <v/>
      </c>
      <c r="HE226" t="str">
        <f t="shared" si="506"/>
        <v/>
      </c>
      <c r="HF226" t="str">
        <f>IF(OR(HE226="",HE226="-"),"",IFERROR(VLOOKUP(HE226,Модули_спр,2,FALSE),"R"))</f>
        <v/>
      </c>
      <c r="HG226" t="str">
        <f>IF(HF226="","",HF226&amp;"."&amp;COUNTIFS(A$3:A226,A226,HF$3:HF226,HF226))</f>
        <v/>
      </c>
      <c r="HH226" t="str">
        <f t="shared" si="507"/>
        <v/>
      </c>
      <c r="HI226" t="str">
        <f t="shared" si="508"/>
        <v/>
      </c>
      <c r="HJ226" t="str">
        <f t="shared" si="509"/>
        <v/>
      </c>
      <c r="HK226" t="str">
        <f t="shared" si="510"/>
        <v/>
      </c>
      <c r="HL226">
        <f t="shared" si="511"/>
        <v>1</v>
      </c>
      <c r="HM226" t="str">
        <f>IF(HL226=1,"XT"&amp;COUNTIFS(A$3:A226,A226,HL$3:HL226,1),"")</f>
        <v>XT2</v>
      </c>
      <c r="HN226" t="str">
        <f t="shared" si="512"/>
        <v>XT2</v>
      </c>
      <c r="HO226" t="str">
        <f t="shared" si="513"/>
        <v>QFD2</v>
      </c>
      <c r="HP226" t="str">
        <f t="shared" si="514"/>
        <v/>
      </c>
      <c r="HQ226" t="str">
        <f t="shared" si="515"/>
        <v>ok</v>
      </c>
      <c r="HR226" t="str">
        <f>IF(OR(HJ226="",HH226=""),"",IF(HJ226+MAX(0,GY226-1)&gt;IFERROR(VLOOKUP(HI226,Модули_спр,3,FALSE),99),"ЛИШНИЙ КАНАЛ",IF(AND(AL226&lt;&gt;"=",GY226&gt;0,COUNTIFS(Линии[_модуль гр.],HH226,Линии[Канал (итог)],HJ226,Линии[Канал],"&lt;&gt;=",Линии[Щит],A226)&gt;1),"ДУБЛЬ КАНАЛА","")))</f>
        <v/>
      </c>
      <c r="HS226" s="6" t="str">
        <f t="shared" si="516"/>
        <v/>
      </c>
      <c r="HT226">
        <f t="shared" si="517"/>
        <v>10</v>
      </c>
      <c r="HU226" t="str">
        <f t="shared" si="518"/>
        <v/>
      </c>
      <c r="HV226">
        <f t="shared" si="519"/>
        <v>0.94878536516659495</v>
      </c>
      <c r="HW226">
        <f t="shared" si="520"/>
        <v>0</v>
      </c>
      <c r="HX226">
        <f t="shared" si="521"/>
        <v>0</v>
      </c>
      <c r="HY226">
        <f t="shared" si="522"/>
        <v>0</v>
      </c>
      <c r="HZ226">
        <f t="shared" si="523"/>
        <v>0</v>
      </c>
      <c r="IA226">
        <f t="shared" si="524"/>
        <v>0</v>
      </c>
      <c r="IB226">
        <f t="shared" si="525"/>
        <v>0</v>
      </c>
      <c r="IC226" t="str">
        <f t="shared" si="526"/>
        <v/>
      </c>
      <c r="ID226" t="str" cm="1">
        <f t="array" ref="ID226">IF(IC226="","",_xlfn.LET(_xlpm.tk,_xlfn.TEXTSPLIT(SUBSTITUTE(SUBSTITUTE(IC226,";"," "),"→"," ")," ",,TRUE),_xlpm.w_,_xlfn._xlws.FILTER(_xlpm.tk,ISNUMBER(--LEFT(_xlpm.tk,1))*((ISNUMBER(SEARCH("W",_xlpm.tk))+ISNUMBER(SEARCH("Вт",_xlpm.tk)))&gt;0),""),IFERROR(--SUBSTITUTE(SUBSTITUTE(UPPER(INDEX(_xlpm.w_,1)),"W",""),"ВТ",""),"")))</f>
        <v/>
      </c>
      <c r="IE226" t="str" cm="1">
        <f t="array" ref="IE226">IF(IC226="","",_xlfn.LET(_xlpm.tk,_xlfn.TEXTSPLIT(SUBSTITUTE(SUBSTITUTE(IC226,";"," "),"→"," ")," ",,TRUE),_xlpm.v_,_xlfn._xlws.FILTER(_xlpm.tk,ISNUMBER(--LEFT(_xlpm.tk,1))*((ISNUMBER(SEARCH("V",_xlpm.tk))+(RIGHT(UPPER(_xlpm.tk))="В"))&gt;0),""),IFERROR(--SUBSTITUTE(SUBSTITUTE(UPPER(INDEX(_xlpm.v_,1)),"V",""),"В",""),"")))</f>
        <v/>
      </c>
      <c r="IF226" s="6" t="str">
        <f>IF(OR(BV226=0,HI226="",HJ226=""),"",IFERROR(N(_xlfn.XLOOKUP(HI226,Каталог!$C$4:$C$500,Каталог!$Q$4:$Q$500)),""))</f>
        <v/>
      </c>
      <c r="IG226" s="6" t="str">
        <f>IF(N(IF226)=0,"",SUMIFS(Линии[Iр, А],Линии[Щит],A226,Линии[_модуль гр.],HH226,Линии[Канал (итог)],HJ226))</f>
        <v/>
      </c>
      <c r="IH226" t="str">
        <f>IF(AND(B226="",HO226=""),"",_xlfn.TEXTJOIN("; ",TRUE,IF(AND(B226&lt;&gt;"",FV226=""),"нет фазы",""),IF(AND(B226&lt;&gt;"",N(GL226)=0,FG226&lt;&gt;"Нет"),"нет мощности",""),IF(AND(HN226&lt;&gt;"",COUNTIFS(Линии[Щит],A226,Линии[Клемма (итог)],HN226)&gt;1),"дубль клеммы "&amp;HN226,""),IF(AND(HQ226&lt;&gt;"",HQ226&lt;&gt;"ok"),HQ226,""),IF(HR226&lt;&gt;"",HR226,""),IF(AND(N(CB226)&gt;=4,N(BX226)=1),CB226&amp;" жил на 1 фазе",""),IF(AND(BC226="R",CG226=1,IF(CS226&lt;&gt;"",N(CV226)&gt;30,OR(N(DA226)=0,N(DA226)&gt;30))),"розетка без дифзащиты до 30 мА",""),IF(AND(CG226=1,N(DA226)&gt;0,ISNUMBER(T226)),IF(T226&gt;N(DA226)/3,"ток утечки "&amp;FIXED(T226,1)&amp;" мА &gt; 1/3 уставки ("&amp;DA226&amp;" мА)",""),""),IF(AND(CH226=1,CS226=""),"«узо»: нет строки с УЗО выше (УЗО 2P 40А 30мА в «Аппаратах»)",""),IF(AND(CS226&lt;&gt;"",CS226=BA226),IF(CT226="","впишите номинал УЗО (УЗО 2P 40А 30мА)",IF(N(CT226)&lt;N(DT226),"УЗО "&amp;CT226&amp;" А &lt; автомата "&amp;DT226&amp;" А перед ним",IF(N(CT226)&lt;N(CX226),"УЗО "&amp;CT226&amp;" А &lt; тока блока "&amp;FIXED(CX226,1)&amp;" А",""))),""),IF(AND(CS226&lt;&gt;"",CS226=BA226,ISNUMBER(CY226)),IF(CY226&gt;N(CV226)/3,"ток утечки блока УЗО "&amp;FIXED(CY226,1)&amp;" мА &gt; 1/3 уставки ("&amp;CV226&amp;" мА)",""),""),IF(AND(CG226=1,N(BV226)+N(IB226)&gt;0,IC226=""),"линии до 50 В без БП: впишите в «Аппараты» (БП 24V 480W)",""),IF(AND(CG226=1,ISNUMBER(ID226),ISNUMBER(U226)),IF(U226&gt;ID226,"БП "&amp;ID226&amp;" Вт &lt; нужно "&amp;U226&amp;" Вт (×"&amp;Запас_БП&amp;")",""),""),IF(AND(CG226=1,ISNUMBER(IE226),N(BV226)=1),IF(IE226&lt;&gt;N(BU226),"БП на "&amp;IE226&amp;" В, линия "&amp;BU226&amp;" В",""),""),IF(AND(N(IF226)&gt;0,N(IG226)&gt;N(IF226)),HH226&amp;" канал "&amp;HJ226&amp;": "&amp;FIXED(IG226,1)&amp;" А &gt; "&amp;IF226&amp;" А",""),IFERROR(IF(AND(ISNUMBER(Q226),Q226&gt;EL226),"потери "&amp;FIXED(Q226,1)&amp;" % &gt; "&amp;EL226&amp;" %",""),""),IFERROR(IF(LEFT(HU226,4)="мало","Iкз мало — отключение &gt; 0,4 с",""),""),IF(AND(B226&lt;&gt;"",BM226=""),"не на схеме",""),IF(AND(CG226=0,B226&lt;&gt;"",FV226&lt;&gt;"",IF(BA226=1,"",FW225)&lt;&gt;"",FV226&lt;&gt;IF(BA226=1,"",FW225)),"фаза не как у автомата группы ("&amp;IF(BA226=1,"",FW225)&amp;")","")))</f>
        <v/>
      </c>
      <c r="II226" s="6">
        <f>IF(OR(CG226=0,DQ226=""),"",_xlfn.LET(_xlpm.t,IFERROR(_xlfn.XLOOKUP(DQ226,Каталог!$U$4:$U$500,Каталог!$G$4:$G$500),""),_xlpm.k,SEARCH("кА",_xlpm.t),IFERROR(--TRIM(RIGHT(SUBSTITUTE(MID(_xlpm.t,MAX(1,_xlpm.k-4),_xlpm.k-MAX(1,_xlpm.k-4))," ",REPT(" ",9)),5)),"")))</f>
        <v>6</v>
      </c>
      <c r="IJ226" t="str">
        <f>IF(OR(II226="",CG226=0),"",IF(_xlfn.XLOOKUP(A226,Щиты[Щит],Щиты[Iкз max на шинах, кА],"")="","",IF(II226&lt;_xlfn.XLOOKUP(A226,Щиты[Щит],Щиты[Iкз max на шинах, кА]),"Icu "&amp;II226&amp;" кА &lt; Iкз max","ok")))</f>
        <v/>
      </c>
      <c r="IK226" t="str">
        <f t="shared" si="527"/>
        <v/>
      </c>
      <c r="IL226" t="str">
        <f t="shared" si="528"/>
        <v>QFD2|XT2</v>
      </c>
      <c r="IM226" t="str">
        <f t="shared" si="529"/>
        <v>QFD2|XT2|кабель ВВГнг(А)-LS (3х2,5) → Розеточная группа Первый этаж Пом. №001Aб, 002Аб</v>
      </c>
      <c r="IN226" t="str" cm="1">
        <f t="array" ref="IN226">IF(IM226="","",_xlfn.LET(_xlpm.nd,_xlfn.TEXTSPLIT(IM226,"|"),IF(COLUMNS(_xlpm.nd)&gt;1,A226&amp;"¦"&amp;INDEX(_xlpm.nd,1)&amp;"¦"&amp;INDEX(_xlpm.nd,2),"")))</f>
        <v>ЩР-1¦QFD2¦XT2</v>
      </c>
      <c r="IO226" t="str">
        <f t="shared" si="530"/>
        <v>R.1.001Aб.1¦Розеточная группа Первый этаж Пом. №001Aб, 002Аб</v>
      </c>
      <c r="IP226" t="str" cm="1">
        <f t="array" ref="IP226">IF(IM226="","",_xlfn.LET(_xlpm.nd,_xlfn.TEXTSPLIT(IM226,"|"),IF(COLUMNS(_xlpm.nd)&gt;2,A226&amp;"¦"&amp;INDEX(_xlpm.nd,2)&amp;"¦"&amp;INDEX(_xlpm.nd,3),"")))</f>
        <v>ЩР-1¦XT2¦кабель ВВГнг(А)-LS (3х2,5) → Розеточная группа Первый этаж Пом. №001Aб, 002Аб</v>
      </c>
      <c r="IQ226" t="str">
        <f t="shared" si="531"/>
        <v>R.1.001Aб.1¦Розеточная группа Первый этаж Пом. №001Aб, 002Аб</v>
      </c>
      <c r="IR226" t="str" cm="1">
        <f t="array" ref="IR226">IF(IM226="","",_xlfn.LET(_xlpm.nd,_xlfn.TEXTSPLIT(IM226,"|"),IF(COLUMNS(_xlpm.nd)&gt;3,A226&amp;"¦"&amp;INDEX(_xlpm.nd,3)&amp;"¦"&amp;INDEX(_xlpm.nd,4),"")))</f>
        <v/>
      </c>
      <c r="IS226" t="str">
        <f t="shared" si="532"/>
        <v/>
      </c>
      <c r="IT226" t="str" cm="1">
        <f t="array" ref="IT226">IF(IM226="","",_xlfn.LET(_xlpm.nd,_xlfn.TEXTSPLIT(IM226,"|"),IF(COLUMNS(_xlpm.nd)&gt;4,A226&amp;"¦"&amp;INDEX(_xlpm.nd,4)&amp;"¦"&amp;INDEX(_xlpm.nd,5),"")))</f>
        <v/>
      </c>
      <c r="IU226" t="str">
        <f t="shared" si="533"/>
        <v/>
      </c>
      <c r="IV226" t="str" cm="1">
        <f t="array" ref="IV226">IF(IM226="","",_xlfn.LET(_xlpm.nd,_xlfn.TEXTSPLIT(IM226,"|"),IF(COLUMNS(_xlpm.nd)&gt;5,A226&amp;"¦"&amp;INDEX(_xlpm.nd,5)&amp;"¦"&amp;INDEX(_xlpm.nd,6),"")))</f>
        <v/>
      </c>
      <c r="IW226" t="str">
        <f t="shared" si="534"/>
        <v/>
      </c>
      <c r="IX226" t="str" cm="1">
        <f t="array" ref="IX226">IF(IM226="","",_xlfn.LET(_xlpm.nd,_xlfn.TEXTSPLIT(IM226,"|"),IF(COLUMNS(_xlpm.nd)&gt;6,A226&amp;"¦"&amp;INDEX(_xlpm.nd,6)&amp;"¦"&amp;INDEX(_xlpm.nd,7),"")))</f>
        <v/>
      </c>
      <c r="IY226" t="str">
        <f t="shared" si="535"/>
        <v/>
      </c>
      <c r="IZ226" t="str">
        <f t="shared" si="536"/>
        <v/>
      </c>
      <c r="JA226" t="str">
        <f t="shared" si="537"/>
        <v>QFD2 → XT2</v>
      </c>
      <c r="JB226">
        <f t="shared" si="538"/>
        <v>0</v>
      </c>
      <c r="JC226">
        <f t="shared" si="539"/>
        <v>1</v>
      </c>
      <c r="JD226" t="str">
        <f t="shared" si="540"/>
        <v/>
      </c>
      <c r="JE226" t="str">
        <f t="shared" si="541"/>
        <v/>
      </c>
      <c r="JF226" t="str">
        <f t="shared" si="542"/>
        <v/>
      </c>
      <c r="JG226" t="str">
        <f t="shared" si="543"/>
        <v/>
      </c>
      <c r="JH226" t="str">
        <f>IF(B226="","",IFERROR(_xlfn.XLOOKUP(B226,Коды_код,Коды_уго),IFERROR(_xlfn.XLOOKUP(BC226,Коды_код,Коды_уго),IFERROR(_xlfn.XLOOKUP(LEFT(BC226,2),Коды_код,Коды_уго),""))))</f>
        <v>Розетка</v>
      </c>
      <c r="JI226" t="str">
        <f>IF(B226="","",IF(OR(JH226="",JH226=0),"BOX",IFERROR(IF(VLOOKUP(JH226,УГО_блоки,3,FALSE)&amp;""&lt;&gt;"",VLOOKUP(JH226,УГО_блоки,3,FALSE),VLOOKUP(JH226,УГО_блоки,2,FALSE)),JH226)))</f>
        <v>SOCKET</v>
      </c>
      <c r="JJ226">
        <f t="shared" si="544"/>
        <v>1</v>
      </c>
      <c r="JK226" t="str">
        <f>IF(DQ226="","",IF(COUNTIF(DQ$3:DQ226,DQ226)=1,MAX(JK$2:JK225)+1,""))</f>
        <v/>
      </c>
      <c r="JL226" t="str">
        <f>IF(DE226="","",IF(COUNTIF(DE$3:DE226,DE226)+COUNTIF(DF$2:DF225,DE226)+COUNTIF(DG$2:DG225,DE226)=1,MAX(JL$2:JN225)+1,""))</f>
        <v/>
      </c>
      <c r="JM226" t="str">
        <f>IF(DF226="","",IF(COUNTIF(DE$3:DE226,DF226)+COUNTIF(DF$3:DF226,DF226)+COUNTIF(DG$2:DG225,DF226)=1,MAX(JL$2:JN225,JL226)+1,""))</f>
        <v/>
      </c>
      <c r="JN226" t="str">
        <f>IF(DG226="","",IF(COUNTIF(DE$3:DE226,DG226)+COUNTIF(DF$3:DF226,DG226)+COUNTIF(DG$3:DG226,DG226)=1,MAX(JL$2:JN225,JL226,JM226)+1,""))</f>
        <v/>
      </c>
      <c r="JO226" t="str">
        <f t="shared" si="545"/>
        <v>3х2,5</v>
      </c>
      <c r="JP226" t="str">
        <f>IF(JO226="","",IF(COUNTIF(JO$3:JO226,JO226)=1,MAX(JP$2:JP225)+1,""))</f>
        <v/>
      </c>
      <c r="JQ226" t="str">
        <f>IF(HG226="","",COUNTIF(HG$3:HG226,"?*"))</f>
        <v/>
      </c>
      <c r="JR226" t="str">
        <f>IF(OR(HG226="",HI226=""),"",IF(COUNTIFS(HG$3:HG226,"?*",HI$3:HI226,HI226)=1,MAX(JR$2:JR225)+1,""))</f>
        <v/>
      </c>
      <c r="JS226">
        <f t="shared" si="546"/>
        <v>0</v>
      </c>
      <c r="JT226">
        <f>IF(B226="","",COUNTIF(B$3:B226,"?*"))</f>
        <v>224</v>
      </c>
      <c r="JU226">
        <f>IF(HL226&lt;&gt;1,0,_xlfn.LET(_xlpm.k,MAX(IFERROR(--_xlfn.XLOOKUP(B226,Коды_код,Коды_3L),0),IFERROR(--_xlfn.XLOOKUP(BC226,Коды_код,Коды_3L),0),IFERROR(--_xlfn.XLOOKUP(LEFT(BC226,2),Коды_код,Коды_3L),0)),IF(_xlpm.k&gt;0,_xlpm.k,IF(IFERROR(--LEFT(SUBSTITUTE(JO226,"x","х"),FIND("х",SUBSTITUTE(JO226,"x","х"))-1),3)&gt;3,Каталог!$S$9,1))))</f>
        <v>1</v>
      </c>
      <c r="JV226">
        <f t="shared" si="547"/>
        <v>0</v>
      </c>
      <c r="JW226" t="str">
        <f t="shared" si="548"/>
        <v>авто</v>
      </c>
      <c r="JX226">
        <f t="shared" si="549"/>
        <v>30</v>
      </c>
      <c r="JY226">
        <f t="shared" si="550"/>
        <v>1</v>
      </c>
      <c r="JZ226">
        <f t="shared" si="551"/>
        <v>1</v>
      </c>
    </row>
    <row r="227" spans="1:286" x14ac:dyDescent="0.3">
      <c r="A227" t="s">
        <v>757</v>
      </c>
      <c r="B227" t="s">
        <v>1533</v>
      </c>
      <c r="C227" t="str">
        <f>Линии[[#This Row],[_авто наименование]]</f>
        <v>Розеточная группа, пом. 001Г</v>
      </c>
      <c r="D227">
        <v>1</v>
      </c>
      <c r="E227">
        <v>0.12</v>
      </c>
      <c r="G227" t="str">
        <f>Линии[[#This Row],[_авто автомат]]</f>
        <v>2P С16А 30мА</v>
      </c>
      <c r="H227" t="str">
        <f>Линии[[#This Row],[_авто управление]]</f>
        <v/>
      </c>
      <c r="I227" t="str">
        <f>Линии[[#This Row],[_авто аппараты]]</f>
        <v/>
      </c>
      <c r="J227">
        <v>2.5</v>
      </c>
      <c r="K227">
        <v>56</v>
      </c>
      <c r="L227" t="str">
        <f>Линии[[#This Row],[_авто фаза]]</f>
        <v>L1</v>
      </c>
      <c r="M227" t="str">
        <f>Линии[[#This Row],[_авто клемма]]</f>
        <v>XT3</v>
      </c>
      <c r="N227" t="str">
        <f t="shared" si="414"/>
        <v/>
      </c>
      <c r="O227" s="6" cm="1">
        <f t="array" ref="O227">IF(B227="","",IF(BH227&lt;&gt;"",IFERROR(_xlfn.XLOOKUP(BH227,Щиты[Щит],Щиты[Iр, А]),""),IF(BP227=1,IF(OR(N(_xlfn.XLOOKUP(A227,Щиты[Щит],Щиты[Вводов],1))&lt;=1,LOWER(TRIM(_xlfn.XLOOKUP(A227,Щиты[Щит],Щиты[АВР],"")&amp;""))="да"),IFERROR(_xlfn.XLOOKUP(A227,Щиты[Щит],Щиты[Iр, А]),""),IFERROR(N(BS227)*_xlfn.XLOOKUP(A227,Щиты[Щит],Щиты[Кс итог])/(SQRT(3)*Uн_лин*_xlfn.XLOOKUP(A227,Щиты[Щит],Щиты[cos φ])),"")),IF(BV227=1,IFERROR(BS227*1000/BU227,""),IFERROR(_xlfn.IFS(BX227=1,BS227/((Uн_лин/SQRT(3))*CE227),BX227=3,BS227/(SQRT(3)*Uн_лин*CE227)),"")))))</f>
        <v>0.54696341291648753</v>
      </c>
      <c r="P227" s="7">
        <f>IF(B227="","",IFERROR(IF(VLOOKUP(BC227,Потребители_обозначение,4,FALSE)=1,VLOOKUP(BC227,Потребители_обозначение,3,FALSE)*(MAX(1,N(D227))*2-1)+EI227+VLOOKUP(BE227,Этаж_обозначение,3,FALSE)+VLOOKUP(BE227,Этаж_обозначение,4,FALSE),VLOOKUP(BC227,Потребители_обозначение,3,FALSE)*(MAX(1,N(D227))*2-1)+EI227),EI227))</f>
        <v>59</v>
      </c>
      <c r="Q227" s="6">
        <f t="shared" si="415"/>
        <v>1.43</v>
      </c>
      <c r="R227" t="str">
        <f t="shared" si="416"/>
        <v>ВВГнг(А)-LS (3х2,5)</v>
      </c>
      <c r="S227" t="str">
        <f>IF(BM227="","",IF(BN227="вводной узел","узел ","")&amp;"л."&amp;(INT((BM227-1)/Столбцов_на_лист)+1)&amp;" / "&amp;(MOD(BM227-1,Столбцов_на_лист)+1))</f>
        <v>л.1 / 11</v>
      </c>
      <c r="T227" s="119">
        <f t="shared" si="417"/>
        <v>0.8</v>
      </c>
      <c r="U227" s="7" t="str">
        <f>IF(OR(CG227=0,N(BV227)+N(IB227)=0),"",ROUNDUP(Запас_БП*(N(HY227)+N(HZ227)),0))</f>
        <v/>
      </c>
      <c r="V227" s="119" t="str">
        <f t="shared" si="418"/>
        <v/>
      </c>
      <c r="W227" s="7" t="str">
        <f>IFERROR(IF(OR(B227="",BP227=1,BV227=1,NOT(ISNUMBER(EN227)),N(DT227)=0),"",MAX(0,ROUNDDOWN((c_min*(Uн_лин*1000/SQRT(3))/(HT227*N(DT227))-_xlfn.XLOOKUP(A227,Щиты[Щит],Щиты[Zпетли на шинах, Ом]))*EN227/(2*ρкз_Cu),0))),"")</f>
        <v/>
      </c>
      <c r="Y227">
        <f>Линии[[#This Row],[_авто утечка]]</f>
        <v>30</v>
      </c>
      <c r="Z227">
        <v>1</v>
      </c>
      <c r="AA227">
        <v>230</v>
      </c>
      <c r="AB227" t="s">
        <v>562</v>
      </c>
      <c r="AG227" t="s">
        <v>810</v>
      </c>
      <c r="AI227" t="s">
        <v>561</v>
      </c>
      <c r="AK227" t="str">
        <f>Линии[[#This Row],[_авто модуль]]</f>
        <v/>
      </c>
      <c r="AM227">
        <v>11</v>
      </c>
      <c r="AN227" t="s">
        <v>11</v>
      </c>
      <c r="AO227">
        <v>3</v>
      </c>
      <c r="AQ227">
        <v>12</v>
      </c>
      <c r="AR227">
        <v>15</v>
      </c>
      <c r="AS227">
        <v>32</v>
      </c>
      <c r="BA227" cm="1">
        <f t="array" ref="BA227">ROW()-ROW(Линии[#Headers])</f>
        <v>225</v>
      </c>
      <c r="BC227" s="6" t="str">
        <f t="shared" si="419"/>
        <v>R</v>
      </c>
      <c r="BD227" t="str">
        <f t="shared" si="420"/>
        <v>1.001Г.1</v>
      </c>
      <c r="BE227" t="str">
        <f t="shared" si="421"/>
        <v>1</v>
      </c>
      <c r="BF227" t="str">
        <f t="shared" si="422"/>
        <v>001Г.1</v>
      </c>
      <c r="BG227" t="str">
        <f t="shared" si="423"/>
        <v>001Г</v>
      </c>
      <c r="BH227" t="str">
        <f>IF(X227&lt;&gt;"",X227,IF(AND(B227&lt;&gt;"",B227&lt;&gt;A227,ISNUMBER(_xlfn.XMATCH(B227,Щиты[Щит]))),B227,""))</f>
        <v/>
      </c>
      <c r="BI227" t="str" cm="1">
        <f t="array" ref="BI227">IF(B227="","",IF(BH227&lt;&gt;"","Щит "&amp;BH227,_xlfn.LET(_xlpm.nm,IFERROR(_xlfn.XLOOKUP(BC227,Коды_код,Коды_имя)&amp;"",""),_xlpm.md,IFERROR(N(_xlfn.XLOOKUP(BC227,Коды_код,Коды_режим)),1),_xlpm.ex,IF(Имя_режим="по экспликации",IFERROR(_xlfn.XLOOKUP(BE227&amp;"|"&amp;BG227,Экспликация[Этаж]&amp;"|"&amp;Экспликация[Помещение],Экспликация[Название])&amp;"",""),""),_xlpm.rm,IF(BG227="","",IF(_xlpm.ex&lt;&gt;"",". "&amp;_xlpm.ex&amp;IF(Имя_пом="нет"," ("&amp;BG227&amp;")"," (пом. "&amp;BG227&amp;")"),IF(Имя_пом="нет"," ",", пом. ")&amp;BG227)),IF(_xlpm.nm="","",IF(_xlpm.md=2,_xlpm.nm&amp;" шлейф "&amp;BE227,_xlpm.nm&amp;_xlpm.rm)))))</f>
        <v>Розеточная группа, пом. 001Г</v>
      </c>
      <c r="BJ227" t="str">
        <f t="shared" si="424"/>
        <v>Розеточная группа, пом. 001Г</v>
      </c>
      <c r="BK227">
        <f>IFERROR(_xlfn.XMATCH(A227,Щиты[Щит]),0)</f>
        <v>10</v>
      </c>
      <c r="BL227">
        <f>_xlfn.LET(_xlpm.k,IFERROR(_xlfn.XLOOKUP(A227,Щиты[Щит],Щиты[Мест под вводной узел]),""),IF(_xlpm.k="",Столбцов_на_лист,N(_xlpm.k)))</f>
        <v>8</v>
      </c>
      <c r="BM227">
        <f t="shared" si="425"/>
        <v>11</v>
      </c>
      <c r="BN227" t="str">
        <f t="shared" si="426"/>
        <v>линии</v>
      </c>
      <c r="BO227" s="6">
        <f>IFERROR(N(_xlfn.XLOOKUP(BC227,Коды_код,Коды_квт)),0)</f>
        <v>0</v>
      </c>
      <c r="BP227">
        <f t="shared" si="427"/>
        <v>0</v>
      </c>
      <c r="BQ227" t="str">
        <f>IF(B227="","",IF(BH227&lt;&gt;"",IFERROR(_xlfn.XLOOKUP(BH227,Щиты[Щит],Щиты[Руст, кВт]),0),IF(BP227=1,IF(OR(N(_xlfn.XLOOKUP(A227,Щиты[Щит],Щиты[Вводов],1))&lt;=1,LOWER(TRIM(_xlfn.XLOOKUP(A227,Щиты[Щит],Щиты[АВР],"")&amp;""))="да"),IFERROR(_xlfn.XLOOKUP(A227,Щиты[Щит],Щиты[Руст, кВт]),0),SUMIFS(Линии[_Р для вводов],Линии[Щит],A227,Линии[Источник для режимов],GF227)),IF(BO227&gt;0,ROUND(BO227*MAX(1,N(D227)),3),""))))</f>
        <v/>
      </c>
      <c r="BR227">
        <f t="shared" si="428"/>
        <v>0.12</v>
      </c>
      <c r="BS227" s="6">
        <f>IF(B227="","",IF(BH227&lt;&gt;"",IFERROR(_xlfn.XLOOKUP(BH227,Щиты[Щит],Щиты[Руст, кВт]),0),N(BR227)))</f>
        <v>0.12</v>
      </c>
      <c r="BT227" t="str">
        <f>IF(B227="","",IFERROR(IF(VLOOKUP(BC227,Потребители_обозначение,8,FALSE)=0,"",VLOOKUP(BC227,Потребители_обозначение,8,FALSE)),""))</f>
        <v/>
      </c>
      <c r="BU227">
        <f t="shared" si="429"/>
        <v>230</v>
      </c>
      <c r="BV227">
        <f t="shared" si="430"/>
        <v>0</v>
      </c>
      <c r="BW227">
        <f>IF(B227="","",IF(BH227&lt;&gt;"",3,IFERROR(IF(N(VLOOKUP(BC227,Потребители_обозначение,9,FALSE))=0,1,VLOOKUP(BC227,Потребители_обозначение,9,FALSE)),1)))</f>
        <v>1</v>
      </c>
      <c r="BX227">
        <f t="shared" si="431"/>
        <v>1</v>
      </c>
      <c r="BY227" t="str">
        <f>IF(B227="","",_xlfn.LET(_xlpm.bc,IFERROR(IF(VLOOKUP(BC227,Потребители_обозначение,6,FALSE)=0,"",VLOOKUP(BC227,Потребители_обозначение,6,FALSE)&amp;""),""),IF(AND(GA227="да",OR(_xlpm.bc="",_xlpm.bc="мс")),Марка_пож,IF(AND(_xlpm.bc="",BH227&lt;&gt;""),"мс",_xlpm.bc))))</f>
        <v/>
      </c>
      <c r="BZ227" t="str">
        <f t="shared" si="432"/>
        <v>мс</v>
      </c>
      <c r="CA227">
        <f>IF(B227="","",_xlfn.LET(_xlpm.cc,IFERROR(N(VLOOKUP(BC227,Потребители_обозначение,7,FALSE)),0),IF(_xlpm.cc&gt;0,_xlpm.cc,IF(BZ227="","",IF(BV227=1,2,IF(N(BX227)=3,5,3))))))</f>
        <v>3</v>
      </c>
      <c r="CB227">
        <f t="shared" si="433"/>
        <v>3</v>
      </c>
      <c r="CC227">
        <f>IFERROR(N(VLOOKUP(BC227,Потребители_обозначение,10,FALSE)),0)</f>
        <v>0</v>
      </c>
      <c r="CD227">
        <f>IFERROR(VLOOKUP(BC227,Потребители_обозначение,5,FALSE),0)</f>
        <v>1</v>
      </c>
      <c r="CE227" s="6" cm="1">
        <f t="array" ref="CE227">IF(B227="","",IF(BH227&lt;&gt;"",IFERROR(_xlfn.XLOOKUP(BH227,Щиты[Щит],Щиты[cos φ]),0.95),IF(BP227=1,IFERROR(_xlfn.XLOOKUP(A227,Щиты[Щит],Щиты[cos φ]),0.95),IF(ISNUMBER(AD227),AD227,IFERROR(IF(CD227=2,_xlfn.IFS(BX227=3,VLOOKUP(BS227,Справочная_двигатели,8,FALSE),BX227=1,VLOOKUP(BS227,Справочная_двигатели,10,TRUE)),IF(AND(Методика="нормы 2026",FG227="Сил"),0.8,0.95)),0.95)))))</f>
        <v>0.95</v>
      </c>
      <c r="CF227">
        <f t="shared" si="434"/>
        <v>0</v>
      </c>
      <c r="CG227">
        <f t="shared" si="435"/>
        <v>1</v>
      </c>
      <c r="CH227">
        <f t="shared" si="436"/>
        <v>0</v>
      </c>
      <c r="CI227">
        <f>IF(B227="","",IF(BV227=1,IFERROR(BS227/((Uн_лин/SQRT(3))*MAX(0.5,N(CE227))),0),N(O227)))</f>
        <v>0.54696341291648753</v>
      </c>
      <c r="CJ227">
        <f t="shared" si="437"/>
        <v>0</v>
      </c>
      <c r="CK227">
        <f t="shared" si="438"/>
        <v>0</v>
      </c>
      <c r="CL227">
        <f t="shared" si="439"/>
        <v>0</v>
      </c>
      <c r="CM227">
        <f t="shared" si="440"/>
        <v>0</v>
      </c>
      <c r="CN227">
        <f t="shared" si="441"/>
        <v>0</v>
      </c>
      <c r="CO227">
        <f>IF(BC227="",0,_xlfn.LET(_xlpm.v,IFERROR(_xlfn.XLOOKUP(B227,Коды_код,Коды_мА),IFERROR(_xlfn.XLOOKUP(BC227,Коды_код,Коды_мА),IFERROR(_xlfn.XLOOKUP(LEFT(BC227,2),Коды_код,Коды_мА),""))),IF(_xlpm.v="да",30,IF(ISNUMBER(_xlpm.v),_xlpm.v,0))))</f>
        <v>30</v>
      </c>
      <c r="CP227">
        <f t="shared" si="442"/>
        <v>30</v>
      </c>
      <c r="CQ227" t="str">
        <f>_xlfn.LET(_xlpm.k,IFERROR(_xlfn.XLOOKUP(BC227,Коды_код,Коды_утечка)&amp;"",""),IF(_xlpm.k="","дифавтомат",_xlpm.k))</f>
        <v>дифавтомат</v>
      </c>
      <c r="CR227" t="str" cm="1">
        <f t="array" ref="CR227">IF(CG227=0,"",_xlfn.LET(_xlpm.sg,TRIM(_xlfn.TEXTSPLIT(DD227&amp;"",";")),_xlpm.f_,_xlfn._xlws.FILTER(_xlpm.sg,LEFT(_xlpm.sg,3)="УЗО",""),IFERROR(INDEX(_xlpm.f_,1)&amp;"","")))</f>
        <v/>
      </c>
      <c r="CS227" t="str">
        <f t="shared" si="443"/>
        <v/>
      </c>
      <c r="CT227" s="6" t="str" cm="1">
        <f t="array" ref="CT227">IF(CR227="","",_xlfn.LET(_xlpm.tk,_xlfn.TEXTSPLIT(UPPER(CR227)," ",,TRUE),_xlpm.a_,_xlfn._xlws.FILTER(_xlpm.tk,ISNUMBER(--LEFT(_xlpm.tk,1))*((ISNUMBER(SEARCH("А",_xlpm.tk))+ISNUMBER(SEARCH("A",_xlpm.tk)))&gt;0)*NOT(ISNUMBER(SEARCH("МА",_xlpm.tk)))*NOT(ISNUMBER(SEARCH("MA",_xlpm.tk))),""),IFERROR(--SUBSTITUTE(SUBSTITUTE(INDEX(_xlpm.a_,1),"А",""),"A",""),"")))</f>
        <v/>
      </c>
      <c r="CU227" t="str" cm="1">
        <f t="array" ref="CU227">IF(CR227="","",_xlfn.LET(_xlpm.tk,_xlfn.TEXTSPLIT(UPPER(CR227)," ",,TRUE),_xlpm.a_,_xlfn._xlws.FILTER(_xlpm.tk,ISNUMBER(--LEFT(_xlpm.tk,1))*((ISNUMBER(SEARCH("МА",_xlpm.tk))+ISNUMBER(SEARCH("MA",_xlpm.tk)))&gt;0),""),IFERROR(--SUBSTITUTE(SUBSTITUTE(INDEX(_xlpm.a_,1),"МА",""),"MA",""),30)))</f>
        <v/>
      </c>
      <c r="CV227" t="str">
        <f>IF(CS227="","",IFERROR(_xlfn.XLOOKUP(CS227,Линии[_n],Линии[_УЗО, мА]),30))</f>
        <v/>
      </c>
      <c r="CW227">
        <f>IF(CS227="",0,IF(ISNUMBER(SEARCH("4P",IFERROR(_xlfn.XLOOKUP(CS227,Линии[_n],Линии[_УЗО строки])&amp;"",""))),0,1))</f>
        <v>0</v>
      </c>
      <c r="CX227" t="str">
        <f>IF(AND(CS227&lt;&gt;"",CS227=BA227),SUMIFS(Линии[_ток на 230 В],Линии[_блок УЗО],BA227,Линии[Щит],A227),"")</f>
        <v/>
      </c>
      <c r="CY227" t="str">
        <f>IF(AND(CS227&lt;&gt;"",CS227=BA227),SUMIFS(Линии[_ток утечки линии, мА],Линии[_блок УЗО],BA227,Линии[Щит],A227),"")</f>
        <v/>
      </c>
      <c r="CZ227">
        <f t="shared" si="444"/>
        <v>30</v>
      </c>
      <c r="DA227">
        <f t="shared" si="445"/>
        <v>30</v>
      </c>
      <c r="DB227">
        <f>IF(B227="",0,IFERROR(--_xlfn.XLOOKUP(B227,Коды_код,Коды_минавт),IFERROR(--_xlfn.XLOOKUP(BC227,Коды_код,Коды_минавт),IFERROR(--_xlfn.XLOOKUP(LEFT(BC227,2),Коды_код,Коды_минавт),0))))</f>
        <v>16</v>
      </c>
      <c r="DC227" t="str">
        <f>IF(B227="","",IFERROR(_xlfn.XLOOKUP(BC227,Коды_код,Коды_апп)&amp;"",""))</f>
        <v/>
      </c>
      <c r="DD227" t="str">
        <f t="shared" si="446"/>
        <v/>
      </c>
      <c r="DE227" t="str" cm="1">
        <f t="array" ref="DE227">IF(TRIM(DD227&amp;"")="","",IFERROR(TRIM(INDEX(_xlfn.TEXTSPLIT(DD227&amp;";;;",";"),1)),""))</f>
        <v/>
      </c>
      <c r="DF227" t="str" cm="1">
        <f t="array" ref="DF227">IF(TRIM(DD227&amp;"")="","",IFERROR(TRIM(INDEX(_xlfn.TEXTSPLIT(DD227&amp;";;;",";"),2)),""))</f>
        <v/>
      </c>
      <c r="DG227" t="str" cm="1">
        <f t="array" ref="DG227">IF(TRIM(DD227&amp;"")="","",IFERROR(TRIM(INDEX(_xlfn.TEXTSPLIT(DD227&amp;";;;",";"),3)),""))</f>
        <v/>
      </c>
      <c r="DH227">
        <f t="shared" si="447"/>
        <v>0</v>
      </c>
      <c r="DI227" t="str">
        <f>IF(B227="","",_xlfn.LET(_xlpm.t,LOWER(AZ227&amp;""),IF(ISNUMBER(SEARCH("dim",_xlpm.t)),"DIM",IF(ISNUMBER(SEARCH("dali",_xlpm.t)),"DALI",IF(OR(ISNUMBER(SEARCH("relay",_xlpm.t)),ISNUMBER(SEARCH("реле",_xlpm.t))),"Relay",IF(ISNUMBER(SEARCH("кнопк",_xlpm.t)),"",IFERROR(_xlfn.XLOOKUP(BC227,Коды_код,Коды_упр)&amp;"","")))))))</f>
        <v/>
      </c>
      <c r="DJ227" t="str">
        <f t="shared" si="448"/>
        <v/>
      </c>
      <c r="DK227">
        <f>IF(B227="","",_xlfn.LET(_xlpm.ig,IF(N(CX227)&gt;0,N(CX227),N(CI227)+IF(AJ227="вручную",0,N(CJ227))),_xlpm.n0,IFERROR(VLOOKUP(_xlpm.ig,Автомат_номиналы,2,TRUE),0),_xlpm.mn,MAX(DB227,IF(AJ227="вручную",0,N(CM227))),MAX(_xlpm.n0,_xlpm.mn,IF(DH227=1,Мин_автомат_БП,0))))</f>
        <v>16</v>
      </c>
      <c r="DL227">
        <f t="shared" si="449"/>
        <v>1</v>
      </c>
      <c r="DM227" t="str">
        <f t="shared" si="450"/>
        <v>2P</v>
      </c>
      <c r="DN227" t="str">
        <f>_xlfn.LET(_xlpm.cc,UPPER(TRIM(IFERROR(_xlfn.XLOOKUP(BC227,Коды_код,Коды_хар)&amp;"",""))),IF(OR(_xlpm.cc="B",_xlpm.cc="В"),"B",IF(_xlpm.cc="D","D","С")))</f>
        <v>С</v>
      </c>
      <c r="DO227" t="str">
        <f t="shared" si="451"/>
        <v>2P С16А 30мА</v>
      </c>
      <c r="DP227" t="str">
        <f t="shared" si="452"/>
        <v>2P С16А 30мА</v>
      </c>
      <c r="DQ227" t="str">
        <f t="shared" si="453"/>
        <v>2P С16А 30мА</v>
      </c>
      <c r="DR227" cm="1">
        <f t="array" ref="DR227">IF(DQ227="","",_xlfn.LET(_xlpm.t,SUBSTITUTE(SUBSTITUTE(SUBSTITUTE(UPPER(DQ227),"С","C"),"А","A"),"В","B"),_xlpm.tk,_xlfn.TEXTSPLIT(_xlpm.t," "),_xlpm.f,_xlfn._xlws.FILTER(_xlpm.tk,ISNUMBER(--MID(_xlpm.tk,2,1))*ISNUMBER(SEARCH(LEFT(_xlpm.tk,1)&amp;"#","B#C#D#"))*(LEN(_xlpm.tk)&gt;1),""),_xlpm.x,INDEX(_xlpm.f,1),IFERROR(--SUBSTITUTE(MID(_xlpm.x,2,9),"A",""),IFERROR(--SUBSTITUTE(INDEX(_xlfn._xlws.FILTER(_xlpm.tk,ISNUMBER(--SUBSTITUTE(_xlpm.tk,"A","")),""),1),"A",""),""))))</f>
        <v>16</v>
      </c>
      <c r="DS227" t="str">
        <f t="shared" si="454"/>
        <v>ok</v>
      </c>
      <c r="DT227">
        <f t="shared" si="455"/>
        <v>16</v>
      </c>
      <c r="DU227" t="str">
        <f t="shared" si="456"/>
        <v>2P С16А 30мА</v>
      </c>
      <c r="DV227">
        <f t="shared" si="457"/>
        <v>30</v>
      </c>
      <c r="DW227">
        <f t="shared" si="458"/>
        <v>1</v>
      </c>
      <c r="DX227">
        <f t="shared" si="459"/>
        <v>0</v>
      </c>
      <c r="DY227">
        <f t="shared" si="460"/>
        <v>0.54696341291648753</v>
      </c>
      <c r="DZ227">
        <f t="shared" si="461"/>
        <v>1</v>
      </c>
      <c r="EA227">
        <f>IF(ISNUMBER(AP227),AP227,К_прокл)</f>
        <v>1</v>
      </c>
      <c r="EB227">
        <f t="shared" si="462"/>
        <v>2</v>
      </c>
      <c r="EC227">
        <f>IFERROR(N(VLOOKUP(BZ227,Кабель_обозначение,3,FALSE)),1)</f>
        <v>1</v>
      </c>
      <c r="ED227">
        <f>IFERROR(N(_xlfn.XLOOKUP(A227,Щиты[Щит],Щиты[ΔU до шин, %])),0)</f>
        <v>1.19</v>
      </c>
      <c r="EE227" t="str">
        <f>IFERROR(_xlfn.XLOOKUP(A227,Щиты[Щит],Щиты[Zпетли на шинах, Ом]),"")</f>
        <v/>
      </c>
      <c r="EF227">
        <f>IFERROR(N(_xlfn.XLOOKUP(A227,Щиты[Щит],Щиты[ΔU до шин (подбор), %])),0)</f>
        <v>1.19</v>
      </c>
      <c r="EG227" t="str">
        <f>IFERROR(_xlfn.XLOOKUP(A227,Щиты[Щит],Щиты[Zпетли на шинах (подбор), Ом]),"")</f>
        <v/>
      </c>
      <c r="EH227" t="str">
        <f t="shared" si="463"/>
        <v/>
      </c>
      <c r="EI227">
        <f t="shared" si="464"/>
        <v>56</v>
      </c>
      <c r="EJ227">
        <f t="shared" si="465"/>
        <v>2</v>
      </c>
      <c r="EK227">
        <f t="shared" si="466"/>
        <v>0.31</v>
      </c>
      <c r="EL227" s="6">
        <f>IF(B227="","",IF(BV227=1,dU_LED,IF(IFERROR(_xlfn.XLOOKUP(BC227,Коды_код,Коды_уго),"")="Светильник",3,4)+IF(Методика="нормы 2026",MIN(0.5,MAX(0,N(P227)-100)*0.005),0)))</f>
        <v>4</v>
      </c>
      <c r="EM227" cm="1">
        <f t="array" ref="EM227">IF(OR(B227="",BZ227="",EC227&lt;&gt;1),"",_xlfn.LET(_xlpm.sz,Iдоп_S,_xlpm.t_,CHOOSE(EB227,Iдоп_1ж,Iдоп_2ж,Iдоп_3ж)*DZ227*EA227,_xlpm.dcx,BV227=1,_xlpm.inn,IF(_xlpm.dcx,N(O227),N(DT227)),_xlpm.smin,MAX(1.5,CC227),_xlpm.L_,N(P227)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227)/N(BU227)*100,999),IFERROR(N(EJ227)*(_xlpm.rho*_xlpm.L_/_xlpm.sz*N(CE227)+_xlpm.xx*_xlpm.L_*N(EK227)/1000)*N(O227)/((Uн_лин/SQRT(3))*1000)*100,999)),_xlpm.kz,IF(OR(_xlpm.dcx,DW227=1,NOT(ISNUMBER(EG227)),_xlpm.L_=0,_xlpm.inn=0),1,IFERROR(--(c_min*(Uн_лин*1000/SQRT(3))/(EG227+2*ρкз_Cu*_xlpm.L_/_xlpm.sz)&gt;=HT227*_xlpm.inn),0)),_xlpm.ok,IFERROR((_xlpm.sz&gt;=_xlpm.smin)*(_xlpm.t_&gt;=_xlpm.inn)*IF(_xlpm.L_&gt;0,(_xlpm.du_+IF(_xlpm.dcx,0,EF227)&lt;=EL227+0.00001),1)*_xlpm.kz,0),_xlpm.r_,_xlfn._xlws.FILTER(_xlpm.sz,_xlpm.ok,"не подобрано"),INDEX(_xlpm.r_,1)))</f>
        <v>1.5</v>
      </c>
      <c r="EN227">
        <f t="shared" si="467"/>
        <v>2.5</v>
      </c>
      <c r="EO227" cm="1">
        <f t="array" ref="EO227">IF(OR(B227="",BZ227="",EC227&lt;&gt;1),"",_xlfn.LET(_xlpm.sz,Iдоп_S,_xlpm.t_,CHOOSE(EB227,Iдоп_1ж,Iдоп_2ж,Iдоп_3ж)*DZ227*EA227,_xlpm.ok,IFERROR((_xlpm.sz&gt;=MAX(1.5,CC227))*(_xlpm.t_&gt;=N(DT227)),0),_xlpm.r_,_xlfn._xlws.FILTER(_xlpm.sz,_xlpm.ok,""),INDEX(_xlpm.r_,1)))</f>
        <v>1.5</v>
      </c>
      <c r="EP227" s="6" cm="1">
        <f t="array" ref="EP227">IFERROR(ROUNDUP(N(EJ227)*(_xlfn.XLOOKUP(EO227,INDEX(Кабель_сопротивление,0,1),INDEX(Кабель_сопротивление,0,3))*N(P227)/EO227*N(CE227)+_xlfn.XLOOKUP(EO227,INDEX(Кабель_сопротивление,0,1),INDEX(Кабель_сопротивление,0,2))*N(P227)*N(EK227)/1000)*N(O227)/((Uн_лин/SQRT(3))*1000)*100,2),"")</f>
        <v>0.4</v>
      </c>
      <c r="EQ227">
        <f>IFERROR(2*ρкз_Cu*N(P227)/EO227,"")</f>
        <v>2.0689333333333333</v>
      </c>
      <c r="ER227">
        <f>IFERROR(VLOOKUP(EN227,Кабель_сопротивление,3,FALSE),"")</f>
        <v>2.2499999999999999E-2</v>
      </c>
      <c r="ES227">
        <f>IFERROR(VLOOKUP(EN227,Кабель_сопротивление,2,FALSE),"")</f>
        <v>0.1</v>
      </c>
      <c r="ET227">
        <f t="shared" si="468"/>
        <v>15</v>
      </c>
      <c r="EU227">
        <f t="shared" si="469"/>
        <v>32</v>
      </c>
      <c r="EV227">
        <f t="shared" si="470"/>
        <v>0.55383217945589258</v>
      </c>
      <c r="EW227" s="6">
        <f>IFERROR(ROUNDUP(EV227/IF(BV227=1,BU227,(Uн_лин/SQRT(3))*1000)*100,2),"")</f>
        <v>0.24000000000000002</v>
      </c>
      <c r="EX227" t="str">
        <f>IFERROR(VLOOKUP(BZ227,Кабель_обозначение,2,FALSE),"")</f>
        <v>ВВГнг(А)-LS</v>
      </c>
      <c r="EY227" t="str">
        <f t="shared" si="471"/>
        <v>ВВГнг(А)-LS (3х2,5)</v>
      </c>
      <c r="EZ227" t="str">
        <f t="shared" si="472"/>
        <v>ВВГнг(А)-LS (3х2,5)
L=59-0,24%</v>
      </c>
      <c r="FA227">
        <f>IFERROR(2*ρкз_Cu*P227/EN227,"")</f>
        <v>1.24136</v>
      </c>
      <c r="FB227">
        <f t="shared" si="473"/>
        <v>0.41300000000000009</v>
      </c>
      <c r="FC227" s="6" t="str">
        <f>IFERROR(IF(OR(B227="",BV227=1,NOT(ISNUMBER(EN227)),N(P227)=0),"",_xlfn.XLOOKUP(A227,Щиты[Щит],Щиты[Zпетли на шинах, Ом])+FA227),"")</f>
        <v/>
      </c>
      <c r="FD227" s="6" t="str">
        <f>IF(ISNUMBER(FC227),c_min*(Uн_лин*1000/SQRT(3))/FC227,"")</f>
        <v/>
      </c>
      <c r="FE227" s="6" t="str">
        <f>IFERROR(IF(OR(B227="",NOT(ISNUMBER(EN227))),"",1.05*(Uн_лин*1000/SQRT(3))/(_xlfn.XLOOKUP(A227,Щиты[Щит],Щиты[Zmax на шинах, Ом])+FB227)/1000),"")</f>
        <v/>
      </c>
      <c r="FF227" s="6" t="str">
        <f>IF(B227="","",IF(ISNUMBER(AC227),"Сил",IF(IFERROR(_xlfn.XLOOKUP(BC227,Коды_код,Коды_группа)&amp;"","")="","Быт",_xlfn.XLOOKUP(BC227,Коды_код,Коды_группа)&amp;"")))</f>
        <v>Быт</v>
      </c>
      <c r="FG227" s="6" t="str">
        <f t="shared" si="474"/>
        <v>Быт</v>
      </c>
      <c r="FH227" s="6">
        <f>IF(FG227="Щит","щит",IF(FG227="","",IF(FG227="Быт",IFERROR(_xlfn.XLOOKUP(A227,Щиты[Щит],Щиты[Кс быт]),1),IF(FG227="Сил",IF(ISNUMBER(AC227),AC227,IF(Методика="нормы 2026",IFERROR(_xlfn.XLOOKUP(A227,Щиты[Щит],Щиты[Кс силовых (табл. 7.5)]),1),1)),IF(OR(FG227="Пост",FG227="Отоп"),1,IF(FG227="ВНГ",0.7,0))))))</f>
        <v>0.57830000000000004</v>
      </c>
      <c r="FI227">
        <f>IF(FG227="","",IF(AND(BP227=1,TRIM(AE227&amp;"")=""),IF(COUNTIFS(Линии[Щит],A227,Линии[Секция (1/2/3)],"&gt;=2")&gt;0,MIN(3,MAX(1,IFERROR(--BD227,1))),1),IFERROR(MIN(3,MAX(1,INT(--AE227))),1)))</f>
        <v>1</v>
      </c>
      <c r="FJ227">
        <f t="shared" si="475"/>
        <v>0.12</v>
      </c>
      <c r="FK227">
        <f t="shared" si="476"/>
        <v>0.12</v>
      </c>
      <c r="FL227">
        <f t="shared" si="477"/>
        <v>0</v>
      </c>
      <c r="FM227">
        <f t="shared" si="478"/>
        <v>0</v>
      </c>
      <c r="FN227">
        <f t="shared" si="479"/>
        <v>0</v>
      </c>
      <c r="FO227">
        <f t="shared" si="480"/>
        <v>0</v>
      </c>
      <c r="FP227">
        <f t="shared" si="481"/>
        <v>0.12</v>
      </c>
      <c r="FQ227">
        <f t="shared" si="482"/>
        <v>0.12</v>
      </c>
      <c r="FR227">
        <f t="shared" si="483"/>
        <v>0.11399999999999999</v>
      </c>
      <c r="FS227">
        <f>IF(CG227=1,IF(AND(CH227=1,CW227=1),0,IF(AND(CS227&lt;&gt;"",CS227=BA227,CW227=1),SUMIFS(Линии[_Р линии, кВт],Линии[_блок УЗО],BA227,Линии[Щит],A227),N(BS227)+IF(AJ227="вручную",0,N(CK227)))),0)</f>
        <v>0.12</v>
      </c>
      <c r="FT227" t="str">
        <f t="shared" si="484"/>
        <v/>
      </c>
      <c r="FU227" t="str">
        <f>IF(B227="","",IF(CG227=0,IF(BA227=1,"",FW226),IF(AND(CH227=1,CW227=1,CS227&lt;&gt;""),IFERROR(_xlfn.XLOOKUP(CS227,Линии[_n],Линии[_фаза итог]),"L1"),IF(OR(N(DL227)&gt;=3,N(BX227)&gt;=3),"L1,L2,L3",IFERROR(_xlfn.TEXTBEFORE(_xlfn.TEXTAFTER(_xlfn.XLOOKUP(A227,Щиты[Щит],Щиты[_фазы авто]),";"&amp;BA227&amp;":"),";"),"L1")))))</f>
        <v>L1</v>
      </c>
      <c r="FV227" t="str">
        <f t="shared" si="485"/>
        <v>L1</v>
      </c>
      <c r="FW227" t="str">
        <f t="shared" si="486"/>
        <v>L1</v>
      </c>
      <c r="FX227" cm="1">
        <f t="array" ref="FX227">IFERROR(IF(CD227=2,_xlfn.IFS(BX227=3,VLOOKUP(BS227,Справочная_двигатели,3,FALSE),BX227=1,VLOOKUP(BS227,Справочная_двигатели,5,TRUE)),0),0)</f>
        <v>0</v>
      </c>
      <c r="FY227">
        <f>IFERROR(IF(CD227=3,VLOOKUP(BS227,Справочная_ЛЭД,2,TRUE),0),0)</f>
        <v>0</v>
      </c>
      <c r="FZ227" s="6">
        <f t="shared" si="487"/>
        <v>0</v>
      </c>
      <c r="GA227" t="str">
        <f>IF(B227="","",IF(TRIM(AH227&amp;"")&lt;&gt;"",IF(LOWER(TRIM(AH227&amp;""))="да","да","нет"),IF(IFERROR(_xlfn.XLOOKUP(BC227,Коды_код,Коды_пожарная),"")="да","да","нет")))</f>
        <v>нет</v>
      </c>
      <c r="GB227" t="str">
        <f t="shared" si="488"/>
        <v/>
      </c>
      <c r="GC227" t="str">
        <f t="shared" si="489"/>
        <v>основная</v>
      </c>
      <c r="GD227">
        <f>IF(AND(BP227=1,TRIM(AE227&amp;"")=""),IF(COUNTIFS(Линии[Щит],A227,Линии[Секция (1/2/3)],"&gt;=2")&gt;0,MIN(3,MAX(1,IFERROR(--BD227,1))),1),IFERROR(MIN(3,MAX(1,INT(--AE227))),1))</f>
        <v>1</v>
      </c>
      <c r="GE227" t="str" cm="1">
        <f t="array" ref="GE227">IF(B227="","",_xlfn.LET(_xlpm.t,IFERROR(_xlfn.XLOOKUP(1,(Шины[Шина]=GC227)*(((Шины[Щит]=A227)+(Шины[Щит]=""))&gt;0),Шины[Тип]),"")&amp;"",IF(_xlpm.t&lt;&gt;"",_xlpm.t,IF(ISNUMBER(SEARCH("ИБП",GC227)),"ИБП",IF(ISNUMBER(SEARCH("ДГУ",GC227)),"ДГУ","Ввод "&amp;GD227)))))</f>
        <v>Ввод 1</v>
      </c>
      <c r="GF227" t="str">
        <f t="shared" si="490"/>
        <v>Ввод 1</v>
      </c>
      <c r="GG227" t="str">
        <f>IF(BP227=0,"",IF(TRIM(AG227&amp;"")&lt;&gt;"",TRIM(AG227&amp;""),IF(OR(GE227="ИБП",GE227="ДГУ"),"I особая",_xlfn.XLOOKUP(A227,Щиты[Щит],Щиты[Категория шины «Ввод»],"III"))))</f>
        <v/>
      </c>
      <c r="GH227" t="str">
        <f>IF(A227="","",_xlfn.XLOOKUP(A227,Щиты[Щит],Щиты[Путь],""))</f>
        <v>|ГРЩ-ЖД|ЩР-1|</v>
      </c>
      <c r="GI227" t="str">
        <f>IF(B227="","",IF(AI227&lt;&gt;"",AI227,IF(IFERROR(_xlfn.XLOOKUP(BC227,Коды_код,Коды_вид)&amp;"","")="","Прочее",_xlfn.XLOOKUP(BC227,Коды_код,Коды_вид)&amp;"")))</f>
        <v>Розеточная сеть и бытовые приборы</v>
      </c>
      <c r="GJ227">
        <f>IF(BM227="","",INT((BM227-1)/Столбцов_на_лист)+1)</f>
        <v>1</v>
      </c>
      <c r="GK227" t="str">
        <f t="shared" si="491"/>
        <v>ВВГнг(А)-LS (3х2,5) L=59-0,24%</v>
      </c>
      <c r="GL227">
        <f t="shared" si="492"/>
        <v>0.12</v>
      </c>
      <c r="GM227">
        <f t="shared" si="493"/>
        <v>0.55000000000000004</v>
      </c>
      <c r="GN227">
        <f t="shared" si="494"/>
        <v>1</v>
      </c>
      <c r="GO227">
        <f t="shared" si="495"/>
        <v>0</v>
      </c>
      <c r="GP227">
        <f t="shared" si="496"/>
        <v>1</v>
      </c>
      <c r="GQ227">
        <f>IF(BM227="","",IF(AND(CG227=1,GP227=1),COUNTIFS(A$3:A227,A227,CG$3:CG227,1,GP$3:GP227,1),IF(OR(OR(BA227=1,A227&lt;&gt;A226),AJ227="вручную",GP227=0),"",IF(BA227=1,"",GR226))))</f>
        <v>3</v>
      </c>
      <c r="GR227">
        <f t="shared" si="497"/>
        <v>3</v>
      </c>
      <c r="GS227">
        <f>IF(B227="","",IFERROR(LOOKUP(INDEX(CHOOSE(EB227,Iдоп_1ж,Iдоп_2ж,Iдоп_3ж),MATCH(EN227,Iдоп_S,0))*DZ227*EA227,{6,10,16,20,25,32,40,50,63,80,100,125,160,200,250,315,400,500,630}),""))</f>
        <v>25</v>
      </c>
      <c r="GT227" t="str">
        <f t="shared" si="498"/>
        <v>QFD3</v>
      </c>
      <c r="GU227" t="str">
        <f t="shared" si="499"/>
        <v>QFD3</v>
      </c>
      <c r="GV227" t="str">
        <f t="shared" si="500"/>
        <v/>
      </c>
      <c r="GW227">
        <f t="shared" si="501"/>
        <v>0</v>
      </c>
      <c r="GX227" t="str">
        <f>IF(OR(B227="",DJ227=""),"",IFERROR(_xlfn.XLOOKUP(DJ227,Модули_умолч[Управление],Модули_умолч[Модель])&amp;"",""))</f>
        <v/>
      </c>
      <c r="GY227">
        <f>IF(DJ227="",1,IFERROR(MAX(0,N(_xlfn.XLOOKUP(DJ227,Модули_умолч[Управление],Модули_умолч[Каналов на линию]))),1))</f>
        <v>1</v>
      </c>
      <c r="GZ227" t="str">
        <f t="shared" si="502"/>
        <v/>
      </c>
      <c r="HA227" t="str">
        <f t="shared" si="503"/>
        <v/>
      </c>
      <c r="HB227" t="str">
        <f t="shared" si="504"/>
        <v/>
      </c>
      <c r="HC227">
        <f>IF(HB227="",0,IFERROR(N(VLOOKUP(HB227,Модули_спр,3,FALSE)),0))</f>
        <v>0</v>
      </c>
      <c r="HD227" t="str">
        <f t="shared" si="505"/>
        <v/>
      </c>
      <c r="HE227" t="str">
        <f t="shared" si="506"/>
        <v/>
      </c>
      <c r="HF227" t="str">
        <f>IF(OR(HE227="",HE227="-"),"",IFERROR(VLOOKUP(HE227,Модули_спр,2,FALSE),"R"))</f>
        <v/>
      </c>
      <c r="HG227" t="str">
        <f>IF(HF227="","",HF227&amp;"."&amp;COUNTIFS(A$3:A227,A227,HF$3:HF227,HF227))</f>
        <v/>
      </c>
      <c r="HH227" t="str">
        <f t="shared" si="507"/>
        <v/>
      </c>
      <c r="HI227" t="str">
        <f t="shared" si="508"/>
        <v/>
      </c>
      <c r="HJ227" t="str">
        <f t="shared" si="509"/>
        <v/>
      </c>
      <c r="HK227" t="str">
        <f t="shared" si="510"/>
        <v/>
      </c>
      <c r="HL227">
        <f t="shared" si="511"/>
        <v>1</v>
      </c>
      <c r="HM227" t="str">
        <f>IF(HL227=1,"XT"&amp;COUNTIFS(A$3:A227,A227,HL$3:HL227,1),"")</f>
        <v>XT3</v>
      </c>
      <c r="HN227" t="str">
        <f t="shared" si="512"/>
        <v>XT3</v>
      </c>
      <c r="HO227" t="str">
        <f t="shared" si="513"/>
        <v>QFD3</v>
      </c>
      <c r="HP227" t="str">
        <f t="shared" si="514"/>
        <v/>
      </c>
      <c r="HQ227" t="str">
        <f t="shared" si="515"/>
        <v>ok</v>
      </c>
      <c r="HR227" t="str">
        <f>IF(OR(HJ227="",HH227=""),"",IF(HJ227+MAX(0,GY227-1)&gt;IFERROR(VLOOKUP(HI227,Модули_спр,3,FALSE),99),"ЛИШНИЙ КАНАЛ",IF(AND(AL227&lt;&gt;"=",GY227&gt;0,COUNTIFS(Линии[_модуль гр.],HH227,Линии[Канал (итог)],HJ227,Линии[Канал],"&lt;&gt;=",Линии[Щит],A227)&gt;1),"ДУБЛЬ КАНАЛА","")))</f>
        <v/>
      </c>
      <c r="HS227" s="6" t="str">
        <f t="shared" si="516"/>
        <v/>
      </c>
      <c r="HT227">
        <f t="shared" si="517"/>
        <v>10</v>
      </c>
      <c r="HU227" t="str">
        <f t="shared" si="518"/>
        <v/>
      </c>
      <c r="HV227">
        <f t="shared" si="519"/>
        <v>0.80878536516659505</v>
      </c>
      <c r="HW227">
        <f t="shared" si="520"/>
        <v>0</v>
      </c>
      <c r="HX227">
        <f t="shared" si="521"/>
        <v>0</v>
      </c>
      <c r="HY227">
        <f t="shared" si="522"/>
        <v>0</v>
      </c>
      <c r="HZ227">
        <f t="shared" si="523"/>
        <v>0</v>
      </c>
      <c r="IA227">
        <f t="shared" si="524"/>
        <v>0</v>
      </c>
      <c r="IB227">
        <f t="shared" si="525"/>
        <v>0</v>
      </c>
      <c r="IC227" t="str">
        <f t="shared" si="526"/>
        <v/>
      </c>
      <c r="ID227" t="str" cm="1">
        <f t="array" ref="ID227">IF(IC227="","",_xlfn.LET(_xlpm.tk,_xlfn.TEXTSPLIT(SUBSTITUTE(SUBSTITUTE(IC227,";"," "),"→"," ")," ",,TRUE),_xlpm.w_,_xlfn._xlws.FILTER(_xlpm.tk,ISNUMBER(--LEFT(_xlpm.tk,1))*((ISNUMBER(SEARCH("W",_xlpm.tk))+ISNUMBER(SEARCH("Вт",_xlpm.tk)))&gt;0),""),IFERROR(--SUBSTITUTE(SUBSTITUTE(UPPER(INDEX(_xlpm.w_,1)),"W",""),"ВТ",""),"")))</f>
        <v/>
      </c>
      <c r="IE227" t="str" cm="1">
        <f t="array" ref="IE227">IF(IC227="","",_xlfn.LET(_xlpm.tk,_xlfn.TEXTSPLIT(SUBSTITUTE(SUBSTITUTE(IC227,";"," "),"→"," ")," ",,TRUE),_xlpm.v_,_xlfn._xlws.FILTER(_xlpm.tk,ISNUMBER(--LEFT(_xlpm.tk,1))*((ISNUMBER(SEARCH("V",_xlpm.tk))+(RIGHT(UPPER(_xlpm.tk))="В"))&gt;0),""),IFERROR(--SUBSTITUTE(SUBSTITUTE(UPPER(INDEX(_xlpm.v_,1)),"V",""),"В",""),"")))</f>
        <v/>
      </c>
      <c r="IF227" s="6" t="str">
        <f>IF(OR(BV227=0,HI227="",HJ227=""),"",IFERROR(N(_xlfn.XLOOKUP(HI227,Каталог!$C$4:$C$500,Каталог!$Q$4:$Q$500)),""))</f>
        <v/>
      </c>
      <c r="IG227" s="6" t="str">
        <f>IF(N(IF227)=0,"",SUMIFS(Линии[Iр, А],Линии[Щит],A227,Линии[_модуль гр.],HH227,Линии[Канал (итог)],HJ227))</f>
        <v/>
      </c>
      <c r="IH227" t="str">
        <f>IF(AND(B227="",HO227=""),"",_xlfn.TEXTJOIN("; ",TRUE,IF(AND(B227&lt;&gt;"",FV227=""),"нет фазы",""),IF(AND(B227&lt;&gt;"",N(GL227)=0,FG227&lt;&gt;"Нет"),"нет мощности",""),IF(AND(HN227&lt;&gt;"",COUNTIFS(Линии[Щит],A227,Линии[Клемма (итог)],HN227)&gt;1),"дубль клеммы "&amp;HN227,""),IF(AND(HQ227&lt;&gt;"",HQ227&lt;&gt;"ok"),HQ227,""),IF(HR227&lt;&gt;"",HR227,""),IF(AND(N(CB227)&gt;=4,N(BX227)=1),CB227&amp;" жил на 1 фазе",""),IF(AND(BC227="R",CG227=1,IF(CS227&lt;&gt;"",N(CV227)&gt;30,OR(N(DA227)=0,N(DA227)&gt;30))),"розетка без дифзащиты до 30 мА",""),IF(AND(CG227=1,N(DA227)&gt;0,ISNUMBER(T227)),IF(T227&gt;N(DA227)/3,"ток утечки "&amp;FIXED(T227,1)&amp;" мА &gt; 1/3 уставки ("&amp;DA227&amp;" мА)",""),""),IF(AND(CH227=1,CS227=""),"«узо»: нет строки с УЗО выше (УЗО 2P 40А 30мА в «Аппаратах»)",""),IF(AND(CS227&lt;&gt;"",CS227=BA227),IF(CT227="","впишите номинал УЗО (УЗО 2P 40А 30мА)",IF(N(CT227)&lt;N(DT227),"УЗО "&amp;CT227&amp;" А &lt; автомата "&amp;DT227&amp;" А перед ним",IF(N(CT227)&lt;N(CX227),"УЗО "&amp;CT227&amp;" А &lt; тока блока "&amp;FIXED(CX227,1)&amp;" А",""))),""),IF(AND(CS227&lt;&gt;"",CS227=BA227,ISNUMBER(CY227)),IF(CY227&gt;N(CV227)/3,"ток утечки блока УЗО "&amp;FIXED(CY227,1)&amp;" мА &gt; 1/3 уставки ("&amp;CV227&amp;" мА)",""),""),IF(AND(CG227=1,N(BV227)+N(IB227)&gt;0,IC227=""),"линии до 50 В без БП: впишите в «Аппараты» (БП 24V 480W)",""),IF(AND(CG227=1,ISNUMBER(ID227),ISNUMBER(U227)),IF(U227&gt;ID227,"БП "&amp;ID227&amp;" Вт &lt; нужно "&amp;U227&amp;" Вт (×"&amp;Запас_БП&amp;")",""),""),IF(AND(CG227=1,ISNUMBER(IE227),N(BV227)=1),IF(IE227&lt;&gt;N(BU227),"БП на "&amp;IE227&amp;" В, линия "&amp;BU227&amp;" В",""),""),IF(AND(N(IF227)&gt;0,N(IG227)&gt;N(IF227)),HH227&amp;" канал "&amp;HJ227&amp;": "&amp;FIXED(IG227,1)&amp;" А &gt; "&amp;IF227&amp;" А",""),IFERROR(IF(AND(ISNUMBER(Q227),Q227&gt;EL227),"потери "&amp;FIXED(Q227,1)&amp;" % &gt; "&amp;EL227&amp;" %",""),""),IFERROR(IF(LEFT(HU227,4)="мало","Iкз мало — отключение &gt; 0,4 с",""),""),IF(AND(B227&lt;&gt;"",BM227=""),"не на схеме",""),IF(AND(CG227=0,B227&lt;&gt;"",FV227&lt;&gt;"",IF(BA227=1,"",FW226)&lt;&gt;"",FV227&lt;&gt;IF(BA227=1,"",FW226)),"фаза не как у автомата группы ("&amp;IF(BA227=1,"",FW226)&amp;")","")))</f>
        <v/>
      </c>
      <c r="II227" s="6">
        <f>IF(OR(CG227=0,DQ227=""),"",_xlfn.LET(_xlpm.t,IFERROR(_xlfn.XLOOKUP(DQ227,Каталог!$U$4:$U$500,Каталог!$G$4:$G$500),""),_xlpm.k,SEARCH("кА",_xlpm.t),IFERROR(--TRIM(RIGHT(SUBSTITUTE(MID(_xlpm.t,MAX(1,_xlpm.k-4),_xlpm.k-MAX(1,_xlpm.k-4))," ",REPT(" ",9)),5)),"")))</f>
        <v>6</v>
      </c>
      <c r="IJ227" t="str">
        <f>IF(OR(II227="",CG227=0),"",IF(_xlfn.XLOOKUP(A227,Щиты[Щит],Щиты[Iкз max на шинах, кА],"")="","",IF(II227&lt;_xlfn.XLOOKUP(A227,Щиты[Щит],Щиты[Iкз max на шинах, кА]),"Icu "&amp;II227&amp;" кА &lt; Iкз max","ok")))</f>
        <v/>
      </c>
      <c r="IK227" t="str">
        <f t="shared" si="527"/>
        <v/>
      </c>
      <c r="IL227" t="str">
        <f t="shared" si="528"/>
        <v>QFD3|XT3</v>
      </c>
      <c r="IM227" t="str">
        <f t="shared" si="529"/>
        <v>QFD3|XT3|кабель ВВГнг(А)-LS (3х2,5) → Розеточная группа, пом. 001Г</v>
      </c>
      <c r="IN227" t="str" cm="1">
        <f t="array" ref="IN227">IF(IM227="","",_xlfn.LET(_xlpm.nd,_xlfn.TEXTSPLIT(IM227,"|"),IF(COLUMNS(_xlpm.nd)&gt;1,A227&amp;"¦"&amp;INDEX(_xlpm.nd,1)&amp;"¦"&amp;INDEX(_xlpm.nd,2),"")))</f>
        <v>ЩР-1¦QFD3¦XT3</v>
      </c>
      <c r="IO227" t="str">
        <f t="shared" si="530"/>
        <v>R.1.001Г.1¦Розеточная группа, пом. 001Г</v>
      </c>
      <c r="IP227" t="str" cm="1">
        <f t="array" ref="IP227">IF(IM227="","",_xlfn.LET(_xlpm.nd,_xlfn.TEXTSPLIT(IM227,"|"),IF(COLUMNS(_xlpm.nd)&gt;2,A227&amp;"¦"&amp;INDEX(_xlpm.nd,2)&amp;"¦"&amp;INDEX(_xlpm.nd,3),"")))</f>
        <v>ЩР-1¦XT3¦кабель ВВГнг(А)-LS (3х2,5) → Розеточная группа, пом. 001Г</v>
      </c>
      <c r="IQ227" t="str">
        <f t="shared" si="531"/>
        <v>R.1.001Г.1¦Розеточная группа, пом. 001Г</v>
      </c>
      <c r="IR227" t="str" cm="1">
        <f t="array" ref="IR227">IF(IM227="","",_xlfn.LET(_xlpm.nd,_xlfn.TEXTSPLIT(IM227,"|"),IF(COLUMNS(_xlpm.nd)&gt;3,A227&amp;"¦"&amp;INDEX(_xlpm.nd,3)&amp;"¦"&amp;INDEX(_xlpm.nd,4),"")))</f>
        <v/>
      </c>
      <c r="IS227" t="str">
        <f t="shared" si="532"/>
        <v/>
      </c>
      <c r="IT227" t="str" cm="1">
        <f t="array" ref="IT227">IF(IM227="","",_xlfn.LET(_xlpm.nd,_xlfn.TEXTSPLIT(IM227,"|"),IF(COLUMNS(_xlpm.nd)&gt;4,A227&amp;"¦"&amp;INDEX(_xlpm.nd,4)&amp;"¦"&amp;INDEX(_xlpm.nd,5),"")))</f>
        <v/>
      </c>
      <c r="IU227" t="str">
        <f t="shared" si="533"/>
        <v/>
      </c>
      <c r="IV227" t="str" cm="1">
        <f t="array" ref="IV227">IF(IM227="","",_xlfn.LET(_xlpm.nd,_xlfn.TEXTSPLIT(IM227,"|"),IF(COLUMNS(_xlpm.nd)&gt;5,A227&amp;"¦"&amp;INDEX(_xlpm.nd,5)&amp;"¦"&amp;INDEX(_xlpm.nd,6),"")))</f>
        <v/>
      </c>
      <c r="IW227" t="str">
        <f t="shared" si="534"/>
        <v/>
      </c>
      <c r="IX227" t="str" cm="1">
        <f t="array" ref="IX227">IF(IM227="","",_xlfn.LET(_xlpm.nd,_xlfn.TEXTSPLIT(IM227,"|"),IF(COLUMNS(_xlpm.nd)&gt;6,A227&amp;"¦"&amp;INDEX(_xlpm.nd,6)&amp;"¦"&amp;INDEX(_xlpm.nd,7),"")))</f>
        <v/>
      </c>
      <c r="IY227" t="str">
        <f t="shared" si="535"/>
        <v/>
      </c>
      <c r="IZ227" t="str">
        <f t="shared" si="536"/>
        <v/>
      </c>
      <c r="JA227" t="str">
        <f t="shared" si="537"/>
        <v>QFD3 → XT3</v>
      </c>
      <c r="JB227">
        <f t="shared" si="538"/>
        <v>0</v>
      </c>
      <c r="JC227">
        <f t="shared" si="539"/>
        <v>1</v>
      </c>
      <c r="JD227" t="str">
        <f t="shared" si="540"/>
        <v/>
      </c>
      <c r="JE227" t="str">
        <f t="shared" si="541"/>
        <v/>
      </c>
      <c r="JF227" t="str">
        <f t="shared" si="542"/>
        <v/>
      </c>
      <c r="JG227" t="str">
        <f t="shared" si="543"/>
        <v/>
      </c>
      <c r="JH227" t="str">
        <f>IF(B227="","",IFERROR(_xlfn.XLOOKUP(B227,Коды_код,Коды_уго),IFERROR(_xlfn.XLOOKUP(BC227,Коды_код,Коды_уго),IFERROR(_xlfn.XLOOKUP(LEFT(BC227,2),Коды_код,Коды_уго),""))))</f>
        <v>Розетка</v>
      </c>
      <c r="JI227" t="str">
        <f>IF(B227="","",IF(OR(JH227="",JH227=0),"BOX",IFERROR(IF(VLOOKUP(JH227,УГО_блоки,3,FALSE)&amp;""&lt;&gt;"",VLOOKUP(JH227,УГО_блоки,3,FALSE),VLOOKUP(JH227,УГО_блоки,2,FALSE)),JH227)))</f>
        <v>SOCKET</v>
      </c>
      <c r="JJ227">
        <f t="shared" si="544"/>
        <v>1</v>
      </c>
      <c r="JK227" t="str">
        <f>IF(DQ227="","",IF(COUNTIF(DQ$3:DQ227,DQ227)=1,MAX(JK$2:JK226)+1,""))</f>
        <v/>
      </c>
      <c r="JL227" t="str">
        <f>IF(DE227="","",IF(COUNTIF(DE$3:DE227,DE227)+COUNTIF(DF$2:DF226,DE227)+COUNTIF(DG$2:DG226,DE227)=1,MAX(JL$2:JN226)+1,""))</f>
        <v/>
      </c>
      <c r="JM227" t="str">
        <f>IF(DF227="","",IF(COUNTIF(DE$3:DE227,DF227)+COUNTIF(DF$3:DF227,DF227)+COUNTIF(DG$2:DG226,DF227)=1,MAX(JL$2:JN226,JL227)+1,""))</f>
        <v/>
      </c>
      <c r="JN227" t="str">
        <f>IF(DG227="","",IF(COUNTIF(DE$3:DE227,DG227)+COUNTIF(DF$3:DF227,DG227)+COUNTIF(DG$3:DG227,DG227)=1,MAX(JL$2:JN226,JL227,JM227)+1,""))</f>
        <v/>
      </c>
      <c r="JO227" t="str">
        <f t="shared" si="545"/>
        <v>3х2,5</v>
      </c>
      <c r="JP227" t="str">
        <f>IF(JO227="","",IF(COUNTIF(JO$3:JO227,JO227)=1,MAX(JP$2:JP226)+1,""))</f>
        <v/>
      </c>
      <c r="JQ227" t="str">
        <f>IF(HG227="","",COUNTIF(HG$3:HG227,"?*"))</f>
        <v/>
      </c>
      <c r="JR227" t="str">
        <f>IF(OR(HG227="",HI227=""),"",IF(COUNTIFS(HG$3:HG227,"?*",HI$3:HI227,HI227)=1,MAX(JR$2:JR226)+1,""))</f>
        <v/>
      </c>
      <c r="JS227">
        <f t="shared" si="546"/>
        <v>0</v>
      </c>
      <c r="JT227">
        <f>IF(B227="","",COUNTIF(B$3:B227,"?*"))</f>
        <v>225</v>
      </c>
      <c r="JU227">
        <f>IF(HL227&lt;&gt;1,0,_xlfn.LET(_xlpm.k,MAX(IFERROR(--_xlfn.XLOOKUP(B227,Коды_код,Коды_3L),0),IFERROR(--_xlfn.XLOOKUP(BC227,Коды_код,Коды_3L),0),IFERROR(--_xlfn.XLOOKUP(LEFT(BC227,2),Коды_код,Коды_3L),0)),IF(_xlpm.k&gt;0,_xlpm.k,IF(IFERROR(--LEFT(SUBSTITUTE(JO227,"x","х"),FIND("х",SUBSTITUTE(JO227,"x","х"))-1),3)&gt;3,Каталог!$S$9,1))))</f>
        <v>1</v>
      </c>
      <c r="JV227">
        <f t="shared" si="547"/>
        <v>0</v>
      </c>
      <c r="JW227" t="str">
        <f t="shared" si="548"/>
        <v>авто</v>
      </c>
      <c r="JX227">
        <f t="shared" si="549"/>
        <v>30</v>
      </c>
      <c r="JY227">
        <f t="shared" si="550"/>
        <v>1</v>
      </c>
      <c r="JZ227">
        <f t="shared" si="551"/>
        <v>1</v>
      </c>
    </row>
    <row r="228" spans="1:286" x14ac:dyDescent="0.3">
      <c r="A228" t="s">
        <v>757</v>
      </c>
      <c r="B228" t="s">
        <v>1534</v>
      </c>
      <c r="C228" t="s">
        <v>1707</v>
      </c>
      <c r="D228">
        <v>2</v>
      </c>
      <c r="E228">
        <v>0.18</v>
      </c>
      <c r="G228" t="str">
        <f>Линии[[#This Row],[_авто автомат]]</f>
        <v>2P С16А 30мА</v>
      </c>
      <c r="H228" t="str">
        <f>Линии[[#This Row],[_авто управление]]</f>
        <v/>
      </c>
      <c r="I228" t="str">
        <f>Линии[[#This Row],[_авто аппараты]]</f>
        <v/>
      </c>
      <c r="J228">
        <v>2.5</v>
      </c>
      <c r="K228">
        <v>57</v>
      </c>
      <c r="L228">
        <v>3</v>
      </c>
      <c r="M228" t="str">
        <f>Линии[[#This Row],[_авто клемма]]</f>
        <v>XT4</v>
      </c>
      <c r="N228" t="str">
        <f t="shared" si="414"/>
        <v/>
      </c>
      <c r="O228" s="6" cm="1">
        <f t="array" ref="O228">IF(B228="","",IF(BH228&lt;&gt;"",IFERROR(_xlfn.XLOOKUP(BH228,Щиты[Щит],Щиты[Iр, А]),""),IF(BP228=1,IF(OR(N(_xlfn.XLOOKUP(A228,Щиты[Щит],Щиты[Вводов],1))&lt;=1,LOWER(TRIM(_xlfn.XLOOKUP(A228,Щиты[Щит],Щиты[АВР],"")&amp;""))="да"),IFERROR(_xlfn.XLOOKUP(A228,Щиты[Щит],Щиты[Iр, А]),""),IFERROR(N(BS228)*_xlfn.XLOOKUP(A228,Щиты[Щит],Щиты[Кс итог])/(SQRT(3)*Uн_лин*_xlfn.XLOOKUP(A228,Щиты[Щит],Щиты[cos φ])),"")),IF(BV228=1,IFERROR(BS228*1000/BU228,""),IFERROR(_xlfn.IFS(BX228=1,BS228/((Uн_лин/SQRT(3))*CE228),BX228=3,BS228/(SQRT(3)*Uн_лин*CE228)),"")))))</f>
        <v>0.8204451193747313</v>
      </c>
      <c r="P228" s="7">
        <f>IF(B228="","",IFERROR(IF(VLOOKUP(BC228,Потребители_обозначение,4,FALSE)=1,VLOOKUP(BC228,Потребители_обозначение,3,FALSE)*(MAX(1,N(D228))*2-1)+EI228+VLOOKUP(BE228,Этаж_обозначение,3,FALSE)+VLOOKUP(BE228,Этаж_обозначение,4,FALSE),VLOOKUP(BC228,Потребители_обозначение,3,FALSE)*(MAX(1,N(D228))*2-1)+EI228),EI228))</f>
        <v>66</v>
      </c>
      <c r="Q228" s="6">
        <f t="shared" si="415"/>
        <v>1.6</v>
      </c>
      <c r="R228" t="str">
        <f t="shared" si="416"/>
        <v>ВВГнг(А)-LS (3х2,5)</v>
      </c>
      <c r="S228" t="str">
        <f>IF(BM228="","",IF(BN228="вводной узел","узел ","")&amp;"л."&amp;(INT((BM228-1)/Столбцов_на_лист)+1)&amp;" / "&amp;(MOD(BM228-1,Столбцов_на_лист)+1))</f>
        <v>л.1 / 12</v>
      </c>
      <c r="T228" s="119">
        <f t="shared" si="417"/>
        <v>1</v>
      </c>
      <c r="U228" s="7" t="str">
        <f>IF(OR(CG228=0,N(BV228)+N(IB228)=0),"",ROUNDUP(Запас_БП*(N(HY228)+N(HZ228)),0))</f>
        <v/>
      </c>
      <c r="V228" s="119" t="str">
        <f t="shared" si="418"/>
        <v/>
      </c>
      <c r="W228" s="7" t="str">
        <f>IFERROR(IF(OR(B228="",BP228=1,BV228=1,NOT(ISNUMBER(EN228)),N(DT228)=0),"",MAX(0,ROUNDDOWN((c_min*(Uн_лин*1000/SQRT(3))/(HT228*N(DT228))-_xlfn.XLOOKUP(A228,Щиты[Щит],Щиты[Zпетли на шинах, Ом]))*EN228/(2*ρкз_Cu),0))),"")</f>
        <v/>
      </c>
      <c r="Y228">
        <f>Линии[[#This Row],[_авто утечка]]</f>
        <v>30</v>
      </c>
      <c r="Z228">
        <v>1</v>
      </c>
      <c r="AA228">
        <v>230</v>
      </c>
      <c r="AB228" t="s">
        <v>562</v>
      </c>
      <c r="AG228" t="s">
        <v>810</v>
      </c>
      <c r="AI228" t="s">
        <v>561</v>
      </c>
      <c r="AK228" t="str">
        <f>Линии[[#This Row],[_авто модуль]]</f>
        <v/>
      </c>
      <c r="AM228">
        <v>12</v>
      </c>
      <c r="AN228" t="s">
        <v>11</v>
      </c>
      <c r="AO228">
        <v>3</v>
      </c>
      <c r="AQ228">
        <v>28</v>
      </c>
      <c r="AR228">
        <v>38</v>
      </c>
      <c r="AS228">
        <v>0</v>
      </c>
      <c r="BA228" cm="1">
        <f t="array" ref="BA228">ROW()-ROW(Линии[#Headers])</f>
        <v>226</v>
      </c>
      <c r="BC228" s="6" t="str">
        <f t="shared" si="419"/>
        <v>R</v>
      </c>
      <c r="BD228" t="str">
        <f t="shared" si="420"/>
        <v>1.002A.1</v>
      </c>
      <c r="BE228" t="str">
        <f t="shared" si="421"/>
        <v>1</v>
      </c>
      <c r="BF228" t="str">
        <f t="shared" si="422"/>
        <v>002A.1</v>
      </c>
      <c r="BG228" t="str">
        <f t="shared" si="423"/>
        <v>002A</v>
      </c>
      <c r="BH228" t="str">
        <f>IF(X228&lt;&gt;"",X228,IF(AND(B228&lt;&gt;"",B228&lt;&gt;A228,ISNUMBER(_xlfn.XMATCH(B228,Щиты[Щит]))),B228,""))</f>
        <v/>
      </c>
      <c r="BI228" t="str" cm="1">
        <f t="array" ref="BI228">IF(B228="","",IF(BH228&lt;&gt;"","Щит "&amp;BH228,_xlfn.LET(_xlpm.nm,IFERROR(_xlfn.XLOOKUP(BC228,Коды_код,Коды_имя)&amp;"",""),_xlpm.md,IFERROR(N(_xlfn.XLOOKUP(BC228,Коды_код,Коды_режим)),1),_xlpm.ex,IF(Имя_режим="по экспликации",IFERROR(_xlfn.XLOOKUP(BE228&amp;"|"&amp;BG228,Экспликация[Этаж]&amp;"|"&amp;Экспликация[Помещение],Экспликация[Название])&amp;"",""),""),_xlpm.rm,IF(BG228="","",IF(_xlpm.ex&lt;&gt;"",". "&amp;_xlpm.ex&amp;IF(Имя_пом="нет"," ("&amp;BG228&amp;")"," (пом. "&amp;BG228&amp;")"),IF(Имя_пом="нет"," ",", пом. ")&amp;BG228)),IF(_xlpm.nm="","",IF(_xlpm.md=2,_xlpm.nm&amp;" шлейф "&amp;BE228,_xlpm.nm&amp;_xlpm.rm)))))</f>
        <v>Розеточная группа, пом. 002A</v>
      </c>
      <c r="BJ228" t="str">
        <f t="shared" si="424"/>
        <v>Розеточная группа Первый этаж Пом. №002A, 023А</v>
      </c>
      <c r="BK228">
        <f>IFERROR(_xlfn.XMATCH(A228,Щиты[Щит]),0)</f>
        <v>10</v>
      </c>
      <c r="BL228">
        <f>_xlfn.LET(_xlpm.k,IFERROR(_xlfn.XLOOKUP(A228,Щиты[Щит],Щиты[Мест под вводной узел]),""),IF(_xlpm.k="",Столбцов_на_лист,N(_xlpm.k)))</f>
        <v>8</v>
      </c>
      <c r="BM228">
        <f t="shared" si="425"/>
        <v>12</v>
      </c>
      <c r="BN228" t="str">
        <f t="shared" si="426"/>
        <v>линии</v>
      </c>
      <c r="BO228" s="6">
        <f>IFERROR(N(_xlfn.XLOOKUP(BC228,Коды_код,Коды_квт)),0)</f>
        <v>0</v>
      </c>
      <c r="BP228">
        <f t="shared" si="427"/>
        <v>0</v>
      </c>
      <c r="BQ228" t="str">
        <f>IF(B228="","",IF(BH228&lt;&gt;"",IFERROR(_xlfn.XLOOKUP(BH228,Щиты[Щит],Щиты[Руст, кВт]),0),IF(BP228=1,IF(OR(N(_xlfn.XLOOKUP(A228,Щиты[Щит],Щиты[Вводов],1))&lt;=1,LOWER(TRIM(_xlfn.XLOOKUP(A228,Щиты[Щит],Щиты[АВР],"")&amp;""))="да"),IFERROR(_xlfn.XLOOKUP(A228,Щиты[Щит],Щиты[Руст, кВт]),0),SUMIFS(Линии[_Р для вводов],Линии[Щит],A228,Линии[Источник для режимов],GF228)),IF(BO228&gt;0,ROUND(BO228*MAX(1,N(D228)),3),""))))</f>
        <v/>
      </c>
      <c r="BR228">
        <f t="shared" si="428"/>
        <v>0.18</v>
      </c>
      <c r="BS228" s="6">
        <f>IF(B228="","",IF(BH228&lt;&gt;"",IFERROR(_xlfn.XLOOKUP(BH228,Щиты[Щит],Щиты[Руст, кВт]),0),N(BR228)))</f>
        <v>0.18</v>
      </c>
      <c r="BT228" t="str">
        <f>IF(B228="","",IFERROR(IF(VLOOKUP(BC228,Потребители_обозначение,8,FALSE)=0,"",VLOOKUP(BC228,Потребители_обозначение,8,FALSE)),""))</f>
        <v/>
      </c>
      <c r="BU228">
        <f t="shared" si="429"/>
        <v>230</v>
      </c>
      <c r="BV228">
        <f t="shared" si="430"/>
        <v>0</v>
      </c>
      <c r="BW228">
        <f>IF(B228="","",IF(BH228&lt;&gt;"",3,IFERROR(IF(N(VLOOKUP(BC228,Потребители_обозначение,9,FALSE))=0,1,VLOOKUP(BC228,Потребители_обозначение,9,FALSE)),1)))</f>
        <v>1</v>
      </c>
      <c r="BX228">
        <f t="shared" si="431"/>
        <v>1</v>
      </c>
      <c r="BY228" t="str">
        <f>IF(B228="","",_xlfn.LET(_xlpm.bc,IFERROR(IF(VLOOKUP(BC228,Потребители_обозначение,6,FALSE)=0,"",VLOOKUP(BC228,Потребители_обозначение,6,FALSE)&amp;""),""),IF(AND(GA228="да",OR(_xlpm.bc="",_xlpm.bc="мс")),Марка_пож,IF(AND(_xlpm.bc="",BH228&lt;&gt;""),"мс",_xlpm.bc))))</f>
        <v/>
      </c>
      <c r="BZ228" t="str">
        <f t="shared" si="432"/>
        <v>мс</v>
      </c>
      <c r="CA228">
        <f>IF(B228="","",_xlfn.LET(_xlpm.cc,IFERROR(N(VLOOKUP(BC228,Потребители_обозначение,7,FALSE)),0),IF(_xlpm.cc&gt;0,_xlpm.cc,IF(BZ228="","",IF(BV228=1,2,IF(N(BX228)=3,5,3))))))</f>
        <v>3</v>
      </c>
      <c r="CB228">
        <f t="shared" si="433"/>
        <v>3</v>
      </c>
      <c r="CC228">
        <f>IFERROR(N(VLOOKUP(BC228,Потребители_обозначение,10,FALSE)),0)</f>
        <v>0</v>
      </c>
      <c r="CD228">
        <f>IFERROR(VLOOKUP(BC228,Потребители_обозначение,5,FALSE),0)</f>
        <v>1</v>
      </c>
      <c r="CE228" s="6" cm="1">
        <f t="array" ref="CE228">IF(B228="","",IF(BH228&lt;&gt;"",IFERROR(_xlfn.XLOOKUP(BH228,Щиты[Щит],Щиты[cos φ]),0.95),IF(BP228=1,IFERROR(_xlfn.XLOOKUP(A228,Щиты[Щит],Щиты[cos φ]),0.95),IF(ISNUMBER(AD228),AD228,IFERROR(IF(CD228=2,_xlfn.IFS(BX228=3,VLOOKUP(BS228,Справочная_двигатели,8,FALSE),BX228=1,VLOOKUP(BS228,Справочная_двигатели,10,TRUE)),IF(AND(Методика="нормы 2026",FG228="Сил"),0.8,0.95)),0.95)))))</f>
        <v>0.95</v>
      </c>
      <c r="CF228">
        <f t="shared" si="434"/>
        <v>0</v>
      </c>
      <c r="CG228">
        <f t="shared" si="435"/>
        <v>1</v>
      </c>
      <c r="CH228">
        <f t="shared" si="436"/>
        <v>0</v>
      </c>
      <c r="CI228">
        <f>IF(B228="","",IF(BV228=1,IFERROR(BS228/((Uн_лин/SQRT(3))*MAX(0.5,N(CE228))),0),N(O228)))</f>
        <v>0.8204451193747313</v>
      </c>
      <c r="CJ228">
        <f t="shared" si="437"/>
        <v>0</v>
      </c>
      <c r="CK228">
        <f t="shared" si="438"/>
        <v>0</v>
      </c>
      <c r="CL228">
        <f t="shared" si="439"/>
        <v>0</v>
      </c>
      <c r="CM228">
        <f t="shared" si="440"/>
        <v>0</v>
      </c>
      <c r="CN228">
        <f t="shared" si="441"/>
        <v>0</v>
      </c>
      <c r="CO228">
        <f>IF(BC228="",0,_xlfn.LET(_xlpm.v,IFERROR(_xlfn.XLOOKUP(B228,Коды_код,Коды_мА),IFERROR(_xlfn.XLOOKUP(BC228,Коды_код,Коды_мА),IFERROR(_xlfn.XLOOKUP(LEFT(BC228,2),Коды_код,Коды_мА),""))),IF(_xlpm.v="да",30,IF(ISNUMBER(_xlpm.v),_xlpm.v,0))))</f>
        <v>30</v>
      </c>
      <c r="CP228">
        <f t="shared" si="442"/>
        <v>30</v>
      </c>
      <c r="CQ228" t="str">
        <f>_xlfn.LET(_xlpm.k,IFERROR(_xlfn.XLOOKUP(BC228,Коды_код,Коды_утечка)&amp;"",""),IF(_xlpm.k="","дифавтомат",_xlpm.k))</f>
        <v>дифавтомат</v>
      </c>
      <c r="CR228" t="str" cm="1">
        <f t="array" ref="CR228">IF(CG228=0,"",_xlfn.LET(_xlpm.sg,TRIM(_xlfn.TEXTSPLIT(DD228&amp;"",";")),_xlpm.f_,_xlfn._xlws.FILTER(_xlpm.sg,LEFT(_xlpm.sg,3)="УЗО",""),IFERROR(INDEX(_xlpm.f_,1)&amp;"","")))</f>
        <v/>
      </c>
      <c r="CS228" t="str">
        <f t="shared" si="443"/>
        <v/>
      </c>
      <c r="CT228" s="6" t="str" cm="1">
        <f t="array" ref="CT228">IF(CR228="","",_xlfn.LET(_xlpm.tk,_xlfn.TEXTSPLIT(UPPER(CR228)," ",,TRUE),_xlpm.a_,_xlfn._xlws.FILTER(_xlpm.tk,ISNUMBER(--LEFT(_xlpm.tk,1))*((ISNUMBER(SEARCH("А",_xlpm.tk))+ISNUMBER(SEARCH("A",_xlpm.tk)))&gt;0)*NOT(ISNUMBER(SEARCH("МА",_xlpm.tk)))*NOT(ISNUMBER(SEARCH("MA",_xlpm.tk))),""),IFERROR(--SUBSTITUTE(SUBSTITUTE(INDEX(_xlpm.a_,1),"А",""),"A",""),"")))</f>
        <v/>
      </c>
      <c r="CU228" t="str" cm="1">
        <f t="array" ref="CU228">IF(CR228="","",_xlfn.LET(_xlpm.tk,_xlfn.TEXTSPLIT(UPPER(CR228)," ",,TRUE),_xlpm.a_,_xlfn._xlws.FILTER(_xlpm.tk,ISNUMBER(--LEFT(_xlpm.tk,1))*((ISNUMBER(SEARCH("МА",_xlpm.tk))+ISNUMBER(SEARCH("MA",_xlpm.tk)))&gt;0),""),IFERROR(--SUBSTITUTE(SUBSTITUTE(INDEX(_xlpm.a_,1),"МА",""),"MA",""),30)))</f>
        <v/>
      </c>
      <c r="CV228" t="str">
        <f>IF(CS228="","",IFERROR(_xlfn.XLOOKUP(CS228,Линии[_n],Линии[_УЗО, мА]),30))</f>
        <v/>
      </c>
      <c r="CW228">
        <f>IF(CS228="",0,IF(ISNUMBER(SEARCH("4P",IFERROR(_xlfn.XLOOKUP(CS228,Линии[_n],Линии[_УЗО строки])&amp;"",""))),0,1))</f>
        <v>0</v>
      </c>
      <c r="CX228" t="str">
        <f>IF(AND(CS228&lt;&gt;"",CS228=BA228),SUMIFS(Линии[_ток на 230 В],Линии[_блок УЗО],BA228,Линии[Щит],A228),"")</f>
        <v/>
      </c>
      <c r="CY228" t="str">
        <f>IF(AND(CS228&lt;&gt;"",CS228=BA228),SUMIFS(Линии[_ток утечки линии, мА],Линии[_блок УЗО],BA228,Линии[Щит],A228),"")</f>
        <v/>
      </c>
      <c r="CZ228">
        <f t="shared" si="444"/>
        <v>30</v>
      </c>
      <c r="DA228">
        <f t="shared" si="445"/>
        <v>30</v>
      </c>
      <c r="DB228">
        <f>IF(B228="",0,IFERROR(--_xlfn.XLOOKUP(B228,Коды_код,Коды_минавт),IFERROR(--_xlfn.XLOOKUP(BC228,Коды_код,Коды_минавт),IFERROR(--_xlfn.XLOOKUP(LEFT(BC228,2),Коды_код,Коды_минавт),0))))</f>
        <v>16</v>
      </c>
      <c r="DC228" t="str">
        <f>IF(B228="","",IFERROR(_xlfn.XLOOKUP(BC228,Коды_код,Коды_апп)&amp;"",""))</f>
        <v/>
      </c>
      <c r="DD228" t="str">
        <f t="shared" si="446"/>
        <v/>
      </c>
      <c r="DE228" t="str" cm="1">
        <f t="array" ref="DE228">IF(TRIM(DD228&amp;"")="","",IFERROR(TRIM(INDEX(_xlfn.TEXTSPLIT(DD228&amp;";;;",";"),1)),""))</f>
        <v/>
      </c>
      <c r="DF228" t="str" cm="1">
        <f t="array" ref="DF228">IF(TRIM(DD228&amp;"")="","",IFERROR(TRIM(INDEX(_xlfn.TEXTSPLIT(DD228&amp;";;;",";"),2)),""))</f>
        <v/>
      </c>
      <c r="DG228" t="str" cm="1">
        <f t="array" ref="DG228">IF(TRIM(DD228&amp;"")="","",IFERROR(TRIM(INDEX(_xlfn.TEXTSPLIT(DD228&amp;";;;",";"),3)),""))</f>
        <v/>
      </c>
      <c r="DH228">
        <f t="shared" si="447"/>
        <v>0</v>
      </c>
      <c r="DI228" t="str">
        <f>IF(B228="","",_xlfn.LET(_xlpm.t,LOWER(AZ228&amp;""),IF(ISNUMBER(SEARCH("dim",_xlpm.t)),"DIM",IF(ISNUMBER(SEARCH("dali",_xlpm.t)),"DALI",IF(OR(ISNUMBER(SEARCH("relay",_xlpm.t)),ISNUMBER(SEARCH("реле",_xlpm.t))),"Relay",IF(ISNUMBER(SEARCH("кнопк",_xlpm.t)),"",IFERROR(_xlfn.XLOOKUP(BC228,Коды_код,Коды_упр)&amp;"","")))))))</f>
        <v/>
      </c>
      <c r="DJ228" t="str">
        <f t="shared" si="448"/>
        <v/>
      </c>
      <c r="DK228">
        <f>IF(B228="","",_xlfn.LET(_xlpm.ig,IF(N(CX228)&gt;0,N(CX228),N(CI228)+IF(AJ228="вручную",0,N(CJ228))),_xlpm.n0,IFERROR(VLOOKUP(_xlpm.ig,Автомат_номиналы,2,TRUE),0),_xlpm.mn,MAX(DB228,IF(AJ228="вручную",0,N(CM228))),MAX(_xlpm.n0,_xlpm.mn,IF(DH228=1,Мин_автомат_БП,0))))</f>
        <v>16</v>
      </c>
      <c r="DL228">
        <f t="shared" si="449"/>
        <v>1</v>
      </c>
      <c r="DM228" t="str">
        <f t="shared" si="450"/>
        <v>2P</v>
      </c>
      <c r="DN228" t="str">
        <f>_xlfn.LET(_xlpm.cc,UPPER(TRIM(IFERROR(_xlfn.XLOOKUP(BC228,Коды_код,Коды_хар)&amp;"",""))),IF(OR(_xlpm.cc="B",_xlpm.cc="В"),"B",IF(_xlpm.cc="D","D","С")))</f>
        <v>С</v>
      </c>
      <c r="DO228" t="str">
        <f t="shared" si="451"/>
        <v>2P С16А 30мА</v>
      </c>
      <c r="DP228" t="str">
        <f t="shared" si="452"/>
        <v>2P С16А 30мА</v>
      </c>
      <c r="DQ228" t="str">
        <f t="shared" si="453"/>
        <v>2P С16А 30мА</v>
      </c>
      <c r="DR228" cm="1">
        <f t="array" ref="DR228">IF(DQ228="","",_xlfn.LET(_xlpm.t,SUBSTITUTE(SUBSTITUTE(SUBSTITUTE(UPPER(DQ228),"С","C"),"А","A"),"В","B"),_xlpm.tk,_xlfn.TEXTSPLIT(_xlpm.t," "),_xlpm.f,_xlfn._xlws.FILTER(_xlpm.tk,ISNUMBER(--MID(_xlpm.tk,2,1))*ISNUMBER(SEARCH(LEFT(_xlpm.tk,1)&amp;"#","B#C#D#"))*(LEN(_xlpm.tk)&gt;1),""),_xlpm.x,INDEX(_xlpm.f,1),IFERROR(--SUBSTITUTE(MID(_xlpm.x,2,9),"A",""),IFERROR(--SUBSTITUTE(INDEX(_xlfn._xlws.FILTER(_xlpm.tk,ISNUMBER(--SUBSTITUTE(_xlpm.tk,"A","")),""),1),"A",""),""))))</f>
        <v>16</v>
      </c>
      <c r="DS228" t="str">
        <f t="shared" si="454"/>
        <v>ok</v>
      </c>
      <c r="DT228">
        <f t="shared" si="455"/>
        <v>16</v>
      </c>
      <c r="DU228" t="str">
        <f t="shared" si="456"/>
        <v>2P С16А 30мА</v>
      </c>
      <c r="DV228">
        <f t="shared" si="457"/>
        <v>30</v>
      </c>
      <c r="DW228">
        <f t="shared" si="458"/>
        <v>1</v>
      </c>
      <c r="DX228">
        <f t="shared" si="459"/>
        <v>0</v>
      </c>
      <c r="DY228">
        <f t="shared" si="460"/>
        <v>0.8204451193747313</v>
      </c>
      <c r="DZ228">
        <f t="shared" si="461"/>
        <v>1</v>
      </c>
      <c r="EA228">
        <f>IF(ISNUMBER(AP228),AP228,К_прокл)</f>
        <v>1</v>
      </c>
      <c r="EB228">
        <f t="shared" si="462"/>
        <v>2</v>
      </c>
      <c r="EC228">
        <f>IFERROR(N(VLOOKUP(BZ228,Кабель_обозначение,3,FALSE)),1)</f>
        <v>1</v>
      </c>
      <c r="ED228">
        <f>IFERROR(N(_xlfn.XLOOKUP(A228,Щиты[Щит],Щиты[ΔU до шин, %])),0)</f>
        <v>1.19</v>
      </c>
      <c r="EE228" t="str">
        <f>IFERROR(_xlfn.XLOOKUP(A228,Щиты[Щит],Щиты[Zпетли на шинах, Ом]),"")</f>
        <v/>
      </c>
      <c r="EF228">
        <f>IFERROR(N(_xlfn.XLOOKUP(A228,Щиты[Щит],Щиты[ΔU до шин (подбор), %])),0)</f>
        <v>1.19</v>
      </c>
      <c r="EG228" t="str">
        <f>IFERROR(_xlfn.XLOOKUP(A228,Щиты[Щит],Щиты[Zпетли на шинах (подбор), Ом]),"")</f>
        <v/>
      </c>
      <c r="EH228" t="str">
        <f t="shared" si="463"/>
        <v/>
      </c>
      <c r="EI228">
        <f t="shared" si="464"/>
        <v>57</v>
      </c>
      <c r="EJ228">
        <f t="shared" si="465"/>
        <v>2</v>
      </c>
      <c r="EK228">
        <f t="shared" si="466"/>
        <v>0.31</v>
      </c>
      <c r="EL228" s="6">
        <f>IF(B228="","",IF(BV228=1,dU_LED,IF(IFERROR(_xlfn.XLOOKUP(BC228,Коды_код,Коды_уго),"")="Светильник",3,4)+IF(Методика="нормы 2026",MIN(0.5,MAX(0,N(P228)-100)*0.005),0)))</f>
        <v>4</v>
      </c>
      <c r="EM228" cm="1">
        <f t="array" ref="EM228">IF(OR(B228="",BZ228="",EC228&lt;&gt;1),"",_xlfn.LET(_xlpm.sz,Iдоп_S,_xlpm.t_,CHOOSE(EB228,Iдоп_1ж,Iдоп_2ж,Iдоп_3ж)*DZ228*EA228,_xlpm.dcx,BV228=1,_xlpm.inn,IF(_xlpm.dcx,N(O228),N(DT228)),_xlpm.smin,MAX(1.5,CC228),_xlpm.L_,N(P228)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228)/N(BU228)*100,999),IFERROR(N(EJ228)*(_xlpm.rho*_xlpm.L_/_xlpm.sz*N(CE228)+_xlpm.xx*_xlpm.L_*N(EK228)/1000)*N(O228)/((Uн_лин/SQRT(3))*1000)*100,999)),_xlpm.kz,IF(OR(_xlpm.dcx,DW228=1,NOT(ISNUMBER(EG228)),_xlpm.L_=0,_xlpm.inn=0),1,IFERROR(--(c_min*(Uн_лин*1000/SQRT(3))/(EG228+2*ρкз_Cu*_xlpm.L_/_xlpm.sz)&gt;=HT228*_xlpm.inn),0)),_xlpm.ok,IFERROR((_xlpm.sz&gt;=_xlpm.smin)*(_xlpm.t_&gt;=_xlpm.inn)*IF(_xlpm.L_&gt;0,(_xlpm.du_+IF(_xlpm.dcx,0,EF228)&lt;=EL228+0.00001),1)*_xlpm.kz,0),_xlpm.r_,_xlfn._xlws.FILTER(_xlpm.sz,_xlpm.ok,"не подобрано"),INDEX(_xlpm.r_,1)))</f>
        <v>1.5</v>
      </c>
      <c r="EN228">
        <f t="shared" si="467"/>
        <v>2.5</v>
      </c>
      <c r="EO228" cm="1">
        <f t="array" ref="EO228">IF(OR(B228="",BZ228="",EC228&lt;&gt;1),"",_xlfn.LET(_xlpm.sz,Iдоп_S,_xlpm.t_,CHOOSE(EB228,Iдоп_1ж,Iдоп_2ж,Iдоп_3ж)*DZ228*EA228,_xlpm.ok,IFERROR((_xlpm.sz&gt;=MAX(1.5,CC228))*(_xlpm.t_&gt;=N(DT228)),0),_xlpm.r_,_xlfn._xlws.FILTER(_xlpm.sz,_xlpm.ok,""),INDEX(_xlpm.r_,1)))</f>
        <v>1.5</v>
      </c>
      <c r="EP228" s="6" cm="1">
        <f t="array" ref="EP228">IFERROR(ROUNDUP(N(EJ228)*(_xlfn.XLOOKUP(EO228,INDEX(Кабель_сопротивление,0,1),INDEX(Кабель_сопротивление,0,3))*N(P228)/EO228*N(CE228)+_xlfn.XLOOKUP(EO228,INDEX(Кабель_сопротивление,0,1),INDEX(Кабель_сопротивление,0,2))*N(P228)*N(EK228)/1000)*N(O228)/((Uн_лин/SQRT(3))*1000)*100,2),"")</f>
        <v>0.67</v>
      </c>
      <c r="EQ228">
        <f>IFERROR(2*ρкз_Cu*N(P228)/EO228,"")</f>
        <v>2.3144</v>
      </c>
      <c r="ER228">
        <f>IFERROR(VLOOKUP(EN228,Кабель_сопротивление,3,FALSE),"")</f>
        <v>2.2499999999999999E-2</v>
      </c>
      <c r="ES228">
        <f>IFERROR(VLOOKUP(EN228,Кабель_сопротивление,2,FALSE),"")</f>
        <v>0.1</v>
      </c>
      <c r="ET228">
        <f t="shared" si="468"/>
        <v>38</v>
      </c>
      <c r="EU228">
        <f t="shared" si="469"/>
        <v>0</v>
      </c>
      <c r="EV228">
        <f t="shared" si="470"/>
        <v>0.92931162315480298</v>
      </c>
      <c r="EW228" s="6">
        <f>IFERROR(ROUNDUP(EV228/IF(BV228=1,BU228,(Uн_лин/SQRT(3))*1000)*100,2),"")</f>
        <v>0.41000000000000003</v>
      </c>
      <c r="EX228" t="str">
        <f>IFERROR(VLOOKUP(BZ228,Кабель_обозначение,2,FALSE),"")</f>
        <v>ВВГнг(А)-LS</v>
      </c>
      <c r="EY228" t="str">
        <f t="shared" si="471"/>
        <v>ВВГнг(А)-LS (3х2,5)</v>
      </c>
      <c r="EZ228" t="str">
        <f t="shared" si="472"/>
        <v>ВВГнг(А)-LS (3х2,5)
L=66-0,41%</v>
      </c>
      <c r="FA228">
        <f>IFERROR(2*ρкз_Cu*P228/EN228,"")</f>
        <v>1.3886400000000001</v>
      </c>
      <c r="FB228">
        <f t="shared" si="473"/>
        <v>0.46200000000000002</v>
      </c>
      <c r="FC228" s="6" t="str">
        <f>IFERROR(IF(OR(B228="",BV228=1,NOT(ISNUMBER(EN228)),N(P228)=0),"",_xlfn.XLOOKUP(A228,Щиты[Щит],Щиты[Zпетли на шинах, Ом])+FA228),"")</f>
        <v/>
      </c>
      <c r="FD228" s="6" t="str">
        <f>IF(ISNUMBER(FC228),c_min*(Uн_лин*1000/SQRT(3))/FC228,"")</f>
        <v/>
      </c>
      <c r="FE228" s="6" t="str">
        <f>IFERROR(IF(OR(B228="",NOT(ISNUMBER(EN228))),"",1.05*(Uн_лин*1000/SQRT(3))/(_xlfn.XLOOKUP(A228,Щиты[Щит],Щиты[Zmax на шинах, Ом])+FB228)/1000),"")</f>
        <v/>
      </c>
      <c r="FF228" s="6" t="str">
        <f>IF(B228="","",IF(ISNUMBER(AC228),"Сил",IF(IFERROR(_xlfn.XLOOKUP(BC228,Коды_код,Коды_группа)&amp;"","")="","Быт",_xlfn.XLOOKUP(BC228,Коды_код,Коды_группа)&amp;"")))</f>
        <v>Быт</v>
      </c>
      <c r="FG228" s="6" t="str">
        <f t="shared" si="474"/>
        <v>Быт</v>
      </c>
      <c r="FH228" s="6">
        <f>IF(FG228="Щит","щит",IF(FG228="","",IF(FG228="Быт",IFERROR(_xlfn.XLOOKUP(A228,Щиты[Щит],Щиты[Кс быт]),1),IF(FG228="Сил",IF(ISNUMBER(AC228),AC228,IF(Методика="нормы 2026",IFERROR(_xlfn.XLOOKUP(A228,Щиты[Щит],Щиты[Кс силовых (табл. 7.5)]),1),1)),IF(OR(FG228="Пост",FG228="Отоп"),1,IF(FG228="ВНГ",0.7,0))))))</f>
        <v>0.57830000000000004</v>
      </c>
      <c r="FI228">
        <f>IF(FG228="","",IF(AND(BP228=1,TRIM(AE228&amp;"")=""),IF(COUNTIFS(Линии[Щит],A228,Линии[Секция (1/2/3)],"&gt;=2")&gt;0,MIN(3,MAX(1,IFERROR(--BD228,1))),1),IFERROR(MIN(3,MAX(1,INT(--AE228))),1)))</f>
        <v>1</v>
      </c>
      <c r="FJ228">
        <f t="shared" si="475"/>
        <v>0.18</v>
      </c>
      <c r="FK228">
        <f t="shared" si="476"/>
        <v>0.18</v>
      </c>
      <c r="FL228">
        <f t="shared" si="477"/>
        <v>0</v>
      </c>
      <c r="FM228">
        <f t="shared" si="478"/>
        <v>0</v>
      </c>
      <c r="FN228">
        <f t="shared" si="479"/>
        <v>0</v>
      </c>
      <c r="FO228">
        <f t="shared" si="480"/>
        <v>0</v>
      </c>
      <c r="FP228">
        <f t="shared" si="481"/>
        <v>0.18</v>
      </c>
      <c r="FQ228">
        <f t="shared" si="482"/>
        <v>0.18</v>
      </c>
      <c r="FR228">
        <f t="shared" si="483"/>
        <v>0.17099999999999999</v>
      </c>
      <c r="FS228">
        <f>IF(CG228=1,IF(AND(CH228=1,CW228=1),0,IF(AND(CS228&lt;&gt;"",CS228=BA228,CW228=1),SUMIFS(Линии[_Р линии, кВт],Линии[_блок УЗО],BA228,Линии[Щит],A228),N(BS228)+IF(AJ228="вручную",0,N(CK228)))),0)</f>
        <v>0.18</v>
      </c>
      <c r="FT228" t="str">
        <f t="shared" si="484"/>
        <v>L3</v>
      </c>
      <c r="FU228" t="str">
        <f>IF(B228="","",IF(CG228=0,IF(BA228=1,"",FW227),IF(AND(CH228=1,CW228=1,CS228&lt;&gt;""),IFERROR(_xlfn.XLOOKUP(CS228,Линии[_n],Линии[_фаза итог]),"L1"),IF(OR(N(DL228)&gt;=3,N(BX228)&gt;=3),"L1,L2,L3",IFERROR(_xlfn.TEXTBEFORE(_xlfn.TEXTAFTER(_xlfn.XLOOKUP(A228,Щиты[Щит],Щиты[_фазы авто]),";"&amp;BA228&amp;":"),";"),"L1")))))</f>
        <v>L1</v>
      </c>
      <c r="FV228" t="str">
        <f t="shared" si="485"/>
        <v>L3</v>
      </c>
      <c r="FW228" t="str">
        <f t="shared" si="486"/>
        <v>L3</v>
      </c>
      <c r="FX228" cm="1">
        <f t="array" ref="FX228">IFERROR(IF(CD228=2,_xlfn.IFS(BX228=3,VLOOKUP(BS228,Справочная_двигатели,3,FALSE),BX228=1,VLOOKUP(BS228,Справочная_двигатели,5,TRUE)),0),0)</f>
        <v>0</v>
      </c>
      <c r="FY228">
        <f>IFERROR(IF(CD228=3,VLOOKUP(BS228,Справочная_ЛЭД,2,TRUE),0),0)</f>
        <v>0</v>
      </c>
      <c r="FZ228" s="6">
        <f t="shared" si="487"/>
        <v>0</v>
      </c>
      <c r="GA228" t="str">
        <f>IF(B228="","",IF(TRIM(AH228&amp;"")&lt;&gt;"",IF(LOWER(TRIM(AH228&amp;""))="да","да","нет"),IF(IFERROR(_xlfn.XLOOKUP(BC228,Коды_код,Коды_пожарная),"")="да","да","нет")))</f>
        <v>нет</v>
      </c>
      <c r="GB228" t="str">
        <f t="shared" si="488"/>
        <v/>
      </c>
      <c r="GC228" t="str">
        <f t="shared" si="489"/>
        <v>основная</v>
      </c>
      <c r="GD228">
        <f>IF(AND(BP228=1,TRIM(AE228&amp;"")=""),IF(COUNTIFS(Линии[Щит],A228,Линии[Секция (1/2/3)],"&gt;=2")&gt;0,MIN(3,MAX(1,IFERROR(--BD228,1))),1),IFERROR(MIN(3,MAX(1,INT(--AE228))),1))</f>
        <v>1</v>
      </c>
      <c r="GE228" t="str" cm="1">
        <f t="array" ref="GE228">IF(B228="","",_xlfn.LET(_xlpm.t,IFERROR(_xlfn.XLOOKUP(1,(Шины[Шина]=GC228)*(((Шины[Щит]=A228)+(Шины[Щит]=""))&gt;0),Шины[Тип]),"")&amp;"",IF(_xlpm.t&lt;&gt;"",_xlpm.t,IF(ISNUMBER(SEARCH("ИБП",GC228)),"ИБП",IF(ISNUMBER(SEARCH("ДГУ",GC228)),"ДГУ","Ввод "&amp;GD228)))))</f>
        <v>Ввод 1</v>
      </c>
      <c r="GF228" t="str">
        <f t="shared" si="490"/>
        <v>Ввод 1</v>
      </c>
      <c r="GG228" t="str">
        <f>IF(BP228=0,"",IF(TRIM(AG228&amp;"")&lt;&gt;"",TRIM(AG228&amp;""),IF(OR(GE228="ИБП",GE228="ДГУ"),"I особая",_xlfn.XLOOKUP(A228,Щиты[Щит],Щиты[Категория шины «Ввод»],"III"))))</f>
        <v/>
      </c>
      <c r="GH228" t="str">
        <f>IF(A228="","",_xlfn.XLOOKUP(A228,Щиты[Щит],Щиты[Путь],""))</f>
        <v>|ГРЩ-ЖД|ЩР-1|</v>
      </c>
      <c r="GI228" t="str">
        <f>IF(B228="","",IF(AI228&lt;&gt;"",AI228,IF(IFERROR(_xlfn.XLOOKUP(BC228,Коды_код,Коды_вид)&amp;"","")="","Прочее",_xlfn.XLOOKUP(BC228,Коды_код,Коды_вид)&amp;"")))</f>
        <v>Розеточная сеть и бытовые приборы</v>
      </c>
      <c r="GJ228">
        <f>IF(BM228="","",INT((BM228-1)/Столбцов_на_лист)+1)</f>
        <v>1</v>
      </c>
      <c r="GK228" t="str">
        <f t="shared" si="491"/>
        <v>ВВГнг(А)-LS (3х2,5) L=66-0,41%</v>
      </c>
      <c r="GL228">
        <f t="shared" si="492"/>
        <v>0.18</v>
      </c>
      <c r="GM228">
        <f t="shared" si="493"/>
        <v>0.83</v>
      </c>
      <c r="GN228">
        <f t="shared" si="494"/>
        <v>1</v>
      </c>
      <c r="GO228">
        <f t="shared" si="495"/>
        <v>0</v>
      </c>
      <c r="GP228">
        <f t="shared" si="496"/>
        <v>1</v>
      </c>
      <c r="GQ228">
        <f>IF(BM228="","",IF(AND(CG228=1,GP228=1),COUNTIFS(A$3:A228,A228,CG$3:CG228,1,GP$3:GP228,1),IF(OR(OR(BA228=1,A228&lt;&gt;A227),AJ228="вручную",GP228=0),"",IF(BA228=1,"",GR227))))</f>
        <v>4</v>
      </c>
      <c r="GR228">
        <f t="shared" si="497"/>
        <v>4</v>
      </c>
      <c r="GS228">
        <f>IF(B228="","",IFERROR(LOOKUP(INDEX(CHOOSE(EB228,Iдоп_1ж,Iдоп_2ж,Iдоп_3ж),MATCH(EN228,Iдоп_S,0))*DZ228*EA228,{6,10,16,20,25,32,40,50,63,80,100,125,160,200,250,315,400,500,630}),""))</f>
        <v>25</v>
      </c>
      <c r="GT228" t="str">
        <f t="shared" si="498"/>
        <v>QFD4</v>
      </c>
      <c r="GU228" t="str">
        <f t="shared" si="499"/>
        <v>QFD4</v>
      </c>
      <c r="GV228" t="str">
        <f t="shared" si="500"/>
        <v/>
      </c>
      <c r="GW228">
        <f t="shared" si="501"/>
        <v>0</v>
      </c>
      <c r="GX228" t="str">
        <f>IF(OR(B228="",DJ228=""),"",IFERROR(_xlfn.XLOOKUP(DJ228,Модули_умолч[Управление],Модули_умолч[Модель])&amp;"",""))</f>
        <v/>
      </c>
      <c r="GY228">
        <f>IF(DJ228="",1,IFERROR(MAX(0,N(_xlfn.XLOOKUP(DJ228,Модули_умолч[Управление],Модули_умолч[Каналов на линию]))),1))</f>
        <v>1</v>
      </c>
      <c r="GZ228" t="str">
        <f t="shared" si="502"/>
        <v/>
      </c>
      <c r="HA228" t="str">
        <f t="shared" si="503"/>
        <v/>
      </c>
      <c r="HB228" t="str">
        <f t="shared" si="504"/>
        <v/>
      </c>
      <c r="HC228">
        <f>IF(HB228="",0,IFERROR(N(VLOOKUP(HB228,Модули_спр,3,FALSE)),0))</f>
        <v>0</v>
      </c>
      <c r="HD228" t="str">
        <f t="shared" si="505"/>
        <v/>
      </c>
      <c r="HE228" t="str">
        <f t="shared" si="506"/>
        <v/>
      </c>
      <c r="HF228" t="str">
        <f>IF(OR(HE228="",HE228="-"),"",IFERROR(VLOOKUP(HE228,Модули_спр,2,FALSE),"R"))</f>
        <v/>
      </c>
      <c r="HG228" t="str">
        <f>IF(HF228="","",HF228&amp;"."&amp;COUNTIFS(A$3:A228,A228,HF$3:HF228,HF228))</f>
        <v/>
      </c>
      <c r="HH228" t="str">
        <f t="shared" si="507"/>
        <v/>
      </c>
      <c r="HI228" t="str">
        <f t="shared" si="508"/>
        <v/>
      </c>
      <c r="HJ228" t="str">
        <f t="shared" si="509"/>
        <v/>
      </c>
      <c r="HK228" t="str">
        <f t="shared" si="510"/>
        <v/>
      </c>
      <c r="HL228">
        <f t="shared" si="511"/>
        <v>1</v>
      </c>
      <c r="HM228" t="str">
        <f>IF(HL228=1,"XT"&amp;COUNTIFS(A$3:A228,A228,HL$3:HL228,1),"")</f>
        <v>XT4</v>
      </c>
      <c r="HN228" t="str">
        <f t="shared" si="512"/>
        <v>XT4</v>
      </c>
      <c r="HO228" t="str">
        <f t="shared" si="513"/>
        <v>QFD4</v>
      </c>
      <c r="HP228" t="str">
        <f t="shared" si="514"/>
        <v/>
      </c>
      <c r="HQ228" t="str">
        <f t="shared" si="515"/>
        <v>ok</v>
      </c>
      <c r="HR228" t="str">
        <f>IF(OR(HJ228="",HH228=""),"",IF(HJ228+MAX(0,GY228-1)&gt;IFERROR(VLOOKUP(HI228,Модули_спр,3,FALSE),99),"ЛИШНИЙ КАНАЛ",IF(AND(AL228&lt;&gt;"=",GY228&gt;0,COUNTIFS(Линии[_модуль гр.],HH228,Линии[Канал (итог)],HJ228,Линии[Канал],"&lt;&gt;=",Линии[Щит],A228)&gt;1),"ДУБЛЬ КАНАЛА","")))</f>
        <v/>
      </c>
      <c r="HS228" s="6" t="str">
        <f t="shared" si="516"/>
        <v/>
      </c>
      <c r="HT228">
        <f t="shared" si="517"/>
        <v>10</v>
      </c>
      <c r="HU228" t="str">
        <f t="shared" si="518"/>
        <v/>
      </c>
      <c r="HV228">
        <f t="shared" si="519"/>
        <v>0.9881780477498926</v>
      </c>
      <c r="HW228">
        <f t="shared" si="520"/>
        <v>0</v>
      </c>
      <c r="HX228">
        <f t="shared" si="521"/>
        <v>0</v>
      </c>
      <c r="HY228">
        <f t="shared" si="522"/>
        <v>0</v>
      </c>
      <c r="HZ228">
        <f t="shared" si="523"/>
        <v>0</v>
      </c>
      <c r="IA228">
        <f t="shared" si="524"/>
        <v>0</v>
      </c>
      <c r="IB228">
        <f t="shared" si="525"/>
        <v>0</v>
      </c>
      <c r="IC228" t="str">
        <f t="shared" si="526"/>
        <v/>
      </c>
      <c r="ID228" t="str" cm="1">
        <f t="array" ref="ID228">IF(IC228="","",_xlfn.LET(_xlpm.tk,_xlfn.TEXTSPLIT(SUBSTITUTE(SUBSTITUTE(IC228,";"," "),"→"," ")," ",,TRUE),_xlpm.w_,_xlfn._xlws.FILTER(_xlpm.tk,ISNUMBER(--LEFT(_xlpm.tk,1))*((ISNUMBER(SEARCH("W",_xlpm.tk))+ISNUMBER(SEARCH("Вт",_xlpm.tk)))&gt;0),""),IFERROR(--SUBSTITUTE(SUBSTITUTE(UPPER(INDEX(_xlpm.w_,1)),"W",""),"ВТ",""),"")))</f>
        <v/>
      </c>
      <c r="IE228" t="str" cm="1">
        <f t="array" ref="IE228">IF(IC228="","",_xlfn.LET(_xlpm.tk,_xlfn.TEXTSPLIT(SUBSTITUTE(SUBSTITUTE(IC228,";"," "),"→"," ")," ",,TRUE),_xlpm.v_,_xlfn._xlws.FILTER(_xlpm.tk,ISNUMBER(--LEFT(_xlpm.tk,1))*((ISNUMBER(SEARCH("V",_xlpm.tk))+(RIGHT(UPPER(_xlpm.tk))="В"))&gt;0),""),IFERROR(--SUBSTITUTE(SUBSTITUTE(UPPER(INDEX(_xlpm.v_,1)),"V",""),"В",""),"")))</f>
        <v/>
      </c>
      <c r="IF228" s="6" t="str">
        <f>IF(OR(BV228=0,HI228="",HJ228=""),"",IFERROR(N(_xlfn.XLOOKUP(HI228,Каталог!$C$4:$C$500,Каталог!$Q$4:$Q$500)),""))</f>
        <v/>
      </c>
      <c r="IG228" s="6" t="str">
        <f>IF(N(IF228)=0,"",SUMIFS(Линии[Iр, А],Линии[Щит],A228,Линии[_модуль гр.],HH228,Линии[Канал (итог)],HJ228))</f>
        <v/>
      </c>
      <c r="IH228" t="str">
        <f>IF(AND(B228="",HO228=""),"",_xlfn.TEXTJOIN("; ",TRUE,IF(AND(B228&lt;&gt;"",FV228=""),"нет фазы",""),IF(AND(B228&lt;&gt;"",N(GL228)=0,FG228&lt;&gt;"Нет"),"нет мощности",""),IF(AND(HN228&lt;&gt;"",COUNTIFS(Линии[Щит],A228,Линии[Клемма (итог)],HN228)&gt;1),"дубль клеммы "&amp;HN228,""),IF(AND(HQ228&lt;&gt;"",HQ228&lt;&gt;"ok"),HQ228,""),IF(HR228&lt;&gt;"",HR228,""),IF(AND(N(CB228)&gt;=4,N(BX228)=1),CB228&amp;" жил на 1 фазе",""),IF(AND(BC228="R",CG228=1,IF(CS228&lt;&gt;"",N(CV228)&gt;30,OR(N(DA228)=0,N(DA228)&gt;30))),"розетка без дифзащиты до 30 мА",""),IF(AND(CG228=1,N(DA228)&gt;0,ISNUMBER(T228)),IF(T228&gt;N(DA228)/3,"ток утечки "&amp;FIXED(T228,1)&amp;" мА &gt; 1/3 уставки ("&amp;DA228&amp;" мА)",""),""),IF(AND(CH228=1,CS228=""),"«узо»: нет строки с УЗО выше (УЗО 2P 40А 30мА в «Аппаратах»)",""),IF(AND(CS228&lt;&gt;"",CS228=BA228),IF(CT228="","впишите номинал УЗО (УЗО 2P 40А 30мА)",IF(N(CT228)&lt;N(DT228),"УЗО "&amp;CT228&amp;" А &lt; автомата "&amp;DT228&amp;" А перед ним",IF(N(CT228)&lt;N(CX228),"УЗО "&amp;CT228&amp;" А &lt; тока блока "&amp;FIXED(CX228,1)&amp;" А",""))),""),IF(AND(CS228&lt;&gt;"",CS228=BA228,ISNUMBER(CY228)),IF(CY228&gt;N(CV228)/3,"ток утечки блока УЗО "&amp;FIXED(CY228,1)&amp;" мА &gt; 1/3 уставки ("&amp;CV228&amp;" мА)",""),""),IF(AND(CG228=1,N(BV228)+N(IB228)&gt;0,IC228=""),"линии до 50 В без БП: впишите в «Аппараты» (БП 24V 480W)",""),IF(AND(CG228=1,ISNUMBER(ID228),ISNUMBER(U228)),IF(U228&gt;ID228,"БП "&amp;ID228&amp;" Вт &lt; нужно "&amp;U228&amp;" Вт (×"&amp;Запас_БП&amp;")",""),""),IF(AND(CG228=1,ISNUMBER(IE228),N(BV228)=1),IF(IE228&lt;&gt;N(BU228),"БП на "&amp;IE228&amp;" В, линия "&amp;BU228&amp;" В",""),""),IF(AND(N(IF228)&gt;0,N(IG228)&gt;N(IF228)),HH228&amp;" канал "&amp;HJ228&amp;": "&amp;FIXED(IG228,1)&amp;" А &gt; "&amp;IF228&amp;" А",""),IFERROR(IF(AND(ISNUMBER(Q228),Q228&gt;EL228),"потери "&amp;FIXED(Q228,1)&amp;" % &gt; "&amp;EL228&amp;" %",""),""),IFERROR(IF(LEFT(HU228,4)="мало","Iкз мало — отключение &gt; 0,4 с",""),""),IF(AND(B228&lt;&gt;"",BM228=""),"не на схеме",""),IF(AND(CG228=0,B228&lt;&gt;"",FV228&lt;&gt;"",IF(BA228=1,"",FW227)&lt;&gt;"",FV228&lt;&gt;IF(BA228=1,"",FW227)),"фаза не как у автомата группы ("&amp;IF(BA228=1,"",FW227)&amp;")","")))</f>
        <v/>
      </c>
      <c r="II228" s="6">
        <f>IF(OR(CG228=0,DQ228=""),"",_xlfn.LET(_xlpm.t,IFERROR(_xlfn.XLOOKUP(DQ228,Каталог!$U$4:$U$500,Каталог!$G$4:$G$500),""),_xlpm.k,SEARCH("кА",_xlpm.t),IFERROR(--TRIM(RIGHT(SUBSTITUTE(MID(_xlpm.t,MAX(1,_xlpm.k-4),_xlpm.k-MAX(1,_xlpm.k-4))," ",REPT(" ",9)),5)),"")))</f>
        <v>6</v>
      </c>
      <c r="IJ228" t="str">
        <f>IF(OR(II228="",CG228=0),"",IF(_xlfn.XLOOKUP(A228,Щиты[Щит],Щиты[Iкз max на шинах, кА],"")="","",IF(II228&lt;_xlfn.XLOOKUP(A228,Щиты[Щит],Щиты[Iкз max на шинах, кА]),"Icu "&amp;II228&amp;" кА &lt; Iкз max","ok")))</f>
        <v/>
      </c>
      <c r="IK228" t="str">
        <f t="shared" si="527"/>
        <v/>
      </c>
      <c r="IL228" t="str">
        <f t="shared" si="528"/>
        <v>QFD4|XT4</v>
      </c>
      <c r="IM228" t="str">
        <f t="shared" si="529"/>
        <v>QFD4|XT4|кабель ВВГнг(А)-LS (3х2,5) → Розеточная группа Первый этаж Пом. №002A, 023А</v>
      </c>
      <c r="IN228" t="str" cm="1">
        <f t="array" ref="IN228">IF(IM228="","",_xlfn.LET(_xlpm.nd,_xlfn.TEXTSPLIT(IM228,"|"),IF(COLUMNS(_xlpm.nd)&gt;1,A228&amp;"¦"&amp;INDEX(_xlpm.nd,1)&amp;"¦"&amp;INDEX(_xlpm.nd,2),"")))</f>
        <v>ЩР-1¦QFD4¦XT4</v>
      </c>
      <c r="IO228" t="str">
        <f t="shared" si="530"/>
        <v>R.1.002A.1¦Розеточная группа Первый этаж Пом. №002A, 023А</v>
      </c>
      <c r="IP228" t="str" cm="1">
        <f t="array" ref="IP228">IF(IM228="","",_xlfn.LET(_xlpm.nd,_xlfn.TEXTSPLIT(IM228,"|"),IF(COLUMNS(_xlpm.nd)&gt;2,A228&amp;"¦"&amp;INDEX(_xlpm.nd,2)&amp;"¦"&amp;INDEX(_xlpm.nd,3),"")))</f>
        <v>ЩР-1¦XT4¦кабель ВВГнг(А)-LS (3х2,5) → Розеточная группа Первый этаж Пом. №002A, 023А</v>
      </c>
      <c r="IQ228" t="str">
        <f t="shared" si="531"/>
        <v>R.1.002A.1¦Розеточная группа Первый этаж Пом. №002A, 023А</v>
      </c>
      <c r="IR228" t="str" cm="1">
        <f t="array" ref="IR228">IF(IM228="","",_xlfn.LET(_xlpm.nd,_xlfn.TEXTSPLIT(IM228,"|"),IF(COLUMNS(_xlpm.nd)&gt;3,A228&amp;"¦"&amp;INDEX(_xlpm.nd,3)&amp;"¦"&amp;INDEX(_xlpm.nd,4),"")))</f>
        <v/>
      </c>
      <c r="IS228" t="str">
        <f t="shared" si="532"/>
        <v/>
      </c>
      <c r="IT228" t="str" cm="1">
        <f t="array" ref="IT228">IF(IM228="","",_xlfn.LET(_xlpm.nd,_xlfn.TEXTSPLIT(IM228,"|"),IF(COLUMNS(_xlpm.nd)&gt;4,A228&amp;"¦"&amp;INDEX(_xlpm.nd,4)&amp;"¦"&amp;INDEX(_xlpm.nd,5),"")))</f>
        <v/>
      </c>
      <c r="IU228" t="str">
        <f t="shared" si="533"/>
        <v/>
      </c>
      <c r="IV228" t="str" cm="1">
        <f t="array" ref="IV228">IF(IM228="","",_xlfn.LET(_xlpm.nd,_xlfn.TEXTSPLIT(IM228,"|"),IF(COLUMNS(_xlpm.nd)&gt;5,A228&amp;"¦"&amp;INDEX(_xlpm.nd,5)&amp;"¦"&amp;INDEX(_xlpm.nd,6),"")))</f>
        <v/>
      </c>
      <c r="IW228" t="str">
        <f t="shared" si="534"/>
        <v/>
      </c>
      <c r="IX228" t="str" cm="1">
        <f t="array" ref="IX228">IF(IM228="","",_xlfn.LET(_xlpm.nd,_xlfn.TEXTSPLIT(IM228,"|"),IF(COLUMNS(_xlpm.nd)&gt;6,A228&amp;"¦"&amp;INDEX(_xlpm.nd,6)&amp;"¦"&amp;INDEX(_xlpm.nd,7),"")))</f>
        <v/>
      </c>
      <c r="IY228" t="str">
        <f t="shared" si="535"/>
        <v/>
      </c>
      <c r="IZ228" t="str">
        <f t="shared" si="536"/>
        <v/>
      </c>
      <c r="JA228" t="str">
        <f t="shared" si="537"/>
        <v>QFD4 → XT4</v>
      </c>
      <c r="JB228">
        <f t="shared" si="538"/>
        <v>0</v>
      </c>
      <c r="JC228">
        <f t="shared" si="539"/>
        <v>1</v>
      </c>
      <c r="JD228" t="str">
        <f t="shared" si="540"/>
        <v/>
      </c>
      <c r="JE228" t="str">
        <f t="shared" si="541"/>
        <v/>
      </c>
      <c r="JF228" t="str">
        <f t="shared" si="542"/>
        <v/>
      </c>
      <c r="JG228" t="str">
        <f t="shared" si="543"/>
        <v/>
      </c>
      <c r="JH228" t="str">
        <f>IF(B228="","",IFERROR(_xlfn.XLOOKUP(B228,Коды_код,Коды_уго),IFERROR(_xlfn.XLOOKUP(BC228,Коды_код,Коды_уго),IFERROR(_xlfn.XLOOKUP(LEFT(BC228,2),Коды_код,Коды_уго),""))))</f>
        <v>Розетка</v>
      </c>
      <c r="JI228" t="str">
        <f>IF(B228="","",IF(OR(JH228="",JH228=0),"BOX",IFERROR(IF(VLOOKUP(JH228,УГО_блоки,3,FALSE)&amp;""&lt;&gt;"",VLOOKUP(JH228,УГО_блоки,3,FALSE),VLOOKUP(JH228,УГО_блоки,2,FALSE)),JH228)))</f>
        <v>SOCKET</v>
      </c>
      <c r="JJ228">
        <f t="shared" si="544"/>
        <v>1</v>
      </c>
      <c r="JK228" t="str">
        <f>IF(DQ228="","",IF(COUNTIF(DQ$3:DQ228,DQ228)=1,MAX(JK$2:JK227)+1,""))</f>
        <v/>
      </c>
      <c r="JL228" t="str">
        <f>IF(DE228="","",IF(COUNTIF(DE$3:DE228,DE228)+COUNTIF(DF$2:DF227,DE228)+COUNTIF(DG$2:DG227,DE228)=1,MAX(JL$2:JN227)+1,""))</f>
        <v/>
      </c>
      <c r="JM228" t="str">
        <f>IF(DF228="","",IF(COUNTIF(DE$3:DE228,DF228)+COUNTIF(DF$3:DF228,DF228)+COUNTIF(DG$2:DG227,DF228)=1,MAX(JL$2:JN227,JL228)+1,""))</f>
        <v/>
      </c>
      <c r="JN228" t="str">
        <f>IF(DG228="","",IF(COUNTIF(DE$3:DE228,DG228)+COUNTIF(DF$3:DF228,DG228)+COUNTIF(DG$3:DG228,DG228)=1,MAX(JL$2:JN227,JL228,JM228)+1,""))</f>
        <v/>
      </c>
      <c r="JO228" t="str">
        <f t="shared" si="545"/>
        <v>3х2,5</v>
      </c>
      <c r="JP228" t="str">
        <f>IF(JO228="","",IF(COUNTIF(JO$3:JO228,JO228)=1,MAX(JP$2:JP227)+1,""))</f>
        <v/>
      </c>
      <c r="JQ228" t="str">
        <f>IF(HG228="","",COUNTIF(HG$3:HG228,"?*"))</f>
        <v/>
      </c>
      <c r="JR228" t="str">
        <f>IF(OR(HG228="",HI228=""),"",IF(COUNTIFS(HG$3:HG228,"?*",HI$3:HI228,HI228)=1,MAX(JR$2:JR227)+1,""))</f>
        <v/>
      </c>
      <c r="JS228">
        <f t="shared" si="546"/>
        <v>0</v>
      </c>
      <c r="JT228">
        <f>IF(B228="","",COUNTIF(B$3:B228,"?*"))</f>
        <v>226</v>
      </c>
      <c r="JU228">
        <f>IF(HL228&lt;&gt;1,0,_xlfn.LET(_xlpm.k,MAX(IFERROR(--_xlfn.XLOOKUP(B228,Коды_код,Коды_3L),0),IFERROR(--_xlfn.XLOOKUP(BC228,Коды_код,Коды_3L),0),IFERROR(--_xlfn.XLOOKUP(LEFT(BC228,2),Коды_код,Коды_3L),0)),IF(_xlpm.k&gt;0,_xlpm.k,IF(IFERROR(--LEFT(SUBSTITUTE(JO228,"x","х"),FIND("х",SUBSTITUTE(JO228,"x","х"))-1),3)&gt;3,Каталог!$S$9,1))))</f>
        <v>1</v>
      </c>
      <c r="JV228">
        <f t="shared" si="547"/>
        <v>0</v>
      </c>
      <c r="JW228" t="str">
        <f t="shared" si="548"/>
        <v>авто</v>
      </c>
      <c r="JX228">
        <f t="shared" si="549"/>
        <v>30</v>
      </c>
      <c r="JY228">
        <f t="shared" si="550"/>
        <v>1</v>
      </c>
      <c r="JZ228">
        <f t="shared" si="551"/>
        <v>1</v>
      </c>
    </row>
    <row r="229" spans="1:286" x14ac:dyDescent="0.3">
      <c r="A229" t="s">
        <v>757</v>
      </c>
      <c r="B229" t="s">
        <v>1535</v>
      </c>
      <c r="C229" t="str">
        <f>Линии[[#This Row],[_авто наименование]]</f>
        <v>Розеточная группа, пом. 002Aб</v>
      </c>
      <c r="D229">
        <v>3</v>
      </c>
      <c r="E229">
        <v>0.18</v>
      </c>
      <c r="G229" t="str">
        <f>Линии[[#This Row],[_авто автомат]]</f>
        <v>2P С16А 30мА</v>
      </c>
      <c r="H229" t="str">
        <f>Линии[[#This Row],[_авто управление]]</f>
        <v/>
      </c>
      <c r="I229" t="str">
        <f>Линии[[#This Row],[_авто аппараты]]</f>
        <v/>
      </c>
      <c r="J229">
        <v>2.5</v>
      </c>
      <c r="K229">
        <v>65</v>
      </c>
      <c r="L229" t="str">
        <f>Линии[[#This Row],[_авто фаза]]</f>
        <v>L1</v>
      </c>
      <c r="M229" t="str">
        <f>Линии[[#This Row],[_авто клемма]]</f>
        <v>XT5</v>
      </c>
      <c r="N229" t="str">
        <f t="shared" si="414"/>
        <v/>
      </c>
      <c r="O229" s="6" cm="1">
        <f t="array" ref="O229">IF(B229="","",IF(BH229&lt;&gt;"",IFERROR(_xlfn.XLOOKUP(BH229,Щиты[Щит],Щиты[Iр, А]),""),IF(BP229=1,IF(OR(N(_xlfn.XLOOKUP(A229,Щиты[Щит],Щиты[Вводов],1))&lt;=1,LOWER(TRIM(_xlfn.XLOOKUP(A229,Щиты[Щит],Щиты[АВР],"")&amp;""))="да"),IFERROR(_xlfn.XLOOKUP(A229,Щиты[Щит],Щиты[Iр, А]),""),IFERROR(N(BS229)*_xlfn.XLOOKUP(A229,Щиты[Щит],Щиты[Кс итог])/(SQRT(3)*Uн_лин*_xlfn.XLOOKUP(A229,Щиты[Щит],Щиты[cos φ])),"")),IF(BV229=1,IFERROR(BS229*1000/BU229,""),IFERROR(_xlfn.IFS(BX229=1,BS229/((Uн_лин/SQRT(3))*CE229),BX229=3,BS229/(SQRT(3)*Uн_лин*CE229)),"")))))</f>
        <v>0.8204451193747313</v>
      </c>
      <c r="P229" s="7">
        <f>IF(B229="","",IFERROR(IF(VLOOKUP(BC229,Потребители_обозначение,4,FALSE)=1,VLOOKUP(BC229,Потребители_обозначение,3,FALSE)*(MAX(1,N(D229))*2-1)+EI229+VLOOKUP(BE229,Этаж_обозначение,3,FALSE)+VLOOKUP(BE229,Этаж_обозначение,4,FALSE),VLOOKUP(BC229,Потребители_обозначение,3,FALSE)*(MAX(1,N(D229))*2-1)+EI229),EI229))</f>
        <v>80</v>
      </c>
      <c r="Q229" s="6">
        <f t="shared" si="415"/>
        <v>1.68</v>
      </c>
      <c r="R229" t="str">
        <f t="shared" si="416"/>
        <v>ВВГнг(А)-LS (3х2,5)</v>
      </c>
      <c r="S229" t="str">
        <f>IF(BM229="","",IF(BN229="вводной узел","узел ","")&amp;"л."&amp;(INT((BM229-1)/Столбцов_на_лист)+1)&amp;" / "&amp;(MOD(BM229-1,Столбцов_на_лист)+1))</f>
        <v>л.1 / 13</v>
      </c>
      <c r="T229" s="119">
        <f t="shared" si="417"/>
        <v>1.1000000000000001</v>
      </c>
      <c r="U229" s="7" t="str">
        <f>IF(OR(CG229=0,N(BV229)+N(IB229)=0),"",ROUNDUP(Запас_БП*(N(HY229)+N(HZ229)),0))</f>
        <v/>
      </c>
      <c r="V229" s="119" t="str">
        <f t="shared" si="418"/>
        <v/>
      </c>
      <c r="W229" s="7" t="str">
        <f>IFERROR(IF(OR(B229="",BP229=1,BV229=1,NOT(ISNUMBER(EN229)),N(DT229)=0),"",MAX(0,ROUNDDOWN((c_min*(Uн_лин*1000/SQRT(3))/(HT229*N(DT229))-_xlfn.XLOOKUP(A229,Щиты[Щит],Щиты[Zпетли на шинах, Ом]))*EN229/(2*ρкз_Cu),0))),"")</f>
        <v/>
      </c>
      <c r="Y229">
        <f>Линии[[#This Row],[_авто утечка]]</f>
        <v>30</v>
      </c>
      <c r="Z229">
        <v>1</v>
      </c>
      <c r="AA229">
        <v>230</v>
      </c>
      <c r="AB229" t="s">
        <v>562</v>
      </c>
      <c r="AG229" t="s">
        <v>810</v>
      </c>
      <c r="AI229" t="s">
        <v>561</v>
      </c>
      <c r="AK229" t="str">
        <f>Линии[[#This Row],[_авто модуль]]</f>
        <v/>
      </c>
      <c r="AM229">
        <v>13</v>
      </c>
      <c r="AN229" t="s">
        <v>11</v>
      </c>
      <c r="AO229">
        <v>3</v>
      </c>
      <c r="AQ229">
        <v>28</v>
      </c>
      <c r="AR229">
        <v>52</v>
      </c>
      <c r="AS229">
        <v>0</v>
      </c>
      <c r="BA229" cm="1">
        <f t="array" ref="BA229">ROW()-ROW(Линии[#Headers])</f>
        <v>227</v>
      </c>
      <c r="BC229" s="6" t="str">
        <f t="shared" si="419"/>
        <v>R</v>
      </c>
      <c r="BD229" t="str">
        <f t="shared" si="420"/>
        <v>1.002Aб.1</v>
      </c>
      <c r="BE229" t="str">
        <f t="shared" si="421"/>
        <v>1</v>
      </c>
      <c r="BF229" t="str">
        <f t="shared" si="422"/>
        <v>002Aб.1</v>
      </c>
      <c r="BG229" t="str">
        <f t="shared" si="423"/>
        <v>002Aб</v>
      </c>
      <c r="BH229" t="str">
        <f>IF(X229&lt;&gt;"",X229,IF(AND(B229&lt;&gt;"",B229&lt;&gt;A229,ISNUMBER(_xlfn.XMATCH(B229,Щиты[Щит]))),B229,""))</f>
        <v/>
      </c>
      <c r="BI229" t="str" cm="1">
        <f t="array" ref="BI229">IF(B229="","",IF(BH229&lt;&gt;"","Щит "&amp;BH229,_xlfn.LET(_xlpm.nm,IFERROR(_xlfn.XLOOKUP(BC229,Коды_код,Коды_имя)&amp;"",""),_xlpm.md,IFERROR(N(_xlfn.XLOOKUP(BC229,Коды_код,Коды_режим)),1),_xlpm.ex,IF(Имя_режим="по экспликации",IFERROR(_xlfn.XLOOKUP(BE229&amp;"|"&amp;BG229,Экспликация[Этаж]&amp;"|"&amp;Экспликация[Помещение],Экспликация[Название])&amp;"",""),""),_xlpm.rm,IF(BG229="","",IF(_xlpm.ex&lt;&gt;"",". "&amp;_xlpm.ex&amp;IF(Имя_пом="нет"," ("&amp;BG229&amp;")"," (пом. "&amp;BG229&amp;")"),IF(Имя_пом="нет"," ",", пом. ")&amp;BG229)),IF(_xlpm.nm="","",IF(_xlpm.md=2,_xlpm.nm&amp;" шлейф "&amp;BE229,_xlpm.nm&amp;_xlpm.rm)))))</f>
        <v>Розеточная группа, пом. 002Aб</v>
      </c>
      <c r="BJ229" t="str">
        <f t="shared" si="424"/>
        <v>Розеточная группа, пом. 002Aб</v>
      </c>
      <c r="BK229">
        <f>IFERROR(_xlfn.XMATCH(A229,Щиты[Щит]),0)</f>
        <v>10</v>
      </c>
      <c r="BL229">
        <f>_xlfn.LET(_xlpm.k,IFERROR(_xlfn.XLOOKUP(A229,Щиты[Щит],Щиты[Мест под вводной узел]),""),IF(_xlpm.k="",Столбцов_на_лист,N(_xlpm.k)))</f>
        <v>8</v>
      </c>
      <c r="BM229">
        <f t="shared" si="425"/>
        <v>13</v>
      </c>
      <c r="BN229" t="str">
        <f t="shared" si="426"/>
        <v>линии</v>
      </c>
      <c r="BO229" s="6">
        <f>IFERROR(N(_xlfn.XLOOKUP(BC229,Коды_код,Коды_квт)),0)</f>
        <v>0</v>
      </c>
      <c r="BP229">
        <f t="shared" si="427"/>
        <v>0</v>
      </c>
      <c r="BQ229" t="str">
        <f>IF(B229="","",IF(BH229&lt;&gt;"",IFERROR(_xlfn.XLOOKUP(BH229,Щиты[Щит],Щиты[Руст, кВт]),0),IF(BP229=1,IF(OR(N(_xlfn.XLOOKUP(A229,Щиты[Щит],Щиты[Вводов],1))&lt;=1,LOWER(TRIM(_xlfn.XLOOKUP(A229,Щиты[Щит],Щиты[АВР],"")&amp;""))="да"),IFERROR(_xlfn.XLOOKUP(A229,Щиты[Щит],Щиты[Руст, кВт]),0),SUMIFS(Линии[_Р для вводов],Линии[Щит],A229,Линии[Источник для режимов],GF229)),IF(BO229&gt;0,ROUND(BO229*MAX(1,N(D229)),3),""))))</f>
        <v/>
      </c>
      <c r="BR229">
        <f t="shared" si="428"/>
        <v>0.18</v>
      </c>
      <c r="BS229" s="6">
        <f>IF(B229="","",IF(BH229&lt;&gt;"",IFERROR(_xlfn.XLOOKUP(BH229,Щиты[Щит],Щиты[Руст, кВт]),0),N(BR229)))</f>
        <v>0.18</v>
      </c>
      <c r="BT229" t="str">
        <f>IF(B229="","",IFERROR(IF(VLOOKUP(BC229,Потребители_обозначение,8,FALSE)=0,"",VLOOKUP(BC229,Потребители_обозначение,8,FALSE)),""))</f>
        <v/>
      </c>
      <c r="BU229">
        <f t="shared" si="429"/>
        <v>230</v>
      </c>
      <c r="BV229">
        <f t="shared" si="430"/>
        <v>0</v>
      </c>
      <c r="BW229">
        <f>IF(B229="","",IF(BH229&lt;&gt;"",3,IFERROR(IF(N(VLOOKUP(BC229,Потребители_обозначение,9,FALSE))=0,1,VLOOKUP(BC229,Потребители_обозначение,9,FALSE)),1)))</f>
        <v>1</v>
      </c>
      <c r="BX229">
        <f t="shared" si="431"/>
        <v>1</v>
      </c>
      <c r="BY229" t="str">
        <f>IF(B229="","",_xlfn.LET(_xlpm.bc,IFERROR(IF(VLOOKUP(BC229,Потребители_обозначение,6,FALSE)=0,"",VLOOKUP(BC229,Потребители_обозначение,6,FALSE)&amp;""),""),IF(AND(GA229="да",OR(_xlpm.bc="",_xlpm.bc="мс")),Марка_пож,IF(AND(_xlpm.bc="",BH229&lt;&gt;""),"мс",_xlpm.bc))))</f>
        <v/>
      </c>
      <c r="BZ229" t="str">
        <f t="shared" si="432"/>
        <v>мс</v>
      </c>
      <c r="CA229">
        <f>IF(B229="","",_xlfn.LET(_xlpm.cc,IFERROR(N(VLOOKUP(BC229,Потребители_обозначение,7,FALSE)),0),IF(_xlpm.cc&gt;0,_xlpm.cc,IF(BZ229="","",IF(BV229=1,2,IF(N(BX229)=3,5,3))))))</f>
        <v>3</v>
      </c>
      <c r="CB229">
        <f t="shared" si="433"/>
        <v>3</v>
      </c>
      <c r="CC229">
        <f>IFERROR(N(VLOOKUP(BC229,Потребители_обозначение,10,FALSE)),0)</f>
        <v>0</v>
      </c>
      <c r="CD229">
        <f>IFERROR(VLOOKUP(BC229,Потребители_обозначение,5,FALSE),0)</f>
        <v>1</v>
      </c>
      <c r="CE229" s="6" cm="1">
        <f t="array" ref="CE229">IF(B229="","",IF(BH229&lt;&gt;"",IFERROR(_xlfn.XLOOKUP(BH229,Щиты[Щит],Щиты[cos φ]),0.95),IF(BP229=1,IFERROR(_xlfn.XLOOKUP(A229,Щиты[Щит],Щиты[cos φ]),0.95),IF(ISNUMBER(AD229),AD229,IFERROR(IF(CD229=2,_xlfn.IFS(BX229=3,VLOOKUP(BS229,Справочная_двигатели,8,FALSE),BX229=1,VLOOKUP(BS229,Справочная_двигатели,10,TRUE)),IF(AND(Методика="нормы 2026",FG229="Сил"),0.8,0.95)),0.95)))))</f>
        <v>0.95</v>
      </c>
      <c r="CF229">
        <f t="shared" si="434"/>
        <v>0</v>
      </c>
      <c r="CG229">
        <f t="shared" si="435"/>
        <v>1</v>
      </c>
      <c r="CH229">
        <f t="shared" si="436"/>
        <v>0</v>
      </c>
      <c r="CI229">
        <f>IF(B229="","",IF(BV229=1,IFERROR(BS229/((Uн_лин/SQRT(3))*MAX(0.5,N(CE229))),0),N(O229)))</f>
        <v>0.8204451193747313</v>
      </c>
      <c r="CJ229">
        <f t="shared" si="437"/>
        <v>0</v>
      </c>
      <c r="CK229">
        <f t="shared" si="438"/>
        <v>0</v>
      </c>
      <c r="CL229">
        <f t="shared" si="439"/>
        <v>0</v>
      </c>
      <c r="CM229">
        <f t="shared" si="440"/>
        <v>0</v>
      </c>
      <c r="CN229">
        <f t="shared" si="441"/>
        <v>0</v>
      </c>
      <c r="CO229">
        <f>IF(BC229="",0,_xlfn.LET(_xlpm.v,IFERROR(_xlfn.XLOOKUP(B229,Коды_код,Коды_мА),IFERROR(_xlfn.XLOOKUP(BC229,Коды_код,Коды_мА),IFERROR(_xlfn.XLOOKUP(LEFT(BC229,2),Коды_код,Коды_мА),""))),IF(_xlpm.v="да",30,IF(ISNUMBER(_xlpm.v),_xlpm.v,0))))</f>
        <v>30</v>
      </c>
      <c r="CP229">
        <f t="shared" si="442"/>
        <v>30</v>
      </c>
      <c r="CQ229" t="str">
        <f>_xlfn.LET(_xlpm.k,IFERROR(_xlfn.XLOOKUP(BC229,Коды_код,Коды_утечка)&amp;"",""),IF(_xlpm.k="","дифавтомат",_xlpm.k))</f>
        <v>дифавтомат</v>
      </c>
      <c r="CR229" t="str" cm="1">
        <f t="array" ref="CR229">IF(CG229=0,"",_xlfn.LET(_xlpm.sg,TRIM(_xlfn.TEXTSPLIT(DD229&amp;"",";")),_xlpm.f_,_xlfn._xlws.FILTER(_xlpm.sg,LEFT(_xlpm.sg,3)="УЗО",""),IFERROR(INDEX(_xlpm.f_,1)&amp;"","")))</f>
        <v/>
      </c>
      <c r="CS229" t="str">
        <f t="shared" si="443"/>
        <v/>
      </c>
      <c r="CT229" s="6" t="str" cm="1">
        <f t="array" ref="CT229">IF(CR229="","",_xlfn.LET(_xlpm.tk,_xlfn.TEXTSPLIT(UPPER(CR229)," ",,TRUE),_xlpm.a_,_xlfn._xlws.FILTER(_xlpm.tk,ISNUMBER(--LEFT(_xlpm.tk,1))*((ISNUMBER(SEARCH("А",_xlpm.tk))+ISNUMBER(SEARCH("A",_xlpm.tk)))&gt;0)*NOT(ISNUMBER(SEARCH("МА",_xlpm.tk)))*NOT(ISNUMBER(SEARCH("MA",_xlpm.tk))),""),IFERROR(--SUBSTITUTE(SUBSTITUTE(INDEX(_xlpm.a_,1),"А",""),"A",""),"")))</f>
        <v/>
      </c>
      <c r="CU229" t="str" cm="1">
        <f t="array" ref="CU229">IF(CR229="","",_xlfn.LET(_xlpm.tk,_xlfn.TEXTSPLIT(UPPER(CR229)," ",,TRUE),_xlpm.a_,_xlfn._xlws.FILTER(_xlpm.tk,ISNUMBER(--LEFT(_xlpm.tk,1))*((ISNUMBER(SEARCH("МА",_xlpm.tk))+ISNUMBER(SEARCH("MA",_xlpm.tk)))&gt;0),""),IFERROR(--SUBSTITUTE(SUBSTITUTE(INDEX(_xlpm.a_,1),"МА",""),"MA",""),30)))</f>
        <v/>
      </c>
      <c r="CV229" t="str">
        <f>IF(CS229="","",IFERROR(_xlfn.XLOOKUP(CS229,Линии[_n],Линии[_УЗО, мА]),30))</f>
        <v/>
      </c>
      <c r="CW229">
        <f>IF(CS229="",0,IF(ISNUMBER(SEARCH("4P",IFERROR(_xlfn.XLOOKUP(CS229,Линии[_n],Линии[_УЗО строки])&amp;"",""))),0,1))</f>
        <v>0</v>
      </c>
      <c r="CX229" t="str">
        <f>IF(AND(CS229&lt;&gt;"",CS229=BA229),SUMIFS(Линии[_ток на 230 В],Линии[_блок УЗО],BA229,Линии[Щит],A229),"")</f>
        <v/>
      </c>
      <c r="CY229" t="str">
        <f>IF(AND(CS229&lt;&gt;"",CS229=BA229),SUMIFS(Линии[_ток утечки линии, мА],Линии[_блок УЗО],BA229,Линии[Щит],A229),"")</f>
        <v/>
      </c>
      <c r="CZ229">
        <f t="shared" si="444"/>
        <v>30</v>
      </c>
      <c r="DA229">
        <f t="shared" si="445"/>
        <v>30</v>
      </c>
      <c r="DB229">
        <f>IF(B229="",0,IFERROR(--_xlfn.XLOOKUP(B229,Коды_код,Коды_минавт),IFERROR(--_xlfn.XLOOKUP(BC229,Коды_код,Коды_минавт),IFERROR(--_xlfn.XLOOKUP(LEFT(BC229,2),Коды_код,Коды_минавт),0))))</f>
        <v>16</v>
      </c>
      <c r="DC229" t="str">
        <f>IF(B229="","",IFERROR(_xlfn.XLOOKUP(BC229,Коды_код,Коды_апп)&amp;"",""))</f>
        <v/>
      </c>
      <c r="DD229" t="str">
        <f t="shared" si="446"/>
        <v/>
      </c>
      <c r="DE229" t="str" cm="1">
        <f t="array" ref="DE229">IF(TRIM(DD229&amp;"")="","",IFERROR(TRIM(INDEX(_xlfn.TEXTSPLIT(DD229&amp;";;;",";"),1)),""))</f>
        <v/>
      </c>
      <c r="DF229" t="str" cm="1">
        <f t="array" ref="DF229">IF(TRIM(DD229&amp;"")="","",IFERROR(TRIM(INDEX(_xlfn.TEXTSPLIT(DD229&amp;";;;",";"),2)),""))</f>
        <v/>
      </c>
      <c r="DG229" t="str" cm="1">
        <f t="array" ref="DG229">IF(TRIM(DD229&amp;"")="","",IFERROR(TRIM(INDEX(_xlfn.TEXTSPLIT(DD229&amp;";;;",";"),3)),""))</f>
        <v/>
      </c>
      <c r="DH229">
        <f t="shared" si="447"/>
        <v>0</v>
      </c>
      <c r="DI229" t="str">
        <f>IF(B229="","",_xlfn.LET(_xlpm.t,LOWER(AZ229&amp;""),IF(ISNUMBER(SEARCH("dim",_xlpm.t)),"DIM",IF(ISNUMBER(SEARCH("dali",_xlpm.t)),"DALI",IF(OR(ISNUMBER(SEARCH("relay",_xlpm.t)),ISNUMBER(SEARCH("реле",_xlpm.t))),"Relay",IF(ISNUMBER(SEARCH("кнопк",_xlpm.t)),"",IFERROR(_xlfn.XLOOKUP(BC229,Коды_код,Коды_упр)&amp;"","")))))))</f>
        <v/>
      </c>
      <c r="DJ229" t="str">
        <f t="shared" si="448"/>
        <v/>
      </c>
      <c r="DK229">
        <f>IF(B229="","",_xlfn.LET(_xlpm.ig,IF(N(CX229)&gt;0,N(CX229),N(CI229)+IF(AJ229="вручную",0,N(CJ229))),_xlpm.n0,IFERROR(VLOOKUP(_xlpm.ig,Автомат_номиналы,2,TRUE),0),_xlpm.mn,MAX(DB229,IF(AJ229="вручную",0,N(CM229))),MAX(_xlpm.n0,_xlpm.mn,IF(DH229=1,Мин_автомат_БП,0))))</f>
        <v>16</v>
      </c>
      <c r="DL229">
        <f t="shared" si="449"/>
        <v>1</v>
      </c>
      <c r="DM229" t="str">
        <f t="shared" si="450"/>
        <v>2P</v>
      </c>
      <c r="DN229" t="str">
        <f>_xlfn.LET(_xlpm.cc,UPPER(TRIM(IFERROR(_xlfn.XLOOKUP(BC229,Коды_код,Коды_хар)&amp;"",""))),IF(OR(_xlpm.cc="B",_xlpm.cc="В"),"B",IF(_xlpm.cc="D","D","С")))</f>
        <v>С</v>
      </c>
      <c r="DO229" t="str">
        <f t="shared" si="451"/>
        <v>2P С16А 30мА</v>
      </c>
      <c r="DP229" t="str">
        <f t="shared" si="452"/>
        <v>2P С16А 30мА</v>
      </c>
      <c r="DQ229" t="str">
        <f t="shared" si="453"/>
        <v>2P С16А 30мА</v>
      </c>
      <c r="DR229" cm="1">
        <f t="array" ref="DR229">IF(DQ229="","",_xlfn.LET(_xlpm.t,SUBSTITUTE(SUBSTITUTE(SUBSTITUTE(UPPER(DQ229),"С","C"),"А","A"),"В","B"),_xlpm.tk,_xlfn.TEXTSPLIT(_xlpm.t," "),_xlpm.f,_xlfn._xlws.FILTER(_xlpm.tk,ISNUMBER(--MID(_xlpm.tk,2,1))*ISNUMBER(SEARCH(LEFT(_xlpm.tk,1)&amp;"#","B#C#D#"))*(LEN(_xlpm.tk)&gt;1),""),_xlpm.x,INDEX(_xlpm.f,1),IFERROR(--SUBSTITUTE(MID(_xlpm.x,2,9),"A",""),IFERROR(--SUBSTITUTE(INDEX(_xlfn._xlws.FILTER(_xlpm.tk,ISNUMBER(--SUBSTITUTE(_xlpm.tk,"A","")),""),1),"A",""),""))))</f>
        <v>16</v>
      </c>
      <c r="DS229" t="str">
        <f t="shared" si="454"/>
        <v>ok</v>
      </c>
      <c r="DT229">
        <f t="shared" si="455"/>
        <v>16</v>
      </c>
      <c r="DU229" t="str">
        <f t="shared" si="456"/>
        <v>2P С16А 30мА</v>
      </c>
      <c r="DV229">
        <f t="shared" si="457"/>
        <v>30</v>
      </c>
      <c r="DW229">
        <f t="shared" si="458"/>
        <v>1</v>
      </c>
      <c r="DX229">
        <f t="shared" si="459"/>
        <v>0</v>
      </c>
      <c r="DY229">
        <f t="shared" si="460"/>
        <v>0.8204451193747313</v>
      </c>
      <c r="DZ229">
        <f t="shared" si="461"/>
        <v>1</v>
      </c>
      <c r="EA229">
        <f>IF(ISNUMBER(AP229),AP229,К_прокл)</f>
        <v>1</v>
      </c>
      <c r="EB229">
        <f t="shared" si="462"/>
        <v>2</v>
      </c>
      <c r="EC229">
        <f>IFERROR(N(VLOOKUP(BZ229,Кабель_обозначение,3,FALSE)),1)</f>
        <v>1</v>
      </c>
      <c r="ED229">
        <f>IFERROR(N(_xlfn.XLOOKUP(A229,Щиты[Щит],Щиты[ΔU до шин, %])),0)</f>
        <v>1.19</v>
      </c>
      <c r="EE229" t="str">
        <f>IFERROR(_xlfn.XLOOKUP(A229,Щиты[Щит],Щиты[Zпетли на шинах, Ом]),"")</f>
        <v/>
      </c>
      <c r="EF229">
        <f>IFERROR(N(_xlfn.XLOOKUP(A229,Щиты[Щит],Щиты[ΔU до шин (подбор), %])),0)</f>
        <v>1.19</v>
      </c>
      <c r="EG229" t="str">
        <f>IFERROR(_xlfn.XLOOKUP(A229,Щиты[Щит],Щиты[Zпетли на шинах (подбор), Ом]),"")</f>
        <v/>
      </c>
      <c r="EH229" t="str">
        <f t="shared" si="463"/>
        <v/>
      </c>
      <c r="EI229">
        <f t="shared" si="464"/>
        <v>65</v>
      </c>
      <c r="EJ229">
        <f t="shared" si="465"/>
        <v>2</v>
      </c>
      <c r="EK229">
        <f t="shared" si="466"/>
        <v>0.31</v>
      </c>
      <c r="EL229" s="6">
        <f>IF(B229="","",IF(BV229=1,dU_LED,IF(IFERROR(_xlfn.XLOOKUP(BC229,Коды_код,Коды_уго),"")="Светильник",3,4)+IF(Методика="нормы 2026",MIN(0.5,MAX(0,N(P229)-100)*0.005),0)))</f>
        <v>4</v>
      </c>
      <c r="EM229" cm="1">
        <f t="array" ref="EM229">IF(OR(B229="",BZ229="",EC229&lt;&gt;1),"",_xlfn.LET(_xlpm.sz,Iдоп_S,_xlpm.t_,CHOOSE(EB229,Iдоп_1ж,Iдоп_2ж,Iдоп_3ж)*DZ229*EA229,_xlpm.dcx,BV229=1,_xlpm.inn,IF(_xlpm.dcx,N(O229),N(DT229)),_xlpm.smin,MAX(1.5,CC229),_xlpm.L_,N(P229)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229)/N(BU229)*100,999),IFERROR(N(EJ229)*(_xlpm.rho*_xlpm.L_/_xlpm.sz*N(CE229)+_xlpm.xx*_xlpm.L_*N(EK229)/1000)*N(O229)/((Uн_лин/SQRT(3))*1000)*100,999)),_xlpm.kz,IF(OR(_xlpm.dcx,DW229=1,NOT(ISNUMBER(EG229)),_xlpm.L_=0,_xlpm.inn=0),1,IFERROR(--(c_min*(Uн_лин*1000/SQRT(3))/(EG229+2*ρкз_Cu*_xlpm.L_/_xlpm.sz)&gt;=HT229*_xlpm.inn),0)),_xlpm.ok,IFERROR((_xlpm.sz&gt;=_xlpm.smin)*(_xlpm.t_&gt;=_xlpm.inn)*IF(_xlpm.L_&gt;0,(_xlpm.du_+IF(_xlpm.dcx,0,EF229)&lt;=EL229+0.00001),1)*_xlpm.kz,0),_xlpm.r_,_xlfn._xlws.FILTER(_xlpm.sz,_xlpm.ok,"не подобрано"),INDEX(_xlpm.r_,1)))</f>
        <v>1.5</v>
      </c>
      <c r="EN229">
        <f t="shared" si="467"/>
        <v>2.5</v>
      </c>
      <c r="EO229" cm="1">
        <f t="array" ref="EO229">IF(OR(B229="",BZ229="",EC229&lt;&gt;1),"",_xlfn.LET(_xlpm.sz,Iдоп_S,_xlpm.t_,CHOOSE(EB229,Iдоп_1ж,Iдоп_2ж,Iдоп_3ж)*DZ229*EA229,_xlpm.ok,IFERROR((_xlpm.sz&gt;=MAX(1.5,CC229))*(_xlpm.t_&gt;=N(DT229)),0),_xlpm.r_,_xlfn._xlws.FILTER(_xlpm.sz,_xlpm.ok,""),INDEX(_xlpm.r_,1)))</f>
        <v>1.5</v>
      </c>
      <c r="EP229" s="6" cm="1">
        <f t="array" ref="EP229">IFERROR(ROUNDUP(N(EJ229)*(_xlfn.XLOOKUP(EO229,INDEX(Кабель_сопротивление,0,1),INDEX(Кабель_сопротивление,0,3))*N(P229)/EO229*N(CE229)+_xlfn.XLOOKUP(EO229,INDEX(Кабель_сопротивление,0,1),INDEX(Кабель_сопротивление,0,2))*N(P229)*N(EK229)/1000)*N(O229)/((Uн_лин/SQRT(3))*1000)*100,2),"")</f>
        <v>0.82000000000000006</v>
      </c>
      <c r="EQ229">
        <f>IFERROR(2*ρкз_Cu*N(P229)/EO229,"")</f>
        <v>2.8053333333333335</v>
      </c>
      <c r="ER229">
        <f>IFERROR(VLOOKUP(EN229,Кабель_сопротивление,3,FALSE),"")</f>
        <v>2.2499999999999999E-2</v>
      </c>
      <c r="ES229">
        <f>IFERROR(VLOOKUP(EN229,Кабель_сопротивление,2,FALSE),"")</f>
        <v>0.1</v>
      </c>
      <c r="ET229">
        <f t="shared" si="468"/>
        <v>52</v>
      </c>
      <c r="EU229">
        <f t="shared" si="469"/>
        <v>0</v>
      </c>
      <c r="EV229">
        <f t="shared" si="470"/>
        <v>1.126438331096731</v>
      </c>
      <c r="EW229" s="6">
        <f>IFERROR(ROUNDUP(EV229/IF(BV229=1,BU229,(Uн_лин/SQRT(3))*1000)*100,2),"")</f>
        <v>0.49</v>
      </c>
      <c r="EX229" t="str">
        <f>IFERROR(VLOOKUP(BZ229,Кабель_обозначение,2,FALSE),"")</f>
        <v>ВВГнг(А)-LS</v>
      </c>
      <c r="EY229" t="str">
        <f t="shared" si="471"/>
        <v>ВВГнг(А)-LS (3х2,5)</v>
      </c>
      <c r="EZ229" t="str">
        <f t="shared" si="472"/>
        <v>ВВГнг(А)-LS (3х2,5)
L=80-0,49%</v>
      </c>
      <c r="FA229">
        <f>IFERROR(2*ρкз_Cu*P229/EN229,"")</f>
        <v>1.6832</v>
      </c>
      <c r="FB229">
        <f t="shared" si="473"/>
        <v>0.56000000000000005</v>
      </c>
      <c r="FC229" s="6" t="str">
        <f>IFERROR(IF(OR(B229="",BV229=1,NOT(ISNUMBER(EN229)),N(P229)=0),"",_xlfn.XLOOKUP(A229,Щиты[Щит],Щиты[Zпетли на шинах, Ом])+FA229),"")</f>
        <v/>
      </c>
      <c r="FD229" s="6" t="str">
        <f>IF(ISNUMBER(FC229),c_min*(Uн_лин*1000/SQRT(3))/FC229,"")</f>
        <v/>
      </c>
      <c r="FE229" s="6" t="str">
        <f>IFERROR(IF(OR(B229="",NOT(ISNUMBER(EN229))),"",1.05*(Uн_лин*1000/SQRT(3))/(_xlfn.XLOOKUP(A229,Щиты[Щит],Щиты[Zmax на шинах, Ом])+FB229)/1000),"")</f>
        <v/>
      </c>
      <c r="FF229" s="6" t="str">
        <f>IF(B229="","",IF(ISNUMBER(AC229),"Сил",IF(IFERROR(_xlfn.XLOOKUP(BC229,Коды_код,Коды_группа)&amp;"","")="","Быт",_xlfn.XLOOKUP(BC229,Коды_код,Коды_группа)&amp;"")))</f>
        <v>Быт</v>
      </c>
      <c r="FG229" s="6" t="str">
        <f t="shared" si="474"/>
        <v>Быт</v>
      </c>
      <c r="FH229" s="6">
        <f>IF(FG229="Щит","щит",IF(FG229="","",IF(FG229="Быт",IFERROR(_xlfn.XLOOKUP(A229,Щиты[Щит],Щиты[Кс быт]),1),IF(FG229="Сил",IF(ISNUMBER(AC229),AC229,IF(Методика="нормы 2026",IFERROR(_xlfn.XLOOKUP(A229,Щиты[Щит],Щиты[Кс силовых (табл. 7.5)]),1),1)),IF(OR(FG229="Пост",FG229="Отоп"),1,IF(FG229="ВНГ",0.7,0))))))</f>
        <v>0.57830000000000004</v>
      </c>
      <c r="FI229">
        <f>IF(FG229="","",IF(AND(BP229=1,TRIM(AE229&amp;"")=""),IF(COUNTIFS(Линии[Щит],A229,Линии[Секция (1/2/3)],"&gt;=2")&gt;0,MIN(3,MAX(1,IFERROR(--BD229,1))),1),IFERROR(MIN(3,MAX(1,INT(--AE229))),1)))</f>
        <v>1</v>
      </c>
      <c r="FJ229">
        <f t="shared" si="475"/>
        <v>0.18</v>
      </c>
      <c r="FK229">
        <f t="shared" si="476"/>
        <v>0.18</v>
      </c>
      <c r="FL229">
        <f t="shared" si="477"/>
        <v>0</v>
      </c>
      <c r="FM229">
        <f t="shared" si="478"/>
        <v>0</v>
      </c>
      <c r="FN229">
        <f t="shared" si="479"/>
        <v>0</v>
      </c>
      <c r="FO229">
        <f t="shared" si="480"/>
        <v>0</v>
      </c>
      <c r="FP229">
        <f t="shared" si="481"/>
        <v>0.18</v>
      </c>
      <c r="FQ229">
        <f t="shared" si="482"/>
        <v>0.18</v>
      </c>
      <c r="FR229">
        <f t="shared" si="483"/>
        <v>0.17099999999999999</v>
      </c>
      <c r="FS229">
        <f>IF(CG229=1,IF(AND(CH229=1,CW229=1),0,IF(AND(CS229&lt;&gt;"",CS229=BA229,CW229=1),SUMIFS(Линии[_Р линии, кВт],Линии[_блок УЗО],BA229,Линии[Щит],A229),N(BS229)+IF(AJ229="вручную",0,N(CK229)))),0)</f>
        <v>0.18</v>
      </c>
      <c r="FT229" t="str">
        <f t="shared" si="484"/>
        <v/>
      </c>
      <c r="FU229" t="str">
        <f>IF(B229="","",IF(CG229=0,IF(BA229=1,"",FW228),IF(AND(CH229=1,CW229=1,CS229&lt;&gt;""),IFERROR(_xlfn.XLOOKUP(CS229,Линии[_n],Линии[_фаза итог]),"L1"),IF(OR(N(DL229)&gt;=3,N(BX229)&gt;=3),"L1,L2,L3",IFERROR(_xlfn.TEXTBEFORE(_xlfn.TEXTAFTER(_xlfn.XLOOKUP(A229,Щиты[Щит],Щиты[_фазы авто]),";"&amp;BA229&amp;":"),";"),"L1")))))</f>
        <v>L1</v>
      </c>
      <c r="FV229" t="str">
        <f t="shared" si="485"/>
        <v>L1</v>
      </c>
      <c r="FW229" t="str">
        <f t="shared" si="486"/>
        <v>L1</v>
      </c>
      <c r="FX229" cm="1">
        <f t="array" ref="FX229">IFERROR(IF(CD229=2,_xlfn.IFS(BX229=3,VLOOKUP(BS229,Справочная_двигатели,3,FALSE),BX229=1,VLOOKUP(BS229,Справочная_двигатели,5,TRUE)),0),0)</f>
        <v>0</v>
      </c>
      <c r="FY229">
        <f>IFERROR(IF(CD229=3,VLOOKUP(BS229,Справочная_ЛЭД,2,TRUE),0),0)</f>
        <v>0</v>
      </c>
      <c r="FZ229" s="6">
        <f t="shared" si="487"/>
        <v>0</v>
      </c>
      <c r="GA229" t="str">
        <f>IF(B229="","",IF(TRIM(AH229&amp;"")&lt;&gt;"",IF(LOWER(TRIM(AH229&amp;""))="да","да","нет"),IF(IFERROR(_xlfn.XLOOKUP(BC229,Коды_код,Коды_пожарная),"")="да","да","нет")))</f>
        <v>нет</v>
      </c>
      <c r="GB229" t="str">
        <f t="shared" si="488"/>
        <v/>
      </c>
      <c r="GC229" t="str">
        <f t="shared" si="489"/>
        <v>основная</v>
      </c>
      <c r="GD229">
        <f>IF(AND(BP229=1,TRIM(AE229&amp;"")=""),IF(COUNTIFS(Линии[Щит],A229,Линии[Секция (1/2/3)],"&gt;=2")&gt;0,MIN(3,MAX(1,IFERROR(--BD229,1))),1),IFERROR(MIN(3,MAX(1,INT(--AE229))),1))</f>
        <v>1</v>
      </c>
      <c r="GE229" t="str" cm="1">
        <f t="array" ref="GE229">IF(B229="","",_xlfn.LET(_xlpm.t,IFERROR(_xlfn.XLOOKUP(1,(Шины[Шина]=GC229)*(((Шины[Щит]=A229)+(Шины[Щит]=""))&gt;0),Шины[Тип]),"")&amp;"",IF(_xlpm.t&lt;&gt;"",_xlpm.t,IF(ISNUMBER(SEARCH("ИБП",GC229)),"ИБП",IF(ISNUMBER(SEARCH("ДГУ",GC229)),"ДГУ","Ввод "&amp;GD229)))))</f>
        <v>Ввод 1</v>
      </c>
      <c r="GF229" t="str">
        <f t="shared" si="490"/>
        <v>Ввод 1</v>
      </c>
      <c r="GG229" t="str">
        <f>IF(BP229=0,"",IF(TRIM(AG229&amp;"")&lt;&gt;"",TRIM(AG229&amp;""),IF(OR(GE229="ИБП",GE229="ДГУ"),"I особая",_xlfn.XLOOKUP(A229,Щиты[Щит],Щиты[Категория шины «Ввод»],"III"))))</f>
        <v/>
      </c>
      <c r="GH229" t="str">
        <f>IF(A229="","",_xlfn.XLOOKUP(A229,Щиты[Щит],Щиты[Путь],""))</f>
        <v>|ГРЩ-ЖД|ЩР-1|</v>
      </c>
      <c r="GI229" t="str">
        <f>IF(B229="","",IF(AI229&lt;&gt;"",AI229,IF(IFERROR(_xlfn.XLOOKUP(BC229,Коды_код,Коды_вид)&amp;"","")="","Прочее",_xlfn.XLOOKUP(BC229,Коды_код,Коды_вид)&amp;"")))</f>
        <v>Розеточная сеть и бытовые приборы</v>
      </c>
      <c r="GJ229">
        <f>IF(BM229="","",INT((BM229-1)/Столбцов_на_лист)+1)</f>
        <v>1</v>
      </c>
      <c r="GK229" t="str">
        <f t="shared" si="491"/>
        <v>ВВГнг(А)-LS (3х2,5) L=80-0,49%</v>
      </c>
      <c r="GL229">
        <f t="shared" si="492"/>
        <v>0.18</v>
      </c>
      <c r="GM229">
        <f t="shared" si="493"/>
        <v>0.83</v>
      </c>
      <c r="GN229">
        <f t="shared" si="494"/>
        <v>1</v>
      </c>
      <c r="GO229">
        <f t="shared" si="495"/>
        <v>0</v>
      </c>
      <c r="GP229">
        <f t="shared" si="496"/>
        <v>1</v>
      </c>
      <c r="GQ229">
        <f>IF(BM229="","",IF(AND(CG229=1,GP229=1),COUNTIFS(A$3:A229,A229,CG$3:CG229,1,GP$3:GP229,1),IF(OR(OR(BA229=1,A229&lt;&gt;A228),AJ229="вручную",GP229=0),"",IF(BA229=1,"",GR228))))</f>
        <v>5</v>
      </c>
      <c r="GR229">
        <f t="shared" si="497"/>
        <v>5</v>
      </c>
      <c r="GS229">
        <f>IF(B229="","",IFERROR(LOOKUP(INDEX(CHOOSE(EB229,Iдоп_1ж,Iдоп_2ж,Iдоп_3ж),MATCH(EN229,Iдоп_S,0))*DZ229*EA229,{6,10,16,20,25,32,40,50,63,80,100,125,160,200,250,315,400,500,630}),""))</f>
        <v>25</v>
      </c>
      <c r="GT229" t="str">
        <f t="shared" si="498"/>
        <v>QFD5</v>
      </c>
      <c r="GU229" t="str">
        <f t="shared" si="499"/>
        <v>QFD5</v>
      </c>
      <c r="GV229" t="str">
        <f t="shared" si="500"/>
        <v/>
      </c>
      <c r="GW229">
        <f t="shared" si="501"/>
        <v>0</v>
      </c>
      <c r="GX229" t="str">
        <f>IF(OR(B229="",DJ229=""),"",IFERROR(_xlfn.XLOOKUP(DJ229,Модули_умолч[Управление],Модули_умолч[Модель])&amp;"",""))</f>
        <v/>
      </c>
      <c r="GY229">
        <f>IF(DJ229="",1,IFERROR(MAX(0,N(_xlfn.XLOOKUP(DJ229,Модули_умолч[Управление],Модули_умолч[Каналов на линию]))),1))</f>
        <v>1</v>
      </c>
      <c r="GZ229" t="str">
        <f t="shared" si="502"/>
        <v/>
      </c>
      <c r="HA229" t="str">
        <f t="shared" si="503"/>
        <v/>
      </c>
      <c r="HB229" t="str">
        <f t="shared" si="504"/>
        <v/>
      </c>
      <c r="HC229">
        <f>IF(HB229="",0,IFERROR(N(VLOOKUP(HB229,Модули_спр,3,FALSE)),0))</f>
        <v>0</v>
      </c>
      <c r="HD229" t="str">
        <f t="shared" si="505"/>
        <v/>
      </c>
      <c r="HE229" t="str">
        <f t="shared" si="506"/>
        <v/>
      </c>
      <c r="HF229" t="str">
        <f>IF(OR(HE229="",HE229="-"),"",IFERROR(VLOOKUP(HE229,Модули_спр,2,FALSE),"R"))</f>
        <v/>
      </c>
      <c r="HG229" t="str">
        <f>IF(HF229="","",HF229&amp;"."&amp;COUNTIFS(A$3:A229,A229,HF$3:HF229,HF229))</f>
        <v/>
      </c>
      <c r="HH229" t="str">
        <f t="shared" si="507"/>
        <v/>
      </c>
      <c r="HI229" t="str">
        <f t="shared" si="508"/>
        <v/>
      </c>
      <c r="HJ229" t="str">
        <f t="shared" si="509"/>
        <v/>
      </c>
      <c r="HK229" t="str">
        <f t="shared" si="510"/>
        <v/>
      </c>
      <c r="HL229">
        <f t="shared" si="511"/>
        <v>1</v>
      </c>
      <c r="HM229" t="str">
        <f>IF(HL229=1,"XT"&amp;COUNTIFS(A$3:A229,A229,HL$3:HL229,1),"")</f>
        <v>XT5</v>
      </c>
      <c r="HN229" t="str">
        <f t="shared" si="512"/>
        <v>XT5</v>
      </c>
      <c r="HO229" t="str">
        <f t="shared" si="513"/>
        <v>QFD5</v>
      </c>
      <c r="HP229" t="str">
        <f t="shared" si="514"/>
        <v/>
      </c>
      <c r="HQ229" t="str">
        <f t="shared" si="515"/>
        <v>ok</v>
      </c>
      <c r="HR229" t="str">
        <f>IF(OR(HJ229="",HH229=""),"",IF(HJ229+MAX(0,GY229-1)&gt;IFERROR(VLOOKUP(HI229,Модули_спр,3,FALSE),99),"ЛИШНИЙ КАНАЛ",IF(AND(AL229&lt;&gt;"=",GY229&gt;0,COUNTIFS(Линии[_модуль гр.],HH229,Линии[Канал (итог)],HJ229,Линии[Канал],"&lt;&gt;=",Линии[Щит],A229)&gt;1),"ДУБЛЬ КАНАЛА","")))</f>
        <v/>
      </c>
      <c r="HS229" s="6" t="str">
        <f t="shared" si="516"/>
        <v/>
      </c>
      <c r="HT229">
        <f t="shared" si="517"/>
        <v>10</v>
      </c>
      <c r="HU229" t="str">
        <f t="shared" si="518"/>
        <v/>
      </c>
      <c r="HV229">
        <f t="shared" si="519"/>
        <v>1.1281780477498926</v>
      </c>
      <c r="HW229">
        <f t="shared" si="520"/>
        <v>0</v>
      </c>
      <c r="HX229">
        <f t="shared" si="521"/>
        <v>0</v>
      </c>
      <c r="HY229">
        <f t="shared" si="522"/>
        <v>0</v>
      </c>
      <c r="HZ229">
        <f t="shared" si="523"/>
        <v>0</v>
      </c>
      <c r="IA229">
        <f t="shared" si="524"/>
        <v>0</v>
      </c>
      <c r="IB229">
        <f t="shared" si="525"/>
        <v>0</v>
      </c>
      <c r="IC229" t="str">
        <f t="shared" si="526"/>
        <v/>
      </c>
      <c r="ID229" t="str" cm="1">
        <f t="array" ref="ID229">IF(IC229="","",_xlfn.LET(_xlpm.tk,_xlfn.TEXTSPLIT(SUBSTITUTE(SUBSTITUTE(IC229,";"," "),"→"," ")," ",,TRUE),_xlpm.w_,_xlfn._xlws.FILTER(_xlpm.tk,ISNUMBER(--LEFT(_xlpm.tk,1))*((ISNUMBER(SEARCH("W",_xlpm.tk))+ISNUMBER(SEARCH("Вт",_xlpm.tk)))&gt;0),""),IFERROR(--SUBSTITUTE(SUBSTITUTE(UPPER(INDEX(_xlpm.w_,1)),"W",""),"ВТ",""),"")))</f>
        <v/>
      </c>
      <c r="IE229" t="str" cm="1">
        <f t="array" ref="IE229">IF(IC229="","",_xlfn.LET(_xlpm.tk,_xlfn.TEXTSPLIT(SUBSTITUTE(SUBSTITUTE(IC229,";"," "),"→"," ")," ",,TRUE),_xlpm.v_,_xlfn._xlws.FILTER(_xlpm.tk,ISNUMBER(--LEFT(_xlpm.tk,1))*((ISNUMBER(SEARCH("V",_xlpm.tk))+(RIGHT(UPPER(_xlpm.tk))="В"))&gt;0),""),IFERROR(--SUBSTITUTE(SUBSTITUTE(UPPER(INDEX(_xlpm.v_,1)),"V",""),"В",""),"")))</f>
        <v/>
      </c>
      <c r="IF229" s="6" t="str">
        <f>IF(OR(BV229=0,HI229="",HJ229=""),"",IFERROR(N(_xlfn.XLOOKUP(HI229,Каталог!$C$4:$C$500,Каталог!$Q$4:$Q$500)),""))</f>
        <v/>
      </c>
      <c r="IG229" s="6" t="str">
        <f>IF(N(IF229)=0,"",SUMIFS(Линии[Iр, А],Линии[Щит],A229,Линии[_модуль гр.],HH229,Линии[Канал (итог)],HJ229))</f>
        <v/>
      </c>
      <c r="IH229" t="str">
        <f>IF(AND(B229="",HO229=""),"",_xlfn.TEXTJOIN("; ",TRUE,IF(AND(B229&lt;&gt;"",FV229=""),"нет фазы",""),IF(AND(B229&lt;&gt;"",N(GL229)=0,FG229&lt;&gt;"Нет"),"нет мощности",""),IF(AND(HN229&lt;&gt;"",COUNTIFS(Линии[Щит],A229,Линии[Клемма (итог)],HN229)&gt;1),"дубль клеммы "&amp;HN229,""),IF(AND(HQ229&lt;&gt;"",HQ229&lt;&gt;"ok"),HQ229,""),IF(HR229&lt;&gt;"",HR229,""),IF(AND(N(CB229)&gt;=4,N(BX229)=1),CB229&amp;" жил на 1 фазе",""),IF(AND(BC229="R",CG229=1,IF(CS229&lt;&gt;"",N(CV229)&gt;30,OR(N(DA229)=0,N(DA229)&gt;30))),"розетка без дифзащиты до 30 мА",""),IF(AND(CG229=1,N(DA229)&gt;0,ISNUMBER(T229)),IF(T229&gt;N(DA229)/3,"ток утечки "&amp;FIXED(T229,1)&amp;" мА &gt; 1/3 уставки ("&amp;DA229&amp;" мА)",""),""),IF(AND(CH229=1,CS229=""),"«узо»: нет строки с УЗО выше (УЗО 2P 40А 30мА в «Аппаратах»)",""),IF(AND(CS229&lt;&gt;"",CS229=BA229),IF(CT229="","впишите номинал УЗО (УЗО 2P 40А 30мА)",IF(N(CT229)&lt;N(DT229),"УЗО "&amp;CT229&amp;" А &lt; автомата "&amp;DT229&amp;" А перед ним",IF(N(CT229)&lt;N(CX229),"УЗО "&amp;CT229&amp;" А &lt; тока блока "&amp;FIXED(CX229,1)&amp;" А",""))),""),IF(AND(CS229&lt;&gt;"",CS229=BA229,ISNUMBER(CY229)),IF(CY229&gt;N(CV229)/3,"ток утечки блока УЗО "&amp;FIXED(CY229,1)&amp;" мА &gt; 1/3 уставки ("&amp;CV229&amp;" мА)",""),""),IF(AND(CG229=1,N(BV229)+N(IB229)&gt;0,IC229=""),"линии до 50 В без БП: впишите в «Аппараты» (БП 24V 480W)",""),IF(AND(CG229=1,ISNUMBER(ID229),ISNUMBER(U229)),IF(U229&gt;ID229,"БП "&amp;ID229&amp;" Вт &lt; нужно "&amp;U229&amp;" Вт (×"&amp;Запас_БП&amp;")",""),""),IF(AND(CG229=1,ISNUMBER(IE229),N(BV229)=1),IF(IE229&lt;&gt;N(BU229),"БП на "&amp;IE229&amp;" В, линия "&amp;BU229&amp;" В",""),""),IF(AND(N(IF229)&gt;0,N(IG229)&gt;N(IF229)),HH229&amp;" канал "&amp;HJ229&amp;": "&amp;FIXED(IG229,1)&amp;" А &gt; "&amp;IF229&amp;" А",""),IFERROR(IF(AND(ISNUMBER(Q229),Q229&gt;EL229),"потери "&amp;FIXED(Q229,1)&amp;" % &gt; "&amp;EL229&amp;" %",""),""),IFERROR(IF(LEFT(HU229,4)="мало","Iкз мало — отключение &gt; 0,4 с",""),""),IF(AND(B229&lt;&gt;"",BM229=""),"не на схеме",""),IF(AND(CG229=0,B229&lt;&gt;"",FV229&lt;&gt;"",IF(BA229=1,"",FW228)&lt;&gt;"",FV229&lt;&gt;IF(BA229=1,"",FW228)),"фаза не как у автомата группы ("&amp;IF(BA229=1,"",FW228)&amp;")","")))</f>
        <v/>
      </c>
      <c r="II229" s="6">
        <f>IF(OR(CG229=0,DQ229=""),"",_xlfn.LET(_xlpm.t,IFERROR(_xlfn.XLOOKUP(DQ229,Каталог!$U$4:$U$500,Каталог!$G$4:$G$500),""),_xlpm.k,SEARCH("кА",_xlpm.t),IFERROR(--TRIM(RIGHT(SUBSTITUTE(MID(_xlpm.t,MAX(1,_xlpm.k-4),_xlpm.k-MAX(1,_xlpm.k-4))," ",REPT(" ",9)),5)),"")))</f>
        <v>6</v>
      </c>
      <c r="IJ229" t="str">
        <f>IF(OR(II229="",CG229=0),"",IF(_xlfn.XLOOKUP(A229,Щиты[Щит],Щиты[Iкз max на шинах, кА],"")="","",IF(II229&lt;_xlfn.XLOOKUP(A229,Щиты[Щит],Щиты[Iкз max на шинах, кА]),"Icu "&amp;II229&amp;" кА &lt; Iкз max","ok")))</f>
        <v/>
      </c>
      <c r="IK229" t="str">
        <f t="shared" si="527"/>
        <v/>
      </c>
      <c r="IL229" t="str">
        <f t="shared" si="528"/>
        <v>QFD5|XT5</v>
      </c>
      <c r="IM229" t="str">
        <f t="shared" si="529"/>
        <v>QFD5|XT5|кабель ВВГнг(А)-LS (3х2,5) → Розеточная группа, пом. 002Aб</v>
      </c>
      <c r="IN229" t="str" cm="1">
        <f t="array" ref="IN229">IF(IM229="","",_xlfn.LET(_xlpm.nd,_xlfn.TEXTSPLIT(IM229,"|"),IF(COLUMNS(_xlpm.nd)&gt;1,A229&amp;"¦"&amp;INDEX(_xlpm.nd,1)&amp;"¦"&amp;INDEX(_xlpm.nd,2),"")))</f>
        <v>ЩР-1¦QFD5¦XT5</v>
      </c>
      <c r="IO229" t="str">
        <f t="shared" si="530"/>
        <v>R.1.002Aб.1¦Розеточная группа, пом. 002Aб</v>
      </c>
      <c r="IP229" t="str" cm="1">
        <f t="array" ref="IP229">IF(IM229="","",_xlfn.LET(_xlpm.nd,_xlfn.TEXTSPLIT(IM229,"|"),IF(COLUMNS(_xlpm.nd)&gt;2,A229&amp;"¦"&amp;INDEX(_xlpm.nd,2)&amp;"¦"&amp;INDEX(_xlpm.nd,3),"")))</f>
        <v>ЩР-1¦XT5¦кабель ВВГнг(А)-LS (3х2,5) → Розеточная группа, пом. 002Aб</v>
      </c>
      <c r="IQ229" t="str">
        <f t="shared" si="531"/>
        <v>R.1.002Aб.1¦Розеточная группа, пом. 002Aб</v>
      </c>
      <c r="IR229" t="str" cm="1">
        <f t="array" ref="IR229">IF(IM229="","",_xlfn.LET(_xlpm.nd,_xlfn.TEXTSPLIT(IM229,"|"),IF(COLUMNS(_xlpm.nd)&gt;3,A229&amp;"¦"&amp;INDEX(_xlpm.nd,3)&amp;"¦"&amp;INDEX(_xlpm.nd,4),"")))</f>
        <v/>
      </c>
      <c r="IS229" t="str">
        <f t="shared" si="532"/>
        <v/>
      </c>
      <c r="IT229" t="str" cm="1">
        <f t="array" ref="IT229">IF(IM229="","",_xlfn.LET(_xlpm.nd,_xlfn.TEXTSPLIT(IM229,"|"),IF(COLUMNS(_xlpm.nd)&gt;4,A229&amp;"¦"&amp;INDEX(_xlpm.nd,4)&amp;"¦"&amp;INDEX(_xlpm.nd,5),"")))</f>
        <v/>
      </c>
      <c r="IU229" t="str">
        <f t="shared" si="533"/>
        <v/>
      </c>
      <c r="IV229" t="str" cm="1">
        <f t="array" ref="IV229">IF(IM229="","",_xlfn.LET(_xlpm.nd,_xlfn.TEXTSPLIT(IM229,"|"),IF(COLUMNS(_xlpm.nd)&gt;5,A229&amp;"¦"&amp;INDEX(_xlpm.nd,5)&amp;"¦"&amp;INDEX(_xlpm.nd,6),"")))</f>
        <v/>
      </c>
      <c r="IW229" t="str">
        <f t="shared" si="534"/>
        <v/>
      </c>
      <c r="IX229" t="str" cm="1">
        <f t="array" ref="IX229">IF(IM229="","",_xlfn.LET(_xlpm.nd,_xlfn.TEXTSPLIT(IM229,"|"),IF(COLUMNS(_xlpm.nd)&gt;6,A229&amp;"¦"&amp;INDEX(_xlpm.nd,6)&amp;"¦"&amp;INDEX(_xlpm.nd,7),"")))</f>
        <v/>
      </c>
      <c r="IY229" t="str">
        <f t="shared" si="535"/>
        <v/>
      </c>
      <c r="IZ229" t="str">
        <f t="shared" si="536"/>
        <v/>
      </c>
      <c r="JA229" t="str">
        <f t="shared" si="537"/>
        <v>QFD5 → XT5</v>
      </c>
      <c r="JB229">
        <f t="shared" si="538"/>
        <v>0</v>
      </c>
      <c r="JC229">
        <f t="shared" si="539"/>
        <v>1</v>
      </c>
      <c r="JD229" t="str">
        <f t="shared" si="540"/>
        <v/>
      </c>
      <c r="JE229" t="str">
        <f t="shared" si="541"/>
        <v/>
      </c>
      <c r="JF229" t="str">
        <f t="shared" si="542"/>
        <v/>
      </c>
      <c r="JG229" t="str">
        <f t="shared" si="543"/>
        <v/>
      </c>
      <c r="JH229" t="str">
        <f>IF(B229="","",IFERROR(_xlfn.XLOOKUP(B229,Коды_код,Коды_уго),IFERROR(_xlfn.XLOOKUP(BC229,Коды_код,Коды_уго),IFERROR(_xlfn.XLOOKUP(LEFT(BC229,2),Коды_код,Коды_уго),""))))</f>
        <v>Розетка</v>
      </c>
      <c r="JI229" t="str">
        <f>IF(B229="","",IF(OR(JH229="",JH229=0),"BOX",IFERROR(IF(VLOOKUP(JH229,УГО_блоки,3,FALSE)&amp;""&lt;&gt;"",VLOOKUP(JH229,УГО_блоки,3,FALSE),VLOOKUP(JH229,УГО_блоки,2,FALSE)),JH229)))</f>
        <v>SOCKET</v>
      </c>
      <c r="JJ229">
        <f t="shared" si="544"/>
        <v>1</v>
      </c>
      <c r="JK229" t="str">
        <f>IF(DQ229="","",IF(COUNTIF(DQ$3:DQ229,DQ229)=1,MAX(JK$2:JK228)+1,""))</f>
        <v/>
      </c>
      <c r="JL229" t="str">
        <f>IF(DE229="","",IF(COUNTIF(DE$3:DE229,DE229)+COUNTIF(DF$2:DF228,DE229)+COUNTIF(DG$2:DG228,DE229)=1,MAX(JL$2:JN228)+1,""))</f>
        <v/>
      </c>
      <c r="JM229" t="str">
        <f>IF(DF229="","",IF(COUNTIF(DE$3:DE229,DF229)+COUNTIF(DF$3:DF229,DF229)+COUNTIF(DG$2:DG228,DF229)=1,MAX(JL$2:JN228,JL229)+1,""))</f>
        <v/>
      </c>
      <c r="JN229" t="str">
        <f>IF(DG229="","",IF(COUNTIF(DE$3:DE229,DG229)+COUNTIF(DF$3:DF229,DG229)+COUNTIF(DG$3:DG229,DG229)=1,MAX(JL$2:JN228,JL229,JM229)+1,""))</f>
        <v/>
      </c>
      <c r="JO229" t="str">
        <f t="shared" si="545"/>
        <v>3х2,5</v>
      </c>
      <c r="JP229" t="str">
        <f>IF(JO229="","",IF(COUNTIF(JO$3:JO229,JO229)=1,MAX(JP$2:JP228)+1,""))</f>
        <v/>
      </c>
      <c r="JQ229" t="str">
        <f>IF(HG229="","",COUNTIF(HG$3:HG229,"?*"))</f>
        <v/>
      </c>
      <c r="JR229" t="str">
        <f>IF(OR(HG229="",HI229=""),"",IF(COUNTIFS(HG$3:HG229,"?*",HI$3:HI229,HI229)=1,MAX(JR$2:JR228)+1,""))</f>
        <v/>
      </c>
      <c r="JS229">
        <f t="shared" si="546"/>
        <v>0</v>
      </c>
      <c r="JT229">
        <f>IF(B229="","",COUNTIF(B$3:B229,"?*"))</f>
        <v>227</v>
      </c>
      <c r="JU229">
        <f>IF(HL229&lt;&gt;1,0,_xlfn.LET(_xlpm.k,MAX(IFERROR(--_xlfn.XLOOKUP(B229,Коды_код,Коды_3L),0),IFERROR(--_xlfn.XLOOKUP(BC229,Коды_код,Коды_3L),0),IFERROR(--_xlfn.XLOOKUP(LEFT(BC229,2),Коды_код,Коды_3L),0)),IF(_xlpm.k&gt;0,_xlpm.k,IF(IFERROR(--LEFT(SUBSTITUTE(JO229,"x","х"),FIND("х",SUBSTITUTE(JO229,"x","х"))-1),3)&gt;3,Каталог!$S$9,1))))</f>
        <v>1</v>
      </c>
      <c r="JV229">
        <f t="shared" si="547"/>
        <v>0</v>
      </c>
      <c r="JW229" t="str">
        <f t="shared" si="548"/>
        <v>авто</v>
      </c>
      <c r="JX229">
        <f t="shared" si="549"/>
        <v>30</v>
      </c>
      <c r="JY229">
        <f t="shared" si="550"/>
        <v>1</v>
      </c>
      <c r="JZ229">
        <f t="shared" si="551"/>
        <v>1</v>
      </c>
    </row>
    <row r="230" spans="1:286" x14ac:dyDescent="0.3">
      <c r="A230" t="s">
        <v>757</v>
      </c>
      <c r="B230" t="s">
        <v>1536</v>
      </c>
      <c r="C230" t="s">
        <v>1708</v>
      </c>
      <c r="D230">
        <v>3</v>
      </c>
      <c r="E230">
        <v>0.23</v>
      </c>
      <c r="G230" t="str">
        <f>Линии[[#This Row],[_авто автомат]]</f>
        <v>2P С16А 30мА</v>
      </c>
      <c r="H230" t="str">
        <f>Линии[[#This Row],[_авто управление]]</f>
        <v/>
      </c>
      <c r="I230" t="str">
        <f>Линии[[#This Row],[_авто аппараты]]</f>
        <v/>
      </c>
      <c r="J230">
        <v>2.5</v>
      </c>
      <c r="K230">
        <v>15</v>
      </c>
      <c r="L230" t="str">
        <f>Линии[[#This Row],[_авто фаза]]</f>
        <v>L3</v>
      </c>
      <c r="M230" t="str">
        <f>Линии[[#This Row],[_авто клемма]]</f>
        <v>XT6</v>
      </c>
      <c r="N230" t="str">
        <f t="shared" si="414"/>
        <v/>
      </c>
      <c r="O230" s="6" cm="1">
        <f t="array" ref="O230">IF(B230="","",IF(BH230&lt;&gt;"",IFERROR(_xlfn.XLOOKUP(BH230,Щиты[Щит],Щиты[Iр, А]),""),IF(BP230=1,IF(OR(N(_xlfn.XLOOKUP(A230,Щиты[Щит],Щиты[Вводов],1))&lt;=1,LOWER(TRIM(_xlfn.XLOOKUP(A230,Щиты[Щит],Щиты[АВР],"")&amp;""))="да"),IFERROR(_xlfn.XLOOKUP(A230,Щиты[Щит],Щиты[Iр, А]),""),IFERROR(N(BS230)*_xlfn.XLOOKUP(A230,Щиты[Щит],Щиты[Кс итог])/(SQRT(3)*Uн_лин*_xlfn.XLOOKUP(A230,Щиты[Щит],Щиты[cos φ])),"")),IF(BV230=1,IFERROR(BS230*1000/BU230,""),IFERROR(_xlfn.IFS(BX230=1,BS230/((Uн_лин/SQRT(3))*CE230),BX230=3,BS230/(SQRT(3)*Uн_лин*CE230)),"")))))</f>
        <v>1.0483465414232678</v>
      </c>
      <c r="P230" s="7">
        <f>IF(B230="","",IFERROR(IF(VLOOKUP(BC230,Потребители_обозначение,4,FALSE)=1,VLOOKUP(BC230,Потребители_обозначение,3,FALSE)*(MAX(1,N(D230))*2-1)+EI230+VLOOKUP(BE230,Этаж_обозначение,3,FALSE)+VLOOKUP(BE230,Этаж_обозначение,4,FALSE),VLOOKUP(BC230,Потребители_обозначение,3,FALSE)*(MAX(1,N(D230))*2-1)+EI230),EI230))</f>
        <v>30</v>
      </c>
      <c r="Q230" s="6">
        <f t="shared" si="415"/>
        <v>1.43</v>
      </c>
      <c r="R230" t="str">
        <f t="shared" si="416"/>
        <v>ВВГнг(А)-LS (3х2,5)</v>
      </c>
      <c r="S230" t="str">
        <f>IF(BM230="","",IF(BN230="вводной узел","узел ","")&amp;"л."&amp;(INT((BM230-1)/Столбцов_на_лист)+1)&amp;" / "&amp;(MOD(BM230-1,Столбцов_на_лист)+1))</f>
        <v>л.1 / 14</v>
      </c>
      <c r="T230" s="119">
        <f t="shared" si="417"/>
        <v>0.7</v>
      </c>
      <c r="U230" s="7" t="str">
        <f>IF(OR(CG230=0,N(BV230)+N(IB230)=0),"",ROUNDUP(Запас_БП*(N(HY230)+N(HZ230)),0))</f>
        <v/>
      </c>
      <c r="V230" s="119" t="str">
        <f t="shared" si="418"/>
        <v/>
      </c>
      <c r="W230" s="7" t="str">
        <f>IFERROR(IF(OR(B230="",BP230=1,BV230=1,NOT(ISNUMBER(EN230)),N(DT230)=0),"",MAX(0,ROUNDDOWN((c_min*(Uн_лин*1000/SQRT(3))/(HT230*N(DT230))-_xlfn.XLOOKUP(A230,Щиты[Щит],Щиты[Zпетли на шинах, Ом]))*EN230/(2*ρкз_Cu),0))),"")</f>
        <v/>
      </c>
      <c r="Y230">
        <f>Линии[[#This Row],[_авто утечка]]</f>
        <v>30</v>
      </c>
      <c r="Z230">
        <v>1</v>
      </c>
      <c r="AA230">
        <v>230</v>
      </c>
      <c r="AB230" t="s">
        <v>562</v>
      </c>
      <c r="AG230" t="s">
        <v>810</v>
      </c>
      <c r="AI230" t="s">
        <v>561</v>
      </c>
      <c r="AK230" t="str">
        <f>Линии[[#This Row],[_авто модуль]]</f>
        <v/>
      </c>
      <c r="AM230">
        <v>14</v>
      </c>
      <c r="AN230" t="s">
        <v>11</v>
      </c>
      <c r="AO230">
        <v>3</v>
      </c>
      <c r="AQ230">
        <v>0</v>
      </c>
      <c r="AR230">
        <v>15</v>
      </c>
      <c r="AS230">
        <v>0</v>
      </c>
      <c r="BA230" cm="1">
        <f t="array" ref="BA230">ROW()-ROW(Линии[#Headers])</f>
        <v>228</v>
      </c>
      <c r="BC230" s="6" t="str">
        <f t="shared" si="419"/>
        <v>R</v>
      </c>
      <c r="BD230" t="str">
        <f t="shared" si="420"/>
        <v>1.002Б.1</v>
      </c>
      <c r="BE230" t="str">
        <f t="shared" si="421"/>
        <v>1</v>
      </c>
      <c r="BF230" t="str">
        <f t="shared" si="422"/>
        <v>002Б.1</v>
      </c>
      <c r="BG230" t="str">
        <f t="shared" si="423"/>
        <v>002Б</v>
      </c>
      <c r="BH230" t="str">
        <f>IF(X230&lt;&gt;"",X230,IF(AND(B230&lt;&gt;"",B230&lt;&gt;A230,ISNUMBER(_xlfn.XMATCH(B230,Щиты[Щит]))),B230,""))</f>
        <v/>
      </c>
      <c r="BI230" t="str" cm="1">
        <f t="array" ref="BI230">IF(B230="","",IF(BH230&lt;&gt;"","Щит "&amp;BH230,_xlfn.LET(_xlpm.nm,IFERROR(_xlfn.XLOOKUP(BC230,Коды_код,Коды_имя)&amp;"",""),_xlpm.md,IFERROR(N(_xlfn.XLOOKUP(BC230,Коды_код,Коды_режим)),1),_xlpm.ex,IF(Имя_режим="по экспликации",IFERROR(_xlfn.XLOOKUP(BE230&amp;"|"&amp;BG230,Экспликация[Этаж]&amp;"|"&amp;Экспликация[Помещение],Экспликация[Название])&amp;"",""),""),_xlpm.rm,IF(BG230="","",IF(_xlpm.ex&lt;&gt;"",". "&amp;_xlpm.ex&amp;IF(Имя_пом="нет"," ("&amp;BG230&amp;")"," (пом. "&amp;BG230&amp;")"),IF(Имя_пом="нет"," ",", пом. ")&amp;BG230)),IF(_xlpm.nm="","",IF(_xlpm.md=2,_xlpm.nm&amp;" шлейф "&amp;BE230,_xlpm.nm&amp;_xlpm.rm)))))</f>
        <v>Розеточная группа, пом. 002Б</v>
      </c>
      <c r="BJ230" t="str">
        <f t="shared" si="424"/>
        <v>Розеточная группа Первый этаж Пом. №002Б Ледогенератор</v>
      </c>
      <c r="BK230">
        <f>IFERROR(_xlfn.XMATCH(A230,Щиты[Щит]),0)</f>
        <v>10</v>
      </c>
      <c r="BL230">
        <f>_xlfn.LET(_xlpm.k,IFERROR(_xlfn.XLOOKUP(A230,Щиты[Щит],Щиты[Мест под вводной узел]),""),IF(_xlpm.k="",Столбцов_на_лист,N(_xlpm.k)))</f>
        <v>8</v>
      </c>
      <c r="BM230">
        <f t="shared" si="425"/>
        <v>14</v>
      </c>
      <c r="BN230" t="str">
        <f t="shared" si="426"/>
        <v>линии</v>
      </c>
      <c r="BO230" s="6">
        <f>IFERROR(N(_xlfn.XLOOKUP(BC230,Коды_код,Коды_квт)),0)</f>
        <v>0</v>
      </c>
      <c r="BP230">
        <f t="shared" si="427"/>
        <v>0</v>
      </c>
      <c r="BQ230" t="str">
        <f>IF(B230="","",IF(BH230&lt;&gt;"",IFERROR(_xlfn.XLOOKUP(BH230,Щиты[Щит],Щиты[Руст, кВт]),0),IF(BP230=1,IF(OR(N(_xlfn.XLOOKUP(A230,Щиты[Щит],Щиты[Вводов],1))&lt;=1,LOWER(TRIM(_xlfn.XLOOKUP(A230,Щиты[Щит],Щиты[АВР],"")&amp;""))="да"),IFERROR(_xlfn.XLOOKUP(A230,Щиты[Щит],Щиты[Руст, кВт]),0),SUMIFS(Линии[_Р для вводов],Линии[Щит],A230,Линии[Источник для режимов],GF230)),IF(BO230&gt;0,ROUND(BO230*MAX(1,N(D230)),3),""))))</f>
        <v/>
      </c>
      <c r="BR230">
        <f t="shared" si="428"/>
        <v>0.23</v>
      </c>
      <c r="BS230" s="6">
        <f>IF(B230="","",IF(BH230&lt;&gt;"",IFERROR(_xlfn.XLOOKUP(BH230,Щиты[Щит],Щиты[Руст, кВт]),0),N(BR230)))</f>
        <v>0.23</v>
      </c>
      <c r="BT230" t="str">
        <f>IF(B230="","",IFERROR(IF(VLOOKUP(BC230,Потребители_обозначение,8,FALSE)=0,"",VLOOKUP(BC230,Потребители_обозначение,8,FALSE)),""))</f>
        <v/>
      </c>
      <c r="BU230">
        <f t="shared" si="429"/>
        <v>230</v>
      </c>
      <c r="BV230">
        <f t="shared" si="430"/>
        <v>0</v>
      </c>
      <c r="BW230">
        <f>IF(B230="","",IF(BH230&lt;&gt;"",3,IFERROR(IF(N(VLOOKUP(BC230,Потребители_обозначение,9,FALSE))=0,1,VLOOKUP(BC230,Потребители_обозначение,9,FALSE)),1)))</f>
        <v>1</v>
      </c>
      <c r="BX230">
        <f t="shared" si="431"/>
        <v>1</v>
      </c>
      <c r="BY230" t="str">
        <f>IF(B230="","",_xlfn.LET(_xlpm.bc,IFERROR(IF(VLOOKUP(BC230,Потребители_обозначение,6,FALSE)=0,"",VLOOKUP(BC230,Потребители_обозначение,6,FALSE)&amp;""),""),IF(AND(GA230="да",OR(_xlpm.bc="",_xlpm.bc="мс")),Марка_пож,IF(AND(_xlpm.bc="",BH230&lt;&gt;""),"мс",_xlpm.bc))))</f>
        <v/>
      </c>
      <c r="BZ230" t="str">
        <f t="shared" si="432"/>
        <v>мс</v>
      </c>
      <c r="CA230">
        <f>IF(B230="","",_xlfn.LET(_xlpm.cc,IFERROR(N(VLOOKUP(BC230,Потребители_обозначение,7,FALSE)),0),IF(_xlpm.cc&gt;0,_xlpm.cc,IF(BZ230="","",IF(BV230=1,2,IF(N(BX230)=3,5,3))))))</f>
        <v>3</v>
      </c>
      <c r="CB230">
        <f t="shared" si="433"/>
        <v>3</v>
      </c>
      <c r="CC230">
        <f>IFERROR(N(VLOOKUP(BC230,Потребители_обозначение,10,FALSE)),0)</f>
        <v>0</v>
      </c>
      <c r="CD230">
        <f>IFERROR(VLOOKUP(BC230,Потребители_обозначение,5,FALSE),0)</f>
        <v>1</v>
      </c>
      <c r="CE230" s="6" cm="1">
        <f t="array" ref="CE230">IF(B230="","",IF(BH230&lt;&gt;"",IFERROR(_xlfn.XLOOKUP(BH230,Щиты[Щит],Щиты[cos φ]),0.95),IF(BP230=1,IFERROR(_xlfn.XLOOKUP(A230,Щиты[Щит],Щиты[cos φ]),0.95),IF(ISNUMBER(AD230),AD230,IFERROR(IF(CD230=2,_xlfn.IFS(BX230=3,VLOOKUP(BS230,Справочная_двигатели,8,FALSE),BX230=1,VLOOKUP(BS230,Справочная_двигатели,10,TRUE)),IF(AND(Методика="нормы 2026",FG230="Сил"),0.8,0.95)),0.95)))))</f>
        <v>0.95</v>
      </c>
      <c r="CF230">
        <f t="shared" si="434"/>
        <v>0</v>
      </c>
      <c r="CG230">
        <f t="shared" si="435"/>
        <v>1</v>
      </c>
      <c r="CH230">
        <f t="shared" si="436"/>
        <v>0</v>
      </c>
      <c r="CI230">
        <f>IF(B230="","",IF(BV230=1,IFERROR(BS230/((Uн_лин/SQRT(3))*MAX(0.5,N(CE230))),0),N(O230)))</f>
        <v>1.0483465414232678</v>
      </c>
      <c r="CJ230">
        <f t="shared" si="437"/>
        <v>0</v>
      </c>
      <c r="CK230">
        <f t="shared" si="438"/>
        <v>0</v>
      </c>
      <c r="CL230">
        <f t="shared" si="439"/>
        <v>0</v>
      </c>
      <c r="CM230">
        <f t="shared" si="440"/>
        <v>0</v>
      </c>
      <c r="CN230">
        <f t="shared" si="441"/>
        <v>0</v>
      </c>
      <c r="CO230">
        <f>IF(BC230="",0,_xlfn.LET(_xlpm.v,IFERROR(_xlfn.XLOOKUP(B230,Коды_код,Коды_мА),IFERROR(_xlfn.XLOOKUP(BC230,Коды_код,Коды_мА),IFERROR(_xlfn.XLOOKUP(LEFT(BC230,2),Коды_код,Коды_мА),""))),IF(_xlpm.v="да",30,IF(ISNUMBER(_xlpm.v),_xlpm.v,0))))</f>
        <v>30</v>
      </c>
      <c r="CP230">
        <f t="shared" si="442"/>
        <v>30</v>
      </c>
      <c r="CQ230" t="str">
        <f>_xlfn.LET(_xlpm.k,IFERROR(_xlfn.XLOOKUP(BC230,Коды_код,Коды_утечка)&amp;"",""),IF(_xlpm.k="","дифавтомат",_xlpm.k))</f>
        <v>дифавтомат</v>
      </c>
      <c r="CR230" t="str" cm="1">
        <f t="array" ref="CR230">IF(CG230=0,"",_xlfn.LET(_xlpm.sg,TRIM(_xlfn.TEXTSPLIT(DD230&amp;"",";")),_xlpm.f_,_xlfn._xlws.FILTER(_xlpm.sg,LEFT(_xlpm.sg,3)="УЗО",""),IFERROR(INDEX(_xlpm.f_,1)&amp;"","")))</f>
        <v/>
      </c>
      <c r="CS230" t="str">
        <f t="shared" si="443"/>
        <v/>
      </c>
      <c r="CT230" s="6" t="str" cm="1">
        <f t="array" ref="CT230">IF(CR230="","",_xlfn.LET(_xlpm.tk,_xlfn.TEXTSPLIT(UPPER(CR230)," ",,TRUE),_xlpm.a_,_xlfn._xlws.FILTER(_xlpm.tk,ISNUMBER(--LEFT(_xlpm.tk,1))*((ISNUMBER(SEARCH("А",_xlpm.tk))+ISNUMBER(SEARCH("A",_xlpm.tk)))&gt;0)*NOT(ISNUMBER(SEARCH("МА",_xlpm.tk)))*NOT(ISNUMBER(SEARCH("MA",_xlpm.tk))),""),IFERROR(--SUBSTITUTE(SUBSTITUTE(INDEX(_xlpm.a_,1),"А",""),"A",""),"")))</f>
        <v/>
      </c>
      <c r="CU230" t="str" cm="1">
        <f t="array" ref="CU230">IF(CR230="","",_xlfn.LET(_xlpm.tk,_xlfn.TEXTSPLIT(UPPER(CR230)," ",,TRUE),_xlpm.a_,_xlfn._xlws.FILTER(_xlpm.tk,ISNUMBER(--LEFT(_xlpm.tk,1))*((ISNUMBER(SEARCH("МА",_xlpm.tk))+ISNUMBER(SEARCH("MA",_xlpm.tk)))&gt;0),""),IFERROR(--SUBSTITUTE(SUBSTITUTE(INDEX(_xlpm.a_,1),"МА",""),"MA",""),30)))</f>
        <v/>
      </c>
      <c r="CV230" t="str">
        <f>IF(CS230="","",IFERROR(_xlfn.XLOOKUP(CS230,Линии[_n],Линии[_УЗО, мА]),30))</f>
        <v/>
      </c>
      <c r="CW230">
        <f>IF(CS230="",0,IF(ISNUMBER(SEARCH("4P",IFERROR(_xlfn.XLOOKUP(CS230,Линии[_n],Линии[_УЗО строки])&amp;"",""))),0,1))</f>
        <v>0</v>
      </c>
      <c r="CX230" t="str">
        <f>IF(AND(CS230&lt;&gt;"",CS230=BA230),SUMIFS(Линии[_ток на 230 В],Линии[_блок УЗО],BA230,Линии[Щит],A230),"")</f>
        <v/>
      </c>
      <c r="CY230" t="str">
        <f>IF(AND(CS230&lt;&gt;"",CS230=BA230),SUMIFS(Линии[_ток утечки линии, мА],Линии[_блок УЗО],BA230,Линии[Щит],A230),"")</f>
        <v/>
      </c>
      <c r="CZ230">
        <f t="shared" si="444"/>
        <v>30</v>
      </c>
      <c r="DA230">
        <f t="shared" si="445"/>
        <v>30</v>
      </c>
      <c r="DB230">
        <f>IF(B230="",0,IFERROR(--_xlfn.XLOOKUP(B230,Коды_код,Коды_минавт),IFERROR(--_xlfn.XLOOKUP(BC230,Коды_код,Коды_минавт),IFERROR(--_xlfn.XLOOKUP(LEFT(BC230,2),Коды_код,Коды_минавт),0))))</f>
        <v>16</v>
      </c>
      <c r="DC230" t="str">
        <f>IF(B230="","",IFERROR(_xlfn.XLOOKUP(BC230,Коды_код,Коды_апп)&amp;"",""))</f>
        <v/>
      </c>
      <c r="DD230" t="str">
        <f t="shared" si="446"/>
        <v/>
      </c>
      <c r="DE230" t="str" cm="1">
        <f t="array" ref="DE230">IF(TRIM(DD230&amp;"")="","",IFERROR(TRIM(INDEX(_xlfn.TEXTSPLIT(DD230&amp;";;;",";"),1)),""))</f>
        <v/>
      </c>
      <c r="DF230" t="str" cm="1">
        <f t="array" ref="DF230">IF(TRIM(DD230&amp;"")="","",IFERROR(TRIM(INDEX(_xlfn.TEXTSPLIT(DD230&amp;";;;",";"),2)),""))</f>
        <v/>
      </c>
      <c r="DG230" t="str" cm="1">
        <f t="array" ref="DG230">IF(TRIM(DD230&amp;"")="","",IFERROR(TRIM(INDEX(_xlfn.TEXTSPLIT(DD230&amp;";;;",";"),3)),""))</f>
        <v/>
      </c>
      <c r="DH230">
        <f t="shared" si="447"/>
        <v>0</v>
      </c>
      <c r="DI230" t="str">
        <f>IF(B230="","",_xlfn.LET(_xlpm.t,LOWER(AZ230&amp;""),IF(ISNUMBER(SEARCH("dim",_xlpm.t)),"DIM",IF(ISNUMBER(SEARCH("dali",_xlpm.t)),"DALI",IF(OR(ISNUMBER(SEARCH("relay",_xlpm.t)),ISNUMBER(SEARCH("реле",_xlpm.t))),"Relay",IF(ISNUMBER(SEARCH("кнопк",_xlpm.t)),"",IFERROR(_xlfn.XLOOKUP(BC230,Коды_код,Коды_упр)&amp;"","")))))))</f>
        <v/>
      </c>
      <c r="DJ230" t="str">
        <f t="shared" si="448"/>
        <v/>
      </c>
      <c r="DK230">
        <f>IF(B230="","",_xlfn.LET(_xlpm.ig,IF(N(CX230)&gt;0,N(CX230),N(CI230)+IF(AJ230="вручную",0,N(CJ230))),_xlpm.n0,IFERROR(VLOOKUP(_xlpm.ig,Автомат_номиналы,2,TRUE),0),_xlpm.mn,MAX(DB230,IF(AJ230="вручную",0,N(CM230))),MAX(_xlpm.n0,_xlpm.mn,IF(DH230=1,Мин_автомат_БП,0))))</f>
        <v>16</v>
      </c>
      <c r="DL230">
        <f t="shared" si="449"/>
        <v>1</v>
      </c>
      <c r="DM230" t="str">
        <f t="shared" si="450"/>
        <v>2P</v>
      </c>
      <c r="DN230" t="str">
        <f>_xlfn.LET(_xlpm.cc,UPPER(TRIM(IFERROR(_xlfn.XLOOKUP(BC230,Коды_код,Коды_хар)&amp;"",""))),IF(OR(_xlpm.cc="B",_xlpm.cc="В"),"B",IF(_xlpm.cc="D","D","С")))</f>
        <v>С</v>
      </c>
      <c r="DO230" t="str">
        <f t="shared" si="451"/>
        <v>2P С16А 30мА</v>
      </c>
      <c r="DP230" t="str">
        <f t="shared" si="452"/>
        <v>2P С16А 30мА</v>
      </c>
      <c r="DQ230" t="str">
        <f t="shared" si="453"/>
        <v>2P С16А 30мА</v>
      </c>
      <c r="DR230" cm="1">
        <f t="array" ref="DR230">IF(DQ230="","",_xlfn.LET(_xlpm.t,SUBSTITUTE(SUBSTITUTE(SUBSTITUTE(UPPER(DQ230),"С","C"),"А","A"),"В","B"),_xlpm.tk,_xlfn.TEXTSPLIT(_xlpm.t," "),_xlpm.f,_xlfn._xlws.FILTER(_xlpm.tk,ISNUMBER(--MID(_xlpm.tk,2,1))*ISNUMBER(SEARCH(LEFT(_xlpm.tk,1)&amp;"#","B#C#D#"))*(LEN(_xlpm.tk)&gt;1),""),_xlpm.x,INDEX(_xlpm.f,1),IFERROR(--SUBSTITUTE(MID(_xlpm.x,2,9),"A",""),IFERROR(--SUBSTITUTE(INDEX(_xlfn._xlws.FILTER(_xlpm.tk,ISNUMBER(--SUBSTITUTE(_xlpm.tk,"A","")),""),1),"A",""),""))))</f>
        <v>16</v>
      </c>
      <c r="DS230" t="str">
        <f t="shared" si="454"/>
        <v>ok</v>
      </c>
      <c r="DT230">
        <f t="shared" si="455"/>
        <v>16</v>
      </c>
      <c r="DU230" t="str">
        <f t="shared" si="456"/>
        <v>2P С16А 30мА</v>
      </c>
      <c r="DV230">
        <f t="shared" si="457"/>
        <v>30</v>
      </c>
      <c r="DW230">
        <f t="shared" si="458"/>
        <v>1</v>
      </c>
      <c r="DX230">
        <f t="shared" si="459"/>
        <v>0</v>
      </c>
      <c r="DY230">
        <f t="shared" si="460"/>
        <v>1.0483465414232678</v>
      </c>
      <c r="DZ230">
        <f t="shared" si="461"/>
        <v>1</v>
      </c>
      <c r="EA230">
        <f>IF(ISNUMBER(AP230),AP230,К_прокл)</f>
        <v>1</v>
      </c>
      <c r="EB230">
        <f t="shared" si="462"/>
        <v>2</v>
      </c>
      <c r="EC230">
        <f>IFERROR(N(VLOOKUP(BZ230,Кабель_обозначение,3,FALSE)),1)</f>
        <v>1</v>
      </c>
      <c r="ED230">
        <f>IFERROR(N(_xlfn.XLOOKUP(A230,Щиты[Щит],Щиты[ΔU до шин, %])),0)</f>
        <v>1.19</v>
      </c>
      <c r="EE230" t="str">
        <f>IFERROR(_xlfn.XLOOKUP(A230,Щиты[Щит],Щиты[Zпетли на шинах, Ом]),"")</f>
        <v/>
      </c>
      <c r="EF230">
        <f>IFERROR(N(_xlfn.XLOOKUP(A230,Щиты[Щит],Щиты[ΔU до шин (подбор), %])),0)</f>
        <v>1.19</v>
      </c>
      <c r="EG230" t="str">
        <f>IFERROR(_xlfn.XLOOKUP(A230,Щиты[Щит],Щиты[Zпетли на шинах (подбор), Ом]),"")</f>
        <v/>
      </c>
      <c r="EH230" t="str">
        <f t="shared" si="463"/>
        <v/>
      </c>
      <c r="EI230">
        <f t="shared" si="464"/>
        <v>15</v>
      </c>
      <c r="EJ230">
        <f t="shared" si="465"/>
        <v>2</v>
      </c>
      <c r="EK230">
        <f t="shared" si="466"/>
        <v>0.31</v>
      </c>
      <c r="EL230" s="6">
        <f>IF(B230="","",IF(BV230=1,dU_LED,IF(IFERROR(_xlfn.XLOOKUP(BC230,Коды_код,Коды_уго),"")="Светильник",3,4)+IF(Методика="нормы 2026",MIN(0.5,MAX(0,N(P230)-100)*0.005),0)))</f>
        <v>4</v>
      </c>
      <c r="EM230" cm="1">
        <f t="array" ref="EM230">IF(OR(B230="",BZ230="",EC230&lt;&gt;1),"",_xlfn.LET(_xlpm.sz,Iдоп_S,_xlpm.t_,CHOOSE(EB230,Iдоп_1ж,Iдоп_2ж,Iдоп_3ж)*DZ230*EA230,_xlpm.dcx,BV230=1,_xlpm.inn,IF(_xlpm.dcx,N(O230),N(DT230)),_xlpm.smin,MAX(1.5,CC230),_xlpm.L_,N(P230)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230)/N(BU230)*100,999),IFERROR(N(EJ230)*(_xlpm.rho*_xlpm.L_/_xlpm.sz*N(CE230)+_xlpm.xx*_xlpm.L_*N(EK230)/1000)*N(O230)/((Uн_лин/SQRT(3))*1000)*100,999)),_xlpm.kz,IF(OR(_xlpm.dcx,DW230=1,NOT(ISNUMBER(EG230)),_xlpm.L_=0,_xlpm.inn=0),1,IFERROR(--(c_min*(Uн_лин*1000/SQRT(3))/(EG230+2*ρкз_Cu*_xlpm.L_/_xlpm.sz)&gt;=HT230*_xlpm.inn),0)),_xlpm.ok,IFERROR((_xlpm.sz&gt;=_xlpm.smin)*(_xlpm.t_&gt;=_xlpm.inn)*IF(_xlpm.L_&gt;0,(_xlpm.du_+IF(_xlpm.dcx,0,EF230)&lt;=EL230+0.00001),1)*_xlpm.kz,0),_xlpm.r_,_xlfn._xlws.FILTER(_xlpm.sz,_xlpm.ok,"не подобрано"),INDEX(_xlpm.r_,1)))</f>
        <v>1.5</v>
      </c>
      <c r="EN230">
        <f t="shared" si="467"/>
        <v>2.5</v>
      </c>
      <c r="EO230" cm="1">
        <f t="array" ref="EO230">IF(OR(B230="",BZ230="",EC230&lt;&gt;1),"",_xlfn.LET(_xlpm.sz,Iдоп_S,_xlpm.t_,CHOOSE(EB230,Iдоп_1ж,Iдоп_2ж,Iдоп_3ж)*DZ230*EA230,_xlpm.ok,IFERROR((_xlpm.sz&gt;=MAX(1.5,CC230))*(_xlpm.t_&gt;=N(DT230)),0),_xlpm.r_,_xlfn._xlws.FILTER(_xlpm.sz,_xlpm.ok,""),INDEX(_xlpm.r_,1)))</f>
        <v>1.5</v>
      </c>
      <c r="EP230" s="6" cm="1">
        <f t="array" ref="EP230">IFERROR(ROUNDUP(N(EJ230)*(_xlfn.XLOOKUP(EO230,INDEX(Кабель_сопротивление,0,1),INDEX(Кабель_сопротивление,0,3))*N(P230)/EO230*N(CE230)+_xlfn.XLOOKUP(EO230,INDEX(Кабель_сопротивление,0,1),INDEX(Кабель_сопротивление,0,2))*N(P230)*N(EK230)/1000)*N(O230)/((Uн_лин/SQRT(3))*1000)*100,2),"")</f>
        <v>0.39</v>
      </c>
      <c r="EQ230">
        <f>IFERROR(2*ρкз_Cu*N(P230)/EO230,"")</f>
        <v>1.052</v>
      </c>
      <c r="ER230">
        <f>IFERROR(VLOOKUP(EN230,Кабель_сопротивление,3,FALSE),"")</f>
        <v>2.2499999999999999E-2</v>
      </c>
      <c r="ES230">
        <f>IFERROR(VLOOKUP(EN230,Кабель_сопротивление,2,FALSE),"")</f>
        <v>0.1</v>
      </c>
      <c r="ET230">
        <f t="shared" si="468"/>
        <v>15</v>
      </c>
      <c r="EU230">
        <f t="shared" si="469"/>
        <v>0</v>
      </c>
      <c r="EV230">
        <f t="shared" si="470"/>
        <v>0.53975170031718356</v>
      </c>
      <c r="EW230" s="6">
        <f>IFERROR(ROUNDUP(EV230/IF(BV230=1,BU230,(Uн_лин/SQRT(3))*1000)*100,2),"")</f>
        <v>0.24000000000000002</v>
      </c>
      <c r="EX230" t="str">
        <f>IFERROR(VLOOKUP(BZ230,Кабель_обозначение,2,FALSE),"")</f>
        <v>ВВГнг(А)-LS</v>
      </c>
      <c r="EY230" t="str">
        <f t="shared" si="471"/>
        <v>ВВГнг(А)-LS (3х2,5)</v>
      </c>
      <c r="EZ230" t="str">
        <f t="shared" si="472"/>
        <v>ВВГнг(А)-LS (3х2,5)
L=30-0,24%</v>
      </c>
      <c r="FA230">
        <f>IFERROR(2*ρкз_Cu*P230/EN230,"")</f>
        <v>0.63119999999999998</v>
      </c>
      <c r="FB230">
        <f t="shared" si="473"/>
        <v>0.21000000000000002</v>
      </c>
      <c r="FC230" s="6" t="str">
        <f>IFERROR(IF(OR(B230="",BV230=1,NOT(ISNUMBER(EN230)),N(P230)=0),"",_xlfn.XLOOKUP(A230,Щиты[Щит],Щиты[Zпетли на шинах, Ом])+FA230),"")</f>
        <v/>
      </c>
      <c r="FD230" s="6" t="str">
        <f>IF(ISNUMBER(FC230),c_min*(Uн_лин*1000/SQRT(3))/FC230,"")</f>
        <v/>
      </c>
      <c r="FE230" s="6" t="str">
        <f>IFERROR(IF(OR(B230="",NOT(ISNUMBER(EN230))),"",1.05*(Uн_лин*1000/SQRT(3))/(_xlfn.XLOOKUP(A230,Щиты[Щит],Щиты[Zmax на шинах, Ом])+FB230)/1000),"")</f>
        <v/>
      </c>
      <c r="FF230" s="6" t="str">
        <f>IF(B230="","",IF(ISNUMBER(AC230),"Сил",IF(IFERROR(_xlfn.XLOOKUP(BC230,Коды_код,Коды_группа)&amp;"","")="","Быт",_xlfn.XLOOKUP(BC230,Коды_код,Коды_группа)&amp;"")))</f>
        <v>Быт</v>
      </c>
      <c r="FG230" s="6" t="str">
        <f t="shared" si="474"/>
        <v>Быт</v>
      </c>
      <c r="FH230" s="6">
        <f>IF(FG230="Щит","щит",IF(FG230="","",IF(FG230="Быт",IFERROR(_xlfn.XLOOKUP(A230,Щиты[Щит],Щиты[Кс быт]),1),IF(FG230="Сил",IF(ISNUMBER(AC230),AC230,IF(Методика="нормы 2026",IFERROR(_xlfn.XLOOKUP(A230,Щиты[Щит],Щиты[Кс силовых (табл. 7.5)]),1),1)),IF(OR(FG230="Пост",FG230="Отоп"),1,IF(FG230="ВНГ",0.7,0))))))</f>
        <v>0.57830000000000004</v>
      </c>
      <c r="FI230">
        <f>IF(FG230="","",IF(AND(BP230=1,TRIM(AE230&amp;"")=""),IF(COUNTIFS(Линии[Щит],A230,Линии[Секция (1/2/3)],"&gt;=2")&gt;0,MIN(3,MAX(1,IFERROR(--BD230,1))),1),IFERROR(MIN(3,MAX(1,INT(--AE230))),1)))</f>
        <v>1</v>
      </c>
      <c r="FJ230">
        <f t="shared" si="475"/>
        <v>0.23</v>
      </c>
      <c r="FK230">
        <f t="shared" si="476"/>
        <v>0.23</v>
      </c>
      <c r="FL230">
        <f t="shared" si="477"/>
        <v>0</v>
      </c>
      <c r="FM230">
        <f t="shared" si="478"/>
        <v>0</v>
      </c>
      <c r="FN230">
        <f t="shared" si="479"/>
        <v>0</v>
      </c>
      <c r="FO230">
        <f t="shared" si="480"/>
        <v>0</v>
      </c>
      <c r="FP230">
        <f t="shared" si="481"/>
        <v>0.23</v>
      </c>
      <c r="FQ230">
        <f t="shared" si="482"/>
        <v>0.23</v>
      </c>
      <c r="FR230">
        <f t="shared" si="483"/>
        <v>0.2185</v>
      </c>
      <c r="FS230">
        <f>IF(CG230=1,IF(AND(CH230=1,CW230=1),0,IF(AND(CS230&lt;&gt;"",CS230=BA230,CW230=1),SUMIFS(Линии[_Р линии, кВт],Линии[_блок УЗО],BA230,Линии[Щит],A230),N(BS230)+IF(AJ230="вручную",0,N(CK230)))),0)</f>
        <v>0.23</v>
      </c>
      <c r="FT230" t="str">
        <f t="shared" si="484"/>
        <v/>
      </c>
      <c r="FU230" t="str">
        <f>IF(B230="","",IF(CG230=0,IF(BA230=1,"",FW229),IF(AND(CH230=1,CW230=1,CS230&lt;&gt;""),IFERROR(_xlfn.XLOOKUP(CS230,Линии[_n],Линии[_фаза итог]),"L1"),IF(OR(N(DL230)&gt;=3,N(BX230)&gt;=3),"L1,L2,L3",IFERROR(_xlfn.TEXTBEFORE(_xlfn.TEXTAFTER(_xlfn.XLOOKUP(A230,Щиты[Щит],Щиты[_фазы авто]),";"&amp;BA230&amp;":"),";"),"L1")))))</f>
        <v>L3</v>
      </c>
      <c r="FV230" t="str">
        <f t="shared" si="485"/>
        <v>L3</v>
      </c>
      <c r="FW230" t="str">
        <f t="shared" si="486"/>
        <v>L3</v>
      </c>
      <c r="FX230" cm="1">
        <f t="array" ref="FX230">IFERROR(IF(CD230=2,_xlfn.IFS(BX230=3,VLOOKUP(BS230,Справочная_двигатели,3,FALSE),BX230=1,VLOOKUP(BS230,Справочная_двигатели,5,TRUE)),0),0)</f>
        <v>0</v>
      </c>
      <c r="FY230">
        <f>IFERROR(IF(CD230=3,VLOOKUP(BS230,Справочная_ЛЭД,2,TRUE),0),0)</f>
        <v>0</v>
      </c>
      <c r="FZ230" s="6">
        <f t="shared" si="487"/>
        <v>0</v>
      </c>
      <c r="GA230" t="str">
        <f>IF(B230="","",IF(TRIM(AH230&amp;"")&lt;&gt;"",IF(LOWER(TRIM(AH230&amp;""))="да","да","нет"),IF(IFERROR(_xlfn.XLOOKUP(BC230,Коды_код,Коды_пожарная),"")="да","да","нет")))</f>
        <v>нет</v>
      </c>
      <c r="GB230" t="str">
        <f t="shared" si="488"/>
        <v/>
      </c>
      <c r="GC230" t="str">
        <f t="shared" si="489"/>
        <v>основная</v>
      </c>
      <c r="GD230">
        <f>IF(AND(BP230=1,TRIM(AE230&amp;"")=""),IF(COUNTIFS(Линии[Щит],A230,Линии[Секция (1/2/3)],"&gt;=2")&gt;0,MIN(3,MAX(1,IFERROR(--BD230,1))),1),IFERROR(MIN(3,MAX(1,INT(--AE230))),1))</f>
        <v>1</v>
      </c>
      <c r="GE230" t="str" cm="1">
        <f t="array" ref="GE230">IF(B230="","",_xlfn.LET(_xlpm.t,IFERROR(_xlfn.XLOOKUP(1,(Шины[Шина]=GC230)*(((Шины[Щит]=A230)+(Шины[Щит]=""))&gt;0),Шины[Тип]),"")&amp;"",IF(_xlpm.t&lt;&gt;"",_xlpm.t,IF(ISNUMBER(SEARCH("ИБП",GC230)),"ИБП",IF(ISNUMBER(SEARCH("ДГУ",GC230)),"ДГУ","Ввод "&amp;GD230)))))</f>
        <v>Ввод 1</v>
      </c>
      <c r="GF230" t="str">
        <f t="shared" si="490"/>
        <v>Ввод 1</v>
      </c>
      <c r="GG230" t="str">
        <f>IF(BP230=0,"",IF(TRIM(AG230&amp;"")&lt;&gt;"",TRIM(AG230&amp;""),IF(OR(GE230="ИБП",GE230="ДГУ"),"I особая",_xlfn.XLOOKUP(A230,Щиты[Щит],Щиты[Категория шины «Ввод»],"III"))))</f>
        <v/>
      </c>
      <c r="GH230" t="str">
        <f>IF(A230="","",_xlfn.XLOOKUP(A230,Щиты[Щит],Щиты[Путь],""))</f>
        <v>|ГРЩ-ЖД|ЩР-1|</v>
      </c>
      <c r="GI230" t="str">
        <f>IF(B230="","",IF(AI230&lt;&gt;"",AI230,IF(IFERROR(_xlfn.XLOOKUP(BC230,Коды_код,Коды_вид)&amp;"","")="","Прочее",_xlfn.XLOOKUP(BC230,Коды_код,Коды_вид)&amp;"")))</f>
        <v>Розеточная сеть и бытовые приборы</v>
      </c>
      <c r="GJ230">
        <f>IF(BM230="","",INT((BM230-1)/Столбцов_на_лист)+1)</f>
        <v>1</v>
      </c>
      <c r="GK230" t="str">
        <f t="shared" si="491"/>
        <v>ВВГнг(А)-LS (3х2,5) L=30-0,24%</v>
      </c>
      <c r="GL230">
        <f t="shared" si="492"/>
        <v>0.23</v>
      </c>
      <c r="GM230">
        <f t="shared" si="493"/>
        <v>1.05</v>
      </c>
      <c r="GN230">
        <f t="shared" si="494"/>
        <v>1</v>
      </c>
      <c r="GO230">
        <f t="shared" si="495"/>
        <v>0</v>
      </c>
      <c r="GP230">
        <f t="shared" si="496"/>
        <v>1</v>
      </c>
      <c r="GQ230">
        <f>IF(BM230="","",IF(AND(CG230=1,GP230=1),COUNTIFS(A$3:A230,A230,CG$3:CG230,1,GP$3:GP230,1),IF(OR(OR(BA230=1,A230&lt;&gt;A229),AJ230="вручную",GP230=0),"",IF(BA230=1,"",GR229))))</f>
        <v>6</v>
      </c>
      <c r="GR230">
        <f t="shared" si="497"/>
        <v>6</v>
      </c>
      <c r="GS230">
        <f>IF(B230="","",IFERROR(LOOKUP(INDEX(CHOOSE(EB230,Iдоп_1ж,Iдоп_2ж,Iдоп_3ж),MATCH(EN230,Iдоп_S,0))*DZ230*EA230,{6,10,16,20,25,32,40,50,63,80,100,125,160,200,250,315,400,500,630}),""))</f>
        <v>25</v>
      </c>
      <c r="GT230" t="str">
        <f t="shared" si="498"/>
        <v>QFD6</v>
      </c>
      <c r="GU230" t="str">
        <f t="shared" si="499"/>
        <v>QFD6</v>
      </c>
      <c r="GV230" t="str">
        <f t="shared" si="500"/>
        <v/>
      </c>
      <c r="GW230">
        <f t="shared" si="501"/>
        <v>0</v>
      </c>
      <c r="GX230" t="str">
        <f>IF(OR(B230="",DJ230=""),"",IFERROR(_xlfn.XLOOKUP(DJ230,Модули_умолч[Управление],Модули_умолч[Модель])&amp;"",""))</f>
        <v/>
      </c>
      <c r="GY230">
        <f>IF(DJ230="",1,IFERROR(MAX(0,N(_xlfn.XLOOKUP(DJ230,Модули_умолч[Управление],Модули_умолч[Каналов на линию]))),1))</f>
        <v>1</v>
      </c>
      <c r="GZ230" t="str">
        <f t="shared" si="502"/>
        <v/>
      </c>
      <c r="HA230" t="str">
        <f t="shared" si="503"/>
        <v/>
      </c>
      <c r="HB230" t="str">
        <f t="shared" si="504"/>
        <v/>
      </c>
      <c r="HC230">
        <f>IF(HB230="",0,IFERROR(N(VLOOKUP(HB230,Модули_спр,3,FALSE)),0))</f>
        <v>0</v>
      </c>
      <c r="HD230" t="str">
        <f t="shared" si="505"/>
        <v/>
      </c>
      <c r="HE230" t="str">
        <f t="shared" si="506"/>
        <v/>
      </c>
      <c r="HF230" t="str">
        <f>IF(OR(HE230="",HE230="-"),"",IFERROR(VLOOKUP(HE230,Модули_спр,2,FALSE),"R"))</f>
        <v/>
      </c>
      <c r="HG230" t="str">
        <f>IF(HF230="","",HF230&amp;"."&amp;COUNTIFS(A$3:A230,A230,HF$3:HF230,HF230))</f>
        <v/>
      </c>
      <c r="HH230" t="str">
        <f t="shared" si="507"/>
        <v/>
      </c>
      <c r="HI230" t="str">
        <f t="shared" si="508"/>
        <v/>
      </c>
      <c r="HJ230" t="str">
        <f t="shared" si="509"/>
        <v/>
      </c>
      <c r="HK230" t="str">
        <f t="shared" si="510"/>
        <v/>
      </c>
      <c r="HL230">
        <f t="shared" si="511"/>
        <v>1</v>
      </c>
      <c r="HM230" t="str">
        <f>IF(HL230=1,"XT"&amp;COUNTIFS(A$3:A230,A230,HL$3:HL230,1),"")</f>
        <v>XT6</v>
      </c>
      <c r="HN230" t="str">
        <f t="shared" si="512"/>
        <v>XT6</v>
      </c>
      <c r="HO230" t="str">
        <f t="shared" si="513"/>
        <v>QFD6</v>
      </c>
      <c r="HP230" t="str">
        <f t="shared" si="514"/>
        <v/>
      </c>
      <c r="HQ230" t="str">
        <f t="shared" si="515"/>
        <v>ok</v>
      </c>
      <c r="HR230" t="str">
        <f>IF(OR(HJ230="",HH230=""),"",IF(HJ230+MAX(0,GY230-1)&gt;IFERROR(VLOOKUP(HI230,Модули_спр,3,FALSE),99),"ЛИШНИЙ КАНАЛ",IF(AND(AL230&lt;&gt;"=",GY230&gt;0,COUNTIFS(Линии[_модуль гр.],HH230,Линии[Канал (итог)],HJ230,Линии[Канал],"&lt;&gt;=",Линии[Щит],A230)&gt;1),"ДУБЛЬ КАНАЛА","")))</f>
        <v/>
      </c>
      <c r="HS230" s="6" t="str">
        <f t="shared" si="516"/>
        <v/>
      </c>
      <c r="HT230">
        <f t="shared" si="517"/>
        <v>10</v>
      </c>
      <c r="HU230" t="str">
        <f t="shared" si="518"/>
        <v/>
      </c>
      <c r="HV230">
        <f t="shared" si="519"/>
        <v>0.7193386165693072</v>
      </c>
      <c r="HW230">
        <f t="shared" si="520"/>
        <v>0</v>
      </c>
      <c r="HX230">
        <f t="shared" si="521"/>
        <v>0</v>
      </c>
      <c r="HY230">
        <f t="shared" si="522"/>
        <v>0</v>
      </c>
      <c r="HZ230">
        <f t="shared" si="523"/>
        <v>0</v>
      </c>
      <c r="IA230">
        <f t="shared" si="524"/>
        <v>0</v>
      </c>
      <c r="IB230">
        <f t="shared" si="525"/>
        <v>0</v>
      </c>
      <c r="IC230" t="str">
        <f t="shared" si="526"/>
        <v/>
      </c>
      <c r="ID230" t="str" cm="1">
        <f t="array" ref="ID230">IF(IC230="","",_xlfn.LET(_xlpm.tk,_xlfn.TEXTSPLIT(SUBSTITUTE(SUBSTITUTE(IC230,";"," "),"→"," ")," ",,TRUE),_xlpm.w_,_xlfn._xlws.FILTER(_xlpm.tk,ISNUMBER(--LEFT(_xlpm.tk,1))*((ISNUMBER(SEARCH("W",_xlpm.tk))+ISNUMBER(SEARCH("Вт",_xlpm.tk)))&gt;0),""),IFERROR(--SUBSTITUTE(SUBSTITUTE(UPPER(INDEX(_xlpm.w_,1)),"W",""),"ВТ",""),"")))</f>
        <v/>
      </c>
      <c r="IE230" t="str" cm="1">
        <f t="array" ref="IE230">IF(IC230="","",_xlfn.LET(_xlpm.tk,_xlfn.TEXTSPLIT(SUBSTITUTE(SUBSTITUTE(IC230,";"," "),"→"," ")," ",,TRUE),_xlpm.v_,_xlfn._xlws.FILTER(_xlpm.tk,ISNUMBER(--LEFT(_xlpm.tk,1))*((ISNUMBER(SEARCH("V",_xlpm.tk))+(RIGHT(UPPER(_xlpm.tk))="В"))&gt;0),""),IFERROR(--SUBSTITUTE(SUBSTITUTE(UPPER(INDEX(_xlpm.v_,1)),"V",""),"В",""),"")))</f>
        <v/>
      </c>
      <c r="IF230" s="6" t="str">
        <f>IF(OR(BV230=0,HI230="",HJ230=""),"",IFERROR(N(_xlfn.XLOOKUP(HI230,Каталог!$C$4:$C$500,Каталог!$Q$4:$Q$500)),""))</f>
        <v/>
      </c>
      <c r="IG230" s="6" t="str">
        <f>IF(N(IF230)=0,"",SUMIFS(Линии[Iр, А],Линии[Щит],A230,Линии[_модуль гр.],HH230,Линии[Канал (итог)],HJ230))</f>
        <v/>
      </c>
      <c r="IH230" t="str">
        <f>IF(AND(B230="",HO230=""),"",_xlfn.TEXTJOIN("; ",TRUE,IF(AND(B230&lt;&gt;"",FV230=""),"нет фазы",""),IF(AND(B230&lt;&gt;"",N(GL230)=0,FG230&lt;&gt;"Нет"),"нет мощности",""),IF(AND(HN230&lt;&gt;"",COUNTIFS(Линии[Щит],A230,Линии[Клемма (итог)],HN230)&gt;1),"дубль клеммы "&amp;HN230,""),IF(AND(HQ230&lt;&gt;"",HQ230&lt;&gt;"ok"),HQ230,""),IF(HR230&lt;&gt;"",HR230,""),IF(AND(N(CB230)&gt;=4,N(BX230)=1),CB230&amp;" жил на 1 фазе",""),IF(AND(BC230="R",CG230=1,IF(CS230&lt;&gt;"",N(CV230)&gt;30,OR(N(DA230)=0,N(DA230)&gt;30))),"розетка без дифзащиты до 30 мА",""),IF(AND(CG230=1,N(DA230)&gt;0,ISNUMBER(T230)),IF(T230&gt;N(DA230)/3,"ток утечки "&amp;FIXED(T230,1)&amp;" мА &gt; 1/3 уставки ("&amp;DA230&amp;" мА)",""),""),IF(AND(CH230=1,CS230=""),"«узо»: нет строки с УЗО выше (УЗО 2P 40А 30мА в «Аппаратах»)",""),IF(AND(CS230&lt;&gt;"",CS230=BA230),IF(CT230="","впишите номинал УЗО (УЗО 2P 40А 30мА)",IF(N(CT230)&lt;N(DT230),"УЗО "&amp;CT230&amp;" А &lt; автомата "&amp;DT230&amp;" А перед ним",IF(N(CT230)&lt;N(CX230),"УЗО "&amp;CT230&amp;" А &lt; тока блока "&amp;FIXED(CX230,1)&amp;" А",""))),""),IF(AND(CS230&lt;&gt;"",CS230=BA230,ISNUMBER(CY230)),IF(CY230&gt;N(CV230)/3,"ток утечки блока УЗО "&amp;FIXED(CY230,1)&amp;" мА &gt; 1/3 уставки ("&amp;CV230&amp;" мА)",""),""),IF(AND(CG230=1,N(BV230)+N(IB230)&gt;0,IC230=""),"линии до 50 В без БП: впишите в «Аппараты» (БП 24V 480W)",""),IF(AND(CG230=1,ISNUMBER(ID230),ISNUMBER(U230)),IF(U230&gt;ID230,"БП "&amp;ID230&amp;" Вт &lt; нужно "&amp;U230&amp;" Вт (×"&amp;Запас_БП&amp;")",""),""),IF(AND(CG230=1,ISNUMBER(IE230),N(BV230)=1),IF(IE230&lt;&gt;N(BU230),"БП на "&amp;IE230&amp;" В, линия "&amp;BU230&amp;" В",""),""),IF(AND(N(IF230)&gt;0,N(IG230)&gt;N(IF230)),HH230&amp;" канал "&amp;HJ230&amp;": "&amp;FIXED(IG230,1)&amp;" А &gt; "&amp;IF230&amp;" А",""),IFERROR(IF(AND(ISNUMBER(Q230),Q230&gt;EL230),"потери "&amp;FIXED(Q230,1)&amp;" % &gt; "&amp;EL230&amp;" %",""),""),IFERROR(IF(LEFT(HU230,4)="мало","Iкз мало — отключение &gt; 0,4 с",""),""),IF(AND(B230&lt;&gt;"",BM230=""),"не на схеме",""),IF(AND(CG230=0,B230&lt;&gt;"",FV230&lt;&gt;"",IF(BA230=1,"",FW229)&lt;&gt;"",FV230&lt;&gt;IF(BA230=1,"",FW229)),"фаза не как у автомата группы ("&amp;IF(BA230=1,"",FW229)&amp;")","")))</f>
        <v/>
      </c>
      <c r="II230" s="6">
        <f>IF(OR(CG230=0,DQ230=""),"",_xlfn.LET(_xlpm.t,IFERROR(_xlfn.XLOOKUP(DQ230,Каталог!$U$4:$U$500,Каталог!$G$4:$G$500),""),_xlpm.k,SEARCH("кА",_xlpm.t),IFERROR(--TRIM(RIGHT(SUBSTITUTE(MID(_xlpm.t,MAX(1,_xlpm.k-4),_xlpm.k-MAX(1,_xlpm.k-4))," ",REPT(" ",9)),5)),"")))</f>
        <v>6</v>
      </c>
      <c r="IJ230" t="str">
        <f>IF(OR(II230="",CG230=0),"",IF(_xlfn.XLOOKUP(A230,Щиты[Щит],Щиты[Iкз max на шинах, кА],"")="","",IF(II230&lt;_xlfn.XLOOKUP(A230,Щиты[Щит],Щиты[Iкз max на шинах, кА]),"Icu "&amp;II230&amp;" кА &lt; Iкз max","ok")))</f>
        <v/>
      </c>
      <c r="IK230" t="str">
        <f t="shared" si="527"/>
        <v/>
      </c>
      <c r="IL230" t="str">
        <f t="shared" si="528"/>
        <v>QFD6|XT6</v>
      </c>
      <c r="IM230" t="str">
        <f t="shared" si="529"/>
        <v>QFD6|XT6|кабель ВВГнг(А)-LS (3х2,5) → Розеточная группа Первый этаж Пом. №002Б Ледогенератор</v>
      </c>
      <c r="IN230" t="str" cm="1">
        <f t="array" ref="IN230">IF(IM230="","",_xlfn.LET(_xlpm.nd,_xlfn.TEXTSPLIT(IM230,"|"),IF(COLUMNS(_xlpm.nd)&gt;1,A230&amp;"¦"&amp;INDEX(_xlpm.nd,1)&amp;"¦"&amp;INDEX(_xlpm.nd,2),"")))</f>
        <v>ЩР-1¦QFD6¦XT6</v>
      </c>
      <c r="IO230" t="str">
        <f t="shared" si="530"/>
        <v>R.1.002Б.1¦Розеточная группа Первый этаж Пом. №002Б Ледогенератор</v>
      </c>
      <c r="IP230" t="str" cm="1">
        <f t="array" ref="IP230">IF(IM230="","",_xlfn.LET(_xlpm.nd,_xlfn.TEXTSPLIT(IM230,"|"),IF(COLUMNS(_xlpm.nd)&gt;2,A230&amp;"¦"&amp;INDEX(_xlpm.nd,2)&amp;"¦"&amp;INDEX(_xlpm.nd,3),"")))</f>
        <v>ЩР-1¦XT6¦кабель ВВГнг(А)-LS (3х2,5) → Розеточная группа Первый этаж Пом. №002Б Ледогенератор</v>
      </c>
      <c r="IQ230" t="str">
        <f t="shared" si="531"/>
        <v>R.1.002Б.1¦Розеточная группа Первый этаж Пом. №002Б Ледогенератор</v>
      </c>
      <c r="IR230" t="str" cm="1">
        <f t="array" ref="IR230">IF(IM230="","",_xlfn.LET(_xlpm.nd,_xlfn.TEXTSPLIT(IM230,"|"),IF(COLUMNS(_xlpm.nd)&gt;3,A230&amp;"¦"&amp;INDEX(_xlpm.nd,3)&amp;"¦"&amp;INDEX(_xlpm.nd,4),"")))</f>
        <v/>
      </c>
      <c r="IS230" t="str">
        <f t="shared" si="532"/>
        <v/>
      </c>
      <c r="IT230" t="str" cm="1">
        <f t="array" ref="IT230">IF(IM230="","",_xlfn.LET(_xlpm.nd,_xlfn.TEXTSPLIT(IM230,"|"),IF(COLUMNS(_xlpm.nd)&gt;4,A230&amp;"¦"&amp;INDEX(_xlpm.nd,4)&amp;"¦"&amp;INDEX(_xlpm.nd,5),"")))</f>
        <v/>
      </c>
      <c r="IU230" t="str">
        <f t="shared" si="533"/>
        <v/>
      </c>
      <c r="IV230" t="str" cm="1">
        <f t="array" ref="IV230">IF(IM230="","",_xlfn.LET(_xlpm.nd,_xlfn.TEXTSPLIT(IM230,"|"),IF(COLUMNS(_xlpm.nd)&gt;5,A230&amp;"¦"&amp;INDEX(_xlpm.nd,5)&amp;"¦"&amp;INDEX(_xlpm.nd,6),"")))</f>
        <v/>
      </c>
      <c r="IW230" t="str">
        <f t="shared" si="534"/>
        <v/>
      </c>
      <c r="IX230" t="str" cm="1">
        <f t="array" ref="IX230">IF(IM230="","",_xlfn.LET(_xlpm.nd,_xlfn.TEXTSPLIT(IM230,"|"),IF(COLUMNS(_xlpm.nd)&gt;6,A230&amp;"¦"&amp;INDEX(_xlpm.nd,6)&amp;"¦"&amp;INDEX(_xlpm.nd,7),"")))</f>
        <v/>
      </c>
      <c r="IY230" t="str">
        <f t="shared" si="535"/>
        <v/>
      </c>
      <c r="IZ230" t="str">
        <f t="shared" si="536"/>
        <v/>
      </c>
      <c r="JA230" t="str">
        <f t="shared" si="537"/>
        <v>QFD6 → XT6</v>
      </c>
      <c r="JB230">
        <f t="shared" si="538"/>
        <v>0</v>
      </c>
      <c r="JC230">
        <f t="shared" si="539"/>
        <v>1</v>
      </c>
      <c r="JD230" t="str">
        <f t="shared" si="540"/>
        <v/>
      </c>
      <c r="JE230" t="str">
        <f t="shared" si="541"/>
        <v/>
      </c>
      <c r="JF230" t="str">
        <f t="shared" si="542"/>
        <v/>
      </c>
      <c r="JG230" t="str">
        <f t="shared" si="543"/>
        <v/>
      </c>
      <c r="JH230" t="str">
        <f>IF(B230="","",IFERROR(_xlfn.XLOOKUP(B230,Коды_код,Коды_уго),IFERROR(_xlfn.XLOOKUP(BC230,Коды_код,Коды_уго),IFERROR(_xlfn.XLOOKUP(LEFT(BC230,2),Коды_код,Коды_уго),""))))</f>
        <v>Розетка</v>
      </c>
      <c r="JI230" t="str">
        <f>IF(B230="","",IF(OR(JH230="",JH230=0),"BOX",IFERROR(IF(VLOOKUP(JH230,УГО_блоки,3,FALSE)&amp;""&lt;&gt;"",VLOOKUP(JH230,УГО_блоки,3,FALSE),VLOOKUP(JH230,УГО_блоки,2,FALSE)),JH230)))</f>
        <v>SOCKET</v>
      </c>
      <c r="JJ230">
        <f t="shared" si="544"/>
        <v>1</v>
      </c>
      <c r="JK230" t="str">
        <f>IF(DQ230="","",IF(COUNTIF(DQ$3:DQ230,DQ230)=1,MAX(JK$2:JK229)+1,""))</f>
        <v/>
      </c>
      <c r="JL230" t="str">
        <f>IF(DE230="","",IF(COUNTIF(DE$3:DE230,DE230)+COUNTIF(DF$2:DF229,DE230)+COUNTIF(DG$2:DG229,DE230)=1,MAX(JL$2:JN229)+1,""))</f>
        <v/>
      </c>
      <c r="JM230" t="str">
        <f>IF(DF230="","",IF(COUNTIF(DE$3:DE230,DF230)+COUNTIF(DF$3:DF230,DF230)+COUNTIF(DG$2:DG229,DF230)=1,MAX(JL$2:JN229,JL230)+1,""))</f>
        <v/>
      </c>
      <c r="JN230" t="str">
        <f>IF(DG230="","",IF(COUNTIF(DE$3:DE230,DG230)+COUNTIF(DF$3:DF230,DG230)+COUNTIF(DG$3:DG230,DG230)=1,MAX(JL$2:JN229,JL230,JM230)+1,""))</f>
        <v/>
      </c>
      <c r="JO230" t="str">
        <f t="shared" si="545"/>
        <v>3х2,5</v>
      </c>
      <c r="JP230" t="str">
        <f>IF(JO230="","",IF(COUNTIF(JO$3:JO230,JO230)=1,MAX(JP$2:JP229)+1,""))</f>
        <v/>
      </c>
      <c r="JQ230" t="str">
        <f>IF(HG230="","",COUNTIF(HG$3:HG230,"?*"))</f>
        <v/>
      </c>
      <c r="JR230" t="str">
        <f>IF(OR(HG230="",HI230=""),"",IF(COUNTIFS(HG$3:HG230,"?*",HI$3:HI230,HI230)=1,MAX(JR$2:JR229)+1,""))</f>
        <v/>
      </c>
      <c r="JS230">
        <f t="shared" si="546"/>
        <v>0</v>
      </c>
      <c r="JT230">
        <f>IF(B230="","",COUNTIF(B$3:B230,"?*"))</f>
        <v>228</v>
      </c>
      <c r="JU230">
        <f>IF(HL230&lt;&gt;1,0,_xlfn.LET(_xlpm.k,MAX(IFERROR(--_xlfn.XLOOKUP(B230,Коды_код,Коды_3L),0),IFERROR(--_xlfn.XLOOKUP(BC230,Коды_код,Коды_3L),0),IFERROR(--_xlfn.XLOOKUP(LEFT(BC230,2),Коды_код,Коды_3L),0)),IF(_xlpm.k&gt;0,_xlpm.k,IF(IFERROR(--LEFT(SUBSTITUTE(JO230,"x","х"),FIND("х",SUBSTITUTE(JO230,"x","х"))-1),3)&gt;3,Каталог!$S$9,1))))</f>
        <v>1</v>
      </c>
      <c r="JV230">
        <f t="shared" si="547"/>
        <v>0</v>
      </c>
      <c r="JW230" t="str">
        <f t="shared" si="548"/>
        <v>авто</v>
      </c>
      <c r="JX230">
        <f t="shared" si="549"/>
        <v>30</v>
      </c>
      <c r="JY230">
        <f t="shared" si="550"/>
        <v>1</v>
      </c>
      <c r="JZ230">
        <f t="shared" si="551"/>
        <v>1</v>
      </c>
    </row>
    <row r="231" spans="1:286" x14ac:dyDescent="0.3">
      <c r="A231" t="s">
        <v>757</v>
      </c>
      <c r="B231" t="s">
        <v>1537</v>
      </c>
      <c r="C231" t="str">
        <f>Линии[[#This Row],[_авто наименование]]</f>
        <v>Розеточная группа, пом. 002Б</v>
      </c>
      <c r="D231">
        <v>3</v>
      </c>
      <c r="E231">
        <v>0.18</v>
      </c>
      <c r="G231" t="str">
        <f>Линии[[#This Row],[_авто автомат]]</f>
        <v>2P С16А 30мА</v>
      </c>
      <c r="H231" t="str">
        <f>Линии[[#This Row],[_авто управление]]</f>
        <v/>
      </c>
      <c r="I231" t="str">
        <f>Линии[[#This Row],[_авто аппараты]]</f>
        <v/>
      </c>
      <c r="J231">
        <v>2.5</v>
      </c>
      <c r="K231">
        <v>14</v>
      </c>
      <c r="L231" t="str">
        <f>Линии[[#This Row],[_авто фаза]]</f>
        <v>L3</v>
      </c>
      <c r="M231" t="str">
        <f>Линии[[#This Row],[_авто клемма]]</f>
        <v>XT7</v>
      </c>
      <c r="N231" t="str">
        <f t="shared" si="414"/>
        <v/>
      </c>
      <c r="O231" s="6" cm="1">
        <f t="array" ref="O231">IF(B231="","",IF(BH231&lt;&gt;"",IFERROR(_xlfn.XLOOKUP(BH231,Щиты[Щит],Щиты[Iр, А]),""),IF(BP231=1,IF(OR(N(_xlfn.XLOOKUP(A231,Щиты[Щит],Щиты[Вводов],1))&lt;=1,LOWER(TRIM(_xlfn.XLOOKUP(A231,Щиты[Щит],Щиты[АВР],"")&amp;""))="да"),IFERROR(_xlfn.XLOOKUP(A231,Щиты[Щит],Щиты[Iр, А]),""),IFERROR(N(BS231)*_xlfn.XLOOKUP(A231,Щиты[Щит],Щиты[Кс итог])/(SQRT(3)*Uн_лин*_xlfn.XLOOKUP(A231,Щиты[Щит],Щиты[cos φ])),"")),IF(BV231=1,IFERROR(BS231*1000/BU231,""),IFERROR(_xlfn.IFS(BX231=1,BS231/((Uн_лин/SQRT(3))*CE231),BX231=3,BS231/(SQRT(3)*Uн_лин*CE231)),"")))))</f>
        <v>0.8204451193747313</v>
      </c>
      <c r="P231" s="7">
        <f>IF(B231="","",IFERROR(IF(VLOOKUP(BC231,Потребители_обозначение,4,FALSE)=1,VLOOKUP(BC231,Потребители_обозначение,3,FALSE)*(MAX(1,N(D231))*2-1)+EI231+VLOOKUP(BE231,Этаж_обозначение,3,FALSE)+VLOOKUP(BE231,Этаж_обозначение,4,FALSE),VLOOKUP(BC231,Потребители_обозначение,3,FALSE)*(MAX(1,N(D231))*2-1)+EI231),EI231))</f>
        <v>29</v>
      </c>
      <c r="Q231" s="6">
        <f t="shared" si="415"/>
        <v>1.3699999999999999</v>
      </c>
      <c r="R231" t="str">
        <f t="shared" si="416"/>
        <v>ВВГнг(А)-LS (3х2,5)</v>
      </c>
      <c r="S231" t="str">
        <f>IF(BM231="","",IF(BN231="вводной узел","узел ","")&amp;"л."&amp;(INT((BM231-1)/Столбцов_на_лист)+1)&amp;" / "&amp;(MOD(BM231-1,Столбцов_на_лист)+1))</f>
        <v>л.1 / 15</v>
      </c>
      <c r="T231" s="119">
        <f t="shared" si="417"/>
        <v>0.6</v>
      </c>
      <c r="U231" s="7" t="str">
        <f>IF(OR(CG231=0,N(BV231)+N(IB231)=0),"",ROUNDUP(Запас_БП*(N(HY231)+N(HZ231)),0))</f>
        <v/>
      </c>
      <c r="V231" s="119" t="str">
        <f t="shared" si="418"/>
        <v/>
      </c>
      <c r="W231" s="7" t="str">
        <f>IFERROR(IF(OR(B231="",BP231=1,BV231=1,NOT(ISNUMBER(EN231)),N(DT231)=0),"",MAX(0,ROUNDDOWN((c_min*(Uн_лин*1000/SQRT(3))/(HT231*N(DT231))-_xlfn.XLOOKUP(A231,Щиты[Щит],Щиты[Zпетли на шинах, Ом]))*EN231/(2*ρкз_Cu),0))),"")</f>
        <v/>
      </c>
      <c r="Y231">
        <f>Линии[[#This Row],[_авто утечка]]</f>
        <v>30</v>
      </c>
      <c r="Z231">
        <v>1</v>
      </c>
      <c r="AA231">
        <v>230</v>
      </c>
      <c r="AB231" t="s">
        <v>562</v>
      </c>
      <c r="AG231" t="s">
        <v>810</v>
      </c>
      <c r="AI231" t="s">
        <v>561</v>
      </c>
      <c r="AK231" t="str">
        <f>Линии[[#This Row],[_авто модуль]]</f>
        <v/>
      </c>
      <c r="AM231">
        <v>15</v>
      </c>
      <c r="AN231" t="s">
        <v>11</v>
      </c>
      <c r="AO231">
        <v>3</v>
      </c>
      <c r="AR231">
        <v>14</v>
      </c>
      <c r="AS231">
        <v>0</v>
      </c>
      <c r="BA231" cm="1">
        <f t="array" ref="BA231">ROW()-ROW(Линии[#Headers])</f>
        <v>229</v>
      </c>
      <c r="BC231" s="6" t="str">
        <f t="shared" si="419"/>
        <v>R</v>
      </c>
      <c r="BD231" t="str">
        <f t="shared" si="420"/>
        <v>1.002Б.2</v>
      </c>
      <c r="BE231" t="str">
        <f t="shared" si="421"/>
        <v>1</v>
      </c>
      <c r="BF231" t="str">
        <f t="shared" si="422"/>
        <v>002Б.2</v>
      </c>
      <c r="BG231" t="str">
        <f t="shared" si="423"/>
        <v>002Б</v>
      </c>
      <c r="BH231" t="str">
        <f>IF(X231&lt;&gt;"",X231,IF(AND(B231&lt;&gt;"",B231&lt;&gt;A231,ISNUMBER(_xlfn.XMATCH(B231,Щиты[Щит]))),B231,""))</f>
        <v/>
      </c>
      <c r="BI231" t="str" cm="1">
        <f t="array" ref="BI231">IF(B231="","",IF(BH231&lt;&gt;"","Щит "&amp;BH231,_xlfn.LET(_xlpm.nm,IFERROR(_xlfn.XLOOKUP(BC231,Коды_код,Коды_имя)&amp;"",""),_xlpm.md,IFERROR(N(_xlfn.XLOOKUP(BC231,Коды_код,Коды_режим)),1),_xlpm.ex,IF(Имя_режим="по экспликации",IFERROR(_xlfn.XLOOKUP(BE231&amp;"|"&amp;BG231,Экспликация[Этаж]&amp;"|"&amp;Экспликация[Помещение],Экспликация[Название])&amp;"",""),""),_xlpm.rm,IF(BG231="","",IF(_xlpm.ex&lt;&gt;"",". "&amp;_xlpm.ex&amp;IF(Имя_пом="нет"," ("&amp;BG231&amp;")"," (пом. "&amp;BG231&amp;")"),IF(Имя_пом="нет"," ",", пом. ")&amp;BG231)),IF(_xlpm.nm="","",IF(_xlpm.md=2,_xlpm.nm&amp;" шлейф "&amp;BE231,_xlpm.nm&amp;_xlpm.rm)))))</f>
        <v>Розеточная группа, пом. 002Б</v>
      </c>
      <c r="BJ231" t="str">
        <f t="shared" si="424"/>
        <v>Розеточная группа, пом. 002Б</v>
      </c>
      <c r="BK231">
        <f>IFERROR(_xlfn.XMATCH(A231,Щиты[Щит]),0)</f>
        <v>10</v>
      </c>
      <c r="BL231">
        <f>_xlfn.LET(_xlpm.k,IFERROR(_xlfn.XLOOKUP(A231,Щиты[Щит],Щиты[Мест под вводной узел]),""),IF(_xlpm.k="",Столбцов_на_лист,N(_xlpm.k)))</f>
        <v>8</v>
      </c>
      <c r="BM231">
        <f t="shared" si="425"/>
        <v>15</v>
      </c>
      <c r="BN231" t="str">
        <f t="shared" si="426"/>
        <v>линии</v>
      </c>
      <c r="BO231" s="6">
        <f>IFERROR(N(_xlfn.XLOOKUP(BC231,Коды_код,Коды_квт)),0)</f>
        <v>0</v>
      </c>
      <c r="BP231">
        <f t="shared" si="427"/>
        <v>0</v>
      </c>
      <c r="BQ231" t="str">
        <f>IF(B231="","",IF(BH231&lt;&gt;"",IFERROR(_xlfn.XLOOKUP(BH231,Щиты[Щит],Щиты[Руст, кВт]),0),IF(BP231=1,IF(OR(N(_xlfn.XLOOKUP(A231,Щиты[Щит],Щиты[Вводов],1))&lt;=1,LOWER(TRIM(_xlfn.XLOOKUP(A231,Щиты[Щит],Щиты[АВР],"")&amp;""))="да"),IFERROR(_xlfn.XLOOKUP(A231,Щиты[Щит],Щиты[Руст, кВт]),0),SUMIFS(Линии[_Р для вводов],Линии[Щит],A231,Линии[Источник для режимов],GF231)),IF(BO231&gt;0,ROUND(BO231*MAX(1,N(D231)),3),""))))</f>
        <v/>
      </c>
      <c r="BR231">
        <f t="shared" si="428"/>
        <v>0.18</v>
      </c>
      <c r="BS231" s="6">
        <f>IF(B231="","",IF(BH231&lt;&gt;"",IFERROR(_xlfn.XLOOKUP(BH231,Щиты[Щит],Щиты[Руст, кВт]),0),N(BR231)))</f>
        <v>0.18</v>
      </c>
      <c r="BT231" t="str">
        <f>IF(B231="","",IFERROR(IF(VLOOKUP(BC231,Потребители_обозначение,8,FALSE)=0,"",VLOOKUP(BC231,Потребители_обозначение,8,FALSE)),""))</f>
        <v/>
      </c>
      <c r="BU231">
        <f t="shared" si="429"/>
        <v>230</v>
      </c>
      <c r="BV231">
        <f t="shared" si="430"/>
        <v>0</v>
      </c>
      <c r="BW231">
        <f>IF(B231="","",IF(BH231&lt;&gt;"",3,IFERROR(IF(N(VLOOKUP(BC231,Потребители_обозначение,9,FALSE))=0,1,VLOOKUP(BC231,Потребители_обозначение,9,FALSE)),1)))</f>
        <v>1</v>
      </c>
      <c r="BX231">
        <f t="shared" si="431"/>
        <v>1</v>
      </c>
      <c r="BY231" t="str">
        <f>IF(B231="","",_xlfn.LET(_xlpm.bc,IFERROR(IF(VLOOKUP(BC231,Потребители_обозначение,6,FALSE)=0,"",VLOOKUP(BC231,Потребители_обозначение,6,FALSE)&amp;""),""),IF(AND(GA231="да",OR(_xlpm.bc="",_xlpm.bc="мс")),Марка_пож,IF(AND(_xlpm.bc="",BH231&lt;&gt;""),"мс",_xlpm.bc))))</f>
        <v/>
      </c>
      <c r="BZ231" t="str">
        <f t="shared" si="432"/>
        <v>мс</v>
      </c>
      <c r="CA231">
        <f>IF(B231="","",_xlfn.LET(_xlpm.cc,IFERROR(N(VLOOKUP(BC231,Потребители_обозначение,7,FALSE)),0),IF(_xlpm.cc&gt;0,_xlpm.cc,IF(BZ231="","",IF(BV231=1,2,IF(N(BX231)=3,5,3))))))</f>
        <v>3</v>
      </c>
      <c r="CB231">
        <f t="shared" si="433"/>
        <v>3</v>
      </c>
      <c r="CC231">
        <f>IFERROR(N(VLOOKUP(BC231,Потребители_обозначение,10,FALSE)),0)</f>
        <v>0</v>
      </c>
      <c r="CD231">
        <f>IFERROR(VLOOKUP(BC231,Потребители_обозначение,5,FALSE),0)</f>
        <v>1</v>
      </c>
      <c r="CE231" s="6" cm="1">
        <f t="array" ref="CE231">IF(B231="","",IF(BH231&lt;&gt;"",IFERROR(_xlfn.XLOOKUP(BH231,Щиты[Щит],Щиты[cos φ]),0.95),IF(BP231=1,IFERROR(_xlfn.XLOOKUP(A231,Щиты[Щит],Щиты[cos φ]),0.95),IF(ISNUMBER(AD231),AD231,IFERROR(IF(CD231=2,_xlfn.IFS(BX231=3,VLOOKUP(BS231,Справочная_двигатели,8,FALSE),BX231=1,VLOOKUP(BS231,Справочная_двигатели,10,TRUE)),IF(AND(Методика="нормы 2026",FG231="Сил"),0.8,0.95)),0.95)))))</f>
        <v>0.95</v>
      </c>
      <c r="CF231">
        <f t="shared" si="434"/>
        <v>0</v>
      </c>
      <c r="CG231">
        <f t="shared" si="435"/>
        <v>1</v>
      </c>
      <c r="CH231">
        <f t="shared" si="436"/>
        <v>0</v>
      </c>
      <c r="CI231">
        <f>IF(B231="","",IF(BV231=1,IFERROR(BS231/((Uн_лин/SQRT(3))*MAX(0.5,N(CE231))),0),N(O231)))</f>
        <v>0.8204451193747313</v>
      </c>
      <c r="CJ231">
        <f t="shared" si="437"/>
        <v>0</v>
      </c>
      <c r="CK231">
        <f t="shared" si="438"/>
        <v>0</v>
      </c>
      <c r="CL231">
        <f t="shared" si="439"/>
        <v>0</v>
      </c>
      <c r="CM231">
        <f t="shared" si="440"/>
        <v>0</v>
      </c>
      <c r="CN231">
        <f t="shared" si="441"/>
        <v>0</v>
      </c>
      <c r="CO231">
        <f>IF(BC231="",0,_xlfn.LET(_xlpm.v,IFERROR(_xlfn.XLOOKUP(B231,Коды_код,Коды_мА),IFERROR(_xlfn.XLOOKUP(BC231,Коды_код,Коды_мА),IFERROR(_xlfn.XLOOKUP(LEFT(BC231,2),Коды_код,Коды_мА),""))),IF(_xlpm.v="да",30,IF(ISNUMBER(_xlpm.v),_xlpm.v,0))))</f>
        <v>30</v>
      </c>
      <c r="CP231">
        <f t="shared" si="442"/>
        <v>30</v>
      </c>
      <c r="CQ231" t="str">
        <f>_xlfn.LET(_xlpm.k,IFERROR(_xlfn.XLOOKUP(BC231,Коды_код,Коды_утечка)&amp;"",""),IF(_xlpm.k="","дифавтомат",_xlpm.k))</f>
        <v>дифавтомат</v>
      </c>
      <c r="CR231" t="str" cm="1">
        <f t="array" ref="CR231">IF(CG231=0,"",_xlfn.LET(_xlpm.sg,TRIM(_xlfn.TEXTSPLIT(DD231&amp;"",";")),_xlpm.f_,_xlfn._xlws.FILTER(_xlpm.sg,LEFT(_xlpm.sg,3)="УЗО",""),IFERROR(INDEX(_xlpm.f_,1)&amp;"","")))</f>
        <v/>
      </c>
      <c r="CS231" t="str">
        <f t="shared" si="443"/>
        <v/>
      </c>
      <c r="CT231" s="6" t="str" cm="1">
        <f t="array" ref="CT231">IF(CR231="","",_xlfn.LET(_xlpm.tk,_xlfn.TEXTSPLIT(UPPER(CR231)," ",,TRUE),_xlpm.a_,_xlfn._xlws.FILTER(_xlpm.tk,ISNUMBER(--LEFT(_xlpm.tk,1))*((ISNUMBER(SEARCH("А",_xlpm.tk))+ISNUMBER(SEARCH("A",_xlpm.tk)))&gt;0)*NOT(ISNUMBER(SEARCH("МА",_xlpm.tk)))*NOT(ISNUMBER(SEARCH("MA",_xlpm.tk))),""),IFERROR(--SUBSTITUTE(SUBSTITUTE(INDEX(_xlpm.a_,1),"А",""),"A",""),"")))</f>
        <v/>
      </c>
      <c r="CU231" t="str" cm="1">
        <f t="array" ref="CU231">IF(CR231="","",_xlfn.LET(_xlpm.tk,_xlfn.TEXTSPLIT(UPPER(CR231)," ",,TRUE),_xlpm.a_,_xlfn._xlws.FILTER(_xlpm.tk,ISNUMBER(--LEFT(_xlpm.tk,1))*((ISNUMBER(SEARCH("МА",_xlpm.tk))+ISNUMBER(SEARCH("MA",_xlpm.tk)))&gt;0),""),IFERROR(--SUBSTITUTE(SUBSTITUTE(INDEX(_xlpm.a_,1),"МА",""),"MA",""),30)))</f>
        <v/>
      </c>
      <c r="CV231" t="str">
        <f>IF(CS231="","",IFERROR(_xlfn.XLOOKUP(CS231,Линии[_n],Линии[_УЗО, мА]),30))</f>
        <v/>
      </c>
      <c r="CW231">
        <f>IF(CS231="",0,IF(ISNUMBER(SEARCH("4P",IFERROR(_xlfn.XLOOKUP(CS231,Линии[_n],Линии[_УЗО строки])&amp;"",""))),0,1))</f>
        <v>0</v>
      </c>
      <c r="CX231" t="str">
        <f>IF(AND(CS231&lt;&gt;"",CS231=BA231),SUMIFS(Линии[_ток на 230 В],Линии[_блок УЗО],BA231,Линии[Щит],A231),"")</f>
        <v/>
      </c>
      <c r="CY231" t="str">
        <f>IF(AND(CS231&lt;&gt;"",CS231=BA231),SUMIFS(Линии[_ток утечки линии, мА],Линии[_блок УЗО],BA231,Линии[Щит],A231),"")</f>
        <v/>
      </c>
      <c r="CZ231">
        <f t="shared" si="444"/>
        <v>30</v>
      </c>
      <c r="DA231">
        <f t="shared" si="445"/>
        <v>30</v>
      </c>
      <c r="DB231">
        <f>IF(B231="",0,IFERROR(--_xlfn.XLOOKUP(B231,Коды_код,Коды_минавт),IFERROR(--_xlfn.XLOOKUP(BC231,Коды_код,Коды_минавт),IFERROR(--_xlfn.XLOOKUP(LEFT(BC231,2),Коды_код,Коды_минавт),0))))</f>
        <v>16</v>
      </c>
      <c r="DC231" t="str">
        <f>IF(B231="","",IFERROR(_xlfn.XLOOKUP(BC231,Коды_код,Коды_апп)&amp;"",""))</f>
        <v/>
      </c>
      <c r="DD231" t="str">
        <f t="shared" si="446"/>
        <v/>
      </c>
      <c r="DE231" t="str" cm="1">
        <f t="array" ref="DE231">IF(TRIM(DD231&amp;"")="","",IFERROR(TRIM(INDEX(_xlfn.TEXTSPLIT(DD231&amp;";;;",";"),1)),""))</f>
        <v/>
      </c>
      <c r="DF231" t="str" cm="1">
        <f t="array" ref="DF231">IF(TRIM(DD231&amp;"")="","",IFERROR(TRIM(INDEX(_xlfn.TEXTSPLIT(DD231&amp;";;;",";"),2)),""))</f>
        <v/>
      </c>
      <c r="DG231" t="str" cm="1">
        <f t="array" ref="DG231">IF(TRIM(DD231&amp;"")="","",IFERROR(TRIM(INDEX(_xlfn.TEXTSPLIT(DD231&amp;";;;",";"),3)),""))</f>
        <v/>
      </c>
      <c r="DH231">
        <f t="shared" si="447"/>
        <v>0</v>
      </c>
      <c r="DI231" t="str">
        <f>IF(B231="","",_xlfn.LET(_xlpm.t,LOWER(AZ231&amp;""),IF(ISNUMBER(SEARCH("dim",_xlpm.t)),"DIM",IF(ISNUMBER(SEARCH("dali",_xlpm.t)),"DALI",IF(OR(ISNUMBER(SEARCH("relay",_xlpm.t)),ISNUMBER(SEARCH("реле",_xlpm.t))),"Relay",IF(ISNUMBER(SEARCH("кнопк",_xlpm.t)),"",IFERROR(_xlfn.XLOOKUP(BC231,Коды_код,Коды_упр)&amp;"","")))))))</f>
        <v/>
      </c>
      <c r="DJ231" t="str">
        <f t="shared" si="448"/>
        <v/>
      </c>
      <c r="DK231">
        <f>IF(B231="","",_xlfn.LET(_xlpm.ig,IF(N(CX231)&gt;0,N(CX231),N(CI231)+IF(AJ231="вручную",0,N(CJ231))),_xlpm.n0,IFERROR(VLOOKUP(_xlpm.ig,Автомат_номиналы,2,TRUE),0),_xlpm.mn,MAX(DB231,IF(AJ231="вручную",0,N(CM231))),MAX(_xlpm.n0,_xlpm.mn,IF(DH231=1,Мин_автомат_БП,0))))</f>
        <v>16</v>
      </c>
      <c r="DL231">
        <f t="shared" si="449"/>
        <v>1</v>
      </c>
      <c r="DM231" t="str">
        <f t="shared" si="450"/>
        <v>2P</v>
      </c>
      <c r="DN231" t="str">
        <f>_xlfn.LET(_xlpm.cc,UPPER(TRIM(IFERROR(_xlfn.XLOOKUP(BC231,Коды_код,Коды_хар)&amp;"",""))),IF(OR(_xlpm.cc="B",_xlpm.cc="В"),"B",IF(_xlpm.cc="D","D","С")))</f>
        <v>С</v>
      </c>
      <c r="DO231" t="str">
        <f t="shared" si="451"/>
        <v>2P С16А 30мА</v>
      </c>
      <c r="DP231" t="str">
        <f t="shared" si="452"/>
        <v>2P С16А 30мА</v>
      </c>
      <c r="DQ231" t="str">
        <f t="shared" si="453"/>
        <v>2P С16А 30мА</v>
      </c>
      <c r="DR231" cm="1">
        <f t="array" ref="DR231">IF(DQ231="","",_xlfn.LET(_xlpm.t,SUBSTITUTE(SUBSTITUTE(SUBSTITUTE(UPPER(DQ231),"С","C"),"А","A"),"В","B"),_xlpm.tk,_xlfn.TEXTSPLIT(_xlpm.t," "),_xlpm.f,_xlfn._xlws.FILTER(_xlpm.tk,ISNUMBER(--MID(_xlpm.tk,2,1))*ISNUMBER(SEARCH(LEFT(_xlpm.tk,1)&amp;"#","B#C#D#"))*(LEN(_xlpm.tk)&gt;1),""),_xlpm.x,INDEX(_xlpm.f,1),IFERROR(--SUBSTITUTE(MID(_xlpm.x,2,9),"A",""),IFERROR(--SUBSTITUTE(INDEX(_xlfn._xlws.FILTER(_xlpm.tk,ISNUMBER(--SUBSTITUTE(_xlpm.tk,"A","")),""),1),"A",""),""))))</f>
        <v>16</v>
      </c>
      <c r="DS231" t="str">
        <f t="shared" si="454"/>
        <v>ok</v>
      </c>
      <c r="DT231">
        <f t="shared" si="455"/>
        <v>16</v>
      </c>
      <c r="DU231" t="str">
        <f t="shared" si="456"/>
        <v>2P С16А 30мА</v>
      </c>
      <c r="DV231">
        <f t="shared" si="457"/>
        <v>30</v>
      </c>
      <c r="DW231">
        <f t="shared" si="458"/>
        <v>1</v>
      </c>
      <c r="DX231">
        <f t="shared" si="459"/>
        <v>0</v>
      </c>
      <c r="DY231">
        <f t="shared" si="460"/>
        <v>0.8204451193747313</v>
      </c>
      <c r="DZ231">
        <f t="shared" si="461"/>
        <v>1</v>
      </c>
      <c r="EA231">
        <f>IF(ISNUMBER(AP231),AP231,К_прокл)</f>
        <v>1</v>
      </c>
      <c r="EB231">
        <f t="shared" si="462"/>
        <v>2</v>
      </c>
      <c r="EC231">
        <f>IFERROR(N(VLOOKUP(BZ231,Кабель_обозначение,3,FALSE)),1)</f>
        <v>1</v>
      </c>
      <c r="ED231">
        <f>IFERROR(N(_xlfn.XLOOKUP(A231,Щиты[Щит],Щиты[ΔU до шин, %])),0)</f>
        <v>1.19</v>
      </c>
      <c r="EE231" t="str">
        <f>IFERROR(_xlfn.XLOOKUP(A231,Щиты[Щит],Щиты[Zпетли на шинах, Ом]),"")</f>
        <v/>
      </c>
      <c r="EF231">
        <f>IFERROR(N(_xlfn.XLOOKUP(A231,Щиты[Щит],Щиты[ΔU до шин (подбор), %])),0)</f>
        <v>1.19</v>
      </c>
      <c r="EG231" t="str">
        <f>IFERROR(_xlfn.XLOOKUP(A231,Щиты[Щит],Щиты[Zпетли на шинах (подбор), Ом]),"")</f>
        <v/>
      </c>
      <c r="EH231" t="str">
        <f t="shared" si="463"/>
        <v/>
      </c>
      <c r="EI231">
        <f t="shared" si="464"/>
        <v>14</v>
      </c>
      <c r="EJ231">
        <f t="shared" si="465"/>
        <v>2</v>
      </c>
      <c r="EK231">
        <f t="shared" si="466"/>
        <v>0.31</v>
      </c>
      <c r="EL231" s="6">
        <f>IF(B231="","",IF(BV231=1,dU_LED,IF(IFERROR(_xlfn.XLOOKUP(BC231,Коды_код,Коды_уго),"")="Светильник",3,4)+IF(Методика="нормы 2026",MIN(0.5,MAX(0,N(P231)-100)*0.005),0)))</f>
        <v>4</v>
      </c>
      <c r="EM231" cm="1">
        <f t="array" ref="EM231">IF(OR(B231="",BZ231="",EC231&lt;&gt;1),"",_xlfn.LET(_xlpm.sz,Iдоп_S,_xlpm.t_,CHOOSE(EB231,Iдоп_1ж,Iдоп_2ж,Iдоп_3ж)*DZ231*EA231,_xlpm.dcx,BV231=1,_xlpm.inn,IF(_xlpm.dcx,N(O231),N(DT231)),_xlpm.smin,MAX(1.5,CC231),_xlpm.L_,N(P231)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231)/N(BU231)*100,999),IFERROR(N(EJ231)*(_xlpm.rho*_xlpm.L_/_xlpm.sz*N(CE231)+_xlpm.xx*_xlpm.L_*N(EK231)/1000)*N(O231)/((Uн_лин/SQRT(3))*1000)*100,999)),_xlpm.kz,IF(OR(_xlpm.dcx,DW231=1,NOT(ISNUMBER(EG231)),_xlpm.L_=0,_xlpm.inn=0),1,IFERROR(--(c_min*(Uн_лин*1000/SQRT(3))/(EG231+2*ρкз_Cu*_xlpm.L_/_xlpm.sz)&gt;=HT231*_xlpm.inn),0)),_xlpm.ok,IFERROR((_xlpm.sz&gt;=_xlpm.smin)*(_xlpm.t_&gt;=_xlpm.inn)*IF(_xlpm.L_&gt;0,(_xlpm.du_+IF(_xlpm.dcx,0,EF231)&lt;=EL231+0.00001),1)*_xlpm.kz,0),_xlpm.r_,_xlfn._xlws.FILTER(_xlpm.sz,_xlpm.ok,"не подобрано"),INDEX(_xlpm.r_,1)))</f>
        <v>1.5</v>
      </c>
      <c r="EN231">
        <f t="shared" si="467"/>
        <v>2.5</v>
      </c>
      <c r="EO231" cm="1">
        <f t="array" ref="EO231">IF(OR(B231="",BZ231="",EC231&lt;&gt;1),"",_xlfn.LET(_xlpm.sz,Iдоп_S,_xlpm.t_,CHOOSE(EB231,Iдоп_1ж,Iдоп_2ж,Iдоп_3ж)*DZ231*EA231,_xlpm.ok,IFERROR((_xlpm.sz&gt;=MAX(1.5,CC231))*(_xlpm.t_&gt;=N(DT231)),0),_xlpm.r_,_xlfn._xlws.FILTER(_xlpm.sz,_xlpm.ok,""),INDEX(_xlpm.r_,1)))</f>
        <v>1.5</v>
      </c>
      <c r="EP231" s="6" cm="1">
        <f t="array" ref="EP231">IFERROR(ROUNDUP(N(EJ231)*(_xlfn.XLOOKUP(EO231,INDEX(Кабель_сопротивление,0,1),INDEX(Кабель_сопротивление,0,3))*N(P231)/EO231*N(CE231)+_xlfn.XLOOKUP(EO231,INDEX(Кабель_сопротивление,0,1),INDEX(Кабель_сопротивление,0,2))*N(P231)*N(EK231)/1000)*N(O231)/((Uн_лин/SQRT(3))*1000)*100,2),"")</f>
        <v>0.3</v>
      </c>
      <c r="EQ231">
        <f>IFERROR(2*ρкз_Cu*N(P231)/EO231,"")</f>
        <v>1.0169333333333335</v>
      </c>
      <c r="ER231">
        <f>IFERROR(VLOOKUP(EN231,Кабель_сопротивление,3,FALSE),"")</f>
        <v>2.2499999999999999E-2</v>
      </c>
      <c r="ES231">
        <f>IFERROR(VLOOKUP(EN231,Кабель_сопротивление,2,FALSE),"")</f>
        <v>0.1</v>
      </c>
      <c r="ET231">
        <f t="shared" si="468"/>
        <v>14</v>
      </c>
      <c r="EU231">
        <f t="shared" si="469"/>
        <v>0</v>
      </c>
      <c r="EV231">
        <f t="shared" si="470"/>
        <v>0.40833389502256506</v>
      </c>
      <c r="EW231" s="6">
        <f>IFERROR(ROUNDUP(EV231/IF(BV231=1,BU231,(Uн_лин/SQRT(3))*1000)*100,2),"")</f>
        <v>0.18000000000000002</v>
      </c>
      <c r="EX231" t="str">
        <f>IFERROR(VLOOKUP(BZ231,Кабель_обозначение,2,FALSE),"")</f>
        <v>ВВГнг(А)-LS</v>
      </c>
      <c r="EY231" t="str">
        <f t="shared" si="471"/>
        <v>ВВГнг(А)-LS (3х2,5)</v>
      </c>
      <c r="EZ231" t="str">
        <f t="shared" si="472"/>
        <v>ВВГнг(А)-LS (3х2,5)
L=29-0,18%</v>
      </c>
      <c r="FA231">
        <f>IFERROR(2*ρкз_Cu*P231/EN231,"")</f>
        <v>0.61016000000000004</v>
      </c>
      <c r="FB231">
        <f t="shared" si="473"/>
        <v>0.20300000000000001</v>
      </c>
      <c r="FC231" s="6" t="str">
        <f>IFERROR(IF(OR(B231="",BV231=1,NOT(ISNUMBER(EN231)),N(P231)=0),"",_xlfn.XLOOKUP(A231,Щиты[Щит],Щиты[Zпетли на шинах, Ом])+FA231),"")</f>
        <v/>
      </c>
      <c r="FD231" s="6" t="str">
        <f>IF(ISNUMBER(FC231),c_min*(Uн_лин*1000/SQRT(3))/FC231,"")</f>
        <v/>
      </c>
      <c r="FE231" s="6" t="str">
        <f>IFERROR(IF(OR(B231="",NOT(ISNUMBER(EN231))),"",1.05*(Uн_лин*1000/SQRT(3))/(_xlfn.XLOOKUP(A231,Щиты[Щит],Щиты[Zmax на шинах, Ом])+FB231)/1000),"")</f>
        <v/>
      </c>
      <c r="FF231" s="6" t="str">
        <f>IF(B231="","",IF(ISNUMBER(AC231),"Сил",IF(IFERROR(_xlfn.XLOOKUP(BC231,Коды_код,Коды_группа)&amp;"","")="","Быт",_xlfn.XLOOKUP(BC231,Коды_код,Коды_группа)&amp;"")))</f>
        <v>Быт</v>
      </c>
      <c r="FG231" s="6" t="str">
        <f t="shared" si="474"/>
        <v>Быт</v>
      </c>
      <c r="FH231" s="6">
        <f>IF(FG231="Щит","щит",IF(FG231="","",IF(FG231="Быт",IFERROR(_xlfn.XLOOKUP(A231,Щиты[Щит],Щиты[Кс быт]),1),IF(FG231="Сил",IF(ISNUMBER(AC231),AC231,IF(Методика="нормы 2026",IFERROR(_xlfn.XLOOKUP(A231,Щиты[Щит],Щиты[Кс силовых (табл. 7.5)]),1),1)),IF(OR(FG231="Пост",FG231="Отоп"),1,IF(FG231="ВНГ",0.7,0))))))</f>
        <v>0.57830000000000004</v>
      </c>
      <c r="FI231">
        <f>IF(FG231="","",IF(AND(BP231=1,TRIM(AE231&amp;"")=""),IF(COUNTIFS(Линии[Щит],A231,Линии[Секция (1/2/3)],"&gt;=2")&gt;0,MIN(3,MAX(1,IFERROR(--BD231,1))),1),IFERROR(MIN(3,MAX(1,INT(--AE231))),1)))</f>
        <v>1</v>
      </c>
      <c r="FJ231">
        <f t="shared" si="475"/>
        <v>0.18</v>
      </c>
      <c r="FK231">
        <f t="shared" si="476"/>
        <v>0.18</v>
      </c>
      <c r="FL231">
        <f t="shared" si="477"/>
        <v>0</v>
      </c>
      <c r="FM231">
        <f t="shared" si="478"/>
        <v>0</v>
      </c>
      <c r="FN231">
        <f t="shared" si="479"/>
        <v>0</v>
      </c>
      <c r="FO231">
        <f t="shared" si="480"/>
        <v>0</v>
      </c>
      <c r="FP231">
        <f t="shared" si="481"/>
        <v>0.18</v>
      </c>
      <c r="FQ231">
        <f t="shared" si="482"/>
        <v>0.18</v>
      </c>
      <c r="FR231">
        <f t="shared" si="483"/>
        <v>0.17099999999999999</v>
      </c>
      <c r="FS231">
        <f>IF(CG231=1,IF(AND(CH231=1,CW231=1),0,IF(AND(CS231&lt;&gt;"",CS231=BA231,CW231=1),SUMIFS(Линии[_Р линии, кВт],Линии[_блок УЗО],BA231,Линии[Щит],A231),N(BS231)+IF(AJ231="вручную",0,N(CK231)))),0)</f>
        <v>0.18</v>
      </c>
      <c r="FT231" t="str">
        <f t="shared" si="484"/>
        <v/>
      </c>
      <c r="FU231" t="str">
        <f>IF(B231="","",IF(CG231=0,IF(BA231=1,"",FW230),IF(AND(CH231=1,CW231=1,CS231&lt;&gt;""),IFERROR(_xlfn.XLOOKUP(CS231,Линии[_n],Линии[_фаза итог]),"L1"),IF(OR(N(DL231)&gt;=3,N(BX231)&gt;=3),"L1,L2,L3",IFERROR(_xlfn.TEXTBEFORE(_xlfn.TEXTAFTER(_xlfn.XLOOKUP(A231,Щиты[Щит],Щиты[_фазы авто]),";"&amp;BA231&amp;":"),";"),"L1")))))</f>
        <v>L3</v>
      </c>
      <c r="FV231" t="str">
        <f t="shared" si="485"/>
        <v>L3</v>
      </c>
      <c r="FW231" t="str">
        <f t="shared" si="486"/>
        <v>L3</v>
      </c>
      <c r="FX231" cm="1">
        <f t="array" ref="FX231">IFERROR(IF(CD231=2,_xlfn.IFS(BX231=3,VLOOKUP(BS231,Справочная_двигатели,3,FALSE),BX231=1,VLOOKUP(BS231,Справочная_двигатели,5,TRUE)),0),0)</f>
        <v>0</v>
      </c>
      <c r="FY231">
        <f>IFERROR(IF(CD231=3,VLOOKUP(BS231,Справочная_ЛЭД,2,TRUE),0),0)</f>
        <v>0</v>
      </c>
      <c r="FZ231" s="6">
        <f t="shared" si="487"/>
        <v>0</v>
      </c>
      <c r="GA231" t="str">
        <f>IF(B231="","",IF(TRIM(AH231&amp;"")&lt;&gt;"",IF(LOWER(TRIM(AH231&amp;""))="да","да","нет"),IF(IFERROR(_xlfn.XLOOKUP(BC231,Коды_код,Коды_пожарная),"")="да","да","нет")))</f>
        <v>нет</v>
      </c>
      <c r="GB231" t="str">
        <f t="shared" si="488"/>
        <v/>
      </c>
      <c r="GC231" t="str">
        <f t="shared" si="489"/>
        <v>основная</v>
      </c>
      <c r="GD231">
        <f>IF(AND(BP231=1,TRIM(AE231&amp;"")=""),IF(COUNTIFS(Линии[Щит],A231,Линии[Секция (1/2/3)],"&gt;=2")&gt;0,MIN(3,MAX(1,IFERROR(--BD231,1))),1),IFERROR(MIN(3,MAX(1,INT(--AE231))),1))</f>
        <v>1</v>
      </c>
      <c r="GE231" t="str" cm="1">
        <f t="array" ref="GE231">IF(B231="","",_xlfn.LET(_xlpm.t,IFERROR(_xlfn.XLOOKUP(1,(Шины[Шина]=GC231)*(((Шины[Щит]=A231)+(Шины[Щит]=""))&gt;0),Шины[Тип]),"")&amp;"",IF(_xlpm.t&lt;&gt;"",_xlpm.t,IF(ISNUMBER(SEARCH("ИБП",GC231)),"ИБП",IF(ISNUMBER(SEARCH("ДГУ",GC231)),"ДГУ","Ввод "&amp;GD231)))))</f>
        <v>Ввод 1</v>
      </c>
      <c r="GF231" t="str">
        <f t="shared" si="490"/>
        <v>Ввод 1</v>
      </c>
      <c r="GG231" t="str">
        <f>IF(BP231=0,"",IF(TRIM(AG231&amp;"")&lt;&gt;"",TRIM(AG231&amp;""),IF(OR(GE231="ИБП",GE231="ДГУ"),"I особая",_xlfn.XLOOKUP(A231,Щиты[Щит],Щиты[Категория шины «Ввод»],"III"))))</f>
        <v/>
      </c>
      <c r="GH231" t="str">
        <f>IF(A231="","",_xlfn.XLOOKUP(A231,Щиты[Щит],Щиты[Путь],""))</f>
        <v>|ГРЩ-ЖД|ЩР-1|</v>
      </c>
      <c r="GI231" t="str">
        <f>IF(B231="","",IF(AI231&lt;&gt;"",AI231,IF(IFERROR(_xlfn.XLOOKUP(BC231,Коды_код,Коды_вид)&amp;"","")="","Прочее",_xlfn.XLOOKUP(BC231,Коды_код,Коды_вид)&amp;"")))</f>
        <v>Розеточная сеть и бытовые приборы</v>
      </c>
      <c r="GJ231">
        <f>IF(BM231="","",INT((BM231-1)/Столбцов_на_лист)+1)</f>
        <v>1</v>
      </c>
      <c r="GK231" t="str">
        <f t="shared" si="491"/>
        <v>ВВГнг(А)-LS (3х2,5) L=29-0,18%</v>
      </c>
      <c r="GL231">
        <f t="shared" si="492"/>
        <v>0.18</v>
      </c>
      <c r="GM231">
        <f t="shared" si="493"/>
        <v>0.83</v>
      </c>
      <c r="GN231">
        <f t="shared" si="494"/>
        <v>1</v>
      </c>
      <c r="GO231">
        <f t="shared" si="495"/>
        <v>0</v>
      </c>
      <c r="GP231">
        <f t="shared" si="496"/>
        <v>1</v>
      </c>
      <c r="GQ231">
        <f>IF(BM231="","",IF(AND(CG231=1,GP231=1),COUNTIFS(A$3:A231,A231,CG$3:CG231,1,GP$3:GP231,1),IF(OR(OR(BA231=1,A231&lt;&gt;A230),AJ231="вручную",GP231=0),"",IF(BA231=1,"",GR230))))</f>
        <v>7</v>
      </c>
      <c r="GR231">
        <f t="shared" si="497"/>
        <v>7</v>
      </c>
      <c r="GS231">
        <f>IF(B231="","",IFERROR(LOOKUP(INDEX(CHOOSE(EB231,Iдоп_1ж,Iдоп_2ж,Iдоп_3ж),MATCH(EN231,Iдоп_S,0))*DZ231*EA231,{6,10,16,20,25,32,40,50,63,80,100,125,160,200,250,315,400,500,630}),""))</f>
        <v>25</v>
      </c>
      <c r="GT231" t="str">
        <f t="shared" si="498"/>
        <v>QFD7</v>
      </c>
      <c r="GU231" t="str">
        <f t="shared" si="499"/>
        <v>QFD7</v>
      </c>
      <c r="GV231" t="str">
        <f t="shared" si="500"/>
        <v/>
      </c>
      <c r="GW231">
        <f t="shared" si="501"/>
        <v>0</v>
      </c>
      <c r="GX231" t="str">
        <f>IF(OR(B231="",DJ231=""),"",IFERROR(_xlfn.XLOOKUP(DJ231,Модули_умолч[Управление],Модули_умолч[Модель])&amp;"",""))</f>
        <v/>
      </c>
      <c r="GY231">
        <f>IF(DJ231="",1,IFERROR(MAX(0,N(_xlfn.XLOOKUP(DJ231,Модули_умолч[Управление],Модули_умолч[Каналов на линию]))),1))</f>
        <v>1</v>
      </c>
      <c r="GZ231" t="str">
        <f t="shared" si="502"/>
        <v/>
      </c>
      <c r="HA231" t="str">
        <f t="shared" si="503"/>
        <v/>
      </c>
      <c r="HB231" t="str">
        <f t="shared" si="504"/>
        <v/>
      </c>
      <c r="HC231">
        <f>IF(HB231="",0,IFERROR(N(VLOOKUP(HB231,Модули_спр,3,FALSE)),0))</f>
        <v>0</v>
      </c>
      <c r="HD231" t="str">
        <f t="shared" si="505"/>
        <v/>
      </c>
      <c r="HE231" t="str">
        <f t="shared" si="506"/>
        <v/>
      </c>
      <c r="HF231" t="str">
        <f>IF(OR(HE231="",HE231="-"),"",IFERROR(VLOOKUP(HE231,Модули_спр,2,FALSE),"R"))</f>
        <v/>
      </c>
      <c r="HG231" t="str">
        <f>IF(HF231="","",HF231&amp;"."&amp;COUNTIFS(A$3:A231,A231,HF$3:HF231,HF231))</f>
        <v/>
      </c>
      <c r="HH231" t="str">
        <f t="shared" si="507"/>
        <v/>
      </c>
      <c r="HI231" t="str">
        <f t="shared" si="508"/>
        <v/>
      </c>
      <c r="HJ231" t="str">
        <f t="shared" si="509"/>
        <v/>
      </c>
      <c r="HK231" t="str">
        <f t="shared" si="510"/>
        <v/>
      </c>
      <c r="HL231">
        <f t="shared" si="511"/>
        <v>1</v>
      </c>
      <c r="HM231" t="str">
        <f>IF(HL231=1,"XT"&amp;COUNTIFS(A$3:A231,A231,HL$3:HL231,1),"")</f>
        <v>XT7</v>
      </c>
      <c r="HN231" t="str">
        <f t="shared" si="512"/>
        <v>XT7</v>
      </c>
      <c r="HO231" t="str">
        <f t="shared" si="513"/>
        <v>QFD7</v>
      </c>
      <c r="HP231" t="str">
        <f t="shared" si="514"/>
        <v/>
      </c>
      <c r="HQ231" t="str">
        <f t="shared" si="515"/>
        <v>ok</v>
      </c>
      <c r="HR231" t="str">
        <f>IF(OR(HJ231="",HH231=""),"",IF(HJ231+MAX(0,GY231-1)&gt;IFERROR(VLOOKUP(HI231,Модули_спр,3,FALSE),99),"ЛИШНИЙ КАНАЛ",IF(AND(AL231&lt;&gt;"=",GY231&gt;0,COUNTIFS(Линии[_модуль гр.],HH231,Линии[Канал (итог)],HJ231,Линии[Канал],"&lt;&gt;=",Линии[Щит],A231)&gt;1),"ДУБЛЬ КАНАЛА","")))</f>
        <v/>
      </c>
      <c r="HS231" s="6" t="str">
        <f t="shared" si="516"/>
        <v/>
      </c>
      <c r="HT231">
        <f t="shared" si="517"/>
        <v>10</v>
      </c>
      <c r="HU231" t="str">
        <f t="shared" si="518"/>
        <v/>
      </c>
      <c r="HV231">
        <f t="shared" si="519"/>
        <v>0.6181780477498926</v>
      </c>
      <c r="HW231">
        <f t="shared" si="520"/>
        <v>0</v>
      </c>
      <c r="HX231">
        <f t="shared" si="521"/>
        <v>0</v>
      </c>
      <c r="HY231">
        <f t="shared" si="522"/>
        <v>0</v>
      </c>
      <c r="HZ231">
        <f t="shared" si="523"/>
        <v>0</v>
      </c>
      <c r="IA231">
        <f t="shared" si="524"/>
        <v>0</v>
      </c>
      <c r="IB231">
        <f t="shared" si="525"/>
        <v>0</v>
      </c>
      <c r="IC231" t="str">
        <f t="shared" si="526"/>
        <v/>
      </c>
      <c r="ID231" t="str" cm="1">
        <f t="array" ref="ID231">IF(IC231="","",_xlfn.LET(_xlpm.tk,_xlfn.TEXTSPLIT(SUBSTITUTE(SUBSTITUTE(IC231,";"," "),"→"," ")," ",,TRUE),_xlpm.w_,_xlfn._xlws.FILTER(_xlpm.tk,ISNUMBER(--LEFT(_xlpm.tk,1))*((ISNUMBER(SEARCH("W",_xlpm.tk))+ISNUMBER(SEARCH("Вт",_xlpm.tk)))&gt;0),""),IFERROR(--SUBSTITUTE(SUBSTITUTE(UPPER(INDEX(_xlpm.w_,1)),"W",""),"ВТ",""),"")))</f>
        <v/>
      </c>
      <c r="IE231" t="str" cm="1">
        <f t="array" ref="IE231">IF(IC231="","",_xlfn.LET(_xlpm.tk,_xlfn.TEXTSPLIT(SUBSTITUTE(SUBSTITUTE(IC231,";"," "),"→"," ")," ",,TRUE),_xlpm.v_,_xlfn._xlws.FILTER(_xlpm.tk,ISNUMBER(--LEFT(_xlpm.tk,1))*((ISNUMBER(SEARCH("V",_xlpm.tk))+(RIGHT(UPPER(_xlpm.tk))="В"))&gt;0),""),IFERROR(--SUBSTITUTE(SUBSTITUTE(UPPER(INDEX(_xlpm.v_,1)),"V",""),"В",""),"")))</f>
        <v/>
      </c>
      <c r="IF231" s="6" t="str">
        <f>IF(OR(BV231=0,HI231="",HJ231=""),"",IFERROR(N(_xlfn.XLOOKUP(HI231,Каталог!$C$4:$C$500,Каталог!$Q$4:$Q$500)),""))</f>
        <v/>
      </c>
      <c r="IG231" s="6" t="str">
        <f>IF(N(IF231)=0,"",SUMIFS(Линии[Iр, А],Линии[Щит],A231,Линии[_модуль гр.],HH231,Линии[Канал (итог)],HJ231))</f>
        <v/>
      </c>
      <c r="IH231" t="str">
        <f>IF(AND(B231="",HO231=""),"",_xlfn.TEXTJOIN("; ",TRUE,IF(AND(B231&lt;&gt;"",FV231=""),"нет фазы",""),IF(AND(B231&lt;&gt;"",N(GL231)=0,FG231&lt;&gt;"Нет"),"нет мощности",""),IF(AND(HN231&lt;&gt;"",COUNTIFS(Линии[Щит],A231,Линии[Клемма (итог)],HN231)&gt;1),"дубль клеммы "&amp;HN231,""),IF(AND(HQ231&lt;&gt;"",HQ231&lt;&gt;"ok"),HQ231,""),IF(HR231&lt;&gt;"",HR231,""),IF(AND(N(CB231)&gt;=4,N(BX231)=1),CB231&amp;" жил на 1 фазе",""),IF(AND(BC231="R",CG231=1,IF(CS231&lt;&gt;"",N(CV231)&gt;30,OR(N(DA231)=0,N(DA231)&gt;30))),"розетка без дифзащиты до 30 мА",""),IF(AND(CG231=1,N(DA231)&gt;0,ISNUMBER(T231)),IF(T231&gt;N(DA231)/3,"ток утечки "&amp;FIXED(T231,1)&amp;" мА &gt; 1/3 уставки ("&amp;DA231&amp;" мА)",""),""),IF(AND(CH231=1,CS231=""),"«узо»: нет строки с УЗО выше (УЗО 2P 40А 30мА в «Аппаратах»)",""),IF(AND(CS231&lt;&gt;"",CS231=BA231),IF(CT231="","впишите номинал УЗО (УЗО 2P 40А 30мА)",IF(N(CT231)&lt;N(DT231),"УЗО "&amp;CT231&amp;" А &lt; автомата "&amp;DT231&amp;" А перед ним",IF(N(CT231)&lt;N(CX231),"УЗО "&amp;CT231&amp;" А &lt; тока блока "&amp;FIXED(CX231,1)&amp;" А",""))),""),IF(AND(CS231&lt;&gt;"",CS231=BA231,ISNUMBER(CY231)),IF(CY231&gt;N(CV231)/3,"ток утечки блока УЗО "&amp;FIXED(CY231,1)&amp;" мА &gt; 1/3 уставки ("&amp;CV231&amp;" мА)",""),""),IF(AND(CG231=1,N(BV231)+N(IB231)&gt;0,IC231=""),"линии до 50 В без БП: впишите в «Аппараты» (БП 24V 480W)",""),IF(AND(CG231=1,ISNUMBER(ID231),ISNUMBER(U231)),IF(U231&gt;ID231,"БП "&amp;ID231&amp;" Вт &lt; нужно "&amp;U231&amp;" Вт (×"&amp;Запас_БП&amp;")",""),""),IF(AND(CG231=1,ISNUMBER(IE231),N(BV231)=1),IF(IE231&lt;&gt;N(BU231),"БП на "&amp;IE231&amp;" В, линия "&amp;BU231&amp;" В",""),""),IF(AND(N(IF231)&gt;0,N(IG231)&gt;N(IF231)),HH231&amp;" канал "&amp;HJ231&amp;": "&amp;FIXED(IG231,1)&amp;" А &gt; "&amp;IF231&amp;" А",""),IFERROR(IF(AND(ISNUMBER(Q231),Q231&gt;EL231),"потери "&amp;FIXED(Q231,1)&amp;" % &gt; "&amp;EL231&amp;" %",""),""),IFERROR(IF(LEFT(HU231,4)="мало","Iкз мало — отключение &gt; 0,4 с",""),""),IF(AND(B231&lt;&gt;"",BM231=""),"не на схеме",""),IF(AND(CG231=0,B231&lt;&gt;"",FV231&lt;&gt;"",IF(BA231=1,"",FW230)&lt;&gt;"",FV231&lt;&gt;IF(BA231=1,"",FW230)),"фаза не как у автомата группы ("&amp;IF(BA231=1,"",FW230)&amp;")","")))</f>
        <v/>
      </c>
      <c r="II231" s="6">
        <f>IF(OR(CG231=0,DQ231=""),"",_xlfn.LET(_xlpm.t,IFERROR(_xlfn.XLOOKUP(DQ231,Каталог!$U$4:$U$500,Каталог!$G$4:$G$500),""),_xlpm.k,SEARCH("кА",_xlpm.t),IFERROR(--TRIM(RIGHT(SUBSTITUTE(MID(_xlpm.t,MAX(1,_xlpm.k-4),_xlpm.k-MAX(1,_xlpm.k-4))," ",REPT(" ",9)),5)),"")))</f>
        <v>6</v>
      </c>
      <c r="IJ231" t="str">
        <f>IF(OR(II231="",CG231=0),"",IF(_xlfn.XLOOKUP(A231,Щиты[Щит],Щиты[Iкз max на шинах, кА],"")="","",IF(II231&lt;_xlfn.XLOOKUP(A231,Щиты[Щит],Щиты[Iкз max на шинах, кА]),"Icu "&amp;II231&amp;" кА &lt; Iкз max","ok")))</f>
        <v/>
      </c>
      <c r="IK231" t="str">
        <f t="shared" si="527"/>
        <v/>
      </c>
      <c r="IL231" t="str">
        <f t="shared" si="528"/>
        <v>QFD7|XT7</v>
      </c>
      <c r="IM231" t="str">
        <f t="shared" si="529"/>
        <v>QFD7|XT7|кабель ВВГнг(А)-LS (3х2,5) → Розеточная группа, пом. 002Б</v>
      </c>
      <c r="IN231" t="str" cm="1">
        <f t="array" ref="IN231">IF(IM231="","",_xlfn.LET(_xlpm.nd,_xlfn.TEXTSPLIT(IM231,"|"),IF(COLUMNS(_xlpm.nd)&gt;1,A231&amp;"¦"&amp;INDEX(_xlpm.nd,1)&amp;"¦"&amp;INDEX(_xlpm.nd,2),"")))</f>
        <v>ЩР-1¦QFD7¦XT7</v>
      </c>
      <c r="IO231" t="str">
        <f t="shared" si="530"/>
        <v>R.1.002Б.2¦Розеточная группа, пом. 002Б</v>
      </c>
      <c r="IP231" t="str" cm="1">
        <f t="array" ref="IP231">IF(IM231="","",_xlfn.LET(_xlpm.nd,_xlfn.TEXTSPLIT(IM231,"|"),IF(COLUMNS(_xlpm.nd)&gt;2,A231&amp;"¦"&amp;INDEX(_xlpm.nd,2)&amp;"¦"&amp;INDEX(_xlpm.nd,3),"")))</f>
        <v>ЩР-1¦XT7¦кабель ВВГнг(А)-LS (3х2,5) → Розеточная группа, пом. 002Б</v>
      </c>
      <c r="IQ231" t="str">
        <f t="shared" si="531"/>
        <v>R.1.002Б.2¦Розеточная группа, пом. 002Б</v>
      </c>
      <c r="IR231" t="str" cm="1">
        <f t="array" ref="IR231">IF(IM231="","",_xlfn.LET(_xlpm.nd,_xlfn.TEXTSPLIT(IM231,"|"),IF(COLUMNS(_xlpm.nd)&gt;3,A231&amp;"¦"&amp;INDEX(_xlpm.nd,3)&amp;"¦"&amp;INDEX(_xlpm.nd,4),"")))</f>
        <v/>
      </c>
      <c r="IS231" t="str">
        <f t="shared" si="532"/>
        <v/>
      </c>
      <c r="IT231" t="str" cm="1">
        <f t="array" ref="IT231">IF(IM231="","",_xlfn.LET(_xlpm.nd,_xlfn.TEXTSPLIT(IM231,"|"),IF(COLUMNS(_xlpm.nd)&gt;4,A231&amp;"¦"&amp;INDEX(_xlpm.nd,4)&amp;"¦"&amp;INDEX(_xlpm.nd,5),"")))</f>
        <v/>
      </c>
      <c r="IU231" t="str">
        <f t="shared" si="533"/>
        <v/>
      </c>
      <c r="IV231" t="str" cm="1">
        <f t="array" ref="IV231">IF(IM231="","",_xlfn.LET(_xlpm.nd,_xlfn.TEXTSPLIT(IM231,"|"),IF(COLUMNS(_xlpm.nd)&gt;5,A231&amp;"¦"&amp;INDEX(_xlpm.nd,5)&amp;"¦"&amp;INDEX(_xlpm.nd,6),"")))</f>
        <v/>
      </c>
      <c r="IW231" t="str">
        <f t="shared" si="534"/>
        <v/>
      </c>
      <c r="IX231" t="str" cm="1">
        <f t="array" ref="IX231">IF(IM231="","",_xlfn.LET(_xlpm.nd,_xlfn.TEXTSPLIT(IM231,"|"),IF(COLUMNS(_xlpm.nd)&gt;6,A231&amp;"¦"&amp;INDEX(_xlpm.nd,6)&amp;"¦"&amp;INDEX(_xlpm.nd,7),"")))</f>
        <v/>
      </c>
      <c r="IY231" t="str">
        <f t="shared" si="535"/>
        <v/>
      </c>
      <c r="IZ231" t="str">
        <f t="shared" si="536"/>
        <v/>
      </c>
      <c r="JA231" t="str">
        <f t="shared" si="537"/>
        <v>QFD7 → XT7</v>
      </c>
      <c r="JB231">
        <f t="shared" si="538"/>
        <v>0</v>
      </c>
      <c r="JC231">
        <f t="shared" si="539"/>
        <v>1</v>
      </c>
      <c r="JD231" t="str">
        <f t="shared" si="540"/>
        <v/>
      </c>
      <c r="JE231" t="str">
        <f t="shared" si="541"/>
        <v/>
      </c>
      <c r="JF231" t="str">
        <f t="shared" si="542"/>
        <v/>
      </c>
      <c r="JG231" t="str">
        <f t="shared" si="543"/>
        <v/>
      </c>
      <c r="JH231" t="str">
        <f>IF(B231="","",IFERROR(_xlfn.XLOOKUP(B231,Коды_код,Коды_уго),IFERROR(_xlfn.XLOOKUP(BC231,Коды_код,Коды_уго),IFERROR(_xlfn.XLOOKUP(LEFT(BC231,2),Коды_код,Коды_уго),""))))</f>
        <v>Розетка</v>
      </c>
      <c r="JI231" t="str">
        <f>IF(B231="","",IF(OR(JH231="",JH231=0),"BOX",IFERROR(IF(VLOOKUP(JH231,УГО_блоки,3,FALSE)&amp;""&lt;&gt;"",VLOOKUP(JH231,УГО_блоки,3,FALSE),VLOOKUP(JH231,УГО_блоки,2,FALSE)),JH231)))</f>
        <v>SOCKET</v>
      </c>
      <c r="JJ231">
        <f t="shared" si="544"/>
        <v>1</v>
      </c>
      <c r="JK231" t="str">
        <f>IF(DQ231="","",IF(COUNTIF(DQ$3:DQ231,DQ231)=1,MAX(JK$2:JK230)+1,""))</f>
        <v/>
      </c>
      <c r="JL231" t="str">
        <f>IF(DE231="","",IF(COUNTIF(DE$3:DE231,DE231)+COUNTIF(DF$2:DF230,DE231)+COUNTIF(DG$2:DG230,DE231)=1,MAX(JL$2:JN230)+1,""))</f>
        <v/>
      </c>
      <c r="JM231" t="str">
        <f>IF(DF231="","",IF(COUNTIF(DE$3:DE231,DF231)+COUNTIF(DF$3:DF231,DF231)+COUNTIF(DG$2:DG230,DF231)=1,MAX(JL$2:JN230,JL231)+1,""))</f>
        <v/>
      </c>
      <c r="JN231" t="str">
        <f>IF(DG231="","",IF(COUNTIF(DE$3:DE231,DG231)+COUNTIF(DF$3:DF231,DG231)+COUNTIF(DG$3:DG231,DG231)=1,MAX(JL$2:JN230,JL231,JM231)+1,""))</f>
        <v/>
      </c>
      <c r="JO231" t="str">
        <f t="shared" si="545"/>
        <v>3х2,5</v>
      </c>
      <c r="JP231" t="str">
        <f>IF(JO231="","",IF(COUNTIF(JO$3:JO231,JO231)=1,MAX(JP$2:JP230)+1,""))</f>
        <v/>
      </c>
      <c r="JQ231" t="str">
        <f>IF(HG231="","",COUNTIF(HG$3:HG231,"?*"))</f>
        <v/>
      </c>
      <c r="JR231" t="str">
        <f>IF(OR(HG231="",HI231=""),"",IF(COUNTIFS(HG$3:HG231,"?*",HI$3:HI231,HI231)=1,MAX(JR$2:JR230)+1,""))</f>
        <v/>
      </c>
      <c r="JS231">
        <f t="shared" si="546"/>
        <v>0</v>
      </c>
      <c r="JT231">
        <f>IF(B231="","",COUNTIF(B$3:B231,"?*"))</f>
        <v>229</v>
      </c>
      <c r="JU231">
        <f>IF(HL231&lt;&gt;1,0,_xlfn.LET(_xlpm.k,MAX(IFERROR(--_xlfn.XLOOKUP(B231,Коды_код,Коды_3L),0),IFERROR(--_xlfn.XLOOKUP(BC231,Коды_код,Коды_3L),0),IFERROR(--_xlfn.XLOOKUP(LEFT(BC231,2),Коды_код,Коды_3L),0)),IF(_xlpm.k&gt;0,_xlpm.k,IF(IFERROR(--LEFT(SUBSTITUTE(JO231,"x","х"),FIND("х",SUBSTITUTE(JO231,"x","х"))-1),3)&gt;3,Каталог!$S$9,1))))</f>
        <v>1</v>
      </c>
      <c r="JV231">
        <f t="shared" si="547"/>
        <v>0</v>
      </c>
      <c r="JW231" t="str">
        <f t="shared" si="548"/>
        <v>авто</v>
      </c>
      <c r="JX231">
        <f t="shared" si="549"/>
        <v>30</v>
      </c>
      <c r="JY231">
        <f t="shared" si="550"/>
        <v>1</v>
      </c>
      <c r="JZ231">
        <f t="shared" si="551"/>
        <v>1</v>
      </c>
    </row>
    <row r="232" spans="1:286" x14ac:dyDescent="0.3">
      <c r="A232" t="s">
        <v>757</v>
      </c>
      <c r="B232" t="s">
        <v>1538</v>
      </c>
      <c r="C232" t="s">
        <v>1708</v>
      </c>
      <c r="D232">
        <v>3</v>
      </c>
      <c r="E232">
        <v>0.36</v>
      </c>
      <c r="G232" t="str">
        <f>Линии[[#This Row],[_авто автомат]]</f>
        <v>2P С16А 30мА</v>
      </c>
      <c r="H232" t="str">
        <f>Линии[[#This Row],[_авто управление]]</f>
        <v/>
      </c>
      <c r="I232" t="str">
        <f>Линии[[#This Row],[_авто аппараты]]</f>
        <v/>
      </c>
      <c r="J232">
        <v>2.5</v>
      </c>
      <c r="K232">
        <v>14</v>
      </c>
      <c r="L232" t="str">
        <f>Линии[[#This Row],[_авто фаза]]</f>
        <v>L3</v>
      </c>
      <c r="M232" t="str">
        <f>Линии[[#This Row],[_авто клемма]]</f>
        <v>XT8</v>
      </c>
      <c r="N232" t="str">
        <f t="shared" si="414"/>
        <v/>
      </c>
      <c r="O232" s="6" cm="1">
        <f t="array" ref="O232">IF(B232="","",IF(BH232&lt;&gt;"",IFERROR(_xlfn.XLOOKUP(BH232,Щиты[Щит],Щиты[Iр, А]),""),IF(BP232=1,IF(OR(N(_xlfn.XLOOKUP(A232,Щиты[Щит],Щиты[Вводов],1))&lt;=1,LOWER(TRIM(_xlfn.XLOOKUP(A232,Щиты[Щит],Щиты[АВР],"")&amp;""))="да"),IFERROR(_xlfn.XLOOKUP(A232,Щиты[Щит],Щиты[Iр, А]),""),IFERROR(N(BS232)*_xlfn.XLOOKUP(A232,Щиты[Щит],Щиты[Кс итог])/(SQRT(3)*Uн_лин*_xlfn.XLOOKUP(A232,Щиты[Щит],Щиты[cos φ])),"")),IF(BV232=1,IFERROR(BS232*1000/BU232,""),IFERROR(_xlfn.IFS(BX232=1,BS232/((Uн_лин/SQRT(3))*CE232),BX232=3,BS232/(SQRT(3)*Uн_лин*CE232)),"")))))</f>
        <v>1.6408902387494626</v>
      </c>
      <c r="P232" s="7">
        <f>IF(B232="","",IFERROR(IF(VLOOKUP(BC232,Потребители_обозначение,4,FALSE)=1,VLOOKUP(BC232,Потребители_обозначение,3,FALSE)*(MAX(1,N(D232))*2-1)+EI232+VLOOKUP(BE232,Этаж_обозначение,3,FALSE)+VLOOKUP(BE232,Этаж_обозначение,4,FALSE),VLOOKUP(BC232,Потребители_обозначение,3,FALSE)*(MAX(1,N(D232))*2-1)+EI232),EI232))</f>
        <v>29</v>
      </c>
      <c r="Q232" s="6">
        <f t="shared" si="415"/>
        <v>1.5499999999999998</v>
      </c>
      <c r="R232" t="str">
        <f t="shared" si="416"/>
        <v>ВВГнг(А)-LS (3х2,5)</v>
      </c>
      <c r="S232" t="str">
        <f>IF(BM232="","",IF(BN232="вводной узел","узел ","")&amp;"л."&amp;(INT((BM232-1)/Столбцов_на_лист)+1)&amp;" / "&amp;(MOD(BM232-1,Столбцов_на_лист)+1))</f>
        <v>л.1 / 16</v>
      </c>
      <c r="T232" s="119">
        <f t="shared" si="417"/>
        <v>0.9</v>
      </c>
      <c r="U232" s="7" t="str">
        <f>IF(OR(CG232=0,N(BV232)+N(IB232)=0),"",ROUNDUP(Запас_БП*(N(HY232)+N(HZ232)),0))</f>
        <v/>
      </c>
      <c r="V232" s="119" t="str">
        <f t="shared" si="418"/>
        <v/>
      </c>
      <c r="W232" s="7" t="str">
        <f>IFERROR(IF(OR(B232="",BP232=1,BV232=1,NOT(ISNUMBER(EN232)),N(DT232)=0),"",MAX(0,ROUNDDOWN((c_min*(Uн_лин*1000/SQRT(3))/(HT232*N(DT232))-_xlfn.XLOOKUP(A232,Щиты[Щит],Щиты[Zпетли на шинах, Ом]))*EN232/(2*ρкз_Cu),0))),"")</f>
        <v/>
      </c>
      <c r="Y232">
        <f>Линии[[#This Row],[_авто утечка]]</f>
        <v>30</v>
      </c>
      <c r="Z232">
        <v>1</v>
      </c>
      <c r="AA232">
        <v>230</v>
      </c>
      <c r="AB232" t="s">
        <v>562</v>
      </c>
      <c r="AG232" t="s">
        <v>810</v>
      </c>
      <c r="AI232" t="s">
        <v>561</v>
      </c>
      <c r="AK232" t="str">
        <f>Линии[[#This Row],[_авто модуль]]</f>
        <v/>
      </c>
      <c r="AM232">
        <v>16</v>
      </c>
      <c r="AN232" t="s">
        <v>11</v>
      </c>
      <c r="AO232">
        <v>3</v>
      </c>
      <c r="AQ232">
        <v>0</v>
      </c>
      <c r="AR232">
        <v>14</v>
      </c>
      <c r="AS232">
        <v>0</v>
      </c>
      <c r="BA232" cm="1">
        <f t="array" ref="BA232">ROW()-ROW(Линии[#Headers])</f>
        <v>230</v>
      </c>
      <c r="BC232" s="6" t="str">
        <f t="shared" si="419"/>
        <v>R</v>
      </c>
      <c r="BD232" t="str">
        <f t="shared" si="420"/>
        <v>1.002Б.3</v>
      </c>
      <c r="BE232" t="str">
        <f t="shared" si="421"/>
        <v>1</v>
      </c>
      <c r="BF232" t="str">
        <f t="shared" si="422"/>
        <v>002Б.3</v>
      </c>
      <c r="BG232" t="str">
        <f t="shared" si="423"/>
        <v>002Б</v>
      </c>
      <c r="BH232" t="str">
        <f>IF(X232&lt;&gt;"",X232,IF(AND(B232&lt;&gt;"",B232&lt;&gt;A232,ISNUMBER(_xlfn.XMATCH(B232,Щиты[Щит]))),B232,""))</f>
        <v/>
      </c>
      <c r="BI232" t="str" cm="1">
        <f t="array" ref="BI232">IF(B232="","",IF(BH232&lt;&gt;"","Щит "&amp;BH232,_xlfn.LET(_xlpm.nm,IFERROR(_xlfn.XLOOKUP(BC232,Коды_код,Коды_имя)&amp;"",""),_xlpm.md,IFERROR(N(_xlfn.XLOOKUP(BC232,Коды_код,Коды_режим)),1),_xlpm.ex,IF(Имя_режим="по экспликации",IFERROR(_xlfn.XLOOKUP(BE232&amp;"|"&amp;BG232,Экспликация[Этаж]&amp;"|"&amp;Экспликация[Помещение],Экспликация[Название])&amp;"",""),""),_xlpm.rm,IF(BG232="","",IF(_xlpm.ex&lt;&gt;"",". "&amp;_xlpm.ex&amp;IF(Имя_пом="нет"," ("&amp;BG232&amp;")"," (пом. "&amp;BG232&amp;")"),IF(Имя_пом="нет"," ",", пом. ")&amp;BG232)),IF(_xlpm.nm="","",IF(_xlpm.md=2,_xlpm.nm&amp;" шлейф "&amp;BE232,_xlpm.nm&amp;_xlpm.rm)))))</f>
        <v>Розеточная группа, пом. 002Б</v>
      </c>
      <c r="BJ232" t="str">
        <f t="shared" si="424"/>
        <v>Розеточная группа Первый этаж Пом. №002Б Ледогенератор</v>
      </c>
      <c r="BK232">
        <f>IFERROR(_xlfn.XMATCH(A232,Щиты[Щит]),0)</f>
        <v>10</v>
      </c>
      <c r="BL232">
        <f>_xlfn.LET(_xlpm.k,IFERROR(_xlfn.XLOOKUP(A232,Щиты[Щит],Щиты[Мест под вводной узел]),""),IF(_xlpm.k="",Столбцов_на_лист,N(_xlpm.k)))</f>
        <v>8</v>
      </c>
      <c r="BM232">
        <f t="shared" si="425"/>
        <v>16</v>
      </c>
      <c r="BN232" t="str">
        <f t="shared" si="426"/>
        <v>линии</v>
      </c>
      <c r="BO232" s="6">
        <f>IFERROR(N(_xlfn.XLOOKUP(BC232,Коды_код,Коды_квт)),0)</f>
        <v>0</v>
      </c>
      <c r="BP232">
        <f t="shared" si="427"/>
        <v>0</v>
      </c>
      <c r="BQ232" t="str">
        <f>IF(B232="","",IF(BH232&lt;&gt;"",IFERROR(_xlfn.XLOOKUP(BH232,Щиты[Щит],Щиты[Руст, кВт]),0),IF(BP232=1,IF(OR(N(_xlfn.XLOOKUP(A232,Щиты[Щит],Щиты[Вводов],1))&lt;=1,LOWER(TRIM(_xlfn.XLOOKUP(A232,Щиты[Щит],Щиты[АВР],"")&amp;""))="да"),IFERROR(_xlfn.XLOOKUP(A232,Щиты[Щит],Щиты[Руст, кВт]),0),SUMIFS(Линии[_Р для вводов],Линии[Щит],A232,Линии[Источник для режимов],GF232)),IF(BO232&gt;0,ROUND(BO232*MAX(1,N(D232)),3),""))))</f>
        <v/>
      </c>
      <c r="BR232">
        <f t="shared" si="428"/>
        <v>0.36</v>
      </c>
      <c r="BS232" s="6">
        <f>IF(B232="","",IF(BH232&lt;&gt;"",IFERROR(_xlfn.XLOOKUP(BH232,Щиты[Щит],Щиты[Руст, кВт]),0),N(BR232)))</f>
        <v>0.36</v>
      </c>
      <c r="BT232" t="str">
        <f>IF(B232="","",IFERROR(IF(VLOOKUP(BC232,Потребители_обозначение,8,FALSE)=0,"",VLOOKUP(BC232,Потребители_обозначение,8,FALSE)),""))</f>
        <v/>
      </c>
      <c r="BU232">
        <f t="shared" si="429"/>
        <v>230</v>
      </c>
      <c r="BV232">
        <f t="shared" si="430"/>
        <v>0</v>
      </c>
      <c r="BW232">
        <f>IF(B232="","",IF(BH232&lt;&gt;"",3,IFERROR(IF(N(VLOOKUP(BC232,Потребители_обозначение,9,FALSE))=0,1,VLOOKUP(BC232,Потребители_обозначение,9,FALSE)),1)))</f>
        <v>1</v>
      </c>
      <c r="BX232">
        <f t="shared" si="431"/>
        <v>1</v>
      </c>
      <c r="BY232" t="str">
        <f>IF(B232="","",_xlfn.LET(_xlpm.bc,IFERROR(IF(VLOOKUP(BC232,Потребители_обозначение,6,FALSE)=0,"",VLOOKUP(BC232,Потребители_обозначение,6,FALSE)&amp;""),""),IF(AND(GA232="да",OR(_xlpm.bc="",_xlpm.bc="мс")),Марка_пож,IF(AND(_xlpm.bc="",BH232&lt;&gt;""),"мс",_xlpm.bc))))</f>
        <v/>
      </c>
      <c r="BZ232" t="str">
        <f t="shared" si="432"/>
        <v>мс</v>
      </c>
      <c r="CA232">
        <f>IF(B232="","",_xlfn.LET(_xlpm.cc,IFERROR(N(VLOOKUP(BC232,Потребители_обозначение,7,FALSE)),0),IF(_xlpm.cc&gt;0,_xlpm.cc,IF(BZ232="","",IF(BV232=1,2,IF(N(BX232)=3,5,3))))))</f>
        <v>3</v>
      </c>
      <c r="CB232">
        <f t="shared" si="433"/>
        <v>3</v>
      </c>
      <c r="CC232">
        <f>IFERROR(N(VLOOKUP(BC232,Потребители_обозначение,10,FALSE)),0)</f>
        <v>0</v>
      </c>
      <c r="CD232">
        <f>IFERROR(VLOOKUP(BC232,Потребители_обозначение,5,FALSE),0)</f>
        <v>1</v>
      </c>
      <c r="CE232" s="6" cm="1">
        <f t="array" ref="CE232">IF(B232="","",IF(BH232&lt;&gt;"",IFERROR(_xlfn.XLOOKUP(BH232,Щиты[Щит],Щиты[cos φ]),0.95),IF(BP232=1,IFERROR(_xlfn.XLOOKUP(A232,Щиты[Щит],Щиты[cos φ]),0.95),IF(ISNUMBER(AD232),AD232,IFERROR(IF(CD232=2,_xlfn.IFS(BX232=3,VLOOKUP(BS232,Справочная_двигатели,8,FALSE),BX232=1,VLOOKUP(BS232,Справочная_двигатели,10,TRUE)),IF(AND(Методика="нормы 2026",FG232="Сил"),0.8,0.95)),0.95)))))</f>
        <v>0.95</v>
      </c>
      <c r="CF232">
        <f t="shared" si="434"/>
        <v>0</v>
      </c>
      <c r="CG232">
        <f t="shared" si="435"/>
        <v>1</v>
      </c>
      <c r="CH232">
        <f t="shared" si="436"/>
        <v>0</v>
      </c>
      <c r="CI232">
        <f>IF(B232="","",IF(BV232=1,IFERROR(BS232/((Uн_лин/SQRT(3))*MAX(0.5,N(CE232))),0),N(O232)))</f>
        <v>1.6408902387494626</v>
      </c>
      <c r="CJ232">
        <f t="shared" si="437"/>
        <v>0</v>
      </c>
      <c r="CK232">
        <f t="shared" si="438"/>
        <v>0</v>
      </c>
      <c r="CL232">
        <f t="shared" si="439"/>
        <v>0</v>
      </c>
      <c r="CM232">
        <f t="shared" si="440"/>
        <v>0</v>
      </c>
      <c r="CN232">
        <f t="shared" si="441"/>
        <v>0</v>
      </c>
      <c r="CO232">
        <f>IF(BC232="",0,_xlfn.LET(_xlpm.v,IFERROR(_xlfn.XLOOKUP(B232,Коды_код,Коды_мА),IFERROR(_xlfn.XLOOKUP(BC232,Коды_код,Коды_мА),IFERROR(_xlfn.XLOOKUP(LEFT(BC232,2),Коды_код,Коды_мА),""))),IF(_xlpm.v="да",30,IF(ISNUMBER(_xlpm.v),_xlpm.v,0))))</f>
        <v>30</v>
      </c>
      <c r="CP232">
        <f t="shared" si="442"/>
        <v>30</v>
      </c>
      <c r="CQ232" t="str">
        <f>_xlfn.LET(_xlpm.k,IFERROR(_xlfn.XLOOKUP(BC232,Коды_код,Коды_утечка)&amp;"",""),IF(_xlpm.k="","дифавтомат",_xlpm.k))</f>
        <v>дифавтомат</v>
      </c>
      <c r="CR232" t="str" cm="1">
        <f t="array" ref="CR232">IF(CG232=0,"",_xlfn.LET(_xlpm.sg,TRIM(_xlfn.TEXTSPLIT(DD232&amp;"",";")),_xlpm.f_,_xlfn._xlws.FILTER(_xlpm.sg,LEFT(_xlpm.sg,3)="УЗО",""),IFERROR(INDEX(_xlpm.f_,1)&amp;"","")))</f>
        <v/>
      </c>
      <c r="CS232" t="str">
        <f t="shared" si="443"/>
        <v/>
      </c>
      <c r="CT232" s="6" t="str" cm="1">
        <f t="array" ref="CT232">IF(CR232="","",_xlfn.LET(_xlpm.tk,_xlfn.TEXTSPLIT(UPPER(CR232)," ",,TRUE),_xlpm.a_,_xlfn._xlws.FILTER(_xlpm.tk,ISNUMBER(--LEFT(_xlpm.tk,1))*((ISNUMBER(SEARCH("А",_xlpm.tk))+ISNUMBER(SEARCH("A",_xlpm.tk)))&gt;0)*NOT(ISNUMBER(SEARCH("МА",_xlpm.tk)))*NOT(ISNUMBER(SEARCH("MA",_xlpm.tk))),""),IFERROR(--SUBSTITUTE(SUBSTITUTE(INDEX(_xlpm.a_,1),"А",""),"A",""),"")))</f>
        <v/>
      </c>
      <c r="CU232" t="str" cm="1">
        <f t="array" ref="CU232">IF(CR232="","",_xlfn.LET(_xlpm.tk,_xlfn.TEXTSPLIT(UPPER(CR232)," ",,TRUE),_xlpm.a_,_xlfn._xlws.FILTER(_xlpm.tk,ISNUMBER(--LEFT(_xlpm.tk,1))*((ISNUMBER(SEARCH("МА",_xlpm.tk))+ISNUMBER(SEARCH("MA",_xlpm.tk)))&gt;0),""),IFERROR(--SUBSTITUTE(SUBSTITUTE(INDEX(_xlpm.a_,1),"МА",""),"MA",""),30)))</f>
        <v/>
      </c>
      <c r="CV232" t="str">
        <f>IF(CS232="","",IFERROR(_xlfn.XLOOKUP(CS232,Линии[_n],Линии[_УЗО, мА]),30))</f>
        <v/>
      </c>
      <c r="CW232">
        <f>IF(CS232="",0,IF(ISNUMBER(SEARCH("4P",IFERROR(_xlfn.XLOOKUP(CS232,Линии[_n],Линии[_УЗО строки])&amp;"",""))),0,1))</f>
        <v>0</v>
      </c>
      <c r="CX232" t="str">
        <f>IF(AND(CS232&lt;&gt;"",CS232=BA232),SUMIFS(Линии[_ток на 230 В],Линии[_блок УЗО],BA232,Линии[Щит],A232),"")</f>
        <v/>
      </c>
      <c r="CY232" t="str">
        <f>IF(AND(CS232&lt;&gt;"",CS232=BA232),SUMIFS(Линии[_ток утечки линии, мА],Линии[_блок УЗО],BA232,Линии[Щит],A232),"")</f>
        <v/>
      </c>
      <c r="CZ232">
        <f t="shared" si="444"/>
        <v>30</v>
      </c>
      <c r="DA232">
        <f t="shared" si="445"/>
        <v>30</v>
      </c>
      <c r="DB232">
        <f>IF(B232="",0,IFERROR(--_xlfn.XLOOKUP(B232,Коды_код,Коды_минавт),IFERROR(--_xlfn.XLOOKUP(BC232,Коды_код,Коды_минавт),IFERROR(--_xlfn.XLOOKUP(LEFT(BC232,2),Коды_код,Коды_минавт),0))))</f>
        <v>16</v>
      </c>
      <c r="DC232" t="str">
        <f>IF(B232="","",IFERROR(_xlfn.XLOOKUP(BC232,Коды_код,Коды_апп)&amp;"",""))</f>
        <v/>
      </c>
      <c r="DD232" t="str">
        <f t="shared" si="446"/>
        <v/>
      </c>
      <c r="DE232" t="str" cm="1">
        <f t="array" ref="DE232">IF(TRIM(DD232&amp;"")="","",IFERROR(TRIM(INDEX(_xlfn.TEXTSPLIT(DD232&amp;";;;",";"),1)),""))</f>
        <v/>
      </c>
      <c r="DF232" t="str" cm="1">
        <f t="array" ref="DF232">IF(TRIM(DD232&amp;"")="","",IFERROR(TRIM(INDEX(_xlfn.TEXTSPLIT(DD232&amp;";;;",";"),2)),""))</f>
        <v/>
      </c>
      <c r="DG232" t="str" cm="1">
        <f t="array" ref="DG232">IF(TRIM(DD232&amp;"")="","",IFERROR(TRIM(INDEX(_xlfn.TEXTSPLIT(DD232&amp;";;;",";"),3)),""))</f>
        <v/>
      </c>
      <c r="DH232">
        <f t="shared" si="447"/>
        <v>0</v>
      </c>
      <c r="DI232" t="str">
        <f>IF(B232="","",_xlfn.LET(_xlpm.t,LOWER(AZ232&amp;""),IF(ISNUMBER(SEARCH("dim",_xlpm.t)),"DIM",IF(ISNUMBER(SEARCH("dali",_xlpm.t)),"DALI",IF(OR(ISNUMBER(SEARCH("relay",_xlpm.t)),ISNUMBER(SEARCH("реле",_xlpm.t))),"Relay",IF(ISNUMBER(SEARCH("кнопк",_xlpm.t)),"",IFERROR(_xlfn.XLOOKUP(BC232,Коды_код,Коды_упр)&amp;"","")))))))</f>
        <v/>
      </c>
      <c r="DJ232" t="str">
        <f t="shared" si="448"/>
        <v/>
      </c>
      <c r="DK232">
        <f>IF(B232="","",_xlfn.LET(_xlpm.ig,IF(N(CX232)&gt;0,N(CX232),N(CI232)+IF(AJ232="вручную",0,N(CJ232))),_xlpm.n0,IFERROR(VLOOKUP(_xlpm.ig,Автомат_номиналы,2,TRUE),0),_xlpm.mn,MAX(DB232,IF(AJ232="вручную",0,N(CM232))),MAX(_xlpm.n0,_xlpm.mn,IF(DH232=1,Мин_автомат_БП,0))))</f>
        <v>16</v>
      </c>
      <c r="DL232">
        <f t="shared" si="449"/>
        <v>1</v>
      </c>
      <c r="DM232" t="str">
        <f t="shared" si="450"/>
        <v>2P</v>
      </c>
      <c r="DN232" t="str">
        <f>_xlfn.LET(_xlpm.cc,UPPER(TRIM(IFERROR(_xlfn.XLOOKUP(BC232,Коды_код,Коды_хар)&amp;"",""))),IF(OR(_xlpm.cc="B",_xlpm.cc="В"),"B",IF(_xlpm.cc="D","D","С")))</f>
        <v>С</v>
      </c>
      <c r="DO232" t="str">
        <f t="shared" si="451"/>
        <v>2P С16А 30мА</v>
      </c>
      <c r="DP232" t="str">
        <f t="shared" si="452"/>
        <v>2P С16А 30мА</v>
      </c>
      <c r="DQ232" t="str">
        <f t="shared" si="453"/>
        <v>2P С16А 30мА</v>
      </c>
      <c r="DR232" cm="1">
        <f t="array" ref="DR232">IF(DQ232="","",_xlfn.LET(_xlpm.t,SUBSTITUTE(SUBSTITUTE(SUBSTITUTE(UPPER(DQ232),"С","C"),"А","A"),"В","B"),_xlpm.tk,_xlfn.TEXTSPLIT(_xlpm.t," "),_xlpm.f,_xlfn._xlws.FILTER(_xlpm.tk,ISNUMBER(--MID(_xlpm.tk,2,1))*ISNUMBER(SEARCH(LEFT(_xlpm.tk,1)&amp;"#","B#C#D#"))*(LEN(_xlpm.tk)&gt;1),""),_xlpm.x,INDEX(_xlpm.f,1),IFERROR(--SUBSTITUTE(MID(_xlpm.x,2,9),"A",""),IFERROR(--SUBSTITUTE(INDEX(_xlfn._xlws.FILTER(_xlpm.tk,ISNUMBER(--SUBSTITUTE(_xlpm.tk,"A","")),""),1),"A",""),""))))</f>
        <v>16</v>
      </c>
      <c r="DS232" t="str">
        <f t="shared" si="454"/>
        <v>ok</v>
      </c>
      <c r="DT232">
        <f t="shared" si="455"/>
        <v>16</v>
      </c>
      <c r="DU232" t="str">
        <f t="shared" si="456"/>
        <v>2P С16А 30мА</v>
      </c>
      <c r="DV232">
        <f t="shared" si="457"/>
        <v>30</v>
      </c>
      <c r="DW232">
        <f t="shared" si="458"/>
        <v>1</v>
      </c>
      <c r="DX232">
        <f t="shared" si="459"/>
        <v>0</v>
      </c>
      <c r="DY232">
        <f t="shared" si="460"/>
        <v>1.6408902387494626</v>
      </c>
      <c r="DZ232">
        <f t="shared" si="461"/>
        <v>1</v>
      </c>
      <c r="EA232">
        <f>IF(ISNUMBER(AP232),AP232,К_прокл)</f>
        <v>1</v>
      </c>
      <c r="EB232">
        <f t="shared" si="462"/>
        <v>2</v>
      </c>
      <c r="EC232">
        <f>IFERROR(N(VLOOKUP(BZ232,Кабель_обозначение,3,FALSE)),1)</f>
        <v>1</v>
      </c>
      <c r="ED232">
        <f>IFERROR(N(_xlfn.XLOOKUP(A232,Щиты[Щит],Щиты[ΔU до шин, %])),0)</f>
        <v>1.19</v>
      </c>
      <c r="EE232" t="str">
        <f>IFERROR(_xlfn.XLOOKUP(A232,Щиты[Щит],Щиты[Zпетли на шинах, Ом]),"")</f>
        <v/>
      </c>
      <c r="EF232">
        <f>IFERROR(N(_xlfn.XLOOKUP(A232,Щиты[Щит],Щиты[ΔU до шин (подбор), %])),0)</f>
        <v>1.19</v>
      </c>
      <c r="EG232" t="str">
        <f>IFERROR(_xlfn.XLOOKUP(A232,Щиты[Щит],Щиты[Zпетли на шинах (подбор), Ом]),"")</f>
        <v/>
      </c>
      <c r="EH232" t="str">
        <f t="shared" si="463"/>
        <v/>
      </c>
      <c r="EI232">
        <f t="shared" si="464"/>
        <v>14</v>
      </c>
      <c r="EJ232">
        <f t="shared" si="465"/>
        <v>2</v>
      </c>
      <c r="EK232">
        <f t="shared" si="466"/>
        <v>0.31</v>
      </c>
      <c r="EL232" s="6">
        <f>IF(B232="","",IF(BV232=1,dU_LED,IF(IFERROR(_xlfn.XLOOKUP(BC232,Коды_код,Коды_уго),"")="Светильник",3,4)+IF(Методика="нормы 2026",MIN(0.5,MAX(0,N(P232)-100)*0.005),0)))</f>
        <v>4</v>
      </c>
      <c r="EM232" cm="1">
        <f t="array" ref="EM232">IF(OR(B232="",BZ232="",EC232&lt;&gt;1),"",_xlfn.LET(_xlpm.sz,Iдоп_S,_xlpm.t_,CHOOSE(EB232,Iдоп_1ж,Iдоп_2ж,Iдоп_3ж)*DZ232*EA232,_xlpm.dcx,BV232=1,_xlpm.inn,IF(_xlpm.dcx,N(O232),N(DT232)),_xlpm.smin,MAX(1.5,CC232),_xlpm.L_,N(P232)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232)/N(BU232)*100,999),IFERROR(N(EJ232)*(_xlpm.rho*_xlpm.L_/_xlpm.sz*N(CE232)+_xlpm.xx*_xlpm.L_*N(EK232)/1000)*N(O232)/((Uн_лин/SQRT(3))*1000)*100,999)),_xlpm.kz,IF(OR(_xlpm.dcx,DW232=1,NOT(ISNUMBER(EG232)),_xlpm.L_=0,_xlpm.inn=0),1,IFERROR(--(c_min*(Uн_лин*1000/SQRT(3))/(EG232+2*ρкз_Cu*_xlpm.L_/_xlpm.sz)&gt;=HT232*_xlpm.inn),0)),_xlpm.ok,IFERROR((_xlpm.sz&gt;=_xlpm.smin)*(_xlpm.t_&gt;=_xlpm.inn)*IF(_xlpm.L_&gt;0,(_xlpm.du_+IF(_xlpm.dcx,0,EF232)&lt;=EL232+0.00001),1)*_xlpm.kz,0),_xlpm.r_,_xlfn._xlws.FILTER(_xlpm.sz,_xlpm.ok,"не подобрано"),INDEX(_xlpm.r_,1)))</f>
        <v>1.5</v>
      </c>
      <c r="EN232">
        <f t="shared" si="467"/>
        <v>2.5</v>
      </c>
      <c r="EO232" cm="1">
        <f t="array" ref="EO232">IF(OR(B232="",BZ232="",EC232&lt;&gt;1),"",_xlfn.LET(_xlpm.sz,Iдоп_S,_xlpm.t_,CHOOSE(EB232,Iдоп_1ж,Iдоп_2ж,Iдоп_3ж)*DZ232*EA232,_xlpm.ok,IFERROR((_xlpm.sz&gt;=MAX(1.5,CC232))*(_xlpm.t_&gt;=N(DT232)),0),_xlpm.r_,_xlfn._xlws.FILTER(_xlpm.sz,_xlpm.ok,""),INDEX(_xlpm.r_,1)))</f>
        <v>1.5</v>
      </c>
      <c r="EP232" s="6" cm="1">
        <f t="array" ref="EP232">IFERROR(ROUNDUP(N(EJ232)*(_xlfn.XLOOKUP(EO232,INDEX(Кабель_сопротивление,0,1),INDEX(Кабель_сопротивление,0,3))*N(P232)/EO232*N(CE232)+_xlfn.XLOOKUP(EO232,INDEX(Кабель_сопротивление,0,1),INDEX(Кабель_сопротивление,0,2))*N(P232)*N(EK232)/1000)*N(O232)/((Uн_лин/SQRT(3))*1000)*100,2),"")</f>
        <v>0.59</v>
      </c>
      <c r="EQ232">
        <f>IFERROR(2*ρкз_Cu*N(P232)/EO232,"")</f>
        <v>1.0169333333333335</v>
      </c>
      <c r="ER232">
        <f>IFERROR(VLOOKUP(EN232,Кабель_сопротивление,3,FALSE),"")</f>
        <v>2.2499999999999999E-2</v>
      </c>
      <c r="ES232">
        <f>IFERROR(VLOOKUP(EN232,Кабель_сопротивление,2,FALSE),"")</f>
        <v>0.1</v>
      </c>
      <c r="ET232">
        <f t="shared" si="468"/>
        <v>14</v>
      </c>
      <c r="EU232">
        <f t="shared" si="469"/>
        <v>0</v>
      </c>
      <c r="EV232">
        <f t="shared" si="470"/>
        <v>0.81666779004513013</v>
      </c>
      <c r="EW232" s="6">
        <f>IFERROR(ROUNDUP(EV232/IF(BV232=1,BU232,(Uн_лин/SQRT(3))*1000)*100,2),"")</f>
        <v>0.36</v>
      </c>
      <c r="EX232" t="str">
        <f>IFERROR(VLOOKUP(BZ232,Кабель_обозначение,2,FALSE),"")</f>
        <v>ВВГнг(А)-LS</v>
      </c>
      <c r="EY232" t="str">
        <f t="shared" si="471"/>
        <v>ВВГнг(А)-LS (3х2,5)</v>
      </c>
      <c r="EZ232" t="str">
        <f t="shared" si="472"/>
        <v>ВВГнг(А)-LS (3х2,5)
L=29-0,36%</v>
      </c>
      <c r="FA232">
        <f>IFERROR(2*ρкз_Cu*P232/EN232,"")</f>
        <v>0.61016000000000004</v>
      </c>
      <c r="FB232">
        <f t="shared" si="473"/>
        <v>0.20300000000000001</v>
      </c>
      <c r="FC232" s="6" t="str">
        <f>IFERROR(IF(OR(B232="",BV232=1,NOT(ISNUMBER(EN232)),N(P232)=0),"",_xlfn.XLOOKUP(A232,Щиты[Щит],Щиты[Zпетли на шинах, Ом])+FA232),"")</f>
        <v/>
      </c>
      <c r="FD232" s="6" t="str">
        <f>IF(ISNUMBER(FC232),c_min*(Uн_лин*1000/SQRT(3))/FC232,"")</f>
        <v/>
      </c>
      <c r="FE232" s="6" t="str">
        <f>IFERROR(IF(OR(B232="",NOT(ISNUMBER(EN232))),"",1.05*(Uн_лин*1000/SQRT(3))/(_xlfn.XLOOKUP(A232,Щиты[Щит],Щиты[Zmax на шинах, Ом])+FB232)/1000),"")</f>
        <v/>
      </c>
      <c r="FF232" s="6" t="str">
        <f>IF(B232="","",IF(ISNUMBER(AC232),"Сил",IF(IFERROR(_xlfn.XLOOKUP(BC232,Коды_код,Коды_группа)&amp;"","")="","Быт",_xlfn.XLOOKUP(BC232,Коды_код,Коды_группа)&amp;"")))</f>
        <v>Быт</v>
      </c>
      <c r="FG232" s="6" t="str">
        <f t="shared" si="474"/>
        <v>Быт</v>
      </c>
      <c r="FH232" s="6">
        <f>IF(FG232="Щит","щит",IF(FG232="","",IF(FG232="Быт",IFERROR(_xlfn.XLOOKUP(A232,Щиты[Щит],Щиты[Кс быт]),1),IF(FG232="Сил",IF(ISNUMBER(AC232),AC232,IF(Методика="нормы 2026",IFERROR(_xlfn.XLOOKUP(A232,Щиты[Щит],Щиты[Кс силовых (табл. 7.5)]),1),1)),IF(OR(FG232="Пост",FG232="Отоп"),1,IF(FG232="ВНГ",0.7,0))))))</f>
        <v>0.57830000000000004</v>
      </c>
      <c r="FI232">
        <f>IF(FG232="","",IF(AND(BP232=1,TRIM(AE232&amp;"")=""),IF(COUNTIFS(Линии[Щит],A232,Линии[Секция (1/2/3)],"&gt;=2")&gt;0,MIN(3,MAX(1,IFERROR(--BD232,1))),1),IFERROR(MIN(3,MAX(1,INT(--AE232))),1)))</f>
        <v>1</v>
      </c>
      <c r="FJ232">
        <f t="shared" si="475"/>
        <v>0.36</v>
      </c>
      <c r="FK232">
        <f t="shared" si="476"/>
        <v>0.36</v>
      </c>
      <c r="FL232">
        <f t="shared" si="477"/>
        <v>0</v>
      </c>
      <c r="FM232">
        <f t="shared" si="478"/>
        <v>0</v>
      </c>
      <c r="FN232">
        <f t="shared" si="479"/>
        <v>0</v>
      </c>
      <c r="FO232">
        <f t="shared" si="480"/>
        <v>0</v>
      </c>
      <c r="FP232">
        <f t="shared" si="481"/>
        <v>0.36</v>
      </c>
      <c r="FQ232">
        <f t="shared" si="482"/>
        <v>0.36</v>
      </c>
      <c r="FR232">
        <f t="shared" si="483"/>
        <v>0.34199999999999997</v>
      </c>
      <c r="FS232">
        <f>IF(CG232=1,IF(AND(CH232=1,CW232=1),0,IF(AND(CS232&lt;&gt;"",CS232=BA232,CW232=1),SUMIFS(Линии[_Р линии, кВт],Линии[_блок УЗО],BA232,Линии[Щит],A232),N(BS232)+IF(AJ232="вручную",0,N(CK232)))),0)</f>
        <v>0.36</v>
      </c>
      <c r="FT232" t="str">
        <f t="shared" si="484"/>
        <v/>
      </c>
      <c r="FU232" t="str">
        <f>IF(B232="","",IF(CG232=0,IF(BA232=1,"",FW231),IF(AND(CH232=1,CW232=1,CS232&lt;&gt;""),IFERROR(_xlfn.XLOOKUP(CS232,Линии[_n],Линии[_фаза итог]),"L1"),IF(OR(N(DL232)&gt;=3,N(BX232)&gt;=3),"L1,L2,L3",IFERROR(_xlfn.TEXTBEFORE(_xlfn.TEXTAFTER(_xlfn.XLOOKUP(A232,Щиты[Щит],Щиты[_фазы авто]),";"&amp;BA232&amp;":"),";"),"L1")))))</f>
        <v>L3</v>
      </c>
      <c r="FV232" t="str">
        <f t="shared" si="485"/>
        <v>L3</v>
      </c>
      <c r="FW232" t="str">
        <f t="shared" si="486"/>
        <v>L3</v>
      </c>
      <c r="FX232" cm="1">
        <f t="array" ref="FX232">IFERROR(IF(CD232=2,_xlfn.IFS(BX232=3,VLOOKUP(BS232,Справочная_двигатели,3,FALSE),BX232=1,VLOOKUP(BS232,Справочная_двигатели,5,TRUE)),0),0)</f>
        <v>0</v>
      </c>
      <c r="FY232">
        <f>IFERROR(IF(CD232=3,VLOOKUP(BS232,Справочная_ЛЭД,2,TRUE),0),0)</f>
        <v>0</v>
      </c>
      <c r="FZ232" s="6">
        <f t="shared" si="487"/>
        <v>0</v>
      </c>
      <c r="GA232" t="str">
        <f>IF(B232="","",IF(TRIM(AH232&amp;"")&lt;&gt;"",IF(LOWER(TRIM(AH232&amp;""))="да","да","нет"),IF(IFERROR(_xlfn.XLOOKUP(BC232,Коды_код,Коды_пожарная),"")="да","да","нет")))</f>
        <v>нет</v>
      </c>
      <c r="GB232" t="str">
        <f t="shared" si="488"/>
        <v/>
      </c>
      <c r="GC232" t="str">
        <f t="shared" si="489"/>
        <v>основная</v>
      </c>
      <c r="GD232">
        <f>IF(AND(BP232=1,TRIM(AE232&amp;"")=""),IF(COUNTIFS(Линии[Щит],A232,Линии[Секция (1/2/3)],"&gt;=2")&gt;0,MIN(3,MAX(1,IFERROR(--BD232,1))),1),IFERROR(MIN(3,MAX(1,INT(--AE232))),1))</f>
        <v>1</v>
      </c>
      <c r="GE232" t="str" cm="1">
        <f t="array" ref="GE232">IF(B232="","",_xlfn.LET(_xlpm.t,IFERROR(_xlfn.XLOOKUP(1,(Шины[Шина]=GC232)*(((Шины[Щит]=A232)+(Шины[Щит]=""))&gt;0),Шины[Тип]),"")&amp;"",IF(_xlpm.t&lt;&gt;"",_xlpm.t,IF(ISNUMBER(SEARCH("ИБП",GC232)),"ИБП",IF(ISNUMBER(SEARCH("ДГУ",GC232)),"ДГУ","Ввод "&amp;GD232)))))</f>
        <v>Ввод 1</v>
      </c>
      <c r="GF232" t="str">
        <f t="shared" si="490"/>
        <v>Ввод 1</v>
      </c>
      <c r="GG232" t="str">
        <f>IF(BP232=0,"",IF(TRIM(AG232&amp;"")&lt;&gt;"",TRIM(AG232&amp;""),IF(OR(GE232="ИБП",GE232="ДГУ"),"I особая",_xlfn.XLOOKUP(A232,Щиты[Щит],Щиты[Категория шины «Ввод»],"III"))))</f>
        <v/>
      </c>
      <c r="GH232" t="str">
        <f>IF(A232="","",_xlfn.XLOOKUP(A232,Щиты[Щит],Щиты[Путь],""))</f>
        <v>|ГРЩ-ЖД|ЩР-1|</v>
      </c>
      <c r="GI232" t="str">
        <f>IF(B232="","",IF(AI232&lt;&gt;"",AI232,IF(IFERROR(_xlfn.XLOOKUP(BC232,Коды_код,Коды_вид)&amp;"","")="","Прочее",_xlfn.XLOOKUP(BC232,Коды_код,Коды_вид)&amp;"")))</f>
        <v>Розеточная сеть и бытовые приборы</v>
      </c>
      <c r="GJ232">
        <f>IF(BM232="","",INT((BM232-1)/Столбцов_на_лист)+1)</f>
        <v>1</v>
      </c>
      <c r="GK232" t="str">
        <f t="shared" si="491"/>
        <v>ВВГнг(А)-LS (3х2,5) L=29-0,36%</v>
      </c>
      <c r="GL232">
        <f t="shared" si="492"/>
        <v>0.36</v>
      </c>
      <c r="GM232">
        <f t="shared" si="493"/>
        <v>1.65</v>
      </c>
      <c r="GN232">
        <f t="shared" si="494"/>
        <v>1</v>
      </c>
      <c r="GO232">
        <f t="shared" si="495"/>
        <v>0</v>
      </c>
      <c r="GP232">
        <f t="shared" si="496"/>
        <v>1</v>
      </c>
      <c r="GQ232">
        <f>IF(BM232="","",IF(AND(CG232=1,GP232=1),COUNTIFS(A$3:A232,A232,CG$3:CG232,1,GP$3:GP232,1),IF(OR(OR(BA232=1,A232&lt;&gt;A231),AJ232="вручную",GP232=0),"",IF(BA232=1,"",GR231))))</f>
        <v>8</v>
      </c>
      <c r="GR232">
        <f t="shared" si="497"/>
        <v>8</v>
      </c>
      <c r="GS232">
        <f>IF(B232="","",IFERROR(LOOKUP(INDEX(CHOOSE(EB232,Iдоп_1ж,Iдоп_2ж,Iдоп_3ж),MATCH(EN232,Iдоп_S,0))*DZ232*EA232,{6,10,16,20,25,32,40,50,63,80,100,125,160,200,250,315,400,500,630}),""))</f>
        <v>25</v>
      </c>
      <c r="GT232" t="str">
        <f t="shared" si="498"/>
        <v>QFD8</v>
      </c>
      <c r="GU232" t="str">
        <f t="shared" si="499"/>
        <v>QFD8</v>
      </c>
      <c r="GV232" t="str">
        <f t="shared" si="500"/>
        <v/>
      </c>
      <c r="GW232">
        <f t="shared" si="501"/>
        <v>0</v>
      </c>
      <c r="GX232" t="str">
        <f>IF(OR(B232="",DJ232=""),"",IFERROR(_xlfn.XLOOKUP(DJ232,Модули_умолч[Управление],Модули_умолч[Модель])&amp;"",""))</f>
        <v/>
      </c>
      <c r="GY232">
        <f>IF(DJ232="",1,IFERROR(MAX(0,N(_xlfn.XLOOKUP(DJ232,Модули_умолч[Управление],Модули_умолч[Каналов на линию]))),1))</f>
        <v>1</v>
      </c>
      <c r="GZ232" t="str">
        <f t="shared" si="502"/>
        <v/>
      </c>
      <c r="HA232" t="str">
        <f t="shared" si="503"/>
        <v/>
      </c>
      <c r="HB232" t="str">
        <f t="shared" si="504"/>
        <v/>
      </c>
      <c r="HC232">
        <f>IF(HB232="",0,IFERROR(N(VLOOKUP(HB232,Модули_спр,3,FALSE)),0))</f>
        <v>0</v>
      </c>
      <c r="HD232" t="str">
        <f t="shared" si="505"/>
        <v/>
      </c>
      <c r="HE232" t="str">
        <f t="shared" si="506"/>
        <v/>
      </c>
      <c r="HF232" t="str">
        <f>IF(OR(HE232="",HE232="-"),"",IFERROR(VLOOKUP(HE232,Модули_спр,2,FALSE),"R"))</f>
        <v/>
      </c>
      <c r="HG232" t="str">
        <f>IF(HF232="","",HF232&amp;"."&amp;COUNTIFS(A$3:A232,A232,HF$3:HF232,HF232))</f>
        <v/>
      </c>
      <c r="HH232" t="str">
        <f t="shared" si="507"/>
        <v/>
      </c>
      <c r="HI232" t="str">
        <f t="shared" si="508"/>
        <v/>
      </c>
      <c r="HJ232" t="str">
        <f t="shared" si="509"/>
        <v/>
      </c>
      <c r="HK232" t="str">
        <f t="shared" si="510"/>
        <v/>
      </c>
      <c r="HL232">
        <f t="shared" si="511"/>
        <v>1</v>
      </c>
      <c r="HM232" t="str">
        <f>IF(HL232=1,"XT"&amp;COUNTIFS(A$3:A232,A232,HL$3:HL232,1),"")</f>
        <v>XT8</v>
      </c>
      <c r="HN232" t="str">
        <f t="shared" si="512"/>
        <v>XT8</v>
      </c>
      <c r="HO232" t="str">
        <f t="shared" si="513"/>
        <v>QFD8</v>
      </c>
      <c r="HP232" t="str">
        <f t="shared" si="514"/>
        <v/>
      </c>
      <c r="HQ232" t="str">
        <f t="shared" si="515"/>
        <v>ok</v>
      </c>
      <c r="HR232" t="str">
        <f>IF(OR(HJ232="",HH232=""),"",IF(HJ232+MAX(0,GY232-1)&gt;IFERROR(VLOOKUP(HI232,Модули_спр,3,FALSE),99),"ЛИШНИЙ КАНАЛ",IF(AND(AL232&lt;&gt;"=",GY232&gt;0,COUNTIFS(Линии[_модуль гр.],HH232,Линии[Канал (итог)],HJ232,Линии[Канал],"&lt;&gt;=",Линии[Щит],A232)&gt;1),"ДУБЛЬ КАНАЛА","")))</f>
        <v/>
      </c>
      <c r="HS232" s="6" t="str">
        <f t="shared" si="516"/>
        <v/>
      </c>
      <c r="HT232">
        <f t="shared" si="517"/>
        <v>10</v>
      </c>
      <c r="HU232" t="str">
        <f t="shared" si="518"/>
        <v/>
      </c>
      <c r="HV232">
        <f t="shared" si="519"/>
        <v>0.94635609549978517</v>
      </c>
      <c r="HW232">
        <f t="shared" si="520"/>
        <v>0</v>
      </c>
      <c r="HX232">
        <f t="shared" si="521"/>
        <v>0</v>
      </c>
      <c r="HY232">
        <f t="shared" si="522"/>
        <v>0</v>
      </c>
      <c r="HZ232">
        <f t="shared" si="523"/>
        <v>0</v>
      </c>
      <c r="IA232">
        <f t="shared" si="524"/>
        <v>0</v>
      </c>
      <c r="IB232">
        <f t="shared" si="525"/>
        <v>0</v>
      </c>
      <c r="IC232" t="str">
        <f t="shared" si="526"/>
        <v/>
      </c>
      <c r="ID232" t="str" cm="1">
        <f t="array" ref="ID232">IF(IC232="","",_xlfn.LET(_xlpm.tk,_xlfn.TEXTSPLIT(SUBSTITUTE(SUBSTITUTE(IC232,";"," "),"→"," ")," ",,TRUE),_xlpm.w_,_xlfn._xlws.FILTER(_xlpm.tk,ISNUMBER(--LEFT(_xlpm.tk,1))*((ISNUMBER(SEARCH("W",_xlpm.tk))+ISNUMBER(SEARCH("Вт",_xlpm.tk)))&gt;0),""),IFERROR(--SUBSTITUTE(SUBSTITUTE(UPPER(INDEX(_xlpm.w_,1)),"W",""),"ВТ",""),"")))</f>
        <v/>
      </c>
      <c r="IE232" t="str" cm="1">
        <f t="array" ref="IE232">IF(IC232="","",_xlfn.LET(_xlpm.tk,_xlfn.TEXTSPLIT(SUBSTITUTE(SUBSTITUTE(IC232,";"," "),"→"," ")," ",,TRUE),_xlpm.v_,_xlfn._xlws.FILTER(_xlpm.tk,ISNUMBER(--LEFT(_xlpm.tk,1))*((ISNUMBER(SEARCH("V",_xlpm.tk))+(RIGHT(UPPER(_xlpm.tk))="В"))&gt;0),""),IFERROR(--SUBSTITUTE(SUBSTITUTE(UPPER(INDEX(_xlpm.v_,1)),"V",""),"В",""),"")))</f>
        <v/>
      </c>
      <c r="IF232" s="6" t="str">
        <f>IF(OR(BV232=0,HI232="",HJ232=""),"",IFERROR(N(_xlfn.XLOOKUP(HI232,Каталог!$C$4:$C$500,Каталог!$Q$4:$Q$500)),""))</f>
        <v/>
      </c>
      <c r="IG232" s="6" t="str">
        <f>IF(N(IF232)=0,"",SUMIFS(Линии[Iр, А],Линии[Щит],A232,Линии[_модуль гр.],HH232,Линии[Канал (итог)],HJ232))</f>
        <v/>
      </c>
      <c r="IH232" t="str">
        <f>IF(AND(B232="",HO232=""),"",_xlfn.TEXTJOIN("; ",TRUE,IF(AND(B232&lt;&gt;"",FV232=""),"нет фазы",""),IF(AND(B232&lt;&gt;"",N(GL232)=0,FG232&lt;&gt;"Нет"),"нет мощности",""),IF(AND(HN232&lt;&gt;"",COUNTIFS(Линии[Щит],A232,Линии[Клемма (итог)],HN232)&gt;1),"дубль клеммы "&amp;HN232,""),IF(AND(HQ232&lt;&gt;"",HQ232&lt;&gt;"ok"),HQ232,""),IF(HR232&lt;&gt;"",HR232,""),IF(AND(N(CB232)&gt;=4,N(BX232)=1),CB232&amp;" жил на 1 фазе",""),IF(AND(BC232="R",CG232=1,IF(CS232&lt;&gt;"",N(CV232)&gt;30,OR(N(DA232)=0,N(DA232)&gt;30))),"розетка без дифзащиты до 30 мА",""),IF(AND(CG232=1,N(DA232)&gt;0,ISNUMBER(T232)),IF(T232&gt;N(DA232)/3,"ток утечки "&amp;FIXED(T232,1)&amp;" мА &gt; 1/3 уставки ("&amp;DA232&amp;" мА)",""),""),IF(AND(CH232=1,CS232=""),"«узо»: нет строки с УЗО выше (УЗО 2P 40А 30мА в «Аппаратах»)",""),IF(AND(CS232&lt;&gt;"",CS232=BA232),IF(CT232="","впишите номинал УЗО (УЗО 2P 40А 30мА)",IF(N(CT232)&lt;N(DT232),"УЗО "&amp;CT232&amp;" А &lt; автомата "&amp;DT232&amp;" А перед ним",IF(N(CT232)&lt;N(CX232),"УЗО "&amp;CT232&amp;" А &lt; тока блока "&amp;FIXED(CX232,1)&amp;" А",""))),""),IF(AND(CS232&lt;&gt;"",CS232=BA232,ISNUMBER(CY232)),IF(CY232&gt;N(CV232)/3,"ток утечки блока УЗО "&amp;FIXED(CY232,1)&amp;" мА &gt; 1/3 уставки ("&amp;CV232&amp;" мА)",""),""),IF(AND(CG232=1,N(BV232)+N(IB232)&gt;0,IC232=""),"линии до 50 В без БП: впишите в «Аппараты» (БП 24V 480W)",""),IF(AND(CG232=1,ISNUMBER(ID232),ISNUMBER(U232)),IF(U232&gt;ID232,"БП "&amp;ID232&amp;" Вт &lt; нужно "&amp;U232&amp;" Вт (×"&amp;Запас_БП&amp;")",""),""),IF(AND(CG232=1,ISNUMBER(IE232),N(BV232)=1),IF(IE232&lt;&gt;N(BU232),"БП на "&amp;IE232&amp;" В, линия "&amp;BU232&amp;" В",""),""),IF(AND(N(IF232)&gt;0,N(IG232)&gt;N(IF232)),HH232&amp;" канал "&amp;HJ232&amp;": "&amp;FIXED(IG232,1)&amp;" А &gt; "&amp;IF232&amp;" А",""),IFERROR(IF(AND(ISNUMBER(Q232),Q232&gt;EL232),"потери "&amp;FIXED(Q232,1)&amp;" % &gt; "&amp;EL232&amp;" %",""),""),IFERROR(IF(LEFT(HU232,4)="мало","Iкз мало — отключение &gt; 0,4 с",""),""),IF(AND(B232&lt;&gt;"",BM232=""),"не на схеме",""),IF(AND(CG232=0,B232&lt;&gt;"",FV232&lt;&gt;"",IF(BA232=1,"",FW231)&lt;&gt;"",FV232&lt;&gt;IF(BA232=1,"",FW231)),"фаза не как у автомата группы ("&amp;IF(BA232=1,"",FW231)&amp;")","")))</f>
        <v/>
      </c>
      <c r="II232" s="6">
        <f>IF(OR(CG232=0,DQ232=""),"",_xlfn.LET(_xlpm.t,IFERROR(_xlfn.XLOOKUP(DQ232,Каталог!$U$4:$U$500,Каталог!$G$4:$G$500),""),_xlpm.k,SEARCH("кА",_xlpm.t),IFERROR(--TRIM(RIGHT(SUBSTITUTE(MID(_xlpm.t,MAX(1,_xlpm.k-4),_xlpm.k-MAX(1,_xlpm.k-4))," ",REPT(" ",9)),5)),"")))</f>
        <v>6</v>
      </c>
      <c r="IJ232" t="str">
        <f>IF(OR(II232="",CG232=0),"",IF(_xlfn.XLOOKUP(A232,Щиты[Щит],Щиты[Iкз max на шинах, кА],"")="","",IF(II232&lt;_xlfn.XLOOKUP(A232,Щиты[Щит],Щиты[Iкз max на шинах, кА]),"Icu "&amp;II232&amp;" кА &lt; Iкз max","ok")))</f>
        <v/>
      </c>
      <c r="IK232" t="str">
        <f t="shared" si="527"/>
        <v/>
      </c>
      <c r="IL232" t="str">
        <f t="shared" si="528"/>
        <v>QFD8|XT8</v>
      </c>
      <c r="IM232" t="str">
        <f t="shared" si="529"/>
        <v>QFD8|XT8|кабель ВВГнг(А)-LS (3х2,5) → Розеточная группа Первый этаж Пом. №002Б Ледогенератор</v>
      </c>
      <c r="IN232" t="str" cm="1">
        <f t="array" ref="IN232">IF(IM232="","",_xlfn.LET(_xlpm.nd,_xlfn.TEXTSPLIT(IM232,"|"),IF(COLUMNS(_xlpm.nd)&gt;1,A232&amp;"¦"&amp;INDEX(_xlpm.nd,1)&amp;"¦"&amp;INDEX(_xlpm.nd,2),"")))</f>
        <v>ЩР-1¦QFD8¦XT8</v>
      </c>
      <c r="IO232" t="str">
        <f t="shared" si="530"/>
        <v>R.1.002Б.3¦Розеточная группа Первый этаж Пом. №002Б Ледогенератор</v>
      </c>
      <c r="IP232" t="str" cm="1">
        <f t="array" ref="IP232">IF(IM232="","",_xlfn.LET(_xlpm.nd,_xlfn.TEXTSPLIT(IM232,"|"),IF(COLUMNS(_xlpm.nd)&gt;2,A232&amp;"¦"&amp;INDEX(_xlpm.nd,2)&amp;"¦"&amp;INDEX(_xlpm.nd,3),"")))</f>
        <v>ЩР-1¦XT8¦кабель ВВГнг(А)-LS (3х2,5) → Розеточная группа Первый этаж Пом. №002Б Ледогенератор</v>
      </c>
      <c r="IQ232" t="str">
        <f t="shared" si="531"/>
        <v>R.1.002Б.3¦Розеточная группа Первый этаж Пом. №002Б Ледогенератор</v>
      </c>
      <c r="IR232" t="str" cm="1">
        <f t="array" ref="IR232">IF(IM232="","",_xlfn.LET(_xlpm.nd,_xlfn.TEXTSPLIT(IM232,"|"),IF(COLUMNS(_xlpm.nd)&gt;3,A232&amp;"¦"&amp;INDEX(_xlpm.nd,3)&amp;"¦"&amp;INDEX(_xlpm.nd,4),"")))</f>
        <v/>
      </c>
      <c r="IS232" t="str">
        <f t="shared" si="532"/>
        <v/>
      </c>
      <c r="IT232" t="str" cm="1">
        <f t="array" ref="IT232">IF(IM232="","",_xlfn.LET(_xlpm.nd,_xlfn.TEXTSPLIT(IM232,"|"),IF(COLUMNS(_xlpm.nd)&gt;4,A232&amp;"¦"&amp;INDEX(_xlpm.nd,4)&amp;"¦"&amp;INDEX(_xlpm.nd,5),"")))</f>
        <v/>
      </c>
      <c r="IU232" t="str">
        <f t="shared" si="533"/>
        <v/>
      </c>
      <c r="IV232" t="str" cm="1">
        <f t="array" ref="IV232">IF(IM232="","",_xlfn.LET(_xlpm.nd,_xlfn.TEXTSPLIT(IM232,"|"),IF(COLUMNS(_xlpm.nd)&gt;5,A232&amp;"¦"&amp;INDEX(_xlpm.nd,5)&amp;"¦"&amp;INDEX(_xlpm.nd,6),"")))</f>
        <v/>
      </c>
      <c r="IW232" t="str">
        <f t="shared" si="534"/>
        <v/>
      </c>
      <c r="IX232" t="str" cm="1">
        <f t="array" ref="IX232">IF(IM232="","",_xlfn.LET(_xlpm.nd,_xlfn.TEXTSPLIT(IM232,"|"),IF(COLUMNS(_xlpm.nd)&gt;6,A232&amp;"¦"&amp;INDEX(_xlpm.nd,6)&amp;"¦"&amp;INDEX(_xlpm.nd,7),"")))</f>
        <v/>
      </c>
      <c r="IY232" t="str">
        <f t="shared" si="535"/>
        <v/>
      </c>
      <c r="IZ232" t="str">
        <f t="shared" si="536"/>
        <v/>
      </c>
      <c r="JA232" t="str">
        <f t="shared" si="537"/>
        <v>QFD8 → XT8</v>
      </c>
      <c r="JB232">
        <f t="shared" si="538"/>
        <v>0</v>
      </c>
      <c r="JC232">
        <f t="shared" si="539"/>
        <v>1</v>
      </c>
      <c r="JD232" t="str">
        <f t="shared" si="540"/>
        <v/>
      </c>
      <c r="JE232" t="str">
        <f t="shared" si="541"/>
        <v/>
      </c>
      <c r="JF232" t="str">
        <f t="shared" si="542"/>
        <v/>
      </c>
      <c r="JG232" t="str">
        <f t="shared" si="543"/>
        <v/>
      </c>
      <c r="JH232" t="str">
        <f>IF(B232="","",IFERROR(_xlfn.XLOOKUP(B232,Коды_код,Коды_уго),IFERROR(_xlfn.XLOOKUP(BC232,Коды_код,Коды_уго),IFERROR(_xlfn.XLOOKUP(LEFT(BC232,2),Коды_код,Коды_уго),""))))</f>
        <v>Розетка</v>
      </c>
      <c r="JI232" t="str">
        <f>IF(B232="","",IF(OR(JH232="",JH232=0),"BOX",IFERROR(IF(VLOOKUP(JH232,УГО_блоки,3,FALSE)&amp;""&lt;&gt;"",VLOOKUP(JH232,УГО_блоки,3,FALSE),VLOOKUP(JH232,УГО_блоки,2,FALSE)),JH232)))</f>
        <v>SOCKET</v>
      </c>
      <c r="JJ232">
        <f t="shared" si="544"/>
        <v>1</v>
      </c>
      <c r="JK232" t="str">
        <f>IF(DQ232="","",IF(COUNTIF(DQ$3:DQ232,DQ232)=1,MAX(JK$2:JK231)+1,""))</f>
        <v/>
      </c>
      <c r="JL232" t="str">
        <f>IF(DE232="","",IF(COUNTIF(DE$3:DE232,DE232)+COUNTIF(DF$2:DF231,DE232)+COUNTIF(DG$2:DG231,DE232)=1,MAX(JL$2:JN231)+1,""))</f>
        <v/>
      </c>
      <c r="JM232" t="str">
        <f>IF(DF232="","",IF(COUNTIF(DE$3:DE232,DF232)+COUNTIF(DF$3:DF232,DF232)+COUNTIF(DG$2:DG231,DF232)=1,MAX(JL$2:JN231,JL232)+1,""))</f>
        <v/>
      </c>
      <c r="JN232" t="str">
        <f>IF(DG232="","",IF(COUNTIF(DE$3:DE232,DG232)+COUNTIF(DF$3:DF232,DG232)+COUNTIF(DG$3:DG232,DG232)=1,MAX(JL$2:JN231,JL232,JM232)+1,""))</f>
        <v/>
      </c>
      <c r="JO232" t="str">
        <f t="shared" si="545"/>
        <v>3х2,5</v>
      </c>
      <c r="JP232" t="str">
        <f>IF(JO232="","",IF(COUNTIF(JO$3:JO232,JO232)=1,MAX(JP$2:JP231)+1,""))</f>
        <v/>
      </c>
      <c r="JQ232" t="str">
        <f>IF(HG232="","",COUNTIF(HG$3:HG232,"?*"))</f>
        <v/>
      </c>
      <c r="JR232" t="str">
        <f>IF(OR(HG232="",HI232=""),"",IF(COUNTIFS(HG$3:HG232,"?*",HI$3:HI232,HI232)=1,MAX(JR$2:JR231)+1,""))</f>
        <v/>
      </c>
      <c r="JS232">
        <f t="shared" si="546"/>
        <v>0</v>
      </c>
      <c r="JT232">
        <f>IF(B232="","",COUNTIF(B$3:B232,"?*"))</f>
        <v>230</v>
      </c>
      <c r="JU232">
        <f>IF(HL232&lt;&gt;1,0,_xlfn.LET(_xlpm.k,MAX(IFERROR(--_xlfn.XLOOKUP(B232,Коды_код,Коды_3L),0),IFERROR(--_xlfn.XLOOKUP(BC232,Коды_код,Коды_3L),0),IFERROR(--_xlfn.XLOOKUP(LEFT(BC232,2),Коды_код,Коды_3L),0)),IF(_xlpm.k&gt;0,_xlpm.k,IF(IFERROR(--LEFT(SUBSTITUTE(JO232,"x","х"),FIND("х",SUBSTITUTE(JO232,"x","х"))-1),3)&gt;3,Каталог!$S$9,1))))</f>
        <v>1</v>
      </c>
      <c r="JV232">
        <f t="shared" si="547"/>
        <v>0</v>
      </c>
      <c r="JW232" t="str">
        <f t="shared" si="548"/>
        <v>авто</v>
      </c>
      <c r="JX232">
        <f t="shared" si="549"/>
        <v>30</v>
      </c>
      <c r="JY232">
        <f t="shared" si="550"/>
        <v>1</v>
      </c>
      <c r="JZ232">
        <f t="shared" si="551"/>
        <v>1</v>
      </c>
    </row>
    <row r="233" spans="1:286" x14ac:dyDescent="0.3">
      <c r="A233" t="s">
        <v>757</v>
      </c>
      <c r="B233" t="s">
        <v>1539</v>
      </c>
      <c r="C233" t="s">
        <v>1709</v>
      </c>
      <c r="D233">
        <v>1</v>
      </c>
      <c r="E233">
        <v>0.18</v>
      </c>
      <c r="G233" t="str">
        <f>Линии[[#This Row],[_авто автомат]]</f>
        <v>2P С16А 30мА</v>
      </c>
      <c r="H233" t="str">
        <f>Линии[[#This Row],[_авто управление]]</f>
        <v/>
      </c>
      <c r="I233" t="str">
        <f>Линии[[#This Row],[_авто аппараты]]</f>
        <v/>
      </c>
      <c r="J233">
        <v>2.5</v>
      </c>
      <c r="K233">
        <v>14</v>
      </c>
      <c r="L233" t="str">
        <f>Линии[[#This Row],[_авто фаза]]</f>
        <v>L2</v>
      </c>
      <c r="M233" t="s">
        <v>484</v>
      </c>
      <c r="N233" t="str">
        <f t="shared" si="414"/>
        <v/>
      </c>
      <c r="O233" s="6" cm="1">
        <f t="array" ref="O233">IF(B233="","",IF(BH233&lt;&gt;"",IFERROR(_xlfn.XLOOKUP(BH233,Щиты[Щит],Щиты[Iр, А]),""),IF(BP233=1,IF(OR(N(_xlfn.XLOOKUP(A233,Щиты[Щит],Щиты[Вводов],1))&lt;=1,LOWER(TRIM(_xlfn.XLOOKUP(A233,Щиты[Щит],Щиты[АВР],"")&amp;""))="да"),IFERROR(_xlfn.XLOOKUP(A233,Щиты[Щит],Щиты[Iр, А]),""),IFERROR(N(BS233)*_xlfn.XLOOKUP(A233,Щиты[Щит],Щиты[Кс итог])/(SQRT(3)*Uн_лин*_xlfn.XLOOKUP(A233,Щиты[Щит],Щиты[cos φ])),"")),IF(BV233=1,IFERROR(BS233*1000/BU233,""),IFERROR(_xlfn.IFS(BX233=1,BS233/((Uн_лин/SQRT(3))*CE233),BX233=3,BS233/(SQRT(3)*Uн_лин*CE233)),"")))))</f>
        <v>0.8204451193747313</v>
      </c>
      <c r="P233" s="7">
        <f>IF(B233="","",IFERROR(IF(VLOOKUP(BC233,Потребители_обозначение,4,FALSE)=1,VLOOKUP(BC233,Потребители_обозначение,3,FALSE)*(MAX(1,N(D233))*2-1)+EI233+VLOOKUP(BE233,Этаж_обозначение,3,FALSE)+VLOOKUP(BE233,Этаж_обозначение,4,FALSE),VLOOKUP(BC233,Потребители_обозначение,3,FALSE)*(MAX(1,N(D233))*2-1)+EI233),EI233))</f>
        <v>17</v>
      </c>
      <c r="Q233" s="6">
        <f t="shared" si="415"/>
        <v>1.3</v>
      </c>
      <c r="R233" t="str">
        <f t="shared" si="416"/>
        <v>ВВГнг(А)-LS (3х2,5)</v>
      </c>
      <c r="S233" t="str">
        <f>IF(BM233="","",IF(BN233="вводной узел","узел ","")&amp;"л."&amp;(INT((BM233-1)/Столбцов_на_лист)+1)&amp;" / "&amp;(MOD(BM233-1,Столбцов_на_лист)+1))</f>
        <v>л.2 / 2</v>
      </c>
      <c r="T233" s="119">
        <f t="shared" si="417"/>
        <v>0.5</v>
      </c>
      <c r="U233" s="7" t="str">
        <f>IF(OR(CG233=0,N(BV233)+N(IB233)=0),"",ROUNDUP(Запас_БП*(N(HY233)+N(HZ233)),0))</f>
        <v/>
      </c>
      <c r="V233" s="119" t="str">
        <f t="shared" si="418"/>
        <v/>
      </c>
      <c r="W233" s="7" t="str">
        <f>IFERROR(IF(OR(B233="",BP233=1,BV233=1,NOT(ISNUMBER(EN233)),N(DT233)=0),"",MAX(0,ROUNDDOWN((c_min*(Uн_лин*1000/SQRT(3))/(HT233*N(DT233))-_xlfn.XLOOKUP(A233,Щиты[Щит],Щиты[Zпетли на шинах, Ом]))*EN233/(2*ρкз_Cu),0))),"")</f>
        <v/>
      </c>
      <c r="Y233">
        <f>Линии[[#This Row],[_авто утечка]]</f>
        <v>30</v>
      </c>
      <c r="Z233">
        <v>1</v>
      </c>
      <c r="AA233">
        <v>230</v>
      </c>
      <c r="AB233" t="s">
        <v>562</v>
      </c>
      <c r="AG233" t="s">
        <v>810</v>
      </c>
      <c r="AI233" t="s">
        <v>561</v>
      </c>
      <c r="AK233" t="str">
        <f>Линии[[#This Row],[_авто модуль]]</f>
        <v/>
      </c>
      <c r="AM233">
        <v>19</v>
      </c>
      <c r="AN233" t="s">
        <v>11</v>
      </c>
      <c r="AO233">
        <v>3</v>
      </c>
      <c r="AQ233">
        <v>0</v>
      </c>
      <c r="AR233">
        <v>14</v>
      </c>
      <c r="AS233">
        <v>0</v>
      </c>
      <c r="BA233" cm="1">
        <f t="array" ref="BA233">ROW()-ROW(Линии[#Headers])</f>
        <v>231</v>
      </c>
      <c r="BC233" s="6" t="str">
        <f t="shared" si="419"/>
        <v>R</v>
      </c>
      <c r="BD233" t="str">
        <f t="shared" si="420"/>
        <v>1.002Б.4</v>
      </c>
      <c r="BE233" t="str">
        <f t="shared" si="421"/>
        <v>1</v>
      </c>
      <c r="BF233" t="str">
        <f t="shared" si="422"/>
        <v>002Б.4</v>
      </c>
      <c r="BG233" t="str">
        <f t="shared" si="423"/>
        <v>002Б</v>
      </c>
      <c r="BH233" t="str">
        <f>IF(X233&lt;&gt;"",X233,IF(AND(B233&lt;&gt;"",B233&lt;&gt;A233,ISNUMBER(_xlfn.XMATCH(B233,Щиты[Щит]))),B233,""))</f>
        <v/>
      </c>
      <c r="BI233" t="str" cm="1">
        <f t="array" ref="BI233">IF(B233="","",IF(BH233&lt;&gt;"","Щит "&amp;BH233,_xlfn.LET(_xlpm.nm,IFERROR(_xlfn.XLOOKUP(BC233,Коды_код,Коды_имя)&amp;"",""),_xlpm.md,IFERROR(N(_xlfn.XLOOKUP(BC233,Коды_код,Коды_режим)),1),_xlpm.ex,IF(Имя_режим="по экспликации",IFERROR(_xlfn.XLOOKUP(BE233&amp;"|"&amp;BG233,Экспликация[Этаж]&amp;"|"&amp;Экспликация[Помещение],Экспликация[Название])&amp;"",""),""),_xlpm.rm,IF(BG233="","",IF(_xlpm.ex&lt;&gt;"",". "&amp;_xlpm.ex&amp;IF(Имя_пом="нет"," ("&amp;BG233&amp;")"," (пом. "&amp;BG233&amp;")"),IF(Имя_пом="нет"," ",", пом. ")&amp;BG233)),IF(_xlpm.nm="","",IF(_xlpm.md=2,_xlpm.nm&amp;" шлейф "&amp;BE233,_xlpm.nm&amp;_xlpm.rm)))))</f>
        <v>Розеточная группа, пом. 002Б</v>
      </c>
      <c r="BJ233" t="str">
        <f t="shared" si="424"/>
        <v>Розеточная группа Первый этаж Пом. №002Б Фартук</v>
      </c>
      <c r="BK233">
        <f>IFERROR(_xlfn.XMATCH(A233,Щиты[Щит]),0)</f>
        <v>10</v>
      </c>
      <c r="BL233">
        <f>_xlfn.LET(_xlpm.k,IFERROR(_xlfn.XLOOKUP(A233,Щиты[Щит],Щиты[Мест под вводной узел]),""),IF(_xlpm.k="",Столбцов_на_лист,N(_xlpm.k)))</f>
        <v>8</v>
      </c>
      <c r="BM233">
        <f t="shared" si="425"/>
        <v>19</v>
      </c>
      <c r="BN233" t="str">
        <f t="shared" si="426"/>
        <v>линии</v>
      </c>
      <c r="BO233" s="6">
        <f>IFERROR(N(_xlfn.XLOOKUP(BC233,Коды_код,Коды_квт)),0)</f>
        <v>0</v>
      </c>
      <c r="BP233">
        <f t="shared" si="427"/>
        <v>0</v>
      </c>
      <c r="BQ233" t="str">
        <f>IF(B233="","",IF(BH233&lt;&gt;"",IFERROR(_xlfn.XLOOKUP(BH233,Щиты[Щит],Щиты[Руст, кВт]),0),IF(BP233=1,IF(OR(N(_xlfn.XLOOKUP(A233,Щиты[Щит],Щиты[Вводов],1))&lt;=1,LOWER(TRIM(_xlfn.XLOOKUP(A233,Щиты[Щит],Щиты[АВР],"")&amp;""))="да"),IFERROR(_xlfn.XLOOKUP(A233,Щиты[Щит],Щиты[Руст, кВт]),0),SUMIFS(Линии[_Р для вводов],Линии[Щит],A233,Линии[Источник для режимов],GF233)),IF(BO233&gt;0,ROUND(BO233*MAX(1,N(D233)),3),""))))</f>
        <v/>
      </c>
      <c r="BR233">
        <f t="shared" si="428"/>
        <v>0.18</v>
      </c>
      <c r="BS233" s="6">
        <f>IF(B233="","",IF(BH233&lt;&gt;"",IFERROR(_xlfn.XLOOKUP(BH233,Щиты[Щит],Щиты[Руст, кВт]),0),N(BR233)))</f>
        <v>0.18</v>
      </c>
      <c r="BT233" t="str">
        <f>IF(B233="","",IFERROR(IF(VLOOKUP(BC233,Потребители_обозначение,8,FALSE)=0,"",VLOOKUP(BC233,Потребители_обозначение,8,FALSE)),""))</f>
        <v/>
      </c>
      <c r="BU233">
        <f t="shared" si="429"/>
        <v>230</v>
      </c>
      <c r="BV233">
        <f t="shared" si="430"/>
        <v>0</v>
      </c>
      <c r="BW233">
        <f>IF(B233="","",IF(BH233&lt;&gt;"",3,IFERROR(IF(N(VLOOKUP(BC233,Потребители_обозначение,9,FALSE))=0,1,VLOOKUP(BC233,Потребители_обозначение,9,FALSE)),1)))</f>
        <v>1</v>
      </c>
      <c r="BX233">
        <f t="shared" si="431"/>
        <v>1</v>
      </c>
      <c r="BY233" t="str">
        <f>IF(B233="","",_xlfn.LET(_xlpm.bc,IFERROR(IF(VLOOKUP(BC233,Потребители_обозначение,6,FALSE)=0,"",VLOOKUP(BC233,Потребители_обозначение,6,FALSE)&amp;""),""),IF(AND(GA233="да",OR(_xlpm.bc="",_xlpm.bc="мс")),Марка_пож,IF(AND(_xlpm.bc="",BH233&lt;&gt;""),"мс",_xlpm.bc))))</f>
        <v/>
      </c>
      <c r="BZ233" t="str">
        <f t="shared" si="432"/>
        <v>мс</v>
      </c>
      <c r="CA233">
        <f>IF(B233="","",_xlfn.LET(_xlpm.cc,IFERROR(N(VLOOKUP(BC233,Потребители_обозначение,7,FALSE)),0),IF(_xlpm.cc&gt;0,_xlpm.cc,IF(BZ233="","",IF(BV233=1,2,IF(N(BX233)=3,5,3))))))</f>
        <v>3</v>
      </c>
      <c r="CB233">
        <f t="shared" si="433"/>
        <v>3</v>
      </c>
      <c r="CC233">
        <f>IFERROR(N(VLOOKUP(BC233,Потребители_обозначение,10,FALSE)),0)</f>
        <v>0</v>
      </c>
      <c r="CD233">
        <f>IFERROR(VLOOKUP(BC233,Потребители_обозначение,5,FALSE),0)</f>
        <v>1</v>
      </c>
      <c r="CE233" s="6" cm="1">
        <f t="array" ref="CE233">IF(B233="","",IF(BH233&lt;&gt;"",IFERROR(_xlfn.XLOOKUP(BH233,Щиты[Щит],Щиты[cos φ]),0.95),IF(BP233=1,IFERROR(_xlfn.XLOOKUP(A233,Щиты[Щит],Щиты[cos φ]),0.95),IF(ISNUMBER(AD233),AD233,IFERROR(IF(CD233=2,_xlfn.IFS(BX233=3,VLOOKUP(BS233,Справочная_двигатели,8,FALSE),BX233=1,VLOOKUP(BS233,Справочная_двигатели,10,TRUE)),IF(AND(Методика="нормы 2026",FG233="Сил"),0.8,0.95)),0.95)))))</f>
        <v>0.95</v>
      </c>
      <c r="CF233">
        <f t="shared" si="434"/>
        <v>0</v>
      </c>
      <c r="CG233">
        <f t="shared" si="435"/>
        <v>1</v>
      </c>
      <c r="CH233">
        <f t="shared" si="436"/>
        <v>0</v>
      </c>
      <c r="CI233">
        <f>IF(B233="","",IF(BV233=1,IFERROR(BS233/((Uн_лин/SQRT(3))*MAX(0.5,N(CE233))),0),N(O233)))</f>
        <v>0.8204451193747313</v>
      </c>
      <c r="CJ233">
        <f t="shared" si="437"/>
        <v>0</v>
      </c>
      <c r="CK233">
        <f t="shared" si="438"/>
        <v>0</v>
      </c>
      <c r="CL233">
        <f t="shared" si="439"/>
        <v>0</v>
      </c>
      <c r="CM233">
        <f t="shared" si="440"/>
        <v>0</v>
      </c>
      <c r="CN233">
        <f t="shared" si="441"/>
        <v>0</v>
      </c>
      <c r="CO233">
        <f>IF(BC233="",0,_xlfn.LET(_xlpm.v,IFERROR(_xlfn.XLOOKUP(B233,Коды_код,Коды_мА),IFERROR(_xlfn.XLOOKUP(BC233,Коды_код,Коды_мА),IFERROR(_xlfn.XLOOKUP(LEFT(BC233,2),Коды_код,Коды_мА),""))),IF(_xlpm.v="да",30,IF(ISNUMBER(_xlpm.v),_xlpm.v,0))))</f>
        <v>30</v>
      </c>
      <c r="CP233">
        <f t="shared" si="442"/>
        <v>30</v>
      </c>
      <c r="CQ233" t="str">
        <f>_xlfn.LET(_xlpm.k,IFERROR(_xlfn.XLOOKUP(BC233,Коды_код,Коды_утечка)&amp;"",""),IF(_xlpm.k="","дифавтомат",_xlpm.k))</f>
        <v>дифавтомат</v>
      </c>
      <c r="CR233" t="str" cm="1">
        <f t="array" ref="CR233">IF(CG233=0,"",_xlfn.LET(_xlpm.sg,TRIM(_xlfn.TEXTSPLIT(DD233&amp;"",";")),_xlpm.f_,_xlfn._xlws.FILTER(_xlpm.sg,LEFT(_xlpm.sg,3)="УЗО",""),IFERROR(INDEX(_xlpm.f_,1)&amp;"","")))</f>
        <v/>
      </c>
      <c r="CS233" t="str">
        <f t="shared" si="443"/>
        <v/>
      </c>
      <c r="CT233" s="6" t="str" cm="1">
        <f t="array" ref="CT233">IF(CR233="","",_xlfn.LET(_xlpm.tk,_xlfn.TEXTSPLIT(UPPER(CR233)," ",,TRUE),_xlpm.a_,_xlfn._xlws.FILTER(_xlpm.tk,ISNUMBER(--LEFT(_xlpm.tk,1))*((ISNUMBER(SEARCH("А",_xlpm.tk))+ISNUMBER(SEARCH("A",_xlpm.tk)))&gt;0)*NOT(ISNUMBER(SEARCH("МА",_xlpm.tk)))*NOT(ISNUMBER(SEARCH("MA",_xlpm.tk))),""),IFERROR(--SUBSTITUTE(SUBSTITUTE(INDEX(_xlpm.a_,1),"А",""),"A",""),"")))</f>
        <v/>
      </c>
      <c r="CU233" t="str" cm="1">
        <f t="array" ref="CU233">IF(CR233="","",_xlfn.LET(_xlpm.tk,_xlfn.TEXTSPLIT(UPPER(CR233)," ",,TRUE),_xlpm.a_,_xlfn._xlws.FILTER(_xlpm.tk,ISNUMBER(--LEFT(_xlpm.tk,1))*((ISNUMBER(SEARCH("МА",_xlpm.tk))+ISNUMBER(SEARCH("MA",_xlpm.tk)))&gt;0),""),IFERROR(--SUBSTITUTE(SUBSTITUTE(INDEX(_xlpm.a_,1),"МА",""),"MA",""),30)))</f>
        <v/>
      </c>
      <c r="CV233" t="str">
        <f>IF(CS233="","",IFERROR(_xlfn.XLOOKUP(CS233,Линии[_n],Линии[_УЗО, мА]),30))</f>
        <v/>
      </c>
      <c r="CW233">
        <f>IF(CS233="",0,IF(ISNUMBER(SEARCH("4P",IFERROR(_xlfn.XLOOKUP(CS233,Линии[_n],Линии[_УЗО строки])&amp;"",""))),0,1))</f>
        <v>0</v>
      </c>
      <c r="CX233" t="str">
        <f>IF(AND(CS233&lt;&gt;"",CS233=BA233),SUMIFS(Линии[_ток на 230 В],Линии[_блок УЗО],BA233,Линии[Щит],A233),"")</f>
        <v/>
      </c>
      <c r="CY233" t="str">
        <f>IF(AND(CS233&lt;&gt;"",CS233=BA233),SUMIFS(Линии[_ток утечки линии, мА],Линии[_блок УЗО],BA233,Линии[Щит],A233),"")</f>
        <v/>
      </c>
      <c r="CZ233">
        <f t="shared" si="444"/>
        <v>30</v>
      </c>
      <c r="DA233">
        <f t="shared" si="445"/>
        <v>30</v>
      </c>
      <c r="DB233">
        <f>IF(B233="",0,IFERROR(--_xlfn.XLOOKUP(B233,Коды_код,Коды_минавт),IFERROR(--_xlfn.XLOOKUP(BC233,Коды_код,Коды_минавт),IFERROR(--_xlfn.XLOOKUP(LEFT(BC233,2),Коды_код,Коды_минавт),0))))</f>
        <v>16</v>
      </c>
      <c r="DC233" t="str">
        <f>IF(B233="","",IFERROR(_xlfn.XLOOKUP(BC233,Коды_код,Коды_апп)&amp;"",""))</f>
        <v/>
      </c>
      <c r="DD233" t="str">
        <f t="shared" si="446"/>
        <v/>
      </c>
      <c r="DE233" t="str" cm="1">
        <f t="array" ref="DE233">IF(TRIM(DD233&amp;"")="","",IFERROR(TRIM(INDEX(_xlfn.TEXTSPLIT(DD233&amp;";;;",";"),1)),""))</f>
        <v/>
      </c>
      <c r="DF233" t="str" cm="1">
        <f t="array" ref="DF233">IF(TRIM(DD233&amp;"")="","",IFERROR(TRIM(INDEX(_xlfn.TEXTSPLIT(DD233&amp;";;;",";"),2)),""))</f>
        <v/>
      </c>
      <c r="DG233" t="str" cm="1">
        <f t="array" ref="DG233">IF(TRIM(DD233&amp;"")="","",IFERROR(TRIM(INDEX(_xlfn.TEXTSPLIT(DD233&amp;";;;",";"),3)),""))</f>
        <v/>
      </c>
      <c r="DH233">
        <f t="shared" si="447"/>
        <v>0</v>
      </c>
      <c r="DI233" t="str">
        <f>IF(B233="","",_xlfn.LET(_xlpm.t,LOWER(AZ233&amp;""),IF(ISNUMBER(SEARCH("dim",_xlpm.t)),"DIM",IF(ISNUMBER(SEARCH("dali",_xlpm.t)),"DALI",IF(OR(ISNUMBER(SEARCH("relay",_xlpm.t)),ISNUMBER(SEARCH("реле",_xlpm.t))),"Relay",IF(ISNUMBER(SEARCH("кнопк",_xlpm.t)),"",IFERROR(_xlfn.XLOOKUP(BC233,Коды_код,Коды_упр)&amp;"","")))))))</f>
        <v/>
      </c>
      <c r="DJ233" t="str">
        <f t="shared" si="448"/>
        <v/>
      </c>
      <c r="DK233">
        <f>IF(B233="","",_xlfn.LET(_xlpm.ig,IF(N(CX233)&gt;0,N(CX233),N(CI233)+IF(AJ233="вручную",0,N(CJ233))),_xlpm.n0,IFERROR(VLOOKUP(_xlpm.ig,Автомат_номиналы,2,TRUE),0),_xlpm.mn,MAX(DB233,IF(AJ233="вручную",0,N(CM233))),MAX(_xlpm.n0,_xlpm.mn,IF(DH233=1,Мин_автомат_БП,0))))</f>
        <v>16</v>
      </c>
      <c r="DL233">
        <f t="shared" si="449"/>
        <v>1</v>
      </c>
      <c r="DM233" t="str">
        <f t="shared" si="450"/>
        <v>2P</v>
      </c>
      <c r="DN233" t="str">
        <f>_xlfn.LET(_xlpm.cc,UPPER(TRIM(IFERROR(_xlfn.XLOOKUP(BC233,Коды_код,Коды_хар)&amp;"",""))),IF(OR(_xlpm.cc="B",_xlpm.cc="В"),"B",IF(_xlpm.cc="D","D","С")))</f>
        <v>С</v>
      </c>
      <c r="DO233" t="str">
        <f t="shared" si="451"/>
        <v>2P С16А 30мА</v>
      </c>
      <c r="DP233" t="str">
        <f t="shared" si="452"/>
        <v>2P С16А 30мА</v>
      </c>
      <c r="DQ233" t="str">
        <f t="shared" si="453"/>
        <v>2P С16А 30мА</v>
      </c>
      <c r="DR233" cm="1">
        <f t="array" ref="DR233">IF(DQ233="","",_xlfn.LET(_xlpm.t,SUBSTITUTE(SUBSTITUTE(SUBSTITUTE(UPPER(DQ233),"С","C"),"А","A"),"В","B"),_xlpm.tk,_xlfn.TEXTSPLIT(_xlpm.t," "),_xlpm.f,_xlfn._xlws.FILTER(_xlpm.tk,ISNUMBER(--MID(_xlpm.tk,2,1))*ISNUMBER(SEARCH(LEFT(_xlpm.tk,1)&amp;"#","B#C#D#"))*(LEN(_xlpm.tk)&gt;1),""),_xlpm.x,INDEX(_xlpm.f,1),IFERROR(--SUBSTITUTE(MID(_xlpm.x,2,9),"A",""),IFERROR(--SUBSTITUTE(INDEX(_xlfn._xlws.FILTER(_xlpm.tk,ISNUMBER(--SUBSTITUTE(_xlpm.tk,"A","")),""),1),"A",""),""))))</f>
        <v>16</v>
      </c>
      <c r="DS233" t="str">
        <f t="shared" si="454"/>
        <v>ok</v>
      </c>
      <c r="DT233">
        <f t="shared" si="455"/>
        <v>16</v>
      </c>
      <c r="DU233" t="str">
        <f t="shared" si="456"/>
        <v>2P С16А 30мА</v>
      </c>
      <c r="DV233">
        <f t="shared" si="457"/>
        <v>30</v>
      </c>
      <c r="DW233">
        <f t="shared" si="458"/>
        <v>1</v>
      </c>
      <c r="DX233">
        <f t="shared" si="459"/>
        <v>0</v>
      </c>
      <c r="DY233">
        <f t="shared" si="460"/>
        <v>0.8204451193747313</v>
      </c>
      <c r="DZ233">
        <f t="shared" si="461"/>
        <v>1</v>
      </c>
      <c r="EA233">
        <f>IF(ISNUMBER(AP233),AP233,К_прокл)</f>
        <v>1</v>
      </c>
      <c r="EB233">
        <f t="shared" si="462"/>
        <v>2</v>
      </c>
      <c r="EC233">
        <f>IFERROR(N(VLOOKUP(BZ233,Кабель_обозначение,3,FALSE)),1)</f>
        <v>1</v>
      </c>
      <c r="ED233">
        <f>IFERROR(N(_xlfn.XLOOKUP(A233,Щиты[Щит],Щиты[ΔU до шин, %])),0)</f>
        <v>1.19</v>
      </c>
      <c r="EE233" t="str">
        <f>IFERROR(_xlfn.XLOOKUP(A233,Щиты[Щит],Щиты[Zпетли на шинах, Ом]),"")</f>
        <v/>
      </c>
      <c r="EF233">
        <f>IFERROR(N(_xlfn.XLOOKUP(A233,Щиты[Щит],Щиты[ΔU до шин (подбор), %])),0)</f>
        <v>1.19</v>
      </c>
      <c r="EG233" t="str">
        <f>IFERROR(_xlfn.XLOOKUP(A233,Щиты[Щит],Щиты[Zпетли на шинах (подбор), Ом]),"")</f>
        <v/>
      </c>
      <c r="EH233" t="str">
        <f t="shared" si="463"/>
        <v/>
      </c>
      <c r="EI233">
        <f t="shared" si="464"/>
        <v>14</v>
      </c>
      <c r="EJ233">
        <f t="shared" si="465"/>
        <v>2</v>
      </c>
      <c r="EK233">
        <f t="shared" si="466"/>
        <v>0.31</v>
      </c>
      <c r="EL233" s="6">
        <f>IF(B233="","",IF(BV233=1,dU_LED,IF(IFERROR(_xlfn.XLOOKUP(BC233,Коды_код,Коды_уго),"")="Светильник",3,4)+IF(Методика="нормы 2026",MIN(0.5,MAX(0,N(P233)-100)*0.005),0)))</f>
        <v>4</v>
      </c>
      <c r="EM233" cm="1">
        <f t="array" ref="EM233">IF(OR(B233="",BZ233="",EC233&lt;&gt;1),"",_xlfn.LET(_xlpm.sz,Iдоп_S,_xlpm.t_,CHOOSE(EB233,Iдоп_1ж,Iдоп_2ж,Iдоп_3ж)*DZ233*EA233,_xlpm.dcx,BV233=1,_xlpm.inn,IF(_xlpm.dcx,N(O233),N(DT233)),_xlpm.smin,MAX(1.5,CC233),_xlpm.L_,N(P233)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233)/N(BU233)*100,999),IFERROR(N(EJ233)*(_xlpm.rho*_xlpm.L_/_xlpm.sz*N(CE233)+_xlpm.xx*_xlpm.L_*N(EK233)/1000)*N(O233)/((Uн_лин/SQRT(3))*1000)*100,999)),_xlpm.kz,IF(OR(_xlpm.dcx,DW233=1,NOT(ISNUMBER(EG233)),_xlpm.L_=0,_xlpm.inn=0),1,IFERROR(--(c_min*(Uн_лин*1000/SQRT(3))/(EG233+2*ρкз_Cu*_xlpm.L_/_xlpm.sz)&gt;=HT233*_xlpm.inn),0)),_xlpm.ok,IFERROR((_xlpm.sz&gt;=_xlpm.smin)*(_xlpm.t_&gt;=_xlpm.inn)*IF(_xlpm.L_&gt;0,(_xlpm.du_+IF(_xlpm.dcx,0,EF233)&lt;=EL233+0.00001),1)*_xlpm.kz,0),_xlpm.r_,_xlfn._xlws.FILTER(_xlpm.sz,_xlpm.ok,"не подобрано"),INDEX(_xlpm.r_,1)))</f>
        <v>1.5</v>
      </c>
      <c r="EN233">
        <f t="shared" si="467"/>
        <v>2.5</v>
      </c>
      <c r="EO233" cm="1">
        <f t="array" ref="EO233">IF(OR(B233="",BZ233="",EC233&lt;&gt;1),"",_xlfn.LET(_xlpm.sz,Iдоп_S,_xlpm.t_,CHOOSE(EB233,Iдоп_1ж,Iдоп_2ж,Iдоп_3ж)*DZ233*EA233,_xlpm.ok,IFERROR((_xlpm.sz&gt;=MAX(1.5,CC233))*(_xlpm.t_&gt;=N(DT233)),0),_xlpm.r_,_xlfn._xlws.FILTER(_xlpm.sz,_xlpm.ok,""),INDEX(_xlpm.r_,1)))</f>
        <v>1.5</v>
      </c>
      <c r="EP233" s="6" cm="1">
        <f t="array" ref="EP233">IFERROR(ROUNDUP(N(EJ233)*(_xlfn.XLOOKUP(EO233,INDEX(Кабель_сопротивление,0,1),INDEX(Кабель_сопротивление,0,3))*N(P233)/EO233*N(CE233)+_xlfn.XLOOKUP(EO233,INDEX(Кабель_сопротивление,0,1),INDEX(Кабель_сопротивление,0,2))*N(P233)*N(EK233)/1000)*N(O233)/((Uн_лин/SQRT(3))*1000)*100,2),"")</f>
        <v>0.18000000000000002</v>
      </c>
      <c r="EQ233">
        <f>IFERROR(2*ρкз_Cu*N(P233)/EO233,"")</f>
        <v>0.59613333333333329</v>
      </c>
      <c r="ER233">
        <f>IFERROR(VLOOKUP(EN233,Кабель_сопротивление,3,FALSE),"")</f>
        <v>2.2499999999999999E-2</v>
      </c>
      <c r="ES233">
        <f>IFERROR(VLOOKUP(EN233,Кабель_сопротивление,2,FALSE),"")</f>
        <v>0.1</v>
      </c>
      <c r="ET233">
        <f t="shared" si="468"/>
        <v>14</v>
      </c>
      <c r="EU233">
        <f t="shared" si="469"/>
        <v>0</v>
      </c>
      <c r="EV233">
        <f t="shared" si="470"/>
        <v>0.23936814535805531</v>
      </c>
      <c r="EW233" s="6">
        <f>IFERROR(ROUNDUP(EV233/IF(BV233=1,BU233,(Uн_лин/SQRT(3))*1000)*100,2),"")</f>
        <v>0.11</v>
      </c>
      <c r="EX233" t="str">
        <f>IFERROR(VLOOKUP(BZ233,Кабель_обозначение,2,FALSE),"")</f>
        <v>ВВГнг(А)-LS</v>
      </c>
      <c r="EY233" t="str">
        <f t="shared" si="471"/>
        <v>ВВГнг(А)-LS (3х2,5)</v>
      </c>
      <c r="EZ233" t="str">
        <f t="shared" si="472"/>
        <v>ВВГнг(А)-LS (3х2,5)
L=17-0,11%</v>
      </c>
      <c r="FA233">
        <f>IFERROR(2*ρкз_Cu*P233/EN233,"")</f>
        <v>0.35768</v>
      </c>
      <c r="FB233">
        <f t="shared" si="473"/>
        <v>0.11900000000000002</v>
      </c>
      <c r="FC233" s="6" t="str">
        <f>IFERROR(IF(OR(B233="",BV233=1,NOT(ISNUMBER(EN233)),N(P233)=0),"",_xlfn.XLOOKUP(A233,Щиты[Щит],Щиты[Zпетли на шинах, Ом])+FA233),"")</f>
        <v/>
      </c>
      <c r="FD233" s="6" t="str">
        <f>IF(ISNUMBER(FC233),c_min*(Uн_лин*1000/SQRT(3))/FC233,"")</f>
        <v/>
      </c>
      <c r="FE233" s="6" t="str">
        <f>IFERROR(IF(OR(B233="",NOT(ISNUMBER(EN233))),"",1.05*(Uн_лин*1000/SQRT(3))/(_xlfn.XLOOKUP(A233,Щиты[Щит],Щиты[Zmax на шинах, Ом])+FB233)/1000),"")</f>
        <v/>
      </c>
      <c r="FF233" s="6" t="str">
        <f>IF(B233="","",IF(ISNUMBER(AC233),"Сил",IF(IFERROR(_xlfn.XLOOKUP(BC233,Коды_код,Коды_группа)&amp;"","")="","Быт",_xlfn.XLOOKUP(BC233,Коды_код,Коды_группа)&amp;"")))</f>
        <v>Быт</v>
      </c>
      <c r="FG233" s="6" t="str">
        <f t="shared" si="474"/>
        <v>Быт</v>
      </c>
      <c r="FH233" s="6">
        <f>IF(FG233="Щит","щит",IF(FG233="","",IF(FG233="Быт",IFERROR(_xlfn.XLOOKUP(A233,Щиты[Щит],Щиты[Кс быт]),1),IF(FG233="Сил",IF(ISNUMBER(AC233),AC233,IF(Методика="нормы 2026",IFERROR(_xlfn.XLOOKUP(A233,Щиты[Щит],Щиты[Кс силовых (табл. 7.5)]),1),1)),IF(OR(FG233="Пост",FG233="Отоп"),1,IF(FG233="ВНГ",0.7,0))))))</f>
        <v>0.57830000000000004</v>
      </c>
      <c r="FI233">
        <f>IF(FG233="","",IF(AND(BP233=1,TRIM(AE233&amp;"")=""),IF(COUNTIFS(Линии[Щит],A233,Линии[Секция (1/2/3)],"&gt;=2")&gt;0,MIN(3,MAX(1,IFERROR(--BD233,1))),1),IFERROR(MIN(3,MAX(1,INT(--AE233))),1)))</f>
        <v>1</v>
      </c>
      <c r="FJ233">
        <f t="shared" si="475"/>
        <v>0.18</v>
      </c>
      <c r="FK233">
        <f t="shared" si="476"/>
        <v>0.18</v>
      </c>
      <c r="FL233">
        <f t="shared" si="477"/>
        <v>0</v>
      </c>
      <c r="FM233">
        <f t="shared" si="478"/>
        <v>0</v>
      </c>
      <c r="FN233">
        <f t="shared" si="479"/>
        <v>0</v>
      </c>
      <c r="FO233">
        <f t="shared" si="480"/>
        <v>0</v>
      </c>
      <c r="FP233">
        <f t="shared" si="481"/>
        <v>0.18</v>
      </c>
      <c r="FQ233">
        <f t="shared" si="482"/>
        <v>0.18</v>
      </c>
      <c r="FR233">
        <f t="shared" si="483"/>
        <v>0.17099999999999999</v>
      </c>
      <c r="FS233">
        <f>IF(CG233=1,IF(AND(CH233=1,CW233=1),0,IF(AND(CS233&lt;&gt;"",CS233=BA233,CW233=1),SUMIFS(Линии[_Р линии, кВт],Линии[_блок УЗО],BA233,Линии[Щит],A233),N(BS233)+IF(AJ233="вручную",0,N(CK233)))),0)</f>
        <v>0.18</v>
      </c>
      <c r="FT233" t="str">
        <f t="shared" si="484"/>
        <v/>
      </c>
      <c r="FU233" t="str">
        <f>IF(B233="","",IF(CG233=0,IF(BA233=1,"",FW232),IF(AND(CH233=1,CW233=1,CS233&lt;&gt;""),IFERROR(_xlfn.XLOOKUP(CS233,Линии[_n],Линии[_фаза итог]),"L1"),IF(OR(N(DL233)&gt;=3,N(BX233)&gt;=3),"L1,L2,L3",IFERROR(_xlfn.TEXTBEFORE(_xlfn.TEXTAFTER(_xlfn.XLOOKUP(A233,Щиты[Щит],Щиты[_фазы авто]),";"&amp;BA233&amp;":"),";"),"L1")))))</f>
        <v>L2</v>
      </c>
      <c r="FV233" t="str">
        <f t="shared" si="485"/>
        <v>L2</v>
      </c>
      <c r="FW233" t="str">
        <f t="shared" si="486"/>
        <v>L2</v>
      </c>
      <c r="FX233" cm="1">
        <f t="array" ref="FX233">IFERROR(IF(CD233=2,_xlfn.IFS(BX233=3,VLOOKUP(BS233,Справочная_двигатели,3,FALSE),BX233=1,VLOOKUP(BS233,Справочная_двигатели,5,TRUE)),0),0)</f>
        <v>0</v>
      </c>
      <c r="FY233">
        <f>IFERROR(IF(CD233=3,VLOOKUP(BS233,Справочная_ЛЭД,2,TRUE),0),0)</f>
        <v>0</v>
      </c>
      <c r="FZ233" s="6">
        <f t="shared" si="487"/>
        <v>0</v>
      </c>
      <c r="GA233" t="str">
        <f>IF(B233="","",IF(TRIM(AH233&amp;"")&lt;&gt;"",IF(LOWER(TRIM(AH233&amp;""))="да","да","нет"),IF(IFERROR(_xlfn.XLOOKUP(BC233,Коды_код,Коды_пожарная),"")="да","да","нет")))</f>
        <v>нет</v>
      </c>
      <c r="GB233" t="str">
        <f t="shared" si="488"/>
        <v/>
      </c>
      <c r="GC233" t="str">
        <f t="shared" si="489"/>
        <v>основная</v>
      </c>
      <c r="GD233">
        <f>IF(AND(BP233=1,TRIM(AE233&amp;"")=""),IF(COUNTIFS(Линии[Щит],A233,Линии[Секция (1/2/3)],"&gt;=2")&gt;0,MIN(3,MAX(1,IFERROR(--BD233,1))),1),IFERROR(MIN(3,MAX(1,INT(--AE233))),1))</f>
        <v>1</v>
      </c>
      <c r="GE233" t="str" cm="1">
        <f t="array" ref="GE233">IF(B233="","",_xlfn.LET(_xlpm.t,IFERROR(_xlfn.XLOOKUP(1,(Шины[Шина]=GC233)*(((Шины[Щит]=A233)+(Шины[Щит]=""))&gt;0),Шины[Тип]),"")&amp;"",IF(_xlpm.t&lt;&gt;"",_xlpm.t,IF(ISNUMBER(SEARCH("ИБП",GC233)),"ИБП",IF(ISNUMBER(SEARCH("ДГУ",GC233)),"ДГУ","Ввод "&amp;GD233)))))</f>
        <v>Ввод 1</v>
      </c>
      <c r="GF233" t="str">
        <f t="shared" si="490"/>
        <v>Ввод 1</v>
      </c>
      <c r="GG233" t="str">
        <f>IF(BP233=0,"",IF(TRIM(AG233&amp;"")&lt;&gt;"",TRIM(AG233&amp;""),IF(OR(GE233="ИБП",GE233="ДГУ"),"I особая",_xlfn.XLOOKUP(A233,Щиты[Щит],Щиты[Категория шины «Ввод»],"III"))))</f>
        <v/>
      </c>
      <c r="GH233" t="str">
        <f>IF(A233="","",_xlfn.XLOOKUP(A233,Щиты[Щит],Щиты[Путь],""))</f>
        <v>|ГРЩ-ЖД|ЩР-1|</v>
      </c>
      <c r="GI233" t="str">
        <f>IF(B233="","",IF(AI233&lt;&gt;"",AI233,IF(IFERROR(_xlfn.XLOOKUP(BC233,Коды_код,Коды_вид)&amp;"","")="","Прочее",_xlfn.XLOOKUP(BC233,Коды_код,Коды_вид)&amp;"")))</f>
        <v>Розеточная сеть и бытовые приборы</v>
      </c>
      <c r="GJ233">
        <f>IF(BM233="","",INT((BM233-1)/Столбцов_на_лист)+1)</f>
        <v>2</v>
      </c>
      <c r="GK233" t="str">
        <f t="shared" si="491"/>
        <v>ВВГнг(А)-LS (3х2,5) L=17-0,11%</v>
      </c>
      <c r="GL233">
        <f t="shared" si="492"/>
        <v>0.18</v>
      </c>
      <c r="GM233">
        <f t="shared" si="493"/>
        <v>0.83</v>
      </c>
      <c r="GN233">
        <f t="shared" si="494"/>
        <v>1</v>
      </c>
      <c r="GO233">
        <f t="shared" si="495"/>
        <v>0</v>
      </c>
      <c r="GP233">
        <f t="shared" si="496"/>
        <v>1</v>
      </c>
      <c r="GQ233">
        <f>IF(BM233="","",IF(AND(CG233=1,GP233=1),COUNTIFS(A$3:A233,A233,CG$3:CG233,1,GP$3:GP233,1),IF(OR(OR(BA233=1,A233&lt;&gt;A232),AJ233="вручную",GP233=0),"",IF(BA233=1,"",GR232))))</f>
        <v>9</v>
      </c>
      <c r="GR233">
        <f t="shared" si="497"/>
        <v>9</v>
      </c>
      <c r="GS233">
        <f>IF(B233="","",IFERROR(LOOKUP(INDEX(CHOOSE(EB233,Iдоп_1ж,Iдоп_2ж,Iдоп_3ж),MATCH(EN233,Iдоп_S,0))*DZ233*EA233,{6,10,16,20,25,32,40,50,63,80,100,125,160,200,250,315,400,500,630}),""))</f>
        <v>25</v>
      </c>
      <c r="GT233" t="str">
        <f t="shared" si="498"/>
        <v>QFD9</v>
      </c>
      <c r="GU233" t="str">
        <f t="shared" si="499"/>
        <v>QFD9</v>
      </c>
      <c r="GV233" t="str">
        <f t="shared" si="500"/>
        <v/>
      </c>
      <c r="GW233">
        <f t="shared" si="501"/>
        <v>0</v>
      </c>
      <c r="GX233" t="str">
        <f>IF(OR(B233="",DJ233=""),"",IFERROR(_xlfn.XLOOKUP(DJ233,Модули_умолч[Управление],Модули_умолч[Модель])&amp;"",""))</f>
        <v/>
      </c>
      <c r="GY233">
        <f>IF(DJ233="",1,IFERROR(MAX(0,N(_xlfn.XLOOKUP(DJ233,Модули_умолч[Управление],Модули_умолч[Каналов на линию]))),1))</f>
        <v>1</v>
      </c>
      <c r="GZ233" t="str">
        <f t="shared" si="502"/>
        <v/>
      </c>
      <c r="HA233" t="str">
        <f t="shared" si="503"/>
        <v/>
      </c>
      <c r="HB233" t="str">
        <f t="shared" si="504"/>
        <v/>
      </c>
      <c r="HC233">
        <f>IF(HB233="",0,IFERROR(N(VLOOKUP(HB233,Модули_спр,3,FALSE)),0))</f>
        <v>0</v>
      </c>
      <c r="HD233" t="str">
        <f t="shared" si="505"/>
        <v/>
      </c>
      <c r="HE233" t="str">
        <f t="shared" si="506"/>
        <v/>
      </c>
      <c r="HF233" t="str">
        <f>IF(OR(HE233="",HE233="-"),"",IFERROR(VLOOKUP(HE233,Модули_спр,2,FALSE),"R"))</f>
        <v/>
      </c>
      <c r="HG233" t="str">
        <f>IF(HF233="","",HF233&amp;"."&amp;COUNTIFS(A$3:A233,A233,HF$3:HF233,HF233))</f>
        <v/>
      </c>
      <c r="HH233" t="str">
        <f t="shared" si="507"/>
        <v/>
      </c>
      <c r="HI233" t="str">
        <f t="shared" si="508"/>
        <v/>
      </c>
      <c r="HJ233" t="str">
        <f t="shared" si="509"/>
        <v/>
      </c>
      <c r="HK233" t="str">
        <f t="shared" si="510"/>
        <v/>
      </c>
      <c r="HL233">
        <f t="shared" si="511"/>
        <v>1</v>
      </c>
      <c r="HM233" t="str">
        <f>IF(HL233=1,"XT"&amp;COUNTIFS(A$3:A233,A233,HL$3:HL233,1),"")</f>
        <v>XT9</v>
      </c>
      <c r="HN233" t="str">
        <f t="shared" si="512"/>
        <v/>
      </c>
      <c r="HO233" t="str">
        <f t="shared" si="513"/>
        <v>QFD9</v>
      </c>
      <c r="HP233" t="str">
        <f t="shared" si="514"/>
        <v/>
      </c>
      <c r="HQ233" t="str">
        <f t="shared" si="515"/>
        <v>ok</v>
      </c>
      <c r="HR233" t="str">
        <f>IF(OR(HJ233="",HH233=""),"",IF(HJ233+MAX(0,GY233-1)&gt;IFERROR(VLOOKUP(HI233,Модули_спр,3,FALSE),99),"ЛИШНИЙ КАНАЛ",IF(AND(AL233&lt;&gt;"=",GY233&gt;0,COUNTIFS(Линии[_модуль гр.],HH233,Линии[Канал (итог)],HJ233,Линии[Канал],"&lt;&gt;=",Линии[Щит],A233)&gt;1),"ДУБЛЬ КАНАЛА","")))</f>
        <v/>
      </c>
      <c r="HS233" s="6" t="str">
        <f t="shared" si="516"/>
        <v/>
      </c>
      <c r="HT233">
        <f t="shared" si="517"/>
        <v>10</v>
      </c>
      <c r="HU233" t="str">
        <f t="shared" si="518"/>
        <v/>
      </c>
      <c r="HV233">
        <f t="shared" si="519"/>
        <v>0.49817804774989261</v>
      </c>
      <c r="HW233">
        <f t="shared" si="520"/>
        <v>0</v>
      </c>
      <c r="HX233">
        <f t="shared" si="521"/>
        <v>0</v>
      </c>
      <c r="HY233">
        <f t="shared" si="522"/>
        <v>0</v>
      </c>
      <c r="HZ233">
        <f t="shared" si="523"/>
        <v>0</v>
      </c>
      <c r="IA233">
        <f t="shared" si="524"/>
        <v>0</v>
      </c>
      <c r="IB233">
        <f t="shared" si="525"/>
        <v>0</v>
      </c>
      <c r="IC233" t="str">
        <f t="shared" si="526"/>
        <v/>
      </c>
      <c r="ID233" t="str" cm="1">
        <f t="array" ref="ID233">IF(IC233="","",_xlfn.LET(_xlpm.tk,_xlfn.TEXTSPLIT(SUBSTITUTE(SUBSTITUTE(IC233,";"," "),"→"," ")," ",,TRUE),_xlpm.w_,_xlfn._xlws.FILTER(_xlpm.tk,ISNUMBER(--LEFT(_xlpm.tk,1))*((ISNUMBER(SEARCH("W",_xlpm.tk))+ISNUMBER(SEARCH("Вт",_xlpm.tk)))&gt;0),""),IFERROR(--SUBSTITUTE(SUBSTITUTE(UPPER(INDEX(_xlpm.w_,1)),"W",""),"ВТ",""),"")))</f>
        <v/>
      </c>
      <c r="IE233" t="str" cm="1">
        <f t="array" ref="IE233">IF(IC233="","",_xlfn.LET(_xlpm.tk,_xlfn.TEXTSPLIT(SUBSTITUTE(SUBSTITUTE(IC233,";"," "),"→"," ")," ",,TRUE),_xlpm.v_,_xlfn._xlws.FILTER(_xlpm.tk,ISNUMBER(--LEFT(_xlpm.tk,1))*((ISNUMBER(SEARCH("V",_xlpm.tk))+(RIGHT(UPPER(_xlpm.tk))="В"))&gt;0),""),IFERROR(--SUBSTITUTE(SUBSTITUTE(UPPER(INDEX(_xlpm.v_,1)),"V",""),"В",""),"")))</f>
        <v/>
      </c>
      <c r="IF233" s="6" t="str">
        <f>IF(OR(BV233=0,HI233="",HJ233=""),"",IFERROR(N(_xlfn.XLOOKUP(HI233,Каталог!$C$4:$C$500,Каталог!$Q$4:$Q$500)),""))</f>
        <v/>
      </c>
      <c r="IG233" s="6" t="str">
        <f>IF(N(IF233)=0,"",SUMIFS(Линии[Iр, А],Линии[Щит],A233,Линии[_модуль гр.],HH233,Линии[Канал (итог)],HJ233))</f>
        <v/>
      </c>
      <c r="IH233" t="str">
        <f>IF(AND(B233="",HO233=""),"",_xlfn.TEXTJOIN("; ",TRUE,IF(AND(B233&lt;&gt;"",FV233=""),"нет фазы",""),IF(AND(B233&lt;&gt;"",N(GL233)=0,FG233&lt;&gt;"Нет"),"нет мощности",""),IF(AND(HN233&lt;&gt;"",COUNTIFS(Линии[Щит],A233,Линии[Клемма (итог)],HN233)&gt;1),"дубль клеммы "&amp;HN233,""),IF(AND(HQ233&lt;&gt;"",HQ233&lt;&gt;"ok"),HQ233,""),IF(HR233&lt;&gt;"",HR233,""),IF(AND(N(CB233)&gt;=4,N(BX233)=1),CB233&amp;" жил на 1 фазе",""),IF(AND(BC233="R",CG233=1,IF(CS233&lt;&gt;"",N(CV233)&gt;30,OR(N(DA233)=0,N(DA233)&gt;30))),"розетка без дифзащиты до 30 мА",""),IF(AND(CG233=1,N(DA233)&gt;0,ISNUMBER(T233)),IF(T233&gt;N(DA233)/3,"ток утечки "&amp;FIXED(T233,1)&amp;" мА &gt; 1/3 уставки ("&amp;DA233&amp;" мА)",""),""),IF(AND(CH233=1,CS233=""),"«узо»: нет строки с УЗО выше (УЗО 2P 40А 30мА в «Аппаратах»)",""),IF(AND(CS233&lt;&gt;"",CS233=BA233),IF(CT233="","впишите номинал УЗО (УЗО 2P 40А 30мА)",IF(N(CT233)&lt;N(DT233),"УЗО "&amp;CT233&amp;" А &lt; автомата "&amp;DT233&amp;" А перед ним",IF(N(CT233)&lt;N(CX233),"УЗО "&amp;CT233&amp;" А &lt; тока блока "&amp;FIXED(CX233,1)&amp;" А",""))),""),IF(AND(CS233&lt;&gt;"",CS233=BA233,ISNUMBER(CY233)),IF(CY233&gt;N(CV233)/3,"ток утечки блока УЗО "&amp;FIXED(CY233,1)&amp;" мА &gt; 1/3 уставки ("&amp;CV233&amp;" мА)",""),""),IF(AND(CG233=1,N(BV233)+N(IB233)&gt;0,IC233=""),"линии до 50 В без БП: впишите в «Аппараты» (БП 24V 480W)",""),IF(AND(CG233=1,ISNUMBER(ID233),ISNUMBER(U233)),IF(U233&gt;ID233,"БП "&amp;ID233&amp;" Вт &lt; нужно "&amp;U233&amp;" Вт (×"&amp;Запас_БП&amp;")",""),""),IF(AND(CG233=1,ISNUMBER(IE233),N(BV233)=1),IF(IE233&lt;&gt;N(BU233),"БП на "&amp;IE233&amp;" В, линия "&amp;BU233&amp;" В",""),""),IF(AND(N(IF233)&gt;0,N(IG233)&gt;N(IF233)),HH233&amp;" канал "&amp;HJ233&amp;": "&amp;FIXED(IG233,1)&amp;" А &gt; "&amp;IF233&amp;" А",""),IFERROR(IF(AND(ISNUMBER(Q233),Q233&gt;EL233),"потери "&amp;FIXED(Q233,1)&amp;" % &gt; "&amp;EL233&amp;" %",""),""),IFERROR(IF(LEFT(HU233,4)="мало","Iкз мало — отключение &gt; 0,4 с",""),""),IF(AND(B233&lt;&gt;"",BM233=""),"не на схеме",""),IF(AND(CG233=0,B233&lt;&gt;"",FV233&lt;&gt;"",IF(BA233=1,"",FW232)&lt;&gt;"",FV233&lt;&gt;IF(BA233=1,"",FW232)),"фаза не как у автомата группы ("&amp;IF(BA233=1,"",FW232)&amp;")","")))</f>
        <v/>
      </c>
      <c r="II233" s="6">
        <f>IF(OR(CG233=0,DQ233=""),"",_xlfn.LET(_xlpm.t,IFERROR(_xlfn.XLOOKUP(DQ233,Каталог!$U$4:$U$500,Каталог!$G$4:$G$500),""),_xlpm.k,SEARCH("кА",_xlpm.t),IFERROR(--TRIM(RIGHT(SUBSTITUTE(MID(_xlpm.t,MAX(1,_xlpm.k-4),_xlpm.k-MAX(1,_xlpm.k-4))," ",REPT(" ",9)),5)),"")))</f>
        <v>6</v>
      </c>
      <c r="IJ233" t="str">
        <f>IF(OR(II233="",CG233=0),"",IF(_xlfn.XLOOKUP(A233,Щиты[Щит],Щиты[Iкз max на шинах, кА],"")="","",IF(II233&lt;_xlfn.XLOOKUP(A233,Щиты[Щит],Щиты[Iкз max на шинах, кА]),"Icu "&amp;II233&amp;" кА &lt; Iкз max","ok")))</f>
        <v/>
      </c>
      <c r="IK233" t="str">
        <f t="shared" si="527"/>
        <v/>
      </c>
      <c r="IL233" t="str">
        <f t="shared" si="528"/>
        <v>QFD9</v>
      </c>
      <c r="IM233" t="str">
        <f t="shared" si="529"/>
        <v>QFD9|кабель ВВГнг(А)-LS (3х2,5) → Розеточная группа Первый этаж Пом. №002Б Фартук</v>
      </c>
      <c r="IN233" t="str" cm="1">
        <f t="array" ref="IN233">IF(IM233="","",_xlfn.LET(_xlpm.nd,_xlfn.TEXTSPLIT(IM233,"|"),IF(COLUMNS(_xlpm.nd)&gt;1,A233&amp;"¦"&amp;INDEX(_xlpm.nd,1)&amp;"¦"&amp;INDEX(_xlpm.nd,2),"")))</f>
        <v>ЩР-1¦QFD9¦кабель ВВГнг(А)-LS (3х2,5) → Розеточная группа Первый этаж Пом. №002Б Фартук</v>
      </c>
      <c r="IO233" t="str">
        <f t="shared" si="530"/>
        <v>R.1.002Б.4¦Розеточная группа Первый этаж Пом. №002Б Фартук</v>
      </c>
      <c r="IP233" t="str" cm="1">
        <f t="array" ref="IP233">IF(IM233="","",_xlfn.LET(_xlpm.nd,_xlfn.TEXTSPLIT(IM233,"|"),IF(COLUMNS(_xlpm.nd)&gt;2,A233&amp;"¦"&amp;INDEX(_xlpm.nd,2)&amp;"¦"&amp;INDEX(_xlpm.nd,3),"")))</f>
        <v/>
      </c>
      <c r="IQ233" t="str">
        <f t="shared" si="531"/>
        <v/>
      </c>
      <c r="IR233" t="str" cm="1">
        <f t="array" ref="IR233">IF(IM233="","",_xlfn.LET(_xlpm.nd,_xlfn.TEXTSPLIT(IM233,"|"),IF(COLUMNS(_xlpm.nd)&gt;3,A233&amp;"¦"&amp;INDEX(_xlpm.nd,3)&amp;"¦"&amp;INDEX(_xlpm.nd,4),"")))</f>
        <v/>
      </c>
      <c r="IS233" t="str">
        <f t="shared" si="532"/>
        <v/>
      </c>
      <c r="IT233" t="str" cm="1">
        <f t="array" ref="IT233">IF(IM233="","",_xlfn.LET(_xlpm.nd,_xlfn.TEXTSPLIT(IM233,"|"),IF(COLUMNS(_xlpm.nd)&gt;4,A233&amp;"¦"&amp;INDEX(_xlpm.nd,4)&amp;"¦"&amp;INDEX(_xlpm.nd,5),"")))</f>
        <v/>
      </c>
      <c r="IU233" t="str">
        <f t="shared" si="533"/>
        <v/>
      </c>
      <c r="IV233" t="str" cm="1">
        <f t="array" ref="IV233">IF(IM233="","",_xlfn.LET(_xlpm.nd,_xlfn.TEXTSPLIT(IM233,"|"),IF(COLUMNS(_xlpm.nd)&gt;5,A233&amp;"¦"&amp;INDEX(_xlpm.nd,5)&amp;"¦"&amp;INDEX(_xlpm.nd,6),"")))</f>
        <v/>
      </c>
      <c r="IW233" t="str">
        <f t="shared" si="534"/>
        <v/>
      </c>
      <c r="IX233" t="str" cm="1">
        <f t="array" ref="IX233">IF(IM233="","",_xlfn.LET(_xlpm.nd,_xlfn.TEXTSPLIT(IM233,"|"),IF(COLUMNS(_xlpm.nd)&gt;6,A233&amp;"¦"&amp;INDEX(_xlpm.nd,6)&amp;"¦"&amp;INDEX(_xlpm.nd,7),"")))</f>
        <v/>
      </c>
      <c r="IY233" t="str">
        <f t="shared" si="535"/>
        <v/>
      </c>
      <c r="IZ233" t="str">
        <f t="shared" si="536"/>
        <v/>
      </c>
      <c r="JA233" t="str">
        <f t="shared" si="537"/>
        <v>QFD9</v>
      </c>
      <c r="JB233">
        <f t="shared" si="538"/>
        <v>0</v>
      </c>
      <c r="JC233">
        <f t="shared" si="539"/>
        <v>1</v>
      </c>
      <c r="JD233" t="str">
        <f t="shared" si="540"/>
        <v/>
      </c>
      <c r="JE233" t="str">
        <f t="shared" si="541"/>
        <v/>
      </c>
      <c r="JF233" t="str">
        <f t="shared" si="542"/>
        <v/>
      </c>
      <c r="JG233" t="str">
        <f t="shared" si="543"/>
        <v/>
      </c>
      <c r="JH233" t="str">
        <f>IF(B233="","",IFERROR(_xlfn.XLOOKUP(B233,Коды_код,Коды_уго),IFERROR(_xlfn.XLOOKUP(BC233,Коды_код,Коды_уго),IFERROR(_xlfn.XLOOKUP(LEFT(BC233,2),Коды_код,Коды_уго),""))))</f>
        <v>Розетка</v>
      </c>
      <c r="JI233" t="str">
        <f>IF(B233="","",IF(OR(JH233="",JH233=0),"BOX",IFERROR(IF(VLOOKUP(JH233,УГО_блоки,3,FALSE)&amp;""&lt;&gt;"",VLOOKUP(JH233,УГО_блоки,3,FALSE),VLOOKUP(JH233,УГО_блоки,2,FALSE)),JH233)))</f>
        <v>SOCKET</v>
      </c>
      <c r="JJ233">
        <f t="shared" si="544"/>
        <v>1</v>
      </c>
      <c r="JK233" t="str">
        <f>IF(DQ233="","",IF(COUNTIF(DQ$3:DQ233,DQ233)=1,MAX(JK$2:JK232)+1,""))</f>
        <v/>
      </c>
      <c r="JL233" t="str">
        <f>IF(DE233="","",IF(COUNTIF(DE$3:DE233,DE233)+COUNTIF(DF$2:DF232,DE233)+COUNTIF(DG$2:DG232,DE233)=1,MAX(JL$2:JN232)+1,""))</f>
        <v/>
      </c>
      <c r="JM233" t="str">
        <f>IF(DF233="","",IF(COUNTIF(DE$3:DE233,DF233)+COUNTIF(DF$3:DF233,DF233)+COUNTIF(DG$2:DG232,DF233)=1,MAX(JL$2:JN232,JL233)+1,""))</f>
        <v/>
      </c>
      <c r="JN233" t="str">
        <f>IF(DG233="","",IF(COUNTIF(DE$3:DE233,DG233)+COUNTIF(DF$3:DF233,DG233)+COUNTIF(DG$3:DG233,DG233)=1,MAX(JL$2:JN232,JL233,JM233)+1,""))</f>
        <v/>
      </c>
      <c r="JO233" t="str">
        <f t="shared" si="545"/>
        <v>3х2,5</v>
      </c>
      <c r="JP233" t="str">
        <f>IF(JO233="","",IF(COUNTIF(JO$3:JO233,JO233)=1,MAX(JP$2:JP232)+1,""))</f>
        <v/>
      </c>
      <c r="JQ233" t="str">
        <f>IF(HG233="","",COUNTIF(HG$3:HG233,"?*"))</f>
        <v/>
      </c>
      <c r="JR233" t="str">
        <f>IF(OR(HG233="",HI233=""),"",IF(COUNTIFS(HG$3:HG233,"?*",HI$3:HI233,HI233)=1,MAX(JR$2:JR232)+1,""))</f>
        <v/>
      </c>
      <c r="JS233">
        <f t="shared" si="546"/>
        <v>0</v>
      </c>
      <c r="JT233">
        <f>IF(B233="","",COUNTIF(B$3:B233,"?*"))</f>
        <v>231</v>
      </c>
      <c r="JU233">
        <f>IF(HL233&lt;&gt;1,0,_xlfn.LET(_xlpm.k,MAX(IFERROR(--_xlfn.XLOOKUP(B233,Коды_код,Коды_3L),0),IFERROR(--_xlfn.XLOOKUP(BC233,Коды_код,Коды_3L),0),IFERROR(--_xlfn.XLOOKUP(LEFT(BC233,2),Коды_код,Коды_3L),0)),IF(_xlpm.k&gt;0,_xlpm.k,IF(IFERROR(--LEFT(SUBSTITUTE(JO233,"x","х"),FIND("х",SUBSTITUTE(JO233,"x","х"))-1),3)&gt;3,Каталог!$S$9,1))))</f>
        <v>1</v>
      </c>
      <c r="JV233">
        <f t="shared" si="547"/>
        <v>0</v>
      </c>
      <c r="JW233" t="str">
        <f t="shared" si="548"/>
        <v>авто</v>
      </c>
      <c r="JX233">
        <f t="shared" si="549"/>
        <v>30</v>
      </c>
      <c r="JY233">
        <f t="shared" si="550"/>
        <v>1</v>
      </c>
      <c r="JZ233">
        <f t="shared" si="551"/>
        <v>1</v>
      </c>
    </row>
    <row r="234" spans="1:286" x14ac:dyDescent="0.3">
      <c r="A234" t="s">
        <v>757</v>
      </c>
      <c r="B234" t="s">
        <v>1540</v>
      </c>
      <c r="C234" t="s">
        <v>1710</v>
      </c>
      <c r="D234">
        <v>1</v>
      </c>
      <c r="E234">
        <v>3.8</v>
      </c>
      <c r="G234" t="str">
        <f>Линии[[#This Row],[_авто автомат]]</f>
        <v>2P С20А 30мА</v>
      </c>
      <c r="H234" t="str">
        <f>Линии[[#This Row],[_авто управление]]</f>
        <v/>
      </c>
      <c r="I234" t="str">
        <f>Линии[[#This Row],[_авто аппараты]]</f>
        <v/>
      </c>
      <c r="J234">
        <v>4</v>
      </c>
      <c r="K234">
        <v>19</v>
      </c>
      <c r="L234" t="str">
        <f>Линии[[#This Row],[_авто фаза]]</f>
        <v>L1</v>
      </c>
      <c r="M234" t="str">
        <f>Линии[[#This Row],[_авто клемма]]</f>
        <v>XT10</v>
      </c>
      <c r="N234" t="str">
        <f t="shared" si="414"/>
        <v/>
      </c>
      <c r="O234" s="6" cm="1">
        <f t="array" ref="O234">IF(B234="","",IF(BH234&lt;&gt;"",IFERROR(_xlfn.XLOOKUP(BH234,Щиты[Щит],Щиты[Iр, А]),""),IF(BP234=1,IF(OR(N(_xlfn.XLOOKUP(A234,Щиты[Щит],Щиты[Вводов],1))&lt;=1,LOWER(TRIM(_xlfn.XLOOKUP(A234,Щиты[Щит],Щиты[АВР],"")&amp;""))="да"),IFERROR(_xlfn.XLOOKUP(A234,Щиты[Щит],Щиты[Iр, А]),""),IFERROR(N(BS234)*_xlfn.XLOOKUP(A234,Щиты[Щит],Щиты[Кс итог])/(SQRT(3)*Uн_лин*_xlfn.XLOOKUP(A234,Щиты[Щит],Щиты[cos φ])),"")),IF(BV234=1,IFERROR(BS234*1000/BU234,""),IFERROR(_xlfn.IFS(BX234=1,BS234/((Uн_лин/SQRT(3))*CE234),BX234=3,BS234/(SQRT(3)*Uн_лин*CE234)),"")))))</f>
        <v>17.320508075688771</v>
      </c>
      <c r="P234" s="7">
        <f>IF(B234="","",IFERROR(IF(VLOOKUP(BC234,Потребители_обозначение,4,FALSE)=1,VLOOKUP(BC234,Потребители_обозначение,3,FALSE)*(MAX(1,N(D234))*2-1)+EI234+VLOOKUP(BE234,Этаж_обозначение,3,FALSE)+VLOOKUP(BE234,Этаж_обозначение,4,FALSE),VLOOKUP(BC234,Потребители_обозначение,3,FALSE)*(MAX(1,N(D234))*2-1)+EI234),EI234))</f>
        <v>22</v>
      </c>
      <c r="Q234" s="6">
        <f t="shared" si="415"/>
        <v>2.9699999999999998</v>
      </c>
      <c r="R234" t="str">
        <f t="shared" si="416"/>
        <v>ВВГнг(А)-LS (3х4)</v>
      </c>
      <c r="S234" t="str">
        <f>IF(BM234="","",IF(BN234="вводной узел","узел ","")&amp;"л."&amp;(INT((BM234-1)/Столбцов_на_лист)+1)&amp;" / "&amp;(MOD(BM234-1,Столбцов_на_лист)+1))</f>
        <v>л.2 / 3</v>
      </c>
      <c r="T234" s="119">
        <f t="shared" si="417"/>
        <v>7.1</v>
      </c>
      <c r="U234" s="7" t="str">
        <f>IF(OR(CG234=0,N(BV234)+N(IB234)=0),"",ROUNDUP(Запас_БП*(N(HY234)+N(HZ234)),0))</f>
        <v/>
      </c>
      <c r="V234" s="119" t="str">
        <f t="shared" si="418"/>
        <v/>
      </c>
      <c r="W234" s="7" t="str">
        <f>IFERROR(IF(OR(B234="",BP234=1,BV234=1,NOT(ISNUMBER(EN234)),N(DT234)=0),"",MAX(0,ROUNDDOWN((c_min*(Uн_лин*1000/SQRT(3))/(HT234*N(DT234))-_xlfn.XLOOKUP(A234,Щиты[Щит],Щиты[Zпетли на шинах, Ом]))*EN234/(2*ρкз_Cu),0))),"")</f>
        <v/>
      </c>
      <c r="Y234">
        <f>Линии[[#This Row],[_авто утечка]]</f>
        <v>30</v>
      </c>
      <c r="Z234">
        <v>1</v>
      </c>
      <c r="AA234">
        <v>230</v>
      </c>
      <c r="AB234" t="s">
        <v>562</v>
      </c>
      <c r="AG234" t="s">
        <v>810</v>
      </c>
      <c r="AI234" t="s">
        <v>561</v>
      </c>
      <c r="AK234" t="str">
        <f>Линии[[#This Row],[_авто модуль]]</f>
        <v/>
      </c>
      <c r="AM234">
        <v>20</v>
      </c>
      <c r="AN234" t="s">
        <v>11</v>
      </c>
      <c r="AO234">
        <v>3</v>
      </c>
      <c r="AQ234">
        <v>0</v>
      </c>
      <c r="AR234">
        <v>22</v>
      </c>
      <c r="AS234">
        <v>0</v>
      </c>
      <c r="BA234" cm="1">
        <f t="array" ref="BA234">ROW()-ROW(Линии[#Headers])</f>
        <v>232</v>
      </c>
      <c r="BC234" s="6" t="str">
        <f t="shared" si="419"/>
        <v>R</v>
      </c>
      <c r="BD234" t="str">
        <f t="shared" si="420"/>
        <v>1.002Б.5</v>
      </c>
      <c r="BE234" t="str">
        <f t="shared" si="421"/>
        <v>1</v>
      </c>
      <c r="BF234" t="str">
        <f t="shared" si="422"/>
        <v>002Б.5</v>
      </c>
      <c r="BG234" t="str">
        <f t="shared" si="423"/>
        <v>002Б</v>
      </c>
      <c r="BH234" t="str">
        <f>IF(X234&lt;&gt;"",X234,IF(AND(B234&lt;&gt;"",B234&lt;&gt;A234,ISNUMBER(_xlfn.XMATCH(B234,Щиты[Щит]))),B234,""))</f>
        <v/>
      </c>
      <c r="BI234" t="str" cm="1">
        <f t="array" ref="BI234">IF(B234="","",IF(BH234&lt;&gt;"","Щит "&amp;BH234,_xlfn.LET(_xlpm.nm,IFERROR(_xlfn.XLOOKUP(BC234,Коды_код,Коды_имя)&amp;"",""),_xlpm.md,IFERROR(N(_xlfn.XLOOKUP(BC234,Коды_код,Коды_режим)),1),_xlpm.ex,IF(Имя_режим="по экспликации",IFERROR(_xlfn.XLOOKUP(BE234&amp;"|"&amp;BG234,Экспликация[Этаж]&amp;"|"&amp;Экспликация[Помещение],Экспликация[Название])&amp;"",""),""),_xlpm.rm,IF(BG234="","",IF(_xlpm.ex&lt;&gt;"",". "&amp;_xlpm.ex&amp;IF(Имя_пом="нет"," ("&amp;BG234&amp;")"," (пом. "&amp;BG234&amp;")"),IF(Имя_пом="нет"," ",", пом. ")&amp;BG234)),IF(_xlpm.nm="","",IF(_xlpm.md=2,_xlpm.nm&amp;" шлейф "&amp;BE234,_xlpm.nm&amp;_xlpm.rm)))))</f>
        <v>Розеточная группа, пом. 002Б</v>
      </c>
      <c r="BJ234" t="str">
        <f t="shared" si="424"/>
        <v>Розеточная группа Первый этаж Пом. №002Б ПММ</v>
      </c>
      <c r="BK234">
        <f>IFERROR(_xlfn.XMATCH(A234,Щиты[Щит]),0)</f>
        <v>10</v>
      </c>
      <c r="BL234">
        <f>_xlfn.LET(_xlpm.k,IFERROR(_xlfn.XLOOKUP(A234,Щиты[Щит],Щиты[Мест под вводной узел]),""),IF(_xlpm.k="",Столбцов_на_лист,N(_xlpm.k)))</f>
        <v>8</v>
      </c>
      <c r="BM234">
        <f t="shared" si="425"/>
        <v>20</v>
      </c>
      <c r="BN234" t="str">
        <f t="shared" si="426"/>
        <v>линии</v>
      </c>
      <c r="BO234" s="6">
        <f>IFERROR(N(_xlfn.XLOOKUP(BC234,Коды_код,Коды_квт)),0)</f>
        <v>0</v>
      </c>
      <c r="BP234">
        <f t="shared" si="427"/>
        <v>0</v>
      </c>
      <c r="BQ234" t="str">
        <f>IF(B234="","",IF(BH234&lt;&gt;"",IFERROR(_xlfn.XLOOKUP(BH234,Щиты[Щит],Щиты[Руст, кВт]),0),IF(BP234=1,IF(OR(N(_xlfn.XLOOKUP(A234,Щиты[Щит],Щиты[Вводов],1))&lt;=1,LOWER(TRIM(_xlfn.XLOOKUP(A234,Щиты[Щит],Щиты[АВР],"")&amp;""))="да"),IFERROR(_xlfn.XLOOKUP(A234,Щиты[Щит],Щиты[Руст, кВт]),0),SUMIFS(Линии[_Р для вводов],Линии[Щит],A234,Линии[Источник для режимов],GF234)),IF(BO234&gt;0,ROUND(BO234*MAX(1,N(D234)),3),""))))</f>
        <v/>
      </c>
      <c r="BR234">
        <f t="shared" si="428"/>
        <v>3.8</v>
      </c>
      <c r="BS234" s="6">
        <f>IF(B234="","",IF(BH234&lt;&gt;"",IFERROR(_xlfn.XLOOKUP(BH234,Щиты[Щит],Щиты[Руст, кВт]),0),N(BR234)))</f>
        <v>3.8</v>
      </c>
      <c r="BT234" t="str">
        <f>IF(B234="","",IFERROR(IF(VLOOKUP(BC234,Потребители_обозначение,8,FALSE)=0,"",VLOOKUP(BC234,Потребители_обозначение,8,FALSE)),""))</f>
        <v/>
      </c>
      <c r="BU234">
        <f t="shared" si="429"/>
        <v>230</v>
      </c>
      <c r="BV234">
        <f t="shared" si="430"/>
        <v>0</v>
      </c>
      <c r="BW234">
        <f>IF(B234="","",IF(BH234&lt;&gt;"",3,IFERROR(IF(N(VLOOKUP(BC234,Потребители_обозначение,9,FALSE))=0,1,VLOOKUP(BC234,Потребители_обозначение,9,FALSE)),1)))</f>
        <v>1</v>
      </c>
      <c r="BX234">
        <f t="shared" si="431"/>
        <v>1</v>
      </c>
      <c r="BY234" t="str">
        <f>IF(B234="","",_xlfn.LET(_xlpm.bc,IFERROR(IF(VLOOKUP(BC234,Потребители_обозначение,6,FALSE)=0,"",VLOOKUP(BC234,Потребители_обозначение,6,FALSE)&amp;""),""),IF(AND(GA234="да",OR(_xlpm.bc="",_xlpm.bc="мс")),Марка_пож,IF(AND(_xlpm.bc="",BH234&lt;&gt;""),"мс",_xlpm.bc))))</f>
        <v/>
      </c>
      <c r="BZ234" t="str">
        <f t="shared" si="432"/>
        <v>мс</v>
      </c>
      <c r="CA234">
        <f>IF(B234="","",_xlfn.LET(_xlpm.cc,IFERROR(N(VLOOKUP(BC234,Потребители_обозначение,7,FALSE)),0),IF(_xlpm.cc&gt;0,_xlpm.cc,IF(BZ234="","",IF(BV234=1,2,IF(N(BX234)=3,5,3))))))</f>
        <v>3</v>
      </c>
      <c r="CB234">
        <f t="shared" si="433"/>
        <v>3</v>
      </c>
      <c r="CC234">
        <f>IFERROR(N(VLOOKUP(BC234,Потребители_обозначение,10,FALSE)),0)</f>
        <v>0</v>
      </c>
      <c r="CD234">
        <f>IFERROR(VLOOKUP(BC234,Потребители_обозначение,5,FALSE),0)</f>
        <v>1</v>
      </c>
      <c r="CE234" s="6" cm="1">
        <f t="array" ref="CE234">IF(B234="","",IF(BH234&lt;&gt;"",IFERROR(_xlfn.XLOOKUP(BH234,Щиты[Щит],Щиты[cos φ]),0.95),IF(BP234=1,IFERROR(_xlfn.XLOOKUP(A234,Щиты[Щит],Щиты[cos φ]),0.95),IF(ISNUMBER(AD234),AD234,IFERROR(IF(CD234=2,_xlfn.IFS(BX234=3,VLOOKUP(BS234,Справочная_двигатели,8,FALSE),BX234=1,VLOOKUP(BS234,Справочная_двигатели,10,TRUE)),IF(AND(Методика="нормы 2026",FG234="Сил"),0.8,0.95)),0.95)))))</f>
        <v>0.95</v>
      </c>
      <c r="CF234">
        <f t="shared" si="434"/>
        <v>0</v>
      </c>
      <c r="CG234">
        <f t="shared" si="435"/>
        <v>1</v>
      </c>
      <c r="CH234">
        <f t="shared" si="436"/>
        <v>0</v>
      </c>
      <c r="CI234">
        <f>IF(B234="","",IF(BV234=1,IFERROR(BS234/((Uн_лин/SQRT(3))*MAX(0.5,N(CE234))),0),N(O234)))</f>
        <v>17.320508075688771</v>
      </c>
      <c r="CJ234">
        <f t="shared" si="437"/>
        <v>0</v>
      </c>
      <c r="CK234">
        <f t="shared" si="438"/>
        <v>0</v>
      </c>
      <c r="CL234">
        <f t="shared" si="439"/>
        <v>0</v>
      </c>
      <c r="CM234">
        <f t="shared" si="440"/>
        <v>0</v>
      </c>
      <c r="CN234">
        <f t="shared" si="441"/>
        <v>0</v>
      </c>
      <c r="CO234">
        <f>IF(BC234="",0,_xlfn.LET(_xlpm.v,IFERROR(_xlfn.XLOOKUP(B234,Коды_код,Коды_мА),IFERROR(_xlfn.XLOOKUP(BC234,Коды_код,Коды_мА),IFERROR(_xlfn.XLOOKUP(LEFT(BC234,2),Коды_код,Коды_мА),""))),IF(_xlpm.v="да",30,IF(ISNUMBER(_xlpm.v),_xlpm.v,0))))</f>
        <v>30</v>
      </c>
      <c r="CP234">
        <f t="shared" si="442"/>
        <v>30</v>
      </c>
      <c r="CQ234" t="str">
        <f>_xlfn.LET(_xlpm.k,IFERROR(_xlfn.XLOOKUP(BC234,Коды_код,Коды_утечка)&amp;"",""),IF(_xlpm.k="","дифавтомат",_xlpm.k))</f>
        <v>дифавтомат</v>
      </c>
      <c r="CR234" t="str" cm="1">
        <f t="array" ref="CR234">IF(CG234=0,"",_xlfn.LET(_xlpm.sg,TRIM(_xlfn.TEXTSPLIT(DD234&amp;"",";")),_xlpm.f_,_xlfn._xlws.FILTER(_xlpm.sg,LEFT(_xlpm.sg,3)="УЗО",""),IFERROR(INDEX(_xlpm.f_,1)&amp;"","")))</f>
        <v/>
      </c>
      <c r="CS234" t="str">
        <f t="shared" si="443"/>
        <v/>
      </c>
      <c r="CT234" s="6" t="str" cm="1">
        <f t="array" ref="CT234">IF(CR234="","",_xlfn.LET(_xlpm.tk,_xlfn.TEXTSPLIT(UPPER(CR234)," ",,TRUE),_xlpm.a_,_xlfn._xlws.FILTER(_xlpm.tk,ISNUMBER(--LEFT(_xlpm.tk,1))*((ISNUMBER(SEARCH("А",_xlpm.tk))+ISNUMBER(SEARCH("A",_xlpm.tk)))&gt;0)*NOT(ISNUMBER(SEARCH("МА",_xlpm.tk)))*NOT(ISNUMBER(SEARCH("MA",_xlpm.tk))),""),IFERROR(--SUBSTITUTE(SUBSTITUTE(INDEX(_xlpm.a_,1),"А",""),"A",""),"")))</f>
        <v/>
      </c>
      <c r="CU234" t="str" cm="1">
        <f t="array" ref="CU234">IF(CR234="","",_xlfn.LET(_xlpm.tk,_xlfn.TEXTSPLIT(UPPER(CR234)," ",,TRUE),_xlpm.a_,_xlfn._xlws.FILTER(_xlpm.tk,ISNUMBER(--LEFT(_xlpm.tk,1))*((ISNUMBER(SEARCH("МА",_xlpm.tk))+ISNUMBER(SEARCH("MA",_xlpm.tk)))&gt;0),""),IFERROR(--SUBSTITUTE(SUBSTITUTE(INDEX(_xlpm.a_,1),"МА",""),"MA",""),30)))</f>
        <v/>
      </c>
      <c r="CV234" t="str">
        <f>IF(CS234="","",IFERROR(_xlfn.XLOOKUP(CS234,Линии[_n],Линии[_УЗО, мА]),30))</f>
        <v/>
      </c>
      <c r="CW234">
        <f>IF(CS234="",0,IF(ISNUMBER(SEARCH("4P",IFERROR(_xlfn.XLOOKUP(CS234,Линии[_n],Линии[_УЗО строки])&amp;"",""))),0,1))</f>
        <v>0</v>
      </c>
      <c r="CX234" t="str">
        <f>IF(AND(CS234&lt;&gt;"",CS234=BA234),SUMIFS(Линии[_ток на 230 В],Линии[_блок УЗО],BA234,Линии[Щит],A234),"")</f>
        <v/>
      </c>
      <c r="CY234" t="str">
        <f>IF(AND(CS234&lt;&gt;"",CS234=BA234),SUMIFS(Линии[_ток утечки линии, мА],Линии[_блок УЗО],BA234,Линии[Щит],A234),"")</f>
        <v/>
      </c>
      <c r="CZ234">
        <f t="shared" si="444"/>
        <v>30</v>
      </c>
      <c r="DA234">
        <f t="shared" si="445"/>
        <v>30</v>
      </c>
      <c r="DB234">
        <f>IF(B234="",0,IFERROR(--_xlfn.XLOOKUP(B234,Коды_код,Коды_минавт),IFERROR(--_xlfn.XLOOKUP(BC234,Коды_код,Коды_минавт),IFERROR(--_xlfn.XLOOKUP(LEFT(BC234,2),Коды_код,Коды_минавт),0))))</f>
        <v>16</v>
      </c>
      <c r="DC234" t="str">
        <f>IF(B234="","",IFERROR(_xlfn.XLOOKUP(BC234,Коды_код,Коды_апп)&amp;"",""))</f>
        <v/>
      </c>
      <c r="DD234" t="str">
        <f t="shared" si="446"/>
        <v/>
      </c>
      <c r="DE234" t="str" cm="1">
        <f t="array" ref="DE234">IF(TRIM(DD234&amp;"")="","",IFERROR(TRIM(INDEX(_xlfn.TEXTSPLIT(DD234&amp;";;;",";"),1)),""))</f>
        <v/>
      </c>
      <c r="DF234" t="str" cm="1">
        <f t="array" ref="DF234">IF(TRIM(DD234&amp;"")="","",IFERROR(TRIM(INDEX(_xlfn.TEXTSPLIT(DD234&amp;";;;",";"),2)),""))</f>
        <v/>
      </c>
      <c r="DG234" t="str" cm="1">
        <f t="array" ref="DG234">IF(TRIM(DD234&amp;"")="","",IFERROR(TRIM(INDEX(_xlfn.TEXTSPLIT(DD234&amp;";;;",";"),3)),""))</f>
        <v/>
      </c>
      <c r="DH234">
        <f t="shared" si="447"/>
        <v>0</v>
      </c>
      <c r="DI234" t="str">
        <f>IF(B234="","",_xlfn.LET(_xlpm.t,LOWER(AZ234&amp;""),IF(ISNUMBER(SEARCH("dim",_xlpm.t)),"DIM",IF(ISNUMBER(SEARCH("dali",_xlpm.t)),"DALI",IF(OR(ISNUMBER(SEARCH("relay",_xlpm.t)),ISNUMBER(SEARCH("реле",_xlpm.t))),"Relay",IF(ISNUMBER(SEARCH("кнопк",_xlpm.t)),"",IFERROR(_xlfn.XLOOKUP(BC234,Коды_код,Коды_упр)&amp;"","")))))))</f>
        <v/>
      </c>
      <c r="DJ234" t="str">
        <f t="shared" si="448"/>
        <v/>
      </c>
      <c r="DK234">
        <f>IF(B234="","",_xlfn.LET(_xlpm.ig,IF(N(CX234)&gt;0,N(CX234),N(CI234)+IF(AJ234="вручную",0,N(CJ234))),_xlpm.n0,IFERROR(VLOOKUP(_xlpm.ig,Автомат_номиналы,2,TRUE),0),_xlpm.mn,MAX(DB234,IF(AJ234="вручную",0,N(CM234))),MAX(_xlpm.n0,_xlpm.mn,IF(DH234=1,Мин_автомат_БП,0))))</f>
        <v>20</v>
      </c>
      <c r="DL234">
        <f t="shared" si="449"/>
        <v>1</v>
      </c>
      <c r="DM234" t="str">
        <f t="shared" si="450"/>
        <v>2P</v>
      </c>
      <c r="DN234" t="str">
        <f>_xlfn.LET(_xlpm.cc,UPPER(TRIM(IFERROR(_xlfn.XLOOKUP(BC234,Коды_код,Коды_хар)&amp;"",""))),IF(OR(_xlpm.cc="B",_xlpm.cc="В"),"B",IF(_xlpm.cc="D","D","С")))</f>
        <v>С</v>
      </c>
      <c r="DO234" t="str">
        <f t="shared" si="451"/>
        <v>2P С20А 30мА</v>
      </c>
      <c r="DP234" t="str">
        <f t="shared" si="452"/>
        <v>2P С20А 30мА</v>
      </c>
      <c r="DQ234" t="str">
        <f t="shared" si="453"/>
        <v>2P С20А 30мА</v>
      </c>
      <c r="DR234" cm="1">
        <f t="array" ref="DR234">IF(DQ234="","",_xlfn.LET(_xlpm.t,SUBSTITUTE(SUBSTITUTE(SUBSTITUTE(UPPER(DQ234),"С","C"),"А","A"),"В","B"),_xlpm.tk,_xlfn.TEXTSPLIT(_xlpm.t," "),_xlpm.f,_xlfn._xlws.FILTER(_xlpm.tk,ISNUMBER(--MID(_xlpm.tk,2,1))*ISNUMBER(SEARCH(LEFT(_xlpm.tk,1)&amp;"#","B#C#D#"))*(LEN(_xlpm.tk)&gt;1),""),_xlpm.x,INDEX(_xlpm.f,1),IFERROR(--SUBSTITUTE(MID(_xlpm.x,2,9),"A",""),IFERROR(--SUBSTITUTE(INDEX(_xlfn._xlws.FILTER(_xlpm.tk,ISNUMBER(--SUBSTITUTE(_xlpm.tk,"A","")),""),1),"A",""),""))))</f>
        <v>20</v>
      </c>
      <c r="DS234" t="str">
        <f t="shared" si="454"/>
        <v>ok</v>
      </c>
      <c r="DT234">
        <f t="shared" si="455"/>
        <v>20</v>
      </c>
      <c r="DU234" t="str">
        <f t="shared" si="456"/>
        <v>2P С20А 30мА</v>
      </c>
      <c r="DV234">
        <f t="shared" si="457"/>
        <v>30</v>
      </c>
      <c r="DW234">
        <f t="shared" si="458"/>
        <v>1</v>
      </c>
      <c r="DX234">
        <f t="shared" si="459"/>
        <v>0</v>
      </c>
      <c r="DY234">
        <f t="shared" si="460"/>
        <v>17.320508075688771</v>
      </c>
      <c r="DZ234">
        <f t="shared" si="461"/>
        <v>1</v>
      </c>
      <c r="EA234">
        <f>IF(ISNUMBER(AP234),AP234,К_прокл)</f>
        <v>1</v>
      </c>
      <c r="EB234">
        <f t="shared" si="462"/>
        <v>2</v>
      </c>
      <c r="EC234">
        <f>IFERROR(N(VLOOKUP(BZ234,Кабель_обозначение,3,FALSE)),1)</f>
        <v>1</v>
      </c>
      <c r="ED234">
        <f>IFERROR(N(_xlfn.XLOOKUP(A234,Щиты[Щит],Щиты[ΔU до шин, %])),0)</f>
        <v>1.19</v>
      </c>
      <c r="EE234" t="str">
        <f>IFERROR(_xlfn.XLOOKUP(A234,Щиты[Щит],Щиты[Zпетли на шинах, Ом]),"")</f>
        <v/>
      </c>
      <c r="EF234">
        <f>IFERROR(N(_xlfn.XLOOKUP(A234,Щиты[Щит],Щиты[ΔU до шин (подбор), %])),0)</f>
        <v>1.19</v>
      </c>
      <c r="EG234" t="str">
        <f>IFERROR(_xlfn.XLOOKUP(A234,Щиты[Щит],Щиты[Zпетли на шинах (подбор), Ом]),"")</f>
        <v/>
      </c>
      <c r="EH234" t="str">
        <f t="shared" si="463"/>
        <v/>
      </c>
      <c r="EI234">
        <f t="shared" si="464"/>
        <v>19</v>
      </c>
      <c r="EJ234">
        <f t="shared" si="465"/>
        <v>2</v>
      </c>
      <c r="EK234">
        <f t="shared" si="466"/>
        <v>0.31</v>
      </c>
      <c r="EL234" s="6">
        <f>IF(B234="","",IF(BV234=1,dU_LED,IF(IFERROR(_xlfn.XLOOKUP(BC234,Коды_код,Коды_уго),"")="Светильник",3,4)+IF(Методика="нормы 2026",MIN(0.5,MAX(0,N(P234)-100)*0.005),0)))</f>
        <v>4</v>
      </c>
      <c r="EM234" cm="1">
        <f t="array" ref="EM234">IF(OR(B234="",BZ234="",EC234&lt;&gt;1),"",_xlfn.LET(_xlpm.sz,Iдоп_S,_xlpm.t_,CHOOSE(EB234,Iдоп_1ж,Iдоп_2ж,Iдоп_3ж)*DZ234*EA234,_xlpm.dcx,BV234=1,_xlpm.inn,IF(_xlpm.dcx,N(O234),N(DT234)),_xlpm.smin,MAX(1.5,CC234),_xlpm.L_,N(P234)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234)/N(BU234)*100,999),IFERROR(N(EJ234)*(_xlpm.rho*_xlpm.L_/_xlpm.sz*N(CE234)+_xlpm.xx*_xlpm.L_*N(EK234)/1000)*N(O234)/((Uн_лин/SQRT(3))*1000)*100,999)),_xlpm.kz,IF(OR(_xlpm.dcx,DW234=1,NOT(ISNUMBER(EG234)),_xlpm.L_=0,_xlpm.inn=0),1,IFERROR(--(c_min*(Uн_лин*1000/SQRT(3))/(EG234+2*ρкз_Cu*_xlpm.L_/_xlpm.sz)&gt;=HT234*_xlpm.inn),0)),_xlpm.ok,IFERROR((_xlpm.sz&gt;=_xlpm.smin)*(_xlpm.t_&gt;=_xlpm.inn)*IF(_xlpm.L_&gt;0,(_xlpm.du_+IF(_xlpm.dcx,0,EF234)&lt;=EL234+0.00001),1)*_xlpm.kz,0),_xlpm.r_,_xlfn._xlws.FILTER(_xlpm.sz,_xlpm.ok,"не подобрано"),INDEX(_xlpm.r_,1)))</f>
        <v>4</v>
      </c>
      <c r="EN234">
        <f t="shared" si="467"/>
        <v>4</v>
      </c>
      <c r="EO234" cm="1">
        <f t="array" ref="EO234">IF(OR(B234="",BZ234="",EC234&lt;&gt;1),"",_xlfn.LET(_xlpm.sz,Iдоп_S,_xlpm.t_,CHOOSE(EB234,Iдоп_1ж,Iдоп_2ж,Iдоп_3ж)*DZ234*EA234,_xlpm.ok,IFERROR((_xlpm.sz&gt;=MAX(1.5,CC234))*(_xlpm.t_&gt;=N(DT234)),0),_xlpm.r_,_xlfn._xlws.FILTER(_xlpm.sz,_xlpm.ok,""),INDEX(_xlpm.r_,1)))</f>
        <v>2.5</v>
      </c>
      <c r="EP234" s="6" cm="1">
        <f t="array" ref="EP234">IFERROR(ROUNDUP(N(EJ234)*(_xlfn.XLOOKUP(EO234,INDEX(Кабель_сопротивление,0,1),INDEX(Кабель_сопротивление,0,3))*N(P234)/EO234*N(CE234)+_xlfn.XLOOKUP(EO234,INDEX(Кабель_сопротивление,0,1),INDEX(Кабель_сопротивление,0,2))*N(P234)*N(EK234)/1000)*N(O234)/((Uн_лин/SQRT(3))*1000)*100,2),"")</f>
        <v>2.84</v>
      </c>
      <c r="EQ234">
        <f>IFERROR(2*ρкз_Cu*N(P234)/EO234,"")</f>
        <v>0.46288000000000001</v>
      </c>
      <c r="ER234">
        <f>IFERROR(VLOOKUP(EN234,Кабель_сопротивление,3,FALSE),"")</f>
        <v>2.2499999999999999E-2</v>
      </c>
      <c r="ES234">
        <f>IFERROR(VLOOKUP(EN234,Кабель_сопротивление,2,FALSE),"")</f>
        <v>9.5000000000000001E-2</v>
      </c>
      <c r="ET234">
        <f t="shared" si="468"/>
        <v>22</v>
      </c>
      <c r="EU234">
        <f t="shared" si="469"/>
        <v>0</v>
      </c>
      <c r="EV234">
        <f t="shared" si="470"/>
        <v>4.0949283756607997</v>
      </c>
      <c r="EW234" s="6">
        <f>IFERROR(ROUNDUP(EV234/IF(BV234=1,BU234,(Uн_лин/SQRT(3))*1000)*100,2),"")</f>
        <v>1.78</v>
      </c>
      <c r="EX234" t="str">
        <f>IFERROR(VLOOKUP(BZ234,Кабель_обозначение,2,FALSE),"")</f>
        <v>ВВГнг(А)-LS</v>
      </c>
      <c r="EY234" t="str">
        <f t="shared" si="471"/>
        <v>ВВГнг(А)-LS (3х4)</v>
      </c>
      <c r="EZ234" t="str">
        <f t="shared" si="472"/>
        <v>ВВГнг(А)-LS (3х4)
L=22-1,78%</v>
      </c>
      <c r="FA234">
        <f>IFERROR(2*ρкз_Cu*P234/EN234,"")</f>
        <v>0.2893</v>
      </c>
      <c r="FB234">
        <f t="shared" si="473"/>
        <v>9.6250000000000002E-2</v>
      </c>
      <c r="FC234" s="6" t="str">
        <f>IFERROR(IF(OR(B234="",BV234=1,NOT(ISNUMBER(EN234)),N(P234)=0),"",_xlfn.XLOOKUP(A234,Щиты[Щит],Щиты[Zпетли на шинах, Ом])+FA234),"")</f>
        <v/>
      </c>
      <c r="FD234" s="6" t="str">
        <f>IF(ISNUMBER(FC234),c_min*(Uн_лин*1000/SQRT(3))/FC234,"")</f>
        <v/>
      </c>
      <c r="FE234" s="6" t="str">
        <f>IFERROR(IF(OR(B234="",NOT(ISNUMBER(EN234))),"",1.05*(Uн_лин*1000/SQRT(3))/(_xlfn.XLOOKUP(A234,Щиты[Щит],Щиты[Zmax на шинах, Ом])+FB234)/1000),"")</f>
        <v/>
      </c>
      <c r="FF234" s="6" t="str">
        <f>IF(B234="","",IF(ISNUMBER(AC234),"Сил",IF(IFERROR(_xlfn.XLOOKUP(BC234,Коды_код,Коды_группа)&amp;"","")="","Быт",_xlfn.XLOOKUP(BC234,Коды_код,Коды_группа)&amp;"")))</f>
        <v>Быт</v>
      </c>
      <c r="FG234" s="6" t="str">
        <f t="shared" si="474"/>
        <v>Быт</v>
      </c>
      <c r="FH234" s="6">
        <f>IF(FG234="Щит","щит",IF(FG234="","",IF(FG234="Быт",IFERROR(_xlfn.XLOOKUP(A234,Щиты[Щит],Щиты[Кс быт]),1),IF(FG234="Сил",IF(ISNUMBER(AC234),AC234,IF(Методика="нормы 2026",IFERROR(_xlfn.XLOOKUP(A234,Щиты[Щит],Щиты[Кс силовых (табл. 7.5)]),1),1)),IF(OR(FG234="Пост",FG234="Отоп"),1,IF(FG234="ВНГ",0.7,0))))))</f>
        <v>0.57830000000000004</v>
      </c>
      <c r="FI234">
        <f>IF(FG234="","",IF(AND(BP234=1,TRIM(AE234&amp;"")=""),IF(COUNTIFS(Линии[Щит],A234,Линии[Секция (1/2/3)],"&gt;=2")&gt;0,MIN(3,MAX(1,IFERROR(--BD234,1))),1),IFERROR(MIN(3,MAX(1,INT(--AE234))),1)))</f>
        <v>1</v>
      </c>
      <c r="FJ234">
        <f t="shared" si="475"/>
        <v>3.8</v>
      </c>
      <c r="FK234">
        <f t="shared" si="476"/>
        <v>3.8</v>
      </c>
      <c r="FL234">
        <f t="shared" si="477"/>
        <v>0</v>
      </c>
      <c r="FM234">
        <f t="shared" si="478"/>
        <v>0</v>
      </c>
      <c r="FN234">
        <f t="shared" si="479"/>
        <v>0</v>
      </c>
      <c r="FO234">
        <f t="shared" si="480"/>
        <v>0</v>
      </c>
      <c r="FP234">
        <f t="shared" si="481"/>
        <v>3.8</v>
      </c>
      <c r="FQ234">
        <f t="shared" si="482"/>
        <v>3.8</v>
      </c>
      <c r="FR234">
        <f t="shared" si="483"/>
        <v>3.61</v>
      </c>
      <c r="FS234">
        <f>IF(CG234=1,IF(AND(CH234=1,CW234=1),0,IF(AND(CS234&lt;&gt;"",CS234=BA234,CW234=1),SUMIFS(Линии[_Р линии, кВт],Линии[_блок УЗО],BA234,Линии[Щит],A234),N(BS234)+IF(AJ234="вручную",0,N(CK234)))),0)</f>
        <v>3.8</v>
      </c>
      <c r="FT234" t="str">
        <f t="shared" si="484"/>
        <v/>
      </c>
      <c r="FU234" t="str">
        <f>IF(B234="","",IF(CG234=0,IF(BA234=1,"",FW233),IF(AND(CH234=1,CW234=1,CS234&lt;&gt;""),IFERROR(_xlfn.XLOOKUP(CS234,Линии[_n],Линии[_фаза итог]),"L1"),IF(OR(N(DL234)&gt;=3,N(BX234)&gt;=3),"L1,L2,L3",IFERROR(_xlfn.TEXTBEFORE(_xlfn.TEXTAFTER(_xlfn.XLOOKUP(A234,Щиты[Щит],Щиты[_фазы авто]),";"&amp;BA234&amp;":"),";"),"L1")))))</f>
        <v>L1</v>
      </c>
      <c r="FV234" t="str">
        <f t="shared" si="485"/>
        <v>L1</v>
      </c>
      <c r="FW234" t="str">
        <f t="shared" si="486"/>
        <v>L1</v>
      </c>
      <c r="FX234" cm="1">
        <f t="array" ref="FX234">IFERROR(IF(CD234=2,_xlfn.IFS(BX234=3,VLOOKUP(BS234,Справочная_двигатели,3,FALSE),BX234=1,VLOOKUP(BS234,Справочная_двигатели,5,TRUE)),0),0)</f>
        <v>0</v>
      </c>
      <c r="FY234">
        <f>IFERROR(IF(CD234=3,VLOOKUP(BS234,Справочная_ЛЭД,2,TRUE),0),0)</f>
        <v>0</v>
      </c>
      <c r="FZ234" s="6">
        <f t="shared" si="487"/>
        <v>0</v>
      </c>
      <c r="GA234" t="str">
        <f>IF(B234="","",IF(TRIM(AH234&amp;"")&lt;&gt;"",IF(LOWER(TRIM(AH234&amp;""))="да","да","нет"),IF(IFERROR(_xlfn.XLOOKUP(BC234,Коды_код,Коды_пожарная),"")="да","да","нет")))</f>
        <v>нет</v>
      </c>
      <c r="GB234" t="str">
        <f t="shared" si="488"/>
        <v/>
      </c>
      <c r="GC234" t="str">
        <f t="shared" si="489"/>
        <v>основная</v>
      </c>
      <c r="GD234">
        <f>IF(AND(BP234=1,TRIM(AE234&amp;"")=""),IF(COUNTIFS(Линии[Щит],A234,Линии[Секция (1/2/3)],"&gt;=2")&gt;0,MIN(3,MAX(1,IFERROR(--BD234,1))),1),IFERROR(MIN(3,MAX(1,INT(--AE234))),1))</f>
        <v>1</v>
      </c>
      <c r="GE234" t="str" cm="1">
        <f t="array" ref="GE234">IF(B234="","",_xlfn.LET(_xlpm.t,IFERROR(_xlfn.XLOOKUP(1,(Шины[Шина]=GC234)*(((Шины[Щит]=A234)+(Шины[Щит]=""))&gt;0),Шины[Тип]),"")&amp;"",IF(_xlpm.t&lt;&gt;"",_xlpm.t,IF(ISNUMBER(SEARCH("ИБП",GC234)),"ИБП",IF(ISNUMBER(SEARCH("ДГУ",GC234)),"ДГУ","Ввод "&amp;GD234)))))</f>
        <v>Ввод 1</v>
      </c>
      <c r="GF234" t="str">
        <f t="shared" si="490"/>
        <v>Ввод 1</v>
      </c>
      <c r="GG234" t="str">
        <f>IF(BP234=0,"",IF(TRIM(AG234&amp;"")&lt;&gt;"",TRIM(AG234&amp;""),IF(OR(GE234="ИБП",GE234="ДГУ"),"I особая",_xlfn.XLOOKUP(A234,Щиты[Щит],Щиты[Категория шины «Ввод»],"III"))))</f>
        <v/>
      </c>
      <c r="GH234" t="str">
        <f>IF(A234="","",_xlfn.XLOOKUP(A234,Щиты[Щит],Щиты[Путь],""))</f>
        <v>|ГРЩ-ЖД|ЩР-1|</v>
      </c>
      <c r="GI234" t="str">
        <f>IF(B234="","",IF(AI234&lt;&gt;"",AI234,IF(IFERROR(_xlfn.XLOOKUP(BC234,Коды_код,Коды_вид)&amp;"","")="","Прочее",_xlfn.XLOOKUP(BC234,Коды_код,Коды_вид)&amp;"")))</f>
        <v>Розеточная сеть и бытовые приборы</v>
      </c>
      <c r="GJ234">
        <f>IF(BM234="","",INT((BM234-1)/Столбцов_на_лист)+1)</f>
        <v>2</v>
      </c>
      <c r="GK234" t="str">
        <f t="shared" si="491"/>
        <v>ВВГнг(А)-LS (3х4) L=22-1,78%</v>
      </c>
      <c r="GL234">
        <f t="shared" si="492"/>
        <v>3.8</v>
      </c>
      <c r="GM234">
        <f t="shared" si="493"/>
        <v>17.330000000000002</v>
      </c>
      <c r="GN234">
        <f t="shared" si="494"/>
        <v>1</v>
      </c>
      <c r="GO234">
        <f t="shared" si="495"/>
        <v>0</v>
      </c>
      <c r="GP234">
        <f t="shared" si="496"/>
        <v>1</v>
      </c>
      <c r="GQ234">
        <f>IF(BM234="","",IF(AND(CG234=1,GP234=1),COUNTIFS(A$3:A234,A234,CG$3:CG234,1,GP$3:GP234,1),IF(OR(OR(BA234=1,A234&lt;&gt;A233),AJ234="вручную",GP234=0),"",IF(BA234=1,"",GR233))))</f>
        <v>10</v>
      </c>
      <c r="GR234">
        <f t="shared" si="497"/>
        <v>10</v>
      </c>
      <c r="GS234">
        <f>IF(B234="","",IFERROR(LOOKUP(INDEX(CHOOSE(EB234,Iдоп_1ж,Iдоп_2ж,Iдоп_3ж),MATCH(EN234,Iдоп_S,0))*DZ234*EA234,{6,10,16,20,25,32,40,50,63,80,100,125,160,200,250,315,400,500,630}),""))</f>
        <v>32</v>
      </c>
      <c r="GT234" t="str">
        <f t="shared" si="498"/>
        <v>QFD10</v>
      </c>
      <c r="GU234" t="str">
        <f t="shared" si="499"/>
        <v>QFD10</v>
      </c>
      <c r="GV234" t="str">
        <f t="shared" si="500"/>
        <v/>
      </c>
      <c r="GW234">
        <f t="shared" si="501"/>
        <v>0</v>
      </c>
      <c r="GX234" t="str">
        <f>IF(OR(B234="",DJ234=""),"",IFERROR(_xlfn.XLOOKUP(DJ234,Модули_умолч[Управление],Модули_умолч[Модель])&amp;"",""))</f>
        <v/>
      </c>
      <c r="GY234">
        <f>IF(DJ234="",1,IFERROR(MAX(0,N(_xlfn.XLOOKUP(DJ234,Модули_умолч[Управление],Модули_умолч[Каналов на линию]))),1))</f>
        <v>1</v>
      </c>
      <c r="GZ234" t="str">
        <f t="shared" si="502"/>
        <v/>
      </c>
      <c r="HA234" t="str">
        <f t="shared" si="503"/>
        <v/>
      </c>
      <c r="HB234" t="str">
        <f t="shared" si="504"/>
        <v/>
      </c>
      <c r="HC234">
        <f>IF(HB234="",0,IFERROR(N(VLOOKUP(HB234,Модули_спр,3,FALSE)),0))</f>
        <v>0</v>
      </c>
      <c r="HD234" t="str">
        <f t="shared" si="505"/>
        <v/>
      </c>
      <c r="HE234" t="str">
        <f t="shared" si="506"/>
        <v/>
      </c>
      <c r="HF234" t="str">
        <f>IF(OR(HE234="",HE234="-"),"",IFERROR(VLOOKUP(HE234,Модули_спр,2,FALSE),"R"))</f>
        <v/>
      </c>
      <c r="HG234" t="str">
        <f>IF(HF234="","",HF234&amp;"."&amp;COUNTIFS(A$3:A234,A234,HF$3:HF234,HF234))</f>
        <v/>
      </c>
      <c r="HH234" t="str">
        <f t="shared" si="507"/>
        <v/>
      </c>
      <c r="HI234" t="str">
        <f t="shared" si="508"/>
        <v/>
      </c>
      <c r="HJ234" t="str">
        <f t="shared" si="509"/>
        <v/>
      </c>
      <c r="HK234" t="str">
        <f t="shared" si="510"/>
        <v/>
      </c>
      <c r="HL234">
        <f t="shared" si="511"/>
        <v>1</v>
      </c>
      <c r="HM234" t="str">
        <f>IF(HL234=1,"XT"&amp;COUNTIFS(A$3:A234,A234,HL$3:HL234,1),"")</f>
        <v>XT10</v>
      </c>
      <c r="HN234" t="str">
        <f t="shared" si="512"/>
        <v>XT10</v>
      </c>
      <c r="HO234" t="str">
        <f t="shared" si="513"/>
        <v>QFD10</v>
      </c>
      <c r="HP234" t="str">
        <f t="shared" si="514"/>
        <v/>
      </c>
      <c r="HQ234" t="str">
        <f t="shared" si="515"/>
        <v>ok</v>
      </c>
      <c r="HR234" t="str">
        <f>IF(OR(HJ234="",HH234=""),"",IF(HJ234+MAX(0,GY234-1)&gt;IFERROR(VLOOKUP(HI234,Модули_спр,3,FALSE),99),"ЛИШНИЙ КАНАЛ",IF(AND(AL234&lt;&gt;"=",GY234&gt;0,COUNTIFS(Линии[_модуль гр.],HH234,Линии[Канал (итог)],HJ234,Линии[Канал],"&lt;&gt;=",Линии[Щит],A234)&gt;1),"ДУБЛЬ КАНАЛА","")))</f>
        <v/>
      </c>
      <c r="HS234" s="6" t="str">
        <f t="shared" si="516"/>
        <v/>
      </c>
      <c r="HT234">
        <f t="shared" si="517"/>
        <v>10</v>
      </c>
      <c r="HU234" t="str">
        <f t="shared" si="518"/>
        <v/>
      </c>
      <c r="HV234">
        <f t="shared" si="519"/>
        <v>7.1482032302755085</v>
      </c>
      <c r="HW234">
        <f t="shared" si="520"/>
        <v>0</v>
      </c>
      <c r="HX234">
        <f t="shared" si="521"/>
        <v>0</v>
      </c>
      <c r="HY234">
        <f t="shared" si="522"/>
        <v>0</v>
      </c>
      <c r="HZ234">
        <f t="shared" si="523"/>
        <v>0</v>
      </c>
      <c r="IA234">
        <f t="shared" si="524"/>
        <v>0</v>
      </c>
      <c r="IB234">
        <f t="shared" si="525"/>
        <v>0</v>
      </c>
      <c r="IC234" t="str">
        <f t="shared" si="526"/>
        <v/>
      </c>
      <c r="ID234" t="str" cm="1">
        <f t="array" ref="ID234">IF(IC234="","",_xlfn.LET(_xlpm.tk,_xlfn.TEXTSPLIT(SUBSTITUTE(SUBSTITUTE(IC234,";"," "),"→"," ")," ",,TRUE),_xlpm.w_,_xlfn._xlws.FILTER(_xlpm.tk,ISNUMBER(--LEFT(_xlpm.tk,1))*((ISNUMBER(SEARCH("W",_xlpm.tk))+ISNUMBER(SEARCH("Вт",_xlpm.tk)))&gt;0),""),IFERROR(--SUBSTITUTE(SUBSTITUTE(UPPER(INDEX(_xlpm.w_,1)),"W",""),"ВТ",""),"")))</f>
        <v/>
      </c>
      <c r="IE234" t="str" cm="1">
        <f t="array" ref="IE234">IF(IC234="","",_xlfn.LET(_xlpm.tk,_xlfn.TEXTSPLIT(SUBSTITUTE(SUBSTITUTE(IC234,";"," "),"→"," ")," ",,TRUE),_xlpm.v_,_xlfn._xlws.FILTER(_xlpm.tk,ISNUMBER(--LEFT(_xlpm.tk,1))*((ISNUMBER(SEARCH("V",_xlpm.tk))+(RIGHT(UPPER(_xlpm.tk))="В"))&gt;0),""),IFERROR(--SUBSTITUTE(SUBSTITUTE(UPPER(INDEX(_xlpm.v_,1)),"V",""),"В",""),"")))</f>
        <v/>
      </c>
      <c r="IF234" s="6" t="str">
        <f>IF(OR(BV234=0,HI234="",HJ234=""),"",IFERROR(N(_xlfn.XLOOKUP(HI234,Каталог!$C$4:$C$500,Каталог!$Q$4:$Q$500)),""))</f>
        <v/>
      </c>
      <c r="IG234" s="6" t="str">
        <f>IF(N(IF234)=0,"",SUMIFS(Линии[Iр, А],Линии[Щит],A234,Линии[_модуль гр.],HH234,Линии[Канал (итог)],HJ234))</f>
        <v/>
      </c>
      <c r="IH234" t="str">
        <f>IF(AND(B234="",HO234=""),"",_xlfn.TEXTJOIN("; ",TRUE,IF(AND(B234&lt;&gt;"",FV234=""),"нет фазы",""),IF(AND(B234&lt;&gt;"",N(GL234)=0,FG234&lt;&gt;"Нет"),"нет мощности",""),IF(AND(HN234&lt;&gt;"",COUNTIFS(Линии[Щит],A234,Линии[Клемма (итог)],HN234)&gt;1),"дубль клеммы "&amp;HN234,""),IF(AND(HQ234&lt;&gt;"",HQ234&lt;&gt;"ok"),HQ234,""),IF(HR234&lt;&gt;"",HR234,""),IF(AND(N(CB234)&gt;=4,N(BX234)=1),CB234&amp;" жил на 1 фазе",""),IF(AND(BC234="R",CG234=1,IF(CS234&lt;&gt;"",N(CV234)&gt;30,OR(N(DA234)=0,N(DA234)&gt;30))),"розетка без дифзащиты до 30 мА",""),IF(AND(CG234=1,N(DA234)&gt;0,ISNUMBER(T234)),IF(T234&gt;N(DA234)/3,"ток утечки "&amp;FIXED(T234,1)&amp;" мА &gt; 1/3 уставки ("&amp;DA234&amp;" мА)",""),""),IF(AND(CH234=1,CS234=""),"«узо»: нет строки с УЗО выше (УЗО 2P 40А 30мА в «Аппаратах»)",""),IF(AND(CS234&lt;&gt;"",CS234=BA234),IF(CT234="","впишите номинал УЗО (УЗО 2P 40А 30мА)",IF(N(CT234)&lt;N(DT234),"УЗО "&amp;CT234&amp;" А &lt; автомата "&amp;DT234&amp;" А перед ним",IF(N(CT234)&lt;N(CX234),"УЗО "&amp;CT234&amp;" А &lt; тока блока "&amp;FIXED(CX234,1)&amp;" А",""))),""),IF(AND(CS234&lt;&gt;"",CS234=BA234,ISNUMBER(CY234)),IF(CY234&gt;N(CV234)/3,"ток утечки блока УЗО "&amp;FIXED(CY234,1)&amp;" мА &gt; 1/3 уставки ("&amp;CV234&amp;" мА)",""),""),IF(AND(CG234=1,N(BV234)+N(IB234)&gt;0,IC234=""),"линии до 50 В без БП: впишите в «Аппараты» (БП 24V 480W)",""),IF(AND(CG234=1,ISNUMBER(ID234),ISNUMBER(U234)),IF(U234&gt;ID234,"БП "&amp;ID234&amp;" Вт &lt; нужно "&amp;U234&amp;" Вт (×"&amp;Запас_БП&amp;")",""),""),IF(AND(CG234=1,ISNUMBER(IE234),N(BV234)=1),IF(IE234&lt;&gt;N(BU234),"БП на "&amp;IE234&amp;" В, линия "&amp;BU234&amp;" В",""),""),IF(AND(N(IF234)&gt;0,N(IG234)&gt;N(IF234)),HH234&amp;" канал "&amp;HJ234&amp;": "&amp;FIXED(IG234,1)&amp;" А &gt; "&amp;IF234&amp;" А",""),IFERROR(IF(AND(ISNUMBER(Q234),Q234&gt;EL234),"потери "&amp;FIXED(Q234,1)&amp;" % &gt; "&amp;EL234&amp;" %",""),""),IFERROR(IF(LEFT(HU234,4)="мало","Iкз мало — отключение &gt; 0,4 с",""),""),IF(AND(B234&lt;&gt;"",BM234=""),"не на схеме",""),IF(AND(CG234=0,B234&lt;&gt;"",FV234&lt;&gt;"",IF(BA234=1,"",FW233)&lt;&gt;"",FV234&lt;&gt;IF(BA234=1,"",FW233)),"фаза не как у автомата группы ("&amp;IF(BA234=1,"",FW233)&amp;")","")))</f>
        <v/>
      </c>
      <c r="II234" s="6">
        <f>IF(OR(CG234=0,DQ234=""),"",_xlfn.LET(_xlpm.t,IFERROR(_xlfn.XLOOKUP(DQ234,Каталог!$U$4:$U$500,Каталог!$G$4:$G$500),""),_xlpm.k,SEARCH("кА",_xlpm.t),IFERROR(--TRIM(RIGHT(SUBSTITUTE(MID(_xlpm.t,MAX(1,_xlpm.k-4),_xlpm.k-MAX(1,_xlpm.k-4))," ",REPT(" ",9)),5)),"")))</f>
        <v>6</v>
      </c>
      <c r="IJ234" t="str">
        <f>IF(OR(II234="",CG234=0),"",IF(_xlfn.XLOOKUP(A234,Щиты[Щит],Щиты[Iкз max на шинах, кА],"")="","",IF(II234&lt;_xlfn.XLOOKUP(A234,Щиты[Щит],Щиты[Iкз max на шинах, кА]),"Icu "&amp;II234&amp;" кА &lt; Iкз max","ok")))</f>
        <v/>
      </c>
      <c r="IK234" t="str">
        <f t="shared" si="527"/>
        <v/>
      </c>
      <c r="IL234" t="str">
        <f t="shared" si="528"/>
        <v>QFD10|XT10</v>
      </c>
      <c r="IM234" t="str">
        <f t="shared" si="529"/>
        <v>QFD10|XT10|кабель ВВГнг(А)-LS (3х4) → Розеточная группа Первый этаж Пом. №002Б ПММ</v>
      </c>
      <c r="IN234" t="str" cm="1">
        <f t="array" ref="IN234">IF(IM234="","",_xlfn.LET(_xlpm.nd,_xlfn.TEXTSPLIT(IM234,"|"),IF(COLUMNS(_xlpm.nd)&gt;1,A234&amp;"¦"&amp;INDEX(_xlpm.nd,1)&amp;"¦"&amp;INDEX(_xlpm.nd,2),"")))</f>
        <v>ЩР-1¦QFD10¦XT10</v>
      </c>
      <c r="IO234" t="str">
        <f t="shared" si="530"/>
        <v>R.1.002Б.5¦Розеточная группа Первый этаж Пом. №002Б ПММ</v>
      </c>
      <c r="IP234" t="str" cm="1">
        <f t="array" ref="IP234">IF(IM234="","",_xlfn.LET(_xlpm.nd,_xlfn.TEXTSPLIT(IM234,"|"),IF(COLUMNS(_xlpm.nd)&gt;2,A234&amp;"¦"&amp;INDEX(_xlpm.nd,2)&amp;"¦"&amp;INDEX(_xlpm.nd,3),"")))</f>
        <v>ЩР-1¦XT10¦кабель ВВГнг(А)-LS (3х4) → Розеточная группа Первый этаж Пом. №002Б ПММ</v>
      </c>
      <c r="IQ234" t="str">
        <f t="shared" si="531"/>
        <v>R.1.002Б.5¦Розеточная группа Первый этаж Пом. №002Б ПММ</v>
      </c>
      <c r="IR234" t="str" cm="1">
        <f t="array" ref="IR234">IF(IM234="","",_xlfn.LET(_xlpm.nd,_xlfn.TEXTSPLIT(IM234,"|"),IF(COLUMNS(_xlpm.nd)&gt;3,A234&amp;"¦"&amp;INDEX(_xlpm.nd,3)&amp;"¦"&amp;INDEX(_xlpm.nd,4),"")))</f>
        <v/>
      </c>
      <c r="IS234" t="str">
        <f t="shared" si="532"/>
        <v/>
      </c>
      <c r="IT234" t="str" cm="1">
        <f t="array" ref="IT234">IF(IM234="","",_xlfn.LET(_xlpm.nd,_xlfn.TEXTSPLIT(IM234,"|"),IF(COLUMNS(_xlpm.nd)&gt;4,A234&amp;"¦"&amp;INDEX(_xlpm.nd,4)&amp;"¦"&amp;INDEX(_xlpm.nd,5),"")))</f>
        <v/>
      </c>
      <c r="IU234" t="str">
        <f t="shared" si="533"/>
        <v/>
      </c>
      <c r="IV234" t="str" cm="1">
        <f t="array" ref="IV234">IF(IM234="","",_xlfn.LET(_xlpm.nd,_xlfn.TEXTSPLIT(IM234,"|"),IF(COLUMNS(_xlpm.nd)&gt;5,A234&amp;"¦"&amp;INDEX(_xlpm.nd,5)&amp;"¦"&amp;INDEX(_xlpm.nd,6),"")))</f>
        <v/>
      </c>
      <c r="IW234" t="str">
        <f t="shared" si="534"/>
        <v/>
      </c>
      <c r="IX234" t="str" cm="1">
        <f t="array" ref="IX234">IF(IM234="","",_xlfn.LET(_xlpm.nd,_xlfn.TEXTSPLIT(IM234,"|"),IF(COLUMNS(_xlpm.nd)&gt;6,A234&amp;"¦"&amp;INDEX(_xlpm.nd,6)&amp;"¦"&amp;INDEX(_xlpm.nd,7),"")))</f>
        <v/>
      </c>
      <c r="IY234" t="str">
        <f t="shared" si="535"/>
        <v/>
      </c>
      <c r="IZ234" t="str">
        <f t="shared" si="536"/>
        <v/>
      </c>
      <c r="JA234" t="str">
        <f t="shared" si="537"/>
        <v>QFD10 → XT10</v>
      </c>
      <c r="JB234">
        <f t="shared" si="538"/>
        <v>0</v>
      </c>
      <c r="JC234">
        <f t="shared" si="539"/>
        <v>1</v>
      </c>
      <c r="JD234" t="str">
        <f t="shared" si="540"/>
        <v/>
      </c>
      <c r="JE234" t="str">
        <f t="shared" si="541"/>
        <v/>
      </c>
      <c r="JF234" t="str">
        <f t="shared" si="542"/>
        <v/>
      </c>
      <c r="JG234" t="str">
        <f t="shared" si="543"/>
        <v/>
      </c>
      <c r="JH234" t="str">
        <f>IF(B234="","",IFERROR(_xlfn.XLOOKUP(B234,Коды_код,Коды_уго),IFERROR(_xlfn.XLOOKUP(BC234,Коды_код,Коды_уго),IFERROR(_xlfn.XLOOKUP(LEFT(BC234,2),Коды_код,Коды_уго),""))))</f>
        <v>Розетка</v>
      </c>
      <c r="JI234" t="str">
        <f>IF(B234="","",IF(OR(JH234="",JH234=0),"BOX",IFERROR(IF(VLOOKUP(JH234,УГО_блоки,3,FALSE)&amp;""&lt;&gt;"",VLOOKUP(JH234,УГО_блоки,3,FALSE),VLOOKUP(JH234,УГО_блоки,2,FALSE)),JH234)))</f>
        <v>SOCKET</v>
      </c>
      <c r="JJ234">
        <f t="shared" si="544"/>
        <v>1</v>
      </c>
      <c r="JK234">
        <f>IF(DQ234="","",IF(COUNTIF(DQ$3:DQ234,DQ234)=1,MAX(JK$2:JK233)+1,""))</f>
        <v>18</v>
      </c>
      <c r="JL234" t="str">
        <f>IF(DE234="","",IF(COUNTIF(DE$3:DE234,DE234)+COUNTIF(DF$2:DF233,DE234)+COUNTIF(DG$2:DG233,DE234)=1,MAX(JL$2:JN233)+1,""))</f>
        <v/>
      </c>
      <c r="JM234" t="str">
        <f>IF(DF234="","",IF(COUNTIF(DE$3:DE234,DF234)+COUNTIF(DF$3:DF234,DF234)+COUNTIF(DG$2:DG233,DF234)=1,MAX(JL$2:JN233,JL234)+1,""))</f>
        <v/>
      </c>
      <c r="JN234" t="str">
        <f>IF(DG234="","",IF(COUNTIF(DE$3:DE234,DG234)+COUNTIF(DF$3:DF234,DG234)+COUNTIF(DG$3:DG234,DG234)=1,MAX(JL$2:JN233,JL234,JM234)+1,""))</f>
        <v/>
      </c>
      <c r="JO234" t="str">
        <f t="shared" si="545"/>
        <v>3х4</v>
      </c>
      <c r="JP234" t="str">
        <f>IF(JO234="","",IF(COUNTIF(JO$3:JO234,JO234)=1,MAX(JP$2:JP233)+1,""))</f>
        <v/>
      </c>
      <c r="JQ234" t="str">
        <f>IF(HG234="","",COUNTIF(HG$3:HG234,"?*"))</f>
        <v/>
      </c>
      <c r="JR234" t="str">
        <f>IF(OR(HG234="",HI234=""),"",IF(COUNTIFS(HG$3:HG234,"?*",HI$3:HI234,HI234)=1,MAX(JR$2:JR233)+1,""))</f>
        <v/>
      </c>
      <c r="JS234">
        <f t="shared" si="546"/>
        <v>0</v>
      </c>
      <c r="JT234">
        <f>IF(B234="","",COUNTIF(B$3:B234,"?*"))</f>
        <v>232</v>
      </c>
      <c r="JU234">
        <f>IF(HL234&lt;&gt;1,0,_xlfn.LET(_xlpm.k,MAX(IFERROR(--_xlfn.XLOOKUP(B234,Коды_код,Коды_3L),0),IFERROR(--_xlfn.XLOOKUP(BC234,Коды_код,Коды_3L),0),IFERROR(--_xlfn.XLOOKUP(LEFT(BC234,2),Коды_код,Коды_3L),0)),IF(_xlpm.k&gt;0,_xlpm.k,IF(IFERROR(--LEFT(SUBSTITUTE(JO234,"x","х"),FIND("х",SUBSTITUTE(JO234,"x","х"))-1),3)&gt;3,Каталог!$S$9,1))))</f>
        <v>1</v>
      </c>
      <c r="JV234">
        <f t="shared" si="547"/>
        <v>0</v>
      </c>
      <c r="JW234" t="str">
        <f t="shared" si="548"/>
        <v>авто</v>
      </c>
      <c r="JX234">
        <f t="shared" si="549"/>
        <v>30</v>
      </c>
      <c r="JY234">
        <f t="shared" si="550"/>
        <v>1</v>
      </c>
      <c r="JZ234">
        <f t="shared" si="551"/>
        <v>1</v>
      </c>
    </row>
    <row r="235" spans="1:286" x14ac:dyDescent="0.3">
      <c r="A235" t="s">
        <v>757</v>
      </c>
      <c r="B235" t="s">
        <v>1541</v>
      </c>
      <c r="C235" t="s">
        <v>1711</v>
      </c>
      <c r="D235">
        <v>1</v>
      </c>
      <c r="E235">
        <v>3.6</v>
      </c>
      <c r="G235" t="str">
        <f>Линии[[#This Row],[_авто автомат]]</f>
        <v>2P С20А 30мА</v>
      </c>
      <c r="H235" t="str">
        <f>Линии[[#This Row],[_авто управление]]</f>
        <v/>
      </c>
      <c r="I235" t="str">
        <f>Линии[[#This Row],[_авто аппараты]]</f>
        <v/>
      </c>
      <c r="J235">
        <v>4</v>
      </c>
      <c r="K235">
        <v>19</v>
      </c>
      <c r="L235">
        <v>3</v>
      </c>
      <c r="M235" t="s">
        <v>484</v>
      </c>
      <c r="N235" t="str">
        <f t="shared" si="414"/>
        <v/>
      </c>
      <c r="O235" s="6" cm="1">
        <f t="array" ref="O235">IF(B235="","",IF(BH235&lt;&gt;"",IFERROR(_xlfn.XLOOKUP(BH235,Щиты[Щит],Щиты[Iр, А]),""),IF(BP235=1,IF(OR(N(_xlfn.XLOOKUP(A235,Щиты[Щит],Щиты[Вводов],1))&lt;=1,LOWER(TRIM(_xlfn.XLOOKUP(A235,Щиты[Щит],Щиты[АВР],"")&amp;""))="да"),IFERROR(_xlfn.XLOOKUP(A235,Щиты[Щит],Щиты[Iр, А]),""),IFERROR(N(BS235)*_xlfn.XLOOKUP(A235,Щиты[Щит],Щиты[Кс итог])/(SQRT(3)*Uн_лин*_xlfn.XLOOKUP(A235,Щиты[Щит],Щиты[cos φ])),"")),IF(BV235=1,IFERROR(BS235*1000/BU235,""),IFERROR(_xlfn.IFS(BX235=1,BS235/((Uн_лин/SQRT(3))*CE235),BX235=3,BS235/(SQRT(3)*Uн_лин*CE235)),"")))))</f>
        <v>16.408902387494628</v>
      </c>
      <c r="P235" s="7">
        <f>IF(B235="","",IFERROR(IF(VLOOKUP(BC235,Потребители_обозначение,4,FALSE)=1,VLOOKUP(BC235,Потребители_обозначение,3,FALSE)*(MAX(1,N(D235))*2-1)+EI235+VLOOKUP(BE235,Этаж_обозначение,3,FALSE)+VLOOKUP(BE235,Этаж_обозначение,4,FALSE),VLOOKUP(BC235,Потребители_обозначение,3,FALSE)*(MAX(1,N(D235))*2-1)+EI235),EI235))</f>
        <v>22</v>
      </c>
      <c r="Q235" s="6">
        <f t="shared" si="415"/>
        <v>2.87</v>
      </c>
      <c r="R235" t="str">
        <f t="shared" si="416"/>
        <v>ВВГнг(А)-LS (3х4)</v>
      </c>
      <c r="S235" t="str">
        <f>IF(BM235="","",IF(BN235="вводной узел","узел ","")&amp;"л."&amp;(INT((BM235-1)/Столбцов_на_лист)+1)&amp;" / "&amp;(MOD(BM235-1,Столбцов_на_лист)+1))</f>
        <v>л.2 / 4</v>
      </c>
      <c r="T235" s="119">
        <f t="shared" si="417"/>
        <v>6.8</v>
      </c>
      <c r="U235" s="7" t="str">
        <f>IF(OR(CG235=0,N(BV235)+N(IB235)=0),"",ROUNDUP(Запас_БП*(N(HY235)+N(HZ235)),0))</f>
        <v/>
      </c>
      <c r="V235" s="119" t="str">
        <f t="shared" si="418"/>
        <v/>
      </c>
      <c r="W235" s="7" t="str">
        <f>IFERROR(IF(OR(B235="",BP235=1,BV235=1,NOT(ISNUMBER(EN235)),N(DT235)=0),"",MAX(0,ROUNDDOWN((c_min*(Uн_лин*1000/SQRT(3))/(HT235*N(DT235))-_xlfn.XLOOKUP(A235,Щиты[Щит],Щиты[Zпетли на шинах, Ом]))*EN235/(2*ρкз_Cu),0))),"")</f>
        <v/>
      </c>
      <c r="Y235">
        <f>Линии[[#This Row],[_авто утечка]]</f>
        <v>30</v>
      </c>
      <c r="Z235">
        <v>1</v>
      </c>
      <c r="AA235">
        <v>230</v>
      </c>
      <c r="AB235" t="s">
        <v>562</v>
      </c>
      <c r="AG235" t="s">
        <v>810</v>
      </c>
      <c r="AI235" t="s">
        <v>561</v>
      </c>
      <c r="AK235" t="str">
        <f>Линии[[#This Row],[_авто модуль]]</f>
        <v/>
      </c>
      <c r="AM235">
        <v>21</v>
      </c>
      <c r="AN235" t="s">
        <v>11</v>
      </c>
      <c r="AO235">
        <v>3</v>
      </c>
      <c r="AQ235">
        <v>0</v>
      </c>
      <c r="AR235">
        <v>22</v>
      </c>
      <c r="AS235">
        <v>0</v>
      </c>
      <c r="BA235" cm="1">
        <f t="array" ref="BA235">ROW()-ROW(Линии[#Headers])</f>
        <v>233</v>
      </c>
      <c r="BC235" s="6" t="str">
        <f t="shared" si="419"/>
        <v>R</v>
      </c>
      <c r="BD235" t="str">
        <f t="shared" si="420"/>
        <v>1.002Б.6</v>
      </c>
      <c r="BE235" t="str">
        <f t="shared" si="421"/>
        <v>1</v>
      </c>
      <c r="BF235" t="str">
        <f t="shared" si="422"/>
        <v>002Б.6</v>
      </c>
      <c r="BG235" t="str">
        <f t="shared" si="423"/>
        <v>002Б</v>
      </c>
      <c r="BH235" t="str">
        <f>IF(X235&lt;&gt;"",X235,IF(AND(B235&lt;&gt;"",B235&lt;&gt;A235,ISNUMBER(_xlfn.XMATCH(B235,Щиты[Щит]))),B235,""))</f>
        <v/>
      </c>
      <c r="BI235" t="str" cm="1">
        <f t="array" ref="BI235">IF(B235="","",IF(BH235&lt;&gt;"","Щит "&amp;BH235,_xlfn.LET(_xlpm.nm,IFERROR(_xlfn.XLOOKUP(BC235,Коды_код,Коды_имя)&amp;"",""),_xlpm.md,IFERROR(N(_xlfn.XLOOKUP(BC235,Коды_код,Коды_режим)),1),_xlpm.ex,IF(Имя_режим="по экспликации",IFERROR(_xlfn.XLOOKUP(BE235&amp;"|"&amp;BG235,Экспликация[Этаж]&amp;"|"&amp;Экспликация[Помещение],Экспликация[Название])&amp;"",""),""),_xlpm.rm,IF(BG235="","",IF(_xlpm.ex&lt;&gt;"",". "&amp;_xlpm.ex&amp;IF(Имя_пом="нет"," ("&amp;BG235&amp;")"," (пом. "&amp;BG235&amp;")"),IF(Имя_пом="нет"," ",", пом. ")&amp;BG235)),IF(_xlpm.nm="","",IF(_xlpm.md=2,_xlpm.nm&amp;" шлейф "&amp;BE235,_xlpm.nm&amp;_xlpm.rm)))))</f>
        <v>Розеточная группа, пом. 002Б</v>
      </c>
      <c r="BJ235" t="str">
        <f t="shared" si="424"/>
        <v>Розеточная группа Первый этаж Пом. №002Б Стаканомоечная машина</v>
      </c>
      <c r="BK235">
        <f>IFERROR(_xlfn.XMATCH(A235,Щиты[Щит]),0)</f>
        <v>10</v>
      </c>
      <c r="BL235">
        <f>_xlfn.LET(_xlpm.k,IFERROR(_xlfn.XLOOKUP(A235,Щиты[Щит],Щиты[Мест под вводной узел]),""),IF(_xlpm.k="",Столбцов_на_лист,N(_xlpm.k)))</f>
        <v>8</v>
      </c>
      <c r="BM235">
        <f t="shared" si="425"/>
        <v>21</v>
      </c>
      <c r="BN235" t="str">
        <f t="shared" si="426"/>
        <v>линии</v>
      </c>
      <c r="BO235" s="6">
        <f>IFERROR(N(_xlfn.XLOOKUP(BC235,Коды_код,Коды_квт)),0)</f>
        <v>0</v>
      </c>
      <c r="BP235">
        <f t="shared" si="427"/>
        <v>0</v>
      </c>
      <c r="BQ235" t="str">
        <f>IF(B235="","",IF(BH235&lt;&gt;"",IFERROR(_xlfn.XLOOKUP(BH235,Щиты[Щит],Щиты[Руст, кВт]),0),IF(BP235=1,IF(OR(N(_xlfn.XLOOKUP(A235,Щиты[Щит],Щиты[Вводов],1))&lt;=1,LOWER(TRIM(_xlfn.XLOOKUP(A235,Щиты[Щит],Щиты[АВР],"")&amp;""))="да"),IFERROR(_xlfn.XLOOKUP(A235,Щиты[Щит],Щиты[Руст, кВт]),0),SUMIFS(Линии[_Р для вводов],Линии[Щит],A235,Линии[Источник для режимов],GF235)),IF(BO235&gt;0,ROUND(BO235*MAX(1,N(D235)),3),""))))</f>
        <v/>
      </c>
      <c r="BR235">
        <f t="shared" si="428"/>
        <v>3.6</v>
      </c>
      <c r="BS235" s="6">
        <f>IF(B235="","",IF(BH235&lt;&gt;"",IFERROR(_xlfn.XLOOKUP(BH235,Щиты[Щит],Щиты[Руст, кВт]),0),N(BR235)))</f>
        <v>3.6</v>
      </c>
      <c r="BT235" t="str">
        <f>IF(B235="","",IFERROR(IF(VLOOKUP(BC235,Потребители_обозначение,8,FALSE)=0,"",VLOOKUP(BC235,Потребители_обозначение,8,FALSE)),""))</f>
        <v/>
      </c>
      <c r="BU235">
        <f t="shared" si="429"/>
        <v>230</v>
      </c>
      <c r="BV235">
        <f t="shared" si="430"/>
        <v>0</v>
      </c>
      <c r="BW235">
        <f>IF(B235="","",IF(BH235&lt;&gt;"",3,IFERROR(IF(N(VLOOKUP(BC235,Потребители_обозначение,9,FALSE))=0,1,VLOOKUP(BC235,Потребители_обозначение,9,FALSE)),1)))</f>
        <v>1</v>
      </c>
      <c r="BX235">
        <f t="shared" si="431"/>
        <v>1</v>
      </c>
      <c r="BY235" t="str">
        <f>IF(B235="","",_xlfn.LET(_xlpm.bc,IFERROR(IF(VLOOKUP(BC235,Потребители_обозначение,6,FALSE)=0,"",VLOOKUP(BC235,Потребители_обозначение,6,FALSE)&amp;""),""),IF(AND(GA235="да",OR(_xlpm.bc="",_xlpm.bc="мс")),Марка_пож,IF(AND(_xlpm.bc="",BH235&lt;&gt;""),"мс",_xlpm.bc))))</f>
        <v/>
      </c>
      <c r="BZ235" t="str">
        <f t="shared" si="432"/>
        <v>мс</v>
      </c>
      <c r="CA235">
        <f>IF(B235="","",_xlfn.LET(_xlpm.cc,IFERROR(N(VLOOKUP(BC235,Потребители_обозначение,7,FALSE)),0),IF(_xlpm.cc&gt;0,_xlpm.cc,IF(BZ235="","",IF(BV235=1,2,IF(N(BX235)=3,5,3))))))</f>
        <v>3</v>
      </c>
      <c r="CB235">
        <f t="shared" si="433"/>
        <v>3</v>
      </c>
      <c r="CC235">
        <f>IFERROR(N(VLOOKUP(BC235,Потребители_обозначение,10,FALSE)),0)</f>
        <v>0</v>
      </c>
      <c r="CD235">
        <f>IFERROR(VLOOKUP(BC235,Потребители_обозначение,5,FALSE),0)</f>
        <v>1</v>
      </c>
      <c r="CE235" s="6" cm="1">
        <f t="array" ref="CE235">IF(B235="","",IF(BH235&lt;&gt;"",IFERROR(_xlfn.XLOOKUP(BH235,Щиты[Щит],Щиты[cos φ]),0.95),IF(BP235=1,IFERROR(_xlfn.XLOOKUP(A235,Щиты[Щит],Щиты[cos φ]),0.95),IF(ISNUMBER(AD235),AD235,IFERROR(IF(CD235=2,_xlfn.IFS(BX235=3,VLOOKUP(BS235,Справочная_двигатели,8,FALSE),BX235=1,VLOOKUP(BS235,Справочная_двигатели,10,TRUE)),IF(AND(Методика="нормы 2026",FG235="Сил"),0.8,0.95)),0.95)))))</f>
        <v>0.95</v>
      </c>
      <c r="CF235">
        <f t="shared" si="434"/>
        <v>0</v>
      </c>
      <c r="CG235">
        <f t="shared" si="435"/>
        <v>1</v>
      </c>
      <c r="CH235">
        <f t="shared" si="436"/>
        <v>0</v>
      </c>
      <c r="CI235">
        <f>IF(B235="","",IF(BV235=1,IFERROR(BS235/((Uн_лин/SQRT(3))*MAX(0.5,N(CE235))),0),N(O235)))</f>
        <v>16.408902387494628</v>
      </c>
      <c r="CJ235">
        <f t="shared" si="437"/>
        <v>0</v>
      </c>
      <c r="CK235">
        <f t="shared" si="438"/>
        <v>0</v>
      </c>
      <c r="CL235">
        <f t="shared" si="439"/>
        <v>0</v>
      </c>
      <c r="CM235">
        <f t="shared" si="440"/>
        <v>0</v>
      </c>
      <c r="CN235">
        <f t="shared" si="441"/>
        <v>0</v>
      </c>
      <c r="CO235">
        <f>IF(BC235="",0,_xlfn.LET(_xlpm.v,IFERROR(_xlfn.XLOOKUP(B235,Коды_код,Коды_мА),IFERROR(_xlfn.XLOOKUP(BC235,Коды_код,Коды_мА),IFERROR(_xlfn.XLOOKUP(LEFT(BC235,2),Коды_код,Коды_мА),""))),IF(_xlpm.v="да",30,IF(ISNUMBER(_xlpm.v),_xlpm.v,0))))</f>
        <v>30</v>
      </c>
      <c r="CP235">
        <f t="shared" si="442"/>
        <v>30</v>
      </c>
      <c r="CQ235" t="str">
        <f>_xlfn.LET(_xlpm.k,IFERROR(_xlfn.XLOOKUP(BC235,Коды_код,Коды_утечка)&amp;"",""),IF(_xlpm.k="","дифавтомат",_xlpm.k))</f>
        <v>дифавтомат</v>
      </c>
      <c r="CR235" t="str" cm="1">
        <f t="array" ref="CR235">IF(CG235=0,"",_xlfn.LET(_xlpm.sg,TRIM(_xlfn.TEXTSPLIT(DD235&amp;"",";")),_xlpm.f_,_xlfn._xlws.FILTER(_xlpm.sg,LEFT(_xlpm.sg,3)="УЗО",""),IFERROR(INDEX(_xlpm.f_,1)&amp;"","")))</f>
        <v/>
      </c>
      <c r="CS235" t="str">
        <f t="shared" si="443"/>
        <v/>
      </c>
      <c r="CT235" s="6" t="str" cm="1">
        <f t="array" ref="CT235">IF(CR235="","",_xlfn.LET(_xlpm.tk,_xlfn.TEXTSPLIT(UPPER(CR235)," ",,TRUE),_xlpm.a_,_xlfn._xlws.FILTER(_xlpm.tk,ISNUMBER(--LEFT(_xlpm.tk,1))*((ISNUMBER(SEARCH("А",_xlpm.tk))+ISNUMBER(SEARCH("A",_xlpm.tk)))&gt;0)*NOT(ISNUMBER(SEARCH("МА",_xlpm.tk)))*NOT(ISNUMBER(SEARCH("MA",_xlpm.tk))),""),IFERROR(--SUBSTITUTE(SUBSTITUTE(INDEX(_xlpm.a_,1),"А",""),"A",""),"")))</f>
        <v/>
      </c>
      <c r="CU235" t="str" cm="1">
        <f t="array" ref="CU235">IF(CR235="","",_xlfn.LET(_xlpm.tk,_xlfn.TEXTSPLIT(UPPER(CR235)," ",,TRUE),_xlpm.a_,_xlfn._xlws.FILTER(_xlpm.tk,ISNUMBER(--LEFT(_xlpm.tk,1))*((ISNUMBER(SEARCH("МА",_xlpm.tk))+ISNUMBER(SEARCH("MA",_xlpm.tk)))&gt;0),""),IFERROR(--SUBSTITUTE(SUBSTITUTE(INDEX(_xlpm.a_,1),"МА",""),"MA",""),30)))</f>
        <v/>
      </c>
      <c r="CV235" t="str">
        <f>IF(CS235="","",IFERROR(_xlfn.XLOOKUP(CS235,Линии[_n],Линии[_УЗО, мА]),30))</f>
        <v/>
      </c>
      <c r="CW235">
        <f>IF(CS235="",0,IF(ISNUMBER(SEARCH("4P",IFERROR(_xlfn.XLOOKUP(CS235,Линии[_n],Линии[_УЗО строки])&amp;"",""))),0,1))</f>
        <v>0</v>
      </c>
      <c r="CX235" t="str">
        <f>IF(AND(CS235&lt;&gt;"",CS235=BA235),SUMIFS(Линии[_ток на 230 В],Линии[_блок УЗО],BA235,Линии[Щит],A235),"")</f>
        <v/>
      </c>
      <c r="CY235" t="str">
        <f>IF(AND(CS235&lt;&gt;"",CS235=BA235),SUMIFS(Линии[_ток утечки линии, мА],Линии[_блок УЗО],BA235,Линии[Щит],A235),"")</f>
        <v/>
      </c>
      <c r="CZ235">
        <f t="shared" si="444"/>
        <v>30</v>
      </c>
      <c r="DA235">
        <f t="shared" si="445"/>
        <v>30</v>
      </c>
      <c r="DB235">
        <f>IF(B235="",0,IFERROR(--_xlfn.XLOOKUP(B235,Коды_код,Коды_минавт),IFERROR(--_xlfn.XLOOKUP(BC235,Коды_код,Коды_минавт),IFERROR(--_xlfn.XLOOKUP(LEFT(BC235,2),Коды_код,Коды_минавт),0))))</f>
        <v>16</v>
      </c>
      <c r="DC235" t="str">
        <f>IF(B235="","",IFERROR(_xlfn.XLOOKUP(BC235,Коды_код,Коды_апп)&amp;"",""))</f>
        <v/>
      </c>
      <c r="DD235" t="str">
        <f t="shared" si="446"/>
        <v/>
      </c>
      <c r="DE235" t="str" cm="1">
        <f t="array" ref="DE235">IF(TRIM(DD235&amp;"")="","",IFERROR(TRIM(INDEX(_xlfn.TEXTSPLIT(DD235&amp;";;;",";"),1)),""))</f>
        <v/>
      </c>
      <c r="DF235" t="str" cm="1">
        <f t="array" ref="DF235">IF(TRIM(DD235&amp;"")="","",IFERROR(TRIM(INDEX(_xlfn.TEXTSPLIT(DD235&amp;";;;",";"),2)),""))</f>
        <v/>
      </c>
      <c r="DG235" t="str" cm="1">
        <f t="array" ref="DG235">IF(TRIM(DD235&amp;"")="","",IFERROR(TRIM(INDEX(_xlfn.TEXTSPLIT(DD235&amp;";;;",";"),3)),""))</f>
        <v/>
      </c>
      <c r="DH235">
        <f t="shared" si="447"/>
        <v>0</v>
      </c>
      <c r="DI235" t="str">
        <f>IF(B235="","",_xlfn.LET(_xlpm.t,LOWER(AZ235&amp;""),IF(ISNUMBER(SEARCH("dim",_xlpm.t)),"DIM",IF(ISNUMBER(SEARCH("dali",_xlpm.t)),"DALI",IF(OR(ISNUMBER(SEARCH("relay",_xlpm.t)),ISNUMBER(SEARCH("реле",_xlpm.t))),"Relay",IF(ISNUMBER(SEARCH("кнопк",_xlpm.t)),"",IFERROR(_xlfn.XLOOKUP(BC235,Коды_код,Коды_упр)&amp;"","")))))))</f>
        <v/>
      </c>
      <c r="DJ235" t="str">
        <f t="shared" si="448"/>
        <v/>
      </c>
      <c r="DK235">
        <f>IF(B235="","",_xlfn.LET(_xlpm.ig,IF(N(CX235)&gt;0,N(CX235),N(CI235)+IF(AJ235="вручную",0,N(CJ235))),_xlpm.n0,IFERROR(VLOOKUP(_xlpm.ig,Автомат_номиналы,2,TRUE),0),_xlpm.mn,MAX(DB235,IF(AJ235="вручную",0,N(CM235))),MAX(_xlpm.n0,_xlpm.mn,IF(DH235=1,Мин_автомат_БП,0))))</f>
        <v>20</v>
      </c>
      <c r="DL235">
        <f t="shared" si="449"/>
        <v>1</v>
      </c>
      <c r="DM235" t="str">
        <f t="shared" si="450"/>
        <v>2P</v>
      </c>
      <c r="DN235" t="str">
        <f>_xlfn.LET(_xlpm.cc,UPPER(TRIM(IFERROR(_xlfn.XLOOKUP(BC235,Коды_код,Коды_хар)&amp;"",""))),IF(OR(_xlpm.cc="B",_xlpm.cc="В"),"B",IF(_xlpm.cc="D","D","С")))</f>
        <v>С</v>
      </c>
      <c r="DO235" t="str">
        <f t="shared" si="451"/>
        <v>2P С20А 30мА</v>
      </c>
      <c r="DP235" t="str">
        <f t="shared" si="452"/>
        <v>2P С20А 30мА</v>
      </c>
      <c r="DQ235" t="str">
        <f t="shared" si="453"/>
        <v>2P С20А 30мА</v>
      </c>
      <c r="DR235" cm="1">
        <f t="array" ref="DR235">IF(DQ235="","",_xlfn.LET(_xlpm.t,SUBSTITUTE(SUBSTITUTE(SUBSTITUTE(UPPER(DQ235),"С","C"),"А","A"),"В","B"),_xlpm.tk,_xlfn.TEXTSPLIT(_xlpm.t," "),_xlpm.f,_xlfn._xlws.FILTER(_xlpm.tk,ISNUMBER(--MID(_xlpm.tk,2,1))*ISNUMBER(SEARCH(LEFT(_xlpm.tk,1)&amp;"#","B#C#D#"))*(LEN(_xlpm.tk)&gt;1),""),_xlpm.x,INDEX(_xlpm.f,1),IFERROR(--SUBSTITUTE(MID(_xlpm.x,2,9),"A",""),IFERROR(--SUBSTITUTE(INDEX(_xlfn._xlws.FILTER(_xlpm.tk,ISNUMBER(--SUBSTITUTE(_xlpm.tk,"A","")),""),1),"A",""),""))))</f>
        <v>20</v>
      </c>
      <c r="DS235" t="str">
        <f t="shared" si="454"/>
        <v>ok</v>
      </c>
      <c r="DT235">
        <f t="shared" si="455"/>
        <v>20</v>
      </c>
      <c r="DU235" t="str">
        <f t="shared" si="456"/>
        <v>2P С20А 30мА</v>
      </c>
      <c r="DV235">
        <f t="shared" si="457"/>
        <v>30</v>
      </c>
      <c r="DW235">
        <f t="shared" si="458"/>
        <v>1</v>
      </c>
      <c r="DX235">
        <f t="shared" si="459"/>
        <v>0</v>
      </c>
      <c r="DY235">
        <f t="shared" si="460"/>
        <v>16.408902387494628</v>
      </c>
      <c r="DZ235">
        <f t="shared" si="461"/>
        <v>1</v>
      </c>
      <c r="EA235">
        <f>IF(ISNUMBER(AP235),AP235,К_прокл)</f>
        <v>1</v>
      </c>
      <c r="EB235">
        <f t="shared" si="462"/>
        <v>2</v>
      </c>
      <c r="EC235">
        <f>IFERROR(N(VLOOKUP(BZ235,Кабель_обозначение,3,FALSE)),1)</f>
        <v>1</v>
      </c>
      <c r="ED235">
        <f>IFERROR(N(_xlfn.XLOOKUP(A235,Щиты[Щит],Щиты[ΔU до шин, %])),0)</f>
        <v>1.19</v>
      </c>
      <c r="EE235" t="str">
        <f>IFERROR(_xlfn.XLOOKUP(A235,Щиты[Щит],Щиты[Zпетли на шинах, Ом]),"")</f>
        <v/>
      </c>
      <c r="EF235">
        <f>IFERROR(N(_xlfn.XLOOKUP(A235,Щиты[Щит],Щиты[ΔU до шин (подбор), %])),0)</f>
        <v>1.19</v>
      </c>
      <c r="EG235" t="str">
        <f>IFERROR(_xlfn.XLOOKUP(A235,Щиты[Щит],Щиты[Zпетли на шинах (подбор), Ом]),"")</f>
        <v/>
      </c>
      <c r="EH235" t="str">
        <f t="shared" si="463"/>
        <v/>
      </c>
      <c r="EI235">
        <f t="shared" si="464"/>
        <v>19</v>
      </c>
      <c r="EJ235">
        <f t="shared" si="465"/>
        <v>2</v>
      </c>
      <c r="EK235">
        <f t="shared" si="466"/>
        <v>0.31</v>
      </c>
      <c r="EL235" s="6">
        <f>IF(B235="","",IF(BV235=1,dU_LED,IF(IFERROR(_xlfn.XLOOKUP(BC235,Коды_код,Коды_уго),"")="Светильник",3,4)+IF(Методика="нормы 2026",MIN(0.5,MAX(0,N(P235)-100)*0.005),0)))</f>
        <v>4</v>
      </c>
      <c r="EM235" cm="1">
        <f t="array" ref="EM235">IF(OR(B235="",BZ235="",EC235&lt;&gt;1),"",_xlfn.LET(_xlpm.sz,Iдоп_S,_xlpm.t_,CHOOSE(EB235,Iдоп_1ж,Iдоп_2ж,Iдоп_3ж)*DZ235*EA235,_xlpm.dcx,BV235=1,_xlpm.inn,IF(_xlpm.dcx,N(O235),N(DT235)),_xlpm.smin,MAX(1.5,CC235),_xlpm.L_,N(P235)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235)/N(BU235)*100,999),IFERROR(N(EJ235)*(_xlpm.rho*_xlpm.L_/_xlpm.sz*N(CE235)+_xlpm.xx*_xlpm.L_*N(EK235)/1000)*N(O235)/((Uн_лин/SQRT(3))*1000)*100,999)),_xlpm.kz,IF(OR(_xlpm.dcx,DW235=1,NOT(ISNUMBER(EG235)),_xlpm.L_=0,_xlpm.inn=0),1,IFERROR(--(c_min*(Uн_лин*1000/SQRT(3))/(EG235+2*ρкз_Cu*_xlpm.L_/_xlpm.sz)&gt;=HT235*_xlpm.inn),0)),_xlpm.ok,IFERROR((_xlpm.sz&gt;=_xlpm.smin)*(_xlpm.t_&gt;=_xlpm.inn)*IF(_xlpm.L_&gt;0,(_xlpm.du_+IF(_xlpm.dcx,0,EF235)&lt;=EL235+0.00001),1)*_xlpm.kz,0),_xlpm.r_,_xlfn._xlws.FILTER(_xlpm.sz,_xlpm.ok,"не подобрано"),INDEX(_xlpm.r_,1)))</f>
        <v>2.5</v>
      </c>
      <c r="EN235">
        <f t="shared" si="467"/>
        <v>4</v>
      </c>
      <c r="EO235" cm="1">
        <f t="array" ref="EO235">IF(OR(B235="",BZ235="",EC235&lt;&gt;1),"",_xlfn.LET(_xlpm.sz,Iдоп_S,_xlpm.t_,CHOOSE(EB235,Iдоп_1ж,Iдоп_2ж,Iдоп_3ж)*DZ235*EA235,_xlpm.ok,IFERROR((_xlpm.sz&gt;=MAX(1.5,CC235))*(_xlpm.t_&gt;=N(DT235)),0),_xlpm.r_,_xlfn._xlws.FILTER(_xlpm.sz,_xlpm.ok,""),INDEX(_xlpm.r_,1)))</f>
        <v>2.5</v>
      </c>
      <c r="EP235" s="6" cm="1">
        <f t="array" ref="EP235">IFERROR(ROUNDUP(N(EJ235)*(_xlfn.XLOOKUP(EO235,INDEX(Кабель_сопротивление,0,1),INDEX(Кабель_сопротивление,0,3))*N(P235)/EO235*N(CE235)+_xlfn.XLOOKUP(EO235,INDEX(Кабель_сопротивление,0,1),INDEX(Кабель_сопротивление,0,2))*N(P235)*N(EK235)/1000)*N(O235)/((Uн_лин/SQRT(3))*1000)*100,2),"")</f>
        <v>2.69</v>
      </c>
      <c r="EQ235">
        <f>IFERROR(2*ρкз_Cu*N(P235)/EO235,"")</f>
        <v>0.46288000000000001</v>
      </c>
      <c r="ER235">
        <f>IFERROR(VLOOKUP(EN235,Кабель_сопротивление,3,FALSE),"")</f>
        <v>2.2499999999999999E-2</v>
      </c>
      <c r="ES235">
        <f>IFERROR(VLOOKUP(EN235,Кабель_сопротивление,2,FALSE),"")</f>
        <v>9.5000000000000001E-2</v>
      </c>
      <c r="ET235">
        <f t="shared" si="468"/>
        <v>22</v>
      </c>
      <c r="EU235">
        <f t="shared" si="469"/>
        <v>0</v>
      </c>
      <c r="EV235">
        <f t="shared" si="470"/>
        <v>3.8794058295733902</v>
      </c>
      <c r="EW235" s="6">
        <f>IFERROR(ROUNDUP(EV235/IF(BV235=1,BU235,(Uн_лин/SQRT(3))*1000)*100,2),"")</f>
        <v>1.68</v>
      </c>
      <c r="EX235" t="str">
        <f>IFERROR(VLOOKUP(BZ235,Кабель_обозначение,2,FALSE),"")</f>
        <v>ВВГнг(А)-LS</v>
      </c>
      <c r="EY235" t="str">
        <f t="shared" si="471"/>
        <v>ВВГнг(А)-LS (3х4)</v>
      </c>
      <c r="EZ235" t="str">
        <f t="shared" si="472"/>
        <v>ВВГнг(А)-LS (3х4)
L=22-1,68%</v>
      </c>
      <c r="FA235">
        <f>IFERROR(2*ρкз_Cu*P235/EN235,"")</f>
        <v>0.2893</v>
      </c>
      <c r="FB235">
        <f t="shared" si="473"/>
        <v>9.6250000000000002E-2</v>
      </c>
      <c r="FC235" s="6" t="str">
        <f>IFERROR(IF(OR(B235="",BV235=1,NOT(ISNUMBER(EN235)),N(P235)=0),"",_xlfn.XLOOKUP(A235,Щиты[Щит],Щиты[Zпетли на шинах, Ом])+FA235),"")</f>
        <v/>
      </c>
      <c r="FD235" s="6" t="str">
        <f>IF(ISNUMBER(FC235),c_min*(Uн_лин*1000/SQRT(3))/FC235,"")</f>
        <v/>
      </c>
      <c r="FE235" s="6" t="str">
        <f>IFERROR(IF(OR(B235="",NOT(ISNUMBER(EN235))),"",1.05*(Uн_лин*1000/SQRT(3))/(_xlfn.XLOOKUP(A235,Щиты[Щит],Щиты[Zmax на шинах, Ом])+FB235)/1000),"")</f>
        <v/>
      </c>
      <c r="FF235" s="6" t="str">
        <f>IF(B235="","",IF(ISNUMBER(AC235),"Сил",IF(IFERROR(_xlfn.XLOOKUP(BC235,Коды_код,Коды_группа)&amp;"","")="","Быт",_xlfn.XLOOKUP(BC235,Коды_код,Коды_группа)&amp;"")))</f>
        <v>Быт</v>
      </c>
      <c r="FG235" s="6" t="str">
        <f t="shared" si="474"/>
        <v>Быт</v>
      </c>
      <c r="FH235" s="6">
        <f>IF(FG235="Щит","щит",IF(FG235="","",IF(FG235="Быт",IFERROR(_xlfn.XLOOKUP(A235,Щиты[Щит],Щиты[Кс быт]),1),IF(FG235="Сил",IF(ISNUMBER(AC235),AC235,IF(Методика="нормы 2026",IFERROR(_xlfn.XLOOKUP(A235,Щиты[Щит],Щиты[Кс силовых (табл. 7.5)]),1),1)),IF(OR(FG235="Пост",FG235="Отоп"),1,IF(FG235="ВНГ",0.7,0))))))</f>
        <v>0.57830000000000004</v>
      </c>
      <c r="FI235">
        <f>IF(FG235="","",IF(AND(BP235=1,TRIM(AE235&amp;"")=""),IF(COUNTIFS(Линии[Щит],A235,Линии[Секция (1/2/3)],"&gt;=2")&gt;0,MIN(3,MAX(1,IFERROR(--BD235,1))),1),IFERROR(MIN(3,MAX(1,INT(--AE235))),1)))</f>
        <v>1</v>
      </c>
      <c r="FJ235">
        <f t="shared" si="475"/>
        <v>3.6</v>
      </c>
      <c r="FK235">
        <f t="shared" si="476"/>
        <v>3.6</v>
      </c>
      <c r="FL235">
        <f t="shared" si="477"/>
        <v>0</v>
      </c>
      <c r="FM235">
        <f t="shared" si="478"/>
        <v>0</v>
      </c>
      <c r="FN235">
        <f t="shared" si="479"/>
        <v>0</v>
      </c>
      <c r="FO235">
        <f t="shared" si="480"/>
        <v>0</v>
      </c>
      <c r="FP235">
        <f t="shared" si="481"/>
        <v>3.6</v>
      </c>
      <c r="FQ235">
        <f t="shared" si="482"/>
        <v>3.6</v>
      </c>
      <c r="FR235">
        <f t="shared" si="483"/>
        <v>3.42</v>
      </c>
      <c r="FS235">
        <f>IF(CG235=1,IF(AND(CH235=1,CW235=1),0,IF(AND(CS235&lt;&gt;"",CS235=BA235,CW235=1),SUMIFS(Линии[_Р линии, кВт],Линии[_блок УЗО],BA235,Линии[Щит],A235),N(BS235)+IF(AJ235="вручную",0,N(CK235)))),0)</f>
        <v>3.6</v>
      </c>
      <c r="FT235" t="str">
        <f t="shared" si="484"/>
        <v>L3</v>
      </c>
      <c r="FU235" t="str">
        <f>IF(B235="","",IF(CG235=0,IF(BA235=1,"",FW234),IF(AND(CH235=1,CW235=1,CS235&lt;&gt;""),IFERROR(_xlfn.XLOOKUP(CS235,Линии[_n],Линии[_фаза итог]),"L1"),IF(OR(N(DL235)&gt;=3,N(BX235)&gt;=3),"L1,L2,L3",IFERROR(_xlfn.TEXTBEFORE(_xlfn.TEXTAFTER(_xlfn.XLOOKUP(A235,Щиты[Щит],Щиты[_фазы авто]),";"&amp;BA235&amp;":"),";"),"L1")))))</f>
        <v>L1</v>
      </c>
      <c r="FV235" t="str">
        <f t="shared" si="485"/>
        <v>L3</v>
      </c>
      <c r="FW235" t="str">
        <f t="shared" si="486"/>
        <v>L3</v>
      </c>
      <c r="FX235" cm="1">
        <f t="array" ref="FX235">IFERROR(IF(CD235=2,_xlfn.IFS(BX235=3,VLOOKUP(BS235,Справочная_двигатели,3,FALSE),BX235=1,VLOOKUP(BS235,Справочная_двигатели,5,TRUE)),0),0)</f>
        <v>0</v>
      </c>
      <c r="FY235">
        <f>IFERROR(IF(CD235=3,VLOOKUP(BS235,Справочная_ЛЭД,2,TRUE),0),0)</f>
        <v>0</v>
      </c>
      <c r="FZ235" s="6">
        <f t="shared" si="487"/>
        <v>0</v>
      </c>
      <c r="GA235" t="str">
        <f>IF(B235="","",IF(TRIM(AH235&amp;"")&lt;&gt;"",IF(LOWER(TRIM(AH235&amp;""))="да","да","нет"),IF(IFERROR(_xlfn.XLOOKUP(BC235,Коды_код,Коды_пожарная),"")="да","да","нет")))</f>
        <v>нет</v>
      </c>
      <c r="GB235" t="str">
        <f t="shared" si="488"/>
        <v/>
      </c>
      <c r="GC235" t="str">
        <f t="shared" si="489"/>
        <v>основная</v>
      </c>
      <c r="GD235">
        <f>IF(AND(BP235=1,TRIM(AE235&amp;"")=""),IF(COUNTIFS(Линии[Щит],A235,Линии[Секция (1/2/3)],"&gt;=2")&gt;0,MIN(3,MAX(1,IFERROR(--BD235,1))),1),IFERROR(MIN(3,MAX(1,INT(--AE235))),1))</f>
        <v>1</v>
      </c>
      <c r="GE235" t="str" cm="1">
        <f t="array" ref="GE235">IF(B235="","",_xlfn.LET(_xlpm.t,IFERROR(_xlfn.XLOOKUP(1,(Шины[Шина]=GC235)*(((Шины[Щит]=A235)+(Шины[Щит]=""))&gt;0),Шины[Тип]),"")&amp;"",IF(_xlpm.t&lt;&gt;"",_xlpm.t,IF(ISNUMBER(SEARCH("ИБП",GC235)),"ИБП",IF(ISNUMBER(SEARCH("ДГУ",GC235)),"ДГУ","Ввод "&amp;GD235)))))</f>
        <v>Ввод 1</v>
      </c>
      <c r="GF235" t="str">
        <f t="shared" si="490"/>
        <v>Ввод 1</v>
      </c>
      <c r="GG235" t="str">
        <f>IF(BP235=0,"",IF(TRIM(AG235&amp;"")&lt;&gt;"",TRIM(AG235&amp;""),IF(OR(GE235="ИБП",GE235="ДГУ"),"I особая",_xlfn.XLOOKUP(A235,Щиты[Щит],Щиты[Категория шины «Ввод»],"III"))))</f>
        <v/>
      </c>
      <c r="GH235" t="str">
        <f>IF(A235="","",_xlfn.XLOOKUP(A235,Щиты[Щит],Щиты[Путь],""))</f>
        <v>|ГРЩ-ЖД|ЩР-1|</v>
      </c>
      <c r="GI235" t="str">
        <f>IF(B235="","",IF(AI235&lt;&gt;"",AI235,IF(IFERROR(_xlfn.XLOOKUP(BC235,Коды_код,Коды_вид)&amp;"","")="","Прочее",_xlfn.XLOOKUP(BC235,Коды_код,Коды_вид)&amp;"")))</f>
        <v>Розеточная сеть и бытовые приборы</v>
      </c>
      <c r="GJ235">
        <f>IF(BM235="","",INT((BM235-1)/Столбцов_на_лист)+1)</f>
        <v>2</v>
      </c>
      <c r="GK235" t="str">
        <f t="shared" si="491"/>
        <v>ВВГнг(А)-LS (3х4) L=22-1,68%</v>
      </c>
      <c r="GL235">
        <f t="shared" si="492"/>
        <v>3.6</v>
      </c>
      <c r="GM235">
        <f t="shared" si="493"/>
        <v>16.41</v>
      </c>
      <c r="GN235">
        <f t="shared" si="494"/>
        <v>1</v>
      </c>
      <c r="GO235">
        <f t="shared" si="495"/>
        <v>0</v>
      </c>
      <c r="GP235">
        <f t="shared" si="496"/>
        <v>1</v>
      </c>
      <c r="GQ235">
        <f>IF(BM235="","",IF(AND(CG235=1,GP235=1),COUNTIFS(A$3:A235,A235,CG$3:CG235,1,GP$3:GP235,1),IF(OR(OR(BA235=1,A235&lt;&gt;A234),AJ235="вручную",GP235=0),"",IF(BA235=1,"",GR234))))</f>
        <v>11</v>
      </c>
      <c r="GR235">
        <f t="shared" si="497"/>
        <v>11</v>
      </c>
      <c r="GS235">
        <f>IF(B235="","",IFERROR(LOOKUP(INDEX(CHOOSE(EB235,Iдоп_1ж,Iдоп_2ж,Iдоп_3ж),MATCH(EN235,Iдоп_S,0))*DZ235*EA235,{6,10,16,20,25,32,40,50,63,80,100,125,160,200,250,315,400,500,630}),""))</f>
        <v>32</v>
      </c>
      <c r="GT235" t="str">
        <f t="shared" si="498"/>
        <v>QFD11</v>
      </c>
      <c r="GU235" t="str">
        <f t="shared" si="499"/>
        <v>QFD11</v>
      </c>
      <c r="GV235" t="str">
        <f t="shared" si="500"/>
        <v/>
      </c>
      <c r="GW235">
        <f t="shared" si="501"/>
        <v>0</v>
      </c>
      <c r="GX235" t="str">
        <f>IF(OR(B235="",DJ235=""),"",IFERROR(_xlfn.XLOOKUP(DJ235,Модули_умолч[Управление],Модули_умолч[Модель])&amp;"",""))</f>
        <v/>
      </c>
      <c r="GY235">
        <f>IF(DJ235="",1,IFERROR(MAX(0,N(_xlfn.XLOOKUP(DJ235,Модули_умолч[Управление],Модули_умолч[Каналов на линию]))),1))</f>
        <v>1</v>
      </c>
      <c r="GZ235" t="str">
        <f t="shared" si="502"/>
        <v/>
      </c>
      <c r="HA235" t="str">
        <f t="shared" si="503"/>
        <v/>
      </c>
      <c r="HB235" t="str">
        <f t="shared" si="504"/>
        <v/>
      </c>
      <c r="HC235">
        <f>IF(HB235="",0,IFERROR(N(VLOOKUP(HB235,Модули_спр,3,FALSE)),0))</f>
        <v>0</v>
      </c>
      <c r="HD235" t="str">
        <f t="shared" si="505"/>
        <v/>
      </c>
      <c r="HE235" t="str">
        <f t="shared" si="506"/>
        <v/>
      </c>
      <c r="HF235" t="str">
        <f>IF(OR(HE235="",HE235="-"),"",IFERROR(VLOOKUP(HE235,Модули_спр,2,FALSE),"R"))</f>
        <v/>
      </c>
      <c r="HG235" t="str">
        <f>IF(HF235="","",HF235&amp;"."&amp;COUNTIFS(A$3:A235,A235,HF$3:HF235,HF235))</f>
        <v/>
      </c>
      <c r="HH235" t="str">
        <f t="shared" si="507"/>
        <v/>
      </c>
      <c r="HI235" t="str">
        <f t="shared" si="508"/>
        <v/>
      </c>
      <c r="HJ235" t="str">
        <f t="shared" si="509"/>
        <v/>
      </c>
      <c r="HK235" t="str">
        <f t="shared" si="510"/>
        <v/>
      </c>
      <c r="HL235">
        <f t="shared" si="511"/>
        <v>1</v>
      </c>
      <c r="HM235" t="str">
        <f>IF(HL235=1,"XT"&amp;COUNTIFS(A$3:A235,A235,HL$3:HL235,1),"")</f>
        <v>XT11</v>
      </c>
      <c r="HN235" t="str">
        <f t="shared" si="512"/>
        <v/>
      </c>
      <c r="HO235" t="str">
        <f t="shared" si="513"/>
        <v>QFD11</v>
      </c>
      <c r="HP235" t="str">
        <f t="shared" si="514"/>
        <v/>
      </c>
      <c r="HQ235" t="str">
        <f t="shared" si="515"/>
        <v>ok</v>
      </c>
      <c r="HR235" t="str">
        <f>IF(OR(HJ235="",HH235=""),"",IF(HJ235+MAX(0,GY235-1)&gt;IFERROR(VLOOKUP(HI235,Модули_спр,3,FALSE),99),"ЛИШНИЙ КАНАЛ",IF(AND(AL235&lt;&gt;"=",GY235&gt;0,COUNTIFS(Линии[_модуль гр.],HH235,Линии[Канал (итог)],HJ235,Линии[Канал],"&lt;&gt;=",Линии[Щит],A235)&gt;1),"ДУБЛЬ КАНАЛА","")))</f>
        <v/>
      </c>
      <c r="HS235" s="6" t="str">
        <f t="shared" si="516"/>
        <v/>
      </c>
      <c r="HT235">
        <f t="shared" si="517"/>
        <v>10</v>
      </c>
      <c r="HU235" t="str">
        <f t="shared" si="518"/>
        <v/>
      </c>
      <c r="HV235">
        <f t="shared" si="519"/>
        <v>6.7835609549978511</v>
      </c>
      <c r="HW235">
        <f t="shared" si="520"/>
        <v>0</v>
      </c>
      <c r="HX235">
        <f t="shared" si="521"/>
        <v>0</v>
      </c>
      <c r="HY235">
        <f t="shared" si="522"/>
        <v>0</v>
      </c>
      <c r="HZ235">
        <f t="shared" si="523"/>
        <v>0</v>
      </c>
      <c r="IA235">
        <f t="shared" si="524"/>
        <v>0</v>
      </c>
      <c r="IB235">
        <f t="shared" si="525"/>
        <v>0</v>
      </c>
      <c r="IC235" t="str">
        <f t="shared" si="526"/>
        <v/>
      </c>
      <c r="ID235" t="str" cm="1">
        <f t="array" ref="ID235">IF(IC235="","",_xlfn.LET(_xlpm.tk,_xlfn.TEXTSPLIT(SUBSTITUTE(SUBSTITUTE(IC235,";"," "),"→"," ")," ",,TRUE),_xlpm.w_,_xlfn._xlws.FILTER(_xlpm.tk,ISNUMBER(--LEFT(_xlpm.tk,1))*((ISNUMBER(SEARCH("W",_xlpm.tk))+ISNUMBER(SEARCH("Вт",_xlpm.tk)))&gt;0),""),IFERROR(--SUBSTITUTE(SUBSTITUTE(UPPER(INDEX(_xlpm.w_,1)),"W",""),"ВТ",""),"")))</f>
        <v/>
      </c>
      <c r="IE235" t="str" cm="1">
        <f t="array" ref="IE235">IF(IC235="","",_xlfn.LET(_xlpm.tk,_xlfn.TEXTSPLIT(SUBSTITUTE(SUBSTITUTE(IC235,";"," "),"→"," ")," ",,TRUE),_xlpm.v_,_xlfn._xlws.FILTER(_xlpm.tk,ISNUMBER(--LEFT(_xlpm.tk,1))*((ISNUMBER(SEARCH("V",_xlpm.tk))+(RIGHT(UPPER(_xlpm.tk))="В"))&gt;0),""),IFERROR(--SUBSTITUTE(SUBSTITUTE(UPPER(INDEX(_xlpm.v_,1)),"V",""),"В",""),"")))</f>
        <v/>
      </c>
      <c r="IF235" s="6" t="str">
        <f>IF(OR(BV235=0,HI235="",HJ235=""),"",IFERROR(N(_xlfn.XLOOKUP(HI235,Каталог!$C$4:$C$500,Каталог!$Q$4:$Q$500)),""))</f>
        <v/>
      </c>
      <c r="IG235" s="6" t="str">
        <f>IF(N(IF235)=0,"",SUMIFS(Линии[Iр, А],Линии[Щит],A235,Линии[_модуль гр.],HH235,Линии[Канал (итог)],HJ235))</f>
        <v/>
      </c>
      <c r="IH235" t="str">
        <f>IF(AND(B235="",HO235=""),"",_xlfn.TEXTJOIN("; ",TRUE,IF(AND(B235&lt;&gt;"",FV235=""),"нет фазы",""),IF(AND(B235&lt;&gt;"",N(GL235)=0,FG235&lt;&gt;"Нет"),"нет мощности",""),IF(AND(HN235&lt;&gt;"",COUNTIFS(Линии[Щит],A235,Линии[Клемма (итог)],HN235)&gt;1),"дубль клеммы "&amp;HN235,""),IF(AND(HQ235&lt;&gt;"",HQ235&lt;&gt;"ok"),HQ235,""),IF(HR235&lt;&gt;"",HR235,""),IF(AND(N(CB235)&gt;=4,N(BX235)=1),CB235&amp;" жил на 1 фазе",""),IF(AND(BC235="R",CG235=1,IF(CS235&lt;&gt;"",N(CV235)&gt;30,OR(N(DA235)=0,N(DA235)&gt;30))),"розетка без дифзащиты до 30 мА",""),IF(AND(CG235=1,N(DA235)&gt;0,ISNUMBER(T235)),IF(T235&gt;N(DA235)/3,"ток утечки "&amp;FIXED(T235,1)&amp;" мА &gt; 1/3 уставки ("&amp;DA235&amp;" мА)",""),""),IF(AND(CH235=1,CS235=""),"«узо»: нет строки с УЗО выше (УЗО 2P 40А 30мА в «Аппаратах»)",""),IF(AND(CS235&lt;&gt;"",CS235=BA235),IF(CT235="","впишите номинал УЗО (УЗО 2P 40А 30мА)",IF(N(CT235)&lt;N(DT235),"УЗО "&amp;CT235&amp;" А &lt; автомата "&amp;DT235&amp;" А перед ним",IF(N(CT235)&lt;N(CX235),"УЗО "&amp;CT235&amp;" А &lt; тока блока "&amp;FIXED(CX235,1)&amp;" А",""))),""),IF(AND(CS235&lt;&gt;"",CS235=BA235,ISNUMBER(CY235)),IF(CY235&gt;N(CV235)/3,"ток утечки блока УЗО "&amp;FIXED(CY235,1)&amp;" мА &gt; 1/3 уставки ("&amp;CV235&amp;" мА)",""),""),IF(AND(CG235=1,N(BV235)+N(IB235)&gt;0,IC235=""),"линии до 50 В без БП: впишите в «Аппараты» (БП 24V 480W)",""),IF(AND(CG235=1,ISNUMBER(ID235),ISNUMBER(U235)),IF(U235&gt;ID235,"БП "&amp;ID235&amp;" Вт &lt; нужно "&amp;U235&amp;" Вт (×"&amp;Запас_БП&amp;")",""),""),IF(AND(CG235=1,ISNUMBER(IE235),N(BV235)=1),IF(IE235&lt;&gt;N(BU235),"БП на "&amp;IE235&amp;" В, линия "&amp;BU235&amp;" В",""),""),IF(AND(N(IF235)&gt;0,N(IG235)&gt;N(IF235)),HH235&amp;" канал "&amp;HJ235&amp;": "&amp;FIXED(IG235,1)&amp;" А &gt; "&amp;IF235&amp;" А",""),IFERROR(IF(AND(ISNUMBER(Q235),Q235&gt;EL235),"потери "&amp;FIXED(Q235,1)&amp;" % &gt; "&amp;EL235&amp;" %",""),""),IFERROR(IF(LEFT(HU235,4)="мало","Iкз мало — отключение &gt; 0,4 с",""),""),IF(AND(B235&lt;&gt;"",BM235=""),"не на схеме",""),IF(AND(CG235=0,B235&lt;&gt;"",FV235&lt;&gt;"",IF(BA235=1,"",FW234)&lt;&gt;"",FV235&lt;&gt;IF(BA235=1,"",FW234)),"фаза не как у автомата группы ("&amp;IF(BA235=1,"",FW234)&amp;")","")))</f>
        <v/>
      </c>
      <c r="II235" s="6">
        <f>IF(OR(CG235=0,DQ235=""),"",_xlfn.LET(_xlpm.t,IFERROR(_xlfn.XLOOKUP(DQ235,Каталог!$U$4:$U$500,Каталог!$G$4:$G$500),""),_xlpm.k,SEARCH("кА",_xlpm.t),IFERROR(--TRIM(RIGHT(SUBSTITUTE(MID(_xlpm.t,MAX(1,_xlpm.k-4),_xlpm.k-MAX(1,_xlpm.k-4))," ",REPT(" ",9)),5)),"")))</f>
        <v>6</v>
      </c>
      <c r="IJ235" t="str">
        <f>IF(OR(II235="",CG235=0),"",IF(_xlfn.XLOOKUP(A235,Щиты[Щит],Щиты[Iкз max на шинах, кА],"")="","",IF(II235&lt;_xlfn.XLOOKUP(A235,Щиты[Щит],Щиты[Iкз max на шинах, кА]),"Icu "&amp;II235&amp;" кА &lt; Iкз max","ok")))</f>
        <v/>
      </c>
      <c r="IK235" t="str">
        <f t="shared" si="527"/>
        <v/>
      </c>
      <c r="IL235" t="str">
        <f t="shared" si="528"/>
        <v>QFD11</v>
      </c>
      <c r="IM235" t="str">
        <f t="shared" si="529"/>
        <v>QFD11|кабель ВВГнг(А)-LS (3х4) → Розеточная группа Первый этаж Пом. №002Б Стаканомоечная машина</v>
      </c>
      <c r="IN235" t="str" cm="1">
        <f t="array" ref="IN235">IF(IM235="","",_xlfn.LET(_xlpm.nd,_xlfn.TEXTSPLIT(IM235,"|"),IF(COLUMNS(_xlpm.nd)&gt;1,A235&amp;"¦"&amp;INDEX(_xlpm.nd,1)&amp;"¦"&amp;INDEX(_xlpm.nd,2),"")))</f>
        <v>ЩР-1¦QFD11¦кабель ВВГнг(А)-LS (3х4) → Розеточная группа Первый этаж Пом. №002Б Стаканомоечная машина</v>
      </c>
      <c r="IO235" t="str">
        <f t="shared" si="530"/>
        <v>R.1.002Б.6¦Розеточная группа Первый этаж Пом. №002Б Стаканомоечная машина</v>
      </c>
      <c r="IP235" t="str" cm="1">
        <f t="array" ref="IP235">IF(IM235="","",_xlfn.LET(_xlpm.nd,_xlfn.TEXTSPLIT(IM235,"|"),IF(COLUMNS(_xlpm.nd)&gt;2,A235&amp;"¦"&amp;INDEX(_xlpm.nd,2)&amp;"¦"&amp;INDEX(_xlpm.nd,3),"")))</f>
        <v/>
      </c>
      <c r="IQ235" t="str">
        <f t="shared" si="531"/>
        <v/>
      </c>
      <c r="IR235" t="str" cm="1">
        <f t="array" ref="IR235">IF(IM235="","",_xlfn.LET(_xlpm.nd,_xlfn.TEXTSPLIT(IM235,"|"),IF(COLUMNS(_xlpm.nd)&gt;3,A235&amp;"¦"&amp;INDEX(_xlpm.nd,3)&amp;"¦"&amp;INDEX(_xlpm.nd,4),"")))</f>
        <v/>
      </c>
      <c r="IS235" t="str">
        <f t="shared" si="532"/>
        <v/>
      </c>
      <c r="IT235" t="str" cm="1">
        <f t="array" ref="IT235">IF(IM235="","",_xlfn.LET(_xlpm.nd,_xlfn.TEXTSPLIT(IM235,"|"),IF(COLUMNS(_xlpm.nd)&gt;4,A235&amp;"¦"&amp;INDEX(_xlpm.nd,4)&amp;"¦"&amp;INDEX(_xlpm.nd,5),"")))</f>
        <v/>
      </c>
      <c r="IU235" t="str">
        <f t="shared" si="533"/>
        <v/>
      </c>
      <c r="IV235" t="str" cm="1">
        <f t="array" ref="IV235">IF(IM235="","",_xlfn.LET(_xlpm.nd,_xlfn.TEXTSPLIT(IM235,"|"),IF(COLUMNS(_xlpm.nd)&gt;5,A235&amp;"¦"&amp;INDEX(_xlpm.nd,5)&amp;"¦"&amp;INDEX(_xlpm.nd,6),"")))</f>
        <v/>
      </c>
      <c r="IW235" t="str">
        <f t="shared" si="534"/>
        <v/>
      </c>
      <c r="IX235" t="str" cm="1">
        <f t="array" ref="IX235">IF(IM235="","",_xlfn.LET(_xlpm.nd,_xlfn.TEXTSPLIT(IM235,"|"),IF(COLUMNS(_xlpm.nd)&gt;6,A235&amp;"¦"&amp;INDEX(_xlpm.nd,6)&amp;"¦"&amp;INDEX(_xlpm.nd,7),"")))</f>
        <v/>
      </c>
      <c r="IY235" t="str">
        <f t="shared" si="535"/>
        <v/>
      </c>
      <c r="IZ235" t="str">
        <f t="shared" si="536"/>
        <v/>
      </c>
      <c r="JA235" t="str">
        <f t="shared" si="537"/>
        <v>QFD11</v>
      </c>
      <c r="JB235">
        <f t="shared" si="538"/>
        <v>0</v>
      </c>
      <c r="JC235">
        <f t="shared" si="539"/>
        <v>1</v>
      </c>
      <c r="JD235" t="str">
        <f t="shared" si="540"/>
        <v/>
      </c>
      <c r="JE235" t="str">
        <f t="shared" si="541"/>
        <v/>
      </c>
      <c r="JF235" t="str">
        <f t="shared" si="542"/>
        <v/>
      </c>
      <c r="JG235" t="str">
        <f t="shared" si="543"/>
        <v/>
      </c>
      <c r="JH235" t="str">
        <f>IF(B235="","",IFERROR(_xlfn.XLOOKUP(B235,Коды_код,Коды_уго),IFERROR(_xlfn.XLOOKUP(BC235,Коды_код,Коды_уго),IFERROR(_xlfn.XLOOKUP(LEFT(BC235,2),Коды_код,Коды_уго),""))))</f>
        <v>Розетка</v>
      </c>
      <c r="JI235" t="str">
        <f>IF(B235="","",IF(OR(JH235="",JH235=0),"BOX",IFERROR(IF(VLOOKUP(JH235,УГО_блоки,3,FALSE)&amp;""&lt;&gt;"",VLOOKUP(JH235,УГО_блоки,3,FALSE),VLOOKUP(JH235,УГО_блоки,2,FALSE)),JH235)))</f>
        <v>SOCKET</v>
      </c>
      <c r="JJ235">
        <f t="shared" si="544"/>
        <v>1</v>
      </c>
      <c r="JK235" t="str">
        <f>IF(DQ235="","",IF(COUNTIF(DQ$3:DQ235,DQ235)=1,MAX(JK$2:JK234)+1,""))</f>
        <v/>
      </c>
      <c r="JL235" t="str">
        <f>IF(DE235="","",IF(COUNTIF(DE$3:DE235,DE235)+COUNTIF(DF$2:DF234,DE235)+COUNTIF(DG$2:DG234,DE235)=1,MAX(JL$2:JN234)+1,""))</f>
        <v/>
      </c>
      <c r="JM235" t="str">
        <f>IF(DF235="","",IF(COUNTIF(DE$3:DE235,DF235)+COUNTIF(DF$3:DF235,DF235)+COUNTIF(DG$2:DG234,DF235)=1,MAX(JL$2:JN234,JL235)+1,""))</f>
        <v/>
      </c>
      <c r="JN235" t="str">
        <f>IF(DG235="","",IF(COUNTIF(DE$3:DE235,DG235)+COUNTIF(DF$3:DF235,DG235)+COUNTIF(DG$3:DG235,DG235)=1,MAX(JL$2:JN234,JL235,JM235)+1,""))</f>
        <v/>
      </c>
      <c r="JO235" t="str">
        <f t="shared" si="545"/>
        <v>3х4</v>
      </c>
      <c r="JP235" t="str">
        <f>IF(JO235="","",IF(COUNTIF(JO$3:JO235,JO235)=1,MAX(JP$2:JP234)+1,""))</f>
        <v/>
      </c>
      <c r="JQ235" t="str">
        <f>IF(HG235="","",COUNTIF(HG$3:HG235,"?*"))</f>
        <v/>
      </c>
      <c r="JR235" t="str">
        <f>IF(OR(HG235="",HI235=""),"",IF(COUNTIFS(HG$3:HG235,"?*",HI$3:HI235,HI235)=1,MAX(JR$2:JR234)+1,""))</f>
        <v/>
      </c>
      <c r="JS235">
        <f t="shared" si="546"/>
        <v>0</v>
      </c>
      <c r="JT235">
        <f>IF(B235="","",COUNTIF(B$3:B235,"?*"))</f>
        <v>233</v>
      </c>
      <c r="JU235">
        <f>IF(HL235&lt;&gt;1,0,_xlfn.LET(_xlpm.k,MAX(IFERROR(--_xlfn.XLOOKUP(B235,Коды_код,Коды_3L),0),IFERROR(--_xlfn.XLOOKUP(BC235,Коды_код,Коды_3L),0),IFERROR(--_xlfn.XLOOKUP(LEFT(BC235,2),Коды_код,Коды_3L),0)),IF(_xlpm.k&gt;0,_xlpm.k,IF(IFERROR(--LEFT(SUBSTITUTE(JO235,"x","х"),FIND("х",SUBSTITUTE(JO235,"x","х"))-1),3)&gt;3,Каталог!$S$9,1))))</f>
        <v>1</v>
      </c>
      <c r="JV235">
        <f t="shared" si="547"/>
        <v>0</v>
      </c>
      <c r="JW235" t="str">
        <f t="shared" si="548"/>
        <v>авто</v>
      </c>
      <c r="JX235">
        <f t="shared" si="549"/>
        <v>30</v>
      </c>
      <c r="JY235">
        <f t="shared" si="550"/>
        <v>1</v>
      </c>
      <c r="JZ235">
        <f t="shared" si="551"/>
        <v>1</v>
      </c>
    </row>
    <row r="236" spans="1:286" x14ac:dyDescent="0.3">
      <c r="A236" t="s">
        <v>757</v>
      </c>
      <c r="B236" t="s">
        <v>1542</v>
      </c>
      <c r="C236" t="str">
        <f>Линии[[#This Row],[_авто наименование]]</f>
        <v>Розеточная группа, пом. 002Б</v>
      </c>
      <c r="D236">
        <v>1</v>
      </c>
      <c r="E236">
        <v>0.06</v>
      </c>
      <c r="G236" t="str">
        <f>Линии[[#This Row],[_авто автомат]]</f>
        <v>2P С16А 30мА</v>
      </c>
      <c r="H236" t="str">
        <f>Линии[[#This Row],[_авто управление]]</f>
        <v/>
      </c>
      <c r="I236" t="str">
        <f>Линии[[#This Row],[_авто аппараты]]</f>
        <v/>
      </c>
      <c r="J236">
        <v>2.5</v>
      </c>
      <c r="K236">
        <v>19</v>
      </c>
      <c r="L236" t="str">
        <f>Линии[[#This Row],[_авто фаза]]</f>
        <v>L3</v>
      </c>
      <c r="M236" t="s">
        <v>484</v>
      </c>
      <c r="N236" t="str">
        <f t="shared" si="414"/>
        <v/>
      </c>
      <c r="O236" s="6" cm="1">
        <f t="array" ref="O236">IF(B236="","",IF(BH236&lt;&gt;"",IFERROR(_xlfn.XLOOKUP(BH236,Щиты[Щит],Щиты[Iр, А]),""),IF(BP236=1,IF(OR(N(_xlfn.XLOOKUP(A236,Щиты[Щит],Щиты[Вводов],1))&lt;=1,LOWER(TRIM(_xlfn.XLOOKUP(A236,Щиты[Щит],Щиты[АВР],"")&amp;""))="да"),IFERROR(_xlfn.XLOOKUP(A236,Щиты[Щит],Щиты[Iр, А]),""),IFERROR(N(BS236)*_xlfn.XLOOKUP(A236,Щиты[Щит],Щиты[Кс итог])/(SQRT(3)*Uн_лин*_xlfn.XLOOKUP(A236,Щиты[Щит],Щиты[cos φ])),"")),IF(BV236=1,IFERROR(BS236*1000/BU236,""),IFERROR(_xlfn.IFS(BX236=1,BS236/((Uн_лин/SQRT(3))*CE236),BX236=3,BS236/(SQRT(3)*Uн_лин*CE236)),"")))))</f>
        <v>0.27348170645824377</v>
      </c>
      <c r="P236" s="7">
        <f>IF(B236="","",IFERROR(IF(VLOOKUP(BC236,Потребители_обозначение,4,FALSE)=1,VLOOKUP(BC236,Потребители_обозначение,3,FALSE)*(MAX(1,N(D236))*2-1)+EI236+VLOOKUP(BE236,Этаж_обозначение,3,FALSE)+VLOOKUP(BE236,Этаж_обозначение,4,FALSE),VLOOKUP(BC236,Потребители_обозначение,3,FALSE)*(MAX(1,N(D236))*2-1)+EI236),EI236))</f>
        <v>22</v>
      </c>
      <c r="Q236" s="6">
        <f t="shared" si="415"/>
        <v>1.24</v>
      </c>
      <c r="R236" t="str">
        <f t="shared" si="416"/>
        <v>ВВГнг(А)-LS (3х2,5)</v>
      </c>
      <c r="S236" t="str">
        <f>IF(BM236="","",IF(BN236="вводной узел","узел ","")&amp;"л."&amp;(INT((BM236-1)/Столбцов_на_лист)+1)&amp;" / "&amp;(MOD(BM236-1,Столбцов_на_лист)+1))</f>
        <v>л.2 / 5</v>
      </c>
      <c r="T236" s="119">
        <f t="shared" si="417"/>
        <v>0.3</v>
      </c>
      <c r="U236" s="7" t="str">
        <f>IF(OR(CG236=0,N(BV236)+N(IB236)=0),"",ROUNDUP(Запас_БП*(N(HY236)+N(HZ236)),0))</f>
        <v/>
      </c>
      <c r="V236" s="119" t="str">
        <f t="shared" si="418"/>
        <v/>
      </c>
      <c r="W236" s="7" t="str">
        <f>IFERROR(IF(OR(B236="",BP236=1,BV236=1,NOT(ISNUMBER(EN236)),N(DT236)=0),"",MAX(0,ROUNDDOWN((c_min*(Uн_лин*1000/SQRT(3))/(HT236*N(DT236))-_xlfn.XLOOKUP(A236,Щиты[Щит],Щиты[Zпетли на шинах, Ом]))*EN236/(2*ρкз_Cu),0))),"")</f>
        <v/>
      </c>
      <c r="Y236">
        <f>Линии[[#This Row],[_авто утечка]]</f>
        <v>30</v>
      </c>
      <c r="Z236">
        <v>1</v>
      </c>
      <c r="AA236">
        <v>230</v>
      </c>
      <c r="AB236" t="s">
        <v>562</v>
      </c>
      <c r="AG236" t="s">
        <v>810</v>
      </c>
      <c r="AI236" t="s">
        <v>561</v>
      </c>
      <c r="AK236" t="str">
        <f>Линии[[#This Row],[_авто модуль]]</f>
        <v/>
      </c>
      <c r="AM236">
        <v>22</v>
      </c>
      <c r="AN236" t="s">
        <v>11</v>
      </c>
      <c r="AO236">
        <v>3</v>
      </c>
      <c r="AQ236">
        <v>0</v>
      </c>
      <c r="AR236">
        <v>22</v>
      </c>
      <c r="AS236">
        <v>0</v>
      </c>
      <c r="BA236" cm="1">
        <f t="array" ref="BA236">ROW()-ROW(Линии[#Headers])</f>
        <v>234</v>
      </c>
      <c r="BC236" s="6" t="str">
        <f t="shared" si="419"/>
        <v>R</v>
      </c>
      <c r="BD236" t="str">
        <f t="shared" si="420"/>
        <v>1.002Б.7</v>
      </c>
      <c r="BE236" t="str">
        <f t="shared" si="421"/>
        <v>1</v>
      </c>
      <c r="BF236" t="str">
        <f t="shared" si="422"/>
        <v>002Б.7</v>
      </c>
      <c r="BG236" t="str">
        <f t="shared" si="423"/>
        <v>002Б</v>
      </c>
      <c r="BH236" t="str">
        <f>IF(X236&lt;&gt;"",X236,IF(AND(B236&lt;&gt;"",B236&lt;&gt;A236,ISNUMBER(_xlfn.XMATCH(B236,Щиты[Щит]))),B236,""))</f>
        <v/>
      </c>
      <c r="BI236" t="str" cm="1">
        <f t="array" ref="BI236">IF(B236="","",IF(BH236&lt;&gt;"","Щит "&amp;BH236,_xlfn.LET(_xlpm.nm,IFERROR(_xlfn.XLOOKUP(BC236,Коды_код,Коды_имя)&amp;"",""),_xlpm.md,IFERROR(N(_xlfn.XLOOKUP(BC236,Коды_код,Коды_режим)),1),_xlpm.ex,IF(Имя_режим="по экспликации",IFERROR(_xlfn.XLOOKUP(BE236&amp;"|"&amp;BG236,Экспликация[Этаж]&amp;"|"&amp;Экспликация[Помещение],Экспликация[Название])&amp;"",""),""),_xlpm.rm,IF(BG236="","",IF(_xlpm.ex&lt;&gt;"",". "&amp;_xlpm.ex&amp;IF(Имя_пом="нет"," ("&amp;BG236&amp;")"," (пом. "&amp;BG236&amp;")"),IF(Имя_пом="нет"," ",", пом. ")&amp;BG236)),IF(_xlpm.nm="","",IF(_xlpm.md=2,_xlpm.nm&amp;" шлейф "&amp;BE236,_xlpm.nm&amp;_xlpm.rm)))))</f>
        <v>Розеточная группа, пом. 002Б</v>
      </c>
      <c r="BJ236" t="str">
        <f t="shared" si="424"/>
        <v>Розеточная группа, пом. 002Б</v>
      </c>
      <c r="BK236">
        <f>IFERROR(_xlfn.XMATCH(A236,Щиты[Щит]),0)</f>
        <v>10</v>
      </c>
      <c r="BL236">
        <f>_xlfn.LET(_xlpm.k,IFERROR(_xlfn.XLOOKUP(A236,Щиты[Щит],Щиты[Мест под вводной узел]),""),IF(_xlpm.k="",Столбцов_на_лист,N(_xlpm.k)))</f>
        <v>8</v>
      </c>
      <c r="BM236">
        <f t="shared" si="425"/>
        <v>22</v>
      </c>
      <c r="BN236" t="str">
        <f t="shared" si="426"/>
        <v>линии</v>
      </c>
      <c r="BO236" s="6">
        <f>IFERROR(N(_xlfn.XLOOKUP(BC236,Коды_код,Коды_квт)),0)</f>
        <v>0</v>
      </c>
      <c r="BP236">
        <f t="shared" si="427"/>
        <v>0</v>
      </c>
      <c r="BQ236" t="str">
        <f>IF(B236="","",IF(BH236&lt;&gt;"",IFERROR(_xlfn.XLOOKUP(BH236,Щиты[Щит],Щиты[Руст, кВт]),0),IF(BP236=1,IF(OR(N(_xlfn.XLOOKUP(A236,Щиты[Щит],Щиты[Вводов],1))&lt;=1,LOWER(TRIM(_xlfn.XLOOKUP(A236,Щиты[Щит],Щиты[АВР],"")&amp;""))="да"),IFERROR(_xlfn.XLOOKUP(A236,Щиты[Щит],Щиты[Руст, кВт]),0),SUMIFS(Линии[_Р для вводов],Линии[Щит],A236,Линии[Источник для режимов],GF236)),IF(BO236&gt;0,ROUND(BO236*MAX(1,N(D236)),3),""))))</f>
        <v/>
      </c>
      <c r="BR236">
        <f t="shared" si="428"/>
        <v>0.06</v>
      </c>
      <c r="BS236" s="6">
        <f>IF(B236="","",IF(BH236&lt;&gt;"",IFERROR(_xlfn.XLOOKUP(BH236,Щиты[Щит],Щиты[Руст, кВт]),0),N(BR236)))</f>
        <v>0.06</v>
      </c>
      <c r="BT236" t="str">
        <f>IF(B236="","",IFERROR(IF(VLOOKUP(BC236,Потребители_обозначение,8,FALSE)=0,"",VLOOKUP(BC236,Потребители_обозначение,8,FALSE)),""))</f>
        <v/>
      </c>
      <c r="BU236">
        <f t="shared" si="429"/>
        <v>230</v>
      </c>
      <c r="BV236">
        <f t="shared" si="430"/>
        <v>0</v>
      </c>
      <c r="BW236">
        <f>IF(B236="","",IF(BH236&lt;&gt;"",3,IFERROR(IF(N(VLOOKUP(BC236,Потребители_обозначение,9,FALSE))=0,1,VLOOKUP(BC236,Потребители_обозначение,9,FALSE)),1)))</f>
        <v>1</v>
      </c>
      <c r="BX236">
        <f t="shared" si="431"/>
        <v>1</v>
      </c>
      <c r="BY236" t="str">
        <f>IF(B236="","",_xlfn.LET(_xlpm.bc,IFERROR(IF(VLOOKUP(BC236,Потребители_обозначение,6,FALSE)=0,"",VLOOKUP(BC236,Потребители_обозначение,6,FALSE)&amp;""),""),IF(AND(GA236="да",OR(_xlpm.bc="",_xlpm.bc="мс")),Марка_пож,IF(AND(_xlpm.bc="",BH236&lt;&gt;""),"мс",_xlpm.bc))))</f>
        <v/>
      </c>
      <c r="BZ236" t="str">
        <f t="shared" si="432"/>
        <v>мс</v>
      </c>
      <c r="CA236">
        <f>IF(B236="","",_xlfn.LET(_xlpm.cc,IFERROR(N(VLOOKUP(BC236,Потребители_обозначение,7,FALSE)),0),IF(_xlpm.cc&gt;0,_xlpm.cc,IF(BZ236="","",IF(BV236=1,2,IF(N(BX236)=3,5,3))))))</f>
        <v>3</v>
      </c>
      <c r="CB236">
        <f t="shared" si="433"/>
        <v>3</v>
      </c>
      <c r="CC236">
        <f>IFERROR(N(VLOOKUP(BC236,Потребители_обозначение,10,FALSE)),0)</f>
        <v>0</v>
      </c>
      <c r="CD236">
        <f>IFERROR(VLOOKUP(BC236,Потребители_обозначение,5,FALSE),0)</f>
        <v>1</v>
      </c>
      <c r="CE236" s="6" cm="1">
        <f t="array" ref="CE236">IF(B236="","",IF(BH236&lt;&gt;"",IFERROR(_xlfn.XLOOKUP(BH236,Щиты[Щит],Щиты[cos φ]),0.95),IF(BP236=1,IFERROR(_xlfn.XLOOKUP(A236,Щиты[Щит],Щиты[cos φ]),0.95),IF(ISNUMBER(AD236),AD236,IFERROR(IF(CD236=2,_xlfn.IFS(BX236=3,VLOOKUP(BS236,Справочная_двигатели,8,FALSE),BX236=1,VLOOKUP(BS236,Справочная_двигатели,10,TRUE)),IF(AND(Методика="нормы 2026",FG236="Сил"),0.8,0.95)),0.95)))))</f>
        <v>0.95</v>
      </c>
      <c r="CF236">
        <f t="shared" si="434"/>
        <v>0</v>
      </c>
      <c r="CG236">
        <f t="shared" si="435"/>
        <v>1</v>
      </c>
      <c r="CH236">
        <f t="shared" si="436"/>
        <v>0</v>
      </c>
      <c r="CI236">
        <f>IF(B236="","",IF(BV236=1,IFERROR(BS236/((Uн_лин/SQRT(3))*MAX(0.5,N(CE236))),0),N(O236)))</f>
        <v>0.27348170645824377</v>
      </c>
      <c r="CJ236">
        <f t="shared" si="437"/>
        <v>0</v>
      </c>
      <c r="CK236">
        <f t="shared" si="438"/>
        <v>0</v>
      </c>
      <c r="CL236">
        <f t="shared" si="439"/>
        <v>0</v>
      </c>
      <c r="CM236">
        <f t="shared" si="440"/>
        <v>0</v>
      </c>
      <c r="CN236">
        <f t="shared" si="441"/>
        <v>0</v>
      </c>
      <c r="CO236">
        <f>IF(BC236="",0,_xlfn.LET(_xlpm.v,IFERROR(_xlfn.XLOOKUP(B236,Коды_код,Коды_мА),IFERROR(_xlfn.XLOOKUP(BC236,Коды_код,Коды_мА),IFERROR(_xlfn.XLOOKUP(LEFT(BC236,2),Коды_код,Коды_мА),""))),IF(_xlpm.v="да",30,IF(ISNUMBER(_xlpm.v),_xlpm.v,0))))</f>
        <v>30</v>
      </c>
      <c r="CP236">
        <f t="shared" si="442"/>
        <v>30</v>
      </c>
      <c r="CQ236" t="str">
        <f>_xlfn.LET(_xlpm.k,IFERROR(_xlfn.XLOOKUP(BC236,Коды_код,Коды_утечка)&amp;"",""),IF(_xlpm.k="","дифавтомат",_xlpm.k))</f>
        <v>дифавтомат</v>
      </c>
      <c r="CR236" t="str" cm="1">
        <f t="array" ref="CR236">IF(CG236=0,"",_xlfn.LET(_xlpm.sg,TRIM(_xlfn.TEXTSPLIT(DD236&amp;"",";")),_xlpm.f_,_xlfn._xlws.FILTER(_xlpm.sg,LEFT(_xlpm.sg,3)="УЗО",""),IFERROR(INDEX(_xlpm.f_,1)&amp;"","")))</f>
        <v/>
      </c>
      <c r="CS236" t="str">
        <f t="shared" si="443"/>
        <v/>
      </c>
      <c r="CT236" s="6" t="str" cm="1">
        <f t="array" ref="CT236">IF(CR236="","",_xlfn.LET(_xlpm.tk,_xlfn.TEXTSPLIT(UPPER(CR236)," ",,TRUE),_xlpm.a_,_xlfn._xlws.FILTER(_xlpm.tk,ISNUMBER(--LEFT(_xlpm.tk,1))*((ISNUMBER(SEARCH("А",_xlpm.tk))+ISNUMBER(SEARCH("A",_xlpm.tk)))&gt;0)*NOT(ISNUMBER(SEARCH("МА",_xlpm.tk)))*NOT(ISNUMBER(SEARCH("MA",_xlpm.tk))),""),IFERROR(--SUBSTITUTE(SUBSTITUTE(INDEX(_xlpm.a_,1),"А",""),"A",""),"")))</f>
        <v/>
      </c>
      <c r="CU236" t="str" cm="1">
        <f t="array" ref="CU236">IF(CR236="","",_xlfn.LET(_xlpm.tk,_xlfn.TEXTSPLIT(UPPER(CR236)," ",,TRUE),_xlpm.a_,_xlfn._xlws.FILTER(_xlpm.tk,ISNUMBER(--LEFT(_xlpm.tk,1))*((ISNUMBER(SEARCH("МА",_xlpm.tk))+ISNUMBER(SEARCH("MA",_xlpm.tk)))&gt;0),""),IFERROR(--SUBSTITUTE(SUBSTITUTE(INDEX(_xlpm.a_,1),"МА",""),"MA",""),30)))</f>
        <v/>
      </c>
      <c r="CV236" t="str">
        <f>IF(CS236="","",IFERROR(_xlfn.XLOOKUP(CS236,Линии[_n],Линии[_УЗО, мА]),30))</f>
        <v/>
      </c>
      <c r="CW236">
        <f>IF(CS236="",0,IF(ISNUMBER(SEARCH("4P",IFERROR(_xlfn.XLOOKUP(CS236,Линии[_n],Линии[_УЗО строки])&amp;"",""))),0,1))</f>
        <v>0</v>
      </c>
      <c r="CX236" t="str">
        <f>IF(AND(CS236&lt;&gt;"",CS236=BA236),SUMIFS(Линии[_ток на 230 В],Линии[_блок УЗО],BA236,Линии[Щит],A236),"")</f>
        <v/>
      </c>
      <c r="CY236" t="str">
        <f>IF(AND(CS236&lt;&gt;"",CS236=BA236),SUMIFS(Линии[_ток утечки линии, мА],Линии[_блок УЗО],BA236,Линии[Щит],A236),"")</f>
        <v/>
      </c>
      <c r="CZ236">
        <f t="shared" si="444"/>
        <v>30</v>
      </c>
      <c r="DA236">
        <f t="shared" si="445"/>
        <v>30</v>
      </c>
      <c r="DB236">
        <f>IF(B236="",0,IFERROR(--_xlfn.XLOOKUP(B236,Коды_код,Коды_минавт),IFERROR(--_xlfn.XLOOKUP(BC236,Коды_код,Коды_минавт),IFERROR(--_xlfn.XLOOKUP(LEFT(BC236,2),Коды_код,Коды_минавт),0))))</f>
        <v>16</v>
      </c>
      <c r="DC236" t="str">
        <f>IF(B236="","",IFERROR(_xlfn.XLOOKUP(BC236,Коды_код,Коды_апп)&amp;"",""))</f>
        <v/>
      </c>
      <c r="DD236" t="str">
        <f t="shared" si="446"/>
        <v/>
      </c>
      <c r="DE236" t="str" cm="1">
        <f t="array" ref="DE236">IF(TRIM(DD236&amp;"")="","",IFERROR(TRIM(INDEX(_xlfn.TEXTSPLIT(DD236&amp;";;;",";"),1)),""))</f>
        <v/>
      </c>
      <c r="DF236" t="str" cm="1">
        <f t="array" ref="DF236">IF(TRIM(DD236&amp;"")="","",IFERROR(TRIM(INDEX(_xlfn.TEXTSPLIT(DD236&amp;";;;",";"),2)),""))</f>
        <v/>
      </c>
      <c r="DG236" t="str" cm="1">
        <f t="array" ref="DG236">IF(TRIM(DD236&amp;"")="","",IFERROR(TRIM(INDEX(_xlfn.TEXTSPLIT(DD236&amp;";;;",";"),3)),""))</f>
        <v/>
      </c>
      <c r="DH236">
        <f t="shared" si="447"/>
        <v>0</v>
      </c>
      <c r="DI236" t="str">
        <f>IF(B236="","",_xlfn.LET(_xlpm.t,LOWER(AZ236&amp;""),IF(ISNUMBER(SEARCH("dim",_xlpm.t)),"DIM",IF(ISNUMBER(SEARCH("dali",_xlpm.t)),"DALI",IF(OR(ISNUMBER(SEARCH("relay",_xlpm.t)),ISNUMBER(SEARCH("реле",_xlpm.t))),"Relay",IF(ISNUMBER(SEARCH("кнопк",_xlpm.t)),"",IFERROR(_xlfn.XLOOKUP(BC236,Коды_код,Коды_упр)&amp;"","")))))))</f>
        <v/>
      </c>
      <c r="DJ236" t="str">
        <f t="shared" si="448"/>
        <v/>
      </c>
      <c r="DK236">
        <f>IF(B236="","",_xlfn.LET(_xlpm.ig,IF(N(CX236)&gt;0,N(CX236),N(CI236)+IF(AJ236="вручную",0,N(CJ236))),_xlpm.n0,IFERROR(VLOOKUP(_xlpm.ig,Автомат_номиналы,2,TRUE),0),_xlpm.mn,MAX(DB236,IF(AJ236="вручную",0,N(CM236))),MAX(_xlpm.n0,_xlpm.mn,IF(DH236=1,Мин_автомат_БП,0))))</f>
        <v>16</v>
      </c>
      <c r="DL236">
        <f t="shared" si="449"/>
        <v>1</v>
      </c>
      <c r="DM236" t="str">
        <f t="shared" si="450"/>
        <v>2P</v>
      </c>
      <c r="DN236" t="str">
        <f>_xlfn.LET(_xlpm.cc,UPPER(TRIM(IFERROR(_xlfn.XLOOKUP(BC236,Коды_код,Коды_хар)&amp;"",""))),IF(OR(_xlpm.cc="B",_xlpm.cc="В"),"B",IF(_xlpm.cc="D","D","С")))</f>
        <v>С</v>
      </c>
      <c r="DO236" t="str">
        <f t="shared" si="451"/>
        <v>2P С16А 30мА</v>
      </c>
      <c r="DP236" t="str">
        <f t="shared" si="452"/>
        <v>2P С16А 30мА</v>
      </c>
      <c r="DQ236" t="str">
        <f t="shared" si="453"/>
        <v>2P С16А 30мА</v>
      </c>
      <c r="DR236" cm="1">
        <f t="array" ref="DR236">IF(DQ236="","",_xlfn.LET(_xlpm.t,SUBSTITUTE(SUBSTITUTE(SUBSTITUTE(UPPER(DQ236),"С","C"),"А","A"),"В","B"),_xlpm.tk,_xlfn.TEXTSPLIT(_xlpm.t," "),_xlpm.f,_xlfn._xlws.FILTER(_xlpm.tk,ISNUMBER(--MID(_xlpm.tk,2,1))*ISNUMBER(SEARCH(LEFT(_xlpm.tk,1)&amp;"#","B#C#D#"))*(LEN(_xlpm.tk)&gt;1),""),_xlpm.x,INDEX(_xlpm.f,1),IFERROR(--SUBSTITUTE(MID(_xlpm.x,2,9),"A",""),IFERROR(--SUBSTITUTE(INDEX(_xlfn._xlws.FILTER(_xlpm.tk,ISNUMBER(--SUBSTITUTE(_xlpm.tk,"A","")),""),1),"A",""),""))))</f>
        <v>16</v>
      </c>
      <c r="DS236" t="str">
        <f t="shared" si="454"/>
        <v>ok</v>
      </c>
      <c r="DT236">
        <f t="shared" si="455"/>
        <v>16</v>
      </c>
      <c r="DU236" t="str">
        <f t="shared" si="456"/>
        <v>2P С16А 30мА</v>
      </c>
      <c r="DV236">
        <f t="shared" si="457"/>
        <v>30</v>
      </c>
      <c r="DW236">
        <f t="shared" si="458"/>
        <v>1</v>
      </c>
      <c r="DX236">
        <f t="shared" si="459"/>
        <v>0</v>
      </c>
      <c r="DY236">
        <f t="shared" si="460"/>
        <v>0.27348170645824377</v>
      </c>
      <c r="DZ236">
        <f t="shared" si="461"/>
        <v>1</v>
      </c>
      <c r="EA236">
        <f>IF(ISNUMBER(AP236),AP236,К_прокл)</f>
        <v>1</v>
      </c>
      <c r="EB236">
        <f t="shared" si="462"/>
        <v>2</v>
      </c>
      <c r="EC236">
        <f>IFERROR(N(VLOOKUP(BZ236,Кабель_обозначение,3,FALSE)),1)</f>
        <v>1</v>
      </c>
      <c r="ED236">
        <f>IFERROR(N(_xlfn.XLOOKUP(A236,Щиты[Щит],Щиты[ΔU до шин, %])),0)</f>
        <v>1.19</v>
      </c>
      <c r="EE236" t="str">
        <f>IFERROR(_xlfn.XLOOKUP(A236,Щиты[Щит],Щиты[Zпетли на шинах, Ом]),"")</f>
        <v/>
      </c>
      <c r="EF236">
        <f>IFERROR(N(_xlfn.XLOOKUP(A236,Щиты[Щит],Щиты[ΔU до шин (подбор), %])),0)</f>
        <v>1.19</v>
      </c>
      <c r="EG236" t="str">
        <f>IFERROR(_xlfn.XLOOKUP(A236,Щиты[Щит],Щиты[Zпетли на шинах (подбор), Ом]),"")</f>
        <v/>
      </c>
      <c r="EH236" t="str">
        <f t="shared" si="463"/>
        <v/>
      </c>
      <c r="EI236">
        <f t="shared" si="464"/>
        <v>19</v>
      </c>
      <c r="EJ236">
        <f t="shared" si="465"/>
        <v>2</v>
      </c>
      <c r="EK236">
        <f t="shared" si="466"/>
        <v>0.31</v>
      </c>
      <c r="EL236" s="6">
        <f>IF(B236="","",IF(BV236=1,dU_LED,IF(IFERROR(_xlfn.XLOOKUP(BC236,Коды_код,Коды_уго),"")="Светильник",3,4)+IF(Методика="нормы 2026",MIN(0.5,MAX(0,N(P236)-100)*0.005),0)))</f>
        <v>4</v>
      </c>
      <c r="EM236" cm="1">
        <f t="array" ref="EM236">IF(OR(B236="",BZ236="",EC236&lt;&gt;1),"",_xlfn.LET(_xlpm.sz,Iдоп_S,_xlpm.t_,CHOOSE(EB236,Iдоп_1ж,Iдоп_2ж,Iдоп_3ж)*DZ236*EA236,_xlpm.dcx,BV236=1,_xlpm.inn,IF(_xlpm.dcx,N(O236),N(DT236)),_xlpm.smin,MAX(1.5,CC236),_xlpm.L_,N(P236)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236)/N(BU236)*100,999),IFERROR(N(EJ236)*(_xlpm.rho*_xlpm.L_/_xlpm.sz*N(CE236)+_xlpm.xx*_xlpm.L_*N(EK236)/1000)*N(O236)/((Uн_лин/SQRT(3))*1000)*100,999)),_xlpm.kz,IF(OR(_xlpm.dcx,DW236=1,NOT(ISNUMBER(EG236)),_xlpm.L_=0,_xlpm.inn=0),1,IFERROR(--(c_min*(Uн_лин*1000/SQRT(3))/(EG236+2*ρкз_Cu*_xlpm.L_/_xlpm.sz)&gt;=HT236*_xlpm.inn),0)),_xlpm.ok,IFERROR((_xlpm.sz&gt;=_xlpm.smin)*(_xlpm.t_&gt;=_xlpm.inn)*IF(_xlpm.L_&gt;0,(_xlpm.du_+IF(_xlpm.dcx,0,EF236)&lt;=EL236+0.00001),1)*_xlpm.kz,0),_xlpm.r_,_xlfn._xlws.FILTER(_xlpm.sz,_xlpm.ok,"не подобрано"),INDEX(_xlpm.r_,1)))</f>
        <v>1.5</v>
      </c>
      <c r="EN236">
        <f t="shared" si="467"/>
        <v>2.5</v>
      </c>
      <c r="EO236" cm="1">
        <f t="array" ref="EO236">IF(OR(B236="",BZ236="",EC236&lt;&gt;1),"",_xlfn.LET(_xlpm.sz,Iдоп_S,_xlpm.t_,CHOOSE(EB236,Iдоп_1ж,Iдоп_2ж,Iдоп_3ж)*DZ236*EA236,_xlpm.ok,IFERROR((_xlpm.sz&gt;=MAX(1.5,CC236))*(_xlpm.t_&gt;=N(DT236)),0),_xlpm.r_,_xlfn._xlws.FILTER(_xlpm.sz,_xlpm.ok,""),INDEX(_xlpm.r_,1)))</f>
        <v>1.5</v>
      </c>
      <c r="EP236" s="6" cm="1">
        <f t="array" ref="EP236">IFERROR(ROUNDUP(N(EJ236)*(_xlfn.XLOOKUP(EO236,INDEX(Кабель_сопротивление,0,1),INDEX(Кабель_сопротивление,0,3))*N(P236)/EO236*N(CE236)+_xlfn.XLOOKUP(EO236,INDEX(Кабель_сопротивление,0,1),INDEX(Кабель_сопротивление,0,2))*N(P236)*N(EK236)/1000)*N(O236)/((Uн_лин/SQRT(3))*1000)*100,2),"")</f>
        <v>0.08</v>
      </c>
      <c r="EQ236">
        <f>IFERROR(2*ρкз_Cu*N(P236)/EO236,"")</f>
        <v>0.77146666666666663</v>
      </c>
      <c r="ER236">
        <f>IFERROR(VLOOKUP(EN236,Кабель_сопротивление,3,FALSE),"")</f>
        <v>2.2499999999999999E-2</v>
      </c>
      <c r="ES236">
        <f>IFERROR(VLOOKUP(EN236,Кабель_сопротивление,2,FALSE),"")</f>
        <v>0.1</v>
      </c>
      <c r="ET236">
        <f t="shared" si="468"/>
        <v>22</v>
      </c>
      <c r="EU236">
        <f t="shared" si="469"/>
        <v>0</v>
      </c>
      <c r="EV236">
        <f t="shared" si="470"/>
        <v>0.10325684701720034</v>
      </c>
      <c r="EW236" s="6">
        <f>IFERROR(ROUNDUP(EV236/IF(BV236=1,BU236,(Uн_лин/SQRT(3))*1000)*100,2),"")</f>
        <v>0.05</v>
      </c>
      <c r="EX236" t="str">
        <f>IFERROR(VLOOKUP(BZ236,Кабель_обозначение,2,FALSE),"")</f>
        <v>ВВГнг(А)-LS</v>
      </c>
      <c r="EY236" t="str">
        <f t="shared" si="471"/>
        <v>ВВГнг(А)-LS (3х2,5)</v>
      </c>
      <c r="EZ236" t="str">
        <f t="shared" si="472"/>
        <v>ВВГнг(А)-LS (3х2,5)
L=22-0,05%</v>
      </c>
      <c r="FA236">
        <f>IFERROR(2*ρкз_Cu*P236/EN236,"")</f>
        <v>0.46288000000000001</v>
      </c>
      <c r="FB236">
        <f t="shared" si="473"/>
        <v>0.154</v>
      </c>
      <c r="FC236" s="6" t="str">
        <f>IFERROR(IF(OR(B236="",BV236=1,NOT(ISNUMBER(EN236)),N(P236)=0),"",_xlfn.XLOOKUP(A236,Щиты[Щит],Щиты[Zпетли на шинах, Ом])+FA236),"")</f>
        <v/>
      </c>
      <c r="FD236" s="6" t="str">
        <f>IF(ISNUMBER(FC236),c_min*(Uн_лин*1000/SQRT(3))/FC236,"")</f>
        <v/>
      </c>
      <c r="FE236" s="6" t="str">
        <f>IFERROR(IF(OR(B236="",NOT(ISNUMBER(EN236))),"",1.05*(Uн_лин*1000/SQRT(3))/(_xlfn.XLOOKUP(A236,Щиты[Щит],Щиты[Zmax на шинах, Ом])+FB236)/1000),"")</f>
        <v/>
      </c>
      <c r="FF236" s="6" t="str">
        <f>IF(B236="","",IF(ISNUMBER(AC236),"Сил",IF(IFERROR(_xlfn.XLOOKUP(BC236,Коды_код,Коды_группа)&amp;"","")="","Быт",_xlfn.XLOOKUP(BC236,Коды_код,Коды_группа)&amp;"")))</f>
        <v>Быт</v>
      </c>
      <c r="FG236" s="6" t="str">
        <f t="shared" si="474"/>
        <v>Быт</v>
      </c>
      <c r="FH236" s="6">
        <f>IF(FG236="Щит","щит",IF(FG236="","",IF(FG236="Быт",IFERROR(_xlfn.XLOOKUP(A236,Щиты[Щит],Щиты[Кс быт]),1),IF(FG236="Сил",IF(ISNUMBER(AC236),AC236,IF(Методика="нормы 2026",IFERROR(_xlfn.XLOOKUP(A236,Щиты[Щит],Щиты[Кс силовых (табл. 7.5)]),1),1)),IF(OR(FG236="Пост",FG236="Отоп"),1,IF(FG236="ВНГ",0.7,0))))))</f>
        <v>0.57830000000000004</v>
      </c>
      <c r="FI236">
        <f>IF(FG236="","",IF(AND(BP236=1,TRIM(AE236&amp;"")=""),IF(COUNTIFS(Линии[Щит],A236,Линии[Секция (1/2/3)],"&gt;=2")&gt;0,MIN(3,MAX(1,IFERROR(--BD236,1))),1),IFERROR(MIN(3,MAX(1,INT(--AE236))),1)))</f>
        <v>1</v>
      </c>
      <c r="FJ236">
        <f t="shared" si="475"/>
        <v>0.06</v>
      </c>
      <c r="FK236">
        <f t="shared" si="476"/>
        <v>0.06</v>
      </c>
      <c r="FL236">
        <f t="shared" si="477"/>
        <v>0</v>
      </c>
      <c r="FM236">
        <f t="shared" si="478"/>
        <v>0</v>
      </c>
      <c r="FN236">
        <f t="shared" si="479"/>
        <v>0</v>
      </c>
      <c r="FO236">
        <f t="shared" si="480"/>
        <v>0</v>
      </c>
      <c r="FP236">
        <f t="shared" si="481"/>
        <v>0.06</v>
      </c>
      <c r="FQ236">
        <f t="shared" si="482"/>
        <v>0.06</v>
      </c>
      <c r="FR236">
        <f t="shared" si="483"/>
        <v>5.6999999999999995E-2</v>
      </c>
      <c r="FS236">
        <f>IF(CG236=1,IF(AND(CH236=1,CW236=1),0,IF(AND(CS236&lt;&gt;"",CS236=BA236,CW236=1),SUMIFS(Линии[_Р линии, кВт],Линии[_блок УЗО],BA236,Линии[Щит],A236),N(BS236)+IF(AJ236="вручную",0,N(CK236)))),0)</f>
        <v>0.06</v>
      </c>
      <c r="FT236" t="str">
        <f t="shared" si="484"/>
        <v/>
      </c>
      <c r="FU236" t="str">
        <f>IF(B236="","",IF(CG236=0,IF(BA236=1,"",FW235),IF(AND(CH236=1,CW236=1,CS236&lt;&gt;""),IFERROR(_xlfn.XLOOKUP(CS236,Линии[_n],Линии[_фаза итог]),"L1"),IF(OR(N(DL236)&gt;=3,N(BX236)&gt;=3),"L1,L2,L3",IFERROR(_xlfn.TEXTBEFORE(_xlfn.TEXTAFTER(_xlfn.XLOOKUP(A236,Щиты[Щит],Щиты[_фазы авто]),";"&amp;BA236&amp;":"),";"),"L1")))))</f>
        <v>L3</v>
      </c>
      <c r="FV236" t="str">
        <f t="shared" si="485"/>
        <v>L3</v>
      </c>
      <c r="FW236" t="str">
        <f t="shared" si="486"/>
        <v>L3</v>
      </c>
      <c r="FX236" cm="1">
        <f t="array" ref="FX236">IFERROR(IF(CD236=2,_xlfn.IFS(BX236=3,VLOOKUP(BS236,Справочная_двигатели,3,FALSE),BX236=1,VLOOKUP(BS236,Справочная_двигатели,5,TRUE)),0),0)</f>
        <v>0</v>
      </c>
      <c r="FY236">
        <f>IFERROR(IF(CD236=3,VLOOKUP(BS236,Справочная_ЛЭД,2,TRUE),0),0)</f>
        <v>0</v>
      </c>
      <c r="FZ236" s="6">
        <f t="shared" si="487"/>
        <v>0</v>
      </c>
      <c r="GA236" t="str">
        <f>IF(B236="","",IF(TRIM(AH236&amp;"")&lt;&gt;"",IF(LOWER(TRIM(AH236&amp;""))="да","да","нет"),IF(IFERROR(_xlfn.XLOOKUP(BC236,Коды_код,Коды_пожарная),"")="да","да","нет")))</f>
        <v>нет</v>
      </c>
      <c r="GB236" t="str">
        <f t="shared" si="488"/>
        <v/>
      </c>
      <c r="GC236" t="str">
        <f t="shared" si="489"/>
        <v>основная</v>
      </c>
      <c r="GD236">
        <f>IF(AND(BP236=1,TRIM(AE236&amp;"")=""),IF(COUNTIFS(Линии[Щит],A236,Линии[Секция (1/2/3)],"&gt;=2")&gt;0,MIN(3,MAX(1,IFERROR(--BD236,1))),1),IFERROR(MIN(3,MAX(1,INT(--AE236))),1))</f>
        <v>1</v>
      </c>
      <c r="GE236" t="str" cm="1">
        <f t="array" ref="GE236">IF(B236="","",_xlfn.LET(_xlpm.t,IFERROR(_xlfn.XLOOKUP(1,(Шины[Шина]=GC236)*(((Шины[Щит]=A236)+(Шины[Щит]=""))&gt;0),Шины[Тип]),"")&amp;"",IF(_xlpm.t&lt;&gt;"",_xlpm.t,IF(ISNUMBER(SEARCH("ИБП",GC236)),"ИБП",IF(ISNUMBER(SEARCH("ДГУ",GC236)),"ДГУ","Ввод "&amp;GD236)))))</f>
        <v>Ввод 1</v>
      </c>
      <c r="GF236" t="str">
        <f t="shared" si="490"/>
        <v>Ввод 1</v>
      </c>
      <c r="GG236" t="str">
        <f>IF(BP236=0,"",IF(TRIM(AG236&amp;"")&lt;&gt;"",TRIM(AG236&amp;""),IF(OR(GE236="ИБП",GE236="ДГУ"),"I особая",_xlfn.XLOOKUP(A236,Щиты[Щит],Щиты[Категория шины «Ввод»],"III"))))</f>
        <v/>
      </c>
      <c r="GH236" t="str">
        <f>IF(A236="","",_xlfn.XLOOKUP(A236,Щиты[Щит],Щиты[Путь],""))</f>
        <v>|ГРЩ-ЖД|ЩР-1|</v>
      </c>
      <c r="GI236" t="str">
        <f>IF(B236="","",IF(AI236&lt;&gt;"",AI236,IF(IFERROR(_xlfn.XLOOKUP(BC236,Коды_код,Коды_вид)&amp;"","")="","Прочее",_xlfn.XLOOKUP(BC236,Коды_код,Коды_вид)&amp;"")))</f>
        <v>Розеточная сеть и бытовые приборы</v>
      </c>
      <c r="GJ236">
        <f>IF(BM236="","",INT((BM236-1)/Столбцов_на_лист)+1)</f>
        <v>2</v>
      </c>
      <c r="GK236" t="str">
        <f t="shared" si="491"/>
        <v>ВВГнг(А)-LS (3х2,5) L=22-0,05%</v>
      </c>
      <c r="GL236">
        <f t="shared" si="492"/>
        <v>0.06</v>
      </c>
      <c r="GM236">
        <f t="shared" si="493"/>
        <v>0.28000000000000003</v>
      </c>
      <c r="GN236">
        <f t="shared" si="494"/>
        <v>1</v>
      </c>
      <c r="GO236">
        <f t="shared" si="495"/>
        <v>0</v>
      </c>
      <c r="GP236">
        <f t="shared" si="496"/>
        <v>1</v>
      </c>
      <c r="GQ236">
        <f>IF(BM236="","",IF(AND(CG236=1,GP236=1),COUNTIFS(A$3:A236,A236,CG$3:CG236,1,GP$3:GP236,1),IF(OR(OR(BA236=1,A236&lt;&gt;A235),AJ236="вручную",GP236=0),"",IF(BA236=1,"",GR235))))</f>
        <v>12</v>
      </c>
      <c r="GR236">
        <f t="shared" si="497"/>
        <v>12</v>
      </c>
      <c r="GS236">
        <f>IF(B236="","",IFERROR(LOOKUP(INDEX(CHOOSE(EB236,Iдоп_1ж,Iдоп_2ж,Iдоп_3ж),MATCH(EN236,Iдоп_S,0))*DZ236*EA236,{6,10,16,20,25,32,40,50,63,80,100,125,160,200,250,315,400,500,630}),""))</f>
        <v>25</v>
      </c>
      <c r="GT236" t="str">
        <f t="shared" si="498"/>
        <v>QFD12</v>
      </c>
      <c r="GU236" t="str">
        <f t="shared" si="499"/>
        <v>QFD12</v>
      </c>
      <c r="GV236" t="str">
        <f t="shared" si="500"/>
        <v/>
      </c>
      <c r="GW236">
        <f t="shared" si="501"/>
        <v>0</v>
      </c>
      <c r="GX236" t="str">
        <f>IF(OR(B236="",DJ236=""),"",IFERROR(_xlfn.XLOOKUP(DJ236,Модули_умолч[Управление],Модули_умолч[Модель])&amp;"",""))</f>
        <v/>
      </c>
      <c r="GY236">
        <f>IF(DJ236="",1,IFERROR(MAX(0,N(_xlfn.XLOOKUP(DJ236,Модули_умолч[Управление],Модули_умолч[Каналов на линию]))),1))</f>
        <v>1</v>
      </c>
      <c r="GZ236" t="str">
        <f t="shared" si="502"/>
        <v/>
      </c>
      <c r="HA236" t="str">
        <f t="shared" si="503"/>
        <v/>
      </c>
      <c r="HB236" t="str">
        <f t="shared" si="504"/>
        <v/>
      </c>
      <c r="HC236">
        <f>IF(HB236="",0,IFERROR(N(VLOOKUP(HB236,Модули_спр,3,FALSE)),0))</f>
        <v>0</v>
      </c>
      <c r="HD236" t="str">
        <f t="shared" si="505"/>
        <v/>
      </c>
      <c r="HE236" t="str">
        <f t="shared" si="506"/>
        <v/>
      </c>
      <c r="HF236" t="str">
        <f>IF(OR(HE236="",HE236="-"),"",IFERROR(VLOOKUP(HE236,Модули_спр,2,FALSE),"R"))</f>
        <v/>
      </c>
      <c r="HG236" t="str">
        <f>IF(HF236="","",HF236&amp;"."&amp;COUNTIFS(A$3:A236,A236,HF$3:HF236,HF236))</f>
        <v/>
      </c>
      <c r="HH236" t="str">
        <f t="shared" si="507"/>
        <v/>
      </c>
      <c r="HI236" t="str">
        <f t="shared" si="508"/>
        <v/>
      </c>
      <c r="HJ236" t="str">
        <f t="shared" si="509"/>
        <v/>
      </c>
      <c r="HK236" t="str">
        <f t="shared" si="510"/>
        <v/>
      </c>
      <c r="HL236">
        <f t="shared" si="511"/>
        <v>1</v>
      </c>
      <c r="HM236" t="str">
        <f>IF(HL236=1,"XT"&amp;COUNTIFS(A$3:A236,A236,HL$3:HL236,1),"")</f>
        <v>XT12</v>
      </c>
      <c r="HN236" t="str">
        <f t="shared" si="512"/>
        <v/>
      </c>
      <c r="HO236" t="str">
        <f t="shared" si="513"/>
        <v>QFD12</v>
      </c>
      <c r="HP236" t="str">
        <f t="shared" si="514"/>
        <v/>
      </c>
      <c r="HQ236" t="str">
        <f t="shared" si="515"/>
        <v>ok</v>
      </c>
      <c r="HR236" t="str">
        <f>IF(OR(HJ236="",HH236=""),"",IF(HJ236+MAX(0,GY236-1)&gt;IFERROR(VLOOKUP(HI236,Модули_спр,3,FALSE),99),"ЛИШНИЙ КАНАЛ",IF(AND(AL236&lt;&gt;"=",GY236&gt;0,COUNTIFS(Линии[_модуль гр.],HH236,Линии[Канал (итог)],HJ236,Линии[Канал],"&lt;&gt;=",Линии[Щит],A236)&gt;1),"ДУБЛЬ КАНАЛА","")))</f>
        <v/>
      </c>
      <c r="HS236" s="6" t="str">
        <f t="shared" si="516"/>
        <v/>
      </c>
      <c r="HT236">
        <f t="shared" si="517"/>
        <v>10</v>
      </c>
      <c r="HU236" t="str">
        <f t="shared" si="518"/>
        <v/>
      </c>
      <c r="HV236">
        <f t="shared" si="519"/>
        <v>0.32939268258329751</v>
      </c>
      <c r="HW236">
        <f t="shared" si="520"/>
        <v>0</v>
      </c>
      <c r="HX236">
        <f t="shared" si="521"/>
        <v>0</v>
      </c>
      <c r="HY236">
        <f t="shared" si="522"/>
        <v>0</v>
      </c>
      <c r="HZ236">
        <f t="shared" si="523"/>
        <v>0</v>
      </c>
      <c r="IA236">
        <f t="shared" si="524"/>
        <v>0</v>
      </c>
      <c r="IB236">
        <f t="shared" si="525"/>
        <v>0</v>
      </c>
      <c r="IC236" t="str">
        <f t="shared" si="526"/>
        <v/>
      </c>
      <c r="ID236" t="str" cm="1">
        <f t="array" ref="ID236">IF(IC236="","",_xlfn.LET(_xlpm.tk,_xlfn.TEXTSPLIT(SUBSTITUTE(SUBSTITUTE(IC236,";"," "),"→"," ")," ",,TRUE),_xlpm.w_,_xlfn._xlws.FILTER(_xlpm.tk,ISNUMBER(--LEFT(_xlpm.tk,1))*((ISNUMBER(SEARCH("W",_xlpm.tk))+ISNUMBER(SEARCH("Вт",_xlpm.tk)))&gt;0),""),IFERROR(--SUBSTITUTE(SUBSTITUTE(UPPER(INDEX(_xlpm.w_,1)),"W",""),"ВТ",""),"")))</f>
        <v/>
      </c>
      <c r="IE236" t="str" cm="1">
        <f t="array" ref="IE236">IF(IC236="","",_xlfn.LET(_xlpm.tk,_xlfn.TEXTSPLIT(SUBSTITUTE(SUBSTITUTE(IC236,";"," "),"→"," ")," ",,TRUE),_xlpm.v_,_xlfn._xlws.FILTER(_xlpm.tk,ISNUMBER(--LEFT(_xlpm.tk,1))*((ISNUMBER(SEARCH("V",_xlpm.tk))+(RIGHT(UPPER(_xlpm.tk))="В"))&gt;0),""),IFERROR(--SUBSTITUTE(SUBSTITUTE(UPPER(INDEX(_xlpm.v_,1)),"V",""),"В",""),"")))</f>
        <v/>
      </c>
      <c r="IF236" s="6" t="str">
        <f>IF(OR(BV236=0,HI236="",HJ236=""),"",IFERROR(N(_xlfn.XLOOKUP(HI236,Каталог!$C$4:$C$500,Каталог!$Q$4:$Q$500)),""))</f>
        <v/>
      </c>
      <c r="IG236" s="6" t="str">
        <f>IF(N(IF236)=0,"",SUMIFS(Линии[Iр, А],Линии[Щит],A236,Линии[_модуль гр.],HH236,Линии[Канал (итог)],HJ236))</f>
        <v/>
      </c>
      <c r="IH236" t="str">
        <f>IF(AND(B236="",HO236=""),"",_xlfn.TEXTJOIN("; ",TRUE,IF(AND(B236&lt;&gt;"",FV236=""),"нет фазы",""),IF(AND(B236&lt;&gt;"",N(GL236)=0,FG236&lt;&gt;"Нет"),"нет мощности",""),IF(AND(HN236&lt;&gt;"",COUNTIFS(Линии[Щит],A236,Линии[Клемма (итог)],HN236)&gt;1),"дубль клеммы "&amp;HN236,""),IF(AND(HQ236&lt;&gt;"",HQ236&lt;&gt;"ok"),HQ236,""),IF(HR236&lt;&gt;"",HR236,""),IF(AND(N(CB236)&gt;=4,N(BX236)=1),CB236&amp;" жил на 1 фазе",""),IF(AND(BC236="R",CG236=1,IF(CS236&lt;&gt;"",N(CV236)&gt;30,OR(N(DA236)=0,N(DA236)&gt;30))),"розетка без дифзащиты до 30 мА",""),IF(AND(CG236=1,N(DA236)&gt;0,ISNUMBER(T236)),IF(T236&gt;N(DA236)/3,"ток утечки "&amp;FIXED(T236,1)&amp;" мА &gt; 1/3 уставки ("&amp;DA236&amp;" мА)",""),""),IF(AND(CH236=1,CS236=""),"«узо»: нет строки с УЗО выше (УЗО 2P 40А 30мА в «Аппаратах»)",""),IF(AND(CS236&lt;&gt;"",CS236=BA236),IF(CT236="","впишите номинал УЗО (УЗО 2P 40А 30мА)",IF(N(CT236)&lt;N(DT236),"УЗО "&amp;CT236&amp;" А &lt; автомата "&amp;DT236&amp;" А перед ним",IF(N(CT236)&lt;N(CX236),"УЗО "&amp;CT236&amp;" А &lt; тока блока "&amp;FIXED(CX236,1)&amp;" А",""))),""),IF(AND(CS236&lt;&gt;"",CS236=BA236,ISNUMBER(CY236)),IF(CY236&gt;N(CV236)/3,"ток утечки блока УЗО "&amp;FIXED(CY236,1)&amp;" мА &gt; 1/3 уставки ("&amp;CV236&amp;" мА)",""),""),IF(AND(CG236=1,N(BV236)+N(IB236)&gt;0,IC236=""),"линии до 50 В без БП: впишите в «Аппараты» (БП 24V 480W)",""),IF(AND(CG236=1,ISNUMBER(ID236),ISNUMBER(U236)),IF(U236&gt;ID236,"БП "&amp;ID236&amp;" Вт &lt; нужно "&amp;U236&amp;" Вт (×"&amp;Запас_БП&amp;")",""),""),IF(AND(CG236=1,ISNUMBER(IE236),N(BV236)=1),IF(IE236&lt;&gt;N(BU236),"БП на "&amp;IE236&amp;" В, линия "&amp;BU236&amp;" В",""),""),IF(AND(N(IF236)&gt;0,N(IG236)&gt;N(IF236)),HH236&amp;" канал "&amp;HJ236&amp;": "&amp;FIXED(IG236,1)&amp;" А &gt; "&amp;IF236&amp;" А",""),IFERROR(IF(AND(ISNUMBER(Q236),Q236&gt;EL236),"потери "&amp;FIXED(Q236,1)&amp;" % &gt; "&amp;EL236&amp;" %",""),""),IFERROR(IF(LEFT(HU236,4)="мало","Iкз мало — отключение &gt; 0,4 с",""),""),IF(AND(B236&lt;&gt;"",BM236=""),"не на схеме",""),IF(AND(CG236=0,B236&lt;&gt;"",FV236&lt;&gt;"",IF(BA236=1,"",FW235)&lt;&gt;"",FV236&lt;&gt;IF(BA236=1,"",FW235)),"фаза не как у автомата группы ("&amp;IF(BA236=1,"",FW235)&amp;")","")))</f>
        <v/>
      </c>
      <c r="II236" s="6">
        <f>IF(OR(CG236=0,DQ236=""),"",_xlfn.LET(_xlpm.t,IFERROR(_xlfn.XLOOKUP(DQ236,Каталог!$U$4:$U$500,Каталог!$G$4:$G$500),""),_xlpm.k,SEARCH("кА",_xlpm.t),IFERROR(--TRIM(RIGHT(SUBSTITUTE(MID(_xlpm.t,MAX(1,_xlpm.k-4),_xlpm.k-MAX(1,_xlpm.k-4))," ",REPT(" ",9)),5)),"")))</f>
        <v>6</v>
      </c>
      <c r="IJ236" t="str">
        <f>IF(OR(II236="",CG236=0),"",IF(_xlfn.XLOOKUP(A236,Щиты[Щит],Щиты[Iкз max на шинах, кА],"")="","",IF(II236&lt;_xlfn.XLOOKUP(A236,Щиты[Щит],Щиты[Iкз max на шинах, кА]),"Icu "&amp;II236&amp;" кА &lt; Iкз max","ok")))</f>
        <v/>
      </c>
      <c r="IK236" t="str">
        <f t="shared" si="527"/>
        <v/>
      </c>
      <c r="IL236" t="str">
        <f t="shared" si="528"/>
        <v>QFD12</v>
      </c>
      <c r="IM236" t="str">
        <f t="shared" si="529"/>
        <v>QFD12|кабель ВВГнг(А)-LS (3х2,5) → Розеточная группа, пом. 002Б</v>
      </c>
      <c r="IN236" t="str" cm="1">
        <f t="array" ref="IN236">IF(IM236="","",_xlfn.LET(_xlpm.nd,_xlfn.TEXTSPLIT(IM236,"|"),IF(COLUMNS(_xlpm.nd)&gt;1,A236&amp;"¦"&amp;INDEX(_xlpm.nd,1)&amp;"¦"&amp;INDEX(_xlpm.nd,2),"")))</f>
        <v>ЩР-1¦QFD12¦кабель ВВГнг(А)-LS (3х2,5) → Розеточная группа, пом. 002Б</v>
      </c>
      <c r="IO236" t="str">
        <f t="shared" si="530"/>
        <v>R.1.002Б.7¦Розеточная группа, пом. 002Б</v>
      </c>
      <c r="IP236" t="str" cm="1">
        <f t="array" ref="IP236">IF(IM236="","",_xlfn.LET(_xlpm.nd,_xlfn.TEXTSPLIT(IM236,"|"),IF(COLUMNS(_xlpm.nd)&gt;2,A236&amp;"¦"&amp;INDEX(_xlpm.nd,2)&amp;"¦"&amp;INDEX(_xlpm.nd,3),"")))</f>
        <v/>
      </c>
      <c r="IQ236" t="str">
        <f t="shared" si="531"/>
        <v/>
      </c>
      <c r="IR236" t="str" cm="1">
        <f t="array" ref="IR236">IF(IM236="","",_xlfn.LET(_xlpm.nd,_xlfn.TEXTSPLIT(IM236,"|"),IF(COLUMNS(_xlpm.nd)&gt;3,A236&amp;"¦"&amp;INDEX(_xlpm.nd,3)&amp;"¦"&amp;INDEX(_xlpm.nd,4),"")))</f>
        <v/>
      </c>
      <c r="IS236" t="str">
        <f t="shared" si="532"/>
        <v/>
      </c>
      <c r="IT236" t="str" cm="1">
        <f t="array" ref="IT236">IF(IM236="","",_xlfn.LET(_xlpm.nd,_xlfn.TEXTSPLIT(IM236,"|"),IF(COLUMNS(_xlpm.nd)&gt;4,A236&amp;"¦"&amp;INDEX(_xlpm.nd,4)&amp;"¦"&amp;INDEX(_xlpm.nd,5),"")))</f>
        <v/>
      </c>
      <c r="IU236" t="str">
        <f t="shared" si="533"/>
        <v/>
      </c>
      <c r="IV236" t="str" cm="1">
        <f t="array" ref="IV236">IF(IM236="","",_xlfn.LET(_xlpm.nd,_xlfn.TEXTSPLIT(IM236,"|"),IF(COLUMNS(_xlpm.nd)&gt;5,A236&amp;"¦"&amp;INDEX(_xlpm.nd,5)&amp;"¦"&amp;INDEX(_xlpm.nd,6),"")))</f>
        <v/>
      </c>
      <c r="IW236" t="str">
        <f t="shared" si="534"/>
        <v/>
      </c>
      <c r="IX236" t="str" cm="1">
        <f t="array" ref="IX236">IF(IM236="","",_xlfn.LET(_xlpm.nd,_xlfn.TEXTSPLIT(IM236,"|"),IF(COLUMNS(_xlpm.nd)&gt;6,A236&amp;"¦"&amp;INDEX(_xlpm.nd,6)&amp;"¦"&amp;INDEX(_xlpm.nd,7),"")))</f>
        <v/>
      </c>
      <c r="IY236" t="str">
        <f t="shared" si="535"/>
        <v/>
      </c>
      <c r="IZ236" t="str">
        <f t="shared" si="536"/>
        <v/>
      </c>
      <c r="JA236" t="str">
        <f t="shared" si="537"/>
        <v>QFD12</v>
      </c>
      <c r="JB236">
        <f t="shared" si="538"/>
        <v>0</v>
      </c>
      <c r="JC236">
        <f t="shared" si="539"/>
        <v>1</v>
      </c>
      <c r="JD236" t="str">
        <f t="shared" si="540"/>
        <v/>
      </c>
      <c r="JE236" t="str">
        <f t="shared" si="541"/>
        <v/>
      </c>
      <c r="JF236" t="str">
        <f t="shared" si="542"/>
        <v/>
      </c>
      <c r="JG236" t="str">
        <f t="shared" si="543"/>
        <v/>
      </c>
      <c r="JH236" t="str">
        <f>IF(B236="","",IFERROR(_xlfn.XLOOKUP(B236,Коды_код,Коды_уго),IFERROR(_xlfn.XLOOKUP(BC236,Коды_код,Коды_уго),IFERROR(_xlfn.XLOOKUP(LEFT(BC236,2),Коды_код,Коды_уго),""))))</f>
        <v>Розетка</v>
      </c>
      <c r="JI236" t="str">
        <f>IF(B236="","",IF(OR(JH236="",JH236=0),"BOX",IFERROR(IF(VLOOKUP(JH236,УГО_блоки,3,FALSE)&amp;""&lt;&gt;"",VLOOKUP(JH236,УГО_блоки,3,FALSE),VLOOKUP(JH236,УГО_блоки,2,FALSE)),JH236)))</f>
        <v>SOCKET</v>
      </c>
      <c r="JJ236">
        <f t="shared" si="544"/>
        <v>1</v>
      </c>
      <c r="JK236" t="str">
        <f>IF(DQ236="","",IF(COUNTIF(DQ$3:DQ236,DQ236)=1,MAX(JK$2:JK235)+1,""))</f>
        <v/>
      </c>
      <c r="JL236" t="str">
        <f>IF(DE236="","",IF(COUNTIF(DE$3:DE236,DE236)+COUNTIF(DF$2:DF235,DE236)+COUNTIF(DG$2:DG235,DE236)=1,MAX(JL$2:JN235)+1,""))</f>
        <v/>
      </c>
      <c r="JM236" t="str">
        <f>IF(DF236="","",IF(COUNTIF(DE$3:DE236,DF236)+COUNTIF(DF$3:DF236,DF236)+COUNTIF(DG$2:DG235,DF236)=1,MAX(JL$2:JN235,JL236)+1,""))</f>
        <v/>
      </c>
      <c r="JN236" t="str">
        <f>IF(DG236="","",IF(COUNTIF(DE$3:DE236,DG236)+COUNTIF(DF$3:DF236,DG236)+COUNTIF(DG$3:DG236,DG236)=1,MAX(JL$2:JN235,JL236,JM236)+1,""))</f>
        <v/>
      </c>
      <c r="JO236" t="str">
        <f t="shared" si="545"/>
        <v>3х2,5</v>
      </c>
      <c r="JP236" t="str">
        <f>IF(JO236="","",IF(COUNTIF(JO$3:JO236,JO236)=1,MAX(JP$2:JP235)+1,""))</f>
        <v/>
      </c>
      <c r="JQ236" t="str">
        <f>IF(HG236="","",COUNTIF(HG$3:HG236,"?*"))</f>
        <v/>
      </c>
      <c r="JR236" t="str">
        <f>IF(OR(HG236="",HI236=""),"",IF(COUNTIFS(HG$3:HG236,"?*",HI$3:HI236,HI236)=1,MAX(JR$2:JR235)+1,""))</f>
        <v/>
      </c>
      <c r="JS236">
        <f t="shared" si="546"/>
        <v>0</v>
      </c>
      <c r="JT236">
        <f>IF(B236="","",COUNTIF(B$3:B236,"?*"))</f>
        <v>234</v>
      </c>
      <c r="JU236">
        <f>IF(HL236&lt;&gt;1,0,_xlfn.LET(_xlpm.k,MAX(IFERROR(--_xlfn.XLOOKUP(B236,Коды_код,Коды_3L),0),IFERROR(--_xlfn.XLOOKUP(BC236,Коды_код,Коды_3L),0),IFERROR(--_xlfn.XLOOKUP(LEFT(BC236,2),Коды_код,Коды_3L),0)),IF(_xlpm.k&gt;0,_xlpm.k,IF(IFERROR(--LEFT(SUBSTITUTE(JO236,"x","х"),FIND("х",SUBSTITUTE(JO236,"x","х"))-1),3)&gt;3,Каталог!$S$9,1))))</f>
        <v>1</v>
      </c>
      <c r="JV236">
        <f t="shared" si="547"/>
        <v>0</v>
      </c>
      <c r="JW236" t="str">
        <f t="shared" si="548"/>
        <v>авто</v>
      </c>
      <c r="JX236">
        <f t="shared" si="549"/>
        <v>30</v>
      </c>
      <c r="JY236">
        <f t="shared" si="550"/>
        <v>1</v>
      </c>
      <c r="JZ236">
        <f t="shared" si="551"/>
        <v>1</v>
      </c>
    </row>
    <row r="237" spans="1:286" x14ac:dyDescent="0.3">
      <c r="A237" t="s">
        <v>757</v>
      </c>
      <c r="B237" t="s">
        <v>1543</v>
      </c>
      <c r="C237" t="str">
        <f>Линии[[#This Row],[_авто наименование]]</f>
        <v>Розеточная группа, пом. 002Б</v>
      </c>
      <c r="D237">
        <v>1</v>
      </c>
      <c r="E237">
        <v>0.24</v>
      </c>
      <c r="G237" t="str">
        <f>Линии[[#This Row],[_авто автомат]]</f>
        <v>2P С16А 30мА</v>
      </c>
      <c r="H237" t="str">
        <f>Линии[[#This Row],[_авто управление]]</f>
        <v/>
      </c>
      <c r="I237" t="str">
        <f>Линии[[#This Row],[_авто аппараты]]</f>
        <v/>
      </c>
      <c r="J237">
        <v>2.5</v>
      </c>
      <c r="K237">
        <v>24</v>
      </c>
      <c r="L237" t="str">
        <f>Линии[[#This Row],[_авто фаза]]</f>
        <v>L1</v>
      </c>
      <c r="M237" t="s">
        <v>484</v>
      </c>
      <c r="N237" t="str">
        <f t="shared" si="414"/>
        <v/>
      </c>
      <c r="O237" s="6" cm="1">
        <f t="array" ref="O237">IF(B237="","",IF(BH237&lt;&gt;"",IFERROR(_xlfn.XLOOKUP(BH237,Щиты[Щит],Щиты[Iр, А]),""),IF(BP237=1,IF(OR(N(_xlfn.XLOOKUP(A237,Щиты[Щит],Щиты[Вводов],1))&lt;=1,LOWER(TRIM(_xlfn.XLOOKUP(A237,Щиты[Щит],Щиты[АВР],"")&amp;""))="да"),IFERROR(_xlfn.XLOOKUP(A237,Щиты[Щит],Щиты[Iр, А]),""),IFERROR(N(BS237)*_xlfn.XLOOKUP(A237,Щиты[Щит],Щиты[Кс итог])/(SQRT(3)*Uн_лин*_xlfn.XLOOKUP(A237,Щиты[Щит],Щиты[cos φ])),"")),IF(BV237=1,IFERROR(BS237*1000/BU237,""),IFERROR(_xlfn.IFS(BX237=1,BS237/((Uн_лин/SQRT(3))*CE237),BX237=3,BS237/(SQRT(3)*Uн_лин*CE237)),"")))))</f>
        <v>1.0939268258329751</v>
      </c>
      <c r="P237" s="7">
        <f>IF(B237="","",IFERROR(IF(VLOOKUP(BC237,Потребители_обозначение,4,FALSE)=1,VLOOKUP(BC237,Потребители_обозначение,3,FALSE)*(MAX(1,N(D237))*2-1)+EI237+VLOOKUP(BE237,Этаж_обозначение,3,FALSE)+VLOOKUP(BE237,Этаж_обозначение,4,FALSE),VLOOKUP(BC237,Потребители_обозначение,3,FALSE)*(MAX(1,N(D237))*2-1)+EI237),EI237))</f>
        <v>27</v>
      </c>
      <c r="Q237" s="6">
        <f t="shared" si="415"/>
        <v>1.41</v>
      </c>
      <c r="R237" t="str">
        <f t="shared" si="416"/>
        <v>ВВГнг(А)-LS (3х2,5)</v>
      </c>
      <c r="S237" t="str">
        <f>IF(BM237="","",IF(BN237="вводной узел","узел ","")&amp;"л."&amp;(INT((BM237-1)/Столбцов_на_лист)+1)&amp;" / "&amp;(MOD(BM237-1,Столбцов_на_лист)+1))</f>
        <v>л.2 / 6</v>
      </c>
      <c r="T237" s="119">
        <f t="shared" si="417"/>
        <v>0.7</v>
      </c>
      <c r="U237" s="7" t="str">
        <f>IF(OR(CG237=0,N(BV237)+N(IB237)=0),"",ROUNDUP(Запас_БП*(N(HY237)+N(HZ237)),0))</f>
        <v/>
      </c>
      <c r="V237" s="119" t="str">
        <f t="shared" si="418"/>
        <v/>
      </c>
      <c r="W237" s="7" t="str">
        <f>IFERROR(IF(OR(B237="",BP237=1,BV237=1,NOT(ISNUMBER(EN237)),N(DT237)=0),"",MAX(0,ROUNDDOWN((c_min*(Uн_лин*1000/SQRT(3))/(HT237*N(DT237))-_xlfn.XLOOKUP(A237,Щиты[Щит],Щиты[Zпетли на шинах, Ом]))*EN237/(2*ρкз_Cu),0))),"")</f>
        <v/>
      </c>
      <c r="Y237">
        <f>Линии[[#This Row],[_авто утечка]]</f>
        <v>30</v>
      </c>
      <c r="Z237">
        <v>1</v>
      </c>
      <c r="AA237">
        <v>230</v>
      </c>
      <c r="AB237" t="s">
        <v>562</v>
      </c>
      <c r="AG237" t="s">
        <v>810</v>
      </c>
      <c r="AI237" t="s">
        <v>561</v>
      </c>
      <c r="AK237" t="str">
        <f>Линии[[#This Row],[_авто модуль]]</f>
        <v/>
      </c>
      <c r="AM237">
        <v>23</v>
      </c>
      <c r="AN237" t="s">
        <v>11</v>
      </c>
      <c r="AO237">
        <v>3</v>
      </c>
      <c r="AQ237">
        <v>2</v>
      </c>
      <c r="AR237">
        <v>6</v>
      </c>
      <c r="AS237">
        <v>19</v>
      </c>
      <c r="BA237" cm="1">
        <f t="array" ref="BA237">ROW()-ROW(Линии[#Headers])</f>
        <v>235</v>
      </c>
      <c r="BC237" s="6" t="str">
        <f t="shared" si="419"/>
        <v>R</v>
      </c>
      <c r="BD237" t="str">
        <f t="shared" si="420"/>
        <v>1.002Б.8</v>
      </c>
      <c r="BE237" t="str">
        <f t="shared" si="421"/>
        <v>1</v>
      </c>
      <c r="BF237" t="str">
        <f t="shared" si="422"/>
        <v>002Б.8</v>
      </c>
      <c r="BG237" t="str">
        <f t="shared" si="423"/>
        <v>002Б</v>
      </c>
      <c r="BH237" t="str">
        <f>IF(X237&lt;&gt;"",X237,IF(AND(B237&lt;&gt;"",B237&lt;&gt;A237,ISNUMBER(_xlfn.XMATCH(B237,Щиты[Щит]))),B237,""))</f>
        <v/>
      </c>
      <c r="BI237" t="str" cm="1">
        <f t="array" ref="BI237">IF(B237="","",IF(BH237&lt;&gt;"","Щит "&amp;BH237,_xlfn.LET(_xlpm.nm,IFERROR(_xlfn.XLOOKUP(BC237,Коды_код,Коды_имя)&amp;"",""),_xlpm.md,IFERROR(N(_xlfn.XLOOKUP(BC237,Коды_код,Коды_режим)),1),_xlpm.ex,IF(Имя_режим="по экспликации",IFERROR(_xlfn.XLOOKUP(BE237&amp;"|"&amp;BG237,Экспликация[Этаж]&amp;"|"&amp;Экспликация[Помещение],Экспликация[Название])&amp;"",""),""),_xlpm.rm,IF(BG237="","",IF(_xlpm.ex&lt;&gt;"",". "&amp;_xlpm.ex&amp;IF(Имя_пом="нет"," ("&amp;BG237&amp;")"," (пом. "&amp;BG237&amp;")"),IF(Имя_пом="нет"," ",", пом. ")&amp;BG237)),IF(_xlpm.nm="","",IF(_xlpm.md=2,_xlpm.nm&amp;" шлейф "&amp;BE237,_xlpm.nm&amp;_xlpm.rm)))))</f>
        <v>Розеточная группа, пом. 002Б</v>
      </c>
      <c r="BJ237" t="str">
        <f t="shared" si="424"/>
        <v>Розеточная группа, пом. 002Б</v>
      </c>
      <c r="BK237">
        <f>IFERROR(_xlfn.XMATCH(A237,Щиты[Щит]),0)</f>
        <v>10</v>
      </c>
      <c r="BL237">
        <f>_xlfn.LET(_xlpm.k,IFERROR(_xlfn.XLOOKUP(A237,Щиты[Щит],Щиты[Мест под вводной узел]),""),IF(_xlpm.k="",Столбцов_на_лист,N(_xlpm.k)))</f>
        <v>8</v>
      </c>
      <c r="BM237">
        <f t="shared" si="425"/>
        <v>23</v>
      </c>
      <c r="BN237" t="str">
        <f t="shared" si="426"/>
        <v>линии</v>
      </c>
      <c r="BO237" s="6">
        <f>IFERROR(N(_xlfn.XLOOKUP(BC237,Коды_код,Коды_квт)),0)</f>
        <v>0</v>
      </c>
      <c r="BP237">
        <f t="shared" si="427"/>
        <v>0</v>
      </c>
      <c r="BQ237" t="str">
        <f>IF(B237="","",IF(BH237&lt;&gt;"",IFERROR(_xlfn.XLOOKUP(BH237,Щиты[Щит],Щиты[Руст, кВт]),0),IF(BP237=1,IF(OR(N(_xlfn.XLOOKUP(A237,Щиты[Щит],Щиты[Вводов],1))&lt;=1,LOWER(TRIM(_xlfn.XLOOKUP(A237,Щиты[Щит],Щиты[АВР],"")&amp;""))="да"),IFERROR(_xlfn.XLOOKUP(A237,Щиты[Щит],Щиты[Руст, кВт]),0),SUMIFS(Линии[_Р для вводов],Линии[Щит],A237,Линии[Источник для режимов],GF237)),IF(BO237&gt;0,ROUND(BO237*MAX(1,N(D237)),3),""))))</f>
        <v/>
      </c>
      <c r="BR237">
        <f t="shared" si="428"/>
        <v>0.24</v>
      </c>
      <c r="BS237" s="6">
        <f>IF(B237="","",IF(BH237&lt;&gt;"",IFERROR(_xlfn.XLOOKUP(BH237,Щиты[Щит],Щиты[Руст, кВт]),0),N(BR237)))</f>
        <v>0.24</v>
      </c>
      <c r="BT237" t="str">
        <f>IF(B237="","",IFERROR(IF(VLOOKUP(BC237,Потребители_обозначение,8,FALSE)=0,"",VLOOKUP(BC237,Потребители_обозначение,8,FALSE)),""))</f>
        <v/>
      </c>
      <c r="BU237">
        <f t="shared" si="429"/>
        <v>230</v>
      </c>
      <c r="BV237">
        <f t="shared" si="430"/>
        <v>0</v>
      </c>
      <c r="BW237">
        <f>IF(B237="","",IF(BH237&lt;&gt;"",3,IFERROR(IF(N(VLOOKUP(BC237,Потребители_обозначение,9,FALSE))=0,1,VLOOKUP(BC237,Потребители_обозначение,9,FALSE)),1)))</f>
        <v>1</v>
      </c>
      <c r="BX237">
        <f t="shared" si="431"/>
        <v>1</v>
      </c>
      <c r="BY237" t="str">
        <f>IF(B237="","",_xlfn.LET(_xlpm.bc,IFERROR(IF(VLOOKUP(BC237,Потребители_обозначение,6,FALSE)=0,"",VLOOKUP(BC237,Потребители_обозначение,6,FALSE)&amp;""),""),IF(AND(GA237="да",OR(_xlpm.bc="",_xlpm.bc="мс")),Марка_пож,IF(AND(_xlpm.bc="",BH237&lt;&gt;""),"мс",_xlpm.bc))))</f>
        <v/>
      </c>
      <c r="BZ237" t="str">
        <f t="shared" si="432"/>
        <v>мс</v>
      </c>
      <c r="CA237">
        <f>IF(B237="","",_xlfn.LET(_xlpm.cc,IFERROR(N(VLOOKUP(BC237,Потребители_обозначение,7,FALSE)),0),IF(_xlpm.cc&gt;0,_xlpm.cc,IF(BZ237="","",IF(BV237=1,2,IF(N(BX237)=3,5,3))))))</f>
        <v>3</v>
      </c>
      <c r="CB237">
        <f t="shared" si="433"/>
        <v>3</v>
      </c>
      <c r="CC237">
        <f>IFERROR(N(VLOOKUP(BC237,Потребители_обозначение,10,FALSE)),0)</f>
        <v>0</v>
      </c>
      <c r="CD237">
        <f>IFERROR(VLOOKUP(BC237,Потребители_обозначение,5,FALSE),0)</f>
        <v>1</v>
      </c>
      <c r="CE237" s="6" cm="1">
        <f t="array" ref="CE237">IF(B237="","",IF(BH237&lt;&gt;"",IFERROR(_xlfn.XLOOKUP(BH237,Щиты[Щит],Щиты[cos φ]),0.95),IF(BP237=1,IFERROR(_xlfn.XLOOKUP(A237,Щиты[Щит],Щиты[cos φ]),0.95),IF(ISNUMBER(AD237),AD237,IFERROR(IF(CD237=2,_xlfn.IFS(BX237=3,VLOOKUP(BS237,Справочная_двигатели,8,FALSE),BX237=1,VLOOKUP(BS237,Справочная_двигатели,10,TRUE)),IF(AND(Методика="нормы 2026",FG237="Сил"),0.8,0.95)),0.95)))))</f>
        <v>0.95</v>
      </c>
      <c r="CF237">
        <f t="shared" si="434"/>
        <v>0</v>
      </c>
      <c r="CG237">
        <f t="shared" si="435"/>
        <v>1</v>
      </c>
      <c r="CH237">
        <f t="shared" si="436"/>
        <v>0</v>
      </c>
      <c r="CI237">
        <f>IF(B237="","",IF(BV237=1,IFERROR(BS237/((Uн_лин/SQRT(3))*MAX(0.5,N(CE237))),0),N(O237)))</f>
        <v>1.0939268258329751</v>
      </c>
      <c r="CJ237">
        <f t="shared" si="437"/>
        <v>0</v>
      </c>
      <c r="CK237">
        <f t="shared" si="438"/>
        <v>0</v>
      </c>
      <c r="CL237">
        <f t="shared" si="439"/>
        <v>0</v>
      </c>
      <c r="CM237">
        <f t="shared" si="440"/>
        <v>0</v>
      </c>
      <c r="CN237">
        <f t="shared" si="441"/>
        <v>0</v>
      </c>
      <c r="CO237">
        <f>IF(BC237="",0,_xlfn.LET(_xlpm.v,IFERROR(_xlfn.XLOOKUP(B237,Коды_код,Коды_мА),IFERROR(_xlfn.XLOOKUP(BC237,Коды_код,Коды_мА),IFERROR(_xlfn.XLOOKUP(LEFT(BC237,2),Коды_код,Коды_мА),""))),IF(_xlpm.v="да",30,IF(ISNUMBER(_xlpm.v),_xlpm.v,0))))</f>
        <v>30</v>
      </c>
      <c r="CP237">
        <f t="shared" si="442"/>
        <v>30</v>
      </c>
      <c r="CQ237" t="str">
        <f>_xlfn.LET(_xlpm.k,IFERROR(_xlfn.XLOOKUP(BC237,Коды_код,Коды_утечка)&amp;"",""),IF(_xlpm.k="","дифавтомат",_xlpm.k))</f>
        <v>дифавтомат</v>
      </c>
      <c r="CR237" t="str" cm="1">
        <f t="array" ref="CR237">IF(CG237=0,"",_xlfn.LET(_xlpm.sg,TRIM(_xlfn.TEXTSPLIT(DD237&amp;"",";")),_xlpm.f_,_xlfn._xlws.FILTER(_xlpm.sg,LEFT(_xlpm.sg,3)="УЗО",""),IFERROR(INDEX(_xlpm.f_,1)&amp;"","")))</f>
        <v/>
      </c>
      <c r="CS237" t="str">
        <f t="shared" si="443"/>
        <v/>
      </c>
      <c r="CT237" s="6" t="str" cm="1">
        <f t="array" ref="CT237">IF(CR237="","",_xlfn.LET(_xlpm.tk,_xlfn.TEXTSPLIT(UPPER(CR237)," ",,TRUE),_xlpm.a_,_xlfn._xlws.FILTER(_xlpm.tk,ISNUMBER(--LEFT(_xlpm.tk,1))*((ISNUMBER(SEARCH("А",_xlpm.tk))+ISNUMBER(SEARCH("A",_xlpm.tk)))&gt;0)*NOT(ISNUMBER(SEARCH("МА",_xlpm.tk)))*NOT(ISNUMBER(SEARCH("MA",_xlpm.tk))),""),IFERROR(--SUBSTITUTE(SUBSTITUTE(INDEX(_xlpm.a_,1),"А",""),"A",""),"")))</f>
        <v/>
      </c>
      <c r="CU237" t="str" cm="1">
        <f t="array" ref="CU237">IF(CR237="","",_xlfn.LET(_xlpm.tk,_xlfn.TEXTSPLIT(UPPER(CR237)," ",,TRUE),_xlpm.a_,_xlfn._xlws.FILTER(_xlpm.tk,ISNUMBER(--LEFT(_xlpm.tk,1))*((ISNUMBER(SEARCH("МА",_xlpm.tk))+ISNUMBER(SEARCH("MA",_xlpm.tk)))&gt;0),""),IFERROR(--SUBSTITUTE(SUBSTITUTE(INDEX(_xlpm.a_,1),"МА",""),"MA",""),30)))</f>
        <v/>
      </c>
      <c r="CV237" t="str">
        <f>IF(CS237="","",IFERROR(_xlfn.XLOOKUP(CS237,Линии[_n],Линии[_УЗО, мА]),30))</f>
        <v/>
      </c>
      <c r="CW237">
        <f>IF(CS237="",0,IF(ISNUMBER(SEARCH("4P",IFERROR(_xlfn.XLOOKUP(CS237,Линии[_n],Линии[_УЗО строки])&amp;"",""))),0,1))</f>
        <v>0</v>
      </c>
      <c r="CX237" t="str">
        <f>IF(AND(CS237&lt;&gt;"",CS237=BA237),SUMIFS(Линии[_ток на 230 В],Линии[_блок УЗО],BA237,Линии[Щит],A237),"")</f>
        <v/>
      </c>
      <c r="CY237" t="str">
        <f>IF(AND(CS237&lt;&gt;"",CS237=BA237),SUMIFS(Линии[_ток утечки линии, мА],Линии[_блок УЗО],BA237,Линии[Щит],A237),"")</f>
        <v/>
      </c>
      <c r="CZ237">
        <f t="shared" si="444"/>
        <v>30</v>
      </c>
      <c r="DA237">
        <f t="shared" si="445"/>
        <v>30</v>
      </c>
      <c r="DB237">
        <f>IF(B237="",0,IFERROR(--_xlfn.XLOOKUP(B237,Коды_код,Коды_минавт),IFERROR(--_xlfn.XLOOKUP(BC237,Коды_код,Коды_минавт),IFERROR(--_xlfn.XLOOKUP(LEFT(BC237,2),Коды_код,Коды_минавт),0))))</f>
        <v>16</v>
      </c>
      <c r="DC237" t="str">
        <f>IF(B237="","",IFERROR(_xlfn.XLOOKUP(BC237,Коды_код,Коды_апп)&amp;"",""))</f>
        <v/>
      </c>
      <c r="DD237" t="str">
        <f t="shared" si="446"/>
        <v/>
      </c>
      <c r="DE237" t="str" cm="1">
        <f t="array" ref="DE237">IF(TRIM(DD237&amp;"")="","",IFERROR(TRIM(INDEX(_xlfn.TEXTSPLIT(DD237&amp;";;;",";"),1)),""))</f>
        <v/>
      </c>
      <c r="DF237" t="str" cm="1">
        <f t="array" ref="DF237">IF(TRIM(DD237&amp;"")="","",IFERROR(TRIM(INDEX(_xlfn.TEXTSPLIT(DD237&amp;";;;",";"),2)),""))</f>
        <v/>
      </c>
      <c r="DG237" t="str" cm="1">
        <f t="array" ref="DG237">IF(TRIM(DD237&amp;"")="","",IFERROR(TRIM(INDEX(_xlfn.TEXTSPLIT(DD237&amp;";;;",";"),3)),""))</f>
        <v/>
      </c>
      <c r="DH237">
        <f t="shared" si="447"/>
        <v>0</v>
      </c>
      <c r="DI237" t="str">
        <f>IF(B237="","",_xlfn.LET(_xlpm.t,LOWER(AZ237&amp;""),IF(ISNUMBER(SEARCH("dim",_xlpm.t)),"DIM",IF(ISNUMBER(SEARCH("dali",_xlpm.t)),"DALI",IF(OR(ISNUMBER(SEARCH("relay",_xlpm.t)),ISNUMBER(SEARCH("реле",_xlpm.t))),"Relay",IF(ISNUMBER(SEARCH("кнопк",_xlpm.t)),"",IFERROR(_xlfn.XLOOKUP(BC237,Коды_код,Коды_упр)&amp;"","")))))))</f>
        <v/>
      </c>
      <c r="DJ237" t="str">
        <f t="shared" si="448"/>
        <v/>
      </c>
      <c r="DK237">
        <f>IF(B237="","",_xlfn.LET(_xlpm.ig,IF(N(CX237)&gt;0,N(CX237),N(CI237)+IF(AJ237="вручную",0,N(CJ237))),_xlpm.n0,IFERROR(VLOOKUP(_xlpm.ig,Автомат_номиналы,2,TRUE),0),_xlpm.mn,MAX(DB237,IF(AJ237="вручную",0,N(CM237))),MAX(_xlpm.n0,_xlpm.mn,IF(DH237=1,Мин_автомат_БП,0))))</f>
        <v>16</v>
      </c>
      <c r="DL237">
        <f t="shared" si="449"/>
        <v>1</v>
      </c>
      <c r="DM237" t="str">
        <f t="shared" si="450"/>
        <v>2P</v>
      </c>
      <c r="DN237" t="str">
        <f>_xlfn.LET(_xlpm.cc,UPPER(TRIM(IFERROR(_xlfn.XLOOKUP(BC237,Коды_код,Коды_хар)&amp;"",""))),IF(OR(_xlpm.cc="B",_xlpm.cc="В"),"B",IF(_xlpm.cc="D","D","С")))</f>
        <v>С</v>
      </c>
      <c r="DO237" t="str">
        <f t="shared" si="451"/>
        <v>2P С16А 30мА</v>
      </c>
      <c r="DP237" t="str">
        <f t="shared" si="452"/>
        <v>2P С16А 30мА</v>
      </c>
      <c r="DQ237" t="str">
        <f t="shared" si="453"/>
        <v>2P С16А 30мА</v>
      </c>
      <c r="DR237" cm="1">
        <f t="array" ref="DR237">IF(DQ237="","",_xlfn.LET(_xlpm.t,SUBSTITUTE(SUBSTITUTE(SUBSTITUTE(UPPER(DQ237),"С","C"),"А","A"),"В","B"),_xlpm.tk,_xlfn.TEXTSPLIT(_xlpm.t," "),_xlpm.f,_xlfn._xlws.FILTER(_xlpm.tk,ISNUMBER(--MID(_xlpm.tk,2,1))*ISNUMBER(SEARCH(LEFT(_xlpm.tk,1)&amp;"#","B#C#D#"))*(LEN(_xlpm.tk)&gt;1),""),_xlpm.x,INDEX(_xlpm.f,1),IFERROR(--SUBSTITUTE(MID(_xlpm.x,2,9),"A",""),IFERROR(--SUBSTITUTE(INDEX(_xlfn._xlws.FILTER(_xlpm.tk,ISNUMBER(--SUBSTITUTE(_xlpm.tk,"A","")),""),1),"A",""),""))))</f>
        <v>16</v>
      </c>
      <c r="DS237" t="str">
        <f t="shared" si="454"/>
        <v>ok</v>
      </c>
      <c r="DT237">
        <f t="shared" si="455"/>
        <v>16</v>
      </c>
      <c r="DU237" t="str">
        <f t="shared" si="456"/>
        <v>2P С16А 30мА</v>
      </c>
      <c r="DV237">
        <f t="shared" si="457"/>
        <v>30</v>
      </c>
      <c r="DW237">
        <f t="shared" si="458"/>
        <v>1</v>
      </c>
      <c r="DX237">
        <f t="shared" si="459"/>
        <v>0</v>
      </c>
      <c r="DY237">
        <f t="shared" si="460"/>
        <v>1.0939268258329751</v>
      </c>
      <c r="DZ237">
        <f t="shared" si="461"/>
        <v>1</v>
      </c>
      <c r="EA237">
        <f>IF(ISNUMBER(AP237),AP237,К_прокл)</f>
        <v>1</v>
      </c>
      <c r="EB237">
        <f t="shared" si="462"/>
        <v>2</v>
      </c>
      <c r="EC237">
        <f>IFERROR(N(VLOOKUP(BZ237,Кабель_обозначение,3,FALSE)),1)</f>
        <v>1</v>
      </c>
      <c r="ED237">
        <f>IFERROR(N(_xlfn.XLOOKUP(A237,Щиты[Щит],Щиты[ΔU до шин, %])),0)</f>
        <v>1.19</v>
      </c>
      <c r="EE237" t="str">
        <f>IFERROR(_xlfn.XLOOKUP(A237,Щиты[Щит],Щиты[Zпетли на шинах, Ом]),"")</f>
        <v/>
      </c>
      <c r="EF237">
        <f>IFERROR(N(_xlfn.XLOOKUP(A237,Щиты[Щит],Щиты[ΔU до шин (подбор), %])),0)</f>
        <v>1.19</v>
      </c>
      <c r="EG237" t="str">
        <f>IFERROR(_xlfn.XLOOKUP(A237,Щиты[Щит],Щиты[Zпетли на шинах (подбор), Ом]),"")</f>
        <v/>
      </c>
      <c r="EH237" t="str">
        <f t="shared" si="463"/>
        <v/>
      </c>
      <c r="EI237">
        <f t="shared" si="464"/>
        <v>24</v>
      </c>
      <c r="EJ237">
        <f t="shared" si="465"/>
        <v>2</v>
      </c>
      <c r="EK237">
        <f t="shared" si="466"/>
        <v>0.31</v>
      </c>
      <c r="EL237" s="6">
        <f>IF(B237="","",IF(BV237=1,dU_LED,IF(IFERROR(_xlfn.XLOOKUP(BC237,Коды_код,Коды_уго),"")="Светильник",3,4)+IF(Методика="нормы 2026",MIN(0.5,MAX(0,N(P237)-100)*0.005),0)))</f>
        <v>4</v>
      </c>
      <c r="EM237" cm="1">
        <f t="array" ref="EM237">IF(OR(B237="",BZ237="",EC237&lt;&gt;1),"",_xlfn.LET(_xlpm.sz,Iдоп_S,_xlpm.t_,CHOOSE(EB237,Iдоп_1ж,Iдоп_2ж,Iдоп_3ж)*DZ237*EA237,_xlpm.dcx,BV237=1,_xlpm.inn,IF(_xlpm.dcx,N(O237),N(DT237)),_xlpm.smin,MAX(1.5,CC237),_xlpm.L_,N(P237)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237)/N(BU237)*100,999),IFERROR(N(EJ237)*(_xlpm.rho*_xlpm.L_/_xlpm.sz*N(CE237)+_xlpm.xx*_xlpm.L_*N(EK237)/1000)*N(O237)/((Uн_лин/SQRT(3))*1000)*100,999)),_xlpm.kz,IF(OR(_xlpm.dcx,DW237=1,NOT(ISNUMBER(EG237)),_xlpm.L_=0,_xlpm.inn=0),1,IFERROR(--(c_min*(Uн_лин*1000/SQRT(3))/(EG237+2*ρкз_Cu*_xlpm.L_/_xlpm.sz)&gt;=HT237*_xlpm.inn),0)),_xlpm.ok,IFERROR((_xlpm.sz&gt;=_xlpm.smin)*(_xlpm.t_&gt;=_xlpm.inn)*IF(_xlpm.L_&gt;0,(_xlpm.du_+IF(_xlpm.dcx,0,EF237)&lt;=EL237+0.00001),1)*_xlpm.kz,0),_xlpm.r_,_xlfn._xlws.FILTER(_xlpm.sz,_xlpm.ok,"не подобрано"),INDEX(_xlpm.r_,1)))</f>
        <v>1.5</v>
      </c>
      <c r="EN237">
        <f t="shared" si="467"/>
        <v>2.5</v>
      </c>
      <c r="EO237" cm="1">
        <f t="array" ref="EO237">IF(OR(B237="",BZ237="",EC237&lt;&gt;1),"",_xlfn.LET(_xlpm.sz,Iдоп_S,_xlpm.t_,CHOOSE(EB237,Iдоп_1ж,Iдоп_2ж,Iдоп_3ж)*DZ237*EA237,_xlpm.ok,IFERROR((_xlpm.sz&gt;=MAX(1.5,CC237))*(_xlpm.t_&gt;=N(DT237)),0),_xlpm.r_,_xlfn._xlws.FILTER(_xlpm.sz,_xlpm.ok,""),INDEX(_xlpm.r_,1)))</f>
        <v>1.5</v>
      </c>
      <c r="EP237" s="6" cm="1">
        <f t="array" ref="EP237">IFERROR(ROUNDUP(N(EJ237)*(_xlfn.XLOOKUP(EO237,INDEX(Кабель_сопротивление,0,1),INDEX(Кабель_сопротивление,0,3))*N(P237)/EO237*N(CE237)+_xlfn.XLOOKUP(EO237,INDEX(Кабель_сопротивление,0,1),INDEX(Кабель_сопротивление,0,2))*N(P237)*N(EK237)/1000)*N(O237)/((Uн_лин/SQRT(3))*1000)*100,2),"")</f>
        <v>0.37</v>
      </c>
      <c r="EQ237">
        <f>IFERROR(2*ρкз_Cu*N(P237)/EO237,"")</f>
        <v>0.94680000000000009</v>
      </c>
      <c r="ER237">
        <f>IFERROR(VLOOKUP(EN237,Кабель_сопротивление,3,FALSE),"")</f>
        <v>2.2499999999999999E-2</v>
      </c>
      <c r="ES237">
        <f>IFERROR(VLOOKUP(EN237,Кабель_сопротивление,2,FALSE),"")</f>
        <v>0.1</v>
      </c>
      <c r="ET237">
        <f t="shared" si="468"/>
        <v>6</v>
      </c>
      <c r="EU237">
        <f t="shared" si="469"/>
        <v>19</v>
      </c>
      <c r="EV237">
        <f t="shared" si="470"/>
        <v>0.50689724899352884</v>
      </c>
      <c r="EW237" s="6">
        <f>IFERROR(ROUNDUP(EV237/IF(BV237=1,BU237,(Uн_лин/SQRT(3))*1000)*100,2),"")</f>
        <v>0.22</v>
      </c>
      <c r="EX237" t="str">
        <f>IFERROR(VLOOKUP(BZ237,Кабель_обозначение,2,FALSE),"")</f>
        <v>ВВГнг(А)-LS</v>
      </c>
      <c r="EY237" t="str">
        <f t="shared" si="471"/>
        <v>ВВГнг(А)-LS (3х2,5)</v>
      </c>
      <c r="EZ237" t="str">
        <f t="shared" si="472"/>
        <v>ВВГнг(А)-LS (3х2,5)
L=27-0,22%</v>
      </c>
      <c r="FA237">
        <f>IFERROR(2*ρкз_Cu*P237/EN237,"")</f>
        <v>0.56808000000000003</v>
      </c>
      <c r="FB237">
        <f t="shared" si="473"/>
        <v>0.189</v>
      </c>
      <c r="FC237" s="6" t="str">
        <f>IFERROR(IF(OR(B237="",BV237=1,NOT(ISNUMBER(EN237)),N(P237)=0),"",_xlfn.XLOOKUP(A237,Щиты[Щит],Щиты[Zпетли на шинах, Ом])+FA237),"")</f>
        <v/>
      </c>
      <c r="FD237" s="6" t="str">
        <f>IF(ISNUMBER(FC237),c_min*(Uн_лин*1000/SQRT(3))/FC237,"")</f>
        <v/>
      </c>
      <c r="FE237" s="6" t="str">
        <f>IFERROR(IF(OR(B237="",NOT(ISNUMBER(EN237))),"",1.05*(Uн_лин*1000/SQRT(3))/(_xlfn.XLOOKUP(A237,Щиты[Щит],Щиты[Zmax на шинах, Ом])+FB237)/1000),"")</f>
        <v/>
      </c>
      <c r="FF237" s="6" t="str">
        <f>IF(B237="","",IF(ISNUMBER(AC237),"Сил",IF(IFERROR(_xlfn.XLOOKUP(BC237,Коды_код,Коды_группа)&amp;"","")="","Быт",_xlfn.XLOOKUP(BC237,Коды_код,Коды_группа)&amp;"")))</f>
        <v>Быт</v>
      </c>
      <c r="FG237" s="6" t="str">
        <f t="shared" si="474"/>
        <v>Быт</v>
      </c>
      <c r="FH237" s="6">
        <f>IF(FG237="Щит","щит",IF(FG237="","",IF(FG237="Быт",IFERROR(_xlfn.XLOOKUP(A237,Щиты[Щит],Щиты[Кс быт]),1),IF(FG237="Сил",IF(ISNUMBER(AC237),AC237,IF(Методика="нормы 2026",IFERROR(_xlfn.XLOOKUP(A237,Щиты[Щит],Щиты[Кс силовых (табл. 7.5)]),1),1)),IF(OR(FG237="Пост",FG237="Отоп"),1,IF(FG237="ВНГ",0.7,0))))))</f>
        <v>0.57830000000000004</v>
      </c>
      <c r="FI237">
        <f>IF(FG237="","",IF(AND(BP237=1,TRIM(AE237&amp;"")=""),IF(COUNTIFS(Линии[Щит],A237,Линии[Секция (1/2/3)],"&gt;=2")&gt;0,MIN(3,MAX(1,IFERROR(--BD237,1))),1),IFERROR(MIN(3,MAX(1,INT(--AE237))),1)))</f>
        <v>1</v>
      </c>
      <c r="FJ237">
        <f t="shared" si="475"/>
        <v>0.24</v>
      </c>
      <c r="FK237">
        <f t="shared" si="476"/>
        <v>0.24</v>
      </c>
      <c r="FL237">
        <f t="shared" si="477"/>
        <v>0</v>
      </c>
      <c r="FM237">
        <f t="shared" si="478"/>
        <v>0</v>
      </c>
      <c r="FN237">
        <f t="shared" si="479"/>
        <v>0</v>
      </c>
      <c r="FO237">
        <f t="shared" si="480"/>
        <v>0</v>
      </c>
      <c r="FP237">
        <f t="shared" si="481"/>
        <v>0.24</v>
      </c>
      <c r="FQ237">
        <f t="shared" si="482"/>
        <v>0.24</v>
      </c>
      <c r="FR237">
        <f t="shared" si="483"/>
        <v>0.22799999999999998</v>
      </c>
      <c r="FS237">
        <f>IF(CG237=1,IF(AND(CH237=1,CW237=1),0,IF(AND(CS237&lt;&gt;"",CS237=BA237,CW237=1),SUMIFS(Линии[_Р линии, кВт],Линии[_блок УЗО],BA237,Линии[Щит],A237),N(BS237)+IF(AJ237="вручную",0,N(CK237)))),0)</f>
        <v>0.24</v>
      </c>
      <c r="FT237" t="str">
        <f t="shared" si="484"/>
        <v/>
      </c>
      <c r="FU237" t="str">
        <f>IF(B237="","",IF(CG237=0,IF(BA237=1,"",FW236),IF(AND(CH237=1,CW237=1,CS237&lt;&gt;""),IFERROR(_xlfn.XLOOKUP(CS237,Линии[_n],Линии[_фаза итог]),"L1"),IF(OR(N(DL237)&gt;=3,N(BX237)&gt;=3),"L1,L2,L3",IFERROR(_xlfn.TEXTBEFORE(_xlfn.TEXTAFTER(_xlfn.XLOOKUP(A237,Щиты[Щит],Щиты[_фазы авто]),";"&amp;BA237&amp;":"),";"),"L1")))))</f>
        <v>L1</v>
      </c>
      <c r="FV237" t="str">
        <f t="shared" si="485"/>
        <v>L1</v>
      </c>
      <c r="FW237" t="str">
        <f t="shared" si="486"/>
        <v>L1</v>
      </c>
      <c r="FX237" cm="1">
        <f t="array" ref="FX237">IFERROR(IF(CD237=2,_xlfn.IFS(BX237=3,VLOOKUP(BS237,Справочная_двигатели,3,FALSE),BX237=1,VLOOKUP(BS237,Справочная_двигатели,5,TRUE)),0),0)</f>
        <v>0</v>
      </c>
      <c r="FY237">
        <f>IFERROR(IF(CD237=3,VLOOKUP(BS237,Справочная_ЛЭД,2,TRUE),0),0)</f>
        <v>0</v>
      </c>
      <c r="FZ237" s="6">
        <f t="shared" si="487"/>
        <v>0</v>
      </c>
      <c r="GA237" t="str">
        <f>IF(B237="","",IF(TRIM(AH237&amp;"")&lt;&gt;"",IF(LOWER(TRIM(AH237&amp;""))="да","да","нет"),IF(IFERROR(_xlfn.XLOOKUP(BC237,Коды_код,Коды_пожарная),"")="да","да","нет")))</f>
        <v>нет</v>
      </c>
      <c r="GB237" t="str">
        <f t="shared" si="488"/>
        <v/>
      </c>
      <c r="GC237" t="str">
        <f t="shared" si="489"/>
        <v>основная</v>
      </c>
      <c r="GD237">
        <f>IF(AND(BP237=1,TRIM(AE237&amp;"")=""),IF(COUNTIFS(Линии[Щит],A237,Линии[Секция (1/2/3)],"&gt;=2")&gt;0,MIN(3,MAX(1,IFERROR(--BD237,1))),1),IFERROR(MIN(3,MAX(1,INT(--AE237))),1))</f>
        <v>1</v>
      </c>
      <c r="GE237" t="str" cm="1">
        <f t="array" ref="GE237">IF(B237="","",_xlfn.LET(_xlpm.t,IFERROR(_xlfn.XLOOKUP(1,(Шины[Шина]=GC237)*(((Шины[Щит]=A237)+(Шины[Щит]=""))&gt;0),Шины[Тип]),"")&amp;"",IF(_xlpm.t&lt;&gt;"",_xlpm.t,IF(ISNUMBER(SEARCH("ИБП",GC237)),"ИБП",IF(ISNUMBER(SEARCH("ДГУ",GC237)),"ДГУ","Ввод "&amp;GD237)))))</f>
        <v>Ввод 1</v>
      </c>
      <c r="GF237" t="str">
        <f t="shared" si="490"/>
        <v>Ввод 1</v>
      </c>
      <c r="GG237" t="str">
        <f>IF(BP237=0,"",IF(TRIM(AG237&amp;"")&lt;&gt;"",TRIM(AG237&amp;""),IF(OR(GE237="ИБП",GE237="ДГУ"),"I особая",_xlfn.XLOOKUP(A237,Щиты[Щит],Щиты[Категория шины «Ввод»],"III"))))</f>
        <v/>
      </c>
      <c r="GH237" t="str">
        <f>IF(A237="","",_xlfn.XLOOKUP(A237,Щиты[Щит],Щиты[Путь],""))</f>
        <v>|ГРЩ-ЖД|ЩР-1|</v>
      </c>
      <c r="GI237" t="str">
        <f>IF(B237="","",IF(AI237&lt;&gt;"",AI237,IF(IFERROR(_xlfn.XLOOKUP(BC237,Коды_код,Коды_вид)&amp;"","")="","Прочее",_xlfn.XLOOKUP(BC237,Коды_код,Коды_вид)&amp;"")))</f>
        <v>Розеточная сеть и бытовые приборы</v>
      </c>
      <c r="GJ237">
        <f>IF(BM237="","",INT((BM237-1)/Столбцов_на_лист)+1)</f>
        <v>2</v>
      </c>
      <c r="GK237" t="str">
        <f t="shared" si="491"/>
        <v>ВВГнг(А)-LS (3х2,5) L=27-0,22%</v>
      </c>
      <c r="GL237">
        <f t="shared" si="492"/>
        <v>0.24</v>
      </c>
      <c r="GM237">
        <f t="shared" si="493"/>
        <v>1.1000000000000001</v>
      </c>
      <c r="GN237">
        <f t="shared" si="494"/>
        <v>1</v>
      </c>
      <c r="GO237">
        <f t="shared" si="495"/>
        <v>0</v>
      </c>
      <c r="GP237">
        <f t="shared" si="496"/>
        <v>1</v>
      </c>
      <c r="GQ237">
        <f>IF(BM237="","",IF(AND(CG237=1,GP237=1),COUNTIFS(A$3:A237,A237,CG$3:CG237,1,GP$3:GP237,1),IF(OR(OR(BA237=1,A237&lt;&gt;A236),AJ237="вручную",GP237=0),"",IF(BA237=1,"",GR236))))</f>
        <v>13</v>
      </c>
      <c r="GR237">
        <f t="shared" si="497"/>
        <v>13</v>
      </c>
      <c r="GS237">
        <f>IF(B237="","",IFERROR(LOOKUP(INDEX(CHOOSE(EB237,Iдоп_1ж,Iдоп_2ж,Iдоп_3ж),MATCH(EN237,Iдоп_S,0))*DZ237*EA237,{6,10,16,20,25,32,40,50,63,80,100,125,160,200,250,315,400,500,630}),""))</f>
        <v>25</v>
      </c>
      <c r="GT237" t="str">
        <f t="shared" si="498"/>
        <v>QFD13</v>
      </c>
      <c r="GU237" t="str">
        <f t="shared" si="499"/>
        <v>QFD13</v>
      </c>
      <c r="GV237" t="str">
        <f t="shared" si="500"/>
        <v/>
      </c>
      <c r="GW237">
        <f t="shared" si="501"/>
        <v>0</v>
      </c>
      <c r="GX237" t="str">
        <f>IF(OR(B237="",DJ237=""),"",IFERROR(_xlfn.XLOOKUP(DJ237,Модули_умолч[Управление],Модули_умолч[Модель])&amp;"",""))</f>
        <v/>
      </c>
      <c r="GY237">
        <f>IF(DJ237="",1,IFERROR(MAX(0,N(_xlfn.XLOOKUP(DJ237,Модули_умолч[Управление],Модули_умолч[Каналов на линию]))),1))</f>
        <v>1</v>
      </c>
      <c r="GZ237" t="str">
        <f t="shared" si="502"/>
        <v/>
      </c>
      <c r="HA237" t="str">
        <f t="shared" si="503"/>
        <v/>
      </c>
      <c r="HB237" t="str">
        <f t="shared" si="504"/>
        <v/>
      </c>
      <c r="HC237">
        <f>IF(HB237="",0,IFERROR(N(VLOOKUP(HB237,Модули_спр,3,FALSE)),0))</f>
        <v>0</v>
      </c>
      <c r="HD237" t="str">
        <f t="shared" si="505"/>
        <v/>
      </c>
      <c r="HE237" t="str">
        <f t="shared" si="506"/>
        <v/>
      </c>
      <c r="HF237" t="str">
        <f>IF(OR(HE237="",HE237="-"),"",IFERROR(VLOOKUP(HE237,Модули_спр,2,FALSE),"R"))</f>
        <v/>
      </c>
      <c r="HG237" t="str">
        <f>IF(HF237="","",HF237&amp;"."&amp;COUNTIFS(A$3:A237,A237,HF$3:HF237,HF237))</f>
        <v/>
      </c>
      <c r="HH237" t="str">
        <f t="shared" si="507"/>
        <v/>
      </c>
      <c r="HI237" t="str">
        <f t="shared" si="508"/>
        <v/>
      </c>
      <c r="HJ237" t="str">
        <f t="shared" si="509"/>
        <v/>
      </c>
      <c r="HK237" t="str">
        <f t="shared" si="510"/>
        <v/>
      </c>
      <c r="HL237">
        <f t="shared" si="511"/>
        <v>1</v>
      </c>
      <c r="HM237" t="str">
        <f>IF(HL237=1,"XT"&amp;COUNTIFS(A$3:A237,A237,HL$3:HL237,1),"")</f>
        <v>XT13</v>
      </c>
      <c r="HN237" t="str">
        <f t="shared" si="512"/>
        <v/>
      </c>
      <c r="HO237" t="str">
        <f t="shared" si="513"/>
        <v>QFD13</v>
      </c>
      <c r="HP237" t="str">
        <f t="shared" si="514"/>
        <v/>
      </c>
      <c r="HQ237" t="str">
        <f t="shared" si="515"/>
        <v>ok</v>
      </c>
      <c r="HR237" t="str">
        <f>IF(OR(HJ237="",HH237=""),"",IF(HJ237+MAX(0,GY237-1)&gt;IFERROR(VLOOKUP(HI237,Модули_спр,3,FALSE),99),"ЛИШНИЙ КАНАЛ",IF(AND(AL237&lt;&gt;"=",GY237&gt;0,COUNTIFS(Линии[_модуль гр.],HH237,Линии[Канал (итог)],HJ237,Линии[Канал],"&lt;&gt;=",Линии[Щит],A237)&gt;1),"ДУБЛЬ КАНАЛА","")))</f>
        <v/>
      </c>
      <c r="HS237" s="6" t="str">
        <f t="shared" si="516"/>
        <v/>
      </c>
      <c r="HT237">
        <f t="shared" si="517"/>
        <v>10</v>
      </c>
      <c r="HU237" t="str">
        <f t="shared" si="518"/>
        <v/>
      </c>
      <c r="HV237">
        <f t="shared" si="519"/>
        <v>0.70757073033319007</v>
      </c>
      <c r="HW237">
        <f t="shared" si="520"/>
        <v>0</v>
      </c>
      <c r="HX237">
        <f t="shared" si="521"/>
        <v>0</v>
      </c>
      <c r="HY237">
        <f t="shared" si="522"/>
        <v>0</v>
      </c>
      <c r="HZ237">
        <f t="shared" si="523"/>
        <v>0</v>
      </c>
      <c r="IA237">
        <f t="shared" si="524"/>
        <v>0</v>
      </c>
      <c r="IB237">
        <f t="shared" si="525"/>
        <v>0</v>
      </c>
      <c r="IC237" t="str">
        <f t="shared" si="526"/>
        <v/>
      </c>
      <c r="ID237" t="str" cm="1">
        <f t="array" ref="ID237">IF(IC237="","",_xlfn.LET(_xlpm.tk,_xlfn.TEXTSPLIT(SUBSTITUTE(SUBSTITUTE(IC237,";"," "),"→"," ")," ",,TRUE),_xlpm.w_,_xlfn._xlws.FILTER(_xlpm.tk,ISNUMBER(--LEFT(_xlpm.tk,1))*((ISNUMBER(SEARCH("W",_xlpm.tk))+ISNUMBER(SEARCH("Вт",_xlpm.tk)))&gt;0),""),IFERROR(--SUBSTITUTE(SUBSTITUTE(UPPER(INDEX(_xlpm.w_,1)),"W",""),"ВТ",""),"")))</f>
        <v/>
      </c>
      <c r="IE237" t="str" cm="1">
        <f t="array" ref="IE237">IF(IC237="","",_xlfn.LET(_xlpm.tk,_xlfn.TEXTSPLIT(SUBSTITUTE(SUBSTITUTE(IC237,";"," "),"→"," ")," ",,TRUE),_xlpm.v_,_xlfn._xlws.FILTER(_xlpm.tk,ISNUMBER(--LEFT(_xlpm.tk,1))*((ISNUMBER(SEARCH("V",_xlpm.tk))+(RIGHT(UPPER(_xlpm.tk))="В"))&gt;0),""),IFERROR(--SUBSTITUTE(SUBSTITUTE(UPPER(INDEX(_xlpm.v_,1)),"V",""),"В",""),"")))</f>
        <v/>
      </c>
      <c r="IF237" s="6" t="str">
        <f>IF(OR(BV237=0,HI237="",HJ237=""),"",IFERROR(N(_xlfn.XLOOKUP(HI237,Каталог!$C$4:$C$500,Каталог!$Q$4:$Q$500)),""))</f>
        <v/>
      </c>
      <c r="IG237" s="6" t="str">
        <f>IF(N(IF237)=0,"",SUMIFS(Линии[Iр, А],Линии[Щит],A237,Линии[_модуль гр.],HH237,Линии[Канал (итог)],HJ237))</f>
        <v/>
      </c>
      <c r="IH237" t="str">
        <f>IF(AND(B237="",HO237=""),"",_xlfn.TEXTJOIN("; ",TRUE,IF(AND(B237&lt;&gt;"",FV237=""),"нет фазы",""),IF(AND(B237&lt;&gt;"",N(GL237)=0,FG237&lt;&gt;"Нет"),"нет мощности",""),IF(AND(HN237&lt;&gt;"",COUNTIFS(Линии[Щит],A237,Линии[Клемма (итог)],HN237)&gt;1),"дубль клеммы "&amp;HN237,""),IF(AND(HQ237&lt;&gt;"",HQ237&lt;&gt;"ok"),HQ237,""),IF(HR237&lt;&gt;"",HR237,""),IF(AND(N(CB237)&gt;=4,N(BX237)=1),CB237&amp;" жил на 1 фазе",""),IF(AND(BC237="R",CG237=1,IF(CS237&lt;&gt;"",N(CV237)&gt;30,OR(N(DA237)=0,N(DA237)&gt;30))),"розетка без дифзащиты до 30 мА",""),IF(AND(CG237=1,N(DA237)&gt;0,ISNUMBER(T237)),IF(T237&gt;N(DA237)/3,"ток утечки "&amp;FIXED(T237,1)&amp;" мА &gt; 1/3 уставки ("&amp;DA237&amp;" мА)",""),""),IF(AND(CH237=1,CS237=""),"«узо»: нет строки с УЗО выше (УЗО 2P 40А 30мА в «Аппаратах»)",""),IF(AND(CS237&lt;&gt;"",CS237=BA237),IF(CT237="","впишите номинал УЗО (УЗО 2P 40А 30мА)",IF(N(CT237)&lt;N(DT237),"УЗО "&amp;CT237&amp;" А &lt; автомата "&amp;DT237&amp;" А перед ним",IF(N(CT237)&lt;N(CX237),"УЗО "&amp;CT237&amp;" А &lt; тока блока "&amp;FIXED(CX237,1)&amp;" А",""))),""),IF(AND(CS237&lt;&gt;"",CS237=BA237,ISNUMBER(CY237)),IF(CY237&gt;N(CV237)/3,"ток утечки блока УЗО "&amp;FIXED(CY237,1)&amp;" мА &gt; 1/3 уставки ("&amp;CV237&amp;" мА)",""),""),IF(AND(CG237=1,N(BV237)+N(IB237)&gt;0,IC237=""),"линии до 50 В без БП: впишите в «Аппараты» (БП 24V 480W)",""),IF(AND(CG237=1,ISNUMBER(ID237),ISNUMBER(U237)),IF(U237&gt;ID237,"БП "&amp;ID237&amp;" Вт &lt; нужно "&amp;U237&amp;" Вт (×"&amp;Запас_БП&amp;")",""),""),IF(AND(CG237=1,ISNUMBER(IE237),N(BV237)=1),IF(IE237&lt;&gt;N(BU237),"БП на "&amp;IE237&amp;" В, линия "&amp;BU237&amp;" В",""),""),IF(AND(N(IF237)&gt;0,N(IG237)&gt;N(IF237)),HH237&amp;" канал "&amp;HJ237&amp;": "&amp;FIXED(IG237,1)&amp;" А &gt; "&amp;IF237&amp;" А",""),IFERROR(IF(AND(ISNUMBER(Q237),Q237&gt;EL237),"потери "&amp;FIXED(Q237,1)&amp;" % &gt; "&amp;EL237&amp;" %",""),""),IFERROR(IF(LEFT(HU237,4)="мало","Iкз мало — отключение &gt; 0,4 с",""),""),IF(AND(B237&lt;&gt;"",BM237=""),"не на схеме",""),IF(AND(CG237=0,B237&lt;&gt;"",FV237&lt;&gt;"",IF(BA237=1,"",FW236)&lt;&gt;"",FV237&lt;&gt;IF(BA237=1,"",FW236)),"фаза не как у автомата группы ("&amp;IF(BA237=1,"",FW236)&amp;")","")))</f>
        <v/>
      </c>
      <c r="II237" s="6">
        <f>IF(OR(CG237=0,DQ237=""),"",_xlfn.LET(_xlpm.t,IFERROR(_xlfn.XLOOKUP(DQ237,Каталог!$U$4:$U$500,Каталог!$G$4:$G$500),""),_xlpm.k,SEARCH("кА",_xlpm.t),IFERROR(--TRIM(RIGHT(SUBSTITUTE(MID(_xlpm.t,MAX(1,_xlpm.k-4),_xlpm.k-MAX(1,_xlpm.k-4))," ",REPT(" ",9)),5)),"")))</f>
        <v>6</v>
      </c>
      <c r="IJ237" t="str">
        <f>IF(OR(II237="",CG237=0),"",IF(_xlfn.XLOOKUP(A237,Щиты[Щит],Щиты[Iкз max на шинах, кА],"")="","",IF(II237&lt;_xlfn.XLOOKUP(A237,Щиты[Щит],Щиты[Iкз max на шинах, кА]),"Icu "&amp;II237&amp;" кА &lt; Iкз max","ok")))</f>
        <v/>
      </c>
      <c r="IK237" t="str">
        <f t="shared" si="527"/>
        <v/>
      </c>
      <c r="IL237" t="str">
        <f t="shared" si="528"/>
        <v>QFD13</v>
      </c>
      <c r="IM237" t="str">
        <f t="shared" si="529"/>
        <v>QFD13|кабель ВВГнг(А)-LS (3х2,5) → Розеточная группа, пом. 002Б</v>
      </c>
      <c r="IN237" t="str" cm="1">
        <f t="array" ref="IN237">IF(IM237="","",_xlfn.LET(_xlpm.nd,_xlfn.TEXTSPLIT(IM237,"|"),IF(COLUMNS(_xlpm.nd)&gt;1,A237&amp;"¦"&amp;INDEX(_xlpm.nd,1)&amp;"¦"&amp;INDEX(_xlpm.nd,2),"")))</f>
        <v>ЩР-1¦QFD13¦кабель ВВГнг(А)-LS (3х2,5) → Розеточная группа, пом. 002Б</v>
      </c>
      <c r="IO237" t="str">
        <f t="shared" si="530"/>
        <v>R.1.002Б.8¦Розеточная группа, пом. 002Б</v>
      </c>
      <c r="IP237" t="str" cm="1">
        <f t="array" ref="IP237">IF(IM237="","",_xlfn.LET(_xlpm.nd,_xlfn.TEXTSPLIT(IM237,"|"),IF(COLUMNS(_xlpm.nd)&gt;2,A237&amp;"¦"&amp;INDEX(_xlpm.nd,2)&amp;"¦"&amp;INDEX(_xlpm.nd,3),"")))</f>
        <v/>
      </c>
      <c r="IQ237" t="str">
        <f t="shared" si="531"/>
        <v/>
      </c>
      <c r="IR237" t="str" cm="1">
        <f t="array" ref="IR237">IF(IM237="","",_xlfn.LET(_xlpm.nd,_xlfn.TEXTSPLIT(IM237,"|"),IF(COLUMNS(_xlpm.nd)&gt;3,A237&amp;"¦"&amp;INDEX(_xlpm.nd,3)&amp;"¦"&amp;INDEX(_xlpm.nd,4),"")))</f>
        <v/>
      </c>
      <c r="IS237" t="str">
        <f t="shared" si="532"/>
        <v/>
      </c>
      <c r="IT237" t="str" cm="1">
        <f t="array" ref="IT237">IF(IM237="","",_xlfn.LET(_xlpm.nd,_xlfn.TEXTSPLIT(IM237,"|"),IF(COLUMNS(_xlpm.nd)&gt;4,A237&amp;"¦"&amp;INDEX(_xlpm.nd,4)&amp;"¦"&amp;INDEX(_xlpm.nd,5),"")))</f>
        <v/>
      </c>
      <c r="IU237" t="str">
        <f t="shared" si="533"/>
        <v/>
      </c>
      <c r="IV237" t="str" cm="1">
        <f t="array" ref="IV237">IF(IM237="","",_xlfn.LET(_xlpm.nd,_xlfn.TEXTSPLIT(IM237,"|"),IF(COLUMNS(_xlpm.nd)&gt;5,A237&amp;"¦"&amp;INDEX(_xlpm.nd,5)&amp;"¦"&amp;INDEX(_xlpm.nd,6),"")))</f>
        <v/>
      </c>
      <c r="IW237" t="str">
        <f t="shared" si="534"/>
        <v/>
      </c>
      <c r="IX237" t="str" cm="1">
        <f t="array" ref="IX237">IF(IM237="","",_xlfn.LET(_xlpm.nd,_xlfn.TEXTSPLIT(IM237,"|"),IF(COLUMNS(_xlpm.nd)&gt;6,A237&amp;"¦"&amp;INDEX(_xlpm.nd,6)&amp;"¦"&amp;INDEX(_xlpm.nd,7),"")))</f>
        <v/>
      </c>
      <c r="IY237" t="str">
        <f t="shared" si="535"/>
        <v/>
      </c>
      <c r="IZ237" t="str">
        <f t="shared" si="536"/>
        <v/>
      </c>
      <c r="JA237" t="str">
        <f t="shared" si="537"/>
        <v>QFD13</v>
      </c>
      <c r="JB237">
        <f t="shared" si="538"/>
        <v>0</v>
      </c>
      <c r="JC237">
        <f t="shared" si="539"/>
        <v>1</v>
      </c>
      <c r="JD237" t="str">
        <f t="shared" si="540"/>
        <v/>
      </c>
      <c r="JE237" t="str">
        <f t="shared" si="541"/>
        <v/>
      </c>
      <c r="JF237" t="str">
        <f t="shared" si="542"/>
        <v/>
      </c>
      <c r="JG237" t="str">
        <f t="shared" si="543"/>
        <v/>
      </c>
      <c r="JH237" t="str">
        <f>IF(B237="","",IFERROR(_xlfn.XLOOKUP(B237,Коды_код,Коды_уго),IFERROR(_xlfn.XLOOKUP(BC237,Коды_код,Коды_уго),IFERROR(_xlfn.XLOOKUP(LEFT(BC237,2),Коды_код,Коды_уго),""))))</f>
        <v>Розетка</v>
      </c>
      <c r="JI237" t="str">
        <f>IF(B237="","",IF(OR(JH237="",JH237=0),"BOX",IFERROR(IF(VLOOKUP(JH237,УГО_блоки,3,FALSE)&amp;""&lt;&gt;"",VLOOKUP(JH237,УГО_блоки,3,FALSE),VLOOKUP(JH237,УГО_блоки,2,FALSE)),JH237)))</f>
        <v>SOCKET</v>
      </c>
      <c r="JJ237">
        <f t="shared" si="544"/>
        <v>1</v>
      </c>
      <c r="JK237" t="str">
        <f>IF(DQ237="","",IF(COUNTIF(DQ$3:DQ237,DQ237)=1,MAX(JK$2:JK236)+1,""))</f>
        <v/>
      </c>
      <c r="JL237" t="str">
        <f>IF(DE237="","",IF(COUNTIF(DE$3:DE237,DE237)+COUNTIF(DF$2:DF236,DE237)+COUNTIF(DG$2:DG236,DE237)=1,MAX(JL$2:JN236)+1,""))</f>
        <v/>
      </c>
      <c r="JM237" t="str">
        <f>IF(DF237="","",IF(COUNTIF(DE$3:DE237,DF237)+COUNTIF(DF$3:DF237,DF237)+COUNTIF(DG$2:DG236,DF237)=1,MAX(JL$2:JN236,JL237)+1,""))</f>
        <v/>
      </c>
      <c r="JN237" t="str">
        <f>IF(DG237="","",IF(COUNTIF(DE$3:DE237,DG237)+COUNTIF(DF$3:DF237,DG237)+COUNTIF(DG$3:DG237,DG237)=1,MAX(JL$2:JN236,JL237,JM237)+1,""))</f>
        <v/>
      </c>
      <c r="JO237" t="str">
        <f t="shared" si="545"/>
        <v>3х2,5</v>
      </c>
      <c r="JP237" t="str">
        <f>IF(JO237="","",IF(COUNTIF(JO$3:JO237,JO237)=1,MAX(JP$2:JP236)+1,""))</f>
        <v/>
      </c>
      <c r="JQ237" t="str">
        <f>IF(HG237="","",COUNTIF(HG$3:HG237,"?*"))</f>
        <v/>
      </c>
      <c r="JR237" t="str">
        <f>IF(OR(HG237="",HI237=""),"",IF(COUNTIFS(HG$3:HG237,"?*",HI$3:HI237,HI237)=1,MAX(JR$2:JR236)+1,""))</f>
        <v/>
      </c>
      <c r="JS237">
        <f t="shared" si="546"/>
        <v>0</v>
      </c>
      <c r="JT237">
        <f>IF(B237="","",COUNTIF(B$3:B237,"?*"))</f>
        <v>235</v>
      </c>
      <c r="JU237">
        <f>IF(HL237&lt;&gt;1,0,_xlfn.LET(_xlpm.k,MAX(IFERROR(--_xlfn.XLOOKUP(B237,Коды_код,Коды_3L),0),IFERROR(--_xlfn.XLOOKUP(BC237,Коды_код,Коды_3L),0),IFERROR(--_xlfn.XLOOKUP(LEFT(BC237,2),Коды_код,Коды_3L),0)),IF(_xlpm.k&gt;0,_xlpm.k,IF(IFERROR(--LEFT(SUBSTITUTE(JO237,"x","х"),FIND("х",SUBSTITUTE(JO237,"x","х"))-1),3)&gt;3,Каталог!$S$9,1))))</f>
        <v>1</v>
      </c>
      <c r="JV237">
        <f t="shared" si="547"/>
        <v>0</v>
      </c>
      <c r="JW237" t="str">
        <f t="shared" si="548"/>
        <v>авто</v>
      </c>
      <c r="JX237">
        <f t="shared" si="549"/>
        <v>30</v>
      </c>
      <c r="JY237">
        <f t="shared" si="550"/>
        <v>1</v>
      </c>
      <c r="JZ237">
        <f t="shared" si="551"/>
        <v>1</v>
      </c>
    </row>
    <row r="238" spans="1:286" x14ac:dyDescent="0.3">
      <c r="A238" t="s">
        <v>757</v>
      </c>
      <c r="B238" t="s">
        <v>1544</v>
      </c>
      <c r="C238" t="str">
        <f>Линии[[#This Row],[_авто наименование]]</f>
        <v>Розеточная группа, пом. 002Г</v>
      </c>
      <c r="D238">
        <v>4</v>
      </c>
      <c r="E238">
        <v>0.24</v>
      </c>
      <c r="G238" t="str">
        <f>Линии[[#This Row],[_авто автомат]]</f>
        <v>2P С16А 30мА</v>
      </c>
      <c r="H238" t="str">
        <f>Линии[[#This Row],[_авто управление]]</f>
        <v/>
      </c>
      <c r="I238" t="str">
        <f>Линии[[#This Row],[_авто аппараты]]</f>
        <v/>
      </c>
      <c r="J238">
        <v>2.5</v>
      </c>
      <c r="K238">
        <v>92</v>
      </c>
      <c r="L238" t="str">
        <f>Линии[[#This Row],[_авто фаза]]</f>
        <v>L3</v>
      </c>
      <c r="M238" t="s">
        <v>484</v>
      </c>
      <c r="N238" t="str">
        <f t="shared" si="414"/>
        <v/>
      </c>
      <c r="O238" s="6" cm="1">
        <f t="array" ref="O238">IF(B238="","",IF(BH238&lt;&gt;"",IFERROR(_xlfn.XLOOKUP(BH238,Щиты[Щит],Щиты[Iр, А]),""),IF(BP238=1,IF(OR(N(_xlfn.XLOOKUP(A238,Щиты[Щит],Щиты[Вводов],1))&lt;=1,LOWER(TRIM(_xlfn.XLOOKUP(A238,Щиты[Щит],Щиты[АВР],"")&amp;""))="да"),IFERROR(_xlfn.XLOOKUP(A238,Щиты[Щит],Щиты[Iр, А]),""),IFERROR(N(BS238)*_xlfn.XLOOKUP(A238,Щиты[Щит],Щиты[Кс итог])/(SQRT(3)*Uн_лин*_xlfn.XLOOKUP(A238,Щиты[Щит],Щиты[cos φ])),"")),IF(BV238=1,IFERROR(BS238*1000/BU238,""),IFERROR(_xlfn.IFS(BX238=1,BS238/((Uн_лин/SQRT(3))*CE238),BX238=3,BS238/(SQRT(3)*Uн_лин*CE238)),"")))))</f>
        <v>1.0939268258329751</v>
      </c>
      <c r="P238" s="7">
        <f>IF(B238="","",IFERROR(IF(VLOOKUP(BC238,Потребители_обозначение,4,FALSE)=1,VLOOKUP(BC238,Потребители_обозначение,3,FALSE)*(MAX(1,N(D238))*2-1)+EI238+VLOOKUP(BE238,Этаж_обозначение,3,FALSE)+VLOOKUP(BE238,Этаж_обозначение,4,FALSE),VLOOKUP(BC238,Потребители_обозначение,3,FALSE)*(MAX(1,N(D238))*2-1)+EI238),EI238))</f>
        <v>113</v>
      </c>
      <c r="Q238" s="6">
        <f t="shared" si="415"/>
        <v>2.11</v>
      </c>
      <c r="R238" t="str">
        <f t="shared" si="416"/>
        <v>ВВГнг(А)-LS (3х2,5)</v>
      </c>
      <c r="S238" t="str">
        <f>IF(BM238="","",IF(BN238="вводной узел","узел ","")&amp;"л."&amp;(INT((BM238-1)/Столбцов_на_лист)+1)&amp;" / "&amp;(MOD(BM238-1,Столбцов_на_лист)+1))</f>
        <v>л.2 / 7</v>
      </c>
      <c r="T238" s="119">
        <f t="shared" si="417"/>
        <v>1.6</v>
      </c>
      <c r="U238" s="7" t="str">
        <f>IF(OR(CG238=0,N(BV238)+N(IB238)=0),"",ROUNDUP(Запас_БП*(N(HY238)+N(HZ238)),0))</f>
        <v/>
      </c>
      <c r="V238" s="119" t="str">
        <f t="shared" si="418"/>
        <v/>
      </c>
      <c r="W238" s="7" t="str">
        <f>IFERROR(IF(OR(B238="",BP238=1,BV238=1,NOT(ISNUMBER(EN238)),N(DT238)=0),"",MAX(0,ROUNDDOWN((c_min*(Uн_лин*1000/SQRT(3))/(HT238*N(DT238))-_xlfn.XLOOKUP(A238,Щиты[Щит],Щиты[Zпетли на шинах, Ом]))*EN238/(2*ρкз_Cu),0))),"")</f>
        <v/>
      </c>
      <c r="Y238">
        <f>Линии[[#This Row],[_авто утечка]]</f>
        <v>30</v>
      </c>
      <c r="Z238">
        <v>1</v>
      </c>
      <c r="AA238">
        <v>230</v>
      </c>
      <c r="AB238" t="s">
        <v>562</v>
      </c>
      <c r="AG238" t="s">
        <v>810</v>
      </c>
      <c r="AI238" t="s">
        <v>561</v>
      </c>
      <c r="AK238" t="str">
        <f>Линии[[#This Row],[_авто модуль]]</f>
        <v/>
      </c>
      <c r="AM238">
        <v>24</v>
      </c>
      <c r="AN238" t="s">
        <v>11</v>
      </c>
      <c r="AO238">
        <v>3</v>
      </c>
      <c r="AQ238">
        <v>28</v>
      </c>
      <c r="AR238">
        <v>49</v>
      </c>
      <c r="AS238">
        <v>36</v>
      </c>
      <c r="BA238" cm="1">
        <f t="array" ref="BA238">ROW()-ROW(Линии[#Headers])</f>
        <v>236</v>
      </c>
      <c r="BC238" s="6" t="str">
        <f t="shared" si="419"/>
        <v>R</v>
      </c>
      <c r="BD238" t="str">
        <f t="shared" si="420"/>
        <v>1.002Г.1</v>
      </c>
      <c r="BE238" t="str">
        <f t="shared" si="421"/>
        <v>1</v>
      </c>
      <c r="BF238" t="str">
        <f t="shared" si="422"/>
        <v>002Г.1</v>
      </c>
      <c r="BG238" t="str">
        <f t="shared" si="423"/>
        <v>002Г</v>
      </c>
      <c r="BH238" t="str">
        <f>IF(X238&lt;&gt;"",X238,IF(AND(B238&lt;&gt;"",B238&lt;&gt;A238,ISNUMBER(_xlfn.XMATCH(B238,Щиты[Щит]))),B238,""))</f>
        <v/>
      </c>
      <c r="BI238" t="str" cm="1">
        <f t="array" ref="BI238">IF(B238="","",IF(BH238&lt;&gt;"","Щит "&amp;BH238,_xlfn.LET(_xlpm.nm,IFERROR(_xlfn.XLOOKUP(BC238,Коды_код,Коды_имя)&amp;"",""),_xlpm.md,IFERROR(N(_xlfn.XLOOKUP(BC238,Коды_код,Коды_режим)),1),_xlpm.ex,IF(Имя_режим="по экспликации",IFERROR(_xlfn.XLOOKUP(BE238&amp;"|"&amp;BG238,Экспликация[Этаж]&amp;"|"&amp;Экспликация[Помещение],Экспликация[Название])&amp;"",""),""),_xlpm.rm,IF(BG238="","",IF(_xlpm.ex&lt;&gt;"",". "&amp;_xlpm.ex&amp;IF(Имя_пом="нет"," ("&amp;BG238&amp;")"," (пом. "&amp;BG238&amp;")"),IF(Имя_пом="нет"," ",", пом. ")&amp;BG238)),IF(_xlpm.nm="","",IF(_xlpm.md=2,_xlpm.nm&amp;" шлейф "&amp;BE238,_xlpm.nm&amp;_xlpm.rm)))))</f>
        <v>Розеточная группа, пом. 002Г</v>
      </c>
      <c r="BJ238" t="str">
        <f t="shared" si="424"/>
        <v>Розеточная группа, пом. 002Г</v>
      </c>
      <c r="BK238">
        <f>IFERROR(_xlfn.XMATCH(A238,Щиты[Щит]),0)</f>
        <v>10</v>
      </c>
      <c r="BL238">
        <f>_xlfn.LET(_xlpm.k,IFERROR(_xlfn.XLOOKUP(A238,Щиты[Щит],Щиты[Мест под вводной узел]),""),IF(_xlpm.k="",Столбцов_на_лист,N(_xlpm.k)))</f>
        <v>8</v>
      </c>
      <c r="BM238">
        <f t="shared" si="425"/>
        <v>24</v>
      </c>
      <c r="BN238" t="str">
        <f t="shared" si="426"/>
        <v>линии</v>
      </c>
      <c r="BO238" s="6">
        <f>IFERROR(N(_xlfn.XLOOKUP(BC238,Коды_код,Коды_квт)),0)</f>
        <v>0</v>
      </c>
      <c r="BP238">
        <f t="shared" si="427"/>
        <v>0</v>
      </c>
      <c r="BQ238" t="str">
        <f>IF(B238="","",IF(BH238&lt;&gt;"",IFERROR(_xlfn.XLOOKUP(BH238,Щиты[Щит],Щиты[Руст, кВт]),0),IF(BP238=1,IF(OR(N(_xlfn.XLOOKUP(A238,Щиты[Щит],Щиты[Вводов],1))&lt;=1,LOWER(TRIM(_xlfn.XLOOKUP(A238,Щиты[Щит],Щиты[АВР],"")&amp;""))="да"),IFERROR(_xlfn.XLOOKUP(A238,Щиты[Щит],Щиты[Руст, кВт]),0),SUMIFS(Линии[_Р для вводов],Линии[Щит],A238,Линии[Источник для режимов],GF238)),IF(BO238&gt;0,ROUND(BO238*MAX(1,N(D238)),3),""))))</f>
        <v/>
      </c>
      <c r="BR238">
        <f t="shared" si="428"/>
        <v>0.24</v>
      </c>
      <c r="BS238" s="6">
        <f>IF(B238="","",IF(BH238&lt;&gt;"",IFERROR(_xlfn.XLOOKUP(BH238,Щиты[Щит],Щиты[Руст, кВт]),0),N(BR238)))</f>
        <v>0.24</v>
      </c>
      <c r="BT238" t="str">
        <f>IF(B238="","",IFERROR(IF(VLOOKUP(BC238,Потребители_обозначение,8,FALSE)=0,"",VLOOKUP(BC238,Потребители_обозначение,8,FALSE)),""))</f>
        <v/>
      </c>
      <c r="BU238">
        <f t="shared" si="429"/>
        <v>230</v>
      </c>
      <c r="BV238">
        <f t="shared" si="430"/>
        <v>0</v>
      </c>
      <c r="BW238">
        <f>IF(B238="","",IF(BH238&lt;&gt;"",3,IFERROR(IF(N(VLOOKUP(BC238,Потребители_обозначение,9,FALSE))=0,1,VLOOKUP(BC238,Потребители_обозначение,9,FALSE)),1)))</f>
        <v>1</v>
      </c>
      <c r="BX238">
        <f t="shared" si="431"/>
        <v>1</v>
      </c>
      <c r="BY238" t="str">
        <f>IF(B238="","",_xlfn.LET(_xlpm.bc,IFERROR(IF(VLOOKUP(BC238,Потребители_обозначение,6,FALSE)=0,"",VLOOKUP(BC238,Потребители_обозначение,6,FALSE)&amp;""),""),IF(AND(GA238="да",OR(_xlpm.bc="",_xlpm.bc="мс")),Марка_пож,IF(AND(_xlpm.bc="",BH238&lt;&gt;""),"мс",_xlpm.bc))))</f>
        <v/>
      </c>
      <c r="BZ238" t="str">
        <f t="shared" si="432"/>
        <v>мс</v>
      </c>
      <c r="CA238">
        <f>IF(B238="","",_xlfn.LET(_xlpm.cc,IFERROR(N(VLOOKUP(BC238,Потребители_обозначение,7,FALSE)),0),IF(_xlpm.cc&gt;0,_xlpm.cc,IF(BZ238="","",IF(BV238=1,2,IF(N(BX238)=3,5,3))))))</f>
        <v>3</v>
      </c>
      <c r="CB238">
        <f t="shared" si="433"/>
        <v>3</v>
      </c>
      <c r="CC238">
        <f>IFERROR(N(VLOOKUP(BC238,Потребители_обозначение,10,FALSE)),0)</f>
        <v>0</v>
      </c>
      <c r="CD238">
        <f>IFERROR(VLOOKUP(BC238,Потребители_обозначение,5,FALSE),0)</f>
        <v>1</v>
      </c>
      <c r="CE238" s="6" cm="1">
        <f t="array" ref="CE238">IF(B238="","",IF(BH238&lt;&gt;"",IFERROR(_xlfn.XLOOKUP(BH238,Щиты[Щит],Щиты[cos φ]),0.95),IF(BP238=1,IFERROR(_xlfn.XLOOKUP(A238,Щиты[Щит],Щиты[cos φ]),0.95),IF(ISNUMBER(AD238),AD238,IFERROR(IF(CD238=2,_xlfn.IFS(BX238=3,VLOOKUP(BS238,Справочная_двигатели,8,FALSE),BX238=1,VLOOKUP(BS238,Справочная_двигатели,10,TRUE)),IF(AND(Методика="нормы 2026",FG238="Сил"),0.8,0.95)),0.95)))))</f>
        <v>0.95</v>
      </c>
      <c r="CF238">
        <f t="shared" si="434"/>
        <v>0</v>
      </c>
      <c r="CG238">
        <f t="shared" si="435"/>
        <v>1</v>
      </c>
      <c r="CH238">
        <f t="shared" si="436"/>
        <v>0</v>
      </c>
      <c r="CI238">
        <f>IF(B238="","",IF(BV238=1,IFERROR(BS238/((Uн_лин/SQRT(3))*MAX(0.5,N(CE238))),0),N(O238)))</f>
        <v>1.0939268258329751</v>
      </c>
      <c r="CJ238">
        <f t="shared" si="437"/>
        <v>0</v>
      </c>
      <c r="CK238">
        <f t="shared" si="438"/>
        <v>0</v>
      </c>
      <c r="CL238">
        <f t="shared" si="439"/>
        <v>0</v>
      </c>
      <c r="CM238">
        <f t="shared" si="440"/>
        <v>0</v>
      </c>
      <c r="CN238">
        <f t="shared" si="441"/>
        <v>0</v>
      </c>
      <c r="CO238">
        <f>IF(BC238="",0,_xlfn.LET(_xlpm.v,IFERROR(_xlfn.XLOOKUP(B238,Коды_код,Коды_мА),IFERROR(_xlfn.XLOOKUP(BC238,Коды_код,Коды_мА),IFERROR(_xlfn.XLOOKUP(LEFT(BC238,2),Коды_код,Коды_мА),""))),IF(_xlpm.v="да",30,IF(ISNUMBER(_xlpm.v),_xlpm.v,0))))</f>
        <v>30</v>
      </c>
      <c r="CP238">
        <f t="shared" si="442"/>
        <v>30</v>
      </c>
      <c r="CQ238" t="str">
        <f>_xlfn.LET(_xlpm.k,IFERROR(_xlfn.XLOOKUP(BC238,Коды_код,Коды_утечка)&amp;"",""),IF(_xlpm.k="","дифавтомат",_xlpm.k))</f>
        <v>дифавтомат</v>
      </c>
      <c r="CR238" t="str" cm="1">
        <f t="array" ref="CR238">IF(CG238=0,"",_xlfn.LET(_xlpm.sg,TRIM(_xlfn.TEXTSPLIT(DD238&amp;"",";")),_xlpm.f_,_xlfn._xlws.FILTER(_xlpm.sg,LEFT(_xlpm.sg,3)="УЗО",""),IFERROR(INDEX(_xlpm.f_,1)&amp;"","")))</f>
        <v/>
      </c>
      <c r="CS238" t="str">
        <f t="shared" si="443"/>
        <v/>
      </c>
      <c r="CT238" s="6" t="str" cm="1">
        <f t="array" ref="CT238">IF(CR238="","",_xlfn.LET(_xlpm.tk,_xlfn.TEXTSPLIT(UPPER(CR238)," ",,TRUE),_xlpm.a_,_xlfn._xlws.FILTER(_xlpm.tk,ISNUMBER(--LEFT(_xlpm.tk,1))*((ISNUMBER(SEARCH("А",_xlpm.tk))+ISNUMBER(SEARCH("A",_xlpm.tk)))&gt;0)*NOT(ISNUMBER(SEARCH("МА",_xlpm.tk)))*NOT(ISNUMBER(SEARCH("MA",_xlpm.tk))),""),IFERROR(--SUBSTITUTE(SUBSTITUTE(INDEX(_xlpm.a_,1),"А",""),"A",""),"")))</f>
        <v/>
      </c>
      <c r="CU238" t="str" cm="1">
        <f t="array" ref="CU238">IF(CR238="","",_xlfn.LET(_xlpm.tk,_xlfn.TEXTSPLIT(UPPER(CR238)," ",,TRUE),_xlpm.a_,_xlfn._xlws.FILTER(_xlpm.tk,ISNUMBER(--LEFT(_xlpm.tk,1))*((ISNUMBER(SEARCH("МА",_xlpm.tk))+ISNUMBER(SEARCH("MA",_xlpm.tk)))&gt;0),""),IFERROR(--SUBSTITUTE(SUBSTITUTE(INDEX(_xlpm.a_,1),"МА",""),"MA",""),30)))</f>
        <v/>
      </c>
      <c r="CV238" t="str">
        <f>IF(CS238="","",IFERROR(_xlfn.XLOOKUP(CS238,Линии[_n],Линии[_УЗО, мА]),30))</f>
        <v/>
      </c>
      <c r="CW238">
        <f>IF(CS238="",0,IF(ISNUMBER(SEARCH("4P",IFERROR(_xlfn.XLOOKUP(CS238,Линии[_n],Линии[_УЗО строки])&amp;"",""))),0,1))</f>
        <v>0</v>
      </c>
      <c r="CX238" t="str">
        <f>IF(AND(CS238&lt;&gt;"",CS238=BA238),SUMIFS(Линии[_ток на 230 В],Линии[_блок УЗО],BA238,Линии[Щит],A238),"")</f>
        <v/>
      </c>
      <c r="CY238" t="str">
        <f>IF(AND(CS238&lt;&gt;"",CS238=BA238),SUMIFS(Линии[_ток утечки линии, мА],Линии[_блок УЗО],BA238,Линии[Щит],A238),"")</f>
        <v/>
      </c>
      <c r="CZ238">
        <f t="shared" si="444"/>
        <v>30</v>
      </c>
      <c r="DA238">
        <f t="shared" si="445"/>
        <v>30</v>
      </c>
      <c r="DB238">
        <f>IF(B238="",0,IFERROR(--_xlfn.XLOOKUP(B238,Коды_код,Коды_минавт),IFERROR(--_xlfn.XLOOKUP(BC238,Коды_код,Коды_минавт),IFERROR(--_xlfn.XLOOKUP(LEFT(BC238,2),Коды_код,Коды_минавт),0))))</f>
        <v>16</v>
      </c>
      <c r="DC238" t="str">
        <f>IF(B238="","",IFERROR(_xlfn.XLOOKUP(BC238,Коды_код,Коды_апп)&amp;"",""))</f>
        <v/>
      </c>
      <c r="DD238" t="str">
        <f t="shared" si="446"/>
        <v/>
      </c>
      <c r="DE238" t="str" cm="1">
        <f t="array" ref="DE238">IF(TRIM(DD238&amp;"")="","",IFERROR(TRIM(INDEX(_xlfn.TEXTSPLIT(DD238&amp;";;;",";"),1)),""))</f>
        <v/>
      </c>
      <c r="DF238" t="str" cm="1">
        <f t="array" ref="DF238">IF(TRIM(DD238&amp;"")="","",IFERROR(TRIM(INDEX(_xlfn.TEXTSPLIT(DD238&amp;";;;",";"),2)),""))</f>
        <v/>
      </c>
      <c r="DG238" t="str" cm="1">
        <f t="array" ref="DG238">IF(TRIM(DD238&amp;"")="","",IFERROR(TRIM(INDEX(_xlfn.TEXTSPLIT(DD238&amp;";;;",";"),3)),""))</f>
        <v/>
      </c>
      <c r="DH238">
        <f t="shared" si="447"/>
        <v>0</v>
      </c>
      <c r="DI238" t="str">
        <f>IF(B238="","",_xlfn.LET(_xlpm.t,LOWER(AZ238&amp;""),IF(ISNUMBER(SEARCH("dim",_xlpm.t)),"DIM",IF(ISNUMBER(SEARCH("dali",_xlpm.t)),"DALI",IF(OR(ISNUMBER(SEARCH("relay",_xlpm.t)),ISNUMBER(SEARCH("реле",_xlpm.t))),"Relay",IF(ISNUMBER(SEARCH("кнопк",_xlpm.t)),"",IFERROR(_xlfn.XLOOKUP(BC238,Коды_код,Коды_упр)&amp;"","")))))))</f>
        <v/>
      </c>
      <c r="DJ238" t="str">
        <f t="shared" si="448"/>
        <v/>
      </c>
      <c r="DK238">
        <f>IF(B238="","",_xlfn.LET(_xlpm.ig,IF(N(CX238)&gt;0,N(CX238),N(CI238)+IF(AJ238="вручную",0,N(CJ238))),_xlpm.n0,IFERROR(VLOOKUP(_xlpm.ig,Автомат_номиналы,2,TRUE),0),_xlpm.mn,MAX(DB238,IF(AJ238="вручную",0,N(CM238))),MAX(_xlpm.n0,_xlpm.mn,IF(DH238=1,Мин_автомат_БП,0))))</f>
        <v>16</v>
      </c>
      <c r="DL238">
        <f t="shared" si="449"/>
        <v>1</v>
      </c>
      <c r="DM238" t="str">
        <f t="shared" si="450"/>
        <v>2P</v>
      </c>
      <c r="DN238" t="str">
        <f>_xlfn.LET(_xlpm.cc,UPPER(TRIM(IFERROR(_xlfn.XLOOKUP(BC238,Коды_код,Коды_хар)&amp;"",""))),IF(OR(_xlpm.cc="B",_xlpm.cc="В"),"B",IF(_xlpm.cc="D","D","С")))</f>
        <v>С</v>
      </c>
      <c r="DO238" t="str">
        <f t="shared" si="451"/>
        <v>2P С16А 30мА</v>
      </c>
      <c r="DP238" t="str">
        <f t="shared" si="452"/>
        <v>2P С16А 30мА</v>
      </c>
      <c r="DQ238" t="str">
        <f t="shared" si="453"/>
        <v>2P С16А 30мА</v>
      </c>
      <c r="DR238" cm="1">
        <f t="array" ref="DR238">IF(DQ238="","",_xlfn.LET(_xlpm.t,SUBSTITUTE(SUBSTITUTE(SUBSTITUTE(UPPER(DQ238),"С","C"),"А","A"),"В","B"),_xlpm.tk,_xlfn.TEXTSPLIT(_xlpm.t," "),_xlpm.f,_xlfn._xlws.FILTER(_xlpm.tk,ISNUMBER(--MID(_xlpm.tk,2,1))*ISNUMBER(SEARCH(LEFT(_xlpm.tk,1)&amp;"#","B#C#D#"))*(LEN(_xlpm.tk)&gt;1),""),_xlpm.x,INDEX(_xlpm.f,1),IFERROR(--SUBSTITUTE(MID(_xlpm.x,2,9),"A",""),IFERROR(--SUBSTITUTE(INDEX(_xlfn._xlws.FILTER(_xlpm.tk,ISNUMBER(--SUBSTITUTE(_xlpm.tk,"A","")),""),1),"A",""),""))))</f>
        <v>16</v>
      </c>
      <c r="DS238" t="str">
        <f t="shared" si="454"/>
        <v>ok</v>
      </c>
      <c r="DT238">
        <f t="shared" si="455"/>
        <v>16</v>
      </c>
      <c r="DU238" t="str">
        <f t="shared" si="456"/>
        <v>2P С16А 30мА</v>
      </c>
      <c r="DV238">
        <f t="shared" si="457"/>
        <v>30</v>
      </c>
      <c r="DW238">
        <f t="shared" si="458"/>
        <v>1</v>
      </c>
      <c r="DX238">
        <f t="shared" si="459"/>
        <v>0</v>
      </c>
      <c r="DY238">
        <f t="shared" si="460"/>
        <v>1.0939268258329751</v>
      </c>
      <c r="DZ238">
        <f t="shared" si="461"/>
        <v>1</v>
      </c>
      <c r="EA238">
        <f>IF(ISNUMBER(AP238),AP238,К_прокл)</f>
        <v>1</v>
      </c>
      <c r="EB238">
        <f t="shared" si="462"/>
        <v>2</v>
      </c>
      <c r="EC238">
        <f>IFERROR(N(VLOOKUP(BZ238,Кабель_обозначение,3,FALSE)),1)</f>
        <v>1</v>
      </c>
      <c r="ED238">
        <f>IFERROR(N(_xlfn.XLOOKUP(A238,Щиты[Щит],Щиты[ΔU до шин, %])),0)</f>
        <v>1.19</v>
      </c>
      <c r="EE238" t="str">
        <f>IFERROR(_xlfn.XLOOKUP(A238,Щиты[Щит],Щиты[Zпетли на шинах, Ом]),"")</f>
        <v/>
      </c>
      <c r="EF238">
        <f>IFERROR(N(_xlfn.XLOOKUP(A238,Щиты[Щит],Щиты[ΔU до шин (подбор), %])),0)</f>
        <v>1.19</v>
      </c>
      <c r="EG238" t="str">
        <f>IFERROR(_xlfn.XLOOKUP(A238,Щиты[Щит],Щиты[Zпетли на шинах (подбор), Ом]),"")</f>
        <v/>
      </c>
      <c r="EH238" t="str">
        <f t="shared" si="463"/>
        <v/>
      </c>
      <c r="EI238">
        <f t="shared" si="464"/>
        <v>92</v>
      </c>
      <c r="EJ238">
        <f t="shared" si="465"/>
        <v>2</v>
      </c>
      <c r="EK238">
        <f t="shared" si="466"/>
        <v>0.31</v>
      </c>
      <c r="EL238" s="6">
        <f>IF(B238="","",IF(BV238=1,dU_LED,IF(IFERROR(_xlfn.XLOOKUP(BC238,Коды_код,Коды_уго),"")="Светильник",3,4)+IF(Методика="нормы 2026",MIN(0.5,MAX(0,N(P238)-100)*0.005),0)))</f>
        <v>4.0650000000000004</v>
      </c>
      <c r="EM238" cm="1">
        <f t="array" ref="EM238">IF(OR(B238="",BZ238="",EC238&lt;&gt;1),"",_xlfn.LET(_xlpm.sz,Iдоп_S,_xlpm.t_,CHOOSE(EB238,Iдоп_1ж,Iдоп_2ж,Iдоп_3ж)*DZ238*EA238,_xlpm.dcx,BV238=1,_xlpm.inn,IF(_xlpm.dcx,N(O238),N(DT238)),_xlpm.smin,MAX(1.5,CC238),_xlpm.L_,N(P238)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238)/N(BU238)*100,999),IFERROR(N(EJ238)*(_xlpm.rho*_xlpm.L_/_xlpm.sz*N(CE238)+_xlpm.xx*_xlpm.L_*N(EK238)/1000)*N(O238)/((Uн_лин/SQRT(3))*1000)*100,999)),_xlpm.kz,IF(OR(_xlpm.dcx,DW238=1,NOT(ISNUMBER(EG238)),_xlpm.L_=0,_xlpm.inn=0),1,IFERROR(--(c_min*(Uн_лин*1000/SQRT(3))/(EG238+2*ρкз_Cu*_xlpm.L_/_xlpm.sz)&gt;=HT238*_xlpm.inn),0)),_xlpm.ok,IFERROR((_xlpm.sz&gt;=_xlpm.smin)*(_xlpm.t_&gt;=_xlpm.inn)*IF(_xlpm.L_&gt;0,(_xlpm.du_+IF(_xlpm.dcx,0,EF238)&lt;=EL238+0.00001),1)*_xlpm.kz,0),_xlpm.r_,_xlfn._xlws.FILTER(_xlpm.sz,_xlpm.ok,"не подобрано"),INDEX(_xlpm.r_,1)))</f>
        <v>1.5</v>
      </c>
      <c r="EN238">
        <f t="shared" si="467"/>
        <v>2.5</v>
      </c>
      <c r="EO238" cm="1">
        <f t="array" ref="EO238">IF(OR(B238="",BZ238="",EC238&lt;&gt;1),"",_xlfn.LET(_xlpm.sz,Iдоп_S,_xlpm.t_,CHOOSE(EB238,Iдоп_1ж,Iдоп_2ж,Iдоп_3ж)*DZ238*EA238,_xlpm.ok,IFERROR((_xlpm.sz&gt;=MAX(1.5,CC238))*(_xlpm.t_&gt;=N(DT238)),0),_xlpm.r_,_xlfn._xlws.FILTER(_xlpm.sz,_xlpm.ok,""),INDEX(_xlpm.r_,1)))</f>
        <v>1.5</v>
      </c>
      <c r="EP238" s="6" cm="1">
        <f t="array" ref="EP238">IFERROR(ROUNDUP(N(EJ238)*(_xlfn.XLOOKUP(EO238,INDEX(Кабель_сопротивление,0,1),INDEX(Кабель_сопротивление,0,3))*N(P238)/EO238*N(CE238)+_xlfn.XLOOKUP(EO238,INDEX(Кабель_сопротивление,0,1),INDEX(Кабель_сопротивление,0,2))*N(P238)*N(EK238)/1000)*N(O238)/((Uн_лин/SQRT(3))*1000)*100,2),"")</f>
        <v>1.53</v>
      </c>
      <c r="EQ238">
        <f>IFERROR(2*ρкз_Cu*N(P238)/EO238,"")</f>
        <v>3.9625333333333335</v>
      </c>
      <c r="ER238">
        <f>IFERROR(VLOOKUP(EN238,Кабель_сопротивление,3,FALSE),"")</f>
        <v>2.2499999999999999E-2</v>
      </c>
      <c r="ES238">
        <f>IFERROR(VLOOKUP(EN238,Кабель_сопротивление,2,FALSE),"")</f>
        <v>0.1</v>
      </c>
      <c r="ET238">
        <f t="shared" si="468"/>
        <v>49</v>
      </c>
      <c r="EU238">
        <f t="shared" si="469"/>
        <v>36</v>
      </c>
      <c r="EV238">
        <f t="shared" si="470"/>
        <v>2.1214588568988431</v>
      </c>
      <c r="EW238" s="6">
        <f>IFERROR(ROUNDUP(EV238/IF(BV238=1,BU238,(Uн_лин/SQRT(3))*1000)*100,2),"")</f>
        <v>0.92</v>
      </c>
      <c r="EX238" t="str">
        <f>IFERROR(VLOOKUP(BZ238,Кабель_обозначение,2,FALSE),"")</f>
        <v>ВВГнг(А)-LS</v>
      </c>
      <c r="EY238" t="str">
        <f t="shared" si="471"/>
        <v>ВВГнг(А)-LS (3х2,5)</v>
      </c>
      <c r="EZ238" t="str">
        <f t="shared" si="472"/>
        <v>ВВГнг(А)-LS (3х2,5)
L=113-0,92%</v>
      </c>
      <c r="FA238">
        <f>IFERROR(2*ρкз_Cu*P238/EN238,"")</f>
        <v>2.3775200000000001</v>
      </c>
      <c r="FB238">
        <f t="shared" si="473"/>
        <v>0.79100000000000015</v>
      </c>
      <c r="FC238" s="6" t="str">
        <f>IFERROR(IF(OR(B238="",BV238=1,NOT(ISNUMBER(EN238)),N(P238)=0),"",_xlfn.XLOOKUP(A238,Щиты[Щит],Щиты[Zпетли на шинах, Ом])+FA238),"")</f>
        <v/>
      </c>
      <c r="FD238" s="6" t="str">
        <f>IF(ISNUMBER(FC238),c_min*(Uн_лин*1000/SQRT(3))/FC238,"")</f>
        <v/>
      </c>
      <c r="FE238" s="6" t="str">
        <f>IFERROR(IF(OR(B238="",NOT(ISNUMBER(EN238))),"",1.05*(Uн_лин*1000/SQRT(3))/(_xlfn.XLOOKUP(A238,Щиты[Щит],Щиты[Zmax на шинах, Ом])+FB238)/1000),"")</f>
        <v/>
      </c>
      <c r="FF238" s="6" t="str">
        <f>IF(B238="","",IF(ISNUMBER(AC238),"Сил",IF(IFERROR(_xlfn.XLOOKUP(BC238,Коды_код,Коды_группа)&amp;"","")="","Быт",_xlfn.XLOOKUP(BC238,Коды_код,Коды_группа)&amp;"")))</f>
        <v>Быт</v>
      </c>
      <c r="FG238" s="6" t="str">
        <f t="shared" si="474"/>
        <v>Быт</v>
      </c>
      <c r="FH238" s="6">
        <f>IF(FG238="Щит","щит",IF(FG238="","",IF(FG238="Быт",IFERROR(_xlfn.XLOOKUP(A238,Щиты[Щит],Щиты[Кс быт]),1),IF(FG238="Сил",IF(ISNUMBER(AC238),AC238,IF(Методика="нормы 2026",IFERROR(_xlfn.XLOOKUP(A238,Щиты[Щит],Щиты[Кс силовых (табл. 7.5)]),1),1)),IF(OR(FG238="Пост",FG238="Отоп"),1,IF(FG238="ВНГ",0.7,0))))))</f>
        <v>0.57830000000000004</v>
      </c>
      <c r="FI238">
        <f>IF(FG238="","",IF(AND(BP238=1,TRIM(AE238&amp;"")=""),IF(COUNTIFS(Линии[Щит],A238,Линии[Секция (1/2/3)],"&gt;=2")&gt;0,MIN(3,MAX(1,IFERROR(--BD238,1))),1),IFERROR(MIN(3,MAX(1,INT(--AE238))),1)))</f>
        <v>1</v>
      </c>
      <c r="FJ238">
        <f t="shared" si="475"/>
        <v>0.24</v>
      </c>
      <c r="FK238">
        <f t="shared" si="476"/>
        <v>0.24</v>
      </c>
      <c r="FL238">
        <f t="shared" si="477"/>
        <v>0</v>
      </c>
      <c r="FM238">
        <f t="shared" si="478"/>
        <v>0</v>
      </c>
      <c r="FN238">
        <f t="shared" si="479"/>
        <v>0</v>
      </c>
      <c r="FO238">
        <f t="shared" si="480"/>
        <v>0</v>
      </c>
      <c r="FP238">
        <f t="shared" si="481"/>
        <v>0.24</v>
      </c>
      <c r="FQ238">
        <f t="shared" si="482"/>
        <v>0.24</v>
      </c>
      <c r="FR238">
        <f t="shared" si="483"/>
        <v>0.22799999999999998</v>
      </c>
      <c r="FS238">
        <f>IF(CG238=1,IF(AND(CH238=1,CW238=1),0,IF(AND(CS238&lt;&gt;"",CS238=BA238,CW238=1),SUMIFS(Линии[_Р линии, кВт],Линии[_блок УЗО],BA238,Линии[Щит],A238),N(BS238)+IF(AJ238="вручную",0,N(CK238)))),0)</f>
        <v>0.24</v>
      </c>
      <c r="FT238" t="str">
        <f t="shared" si="484"/>
        <v/>
      </c>
      <c r="FU238" t="str">
        <f>IF(B238="","",IF(CG238=0,IF(BA238=1,"",FW237),IF(AND(CH238=1,CW238=1,CS238&lt;&gt;""),IFERROR(_xlfn.XLOOKUP(CS238,Линии[_n],Линии[_фаза итог]),"L1"),IF(OR(N(DL238)&gt;=3,N(BX238)&gt;=3),"L1,L2,L3",IFERROR(_xlfn.TEXTBEFORE(_xlfn.TEXTAFTER(_xlfn.XLOOKUP(A238,Щиты[Щит],Щиты[_фазы авто]),";"&amp;BA238&amp;":"),";"),"L1")))))</f>
        <v>L3</v>
      </c>
      <c r="FV238" t="str">
        <f t="shared" si="485"/>
        <v>L3</v>
      </c>
      <c r="FW238" t="str">
        <f t="shared" si="486"/>
        <v>L3</v>
      </c>
      <c r="FX238" cm="1">
        <f t="array" ref="FX238">IFERROR(IF(CD238=2,_xlfn.IFS(BX238=3,VLOOKUP(BS238,Справочная_двигатели,3,FALSE),BX238=1,VLOOKUP(BS238,Справочная_двигатели,5,TRUE)),0),0)</f>
        <v>0</v>
      </c>
      <c r="FY238">
        <f>IFERROR(IF(CD238=3,VLOOKUP(BS238,Справочная_ЛЭД,2,TRUE),0),0)</f>
        <v>0</v>
      </c>
      <c r="FZ238" s="6">
        <f t="shared" si="487"/>
        <v>0</v>
      </c>
      <c r="GA238" t="str">
        <f>IF(B238="","",IF(TRIM(AH238&amp;"")&lt;&gt;"",IF(LOWER(TRIM(AH238&amp;""))="да","да","нет"),IF(IFERROR(_xlfn.XLOOKUP(BC238,Коды_код,Коды_пожарная),"")="да","да","нет")))</f>
        <v>нет</v>
      </c>
      <c r="GB238" t="str">
        <f t="shared" si="488"/>
        <v/>
      </c>
      <c r="GC238" t="str">
        <f t="shared" si="489"/>
        <v>основная</v>
      </c>
      <c r="GD238">
        <f>IF(AND(BP238=1,TRIM(AE238&amp;"")=""),IF(COUNTIFS(Линии[Щит],A238,Линии[Секция (1/2/3)],"&gt;=2")&gt;0,MIN(3,MAX(1,IFERROR(--BD238,1))),1),IFERROR(MIN(3,MAX(1,INT(--AE238))),1))</f>
        <v>1</v>
      </c>
      <c r="GE238" t="str" cm="1">
        <f t="array" ref="GE238">IF(B238="","",_xlfn.LET(_xlpm.t,IFERROR(_xlfn.XLOOKUP(1,(Шины[Шина]=GC238)*(((Шины[Щит]=A238)+(Шины[Щит]=""))&gt;0),Шины[Тип]),"")&amp;"",IF(_xlpm.t&lt;&gt;"",_xlpm.t,IF(ISNUMBER(SEARCH("ИБП",GC238)),"ИБП",IF(ISNUMBER(SEARCH("ДГУ",GC238)),"ДГУ","Ввод "&amp;GD238)))))</f>
        <v>Ввод 1</v>
      </c>
      <c r="GF238" t="str">
        <f t="shared" si="490"/>
        <v>Ввод 1</v>
      </c>
      <c r="GG238" t="str">
        <f>IF(BP238=0,"",IF(TRIM(AG238&amp;"")&lt;&gt;"",TRIM(AG238&amp;""),IF(OR(GE238="ИБП",GE238="ДГУ"),"I особая",_xlfn.XLOOKUP(A238,Щиты[Щит],Щиты[Категория шины «Ввод»],"III"))))</f>
        <v/>
      </c>
      <c r="GH238" t="str">
        <f>IF(A238="","",_xlfn.XLOOKUP(A238,Щиты[Щит],Щиты[Путь],""))</f>
        <v>|ГРЩ-ЖД|ЩР-1|</v>
      </c>
      <c r="GI238" t="str">
        <f>IF(B238="","",IF(AI238&lt;&gt;"",AI238,IF(IFERROR(_xlfn.XLOOKUP(BC238,Коды_код,Коды_вид)&amp;"","")="","Прочее",_xlfn.XLOOKUP(BC238,Коды_код,Коды_вид)&amp;"")))</f>
        <v>Розеточная сеть и бытовые приборы</v>
      </c>
      <c r="GJ238">
        <f>IF(BM238="","",INT((BM238-1)/Столбцов_на_лист)+1)</f>
        <v>2</v>
      </c>
      <c r="GK238" t="str">
        <f t="shared" si="491"/>
        <v>ВВГнг(А)-LS (3х2,5) L=113-0,92%</v>
      </c>
      <c r="GL238">
        <f t="shared" si="492"/>
        <v>0.24</v>
      </c>
      <c r="GM238">
        <f t="shared" si="493"/>
        <v>1.1000000000000001</v>
      </c>
      <c r="GN238">
        <f t="shared" si="494"/>
        <v>1</v>
      </c>
      <c r="GO238">
        <f t="shared" si="495"/>
        <v>0</v>
      </c>
      <c r="GP238">
        <f t="shared" si="496"/>
        <v>1</v>
      </c>
      <c r="GQ238">
        <f>IF(BM238="","",IF(AND(CG238=1,GP238=1),COUNTIFS(A$3:A238,A238,CG$3:CG238,1,GP$3:GP238,1),IF(OR(OR(BA238=1,A238&lt;&gt;A237),AJ238="вручную",GP238=0),"",IF(BA238=1,"",GR237))))</f>
        <v>14</v>
      </c>
      <c r="GR238">
        <f t="shared" si="497"/>
        <v>14</v>
      </c>
      <c r="GS238">
        <f>IF(B238="","",IFERROR(LOOKUP(INDEX(CHOOSE(EB238,Iдоп_1ж,Iдоп_2ж,Iдоп_3ж),MATCH(EN238,Iдоп_S,0))*DZ238*EA238,{6,10,16,20,25,32,40,50,63,80,100,125,160,200,250,315,400,500,630}),""))</f>
        <v>25</v>
      </c>
      <c r="GT238" t="str">
        <f t="shared" si="498"/>
        <v>QFD14</v>
      </c>
      <c r="GU238" t="str">
        <f t="shared" si="499"/>
        <v>QFD14</v>
      </c>
      <c r="GV238" t="str">
        <f t="shared" si="500"/>
        <v/>
      </c>
      <c r="GW238">
        <f t="shared" si="501"/>
        <v>0</v>
      </c>
      <c r="GX238" t="str">
        <f>IF(OR(B238="",DJ238=""),"",IFERROR(_xlfn.XLOOKUP(DJ238,Модули_умолч[Управление],Модули_умолч[Модель])&amp;"",""))</f>
        <v/>
      </c>
      <c r="GY238">
        <f>IF(DJ238="",1,IFERROR(MAX(0,N(_xlfn.XLOOKUP(DJ238,Модули_умолч[Управление],Модули_умолч[Каналов на линию]))),1))</f>
        <v>1</v>
      </c>
      <c r="GZ238" t="str">
        <f t="shared" si="502"/>
        <v/>
      </c>
      <c r="HA238" t="str">
        <f t="shared" si="503"/>
        <v/>
      </c>
      <c r="HB238" t="str">
        <f t="shared" si="504"/>
        <v/>
      </c>
      <c r="HC238">
        <f>IF(HB238="",0,IFERROR(N(VLOOKUP(HB238,Модули_спр,3,FALSE)),0))</f>
        <v>0</v>
      </c>
      <c r="HD238" t="str">
        <f t="shared" si="505"/>
        <v/>
      </c>
      <c r="HE238" t="str">
        <f t="shared" si="506"/>
        <v/>
      </c>
      <c r="HF238" t="str">
        <f>IF(OR(HE238="",HE238="-"),"",IFERROR(VLOOKUP(HE238,Модули_спр,2,FALSE),"R"))</f>
        <v/>
      </c>
      <c r="HG238" t="str">
        <f>IF(HF238="","",HF238&amp;"."&amp;COUNTIFS(A$3:A238,A238,HF$3:HF238,HF238))</f>
        <v/>
      </c>
      <c r="HH238" t="str">
        <f t="shared" si="507"/>
        <v/>
      </c>
      <c r="HI238" t="str">
        <f t="shared" si="508"/>
        <v/>
      </c>
      <c r="HJ238" t="str">
        <f t="shared" si="509"/>
        <v/>
      </c>
      <c r="HK238" t="str">
        <f t="shared" si="510"/>
        <v/>
      </c>
      <c r="HL238">
        <f t="shared" si="511"/>
        <v>1</v>
      </c>
      <c r="HM238" t="str">
        <f>IF(HL238=1,"XT"&amp;COUNTIFS(A$3:A238,A238,HL$3:HL238,1),"")</f>
        <v>XT14</v>
      </c>
      <c r="HN238" t="str">
        <f t="shared" si="512"/>
        <v/>
      </c>
      <c r="HO238" t="str">
        <f t="shared" si="513"/>
        <v>QFD14</v>
      </c>
      <c r="HP238" t="str">
        <f t="shared" si="514"/>
        <v/>
      </c>
      <c r="HQ238" t="str">
        <f t="shared" si="515"/>
        <v>ok</v>
      </c>
      <c r="HR238" t="str">
        <f>IF(OR(HJ238="",HH238=""),"",IF(HJ238+MAX(0,GY238-1)&gt;IFERROR(VLOOKUP(HI238,Модули_спр,3,FALSE),99),"ЛИШНИЙ КАНАЛ",IF(AND(AL238&lt;&gt;"=",GY238&gt;0,COUNTIFS(Линии[_модуль гр.],HH238,Линии[Канал (итог)],HJ238,Линии[Канал],"&lt;&gt;=",Линии[Щит],A238)&gt;1),"ДУБЛЬ КАНАЛА","")))</f>
        <v/>
      </c>
      <c r="HS238" s="6" t="str">
        <f t="shared" si="516"/>
        <v/>
      </c>
      <c r="HT238">
        <f t="shared" si="517"/>
        <v>10</v>
      </c>
      <c r="HU238" t="str">
        <f t="shared" si="518"/>
        <v/>
      </c>
      <c r="HV238">
        <f t="shared" si="519"/>
        <v>1.5675707303331903</v>
      </c>
      <c r="HW238">
        <f t="shared" si="520"/>
        <v>0</v>
      </c>
      <c r="HX238">
        <f t="shared" si="521"/>
        <v>0</v>
      </c>
      <c r="HY238">
        <f t="shared" si="522"/>
        <v>0</v>
      </c>
      <c r="HZ238">
        <f t="shared" si="523"/>
        <v>0</v>
      </c>
      <c r="IA238">
        <f t="shared" si="524"/>
        <v>0</v>
      </c>
      <c r="IB238">
        <f t="shared" si="525"/>
        <v>0</v>
      </c>
      <c r="IC238" t="str">
        <f t="shared" si="526"/>
        <v/>
      </c>
      <c r="ID238" t="str" cm="1">
        <f t="array" ref="ID238">IF(IC238="","",_xlfn.LET(_xlpm.tk,_xlfn.TEXTSPLIT(SUBSTITUTE(SUBSTITUTE(IC238,";"," "),"→"," ")," ",,TRUE),_xlpm.w_,_xlfn._xlws.FILTER(_xlpm.tk,ISNUMBER(--LEFT(_xlpm.tk,1))*((ISNUMBER(SEARCH("W",_xlpm.tk))+ISNUMBER(SEARCH("Вт",_xlpm.tk)))&gt;0),""),IFERROR(--SUBSTITUTE(SUBSTITUTE(UPPER(INDEX(_xlpm.w_,1)),"W",""),"ВТ",""),"")))</f>
        <v/>
      </c>
      <c r="IE238" t="str" cm="1">
        <f t="array" ref="IE238">IF(IC238="","",_xlfn.LET(_xlpm.tk,_xlfn.TEXTSPLIT(SUBSTITUTE(SUBSTITUTE(IC238,";"," "),"→"," ")," ",,TRUE),_xlpm.v_,_xlfn._xlws.FILTER(_xlpm.tk,ISNUMBER(--LEFT(_xlpm.tk,1))*((ISNUMBER(SEARCH("V",_xlpm.tk))+(RIGHT(UPPER(_xlpm.tk))="В"))&gt;0),""),IFERROR(--SUBSTITUTE(SUBSTITUTE(UPPER(INDEX(_xlpm.v_,1)),"V",""),"В",""),"")))</f>
        <v/>
      </c>
      <c r="IF238" s="6" t="str">
        <f>IF(OR(BV238=0,HI238="",HJ238=""),"",IFERROR(N(_xlfn.XLOOKUP(HI238,Каталог!$C$4:$C$500,Каталог!$Q$4:$Q$500)),""))</f>
        <v/>
      </c>
      <c r="IG238" s="6" t="str">
        <f>IF(N(IF238)=0,"",SUMIFS(Линии[Iр, А],Линии[Щит],A238,Линии[_модуль гр.],HH238,Линии[Канал (итог)],HJ238))</f>
        <v/>
      </c>
      <c r="IH238" t="str">
        <f>IF(AND(B238="",HO238=""),"",_xlfn.TEXTJOIN("; ",TRUE,IF(AND(B238&lt;&gt;"",FV238=""),"нет фазы",""),IF(AND(B238&lt;&gt;"",N(GL238)=0,FG238&lt;&gt;"Нет"),"нет мощности",""),IF(AND(HN238&lt;&gt;"",COUNTIFS(Линии[Щит],A238,Линии[Клемма (итог)],HN238)&gt;1),"дубль клеммы "&amp;HN238,""),IF(AND(HQ238&lt;&gt;"",HQ238&lt;&gt;"ok"),HQ238,""),IF(HR238&lt;&gt;"",HR238,""),IF(AND(N(CB238)&gt;=4,N(BX238)=1),CB238&amp;" жил на 1 фазе",""),IF(AND(BC238="R",CG238=1,IF(CS238&lt;&gt;"",N(CV238)&gt;30,OR(N(DA238)=0,N(DA238)&gt;30))),"розетка без дифзащиты до 30 мА",""),IF(AND(CG238=1,N(DA238)&gt;0,ISNUMBER(T238)),IF(T238&gt;N(DA238)/3,"ток утечки "&amp;FIXED(T238,1)&amp;" мА &gt; 1/3 уставки ("&amp;DA238&amp;" мА)",""),""),IF(AND(CH238=1,CS238=""),"«узо»: нет строки с УЗО выше (УЗО 2P 40А 30мА в «Аппаратах»)",""),IF(AND(CS238&lt;&gt;"",CS238=BA238),IF(CT238="","впишите номинал УЗО (УЗО 2P 40А 30мА)",IF(N(CT238)&lt;N(DT238),"УЗО "&amp;CT238&amp;" А &lt; автомата "&amp;DT238&amp;" А перед ним",IF(N(CT238)&lt;N(CX238),"УЗО "&amp;CT238&amp;" А &lt; тока блока "&amp;FIXED(CX238,1)&amp;" А",""))),""),IF(AND(CS238&lt;&gt;"",CS238=BA238,ISNUMBER(CY238)),IF(CY238&gt;N(CV238)/3,"ток утечки блока УЗО "&amp;FIXED(CY238,1)&amp;" мА &gt; 1/3 уставки ("&amp;CV238&amp;" мА)",""),""),IF(AND(CG238=1,N(BV238)+N(IB238)&gt;0,IC238=""),"линии до 50 В без БП: впишите в «Аппараты» (БП 24V 480W)",""),IF(AND(CG238=1,ISNUMBER(ID238),ISNUMBER(U238)),IF(U238&gt;ID238,"БП "&amp;ID238&amp;" Вт &lt; нужно "&amp;U238&amp;" Вт (×"&amp;Запас_БП&amp;")",""),""),IF(AND(CG238=1,ISNUMBER(IE238),N(BV238)=1),IF(IE238&lt;&gt;N(BU238),"БП на "&amp;IE238&amp;" В, линия "&amp;BU238&amp;" В",""),""),IF(AND(N(IF238)&gt;0,N(IG238)&gt;N(IF238)),HH238&amp;" канал "&amp;HJ238&amp;": "&amp;FIXED(IG238,1)&amp;" А &gt; "&amp;IF238&amp;" А",""),IFERROR(IF(AND(ISNUMBER(Q238),Q238&gt;EL238),"потери "&amp;FIXED(Q238,1)&amp;" % &gt; "&amp;EL238&amp;" %",""),""),IFERROR(IF(LEFT(HU238,4)="мало","Iкз мало — отключение &gt; 0,4 с",""),""),IF(AND(B238&lt;&gt;"",BM238=""),"не на схеме",""),IF(AND(CG238=0,B238&lt;&gt;"",FV238&lt;&gt;"",IF(BA238=1,"",FW237)&lt;&gt;"",FV238&lt;&gt;IF(BA238=1,"",FW237)),"фаза не как у автомата группы ("&amp;IF(BA238=1,"",FW237)&amp;")","")))</f>
        <v/>
      </c>
      <c r="II238" s="6">
        <f>IF(OR(CG238=0,DQ238=""),"",_xlfn.LET(_xlpm.t,IFERROR(_xlfn.XLOOKUP(DQ238,Каталог!$U$4:$U$500,Каталог!$G$4:$G$500),""),_xlpm.k,SEARCH("кА",_xlpm.t),IFERROR(--TRIM(RIGHT(SUBSTITUTE(MID(_xlpm.t,MAX(1,_xlpm.k-4),_xlpm.k-MAX(1,_xlpm.k-4))," ",REPT(" ",9)),5)),"")))</f>
        <v>6</v>
      </c>
      <c r="IJ238" t="str">
        <f>IF(OR(II238="",CG238=0),"",IF(_xlfn.XLOOKUP(A238,Щиты[Щит],Щиты[Iкз max на шинах, кА],"")="","",IF(II238&lt;_xlfn.XLOOKUP(A238,Щиты[Щит],Щиты[Iкз max на шинах, кА]),"Icu "&amp;II238&amp;" кА &lt; Iкз max","ok")))</f>
        <v/>
      </c>
      <c r="IK238" t="str">
        <f t="shared" si="527"/>
        <v/>
      </c>
      <c r="IL238" t="str">
        <f t="shared" si="528"/>
        <v>QFD14</v>
      </c>
      <c r="IM238" t="str">
        <f t="shared" si="529"/>
        <v>QFD14|кабель ВВГнг(А)-LS (3х2,5) → Розеточная группа, пом. 002Г</v>
      </c>
      <c r="IN238" t="str" cm="1">
        <f t="array" ref="IN238">IF(IM238="","",_xlfn.LET(_xlpm.nd,_xlfn.TEXTSPLIT(IM238,"|"),IF(COLUMNS(_xlpm.nd)&gt;1,A238&amp;"¦"&amp;INDEX(_xlpm.nd,1)&amp;"¦"&amp;INDEX(_xlpm.nd,2),"")))</f>
        <v>ЩР-1¦QFD14¦кабель ВВГнг(А)-LS (3х2,5) → Розеточная группа, пом. 002Г</v>
      </c>
      <c r="IO238" t="str">
        <f t="shared" si="530"/>
        <v>R.1.002Г.1¦Розеточная группа, пом. 002Г</v>
      </c>
      <c r="IP238" t="str" cm="1">
        <f t="array" ref="IP238">IF(IM238="","",_xlfn.LET(_xlpm.nd,_xlfn.TEXTSPLIT(IM238,"|"),IF(COLUMNS(_xlpm.nd)&gt;2,A238&amp;"¦"&amp;INDEX(_xlpm.nd,2)&amp;"¦"&amp;INDEX(_xlpm.nd,3),"")))</f>
        <v/>
      </c>
      <c r="IQ238" t="str">
        <f t="shared" si="531"/>
        <v/>
      </c>
      <c r="IR238" t="str" cm="1">
        <f t="array" ref="IR238">IF(IM238="","",_xlfn.LET(_xlpm.nd,_xlfn.TEXTSPLIT(IM238,"|"),IF(COLUMNS(_xlpm.nd)&gt;3,A238&amp;"¦"&amp;INDEX(_xlpm.nd,3)&amp;"¦"&amp;INDEX(_xlpm.nd,4),"")))</f>
        <v/>
      </c>
      <c r="IS238" t="str">
        <f t="shared" si="532"/>
        <v/>
      </c>
      <c r="IT238" t="str" cm="1">
        <f t="array" ref="IT238">IF(IM238="","",_xlfn.LET(_xlpm.nd,_xlfn.TEXTSPLIT(IM238,"|"),IF(COLUMNS(_xlpm.nd)&gt;4,A238&amp;"¦"&amp;INDEX(_xlpm.nd,4)&amp;"¦"&amp;INDEX(_xlpm.nd,5),"")))</f>
        <v/>
      </c>
      <c r="IU238" t="str">
        <f t="shared" si="533"/>
        <v/>
      </c>
      <c r="IV238" t="str" cm="1">
        <f t="array" ref="IV238">IF(IM238="","",_xlfn.LET(_xlpm.nd,_xlfn.TEXTSPLIT(IM238,"|"),IF(COLUMNS(_xlpm.nd)&gt;5,A238&amp;"¦"&amp;INDEX(_xlpm.nd,5)&amp;"¦"&amp;INDEX(_xlpm.nd,6),"")))</f>
        <v/>
      </c>
      <c r="IW238" t="str">
        <f t="shared" si="534"/>
        <v/>
      </c>
      <c r="IX238" t="str" cm="1">
        <f t="array" ref="IX238">IF(IM238="","",_xlfn.LET(_xlpm.nd,_xlfn.TEXTSPLIT(IM238,"|"),IF(COLUMNS(_xlpm.nd)&gt;6,A238&amp;"¦"&amp;INDEX(_xlpm.nd,6)&amp;"¦"&amp;INDEX(_xlpm.nd,7),"")))</f>
        <v/>
      </c>
      <c r="IY238" t="str">
        <f t="shared" si="535"/>
        <v/>
      </c>
      <c r="IZ238" t="str">
        <f t="shared" si="536"/>
        <v/>
      </c>
      <c r="JA238" t="str">
        <f t="shared" si="537"/>
        <v>QFD14</v>
      </c>
      <c r="JB238">
        <f t="shared" si="538"/>
        <v>0</v>
      </c>
      <c r="JC238">
        <f t="shared" si="539"/>
        <v>1</v>
      </c>
      <c r="JD238" t="str">
        <f t="shared" si="540"/>
        <v/>
      </c>
      <c r="JE238" t="str">
        <f t="shared" si="541"/>
        <v/>
      </c>
      <c r="JF238" t="str">
        <f t="shared" si="542"/>
        <v/>
      </c>
      <c r="JG238" t="str">
        <f t="shared" si="543"/>
        <v/>
      </c>
      <c r="JH238" t="str">
        <f>IF(B238="","",IFERROR(_xlfn.XLOOKUP(B238,Коды_код,Коды_уго),IFERROR(_xlfn.XLOOKUP(BC238,Коды_код,Коды_уго),IFERROR(_xlfn.XLOOKUP(LEFT(BC238,2),Коды_код,Коды_уго),""))))</f>
        <v>Розетка</v>
      </c>
      <c r="JI238" t="str">
        <f>IF(B238="","",IF(OR(JH238="",JH238=0),"BOX",IFERROR(IF(VLOOKUP(JH238,УГО_блоки,3,FALSE)&amp;""&lt;&gt;"",VLOOKUP(JH238,УГО_блоки,3,FALSE),VLOOKUP(JH238,УГО_блоки,2,FALSE)),JH238)))</f>
        <v>SOCKET</v>
      </c>
      <c r="JJ238">
        <f t="shared" si="544"/>
        <v>1</v>
      </c>
      <c r="JK238" t="str">
        <f>IF(DQ238="","",IF(COUNTIF(DQ$3:DQ238,DQ238)=1,MAX(JK$2:JK237)+1,""))</f>
        <v/>
      </c>
      <c r="JL238" t="str">
        <f>IF(DE238="","",IF(COUNTIF(DE$3:DE238,DE238)+COUNTIF(DF$2:DF237,DE238)+COUNTIF(DG$2:DG237,DE238)=1,MAX(JL$2:JN237)+1,""))</f>
        <v/>
      </c>
      <c r="JM238" t="str">
        <f>IF(DF238="","",IF(COUNTIF(DE$3:DE238,DF238)+COUNTIF(DF$3:DF238,DF238)+COUNTIF(DG$2:DG237,DF238)=1,MAX(JL$2:JN237,JL238)+1,""))</f>
        <v/>
      </c>
      <c r="JN238" t="str">
        <f>IF(DG238="","",IF(COUNTIF(DE$3:DE238,DG238)+COUNTIF(DF$3:DF238,DG238)+COUNTIF(DG$3:DG238,DG238)=1,MAX(JL$2:JN237,JL238,JM238)+1,""))</f>
        <v/>
      </c>
      <c r="JO238" t="str">
        <f t="shared" si="545"/>
        <v>3х2,5</v>
      </c>
      <c r="JP238" t="str">
        <f>IF(JO238="","",IF(COUNTIF(JO$3:JO238,JO238)=1,MAX(JP$2:JP237)+1,""))</f>
        <v/>
      </c>
      <c r="JQ238" t="str">
        <f>IF(HG238="","",COUNTIF(HG$3:HG238,"?*"))</f>
        <v/>
      </c>
      <c r="JR238" t="str">
        <f>IF(OR(HG238="",HI238=""),"",IF(COUNTIFS(HG$3:HG238,"?*",HI$3:HI238,HI238)=1,MAX(JR$2:JR237)+1,""))</f>
        <v/>
      </c>
      <c r="JS238">
        <f t="shared" si="546"/>
        <v>0</v>
      </c>
      <c r="JT238">
        <f>IF(B238="","",COUNTIF(B$3:B238,"?*"))</f>
        <v>236</v>
      </c>
      <c r="JU238">
        <f>IF(HL238&lt;&gt;1,0,_xlfn.LET(_xlpm.k,MAX(IFERROR(--_xlfn.XLOOKUP(B238,Коды_код,Коды_3L),0),IFERROR(--_xlfn.XLOOKUP(BC238,Коды_код,Коды_3L),0),IFERROR(--_xlfn.XLOOKUP(LEFT(BC238,2),Коды_код,Коды_3L),0)),IF(_xlpm.k&gt;0,_xlpm.k,IF(IFERROR(--LEFT(SUBSTITUTE(JO238,"x","х"),FIND("х",SUBSTITUTE(JO238,"x","х"))-1),3)&gt;3,Каталог!$S$9,1))))</f>
        <v>1</v>
      </c>
      <c r="JV238">
        <f t="shared" si="547"/>
        <v>0</v>
      </c>
      <c r="JW238" t="str">
        <f t="shared" si="548"/>
        <v>авто</v>
      </c>
      <c r="JX238">
        <f t="shared" si="549"/>
        <v>30</v>
      </c>
      <c r="JY238">
        <f t="shared" si="550"/>
        <v>1</v>
      </c>
      <c r="JZ238">
        <f t="shared" si="551"/>
        <v>1</v>
      </c>
    </row>
    <row r="239" spans="1:286" x14ac:dyDescent="0.3">
      <c r="A239" t="s">
        <v>757</v>
      </c>
      <c r="B239" t="s">
        <v>1545</v>
      </c>
      <c r="C239" t="str">
        <f>Линии[[#This Row],[_авто наименование]]</f>
        <v>Розеточная группа, пом. 003A</v>
      </c>
      <c r="D239">
        <v>1</v>
      </c>
      <c r="E239">
        <v>0.36</v>
      </c>
      <c r="G239" t="str">
        <f>Линии[[#This Row],[_авто автомат]]</f>
        <v>2P С16А 30мА</v>
      </c>
      <c r="H239" t="str">
        <f>Линии[[#This Row],[_авто управление]]</f>
        <v/>
      </c>
      <c r="I239" t="str">
        <f>Линии[[#This Row],[_авто аппараты]]</f>
        <v/>
      </c>
      <c r="J239">
        <v>2.5</v>
      </c>
      <c r="K239">
        <v>57</v>
      </c>
      <c r="L239" t="str">
        <f>Линии[[#This Row],[_авто фаза]]</f>
        <v>L2</v>
      </c>
      <c r="M239" t="s">
        <v>484</v>
      </c>
      <c r="N239" t="str">
        <f t="shared" si="414"/>
        <v/>
      </c>
      <c r="O239" s="6" cm="1">
        <f t="array" ref="O239">IF(B239="","",IF(BH239&lt;&gt;"",IFERROR(_xlfn.XLOOKUP(BH239,Щиты[Щит],Щиты[Iр, А]),""),IF(BP239=1,IF(OR(N(_xlfn.XLOOKUP(A239,Щиты[Щит],Щиты[Вводов],1))&lt;=1,LOWER(TRIM(_xlfn.XLOOKUP(A239,Щиты[Щит],Щиты[АВР],"")&amp;""))="да"),IFERROR(_xlfn.XLOOKUP(A239,Щиты[Щит],Щиты[Iр, А]),""),IFERROR(N(BS239)*_xlfn.XLOOKUP(A239,Щиты[Щит],Щиты[Кс итог])/(SQRT(3)*Uн_лин*_xlfn.XLOOKUP(A239,Щиты[Щит],Щиты[cos φ])),"")),IF(BV239=1,IFERROR(BS239*1000/BU239,""),IFERROR(_xlfn.IFS(BX239=1,BS239/((Uн_лин/SQRT(3))*CE239),BX239=3,BS239/(SQRT(3)*Uн_лин*CE239)),"")))))</f>
        <v>1.6408902387494626</v>
      </c>
      <c r="P239" s="7">
        <f>IF(B239="","",IFERROR(IF(VLOOKUP(BC239,Потребители_обозначение,4,FALSE)=1,VLOOKUP(BC239,Потребители_обозначение,3,FALSE)*(MAX(1,N(D239))*2-1)+EI239+VLOOKUP(BE239,Этаж_обозначение,3,FALSE)+VLOOKUP(BE239,Этаж_обозначение,4,FALSE),VLOOKUP(BC239,Потребители_обозначение,3,FALSE)*(MAX(1,N(D239))*2-1)+EI239),EI239))</f>
        <v>60</v>
      </c>
      <c r="Q239" s="6">
        <f t="shared" si="415"/>
        <v>1.93</v>
      </c>
      <c r="R239" t="str">
        <f t="shared" si="416"/>
        <v>ВВГнг(А)-LS (3х2,5)</v>
      </c>
      <c r="S239" t="str">
        <f>IF(BM239="","",IF(BN239="вводной узел","узел ","")&amp;"л."&amp;(INT((BM239-1)/Столбцов_на_лист)+1)&amp;" / "&amp;(MOD(BM239-1,Столбцов_на_лист)+1))</f>
        <v>л.2 / 8</v>
      </c>
      <c r="T239" s="119">
        <f t="shared" si="417"/>
        <v>1.3</v>
      </c>
      <c r="U239" s="7" t="str">
        <f>IF(OR(CG239=0,N(BV239)+N(IB239)=0),"",ROUNDUP(Запас_БП*(N(HY239)+N(HZ239)),0))</f>
        <v/>
      </c>
      <c r="V239" s="119" t="str">
        <f t="shared" si="418"/>
        <v/>
      </c>
      <c r="W239" s="7" t="str">
        <f>IFERROR(IF(OR(B239="",BP239=1,BV239=1,NOT(ISNUMBER(EN239)),N(DT239)=0),"",MAX(0,ROUNDDOWN((c_min*(Uн_лин*1000/SQRT(3))/(HT239*N(DT239))-_xlfn.XLOOKUP(A239,Щиты[Щит],Щиты[Zпетли на шинах, Ом]))*EN239/(2*ρкз_Cu),0))),"")</f>
        <v/>
      </c>
      <c r="Y239">
        <f>Линии[[#This Row],[_авто утечка]]</f>
        <v>30</v>
      </c>
      <c r="Z239">
        <v>1</v>
      </c>
      <c r="AA239">
        <v>230</v>
      </c>
      <c r="AB239" t="s">
        <v>562</v>
      </c>
      <c r="AG239" t="s">
        <v>810</v>
      </c>
      <c r="AI239" t="s">
        <v>561</v>
      </c>
      <c r="AK239" t="str">
        <f>Линии[[#This Row],[_авто модуль]]</f>
        <v/>
      </c>
      <c r="AM239">
        <v>25</v>
      </c>
      <c r="AN239" t="s">
        <v>11</v>
      </c>
      <c r="AO239">
        <v>3</v>
      </c>
      <c r="AQ239">
        <v>28</v>
      </c>
      <c r="AR239">
        <v>25</v>
      </c>
      <c r="AS239">
        <v>7</v>
      </c>
      <c r="BA239" cm="1">
        <f t="array" ref="BA239">ROW()-ROW(Линии[#Headers])</f>
        <v>237</v>
      </c>
      <c r="BC239" s="6" t="str">
        <f t="shared" si="419"/>
        <v>R</v>
      </c>
      <c r="BD239" t="str">
        <f t="shared" si="420"/>
        <v>1.003A.1</v>
      </c>
      <c r="BE239" t="str">
        <f t="shared" si="421"/>
        <v>1</v>
      </c>
      <c r="BF239" t="str">
        <f t="shared" si="422"/>
        <v>003A.1</v>
      </c>
      <c r="BG239" t="str">
        <f t="shared" si="423"/>
        <v>003A</v>
      </c>
      <c r="BH239" t="str">
        <f>IF(X239&lt;&gt;"",X239,IF(AND(B239&lt;&gt;"",B239&lt;&gt;A239,ISNUMBER(_xlfn.XMATCH(B239,Щиты[Щит]))),B239,""))</f>
        <v/>
      </c>
      <c r="BI239" t="str" cm="1">
        <f t="array" ref="BI239">IF(B239="","",IF(BH239&lt;&gt;"","Щит "&amp;BH239,_xlfn.LET(_xlpm.nm,IFERROR(_xlfn.XLOOKUP(BC239,Коды_код,Коды_имя)&amp;"",""),_xlpm.md,IFERROR(N(_xlfn.XLOOKUP(BC239,Коды_код,Коды_режим)),1),_xlpm.ex,IF(Имя_режим="по экспликации",IFERROR(_xlfn.XLOOKUP(BE239&amp;"|"&amp;BG239,Экспликация[Этаж]&amp;"|"&amp;Экспликация[Помещение],Экспликация[Название])&amp;"",""),""),_xlpm.rm,IF(BG239="","",IF(_xlpm.ex&lt;&gt;"",". "&amp;_xlpm.ex&amp;IF(Имя_пом="нет"," ("&amp;BG239&amp;")"," (пом. "&amp;BG239&amp;")"),IF(Имя_пом="нет"," ",", пом. ")&amp;BG239)),IF(_xlpm.nm="","",IF(_xlpm.md=2,_xlpm.nm&amp;" шлейф "&amp;BE239,_xlpm.nm&amp;_xlpm.rm)))))</f>
        <v>Розеточная группа, пом. 003A</v>
      </c>
      <c r="BJ239" t="str">
        <f t="shared" si="424"/>
        <v>Розеточная группа, пом. 003A</v>
      </c>
      <c r="BK239">
        <f>IFERROR(_xlfn.XMATCH(A239,Щиты[Щит]),0)</f>
        <v>10</v>
      </c>
      <c r="BL239">
        <f>_xlfn.LET(_xlpm.k,IFERROR(_xlfn.XLOOKUP(A239,Щиты[Щит],Щиты[Мест под вводной узел]),""),IF(_xlpm.k="",Столбцов_на_лист,N(_xlpm.k)))</f>
        <v>8</v>
      </c>
      <c r="BM239">
        <f t="shared" si="425"/>
        <v>25</v>
      </c>
      <c r="BN239" t="str">
        <f t="shared" si="426"/>
        <v>линии</v>
      </c>
      <c r="BO239" s="6">
        <f>IFERROR(N(_xlfn.XLOOKUP(BC239,Коды_код,Коды_квт)),0)</f>
        <v>0</v>
      </c>
      <c r="BP239">
        <f t="shared" si="427"/>
        <v>0</v>
      </c>
      <c r="BQ239" t="str">
        <f>IF(B239="","",IF(BH239&lt;&gt;"",IFERROR(_xlfn.XLOOKUP(BH239,Щиты[Щит],Щиты[Руст, кВт]),0),IF(BP239=1,IF(OR(N(_xlfn.XLOOKUP(A239,Щиты[Щит],Щиты[Вводов],1))&lt;=1,LOWER(TRIM(_xlfn.XLOOKUP(A239,Щиты[Щит],Щиты[АВР],"")&amp;""))="да"),IFERROR(_xlfn.XLOOKUP(A239,Щиты[Щит],Щиты[Руст, кВт]),0),SUMIFS(Линии[_Р для вводов],Линии[Щит],A239,Линии[Источник для режимов],GF239)),IF(BO239&gt;0,ROUND(BO239*MAX(1,N(D239)),3),""))))</f>
        <v/>
      </c>
      <c r="BR239">
        <f t="shared" si="428"/>
        <v>0.36</v>
      </c>
      <c r="BS239" s="6">
        <f>IF(B239="","",IF(BH239&lt;&gt;"",IFERROR(_xlfn.XLOOKUP(BH239,Щиты[Щит],Щиты[Руст, кВт]),0),N(BR239)))</f>
        <v>0.36</v>
      </c>
      <c r="BT239" t="str">
        <f>IF(B239="","",IFERROR(IF(VLOOKUP(BC239,Потребители_обозначение,8,FALSE)=0,"",VLOOKUP(BC239,Потребители_обозначение,8,FALSE)),""))</f>
        <v/>
      </c>
      <c r="BU239">
        <f t="shared" si="429"/>
        <v>230</v>
      </c>
      <c r="BV239">
        <f t="shared" si="430"/>
        <v>0</v>
      </c>
      <c r="BW239">
        <f>IF(B239="","",IF(BH239&lt;&gt;"",3,IFERROR(IF(N(VLOOKUP(BC239,Потребители_обозначение,9,FALSE))=0,1,VLOOKUP(BC239,Потребители_обозначение,9,FALSE)),1)))</f>
        <v>1</v>
      </c>
      <c r="BX239">
        <f t="shared" si="431"/>
        <v>1</v>
      </c>
      <c r="BY239" t="str">
        <f>IF(B239="","",_xlfn.LET(_xlpm.bc,IFERROR(IF(VLOOKUP(BC239,Потребители_обозначение,6,FALSE)=0,"",VLOOKUP(BC239,Потребители_обозначение,6,FALSE)&amp;""),""),IF(AND(GA239="да",OR(_xlpm.bc="",_xlpm.bc="мс")),Марка_пож,IF(AND(_xlpm.bc="",BH239&lt;&gt;""),"мс",_xlpm.bc))))</f>
        <v/>
      </c>
      <c r="BZ239" t="str">
        <f t="shared" si="432"/>
        <v>мс</v>
      </c>
      <c r="CA239">
        <f>IF(B239="","",_xlfn.LET(_xlpm.cc,IFERROR(N(VLOOKUP(BC239,Потребители_обозначение,7,FALSE)),0),IF(_xlpm.cc&gt;0,_xlpm.cc,IF(BZ239="","",IF(BV239=1,2,IF(N(BX239)=3,5,3))))))</f>
        <v>3</v>
      </c>
      <c r="CB239">
        <f t="shared" si="433"/>
        <v>3</v>
      </c>
      <c r="CC239">
        <f>IFERROR(N(VLOOKUP(BC239,Потребители_обозначение,10,FALSE)),0)</f>
        <v>0</v>
      </c>
      <c r="CD239">
        <f>IFERROR(VLOOKUP(BC239,Потребители_обозначение,5,FALSE),0)</f>
        <v>1</v>
      </c>
      <c r="CE239" s="6" cm="1">
        <f t="array" ref="CE239">IF(B239="","",IF(BH239&lt;&gt;"",IFERROR(_xlfn.XLOOKUP(BH239,Щиты[Щит],Щиты[cos φ]),0.95),IF(BP239=1,IFERROR(_xlfn.XLOOKUP(A239,Щиты[Щит],Щиты[cos φ]),0.95),IF(ISNUMBER(AD239),AD239,IFERROR(IF(CD239=2,_xlfn.IFS(BX239=3,VLOOKUP(BS239,Справочная_двигатели,8,FALSE),BX239=1,VLOOKUP(BS239,Справочная_двигатели,10,TRUE)),IF(AND(Методика="нормы 2026",FG239="Сил"),0.8,0.95)),0.95)))))</f>
        <v>0.95</v>
      </c>
      <c r="CF239">
        <f t="shared" si="434"/>
        <v>0</v>
      </c>
      <c r="CG239">
        <f t="shared" si="435"/>
        <v>1</v>
      </c>
      <c r="CH239">
        <f t="shared" si="436"/>
        <v>0</v>
      </c>
      <c r="CI239">
        <f>IF(B239="","",IF(BV239=1,IFERROR(BS239/((Uн_лин/SQRT(3))*MAX(0.5,N(CE239))),0),N(O239)))</f>
        <v>1.6408902387494626</v>
      </c>
      <c r="CJ239">
        <f t="shared" si="437"/>
        <v>0</v>
      </c>
      <c r="CK239">
        <f t="shared" si="438"/>
        <v>0</v>
      </c>
      <c r="CL239">
        <f t="shared" si="439"/>
        <v>0</v>
      </c>
      <c r="CM239">
        <f t="shared" si="440"/>
        <v>0</v>
      </c>
      <c r="CN239">
        <f t="shared" si="441"/>
        <v>0</v>
      </c>
      <c r="CO239">
        <f>IF(BC239="",0,_xlfn.LET(_xlpm.v,IFERROR(_xlfn.XLOOKUP(B239,Коды_код,Коды_мА),IFERROR(_xlfn.XLOOKUP(BC239,Коды_код,Коды_мА),IFERROR(_xlfn.XLOOKUP(LEFT(BC239,2),Коды_код,Коды_мА),""))),IF(_xlpm.v="да",30,IF(ISNUMBER(_xlpm.v),_xlpm.v,0))))</f>
        <v>30</v>
      </c>
      <c r="CP239">
        <f t="shared" si="442"/>
        <v>30</v>
      </c>
      <c r="CQ239" t="str">
        <f>_xlfn.LET(_xlpm.k,IFERROR(_xlfn.XLOOKUP(BC239,Коды_код,Коды_утечка)&amp;"",""),IF(_xlpm.k="","дифавтомат",_xlpm.k))</f>
        <v>дифавтомат</v>
      </c>
      <c r="CR239" t="str" cm="1">
        <f t="array" ref="CR239">IF(CG239=0,"",_xlfn.LET(_xlpm.sg,TRIM(_xlfn.TEXTSPLIT(DD239&amp;"",";")),_xlpm.f_,_xlfn._xlws.FILTER(_xlpm.sg,LEFT(_xlpm.sg,3)="УЗО",""),IFERROR(INDEX(_xlpm.f_,1)&amp;"","")))</f>
        <v/>
      </c>
      <c r="CS239" t="str">
        <f t="shared" si="443"/>
        <v/>
      </c>
      <c r="CT239" s="6" t="str" cm="1">
        <f t="array" ref="CT239">IF(CR239="","",_xlfn.LET(_xlpm.tk,_xlfn.TEXTSPLIT(UPPER(CR239)," ",,TRUE),_xlpm.a_,_xlfn._xlws.FILTER(_xlpm.tk,ISNUMBER(--LEFT(_xlpm.tk,1))*((ISNUMBER(SEARCH("А",_xlpm.tk))+ISNUMBER(SEARCH("A",_xlpm.tk)))&gt;0)*NOT(ISNUMBER(SEARCH("МА",_xlpm.tk)))*NOT(ISNUMBER(SEARCH("MA",_xlpm.tk))),""),IFERROR(--SUBSTITUTE(SUBSTITUTE(INDEX(_xlpm.a_,1),"А",""),"A",""),"")))</f>
        <v/>
      </c>
      <c r="CU239" t="str" cm="1">
        <f t="array" ref="CU239">IF(CR239="","",_xlfn.LET(_xlpm.tk,_xlfn.TEXTSPLIT(UPPER(CR239)," ",,TRUE),_xlpm.a_,_xlfn._xlws.FILTER(_xlpm.tk,ISNUMBER(--LEFT(_xlpm.tk,1))*((ISNUMBER(SEARCH("МА",_xlpm.tk))+ISNUMBER(SEARCH("MA",_xlpm.tk)))&gt;0),""),IFERROR(--SUBSTITUTE(SUBSTITUTE(INDEX(_xlpm.a_,1),"МА",""),"MA",""),30)))</f>
        <v/>
      </c>
      <c r="CV239" t="str">
        <f>IF(CS239="","",IFERROR(_xlfn.XLOOKUP(CS239,Линии[_n],Линии[_УЗО, мА]),30))</f>
        <v/>
      </c>
      <c r="CW239">
        <f>IF(CS239="",0,IF(ISNUMBER(SEARCH("4P",IFERROR(_xlfn.XLOOKUP(CS239,Линии[_n],Линии[_УЗО строки])&amp;"",""))),0,1))</f>
        <v>0</v>
      </c>
      <c r="CX239" t="str">
        <f>IF(AND(CS239&lt;&gt;"",CS239=BA239),SUMIFS(Линии[_ток на 230 В],Линии[_блок УЗО],BA239,Линии[Щит],A239),"")</f>
        <v/>
      </c>
      <c r="CY239" t="str">
        <f>IF(AND(CS239&lt;&gt;"",CS239=BA239),SUMIFS(Линии[_ток утечки линии, мА],Линии[_блок УЗО],BA239,Линии[Щит],A239),"")</f>
        <v/>
      </c>
      <c r="CZ239">
        <f t="shared" si="444"/>
        <v>30</v>
      </c>
      <c r="DA239">
        <f t="shared" si="445"/>
        <v>30</v>
      </c>
      <c r="DB239">
        <f>IF(B239="",0,IFERROR(--_xlfn.XLOOKUP(B239,Коды_код,Коды_минавт),IFERROR(--_xlfn.XLOOKUP(BC239,Коды_код,Коды_минавт),IFERROR(--_xlfn.XLOOKUP(LEFT(BC239,2),Коды_код,Коды_минавт),0))))</f>
        <v>16</v>
      </c>
      <c r="DC239" t="str">
        <f>IF(B239="","",IFERROR(_xlfn.XLOOKUP(BC239,Коды_код,Коды_апп)&amp;"",""))</f>
        <v/>
      </c>
      <c r="DD239" t="str">
        <f t="shared" si="446"/>
        <v/>
      </c>
      <c r="DE239" t="str" cm="1">
        <f t="array" ref="DE239">IF(TRIM(DD239&amp;"")="","",IFERROR(TRIM(INDEX(_xlfn.TEXTSPLIT(DD239&amp;";;;",";"),1)),""))</f>
        <v/>
      </c>
      <c r="DF239" t="str" cm="1">
        <f t="array" ref="DF239">IF(TRIM(DD239&amp;"")="","",IFERROR(TRIM(INDEX(_xlfn.TEXTSPLIT(DD239&amp;";;;",";"),2)),""))</f>
        <v/>
      </c>
      <c r="DG239" t="str" cm="1">
        <f t="array" ref="DG239">IF(TRIM(DD239&amp;"")="","",IFERROR(TRIM(INDEX(_xlfn.TEXTSPLIT(DD239&amp;";;;",";"),3)),""))</f>
        <v/>
      </c>
      <c r="DH239">
        <f t="shared" si="447"/>
        <v>0</v>
      </c>
      <c r="DI239" t="str">
        <f>IF(B239="","",_xlfn.LET(_xlpm.t,LOWER(AZ239&amp;""),IF(ISNUMBER(SEARCH("dim",_xlpm.t)),"DIM",IF(ISNUMBER(SEARCH("dali",_xlpm.t)),"DALI",IF(OR(ISNUMBER(SEARCH("relay",_xlpm.t)),ISNUMBER(SEARCH("реле",_xlpm.t))),"Relay",IF(ISNUMBER(SEARCH("кнопк",_xlpm.t)),"",IFERROR(_xlfn.XLOOKUP(BC239,Коды_код,Коды_упр)&amp;"","")))))))</f>
        <v/>
      </c>
      <c r="DJ239" t="str">
        <f t="shared" si="448"/>
        <v/>
      </c>
      <c r="DK239">
        <f>IF(B239="","",_xlfn.LET(_xlpm.ig,IF(N(CX239)&gt;0,N(CX239),N(CI239)+IF(AJ239="вручную",0,N(CJ239))),_xlpm.n0,IFERROR(VLOOKUP(_xlpm.ig,Автомат_номиналы,2,TRUE),0),_xlpm.mn,MAX(DB239,IF(AJ239="вручную",0,N(CM239))),MAX(_xlpm.n0,_xlpm.mn,IF(DH239=1,Мин_автомат_БП,0))))</f>
        <v>16</v>
      </c>
      <c r="DL239">
        <f t="shared" si="449"/>
        <v>1</v>
      </c>
      <c r="DM239" t="str">
        <f t="shared" si="450"/>
        <v>2P</v>
      </c>
      <c r="DN239" t="str">
        <f>_xlfn.LET(_xlpm.cc,UPPER(TRIM(IFERROR(_xlfn.XLOOKUP(BC239,Коды_код,Коды_хар)&amp;"",""))),IF(OR(_xlpm.cc="B",_xlpm.cc="В"),"B",IF(_xlpm.cc="D","D","С")))</f>
        <v>С</v>
      </c>
      <c r="DO239" t="str">
        <f t="shared" si="451"/>
        <v>2P С16А 30мА</v>
      </c>
      <c r="DP239" t="str">
        <f t="shared" si="452"/>
        <v>2P С16А 30мА</v>
      </c>
      <c r="DQ239" t="str">
        <f t="shared" si="453"/>
        <v>2P С16А 30мА</v>
      </c>
      <c r="DR239" cm="1">
        <f t="array" ref="DR239">IF(DQ239="","",_xlfn.LET(_xlpm.t,SUBSTITUTE(SUBSTITUTE(SUBSTITUTE(UPPER(DQ239),"С","C"),"А","A"),"В","B"),_xlpm.tk,_xlfn.TEXTSPLIT(_xlpm.t," "),_xlpm.f,_xlfn._xlws.FILTER(_xlpm.tk,ISNUMBER(--MID(_xlpm.tk,2,1))*ISNUMBER(SEARCH(LEFT(_xlpm.tk,1)&amp;"#","B#C#D#"))*(LEN(_xlpm.tk)&gt;1),""),_xlpm.x,INDEX(_xlpm.f,1),IFERROR(--SUBSTITUTE(MID(_xlpm.x,2,9),"A",""),IFERROR(--SUBSTITUTE(INDEX(_xlfn._xlws.FILTER(_xlpm.tk,ISNUMBER(--SUBSTITUTE(_xlpm.tk,"A","")),""),1),"A",""),""))))</f>
        <v>16</v>
      </c>
      <c r="DS239" t="str">
        <f t="shared" si="454"/>
        <v>ok</v>
      </c>
      <c r="DT239">
        <f t="shared" si="455"/>
        <v>16</v>
      </c>
      <c r="DU239" t="str">
        <f t="shared" si="456"/>
        <v>2P С16А 30мА</v>
      </c>
      <c r="DV239">
        <f t="shared" si="457"/>
        <v>30</v>
      </c>
      <c r="DW239">
        <f t="shared" si="458"/>
        <v>1</v>
      </c>
      <c r="DX239">
        <f t="shared" si="459"/>
        <v>0</v>
      </c>
      <c r="DY239">
        <f t="shared" si="460"/>
        <v>1.6408902387494626</v>
      </c>
      <c r="DZ239">
        <f t="shared" si="461"/>
        <v>1</v>
      </c>
      <c r="EA239">
        <f>IF(ISNUMBER(AP239),AP239,К_прокл)</f>
        <v>1</v>
      </c>
      <c r="EB239">
        <f t="shared" si="462"/>
        <v>2</v>
      </c>
      <c r="EC239">
        <f>IFERROR(N(VLOOKUP(BZ239,Кабель_обозначение,3,FALSE)),1)</f>
        <v>1</v>
      </c>
      <c r="ED239">
        <f>IFERROR(N(_xlfn.XLOOKUP(A239,Щиты[Щит],Щиты[ΔU до шин, %])),0)</f>
        <v>1.19</v>
      </c>
      <c r="EE239" t="str">
        <f>IFERROR(_xlfn.XLOOKUP(A239,Щиты[Щит],Щиты[Zпетли на шинах, Ом]),"")</f>
        <v/>
      </c>
      <c r="EF239">
        <f>IFERROR(N(_xlfn.XLOOKUP(A239,Щиты[Щит],Щиты[ΔU до шин (подбор), %])),0)</f>
        <v>1.19</v>
      </c>
      <c r="EG239" t="str">
        <f>IFERROR(_xlfn.XLOOKUP(A239,Щиты[Щит],Щиты[Zпетли на шинах (подбор), Ом]),"")</f>
        <v/>
      </c>
      <c r="EH239" t="str">
        <f t="shared" si="463"/>
        <v/>
      </c>
      <c r="EI239">
        <f t="shared" si="464"/>
        <v>57</v>
      </c>
      <c r="EJ239">
        <f t="shared" si="465"/>
        <v>2</v>
      </c>
      <c r="EK239">
        <f t="shared" si="466"/>
        <v>0.31</v>
      </c>
      <c r="EL239" s="6">
        <f>IF(B239="","",IF(BV239=1,dU_LED,IF(IFERROR(_xlfn.XLOOKUP(BC239,Коды_код,Коды_уго),"")="Светильник",3,4)+IF(Методика="нормы 2026",MIN(0.5,MAX(0,N(P239)-100)*0.005),0)))</f>
        <v>4</v>
      </c>
      <c r="EM239" cm="1">
        <f t="array" ref="EM239">IF(OR(B239="",BZ239="",EC239&lt;&gt;1),"",_xlfn.LET(_xlpm.sz,Iдоп_S,_xlpm.t_,CHOOSE(EB239,Iдоп_1ж,Iдоп_2ж,Iдоп_3ж)*DZ239*EA239,_xlpm.dcx,BV239=1,_xlpm.inn,IF(_xlpm.dcx,N(O239),N(DT239)),_xlpm.smin,MAX(1.5,CC239),_xlpm.L_,N(P239)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239)/N(BU239)*100,999),IFERROR(N(EJ239)*(_xlpm.rho*_xlpm.L_/_xlpm.sz*N(CE239)+_xlpm.xx*_xlpm.L_*N(EK239)/1000)*N(O239)/((Uн_лин/SQRT(3))*1000)*100,999)),_xlpm.kz,IF(OR(_xlpm.dcx,DW239=1,NOT(ISNUMBER(EG239)),_xlpm.L_=0,_xlpm.inn=0),1,IFERROR(--(c_min*(Uн_лин*1000/SQRT(3))/(EG239+2*ρкз_Cu*_xlpm.L_/_xlpm.sz)&gt;=HT239*_xlpm.inn),0)),_xlpm.ok,IFERROR((_xlpm.sz&gt;=_xlpm.smin)*(_xlpm.t_&gt;=_xlpm.inn)*IF(_xlpm.L_&gt;0,(_xlpm.du_+IF(_xlpm.dcx,0,EF239)&lt;=EL239+0.00001),1)*_xlpm.kz,0),_xlpm.r_,_xlfn._xlws.FILTER(_xlpm.sz,_xlpm.ok,"не подобрано"),INDEX(_xlpm.r_,1)))</f>
        <v>1.5</v>
      </c>
      <c r="EN239">
        <f t="shared" si="467"/>
        <v>2.5</v>
      </c>
      <c r="EO239" cm="1">
        <f t="array" ref="EO239">IF(OR(B239="",BZ239="",EC239&lt;&gt;1),"",_xlfn.LET(_xlpm.sz,Iдоп_S,_xlpm.t_,CHOOSE(EB239,Iдоп_1ж,Iдоп_2ж,Iдоп_3ж)*DZ239*EA239,_xlpm.ok,IFERROR((_xlpm.sz&gt;=MAX(1.5,CC239))*(_xlpm.t_&gt;=N(DT239)),0),_xlpm.r_,_xlfn._xlws.FILTER(_xlpm.sz,_xlpm.ok,""),INDEX(_xlpm.r_,1)))</f>
        <v>1.5</v>
      </c>
      <c r="EP239" s="6" cm="1">
        <f t="array" ref="EP239">IFERROR(ROUNDUP(N(EJ239)*(_xlfn.XLOOKUP(EO239,INDEX(Кабель_сопротивление,0,1),INDEX(Кабель_сопротивление,0,3))*N(P239)/EO239*N(CE239)+_xlfn.XLOOKUP(EO239,INDEX(Кабель_сопротивление,0,1),INDEX(Кабель_сопротивление,0,2))*N(P239)*N(EK239)/1000)*N(O239)/((Uн_лин/SQRT(3))*1000)*100,2),"")</f>
        <v>1.22</v>
      </c>
      <c r="EQ239">
        <f>IFERROR(2*ρкз_Cu*N(P239)/EO239,"")</f>
        <v>2.1040000000000001</v>
      </c>
      <c r="ER239">
        <f>IFERROR(VLOOKUP(EN239,Кабель_сопротивление,3,FALSE),"")</f>
        <v>2.2499999999999999E-2</v>
      </c>
      <c r="ES239">
        <f>IFERROR(VLOOKUP(EN239,Кабель_сопротивление,2,FALSE),"")</f>
        <v>0.1</v>
      </c>
      <c r="ET239">
        <f t="shared" si="468"/>
        <v>25</v>
      </c>
      <c r="EU239">
        <f t="shared" si="469"/>
        <v>7</v>
      </c>
      <c r="EV239">
        <f t="shared" si="470"/>
        <v>1.6896574966450961</v>
      </c>
      <c r="EW239" s="6">
        <f>IFERROR(ROUNDUP(EV239/IF(BV239=1,BU239,(Uн_лин/SQRT(3))*1000)*100,2),"")</f>
        <v>0.74</v>
      </c>
      <c r="EX239" t="str">
        <f>IFERROR(VLOOKUP(BZ239,Кабель_обозначение,2,FALSE),"")</f>
        <v>ВВГнг(А)-LS</v>
      </c>
      <c r="EY239" t="str">
        <f t="shared" si="471"/>
        <v>ВВГнг(А)-LS (3х2,5)</v>
      </c>
      <c r="EZ239" t="str">
        <f t="shared" si="472"/>
        <v>ВВГнг(А)-LS (3х2,5)
L=60-0,74%</v>
      </c>
      <c r="FA239">
        <f>IFERROR(2*ρкз_Cu*P239/EN239,"")</f>
        <v>1.2624</v>
      </c>
      <c r="FB239">
        <f t="shared" si="473"/>
        <v>0.42000000000000004</v>
      </c>
      <c r="FC239" s="6" t="str">
        <f>IFERROR(IF(OR(B239="",BV239=1,NOT(ISNUMBER(EN239)),N(P239)=0),"",_xlfn.XLOOKUP(A239,Щиты[Щит],Щиты[Zпетли на шинах, Ом])+FA239),"")</f>
        <v/>
      </c>
      <c r="FD239" s="6" t="str">
        <f>IF(ISNUMBER(FC239),c_min*(Uн_лин*1000/SQRT(3))/FC239,"")</f>
        <v/>
      </c>
      <c r="FE239" s="6" t="str">
        <f>IFERROR(IF(OR(B239="",NOT(ISNUMBER(EN239))),"",1.05*(Uн_лин*1000/SQRT(3))/(_xlfn.XLOOKUP(A239,Щиты[Щит],Щиты[Zmax на шинах, Ом])+FB239)/1000),"")</f>
        <v/>
      </c>
      <c r="FF239" s="6" t="str">
        <f>IF(B239="","",IF(ISNUMBER(AC239),"Сил",IF(IFERROR(_xlfn.XLOOKUP(BC239,Коды_код,Коды_группа)&amp;"","")="","Быт",_xlfn.XLOOKUP(BC239,Коды_код,Коды_группа)&amp;"")))</f>
        <v>Быт</v>
      </c>
      <c r="FG239" s="6" t="str">
        <f t="shared" si="474"/>
        <v>Быт</v>
      </c>
      <c r="FH239" s="6">
        <f>IF(FG239="Щит","щит",IF(FG239="","",IF(FG239="Быт",IFERROR(_xlfn.XLOOKUP(A239,Щиты[Щит],Щиты[Кс быт]),1),IF(FG239="Сил",IF(ISNUMBER(AC239),AC239,IF(Методика="нормы 2026",IFERROR(_xlfn.XLOOKUP(A239,Щиты[Щит],Щиты[Кс силовых (табл. 7.5)]),1),1)),IF(OR(FG239="Пост",FG239="Отоп"),1,IF(FG239="ВНГ",0.7,0))))))</f>
        <v>0.57830000000000004</v>
      </c>
      <c r="FI239">
        <f>IF(FG239="","",IF(AND(BP239=1,TRIM(AE239&amp;"")=""),IF(COUNTIFS(Линии[Щит],A239,Линии[Секция (1/2/3)],"&gt;=2")&gt;0,MIN(3,MAX(1,IFERROR(--BD239,1))),1),IFERROR(MIN(3,MAX(1,INT(--AE239))),1)))</f>
        <v>1</v>
      </c>
      <c r="FJ239">
        <f t="shared" si="475"/>
        <v>0.36</v>
      </c>
      <c r="FK239">
        <f t="shared" si="476"/>
        <v>0.36</v>
      </c>
      <c r="FL239">
        <f t="shared" si="477"/>
        <v>0</v>
      </c>
      <c r="FM239">
        <f t="shared" si="478"/>
        <v>0</v>
      </c>
      <c r="FN239">
        <f t="shared" si="479"/>
        <v>0</v>
      </c>
      <c r="FO239">
        <f t="shared" si="480"/>
        <v>0</v>
      </c>
      <c r="FP239">
        <f t="shared" si="481"/>
        <v>0.36</v>
      </c>
      <c r="FQ239">
        <f t="shared" si="482"/>
        <v>0.36</v>
      </c>
      <c r="FR239">
        <f t="shared" si="483"/>
        <v>0.34199999999999997</v>
      </c>
      <c r="FS239">
        <f>IF(CG239=1,IF(AND(CH239=1,CW239=1),0,IF(AND(CS239&lt;&gt;"",CS239=BA239,CW239=1),SUMIFS(Линии[_Р линии, кВт],Линии[_блок УЗО],BA239,Линии[Щит],A239),N(BS239)+IF(AJ239="вручную",0,N(CK239)))),0)</f>
        <v>0.36</v>
      </c>
      <c r="FT239" t="str">
        <f t="shared" si="484"/>
        <v/>
      </c>
      <c r="FU239" t="str">
        <f>IF(B239="","",IF(CG239=0,IF(BA239=1,"",FW238),IF(AND(CH239=1,CW239=1,CS239&lt;&gt;""),IFERROR(_xlfn.XLOOKUP(CS239,Линии[_n],Линии[_фаза итог]),"L1"),IF(OR(N(DL239)&gt;=3,N(BX239)&gt;=3),"L1,L2,L3",IFERROR(_xlfn.TEXTBEFORE(_xlfn.TEXTAFTER(_xlfn.XLOOKUP(A239,Щиты[Щит],Щиты[_фазы авто]),";"&amp;BA239&amp;":"),";"),"L1")))))</f>
        <v>L2</v>
      </c>
      <c r="FV239" t="str">
        <f t="shared" si="485"/>
        <v>L2</v>
      </c>
      <c r="FW239" t="str">
        <f t="shared" si="486"/>
        <v>L2</v>
      </c>
      <c r="FX239" cm="1">
        <f t="array" ref="FX239">IFERROR(IF(CD239=2,_xlfn.IFS(BX239=3,VLOOKUP(BS239,Справочная_двигатели,3,FALSE),BX239=1,VLOOKUP(BS239,Справочная_двигатели,5,TRUE)),0),0)</f>
        <v>0</v>
      </c>
      <c r="FY239">
        <f>IFERROR(IF(CD239=3,VLOOKUP(BS239,Справочная_ЛЭД,2,TRUE),0),0)</f>
        <v>0</v>
      </c>
      <c r="FZ239" s="6">
        <f t="shared" si="487"/>
        <v>0</v>
      </c>
      <c r="GA239" t="str">
        <f>IF(B239="","",IF(TRIM(AH239&amp;"")&lt;&gt;"",IF(LOWER(TRIM(AH239&amp;""))="да","да","нет"),IF(IFERROR(_xlfn.XLOOKUP(BC239,Коды_код,Коды_пожарная),"")="да","да","нет")))</f>
        <v>нет</v>
      </c>
      <c r="GB239" t="str">
        <f t="shared" si="488"/>
        <v/>
      </c>
      <c r="GC239" t="str">
        <f t="shared" si="489"/>
        <v>основная</v>
      </c>
      <c r="GD239">
        <f>IF(AND(BP239=1,TRIM(AE239&amp;"")=""),IF(COUNTIFS(Линии[Щит],A239,Линии[Секция (1/2/3)],"&gt;=2")&gt;0,MIN(3,MAX(1,IFERROR(--BD239,1))),1),IFERROR(MIN(3,MAX(1,INT(--AE239))),1))</f>
        <v>1</v>
      </c>
      <c r="GE239" t="str" cm="1">
        <f t="array" ref="GE239">IF(B239="","",_xlfn.LET(_xlpm.t,IFERROR(_xlfn.XLOOKUP(1,(Шины[Шина]=GC239)*(((Шины[Щит]=A239)+(Шины[Щит]=""))&gt;0),Шины[Тип]),"")&amp;"",IF(_xlpm.t&lt;&gt;"",_xlpm.t,IF(ISNUMBER(SEARCH("ИБП",GC239)),"ИБП",IF(ISNUMBER(SEARCH("ДГУ",GC239)),"ДГУ","Ввод "&amp;GD239)))))</f>
        <v>Ввод 1</v>
      </c>
      <c r="GF239" t="str">
        <f t="shared" si="490"/>
        <v>Ввод 1</v>
      </c>
      <c r="GG239" t="str">
        <f>IF(BP239=0,"",IF(TRIM(AG239&amp;"")&lt;&gt;"",TRIM(AG239&amp;""),IF(OR(GE239="ИБП",GE239="ДГУ"),"I особая",_xlfn.XLOOKUP(A239,Щиты[Щит],Щиты[Категория шины «Ввод»],"III"))))</f>
        <v/>
      </c>
      <c r="GH239" t="str">
        <f>IF(A239="","",_xlfn.XLOOKUP(A239,Щиты[Щит],Щиты[Путь],""))</f>
        <v>|ГРЩ-ЖД|ЩР-1|</v>
      </c>
      <c r="GI239" t="str">
        <f>IF(B239="","",IF(AI239&lt;&gt;"",AI239,IF(IFERROR(_xlfn.XLOOKUP(BC239,Коды_код,Коды_вид)&amp;"","")="","Прочее",_xlfn.XLOOKUP(BC239,Коды_код,Коды_вид)&amp;"")))</f>
        <v>Розеточная сеть и бытовые приборы</v>
      </c>
      <c r="GJ239">
        <f>IF(BM239="","",INT((BM239-1)/Столбцов_на_лист)+1)</f>
        <v>2</v>
      </c>
      <c r="GK239" t="str">
        <f t="shared" si="491"/>
        <v>ВВГнг(А)-LS (3х2,5) L=60-0,74%</v>
      </c>
      <c r="GL239">
        <f t="shared" si="492"/>
        <v>0.36</v>
      </c>
      <c r="GM239">
        <f t="shared" si="493"/>
        <v>1.65</v>
      </c>
      <c r="GN239">
        <f t="shared" si="494"/>
        <v>1</v>
      </c>
      <c r="GO239">
        <f t="shared" si="495"/>
        <v>0</v>
      </c>
      <c r="GP239">
        <f t="shared" si="496"/>
        <v>1</v>
      </c>
      <c r="GQ239">
        <f>IF(BM239="","",IF(AND(CG239=1,GP239=1),COUNTIFS(A$3:A239,A239,CG$3:CG239,1,GP$3:GP239,1),IF(OR(OR(BA239=1,A239&lt;&gt;A238),AJ239="вручную",GP239=0),"",IF(BA239=1,"",GR238))))</f>
        <v>15</v>
      </c>
      <c r="GR239">
        <f t="shared" si="497"/>
        <v>15</v>
      </c>
      <c r="GS239">
        <f>IF(B239="","",IFERROR(LOOKUP(INDEX(CHOOSE(EB239,Iдоп_1ж,Iдоп_2ж,Iдоп_3ж),MATCH(EN239,Iдоп_S,0))*DZ239*EA239,{6,10,16,20,25,32,40,50,63,80,100,125,160,200,250,315,400,500,630}),""))</f>
        <v>25</v>
      </c>
      <c r="GT239" t="str">
        <f t="shared" si="498"/>
        <v>QFD15</v>
      </c>
      <c r="GU239" t="str">
        <f t="shared" si="499"/>
        <v>QFD15</v>
      </c>
      <c r="GV239" t="str">
        <f t="shared" si="500"/>
        <v/>
      </c>
      <c r="GW239">
        <f t="shared" si="501"/>
        <v>0</v>
      </c>
      <c r="GX239" t="str">
        <f>IF(OR(B239="",DJ239=""),"",IFERROR(_xlfn.XLOOKUP(DJ239,Модули_умолч[Управление],Модули_умолч[Модель])&amp;"",""))</f>
        <v/>
      </c>
      <c r="GY239">
        <f>IF(DJ239="",1,IFERROR(MAX(0,N(_xlfn.XLOOKUP(DJ239,Модули_умолч[Управление],Модули_умолч[Каналов на линию]))),1))</f>
        <v>1</v>
      </c>
      <c r="GZ239" t="str">
        <f t="shared" si="502"/>
        <v/>
      </c>
      <c r="HA239" t="str">
        <f t="shared" si="503"/>
        <v/>
      </c>
      <c r="HB239" t="str">
        <f t="shared" si="504"/>
        <v/>
      </c>
      <c r="HC239">
        <f>IF(HB239="",0,IFERROR(N(VLOOKUP(HB239,Модули_спр,3,FALSE)),0))</f>
        <v>0</v>
      </c>
      <c r="HD239" t="str">
        <f t="shared" si="505"/>
        <v/>
      </c>
      <c r="HE239" t="str">
        <f t="shared" si="506"/>
        <v/>
      </c>
      <c r="HF239" t="str">
        <f>IF(OR(HE239="",HE239="-"),"",IFERROR(VLOOKUP(HE239,Модули_спр,2,FALSE),"R"))</f>
        <v/>
      </c>
      <c r="HG239" t="str">
        <f>IF(HF239="","",HF239&amp;"."&amp;COUNTIFS(A$3:A239,A239,HF$3:HF239,HF239))</f>
        <v/>
      </c>
      <c r="HH239" t="str">
        <f t="shared" si="507"/>
        <v/>
      </c>
      <c r="HI239" t="str">
        <f t="shared" si="508"/>
        <v/>
      </c>
      <c r="HJ239" t="str">
        <f t="shared" si="509"/>
        <v/>
      </c>
      <c r="HK239" t="str">
        <f t="shared" si="510"/>
        <v/>
      </c>
      <c r="HL239">
        <f t="shared" si="511"/>
        <v>1</v>
      </c>
      <c r="HM239" t="str">
        <f>IF(HL239=1,"XT"&amp;COUNTIFS(A$3:A239,A239,HL$3:HL239,1),"")</f>
        <v>XT15</v>
      </c>
      <c r="HN239" t="str">
        <f t="shared" si="512"/>
        <v/>
      </c>
      <c r="HO239" t="str">
        <f t="shared" si="513"/>
        <v>QFD15</v>
      </c>
      <c r="HP239" t="str">
        <f t="shared" si="514"/>
        <v/>
      </c>
      <c r="HQ239" t="str">
        <f t="shared" si="515"/>
        <v>ok</v>
      </c>
      <c r="HR239" t="str">
        <f>IF(OR(HJ239="",HH239=""),"",IF(HJ239+MAX(0,GY239-1)&gt;IFERROR(VLOOKUP(HI239,Модули_спр,3,FALSE),99),"ЛИШНИЙ КАНАЛ",IF(AND(AL239&lt;&gt;"=",GY239&gt;0,COUNTIFS(Линии[_модуль гр.],HH239,Линии[Канал (итог)],HJ239,Линии[Канал],"&lt;&gt;=",Линии[Щит],A239)&gt;1),"ДУБЛЬ КАНАЛА","")))</f>
        <v/>
      </c>
      <c r="HS239" s="6" t="str">
        <f t="shared" si="516"/>
        <v/>
      </c>
      <c r="HT239">
        <f t="shared" si="517"/>
        <v>10</v>
      </c>
      <c r="HU239" t="str">
        <f t="shared" si="518"/>
        <v/>
      </c>
      <c r="HV239">
        <f t="shared" si="519"/>
        <v>1.2563560954997852</v>
      </c>
      <c r="HW239">
        <f t="shared" si="520"/>
        <v>0</v>
      </c>
      <c r="HX239">
        <f t="shared" si="521"/>
        <v>0</v>
      </c>
      <c r="HY239">
        <f t="shared" si="522"/>
        <v>0</v>
      </c>
      <c r="HZ239">
        <f t="shared" si="523"/>
        <v>0</v>
      </c>
      <c r="IA239">
        <f t="shared" si="524"/>
        <v>0</v>
      </c>
      <c r="IB239">
        <f t="shared" si="525"/>
        <v>0</v>
      </c>
      <c r="IC239" t="str">
        <f t="shared" si="526"/>
        <v/>
      </c>
      <c r="ID239" t="str" cm="1">
        <f t="array" ref="ID239">IF(IC239="","",_xlfn.LET(_xlpm.tk,_xlfn.TEXTSPLIT(SUBSTITUTE(SUBSTITUTE(IC239,";"," "),"→"," ")," ",,TRUE),_xlpm.w_,_xlfn._xlws.FILTER(_xlpm.tk,ISNUMBER(--LEFT(_xlpm.tk,1))*((ISNUMBER(SEARCH("W",_xlpm.tk))+ISNUMBER(SEARCH("Вт",_xlpm.tk)))&gt;0),""),IFERROR(--SUBSTITUTE(SUBSTITUTE(UPPER(INDEX(_xlpm.w_,1)),"W",""),"ВТ",""),"")))</f>
        <v/>
      </c>
      <c r="IE239" t="str" cm="1">
        <f t="array" ref="IE239">IF(IC239="","",_xlfn.LET(_xlpm.tk,_xlfn.TEXTSPLIT(SUBSTITUTE(SUBSTITUTE(IC239,";"," "),"→"," ")," ",,TRUE),_xlpm.v_,_xlfn._xlws.FILTER(_xlpm.tk,ISNUMBER(--LEFT(_xlpm.tk,1))*((ISNUMBER(SEARCH("V",_xlpm.tk))+(RIGHT(UPPER(_xlpm.tk))="В"))&gt;0),""),IFERROR(--SUBSTITUTE(SUBSTITUTE(UPPER(INDEX(_xlpm.v_,1)),"V",""),"В",""),"")))</f>
        <v/>
      </c>
      <c r="IF239" s="6" t="str">
        <f>IF(OR(BV239=0,HI239="",HJ239=""),"",IFERROR(N(_xlfn.XLOOKUP(HI239,Каталог!$C$4:$C$500,Каталог!$Q$4:$Q$500)),""))</f>
        <v/>
      </c>
      <c r="IG239" s="6" t="str">
        <f>IF(N(IF239)=0,"",SUMIFS(Линии[Iр, А],Линии[Щит],A239,Линии[_модуль гр.],HH239,Линии[Канал (итог)],HJ239))</f>
        <v/>
      </c>
      <c r="IH239" t="str">
        <f>IF(AND(B239="",HO239=""),"",_xlfn.TEXTJOIN("; ",TRUE,IF(AND(B239&lt;&gt;"",FV239=""),"нет фазы",""),IF(AND(B239&lt;&gt;"",N(GL239)=0,FG239&lt;&gt;"Нет"),"нет мощности",""),IF(AND(HN239&lt;&gt;"",COUNTIFS(Линии[Щит],A239,Линии[Клемма (итог)],HN239)&gt;1),"дубль клеммы "&amp;HN239,""),IF(AND(HQ239&lt;&gt;"",HQ239&lt;&gt;"ok"),HQ239,""),IF(HR239&lt;&gt;"",HR239,""),IF(AND(N(CB239)&gt;=4,N(BX239)=1),CB239&amp;" жил на 1 фазе",""),IF(AND(BC239="R",CG239=1,IF(CS239&lt;&gt;"",N(CV239)&gt;30,OR(N(DA239)=0,N(DA239)&gt;30))),"розетка без дифзащиты до 30 мА",""),IF(AND(CG239=1,N(DA239)&gt;0,ISNUMBER(T239)),IF(T239&gt;N(DA239)/3,"ток утечки "&amp;FIXED(T239,1)&amp;" мА &gt; 1/3 уставки ("&amp;DA239&amp;" мА)",""),""),IF(AND(CH239=1,CS239=""),"«узо»: нет строки с УЗО выше (УЗО 2P 40А 30мА в «Аппаратах»)",""),IF(AND(CS239&lt;&gt;"",CS239=BA239),IF(CT239="","впишите номинал УЗО (УЗО 2P 40А 30мА)",IF(N(CT239)&lt;N(DT239),"УЗО "&amp;CT239&amp;" А &lt; автомата "&amp;DT239&amp;" А перед ним",IF(N(CT239)&lt;N(CX239),"УЗО "&amp;CT239&amp;" А &lt; тока блока "&amp;FIXED(CX239,1)&amp;" А",""))),""),IF(AND(CS239&lt;&gt;"",CS239=BA239,ISNUMBER(CY239)),IF(CY239&gt;N(CV239)/3,"ток утечки блока УЗО "&amp;FIXED(CY239,1)&amp;" мА &gt; 1/3 уставки ("&amp;CV239&amp;" мА)",""),""),IF(AND(CG239=1,N(BV239)+N(IB239)&gt;0,IC239=""),"линии до 50 В без БП: впишите в «Аппараты» (БП 24V 480W)",""),IF(AND(CG239=1,ISNUMBER(ID239),ISNUMBER(U239)),IF(U239&gt;ID239,"БП "&amp;ID239&amp;" Вт &lt; нужно "&amp;U239&amp;" Вт (×"&amp;Запас_БП&amp;")",""),""),IF(AND(CG239=1,ISNUMBER(IE239),N(BV239)=1),IF(IE239&lt;&gt;N(BU239),"БП на "&amp;IE239&amp;" В, линия "&amp;BU239&amp;" В",""),""),IF(AND(N(IF239)&gt;0,N(IG239)&gt;N(IF239)),HH239&amp;" канал "&amp;HJ239&amp;": "&amp;FIXED(IG239,1)&amp;" А &gt; "&amp;IF239&amp;" А",""),IFERROR(IF(AND(ISNUMBER(Q239),Q239&gt;EL239),"потери "&amp;FIXED(Q239,1)&amp;" % &gt; "&amp;EL239&amp;" %",""),""),IFERROR(IF(LEFT(HU239,4)="мало","Iкз мало — отключение &gt; 0,4 с",""),""),IF(AND(B239&lt;&gt;"",BM239=""),"не на схеме",""),IF(AND(CG239=0,B239&lt;&gt;"",FV239&lt;&gt;"",IF(BA239=1,"",FW238)&lt;&gt;"",FV239&lt;&gt;IF(BA239=1,"",FW238)),"фаза не как у автомата группы ("&amp;IF(BA239=1,"",FW238)&amp;")","")))</f>
        <v/>
      </c>
      <c r="II239" s="6">
        <f>IF(OR(CG239=0,DQ239=""),"",_xlfn.LET(_xlpm.t,IFERROR(_xlfn.XLOOKUP(DQ239,Каталог!$U$4:$U$500,Каталог!$G$4:$G$500),""),_xlpm.k,SEARCH("кА",_xlpm.t),IFERROR(--TRIM(RIGHT(SUBSTITUTE(MID(_xlpm.t,MAX(1,_xlpm.k-4),_xlpm.k-MAX(1,_xlpm.k-4))," ",REPT(" ",9)),5)),"")))</f>
        <v>6</v>
      </c>
      <c r="IJ239" t="str">
        <f>IF(OR(II239="",CG239=0),"",IF(_xlfn.XLOOKUP(A239,Щиты[Щит],Щиты[Iкз max на шинах, кА],"")="","",IF(II239&lt;_xlfn.XLOOKUP(A239,Щиты[Щит],Щиты[Iкз max на шинах, кА]),"Icu "&amp;II239&amp;" кА &lt; Iкз max","ok")))</f>
        <v/>
      </c>
      <c r="IK239" t="str">
        <f t="shared" si="527"/>
        <v/>
      </c>
      <c r="IL239" t="str">
        <f t="shared" si="528"/>
        <v>QFD15</v>
      </c>
      <c r="IM239" t="str">
        <f t="shared" si="529"/>
        <v>QFD15|кабель ВВГнг(А)-LS (3х2,5) → Розеточная группа, пом. 003A</v>
      </c>
      <c r="IN239" t="str" cm="1">
        <f t="array" ref="IN239">IF(IM239="","",_xlfn.LET(_xlpm.nd,_xlfn.TEXTSPLIT(IM239,"|"),IF(COLUMNS(_xlpm.nd)&gt;1,A239&amp;"¦"&amp;INDEX(_xlpm.nd,1)&amp;"¦"&amp;INDEX(_xlpm.nd,2),"")))</f>
        <v>ЩР-1¦QFD15¦кабель ВВГнг(А)-LS (3х2,5) → Розеточная группа, пом. 003A</v>
      </c>
      <c r="IO239" t="str">
        <f t="shared" si="530"/>
        <v>R.1.003A.1¦Розеточная группа, пом. 003A</v>
      </c>
      <c r="IP239" t="str" cm="1">
        <f t="array" ref="IP239">IF(IM239="","",_xlfn.LET(_xlpm.nd,_xlfn.TEXTSPLIT(IM239,"|"),IF(COLUMNS(_xlpm.nd)&gt;2,A239&amp;"¦"&amp;INDEX(_xlpm.nd,2)&amp;"¦"&amp;INDEX(_xlpm.nd,3),"")))</f>
        <v/>
      </c>
      <c r="IQ239" t="str">
        <f t="shared" si="531"/>
        <v/>
      </c>
      <c r="IR239" t="str" cm="1">
        <f t="array" ref="IR239">IF(IM239="","",_xlfn.LET(_xlpm.nd,_xlfn.TEXTSPLIT(IM239,"|"),IF(COLUMNS(_xlpm.nd)&gt;3,A239&amp;"¦"&amp;INDEX(_xlpm.nd,3)&amp;"¦"&amp;INDEX(_xlpm.nd,4),"")))</f>
        <v/>
      </c>
      <c r="IS239" t="str">
        <f t="shared" si="532"/>
        <v/>
      </c>
      <c r="IT239" t="str" cm="1">
        <f t="array" ref="IT239">IF(IM239="","",_xlfn.LET(_xlpm.nd,_xlfn.TEXTSPLIT(IM239,"|"),IF(COLUMNS(_xlpm.nd)&gt;4,A239&amp;"¦"&amp;INDEX(_xlpm.nd,4)&amp;"¦"&amp;INDEX(_xlpm.nd,5),"")))</f>
        <v/>
      </c>
      <c r="IU239" t="str">
        <f t="shared" si="533"/>
        <v/>
      </c>
      <c r="IV239" t="str" cm="1">
        <f t="array" ref="IV239">IF(IM239="","",_xlfn.LET(_xlpm.nd,_xlfn.TEXTSPLIT(IM239,"|"),IF(COLUMNS(_xlpm.nd)&gt;5,A239&amp;"¦"&amp;INDEX(_xlpm.nd,5)&amp;"¦"&amp;INDEX(_xlpm.nd,6),"")))</f>
        <v/>
      </c>
      <c r="IW239" t="str">
        <f t="shared" si="534"/>
        <v/>
      </c>
      <c r="IX239" t="str" cm="1">
        <f t="array" ref="IX239">IF(IM239="","",_xlfn.LET(_xlpm.nd,_xlfn.TEXTSPLIT(IM239,"|"),IF(COLUMNS(_xlpm.nd)&gt;6,A239&amp;"¦"&amp;INDEX(_xlpm.nd,6)&amp;"¦"&amp;INDEX(_xlpm.nd,7),"")))</f>
        <v/>
      </c>
      <c r="IY239" t="str">
        <f t="shared" si="535"/>
        <v/>
      </c>
      <c r="IZ239" t="str">
        <f t="shared" si="536"/>
        <v/>
      </c>
      <c r="JA239" t="str">
        <f t="shared" si="537"/>
        <v>QFD15</v>
      </c>
      <c r="JB239">
        <f t="shared" si="538"/>
        <v>0</v>
      </c>
      <c r="JC239">
        <f t="shared" si="539"/>
        <v>1</v>
      </c>
      <c r="JD239" t="str">
        <f t="shared" si="540"/>
        <v/>
      </c>
      <c r="JE239" t="str">
        <f t="shared" si="541"/>
        <v/>
      </c>
      <c r="JF239" t="str">
        <f t="shared" si="542"/>
        <v/>
      </c>
      <c r="JG239" t="str">
        <f t="shared" si="543"/>
        <v/>
      </c>
      <c r="JH239" t="str">
        <f>IF(B239="","",IFERROR(_xlfn.XLOOKUP(B239,Коды_код,Коды_уго),IFERROR(_xlfn.XLOOKUP(BC239,Коды_код,Коды_уго),IFERROR(_xlfn.XLOOKUP(LEFT(BC239,2),Коды_код,Коды_уго),""))))</f>
        <v>Розетка</v>
      </c>
      <c r="JI239" t="str">
        <f>IF(B239="","",IF(OR(JH239="",JH239=0),"BOX",IFERROR(IF(VLOOKUP(JH239,УГО_блоки,3,FALSE)&amp;""&lt;&gt;"",VLOOKUP(JH239,УГО_блоки,3,FALSE),VLOOKUP(JH239,УГО_блоки,2,FALSE)),JH239)))</f>
        <v>SOCKET</v>
      </c>
      <c r="JJ239">
        <f t="shared" si="544"/>
        <v>1</v>
      </c>
      <c r="JK239" t="str">
        <f>IF(DQ239="","",IF(COUNTIF(DQ$3:DQ239,DQ239)=1,MAX(JK$2:JK238)+1,""))</f>
        <v/>
      </c>
      <c r="JL239" t="str">
        <f>IF(DE239="","",IF(COUNTIF(DE$3:DE239,DE239)+COUNTIF(DF$2:DF238,DE239)+COUNTIF(DG$2:DG238,DE239)=1,MAX(JL$2:JN238)+1,""))</f>
        <v/>
      </c>
      <c r="JM239" t="str">
        <f>IF(DF239="","",IF(COUNTIF(DE$3:DE239,DF239)+COUNTIF(DF$3:DF239,DF239)+COUNTIF(DG$2:DG238,DF239)=1,MAX(JL$2:JN238,JL239)+1,""))</f>
        <v/>
      </c>
      <c r="JN239" t="str">
        <f>IF(DG239="","",IF(COUNTIF(DE$3:DE239,DG239)+COUNTIF(DF$3:DF239,DG239)+COUNTIF(DG$3:DG239,DG239)=1,MAX(JL$2:JN238,JL239,JM239)+1,""))</f>
        <v/>
      </c>
      <c r="JO239" t="str">
        <f t="shared" si="545"/>
        <v>3х2,5</v>
      </c>
      <c r="JP239" t="str">
        <f>IF(JO239="","",IF(COUNTIF(JO$3:JO239,JO239)=1,MAX(JP$2:JP238)+1,""))</f>
        <v/>
      </c>
      <c r="JQ239" t="str">
        <f>IF(HG239="","",COUNTIF(HG$3:HG239,"?*"))</f>
        <v/>
      </c>
      <c r="JR239" t="str">
        <f>IF(OR(HG239="",HI239=""),"",IF(COUNTIFS(HG$3:HG239,"?*",HI$3:HI239,HI239)=1,MAX(JR$2:JR238)+1,""))</f>
        <v/>
      </c>
      <c r="JS239">
        <f t="shared" si="546"/>
        <v>0</v>
      </c>
      <c r="JT239">
        <f>IF(B239="","",COUNTIF(B$3:B239,"?*"))</f>
        <v>237</v>
      </c>
      <c r="JU239">
        <f>IF(HL239&lt;&gt;1,0,_xlfn.LET(_xlpm.k,MAX(IFERROR(--_xlfn.XLOOKUP(B239,Коды_код,Коды_3L),0),IFERROR(--_xlfn.XLOOKUP(BC239,Коды_код,Коды_3L),0),IFERROR(--_xlfn.XLOOKUP(LEFT(BC239,2),Коды_код,Коды_3L),0)),IF(_xlpm.k&gt;0,_xlpm.k,IF(IFERROR(--LEFT(SUBSTITUTE(JO239,"x","х"),FIND("х",SUBSTITUTE(JO239,"x","х"))-1),3)&gt;3,Каталог!$S$9,1))))</f>
        <v>1</v>
      </c>
      <c r="JV239">
        <f t="shared" si="547"/>
        <v>0</v>
      </c>
      <c r="JW239" t="str">
        <f t="shared" si="548"/>
        <v>авто</v>
      </c>
      <c r="JX239">
        <f t="shared" si="549"/>
        <v>30</v>
      </c>
      <c r="JY239">
        <f t="shared" si="550"/>
        <v>1</v>
      </c>
      <c r="JZ239">
        <f t="shared" si="551"/>
        <v>1</v>
      </c>
    </row>
    <row r="240" spans="1:286" x14ac:dyDescent="0.3">
      <c r="A240" t="s">
        <v>757</v>
      </c>
      <c r="B240" t="s">
        <v>1546</v>
      </c>
      <c r="C240" t="str">
        <f>Линии[[#This Row],[_авто наименование]]</f>
        <v>Розеточная группа, пом. 003A</v>
      </c>
      <c r="D240">
        <v>3</v>
      </c>
      <c r="E240">
        <v>0.3</v>
      </c>
      <c r="G240" t="str">
        <f>Линии[[#This Row],[_авто автомат]]</f>
        <v>2P С16А 30мА</v>
      </c>
      <c r="H240" t="str">
        <f>Линии[[#This Row],[_авто управление]]</f>
        <v/>
      </c>
      <c r="I240" t="str">
        <f>Линии[[#This Row],[_авто аппараты]]</f>
        <v/>
      </c>
      <c r="J240">
        <v>2.5</v>
      </c>
      <c r="K240">
        <v>60</v>
      </c>
      <c r="L240" t="str">
        <f>Линии[[#This Row],[_авто фаза]]</f>
        <v>L3</v>
      </c>
      <c r="M240" t="s">
        <v>484</v>
      </c>
      <c r="N240" t="str">
        <f t="shared" si="414"/>
        <v/>
      </c>
      <c r="O240" s="6" cm="1">
        <f t="array" ref="O240">IF(B240="","",IF(BH240&lt;&gt;"",IFERROR(_xlfn.XLOOKUP(BH240,Щиты[Щит],Щиты[Iр, А]),""),IF(BP240=1,IF(OR(N(_xlfn.XLOOKUP(A240,Щиты[Щит],Щиты[Вводов],1))&lt;=1,LOWER(TRIM(_xlfn.XLOOKUP(A240,Щиты[Щит],Щиты[АВР],"")&amp;""))="да"),IFERROR(_xlfn.XLOOKUP(A240,Щиты[Щит],Щиты[Iр, А]),""),IFERROR(N(BS240)*_xlfn.XLOOKUP(A240,Щиты[Щит],Щиты[Кс итог])/(SQRT(3)*Uн_лин*_xlfn.XLOOKUP(A240,Щиты[Щит],Щиты[cos φ])),"")),IF(BV240=1,IFERROR(BS240*1000/BU240,""),IFERROR(_xlfn.IFS(BX240=1,BS240/((Uн_лин/SQRT(3))*CE240),BX240=3,BS240/(SQRT(3)*Uн_лин*CE240)),"")))))</f>
        <v>1.3674085322912188</v>
      </c>
      <c r="P240" s="7">
        <f>IF(B240="","",IFERROR(IF(VLOOKUP(BC240,Потребители_обозначение,4,FALSE)=1,VLOOKUP(BC240,Потребители_обозначение,3,FALSE)*(MAX(1,N(D240))*2-1)+EI240+VLOOKUP(BE240,Этаж_обозначение,3,FALSE)+VLOOKUP(BE240,Этаж_обозначение,4,FALSE),VLOOKUP(BC240,Потребители_обозначение,3,FALSE)*(MAX(1,N(D240))*2-1)+EI240),EI240))</f>
        <v>75</v>
      </c>
      <c r="Q240" s="6">
        <f t="shared" si="415"/>
        <v>1.96</v>
      </c>
      <c r="R240" t="str">
        <f t="shared" si="416"/>
        <v>ВВГнг(А)-LS (3х2,5)</v>
      </c>
      <c r="S240" t="str">
        <f>IF(BM240="","",IF(BN240="вводной узел","узел ","")&amp;"л."&amp;(INT((BM240-1)/Столбцов_на_лист)+1)&amp;" / "&amp;(MOD(BM240-1,Столбцов_на_лист)+1))</f>
        <v>л.2 / 9</v>
      </c>
      <c r="T240" s="119">
        <f t="shared" si="417"/>
        <v>1.3</v>
      </c>
      <c r="U240" s="7" t="str">
        <f>IF(OR(CG240=0,N(BV240)+N(IB240)=0),"",ROUNDUP(Запас_БП*(N(HY240)+N(HZ240)),0))</f>
        <v/>
      </c>
      <c r="V240" s="119" t="str">
        <f t="shared" si="418"/>
        <v/>
      </c>
      <c r="W240" s="7" t="str">
        <f>IFERROR(IF(OR(B240="",BP240=1,BV240=1,NOT(ISNUMBER(EN240)),N(DT240)=0),"",MAX(0,ROUNDDOWN((c_min*(Uн_лин*1000/SQRT(3))/(HT240*N(DT240))-_xlfn.XLOOKUP(A240,Щиты[Щит],Щиты[Zпетли на шинах, Ом]))*EN240/(2*ρкз_Cu),0))),"")</f>
        <v/>
      </c>
      <c r="Y240">
        <f>Линии[[#This Row],[_авто утечка]]</f>
        <v>30</v>
      </c>
      <c r="Z240">
        <v>1</v>
      </c>
      <c r="AA240">
        <v>230</v>
      </c>
      <c r="AB240" t="s">
        <v>562</v>
      </c>
      <c r="AG240" t="s">
        <v>810</v>
      </c>
      <c r="AI240" t="s">
        <v>561</v>
      </c>
      <c r="AK240" t="str">
        <f>Линии[[#This Row],[_авто модуль]]</f>
        <v/>
      </c>
      <c r="AM240">
        <v>26</v>
      </c>
      <c r="AN240" t="s">
        <v>11</v>
      </c>
      <c r="AO240">
        <v>3</v>
      </c>
      <c r="AQ240">
        <v>28</v>
      </c>
      <c r="AR240">
        <v>42</v>
      </c>
      <c r="AS240">
        <v>5</v>
      </c>
      <c r="BA240" cm="1">
        <f t="array" ref="BA240">ROW()-ROW(Линии[#Headers])</f>
        <v>238</v>
      </c>
      <c r="BC240" s="6" t="str">
        <f t="shared" si="419"/>
        <v>R</v>
      </c>
      <c r="BD240" t="str">
        <f t="shared" si="420"/>
        <v>1.003A.2</v>
      </c>
      <c r="BE240" t="str">
        <f t="shared" si="421"/>
        <v>1</v>
      </c>
      <c r="BF240" t="str">
        <f t="shared" si="422"/>
        <v>003A.2</v>
      </c>
      <c r="BG240" t="str">
        <f t="shared" si="423"/>
        <v>003A</v>
      </c>
      <c r="BH240" t="str">
        <f>IF(X240&lt;&gt;"",X240,IF(AND(B240&lt;&gt;"",B240&lt;&gt;A240,ISNUMBER(_xlfn.XMATCH(B240,Щиты[Щит]))),B240,""))</f>
        <v/>
      </c>
      <c r="BI240" t="str" cm="1">
        <f t="array" ref="BI240">IF(B240="","",IF(BH240&lt;&gt;"","Щит "&amp;BH240,_xlfn.LET(_xlpm.nm,IFERROR(_xlfn.XLOOKUP(BC240,Коды_код,Коды_имя)&amp;"",""),_xlpm.md,IFERROR(N(_xlfn.XLOOKUP(BC240,Коды_код,Коды_режим)),1),_xlpm.ex,IF(Имя_режим="по экспликации",IFERROR(_xlfn.XLOOKUP(BE240&amp;"|"&amp;BG240,Экспликация[Этаж]&amp;"|"&amp;Экспликация[Помещение],Экспликация[Название])&amp;"",""),""),_xlpm.rm,IF(BG240="","",IF(_xlpm.ex&lt;&gt;"",". "&amp;_xlpm.ex&amp;IF(Имя_пом="нет"," ("&amp;BG240&amp;")"," (пом. "&amp;BG240&amp;")"),IF(Имя_пом="нет"," ",", пом. ")&amp;BG240)),IF(_xlpm.nm="","",IF(_xlpm.md=2,_xlpm.nm&amp;" шлейф "&amp;BE240,_xlpm.nm&amp;_xlpm.rm)))))</f>
        <v>Розеточная группа, пом. 003A</v>
      </c>
      <c r="BJ240" t="str">
        <f t="shared" si="424"/>
        <v>Розеточная группа, пом. 003A</v>
      </c>
      <c r="BK240">
        <f>IFERROR(_xlfn.XMATCH(A240,Щиты[Щит]),0)</f>
        <v>10</v>
      </c>
      <c r="BL240">
        <f>_xlfn.LET(_xlpm.k,IFERROR(_xlfn.XLOOKUP(A240,Щиты[Щит],Щиты[Мест под вводной узел]),""),IF(_xlpm.k="",Столбцов_на_лист,N(_xlpm.k)))</f>
        <v>8</v>
      </c>
      <c r="BM240">
        <f t="shared" si="425"/>
        <v>26</v>
      </c>
      <c r="BN240" t="str">
        <f t="shared" si="426"/>
        <v>линии</v>
      </c>
      <c r="BO240" s="6">
        <f>IFERROR(N(_xlfn.XLOOKUP(BC240,Коды_код,Коды_квт)),0)</f>
        <v>0</v>
      </c>
      <c r="BP240">
        <f t="shared" si="427"/>
        <v>0</v>
      </c>
      <c r="BQ240" t="str">
        <f>IF(B240="","",IF(BH240&lt;&gt;"",IFERROR(_xlfn.XLOOKUP(BH240,Щиты[Щит],Щиты[Руст, кВт]),0),IF(BP240=1,IF(OR(N(_xlfn.XLOOKUP(A240,Щиты[Щит],Щиты[Вводов],1))&lt;=1,LOWER(TRIM(_xlfn.XLOOKUP(A240,Щиты[Щит],Щиты[АВР],"")&amp;""))="да"),IFERROR(_xlfn.XLOOKUP(A240,Щиты[Щит],Щиты[Руст, кВт]),0),SUMIFS(Линии[_Р для вводов],Линии[Щит],A240,Линии[Источник для режимов],GF240)),IF(BO240&gt;0,ROUND(BO240*MAX(1,N(D240)),3),""))))</f>
        <v/>
      </c>
      <c r="BR240">
        <f t="shared" si="428"/>
        <v>0.3</v>
      </c>
      <c r="BS240" s="6">
        <f>IF(B240="","",IF(BH240&lt;&gt;"",IFERROR(_xlfn.XLOOKUP(BH240,Щиты[Щит],Щиты[Руст, кВт]),0),N(BR240)))</f>
        <v>0.3</v>
      </c>
      <c r="BT240" t="str">
        <f>IF(B240="","",IFERROR(IF(VLOOKUP(BC240,Потребители_обозначение,8,FALSE)=0,"",VLOOKUP(BC240,Потребители_обозначение,8,FALSE)),""))</f>
        <v/>
      </c>
      <c r="BU240">
        <f t="shared" si="429"/>
        <v>230</v>
      </c>
      <c r="BV240">
        <f t="shared" si="430"/>
        <v>0</v>
      </c>
      <c r="BW240">
        <f>IF(B240="","",IF(BH240&lt;&gt;"",3,IFERROR(IF(N(VLOOKUP(BC240,Потребители_обозначение,9,FALSE))=0,1,VLOOKUP(BC240,Потребители_обозначение,9,FALSE)),1)))</f>
        <v>1</v>
      </c>
      <c r="BX240">
        <f t="shared" si="431"/>
        <v>1</v>
      </c>
      <c r="BY240" t="str">
        <f>IF(B240="","",_xlfn.LET(_xlpm.bc,IFERROR(IF(VLOOKUP(BC240,Потребители_обозначение,6,FALSE)=0,"",VLOOKUP(BC240,Потребители_обозначение,6,FALSE)&amp;""),""),IF(AND(GA240="да",OR(_xlpm.bc="",_xlpm.bc="мс")),Марка_пож,IF(AND(_xlpm.bc="",BH240&lt;&gt;""),"мс",_xlpm.bc))))</f>
        <v/>
      </c>
      <c r="BZ240" t="str">
        <f t="shared" si="432"/>
        <v>мс</v>
      </c>
      <c r="CA240">
        <f>IF(B240="","",_xlfn.LET(_xlpm.cc,IFERROR(N(VLOOKUP(BC240,Потребители_обозначение,7,FALSE)),0),IF(_xlpm.cc&gt;0,_xlpm.cc,IF(BZ240="","",IF(BV240=1,2,IF(N(BX240)=3,5,3))))))</f>
        <v>3</v>
      </c>
      <c r="CB240">
        <f t="shared" si="433"/>
        <v>3</v>
      </c>
      <c r="CC240">
        <f>IFERROR(N(VLOOKUP(BC240,Потребители_обозначение,10,FALSE)),0)</f>
        <v>0</v>
      </c>
      <c r="CD240">
        <f>IFERROR(VLOOKUP(BC240,Потребители_обозначение,5,FALSE),0)</f>
        <v>1</v>
      </c>
      <c r="CE240" s="6" cm="1">
        <f t="array" ref="CE240">IF(B240="","",IF(BH240&lt;&gt;"",IFERROR(_xlfn.XLOOKUP(BH240,Щиты[Щит],Щиты[cos φ]),0.95),IF(BP240=1,IFERROR(_xlfn.XLOOKUP(A240,Щиты[Щит],Щиты[cos φ]),0.95),IF(ISNUMBER(AD240),AD240,IFERROR(IF(CD240=2,_xlfn.IFS(BX240=3,VLOOKUP(BS240,Справочная_двигатели,8,FALSE),BX240=1,VLOOKUP(BS240,Справочная_двигатели,10,TRUE)),IF(AND(Методика="нормы 2026",FG240="Сил"),0.8,0.95)),0.95)))))</f>
        <v>0.95</v>
      </c>
      <c r="CF240">
        <f t="shared" si="434"/>
        <v>0</v>
      </c>
      <c r="CG240">
        <f t="shared" si="435"/>
        <v>1</v>
      </c>
      <c r="CH240">
        <f t="shared" si="436"/>
        <v>0</v>
      </c>
      <c r="CI240">
        <f>IF(B240="","",IF(BV240=1,IFERROR(BS240/((Uн_лин/SQRT(3))*MAX(0.5,N(CE240))),0),N(O240)))</f>
        <v>1.3674085322912188</v>
      </c>
      <c r="CJ240">
        <f t="shared" si="437"/>
        <v>0</v>
      </c>
      <c r="CK240">
        <f t="shared" si="438"/>
        <v>0</v>
      </c>
      <c r="CL240">
        <f t="shared" si="439"/>
        <v>0</v>
      </c>
      <c r="CM240">
        <f t="shared" si="440"/>
        <v>0</v>
      </c>
      <c r="CN240">
        <f t="shared" si="441"/>
        <v>0</v>
      </c>
      <c r="CO240">
        <f>IF(BC240="",0,_xlfn.LET(_xlpm.v,IFERROR(_xlfn.XLOOKUP(B240,Коды_код,Коды_мА),IFERROR(_xlfn.XLOOKUP(BC240,Коды_код,Коды_мА),IFERROR(_xlfn.XLOOKUP(LEFT(BC240,2),Коды_код,Коды_мА),""))),IF(_xlpm.v="да",30,IF(ISNUMBER(_xlpm.v),_xlpm.v,0))))</f>
        <v>30</v>
      </c>
      <c r="CP240">
        <f t="shared" si="442"/>
        <v>30</v>
      </c>
      <c r="CQ240" t="str">
        <f>_xlfn.LET(_xlpm.k,IFERROR(_xlfn.XLOOKUP(BC240,Коды_код,Коды_утечка)&amp;"",""),IF(_xlpm.k="","дифавтомат",_xlpm.k))</f>
        <v>дифавтомат</v>
      </c>
      <c r="CR240" t="str" cm="1">
        <f t="array" ref="CR240">IF(CG240=0,"",_xlfn.LET(_xlpm.sg,TRIM(_xlfn.TEXTSPLIT(DD240&amp;"",";")),_xlpm.f_,_xlfn._xlws.FILTER(_xlpm.sg,LEFT(_xlpm.sg,3)="УЗО",""),IFERROR(INDEX(_xlpm.f_,1)&amp;"","")))</f>
        <v/>
      </c>
      <c r="CS240" t="str">
        <f t="shared" si="443"/>
        <v/>
      </c>
      <c r="CT240" s="6" t="str" cm="1">
        <f t="array" ref="CT240">IF(CR240="","",_xlfn.LET(_xlpm.tk,_xlfn.TEXTSPLIT(UPPER(CR240)," ",,TRUE),_xlpm.a_,_xlfn._xlws.FILTER(_xlpm.tk,ISNUMBER(--LEFT(_xlpm.tk,1))*((ISNUMBER(SEARCH("А",_xlpm.tk))+ISNUMBER(SEARCH("A",_xlpm.tk)))&gt;0)*NOT(ISNUMBER(SEARCH("МА",_xlpm.tk)))*NOT(ISNUMBER(SEARCH("MA",_xlpm.tk))),""),IFERROR(--SUBSTITUTE(SUBSTITUTE(INDEX(_xlpm.a_,1),"А",""),"A",""),"")))</f>
        <v/>
      </c>
      <c r="CU240" t="str" cm="1">
        <f t="array" ref="CU240">IF(CR240="","",_xlfn.LET(_xlpm.tk,_xlfn.TEXTSPLIT(UPPER(CR240)," ",,TRUE),_xlpm.a_,_xlfn._xlws.FILTER(_xlpm.tk,ISNUMBER(--LEFT(_xlpm.tk,1))*((ISNUMBER(SEARCH("МА",_xlpm.tk))+ISNUMBER(SEARCH("MA",_xlpm.tk)))&gt;0),""),IFERROR(--SUBSTITUTE(SUBSTITUTE(INDEX(_xlpm.a_,1),"МА",""),"MA",""),30)))</f>
        <v/>
      </c>
      <c r="CV240" t="str">
        <f>IF(CS240="","",IFERROR(_xlfn.XLOOKUP(CS240,Линии[_n],Линии[_УЗО, мА]),30))</f>
        <v/>
      </c>
      <c r="CW240">
        <f>IF(CS240="",0,IF(ISNUMBER(SEARCH("4P",IFERROR(_xlfn.XLOOKUP(CS240,Линии[_n],Линии[_УЗО строки])&amp;"",""))),0,1))</f>
        <v>0</v>
      </c>
      <c r="CX240" t="str">
        <f>IF(AND(CS240&lt;&gt;"",CS240=BA240),SUMIFS(Линии[_ток на 230 В],Линии[_блок УЗО],BA240,Линии[Щит],A240),"")</f>
        <v/>
      </c>
      <c r="CY240" t="str">
        <f>IF(AND(CS240&lt;&gt;"",CS240=BA240),SUMIFS(Линии[_ток утечки линии, мА],Линии[_блок УЗО],BA240,Линии[Щит],A240),"")</f>
        <v/>
      </c>
      <c r="CZ240">
        <f t="shared" si="444"/>
        <v>30</v>
      </c>
      <c r="DA240">
        <f t="shared" si="445"/>
        <v>30</v>
      </c>
      <c r="DB240">
        <f>IF(B240="",0,IFERROR(--_xlfn.XLOOKUP(B240,Коды_код,Коды_минавт),IFERROR(--_xlfn.XLOOKUP(BC240,Коды_код,Коды_минавт),IFERROR(--_xlfn.XLOOKUP(LEFT(BC240,2),Коды_код,Коды_минавт),0))))</f>
        <v>16</v>
      </c>
      <c r="DC240" t="str">
        <f>IF(B240="","",IFERROR(_xlfn.XLOOKUP(BC240,Коды_код,Коды_апп)&amp;"",""))</f>
        <v/>
      </c>
      <c r="DD240" t="str">
        <f t="shared" si="446"/>
        <v/>
      </c>
      <c r="DE240" t="str" cm="1">
        <f t="array" ref="DE240">IF(TRIM(DD240&amp;"")="","",IFERROR(TRIM(INDEX(_xlfn.TEXTSPLIT(DD240&amp;";;;",";"),1)),""))</f>
        <v/>
      </c>
      <c r="DF240" t="str" cm="1">
        <f t="array" ref="DF240">IF(TRIM(DD240&amp;"")="","",IFERROR(TRIM(INDEX(_xlfn.TEXTSPLIT(DD240&amp;";;;",";"),2)),""))</f>
        <v/>
      </c>
      <c r="DG240" t="str" cm="1">
        <f t="array" ref="DG240">IF(TRIM(DD240&amp;"")="","",IFERROR(TRIM(INDEX(_xlfn.TEXTSPLIT(DD240&amp;";;;",";"),3)),""))</f>
        <v/>
      </c>
      <c r="DH240">
        <f t="shared" si="447"/>
        <v>0</v>
      </c>
      <c r="DI240" t="str">
        <f>IF(B240="","",_xlfn.LET(_xlpm.t,LOWER(AZ240&amp;""),IF(ISNUMBER(SEARCH("dim",_xlpm.t)),"DIM",IF(ISNUMBER(SEARCH("dali",_xlpm.t)),"DALI",IF(OR(ISNUMBER(SEARCH("relay",_xlpm.t)),ISNUMBER(SEARCH("реле",_xlpm.t))),"Relay",IF(ISNUMBER(SEARCH("кнопк",_xlpm.t)),"",IFERROR(_xlfn.XLOOKUP(BC240,Коды_код,Коды_упр)&amp;"","")))))))</f>
        <v/>
      </c>
      <c r="DJ240" t="str">
        <f t="shared" si="448"/>
        <v/>
      </c>
      <c r="DK240">
        <f>IF(B240="","",_xlfn.LET(_xlpm.ig,IF(N(CX240)&gt;0,N(CX240),N(CI240)+IF(AJ240="вручную",0,N(CJ240))),_xlpm.n0,IFERROR(VLOOKUP(_xlpm.ig,Автомат_номиналы,2,TRUE),0),_xlpm.mn,MAX(DB240,IF(AJ240="вручную",0,N(CM240))),MAX(_xlpm.n0,_xlpm.mn,IF(DH240=1,Мин_автомат_БП,0))))</f>
        <v>16</v>
      </c>
      <c r="DL240">
        <f t="shared" si="449"/>
        <v>1</v>
      </c>
      <c r="DM240" t="str">
        <f t="shared" si="450"/>
        <v>2P</v>
      </c>
      <c r="DN240" t="str">
        <f>_xlfn.LET(_xlpm.cc,UPPER(TRIM(IFERROR(_xlfn.XLOOKUP(BC240,Коды_код,Коды_хар)&amp;"",""))),IF(OR(_xlpm.cc="B",_xlpm.cc="В"),"B",IF(_xlpm.cc="D","D","С")))</f>
        <v>С</v>
      </c>
      <c r="DO240" t="str">
        <f t="shared" si="451"/>
        <v>2P С16А 30мА</v>
      </c>
      <c r="DP240" t="str">
        <f t="shared" si="452"/>
        <v>2P С16А 30мА</v>
      </c>
      <c r="DQ240" t="str">
        <f t="shared" si="453"/>
        <v>2P С16А 30мА</v>
      </c>
      <c r="DR240" cm="1">
        <f t="array" ref="DR240">IF(DQ240="","",_xlfn.LET(_xlpm.t,SUBSTITUTE(SUBSTITUTE(SUBSTITUTE(UPPER(DQ240),"С","C"),"А","A"),"В","B"),_xlpm.tk,_xlfn.TEXTSPLIT(_xlpm.t," "),_xlpm.f,_xlfn._xlws.FILTER(_xlpm.tk,ISNUMBER(--MID(_xlpm.tk,2,1))*ISNUMBER(SEARCH(LEFT(_xlpm.tk,1)&amp;"#","B#C#D#"))*(LEN(_xlpm.tk)&gt;1),""),_xlpm.x,INDEX(_xlpm.f,1),IFERROR(--SUBSTITUTE(MID(_xlpm.x,2,9),"A",""),IFERROR(--SUBSTITUTE(INDEX(_xlfn._xlws.FILTER(_xlpm.tk,ISNUMBER(--SUBSTITUTE(_xlpm.tk,"A","")),""),1),"A",""),""))))</f>
        <v>16</v>
      </c>
      <c r="DS240" t="str">
        <f t="shared" si="454"/>
        <v>ok</v>
      </c>
      <c r="DT240">
        <f t="shared" si="455"/>
        <v>16</v>
      </c>
      <c r="DU240" t="str">
        <f t="shared" si="456"/>
        <v>2P С16А 30мА</v>
      </c>
      <c r="DV240">
        <f t="shared" si="457"/>
        <v>30</v>
      </c>
      <c r="DW240">
        <f t="shared" si="458"/>
        <v>1</v>
      </c>
      <c r="DX240">
        <f t="shared" si="459"/>
        <v>0</v>
      </c>
      <c r="DY240">
        <f t="shared" si="460"/>
        <v>1.3674085322912188</v>
      </c>
      <c r="DZ240">
        <f t="shared" si="461"/>
        <v>1</v>
      </c>
      <c r="EA240">
        <f>IF(ISNUMBER(AP240),AP240,К_прокл)</f>
        <v>1</v>
      </c>
      <c r="EB240">
        <f t="shared" si="462"/>
        <v>2</v>
      </c>
      <c r="EC240">
        <f>IFERROR(N(VLOOKUP(BZ240,Кабель_обозначение,3,FALSE)),1)</f>
        <v>1</v>
      </c>
      <c r="ED240">
        <f>IFERROR(N(_xlfn.XLOOKUP(A240,Щиты[Щит],Щиты[ΔU до шин, %])),0)</f>
        <v>1.19</v>
      </c>
      <c r="EE240" t="str">
        <f>IFERROR(_xlfn.XLOOKUP(A240,Щиты[Щит],Щиты[Zпетли на шинах, Ом]),"")</f>
        <v/>
      </c>
      <c r="EF240">
        <f>IFERROR(N(_xlfn.XLOOKUP(A240,Щиты[Щит],Щиты[ΔU до шин (подбор), %])),0)</f>
        <v>1.19</v>
      </c>
      <c r="EG240" t="str">
        <f>IFERROR(_xlfn.XLOOKUP(A240,Щиты[Щит],Щиты[Zпетли на шинах (подбор), Ом]),"")</f>
        <v/>
      </c>
      <c r="EH240" t="str">
        <f t="shared" si="463"/>
        <v/>
      </c>
      <c r="EI240">
        <f t="shared" si="464"/>
        <v>60</v>
      </c>
      <c r="EJ240">
        <f t="shared" si="465"/>
        <v>2</v>
      </c>
      <c r="EK240">
        <f t="shared" si="466"/>
        <v>0.31</v>
      </c>
      <c r="EL240" s="6">
        <f>IF(B240="","",IF(BV240=1,dU_LED,IF(IFERROR(_xlfn.XLOOKUP(BC240,Коды_код,Коды_уго),"")="Светильник",3,4)+IF(Методика="нормы 2026",MIN(0.5,MAX(0,N(P240)-100)*0.005),0)))</f>
        <v>4</v>
      </c>
      <c r="EM240" cm="1">
        <f t="array" ref="EM240">IF(OR(B240="",BZ240="",EC240&lt;&gt;1),"",_xlfn.LET(_xlpm.sz,Iдоп_S,_xlpm.t_,CHOOSE(EB240,Iдоп_1ж,Iдоп_2ж,Iдоп_3ж)*DZ240*EA240,_xlpm.dcx,BV240=1,_xlpm.inn,IF(_xlpm.dcx,N(O240),N(DT240)),_xlpm.smin,MAX(1.5,CC240),_xlpm.L_,N(P240)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240)/N(BU240)*100,999),IFERROR(N(EJ240)*(_xlpm.rho*_xlpm.L_/_xlpm.sz*N(CE240)+_xlpm.xx*_xlpm.L_*N(EK240)/1000)*N(O240)/((Uн_лин/SQRT(3))*1000)*100,999)),_xlpm.kz,IF(OR(_xlpm.dcx,DW240=1,NOT(ISNUMBER(EG240)),_xlpm.L_=0,_xlpm.inn=0),1,IFERROR(--(c_min*(Uн_лин*1000/SQRT(3))/(EG240+2*ρкз_Cu*_xlpm.L_/_xlpm.sz)&gt;=HT240*_xlpm.inn),0)),_xlpm.ok,IFERROR((_xlpm.sz&gt;=_xlpm.smin)*(_xlpm.t_&gt;=_xlpm.inn)*IF(_xlpm.L_&gt;0,(_xlpm.du_+IF(_xlpm.dcx,0,EF240)&lt;=EL240+0.00001),1)*_xlpm.kz,0),_xlpm.r_,_xlfn._xlws.FILTER(_xlpm.sz,_xlpm.ok,"не подобрано"),INDEX(_xlpm.r_,1)))</f>
        <v>1.5</v>
      </c>
      <c r="EN240">
        <f t="shared" si="467"/>
        <v>2.5</v>
      </c>
      <c r="EO240" cm="1">
        <f t="array" ref="EO240">IF(OR(B240="",BZ240="",EC240&lt;&gt;1),"",_xlfn.LET(_xlpm.sz,Iдоп_S,_xlpm.t_,CHOOSE(EB240,Iдоп_1ж,Iдоп_2ж,Iдоп_3ж)*DZ240*EA240,_xlpm.ok,IFERROR((_xlpm.sz&gt;=MAX(1.5,CC240))*(_xlpm.t_&gt;=N(DT240)),0),_xlpm.r_,_xlfn._xlws.FILTER(_xlpm.sz,_xlpm.ok,""),INDEX(_xlpm.r_,1)))</f>
        <v>1.5</v>
      </c>
      <c r="EP240" s="6" cm="1">
        <f t="array" ref="EP240">IFERROR(ROUNDUP(N(EJ240)*(_xlfn.XLOOKUP(EO240,INDEX(Кабель_сопротивление,0,1),INDEX(Кабель_сопротивление,0,3))*N(P240)/EO240*N(CE240)+_xlfn.XLOOKUP(EO240,INDEX(Кабель_сопротивление,0,1),INDEX(Кабель_сопротивление,0,2))*N(P240)*N(EK240)/1000)*N(O240)/((Uн_лин/SQRT(3))*1000)*100,2),"")</f>
        <v>1.27</v>
      </c>
      <c r="EQ240">
        <f>IFERROR(2*ρкз_Cu*N(P240)/EO240,"")</f>
        <v>2.6300000000000003</v>
      </c>
      <c r="ER240">
        <f>IFERROR(VLOOKUP(EN240,Кабель_сопротивление,3,FALSE),"")</f>
        <v>2.2499999999999999E-2</v>
      </c>
      <c r="ES240">
        <f>IFERROR(VLOOKUP(EN240,Кабель_сопротивление,2,FALSE),"")</f>
        <v>0.1</v>
      </c>
      <c r="ET240">
        <f t="shared" si="468"/>
        <v>42</v>
      </c>
      <c r="EU240">
        <f t="shared" si="469"/>
        <v>5</v>
      </c>
      <c r="EV240">
        <f t="shared" si="470"/>
        <v>1.7600598923386424</v>
      </c>
      <c r="EW240" s="6">
        <f>IFERROR(ROUNDUP(EV240/IF(BV240=1,BU240,(Uн_лин/SQRT(3))*1000)*100,2),"")</f>
        <v>0.77</v>
      </c>
      <c r="EX240" t="str">
        <f>IFERROR(VLOOKUP(BZ240,Кабель_обозначение,2,FALSE),"")</f>
        <v>ВВГнг(А)-LS</v>
      </c>
      <c r="EY240" t="str">
        <f t="shared" si="471"/>
        <v>ВВГнг(А)-LS (3х2,5)</v>
      </c>
      <c r="EZ240" t="str">
        <f t="shared" si="472"/>
        <v>ВВГнг(А)-LS (3х2,5)
L=75-0,77%</v>
      </c>
      <c r="FA240">
        <f>IFERROR(2*ρкз_Cu*P240/EN240,"")</f>
        <v>1.5780000000000001</v>
      </c>
      <c r="FB240">
        <f t="shared" si="473"/>
        <v>0.52500000000000013</v>
      </c>
      <c r="FC240" s="6" t="str">
        <f>IFERROR(IF(OR(B240="",BV240=1,NOT(ISNUMBER(EN240)),N(P240)=0),"",_xlfn.XLOOKUP(A240,Щиты[Щит],Щиты[Zпетли на шинах, Ом])+FA240),"")</f>
        <v/>
      </c>
      <c r="FD240" s="6" t="str">
        <f>IF(ISNUMBER(FC240),c_min*(Uн_лин*1000/SQRT(3))/FC240,"")</f>
        <v/>
      </c>
      <c r="FE240" s="6" t="str">
        <f>IFERROR(IF(OR(B240="",NOT(ISNUMBER(EN240))),"",1.05*(Uн_лин*1000/SQRT(3))/(_xlfn.XLOOKUP(A240,Щиты[Щит],Щиты[Zmax на шинах, Ом])+FB240)/1000),"")</f>
        <v/>
      </c>
      <c r="FF240" s="6" t="str">
        <f>IF(B240="","",IF(ISNUMBER(AC240),"Сил",IF(IFERROR(_xlfn.XLOOKUP(BC240,Коды_код,Коды_группа)&amp;"","")="","Быт",_xlfn.XLOOKUP(BC240,Коды_код,Коды_группа)&amp;"")))</f>
        <v>Быт</v>
      </c>
      <c r="FG240" s="6" t="str">
        <f t="shared" si="474"/>
        <v>Быт</v>
      </c>
      <c r="FH240" s="6">
        <f>IF(FG240="Щит","щит",IF(FG240="","",IF(FG240="Быт",IFERROR(_xlfn.XLOOKUP(A240,Щиты[Щит],Щиты[Кс быт]),1),IF(FG240="Сил",IF(ISNUMBER(AC240),AC240,IF(Методика="нормы 2026",IFERROR(_xlfn.XLOOKUP(A240,Щиты[Щит],Щиты[Кс силовых (табл. 7.5)]),1),1)),IF(OR(FG240="Пост",FG240="Отоп"),1,IF(FG240="ВНГ",0.7,0))))))</f>
        <v>0.57830000000000004</v>
      </c>
      <c r="FI240">
        <f>IF(FG240="","",IF(AND(BP240=1,TRIM(AE240&amp;"")=""),IF(COUNTIFS(Линии[Щит],A240,Линии[Секция (1/2/3)],"&gt;=2")&gt;0,MIN(3,MAX(1,IFERROR(--BD240,1))),1),IFERROR(MIN(3,MAX(1,INT(--AE240))),1)))</f>
        <v>1</v>
      </c>
      <c r="FJ240">
        <f t="shared" si="475"/>
        <v>0.3</v>
      </c>
      <c r="FK240">
        <f t="shared" si="476"/>
        <v>0.3</v>
      </c>
      <c r="FL240">
        <f t="shared" si="477"/>
        <v>0</v>
      </c>
      <c r="FM240">
        <f t="shared" si="478"/>
        <v>0</v>
      </c>
      <c r="FN240">
        <f t="shared" si="479"/>
        <v>0</v>
      </c>
      <c r="FO240">
        <f t="shared" si="480"/>
        <v>0</v>
      </c>
      <c r="FP240">
        <f t="shared" si="481"/>
        <v>0.3</v>
      </c>
      <c r="FQ240">
        <f t="shared" si="482"/>
        <v>0.3</v>
      </c>
      <c r="FR240">
        <f t="shared" si="483"/>
        <v>0.28499999999999998</v>
      </c>
      <c r="FS240">
        <f>IF(CG240=1,IF(AND(CH240=1,CW240=1),0,IF(AND(CS240&lt;&gt;"",CS240=BA240,CW240=1),SUMIFS(Линии[_Р линии, кВт],Линии[_блок УЗО],BA240,Линии[Щит],A240),N(BS240)+IF(AJ240="вручную",0,N(CK240)))),0)</f>
        <v>0.3</v>
      </c>
      <c r="FT240" t="str">
        <f t="shared" si="484"/>
        <v/>
      </c>
      <c r="FU240" t="str">
        <f>IF(B240="","",IF(CG240=0,IF(BA240=1,"",FW239),IF(AND(CH240=1,CW240=1,CS240&lt;&gt;""),IFERROR(_xlfn.XLOOKUP(CS240,Линии[_n],Линии[_фаза итог]),"L1"),IF(OR(N(DL240)&gt;=3,N(BX240)&gt;=3),"L1,L2,L3",IFERROR(_xlfn.TEXTBEFORE(_xlfn.TEXTAFTER(_xlfn.XLOOKUP(A240,Щиты[Щит],Щиты[_фазы авто]),";"&amp;BA240&amp;":"),";"),"L1")))))</f>
        <v>L3</v>
      </c>
      <c r="FV240" t="str">
        <f t="shared" si="485"/>
        <v>L3</v>
      </c>
      <c r="FW240" t="str">
        <f t="shared" si="486"/>
        <v>L3</v>
      </c>
      <c r="FX240" cm="1">
        <f t="array" ref="FX240">IFERROR(IF(CD240=2,_xlfn.IFS(BX240=3,VLOOKUP(BS240,Справочная_двигатели,3,FALSE),BX240=1,VLOOKUP(BS240,Справочная_двигатели,5,TRUE)),0),0)</f>
        <v>0</v>
      </c>
      <c r="FY240">
        <f>IFERROR(IF(CD240=3,VLOOKUP(BS240,Справочная_ЛЭД,2,TRUE),0),0)</f>
        <v>0</v>
      </c>
      <c r="FZ240" s="6">
        <f t="shared" si="487"/>
        <v>0</v>
      </c>
      <c r="GA240" t="str">
        <f>IF(B240="","",IF(TRIM(AH240&amp;"")&lt;&gt;"",IF(LOWER(TRIM(AH240&amp;""))="да","да","нет"),IF(IFERROR(_xlfn.XLOOKUP(BC240,Коды_код,Коды_пожарная),"")="да","да","нет")))</f>
        <v>нет</v>
      </c>
      <c r="GB240" t="str">
        <f t="shared" si="488"/>
        <v/>
      </c>
      <c r="GC240" t="str">
        <f t="shared" si="489"/>
        <v>основная</v>
      </c>
      <c r="GD240">
        <f>IF(AND(BP240=1,TRIM(AE240&amp;"")=""),IF(COUNTIFS(Линии[Щит],A240,Линии[Секция (1/2/3)],"&gt;=2")&gt;0,MIN(3,MAX(1,IFERROR(--BD240,1))),1),IFERROR(MIN(3,MAX(1,INT(--AE240))),1))</f>
        <v>1</v>
      </c>
      <c r="GE240" t="str" cm="1">
        <f t="array" ref="GE240">IF(B240="","",_xlfn.LET(_xlpm.t,IFERROR(_xlfn.XLOOKUP(1,(Шины[Шина]=GC240)*(((Шины[Щит]=A240)+(Шины[Щит]=""))&gt;0),Шины[Тип]),"")&amp;"",IF(_xlpm.t&lt;&gt;"",_xlpm.t,IF(ISNUMBER(SEARCH("ИБП",GC240)),"ИБП",IF(ISNUMBER(SEARCH("ДГУ",GC240)),"ДГУ","Ввод "&amp;GD240)))))</f>
        <v>Ввод 1</v>
      </c>
      <c r="GF240" t="str">
        <f t="shared" si="490"/>
        <v>Ввод 1</v>
      </c>
      <c r="GG240" t="str">
        <f>IF(BP240=0,"",IF(TRIM(AG240&amp;"")&lt;&gt;"",TRIM(AG240&amp;""),IF(OR(GE240="ИБП",GE240="ДГУ"),"I особая",_xlfn.XLOOKUP(A240,Щиты[Щит],Щиты[Категория шины «Ввод»],"III"))))</f>
        <v/>
      </c>
      <c r="GH240" t="str">
        <f>IF(A240="","",_xlfn.XLOOKUP(A240,Щиты[Щит],Щиты[Путь],""))</f>
        <v>|ГРЩ-ЖД|ЩР-1|</v>
      </c>
      <c r="GI240" t="str">
        <f>IF(B240="","",IF(AI240&lt;&gt;"",AI240,IF(IFERROR(_xlfn.XLOOKUP(BC240,Коды_код,Коды_вид)&amp;"","")="","Прочее",_xlfn.XLOOKUP(BC240,Коды_код,Коды_вид)&amp;"")))</f>
        <v>Розеточная сеть и бытовые приборы</v>
      </c>
      <c r="GJ240">
        <f>IF(BM240="","",INT((BM240-1)/Столбцов_на_лист)+1)</f>
        <v>2</v>
      </c>
      <c r="GK240" t="str">
        <f t="shared" si="491"/>
        <v>ВВГнг(А)-LS (3х2,5) L=75-0,77%</v>
      </c>
      <c r="GL240">
        <f t="shared" si="492"/>
        <v>0.3</v>
      </c>
      <c r="GM240">
        <f t="shared" si="493"/>
        <v>1.37</v>
      </c>
      <c r="GN240">
        <f t="shared" si="494"/>
        <v>1</v>
      </c>
      <c r="GO240">
        <f t="shared" si="495"/>
        <v>0</v>
      </c>
      <c r="GP240">
        <f t="shared" si="496"/>
        <v>1</v>
      </c>
      <c r="GQ240">
        <f>IF(BM240="","",IF(AND(CG240=1,GP240=1),COUNTIFS(A$3:A240,A240,CG$3:CG240,1,GP$3:GP240,1),IF(OR(OR(BA240=1,A240&lt;&gt;A239),AJ240="вручную",GP240=0),"",IF(BA240=1,"",GR239))))</f>
        <v>16</v>
      </c>
      <c r="GR240">
        <f t="shared" si="497"/>
        <v>16</v>
      </c>
      <c r="GS240">
        <f>IF(B240="","",IFERROR(LOOKUP(INDEX(CHOOSE(EB240,Iдоп_1ж,Iдоп_2ж,Iдоп_3ж),MATCH(EN240,Iдоп_S,0))*DZ240*EA240,{6,10,16,20,25,32,40,50,63,80,100,125,160,200,250,315,400,500,630}),""))</f>
        <v>25</v>
      </c>
      <c r="GT240" t="str">
        <f t="shared" si="498"/>
        <v>QFD16</v>
      </c>
      <c r="GU240" t="str">
        <f t="shared" si="499"/>
        <v>QFD16</v>
      </c>
      <c r="GV240" t="str">
        <f t="shared" si="500"/>
        <v/>
      </c>
      <c r="GW240">
        <f t="shared" si="501"/>
        <v>0</v>
      </c>
      <c r="GX240" t="str">
        <f>IF(OR(B240="",DJ240=""),"",IFERROR(_xlfn.XLOOKUP(DJ240,Модули_умолч[Управление],Модули_умолч[Модель])&amp;"",""))</f>
        <v/>
      </c>
      <c r="GY240">
        <f>IF(DJ240="",1,IFERROR(MAX(0,N(_xlfn.XLOOKUP(DJ240,Модули_умолч[Управление],Модули_умолч[Каналов на линию]))),1))</f>
        <v>1</v>
      </c>
      <c r="GZ240" t="str">
        <f t="shared" si="502"/>
        <v/>
      </c>
      <c r="HA240" t="str">
        <f t="shared" si="503"/>
        <v/>
      </c>
      <c r="HB240" t="str">
        <f t="shared" si="504"/>
        <v/>
      </c>
      <c r="HC240">
        <f>IF(HB240="",0,IFERROR(N(VLOOKUP(HB240,Модули_спр,3,FALSE)),0))</f>
        <v>0</v>
      </c>
      <c r="HD240" t="str">
        <f t="shared" si="505"/>
        <v/>
      </c>
      <c r="HE240" t="str">
        <f t="shared" si="506"/>
        <v/>
      </c>
      <c r="HF240" t="str">
        <f>IF(OR(HE240="",HE240="-"),"",IFERROR(VLOOKUP(HE240,Модули_спр,2,FALSE),"R"))</f>
        <v/>
      </c>
      <c r="HG240" t="str">
        <f>IF(HF240="","",HF240&amp;"."&amp;COUNTIFS(A$3:A240,A240,HF$3:HF240,HF240))</f>
        <v/>
      </c>
      <c r="HH240" t="str">
        <f t="shared" si="507"/>
        <v/>
      </c>
      <c r="HI240" t="str">
        <f t="shared" si="508"/>
        <v/>
      </c>
      <c r="HJ240" t="str">
        <f t="shared" si="509"/>
        <v/>
      </c>
      <c r="HK240" t="str">
        <f t="shared" si="510"/>
        <v/>
      </c>
      <c r="HL240">
        <f t="shared" si="511"/>
        <v>1</v>
      </c>
      <c r="HM240" t="str">
        <f>IF(HL240=1,"XT"&amp;COUNTIFS(A$3:A240,A240,HL$3:HL240,1),"")</f>
        <v>XT16</v>
      </c>
      <c r="HN240" t="str">
        <f t="shared" si="512"/>
        <v/>
      </c>
      <c r="HO240" t="str">
        <f t="shared" si="513"/>
        <v>QFD16</v>
      </c>
      <c r="HP240" t="str">
        <f t="shared" si="514"/>
        <v/>
      </c>
      <c r="HQ240" t="str">
        <f t="shared" si="515"/>
        <v>ok</v>
      </c>
      <c r="HR240" t="str">
        <f>IF(OR(HJ240="",HH240=""),"",IF(HJ240+MAX(0,GY240-1)&gt;IFERROR(VLOOKUP(HI240,Модули_спр,3,FALSE),99),"ЛИШНИЙ КАНАЛ",IF(AND(AL240&lt;&gt;"=",GY240&gt;0,COUNTIFS(Линии[_модуль гр.],HH240,Линии[Канал (итог)],HJ240,Линии[Канал],"&lt;&gt;=",Линии[Щит],A240)&gt;1),"ДУБЛЬ КАНАЛА","")))</f>
        <v/>
      </c>
      <c r="HS240" s="6" t="str">
        <f t="shared" si="516"/>
        <v/>
      </c>
      <c r="HT240">
        <f t="shared" si="517"/>
        <v>10</v>
      </c>
      <c r="HU240" t="str">
        <f t="shared" si="518"/>
        <v/>
      </c>
      <c r="HV240">
        <f t="shared" si="519"/>
        <v>1.2969634129164875</v>
      </c>
      <c r="HW240">
        <f t="shared" si="520"/>
        <v>0</v>
      </c>
      <c r="HX240">
        <f t="shared" si="521"/>
        <v>0</v>
      </c>
      <c r="HY240">
        <f t="shared" si="522"/>
        <v>0</v>
      </c>
      <c r="HZ240">
        <f t="shared" si="523"/>
        <v>0</v>
      </c>
      <c r="IA240">
        <f t="shared" si="524"/>
        <v>0</v>
      </c>
      <c r="IB240">
        <f t="shared" si="525"/>
        <v>0</v>
      </c>
      <c r="IC240" t="str">
        <f t="shared" si="526"/>
        <v/>
      </c>
      <c r="ID240" t="str" cm="1">
        <f t="array" ref="ID240">IF(IC240="","",_xlfn.LET(_xlpm.tk,_xlfn.TEXTSPLIT(SUBSTITUTE(SUBSTITUTE(IC240,";"," "),"→"," ")," ",,TRUE),_xlpm.w_,_xlfn._xlws.FILTER(_xlpm.tk,ISNUMBER(--LEFT(_xlpm.tk,1))*((ISNUMBER(SEARCH("W",_xlpm.tk))+ISNUMBER(SEARCH("Вт",_xlpm.tk)))&gt;0),""),IFERROR(--SUBSTITUTE(SUBSTITUTE(UPPER(INDEX(_xlpm.w_,1)),"W",""),"ВТ",""),"")))</f>
        <v/>
      </c>
      <c r="IE240" t="str" cm="1">
        <f t="array" ref="IE240">IF(IC240="","",_xlfn.LET(_xlpm.tk,_xlfn.TEXTSPLIT(SUBSTITUTE(SUBSTITUTE(IC240,";"," "),"→"," ")," ",,TRUE),_xlpm.v_,_xlfn._xlws.FILTER(_xlpm.tk,ISNUMBER(--LEFT(_xlpm.tk,1))*((ISNUMBER(SEARCH("V",_xlpm.tk))+(RIGHT(UPPER(_xlpm.tk))="В"))&gt;0),""),IFERROR(--SUBSTITUTE(SUBSTITUTE(UPPER(INDEX(_xlpm.v_,1)),"V",""),"В",""),"")))</f>
        <v/>
      </c>
      <c r="IF240" s="6" t="str">
        <f>IF(OR(BV240=0,HI240="",HJ240=""),"",IFERROR(N(_xlfn.XLOOKUP(HI240,Каталог!$C$4:$C$500,Каталог!$Q$4:$Q$500)),""))</f>
        <v/>
      </c>
      <c r="IG240" s="6" t="str">
        <f>IF(N(IF240)=0,"",SUMIFS(Линии[Iр, А],Линии[Щит],A240,Линии[_модуль гр.],HH240,Линии[Канал (итог)],HJ240))</f>
        <v/>
      </c>
      <c r="IH240" t="str">
        <f>IF(AND(B240="",HO240=""),"",_xlfn.TEXTJOIN("; ",TRUE,IF(AND(B240&lt;&gt;"",FV240=""),"нет фазы",""),IF(AND(B240&lt;&gt;"",N(GL240)=0,FG240&lt;&gt;"Нет"),"нет мощности",""),IF(AND(HN240&lt;&gt;"",COUNTIFS(Линии[Щит],A240,Линии[Клемма (итог)],HN240)&gt;1),"дубль клеммы "&amp;HN240,""),IF(AND(HQ240&lt;&gt;"",HQ240&lt;&gt;"ok"),HQ240,""),IF(HR240&lt;&gt;"",HR240,""),IF(AND(N(CB240)&gt;=4,N(BX240)=1),CB240&amp;" жил на 1 фазе",""),IF(AND(BC240="R",CG240=1,IF(CS240&lt;&gt;"",N(CV240)&gt;30,OR(N(DA240)=0,N(DA240)&gt;30))),"розетка без дифзащиты до 30 мА",""),IF(AND(CG240=1,N(DA240)&gt;0,ISNUMBER(T240)),IF(T240&gt;N(DA240)/3,"ток утечки "&amp;FIXED(T240,1)&amp;" мА &gt; 1/3 уставки ("&amp;DA240&amp;" мА)",""),""),IF(AND(CH240=1,CS240=""),"«узо»: нет строки с УЗО выше (УЗО 2P 40А 30мА в «Аппаратах»)",""),IF(AND(CS240&lt;&gt;"",CS240=BA240),IF(CT240="","впишите номинал УЗО (УЗО 2P 40А 30мА)",IF(N(CT240)&lt;N(DT240),"УЗО "&amp;CT240&amp;" А &lt; автомата "&amp;DT240&amp;" А перед ним",IF(N(CT240)&lt;N(CX240),"УЗО "&amp;CT240&amp;" А &lt; тока блока "&amp;FIXED(CX240,1)&amp;" А",""))),""),IF(AND(CS240&lt;&gt;"",CS240=BA240,ISNUMBER(CY240)),IF(CY240&gt;N(CV240)/3,"ток утечки блока УЗО "&amp;FIXED(CY240,1)&amp;" мА &gt; 1/3 уставки ("&amp;CV240&amp;" мА)",""),""),IF(AND(CG240=1,N(BV240)+N(IB240)&gt;0,IC240=""),"линии до 50 В без БП: впишите в «Аппараты» (БП 24V 480W)",""),IF(AND(CG240=1,ISNUMBER(ID240),ISNUMBER(U240)),IF(U240&gt;ID240,"БП "&amp;ID240&amp;" Вт &lt; нужно "&amp;U240&amp;" Вт (×"&amp;Запас_БП&amp;")",""),""),IF(AND(CG240=1,ISNUMBER(IE240),N(BV240)=1),IF(IE240&lt;&gt;N(BU240),"БП на "&amp;IE240&amp;" В, линия "&amp;BU240&amp;" В",""),""),IF(AND(N(IF240)&gt;0,N(IG240)&gt;N(IF240)),HH240&amp;" канал "&amp;HJ240&amp;": "&amp;FIXED(IG240,1)&amp;" А &gt; "&amp;IF240&amp;" А",""),IFERROR(IF(AND(ISNUMBER(Q240),Q240&gt;EL240),"потери "&amp;FIXED(Q240,1)&amp;" % &gt; "&amp;EL240&amp;" %",""),""),IFERROR(IF(LEFT(HU240,4)="мало","Iкз мало — отключение &gt; 0,4 с",""),""),IF(AND(B240&lt;&gt;"",BM240=""),"не на схеме",""),IF(AND(CG240=0,B240&lt;&gt;"",FV240&lt;&gt;"",IF(BA240=1,"",FW239)&lt;&gt;"",FV240&lt;&gt;IF(BA240=1,"",FW239)),"фаза не как у автомата группы ("&amp;IF(BA240=1,"",FW239)&amp;")","")))</f>
        <v/>
      </c>
      <c r="II240" s="6">
        <f>IF(OR(CG240=0,DQ240=""),"",_xlfn.LET(_xlpm.t,IFERROR(_xlfn.XLOOKUP(DQ240,Каталог!$U$4:$U$500,Каталог!$G$4:$G$500),""),_xlpm.k,SEARCH("кА",_xlpm.t),IFERROR(--TRIM(RIGHT(SUBSTITUTE(MID(_xlpm.t,MAX(1,_xlpm.k-4),_xlpm.k-MAX(1,_xlpm.k-4))," ",REPT(" ",9)),5)),"")))</f>
        <v>6</v>
      </c>
      <c r="IJ240" t="str">
        <f>IF(OR(II240="",CG240=0),"",IF(_xlfn.XLOOKUP(A240,Щиты[Щит],Щиты[Iкз max на шинах, кА],"")="","",IF(II240&lt;_xlfn.XLOOKUP(A240,Щиты[Щит],Щиты[Iкз max на шинах, кА]),"Icu "&amp;II240&amp;" кА &lt; Iкз max","ok")))</f>
        <v/>
      </c>
      <c r="IK240" t="str">
        <f t="shared" si="527"/>
        <v/>
      </c>
      <c r="IL240" t="str">
        <f t="shared" si="528"/>
        <v>QFD16</v>
      </c>
      <c r="IM240" t="str">
        <f t="shared" si="529"/>
        <v>QFD16|кабель ВВГнг(А)-LS (3х2,5) → Розеточная группа, пом. 003A</v>
      </c>
      <c r="IN240" t="str" cm="1">
        <f t="array" ref="IN240">IF(IM240="","",_xlfn.LET(_xlpm.nd,_xlfn.TEXTSPLIT(IM240,"|"),IF(COLUMNS(_xlpm.nd)&gt;1,A240&amp;"¦"&amp;INDEX(_xlpm.nd,1)&amp;"¦"&amp;INDEX(_xlpm.nd,2),"")))</f>
        <v>ЩР-1¦QFD16¦кабель ВВГнг(А)-LS (3х2,5) → Розеточная группа, пом. 003A</v>
      </c>
      <c r="IO240" t="str">
        <f t="shared" si="530"/>
        <v>R.1.003A.2¦Розеточная группа, пом. 003A</v>
      </c>
      <c r="IP240" t="str" cm="1">
        <f t="array" ref="IP240">IF(IM240="","",_xlfn.LET(_xlpm.nd,_xlfn.TEXTSPLIT(IM240,"|"),IF(COLUMNS(_xlpm.nd)&gt;2,A240&amp;"¦"&amp;INDEX(_xlpm.nd,2)&amp;"¦"&amp;INDEX(_xlpm.nd,3),"")))</f>
        <v/>
      </c>
      <c r="IQ240" t="str">
        <f t="shared" si="531"/>
        <v/>
      </c>
      <c r="IR240" t="str" cm="1">
        <f t="array" ref="IR240">IF(IM240="","",_xlfn.LET(_xlpm.nd,_xlfn.TEXTSPLIT(IM240,"|"),IF(COLUMNS(_xlpm.nd)&gt;3,A240&amp;"¦"&amp;INDEX(_xlpm.nd,3)&amp;"¦"&amp;INDEX(_xlpm.nd,4),"")))</f>
        <v/>
      </c>
      <c r="IS240" t="str">
        <f t="shared" si="532"/>
        <v/>
      </c>
      <c r="IT240" t="str" cm="1">
        <f t="array" ref="IT240">IF(IM240="","",_xlfn.LET(_xlpm.nd,_xlfn.TEXTSPLIT(IM240,"|"),IF(COLUMNS(_xlpm.nd)&gt;4,A240&amp;"¦"&amp;INDEX(_xlpm.nd,4)&amp;"¦"&amp;INDEX(_xlpm.nd,5),"")))</f>
        <v/>
      </c>
      <c r="IU240" t="str">
        <f t="shared" si="533"/>
        <v/>
      </c>
      <c r="IV240" t="str" cm="1">
        <f t="array" ref="IV240">IF(IM240="","",_xlfn.LET(_xlpm.nd,_xlfn.TEXTSPLIT(IM240,"|"),IF(COLUMNS(_xlpm.nd)&gt;5,A240&amp;"¦"&amp;INDEX(_xlpm.nd,5)&amp;"¦"&amp;INDEX(_xlpm.nd,6),"")))</f>
        <v/>
      </c>
      <c r="IW240" t="str">
        <f t="shared" si="534"/>
        <v/>
      </c>
      <c r="IX240" t="str" cm="1">
        <f t="array" ref="IX240">IF(IM240="","",_xlfn.LET(_xlpm.nd,_xlfn.TEXTSPLIT(IM240,"|"),IF(COLUMNS(_xlpm.nd)&gt;6,A240&amp;"¦"&amp;INDEX(_xlpm.nd,6)&amp;"¦"&amp;INDEX(_xlpm.nd,7),"")))</f>
        <v/>
      </c>
      <c r="IY240" t="str">
        <f t="shared" si="535"/>
        <v/>
      </c>
      <c r="IZ240" t="str">
        <f t="shared" si="536"/>
        <v/>
      </c>
      <c r="JA240" t="str">
        <f t="shared" si="537"/>
        <v>QFD16</v>
      </c>
      <c r="JB240">
        <f t="shared" si="538"/>
        <v>0</v>
      </c>
      <c r="JC240">
        <f t="shared" si="539"/>
        <v>1</v>
      </c>
      <c r="JD240" t="str">
        <f t="shared" si="540"/>
        <v/>
      </c>
      <c r="JE240" t="str">
        <f t="shared" si="541"/>
        <v/>
      </c>
      <c r="JF240" t="str">
        <f t="shared" si="542"/>
        <v/>
      </c>
      <c r="JG240" t="str">
        <f t="shared" si="543"/>
        <v/>
      </c>
      <c r="JH240" t="str">
        <f>IF(B240="","",IFERROR(_xlfn.XLOOKUP(B240,Коды_код,Коды_уго),IFERROR(_xlfn.XLOOKUP(BC240,Коды_код,Коды_уго),IFERROR(_xlfn.XLOOKUP(LEFT(BC240,2),Коды_код,Коды_уго),""))))</f>
        <v>Розетка</v>
      </c>
      <c r="JI240" t="str">
        <f>IF(B240="","",IF(OR(JH240="",JH240=0),"BOX",IFERROR(IF(VLOOKUP(JH240,УГО_блоки,3,FALSE)&amp;""&lt;&gt;"",VLOOKUP(JH240,УГО_блоки,3,FALSE),VLOOKUP(JH240,УГО_блоки,2,FALSE)),JH240)))</f>
        <v>SOCKET</v>
      </c>
      <c r="JJ240">
        <f t="shared" si="544"/>
        <v>1</v>
      </c>
      <c r="JK240" t="str">
        <f>IF(DQ240="","",IF(COUNTIF(DQ$3:DQ240,DQ240)=1,MAX(JK$2:JK239)+1,""))</f>
        <v/>
      </c>
      <c r="JL240" t="str">
        <f>IF(DE240="","",IF(COUNTIF(DE$3:DE240,DE240)+COUNTIF(DF$2:DF239,DE240)+COUNTIF(DG$2:DG239,DE240)=1,MAX(JL$2:JN239)+1,""))</f>
        <v/>
      </c>
      <c r="JM240" t="str">
        <f>IF(DF240="","",IF(COUNTIF(DE$3:DE240,DF240)+COUNTIF(DF$3:DF240,DF240)+COUNTIF(DG$2:DG239,DF240)=1,MAX(JL$2:JN239,JL240)+1,""))</f>
        <v/>
      </c>
      <c r="JN240" t="str">
        <f>IF(DG240="","",IF(COUNTIF(DE$3:DE240,DG240)+COUNTIF(DF$3:DF240,DG240)+COUNTIF(DG$3:DG240,DG240)=1,MAX(JL$2:JN239,JL240,JM240)+1,""))</f>
        <v/>
      </c>
      <c r="JO240" t="str">
        <f t="shared" si="545"/>
        <v>3х2,5</v>
      </c>
      <c r="JP240" t="str">
        <f>IF(JO240="","",IF(COUNTIF(JO$3:JO240,JO240)=1,MAX(JP$2:JP239)+1,""))</f>
        <v/>
      </c>
      <c r="JQ240" t="str">
        <f>IF(HG240="","",COUNTIF(HG$3:HG240,"?*"))</f>
        <v/>
      </c>
      <c r="JR240" t="str">
        <f>IF(OR(HG240="",HI240=""),"",IF(COUNTIFS(HG$3:HG240,"?*",HI$3:HI240,HI240)=1,MAX(JR$2:JR239)+1,""))</f>
        <v/>
      </c>
      <c r="JS240">
        <f t="shared" si="546"/>
        <v>0</v>
      </c>
      <c r="JT240">
        <f>IF(B240="","",COUNTIF(B$3:B240,"?*"))</f>
        <v>238</v>
      </c>
      <c r="JU240">
        <f>IF(HL240&lt;&gt;1,0,_xlfn.LET(_xlpm.k,MAX(IFERROR(--_xlfn.XLOOKUP(B240,Коды_код,Коды_3L),0),IFERROR(--_xlfn.XLOOKUP(BC240,Коды_код,Коды_3L),0),IFERROR(--_xlfn.XLOOKUP(LEFT(BC240,2),Коды_код,Коды_3L),0)),IF(_xlpm.k&gt;0,_xlpm.k,IF(IFERROR(--LEFT(SUBSTITUTE(JO240,"x","х"),FIND("х",SUBSTITUTE(JO240,"x","х"))-1),3)&gt;3,Каталог!$S$9,1))))</f>
        <v>1</v>
      </c>
      <c r="JV240">
        <f t="shared" si="547"/>
        <v>0</v>
      </c>
      <c r="JW240" t="str">
        <f t="shared" si="548"/>
        <v>авто</v>
      </c>
      <c r="JX240">
        <f t="shared" si="549"/>
        <v>30</v>
      </c>
      <c r="JY240">
        <f t="shared" si="550"/>
        <v>1</v>
      </c>
      <c r="JZ240">
        <f t="shared" si="551"/>
        <v>1</v>
      </c>
    </row>
    <row r="241" spans="1:286" x14ac:dyDescent="0.3">
      <c r="A241" t="s">
        <v>757</v>
      </c>
      <c r="B241" t="s">
        <v>1547</v>
      </c>
      <c r="C241" t="str">
        <f>Линии[[#This Row],[_авто наименование]]</f>
        <v>Розеточная группа, пом. 003A</v>
      </c>
      <c r="D241">
        <v>9</v>
      </c>
      <c r="E241">
        <v>0.36</v>
      </c>
      <c r="G241" t="str">
        <f>Линии[[#This Row],[_авто автомат]]</f>
        <v>2P С16А 30мА</v>
      </c>
      <c r="H241" t="str">
        <f>Линии[[#This Row],[_авто управление]]</f>
        <v/>
      </c>
      <c r="I241" t="str">
        <f>Линии[[#This Row],[_авто аппараты]]</f>
        <v/>
      </c>
      <c r="J241">
        <v>2.5</v>
      </c>
      <c r="K241">
        <v>56</v>
      </c>
      <c r="L241" t="str">
        <f>Линии[[#This Row],[_авто фаза]]</f>
        <v>L1</v>
      </c>
      <c r="M241" t="s">
        <v>484</v>
      </c>
      <c r="N241" t="str">
        <f t="shared" si="414"/>
        <v/>
      </c>
      <c r="O241" s="6" cm="1">
        <f t="array" ref="O241">IF(B241="","",IF(BH241&lt;&gt;"",IFERROR(_xlfn.XLOOKUP(BH241,Щиты[Щит],Щиты[Iр, А]),""),IF(BP241=1,IF(OR(N(_xlfn.XLOOKUP(A241,Щиты[Щит],Щиты[Вводов],1))&lt;=1,LOWER(TRIM(_xlfn.XLOOKUP(A241,Щиты[Щит],Щиты[АВР],"")&amp;""))="да"),IFERROR(_xlfn.XLOOKUP(A241,Щиты[Щит],Щиты[Iр, А]),""),IFERROR(N(BS241)*_xlfn.XLOOKUP(A241,Щиты[Щит],Щиты[Кс итог])/(SQRT(3)*Uн_лин*_xlfn.XLOOKUP(A241,Щиты[Щит],Щиты[cos φ])),"")),IF(BV241=1,IFERROR(BS241*1000/BU241,""),IFERROR(_xlfn.IFS(BX241=1,BS241/((Uн_лин/SQRT(3))*CE241),BX241=3,BS241/(SQRT(3)*Uн_лин*CE241)),"")))))</f>
        <v>1.6408902387494626</v>
      </c>
      <c r="P241" s="7">
        <f>IF(B241="","",IFERROR(IF(VLOOKUP(BC241,Потребители_обозначение,4,FALSE)=1,VLOOKUP(BC241,Потребители_обозначение,3,FALSE)*(MAX(1,N(D241))*2-1)+EI241+VLOOKUP(BE241,Этаж_обозначение,3,FALSE)+VLOOKUP(BE241,Этаж_обозначение,4,FALSE),VLOOKUP(BC241,Потребители_обозначение,3,FALSE)*(MAX(1,N(D241))*2-1)+EI241),EI241))</f>
        <v>107</v>
      </c>
      <c r="Q241" s="6">
        <f t="shared" si="415"/>
        <v>2.5</v>
      </c>
      <c r="R241" t="str">
        <f t="shared" si="416"/>
        <v>ВВГнг(А)-LS (3х2,5)</v>
      </c>
      <c r="S241" t="str">
        <f>IF(BM241="","",IF(BN241="вводной узел","узел ","")&amp;"л."&amp;(INT((BM241-1)/Столбцов_на_лист)+1)&amp;" / "&amp;(MOD(BM241-1,Столбцов_на_лист)+1))</f>
        <v>л.2 / 10</v>
      </c>
      <c r="T241" s="119">
        <f t="shared" si="417"/>
        <v>1.7</v>
      </c>
      <c r="U241" s="7" t="str">
        <f>IF(OR(CG241=0,N(BV241)+N(IB241)=0),"",ROUNDUP(Запас_БП*(N(HY241)+N(HZ241)),0))</f>
        <v/>
      </c>
      <c r="V241" s="119" t="str">
        <f t="shared" si="418"/>
        <v/>
      </c>
      <c r="W241" s="7" t="str">
        <f>IFERROR(IF(OR(B241="",BP241=1,BV241=1,NOT(ISNUMBER(EN241)),N(DT241)=0),"",MAX(0,ROUNDDOWN((c_min*(Uн_лин*1000/SQRT(3))/(HT241*N(DT241))-_xlfn.XLOOKUP(A241,Щиты[Щит],Щиты[Zпетли на шинах, Ом]))*EN241/(2*ρкз_Cu),0))),"")</f>
        <v/>
      </c>
      <c r="Y241">
        <f>Линии[[#This Row],[_авто утечка]]</f>
        <v>30</v>
      </c>
      <c r="Z241">
        <v>1</v>
      </c>
      <c r="AA241">
        <v>230</v>
      </c>
      <c r="AB241" t="s">
        <v>562</v>
      </c>
      <c r="AG241" t="s">
        <v>810</v>
      </c>
      <c r="AI241" t="s">
        <v>561</v>
      </c>
      <c r="AK241" t="str">
        <f>Линии[[#This Row],[_авто модуль]]</f>
        <v/>
      </c>
      <c r="AM241">
        <v>27</v>
      </c>
      <c r="AN241" t="s">
        <v>11</v>
      </c>
      <c r="AO241">
        <v>3</v>
      </c>
      <c r="AQ241">
        <v>28</v>
      </c>
      <c r="AR241">
        <v>72</v>
      </c>
      <c r="AS241">
        <v>7</v>
      </c>
      <c r="BA241" cm="1">
        <f t="array" ref="BA241">ROW()-ROW(Линии[#Headers])</f>
        <v>239</v>
      </c>
      <c r="BC241" s="6" t="str">
        <f t="shared" si="419"/>
        <v>R</v>
      </c>
      <c r="BD241" t="str">
        <f t="shared" si="420"/>
        <v>1.003A.3</v>
      </c>
      <c r="BE241" t="str">
        <f t="shared" si="421"/>
        <v>1</v>
      </c>
      <c r="BF241" t="str">
        <f t="shared" si="422"/>
        <v>003A.3</v>
      </c>
      <c r="BG241" t="str">
        <f t="shared" si="423"/>
        <v>003A</v>
      </c>
      <c r="BH241" t="str">
        <f>IF(X241&lt;&gt;"",X241,IF(AND(B241&lt;&gt;"",B241&lt;&gt;A241,ISNUMBER(_xlfn.XMATCH(B241,Щиты[Щит]))),B241,""))</f>
        <v/>
      </c>
      <c r="BI241" t="str" cm="1">
        <f t="array" ref="BI241">IF(B241="","",IF(BH241&lt;&gt;"","Щит "&amp;BH241,_xlfn.LET(_xlpm.nm,IFERROR(_xlfn.XLOOKUP(BC241,Коды_код,Коды_имя)&amp;"",""),_xlpm.md,IFERROR(N(_xlfn.XLOOKUP(BC241,Коды_код,Коды_режим)),1),_xlpm.ex,IF(Имя_режим="по экспликации",IFERROR(_xlfn.XLOOKUP(BE241&amp;"|"&amp;BG241,Экспликация[Этаж]&amp;"|"&amp;Экспликация[Помещение],Экспликация[Название])&amp;"",""),""),_xlpm.rm,IF(BG241="","",IF(_xlpm.ex&lt;&gt;"",". "&amp;_xlpm.ex&amp;IF(Имя_пом="нет"," ("&amp;BG241&amp;")"," (пом. "&amp;BG241&amp;")"),IF(Имя_пом="нет"," ",", пом. ")&amp;BG241)),IF(_xlpm.nm="","",IF(_xlpm.md=2,_xlpm.nm&amp;" шлейф "&amp;BE241,_xlpm.nm&amp;_xlpm.rm)))))</f>
        <v>Розеточная группа, пом. 003A</v>
      </c>
      <c r="BJ241" t="str">
        <f t="shared" si="424"/>
        <v>Розеточная группа, пом. 003A</v>
      </c>
      <c r="BK241">
        <f>IFERROR(_xlfn.XMATCH(A241,Щиты[Щит]),0)</f>
        <v>10</v>
      </c>
      <c r="BL241">
        <f>_xlfn.LET(_xlpm.k,IFERROR(_xlfn.XLOOKUP(A241,Щиты[Щит],Щиты[Мест под вводной узел]),""),IF(_xlpm.k="",Столбцов_на_лист,N(_xlpm.k)))</f>
        <v>8</v>
      </c>
      <c r="BM241">
        <f t="shared" si="425"/>
        <v>27</v>
      </c>
      <c r="BN241" t="str">
        <f t="shared" si="426"/>
        <v>линии</v>
      </c>
      <c r="BO241" s="6">
        <f>IFERROR(N(_xlfn.XLOOKUP(BC241,Коды_код,Коды_квт)),0)</f>
        <v>0</v>
      </c>
      <c r="BP241">
        <f t="shared" si="427"/>
        <v>0</v>
      </c>
      <c r="BQ241" t="str">
        <f>IF(B241="","",IF(BH241&lt;&gt;"",IFERROR(_xlfn.XLOOKUP(BH241,Щиты[Щит],Щиты[Руст, кВт]),0),IF(BP241=1,IF(OR(N(_xlfn.XLOOKUP(A241,Щиты[Щит],Щиты[Вводов],1))&lt;=1,LOWER(TRIM(_xlfn.XLOOKUP(A241,Щиты[Щит],Щиты[АВР],"")&amp;""))="да"),IFERROR(_xlfn.XLOOKUP(A241,Щиты[Щит],Щиты[Руст, кВт]),0),SUMIFS(Линии[_Р для вводов],Линии[Щит],A241,Линии[Источник для режимов],GF241)),IF(BO241&gt;0,ROUND(BO241*MAX(1,N(D241)),3),""))))</f>
        <v/>
      </c>
      <c r="BR241">
        <f t="shared" si="428"/>
        <v>0.36</v>
      </c>
      <c r="BS241" s="6">
        <f>IF(B241="","",IF(BH241&lt;&gt;"",IFERROR(_xlfn.XLOOKUP(BH241,Щиты[Щит],Щиты[Руст, кВт]),0),N(BR241)))</f>
        <v>0.36</v>
      </c>
      <c r="BT241" t="str">
        <f>IF(B241="","",IFERROR(IF(VLOOKUP(BC241,Потребители_обозначение,8,FALSE)=0,"",VLOOKUP(BC241,Потребители_обозначение,8,FALSE)),""))</f>
        <v/>
      </c>
      <c r="BU241">
        <f t="shared" si="429"/>
        <v>230</v>
      </c>
      <c r="BV241">
        <f t="shared" si="430"/>
        <v>0</v>
      </c>
      <c r="BW241">
        <f>IF(B241="","",IF(BH241&lt;&gt;"",3,IFERROR(IF(N(VLOOKUP(BC241,Потребители_обозначение,9,FALSE))=0,1,VLOOKUP(BC241,Потребители_обозначение,9,FALSE)),1)))</f>
        <v>1</v>
      </c>
      <c r="BX241">
        <f t="shared" si="431"/>
        <v>1</v>
      </c>
      <c r="BY241" t="str">
        <f>IF(B241="","",_xlfn.LET(_xlpm.bc,IFERROR(IF(VLOOKUP(BC241,Потребители_обозначение,6,FALSE)=0,"",VLOOKUP(BC241,Потребители_обозначение,6,FALSE)&amp;""),""),IF(AND(GA241="да",OR(_xlpm.bc="",_xlpm.bc="мс")),Марка_пож,IF(AND(_xlpm.bc="",BH241&lt;&gt;""),"мс",_xlpm.bc))))</f>
        <v/>
      </c>
      <c r="BZ241" t="str">
        <f t="shared" si="432"/>
        <v>мс</v>
      </c>
      <c r="CA241">
        <f>IF(B241="","",_xlfn.LET(_xlpm.cc,IFERROR(N(VLOOKUP(BC241,Потребители_обозначение,7,FALSE)),0),IF(_xlpm.cc&gt;0,_xlpm.cc,IF(BZ241="","",IF(BV241=1,2,IF(N(BX241)=3,5,3))))))</f>
        <v>3</v>
      </c>
      <c r="CB241">
        <f t="shared" si="433"/>
        <v>3</v>
      </c>
      <c r="CC241">
        <f>IFERROR(N(VLOOKUP(BC241,Потребители_обозначение,10,FALSE)),0)</f>
        <v>0</v>
      </c>
      <c r="CD241">
        <f>IFERROR(VLOOKUP(BC241,Потребители_обозначение,5,FALSE),0)</f>
        <v>1</v>
      </c>
      <c r="CE241" s="6" cm="1">
        <f t="array" ref="CE241">IF(B241="","",IF(BH241&lt;&gt;"",IFERROR(_xlfn.XLOOKUP(BH241,Щиты[Щит],Щиты[cos φ]),0.95),IF(BP241=1,IFERROR(_xlfn.XLOOKUP(A241,Щиты[Щит],Щиты[cos φ]),0.95),IF(ISNUMBER(AD241),AD241,IFERROR(IF(CD241=2,_xlfn.IFS(BX241=3,VLOOKUP(BS241,Справочная_двигатели,8,FALSE),BX241=1,VLOOKUP(BS241,Справочная_двигатели,10,TRUE)),IF(AND(Методика="нормы 2026",FG241="Сил"),0.8,0.95)),0.95)))))</f>
        <v>0.95</v>
      </c>
      <c r="CF241">
        <f t="shared" si="434"/>
        <v>0</v>
      </c>
      <c r="CG241">
        <f t="shared" si="435"/>
        <v>1</v>
      </c>
      <c r="CH241">
        <f t="shared" si="436"/>
        <v>0</v>
      </c>
      <c r="CI241">
        <f>IF(B241="","",IF(BV241=1,IFERROR(BS241/((Uн_лин/SQRT(3))*MAX(0.5,N(CE241))),0),N(O241)))</f>
        <v>1.6408902387494626</v>
      </c>
      <c r="CJ241">
        <f t="shared" si="437"/>
        <v>0</v>
      </c>
      <c r="CK241">
        <f t="shared" si="438"/>
        <v>0</v>
      </c>
      <c r="CL241">
        <f t="shared" si="439"/>
        <v>0</v>
      </c>
      <c r="CM241">
        <f t="shared" si="440"/>
        <v>0</v>
      </c>
      <c r="CN241">
        <f t="shared" si="441"/>
        <v>0</v>
      </c>
      <c r="CO241">
        <f>IF(BC241="",0,_xlfn.LET(_xlpm.v,IFERROR(_xlfn.XLOOKUP(B241,Коды_код,Коды_мА),IFERROR(_xlfn.XLOOKUP(BC241,Коды_код,Коды_мА),IFERROR(_xlfn.XLOOKUP(LEFT(BC241,2),Коды_код,Коды_мА),""))),IF(_xlpm.v="да",30,IF(ISNUMBER(_xlpm.v),_xlpm.v,0))))</f>
        <v>30</v>
      </c>
      <c r="CP241">
        <f t="shared" si="442"/>
        <v>30</v>
      </c>
      <c r="CQ241" t="str">
        <f>_xlfn.LET(_xlpm.k,IFERROR(_xlfn.XLOOKUP(BC241,Коды_код,Коды_утечка)&amp;"",""),IF(_xlpm.k="","дифавтомат",_xlpm.k))</f>
        <v>дифавтомат</v>
      </c>
      <c r="CR241" t="str" cm="1">
        <f t="array" ref="CR241">IF(CG241=0,"",_xlfn.LET(_xlpm.sg,TRIM(_xlfn.TEXTSPLIT(DD241&amp;"",";")),_xlpm.f_,_xlfn._xlws.FILTER(_xlpm.sg,LEFT(_xlpm.sg,3)="УЗО",""),IFERROR(INDEX(_xlpm.f_,1)&amp;"","")))</f>
        <v/>
      </c>
      <c r="CS241" t="str">
        <f t="shared" si="443"/>
        <v/>
      </c>
      <c r="CT241" s="6" t="str" cm="1">
        <f t="array" ref="CT241">IF(CR241="","",_xlfn.LET(_xlpm.tk,_xlfn.TEXTSPLIT(UPPER(CR241)," ",,TRUE),_xlpm.a_,_xlfn._xlws.FILTER(_xlpm.tk,ISNUMBER(--LEFT(_xlpm.tk,1))*((ISNUMBER(SEARCH("А",_xlpm.tk))+ISNUMBER(SEARCH("A",_xlpm.tk)))&gt;0)*NOT(ISNUMBER(SEARCH("МА",_xlpm.tk)))*NOT(ISNUMBER(SEARCH("MA",_xlpm.tk))),""),IFERROR(--SUBSTITUTE(SUBSTITUTE(INDEX(_xlpm.a_,1),"А",""),"A",""),"")))</f>
        <v/>
      </c>
      <c r="CU241" t="str" cm="1">
        <f t="array" ref="CU241">IF(CR241="","",_xlfn.LET(_xlpm.tk,_xlfn.TEXTSPLIT(UPPER(CR241)," ",,TRUE),_xlpm.a_,_xlfn._xlws.FILTER(_xlpm.tk,ISNUMBER(--LEFT(_xlpm.tk,1))*((ISNUMBER(SEARCH("МА",_xlpm.tk))+ISNUMBER(SEARCH("MA",_xlpm.tk)))&gt;0),""),IFERROR(--SUBSTITUTE(SUBSTITUTE(INDEX(_xlpm.a_,1),"МА",""),"MA",""),30)))</f>
        <v/>
      </c>
      <c r="CV241" t="str">
        <f>IF(CS241="","",IFERROR(_xlfn.XLOOKUP(CS241,Линии[_n],Линии[_УЗО, мА]),30))</f>
        <v/>
      </c>
      <c r="CW241">
        <f>IF(CS241="",0,IF(ISNUMBER(SEARCH("4P",IFERROR(_xlfn.XLOOKUP(CS241,Линии[_n],Линии[_УЗО строки])&amp;"",""))),0,1))</f>
        <v>0</v>
      </c>
      <c r="CX241" t="str">
        <f>IF(AND(CS241&lt;&gt;"",CS241=BA241),SUMIFS(Линии[_ток на 230 В],Линии[_блок УЗО],BA241,Линии[Щит],A241),"")</f>
        <v/>
      </c>
      <c r="CY241" t="str">
        <f>IF(AND(CS241&lt;&gt;"",CS241=BA241),SUMIFS(Линии[_ток утечки линии, мА],Линии[_блок УЗО],BA241,Линии[Щит],A241),"")</f>
        <v/>
      </c>
      <c r="CZ241">
        <f t="shared" si="444"/>
        <v>30</v>
      </c>
      <c r="DA241">
        <f t="shared" si="445"/>
        <v>30</v>
      </c>
      <c r="DB241">
        <f>IF(B241="",0,IFERROR(--_xlfn.XLOOKUP(B241,Коды_код,Коды_минавт),IFERROR(--_xlfn.XLOOKUP(BC241,Коды_код,Коды_минавт),IFERROR(--_xlfn.XLOOKUP(LEFT(BC241,2),Коды_код,Коды_минавт),0))))</f>
        <v>16</v>
      </c>
      <c r="DC241" t="str">
        <f>IF(B241="","",IFERROR(_xlfn.XLOOKUP(BC241,Коды_код,Коды_апп)&amp;"",""))</f>
        <v/>
      </c>
      <c r="DD241" t="str">
        <f t="shared" si="446"/>
        <v/>
      </c>
      <c r="DE241" t="str" cm="1">
        <f t="array" ref="DE241">IF(TRIM(DD241&amp;"")="","",IFERROR(TRIM(INDEX(_xlfn.TEXTSPLIT(DD241&amp;";;;",";"),1)),""))</f>
        <v/>
      </c>
      <c r="DF241" t="str" cm="1">
        <f t="array" ref="DF241">IF(TRIM(DD241&amp;"")="","",IFERROR(TRIM(INDEX(_xlfn.TEXTSPLIT(DD241&amp;";;;",";"),2)),""))</f>
        <v/>
      </c>
      <c r="DG241" t="str" cm="1">
        <f t="array" ref="DG241">IF(TRIM(DD241&amp;"")="","",IFERROR(TRIM(INDEX(_xlfn.TEXTSPLIT(DD241&amp;";;;",";"),3)),""))</f>
        <v/>
      </c>
      <c r="DH241">
        <f t="shared" si="447"/>
        <v>0</v>
      </c>
      <c r="DI241" t="str">
        <f>IF(B241="","",_xlfn.LET(_xlpm.t,LOWER(AZ241&amp;""),IF(ISNUMBER(SEARCH("dim",_xlpm.t)),"DIM",IF(ISNUMBER(SEARCH("dali",_xlpm.t)),"DALI",IF(OR(ISNUMBER(SEARCH("relay",_xlpm.t)),ISNUMBER(SEARCH("реле",_xlpm.t))),"Relay",IF(ISNUMBER(SEARCH("кнопк",_xlpm.t)),"",IFERROR(_xlfn.XLOOKUP(BC241,Коды_код,Коды_упр)&amp;"","")))))))</f>
        <v/>
      </c>
      <c r="DJ241" t="str">
        <f t="shared" si="448"/>
        <v/>
      </c>
      <c r="DK241">
        <f>IF(B241="","",_xlfn.LET(_xlpm.ig,IF(N(CX241)&gt;0,N(CX241),N(CI241)+IF(AJ241="вручную",0,N(CJ241))),_xlpm.n0,IFERROR(VLOOKUP(_xlpm.ig,Автомат_номиналы,2,TRUE),0),_xlpm.mn,MAX(DB241,IF(AJ241="вручную",0,N(CM241))),MAX(_xlpm.n0,_xlpm.mn,IF(DH241=1,Мин_автомат_БП,0))))</f>
        <v>16</v>
      </c>
      <c r="DL241">
        <f t="shared" si="449"/>
        <v>1</v>
      </c>
      <c r="DM241" t="str">
        <f t="shared" si="450"/>
        <v>2P</v>
      </c>
      <c r="DN241" t="str">
        <f>_xlfn.LET(_xlpm.cc,UPPER(TRIM(IFERROR(_xlfn.XLOOKUP(BC241,Коды_код,Коды_хар)&amp;"",""))),IF(OR(_xlpm.cc="B",_xlpm.cc="В"),"B",IF(_xlpm.cc="D","D","С")))</f>
        <v>С</v>
      </c>
      <c r="DO241" t="str">
        <f t="shared" si="451"/>
        <v>2P С16А 30мА</v>
      </c>
      <c r="DP241" t="str">
        <f t="shared" si="452"/>
        <v>2P С16А 30мА</v>
      </c>
      <c r="DQ241" t="str">
        <f t="shared" si="453"/>
        <v>2P С16А 30мА</v>
      </c>
      <c r="DR241" cm="1">
        <f t="array" ref="DR241">IF(DQ241="","",_xlfn.LET(_xlpm.t,SUBSTITUTE(SUBSTITUTE(SUBSTITUTE(UPPER(DQ241),"С","C"),"А","A"),"В","B"),_xlpm.tk,_xlfn.TEXTSPLIT(_xlpm.t," "),_xlpm.f,_xlfn._xlws.FILTER(_xlpm.tk,ISNUMBER(--MID(_xlpm.tk,2,1))*ISNUMBER(SEARCH(LEFT(_xlpm.tk,1)&amp;"#","B#C#D#"))*(LEN(_xlpm.tk)&gt;1),""),_xlpm.x,INDEX(_xlpm.f,1),IFERROR(--SUBSTITUTE(MID(_xlpm.x,2,9),"A",""),IFERROR(--SUBSTITUTE(INDEX(_xlfn._xlws.FILTER(_xlpm.tk,ISNUMBER(--SUBSTITUTE(_xlpm.tk,"A","")),""),1),"A",""),""))))</f>
        <v>16</v>
      </c>
      <c r="DS241" t="str">
        <f t="shared" si="454"/>
        <v>ok</v>
      </c>
      <c r="DT241">
        <f t="shared" si="455"/>
        <v>16</v>
      </c>
      <c r="DU241" t="str">
        <f t="shared" si="456"/>
        <v>2P С16А 30мА</v>
      </c>
      <c r="DV241">
        <f t="shared" si="457"/>
        <v>30</v>
      </c>
      <c r="DW241">
        <f t="shared" si="458"/>
        <v>1</v>
      </c>
      <c r="DX241">
        <f t="shared" si="459"/>
        <v>0</v>
      </c>
      <c r="DY241">
        <f t="shared" si="460"/>
        <v>1.6408902387494626</v>
      </c>
      <c r="DZ241">
        <f t="shared" si="461"/>
        <v>1</v>
      </c>
      <c r="EA241">
        <f>IF(ISNUMBER(AP241),AP241,К_прокл)</f>
        <v>1</v>
      </c>
      <c r="EB241">
        <f t="shared" si="462"/>
        <v>2</v>
      </c>
      <c r="EC241">
        <f>IFERROR(N(VLOOKUP(BZ241,Кабель_обозначение,3,FALSE)),1)</f>
        <v>1</v>
      </c>
      <c r="ED241">
        <f>IFERROR(N(_xlfn.XLOOKUP(A241,Щиты[Щит],Щиты[ΔU до шин, %])),0)</f>
        <v>1.19</v>
      </c>
      <c r="EE241" t="str">
        <f>IFERROR(_xlfn.XLOOKUP(A241,Щиты[Щит],Щиты[Zпетли на шинах, Ом]),"")</f>
        <v/>
      </c>
      <c r="EF241">
        <f>IFERROR(N(_xlfn.XLOOKUP(A241,Щиты[Щит],Щиты[ΔU до шин (подбор), %])),0)</f>
        <v>1.19</v>
      </c>
      <c r="EG241" t="str">
        <f>IFERROR(_xlfn.XLOOKUP(A241,Щиты[Щит],Щиты[Zпетли на шинах (подбор), Ом]),"")</f>
        <v/>
      </c>
      <c r="EH241" t="str">
        <f t="shared" si="463"/>
        <v/>
      </c>
      <c r="EI241">
        <f t="shared" si="464"/>
        <v>56</v>
      </c>
      <c r="EJ241">
        <f t="shared" si="465"/>
        <v>2</v>
      </c>
      <c r="EK241">
        <f t="shared" si="466"/>
        <v>0.31</v>
      </c>
      <c r="EL241" s="6">
        <f>IF(B241="","",IF(BV241=1,dU_LED,IF(IFERROR(_xlfn.XLOOKUP(BC241,Коды_код,Коды_уго),"")="Светильник",3,4)+IF(Методика="нормы 2026",MIN(0.5,MAX(0,N(P241)-100)*0.005),0)))</f>
        <v>4.0350000000000001</v>
      </c>
      <c r="EM241" cm="1">
        <f t="array" ref="EM241">IF(OR(B241="",BZ241="",EC241&lt;&gt;1),"",_xlfn.LET(_xlpm.sz,Iдоп_S,_xlpm.t_,CHOOSE(EB241,Iдоп_1ж,Iдоп_2ж,Iдоп_3ж)*DZ241*EA241,_xlpm.dcx,BV241=1,_xlpm.inn,IF(_xlpm.dcx,N(O241),N(DT241)),_xlpm.smin,MAX(1.5,CC241),_xlpm.L_,N(P241)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241)/N(BU241)*100,999),IFERROR(N(EJ241)*(_xlpm.rho*_xlpm.L_/_xlpm.sz*N(CE241)+_xlpm.xx*_xlpm.L_*N(EK241)/1000)*N(O241)/((Uн_лин/SQRT(3))*1000)*100,999)),_xlpm.kz,IF(OR(_xlpm.dcx,DW241=1,NOT(ISNUMBER(EG241)),_xlpm.L_=0,_xlpm.inn=0),1,IFERROR(--(c_min*(Uн_лин*1000/SQRT(3))/(EG241+2*ρкз_Cu*_xlpm.L_/_xlpm.sz)&gt;=HT241*_xlpm.inn),0)),_xlpm.ok,IFERROR((_xlpm.sz&gt;=_xlpm.smin)*(_xlpm.t_&gt;=_xlpm.inn)*IF(_xlpm.L_&gt;0,(_xlpm.du_+IF(_xlpm.dcx,0,EF241)&lt;=EL241+0.00001),1)*_xlpm.kz,0),_xlpm.r_,_xlfn._xlws.FILTER(_xlpm.sz,_xlpm.ok,"не подобрано"),INDEX(_xlpm.r_,1)))</f>
        <v>1.5</v>
      </c>
      <c r="EN241">
        <f t="shared" si="467"/>
        <v>2.5</v>
      </c>
      <c r="EO241" cm="1">
        <f t="array" ref="EO241">IF(OR(B241="",BZ241="",EC241&lt;&gt;1),"",_xlfn.LET(_xlpm.sz,Iдоп_S,_xlpm.t_,CHOOSE(EB241,Iдоп_1ж,Iдоп_2ж,Iдоп_3ж)*DZ241*EA241,_xlpm.ok,IFERROR((_xlpm.sz&gt;=MAX(1.5,CC241))*(_xlpm.t_&gt;=N(DT241)),0),_xlpm.r_,_xlfn._xlws.FILTER(_xlpm.sz,_xlpm.ok,""),INDEX(_xlpm.r_,1)))</f>
        <v>1.5</v>
      </c>
      <c r="EP241" s="6" cm="1">
        <f t="array" ref="EP241">IFERROR(ROUNDUP(N(EJ241)*(_xlfn.XLOOKUP(EO241,INDEX(Кабель_сопротивление,0,1),INDEX(Кабель_сопротивление,0,3))*N(P241)/EO241*N(CE241)+_xlfn.XLOOKUP(EO241,INDEX(Кабель_сопротивление,0,1),INDEX(Кабель_сопротивление,0,2))*N(P241)*N(EK241)/1000)*N(O241)/((Uн_лин/SQRT(3))*1000)*100,2),"")</f>
        <v>2.1799999999999997</v>
      </c>
      <c r="EQ241">
        <f>IFERROR(2*ρкз_Cu*N(P241)/EO241,"")</f>
        <v>3.7521333333333335</v>
      </c>
      <c r="ER241">
        <f>IFERROR(VLOOKUP(EN241,Кабель_сопротивление,3,FALSE),"")</f>
        <v>2.2499999999999999E-2</v>
      </c>
      <c r="ES241">
        <f>IFERROR(VLOOKUP(EN241,Кабель_сопротивление,2,FALSE),"")</f>
        <v>0.1</v>
      </c>
      <c r="ET241">
        <f t="shared" si="468"/>
        <v>72</v>
      </c>
      <c r="EU241">
        <f t="shared" si="469"/>
        <v>7</v>
      </c>
      <c r="EV241">
        <f t="shared" si="470"/>
        <v>3.013222535683755</v>
      </c>
      <c r="EW241" s="6">
        <f>IFERROR(ROUNDUP(EV241/IF(BV241=1,BU241,(Uн_лин/SQRT(3))*1000)*100,2),"")</f>
        <v>1.31</v>
      </c>
      <c r="EX241" t="str">
        <f>IFERROR(VLOOKUP(BZ241,Кабель_обозначение,2,FALSE),"")</f>
        <v>ВВГнг(А)-LS</v>
      </c>
      <c r="EY241" t="str">
        <f t="shared" si="471"/>
        <v>ВВГнг(А)-LS (3х2,5)</v>
      </c>
      <c r="EZ241" t="str">
        <f t="shared" si="472"/>
        <v>ВВГнг(А)-LS (3х2,5)
L=107-1,31%</v>
      </c>
      <c r="FA241">
        <f>IFERROR(2*ρкз_Cu*P241/EN241,"")</f>
        <v>2.2512800000000004</v>
      </c>
      <c r="FB241">
        <f t="shared" si="473"/>
        <v>0.74900000000000011</v>
      </c>
      <c r="FC241" s="6" t="str">
        <f>IFERROR(IF(OR(B241="",BV241=1,NOT(ISNUMBER(EN241)),N(P241)=0),"",_xlfn.XLOOKUP(A241,Щиты[Щит],Щиты[Zпетли на шинах, Ом])+FA241),"")</f>
        <v/>
      </c>
      <c r="FD241" s="6" t="str">
        <f>IF(ISNUMBER(FC241),c_min*(Uн_лин*1000/SQRT(3))/FC241,"")</f>
        <v/>
      </c>
      <c r="FE241" s="6" t="str">
        <f>IFERROR(IF(OR(B241="",NOT(ISNUMBER(EN241))),"",1.05*(Uн_лин*1000/SQRT(3))/(_xlfn.XLOOKUP(A241,Щиты[Щит],Щиты[Zmax на шинах, Ом])+FB241)/1000),"")</f>
        <v/>
      </c>
      <c r="FF241" s="6" t="str">
        <f>IF(B241="","",IF(ISNUMBER(AC241),"Сил",IF(IFERROR(_xlfn.XLOOKUP(BC241,Коды_код,Коды_группа)&amp;"","")="","Быт",_xlfn.XLOOKUP(BC241,Коды_код,Коды_группа)&amp;"")))</f>
        <v>Быт</v>
      </c>
      <c r="FG241" s="6" t="str">
        <f t="shared" si="474"/>
        <v>Быт</v>
      </c>
      <c r="FH241" s="6">
        <f>IF(FG241="Щит","щит",IF(FG241="","",IF(FG241="Быт",IFERROR(_xlfn.XLOOKUP(A241,Щиты[Щит],Щиты[Кс быт]),1),IF(FG241="Сил",IF(ISNUMBER(AC241),AC241,IF(Методика="нормы 2026",IFERROR(_xlfn.XLOOKUP(A241,Щиты[Щит],Щиты[Кс силовых (табл. 7.5)]),1),1)),IF(OR(FG241="Пост",FG241="Отоп"),1,IF(FG241="ВНГ",0.7,0))))))</f>
        <v>0.57830000000000004</v>
      </c>
      <c r="FI241">
        <f>IF(FG241="","",IF(AND(BP241=1,TRIM(AE241&amp;"")=""),IF(COUNTIFS(Линии[Щит],A241,Линии[Секция (1/2/3)],"&gt;=2")&gt;0,MIN(3,MAX(1,IFERROR(--BD241,1))),1),IFERROR(MIN(3,MAX(1,INT(--AE241))),1)))</f>
        <v>1</v>
      </c>
      <c r="FJ241">
        <f t="shared" si="475"/>
        <v>0.36</v>
      </c>
      <c r="FK241">
        <f t="shared" si="476"/>
        <v>0.36</v>
      </c>
      <c r="FL241">
        <f t="shared" si="477"/>
        <v>0</v>
      </c>
      <c r="FM241">
        <f t="shared" si="478"/>
        <v>0</v>
      </c>
      <c r="FN241">
        <f t="shared" si="479"/>
        <v>0</v>
      </c>
      <c r="FO241">
        <f t="shared" si="480"/>
        <v>0</v>
      </c>
      <c r="FP241">
        <f t="shared" si="481"/>
        <v>0.36</v>
      </c>
      <c r="FQ241">
        <f t="shared" si="482"/>
        <v>0.36</v>
      </c>
      <c r="FR241">
        <f t="shared" si="483"/>
        <v>0.34199999999999997</v>
      </c>
      <c r="FS241">
        <f>IF(CG241=1,IF(AND(CH241=1,CW241=1),0,IF(AND(CS241&lt;&gt;"",CS241=BA241,CW241=1),SUMIFS(Линии[_Р линии, кВт],Линии[_блок УЗО],BA241,Линии[Щит],A241),N(BS241)+IF(AJ241="вручную",0,N(CK241)))),0)</f>
        <v>0.36</v>
      </c>
      <c r="FT241" t="str">
        <f t="shared" si="484"/>
        <v/>
      </c>
      <c r="FU241" t="str">
        <f>IF(B241="","",IF(CG241=0,IF(BA241=1,"",FW240),IF(AND(CH241=1,CW241=1,CS241&lt;&gt;""),IFERROR(_xlfn.XLOOKUP(CS241,Линии[_n],Линии[_фаза итог]),"L1"),IF(OR(N(DL241)&gt;=3,N(BX241)&gt;=3),"L1,L2,L3",IFERROR(_xlfn.TEXTBEFORE(_xlfn.TEXTAFTER(_xlfn.XLOOKUP(A241,Щиты[Щит],Щиты[_фазы авто]),";"&amp;BA241&amp;":"),";"),"L1")))))</f>
        <v>L1</v>
      </c>
      <c r="FV241" t="str">
        <f t="shared" si="485"/>
        <v>L1</v>
      </c>
      <c r="FW241" t="str">
        <f t="shared" si="486"/>
        <v>L1</v>
      </c>
      <c r="FX241" cm="1">
        <f t="array" ref="FX241">IFERROR(IF(CD241=2,_xlfn.IFS(BX241=3,VLOOKUP(BS241,Справочная_двигатели,3,FALSE),BX241=1,VLOOKUP(BS241,Справочная_двигатели,5,TRUE)),0),0)</f>
        <v>0</v>
      </c>
      <c r="FY241">
        <f>IFERROR(IF(CD241=3,VLOOKUP(BS241,Справочная_ЛЭД,2,TRUE),0),0)</f>
        <v>0</v>
      </c>
      <c r="FZ241" s="6">
        <f t="shared" si="487"/>
        <v>0</v>
      </c>
      <c r="GA241" t="str">
        <f>IF(B241="","",IF(TRIM(AH241&amp;"")&lt;&gt;"",IF(LOWER(TRIM(AH241&amp;""))="да","да","нет"),IF(IFERROR(_xlfn.XLOOKUP(BC241,Коды_код,Коды_пожарная),"")="да","да","нет")))</f>
        <v>нет</v>
      </c>
      <c r="GB241" t="str">
        <f t="shared" si="488"/>
        <v/>
      </c>
      <c r="GC241" t="str">
        <f t="shared" si="489"/>
        <v>основная</v>
      </c>
      <c r="GD241">
        <f>IF(AND(BP241=1,TRIM(AE241&amp;"")=""),IF(COUNTIFS(Линии[Щит],A241,Линии[Секция (1/2/3)],"&gt;=2")&gt;0,MIN(3,MAX(1,IFERROR(--BD241,1))),1),IFERROR(MIN(3,MAX(1,INT(--AE241))),1))</f>
        <v>1</v>
      </c>
      <c r="GE241" t="str" cm="1">
        <f t="array" ref="GE241">IF(B241="","",_xlfn.LET(_xlpm.t,IFERROR(_xlfn.XLOOKUP(1,(Шины[Шина]=GC241)*(((Шины[Щит]=A241)+(Шины[Щит]=""))&gt;0),Шины[Тип]),"")&amp;"",IF(_xlpm.t&lt;&gt;"",_xlpm.t,IF(ISNUMBER(SEARCH("ИБП",GC241)),"ИБП",IF(ISNUMBER(SEARCH("ДГУ",GC241)),"ДГУ","Ввод "&amp;GD241)))))</f>
        <v>Ввод 1</v>
      </c>
      <c r="GF241" t="str">
        <f t="shared" si="490"/>
        <v>Ввод 1</v>
      </c>
      <c r="GG241" t="str">
        <f>IF(BP241=0,"",IF(TRIM(AG241&amp;"")&lt;&gt;"",TRIM(AG241&amp;""),IF(OR(GE241="ИБП",GE241="ДГУ"),"I особая",_xlfn.XLOOKUP(A241,Щиты[Щит],Щиты[Категория шины «Ввод»],"III"))))</f>
        <v/>
      </c>
      <c r="GH241" t="str">
        <f>IF(A241="","",_xlfn.XLOOKUP(A241,Щиты[Щит],Щиты[Путь],""))</f>
        <v>|ГРЩ-ЖД|ЩР-1|</v>
      </c>
      <c r="GI241" t="str">
        <f>IF(B241="","",IF(AI241&lt;&gt;"",AI241,IF(IFERROR(_xlfn.XLOOKUP(BC241,Коды_код,Коды_вид)&amp;"","")="","Прочее",_xlfn.XLOOKUP(BC241,Коды_код,Коды_вид)&amp;"")))</f>
        <v>Розеточная сеть и бытовые приборы</v>
      </c>
      <c r="GJ241">
        <f>IF(BM241="","",INT((BM241-1)/Столбцов_на_лист)+1)</f>
        <v>2</v>
      </c>
      <c r="GK241" t="str">
        <f t="shared" si="491"/>
        <v>ВВГнг(А)-LS (3х2,5) L=107-1,31%</v>
      </c>
      <c r="GL241">
        <f t="shared" si="492"/>
        <v>0.36</v>
      </c>
      <c r="GM241">
        <f t="shared" si="493"/>
        <v>1.65</v>
      </c>
      <c r="GN241">
        <f t="shared" si="494"/>
        <v>1</v>
      </c>
      <c r="GO241">
        <f t="shared" si="495"/>
        <v>0</v>
      </c>
      <c r="GP241">
        <f t="shared" si="496"/>
        <v>1</v>
      </c>
      <c r="GQ241">
        <f>IF(BM241="","",IF(AND(CG241=1,GP241=1),COUNTIFS(A$3:A241,A241,CG$3:CG241,1,GP$3:GP241,1),IF(OR(OR(BA241=1,A241&lt;&gt;A240),AJ241="вручную",GP241=0),"",IF(BA241=1,"",GR240))))</f>
        <v>17</v>
      </c>
      <c r="GR241">
        <f t="shared" si="497"/>
        <v>17</v>
      </c>
      <c r="GS241">
        <f>IF(B241="","",IFERROR(LOOKUP(INDEX(CHOOSE(EB241,Iдоп_1ж,Iдоп_2ж,Iдоп_3ж),MATCH(EN241,Iдоп_S,0))*DZ241*EA241,{6,10,16,20,25,32,40,50,63,80,100,125,160,200,250,315,400,500,630}),""))</f>
        <v>25</v>
      </c>
      <c r="GT241" t="str">
        <f t="shared" si="498"/>
        <v>QFD17</v>
      </c>
      <c r="GU241" t="str">
        <f t="shared" si="499"/>
        <v>QFD17</v>
      </c>
      <c r="GV241" t="str">
        <f t="shared" si="500"/>
        <v/>
      </c>
      <c r="GW241">
        <f t="shared" si="501"/>
        <v>0</v>
      </c>
      <c r="GX241" t="str">
        <f>IF(OR(B241="",DJ241=""),"",IFERROR(_xlfn.XLOOKUP(DJ241,Модули_умолч[Управление],Модули_умолч[Модель])&amp;"",""))</f>
        <v/>
      </c>
      <c r="GY241">
        <f>IF(DJ241="",1,IFERROR(MAX(0,N(_xlfn.XLOOKUP(DJ241,Модули_умолч[Управление],Модули_умолч[Каналов на линию]))),1))</f>
        <v>1</v>
      </c>
      <c r="GZ241" t="str">
        <f t="shared" si="502"/>
        <v/>
      </c>
      <c r="HA241" t="str">
        <f t="shared" si="503"/>
        <v/>
      </c>
      <c r="HB241" t="str">
        <f t="shared" si="504"/>
        <v/>
      </c>
      <c r="HC241">
        <f>IF(HB241="",0,IFERROR(N(VLOOKUP(HB241,Модули_спр,3,FALSE)),0))</f>
        <v>0</v>
      </c>
      <c r="HD241" t="str">
        <f t="shared" si="505"/>
        <v/>
      </c>
      <c r="HE241" t="str">
        <f t="shared" si="506"/>
        <v/>
      </c>
      <c r="HF241" t="str">
        <f>IF(OR(HE241="",HE241="-"),"",IFERROR(VLOOKUP(HE241,Модули_спр,2,FALSE),"R"))</f>
        <v/>
      </c>
      <c r="HG241" t="str">
        <f>IF(HF241="","",HF241&amp;"."&amp;COUNTIFS(A$3:A241,A241,HF$3:HF241,HF241))</f>
        <v/>
      </c>
      <c r="HH241" t="str">
        <f t="shared" si="507"/>
        <v/>
      </c>
      <c r="HI241" t="str">
        <f t="shared" si="508"/>
        <v/>
      </c>
      <c r="HJ241" t="str">
        <f t="shared" si="509"/>
        <v/>
      </c>
      <c r="HK241" t="str">
        <f t="shared" si="510"/>
        <v/>
      </c>
      <c r="HL241">
        <f t="shared" si="511"/>
        <v>1</v>
      </c>
      <c r="HM241" t="str">
        <f>IF(HL241=1,"XT"&amp;COUNTIFS(A$3:A241,A241,HL$3:HL241,1),"")</f>
        <v>XT17</v>
      </c>
      <c r="HN241" t="str">
        <f t="shared" si="512"/>
        <v/>
      </c>
      <c r="HO241" t="str">
        <f t="shared" si="513"/>
        <v>QFD17</v>
      </c>
      <c r="HP241" t="str">
        <f t="shared" si="514"/>
        <v/>
      </c>
      <c r="HQ241" t="str">
        <f t="shared" si="515"/>
        <v>ok</v>
      </c>
      <c r="HR241" t="str">
        <f>IF(OR(HJ241="",HH241=""),"",IF(HJ241+MAX(0,GY241-1)&gt;IFERROR(VLOOKUP(HI241,Модули_спр,3,FALSE),99),"ЛИШНИЙ КАНАЛ",IF(AND(AL241&lt;&gt;"=",GY241&gt;0,COUNTIFS(Линии[_модуль гр.],HH241,Линии[Канал (итог)],HJ241,Линии[Канал],"&lt;&gt;=",Линии[Щит],A241)&gt;1),"ДУБЛЬ КАНАЛА","")))</f>
        <v/>
      </c>
      <c r="HS241" s="6" t="str">
        <f t="shared" si="516"/>
        <v/>
      </c>
      <c r="HT241">
        <f t="shared" si="517"/>
        <v>10</v>
      </c>
      <c r="HU241" t="str">
        <f t="shared" si="518"/>
        <v/>
      </c>
      <c r="HV241">
        <f t="shared" si="519"/>
        <v>1.7263560954997852</v>
      </c>
      <c r="HW241">
        <f t="shared" si="520"/>
        <v>0</v>
      </c>
      <c r="HX241">
        <f t="shared" si="521"/>
        <v>0</v>
      </c>
      <c r="HY241">
        <f t="shared" si="522"/>
        <v>0</v>
      </c>
      <c r="HZ241">
        <f t="shared" si="523"/>
        <v>0</v>
      </c>
      <c r="IA241">
        <f t="shared" si="524"/>
        <v>0</v>
      </c>
      <c r="IB241">
        <f t="shared" si="525"/>
        <v>0</v>
      </c>
      <c r="IC241" t="str">
        <f t="shared" si="526"/>
        <v/>
      </c>
      <c r="ID241" t="str" cm="1">
        <f t="array" ref="ID241">IF(IC241="","",_xlfn.LET(_xlpm.tk,_xlfn.TEXTSPLIT(SUBSTITUTE(SUBSTITUTE(IC241,";"," "),"→"," ")," ",,TRUE),_xlpm.w_,_xlfn._xlws.FILTER(_xlpm.tk,ISNUMBER(--LEFT(_xlpm.tk,1))*((ISNUMBER(SEARCH("W",_xlpm.tk))+ISNUMBER(SEARCH("Вт",_xlpm.tk)))&gt;0),""),IFERROR(--SUBSTITUTE(SUBSTITUTE(UPPER(INDEX(_xlpm.w_,1)),"W",""),"ВТ",""),"")))</f>
        <v/>
      </c>
      <c r="IE241" t="str" cm="1">
        <f t="array" ref="IE241">IF(IC241="","",_xlfn.LET(_xlpm.tk,_xlfn.TEXTSPLIT(SUBSTITUTE(SUBSTITUTE(IC241,";"," "),"→"," ")," ",,TRUE),_xlpm.v_,_xlfn._xlws.FILTER(_xlpm.tk,ISNUMBER(--LEFT(_xlpm.tk,1))*((ISNUMBER(SEARCH("V",_xlpm.tk))+(RIGHT(UPPER(_xlpm.tk))="В"))&gt;0),""),IFERROR(--SUBSTITUTE(SUBSTITUTE(UPPER(INDEX(_xlpm.v_,1)),"V",""),"В",""),"")))</f>
        <v/>
      </c>
      <c r="IF241" s="6" t="str">
        <f>IF(OR(BV241=0,HI241="",HJ241=""),"",IFERROR(N(_xlfn.XLOOKUP(HI241,Каталог!$C$4:$C$500,Каталог!$Q$4:$Q$500)),""))</f>
        <v/>
      </c>
      <c r="IG241" s="6" t="str">
        <f>IF(N(IF241)=0,"",SUMIFS(Линии[Iр, А],Линии[Щит],A241,Линии[_модуль гр.],HH241,Линии[Канал (итог)],HJ241))</f>
        <v/>
      </c>
      <c r="IH241" t="str">
        <f>IF(AND(B241="",HO241=""),"",_xlfn.TEXTJOIN("; ",TRUE,IF(AND(B241&lt;&gt;"",FV241=""),"нет фазы",""),IF(AND(B241&lt;&gt;"",N(GL241)=0,FG241&lt;&gt;"Нет"),"нет мощности",""),IF(AND(HN241&lt;&gt;"",COUNTIFS(Линии[Щит],A241,Линии[Клемма (итог)],HN241)&gt;1),"дубль клеммы "&amp;HN241,""),IF(AND(HQ241&lt;&gt;"",HQ241&lt;&gt;"ok"),HQ241,""),IF(HR241&lt;&gt;"",HR241,""),IF(AND(N(CB241)&gt;=4,N(BX241)=1),CB241&amp;" жил на 1 фазе",""),IF(AND(BC241="R",CG241=1,IF(CS241&lt;&gt;"",N(CV241)&gt;30,OR(N(DA241)=0,N(DA241)&gt;30))),"розетка без дифзащиты до 30 мА",""),IF(AND(CG241=1,N(DA241)&gt;0,ISNUMBER(T241)),IF(T241&gt;N(DA241)/3,"ток утечки "&amp;FIXED(T241,1)&amp;" мА &gt; 1/3 уставки ("&amp;DA241&amp;" мА)",""),""),IF(AND(CH241=1,CS241=""),"«узо»: нет строки с УЗО выше (УЗО 2P 40А 30мА в «Аппаратах»)",""),IF(AND(CS241&lt;&gt;"",CS241=BA241),IF(CT241="","впишите номинал УЗО (УЗО 2P 40А 30мА)",IF(N(CT241)&lt;N(DT241),"УЗО "&amp;CT241&amp;" А &lt; автомата "&amp;DT241&amp;" А перед ним",IF(N(CT241)&lt;N(CX241),"УЗО "&amp;CT241&amp;" А &lt; тока блока "&amp;FIXED(CX241,1)&amp;" А",""))),""),IF(AND(CS241&lt;&gt;"",CS241=BA241,ISNUMBER(CY241)),IF(CY241&gt;N(CV241)/3,"ток утечки блока УЗО "&amp;FIXED(CY241,1)&amp;" мА &gt; 1/3 уставки ("&amp;CV241&amp;" мА)",""),""),IF(AND(CG241=1,N(BV241)+N(IB241)&gt;0,IC241=""),"линии до 50 В без БП: впишите в «Аппараты» (БП 24V 480W)",""),IF(AND(CG241=1,ISNUMBER(ID241),ISNUMBER(U241)),IF(U241&gt;ID241,"БП "&amp;ID241&amp;" Вт &lt; нужно "&amp;U241&amp;" Вт (×"&amp;Запас_БП&amp;")",""),""),IF(AND(CG241=1,ISNUMBER(IE241),N(BV241)=1),IF(IE241&lt;&gt;N(BU241),"БП на "&amp;IE241&amp;" В, линия "&amp;BU241&amp;" В",""),""),IF(AND(N(IF241)&gt;0,N(IG241)&gt;N(IF241)),HH241&amp;" канал "&amp;HJ241&amp;": "&amp;FIXED(IG241,1)&amp;" А &gt; "&amp;IF241&amp;" А",""),IFERROR(IF(AND(ISNUMBER(Q241),Q241&gt;EL241),"потери "&amp;FIXED(Q241,1)&amp;" % &gt; "&amp;EL241&amp;" %",""),""),IFERROR(IF(LEFT(HU241,4)="мало","Iкз мало — отключение &gt; 0,4 с",""),""),IF(AND(B241&lt;&gt;"",BM241=""),"не на схеме",""),IF(AND(CG241=0,B241&lt;&gt;"",FV241&lt;&gt;"",IF(BA241=1,"",FW240)&lt;&gt;"",FV241&lt;&gt;IF(BA241=1,"",FW240)),"фаза не как у автомата группы ("&amp;IF(BA241=1,"",FW240)&amp;")","")))</f>
        <v/>
      </c>
      <c r="II241" s="6">
        <f>IF(OR(CG241=0,DQ241=""),"",_xlfn.LET(_xlpm.t,IFERROR(_xlfn.XLOOKUP(DQ241,Каталог!$U$4:$U$500,Каталог!$G$4:$G$500),""),_xlpm.k,SEARCH("кА",_xlpm.t),IFERROR(--TRIM(RIGHT(SUBSTITUTE(MID(_xlpm.t,MAX(1,_xlpm.k-4),_xlpm.k-MAX(1,_xlpm.k-4))," ",REPT(" ",9)),5)),"")))</f>
        <v>6</v>
      </c>
      <c r="IJ241" t="str">
        <f>IF(OR(II241="",CG241=0),"",IF(_xlfn.XLOOKUP(A241,Щиты[Щит],Щиты[Iкз max на шинах, кА],"")="","",IF(II241&lt;_xlfn.XLOOKUP(A241,Щиты[Щит],Щиты[Iкз max на шинах, кА]),"Icu "&amp;II241&amp;" кА &lt; Iкз max","ok")))</f>
        <v/>
      </c>
      <c r="IK241" t="str">
        <f t="shared" si="527"/>
        <v/>
      </c>
      <c r="IL241" t="str">
        <f t="shared" si="528"/>
        <v>QFD17</v>
      </c>
      <c r="IM241" t="str">
        <f t="shared" si="529"/>
        <v>QFD17|кабель ВВГнг(А)-LS (3х2,5) → Розеточная группа, пом. 003A</v>
      </c>
      <c r="IN241" t="str" cm="1">
        <f t="array" ref="IN241">IF(IM241="","",_xlfn.LET(_xlpm.nd,_xlfn.TEXTSPLIT(IM241,"|"),IF(COLUMNS(_xlpm.nd)&gt;1,A241&amp;"¦"&amp;INDEX(_xlpm.nd,1)&amp;"¦"&amp;INDEX(_xlpm.nd,2),"")))</f>
        <v>ЩР-1¦QFD17¦кабель ВВГнг(А)-LS (3х2,5) → Розеточная группа, пом. 003A</v>
      </c>
      <c r="IO241" t="str">
        <f t="shared" si="530"/>
        <v>R.1.003A.3¦Розеточная группа, пом. 003A</v>
      </c>
      <c r="IP241" t="str" cm="1">
        <f t="array" ref="IP241">IF(IM241="","",_xlfn.LET(_xlpm.nd,_xlfn.TEXTSPLIT(IM241,"|"),IF(COLUMNS(_xlpm.nd)&gt;2,A241&amp;"¦"&amp;INDEX(_xlpm.nd,2)&amp;"¦"&amp;INDEX(_xlpm.nd,3),"")))</f>
        <v/>
      </c>
      <c r="IQ241" t="str">
        <f t="shared" si="531"/>
        <v/>
      </c>
      <c r="IR241" t="str" cm="1">
        <f t="array" ref="IR241">IF(IM241="","",_xlfn.LET(_xlpm.nd,_xlfn.TEXTSPLIT(IM241,"|"),IF(COLUMNS(_xlpm.nd)&gt;3,A241&amp;"¦"&amp;INDEX(_xlpm.nd,3)&amp;"¦"&amp;INDEX(_xlpm.nd,4),"")))</f>
        <v/>
      </c>
      <c r="IS241" t="str">
        <f t="shared" si="532"/>
        <v/>
      </c>
      <c r="IT241" t="str" cm="1">
        <f t="array" ref="IT241">IF(IM241="","",_xlfn.LET(_xlpm.nd,_xlfn.TEXTSPLIT(IM241,"|"),IF(COLUMNS(_xlpm.nd)&gt;4,A241&amp;"¦"&amp;INDEX(_xlpm.nd,4)&amp;"¦"&amp;INDEX(_xlpm.nd,5),"")))</f>
        <v/>
      </c>
      <c r="IU241" t="str">
        <f t="shared" si="533"/>
        <v/>
      </c>
      <c r="IV241" t="str" cm="1">
        <f t="array" ref="IV241">IF(IM241="","",_xlfn.LET(_xlpm.nd,_xlfn.TEXTSPLIT(IM241,"|"),IF(COLUMNS(_xlpm.nd)&gt;5,A241&amp;"¦"&amp;INDEX(_xlpm.nd,5)&amp;"¦"&amp;INDEX(_xlpm.nd,6),"")))</f>
        <v/>
      </c>
      <c r="IW241" t="str">
        <f t="shared" si="534"/>
        <v/>
      </c>
      <c r="IX241" t="str" cm="1">
        <f t="array" ref="IX241">IF(IM241="","",_xlfn.LET(_xlpm.nd,_xlfn.TEXTSPLIT(IM241,"|"),IF(COLUMNS(_xlpm.nd)&gt;6,A241&amp;"¦"&amp;INDEX(_xlpm.nd,6)&amp;"¦"&amp;INDEX(_xlpm.nd,7),"")))</f>
        <v/>
      </c>
      <c r="IY241" t="str">
        <f t="shared" si="535"/>
        <v/>
      </c>
      <c r="IZ241" t="str">
        <f t="shared" si="536"/>
        <v/>
      </c>
      <c r="JA241" t="str">
        <f t="shared" si="537"/>
        <v>QFD17</v>
      </c>
      <c r="JB241">
        <f t="shared" si="538"/>
        <v>0</v>
      </c>
      <c r="JC241">
        <f t="shared" si="539"/>
        <v>1</v>
      </c>
      <c r="JD241" t="str">
        <f t="shared" si="540"/>
        <v/>
      </c>
      <c r="JE241" t="str">
        <f t="shared" si="541"/>
        <v/>
      </c>
      <c r="JF241" t="str">
        <f t="shared" si="542"/>
        <v/>
      </c>
      <c r="JG241" t="str">
        <f t="shared" si="543"/>
        <v/>
      </c>
      <c r="JH241" t="str">
        <f>IF(B241="","",IFERROR(_xlfn.XLOOKUP(B241,Коды_код,Коды_уго),IFERROR(_xlfn.XLOOKUP(BC241,Коды_код,Коды_уго),IFERROR(_xlfn.XLOOKUP(LEFT(BC241,2),Коды_код,Коды_уго),""))))</f>
        <v>Розетка</v>
      </c>
      <c r="JI241" t="str">
        <f>IF(B241="","",IF(OR(JH241="",JH241=0),"BOX",IFERROR(IF(VLOOKUP(JH241,УГО_блоки,3,FALSE)&amp;""&lt;&gt;"",VLOOKUP(JH241,УГО_блоки,3,FALSE),VLOOKUP(JH241,УГО_блоки,2,FALSE)),JH241)))</f>
        <v>SOCKET</v>
      </c>
      <c r="JJ241">
        <f t="shared" si="544"/>
        <v>1</v>
      </c>
      <c r="JK241" t="str">
        <f>IF(DQ241="","",IF(COUNTIF(DQ$3:DQ241,DQ241)=1,MAX(JK$2:JK240)+1,""))</f>
        <v/>
      </c>
      <c r="JL241" t="str">
        <f>IF(DE241="","",IF(COUNTIF(DE$3:DE241,DE241)+COUNTIF(DF$2:DF240,DE241)+COUNTIF(DG$2:DG240,DE241)=1,MAX(JL$2:JN240)+1,""))</f>
        <v/>
      </c>
      <c r="JM241" t="str">
        <f>IF(DF241="","",IF(COUNTIF(DE$3:DE241,DF241)+COUNTIF(DF$3:DF241,DF241)+COUNTIF(DG$2:DG240,DF241)=1,MAX(JL$2:JN240,JL241)+1,""))</f>
        <v/>
      </c>
      <c r="JN241" t="str">
        <f>IF(DG241="","",IF(COUNTIF(DE$3:DE241,DG241)+COUNTIF(DF$3:DF241,DG241)+COUNTIF(DG$3:DG241,DG241)=1,MAX(JL$2:JN240,JL241,JM241)+1,""))</f>
        <v/>
      </c>
      <c r="JO241" t="str">
        <f t="shared" si="545"/>
        <v>3х2,5</v>
      </c>
      <c r="JP241" t="str">
        <f>IF(JO241="","",IF(COUNTIF(JO$3:JO241,JO241)=1,MAX(JP$2:JP240)+1,""))</f>
        <v/>
      </c>
      <c r="JQ241" t="str">
        <f>IF(HG241="","",COUNTIF(HG$3:HG241,"?*"))</f>
        <v/>
      </c>
      <c r="JR241" t="str">
        <f>IF(OR(HG241="",HI241=""),"",IF(COUNTIFS(HG$3:HG241,"?*",HI$3:HI241,HI241)=1,MAX(JR$2:JR240)+1,""))</f>
        <v/>
      </c>
      <c r="JS241">
        <f t="shared" si="546"/>
        <v>0</v>
      </c>
      <c r="JT241">
        <f>IF(B241="","",COUNTIF(B$3:B241,"?*"))</f>
        <v>239</v>
      </c>
      <c r="JU241">
        <f>IF(HL241&lt;&gt;1,0,_xlfn.LET(_xlpm.k,MAX(IFERROR(--_xlfn.XLOOKUP(B241,Коды_код,Коды_3L),0),IFERROR(--_xlfn.XLOOKUP(BC241,Коды_код,Коды_3L),0),IFERROR(--_xlfn.XLOOKUP(LEFT(BC241,2),Коды_код,Коды_3L),0)),IF(_xlpm.k&gt;0,_xlpm.k,IF(IFERROR(--LEFT(SUBSTITUTE(JO241,"x","х"),FIND("х",SUBSTITUTE(JO241,"x","х"))-1),3)&gt;3,Каталог!$S$9,1))))</f>
        <v>1</v>
      </c>
      <c r="JV241">
        <f t="shared" si="547"/>
        <v>0</v>
      </c>
      <c r="JW241" t="str">
        <f t="shared" si="548"/>
        <v>авто</v>
      </c>
      <c r="JX241">
        <f t="shared" si="549"/>
        <v>30</v>
      </c>
      <c r="JY241">
        <f t="shared" si="550"/>
        <v>1</v>
      </c>
      <c r="JZ241">
        <f t="shared" si="551"/>
        <v>1</v>
      </c>
    </row>
    <row r="242" spans="1:286" x14ac:dyDescent="0.3">
      <c r="A242" t="s">
        <v>757</v>
      </c>
      <c r="B242" t="s">
        <v>1548</v>
      </c>
      <c r="C242" t="str">
        <f>Линии[[#This Row],[_авто наименование]]</f>
        <v>Розеточная группа, пом. 003A2</v>
      </c>
      <c r="D242">
        <v>2</v>
      </c>
      <c r="E242">
        <v>0.3</v>
      </c>
      <c r="G242" t="str">
        <f>Линии[[#This Row],[_авто автомат]]</f>
        <v>2P С16А 30мА</v>
      </c>
      <c r="H242" t="str">
        <f>Линии[[#This Row],[_авто управление]]</f>
        <v/>
      </c>
      <c r="I242" t="str">
        <f>Линии[[#This Row],[_авто аппараты]]</f>
        <v/>
      </c>
      <c r="J242">
        <v>2.5</v>
      </c>
      <c r="K242">
        <v>60</v>
      </c>
      <c r="L242">
        <v>1</v>
      </c>
      <c r="M242" t="s">
        <v>484</v>
      </c>
      <c r="N242" t="str">
        <f t="shared" si="414"/>
        <v/>
      </c>
      <c r="O242" s="6" cm="1">
        <f t="array" ref="O242">IF(B242="","",IF(BH242&lt;&gt;"",IFERROR(_xlfn.XLOOKUP(BH242,Щиты[Щит],Щиты[Iр, А]),""),IF(BP242=1,IF(OR(N(_xlfn.XLOOKUP(A242,Щиты[Щит],Щиты[Вводов],1))&lt;=1,LOWER(TRIM(_xlfn.XLOOKUP(A242,Щиты[Щит],Щиты[АВР],"")&amp;""))="да"),IFERROR(_xlfn.XLOOKUP(A242,Щиты[Щит],Щиты[Iр, А]),""),IFERROR(N(BS242)*_xlfn.XLOOKUP(A242,Щиты[Щит],Щиты[Кс итог])/(SQRT(3)*Uн_лин*_xlfn.XLOOKUP(A242,Щиты[Щит],Щиты[cos φ])),"")),IF(BV242=1,IFERROR(BS242*1000/BU242,""),IFERROR(_xlfn.IFS(BX242=1,BS242/((Uн_лин/SQRT(3))*CE242),BX242=3,BS242/(SQRT(3)*Uн_лин*CE242)),"")))))</f>
        <v>1.3674085322912188</v>
      </c>
      <c r="P242" s="7">
        <f>IF(B242="","",IFERROR(IF(VLOOKUP(BC242,Потребители_обозначение,4,FALSE)=1,VLOOKUP(BC242,Потребители_обозначение,3,FALSE)*(MAX(1,N(D242))*2-1)+EI242+VLOOKUP(BE242,Этаж_обозначение,3,FALSE)+VLOOKUP(BE242,Этаж_обозначение,4,FALSE),VLOOKUP(BC242,Потребители_обозначение,3,FALSE)*(MAX(1,N(D242))*2-1)+EI242),EI242))</f>
        <v>69</v>
      </c>
      <c r="Q242" s="6">
        <f t="shared" si="415"/>
        <v>1.9</v>
      </c>
      <c r="R242" t="str">
        <f t="shared" si="416"/>
        <v>ВВГнг(А)-LS (3х2,5)</v>
      </c>
      <c r="S242" t="str">
        <f>IF(BM242="","",IF(BN242="вводной узел","узел ","")&amp;"л."&amp;(INT((BM242-1)/Столбцов_на_лист)+1)&amp;" / "&amp;(MOD(BM242-1,Столбцов_на_лист)+1))</f>
        <v>л.2 / 11</v>
      </c>
      <c r="T242" s="119">
        <f t="shared" si="417"/>
        <v>1.2</v>
      </c>
      <c r="U242" s="7" t="str">
        <f>IF(OR(CG242=0,N(BV242)+N(IB242)=0),"",ROUNDUP(Запас_БП*(N(HY242)+N(HZ242)),0))</f>
        <v/>
      </c>
      <c r="V242" s="119" t="str">
        <f t="shared" si="418"/>
        <v/>
      </c>
      <c r="W242" s="7" t="str">
        <f>IFERROR(IF(OR(B242="",BP242=1,BV242=1,NOT(ISNUMBER(EN242)),N(DT242)=0),"",MAX(0,ROUNDDOWN((c_min*(Uн_лин*1000/SQRT(3))/(HT242*N(DT242))-_xlfn.XLOOKUP(A242,Щиты[Щит],Щиты[Zпетли на шинах, Ом]))*EN242/(2*ρкз_Cu),0))),"")</f>
        <v/>
      </c>
      <c r="Y242">
        <f>Линии[[#This Row],[_авто утечка]]</f>
        <v>30</v>
      </c>
      <c r="Z242">
        <v>1</v>
      </c>
      <c r="AA242">
        <v>230</v>
      </c>
      <c r="AB242" t="s">
        <v>562</v>
      </c>
      <c r="AG242" t="s">
        <v>810</v>
      </c>
      <c r="AI242" t="s">
        <v>561</v>
      </c>
      <c r="AK242" t="str">
        <f>Линии[[#This Row],[_авто модуль]]</f>
        <v/>
      </c>
      <c r="AM242">
        <v>28</v>
      </c>
      <c r="AN242" t="s">
        <v>11</v>
      </c>
      <c r="AO242">
        <v>3</v>
      </c>
      <c r="AQ242">
        <v>28</v>
      </c>
      <c r="AR242">
        <v>35</v>
      </c>
      <c r="AS242">
        <v>6</v>
      </c>
      <c r="BA242" cm="1">
        <f t="array" ref="BA242">ROW()-ROW(Линии[#Headers])</f>
        <v>240</v>
      </c>
      <c r="BC242" s="6" t="str">
        <f t="shared" si="419"/>
        <v>R</v>
      </c>
      <c r="BD242" t="str">
        <f t="shared" si="420"/>
        <v>1.003A2</v>
      </c>
      <c r="BE242" t="str">
        <f t="shared" si="421"/>
        <v>1</v>
      </c>
      <c r="BF242" t="str">
        <f t="shared" si="422"/>
        <v>003A2</v>
      </c>
      <c r="BG242" t="str">
        <f t="shared" si="423"/>
        <v>003A2</v>
      </c>
      <c r="BH242" t="str">
        <f>IF(X242&lt;&gt;"",X242,IF(AND(B242&lt;&gt;"",B242&lt;&gt;A242,ISNUMBER(_xlfn.XMATCH(B242,Щиты[Щит]))),B242,""))</f>
        <v/>
      </c>
      <c r="BI242" t="str" cm="1">
        <f t="array" ref="BI242">IF(B242="","",IF(BH242&lt;&gt;"","Щит "&amp;BH242,_xlfn.LET(_xlpm.nm,IFERROR(_xlfn.XLOOKUP(BC242,Коды_код,Коды_имя)&amp;"",""),_xlpm.md,IFERROR(N(_xlfn.XLOOKUP(BC242,Коды_код,Коды_режим)),1),_xlpm.ex,IF(Имя_режим="по экспликации",IFERROR(_xlfn.XLOOKUP(BE242&amp;"|"&amp;BG242,Экспликация[Этаж]&amp;"|"&amp;Экспликация[Помещение],Экспликация[Название])&amp;"",""),""),_xlpm.rm,IF(BG242="","",IF(_xlpm.ex&lt;&gt;"",". "&amp;_xlpm.ex&amp;IF(Имя_пом="нет"," ("&amp;BG242&amp;")"," (пом. "&amp;BG242&amp;")"),IF(Имя_пом="нет"," ",", пом. ")&amp;BG242)),IF(_xlpm.nm="","",IF(_xlpm.md=2,_xlpm.nm&amp;" шлейф "&amp;BE242,_xlpm.nm&amp;_xlpm.rm)))))</f>
        <v>Розеточная группа, пом. 003A2</v>
      </c>
      <c r="BJ242" t="str">
        <f t="shared" si="424"/>
        <v>Розеточная группа, пом. 003A2</v>
      </c>
      <c r="BK242">
        <f>IFERROR(_xlfn.XMATCH(A242,Щиты[Щит]),0)</f>
        <v>10</v>
      </c>
      <c r="BL242">
        <f>_xlfn.LET(_xlpm.k,IFERROR(_xlfn.XLOOKUP(A242,Щиты[Щит],Щиты[Мест под вводной узел]),""),IF(_xlpm.k="",Столбцов_на_лист,N(_xlpm.k)))</f>
        <v>8</v>
      </c>
      <c r="BM242">
        <f t="shared" si="425"/>
        <v>28</v>
      </c>
      <c r="BN242" t="str">
        <f t="shared" si="426"/>
        <v>линии</v>
      </c>
      <c r="BO242" s="6">
        <f>IFERROR(N(_xlfn.XLOOKUP(BC242,Коды_код,Коды_квт)),0)</f>
        <v>0</v>
      </c>
      <c r="BP242">
        <f t="shared" si="427"/>
        <v>0</v>
      </c>
      <c r="BQ242" t="str">
        <f>IF(B242="","",IF(BH242&lt;&gt;"",IFERROR(_xlfn.XLOOKUP(BH242,Щиты[Щит],Щиты[Руст, кВт]),0),IF(BP242=1,IF(OR(N(_xlfn.XLOOKUP(A242,Щиты[Щит],Щиты[Вводов],1))&lt;=1,LOWER(TRIM(_xlfn.XLOOKUP(A242,Щиты[Щит],Щиты[АВР],"")&amp;""))="да"),IFERROR(_xlfn.XLOOKUP(A242,Щиты[Щит],Щиты[Руст, кВт]),0),SUMIFS(Линии[_Р для вводов],Линии[Щит],A242,Линии[Источник для режимов],GF242)),IF(BO242&gt;0,ROUND(BO242*MAX(1,N(D242)),3),""))))</f>
        <v/>
      </c>
      <c r="BR242">
        <f t="shared" si="428"/>
        <v>0.3</v>
      </c>
      <c r="BS242" s="6">
        <f>IF(B242="","",IF(BH242&lt;&gt;"",IFERROR(_xlfn.XLOOKUP(BH242,Щиты[Щит],Щиты[Руст, кВт]),0),N(BR242)))</f>
        <v>0.3</v>
      </c>
      <c r="BT242" t="str">
        <f>IF(B242="","",IFERROR(IF(VLOOKUP(BC242,Потребители_обозначение,8,FALSE)=0,"",VLOOKUP(BC242,Потребители_обозначение,8,FALSE)),""))</f>
        <v/>
      </c>
      <c r="BU242">
        <f t="shared" si="429"/>
        <v>230</v>
      </c>
      <c r="BV242">
        <f t="shared" si="430"/>
        <v>0</v>
      </c>
      <c r="BW242">
        <f>IF(B242="","",IF(BH242&lt;&gt;"",3,IFERROR(IF(N(VLOOKUP(BC242,Потребители_обозначение,9,FALSE))=0,1,VLOOKUP(BC242,Потребители_обозначение,9,FALSE)),1)))</f>
        <v>1</v>
      </c>
      <c r="BX242">
        <f t="shared" si="431"/>
        <v>1</v>
      </c>
      <c r="BY242" t="str">
        <f>IF(B242="","",_xlfn.LET(_xlpm.bc,IFERROR(IF(VLOOKUP(BC242,Потребители_обозначение,6,FALSE)=0,"",VLOOKUP(BC242,Потребители_обозначение,6,FALSE)&amp;""),""),IF(AND(GA242="да",OR(_xlpm.bc="",_xlpm.bc="мс")),Марка_пож,IF(AND(_xlpm.bc="",BH242&lt;&gt;""),"мс",_xlpm.bc))))</f>
        <v/>
      </c>
      <c r="BZ242" t="str">
        <f t="shared" si="432"/>
        <v>мс</v>
      </c>
      <c r="CA242">
        <f>IF(B242="","",_xlfn.LET(_xlpm.cc,IFERROR(N(VLOOKUP(BC242,Потребители_обозначение,7,FALSE)),0),IF(_xlpm.cc&gt;0,_xlpm.cc,IF(BZ242="","",IF(BV242=1,2,IF(N(BX242)=3,5,3))))))</f>
        <v>3</v>
      </c>
      <c r="CB242">
        <f t="shared" si="433"/>
        <v>3</v>
      </c>
      <c r="CC242">
        <f>IFERROR(N(VLOOKUP(BC242,Потребители_обозначение,10,FALSE)),0)</f>
        <v>0</v>
      </c>
      <c r="CD242">
        <f>IFERROR(VLOOKUP(BC242,Потребители_обозначение,5,FALSE),0)</f>
        <v>1</v>
      </c>
      <c r="CE242" s="6" cm="1">
        <f t="array" ref="CE242">IF(B242="","",IF(BH242&lt;&gt;"",IFERROR(_xlfn.XLOOKUP(BH242,Щиты[Щит],Щиты[cos φ]),0.95),IF(BP242=1,IFERROR(_xlfn.XLOOKUP(A242,Щиты[Щит],Щиты[cos φ]),0.95),IF(ISNUMBER(AD242),AD242,IFERROR(IF(CD242=2,_xlfn.IFS(BX242=3,VLOOKUP(BS242,Справочная_двигатели,8,FALSE),BX242=1,VLOOKUP(BS242,Справочная_двигатели,10,TRUE)),IF(AND(Методика="нормы 2026",FG242="Сил"),0.8,0.95)),0.95)))))</f>
        <v>0.95</v>
      </c>
      <c r="CF242">
        <f t="shared" si="434"/>
        <v>0</v>
      </c>
      <c r="CG242">
        <f t="shared" si="435"/>
        <v>1</v>
      </c>
      <c r="CH242">
        <f t="shared" si="436"/>
        <v>0</v>
      </c>
      <c r="CI242">
        <f>IF(B242="","",IF(BV242=1,IFERROR(BS242/((Uн_лин/SQRT(3))*MAX(0.5,N(CE242))),0),N(O242)))</f>
        <v>1.3674085322912188</v>
      </c>
      <c r="CJ242">
        <f t="shared" si="437"/>
        <v>0</v>
      </c>
      <c r="CK242">
        <f t="shared" si="438"/>
        <v>0</v>
      </c>
      <c r="CL242">
        <f t="shared" si="439"/>
        <v>0</v>
      </c>
      <c r="CM242">
        <f t="shared" si="440"/>
        <v>0</v>
      </c>
      <c r="CN242">
        <f t="shared" si="441"/>
        <v>0</v>
      </c>
      <c r="CO242">
        <f>IF(BC242="",0,_xlfn.LET(_xlpm.v,IFERROR(_xlfn.XLOOKUP(B242,Коды_код,Коды_мА),IFERROR(_xlfn.XLOOKUP(BC242,Коды_код,Коды_мА),IFERROR(_xlfn.XLOOKUP(LEFT(BC242,2),Коды_код,Коды_мА),""))),IF(_xlpm.v="да",30,IF(ISNUMBER(_xlpm.v),_xlpm.v,0))))</f>
        <v>30</v>
      </c>
      <c r="CP242">
        <f t="shared" si="442"/>
        <v>30</v>
      </c>
      <c r="CQ242" t="str">
        <f>_xlfn.LET(_xlpm.k,IFERROR(_xlfn.XLOOKUP(BC242,Коды_код,Коды_утечка)&amp;"",""),IF(_xlpm.k="","дифавтомат",_xlpm.k))</f>
        <v>дифавтомат</v>
      </c>
      <c r="CR242" t="str" cm="1">
        <f t="array" ref="CR242">IF(CG242=0,"",_xlfn.LET(_xlpm.sg,TRIM(_xlfn.TEXTSPLIT(DD242&amp;"",";")),_xlpm.f_,_xlfn._xlws.FILTER(_xlpm.sg,LEFT(_xlpm.sg,3)="УЗО",""),IFERROR(INDEX(_xlpm.f_,1)&amp;"","")))</f>
        <v/>
      </c>
      <c r="CS242" t="str">
        <f t="shared" si="443"/>
        <v/>
      </c>
      <c r="CT242" s="6" t="str" cm="1">
        <f t="array" ref="CT242">IF(CR242="","",_xlfn.LET(_xlpm.tk,_xlfn.TEXTSPLIT(UPPER(CR242)," ",,TRUE),_xlpm.a_,_xlfn._xlws.FILTER(_xlpm.tk,ISNUMBER(--LEFT(_xlpm.tk,1))*((ISNUMBER(SEARCH("А",_xlpm.tk))+ISNUMBER(SEARCH("A",_xlpm.tk)))&gt;0)*NOT(ISNUMBER(SEARCH("МА",_xlpm.tk)))*NOT(ISNUMBER(SEARCH("MA",_xlpm.tk))),""),IFERROR(--SUBSTITUTE(SUBSTITUTE(INDEX(_xlpm.a_,1),"А",""),"A",""),"")))</f>
        <v/>
      </c>
      <c r="CU242" t="str" cm="1">
        <f t="array" ref="CU242">IF(CR242="","",_xlfn.LET(_xlpm.tk,_xlfn.TEXTSPLIT(UPPER(CR242)," ",,TRUE),_xlpm.a_,_xlfn._xlws.FILTER(_xlpm.tk,ISNUMBER(--LEFT(_xlpm.tk,1))*((ISNUMBER(SEARCH("МА",_xlpm.tk))+ISNUMBER(SEARCH("MA",_xlpm.tk)))&gt;0),""),IFERROR(--SUBSTITUTE(SUBSTITUTE(INDEX(_xlpm.a_,1),"МА",""),"MA",""),30)))</f>
        <v/>
      </c>
      <c r="CV242" t="str">
        <f>IF(CS242="","",IFERROR(_xlfn.XLOOKUP(CS242,Линии[_n],Линии[_УЗО, мА]),30))</f>
        <v/>
      </c>
      <c r="CW242">
        <f>IF(CS242="",0,IF(ISNUMBER(SEARCH("4P",IFERROR(_xlfn.XLOOKUP(CS242,Линии[_n],Линии[_УЗО строки])&amp;"",""))),0,1))</f>
        <v>0</v>
      </c>
      <c r="CX242" t="str">
        <f>IF(AND(CS242&lt;&gt;"",CS242=BA242),SUMIFS(Линии[_ток на 230 В],Линии[_блок УЗО],BA242,Линии[Щит],A242),"")</f>
        <v/>
      </c>
      <c r="CY242" t="str">
        <f>IF(AND(CS242&lt;&gt;"",CS242=BA242),SUMIFS(Линии[_ток утечки линии, мА],Линии[_блок УЗО],BA242,Линии[Щит],A242),"")</f>
        <v/>
      </c>
      <c r="CZ242">
        <f t="shared" si="444"/>
        <v>30</v>
      </c>
      <c r="DA242">
        <f t="shared" si="445"/>
        <v>30</v>
      </c>
      <c r="DB242">
        <f>IF(B242="",0,IFERROR(--_xlfn.XLOOKUP(B242,Коды_код,Коды_минавт),IFERROR(--_xlfn.XLOOKUP(BC242,Коды_код,Коды_минавт),IFERROR(--_xlfn.XLOOKUP(LEFT(BC242,2),Коды_код,Коды_минавт),0))))</f>
        <v>16</v>
      </c>
      <c r="DC242" t="str">
        <f>IF(B242="","",IFERROR(_xlfn.XLOOKUP(BC242,Коды_код,Коды_апп)&amp;"",""))</f>
        <v/>
      </c>
      <c r="DD242" t="str">
        <f t="shared" si="446"/>
        <v/>
      </c>
      <c r="DE242" t="str" cm="1">
        <f t="array" ref="DE242">IF(TRIM(DD242&amp;"")="","",IFERROR(TRIM(INDEX(_xlfn.TEXTSPLIT(DD242&amp;";;;",";"),1)),""))</f>
        <v/>
      </c>
      <c r="DF242" t="str" cm="1">
        <f t="array" ref="DF242">IF(TRIM(DD242&amp;"")="","",IFERROR(TRIM(INDEX(_xlfn.TEXTSPLIT(DD242&amp;";;;",";"),2)),""))</f>
        <v/>
      </c>
      <c r="DG242" t="str" cm="1">
        <f t="array" ref="DG242">IF(TRIM(DD242&amp;"")="","",IFERROR(TRIM(INDEX(_xlfn.TEXTSPLIT(DD242&amp;";;;",";"),3)),""))</f>
        <v/>
      </c>
      <c r="DH242">
        <f t="shared" si="447"/>
        <v>0</v>
      </c>
      <c r="DI242" t="str">
        <f>IF(B242="","",_xlfn.LET(_xlpm.t,LOWER(AZ242&amp;""),IF(ISNUMBER(SEARCH("dim",_xlpm.t)),"DIM",IF(ISNUMBER(SEARCH("dali",_xlpm.t)),"DALI",IF(OR(ISNUMBER(SEARCH("relay",_xlpm.t)),ISNUMBER(SEARCH("реле",_xlpm.t))),"Relay",IF(ISNUMBER(SEARCH("кнопк",_xlpm.t)),"",IFERROR(_xlfn.XLOOKUP(BC242,Коды_код,Коды_упр)&amp;"","")))))))</f>
        <v/>
      </c>
      <c r="DJ242" t="str">
        <f t="shared" si="448"/>
        <v/>
      </c>
      <c r="DK242">
        <f>IF(B242="","",_xlfn.LET(_xlpm.ig,IF(N(CX242)&gt;0,N(CX242),N(CI242)+IF(AJ242="вручную",0,N(CJ242))),_xlpm.n0,IFERROR(VLOOKUP(_xlpm.ig,Автомат_номиналы,2,TRUE),0),_xlpm.mn,MAX(DB242,IF(AJ242="вручную",0,N(CM242))),MAX(_xlpm.n0,_xlpm.mn,IF(DH242=1,Мин_автомат_БП,0))))</f>
        <v>16</v>
      </c>
      <c r="DL242">
        <f t="shared" si="449"/>
        <v>1</v>
      </c>
      <c r="DM242" t="str">
        <f t="shared" si="450"/>
        <v>2P</v>
      </c>
      <c r="DN242" t="str">
        <f>_xlfn.LET(_xlpm.cc,UPPER(TRIM(IFERROR(_xlfn.XLOOKUP(BC242,Коды_код,Коды_хар)&amp;"",""))),IF(OR(_xlpm.cc="B",_xlpm.cc="В"),"B",IF(_xlpm.cc="D","D","С")))</f>
        <v>С</v>
      </c>
      <c r="DO242" t="str">
        <f t="shared" si="451"/>
        <v>2P С16А 30мА</v>
      </c>
      <c r="DP242" t="str">
        <f t="shared" si="452"/>
        <v>2P С16А 30мА</v>
      </c>
      <c r="DQ242" t="str">
        <f t="shared" si="453"/>
        <v>2P С16А 30мА</v>
      </c>
      <c r="DR242" cm="1">
        <f t="array" ref="DR242">IF(DQ242="","",_xlfn.LET(_xlpm.t,SUBSTITUTE(SUBSTITUTE(SUBSTITUTE(UPPER(DQ242),"С","C"),"А","A"),"В","B"),_xlpm.tk,_xlfn.TEXTSPLIT(_xlpm.t," "),_xlpm.f,_xlfn._xlws.FILTER(_xlpm.tk,ISNUMBER(--MID(_xlpm.tk,2,1))*ISNUMBER(SEARCH(LEFT(_xlpm.tk,1)&amp;"#","B#C#D#"))*(LEN(_xlpm.tk)&gt;1),""),_xlpm.x,INDEX(_xlpm.f,1),IFERROR(--SUBSTITUTE(MID(_xlpm.x,2,9),"A",""),IFERROR(--SUBSTITUTE(INDEX(_xlfn._xlws.FILTER(_xlpm.tk,ISNUMBER(--SUBSTITUTE(_xlpm.tk,"A","")),""),1),"A",""),""))))</f>
        <v>16</v>
      </c>
      <c r="DS242" t="str">
        <f t="shared" si="454"/>
        <v>ok</v>
      </c>
      <c r="DT242">
        <f t="shared" si="455"/>
        <v>16</v>
      </c>
      <c r="DU242" t="str">
        <f t="shared" si="456"/>
        <v>2P С16А 30мА</v>
      </c>
      <c r="DV242">
        <f t="shared" si="457"/>
        <v>30</v>
      </c>
      <c r="DW242">
        <f t="shared" si="458"/>
        <v>1</v>
      </c>
      <c r="DX242">
        <f t="shared" si="459"/>
        <v>0</v>
      </c>
      <c r="DY242">
        <f t="shared" si="460"/>
        <v>1.3674085322912188</v>
      </c>
      <c r="DZ242">
        <f t="shared" si="461"/>
        <v>1</v>
      </c>
      <c r="EA242">
        <f>IF(ISNUMBER(AP242),AP242,К_прокл)</f>
        <v>1</v>
      </c>
      <c r="EB242">
        <f t="shared" si="462"/>
        <v>2</v>
      </c>
      <c r="EC242">
        <f>IFERROR(N(VLOOKUP(BZ242,Кабель_обозначение,3,FALSE)),1)</f>
        <v>1</v>
      </c>
      <c r="ED242">
        <f>IFERROR(N(_xlfn.XLOOKUP(A242,Щиты[Щит],Щиты[ΔU до шин, %])),0)</f>
        <v>1.19</v>
      </c>
      <c r="EE242" t="str">
        <f>IFERROR(_xlfn.XLOOKUP(A242,Щиты[Щит],Щиты[Zпетли на шинах, Ом]),"")</f>
        <v/>
      </c>
      <c r="EF242">
        <f>IFERROR(N(_xlfn.XLOOKUP(A242,Щиты[Щит],Щиты[ΔU до шин (подбор), %])),0)</f>
        <v>1.19</v>
      </c>
      <c r="EG242" t="str">
        <f>IFERROR(_xlfn.XLOOKUP(A242,Щиты[Щит],Щиты[Zпетли на шинах (подбор), Ом]),"")</f>
        <v/>
      </c>
      <c r="EH242" t="str">
        <f t="shared" si="463"/>
        <v/>
      </c>
      <c r="EI242">
        <f t="shared" si="464"/>
        <v>60</v>
      </c>
      <c r="EJ242">
        <f t="shared" si="465"/>
        <v>2</v>
      </c>
      <c r="EK242">
        <f t="shared" si="466"/>
        <v>0.31</v>
      </c>
      <c r="EL242" s="6">
        <f>IF(B242="","",IF(BV242=1,dU_LED,IF(IFERROR(_xlfn.XLOOKUP(BC242,Коды_код,Коды_уго),"")="Светильник",3,4)+IF(Методика="нормы 2026",MIN(0.5,MAX(0,N(P242)-100)*0.005),0)))</f>
        <v>4</v>
      </c>
      <c r="EM242" cm="1">
        <f t="array" ref="EM242">IF(OR(B242="",BZ242="",EC242&lt;&gt;1),"",_xlfn.LET(_xlpm.sz,Iдоп_S,_xlpm.t_,CHOOSE(EB242,Iдоп_1ж,Iдоп_2ж,Iдоп_3ж)*DZ242*EA242,_xlpm.dcx,BV242=1,_xlpm.inn,IF(_xlpm.dcx,N(O242),N(DT242)),_xlpm.smin,MAX(1.5,CC242),_xlpm.L_,N(P242)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242)/N(BU242)*100,999),IFERROR(N(EJ242)*(_xlpm.rho*_xlpm.L_/_xlpm.sz*N(CE242)+_xlpm.xx*_xlpm.L_*N(EK242)/1000)*N(O242)/((Uн_лин/SQRT(3))*1000)*100,999)),_xlpm.kz,IF(OR(_xlpm.dcx,DW242=1,NOT(ISNUMBER(EG242)),_xlpm.L_=0,_xlpm.inn=0),1,IFERROR(--(c_min*(Uн_лин*1000/SQRT(3))/(EG242+2*ρкз_Cu*_xlpm.L_/_xlpm.sz)&gt;=HT242*_xlpm.inn),0)),_xlpm.ok,IFERROR((_xlpm.sz&gt;=_xlpm.smin)*(_xlpm.t_&gt;=_xlpm.inn)*IF(_xlpm.L_&gt;0,(_xlpm.du_+IF(_xlpm.dcx,0,EF242)&lt;=EL242+0.00001),1)*_xlpm.kz,0),_xlpm.r_,_xlfn._xlws.FILTER(_xlpm.sz,_xlpm.ok,"не подобрано"),INDEX(_xlpm.r_,1)))</f>
        <v>1.5</v>
      </c>
      <c r="EN242">
        <f t="shared" si="467"/>
        <v>2.5</v>
      </c>
      <c r="EO242" cm="1">
        <f t="array" ref="EO242">IF(OR(B242="",BZ242="",EC242&lt;&gt;1),"",_xlfn.LET(_xlpm.sz,Iдоп_S,_xlpm.t_,CHOOSE(EB242,Iдоп_1ж,Iдоп_2ж,Iдоп_3ж)*DZ242*EA242,_xlpm.ok,IFERROR((_xlpm.sz&gt;=MAX(1.5,CC242))*(_xlpm.t_&gt;=N(DT242)),0),_xlpm.r_,_xlfn._xlws.FILTER(_xlpm.sz,_xlpm.ok,""),INDEX(_xlpm.r_,1)))</f>
        <v>1.5</v>
      </c>
      <c r="EP242" s="6" cm="1">
        <f t="array" ref="EP242">IFERROR(ROUNDUP(N(EJ242)*(_xlfn.XLOOKUP(EO242,INDEX(Кабель_сопротивление,0,1),INDEX(Кабель_сопротивление,0,3))*N(P242)/EO242*N(CE242)+_xlfn.XLOOKUP(EO242,INDEX(Кабель_сопротивление,0,1),INDEX(Кабель_сопротивление,0,2))*N(P242)*N(EK242)/1000)*N(O242)/((Uн_лин/SQRT(3))*1000)*100,2),"")</f>
        <v>1.17</v>
      </c>
      <c r="EQ242">
        <f>IFERROR(2*ρкз_Cu*N(P242)/EO242,"")</f>
        <v>2.4196</v>
      </c>
      <c r="ER242">
        <f>IFERROR(VLOOKUP(EN242,Кабель_сопротивление,3,FALSE),"")</f>
        <v>2.2499999999999999E-2</v>
      </c>
      <c r="ES242">
        <f>IFERROR(VLOOKUP(EN242,Кабель_сопротивление,2,FALSE),"")</f>
        <v>0.1</v>
      </c>
      <c r="ET242">
        <f t="shared" si="468"/>
        <v>35</v>
      </c>
      <c r="EU242">
        <f t="shared" si="469"/>
        <v>6</v>
      </c>
      <c r="EV242">
        <f t="shared" si="470"/>
        <v>1.6192551009515508</v>
      </c>
      <c r="EW242" s="6">
        <f>IFERROR(ROUNDUP(EV242/IF(BV242=1,BU242,(Uн_лин/SQRT(3))*1000)*100,2),"")</f>
        <v>0.71</v>
      </c>
      <c r="EX242" t="str">
        <f>IFERROR(VLOOKUP(BZ242,Кабель_обозначение,2,FALSE),"")</f>
        <v>ВВГнг(А)-LS</v>
      </c>
      <c r="EY242" t="str">
        <f t="shared" si="471"/>
        <v>ВВГнг(А)-LS (3х2,5)</v>
      </c>
      <c r="EZ242" t="str">
        <f t="shared" si="472"/>
        <v>ВВГнг(А)-LS (3х2,5)
L=69-0,71%</v>
      </c>
      <c r="FA242">
        <f>IFERROR(2*ρкз_Cu*P242/EN242,"")</f>
        <v>1.4517599999999999</v>
      </c>
      <c r="FB242">
        <f t="shared" si="473"/>
        <v>0.48299999999999998</v>
      </c>
      <c r="FC242" s="6" t="str">
        <f>IFERROR(IF(OR(B242="",BV242=1,NOT(ISNUMBER(EN242)),N(P242)=0),"",_xlfn.XLOOKUP(A242,Щиты[Щит],Щиты[Zпетли на шинах, Ом])+FA242),"")</f>
        <v/>
      </c>
      <c r="FD242" s="6" t="str">
        <f>IF(ISNUMBER(FC242),c_min*(Uн_лин*1000/SQRT(3))/FC242,"")</f>
        <v/>
      </c>
      <c r="FE242" s="6" t="str">
        <f>IFERROR(IF(OR(B242="",NOT(ISNUMBER(EN242))),"",1.05*(Uн_лин*1000/SQRT(3))/(_xlfn.XLOOKUP(A242,Щиты[Щит],Щиты[Zmax на шинах, Ом])+FB242)/1000),"")</f>
        <v/>
      </c>
      <c r="FF242" s="6" t="str">
        <f>IF(B242="","",IF(ISNUMBER(AC242),"Сил",IF(IFERROR(_xlfn.XLOOKUP(BC242,Коды_код,Коды_группа)&amp;"","")="","Быт",_xlfn.XLOOKUP(BC242,Коды_код,Коды_группа)&amp;"")))</f>
        <v>Быт</v>
      </c>
      <c r="FG242" s="6" t="str">
        <f t="shared" si="474"/>
        <v>Быт</v>
      </c>
      <c r="FH242" s="6">
        <f>IF(FG242="Щит","щит",IF(FG242="","",IF(FG242="Быт",IFERROR(_xlfn.XLOOKUP(A242,Щиты[Щит],Щиты[Кс быт]),1),IF(FG242="Сил",IF(ISNUMBER(AC242),AC242,IF(Методика="нормы 2026",IFERROR(_xlfn.XLOOKUP(A242,Щиты[Щит],Щиты[Кс силовых (табл. 7.5)]),1),1)),IF(OR(FG242="Пост",FG242="Отоп"),1,IF(FG242="ВНГ",0.7,0))))))</f>
        <v>0.57830000000000004</v>
      </c>
      <c r="FI242">
        <f>IF(FG242="","",IF(AND(BP242=1,TRIM(AE242&amp;"")=""),IF(COUNTIFS(Линии[Щит],A242,Линии[Секция (1/2/3)],"&gt;=2")&gt;0,MIN(3,MAX(1,IFERROR(--BD242,1))),1),IFERROR(MIN(3,MAX(1,INT(--AE242))),1)))</f>
        <v>1</v>
      </c>
      <c r="FJ242">
        <f t="shared" si="475"/>
        <v>0.3</v>
      </c>
      <c r="FK242">
        <f t="shared" si="476"/>
        <v>0.3</v>
      </c>
      <c r="FL242">
        <f t="shared" si="477"/>
        <v>0</v>
      </c>
      <c r="FM242">
        <f t="shared" si="478"/>
        <v>0</v>
      </c>
      <c r="FN242">
        <f t="shared" si="479"/>
        <v>0</v>
      </c>
      <c r="FO242">
        <f t="shared" si="480"/>
        <v>0</v>
      </c>
      <c r="FP242">
        <f t="shared" si="481"/>
        <v>0.3</v>
      </c>
      <c r="FQ242">
        <f t="shared" si="482"/>
        <v>0.3</v>
      </c>
      <c r="FR242">
        <f t="shared" si="483"/>
        <v>0.28499999999999998</v>
      </c>
      <c r="FS242">
        <f>IF(CG242=1,IF(AND(CH242=1,CW242=1),0,IF(AND(CS242&lt;&gt;"",CS242=BA242,CW242=1),SUMIFS(Линии[_Р линии, кВт],Линии[_блок УЗО],BA242,Линии[Щит],A242),N(BS242)+IF(AJ242="вручную",0,N(CK242)))),0)</f>
        <v>0.3</v>
      </c>
      <c r="FT242" t="str">
        <f t="shared" si="484"/>
        <v>L1</v>
      </c>
      <c r="FU242" t="str">
        <f>IF(B242="","",IF(CG242=0,IF(BA242=1,"",FW241),IF(AND(CH242=1,CW242=1,CS242&lt;&gt;""),IFERROR(_xlfn.XLOOKUP(CS242,Линии[_n],Линии[_фаза итог]),"L1"),IF(OR(N(DL242)&gt;=3,N(BX242)&gt;=3),"L1,L2,L3",IFERROR(_xlfn.TEXTBEFORE(_xlfn.TEXTAFTER(_xlfn.XLOOKUP(A242,Щиты[Щит],Щиты[_фазы авто]),";"&amp;BA242&amp;":"),";"),"L1")))))</f>
        <v>L1</v>
      </c>
      <c r="FV242" t="str">
        <f t="shared" si="485"/>
        <v>L1</v>
      </c>
      <c r="FW242" t="str">
        <f t="shared" si="486"/>
        <v>L1</v>
      </c>
      <c r="FX242" cm="1">
        <f t="array" ref="FX242">IFERROR(IF(CD242=2,_xlfn.IFS(BX242=3,VLOOKUP(BS242,Справочная_двигатели,3,FALSE),BX242=1,VLOOKUP(BS242,Справочная_двигатели,5,TRUE)),0),0)</f>
        <v>0</v>
      </c>
      <c r="FY242">
        <f>IFERROR(IF(CD242=3,VLOOKUP(BS242,Справочная_ЛЭД,2,TRUE),0),0)</f>
        <v>0</v>
      </c>
      <c r="FZ242" s="6">
        <f t="shared" si="487"/>
        <v>0</v>
      </c>
      <c r="GA242" t="str">
        <f>IF(B242="","",IF(TRIM(AH242&amp;"")&lt;&gt;"",IF(LOWER(TRIM(AH242&amp;""))="да","да","нет"),IF(IFERROR(_xlfn.XLOOKUP(BC242,Коды_код,Коды_пожарная),"")="да","да","нет")))</f>
        <v>нет</v>
      </c>
      <c r="GB242" t="str">
        <f t="shared" si="488"/>
        <v/>
      </c>
      <c r="GC242" t="str">
        <f t="shared" si="489"/>
        <v>основная</v>
      </c>
      <c r="GD242">
        <f>IF(AND(BP242=1,TRIM(AE242&amp;"")=""),IF(COUNTIFS(Линии[Щит],A242,Линии[Секция (1/2/3)],"&gt;=2")&gt;0,MIN(3,MAX(1,IFERROR(--BD242,1))),1),IFERROR(MIN(3,MAX(1,INT(--AE242))),1))</f>
        <v>1</v>
      </c>
      <c r="GE242" t="str" cm="1">
        <f t="array" ref="GE242">IF(B242="","",_xlfn.LET(_xlpm.t,IFERROR(_xlfn.XLOOKUP(1,(Шины[Шина]=GC242)*(((Шины[Щит]=A242)+(Шины[Щит]=""))&gt;0),Шины[Тип]),"")&amp;"",IF(_xlpm.t&lt;&gt;"",_xlpm.t,IF(ISNUMBER(SEARCH("ИБП",GC242)),"ИБП",IF(ISNUMBER(SEARCH("ДГУ",GC242)),"ДГУ","Ввод "&amp;GD242)))))</f>
        <v>Ввод 1</v>
      </c>
      <c r="GF242" t="str">
        <f t="shared" si="490"/>
        <v>Ввод 1</v>
      </c>
      <c r="GG242" t="str">
        <f>IF(BP242=0,"",IF(TRIM(AG242&amp;"")&lt;&gt;"",TRIM(AG242&amp;""),IF(OR(GE242="ИБП",GE242="ДГУ"),"I особая",_xlfn.XLOOKUP(A242,Щиты[Щит],Щиты[Категория шины «Ввод»],"III"))))</f>
        <v/>
      </c>
      <c r="GH242" t="str">
        <f>IF(A242="","",_xlfn.XLOOKUP(A242,Щиты[Щит],Щиты[Путь],""))</f>
        <v>|ГРЩ-ЖД|ЩР-1|</v>
      </c>
      <c r="GI242" t="str">
        <f>IF(B242="","",IF(AI242&lt;&gt;"",AI242,IF(IFERROR(_xlfn.XLOOKUP(BC242,Коды_код,Коды_вид)&amp;"","")="","Прочее",_xlfn.XLOOKUP(BC242,Коды_код,Коды_вид)&amp;"")))</f>
        <v>Розеточная сеть и бытовые приборы</v>
      </c>
      <c r="GJ242">
        <f>IF(BM242="","",INT((BM242-1)/Столбцов_на_лист)+1)</f>
        <v>2</v>
      </c>
      <c r="GK242" t="str">
        <f t="shared" si="491"/>
        <v>ВВГнг(А)-LS (3х2,5) L=69-0,71%</v>
      </c>
      <c r="GL242">
        <f t="shared" si="492"/>
        <v>0.3</v>
      </c>
      <c r="GM242">
        <f t="shared" si="493"/>
        <v>1.37</v>
      </c>
      <c r="GN242">
        <f t="shared" si="494"/>
        <v>1</v>
      </c>
      <c r="GO242">
        <f t="shared" si="495"/>
        <v>0</v>
      </c>
      <c r="GP242">
        <f t="shared" si="496"/>
        <v>1</v>
      </c>
      <c r="GQ242">
        <f>IF(BM242="","",IF(AND(CG242=1,GP242=1),COUNTIFS(A$3:A242,A242,CG$3:CG242,1,GP$3:GP242,1),IF(OR(OR(BA242=1,A242&lt;&gt;A241),AJ242="вручную",GP242=0),"",IF(BA242=1,"",GR241))))</f>
        <v>18</v>
      </c>
      <c r="GR242">
        <f t="shared" si="497"/>
        <v>18</v>
      </c>
      <c r="GS242">
        <f>IF(B242="","",IFERROR(LOOKUP(INDEX(CHOOSE(EB242,Iдоп_1ж,Iдоп_2ж,Iдоп_3ж),MATCH(EN242,Iдоп_S,0))*DZ242*EA242,{6,10,16,20,25,32,40,50,63,80,100,125,160,200,250,315,400,500,630}),""))</f>
        <v>25</v>
      </c>
      <c r="GT242" t="str">
        <f t="shared" si="498"/>
        <v>QFD18</v>
      </c>
      <c r="GU242" t="str">
        <f t="shared" si="499"/>
        <v>QFD18</v>
      </c>
      <c r="GV242" t="str">
        <f t="shared" si="500"/>
        <v/>
      </c>
      <c r="GW242">
        <f t="shared" si="501"/>
        <v>0</v>
      </c>
      <c r="GX242" t="str">
        <f>IF(OR(B242="",DJ242=""),"",IFERROR(_xlfn.XLOOKUP(DJ242,Модули_умолч[Управление],Модули_умолч[Модель])&amp;"",""))</f>
        <v/>
      </c>
      <c r="GY242">
        <f>IF(DJ242="",1,IFERROR(MAX(0,N(_xlfn.XLOOKUP(DJ242,Модули_умолч[Управление],Модули_умолч[Каналов на линию]))),1))</f>
        <v>1</v>
      </c>
      <c r="GZ242" t="str">
        <f t="shared" si="502"/>
        <v/>
      </c>
      <c r="HA242" t="str">
        <f t="shared" si="503"/>
        <v/>
      </c>
      <c r="HB242" t="str">
        <f t="shared" si="504"/>
        <v/>
      </c>
      <c r="HC242">
        <f>IF(HB242="",0,IFERROR(N(VLOOKUP(HB242,Модули_спр,3,FALSE)),0))</f>
        <v>0</v>
      </c>
      <c r="HD242" t="str">
        <f t="shared" si="505"/>
        <v/>
      </c>
      <c r="HE242" t="str">
        <f t="shared" si="506"/>
        <v/>
      </c>
      <c r="HF242" t="str">
        <f>IF(OR(HE242="",HE242="-"),"",IFERROR(VLOOKUP(HE242,Модули_спр,2,FALSE),"R"))</f>
        <v/>
      </c>
      <c r="HG242" t="str">
        <f>IF(HF242="","",HF242&amp;"."&amp;COUNTIFS(A$3:A242,A242,HF$3:HF242,HF242))</f>
        <v/>
      </c>
      <c r="HH242" t="str">
        <f t="shared" si="507"/>
        <v/>
      </c>
      <c r="HI242" t="str">
        <f t="shared" si="508"/>
        <v/>
      </c>
      <c r="HJ242" t="str">
        <f t="shared" si="509"/>
        <v/>
      </c>
      <c r="HK242" t="str">
        <f t="shared" si="510"/>
        <v/>
      </c>
      <c r="HL242">
        <f t="shared" si="511"/>
        <v>1</v>
      </c>
      <c r="HM242" t="str">
        <f>IF(HL242=1,"XT"&amp;COUNTIFS(A$3:A242,A242,HL$3:HL242,1),"")</f>
        <v>XT18</v>
      </c>
      <c r="HN242" t="str">
        <f t="shared" si="512"/>
        <v/>
      </c>
      <c r="HO242" t="str">
        <f t="shared" si="513"/>
        <v>QFD18</v>
      </c>
      <c r="HP242" t="str">
        <f t="shared" si="514"/>
        <v/>
      </c>
      <c r="HQ242" t="str">
        <f t="shared" si="515"/>
        <v>ok</v>
      </c>
      <c r="HR242" t="str">
        <f>IF(OR(HJ242="",HH242=""),"",IF(HJ242+MAX(0,GY242-1)&gt;IFERROR(VLOOKUP(HI242,Модули_спр,3,FALSE),99),"ЛИШНИЙ КАНАЛ",IF(AND(AL242&lt;&gt;"=",GY242&gt;0,COUNTIFS(Линии[_модуль гр.],HH242,Линии[Канал (итог)],HJ242,Линии[Канал],"&lt;&gt;=",Линии[Щит],A242)&gt;1),"ДУБЛЬ КАНАЛА","")))</f>
        <v/>
      </c>
      <c r="HS242" s="6" t="str">
        <f t="shared" si="516"/>
        <v/>
      </c>
      <c r="HT242">
        <f t="shared" si="517"/>
        <v>10</v>
      </c>
      <c r="HU242" t="str">
        <f t="shared" si="518"/>
        <v/>
      </c>
      <c r="HV242">
        <f t="shared" si="519"/>
        <v>1.2369634129164875</v>
      </c>
      <c r="HW242">
        <f t="shared" si="520"/>
        <v>0</v>
      </c>
      <c r="HX242">
        <f t="shared" si="521"/>
        <v>0</v>
      </c>
      <c r="HY242">
        <f t="shared" si="522"/>
        <v>0</v>
      </c>
      <c r="HZ242">
        <f t="shared" si="523"/>
        <v>0</v>
      </c>
      <c r="IA242">
        <f t="shared" si="524"/>
        <v>0</v>
      </c>
      <c r="IB242">
        <f t="shared" si="525"/>
        <v>0</v>
      </c>
      <c r="IC242" t="str">
        <f t="shared" si="526"/>
        <v/>
      </c>
      <c r="ID242" t="str" cm="1">
        <f t="array" ref="ID242">IF(IC242="","",_xlfn.LET(_xlpm.tk,_xlfn.TEXTSPLIT(SUBSTITUTE(SUBSTITUTE(IC242,";"," "),"→"," ")," ",,TRUE),_xlpm.w_,_xlfn._xlws.FILTER(_xlpm.tk,ISNUMBER(--LEFT(_xlpm.tk,1))*((ISNUMBER(SEARCH("W",_xlpm.tk))+ISNUMBER(SEARCH("Вт",_xlpm.tk)))&gt;0),""),IFERROR(--SUBSTITUTE(SUBSTITUTE(UPPER(INDEX(_xlpm.w_,1)),"W",""),"ВТ",""),"")))</f>
        <v/>
      </c>
      <c r="IE242" t="str" cm="1">
        <f t="array" ref="IE242">IF(IC242="","",_xlfn.LET(_xlpm.tk,_xlfn.TEXTSPLIT(SUBSTITUTE(SUBSTITUTE(IC242,";"," "),"→"," ")," ",,TRUE),_xlpm.v_,_xlfn._xlws.FILTER(_xlpm.tk,ISNUMBER(--LEFT(_xlpm.tk,1))*((ISNUMBER(SEARCH("V",_xlpm.tk))+(RIGHT(UPPER(_xlpm.tk))="В"))&gt;0),""),IFERROR(--SUBSTITUTE(SUBSTITUTE(UPPER(INDEX(_xlpm.v_,1)),"V",""),"В",""),"")))</f>
        <v/>
      </c>
      <c r="IF242" s="6" t="str">
        <f>IF(OR(BV242=0,HI242="",HJ242=""),"",IFERROR(N(_xlfn.XLOOKUP(HI242,Каталог!$C$4:$C$500,Каталог!$Q$4:$Q$500)),""))</f>
        <v/>
      </c>
      <c r="IG242" s="6" t="str">
        <f>IF(N(IF242)=0,"",SUMIFS(Линии[Iр, А],Линии[Щит],A242,Линии[_модуль гр.],HH242,Линии[Канал (итог)],HJ242))</f>
        <v/>
      </c>
      <c r="IH242" t="str">
        <f>IF(AND(B242="",HO242=""),"",_xlfn.TEXTJOIN("; ",TRUE,IF(AND(B242&lt;&gt;"",FV242=""),"нет фазы",""),IF(AND(B242&lt;&gt;"",N(GL242)=0,FG242&lt;&gt;"Нет"),"нет мощности",""),IF(AND(HN242&lt;&gt;"",COUNTIFS(Линии[Щит],A242,Линии[Клемма (итог)],HN242)&gt;1),"дубль клеммы "&amp;HN242,""),IF(AND(HQ242&lt;&gt;"",HQ242&lt;&gt;"ok"),HQ242,""),IF(HR242&lt;&gt;"",HR242,""),IF(AND(N(CB242)&gt;=4,N(BX242)=1),CB242&amp;" жил на 1 фазе",""),IF(AND(BC242="R",CG242=1,IF(CS242&lt;&gt;"",N(CV242)&gt;30,OR(N(DA242)=0,N(DA242)&gt;30))),"розетка без дифзащиты до 30 мА",""),IF(AND(CG242=1,N(DA242)&gt;0,ISNUMBER(T242)),IF(T242&gt;N(DA242)/3,"ток утечки "&amp;FIXED(T242,1)&amp;" мА &gt; 1/3 уставки ("&amp;DA242&amp;" мА)",""),""),IF(AND(CH242=1,CS242=""),"«узо»: нет строки с УЗО выше (УЗО 2P 40А 30мА в «Аппаратах»)",""),IF(AND(CS242&lt;&gt;"",CS242=BA242),IF(CT242="","впишите номинал УЗО (УЗО 2P 40А 30мА)",IF(N(CT242)&lt;N(DT242),"УЗО "&amp;CT242&amp;" А &lt; автомата "&amp;DT242&amp;" А перед ним",IF(N(CT242)&lt;N(CX242),"УЗО "&amp;CT242&amp;" А &lt; тока блока "&amp;FIXED(CX242,1)&amp;" А",""))),""),IF(AND(CS242&lt;&gt;"",CS242=BA242,ISNUMBER(CY242)),IF(CY242&gt;N(CV242)/3,"ток утечки блока УЗО "&amp;FIXED(CY242,1)&amp;" мА &gt; 1/3 уставки ("&amp;CV242&amp;" мА)",""),""),IF(AND(CG242=1,N(BV242)+N(IB242)&gt;0,IC242=""),"линии до 50 В без БП: впишите в «Аппараты» (БП 24V 480W)",""),IF(AND(CG242=1,ISNUMBER(ID242),ISNUMBER(U242)),IF(U242&gt;ID242,"БП "&amp;ID242&amp;" Вт &lt; нужно "&amp;U242&amp;" Вт (×"&amp;Запас_БП&amp;")",""),""),IF(AND(CG242=1,ISNUMBER(IE242),N(BV242)=1),IF(IE242&lt;&gt;N(BU242),"БП на "&amp;IE242&amp;" В, линия "&amp;BU242&amp;" В",""),""),IF(AND(N(IF242)&gt;0,N(IG242)&gt;N(IF242)),HH242&amp;" канал "&amp;HJ242&amp;": "&amp;FIXED(IG242,1)&amp;" А &gt; "&amp;IF242&amp;" А",""),IFERROR(IF(AND(ISNUMBER(Q242),Q242&gt;EL242),"потери "&amp;FIXED(Q242,1)&amp;" % &gt; "&amp;EL242&amp;" %",""),""),IFERROR(IF(LEFT(HU242,4)="мало","Iкз мало — отключение &gt; 0,4 с",""),""),IF(AND(B242&lt;&gt;"",BM242=""),"не на схеме",""),IF(AND(CG242=0,B242&lt;&gt;"",FV242&lt;&gt;"",IF(BA242=1,"",FW241)&lt;&gt;"",FV242&lt;&gt;IF(BA242=1,"",FW241)),"фаза не как у автомата группы ("&amp;IF(BA242=1,"",FW241)&amp;")","")))</f>
        <v/>
      </c>
      <c r="II242" s="6">
        <f>IF(OR(CG242=0,DQ242=""),"",_xlfn.LET(_xlpm.t,IFERROR(_xlfn.XLOOKUP(DQ242,Каталог!$U$4:$U$500,Каталог!$G$4:$G$500),""),_xlpm.k,SEARCH("кА",_xlpm.t),IFERROR(--TRIM(RIGHT(SUBSTITUTE(MID(_xlpm.t,MAX(1,_xlpm.k-4),_xlpm.k-MAX(1,_xlpm.k-4))," ",REPT(" ",9)),5)),"")))</f>
        <v>6</v>
      </c>
      <c r="IJ242" t="str">
        <f>IF(OR(II242="",CG242=0),"",IF(_xlfn.XLOOKUP(A242,Щиты[Щит],Щиты[Iкз max на шинах, кА],"")="","",IF(II242&lt;_xlfn.XLOOKUP(A242,Щиты[Щит],Щиты[Iкз max на шинах, кА]),"Icu "&amp;II242&amp;" кА &lt; Iкз max","ok")))</f>
        <v/>
      </c>
      <c r="IK242" t="str">
        <f t="shared" si="527"/>
        <v/>
      </c>
      <c r="IL242" t="str">
        <f t="shared" si="528"/>
        <v>QFD18</v>
      </c>
      <c r="IM242" t="str">
        <f t="shared" si="529"/>
        <v>QFD18|кабель ВВГнг(А)-LS (3х2,5) → Розеточная группа, пом. 003A2</v>
      </c>
      <c r="IN242" t="str" cm="1">
        <f t="array" ref="IN242">IF(IM242="","",_xlfn.LET(_xlpm.nd,_xlfn.TEXTSPLIT(IM242,"|"),IF(COLUMNS(_xlpm.nd)&gt;1,A242&amp;"¦"&amp;INDEX(_xlpm.nd,1)&amp;"¦"&amp;INDEX(_xlpm.nd,2),"")))</f>
        <v>ЩР-1¦QFD18¦кабель ВВГнг(А)-LS (3х2,5) → Розеточная группа, пом. 003A2</v>
      </c>
      <c r="IO242" t="str">
        <f t="shared" si="530"/>
        <v>R.1.003A2¦Розеточная группа, пом. 003A2</v>
      </c>
      <c r="IP242" t="str" cm="1">
        <f t="array" ref="IP242">IF(IM242="","",_xlfn.LET(_xlpm.nd,_xlfn.TEXTSPLIT(IM242,"|"),IF(COLUMNS(_xlpm.nd)&gt;2,A242&amp;"¦"&amp;INDEX(_xlpm.nd,2)&amp;"¦"&amp;INDEX(_xlpm.nd,3),"")))</f>
        <v/>
      </c>
      <c r="IQ242" t="str">
        <f t="shared" si="531"/>
        <v/>
      </c>
      <c r="IR242" t="str" cm="1">
        <f t="array" ref="IR242">IF(IM242="","",_xlfn.LET(_xlpm.nd,_xlfn.TEXTSPLIT(IM242,"|"),IF(COLUMNS(_xlpm.nd)&gt;3,A242&amp;"¦"&amp;INDEX(_xlpm.nd,3)&amp;"¦"&amp;INDEX(_xlpm.nd,4),"")))</f>
        <v/>
      </c>
      <c r="IS242" t="str">
        <f t="shared" si="532"/>
        <v/>
      </c>
      <c r="IT242" t="str" cm="1">
        <f t="array" ref="IT242">IF(IM242="","",_xlfn.LET(_xlpm.nd,_xlfn.TEXTSPLIT(IM242,"|"),IF(COLUMNS(_xlpm.nd)&gt;4,A242&amp;"¦"&amp;INDEX(_xlpm.nd,4)&amp;"¦"&amp;INDEX(_xlpm.nd,5),"")))</f>
        <v/>
      </c>
      <c r="IU242" t="str">
        <f t="shared" si="533"/>
        <v/>
      </c>
      <c r="IV242" t="str" cm="1">
        <f t="array" ref="IV242">IF(IM242="","",_xlfn.LET(_xlpm.nd,_xlfn.TEXTSPLIT(IM242,"|"),IF(COLUMNS(_xlpm.nd)&gt;5,A242&amp;"¦"&amp;INDEX(_xlpm.nd,5)&amp;"¦"&amp;INDEX(_xlpm.nd,6),"")))</f>
        <v/>
      </c>
      <c r="IW242" t="str">
        <f t="shared" si="534"/>
        <v/>
      </c>
      <c r="IX242" t="str" cm="1">
        <f t="array" ref="IX242">IF(IM242="","",_xlfn.LET(_xlpm.nd,_xlfn.TEXTSPLIT(IM242,"|"),IF(COLUMNS(_xlpm.nd)&gt;6,A242&amp;"¦"&amp;INDEX(_xlpm.nd,6)&amp;"¦"&amp;INDEX(_xlpm.nd,7),"")))</f>
        <v/>
      </c>
      <c r="IY242" t="str">
        <f t="shared" si="535"/>
        <v/>
      </c>
      <c r="IZ242" t="str">
        <f t="shared" si="536"/>
        <v/>
      </c>
      <c r="JA242" t="str">
        <f t="shared" si="537"/>
        <v>QFD18</v>
      </c>
      <c r="JB242">
        <f t="shared" si="538"/>
        <v>0</v>
      </c>
      <c r="JC242">
        <f t="shared" si="539"/>
        <v>1</v>
      </c>
      <c r="JD242" t="str">
        <f t="shared" si="540"/>
        <v/>
      </c>
      <c r="JE242" t="str">
        <f t="shared" si="541"/>
        <v/>
      </c>
      <c r="JF242" t="str">
        <f t="shared" si="542"/>
        <v/>
      </c>
      <c r="JG242" t="str">
        <f t="shared" si="543"/>
        <v/>
      </c>
      <c r="JH242" t="str">
        <f>IF(B242="","",IFERROR(_xlfn.XLOOKUP(B242,Коды_код,Коды_уго),IFERROR(_xlfn.XLOOKUP(BC242,Коды_код,Коды_уго),IFERROR(_xlfn.XLOOKUP(LEFT(BC242,2),Коды_код,Коды_уго),""))))</f>
        <v>Розетка</v>
      </c>
      <c r="JI242" t="str">
        <f>IF(B242="","",IF(OR(JH242="",JH242=0),"BOX",IFERROR(IF(VLOOKUP(JH242,УГО_блоки,3,FALSE)&amp;""&lt;&gt;"",VLOOKUP(JH242,УГО_блоки,3,FALSE),VLOOKUP(JH242,УГО_блоки,2,FALSE)),JH242)))</f>
        <v>SOCKET</v>
      </c>
      <c r="JJ242">
        <f t="shared" si="544"/>
        <v>1</v>
      </c>
      <c r="JK242" t="str">
        <f>IF(DQ242="","",IF(COUNTIF(DQ$3:DQ242,DQ242)=1,MAX(JK$2:JK241)+1,""))</f>
        <v/>
      </c>
      <c r="JL242" t="str">
        <f>IF(DE242="","",IF(COUNTIF(DE$3:DE242,DE242)+COUNTIF(DF$2:DF241,DE242)+COUNTIF(DG$2:DG241,DE242)=1,MAX(JL$2:JN241)+1,""))</f>
        <v/>
      </c>
      <c r="JM242" t="str">
        <f>IF(DF242="","",IF(COUNTIF(DE$3:DE242,DF242)+COUNTIF(DF$3:DF242,DF242)+COUNTIF(DG$2:DG241,DF242)=1,MAX(JL$2:JN241,JL242)+1,""))</f>
        <v/>
      </c>
      <c r="JN242" t="str">
        <f>IF(DG242="","",IF(COUNTIF(DE$3:DE242,DG242)+COUNTIF(DF$3:DF242,DG242)+COUNTIF(DG$3:DG242,DG242)=1,MAX(JL$2:JN241,JL242,JM242)+1,""))</f>
        <v/>
      </c>
      <c r="JO242" t="str">
        <f t="shared" si="545"/>
        <v>3х2,5</v>
      </c>
      <c r="JP242" t="str">
        <f>IF(JO242="","",IF(COUNTIF(JO$3:JO242,JO242)=1,MAX(JP$2:JP241)+1,""))</f>
        <v/>
      </c>
      <c r="JQ242" t="str">
        <f>IF(HG242="","",COUNTIF(HG$3:HG242,"?*"))</f>
        <v/>
      </c>
      <c r="JR242" t="str">
        <f>IF(OR(HG242="",HI242=""),"",IF(COUNTIFS(HG$3:HG242,"?*",HI$3:HI242,HI242)=1,MAX(JR$2:JR241)+1,""))</f>
        <v/>
      </c>
      <c r="JS242">
        <f t="shared" si="546"/>
        <v>0</v>
      </c>
      <c r="JT242">
        <f>IF(B242="","",COUNTIF(B$3:B242,"?*"))</f>
        <v>240</v>
      </c>
      <c r="JU242">
        <f>IF(HL242&lt;&gt;1,0,_xlfn.LET(_xlpm.k,MAX(IFERROR(--_xlfn.XLOOKUP(B242,Коды_код,Коды_3L),0),IFERROR(--_xlfn.XLOOKUP(BC242,Коды_код,Коды_3L),0),IFERROR(--_xlfn.XLOOKUP(LEFT(BC242,2),Коды_код,Коды_3L),0)),IF(_xlpm.k&gt;0,_xlpm.k,IF(IFERROR(--LEFT(SUBSTITUTE(JO242,"x","х"),FIND("х",SUBSTITUTE(JO242,"x","х"))-1),3)&gt;3,Каталог!$S$9,1))))</f>
        <v>1</v>
      </c>
      <c r="JV242">
        <f t="shared" si="547"/>
        <v>0</v>
      </c>
      <c r="JW242" t="str">
        <f t="shared" si="548"/>
        <v>авто</v>
      </c>
      <c r="JX242">
        <f t="shared" si="549"/>
        <v>30</v>
      </c>
      <c r="JY242">
        <f t="shared" si="550"/>
        <v>1</v>
      </c>
      <c r="JZ242">
        <f t="shared" si="551"/>
        <v>1</v>
      </c>
    </row>
    <row r="243" spans="1:286" x14ac:dyDescent="0.3">
      <c r="A243" t="s">
        <v>757</v>
      </c>
      <c r="B243" t="s">
        <v>1549</v>
      </c>
      <c r="C243" t="str">
        <f>Линии[[#This Row],[_авто наименование]]</f>
        <v>Розеточная группа, пом. 003Aб</v>
      </c>
      <c r="D243">
        <v>4</v>
      </c>
      <c r="E243">
        <v>0.24</v>
      </c>
      <c r="G243" t="str">
        <f>Линии[[#This Row],[_авто автомат]]</f>
        <v>2P С16А 30мА</v>
      </c>
      <c r="H243" t="str">
        <f>Линии[[#This Row],[_авто управление]]</f>
        <v/>
      </c>
      <c r="I243" t="str">
        <f>Линии[[#This Row],[_авто аппараты]]</f>
        <v/>
      </c>
      <c r="J243">
        <v>2.5</v>
      </c>
      <c r="K243">
        <v>60</v>
      </c>
      <c r="L243" t="str">
        <f>Линии[[#This Row],[_авто фаза]]</f>
        <v>L2</v>
      </c>
      <c r="M243" t="s">
        <v>484</v>
      </c>
      <c r="N243" t="str">
        <f t="shared" si="414"/>
        <v/>
      </c>
      <c r="O243" s="6" cm="1">
        <f t="array" ref="O243">IF(B243="","",IF(BH243&lt;&gt;"",IFERROR(_xlfn.XLOOKUP(BH243,Щиты[Щит],Щиты[Iр, А]),""),IF(BP243=1,IF(OR(N(_xlfn.XLOOKUP(A243,Щиты[Щит],Щиты[Вводов],1))&lt;=1,LOWER(TRIM(_xlfn.XLOOKUP(A243,Щиты[Щит],Щиты[АВР],"")&amp;""))="да"),IFERROR(_xlfn.XLOOKUP(A243,Щиты[Щит],Щиты[Iр, А]),""),IFERROR(N(BS243)*_xlfn.XLOOKUP(A243,Щиты[Щит],Щиты[Кс итог])/(SQRT(3)*Uн_лин*_xlfn.XLOOKUP(A243,Щиты[Щит],Щиты[cos φ])),"")),IF(BV243=1,IFERROR(BS243*1000/BU243,""),IFERROR(_xlfn.IFS(BX243=1,BS243/((Uн_лин/SQRT(3))*CE243),BX243=3,BS243/(SQRT(3)*Uн_лин*CE243)),"")))))</f>
        <v>1.0939268258329751</v>
      </c>
      <c r="P243" s="7">
        <f>IF(B243="","",IFERROR(IF(VLOOKUP(BC243,Потребители_обозначение,4,FALSE)=1,VLOOKUP(BC243,Потребители_обозначение,3,FALSE)*(MAX(1,N(D243))*2-1)+EI243+VLOOKUP(BE243,Этаж_обозначение,3,FALSE)+VLOOKUP(BE243,Этаж_обозначение,4,FALSE),VLOOKUP(BC243,Потребители_обозначение,3,FALSE)*(MAX(1,N(D243))*2-1)+EI243),EI243))</f>
        <v>81</v>
      </c>
      <c r="Q243" s="6">
        <f t="shared" si="415"/>
        <v>1.85</v>
      </c>
      <c r="R243" t="str">
        <f t="shared" si="416"/>
        <v>ВВГнг(А)-LS (3х2,5)</v>
      </c>
      <c r="S243" t="str">
        <f>IF(BM243="","",IF(BN243="вводной узел","узел ","")&amp;"л."&amp;(INT((BM243-1)/Столбцов_на_лист)+1)&amp;" / "&amp;(MOD(BM243-1,Столбцов_на_лист)+1))</f>
        <v>л.2 / 12</v>
      </c>
      <c r="T243" s="119">
        <f t="shared" si="417"/>
        <v>1.2</v>
      </c>
      <c r="U243" s="7" t="str">
        <f>IF(OR(CG243=0,N(BV243)+N(IB243)=0),"",ROUNDUP(Запас_БП*(N(HY243)+N(HZ243)),0))</f>
        <v/>
      </c>
      <c r="V243" s="119" t="str">
        <f t="shared" si="418"/>
        <v/>
      </c>
      <c r="W243" s="7" t="str">
        <f>IFERROR(IF(OR(B243="",BP243=1,BV243=1,NOT(ISNUMBER(EN243)),N(DT243)=0),"",MAX(0,ROUNDDOWN((c_min*(Uн_лин*1000/SQRT(3))/(HT243*N(DT243))-_xlfn.XLOOKUP(A243,Щиты[Щит],Щиты[Zпетли на шинах, Ом]))*EN243/(2*ρкз_Cu),0))),"")</f>
        <v/>
      </c>
      <c r="Y243">
        <f>Линии[[#This Row],[_авто утечка]]</f>
        <v>30</v>
      </c>
      <c r="Z243">
        <v>1</v>
      </c>
      <c r="AA243">
        <v>230</v>
      </c>
      <c r="AB243" t="s">
        <v>562</v>
      </c>
      <c r="AG243" t="s">
        <v>810</v>
      </c>
      <c r="AI243" t="s">
        <v>561</v>
      </c>
      <c r="AK243" t="str">
        <f>Линии[[#This Row],[_авто модуль]]</f>
        <v/>
      </c>
      <c r="AM243">
        <v>29</v>
      </c>
      <c r="AN243" t="s">
        <v>11</v>
      </c>
      <c r="AO243">
        <v>3</v>
      </c>
      <c r="AQ243">
        <v>28</v>
      </c>
      <c r="AR243">
        <v>53</v>
      </c>
      <c r="BA243" cm="1">
        <f t="array" ref="BA243">ROW()-ROW(Линии[#Headers])</f>
        <v>241</v>
      </c>
      <c r="BC243" s="6" t="str">
        <f t="shared" si="419"/>
        <v>R</v>
      </c>
      <c r="BD243" t="str">
        <f t="shared" si="420"/>
        <v>1.003Aб.1</v>
      </c>
      <c r="BE243" t="str">
        <f t="shared" si="421"/>
        <v>1</v>
      </c>
      <c r="BF243" t="str">
        <f t="shared" si="422"/>
        <v>003Aб.1</v>
      </c>
      <c r="BG243" t="str">
        <f t="shared" si="423"/>
        <v>003Aб</v>
      </c>
      <c r="BH243" t="str">
        <f>IF(X243&lt;&gt;"",X243,IF(AND(B243&lt;&gt;"",B243&lt;&gt;A243,ISNUMBER(_xlfn.XMATCH(B243,Щиты[Щит]))),B243,""))</f>
        <v/>
      </c>
      <c r="BI243" t="str" cm="1">
        <f t="array" ref="BI243">IF(B243="","",IF(BH243&lt;&gt;"","Щит "&amp;BH243,_xlfn.LET(_xlpm.nm,IFERROR(_xlfn.XLOOKUP(BC243,Коды_код,Коды_имя)&amp;"",""),_xlpm.md,IFERROR(N(_xlfn.XLOOKUP(BC243,Коды_код,Коды_режим)),1),_xlpm.ex,IF(Имя_режим="по экспликации",IFERROR(_xlfn.XLOOKUP(BE243&amp;"|"&amp;BG243,Экспликация[Этаж]&amp;"|"&amp;Экспликация[Помещение],Экспликация[Название])&amp;"",""),""),_xlpm.rm,IF(BG243="","",IF(_xlpm.ex&lt;&gt;"",". "&amp;_xlpm.ex&amp;IF(Имя_пом="нет"," ("&amp;BG243&amp;")"," (пом. "&amp;BG243&amp;")"),IF(Имя_пом="нет"," ",", пом. ")&amp;BG243)),IF(_xlpm.nm="","",IF(_xlpm.md=2,_xlpm.nm&amp;" шлейф "&amp;BE243,_xlpm.nm&amp;_xlpm.rm)))))</f>
        <v>Розеточная группа, пом. 003Aб</v>
      </c>
      <c r="BJ243" t="str">
        <f t="shared" si="424"/>
        <v>Розеточная группа, пом. 003Aб</v>
      </c>
      <c r="BK243">
        <f>IFERROR(_xlfn.XMATCH(A243,Щиты[Щит]),0)</f>
        <v>10</v>
      </c>
      <c r="BL243">
        <f>_xlfn.LET(_xlpm.k,IFERROR(_xlfn.XLOOKUP(A243,Щиты[Щит],Щиты[Мест под вводной узел]),""),IF(_xlpm.k="",Столбцов_на_лист,N(_xlpm.k)))</f>
        <v>8</v>
      </c>
      <c r="BM243">
        <f t="shared" si="425"/>
        <v>29</v>
      </c>
      <c r="BN243" t="str">
        <f t="shared" si="426"/>
        <v>линии</v>
      </c>
      <c r="BO243" s="6">
        <f>IFERROR(N(_xlfn.XLOOKUP(BC243,Коды_код,Коды_квт)),0)</f>
        <v>0</v>
      </c>
      <c r="BP243">
        <f t="shared" si="427"/>
        <v>0</v>
      </c>
      <c r="BQ243" t="str">
        <f>IF(B243="","",IF(BH243&lt;&gt;"",IFERROR(_xlfn.XLOOKUP(BH243,Щиты[Щит],Щиты[Руст, кВт]),0),IF(BP243=1,IF(OR(N(_xlfn.XLOOKUP(A243,Щиты[Щит],Щиты[Вводов],1))&lt;=1,LOWER(TRIM(_xlfn.XLOOKUP(A243,Щиты[Щит],Щиты[АВР],"")&amp;""))="да"),IFERROR(_xlfn.XLOOKUP(A243,Щиты[Щит],Щиты[Руст, кВт]),0),SUMIFS(Линии[_Р для вводов],Линии[Щит],A243,Линии[Источник для режимов],GF243)),IF(BO243&gt;0,ROUND(BO243*MAX(1,N(D243)),3),""))))</f>
        <v/>
      </c>
      <c r="BR243">
        <f t="shared" si="428"/>
        <v>0.24</v>
      </c>
      <c r="BS243" s="6">
        <f>IF(B243="","",IF(BH243&lt;&gt;"",IFERROR(_xlfn.XLOOKUP(BH243,Щиты[Щит],Щиты[Руст, кВт]),0),N(BR243)))</f>
        <v>0.24</v>
      </c>
      <c r="BT243" t="str">
        <f>IF(B243="","",IFERROR(IF(VLOOKUP(BC243,Потребители_обозначение,8,FALSE)=0,"",VLOOKUP(BC243,Потребители_обозначение,8,FALSE)),""))</f>
        <v/>
      </c>
      <c r="BU243">
        <f t="shared" si="429"/>
        <v>230</v>
      </c>
      <c r="BV243">
        <f t="shared" si="430"/>
        <v>0</v>
      </c>
      <c r="BW243">
        <f>IF(B243="","",IF(BH243&lt;&gt;"",3,IFERROR(IF(N(VLOOKUP(BC243,Потребители_обозначение,9,FALSE))=0,1,VLOOKUP(BC243,Потребители_обозначение,9,FALSE)),1)))</f>
        <v>1</v>
      </c>
      <c r="BX243">
        <f t="shared" si="431"/>
        <v>1</v>
      </c>
      <c r="BY243" t="str">
        <f>IF(B243="","",_xlfn.LET(_xlpm.bc,IFERROR(IF(VLOOKUP(BC243,Потребители_обозначение,6,FALSE)=0,"",VLOOKUP(BC243,Потребители_обозначение,6,FALSE)&amp;""),""),IF(AND(GA243="да",OR(_xlpm.bc="",_xlpm.bc="мс")),Марка_пож,IF(AND(_xlpm.bc="",BH243&lt;&gt;""),"мс",_xlpm.bc))))</f>
        <v/>
      </c>
      <c r="BZ243" t="str">
        <f t="shared" si="432"/>
        <v>мс</v>
      </c>
      <c r="CA243">
        <f>IF(B243="","",_xlfn.LET(_xlpm.cc,IFERROR(N(VLOOKUP(BC243,Потребители_обозначение,7,FALSE)),0),IF(_xlpm.cc&gt;0,_xlpm.cc,IF(BZ243="","",IF(BV243=1,2,IF(N(BX243)=3,5,3))))))</f>
        <v>3</v>
      </c>
      <c r="CB243">
        <f t="shared" si="433"/>
        <v>3</v>
      </c>
      <c r="CC243">
        <f>IFERROR(N(VLOOKUP(BC243,Потребители_обозначение,10,FALSE)),0)</f>
        <v>0</v>
      </c>
      <c r="CD243">
        <f>IFERROR(VLOOKUP(BC243,Потребители_обозначение,5,FALSE),0)</f>
        <v>1</v>
      </c>
      <c r="CE243" s="6" cm="1">
        <f t="array" ref="CE243">IF(B243="","",IF(BH243&lt;&gt;"",IFERROR(_xlfn.XLOOKUP(BH243,Щиты[Щит],Щиты[cos φ]),0.95),IF(BP243=1,IFERROR(_xlfn.XLOOKUP(A243,Щиты[Щит],Щиты[cos φ]),0.95),IF(ISNUMBER(AD243),AD243,IFERROR(IF(CD243=2,_xlfn.IFS(BX243=3,VLOOKUP(BS243,Справочная_двигатели,8,FALSE),BX243=1,VLOOKUP(BS243,Справочная_двигатели,10,TRUE)),IF(AND(Методика="нормы 2026",FG243="Сил"),0.8,0.95)),0.95)))))</f>
        <v>0.95</v>
      </c>
      <c r="CF243">
        <f t="shared" si="434"/>
        <v>0</v>
      </c>
      <c r="CG243">
        <f t="shared" si="435"/>
        <v>1</v>
      </c>
      <c r="CH243">
        <f t="shared" si="436"/>
        <v>0</v>
      </c>
      <c r="CI243">
        <f>IF(B243="","",IF(BV243=1,IFERROR(BS243/((Uн_лин/SQRT(3))*MAX(0.5,N(CE243))),0),N(O243)))</f>
        <v>1.0939268258329751</v>
      </c>
      <c r="CJ243">
        <f t="shared" si="437"/>
        <v>0</v>
      </c>
      <c r="CK243">
        <f t="shared" si="438"/>
        <v>0</v>
      </c>
      <c r="CL243">
        <f t="shared" si="439"/>
        <v>0</v>
      </c>
      <c r="CM243">
        <f t="shared" si="440"/>
        <v>0</v>
      </c>
      <c r="CN243">
        <f t="shared" si="441"/>
        <v>0</v>
      </c>
      <c r="CO243">
        <f>IF(BC243="",0,_xlfn.LET(_xlpm.v,IFERROR(_xlfn.XLOOKUP(B243,Коды_код,Коды_мА),IFERROR(_xlfn.XLOOKUP(BC243,Коды_код,Коды_мА),IFERROR(_xlfn.XLOOKUP(LEFT(BC243,2),Коды_код,Коды_мА),""))),IF(_xlpm.v="да",30,IF(ISNUMBER(_xlpm.v),_xlpm.v,0))))</f>
        <v>30</v>
      </c>
      <c r="CP243">
        <f t="shared" si="442"/>
        <v>30</v>
      </c>
      <c r="CQ243" t="str">
        <f>_xlfn.LET(_xlpm.k,IFERROR(_xlfn.XLOOKUP(BC243,Коды_код,Коды_утечка)&amp;"",""),IF(_xlpm.k="","дифавтомат",_xlpm.k))</f>
        <v>дифавтомат</v>
      </c>
      <c r="CR243" t="str" cm="1">
        <f t="array" ref="CR243">IF(CG243=0,"",_xlfn.LET(_xlpm.sg,TRIM(_xlfn.TEXTSPLIT(DD243&amp;"",";")),_xlpm.f_,_xlfn._xlws.FILTER(_xlpm.sg,LEFT(_xlpm.sg,3)="УЗО",""),IFERROR(INDEX(_xlpm.f_,1)&amp;"","")))</f>
        <v/>
      </c>
      <c r="CS243" t="str">
        <f t="shared" si="443"/>
        <v/>
      </c>
      <c r="CT243" s="6" t="str" cm="1">
        <f t="array" ref="CT243">IF(CR243="","",_xlfn.LET(_xlpm.tk,_xlfn.TEXTSPLIT(UPPER(CR243)," ",,TRUE),_xlpm.a_,_xlfn._xlws.FILTER(_xlpm.tk,ISNUMBER(--LEFT(_xlpm.tk,1))*((ISNUMBER(SEARCH("А",_xlpm.tk))+ISNUMBER(SEARCH("A",_xlpm.tk)))&gt;0)*NOT(ISNUMBER(SEARCH("МА",_xlpm.tk)))*NOT(ISNUMBER(SEARCH("MA",_xlpm.tk))),""),IFERROR(--SUBSTITUTE(SUBSTITUTE(INDEX(_xlpm.a_,1),"А",""),"A",""),"")))</f>
        <v/>
      </c>
      <c r="CU243" t="str" cm="1">
        <f t="array" ref="CU243">IF(CR243="","",_xlfn.LET(_xlpm.tk,_xlfn.TEXTSPLIT(UPPER(CR243)," ",,TRUE),_xlpm.a_,_xlfn._xlws.FILTER(_xlpm.tk,ISNUMBER(--LEFT(_xlpm.tk,1))*((ISNUMBER(SEARCH("МА",_xlpm.tk))+ISNUMBER(SEARCH("MA",_xlpm.tk)))&gt;0),""),IFERROR(--SUBSTITUTE(SUBSTITUTE(INDEX(_xlpm.a_,1),"МА",""),"MA",""),30)))</f>
        <v/>
      </c>
      <c r="CV243" t="str">
        <f>IF(CS243="","",IFERROR(_xlfn.XLOOKUP(CS243,Линии[_n],Линии[_УЗО, мА]),30))</f>
        <v/>
      </c>
      <c r="CW243">
        <f>IF(CS243="",0,IF(ISNUMBER(SEARCH("4P",IFERROR(_xlfn.XLOOKUP(CS243,Линии[_n],Линии[_УЗО строки])&amp;"",""))),0,1))</f>
        <v>0</v>
      </c>
      <c r="CX243" t="str">
        <f>IF(AND(CS243&lt;&gt;"",CS243=BA243),SUMIFS(Линии[_ток на 230 В],Линии[_блок УЗО],BA243,Линии[Щит],A243),"")</f>
        <v/>
      </c>
      <c r="CY243" t="str">
        <f>IF(AND(CS243&lt;&gt;"",CS243=BA243),SUMIFS(Линии[_ток утечки линии, мА],Линии[_блок УЗО],BA243,Линии[Щит],A243),"")</f>
        <v/>
      </c>
      <c r="CZ243">
        <f t="shared" si="444"/>
        <v>30</v>
      </c>
      <c r="DA243">
        <f t="shared" si="445"/>
        <v>30</v>
      </c>
      <c r="DB243">
        <f>IF(B243="",0,IFERROR(--_xlfn.XLOOKUP(B243,Коды_код,Коды_минавт),IFERROR(--_xlfn.XLOOKUP(BC243,Коды_код,Коды_минавт),IFERROR(--_xlfn.XLOOKUP(LEFT(BC243,2),Коды_код,Коды_минавт),0))))</f>
        <v>16</v>
      </c>
      <c r="DC243" t="str">
        <f>IF(B243="","",IFERROR(_xlfn.XLOOKUP(BC243,Коды_код,Коды_апп)&amp;"",""))</f>
        <v/>
      </c>
      <c r="DD243" t="str">
        <f t="shared" si="446"/>
        <v/>
      </c>
      <c r="DE243" t="str" cm="1">
        <f t="array" ref="DE243">IF(TRIM(DD243&amp;"")="","",IFERROR(TRIM(INDEX(_xlfn.TEXTSPLIT(DD243&amp;";;;",";"),1)),""))</f>
        <v/>
      </c>
      <c r="DF243" t="str" cm="1">
        <f t="array" ref="DF243">IF(TRIM(DD243&amp;"")="","",IFERROR(TRIM(INDEX(_xlfn.TEXTSPLIT(DD243&amp;";;;",";"),2)),""))</f>
        <v/>
      </c>
      <c r="DG243" t="str" cm="1">
        <f t="array" ref="DG243">IF(TRIM(DD243&amp;"")="","",IFERROR(TRIM(INDEX(_xlfn.TEXTSPLIT(DD243&amp;";;;",";"),3)),""))</f>
        <v/>
      </c>
      <c r="DH243">
        <f t="shared" si="447"/>
        <v>0</v>
      </c>
      <c r="DI243" t="str">
        <f>IF(B243="","",_xlfn.LET(_xlpm.t,LOWER(AZ243&amp;""),IF(ISNUMBER(SEARCH("dim",_xlpm.t)),"DIM",IF(ISNUMBER(SEARCH("dali",_xlpm.t)),"DALI",IF(OR(ISNUMBER(SEARCH("relay",_xlpm.t)),ISNUMBER(SEARCH("реле",_xlpm.t))),"Relay",IF(ISNUMBER(SEARCH("кнопк",_xlpm.t)),"",IFERROR(_xlfn.XLOOKUP(BC243,Коды_код,Коды_упр)&amp;"","")))))))</f>
        <v/>
      </c>
      <c r="DJ243" t="str">
        <f t="shared" si="448"/>
        <v/>
      </c>
      <c r="DK243">
        <f>IF(B243="","",_xlfn.LET(_xlpm.ig,IF(N(CX243)&gt;0,N(CX243),N(CI243)+IF(AJ243="вручную",0,N(CJ243))),_xlpm.n0,IFERROR(VLOOKUP(_xlpm.ig,Автомат_номиналы,2,TRUE),0),_xlpm.mn,MAX(DB243,IF(AJ243="вручную",0,N(CM243))),MAX(_xlpm.n0,_xlpm.mn,IF(DH243=1,Мин_автомат_БП,0))))</f>
        <v>16</v>
      </c>
      <c r="DL243">
        <f t="shared" si="449"/>
        <v>1</v>
      </c>
      <c r="DM243" t="str">
        <f t="shared" si="450"/>
        <v>2P</v>
      </c>
      <c r="DN243" t="str">
        <f>_xlfn.LET(_xlpm.cc,UPPER(TRIM(IFERROR(_xlfn.XLOOKUP(BC243,Коды_код,Коды_хар)&amp;"",""))),IF(OR(_xlpm.cc="B",_xlpm.cc="В"),"B",IF(_xlpm.cc="D","D","С")))</f>
        <v>С</v>
      </c>
      <c r="DO243" t="str">
        <f t="shared" si="451"/>
        <v>2P С16А 30мА</v>
      </c>
      <c r="DP243" t="str">
        <f t="shared" si="452"/>
        <v>2P С16А 30мА</v>
      </c>
      <c r="DQ243" t="str">
        <f t="shared" si="453"/>
        <v>2P С16А 30мА</v>
      </c>
      <c r="DR243" cm="1">
        <f t="array" ref="DR243">IF(DQ243="","",_xlfn.LET(_xlpm.t,SUBSTITUTE(SUBSTITUTE(SUBSTITUTE(UPPER(DQ243),"С","C"),"А","A"),"В","B"),_xlpm.tk,_xlfn.TEXTSPLIT(_xlpm.t," "),_xlpm.f,_xlfn._xlws.FILTER(_xlpm.tk,ISNUMBER(--MID(_xlpm.tk,2,1))*ISNUMBER(SEARCH(LEFT(_xlpm.tk,1)&amp;"#","B#C#D#"))*(LEN(_xlpm.tk)&gt;1),""),_xlpm.x,INDEX(_xlpm.f,1),IFERROR(--SUBSTITUTE(MID(_xlpm.x,2,9),"A",""),IFERROR(--SUBSTITUTE(INDEX(_xlfn._xlws.FILTER(_xlpm.tk,ISNUMBER(--SUBSTITUTE(_xlpm.tk,"A","")),""),1),"A",""),""))))</f>
        <v>16</v>
      </c>
      <c r="DS243" t="str">
        <f t="shared" si="454"/>
        <v>ok</v>
      </c>
      <c r="DT243">
        <f t="shared" si="455"/>
        <v>16</v>
      </c>
      <c r="DU243" t="str">
        <f t="shared" si="456"/>
        <v>2P С16А 30мА</v>
      </c>
      <c r="DV243">
        <f t="shared" si="457"/>
        <v>30</v>
      </c>
      <c r="DW243">
        <f t="shared" si="458"/>
        <v>1</v>
      </c>
      <c r="DX243">
        <f t="shared" si="459"/>
        <v>0</v>
      </c>
      <c r="DY243">
        <f t="shared" si="460"/>
        <v>1.0939268258329751</v>
      </c>
      <c r="DZ243">
        <f t="shared" si="461"/>
        <v>1</v>
      </c>
      <c r="EA243">
        <f>IF(ISNUMBER(AP243),AP243,К_прокл)</f>
        <v>1</v>
      </c>
      <c r="EB243">
        <f t="shared" si="462"/>
        <v>2</v>
      </c>
      <c r="EC243">
        <f>IFERROR(N(VLOOKUP(BZ243,Кабель_обозначение,3,FALSE)),1)</f>
        <v>1</v>
      </c>
      <c r="ED243">
        <f>IFERROR(N(_xlfn.XLOOKUP(A243,Щиты[Щит],Щиты[ΔU до шин, %])),0)</f>
        <v>1.19</v>
      </c>
      <c r="EE243" t="str">
        <f>IFERROR(_xlfn.XLOOKUP(A243,Щиты[Щит],Щиты[Zпетли на шинах, Ом]),"")</f>
        <v/>
      </c>
      <c r="EF243">
        <f>IFERROR(N(_xlfn.XLOOKUP(A243,Щиты[Щит],Щиты[ΔU до шин (подбор), %])),0)</f>
        <v>1.19</v>
      </c>
      <c r="EG243" t="str">
        <f>IFERROR(_xlfn.XLOOKUP(A243,Щиты[Щит],Щиты[Zпетли на шинах (подбор), Ом]),"")</f>
        <v/>
      </c>
      <c r="EH243" t="str">
        <f t="shared" si="463"/>
        <v/>
      </c>
      <c r="EI243">
        <f t="shared" si="464"/>
        <v>60</v>
      </c>
      <c r="EJ243">
        <f t="shared" si="465"/>
        <v>2</v>
      </c>
      <c r="EK243">
        <f t="shared" si="466"/>
        <v>0.31</v>
      </c>
      <c r="EL243" s="6">
        <f>IF(B243="","",IF(BV243=1,dU_LED,IF(IFERROR(_xlfn.XLOOKUP(BC243,Коды_код,Коды_уго),"")="Светильник",3,4)+IF(Методика="нормы 2026",MIN(0.5,MAX(0,N(P243)-100)*0.005),0)))</f>
        <v>4</v>
      </c>
      <c r="EM243" cm="1">
        <f t="array" ref="EM243">IF(OR(B243="",BZ243="",EC243&lt;&gt;1),"",_xlfn.LET(_xlpm.sz,Iдоп_S,_xlpm.t_,CHOOSE(EB243,Iдоп_1ж,Iдоп_2ж,Iдоп_3ж)*DZ243*EA243,_xlpm.dcx,BV243=1,_xlpm.inn,IF(_xlpm.dcx,N(O243),N(DT243)),_xlpm.smin,MAX(1.5,CC243),_xlpm.L_,N(P243)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243)/N(BU243)*100,999),IFERROR(N(EJ243)*(_xlpm.rho*_xlpm.L_/_xlpm.sz*N(CE243)+_xlpm.xx*_xlpm.L_*N(EK243)/1000)*N(O243)/((Uн_лин/SQRT(3))*1000)*100,999)),_xlpm.kz,IF(OR(_xlpm.dcx,DW243=1,NOT(ISNUMBER(EG243)),_xlpm.L_=0,_xlpm.inn=0),1,IFERROR(--(c_min*(Uн_лин*1000/SQRT(3))/(EG243+2*ρкз_Cu*_xlpm.L_/_xlpm.sz)&gt;=HT243*_xlpm.inn),0)),_xlpm.ok,IFERROR((_xlpm.sz&gt;=_xlpm.smin)*(_xlpm.t_&gt;=_xlpm.inn)*IF(_xlpm.L_&gt;0,(_xlpm.du_+IF(_xlpm.dcx,0,EF243)&lt;=EL243+0.00001),1)*_xlpm.kz,0),_xlpm.r_,_xlfn._xlws.FILTER(_xlpm.sz,_xlpm.ok,"не подобрано"),INDEX(_xlpm.r_,1)))</f>
        <v>1.5</v>
      </c>
      <c r="EN243">
        <f t="shared" si="467"/>
        <v>2.5</v>
      </c>
      <c r="EO243" cm="1">
        <f t="array" ref="EO243">IF(OR(B243="",BZ243="",EC243&lt;&gt;1),"",_xlfn.LET(_xlpm.sz,Iдоп_S,_xlpm.t_,CHOOSE(EB243,Iдоп_1ж,Iдоп_2ж,Iдоп_3ж)*DZ243*EA243,_xlpm.ok,IFERROR((_xlpm.sz&gt;=MAX(1.5,CC243))*(_xlpm.t_&gt;=N(DT243)),0),_xlpm.r_,_xlfn._xlws.FILTER(_xlpm.sz,_xlpm.ok,""),INDEX(_xlpm.r_,1)))</f>
        <v>1.5</v>
      </c>
      <c r="EP243" s="6" cm="1">
        <f t="array" ref="EP243">IFERROR(ROUNDUP(N(EJ243)*(_xlfn.XLOOKUP(EO243,INDEX(Кабель_сопротивление,0,1),INDEX(Кабель_сопротивление,0,3))*N(P243)/EO243*N(CE243)+_xlfn.XLOOKUP(EO243,INDEX(Кабель_сопротивление,0,1),INDEX(Кабель_сопротивление,0,2))*N(P243)*N(EK243)/1000)*N(O243)/((Uн_лин/SQRT(3))*1000)*100,2),"")</f>
        <v>1.1000000000000001</v>
      </c>
      <c r="EQ243">
        <f>IFERROR(2*ρкз_Cu*N(P243)/EO243,"")</f>
        <v>2.8404000000000003</v>
      </c>
      <c r="ER243">
        <f>IFERROR(VLOOKUP(EN243,Кабель_сопротивление,3,FALSE),"")</f>
        <v>2.2499999999999999E-2</v>
      </c>
      <c r="ES243">
        <f>IFERROR(VLOOKUP(EN243,Кабель_сопротивление,2,FALSE),"")</f>
        <v>0.1</v>
      </c>
      <c r="ET243">
        <f t="shared" si="468"/>
        <v>53</v>
      </c>
      <c r="EU243" t="str">
        <f t="shared" si="469"/>
        <v/>
      </c>
      <c r="EV243">
        <f t="shared" si="470"/>
        <v>1.520691746980587</v>
      </c>
      <c r="EW243" s="6">
        <f>IFERROR(ROUNDUP(EV243/IF(BV243=1,BU243,(Uн_лин/SQRT(3))*1000)*100,2),"")</f>
        <v>0.66</v>
      </c>
      <c r="EX243" t="str">
        <f>IFERROR(VLOOKUP(BZ243,Кабель_обозначение,2,FALSE),"")</f>
        <v>ВВГнг(А)-LS</v>
      </c>
      <c r="EY243" t="str">
        <f t="shared" si="471"/>
        <v>ВВГнг(А)-LS (3х2,5)</v>
      </c>
      <c r="EZ243" t="str">
        <f t="shared" si="472"/>
        <v>ВВГнг(А)-LS (3х2,5)
L=81-0,66%</v>
      </c>
      <c r="FA243">
        <f>IFERROR(2*ρкз_Cu*P243/EN243,"")</f>
        <v>1.70424</v>
      </c>
      <c r="FB243">
        <f t="shared" si="473"/>
        <v>0.56700000000000006</v>
      </c>
      <c r="FC243" s="6" t="str">
        <f>IFERROR(IF(OR(B243="",BV243=1,NOT(ISNUMBER(EN243)),N(P243)=0),"",_xlfn.XLOOKUP(A243,Щиты[Щит],Щиты[Zпетли на шинах, Ом])+FA243),"")</f>
        <v/>
      </c>
      <c r="FD243" s="6" t="str">
        <f>IF(ISNUMBER(FC243),c_min*(Uн_лин*1000/SQRT(3))/FC243,"")</f>
        <v/>
      </c>
      <c r="FE243" s="6" t="str">
        <f>IFERROR(IF(OR(B243="",NOT(ISNUMBER(EN243))),"",1.05*(Uн_лин*1000/SQRT(3))/(_xlfn.XLOOKUP(A243,Щиты[Щит],Щиты[Zmax на шинах, Ом])+FB243)/1000),"")</f>
        <v/>
      </c>
      <c r="FF243" s="6" t="str">
        <f>IF(B243="","",IF(ISNUMBER(AC243),"Сил",IF(IFERROR(_xlfn.XLOOKUP(BC243,Коды_код,Коды_группа)&amp;"","")="","Быт",_xlfn.XLOOKUP(BC243,Коды_код,Коды_группа)&amp;"")))</f>
        <v>Быт</v>
      </c>
      <c r="FG243" s="6" t="str">
        <f t="shared" si="474"/>
        <v>Быт</v>
      </c>
      <c r="FH243" s="6">
        <f>IF(FG243="Щит","щит",IF(FG243="","",IF(FG243="Быт",IFERROR(_xlfn.XLOOKUP(A243,Щиты[Щит],Щиты[Кс быт]),1),IF(FG243="Сил",IF(ISNUMBER(AC243),AC243,IF(Методика="нормы 2026",IFERROR(_xlfn.XLOOKUP(A243,Щиты[Щит],Щиты[Кс силовых (табл. 7.5)]),1),1)),IF(OR(FG243="Пост",FG243="Отоп"),1,IF(FG243="ВНГ",0.7,0))))))</f>
        <v>0.57830000000000004</v>
      </c>
      <c r="FI243">
        <f>IF(FG243="","",IF(AND(BP243=1,TRIM(AE243&amp;"")=""),IF(COUNTIFS(Линии[Щит],A243,Линии[Секция (1/2/3)],"&gt;=2")&gt;0,MIN(3,MAX(1,IFERROR(--BD243,1))),1),IFERROR(MIN(3,MAX(1,INT(--AE243))),1)))</f>
        <v>1</v>
      </c>
      <c r="FJ243">
        <f t="shared" si="475"/>
        <v>0.24</v>
      </c>
      <c r="FK243">
        <f t="shared" si="476"/>
        <v>0.24</v>
      </c>
      <c r="FL243">
        <f t="shared" si="477"/>
        <v>0</v>
      </c>
      <c r="FM243">
        <f t="shared" si="478"/>
        <v>0</v>
      </c>
      <c r="FN243">
        <f t="shared" si="479"/>
        <v>0</v>
      </c>
      <c r="FO243">
        <f t="shared" si="480"/>
        <v>0</v>
      </c>
      <c r="FP243">
        <f t="shared" si="481"/>
        <v>0.24</v>
      </c>
      <c r="FQ243">
        <f t="shared" si="482"/>
        <v>0.24</v>
      </c>
      <c r="FR243">
        <f t="shared" si="483"/>
        <v>0.22799999999999998</v>
      </c>
      <c r="FS243">
        <f>IF(CG243=1,IF(AND(CH243=1,CW243=1),0,IF(AND(CS243&lt;&gt;"",CS243=BA243,CW243=1),SUMIFS(Линии[_Р линии, кВт],Линии[_блок УЗО],BA243,Линии[Щит],A243),N(BS243)+IF(AJ243="вручную",0,N(CK243)))),0)</f>
        <v>0.24</v>
      </c>
      <c r="FT243" t="str">
        <f t="shared" si="484"/>
        <v/>
      </c>
      <c r="FU243" t="str">
        <f>IF(B243="","",IF(CG243=0,IF(BA243=1,"",FW242),IF(AND(CH243=1,CW243=1,CS243&lt;&gt;""),IFERROR(_xlfn.XLOOKUP(CS243,Линии[_n],Линии[_фаза итог]),"L1"),IF(OR(N(DL243)&gt;=3,N(BX243)&gt;=3),"L1,L2,L3",IFERROR(_xlfn.TEXTBEFORE(_xlfn.TEXTAFTER(_xlfn.XLOOKUP(A243,Щиты[Щит],Щиты[_фазы авто]),";"&amp;BA243&amp;":"),";"),"L1")))))</f>
        <v>L2</v>
      </c>
      <c r="FV243" t="str">
        <f t="shared" si="485"/>
        <v>L2</v>
      </c>
      <c r="FW243" t="str">
        <f t="shared" si="486"/>
        <v>L2</v>
      </c>
      <c r="FX243" cm="1">
        <f t="array" ref="FX243">IFERROR(IF(CD243=2,_xlfn.IFS(BX243=3,VLOOKUP(BS243,Справочная_двигатели,3,FALSE),BX243=1,VLOOKUP(BS243,Справочная_двигатели,5,TRUE)),0),0)</f>
        <v>0</v>
      </c>
      <c r="FY243">
        <f>IFERROR(IF(CD243=3,VLOOKUP(BS243,Справочная_ЛЭД,2,TRUE),0),0)</f>
        <v>0</v>
      </c>
      <c r="FZ243" s="6">
        <f t="shared" si="487"/>
        <v>0</v>
      </c>
      <c r="GA243" t="str">
        <f>IF(B243="","",IF(TRIM(AH243&amp;"")&lt;&gt;"",IF(LOWER(TRIM(AH243&amp;""))="да","да","нет"),IF(IFERROR(_xlfn.XLOOKUP(BC243,Коды_код,Коды_пожарная),"")="да","да","нет")))</f>
        <v>нет</v>
      </c>
      <c r="GB243" t="str">
        <f t="shared" si="488"/>
        <v/>
      </c>
      <c r="GC243" t="str">
        <f t="shared" si="489"/>
        <v>основная</v>
      </c>
      <c r="GD243">
        <f>IF(AND(BP243=1,TRIM(AE243&amp;"")=""),IF(COUNTIFS(Линии[Щит],A243,Линии[Секция (1/2/3)],"&gt;=2")&gt;0,MIN(3,MAX(1,IFERROR(--BD243,1))),1),IFERROR(MIN(3,MAX(1,INT(--AE243))),1))</f>
        <v>1</v>
      </c>
      <c r="GE243" t="str" cm="1">
        <f t="array" ref="GE243">IF(B243="","",_xlfn.LET(_xlpm.t,IFERROR(_xlfn.XLOOKUP(1,(Шины[Шина]=GC243)*(((Шины[Щит]=A243)+(Шины[Щит]=""))&gt;0),Шины[Тип]),"")&amp;"",IF(_xlpm.t&lt;&gt;"",_xlpm.t,IF(ISNUMBER(SEARCH("ИБП",GC243)),"ИБП",IF(ISNUMBER(SEARCH("ДГУ",GC243)),"ДГУ","Ввод "&amp;GD243)))))</f>
        <v>Ввод 1</v>
      </c>
      <c r="GF243" t="str">
        <f t="shared" si="490"/>
        <v>Ввод 1</v>
      </c>
      <c r="GG243" t="str">
        <f>IF(BP243=0,"",IF(TRIM(AG243&amp;"")&lt;&gt;"",TRIM(AG243&amp;""),IF(OR(GE243="ИБП",GE243="ДГУ"),"I особая",_xlfn.XLOOKUP(A243,Щиты[Щит],Щиты[Категория шины «Ввод»],"III"))))</f>
        <v/>
      </c>
      <c r="GH243" t="str">
        <f>IF(A243="","",_xlfn.XLOOKUP(A243,Щиты[Щит],Щиты[Путь],""))</f>
        <v>|ГРЩ-ЖД|ЩР-1|</v>
      </c>
      <c r="GI243" t="str">
        <f>IF(B243="","",IF(AI243&lt;&gt;"",AI243,IF(IFERROR(_xlfn.XLOOKUP(BC243,Коды_код,Коды_вид)&amp;"","")="","Прочее",_xlfn.XLOOKUP(BC243,Коды_код,Коды_вид)&amp;"")))</f>
        <v>Розеточная сеть и бытовые приборы</v>
      </c>
      <c r="GJ243">
        <f>IF(BM243="","",INT((BM243-1)/Столбцов_на_лист)+1)</f>
        <v>2</v>
      </c>
      <c r="GK243" t="str">
        <f t="shared" si="491"/>
        <v>ВВГнг(А)-LS (3х2,5) L=81-0,66%</v>
      </c>
      <c r="GL243">
        <f t="shared" si="492"/>
        <v>0.24</v>
      </c>
      <c r="GM243">
        <f t="shared" si="493"/>
        <v>1.1000000000000001</v>
      </c>
      <c r="GN243">
        <f t="shared" si="494"/>
        <v>1</v>
      </c>
      <c r="GO243">
        <f t="shared" si="495"/>
        <v>0</v>
      </c>
      <c r="GP243">
        <f t="shared" si="496"/>
        <v>1</v>
      </c>
      <c r="GQ243">
        <f>IF(BM243="","",IF(AND(CG243=1,GP243=1),COUNTIFS(A$3:A243,A243,CG$3:CG243,1,GP$3:GP243,1),IF(OR(OR(BA243=1,A243&lt;&gt;A242),AJ243="вручную",GP243=0),"",IF(BA243=1,"",GR242))))</f>
        <v>19</v>
      </c>
      <c r="GR243">
        <f t="shared" si="497"/>
        <v>19</v>
      </c>
      <c r="GS243">
        <f>IF(B243="","",IFERROR(LOOKUP(INDEX(CHOOSE(EB243,Iдоп_1ж,Iдоп_2ж,Iдоп_3ж),MATCH(EN243,Iдоп_S,0))*DZ243*EA243,{6,10,16,20,25,32,40,50,63,80,100,125,160,200,250,315,400,500,630}),""))</f>
        <v>25</v>
      </c>
      <c r="GT243" t="str">
        <f t="shared" si="498"/>
        <v>QFD19</v>
      </c>
      <c r="GU243" t="str">
        <f t="shared" si="499"/>
        <v>QFD19</v>
      </c>
      <c r="GV243" t="str">
        <f t="shared" si="500"/>
        <v/>
      </c>
      <c r="GW243">
        <f t="shared" si="501"/>
        <v>0</v>
      </c>
      <c r="GX243" t="str">
        <f>IF(OR(B243="",DJ243=""),"",IFERROR(_xlfn.XLOOKUP(DJ243,Модули_умолч[Управление],Модули_умолч[Модель])&amp;"",""))</f>
        <v/>
      </c>
      <c r="GY243">
        <f>IF(DJ243="",1,IFERROR(MAX(0,N(_xlfn.XLOOKUP(DJ243,Модули_умолч[Управление],Модули_умолч[Каналов на линию]))),1))</f>
        <v>1</v>
      </c>
      <c r="GZ243" t="str">
        <f t="shared" si="502"/>
        <v/>
      </c>
      <c r="HA243" t="str">
        <f t="shared" si="503"/>
        <v/>
      </c>
      <c r="HB243" t="str">
        <f t="shared" si="504"/>
        <v/>
      </c>
      <c r="HC243">
        <f>IF(HB243="",0,IFERROR(N(VLOOKUP(HB243,Модули_спр,3,FALSE)),0))</f>
        <v>0</v>
      </c>
      <c r="HD243" t="str">
        <f t="shared" si="505"/>
        <v/>
      </c>
      <c r="HE243" t="str">
        <f t="shared" si="506"/>
        <v/>
      </c>
      <c r="HF243" t="str">
        <f>IF(OR(HE243="",HE243="-"),"",IFERROR(VLOOKUP(HE243,Модули_спр,2,FALSE),"R"))</f>
        <v/>
      </c>
      <c r="HG243" t="str">
        <f>IF(HF243="","",HF243&amp;"."&amp;COUNTIFS(A$3:A243,A243,HF$3:HF243,HF243))</f>
        <v/>
      </c>
      <c r="HH243" t="str">
        <f t="shared" si="507"/>
        <v/>
      </c>
      <c r="HI243" t="str">
        <f t="shared" si="508"/>
        <v/>
      </c>
      <c r="HJ243" t="str">
        <f t="shared" si="509"/>
        <v/>
      </c>
      <c r="HK243" t="str">
        <f t="shared" si="510"/>
        <v/>
      </c>
      <c r="HL243">
        <f t="shared" si="511"/>
        <v>1</v>
      </c>
      <c r="HM243" t="str">
        <f>IF(HL243=1,"XT"&amp;COUNTIFS(A$3:A243,A243,HL$3:HL243,1),"")</f>
        <v>XT19</v>
      </c>
      <c r="HN243" t="str">
        <f t="shared" si="512"/>
        <v/>
      </c>
      <c r="HO243" t="str">
        <f t="shared" si="513"/>
        <v>QFD19</v>
      </c>
      <c r="HP243" t="str">
        <f t="shared" si="514"/>
        <v/>
      </c>
      <c r="HQ243" t="str">
        <f t="shared" si="515"/>
        <v>ok</v>
      </c>
      <c r="HR243" t="str">
        <f>IF(OR(HJ243="",HH243=""),"",IF(HJ243+MAX(0,GY243-1)&gt;IFERROR(VLOOKUP(HI243,Модули_спр,3,FALSE),99),"ЛИШНИЙ КАНАЛ",IF(AND(AL243&lt;&gt;"=",GY243&gt;0,COUNTIFS(Линии[_модуль гр.],HH243,Линии[Канал (итог)],HJ243,Линии[Канал],"&lt;&gt;=",Линии[Щит],A243)&gt;1),"ДУБЛЬ КАНАЛА","")))</f>
        <v/>
      </c>
      <c r="HS243" s="6" t="str">
        <f t="shared" si="516"/>
        <v/>
      </c>
      <c r="HT243">
        <f t="shared" si="517"/>
        <v>10</v>
      </c>
      <c r="HU243" t="str">
        <f t="shared" si="518"/>
        <v/>
      </c>
      <c r="HV243">
        <f t="shared" si="519"/>
        <v>1.24757073033319</v>
      </c>
      <c r="HW243">
        <f t="shared" si="520"/>
        <v>0</v>
      </c>
      <c r="HX243">
        <f t="shared" si="521"/>
        <v>0</v>
      </c>
      <c r="HY243">
        <f t="shared" si="522"/>
        <v>0</v>
      </c>
      <c r="HZ243">
        <f t="shared" si="523"/>
        <v>0</v>
      </c>
      <c r="IA243">
        <f t="shared" si="524"/>
        <v>0</v>
      </c>
      <c r="IB243">
        <f t="shared" si="525"/>
        <v>0</v>
      </c>
      <c r="IC243" t="str">
        <f t="shared" si="526"/>
        <v/>
      </c>
      <c r="ID243" t="str" cm="1">
        <f t="array" ref="ID243">IF(IC243="","",_xlfn.LET(_xlpm.tk,_xlfn.TEXTSPLIT(SUBSTITUTE(SUBSTITUTE(IC243,";"," "),"→"," ")," ",,TRUE),_xlpm.w_,_xlfn._xlws.FILTER(_xlpm.tk,ISNUMBER(--LEFT(_xlpm.tk,1))*((ISNUMBER(SEARCH("W",_xlpm.tk))+ISNUMBER(SEARCH("Вт",_xlpm.tk)))&gt;0),""),IFERROR(--SUBSTITUTE(SUBSTITUTE(UPPER(INDEX(_xlpm.w_,1)),"W",""),"ВТ",""),"")))</f>
        <v/>
      </c>
      <c r="IE243" t="str" cm="1">
        <f t="array" ref="IE243">IF(IC243="","",_xlfn.LET(_xlpm.tk,_xlfn.TEXTSPLIT(SUBSTITUTE(SUBSTITUTE(IC243,";"," "),"→"," ")," ",,TRUE),_xlpm.v_,_xlfn._xlws.FILTER(_xlpm.tk,ISNUMBER(--LEFT(_xlpm.tk,1))*((ISNUMBER(SEARCH("V",_xlpm.tk))+(RIGHT(UPPER(_xlpm.tk))="В"))&gt;0),""),IFERROR(--SUBSTITUTE(SUBSTITUTE(UPPER(INDEX(_xlpm.v_,1)),"V",""),"В",""),"")))</f>
        <v/>
      </c>
      <c r="IF243" s="6" t="str">
        <f>IF(OR(BV243=0,HI243="",HJ243=""),"",IFERROR(N(_xlfn.XLOOKUP(HI243,Каталог!$C$4:$C$500,Каталог!$Q$4:$Q$500)),""))</f>
        <v/>
      </c>
      <c r="IG243" s="6" t="str">
        <f>IF(N(IF243)=0,"",SUMIFS(Линии[Iр, А],Линии[Щит],A243,Линии[_модуль гр.],HH243,Линии[Канал (итог)],HJ243))</f>
        <v/>
      </c>
      <c r="IH243" t="str">
        <f>IF(AND(B243="",HO243=""),"",_xlfn.TEXTJOIN("; ",TRUE,IF(AND(B243&lt;&gt;"",FV243=""),"нет фазы",""),IF(AND(B243&lt;&gt;"",N(GL243)=0,FG243&lt;&gt;"Нет"),"нет мощности",""),IF(AND(HN243&lt;&gt;"",COUNTIFS(Линии[Щит],A243,Линии[Клемма (итог)],HN243)&gt;1),"дубль клеммы "&amp;HN243,""),IF(AND(HQ243&lt;&gt;"",HQ243&lt;&gt;"ok"),HQ243,""),IF(HR243&lt;&gt;"",HR243,""),IF(AND(N(CB243)&gt;=4,N(BX243)=1),CB243&amp;" жил на 1 фазе",""),IF(AND(BC243="R",CG243=1,IF(CS243&lt;&gt;"",N(CV243)&gt;30,OR(N(DA243)=0,N(DA243)&gt;30))),"розетка без дифзащиты до 30 мА",""),IF(AND(CG243=1,N(DA243)&gt;0,ISNUMBER(T243)),IF(T243&gt;N(DA243)/3,"ток утечки "&amp;FIXED(T243,1)&amp;" мА &gt; 1/3 уставки ("&amp;DA243&amp;" мА)",""),""),IF(AND(CH243=1,CS243=""),"«узо»: нет строки с УЗО выше (УЗО 2P 40А 30мА в «Аппаратах»)",""),IF(AND(CS243&lt;&gt;"",CS243=BA243),IF(CT243="","впишите номинал УЗО (УЗО 2P 40А 30мА)",IF(N(CT243)&lt;N(DT243),"УЗО "&amp;CT243&amp;" А &lt; автомата "&amp;DT243&amp;" А перед ним",IF(N(CT243)&lt;N(CX243),"УЗО "&amp;CT243&amp;" А &lt; тока блока "&amp;FIXED(CX243,1)&amp;" А",""))),""),IF(AND(CS243&lt;&gt;"",CS243=BA243,ISNUMBER(CY243)),IF(CY243&gt;N(CV243)/3,"ток утечки блока УЗО "&amp;FIXED(CY243,1)&amp;" мА &gt; 1/3 уставки ("&amp;CV243&amp;" мА)",""),""),IF(AND(CG243=1,N(BV243)+N(IB243)&gt;0,IC243=""),"линии до 50 В без БП: впишите в «Аппараты» (БП 24V 480W)",""),IF(AND(CG243=1,ISNUMBER(ID243),ISNUMBER(U243)),IF(U243&gt;ID243,"БП "&amp;ID243&amp;" Вт &lt; нужно "&amp;U243&amp;" Вт (×"&amp;Запас_БП&amp;")",""),""),IF(AND(CG243=1,ISNUMBER(IE243),N(BV243)=1),IF(IE243&lt;&gt;N(BU243),"БП на "&amp;IE243&amp;" В, линия "&amp;BU243&amp;" В",""),""),IF(AND(N(IF243)&gt;0,N(IG243)&gt;N(IF243)),HH243&amp;" канал "&amp;HJ243&amp;": "&amp;FIXED(IG243,1)&amp;" А &gt; "&amp;IF243&amp;" А",""),IFERROR(IF(AND(ISNUMBER(Q243),Q243&gt;EL243),"потери "&amp;FIXED(Q243,1)&amp;" % &gt; "&amp;EL243&amp;" %",""),""),IFERROR(IF(LEFT(HU243,4)="мало","Iкз мало — отключение &gt; 0,4 с",""),""),IF(AND(B243&lt;&gt;"",BM243=""),"не на схеме",""),IF(AND(CG243=0,B243&lt;&gt;"",FV243&lt;&gt;"",IF(BA243=1,"",FW242)&lt;&gt;"",FV243&lt;&gt;IF(BA243=1,"",FW242)),"фаза не как у автомата группы ("&amp;IF(BA243=1,"",FW242)&amp;")","")))</f>
        <v/>
      </c>
      <c r="II243" s="6">
        <f>IF(OR(CG243=0,DQ243=""),"",_xlfn.LET(_xlpm.t,IFERROR(_xlfn.XLOOKUP(DQ243,Каталог!$U$4:$U$500,Каталог!$G$4:$G$500),""),_xlpm.k,SEARCH("кА",_xlpm.t),IFERROR(--TRIM(RIGHT(SUBSTITUTE(MID(_xlpm.t,MAX(1,_xlpm.k-4),_xlpm.k-MAX(1,_xlpm.k-4))," ",REPT(" ",9)),5)),"")))</f>
        <v>6</v>
      </c>
      <c r="IJ243" t="str">
        <f>IF(OR(II243="",CG243=0),"",IF(_xlfn.XLOOKUP(A243,Щиты[Щит],Щиты[Iкз max на шинах, кА],"")="","",IF(II243&lt;_xlfn.XLOOKUP(A243,Щиты[Щит],Щиты[Iкз max на шинах, кА]),"Icu "&amp;II243&amp;" кА &lt; Iкз max","ok")))</f>
        <v/>
      </c>
      <c r="IK243" t="str">
        <f t="shared" si="527"/>
        <v/>
      </c>
      <c r="IL243" t="str">
        <f t="shared" si="528"/>
        <v>QFD19</v>
      </c>
      <c r="IM243" t="str">
        <f t="shared" si="529"/>
        <v>QFD19|кабель ВВГнг(А)-LS (3х2,5) → Розеточная группа, пом. 003Aб</v>
      </c>
      <c r="IN243" t="str" cm="1">
        <f t="array" ref="IN243">IF(IM243="","",_xlfn.LET(_xlpm.nd,_xlfn.TEXTSPLIT(IM243,"|"),IF(COLUMNS(_xlpm.nd)&gt;1,A243&amp;"¦"&amp;INDEX(_xlpm.nd,1)&amp;"¦"&amp;INDEX(_xlpm.nd,2),"")))</f>
        <v>ЩР-1¦QFD19¦кабель ВВГнг(А)-LS (3х2,5) → Розеточная группа, пом. 003Aб</v>
      </c>
      <c r="IO243" t="str">
        <f t="shared" si="530"/>
        <v>R.1.003Aб.1¦Розеточная группа, пом. 003Aб</v>
      </c>
      <c r="IP243" t="str" cm="1">
        <f t="array" ref="IP243">IF(IM243="","",_xlfn.LET(_xlpm.nd,_xlfn.TEXTSPLIT(IM243,"|"),IF(COLUMNS(_xlpm.nd)&gt;2,A243&amp;"¦"&amp;INDEX(_xlpm.nd,2)&amp;"¦"&amp;INDEX(_xlpm.nd,3),"")))</f>
        <v/>
      </c>
      <c r="IQ243" t="str">
        <f t="shared" si="531"/>
        <v/>
      </c>
      <c r="IR243" t="str" cm="1">
        <f t="array" ref="IR243">IF(IM243="","",_xlfn.LET(_xlpm.nd,_xlfn.TEXTSPLIT(IM243,"|"),IF(COLUMNS(_xlpm.nd)&gt;3,A243&amp;"¦"&amp;INDEX(_xlpm.nd,3)&amp;"¦"&amp;INDEX(_xlpm.nd,4),"")))</f>
        <v/>
      </c>
      <c r="IS243" t="str">
        <f t="shared" si="532"/>
        <v/>
      </c>
      <c r="IT243" t="str" cm="1">
        <f t="array" ref="IT243">IF(IM243="","",_xlfn.LET(_xlpm.nd,_xlfn.TEXTSPLIT(IM243,"|"),IF(COLUMNS(_xlpm.nd)&gt;4,A243&amp;"¦"&amp;INDEX(_xlpm.nd,4)&amp;"¦"&amp;INDEX(_xlpm.nd,5),"")))</f>
        <v/>
      </c>
      <c r="IU243" t="str">
        <f t="shared" si="533"/>
        <v/>
      </c>
      <c r="IV243" t="str" cm="1">
        <f t="array" ref="IV243">IF(IM243="","",_xlfn.LET(_xlpm.nd,_xlfn.TEXTSPLIT(IM243,"|"),IF(COLUMNS(_xlpm.nd)&gt;5,A243&amp;"¦"&amp;INDEX(_xlpm.nd,5)&amp;"¦"&amp;INDEX(_xlpm.nd,6),"")))</f>
        <v/>
      </c>
      <c r="IW243" t="str">
        <f t="shared" si="534"/>
        <v/>
      </c>
      <c r="IX243" t="str" cm="1">
        <f t="array" ref="IX243">IF(IM243="","",_xlfn.LET(_xlpm.nd,_xlfn.TEXTSPLIT(IM243,"|"),IF(COLUMNS(_xlpm.nd)&gt;6,A243&amp;"¦"&amp;INDEX(_xlpm.nd,6)&amp;"¦"&amp;INDEX(_xlpm.nd,7),"")))</f>
        <v/>
      </c>
      <c r="IY243" t="str">
        <f t="shared" si="535"/>
        <v/>
      </c>
      <c r="IZ243" t="str">
        <f t="shared" si="536"/>
        <v/>
      </c>
      <c r="JA243" t="str">
        <f t="shared" si="537"/>
        <v>QFD19</v>
      </c>
      <c r="JB243">
        <f t="shared" si="538"/>
        <v>0</v>
      </c>
      <c r="JC243">
        <f t="shared" si="539"/>
        <v>1</v>
      </c>
      <c r="JD243" t="str">
        <f t="shared" si="540"/>
        <v/>
      </c>
      <c r="JE243" t="str">
        <f t="shared" si="541"/>
        <v/>
      </c>
      <c r="JF243" t="str">
        <f t="shared" si="542"/>
        <v/>
      </c>
      <c r="JG243" t="str">
        <f t="shared" si="543"/>
        <v/>
      </c>
      <c r="JH243" t="str">
        <f>IF(B243="","",IFERROR(_xlfn.XLOOKUP(B243,Коды_код,Коды_уго),IFERROR(_xlfn.XLOOKUP(BC243,Коды_код,Коды_уго),IFERROR(_xlfn.XLOOKUP(LEFT(BC243,2),Коды_код,Коды_уго),""))))</f>
        <v>Розетка</v>
      </c>
      <c r="JI243" t="str">
        <f>IF(B243="","",IF(OR(JH243="",JH243=0),"BOX",IFERROR(IF(VLOOKUP(JH243,УГО_блоки,3,FALSE)&amp;""&lt;&gt;"",VLOOKUP(JH243,УГО_блоки,3,FALSE),VLOOKUP(JH243,УГО_блоки,2,FALSE)),JH243)))</f>
        <v>SOCKET</v>
      </c>
      <c r="JJ243">
        <f t="shared" si="544"/>
        <v>1</v>
      </c>
      <c r="JK243" t="str">
        <f>IF(DQ243="","",IF(COUNTIF(DQ$3:DQ243,DQ243)=1,MAX(JK$2:JK242)+1,""))</f>
        <v/>
      </c>
      <c r="JL243" t="str">
        <f>IF(DE243="","",IF(COUNTIF(DE$3:DE243,DE243)+COUNTIF(DF$2:DF242,DE243)+COUNTIF(DG$2:DG242,DE243)=1,MAX(JL$2:JN242)+1,""))</f>
        <v/>
      </c>
      <c r="JM243" t="str">
        <f>IF(DF243="","",IF(COUNTIF(DE$3:DE243,DF243)+COUNTIF(DF$3:DF243,DF243)+COUNTIF(DG$2:DG242,DF243)=1,MAX(JL$2:JN242,JL243)+1,""))</f>
        <v/>
      </c>
      <c r="JN243" t="str">
        <f>IF(DG243="","",IF(COUNTIF(DE$3:DE243,DG243)+COUNTIF(DF$3:DF243,DG243)+COUNTIF(DG$3:DG243,DG243)=1,MAX(JL$2:JN242,JL243,JM243)+1,""))</f>
        <v/>
      </c>
      <c r="JO243" t="str">
        <f t="shared" si="545"/>
        <v>3х2,5</v>
      </c>
      <c r="JP243" t="str">
        <f>IF(JO243="","",IF(COUNTIF(JO$3:JO243,JO243)=1,MAX(JP$2:JP242)+1,""))</f>
        <v/>
      </c>
      <c r="JQ243" t="str">
        <f>IF(HG243="","",COUNTIF(HG$3:HG243,"?*"))</f>
        <v/>
      </c>
      <c r="JR243" t="str">
        <f>IF(OR(HG243="",HI243=""),"",IF(COUNTIFS(HG$3:HG243,"?*",HI$3:HI243,HI243)=1,MAX(JR$2:JR242)+1,""))</f>
        <v/>
      </c>
      <c r="JS243">
        <f t="shared" si="546"/>
        <v>0</v>
      </c>
      <c r="JT243">
        <f>IF(B243="","",COUNTIF(B$3:B243,"?*"))</f>
        <v>241</v>
      </c>
      <c r="JU243">
        <f>IF(HL243&lt;&gt;1,0,_xlfn.LET(_xlpm.k,MAX(IFERROR(--_xlfn.XLOOKUP(B243,Коды_код,Коды_3L),0),IFERROR(--_xlfn.XLOOKUP(BC243,Коды_код,Коды_3L),0),IFERROR(--_xlfn.XLOOKUP(LEFT(BC243,2),Коды_код,Коды_3L),0)),IF(_xlpm.k&gt;0,_xlpm.k,IF(IFERROR(--LEFT(SUBSTITUTE(JO243,"x","х"),FIND("х",SUBSTITUTE(JO243,"x","х"))-1),3)&gt;3,Каталог!$S$9,1))))</f>
        <v>1</v>
      </c>
      <c r="JV243">
        <f t="shared" si="547"/>
        <v>0</v>
      </c>
      <c r="JW243" t="str">
        <f t="shared" si="548"/>
        <v>авто</v>
      </c>
      <c r="JX243">
        <f t="shared" si="549"/>
        <v>30</v>
      </c>
      <c r="JY243">
        <f t="shared" si="550"/>
        <v>1</v>
      </c>
      <c r="JZ243">
        <f t="shared" si="551"/>
        <v>1</v>
      </c>
    </row>
    <row r="244" spans="1:286" x14ac:dyDescent="0.3">
      <c r="A244" t="s">
        <v>757</v>
      </c>
      <c r="B244" t="s">
        <v>1550</v>
      </c>
      <c r="C244" t="str">
        <f>Линии[[#This Row],[_авто наименование]]</f>
        <v>Розеточная группа, пом. 003Б</v>
      </c>
      <c r="D244">
        <v>3</v>
      </c>
      <c r="E244">
        <v>0.24</v>
      </c>
      <c r="G244" t="str">
        <f>Линии[[#This Row],[_авто автомат]]</f>
        <v>2P С16А 30мА</v>
      </c>
      <c r="H244" t="str">
        <f>Линии[[#This Row],[_авто управление]]</f>
        <v/>
      </c>
      <c r="I244" t="str">
        <f>Линии[[#This Row],[_авто аппараты]]</f>
        <v/>
      </c>
      <c r="J244">
        <v>2.5</v>
      </c>
      <c r="K244">
        <v>13</v>
      </c>
      <c r="L244" t="str">
        <f>Линии[[#This Row],[_авто фаза]]</f>
        <v>L1</v>
      </c>
      <c r="M244" t="s">
        <v>484</v>
      </c>
      <c r="N244" t="str">
        <f t="shared" si="414"/>
        <v/>
      </c>
      <c r="O244" s="6" cm="1">
        <f t="array" ref="O244">IF(B244="","",IF(BH244&lt;&gt;"",IFERROR(_xlfn.XLOOKUP(BH244,Щиты[Щит],Щиты[Iр, А]),""),IF(BP244=1,IF(OR(N(_xlfn.XLOOKUP(A244,Щиты[Щит],Щиты[Вводов],1))&lt;=1,LOWER(TRIM(_xlfn.XLOOKUP(A244,Щиты[Щит],Щиты[АВР],"")&amp;""))="да"),IFERROR(_xlfn.XLOOKUP(A244,Щиты[Щит],Щиты[Iр, А]),""),IFERROR(N(BS244)*_xlfn.XLOOKUP(A244,Щиты[Щит],Щиты[Кс итог])/(SQRT(3)*Uн_лин*_xlfn.XLOOKUP(A244,Щиты[Щит],Щиты[cos φ])),"")),IF(BV244=1,IFERROR(BS244*1000/BU244,""),IFERROR(_xlfn.IFS(BX244=1,BS244/((Uн_лин/SQRT(3))*CE244),BX244=3,BS244/(SQRT(3)*Uн_лин*CE244)),"")))))</f>
        <v>1.0939268258329751</v>
      </c>
      <c r="P244" s="7">
        <f>IF(B244="","",IFERROR(IF(VLOOKUP(BC244,Потребители_обозначение,4,FALSE)=1,VLOOKUP(BC244,Потребители_обозначение,3,FALSE)*(MAX(1,N(D244))*2-1)+EI244+VLOOKUP(BE244,Этаж_обозначение,3,FALSE)+VLOOKUP(BE244,Этаж_обозначение,4,FALSE),VLOOKUP(BC244,Потребители_обозначение,3,FALSE)*(MAX(1,N(D244))*2-1)+EI244),EI244))</f>
        <v>28</v>
      </c>
      <c r="Q244" s="6">
        <f t="shared" si="415"/>
        <v>1.42</v>
      </c>
      <c r="R244" t="str">
        <f t="shared" si="416"/>
        <v>ВВГнг(А)-LS (3х2,5)</v>
      </c>
      <c r="S244" t="str">
        <f>IF(BM244="","",IF(BN244="вводной узел","узел ","")&amp;"л."&amp;(INT((BM244-1)/Столбцов_на_лист)+1)&amp;" / "&amp;(MOD(BM244-1,Столбцов_на_лист)+1))</f>
        <v>л.2 / 13</v>
      </c>
      <c r="T244" s="119">
        <f t="shared" si="417"/>
        <v>0.7</v>
      </c>
      <c r="U244" s="7" t="str">
        <f>IF(OR(CG244=0,N(BV244)+N(IB244)=0),"",ROUNDUP(Запас_БП*(N(HY244)+N(HZ244)),0))</f>
        <v/>
      </c>
      <c r="V244" s="119" t="str">
        <f t="shared" si="418"/>
        <v/>
      </c>
      <c r="W244" s="7" t="str">
        <f>IFERROR(IF(OR(B244="",BP244=1,BV244=1,NOT(ISNUMBER(EN244)),N(DT244)=0),"",MAX(0,ROUNDDOWN((c_min*(Uн_лин*1000/SQRT(3))/(HT244*N(DT244))-_xlfn.XLOOKUP(A244,Щиты[Щит],Щиты[Zпетли на шинах, Ом]))*EN244/(2*ρкз_Cu),0))),"")</f>
        <v/>
      </c>
      <c r="Y244">
        <f>Линии[[#This Row],[_авто утечка]]</f>
        <v>30</v>
      </c>
      <c r="Z244">
        <v>1</v>
      </c>
      <c r="AA244">
        <v>230</v>
      </c>
      <c r="AB244" t="s">
        <v>562</v>
      </c>
      <c r="AG244" t="s">
        <v>810</v>
      </c>
      <c r="AI244" t="s">
        <v>561</v>
      </c>
      <c r="AK244" t="str">
        <f>Линии[[#This Row],[_авто модуль]]</f>
        <v/>
      </c>
      <c r="AM244">
        <v>30</v>
      </c>
      <c r="AN244" t="s">
        <v>11</v>
      </c>
      <c r="AO244">
        <v>3</v>
      </c>
      <c r="AQ244">
        <v>0</v>
      </c>
      <c r="AR244">
        <v>0</v>
      </c>
      <c r="AS244">
        <v>23</v>
      </c>
      <c r="BA244" cm="1">
        <f t="array" ref="BA244">ROW()-ROW(Линии[#Headers])</f>
        <v>242</v>
      </c>
      <c r="BC244" s="6" t="str">
        <f t="shared" si="419"/>
        <v>R</v>
      </c>
      <c r="BD244" t="str">
        <f t="shared" si="420"/>
        <v>1.003Б.1</v>
      </c>
      <c r="BE244" t="str">
        <f t="shared" si="421"/>
        <v>1</v>
      </c>
      <c r="BF244" t="str">
        <f t="shared" si="422"/>
        <v>003Б.1</v>
      </c>
      <c r="BG244" t="str">
        <f t="shared" si="423"/>
        <v>003Б</v>
      </c>
      <c r="BH244" t="str">
        <f>IF(X244&lt;&gt;"",X244,IF(AND(B244&lt;&gt;"",B244&lt;&gt;A244,ISNUMBER(_xlfn.XMATCH(B244,Щиты[Щит]))),B244,""))</f>
        <v/>
      </c>
      <c r="BI244" t="str" cm="1">
        <f t="array" ref="BI244">IF(B244="","",IF(BH244&lt;&gt;"","Щит "&amp;BH244,_xlfn.LET(_xlpm.nm,IFERROR(_xlfn.XLOOKUP(BC244,Коды_код,Коды_имя)&amp;"",""),_xlpm.md,IFERROR(N(_xlfn.XLOOKUP(BC244,Коды_код,Коды_режим)),1),_xlpm.ex,IF(Имя_режим="по экспликации",IFERROR(_xlfn.XLOOKUP(BE244&amp;"|"&amp;BG244,Экспликация[Этаж]&amp;"|"&amp;Экспликация[Помещение],Экспликация[Название])&amp;"",""),""),_xlpm.rm,IF(BG244="","",IF(_xlpm.ex&lt;&gt;"",". "&amp;_xlpm.ex&amp;IF(Имя_пом="нет"," ("&amp;BG244&amp;")"," (пом. "&amp;BG244&amp;")"),IF(Имя_пом="нет"," ",", пом. ")&amp;BG244)),IF(_xlpm.nm="","",IF(_xlpm.md=2,_xlpm.nm&amp;" шлейф "&amp;BE244,_xlpm.nm&amp;_xlpm.rm)))))</f>
        <v>Розеточная группа, пом. 003Б</v>
      </c>
      <c r="BJ244" t="str">
        <f t="shared" si="424"/>
        <v>Розеточная группа, пом. 003Б</v>
      </c>
      <c r="BK244">
        <f>IFERROR(_xlfn.XMATCH(A244,Щиты[Щит]),0)</f>
        <v>10</v>
      </c>
      <c r="BL244">
        <f>_xlfn.LET(_xlpm.k,IFERROR(_xlfn.XLOOKUP(A244,Щиты[Щит],Щиты[Мест под вводной узел]),""),IF(_xlpm.k="",Столбцов_на_лист,N(_xlpm.k)))</f>
        <v>8</v>
      </c>
      <c r="BM244">
        <f t="shared" si="425"/>
        <v>30</v>
      </c>
      <c r="BN244" t="str">
        <f t="shared" si="426"/>
        <v>линии</v>
      </c>
      <c r="BO244" s="6">
        <f>IFERROR(N(_xlfn.XLOOKUP(BC244,Коды_код,Коды_квт)),0)</f>
        <v>0</v>
      </c>
      <c r="BP244">
        <f t="shared" si="427"/>
        <v>0</v>
      </c>
      <c r="BQ244" t="str">
        <f>IF(B244="","",IF(BH244&lt;&gt;"",IFERROR(_xlfn.XLOOKUP(BH244,Щиты[Щит],Щиты[Руст, кВт]),0),IF(BP244=1,IF(OR(N(_xlfn.XLOOKUP(A244,Щиты[Щит],Щиты[Вводов],1))&lt;=1,LOWER(TRIM(_xlfn.XLOOKUP(A244,Щиты[Щит],Щиты[АВР],"")&amp;""))="да"),IFERROR(_xlfn.XLOOKUP(A244,Щиты[Щит],Щиты[Руст, кВт]),0),SUMIFS(Линии[_Р для вводов],Линии[Щит],A244,Линии[Источник для режимов],GF244)),IF(BO244&gt;0,ROUND(BO244*MAX(1,N(D244)),3),""))))</f>
        <v/>
      </c>
      <c r="BR244">
        <f t="shared" si="428"/>
        <v>0.24</v>
      </c>
      <c r="BS244" s="6">
        <f>IF(B244="","",IF(BH244&lt;&gt;"",IFERROR(_xlfn.XLOOKUP(BH244,Щиты[Щит],Щиты[Руст, кВт]),0),N(BR244)))</f>
        <v>0.24</v>
      </c>
      <c r="BT244" t="str">
        <f>IF(B244="","",IFERROR(IF(VLOOKUP(BC244,Потребители_обозначение,8,FALSE)=0,"",VLOOKUP(BC244,Потребители_обозначение,8,FALSE)),""))</f>
        <v/>
      </c>
      <c r="BU244">
        <f t="shared" si="429"/>
        <v>230</v>
      </c>
      <c r="BV244">
        <f t="shared" si="430"/>
        <v>0</v>
      </c>
      <c r="BW244">
        <f>IF(B244="","",IF(BH244&lt;&gt;"",3,IFERROR(IF(N(VLOOKUP(BC244,Потребители_обозначение,9,FALSE))=0,1,VLOOKUP(BC244,Потребители_обозначение,9,FALSE)),1)))</f>
        <v>1</v>
      </c>
      <c r="BX244">
        <f t="shared" si="431"/>
        <v>1</v>
      </c>
      <c r="BY244" t="str">
        <f>IF(B244="","",_xlfn.LET(_xlpm.bc,IFERROR(IF(VLOOKUP(BC244,Потребители_обозначение,6,FALSE)=0,"",VLOOKUP(BC244,Потребители_обозначение,6,FALSE)&amp;""),""),IF(AND(GA244="да",OR(_xlpm.bc="",_xlpm.bc="мс")),Марка_пож,IF(AND(_xlpm.bc="",BH244&lt;&gt;""),"мс",_xlpm.bc))))</f>
        <v/>
      </c>
      <c r="BZ244" t="str">
        <f t="shared" si="432"/>
        <v>мс</v>
      </c>
      <c r="CA244">
        <f>IF(B244="","",_xlfn.LET(_xlpm.cc,IFERROR(N(VLOOKUP(BC244,Потребители_обозначение,7,FALSE)),0),IF(_xlpm.cc&gt;0,_xlpm.cc,IF(BZ244="","",IF(BV244=1,2,IF(N(BX244)=3,5,3))))))</f>
        <v>3</v>
      </c>
      <c r="CB244">
        <f t="shared" si="433"/>
        <v>3</v>
      </c>
      <c r="CC244">
        <f>IFERROR(N(VLOOKUP(BC244,Потребители_обозначение,10,FALSE)),0)</f>
        <v>0</v>
      </c>
      <c r="CD244">
        <f>IFERROR(VLOOKUP(BC244,Потребители_обозначение,5,FALSE),0)</f>
        <v>1</v>
      </c>
      <c r="CE244" s="6" cm="1">
        <f t="array" ref="CE244">IF(B244="","",IF(BH244&lt;&gt;"",IFERROR(_xlfn.XLOOKUP(BH244,Щиты[Щит],Щиты[cos φ]),0.95),IF(BP244=1,IFERROR(_xlfn.XLOOKUP(A244,Щиты[Щит],Щиты[cos φ]),0.95),IF(ISNUMBER(AD244),AD244,IFERROR(IF(CD244=2,_xlfn.IFS(BX244=3,VLOOKUP(BS244,Справочная_двигатели,8,FALSE),BX244=1,VLOOKUP(BS244,Справочная_двигатели,10,TRUE)),IF(AND(Методика="нормы 2026",FG244="Сил"),0.8,0.95)),0.95)))))</f>
        <v>0.95</v>
      </c>
      <c r="CF244">
        <f t="shared" si="434"/>
        <v>0</v>
      </c>
      <c r="CG244">
        <f t="shared" si="435"/>
        <v>1</v>
      </c>
      <c r="CH244">
        <f t="shared" si="436"/>
        <v>0</v>
      </c>
      <c r="CI244">
        <f>IF(B244="","",IF(BV244=1,IFERROR(BS244/((Uн_лин/SQRT(3))*MAX(0.5,N(CE244))),0),N(O244)))</f>
        <v>1.0939268258329751</v>
      </c>
      <c r="CJ244">
        <f t="shared" si="437"/>
        <v>0</v>
      </c>
      <c r="CK244">
        <f t="shared" si="438"/>
        <v>0</v>
      </c>
      <c r="CL244">
        <f t="shared" si="439"/>
        <v>0</v>
      </c>
      <c r="CM244">
        <f t="shared" si="440"/>
        <v>0</v>
      </c>
      <c r="CN244">
        <f t="shared" si="441"/>
        <v>0</v>
      </c>
      <c r="CO244">
        <f>IF(BC244="",0,_xlfn.LET(_xlpm.v,IFERROR(_xlfn.XLOOKUP(B244,Коды_код,Коды_мА),IFERROR(_xlfn.XLOOKUP(BC244,Коды_код,Коды_мА),IFERROR(_xlfn.XLOOKUP(LEFT(BC244,2),Коды_код,Коды_мА),""))),IF(_xlpm.v="да",30,IF(ISNUMBER(_xlpm.v),_xlpm.v,0))))</f>
        <v>30</v>
      </c>
      <c r="CP244">
        <f t="shared" si="442"/>
        <v>30</v>
      </c>
      <c r="CQ244" t="str">
        <f>_xlfn.LET(_xlpm.k,IFERROR(_xlfn.XLOOKUP(BC244,Коды_код,Коды_утечка)&amp;"",""),IF(_xlpm.k="","дифавтомат",_xlpm.k))</f>
        <v>дифавтомат</v>
      </c>
      <c r="CR244" t="str" cm="1">
        <f t="array" ref="CR244">IF(CG244=0,"",_xlfn.LET(_xlpm.sg,TRIM(_xlfn.TEXTSPLIT(DD244&amp;"",";")),_xlpm.f_,_xlfn._xlws.FILTER(_xlpm.sg,LEFT(_xlpm.sg,3)="УЗО",""),IFERROR(INDEX(_xlpm.f_,1)&amp;"","")))</f>
        <v/>
      </c>
      <c r="CS244" t="str">
        <f t="shared" si="443"/>
        <v/>
      </c>
      <c r="CT244" s="6" t="str" cm="1">
        <f t="array" ref="CT244">IF(CR244="","",_xlfn.LET(_xlpm.tk,_xlfn.TEXTSPLIT(UPPER(CR244)," ",,TRUE),_xlpm.a_,_xlfn._xlws.FILTER(_xlpm.tk,ISNUMBER(--LEFT(_xlpm.tk,1))*((ISNUMBER(SEARCH("А",_xlpm.tk))+ISNUMBER(SEARCH("A",_xlpm.tk)))&gt;0)*NOT(ISNUMBER(SEARCH("МА",_xlpm.tk)))*NOT(ISNUMBER(SEARCH("MA",_xlpm.tk))),""),IFERROR(--SUBSTITUTE(SUBSTITUTE(INDEX(_xlpm.a_,1),"А",""),"A",""),"")))</f>
        <v/>
      </c>
      <c r="CU244" t="str" cm="1">
        <f t="array" ref="CU244">IF(CR244="","",_xlfn.LET(_xlpm.tk,_xlfn.TEXTSPLIT(UPPER(CR244)," ",,TRUE),_xlpm.a_,_xlfn._xlws.FILTER(_xlpm.tk,ISNUMBER(--LEFT(_xlpm.tk,1))*((ISNUMBER(SEARCH("МА",_xlpm.tk))+ISNUMBER(SEARCH("MA",_xlpm.tk)))&gt;0),""),IFERROR(--SUBSTITUTE(SUBSTITUTE(INDEX(_xlpm.a_,1),"МА",""),"MA",""),30)))</f>
        <v/>
      </c>
      <c r="CV244" t="str">
        <f>IF(CS244="","",IFERROR(_xlfn.XLOOKUP(CS244,Линии[_n],Линии[_УЗО, мА]),30))</f>
        <v/>
      </c>
      <c r="CW244">
        <f>IF(CS244="",0,IF(ISNUMBER(SEARCH("4P",IFERROR(_xlfn.XLOOKUP(CS244,Линии[_n],Линии[_УЗО строки])&amp;"",""))),0,1))</f>
        <v>0</v>
      </c>
      <c r="CX244" t="str">
        <f>IF(AND(CS244&lt;&gt;"",CS244=BA244),SUMIFS(Линии[_ток на 230 В],Линии[_блок УЗО],BA244,Линии[Щит],A244),"")</f>
        <v/>
      </c>
      <c r="CY244" t="str">
        <f>IF(AND(CS244&lt;&gt;"",CS244=BA244),SUMIFS(Линии[_ток утечки линии, мА],Линии[_блок УЗО],BA244,Линии[Щит],A244),"")</f>
        <v/>
      </c>
      <c r="CZ244">
        <f t="shared" si="444"/>
        <v>30</v>
      </c>
      <c r="DA244">
        <f t="shared" si="445"/>
        <v>30</v>
      </c>
      <c r="DB244">
        <f>IF(B244="",0,IFERROR(--_xlfn.XLOOKUP(B244,Коды_код,Коды_минавт),IFERROR(--_xlfn.XLOOKUP(BC244,Коды_код,Коды_минавт),IFERROR(--_xlfn.XLOOKUP(LEFT(BC244,2),Коды_код,Коды_минавт),0))))</f>
        <v>16</v>
      </c>
      <c r="DC244" t="str">
        <f>IF(B244="","",IFERROR(_xlfn.XLOOKUP(BC244,Коды_код,Коды_апп)&amp;"",""))</f>
        <v/>
      </c>
      <c r="DD244" t="str">
        <f t="shared" si="446"/>
        <v/>
      </c>
      <c r="DE244" t="str" cm="1">
        <f t="array" ref="DE244">IF(TRIM(DD244&amp;"")="","",IFERROR(TRIM(INDEX(_xlfn.TEXTSPLIT(DD244&amp;";;;",";"),1)),""))</f>
        <v/>
      </c>
      <c r="DF244" t="str" cm="1">
        <f t="array" ref="DF244">IF(TRIM(DD244&amp;"")="","",IFERROR(TRIM(INDEX(_xlfn.TEXTSPLIT(DD244&amp;";;;",";"),2)),""))</f>
        <v/>
      </c>
      <c r="DG244" t="str" cm="1">
        <f t="array" ref="DG244">IF(TRIM(DD244&amp;"")="","",IFERROR(TRIM(INDEX(_xlfn.TEXTSPLIT(DD244&amp;";;;",";"),3)),""))</f>
        <v/>
      </c>
      <c r="DH244">
        <f t="shared" si="447"/>
        <v>0</v>
      </c>
      <c r="DI244" t="str">
        <f>IF(B244="","",_xlfn.LET(_xlpm.t,LOWER(AZ244&amp;""),IF(ISNUMBER(SEARCH("dim",_xlpm.t)),"DIM",IF(ISNUMBER(SEARCH("dali",_xlpm.t)),"DALI",IF(OR(ISNUMBER(SEARCH("relay",_xlpm.t)),ISNUMBER(SEARCH("реле",_xlpm.t))),"Relay",IF(ISNUMBER(SEARCH("кнопк",_xlpm.t)),"",IFERROR(_xlfn.XLOOKUP(BC244,Коды_код,Коды_упр)&amp;"","")))))))</f>
        <v/>
      </c>
      <c r="DJ244" t="str">
        <f t="shared" si="448"/>
        <v/>
      </c>
      <c r="DK244">
        <f>IF(B244="","",_xlfn.LET(_xlpm.ig,IF(N(CX244)&gt;0,N(CX244),N(CI244)+IF(AJ244="вручную",0,N(CJ244))),_xlpm.n0,IFERROR(VLOOKUP(_xlpm.ig,Автомат_номиналы,2,TRUE),0),_xlpm.mn,MAX(DB244,IF(AJ244="вручную",0,N(CM244))),MAX(_xlpm.n0,_xlpm.mn,IF(DH244=1,Мин_автомат_БП,0))))</f>
        <v>16</v>
      </c>
      <c r="DL244">
        <f t="shared" si="449"/>
        <v>1</v>
      </c>
      <c r="DM244" t="str">
        <f t="shared" si="450"/>
        <v>2P</v>
      </c>
      <c r="DN244" t="str">
        <f>_xlfn.LET(_xlpm.cc,UPPER(TRIM(IFERROR(_xlfn.XLOOKUP(BC244,Коды_код,Коды_хар)&amp;"",""))),IF(OR(_xlpm.cc="B",_xlpm.cc="В"),"B",IF(_xlpm.cc="D","D","С")))</f>
        <v>С</v>
      </c>
      <c r="DO244" t="str">
        <f t="shared" si="451"/>
        <v>2P С16А 30мА</v>
      </c>
      <c r="DP244" t="str">
        <f t="shared" si="452"/>
        <v>2P С16А 30мА</v>
      </c>
      <c r="DQ244" t="str">
        <f t="shared" si="453"/>
        <v>2P С16А 30мА</v>
      </c>
      <c r="DR244" cm="1">
        <f t="array" ref="DR244">IF(DQ244="","",_xlfn.LET(_xlpm.t,SUBSTITUTE(SUBSTITUTE(SUBSTITUTE(UPPER(DQ244),"С","C"),"А","A"),"В","B"),_xlpm.tk,_xlfn.TEXTSPLIT(_xlpm.t," "),_xlpm.f,_xlfn._xlws.FILTER(_xlpm.tk,ISNUMBER(--MID(_xlpm.tk,2,1))*ISNUMBER(SEARCH(LEFT(_xlpm.tk,1)&amp;"#","B#C#D#"))*(LEN(_xlpm.tk)&gt;1),""),_xlpm.x,INDEX(_xlpm.f,1),IFERROR(--SUBSTITUTE(MID(_xlpm.x,2,9),"A",""),IFERROR(--SUBSTITUTE(INDEX(_xlfn._xlws.FILTER(_xlpm.tk,ISNUMBER(--SUBSTITUTE(_xlpm.tk,"A","")),""),1),"A",""),""))))</f>
        <v>16</v>
      </c>
      <c r="DS244" t="str">
        <f t="shared" si="454"/>
        <v>ok</v>
      </c>
      <c r="DT244">
        <f t="shared" si="455"/>
        <v>16</v>
      </c>
      <c r="DU244" t="str">
        <f t="shared" si="456"/>
        <v>2P С16А 30мА</v>
      </c>
      <c r="DV244">
        <f t="shared" si="457"/>
        <v>30</v>
      </c>
      <c r="DW244">
        <f t="shared" si="458"/>
        <v>1</v>
      </c>
      <c r="DX244">
        <f t="shared" si="459"/>
        <v>0</v>
      </c>
      <c r="DY244">
        <f t="shared" si="460"/>
        <v>1.0939268258329751</v>
      </c>
      <c r="DZ244">
        <f t="shared" si="461"/>
        <v>1</v>
      </c>
      <c r="EA244">
        <f>IF(ISNUMBER(AP244),AP244,К_прокл)</f>
        <v>1</v>
      </c>
      <c r="EB244">
        <f t="shared" si="462"/>
        <v>2</v>
      </c>
      <c r="EC244">
        <f>IFERROR(N(VLOOKUP(BZ244,Кабель_обозначение,3,FALSE)),1)</f>
        <v>1</v>
      </c>
      <c r="ED244">
        <f>IFERROR(N(_xlfn.XLOOKUP(A244,Щиты[Щит],Щиты[ΔU до шин, %])),0)</f>
        <v>1.19</v>
      </c>
      <c r="EE244" t="str">
        <f>IFERROR(_xlfn.XLOOKUP(A244,Щиты[Щит],Щиты[Zпетли на шинах, Ом]),"")</f>
        <v/>
      </c>
      <c r="EF244">
        <f>IFERROR(N(_xlfn.XLOOKUP(A244,Щиты[Щит],Щиты[ΔU до шин (подбор), %])),0)</f>
        <v>1.19</v>
      </c>
      <c r="EG244" t="str">
        <f>IFERROR(_xlfn.XLOOKUP(A244,Щиты[Щит],Щиты[Zпетли на шинах (подбор), Ом]),"")</f>
        <v/>
      </c>
      <c r="EH244" t="str">
        <f t="shared" si="463"/>
        <v/>
      </c>
      <c r="EI244">
        <f t="shared" si="464"/>
        <v>13</v>
      </c>
      <c r="EJ244">
        <f t="shared" si="465"/>
        <v>2</v>
      </c>
      <c r="EK244">
        <f t="shared" si="466"/>
        <v>0.31</v>
      </c>
      <c r="EL244" s="6">
        <f>IF(B244="","",IF(BV244=1,dU_LED,IF(IFERROR(_xlfn.XLOOKUP(BC244,Коды_код,Коды_уго),"")="Светильник",3,4)+IF(Методика="нормы 2026",MIN(0.5,MAX(0,N(P244)-100)*0.005),0)))</f>
        <v>4</v>
      </c>
      <c r="EM244" cm="1">
        <f t="array" ref="EM244">IF(OR(B244="",BZ244="",EC244&lt;&gt;1),"",_xlfn.LET(_xlpm.sz,Iдоп_S,_xlpm.t_,CHOOSE(EB244,Iдоп_1ж,Iдоп_2ж,Iдоп_3ж)*DZ244*EA244,_xlpm.dcx,BV244=1,_xlpm.inn,IF(_xlpm.dcx,N(O244),N(DT244)),_xlpm.smin,MAX(1.5,CC244),_xlpm.L_,N(P244)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244)/N(BU244)*100,999),IFERROR(N(EJ244)*(_xlpm.rho*_xlpm.L_/_xlpm.sz*N(CE244)+_xlpm.xx*_xlpm.L_*N(EK244)/1000)*N(O244)/((Uн_лин/SQRT(3))*1000)*100,999)),_xlpm.kz,IF(OR(_xlpm.dcx,DW244=1,NOT(ISNUMBER(EG244)),_xlpm.L_=0,_xlpm.inn=0),1,IFERROR(--(c_min*(Uн_лин*1000/SQRT(3))/(EG244+2*ρкз_Cu*_xlpm.L_/_xlpm.sz)&gt;=HT244*_xlpm.inn),0)),_xlpm.ok,IFERROR((_xlpm.sz&gt;=_xlpm.smin)*(_xlpm.t_&gt;=_xlpm.inn)*IF(_xlpm.L_&gt;0,(_xlpm.du_+IF(_xlpm.dcx,0,EF244)&lt;=EL244+0.00001),1)*_xlpm.kz,0),_xlpm.r_,_xlfn._xlws.FILTER(_xlpm.sz,_xlpm.ok,"не подобрано"),INDEX(_xlpm.r_,1)))</f>
        <v>1.5</v>
      </c>
      <c r="EN244">
        <f t="shared" si="467"/>
        <v>2.5</v>
      </c>
      <c r="EO244" cm="1">
        <f t="array" ref="EO244">IF(OR(B244="",BZ244="",EC244&lt;&gt;1),"",_xlfn.LET(_xlpm.sz,Iдоп_S,_xlpm.t_,CHOOSE(EB244,Iдоп_1ж,Iдоп_2ж,Iдоп_3ж)*DZ244*EA244,_xlpm.ok,IFERROR((_xlpm.sz&gt;=MAX(1.5,CC244))*(_xlpm.t_&gt;=N(DT244)),0),_xlpm.r_,_xlfn._xlws.FILTER(_xlpm.sz,_xlpm.ok,""),INDEX(_xlpm.r_,1)))</f>
        <v>1.5</v>
      </c>
      <c r="EP244" s="6" cm="1">
        <f t="array" ref="EP244">IFERROR(ROUNDUP(N(EJ244)*(_xlfn.XLOOKUP(EO244,INDEX(Кабель_сопротивление,0,1),INDEX(Кабель_сопротивление,0,3))*N(P244)/EO244*N(CE244)+_xlfn.XLOOKUP(EO244,INDEX(Кабель_сопротивление,0,1),INDEX(Кабель_сопротивление,0,2))*N(P244)*N(EK244)/1000)*N(O244)/((Uн_лин/SQRT(3))*1000)*100,2),"")</f>
        <v>0.38</v>
      </c>
      <c r="EQ244">
        <f>IFERROR(2*ρкз_Cu*N(P244)/EO244,"")</f>
        <v>0.98186666666666678</v>
      </c>
      <c r="ER244">
        <f>IFERROR(VLOOKUP(EN244,Кабель_сопротивление,3,FALSE),"")</f>
        <v>2.2499999999999999E-2</v>
      </c>
      <c r="ES244">
        <f>IFERROR(VLOOKUP(EN244,Кабель_сопротивление,2,FALSE),"")</f>
        <v>0.1</v>
      </c>
      <c r="ET244">
        <f t="shared" si="468"/>
        <v>0</v>
      </c>
      <c r="EU244">
        <f t="shared" si="469"/>
        <v>23</v>
      </c>
      <c r="EV244">
        <f t="shared" si="470"/>
        <v>0.52567122117847453</v>
      </c>
      <c r="EW244" s="6">
        <f>IFERROR(ROUNDUP(EV244/IF(BV244=1,BU244,(Uн_лин/SQRT(3))*1000)*100,2),"")</f>
        <v>0.23</v>
      </c>
      <c r="EX244" t="str">
        <f>IFERROR(VLOOKUP(BZ244,Кабель_обозначение,2,FALSE),"")</f>
        <v>ВВГнг(А)-LS</v>
      </c>
      <c r="EY244" t="str">
        <f t="shared" si="471"/>
        <v>ВВГнг(А)-LS (3х2,5)</v>
      </c>
      <c r="EZ244" t="str">
        <f t="shared" si="472"/>
        <v>ВВГнг(А)-LS (3х2,5)
L=28-0,23%</v>
      </c>
      <c r="FA244">
        <f>IFERROR(2*ρкз_Cu*P244/EN244,"")</f>
        <v>0.58912000000000009</v>
      </c>
      <c r="FB244">
        <f t="shared" si="473"/>
        <v>0.19600000000000001</v>
      </c>
      <c r="FC244" s="6" t="str">
        <f>IFERROR(IF(OR(B244="",BV244=1,NOT(ISNUMBER(EN244)),N(P244)=0),"",_xlfn.XLOOKUP(A244,Щиты[Щит],Щиты[Zпетли на шинах, Ом])+FA244),"")</f>
        <v/>
      </c>
      <c r="FD244" s="6" t="str">
        <f>IF(ISNUMBER(FC244),c_min*(Uн_лин*1000/SQRT(3))/FC244,"")</f>
        <v/>
      </c>
      <c r="FE244" s="6" t="str">
        <f>IFERROR(IF(OR(B244="",NOT(ISNUMBER(EN244))),"",1.05*(Uн_лин*1000/SQRT(3))/(_xlfn.XLOOKUP(A244,Щиты[Щит],Щиты[Zmax на шинах, Ом])+FB244)/1000),"")</f>
        <v/>
      </c>
      <c r="FF244" s="6" t="str">
        <f>IF(B244="","",IF(ISNUMBER(AC244),"Сил",IF(IFERROR(_xlfn.XLOOKUP(BC244,Коды_код,Коды_группа)&amp;"","")="","Быт",_xlfn.XLOOKUP(BC244,Коды_код,Коды_группа)&amp;"")))</f>
        <v>Быт</v>
      </c>
      <c r="FG244" s="6" t="str">
        <f t="shared" si="474"/>
        <v>Быт</v>
      </c>
      <c r="FH244" s="6">
        <f>IF(FG244="Щит","щит",IF(FG244="","",IF(FG244="Быт",IFERROR(_xlfn.XLOOKUP(A244,Щиты[Щит],Щиты[Кс быт]),1),IF(FG244="Сил",IF(ISNUMBER(AC244),AC244,IF(Методика="нормы 2026",IFERROR(_xlfn.XLOOKUP(A244,Щиты[Щит],Щиты[Кс силовых (табл. 7.5)]),1),1)),IF(OR(FG244="Пост",FG244="Отоп"),1,IF(FG244="ВНГ",0.7,0))))))</f>
        <v>0.57830000000000004</v>
      </c>
      <c r="FI244">
        <f>IF(FG244="","",IF(AND(BP244=1,TRIM(AE244&amp;"")=""),IF(COUNTIFS(Линии[Щит],A244,Линии[Секция (1/2/3)],"&gt;=2")&gt;0,MIN(3,MAX(1,IFERROR(--BD244,1))),1),IFERROR(MIN(3,MAX(1,INT(--AE244))),1)))</f>
        <v>1</v>
      </c>
      <c r="FJ244">
        <f t="shared" si="475"/>
        <v>0.24</v>
      </c>
      <c r="FK244">
        <f t="shared" si="476"/>
        <v>0.24</v>
      </c>
      <c r="FL244">
        <f t="shared" si="477"/>
        <v>0</v>
      </c>
      <c r="FM244">
        <f t="shared" si="478"/>
        <v>0</v>
      </c>
      <c r="FN244">
        <f t="shared" si="479"/>
        <v>0</v>
      </c>
      <c r="FO244">
        <f t="shared" si="480"/>
        <v>0</v>
      </c>
      <c r="FP244">
        <f t="shared" si="481"/>
        <v>0.24</v>
      </c>
      <c r="FQ244">
        <f t="shared" si="482"/>
        <v>0.24</v>
      </c>
      <c r="FR244">
        <f t="shared" si="483"/>
        <v>0.22799999999999998</v>
      </c>
      <c r="FS244">
        <f>IF(CG244=1,IF(AND(CH244=1,CW244=1),0,IF(AND(CS244&lt;&gt;"",CS244=BA244,CW244=1),SUMIFS(Линии[_Р линии, кВт],Линии[_блок УЗО],BA244,Линии[Щит],A244),N(BS244)+IF(AJ244="вручную",0,N(CK244)))),0)</f>
        <v>0.24</v>
      </c>
      <c r="FT244" t="str">
        <f t="shared" si="484"/>
        <v/>
      </c>
      <c r="FU244" t="str">
        <f>IF(B244="","",IF(CG244=0,IF(BA244=1,"",FW243),IF(AND(CH244=1,CW244=1,CS244&lt;&gt;""),IFERROR(_xlfn.XLOOKUP(CS244,Линии[_n],Линии[_фаза итог]),"L1"),IF(OR(N(DL244)&gt;=3,N(BX244)&gt;=3),"L1,L2,L3",IFERROR(_xlfn.TEXTBEFORE(_xlfn.TEXTAFTER(_xlfn.XLOOKUP(A244,Щиты[Щит],Щиты[_фазы авто]),";"&amp;BA244&amp;":"),";"),"L1")))))</f>
        <v>L1</v>
      </c>
      <c r="FV244" t="str">
        <f t="shared" si="485"/>
        <v>L1</v>
      </c>
      <c r="FW244" t="str">
        <f t="shared" si="486"/>
        <v>L1</v>
      </c>
      <c r="FX244" cm="1">
        <f t="array" ref="FX244">IFERROR(IF(CD244=2,_xlfn.IFS(BX244=3,VLOOKUP(BS244,Справочная_двигатели,3,FALSE),BX244=1,VLOOKUP(BS244,Справочная_двигатели,5,TRUE)),0),0)</f>
        <v>0</v>
      </c>
      <c r="FY244">
        <f>IFERROR(IF(CD244=3,VLOOKUP(BS244,Справочная_ЛЭД,2,TRUE),0),0)</f>
        <v>0</v>
      </c>
      <c r="FZ244" s="6">
        <f t="shared" si="487"/>
        <v>0</v>
      </c>
      <c r="GA244" t="str">
        <f>IF(B244="","",IF(TRIM(AH244&amp;"")&lt;&gt;"",IF(LOWER(TRIM(AH244&amp;""))="да","да","нет"),IF(IFERROR(_xlfn.XLOOKUP(BC244,Коды_код,Коды_пожарная),"")="да","да","нет")))</f>
        <v>нет</v>
      </c>
      <c r="GB244" t="str">
        <f t="shared" si="488"/>
        <v/>
      </c>
      <c r="GC244" t="str">
        <f t="shared" si="489"/>
        <v>основная</v>
      </c>
      <c r="GD244">
        <f>IF(AND(BP244=1,TRIM(AE244&amp;"")=""),IF(COUNTIFS(Линии[Щит],A244,Линии[Секция (1/2/3)],"&gt;=2")&gt;0,MIN(3,MAX(1,IFERROR(--BD244,1))),1),IFERROR(MIN(3,MAX(1,INT(--AE244))),1))</f>
        <v>1</v>
      </c>
      <c r="GE244" t="str" cm="1">
        <f t="array" ref="GE244">IF(B244="","",_xlfn.LET(_xlpm.t,IFERROR(_xlfn.XLOOKUP(1,(Шины[Шина]=GC244)*(((Шины[Щит]=A244)+(Шины[Щит]=""))&gt;0),Шины[Тип]),"")&amp;"",IF(_xlpm.t&lt;&gt;"",_xlpm.t,IF(ISNUMBER(SEARCH("ИБП",GC244)),"ИБП",IF(ISNUMBER(SEARCH("ДГУ",GC244)),"ДГУ","Ввод "&amp;GD244)))))</f>
        <v>Ввод 1</v>
      </c>
      <c r="GF244" t="str">
        <f t="shared" si="490"/>
        <v>Ввод 1</v>
      </c>
      <c r="GG244" t="str">
        <f>IF(BP244=0,"",IF(TRIM(AG244&amp;"")&lt;&gt;"",TRIM(AG244&amp;""),IF(OR(GE244="ИБП",GE244="ДГУ"),"I особая",_xlfn.XLOOKUP(A244,Щиты[Щит],Щиты[Категория шины «Ввод»],"III"))))</f>
        <v/>
      </c>
      <c r="GH244" t="str">
        <f>IF(A244="","",_xlfn.XLOOKUP(A244,Щиты[Щит],Щиты[Путь],""))</f>
        <v>|ГРЩ-ЖД|ЩР-1|</v>
      </c>
      <c r="GI244" t="str">
        <f>IF(B244="","",IF(AI244&lt;&gt;"",AI244,IF(IFERROR(_xlfn.XLOOKUP(BC244,Коды_код,Коды_вид)&amp;"","")="","Прочее",_xlfn.XLOOKUP(BC244,Коды_код,Коды_вид)&amp;"")))</f>
        <v>Розеточная сеть и бытовые приборы</v>
      </c>
      <c r="GJ244">
        <f>IF(BM244="","",INT((BM244-1)/Столбцов_на_лист)+1)</f>
        <v>2</v>
      </c>
      <c r="GK244" t="str">
        <f t="shared" si="491"/>
        <v>ВВГнг(А)-LS (3х2,5) L=28-0,23%</v>
      </c>
      <c r="GL244">
        <f t="shared" si="492"/>
        <v>0.24</v>
      </c>
      <c r="GM244">
        <f t="shared" si="493"/>
        <v>1.1000000000000001</v>
      </c>
      <c r="GN244">
        <f t="shared" si="494"/>
        <v>1</v>
      </c>
      <c r="GO244">
        <f t="shared" si="495"/>
        <v>0</v>
      </c>
      <c r="GP244">
        <f t="shared" si="496"/>
        <v>1</v>
      </c>
      <c r="GQ244">
        <f>IF(BM244="","",IF(AND(CG244=1,GP244=1),COUNTIFS(A$3:A244,A244,CG$3:CG244,1,GP$3:GP244,1),IF(OR(OR(BA244=1,A244&lt;&gt;A243),AJ244="вручную",GP244=0),"",IF(BA244=1,"",GR243))))</f>
        <v>20</v>
      </c>
      <c r="GR244">
        <f t="shared" si="497"/>
        <v>20</v>
      </c>
      <c r="GS244">
        <f>IF(B244="","",IFERROR(LOOKUP(INDEX(CHOOSE(EB244,Iдоп_1ж,Iдоп_2ж,Iдоп_3ж),MATCH(EN244,Iдоп_S,0))*DZ244*EA244,{6,10,16,20,25,32,40,50,63,80,100,125,160,200,250,315,400,500,630}),""))</f>
        <v>25</v>
      </c>
      <c r="GT244" t="str">
        <f t="shared" si="498"/>
        <v>QFD20</v>
      </c>
      <c r="GU244" t="str">
        <f t="shared" si="499"/>
        <v>QFD20</v>
      </c>
      <c r="GV244" t="str">
        <f t="shared" si="500"/>
        <v/>
      </c>
      <c r="GW244">
        <f t="shared" si="501"/>
        <v>0</v>
      </c>
      <c r="GX244" t="str">
        <f>IF(OR(B244="",DJ244=""),"",IFERROR(_xlfn.XLOOKUP(DJ244,Модули_умолч[Управление],Модули_умолч[Модель])&amp;"",""))</f>
        <v/>
      </c>
      <c r="GY244">
        <f>IF(DJ244="",1,IFERROR(MAX(0,N(_xlfn.XLOOKUP(DJ244,Модули_умолч[Управление],Модули_умолч[Каналов на линию]))),1))</f>
        <v>1</v>
      </c>
      <c r="GZ244" t="str">
        <f t="shared" si="502"/>
        <v/>
      </c>
      <c r="HA244" t="str">
        <f t="shared" si="503"/>
        <v/>
      </c>
      <c r="HB244" t="str">
        <f t="shared" si="504"/>
        <v/>
      </c>
      <c r="HC244">
        <f>IF(HB244="",0,IFERROR(N(VLOOKUP(HB244,Модули_спр,3,FALSE)),0))</f>
        <v>0</v>
      </c>
      <c r="HD244" t="str">
        <f t="shared" si="505"/>
        <v/>
      </c>
      <c r="HE244" t="str">
        <f t="shared" si="506"/>
        <v/>
      </c>
      <c r="HF244" t="str">
        <f>IF(OR(HE244="",HE244="-"),"",IFERROR(VLOOKUP(HE244,Модули_спр,2,FALSE),"R"))</f>
        <v/>
      </c>
      <c r="HG244" t="str">
        <f>IF(HF244="","",HF244&amp;"."&amp;COUNTIFS(A$3:A244,A244,HF$3:HF244,HF244))</f>
        <v/>
      </c>
      <c r="HH244" t="str">
        <f t="shared" si="507"/>
        <v/>
      </c>
      <c r="HI244" t="str">
        <f t="shared" si="508"/>
        <v/>
      </c>
      <c r="HJ244" t="str">
        <f t="shared" si="509"/>
        <v/>
      </c>
      <c r="HK244" t="str">
        <f t="shared" si="510"/>
        <v/>
      </c>
      <c r="HL244">
        <f t="shared" si="511"/>
        <v>1</v>
      </c>
      <c r="HM244" t="str">
        <f>IF(HL244=1,"XT"&amp;COUNTIFS(A$3:A244,A244,HL$3:HL244,1),"")</f>
        <v>XT20</v>
      </c>
      <c r="HN244" t="str">
        <f t="shared" si="512"/>
        <v/>
      </c>
      <c r="HO244" t="str">
        <f t="shared" si="513"/>
        <v>QFD20</v>
      </c>
      <c r="HP244" t="str">
        <f t="shared" si="514"/>
        <v/>
      </c>
      <c r="HQ244" t="str">
        <f t="shared" si="515"/>
        <v>ok</v>
      </c>
      <c r="HR244" t="str">
        <f>IF(OR(HJ244="",HH244=""),"",IF(HJ244+MAX(0,GY244-1)&gt;IFERROR(VLOOKUP(HI244,Модули_спр,3,FALSE),99),"ЛИШНИЙ КАНАЛ",IF(AND(AL244&lt;&gt;"=",GY244&gt;0,COUNTIFS(Линии[_модуль гр.],HH244,Линии[Канал (итог)],HJ244,Линии[Канал],"&lt;&gt;=",Линии[Щит],A244)&gt;1),"ДУБЛЬ КАНАЛА","")))</f>
        <v/>
      </c>
      <c r="HS244" s="6" t="str">
        <f t="shared" si="516"/>
        <v/>
      </c>
      <c r="HT244">
        <f t="shared" si="517"/>
        <v>10</v>
      </c>
      <c r="HU244" t="str">
        <f t="shared" si="518"/>
        <v/>
      </c>
      <c r="HV244">
        <f t="shared" si="519"/>
        <v>0.71757073033319008</v>
      </c>
      <c r="HW244">
        <f t="shared" si="520"/>
        <v>0</v>
      </c>
      <c r="HX244">
        <f t="shared" si="521"/>
        <v>0</v>
      </c>
      <c r="HY244">
        <f t="shared" si="522"/>
        <v>0</v>
      </c>
      <c r="HZ244">
        <f t="shared" si="523"/>
        <v>0</v>
      </c>
      <c r="IA244">
        <f t="shared" si="524"/>
        <v>0</v>
      </c>
      <c r="IB244">
        <f t="shared" si="525"/>
        <v>0</v>
      </c>
      <c r="IC244" t="str">
        <f t="shared" si="526"/>
        <v/>
      </c>
      <c r="ID244" t="str" cm="1">
        <f t="array" ref="ID244">IF(IC244="","",_xlfn.LET(_xlpm.tk,_xlfn.TEXTSPLIT(SUBSTITUTE(SUBSTITUTE(IC244,";"," "),"→"," ")," ",,TRUE),_xlpm.w_,_xlfn._xlws.FILTER(_xlpm.tk,ISNUMBER(--LEFT(_xlpm.tk,1))*((ISNUMBER(SEARCH("W",_xlpm.tk))+ISNUMBER(SEARCH("Вт",_xlpm.tk)))&gt;0),""),IFERROR(--SUBSTITUTE(SUBSTITUTE(UPPER(INDEX(_xlpm.w_,1)),"W",""),"ВТ",""),"")))</f>
        <v/>
      </c>
      <c r="IE244" t="str" cm="1">
        <f t="array" ref="IE244">IF(IC244="","",_xlfn.LET(_xlpm.tk,_xlfn.TEXTSPLIT(SUBSTITUTE(SUBSTITUTE(IC244,";"," "),"→"," ")," ",,TRUE),_xlpm.v_,_xlfn._xlws.FILTER(_xlpm.tk,ISNUMBER(--LEFT(_xlpm.tk,1))*((ISNUMBER(SEARCH("V",_xlpm.tk))+(RIGHT(UPPER(_xlpm.tk))="В"))&gt;0),""),IFERROR(--SUBSTITUTE(SUBSTITUTE(UPPER(INDEX(_xlpm.v_,1)),"V",""),"В",""),"")))</f>
        <v/>
      </c>
      <c r="IF244" s="6" t="str">
        <f>IF(OR(BV244=0,HI244="",HJ244=""),"",IFERROR(N(_xlfn.XLOOKUP(HI244,Каталог!$C$4:$C$500,Каталог!$Q$4:$Q$500)),""))</f>
        <v/>
      </c>
      <c r="IG244" s="6" t="str">
        <f>IF(N(IF244)=0,"",SUMIFS(Линии[Iр, А],Линии[Щит],A244,Линии[_модуль гр.],HH244,Линии[Канал (итог)],HJ244))</f>
        <v/>
      </c>
      <c r="IH244" t="str">
        <f>IF(AND(B244="",HO244=""),"",_xlfn.TEXTJOIN("; ",TRUE,IF(AND(B244&lt;&gt;"",FV244=""),"нет фазы",""),IF(AND(B244&lt;&gt;"",N(GL244)=0,FG244&lt;&gt;"Нет"),"нет мощности",""),IF(AND(HN244&lt;&gt;"",COUNTIFS(Линии[Щит],A244,Линии[Клемма (итог)],HN244)&gt;1),"дубль клеммы "&amp;HN244,""),IF(AND(HQ244&lt;&gt;"",HQ244&lt;&gt;"ok"),HQ244,""),IF(HR244&lt;&gt;"",HR244,""),IF(AND(N(CB244)&gt;=4,N(BX244)=1),CB244&amp;" жил на 1 фазе",""),IF(AND(BC244="R",CG244=1,IF(CS244&lt;&gt;"",N(CV244)&gt;30,OR(N(DA244)=0,N(DA244)&gt;30))),"розетка без дифзащиты до 30 мА",""),IF(AND(CG244=1,N(DA244)&gt;0,ISNUMBER(T244)),IF(T244&gt;N(DA244)/3,"ток утечки "&amp;FIXED(T244,1)&amp;" мА &gt; 1/3 уставки ("&amp;DA244&amp;" мА)",""),""),IF(AND(CH244=1,CS244=""),"«узо»: нет строки с УЗО выше (УЗО 2P 40А 30мА в «Аппаратах»)",""),IF(AND(CS244&lt;&gt;"",CS244=BA244),IF(CT244="","впишите номинал УЗО (УЗО 2P 40А 30мА)",IF(N(CT244)&lt;N(DT244),"УЗО "&amp;CT244&amp;" А &lt; автомата "&amp;DT244&amp;" А перед ним",IF(N(CT244)&lt;N(CX244),"УЗО "&amp;CT244&amp;" А &lt; тока блока "&amp;FIXED(CX244,1)&amp;" А",""))),""),IF(AND(CS244&lt;&gt;"",CS244=BA244,ISNUMBER(CY244)),IF(CY244&gt;N(CV244)/3,"ток утечки блока УЗО "&amp;FIXED(CY244,1)&amp;" мА &gt; 1/3 уставки ("&amp;CV244&amp;" мА)",""),""),IF(AND(CG244=1,N(BV244)+N(IB244)&gt;0,IC244=""),"линии до 50 В без БП: впишите в «Аппараты» (БП 24V 480W)",""),IF(AND(CG244=1,ISNUMBER(ID244),ISNUMBER(U244)),IF(U244&gt;ID244,"БП "&amp;ID244&amp;" Вт &lt; нужно "&amp;U244&amp;" Вт (×"&amp;Запас_БП&amp;")",""),""),IF(AND(CG244=1,ISNUMBER(IE244),N(BV244)=1),IF(IE244&lt;&gt;N(BU244),"БП на "&amp;IE244&amp;" В, линия "&amp;BU244&amp;" В",""),""),IF(AND(N(IF244)&gt;0,N(IG244)&gt;N(IF244)),HH244&amp;" канал "&amp;HJ244&amp;": "&amp;FIXED(IG244,1)&amp;" А &gt; "&amp;IF244&amp;" А",""),IFERROR(IF(AND(ISNUMBER(Q244),Q244&gt;EL244),"потери "&amp;FIXED(Q244,1)&amp;" % &gt; "&amp;EL244&amp;" %",""),""),IFERROR(IF(LEFT(HU244,4)="мало","Iкз мало — отключение &gt; 0,4 с",""),""),IF(AND(B244&lt;&gt;"",BM244=""),"не на схеме",""),IF(AND(CG244=0,B244&lt;&gt;"",FV244&lt;&gt;"",IF(BA244=1,"",FW243)&lt;&gt;"",FV244&lt;&gt;IF(BA244=1,"",FW243)),"фаза не как у автомата группы ("&amp;IF(BA244=1,"",FW243)&amp;")","")))</f>
        <v/>
      </c>
      <c r="II244" s="6">
        <f>IF(OR(CG244=0,DQ244=""),"",_xlfn.LET(_xlpm.t,IFERROR(_xlfn.XLOOKUP(DQ244,Каталог!$U$4:$U$500,Каталог!$G$4:$G$500),""),_xlpm.k,SEARCH("кА",_xlpm.t),IFERROR(--TRIM(RIGHT(SUBSTITUTE(MID(_xlpm.t,MAX(1,_xlpm.k-4),_xlpm.k-MAX(1,_xlpm.k-4))," ",REPT(" ",9)),5)),"")))</f>
        <v>6</v>
      </c>
      <c r="IJ244" t="str">
        <f>IF(OR(II244="",CG244=0),"",IF(_xlfn.XLOOKUP(A244,Щиты[Щит],Щиты[Iкз max на шинах, кА],"")="","",IF(II244&lt;_xlfn.XLOOKUP(A244,Щиты[Щит],Щиты[Iкз max на шинах, кА]),"Icu "&amp;II244&amp;" кА &lt; Iкз max","ok")))</f>
        <v/>
      </c>
      <c r="IK244" t="str">
        <f t="shared" si="527"/>
        <v/>
      </c>
      <c r="IL244" t="str">
        <f t="shared" si="528"/>
        <v>QFD20</v>
      </c>
      <c r="IM244" t="str">
        <f t="shared" si="529"/>
        <v>QFD20|кабель ВВГнг(А)-LS (3х2,5) → Розеточная группа, пом. 003Б</v>
      </c>
      <c r="IN244" t="str" cm="1">
        <f t="array" ref="IN244">IF(IM244="","",_xlfn.LET(_xlpm.nd,_xlfn.TEXTSPLIT(IM244,"|"),IF(COLUMNS(_xlpm.nd)&gt;1,A244&amp;"¦"&amp;INDEX(_xlpm.nd,1)&amp;"¦"&amp;INDEX(_xlpm.nd,2),"")))</f>
        <v>ЩР-1¦QFD20¦кабель ВВГнг(А)-LS (3х2,5) → Розеточная группа, пом. 003Б</v>
      </c>
      <c r="IO244" t="str">
        <f t="shared" si="530"/>
        <v>R.1.003Б.1¦Розеточная группа, пом. 003Б</v>
      </c>
      <c r="IP244" t="str" cm="1">
        <f t="array" ref="IP244">IF(IM244="","",_xlfn.LET(_xlpm.nd,_xlfn.TEXTSPLIT(IM244,"|"),IF(COLUMNS(_xlpm.nd)&gt;2,A244&amp;"¦"&amp;INDEX(_xlpm.nd,2)&amp;"¦"&amp;INDEX(_xlpm.nd,3),"")))</f>
        <v/>
      </c>
      <c r="IQ244" t="str">
        <f t="shared" si="531"/>
        <v/>
      </c>
      <c r="IR244" t="str" cm="1">
        <f t="array" ref="IR244">IF(IM244="","",_xlfn.LET(_xlpm.nd,_xlfn.TEXTSPLIT(IM244,"|"),IF(COLUMNS(_xlpm.nd)&gt;3,A244&amp;"¦"&amp;INDEX(_xlpm.nd,3)&amp;"¦"&amp;INDEX(_xlpm.nd,4),"")))</f>
        <v/>
      </c>
      <c r="IS244" t="str">
        <f t="shared" si="532"/>
        <v/>
      </c>
      <c r="IT244" t="str" cm="1">
        <f t="array" ref="IT244">IF(IM244="","",_xlfn.LET(_xlpm.nd,_xlfn.TEXTSPLIT(IM244,"|"),IF(COLUMNS(_xlpm.nd)&gt;4,A244&amp;"¦"&amp;INDEX(_xlpm.nd,4)&amp;"¦"&amp;INDEX(_xlpm.nd,5),"")))</f>
        <v/>
      </c>
      <c r="IU244" t="str">
        <f t="shared" si="533"/>
        <v/>
      </c>
      <c r="IV244" t="str" cm="1">
        <f t="array" ref="IV244">IF(IM244="","",_xlfn.LET(_xlpm.nd,_xlfn.TEXTSPLIT(IM244,"|"),IF(COLUMNS(_xlpm.nd)&gt;5,A244&amp;"¦"&amp;INDEX(_xlpm.nd,5)&amp;"¦"&amp;INDEX(_xlpm.nd,6),"")))</f>
        <v/>
      </c>
      <c r="IW244" t="str">
        <f t="shared" si="534"/>
        <v/>
      </c>
      <c r="IX244" t="str" cm="1">
        <f t="array" ref="IX244">IF(IM244="","",_xlfn.LET(_xlpm.nd,_xlfn.TEXTSPLIT(IM244,"|"),IF(COLUMNS(_xlpm.nd)&gt;6,A244&amp;"¦"&amp;INDEX(_xlpm.nd,6)&amp;"¦"&amp;INDEX(_xlpm.nd,7),"")))</f>
        <v/>
      </c>
      <c r="IY244" t="str">
        <f t="shared" si="535"/>
        <v/>
      </c>
      <c r="IZ244" t="str">
        <f t="shared" si="536"/>
        <v/>
      </c>
      <c r="JA244" t="str">
        <f t="shared" si="537"/>
        <v>QFD20</v>
      </c>
      <c r="JB244">
        <f t="shared" si="538"/>
        <v>0</v>
      </c>
      <c r="JC244">
        <f t="shared" si="539"/>
        <v>1</v>
      </c>
      <c r="JD244" t="str">
        <f t="shared" si="540"/>
        <v/>
      </c>
      <c r="JE244" t="str">
        <f t="shared" si="541"/>
        <v/>
      </c>
      <c r="JF244" t="str">
        <f t="shared" si="542"/>
        <v/>
      </c>
      <c r="JG244" t="str">
        <f t="shared" si="543"/>
        <v/>
      </c>
      <c r="JH244" t="str">
        <f>IF(B244="","",IFERROR(_xlfn.XLOOKUP(B244,Коды_код,Коды_уго),IFERROR(_xlfn.XLOOKUP(BC244,Коды_код,Коды_уго),IFERROR(_xlfn.XLOOKUP(LEFT(BC244,2),Коды_код,Коды_уго),""))))</f>
        <v>Розетка</v>
      </c>
      <c r="JI244" t="str">
        <f>IF(B244="","",IF(OR(JH244="",JH244=0),"BOX",IFERROR(IF(VLOOKUP(JH244,УГО_блоки,3,FALSE)&amp;""&lt;&gt;"",VLOOKUP(JH244,УГО_блоки,3,FALSE),VLOOKUP(JH244,УГО_блоки,2,FALSE)),JH244)))</f>
        <v>SOCKET</v>
      </c>
      <c r="JJ244">
        <f t="shared" si="544"/>
        <v>1</v>
      </c>
      <c r="JK244" t="str">
        <f>IF(DQ244="","",IF(COUNTIF(DQ$3:DQ244,DQ244)=1,MAX(JK$2:JK243)+1,""))</f>
        <v/>
      </c>
      <c r="JL244" t="str">
        <f>IF(DE244="","",IF(COUNTIF(DE$3:DE244,DE244)+COUNTIF(DF$2:DF243,DE244)+COUNTIF(DG$2:DG243,DE244)=1,MAX(JL$2:JN243)+1,""))</f>
        <v/>
      </c>
      <c r="JM244" t="str">
        <f>IF(DF244="","",IF(COUNTIF(DE$3:DE244,DF244)+COUNTIF(DF$3:DF244,DF244)+COUNTIF(DG$2:DG243,DF244)=1,MAX(JL$2:JN243,JL244)+1,""))</f>
        <v/>
      </c>
      <c r="JN244" t="str">
        <f>IF(DG244="","",IF(COUNTIF(DE$3:DE244,DG244)+COUNTIF(DF$3:DF244,DG244)+COUNTIF(DG$3:DG244,DG244)=1,MAX(JL$2:JN243,JL244,JM244)+1,""))</f>
        <v/>
      </c>
      <c r="JO244" t="str">
        <f t="shared" si="545"/>
        <v>3х2,5</v>
      </c>
      <c r="JP244" t="str">
        <f>IF(JO244="","",IF(COUNTIF(JO$3:JO244,JO244)=1,MAX(JP$2:JP243)+1,""))</f>
        <v/>
      </c>
      <c r="JQ244" t="str">
        <f>IF(HG244="","",COUNTIF(HG$3:HG244,"?*"))</f>
        <v/>
      </c>
      <c r="JR244" t="str">
        <f>IF(OR(HG244="",HI244=""),"",IF(COUNTIFS(HG$3:HG244,"?*",HI$3:HI244,HI244)=1,MAX(JR$2:JR243)+1,""))</f>
        <v/>
      </c>
      <c r="JS244">
        <f t="shared" si="546"/>
        <v>0</v>
      </c>
      <c r="JT244">
        <f>IF(B244="","",COUNTIF(B$3:B244,"?*"))</f>
        <v>242</v>
      </c>
      <c r="JU244">
        <f>IF(HL244&lt;&gt;1,0,_xlfn.LET(_xlpm.k,MAX(IFERROR(--_xlfn.XLOOKUP(B244,Коды_код,Коды_3L),0),IFERROR(--_xlfn.XLOOKUP(BC244,Коды_код,Коды_3L),0),IFERROR(--_xlfn.XLOOKUP(LEFT(BC244,2),Коды_код,Коды_3L),0)),IF(_xlpm.k&gt;0,_xlpm.k,IF(IFERROR(--LEFT(SUBSTITUTE(JO244,"x","х"),FIND("х",SUBSTITUTE(JO244,"x","х"))-1),3)&gt;3,Каталог!$S$9,1))))</f>
        <v>1</v>
      </c>
      <c r="JV244">
        <f t="shared" si="547"/>
        <v>0</v>
      </c>
      <c r="JW244" t="str">
        <f t="shared" si="548"/>
        <v>авто</v>
      </c>
      <c r="JX244">
        <f t="shared" si="549"/>
        <v>30</v>
      </c>
      <c r="JY244">
        <f t="shared" si="550"/>
        <v>1</v>
      </c>
      <c r="JZ244">
        <f t="shared" si="551"/>
        <v>1</v>
      </c>
    </row>
    <row r="245" spans="1:286" x14ac:dyDescent="0.3">
      <c r="A245" t="s">
        <v>757</v>
      </c>
      <c r="B245" t="s">
        <v>1551</v>
      </c>
      <c r="C245" t="str">
        <f>Линии[[#This Row],[_авто наименование]]</f>
        <v>Розеточная группа, пом. 003Б</v>
      </c>
      <c r="D245">
        <v>1</v>
      </c>
      <c r="E245">
        <v>0.12</v>
      </c>
      <c r="G245" t="str">
        <f>Линии[[#This Row],[_авто автомат]]</f>
        <v>2P С16А 30мА</v>
      </c>
      <c r="H245" t="str">
        <f>Линии[[#This Row],[_авто управление]]</f>
        <v/>
      </c>
      <c r="I245" t="str">
        <f>Линии[[#This Row],[_авто аппараты]]</f>
        <v/>
      </c>
      <c r="J245">
        <v>2.5</v>
      </c>
      <c r="K245">
        <v>10</v>
      </c>
      <c r="L245" t="str">
        <f>Линии[[#This Row],[_авто фаза]]</f>
        <v>L2</v>
      </c>
      <c r="M245" t="s">
        <v>484</v>
      </c>
      <c r="N245" t="str">
        <f t="shared" si="414"/>
        <v/>
      </c>
      <c r="O245" s="6" cm="1">
        <f t="array" ref="O245">IF(B245="","",IF(BH245&lt;&gt;"",IFERROR(_xlfn.XLOOKUP(BH245,Щиты[Щит],Щиты[Iр, А]),""),IF(BP245=1,IF(OR(N(_xlfn.XLOOKUP(A245,Щиты[Щит],Щиты[Вводов],1))&lt;=1,LOWER(TRIM(_xlfn.XLOOKUP(A245,Щиты[Щит],Щиты[АВР],"")&amp;""))="да"),IFERROR(_xlfn.XLOOKUP(A245,Щиты[Щит],Щиты[Iр, А]),""),IFERROR(N(BS245)*_xlfn.XLOOKUP(A245,Щиты[Щит],Щиты[Кс итог])/(SQRT(3)*Uн_лин*_xlfn.XLOOKUP(A245,Щиты[Щит],Щиты[cos φ])),"")),IF(BV245=1,IFERROR(BS245*1000/BU245,""),IFERROR(_xlfn.IFS(BX245=1,BS245/((Uн_лин/SQRT(3))*CE245),BX245=3,BS245/(SQRT(3)*Uн_лин*CE245)),"")))))</f>
        <v>0.54696341291648753</v>
      </c>
      <c r="P245" s="7">
        <f>IF(B245="","",IFERROR(IF(VLOOKUP(BC245,Потребители_обозначение,4,FALSE)=1,VLOOKUP(BC245,Потребители_обозначение,3,FALSE)*(MAX(1,N(D245))*2-1)+EI245+VLOOKUP(BE245,Этаж_обозначение,3,FALSE)+VLOOKUP(BE245,Этаж_обозначение,4,FALSE),VLOOKUP(BC245,Потребители_обозначение,3,FALSE)*(MAX(1,N(D245))*2-1)+EI245),EI245))</f>
        <v>13</v>
      </c>
      <c r="Q245" s="6">
        <f t="shared" si="415"/>
        <v>1.25</v>
      </c>
      <c r="R245" t="str">
        <f t="shared" si="416"/>
        <v>ВВГнг(А)-LS (3х2,5)</v>
      </c>
      <c r="S245" t="str">
        <f>IF(BM245="","",IF(BN245="вводной узел","узел ","")&amp;"л."&amp;(INT((BM245-1)/Столбцов_на_лист)+1)&amp;" / "&amp;(MOD(BM245-1,Столбцов_на_лист)+1))</f>
        <v>л.2 / 14</v>
      </c>
      <c r="T245" s="119">
        <f t="shared" si="417"/>
        <v>0.3</v>
      </c>
      <c r="U245" s="7" t="str">
        <f>IF(OR(CG245=0,N(BV245)+N(IB245)=0),"",ROUNDUP(Запас_БП*(N(HY245)+N(HZ245)),0))</f>
        <v/>
      </c>
      <c r="V245" s="119" t="str">
        <f t="shared" si="418"/>
        <v/>
      </c>
      <c r="W245" s="7" t="str">
        <f>IFERROR(IF(OR(B245="",BP245=1,BV245=1,NOT(ISNUMBER(EN245)),N(DT245)=0),"",MAX(0,ROUNDDOWN((c_min*(Uн_лин*1000/SQRT(3))/(HT245*N(DT245))-_xlfn.XLOOKUP(A245,Щиты[Щит],Щиты[Zпетли на шинах, Ом]))*EN245/(2*ρкз_Cu),0))),"")</f>
        <v/>
      </c>
      <c r="Y245">
        <f>Линии[[#This Row],[_авто утечка]]</f>
        <v>30</v>
      </c>
      <c r="Z245">
        <v>1</v>
      </c>
      <c r="AA245">
        <v>230</v>
      </c>
      <c r="AB245" t="s">
        <v>562</v>
      </c>
      <c r="AG245" t="s">
        <v>810</v>
      </c>
      <c r="AI245" t="s">
        <v>561</v>
      </c>
      <c r="AK245" t="str">
        <f>Линии[[#This Row],[_авто модуль]]</f>
        <v/>
      </c>
      <c r="AM245">
        <v>31</v>
      </c>
      <c r="AN245" t="s">
        <v>11</v>
      </c>
      <c r="AO245">
        <v>3</v>
      </c>
      <c r="AQ245">
        <v>0</v>
      </c>
      <c r="AR245">
        <v>0</v>
      </c>
      <c r="AS245">
        <v>8</v>
      </c>
      <c r="BA245" cm="1">
        <f t="array" ref="BA245">ROW()-ROW(Линии[#Headers])</f>
        <v>243</v>
      </c>
      <c r="BC245" s="6" t="str">
        <f t="shared" si="419"/>
        <v>R</v>
      </c>
      <c r="BD245" t="str">
        <f t="shared" si="420"/>
        <v>1.003Б.2</v>
      </c>
      <c r="BE245" t="str">
        <f t="shared" si="421"/>
        <v>1</v>
      </c>
      <c r="BF245" t="str">
        <f t="shared" si="422"/>
        <v>003Б.2</v>
      </c>
      <c r="BG245" t="str">
        <f t="shared" si="423"/>
        <v>003Б</v>
      </c>
      <c r="BH245" t="str">
        <f>IF(X245&lt;&gt;"",X245,IF(AND(B245&lt;&gt;"",B245&lt;&gt;A245,ISNUMBER(_xlfn.XMATCH(B245,Щиты[Щит]))),B245,""))</f>
        <v/>
      </c>
      <c r="BI245" t="str" cm="1">
        <f t="array" ref="BI245">IF(B245="","",IF(BH245&lt;&gt;"","Щит "&amp;BH245,_xlfn.LET(_xlpm.nm,IFERROR(_xlfn.XLOOKUP(BC245,Коды_код,Коды_имя)&amp;"",""),_xlpm.md,IFERROR(N(_xlfn.XLOOKUP(BC245,Коды_код,Коды_режим)),1),_xlpm.ex,IF(Имя_режим="по экспликации",IFERROR(_xlfn.XLOOKUP(BE245&amp;"|"&amp;BG245,Экспликация[Этаж]&amp;"|"&amp;Экспликация[Помещение],Экспликация[Название])&amp;"",""),""),_xlpm.rm,IF(BG245="","",IF(_xlpm.ex&lt;&gt;"",". "&amp;_xlpm.ex&amp;IF(Имя_пом="нет"," ("&amp;BG245&amp;")"," (пом. "&amp;BG245&amp;")"),IF(Имя_пом="нет"," ",", пом. ")&amp;BG245)),IF(_xlpm.nm="","",IF(_xlpm.md=2,_xlpm.nm&amp;" шлейф "&amp;BE245,_xlpm.nm&amp;_xlpm.rm)))))</f>
        <v>Розеточная группа, пом. 003Б</v>
      </c>
      <c r="BJ245" t="str">
        <f t="shared" si="424"/>
        <v>Розеточная группа, пом. 003Б</v>
      </c>
      <c r="BK245">
        <f>IFERROR(_xlfn.XMATCH(A245,Щиты[Щит]),0)</f>
        <v>10</v>
      </c>
      <c r="BL245">
        <f>_xlfn.LET(_xlpm.k,IFERROR(_xlfn.XLOOKUP(A245,Щиты[Щит],Щиты[Мест под вводной узел]),""),IF(_xlpm.k="",Столбцов_на_лист,N(_xlpm.k)))</f>
        <v>8</v>
      </c>
      <c r="BM245">
        <f t="shared" si="425"/>
        <v>31</v>
      </c>
      <c r="BN245" t="str">
        <f t="shared" si="426"/>
        <v>линии</v>
      </c>
      <c r="BO245" s="6">
        <f>IFERROR(N(_xlfn.XLOOKUP(BC245,Коды_код,Коды_квт)),0)</f>
        <v>0</v>
      </c>
      <c r="BP245">
        <f t="shared" si="427"/>
        <v>0</v>
      </c>
      <c r="BQ245" t="str">
        <f>IF(B245="","",IF(BH245&lt;&gt;"",IFERROR(_xlfn.XLOOKUP(BH245,Щиты[Щит],Щиты[Руст, кВт]),0),IF(BP245=1,IF(OR(N(_xlfn.XLOOKUP(A245,Щиты[Щит],Щиты[Вводов],1))&lt;=1,LOWER(TRIM(_xlfn.XLOOKUP(A245,Щиты[Щит],Щиты[АВР],"")&amp;""))="да"),IFERROR(_xlfn.XLOOKUP(A245,Щиты[Щит],Щиты[Руст, кВт]),0),SUMIFS(Линии[_Р для вводов],Линии[Щит],A245,Линии[Источник для режимов],GF245)),IF(BO245&gt;0,ROUND(BO245*MAX(1,N(D245)),3),""))))</f>
        <v/>
      </c>
      <c r="BR245">
        <f t="shared" si="428"/>
        <v>0.12</v>
      </c>
      <c r="BS245" s="6">
        <f>IF(B245="","",IF(BH245&lt;&gt;"",IFERROR(_xlfn.XLOOKUP(BH245,Щиты[Щит],Щиты[Руст, кВт]),0),N(BR245)))</f>
        <v>0.12</v>
      </c>
      <c r="BT245" t="str">
        <f>IF(B245="","",IFERROR(IF(VLOOKUP(BC245,Потребители_обозначение,8,FALSE)=0,"",VLOOKUP(BC245,Потребители_обозначение,8,FALSE)),""))</f>
        <v/>
      </c>
      <c r="BU245">
        <f t="shared" si="429"/>
        <v>230</v>
      </c>
      <c r="BV245">
        <f t="shared" si="430"/>
        <v>0</v>
      </c>
      <c r="BW245">
        <f>IF(B245="","",IF(BH245&lt;&gt;"",3,IFERROR(IF(N(VLOOKUP(BC245,Потребители_обозначение,9,FALSE))=0,1,VLOOKUP(BC245,Потребители_обозначение,9,FALSE)),1)))</f>
        <v>1</v>
      </c>
      <c r="BX245">
        <f t="shared" si="431"/>
        <v>1</v>
      </c>
      <c r="BY245" t="str">
        <f>IF(B245="","",_xlfn.LET(_xlpm.bc,IFERROR(IF(VLOOKUP(BC245,Потребители_обозначение,6,FALSE)=0,"",VLOOKUP(BC245,Потребители_обозначение,6,FALSE)&amp;""),""),IF(AND(GA245="да",OR(_xlpm.bc="",_xlpm.bc="мс")),Марка_пож,IF(AND(_xlpm.bc="",BH245&lt;&gt;""),"мс",_xlpm.bc))))</f>
        <v/>
      </c>
      <c r="BZ245" t="str">
        <f t="shared" si="432"/>
        <v>мс</v>
      </c>
      <c r="CA245">
        <f>IF(B245="","",_xlfn.LET(_xlpm.cc,IFERROR(N(VLOOKUP(BC245,Потребители_обозначение,7,FALSE)),0),IF(_xlpm.cc&gt;0,_xlpm.cc,IF(BZ245="","",IF(BV245=1,2,IF(N(BX245)=3,5,3))))))</f>
        <v>3</v>
      </c>
      <c r="CB245">
        <f t="shared" si="433"/>
        <v>3</v>
      </c>
      <c r="CC245">
        <f>IFERROR(N(VLOOKUP(BC245,Потребители_обозначение,10,FALSE)),0)</f>
        <v>0</v>
      </c>
      <c r="CD245">
        <f>IFERROR(VLOOKUP(BC245,Потребители_обозначение,5,FALSE),0)</f>
        <v>1</v>
      </c>
      <c r="CE245" s="6" cm="1">
        <f t="array" ref="CE245">IF(B245="","",IF(BH245&lt;&gt;"",IFERROR(_xlfn.XLOOKUP(BH245,Щиты[Щит],Щиты[cos φ]),0.95),IF(BP245=1,IFERROR(_xlfn.XLOOKUP(A245,Щиты[Щит],Щиты[cos φ]),0.95),IF(ISNUMBER(AD245),AD245,IFERROR(IF(CD245=2,_xlfn.IFS(BX245=3,VLOOKUP(BS245,Справочная_двигатели,8,FALSE),BX245=1,VLOOKUP(BS245,Справочная_двигатели,10,TRUE)),IF(AND(Методика="нормы 2026",FG245="Сил"),0.8,0.95)),0.95)))))</f>
        <v>0.95</v>
      </c>
      <c r="CF245">
        <f t="shared" si="434"/>
        <v>0</v>
      </c>
      <c r="CG245">
        <f t="shared" si="435"/>
        <v>1</v>
      </c>
      <c r="CH245">
        <f t="shared" si="436"/>
        <v>0</v>
      </c>
      <c r="CI245">
        <f>IF(B245="","",IF(BV245=1,IFERROR(BS245/((Uн_лин/SQRT(3))*MAX(0.5,N(CE245))),0),N(O245)))</f>
        <v>0.54696341291648753</v>
      </c>
      <c r="CJ245">
        <f t="shared" si="437"/>
        <v>0</v>
      </c>
      <c r="CK245">
        <f t="shared" si="438"/>
        <v>0</v>
      </c>
      <c r="CL245">
        <f t="shared" si="439"/>
        <v>0</v>
      </c>
      <c r="CM245">
        <f t="shared" si="440"/>
        <v>0</v>
      </c>
      <c r="CN245">
        <f t="shared" si="441"/>
        <v>0</v>
      </c>
      <c r="CO245">
        <f>IF(BC245="",0,_xlfn.LET(_xlpm.v,IFERROR(_xlfn.XLOOKUP(B245,Коды_код,Коды_мА),IFERROR(_xlfn.XLOOKUP(BC245,Коды_код,Коды_мА),IFERROR(_xlfn.XLOOKUP(LEFT(BC245,2),Коды_код,Коды_мА),""))),IF(_xlpm.v="да",30,IF(ISNUMBER(_xlpm.v),_xlpm.v,0))))</f>
        <v>30</v>
      </c>
      <c r="CP245">
        <f t="shared" si="442"/>
        <v>30</v>
      </c>
      <c r="CQ245" t="str">
        <f>_xlfn.LET(_xlpm.k,IFERROR(_xlfn.XLOOKUP(BC245,Коды_код,Коды_утечка)&amp;"",""),IF(_xlpm.k="","дифавтомат",_xlpm.k))</f>
        <v>дифавтомат</v>
      </c>
      <c r="CR245" t="str" cm="1">
        <f t="array" ref="CR245">IF(CG245=0,"",_xlfn.LET(_xlpm.sg,TRIM(_xlfn.TEXTSPLIT(DD245&amp;"",";")),_xlpm.f_,_xlfn._xlws.FILTER(_xlpm.sg,LEFT(_xlpm.sg,3)="УЗО",""),IFERROR(INDEX(_xlpm.f_,1)&amp;"","")))</f>
        <v/>
      </c>
      <c r="CS245" t="str">
        <f t="shared" si="443"/>
        <v/>
      </c>
      <c r="CT245" s="6" t="str" cm="1">
        <f t="array" ref="CT245">IF(CR245="","",_xlfn.LET(_xlpm.tk,_xlfn.TEXTSPLIT(UPPER(CR245)," ",,TRUE),_xlpm.a_,_xlfn._xlws.FILTER(_xlpm.tk,ISNUMBER(--LEFT(_xlpm.tk,1))*((ISNUMBER(SEARCH("А",_xlpm.tk))+ISNUMBER(SEARCH("A",_xlpm.tk)))&gt;0)*NOT(ISNUMBER(SEARCH("МА",_xlpm.tk)))*NOT(ISNUMBER(SEARCH("MA",_xlpm.tk))),""),IFERROR(--SUBSTITUTE(SUBSTITUTE(INDEX(_xlpm.a_,1),"А",""),"A",""),"")))</f>
        <v/>
      </c>
      <c r="CU245" t="str" cm="1">
        <f t="array" ref="CU245">IF(CR245="","",_xlfn.LET(_xlpm.tk,_xlfn.TEXTSPLIT(UPPER(CR245)," ",,TRUE),_xlpm.a_,_xlfn._xlws.FILTER(_xlpm.tk,ISNUMBER(--LEFT(_xlpm.tk,1))*((ISNUMBER(SEARCH("МА",_xlpm.tk))+ISNUMBER(SEARCH("MA",_xlpm.tk)))&gt;0),""),IFERROR(--SUBSTITUTE(SUBSTITUTE(INDEX(_xlpm.a_,1),"МА",""),"MA",""),30)))</f>
        <v/>
      </c>
      <c r="CV245" t="str">
        <f>IF(CS245="","",IFERROR(_xlfn.XLOOKUP(CS245,Линии[_n],Линии[_УЗО, мА]),30))</f>
        <v/>
      </c>
      <c r="CW245">
        <f>IF(CS245="",0,IF(ISNUMBER(SEARCH("4P",IFERROR(_xlfn.XLOOKUP(CS245,Линии[_n],Линии[_УЗО строки])&amp;"",""))),0,1))</f>
        <v>0</v>
      </c>
      <c r="CX245" t="str">
        <f>IF(AND(CS245&lt;&gt;"",CS245=BA245),SUMIFS(Линии[_ток на 230 В],Линии[_блок УЗО],BA245,Линии[Щит],A245),"")</f>
        <v/>
      </c>
      <c r="CY245" t="str">
        <f>IF(AND(CS245&lt;&gt;"",CS245=BA245),SUMIFS(Линии[_ток утечки линии, мА],Линии[_блок УЗО],BA245,Линии[Щит],A245),"")</f>
        <v/>
      </c>
      <c r="CZ245">
        <f t="shared" si="444"/>
        <v>30</v>
      </c>
      <c r="DA245">
        <f t="shared" si="445"/>
        <v>30</v>
      </c>
      <c r="DB245">
        <f>IF(B245="",0,IFERROR(--_xlfn.XLOOKUP(B245,Коды_код,Коды_минавт),IFERROR(--_xlfn.XLOOKUP(BC245,Коды_код,Коды_минавт),IFERROR(--_xlfn.XLOOKUP(LEFT(BC245,2),Коды_код,Коды_минавт),0))))</f>
        <v>16</v>
      </c>
      <c r="DC245" t="str">
        <f>IF(B245="","",IFERROR(_xlfn.XLOOKUP(BC245,Коды_код,Коды_апп)&amp;"",""))</f>
        <v/>
      </c>
      <c r="DD245" t="str">
        <f t="shared" si="446"/>
        <v/>
      </c>
      <c r="DE245" t="str" cm="1">
        <f t="array" ref="DE245">IF(TRIM(DD245&amp;"")="","",IFERROR(TRIM(INDEX(_xlfn.TEXTSPLIT(DD245&amp;";;;",";"),1)),""))</f>
        <v/>
      </c>
      <c r="DF245" t="str" cm="1">
        <f t="array" ref="DF245">IF(TRIM(DD245&amp;"")="","",IFERROR(TRIM(INDEX(_xlfn.TEXTSPLIT(DD245&amp;";;;",";"),2)),""))</f>
        <v/>
      </c>
      <c r="DG245" t="str" cm="1">
        <f t="array" ref="DG245">IF(TRIM(DD245&amp;"")="","",IFERROR(TRIM(INDEX(_xlfn.TEXTSPLIT(DD245&amp;";;;",";"),3)),""))</f>
        <v/>
      </c>
      <c r="DH245">
        <f t="shared" si="447"/>
        <v>0</v>
      </c>
      <c r="DI245" t="str">
        <f>IF(B245="","",_xlfn.LET(_xlpm.t,LOWER(AZ245&amp;""),IF(ISNUMBER(SEARCH("dim",_xlpm.t)),"DIM",IF(ISNUMBER(SEARCH("dali",_xlpm.t)),"DALI",IF(OR(ISNUMBER(SEARCH("relay",_xlpm.t)),ISNUMBER(SEARCH("реле",_xlpm.t))),"Relay",IF(ISNUMBER(SEARCH("кнопк",_xlpm.t)),"",IFERROR(_xlfn.XLOOKUP(BC245,Коды_код,Коды_упр)&amp;"","")))))))</f>
        <v/>
      </c>
      <c r="DJ245" t="str">
        <f t="shared" si="448"/>
        <v/>
      </c>
      <c r="DK245">
        <f>IF(B245="","",_xlfn.LET(_xlpm.ig,IF(N(CX245)&gt;0,N(CX245),N(CI245)+IF(AJ245="вручную",0,N(CJ245))),_xlpm.n0,IFERROR(VLOOKUP(_xlpm.ig,Автомат_номиналы,2,TRUE),0),_xlpm.mn,MAX(DB245,IF(AJ245="вручную",0,N(CM245))),MAX(_xlpm.n0,_xlpm.mn,IF(DH245=1,Мин_автомат_БП,0))))</f>
        <v>16</v>
      </c>
      <c r="DL245">
        <f t="shared" si="449"/>
        <v>1</v>
      </c>
      <c r="DM245" t="str">
        <f t="shared" si="450"/>
        <v>2P</v>
      </c>
      <c r="DN245" t="str">
        <f>_xlfn.LET(_xlpm.cc,UPPER(TRIM(IFERROR(_xlfn.XLOOKUP(BC245,Коды_код,Коды_хар)&amp;"",""))),IF(OR(_xlpm.cc="B",_xlpm.cc="В"),"B",IF(_xlpm.cc="D","D","С")))</f>
        <v>С</v>
      </c>
      <c r="DO245" t="str">
        <f t="shared" si="451"/>
        <v>2P С16А 30мА</v>
      </c>
      <c r="DP245" t="str">
        <f t="shared" si="452"/>
        <v>2P С16А 30мА</v>
      </c>
      <c r="DQ245" t="str">
        <f t="shared" si="453"/>
        <v>2P С16А 30мА</v>
      </c>
      <c r="DR245" cm="1">
        <f t="array" ref="DR245">IF(DQ245="","",_xlfn.LET(_xlpm.t,SUBSTITUTE(SUBSTITUTE(SUBSTITUTE(UPPER(DQ245),"С","C"),"А","A"),"В","B"),_xlpm.tk,_xlfn.TEXTSPLIT(_xlpm.t," "),_xlpm.f,_xlfn._xlws.FILTER(_xlpm.tk,ISNUMBER(--MID(_xlpm.tk,2,1))*ISNUMBER(SEARCH(LEFT(_xlpm.tk,1)&amp;"#","B#C#D#"))*(LEN(_xlpm.tk)&gt;1),""),_xlpm.x,INDEX(_xlpm.f,1),IFERROR(--SUBSTITUTE(MID(_xlpm.x,2,9),"A",""),IFERROR(--SUBSTITUTE(INDEX(_xlfn._xlws.FILTER(_xlpm.tk,ISNUMBER(--SUBSTITUTE(_xlpm.tk,"A","")),""),1),"A",""),""))))</f>
        <v>16</v>
      </c>
      <c r="DS245" t="str">
        <f t="shared" si="454"/>
        <v>ok</v>
      </c>
      <c r="DT245">
        <f t="shared" si="455"/>
        <v>16</v>
      </c>
      <c r="DU245" t="str">
        <f t="shared" si="456"/>
        <v>2P С16А 30мА</v>
      </c>
      <c r="DV245">
        <f t="shared" si="457"/>
        <v>30</v>
      </c>
      <c r="DW245">
        <f t="shared" si="458"/>
        <v>1</v>
      </c>
      <c r="DX245">
        <f t="shared" si="459"/>
        <v>0</v>
      </c>
      <c r="DY245">
        <f t="shared" si="460"/>
        <v>0.54696341291648753</v>
      </c>
      <c r="DZ245">
        <f t="shared" si="461"/>
        <v>1</v>
      </c>
      <c r="EA245">
        <f>IF(ISNUMBER(AP245),AP245,К_прокл)</f>
        <v>1</v>
      </c>
      <c r="EB245">
        <f t="shared" si="462"/>
        <v>2</v>
      </c>
      <c r="EC245">
        <f>IFERROR(N(VLOOKUP(BZ245,Кабель_обозначение,3,FALSE)),1)</f>
        <v>1</v>
      </c>
      <c r="ED245">
        <f>IFERROR(N(_xlfn.XLOOKUP(A245,Щиты[Щит],Щиты[ΔU до шин, %])),0)</f>
        <v>1.19</v>
      </c>
      <c r="EE245" t="str">
        <f>IFERROR(_xlfn.XLOOKUP(A245,Щиты[Щит],Щиты[Zпетли на шинах, Ом]),"")</f>
        <v/>
      </c>
      <c r="EF245">
        <f>IFERROR(N(_xlfn.XLOOKUP(A245,Щиты[Щит],Щиты[ΔU до шин (подбор), %])),0)</f>
        <v>1.19</v>
      </c>
      <c r="EG245" t="str">
        <f>IFERROR(_xlfn.XLOOKUP(A245,Щиты[Щит],Щиты[Zпетли на шинах (подбор), Ом]),"")</f>
        <v/>
      </c>
      <c r="EH245" t="str">
        <f t="shared" si="463"/>
        <v/>
      </c>
      <c r="EI245">
        <f t="shared" si="464"/>
        <v>10</v>
      </c>
      <c r="EJ245">
        <f t="shared" si="465"/>
        <v>2</v>
      </c>
      <c r="EK245">
        <f t="shared" si="466"/>
        <v>0.31</v>
      </c>
      <c r="EL245" s="6">
        <f>IF(B245="","",IF(BV245=1,dU_LED,IF(IFERROR(_xlfn.XLOOKUP(BC245,Коды_код,Коды_уго),"")="Светильник",3,4)+IF(Методика="нормы 2026",MIN(0.5,MAX(0,N(P245)-100)*0.005),0)))</f>
        <v>4</v>
      </c>
      <c r="EM245" cm="1">
        <f t="array" ref="EM245">IF(OR(B245="",BZ245="",EC245&lt;&gt;1),"",_xlfn.LET(_xlpm.sz,Iдоп_S,_xlpm.t_,CHOOSE(EB245,Iдоп_1ж,Iдоп_2ж,Iдоп_3ж)*DZ245*EA245,_xlpm.dcx,BV245=1,_xlpm.inn,IF(_xlpm.dcx,N(O245),N(DT245)),_xlpm.smin,MAX(1.5,CC245),_xlpm.L_,N(P245)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245)/N(BU245)*100,999),IFERROR(N(EJ245)*(_xlpm.rho*_xlpm.L_/_xlpm.sz*N(CE245)+_xlpm.xx*_xlpm.L_*N(EK245)/1000)*N(O245)/((Uн_лин/SQRT(3))*1000)*100,999)),_xlpm.kz,IF(OR(_xlpm.dcx,DW245=1,NOT(ISNUMBER(EG245)),_xlpm.L_=0,_xlpm.inn=0),1,IFERROR(--(c_min*(Uн_лин*1000/SQRT(3))/(EG245+2*ρкз_Cu*_xlpm.L_/_xlpm.sz)&gt;=HT245*_xlpm.inn),0)),_xlpm.ok,IFERROR((_xlpm.sz&gt;=_xlpm.smin)*(_xlpm.t_&gt;=_xlpm.inn)*IF(_xlpm.L_&gt;0,(_xlpm.du_+IF(_xlpm.dcx,0,EF245)&lt;=EL245+0.00001),1)*_xlpm.kz,0),_xlpm.r_,_xlfn._xlws.FILTER(_xlpm.sz,_xlpm.ok,"не подобрано"),INDEX(_xlpm.r_,1)))</f>
        <v>1.5</v>
      </c>
      <c r="EN245">
        <f t="shared" si="467"/>
        <v>2.5</v>
      </c>
      <c r="EO245" cm="1">
        <f t="array" ref="EO245">IF(OR(B245="",BZ245="",EC245&lt;&gt;1),"",_xlfn.LET(_xlpm.sz,Iдоп_S,_xlpm.t_,CHOOSE(EB245,Iдоп_1ж,Iдоп_2ж,Iдоп_3ж)*DZ245*EA245,_xlpm.ok,IFERROR((_xlpm.sz&gt;=MAX(1.5,CC245))*(_xlpm.t_&gt;=N(DT245)),0),_xlpm.r_,_xlfn._xlws.FILTER(_xlpm.sz,_xlpm.ok,""),INDEX(_xlpm.r_,1)))</f>
        <v>1.5</v>
      </c>
      <c r="EP245" s="6" cm="1">
        <f t="array" ref="EP245">IFERROR(ROUNDUP(N(EJ245)*(_xlfn.XLOOKUP(EO245,INDEX(Кабель_сопротивление,0,1),INDEX(Кабель_сопротивление,0,3))*N(P245)/EO245*N(CE245)+_xlfn.XLOOKUP(EO245,INDEX(Кабель_сопротивление,0,1),INDEX(Кабель_сопротивление,0,2))*N(P245)*N(EK245)/1000)*N(O245)/((Uн_лин/SQRT(3))*1000)*100,2),"")</f>
        <v>0.09</v>
      </c>
      <c r="EQ245">
        <f>IFERROR(2*ρкз_Cu*N(P245)/EO245,"")</f>
        <v>0.45586666666666664</v>
      </c>
      <c r="ER245">
        <f>IFERROR(VLOOKUP(EN245,Кабель_сопротивление,3,FALSE),"")</f>
        <v>2.2499999999999999E-2</v>
      </c>
      <c r="ES245">
        <f>IFERROR(VLOOKUP(EN245,Кабель_сопротивление,2,FALSE),"")</f>
        <v>0.1</v>
      </c>
      <c r="ET245">
        <f t="shared" si="468"/>
        <v>0</v>
      </c>
      <c r="EU245">
        <f t="shared" si="469"/>
        <v>8</v>
      </c>
      <c r="EV245">
        <f t="shared" si="470"/>
        <v>0.12203081920214585</v>
      </c>
      <c r="EW245" s="6">
        <f>IFERROR(ROUNDUP(EV245/IF(BV245=1,BU245,(Uн_лин/SQRT(3))*1000)*100,2),"")</f>
        <v>6.0000000000000005E-2</v>
      </c>
      <c r="EX245" t="str">
        <f>IFERROR(VLOOKUP(BZ245,Кабель_обозначение,2,FALSE),"")</f>
        <v>ВВГнг(А)-LS</v>
      </c>
      <c r="EY245" t="str">
        <f t="shared" si="471"/>
        <v>ВВГнг(А)-LS (3х2,5)</v>
      </c>
      <c r="EZ245" t="str">
        <f t="shared" si="472"/>
        <v>ВВГнг(А)-LS (3х2,5)
L=13-0,06%</v>
      </c>
      <c r="FA245">
        <f>IFERROR(2*ρкз_Cu*P245/EN245,"")</f>
        <v>0.27351999999999999</v>
      </c>
      <c r="FB245">
        <f t="shared" si="473"/>
        <v>9.1000000000000011E-2</v>
      </c>
      <c r="FC245" s="6" t="str">
        <f>IFERROR(IF(OR(B245="",BV245=1,NOT(ISNUMBER(EN245)),N(P245)=0),"",_xlfn.XLOOKUP(A245,Щиты[Щит],Щиты[Zпетли на шинах, Ом])+FA245),"")</f>
        <v/>
      </c>
      <c r="FD245" s="6" t="str">
        <f>IF(ISNUMBER(FC245),c_min*(Uн_лин*1000/SQRT(3))/FC245,"")</f>
        <v/>
      </c>
      <c r="FE245" s="6" t="str">
        <f>IFERROR(IF(OR(B245="",NOT(ISNUMBER(EN245))),"",1.05*(Uн_лин*1000/SQRT(3))/(_xlfn.XLOOKUP(A245,Щиты[Щит],Щиты[Zmax на шинах, Ом])+FB245)/1000),"")</f>
        <v/>
      </c>
      <c r="FF245" s="6" t="str">
        <f>IF(B245="","",IF(ISNUMBER(AC245),"Сил",IF(IFERROR(_xlfn.XLOOKUP(BC245,Коды_код,Коды_группа)&amp;"","")="","Быт",_xlfn.XLOOKUP(BC245,Коды_код,Коды_группа)&amp;"")))</f>
        <v>Быт</v>
      </c>
      <c r="FG245" s="6" t="str">
        <f t="shared" si="474"/>
        <v>Быт</v>
      </c>
      <c r="FH245" s="6">
        <f>IF(FG245="Щит","щит",IF(FG245="","",IF(FG245="Быт",IFERROR(_xlfn.XLOOKUP(A245,Щиты[Щит],Щиты[Кс быт]),1),IF(FG245="Сил",IF(ISNUMBER(AC245),AC245,IF(Методика="нормы 2026",IFERROR(_xlfn.XLOOKUP(A245,Щиты[Щит],Щиты[Кс силовых (табл. 7.5)]),1),1)),IF(OR(FG245="Пост",FG245="Отоп"),1,IF(FG245="ВНГ",0.7,0))))))</f>
        <v>0.57830000000000004</v>
      </c>
      <c r="FI245">
        <f>IF(FG245="","",IF(AND(BP245=1,TRIM(AE245&amp;"")=""),IF(COUNTIFS(Линии[Щит],A245,Линии[Секция (1/2/3)],"&gt;=2")&gt;0,MIN(3,MAX(1,IFERROR(--BD245,1))),1),IFERROR(MIN(3,MAX(1,INT(--AE245))),1)))</f>
        <v>1</v>
      </c>
      <c r="FJ245">
        <f t="shared" si="475"/>
        <v>0.12</v>
      </c>
      <c r="FK245">
        <f t="shared" si="476"/>
        <v>0.12</v>
      </c>
      <c r="FL245">
        <f t="shared" si="477"/>
        <v>0</v>
      </c>
      <c r="FM245">
        <f t="shared" si="478"/>
        <v>0</v>
      </c>
      <c r="FN245">
        <f t="shared" si="479"/>
        <v>0</v>
      </c>
      <c r="FO245">
        <f t="shared" si="480"/>
        <v>0</v>
      </c>
      <c r="FP245">
        <f t="shared" si="481"/>
        <v>0.12</v>
      </c>
      <c r="FQ245">
        <f t="shared" si="482"/>
        <v>0.12</v>
      </c>
      <c r="FR245">
        <f t="shared" si="483"/>
        <v>0.11399999999999999</v>
      </c>
      <c r="FS245">
        <f>IF(CG245=1,IF(AND(CH245=1,CW245=1),0,IF(AND(CS245&lt;&gt;"",CS245=BA245,CW245=1),SUMIFS(Линии[_Р линии, кВт],Линии[_блок УЗО],BA245,Линии[Щит],A245),N(BS245)+IF(AJ245="вручную",0,N(CK245)))),0)</f>
        <v>0.12</v>
      </c>
      <c r="FT245" t="str">
        <f t="shared" si="484"/>
        <v/>
      </c>
      <c r="FU245" t="str">
        <f>IF(B245="","",IF(CG245=0,IF(BA245=1,"",FW244),IF(AND(CH245=1,CW245=1,CS245&lt;&gt;""),IFERROR(_xlfn.XLOOKUP(CS245,Линии[_n],Линии[_фаза итог]),"L1"),IF(OR(N(DL245)&gt;=3,N(BX245)&gt;=3),"L1,L2,L3",IFERROR(_xlfn.TEXTBEFORE(_xlfn.TEXTAFTER(_xlfn.XLOOKUP(A245,Щиты[Щит],Щиты[_фазы авто]),";"&amp;BA245&amp;":"),";"),"L1")))))</f>
        <v>L2</v>
      </c>
      <c r="FV245" t="str">
        <f t="shared" si="485"/>
        <v>L2</v>
      </c>
      <c r="FW245" t="str">
        <f t="shared" si="486"/>
        <v>L2</v>
      </c>
      <c r="FX245" cm="1">
        <f t="array" ref="FX245">IFERROR(IF(CD245=2,_xlfn.IFS(BX245=3,VLOOKUP(BS245,Справочная_двигатели,3,FALSE),BX245=1,VLOOKUP(BS245,Справочная_двигатели,5,TRUE)),0),0)</f>
        <v>0</v>
      </c>
      <c r="FY245">
        <f>IFERROR(IF(CD245=3,VLOOKUP(BS245,Справочная_ЛЭД,2,TRUE),0),0)</f>
        <v>0</v>
      </c>
      <c r="FZ245" s="6">
        <f t="shared" si="487"/>
        <v>0</v>
      </c>
      <c r="GA245" t="str">
        <f>IF(B245="","",IF(TRIM(AH245&amp;"")&lt;&gt;"",IF(LOWER(TRIM(AH245&amp;""))="да","да","нет"),IF(IFERROR(_xlfn.XLOOKUP(BC245,Коды_код,Коды_пожарная),"")="да","да","нет")))</f>
        <v>нет</v>
      </c>
      <c r="GB245" t="str">
        <f t="shared" si="488"/>
        <v/>
      </c>
      <c r="GC245" t="str">
        <f t="shared" si="489"/>
        <v>основная</v>
      </c>
      <c r="GD245">
        <f>IF(AND(BP245=1,TRIM(AE245&amp;"")=""),IF(COUNTIFS(Линии[Щит],A245,Линии[Секция (1/2/3)],"&gt;=2")&gt;0,MIN(3,MAX(1,IFERROR(--BD245,1))),1),IFERROR(MIN(3,MAX(1,INT(--AE245))),1))</f>
        <v>1</v>
      </c>
      <c r="GE245" t="str" cm="1">
        <f t="array" ref="GE245">IF(B245="","",_xlfn.LET(_xlpm.t,IFERROR(_xlfn.XLOOKUP(1,(Шины[Шина]=GC245)*(((Шины[Щит]=A245)+(Шины[Щит]=""))&gt;0),Шины[Тип]),"")&amp;"",IF(_xlpm.t&lt;&gt;"",_xlpm.t,IF(ISNUMBER(SEARCH("ИБП",GC245)),"ИБП",IF(ISNUMBER(SEARCH("ДГУ",GC245)),"ДГУ","Ввод "&amp;GD245)))))</f>
        <v>Ввод 1</v>
      </c>
      <c r="GF245" t="str">
        <f t="shared" si="490"/>
        <v>Ввод 1</v>
      </c>
      <c r="GG245" t="str">
        <f>IF(BP245=0,"",IF(TRIM(AG245&amp;"")&lt;&gt;"",TRIM(AG245&amp;""),IF(OR(GE245="ИБП",GE245="ДГУ"),"I особая",_xlfn.XLOOKUP(A245,Щиты[Щит],Щиты[Категория шины «Ввод»],"III"))))</f>
        <v/>
      </c>
      <c r="GH245" t="str">
        <f>IF(A245="","",_xlfn.XLOOKUP(A245,Щиты[Щит],Щиты[Путь],""))</f>
        <v>|ГРЩ-ЖД|ЩР-1|</v>
      </c>
      <c r="GI245" t="str">
        <f>IF(B245="","",IF(AI245&lt;&gt;"",AI245,IF(IFERROR(_xlfn.XLOOKUP(BC245,Коды_код,Коды_вид)&amp;"","")="","Прочее",_xlfn.XLOOKUP(BC245,Коды_код,Коды_вид)&amp;"")))</f>
        <v>Розеточная сеть и бытовые приборы</v>
      </c>
      <c r="GJ245">
        <f>IF(BM245="","",INT((BM245-1)/Столбцов_на_лист)+1)</f>
        <v>2</v>
      </c>
      <c r="GK245" t="str">
        <f t="shared" si="491"/>
        <v>ВВГнг(А)-LS (3х2,5) L=13-0,06%</v>
      </c>
      <c r="GL245">
        <f t="shared" si="492"/>
        <v>0.12</v>
      </c>
      <c r="GM245">
        <f t="shared" si="493"/>
        <v>0.55000000000000004</v>
      </c>
      <c r="GN245">
        <f t="shared" si="494"/>
        <v>1</v>
      </c>
      <c r="GO245">
        <f t="shared" si="495"/>
        <v>0</v>
      </c>
      <c r="GP245">
        <f t="shared" si="496"/>
        <v>1</v>
      </c>
      <c r="GQ245">
        <f>IF(BM245="","",IF(AND(CG245=1,GP245=1),COUNTIFS(A$3:A245,A245,CG$3:CG245,1,GP$3:GP245,1),IF(OR(OR(BA245=1,A245&lt;&gt;A244),AJ245="вручную",GP245=0),"",IF(BA245=1,"",GR244))))</f>
        <v>21</v>
      </c>
      <c r="GR245">
        <f t="shared" si="497"/>
        <v>21</v>
      </c>
      <c r="GS245">
        <f>IF(B245="","",IFERROR(LOOKUP(INDEX(CHOOSE(EB245,Iдоп_1ж,Iдоп_2ж,Iдоп_3ж),MATCH(EN245,Iдоп_S,0))*DZ245*EA245,{6,10,16,20,25,32,40,50,63,80,100,125,160,200,250,315,400,500,630}),""))</f>
        <v>25</v>
      </c>
      <c r="GT245" t="str">
        <f t="shared" si="498"/>
        <v>QFD21</v>
      </c>
      <c r="GU245" t="str">
        <f t="shared" si="499"/>
        <v>QFD21</v>
      </c>
      <c r="GV245" t="str">
        <f t="shared" si="500"/>
        <v/>
      </c>
      <c r="GW245">
        <f t="shared" si="501"/>
        <v>0</v>
      </c>
      <c r="GX245" t="str">
        <f>IF(OR(B245="",DJ245=""),"",IFERROR(_xlfn.XLOOKUP(DJ245,Модули_умолч[Управление],Модули_умолч[Модель])&amp;"",""))</f>
        <v/>
      </c>
      <c r="GY245">
        <f>IF(DJ245="",1,IFERROR(MAX(0,N(_xlfn.XLOOKUP(DJ245,Модули_умолч[Управление],Модули_умолч[Каналов на линию]))),1))</f>
        <v>1</v>
      </c>
      <c r="GZ245" t="str">
        <f t="shared" si="502"/>
        <v/>
      </c>
      <c r="HA245" t="str">
        <f t="shared" si="503"/>
        <v/>
      </c>
      <c r="HB245" t="str">
        <f t="shared" si="504"/>
        <v/>
      </c>
      <c r="HC245">
        <f>IF(HB245="",0,IFERROR(N(VLOOKUP(HB245,Модули_спр,3,FALSE)),0))</f>
        <v>0</v>
      </c>
      <c r="HD245" t="str">
        <f t="shared" si="505"/>
        <v/>
      </c>
      <c r="HE245" t="str">
        <f t="shared" si="506"/>
        <v/>
      </c>
      <c r="HF245" t="str">
        <f>IF(OR(HE245="",HE245="-"),"",IFERROR(VLOOKUP(HE245,Модули_спр,2,FALSE),"R"))</f>
        <v/>
      </c>
      <c r="HG245" t="str">
        <f>IF(HF245="","",HF245&amp;"."&amp;COUNTIFS(A$3:A245,A245,HF$3:HF245,HF245))</f>
        <v/>
      </c>
      <c r="HH245" t="str">
        <f t="shared" si="507"/>
        <v/>
      </c>
      <c r="HI245" t="str">
        <f t="shared" si="508"/>
        <v/>
      </c>
      <c r="HJ245" t="str">
        <f t="shared" si="509"/>
        <v/>
      </c>
      <c r="HK245" t="str">
        <f t="shared" si="510"/>
        <v/>
      </c>
      <c r="HL245">
        <f t="shared" si="511"/>
        <v>1</v>
      </c>
      <c r="HM245" t="str">
        <f>IF(HL245=1,"XT"&amp;COUNTIFS(A$3:A245,A245,HL$3:HL245,1),"")</f>
        <v>XT21</v>
      </c>
      <c r="HN245" t="str">
        <f t="shared" si="512"/>
        <v/>
      </c>
      <c r="HO245" t="str">
        <f t="shared" si="513"/>
        <v>QFD21</v>
      </c>
      <c r="HP245" t="str">
        <f t="shared" si="514"/>
        <v/>
      </c>
      <c r="HQ245" t="str">
        <f t="shared" si="515"/>
        <v>ok</v>
      </c>
      <c r="HR245" t="str">
        <f>IF(OR(HJ245="",HH245=""),"",IF(HJ245+MAX(0,GY245-1)&gt;IFERROR(VLOOKUP(HI245,Модули_спр,3,FALSE),99),"ЛИШНИЙ КАНАЛ",IF(AND(AL245&lt;&gt;"=",GY245&gt;0,COUNTIFS(Линии[_модуль гр.],HH245,Линии[Канал (итог)],HJ245,Линии[Канал],"&lt;&gt;=",Линии[Щит],A245)&gt;1),"ДУБЛЬ КАНАЛА","")))</f>
        <v/>
      </c>
      <c r="HS245" s="6" t="str">
        <f t="shared" si="516"/>
        <v/>
      </c>
      <c r="HT245">
        <f t="shared" si="517"/>
        <v>10</v>
      </c>
      <c r="HU245" t="str">
        <f t="shared" si="518"/>
        <v/>
      </c>
      <c r="HV245">
        <f t="shared" si="519"/>
        <v>0.34878536516659503</v>
      </c>
      <c r="HW245">
        <f t="shared" si="520"/>
        <v>0</v>
      </c>
      <c r="HX245">
        <f t="shared" si="521"/>
        <v>0</v>
      </c>
      <c r="HY245">
        <f t="shared" si="522"/>
        <v>0</v>
      </c>
      <c r="HZ245">
        <f t="shared" si="523"/>
        <v>0</v>
      </c>
      <c r="IA245">
        <f t="shared" si="524"/>
        <v>0</v>
      </c>
      <c r="IB245">
        <f t="shared" si="525"/>
        <v>0</v>
      </c>
      <c r="IC245" t="str">
        <f t="shared" si="526"/>
        <v/>
      </c>
      <c r="ID245" t="str" cm="1">
        <f t="array" ref="ID245">IF(IC245="","",_xlfn.LET(_xlpm.tk,_xlfn.TEXTSPLIT(SUBSTITUTE(SUBSTITUTE(IC245,";"," "),"→"," ")," ",,TRUE),_xlpm.w_,_xlfn._xlws.FILTER(_xlpm.tk,ISNUMBER(--LEFT(_xlpm.tk,1))*((ISNUMBER(SEARCH("W",_xlpm.tk))+ISNUMBER(SEARCH("Вт",_xlpm.tk)))&gt;0),""),IFERROR(--SUBSTITUTE(SUBSTITUTE(UPPER(INDEX(_xlpm.w_,1)),"W",""),"ВТ",""),"")))</f>
        <v/>
      </c>
      <c r="IE245" t="str" cm="1">
        <f t="array" ref="IE245">IF(IC245="","",_xlfn.LET(_xlpm.tk,_xlfn.TEXTSPLIT(SUBSTITUTE(SUBSTITUTE(IC245,";"," "),"→"," ")," ",,TRUE),_xlpm.v_,_xlfn._xlws.FILTER(_xlpm.tk,ISNUMBER(--LEFT(_xlpm.tk,1))*((ISNUMBER(SEARCH("V",_xlpm.tk))+(RIGHT(UPPER(_xlpm.tk))="В"))&gt;0),""),IFERROR(--SUBSTITUTE(SUBSTITUTE(UPPER(INDEX(_xlpm.v_,1)),"V",""),"В",""),"")))</f>
        <v/>
      </c>
      <c r="IF245" s="6" t="str">
        <f>IF(OR(BV245=0,HI245="",HJ245=""),"",IFERROR(N(_xlfn.XLOOKUP(HI245,Каталог!$C$4:$C$500,Каталог!$Q$4:$Q$500)),""))</f>
        <v/>
      </c>
      <c r="IG245" s="6" t="str">
        <f>IF(N(IF245)=0,"",SUMIFS(Линии[Iр, А],Линии[Щит],A245,Линии[_модуль гр.],HH245,Линии[Канал (итог)],HJ245))</f>
        <v/>
      </c>
      <c r="IH245" t="str">
        <f>IF(AND(B245="",HO245=""),"",_xlfn.TEXTJOIN("; ",TRUE,IF(AND(B245&lt;&gt;"",FV245=""),"нет фазы",""),IF(AND(B245&lt;&gt;"",N(GL245)=0,FG245&lt;&gt;"Нет"),"нет мощности",""),IF(AND(HN245&lt;&gt;"",COUNTIFS(Линии[Щит],A245,Линии[Клемма (итог)],HN245)&gt;1),"дубль клеммы "&amp;HN245,""),IF(AND(HQ245&lt;&gt;"",HQ245&lt;&gt;"ok"),HQ245,""),IF(HR245&lt;&gt;"",HR245,""),IF(AND(N(CB245)&gt;=4,N(BX245)=1),CB245&amp;" жил на 1 фазе",""),IF(AND(BC245="R",CG245=1,IF(CS245&lt;&gt;"",N(CV245)&gt;30,OR(N(DA245)=0,N(DA245)&gt;30))),"розетка без дифзащиты до 30 мА",""),IF(AND(CG245=1,N(DA245)&gt;0,ISNUMBER(T245)),IF(T245&gt;N(DA245)/3,"ток утечки "&amp;FIXED(T245,1)&amp;" мА &gt; 1/3 уставки ("&amp;DA245&amp;" мА)",""),""),IF(AND(CH245=1,CS245=""),"«узо»: нет строки с УЗО выше (УЗО 2P 40А 30мА в «Аппаратах»)",""),IF(AND(CS245&lt;&gt;"",CS245=BA245),IF(CT245="","впишите номинал УЗО (УЗО 2P 40А 30мА)",IF(N(CT245)&lt;N(DT245),"УЗО "&amp;CT245&amp;" А &lt; автомата "&amp;DT245&amp;" А перед ним",IF(N(CT245)&lt;N(CX245),"УЗО "&amp;CT245&amp;" А &lt; тока блока "&amp;FIXED(CX245,1)&amp;" А",""))),""),IF(AND(CS245&lt;&gt;"",CS245=BA245,ISNUMBER(CY245)),IF(CY245&gt;N(CV245)/3,"ток утечки блока УЗО "&amp;FIXED(CY245,1)&amp;" мА &gt; 1/3 уставки ("&amp;CV245&amp;" мА)",""),""),IF(AND(CG245=1,N(BV245)+N(IB245)&gt;0,IC245=""),"линии до 50 В без БП: впишите в «Аппараты» (БП 24V 480W)",""),IF(AND(CG245=1,ISNUMBER(ID245),ISNUMBER(U245)),IF(U245&gt;ID245,"БП "&amp;ID245&amp;" Вт &lt; нужно "&amp;U245&amp;" Вт (×"&amp;Запас_БП&amp;")",""),""),IF(AND(CG245=1,ISNUMBER(IE245),N(BV245)=1),IF(IE245&lt;&gt;N(BU245),"БП на "&amp;IE245&amp;" В, линия "&amp;BU245&amp;" В",""),""),IF(AND(N(IF245)&gt;0,N(IG245)&gt;N(IF245)),HH245&amp;" канал "&amp;HJ245&amp;": "&amp;FIXED(IG245,1)&amp;" А &gt; "&amp;IF245&amp;" А",""),IFERROR(IF(AND(ISNUMBER(Q245),Q245&gt;EL245),"потери "&amp;FIXED(Q245,1)&amp;" % &gt; "&amp;EL245&amp;" %",""),""),IFERROR(IF(LEFT(HU245,4)="мало","Iкз мало — отключение &gt; 0,4 с",""),""),IF(AND(B245&lt;&gt;"",BM245=""),"не на схеме",""),IF(AND(CG245=0,B245&lt;&gt;"",FV245&lt;&gt;"",IF(BA245=1,"",FW244)&lt;&gt;"",FV245&lt;&gt;IF(BA245=1,"",FW244)),"фаза не как у автомата группы ("&amp;IF(BA245=1,"",FW244)&amp;")","")))</f>
        <v/>
      </c>
      <c r="II245" s="6">
        <f>IF(OR(CG245=0,DQ245=""),"",_xlfn.LET(_xlpm.t,IFERROR(_xlfn.XLOOKUP(DQ245,Каталог!$U$4:$U$500,Каталог!$G$4:$G$500),""),_xlpm.k,SEARCH("кА",_xlpm.t),IFERROR(--TRIM(RIGHT(SUBSTITUTE(MID(_xlpm.t,MAX(1,_xlpm.k-4),_xlpm.k-MAX(1,_xlpm.k-4))," ",REPT(" ",9)),5)),"")))</f>
        <v>6</v>
      </c>
      <c r="IJ245" t="str">
        <f>IF(OR(II245="",CG245=0),"",IF(_xlfn.XLOOKUP(A245,Щиты[Щит],Щиты[Iкз max на шинах, кА],"")="","",IF(II245&lt;_xlfn.XLOOKUP(A245,Щиты[Щит],Щиты[Iкз max на шинах, кА]),"Icu "&amp;II245&amp;" кА &lt; Iкз max","ok")))</f>
        <v/>
      </c>
      <c r="IK245" t="str">
        <f t="shared" si="527"/>
        <v/>
      </c>
      <c r="IL245" t="str">
        <f t="shared" si="528"/>
        <v>QFD21</v>
      </c>
      <c r="IM245" t="str">
        <f t="shared" si="529"/>
        <v>QFD21|кабель ВВГнг(А)-LS (3х2,5) → Розеточная группа, пом. 003Б</v>
      </c>
      <c r="IN245" t="str" cm="1">
        <f t="array" ref="IN245">IF(IM245="","",_xlfn.LET(_xlpm.nd,_xlfn.TEXTSPLIT(IM245,"|"),IF(COLUMNS(_xlpm.nd)&gt;1,A245&amp;"¦"&amp;INDEX(_xlpm.nd,1)&amp;"¦"&amp;INDEX(_xlpm.nd,2),"")))</f>
        <v>ЩР-1¦QFD21¦кабель ВВГнг(А)-LS (3х2,5) → Розеточная группа, пом. 003Б</v>
      </c>
      <c r="IO245" t="str">
        <f t="shared" si="530"/>
        <v>R.1.003Б.2¦Розеточная группа, пом. 003Б</v>
      </c>
      <c r="IP245" t="str" cm="1">
        <f t="array" ref="IP245">IF(IM245="","",_xlfn.LET(_xlpm.nd,_xlfn.TEXTSPLIT(IM245,"|"),IF(COLUMNS(_xlpm.nd)&gt;2,A245&amp;"¦"&amp;INDEX(_xlpm.nd,2)&amp;"¦"&amp;INDEX(_xlpm.nd,3),"")))</f>
        <v/>
      </c>
      <c r="IQ245" t="str">
        <f t="shared" si="531"/>
        <v/>
      </c>
      <c r="IR245" t="str" cm="1">
        <f t="array" ref="IR245">IF(IM245="","",_xlfn.LET(_xlpm.nd,_xlfn.TEXTSPLIT(IM245,"|"),IF(COLUMNS(_xlpm.nd)&gt;3,A245&amp;"¦"&amp;INDEX(_xlpm.nd,3)&amp;"¦"&amp;INDEX(_xlpm.nd,4),"")))</f>
        <v/>
      </c>
      <c r="IS245" t="str">
        <f t="shared" si="532"/>
        <v/>
      </c>
      <c r="IT245" t="str" cm="1">
        <f t="array" ref="IT245">IF(IM245="","",_xlfn.LET(_xlpm.nd,_xlfn.TEXTSPLIT(IM245,"|"),IF(COLUMNS(_xlpm.nd)&gt;4,A245&amp;"¦"&amp;INDEX(_xlpm.nd,4)&amp;"¦"&amp;INDEX(_xlpm.nd,5),"")))</f>
        <v/>
      </c>
      <c r="IU245" t="str">
        <f t="shared" si="533"/>
        <v/>
      </c>
      <c r="IV245" t="str" cm="1">
        <f t="array" ref="IV245">IF(IM245="","",_xlfn.LET(_xlpm.nd,_xlfn.TEXTSPLIT(IM245,"|"),IF(COLUMNS(_xlpm.nd)&gt;5,A245&amp;"¦"&amp;INDEX(_xlpm.nd,5)&amp;"¦"&amp;INDEX(_xlpm.nd,6),"")))</f>
        <v/>
      </c>
      <c r="IW245" t="str">
        <f t="shared" si="534"/>
        <v/>
      </c>
      <c r="IX245" t="str" cm="1">
        <f t="array" ref="IX245">IF(IM245="","",_xlfn.LET(_xlpm.nd,_xlfn.TEXTSPLIT(IM245,"|"),IF(COLUMNS(_xlpm.nd)&gt;6,A245&amp;"¦"&amp;INDEX(_xlpm.nd,6)&amp;"¦"&amp;INDEX(_xlpm.nd,7),"")))</f>
        <v/>
      </c>
      <c r="IY245" t="str">
        <f t="shared" si="535"/>
        <v/>
      </c>
      <c r="IZ245" t="str">
        <f t="shared" si="536"/>
        <v/>
      </c>
      <c r="JA245" t="str">
        <f t="shared" si="537"/>
        <v>QFD21</v>
      </c>
      <c r="JB245">
        <f t="shared" si="538"/>
        <v>0</v>
      </c>
      <c r="JC245">
        <f t="shared" si="539"/>
        <v>1</v>
      </c>
      <c r="JD245" t="str">
        <f t="shared" si="540"/>
        <v/>
      </c>
      <c r="JE245" t="str">
        <f t="shared" si="541"/>
        <v/>
      </c>
      <c r="JF245" t="str">
        <f t="shared" si="542"/>
        <v/>
      </c>
      <c r="JG245" t="str">
        <f t="shared" si="543"/>
        <v/>
      </c>
      <c r="JH245" t="str">
        <f>IF(B245="","",IFERROR(_xlfn.XLOOKUP(B245,Коды_код,Коды_уго),IFERROR(_xlfn.XLOOKUP(BC245,Коды_код,Коды_уго),IFERROR(_xlfn.XLOOKUP(LEFT(BC245,2),Коды_код,Коды_уго),""))))</f>
        <v>Розетка</v>
      </c>
      <c r="JI245" t="str">
        <f>IF(B245="","",IF(OR(JH245="",JH245=0),"BOX",IFERROR(IF(VLOOKUP(JH245,УГО_блоки,3,FALSE)&amp;""&lt;&gt;"",VLOOKUP(JH245,УГО_блоки,3,FALSE),VLOOKUP(JH245,УГО_блоки,2,FALSE)),JH245)))</f>
        <v>SOCKET</v>
      </c>
      <c r="JJ245">
        <f t="shared" si="544"/>
        <v>1</v>
      </c>
      <c r="JK245" t="str">
        <f>IF(DQ245="","",IF(COUNTIF(DQ$3:DQ245,DQ245)=1,MAX(JK$2:JK244)+1,""))</f>
        <v/>
      </c>
      <c r="JL245" t="str">
        <f>IF(DE245="","",IF(COUNTIF(DE$3:DE245,DE245)+COUNTIF(DF$2:DF244,DE245)+COUNTIF(DG$2:DG244,DE245)=1,MAX(JL$2:JN244)+1,""))</f>
        <v/>
      </c>
      <c r="JM245" t="str">
        <f>IF(DF245="","",IF(COUNTIF(DE$3:DE245,DF245)+COUNTIF(DF$3:DF245,DF245)+COUNTIF(DG$2:DG244,DF245)=1,MAX(JL$2:JN244,JL245)+1,""))</f>
        <v/>
      </c>
      <c r="JN245" t="str">
        <f>IF(DG245="","",IF(COUNTIF(DE$3:DE245,DG245)+COUNTIF(DF$3:DF245,DG245)+COUNTIF(DG$3:DG245,DG245)=1,MAX(JL$2:JN244,JL245,JM245)+1,""))</f>
        <v/>
      </c>
      <c r="JO245" t="str">
        <f t="shared" si="545"/>
        <v>3х2,5</v>
      </c>
      <c r="JP245" t="str">
        <f>IF(JO245="","",IF(COUNTIF(JO$3:JO245,JO245)=1,MAX(JP$2:JP244)+1,""))</f>
        <v/>
      </c>
      <c r="JQ245" t="str">
        <f>IF(HG245="","",COUNTIF(HG$3:HG245,"?*"))</f>
        <v/>
      </c>
      <c r="JR245" t="str">
        <f>IF(OR(HG245="",HI245=""),"",IF(COUNTIFS(HG$3:HG245,"?*",HI$3:HI245,HI245)=1,MAX(JR$2:JR244)+1,""))</f>
        <v/>
      </c>
      <c r="JS245">
        <f t="shared" si="546"/>
        <v>0</v>
      </c>
      <c r="JT245">
        <f>IF(B245="","",COUNTIF(B$3:B245,"?*"))</f>
        <v>243</v>
      </c>
      <c r="JU245">
        <f>IF(HL245&lt;&gt;1,0,_xlfn.LET(_xlpm.k,MAX(IFERROR(--_xlfn.XLOOKUP(B245,Коды_код,Коды_3L),0),IFERROR(--_xlfn.XLOOKUP(BC245,Коды_код,Коды_3L),0),IFERROR(--_xlfn.XLOOKUP(LEFT(BC245,2),Коды_код,Коды_3L),0)),IF(_xlpm.k&gt;0,_xlpm.k,IF(IFERROR(--LEFT(SUBSTITUTE(JO245,"x","х"),FIND("х",SUBSTITUTE(JO245,"x","х"))-1),3)&gt;3,Каталог!$S$9,1))))</f>
        <v>1</v>
      </c>
      <c r="JV245">
        <f t="shared" si="547"/>
        <v>0</v>
      </c>
      <c r="JW245" t="str">
        <f t="shared" si="548"/>
        <v>авто</v>
      </c>
      <c r="JX245">
        <f t="shared" si="549"/>
        <v>30</v>
      </c>
      <c r="JY245">
        <f t="shared" si="550"/>
        <v>1</v>
      </c>
      <c r="JZ245">
        <f t="shared" si="551"/>
        <v>1</v>
      </c>
    </row>
    <row r="246" spans="1:286" x14ac:dyDescent="0.3">
      <c r="A246" t="s">
        <v>757</v>
      </c>
      <c r="B246" t="s">
        <v>1552</v>
      </c>
      <c r="C246" t="str">
        <f>Линии[[#This Row],[_авто наименование]]</f>
        <v>Розеточная группа, пом. 003Г</v>
      </c>
      <c r="D246">
        <v>1</v>
      </c>
      <c r="E246">
        <v>0.06</v>
      </c>
      <c r="G246" t="str">
        <f>Линии[[#This Row],[_авто автомат]]</f>
        <v>2P С16А 30мА</v>
      </c>
      <c r="H246" t="str">
        <f>Линии[[#This Row],[_авто управление]]</f>
        <v/>
      </c>
      <c r="I246" t="str">
        <f>Линии[[#This Row],[_авто аппараты]]</f>
        <v/>
      </c>
      <c r="J246">
        <v>2.5</v>
      </c>
      <c r="K246">
        <v>29</v>
      </c>
      <c r="L246" t="str">
        <f>Линии[[#This Row],[_авто фаза]]</f>
        <v>L2</v>
      </c>
      <c r="M246" t="s">
        <v>484</v>
      </c>
      <c r="N246" t="str">
        <f t="shared" si="414"/>
        <v/>
      </c>
      <c r="O246" s="6" cm="1">
        <f t="array" ref="O246">IF(B246="","",IF(BH246&lt;&gt;"",IFERROR(_xlfn.XLOOKUP(BH246,Щиты[Щит],Щиты[Iр, А]),""),IF(BP246=1,IF(OR(N(_xlfn.XLOOKUP(A246,Щиты[Щит],Щиты[Вводов],1))&lt;=1,LOWER(TRIM(_xlfn.XLOOKUP(A246,Щиты[Щит],Щиты[АВР],"")&amp;""))="да"),IFERROR(_xlfn.XLOOKUP(A246,Щиты[Щит],Щиты[Iр, А]),""),IFERROR(N(BS246)*_xlfn.XLOOKUP(A246,Щиты[Щит],Щиты[Кс итог])/(SQRT(3)*Uн_лин*_xlfn.XLOOKUP(A246,Щиты[Щит],Щиты[cos φ])),"")),IF(BV246=1,IFERROR(BS246*1000/BU246,""),IFERROR(_xlfn.IFS(BX246=1,BS246/((Uн_лин/SQRT(3))*CE246),BX246=3,BS246/(SQRT(3)*Uн_лин*CE246)),"")))))</f>
        <v>0.27348170645824377</v>
      </c>
      <c r="P246" s="7">
        <f>IF(B246="","",IFERROR(IF(VLOOKUP(BC246,Потребители_обозначение,4,FALSE)=1,VLOOKUP(BC246,Потребители_обозначение,3,FALSE)*(MAX(1,N(D246))*2-1)+EI246+VLOOKUP(BE246,Этаж_обозначение,3,FALSE)+VLOOKUP(BE246,Этаж_обозначение,4,FALSE),VLOOKUP(BC246,Потребители_обозначение,3,FALSE)*(MAX(1,N(D246))*2-1)+EI246),EI246))</f>
        <v>32</v>
      </c>
      <c r="Q246" s="6">
        <f t="shared" si="415"/>
        <v>1.26</v>
      </c>
      <c r="R246" t="str">
        <f t="shared" si="416"/>
        <v>ВВГнг(А)-LS (3х2,5)</v>
      </c>
      <c r="S246" t="str">
        <f>IF(BM246="","",IF(BN246="вводной узел","узел ","")&amp;"л."&amp;(INT((BM246-1)/Столбцов_на_лист)+1)&amp;" / "&amp;(MOD(BM246-1,Столбцов_на_лист)+1))</f>
        <v>л.2 / 15</v>
      </c>
      <c r="T246" s="119">
        <f t="shared" si="417"/>
        <v>0.4</v>
      </c>
      <c r="U246" s="7" t="str">
        <f>IF(OR(CG246=0,N(BV246)+N(IB246)=0),"",ROUNDUP(Запас_БП*(N(HY246)+N(HZ246)),0))</f>
        <v/>
      </c>
      <c r="V246" s="119" t="str">
        <f t="shared" si="418"/>
        <v/>
      </c>
      <c r="W246" s="7" t="str">
        <f>IFERROR(IF(OR(B246="",BP246=1,BV246=1,NOT(ISNUMBER(EN246)),N(DT246)=0),"",MAX(0,ROUNDDOWN((c_min*(Uн_лин*1000/SQRT(3))/(HT246*N(DT246))-_xlfn.XLOOKUP(A246,Щиты[Щит],Щиты[Zпетли на шинах, Ом]))*EN246/(2*ρкз_Cu),0))),"")</f>
        <v/>
      </c>
      <c r="Y246">
        <f>Линии[[#This Row],[_авто утечка]]</f>
        <v>30</v>
      </c>
      <c r="Z246">
        <v>1</v>
      </c>
      <c r="AA246">
        <v>230</v>
      </c>
      <c r="AB246" t="s">
        <v>562</v>
      </c>
      <c r="AG246" t="s">
        <v>810</v>
      </c>
      <c r="AI246" t="s">
        <v>561</v>
      </c>
      <c r="AK246" t="str">
        <f>Линии[[#This Row],[_авто модуль]]</f>
        <v/>
      </c>
      <c r="AM246">
        <v>32</v>
      </c>
      <c r="AN246" t="s">
        <v>11</v>
      </c>
      <c r="AO246">
        <v>3</v>
      </c>
      <c r="AQ246">
        <v>6</v>
      </c>
      <c r="AR246">
        <v>26</v>
      </c>
      <c r="AS246">
        <v>0</v>
      </c>
      <c r="BA246" cm="1">
        <f t="array" ref="BA246">ROW()-ROW(Линии[#Headers])</f>
        <v>244</v>
      </c>
      <c r="BC246" s="6" t="str">
        <f t="shared" si="419"/>
        <v>R</v>
      </c>
      <c r="BD246" t="str">
        <f t="shared" si="420"/>
        <v>1.003Г.1</v>
      </c>
      <c r="BE246" t="str">
        <f t="shared" si="421"/>
        <v>1</v>
      </c>
      <c r="BF246" t="str">
        <f t="shared" si="422"/>
        <v>003Г.1</v>
      </c>
      <c r="BG246" t="str">
        <f t="shared" si="423"/>
        <v>003Г</v>
      </c>
      <c r="BH246" t="str">
        <f>IF(X246&lt;&gt;"",X246,IF(AND(B246&lt;&gt;"",B246&lt;&gt;A246,ISNUMBER(_xlfn.XMATCH(B246,Щиты[Щит]))),B246,""))</f>
        <v/>
      </c>
      <c r="BI246" t="str" cm="1">
        <f t="array" ref="BI246">IF(B246="","",IF(BH246&lt;&gt;"","Щит "&amp;BH246,_xlfn.LET(_xlpm.nm,IFERROR(_xlfn.XLOOKUP(BC246,Коды_код,Коды_имя)&amp;"",""),_xlpm.md,IFERROR(N(_xlfn.XLOOKUP(BC246,Коды_код,Коды_режим)),1),_xlpm.ex,IF(Имя_режим="по экспликации",IFERROR(_xlfn.XLOOKUP(BE246&amp;"|"&amp;BG246,Экспликация[Этаж]&amp;"|"&amp;Экспликация[Помещение],Экспликация[Название])&amp;"",""),""),_xlpm.rm,IF(BG246="","",IF(_xlpm.ex&lt;&gt;"",". "&amp;_xlpm.ex&amp;IF(Имя_пом="нет"," ("&amp;BG246&amp;")"," (пом. "&amp;BG246&amp;")"),IF(Имя_пом="нет"," ",", пом. ")&amp;BG246)),IF(_xlpm.nm="","",IF(_xlpm.md=2,_xlpm.nm&amp;" шлейф "&amp;BE246,_xlpm.nm&amp;_xlpm.rm)))))</f>
        <v>Розеточная группа, пом. 003Г</v>
      </c>
      <c r="BJ246" t="str">
        <f t="shared" si="424"/>
        <v>Розеточная группа, пом. 003Г</v>
      </c>
      <c r="BK246">
        <f>IFERROR(_xlfn.XMATCH(A246,Щиты[Щит]),0)</f>
        <v>10</v>
      </c>
      <c r="BL246">
        <f>_xlfn.LET(_xlpm.k,IFERROR(_xlfn.XLOOKUP(A246,Щиты[Щит],Щиты[Мест под вводной узел]),""),IF(_xlpm.k="",Столбцов_на_лист,N(_xlpm.k)))</f>
        <v>8</v>
      </c>
      <c r="BM246">
        <f t="shared" si="425"/>
        <v>32</v>
      </c>
      <c r="BN246" t="str">
        <f t="shared" si="426"/>
        <v>линии</v>
      </c>
      <c r="BO246" s="6">
        <f>IFERROR(N(_xlfn.XLOOKUP(BC246,Коды_код,Коды_квт)),0)</f>
        <v>0</v>
      </c>
      <c r="BP246">
        <f t="shared" si="427"/>
        <v>0</v>
      </c>
      <c r="BQ246" t="str">
        <f>IF(B246="","",IF(BH246&lt;&gt;"",IFERROR(_xlfn.XLOOKUP(BH246,Щиты[Щит],Щиты[Руст, кВт]),0),IF(BP246=1,IF(OR(N(_xlfn.XLOOKUP(A246,Щиты[Щит],Щиты[Вводов],1))&lt;=1,LOWER(TRIM(_xlfn.XLOOKUP(A246,Щиты[Щит],Щиты[АВР],"")&amp;""))="да"),IFERROR(_xlfn.XLOOKUP(A246,Щиты[Щит],Щиты[Руст, кВт]),0),SUMIFS(Линии[_Р для вводов],Линии[Щит],A246,Линии[Источник для режимов],GF246)),IF(BO246&gt;0,ROUND(BO246*MAX(1,N(D246)),3),""))))</f>
        <v/>
      </c>
      <c r="BR246">
        <f t="shared" si="428"/>
        <v>0.06</v>
      </c>
      <c r="BS246" s="6">
        <f>IF(B246="","",IF(BH246&lt;&gt;"",IFERROR(_xlfn.XLOOKUP(BH246,Щиты[Щит],Щиты[Руст, кВт]),0),N(BR246)))</f>
        <v>0.06</v>
      </c>
      <c r="BT246" t="str">
        <f>IF(B246="","",IFERROR(IF(VLOOKUP(BC246,Потребители_обозначение,8,FALSE)=0,"",VLOOKUP(BC246,Потребители_обозначение,8,FALSE)),""))</f>
        <v/>
      </c>
      <c r="BU246">
        <f t="shared" si="429"/>
        <v>230</v>
      </c>
      <c r="BV246">
        <f t="shared" si="430"/>
        <v>0</v>
      </c>
      <c r="BW246">
        <f>IF(B246="","",IF(BH246&lt;&gt;"",3,IFERROR(IF(N(VLOOKUP(BC246,Потребители_обозначение,9,FALSE))=0,1,VLOOKUP(BC246,Потребители_обозначение,9,FALSE)),1)))</f>
        <v>1</v>
      </c>
      <c r="BX246">
        <f t="shared" si="431"/>
        <v>1</v>
      </c>
      <c r="BY246" t="str">
        <f>IF(B246="","",_xlfn.LET(_xlpm.bc,IFERROR(IF(VLOOKUP(BC246,Потребители_обозначение,6,FALSE)=0,"",VLOOKUP(BC246,Потребители_обозначение,6,FALSE)&amp;""),""),IF(AND(GA246="да",OR(_xlpm.bc="",_xlpm.bc="мс")),Марка_пож,IF(AND(_xlpm.bc="",BH246&lt;&gt;""),"мс",_xlpm.bc))))</f>
        <v/>
      </c>
      <c r="BZ246" t="str">
        <f t="shared" si="432"/>
        <v>мс</v>
      </c>
      <c r="CA246">
        <f>IF(B246="","",_xlfn.LET(_xlpm.cc,IFERROR(N(VLOOKUP(BC246,Потребители_обозначение,7,FALSE)),0),IF(_xlpm.cc&gt;0,_xlpm.cc,IF(BZ246="","",IF(BV246=1,2,IF(N(BX246)=3,5,3))))))</f>
        <v>3</v>
      </c>
      <c r="CB246">
        <f t="shared" si="433"/>
        <v>3</v>
      </c>
      <c r="CC246">
        <f>IFERROR(N(VLOOKUP(BC246,Потребители_обозначение,10,FALSE)),0)</f>
        <v>0</v>
      </c>
      <c r="CD246">
        <f>IFERROR(VLOOKUP(BC246,Потребители_обозначение,5,FALSE),0)</f>
        <v>1</v>
      </c>
      <c r="CE246" s="6" cm="1">
        <f t="array" ref="CE246">IF(B246="","",IF(BH246&lt;&gt;"",IFERROR(_xlfn.XLOOKUP(BH246,Щиты[Щит],Щиты[cos φ]),0.95),IF(BP246=1,IFERROR(_xlfn.XLOOKUP(A246,Щиты[Щит],Щиты[cos φ]),0.95),IF(ISNUMBER(AD246),AD246,IFERROR(IF(CD246=2,_xlfn.IFS(BX246=3,VLOOKUP(BS246,Справочная_двигатели,8,FALSE),BX246=1,VLOOKUP(BS246,Справочная_двигатели,10,TRUE)),IF(AND(Методика="нормы 2026",FG246="Сил"),0.8,0.95)),0.95)))))</f>
        <v>0.95</v>
      </c>
      <c r="CF246">
        <f t="shared" si="434"/>
        <v>0</v>
      </c>
      <c r="CG246">
        <f t="shared" si="435"/>
        <v>1</v>
      </c>
      <c r="CH246">
        <f t="shared" si="436"/>
        <v>0</v>
      </c>
      <c r="CI246">
        <f>IF(B246="","",IF(BV246=1,IFERROR(BS246/((Uн_лин/SQRT(3))*MAX(0.5,N(CE246))),0),N(O246)))</f>
        <v>0.27348170645824377</v>
      </c>
      <c r="CJ246">
        <f t="shared" si="437"/>
        <v>0</v>
      </c>
      <c r="CK246">
        <f t="shared" si="438"/>
        <v>0</v>
      </c>
      <c r="CL246">
        <f t="shared" si="439"/>
        <v>0</v>
      </c>
      <c r="CM246">
        <f t="shared" si="440"/>
        <v>0</v>
      </c>
      <c r="CN246">
        <f t="shared" si="441"/>
        <v>0</v>
      </c>
      <c r="CO246">
        <f>IF(BC246="",0,_xlfn.LET(_xlpm.v,IFERROR(_xlfn.XLOOKUP(B246,Коды_код,Коды_мА),IFERROR(_xlfn.XLOOKUP(BC246,Коды_код,Коды_мА),IFERROR(_xlfn.XLOOKUP(LEFT(BC246,2),Коды_код,Коды_мА),""))),IF(_xlpm.v="да",30,IF(ISNUMBER(_xlpm.v),_xlpm.v,0))))</f>
        <v>30</v>
      </c>
      <c r="CP246">
        <f t="shared" si="442"/>
        <v>30</v>
      </c>
      <c r="CQ246" t="str">
        <f>_xlfn.LET(_xlpm.k,IFERROR(_xlfn.XLOOKUP(BC246,Коды_код,Коды_утечка)&amp;"",""),IF(_xlpm.k="","дифавтомат",_xlpm.k))</f>
        <v>дифавтомат</v>
      </c>
      <c r="CR246" t="str" cm="1">
        <f t="array" ref="CR246">IF(CG246=0,"",_xlfn.LET(_xlpm.sg,TRIM(_xlfn.TEXTSPLIT(DD246&amp;"",";")),_xlpm.f_,_xlfn._xlws.FILTER(_xlpm.sg,LEFT(_xlpm.sg,3)="УЗО",""),IFERROR(INDEX(_xlpm.f_,1)&amp;"","")))</f>
        <v/>
      </c>
      <c r="CS246" t="str">
        <f t="shared" si="443"/>
        <v/>
      </c>
      <c r="CT246" s="6" t="str" cm="1">
        <f t="array" ref="CT246">IF(CR246="","",_xlfn.LET(_xlpm.tk,_xlfn.TEXTSPLIT(UPPER(CR246)," ",,TRUE),_xlpm.a_,_xlfn._xlws.FILTER(_xlpm.tk,ISNUMBER(--LEFT(_xlpm.tk,1))*((ISNUMBER(SEARCH("А",_xlpm.tk))+ISNUMBER(SEARCH("A",_xlpm.tk)))&gt;0)*NOT(ISNUMBER(SEARCH("МА",_xlpm.tk)))*NOT(ISNUMBER(SEARCH("MA",_xlpm.tk))),""),IFERROR(--SUBSTITUTE(SUBSTITUTE(INDEX(_xlpm.a_,1),"А",""),"A",""),"")))</f>
        <v/>
      </c>
      <c r="CU246" t="str" cm="1">
        <f t="array" ref="CU246">IF(CR246="","",_xlfn.LET(_xlpm.tk,_xlfn.TEXTSPLIT(UPPER(CR246)," ",,TRUE),_xlpm.a_,_xlfn._xlws.FILTER(_xlpm.tk,ISNUMBER(--LEFT(_xlpm.tk,1))*((ISNUMBER(SEARCH("МА",_xlpm.tk))+ISNUMBER(SEARCH("MA",_xlpm.tk)))&gt;0),""),IFERROR(--SUBSTITUTE(SUBSTITUTE(INDEX(_xlpm.a_,1),"МА",""),"MA",""),30)))</f>
        <v/>
      </c>
      <c r="CV246" t="str">
        <f>IF(CS246="","",IFERROR(_xlfn.XLOOKUP(CS246,Линии[_n],Линии[_УЗО, мА]),30))</f>
        <v/>
      </c>
      <c r="CW246">
        <f>IF(CS246="",0,IF(ISNUMBER(SEARCH("4P",IFERROR(_xlfn.XLOOKUP(CS246,Линии[_n],Линии[_УЗО строки])&amp;"",""))),0,1))</f>
        <v>0</v>
      </c>
      <c r="CX246" t="str">
        <f>IF(AND(CS246&lt;&gt;"",CS246=BA246),SUMIFS(Линии[_ток на 230 В],Линии[_блок УЗО],BA246,Линии[Щит],A246),"")</f>
        <v/>
      </c>
      <c r="CY246" t="str">
        <f>IF(AND(CS246&lt;&gt;"",CS246=BA246),SUMIFS(Линии[_ток утечки линии, мА],Линии[_блок УЗО],BA246,Линии[Щит],A246),"")</f>
        <v/>
      </c>
      <c r="CZ246">
        <f t="shared" si="444"/>
        <v>30</v>
      </c>
      <c r="DA246">
        <f t="shared" si="445"/>
        <v>30</v>
      </c>
      <c r="DB246">
        <f>IF(B246="",0,IFERROR(--_xlfn.XLOOKUP(B246,Коды_код,Коды_минавт),IFERROR(--_xlfn.XLOOKUP(BC246,Коды_код,Коды_минавт),IFERROR(--_xlfn.XLOOKUP(LEFT(BC246,2),Коды_код,Коды_минавт),0))))</f>
        <v>16</v>
      </c>
      <c r="DC246" t="str">
        <f>IF(B246="","",IFERROR(_xlfn.XLOOKUP(BC246,Коды_код,Коды_апп)&amp;"",""))</f>
        <v/>
      </c>
      <c r="DD246" t="str">
        <f t="shared" si="446"/>
        <v/>
      </c>
      <c r="DE246" t="str" cm="1">
        <f t="array" ref="DE246">IF(TRIM(DD246&amp;"")="","",IFERROR(TRIM(INDEX(_xlfn.TEXTSPLIT(DD246&amp;";;;",";"),1)),""))</f>
        <v/>
      </c>
      <c r="DF246" t="str" cm="1">
        <f t="array" ref="DF246">IF(TRIM(DD246&amp;"")="","",IFERROR(TRIM(INDEX(_xlfn.TEXTSPLIT(DD246&amp;";;;",";"),2)),""))</f>
        <v/>
      </c>
      <c r="DG246" t="str" cm="1">
        <f t="array" ref="DG246">IF(TRIM(DD246&amp;"")="","",IFERROR(TRIM(INDEX(_xlfn.TEXTSPLIT(DD246&amp;";;;",";"),3)),""))</f>
        <v/>
      </c>
      <c r="DH246">
        <f t="shared" si="447"/>
        <v>0</v>
      </c>
      <c r="DI246" t="str">
        <f>IF(B246="","",_xlfn.LET(_xlpm.t,LOWER(AZ246&amp;""),IF(ISNUMBER(SEARCH("dim",_xlpm.t)),"DIM",IF(ISNUMBER(SEARCH("dali",_xlpm.t)),"DALI",IF(OR(ISNUMBER(SEARCH("relay",_xlpm.t)),ISNUMBER(SEARCH("реле",_xlpm.t))),"Relay",IF(ISNUMBER(SEARCH("кнопк",_xlpm.t)),"",IFERROR(_xlfn.XLOOKUP(BC246,Коды_код,Коды_упр)&amp;"","")))))))</f>
        <v/>
      </c>
      <c r="DJ246" t="str">
        <f t="shared" si="448"/>
        <v/>
      </c>
      <c r="DK246">
        <f>IF(B246="","",_xlfn.LET(_xlpm.ig,IF(N(CX246)&gt;0,N(CX246),N(CI246)+IF(AJ246="вручную",0,N(CJ246))),_xlpm.n0,IFERROR(VLOOKUP(_xlpm.ig,Автомат_номиналы,2,TRUE),0),_xlpm.mn,MAX(DB246,IF(AJ246="вручную",0,N(CM246))),MAX(_xlpm.n0,_xlpm.mn,IF(DH246=1,Мин_автомат_БП,0))))</f>
        <v>16</v>
      </c>
      <c r="DL246">
        <f t="shared" si="449"/>
        <v>1</v>
      </c>
      <c r="DM246" t="str">
        <f t="shared" si="450"/>
        <v>2P</v>
      </c>
      <c r="DN246" t="str">
        <f>_xlfn.LET(_xlpm.cc,UPPER(TRIM(IFERROR(_xlfn.XLOOKUP(BC246,Коды_код,Коды_хар)&amp;"",""))),IF(OR(_xlpm.cc="B",_xlpm.cc="В"),"B",IF(_xlpm.cc="D","D","С")))</f>
        <v>С</v>
      </c>
      <c r="DO246" t="str">
        <f t="shared" si="451"/>
        <v>2P С16А 30мА</v>
      </c>
      <c r="DP246" t="str">
        <f t="shared" si="452"/>
        <v>2P С16А 30мА</v>
      </c>
      <c r="DQ246" t="str">
        <f t="shared" si="453"/>
        <v>2P С16А 30мА</v>
      </c>
      <c r="DR246" cm="1">
        <f t="array" ref="DR246">IF(DQ246="","",_xlfn.LET(_xlpm.t,SUBSTITUTE(SUBSTITUTE(SUBSTITUTE(UPPER(DQ246),"С","C"),"А","A"),"В","B"),_xlpm.tk,_xlfn.TEXTSPLIT(_xlpm.t," "),_xlpm.f,_xlfn._xlws.FILTER(_xlpm.tk,ISNUMBER(--MID(_xlpm.tk,2,1))*ISNUMBER(SEARCH(LEFT(_xlpm.tk,1)&amp;"#","B#C#D#"))*(LEN(_xlpm.tk)&gt;1),""),_xlpm.x,INDEX(_xlpm.f,1),IFERROR(--SUBSTITUTE(MID(_xlpm.x,2,9),"A",""),IFERROR(--SUBSTITUTE(INDEX(_xlfn._xlws.FILTER(_xlpm.tk,ISNUMBER(--SUBSTITUTE(_xlpm.tk,"A","")),""),1),"A",""),""))))</f>
        <v>16</v>
      </c>
      <c r="DS246" t="str">
        <f t="shared" si="454"/>
        <v>ok</v>
      </c>
      <c r="DT246">
        <f t="shared" si="455"/>
        <v>16</v>
      </c>
      <c r="DU246" t="str">
        <f t="shared" si="456"/>
        <v>2P С16А 30мА</v>
      </c>
      <c r="DV246">
        <f t="shared" si="457"/>
        <v>30</v>
      </c>
      <c r="DW246">
        <f t="shared" si="458"/>
        <v>1</v>
      </c>
      <c r="DX246">
        <f t="shared" si="459"/>
        <v>0</v>
      </c>
      <c r="DY246">
        <f t="shared" si="460"/>
        <v>0.27348170645824377</v>
      </c>
      <c r="DZ246">
        <f t="shared" si="461"/>
        <v>1</v>
      </c>
      <c r="EA246">
        <f>IF(ISNUMBER(AP246),AP246,К_прокл)</f>
        <v>1</v>
      </c>
      <c r="EB246">
        <f t="shared" si="462"/>
        <v>2</v>
      </c>
      <c r="EC246">
        <f>IFERROR(N(VLOOKUP(BZ246,Кабель_обозначение,3,FALSE)),1)</f>
        <v>1</v>
      </c>
      <c r="ED246">
        <f>IFERROR(N(_xlfn.XLOOKUP(A246,Щиты[Щит],Щиты[ΔU до шин, %])),0)</f>
        <v>1.19</v>
      </c>
      <c r="EE246" t="str">
        <f>IFERROR(_xlfn.XLOOKUP(A246,Щиты[Щит],Щиты[Zпетли на шинах, Ом]),"")</f>
        <v/>
      </c>
      <c r="EF246">
        <f>IFERROR(N(_xlfn.XLOOKUP(A246,Щиты[Щит],Щиты[ΔU до шин (подбор), %])),0)</f>
        <v>1.19</v>
      </c>
      <c r="EG246" t="str">
        <f>IFERROR(_xlfn.XLOOKUP(A246,Щиты[Щит],Щиты[Zпетли на шинах (подбор), Ом]),"")</f>
        <v/>
      </c>
      <c r="EH246" t="str">
        <f t="shared" si="463"/>
        <v/>
      </c>
      <c r="EI246">
        <f t="shared" si="464"/>
        <v>29</v>
      </c>
      <c r="EJ246">
        <f t="shared" si="465"/>
        <v>2</v>
      </c>
      <c r="EK246">
        <f t="shared" si="466"/>
        <v>0.31</v>
      </c>
      <c r="EL246" s="6">
        <f>IF(B246="","",IF(BV246=1,dU_LED,IF(IFERROR(_xlfn.XLOOKUP(BC246,Коды_код,Коды_уго),"")="Светильник",3,4)+IF(Методика="нормы 2026",MIN(0.5,MAX(0,N(P246)-100)*0.005),0)))</f>
        <v>4</v>
      </c>
      <c r="EM246" cm="1">
        <f t="array" ref="EM246">IF(OR(B246="",BZ246="",EC246&lt;&gt;1),"",_xlfn.LET(_xlpm.sz,Iдоп_S,_xlpm.t_,CHOOSE(EB246,Iдоп_1ж,Iдоп_2ж,Iдоп_3ж)*DZ246*EA246,_xlpm.dcx,BV246=1,_xlpm.inn,IF(_xlpm.dcx,N(O246),N(DT246)),_xlpm.smin,MAX(1.5,CC246),_xlpm.L_,N(P246)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246)/N(BU246)*100,999),IFERROR(N(EJ246)*(_xlpm.rho*_xlpm.L_/_xlpm.sz*N(CE246)+_xlpm.xx*_xlpm.L_*N(EK246)/1000)*N(O246)/((Uн_лин/SQRT(3))*1000)*100,999)),_xlpm.kz,IF(OR(_xlpm.dcx,DW246=1,NOT(ISNUMBER(EG246)),_xlpm.L_=0,_xlpm.inn=0),1,IFERROR(--(c_min*(Uн_лин*1000/SQRT(3))/(EG246+2*ρкз_Cu*_xlpm.L_/_xlpm.sz)&gt;=HT246*_xlpm.inn),0)),_xlpm.ok,IFERROR((_xlpm.sz&gt;=_xlpm.smin)*(_xlpm.t_&gt;=_xlpm.inn)*IF(_xlpm.L_&gt;0,(_xlpm.du_+IF(_xlpm.dcx,0,EF246)&lt;=EL246+0.00001),1)*_xlpm.kz,0),_xlpm.r_,_xlfn._xlws.FILTER(_xlpm.sz,_xlpm.ok,"не подобрано"),INDEX(_xlpm.r_,1)))</f>
        <v>1.5</v>
      </c>
      <c r="EN246">
        <f t="shared" si="467"/>
        <v>2.5</v>
      </c>
      <c r="EO246" cm="1">
        <f t="array" ref="EO246">IF(OR(B246="",BZ246="",EC246&lt;&gt;1),"",_xlfn.LET(_xlpm.sz,Iдоп_S,_xlpm.t_,CHOOSE(EB246,Iдоп_1ж,Iдоп_2ж,Iдоп_3ж)*DZ246*EA246,_xlpm.ok,IFERROR((_xlpm.sz&gt;=MAX(1.5,CC246))*(_xlpm.t_&gt;=N(DT246)),0),_xlpm.r_,_xlfn._xlws.FILTER(_xlpm.sz,_xlpm.ok,""),INDEX(_xlpm.r_,1)))</f>
        <v>1.5</v>
      </c>
      <c r="EP246" s="6" cm="1">
        <f t="array" ref="EP246">IFERROR(ROUNDUP(N(EJ246)*(_xlfn.XLOOKUP(EO246,INDEX(Кабель_сопротивление,0,1),INDEX(Кабель_сопротивление,0,3))*N(P246)/EO246*N(CE246)+_xlfn.XLOOKUP(EO246,INDEX(Кабель_сопротивление,0,1),INDEX(Кабель_сопротивление,0,2))*N(P246)*N(EK246)/1000)*N(O246)/((Uн_лин/SQRT(3))*1000)*100,2),"")</f>
        <v>0.11</v>
      </c>
      <c r="EQ246">
        <f>IFERROR(2*ρкз_Cu*N(P246)/EO246,"")</f>
        <v>1.1221333333333334</v>
      </c>
      <c r="ER246">
        <f>IFERROR(VLOOKUP(EN246,Кабель_сопротивление,3,FALSE),"")</f>
        <v>2.2499999999999999E-2</v>
      </c>
      <c r="ES246">
        <f>IFERROR(VLOOKUP(EN246,Кабель_сопротивление,2,FALSE),"")</f>
        <v>0.1</v>
      </c>
      <c r="ET246">
        <f t="shared" si="468"/>
        <v>26</v>
      </c>
      <c r="EU246">
        <f t="shared" si="469"/>
        <v>0</v>
      </c>
      <c r="EV246">
        <f t="shared" si="470"/>
        <v>0.15019177747956411</v>
      </c>
      <c r="EW246" s="6">
        <f>IFERROR(ROUNDUP(EV246/IF(BV246=1,BU246,(Uн_лин/SQRT(3))*1000)*100,2),"")</f>
        <v>6.9999999999999993E-2</v>
      </c>
      <c r="EX246" t="str">
        <f>IFERROR(VLOOKUP(BZ246,Кабель_обозначение,2,FALSE),"")</f>
        <v>ВВГнг(А)-LS</v>
      </c>
      <c r="EY246" t="str">
        <f t="shared" si="471"/>
        <v>ВВГнг(А)-LS (3х2,5)</v>
      </c>
      <c r="EZ246" t="str">
        <f t="shared" si="472"/>
        <v>ВВГнг(А)-LS (3х2,5)
L=32-0,07%</v>
      </c>
      <c r="FA246">
        <f>IFERROR(2*ρкз_Cu*P246/EN246,"")</f>
        <v>0.67327999999999999</v>
      </c>
      <c r="FB246">
        <f t="shared" si="473"/>
        <v>0.22400000000000003</v>
      </c>
      <c r="FC246" s="6" t="str">
        <f>IFERROR(IF(OR(B246="",BV246=1,NOT(ISNUMBER(EN246)),N(P246)=0),"",_xlfn.XLOOKUP(A246,Щиты[Щит],Щиты[Zпетли на шинах, Ом])+FA246),"")</f>
        <v/>
      </c>
      <c r="FD246" s="6" t="str">
        <f>IF(ISNUMBER(FC246),c_min*(Uн_лин*1000/SQRT(3))/FC246,"")</f>
        <v/>
      </c>
      <c r="FE246" s="6" t="str">
        <f>IFERROR(IF(OR(B246="",NOT(ISNUMBER(EN246))),"",1.05*(Uн_лин*1000/SQRT(3))/(_xlfn.XLOOKUP(A246,Щиты[Щит],Щиты[Zmax на шинах, Ом])+FB246)/1000),"")</f>
        <v/>
      </c>
      <c r="FF246" s="6" t="str">
        <f>IF(B246="","",IF(ISNUMBER(AC246),"Сил",IF(IFERROR(_xlfn.XLOOKUP(BC246,Коды_код,Коды_группа)&amp;"","")="","Быт",_xlfn.XLOOKUP(BC246,Коды_код,Коды_группа)&amp;"")))</f>
        <v>Быт</v>
      </c>
      <c r="FG246" s="6" t="str">
        <f t="shared" si="474"/>
        <v>Быт</v>
      </c>
      <c r="FH246" s="6">
        <f>IF(FG246="Щит","щит",IF(FG246="","",IF(FG246="Быт",IFERROR(_xlfn.XLOOKUP(A246,Щиты[Щит],Щиты[Кс быт]),1),IF(FG246="Сил",IF(ISNUMBER(AC246),AC246,IF(Методика="нормы 2026",IFERROR(_xlfn.XLOOKUP(A246,Щиты[Щит],Щиты[Кс силовых (табл. 7.5)]),1),1)),IF(OR(FG246="Пост",FG246="Отоп"),1,IF(FG246="ВНГ",0.7,0))))))</f>
        <v>0.57830000000000004</v>
      </c>
      <c r="FI246">
        <f>IF(FG246="","",IF(AND(BP246=1,TRIM(AE246&amp;"")=""),IF(COUNTIFS(Линии[Щит],A246,Линии[Секция (1/2/3)],"&gt;=2")&gt;0,MIN(3,MAX(1,IFERROR(--BD246,1))),1),IFERROR(MIN(3,MAX(1,INT(--AE246))),1)))</f>
        <v>1</v>
      </c>
      <c r="FJ246">
        <f t="shared" si="475"/>
        <v>0.06</v>
      </c>
      <c r="FK246">
        <f t="shared" si="476"/>
        <v>0.06</v>
      </c>
      <c r="FL246">
        <f t="shared" si="477"/>
        <v>0</v>
      </c>
      <c r="FM246">
        <f t="shared" si="478"/>
        <v>0</v>
      </c>
      <c r="FN246">
        <f t="shared" si="479"/>
        <v>0</v>
      </c>
      <c r="FO246">
        <f t="shared" si="480"/>
        <v>0</v>
      </c>
      <c r="FP246">
        <f t="shared" si="481"/>
        <v>0.06</v>
      </c>
      <c r="FQ246">
        <f t="shared" si="482"/>
        <v>0.06</v>
      </c>
      <c r="FR246">
        <f t="shared" si="483"/>
        <v>5.6999999999999995E-2</v>
      </c>
      <c r="FS246">
        <f>IF(CG246=1,IF(AND(CH246=1,CW246=1),0,IF(AND(CS246&lt;&gt;"",CS246=BA246,CW246=1),SUMIFS(Линии[_Р линии, кВт],Линии[_блок УЗО],BA246,Линии[Щит],A246),N(BS246)+IF(AJ246="вручную",0,N(CK246)))),0)</f>
        <v>0.06</v>
      </c>
      <c r="FT246" t="str">
        <f t="shared" si="484"/>
        <v/>
      </c>
      <c r="FU246" t="str">
        <f>IF(B246="","",IF(CG246=0,IF(BA246=1,"",FW245),IF(AND(CH246=1,CW246=1,CS246&lt;&gt;""),IFERROR(_xlfn.XLOOKUP(CS246,Линии[_n],Линии[_фаза итог]),"L1"),IF(OR(N(DL246)&gt;=3,N(BX246)&gt;=3),"L1,L2,L3",IFERROR(_xlfn.TEXTBEFORE(_xlfn.TEXTAFTER(_xlfn.XLOOKUP(A246,Щиты[Щит],Щиты[_фазы авто]),";"&amp;BA246&amp;":"),";"),"L1")))))</f>
        <v>L2</v>
      </c>
      <c r="FV246" t="str">
        <f t="shared" si="485"/>
        <v>L2</v>
      </c>
      <c r="FW246" t="str">
        <f t="shared" si="486"/>
        <v>L2</v>
      </c>
      <c r="FX246" cm="1">
        <f t="array" ref="FX246">IFERROR(IF(CD246=2,_xlfn.IFS(BX246=3,VLOOKUP(BS246,Справочная_двигатели,3,FALSE),BX246=1,VLOOKUP(BS246,Справочная_двигатели,5,TRUE)),0),0)</f>
        <v>0</v>
      </c>
      <c r="FY246">
        <f>IFERROR(IF(CD246=3,VLOOKUP(BS246,Справочная_ЛЭД,2,TRUE),0),0)</f>
        <v>0</v>
      </c>
      <c r="FZ246" s="6">
        <f t="shared" si="487"/>
        <v>0</v>
      </c>
      <c r="GA246" t="str">
        <f>IF(B246="","",IF(TRIM(AH246&amp;"")&lt;&gt;"",IF(LOWER(TRIM(AH246&amp;""))="да","да","нет"),IF(IFERROR(_xlfn.XLOOKUP(BC246,Коды_код,Коды_пожарная),"")="да","да","нет")))</f>
        <v>нет</v>
      </c>
      <c r="GB246" t="str">
        <f t="shared" si="488"/>
        <v/>
      </c>
      <c r="GC246" t="str">
        <f t="shared" si="489"/>
        <v>основная</v>
      </c>
      <c r="GD246">
        <f>IF(AND(BP246=1,TRIM(AE246&amp;"")=""),IF(COUNTIFS(Линии[Щит],A246,Линии[Секция (1/2/3)],"&gt;=2")&gt;0,MIN(3,MAX(1,IFERROR(--BD246,1))),1),IFERROR(MIN(3,MAX(1,INT(--AE246))),1))</f>
        <v>1</v>
      </c>
      <c r="GE246" t="str" cm="1">
        <f t="array" ref="GE246">IF(B246="","",_xlfn.LET(_xlpm.t,IFERROR(_xlfn.XLOOKUP(1,(Шины[Шина]=GC246)*(((Шины[Щит]=A246)+(Шины[Щит]=""))&gt;0),Шины[Тип]),"")&amp;"",IF(_xlpm.t&lt;&gt;"",_xlpm.t,IF(ISNUMBER(SEARCH("ИБП",GC246)),"ИБП",IF(ISNUMBER(SEARCH("ДГУ",GC246)),"ДГУ","Ввод "&amp;GD246)))))</f>
        <v>Ввод 1</v>
      </c>
      <c r="GF246" t="str">
        <f t="shared" si="490"/>
        <v>Ввод 1</v>
      </c>
      <c r="GG246" t="str">
        <f>IF(BP246=0,"",IF(TRIM(AG246&amp;"")&lt;&gt;"",TRIM(AG246&amp;""),IF(OR(GE246="ИБП",GE246="ДГУ"),"I особая",_xlfn.XLOOKUP(A246,Щиты[Щит],Щиты[Категория шины «Ввод»],"III"))))</f>
        <v/>
      </c>
      <c r="GH246" t="str">
        <f>IF(A246="","",_xlfn.XLOOKUP(A246,Щиты[Щит],Щиты[Путь],""))</f>
        <v>|ГРЩ-ЖД|ЩР-1|</v>
      </c>
      <c r="GI246" t="str">
        <f>IF(B246="","",IF(AI246&lt;&gt;"",AI246,IF(IFERROR(_xlfn.XLOOKUP(BC246,Коды_код,Коды_вид)&amp;"","")="","Прочее",_xlfn.XLOOKUP(BC246,Коды_код,Коды_вид)&amp;"")))</f>
        <v>Розеточная сеть и бытовые приборы</v>
      </c>
      <c r="GJ246">
        <f>IF(BM246="","",INT((BM246-1)/Столбцов_на_лист)+1)</f>
        <v>2</v>
      </c>
      <c r="GK246" t="str">
        <f t="shared" si="491"/>
        <v>ВВГнг(А)-LS (3х2,5) L=32-0,07%</v>
      </c>
      <c r="GL246">
        <f t="shared" si="492"/>
        <v>0.06</v>
      </c>
      <c r="GM246">
        <f t="shared" si="493"/>
        <v>0.28000000000000003</v>
      </c>
      <c r="GN246">
        <f t="shared" si="494"/>
        <v>1</v>
      </c>
      <c r="GO246">
        <f t="shared" si="495"/>
        <v>0</v>
      </c>
      <c r="GP246">
        <f t="shared" si="496"/>
        <v>1</v>
      </c>
      <c r="GQ246">
        <f>IF(BM246="","",IF(AND(CG246=1,GP246=1),COUNTIFS(A$3:A246,A246,CG$3:CG246,1,GP$3:GP246,1),IF(OR(OR(BA246=1,A246&lt;&gt;A245),AJ246="вручную",GP246=0),"",IF(BA246=1,"",GR245))))</f>
        <v>22</v>
      </c>
      <c r="GR246">
        <f t="shared" si="497"/>
        <v>22</v>
      </c>
      <c r="GS246">
        <f>IF(B246="","",IFERROR(LOOKUP(INDEX(CHOOSE(EB246,Iдоп_1ж,Iдоп_2ж,Iдоп_3ж),MATCH(EN246,Iдоп_S,0))*DZ246*EA246,{6,10,16,20,25,32,40,50,63,80,100,125,160,200,250,315,400,500,630}),""))</f>
        <v>25</v>
      </c>
      <c r="GT246" t="str">
        <f t="shared" si="498"/>
        <v>QFD22</v>
      </c>
      <c r="GU246" t="str">
        <f t="shared" si="499"/>
        <v>QFD22</v>
      </c>
      <c r="GV246" t="str">
        <f t="shared" si="500"/>
        <v/>
      </c>
      <c r="GW246">
        <f t="shared" si="501"/>
        <v>0</v>
      </c>
      <c r="GX246" t="str">
        <f>IF(OR(B246="",DJ246=""),"",IFERROR(_xlfn.XLOOKUP(DJ246,Модули_умолч[Управление],Модули_умолч[Модель])&amp;"",""))</f>
        <v/>
      </c>
      <c r="GY246">
        <f>IF(DJ246="",1,IFERROR(MAX(0,N(_xlfn.XLOOKUP(DJ246,Модули_умолч[Управление],Модули_умолч[Каналов на линию]))),1))</f>
        <v>1</v>
      </c>
      <c r="GZ246" t="str">
        <f t="shared" si="502"/>
        <v/>
      </c>
      <c r="HA246" t="str">
        <f t="shared" si="503"/>
        <v/>
      </c>
      <c r="HB246" t="str">
        <f t="shared" si="504"/>
        <v/>
      </c>
      <c r="HC246">
        <f>IF(HB246="",0,IFERROR(N(VLOOKUP(HB246,Модули_спр,3,FALSE)),0))</f>
        <v>0</v>
      </c>
      <c r="HD246" t="str">
        <f t="shared" si="505"/>
        <v/>
      </c>
      <c r="HE246" t="str">
        <f t="shared" si="506"/>
        <v/>
      </c>
      <c r="HF246" t="str">
        <f>IF(OR(HE246="",HE246="-"),"",IFERROR(VLOOKUP(HE246,Модули_спр,2,FALSE),"R"))</f>
        <v/>
      </c>
      <c r="HG246" t="str">
        <f>IF(HF246="","",HF246&amp;"."&amp;COUNTIFS(A$3:A246,A246,HF$3:HF246,HF246))</f>
        <v/>
      </c>
      <c r="HH246" t="str">
        <f t="shared" si="507"/>
        <v/>
      </c>
      <c r="HI246" t="str">
        <f t="shared" si="508"/>
        <v/>
      </c>
      <c r="HJ246" t="str">
        <f t="shared" si="509"/>
        <v/>
      </c>
      <c r="HK246" t="str">
        <f t="shared" si="510"/>
        <v/>
      </c>
      <c r="HL246">
        <f t="shared" si="511"/>
        <v>1</v>
      </c>
      <c r="HM246" t="str">
        <f>IF(HL246=1,"XT"&amp;COUNTIFS(A$3:A246,A246,HL$3:HL246,1),"")</f>
        <v>XT22</v>
      </c>
      <c r="HN246" t="str">
        <f t="shared" si="512"/>
        <v/>
      </c>
      <c r="HO246" t="str">
        <f t="shared" si="513"/>
        <v>QFD22</v>
      </c>
      <c r="HP246" t="str">
        <f t="shared" si="514"/>
        <v/>
      </c>
      <c r="HQ246" t="str">
        <f t="shared" si="515"/>
        <v>ok</v>
      </c>
      <c r="HR246" t="str">
        <f>IF(OR(HJ246="",HH246=""),"",IF(HJ246+MAX(0,GY246-1)&gt;IFERROR(VLOOKUP(HI246,Модули_спр,3,FALSE),99),"ЛИШНИЙ КАНАЛ",IF(AND(AL246&lt;&gt;"=",GY246&gt;0,COUNTIFS(Линии[_модуль гр.],HH246,Линии[Канал (итог)],HJ246,Линии[Канал],"&lt;&gt;=",Линии[Щит],A246)&gt;1),"ДУБЛЬ КАНАЛА","")))</f>
        <v/>
      </c>
      <c r="HS246" s="6" t="str">
        <f t="shared" si="516"/>
        <v/>
      </c>
      <c r="HT246">
        <f t="shared" si="517"/>
        <v>10</v>
      </c>
      <c r="HU246" t="str">
        <f t="shared" si="518"/>
        <v/>
      </c>
      <c r="HV246">
        <f t="shared" si="519"/>
        <v>0.42939268258329755</v>
      </c>
      <c r="HW246">
        <f t="shared" si="520"/>
        <v>0</v>
      </c>
      <c r="HX246">
        <f t="shared" si="521"/>
        <v>0</v>
      </c>
      <c r="HY246">
        <f t="shared" si="522"/>
        <v>0</v>
      </c>
      <c r="HZ246">
        <f t="shared" si="523"/>
        <v>0</v>
      </c>
      <c r="IA246">
        <f t="shared" si="524"/>
        <v>0</v>
      </c>
      <c r="IB246">
        <f t="shared" si="525"/>
        <v>0</v>
      </c>
      <c r="IC246" t="str">
        <f t="shared" si="526"/>
        <v/>
      </c>
      <c r="ID246" t="str" cm="1">
        <f t="array" ref="ID246">IF(IC246="","",_xlfn.LET(_xlpm.tk,_xlfn.TEXTSPLIT(SUBSTITUTE(SUBSTITUTE(IC246,";"," "),"→"," ")," ",,TRUE),_xlpm.w_,_xlfn._xlws.FILTER(_xlpm.tk,ISNUMBER(--LEFT(_xlpm.tk,1))*((ISNUMBER(SEARCH("W",_xlpm.tk))+ISNUMBER(SEARCH("Вт",_xlpm.tk)))&gt;0),""),IFERROR(--SUBSTITUTE(SUBSTITUTE(UPPER(INDEX(_xlpm.w_,1)),"W",""),"ВТ",""),"")))</f>
        <v/>
      </c>
      <c r="IE246" t="str" cm="1">
        <f t="array" ref="IE246">IF(IC246="","",_xlfn.LET(_xlpm.tk,_xlfn.TEXTSPLIT(SUBSTITUTE(SUBSTITUTE(IC246,";"," "),"→"," ")," ",,TRUE),_xlpm.v_,_xlfn._xlws.FILTER(_xlpm.tk,ISNUMBER(--LEFT(_xlpm.tk,1))*((ISNUMBER(SEARCH("V",_xlpm.tk))+(RIGHT(UPPER(_xlpm.tk))="В"))&gt;0),""),IFERROR(--SUBSTITUTE(SUBSTITUTE(UPPER(INDEX(_xlpm.v_,1)),"V",""),"В",""),"")))</f>
        <v/>
      </c>
      <c r="IF246" s="6" t="str">
        <f>IF(OR(BV246=0,HI246="",HJ246=""),"",IFERROR(N(_xlfn.XLOOKUP(HI246,Каталог!$C$4:$C$500,Каталог!$Q$4:$Q$500)),""))</f>
        <v/>
      </c>
      <c r="IG246" s="6" t="str">
        <f>IF(N(IF246)=0,"",SUMIFS(Линии[Iр, А],Линии[Щит],A246,Линии[_модуль гр.],HH246,Линии[Канал (итог)],HJ246))</f>
        <v/>
      </c>
      <c r="IH246" t="str">
        <f>IF(AND(B246="",HO246=""),"",_xlfn.TEXTJOIN("; ",TRUE,IF(AND(B246&lt;&gt;"",FV246=""),"нет фазы",""),IF(AND(B246&lt;&gt;"",N(GL246)=0,FG246&lt;&gt;"Нет"),"нет мощности",""),IF(AND(HN246&lt;&gt;"",COUNTIFS(Линии[Щит],A246,Линии[Клемма (итог)],HN246)&gt;1),"дубль клеммы "&amp;HN246,""),IF(AND(HQ246&lt;&gt;"",HQ246&lt;&gt;"ok"),HQ246,""),IF(HR246&lt;&gt;"",HR246,""),IF(AND(N(CB246)&gt;=4,N(BX246)=1),CB246&amp;" жил на 1 фазе",""),IF(AND(BC246="R",CG246=1,IF(CS246&lt;&gt;"",N(CV246)&gt;30,OR(N(DA246)=0,N(DA246)&gt;30))),"розетка без дифзащиты до 30 мА",""),IF(AND(CG246=1,N(DA246)&gt;0,ISNUMBER(T246)),IF(T246&gt;N(DA246)/3,"ток утечки "&amp;FIXED(T246,1)&amp;" мА &gt; 1/3 уставки ("&amp;DA246&amp;" мА)",""),""),IF(AND(CH246=1,CS246=""),"«узо»: нет строки с УЗО выше (УЗО 2P 40А 30мА в «Аппаратах»)",""),IF(AND(CS246&lt;&gt;"",CS246=BA246),IF(CT246="","впишите номинал УЗО (УЗО 2P 40А 30мА)",IF(N(CT246)&lt;N(DT246),"УЗО "&amp;CT246&amp;" А &lt; автомата "&amp;DT246&amp;" А перед ним",IF(N(CT246)&lt;N(CX246),"УЗО "&amp;CT246&amp;" А &lt; тока блока "&amp;FIXED(CX246,1)&amp;" А",""))),""),IF(AND(CS246&lt;&gt;"",CS246=BA246,ISNUMBER(CY246)),IF(CY246&gt;N(CV246)/3,"ток утечки блока УЗО "&amp;FIXED(CY246,1)&amp;" мА &gt; 1/3 уставки ("&amp;CV246&amp;" мА)",""),""),IF(AND(CG246=1,N(BV246)+N(IB246)&gt;0,IC246=""),"линии до 50 В без БП: впишите в «Аппараты» (БП 24V 480W)",""),IF(AND(CG246=1,ISNUMBER(ID246),ISNUMBER(U246)),IF(U246&gt;ID246,"БП "&amp;ID246&amp;" Вт &lt; нужно "&amp;U246&amp;" Вт (×"&amp;Запас_БП&amp;")",""),""),IF(AND(CG246=1,ISNUMBER(IE246),N(BV246)=1),IF(IE246&lt;&gt;N(BU246),"БП на "&amp;IE246&amp;" В, линия "&amp;BU246&amp;" В",""),""),IF(AND(N(IF246)&gt;0,N(IG246)&gt;N(IF246)),HH246&amp;" канал "&amp;HJ246&amp;": "&amp;FIXED(IG246,1)&amp;" А &gt; "&amp;IF246&amp;" А",""),IFERROR(IF(AND(ISNUMBER(Q246),Q246&gt;EL246),"потери "&amp;FIXED(Q246,1)&amp;" % &gt; "&amp;EL246&amp;" %",""),""),IFERROR(IF(LEFT(HU246,4)="мало","Iкз мало — отключение &gt; 0,4 с",""),""),IF(AND(B246&lt;&gt;"",BM246=""),"не на схеме",""),IF(AND(CG246=0,B246&lt;&gt;"",FV246&lt;&gt;"",IF(BA246=1,"",FW245)&lt;&gt;"",FV246&lt;&gt;IF(BA246=1,"",FW245)),"фаза не как у автомата группы ("&amp;IF(BA246=1,"",FW245)&amp;")","")))</f>
        <v/>
      </c>
      <c r="II246" s="6">
        <f>IF(OR(CG246=0,DQ246=""),"",_xlfn.LET(_xlpm.t,IFERROR(_xlfn.XLOOKUP(DQ246,Каталог!$U$4:$U$500,Каталог!$G$4:$G$500),""),_xlpm.k,SEARCH("кА",_xlpm.t),IFERROR(--TRIM(RIGHT(SUBSTITUTE(MID(_xlpm.t,MAX(1,_xlpm.k-4),_xlpm.k-MAX(1,_xlpm.k-4))," ",REPT(" ",9)),5)),"")))</f>
        <v>6</v>
      </c>
      <c r="IJ246" t="str">
        <f>IF(OR(II246="",CG246=0),"",IF(_xlfn.XLOOKUP(A246,Щиты[Щит],Щиты[Iкз max на шинах, кА],"")="","",IF(II246&lt;_xlfn.XLOOKUP(A246,Щиты[Щит],Щиты[Iкз max на шинах, кА]),"Icu "&amp;II246&amp;" кА &lt; Iкз max","ok")))</f>
        <v/>
      </c>
      <c r="IK246" t="str">
        <f t="shared" si="527"/>
        <v/>
      </c>
      <c r="IL246" t="str">
        <f t="shared" si="528"/>
        <v>QFD22</v>
      </c>
      <c r="IM246" t="str">
        <f t="shared" si="529"/>
        <v>QFD22|кабель ВВГнг(А)-LS (3х2,5) → Розеточная группа, пом. 003Г</v>
      </c>
      <c r="IN246" t="str" cm="1">
        <f t="array" ref="IN246">IF(IM246="","",_xlfn.LET(_xlpm.nd,_xlfn.TEXTSPLIT(IM246,"|"),IF(COLUMNS(_xlpm.nd)&gt;1,A246&amp;"¦"&amp;INDEX(_xlpm.nd,1)&amp;"¦"&amp;INDEX(_xlpm.nd,2),"")))</f>
        <v>ЩР-1¦QFD22¦кабель ВВГнг(А)-LS (3х2,5) → Розеточная группа, пом. 003Г</v>
      </c>
      <c r="IO246" t="str">
        <f t="shared" si="530"/>
        <v>R.1.003Г.1¦Розеточная группа, пом. 003Г</v>
      </c>
      <c r="IP246" t="str" cm="1">
        <f t="array" ref="IP246">IF(IM246="","",_xlfn.LET(_xlpm.nd,_xlfn.TEXTSPLIT(IM246,"|"),IF(COLUMNS(_xlpm.nd)&gt;2,A246&amp;"¦"&amp;INDEX(_xlpm.nd,2)&amp;"¦"&amp;INDEX(_xlpm.nd,3),"")))</f>
        <v/>
      </c>
      <c r="IQ246" t="str">
        <f t="shared" si="531"/>
        <v/>
      </c>
      <c r="IR246" t="str" cm="1">
        <f t="array" ref="IR246">IF(IM246="","",_xlfn.LET(_xlpm.nd,_xlfn.TEXTSPLIT(IM246,"|"),IF(COLUMNS(_xlpm.nd)&gt;3,A246&amp;"¦"&amp;INDEX(_xlpm.nd,3)&amp;"¦"&amp;INDEX(_xlpm.nd,4),"")))</f>
        <v/>
      </c>
      <c r="IS246" t="str">
        <f t="shared" si="532"/>
        <v/>
      </c>
      <c r="IT246" t="str" cm="1">
        <f t="array" ref="IT246">IF(IM246="","",_xlfn.LET(_xlpm.nd,_xlfn.TEXTSPLIT(IM246,"|"),IF(COLUMNS(_xlpm.nd)&gt;4,A246&amp;"¦"&amp;INDEX(_xlpm.nd,4)&amp;"¦"&amp;INDEX(_xlpm.nd,5),"")))</f>
        <v/>
      </c>
      <c r="IU246" t="str">
        <f t="shared" si="533"/>
        <v/>
      </c>
      <c r="IV246" t="str" cm="1">
        <f t="array" ref="IV246">IF(IM246="","",_xlfn.LET(_xlpm.nd,_xlfn.TEXTSPLIT(IM246,"|"),IF(COLUMNS(_xlpm.nd)&gt;5,A246&amp;"¦"&amp;INDEX(_xlpm.nd,5)&amp;"¦"&amp;INDEX(_xlpm.nd,6),"")))</f>
        <v/>
      </c>
      <c r="IW246" t="str">
        <f t="shared" si="534"/>
        <v/>
      </c>
      <c r="IX246" t="str" cm="1">
        <f t="array" ref="IX246">IF(IM246="","",_xlfn.LET(_xlpm.nd,_xlfn.TEXTSPLIT(IM246,"|"),IF(COLUMNS(_xlpm.nd)&gt;6,A246&amp;"¦"&amp;INDEX(_xlpm.nd,6)&amp;"¦"&amp;INDEX(_xlpm.nd,7),"")))</f>
        <v/>
      </c>
      <c r="IY246" t="str">
        <f t="shared" si="535"/>
        <v/>
      </c>
      <c r="IZ246" t="str">
        <f t="shared" si="536"/>
        <v/>
      </c>
      <c r="JA246" t="str">
        <f t="shared" si="537"/>
        <v>QFD22</v>
      </c>
      <c r="JB246">
        <f t="shared" si="538"/>
        <v>0</v>
      </c>
      <c r="JC246">
        <f t="shared" si="539"/>
        <v>1</v>
      </c>
      <c r="JD246" t="str">
        <f t="shared" si="540"/>
        <v/>
      </c>
      <c r="JE246" t="str">
        <f t="shared" si="541"/>
        <v/>
      </c>
      <c r="JF246" t="str">
        <f t="shared" si="542"/>
        <v/>
      </c>
      <c r="JG246" t="str">
        <f t="shared" si="543"/>
        <v/>
      </c>
      <c r="JH246" t="str">
        <f>IF(B246="","",IFERROR(_xlfn.XLOOKUP(B246,Коды_код,Коды_уго),IFERROR(_xlfn.XLOOKUP(BC246,Коды_код,Коды_уго),IFERROR(_xlfn.XLOOKUP(LEFT(BC246,2),Коды_код,Коды_уго),""))))</f>
        <v>Розетка</v>
      </c>
      <c r="JI246" t="str">
        <f>IF(B246="","",IF(OR(JH246="",JH246=0),"BOX",IFERROR(IF(VLOOKUP(JH246,УГО_блоки,3,FALSE)&amp;""&lt;&gt;"",VLOOKUP(JH246,УГО_блоки,3,FALSE),VLOOKUP(JH246,УГО_блоки,2,FALSE)),JH246)))</f>
        <v>SOCKET</v>
      </c>
      <c r="JJ246">
        <f t="shared" si="544"/>
        <v>1</v>
      </c>
      <c r="JK246" t="str">
        <f>IF(DQ246="","",IF(COUNTIF(DQ$3:DQ246,DQ246)=1,MAX(JK$2:JK245)+1,""))</f>
        <v/>
      </c>
      <c r="JL246" t="str">
        <f>IF(DE246="","",IF(COUNTIF(DE$3:DE246,DE246)+COUNTIF(DF$2:DF245,DE246)+COUNTIF(DG$2:DG245,DE246)=1,MAX(JL$2:JN245)+1,""))</f>
        <v/>
      </c>
      <c r="JM246" t="str">
        <f>IF(DF246="","",IF(COUNTIF(DE$3:DE246,DF246)+COUNTIF(DF$3:DF246,DF246)+COUNTIF(DG$2:DG245,DF246)=1,MAX(JL$2:JN245,JL246)+1,""))</f>
        <v/>
      </c>
      <c r="JN246" t="str">
        <f>IF(DG246="","",IF(COUNTIF(DE$3:DE246,DG246)+COUNTIF(DF$3:DF246,DG246)+COUNTIF(DG$3:DG246,DG246)=1,MAX(JL$2:JN245,JL246,JM246)+1,""))</f>
        <v/>
      </c>
      <c r="JO246" t="str">
        <f t="shared" si="545"/>
        <v>3х2,5</v>
      </c>
      <c r="JP246" t="str">
        <f>IF(JO246="","",IF(COUNTIF(JO$3:JO246,JO246)=1,MAX(JP$2:JP245)+1,""))</f>
        <v/>
      </c>
      <c r="JQ246" t="str">
        <f>IF(HG246="","",COUNTIF(HG$3:HG246,"?*"))</f>
        <v/>
      </c>
      <c r="JR246" t="str">
        <f>IF(OR(HG246="",HI246=""),"",IF(COUNTIFS(HG$3:HG246,"?*",HI$3:HI246,HI246)=1,MAX(JR$2:JR245)+1,""))</f>
        <v/>
      </c>
      <c r="JS246">
        <f t="shared" si="546"/>
        <v>0</v>
      </c>
      <c r="JT246">
        <f>IF(B246="","",COUNTIF(B$3:B246,"?*"))</f>
        <v>244</v>
      </c>
      <c r="JU246">
        <f>IF(HL246&lt;&gt;1,0,_xlfn.LET(_xlpm.k,MAX(IFERROR(--_xlfn.XLOOKUP(B246,Коды_код,Коды_3L),0),IFERROR(--_xlfn.XLOOKUP(BC246,Коды_код,Коды_3L),0),IFERROR(--_xlfn.XLOOKUP(LEFT(BC246,2),Коды_код,Коды_3L),0)),IF(_xlpm.k&gt;0,_xlpm.k,IF(IFERROR(--LEFT(SUBSTITUTE(JO246,"x","х"),FIND("х",SUBSTITUTE(JO246,"x","х"))-1),3)&gt;3,Каталог!$S$9,1))))</f>
        <v>1</v>
      </c>
      <c r="JV246">
        <f t="shared" si="547"/>
        <v>0</v>
      </c>
      <c r="JW246" t="str">
        <f t="shared" si="548"/>
        <v>авто</v>
      </c>
      <c r="JX246">
        <f t="shared" si="549"/>
        <v>30</v>
      </c>
      <c r="JY246">
        <f t="shared" si="550"/>
        <v>1</v>
      </c>
      <c r="JZ246">
        <f t="shared" si="551"/>
        <v>1</v>
      </c>
    </row>
    <row r="247" spans="1:286" x14ac:dyDescent="0.3">
      <c r="A247" t="s">
        <v>757</v>
      </c>
      <c r="B247" t="s">
        <v>1553</v>
      </c>
      <c r="C247" t="str">
        <f>Линии[[#This Row],[_авто наименование]]</f>
        <v>Розеточная группа, пом. 004Aб</v>
      </c>
      <c r="D247">
        <v>4</v>
      </c>
      <c r="E247">
        <v>0.24</v>
      </c>
      <c r="G247" t="str">
        <f>Линии[[#This Row],[_авто автомат]]</f>
        <v>2P С16А 30мА</v>
      </c>
      <c r="H247" t="str">
        <f>Линии[[#This Row],[_авто управление]]</f>
        <v/>
      </c>
      <c r="I247" t="str">
        <f>Линии[[#This Row],[_авто аппараты]]</f>
        <v/>
      </c>
      <c r="J247">
        <v>2.5</v>
      </c>
      <c r="K247">
        <v>54</v>
      </c>
      <c r="L247" t="str">
        <f>Линии[[#This Row],[_авто фаза]]</f>
        <v>L3</v>
      </c>
      <c r="M247" t="s">
        <v>484</v>
      </c>
      <c r="N247" t="str">
        <f t="shared" si="414"/>
        <v/>
      </c>
      <c r="O247" s="6" cm="1">
        <f t="array" ref="O247">IF(B247="","",IF(BH247&lt;&gt;"",IFERROR(_xlfn.XLOOKUP(BH247,Щиты[Щит],Щиты[Iр, А]),""),IF(BP247=1,IF(OR(N(_xlfn.XLOOKUP(A247,Щиты[Щит],Щиты[Вводов],1))&lt;=1,LOWER(TRIM(_xlfn.XLOOKUP(A247,Щиты[Щит],Щиты[АВР],"")&amp;""))="да"),IFERROR(_xlfn.XLOOKUP(A247,Щиты[Щит],Щиты[Iр, А]),""),IFERROR(N(BS247)*_xlfn.XLOOKUP(A247,Щиты[Щит],Щиты[Кс итог])/(SQRT(3)*Uн_лин*_xlfn.XLOOKUP(A247,Щиты[Щит],Щиты[cos φ])),"")),IF(BV247=1,IFERROR(BS247*1000/BU247,""),IFERROR(_xlfn.IFS(BX247=1,BS247/((Uн_лин/SQRT(3))*CE247),BX247=3,BS247/(SQRT(3)*Uн_лин*CE247)),"")))))</f>
        <v>1.0939268258329751</v>
      </c>
      <c r="P247" s="7">
        <f>IF(B247="","",IFERROR(IF(VLOOKUP(BC247,Потребители_обозначение,4,FALSE)=1,VLOOKUP(BC247,Потребители_обозначение,3,FALSE)*(MAX(1,N(D247))*2-1)+EI247+VLOOKUP(BE247,Этаж_обозначение,3,FALSE)+VLOOKUP(BE247,Этаж_обозначение,4,FALSE),VLOOKUP(BC247,Потребители_обозначение,3,FALSE)*(MAX(1,N(D247))*2-1)+EI247),EI247))</f>
        <v>75</v>
      </c>
      <c r="Q247" s="6">
        <f t="shared" si="415"/>
        <v>1.7999999999999998</v>
      </c>
      <c r="R247" t="str">
        <f t="shared" si="416"/>
        <v>ВВГнг(А)-LS (3х2,5)</v>
      </c>
      <c r="S247" t="str">
        <f>IF(BM247="","",IF(BN247="вводной узел","узел ","")&amp;"л."&amp;(INT((BM247-1)/Столбцов_на_лист)+1)&amp;" / "&amp;(MOD(BM247-1,Столбцов_на_лист)+1))</f>
        <v>л.2 / 16</v>
      </c>
      <c r="T247" s="119">
        <f t="shared" si="417"/>
        <v>1.2</v>
      </c>
      <c r="U247" s="7" t="str">
        <f>IF(OR(CG247=0,N(BV247)+N(IB247)=0),"",ROUNDUP(Запас_БП*(N(HY247)+N(HZ247)),0))</f>
        <v/>
      </c>
      <c r="V247" s="119" t="str">
        <f t="shared" si="418"/>
        <v/>
      </c>
      <c r="W247" s="7" t="str">
        <f>IFERROR(IF(OR(B247="",BP247=1,BV247=1,NOT(ISNUMBER(EN247)),N(DT247)=0),"",MAX(0,ROUNDDOWN((c_min*(Uн_лин*1000/SQRT(3))/(HT247*N(DT247))-_xlfn.XLOOKUP(A247,Щиты[Щит],Щиты[Zпетли на шинах, Ом]))*EN247/(2*ρкз_Cu),0))),"")</f>
        <v/>
      </c>
      <c r="Y247">
        <f>Линии[[#This Row],[_авто утечка]]</f>
        <v>30</v>
      </c>
      <c r="Z247">
        <v>1</v>
      </c>
      <c r="AA247">
        <v>230</v>
      </c>
      <c r="AB247" t="s">
        <v>562</v>
      </c>
      <c r="AG247" t="s">
        <v>810</v>
      </c>
      <c r="AI247" t="s">
        <v>561</v>
      </c>
      <c r="AK247" t="str">
        <f>Линии[[#This Row],[_авто модуль]]</f>
        <v/>
      </c>
      <c r="AM247">
        <v>33</v>
      </c>
      <c r="AN247" t="s">
        <v>11</v>
      </c>
      <c r="AO247">
        <v>3</v>
      </c>
      <c r="AQ247">
        <v>28</v>
      </c>
      <c r="AR247">
        <v>47</v>
      </c>
      <c r="AS247">
        <v>0</v>
      </c>
      <c r="BA247" cm="1">
        <f t="array" ref="BA247">ROW()-ROW(Линии[#Headers])</f>
        <v>245</v>
      </c>
      <c r="BC247" s="6" t="str">
        <f t="shared" si="419"/>
        <v>R</v>
      </c>
      <c r="BD247" t="str">
        <f t="shared" si="420"/>
        <v>1.004Aб.1</v>
      </c>
      <c r="BE247" t="str">
        <f t="shared" si="421"/>
        <v>1</v>
      </c>
      <c r="BF247" t="str">
        <f t="shared" si="422"/>
        <v>004Aб.1</v>
      </c>
      <c r="BG247" t="str">
        <f t="shared" si="423"/>
        <v>004Aб</v>
      </c>
      <c r="BH247" t="str">
        <f>IF(X247&lt;&gt;"",X247,IF(AND(B247&lt;&gt;"",B247&lt;&gt;A247,ISNUMBER(_xlfn.XMATCH(B247,Щиты[Щит]))),B247,""))</f>
        <v/>
      </c>
      <c r="BI247" t="str" cm="1">
        <f t="array" ref="BI247">IF(B247="","",IF(BH247&lt;&gt;"","Щит "&amp;BH247,_xlfn.LET(_xlpm.nm,IFERROR(_xlfn.XLOOKUP(BC247,Коды_код,Коды_имя)&amp;"",""),_xlpm.md,IFERROR(N(_xlfn.XLOOKUP(BC247,Коды_код,Коды_режим)),1),_xlpm.ex,IF(Имя_режим="по экспликации",IFERROR(_xlfn.XLOOKUP(BE247&amp;"|"&amp;BG247,Экспликация[Этаж]&amp;"|"&amp;Экспликация[Помещение],Экспликация[Название])&amp;"",""),""),_xlpm.rm,IF(BG247="","",IF(_xlpm.ex&lt;&gt;"",". "&amp;_xlpm.ex&amp;IF(Имя_пом="нет"," ("&amp;BG247&amp;")"," (пом. "&amp;BG247&amp;")"),IF(Имя_пом="нет"," ",", пом. ")&amp;BG247)),IF(_xlpm.nm="","",IF(_xlpm.md=2,_xlpm.nm&amp;" шлейф "&amp;BE247,_xlpm.nm&amp;_xlpm.rm)))))</f>
        <v>Розеточная группа, пом. 004Aб</v>
      </c>
      <c r="BJ247" t="str">
        <f t="shared" si="424"/>
        <v>Розеточная группа, пом. 004Aб</v>
      </c>
      <c r="BK247">
        <f>IFERROR(_xlfn.XMATCH(A247,Щиты[Щит]),0)</f>
        <v>10</v>
      </c>
      <c r="BL247">
        <f>_xlfn.LET(_xlpm.k,IFERROR(_xlfn.XLOOKUP(A247,Щиты[Щит],Щиты[Мест под вводной узел]),""),IF(_xlpm.k="",Столбцов_на_лист,N(_xlpm.k)))</f>
        <v>8</v>
      </c>
      <c r="BM247">
        <f t="shared" si="425"/>
        <v>33</v>
      </c>
      <c r="BN247" t="str">
        <f t="shared" si="426"/>
        <v>линии</v>
      </c>
      <c r="BO247" s="6">
        <f>IFERROR(N(_xlfn.XLOOKUP(BC247,Коды_код,Коды_квт)),0)</f>
        <v>0</v>
      </c>
      <c r="BP247">
        <f t="shared" si="427"/>
        <v>0</v>
      </c>
      <c r="BQ247" t="str">
        <f>IF(B247="","",IF(BH247&lt;&gt;"",IFERROR(_xlfn.XLOOKUP(BH247,Щиты[Щит],Щиты[Руст, кВт]),0),IF(BP247=1,IF(OR(N(_xlfn.XLOOKUP(A247,Щиты[Щит],Щиты[Вводов],1))&lt;=1,LOWER(TRIM(_xlfn.XLOOKUP(A247,Щиты[Щит],Щиты[АВР],"")&amp;""))="да"),IFERROR(_xlfn.XLOOKUP(A247,Щиты[Щит],Щиты[Руст, кВт]),0),SUMIFS(Линии[_Р для вводов],Линии[Щит],A247,Линии[Источник для режимов],GF247)),IF(BO247&gt;0,ROUND(BO247*MAX(1,N(D247)),3),""))))</f>
        <v/>
      </c>
      <c r="BR247">
        <f t="shared" si="428"/>
        <v>0.24</v>
      </c>
      <c r="BS247" s="6">
        <f>IF(B247="","",IF(BH247&lt;&gt;"",IFERROR(_xlfn.XLOOKUP(BH247,Щиты[Щит],Щиты[Руст, кВт]),0),N(BR247)))</f>
        <v>0.24</v>
      </c>
      <c r="BT247" t="str">
        <f>IF(B247="","",IFERROR(IF(VLOOKUP(BC247,Потребители_обозначение,8,FALSE)=0,"",VLOOKUP(BC247,Потребители_обозначение,8,FALSE)),""))</f>
        <v/>
      </c>
      <c r="BU247">
        <f t="shared" si="429"/>
        <v>230</v>
      </c>
      <c r="BV247">
        <f t="shared" si="430"/>
        <v>0</v>
      </c>
      <c r="BW247">
        <f>IF(B247="","",IF(BH247&lt;&gt;"",3,IFERROR(IF(N(VLOOKUP(BC247,Потребители_обозначение,9,FALSE))=0,1,VLOOKUP(BC247,Потребители_обозначение,9,FALSE)),1)))</f>
        <v>1</v>
      </c>
      <c r="BX247">
        <f t="shared" si="431"/>
        <v>1</v>
      </c>
      <c r="BY247" t="str">
        <f>IF(B247="","",_xlfn.LET(_xlpm.bc,IFERROR(IF(VLOOKUP(BC247,Потребители_обозначение,6,FALSE)=0,"",VLOOKUP(BC247,Потребители_обозначение,6,FALSE)&amp;""),""),IF(AND(GA247="да",OR(_xlpm.bc="",_xlpm.bc="мс")),Марка_пож,IF(AND(_xlpm.bc="",BH247&lt;&gt;""),"мс",_xlpm.bc))))</f>
        <v/>
      </c>
      <c r="BZ247" t="str">
        <f t="shared" si="432"/>
        <v>мс</v>
      </c>
      <c r="CA247">
        <f>IF(B247="","",_xlfn.LET(_xlpm.cc,IFERROR(N(VLOOKUP(BC247,Потребители_обозначение,7,FALSE)),0),IF(_xlpm.cc&gt;0,_xlpm.cc,IF(BZ247="","",IF(BV247=1,2,IF(N(BX247)=3,5,3))))))</f>
        <v>3</v>
      </c>
      <c r="CB247">
        <f t="shared" si="433"/>
        <v>3</v>
      </c>
      <c r="CC247">
        <f>IFERROR(N(VLOOKUP(BC247,Потребители_обозначение,10,FALSE)),0)</f>
        <v>0</v>
      </c>
      <c r="CD247">
        <f>IFERROR(VLOOKUP(BC247,Потребители_обозначение,5,FALSE),0)</f>
        <v>1</v>
      </c>
      <c r="CE247" s="6" cm="1">
        <f t="array" ref="CE247">IF(B247="","",IF(BH247&lt;&gt;"",IFERROR(_xlfn.XLOOKUP(BH247,Щиты[Щит],Щиты[cos φ]),0.95),IF(BP247=1,IFERROR(_xlfn.XLOOKUP(A247,Щиты[Щит],Щиты[cos φ]),0.95),IF(ISNUMBER(AD247),AD247,IFERROR(IF(CD247=2,_xlfn.IFS(BX247=3,VLOOKUP(BS247,Справочная_двигатели,8,FALSE),BX247=1,VLOOKUP(BS247,Справочная_двигатели,10,TRUE)),IF(AND(Методика="нормы 2026",FG247="Сил"),0.8,0.95)),0.95)))))</f>
        <v>0.95</v>
      </c>
      <c r="CF247">
        <f t="shared" si="434"/>
        <v>0</v>
      </c>
      <c r="CG247">
        <f t="shared" si="435"/>
        <v>1</v>
      </c>
      <c r="CH247">
        <f t="shared" si="436"/>
        <v>0</v>
      </c>
      <c r="CI247">
        <f>IF(B247="","",IF(BV247=1,IFERROR(BS247/((Uн_лин/SQRT(3))*MAX(0.5,N(CE247))),0),N(O247)))</f>
        <v>1.0939268258329751</v>
      </c>
      <c r="CJ247">
        <f t="shared" si="437"/>
        <v>0</v>
      </c>
      <c r="CK247">
        <f t="shared" si="438"/>
        <v>0</v>
      </c>
      <c r="CL247">
        <f t="shared" si="439"/>
        <v>0</v>
      </c>
      <c r="CM247">
        <f t="shared" si="440"/>
        <v>0</v>
      </c>
      <c r="CN247">
        <f t="shared" si="441"/>
        <v>0</v>
      </c>
      <c r="CO247">
        <f>IF(BC247="",0,_xlfn.LET(_xlpm.v,IFERROR(_xlfn.XLOOKUP(B247,Коды_код,Коды_мА),IFERROR(_xlfn.XLOOKUP(BC247,Коды_код,Коды_мА),IFERROR(_xlfn.XLOOKUP(LEFT(BC247,2),Коды_код,Коды_мА),""))),IF(_xlpm.v="да",30,IF(ISNUMBER(_xlpm.v),_xlpm.v,0))))</f>
        <v>30</v>
      </c>
      <c r="CP247">
        <f t="shared" si="442"/>
        <v>30</v>
      </c>
      <c r="CQ247" t="str">
        <f>_xlfn.LET(_xlpm.k,IFERROR(_xlfn.XLOOKUP(BC247,Коды_код,Коды_утечка)&amp;"",""),IF(_xlpm.k="","дифавтомат",_xlpm.k))</f>
        <v>дифавтомат</v>
      </c>
      <c r="CR247" t="str" cm="1">
        <f t="array" ref="CR247">IF(CG247=0,"",_xlfn.LET(_xlpm.sg,TRIM(_xlfn.TEXTSPLIT(DD247&amp;"",";")),_xlpm.f_,_xlfn._xlws.FILTER(_xlpm.sg,LEFT(_xlpm.sg,3)="УЗО",""),IFERROR(INDEX(_xlpm.f_,1)&amp;"","")))</f>
        <v/>
      </c>
      <c r="CS247" t="str">
        <f t="shared" si="443"/>
        <v/>
      </c>
      <c r="CT247" s="6" t="str" cm="1">
        <f t="array" ref="CT247">IF(CR247="","",_xlfn.LET(_xlpm.tk,_xlfn.TEXTSPLIT(UPPER(CR247)," ",,TRUE),_xlpm.a_,_xlfn._xlws.FILTER(_xlpm.tk,ISNUMBER(--LEFT(_xlpm.tk,1))*((ISNUMBER(SEARCH("А",_xlpm.tk))+ISNUMBER(SEARCH("A",_xlpm.tk)))&gt;0)*NOT(ISNUMBER(SEARCH("МА",_xlpm.tk)))*NOT(ISNUMBER(SEARCH("MA",_xlpm.tk))),""),IFERROR(--SUBSTITUTE(SUBSTITUTE(INDEX(_xlpm.a_,1),"А",""),"A",""),"")))</f>
        <v/>
      </c>
      <c r="CU247" t="str" cm="1">
        <f t="array" ref="CU247">IF(CR247="","",_xlfn.LET(_xlpm.tk,_xlfn.TEXTSPLIT(UPPER(CR247)," ",,TRUE),_xlpm.a_,_xlfn._xlws.FILTER(_xlpm.tk,ISNUMBER(--LEFT(_xlpm.tk,1))*((ISNUMBER(SEARCH("МА",_xlpm.tk))+ISNUMBER(SEARCH("MA",_xlpm.tk)))&gt;0),""),IFERROR(--SUBSTITUTE(SUBSTITUTE(INDEX(_xlpm.a_,1),"МА",""),"MA",""),30)))</f>
        <v/>
      </c>
      <c r="CV247" t="str">
        <f>IF(CS247="","",IFERROR(_xlfn.XLOOKUP(CS247,Линии[_n],Линии[_УЗО, мА]),30))</f>
        <v/>
      </c>
      <c r="CW247">
        <f>IF(CS247="",0,IF(ISNUMBER(SEARCH("4P",IFERROR(_xlfn.XLOOKUP(CS247,Линии[_n],Линии[_УЗО строки])&amp;"",""))),0,1))</f>
        <v>0</v>
      </c>
      <c r="CX247" t="str">
        <f>IF(AND(CS247&lt;&gt;"",CS247=BA247),SUMIFS(Линии[_ток на 230 В],Линии[_блок УЗО],BA247,Линии[Щит],A247),"")</f>
        <v/>
      </c>
      <c r="CY247" t="str">
        <f>IF(AND(CS247&lt;&gt;"",CS247=BA247),SUMIFS(Линии[_ток утечки линии, мА],Линии[_блок УЗО],BA247,Линии[Щит],A247),"")</f>
        <v/>
      </c>
      <c r="CZ247">
        <f t="shared" si="444"/>
        <v>30</v>
      </c>
      <c r="DA247">
        <f t="shared" si="445"/>
        <v>30</v>
      </c>
      <c r="DB247">
        <f>IF(B247="",0,IFERROR(--_xlfn.XLOOKUP(B247,Коды_код,Коды_минавт),IFERROR(--_xlfn.XLOOKUP(BC247,Коды_код,Коды_минавт),IFERROR(--_xlfn.XLOOKUP(LEFT(BC247,2),Коды_код,Коды_минавт),0))))</f>
        <v>16</v>
      </c>
      <c r="DC247" t="str">
        <f>IF(B247="","",IFERROR(_xlfn.XLOOKUP(BC247,Коды_код,Коды_апп)&amp;"",""))</f>
        <v/>
      </c>
      <c r="DD247" t="str">
        <f t="shared" si="446"/>
        <v/>
      </c>
      <c r="DE247" t="str" cm="1">
        <f t="array" ref="DE247">IF(TRIM(DD247&amp;"")="","",IFERROR(TRIM(INDEX(_xlfn.TEXTSPLIT(DD247&amp;";;;",";"),1)),""))</f>
        <v/>
      </c>
      <c r="DF247" t="str" cm="1">
        <f t="array" ref="DF247">IF(TRIM(DD247&amp;"")="","",IFERROR(TRIM(INDEX(_xlfn.TEXTSPLIT(DD247&amp;";;;",";"),2)),""))</f>
        <v/>
      </c>
      <c r="DG247" t="str" cm="1">
        <f t="array" ref="DG247">IF(TRIM(DD247&amp;"")="","",IFERROR(TRIM(INDEX(_xlfn.TEXTSPLIT(DD247&amp;";;;",";"),3)),""))</f>
        <v/>
      </c>
      <c r="DH247">
        <f t="shared" si="447"/>
        <v>0</v>
      </c>
      <c r="DI247" t="str">
        <f>IF(B247="","",_xlfn.LET(_xlpm.t,LOWER(AZ247&amp;""),IF(ISNUMBER(SEARCH("dim",_xlpm.t)),"DIM",IF(ISNUMBER(SEARCH("dali",_xlpm.t)),"DALI",IF(OR(ISNUMBER(SEARCH("relay",_xlpm.t)),ISNUMBER(SEARCH("реле",_xlpm.t))),"Relay",IF(ISNUMBER(SEARCH("кнопк",_xlpm.t)),"",IFERROR(_xlfn.XLOOKUP(BC247,Коды_код,Коды_упр)&amp;"","")))))))</f>
        <v/>
      </c>
      <c r="DJ247" t="str">
        <f t="shared" si="448"/>
        <v/>
      </c>
      <c r="DK247">
        <f>IF(B247="","",_xlfn.LET(_xlpm.ig,IF(N(CX247)&gt;0,N(CX247),N(CI247)+IF(AJ247="вручную",0,N(CJ247))),_xlpm.n0,IFERROR(VLOOKUP(_xlpm.ig,Автомат_номиналы,2,TRUE),0),_xlpm.mn,MAX(DB247,IF(AJ247="вручную",0,N(CM247))),MAX(_xlpm.n0,_xlpm.mn,IF(DH247=1,Мин_автомат_БП,0))))</f>
        <v>16</v>
      </c>
      <c r="DL247">
        <f t="shared" si="449"/>
        <v>1</v>
      </c>
      <c r="DM247" t="str">
        <f t="shared" si="450"/>
        <v>2P</v>
      </c>
      <c r="DN247" t="str">
        <f>_xlfn.LET(_xlpm.cc,UPPER(TRIM(IFERROR(_xlfn.XLOOKUP(BC247,Коды_код,Коды_хар)&amp;"",""))),IF(OR(_xlpm.cc="B",_xlpm.cc="В"),"B",IF(_xlpm.cc="D","D","С")))</f>
        <v>С</v>
      </c>
      <c r="DO247" t="str">
        <f t="shared" si="451"/>
        <v>2P С16А 30мА</v>
      </c>
      <c r="DP247" t="str">
        <f t="shared" si="452"/>
        <v>2P С16А 30мА</v>
      </c>
      <c r="DQ247" t="str">
        <f t="shared" si="453"/>
        <v>2P С16А 30мА</v>
      </c>
      <c r="DR247" cm="1">
        <f t="array" ref="DR247">IF(DQ247="","",_xlfn.LET(_xlpm.t,SUBSTITUTE(SUBSTITUTE(SUBSTITUTE(UPPER(DQ247),"С","C"),"А","A"),"В","B"),_xlpm.tk,_xlfn.TEXTSPLIT(_xlpm.t," "),_xlpm.f,_xlfn._xlws.FILTER(_xlpm.tk,ISNUMBER(--MID(_xlpm.tk,2,1))*ISNUMBER(SEARCH(LEFT(_xlpm.tk,1)&amp;"#","B#C#D#"))*(LEN(_xlpm.tk)&gt;1),""),_xlpm.x,INDEX(_xlpm.f,1),IFERROR(--SUBSTITUTE(MID(_xlpm.x,2,9),"A",""),IFERROR(--SUBSTITUTE(INDEX(_xlfn._xlws.FILTER(_xlpm.tk,ISNUMBER(--SUBSTITUTE(_xlpm.tk,"A","")),""),1),"A",""),""))))</f>
        <v>16</v>
      </c>
      <c r="DS247" t="str">
        <f t="shared" si="454"/>
        <v>ok</v>
      </c>
      <c r="DT247">
        <f t="shared" si="455"/>
        <v>16</v>
      </c>
      <c r="DU247" t="str">
        <f t="shared" si="456"/>
        <v>2P С16А 30мА</v>
      </c>
      <c r="DV247">
        <f t="shared" si="457"/>
        <v>30</v>
      </c>
      <c r="DW247">
        <f t="shared" si="458"/>
        <v>1</v>
      </c>
      <c r="DX247">
        <f t="shared" si="459"/>
        <v>0</v>
      </c>
      <c r="DY247">
        <f t="shared" si="460"/>
        <v>1.0939268258329751</v>
      </c>
      <c r="DZ247">
        <f t="shared" si="461"/>
        <v>1</v>
      </c>
      <c r="EA247">
        <f>IF(ISNUMBER(AP247),AP247,К_прокл)</f>
        <v>1</v>
      </c>
      <c r="EB247">
        <f t="shared" si="462"/>
        <v>2</v>
      </c>
      <c r="EC247">
        <f>IFERROR(N(VLOOKUP(BZ247,Кабель_обозначение,3,FALSE)),1)</f>
        <v>1</v>
      </c>
      <c r="ED247">
        <f>IFERROR(N(_xlfn.XLOOKUP(A247,Щиты[Щит],Щиты[ΔU до шин, %])),0)</f>
        <v>1.19</v>
      </c>
      <c r="EE247" t="str">
        <f>IFERROR(_xlfn.XLOOKUP(A247,Щиты[Щит],Щиты[Zпетли на шинах, Ом]),"")</f>
        <v/>
      </c>
      <c r="EF247">
        <f>IFERROR(N(_xlfn.XLOOKUP(A247,Щиты[Щит],Щиты[ΔU до шин (подбор), %])),0)</f>
        <v>1.19</v>
      </c>
      <c r="EG247" t="str">
        <f>IFERROR(_xlfn.XLOOKUP(A247,Щиты[Щит],Щиты[Zпетли на шинах (подбор), Ом]),"")</f>
        <v/>
      </c>
      <c r="EH247" t="str">
        <f t="shared" si="463"/>
        <v/>
      </c>
      <c r="EI247">
        <f t="shared" si="464"/>
        <v>54</v>
      </c>
      <c r="EJ247">
        <f t="shared" si="465"/>
        <v>2</v>
      </c>
      <c r="EK247">
        <f t="shared" si="466"/>
        <v>0.31</v>
      </c>
      <c r="EL247" s="6">
        <f>IF(B247="","",IF(BV247=1,dU_LED,IF(IFERROR(_xlfn.XLOOKUP(BC247,Коды_код,Коды_уго),"")="Светильник",3,4)+IF(Методика="нормы 2026",MIN(0.5,MAX(0,N(P247)-100)*0.005),0)))</f>
        <v>4</v>
      </c>
      <c r="EM247" cm="1">
        <f t="array" ref="EM247">IF(OR(B247="",BZ247="",EC247&lt;&gt;1),"",_xlfn.LET(_xlpm.sz,Iдоп_S,_xlpm.t_,CHOOSE(EB247,Iдоп_1ж,Iдоп_2ж,Iдоп_3ж)*DZ247*EA247,_xlpm.dcx,BV247=1,_xlpm.inn,IF(_xlpm.dcx,N(O247),N(DT247)),_xlpm.smin,MAX(1.5,CC247),_xlpm.L_,N(P247)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247)/N(BU247)*100,999),IFERROR(N(EJ247)*(_xlpm.rho*_xlpm.L_/_xlpm.sz*N(CE247)+_xlpm.xx*_xlpm.L_*N(EK247)/1000)*N(O247)/((Uн_лин/SQRT(3))*1000)*100,999)),_xlpm.kz,IF(OR(_xlpm.dcx,DW247=1,NOT(ISNUMBER(EG247)),_xlpm.L_=0,_xlpm.inn=0),1,IFERROR(--(c_min*(Uн_лин*1000/SQRT(3))/(EG247+2*ρкз_Cu*_xlpm.L_/_xlpm.sz)&gt;=HT247*_xlpm.inn),0)),_xlpm.ok,IFERROR((_xlpm.sz&gt;=_xlpm.smin)*(_xlpm.t_&gt;=_xlpm.inn)*IF(_xlpm.L_&gt;0,(_xlpm.du_+IF(_xlpm.dcx,0,EF247)&lt;=EL247+0.00001),1)*_xlpm.kz,0),_xlpm.r_,_xlfn._xlws.FILTER(_xlpm.sz,_xlpm.ok,"не подобрано"),INDEX(_xlpm.r_,1)))</f>
        <v>1.5</v>
      </c>
      <c r="EN247">
        <f t="shared" si="467"/>
        <v>2.5</v>
      </c>
      <c r="EO247" cm="1">
        <f t="array" ref="EO247">IF(OR(B247="",BZ247="",EC247&lt;&gt;1),"",_xlfn.LET(_xlpm.sz,Iдоп_S,_xlpm.t_,CHOOSE(EB247,Iдоп_1ж,Iдоп_2ж,Iдоп_3ж)*DZ247*EA247,_xlpm.ok,IFERROR((_xlpm.sz&gt;=MAX(1.5,CC247))*(_xlpm.t_&gt;=N(DT247)),0),_xlpm.r_,_xlfn._xlws.FILTER(_xlpm.sz,_xlpm.ok,""),INDEX(_xlpm.r_,1)))</f>
        <v>1.5</v>
      </c>
      <c r="EP247" s="6" cm="1">
        <f t="array" ref="EP247">IFERROR(ROUNDUP(N(EJ247)*(_xlfn.XLOOKUP(EO247,INDEX(Кабель_сопротивление,0,1),INDEX(Кабель_сопротивление,0,3))*N(P247)/EO247*N(CE247)+_xlfn.XLOOKUP(EO247,INDEX(Кабель_сопротивление,0,1),INDEX(Кабель_сопротивление,0,2))*N(P247)*N(EK247)/1000)*N(O247)/((Uн_лин/SQRT(3))*1000)*100,2),"")</f>
        <v>1.02</v>
      </c>
      <c r="EQ247">
        <f>IFERROR(2*ρкз_Cu*N(P247)/EO247,"")</f>
        <v>2.6300000000000003</v>
      </c>
      <c r="ER247">
        <f>IFERROR(VLOOKUP(EN247,Кабель_сопротивление,3,FALSE),"")</f>
        <v>2.2499999999999999E-2</v>
      </c>
      <c r="ES247">
        <f>IFERROR(VLOOKUP(EN247,Кабель_сопротивление,2,FALSE),"")</f>
        <v>0.1</v>
      </c>
      <c r="ET247">
        <f t="shared" si="468"/>
        <v>47</v>
      </c>
      <c r="EU247">
        <f t="shared" si="469"/>
        <v>0</v>
      </c>
      <c r="EV247">
        <f t="shared" si="470"/>
        <v>1.4080479138709139</v>
      </c>
      <c r="EW247" s="6">
        <f>IFERROR(ROUNDUP(EV247/IF(BV247=1,BU247,(Uн_лин/SQRT(3))*1000)*100,2),"")</f>
        <v>0.61</v>
      </c>
      <c r="EX247" t="str">
        <f>IFERROR(VLOOKUP(BZ247,Кабель_обозначение,2,FALSE),"")</f>
        <v>ВВГнг(А)-LS</v>
      </c>
      <c r="EY247" t="str">
        <f t="shared" si="471"/>
        <v>ВВГнг(А)-LS (3х2,5)</v>
      </c>
      <c r="EZ247" t="str">
        <f t="shared" si="472"/>
        <v>ВВГнг(А)-LS (3х2,5)
L=75-0,61%</v>
      </c>
      <c r="FA247">
        <f>IFERROR(2*ρкз_Cu*P247/EN247,"")</f>
        <v>1.5780000000000001</v>
      </c>
      <c r="FB247">
        <f t="shared" si="473"/>
        <v>0.52500000000000013</v>
      </c>
      <c r="FC247" s="6" t="str">
        <f>IFERROR(IF(OR(B247="",BV247=1,NOT(ISNUMBER(EN247)),N(P247)=0),"",_xlfn.XLOOKUP(A247,Щиты[Щит],Щиты[Zпетли на шинах, Ом])+FA247),"")</f>
        <v/>
      </c>
      <c r="FD247" s="6" t="str">
        <f>IF(ISNUMBER(FC247),c_min*(Uн_лин*1000/SQRT(3))/FC247,"")</f>
        <v/>
      </c>
      <c r="FE247" s="6" t="str">
        <f>IFERROR(IF(OR(B247="",NOT(ISNUMBER(EN247))),"",1.05*(Uн_лин*1000/SQRT(3))/(_xlfn.XLOOKUP(A247,Щиты[Щит],Щиты[Zmax на шинах, Ом])+FB247)/1000),"")</f>
        <v/>
      </c>
      <c r="FF247" s="6" t="str">
        <f>IF(B247="","",IF(ISNUMBER(AC247),"Сил",IF(IFERROR(_xlfn.XLOOKUP(BC247,Коды_код,Коды_группа)&amp;"","")="","Быт",_xlfn.XLOOKUP(BC247,Коды_код,Коды_группа)&amp;"")))</f>
        <v>Быт</v>
      </c>
      <c r="FG247" s="6" t="str">
        <f t="shared" si="474"/>
        <v>Быт</v>
      </c>
      <c r="FH247" s="6">
        <f>IF(FG247="Щит","щит",IF(FG247="","",IF(FG247="Быт",IFERROR(_xlfn.XLOOKUP(A247,Щиты[Щит],Щиты[Кс быт]),1),IF(FG247="Сил",IF(ISNUMBER(AC247),AC247,IF(Методика="нормы 2026",IFERROR(_xlfn.XLOOKUP(A247,Щиты[Щит],Щиты[Кс силовых (табл. 7.5)]),1),1)),IF(OR(FG247="Пост",FG247="Отоп"),1,IF(FG247="ВНГ",0.7,0))))))</f>
        <v>0.57830000000000004</v>
      </c>
      <c r="FI247">
        <f>IF(FG247="","",IF(AND(BP247=1,TRIM(AE247&amp;"")=""),IF(COUNTIFS(Линии[Щит],A247,Линии[Секция (1/2/3)],"&gt;=2")&gt;0,MIN(3,MAX(1,IFERROR(--BD247,1))),1),IFERROR(MIN(3,MAX(1,INT(--AE247))),1)))</f>
        <v>1</v>
      </c>
      <c r="FJ247">
        <f t="shared" si="475"/>
        <v>0.24</v>
      </c>
      <c r="FK247">
        <f t="shared" si="476"/>
        <v>0.24</v>
      </c>
      <c r="FL247">
        <f t="shared" si="477"/>
        <v>0</v>
      </c>
      <c r="FM247">
        <f t="shared" si="478"/>
        <v>0</v>
      </c>
      <c r="FN247">
        <f t="shared" si="479"/>
        <v>0</v>
      </c>
      <c r="FO247">
        <f t="shared" si="480"/>
        <v>0</v>
      </c>
      <c r="FP247">
        <f t="shared" si="481"/>
        <v>0.24</v>
      </c>
      <c r="FQ247">
        <f t="shared" si="482"/>
        <v>0.24</v>
      </c>
      <c r="FR247">
        <f t="shared" si="483"/>
        <v>0.22799999999999998</v>
      </c>
      <c r="FS247">
        <f>IF(CG247=1,IF(AND(CH247=1,CW247=1),0,IF(AND(CS247&lt;&gt;"",CS247=BA247,CW247=1),SUMIFS(Линии[_Р линии, кВт],Линии[_блок УЗО],BA247,Линии[Щит],A247),N(BS247)+IF(AJ247="вручную",0,N(CK247)))),0)</f>
        <v>0.24</v>
      </c>
      <c r="FT247" t="str">
        <f t="shared" si="484"/>
        <v/>
      </c>
      <c r="FU247" t="str">
        <f>IF(B247="","",IF(CG247=0,IF(BA247=1,"",FW246),IF(AND(CH247=1,CW247=1,CS247&lt;&gt;""),IFERROR(_xlfn.XLOOKUP(CS247,Линии[_n],Линии[_фаза итог]),"L1"),IF(OR(N(DL247)&gt;=3,N(BX247)&gt;=3),"L1,L2,L3",IFERROR(_xlfn.TEXTBEFORE(_xlfn.TEXTAFTER(_xlfn.XLOOKUP(A247,Щиты[Щит],Щиты[_фазы авто]),";"&amp;BA247&amp;":"),";"),"L1")))))</f>
        <v>L3</v>
      </c>
      <c r="FV247" t="str">
        <f t="shared" si="485"/>
        <v>L3</v>
      </c>
      <c r="FW247" t="str">
        <f t="shared" si="486"/>
        <v>L3</v>
      </c>
      <c r="FX247" cm="1">
        <f t="array" ref="FX247">IFERROR(IF(CD247=2,_xlfn.IFS(BX247=3,VLOOKUP(BS247,Справочная_двигатели,3,FALSE),BX247=1,VLOOKUP(BS247,Справочная_двигатели,5,TRUE)),0),0)</f>
        <v>0</v>
      </c>
      <c r="FY247">
        <f>IFERROR(IF(CD247=3,VLOOKUP(BS247,Справочная_ЛЭД,2,TRUE),0),0)</f>
        <v>0</v>
      </c>
      <c r="FZ247" s="6">
        <f t="shared" si="487"/>
        <v>0</v>
      </c>
      <c r="GA247" t="str">
        <f>IF(B247="","",IF(TRIM(AH247&amp;"")&lt;&gt;"",IF(LOWER(TRIM(AH247&amp;""))="да","да","нет"),IF(IFERROR(_xlfn.XLOOKUP(BC247,Коды_код,Коды_пожарная),"")="да","да","нет")))</f>
        <v>нет</v>
      </c>
      <c r="GB247" t="str">
        <f t="shared" si="488"/>
        <v/>
      </c>
      <c r="GC247" t="str">
        <f t="shared" si="489"/>
        <v>основная</v>
      </c>
      <c r="GD247">
        <f>IF(AND(BP247=1,TRIM(AE247&amp;"")=""),IF(COUNTIFS(Линии[Щит],A247,Линии[Секция (1/2/3)],"&gt;=2")&gt;0,MIN(3,MAX(1,IFERROR(--BD247,1))),1),IFERROR(MIN(3,MAX(1,INT(--AE247))),1))</f>
        <v>1</v>
      </c>
      <c r="GE247" t="str" cm="1">
        <f t="array" ref="GE247">IF(B247="","",_xlfn.LET(_xlpm.t,IFERROR(_xlfn.XLOOKUP(1,(Шины[Шина]=GC247)*(((Шины[Щит]=A247)+(Шины[Щит]=""))&gt;0),Шины[Тип]),"")&amp;"",IF(_xlpm.t&lt;&gt;"",_xlpm.t,IF(ISNUMBER(SEARCH("ИБП",GC247)),"ИБП",IF(ISNUMBER(SEARCH("ДГУ",GC247)),"ДГУ","Ввод "&amp;GD247)))))</f>
        <v>Ввод 1</v>
      </c>
      <c r="GF247" t="str">
        <f t="shared" si="490"/>
        <v>Ввод 1</v>
      </c>
      <c r="GG247" t="str">
        <f>IF(BP247=0,"",IF(TRIM(AG247&amp;"")&lt;&gt;"",TRIM(AG247&amp;""),IF(OR(GE247="ИБП",GE247="ДГУ"),"I особая",_xlfn.XLOOKUP(A247,Щиты[Щит],Щиты[Категория шины «Ввод»],"III"))))</f>
        <v/>
      </c>
      <c r="GH247" t="str">
        <f>IF(A247="","",_xlfn.XLOOKUP(A247,Щиты[Щит],Щиты[Путь],""))</f>
        <v>|ГРЩ-ЖД|ЩР-1|</v>
      </c>
      <c r="GI247" t="str">
        <f>IF(B247="","",IF(AI247&lt;&gt;"",AI247,IF(IFERROR(_xlfn.XLOOKUP(BC247,Коды_код,Коды_вид)&amp;"","")="","Прочее",_xlfn.XLOOKUP(BC247,Коды_код,Коды_вид)&amp;"")))</f>
        <v>Розеточная сеть и бытовые приборы</v>
      </c>
      <c r="GJ247">
        <f>IF(BM247="","",INT((BM247-1)/Столбцов_на_лист)+1)</f>
        <v>2</v>
      </c>
      <c r="GK247" t="str">
        <f t="shared" si="491"/>
        <v>ВВГнг(А)-LS (3х2,5) L=75-0,61%</v>
      </c>
      <c r="GL247">
        <f t="shared" si="492"/>
        <v>0.24</v>
      </c>
      <c r="GM247">
        <f t="shared" si="493"/>
        <v>1.1000000000000001</v>
      </c>
      <c r="GN247">
        <f t="shared" si="494"/>
        <v>1</v>
      </c>
      <c r="GO247">
        <f t="shared" si="495"/>
        <v>0</v>
      </c>
      <c r="GP247">
        <f t="shared" si="496"/>
        <v>1</v>
      </c>
      <c r="GQ247">
        <f>IF(BM247="","",IF(AND(CG247=1,GP247=1),COUNTIFS(A$3:A247,A247,CG$3:CG247,1,GP$3:GP247,1),IF(OR(OR(BA247=1,A247&lt;&gt;A246),AJ247="вручную",GP247=0),"",IF(BA247=1,"",GR246))))</f>
        <v>23</v>
      </c>
      <c r="GR247">
        <f t="shared" si="497"/>
        <v>23</v>
      </c>
      <c r="GS247">
        <f>IF(B247="","",IFERROR(LOOKUP(INDEX(CHOOSE(EB247,Iдоп_1ж,Iдоп_2ж,Iдоп_3ж),MATCH(EN247,Iдоп_S,0))*DZ247*EA247,{6,10,16,20,25,32,40,50,63,80,100,125,160,200,250,315,400,500,630}),""))</f>
        <v>25</v>
      </c>
      <c r="GT247" t="str">
        <f t="shared" si="498"/>
        <v>QFD23</v>
      </c>
      <c r="GU247" t="str">
        <f t="shared" si="499"/>
        <v>QFD23</v>
      </c>
      <c r="GV247" t="str">
        <f t="shared" si="500"/>
        <v/>
      </c>
      <c r="GW247">
        <f t="shared" si="501"/>
        <v>0</v>
      </c>
      <c r="GX247" t="str">
        <f>IF(OR(B247="",DJ247=""),"",IFERROR(_xlfn.XLOOKUP(DJ247,Модули_умолч[Управление],Модули_умолч[Модель])&amp;"",""))</f>
        <v/>
      </c>
      <c r="GY247">
        <f>IF(DJ247="",1,IFERROR(MAX(0,N(_xlfn.XLOOKUP(DJ247,Модули_умолч[Управление],Модули_умолч[Каналов на линию]))),1))</f>
        <v>1</v>
      </c>
      <c r="GZ247" t="str">
        <f t="shared" si="502"/>
        <v/>
      </c>
      <c r="HA247" t="str">
        <f t="shared" si="503"/>
        <v/>
      </c>
      <c r="HB247" t="str">
        <f t="shared" si="504"/>
        <v/>
      </c>
      <c r="HC247">
        <f>IF(HB247="",0,IFERROR(N(VLOOKUP(HB247,Модули_спр,3,FALSE)),0))</f>
        <v>0</v>
      </c>
      <c r="HD247" t="str">
        <f t="shared" si="505"/>
        <v/>
      </c>
      <c r="HE247" t="str">
        <f t="shared" si="506"/>
        <v/>
      </c>
      <c r="HF247" t="str">
        <f>IF(OR(HE247="",HE247="-"),"",IFERROR(VLOOKUP(HE247,Модули_спр,2,FALSE),"R"))</f>
        <v/>
      </c>
      <c r="HG247" t="str">
        <f>IF(HF247="","",HF247&amp;"."&amp;COUNTIFS(A$3:A247,A247,HF$3:HF247,HF247))</f>
        <v/>
      </c>
      <c r="HH247" t="str">
        <f t="shared" si="507"/>
        <v/>
      </c>
      <c r="HI247" t="str">
        <f t="shared" si="508"/>
        <v/>
      </c>
      <c r="HJ247" t="str">
        <f t="shared" si="509"/>
        <v/>
      </c>
      <c r="HK247" t="str">
        <f t="shared" si="510"/>
        <v/>
      </c>
      <c r="HL247">
        <f t="shared" si="511"/>
        <v>1</v>
      </c>
      <c r="HM247" t="str">
        <f>IF(HL247=1,"XT"&amp;COUNTIFS(A$3:A247,A247,HL$3:HL247,1),"")</f>
        <v>XT23</v>
      </c>
      <c r="HN247" t="str">
        <f t="shared" si="512"/>
        <v/>
      </c>
      <c r="HO247" t="str">
        <f t="shared" si="513"/>
        <v>QFD23</v>
      </c>
      <c r="HP247" t="str">
        <f t="shared" si="514"/>
        <v/>
      </c>
      <c r="HQ247" t="str">
        <f t="shared" si="515"/>
        <v>ok</v>
      </c>
      <c r="HR247" t="str">
        <f>IF(OR(HJ247="",HH247=""),"",IF(HJ247+MAX(0,GY247-1)&gt;IFERROR(VLOOKUP(HI247,Модули_спр,3,FALSE),99),"ЛИШНИЙ КАНАЛ",IF(AND(AL247&lt;&gt;"=",GY247&gt;0,COUNTIFS(Линии[_модуль гр.],HH247,Линии[Канал (итог)],HJ247,Линии[Канал],"&lt;&gt;=",Линии[Щит],A247)&gt;1),"ДУБЛЬ КАНАЛА","")))</f>
        <v/>
      </c>
      <c r="HS247" s="6" t="str">
        <f t="shared" si="516"/>
        <v/>
      </c>
      <c r="HT247">
        <f t="shared" si="517"/>
        <v>10</v>
      </c>
      <c r="HU247" t="str">
        <f t="shared" si="518"/>
        <v/>
      </c>
      <c r="HV247">
        <f t="shared" si="519"/>
        <v>1.1875707303331899</v>
      </c>
      <c r="HW247">
        <f t="shared" si="520"/>
        <v>0</v>
      </c>
      <c r="HX247">
        <f t="shared" si="521"/>
        <v>0</v>
      </c>
      <c r="HY247">
        <f t="shared" si="522"/>
        <v>0</v>
      </c>
      <c r="HZ247">
        <f t="shared" si="523"/>
        <v>0</v>
      </c>
      <c r="IA247">
        <f t="shared" si="524"/>
        <v>0</v>
      </c>
      <c r="IB247">
        <f t="shared" si="525"/>
        <v>0</v>
      </c>
      <c r="IC247" t="str">
        <f t="shared" si="526"/>
        <v/>
      </c>
      <c r="ID247" t="str" cm="1">
        <f t="array" ref="ID247">IF(IC247="","",_xlfn.LET(_xlpm.tk,_xlfn.TEXTSPLIT(SUBSTITUTE(SUBSTITUTE(IC247,";"," "),"→"," ")," ",,TRUE),_xlpm.w_,_xlfn._xlws.FILTER(_xlpm.tk,ISNUMBER(--LEFT(_xlpm.tk,1))*((ISNUMBER(SEARCH("W",_xlpm.tk))+ISNUMBER(SEARCH("Вт",_xlpm.tk)))&gt;0),""),IFERROR(--SUBSTITUTE(SUBSTITUTE(UPPER(INDEX(_xlpm.w_,1)),"W",""),"ВТ",""),"")))</f>
        <v/>
      </c>
      <c r="IE247" t="str" cm="1">
        <f t="array" ref="IE247">IF(IC247="","",_xlfn.LET(_xlpm.tk,_xlfn.TEXTSPLIT(SUBSTITUTE(SUBSTITUTE(IC247,";"," "),"→"," ")," ",,TRUE),_xlpm.v_,_xlfn._xlws.FILTER(_xlpm.tk,ISNUMBER(--LEFT(_xlpm.tk,1))*((ISNUMBER(SEARCH("V",_xlpm.tk))+(RIGHT(UPPER(_xlpm.tk))="В"))&gt;0),""),IFERROR(--SUBSTITUTE(SUBSTITUTE(UPPER(INDEX(_xlpm.v_,1)),"V",""),"В",""),"")))</f>
        <v/>
      </c>
      <c r="IF247" s="6" t="str">
        <f>IF(OR(BV247=0,HI247="",HJ247=""),"",IFERROR(N(_xlfn.XLOOKUP(HI247,Каталог!$C$4:$C$500,Каталог!$Q$4:$Q$500)),""))</f>
        <v/>
      </c>
      <c r="IG247" s="6" t="str">
        <f>IF(N(IF247)=0,"",SUMIFS(Линии[Iр, А],Линии[Щит],A247,Линии[_модуль гр.],HH247,Линии[Канал (итог)],HJ247))</f>
        <v/>
      </c>
      <c r="IH247" t="str">
        <f>IF(AND(B247="",HO247=""),"",_xlfn.TEXTJOIN("; ",TRUE,IF(AND(B247&lt;&gt;"",FV247=""),"нет фазы",""),IF(AND(B247&lt;&gt;"",N(GL247)=0,FG247&lt;&gt;"Нет"),"нет мощности",""),IF(AND(HN247&lt;&gt;"",COUNTIFS(Линии[Щит],A247,Линии[Клемма (итог)],HN247)&gt;1),"дубль клеммы "&amp;HN247,""),IF(AND(HQ247&lt;&gt;"",HQ247&lt;&gt;"ok"),HQ247,""),IF(HR247&lt;&gt;"",HR247,""),IF(AND(N(CB247)&gt;=4,N(BX247)=1),CB247&amp;" жил на 1 фазе",""),IF(AND(BC247="R",CG247=1,IF(CS247&lt;&gt;"",N(CV247)&gt;30,OR(N(DA247)=0,N(DA247)&gt;30))),"розетка без дифзащиты до 30 мА",""),IF(AND(CG247=1,N(DA247)&gt;0,ISNUMBER(T247)),IF(T247&gt;N(DA247)/3,"ток утечки "&amp;FIXED(T247,1)&amp;" мА &gt; 1/3 уставки ("&amp;DA247&amp;" мА)",""),""),IF(AND(CH247=1,CS247=""),"«узо»: нет строки с УЗО выше (УЗО 2P 40А 30мА в «Аппаратах»)",""),IF(AND(CS247&lt;&gt;"",CS247=BA247),IF(CT247="","впишите номинал УЗО (УЗО 2P 40А 30мА)",IF(N(CT247)&lt;N(DT247),"УЗО "&amp;CT247&amp;" А &lt; автомата "&amp;DT247&amp;" А перед ним",IF(N(CT247)&lt;N(CX247),"УЗО "&amp;CT247&amp;" А &lt; тока блока "&amp;FIXED(CX247,1)&amp;" А",""))),""),IF(AND(CS247&lt;&gt;"",CS247=BA247,ISNUMBER(CY247)),IF(CY247&gt;N(CV247)/3,"ток утечки блока УЗО "&amp;FIXED(CY247,1)&amp;" мА &gt; 1/3 уставки ("&amp;CV247&amp;" мА)",""),""),IF(AND(CG247=1,N(BV247)+N(IB247)&gt;0,IC247=""),"линии до 50 В без БП: впишите в «Аппараты» (БП 24V 480W)",""),IF(AND(CG247=1,ISNUMBER(ID247),ISNUMBER(U247)),IF(U247&gt;ID247,"БП "&amp;ID247&amp;" Вт &lt; нужно "&amp;U247&amp;" Вт (×"&amp;Запас_БП&amp;")",""),""),IF(AND(CG247=1,ISNUMBER(IE247),N(BV247)=1),IF(IE247&lt;&gt;N(BU247),"БП на "&amp;IE247&amp;" В, линия "&amp;BU247&amp;" В",""),""),IF(AND(N(IF247)&gt;0,N(IG247)&gt;N(IF247)),HH247&amp;" канал "&amp;HJ247&amp;": "&amp;FIXED(IG247,1)&amp;" А &gt; "&amp;IF247&amp;" А",""),IFERROR(IF(AND(ISNUMBER(Q247),Q247&gt;EL247),"потери "&amp;FIXED(Q247,1)&amp;" % &gt; "&amp;EL247&amp;" %",""),""),IFERROR(IF(LEFT(HU247,4)="мало","Iкз мало — отключение &gt; 0,4 с",""),""),IF(AND(B247&lt;&gt;"",BM247=""),"не на схеме",""),IF(AND(CG247=0,B247&lt;&gt;"",FV247&lt;&gt;"",IF(BA247=1,"",FW246)&lt;&gt;"",FV247&lt;&gt;IF(BA247=1,"",FW246)),"фаза не как у автомата группы ("&amp;IF(BA247=1,"",FW246)&amp;")","")))</f>
        <v/>
      </c>
      <c r="II247" s="6">
        <f>IF(OR(CG247=0,DQ247=""),"",_xlfn.LET(_xlpm.t,IFERROR(_xlfn.XLOOKUP(DQ247,Каталог!$U$4:$U$500,Каталог!$G$4:$G$500),""),_xlpm.k,SEARCH("кА",_xlpm.t),IFERROR(--TRIM(RIGHT(SUBSTITUTE(MID(_xlpm.t,MAX(1,_xlpm.k-4),_xlpm.k-MAX(1,_xlpm.k-4))," ",REPT(" ",9)),5)),"")))</f>
        <v>6</v>
      </c>
      <c r="IJ247" t="str">
        <f>IF(OR(II247="",CG247=0),"",IF(_xlfn.XLOOKUP(A247,Щиты[Щит],Щиты[Iкз max на шинах, кА],"")="","",IF(II247&lt;_xlfn.XLOOKUP(A247,Щиты[Щит],Щиты[Iкз max на шинах, кА]),"Icu "&amp;II247&amp;" кА &lt; Iкз max","ok")))</f>
        <v/>
      </c>
      <c r="IK247" t="str">
        <f t="shared" si="527"/>
        <v/>
      </c>
      <c r="IL247" t="str">
        <f t="shared" si="528"/>
        <v>QFD23</v>
      </c>
      <c r="IM247" t="str">
        <f t="shared" si="529"/>
        <v>QFD23|кабель ВВГнг(А)-LS (3х2,5) → Розеточная группа, пом. 004Aб</v>
      </c>
      <c r="IN247" t="str" cm="1">
        <f t="array" ref="IN247">IF(IM247="","",_xlfn.LET(_xlpm.nd,_xlfn.TEXTSPLIT(IM247,"|"),IF(COLUMNS(_xlpm.nd)&gt;1,A247&amp;"¦"&amp;INDEX(_xlpm.nd,1)&amp;"¦"&amp;INDEX(_xlpm.nd,2),"")))</f>
        <v>ЩР-1¦QFD23¦кабель ВВГнг(А)-LS (3х2,5) → Розеточная группа, пом. 004Aб</v>
      </c>
      <c r="IO247" t="str">
        <f t="shared" si="530"/>
        <v>R.1.004Aб.1¦Розеточная группа, пом. 004Aб</v>
      </c>
      <c r="IP247" t="str" cm="1">
        <f t="array" ref="IP247">IF(IM247="","",_xlfn.LET(_xlpm.nd,_xlfn.TEXTSPLIT(IM247,"|"),IF(COLUMNS(_xlpm.nd)&gt;2,A247&amp;"¦"&amp;INDEX(_xlpm.nd,2)&amp;"¦"&amp;INDEX(_xlpm.nd,3),"")))</f>
        <v/>
      </c>
      <c r="IQ247" t="str">
        <f t="shared" si="531"/>
        <v/>
      </c>
      <c r="IR247" t="str" cm="1">
        <f t="array" ref="IR247">IF(IM247="","",_xlfn.LET(_xlpm.nd,_xlfn.TEXTSPLIT(IM247,"|"),IF(COLUMNS(_xlpm.nd)&gt;3,A247&amp;"¦"&amp;INDEX(_xlpm.nd,3)&amp;"¦"&amp;INDEX(_xlpm.nd,4),"")))</f>
        <v/>
      </c>
      <c r="IS247" t="str">
        <f t="shared" si="532"/>
        <v/>
      </c>
      <c r="IT247" t="str" cm="1">
        <f t="array" ref="IT247">IF(IM247="","",_xlfn.LET(_xlpm.nd,_xlfn.TEXTSPLIT(IM247,"|"),IF(COLUMNS(_xlpm.nd)&gt;4,A247&amp;"¦"&amp;INDEX(_xlpm.nd,4)&amp;"¦"&amp;INDEX(_xlpm.nd,5),"")))</f>
        <v/>
      </c>
      <c r="IU247" t="str">
        <f t="shared" si="533"/>
        <v/>
      </c>
      <c r="IV247" t="str" cm="1">
        <f t="array" ref="IV247">IF(IM247="","",_xlfn.LET(_xlpm.nd,_xlfn.TEXTSPLIT(IM247,"|"),IF(COLUMNS(_xlpm.nd)&gt;5,A247&amp;"¦"&amp;INDEX(_xlpm.nd,5)&amp;"¦"&amp;INDEX(_xlpm.nd,6),"")))</f>
        <v/>
      </c>
      <c r="IW247" t="str">
        <f t="shared" si="534"/>
        <v/>
      </c>
      <c r="IX247" t="str" cm="1">
        <f t="array" ref="IX247">IF(IM247="","",_xlfn.LET(_xlpm.nd,_xlfn.TEXTSPLIT(IM247,"|"),IF(COLUMNS(_xlpm.nd)&gt;6,A247&amp;"¦"&amp;INDEX(_xlpm.nd,6)&amp;"¦"&amp;INDEX(_xlpm.nd,7),"")))</f>
        <v/>
      </c>
      <c r="IY247" t="str">
        <f t="shared" si="535"/>
        <v/>
      </c>
      <c r="IZ247" t="str">
        <f t="shared" si="536"/>
        <v/>
      </c>
      <c r="JA247" t="str">
        <f t="shared" si="537"/>
        <v>QFD23</v>
      </c>
      <c r="JB247">
        <f t="shared" si="538"/>
        <v>0</v>
      </c>
      <c r="JC247">
        <f t="shared" si="539"/>
        <v>1</v>
      </c>
      <c r="JD247" t="str">
        <f t="shared" si="540"/>
        <v/>
      </c>
      <c r="JE247" t="str">
        <f t="shared" si="541"/>
        <v/>
      </c>
      <c r="JF247" t="str">
        <f t="shared" si="542"/>
        <v/>
      </c>
      <c r="JG247" t="str">
        <f t="shared" si="543"/>
        <v/>
      </c>
      <c r="JH247" t="str">
        <f>IF(B247="","",IFERROR(_xlfn.XLOOKUP(B247,Коды_код,Коды_уго),IFERROR(_xlfn.XLOOKUP(BC247,Коды_код,Коды_уго),IFERROR(_xlfn.XLOOKUP(LEFT(BC247,2),Коды_код,Коды_уго),""))))</f>
        <v>Розетка</v>
      </c>
      <c r="JI247" t="str">
        <f>IF(B247="","",IF(OR(JH247="",JH247=0),"BOX",IFERROR(IF(VLOOKUP(JH247,УГО_блоки,3,FALSE)&amp;""&lt;&gt;"",VLOOKUP(JH247,УГО_блоки,3,FALSE),VLOOKUP(JH247,УГО_блоки,2,FALSE)),JH247)))</f>
        <v>SOCKET</v>
      </c>
      <c r="JJ247">
        <f t="shared" si="544"/>
        <v>1</v>
      </c>
      <c r="JK247" t="str">
        <f>IF(DQ247="","",IF(COUNTIF(DQ$3:DQ247,DQ247)=1,MAX(JK$2:JK246)+1,""))</f>
        <v/>
      </c>
      <c r="JL247" t="str">
        <f>IF(DE247="","",IF(COUNTIF(DE$3:DE247,DE247)+COUNTIF(DF$2:DF246,DE247)+COUNTIF(DG$2:DG246,DE247)=1,MAX(JL$2:JN246)+1,""))</f>
        <v/>
      </c>
      <c r="JM247" t="str">
        <f>IF(DF247="","",IF(COUNTIF(DE$3:DE247,DF247)+COUNTIF(DF$3:DF247,DF247)+COUNTIF(DG$2:DG246,DF247)=1,MAX(JL$2:JN246,JL247)+1,""))</f>
        <v/>
      </c>
      <c r="JN247" t="str">
        <f>IF(DG247="","",IF(COUNTIF(DE$3:DE247,DG247)+COUNTIF(DF$3:DF247,DG247)+COUNTIF(DG$3:DG247,DG247)=1,MAX(JL$2:JN246,JL247,JM247)+1,""))</f>
        <v/>
      </c>
      <c r="JO247" t="str">
        <f t="shared" si="545"/>
        <v>3х2,5</v>
      </c>
      <c r="JP247" t="str">
        <f>IF(JO247="","",IF(COUNTIF(JO$3:JO247,JO247)=1,MAX(JP$2:JP246)+1,""))</f>
        <v/>
      </c>
      <c r="JQ247" t="str">
        <f>IF(HG247="","",COUNTIF(HG$3:HG247,"?*"))</f>
        <v/>
      </c>
      <c r="JR247" t="str">
        <f>IF(OR(HG247="",HI247=""),"",IF(COUNTIFS(HG$3:HG247,"?*",HI$3:HI247,HI247)=1,MAX(JR$2:JR246)+1,""))</f>
        <v/>
      </c>
      <c r="JS247">
        <f t="shared" si="546"/>
        <v>0</v>
      </c>
      <c r="JT247">
        <f>IF(B247="","",COUNTIF(B$3:B247,"?*"))</f>
        <v>245</v>
      </c>
      <c r="JU247">
        <f>IF(HL247&lt;&gt;1,0,_xlfn.LET(_xlpm.k,MAX(IFERROR(--_xlfn.XLOOKUP(B247,Коды_код,Коды_3L),0),IFERROR(--_xlfn.XLOOKUP(BC247,Коды_код,Коды_3L),0),IFERROR(--_xlfn.XLOOKUP(LEFT(BC247,2),Коды_код,Коды_3L),0)),IF(_xlpm.k&gt;0,_xlpm.k,IF(IFERROR(--LEFT(SUBSTITUTE(JO247,"x","х"),FIND("х",SUBSTITUTE(JO247,"x","х"))-1),3)&gt;3,Каталог!$S$9,1))))</f>
        <v>1</v>
      </c>
      <c r="JV247">
        <f t="shared" si="547"/>
        <v>0</v>
      </c>
      <c r="JW247" t="str">
        <f t="shared" si="548"/>
        <v>авто</v>
      </c>
      <c r="JX247">
        <f t="shared" si="549"/>
        <v>30</v>
      </c>
      <c r="JY247">
        <f t="shared" si="550"/>
        <v>1</v>
      </c>
      <c r="JZ247">
        <f t="shared" si="551"/>
        <v>1</v>
      </c>
    </row>
    <row r="248" spans="1:286" x14ac:dyDescent="0.3">
      <c r="A248" t="s">
        <v>757</v>
      </c>
      <c r="B248" t="s">
        <v>1554</v>
      </c>
      <c r="C248" t="str">
        <f>Линии[[#This Row],[_авто наименование]]</f>
        <v>Розеточная группа, пом. 005A</v>
      </c>
      <c r="D248">
        <v>1</v>
      </c>
      <c r="E248">
        <v>0.06</v>
      </c>
      <c r="G248" t="str">
        <f>Линии[[#This Row],[_авто автомат]]</f>
        <v>2P С16А 30мА</v>
      </c>
      <c r="H248" t="str">
        <f>Линии[[#This Row],[_авто управление]]</f>
        <v/>
      </c>
      <c r="I248" t="str">
        <f>Линии[[#This Row],[_авто аппараты]]</f>
        <v/>
      </c>
      <c r="J248">
        <v>2.5</v>
      </c>
      <c r="K248">
        <v>28</v>
      </c>
      <c r="L248" t="str">
        <f>Линии[[#This Row],[_авто фаза]]</f>
        <v>L3</v>
      </c>
      <c r="M248" t="str">
        <f>Линии[[#This Row],[_авто клемма]]</f>
        <v>XT24</v>
      </c>
      <c r="N248" t="str">
        <f t="shared" si="414"/>
        <v/>
      </c>
      <c r="O248" s="6" cm="1">
        <f t="array" ref="O248">IF(B248="","",IF(BH248&lt;&gt;"",IFERROR(_xlfn.XLOOKUP(BH248,Щиты[Щит],Щиты[Iр, А]),""),IF(BP248=1,IF(OR(N(_xlfn.XLOOKUP(A248,Щиты[Щит],Щиты[Вводов],1))&lt;=1,LOWER(TRIM(_xlfn.XLOOKUP(A248,Щиты[Щит],Щиты[АВР],"")&amp;""))="да"),IFERROR(_xlfn.XLOOKUP(A248,Щиты[Щит],Щиты[Iр, А]),""),IFERROR(N(BS248)*_xlfn.XLOOKUP(A248,Щиты[Щит],Щиты[Кс итог])/(SQRT(3)*Uн_лин*_xlfn.XLOOKUP(A248,Щиты[Щит],Щиты[cos φ])),"")),IF(BV248=1,IFERROR(BS248*1000/BU248,""),IFERROR(_xlfn.IFS(BX248=1,BS248/((Uн_лин/SQRT(3))*CE248),BX248=3,BS248/(SQRT(3)*Uн_лин*CE248)),"")))))</f>
        <v>0.27348170645824377</v>
      </c>
      <c r="P248" s="7">
        <f>IF(B248="","",IFERROR(IF(VLOOKUP(BC248,Потребители_обозначение,4,FALSE)=1,VLOOKUP(BC248,Потребители_обозначение,3,FALSE)*(MAX(1,N(D248))*2-1)+EI248+VLOOKUP(BE248,Этаж_обозначение,3,FALSE)+VLOOKUP(BE248,Этаж_обозначение,4,FALSE),VLOOKUP(BC248,Потребители_обозначение,3,FALSE)*(MAX(1,N(D248))*2-1)+EI248),EI248))</f>
        <v>31</v>
      </c>
      <c r="Q248" s="6">
        <f t="shared" si="415"/>
        <v>1.26</v>
      </c>
      <c r="R248" t="str">
        <f t="shared" si="416"/>
        <v>ВВГнг(А)-LS (3х2,5)</v>
      </c>
      <c r="S248" t="str">
        <f>IF(BM248="","",IF(BN248="вводной узел","узел ","")&amp;"л."&amp;(INT((BM248-1)/Столбцов_на_лист)+1)&amp;" / "&amp;(MOD(BM248-1,Столбцов_на_лист)+1))</f>
        <v>л.3 / 2</v>
      </c>
      <c r="T248" s="119">
        <f t="shared" si="417"/>
        <v>0.4</v>
      </c>
      <c r="U248" s="7" t="str">
        <f>IF(OR(CG248=0,N(BV248)+N(IB248)=0),"",ROUNDUP(Запас_БП*(N(HY248)+N(HZ248)),0))</f>
        <v/>
      </c>
      <c r="V248" s="119" t="str">
        <f t="shared" si="418"/>
        <v/>
      </c>
      <c r="W248" s="7" t="str">
        <f>IFERROR(IF(OR(B248="",BP248=1,BV248=1,NOT(ISNUMBER(EN248)),N(DT248)=0),"",MAX(0,ROUNDDOWN((c_min*(Uн_лин*1000/SQRT(3))/(HT248*N(DT248))-_xlfn.XLOOKUP(A248,Щиты[Щит],Щиты[Zпетли на шинах, Ом]))*EN248/(2*ρкз_Cu),0))),"")</f>
        <v/>
      </c>
      <c r="Y248">
        <f>Линии[[#This Row],[_авто утечка]]</f>
        <v>30</v>
      </c>
      <c r="Z248">
        <v>1</v>
      </c>
      <c r="AA248">
        <v>230</v>
      </c>
      <c r="AB248" t="s">
        <v>562</v>
      </c>
      <c r="AG248" t="s">
        <v>810</v>
      </c>
      <c r="AI248" t="s">
        <v>561</v>
      </c>
      <c r="AK248" t="str">
        <f>Линии[[#This Row],[_авто модуль]]</f>
        <v/>
      </c>
      <c r="AM248">
        <v>36</v>
      </c>
      <c r="AN248" t="s">
        <v>11</v>
      </c>
      <c r="AO248">
        <v>3</v>
      </c>
      <c r="AQ248">
        <v>12</v>
      </c>
      <c r="AR248">
        <v>19</v>
      </c>
      <c r="AS248">
        <v>0</v>
      </c>
      <c r="BA248" cm="1">
        <f t="array" ref="BA248">ROW()-ROW(Линии[#Headers])</f>
        <v>246</v>
      </c>
      <c r="BC248" s="6" t="str">
        <f t="shared" si="419"/>
        <v>R</v>
      </c>
      <c r="BD248" t="str">
        <f t="shared" si="420"/>
        <v>1.005A.1</v>
      </c>
      <c r="BE248" t="str">
        <f t="shared" si="421"/>
        <v>1</v>
      </c>
      <c r="BF248" t="str">
        <f t="shared" si="422"/>
        <v>005A.1</v>
      </c>
      <c r="BG248" t="str">
        <f t="shared" si="423"/>
        <v>005A</v>
      </c>
      <c r="BH248" t="str">
        <f>IF(X248&lt;&gt;"",X248,IF(AND(B248&lt;&gt;"",B248&lt;&gt;A248,ISNUMBER(_xlfn.XMATCH(B248,Щиты[Щит]))),B248,""))</f>
        <v/>
      </c>
      <c r="BI248" t="str" cm="1">
        <f t="array" ref="BI248">IF(B248="","",IF(BH248&lt;&gt;"","Щит "&amp;BH248,_xlfn.LET(_xlpm.nm,IFERROR(_xlfn.XLOOKUP(BC248,Коды_код,Коды_имя)&amp;"",""),_xlpm.md,IFERROR(N(_xlfn.XLOOKUP(BC248,Коды_код,Коды_режим)),1),_xlpm.ex,IF(Имя_режим="по экспликации",IFERROR(_xlfn.XLOOKUP(BE248&amp;"|"&amp;BG248,Экспликация[Этаж]&amp;"|"&amp;Экспликация[Помещение],Экспликация[Название])&amp;"",""),""),_xlpm.rm,IF(BG248="","",IF(_xlpm.ex&lt;&gt;"",". "&amp;_xlpm.ex&amp;IF(Имя_пом="нет"," ("&amp;BG248&amp;")"," (пом. "&amp;BG248&amp;")"),IF(Имя_пом="нет"," ",", пом. ")&amp;BG248)),IF(_xlpm.nm="","",IF(_xlpm.md=2,_xlpm.nm&amp;" шлейф "&amp;BE248,_xlpm.nm&amp;_xlpm.rm)))))</f>
        <v>Розеточная группа, пом. 005A</v>
      </c>
      <c r="BJ248" t="str">
        <f t="shared" si="424"/>
        <v>Розеточная группа, пом. 005A</v>
      </c>
      <c r="BK248">
        <f>IFERROR(_xlfn.XMATCH(A248,Щиты[Щит]),0)</f>
        <v>10</v>
      </c>
      <c r="BL248">
        <f>_xlfn.LET(_xlpm.k,IFERROR(_xlfn.XLOOKUP(A248,Щиты[Щит],Щиты[Мест под вводной узел]),""),IF(_xlpm.k="",Столбцов_на_лист,N(_xlpm.k)))</f>
        <v>8</v>
      </c>
      <c r="BM248">
        <f t="shared" si="425"/>
        <v>36</v>
      </c>
      <c r="BN248" t="str">
        <f t="shared" si="426"/>
        <v>линии</v>
      </c>
      <c r="BO248" s="6">
        <f>IFERROR(N(_xlfn.XLOOKUP(BC248,Коды_код,Коды_квт)),0)</f>
        <v>0</v>
      </c>
      <c r="BP248">
        <f t="shared" si="427"/>
        <v>0</v>
      </c>
      <c r="BQ248" t="str">
        <f>IF(B248="","",IF(BH248&lt;&gt;"",IFERROR(_xlfn.XLOOKUP(BH248,Щиты[Щит],Щиты[Руст, кВт]),0),IF(BP248=1,IF(OR(N(_xlfn.XLOOKUP(A248,Щиты[Щит],Щиты[Вводов],1))&lt;=1,LOWER(TRIM(_xlfn.XLOOKUP(A248,Щиты[Щит],Щиты[АВР],"")&amp;""))="да"),IFERROR(_xlfn.XLOOKUP(A248,Щиты[Щит],Щиты[Руст, кВт]),0),SUMIFS(Линии[_Р для вводов],Линии[Щит],A248,Линии[Источник для режимов],GF248)),IF(BO248&gt;0,ROUND(BO248*MAX(1,N(D248)),3),""))))</f>
        <v/>
      </c>
      <c r="BR248">
        <f t="shared" si="428"/>
        <v>0.06</v>
      </c>
      <c r="BS248" s="6">
        <f>IF(B248="","",IF(BH248&lt;&gt;"",IFERROR(_xlfn.XLOOKUP(BH248,Щиты[Щит],Щиты[Руст, кВт]),0),N(BR248)))</f>
        <v>0.06</v>
      </c>
      <c r="BT248" t="str">
        <f>IF(B248="","",IFERROR(IF(VLOOKUP(BC248,Потребители_обозначение,8,FALSE)=0,"",VLOOKUP(BC248,Потребители_обозначение,8,FALSE)),""))</f>
        <v/>
      </c>
      <c r="BU248">
        <f t="shared" si="429"/>
        <v>230</v>
      </c>
      <c r="BV248">
        <f t="shared" si="430"/>
        <v>0</v>
      </c>
      <c r="BW248">
        <f>IF(B248="","",IF(BH248&lt;&gt;"",3,IFERROR(IF(N(VLOOKUP(BC248,Потребители_обозначение,9,FALSE))=0,1,VLOOKUP(BC248,Потребители_обозначение,9,FALSE)),1)))</f>
        <v>1</v>
      </c>
      <c r="BX248">
        <f t="shared" si="431"/>
        <v>1</v>
      </c>
      <c r="BY248" t="str">
        <f>IF(B248="","",_xlfn.LET(_xlpm.bc,IFERROR(IF(VLOOKUP(BC248,Потребители_обозначение,6,FALSE)=0,"",VLOOKUP(BC248,Потребители_обозначение,6,FALSE)&amp;""),""),IF(AND(GA248="да",OR(_xlpm.bc="",_xlpm.bc="мс")),Марка_пож,IF(AND(_xlpm.bc="",BH248&lt;&gt;""),"мс",_xlpm.bc))))</f>
        <v/>
      </c>
      <c r="BZ248" t="str">
        <f t="shared" si="432"/>
        <v>мс</v>
      </c>
      <c r="CA248">
        <f>IF(B248="","",_xlfn.LET(_xlpm.cc,IFERROR(N(VLOOKUP(BC248,Потребители_обозначение,7,FALSE)),0),IF(_xlpm.cc&gt;0,_xlpm.cc,IF(BZ248="","",IF(BV248=1,2,IF(N(BX248)=3,5,3))))))</f>
        <v>3</v>
      </c>
      <c r="CB248">
        <f t="shared" si="433"/>
        <v>3</v>
      </c>
      <c r="CC248">
        <f>IFERROR(N(VLOOKUP(BC248,Потребители_обозначение,10,FALSE)),0)</f>
        <v>0</v>
      </c>
      <c r="CD248">
        <f>IFERROR(VLOOKUP(BC248,Потребители_обозначение,5,FALSE),0)</f>
        <v>1</v>
      </c>
      <c r="CE248" s="6" cm="1">
        <f t="array" ref="CE248">IF(B248="","",IF(BH248&lt;&gt;"",IFERROR(_xlfn.XLOOKUP(BH248,Щиты[Щит],Щиты[cos φ]),0.95),IF(BP248=1,IFERROR(_xlfn.XLOOKUP(A248,Щиты[Щит],Щиты[cos φ]),0.95),IF(ISNUMBER(AD248),AD248,IFERROR(IF(CD248=2,_xlfn.IFS(BX248=3,VLOOKUP(BS248,Справочная_двигатели,8,FALSE),BX248=1,VLOOKUP(BS248,Справочная_двигатели,10,TRUE)),IF(AND(Методика="нормы 2026",FG248="Сил"),0.8,0.95)),0.95)))))</f>
        <v>0.95</v>
      </c>
      <c r="CF248">
        <f t="shared" si="434"/>
        <v>0</v>
      </c>
      <c r="CG248">
        <f t="shared" si="435"/>
        <v>1</v>
      </c>
      <c r="CH248">
        <f t="shared" si="436"/>
        <v>0</v>
      </c>
      <c r="CI248">
        <f>IF(B248="","",IF(BV248=1,IFERROR(BS248/((Uн_лин/SQRT(3))*MAX(0.5,N(CE248))),0),N(O248)))</f>
        <v>0.27348170645824377</v>
      </c>
      <c r="CJ248">
        <f t="shared" si="437"/>
        <v>0</v>
      </c>
      <c r="CK248">
        <f t="shared" si="438"/>
        <v>0</v>
      </c>
      <c r="CL248">
        <f t="shared" si="439"/>
        <v>0</v>
      </c>
      <c r="CM248">
        <f t="shared" si="440"/>
        <v>0</v>
      </c>
      <c r="CN248">
        <f t="shared" si="441"/>
        <v>0</v>
      </c>
      <c r="CO248">
        <f>IF(BC248="",0,_xlfn.LET(_xlpm.v,IFERROR(_xlfn.XLOOKUP(B248,Коды_код,Коды_мА),IFERROR(_xlfn.XLOOKUP(BC248,Коды_код,Коды_мА),IFERROR(_xlfn.XLOOKUP(LEFT(BC248,2),Коды_код,Коды_мА),""))),IF(_xlpm.v="да",30,IF(ISNUMBER(_xlpm.v),_xlpm.v,0))))</f>
        <v>30</v>
      </c>
      <c r="CP248">
        <f t="shared" si="442"/>
        <v>30</v>
      </c>
      <c r="CQ248" t="str">
        <f>_xlfn.LET(_xlpm.k,IFERROR(_xlfn.XLOOKUP(BC248,Коды_код,Коды_утечка)&amp;"",""),IF(_xlpm.k="","дифавтомат",_xlpm.k))</f>
        <v>дифавтомат</v>
      </c>
      <c r="CR248" t="str" cm="1">
        <f t="array" ref="CR248">IF(CG248=0,"",_xlfn.LET(_xlpm.sg,TRIM(_xlfn.TEXTSPLIT(DD248&amp;"",";")),_xlpm.f_,_xlfn._xlws.FILTER(_xlpm.sg,LEFT(_xlpm.sg,3)="УЗО",""),IFERROR(INDEX(_xlpm.f_,1)&amp;"","")))</f>
        <v/>
      </c>
      <c r="CS248" t="str">
        <f t="shared" si="443"/>
        <v/>
      </c>
      <c r="CT248" s="6" t="str" cm="1">
        <f t="array" ref="CT248">IF(CR248="","",_xlfn.LET(_xlpm.tk,_xlfn.TEXTSPLIT(UPPER(CR248)," ",,TRUE),_xlpm.a_,_xlfn._xlws.FILTER(_xlpm.tk,ISNUMBER(--LEFT(_xlpm.tk,1))*((ISNUMBER(SEARCH("А",_xlpm.tk))+ISNUMBER(SEARCH("A",_xlpm.tk)))&gt;0)*NOT(ISNUMBER(SEARCH("МА",_xlpm.tk)))*NOT(ISNUMBER(SEARCH("MA",_xlpm.tk))),""),IFERROR(--SUBSTITUTE(SUBSTITUTE(INDEX(_xlpm.a_,1),"А",""),"A",""),"")))</f>
        <v/>
      </c>
      <c r="CU248" t="str" cm="1">
        <f t="array" ref="CU248">IF(CR248="","",_xlfn.LET(_xlpm.tk,_xlfn.TEXTSPLIT(UPPER(CR248)," ",,TRUE),_xlpm.a_,_xlfn._xlws.FILTER(_xlpm.tk,ISNUMBER(--LEFT(_xlpm.tk,1))*((ISNUMBER(SEARCH("МА",_xlpm.tk))+ISNUMBER(SEARCH("MA",_xlpm.tk)))&gt;0),""),IFERROR(--SUBSTITUTE(SUBSTITUTE(INDEX(_xlpm.a_,1),"МА",""),"MA",""),30)))</f>
        <v/>
      </c>
      <c r="CV248" t="str">
        <f>IF(CS248="","",IFERROR(_xlfn.XLOOKUP(CS248,Линии[_n],Линии[_УЗО, мА]),30))</f>
        <v/>
      </c>
      <c r="CW248">
        <f>IF(CS248="",0,IF(ISNUMBER(SEARCH("4P",IFERROR(_xlfn.XLOOKUP(CS248,Линии[_n],Линии[_УЗО строки])&amp;"",""))),0,1))</f>
        <v>0</v>
      </c>
      <c r="CX248" t="str">
        <f>IF(AND(CS248&lt;&gt;"",CS248=BA248),SUMIFS(Линии[_ток на 230 В],Линии[_блок УЗО],BA248,Линии[Щит],A248),"")</f>
        <v/>
      </c>
      <c r="CY248" t="str">
        <f>IF(AND(CS248&lt;&gt;"",CS248=BA248),SUMIFS(Линии[_ток утечки линии, мА],Линии[_блок УЗО],BA248,Линии[Щит],A248),"")</f>
        <v/>
      </c>
      <c r="CZ248">
        <f t="shared" si="444"/>
        <v>30</v>
      </c>
      <c r="DA248">
        <f t="shared" si="445"/>
        <v>30</v>
      </c>
      <c r="DB248">
        <f>IF(B248="",0,IFERROR(--_xlfn.XLOOKUP(B248,Коды_код,Коды_минавт),IFERROR(--_xlfn.XLOOKUP(BC248,Коды_код,Коды_минавт),IFERROR(--_xlfn.XLOOKUP(LEFT(BC248,2),Коды_код,Коды_минавт),0))))</f>
        <v>16</v>
      </c>
      <c r="DC248" t="str">
        <f>IF(B248="","",IFERROR(_xlfn.XLOOKUP(BC248,Коды_код,Коды_апп)&amp;"",""))</f>
        <v/>
      </c>
      <c r="DD248" t="str">
        <f t="shared" si="446"/>
        <v/>
      </c>
      <c r="DE248" t="str" cm="1">
        <f t="array" ref="DE248">IF(TRIM(DD248&amp;"")="","",IFERROR(TRIM(INDEX(_xlfn.TEXTSPLIT(DD248&amp;";;;",";"),1)),""))</f>
        <v/>
      </c>
      <c r="DF248" t="str" cm="1">
        <f t="array" ref="DF248">IF(TRIM(DD248&amp;"")="","",IFERROR(TRIM(INDEX(_xlfn.TEXTSPLIT(DD248&amp;";;;",";"),2)),""))</f>
        <v/>
      </c>
      <c r="DG248" t="str" cm="1">
        <f t="array" ref="DG248">IF(TRIM(DD248&amp;"")="","",IFERROR(TRIM(INDEX(_xlfn.TEXTSPLIT(DD248&amp;";;;",";"),3)),""))</f>
        <v/>
      </c>
      <c r="DH248">
        <f t="shared" si="447"/>
        <v>0</v>
      </c>
      <c r="DI248" t="str">
        <f>IF(B248="","",_xlfn.LET(_xlpm.t,LOWER(AZ248&amp;""),IF(ISNUMBER(SEARCH("dim",_xlpm.t)),"DIM",IF(ISNUMBER(SEARCH("dali",_xlpm.t)),"DALI",IF(OR(ISNUMBER(SEARCH("relay",_xlpm.t)),ISNUMBER(SEARCH("реле",_xlpm.t))),"Relay",IF(ISNUMBER(SEARCH("кнопк",_xlpm.t)),"",IFERROR(_xlfn.XLOOKUP(BC248,Коды_код,Коды_упр)&amp;"","")))))))</f>
        <v/>
      </c>
      <c r="DJ248" t="str">
        <f t="shared" si="448"/>
        <v/>
      </c>
      <c r="DK248">
        <f>IF(B248="","",_xlfn.LET(_xlpm.ig,IF(N(CX248)&gt;0,N(CX248),N(CI248)+IF(AJ248="вручную",0,N(CJ248))),_xlpm.n0,IFERROR(VLOOKUP(_xlpm.ig,Автомат_номиналы,2,TRUE),0),_xlpm.mn,MAX(DB248,IF(AJ248="вручную",0,N(CM248))),MAX(_xlpm.n0,_xlpm.mn,IF(DH248=1,Мин_автомат_БП,0))))</f>
        <v>16</v>
      </c>
      <c r="DL248">
        <f t="shared" si="449"/>
        <v>1</v>
      </c>
      <c r="DM248" t="str">
        <f t="shared" si="450"/>
        <v>2P</v>
      </c>
      <c r="DN248" t="str">
        <f>_xlfn.LET(_xlpm.cc,UPPER(TRIM(IFERROR(_xlfn.XLOOKUP(BC248,Коды_код,Коды_хар)&amp;"",""))),IF(OR(_xlpm.cc="B",_xlpm.cc="В"),"B",IF(_xlpm.cc="D","D","С")))</f>
        <v>С</v>
      </c>
      <c r="DO248" t="str">
        <f t="shared" si="451"/>
        <v>2P С16А 30мА</v>
      </c>
      <c r="DP248" t="str">
        <f t="shared" si="452"/>
        <v>2P С16А 30мА</v>
      </c>
      <c r="DQ248" t="str">
        <f t="shared" si="453"/>
        <v>2P С16А 30мА</v>
      </c>
      <c r="DR248" cm="1">
        <f t="array" ref="DR248">IF(DQ248="","",_xlfn.LET(_xlpm.t,SUBSTITUTE(SUBSTITUTE(SUBSTITUTE(UPPER(DQ248),"С","C"),"А","A"),"В","B"),_xlpm.tk,_xlfn.TEXTSPLIT(_xlpm.t," "),_xlpm.f,_xlfn._xlws.FILTER(_xlpm.tk,ISNUMBER(--MID(_xlpm.tk,2,1))*ISNUMBER(SEARCH(LEFT(_xlpm.tk,1)&amp;"#","B#C#D#"))*(LEN(_xlpm.tk)&gt;1),""),_xlpm.x,INDEX(_xlpm.f,1),IFERROR(--SUBSTITUTE(MID(_xlpm.x,2,9),"A",""),IFERROR(--SUBSTITUTE(INDEX(_xlfn._xlws.FILTER(_xlpm.tk,ISNUMBER(--SUBSTITUTE(_xlpm.tk,"A","")),""),1),"A",""),""))))</f>
        <v>16</v>
      </c>
      <c r="DS248" t="str">
        <f t="shared" si="454"/>
        <v>ok</v>
      </c>
      <c r="DT248">
        <f t="shared" si="455"/>
        <v>16</v>
      </c>
      <c r="DU248" t="str">
        <f t="shared" si="456"/>
        <v>2P С16А 30мА</v>
      </c>
      <c r="DV248">
        <f t="shared" si="457"/>
        <v>30</v>
      </c>
      <c r="DW248">
        <f t="shared" si="458"/>
        <v>1</v>
      </c>
      <c r="DX248">
        <f t="shared" si="459"/>
        <v>0</v>
      </c>
      <c r="DY248">
        <f t="shared" si="460"/>
        <v>0.27348170645824377</v>
      </c>
      <c r="DZ248">
        <f t="shared" si="461"/>
        <v>1</v>
      </c>
      <c r="EA248">
        <f>IF(ISNUMBER(AP248),AP248,К_прокл)</f>
        <v>1</v>
      </c>
      <c r="EB248">
        <f t="shared" si="462"/>
        <v>2</v>
      </c>
      <c r="EC248">
        <f>IFERROR(N(VLOOKUP(BZ248,Кабель_обозначение,3,FALSE)),1)</f>
        <v>1</v>
      </c>
      <c r="ED248">
        <f>IFERROR(N(_xlfn.XLOOKUP(A248,Щиты[Щит],Щиты[ΔU до шин, %])),0)</f>
        <v>1.19</v>
      </c>
      <c r="EE248" t="str">
        <f>IFERROR(_xlfn.XLOOKUP(A248,Щиты[Щит],Щиты[Zпетли на шинах, Ом]),"")</f>
        <v/>
      </c>
      <c r="EF248">
        <f>IFERROR(N(_xlfn.XLOOKUP(A248,Щиты[Щит],Щиты[ΔU до шин (подбор), %])),0)</f>
        <v>1.19</v>
      </c>
      <c r="EG248" t="str">
        <f>IFERROR(_xlfn.XLOOKUP(A248,Щиты[Щит],Щиты[Zпетли на шинах (подбор), Ом]),"")</f>
        <v/>
      </c>
      <c r="EH248" t="str">
        <f t="shared" si="463"/>
        <v/>
      </c>
      <c r="EI248">
        <f t="shared" si="464"/>
        <v>28</v>
      </c>
      <c r="EJ248">
        <f t="shared" si="465"/>
        <v>2</v>
      </c>
      <c r="EK248">
        <f t="shared" si="466"/>
        <v>0.31</v>
      </c>
      <c r="EL248" s="6">
        <f>IF(B248="","",IF(BV248=1,dU_LED,IF(IFERROR(_xlfn.XLOOKUP(BC248,Коды_код,Коды_уго),"")="Светильник",3,4)+IF(Методика="нормы 2026",MIN(0.5,MAX(0,N(P248)-100)*0.005),0)))</f>
        <v>4</v>
      </c>
      <c r="EM248" cm="1">
        <f t="array" ref="EM248">IF(OR(B248="",BZ248="",EC248&lt;&gt;1),"",_xlfn.LET(_xlpm.sz,Iдоп_S,_xlpm.t_,CHOOSE(EB248,Iдоп_1ж,Iдоп_2ж,Iдоп_3ж)*DZ248*EA248,_xlpm.dcx,BV248=1,_xlpm.inn,IF(_xlpm.dcx,N(O248),N(DT248)),_xlpm.smin,MAX(1.5,CC248),_xlpm.L_,N(P248)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248)/N(BU248)*100,999),IFERROR(N(EJ248)*(_xlpm.rho*_xlpm.L_/_xlpm.sz*N(CE248)+_xlpm.xx*_xlpm.L_*N(EK248)/1000)*N(O248)/((Uн_лин/SQRT(3))*1000)*100,999)),_xlpm.kz,IF(OR(_xlpm.dcx,DW248=1,NOT(ISNUMBER(EG248)),_xlpm.L_=0,_xlpm.inn=0),1,IFERROR(--(c_min*(Uн_лин*1000/SQRT(3))/(EG248+2*ρкз_Cu*_xlpm.L_/_xlpm.sz)&gt;=HT248*_xlpm.inn),0)),_xlpm.ok,IFERROR((_xlpm.sz&gt;=_xlpm.smin)*(_xlpm.t_&gt;=_xlpm.inn)*IF(_xlpm.L_&gt;0,(_xlpm.du_+IF(_xlpm.dcx,0,EF248)&lt;=EL248+0.00001),1)*_xlpm.kz,0),_xlpm.r_,_xlfn._xlws.FILTER(_xlpm.sz,_xlpm.ok,"не подобрано"),INDEX(_xlpm.r_,1)))</f>
        <v>1.5</v>
      </c>
      <c r="EN248">
        <f t="shared" si="467"/>
        <v>2.5</v>
      </c>
      <c r="EO248" cm="1">
        <f t="array" ref="EO248">IF(OR(B248="",BZ248="",EC248&lt;&gt;1),"",_xlfn.LET(_xlpm.sz,Iдоп_S,_xlpm.t_,CHOOSE(EB248,Iдоп_1ж,Iдоп_2ж,Iдоп_3ж)*DZ248*EA248,_xlpm.ok,IFERROR((_xlpm.sz&gt;=MAX(1.5,CC248))*(_xlpm.t_&gt;=N(DT248)),0),_xlpm.r_,_xlfn._xlws.FILTER(_xlpm.sz,_xlpm.ok,""),INDEX(_xlpm.r_,1)))</f>
        <v>1.5</v>
      </c>
      <c r="EP248" s="6" cm="1">
        <f t="array" ref="EP248">IFERROR(ROUNDUP(N(EJ248)*(_xlfn.XLOOKUP(EO248,INDEX(Кабель_сопротивление,0,1),INDEX(Кабель_сопротивление,0,3))*N(P248)/EO248*N(CE248)+_xlfn.XLOOKUP(EO248,INDEX(Кабель_сопротивление,0,1),INDEX(Кабель_сопротивление,0,2))*N(P248)*N(EK248)/1000)*N(O248)/((Uн_лин/SQRT(3))*1000)*100,2),"")</f>
        <v>0.11</v>
      </c>
      <c r="EQ248">
        <f>IFERROR(2*ρкз_Cu*N(P248)/EO248,"")</f>
        <v>1.0870666666666666</v>
      </c>
      <c r="ER248">
        <f>IFERROR(VLOOKUP(EN248,Кабель_сопротивление,3,FALSE),"")</f>
        <v>2.2499999999999999E-2</v>
      </c>
      <c r="ES248">
        <f>IFERROR(VLOOKUP(EN248,Кабель_сопротивление,2,FALSE),"")</f>
        <v>0.1</v>
      </c>
      <c r="ET248">
        <f t="shared" si="468"/>
        <v>19</v>
      </c>
      <c r="EU248">
        <f t="shared" si="469"/>
        <v>0</v>
      </c>
      <c r="EV248">
        <f t="shared" si="470"/>
        <v>0.14549828443332777</v>
      </c>
      <c r="EW248" s="6">
        <f>IFERROR(ROUNDUP(EV248/IF(BV248=1,BU248,(Uн_лин/SQRT(3))*1000)*100,2),"")</f>
        <v>6.9999999999999993E-2</v>
      </c>
      <c r="EX248" t="str">
        <f>IFERROR(VLOOKUP(BZ248,Кабель_обозначение,2,FALSE),"")</f>
        <v>ВВГнг(А)-LS</v>
      </c>
      <c r="EY248" t="str">
        <f t="shared" si="471"/>
        <v>ВВГнг(А)-LS (3х2,5)</v>
      </c>
      <c r="EZ248" t="str">
        <f t="shared" si="472"/>
        <v>ВВГнг(А)-LS (3х2,5)
L=31-0,07%</v>
      </c>
      <c r="FA248">
        <f>IFERROR(2*ρкз_Cu*P248/EN248,"")</f>
        <v>0.65224000000000004</v>
      </c>
      <c r="FB248">
        <f t="shared" si="473"/>
        <v>0.21700000000000003</v>
      </c>
      <c r="FC248" s="6" t="str">
        <f>IFERROR(IF(OR(B248="",BV248=1,NOT(ISNUMBER(EN248)),N(P248)=0),"",_xlfn.XLOOKUP(A248,Щиты[Щит],Щиты[Zпетли на шинах, Ом])+FA248),"")</f>
        <v/>
      </c>
      <c r="FD248" s="6" t="str">
        <f>IF(ISNUMBER(FC248),c_min*(Uн_лин*1000/SQRT(3))/FC248,"")</f>
        <v/>
      </c>
      <c r="FE248" s="6" t="str">
        <f>IFERROR(IF(OR(B248="",NOT(ISNUMBER(EN248))),"",1.05*(Uн_лин*1000/SQRT(3))/(_xlfn.XLOOKUP(A248,Щиты[Щит],Щиты[Zmax на шинах, Ом])+FB248)/1000),"")</f>
        <v/>
      </c>
      <c r="FF248" s="6" t="str">
        <f>IF(B248="","",IF(ISNUMBER(AC248),"Сил",IF(IFERROR(_xlfn.XLOOKUP(BC248,Коды_код,Коды_группа)&amp;"","")="","Быт",_xlfn.XLOOKUP(BC248,Коды_код,Коды_группа)&amp;"")))</f>
        <v>Быт</v>
      </c>
      <c r="FG248" s="6" t="str">
        <f t="shared" si="474"/>
        <v>Быт</v>
      </c>
      <c r="FH248" s="6">
        <f>IF(FG248="Щит","щит",IF(FG248="","",IF(FG248="Быт",IFERROR(_xlfn.XLOOKUP(A248,Щиты[Щит],Щиты[Кс быт]),1),IF(FG248="Сил",IF(ISNUMBER(AC248),AC248,IF(Методика="нормы 2026",IFERROR(_xlfn.XLOOKUP(A248,Щиты[Щит],Щиты[Кс силовых (табл. 7.5)]),1),1)),IF(OR(FG248="Пост",FG248="Отоп"),1,IF(FG248="ВНГ",0.7,0))))))</f>
        <v>0.57830000000000004</v>
      </c>
      <c r="FI248">
        <f>IF(FG248="","",IF(AND(BP248=1,TRIM(AE248&amp;"")=""),IF(COUNTIFS(Линии[Щит],A248,Линии[Секция (1/2/3)],"&gt;=2")&gt;0,MIN(3,MAX(1,IFERROR(--BD248,1))),1),IFERROR(MIN(3,MAX(1,INT(--AE248))),1)))</f>
        <v>1</v>
      </c>
      <c r="FJ248">
        <f t="shared" si="475"/>
        <v>0.06</v>
      </c>
      <c r="FK248">
        <f t="shared" si="476"/>
        <v>0.06</v>
      </c>
      <c r="FL248">
        <f t="shared" si="477"/>
        <v>0</v>
      </c>
      <c r="FM248">
        <f t="shared" si="478"/>
        <v>0</v>
      </c>
      <c r="FN248">
        <f t="shared" si="479"/>
        <v>0</v>
      </c>
      <c r="FO248">
        <f t="shared" si="480"/>
        <v>0</v>
      </c>
      <c r="FP248">
        <f t="shared" si="481"/>
        <v>0.06</v>
      </c>
      <c r="FQ248">
        <f t="shared" si="482"/>
        <v>0.06</v>
      </c>
      <c r="FR248">
        <f t="shared" si="483"/>
        <v>5.6999999999999995E-2</v>
      </c>
      <c r="FS248">
        <f>IF(CG248=1,IF(AND(CH248=1,CW248=1),0,IF(AND(CS248&lt;&gt;"",CS248=BA248,CW248=1),SUMIFS(Линии[_Р линии, кВт],Линии[_блок УЗО],BA248,Линии[Щит],A248),N(BS248)+IF(AJ248="вручную",0,N(CK248)))),0)</f>
        <v>0.06</v>
      </c>
      <c r="FT248" t="str">
        <f t="shared" si="484"/>
        <v/>
      </c>
      <c r="FU248" t="str">
        <f>IF(B248="","",IF(CG248=0,IF(BA248=1,"",FW247),IF(AND(CH248=1,CW248=1,CS248&lt;&gt;""),IFERROR(_xlfn.XLOOKUP(CS248,Линии[_n],Линии[_фаза итог]),"L1"),IF(OR(N(DL248)&gt;=3,N(BX248)&gt;=3),"L1,L2,L3",IFERROR(_xlfn.TEXTBEFORE(_xlfn.TEXTAFTER(_xlfn.XLOOKUP(A248,Щиты[Щит],Щиты[_фазы авто]),";"&amp;BA248&amp;":"),";"),"L1")))))</f>
        <v>L3</v>
      </c>
      <c r="FV248" t="str">
        <f t="shared" si="485"/>
        <v>L3</v>
      </c>
      <c r="FW248" t="str">
        <f t="shared" si="486"/>
        <v>L3</v>
      </c>
      <c r="FX248" cm="1">
        <f t="array" ref="FX248">IFERROR(IF(CD248=2,_xlfn.IFS(BX248=3,VLOOKUP(BS248,Справочная_двигатели,3,FALSE),BX248=1,VLOOKUP(BS248,Справочная_двигатели,5,TRUE)),0),0)</f>
        <v>0</v>
      </c>
      <c r="FY248">
        <f>IFERROR(IF(CD248=3,VLOOKUP(BS248,Справочная_ЛЭД,2,TRUE),0),0)</f>
        <v>0</v>
      </c>
      <c r="FZ248" s="6">
        <f t="shared" si="487"/>
        <v>0</v>
      </c>
      <c r="GA248" t="str">
        <f>IF(B248="","",IF(TRIM(AH248&amp;"")&lt;&gt;"",IF(LOWER(TRIM(AH248&amp;""))="да","да","нет"),IF(IFERROR(_xlfn.XLOOKUP(BC248,Коды_код,Коды_пожарная),"")="да","да","нет")))</f>
        <v>нет</v>
      </c>
      <c r="GB248" t="str">
        <f t="shared" si="488"/>
        <v/>
      </c>
      <c r="GC248" t="str">
        <f t="shared" si="489"/>
        <v>основная</v>
      </c>
      <c r="GD248">
        <f>IF(AND(BP248=1,TRIM(AE248&amp;"")=""),IF(COUNTIFS(Линии[Щит],A248,Линии[Секция (1/2/3)],"&gt;=2")&gt;0,MIN(3,MAX(1,IFERROR(--BD248,1))),1),IFERROR(MIN(3,MAX(1,INT(--AE248))),1))</f>
        <v>1</v>
      </c>
      <c r="GE248" t="str" cm="1">
        <f t="array" ref="GE248">IF(B248="","",_xlfn.LET(_xlpm.t,IFERROR(_xlfn.XLOOKUP(1,(Шины[Шина]=GC248)*(((Шины[Щит]=A248)+(Шины[Щит]=""))&gt;0),Шины[Тип]),"")&amp;"",IF(_xlpm.t&lt;&gt;"",_xlpm.t,IF(ISNUMBER(SEARCH("ИБП",GC248)),"ИБП",IF(ISNUMBER(SEARCH("ДГУ",GC248)),"ДГУ","Ввод "&amp;GD248)))))</f>
        <v>Ввод 1</v>
      </c>
      <c r="GF248" t="str">
        <f t="shared" si="490"/>
        <v>Ввод 1</v>
      </c>
      <c r="GG248" t="str">
        <f>IF(BP248=0,"",IF(TRIM(AG248&amp;"")&lt;&gt;"",TRIM(AG248&amp;""),IF(OR(GE248="ИБП",GE248="ДГУ"),"I особая",_xlfn.XLOOKUP(A248,Щиты[Щит],Щиты[Категория шины «Ввод»],"III"))))</f>
        <v/>
      </c>
      <c r="GH248" t="str">
        <f>IF(A248="","",_xlfn.XLOOKUP(A248,Щиты[Щит],Щиты[Путь],""))</f>
        <v>|ГРЩ-ЖД|ЩР-1|</v>
      </c>
      <c r="GI248" t="str">
        <f>IF(B248="","",IF(AI248&lt;&gt;"",AI248,IF(IFERROR(_xlfn.XLOOKUP(BC248,Коды_код,Коды_вид)&amp;"","")="","Прочее",_xlfn.XLOOKUP(BC248,Коды_код,Коды_вид)&amp;"")))</f>
        <v>Розеточная сеть и бытовые приборы</v>
      </c>
      <c r="GJ248">
        <f>IF(BM248="","",INT((BM248-1)/Столбцов_на_лист)+1)</f>
        <v>3</v>
      </c>
      <c r="GK248" t="str">
        <f t="shared" si="491"/>
        <v>ВВГнг(А)-LS (3х2,5) L=31-0,07%</v>
      </c>
      <c r="GL248">
        <f t="shared" si="492"/>
        <v>0.06</v>
      </c>
      <c r="GM248">
        <f t="shared" si="493"/>
        <v>0.28000000000000003</v>
      </c>
      <c r="GN248">
        <f t="shared" si="494"/>
        <v>1</v>
      </c>
      <c r="GO248">
        <f t="shared" si="495"/>
        <v>0</v>
      </c>
      <c r="GP248">
        <f t="shared" si="496"/>
        <v>1</v>
      </c>
      <c r="GQ248">
        <f>IF(BM248="","",IF(AND(CG248=1,GP248=1),COUNTIFS(A$3:A248,A248,CG$3:CG248,1,GP$3:GP248,1),IF(OR(OR(BA248=1,A248&lt;&gt;A247),AJ248="вручную",GP248=0),"",IF(BA248=1,"",GR247))))</f>
        <v>24</v>
      </c>
      <c r="GR248">
        <f t="shared" si="497"/>
        <v>24</v>
      </c>
      <c r="GS248">
        <f>IF(B248="","",IFERROR(LOOKUP(INDEX(CHOOSE(EB248,Iдоп_1ж,Iдоп_2ж,Iдоп_3ж),MATCH(EN248,Iдоп_S,0))*DZ248*EA248,{6,10,16,20,25,32,40,50,63,80,100,125,160,200,250,315,400,500,630}),""))</f>
        <v>25</v>
      </c>
      <c r="GT248" t="str">
        <f t="shared" si="498"/>
        <v>QFD24</v>
      </c>
      <c r="GU248" t="str">
        <f t="shared" si="499"/>
        <v>QFD24</v>
      </c>
      <c r="GV248" t="str">
        <f t="shared" si="500"/>
        <v/>
      </c>
      <c r="GW248">
        <f t="shared" si="501"/>
        <v>0</v>
      </c>
      <c r="GX248" t="str">
        <f>IF(OR(B248="",DJ248=""),"",IFERROR(_xlfn.XLOOKUP(DJ248,Модули_умолч[Управление],Модули_умолч[Модель])&amp;"",""))</f>
        <v/>
      </c>
      <c r="GY248">
        <f>IF(DJ248="",1,IFERROR(MAX(0,N(_xlfn.XLOOKUP(DJ248,Модули_умолч[Управление],Модули_умолч[Каналов на линию]))),1))</f>
        <v>1</v>
      </c>
      <c r="GZ248" t="str">
        <f t="shared" si="502"/>
        <v/>
      </c>
      <c r="HA248" t="str">
        <f t="shared" si="503"/>
        <v/>
      </c>
      <c r="HB248" t="str">
        <f t="shared" si="504"/>
        <v/>
      </c>
      <c r="HC248">
        <f>IF(HB248="",0,IFERROR(N(VLOOKUP(HB248,Модули_спр,3,FALSE)),0))</f>
        <v>0</v>
      </c>
      <c r="HD248" t="str">
        <f t="shared" si="505"/>
        <v/>
      </c>
      <c r="HE248" t="str">
        <f t="shared" si="506"/>
        <v/>
      </c>
      <c r="HF248" t="str">
        <f>IF(OR(HE248="",HE248="-"),"",IFERROR(VLOOKUP(HE248,Модули_спр,2,FALSE),"R"))</f>
        <v/>
      </c>
      <c r="HG248" t="str">
        <f>IF(HF248="","",HF248&amp;"."&amp;COUNTIFS(A$3:A248,A248,HF$3:HF248,HF248))</f>
        <v/>
      </c>
      <c r="HH248" t="str">
        <f t="shared" si="507"/>
        <v/>
      </c>
      <c r="HI248" t="str">
        <f t="shared" si="508"/>
        <v/>
      </c>
      <c r="HJ248" t="str">
        <f t="shared" si="509"/>
        <v/>
      </c>
      <c r="HK248" t="str">
        <f t="shared" si="510"/>
        <v/>
      </c>
      <c r="HL248">
        <f t="shared" si="511"/>
        <v>1</v>
      </c>
      <c r="HM248" t="str">
        <f>IF(HL248=1,"XT"&amp;COUNTIFS(A$3:A248,A248,HL$3:HL248,1),"")</f>
        <v>XT24</v>
      </c>
      <c r="HN248" t="str">
        <f t="shared" si="512"/>
        <v>XT24</v>
      </c>
      <c r="HO248" t="str">
        <f t="shared" si="513"/>
        <v>QFD24</v>
      </c>
      <c r="HP248" t="str">
        <f t="shared" si="514"/>
        <v/>
      </c>
      <c r="HQ248" t="str">
        <f t="shared" si="515"/>
        <v>ok</v>
      </c>
      <c r="HR248" t="str">
        <f>IF(OR(HJ248="",HH248=""),"",IF(HJ248+MAX(0,GY248-1)&gt;IFERROR(VLOOKUP(HI248,Модули_спр,3,FALSE),99),"ЛИШНИЙ КАНАЛ",IF(AND(AL248&lt;&gt;"=",GY248&gt;0,COUNTIFS(Линии[_модуль гр.],HH248,Линии[Канал (итог)],HJ248,Линии[Канал],"&lt;&gt;=",Линии[Щит],A248)&gt;1),"ДУБЛЬ КАНАЛА","")))</f>
        <v/>
      </c>
      <c r="HS248" s="6" t="str">
        <f t="shared" si="516"/>
        <v/>
      </c>
      <c r="HT248">
        <f t="shared" si="517"/>
        <v>10</v>
      </c>
      <c r="HU248" t="str">
        <f t="shared" si="518"/>
        <v/>
      </c>
      <c r="HV248">
        <f t="shared" si="519"/>
        <v>0.41939268258329754</v>
      </c>
      <c r="HW248">
        <f t="shared" si="520"/>
        <v>0</v>
      </c>
      <c r="HX248">
        <f t="shared" si="521"/>
        <v>0</v>
      </c>
      <c r="HY248">
        <f t="shared" si="522"/>
        <v>0</v>
      </c>
      <c r="HZ248">
        <f t="shared" si="523"/>
        <v>0</v>
      </c>
      <c r="IA248">
        <f t="shared" si="524"/>
        <v>0</v>
      </c>
      <c r="IB248">
        <f t="shared" si="525"/>
        <v>0</v>
      </c>
      <c r="IC248" t="str">
        <f t="shared" si="526"/>
        <v/>
      </c>
      <c r="ID248" t="str" cm="1">
        <f t="array" ref="ID248">IF(IC248="","",_xlfn.LET(_xlpm.tk,_xlfn.TEXTSPLIT(SUBSTITUTE(SUBSTITUTE(IC248,";"," "),"→"," ")," ",,TRUE),_xlpm.w_,_xlfn._xlws.FILTER(_xlpm.tk,ISNUMBER(--LEFT(_xlpm.tk,1))*((ISNUMBER(SEARCH("W",_xlpm.tk))+ISNUMBER(SEARCH("Вт",_xlpm.tk)))&gt;0),""),IFERROR(--SUBSTITUTE(SUBSTITUTE(UPPER(INDEX(_xlpm.w_,1)),"W",""),"ВТ",""),"")))</f>
        <v/>
      </c>
      <c r="IE248" t="str" cm="1">
        <f t="array" ref="IE248">IF(IC248="","",_xlfn.LET(_xlpm.tk,_xlfn.TEXTSPLIT(SUBSTITUTE(SUBSTITUTE(IC248,";"," "),"→"," ")," ",,TRUE),_xlpm.v_,_xlfn._xlws.FILTER(_xlpm.tk,ISNUMBER(--LEFT(_xlpm.tk,1))*((ISNUMBER(SEARCH("V",_xlpm.tk))+(RIGHT(UPPER(_xlpm.tk))="В"))&gt;0),""),IFERROR(--SUBSTITUTE(SUBSTITUTE(UPPER(INDEX(_xlpm.v_,1)),"V",""),"В",""),"")))</f>
        <v/>
      </c>
      <c r="IF248" s="6" t="str">
        <f>IF(OR(BV248=0,HI248="",HJ248=""),"",IFERROR(N(_xlfn.XLOOKUP(HI248,Каталог!$C$4:$C$500,Каталог!$Q$4:$Q$500)),""))</f>
        <v/>
      </c>
      <c r="IG248" s="6" t="str">
        <f>IF(N(IF248)=0,"",SUMIFS(Линии[Iр, А],Линии[Щит],A248,Линии[_модуль гр.],HH248,Линии[Канал (итог)],HJ248))</f>
        <v/>
      </c>
      <c r="IH248" t="str">
        <f>IF(AND(B248="",HO248=""),"",_xlfn.TEXTJOIN("; ",TRUE,IF(AND(B248&lt;&gt;"",FV248=""),"нет фазы",""),IF(AND(B248&lt;&gt;"",N(GL248)=0,FG248&lt;&gt;"Нет"),"нет мощности",""),IF(AND(HN248&lt;&gt;"",COUNTIFS(Линии[Щит],A248,Линии[Клемма (итог)],HN248)&gt;1),"дубль клеммы "&amp;HN248,""),IF(AND(HQ248&lt;&gt;"",HQ248&lt;&gt;"ok"),HQ248,""),IF(HR248&lt;&gt;"",HR248,""),IF(AND(N(CB248)&gt;=4,N(BX248)=1),CB248&amp;" жил на 1 фазе",""),IF(AND(BC248="R",CG248=1,IF(CS248&lt;&gt;"",N(CV248)&gt;30,OR(N(DA248)=0,N(DA248)&gt;30))),"розетка без дифзащиты до 30 мА",""),IF(AND(CG248=1,N(DA248)&gt;0,ISNUMBER(T248)),IF(T248&gt;N(DA248)/3,"ток утечки "&amp;FIXED(T248,1)&amp;" мА &gt; 1/3 уставки ("&amp;DA248&amp;" мА)",""),""),IF(AND(CH248=1,CS248=""),"«узо»: нет строки с УЗО выше (УЗО 2P 40А 30мА в «Аппаратах»)",""),IF(AND(CS248&lt;&gt;"",CS248=BA248),IF(CT248="","впишите номинал УЗО (УЗО 2P 40А 30мА)",IF(N(CT248)&lt;N(DT248),"УЗО "&amp;CT248&amp;" А &lt; автомата "&amp;DT248&amp;" А перед ним",IF(N(CT248)&lt;N(CX248),"УЗО "&amp;CT248&amp;" А &lt; тока блока "&amp;FIXED(CX248,1)&amp;" А",""))),""),IF(AND(CS248&lt;&gt;"",CS248=BA248,ISNUMBER(CY248)),IF(CY248&gt;N(CV248)/3,"ток утечки блока УЗО "&amp;FIXED(CY248,1)&amp;" мА &gt; 1/3 уставки ("&amp;CV248&amp;" мА)",""),""),IF(AND(CG248=1,N(BV248)+N(IB248)&gt;0,IC248=""),"линии до 50 В без БП: впишите в «Аппараты» (БП 24V 480W)",""),IF(AND(CG248=1,ISNUMBER(ID248),ISNUMBER(U248)),IF(U248&gt;ID248,"БП "&amp;ID248&amp;" Вт &lt; нужно "&amp;U248&amp;" Вт (×"&amp;Запас_БП&amp;")",""),""),IF(AND(CG248=1,ISNUMBER(IE248),N(BV248)=1),IF(IE248&lt;&gt;N(BU248),"БП на "&amp;IE248&amp;" В, линия "&amp;BU248&amp;" В",""),""),IF(AND(N(IF248)&gt;0,N(IG248)&gt;N(IF248)),HH248&amp;" канал "&amp;HJ248&amp;": "&amp;FIXED(IG248,1)&amp;" А &gt; "&amp;IF248&amp;" А",""),IFERROR(IF(AND(ISNUMBER(Q248),Q248&gt;EL248),"потери "&amp;FIXED(Q248,1)&amp;" % &gt; "&amp;EL248&amp;" %",""),""),IFERROR(IF(LEFT(HU248,4)="мало","Iкз мало — отключение &gt; 0,4 с",""),""),IF(AND(B248&lt;&gt;"",BM248=""),"не на схеме",""),IF(AND(CG248=0,B248&lt;&gt;"",FV248&lt;&gt;"",IF(BA248=1,"",FW247)&lt;&gt;"",FV248&lt;&gt;IF(BA248=1,"",FW247)),"фаза не как у автомата группы ("&amp;IF(BA248=1,"",FW247)&amp;")","")))</f>
        <v/>
      </c>
      <c r="II248" s="6">
        <f>IF(OR(CG248=0,DQ248=""),"",_xlfn.LET(_xlpm.t,IFERROR(_xlfn.XLOOKUP(DQ248,Каталог!$U$4:$U$500,Каталог!$G$4:$G$500),""),_xlpm.k,SEARCH("кА",_xlpm.t),IFERROR(--TRIM(RIGHT(SUBSTITUTE(MID(_xlpm.t,MAX(1,_xlpm.k-4),_xlpm.k-MAX(1,_xlpm.k-4))," ",REPT(" ",9)),5)),"")))</f>
        <v>6</v>
      </c>
      <c r="IJ248" t="str">
        <f>IF(OR(II248="",CG248=0),"",IF(_xlfn.XLOOKUP(A248,Щиты[Щит],Щиты[Iкз max на шинах, кА],"")="","",IF(II248&lt;_xlfn.XLOOKUP(A248,Щиты[Щит],Щиты[Iкз max на шинах, кА]),"Icu "&amp;II248&amp;" кА &lt; Iкз max","ok")))</f>
        <v/>
      </c>
      <c r="IK248" t="str">
        <f t="shared" si="527"/>
        <v/>
      </c>
      <c r="IL248" t="str">
        <f t="shared" si="528"/>
        <v>QFD24|XT24</v>
      </c>
      <c r="IM248" t="str">
        <f t="shared" si="529"/>
        <v>QFD24|XT24|кабель ВВГнг(А)-LS (3х2,5) → Розеточная группа, пом. 005A</v>
      </c>
      <c r="IN248" t="str" cm="1">
        <f t="array" ref="IN248">IF(IM248="","",_xlfn.LET(_xlpm.nd,_xlfn.TEXTSPLIT(IM248,"|"),IF(COLUMNS(_xlpm.nd)&gt;1,A248&amp;"¦"&amp;INDEX(_xlpm.nd,1)&amp;"¦"&amp;INDEX(_xlpm.nd,2),"")))</f>
        <v>ЩР-1¦QFD24¦XT24</v>
      </c>
      <c r="IO248" t="str">
        <f t="shared" si="530"/>
        <v>R.1.005A.1¦Розеточная группа, пом. 005A</v>
      </c>
      <c r="IP248" t="str" cm="1">
        <f t="array" ref="IP248">IF(IM248="","",_xlfn.LET(_xlpm.nd,_xlfn.TEXTSPLIT(IM248,"|"),IF(COLUMNS(_xlpm.nd)&gt;2,A248&amp;"¦"&amp;INDEX(_xlpm.nd,2)&amp;"¦"&amp;INDEX(_xlpm.nd,3),"")))</f>
        <v>ЩР-1¦XT24¦кабель ВВГнг(А)-LS (3х2,5) → Розеточная группа, пом. 005A</v>
      </c>
      <c r="IQ248" t="str">
        <f t="shared" si="531"/>
        <v>R.1.005A.1¦Розеточная группа, пом. 005A</v>
      </c>
      <c r="IR248" t="str" cm="1">
        <f t="array" ref="IR248">IF(IM248="","",_xlfn.LET(_xlpm.nd,_xlfn.TEXTSPLIT(IM248,"|"),IF(COLUMNS(_xlpm.nd)&gt;3,A248&amp;"¦"&amp;INDEX(_xlpm.nd,3)&amp;"¦"&amp;INDEX(_xlpm.nd,4),"")))</f>
        <v/>
      </c>
      <c r="IS248" t="str">
        <f t="shared" si="532"/>
        <v/>
      </c>
      <c r="IT248" t="str" cm="1">
        <f t="array" ref="IT248">IF(IM248="","",_xlfn.LET(_xlpm.nd,_xlfn.TEXTSPLIT(IM248,"|"),IF(COLUMNS(_xlpm.nd)&gt;4,A248&amp;"¦"&amp;INDEX(_xlpm.nd,4)&amp;"¦"&amp;INDEX(_xlpm.nd,5),"")))</f>
        <v/>
      </c>
      <c r="IU248" t="str">
        <f t="shared" si="533"/>
        <v/>
      </c>
      <c r="IV248" t="str" cm="1">
        <f t="array" ref="IV248">IF(IM248="","",_xlfn.LET(_xlpm.nd,_xlfn.TEXTSPLIT(IM248,"|"),IF(COLUMNS(_xlpm.nd)&gt;5,A248&amp;"¦"&amp;INDEX(_xlpm.nd,5)&amp;"¦"&amp;INDEX(_xlpm.nd,6),"")))</f>
        <v/>
      </c>
      <c r="IW248" t="str">
        <f t="shared" si="534"/>
        <v/>
      </c>
      <c r="IX248" t="str" cm="1">
        <f t="array" ref="IX248">IF(IM248="","",_xlfn.LET(_xlpm.nd,_xlfn.TEXTSPLIT(IM248,"|"),IF(COLUMNS(_xlpm.nd)&gt;6,A248&amp;"¦"&amp;INDEX(_xlpm.nd,6)&amp;"¦"&amp;INDEX(_xlpm.nd,7),"")))</f>
        <v/>
      </c>
      <c r="IY248" t="str">
        <f t="shared" si="535"/>
        <v/>
      </c>
      <c r="IZ248" t="str">
        <f t="shared" si="536"/>
        <v/>
      </c>
      <c r="JA248" t="str">
        <f t="shared" si="537"/>
        <v>QFD24 → XT24</v>
      </c>
      <c r="JB248">
        <f t="shared" si="538"/>
        <v>0</v>
      </c>
      <c r="JC248">
        <f t="shared" si="539"/>
        <v>1</v>
      </c>
      <c r="JD248" t="str">
        <f t="shared" si="540"/>
        <v/>
      </c>
      <c r="JE248" t="str">
        <f t="shared" si="541"/>
        <v/>
      </c>
      <c r="JF248" t="str">
        <f t="shared" si="542"/>
        <v/>
      </c>
      <c r="JG248" t="str">
        <f t="shared" si="543"/>
        <v/>
      </c>
      <c r="JH248" t="str">
        <f>IF(B248="","",IFERROR(_xlfn.XLOOKUP(B248,Коды_код,Коды_уго),IFERROR(_xlfn.XLOOKUP(BC248,Коды_код,Коды_уго),IFERROR(_xlfn.XLOOKUP(LEFT(BC248,2),Коды_код,Коды_уго),""))))</f>
        <v>Розетка</v>
      </c>
      <c r="JI248" t="str">
        <f>IF(B248="","",IF(OR(JH248="",JH248=0),"BOX",IFERROR(IF(VLOOKUP(JH248,УГО_блоки,3,FALSE)&amp;""&lt;&gt;"",VLOOKUP(JH248,УГО_блоки,3,FALSE),VLOOKUP(JH248,УГО_блоки,2,FALSE)),JH248)))</f>
        <v>SOCKET</v>
      </c>
      <c r="JJ248">
        <f t="shared" si="544"/>
        <v>1</v>
      </c>
      <c r="JK248" t="str">
        <f>IF(DQ248="","",IF(COUNTIF(DQ$3:DQ248,DQ248)=1,MAX(JK$2:JK247)+1,""))</f>
        <v/>
      </c>
      <c r="JL248" t="str">
        <f>IF(DE248="","",IF(COUNTIF(DE$3:DE248,DE248)+COUNTIF(DF$2:DF247,DE248)+COUNTIF(DG$2:DG247,DE248)=1,MAX(JL$2:JN247)+1,""))</f>
        <v/>
      </c>
      <c r="JM248" t="str">
        <f>IF(DF248="","",IF(COUNTIF(DE$3:DE248,DF248)+COUNTIF(DF$3:DF248,DF248)+COUNTIF(DG$2:DG247,DF248)=1,MAX(JL$2:JN247,JL248)+1,""))</f>
        <v/>
      </c>
      <c r="JN248" t="str">
        <f>IF(DG248="","",IF(COUNTIF(DE$3:DE248,DG248)+COUNTIF(DF$3:DF248,DG248)+COUNTIF(DG$3:DG248,DG248)=1,MAX(JL$2:JN247,JL248,JM248)+1,""))</f>
        <v/>
      </c>
      <c r="JO248" t="str">
        <f t="shared" si="545"/>
        <v>3х2,5</v>
      </c>
      <c r="JP248" t="str">
        <f>IF(JO248="","",IF(COUNTIF(JO$3:JO248,JO248)=1,MAX(JP$2:JP247)+1,""))</f>
        <v/>
      </c>
      <c r="JQ248" t="str">
        <f>IF(HG248="","",COUNTIF(HG$3:HG248,"?*"))</f>
        <v/>
      </c>
      <c r="JR248" t="str">
        <f>IF(OR(HG248="",HI248=""),"",IF(COUNTIFS(HG$3:HG248,"?*",HI$3:HI248,HI248)=1,MAX(JR$2:JR247)+1,""))</f>
        <v/>
      </c>
      <c r="JS248">
        <f t="shared" si="546"/>
        <v>0</v>
      </c>
      <c r="JT248">
        <f>IF(B248="","",COUNTIF(B$3:B248,"?*"))</f>
        <v>246</v>
      </c>
      <c r="JU248">
        <f>IF(HL248&lt;&gt;1,0,_xlfn.LET(_xlpm.k,MAX(IFERROR(--_xlfn.XLOOKUP(B248,Коды_код,Коды_3L),0),IFERROR(--_xlfn.XLOOKUP(BC248,Коды_код,Коды_3L),0),IFERROR(--_xlfn.XLOOKUP(LEFT(BC248,2),Коды_код,Коды_3L),0)),IF(_xlpm.k&gt;0,_xlpm.k,IF(IFERROR(--LEFT(SUBSTITUTE(JO248,"x","х"),FIND("х",SUBSTITUTE(JO248,"x","х"))-1),3)&gt;3,Каталог!$S$9,1))))</f>
        <v>1</v>
      </c>
      <c r="JV248">
        <f t="shared" si="547"/>
        <v>0</v>
      </c>
      <c r="JW248" t="str">
        <f t="shared" si="548"/>
        <v>авто</v>
      </c>
      <c r="JX248">
        <f t="shared" si="549"/>
        <v>30</v>
      </c>
      <c r="JY248">
        <f t="shared" si="550"/>
        <v>1</v>
      </c>
      <c r="JZ248">
        <f t="shared" si="551"/>
        <v>1</v>
      </c>
    </row>
    <row r="249" spans="1:286" x14ac:dyDescent="0.3">
      <c r="A249" t="s">
        <v>757</v>
      </c>
      <c r="B249" t="s">
        <v>1555</v>
      </c>
      <c r="C249" t="str">
        <f>Линии[[#This Row],[_авто наименование]]</f>
        <v>Розеточная группа, пом. 006A</v>
      </c>
      <c r="D249">
        <v>2</v>
      </c>
      <c r="E249">
        <v>0.12</v>
      </c>
      <c r="G249" t="str">
        <f>Линии[[#This Row],[_авто автомат]]</f>
        <v>2P С16А 30мА</v>
      </c>
      <c r="H249" t="str">
        <f>Линии[[#This Row],[_авто управление]]</f>
        <v/>
      </c>
      <c r="I249" t="str">
        <f>Линии[[#This Row],[_авто аппараты]]</f>
        <v/>
      </c>
      <c r="J249">
        <v>2.5</v>
      </c>
      <c r="K249">
        <v>45</v>
      </c>
      <c r="L249">
        <v>2</v>
      </c>
      <c r="M249" t="str">
        <f>Линии[[#This Row],[_авто клемма]]</f>
        <v>XT25</v>
      </c>
      <c r="N249" t="str">
        <f t="shared" si="414"/>
        <v/>
      </c>
      <c r="O249" s="6" cm="1">
        <f t="array" ref="O249">IF(B249="","",IF(BH249&lt;&gt;"",IFERROR(_xlfn.XLOOKUP(BH249,Щиты[Щит],Щиты[Iр, А]),""),IF(BP249=1,IF(OR(N(_xlfn.XLOOKUP(A249,Щиты[Щит],Щиты[Вводов],1))&lt;=1,LOWER(TRIM(_xlfn.XLOOKUP(A249,Щиты[Щит],Щиты[АВР],"")&amp;""))="да"),IFERROR(_xlfn.XLOOKUP(A249,Щиты[Щит],Щиты[Iр, А]),""),IFERROR(N(BS249)*_xlfn.XLOOKUP(A249,Щиты[Щит],Щиты[Кс итог])/(SQRT(3)*Uн_лин*_xlfn.XLOOKUP(A249,Щиты[Щит],Щиты[cos φ])),"")),IF(BV249=1,IFERROR(BS249*1000/BU249,""),IFERROR(_xlfn.IFS(BX249=1,BS249/((Uн_лин/SQRT(3))*CE249),BX249=3,BS249/(SQRT(3)*Uн_лин*CE249)),"")))))</f>
        <v>0.54696341291648753</v>
      </c>
      <c r="P249" s="7">
        <f>IF(B249="","",IFERROR(IF(VLOOKUP(BC249,Потребители_обозначение,4,FALSE)=1,VLOOKUP(BC249,Потребители_обозначение,3,FALSE)*(MAX(1,N(D249))*2-1)+EI249+VLOOKUP(BE249,Этаж_обозначение,3,FALSE)+VLOOKUP(BE249,Этаж_обозначение,4,FALSE),VLOOKUP(BC249,Потребители_обозначение,3,FALSE)*(MAX(1,N(D249))*2-1)+EI249),EI249))</f>
        <v>54</v>
      </c>
      <c r="Q249" s="6">
        <f t="shared" si="415"/>
        <v>1.41</v>
      </c>
      <c r="R249" t="str">
        <f t="shared" si="416"/>
        <v>ВВГнг(А)-LS (3х2,5)</v>
      </c>
      <c r="S249" t="str">
        <f>IF(BM249="","",IF(BN249="вводной узел","узел ","")&amp;"л."&amp;(INT((BM249-1)/Столбцов_на_лист)+1)&amp;" / "&amp;(MOD(BM249-1,Столбцов_на_лист)+1))</f>
        <v>л.3 / 3</v>
      </c>
      <c r="T249" s="119">
        <f t="shared" si="417"/>
        <v>0.8</v>
      </c>
      <c r="U249" s="7" t="str">
        <f>IF(OR(CG249=0,N(BV249)+N(IB249)=0),"",ROUNDUP(Запас_БП*(N(HY249)+N(HZ249)),0))</f>
        <v/>
      </c>
      <c r="V249" s="119" t="str">
        <f t="shared" si="418"/>
        <v/>
      </c>
      <c r="W249" s="7" t="str">
        <f>IFERROR(IF(OR(B249="",BP249=1,BV249=1,NOT(ISNUMBER(EN249)),N(DT249)=0),"",MAX(0,ROUNDDOWN((c_min*(Uн_лин*1000/SQRT(3))/(HT249*N(DT249))-_xlfn.XLOOKUP(A249,Щиты[Щит],Щиты[Zпетли на шинах, Ом]))*EN249/(2*ρкз_Cu),0))),"")</f>
        <v/>
      </c>
      <c r="Y249">
        <f>Линии[[#This Row],[_авто утечка]]</f>
        <v>30</v>
      </c>
      <c r="Z249">
        <v>1</v>
      </c>
      <c r="AA249">
        <v>230</v>
      </c>
      <c r="AB249" t="s">
        <v>562</v>
      </c>
      <c r="AG249" t="s">
        <v>810</v>
      </c>
      <c r="AI249" t="s">
        <v>561</v>
      </c>
      <c r="AK249" t="str">
        <f>Линии[[#This Row],[_авто модуль]]</f>
        <v/>
      </c>
      <c r="AM249">
        <v>37</v>
      </c>
      <c r="AN249" t="s">
        <v>11</v>
      </c>
      <c r="AO249">
        <v>3</v>
      </c>
      <c r="AQ249">
        <v>28</v>
      </c>
      <c r="AR249">
        <v>20</v>
      </c>
      <c r="AS249">
        <v>6</v>
      </c>
      <c r="BA249" cm="1">
        <f t="array" ref="BA249">ROW()-ROW(Линии[#Headers])</f>
        <v>247</v>
      </c>
      <c r="BC249" s="6" t="str">
        <f t="shared" si="419"/>
        <v>R</v>
      </c>
      <c r="BD249" t="str">
        <f t="shared" si="420"/>
        <v>1.006A.1</v>
      </c>
      <c r="BE249" t="str">
        <f t="shared" si="421"/>
        <v>1</v>
      </c>
      <c r="BF249" t="str">
        <f t="shared" si="422"/>
        <v>006A.1</v>
      </c>
      <c r="BG249" t="str">
        <f t="shared" si="423"/>
        <v>006A</v>
      </c>
      <c r="BH249" t="str">
        <f>IF(X249&lt;&gt;"",X249,IF(AND(B249&lt;&gt;"",B249&lt;&gt;A249,ISNUMBER(_xlfn.XMATCH(B249,Щиты[Щит]))),B249,""))</f>
        <v/>
      </c>
      <c r="BI249" t="str" cm="1">
        <f t="array" ref="BI249">IF(B249="","",IF(BH249&lt;&gt;"","Щит "&amp;BH249,_xlfn.LET(_xlpm.nm,IFERROR(_xlfn.XLOOKUP(BC249,Коды_код,Коды_имя)&amp;"",""),_xlpm.md,IFERROR(N(_xlfn.XLOOKUP(BC249,Коды_код,Коды_режим)),1),_xlpm.ex,IF(Имя_режим="по экспликации",IFERROR(_xlfn.XLOOKUP(BE249&amp;"|"&amp;BG249,Экспликация[Этаж]&amp;"|"&amp;Экспликация[Помещение],Экспликация[Название])&amp;"",""),""),_xlpm.rm,IF(BG249="","",IF(_xlpm.ex&lt;&gt;"",". "&amp;_xlpm.ex&amp;IF(Имя_пом="нет"," ("&amp;BG249&amp;")"," (пом. "&amp;BG249&amp;")"),IF(Имя_пом="нет"," ",", пом. ")&amp;BG249)),IF(_xlpm.nm="","",IF(_xlpm.md=2,_xlpm.nm&amp;" шлейф "&amp;BE249,_xlpm.nm&amp;_xlpm.rm)))))</f>
        <v>Розеточная группа, пом. 006A</v>
      </c>
      <c r="BJ249" t="str">
        <f t="shared" si="424"/>
        <v>Розеточная группа, пом. 006A</v>
      </c>
      <c r="BK249">
        <f>IFERROR(_xlfn.XMATCH(A249,Щиты[Щит]),0)</f>
        <v>10</v>
      </c>
      <c r="BL249">
        <f>_xlfn.LET(_xlpm.k,IFERROR(_xlfn.XLOOKUP(A249,Щиты[Щит],Щиты[Мест под вводной узел]),""),IF(_xlpm.k="",Столбцов_на_лист,N(_xlpm.k)))</f>
        <v>8</v>
      </c>
      <c r="BM249">
        <f t="shared" si="425"/>
        <v>37</v>
      </c>
      <c r="BN249" t="str">
        <f t="shared" si="426"/>
        <v>линии</v>
      </c>
      <c r="BO249" s="6">
        <f>IFERROR(N(_xlfn.XLOOKUP(BC249,Коды_код,Коды_квт)),0)</f>
        <v>0</v>
      </c>
      <c r="BP249">
        <f t="shared" si="427"/>
        <v>0</v>
      </c>
      <c r="BQ249" t="str">
        <f>IF(B249="","",IF(BH249&lt;&gt;"",IFERROR(_xlfn.XLOOKUP(BH249,Щиты[Щит],Щиты[Руст, кВт]),0),IF(BP249=1,IF(OR(N(_xlfn.XLOOKUP(A249,Щиты[Щит],Щиты[Вводов],1))&lt;=1,LOWER(TRIM(_xlfn.XLOOKUP(A249,Щиты[Щит],Щиты[АВР],"")&amp;""))="да"),IFERROR(_xlfn.XLOOKUP(A249,Щиты[Щит],Щиты[Руст, кВт]),0),SUMIFS(Линии[_Р для вводов],Линии[Щит],A249,Линии[Источник для режимов],GF249)),IF(BO249&gt;0,ROUND(BO249*MAX(1,N(D249)),3),""))))</f>
        <v/>
      </c>
      <c r="BR249">
        <f t="shared" si="428"/>
        <v>0.12</v>
      </c>
      <c r="BS249" s="6">
        <f>IF(B249="","",IF(BH249&lt;&gt;"",IFERROR(_xlfn.XLOOKUP(BH249,Щиты[Щит],Щиты[Руст, кВт]),0),N(BR249)))</f>
        <v>0.12</v>
      </c>
      <c r="BT249" t="str">
        <f>IF(B249="","",IFERROR(IF(VLOOKUP(BC249,Потребители_обозначение,8,FALSE)=0,"",VLOOKUP(BC249,Потребители_обозначение,8,FALSE)),""))</f>
        <v/>
      </c>
      <c r="BU249">
        <f t="shared" si="429"/>
        <v>230</v>
      </c>
      <c r="BV249">
        <f t="shared" si="430"/>
        <v>0</v>
      </c>
      <c r="BW249">
        <f>IF(B249="","",IF(BH249&lt;&gt;"",3,IFERROR(IF(N(VLOOKUP(BC249,Потребители_обозначение,9,FALSE))=0,1,VLOOKUP(BC249,Потребители_обозначение,9,FALSE)),1)))</f>
        <v>1</v>
      </c>
      <c r="BX249">
        <f t="shared" si="431"/>
        <v>1</v>
      </c>
      <c r="BY249" t="str">
        <f>IF(B249="","",_xlfn.LET(_xlpm.bc,IFERROR(IF(VLOOKUP(BC249,Потребители_обозначение,6,FALSE)=0,"",VLOOKUP(BC249,Потребители_обозначение,6,FALSE)&amp;""),""),IF(AND(GA249="да",OR(_xlpm.bc="",_xlpm.bc="мс")),Марка_пож,IF(AND(_xlpm.bc="",BH249&lt;&gt;""),"мс",_xlpm.bc))))</f>
        <v/>
      </c>
      <c r="BZ249" t="str">
        <f t="shared" si="432"/>
        <v>мс</v>
      </c>
      <c r="CA249">
        <f>IF(B249="","",_xlfn.LET(_xlpm.cc,IFERROR(N(VLOOKUP(BC249,Потребители_обозначение,7,FALSE)),0),IF(_xlpm.cc&gt;0,_xlpm.cc,IF(BZ249="","",IF(BV249=1,2,IF(N(BX249)=3,5,3))))))</f>
        <v>3</v>
      </c>
      <c r="CB249">
        <f t="shared" si="433"/>
        <v>3</v>
      </c>
      <c r="CC249">
        <f>IFERROR(N(VLOOKUP(BC249,Потребители_обозначение,10,FALSE)),0)</f>
        <v>0</v>
      </c>
      <c r="CD249">
        <f>IFERROR(VLOOKUP(BC249,Потребители_обозначение,5,FALSE),0)</f>
        <v>1</v>
      </c>
      <c r="CE249" s="6" cm="1">
        <f t="array" ref="CE249">IF(B249="","",IF(BH249&lt;&gt;"",IFERROR(_xlfn.XLOOKUP(BH249,Щиты[Щит],Щиты[cos φ]),0.95),IF(BP249=1,IFERROR(_xlfn.XLOOKUP(A249,Щиты[Щит],Щиты[cos φ]),0.95),IF(ISNUMBER(AD249),AD249,IFERROR(IF(CD249=2,_xlfn.IFS(BX249=3,VLOOKUP(BS249,Справочная_двигатели,8,FALSE),BX249=1,VLOOKUP(BS249,Справочная_двигатели,10,TRUE)),IF(AND(Методика="нормы 2026",FG249="Сил"),0.8,0.95)),0.95)))))</f>
        <v>0.95</v>
      </c>
      <c r="CF249">
        <f t="shared" si="434"/>
        <v>0</v>
      </c>
      <c r="CG249">
        <f t="shared" si="435"/>
        <v>1</v>
      </c>
      <c r="CH249">
        <f t="shared" si="436"/>
        <v>0</v>
      </c>
      <c r="CI249">
        <f>IF(B249="","",IF(BV249=1,IFERROR(BS249/((Uн_лин/SQRT(3))*MAX(0.5,N(CE249))),0),N(O249)))</f>
        <v>0.54696341291648753</v>
      </c>
      <c r="CJ249">
        <f t="shared" si="437"/>
        <v>0</v>
      </c>
      <c r="CK249">
        <f t="shared" si="438"/>
        <v>0</v>
      </c>
      <c r="CL249">
        <f t="shared" si="439"/>
        <v>0</v>
      </c>
      <c r="CM249">
        <f t="shared" si="440"/>
        <v>0</v>
      </c>
      <c r="CN249">
        <f t="shared" si="441"/>
        <v>0</v>
      </c>
      <c r="CO249">
        <f>IF(BC249="",0,_xlfn.LET(_xlpm.v,IFERROR(_xlfn.XLOOKUP(B249,Коды_код,Коды_мА),IFERROR(_xlfn.XLOOKUP(BC249,Коды_код,Коды_мА),IFERROR(_xlfn.XLOOKUP(LEFT(BC249,2),Коды_код,Коды_мА),""))),IF(_xlpm.v="да",30,IF(ISNUMBER(_xlpm.v),_xlpm.v,0))))</f>
        <v>30</v>
      </c>
      <c r="CP249">
        <f t="shared" si="442"/>
        <v>30</v>
      </c>
      <c r="CQ249" t="str">
        <f>_xlfn.LET(_xlpm.k,IFERROR(_xlfn.XLOOKUP(BC249,Коды_код,Коды_утечка)&amp;"",""),IF(_xlpm.k="","дифавтомат",_xlpm.k))</f>
        <v>дифавтомат</v>
      </c>
      <c r="CR249" t="str" cm="1">
        <f t="array" ref="CR249">IF(CG249=0,"",_xlfn.LET(_xlpm.sg,TRIM(_xlfn.TEXTSPLIT(DD249&amp;"",";")),_xlpm.f_,_xlfn._xlws.FILTER(_xlpm.sg,LEFT(_xlpm.sg,3)="УЗО",""),IFERROR(INDEX(_xlpm.f_,1)&amp;"","")))</f>
        <v/>
      </c>
      <c r="CS249" t="str">
        <f t="shared" si="443"/>
        <v/>
      </c>
      <c r="CT249" s="6" t="str" cm="1">
        <f t="array" ref="CT249">IF(CR249="","",_xlfn.LET(_xlpm.tk,_xlfn.TEXTSPLIT(UPPER(CR249)," ",,TRUE),_xlpm.a_,_xlfn._xlws.FILTER(_xlpm.tk,ISNUMBER(--LEFT(_xlpm.tk,1))*((ISNUMBER(SEARCH("А",_xlpm.tk))+ISNUMBER(SEARCH("A",_xlpm.tk)))&gt;0)*NOT(ISNUMBER(SEARCH("МА",_xlpm.tk)))*NOT(ISNUMBER(SEARCH("MA",_xlpm.tk))),""),IFERROR(--SUBSTITUTE(SUBSTITUTE(INDEX(_xlpm.a_,1),"А",""),"A",""),"")))</f>
        <v/>
      </c>
      <c r="CU249" t="str" cm="1">
        <f t="array" ref="CU249">IF(CR249="","",_xlfn.LET(_xlpm.tk,_xlfn.TEXTSPLIT(UPPER(CR249)," ",,TRUE),_xlpm.a_,_xlfn._xlws.FILTER(_xlpm.tk,ISNUMBER(--LEFT(_xlpm.tk,1))*((ISNUMBER(SEARCH("МА",_xlpm.tk))+ISNUMBER(SEARCH("MA",_xlpm.tk)))&gt;0),""),IFERROR(--SUBSTITUTE(SUBSTITUTE(INDEX(_xlpm.a_,1),"МА",""),"MA",""),30)))</f>
        <v/>
      </c>
      <c r="CV249" t="str">
        <f>IF(CS249="","",IFERROR(_xlfn.XLOOKUP(CS249,Линии[_n],Линии[_УЗО, мА]),30))</f>
        <v/>
      </c>
      <c r="CW249">
        <f>IF(CS249="",0,IF(ISNUMBER(SEARCH("4P",IFERROR(_xlfn.XLOOKUP(CS249,Линии[_n],Линии[_УЗО строки])&amp;"",""))),0,1))</f>
        <v>0</v>
      </c>
      <c r="CX249" t="str">
        <f>IF(AND(CS249&lt;&gt;"",CS249=BA249),SUMIFS(Линии[_ток на 230 В],Линии[_блок УЗО],BA249,Линии[Щит],A249),"")</f>
        <v/>
      </c>
      <c r="CY249" t="str">
        <f>IF(AND(CS249&lt;&gt;"",CS249=BA249),SUMIFS(Линии[_ток утечки линии, мА],Линии[_блок УЗО],BA249,Линии[Щит],A249),"")</f>
        <v/>
      </c>
      <c r="CZ249">
        <f t="shared" si="444"/>
        <v>30</v>
      </c>
      <c r="DA249">
        <f t="shared" si="445"/>
        <v>30</v>
      </c>
      <c r="DB249">
        <f>IF(B249="",0,IFERROR(--_xlfn.XLOOKUP(B249,Коды_код,Коды_минавт),IFERROR(--_xlfn.XLOOKUP(BC249,Коды_код,Коды_минавт),IFERROR(--_xlfn.XLOOKUP(LEFT(BC249,2),Коды_код,Коды_минавт),0))))</f>
        <v>16</v>
      </c>
      <c r="DC249" t="str">
        <f>IF(B249="","",IFERROR(_xlfn.XLOOKUP(BC249,Коды_код,Коды_апп)&amp;"",""))</f>
        <v/>
      </c>
      <c r="DD249" t="str">
        <f t="shared" si="446"/>
        <v/>
      </c>
      <c r="DE249" t="str" cm="1">
        <f t="array" ref="DE249">IF(TRIM(DD249&amp;"")="","",IFERROR(TRIM(INDEX(_xlfn.TEXTSPLIT(DD249&amp;";;;",";"),1)),""))</f>
        <v/>
      </c>
      <c r="DF249" t="str" cm="1">
        <f t="array" ref="DF249">IF(TRIM(DD249&amp;"")="","",IFERROR(TRIM(INDEX(_xlfn.TEXTSPLIT(DD249&amp;";;;",";"),2)),""))</f>
        <v/>
      </c>
      <c r="DG249" t="str" cm="1">
        <f t="array" ref="DG249">IF(TRIM(DD249&amp;"")="","",IFERROR(TRIM(INDEX(_xlfn.TEXTSPLIT(DD249&amp;";;;",";"),3)),""))</f>
        <v/>
      </c>
      <c r="DH249">
        <f t="shared" si="447"/>
        <v>0</v>
      </c>
      <c r="DI249" t="str">
        <f>IF(B249="","",_xlfn.LET(_xlpm.t,LOWER(AZ249&amp;""),IF(ISNUMBER(SEARCH("dim",_xlpm.t)),"DIM",IF(ISNUMBER(SEARCH("dali",_xlpm.t)),"DALI",IF(OR(ISNUMBER(SEARCH("relay",_xlpm.t)),ISNUMBER(SEARCH("реле",_xlpm.t))),"Relay",IF(ISNUMBER(SEARCH("кнопк",_xlpm.t)),"",IFERROR(_xlfn.XLOOKUP(BC249,Коды_код,Коды_упр)&amp;"","")))))))</f>
        <v/>
      </c>
      <c r="DJ249" t="str">
        <f t="shared" si="448"/>
        <v/>
      </c>
      <c r="DK249">
        <f>IF(B249="","",_xlfn.LET(_xlpm.ig,IF(N(CX249)&gt;0,N(CX249),N(CI249)+IF(AJ249="вручную",0,N(CJ249))),_xlpm.n0,IFERROR(VLOOKUP(_xlpm.ig,Автомат_номиналы,2,TRUE),0),_xlpm.mn,MAX(DB249,IF(AJ249="вручную",0,N(CM249))),MAX(_xlpm.n0,_xlpm.mn,IF(DH249=1,Мин_автомат_БП,0))))</f>
        <v>16</v>
      </c>
      <c r="DL249">
        <f t="shared" si="449"/>
        <v>1</v>
      </c>
      <c r="DM249" t="str">
        <f t="shared" si="450"/>
        <v>2P</v>
      </c>
      <c r="DN249" t="str">
        <f>_xlfn.LET(_xlpm.cc,UPPER(TRIM(IFERROR(_xlfn.XLOOKUP(BC249,Коды_код,Коды_хар)&amp;"",""))),IF(OR(_xlpm.cc="B",_xlpm.cc="В"),"B",IF(_xlpm.cc="D","D","С")))</f>
        <v>С</v>
      </c>
      <c r="DO249" t="str">
        <f t="shared" si="451"/>
        <v>2P С16А 30мА</v>
      </c>
      <c r="DP249" t="str">
        <f t="shared" si="452"/>
        <v>2P С16А 30мА</v>
      </c>
      <c r="DQ249" t="str">
        <f t="shared" si="453"/>
        <v>2P С16А 30мА</v>
      </c>
      <c r="DR249" cm="1">
        <f t="array" ref="DR249">IF(DQ249="","",_xlfn.LET(_xlpm.t,SUBSTITUTE(SUBSTITUTE(SUBSTITUTE(UPPER(DQ249),"С","C"),"А","A"),"В","B"),_xlpm.tk,_xlfn.TEXTSPLIT(_xlpm.t," "),_xlpm.f,_xlfn._xlws.FILTER(_xlpm.tk,ISNUMBER(--MID(_xlpm.tk,2,1))*ISNUMBER(SEARCH(LEFT(_xlpm.tk,1)&amp;"#","B#C#D#"))*(LEN(_xlpm.tk)&gt;1),""),_xlpm.x,INDEX(_xlpm.f,1),IFERROR(--SUBSTITUTE(MID(_xlpm.x,2,9),"A",""),IFERROR(--SUBSTITUTE(INDEX(_xlfn._xlws.FILTER(_xlpm.tk,ISNUMBER(--SUBSTITUTE(_xlpm.tk,"A","")),""),1),"A",""),""))))</f>
        <v>16</v>
      </c>
      <c r="DS249" t="str">
        <f t="shared" si="454"/>
        <v>ok</v>
      </c>
      <c r="DT249">
        <f t="shared" si="455"/>
        <v>16</v>
      </c>
      <c r="DU249" t="str">
        <f t="shared" si="456"/>
        <v>2P С16А 30мА</v>
      </c>
      <c r="DV249">
        <f t="shared" si="457"/>
        <v>30</v>
      </c>
      <c r="DW249">
        <f t="shared" si="458"/>
        <v>1</v>
      </c>
      <c r="DX249">
        <f t="shared" si="459"/>
        <v>0</v>
      </c>
      <c r="DY249">
        <f t="shared" si="460"/>
        <v>0.54696341291648753</v>
      </c>
      <c r="DZ249">
        <f t="shared" si="461"/>
        <v>1</v>
      </c>
      <c r="EA249">
        <f>IF(ISNUMBER(AP249),AP249,К_прокл)</f>
        <v>1</v>
      </c>
      <c r="EB249">
        <f t="shared" si="462"/>
        <v>2</v>
      </c>
      <c r="EC249">
        <f>IFERROR(N(VLOOKUP(BZ249,Кабель_обозначение,3,FALSE)),1)</f>
        <v>1</v>
      </c>
      <c r="ED249">
        <f>IFERROR(N(_xlfn.XLOOKUP(A249,Щиты[Щит],Щиты[ΔU до шин, %])),0)</f>
        <v>1.19</v>
      </c>
      <c r="EE249" t="str">
        <f>IFERROR(_xlfn.XLOOKUP(A249,Щиты[Щит],Щиты[Zпетли на шинах, Ом]),"")</f>
        <v/>
      </c>
      <c r="EF249">
        <f>IFERROR(N(_xlfn.XLOOKUP(A249,Щиты[Щит],Щиты[ΔU до шин (подбор), %])),0)</f>
        <v>1.19</v>
      </c>
      <c r="EG249" t="str">
        <f>IFERROR(_xlfn.XLOOKUP(A249,Щиты[Щит],Щиты[Zпетли на шинах (подбор), Ом]),"")</f>
        <v/>
      </c>
      <c r="EH249" t="str">
        <f t="shared" si="463"/>
        <v/>
      </c>
      <c r="EI249">
        <f t="shared" si="464"/>
        <v>45</v>
      </c>
      <c r="EJ249">
        <f t="shared" si="465"/>
        <v>2</v>
      </c>
      <c r="EK249">
        <f t="shared" si="466"/>
        <v>0.31</v>
      </c>
      <c r="EL249" s="6">
        <f>IF(B249="","",IF(BV249=1,dU_LED,IF(IFERROR(_xlfn.XLOOKUP(BC249,Коды_код,Коды_уго),"")="Светильник",3,4)+IF(Методика="нормы 2026",MIN(0.5,MAX(0,N(P249)-100)*0.005),0)))</f>
        <v>4</v>
      </c>
      <c r="EM249" cm="1">
        <f t="array" ref="EM249">IF(OR(B249="",BZ249="",EC249&lt;&gt;1),"",_xlfn.LET(_xlpm.sz,Iдоп_S,_xlpm.t_,CHOOSE(EB249,Iдоп_1ж,Iдоп_2ж,Iдоп_3ж)*DZ249*EA249,_xlpm.dcx,BV249=1,_xlpm.inn,IF(_xlpm.dcx,N(O249),N(DT249)),_xlpm.smin,MAX(1.5,CC249),_xlpm.L_,N(P249)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249)/N(BU249)*100,999),IFERROR(N(EJ249)*(_xlpm.rho*_xlpm.L_/_xlpm.sz*N(CE249)+_xlpm.xx*_xlpm.L_*N(EK249)/1000)*N(O249)/((Uн_лин/SQRT(3))*1000)*100,999)),_xlpm.kz,IF(OR(_xlpm.dcx,DW249=1,NOT(ISNUMBER(EG249)),_xlpm.L_=0,_xlpm.inn=0),1,IFERROR(--(c_min*(Uн_лин*1000/SQRT(3))/(EG249+2*ρкз_Cu*_xlpm.L_/_xlpm.sz)&gt;=HT249*_xlpm.inn),0)),_xlpm.ok,IFERROR((_xlpm.sz&gt;=_xlpm.smin)*(_xlpm.t_&gt;=_xlpm.inn)*IF(_xlpm.L_&gt;0,(_xlpm.du_+IF(_xlpm.dcx,0,EF249)&lt;=EL249+0.00001),1)*_xlpm.kz,0),_xlpm.r_,_xlfn._xlws.FILTER(_xlpm.sz,_xlpm.ok,"не подобрано"),INDEX(_xlpm.r_,1)))</f>
        <v>1.5</v>
      </c>
      <c r="EN249">
        <f t="shared" si="467"/>
        <v>2.5</v>
      </c>
      <c r="EO249" cm="1">
        <f t="array" ref="EO249">IF(OR(B249="",BZ249="",EC249&lt;&gt;1),"",_xlfn.LET(_xlpm.sz,Iдоп_S,_xlpm.t_,CHOOSE(EB249,Iдоп_1ж,Iдоп_2ж,Iдоп_3ж)*DZ249*EA249,_xlpm.ok,IFERROR((_xlpm.sz&gt;=MAX(1.5,CC249))*(_xlpm.t_&gt;=N(DT249)),0),_xlpm.r_,_xlfn._xlws.FILTER(_xlpm.sz,_xlpm.ok,""),INDEX(_xlpm.r_,1)))</f>
        <v>1.5</v>
      </c>
      <c r="EP249" s="6" cm="1">
        <f t="array" ref="EP249">IFERROR(ROUNDUP(N(EJ249)*(_xlfn.XLOOKUP(EO249,INDEX(Кабель_сопротивление,0,1),INDEX(Кабель_сопротивление,0,3))*N(P249)/EO249*N(CE249)+_xlfn.XLOOKUP(EO249,INDEX(Кабель_сопротивление,0,1),INDEX(Кабель_сопротивление,0,2))*N(P249)*N(EK249)/1000)*N(O249)/((Uн_лин/SQRT(3))*1000)*100,2),"")</f>
        <v>0.37</v>
      </c>
      <c r="EQ249">
        <f>IFERROR(2*ρкз_Cu*N(P249)/EO249,"")</f>
        <v>1.8936000000000002</v>
      </c>
      <c r="ER249">
        <f>IFERROR(VLOOKUP(EN249,Кабель_сопротивление,3,FALSE),"")</f>
        <v>2.2499999999999999E-2</v>
      </c>
      <c r="ES249">
        <f>IFERROR(VLOOKUP(EN249,Кабель_сопротивление,2,FALSE),"")</f>
        <v>0.1</v>
      </c>
      <c r="ET249">
        <f t="shared" si="468"/>
        <v>20</v>
      </c>
      <c r="EU249">
        <f t="shared" si="469"/>
        <v>6</v>
      </c>
      <c r="EV249">
        <f t="shared" si="470"/>
        <v>0.50689724899352884</v>
      </c>
      <c r="EW249" s="6">
        <f>IFERROR(ROUNDUP(EV249/IF(BV249=1,BU249,(Uн_лин/SQRT(3))*1000)*100,2),"")</f>
        <v>0.22</v>
      </c>
      <c r="EX249" t="str">
        <f>IFERROR(VLOOKUP(BZ249,Кабель_обозначение,2,FALSE),"")</f>
        <v>ВВГнг(А)-LS</v>
      </c>
      <c r="EY249" t="str">
        <f t="shared" si="471"/>
        <v>ВВГнг(А)-LS (3х2,5)</v>
      </c>
      <c r="EZ249" t="str">
        <f t="shared" si="472"/>
        <v>ВВГнг(А)-LS (3х2,5)
L=54-0,22%</v>
      </c>
      <c r="FA249">
        <f>IFERROR(2*ρкз_Cu*P249/EN249,"")</f>
        <v>1.1361600000000001</v>
      </c>
      <c r="FB249">
        <f t="shared" si="473"/>
        <v>0.378</v>
      </c>
      <c r="FC249" s="6" t="str">
        <f>IFERROR(IF(OR(B249="",BV249=1,NOT(ISNUMBER(EN249)),N(P249)=0),"",_xlfn.XLOOKUP(A249,Щиты[Щит],Щиты[Zпетли на шинах, Ом])+FA249),"")</f>
        <v/>
      </c>
      <c r="FD249" s="6" t="str">
        <f>IF(ISNUMBER(FC249),c_min*(Uн_лин*1000/SQRT(3))/FC249,"")</f>
        <v/>
      </c>
      <c r="FE249" s="6" t="str">
        <f>IFERROR(IF(OR(B249="",NOT(ISNUMBER(EN249))),"",1.05*(Uн_лин*1000/SQRT(3))/(_xlfn.XLOOKUP(A249,Щиты[Щит],Щиты[Zmax на шинах, Ом])+FB249)/1000),"")</f>
        <v/>
      </c>
      <c r="FF249" s="6" t="str">
        <f>IF(B249="","",IF(ISNUMBER(AC249),"Сил",IF(IFERROR(_xlfn.XLOOKUP(BC249,Коды_код,Коды_группа)&amp;"","")="","Быт",_xlfn.XLOOKUP(BC249,Коды_код,Коды_группа)&amp;"")))</f>
        <v>Быт</v>
      </c>
      <c r="FG249" s="6" t="str">
        <f t="shared" si="474"/>
        <v>Быт</v>
      </c>
      <c r="FH249" s="6">
        <f>IF(FG249="Щит","щит",IF(FG249="","",IF(FG249="Быт",IFERROR(_xlfn.XLOOKUP(A249,Щиты[Щит],Щиты[Кс быт]),1),IF(FG249="Сил",IF(ISNUMBER(AC249),AC249,IF(Методика="нормы 2026",IFERROR(_xlfn.XLOOKUP(A249,Щиты[Щит],Щиты[Кс силовых (табл. 7.5)]),1),1)),IF(OR(FG249="Пост",FG249="Отоп"),1,IF(FG249="ВНГ",0.7,0))))))</f>
        <v>0.57830000000000004</v>
      </c>
      <c r="FI249">
        <f>IF(FG249="","",IF(AND(BP249=1,TRIM(AE249&amp;"")=""),IF(COUNTIFS(Линии[Щит],A249,Линии[Секция (1/2/3)],"&gt;=2")&gt;0,MIN(3,MAX(1,IFERROR(--BD249,1))),1),IFERROR(MIN(3,MAX(1,INT(--AE249))),1)))</f>
        <v>1</v>
      </c>
      <c r="FJ249">
        <f t="shared" si="475"/>
        <v>0.12</v>
      </c>
      <c r="FK249">
        <f t="shared" si="476"/>
        <v>0.12</v>
      </c>
      <c r="FL249">
        <f t="shared" si="477"/>
        <v>0</v>
      </c>
      <c r="FM249">
        <f t="shared" si="478"/>
        <v>0</v>
      </c>
      <c r="FN249">
        <f t="shared" si="479"/>
        <v>0</v>
      </c>
      <c r="FO249">
        <f t="shared" si="480"/>
        <v>0</v>
      </c>
      <c r="FP249">
        <f t="shared" si="481"/>
        <v>0.12</v>
      </c>
      <c r="FQ249">
        <f t="shared" si="482"/>
        <v>0.12</v>
      </c>
      <c r="FR249">
        <f t="shared" si="483"/>
        <v>0.11399999999999999</v>
      </c>
      <c r="FS249">
        <f>IF(CG249=1,IF(AND(CH249=1,CW249=1),0,IF(AND(CS249&lt;&gt;"",CS249=BA249,CW249=1),SUMIFS(Линии[_Р линии, кВт],Линии[_блок УЗО],BA249,Линии[Щит],A249),N(BS249)+IF(AJ249="вручную",0,N(CK249)))),0)</f>
        <v>0.12</v>
      </c>
      <c r="FT249" t="str">
        <f t="shared" si="484"/>
        <v>L2</v>
      </c>
      <c r="FU249" t="str">
        <f>IF(B249="","",IF(CG249=0,IF(BA249=1,"",FW248),IF(AND(CH249=1,CW249=1,CS249&lt;&gt;""),IFERROR(_xlfn.XLOOKUP(CS249,Линии[_n],Линии[_фаза итог]),"L1"),IF(OR(N(DL249)&gt;=3,N(BX249)&gt;=3),"L1,L2,L3",IFERROR(_xlfn.TEXTBEFORE(_xlfn.TEXTAFTER(_xlfn.XLOOKUP(A249,Щиты[Щит],Щиты[_фазы авто]),";"&amp;BA249&amp;":"),";"),"L1")))))</f>
        <v>L1</v>
      </c>
      <c r="FV249" t="str">
        <f t="shared" si="485"/>
        <v>L2</v>
      </c>
      <c r="FW249" t="str">
        <f t="shared" si="486"/>
        <v>L2</v>
      </c>
      <c r="FX249" cm="1">
        <f t="array" ref="FX249">IFERROR(IF(CD249=2,_xlfn.IFS(BX249=3,VLOOKUP(BS249,Справочная_двигатели,3,FALSE),BX249=1,VLOOKUP(BS249,Справочная_двигатели,5,TRUE)),0),0)</f>
        <v>0</v>
      </c>
      <c r="FY249">
        <f>IFERROR(IF(CD249=3,VLOOKUP(BS249,Справочная_ЛЭД,2,TRUE),0),0)</f>
        <v>0</v>
      </c>
      <c r="FZ249" s="6">
        <f t="shared" si="487"/>
        <v>0</v>
      </c>
      <c r="GA249" t="str">
        <f>IF(B249="","",IF(TRIM(AH249&amp;"")&lt;&gt;"",IF(LOWER(TRIM(AH249&amp;""))="да","да","нет"),IF(IFERROR(_xlfn.XLOOKUP(BC249,Коды_код,Коды_пожарная),"")="да","да","нет")))</f>
        <v>нет</v>
      </c>
      <c r="GB249" t="str">
        <f t="shared" si="488"/>
        <v/>
      </c>
      <c r="GC249" t="str">
        <f t="shared" si="489"/>
        <v>основная</v>
      </c>
      <c r="GD249">
        <f>IF(AND(BP249=1,TRIM(AE249&amp;"")=""),IF(COUNTIFS(Линии[Щит],A249,Линии[Секция (1/2/3)],"&gt;=2")&gt;0,MIN(3,MAX(1,IFERROR(--BD249,1))),1),IFERROR(MIN(3,MAX(1,INT(--AE249))),1))</f>
        <v>1</v>
      </c>
      <c r="GE249" t="str" cm="1">
        <f t="array" ref="GE249">IF(B249="","",_xlfn.LET(_xlpm.t,IFERROR(_xlfn.XLOOKUP(1,(Шины[Шина]=GC249)*(((Шины[Щит]=A249)+(Шины[Щит]=""))&gt;0),Шины[Тип]),"")&amp;"",IF(_xlpm.t&lt;&gt;"",_xlpm.t,IF(ISNUMBER(SEARCH("ИБП",GC249)),"ИБП",IF(ISNUMBER(SEARCH("ДГУ",GC249)),"ДГУ","Ввод "&amp;GD249)))))</f>
        <v>Ввод 1</v>
      </c>
      <c r="GF249" t="str">
        <f t="shared" si="490"/>
        <v>Ввод 1</v>
      </c>
      <c r="GG249" t="str">
        <f>IF(BP249=0,"",IF(TRIM(AG249&amp;"")&lt;&gt;"",TRIM(AG249&amp;""),IF(OR(GE249="ИБП",GE249="ДГУ"),"I особая",_xlfn.XLOOKUP(A249,Щиты[Щит],Щиты[Категория шины «Ввод»],"III"))))</f>
        <v/>
      </c>
      <c r="GH249" t="str">
        <f>IF(A249="","",_xlfn.XLOOKUP(A249,Щиты[Щит],Щиты[Путь],""))</f>
        <v>|ГРЩ-ЖД|ЩР-1|</v>
      </c>
      <c r="GI249" t="str">
        <f>IF(B249="","",IF(AI249&lt;&gt;"",AI249,IF(IFERROR(_xlfn.XLOOKUP(BC249,Коды_код,Коды_вид)&amp;"","")="","Прочее",_xlfn.XLOOKUP(BC249,Коды_код,Коды_вид)&amp;"")))</f>
        <v>Розеточная сеть и бытовые приборы</v>
      </c>
      <c r="GJ249">
        <f>IF(BM249="","",INT((BM249-1)/Столбцов_на_лист)+1)</f>
        <v>3</v>
      </c>
      <c r="GK249" t="str">
        <f t="shared" si="491"/>
        <v>ВВГнг(А)-LS (3х2,5) L=54-0,22%</v>
      </c>
      <c r="GL249">
        <f t="shared" si="492"/>
        <v>0.12</v>
      </c>
      <c r="GM249">
        <f t="shared" si="493"/>
        <v>0.55000000000000004</v>
      </c>
      <c r="GN249">
        <f t="shared" si="494"/>
        <v>1</v>
      </c>
      <c r="GO249">
        <f t="shared" si="495"/>
        <v>0</v>
      </c>
      <c r="GP249">
        <f t="shared" si="496"/>
        <v>1</v>
      </c>
      <c r="GQ249">
        <f>IF(BM249="","",IF(AND(CG249=1,GP249=1),COUNTIFS(A$3:A249,A249,CG$3:CG249,1,GP$3:GP249,1),IF(OR(OR(BA249=1,A249&lt;&gt;A248),AJ249="вручную",GP249=0),"",IF(BA249=1,"",GR248))))</f>
        <v>25</v>
      </c>
      <c r="GR249">
        <f t="shared" si="497"/>
        <v>25</v>
      </c>
      <c r="GS249">
        <f>IF(B249="","",IFERROR(LOOKUP(INDEX(CHOOSE(EB249,Iдоп_1ж,Iдоп_2ж,Iдоп_3ж),MATCH(EN249,Iдоп_S,0))*DZ249*EA249,{6,10,16,20,25,32,40,50,63,80,100,125,160,200,250,315,400,500,630}),""))</f>
        <v>25</v>
      </c>
      <c r="GT249" t="str">
        <f t="shared" si="498"/>
        <v>QFD25</v>
      </c>
      <c r="GU249" t="str">
        <f t="shared" si="499"/>
        <v>QFD25</v>
      </c>
      <c r="GV249" t="str">
        <f t="shared" si="500"/>
        <v/>
      </c>
      <c r="GW249">
        <f t="shared" si="501"/>
        <v>0</v>
      </c>
      <c r="GX249" t="str">
        <f>IF(OR(B249="",DJ249=""),"",IFERROR(_xlfn.XLOOKUP(DJ249,Модули_умолч[Управление],Модули_умолч[Модель])&amp;"",""))</f>
        <v/>
      </c>
      <c r="GY249">
        <f>IF(DJ249="",1,IFERROR(MAX(0,N(_xlfn.XLOOKUP(DJ249,Модули_умолч[Управление],Модули_умолч[Каналов на линию]))),1))</f>
        <v>1</v>
      </c>
      <c r="GZ249" t="str">
        <f t="shared" si="502"/>
        <v/>
      </c>
      <c r="HA249" t="str">
        <f t="shared" si="503"/>
        <v/>
      </c>
      <c r="HB249" t="str">
        <f t="shared" si="504"/>
        <v/>
      </c>
      <c r="HC249">
        <f>IF(HB249="",0,IFERROR(N(VLOOKUP(HB249,Модули_спр,3,FALSE)),0))</f>
        <v>0</v>
      </c>
      <c r="HD249" t="str">
        <f t="shared" si="505"/>
        <v/>
      </c>
      <c r="HE249" t="str">
        <f t="shared" si="506"/>
        <v/>
      </c>
      <c r="HF249" t="str">
        <f>IF(OR(HE249="",HE249="-"),"",IFERROR(VLOOKUP(HE249,Модули_спр,2,FALSE),"R"))</f>
        <v/>
      </c>
      <c r="HG249" t="str">
        <f>IF(HF249="","",HF249&amp;"."&amp;COUNTIFS(A$3:A249,A249,HF$3:HF249,HF249))</f>
        <v/>
      </c>
      <c r="HH249" t="str">
        <f t="shared" si="507"/>
        <v/>
      </c>
      <c r="HI249" t="str">
        <f t="shared" si="508"/>
        <v/>
      </c>
      <c r="HJ249" t="str">
        <f t="shared" si="509"/>
        <v/>
      </c>
      <c r="HK249" t="str">
        <f t="shared" si="510"/>
        <v/>
      </c>
      <c r="HL249">
        <f t="shared" si="511"/>
        <v>1</v>
      </c>
      <c r="HM249" t="str">
        <f>IF(HL249=1,"XT"&amp;COUNTIFS(A$3:A249,A249,HL$3:HL249,1),"")</f>
        <v>XT25</v>
      </c>
      <c r="HN249" t="str">
        <f t="shared" si="512"/>
        <v>XT25</v>
      </c>
      <c r="HO249" t="str">
        <f t="shared" si="513"/>
        <v>QFD25</v>
      </c>
      <c r="HP249" t="str">
        <f t="shared" si="514"/>
        <v/>
      </c>
      <c r="HQ249" t="str">
        <f t="shared" si="515"/>
        <v>ok</v>
      </c>
      <c r="HR249" t="str">
        <f>IF(OR(HJ249="",HH249=""),"",IF(HJ249+MAX(0,GY249-1)&gt;IFERROR(VLOOKUP(HI249,Модули_спр,3,FALSE),99),"ЛИШНИЙ КАНАЛ",IF(AND(AL249&lt;&gt;"=",GY249&gt;0,COUNTIFS(Линии[_модуль гр.],HH249,Линии[Канал (итог)],HJ249,Линии[Канал],"&lt;&gt;=",Линии[Щит],A249)&gt;1),"ДУБЛЬ КАНАЛА","")))</f>
        <v/>
      </c>
      <c r="HS249" s="6" t="str">
        <f t="shared" si="516"/>
        <v/>
      </c>
      <c r="HT249">
        <f t="shared" si="517"/>
        <v>10</v>
      </c>
      <c r="HU249" t="str">
        <f t="shared" si="518"/>
        <v/>
      </c>
      <c r="HV249">
        <f t="shared" si="519"/>
        <v>0.758785365166595</v>
      </c>
      <c r="HW249">
        <f t="shared" si="520"/>
        <v>0</v>
      </c>
      <c r="HX249">
        <f t="shared" si="521"/>
        <v>0</v>
      </c>
      <c r="HY249">
        <f t="shared" si="522"/>
        <v>0</v>
      </c>
      <c r="HZ249">
        <f t="shared" si="523"/>
        <v>0</v>
      </c>
      <c r="IA249">
        <f t="shared" si="524"/>
        <v>0</v>
      </c>
      <c r="IB249">
        <f t="shared" si="525"/>
        <v>0</v>
      </c>
      <c r="IC249" t="str">
        <f t="shared" si="526"/>
        <v/>
      </c>
      <c r="ID249" t="str" cm="1">
        <f t="array" ref="ID249">IF(IC249="","",_xlfn.LET(_xlpm.tk,_xlfn.TEXTSPLIT(SUBSTITUTE(SUBSTITUTE(IC249,";"," "),"→"," ")," ",,TRUE),_xlpm.w_,_xlfn._xlws.FILTER(_xlpm.tk,ISNUMBER(--LEFT(_xlpm.tk,1))*((ISNUMBER(SEARCH("W",_xlpm.tk))+ISNUMBER(SEARCH("Вт",_xlpm.tk)))&gt;0),""),IFERROR(--SUBSTITUTE(SUBSTITUTE(UPPER(INDEX(_xlpm.w_,1)),"W",""),"ВТ",""),"")))</f>
        <v/>
      </c>
      <c r="IE249" t="str" cm="1">
        <f t="array" ref="IE249">IF(IC249="","",_xlfn.LET(_xlpm.tk,_xlfn.TEXTSPLIT(SUBSTITUTE(SUBSTITUTE(IC249,";"," "),"→"," ")," ",,TRUE),_xlpm.v_,_xlfn._xlws.FILTER(_xlpm.tk,ISNUMBER(--LEFT(_xlpm.tk,1))*((ISNUMBER(SEARCH("V",_xlpm.tk))+(RIGHT(UPPER(_xlpm.tk))="В"))&gt;0),""),IFERROR(--SUBSTITUTE(SUBSTITUTE(UPPER(INDEX(_xlpm.v_,1)),"V",""),"В",""),"")))</f>
        <v/>
      </c>
      <c r="IF249" s="6" t="str">
        <f>IF(OR(BV249=0,HI249="",HJ249=""),"",IFERROR(N(_xlfn.XLOOKUP(HI249,Каталог!$C$4:$C$500,Каталог!$Q$4:$Q$500)),""))</f>
        <v/>
      </c>
      <c r="IG249" s="6" t="str">
        <f>IF(N(IF249)=0,"",SUMIFS(Линии[Iр, А],Линии[Щит],A249,Линии[_модуль гр.],HH249,Линии[Канал (итог)],HJ249))</f>
        <v/>
      </c>
      <c r="IH249" t="str">
        <f>IF(AND(B249="",HO249=""),"",_xlfn.TEXTJOIN("; ",TRUE,IF(AND(B249&lt;&gt;"",FV249=""),"нет фазы",""),IF(AND(B249&lt;&gt;"",N(GL249)=0,FG249&lt;&gt;"Нет"),"нет мощности",""),IF(AND(HN249&lt;&gt;"",COUNTIFS(Линии[Щит],A249,Линии[Клемма (итог)],HN249)&gt;1),"дубль клеммы "&amp;HN249,""),IF(AND(HQ249&lt;&gt;"",HQ249&lt;&gt;"ok"),HQ249,""),IF(HR249&lt;&gt;"",HR249,""),IF(AND(N(CB249)&gt;=4,N(BX249)=1),CB249&amp;" жил на 1 фазе",""),IF(AND(BC249="R",CG249=1,IF(CS249&lt;&gt;"",N(CV249)&gt;30,OR(N(DA249)=0,N(DA249)&gt;30))),"розетка без дифзащиты до 30 мА",""),IF(AND(CG249=1,N(DA249)&gt;0,ISNUMBER(T249)),IF(T249&gt;N(DA249)/3,"ток утечки "&amp;FIXED(T249,1)&amp;" мА &gt; 1/3 уставки ("&amp;DA249&amp;" мА)",""),""),IF(AND(CH249=1,CS249=""),"«узо»: нет строки с УЗО выше (УЗО 2P 40А 30мА в «Аппаратах»)",""),IF(AND(CS249&lt;&gt;"",CS249=BA249),IF(CT249="","впишите номинал УЗО (УЗО 2P 40А 30мА)",IF(N(CT249)&lt;N(DT249),"УЗО "&amp;CT249&amp;" А &lt; автомата "&amp;DT249&amp;" А перед ним",IF(N(CT249)&lt;N(CX249),"УЗО "&amp;CT249&amp;" А &lt; тока блока "&amp;FIXED(CX249,1)&amp;" А",""))),""),IF(AND(CS249&lt;&gt;"",CS249=BA249,ISNUMBER(CY249)),IF(CY249&gt;N(CV249)/3,"ток утечки блока УЗО "&amp;FIXED(CY249,1)&amp;" мА &gt; 1/3 уставки ("&amp;CV249&amp;" мА)",""),""),IF(AND(CG249=1,N(BV249)+N(IB249)&gt;0,IC249=""),"линии до 50 В без БП: впишите в «Аппараты» (БП 24V 480W)",""),IF(AND(CG249=1,ISNUMBER(ID249),ISNUMBER(U249)),IF(U249&gt;ID249,"БП "&amp;ID249&amp;" Вт &lt; нужно "&amp;U249&amp;" Вт (×"&amp;Запас_БП&amp;")",""),""),IF(AND(CG249=1,ISNUMBER(IE249),N(BV249)=1),IF(IE249&lt;&gt;N(BU249),"БП на "&amp;IE249&amp;" В, линия "&amp;BU249&amp;" В",""),""),IF(AND(N(IF249)&gt;0,N(IG249)&gt;N(IF249)),HH249&amp;" канал "&amp;HJ249&amp;": "&amp;FIXED(IG249,1)&amp;" А &gt; "&amp;IF249&amp;" А",""),IFERROR(IF(AND(ISNUMBER(Q249),Q249&gt;EL249),"потери "&amp;FIXED(Q249,1)&amp;" % &gt; "&amp;EL249&amp;" %",""),""),IFERROR(IF(LEFT(HU249,4)="мало","Iкз мало — отключение &gt; 0,4 с",""),""),IF(AND(B249&lt;&gt;"",BM249=""),"не на схеме",""),IF(AND(CG249=0,B249&lt;&gt;"",FV249&lt;&gt;"",IF(BA249=1,"",FW248)&lt;&gt;"",FV249&lt;&gt;IF(BA249=1,"",FW248)),"фаза не как у автомата группы ("&amp;IF(BA249=1,"",FW248)&amp;")","")))</f>
        <v/>
      </c>
      <c r="II249" s="6">
        <f>IF(OR(CG249=0,DQ249=""),"",_xlfn.LET(_xlpm.t,IFERROR(_xlfn.XLOOKUP(DQ249,Каталог!$U$4:$U$500,Каталог!$G$4:$G$500),""),_xlpm.k,SEARCH("кА",_xlpm.t),IFERROR(--TRIM(RIGHT(SUBSTITUTE(MID(_xlpm.t,MAX(1,_xlpm.k-4),_xlpm.k-MAX(1,_xlpm.k-4))," ",REPT(" ",9)),5)),"")))</f>
        <v>6</v>
      </c>
      <c r="IJ249" t="str">
        <f>IF(OR(II249="",CG249=0),"",IF(_xlfn.XLOOKUP(A249,Щиты[Щит],Щиты[Iкз max на шинах, кА],"")="","",IF(II249&lt;_xlfn.XLOOKUP(A249,Щиты[Щит],Щиты[Iкз max на шинах, кА]),"Icu "&amp;II249&amp;" кА &lt; Iкз max","ok")))</f>
        <v/>
      </c>
      <c r="IK249" t="str">
        <f t="shared" si="527"/>
        <v/>
      </c>
      <c r="IL249" t="str">
        <f t="shared" si="528"/>
        <v>QFD25|XT25</v>
      </c>
      <c r="IM249" t="str">
        <f t="shared" si="529"/>
        <v>QFD25|XT25|кабель ВВГнг(А)-LS (3х2,5) → Розеточная группа, пом. 006A</v>
      </c>
      <c r="IN249" t="str" cm="1">
        <f t="array" ref="IN249">IF(IM249="","",_xlfn.LET(_xlpm.nd,_xlfn.TEXTSPLIT(IM249,"|"),IF(COLUMNS(_xlpm.nd)&gt;1,A249&amp;"¦"&amp;INDEX(_xlpm.nd,1)&amp;"¦"&amp;INDEX(_xlpm.nd,2),"")))</f>
        <v>ЩР-1¦QFD25¦XT25</v>
      </c>
      <c r="IO249" t="str">
        <f t="shared" si="530"/>
        <v>R.1.006A.1¦Розеточная группа, пом. 006A</v>
      </c>
      <c r="IP249" t="str" cm="1">
        <f t="array" ref="IP249">IF(IM249="","",_xlfn.LET(_xlpm.nd,_xlfn.TEXTSPLIT(IM249,"|"),IF(COLUMNS(_xlpm.nd)&gt;2,A249&amp;"¦"&amp;INDEX(_xlpm.nd,2)&amp;"¦"&amp;INDEX(_xlpm.nd,3),"")))</f>
        <v>ЩР-1¦XT25¦кабель ВВГнг(А)-LS (3х2,5) → Розеточная группа, пом. 006A</v>
      </c>
      <c r="IQ249" t="str">
        <f t="shared" si="531"/>
        <v>R.1.006A.1¦Розеточная группа, пом. 006A</v>
      </c>
      <c r="IR249" t="str" cm="1">
        <f t="array" ref="IR249">IF(IM249="","",_xlfn.LET(_xlpm.nd,_xlfn.TEXTSPLIT(IM249,"|"),IF(COLUMNS(_xlpm.nd)&gt;3,A249&amp;"¦"&amp;INDEX(_xlpm.nd,3)&amp;"¦"&amp;INDEX(_xlpm.nd,4),"")))</f>
        <v/>
      </c>
      <c r="IS249" t="str">
        <f t="shared" si="532"/>
        <v/>
      </c>
      <c r="IT249" t="str" cm="1">
        <f t="array" ref="IT249">IF(IM249="","",_xlfn.LET(_xlpm.nd,_xlfn.TEXTSPLIT(IM249,"|"),IF(COLUMNS(_xlpm.nd)&gt;4,A249&amp;"¦"&amp;INDEX(_xlpm.nd,4)&amp;"¦"&amp;INDEX(_xlpm.nd,5),"")))</f>
        <v/>
      </c>
      <c r="IU249" t="str">
        <f t="shared" si="533"/>
        <v/>
      </c>
      <c r="IV249" t="str" cm="1">
        <f t="array" ref="IV249">IF(IM249="","",_xlfn.LET(_xlpm.nd,_xlfn.TEXTSPLIT(IM249,"|"),IF(COLUMNS(_xlpm.nd)&gt;5,A249&amp;"¦"&amp;INDEX(_xlpm.nd,5)&amp;"¦"&amp;INDEX(_xlpm.nd,6),"")))</f>
        <v/>
      </c>
      <c r="IW249" t="str">
        <f t="shared" si="534"/>
        <v/>
      </c>
      <c r="IX249" t="str" cm="1">
        <f t="array" ref="IX249">IF(IM249="","",_xlfn.LET(_xlpm.nd,_xlfn.TEXTSPLIT(IM249,"|"),IF(COLUMNS(_xlpm.nd)&gt;6,A249&amp;"¦"&amp;INDEX(_xlpm.nd,6)&amp;"¦"&amp;INDEX(_xlpm.nd,7),"")))</f>
        <v/>
      </c>
      <c r="IY249" t="str">
        <f t="shared" si="535"/>
        <v/>
      </c>
      <c r="IZ249" t="str">
        <f t="shared" si="536"/>
        <v/>
      </c>
      <c r="JA249" t="str">
        <f t="shared" si="537"/>
        <v>QFD25 → XT25</v>
      </c>
      <c r="JB249">
        <f t="shared" si="538"/>
        <v>0</v>
      </c>
      <c r="JC249">
        <f t="shared" si="539"/>
        <v>1</v>
      </c>
      <c r="JD249" t="str">
        <f t="shared" si="540"/>
        <v/>
      </c>
      <c r="JE249" t="str">
        <f t="shared" si="541"/>
        <v/>
      </c>
      <c r="JF249" t="str">
        <f t="shared" si="542"/>
        <v/>
      </c>
      <c r="JG249" t="str">
        <f t="shared" si="543"/>
        <v/>
      </c>
      <c r="JH249" t="str">
        <f>IF(B249="","",IFERROR(_xlfn.XLOOKUP(B249,Коды_код,Коды_уго),IFERROR(_xlfn.XLOOKUP(BC249,Коды_код,Коды_уго),IFERROR(_xlfn.XLOOKUP(LEFT(BC249,2),Коды_код,Коды_уго),""))))</f>
        <v>Розетка</v>
      </c>
      <c r="JI249" t="str">
        <f>IF(B249="","",IF(OR(JH249="",JH249=0),"BOX",IFERROR(IF(VLOOKUP(JH249,УГО_блоки,3,FALSE)&amp;""&lt;&gt;"",VLOOKUP(JH249,УГО_блоки,3,FALSE),VLOOKUP(JH249,УГО_блоки,2,FALSE)),JH249)))</f>
        <v>SOCKET</v>
      </c>
      <c r="JJ249">
        <f t="shared" si="544"/>
        <v>1</v>
      </c>
      <c r="JK249" t="str">
        <f>IF(DQ249="","",IF(COUNTIF(DQ$3:DQ249,DQ249)=1,MAX(JK$2:JK248)+1,""))</f>
        <v/>
      </c>
      <c r="JL249" t="str">
        <f>IF(DE249="","",IF(COUNTIF(DE$3:DE249,DE249)+COUNTIF(DF$2:DF248,DE249)+COUNTIF(DG$2:DG248,DE249)=1,MAX(JL$2:JN248)+1,""))</f>
        <v/>
      </c>
      <c r="JM249" t="str">
        <f>IF(DF249="","",IF(COUNTIF(DE$3:DE249,DF249)+COUNTIF(DF$3:DF249,DF249)+COUNTIF(DG$2:DG248,DF249)=1,MAX(JL$2:JN248,JL249)+1,""))</f>
        <v/>
      </c>
      <c r="JN249" t="str">
        <f>IF(DG249="","",IF(COUNTIF(DE$3:DE249,DG249)+COUNTIF(DF$3:DF249,DG249)+COUNTIF(DG$3:DG249,DG249)=1,MAX(JL$2:JN248,JL249,JM249)+1,""))</f>
        <v/>
      </c>
      <c r="JO249" t="str">
        <f t="shared" si="545"/>
        <v>3х2,5</v>
      </c>
      <c r="JP249" t="str">
        <f>IF(JO249="","",IF(COUNTIF(JO$3:JO249,JO249)=1,MAX(JP$2:JP248)+1,""))</f>
        <v/>
      </c>
      <c r="JQ249" t="str">
        <f>IF(HG249="","",COUNTIF(HG$3:HG249,"?*"))</f>
        <v/>
      </c>
      <c r="JR249" t="str">
        <f>IF(OR(HG249="",HI249=""),"",IF(COUNTIFS(HG$3:HG249,"?*",HI$3:HI249,HI249)=1,MAX(JR$2:JR248)+1,""))</f>
        <v/>
      </c>
      <c r="JS249">
        <f t="shared" si="546"/>
        <v>0</v>
      </c>
      <c r="JT249">
        <f>IF(B249="","",COUNTIF(B$3:B249,"?*"))</f>
        <v>247</v>
      </c>
      <c r="JU249">
        <f>IF(HL249&lt;&gt;1,0,_xlfn.LET(_xlpm.k,MAX(IFERROR(--_xlfn.XLOOKUP(B249,Коды_код,Коды_3L),0),IFERROR(--_xlfn.XLOOKUP(BC249,Коды_код,Коды_3L),0),IFERROR(--_xlfn.XLOOKUP(LEFT(BC249,2),Коды_код,Коды_3L),0)),IF(_xlpm.k&gt;0,_xlpm.k,IF(IFERROR(--LEFT(SUBSTITUTE(JO249,"x","х"),FIND("х",SUBSTITUTE(JO249,"x","х"))-1),3)&gt;3,Каталог!$S$9,1))))</f>
        <v>1</v>
      </c>
      <c r="JV249">
        <f t="shared" si="547"/>
        <v>0</v>
      </c>
      <c r="JW249" t="str">
        <f t="shared" si="548"/>
        <v>авто</v>
      </c>
      <c r="JX249">
        <f t="shared" si="549"/>
        <v>30</v>
      </c>
      <c r="JY249">
        <f t="shared" si="550"/>
        <v>1</v>
      </c>
      <c r="JZ249">
        <f t="shared" si="551"/>
        <v>1</v>
      </c>
    </row>
    <row r="250" spans="1:286" x14ac:dyDescent="0.3">
      <c r="A250" t="s">
        <v>757</v>
      </c>
      <c r="B250" t="s">
        <v>1556</v>
      </c>
      <c r="C250" t="str">
        <f>Линии[[#This Row],[_авто наименование]]</f>
        <v>Розеточная группа, пом. 006Aб</v>
      </c>
      <c r="D250">
        <v>4</v>
      </c>
      <c r="E250">
        <v>0.24</v>
      </c>
      <c r="G250" t="str">
        <f>Линии[[#This Row],[_авто автомат]]</f>
        <v>2P С16А 30мА</v>
      </c>
      <c r="H250" t="str">
        <f>Линии[[#This Row],[_авто управление]]</f>
        <v/>
      </c>
      <c r="I250" t="str">
        <f>Линии[[#This Row],[_авто аппараты]]</f>
        <v/>
      </c>
      <c r="J250">
        <v>2.5</v>
      </c>
      <c r="K250">
        <v>85</v>
      </c>
      <c r="L250" t="str">
        <f>Линии[[#This Row],[_авто фаза]]</f>
        <v>L2</v>
      </c>
      <c r="M250" t="s">
        <v>484</v>
      </c>
      <c r="N250" t="str">
        <f t="shared" si="414"/>
        <v/>
      </c>
      <c r="O250" s="6" cm="1">
        <f t="array" ref="O250">IF(B250="","",IF(BH250&lt;&gt;"",IFERROR(_xlfn.XLOOKUP(BH250,Щиты[Щит],Щиты[Iр, А]),""),IF(BP250=1,IF(OR(N(_xlfn.XLOOKUP(A250,Щиты[Щит],Щиты[Вводов],1))&lt;=1,LOWER(TRIM(_xlfn.XLOOKUP(A250,Щиты[Щит],Щиты[АВР],"")&amp;""))="да"),IFERROR(_xlfn.XLOOKUP(A250,Щиты[Щит],Щиты[Iр, А]),""),IFERROR(N(BS250)*_xlfn.XLOOKUP(A250,Щиты[Щит],Щиты[Кс итог])/(SQRT(3)*Uн_лин*_xlfn.XLOOKUP(A250,Щиты[Щит],Щиты[cos φ])),"")),IF(BV250=1,IFERROR(BS250*1000/BU250,""),IFERROR(_xlfn.IFS(BX250=1,BS250/((Uн_лин/SQRT(3))*CE250),BX250=3,BS250/(SQRT(3)*Uн_лин*CE250)),"")))))</f>
        <v>1.0939268258329751</v>
      </c>
      <c r="P250" s="7">
        <f>IF(B250="","",IFERROR(IF(VLOOKUP(BC250,Потребители_обозначение,4,FALSE)=1,VLOOKUP(BC250,Потребители_обозначение,3,FALSE)*(MAX(1,N(D250))*2-1)+EI250+VLOOKUP(BE250,Этаж_обозначение,3,FALSE)+VLOOKUP(BE250,Этаж_обозначение,4,FALSE),VLOOKUP(BC250,Потребители_обозначение,3,FALSE)*(MAX(1,N(D250))*2-1)+EI250),EI250))</f>
        <v>106</v>
      </c>
      <c r="Q250" s="6">
        <f t="shared" si="415"/>
        <v>2.06</v>
      </c>
      <c r="R250" t="str">
        <f t="shared" si="416"/>
        <v>ВВГнг(А)-LS (3х2,5)</v>
      </c>
      <c r="S250" t="str">
        <f>IF(BM250="","",IF(BN250="вводной узел","узел ","")&amp;"л."&amp;(INT((BM250-1)/Столбцов_на_лист)+1)&amp;" / "&amp;(MOD(BM250-1,Столбцов_на_лист)+1))</f>
        <v>л.3 / 4</v>
      </c>
      <c r="T250" s="119">
        <f t="shared" si="417"/>
        <v>1.5</v>
      </c>
      <c r="U250" s="7" t="str">
        <f>IF(OR(CG250=0,N(BV250)+N(IB250)=0),"",ROUNDUP(Запас_БП*(N(HY250)+N(HZ250)),0))</f>
        <v/>
      </c>
      <c r="V250" s="119" t="str">
        <f t="shared" si="418"/>
        <v/>
      </c>
      <c r="W250" s="7" t="str">
        <f>IFERROR(IF(OR(B250="",BP250=1,BV250=1,NOT(ISNUMBER(EN250)),N(DT250)=0),"",MAX(0,ROUNDDOWN((c_min*(Uн_лин*1000/SQRT(3))/(HT250*N(DT250))-_xlfn.XLOOKUP(A250,Щиты[Щит],Щиты[Zпетли на шинах, Ом]))*EN250/(2*ρкз_Cu),0))),"")</f>
        <v/>
      </c>
      <c r="Y250">
        <f>Линии[[#This Row],[_авто утечка]]</f>
        <v>30</v>
      </c>
      <c r="Z250">
        <v>1</v>
      </c>
      <c r="AA250">
        <v>230</v>
      </c>
      <c r="AB250" t="s">
        <v>562</v>
      </c>
      <c r="AG250" t="s">
        <v>810</v>
      </c>
      <c r="AI250" t="s">
        <v>561</v>
      </c>
      <c r="AK250" t="str">
        <f>Линии[[#This Row],[_авто модуль]]</f>
        <v/>
      </c>
      <c r="AM250">
        <v>38</v>
      </c>
      <c r="AN250" t="s">
        <v>11</v>
      </c>
      <c r="AO250">
        <v>3</v>
      </c>
      <c r="AQ250">
        <v>28</v>
      </c>
      <c r="AR250">
        <v>78</v>
      </c>
      <c r="AS250">
        <v>0</v>
      </c>
      <c r="BA250" cm="1">
        <f t="array" ref="BA250">ROW()-ROW(Линии[#Headers])</f>
        <v>248</v>
      </c>
      <c r="BC250" s="6" t="str">
        <f t="shared" si="419"/>
        <v>R</v>
      </c>
      <c r="BD250" t="str">
        <f t="shared" si="420"/>
        <v>1.006Aб.1</v>
      </c>
      <c r="BE250" t="str">
        <f t="shared" si="421"/>
        <v>1</v>
      </c>
      <c r="BF250" t="str">
        <f t="shared" si="422"/>
        <v>006Aб.1</v>
      </c>
      <c r="BG250" t="str">
        <f t="shared" si="423"/>
        <v>006Aб</v>
      </c>
      <c r="BH250" t="str">
        <f>IF(X250&lt;&gt;"",X250,IF(AND(B250&lt;&gt;"",B250&lt;&gt;A250,ISNUMBER(_xlfn.XMATCH(B250,Щиты[Щит]))),B250,""))</f>
        <v/>
      </c>
      <c r="BI250" t="str" cm="1">
        <f t="array" ref="BI250">IF(B250="","",IF(BH250&lt;&gt;"","Щит "&amp;BH250,_xlfn.LET(_xlpm.nm,IFERROR(_xlfn.XLOOKUP(BC250,Коды_код,Коды_имя)&amp;"",""),_xlpm.md,IFERROR(N(_xlfn.XLOOKUP(BC250,Коды_код,Коды_режим)),1),_xlpm.ex,IF(Имя_режим="по экспликации",IFERROR(_xlfn.XLOOKUP(BE250&amp;"|"&amp;BG250,Экспликация[Этаж]&amp;"|"&amp;Экспликация[Помещение],Экспликация[Название])&amp;"",""),""),_xlpm.rm,IF(BG250="","",IF(_xlpm.ex&lt;&gt;"",". "&amp;_xlpm.ex&amp;IF(Имя_пом="нет"," ("&amp;BG250&amp;")"," (пом. "&amp;BG250&amp;")"),IF(Имя_пом="нет"," ",", пом. ")&amp;BG250)),IF(_xlpm.nm="","",IF(_xlpm.md=2,_xlpm.nm&amp;" шлейф "&amp;BE250,_xlpm.nm&amp;_xlpm.rm)))))</f>
        <v>Розеточная группа, пом. 006Aб</v>
      </c>
      <c r="BJ250" t="str">
        <f t="shared" si="424"/>
        <v>Розеточная группа, пом. 006Aб</v>
      </c>
      <c r="BK250">
        <f>IFERROR(_xlfn.XMATCH(A250,Щиты[Щит]),0)</f>
        <v>10</v>
      </c>
      <c r="BL250">
        <f>_xlfn.LET(_xlpm.k,IFERROR(_xlfn.XLOOKUP(A250,Щиты[Щит],Щиты[Мест под вводной узел]),""),IF(_xlpm.k="",Столбцов_на_лист,N(_xlpm.k)))</f>
        <v>8</v>
      </c>
      <c r="BM250">
        <f t="shared" si="425"/>
        <v>38</v>
      </c>
      <c r="BN250" t="str">
        <f t="shared" si="426"/>
        <v>линии</v>
      </c>
      <c r="BO250" s="6">
        <f>IFERROR(N(_xlfn.XLOOKUP(BC250,Коды_код,Коды_квт)),0)</f>
        <v>0</v>
      </c>
      <c r="BP250">
        <f t="shared" si="427"/>
        <v>0</v>
      </c>
      <c r="BQ250" t="str">
        <f>IF(B250="","",IF(BH250&lt;&gt;"",IFERROR(_xlfn.XLOOKUP(BH250,Щиты[Щит],Щиты[Руст, кВт]),0),IF(BP250=1,IF(OR(N(_xlfn.XLOOKUP(A250,Щиты[Щит],Щиты[Вводов],1))&lt;=1,LOWER(TRIM(_xlfn.XLOOKUP(A250,Щиты[Щит],Щиты[АВР],"")&amp;""))="да"),IFERROR(_xlfn.XLOOKUP(A250,Щиты[Щит],Щиты[Руст, кВт]),0),SUMIFS(Линии[_Р для вводов],Линии[Щит],A250,Линии[Источник для режимов],GF250)),IF(BO250&gt;0,ROUND(BO250*MAX(1,N(D250)),3),""))))</f>
        <v/>
      </c>
      <c r="BR250">
        <f t="shared" si="428"/>
        <v>0.24</v>
      </c>
      <c r="BS250" s="6">
        <f>IF(B250="","",IF(BH250&lt;&gt;"",IFERROR(_xlfn.XLOOKUP(BH250,Щиты[Щит],Щиты[Руст, кВт]),0),N(BR250)))</f>
        <v>0.24</v>
      </c>
      <c r="BT250" t="str">
        <f>IF(B250="","",IFERROR(IF(VLOOKUP(BC250,Потребители_обозначение,8,FALSE)=0,"",VLOOKUP(BC250,Потребители_обозначение,8,FALSE)),""))</f>
        <v/>
      </c>
      <c r="BU250">
        <f t="shared" si="429"/>
        <v>230</v>
      </c>
      <c r="BV250">
        <f t="shared" si="430"/>
        <v>0</v>
      </c>
      <c r="BW250">
        <f>IF(B250="","",IF(BH250&lt;&gt;"",3,IFERROR(IF(N(VLOOKUP(BC250,Потребители_обозначение,9,FALSE))=0,1,VLOOKUP(BC250,Потребители_обозначение,9,FALSE)),1)))</f>
        <v>1</v>
      </c>
      <c r="BX250">
        <f t="shared" si="431"/>
        <v>1</v>
      </c>
      <c r="BY250" t="str">
        <f>IF(B250="","",_xlfn.LET(_xlpm.bc,IFERROR(IF(VLOOKUP(BC250,Потребители_обозначение,6,FALSE)=0,"",VLOOKUP(BC250,Потребители_обозначение,6,FALSE)&amp;""),""),IF(AND(GA250="да",OR(_xlpm.bc="",_xlpm.bc="мс")),Марка_пож,IF(AND(_xlpm.bc="",BH250&lt;&gt;""),"мс",_xlpm.bc))))</f>
        <v/>
      </c>
      <c r="BZ250" t="str">
        <f t="shared" si="432"/>
        <v>мс</v>
      </c>
      <c r="CA250">
        <f>IF(B250="","",_xlfn.LET(_xlpm.cc,IFERROR(N(VLOOKUP(BC250,Потребители_обозначение,7,FALSE)),0),IF(_xlpm.cc&gt;0,_xlpm.cc,IF(BZ250="","",IF(BV250=1,2,IF(N(BX250)=3,5,3))))))</f>
        <v>3</v>
      </c>
      <c r="CB250">
        <f t="shared" si="433"/>
        <v>3</v>
      </c>
      <c r="CC250">
        <f>IFERROR(N(VLOOKUP(BC250,Потребители_обозначение,10,FALSE)),0)</f>
        <v>0</v>
      </c>
      <c r="CD250">
        <f>IFERROR(VLOOKUP(BC250,Потребители_обозначение,5,FALSE),0)</f>
        <v>1</v>
      </c>
      <c r="CE250" s="6" cm="1">
        <f t="array" ref="CE250">IF(B250="","",IF(BH250&lt;&gt;"",IFERROR(_xlfn.XLOOKUP(BH250,Щиты[Щит],Щиты[cos φ]),0.95),IF(BP250=1,IFERROR(_xlfn.XLOOKUP(A250,Щиты[Щит],Щиты[cos φ]),0.95),IF(ISNUMBER(AD250),AD250,IFERROR(IF(CD250=2,_xlfn.IFS(BX250=3,VLOOKUP(BS250,Справочная_двигатели,8,FALSE),BX250=1,VLOOKUP(BS250,Справочная_двигатели,10,TRUE)),IF(AND(Методика="нормы 2026",FG250="Сил"),0.8,0.95)),0.95)))))</f>
        <v>0.95</v>
      </c>
      <c r="CF250">
        <f t="shared" si="434"/>
        <v>0</v>
      </c>
      <c r="CG250">
        <f t="shared" si="435"/>
        <v>1</v>
      </c>
      <c r="CH250">
        <f t="shared" si="436"/>
        <v>0</v>
      </c>
      <c r="CI250">
        <f>IF(B250="","",IF(BV250=1,IFERROR(BS250/((Uн_лин/SQRT(3))*MAX(0.5,N(CE250))),0),N(O250)))</f>
        <v>1.0939268258329751</v>
      </c>
      <c r="CJ250">
        <f t="shared" si="437"/>
        <v>0</v>
      </c>
      <c r="CK250">
        <f t="shared" si="438"/>
        <v>0</v>
      </c>
      <c r="CL250">
        <f t="shared" si="439"/>
        <v>0</v>
      </c>
      <c r="CM250">
        <f t="shared" si="440"/>
        <v>0</v>
      </c>
      <c r="CN250">
        <f t="shared" si="441"/>
        <v>0</v>
      </c>
      <c r="CO250">
        <f>IF(BC250="",0,_xlfn.LET(_xlpm.v,IFERROR(_xlfn.XLOOKUP(B250,Коды_код,Коды_мА),IFERROR(_xlfn.XLOOKUP(BC250,Коды_код,Коды_мА),IFERROR(_xlfn.XLOOKUP(LEFT(BC250,2),Коды_код,Коды_мА),""))),IF(_xlpm.v="да",30,IF(ISNUMBER(_xlpm.v),_xlpm.v,0))))</f>
        <v>30</v>
      </c>
      <c r="CP250">
        <f t="shared" si="442"/>
        <v>30</v>
      </c>
      <c r="CQ250" t="str">
        <f>_xlfn.LET(_xlpm.k,IFERROR(_xlfn.XLOOKUP(BC250,Коды_код,Коды_утечка)&amp;"",""),IF(_xlpm.k="","дифавтомат",_xlpm.k))</f>
        <v>дифавтомат</v>
      </c>
      <c r="CR250" t="str" cm="1">
        <f t="array" ref="CR250">IF(CG250=0,"",_xlfn.LET(_xlpm.sg,TRIM(_xlfn.TEXTSPLIT(DD250&amp;"",";")),_xlpm.f_,_xlfn._xlws.FILTER(_xlpm.sg,LEFT(_xlpm.sg,3)="УЗО",""),IFERROR(INDEX(_xlpm.f_,1)&amp;"","")))</f>
        <v/>
      </c>
      <c r="CS250" t="str">
        <f t="shared" si="443"/>
        <v/>
      </c>
      <c r="CT250" s="6" t="str" cm="1">
        <f t="array" ref="CT250">IF(CR250="","",_xlfn.LET(_xlpm.tk,_xlfn.TEXTSPLIT(UPPER(CR250)," ",,TRUE),_xlpm.a_,_xlfn._xlws.FILTER(_xlpm.tk,ISNUMBER(--LEFT(_xlpm.tk,1))*((ISNUMBER(SEARCH("А",_xlpm.tk))+ISNUMBER(SEARCH("A",_xlpm.tk)))&gt;0)*NOT(ISNUMBER(SEARCH("МА",_xlpm.tk)))*NOT(ISNUMBER(SEARCH("MA",_xlpm.tk))),""),IFERROR(--SUBSTITUTE(SUBSTITUTE(INDEX(_xlpm.a_,1),"А",""),"A",""),"")))</f>
        <v/>
      </c>
      <c r="CU250" t="str" cm="1">
        <f t="array" ref="CU250">IF(CR250="","",_xlfn.LET(_xlpm.tk,_xlfn.TEXTSPLIT(UPPER(CR250)," ",,TRUE),_xlpm.a_,_xlfn._xlws.FILTER(_xlpm.tk,ISNUMBER(--LEFT(_xlpm.tk,1))*((ISNUMBER(SEARCH("МА",_xlpm.tk))+ISNUMBER(SEARCH("MA",_xlpm.tk)))&gt;0),""),IFERROR(--SUBSTITUTE(SUBSTITUTE(INDEX(_xlpm.a_,1),"МА",""),"MA",""),30)))</f>
        <v/>
      </c>
      <c r="CV250" t="str">
        <f>IF(CS250="","",IFERROR(_xlfn.XLOOKUP(CS250,Линии[_n],Линии[_УЗО, мА]),30))</f>
        <v/>
      </c>
      <c r="CW250">
        <f>IF(CS250="",0,IF(ISNUMBER(SEARCH("4P",IFERROR(_xlfn.XLOOKUP(CS250,Линии[_n],Линии[_УЗО строки])&amp;"",""))),0,1))</f>
        <v>0</v>
      </c>
      <c r="CX250" t="str">
        <f>IF(AND(CS250&lt;&gt;"",CS250=BA250),SUMIFS(Линии[_ток на 230 В],Линии[_блок УЗО],BA250,Линии[Щит],A250),"")</f>
        <v/>
      </c>
      <c r="CY250" t="str">
        <f>IF(AND(CS250&lt;&gt;"",CS250=BA250),SUMIFS(Линии[_ток утечки линии, мА],Линии[_блок УЗО],BA250,Линии[Щит],A250),"")</f>
        <v/>
      </c>
      <c r="CZ250">
        <f t="shared" si="444"/>
        <v>30</v>
      </c>
      <c r="DA250">
        <f t="shared" si="445"/>
        <v>30</v>
      </c>
      <c r="DB250">
        <f>IF(B250="",0,IFERROR(--_xlfn.XLOOKUP(B250,Коды_код,Коды_минавт),IFERROR(--_xlfn.XLOOKUP(BC250,Коды_код,Коды_минавт),IFERROR(--_xlfn.XLOOKUP(LEFT(BC250,2),Коды_код,Коды_минавт),0))))</f>
        <v>16</v>
      </c>
      <c r="DC250" t="str">
        <f>IF(B250="","",IFERROR(_xlfn.XLOOKUP(BC250,Коды_код,Коды_апп)&amp;"",""))</f>
        <v/>
      </c>
      <c r="DD250" t="str">
        <f t="shared" si="446"/>
        <v/>
      </c>
      <c r="DE250" t="str" cm="1">
        <f t="array" ref="DE250">IF(TRIM(DD250&amp;"")="","",IFERROR(TRIM(INDEX(_xlfn.TEXTSPLIT(DD250&amp;";;;",";"),1)),""))</f>
        <v/>
      </c>
      <c r="DF250" t="str" cm="1">
        <f t="array" ref="DF250">IF(TRIM(DD250&amp;"")="","",IFERROR(TRIM(INDEX(_xlfn.TEXTSPLIT(DD250&amp;";;;",";"),2)),""))</f>
        <v/>
      </c>
      <c r="DG250" t="str" cm="1">
        <f t="array" ref="DG250">IF(TRIM(DD250&amp;"")="","",IFERROR(TRIM(INDEX(_xlfn.TEXTSPLIT(DD250&amp;";;;",";"),3)),""))</f>
        <v/>
      </c>
      <c r="DH250">
        <f t="shared" si="447"/>
        <v>0</v>
      </c>
      <c r="DI250" t="str">
        <f>IF(B250="","",_xlfn.LET(_xlpm.t,LOWER(AZ250&amp;""),IF(ISNUMBER(SEARCH("dim",_xlpm.t)),"DIM",IF(ISNUMBER(SEARCH("dali",_xlpm.t)),"DALI",IF(OR(ISNUMBER(SEARCH("relay",_xlpm.t)),ISNUMBER(SEARCH("реле",_xlpm.t))),"Relay",IF(ISNUMBER(SEARCH("кнопк",_xlpm.t)),"",IFERROR(_xlfn.XLOOKUP(BC250,Коды_код,Коды_упр)&amp;"","")))))))</f>
        <v/>
      </c>
      <c r="DJ250" t="str">
        <f t="shared" si="448"/>
        <v/>
      </c>
      <c r="DK250">
        <f>IF(B250="","",_xlfn.LET(_xlpm.ig,IF(N(CX250)&gt;0,N(CX250),N(CI250)+IF(AJ250="вручную",0,N(CJ250))),_xlpm.n0,IFERROR(VLOOKUP(_xlpm.ig,Автомат_номиналы,2,TRUE),0),_xlpm.mn,MAX(DB250,IF(AJ250="вручную",0,N(CM250))),MAX(_xlpm.n0,_xlpm.mn,IF(DH250=1,Мин_автомат_БП,0))))</f>
        <v>16</v>
      </c>
      <c r="DL250">
        <f t="shared" si="449"/>
        <v>1</v>
      </c>
      <c r="DM250" t="str">
        <f t="shared" si="450"/>
        <v>2P</v>
      </c>
      <c r="DN250" t="str">
        <f>_xlfn.LET(_xlpm.cc,UPPER(TRIM(IFERROR(_xlfn.XLOOKUP(BC250,Коды_код,Коды_хар)&amp;"",""))),IF(OR(_xlpm.cc="B",_xlpm.cc="В"),"B",IF(_xlpm.cc="D","D","С")))</f>
        <v>С</v>
      </c>
      <c r="DO250" t="str">
        <f t="shared" si="451"/>
        <v>2P С16А 30мА</v>
      </c>
      <c r="DP250" t="str">
        <f t="shared" si="452"/>
        <v>2P С16А 30мА</v>
      </c>
      <c r="DQ250" t="str">
        <f t="shared" si="453"/>
        <v>2P С16А 30мА</v>
      </c>
      <c r="DR250" cm="1">
        <f t="array" ref="DR250">IF(DQ250="","",_xlfn.LET(_xlpm.t,SUBSTITUTE(SUBSTITUTE(SUBSTITUTE(UPPER(DQ250),"С","C"),"А","A"),"В","B"),_xlpm.tk,_xlfn.TEXTSPLIT(_xlpm.t," "),_xlpm.f,_xlfn._xlws.FILTER(_xlpm.tk,ISNUMBER(--MID(_xlpm.tk,2,1))*ISNUMBER(SEARCH(LEFT(_xlpm.tk,1)&amp;"#","B#C#D#"))*(LEN(_xlpm.tk)&gt;1),""),_xlpm.x,INDEX(_xlpm.f,1),IFERROR(--SUBSTITUTE(MID(_xlpm.x,2,9),"A",""),IFERROR(--SUBSTITUTE(INDEX(_xlfn._xlws.FILTER(_xlpm.tk,ISNUMBER(--SUBSTITUTE(_xlpm.tk,"A","")),""),1),"A",""),""))))</f>
        <v>16</v>
      </c>
      <c r="DS250" t="str">
        <f t="shared" si="454"/>
        <v>ok</v>
      </c>
      <c r="DT250">
        <f t="shared" si="455"/>
        <v>16</v>
      </c>
      <c r="DU250" t="str">
        <f t="shared" si="456"/>
        <v>2P С16А 30мА</v>
      </c>
      <c r="DV250">
        <f t="shared" si="457"/>
        <v>30</v>
      </c>
      <c r="DW250">
        <f t="shared" si="458"/>
        <v>1</v>
      </c>
      <c r="DX250">
        <f t="shared" si="459"/>
        <v>0</v>
      </c>
      <c r="DY250">
        <f t="shared" si="460"/>
        <v>1.0939268258329751</v>
      </c>
      <c r="DZ250">
        <f t="shared" si="461"/>
        <v>1</v>
      </c>
      <c r="EA250">
        <f>IF(ISNUMBER(AP250),AP250,К_прокл)</f>
        <v>1</v>
      </c>
      <c r="EB250">
        <f t="shared" si="462"/>
        <v>2</v>
      </c>
      <c r="EC250">
        <f>IFERROR(N(VLOOKUP(BZ250,Кабель_обозначение,3,FALSE)),1)</f>
        <v>1</v>
      </c>
      <c r="ED250">
        <f>IFERROR(N(_xlfn.XLOOKUP(A250,Щиты[Щит],Щиты[ΔU до шин, %])),0)</f>
        <v>1.19</v>
      </c>
      <c r="EE250" t="str">
        <f>IFERROR(_xlfn.XLOOKUP(A250,Щиты[Щит],Щиты[Zпетли на шинах, Ом]),"")</f>
        <v/>
      </c>
      <c r="EF250">
        <f>IFERROR(N(_xlfn.XLOOKUP(A250,Щиты[Щит],Щиты[ΔU до шин (подбор), %])),0)</f>
        <v>1.19</v>
      </c>
      <c r="EG250" t="str">
        <f>IFERROR(_xlfn.XLOOKUP(A250,Щиты[Щит],Щиты[Zпетли на шинах (подбор), Ом]),"")</f>
        <v/>
      </c>
      <c r="EH250" t="str">
        <f t="shared" si="463"/>
        <v/>
      </c>
      <c r="EI250">
        <f t="shared" si="464"/>
        <v>85</v>
      </c>
      <c r="EJ250">
        <f t="shared" si="465"/>
        <v>2</v>
      </c>
      <c r="EK250">
        <f t="shared" si="466"/>
        <v>0.31</v>
      </c>
      <c r="EL250" s="6">
        <f>IF(B250="","",IF(BV250=1,dU_LED,IF(IFERROR(_xlfn.XLOOKUP(BC250,Коды_код,Коды_уго),"")="Светильник",3,4)+IF(Методика="нормы 2026",MIN(0.5,MAX(0,N(P250)-100)*0.005),0)))</f>
        <v>4.03</v>
      </c>
      <c r="EM250" cm="1">
        <f t="array" ref="EM250">IF(OR(B250="",BZ250="",EC250&lt;&gt;1),"",_xlfn.LET(_xlpm.sz,Iдоп_S,_xlpm.t_,CHOOSE(EB250,Iдоп_1ж,Iдоп_2ж,Iдоп_3ж)*DZ250*EA250,_xlpm.dcx,BV250=1,_xlpm.inn,IF(_xlpm.dcx,N(O250),N(DT250)),_xlpm.smin,MAX(1.5,CC250),_xlpm.L_,N(P250)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250)/N(BU250)*100,999),IFERROR(N(EJ250)*(_xlpm.rho*_xlpm.L_/_xlpm.sz*N(CE250)+_xlpm.xx*_xlpm.L_*N(EK250)/1000)*N(O250)/((Uн_лин/SQRT(3))*1000)*100,999)),_xlpm.kz,IF(OR(_xlpm.dcx,DW250=1,NOT(ISNUMBER(EG250)),_xlpm.L_=0,_xlpm.inn=0),1,IFERROR(--(c_min*(Uн_лин*1000/SQRT(3))/(EG250+2*ρкз_Cu*_xlpm.L_/_xlpm.sz)&gt;=HT250*_xlpm.inn),0)),_xlpm.ok,IFERROR((_xlpm.sz&gt;=_xlpm.smin)*(_xlpm.t_&gt;=_xlpm.inn)*IF(_xlpm.L_&gt;0,(_xlpm.du_+IF(_xlpm.dcx,0,EF250)&lt;=EL250+0.00001),1)*_xlpm.kz,0),_xlpm.r_,_xlfn._xlws.FILTER(_xlpm.sz,_xlpm.ok,"не подобрано"),INDEX(_xlpm.r_,1)))</f>
        <v>1.5</v>
      </c>
      <c r="EN250">
        <f t="shared" si="467"/>
        <v>2.5</v>
      </c>
      <c r="EO250" cm="1">
        <f t="array" ref="EO250">IF(OR(B250="",BZ250="",EC250&lt;&gt;1),"",_xlfn.LET(_xlpm.sz,Iдоп_S,_xlpm.t_,CHOOSE(EB250,Iдоп_1ж,Iдоп_2ж,Iдоп_3ж)*DZ250*EA250,_xlpm.ok,IFERROR((_xlpm.sz&gt;=MAX(1.5,CC250))*(_xlpm.t_&gt;=N(DT250)),0),_xlpm.r_,_xlfn._xlws.FILTER(_xlpm.sz,_xlpm.ok,""),INDEX(_xlpm.r_,1)))</f>
        <v>1.5</v>
      </c>
      <c r="EP250" s="6" cm="1">
        <f t="array" ref="EP250">IFERROR(ROUNDUP(N(EJ250)*(_xlfn.XLOOKUP(EO250,INDEX(Кабель_сопротивление,0,1),INDEX(Кабель_сопротивление,0,3))*N(P250)/EO250*N(CE250)+_xlfn.XLOOKUP(EO250,INDEX(Кабель_сопротивление,0,1),INDEX(Кабель_сопротивление,0,2))*N(P250)*N(EK250)/1000)*N(O250)/((Uн_лин/SQRT(3))*1000)*100,2),"")</f>
        <v>1.44</v>
      </c>
      <c r="EQ250">
        <f>IFERROR(2*ρкз_Cu*N(P250)/EO250,"")</f>
        <v>3.7170666666666663</v>
      </c>
      <c r="ER250">
        <f>IFERROR(VLOOKUP(EN250,Кабель_сопротивление,3,FALSE),"")</f>
        <v>2.2499999999999999E-2</v>
      </c>
      <c r="ES250">
        <f>IFERROR(VLOOKUP(EN250,Кабель_сопротивление,2,FALSE),"")</f>
        <v>0.1</v>
      </c>
      <c r="ET250">
        <f t="shared" si="468"/>
        <v>78</v>
      </c>
      <c r="EU250">
        <f t="shared" si="469"/>
        <v>0</v>
      </c>
      <c r="EV250">
        <f t="shared" si="470"/>
        <v>1.9900410516042246</v>
      </c>
      <c r="EW250" s="6">
        <f>IFERROR(ROUNDUP(EV250/IF(BV250=1,BU250,(Uн_лин/SQRT(3))*1000)*100,2),"")</f>
        <v>0.87</v>
      </c>
      <c r="EX250" t="str">
        <f>IFERROR(VLOOKUP(BZ250,Кабель_обозначение,2,FALSE),"")</f>
        <v>ВВГнг(А)-LS</v>
      </c>
      <c r="EY250" t="str">
        <f t="shared" si="471"/>
        <v>ВВГнг(А)-LS (3х2,5)</v>
      </c>
      <c r="EZ250" t="str">
        <f t="shared" si="472"/>
        <v>ВВГнг(А)-LS (3х2,5)
L=106-0,87%</v>
      </c>
      <c r="FA250">
        <f>IFERROR(2*ρкз_Cu*P250/EN250,"")</f>
        <v>2.2302399999999998</v>
      </c>
      <c r="FB250">
        <f t="shared" si="473"/>
        <v>0.7420000000000001</v>
      </c>
      <c r="FC250" s="6" t="str">
        <f>IFERROR(IF(OR(B250="",BV250=1,NOT(ISNUMBER(EN250)),N(P250)=0),"",_xlfn.XLOOKUP(A250,Щиты[Щит],Щиты[Zпетли на шинах, Ом])+FA250),"")</f>
        <v/>
      </c>
      <c r="FD250" s="6" t="str">
        <f>IF(ISNUMBER(FC250),c_min*(Uн_лин*1000/SQRT(3))/FC250,"")</f>
        <v/>
      </c>
      <c r="FE250" s="6" t="str">
        <f>IFERROR(IF(OR(B250="",NOT(ISNUMBER(EN250))),"",1.05*(Uн_лин*1000/SQRT(3))/(_xlfn.XLOOKUP(A250,Щиты[Щит],Щиты[Zmax на шинах, Ом])+FB250)/1000),"")</f>
        <v/>
      </c>
      <c r="FF250" s="6" t="str">
        <f>IF(B250="","",IF(ISNUMBER(AC250),"Сил",IF(IFERROR(_xlfn.XLOOKUP(BC250,Коды_код,Коды_группа)&amp;"","")="","Быт",_xlfn.XLOOKUP(BC250,Коды_код,Коды_группа)&amp;"")))</f>
        <v>Быт</v>
      </c>
      <c r="FG250" s="6" t="str">
        <f t="shared" si="474"/>
        <v>Быт</v>
      </c>
      <c r="FH250" s="6">
        <f>IF(FG250="Щит","щит",IF(FG250="","",IF(FG250="Быт",IFERROR(_xlfn.XLOOKUP(A250,Щиты[Щит],Щиты[Кс быт]),1),IF(FG250="Сил",IF(ISNUMBER(AC250),AC250,IF(Методика="нормы 2026",IFERROR(_xlfn.XLOOKUP(A250,Щиты[Щит],Щиты[Кс силовых (табл. 7.5)]),1),1)),IF(OR(FG250="Пост",FG250="Отоп"),1,IF(FG250="ВНГ",0.7,0))))))</f>
        <v>0.57830000000000004</v>
      </c>
      <c r="FI250">
        <f>IF(FG250="","",IF(AND(BP250=1,TRIM(AE250&amp;"")=""),IF(COUNTIFS(Линии[Щит],A250,Линии[Секция (1/2/3)],"&gt;=2")&gt;0,MIN(3,MAX(1,IFERROR(--BD250,1))),1),IFERROR(MIN(3,MAX(1,INT(--AE250))),1)))</f>
        <v>1</v>
      </c>
      <c r="FJ250">
        <f t="shared" si="475"/>
        <v>0.24</v>
      </c>
      <c r="FK250">
        <f t="shared" si="476"/>
        <v>0.24</v>
      </c>
      <c r="FL250">
        <f t="shared" si="477"/>
        <v>0</v>
      </c>
      <c r="FM250">
        <f t="shared" si="478"/>
        <v>0</v>
      </c>
      <c r="FN250">
        <f t="shared" si="479"/>
        <v>0</v>
      </c>
      <c r="FO250">
        <f t="shared" si="480"/>
        <v>0</v>
      </c>
      <c r="FP250">
        <f t="shared" si="481"/>
        <v>0.24</v>
      </c>
      <c r="FQ250">
        <f t="shared" si="482"/>
        <v>0.24</v>
      </c>
      <c r="FR250">
        <f t="shared" si="483"/>
        <v>0.22799999999999998</v>
      </c>
      <c r="FS250">
        <f>IF(CG250=1,IF(AND(CH250=1,CW250=1),0,IF(AND(CS250&lt;&gt;"",CS250=BA250,CW250=1),SUMIFS(Линии[_Р линии, кВт],Линии[_блок УЗО],BA250,Линии[Щит],A250),N(BS250)+IF(AJ250="вручную",0,N(CK250)))),0)</f>
        <v>0.24</v>
      </c>
      <c r="FT250" t="str">
        <f t="shared" si="484"/>
        <v/>
      </c>
      <c r="FU250" t="str">
        <f>IF(B250="","",IF(CG250=0,IF(BA250=1,"",FW249),IF(AND(CH250=1,CW250=1,CS250&lt;&gt;""),IFERROR(_xlfn.XLOOKUP(CS250,Линии[_n],Линии[_фаза итог]),"L1"),IF(OR(N(DL250)&gt;=3,N(BX250)&gt;=3),"L1,L2,L3",IFERROR(_xlfn.TEXTBEFORE(_xlfn.TEXTAFTER(_xlfn.XLOOKUP(A250,Щиты[Щит],Щиты[_фазы авто]),";"&amp;BA250&amp;":"),";"),"L1")))))</f>
        <v>L2</v>
      </c>
      <c r="FV250" t="str">
        <f t="shared" si="485"/>
        <v>L2</v>
      </c>
      <c r="FW250" t="str">
        <f t="shared" si="486"/>
        <v>L2</v>
      </c>
      <c r="FX250" cm="1">
        <f t="array" ref="FX250">IFERROR(IF(CD250=2,_xlfn.IFS(BX250=3,VLOOKUP(BS250,Справочная_двигатели,3,FALSE),BX250=1,VLOOKUP(BS250,Справочная_двигатели,5,TRUE)),0),0)</f>
        <v>0</v>
      </c>
      <c r="FY250">
        <f>IFERROR(IF(CD250=3,VLOOKUP(BS250,Справочная_ЛЭД,2,TRUE),0),0)</f>
        <v>0</v>
      </c>
      <c r="FZ250" s="6">
        <f t="shared" si="487"/>
        <v>0</v>
      </c>
      <c r="GA250" t="str">
        <f>IF(B250="","",IF(TRIM(AH250&amp;"")&lt;&gt;"",IF(LOWER(TRIM(AH250&amp;""))="да","да","нет"),IF(IFERROR(_xlfn.XLOOKUP(BC250,Коды_код,Коды_пожарная),"")="да","да","нет")))</f>
        <v>нет</v>
      </c>
      <c r="GB250" t="str">
        <f t="shared" si="488"/>
        <v/>
      </c>
      <c r="GC250" t="str">
        <f t="shared" si="489"/>
        <v>основная</v>
      </c>
      <c r="GD250">
        <f>IF(AND(BP250=1,TRIM(AE250&amp;"")=""),IF(COUNTIFS(Линии[Щит],A250,Линии[Секция (1/2/3)],"&gt;=2")&gt;0,MIN(3,MAX(1,IFERROR(--BD250,1))),1),IFERROR(MIN(3,MAX(1,INT(--AE250))),1))</f>
        <v>1</v>
      </c>
      <c r="GE250" t="str" cm="1">
        <f t="array" ref="GE250">IF(B250="","",_xlfn.LET(_xlpm.t,IFERROR(_xlfn.XLOOKUP(1,(Шины[Шина]=GC250)*(((Шины[Щит]=A250)+(Шины[Щит]=""))&gt;0),Шины[Тип]),"")&amp;"",IF(_xlpm.t&lt;&gt;"",_xlpm.t,IF(ISNUMBER(SEARCH("ИБП",GC250)),"ИБП",IF(ISNUMBER(SEARCH("ДГУ",GC250)),"ДГУ","Ввод "&amp;GD250)))))</f>
        <v>Ввод 1</v>
      </c>
      <c r="GF250" t="str">
        <f t="shared" si="490"/>
        <v>Ввод 1</v>
      </c>
      <c r="GG250" t="str">
        <f>IF(BP250=0,"",IF(TRIM(AG250&amp;"")&lt;&gt;"",TRIM(AG250&amp;""),IF(OR(GE250="ИБП",GE250="ДГУ"),"I особая",_xlfn.XLOOKUP(A250,Щиты[Щит],Щиты[Категория шины «Ввод»],"III"))))</f>
        <v/>
      </c>
      <c r="GH250" t="str">
        <f>IF(A250="","",_xlfn.XLOOKUP(A250,Щиты[Щит],Щиты[Путь],""))</f>
        <v>|ГРЩ-ЖД|ЩР-1|</v>
      </c>
      <c r="GI250" t="str">
        <f>IF(B250="","",IF(AI250&lt;&gt;"",AI250,IF(IFERROR(_xlfn.XLOOKUP(BC250,Коды_код,Коды_вид)&amp;"","")="","Прочее",_xlfn.XLOOKUP(BC250,Коды_код,Коды_вид)&amp;"")))</f>
        <v>Розеточная сеть и бытовые приборы</v>
      </c>
      <c r="GJ250">
        <f>IF(BM250="","",INT((BM250-1)/Столбцов_на_лист)+1)</f>
        <v>3</v>
      </c>
      <c r="GK250" t="str">
        <f t="shared" si="491"/>
        <v>ВВГнг(А)-LS (3х2,5) L=106-0,87%</v>
      </c>
      <c r="GL250">
        <f t="shared" si="492"/>
        <v>0.24</v>
      </c>
      <c r="GM250">
        <f t="shared" si="493"/>
        <v>1.1000000000000001</v>
      </c>
      <c r="GN250">
        <f t="shared" si="494"/>
        <v>1</v>
      </c>
      <c r="GO250">
        <f t="shared" si="495"/>
        <v>0</v>
      </c>
      <c r="GP250">
        <f t="shared" si="496"/>
        <v>1</v>
      </c>
      <c r="GQ250">
        <f>IF(BM250="","",IF(AND(CG250=1,GP250=1),COUNTIFS(A$3:A250,A250,CG$3:CG250,1,GP$3:GP250,1),IF(OR(OR(BA250=1,A250&lt;&gt;A249),AJ250="вручную",GP250=0),"",IF(BA250=1,"",GR249))))</f>
        <v>26</v>
      </c>
      <c r="GR250">
        <f t="shared" si="497"/>
        <v>26</v>
      </c>
      <c r="GS250">
        <f>IF(B250="","",IFERROR(LOOKUP(INDEX(CHOOSE(EB250,Iдоп_1ж,Iдоп_2ж,Iдоп_3ж),MATCH(EN250,Iдоп_S,0))*DZ250*EA250,{6,10,16,20,25,32,40,50,63,80,100,125,160,200,250,315,400,500,630}),""))</f>
        <v>25</v>
      </c>
      <c r="GT250" t="str">
        <f t="shared" si="498"/>
        <v>QFD26</v>
      </c>
      <c r="GU250" t="str">
        <f t="shared" si="499"/>
        <v>QFD26</v>
      </c>
      <c r="GV250" t="str">
        <f t="shared" si="500"/>
        <v/>
      </c>
      <c r="GW250">
        <f t="shared" si="501"/>
        <v>0</v>
      </c>
      <c r="GX250" t="str">
        <f>IF(OR(B250="",DJ250=""),"",IFERROR(_xlfn.XLOOKUP(DJ250,Модули_умолч[Управление],Модули_умолч[Модель])&amp;"",""))</f>
        <v/>
      </c>
      <c r="GY250">
        <f>IF(DJ250="",1,IFERROR(MAX(0,N(_xlfn.XLOOKUP(DJ250,Модули_умолч[Управление],Модули_умолч[Каналов на линию]))),1))</f>
        <v>1</v>
      </c>
      <c r="GZ250" t="str">
        <f t="shared" si="502"/>
        <v/>
      </c>
      <c r="HA250" t="str">
        <f t="shared" si="503"/>
        <v/>
      </c>
      <c r="HB250" t="str">
        <f t="shared" si="504"/>
        <v/>
      </c>
      <c r="HC250">
        <f>IF(HB250="",0,IFERROR(N(VLOOKUP(HB250,Модули_спр,3,FALSE)),0))</f>
        <v>0</v>
      </c>
      <c r="HD250" t="str">
        <f t="shared" si="505"/>
        <v/>
      </c>
      <c r="HE250" t="str">
        <f t="shared" si="506"/>
        <v/>
      </c>
      <c r="HF250" t="str">
        <f>IF(OR(HE250="",HE250="-"),"",IFERROR(VLOOKUP(HE250,Модули_спр,2,FALSE),"R"))</f>
        <v/>
      </c>
      <c r="HG250" t="str">
        <f>IF(HF250="","",HF250&amp;"."&amp;COUNTIFS(A$3:A250,A250,HF$3:HF250,HF250))</f>
        <v/>
      </c>
      <c r="HH250" t="str">
        <f t="shared" si="507"/>
        <v/>
      </c>
      <c r="HI250" t="str">
        <f t="shared" si="508"/>
        <v/>
      </c>
      <c r="HJ250" t="str">
        <f t="shared" si="509"/>
        <v/>
      </c>
      <c r="HK250" t="str">
        <f t="shared" si="510"/>
        <v/>
      </c>
      <c r="HL250">
        <f t="shared" si="511"/>
        <v>1</v>
      </c>
      <c r="HM250" t="str">
        <f>IF(HL250=1,"XT"&amp;COUNTIFS(A$3:A250,A250,HL$3:HL250,1),"")</f>
        <v>XT26</v>
      </c>
      <c r="HN250" t="str">
        <f t="shared" si="512"/>
        <v/>
      </c>
      <c r="HO250" t="str">
        <f t="shared" si="513"/>
        <v>QFD26</v>
      </c>
      <c r="HP250" t="str">
        <f t="shared" si="514"/>
        <v/>
      </c>
      <c r="HQ250" t="str">
        <f t="shared" si="515"/>
        <v>ok</v>
      </c>
      <c r="HR250" t="str">
        <f>IF(OR(HJ250="",HH250=""),"",IF(HJ250+MAX(0,GY250-1)&gt;IFERROR(VLOOKUP(HI250,Модули_спр,3,FALSE),99),"ЛИШНИЙ КАНАЛ",IF(AND(AL250&lt;&gt;"=",GY250&gt;0,COUNTIFS(Линии[_модуль гр.],HH250,Линии[Канал (итог)],HJ250,Линии[Канал],"&lt;&gt;=",Линии[Щит],A250)&gt;1),"ДУБЛЬ КАНАЛА","")))</f>
        <v/>
      </c>
      <c r="HS250" s="6" t="str">
        <f t="shared" si="516"/>
        <v/>
      </c>
      <c r="HT250">
        <f t="shared" si="517"/>
        <v>10</v>
      </c>
      <c r="HU250" t="str">
        <f t="shared" si="518"/>
        <v/>
      </c>
      <c r="HV250">
        <f t="shared" si="519"/>
        <v>1.49757073033319</v>
      </c>
      <c r="HW250">
        <f t="shared" si="520"/>
        <v>0</v>
      </c>
      <c r="HX250">
        <f t="shared" si="521"/>
        <v>0</v>
      </c>
      <c r="HY250">
        <f t="shared" si="522"/>
        <v>0</v>
      </c>
      <c r="HZ250">
        <f t="shared" si="523"/>
        <v>0</v>
      </c>
      <c r="IA250">
        <f t="shared" si="524"/>
        <v>0</v>
      </c>
      <c r="IB250">
        <f t="shared" si="525"/>
        <v>0</v>
      </c>
      <c r="IC250" t="str">
        <f t="shared" si="526"/>
        <v/>
      </c>
      <c r="ID250" t="str" cm="1">
        <f t="array" ref="ID250">IF(IC250="","",_xlfn.LET(_xlpm.tk,_xlfn.TEXTSPLIT(SUBSTITUTE(SUBSTITUTE(IC250,";"," "),"→"," ")," ",,TRUE),_xlpm.w_,_xlfn._xlws.FILTER(_xlpm.tk,ISNUMBER(--LEFT(_xlpm.tk,1))*((ISNUMBER(SEARCH("W",_xlpm.tk))+ISNUMBER(SEARCH("Вт",_xlpm.tk)))&gt;0),""),IFERROR(--SUBSTITUTE(SUBSTITUTE(UPPER(INDEX(_xlpm.w_,1)),"W",""),"ВТ",""),"")))</f>
        <v/>
      </c>
      <c r="IE250" t="str" cm="1">
        <f t="array" ref="IE250">IF(IC250="","",_xlfn.LET(_xlpm.tk,_xlfn.TEXTSPLIT(SUBSTITUTE(SUBSTITUTE(IC250,";"," "),"→"," ")," ",,TRUE),_xlpm.v_,_xlfn._xlws.FILTER(_xlpm.tk,ISNUMBER(--LEFT(_xlpm.tk,1))*((ISNUMBER(SEARCH("V",_xlpm.tk))+(RIGHT(UPPER(_xlpm.tk))="В"))&gt;0),""),IFERROR(--SUBSTITUTE(SUBSTITUTE(UPPER(INDEX(_xlpm.v_,1)),"V",""),"В",""),"")))</f>
        <v/>
      </c>
      <c r="IF250" s="6" t="str">
        <f>IF(OR(BV250=0,HI250="",HJ250=""),"",IFERROR(N(_xlfn.XLOOKUP(HI250,Каталог!$C$4:$C$500,Каталог!$Q$4:$Q$500)),""))</f>
        <v/>
      </c>
      <c r="IG250" s="6" t="str">
        <f>IF(N(IF250)=0,"",SUMIFS(Линии[Iр, А],Линии[Щит],A250,Линии[_модуль гр.],HH250,Линии[Канал (итог)],HJ250))</f>
        <v/>
      </c>
      <c r="IH250" t="str">
        <f>IF(AND(B250="",HO250=""),"",_xlfn.TEXTJOIN("; ",TRUE,IF(AND(B250&lt;&gt;"",FV250=""),"нет фазы",""),IF(AND(B250&lt;&gt;"",N(GL250)=0,FG250&lt;&gt;"Нет"),"нет мощности",""),IF(AND(HN250&lt;&gt;"",COUNTIFS(Линии[Щит],A250,Линии[Клемма (итог)],HN250)&gt;1),"дубль клеммы "&amp;HN250,""),IF(AND(HQ250&lt;&gt;"",HQ250&lt;&gt;"ok"),HQ250,""),IF(HR250&lt;&gt;"",HR250,""),IF(AND(N(CB250)&gt;=4,N(BX250)=1),CB250&amp;" жил на 1 фазе",""),IF(AND(BC250="R",CG250=1,IF(CS250&lt;&gt;"",N(CV250)&gt;30,OR(N(DA250)=0,N(DA250)&gt;30))),"розетка без дифзащиты до 30 мА",""),IF(AND(CG250=1,N(DA250)&gt;0,ISNUMBER(T250)),IF(T250&gt;N(DA250)/3,"ток утечки "&amp;FIXED(T250,1)&amp;" мА &gt; 1/3 уставки ("&amp;DA250&amp;" мА)",""),""),IF(AND(CH250=1,CS250=""),"«узо»: нет строки с УЗО выше (УЗО 2P 40А 30мА в «Аппаратах»)",""),IF(AND(CS250&lt;&gt;"",CS250=BA250),IF(CT250="","впишите номинал УЗО (УЗО 2P 40А 30мА)",IF(N(CT250)&lt;N(DT250),"УЗО "&amp;CT250&amp;" А &lt; автомата "&amp;DT250&amp;" А перед ним",IF(N(CT250)&lt;N(CX250),"УЗО "&amp;CT250&amp;" А &lt; тока блока "&amp;FIXED(CX250,1)&amp;" А",""))),""),IF(AND(CS250&lt;&gt;"",CS250=BA250,ISNUMBER(CY250)),IF(CY250&gt;N(CV250)/3,"ток утечки блока УЗО "&amp;FIXED(CY250,1)&amp;" мА &gt; 1/3 уставки ("&amp;CV250&amp;" мА)",""),""),IF(AND(CG250=1,N(BV250)+N(IB250)&gt;0,IC250=""),"линии до 50 В без БП: впишите в «Аппараты» (БП 24V 480W)",""),IF(AND(CG250=1,ISNUMBER(ID250),ISNUMBER(U250)),IF(U250&gt;ID250,"БП "&amp;ID250&amp;" Вт &lt; нужно "&amp;U250&amp;" Вт (×"&amp;Запас_БП&amp;")",""),""),IF(AND(CG250=1,ISNUMBER(IE250),N(BV250)=1),IF(IE250&lt;&gt;N(BU250),"БП на "&amp;IE250&amp;" В, линия "&amp;BU250&amp;" В",""),""),IF(AND(N(IF250)&gt;0,N(IG250)&gt;N(IF250)),HH250&amp;" канал "&amp;HJ250&amp;": "&amp;FIXED(IG250,1)&amp;" А &gt; "&amp;IF250&amp;" А",""),IFERROR(IF(AND(ISNUMBER(Q250),Q250&gt;EL250),"потери "&amp;FIXED(Q250,1)&amp;" % &gt; "&amp;EL250&amp;" %",""),""),IFERROR(IF(LEFT(HU250,4)="мало","Iкз мало — отключение &gt; 0,4 с",""),""),IF(AND(B250&lt;&gt;"",BM250=""),"не на схеме",""),IF(AND(CG250=0,B250&lt;&gt;"",FV250&lt;&gt;"",IF(BA250=1,"",FW249)&lt;&gt;"",FV250&lt;&gt;IF(BA250=1,"",FW249)),"фаза не как у автомата группы ("&amp;IF(BA250=1,"",FW249)&amp;")","")))</f>
        <v/>
      </c>
      <c r="II250" s="6">
        <f>IF(OR(CG250=0,DQ250=""),"",_xlfn.LET(_xlpm.t,IFERROR(_xlfn.XLOOKUP(DQ250,Каталог!$U$4:$U$500,Каталог!$G$4:$G$500),""),_xlpm.k,SEARCH("кА",_xlpm.t),IFERROR(--TRIM(RIGHT(SUBSTITUTE(MID(_xlpm.t,MAX(1,_xlpm.k-4),_xlpm.k-MAX(1,_xlpm.k-4))," ",REPT(" ",9)),5)),"")))</f>
        <v>6</v>
      </c>
      <c r="IJ250" t="str">
        <f>IF(OR(II250="",CG250=0),"",IF(_xlfn.XLOOKUP(A250,Щиты[Щит],Щиты[Iкз max на шинах, кА],"")="","",IF(II250&lt;_xlfn.XLOOKUP(A250,Щиты[Щит],Щиты[Iкз max на шинах, кА]),"Icu "&amp;II250&amp;" кА &lt; Iкз max","ok")))</f>
        <v/>
      </c>
      <c r="IK250" t="str">
        <f t="shared" si="527"/>
        <v/>
      </c>
      <c r="IL250" t="str">
        <f t="shared" si="528"/>
        <v>QFD26</v>
      </c>
      <c r="IM250" t="str">
        <f t="shared" si="529"/>
        <v>QFD26|кабель ВВГнг(А)-LS (3х2,5) → Розеточная группа, пом. 006Aб</v>
      </c>
      <c r="IN250" t="str" cm="1">
        <f t="array" ref="IN250">IF(IM250="","",_xlfn.LET(_xlpm.nd,_xlfn.TEXTSPLIT(IM250,"|"),IF(COLUMNS(_xlpm.nd)&gt;1,A250&amp;"¦"&amp;INDEX(_xlpm.nd,1)&amp;"¦"&amp;INDEX(_xlpm.nd,2),"")))</f>
        <v>ЩР-1¦QFD26¦кабель ВВГнг(А)-LS (3х2,5) → Розеточная группа, пом. 006Aб</v>
      </c>
      <c r="IO250" t="str">
        <f t="shared" si="530"/>
        <v>R.1.006Aб.1¦Розеточная группа, пом. 006Aб</v>
      </c>
      <c r="IP250" t="str" cm="1">
        <f t="array" ref="IP250">IF(IM250="","",_xlfn.LET(_xlpm.nd,_xlfn.TEXTSPLIT(IM250,"|"),IF(COLUMNS(_xlpm.nd)&gt;2,A250&amp;"¦"&amp;INDEX(_xlpm.nd,2)&amp;"¦"&amp;INDEX(_xlpm.nd,3),"")))</f>
        <v/>
      </c>
      <c r="IQ250" t="str">
        <f t="shared" si="531"/>
        <v/>
      </c>
      <c r="IR250" t="str" cm="1">
        <f t="array" ref="IR250">IF(IM250="","",_xlfn.LET(_xlpm.nd,_xlfn.TEXTSPLIT(IM250,"|"),IF(COLUMNS(_xlpm.nd)&gt;3,A250&amp;"¦"&amp;INDEX(_xlpm.nd,3)&amp;"¦"&amp;INDEX(_xlpm.nd,4),"")))</f>
        <v/>
      </c>
      <c r="IS250" t="str">
        <f t="shared" si="532"/>
        <v/>
      </c>
      <c r="IT250" t="str" cm="1">
        <f t="array" ref="IT250">IF(IM250="","",_xlfn.LET(_xlpm.nd,_xlfn.TEXTSPLIT(IM250,"|"),IF(COLUMNS(_xlpm.nd)&gt;4,A250&amp;"¦"&amp;INDEX(_xlpm.nd,4)&amp;"¦"&amp;INDEX(_xlpm.nd,5),"")))</f>
        <v/>
      </c>
      <c r="IU250" t="str">
        <f t="shared" si="533"/>
        <v/>
      </c>
      <c r="IV250" t="str" cm="1">
        <f t="array" ref="IV250">IF(IM250="","",_xlfn.LET(_xlpm.nd,_xlfn.TEXTSPLIT(IM250,"|"),IF(COLUMNS(_xlpm.nd)&gt;5,A250&amp;"¦"&amp;INDEX(_xlpm.nd,5)&amp;"¦"&amp;INDEX(_xlpm.nd,6),"")))</f>
        <v/>
      </c>
      <c r="IW250" t="str">
        <f t="shared" si="534"/>
        <v/>
      </c>
      <c r="IX250" t="str" cm="1">
        <f t="array" ref="IX250">IF(IM250="","",_xlfn.LET(_xlpm.nd,_xlfn.TEXTSPLIT(IM250,"|"),IF(COLUMNS(_xlpm.nd)&gt;6,A250&amp;"¦"&amp;INDEX(_xlpm.nd,6)&amp;"¦"&amp;INDEX(_xlpm.nd,7),"")))</f>
        <v/>
      </c>
      <c r="IY250" t="str">
        <f t="shared" si="535"/>
        <v/>
      </c>
      <c r="IZ250" t="str">
        <f t="shared" si="536"/>
        <v/>
      </c>
      <c r="JA250" t="str">
        <f t="shared" si="537"/>
        <v>QFD26</v>
      </c>
      <c r="JB250">
        <f t="shared" si="538"/>
        <v>0</v>
      </c>
      <c r="JC250">
        <f t="shared" si="539"/>
        <v>1</v>
      </c>
      <c r="JD250" t="str">
        <f t="shared" si="540"/>
        <v/>
      </c>
      <c r="JE250" t="str">
        <f t="shared" si="541"/>
        <v/>
      </c>
      <c r="JF250" t="str">
        <f t="shared" si="542"/>
        <v/>
      </c>
      <c r="JG250" t="str">
        <f t="shared" si="543"/>
        <v/>
      </c>
      <c r="JH250" t="str">
        <f>IF(B250="","",IFERROR(_xlfn.XLOOKUP(B250,Коды_код,Коды_уго),IFERROR(_xlfn.XLOOKUP(BC250,Коды_код,Коды_уго),IFERROR(_xlfn.XLOOKUP(LEFT(BC250,2),Коды_код,Коды_уго),""))))</f>
        <v>Розетка</v>
      </c>
      <c r="JI250" t="str">
        <f>IF(B250="","",IF(OR(JH250="",JH250=0),"BOX",IFERROR(IF(VLOOKUP(JH250,УГО_блоки,3,FALSE)&amp;""&lt;&gt;"",VLOOKUP(JH250,УГО_блоки,3,FALSE),VLOOKUP(JH250,УГО_блоки,2,FALSE)),JH250)))</f>
        <v>SOCKET</v>
      </c>
      <c r="JJ250">
        <f t="shared" si="544"/>
        <v>1</v>
      </c>
      <c r="JK250" t="str">
        <f>IF(DQ250="","",IF(COUNTIF(DQ$3:DQ250,DQ250)=1,MAX(JK$2:JK249)+1,""))</f>
        <v/>
      </c>
      <c r="JL250" t="str">
        <f>IF(DE250="","",IF(COUNTIF(DE$3:DE250,DE250)+COUNTIF(DF$2:DF249,DE250)+COUNTIF(DG$2:DG249,DE250)=1,MAX(JL$2:JN249)+1,""))</f>
        <v/>
      </c>
      <c r="JM250" t="str">
        <f>IF(DF250="","",IF(COUNTIF(DE$3:DE250,DF250)+COUNTIF(DF$3:DF250,DF250)+COUNTIF(DG$2:DG249,DF250)=1,MAX(JL$2:JN249,JL250)+1,""))</f>
        <v/>
      </c>
      <c r="JN250" t="str">
        <f>IF(DG250="","",IF(COUNTIF(DE$3:DE250,DG250)+COUNTIF(DF$3:DF250,DG250)+COUNTIF(DG$3:DG250,DG250)=1,MAX(JL$2:JN249,JL250,JM250)+1,""))</f>
        <v/>
      </c>
      <c r="JO250" t="str">
        <f t="shared" si="545"/>
        <v>3х2,5</v>
      </c>
      <c r="JP250" t="str">
        <f>IF(JO250="","",IF(COUNTIF(JO$3:JO250,JO250)=1,MAX(JP$2:JP249)+1,""))</f>
        <v/>
      </c>
      <c r="JQ250" t="str">
        <f>IF(HG250="","",COUNTIF(HG$3:HG250,"?*"))</f>
        <v/>
      </c>
      <c r="JR250" t="str">
        <f>IF(OR(HG250="",HI250=""),"",IF(COUNTIFS(HG$3:HG250,"?*",HI$3:HI250,HI250)=1,MAX(JR$2:JR249)+1,""))</f>
        <v/>
      </c>
      <c r="JS250">
        <f t="shared" si="546"/>
        <v>0</v>
      </c>
      <c r="JT250">
        <f>IF(B250="","",COUNTIF(B$3:B250,"?*"))</f>
        <v>248</v>
      </c>
      <c r="JU250">
        <f>IF(HL250&lt;&gt;1,0,_xlfn.LET(_xlpm.k,MAX(IFERROR(--_xlfn.XLOOKUP(B250,Коды_код,Коды_3L),0),IFERROR(--_xlfn.XLOOKUP(BC250,Коды_код,Коды_3L),0),IFERROR(--_xlfn.XLOOKUP(LEFT(BC250,2),Коды_код,Коды_3L),0)),IF(_xlpm.k&gt;0,_xlpm.k,IF(IFERROR(--LEFT(SUBSTITUTE(JO250,"x","х"),FIND("х",SUBSTITUTE(JO250,"x","х"))-1),3)&gt;3,Каталог!$S$9,1))))</f>
        <v>1</v>
      </c>
      <c r="JV250">
        <f t="shared" si="547"/>
        <v>0</v>
      </c>
      <c r="JW250" t="str">
        <f t="shared" si="548"/>
        <v>авто</v>
      </c>
      <c r="JX250">
        <f t="shared" si="549"/>
        <v>30</v>
      </c>
      <c r="JY250">
        <f t="shared" si="550"/>
        <v>1</v>
      </c>
      <c r="JZ250">
        <f t="shared" si="551"/>
        <v>1</v>
      </c>
    </row>
    <row r="251" spans="1:286" x14ac:dyDescent="0.3">
      <c r="A251" t="s">
        <v>757</v>
      </c>
      <c r="B251" t="s">
        <v>1557</v>
      </c>
      <c r="C251" t="str">
        <f>Линии[[#This Row],[_авто наименование]]</f>
        <v>Розеточная группа, пом. 006Aб</v>
      </c>
      <c r="D251">
        <v>5</v>
      </c>
      <c r="E251">
        <v>0.3</v>
      </c>
      <c r="G251" t="str">
        <f>Линии[[#This Row],[_авто автомат]]</f>
        <v>2P С16А 30мА</v>
      </c>
      <c r="H251" t="str">
        <f>Линии[[#This Row],[_авто управление]]</f>
        <v/>
      </c>
      <c r="I251" t="str">
        <f>Линии[[#This Row],[_авто аппараты]]</f>
        <v/>
      </c>
      <c r="J251">
        <v>2.5</v>
      </c>
      <c r="K251">
        <v>97</v>
      </c>
      <c r="L251" t="str">
        <f>Линии[[#This Row],[_авто фаза]]</f>
        <v>L2</v>
      </c>
      <c r="M251" t="s">
        <v>484</v>
      </c>
      <c r="N251" t="str">
        <f t="shared" si="414"/>
        <v/>
      </c>
      <c r="O251" s="6" cm="1">
        <f t="array" ref="O251">IF(B251="","",IF(BH251&lt;&gt;"",IFERROR(_xlfn.XLOOKUP(BH251,Щиты[Щит],Щиты[Iр, А]),""),IF(BP251=1,IF(OR(N(_xlfn.XLOOKUP(A251,Щиты[Щит],Щиты[Вводов],1))&lt;=1,LOWER(TRIM(_xlfn.XLOOKUP(A251,Щиты[Щит],Щиты[АВР],"")&amp;""))="да"),IFERROR(_xlfn.XLOOKUP(A251,Щиты[Щит],Щиты[Iр, А]),""),IFERROR(N(BS251)*_xlfn.XLOOKUP(A251,Щиты[Щит],Щиты[Кс итог])/(SQRT(3)*Uн_лин*_xlfn.XLOOKUP(A251,Щиты[Щит],Щиты[cos φ])),"")),IF(BV251=1,IFERROR(BS251*1000/BU251,""),IFERROR(_xlfn.IFS(BX251=1,BS251/((Uн_лин/SQRT(3))*CE251),BX251=3,BS251/(SQRT(3)*Uн_лин*CE251)),"")))))</f>
        <v>1.3674085322912188</v>
      </c>
      <c r="P251" s="7">
        <f>IF(B251="","",IFERROR(IF(VLOOKUP(BC251,Потребители_обозначение,4,FALSE)=1,VLOOKUP(BC251,Потребители_обозначение,3,FALSE)*(MAX(1,N(D251))*2-1)+EI251+VLOOKUP(BE251,Этаж_обозначение,3,FALSE)+VLOOKUP(BE251,Этаж_обозначение,4,FALSE),VLOOKUP(BC251,Потребители_обозначение,3,FALSE)*(MAX(1,N(D251))*2-1)+EI251),EI251))</f>
        <v>124</v>
      </c>
      <c r="Q251" s="6">
        <f t="shared" si="415"/>
        <v>2.46</v>
      </c>
      <c r="R251" t="str">
        <f t="shared" si="416"/>
        <v>ВВГнг(А)-LS (3х2,5)</v>
      </c>
      <c r="S251" t="str">
        <f>IF(BM251="","",IF(BN251="вводной узел","узел ","")&amp;"л."&amp;(INT((BM251-1)/Столбцов_на_лист)+1)&amp;" / "&amp;(MOD(BM251-1,Столбцов_на_лист)+1))</f>
        <v>л.3 / 5</v>
      </c>
      <c r="T251" s="119">
        <f t="shared" si="417"/>
        <v>1.8</v>
      </c>
      <c r="U251" s="7" t="str">
        <f>IF(OR(CG251=0,N(BV251)+N(IB251)=0),"",ROUNDUP(Запас_БП*(N(HY251)+N(HZ251)),0))</f>
        <v/>
      </c>
      <c r="V251" s="119" t="str">
        <f t="shared" si="418"/>
        <v/>
      </c>
      <c r="W251" s="7" t="str">
        <f>IFERROR(IF(OR(B251="",BP251=1,BV251=1,NOT(ISNUMBER(EN251)),N(DT251)=0),"",MAX(0,ROUNDDOWN((c_min*(Uн_лин*1000/SQRT(3))/(HT251*N(DT251))-_xlfn.XLOOKUP(A251,Щиты[Щит],Щиты[Zпетли на шинах, Ом]))*EN251/(2*ρкз_Cu),0))),"")</f>
        <v/>
      </c>
      <c r="Y251">
        <f>Линии[[#This Row],[_авто утечка]]</f>
        <v>30</v>
      </c>
      <c r="Z251">
        <v>1</v>
      </c>
      <c r="AA251">
        <v>230</v>
      </c>
      <c r="AB251" t="s">
        <v>562</v>
      </c>
      <c r="AG251" t="s">
        <v>810</v>
      </c>
      <c r="AI251" t="s">
        <v>561</v>
      </c>
      <c r="AK251" t="str">
        <f>Линии[[#This Row],[_авто модуль]]</f>
        <v/>
      </c>
      <c r="AM251">
        <v>39</v>
      </c>
      <c r="AN251" t="s">
        <v>11</v>
      </c>
      <c r="AO251">
        <v>3</v>
      </c>
      <c r="AQ251">
        <v>28</v>
      </c>
      <c r="AR251">
        <v>96</v>
      </c>
      <c r="AS251">
        <v>0</v>
      </c>
      <c r="BA251" cm="1">
        <f t="array" ref="BA251">ROW()-ROW(Линии[#Headers])</f>
        <v>249</v>
      </c>
      <c r="BC251" s="6" t="str">
        <f t="shared" si="419"/>
        <v>R</v>
      </c>
      <c r="BD251" t="str">
        <f t="shared" si="420"/>
        <v>1.006Aб.2</v>
      </c>
      <c r="BE251" t="str">
        <f t="shared" si="421"/>
        <v>1</v>
      </c>
      <c r="BF251" t="str">
        <f t="shared" si="422"/>
        <v>006Aб.2</v>
      </c>
      <c r="BG251" t="str">
        <f t="shared" si="423"/>
        <v>006Aб</v>
      </c>
      <c r="BH251" t="str">
        <f>IF(X251&lt;&gt;"",X251,IF(AND(B251&lt;&gt;"",B251&lt;&gt;A251,ISNUMBER(_xlfn.XMATCH(B251,Щиты[Щит]))),B251,""))</f>
        <v/>
      </c>
      <c r="BI251" t="str" cm="1">
        <f t="array" ref="BI251">IF(B251="","",IF(BH251&lt;&gt;"","Щит "&amp;BH251,_xlfn.LET(_xlpm.nm,IFERROR(_xlfn.XLOOKUP(BC251,Коды_код,Коды_имя)&amp;"",""),_xlpm.md,IFERROR(N(_xlfn.XLOOKUP(BC251,Коды_код,Коды_режим)),1),_xlpm.ex,IF(Имя_режим="по экспликации",IFERROR(_xlfn.XLOOKUP(BE251&amp;"|"&amp;BG251,Экспликация[Этаж]&amp;"|"&amp;Экспликация[Помещение],Экспликация[Название])&amp;"",""),""),_xlpm.rm,IF(BG251="","",IF(_xlpm.ex&lt;&gt;"",". "&amp;_xlpm.ex&amp;IF(Имя_пом="нет"," ("&amp;BG251&amp;")"," (пом. "&amp;BG251&amp;")"),IF(Имя_пом="нет"," ",", пом. ")&amp;BG251)),IF(_xlpm.nm="","",IF(_xlpm.md=2,_xlpm.nm&amp;" шлейф "&amp;BE251,_xlpm.nm&amp;_xlpm.rm)))))</f>
        <v>Розеточная группа, пом. 006Aб</v>
      </c>
      <c r="BJ251" t="str">
        <f t="shared" si="424"/>
        <v>Розеточная группа, пом. 006Aб</v>
      </c>
      <c r="BK251">
        <f>IFERROR(_xlfn.XMATCH(A251,Щиты[Щит]),0)</f>
        <v>10</v>
      </c>
      <c r="BL251">
        <f>_xlfn.LET(_xlpm.k,IFERROR(_xlfn.XLOOKUP(A251,Щиты[Щит],Щиты[Мест под вводной узел]),""),IF(_xlpm.k="",Столбцов_на_лист,N(_xlpm.k)))</f>
        <v>8</v>
      </c>
      <c r="BM251">
        <f t="shared" si="425"/>
        <v>39</v>
      </c>
      <c r="BN251" t="str">
        <f t="shared" si="426"/>
        <v>линии</v>
      </c>
      <c r="BO251" s="6">
        <f>IFERROR(N(_xlfn.XLOOKUP(BC251,Коды_код,Коды_квт)),0)</f>
        <v>0</v>
      </c>
      <c r="BP251">
        <f t="shared" si="427"/>
        <v>0</v>
      </c>
      <c r="BQ251" t="str">
        <f>IF(B251="","",IF(BH251&lt;&gt;"",IFERROR(_xlfn.XLOOKUP(BH251,Щиты[Щит],Щиты[Руст, кВт]),0),IF(BP251=1,IF(OR(N(_xlfn.XLOOKUP(A251,Щиты[Щит],Щиты[Вводов],1))&lt;=1,LOWER(TRIM(_xlfn.XLOOKUP(A251,Щиты[Щит],Щиты[АВР],"")&amp;""))="да"),IFERROR(_xlfn.XLOOKUP(A251,Щиты[Щит],Щиты[Руст, кВт]),0),SUMIFS(Линии[_Р для вводов],Линии[Щит],A251,Линии[Источник для режимов],GF251)),IF(BO251&gt;0,ROUND(BO251*MAX(1,N(D251)),3),""))))</f>
        <v/>
      </c>
      <c r="BR251">
        <f t="shared" si="428"/>
        <v>0.3</v>
      </c>
      <c r="BS251" s="6">
        <f>IF(B251="","",IF(BH251&lt;&gt;"",IFERROR(_xlfn.XLOOKUP(BH251,Щиты[Щит],Щиты[Руст, кВт]),0),N(BR251)))</f>
        <v>0.3</v>
      </c>
      <c r="BT251" t="str">
        <f>IF(B251="","",IFERROR(IF(VLOOKUP(BC251,Потребители_обозначение,8,FALSE)=0,"",VLOOKUP(BC251,Потребители_обозначение,8,FALSE)),""))</f>
        <v/>
      </c>
      <c r="BU251">
        <f t="shared" si="429"/>
        <v>230</v>
      </c>
      <c r="BV251">
        <f t="shared" si="430"/>
        <v>0</v>
      </c>
      <c r="BW251">
        <f>IF(B251="","",IF(BH251&lt;&gt;"",3,IFERROR(IF(N(VLOOKUP(BC251,Потребители_обозначение,9,FALSE))=0,1,VLOOKUP(BC251,Потребители_обозначение,9,FALSE)),1)))</f>
        <v>1</v>
      </c>
      <c r="BX251">
        <f t="shared" si="431"/>
        <v>1</v>
      </c>
      <c r="BY251" t="str">
        <f>IF(B251="","",_xlfn.LET(_xlpm.bc,IFERROR(IF(VLOOKUP(BC251,Потребители_обозначение,6,FALSE)=0,"",VLOOKUP(BC251,Потребители_обозначение,6,FALSE)&amp;""),""),IF(AND(GA251="да",OR(_xlpm.bc="",_xlpm.bc="мс")),Марка_пож,IF(AND(_xlpm.bc="",BH251&lt;&gt;""),"мс",_xlpm.bc))))</f>
        <v/>
      </c>
      <c r="BZ251" t="str">
        <f t="shared" si="432"/>
        <v>мс</v>
      </c>
      <c r="CA251">
        <f>IF(B251="","",_xlfn.LET(_xlpm.cc,IFERROR(N(VLOOKUP(BC251,Потребители_обозначение,7,FALSE)),0),IF(_xlpm.cc&gt;0,_xlpm.cc,IF(BZ251="","",IF(BV251=1,2,IF(N(BX251)=3,5,3))))))</f>
        <v>3</v>
      </c>
      <c r="CB251">
        <f t="shared" si="433"/>
        <v>3</v>
      </c>
      <c r="CC251">
        <f>IFERROR(N(VLOOKUP(BC251,Потребители_обозначение,10,FALSE)),0)</f>
        <v>0</v>
      </c>
      <c r="CD251">
        <f>IFERROR(VLOOKUP(BC251,Потребители_обозначение,5,FALSE),0)</f>
        <v>1</v>
      </c>
      <c r="CE251" s="6" cm="1">
        <f t="array" ref="CE251">IF(B251="","",IF(BH251&lt;&gt;"",IFERROR(_xlfn.XLOOKUP(BH251,Щиты[Щит],Щиты[cos φ]),0.95),IF(BP251=1,IFERROR(_xlfn.XLOOKUP(A251,Щиты[Щит],Щиты[cos φ]),0.95),IF(ISNUMBER(AD251),AD251,IFERROR(IF(CD251=2,_xlfn.IFS(BX251=3,VLOOKUP(BS251,Справочная_двигатели,8,FALSE),BX251=1,VLOOKUP(BS251,Справочная_двигатели,10,TRUE)),IF(AND(Методика="нормы 2026",FG251="Сил"),0.8,0.95)),0.95)))))</f>
        <v>0.95</v>
      </c>
      <c r="CF251">
        <f t="shared" si="434"/>
        <v>0</v>
      </c>
      <c r="CG251">
        <f t="shared" si="435"/>
        <v>1</v>
      </c>
      <c r="CH251">
        <f t="shared" si="436"/>
        <v>0</v>
      </c>
      <c r="CI251">
        <f>IF(B251="","",IF(BV251=1,IFERROR(BS251/((Uн_лин/SQRT(3))*MAX(0.5,N(CE251))),0),N(O251)))</f>
        <v>1.3674085322912188</v>
      </c>
      <c r="CJ251">
        <f t="shared" si="437"/>
        <v>0</v>
      </c>
      <c r="CK251">
        <f t="shared" si="438"/>
        <v>0</v>
      </c>
      <c r="CL251">
        <f t="shared" si="439"/>
        <v>0</v>
      </c>
      <c r="CM251">
        <f t="shared" si="440"/>
        <v>0</v>
      </c>
      <c r="CN251">
        <f t="shared" si="441"/>
        <v>0</v>
      </c>
      <c r="CO251">
        <f>IF(BC251="",0,_xlfn.LET(_xlpm.v,IFERROR(_xlfn.XLOOKUP(B251,Коды_код,Коды_мА),IFERROR(_xlfn.XLOOKUP(BC251,Коды_код,Коды_мА),IFERROR(_xlfn.XLOOKUP(LEFT(BC251,2),Коды_код,Коды_мА),""))),IF(_xlpm.v="да",30,IF(ISNUMBER(_xlpm.v),_xlpm.v,0))))</f>
        <v>30</v>
      </c>
      <c r="CP251">
        <f t="shared" si="442"/>
        <v>30</v>
      </c>
      <c r="CQ251" t="str">
        <f>_xlfn.LET(_xlpm.k,IFERROR(_xlfn.XLOOKUP(BC251,Коды_код,Коды_утечка)&amp;"",""),IF(_xlpm.k="","дифавтомат",_xlpm.k))</f>
        <v>дифавтомат</v>
      </c>
      <c r="CR251" t="str" cm="1">
        <f t="array" ref="CR251">IF(CG251=0,"",_xlfn.LET(_xlpm.sg,TRIM(_xlfn.TEXTSPLIT(DD251&amp;"",";")),_xlpm.f_,_xlfn._xlws.FILTER(_xlpm.sg,LEFT(_xlpm.sg,3)="УЗО",""),IFERROR(INDEX(_xlpm.f_,1)&amp;"","")))</f>
        <v/>
      </c>
      <c r="CS251" t="str">
        <f t="shared" si="443"/>
        <v/>
      </c>
      <c r="CT251" s="6" t="str" cm="1">
        <f t="array" ref="CT251">IF(CR251="","",_xlfn.LET(_xlpm.tk,_xlfn.TEXTSPLIT(UPPER(CR251)," ",,TRUE),_xlpm.a_,_xlfn._xlws.FILTER(_xlpm.tk,ISNUMBER(--LEFT(_xlpm.tk,1))*((ISNUMBER(SEARCH("А",_xlpm.tk))+ISNUMBER(SEARCH("A",_xlpm.tk)))&gt;0)*NOT(ISNUMBER(SEARCH("МА",_xlpm.tk)))*NOT(ISNUMBER(SEARCH("MA",_xlpm.tk))),""),IFERROR(--SUBSTITUTE(SUBSTITUTE(INDEX(_xlpm.a_,1),"А",""),"A",""),"")))</f>
        <v/>
      </c>
      <c r="CU251" t="str" cm="1">
        <f t="array" ref="CU251">IF(CR251="","",_xlfn.LET(_xlpm.tk,_xlfn.TEXTSPLIT(UPPER(CR251)," ",,TRUE),_xlpm.a_,_xlfn._xlws.FILTER(_xlpm.tk,ISNUMBER(--LEFT(_xlpm.tk,1))*((ISNUMBER(SEARCH("МА",_xlpm.tk))+ISNUMBER(SEARCH("MA",_xlpm.tk)))&gt;0),""),IFERROR(--SUBSTITUTE(SUBSTITUTE(INDEX(_xlpm.a_,1),"МА",""),"MA",""),30)))</f>
        <v/>
      </c>
      <c r="CV251" t="str">
        <f>IF(CS251="","",IFERROR(_xlfn.XLOOKUP(CS251,Линии[_n],Линии[_УЗО, мА]),30))</f>
        <v/>
      </c>
      <c r="CW251">
        <f>IF(CS251="",0,IF(ISNUMBER(SEARCH("4P",IFERROR(_xlfn.XLOOKUP(CS251,Линии[_n],Линии[_УЗО строки])&amp;"",""))),0,1))</f>
        <v>0</v>
      </c>
      <c r="CX251" t="str">
        <f>IF(AND(CS251&lt;&gt;"",CS251=BA251),SUMIFS(Линии[_ток на 230 В],Линии[_блок УЗО],BA251,Линии[Щит],A251),"")</f>
        <v/>
      </c>
      <c r="CY251" t="str">
        <f>IF(AND(CS251&lt;&gt;"",CS251=BA251),SUMIFS(Линии[_ток утечки линии, мА],Линии[_блок УЗО],BA251,Линии[Щит],A251),"")</f>
        <v/>
      </c>
      <c r="CZ251">
        <f t="shared" si="444"/>
        <v>30</v>
      </c>
      <c r="DA251">
        <f t="shared" si="445"/>
        <v>30</v>
      </c>
      <c r="DB251">
        <f>IF(B251="",0,IFERROR(--_xlfn.XLOOKUP(B251,Коды_код,Коды_минавт),IFERROR(--_xlfn.XLOOKUP(BC251,Коды_код,Коды_минавт),IFERROR(--_xlfn.XLOOKUP(LEFT(BC251,2),Коды_код,Коды_минавт),0))))</f>
        <v>16</v>
      </c>
      <c r="DC251" t="str">
        <f>IF(B251="","",IFERROR(_xlfn.XLOOKUP(BC251,Коды_код,Коды_апп)&amp;"",""))</f>
        <v/>
      </c>
      <c r="DD251" t="str">
        <f t="shared" si="446"/>
        <v/>
      </c>
      <c r="DE251" t="str" cm="1">
        <f t="array" ref="DE251">IF(TRIM(DD251&amp;"")="","",IFERROR(TRIM(INDEX(_xlfn.TEXTSPLIT(DD251&amp;";;;",";"),1)),""))</f>
        <v/>
      </c>
      <c r="DF251" t="str" cm="1">
        <f t="array" ref="DF251">IF(TRIM(DD251&amp;"")="","",IFERROR(TRIM(INDEX(_xlfn.TEXTSPLIT(DD251&amp;";;;",";"),2)),""))</f>
        <v/>
      </c>
      <c r="DG251" t="str" cm="1">
        <f t="array" ref="DG251">IF(TRIM(DD251&amp;"")="","",IFERROR(TRIM(INDEX(_xlfn.TEXTSPLIT(DD251&amp;";;;",";"),3)),""))</f>
        <v/>
      </c>
      <c r="DH251">
        <f t="shared" si="447"/>
        <v>0</v>
      </c>
      <c r="DI251" t="str">
        <f>IF(B251="","",_xlfn.LET(_xlpm.t,LOWER(AZ251&amp;""),IF(ISNUMBER(SEARCH("dim",_xlpm.t)),"DIM",IF(ISNUMBER(SEARCH("dali",_xlpm.t)),"DALI",IF(OR(ISNUMBER(SEARCH("relay",_xlpm.t)),ISNUMBER(SEARCH("реле",_xlpm.t))),"Relay",IF(ISNUMBER(SEARCH("кнопк",_xlpm.t)),"",IFERROR(_xlfn.XLOOKUP(BC251,Коды_код,Коды_упр)&amp;"","")))))))</f>
        <v/>
      </c>
      <c r="DJ251" t="str">
        <f t="shared" si="448"/>
        <v/>
      </c>
      <c r="DK251">
        <f>IF(B251="","",_xlfn.LET(_xlpm.ig,IF(N(CX251)&gt;0,N(CX251),N(CI251)+IF(AJ251="вручную",0,N(CJ251))),_xlpm.n0,IFERROR(VLOOKUP(_xlpm.ig,Автомат_номиналы,2,TRUE),0),_xlpm.mn,MAX(DB251,IF(AJ251="вручную",0,N(CM251))),MAX(_xlpm.n0,_xlpm.mn,IF(DH251=1,Мин_автомат_БП,0))))</f>
        <v>16</v>
      </c>
      <c r="DL251">
        <f t="shared" si="449"/>
        <v>1</v>
      </c>
      <c r="DM251" t="str">
        <f t="shared" si="450"/>
        <v>2P</v>
      </c>
      <c r="DN251" t="str">
        <f>_xlfn.LET(_xlpm.cc,UPPER(TRIM(IFERROR(_xlfn.XLOOKUP(BC251,Коды_код,Коды_хар)&amp;"",""))),IF(OR(_xlpm.cc="B",_xlpm.cc="В"),"B",IF(_xlpm.cc="D","D","С")))</f>
        <v>С</v>
      </c>
      <c r="DO251" t="str">
        <f t="shared" si="451"/>
        <v>2P С16А 30мА</v>
      </c>
      <c r="DP251" t="str">
        <f t="shared" si="452"/>
        <v>2P С16А 30мА</v>
      </c>
      <c r="DQ251" t="str">
        <f t="shared" si="453"/>
        <v>2P С16А 30мА</v>
      </c>
      <c r="DR251" cm="1">
        <f t="array" ref="DR251">IF(DQ251="","",_xlfn.LET(_xlpm.t,SUBSTITUTE(SUBSTITUTE(SUBSTITUTE(UPPER(DQ251),"С","C"),"А","A"),"В","B"),_xlpm.tk,_xlfn.TEXTSPLIT(_xlpm.t," "),_xlpm.f,_xlfn._xlws.FILTER(_xlpm.tk,ISNUMBER(--MID(_xlpm.tk,2,1))*ISNUMBER(SEARCH(LEFT(_xlpm.tk,1)&amp;"#","B#C#D#"))*(LEN(_xlpm.tk)&gt;1),""),_xlpm.x,INDEX(_xlpm.f,1),IFERROR(--SUBSTITUTE(MID(_xlpm.x,2,9),"A",""),IFERROR(--SUBSTITUTE(INDEX(_xlfn._xlws.FILTER(_xlpm.tk,ISNUMBER(--SUBSTITUTE(_xlpm.tk,"A","")),""),1),"A",""),""))))</f>
        <v>16</v>
      </c>
      <c r="DS251" t="str">
        <f t="shared" si="454"/>
        <v>ok</v>
      </c>
      <c r="DT251">
        <f t="shared" si="455"/>
        <v>16</v>
      </c>
      <c r="DU251" t="str">
        <f t="shared" si="456"/>
        <v>2P С16А 30мА</v>
      </c>
      <c r="DV251">
        <f t="shared" si="457"/>
        <v>30</v>
      </c>
      <c r="DW251">
        <f t="shared" si="458"/>
        <v>1</v>
      </c>
      <c r="DX251">
        <f t="shared" si="459"/>
        <v>0</v>
      </c>
      <c r="DY251">
        <f t="shared" si="460"/>
        <v>1.3674085322912188</v>
      </c>
      <c r="DZ251">
        <f t="shared" si="461"/>
        <v>1</v>
      </c>
      <c r="EA251">
        <f>IF(ISNUMBER(AP251),AP251,К_прокл)</f>
        <v>1</v>
      </c>
      <c r="EB251">
        <f t="shared" si="462"/>
        <v>2</v>
      </c>
      <c r="EC251">
        <f>IFERROR(N(VLOOKUP(BZ251,Кабель_обозначение,3,FALSE)),1)</f>
        <v>1</v>
      </c>
      <c r="ED251">
        <f>IFERROR(N(_xlfn.XLOOKUP(A251,Щиты[Щит],Щиты[ΔU до шин, %])),0)</f>
        <v>1.19</v>
      </c>
      <c r="EE251" t="str">
        <f>IFERROR(_xlfn.XLOOKUP(A251,Щиты[Щит],Щиты[Zпетли на шинах, Ом]),"")</f>
        <v/>
      </c>
      <c r="EF251">
        <f>IFERROR(N(_xlfn.XLOOKUP(A251,Щиты[Щит],Щиты[ΔU до шин (подбор), %])),0)</f>
        <v>1.19</v>
      </c>
      <c r="EG251" t="str">
        <f>IFERROR(_xlfn.XLOOKUP(A251,Щиты[Щит],Щиты[Zпетли на шинах (подбор), Ом]),"")</f>
        <v/>
      </c>
      <c r="EH251" t="str">
        <f t="shared" si="463"/>
        <v/>
      </c>
      <c r="EI251">
        <f t="shared" si="464"/>
        <v>97</v>
      </c>
      <c r="EJ251">
        <f t="shared" si="465"/>
        <v>2</v>
      </c>
      <c r="EK251">
        <f t="shared" si="466"/>
        <v>0.31</v>
      </c>
      <c r="EL251" s="6">
        <f>IF(B251="","",IF(BV251=1,dU_LED,IF(IFERROR(_xlfn.XLOOKUP(BC251,Коды_код,Коды_уго),"")="Светильник",3,4)+IF(Методика="нормы 2026",MIN(0.5,MAX(0,N(P251)-100)*0.005),0)))</f>
        <v>4.12</v>
      </c>
      <c r="EM251" cm="1">
        <f t="array" ref="EM251">IF(OR(B251="",BZ251="",EC251&lt;&gt;1),"",_xlfn.LET(_xlpm.sz,Iдоп_S,_xlpm.t_,CHOOSE(EB251,Iдоп_1ж,Iдоп_2ж,Iдоп_3ж)*DZ251*EA251,_xlpm.dcx,BV251=1,_xlpm.inn,IF(_xlpm.dcx,N(O251),N(DT251)),_xlpm.smin,MAX(1.5,CC251),_xlpm.L_,N(P251)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251)/N(BU251)*100,999),IFERROR(N(EJ251)*(_xlpm.rho*_xlpm.L_/_xlpm.sz*N(CE251)+_xlpm.xx*_xlpm.L_*N(EK251)/1000)*N(O251)/((Uн_лин/SQRT(3))*1000)*100,999)),_xlpm.kz,IF(OR(_xlpm.dcx,DW251=1,NOT(ISNUMBER(EG251)),_xlpm.L_=0,_xlpm.inn=0),1,IFERROR(--(c_min*(Uн_лин*1000/SQRT(3))/(EG251+2*ρкз_Cu*_xlpm.L_/_xlpm.sz)&gt;=HT251*_xlpm.inn),0)),_xlpm.ok,IFERROR((_xlpm.sz&gt;=_xlpm.smin)*(_xlpm.t_&gt;=_xlpm.inn)*IF(_xlpm.L_&gt;0,(_xlpm.du_+IF(_xlpm.dcx,0,EF251)&lt;=EL251+0.00001),1)*_xlpm.kz,0),_xlpm.r_,_xlfn._xlws.FILTER(_xlpm.sz,_xlpm.ok,"не подобрано"),INDEX(_xlpm.r_,1)))</f>
        <v>1.5</v>
      </c>
      <c r="EN251">
        <f t="shared" si="467"/>
        <v>2.5</v>
      </c>
      <c r="EO251" cm="1">
        <f t="array" ref="EO251">IF(OR(B251="",BZ251="",EC251&lt;&gt;1),"",_xlfn.LET(_xlpm.sz,Iдоп_S,_xlpm.t_,CHOOSE(EB251,Iдоп_1ж,Iдоп_2ж,Iдоп_3ж)*DZ251*EA251,_xlpm.ok,IFERROR((_xlpm.sz&gt;=MAX(1.5,CC251))*(_xlpm.t_&gt;=N(DT251)),0),_xlpm.r_,_xlfn._xlws.FILTER(_xlpm.sz,_xlpm.ok,""),INDEX(_xlpm.r_,1)))</f>
        <v>1.5</v>
      </c>
      <c r="EP251" s="6" cm="1">
        <f t="array" ref="EP251">IFERROR(ROUNDUP(N(EJ251)*(_xlfn.XLOOKUP(EO251,INDEX(Кабель_сопротивление,0,1),INDEX(Кабель_сопротивление,0,3))*N(P251)/EO251*N(CE251)+_xlfn.XLOOKUP(EO251,INDEX(Кабель_сопротивление,0,1),INDEX(Кабель_сопротивление,0,2))*N(P251)*N(EK251)/1000)*N(O251)/((Uн_лин/SQRT(3))*1000)*100,2),"")</f>
        <v>2.0999999999999996</v>
      </c>
      <c r="EQ251">
        <f>IFERROR(2*ρкз_Cu*N(P251)/EO251,"")</f>
        <v>4.3482666666666665</v>
      </c>
      <c r="ER251">
        <f>IFERROR(VLOOKUP(EN251,Кабель_сопротивление,3,FALSE),"")</f>
        <v>2.2499999999999999E-2</v>
      </c>
      <c r="ES251">
        <f>IFERROR(VLOOKUP(EN251,Кабель_сопротивление,2,FALSE),"")</f>
        <v>0.1</v>
      </c>
      <c r="ET251">
        <f t="shared" si="468"/>
        <v>96</v>
      </c>
      <c r="EU251">
        <f t="shared" si="469"/>
        <v>0</v>
      </c>
      <c r="EV251">
        <f t="shared" si="470"/>
        <v>2.9099656886665555</v>
      </c>
      <c r="EW251" s="6">
        <f>IFERROR(ROUNDUP(EV251/IF(BV251=1,BU251,(Uн_лин/SQRT(3))*1000)*100,2),"")</f>
        <v>1.27</v>
      </c>
      <c r="EX251" t="str">
        <f>IFERROR(VLOOKUP(BZ251,Кабель_обозначение,2,FALSE),"")</f>
        <v>ВВГнг(А)-LS</v>
      </c>
      <c r="EY251" t="str">
        <f t="shared" si="471"/>
        <v>ВВГнг(А)-LS (3х2,5)</v>
      </c>
      <c r="EZ251" t="str">
        <f t="shared" si="472"/>
        <v>ВВГнг(А)-LS (3х2,5)
L=124-1,27%</v>
      </c>
      <c r="FA251">
        <f>IFERROR(2*ρкз_Cu*P251/EN251,"")</f>
        <v>2.6089600000000002</v>
      </c>
      <c r="FB251">
        <f t="shared" si="473"/>
        <v>0.8680000000000001</v>
      </c>
      <c r="FC251" s="6" t="str">
        <f>IFERROR(IF(OR(B251="",BV251=1,NOT(ISNUMBER(EN251)),N(P251)=0),"",_xlfn.XLOOKUP(A251,Щиты[Щит],Щиты[Zпетли на шинах, Ом])+FA251),"")</f>
        <v/>
      </c>
      <c r="FD251" s="6" t="str">
        <f>IF(ISNUMBER(FC251),c_min*(Uн_лин*1000/SQRT(3))/FC251,"")</f>
        <v/>
      </c>
      <c r="FE251" s="6" t="str">
        <f>IFERROR(IF(OR(B251="",NOT(ISNUMBER(EN251))),"",1.05*(Uн_лин*1000/SQRT(3))/(_xlfn.XLOOKUP(A251,Щиты[Щит],Щиты[Zmax на шинах, Ом])+FB251)/1000),"")</f>
        <v/>
      </c>
      <c r="FF251" s="6" t="str">
        <f>IF(B251="","",IF(ISNUMBER(AC251),"Сил",IF(IFERROR(_xlfn.XLOOKUP(BC251,Коды_код,Коды_группа)&amp;"","")="","Быт",_xlfn.XLOOKUP(BC251,Коды_код,Коды_группа)&amp;"")))</f>
        <v>Быт</v>
      </c>
      <c r="FG251" s="6" t="str">
        <f t="shared" si="474"/>
        <v>Быт</v>
      </c>
      <c r="FH251" s="6">
        <f>IF(FG251="Щит","щит",IF(FG251="","",IF(FG251="Быт",IFERROR(_xlfn.XLOOKUP(A251,Щиты[Щит],Щиты[Кс быт]),1),IF(FG251="Сил",IF(ISNUMBER(AC251),AC251,IF(Методика="нормы 2026",IFERROR(_xlfn.XLOOKUP(A251,Щиты[Щит],Щиты[Кс силовых (табл. 7.5)]),1),1)),IF(OR(FG251="Пост",FG251="Отоп"),1,IF(FG251="ВНГ",0.7,0))))))</f>
        <v>0.57830000000000004</v>
      </c>
      <c r="FI251">
        <f>IF(FG251="","",IF(AND(BP251=1,TRIM(AE251&amp;"")=""),IF(COUNTIFS(Линии[Щит],A251,Линии[Секция (1/2/3)],"&gt;=2")&gt;0,MIN(3,MAX(1,IFERROR(--BD251,1))),1),IFERROR(MIN(3,MAX(1,INT(--AE251))),1)))</f>
        <v>1</v>
      </c>
      <c r="FJ251">
        <f t="shared" si="475"/>
        <v>0.3</v>
      </c>
      <c r="FK251">
        <f t="shared" si="476"/>
        <v>0.3</v>
      </c>
      <c r="FL251">
        <f t="shared" si="477"/>
        <v>0</v>
      </c>
      <c r="FM251">
        <f t="shared" si="478"/>
        <v>0</v>
      </c>
      <c r="FN251">
        <f t="shared" si="479"/>
        <v>0</v>
      </c>
      <c r="FO251">
        <f t="shared" si="480"/>
        <v>0</v>
      </c>
      <c r="FP251">
        <f t="shared" si="481"/>
        <v>0.3</v>
      </c>
      <c r="FQ251">
        <f t="shared" si="482"/>
        <v>0.3</v>
      </c>
      <c r="FR251">
        <f t="shared" si="483"/>
        <v>0.28499999999999998</v>
      </c>
      <c r="FS251">
        <f>IF(CG251=1,IF(AND(CH251=1,CW251=1),0,IF(AND(CS251&lt;&gt;"",CS251=BA251,CW251=1),SUMIFS(Линии[_Р линии, кВт],Линии[_блок УЗО],BA251,Линии[Щит],A251),N(BS251)+IF(AJ251="вручную",0,N(CK251)))),0)</f>
        <v>0.3</v>
      </c>
      <c r="FT251" t="str">
        <f t="shared" si="484"/>
        <v/>
      </c>
      <c r="FU251" t="str">
        <f>IF(B251="","",IF(CG251=0,IF(BA251=1,"",FW250),IF(AND(CH251=1,CW251=1,CS251&lt;&gt;""),IFERROR(_xlfn.XLOOKUP(CS251,Линии[_n],Линии[_фаза итог]),"L1"),IF(OR(N(DL251)&gt;=3,N(BX251)&gt;=3),"L1,L2,L3",IFERROR(_xlfn.TEXTBEFORE(_xlfn.TEXTAFTER(_xlfn.XLOOKUP(A251,Щиты[Щит],Щиты[_фазы авто]),";"&amp;BA251&amp;":"),";"),"L1")))))</f>
        <v>L2</v>
      </c>
      <c r="FV251" t="str">
        <f t="shared" si="485"/>
        <v>L2</v>
      </c>
      <c r="FW251" t="str">
        <f t="shared" si="486"/>
        <v>L2</v>
      </c>
      <c r="FX251" cm="1">
        <f t="array" ref="FX251">IFERROR(IF(CD251=2,_xlfn.IFS(BX251=3,VLOOKUP(BS251,Справочная_двигатели,3,FALSE),BX251=1,VLOOKUP(BS251,Справочная_двигатели,5,TRUE)),0),0)</f>
        <v>0</v>
      </c>
      <c r="FY251">
        <f>IFERROR(IF(CD251=3,VLOOKUP(BS251,Справочная_ЛЭД,2,TRUE),0),0)</f>
        <v>0</v>
      </c>
      <c r="FZ251" s="6">
        <f t="shared" si="487"/>
        <v>0</v>
      </c>
      <c r="GA251" t="str">
        <f>IF(B251="","",IF(TRIM(AH251&amp;"")&lt;&gt;"",IF(LOWER(TRIM(AH251&amp;""))="да","да","нет"),IF(IFERROR(_xlfn.XLOOKUP(BC251,Коды_код,Коды_пожарная),"")="да","да","нет")))</f>
        <v>нет</v>
      </c>
      <c r="GB251" t="str">
        <f t="shared" si="488"/>
        <v/>
      </c>
      <c r="GC251" t="str">
        <f t="shared" si="489"/>
        <v>основная</v>
      </c>
      <c r="GD251">
        <f>IF(AND(BP251=1,TRIM(AE251&amp;"")=""),IF(COUNTIFS(Линии[Щит],A251,Линии[Секция (1/2/3)],"&gt;=2")&gt;0,MIN(3,MAX(1,IFERROR(--BD251,1))),1),IFERROR(MIN(3,MAX(1,INT(--AE251))),1))</f>
        <v>1</v>
      </c>
      <c r="GE251" t="str" cm="1">
        <f t="array" ref="GE251">IF(B251="","",_xlfn.LET(_xlpm.t,IFERROR(_xlfn.XLOOKUP(1,(Шины[Шина]=GC251)*(((Шины[Щит]=A251)+(Шины[Щит]=""))&gt;0),Шины[Тип]),"")&amp;"",IF(_xlpm.t&lt;&gt;"",_xlpm.t,IF(ISNUMBER(SEARCH("ИБП",GC251)),"ИБП",IF(ISNUMBER(SEARCH("ДГУ",GC251)),"ДГУ","Ввод "&amp;GD251)))))</f>
        <v>Ввод 1</v>
      </c>
      <c r="GF251" t="str">
        <f t="shared" si="490"/>
        <v>Ввод 1</v>
      </c>
      <c r="GG251" t="str">
        <f>IF(BP251=0,"",IF(TRIM(AG251&amp;"")&lt;&gt;"",TRIM(AG251&amp;""),IF(OR(GE251="ИБП",GE251="ДГУ"),"I особая",_xlfn.XLOOKUP(A251,Щиты[Щит],Щиты[Категория шины «Ввод»],"III"))))</f>
        <v/>
      </c>
      <c r="GH251" t="str">
        <f>IF(A251="","",_xlfn.XLOOKUP(A251,Щиты[Щит],Щиты[Путь],""))</f>
        <v>|ГРЩ-ЖД|ЩР-1|</v>
      </c>
      <c r="GI251" t="str">
        <f>IF(B251="","",IF(AI251&lt;&gt;"",AI251,IF(IFERROR(_xlfn.XLOOKUP(BC251,Коды_код,Коды_вид)&amp;"","")="","Прочее",_xlfn.XLOOKUP(BC251,Коды_код,Коды_вид)&amp;"")))</f>
        <v>Розеточная сеть и бытовые приборы</v>
      </c>
      <c r="GJ251">
        <f>IF(BM251="","",INT((BM251-1)/Столбцов_на_лист)+1)</f>
        <v>3</v>
      </c>
      <c r="GK251" t="str">
        <f t="shared" si="491"/>
        <v>ВВГнг(А)-LS (3х2,5) L=124-1,27%</v>
      </c>
      <c r="GL251">
        <f t="shared" si="492"/>
        <v>0.3</v>
      </c>
      <c r="GM251">
        <f t="shared" si="493"/>
        <v>1.37</v>
      </c>
      <c r="GN251">
        <f t="shared" si="494"/>
        <v>1</v>
      </c>
      <c r="GO251">
        <f t="shared" si="495"/>
        <v>0</v>
      </c>
      <c r="GP251">
        <f t="shared" si="496"/>
        <v>1</v>
      </c>
      <c r="GQ251">
        <f>IF(BM251="","",IF(AND(CG251=1,GP251=1),COUNTIFS(A$3:A251,A251,CG$3:CG251,1,GP$3:GP251,1),IF(OR(OR(BA251=1,A251&lt;&gt;A250),AJ251="вручную",GP251=0),"",IF(BA251=1,"",GR250))))</f>
        <v>27</v>
      </c>
      <c r="GR251">
        <f t="shared" si="497"/>
        <v>27</v>
      </c>
      <c r="GS251">
        <f>IF(B251="","",IFERROR(LOOKUP(INDEX(CHOOSE(EB251,Iдоп_1ж,Iдоп_2ж,Iдоп_3ж),MATCH(EN251,Iдоп_S,0))*DZ251*EA251,{6,10,16,20,25,32,40,50,63,80,100,125,160,200,250,315,400,500,630}),""))</f>
        <v>25</v>
      </c>
      <c r="GT251" t="str">
        <f t="shared" si="498"/>
        <v>QFD27</v>
      </c>
      <c r="GU251" t="str">
        <f t="shared" si="499"/>
        <v>QFD27</v>
      </c>
      <c r="GV251" t="str">
        <f t="shared" si="500"/>
        <v/>
      </c>
      <c r="GW251">
        <f t="shared" si="501"/>
        <v>0</v>
      </c>
      <c r="GX251" t="str">
        <f>IF(OR(B251="",DJ251=""),"",IFERROR(_xlfn.XLOOKUP(DJ251,Модули_умолч[Управление],Модули_умолч[Модель])&amp;"",""))</f>
        <v/>
      </c>
      <c r="GY251">
        <f>IF(DJ251="",1,IFERROR(MAX(0,N(_xlfn.XLOOKUP(DJ251,Модули_умолч[Управление],Модули_умолч[Каналов на линию]))),1))</f>
        <v>1</v>
      </c>
      <c r="GZ251" t="str">
        <f t="shared" si="502"/>
        <v/>
      </c>
      <c r="HA251" t="str">
        <f t="shared" si="503"/>
        <v/>
      </c>
      <c r="HB251" t="str">
        <f t="shared" si="504"/>
        <v/>
      </c>
      <c r="HC251">
        <f>IF(HB251="",0,IFERROR(N(VLOOKUP(HB251,Модули_спр,3,FALSE)),0))</f>
        <v>0</v>
      </c>
      <c r="HD251" t="str">
        <f t="shared" si="505"/>
        <v/>
      </c>
      <c r="HE251" t="str">
        <f t="shared" si="506"/>
        <v/>
      </c>
      <c r="HF251" t="str">
        <f>IF(OR(HE251="",HE251="-"),"",IFERROR(VLOOKUP(HE251,Модули_спр,2,FALSE),"R"))</f>
        <v/>
      </c>
      <c r="HG251" t="str">
        <f>IF(HF251="","",HF251&amp;"."&amp;COUNTIFS(A$3:A251,A251,HF$3:HF251,HF251))</f>
        <v/>
      </c>
      <c r="HH251" t="str">
        <f t="shared" si="507"/>
        <v/>
      </c>
      <c r="HI251" t="str">
        <f t="shared" si="508"/>
        <v/>
      </c>
      <c r="HJ251" t="str">
        <f t="shared" si="509"/>
        <v/>
      </c>
      <c r="HK251" t="str">
        <f t="shared" si="510"/>
        <v/>
      </c>
      <c r="HL251">
        <f t="shared" si="511"/>
        <v>1</v>
      </c>
      <c r="HM251" t="str">
        <f>IF(HL251=1,"XT"&amp;COUNTIFS(A$3:A251,A251,HL$3:HL251,1),"")</f>
        <v>XT27</v>
      </c>
      <c r="HN251" t="str">
        <f t="shared" si="512"/>
        <v/>
      </c>
      <c r="HO251" t="str">
        <f t="shared" si="513"/>
        <v>QFD27</v>
      </c>
      <c r="HP251" t="str">
        <f t="shared" si="514"/>
        <v/>
      </c>
      <c r="HQ251" t="str">
        <f t="shared" si="515"/>
        <v>ok</v>
      </c>
      <c r="HR251" t="str">
        <f>IF(OR(HJ251="",HH251=""),"",IF(HJ251+MAX(0,GY251-1)&gt;IFERROR(VLOOKUP(HI251,Модули_спр,3,FALSE),99),"ЛИШНИЙ КАНАЛ",IF(AND(AL251&lt;&gt;"=",GY251&gt;0,COUNTIFS(Линии[_модуль гр.],HH251,Линии[Канал (итог)],HJ251,Линии[Канал],"&lt;&gt;=",Линии[Щит],A251)&gt;1),"ДУБЛЬ КАНАЛА","")))</f>
        <v/>
      </c>
      <c r="HS251" s="6" t="str">
        <f t="shared" si="516"/>
        <v/>
      </c>
      <c r="HT251">
        <f t="shared" si="517"/>
        <v>10</v>
      </c>
      <c r="HU251" t="str">
        <f t="shared" si="518"/>
        <v/>
      </c>
      <c r="HV251">
        <f t="shared" si="519"/>
        <v>1.7869634129164875</v>
      </c>
      <c r="HW251">
        <f t="shared" si="520"/>
        <v>0</v>
      </c>
      <c r="HX251">
        <f t="shared" si="521"/>
        <v>0</v>
      </c>
      <c r="HY251">
        <f t="shared" si="522"/>
        <v>0</v>
      </c>
      <c r="HZ251">
        <f t="shared" si="523"/>
        <v>0</v>
      </c>
      <c r="IA251">
        <f t="shared" si="524"/>
        <v>0</v>
      </c>
      <c r="IB251">
        <f t="shared" si="525"/>
        <v>0</v>
      </c>
      <c r="IC251" t="str">
        <f t="shared" si="526"/>
        <v/>
      </c>
      <c r="ID251" t="str" cm="1">
        <f t="array" ref="ID251">IF(IC251="","",_xlfn.LET(_xlpm.tk,_xlfn.TEXTSPLIT(SUBSTITUTE(SUBSTITUTE(IC251,";"," "),"→"," ")," ",,TRUE),_xlpm.w_,_xlfn._xlws.FILTER(_xlpm.tk,ISNUMBER(--LEFT(_xlpm.tk,1))*((ISNUMBER(SEARCH("W",_xlpm.tk))+ISNUMBER(SEARCH("Вт",_xlpm.tk)))&gt;0),""),IFERROR(--SUBSTITUTE(SUBSTITUTE(UPPER(INDEX(_xlpm.w_,1)),"W",""),"ВТ",""),"")))</f>
        <v/>
      </c>
      <c r="IE251" t="str" cm="1">
        <f t="array" ref="IE251">IF(IC251="","",_xlfn.LET(_xlpm.tk,_xlfn.TEXTSPLIT(SUBSTITUTE(SUBSTITUTE(IC251,";"," "),"→"," ")," ",,TRUE),_xlpm.v_,_xlfn._xlws.FILTER(_xlpm.tk,ISNUMBER(--LEFT(_xlpm.tk,1))*((ISNUMBER(SEARCH("V",_xlpm.tk))+(RIGHT(UPPER(_xlpm.tk))="В"))&gt;0),""),IFERROR(--SUBSTITUTE(SUBSTITUTE(UPPER(INDEX(_xlpm.v_,1)),"V",""),"В",""),"")))</f>
        <v/>
      </c>
      <c r="IF251" s="6" t="str">
        <f>IF(OR(BV251=0,HI251="",HJ251=""),"",IFERROR(N(_xlfn.XLOOKUP(HI251,Каталог!$C$4:$C$500,Каталог!$Q$4:$Q$500)),""))</f>
        <v/>
      </c>
      <c r="IG251" s="6" t="str">
        <f>IF(N(IF251)=0,"",SUMIFS(Линии[Iр, А],Линии[Щит],A251,Линии[_модуль гр.],HH251,Линии[Канал (итог)],HJ251))</f>
        <v/>
      </c>
      <c r="IH251" t="str">
        <f>IF(AND(B251="",HO251=""),"",_xlfn.TEXTJOIN("; ",TRUE,IF(AND(B251&lt;&gt;"",FV251=""),"нет фазы",""),IF(AND(B251&lt;&gt;"",N(GL251)=0,FG251&lt;&gt;"Нет"),"нет мощности",""),IF(AND(HN251&lt;&gt;"",COUNTIFS(Линии[Щит],A251,Линии[Клемма (итог)],HN251)&gt;1),"дубль клеммы "&amp;HN251,""),IF(AND(HQ251&lt;&gt;"",HQ251&lt;&gt;"ok"),HQ251,""),IF(HR251&lt;&gt;"",HR251,""),IF(AND(N(CB251)&gt;=4,N(BX251)=1),CB251&amp;" жил на 1 фазе",""),IF(AND(BC251="R",CG251=1,IF(CS251&lt;&gt;"",N(CV251)&gt;30,OR(N(DA251)=0,N(DA251)&gt;30))),"розетка без дифзащиты до 30 мА",""),IF(AND(CG251=1,N(DA251)&gt;0,ISNUMBER(T251)),IF(T251&gt;N(DA251)/3,"ток утечки "&amp;FIXED(T251,1)&amp;" мА &gt; 1/3 уставки ("&amp;DA251&amp;" мА)",""),""),IF(AND(CH251=1,CS251=""),"«узо»: нет строки с УЗО выше (УЗО 2P 40А 30мА в «Аппаратах»)",""),IF(AND(CS251&lt;&gt;"",CS251=BA251),IF(CT251="","впишите номинал УЗО (УЗО 2P 40А 30мА)",IF(N(CT251)&lt;N(DT251),"УЗО "&amp;CT251&amp;" А &lt; автомата "&amp;DT251&amp;" А перед ним",IF(N(CT251)&lt;N(CX251),"УЗО "&amp;CT251&amp;" А &lt; тока блока "&amp;FIXED(CX251,1)&amp;" А",""))),""),IF(AND(CS251&lt;&gt;"",CS251=BA251,ISNUMBER(CY251)),IF(CY251&gt;N(CV251)/3,"ток утечки блока УЗО "&amp;FIXED(CY251,1)&amp;" мА &gt; 1/3 уставки ("&amp;CV251&amp;" мА)",""),""),IF(AND(CG251=1,N(BV251)+N(IB251)&gt;0,IC251=""),"линии до 50 В без БП: впишите в «Аппараты» (БП 24V 480W)",""),IF(AND(CG251=1,ISNUMBER(ID251),ISNUMBER(U251)),IF(U251&gt;ID251,"БП "&amp;ID251&amp;" Вт &lt; нужно "&amp;U251&amp;" Вт (×"&amp;Запас_БП&amp;")",""),""),IF(AND(CG251=1,ISNUMBER(IE251),N(BV251)=1),IF(IE251&lt;&gt;N(BU251),"БП на "&amp;IE251&amp;" В, линия "&amp;BU251&amp;" В",""),""),IF(AND(N(IF251)&gt;0,N(IG251)&gt;N(IF251)),HH251&amp;" канал "&amp;HJ251&amp;": "&amp;FIXED(IG251,1)&amp;" А &gt; "&amp;IF251&amp;" А",""),IFERROR(IF(AND(ISNUMBER(Q251),Q251&gt;EL251),"потери "&amp;FIXED(Q251,1)&amp;" % &gt; "&amp;EL251&amp;" %",""),""),IFERROR(IF(LEFT(HU251,4)="мало","Iкз мало — отключение &gt; 0,4 с",""),""),IF(AND(B251&lt;&gt;"",BM251=""),"не на схеме",""),IF(AND(CG251=0,B251&lt;&gt;"",FV251&lt;&gt;"",IF(BA251=1,"",FW250)&lt;&gt;"",FV251&lt;&gt;IF(BA251=1,"",FW250)),"фаза не как у автомата группы ("&amp;IF(BA251=1,"",FW250)&amp;")","")))</f>
        <v/>
      </c>
      <c r="II251" s="6">
        <f>IF(OR(CG251=0,DQ251=""),"",_xlfn.LET(_xlpm.t,IFERROR(_xlfn.XLOOKUP(DQ251,Каталог!$U$4:$U$500,Каталог!$G$4:$G$500),""),_xlpm.k,SEARCH("кА",_xlpm.t),IFERROR(--TRIM(RIGHT(SUBSTITUTE(MID(_xlpm.t,MAX(1,_xlpm.k-4),_xlpm.k-MAX(1,_xlpm.k-4))," ",REPT(" ",9)),5)),"")))</f>
        <v>6</v>
      </c>
      <c r="IJ251" t="str">
        <f>IF(OR(II251="",CG251=0),"",IF(_xlfn.XLOOKUP(A251,Щиты[Щит],Щиты[Iкз max на шинах, кА],"")="","",IF(II251&lt;_xlfn.XLOOKUP(A251,Щиты[Щит],Щиты[Iкз max на шинах, кА]),"Icu "&amp;II251&amp;" кА &lt; Iкз max","ok")))</f>
        <v/>
      </c>
      <c r="IK251" t="str">
        <f t="shared" si="527"/>
        <v/>
      </c>
      <c r="IL251" t="str">
        <f t="shared" si="528"/>
        <v>QFD27</v>
      </c>
      <c r="IM251" t="str">
        <f t="shared" si="529"/>
        <v>QFD27|кабель ВВГнг(А)-LS (3х2,5) → Розеточная группа, пом. 006Aб</v>
      </c>
      <c r="IN251" t="str" cm="1">
        <f t="array" ref="IN251">IF(IM251="","",_xlfn.LET(_xlpm.nd,_xlfn.TEXTSPLIT(IM251,"|"),IF(COLUMNS(_xlpm.nd)&gt;1,A251&amp;"¦"&amp;INDEX(_xlpm.nd,1)&amp;"¦"&amp;INDEX(_xlpm.nd,2),"")))</f>
        <v>ЩР-1¦QFD27¦кабель ВВГнг(А)-LS (3х2,5) → Розеточная группа, пом. 006Aб</v>
      </c>
      <c r="IO251" t="str">
        <f t="shared" si="530"/>
        <v>R.1.006Aб.2¦Розеточная группа, пом. 006Aб</v>
      </c>
      <c r="IP251" t="str" cm="1">
        <f t="array" ref="IP251">IF(IM251="","",_xlfn.LET(_xlpm.nd,_xlfn.TEXTSPLIT(IM251,"|"),IF(COLUMNS(_xlpm.nd)&gt;2,A251&amp;"¦"&amp;INDEX(_xlpm.nd,2)&amp;"¦"&amp;INDEX(_xlpm.nd,3),"")))</f>
        <v/>
      </c>
      <c r="IQ251" t="str">
        <f t="shared" si="531"/>
        <v/>
      </c>
      <c r="IR251" t="str" cm="1">
        <f t="array" ref="IR251">IF(IM251="","",_xlfn.LET(_xlpm.nd,_xlfn.TEXTSPLIT(IM251,"|"),IF(COLUMNS(_xlpm.nd)&gt;3,A251&amp;"¦"&amp;INDEX(_xlpm.nd,3)&amp;"¦"&amp;INDEX(_xlpm.nd,4),"")))</f>
        <v/>
      </c>
      <c r="IS251" t="str">
        <f t="shared" si="532"/>
        <v/>
      </c>
      <c r="IT251" t="str" cm="1">
        <f t="array" ref="IT251">IF(IM251="","",_xlfn.LET(_xlpm.nd,_xlfn.TEXTSPLIT(IM251,"|"),IF(COLUMNS(_xlpm.nd)&gt;4,A251&amp;"¦"&amp;INDEX(_xlpm.nd,4)&amp;"¦"&amp;INDEX(_xlpm.nd,5),"")))</f>
        <v/>
      </c>
      <c r="IU251" t="str">
        <f t="shared" si="533"/>
        <v/>
      </c>
      <c r="IV251" t="str" cm="1">
        <f t="array" ref="IV251">IF(IM251="","",_xlfn.LET(_xlpm.nd,_xlfn.TEXTSPLIT(IM251,"|"),IF(COLUMNS(_xlpm.nd)&gt;5,A251&amp;"¦"&amp;INDEX(_xlpm.nd,5)&amp;"¦"&amp;INDEX(_xlpm.nd,6),"")))</f>
        <v/>
      </c>
      <c r="IW251" t="str">
        <f t="shared" si="534"/>
        <v/>
      </c>
      <c r="IX251" t="str" cm="1">
        <f t="array" ref="IX251">IF(IM251="","",_xlfn.LET(_xlpm.nd,_xlfn.TEXTSPLIT(IM251,"|"),IF(COLUMNS(_xlpm.nd)&gt;6,A251&amp;"¦"&amp;INDEX(_xlpm.nd,6)&amp;"¦"&amp;INDEX(_xlpm.nd,7),"")))</f>
        <v/>
      </c>
      <c r="IY251" t="str">
        <f t="shared" si="535"/>
        <v/>
      </c>
      <c r="IZ251" t="str">
        <f t="shared" si="536"/>
        <v/>
      </c>
      <c r="JA251" t="str">
        <f t="shared" si="537"/>
        <v>QFD27</v>
      </c>
      <c r="JB251">
        <f t="shared" si="538"/>
        <v>0</v>
      </c>
      <c r="JC251">
        <f t="shared" si="539"/>
        <v>1</v>
      </c>
      <c r="JD251" t="str">
        <f t="shared" si="540"/>
        <v/>
      </c>
      <c r="JE251" t="str">
        <f t="shared" si="541"/>
        <v/>
      </c>
      <c r="JF251" t="str">
        <f t="shared" si="542"/>
        <v/>
      </c>
      <c r="JG251" t="str">
        <f t="shared" si="543"/>
        <v/>
      </c>
      <c r="JH251" t="str">
        <f>IF(B251="","",IFERROR(_xlfn.XLOOKUP(B251,Коды_код,Коды_уго),IFERROR(_xlfn.XLOOKUP(BC251,Коды_код,Коды_уго),IFERROR(_xlfn.XLOOKUP(LEFT(BC251,2),Коды_код,Коды_уго),""))))</f>
        <v>Розетка</v>
      </c>
      <c r="JI251" t="str">
        <f>IF(B251="","",IF(OR(JH251="",JH251=0),"BOX",IFERROR(IF(VLOOKUP(JH251,УГО_блоки,3,FALSE)&amp;""&lt;&gt;"",VLOOKUP(JH251,УГО_блоки,3,FALSE),VLOOKUP(JH251,УГО_блоки,2,FALSE)),JH251)))</f>
        <v>SOCKET</v>
      </c>
      <c r="JJ251">
        <f t="shared" si="544"/>
        <v>1</v>
      </c>
      <c r="JK251" t="str">
        <f>IF(DQ251="","",IF(COUNTIF(DQ$3:DQ251,DQ251)=1,MAX(JK$2:JK250)+1,""))</f>
        <v/>
      </c>
      <c r="JL251" t="str">
        <f>IF(DE251="","",IF(COUNTIF(DE$3:DE251,DE251)+COUNTIF(DF$2:DF250,DE251)+COUNTIF(DG$2:DG250,DE251)=1,MAX(JL$2:JN250)+1,""))</f>
        <v/>
      </c>
      <c r="JM251" t="str">
        <f>IF(DF251="","",IF(COUNTIF(DE$3:DE251,DF251)+COUNTIF(DF$3:DF251,DF251)+COUNTIF(DG$2:DG250,DF251)=1,MAX(JL$2:JN250,JL251)+1,""))</f>
        <v/>
      </c>
      <c r="JN251" t="str">
        <f>IF(DG251="","",IF(COUNTIF(DE$3:DE251,DG251)+COUNTIF(DF$3:DF251,DG251)+COUNTIF(DG$3:DG251,DG251)=1,MAX(JL$2:JN250,JL251,JM251)+1,""))</f>
        <v/>
      </c>
      <c r="JO251" t="str">
        <f t="shared" si="545"/>
        <v>3х2,5</v>
      </c>
      <c r="JP251" t="str">
        <f>IF(JO251="","",IF(COUNTIF(JO$3:JO251,JO251)=1,MAX(JP$2:JP250)+1,""))</f>
        <v/>
      </c>
      <c r="JQ251" t="str">
        <f>IF(HG251="","",COUNTIF(HG$3:HG251,"?*"))</f>
        <v/>
      </c>
      <c r="JR251" t="str">
        <f>IF(OR(HG251="",HI251=""),"",IF(COUNTIFS(HG$3:HG251,"?*",HI$3:HI251,HI251)=1,MAX(JR$2:JR250)+1,""))</f>
        <v/>
      </c>
      <c r="JS251">
        <f t="shared" si="546"/>
        <v>0</v>
      </c>
      <c r="JT251">
        <f>IF(B251="","",COUNTIF(B$3:B251,"?*"))</f>
        <v>249</v>
      </c>
      <c r="JU251">
        <f>IF(HL251&lt;&gt;1,0,_xlfn.LET(_xlpm.k,MAX(IFERROR(--_xlfn.XLOOKUP(B251,Коды_код,Коды_3L),0),IFERROR(--_xlfn.XLOOKUP(BC251,Коды_код,Коды_3L),0),IFERROR(--_xlfn.XLOOKUP(LEFT(BC251,2),Коды_код,Коды_3L),0)),IF(_xlpm.k&gt;0,_xlpm.k,IF(IFERROR(--LEFT(SUBSTITUTE(JO251,"x","х"),FIND("х",SUBSTITUTE(JO251,"x","х"))-1),3)&gt;3,Каталог!$S$9,1))))</f>
        <v>1</v>
      </c>
      <c r="JV251">
        <f t="shared" si="547"/>
        <v>0</v>
      </c>
      <c r="JW251" t="str">
        <f t="shared" si="548"/>
        <v>авто</v>
      </c>
      <c r="JX251">
        <f t="shared" si="549"/>
        <v>30</v>
      </c>
      <c r="JY251">
        <f t="shared" si="550"/>
        <v>1</v>
      </c>
      <c r="JZ251">
        <f t="shared" si="551"/>
        <v>1</v>
      </c>
    </row>
    <row r="252" spans="1:286" x14ac:dyDescent="0.3">
      <c r="A252" t="s">
        <v>757</v>
      </c>
      <c r="B252" t="s">
        <v>1558</v>
      </c>
      <c r="C252" t="str">
        <f>Линии[[#This Row],[_авто наименование]]</f>
        <v>Розеточная группа, пом. 007A</v>
      </c>
      <c r="D252">
        <v>3</v>
      </c>
      <c r="E252">
        <v>0.24</v>
      </c>
      <c r="G252" t="str">
        <f>Линии[[#This Row],[_авто автомат]]</f>
        <v>2P С16А 30мА</v>
      </c>
      <c r="H252" t="str">
        <f>Линии[[#This Row],[_авто управление]]</f>
        <v/>
      </c>
      <c r="I252" t="str">
        <f>Линии[[#This Row],[_авто аппараты]]</f>
        <v/>
      </c>
      <c r="J252">
        <v>2.5</v>
      </c>
      <c r="K252">
        <v>30</v>
      </c>
      <c r="L252">
        <v>2</v>
      </c>
      <c r="M252" t="s">
        <v>484</v>
      </c>
      <c r="N252" t="str">
        <f t="shared" si="414"/>
        <v/>
      </c>
      <c r="O252" s="6" cm="1">
        <f t="array" ref="O252">IF(B252="","",IF(BH252&lt;&gt;"",IFERROR(_xlfn.XLOOKUP(BH252,Щиты[Щит],Щиты[Iр, А]),""),IF(BP252=1,IF(OR(N(_xlfn.XLOOKUP(A252,Щиты[Щит],Щиты[Вводов],1))&lt;=1,LOWER(TRIM(_xlfn.XLOOKUP(A252,Щиты[Щит],Щиты[АВР],"")&amp;""))="да"),IFERROR(_xlfn.XLOOKUP(A252,Щиты[Щит],Щиты[Iр, А]),""),IFERROR(N(BS252)*_xlfn.XLOOKUP(A252,Щиты[Щит],Щиты[Кс итог])/(SQRT(3)*Uн_лин*_xlfn.XLOOKUP(A252,Щиты[Щит],Щиты[cos φ])),"")),IF(BV252=1,IFERROR(BS252*1000/BU252,""),IFERROR(_xlfn.IFS(BX252=1,BS252/((Uн_лин/SQRT(3))*CE252),BX252=3,BS252/(SQRT(3)*Uн_лин*CE252)),"")))))</f>
        <v>1.0939268258329751</v>
      </c>
      <c r="P252" s="7">
        <f>IF(B252="","",IFERROR(IF(VLOOKUP(BC252,Потребители_обозначение,4,FALSE)=1,VLOOKUP(BC252,Потребители_обозначение,3,FALSE)*(MAX(1,N(D252))*2-1)+EI252+VLOOKUP(BE252,Этаж_обозначение,3,FALSE)+VLOOKUP(BE252,Этаж_обозначение,4,FALSE),VLOOKUP(BC252,Потребители_обозначение,3,FALSE)*(MAX(1,N(D252))*2-1)+EI252),EI252))</f>
        <v>45</v>
      </c>
      <c r="Q252" s="6">
        <f t="shared" si="415"/>
        <v>1.56</v>
      </c>
      <c r="R252" t="str">
        <f t="shared" si="416"/>
        <v>ВВГнг(А)-LS (3х2,5)</v>
      </c>
      <c r="S252" t="str">
        <f>IF(BM252="","",IF(BN252="вводной узел","узел ","")&amp;"л."&amp;(INT((BM252-1)/Столбцов_на_лист)+1)&amp;" / "&amp;(MOD(BM252-1,Столбцов_на_лист)+1))</f>
        <v>л.3 / 6</v>
      </c>
      <c r="T252" s="119">
        <f t="shared" si="417"/>
        <v>0.9</v>
      </c>
      <c r="U252" s="7" t="str">
        <f>IF(OR(CG252=0,N(BV252)+N(IB252)=0),"",ROUNDUP(Запас_БП*(N(HY252)+N(HZ252)),0))</f>
        <v/>
      </c>
      <c r="V252" s="119" t="str">
        <f t="shared" si="418"/>
        <v/>
      </c>
      <c r="W252" s="7" t="str">
        <f>IFERROR(IF(OR(B252="",BP252=1,BV252=1,NOT(ISNUMBER(EN252)),N(DT252)=0),"",MAX(0,ROUNDDOWN((c_min*(Uн_лин*1000/SQRT(3))/(HT252*N(DT252))-_xlfn.XLOOKUP(A252,Щиты[Щит],Щиты[Zпетли на шинах, Ом]))*EN252/(2*ρкз_Cu),0))),"")</f>
        <v/>
      </c>
      <c r="Y252">
        <f>Линии[[#This Row],[_авто утечка]]</f>
        <v>30</v>
      </c>
      <c r="Z252">
        <v>1</v>
      </c>
      <c r="AA252">
        <v>230</v>
      </c>
      <c r="AB252" t="s">
        <v>562</v>
      </c>
      <c r="AG252" t="s">
        <v>810</v>
      </c>
      <c r="AI252" t="s">
        <v>561</v>
      </c>
      <c r="AK252" t="str">
        <f>Линии[[#This Row],[_авто модуль]]</f>
        <v/>
      </c>
      <c r="AM252">
        <v>40</v>
      </c>
      <c r="AN252" t="s">
        <v>11</v>
      </c>
      <c r="AO252">
        <v>3</v>
      </c>
      <c r="AQ252">
        <v>7</v>
      </c>
      <c r="AR252">
        <v>38</v>
      </c>
      <c r="AS252">
        <v>0</v>
      </c>
      <c r="BA252" cm="1">
        <f t="array" ref="BA252">ROW()-ROW(Линии[#Headers])</f>
        <v>250</v>
      </c>
      <c r="BC252" s="6" t="str">
        <f t="shared" si="419"/>
        <v>R</v>
      </c>
      <c r="BD252" t="str">
        <f t="shared" si="420"/>
        <v>1.007A.1</v>
      </c>
      <c r="BE252" t="str">
        <f t="shared" si="421"/>
        <v>1</v>
      </c>
      <c r="BF252" t="str">
        <f t="shared" si="422"/>
        <v>007A.1</v>
      </c>
      <c r="BG252" t="str">
        <f t="shared" si="423"/>
        <v>007A</v>
      </c>
      <c r="BH252" t="str">
        <f>IF(X252&lt;&gt;"",X252,IF(AND(B252&lt;&gt;"",B252&lt;&gt;A252,ISNUMBER(_xlfn.XMATCH(B252,Щиты[Щит]))),B252,""))</f>
        <v/>
      </c>
      <c r="BI252" t="str" cm="1">
        <f t="array" ref="BI252">IF(B252="","",IF(BH252&lt;&gt;"","Щит "&amp;BH252,_xlfn.LET(_xlpm.nm,IFERROR(_xlfn.XLOOKUP(BC252,Коды_код,Коды_имя)&amp;"",""),_xlpm.md,IFERROR(N(_xlfn.XLOOKUP(BC252,Коды_код,Коды_режим)),1),_xlpm.ex,IF(Имя_режим="по экспликации",IFERROR(_xlfn.XLOOKUP(BE252&amp;"|"&amp;BG252,Экспликация[Этаж]&amp;"|"&amp;Экспликация[Помещение],Экспликация[Название])&amp;"",""),""),_xlpm.rm,IF(BG252="","",IF(_xlpm.ex&lt;&gt;"",". "&amp;_xlpm.ex&amp;IF(Имя_пом="нет"," ("&amp;BG252&amp;")"," (пом. "&amp;BG252&amp;")"),IF(Имя_пом="нет"," ",", пом. ")&amp;BG252)),IF(_xlpm.nm="","",IF(_xlpm.md=2,_xlpm.nm&amp;" шлейф "&amp;BE252,_xlpm.nm&amp;_xlpm.rm)))))</f>
        <v>Розеточная группа, пом. 007A</v>
      </c>
      <c r="BJ252" t="str">
        <f t="shared" si="424"/>
        <v>Розеточная группа, пом. 007A</v>
      </c>
      <c r="BK252">
        <f>IFERROR(_xlfn.XMATCH(A252,Щиты[Щит]),0)</f>
        <v>10</v>
      </c>
      <c r="BL252">
        <f>_xlfn.LET(_xlpm.k,IFERROR(_xlfn.XLOOKUP(A252,Щиты[Щит],Щиты[Мест под вводной узел]),""),IF(_xlpm.k="",Столбцов_на_лист,N(_xlpm.k)))</f>
        <v>8</v>
      </c>
      <c r="BM252">
        <f t="shared" si="425"/>
        <v>40</v>
      </c>
      <c r="BN252" t="str">
        <f t="shared" si="426"/>
        <v>линии</v>
      </c>
      <c r="BO252" s="6">
        <f>IFERROR(N(_xlfn.XLOOKUP(BC252,Коды_код,Коды_квт)),0)</f>
        <v>0</v>
      </c>
      <c r="BP252">
        <f t="shared" si="427"/>
        <v>0</v>
      </c>
      <c r="BQ252" t="str">
        <f>IF(B252="","",IF(BH252&lt;&gt;"",IFERROR(_xlfn.XLOOKUP(BH252,Щиты[Щит],Щиты[Руст, кВт]),0),IF(BP252=1,IF(OR(N(_xlfn.XLOOKUP(A252,Щиты[Щит],Щиты[Вводов],1))&lt;=1,LOWER(TRIM(_xlfn.XLOOKUP(A252,Щиты[Щит],Щиты[АВР],"")&amp;""))="да"),IFERROR(_xlfn.XLOOKUP(A252,Щиты[Щит],Щиты[Руст, кВт]),0),SUMIFS(Линии[_Р для вводов],Линии[Щит],A252,Линии[Источник для режимов],GF252)),IF(BO252&gt;0,ROUND(BO252*MAX(1,N(D252)),3),""))))</f>
        <v/>
      </c>
      <c r="BR252">
        <f t="shared" si="428"/>
        <v>0.24</v>
      </c>
      <c r="BS252" s="6">
        <f>IF(B252="","",IF(BH252&lt;&gt;"",IFERROR(_xlfn.XLOOKUP(BH252,Щиты[Щит],Щиты[Руст, кВт]),0),N(BR252)))</f>
        <v>0.24</v>
      </c>
      <c r="BT252" t="str">
        <f>IF(B252="","",IFERROR(IF(VLOOKUP(BC252,Потребители_обозначение,8,FALSE)=0,"",VLOOKUP(BC252,Потребители_обозначение,8,FALSE)),""))</f>
        <v/>
      </c>
      <c r="BU252">
        <f t="shared" si="429"/>
        <v>230</v>
      </c>
      <c r="BV252">
        <f t="shared" si="430"/>
        <v>0</v>
      </c>
      <c r="BW252">
        <f>IF(B252="","",IF(BH252&lt;&gt;"",3,IFERROR(IF(N(VLOOKUP(BC252,Потребители_обозначение,9,FALSE))=0,1,VLOOKUP(BC252,Потребители_обозначение,9,FALSE)),1)))</f>
        <v>1</v>
      </c>
      <c r="BX252">
        <f t="shared" si="431"/>
        <v>1</v>
      </c>
      <c r="BY252" t="str">
        <f>IF(B252="","",_xlfn.LET(_xlpm.bc,IFERROR(IF(VLOOKUP(BC252,Потребители_обозначение,6,FALSE)=0,"",VLOOKUP(BC252,Потребители_обозначение,6,FALSE)&amp;""),""),IF(AND(GA252="да",OR(_xlpm.bc="",_xlpm.bc="мс")),Марка_пож,IF(AND(_xlpm.bc="",BH252&lt;&gt;""),"мс",_xlpm.bc))))</f>
        <v/>
      </c>
      <c r="BZ252" t="str">
        <f t="shared" si="432"/>
        <v>мс</v>
      </c>
      <c r="CA252">
        <f>IF(B252="","",_xlfn.LET(_xlpm.cc,IFERROR(N(VLOOKUP(BC252,Потребители_обозначение,7,FALSE)),0),IF(_xlpm.cc&gt;0,_xlpm.cc,IF(BZ252="","",IF(BV252=1,2,IF(N(BX252)=3,5,3))))))</f>
        <v>3</v>
      </c>
      <c r="CB252">
        <f t="shared" si="433"/>
        <v>3</v>
      </c>
      <c r="CC252">
        <f>IFERROR(N(VLOOKUP(BC252,Потребители_обозначение,10,FALSE)),0)</f>
        <v>0</v>
      </c>
      <c r="CD252">
        <f>IFERROR(VLOOKUP(BC252,Потребители_обозначение,5,FALSE),0)</f>
        <v>1</v>
      </c>
      <c r="CE252" s="6" cm="1">
        <f t="array" ref="CE252">IF(B252="","",IF(BH252&lt;&gt;"",IFERROR(_xlfn.XLOOKUP(BH252,Щиты[Щит],Щиты[cos φ]),0.95),IF(BP252=1,IFERROR(_xlfn.XLOOKUP(A252,Щиты[Щит],Щиты[cos φ]),0.95),IF(ISNUMBER(AD252),AD252,IFERROR(IF(CD252=2,_xlfn.IFS(BX252=3,VLOOKUP(BS252,Справочная_двигатели,8,FALSE),BX252=1,VLOOKUP(BS252,Справочная_двигатели,10,TRUE)),IF(AND(Методика="нормы 2026",FG252="Сил"),0.8,0.95)),0.95)))))</f>
        <v>0.95</v>
      </c>
      <c r="CF252">
        <f t="shared" si="434"/>
        <v>0</v>
      </c>
      <c r="CG252">
        <f t="shared" si="435"/>
        <v>1</v>
      </c>
      <c r="CH252">
        <f t="shared" si="436"/>
        <v>0</v>
      </c>
      <c r="CI252">
        <f>IF(B252="","",IF(BV252=1,IFERROR(BS252/((Uн_лин/SQRT(3))*MAX(0.5,N(CE252))),0),N(O252)))</f>
        <v>1.0939268258329751</v>
      </c>
      <c r="CJ252">
        <f t="shared" si="437"/>
        <v>0</v>
      </c>
      <c r="CK252">
        <f t="shared" si="438"/>
        <v>0</v>
      </c>
      <c r="CL252">
        <f t="shared" si="439"/>
        <v>0</v>
      </c>
      <c r="CM252">
        <f t="shared" si="440"/>
        <v>0</v>
      </c>
      <c r="CN252">
        <f t="shared" si="441"/>
        <v>0</v>
      </c>
      <c r="CO252">
        <f>IF(BC252="",0,_xlfn.LET(_xlpm.v,IFERROR(_xlfn.XLOOKUP(B252,Коды_код,Коды_мА),IFERROR(_xlfn.XLOOKUP(BC252,Коды_код,Коды_мА),IFERROR(_xlfn.XLOOKUP(LEFT(BC252,2),Коды_код,Коды_мА),""))),IF(_xlpm.v="да",30,IF(ISNUMBER(_xlpm.v),_xlpm.v,0))))</f>
        <v>30</v>
      </c>
      <c r="CP252">
        <f t="shared" si="442"/>
        <v>30</v>
      </c>
      <c r="CQ252" t="str">
        <f>_xlfn.LET(_xlpm.k,IFERROR(_xlfn.XLOOKUP(BC252,Коды_код,Коды_утечка)&amp;"",""),IF(_xlpm.k="","дифавтомат",_xlpm.k))</f>
        <v>дифавтомат</v>
      </c>
      <c r="CR252" t="str" cm="1">
        <f t="array" ref="CR252">IF(CG252=0,"",_xlfn.LET(_xlpm.sg,TRIM(_xlfn.TEXTSPLIT(DD252&amp;"",";")),_xlpm.f_,_xlfn._xlws.FILTER(_xlpm.sg,LEFT(_xlpm.sg,3)="УЗО",""),IFERROR(INDEX(_xlpm.f_,1)&amp;"","")))</f>
        <v/>
      </c>
      <c r="CS252" t="str">
        <f t="shared" si="443"/>
        <v/>
      </c>
      <c r="CT252" s="6" t="str" cm="1">
        <f t="array" ref="CT252">IF(CR252="","",_xlfn.LET(_xlpm.tk,_xlfn.TEXTSPLIT(UPPER(CR252)," ",,TRUE),_xlpm.a_,_xlfn._xlws.FILTER(_xlpm.tk,ISNUMBER(--LEFT(_xlpm.tk,1))*((ISNUMBER(SEARCH("А",_xlpm.tk))+ISNUMBER(SEARCH("A",_xlpm.tk)))&gt;0)*NOT(ISNUMBER(SEARCH("МА",_xlpm.tk)))*NOT(ISNUMBER(SEARCH("MA",_xlpm.tk))),""),IFERROR(--SUBSTITUTE(SUBSTITUTE(INDEX(_xlpm.a_,1),"А",""),"A",""),"")))</f>
        <v/>
      </c>
      <c r="CU252" t="str" cm="1">
        <f t="array" ref="CU252">IF(CR252="","",_xlfn.LET(_xlpm.tk,_xlfn.TEXTSPLIT(UPPER(CR252)," ",,TRUE),_xlpm.a_,_xlfn._xlws.FILTER(_xlpm.tk,ISNUMBER(--LEFT(_xlpm.tk,1))*((ISNUMBER(SEARCH("МА",_xlpm.tk))+ISNUMBER(SEARCH("MA",_xlpm.tk)))&gt;0),""),IFERROR(--SUBSTITUTE(SUBSTITUTE(INDEX(_xlpm.a_,1),"МА",""),"MA",""),30)))</f>
        <v/>
      </c>
      <c r="CV252" t="str">
        <f>IF(CS252="","",IFERROR(_xlfn.XLOOKUP(CS252,Линии[_n],Линии[_УЗО, мА]),30))</f>
        <v/>
      </c>
      <c r="CW252">
        <f>IF(CS252="",0,IF(ISNUMBER(SEARCH("4P",IFERROR(_xlfn.XLOOKUP(CS252,Линии[_n],Линии[_УЗО строки])&amp;"",""))),0,1))</f>
        <v>0</v>
      </c>
      <c r="CX252" t="str">
        <f>IF(AND(CS252&lt;&gt;"",CS252=BA252),SUMIFS(Линии[_ток на 230 В],Линии[_блок УЗО],BA252,Линии[Щит],A252),"")</f>
        <v/>
      </c>
      <c r="CY252" t="str">
        <f>IF(AND(CS252&lt;&gt;"",CS252=BA252),SUMIFS(Линии[_ток утечки линии, мА],Линии[_блок УЗО],BA252,Линии[Щит],A252),"")</f>
        <v/>
      </c>
      <c r="CZ252">
        <f t="shared" si="444"/>
        <v>30</v>
      </c>
      <c r="DA252">
        <f t="shared" si="445"/>
        <v>30</v>
      </c>
      <c r="DB252">
        <f>IF(B252="",0,IFERROR(--_xlfn.XLOOKUP(B252,Коды_код,Коды_минавт),IFERROR(--_xlfn.XLOOKUP(BC252,Коды_код,Коды_минавт),IFERROR(--_xlfn.XLOOKUP(LEFT(BC252,2),Коды_код,Коды_минавт),0))))</f>
        <v>16</v>
      </c>
      <c r="DC252" t="str">
        <f>IF(B252="","",IFERROR(_xlfn.XLOOKUP(BC252,Коды_код,Коды_апп)&amp;"",""))</f>
        <v/>
      </c>
      <c r="DD252" t="str">
        <f t="shared" si="446"/>
        <v/>
      </c>
      <c r="DE252" t="str" cm="1">
        <f t="array" ref="DE252">IF(TRIM(DD252&amp;"")="","",IFERROR(TRIM(INDEX(_xlfn.TEXTSPLIT(DD252&amp;";;;",";"),1)),""))</f>
        <v/>
      </c>
      <c r="DF252" t="str" cm="1">
        <f t="array" ref="DF252">IF(TRIM(DD252&amp;"")="","",IFERROR(TRIM(INDEX(_xlfn.TEXTSPLIT(DD252&amp;";;;",";"),2)),""))</f>
        <v/>
      </c>
      <c r="DG252" t="str" cm="1">
        <f t="array" ref="DG252">IF(TRIM(DD252&amp;"")="","",IFERROR(TRIM(INDEX(_xlfn.TEXTSPLIT(DD252&amp;";;;",";"),3)),""))</f>
        <v/>
      </c>
      <c r="DH252">
        <f t="shared" si="447"/>
        <v>0</v>
      </c>
      <c r="DI252" t="str">
        <f>IF(B252="","",_xlfn.LET(_xlpm.t,LOWER(AZ252&amp;""),IF(ISNUMBER(SEARCH("dim",_xlpm.t)),"DIM",IF(ISNUMBER(SEARCH("dali",_xlpm.t)),"DALI",IF(OR(ISNUMBER(SEARCH("relay",_xlpm.t)),ISNUMBER(SEARCH("реле",_xlpm.t))),"Relay",IF(ISNUMBER(SEARCH("кнопк",_xlpm.t)),"",IFERROR(_xlfn.XLOOKUP(BC252,Коды_код,Коды_упр)&amp;"","")))))))</f>
        <v/>
      </c>
      <c r="DJ252" t="str">
        <f t="shared" si="448"/>
        <v/>
      </c>
      <c r="DK252">
        <f>IF(B252="","",_xlfn.LET(_xlpm.ig,IF(N(CX252)&gt;0,N(CX252),N(CI252)+IF(AJ252="вручную",0,N(CJ252))),_xlpm.n0,IFERROR(VLOOKUP(_xlpm.ig,Автомат_номиналы,2,TRUE),0),_xlpm.mn,MAX(DB252,IF(AJ252="вручную",0,N(CM252))),MAX(_xlpm.n0,_xlpm.mn,IF(DH252=1,Мин_автомат_БП,0))))</f>
        <v>16</v>
      </c>
      <c r="DL252">
        <f t="shared" si="449"/>
        <v>1</v>
      </c>
      <c r="DM252" t="str">
        <f t="shared" si="450"/>
        <v>2P</v>
      </c>
      <c r="DN252" t="str">
        <f>_xlfn.LET(_xlpm.cc,UPPER(TRIM(IFERROR(_xlfn.XLOOKUP(BC252,Коды_код,Коды_хар)&amp;"",""))),IF(OR(_xlpm.cc="B",_xlpm.cc="В"),"B",IF(_xlpm.cc="D","D","С")))</f>
        <v>С</v>
      </c>
      <c r="DO252" t="str">
        <f t="shared" si="451"/>
        <v>2P С16А 30мА</v>
      </c>
      <c r="DP252" t="str">
        <f t="shared" si="452"/>
        <v>2P С16А 30мА</v>
      </c>
      <c r="DQ252" t="str">
        <f t="shared" si="453"/>
        <v>2P С16А 30мА</v>
      </c>
      <c r="DR252" cm="1">
        <f t="array" ref="DR252">IF(DQ252="","",_xlfn.LET(_xlpm.t,SUBSTITUTE(SUBSTITUTE(SUBSTITUTE(UPPER(DQ252),"С","C"),"А","A"),"В","B"),_xlpm.tk,_xlfn.TEXTSPLIT(_xlpm.t," "),_xlpm.f,_xlfn._xlws.FILTER(_xlpm.tk,ISNUMBER(--MID(_xlpm.tk,2,1))*ISNUMBER(SEARCH(LEFT(_xlpm.tk,1)&amp;"#","B#C#D#"))*(LEN(_xlpm.tk)&gt;1),""),_xlpm.x,INDEX(_xlpm.f,1),IFERROR(--SUBSTITUTE(MID(_xlpm.x,2,9),"A",""),IFERROR(--SUBSTITUTE(INDEX(_xlfn._xlws.FILTER(_xlpm.tk,ISNUMBER(--SUBSTITUTE(_xlpm.tk,"A","")),""),1),"A",""),""))))</f>
        <v>16</v>
      </c>
      <c r="DS252" t="str">
        <f t="shared" si="454"/>
        <v>ok</v>
      </c>
      <c r="DT252">
        <f t="shared" si="455"/>
        <v>16</v>
      </c>
      <c r="DU252" t="str">
        <f t="shared" si="456"/>
        <v>2P С16А 30мА</v>
      </c>
      <c r="DV252">
        <f t="shared" si="457"/>
        <v>30</v>
      </c>
      <c r="DW252">
        <f t="shared" si="458"/>
        <v>1</v>
      </c>
      <c r="DX252">
        <f t="shared" si="459"/>
        <v>0</v>
      </c>
      <c r="DY252">
        <f t="shared" si="460"/>
        <v>1.0939268258329751</v>
      </c>
      <c r="DZ252">
        <f t="shared" si="461"/>
        <v>1</v>
      </c>
      <c r="EA252">
        <f>IF(ISNUMBER(AP252),AP252,К_прокл)</f>
        <v>1</v>
      </c>
      <c r="EB252">
        <f t="shared" si="462"/>
        <v>2</v>
      </c>
      <c r="EC252">
        <f>IFERROR(N(VLOOKUP(BZ252,Кабель_обозначение,3,FALSE)),1)</f>
        <v>1</v>
      </c>
      <c r="ED252">
        <f>IFERROR(N(_xlfn.XLOOKUP(A252,Щиты[Щит],Щиты[ΔU до шин, %])),0)</f>
        <v>1.19</v>
      </c>
      <c r="EE252" t="str">
        <f>IFERROR(_xlfn.XLOOKUP(A252,Щиты[Щит],Щиты[Zпетли на шинах, Ом]),"")</f>
        <v/>
      </c>
      <c r="EF252">
        <f>IFERROR(N(_xlfn.XLOOKUP(A252,Щиты[Щит],Щиты[ΔU до шин (подбор), %])),0)</f>
        <v>1.19</v>
      </c>
      <c r="EG252" t="str">
        <f>IFERROR(_xlfn.XLOOKUP(A252,Щиты[Щит],Щиты[Zпетли на шинах (подбор), Ом]),"")</f>
        <v/>
      </c>
      <c r="EH252" t="str">
        <f t="shared" si="463"/>
        <v/>
      </c>
      <c r="EI252">
        <f t="shared" si="464"/>
        <v>30</v>
      </c>
      <c r="EJ252">
        <f t="shared" si="465"/>
        <v>2</v>
      </c>
      <c r="EK252">
        <f t="shared" si="466"/>
        <v>0.31</v>
      </c>
      <c r="EL252" s="6">
        <f>IF(B252="","",IF(BV252=1,dU_LED,IF(IFERROR(_xlfn.XLOOKUP(BC252,Коды_код,Коды_уго),"")="Светильник",3,4)+IF(Методика="нормы 2026",MIN(0.5,MAX(0,N(P252)-100)*0.005),0)))</f>
        <v>4</v>
      </c>
      <c r="EM252" cm="1">
        <f t="array" ref="EM252">IF(OR(B252="",BZ252="",EC252&lt;&gt;1),"",_xlfn.LET(_xlpm.sz,Iдоп_S,_xlpm.t_,CHOOSE(EB252,Iдоп_1ж,Iдоп_2ж,Iдоп_3ж)*DZ252*EA252,_xlpm.dcx,BV252=1,_xlpm.inn,IF(_xlpm.dcx,N(O252),N(DT252)),_xlpm.smin,MAX(1.5,CC252),_xlpm.L_,N(P252)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252)/N(BU252)*100,999),IFERROR(N(EJ252)*(_xlpm.rho*_xlpm.L_/_xlpm.sz*N(CE252)+_xlpm.xx*_xlpm.L_*N(EK252)/1000)*N(O252)/((Uн_лин/SQRT(3))*1000)*100,999)),_xlpm.kz,IF(OR(_xlpm.dcx,DW252=1,NOT(ISNUMBER(EG252)),_xlpm.L_=0,_xlpm.inn=0),1,IFERROR(--(c_min*(Uн_лин*1000/SQRT(3))/(EG252+2*ρкз_Cu*_xlpm.L_/_xlpm.sz)&gt;=HT252*_xlpm.inn),0)),_xlpm.ok,IFERROR((_xlpm.sz&gt;=_xlpm.smin)*(_xlpm.t_&gt;=_xlpm.inn)*IF(_xlpm.L_&gt;0,(_xlpm.du_+IF(_xlpm.dcx,0,EF252)&lt;=EL252+0.00001),1)*_xlpm.kz,0),_xlpm.r_,_xlfn._xlws.FILTER(_xlpm.sz,_xlpm.ok,"не подобрано"),INDEX(_xlpm.r_,1)))</f>
        <v>1.5</v>
      </c>
      <c r="EN252">
        <f t="shared" si="467"/>
        <v>2.5</v>
      </c>
      <c r="EO252" cm="1">
        <f t="array" ref="EO252">IF(OR(B252="",BZ252="",EC252&lt;&gt;1),"",_xlfn.LET(_xlpm.sz,Iдоп_S,_xlpm.t_,CHOOSE(EB252,Iдоп_1ж,Iдоп_2ж,Iдоп_3ж)*DZ252*EA252,_xlpm.ok,IFERROR((_xlpm.sz&gt;=MAX(1.5,CC252))*(_xlpm.t_&gt;=N(DT252)),0),_xlpm.r_,_xlfn._xlws.FILTER(_xlpm.sz,_xlpm.ok,""),INDEX(_xlpm.r_,1)))</f>
        <v>1.5</v>
      </c>
      <c r="EP252" s="6" cm="1">
        <f t="array" ref="EP252">IFERROR(ROUNDUP(N(EJ252)*(_xlfn.XLOOKUP(EO252,INDEX(Кабель_сопротивление,0,1),INDEX(Кабель_сопротивление,0,3))*N(P252)/EO252*N(CE252)+_xlfn.XLOOKUP(EO252,INDEX(Кабель_сопротивление,0,1),INDEX(Кабель_сопротивление,0,2))*N(P252)*N(EK252)/1000)*N(O252)/((Uн_лин/SQRT(3))*1000)*100,2),"")</f>
        <v>0.61</v>
      </c>
      <c r="EQ252">
        <f>IFERROR(2*ρкз_Cu*N(P252)/EO252,"")</f>
        <v>1.5780000000000001</v>
      </c>
      <c r="ER252">
        <f>IFERROR(VLOOKUP(EN252,Кабель_сопротивление,3,FALSE),"")</f>
        <v>2.2499999999999999E-2</v>
      </c>
      <c r="ES252">
        <f>IFERROR(VLOOKUP(EN252,Кабель_сопротивление,2,FALSE),"")</f>
        <v>0.1</v>
      </c>
      <c r="ET252">
        <f t="shared" si="468"/>
        <v>38</v>
      </c>
      <c r="EU252">
        <f t="shared" si="469"/>
        <v>0</v>
      </c>
      <c r="EV252">
        <f t="shared" si="470"/>
        <v>0.84482874832254828</v>
      </c>
      <c r="EW252" s="6">
        <f>IFERROR(ROUNDUP(EV252/IF(BV252=1,BU252,(Uн_лин/SQRT(3))*1000)*100,2),"")</f>
        <v>0.37</v>
      </c>
      <c r="EX252" t="str">
        <f>IFERROR(VLOOKUP(BZ252,Кабель_обозначение,2,FALSE),"")</f>
        <v>ВВГнг(А)-LS</v>
      </c>
      <c r="EY252" t="str">
        <f t="shared" si="471"/>
        <v>ВВГнг(А)-LS (3х2,5)</v>
      </c>
      <c r="EZ252" t="str">
        <f t="shared" si="472"/>
        <v>ВВГнг(А)-LS (3х2,5)
L=45-0,37%</v>
      </c>
      <c r="FA252">
        <f>IFERROR(2*ρкз_Cu*P252/EN252,"")</f>
        <v>0.94679999999999997</v>
      </c>
      <c r="FB252">
        <f t="shared" si="473"/>
        <v>0.31500000000000006</v>
      </c>
      <c r="FC252" s="6" t="str">
        <f>IFERROR(IF(OR(B252="",BV252=1,NOT(ISNUMBER(EN252)),N(P252)=0),"",_xlfn.XLOOKUP(A252,Щиты[Щит],Щиты[Zпетли на шинах, Ом])+FA252),"")</f>
        <v/>
      </c>
      <c r="FD252" s="6" t="str">
        <f>IF(ISNUMBER(FC252),c_min*(Uн_лин*1000/SQRT(3))/FC252,"")</f>
        <v/>
      </c>
      <c r="FE252" s="6" t="str">
        <f>IFERROR(IF(OR(B252="",NOT(ISNUMBER(EN252))),"",1.05*(Uн_лин*1000/SQRT(3))/(_xlfn.XLOOKUP(A252,Щиты[Щит],Щиты[Zmax на шинах, Ом])+FB252)/1000),"")</f>
        <v/>
      </c>
      <c r="FF252" s="6" t="str">
        <f>IF(B252="","",IF(ISNUMBER(AC252),"Сил",IF(IFERROR(_xlfn.XLOOKUP(BC252,Коды_код,Коды_группа)&amp;"","")="","Быт",_xlfn.XLOOKUP(BC252,Коды_код,Коды_группа)&amp;"")))</f>
        <v>Быт</v>
      </c>
      <c r="FG252" s="6" t="str">
        <f t="shared" si="474"/>
        <v>Быт</v>
      </c>
      <c r="FH252" s="6">
        <f>IF(FG252="Щит","щит",IF(FG252="","",IF(FG252="Быт",IFERROR(_xlfn.XLOOKUP(A252,Щиты[Щит],Щиты[Кс быт]),1),IF(FG252="Сил",IF(ISNUMBER(AC252),AC252,IF(Методика="нормы 2026",IFERROR(_xlfn.XLOOKUP(A252,Щиты[Щит],Щиты[Кс силовых (табл. 7.5)]),1),1)),IF(OR(FG252="Пост",FG252="Отоп"),1,IF(FG252="ВНГ",0.7,0))))))</f>
        <v>0.57830000000000004</v>
      </c>
      <c r="FI252">
        <f>IF(FG252="","",IF(AND(BP252=1,TRIM(AE252&amp;"")=""),IF(COUNTIFS(Линии[Щит],A252,Линии[Секция (1/2/3)],"&gt;=2")&gt;0,MIN(3,MAX(1,IFERROR(--BD252,1))),1),IFERROR(MIN(3,MAX(1,INT(--AE252))),1)))</f>
        <v>1</v>
      </c>
      <c r="FJ252">
        <f t="shared" si="475"/>
        <v>0.24</v>
      </c>
      <c r="FK252">
        <f t="shared" si="476"/>
        <v>0.24</v>
      </c>
      <c r="FL252">
        <f t="shared" si="477"/>
        <v>0</v>
      </c>
      <c r="FM252">
        <f t="shared" si="478"/>
        <v>0</v>
      </c>
      <c r="FN252">
        <f t="shared" si="479"/>
        <v>0</v>
      </c>
      <c r="FO252">
        <f t="shared" si="480"/>
        <v>0</v>
      </c>
      <c r="FP252">
        <f t="shared" si="481"/>
        <v>0.24</v>
      </c>
      <c r="FQ252">
        <f t="shared" si="482"/>
        <v>0.24</v>
      </c>
      <c r="FR252">
        <f t="shared" si="483"/>
        <v>0.22799999999999998</v>
      </c>
      <c r="FS252">
        <f>IF(CG252=1,IF(AND(CH252=1,CW252=1),0,IF(AND(CS252&lt;&gt;"",CS252=BA252,CW252=1),SUMIFS(Линии[_Р линии, кВт],Линии[_блок УЗО],BA252,Линии[Щит],A252),N(BS252)+IF(AJ252="вручную",0,N(CK252)))),0)</f>
        <v>0.24</v>
      </c>
      <c r="FT252" t="str">
        <f t="shared" si="484"/>
        <v>L2</v>
      </c>
      <c r="FU252" t="str">
        <f>IF(B252="","",IF(CG252=0,IF(BA252=1,"",FW251),IF(AND(CH252=1,CW252=1,CS252&lt;&gt;""),IFERROR(_xlfn.XLOOKUP(CS252,Линии[_n],Линии[_фаза итог]),"L1"),IF(OR(N(DL252)&gt;=3,N(BX252)&gt;=3),"L1,L2,L3",IFERROR(_xlfn.TEXTBEFORE(_xlfn.TEXTAFTER(_xlfn.XLOOKUP(A252,Щиты[Щит],Щиты[_фазы авто]),";"&amp;BA252&amp;":"),";"),"L1")))))</f>
        <v>L1</v>
      </c>
      <c r="FV252" t="str">
        <f t="shared" si="485"/>
        <v>L2</v>
      </c>
      <c r="FW252" t="str">
        <f t="shared" si="486"/>
        <v>L2</v>
      </c>
      <c r="FX252" cm="1">
        <f t="array" ref="FX252">IFERROR(IF(CD252=2,_xlfn.IFS(BX252=3,VLOOKUP(BS252,Справочная_двигатели,3,FALSE),BX252=1,VLOOKUP(BS252,Справочная_двигатели,5,TRUE)),0),0)</f>
        <v>0</v>
      </c>
      <c r="FY252">
        <f>IFERROR(IF(CD252=3,VLOOKUP(BS252,Справочная_ЛЭД,2,TRUE),0),0)</f>
        <v>0</v>
      </c>
      <c r="FZ252" s="6">
        <f t="shared" si="487"/>
        <v>0</v>
      </c>
      <c r="GA252" t="str">
        <f>IF(B252="","",IF(TRIM(AH252&amp;"")&lt;&gt;"",IF(LOWER(TRIM(AH252&amp;""))="да","да","нет"),IF(IFERROR(_xlfn.XLOOKUP(BC252,Коды_код,Коды_пожарная),"")="да","да","нет")))</f>
        <v>нет</v>
      </c>
      <c r="GB252" t="str">
        <f t="shared" si="488"/>
        <v/>
      </c>
      <c r="GC252" t="str">
        <f t="shared" si="489"/>
        <v>основная</v>
      </c>
      <c r="GD252">
        <f>IF(AND(BP252=1,TRIM(AE252&amp;"")=""),IF(COUNTIFS(Линии[Щит],A252,Линии[Секция (1/2/3)],"&gt;=2")&gt;0,MIN(3,MAX(1,IFERROR(--BD252,1))),1),IFERROR(MIN(3,MAX(1,INT(--AE252))),1))</f>
        <v>1</v>
      </c>
      <c r="GE252" t="str" cm="1">
        <f t="array" ref="GE252">IF(B252="","",_xlfn.LET(_xlpm.t,IFERROR(_xlfn.XLOOKUP(1,(Шины[Шина]=GC252)*(((Шины[Щит]=A252)+(Шины[Щит]=""))&gt;0),Шины[Тип]),"")&amp;"",IF(_xlpm.t&lt;&gt;"",_xlpm.t,IF(ISNUMBER(SEARCH("ИБП",GC252)),"ИБП",IF(ISNUMBER(SEARCH("ДГУ",GC252)),"ДГУ","Ввод "&amp;GD252)))))</f>
        <v>Ввод 1</v>
      </c>
      <c r="GF252" t="str">
        <f t="shared" si="490"/>
        <v>Ввод 1</v>
      </c>
      <c r="GG252" t="str">
        <f>IF(BP252=0,"",IF(TRIM(AG252&amp;"")&lt;&gt;"",TRIM(AG252&amp;""),IF(OR(GE252="ИБП",GE252="ДГУ"),"I особая",_xlfn.XLOOKUP(A252,Щиты[Щит],Щиты[Категория шины «Ввод»],"III"))))</f>
        <v/>
      </c>
      <c r="GH252" t="str">
        <f>IF(A252="","",_xlfn.XLOOKUP(A252,Щиты[Щит],Щиты[Путь],""))</f>
        <v>|ГРЩ-ЖД|ЩР-1|</v>
      </c>
      <c r="GI252" t="str">
        <f>IF(B252="","",IF(AI252&lt;&gt;"",AI252,IF(IFERROR(_xlfn.XLOOKUP(BC252,Коды_код,Коды_вид)&amp;"","")="","Прочее",_xlfn.XLOOKUP(BC252,Коды_код,Коды_вид)&amp;"")))</f>
        <v>Розеточная сеть и бытовые приборы</v>
      </c>
      <c r="GJ252">
        <f>IF(BM252="","",INT((BM252-1)/Столбцов_на_лист)+1)</f>
        <v>3</v>
      </c>
      <c r="GK252" t="str">
        <f t="shared" si="491"/>
        <v>ВВГнг(А)-LS (3х2,5) L=45-0,37%</v>
      </c>
      <c r="GL252">
        <f t="shared" si="492"/>
        <v>0.24</v>
      </c>
      <c r="GM252">
        <f t="shared" si="493"/>
        <v>1.1000000000000001</v>
      </c>
      <c r="GN252">
        <f t="shared" si="494"/>
        <v>1</v>
      </c>
      <c r="GO252">
        <f t="shared" si="495"/>
        <v>0</v>
      </c>
      <c r="GP252">
        <f t="shared" si="496"/>
        <v>1</v>
      </c>
      <c r="GQ252">
        <f>IF(BM252="","",IF(AND(CG252=1,GP252=1),COUNTIFS(A$3:A252,A252,CG$3:CG252,1,GP$3:GP252,1),IF(OR(OR(BA252=1,A252&lt;&gt;A251),AJ252="вручную",GP252=0),"",IF(BA252=1,"",GR251))))</f>
        <v>28</v>
      </c>
      <c r="GR252">
        <f t="shared" si="497"/>
        <v>28</v>
      </c>
      <c r="GS252">
        <f>IF(B252="","",IFERROR(LOOKUP(INDEX(CHOOSE(EB252,Iдоп_1ж,Iдоп_2ж,Iдоп_3ж),MATCH(EN252,Iдоп_S,0))*DZ252*EA252,{6,10,16,20,25,32,40,50,63,80,100,125,160,200,250,315,400,500,630}),""))</f>
        <v>25</v>
      </c>
      <c r="GT252" t="str">
        <f t="shared" si="498"/>
        <v>QFD28</v>
      </c>
      <c r="GU252" t="str">
        <f t="shared" si="499"/>
        <v>QFD28</v>
      </c>
      <c r="GV252" t="str">
        <f t="shared" si="500"/>
        <v/>
      </c>
      <c r="GW252">
        <f t="shared" si="501"/>
        <v>0</v>
      </c>
      <c r="GX252" t="str">
        <f>IF(OR(B252="",DJ252=""),"",IFERROR(_xlfn.XLOOKUP(DJ252,Модули_умолч[Управление],Модули_умолч[Модель])&amp;"",""))</f>
        <v/>
      </c>
      <c r="GY252">
        <f>IF(DJ252="",1,IFERROR(MAX(0,N(_xlfn.XLOOKUP(DJ252,Модули_умолч[Управление],Модули_умолч[Каналов на линию]))),1))</f>
        <v>1</v>
      </c>
      <c r="GZ252" t="str">
        <f t="shared" si="502"/>
        <v/>
      </c>
      <c r="HA252" t="str">
        <f t="shared" si="503"/>
        <v/>
      </c>
      <c r="HB252" t="str">
        <f t="shared" si="504"/>
        <v/>
      </c>
      <c r="HC252">
        <f>IF(HB252="",0,IFERROR(N(VLOOKUP(HB252,Модули_спр,3,FALSE)),0))</f>
        <v>0</v>
      </c>
      <c r="HD252" t="str">
        <f t="shared" si="505"/>
        <v/>
      </c>
      <c r="HE252" t="str">
        <f t="shared" si="506"/>
        <v/>
      </c>
      <c r="HF252" t="str">
        <f>IF(OR(HE252="",HE252="-"),"",IFERROR(VLOOKUP(HE252,Модули_спр,2,FALSE),"R"))</f>
        <v/>
      </c>
      <c r="HG252" t="str">
        <f>IF(HF252="","",HF252&amp;"."&amp;COUNTIFS(A$3:A252,A252,HF$3:HF252,HF252))</f>
        <v/>
      </c>
      <c r="HH252" t="str">
        <f t="shared" si="507"/>
        <v/>
      </c>
      <c r="HI252" t="str">
        <f t="shared" si="508"/>
        <v/>
      </c>
      <c r="HJ252" t="str">
        <f t="shared" si="509"/>
        <v/>
      </c>
      <c r="HK252" t="str">
        <f t="shared" si="510"/>
        <v/>
      </c>
      <c r="HL252">
        <f t="shared" si="511"/>
        <v>1</v>
      </c>
      <c r="HM252" t="str">
        <f>IF(HL252=1,"XT"&amp;COUNTIFS(A$3:A252,A252,HL$3:HL252,1),"")</f>
        <v>XT28</v>
      </c>
      <c r="HN252" t="str">
        <f t="shared" si="512"/>
        <v/>
      </c>
      <c r="HO252" t="str">
        <f t="shared" si="513"/>
        <v>QFD28</v>
      </c>
      <c r="HP252" t="str">
        <f t="shared" si="514"/>
        <v/>
      </c>
      <c r="HQ252" t="str">
        <f t="shared" si="515"/>
        <v>ok</v>
      </c>
      <c r="HR252" t="str">
        <f>IF(OR(HJ252="",HH252=""),"",IF(HJ252+MAX(0,GY252-1)&gt;IFERROR(VLOOKUP(HI252,Модули_спр,3,FALSE),99),"ЛИШНИЙ КАНАЛ",IF(AND(AL252&lt;&gt;"=",GY252&gt;0,COUNTIFS(Линии[_модуль гр.],HH252,Линии[Канал (итог)],HJ252,Линии[Канал],"&lt;&gt;=",Линии[Щит],A252)&gt;1),"ДУБЛЬ КАНАЛА","")))</f>
        <v/>
      </c>
      <c r="HS252" s="6" t="str">
        <f t="shared" si="516"/>
        <v/>
      </c>
      <c r="HT252">
        <f t="shared" si="517"/>
        <v>10</v>
      </c>
      <c r="HU252" t="str">
        <f t="shared" si="518"/>
        <v/>
      </c>
      <c r="HV252">
        <f t="shared" si="519"/>
        <v>0.88757073033319012</v>
      </c>
      <c r="HW252">
        <f t="shared" si="520"/>
        <v>0</v>
      </c>
      <c r="HX252">
        <f t="shared" si="521"/>
        <v>0</v>
      </c>
      <c r="HY252">
        <f t="shared" si="522"/>
        <v>0</v>
      </c>
      <c r="HZ252">
        <f t="shared" si="523"/>
        <v>0</v>
      </c>
      <c r="IA252">
        <f t="shared" si="524"/>
        <v>0</v>
      </c>
      <c r="IB252">
        <f t="shared" si="525"/>
        <v>0</v>
      </c>
      <c r="IC252" t="str">
        <f t="shared" si="526"/>
        <v/>
      </c>
      <c r="ID252" t="str" cm="1">
        <f t="array" ref="ID252">IF(IC252="","",_xlfn.LET(_xlpm.tk,_xlfn.TEXTSPLIT(SUBSTITUTE(SUBSTITUTE(IC252,";"," "),"→"," ")," ",,TRUE),_xlpm.w_,_xlfn._xlws.FILTER(_xlpm.tk,ISNUMBER(--LEFT(_xlpm.tk,1))*((ISNUMBER(SEARCH("W",_xlpm.tk))+ISNUMBER(SEARCH("Вт",_xlpm.tk)))&gt;0),""),IFERROR(--SUBSTITUTE(SUBSTITUTE(UPPER(INDEX(_xlpm.w_,1)),"W",""),"ВТ",""),"")))</f>
        <v/>
      </c>
      <c r="IE252" t="str" cm="1">
        <f t="array" ref="IE252">IF(IC252="","",_xlfn.LET(_xlpm.tk,_xlfn.TEXTSPLIT(SUBSTITUTE(SUBSTITUTE(IC252,";"," "),"→"," ")," ",,TRUE),_xlpm.v_,_xlfn._xlws.FILTER(_xlpm.tk,ISNUMBER(--LEFT(_xlpm.tk,1))*((ISNUMBER(SEARCH("V",_xlpm.tk))+(RIGHT(UPPER(_xlpm.tk))="В"))&gt;0),""),IFERROR(--SUBSTITUTE(SUBSTITUTE(UPPER(INDEX(_xlpm.v_,1)),"V",""),"В",""),"")))</f>
        <v/>
      </c>
      <c r="IF252" s="6" t="str">
        <f>IF(OR(BV252=0,HI252="",HJ252=""),"",IFERROR(N(_xlfn.XLOOKUP(HI252,Каталог!$C$4:$C$500,Каталог!$Q$4:$Q$500)),""))</f>
        <v/>
      </c>
      <c r="IG252" s="6" t="str">
        <f>IF(N(IF252)=0,"",SUMIFS(Линии[Iр, А],Линии[Щит],A252,Линии[_модуль гр.],HH252,Линии[Канал (итог)],HJ252))</f>
        <v/>
      </c>
      <c r="IH252" t="str">
        <f>IF(AND(B252="",HO252=""),"",_xlfn.TEXTJOIN("; ",TRUE,IF(AND(B252&lt;&gt;"",FV252=""),"нет фазы",""),IF(AND(B252&lt;&gt;"",N(GL252)=0,FG252&lt;&gt;"Нет"),"нет мощности",""),IF(AND(HN252&lt;&gt;"",COUNTIFS(Линии[Щит],A252,Линии[Клемма (итог)],HN252)&gt;1),"дубль клеммы "&amp;HN252,""),IF(AND(HQ252&lt;&gt;"",HQ252&lt;&gt;"ok"),HQ252,""),IF(HR252&lt;&gt;"",HR252,""),IF(AND(N(CB252)&gt;=4,N(BX252)=1),CB252&amp;" жил на 1 фазе",""),IF(AND(BC252="R",CG252=1,IF(CS252&lt;&gt;"",N(CV252)&gt;30,OR(N(DA252)=0,N(DA252)&gt;30))),"розетка без дифзащиты до 30 мА",""),IF(AND(CG252=1,N(DA252)&gt;0,ISNUMBER(T252)),IF(T252&gt;N(DA252)/3,"ток утечки "&amp;FIXED(T252,1)&amp;" мА &gt; 1/3 уставки ("&amp;DA252&amp;" мА)",""),""),IF(AND(CH252=1,CS252=""),"«узо»: нет строки с УЗО выше (УЗО 2P 40А 30мА в «Аппаратах»)",""),IF(AND(CS252&lt;&gt;"",CS252=BA252),IF(CT252="","впишите номинал УЗО (УЗО 2P 40А 30мА)",IF(N(CT252)&lt;N(DT252),"УЗО "&amp;CT252&amp;" А &lt; автомата "&amp;DT252&amp;" А перед ним",IF(N(CT252)&lt;N(CX252),"УЗО "&amp;CT252&amp;" А &lt; тока блока "&amp;FIXED(CX252,1)&amp;" А",""))),""),IF(AND(CS252&lt;&gt;"",CS252=BA252,ISNUMBER(CY252)),IF(CY252&gt;N(CV252)/3,"ток утечки блока УЗО "&amp;FIXED(CY252,1)&amp;" мА &gt; 1/3 уставки ("&amp;CV252&amp;" мА)",""),""),IF(AND(CG252=1,N(BV252)+N(IB252)&gt;0,IC252=""),"линии до 50 В без БП: впишите в «Аппараты» (БП 24V 480W)",""),IF(AND(CG252=1,ISNUMBER(ID252),ISNUMBER(U252)),IF(U252&gt;ID252,"БП "&amp;ID252&amp;" Вт &lt; нужно "&amp;U252&amp;" Вт (×"&amp;Запас_БП&amp;")",""),""),IF(AND(CG252=1,ISNUMBER(IE252),N(BV252)=1),IF(IE252&lt;&gt;N(BU252),"БП на "&amp;IE252&amp;" В, линия "&amp;BU252&amp;" В",""),""),IF(AND(N(IF252)&gt;0,N(IG252)&gt;N(IF252)),HH252&amp;" канал "&amp;HJ252&amp;": "&amp;FIXED(IG252,1)&amp;" А &gt; "&amp;IF252&amp;" А",""),IFERROR(IF(AND(ISNUMBER(Q252),Q252&gt;EL252),"потери "&amp;FIXED(Q252,1)&amp;" % &gt; "&amp;EL252&amp;" %",""),""),IFERROR(IF(LEFT(HU252,4)="мало","Iкз мало — отключение &gt; 0,4 с",""),""),IF(AND(B252&lt;&gt;"",BM252=""),"не на схеме",""),IF(AND(CG252=0,B252&lt;&gt;"",FV252&lt;&gt;"",IF(BA252=1,"",FW251)&lt;&gt;"",FV252&lt;&gt;IF(BA252=1,"",FW251)),"фаза не как у автомата группы ("&amp;IF(BA252=1,"",FW251)&amp;")","")))</f>
        <v/>
      </c>
      <c r="II252" s="6">
        <f>IF(OR(CG252=0,DQ252=""),"",_xlfn.LET(_xlpm.t,IFERROR(_xlfn.XLOOKUP(DQ252,Каталог!$U$4:$U$500,Каталог!$G$4:$G$500),""),_xlpm.k,SEARCH("кА",_xlpm.t),IFERROR(--TRIM(RIGHT(SUBSTITUTE(MID(_xlpm.t,MAX(1,_xlpm.k-4),_xlpm.k-MAX(1,_xlpm.k-4))," ",REPT(" ",9)),5)),"")))</f>
        <v>6</v>
      </c>
      <c r="IJ252" t="str">
        <f>IF(OR(II252="",CG252=0),"",IF(_xlfn.XLOOKUP(A252,Щиты[Щит],Щиты[Iкз max на шинах, кА],"")="","",IF(II252&lt;_xlfn.XLOOKUP(A252,Щиты[Щит],Щиты[Iкз max на шинах, кА]),"Icu "&amp;II252&amp;" кА &lt; Iкз max","ok")))</f>
        <v/>
      </c>
      <c r="IK252" t="str">
        <f t="shared" si="527"/>
        <v/>
      </c>
      <c r="IL252" t="str">
        <f t="shared" si="528"/>
        <v>QFD28</v>
      </c>
      <c r="IM252" t="str">
        <f t="shared" si="529"/>
        <v>QFD28|кабель ВВГнг(А)-LS (3х2,5) → Розеточная группа, пом. 007A</v>
      </c>
      <c r="IN252" t="str" cm="1">
        <f t="array" ref="IN252">IF(IM252="","",_xlfn.LET(_xlpm.nd,_xlfn.TEXTSPLIT(IM252,"|"),IF(COLUMNS(_xlpm.nd)&gt;1,A252&amp;"¦"&amp;INDEX(_xlpm.nd,1)&amp;"¦"&amp;INDEX(_xlpm.nd,2),"")))</f>
        <v>ЩР-1¦QFD28¦кабель ВВГнг(А)-LS (3х2,5) → Розеточная группа, пом. 007A</v>
      </c>
      <c r="IO252" t="str">
        <f t="shared" si="530"/>
        <v>R.1.007A.1¦Розеточная группа, пом. 007A</v>
      </c>
      <c r="IP252" t="str" cm="1">
        <f t="array" ref="IP252">IF(IM252="","",_xlfn.LET(_xlpm.nd,_xlfn.TEXTSPLIT(IM252,"|"),IF(COLUMNS(_xlpm.nd)&gt;2,A252&amp;"¦"&amp;INDEX(_xlpm.nd,2)&amp;"¦"&amp;INDEX(_xlpm.nd,3),"")))</f>
        <v/>
      </c>
      <c r="IQ252" t="str">
        <f t="shared" si="531"/>
        <v/>
      </c>
      <c r="IR252" t="str" cm="1">
        <f t="array" ref="IR252">IF(IM252="","",_xlfn.LET(_xlpm.nd,_xlfn.TEXTSPLIT(IM252,"|"),IF(COLUMNS(_xlpm.nd)&gt;3,A252&amp;"¦"&amp;INDEX(_xlpm.nd,3)&amp;"¦"&amp;INDEX(_xlpm.nd,4),"")))</f>
        <v/>
      </c>
      <c r="IS252" t="str">
        <f t="shared" si="532"/>
        <v/>
      </c>
      <c r="IT252" t="str" cm="1">
        <f t="array" ref="IT252">IF(IM252="","",_xlfn.LET(_xlpm.nd,_xlfn.TEXTSPLIT(IM252,"|"),IF(COLUMNS(_xlpm.nd)&gt;4,A252&amp;"¦"&amp;INDEX(_xlpm.nd,4)&amp;"¦"&amp;INDEX(_xlpm.nd,5),"")))</f>
        <v/>
      </c>
      <c r="IU252" t="str">
        <f t="shared" si="533"/>
        <v/>
      </c>
      <c r="IV252" t="str" cm="1">
        <f t="array" ref="IV252">IF(IM252="","",_xlfn.LET(_xlpm.nd,_xlfn.TEXTSPLIT(IM252,"|"),IF(COLUMNS(_xlpm.nd)&gt;5,A252&amp;"¦"&amp;INDEX(_xlpm.nd,5)&amp;"¦"&amp;INDEX(_xlpm.nd,6),"")))</f>
        <v/>
      </c>
      <c r="IW252" t="str">
        <f t="shared" si="534"/>
        <v/>
      </c>
      <c r="IX252" t="str" cm="1">
        <f t="array" ref="IX252">IF(IM252="","",_xlfn.LET(_xlpm.nd,_xlfn.TEXTSPLIT(IM252,"|"),IF(COLUMNS(_xlpm.nd)&gt;6,A252&amp;"¦"&amp;INDEX(_xlpm.nd,6)&amp;"¦"&amp;INDEX(_xlpm.nd,7),"")))</f>
        <v/>
      </c>
      <c r="IY252" t="str">
        <f t="shared" si="535"/>
        <v/>
      </c>
      <c r="IZ252" t="str">
        <f t="shared" si="536"/>
        <v/>
      </c>
      <c r="JA252" t="str">
        <f t="shared" si="537"/>
        <v>QFD28</v>
      </c>
      <c r="JB252">
        <f t="shared" si="538"/>
        <v>0</v>
      </c>
      <c r="JC252">
        <f t="shared" si="539"/>
        <v>1</v>
      </c>
      <c r="JD252" t="str">
        <f t="shared" si="540"/>
        <v/>
      </c>
      <c r="JE252" t="str">
        <f t="shared" si="541"/>
        <v/>
      </c>
      <c r="JF252" t="str">
        <f t="shared" si="542"/>
        <v/>
      </c>
      <c r="JG252" t="str">
        <f t="shared" si="543"/>
        <v/>
      </c>
      <c r="JH252" t="str">
        <f>IF(B252="","",IFERROR(_xlfn.XLOOKUP(B252,Коды_код,Коды_уго),IFERROR(_xlfn.XLOOKUP(BC252,Коды_код,Коды_уго),IFERROR(_xlfn.XLOOKUP(LEFT(BC252,2),Коды_код,Коды_уго),""))))</f>
        <v>Розетка</v>
      </c>
      <c r="JI252" t="str">
        <f>IF(B252="","",IF(OR(JH252="",JH252=0),"BOX",IFERROR(IF(VLOOKUP(JH252,УГО_блоки,3,FALSE)&amp;""&lt;&gt;"",VLOOKUP(JH252,УГО_блоки,3,FALSE),VLOOKUP(JH252,УГО_блоки,2,FALSE)),JH252)))</f>
        <v>SOCKET</v>
      </c>
      <c r="JJ252">
        <f t="shared" si="544"/>
        <v>1</v>
      </c>
      <c r="JK252" t="str">
        <f>IF(DQ252="","",IF(COUNTIF(DQ$3:DQ252,DQ252)=1,MAX(JK$2:JK251)+1,""))</f>
        <v/>
      </c>
      <c r="JL252" t="str">
        <f>IF(DE252="","",IF(COUNTIF(DE$3:DE252,DE252)+COUNTIF(DF$2:DF251,DE252)+COUNTIF(DG$2:DG251,DE252)=1,MAX(JL$2:JN251)+1,""))</f>
        <v/>
      </c>
      <c r="JM252" t="str">
        <f>IF(DF252="","",IF(COUNTIF(DE$3:DE252,DF252)+COUNTIF(DF$3:DF252,DF252)+COUNTIF(DG$2:DG251,DF252)=1,MAX(JL$2:JN251,JL252)+1,""))</f>
        <v/>
      </c>
      <c r="JN252" t="str">
        <f>IF(DG252="","",IF(COUNTIF(DE$3:DE252,DG252)+COUNTIF(DF$3:DF252,DG252)+COUNTIF(DG$3:DG252,DG252)=1,MAX(JL$2:JN251,JL252,JM252)+1,""))</f>
        <v/>
      </c>
      <c r="JO252" t="str">
        <f t="shared" si="545"/>
        <v>3х2,5</v>
      </c>
      <c r="JP252" t="str">
        <f>IF(JO252="","",IF(COUNTIF(JO$3:JO252,JO252)=1,MAX(JP$2:JP251)+1,""))</f>
        <v/>
      </c>
      <c r="JQ252" t="str">
        <f>IF(HG252="","",COUNTIF(HG$3:HG252,"?*"))</f>
        <v/>
      </c>
      <c r="JR252" t="str">
        <f>IF(OR(HG252="",HI252=""),"",IF(COUNTIFS(HG$3:HG252,"?*",HI$3:HI252,HI252)=1,MAX(JR$2:JR251)+1,""))</f>
        <v/>
      </c>
      <c r="JS252">
        <f t="shared" si="546"/>
        <v>0</v>
      </c>
      <c r="JT252">
        <f>IF(B252="","",COUNTIF(B$3:B252,"?*"))</f>
        <v>250</v>
      </c>
      <c r="JU252">
        <f>IF(HL252&lt;&gt;1,0,_xlfn.LET(_xlpm.k,MAX(IFERROR(--_xlfn.XLOOKUP(B252,Коды_код,Коды_3L),0),IFERROR(--_xlfn.XLOOKUP(BC252,Коды_код,Коды_3L),0),IFERROR(--_xlfn.XLOOKUP(LEFT(BC252,2),Коды_код,Коды_3L),0)),IF(_xlpm.k&gt;0,_xlpm.k,IF(IFERROR(--LEFT(SUBSTITUTE(JO252,"x","х"),FIND("х",SUBSTITUTE(JO252,"x","х"))-1),3)&gt;3,Каталог!$S$9,1))))</f>
        <v>1</v>
      </c>
      <c r="JV252">
        <f t="shared" si="547"/>
        <v>0</v>
      </c>
      <c r="JW252" t="str">
        <f t="shared" si="548"/>
        <v>авто</v>
      </c>
      <c r="JX252">
        <f t="shared" si="549"/>
        <v>30</v>
      </c>
      <c r="JY252">
        <f t="shared" si="550"/>
        <v>1</v>
      </c>
      <c r="JZ252">
        <f t="shared" si="551"/>
        <v>1</v>
      </c>
    </row>
    <row r="253" spans="1:286" x14ac:dyDescent="0.3">
      <c r="A253" t="s">
        <v>757</v>
      </c>
      <c r="B253" t="s">
        <v>1559</v>
      </c>
      <c r="C253" t="str">
        <f>Линии[[#This Row],[_авто наименование]]</f>
        <v>Розеточная группа, пом. 008A</v>
      </c>
      <c r="D253">
        <v>2</v>
      </c>
      <c r="E253">
        <v>0.12</v>
      </c>
      <c r="G253" t="str">
        <f>Линии[[#This Row],[_авто автомат]]</f>
        <v>2P С16А 30мА</v>
      </c>
      <c r="H253" t="str">
        <f>Линии[[#This Row],[_авто управление]]</f>
        <v/>
      </c>
      <c r="I253" t="str">
        <f>Линии[[#This Row],[_авто аппараты]]</f>
        <v/>
      </c>
      <c r="J253">
        <v>2.5</v>
      </c>
      <c r="K253">
        <v>42</v>
      </c>
      <c r="L253" t="str">
        <f>Линии[[#This Row],[_авто фаза]]</f>
        <v>L3</v>
      </c>
      <c r="M253" t="s">
        <v>484</v>
      </c>
      <c r="N253" t="str">
        <f t="shared" si="414"/>
        <v/>
      </c>
      <c r="O253" s="6" cm="1">
        <f t="array" ref="O253">IF(B253="","",IF(BH253&lt;&gt;"",IFERROR(_xlfn.XLOOKUP(BH253,Щиты[Щит],Щиты[Iр, А]),""),IF(BP253=1,IF(OR(N(_xlfn.XLOOKUP(A253,Щиты[Щит],Щиты[Вводов],1))&lt;=1,LOWER(TRIM(_xlfn.XLOOKUP(A253,Щиты[Щит],Щиты[АВР],"")&amp;""))="да"),IFERROR(_xlfn.XLOOKUP(A253,Щиты[Щит],Щиты[Iр, А]),""),IFERROR(N(BS253)*_xlfn.XLOOKUP(A253,Щиты[Щит],Щиты[Кс итог])/(SQRT(3)*Uн_лин*_xlfn.XLOOKUP(A253,Щиты[Щит],Щиты[cos φ])),"")),IF(BV253=1,IFERROR(BS253*1000/BU253,""),IFERROR(_xlfn.IFS(BX253=1,BS253/((Uн_лин/SQRT(3))*CE253),BX253=3,BS253/(SQRT(3)*Uн_лин*CE253)),"")))))</f>
        <v>0.54696341291648753</v>
      </c>
      <c r="P253" s="7">
        <f>IF(B253="","",IFERROR(IF(VLOOKUP(BC253,Потребители_обозначение,4,FALSE)=1,VLOOKUP(BC253,Потребители_обозначение,3,FALSE)*(MAX(1,N(D253))*2-1)+EI253+VLOOKUP(BE253,Этаж_обозначение,3,FALSE)+VLOOKUP(BE253,Этаж_обозначение,4,FALSE),VLOOKUP(BC253,Потребители_обозначение,3,FALSE)*(MAX(1,N(D253))*2-1)+EI253),EI253))</f>
        <v>51</v>
      </c>
      <c r="Q253" s="6">
        <f t="shared" si="415"/>
        <v>1.4</v>
      </c>
      <c r="R253" t="str">
        <f t="shared" si="416"/>
        <v>ВВГнг(А)-LS (3х2,5)</v>
      </c>
      <c r="S253" t="str">
        <f>IF(BM253="","",IF(BN253="вводной узел","узел ","")&amp;"л."&amp;(INT((BM253-1)/Столбцов_на_лист)+1)&amp;" / "&amp;(MOD(BM253-1,Столбцов_на_лист)+1))</f>
        <v>л.3 / 7</v>
      </c>
      <c r="T253" s="119">
        <f t="shared" si="417"/>
        <v>0.7</v>
      </c>
      <c r="U253" s="7" t="str">
        <f>IF(OR(CG253=0,N(BV253)+N(IB253)=0),"",ROUNDUP(Запас_БП*(N(HY253)+N(HZ253)),0))</f>
        <v/>
      </c>
      <c r="V253" s="119" t="str">
        <f t="shared" si="418"/>
        <v/>
      </c>
      <c r="W253" s="7" t="str">
        <f>IFERROR(IF(OR(B253="",BP253=1,BV253=1,NOT(ISNUMBER(EN253)),N(DT253)=0),"",MAX(0,ROUNDDOWN((c_min*(Uн_лин*1000/SQRT(3))/(HT253*N(DT253))-_xlfn.XLOOKUP(A253,Щиты[Щит],Щиты[Zпетли на шинах, Ом]))*EN253/(2*ρкз_Cu),0))),"")</f>
        <v/>
      </c>
      <c r="Y253">
        <f>Линии[[#This Row],[_авто утечка]]</f>
        <v>30</v>
      </c>
      <c r="Z253">
        <v>1</v>
      </c>
      <c r="AA253">
        <v>230</v>
      </c>
      <c r="AB253" t="s">
        <v>562</v>
      </c>
      <c r="AG253" t="s">
        <v>810</v>
      </c>
      <c r="AI253" t="s">
        <v>561</v>
      </c>
      <c r="AK253" t="str">
        <f>Линии[[#This Row],[_авто модуль]]</f>
        <v/>
      </c>
      <c r="AM253">
        <v>41</v>
      </c>
      <c r="AN253" t="s">
        <v>11</v>
      </c>
      <c r="AO253">
        <v>3</v>
      </c>
      <c r="AQ253">
        <v>20</v>
      </c>
      <c r="AR253">
        <v>26</v>
      </c>
      <c r="AS253">
        <v>5</v>
      </c>
      <c r="BA253" cm="1">
        <f t="array" ref="BA253">ROW()-ROW(Линии[#Headers])</f>
        <v>251</v>
      </c>
      <c r="BC253" s="6" t="str">
        <f t="shared" si="419"/>
        <v>R</v>
      </c>
      <c r="BD253" t="str">
        <f t="shared" si="420"/>
        <v>1.008A.1</v>
      </c>
      <c r="BE253" t="str">
        <f t="shared" si="421"/>
        <v>1</v>
      </c>
      <c r="BF253" t="str">
        <f t="shared" si="422"/>
        <v>008A.1</v>
      </c>
      <c r="BG253" t="str">
        <f t="shared" si="423"/>
        <v>008A</v>
      </c>
      <c r="BH253" t="str">
        <f>IF(X253&lt;&gt;"",X253,IF(AND(B253&lt;&gt;"",B253&lt;&gt;A253,ISNUMBER(_xlfn.XMATCH(B253,Щиты[Щит]))),B253,""))</f>
        <v/>
      </c>
      <c r="BI253" t="str" cm="1">
        <f t="array" ref="BI253">IF(B253="","",IF(BH253&lt;&gt;"","Щит "&amp;BH253,_xlfn.LET(_xlpm.nm,IFERROR(_xlfn.XLOOKUP(BC253,Коды_код,Коды_имя)&amp;"",""),_xlpm.md,IFERROR(N(_xlfn.XLOOKUP(BC253,Коды_код,Коды_режим)),1),_xlpm.ex,IF(Имя_режим="по экспликации",IFERROR(_xlfn.XLOOKUP(BE253&amp;"|"&amp;BG253,Экспликация[Этаж]&amp;"|"&amp;Экспликация[Помещение],Экспликация[Название])&amp;"",""),""),_xlpm.rm,IF(BG253="","",IF(_xlpm.ex&lt;&gt;"",". "&amp;_xlpm.ex&amp;IF(Имя_пом="нет"," ("&amp;BG253&amp;")"," (пом. "&amp;BG253&amp;")"),IF(Имя_пом="нет"," ",", пом. ")&amp;BG253)),IF(_xlpm.nm="","",IF(_xlpm.md=2,_xlpm.nm&amp;" шлейф "&amp;BE253,_xlpm.nm&amp;_xlpm.rm)))))</f>
        <v>Розеточная группа, пом. 008A</v>
      </c>
      <c r="BJ253" t="str">
        <f t="shared" si="424"/>
        <v>Розеточная группа, пом. 008A</v>
      </c>
      <c r="BK253">
        <f>IFERROR(_xlfn.XMATCH(A253,Щиты[Щит]),0)</f>
        <v>10</v>
      </c>
      <c r="BL253">
        <f>_xlfn.LET(_xlpm.k,IFERROR(_xlfn.XLOOKUP(A253,Щиты[Щит],Щиты[Мест под вводной узел]),""),IF(_xlpm.k="",Столбцов_на_лист,N(_xlpm.k)))</f>
        <v>8</v>
      </c>
      <c r="BM253">
        <f t="shared" si="425"/>
        <v>41</v>
      </c>
      <c r="BN253" t="str">
        <f t="shared" si="426"/>
        <v>линии</v>
      </c>
      <c r="BO253" s="6">
        <f>IFERROR(N(_xlfn.XLOOKUP(BC253,Коды_код,Коды_квт)),0)</f>
        <v>0</v>
      </c>
      <c r="BP253">
        <f t="shared" si="427"/>
        <v>0</v>
      </c>
      <c r="BQ253" t="str">
        <f>IF(B253="","",IF(BH253&lt;&gt;"",IFERROR(_xlfn.XLOOKUP(BH253,Щиты[Щит],Щиты[Руст, кВт]),0),IF(BP253=1,IF(OR(N(_xlfn.XLOOKUP(A253,Щиты[Щит],Щиты[Вводов],1))&lt;=1,LOWER(TRIM(_xlfn.XLOOKUP(A253,Щиты[Щит],Щиты[АВР],"")&amp;""))="да"),IFERROR(_xlfn.XLOOKUP(A253,Щиты[Щит],Щиты[Руст, кВт]),0),SUMIFS(Линии[_Р для вводов],Линии[Щит],A253,Линии[Источник для режимов],GF253)),IF(BO253&gt;0,ROUND(BO253*MAX(1,N(D253)),3),""))))</f>
        <v/>
      </c>
      <c r="BR253">
        <f t="shared" si="428"/>
        <v>0.12</v>
      </c>
      <c r="BS253" s="6">
        <f>IF(B253="","",IF(BH253&lt;&gt;"",IFERROR(_xlfn.XLOOKUP(BH253,Щиты[Щит],Щиты[Руст, кВт]),0),N(BR253)))</f>
        <v>0.12</v>
      </c>
      <c r="BT253" t="str">
        <f>IF(B253="","",IFERROR(IF(VLOOKUP(BC253,Потребители_обозначение,8,FALSE)=0,"",VLOOKUP(BC253,Потребители_обозначение,8,FALSE)),""))</f>
        <v/>
      </c>
      <c r="BU253">
        <f t="shared" si="429"/>
        <v>230</v>
      </c>
      <c r="BV253">
        <f t="shared" si="430"/>
        <v>0</v>
      </c>
      <c r="BW253">
        <f>IF(B253="","",IF(BH253&lt;&gt;"",3,IFERROR(IF(N(VLOOKUP(BC253,Потребители_обозначение,9,FALSE))=0,1,VLOOKUP(BC253,Потребители_обозначение,9,FALSE)),1)))</f>
        <v>1</v>
      </c>
      <c r="BX253">
        <f t="shared" si="431"/>
        <v>1</v>
      </c>
      <c r="BY253" t="str">
        <f>IF(B253="","",_xlfn.LET(_xlpm.bc,IFERROR(IF(VLOOKUP(BC253,Потребители_обозначение,6,FALSE)=0,"",VLOOKUP(BC253,Потребители_обозначение,6,FALSE)&amp;""),""),IF(AND(GA253="да",OR(_xlpm.bc="",_xlpm.bc="мс")),Марка_пож,IF(AND(_xlpm.bc="",BH253&lt;&gt;""),"мс",_xlpm.bc))))</f>
        <v/>
      </c>
      <c r="BZ253" t="str">
        <f t="shared" si="432"/>
        <v>мс</v>
      </c>
      <c r="CA253">
        <f>IF(B253="","",_xlfn.LET(_xlpm.cc,IFERROR(N(VLOOKUP(BC253,Потребители_обозначение,7,FALSE)),0),IF(_xlpm.cc&gt;0,_xlpm.cc,IF(BZ253="","",IF(BV253=1,2,IF(N(BX253)=3,5,3))))))</f>
        <v>3</v>
      </c>
      <c r="CB253">
        <f t="shared" si="433"/>
        <v>3</v>
      </c>
      <c r="CC253">
        <f>IFERROR(N(VLOOKUP(BC253,Потребители_обозначение,10,FALSE)),0)</f>
        <v>0</v>
      </c>
      <c r="CD253">
        <f>IFERROR(VLOOKUP(BC253,Потребители_обозначение,5,FALSE),0)</f>
        <v>1</v>
      </c>
      <c r="CE253" s="6" cm="1">
        <f t="array" ref="CE253">IF(B253="","",IF(BH253&lt;&gt;"",IFERROR(_xlfn.XLOOKUP(BH253,Щиты[Щит],Щиты[cos φ]),0.95),IF(BP253=1,IFERROR(_xlfn.XLOOKUP(A253,Щиты[Щит],Щиты[cos φ]),0.95),IF(ISNUMBER(AD253),AD253,IFERROR(IF(CD253=2,_xlfn.IFS(BX253=3,VLOOKUP(BS253,Справочная_двигатели,8,FALSE),BX253=1,VLOOKUP(BS253,Справочная_двигатели,10,TRUE)),IF(AND(Методика="нормы 2026",FG253="Сил"),0.8,0.95)),0.95)))))</f>
        <v>0.95</v>
      </c>
      <c r="CF253">
        <f t="shared" si="434"/>
        <v>0</v>
      </c>
      <c r="CG253">
        <f t="shared" si="435"/>
        <v>1</v>
      </c>
      <c r="CH253">
        <f t="shared" si="436"/>
        <v>0</v>
      </c>
      <c r="CI253">
        <f>IF(B253="","",IF(BV253=1,IFERROR(BS253/((Uн_лин/SQRT(3))*MAX(0.5,N(CE253))),0),N(O253)))</f>
        <v>0.54696341291648753</v>
      </c>
      <c r="CJ253">
        <f t="shared" si="437"/>
        <v>0</v>
      </c>
      <c r="CK253">
        <f t="shared" si="438"/>
        <v>0</v>
      </c>
      <c r="CL253">
        <f t="shared" si="439"/>
        <v>0</v>
      </c>
      <c r="CM253">
        <f t="shared" si="440"/>
        <v>0</v>
      </c>
      <c r="CN253">
        <f t="shared" si="441"/>
        <v>0</v>
      </c>
      <c r="CO253">
        <f>IF(BC253="",0,_xlfn.LET(_xlpm.v,IFERROR(_xlfn.XLOOKUP(B253,Коды_код,Коды_мА),IFERROR(_xlfn.XLOOKUP(BC253,Коды_код,Коды_мА),IFERROR(_xlfn.XLOOKUP(LEFT(BC253,2),Коды_код,Коды_мА),""))),IF(_xlpm.v="да",30,IF(ISNUMBER(_xlpm.v),_xlpm.v,0))))</f>
        <v>30</v>
      </c>
      <c r="CP253">
        <f t="shared" si="442"/>
        <v>30</v>
      </c>
      <c r="CQ253" t="str">
        <f>_xlfn.LET(_xlpm.k,IFERROR(_xlfn.XLOOKUP(BC253,Коды_код,Коды_утечка)&amp;"",""),IF(_xlpm.k="","дифавтомат",_xlpm.k))</f>
        <v>дифавтомат</v>
      </c>
      <c r="CR253" t="str" cm="1">
        <f t="array" ref="CR253">IF(CG253=0,"",_xlfn.LET(_xlpm.sg,TRIM(_xlfn.TEXTSPLIT(DD253&amp;"",";")),_xlpm.f_,_xlfn._xlws.FILTER(_xlpm.sg,LEFT(_xlpm.sg,3)="УЗО",""),IFERROR(INDEX(_xlpm.f_,1)&amp;"","")))</f>
        <v/>
      </c>
      <c r="CS253" t="str">
        <f t="shared" si="443"/>
        <v/>
      </c>
      <c r="CT253" s="6" t="str" cm="1">
        <f t="array" ref="CT253">IF(CR253="","",_xlfn.LET(_xlpm.tk,_xlfn.TEXTSPLIT(UPPER(CR253)," ",,TRUE),_xlpm.a_,_xlfn._xlws.FILTER(_xlpm.tk,ISNUMBER(--LEFT(_xlpm.tk,1))*((ISNUMBER(SEARCH("А",_xlpm.tk))+ISNUMBER(SEARCH("A",_xlpm.tk)))&gt;0)*NOT(ISNUMBER(SEARCH("МА",_xlpm.tk)))*NOT(ISNUMBER(SEARCH("MA",_xlpm.tk))),""),IFERROR(--SUBSTITUTE(SUBSTITUTE(INDEX(_xlpm.a_,1),"А",""),"A",""),"")))</f>
        <v/>
      </c>
      <c r="CU253" t="str" cm="1">
        <f t="array" ref="CU253">IF(CR253="","",_xlfn.LET(_xlpm.tk,_xlfn.TEXTSPLIT(UPPER(CR253)," ",,TRUE),_xlpm.a_,_xlfn._xlws.FILTER(_xlpm.tk,ISNUMBER(--LEFT(_xlpm.tk,1))*((ISNUMBER(SEARCH("МА",_xlpm.tk))+ISNUMBER(SEARCH("MA",_xlpm.tk)))&gt;0),""),IFERROR(--SUBSTITUTE(SUBSTITUTE(INDEX(_xlpm.a_,1),"МА",""),"MA",""),30)))</f>
        <v/>
      </c>
      <c r="CV253" t="str">
        <f>IF(CS253="","",IFERROR(_xlfn.XLOOKUP(CS253,Линии[_n],Линии[_УЗО, мА]),30))</f>
        <v/>
      </c>
      <c r="CW253">
        <f>IF(CS253="",0,IF(ISNUMBER(SEARCH("4P",IFERROR(_xlfn.XLOOKUP(CS253,Линии[_n],Линии[_УЗО строки])&amp;"",""))),0,1))</f>
        <v>0</v>
      </c>
      <c r="CX253" t="str">
        <f>IF(AND(CS253&lt;&gt;"",CS253=BA253),SUMIFS(Линии[_ток на 230 В],Линии[_блок УЗО],BA253,Линии[Щит],A253),"")</f>
        <v/>
      </c>
      <c r="CY253" t="str">
        <f>IF(AND(CS253&lt;&gt;"",CS253=BA253),SUMIFS(Линии[_ток утечки линии, мА],Линии[_блок УЗО],BA253,Линии[Щит],A253),"")</f>
        <v/>
      </c>
      <c r="CZ253">
        <f t="shared" si="444"/>
        <v>30</v>
      </c>
      <c r="DA253">
        <f t="shared" si="445"/>
        <v>30</v>
      </c>
      <c r="DB253">
        <f>IF(B253="",0,IFERROR(--_xlfn.XLOOKUP(B253,Коды_код,Коды_минавт),IFERROR(--_xlfn.XLOOKUP(BC253,Коды_код,Коды_минавт),IFERROR(--_xlfn.XLOOKUP(LEFT(BC253,2),Коды_код,Коды_минавт),0))))</f>
        <v>16</v>
      </c>
      <c r="DC253" t="str">
        <f>IF(B253="","",IFERROR(_xlfn.XLOOKUP(BC253,Коды_код,Коды_апп)&amp;"",""))</f>
        <v/>
      </c>
      <c r="DD253" t="str">
        <f t="shared" si="446"/>
        <v/>
      </c>
      <c r="DE253" t="str" cm="1">
        <f t="array" ref="DE253">IF(TRIM(DD253&amp;"")="","",IFERROR(TRIM(INDEX(_xlfn.TEXTSPLIT(DD253&amp;";;;",";"),1)),""))</f>
        <v/>
      </c>
      <c r="DF253" t="str" cm="1">
        <f t="array" ref="DF253">IF(TRIM(DD253&amp;"")="","",IFERROR(TRIM(INDEX(_xlfn.TEXTSPLIT(DD253&amp;";;;",";"),2)),""))</f>
        <v/>
      </c>
      <c r="DG253" t="str" cm="1">
        <f t="array" ref="DG253">IF(TRIM(DD253&amp;"")="","",IFERROR(TRIM(INDEX(_xlfn.TEXTSPLIT(DD253&amp;";;;",";"),3)),""))</f>
        <v/>
      </c>
      <c r="DH253">
        <f t="shared" si="447"/>
        <v>0</v>
      </c>
      <c r="DI253" t="str">
        <f>IF(B253="","",_xlfn.LET(_xlpm.t,LOWER(AZ253&amp;""),IF(ISNUMBER(SEARCH("dim",_xlpm.t)),"DIM",IF(ISNUMBER(SEARCH("dali",_xlpm.t)),"DALI",IF(OR(ISNUMBER(SEARCH("relay",_xlpm.t)),ISNUMBER(SEARCH("реле",_xlpm.t))),"Relay",IF(ISNUMBER(SEARCH("кнопк",_xlpm.t)),"",IFERROR(_xlfn.XLOOKUP(BC253,Коды_код,Коды_упр)&amp;"","")))))))</f>
        <v/>
      </c>
      <c r="DJ253" t="str">
        <f t="shared" si="448"/>
        <v/>
      </c>
      <c r="DK253">
        <f>IF(B253="","",_xlfn.LET(_xlpm.ig,IF(N(CX253)&gt;0,N(CX253),N(CI253)+IF(AJ253="вручную",0,N(CJ253))),_xlpm.n0,IFERROR(VLOOKUP(_xlpm.ig,Автомат_номиналы,2,TRUE),0),_xlpm.mn,MAX(DB253,IF(AJ253="вручную",0,N(CM253))),MAX(_xlpm.n0,_xlpm.mn,IF(DH253=1,Мин_автомат_БП,0))))</f>
        <v>16</v>
      </c>
      <c r="DL253">
        <f t="shared" si="449"/>
        <v>1</v>
      </c>
      <c r="DM253" t="str">
        <f t="shared" si="450"/>
        <v>2P</v>
      </c>
      <c r="DN253" t="str">
        <f>_xlfn.LET(_xlpm.cc,UPPER(TRIM(IFERROR(_xlfn.XLOOKUP(BC253,Коды_код,Коды_хар)&amp;"",""))),IF(OR(_xlpm.cc="B",_xlpm.cc="В"),"B",IF(_xlpm.cc="D","D","С")))</f>
        <v>С</v>
      </c>
      <c r="DO253" t="str">
        <f t="shared" si="451"/>
        <v>2P С16А 30мА</v>
      </c>
      <c r="DP253" t="str">
        <f t="shared" si="452"/>
        <v>2P С16А 30мА</v>
      </c>
      <c r="DQ253" t="str">
        <f t="shared" si="453"/>
        <v>2P С16А 30мА</v>
      </c>
      <c r="DR253" cm="1">
        <f t="array" ref="DR253">IF(DQ253="","",_xlfn.LET(_xlpm.t,SUBSTITUTE(SUBSTITUTE(SUBSTITUTE(UPPER(DQ253),"С","C"),"А","A"),"В","B"),_xlpm.tk,_xlfn.TEXTSPLIT(_xlpm.t," "),_xlpm.f,_xlfn._xlws.FILTER(_xlpm.tk,ISNUMBER(--MID(_xlpm.tk,2,1))*ISNUMBER(SEARCH(LEFT(_xlpm.tk,1)&amp;"#","B#C#D#"))*(LEN(_xlpm.tk)&gt;1),""),_xlpm.x,INDEX(_xlpm.f,1),IFERROR(--SUBSTITUTE(MID(_xlpm.x,2,9),"A",""),IFERROR(--SUBSTITUTE(INDEX(_xlfn._xlws.FILTER(_xlpm.tk,ISNUMBER(--SUBSTITUTE(_xlpm.tk,"A","")),""),1),"A",""),""))))</f>
        <v>16</v>
      </c>
      <c r="DS253" t="str">
        <f t="shared" si="454"/>
        <v>ok</v>
      </c>
      <c r="DT253">
        <f t="shared" si="455"/>
        <v>16</v>
      </c>
      <c r="DU253" t="str">
        <f t="shared" si="456"/>
        <v>2P С16А 30мА</v>
      </c>
      <c r="DV253">
        <f t="shared" si="457"/>
        <v>30</v>
      </c>
      <c r="DW253">
        <f t="shared" si="458"/>
        <v>1</v>
      </c>
      <c r="DX253">
        <f t="shared" si="459"/>
        <v>0</v>
      </c>
      <c r="DY253">
        <f t="shared" si="460"/>
        <v>0.54696341291648753</v>
      </c>
      <c r="DZ253">
        <f t="shared" si="461"/>
        <v>1</v>
      </c>
      <c r="EA253">
        <f>IF(ISNUMBER(AP253),AP253,К_прокл)</f>
        <v>1</v>
      </c>
      <c r="EB253">
        <f t="shared" si="462"/>
        <v>2</v>
      </c>
      <c r="EC253">
        <f>IFERROR(N(VLOOKUP(BZ253,Кабель_обозначение,3,FALSE)),1)</f>
        <v>1</v>
      </c>
      <c r="ED253">
        <f>IFERROR(N(_xlfn.XLOOKUP(A253,Щиты[Щит],Щиты[ΔU до шин, %])),0)</f>
        <v>1.19</v>
      </c>
      <c r="EE253" t="str">
        <f>IFERROR(_xlfn.XLOOKUP(A253,Щиты[Щит],Щиты[Zпетли на шинах, Ом]),"")</f>
        <v/>
      </c>
      <c r="EF253">
        <f>IFERROR(N(_xlfn.XLOOKUP(A253,Щиты[Щит],Щиты[ΔU до шин (подбор), %])),0)</f>
        <v>1.19</v>
      </c>
      <c r="EG253" t="str">
        <f>IFERROR(_xlfn.XLOOKUP(A253,Щиты[Щит],Щиты[Zпетли на шинах (подбор), Ом]),"")</f>
        <v/>
      </c>
      <c r="EH253" t="str">
        <f t="shared" si="463"/>
        <v/>
      </c>
      <c r="EI253">
        <f t="shared" si="464"/>
        <v>42</v>
      </c>
      <c r="EJ253">
        <f t="shared" si="465"/>
        <v>2</v>
      </c>
      <c r="EK253">
        <f t="shared" si="466"/>
        <v>0.31</v>
      </c>
      <c r="EL253" s="6">
        <f>IF(B253="","",IF(BV253=1,dU_LED,IF(IFERROR(_xlfn.XLOOKUP(BC253,Коды_код,Коды_уго),"")="Светильник",3,4)+IF(Методика="нормы 2026",MIN(0.5,MAX(0,N(P253)-100)*0.005),0)))</f>
        <v>4</v>
      </c>
      <c r="EM253" cm="1">
        <f t="array" ref="EM253">IF(OR(B253="",BZ253="",EC253&lt;&gt;1),"",_xlfn.LET(_xlpm.sz,Iдоп_S,_xlpm.t_,CHOOSE(EB253,Iдоп_1ж,Iдоп_2ж,Iдоп_3ж)*DZ253*EA253,_xlpm.dcx,BV253=1,_xlpm.inn,IF(_xlpm.dcx,N(O253),N(DT253)),_xlpm.smin,MAX(1.5,CC253),_xlpm.L_,N(P253)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253)/N(BU253)*100,999),IFERROR(N(EJ253)*(_xlpm.rho*_xlpm.L_/_xlpm.sz*N(CE253)+_xlpm.xx*_xlpm.L_*N(EK253)/1000)*N(O253)/((Uн_лин/SQRT(3))*1000)*100,999)),_xlpm.kz,IF(OR(_xlpm.dcx,DW253=1,NOT(ISNUMBER(EG253)),_xlpm.L_=0,_xlpm.inn=0),1,IFERROR(--(c_min*(Uн_лин*1000/SQRT(3))/(EG253+2*ρкз_Cu*_xlpm.L_/_xlpm.sz)&gt;=HT253*_xlpm.inn),0)),_xlpm.ok,IFERROR((_xlpm.sz&gt;=_xlpm.smin)*(_xlpm.t_&gt;=_xlpm.inn)*IF(_xlpm.L_&gt;0,(_xlpm.du_+IF(_xlpm.dcx,0,EF253)&lt;=EL253+0.00001),1)*_xlpm.kz,0),_xlpm.r_,_xlfn._xlws.FILTER(_xlpm.sz,_xlpm.ok,"не подобрано"),INDEX(_xlpm.r_,1)))</f>
        <v>1.5</v>
      </c>
      <c r="EN253">
        <f t="shared" si="467"/>
        <v>2.5</v>
      </c>
      <c r="EO253" cm="1">
        <f t="array" ref="EO253">IF(OR(B253="",BZ253="",EC253&lt;&gt;1),"",_xlfn.LET(_xlpm.sz,Iдоп_S,_xlpm.t_,CHOOSE(EB253,Iдоп_1ж,Iдоп_2ж,Iдоп_3ж)*DZ253*EA253,_xlpm.ok,IFERROR((_xlpm.sz&gt;=MAX(1.5,CC253))*(_xlpm.t_&gt;=N(DT253)),0),_xlpm.r_,_xlfn._xlws.FILTER(_xlpm.sz,_xlpm.ok,""),INDEX(_xlpm.r_,1)))</f>
        <v>1.5</v>
      </c>
      <c r="EP253" s="6" cm="1">
        <f t="array" ref="EP253">IFERROR(ROUNDUP(N(EJ253)*(_xlfn.XLOOKUP(EO253,INDEX(Кабель_сопротивление,0,1),INDEX(Кабель_сопротивление,0,3))*N(P253)/EO253*N(CE253)+_xlfn.XLOOKUP(EO253,INDEX(Кабель_сопротивление,0,1),INDEX(Кабель_сопротивление,0,2))*N(P253)*N(EK253)/1000)*N(O253)/((Uн_лин/SQRT(3))*1000)*100,2),"")</f>
        <v>0.35000000000000003</v>
      </c>
      <c r="EQ253">
        <f>IFERROR(2*ρкз_Cu*N(P253)/EO253,"")</f>
        <v>1.7884</v>
      </c>
      <c r="ER253">
        <f>IFERROR(VLOOKUP(EN253,Кабель_сопротивление,3,FALSE),"")</f>
        <v>2.2499999999999999E-2</v>
      </c>
      <c r="ES253">
        <f>IFERROR(VLOOKUP(EN253,Кабель_сопротивление,2,FALSE),"")</f>
        <v>0.1</v>
      </c>
      <c r="ET253">
        <f t="shared" si="468"/>
        <v>26</v>
      </c>
      <c r="EU253">
        <f t="shared" si="469"/>
        <v>5</v>
      </c>
      <c r="EV253">
        <f t="shared" si="470"/>
        <v>0.47873629071611062</v>
      </c>
      <c r="EW253" s="6">
        <f>IFERROR(ROUNDUP(EV253/IF(BV253=1,BU253,(Uн_лин/SQRT(3))*1000)*100,2),"")</f>
        <v>0.21000000000000002</v>
      </c>
      <c r="EX253" t="str">
        <f>IFERROR(VLOOKUP(BZ253,Кабель_обозначение,2,FALSE),"")</f>
        <v>ВВГнг(А)-LS</v>
      </c>
      <c r="EY253" t="str">
        <f t="shared" si="471"/>
        <v>ВВГнг(А)-LS (3х2,5)</v>
      </c>
      <c r="EZ253" t="str">
        <f t="shared" si="472"/>
        <v>ВВГнг(А)-LS (3х2,5)
L=51-0,21%</v>
      </c>
      <c r="FA253">
        <f>IFERROR(2*ρкз_Cu*P253/EN253,"")</f>
        <v>1.07304</v>
      </c>
      <c r="FB253">
        <f t="shared" si="473"/>
        <v>0.35700000000000004</v>
      </c>
      <c r="FC253" s="6" t="str">
        <f>IFERROR(IF(OR(B253="",BV253=1,NOT(ISNUMBER(EN253)),N(P253)=0),"",_xlfn.XLOOKUP(A253,Щиты[Щит],Щиты[Zпетли на шинах, Ом])+FA253),"")</f>
        <v/>
      </c>
      <c r="FD253" s="6" t="str">
        <f>IF(ISNUMBER(FC253),c_min*(Uн_лин*1000/SQRT(3))/FC253,"")</f>
        <v/>
      </c>
      <c r="FE253" s="6" t="str">
        <f>IFERROR(IF(OR(B253="",NOT(ISNUMBER(EN253))),"",1.05*(Uн_лин*1000/SQRT(3))/(_xlfn.XLOOKUP(A253,Щиты[Щит],Щиты[Zmax на шинах, Ом])+FB253)/1000),"")</f>
        <v/>
      </c>
      <c r="FF253" s="6" t="str">
        <f>IF(B253="","",IF(ISNUMBER(AC253),"Сил",IF(IFERROR(_xlfn.XLOOKUP(BC253,Коды_код,Коды_группа)&amp;"","")="","Быт",_xlfn.XLOOKUP(BC253,Коды_код,Коды_группа)&amp;"")))</f>
        <v>Быт</v>
      </c>
      <c r="FG253" s="6" t="str">
        <f t="shared" si="474"/>
        <v>Быт</v>
      </c>
      <c r="FH253" s="6">
        <f>IF(FG253="Щит","щит",IF(FG253="","",IF(FG253="Быт",IFERROR(_xlfn.XLOOKUP(A253,Щиты[Щит],Щиты[Кс быт]),1),IF(FG253="Сил",IF(ISNUMBER(AC253),AC253,IF(Методика="нормы 2026",IFERROR(_xlfn.XLOOKUP(A253,Щиты[Щит],Щиты[Кс силовых (табл. 7.5)]),1),1)),IF(OR(FG253="Пост",FG253="Отоп"),1,IF(FG253="ВНГ",0.7,0))))))</f>
        <v>0.57830000000000004</v>
      </c>
      <c r="FI253">
        <f>IF(FG253="","",IF(AND(BP253=1,TRIM(AE253&amp;"")=""),IF(COUNTIFS(Линии[Щит],A253,Линии[Секция (1/2/3)],"&gt;=2")&gt;0,MIN(3,MAX(1,IFERROR(--BD253,1))),1),IFERROR(MIN(3,MAX(1,INT(--AE253))),1)))</f>
        <v>1</v>
      </c>
      <c r="FJ253">
        <f t="shared" si="475"/>
        <v>0.12</v>
      </c>
      <c r="FK253">
        <f t="shared" si="476"/>
        <v>0.12</v>
      </c>
      <c r="FL253">
        <f t="shared" si="477"/>
        <v>0</v>
      </c>
      <c r="FM253">
        <f t="shared" si="478"/>
        <v>0</v>
      </c>
      <c r="FN253">
        <f t="shared" si="479"/>
        <v>0</v>
      </c>
      <c r="FO253">
        <f t="shared" si="480"/>
        <v>0</v>
      </c>
      <c r="FP253">
        <f t="shared" si="481"/>
        <v>0.12</v>
      </c>
      <c r="FQ253">
        <f t="shared" si="482"/>
        <v>0.12</v>
      </c>
      <c r="FR253">
        <f t="shared" si="483"/>
        <v>0.11399999999999999</v>
      </c>
      <c r="FS253">
        <f>IF(CG253=1,IF(AND(CH253=1,CW253=1),0,IF(AND(CS253&lt;&gt;"",CS253=BA253,CW253=1),SUMIFS(Линии[_Р линии, кВт],Линии[_блок УЗО],BA253,Линии[Щит],A253),N(BS253)+IF(AJ253="вручную",0,N(CK253)))),0)</f>
        <v>0.12</v>
      </c>
      <c r="FT253" t="str">
        <f t="shared" si="484"/>
        <v/>
      </c>
      <c r="FU253" t="str">
        <f>IF(B253="","",IF(CG253=0,IF(BA253=1,"",FW252),IF(AND(CH253=1,CW253=1,CS253&lt;&gt;""),IFERROR(_xlfn.XLOOKUP(CS253,Линии[_n],Линии[_фаза итог]),"L1"),IF(OR(N(DL253)&gt;=3,N(BX253)&gt;=3),"L1,L2,L3",IFERROR(_xlfn.TEXTBEFORE(_xlfn.TEXTAFTER(_xlfn.XLOOKUP(A253,Щиты[Щит],Щиты[_фазы авто]),";"&amp;BA253&amp;":"),";"),"L1")))))</f>
        <v>L3</v>
      </c>
      <c r="FV253" t="str">
        <f t="shared" si="485"/>
        <v>L3</v>
      </c>
      <c r="FW253" t="str">
        <f t="shared" si="486"/>
        <v>L3</v>
      </c>
      <c r="FX253" cm="1">
        <f t="array" ref="FX253">IFERROR(IF(CD253=2,_xlfn.IFS(BX253=3,VLOOKUP(BS253,Справочная_двигатели,3,FALSE),BX253=1,VLOOKUP(BS253,Справочная_двигатели,5,TRUE)),0),0)</f>
        <v>0</v>
      </c>
      <c r="FY253">
        <f>IFERROR(IF(CD253=3,VLOOKUP(BS253,Справочная_ЛЭД,2,TRUE),0),0)</f>
        <v>0</v>
      </c>
      <c r="FZ253" s="6">
        <f t="shared" si="487"/>
        <v>0</v>
      </c>
      <c r="GA253" t="str">
        <f>IF(B253="","",IF(TRIM(AH253&amp;"")&lt;&gt;"",IF(LOWER(TRIM(AH253&amp;""))="да","да","нет"),IF(IFERROR(_xlfn.XLOOKUP(BC253,Коды_код,Коды_пожарная),"")="да","да","нет")))</f>
        <v>нет</v>
      </c>
      <c r="GB253" t="str">
        <f t="shared" si="488"/>
        <v/>
      </c>
      <c r="GC253" t="str">
        <f t="shared" si="489"/>
        <v>основная</v>
      </c>
      <c r="GD253">
        <f>IF(AND(BP253=1,TRIM(AE253&amp;"")=""),IF(COUNTIFS(Линии[Щит],A253,Линии[Секция (1/2/3)],"&gt;=2")&gt;0,MIN(3,MAX(1,IFERROR(--BD253,1))),1),IFERROR(MIN(3,MAX(1,INT(--AE253))),1))</f>
        <v>1</v>
      </c>
      <c r="GE253" t="str" cm="1">
        <f t="array" ref="GE253">IF(B253="","",_xlfn.LET(_xlpm.t,IFERROR(_xlfn.XLOOKUP(1,(Шины[Шина]=GC253)*(((Шины[Щит]=A253)+(Шины[Щит]=""))&gt;0),Шины[Тип]),"")&amp;"",IF(_xlpm.t&lt;&gt;"",_xlpm.t,IF(ISNUMBER(SEARCH("ИБП",GC253)),"ИБП",IF(ISNUMBER(SEARCH("ДГУ",GC253)),"ДГУ","Ввод "&amp;GD253)))))</f>
        <v>Ввод 1</v>
      </c>
      <c r="GF253" t="str">
        <f t="shared" si="490"/>
        <v>Ввод 1</v>
      </c>
      <c r="GG253" t="str">
        <f>IF(BP253=0,"",IF(TRIM(AG253&amp;"")&lt;&gt;"",TRIM(AG253&amp;""),IF(OR(GE253="ИБП",GE253="ДГУ"),"I особая",_xlfn.XLOOKUP(A253,Щиты[Щит],Щиты[Категория шины «Ввод»],"III"))))</f>
        <v/>
      </c>
      <c r="GH253" t="str">
        <f>IF(A253="","",_xlfn.XLOOKUP(A253,Щиты[Щит],Щиты[Путь],""))</f>
        <v>|ГРЩ-ЖД|ЩР-1|</v>
      </c>
      <c r="GI253" t="str">
        <f>IF(B253="","",IF(AI253&lt;&gt;"",AI253,IF(IFERROR(_xlfn.XLOOKUP(BC253,Коды_код,Коды_вид)&amp;"","")="","Прочее",_xlfn.XLOOKUP(BC253,Коды_код,Коды_вид)&amp;"")))</f>
        <v>Розеточная сеть и бытовые приборы</v>
      </c>
      <c r="GJ253">
        <f>IF(BM253="","",INT((BM253-1)/Столбцов_на_лист)+1)</f>
        <v>3</v>
      </c>
      <c r="GK253" t="str">
        <f t="shared" si="491"/>
        <v>ВВГнг(А)-LS (3х2,5) L=51-0,21%</v>
      </c>
      <c r="GL253">
        <f t="shared" si="492"/>
        <v>0.12</v>
      </c>
      <c r="GM253">
        <f t="shared" si="493"/>
        <v>0.55000000000000004</v>
      </c>
      <c r="GN253">
        <f t="shared" si="494"/>
        <v>1</v>
      </c>
      <c r="GO253">
        <f t="shared" si="495"/>
        <v>0</v>
      </c>
      <c r="GP253">
        <f t="shared" si="496"/>
        <v>1</v>
      </c>
      <c r="GQ253">
        <f>IF(BM253="","",IF(AND(CG253=1,GP253=1),COUNTIFS(A$3:A253,A253,CG$3:CG253,1,GP$3:GP253,1),IF(OR(OR(BA253=1,A253&lt;&gt;A252),AJ253="вручную",GP253=0),"",IF(BA253=1,"",GR252))))</f>
        <v>29</v>
      </c>
      <c r="GR253">
        <f t="shared" si="497"/>
        <v>29</v>
      </c>
      <c r="GS253">
        <f>IF(B253="","",IFERROR(LOOKUP(INDEX(CHOOSE(EB253,Iдоп_1ж,Iдоп_2ж,Iдоп_3ж),MATCH(EN253,Iдоп_S,0))*DZ253*EA253,{6,10,16,20,25,32,40,50,63,80,100,125,160,200,250,315,400,500,630}),""))</f>
        <v>25</v>
      </c>
      <c r="GT253" t="str">
        <f t="shared" si="498"/>
        <v>QFD29</v>
      </c>
      <c r="GU253" t="str">
        <f t="shared" si="499"/>
        <v>QFD29</v>
      </c>
      <c r="GV253" t="str">
        <f t="shared" si="500"/>
        <v/>
      </c>
      <c r="GW253">
        <f t="shared" si="501"/>
        <v>0</v>
      </c>
      <c r="GX253" t="str">
        <f>IF(OR(B253="",DJ253=""),"",IFERROR(_xlfn.XLOOKUP(DJ253,Модули_умолч[Управление],Модули_умолч[Модель])&amp;"",""))</f>
        <v/>
      </c>
      <c r="GY253">
        <f>IF(DJ253="",1,IFERROR(MAX(0,N(_xlfn.XLOOKUP(DJ253,Модули_умолч[Управление],Модули_умолч[Каналов на линию]))),1))</f>
        <v>1</v>
      </c>
      <c r="GZ253" t="str">
        <f t="shared" si="502"/>
        <v/>
      </c>
      <c r="HA253" t="str">
        <f t="shared" si="503"/>
        <v/>
      </c>
      <c r="HB253" t="str">
        <f t="shared" si="504"/>
        <v/>
      </c>
      <c r="HC253">
        <f>IF(HB253="",0,IFERROR(N(VLOOKUP(HB253,Модули_спр,3,FALSE)),0))</f>
        <v>0</v>
      </c>
      <c r="HD253" t="str">
        <f t="shared" si="505"/>
        <v/>
      </c>
      <c r="HE253" t="str">
        <f t="shared" si="506"/>
        <v/>
      </c>
      <c r="HF253" t="str">
        <f>IF(OR(HE253="",HE253="-"),"",IFERROR(VLOOKUP(HE253,Модули_спр,2,FALSE),"R"))</f>
        <v/>
      </c>
      <c r="HG253" t="str">
        <f>IF(HF253="","",HF253&amp;"."&amp;COUNTIFS(A$3:A253,A253,HF$3:HF253,HF253))</f>
        <v/>
      </c>
      <c r="HH253" t="str">
        <f t="shared" si="507"/>
        <v/>
      </c>
      <c r="HI253" t="str">
        <f t="shared" si="508"/>
        <v/>
      </c>
      <c r="HJ253" t="str">
        <f t="shared" si="509"/>
        <v/>
      </c>
      <c r="HK253" t="str">
        <f t="shared" si="510"/>
        <v/>
      </c>
      <c r="HL253">
        <f t="shared" si="511"/>
        <v>1</v>
      </c>
      <c r="HM253" t="str">
        <f>IF(HL253=1,"XT"&amp;COUNTIFS(A$3:A253,A253,HL$3:HL253,1),"")</f>
        <v>XT29</v>
      </c>
      <c r="HN253" t="str">
        <f t="shared" si="512"/>
        <v/>
      </c>
      <c r="HO253" t="str">
        <f t="shared" si="513"/>
        <v>QFD29</v>
      </c>
      <c r="HP253" t="str">
        <f t="shared" si="514"/>
        <v/>
      </c>
      <c r="HQ253" t="str">
        <f t="shared" si="515"/>
        <v>ok</v>
      </c>
      <c r="HR253" t="str">
        <f>IF(OR(HJ253="",HH253=""),"",IF(HJ253+MAX(0,GY253-1)&gt;IFERROR(VLOOKUP(HI253,Модули_спр,3,FALSE),99),"ЛИШНИЙ КАНАЛ",IF(AND(AL253&lt;&gt;"=",GY253&gt;0,COUNTIFS(Линии[_модуль гр.],HH253,Линии[Канал (итог)],HJ253,Линии[Канал],"&lt;&gt;=",Линии[Щит],A253)&gt;1),"ДУБЛЬ КАНАЛА","")))</f>
        <v/>
      </c>
      <c r="HS253" s="6" t="str">
        <f t="shared" si="516"/>
        <v/>
      </c>
      <c r="HT253">
        <f t="shared" si="517"/>
        <v>10</v>
      </c>
      <c r="HU253" t="str">
        <f t="shared" si="518"/>
        <v/>
      </c>
      <c r="HV253">
        <f t="shared" si="519"/>
        <v>0.72878536516659498</v>
      </c>
      <c r="HW253">
        <f t="shared" si="520"/>
        <v>0</v>
      </c>
      <c r="HX253">
        <f t="shared" si="521"/>
        <v>0</v>
      </c>
      <c r="HY253">
        <f t="shared" si="522"/>
        <v>0</v>
      </c>
      <c r="HZ253">
        <f t="shared" si="523"/>
        <v>0</v>
      </c>
      <c r="IA253">
        <f t="shared" si="524"/>
        <v>0</v>
      </c>
      <c r="IB253">
        <f t="shared" si="525"/>
        <v>0</v>
      </c>
      <c r="IC253" t="str">
        <f t="shared" si="526"/>
        <v/>
      </c>
      <c r="ID253" t="str" cm="1">
        <f t="array" ref="ID253">IF(IC253="","",_xlfn.LET(_xlpm.tk,_xlfn.TEXTSPLIT(SUBSTITUTE(SUBSTITUTE(IC253,";"," "),"→"," ")," ",,TRUE),_xlpm.w_,_xlfn._xlws.FILTER(_xlpm.tk,ISNUMBER(--LEFT(_xlpm.tk,1))*((ISNUMBER(SEARCH("W",_xlpm.tk))+ISNUMBER(SEARCH("Вт",_xlpm.tk)))&gt;0),""),IFERROR(--SUBSTITUTE(SUBSTITUTE(UPPER(INDEX(_xlpm.w_,1)),"W",""),"ВТ",""),"")))</f>
        <v/>
      </c>
      <c r="IE253" t="str" cm="1">
        <f t="array" ref="IE253">IF(IC253="","",_xlfn.LET(_xlpm.tk,_xlfn.TEXTSPLIT(SUBSTITUTE(SUBSTITUTE(IC253,";"," "),"→"," ")," ",,TRUE),_xlpm.v_,_xlfn._xlws.FILTER(_xlpm.tk,ISNUMBER(--LEFT(_xlpm.tk,1))*((ISNUMBER(SEARCH("V",_xlpm.tk))+(RIGHT(UPPER(_xlpm.tk))="В"))&gt;0),""),IFERROR(--SUBSTITUTE(SUBSTITUTE(UPPER(INDEX(_xlpm.v_,1)),"V",""),"В",""),"")))</f>
        <v/>
      </c>
      <c r="IF253" s="6" t="str">
        <f>IF(OR(BV253=0,HI253="",HJ253=""),"",IFERROR(N(_xlfn.XLOOKUP(HI253,Каталог!$C$4:$C$500,Каталог!$Q$4:$Q$500)),""))</f>
        <v/>
      </c>
      <c r="IG253" s="6" t="str">
        <f>IF(N(IF253)=0,"",SUMIFS(Линии[Iр, А],Линии[Щит],A253,Линии[_модуль гр.],HH253,Линии[Канал (итог)],HJ253))</f>
        <v/>
      </c>
      <c r="IH253" t="str">
        <f>IF(AND(B253="",HO253=""),"",_xlfn.TEXTJOIN("; ",TRUE,IF(AND(B253&lt;&gt;"",FV253=""),"нет фазы",""),IF(AND(B253&lt;&gt;"",N(GL253)=0,FG253&lt;&gt;"Нет"),"нет мощности",""),IF(AND(HN253&lt;&gt;"",COUNTIFS(Линии[Щит],A253,Линии[Клемма (итог)],HN253)&gt;1),"дубль клеммы "&amp;HN253,""),IF(AND(HQ253&lt;&gt;"",HQ253&lt;&gt;"ok"),HQ253,""),IF(HR253&lt;&gt;"",HR253,""),IF(AND(N(CB253)&gt;=4,N(BX253)=1),CB253&amp;" жил на 1 фазе",""),IF(AND(BC253="R",CG253=1,IF(CS253&lt;&gt;"",N(CV253)&gt;30,OR(N(DA253)=0,N(DA253)&gt;30))),"розетка без дифзащиты до 30 мА",""),IF(AND(CG253=1,N(DA253)&gt;0,ISNUMBER(T253)),IF(T253&gt;N(DA253)/3,"ток утечки "&amp;FIXED(T253,1)&amp;" мА &gt; 1/3 уставки ("&amp;DA253&amp;" мА)",""),""),IF(AND(CH253=1,CS253=""),"«узо»: нет строки с УЗО выше (УЗО 2P 40А 30мА в «Аппаратах»)",""),IF(AND(CS253&lt;&gt;"",CS253=BA253),IF(CT253="","впишите номинал УЗО (УЗО 2P 40А 30мА)",IF(N(CT253)&lt;N(DT253),"УЗО "&amp;CT253&amp;" А &lt; автомата "&amp;DT253&amp;" А перед ним",IF(N(CT253)&lt;N(CX253),"УЗО "&amp;CT253&amp;" А &lt; тока блока "&amp;FIXED(CX253,1)&amp;" А",""))),""),IF(AND(CS253&lt;&gt;"",CS253=BA253,ISNUMBER(CY253)),IF(CY253&gt;N(CV253)/3,"ток утечки блока УЗО "&amp;FIXED(CY253,1)&amp;" мА &gt; 1/3 уставки ("&amp;CV253&amp;" мА)",""),""),IF(AND(CG253=1,N(BV253)+N(IB253)&gt;0,IC253=""),"линии до 50 В без БП: впишите в «Аппараты» (БП 24V 480W)",""),IF(AND(CG253=1,ISNUMBER(ID253),ISNUMBER(U253)),IF(U253&gt;ID253,"БП "&amp;ID253&amp;" Вт &lt; нужно "&amp;U253&amp;" Вт (×"&amp;Запас_БП&amp;")",""),""),IF(AND(CG253=1,ISNUMBER(IE253),N(BV253)=1),IF(IE253&lt;&gt;N(BU253),"БП на "&amp;IE253&amp;" В, линия "&amp;BU253&amp;" В",""),""),IF(AND(N(IF253)&gt;0,N(IG253)&gt;N(IF253)),HH253&amp;" канал "&amp;HJ253&amp;": "&amp;FIXED(IG253,1)&amp;" А &gt; "&amp;IF253&amp;" А",""),IFERROR(IF(AND(ISNUMBER(Q253),Q253&gt;EL253),"потери "&amp;FIXED(Q253,1)&amp;" % &gt; "&amp;EL253&amp;" %",""),""),IFERROR(IF(LEFT(HU253,4)="мало","Iкз мало — отключение &gt; 0,4 с",""),""),IF(AND(B253&lt;&gt;"",BM253=""),"не на схеме",""),IF(AND(CG253=0,B253&lt;&gt;"",FV253&lt;&gt;"",IF(BA253=1,"",FW252)&lt;&gt;"",FV253&lt;&gt;IF(BA253=1,"",FW252)),"фаза не как у автомата группы ("&amp;IF(BA253=1,"",FW252)&amp;")","")))</f>
        <v/>
      </c>
      <c r="II253" s="6">
        <f>IF(OR(CG253=0,DQ253=""),"",_xlfn.LET(_xlpm.t,IFERROR(_xlfn.XLOOKUP(DQ253,Каталог!$U$4:$U$500,Каталог!$G$4:$G$500),""),_xlpm.k,SEARCH("кА",_xlpm.t),IFERROR(--TRIM(RIGHT(SUBSTITUTE(MID(_xlpm.t,MAX(1,_xlpm.k-4),_xlpm.k-MAX(1,_xlpm.k-4))," ",REPT(" ",9)),5)),"")))</f>
        <v>6</v>
      </c>
      <c r="IJ253" t="str">
        <f>IF(OR(II253="",CG253=0),"",IF(_xlfn.XLOOKUP(A253,Щиты[Щит],Щиты[Iкз max на шинах, кА],"")="","",IF(II253&lt;_xlfn.XLOOKUP(A253,Щиты[Щит],Щиты[Iкз max на шинах, кА]),"Icu "&amp;II253&amp;" кА &lt; Iкз max","ok")))</f>
        <v/>
      </c>
      <c r="IK253" t="str">
        <f t="shared" si="527"/>
        <v/>
      </c>
      <c r="IL253" t="str">
        <f t="shared" si="528"/>
        <v>QFD29</v>
      </c>
      <c r="IM253" t="str">
        <f t="shared" si="529"/>
        <v>QFD29|кабель ВВГнг(А)-LS (3х2,5) → Розеточная группа, пом. 008A</v>
      </c>
      <c r="IN253" t="str" cm="1">
        <f t="array" ref="IN253">IF(IM253="","",_xlfn.LET(_xlpm.nd,_xlfn.TEXTSPLIT(IM253,"|"),IF(COLUMNS(_xlpm.nd)&gt;1,A253&amp;"¦"&amp;INDEX(_xlpm.nd,1)&amp;"¦"&amp;INDEX(_xlpm.nd,2),"")))</f>
        <v>ЩР-1¦QFD29¦кабель ВВГнг(А)-LS (3х2,5) → Розеточная группа, пом. 008A</v>
      </c>
      <c r="IO253" t="str">
        <f t="shared" si="530"/>
        <v>R.1.008A.1¦Розеточная группа, пом. 008A</v>
      </c>
      <c r="IP253" t="str" cm="1">
        <f t="array" ref="IP253">IF(IM253="","",_xlfn.LET(_xlpm.nd,_xlfn.TEXTSPLIT(IM253,"|"),IF(COLUMNS(_xlpm.nd)&gt;2,A253&amp;"¦"&amp;INDEX(_xlpm.nd,2)&amp;"¦"&amp;INDEX(_xlpm.nd,3),"")))</f>
        <v/>
      </c>
      <c r="IQ253" t="str">
        <f t="shared" si="531"/>
        <v/>
      </c>
      <c r="IR253" t="str" cm="1">
        <f t="array" ref="IR253">IF(IM253="","",_xlfn.LET(_xlpm.nd,_xlfn.TEXTSPLIT(IM253,"|"),IF(COLUMNS(_xlpm.nd)&gt;3,A253&amp;"¦"&amp;INDEX(_xlpm.nd,3)&amp;"¦"&amp;INDEX(_xlpm.nd,4),"")))</f>
        <v/>
      </c>
      <c r="IS253" t="str">
        <f t="shared" si="532"/>
        <v/>
      </c>
      <c r="IT253" t="str" cm="1">
        <f t="array" ref="IT253">IF(IM253="","",_xlfn.LET(_xlpm.nd,_xlfn.TEXTSPLIT(IM253,"|"),IF(COLUMNS(_xlpm.nd)&gt;4,A253&amp;"¦"&amp;INDEX(_xlpm.nd,4)&amp;"¦"&amp;INDEX(_xlpm.nd,5),"")))</f>
        <v/>
      </c>
      <c r="IU253" t="str">
        <f t="shared" si="533"/>
        <v/>
      </c>
      <c r="IV253" t="str" cm="1">
        <f t="array" ref="IV253">IF(IM253="","",_xlfn.LET(_xlpm.nd,_xlfn.TEXTSPLIT(IM253,"|"),IF(COLUMNS(_xlpm.nd)&gt;5,A253&amp;"¦"&amp;INDEX(_xlpm.nd,5)&amp;"¦"&amp;INDEX(_xlpm.nd,6),"")))</f>
        <v/>
      </c>
      <c r="IW253" t="str">
        <f t="shared" si="534"/>
        <v/>
      </c>
      <c r="IX253" t="str" cm="1">
        <f t="array" ref="IX253">IF(IM253="","",_xlfn.LET(_xlpm.nd,_xlfn.TEXTSPLIT(IM253,"|"),IF(COLUMNS(_xlpm.nd)&gt;6,A253&amp;"¦"&amp;INDEX(_xlpm.nd,6)&amp;"¦"&amp;INDEX(_xlpm.nd,7),"")))</f>
        <v/>
      </c>
      <c r="IY253" t="str">
        <f t="shared" si="535"/>
        <v/>
      </c>
      <c r="IZ253" t="str">
        <f t="shared" si="536"/>
        <v/>
      </c>
      <c r="JA253" t="str">
        <f t="shared" si="537"/>
        <v>QFD29</v>
      </c>
      <c r="JB253">
        <f t="shared" si="538"/>
        <v>0</v>
      </c>
      <c r="JC253">
        <f t="shared" si="539"/>
        <v>1</v>
      </c>
      <c r="JD253" t="str">
        <f t="shared" si="540"/>
        <v/>
      </c>
      <c r="JE253" t="str">
        <f t="shared" si="541"/>
        <v/>
      </c>
      <c r="JF253" t="str">
        <f t="shared" si="542"/>
        <v/>
      </c>
      <c r="JG253" t="str">
        <f t="shared" si="543"/>
        <v/>
      </c>
      <c r="JH253" t="str">
        <f>IF(B253="","",IFERROR(_xlfn.XLOOKUP(B253,Коды_код,Коды_уго),IFERROR(_xlfn.XLOOKUP(BC253,Коды_код,Коды_уго),IFERROR(_xlfn.XLOOKUP(LEFT(BC253,2),Коды_код,Коды_уго),""))))</f>
        <v>Розетка</v>
      </c>
      <c r="JI253" t="str">
        <f>IF(B253="","",IF(OR(JH253="",JH253=0),"BOX",IFERROR(IF(VLOOKUP(JH253,УГО_блоки,3,FALSE)&amp;""&lt;&gt;"",VLOOKUP(JH253,УГО_блоки,3,FALSE),VLOOKUP(JH253,УГО_блоки,2,FALSE)),JH253)))</f>
        <v>SOCKET</v>
      </c>
      <c r="JJ253">
        <f t="shared" si="544"/>
        <v>1</v>
      </c>
      <c r="JK253" t="str">
        <f>IF(DQ253="","",IF(COUNTIF(DQ$3:DQ253,DQ253)=1,MAX(JK$2:JK252)+1,""))</f>
        <v/>
      </c>
      <c r="JL253" t="str">
        <f>IF(DE253="","",IF(COUNTIF(DE$3:DE253,DE253)+COUNTIF(DF$2:DF252,DE253)+COUNTIF(DG$2:DG252,DE253)=1,MAX(JL$2:JN252)+1,""))</f>
        <v/>
      </c>
      <c r="JM253" t="str">
        <f>IF(DF253="","",IF(COUNTIF(DE$3:DE253,DF253)+COUNTIF(DF$3:DF253,DF253)+COUNTIF(DG$2:DG252,DF253)=1,MAX(JL$2:JN252,JL253)+1,""))</f>
        <v/>
      </c>
      <c r="JN253" t="str">
        <f>IF(DG253="","",IF(COUNTIF(DE$3:DE253,DG253)+COUNTIF(DF$3:DF253,DG253)+COUNTIF(DG$3:DG253,DG253)=1,MAX(JL$2:JN252,JL253,JM253)+1,""))</f>
        <v/>
      </c>
      <c r="JO253" t="str">
        <f t="shared" si="545"/>
        <v>3х2,5</v>
      </c>
      <c r="JP253" t="str">
        <f>IF(JO253="","",IF(COUNTIF(JO$3:JO253,JO253)=1,MAX(JP$2:JP252)+1,""))</f>
        <v/>
      </c>
      <c r="JQ253" t="str">
        <f>IF(HG253="","",COUNTIF(HG$3:HG253,"?*"))</f>
        <v/>
      </c>
      <c r="JR253" t="str">
        <f>IF(OR(HG253="",HI253=""),"",IF(COUNTIFS(HG$3:HG253,"?*",HI$3:HI253,HI253)=1,MAX(JR$2:JR252)+1,""))</f>
        <v/>
      </c>
      <c r="JS253">
        <f t="shared" si="546"/>
        <v>0</v>
      </c>
      <c r="JT253">
        <f>IF(B253="","",COUNTIF(B$3:B253,"?*"))</f>
        <v>251</v>
      </c>
      <c r="JU253">
        <f>IF(HL253&lt;&gt;1,0,_xlfn.LET(_xlpm.k,MAX(IFERROR(--_xlfn.XLOOKUP(B253,Коды_код,Коды_3L),0),IFERROR(--_xlfn.XLOOKUP(BC253,Коды_код,Коды_3L),0),IFERROR(--_xlfn.XLOOKUP(LEFT(BC253,2),Коды_код,Коды_3L),0)),IF(_xlpm.k&gt;0,_xlpm.k,IF(IFERROR(--LEFT(SUBSTITUTE(JO253,"x","х"),FIND("х",SUBSTITUTE(JO253,"x","х"))-1),3)&gt;3,Каталог!$S$9,1))))</f>
        <v>1</v>
      </c>
      <c r="JV253">
        <f t="shared" si="547"/>
        <v>0</v>
      </c>
      <c r="JW253" t="str">
        <f t="shared" si="548"/>
        <v>авто</v>
      </c>
      <c r="JX253">
        <f t="shared" si="549"/>
        <v>30</v>
      </c>
      <c r="JY253">
        <f t="shared" si="550"/>
        <v>1</v>
      </c>
      <c r="JZ253">
        <f t="shared" si="551"/>
        <v>1</v>
      </c>
    </row>
    <row r="254" spans="1:286" x14ac:dyDescent="0.3">
      <c r="A254" t="s">
        <v>757</v>
      </c>
      <c r="B254" t="s">
        <v>1560</v>
      </c>
      <c r="C254" t="str">
        <f>Линии[[#This Row],[_авто наименование]]</f>
        <v>Розеточная группа, пом. 009A</v>
      </c>
      <c r="D254">
        <v>1</v>
      </c>
      <c r="E254">
        <v>0.18</v>
      </c>
      <c r="G254" t="str">
        <f>Линии[[#This Row],[_авто автомат]]</f>
        <v>2P С16А 30мА</v>
      </c>
      <c r="H254" t="str">
        <f>Линии[[#This Row],[_авто управление]]</f>
        <v/>
      </c>
      <c r="I254" t="str">
        <f>Линии[[#This Row],[_авто аппараты]]</f>
        <v/>
      </c>
      <c r="J254">
        <v>2.5</v>
      </c>
      <c r="K254">
        <v>24</v>
      </c>
      <c r="L254" t="str">
        <f>Линии[[#This Row],[_авто фаза]]</f>
        <v>L1</v>
      </c>
      <c r="M254" t="s">
        <v>484</v>
      </c>
      <c r="N254" t="str">
        <f t="shared" si="414"/>
        <v/>
      </c>
      <c r="O254" s="6" cm="1">
        <f t="array" ref="O254">IF(B254="","",IF(BH254&lt;&gt;"",IFERROR(_xlfn.XLOOKUP(BH254,Щиты[Щит],Щиты[Iр, А]),""),IF(BP254=1,IF(OR(N(_xlfn.XLOOKUP(A254,Щиты[Щит],Щиты[Вводов],1))&lt;=1,LOWER(TRIM(_xlfn.XLOOKUP(A254,Щиты[Щит],Щиты[АВР],"")&amp;""))="да"),IFERROR(_xlfn.XLOOKUP(A254,Щиты[Щит],Щиты[Iр, А]),""),IFERROR(N(BS254)*_xlfn.XLOOKUP(A254,Щиты[Щит],Щиты[Кс итог])/(SQRT(3)*Uн_лин*_xlfn.XLOOKUP(A254,Щиты[Щит],Щиты[cos φ])),"")),IF(BV254=1,IFERROR(BS254*1000/BU254,""),IFERROR(_xlfn.IFS(BX254=1,BS254/((Uн_лин/SQRT(3))*CE254),BX254=3,BS254/(SQRT(3)*Uн_лин*CE254)),"")))))</f>
        <v>0.8204451193747313</v>
      </c>
      <c r="P254" s="7">
        <f>IF(B254="","",IFERROR(IF(VLOOKUP(BC254,Потребители_обозначение,4,FALSE)=1,VLOOKUP(BC254,Потребители_обозначение,3,FALSE)*(MAX(1,N(D254))*2-1)+EI254+VLOOKUP(BE254,Этаж_обозначение,3,FALSE)+VLOOKUP(BE254,Этаж_обозначение,4,FALSE),VLOOKUP(BC254,Потребители_обозначение,3,FALSE)*(MAX(1,N(D254))*2-1)+EI254),EI254))</f>
        <v>27</v>
      </c>
      <c r="Q254" s="6">
        <f t="shared" si="415"/>
        <v>1.3599999999999999</v>
      </c>
      <c r="R254" t="str">
        <f t="shared" si="416"/>
        <v>ВВГнг(А)-LS (3х2,5)</v>
      </c>
      <c r="S254" t="str">
        <f>IF(BM254="","",IF(BN254="вводной узел","узел ","")&amp;"л."&amp;(INT((BM254-1)/Столбцов_на_лист)+1)&amp;" / "&amp;(MOD(BM254-1,Столбцов_на_лист)+1))</f>
        <v>л.3 / 8</v>
      </c>
      <c r="T254" s="119">
        <f t="shared" si="417"/>
        <v>0.6</v>
      </c>
      <c r="U254" s="7" t="str">
        <f>IF(OR(CG254=0,N(BV254)+N(IB254)=0),"",ROUNDUP(Запас_БП*(N(HY254)+N(HZ254)),0))</f>
        <v/>
      </c>
      <c r="V254" s="119" t="str">
        <f t="shared" si="418"/>
        <v/>
      </c>
      <c r="W254" s="7" t="str">
        <f>IFERROR(IF(OR(B254="",BP254=1,BV254=1,NOT(ISNUMBER(EN254)),N(DT254)=0),"",MAX(0,ROUNDDOWN((c_min*(Uн_лин*1000/SQRT(3))/(HT254*N(DT254))-_xlfn.XLOOKUP(A254,Щиты[Щит],Щиты[Zпетли на шинах, Ом]))*EN254/(2*ρкз_Cu),0))),"")</f>
        <v/>
      </c>
      <c r="Y254">
        <f>Линии[[#This Row],[_авто утечка]]</f>
        <v>30</v>
      </c>
      <c r="Z254">
        <v>1</v>
      </c>
      <c r="AA254">
        <v>230</v>
      </c>
      <c r="AB254" t="s">
        <v>562</v>
      </c>
      <c r="AG254" t="s">
        <v>810</v>
      </c>
      <c r="AI254" t="s">
        <v>561</v>
      </c>
      <c r="AK254" t="str">
        <f>Линии[[#This Row],[_авто модуль]]</f>
        <v/>
      </c>
      <c r="AM254">
        <v>42</v>
      </c>
      <c r="AN254" t="s">
        <v>11</v>
      </c>
      <c r="AO254">
        <v>3</v>
      </c>
      <c r="AQ254">
        <v>0</v>
      </c>
      <c r="AR254">
        <v>0</v>
      </c>
      <c r="AS254">
        <v>22</v>
      </c>
      <c r="BA254" cm="1">
        <f t="array" ref="BA254">ROW()-ROW(Линии[#Headers])</f>
        <v>252</v>
      </c>
      <c r="BC254" s="6" t="str">
        <f t="shared" si="419"/>
        <v>R</v>
      </c>
      <c r="BD254" t="str">
        <f t="shared" si="420"/>
        <v>1.009A.1</v>
      </c>
      <c r="BE254" t="str">
        <f t="shared" si="421"/>
        <v>1</v>
      </c>
      <c r="BF254" t="str">
        <f t="shared" si="422"/>
        <v>009A.1</v>
      </c>
      <c r="BG254" t="str">
        <f t="shared" si="423"/>
        <v>009A</v>
      </c>
      <c r="BH254" t="str">
        <f>IF(X254&lt;&gt;"",X254,IF(AND(B254&lt;&gt;"",B254&lt;&gt;A254,ISNUMBER(_xlfn.XMATCH(B254,Щиты[Щит]))),B254,""))</f>
        <v/>
      </c>
      <c r="BI254" t="str" cm="1">
        <f t="array" ref="BI254">IF(B254="","",IF(BH254&lt;&gt;"","Щит "&amp;BH254,_xlfn.LET(_xlpm.nm,IFERROR(_xlfn.XLOOKUP(BC254,Коды_код,Коды_имя)&amp;"",""),_xlpm.md,IFERROR(N(_xlfn.XLOOKUP(BC254,Коды_код,Коды_режим)),1),_xlpm.ex,IF(Имя_режим="по экспликации",IFERROR(_xlfn.XLOOKUP(BE254&amp;"|"&amp;BG254,Экспликация[Этаж]&amp;"|"&amp;Экспликация[Помещение],Экспликация[Название])&amp;"",""),""),_xlpm.rm,IF(BG254="","",IF(_xlpm.ex&lt;&gt;"",". "&amp;_xlpm.ex&amp;IF(Имя_пом="нет"," ("&amp;BG254&amp;")"," (пом. "&amp;BG254&amp;")"),IF(Имя_пом="нет"," ",", пом. ")&amp;BG254)),IF(_xlpm.nm="","",IF(_xlpm.md=2,_xlpm.nm&amp;" шлейф "&amp;BE254,_xlpm.nm&amp;_xlpm.rm)))))</f>
        <v>Розеточная группа, пом. 009A</v>
      </c>
      <c r="BJ254" t="str">
        <f t="shared" si="424"/>
        <v>Розеточная группа, пом. 009A</v>
      </c>
      <c r="BK254">
        <f>IFERROR(_xlfn.XMATCH(A254,Щиты[Щит]),0)</f>
        <v>10</v>
      </c>
      <c r="BL254">
        <f>_xlfn.LET(_xlpm.k,IFERROR(_xlfn.XLOOKUP(A254,Щиты[Щит],Щиты[Мест под вводной узел]),""),IF(_xlpm.k="",Столбцов_на_лист,N(_xlpm.k)))</f>
        <v>8</v>
      </c>
      <c r="BM254">
        <f t="shared" si="425"/>
        <v>42</v>
      </c>
      <c r="BN254" t="str">
        <f t="shared" si="426"/>
        <v>линии</v>
      </c>
      <c r="BO254" s="6">
        <f>IFERROR(N(_xlfn.XLOOKUP(BC254,Коды_код,Коды_квт)),0)</f>
        <v>0</v>
      </c>
      <c r="BP254">
        <f t="shared" si="427"/>
        <v>0</v>
      </c>
      <c r="BQ254" t="str">
        <f>IF(B254="","",IF(BH254&lt;&gt;"",IFERROR(_xlfn.XLOOKUP(BH254,Щиты[Щит],Щиты[Руст, кВт]),0),IF(BP254=1,IF(OR(N(_xlfn.XLOOKUP(A254,Щиты[Щит],Щиты[Вводов],1))&lt;=1,LOWER(TRIM(_xlfn.XLOOKUP(A254,Щиты[Щит],Щиты[АВР],"")&amp;""))="да"),IFERROR(_xlfn.XLOOKUP(A254,Щиты[Щит],Щиты[Руст, кВт]),0),SUMIFS(Линии[_Р для вводов],Линии[Щит],A254,Линии[Источник для режимов],GF254)),IF(BO254&gt;0,ROUND(BO254*MAX(1,N(D254)),3),""))))</f>
        <v/>
      </c>
      <c r="BR254">
        <f t="shared" si="428"/>
        <v>0.18</v>
      </c>
      <c r="BS254" s="6">
        <f>IF(B254="","",IF(BH254&lt;&gt;"",IFERROR(_xlfn.XLOOKUP(BH254,Щиты[Щит],Щиты[Руст, кВт]),0),N(BR254)))</f>
        <v>0.18</v>
      </c>
      <c r="BT254" t="str">
        <f>IF(B254="","",IFERROR(IF(VLOOKUP(BC254,Потребители_обозначение,8,FALSE)=0,"",VLOOKUP(BC254,Потребители_обозначение,8,FALSE)),""))</f>
        <v/>
      </c>
      <c r="BU254">
        <f t="shared" si="429"/>
        <v>230</v>
      </c>
      <c r="BV254">
        <f t="shared" si="430"/>
        <v>0</v>
      </c>
      <c r="BW254">
        <f>IF(B254="","",IF(BH254&lt;&gt;"",3,IFERROR(IF(N(VLOOKUP(BC254,Потребители_обозначение,9,FALSE))=0,1,VLOOKUP(BC254,Потребители_обозначение,9,FALSE)),1)))</f>
        <v>1</v>
      </c>
      <c r="BX254">
        <f t="shared" si="431"/>
        <v>1</v>
      </c>
      <c r="BY254" t="str">
        <f>IF(B254="","",_xlfn.LET(_xlpm.bc,IFERROR(IF(VLOOKUP(BC254,Потребители_обозначение,6,FALSE)=0,"",VLOOKUP(BC254,Потребители_обозначение,6,FALSE)&amp;""),""),IF(AND(GA254="да",OR(_xlpm.bc="",_xlpm.bc="мс")),Марка_пож,IF(AND(_xlpm.bc="",BH254&lt;&gt;""),"мс",_xlpm.bc))))</f>
        <v/>
      </c>
      <c r="BZ254" t="str">
        <f t="shared" si="432"/>
        <v>мс</v>
      </c>
      <c r="CA254">
        <f>IF(B254="","",_xlfn.LET(_xlpm.cc,IFERROR(N(VLOOKUP(BC254,Потребители_обозначение,7,FALSE)),0),IF(_xlpm.cc&gt;0,_xlpm.cc,IF(BZ254="","",IF(BV254=1,2,IF(N(BX254)=3,5,3))))))</f>
        <v>3</v>
      </c>
      <c r="CB254">
        <f t="shared" si="433"/>
        <v>3</v>
      </c>
      <c r="CC254">
        <f>IFERROR(N(VLOOKUP(BC254,Потребители_обозначение,10,FALSE)),0)</f>
        <v>0</v>
      </c>
      <c r="CD254">
        <f>IFERROR(VLOOKUP(BC254,Потребители_обозначение,5,FALSE),0)</f>
        <v>1</v>
      </c>
      <c r="CE254" s="6" cm="1">
        <f t="array" ref="CE254">IF(B254="","",IF(BH254&lt;&gt;"",IFERROR(_xlfn.XLOOKUP(BH254,Щиты[Щит],Щиты[cos φ]),0.95),IF(BP254=1,IFERROR(_xlfn.XLOOKUP(A254,Щиты[Щит],Щиты[cos φ]),0.95),IF(ISNUMBER(AD254),AD254,IFERROR(IF(CD254=2,_xlfn.IFS(BX254=3,VLOOKUP(BS254,Справочная_двигатели,8,FALSE),BX254=1,VLOOKUP(BS254,Справочная_двигатели,10,TRUE)),IF(AND(Методика="нормы 2026",FG254="Сил"),0.8,0.95)),0.95)))))</f>
        <v>0.95</v>
      </c>
      <c r="CF254">
        <f t="shared" si="434"/>
        <v>0</v>
      </c>
      <c r="CG254">
        <f t="shared" si="435"/>
        <v>1</v>
      </c>
      <c r="CH254">
        <f t="shared" si="436"/>
        <v>0</v>
      </c>
      <c r="CI254">
        <f>IF(B254="","",IF(BV254=1,IFERROR(BS254/((Uн_лин/SQRT(3))*MAX(0.5,N(CE254))),0),N(O254)))</f>
        <v>0.8204451193747313</v>
      </c>
      <c r="CJ254">
        <f t="shared" si="437"/>
        <v>0</v>
      </c>
      <c r="CK254">
        <f t="shared" si="438"/>
        <v>0</v>
      </c>
      <c r="CL254">
        <f t="shared" si="439"/>
        <v>0</v>
      </c>
      <c r="CM254">
        <f t="shared" si="440"/>
        <v>0</v>
      </c>
      <c r="CN254">
        <f t="shared" si="441"/>
        <v>0</v>
      </c>
      <c r="CO254">
        <f>IF(BC254="",0,_xlfn.LET(_xlpm.v,IFERROR(_xlfn.XLOOKUP(B254,Коды_код,Коды_мА),IFERROR(_xlfn.XLOOKUP(BC254,Коды_код,Коды_мА),IFERROR(_xlfn.XLOOKUP(LEFT(BC254,2),Коды_код,Коды_мА),""))),IF(_xlpm.v="да",30,IF(ISNUMBER(_xlpm.v),_xlpm.v,0))))</f>
        <v>30</v>
      </c>
      <c r="CP254">
        <f t="shared" si="442"/>
        <v>30</v>
      </c>
      <c r="CQ254" t="str">
        <f>_xlfn.LET(_xlpm.k,IFERROR(_xlfn.XLOOKUP(BC254,Коды_код,Коды_утечка)&amp;"",""),IF(_xlpm.k="","дифавтомат",_xlpm.k))</f>
        <v>дифавтомат</v>
      </c>
      <c r="CR254" t="str" cm="1">
        <f t="array" ref="CR254">IF(CG254=0,"",_xlfn.LET(_xlpm.sg,TRIM(_xlfn.TEXTSPLIT(DD254&amp;"",";")),_xlpm.f_,_xlfn._xlws.FILTER(_xlpm.sg,LEFT(_xlpm.sg,3)="УЗО",""),IFERROR(INDEX(_xlpm.f_,1)&amp;"","")))</f>
        <v/>
      </c>
      <c r="CS254" t="str">
        <f t="shared" si="443"/>
        <v/>
      </c>
      <c r="CT254" s="6" t="str" cm="1">
        <f t="array" ref="CT254">IF(CR254="","",_xlfn.LET(_xlpm.tk,_xlfn.TEXTSPLIT(UPPER(CR254)," ",,TRUE),_xlpm.a_,_xlfn._xlws.FILTER(_xlpm.tk,ISNUMBER(--LEFT(_xlpm.tk,1))*((ISNUMBER(SEARCH("А",_xlpm.tk))+ISNUMBER(SEARCH("A",_xlpm.tk)))&gt;0)*NOT(ISNUMBER(SEARCH("МА",_xlpm.tk)))*NOT(ISNUMBER(SEARCH("MA",_xlpm.tk))),""),IFERROR(--SUBSTITUTE(SUBSTITUTE(INDEX(_xlpm.a_,1),"А",""),"A",""),"")))</f>
        <v/>
      </c>
      <c r="CU254" t="str" cm="1">
        <f t="array" ref="CU254">IF(CR254="","",_xlfn.LET(_xlpm.tk,_xlfn.TEXTSPLIT(UPPER(CR254)," ",,TRUE),_xlpm.a_,_xlfn._xlws.FILTER(_xlpm.tk,ISNUMBER(--LEFT(_xlpm.tk,1))*((ISNUMBER(SEARCH("МА",_xlpm.tk))+ISNUMBER(SEARCH("MA",_xlpm.tk)))&gt;0),""),IFERROR(--SUBSTITUTE(SUBSTITUTE(INDEX(_xlpm.a_,1),"МА",""),"MA",""),30)))</f>
        <v/>
      </c>
      <c r="CV254" t="str">
        <f>IF(CS254="","",IFERROR(_xlfn.XLOOKUP(CS254,Линии[_n],Линии[_УЗО, мА]),30))</f>
        <v/>
      </c>
      <c r="CW254">
        <f>IF(CS254="",0,IF(ISNUMBER(SEARCH("4P",IFERROR(_xlfn.XLOOKUP(CS254,Линии[_n],Линии[_УЗО строки])&amp;"",""))),0,1))</f>
        <v>0</v>
      </c>
      <c r="CX254" t="str">
        <f>IF(AND(CS254&lt;&gt;"",CS254=BA254),SUMIFS(Линии[_ток на 230 В],Линии[_блок УЗО],BA254,Линии[Щит],A254),"")</f>
        <v/>
      </c>
      <c r="CY254" t="str">
        <f>IF(AND(CS254&lt;&gt;"",CS254=BA254),SUMIFS(Линии[_ток утечки линии, мА],Линии[_блок УЗО],BA254,Линии[Щит],A254),"")</f>
        <v/>
      </c>
      <c r="CZ254">
        <f t="shared" si="444"/>
        <v>30</v>
      </c>
      <c r="DA254">
        <f t="shared" si="445"/>
        <v>30</v>
      </c>
      <c r="DB254">
        <f>IF(B254="",0,IFERROR(--_xlfn.XLOOKUP(B254,Коды_код,Коды_минавт),IFERROR(--_xlfn.XLOOKUP(BC254,Коды_код,Коды_минавт),IFERROR(--_xlfn.XLOOKUP(LEFT(BC254,2),Коды_код,Коды_минавт),0))))</f>
        <v>16</v>
      </c>
      <c r="DC254" t="str">
        <f>IF(B254="","",IFERROR(_xlfn.XLOOKUP(BC254,Коды_код,Коды_апп)&amp;"",""))</f>
        <v/>
      </c>
      <c r="DD254" t="str">
        <f t="shared" si="446"/>
        <v/>
      </c>
      <c r="DE254" t="str" cm="1">
        <f t="array" ref="DE254">IF(TRIM(DD254&amp;"")="","",IFERROR(TRIM(INDEX(_xlfn.TEXTSPLIT(DD254&amp;";;;",";"),1)),""))</f>
        <v/>
      </c>
      <c r="DF254" t="str" cm="1">
        <f t="array" ref="DF254">IF(TRIM(DD254&amp;"")="","",IFERROR(TRIM(INDEX(_xlfn.TEXTSPLIT(DD254&amp;";;;",";"),2)),""))</f>
        <v/>
      </c>
      <c r="DG254" t="str" cm="1">
        <f t="array" ref="DG254">IF(TRIM(DD254&amp;"")="","",IFERROR(TRIM(INDEX(_xlfn.TEXTSPLIT(DD254&amp;";;;",";"),3)),""))</f>
        <v/>
      </c>
      <c r="DH254">
        <f t="shared" si="447"/>
        <v>0</v>
      </c>
      <c r="DI254" t="str">
        <f>IF(B254="","",_xlfn.LET(_xlpm.t,LOWER(AZ254&amp;""),IF(ISNUMBER(SEARCH("dim",_xlpm.t)),"DIM",IF(ISNUMBER(SEARCH("dali",_xlpm.t)),"DALI",IF(OR(ISNUMBER(SEARCH("relay",_xlpm.t)),ISNUMBER(SEARCH("реле",_xlpm.t))),"Relay",IF(ISNUMBER(SEARCH("кнопк",_xlpm.t)),"",IFERROR(_xlfn.XLOOKUP(BC254,Коды_код,Коды_упр)&amp;"","")))))))</f>
        <v/>
      </c>
      <c r="DJ254" t="str">
        <f t="shared" si="448"/>
        <v/>
      </c>
      <c r="DK254">
        <f>IF(B254="","",_xlfn.LET(_xlpm.ig,IF(N(CX254)&gt;0,N(CX254),N(CI254)+IF(AJ254="вручную",0,N(CJ254))),_xlpm.n0,IFERROR(VLOOKUP(_xlpm.ig,Автомат_номиналы,2,TRUE),0),_xlpm.mn,MAX(DB254,IF(AJ254="вручную",0,N(CM254))),MAX(_xlpm.n0,_xlpm.mn,IF(DH254=1,Мин_автомат_БП,0))))</f>
        <v>16</v>
      </c>
      <c r="DL254">
        <f t="shared" si="449"/>
        <v>1</v>
      </c>
      <c r="DM254" t="str">
        <f t="shared" si="450"/>
        <v>2P</v>
      </c>
      <c r="DN254" t="str">
        <f>_xlfn.LET(_xlpm.cc,UPPER(TRIM(IFERROR(_xlfn.XLOOKUP(BC254,Коды_код,Коды_хар)&amp;"",""))),IF(OR(_xlpm.cc="B",_xlpm.cc="В"),"B",IF(_xlpm.cc="D","D","С")))</f>
        <v>С</v>
      </c>
      <c r="DO254" t="str">
        <f t="shared" si="451"/>
        <v>2P С16А 30мА</v>
      </c>
      <c r="DP254" t="str">
        <f t="shared" si="452"/>
        <v>2P С16А 30мА</v>
      </c>
      <c r="DQ254" t="str">
        <f t="shared" si="453"/>
        <v>2P С16А 30мА</v>
      </c>
      <c r="DR254" cm="1">
        <f t="array" ref="DR254">IF(DQ254="","",_xlfn.LET(_xlpm.t,SUBSTITUTE(SUBSTITUTE(SUBSTITUTE(UPPER(DQ254),"С","C"),"А","A"),"В","B"),_xlpm.tk,_xlfn.TEXTSPLIT(_xlpm.t," "),_xlpm.f,_xlfn._xlws.FILTER(_xlpm.tk,ISNUMBER(--MID(_xlpm.tk,2,1))*ISNUMBER(SEARCH(LEFT(_xlpm.tk,1)&amp;"#","B#C#D#"))*(LEN(_xlpm.tk)&gt;1),""),_xlpm.x,INDEX(_xlpm.f,1),IFERROR(--SUBSTITUTE(MID(_xlpm.x,2,9),"A",""),IFERROR(--SUBSTITUTE(INDEX(_xlfn._xlws.FILTER(_xlpm.tk,ISNUMBER(--SUBSTITUTE(_xlpm.tk,"A","")),""),1),"A",""),""))))</f>
        <v>16</v>
      </c>
      <c r="DS254" t="str">
        <f t="shared" si="454"/>
        <v>ok</v>
      </c>
      <c r="DT254">
        <f t="shared" si="455"/>
        <v>16</v>
      </c>
      <c r="DU254" t="str">
        <f t="shared" si="456"/>
        <v>2P С16А 30мА</v>
      </c>
      <c r="DV254">
        <f t="shared" si="457"/>
        <v>30</v>
      </c>
      <c r="DW254">
        <f t="shared" si="458"/>
        <v>1</v>
      </c>
      <c r="DX254">
        <f t="shared" si="459"/>
        <v>0</v>
      </c>
      <c r="DY254">
        <f t="shared" si="460"/>
        <v>0.8204451193747313</v>
      </c>
      <c r="DZ254">
        <f t="shared" si="461"/>
        <v>1</v>
      </c>
      <c r="EA254">
        <f>IF(ISNUMBER(AP254),AP254,К_прокл)</f>
        <v>1</v>
      </c>
      <c r="EB254">
        <f t="shared" si="462"/>
        <v>2</v>
      </c>
      <c r="EC254">
        <f>IFERROR(N(VLOOKUP(BZ254,Кабель_обозначение,3,FALSE)),1)</f>
        <v>1</v>
      </c>
      <c r="ED254">
        <f>IFERROR(N(_xlfn.XLOOKUP(A254,Щиты[Щит],Щиты[ΔU до шин, %])),0)</f>
        <v>1.19</v>
      </c>
      <c r="EE254" t="str">
        <f>IFERROR(_xlfn.XLOOKUP(A254,Щиты[Щит],Щиты[Zпетли на шинах, Ом]),"")</f>
        <v/>
      </c>
      <c r="EF254">
        <f>IFERROR(N(_xlfn.XLOOKUP(A254,Щиты[Щит],Щиты[ΔU до шин (подбор), %])),0)</f>
        <v>1.19</v>
      </c>
      <c r="EG254" t="str">
        <f>IFERROR(_xlfn.XLOOKUP(A254,Щиты[Щит],Щиты[Zпетли на шинах (подбор), Ом]),"")</f>
        <v/>
      </c>
      <c r="EH254" t="str">
        <f t="shared" si="463"/>
        <v/>
      </c>
      <c r="EI254">
        <f t="shared" si="464"/>
        <v>24</v>
      </c>
      <c r="EJ254">
        <f t="shared" si="465"/>
        <v>2</v>
      </c>
      <c r="EK254">
        <f t="shared" si="466"/>
        <v>0.31</v>
      </c>
      <c r="EL254" s="6">
        <f>IF(B254="","",IF(BV254=1,dU_LED,IF(IFERROR(_xlfn.XLOOKUP(BC254,Коды_код,Коды_уго),"")="Светильник",3,4)+IF(Методика="нормы 2026",MIN(0.5,MAX(0,N(P254)-100)*0.005),0)))</f>
        <v>4</v>
      </c>
      <c r="EM254" cm="1">
        <f t="array" ref="EM254">IF(OR(B254="",BZ254="",EC254&lt;&gt;1),"",_xlfn.LET(_xlpm.sz,Iдоп_S,_xlpm.t_,CHOOSE(EB254,Iдоп_1ж,Iдоп_2ж,Iдоп_3ж)*DZ254*EA254,_xlpm.dcx,BV254=1,_xlpm.inn,IF(_xlpm.dcx,N(O254),N(DT254)),_xlpm.smin,MAX(1.5,CC254),_xlpm.L_,N(P254)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254)/N(BU254)*100,999),IFERROR(N(EJ254)*(_xlpm.rho*_xlpm.L_/_xlpm.sz*N(CE254)+_xlpm.xx*_xlpm.L_*N(EK254)/1000)*N(O254)/((Uн_лин/SQRT(3))*1000)*100,999)),_xlpm.kz,IF(OR(_xlpm.dcx,DW254=1,NOT(ISNUMBER(EG254)),_xlpm.L_=0,_xlpm.inn=0),1,IFERROR(--(c_min*(Uн_лин*1000/SQRT(3))/(EG254+2*ρкз_Cu*_xlpm.L_/_xlpm.sz)&gt;=HT254*_xlpm.inn),0)),_xlpm.ok,IFERROR((_xlpm.sz&gt;=_xlpm.smin)*(_xlpm.t_&gt;=_xlpm.inn)*IF(_xlpm.L_&gt;0,(_xlpm.du_+IF(_xlpm.dcx,0,EF254)&lt;=EL254+0.00001),1)*_xlpm.kz,0),_xlpm.r_,_xlfn._xlws.FILTER(_xlpm.sz,_xlpm.ok,"не подобрано"),INDEX(_xlpm.r_,1)))</f>
        <v>1.5</v>
      </c>
      <c r="EN254">
        <f t="shared" si="467"/>
        <v>2.5</v>
      </c>
      <c r="EO254" cm="1">
        <f t="array" ref="EO254">IF(OR(B254="",BZ254="",EC254&lt;&gt;1),"",_xlfn.LET(_xlpm.sz,Iдоп_S,_xlpm.t_,CHOOSE(EB254,Iдоп_1ж,Iдоп_2ж,Iдоп_3ж)*DZ254*EA254,_xlpm.ok,IFERROR((_xlpm.sz&gt;=MAX(1.5,CC254))*(_xlpm.t_&gt;=N(DT254)),0),_xlpm.r_,_xlfn._xlws.FILTER(_xlpm.sz,_xlpm.ok,""),INDEX(_xlpm.r_,1)))</f>
        <v>1.5</v>
      </c>
      <c r="EP254" s="6" cm="1">
        <f t="array" ref="EP254">IFERROR(ROUNDUP(N(EJ254)*(_xlfn.XLOOKUP(EO254,INDEX(Кабель_сопротивление,0,1),INDEX(Кабель_сопротивление,0,3))*N(P254)/EO254*N(CE254)+_xlfn.XLOOKUP(EO254,INDEX(Кабель_сопротивление,0,1),INDEX(Кабель_сопротивление,0,2))*N(P254)*N(EK254)/1000)*N(O254)/((Uн_лин/SQRT(3))*1000)*100,2),"")</f>
        <v>0.28000000000000003</v>
      </c>
      <c r="EQ254">
        <f>IFERROR(2*ρкз_Cu*N(P254)/EO254,"")</f>
        <v>0.94680000000000009</v>
      </c>
      <c r="ER254">
        <f>IFERROR(VLOOKUP(EN254,Кабель_сопротивление,3,FALSE),"")</f>
        <v>2.2499999999999999E-2</v>
      </c>
      <c r="ES254">
        <f>IFERROR(VLOOKUP(EN254,Кабель_сопротивление,2,FALSE),"")</f>
        <v>0.1</v>
      </c>
      <c r="ET254">
        <f t="shared" si="468"/>
        <v>0</v>
      </c>
      <c r="EU254">
        <f t="shared" si="469"/>
        <v>22</v>
      </c>
      <c r="EV254">
        <f t="shared" si="470"/>
        <v>0.38017293674514668</v>
      </c>
      <c r="EW254" s="6">
        <f>IFERROR(ROUNDUP(EV254/IF(BV254=1,BU254,(Uн_лин/SQRT(3))*1000)*100,2),"")</f>
        <v>0.17</v>
      </c>
      <c r="EX254" t="str">
        <f>IFERROR(VLOOKUP(BZ254,Кабель_обозначение,2,FALSE),"")</f>
        <v>ВВГнг(А)-LS</v>
      </c>
      <c r="EY254" t="str">
        <f t="shared" si="471"/>
        <v>ВВГнг(А)-LS (3х2,5)</v>
      </c>
      <c r="EZ254" t="str">
        <f t="shared" si="472"/>
        <v>ВВГнг(А)-LS (3х2,5)
L=27-0,17%</v>
      </c>
      <c r="FA254">
        <f>IFERROR(2*ρкз_Cu*P254/EN254,"")</f>
        <v>0.56808000000000003</v>
      </c>
      <c r="FB254">
        <f t="shared" si="473"/>
        <v>0.189</v>
      </c>
      <c r="FC254" s="6" t="str">
        <f>IFERROR(IF(OR(B254="",BV254=1,NOT(ISNUMBER(EN254)),N(P254)=0),"",_xlfn.XLOOKUP(A254,Щиты[Щит],Щиты[Zпетли на шинах, Ом])+FA254),"")</f>
        <v/>
      </c>
      <c r="FD254" s="6" t="str">
        <f>IF(ISNUMBER(FC254),c_min*(Uн_лин*1000/SQRT(3))/FC254,"")</f>
        <v/>
      </c>
      <c r="FE254" s="6" t="str">
        <f>IFERROR(IF(OR(B254="",NOT(ISNUMBER(EN254))),"",1.05*(Uн_лин*1000/SQRT(3))/(_xlfn.XLOOKUP(A254,Щиты[Щит],Щиты[Zmax на шинах, Ом])+FB254)/1000),"")</f>
        <v/>
      </c>
      <c r="FF254" s="6" t="str">
        <f>IF(B254="","",IF(ISNUMBER(AC254),"Сил",IF(IFERROR(_xlfn.XLOOKUP(BC254,Коды_код,Коды_группа)&amp;"","")="","Быт",_xlfn.XLOOKUP(BC254,Коды_код,Коды_группа)&amp;"")))</f>
        <v>Быт</v>
      </c>
      <c r="FG254" s="6" t="str">
        <f t="shared" si="474"/>
        <v>Быт</v>
      </c>
      <c r="FH254" s="6">
        <f>IF(FG254="Щит","щит",IF(FG254="","",IF(FG254="Быт",IFERROR(_xlfn.XLOOKUP(A254,Щиты[Щит],Щиты[Кс быт]),1),IF(FG254="Сил",IF(ISNUMBER(AC254),AC254,IF(Методика="нормы 2026",IFERROR(_xlfn.XLOOKUP(A254,Щиты[Щит],Щиты[Кс силовых (табл. 7.5)]),1),1)),IF(OR(FG254="Пост",FG254="Отоп"),1,IF(FG254="ВНГ",0.7,0))))))</f>
        <v>0.57830000000000004</v>
      </c>
      <c r="FI254">
        <f>IF(FG254="","",IF(AND(BP254=1,TRIM(AE254&amp;"")=""),IF(COUNTIFS(Линии[Щит],A254,Линии[Секция (1/2/3)],"&gt;=2")&gt;0,MIN(3,MAX(1,IFERROR(--BD254,1))),1),IFERROR(MIN(3,MAX(1,INT(--AE254))),1)))</f>
        <v>1</v>
      </c>
      <c r="FJ254">
        <f t="shared" si="475"/>
        <v>0.18</v>
      </c>
      <c r="FK254">
        <f t="shared" si="476"/>
        <v>0.18</v>
      </c>
      <c r="FL254">
        <f t="shared" si="477"/>
        <v>0</v>
      </c>
      <c r="FM254">
        <f t="shared" si="478"/>
        <v>0</v>
      </c>
      <c r="FN254">
        <f t="shared" si="479"/>
        <v>0</v>
      </c>
      <c r="FO254">
        <f t="shared" si="480"/>
        <v>0</v>
      </c>
      <c r="FP254">
        <f t="shared" si="481"/>
        <v>0.18</v>
      </c>
      <c r="FQ254">
        <f t="shared" si="482"/>
        <v>0.18</v>
      </c>
      <c r="FR254">
        <f t="shared" si="483"/>
        <v>0.17099999999999999</v>
      </c>
      <c r="FS254">
        <f>IF(CG254=1,IF(AND(CH254=1,CW254=1),0,IF(AND(CS254&lt;&gt;"",CS254=BA254,CW254=1),SUMIFS(Линии[_Р линии, кВт],Линии[_блок УЗО],BA254,Линии[Щит],A254),N(BS254)+IF(AJ254="вручную",0,N(CK254)))),0)</f>
        <v>0.18</v>
      </c>
      <c r="FT254" t="str">
        <f t="shared" si="484"/>
        <v/>
      </c>
      <c r="FU254" t="str">
        <f>IF(B254="","",IF(CG254=0,IF(BA254=1,"",FW253),IF(AND(CH254=1,CW254=1,CS254&lt;&gt;""),IFERROR(_xlfn.XLOOKUP(CS254,Линии[_n],Линии[_фаза итог]),"L1"),IF(OR(N(DL254)&gt;=3,N(BX254)&gt;=3),"L1,L2,L3",IFERROR(_xlfn.TEXTBEFORE(_xlfn.TEXTAFTER(_xlfn.XLOOKUP(A254,Щиты[Щит],Щиты[_фазы авто]),";"&amp;BA254&amp;":"),";"),"L1")))))</f>
        <v>L1</v>
      </c>
      <c r="FV254" t="str">
        <f t="shared" si="485"/>
        <v>L1</v>
      </c>
      <c r="FW254" t="str">
        <f t="shared" si="486"/>
        <v>L1</v>
      </c>
      <c r="FX254" cm="1">
        <f t="array" ref="FX254">IFERROR(IF(CD254=2,_xlfn.IFS(BX254=3,VLOOKUP(BS254,Справочная_двигатели,3,FALSE),BX254=1,VLOOKUP(BS254,Справочная_двигатели,5,TRUE)),0),0)</f>
        <v>0</v>
      </c>
      <c r="FY254">
        <f>IFERROR(IF(CD254=3,VLOOKUP(BS254,Справочная_ЛЭД,2,TRUE),0),0)</f>
        <v>0</v>
      </c>
      <c r="FZ254" s="6">
        <f t="shared" si="487"/>
        <v>0</v>
      </c>
      <c r="GA254" t="str">
        <f>IF(B254="","",IF(TRIM(AH254&amp;"")&lt;&gt;"",IF(LOWER(TRIM(AH254&amp;""))="да","да","нет"),IF(IFERROR(_xlfn.XLOOKUP(BC254,Коды_код,Коды_пожарная),"")="да","да","нет")))</f>
        <v>нет</v>
      </c>
      <c r="GB254" t="str">
        <f t="shared" si="488"/>
        <v/>
      </c>
      <c r="GC254" t="str">
        <f t="shared" si="489"/>
        <v>основная</v>
      </c>
      <c r="GD254">
        <f>IF(AND(BP254=1,TRIM(AE254&amp;"")=""),IF(COUNTIFS(Линии[Щит],A254,Линии[Секция (1/2/3)],"&gt;=2")&gt;0,MIN(3,MAX(1,IFERROR(--BD254,1))),1),IFERROR(MIN(3,MAX(1,INT(--AE254))),1))</f>
        <v>1</v>
      </c>
      <c r="GE254" t="str" cm="1">
        <f t="array" ref="GE254">IF(B254="","",_xlfn.LET(_xlpm.t,IFERROR(_xlfn.XLOOKUP(1,(Шины[Шина]=GC254)*(((Шины[Щит]=A254)+(Шины[Щит]=""))&gt;0),Шины[Тип]),"")&amp;"",IF(_xlpm.t&lt;&gt;"",_xlpm.t,IF(ISNUMBER(SEARCH("ИБП",GC254)),"ИБП",IF(ISNUMBER(SEARCH("ДГУ",GC254)),"ДГУ","Ввод "&amp;GD254)))))</f>
        <v>Ввод 1</v>
      </c>
      <c r="GF254" t="str">
        <f t="shared" si="490"/>
        <v>Ввод 1</v>
      </c>
      <c r="GG254" t="str">
        <f>IF(BP254=0,"",IF(TRIM(AG254&amp;"")&lt;&gt;"",TRIM(AG254&amp;""),IF(OR(GE254="ИБП",GE254="ДГУ"),"I особая",_xlfn.XLOOKUP(A254,Щиты[Щит],Щиты[Категория шины «Ввод»],"III"))))</f>
        <v/>
      </c>
      <c r="GH254" t="str">
        <f>IF(A254="","",_xlfn.XLOOKUP(A254,Щиты[Щит],Щиты[Путь],""))</f>
        <v>|ГРЩ-ЖД|ЩР-1|</v>
      </c>
      <c r="GI254" t="str">
        <f>IF(B254="","",IF(AI254&lt;&gt;"",AI254,IF(IFERROR(_xlfn.XLOOKUP(BC254,Коды_код,Коды_вид)&amp;"","")="","Прочее",_xlfn.XLOOKUP(BC254,Коды_код,Коды_вид)&amp;"")))</f>
        <v>Розеточная сеть и бытовые приборы</v>
      </c>
      <c r="GJ254">
        <f>IF(BM254="","",INT((BM254-1)/Столбцов_на_лист)+1)</f>
        <v>3</v>
      </c>
      <c r="GK254" t="str">
        <f t="shared" si="491"/>
        <v>ВВГнг(А)-LS (3х2,5) L=27-0,17%</v>
      </c>
      <c r="GL254">
        <f t="shared" si="492"/>
        <v>0.18</v>
      </c>
      <c r="GM254">
        <f t="shared" si="493"/>
        <v>0.83</v>
      </c>
      <c r="GN254">
        <f t="shared" si="494"/>
        <v>1</v>
      </c>
      <c r="GO254">
        <f t="shared" si="495"/>
        <v>0</v>
      </c>
      <c r="GP254">
        <f t="shared" si="496"/>
        <v>1</v>
      </c>
      <c r="GQ254">
        <f>IF(BM254="","",IF(AND(CG254=1,GP254=1),COUNTIFS(A$3:A254,A254,CG$3:CG254,1,GP$3:GP254,1),IF(OR(OR(BA254=1,A254&lt;&gt;A253),AJ254="вручную",GP254=0),"",IF(BA254=1,"",GR253))))</f>
        <v>30</v>
      </c>
      <c r="GR254">
        <f t="shared" si="497"/>
        <v>30</v>
      </c>
      <c r="GS254">
        <f>IF(B254="","",IFERROR(LOOKUP(INDEX(CHOOSE(EB254,Iдоп_1ж,Iдоп_2ж,Iдоп_3ж),MATCH(EN254,Iдоп_S,0))*DZ254*EA254,{6,10,16,20,25,32,40,50,63,80,100,125,160,200,250,315,400,500,630}),""))</f>
        <v>25</v>
      </c>
      <c r="GT254" t="str">
        <f t="shared" si="498"/>
        <v>QFD30</v>
      </c>
      <c r="GU254" t="str">
        <f t="shared" si="499"/>
        <v>QFD30</v>
      </c>
      <c r="GV254" t="str">
        <f t="shared" si="500"/>
        <v/>
      </c>
      <c r="GW254">
        <f t="shared" si="501"/>
        <v>0</v>
      </c>
      <c r="GX254" t="str">
        <f>IF(OR(B254="",DJ254=""),"",IFERROR(_xlfn.XLOOKUP(DJ254,Модули_умолч[Управление],Модули_умолч[Модель])&amp;"",""))</f>
        <v/>
      </c>
      <c r="GY254">
        <f>IF(DJ254="",1,IFERROR(MAX(0,N(_xlfn.XLOOKUP(DJ254,Модули_умолч[Управление],Модули_умолч[Каналов на линию]))),1))</f>
        <v>1</v>
      </c>
      <c r="GZ254" t="str">
        <f t="shared" si="502"/>
        <v/>
      </c>
      <c r="HA254" t="str">
        <f t="shared" si="503"/>
        <v/>
      </c>
      <c r="HB254" t="str">
        <f t="shared" si="504"/>
        <v/>
      </c>
      <c r="HC254">
        <f>IF(HB254="",0,IFERROR(N(VLOOKUP(HB254,Модули_спр,3,FALSE)),0))</f>
        <v>0</v>
      </c>
      <c r="HD254" t="str">
        <f t="shared" si="505"/>
        <v/>
      </c>
      <c r="HE254" t="str">
        <f t="shared" si="506"/>
        <v/>
      </c>
      <c r="HF254" t="str">
        <f>IF(OR(HE254="",HE254="-"),"",IFERROR(VLOOKUP(HE254,Модули_спр,2,FALSE),"R"))</f>
        <v/>
      </c>
      <c r="HG254" t="str">
        <f>IF(HF254="","",HF254&amp;"."&amp;COUNTIFS(A$3:A254,A254,HF$3:HF254,HF254))</f>
        <v/>
      </c>
      <c r="HH254" t="str">
        <f t="shared" si="507"/>
        <v/>
      </c>
      <c r="HI254" t="str">
        <f t="shared" si="508"/>
        <v/>
      </c>
      <c r="HJ254" t="str">
        <f t="shared" si="509"/>
        <v/>
      </c>
      <c r="HK254" t="str">
        <f t="shared" si="510"/>
        <v/>
      </c>
      <c r="HL254">
        <f t="shared" si="511"/>
        <v>1</v>
      </c>
      <c r="HM254" t="str">
        <f>IF(HL254=1,"XT"&amp;COUNTIFS(A$3:A254,A254,HL$3:HL254,1),"")</f>
        <v>XT30</v>
      </c>
      <c r="HN254" t="str">
        <f t="shared" si="512"/>
        <v/>
      </c>
      <c r="HO254" t="str">
        <f t="shared" si="513"/>
        <v>QFD30</v>
      </c>
      <c r="HP254" t="str">
        <f t="shared" si="514"/>
        <v/>
      </c>
      <c r="HQ254" t="str">
        <f t="shared" si="515"/>
        <v>ok</v>
      </c>
      <c r="HR254" t="str">
        <f>IF(OR(HJ254="",HH254=""),"",IF(HJ254+MAX(0,GY254-1)&gt;IFERROR(VLOOKUP(HI254,Модули_спр,3,FALSE),99),"ЛИШНИЙ КАНАЛ",IF(AND(AL254&lt;&gt;"=",GY254&gt;0,COUNTIFS(Линии[_модуль гр.],HH254,Линии[Канал (итог)],HJ254,Линии[Канал],"&lt;&gt;=",Линии[Щит],A254)&gt;1),"ДУБЛЬ КАНАЛА","")))</f>
        <v/>
      </c>
      <c r="HS254" s="6" t="str">
        <f t="shared" si="516"/>
        <v/>
      </c>
      <c r="HT254">
        <f t="shared" si="517"/>
        <v>10</v>
      </c>
      <c r="HU254" t="str">
        <f t="shared" si="518"/>
        <v/>
      </c>
      <c r="HV254">
        <f t="shared" si="519"/>
        <v>0.59817804774989258</v>
      </c>
      <c r="HW254">
        <f t="shared" si="520"/>
        <v>0</v>
      </c>
      <c r="HX254">
        <f t="shared" si="521"/>
        <v>0</v>
      </c>
      <c r="HY254">
        <f t="shared" si="522"/>
        <v>0</v>
      </c>
      <c r="HZ254">
        <f t="shared" si="523"/>
        <v>0</v>
      </c>
      <c r="IA254">
        <f t="shared" si="524"/>
        <v>0</v>
      </c>
      <c r="IB254">
        <f t="shared" si="525"/>
        <v>0</v>
      </c>
      <c r="IC254" t="str">
        <f t="shared" si="526"/>
        <v/>
      </c>
      <c r="ID254" t="str" cm="1">
        <f t="array" ref="ID254">IF(IC254="","",_xlfn.LET(_xlpm.tk,_xlfn.TEXTSPLIT(SUBSTITUTE(SUBSTITUTE(IC254,";"," "),"→"," ")," ",,TRUE),_xlpm.w_,_xlfn._xlws.FILTER(_xlpm.tk,ISNUMBER(--LEFT(_xlpm.tk,1))*((ISNUMBER(SEARCH("W",_xlpm.tk))+ISNUMBER(SEARCH("Вт",_xlpm.tk)))&gt;0),""),IFERROR(--SUBSTITUTE(SUBSTITUTE(UPPER(INDEX(_xlpm.w_,1)),"W",""),"ВТ",""),"")))</f>
        <v/>
      </c>
      <c r="IE254" t="str" cm="1">
        <f t="array" ref="IE254">IF(IC254="","",_xlfn.LET(_xlpm.tk,_xlfn.TEXTSPLIT(SUBSTITUTE(SUBSTITUTE(IC254,";"," "),"→"," ")," ",,TRUE),_xlpm.v_,_xlfn._xlws.FILTER(_xlpm.tk,ISNUMBER(--LEFT(_xlpm.tk,1))*((ISNUMBER(SEARCH("V",_xlpm.tk))+(RIGHT(UPPER(_xlpm.tk))="В"))&gt;0),""),IFERROR(--SUBSTITUTE(SUBSTITUTE(UPPER(INDEX(_xlpm.v_,1)),"V",""),"В",""),"")))</f>
        <v/>
      </c>
      <c r="IF254" s="6" t="str">
        <f>IF(OR(BV254=0,HI254="",HJ254=""),"",IFERROR(N(_xlfn.XLOOKUP(HI254,Каталог!$C$4:$C$500,Каталог!$Q$4:$Q$500)),""))</f>
        <v/>
      </c>
      <c r="IG254" s="6" t="str">
        <f>IF(N(IF254)=0,"",SUMIFS(Линии[Iр, А],Линии[Щит],A254,Линии[_модуль гр.],HH254,Линии[Канал (итог)],HJ254))</f>
        <v/>
      </c>
      <c r="IH254" t="str">
        <f>IF(AND(B254="",HO254=""),"",_xlfn.TEXTJOIN("; ",TRUE,IF(AND(B254&lt;&gt;"",FV254=""),"нет фазы",""),IF(AND(B254&lt;&gt;"",N(GL254)=0,FG254&lt;&gt;"Нет"),"нет мощности",""),IF(AND(HN254&lt;&gt;"",COUNTIFS(Линии[Щит],A254,Линии[Клемма (итог)],HN254)&gt;1),"дубль клеммы "&amp;HN254,""),IF(AND(HQ254&lt;&gt;"",HQ254&lt;&gt;"ok"),HQ254,""),IF(HR254&lt;&gt;"",HR254,""),IF(AND(N(CB254)&gt;=4,N(BX254)=1),CB254&amp;" жил на 1 фазе",""),IF(AND(BC254="R",CG254=1,IF(CS254&lt;&gt;"",N(CV254)&gt;30,OR(N(DA254)=0,N(DA254)&gt;30))),"розетка без дифзащиты до 30 мА",""),IF(AND(CG254=1,N(DA254)&gt;0,ISNUMBER(T254)),IF(T254&gt;N(DA254)/3,"ток утечки "&amp;FIXED(T254,1)&amp;" мА &gt; 1/3 уставки ("&amp;DA254&amp;" мА)",""),""),IF(AND(CH254=1,CS254=""),"«узо»: нет строки с УЗО выше (УЗО 2P 40А 30мА в «Аппаратах»)",""),IF(AND(CS254&lt;&gt;"",CS254=BA254),IF(CT254="","впишите номинал УЗО (УЗО 2P 40А 30мА)",IF(N(CT254)&lt;N(DT254),"УЗО "&amp;CT254&amp;" А &lt; автомата "&amp;DT254&amp;" А перед ним",IF(N(CT254)&lt;N(CX254),"УЗО "&amp;CT254&amp;" А &lt; тока блока "&amp;FIXED(CX254,1)&amp;" А",""))),""),IF(AND(CS254&lt;&gt;"",CS254=BA254,ISNUMBER(CY254)),IF(CY254&gt;N(CV254)/3,"ток утечки блока УЗО "&amp;FIXED(CY254,1)&amp;" мА &gt; 1/3 уставки ("&amp;CV254&amp;" мА)",""),""),IF(AND(CG254=1,N(BV254)+N(IB254)&gt;0,IC254=""),"линии до 50 В без БП: впишите в «Аппараты» (БП 24V 480W)",""),IF(AND(CG254=1,ISNUMBER(ID254),ISNUMBER(U254)),IF(U254&gt;ID254,"БП "&amp;ID254&amp;" Вт &lt; нужно "&amp;U254&amp;" Вт (×"&amp;Запас_БП&amp;")",""),""),IF(AND(CG254=1,ISNUMBER(IE254),N(BV254)=1),IF(IE254&lt;&gt;N(BU254),"БП на "&amp;IE254&amp;" В, линия "&amp;BU254&amp;" В",""),""),IF(AND(N(IF254)&gt;0,N(IG254)&gt;N(IF254)),HH254&amp;" канал "&amp;HJ254&amp;": "&amp;FIXED(IG254,1)&amp;" А &gt; "&amp;IF254&amp;" А",""),IFERROR(IF(AND(ISNUMBER(Q254),Q254&gt;EL254),"потери "&amp;FIXED(Q254,1)&amp;" % &gt; "&amp;EL254&amp;" %",""),""),IFERROR(IF(LEFT(HU254,4)="мало","Iкз мало — отключение &gt; 0,4 с",""),""),IF(AND(B254&lt;&gt;"",BM254=""),"не на схеме",""),IF(AND(CG254=0,B254&lt;&gt;"",FV254&lt;&gt;"",IF(BA254=1,"",FW253)&lt;&gt;"",FV254&lt;&gt;IF(BA254=1,"",FW253)),"фаза не как у автомата группы ("&amp;IF(BA254=1,"",FW253)&amp;")","")))</f>
        <v/>
      </c>
      <c r="II254" s="6">
        <f>IF(OR(CG254=0,DQ254=""),"",_xlfn.LET(_xlpm.t,IFERROR(_xlfn.XLOOKUP(DQ254,Каталог!$U$4:$U$500,Каталог!$G$4:$G$500),""),_xlpm.k,SEARCH("кА",_xlpm.t),IFERROR(--TRIM(RIGHT(SUBSTITUTE(MID(_xlpm.t,MAX(1,_xlpm.k-4),_xlpm.k-MAX(1,_xlpm.k-4))," ",REPT(" ",9)),5)),"")))</f>
        <v>6</v>
      </c>
      <c r="IJ254" t="str">
        <f>IF(OR(II254="",CG254=0),"",IF(_xlfn.XLOOKUP(A254,Щиты[Щит],Щиты[Iкз max на шинах, кА],"")="","",IF(II254&lt;_xlfn.XLOOKUP(A254,Щиты[Щит],Щиты[Iкз max на шинах, кА]),"Icu "&amp;II254&amp;" кА &lt; Iкз max","ok")))</f>
        <v/>
      </c>
      <c r="IK254" t="str">
        <f t="shared" si="527"/>
        <v/>
      </c>
      <c r="IL254" t="str">
        <f t="shared" si="528"/>
        <v>QFD30</v>
      </c>
      <c r="IM254" t="str">
        <f t="shared" si="529"/>
        <v>QFD30|кабель ВВГнг(А)-LS (3х2,5) → Розеточная группа, пом. 009A</v>
      </c>
      <c r="IN254" t="str" cm="1">
        <f t="array" ref="IN254">IF(IM254="","",_xlfn.LET(_xlpm.nd,_xlfn.TEXTSPLIT(IM254,"|"),IF(COLUMNS(_xlpm.nd)&gt;1,A254&amp;"¦"&amp;INDEX(_xlpm.nd,1)&amp;"¦"&amp;INDEX(_xlpm.nd,2),"")))</f>
        <v>ЩР-1¦QFD30¦кабель ВВГнг(А)-LS (3х2,5) → Розеточная группа, пом. 009A</v>
      </c>
      <c r="IO254" t="str">
        <f t="shared" si="530"/>
        <v>R.1.009A.1¦Розеточная группа, пом. 009A</v>
      </c>
      <c r="IP254" t="str" cm="1">
        <f t="array" ref="IP254">IF(IM254="","",_xlfn.LET(_xlpm.nd,_xlfn.TEXTSPLIT(IM254,"|"),IF(COLUMNS(_xlpm.nd)&gt;2,A254&amp;"¦"&amp;INDEX(_xlpm.nd,2)&amp;"¦"&amp;INDEX(_xlpm.nd,3),"")))</f>
        <v/>
      </c>
      <c r="IQ254" t="str">
        <f t="shared" si="531"/>
        <v/>
      </c>
      <c r="IR254" t="str" cm="1">
        <f t="array" ref="IR254">IF(IM254="","",_xlfn.LET(_xlpm.nd,_xlfn.TEXTSPLIT(IM254,"|"),IF(COLUMNS(_xlpm.nd)&gt;3,A254&amp;"¦"&amp;INDEX(_xlpm.nd,3)&amp;"¦"&amp;INDEX(_xlpm.nd,4),"")))</f>
        <v/>
      </c>
      <c r="IS254" t="str">
        <f t="shared" si="532"/>
        <v/>
      </c>
      <c r="IT254" t="str" cm="1">
        <f t="array" ref="IT254">IF(IM254="","",_xlfn.LET(_xlpm.nd,_xlfn.TEXTSPLIT(IM254,"|"),IF(COLUMNS(_xlpm.nd)&gt;4,A254&amp;"¦"&amp;INDEX(_xlpm.nd,4)&amp;"¦"&amp;INDEX(_xlpm.nd,5),"")))</f>
        <v/>
      </c>
      <c r="IU254" t="str">
        <f t="shared" si="533"/>
        <v/>
      </c>
      <c r="IV254" t="str" cm="1">
        <f t="array" ref="IV254">IF(IM254="","",_xlfn.LET(_xlpm.nd,_xlfn.TEXTSPLIT(IM254,"|"),IF(COLUMNS(_xlpm.nd)&gt;5,A254&amp;"¦"&amp;INDEX(_xlpm.nd,5)&amp;"¦"&amp;INDEX(_xlpm.nd,6),"")))</f>
        <v/>
      </c>
      <c r="IW254" t="str">
        <f t="shared" si="534"/>
        <v/>
      </c>
      <c r="IX254" t="str" cm="1">
        <f t="array" ref="IX254">IF(IM254="","",_xlfn.LET(_xlpm.nd,_xlfn.TEXTSPLIT(IM254,"|"),IF(COLUMNS(_xlpm.nd)&gt;6,A254&amp;"¦"&amp;INDEX(_xlpm.nd,6)&amp;"¦"&amp;INDEX(_xlpm.nd,7),"")))</f>
        <v/>
      </c>
      <c r="IY254" t="str">
        <f t="shared" si="535"/>
        <v/>
      </c>
      <c r="IZ254" t="str">
        <f t="shared" si="536"/>
        <v/>
      </c>
      <c r="JA254" t="str">
        <f t="shared" si="537"/>
        <v>QFD30</v>
      </c>
      <c r="JB254">
        <f t="shared" si="538"/>
        <v>0</v>
      </c>
      <c r="JC254">
        <f t="shared" si="539"/>
        <v>1</v>
      </c>
      <c r="JD254" t="str">
        <f t="shared" si="540"/>
        <v/>
      </c>
      <c r="JE254" t="str">
        <f t="shared" si="541"/>
        <v/>
      </c>
      <c r="JF254" t="str">
        <f t="shared" si="542"/>
        <v/>
      </c>
      <c r="JG254" t="str">
        <f t="shared" si="543"/>
        <v/>
      </c>
      <c r="JH254" t="str">
        <f>IF(B254="","",IFERROR(_xlfn.XLOOKUP(B254,Коды_код,Коды_уго),IFERROR(_xlfn.XLOOKUP(BC254,Коды_код,Коды_уго),IFERROR(_xlfn.XLOOKUP(LEFT(BC254,2),Коды_код,Коды_уго),""))))</f>
        <v>Розетка</v>
      </c>
      <c r="JI254" t="str">
        <f>IF(B254="","",IF(OR(JH254="",JH254=0),"BOX",IFERROR(IF(VLOOKUP(JH254,УГО_блоки,3,FALSE)&amp;""&lt;&gt;"",VLOOKUP(JH254,УГО_блоки,3,FALSE),VLOOKUP(JH254,УГО_блоки,2,FALSE)),JH254)))</f>
        <v>SOCKET</v>
      </c>
      <c r="JJ254">
        <f t="shared" si="544"/>
        <v>1</v>
      </c>
      <c r="JK254" t="str">
        <f>IF(DQ254="","",IF(COUNTIF(DQ$3:DQ254,DQ254)=1,MAX(JK$2:JK253)+1,""))</f>
        <v/>
      </c>
      <c r="JL254" t="str">
        <f>IF(DE254="","",IF(COUNTIF(DE$3:DE254,DE254)+COUNTIF(DF$2:DF253,DE254)+COUNTIF(DG$2:DG253,DE254)=1,MAX(JL$2:JN253)+1,""))</f>
        <v/>
      </c>
      <c r="JM254" t="str">
        <f>IF(DF254="","",IF(COUNTIF(DE$3:DE254,DF254)+COUNTIF(DF$3:DF254,DF254)+COUNTIF(DG$2:DG253,DF254)=1,MAX(JL$2:JN253,JL254)+1,""))</f>
        <v/>
      </c>
      <c r="JN254" t="str">
        <f>IF(DG254="","",IF(COUNTIF(DE$3:DE254,DG254)+COUNTIF(DF$3:DF254,DG254)+COUNTIF(DG$3:DG254,DG254)=1,MAX(JL$2:JN253,JL254,JM254)+1,""))</f>
        <v/>
      </c>
      <c r="JO254" t="str">
        <f t="shared" si="545"/>
        <v>3х2,5</v>
      </c>
      <c r="JP254" t="str">
        <f>IF(JO254="","",IF(COUNTIF(JO$3:JO254,JO254)=1,MAX(JP$2:JP253)+1,""))</f>
        <v/>
      </c>
      <c r="JQ254" t="str">
        <f>IF(HG254="","",COUNTIF(HG$3:HG254,"?*"))</f>
        <v/>
      </c>
      <c r="JR254" t="str">
        <f>IF(OR(HG254="",HI254=""),"",IF(COUNTIFS(HG$3:HG254,"?*",HI$3:HI254,HI254)=1,MAX(JR$2:JR253)+1,""))</f>
        <v/>
      </c>
      <c r="JS254">
        <f t="shared" si="546"/>
        <v>0</v>
      </c>
      <c r="JT254">
        <f>IF(B254="","",COUNTIF(B$3:B254,"?*"))</f>
        <v>252</v>
      </c>
      <c r="JU254">
        <f>IF(HL254&lt;&gt;1,0,_xlfn.LET(_xlpm.k,MAX(IFERROR(--_xlfn.XLOOKUP(B254,Коды_код,Коды_3L),0),IFERROR(--_xlfn.XLOOKUP(BC254,Коды_код,Коды_3L),0),IFERROR(--_xlfn.XLOOKUP(LEFT(BC254,2),Коды_код,Коды_3L),0)),IF(_xlpm.k&gt;0,_xlpm.k,IF(IFERROR(--LEFT(SUBSTITUTE(JO254,"x","х"),FIND("х",SUBSTITUTE(JO254,"x","х"))-1),3)&gt;3,Каталог!$S$9,1))))</f>
        <v>1</v>
      </c>
      <c r="JV254">
        <f t="shared" si="547"/>
        <v>0</v>
      </c>
      <c r="JW254" t="str">
        <f t="shared" si="548"/>
        <v>авто</v>
      </c>
      <c r="JX254">
        <f t="shared" si="549"/>
        <v>30</v>
      </c>
      <c r="JY254">
        <f t="shared" si="550"/>
        <v>1</v>
      </c>
      <c r="JZ254">
        <f t="shared" si="551"/>
        <v>1</v>
      </c>
    </row>
    <row r="255" spans="1:286" x14ac:dyDescent="0.3">
      <c r="A255" t="s">
        <v>757</v>
      </c>
      <c r="B255" t="s">
        <v>1561</v>
      </c>
      <c r="C255" t="str">
        <f>Линии[[#This Row],[_авто наименование]]</f>
        <v>Розеточная группа, пом. 010A</v>
      </c>
      <c r="D255">
        <v>2</v>
      </c>
      <c r="E255">
        <v>0.24</v>
      </c>
      <c r="G255" t="str">
        <f>Линии[[#This Row],[_авто автомат]]</f>
        <v>2P С16А 30мА</v>
      </c>
      <c r="H255" t="str">
        <f>Линии[[#This Row],[_авто управление]]</f>
        <v/>
      </c>
      <c r="I255" t="str">
        <f>Линии[[#This Row],[_авто аппараты]]</f>
        <v/>
      </c>
      <c r="J255">
        <v>2.5</v>
      </c>
      <c r="K255">
        <v>36</v>
      </c>
      <c r="L255" t="str">
        <f>Линии[[#This Row],[_авто фаза]]</f>
        <v>L1</v>
      </c>
      <c r="M255" t="s">
        <v>484</v>
      </c>
      <c r="N255" t="str">
        <f t="shared" si="414"/>
        <v/>
      </c>
      <c r="O255" s="6" cm="1">
        <f t="array" ref="O255">IF(B255="","",IF(BH255&lt;&gt;"",IFERROR(_xlfn.XLOOKUP(BH255,Щиты[Щит],Щиты[Iр, А]),""),IF(BP255=1,IF(OR(N(_xlfn.XLOOKUP(A255,Щиты[Щит],Щиты[Вводов],1))&lt;=1,LOWER(TRIM(_xlfn.XLOOKUP(A255,Щиты[Щит],Щиты[АВР],"")&amp;""))="да"),IFERROR(_xlfn.XLOOKUP(A255,Щиты[Щит],Щиты[Iр, А]),""),IFERROR(N(BS255)*_xlfn.XLOOKUP(A255,Щиты[Щит],Щиты[Кс итог])/(SQRT(3)*Uн_лин*_xlfn.XLOOKUP(A255,Щиты[Щит],Щиты[cos φ])),"")),IF(BV255=1,IFERROR(BS255*1000/BU255,""),IFERROR(_xlfn.IFS(BX255=1,BS255/((Uн_лин/SQRT(3))*CE255),BX255=3,BS255/(SQRT(3)*Uн_лин*CE255)),"")))))</f>
        <v>1.0939268258329751</v>
      </c>
      <c r="P255" s="7">
        <f>IF(B255="","",IFERROR(IF(VLOOKUP(BC255,Потребители_обозначение,4,FALSE)=1,VLOOKUP(BC255,Потребители_обозначение,3,FALSE)*(MAX(1,N(D255))*2-1)+EI255+VLOOKUP(BE255,Этаж_обозначение,3,FALSE)+VLOOKUP(BE255,Этаж_обозначение,4,FALSE),VLOOKUP(BC255,Потребители_обозначение,3,FALSE)*(MAX(1,N(D255))*2-1)+EI255),EI255))</f>
        <v>45</v>
      </c>
      <c r="Q255" s="6">
        <f t="shared" si="415"/>
        <v>1.56</v>
      </c>
      <c r="R255" t="str">
        <f t="shared" si="416"/>
        <v>ВВГнг(А)-LS (3х2,5)</v>
      </c>
      <c r="S255" t="str">
        <f>IF(BM255="","",IF(BN255="вводной узел","узел ","")&amp;"л."&amp;(INT((BM255-1)/Столбцов_на_лист)+1)&amp;" / "&amp;(MOD(BM255-1,Столбцов_на_лист)+1))</f>
        <v>л.3 / 9</v>
      </c>
      <c r="T255" s="119">
        <f t="shared" si="417"/>
        <v>0.9</v>
      </c>
      <c r="U255" s="7" t="str">
        <f>IF(OR(CG255=0,N(BV255)+N(IB255)=0),"",ROUNDUP(Запас_БП*(N(HY255)+N(HZ255)),0))</f>
        <v/>
      </c>
      <c r="V255" s="119" t="str">
        <f t="shared" si="418"/>
        <v/>
      </c>
      <c r="W255" s="7" t="str">
        <f>IFERROR(IF(OR(B255="",BP255=1,BV255=1,NOT(ISNUMBER(EN255)),N(DT255)=0),"",MAX(0,ROUNDDOWN((c_min*(Uн_лин*1000/SQRT(3))/(HT255*N(DT255))-_xlfn.XLOOKUP(A255,Щиты[Щит],Щиты[Zпетли на шинах, Ом]))*EN255/(2*ρкз_Cu),0))),"")</f>
        <v/>
      </c>
      <c r="Y255">
        <f>Линии[[#This Row],[_авто утечка]]</f>
        <v>30</v>
      </c>
      <c r="Z255">
        <v>1</v>
      </c>
      <c r="AA255">
        <v>230</v>
      </c>
      <c r="AB255" t="s">
        <v>562</v>
      </c>
      <c r="AG255" t="s">
        <v>810</v>
      </c>
      <c r="AI255" t="s">
        <v>561</v>
      </c>
      <c r="AK255" t="str">
        <f>Линии[[#This Row],[_авто модуль]]</f>
        <v/>
      </c>
      <c r="AM255">
        <v>43</v>
      </c>
      <c r="AN255" t="s">
        <v>11</v>
      </c>
      <c r="AO255">
        <v>3</v>
      </c>
      <c r="AQ255">
        <v>0</v>
      </c>
      <c r="AR255">
        <v>0</v>
      </c>
      <c r="AS255">
        <v>40</v>
      </c>
      <c r="BA255" cm="1">
        <f t="array" ref="BA255">ROW()-ROW(Линии[#Headers])</f>
        <v>253</v>
      </c>
      <c r="BC255" s="6" t="str">
        <f t="shared" si="419"/>
        <v>R</v>
      </c>
      <c r="BD255" t="str">
        <f t="shared" si="420"/>
        <v>1.010A.1</v>
      </c>
      <c r="BE255" t="str">
        <f t="shared" si="421"/>
        <v>1</v>
      </c>
      <c r="BF255" t="str">
        <f t="shared" si="422"/>
        <v>010A.1</v>
      </c>
      <c r="BG255" t="str">
        <f t="shared" si="423"/>
        <v>010A</v>
      </c>
      <c r="BH255" t="str">
        <f>IF(X255&lt;&gt;"",X255,IF(AND(B255&lt;&gt;"",B255&lt;&gt;A255,ISNUMBER(_xlfn.XMATCH(B255,Щиты[Щит]))),B255,""))</f>
        <v/>
      </c>
      <c r="BI255" t="str" cm="1">
        <f t="array" ref="BI255">IF(B255="","",IF(BH255&lt;&gt;"","Щит "&amp;BH255,_xlfn.LET(_xlpm.nm,IFERROR(_xlfn.XLOOKUP(BC255,Коды_код,Коды_имя)&amp;"",""),_xlpm.md,IFERROR(N(_xlfn.XLOOKUP(BC255,Коды_код,Коды_режим)),1),_xlpm.ex,IF(Имя_режим="по экспликации",IFERROR(_xlfn.XLOOKUP(BE255&amp;"|"&amp;BG255,Экспликация[Этаж]&amp;"|"&amp;Экспликация[Помещение],Экспликация[Название])&amp;"",""),""),_xlpm.rm,IF(BG255="","",IF(_xlpm.ex&lt;&gt;"",". "&amp;_xlpm.ex&amp;IF(Имя_пом="нет"," ("&amp;BG255&amp;")"," (пом. "&amp;BG255&amp;")"),IF(Имя_пом="нет"," ",", пом. ")&amp;BG255)),IF(_xlpm.nm="","",IF(_xlpm.md=2,_xlpm.nm&amp;" шлейф "&amp;BE255,_xlpm.nm&amp;_xlpm.rm)))))</f>
        <v>Розеточная группа, пом. 010A</v>
      </c>
      <c r="BJ255" t="str">
        <f t="shared" si="424"/>
        <v>Розеточная группа, пом. 010A</v>
      </c>
      <c r="BK255">
        <f>IFERROR(_xlfn.XMATCH(A255,Щиты[Щит]),0)</f>
        <v>10</v>
      </c>
      <c r="BL255">
        <f>_xlfn.LET(_xlpm.k,IFERROR(_xlfn.XLOOKUP(A255,Щиты[Щит],Щиты[Мест под вводной узел]),""),IF(_xlpm.k="",Столбцов_на_лист,N(_xlpm.k)))</f>
        <v>8</v>
      </c>
      <c r="BM255">
        <f t="shared" si="425"/>
        <v>43</v>
      </c>
      <c r="BN255" t="str">
        <f t="shared" si="426"/>
        <v>линии</v>
      </c>
      <c r="BO255" s="6">
        <f>IFERROR(N(_xlfn.XLOOKUP(BC255,Коды_код,Коды_квт)),0)</f>
        <v>0</v>
      </c>
      <c r="BP255">
        <f t="shared" si="427"/>
        <v>0</v>
      </c>
      <c r="BQ255" t="str">
        <f>IF(B255="","",IF(BH255&lt;&gt;"",IFERROR(_xlfn.XLOOKUP(BH255,Щиты[Щит],Щиты[Руст, кВт]),0),IF(BP255=1,IF(OR(N(_xlfn.XLOOKUP(A255,Щиты[Щит],Щиты[Вводов],1))&lt;=1,LOWER(TRIM(_xlfn.XLOOKUP(A255,Щиты[Щит],Щиты[АВР],"")&amp;""))="да"),IFERROR(_xlfn.XLOOKUP(A255,Щиты[Щит],Щиты[Руст, кВт]),0),SUMIFS(Линии[_Р для вводов],Линии[Щит],A255,Линии[Источник для режимов],GF255)),IF(BO255&gt;0,ROUND(BO255*MAX(1,N(D255)),3),""))))</f>
        <v/>
      </c>
      <c r="BR255">
        <f t="shared" si="428"/>
        <v>0.24</v>
      </c>
      <c r="BS255" s="6">
        <f>IF(B255="","",IF(BH255&lt;&gt;"",IFERROR(_xlfn.XLOOKUP(BH255,Щиты[Щит],Щиты[Руст, кВт]),0),N(BR255)))</f>
        <v>0.24</v>
      </c>
      <c r="BT255" t="str">
        <f>IF(B255="","",IFERROR(IF(VLOOKUP(BC255,Потребители_обозначение,8,FALSE)=0,"",VLOOKUP(BC255,Потребители_обозначение,8,FALSE)),""))</f>
        <v/>
      </c>
      <c r="BU255">
        <f t="shared" si="429"/>
        <v>230</v>
      </c>
      <c r="BV255">
        <f t="shared" si="430"/>
        <v>0</v>
      </c>
      <c r="BW255">
        <f>IF(B255="","",IF(BH255&lt;&gt;"",3,IFERROR(IF(N(VLOOKUP(BC255,Потребители_обозначение,9,FALSE))=0,1,VLOOKUP(BC255,Потребители_обозначение,9,FALSE)),1)))</f>
        <v>1</v>
      </c>
      <c r="BX255">
        <f t="shared" si="431"/>
        <v>1</v>
      </c>
      <c r="BY255" t="str">
        <f>IF(B255="","",_xlfn.LET(_xlpm.bc,IFERROR(IF(VLOOKUP(BC255,Потребители_обозначение,6,FALSE)=0,"",VLOOKUP(BC255,Потребители_обозначение,6,FALSE)&amp;""),""),IF(AND(GA255="да",OR(_xlpm.bc="",_xlpm.bc="мс")),Марка_пож,IF(AND(_xlpm.bc="",BH255&lt;&gt;""),"мс",_xlpm.bc))))</f>
        <v/>
      </c>
      <c r="BZ255" t="str">
        <f t="shared" si="432"/>
        <v>мс</v>
      </c>
      <c r="CA255">
        <f>IF(B255="","",_xlfn.LET(_xlpm.cc,IFERROR(N(VLOOKUP(BC255,Потребители_обозначение,7,FALSE)),0),IF(_xlpm.cc&gt;0,_xlpm.cc,IF(BZ255="","",IF(BV255=1,2,IF(N(BX255)=3,5,3))))))</f>
        <v>3</v>
      </c>
      <c r="CB255">
        <f t="shared" si="433"/>
        <v>3</v>
      </c>
      <c r="CC255">
        <f>IFERROR(N(VLOOKUP(BC255,Потребители_обозначение,10,FALSE)),0)</f>
        <v>0</v>
      </c>
      <c r="CD255">
        <f>IFERROR(VLOOKUP(BC255,Потребители_обозначение,5,FALSE),0)</f>
        <v>1</v>
      </c>
      <c r="CE255" s="6" cm="1">
        <f t="array" ref="CE255">IF(B255="","",IF(BH255&lt;&gt;"",IFERROR(_xlfn.XLOOKUP(BH255,Щиты[Щит],Щиты[cos φ]),0.95),IF(BP255=1,IFERROR(_xlfn.XLOOKUP(A255,Щиты[Щит],Щиты[cos φ]),0.95),IF(ISNUMBER(AD255),AD255,IFERROR(IF(CD255=2,_xlfn.IFS(BX255=3,VLOOKUP(BS255,Справочная_двигатели,8,FALSE),BX255=1,VLOOKUP(BS255,Справочная_двигатели,10,TRUE)),IF(AND(Методика="нормы 2026",FG255="Сил"),0.8,0.95)),0.95)))))</f>
        <v>0.95</v>
      </c>
      <c r="CF255">
        <f t="shared" si="434"/>
        <v>0</v>
      </c>
      <c r="CG255">
        <f t="shared" si="435"/>
        <v>1</v>
      </c>
      <c r="CH255">
        <f t="shared" si="436"/>
        <v>0</v>
      </c>
      <c r="CI255">
        <f>IF(B255="","",IF(BV255=1,IFERROR(BS255/((Uн_лин/SQRT(3))*MAX(0.5,N(CE255))),0),N(O255)))</f>
        <v>1.0939268258329751</v>
      </c>
      <c r="CJ255">
        <f t="shared" si="437"/>
        <v>0</v>
      </c>
      <c r="CK255">
        <f t="shared" si="438"/>
        <v>0</v>
      </c>
      <c r="CL255">
        <f t="shared" si="439"/>
        <v>0</v>
      </c>
      <c r="CM255">
        <f t="shared" si="440"/>
        <v>0</v>
      </c>
      <c r="CN255">
        <f t="shared" si="441"/>
        <v>0</v>
      </c>
      <c r="CO255">
        <f>IF(BC255="",0,_xlfn.LET(_xlpm.v,IFERROR(_xlfn.XLOOKUP(B255,Коды_код,Коды_мА),IFERROR(_xlfn.XLOOKUP(BC255,Коды_код,Коды_мА),IFERROR(_xlfn.XLOOKUP(LEFT(BC255,2),Коды_код,Коды_мА),""))),IF(_xlpm.v="да",30,IF(ISNUMBER(_xlpm.v),_xlpm.v,0))))</f>
        <v>30</v>
      </c>
      <c r="CP255">
        <f t="shared" si="442"/>
        <v>30</v>
      </c>
      <c r="CQ255" t="str">
        <f>_xlfn.LET(_xlpm.k,IFERROR(_xlfn.XLOOKUP(BC255,Коды_код,Коды_утечка)&amp;"",""),IF(_xlpm.k="","дифавтомат",_xlpm.k))</f>
        <v>дифавтомат</v>
      </c>
      <c r="CR255" t="str" cm="1">
        <f t="array" ref="CR255">IF(CG255=0,"",_xlfn.LET(_xlpm.sg,TRIM(_xlfn.TEXTSPLIT(DD255&amp;"",";")),_xlpm.f_,_xlfn._xlws.FILTER(_xlpm.sg,LEFT(_xlpm.sg,3)="УЗО",""),IFERROR(INDEX(_xlpm.f_,1)&amp;"","")))</f>
        <v/>
      </c>
      <c r="CS255" t="str">
        <f t="shared" si="443"/>
        <v/>
      </c>
      <c r="CT255" s="6" t="str" cm="1">
        <f t="array" ref="CT255">IF(CR255="","",_xlfn.LET(_xlpm.tk,_xlfn.TEXTSPLIT(UPPER(CR255)," ",,TRUE),_xlpm.a_,_xlfn._xlws.FILTER(_xlpm.tk,ISNUMBER(--LEFT(_xlpm.tk,1))*((ISNUMBER(SEARCH("А",_xlpm.tk))+ISNUMBER(SEARCH("A",_xlpm.tk)))&gt;0)*NOT(ISNUMBER(SEARCH("МА",_xlpm.tk)))*NOT(ISNUMBER(SEARCH("MA",_xlpm.tk))),""),IFERROR(--SUBSTITUTE(SUBSTITUTE(INDEX(_xlpm.a_,1),"А",""),"A",""),"")))</f>
        <v/>
      </c>
      <c r="CU255" t="str" cm="1">
        <f t="array" ref="CU255">IF(CR255="","",_xlfn.LET(_xlpm.tk,_xlfn.TEXTSPLIT(UPPER(CR255)," ",,TRUE),_xlpm.a_,_xlfn._xlws.FILTER(_xlpm.tk,ISNUMBER(--LEFT(_xlpm.tk,1))*((ISNUMBER(SEARCH("МА",_xlpm.tk))+ISNUMBER(SEARCH("MA",_xlpm.tk)))&gt;0),""),IFERROR(--SUBSTITUTE(SUBSTITUTE(INDEX(_xlpm.a_,1),"МА",""),"MA",""),30)))</f>
        <v/>
      </c>
      <c r="CV255" t="str">
        <f>IF(CS255="","",IFERROR(_xlfn.XLOOKUP(CS255,Линии[_n],Линии[_УЗО, мА]),30))</f>
        <v/>
      </c>
      <c r="CW255">
        <f>IF(CS255="",0,IF(ISNUMBER(SEARCH("4P",IFERROR(_xlfn.XLOOKUP(CS255,Линии[_n],Линии[_УЗО строки])&amp;"",""))),0,1))</f>
        <v>0</v>
      </c>
      <c r="CX255" t="str">
        <f>IF(AND(CS255&lt;&gt;"",CS255=BA255),SUMIFS(Линии[_ток на 230 В],Линии[_блок УЗО],BA255,Линии[Щит],A255),"")</f>
        <v/>
      </c>
      <c r="CY255" t="str">
        <f>IF(AND(CS255&lt;&gt;"",CS255=BA255),SUMIFS(Линии[_ток утечки линии, мА],Линии[_блок УЗО],BA255,Линии[Щит],A255),"")</f>
        <v/>
      </c>
      <c r="CZ255">
        <f t="shared" si="444"/>
        <v>30</v>
      </c>
      <c r="DA255">
        <f t="shared" si="445"/>
        <v>30</v>
      </c>
      <c r="DB255">
        <f>IF(B255="",0,IFERROR(--_xlfn.XLOOKUP(B255,Коды_код,Коды_минавт),IFERROR(--_xlfn.XLOOKUP(BC255,Коды_код,Коды_минавт),IFERROR(--_xlfn.XLOOKUP(LEFT(BC255,2),Коды_код,Коды_минавт),0))))</f>
        <v>16</v>
      </c>
      <c r="DC255" t="str">
        <f>IF(B255="","",IFERROR(_xlfn.XLOOKUP(BC255,Коды_код,Коды_апп)&amp;"",""))</f>
        <v/>
      </c>
      <c r="DD255" t="str">
        <f t="shared" si="446"/>
        <v/>
      </c>
      <c r="DE255" t="str" cm="1">
        <f t="array" ref="DE255">IF(TRIM(DD255&amp;"")="","",IFERROR(TRIM(INDEX(_xlfn.TEXTSPLIT(DD255&amp;";;;",";"),1)),""))</f>
        <v/>
      </c>
      <c r="DF255" t="str" cm="1">
        <f t="array" ref="DF255">IF(TRIM(DD255&amp;"")="","",IFERROR(TRIM(INDEX(_xlfn.TEXTSPLIT(DD255&amp;";;;",";"),2)),""))</f>
        <v/>
      </c>
      <c r="DG255" t="str" cm="1">
        <f t="array" ref="DG255">IF(TRIM(DD255&amp;"")="","",IFERROR(TRIM(INDEX(_xlfn.TEXTSPLIT(DD255&amp;";;;",";"),3)),""))</f>
        <v/>
      </c>
      <c r="DH255">
        <f t="shared" si="447"/>
        <v>0</v>
      </c>
      <c r="DI255" t="str">
        <f>IF(B255="","",_xlfn.LET(_xlpm.t,LOWER(AZ255&amp;""),IF(ISNUMBER(SEARCH("dim",_xlpm.t)),"DIM",IF(ISNUMBER(SEARCH("dali",_xlpm.t)),"DALI",IF(OR(ISNUMBER(SEARCH("relay",_xlpm.t)),ISNUMBER(SEARCH("реле",_xlpm.t))),"Relay",IF(ISNUMBER(SEARCH("кнопк",_xlpm.t)),"",IFERROR(_xlfn.XLOOKUP(BC255,Коды_код,Коды_упр)&amp;"","")))))))</f>
        <v/>
      </c>
      <c r="DJ255" t="str">
        <f t="shared" si="448"/>
        <v/>
      </c>
      <c r="DK255">
        <f>IF(B255="","",_xlfn.LET(_xlpm.ig,IF(N(CX255)&gt;0,N(CX255),N(CI255)+IF(AJ255="вручную",0,N(CJ255))),_xlpm.n0,IFERROR(VLOOKUP(_xlpm.ig,Автомат_номиналы,2,TRUE),0),_xlpm.mn,MAX(DB255,IF(AJ255="вручную",0,N(CM255))),MAX(_xlpm.n0,_xlpm.mn,IF(DH255=1,Мин_автомат_БП,0))))</f>
        <v>16</v>
      </c>
      <c r="DL255">
        <f t="shared" si="449"/>
        <v>1</v>
      </c>
      <c r="DM255" t="str">
        <f t="shared" si="450"/>
        <v>2P</v>
      </c>
      <c r="DN255" t="str">
        <f>_xlfn.LET(_xlpm.cc,UPPER(TRIM(IFERROR(_xlfn.XLOOKUP(BC255,Коды_код,Коды_хар)&amp;"",""))),IF(OR(_xlpm.cc="B",_xlpm.cc="В"),"B",IF(_xlpm.cc="D","D","С")))</f>
        <v>С</v>
      </c>
      <c r="DO255" t="str">
        <f t="shared" si="451"/>
        <v>2P С16А 30мА</v>
      </c>
      <c r="DP255" t="str">
        <f t="shared" si="452"/>
        <v>2P С16А 30мА</v>
      </c>
      <c r="DQ255" t="str">
        <f t="shared" si="453"/>
        <v>2P С16А 30мА</v>
      </c>
      <c r="DR255" cm="1">
        <f t="array" ref="DR255">IF(DQ255="","",_xlfn.LET(_xlpm.t,SUBSTITUTE(SUBSTITUTE(SUBSTITUTE(UPPER(DQ255),"С","C"),"А","A"),"В","B"),_xlpm.tk,_xlfn.TEXTSPLIT(_xlpm.t," "),_xlpm.f,_xlfn._xlws.FILTER(_xlpm.tk,ISNUMBER(--MID(_xlpm.tk,2,1))*ISNUMBER(SEARCH(LEFT(_xlpm.tk,1)&amp;"#","B#C#D#"))*(LEN(_xlpm.tk)&gt;1),""),_xlpm.x,INDEX(_xlpm.f,1),IFERROR(--SUBSTITUTE(MID(_xlpm.x,2,9),"A",""),IFERROR(--SUBSTITUTE(INDEX(_xlfn._xlws.FILTER(_xlpm.tk,ISNUMBER(--SUBSTITUTE(_xlpm.tk,"A","")),""),1),"A",""),""))))</f>
        <v>16</v>
      </c>
      <c r="DS255" t="str">
        <f t="shared" si="454"/>
        <v>ok</v>
      </c>
      <c r="DT255">
        <f t="shared" si="455"/>
        <v>16</v>
      </c>
      <c r="DU255" t="str">
        <f t="shared" si="456"/>
        <v>2P С16А 30мА</v>
      </c>
      <c r="DV255">
        <f t="shared" si="457"/>
        <v>30</v>
      </c>
      <c r="DW255">
        <f t="shared" si="458"/>
        <v>1</v>
      </c>
      <c r="DX255">
        <f t="shared" si="459"/>
        <v>0</v>
      </c>
      <c r="DY255">
        <f t="shared" si="460"/>
        <v>1.0939268258329751</v>
      </c>
      <c r="DZ255">
        <f t="shared" si="461"/>
        <v>1</v>
      </c>
      <c r="EA255">
        <f>IF(ISNUMBER(AP255),AP255,К_прокл)</f>
        <v>1</v>
      </c>
      <c r="EB255">
        <f t="shared" si="462"/>
        <v>2</v>
      </c>
      <c r="EC255">
        <f>IFERROR(N(VLOOKUP(BZ255,Кабель_обозначение,3,FALSE)),1)</f>
        <v>1</v>
      </c>
      <c r="ED255">
        <f>IFERROR(N(_xlfn.XLOOKUP(A255,Щиты[Щит],Щиты[ΔU до шин, %])),0)</f>
        <v>1.19</v>
      </c>
      <c r="EE255" t="str">
        <f>IFERROR(_xlfn.XLOOKUP(A255,Щиты[Щит],Щиты[Zпетли на шинах, Ом]),"")</f>
        <v/>
      </c>
      <c r="EF255">
        <f>IFERROR(N(_xlfn.XLOOKUP(A255,Щиты[Щит],Щиты[ΔU до шин (подбор), %])),0)</f>
        <v>1.19</v>
      </c>
      <c r="EG255" t="str">
        <f>IFERROR(_xlfn.XLOOKUP(A255,Щиты[Щит],Щиты[Zпетли на шинах (подбор), Ом]),"")</f>
        <v/>
      </c>
      <c r="EH255" t="str">
        <f t="shared" si="463"/>
        <v/>
      </c>
      <c r="EI255">
        <f t="shared" si="464"/>
        <v>36</v>
      </c>
      <c r="EJ255">
        <f t="shared" si="465"/>
        <v>2</v>
      </c>
      <c r="EK255">
        <f t="shared" si="466"/>
        <v>0.31</v>
      </c>
      <c r="EL255" s="6">
        <f>IF(B255="","",IF(BV255=1,dU_LED,IF(IFERROR(_xlfn.XLOOKUP(BC255,Коды_код,Коды_уго),"")="Светильник",3,4)+IF(Методика="нормы 2026",MIN(0.5,MAX(0,N(P255)-100)*0.005),0)))</f>
        <v>4</v>
      </c>
      <c r="EM255" cm="1">
        <f t="array" ref="EM255">IF(OR(B255="",BZ255="",EC255&lt;&gt;1),"",_xlfn.LET(_xlpm.sz,Iдоп_S,_xlpm.t_,CHOOSE(EB255,Iдоп_1ж,Iдоп_2ж,Iдоп_3ж)*DZ255*EA255,_xlpm.dcx,BV255=1,_xlpm.inn,IF(_xlpm.dcx,N(O255),N(DT255)),_xlpm.smin,MAX(1.5,CC255),_xlpm.L_,N(P255)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255)/N(BU255)*100,999),IFERROR(N(EJ255)*(_xlpm.rho*_xlpm.L_/_xlpm.sz*N(CE255)+_xlpm.xx*_xlpm.L_*N(EK255)/1000)*N(O255)/((Uн_лин/SQRT(3))*1000)*100,999)),_xlpm.kz,IF(OR(_xlpm.dcx,DW255=1,NOT(ISNUMBER(EG255)),_xlpm.L_=0,_xlpm.inn=0),1,IFERROR(--(c_min*(Uн_лин*1000/SQRT(3))/(EG255+2*ρкз_Cu*_xlpm.L_/_xlpm.sz)&gt;=HT255*_xlpm.inn),0)),_xlpm.ok,IFERROR((_xlpm.sz&gt;=_xlpm.smin)*(_xlpm.t_&gt;=_xlpm.inn)*IF(_xlpm.L_&gt;0,(_xlpm.du_+IF(_xlpm.dcx,0,EF255)&lt;=EL255+0.00001),1)*_xlpm.kz,0),_xlpm.r_,_xlfn._xlws.FILTER(_xlpm.sz,_xlpm.ok,"не подобрано"),INDEX(_xlpm.r_,1)))</f>
        <v>1.5</v>
      </c>
      <c r="EN255">
        <f t="shared" si="467"/>
        <v>2.5</v>
      </c>
      <c r="EO255" cm="1">
        <f t="array" ref="EO255">IF(OR(B255="",BZ255="",EC255&lt;&gt;1),"",_xlfn.LET(_xlpm.sz,Iдоп_S,_xlpm.t_,CHOOSE(EB255,Iдоп_1ж,Iдоп_2ж,Iдоп_3ж)*DZ255*EA255,_xlpm.ok,IFERROR((_xlpm.sz&gt;=MAX(1.5,CC255))*(_xlpm.t_&gt;=N(DT255)),0),_xlpm.r_,_xlfn._xlws.FILTER(_xlpm.sz,_xlpm.ok,""),INDEX(_xlpm.r_,1)))</f>
        <v>1.5</v>
      </c>
      <c r="EP255" s="6" cm="1">
        <f t="array" ref="EP255">IFERROR(ROUNDUP(N(EJ255)*(_xlfn.XLOOKUP(EO255,INDEX(Кабель_сопротивление,0,1),INDEX(Кабель_сопротивление,0,3))*N(P255)/EO255*N(CE255)+_xlfn.XLOOKUP(EO255,INDEX(Кабель_сопротивление,0,1),INDEX(Кабель_сопротивление,0,2))*N(P255)*N(EK255)/1000)*N(O255)/((Uн_лин/SQRT(3))*1000)*100,2),"")</f>
        <v>0.61</v>
      </c>
      <c r="EQ255">
        <f>IFERROR(2*ρкз_Cu*N(P255)/EO255,"")</f>
        <v>1.5780000000000001</v>
      </c>
      <c r="ER255">
        <f>IFERROR(VLOOKUP(EN255,Кабель_сопротивление,3,FALSE),"")</f>
        <v>2.2499999999999999E-2</v>
      </c>
      <c r="ES255">
        <f>IFERROR(VLOOKUP(EN255,Кабель_сопротивление,2,FALSE),"")</f>
        <v>0.1</v>
      </c>
      <c r="ET255">
        <f t="shared" si="468"/>
        <v>0</v>
      </c>
      <c r="EU255">
        <f t="shared" si="469"/>
        <v>40</v>
      </c>
      <c r="EV255">
        <f t="shared" si="470"/>
        <v>0.84482874832254828</v>
      </c>
      <c r="EW255" s="6">
        <f>IFERROR(ROUNDUP(EV255/IF(BV255=1,BU255,(Uн_лин/SQRT(3))*1000)*100,2),"")</f>
        <v>0.37</v>
      </c>
      <c r="EX255" t="str">
        <f>IFERROR(VLOOKUP(BZ255,Кабель_обозначение,2,FALSE),"")</f>
        <v>ВВГнг(А)-LS</v>
      </c>
      <c r="EY255" t="str">
        <f t="shared" si="471"/>
        <v>ВВГнг(А)-LS (3х2,5)</v>
      </c>
      <c r="EZ255" t="str">
        <f t="shared" si="472"/>
        <v>ВВГнг(А)-LS (3х2,5)
L=45-0,37%</v>
      </c>
      <c r="FA255">
        <f>IFERROR(2*ρкз_Cu*P255/EN255,"")</f>
        <v>0.94679999999999997</v>
      </c>
      <c r="FB255">
        <f t="shared" si="473"/>
        <v>0.31500000000000006</v>
      </c>
      <c r="FC255" s="6" t="str">
        <f>IFERROR(IF(OR(B255="",BV255=1,NOT(ISNUMBER(EN255)),N(P255)=0),"",_xlfn.XLOOKUP(A255,Щиты[Щит],Щиты[Zпетли на шинах, Ом])+FA255),"")</f>
        <v/>
      </c>
      <c r="FD255" s="6" t="str">
        <f>IF(ISNUMBER(FC255),c_min*(Uн_лин*1000/SQRT(3))/FC255,"")</f>
        <v/>
      </c>
      <c r="FE255" s="6" t="str">
        <f>IFERROR(IF(OR(B255="",NOT(ISNUMBER(EN255))),"",1.05*(Uн_лин*1000/SQRT(3))/(_xlfn.XLOOKUP(A255,Щиты[Щит],Щиты[Zmax на шинах, Ом])+FB255)/1000),"")</f>
        <v/>
      </c>
      <c r="FF255" s="6" t="str">
        <f>IF(B255="","",IF(ISNUMBER(AC255),"Сил",IF(IFERROR(_xlfn.XLOOKUP(BC255,Коды_код,Коды_группа)&amp;"","")="","Быт",_xlfn.XLOOKUP(BC255,Коды_код,Коды_группа)&amp;"")))</f>
        <v>Быт</v>
      </c>
      <c r="FG255" s="6" t="str">
        <f t="shared" si="474"/>
        <v>Быт</v>
      </c>
      <c r="FH255" s="6">
        <f>IF(FG255="Щит","щит",IF(FG255="","",IF(FG255="Быт",IFERROR(_xlfn.XLOOKUP(A255,Щиты[Щит],Щиты[Кс быт]),1),IF(FG255="Сил",IF(ISNUMBER(AC255),AC255,IF(Методика="нормы 2026",IFERROR(_xlfn.XLOOKUP(A255,Щиты[Щит],Щиты[Кс силовых (табл. 7.5)]),1),1)),IF(OR(FG255="Пост",FG255="Отоп"),1,IF(FG255="ВНГ",0.7,0))))))</f>
        <v>0.57830000000000004</v>
      </c>
      <c r="FI255">
        <f>IF(FG255="","",IF(AND(BP255=1,TRIM(AE255&amp;"")=""),IF(COUNTIFS(Линии[Щит],A255,Линии[Секция (1/2/3)],"&gt;=2")&gt;0,MIN(3,MAX(1,IFERROR(--BD255,1))),1),IFERROR(MIN(3,MAX(1,INT(--AE255))),1)))</f>
        <v>1</v>
      </c>
      <c r="FJ255">
        <f t="shared" si="475"/>
        <v>0.24</v>
      </c>
      <c r="FK255">
        <f t="shared" si="476"/>
        <v>0.24</v>
      </c>
      <c r="FL255">
        <f t="shared" si="477"/>
        <v>0</v>
      </c>
      <c r="FM255">
        <f t="shared" si="478"/>
        <v>0</v>
      </c>
      <c r="FN255">
        <f t="shared" si="479"/>
        <v>0</v>
      </c>
      <c r="FO255">
        <f t="shared" si="480"/>
        <v>0</v>
      </c>
      <c r="FP255">
        <f t="shared" si="481"/>
        <v>0.24</v>
      </c>
      <c r="FQ255">
        <f t="shared" si="482"/>
        <v>0.24</v>
      </c>
      <c r="FR255">
        <f t="shared" si="483"/>
        <v>0.22799999999999998</v>
      </c>
      <c r="FS255">
        <f>IF(CG255=1,IF(AND(CH255=1,CW255=1),0,IF(AND(CS255&lt;&gt;"",CS255=BA255,CW255=1),SUMIFS(Линии[_Р линии, кВт],Линии[_блок УЗО],BA255,Линии[Щит],A255),N(BS255)+IF(AJ255="вручную",0,N(CK255)))),0)</f>
        <v>0.24</v>
      </c>
      <c r="FT255" t="str">
        <f t="shared" si="484"/>
        <v/>
      </c>
      <c r="FU255" t="str">
        <f>IF(B255="","",IF(CG255=0,IF(BA255=1,"",FW254),IF(AND(CH255=1,CW255=1,CS255&lt;&gt;""),IFERROR(_xlfn.XLOOKUP(CS255,Линии[_n],Линии[_фаза итог]),"L1"),IF(OR(N(DL255)&gt;=3,N(BX255)&gt;=3),"L1,L2,L3",IFERROR(_xlfn.TEXTBEFORE(_xlfn.TEXTAFTER(_xlfn.XLOOKUP(A255,Щиты[Щит],Щиты[_фазы авто]),";"&amp;BA255&amp;":"),";"),"L1")))))</f>
        <v>L1</v>
      </c>
      <c r="FV255" t="str">
        <f t="shared" si="485"/>
        <v>L1</v>
      </c>
      <c r="FW255" t="str">
        <f t="shared" si="486"/>
        <v>L1</v>
      </c>
      <c r="FX255" cm="1">
        <f t="array" ref="FX255">IFERROR(IF(CD255=2,_xlfn.IFS(BX255=3,VLOOKUP(BS255,Справочная_двигатели,3,FALSE),BX255=1,VLOOKUP(BS255,Справочная_двигатели,5,TRUE)),0),0)</f>
        <v>0</v>
      </c>
      <c r="FY255">
        <f>IFERROR(IF(CD255=3,VLOOKUP(BS255,Справочная_ЛЭД,2,TRUE),0),0)</f>
        <v>0</v>
      </c>
      <c r="FZ255" s="6">
        <f t="shared" si="487"/>
        <v>0</v>
      </c>
      <c r="GA255" t="str">
        <f>IF(B255="","",IF(TRIM(AH255&amp;"")&lt;&gt;"",IF(LOWER(TRIM(AH255&amp;""))="да","да","нет"),IF(IFERROR(_xlfn.XLOOKUP(BC255,Коды_код,Коды_пожарная),"")="да","да","нет")))</f>
        <v>нет</v>
      </c>
      <c r="GB255" t="str">
        <f t="shared" si="488"/>
        <v/>
      </c>
      <c r="GC255" t="str">
        <f t="shared" si="489"/>
        <v>основная</v>
      </c>
      <c r="GD255">
        <f>IF(AND(BP255=1,TRIM(AE255&amp;"")=""),IF(COUNTIFS(Линии[Щит],A255,Линии[Секция (1/2/3)],"&gt;=2")&gt;0,MIN(3,MAX(1,IFERROR(--BD255,1))),1),IFERROR(MIN(3,MAX(1,INT(--AE255))),1))</f>
        <v>1</v>
      </c>
      <c r="GE255" t="str" cm="1">
        <f t="array" ref="GE255">IF(B255="","",_xlfn.LET(_xlpm.t,IFERROR(_xlfn.XLOOKUP(1,(Шины[Шина]=GC255)*(((Шины[Щит]=A255)+(Шины[Щит]=""))&gt;0),Шины[Тип]),"")&amp;"",IF(_xlpm.t&lt;&gt;"",_xlpm.t,IF(ISNUMBER(SEARCH("ИБП",GC255)),"ИБП",IF(ISNUMBER(SEARCH("ДГУ",GC255)),"ДГУ","Ввод "&amp;GD255)))))</f>
        <v>Ввод 1</v>
      </c>
      <c r="GF255" t="str">
        <f t="shared" si="490"/>
        <v>Ввод 1</v>
      </c>
      <c r="GG255" t="str">
        <f>IF(BP255=0,"",IF(TRIM(AG255&amp;"")&lt;&gt;"",TRIM(AG255&amp;""),IF(OR(GE255="ИБП",GE255="ДГУ"),"I особая",_xlfn.XLOOKUP(A255,Щиты[Щит],Щиты[Категория шины «Ввод»],"III"))))</f>
        <v/>
      </c>
      <c r="GH255" t="str">
        <f>IF(A255="","",_xlfn.XLOOKUP(A255,Щиты[Щит],Щиты[Путь],""))</f>
        <v>|ГРЩ-ЖД|ЩР-1|</v>
      </c>
      <c r="GI255" t="str">
        <f>IF(B255="","",IF(AI255&lt;&gt;"",AI255,IF(IFERROR(_xlfn.XLOOKUP(BC255,Коды_код,Коды_вид)&amp;"","")="","Прочее",_xlfn.XLOOKUP(BC255,Коды_код,Коды_вид)&amp;"")))</f>
        <v>Розеточная сеть и бытовые приборы</v>
      </c>
      <c r="GJ255">
        <f>IF(BM255="","",INT((BM255-1)/Столбцов_на_лист)+1)</f>
        <v>3</v>
      </c>
      <c r="GK255" t="str">
        <f t="shared" si="491"/>
        <v>ВВГнг(А)-LS (3х2,5) L=45-0,37%</v>
      </c>
      <c r="GL255">
        <f t="shared" si="492"/>
        <v>0.24</v>
      </c>
      <c r="GM255">
        <f t="shared" si="493"/>
        <v>1.1000000000000001</v>
      </c>
      <c r="GN255">
        <f t="shared" si="494"/>
        <v>1</v>
      </c>
      <c r="GO255">
        <f t="shared" si="495"/>
        <v>0</v>
      </c>
      <c r="GP255">
        <f t="shared" si="496"/>
        <v>1</v>
      </c>
      <c r="GQ255">
        <f>IF(BM255="","",IF(AND(CG255=1,GP255=1),COUNTIFS(A$3:A255,A255,CG$3:CG255,1,GP$3:GP255,1),IF(OR(OR(BA255=1,A255&lt;&gt;A254),AJ255="вручную",GP255=0),"",IF(BA255=1,"",GR254))))</f>
        <v>31</v>
      </c>
      <c r="GR255">
        <f t="shared" si="497"/>
        <v>31</v>
      </c>
      <c r="GS255">
        <f>IF(B255="","",IFERROR(LOOKUP(INDEX(CHOOSE(EB255,Iдоп_1ж,Iдоп_2ж,Iдоп_3ж),MATCH(EN255,Iдоп_S,0))*DZ255*EA255,{6,10,16,20,25,32,40,50,63,80,100,125,160,200,250,315,400,500,630}),""))</f>
        <v>25</v>
      </c>
      <c r="GT255" t="str">
        <f t="shared" si="498"/>
        <v>QFD31</v>
      </c>
      <c r="GU255" t="str">
        <f t="shared" si="499"/>
        <v>QFD31</v>
      </c>
      <c r="GV255" t="str">
        <f t="shared" si="500"/>
        <v/>
      </c>
      <c r="GW255">
        <f t="shared" si="501"/>
        <v>0</v>
      </c>
      <c r="GX255" t="str">
        <f>IF(OR(B255="",DJ255=""),"",IFERROR(_xlfn.XLOOKUP(DJ255,Модули_умолч[Управление],Модули_умолч[Модель])&amp;"",""))</f>
        <v/>
      </c>
      <c r="GY255">
        <f>IF(DJ255="",1,IFERROR(MAX(0,N(_xlfn.XLOOKUP(DJ255,Модули_умолч[Управление],Модули_умолч[Каналов на линию]))),1))</f>
        <v>1</v>
      </c>
      <c r="GZ255" t="str">
        <f t="shared" si="502"/>
        <v/>
      </c>
      <c r="HA255" t="str">
        <f t="shared" si="503"/>
        <v/>
      </c>
      <c r="HB255" t="str">
        <f t="shared" si="504"/>
        <v/>
      </c>
      <c r="HC255">
        <f>IF(HB255="",0,IFERROR(N(VLOOKUP(HB255,Модули_спр,3,FALSE)),0))</f>
        <v>0</v>
      </c>
      <c r="HD255" t="str">
        <f t="shared" si="505"/>
        <v/>
      </c>
      <c r="HE255" t="str">
        <f t="shared" si="506"/>
        <v/>
      </c>
      <c r="HF255" t="str">
        <f>IF(OR(HE255="",HE255="-"),"",IFERROR(VLOOKUP(HE255,Модули_спр,2,FALSE),"R"))</f>
        <v/>
      </c>
      <c r="HG255" t="str">
        <f>IF(HF255="","",HF255&amp;"."&amp;COUNTIFS(A$3:A255,A255,HF$3:HF255,HF255))</f>
        <v/>
      </c>
      <c r="HH255" t="str">
        <f t="shared" si="507"/>
        <v/>
      </c>
      <c r="HI255" t="str">
        <f t="shared" si="508"/>
        <v/>
      </c>
      <c r="HJ255" t="str">
        <f t="shared" si="509"/>
        <v/>
      </c>
      <c r="HK255" t="str">
        <f t="shared" si="510"/>
        <v/>
      </c>
      <c r="HL255">
        <f t="shared" si="511"/>
        <v>1</v>
      </c>
      <c r="HM255" t="str">
        <f>IF(HL255=1,"XT"&amp;COUNTIFS(A$3:A255,A255,HL$3:HL255,1),"")</f>
        <v>XT31</v>
      </c>
      <c r="HN255" t="str">
        <f t="shared" si="512"/>
        <v/>
      </c>
      <c r="HO255" t="str">
        <f t="shared" si="513"/>
        <v>QFD31</v>
      </c>
      <c r="HP255" t="str">
        <f t="shared" si="514"/>
        <v/>
      </c>
      <c r="HQ255" t="str">
        <f t="shared" si="515"/>
        <v>ok</v>
      </c>
      <c r="HR255" t="str">
        <f>IF(OR(HJ255="",HH255=""),"",IF(HJ255+MAX(0,GY255-1)&gt;IFERROR(VLOOKUP(HI255,Модули_спр,3,FALSE),99),"ЛИШНИЙ КАНАЛ",IF(AND(AL255&lt;&gt;"=",GY255&gt;0,COUNTIFS(Линии[_модуль гр.],HH255,Линии[Канал (итог)],HJ255,Линии[Канал],"&lt;&gt;=",Линии[Щит],A255)&gt;1),"ДУБЛЬ КАНАЛА","")))</f>
        <v/>
      </c>
      <c r="HS255" s="6" t="str">
        <f t="shared" si="516"/>
        <v/>
      </c>
      <c r="HT255">
        <f t="shared" si="517"/>
        <v>10</v>
      </c>
      <c r="HU255" t="str">
        <f t="shared" si="518"/>
        <v/>
      </c>
      <c r="HV255">
        <f t="shared" si="519"/>
        <v>0.88757073033319012</v>
      </c>
      <c r="HW255">
        <f t="shared" si="520"/>
        <v>0</v>
      </c>
      <c r="HX255">
        <f t="shared" si="521"/>
        <v>0</v>
      </c>
      <c r="HY255">
        <f t="shared" si="522"/>
        <v>0</v>
      </c>
      <c r="HZ255">
        <f t="shared" si="523"/>
        <v>0</v>
      </c>
      <c r="IA255">
        <f t="shared" si="524"/>
        <v>0</v>
      </c>
      <c r="IB255">
        <f t="shared" si="525"/>
        <v>0</v>
      </c>
      <c r="IC255" t="str">
        <f t="shared" si="526"/>
        <v/>
      </c>
      <c r="ID255" t="str" cm="1">
        <f t="array" ref="ID255">IF(IC255="","",_xlfn.LET(_xlpm.tk,_xlfn.TEXTSPLIT(SUBSTITUTE(SUBSTITUTE(IC255,";"," "),"→"," ")," ",,TRUE),_xlpm.w_,_xlfn._xlws.FILTER(_xlpm.tk,ISNUMBER(--LEFT(_xlpm.tk,1))*((ISNUMBER(SEARCH("W",_xlpm.tk))+ISNUMBER(SEARCH("Вт",_xlpm.tk)))&gt;0),""),IFERROR(--SUBSTITUTE(SUBSTITUTE(UPPER(INDEX(_xlpm.w_,1)),"W",""),"ВТ",""),"")))</f>
        <v/>
      </c>
      <c r="IE255" t="str" cm="1">
        <f t="array" ref="IE255">IF(IC255="","",_xlfn.LET(_xlpm.tk,_xlfn.TEXTSPLIT(SUBSTITUTE(SUBSTITUTE(IC255,";"," "),"→"," ")," ",,TRUE),_xlpm.v_,_xlfn._xlws.FILTER(_xlpm.tk,ISNUMBER(--LEFT(_xlpm.tk,1))*((ISNUMBER(SEARCH("V",_xlpm.tk))+(RIGHT(UPPER(_xlpm.tk))="В"))&gt;0),""),IFERROR(--SUBSTITUTE(SUBSTITUTE(UPPER(INDEX(_xlpm.v_,1)),"V",""),"В",""),"")))</f>
        <v/>
      </c>
      <c r="IF255" s="6" t="str">
        <f>IF(OR(BV255=0,HI255="",HJ255=""),"",IFERROR(N(_xlfn.XLOOKUP(HI255,Каталог!$C$4:$C$500,Каталог!$Q$4:$Q$500)),""))</f>
        <v/>
      </c>
      <c r="IG255" s="6" t="str">
        <f>IF(N(IF255)=0,"",SUMIFS(Линии[Iр, А],Линии[Щит],A255,Линии[_модуль гр.],HH255,Линии[Канал (итог)],HJ255))</f>
        <v/>
      </c>
      <c r="IH255" t="str">
        <f>IF(AND(B255="",HO255=""),"",_xlfn.TEXTJOIN("; ",TRUE,IF(AND(B255&lt;&gt;"",FV255=""),"нет фазы",""),IF(AND(B255&lt;&gt;"",N(GL255)=0,FG255&lt;&gt;"Нет"),"нет мощности",""),IF(AND(HN255&lt;&gt;"",COUNTIFS(Линии[Щит],A255,Линии[Клемма (итог)],HN255)&gt;1),"дубль клеммы "&amp;HN255,""),IF(AND(HQ255&lt;&gt;"",HQ255&lt;&gt;"ok"),HQ255,""),IF(HR255&lt;&gt;"",HR255,""),IF(AND(N(CB255)&gt;=4,N(BX255)=1),CB255&amp;" жил на 1 фазе",""),IF(AND(BC255="R",CG255=1,IF(CS255&lt;&gt;"",N(CV255)&gt;30,OR(N(DA255)=0,N(DA255)&gt;30))),"розетка без дифзащиты до 30 мА",""),IF(AND(CG255=1,N(DA255)&gt;0,ISNUMBER(T255)),IF(T255&gt;N(DA255)/3,"ток утечки "&amp;FIXED(T255,1)&amp;" мА &gt; 1/3 уставки ("&amp;DA255&amp;" мА)",""),""),IF(AND(CH255=1,CS255=""),"«узо»: нет строки с УЗО выше (УЗО 2P 40А 30мА в «Аппаратах»)",""),IF(AND(CS255&lt;&gt;"",CS255=BA255),IF(CT255="","впишите номинал УЗО (УЗО 2P 40А 30мА)",IF(N(CT255)&lt;N(DT255),"УЗО "&amp;CT255&amp;" А &lt; автомата "&amp;DT255&amp;" А перед ним",IF(N(CT255)&lt;N(CX255),"УЗО "&amp;CT255&amp;" А &lt; тока блока "&amp;FIXED(CX255,1)&amp;" А",""))),""),IF(AND(CS255&lt;&gt;"",CS255=BA255,ISNUMBER(CY255)),IF(CY255&gt;N(CV255)/3,"ток утечки блока УЗО "&amp;FIXED(CY255,1)&amp;" мА &gt; 1/3 уставки ("&amp;CV255&amp;" мА)",""),""),IF(AND(CG255=1,N(BV255)+N(IB255)&gt;0,IC255=""),"линии до 50 В без БП: впишите в «Аппараты» (БП 24V 480W)",""),IF(AND(CG255=1,ISNUMBER(ID255),ISNUMBER(U255)),IF(U255&gt;ID255,"БП "&amp;ID255&amp;" Вт &lt; нужно "&amp;U255&amp;" Вт (×"&amp;Запас_БП&amp;")",""),""),IF(AND(CG255=1,ISNUMBER(IE255),N(BV255)=1),IF(IE255&lt;&gt;N(BU255),"БП на "&amp;IE255&amp;" В, линия "&amp;BU255&amp;" В",""),""),IF(AND(N(IF255)&gt;0,N(IG255)&gt;N(IF255)),HH255&amp;" канал "&amp;HJ255&amp;": "&amp;FIXED(IG255,1)&amp;" А &gt; "&amp;IF255&amp;" А",""),IFERROR(IF(AND(ISNUMBER(Q255),Q255&gt;EL255),"потери "&amp;FIXED(Q255,1)&amp;" % &gt; "&amp;EL255&amp;" %",""),""),IFERROR(IF(LEFT(HU255,4)="мало","Iкз мало — отключение &gt; 0,4 с",""),""),IF(AND(B255&lt;&gt;"",BM255=""),"не на схеме",""),IF(AND(CG255=0,B255&lt;&gt;"",FV255&lt;&gt;"",IF(BA255=1,"",FW254)&lt;&gt;"",FV255&lt;&gt;IF(BA255=1,"",FW254)),"фаза не как у автомата группы ("&amp;IF(BA255=1,"",FW254)&amp;")","")))</f>
        <v/>
      </c>
      <c r="II255" s="6">
        <f>IF(OR(CG255=0,DQ255=""),"",_xlfn.LET(_xlpm.t,IFERROR(_xlfn.XLOOKUP(DQ255,Каталог!$U$4:$U$500,Каталог!$G$4:$G$500),""),_xlpm.k,SEARCH("кА",_xlpm.t),IFERROR(--TRIM(RIGHT(SUBSTITUTE(MID(_xlpm.t,MAX(1,_xlpm.k-4),_xlpm.k-MAX(1,_xlpm.k-4))," ",REPT(" ",9)),5)),"")))</f>
        <v>6</v>
      </c>
      <c r="IJ255" t="str">
        <f>IF(OR(II255="",CG255=0),"",IF(_xlfn.XLOOKUP(A255,Щиты[Щит],Щиты[Iкз max на шинах, кА],"")="","",IF(II255&lt;_xlfn.XLOOKUP(A255,Щиты[Щит],Щиты[Iкз max на шинах, кА]),"Icu "&amp;II255&amp;" кА &lt; Iкз max","ok")))</f>
        <v/>
      </c>
      <c r="IK255" t="str">
        <f t="shared" si="527"/>
        <v/>
      </c>
      <c r="IL255" t="str">
        <f t="shared" si="528"/>
        <v>QFD31</v>
      </c>
      <c r="IM255" t="str">
        <f t="shared" si="529"/>
        <v>QFD31|кабель ВВГнг(А)-LS (3х2,5) → Розеточная группа, пом. 010A</v>
      </c>
      <c r="IN255" t="str" cm="1">
        <f t="array" ref="IN255">IF(IM255="","",_xlfn.LET(_xlpm.nd,_xlfn.TEXTSPLIT(IM255,"|"),IF(COLUMNS(_xlpm.nd)&gt;1,A255&amp;"¦"&amp;INDEX(_xlpm.nd,1)&amp;"¦"&amp;INDEX(_xlpm.nd,2),"")))</f>
        <v>ЩР-1¦QFD31¦кабель ВВГнг(А)-LS (3х2,5) → Розеточная группа, пом. 010A</v>
      </c>
      <c r="IO255" t="str">
        <f t="shared" si="530"/>
        <v>R.1.010A.1¦Розеточная группа, пом. 010A</v>
      </c>
      <c r="IP255" t="str" cm="1">
        <f t="array" ref="IP255">IF(IM255="","",_xlfn.LET(_xlpm.nd,_xlfn.TEXTSPLIT(IM255,"|"),IF(COLUMNS(_xlpm.nd)&gt;2,A255&amp;"¦"&amp;INDEX(_xlpm.nd,2)&amp;"¦"&amp;INDEX(_xlpm.nd,3),"")))</f>
        <v/>
      </c>
      <c r="IQ255" t="str">
        <f t="shared" si="531"/>
        <v/>
      </c>
      <c r="IR255" t="str" cm="1">
        <f t="array" ref="IR255">IF(IM255="","",_xlfn.LET(_xlpm.nd,_xlfn.TEXTSPLIT(IM255,"|"),IF(COLUMNS(_xlpm.nd)&gt;3,A255&amp;"¦"&amp;INDEX(_xlpm.nd,3)&amp;"¦"&amp;INDEX(_xlpm.nd,4),"")))</f>
        <v/>
      </c>
      <c r="IS255" t="str">
        <f t="shared" si="532"/>
        <v/>
      </c>
      <c r="IT255" t="str" cm="1">
        <f t="array" ref="IT255">IF(IM255="","",_xlfn.LET(_xlpm.nd,_xlfn.TEXTSPLIT(IM255,"|"),IF(COLUMNS(_xlpm.nd)&gt;4,A255&amp;"¦"&amp;INDEX(_xlpm.nd,4)&amp;"¦"&amp;INDEX(_xlpm.nd,5),"")))</f>
        <v/>
      </c>
      <c r="IU255" t="str">
        <f t="shared" si="533"/>
        <v/>
      </c>
      <c r="IV255" t="str" cm="1">
        <f t="array" ref="IV255">IF(IM255="","",_xlfn.LET(_xlpm.nd,_xlfn.TEXTSPLIT(IM255,"|"),IF(COLUMNS(_xlpm.nd)&gt;5,A255&amp;"¦"&amp;INDEX(_xlpm.nd,5)&amp;"¦"&amp;INDEX(_xlpm.nd,6),"")))</f>
        <v/>
      </c>
      <c r="IW255" t="str">
        <f t="shared" si="534"/>
        <v/>
      </c>
      <c r="IX255" t="str" cm="1">
        <f t="array" ref="IX255">IF(IM255="","",_xlfn.LET(_xlpm.nd,_xlfn.TEXTSPLIT(IM255,"|"),IF(COLUMNS(_xlpm.nd)&gt;6,A255&amp;"¦"&amp;INDEX(_xlpm.nd,6)&amp;"¦"&amp;INDEX(_xlpm.nd,7),"")))</f>
        <v/>
      </c>
      <c r="IY255" t="str">
        <f t="shared" si="535"/>
        <v/>
      </c>
      <c r="IZ255" t="str">
        <f t="shared" si="536"/>
        <v/>
      </c>
      <c r="JA255" t="str">
        <f t="shared" si="537"/>
        <v>QFD31</v>
      </c>
      <c r="JB255">
        <f t="shared" si="538"/>
        <v>0</v>
      </c>
      <c r="JC255">
        <f t="shared" si="539"/>
        <v>1</v>
      </c>
      <c r="JD255" t="str">
        <f t="shared" si="540"/>
        <v/>
      </c>
      <c r="JE255" t="str">
        <f t="shared" si="541"/>
        <v/>
      </c>
      <c r="JF255" t="str">
        <f t="shared" si="542"/>
        <v/>
      </c>
      <c r="JG255" t="str">
        <f t="shared" si="543"/>
        <v/>
      </c>
      <c r="JH255" t="str">
        <f>IF(B255="","",IFERROR(_xlfn.XLOOKUP(B255,Коды_код,Коды_уго),IFERROR(_xlfn.XLOOKUP(BC255,Коды_код,Коды_уго),IFERROR(_xlfn.XLOOKUP(LEFT(BC255,2),Коды_код,Коды_уго),""))))</f>
        <v>Розетка</v>
      </c>
      <c r="JI255" t="str">
        <f>IF(B255="","",IF(OR(JH255="",JH255=0),"BOX",IFERROR(IF(VLOOKUP(JH255,УГО_блоки,3,FALSE)&amp;""&lt;&gt;"",VLOOKUP(JH255,УГО_блоки,3,FALSE),VLOOKUP(JH255,УГО_блоки,2,FALSE)),JH255)))</f>
        <v>SOCKET</v>
      </c>
      <c r="JJ255">
        <f t="shared" si="544"/>
        <v>1</v>
      </c>
      <c r="JK255" t="str">
        <f>IF(DQ255="","",IF(COUNTIF(DQ$3:DQ255,DQ255)=1,MAX(JK$2:JK254)+1,""))</f>
        <v/>
      </c>
      <c r="JL255" t="str">
        <f>IF(DE255="","",IF(COUNTIF(DE$3:DE255,DE255)+COUNTIF(DF$2:DF254,DE255)+COUNTIF(DG$2:DG254,DE255)=1,MAX(JL$2:JN254)+1,""))</f>
        <v/>
      </c>
      <c r="JM255" t="str">
        <f>IF(DF255="","",IF(COUNTIF(DE$3:DE255,DF255)+COUNTIF(DF$3:DF255,DF255)+COUNTIF(DG$2:DG254,DF255)=1,MAX(JL$2:JN254,JL255)+1,""))</f>
        <v/>
      </c>
      <c r="JN255" t="str">
        <f>IF(DG255="","",IF(COUNTIF(DE$3:DE255,DG255)+COUNTIF(DF$3:DF255,DG255)+COUNTIF(DG$3:DG255,DG255)=1,MAX(JL$2:JN254,JL255,JM255)+1,""))</f>
        <v/>
      </c>
      <c r="JO255" t="str">
        <f t="shared" si="545"/>
        <v>3х2,5</v>
      </c>
      <c r="JP255" t="str">
        <f>IF(JO255="","",IF(COUNTIF(JO$3:JO255,JO255)=1,MAX(JP$2:JP254)+1,""))</f>
        <v/>
      </c>
      <c r="JQ255" t="str">
        <f>IF(HG255="","",COUNTIF(HG$3:HG255,"?*"))</f>
        <v/>
      </c>
      <c r="JR255" t="str">
        <f>IF(OR(HG255="",HI255=""),"",IF(COUNTIFS(HG$3:HG255,"?*",HI$3:HI255,HI255)=1,MAX(JR$2:JR254)+1,""))</f>
        <v/>
      </c>
      <c r="JS255">
        <f t="shared" si="546"/>
        <v>0</v>
      </c>
      <c r="JT255">
        <f>IF(B255="","",COUNTIF(B$3:B255,"?*"))</f>
        <v>253</v>
      </c>
      <c r="JU255">
        <f>IF(HL255&lt;&gt;1,0,_xlfn.LET(_xlpm.k,MAX(IFERROR(--_xlfn.XLOOKUP(B255,Коды_код,Коды_3L),0),IFERROR(--_xlfn.XLOOKUP(BC255,Коды_код,Коды_3L),0),IFERROR(--_xlfn.XLOOKUP(LEFT(BC255,2),Коды_код,Коды_3L),0)),IF(_xlpm.k&gt;0,_xlpm.k,IF(IFERROR(--LEFT(SUBSTITUTE(JO255,"x","х"),FIND("х",SUBSTITUTE(JO255,"x","х"))-1),3)&gt;3,Каталог!$S$9,1))))</f>
        <v>1</v>
      </c>
      <c r="JV255">
        <f t="shared" si="547"/>
        <v>0</v>
      </c>
      <c r="JW255" t="str">
        <f t="shared" si="548"/>
        <v>авто</v>
      </c>
      <c r="JX255">
        <f t="shared" si="549"/>
        <v>30</v>
      </c>
      <c r="JY255">
        <f t="shared" si="550"/>
        <v>1</v>
      </c>
      <c r="JZ255">
        <f t="shared" si="551"/>
        <v>1</v>
      </c>
    </row>
    <row r="256" spans="1:286" x14ac:dyDescent="0.3">
      <c r="A256" t="s">
        <v>757</v>
      </c>
      <c r="B256" t="s">
        <v>1562</v>
      </c>
      <c r="C256" t="str">
        <f>Линии[[#This Row],[_авто наименование]]</f>
        <v>Розеточная группа, пом. 011A</v>
      </c>
      <c r="D256">
        <v>4</v>
      </c>
      <c r="E256">
        <v>0.42</v>
      </c>
      <c r="G256" t="str">
        <f>Линии[[#This Row],[_авто автомат]]</f>
        <v>2P С16А 30мА</v>
      </c>
      <c r="H256" t="str">
        <f>Линии[[#This Row],[_авто управление]]</f>
        <v/>
      </c>
      <c r="I256" t="str">
        <f>Линии[[#This Row],[_авто аппараты]]</f>
        <v/>
      </c>
      <c r="J256">
        <v>2.5</v>
      </c>
      <c r="K256">
        <v>52</v>
      </c>
      <c r="L256" t="str">
        <f>Линии[[#This Row],[_авто фаза]]</f>
        <v>L1</v>
      </c>
      <c r="M256" t="s">
        <v>484</v>
      </c>
      <c r="N256" t="str">
        <f t="shared" si="414"/>
        <v/>
      </c>
      <c r="O256" s="6" cm="1">
        <f t="array" ref="O256">IF(B256="","",IF(BH256&lt;&gt;"",IFERROR(_xlfn.XLOOKUP(BH256,Щиты[Щит],Щиты[Iр, А]),""),IF(BP256=1,IF(OR(N(_xlfn.XLOOKUP(A256,Щиты[Щит],Щиты[Вводов],1))&lt;=1,LOWER(TRIM(_xlfn.XLOOKUP(A256,Щиты[Щит],Щиты[АВР],"")&amp;""))="да"),IFERROR(_xlfn.XLOOKUP(A256,Щиты[Щит],Щиты[Iр, А]),""),IFERROR(N(BS256)*_xlfn.XLOOKUP(A256,Щиты[Щит],Щиты[Кс итог])/(SQRT(3)*Uн_лин*_xlfn.XLOOKUP(A256,Щиты[Щит],Щиты[cos φ])),"")),IF(BV256=1,IFERROR(BS256*1000/BU256,""),IFERROR(_xlfn.IFS(BX256=1,BS256/((Uн_лин/SQRT(3))*CE256),BX256=3,BS256/(SQRT(3)*Uн_лин*CE256)),"")))))</f>
        <v>1.9143719452077064</v>
      </c>
      <c r="P256" s="7">
        <f>IF(B256="","",IFERROR(IF(VLOOKUP(BC256,Потребители_обозначение,4,FALSE)=1,VLOOKUP(BC256,Потребители_обозначение,3,FALSE)*(MAX(1,N(D256))*2-1)+EI256+VLOOKUP(BE256,Этаж_обозначение,3,FALSE)+VLOOKUP(BE256,Этаж_обозначение,4,FALSE),VLOOKUP(BC256,Потребители_обозначение,3,FALSE)*(MAX(1,N(D256))*2-1)+EI256),EI256))</f>
        <v>73</v>
      </c>
      <c r="Q256" s="6">
        <f t="shared" si="415"/>
        <v>2.23</v>
      </c>
      <c r="R256" t="str">
        <f t="shared" si="416"/>
        <v>ВВГнг(А)-LS (3х2,5)</v>
      </c>
      <c r="S256" t="str">
        <f>IF(BM256="","",IF(BN256="вводной узел","узел ","")&amp;"л."&amp;(INT((BM256-1)/Столбцов_на_лист)+1)&amp;" / "&amp;(MOD(BM256-1,Столбцов_на_лист)+1))</f>
        <v>л.3 / 10</v>
      </c>
      <c r="T256" s="119">
        <f t="shared" si="417"/>
        <v>1.5</v>
      </c>
      <c r="U256" s="7" t="str">
        <f>IF(OR(CG256=0,N(BV256)+N(IB256)=0),"",ROUNDUP(Запас_БП*(N(HY256)+N(HZ256)),0))</f>
        <v/>
      </c>
      <c r="V256" s="119" t="str">
        <f t="shared" si="418"/>
        <v/>
      </c>
      <c r="W256" s="7" t="str">
        <f>IFERROR(IF(OR(B256="",BP256=1,BV256=1,NOT(ISNUMBER(EN256)),N(DT256)=0),"",MAX(0,ROUNDDOWN((c_min*(Uн_лин*1000/SQRT(3))/(HT256*N(DT256))-_xlfn.XLOOKUP(A256,Щиты[Щит],Щиты[Zпетли на шинах, Ом]))*EN256/(2*ρкз_Cu),0))),"")</f>
        <v/>
      </c>
      <c r="Y256">
        <f>Линии[[#This Row],[_авто утечка]]</f>
        <v>30</v>
      </c>
      <c r="Z256">
        <v>1</v>
      </c>
      <c r="AA256">
        <v>230</v>
      </c>
      <c r="AB256" t="s">
        <v>562</v>
      </c>
      <c r="AG256" t="s">
        <v>810</v>
      </c>
      <c r="AI256" t="s">
        <v>561</v>
      </c>
      <c r="AK256" t="str">
        <f>Линии[[#This Row],[_авто модуль]]</f>
        <v/>
      </c>
      <c r="AM256">
        <v>44</v>
      </c>
      <c r="AN256" t="s">
        <v>11</v>
      </c>
      <c r="AO256">
        <v>3</v>
      </c>
      <c r="AQ256">
        <v>11</v>
      </c>
      <c r="AR256">
        <v>31</v>
      </c>
      <c r="AS256">
        <v>36</v>
      </c>
      <c r="BA256" cm="1">
        <f t="array" ref="BA256">ROW()-ROW(Линии[#Headers])</f>
        <v>254</v>
      </c>
      <c r="BC256" s="6" t="str">
        <f t="shared" si="419"/>
        <v>R</v>
      </c>
      <c r="BD256" t="str">
        <f t="shared" si="420"/>
        <v>1.011A.1</v>
      </c>
      <c r="BE256" t="str">
        <f t="shared" si="421"/>
        <v>1</v>
      </c>
      <c r="BF256" t="str">
        <f t="shared" si="422"/>
        <v>011A.1</v>
      </c>
      <c r="BG256" t="str">
        <f t="shared" si="423"/>
        <v>011A</v>
      </c>
      <c r="BH256" t="str">
        <f>IF(X256&lt;&gt;"",X256,IF(AND(B256&lt;&gt;"",B256&lt;&gt;A256,ISNUMBER(_xlfn.XMATCH(B256,Щиты[Щит]))),B256,""))</f>
        <v/>
      </c>
      <c r="BI256" t="str" cm="1">
        <f t="array" ref="BI256">IF(B256="","",IF(BH256&lt;&gt;"","Щит "&amp;BH256,_xlfn.LET(_xlpm.nm,IFERROR(_xlfn.XLOOKUP(BC256,Коды_код,Коды_имя)&amp;"",""),_xlpm.md,IFERROR(N(_xlfn.XLOOKUP(BC256,Коды_код,Коды_режим)),1),_xlpm.ex,IF(Имя_режим="по экспликации",IFERROR(_xlfn.XLOOKUP(BE256&amp;"|"&amp;BG256,Экспликация[Этаж]&amp;"|"&amp;Экспликация[Помещение],Экспликация[Название])&amp;"",""),""),_xlpm.rm,IF(BG256="","",IF(_xlpm.ex&lt;&gt;"",". "&amp;_xlpm.ex&amp;IF(Имя_пом="нет"," ("&amp;BG256&amp;")"," (пом. "&amp;BG256&amp;")"),IF(Имя_пом="нет"," ",", пом. ")&amp;BG256)),IF(_xlpm.nm="","",IF(_xlpm.md=2,_xlpm.nm&amp;" шлейф "&amp;BE256,_xlpm.nm&amp;_xlpm.rm)))))</f>
        <v>Розеточная группа, пом. 011A</v>
      </c>
      <c r="BJ256" t="str">
        <f t="shared" si="424"/>
        <v>Розеточная группа, пом. 011A</v>
      </c>
      <c r="BK256">
        <f>IFERROR(_xlfn.XMATCH(A256,Щиты[Щит]),0)</f>
        <v>10</v>
      </c>
      <c r="BL256">
        <f>_xlfn.LET(_xlpm.k,IFERROR(_xlfn.XLOOKUP(A256,Щиты[Щит],Щиты[Мест под вводной узел]),""),IF(_xlpm.k="",Столбцов_на_лист,N(_xlpm.k)))</f>
        <v>8</v>
      </c>
      <c r="BM256">
        <f t="shared" si="425"/>
        <v>44</v>
      </c>
      <c r="BN256" t="str">
        <f t="shared" si="426"/>
        <v>линии</v>
      </c>
      <c r="BO256" s="6">
        <f>IFERROR(N(_xlfn.XLOOKUP(BC256,Коды_код,Коды_квт)),0)</f>
        <v>0</v>
      </c>
      <c r="BP256">
        <f t="shared" si="427"/>
        <v>0</v>
      </c>
      <c r="BQ256" t="str">
        <f>IF(B256="","",IF(BH256&lt;&gt;"",IFERROR(_xlfn.XLOOKUP(BH256,Щиты[Щит],Щиты[Руст, кВт]),0),IF(BP256=1,IF(OR(N(_xlfn.XLOOKUP(A256,Щиты[Щит],Щиты[Вводов],1))&lt;=1,LOWER(TRIM(_xlfn.XLOOKUP(A256,Щиты[Щит],Щиты[АВР],"")&amp;""))="да"),IFERROR(_xlfn.XLOOKUP(A256,Щиты[Щит],Щиты[Руст, кВт]),0),SUMIFS(Линии[_Р для вводов],Линии[Щит],A256,Линии[Источник для режимов],GF256)),IF(BO256&gt;0,ROUND(BO256*MAX(1,N(D256)),3),""))))</f>
        <v/>
      </c>
      <c r="BR256">
        <f t="shared" si="428"/>
        <v>0.42</v>
      </c>
      <c r="BS256" s="6">
        <f>IF(B256="","",IF(BH256&lt;&gt;"",IFERROR(_xlfn.XLOOKUP(BH256,Щиты[Щит],Щиты[Руст, кВт]),0),N(BR256)))</f>
        <v>0.42</v>
      </c>
      <c r="BT256" t="str">
        <f>IF(B256="","",IFERROR(IF(VLOOKUP(BC256,Потребители_обозначение,8,FALSE)=0,"",VLOOKUP(BC256,Потребители_обозначение,8,FALSE)),""))</f>
        <v/>
      </c>
      <c r="BU256">
        <f t="shared" si="429"/>
        <v>230</v>
      </c>
      <c r="BV256">
        <f t="shared" si="430"/>
        <v>0</v>
      </c>
      <c r="BW256">
        <f>IF(B256="","",IF(BH256&lt;&gt;"",3,IFERROR(IF(N(VLOOKUP(BC256,Потребители_обозначение,9,FALSE))=0,1,VLOOKUP(BC256,Потребители_обозначение,9,FALSE)),1)))</f>
        <v>1</v>
      </c>
      <c r="BX256">
        <f t="shared" si="431"/>
        <v>1</v>
      </c>
      <c r="BY256" t="str">
        <f>IF(B256="","",_xlfn.LET(_xlpm.bc,IFERROR(IF(VLOOKUP(BC256,Потребители_обозначение,6,FALSE)=0,"",VLOOKUP(BC256,Потребители_обозначение,6,FALSE)&amp;""),""),IF(AND(GA256="да",OR(_xlpm.bc="",_xlpm.bc="мс")),Марка_пож,IF(AND(_xlpm.bc="",BH256&lt;&gt;""),"мс",_xlpm.bc))))</f>
        <v/>
      </c>
      <c r="BZ256" t="str">
        <f t="shared" si="432"/>
        <v>мс</v>
      </c>
      <c r="CA256">
        <f>IF(B256="","",_xlfn.LET(_xlpm.cc,IFERROR(N(VLOOKUP(BC256,Потребители_обозначение,7,FALSE)),0),IF(_xlpm.cc&gt;0,_xlpm.cc,IF(BZ256="","",IF(BV256=1,2,IF(N(BX256)=3,5,3))))))</f>
        <v>3</v>
      </c>
      <c r="CB256">
        <f t="shared" si="433"/>
        <v>3</v>
      </c>
      <c r="CC256">
        <f>IFERROR(N(VLOOKUP(BC256,Потребители_обозначение,10,FALSE)),0)</f>
        <v>0</v>
      </c>
      <c r="CD256">
        <f>IFERROR(VLOOKUP(BC256,Потребители_обозначение,5,FALSE),0)</f>
        <v>1</v>
      </c>
      <c r="CE256" s="6" cm="1">
        <f t="array" ref="CE256">IF(B256="","",IF(BH256&lt;&gt;"",IFERROR(_xlfn.XLOOKUP(BH256,Щиты[Щит],Щиты[cos φ]),0.95),IF(BP256=1,IFERROR(_xlfn.XLOOKUP(A256,Щиты[Щит],Щиты[cos φ]),0.95),IF(ISNUMBER(AD256),AD256,IFERROR(IF(CD256=2,_xlfn.IFS(BX256=3,VLOOKUP(BS256,Справочная_двигатели,8,FALSE),BX256=1,VLOOKUP(BS256,Справочная_двигатели,10,TRUE)),IF(AND(Методика="нормы 2026",FG256="Сил"),0.8,0.95)),0.95)))))</f>
        <v>0.95</v>
      </c>
      <c r="CF256">
        <f t="shared" si="434"/>
        <v>0</v>
      </c>
      <c r="CG256">
        <f t="shared" si="435"/>
        <v>1</v>
      </c>
      <c r="CH256">
        <f t="shared" si="436"/>
        <v>0</v>
      </c>
      <c r="CI256">
        <f>IF(B256="","",IF(BV256=1,IFERROR(BS256/((Uн_лин/SQRT(3))*MAX(0.5,N(CE256))),0),N(O256)))</f>
        <v>1.9143719452077064</v>
      </c>
      <c r="CJ256">
        <f t="shared" si="437"/>
        <v>0</v>
      </c>
      <c r="CK256">
        <f t="shared" si="438"/>
        <v>0</v>
      </c>
      <c r="CL256">
        <f t="shared" si="439"/>
        <v>0</v>
      </c>
      <c r="CM256">
        <f t="shared" si="440"/>
        <v>0</v>
      </c>
      <c r="CN256">
        <f t="shared" si="441"/>
        <v>0</v>
      </c>
      <c r="CO256">
        <f>IF(BC256="",0,_xlfn.LET(_xlpm.v,IFERROR(_xlfn.XLOOKUP(B256,Коды_код,Коды_мА),IFERROR(_xlfn.XLOOKUP(BC256,Коды_код,Коды_мА),IFERROR(_xlfn.XLOOKUP(LEFT(BC256,2),Коды_код,Коды_мА),""))),IF(_xlpm.v="да",30,IF(ISNUMBER(_xlpm.v),_xlpm.v,0))))</f>
        <v>30</v>
      </c>
      <c r="CP256">
        <f t="shared" si="442"/>
        <v>30</v>
      </c>
      <c r="CQ256" t="str">
        <f>_xlfn.LET(_xlpm.k,IFERROR(_xlfn.XLOOKUP(BC256,Коды_код,Коды_утечка)&amp;"",""),IF(_xlpm.k="","дифавтомат",_xlpm.k))</f>
        <v>дифавтомат</v>
      </c>
      <c r="CR256" t="str" cm="1">
        <f t="array" ref="CR256">IF(CG256=0,"",_xlfn.LET(_xlpm.sg,TRIM(_xlfn.TEXTSPLIT(DD256&amp;"",";")),_xlpm.f_,_xlfn._xlws.FILTER(_xlpm.sg,LEFT(_xlpm.sg,3)="УЗО",""),IFERROR(INDEX(_xlpm.f_,1)&amp;"","")))</f>
        <v/>
      </c>
      <c r="CS256" t="str">
        <f t="shared" si="443"/>
        <v/>
      </c>
      <c r="CT256" s="6" t="str" cm="1">
        <f t="array" ref="CT256">IF(CR256="","",_xlfn.LET(_xlpm.tk,_xlfn.TEXTSPLIT(UPPER(CR256)," ",,TRUE),_xlpm.a_,_xlfn._xlws.FILTER(_xlpm.tk,ISNUMBER(--LEFT(_xlpm.tk,1))*((ISNUMBER(SEARCH("А",_xlpm.tk))+ISNUMBER(SEARCH("A",_xlpm.tk)))&gt;0)*NOT(ISNUMBER(SEARCH("МА",_xlpm.tk)))*NOT(ISNUMBER(SEARCH("MA",_xlpm.tk))),""),IFERROR(--SUBSTITUTE(SUBSTITUTE(INDEX(_xlpm.a_,1),"А",""),"A",""),"")))</f>
        <v/>
      </c>
      <c r="CU256" t="str" cm="1">
        <f t="array" ref="CU256">IF(CR256="","",_xlfn.LET(_xlpm.tk,_xlfn.TEXTSPLIT(UPPER(CR256)," ",,TRUE),_xlpm.a_,_xlfn._xlws.FILTER(_xlpm.tk,ISNUMBER(--LEFT(_xlpm.tk,1))*((ISNUMBER(SEARCH("МА",_xlpm.tk))+ISNUMBER(SEARCH("MA",_xlpm.tk)))&gt;0),""),IFERROR(--SUBSTITUTE(SUBSTITUTE(INDEX(_xlpm.a_,1),"МА",""),"MA",""),30)))</f>
        <v/>
      </c>
      <c r="CV256" t="str">
        <f>IF(CS256="","",IFERROR(_xlfn.XLOOKUP(CS256,Линии[_n],Линии[_УЗО, мА]),30))</f>
        <v/>
      </c>
      <c r="CW256">
        <f>IF(CS256="",0,IF(ISNUMBER(SEARCH("4P",IFERROR(_xlfn.XLOOKUP(CS256,Линии[_n],Линии[_УЗО строки])&amp;"",""))),0,1))</f>
        <v>0</v>
      </c>
      <c r="CX256" t="str">
        <f>IF(AND(CS256&lt;&gt;"",CS256=BA256),SUMIFS(Линии[_ток на 230 В],Линии[_блок УЗО],BA256,Линии[Щит],A256),"")</f>
        <v/>
      </c>
      <c r="CY256" t="str">
        <f>IF(AND(CS256&lt;&gt;"",CS256=BA256),SUMIFS(Линии[_ток утечки линии, мА],Линии[_блок УЗО],BA256,Линии[Щит],A256),"")</f>
        <v/>
      </c>
      <c r="CZ256">
        <f t="shared" si="444"/>
        <v>30</v>
      </c>
      <c r="DA256">
        <f t="shared" si="445"/>
        <v>30</v>
      </c>
      <c r="DB256">
        <f>IF(B256="",0,IFERROR(--_xlfn.XLOOKUP(B256,Коды_код,Коды_минавт),IFERROR(--_xlfn.XLOOKUP(BC256,Коды_код,Коды_минавт),IFERROR(--_xlfn.XLOOKUP(LEFT(BC256,2),Коды_код,Коды_минавт),0))))</f>
        <v>16</v>
      </c>
      <c r="DC256" t="str">
        <f>IF(B256="","",IFERROR(_xlfn.XLOOKUP(BC256,Коды_код,Коды_апп)&amp;"",""))</f>
        <v/>
      </c>
      <c r="DD256" t="str">
        <f t="shared" si="446"/>
        <v/>
      </c>
      <c r="DE256" t="str" cm="1">
        <f t="array" ref="DE256">IF(TRIM(DD256&amp;"")="","",IFERROR(TRIM(INDEX(_xlfn.TEXTSPLIT(DD256&amp;";;;",";"),1)),""))</f>
        <v/>
      </c>
      <c r="DF256" t="str" cm="1">
        <f t="array" ref="DF256">IF(TRIM(DD256&amp;"")="","",IFERROR(TRIM(INDEX(_xlfn.TEXTSPLIT(DD256&amp;";;;",";"),2)),""))</f>
        <v/>
      </c>
      <c r="DG256" t="str" cm="1">
        <f t="array" ref="DG256">IF(TRIM(DD256&amp;"")="","",IFERROR(TRIM(INDEX(_xlfn.TEXTSPLIT(DD256&amp;";;;",";"),3)),""))</f>
        <v/>
      </c>
      <c r="DH256">
        <f t="shared" si="447"/>
        <v>0</v>
      </c>
      <c r="DI256" t="str">
        <f>IF(B256="","",_xlfn.LET(_xlpm.t,LOWER(AZ256&amp;""),IF(ISNUMBER(SEARCH("dim",_xlpm.t)),"DIM",IF(ISNUMBER(SEARCH("dali",_xlpm.t)),"DALI",IF(OR(ISNUMBER(SEARCH("relay",_xlpm.t)),ISNUMBER(SEARCH("реле",_xlpm.t))),"Relay",IF(ISNUMBER(SEARCH("кнопк",_xlpm.t)),"",IFERROR(_xlfn.XLOOKUP(BC256,Коды_код,Коды_упр)&amp;"","")))))))</f>
        <v/>
      </c>
      <c r="DJ256" t="str">
        <f t="shared" si="448"/>
        <v/>
      </c>
      <c r="DK256">
        <f>IF(B256="","",_xlfn.LET(_xlpm.ig,IF(N(CX256)&gt;0,N(CX256),N(CI256)+IF(AJ256="вручную",0,N(CJ256))),_xlpm.n0,IFERROR(VLOOKUP(_xlpm.ig,Автомат_номиналы,2,TRUE),0),_xlpm.mn,MAX(DB256,IF(AJ256="вручную",0,N(CM256))),MAX(_xlpm.n0,_xlpm.mn,IF(DH256=1,Мин_автомат_БП,0))))</f>
        <v>16</v>
      </c>
      <c r="DL256">
        <f t="shared" si="449"/>
        <v>1</v>
      </c>
      <c r="DM256" t="str">
        <f t="shared" si="450"/>
        <v>2P</v>
      </c>
      <c r="DN256" t="str">
        <f>_xlfn.LET(_xlpm.cc,UPPER(TRIM(IFERROR(_xlfn.XLOOKUP(BC256,Коды_код,Коды_хар)&amp;"",""))),IF(OR(_xlpm.cc="B",_xlpm.cc="В"),"B",IF(_xlpm.cc="D","D","С")))</f>
        <v>С</v>
      </c>
      <c r="DO256" t="str">
        <f t="shared" si="451"/>
        <v>2P С16А 30мА</v>
      </c>
      <c r="DP256" t="str">
        <f t="shared" si="452"/>
        <v>2P С16А 30мА</v>
      </c>
      <c r="DQ256" t="str">
        <f t="shared" si="453"/>
        <v>2P С16А 30мА</v>
      </c>
      <c r="DR256" cm="1">
        <f t="array" ref="DR256">IF(DQ256="","",_xlfn.LET(_xlpm.t,SUBSTITUTE(SUBSTITUTE(SUBSTITUTE(UPPER(DQ256),"С","C"),"А","A"),"В","B"),_xlpm.tk,_xlfn.TEXTSPLIT(_xlpm.t," "),_xlpm.f,_xlfn._xlws.FILTER(_xlpm.tk,ISNUMBER(--MID(_xlpm.tk,2,1))*ISNUMBER(SEARCH(LEFT(_xlpm.tk,1)&amp;"#","B#C#D#"))*(LEN(_xlpm.tk)&gt;1),""),_xlpm.x,INDEX(_xlpm.f,1),IFERROR(--SUBSTITUTE(MID(_xlpm.x,2,9),"A",""),IFERROR(--SUBSTITUTE(INDEX(_xlfn._xlws.FILTER(_xlpm.tk,ISNUMBER(--SUBSTITUTE(_xlpm.tk,"A","")),""),1),"A",""),""))))</f>
        <v>16</v>
      </c>
      <c r="DS256" t="str">
        <f t="shared" si="454"/>
        <v>ok</v>
      </c>
      <c r="DT256">
        <f t="shared" si="455"/>
        <v>16</v>
      </c>
      <c r="DU256" t="str">
        <f t="shared" si="456"/>
        <v>2P С16А 30мА</v>
      </c>
      <c r="DV256">
        <f t="shared" si="457"/>
        <v>30</v>
      </c>
      <c r="DW256">
        <f t="shared" si="458"/>
        <v>1</v>
      </c>
      <c r="DX256">
        <f t="shared" si="459"/>
        <v>0</v>
      </c>
      <c r="DY256">
        <f t="shared" si="460"/>
        <v>1.9143719452077064</v>
      </c>
      <c r="DZ256">
        <f t="shared" si="461"/>
        <v>1</v>
      </c>
      <c r="EA256">
        <f>IF(ISNUMBER(AP256),AP256,К_прокл)</f>
        <v>1</v>
      </c>
      <c r="EB256">
        <f t="shared" si="462"/>
        <v>2</v>
      </c>
      <c r="EC256">
        <f>IFERROR(N(VLOOKUP(BZ256,Кабель_обозначение,3,FALSE)),1)</f>
        <v>1</v>
      </c>
      <c r="ED256">
        <f>IFERROR(N(_xlfn.XLOOKUP(A256,Щиты[Щит],Щиты[ΔU до шин, %])),0)</f>
        <v>1.19</v>
      </c>
      <c r="EE256" t="str">
        <f>IFERROR(_xlfn.XLOOKUP(A256,Щиты[Щит],Щиты[Zпетли на шинах, Ом]),"")</f>
        <v/>
      </c>
      <c r="EF256">
        <f>IFERROR(N(_xlfn.XLOOKUP(A256,Щиты[Щит],Щиты[ΔU до шин (подбор), %])),0)</f>
        <v>1.19</v>
      </c>
      <c r="EG256" t="str">
        <f>IFERROR(_xlfn.XLOOKUP(A256,Щиты[Щит],Щиты[Zпетли на шинах (подбор), Ом]),"")</f>
        <v/>
      </c>
      <c r="EH256" t="str">
        <f t="shared" si="463"/>
        <v/>
      </c>
      <c r="EI256">
        <f t="shared" si="464"/>
        <v>52</v>
      </c>
      <c r="EJ256">
        <f t="shared" si="465"/>
        <v>2</v>
      </c>
      <c r="EK256">
        <f t="shared" si="466"/>
        <v>0.31</v>
      </c>
      <c r="EL256" s="6">
        <f>IF(B256="","",IF(BV256=1,dU_LED,IF(IFERROR(_xlfn.XLOOKUP(BC256,Коды_код,Коды_уго),"")="Светильник",3,4)+IF(Методика="нормы 2026",MIN(0.5,MAX(0,N(P256)-100)*0.005),0)))</f>
        <v>4</v>
      </c>
      <c r="EM256" cm="1">
        <f t="array" ref="EM256">IF(OR(B256="",BZ256="",EC256&lt;&gt;1),"",_xlfn.LET(_xlpm.sz,Iдоп_S,_xlpm.t_,CHOOSE(EB256,Iдоп_1ж,Iдоп_2ж,Iдоп_3ж)*DZ256*EA256,_xlpm.dcx,BV256=1,_xlpm.inn,IF(_xlpm.dcx,N(O256),N(DT256)),_xlpm.smin,MAX(1.5,CC256),_xlpm.L_,N(P256)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256)/N(BU256)*100,999),IFERROR(N(EJ256)*(_xlpm.rho*_xlpm.L_/_xlpm.sz*N(CE256)+_xlpm.xx*_xlpm.L_*N(EK256)/1000)*N(O256)/((Uн_лин/SQRT(3))*1000)*100,999)),_xlpm.kz,IF(OR(_xlpm.dcx,DW256=1,NOT(ISNUMBER(EG256)),_xlpm.L_=0,_xlpm.inn=0),1,IFERROR(--(c_min*(Uн_лин*1000/SQRT(3))/(EG256+2*ρкз_Cu*_xlpm.L_/_xlpm.sz)&gt;=HT256*_xlpm.inn),0)),_xlpm.ok,IFERROR((_xlpm.sz&gt;=_xlpm.smin)*(_xlpm.t_&gt;=_xlpm.inn)*IF(_xlpm.L_&gt;0,(_xlpm.du_+IF(_xlpm.dcx,0,EF256)&lt;=EL256+0.00001),1)*_xlpm.kz,0),_xlpm.r_,_xlfn._xlws.FILTER(_xlpm.sz,_xlpm.ok,"не подобрано"),INDEX(_xlpm.r_,1)))</f>
        <v>1.5</v>
      </c>
      <c r="EN256">
        <f t="shared" si="467"/>
        <v>2.5</v>
      </c>
      <c r="EO256" cm="1">
        <f t="array" ref="EO256">IF(OR(B256="",BZ256="",EC256&lt;&gt;1),"",_xlfn.LET(_xlpm.sz,Iдоп_S,_xlpm.t_,CHOOSE(EB256,Iдоп_1ж,Iдоп_2ж,Iдоп_3ж)*DZ256*EA256,_xlpm.ok,IFERROR((_xlpm.sz&gt;=MAX(1.5,CC256))*(_xlpm.t_&gt;=N(DT256)),0),_xlpm.r_,_xlfn._xlws.FILTER(_xlpm.sz,_xlpm.ok,""),INDEX(_xlpm.r_,1)))</f>
        <v>1.5</v>
      </c>
      <c r="EP256" s="6" cm="1">
        <f t="array" ref="EP256">IFERROR(ROUNDUP(N(EJ256)*(_xlfn.XLOOKUP(EO256,INDEX(Кабель_сопротивление,0,1),INDEX(Кабель_сопротивление,0,3))*N(P256)/EO256*N(CE256)+_xlfn.XLOOKUP(EO256,INDEX(Кабель_сопротивление,0,1),INDEX(Кабель_сопротивление,0,2))*N(P256)*N(EK256)/1000)*N(O256)/((Uн_лин/SQRT(3))*1000)*100,2),"")</f>
        <v>1.73</v>
      </c>
      <c r="EQ256">
        <f>IFERROR(2*ρкз_Cu*N(P256)/EO256,"")</f>
        <v>2.5598666666666667</v>
      </c>
      <c r="ER256">
        <f>IFERROR(VLOOKUP(EN256,Кабель_сопротивление,3,FALSE),"")</f>
        <v>2.2499999999999999E-2</v>
      </c>
      <c r="ES256">
        <f>IFERROR(VLOOKUP(EN256,Кабель_сопротивление,2,FALSE),"")</f>
        <v>0.1</v>
      </c>
      <c r="ET256">
        <f t="shared" si="468"/>
        <v>31</v>
      </c>
      <c r="EU256">
        <f t="shared" si="469"/>
        <v>36</v>
      </c>
      <c r="EV256">
        <f t="shared" si="470"/>
        <v>2.3983749466267894</v>
      </c>
      <c r="EW256" s="6">
        <f>IFERROR(ROUNDUP(EV256/IF(BV256=1,BU256,(Uн_лин/SQRT(3))*1000)*100,2),"")</f>
        <v>1.04</v>
      </c>
      <c r="EX256" t="str">
        <f>IFERROR(VLOOKUP(BZ256,Кабель_обозначение,2,FALSE),"")</f>
        <v>ВВГнг(А)-LS</v>
      </c>
      <c r="EY256" t="str">
        <f t="shared" si="471"/>
        <v>ВВГнг(А)-LS (3х2,5)</v>
      </c>
      <c r="EZ256" t="str">
        <f t="shared" si="472"/>
        <v>ВВГнг(А)-LS (3х2,5)
L=73-1,04%</v>
      </c>
      <c r="FA256">
        <f>IFERROR(2*ρкз_Cu*P256/EN256,"")</f>
        <v>1.53592</v>
      </c>
      <c r="FB256">
        <f t="shared" si="473"/>
        <v>0.51100000000000001</v>
      </c>
      <c r="FC256" s="6" t="str">
        <f>IFERROR(IF(OR(B256="",BV256=1,NOT(ISNUMBER(EN256)),N(P256)=0),"",_xlfn.XLOOKUP(A256,Щиты[Щит],Щиты[Zпетли на шинах, Ом])+FA256),"")</f>
        <v/>
      </c>
      <c r="FD256" s="6" t="str">
        <f>IF(ISNUMBER(FC256),c_min*(Uн_лин*1000/SQRT(3))/FC256,"")</f>
        <v/>
      </c>
      <c r="FE256" s="6" t="str">
        <f>IFERROR(IF(OR(B256="",NOT(ISNUMBER(EN256))),"",1.05*(Uн_лин*1000/SQRT(3))/(_xlfn.XLOOKUP(A256,Щиты[Щит],Щиты[Zmax на шинах, Ом])+FB256)/1000),"")</f>
        <v/>
      </c>
      <c r="FF256" s="6" t="str">
        <f>IF(B256="","",IF(ISNUMBER(AC256),"Сил",IF(IFERROR(_xlfn.XLOOKUP(BC256,Коды_код,Коды_группа)&amp;"","")="","Быт",_xlfn.XLOOKUP(BC256,Коды_код,Коды_группа)&amp;"")))</f>
        <v>Быт</v>
      </c>
      <c r="FG256" s="6" t="str">
        <f t="shared" si="474"/>
        <v>Быт</v>
      </c>
      <c r="FH256" s="6">
        <f>IF(FG256="Щит","щит",IF(FG256="","",IF(FG256="Быт",IFERROR(_xlfn.XLOOKUP(A256,Щиты[Щит],Щиты[Кс быт]),1),IF(FG256="Сил",IF(ISNUMBER(AC256),AC256,IF(Методика="нормы 2026",IFERROR(_xlfn.XLOOKUP(A256,Щиты[Щит],Щиты[Кс силовых (табл. 7.5)]),1),1)),IF(OR(FG256="Пост",FG256="Отоп"),1,IF(FG256="ВНГ",0.7,0))))))</f>
        <v>0.57830000000000004</v>
      </c>
      <c r="FI256">
        <f>IF(FG256="","",IF(AND(BP256=1,TRIM(AE256&amp;"")=""),IF(COUNTIFS(Линии[Щит],A256,Линии[Секция (1/2/3)],"&gt;=2")&gt;0,MIN(3,MAX(1,IFERROR(--BD256,1))),1),IFERROR(MIN(3,MAX(1,INT(--AE256))),1)))</f>
        <v>1</v>
      </c>
      <c r="FJ256">
        <f t="shared" si="475"/>
        <v>0.42</v>
      </c>
      <c r="FK256">
        <f t="shared" si="476"/>
        <v>0.42</v>
      </c>
      <c r="FL256">
        <f t="shared" si="477"/>
        <v>0</v>
      </c>
      <c r="FM256">
        <f t="shared" si="478"/>
        <v>0</v>
      </c>
      <c r="FN256">
        <f t="shared" si="479"/>
        <v>0</v>
      </c>
      <c r="FO256">
        <f t="shared" si="480"/>
        <v>0</v>
      </c>
      <c r="FP256">
        <f t="shared" si="481"/>
        <v>0.42</v>
      </c>
      <c r="FQ256">
        <f t="shared" si="482"/>
        <v>0.42</v>
      </c>
      <c r="FR256">
        <f t="shared" si="483"/>
        <v>0.39899999999999997</v>
      </c>
      <c r="FS256">
        <f>IF(CG256=1,IF(AND(CH256=1,CW256=1),0,IF(AND(CS256&lt;&gt;"",CS256=BA256,CW256=1),SUMIFS(Линии[_Р линии, кВт],Линии[_блок УЗО],BA256,Линии[Щит],A256),N(BS256)+IF(AJ256="вручную",0,N(CK256)))),0)</f>
        <v>0.42</v>
      </c>
      <c r="FT256" t="str">
        <f t="shared" si="484"/>
        <v/>
      </c>
      <c r="FU256" t="str">
        <f>IF(B256="","",IF(CG256=0,IF(BA256=1,"",FW255),IF(AND(CH256=1,CW256=1,CS256&lt;&gt;""),IFERROR(_xlfn.XLOOKUP(CS256,Линии[_n],Линии[_фаза итог]),"L1"),IF(OR(N(DL256)&gt;=3,N(BX256)&gt;=3),"L1,L2,L3",IFERROR(_xlfn.TEXTBEFORE(_xlfn.TEXTAFTER(_xlfn.XLOOKUP(A256,Щиты[Щит],Щиты[_фазы авто]),";"&amp;BA256&amp;":"),";"),"L1")))))</f>
        <v>L1</v>
      </c>
      <c r="FV256" t="str">
        <f t="shared" si="485"/>
        <v>L1</v>
      </c>
      <c r="FW256" t="str">
        <f t="shared" si="486"/>
        <v>L1</v>
      </c>
      <c r="FX256" cm="1">
        <f t="array" ref="FX256">IFERROR(IF(CD256=2,_xlfn.IFS(BX256=3,VLOOKUP(BS256,Справочная_двигатели,3,FALSE),BX256=1,VLOOKUP(BS256,Справочная_двигатели,5,TRUE)),0),0)</f>
        <v>0</v>
      </c>
      <c r="FY256">
        <f>IFERROR(IF(CD256=3,VLOOKUP(BS256,Справочная_ЛЭД,2,TRUE),0),0)</f>
        <v>0</v>
      </c>
      <c r="FZ256" s="6">
        <f t="shared" si="487"/>
        <v>0</v>
      </c>
      <c r="GA256" t="str">
        <f>IF(B256="","",IF(TRIM(AH256&amp;"")&lt;&gt;"",IF(LOWER(TRIM(AH256&amp;""))="да","да","нет"),IF(IFERROR(_xlfn.XLOOKUP(BC256,Коды_код,Коды_пожарная),"")="да","да","нет")))</f>
        <v>нет</v>
      </c>
      <c r="GB256" t="str">
        <f t="shared" si="488"/>
        <v/>
      </c>
      <c r="GC256" t="str">
        <f t="shared" si="489"/>
        <v>основная</v>
      </c>
      <c r="GD256">
        <f>IF(AND(BP256=1,TRIM(AE256&amp;"")=""),IF(COUNTIFS(Линии[Щит],A256,Линии[Секция (1/2/3)],"&gt;=2")&gt;0,MIN(3,MAX(1,IFERROR(--BD256,1))),1),IFERROR(MIN(3,MAX(1,INT(--AE256))),1))</f>
        <v>1</v>
      </c>
      <c r="GE256" t="str" cm="1">
        <f t="array" ref="GE256">IF(B256="","",_xlfn.LET(_xlpm.t,IFERROR(_xlfn.XLOOKUP(1,(Шины[Шина]=GC256)*(((Шины[Щит]=A256)+(Шины[Щит]=""))&gt;0),Шины[Тип]),"")&amp;"",IF(_xlpm.t&lt;&gt;"",_xlpm.t,IF(ISNUMBER(SEARCH("ИБП",GC256)),"ИБП",IF(ISNUMBER(SEARCH("ДГУ",GC256)),"ДГУ","Ввод "&amp;GD256)))))</f>
        <v>Ввод 1</v>
      </c>
      <c r="GF256" t="str">
        <f t="shared" si="490"/>
        <v>Ввод 1</v>
      </c>
      <c r="GG256" t="str">
        <f>IF(BP256=0,"",IF(TRIM(AG256&amp;"")&lt;&gt;"",TRIM(AG256&amp;""),IF(OR(GE256="ИБП",GE256="ДГУ"),"I особая",_xlfn.XLOOKUP(A256,Щиты[Щит],Щиты[Категория шины «Ввод»],"III"))))</f>
        <v/>
      </c>
      <c r="GH256" t="str">
        <f>IF(A256="","",_xlfn.XLOOKUP(A256,Щиты[Щит],Щиты[Путь],""))</f>
        <v>|ГРЩ-ЖД|ЩР-1|</v>
      </c>
      <c r="GI256" t="str">
        <f>IF(B256="","",IF(AI256&lt;&gt;"",AI256,IF(IFERROR(_xlfn.XLOOKUP(BC256,Коды_код,Коды_вид)&amp;"","")="","Прочее",_xlfn.XLOOKUP(BC256,Коды_код,Коды_вид)&amp;"")))</f>
        <v>Розеточная сеть и бытовые приборы</v>
      </c>
      <c r="GJ256">
        <f>IF(BM256="","",INT((BM256-1)/Столбцов_на_лист)+1)</f>
        <v>3</v>
      </c>
      <c r="GK256" t="str">
        <f t="shared" si="491"/>
        <v>ВВГнг(А)-LS (3х2,5) L=73-1,04%</v>
      </c>
      <c r="GL256">
        <f t="shared" si="492"/>
        <v>0.42</v>
      </c>
      <c r="GM256">
        <f t="shared" si="493"/>
        <v>1.92</v>
      </c>
      <c r="GN256">
        <f t="shared" si="494"/>
        <v>1</v>
      </c>
      <c r="GO256">
        <f t="shared" si="495"/>
        <v>0</v>
      </c>
      <c r="GP256">
        <f t="shared" si="496"/>
        <v>1</v>
      </c>
      <c r="GQ256">
        <f>IF(BM256="","",IF(AND(CG256=1,GP256=1),COUNTIFS(A$3:A256,A256,CG$3:CG256,1,GP$3:GP256,1),IF(OR(OR(BA256=1,A256&lt;&gt;A255),AJ256="вручную",GP256=0),"",IF(BA256=1,"",GR255))))</f>
        <v>32</v>
      </c>
      <c r="GR256">
        <f t="shared" si="497"/>
        <v>32</v>
      </c>
      <c r="GS256">
        <f>IF(B256="","",IFERROR(LOOKUP(INDEX(CHOOSE(EB256,Iдоп_1ж,Iдоп_2ж,Iдоп_3ж),MATCH(EN256,Iдоп_S,0))*DZ256*EA256,{6,10,16,20,25,32,40,50,63,80,100,125,160,200,250,315,400,500,630}),""))</f>
        <v>25</v>
      </c>
      <c r="GT256" t="str">
        <f t="shared" si="498"/>
        <v>QFD32</v>
      </c>
      <c r="GU256" t="str">
        <f t="shared" si="499"/>
        <v>QFD32</v>
      </c>
      <c r="GV256" t="str">
        <f t="shared" si="500"/>
        <v/>
      </c>
      <c r="GW256">
        <f t="shared" si="501"/>
        <v>0</v>
      </c>
      <c r="GX256" t="str">
        <f>IF(OR(B256="",DJ256=""),"",IFERROR(_xlfn.XLOOKUP(DJ256,Модули_умолч[Управление],Модули_умолч[Модель])&amp;"",""))</f>
        <v/>
      </c>
      <c r="GY256">
        <f>IF(DJ256="",1,IFERROR(MAX(0,N(_xlfn.XLOOKUP(DJ256,Модули_умолч[Управление],Модули_умолч[Каналов на линию]))),1))</f>
        <v>1</v>
      </c>
      <c r="GZ256" t="str">
        <f t="shared" si="502"/>
        <v/>
      </c>
      <c r="HA256" t="str">
        <f t="shared" si="503"/>
        <v/>
      </c>
      <c r="HB256" t="str">
        <f t="shared" si="504"/>
        <v/>
      </c>
      <c r="HC256">
        <f>IF(HB256="",0,IFERROR(N(VLOOKUP(HB256,Модули_спр,3,FALSE)),0))</f>
        <v>0</v>
      </c>
      <c r="HD256" t="str">
        <f t="shared" si="505"/>
        <v/>
      </c>
      <c r="HE256" t="str">
        <f t="shared" si="506"/>
        <v/>
      </c>
      <c r="HF256" t="str">
        <f>IF(OR(HE256="",HE256="-"),"",IFERROR(VLOOKUP(HE256,Модули_спр,2,FALSE),"R"))</f>
        <v/>
      </c>
      <c r="HG256" t="str">
        <f>IF(HF256="","",HF256&amp;"."&amp;COUNTIFS(A$3:A256,A256,HF$3:HF256,HF256))</f>
        <v/>
      </c>
      <c r="HH256" t="str">
        <f t="shared" si="507"/>
        <v/>
      </c>
      <c r="HI256" t="str">
        <f t="shared" si="508"/>
        <v/>
      </c>
      <c r="HJ256" t="str">
        <f t="shared" si="509"/>
        <v/>
      </c>
      <c r="HK256" t="str">
        <f t="shared" si="510"/>
        <v/>
      </c>
      <c r="HL256">
        <f t="shared" si="511"/>
        <v>1</v>
      </c>
      <c r="HM256" t="str">
        <f>IF(HL256=1,"XT"&amp;COUNTIFS(A$3:A256,A256,HL$3:HL256,1),"")</f>
        <v>XT32</v>
      </c>
      <c r="HN256" t="str">
        <f t="shared" si="512"/>
        <v/>
      </c>
      <c r="HO256" t="str">
        <f t="shared" si="513"/>
        <v>QFD32</v>
      </c>
      <c r="HP256" t="str">
        <f t="shared" si="514"/>
        <v/>
      </c>
      <c r="HQ256" t="str">
        <f t="shared" si="515"/>
        <v>ok</v>
      </c>
      <c r="HR256" t="str">
        <f>IF(OR(HJ256="",HH256=""),"",IF(HJ256+MAX(0,GY256-1)&gt;IFERROR(VLOOKUP(HI256,Модули_спр,3,FALSE),99),"ЛИШНИЙ КАНАЛ",IF(AND(AL256&lt;&gt;"=",GY256&gt;0,COUNTIFS(Линии[_модуль гр.],HH256,Линии[Канал (итог)],HJ256,Линии[Канал],"&lt;&gt;=",Линии[Щит],A256)&gt;1),"ДУБЛЬ КАНАЛА","")))</f>
        <v/>
      </c>
      <c r="HS256" s="6" t="str">
        <f t="shared" si="516"/>
        <v/>
      </c>
      <c r="HT256">
        <f t="shared" si="517"/>
        <v>10</v>
      </c>
      <c r="HU256" t="str">
        <f t="shared" si="518"/>
        <v/>
      </c>
      <c r="HV256">
        <f t="shared" si="519"/>
        <v>1.4957487780830827</v>
      </c>
      <c r="HW256">
        <f t="shared" si="520"/>
        <v>0</v>
      </c>
      <c r="HX256">
        <f t="shared" si="521"/>
        <v>0</v>
      </c>
      <c r="HY256">
        <f t="shared" si="522"/>
        <v>0</v>
      </c>
      <c r="HZ256">
        <f t="shared" si="523"/>
        <v>0</v>
      </c>
      <c r="IA256">
        <f t="shared" si="524"/>
        <v>0</v>
      </c>
      <c r="IB256">
        <f t="shared" si="525"/>
        <v>0</v>
      </c>
      <c r="IC256" t="str">
        <f t="shared" si="526"/>
        <v/>
      </c>
      <c r="ID256" t="str" cm="1">
        <f t="array" ref="ID256">IF(IC256="","",_xlfn.LET(_xlpm.tk,_xlfn.TEXTSPLIT(SUBSTITUTE(SUBSTITUTE(IC256,";"," "),"→"," ")," ",,TRUE),_xlpm.w_,_xlfn._xlws.FILTER(_xlpm.tk,ISNUMBER(--LEFT(_xlpm.tk,1))*((ISNUMBER(SEARCH("W",_xlpm.tk))+ISNUMBER(SEARCH("Вт",_xlpm.tk)))&gt;0),""),IFERROR(--SUBSTITUTE(SUBSTITUTE(UPPER(INDEX(_xlpm.w_,1)),"W",""),"ВТ",""),"")))</f>
        <v/>
      </c>
      <c r="IE256" t="str" cm="1">
        <f t="array" ref="IE256">IF(IC256="","",_xlfn.LET(_xlpm.tk,_xlfn.TEXTSPLIT(SUBSTITUTE(SUBSTITUTE(IC256,";"," "),"→"," ")," ",,TRUE),_xlpm.v_,_xlfn._xlws.FILTER(_xlpm.tk,ISNUMBER(--LEFT(_xlpm.tk,1))*((ISNUMBER(SEARCH("V",_xlpm.tk))+(RIGHT(UPPER(_xlpm.tk))="В"))&gt;0),""),IFERROR(--SUBSTITUTE(SUBSTITUTE(UPPER(INDEX(_xlpm.v_,1)),"V",""),"В",""),"")))</f>
        <v/>
      </c>
      <c r="IF256" s="6" t="str">
        <f>IF(OR(BV256=0,HI256="",HJ256=""),"",IFERROR(N(_xlfn.XLOOKUP(HI256,Каталог!$C$4:$C$500,Каталог!$Q$4:$Q$500)),""))</f>
        <v/>
      </c>
      <c r="IG256" s="6" t="str">
        <f>IF(N(IF256)=0,"",SUMIFS(Линии[Iр, А],Линии[Щит],A256,Линии[_модуль гр.],HH256,Линии[Канал (итог)],HJ256))</f>
        <v/>
      </c>
      <c r="IH256" t="str">
        <f>IF(AND(B256="",HO256=""),"",_xlfn.TEXTJOIN("; ",TRUE,IF(AND(B256&lt;&gt;"",FV256=""),"нет фазы",""),IF(AND(B256&lt;&gt;"",N(GL256)=0,FG256&lt;&gt;"Нет"),"нет мощности",""),IF(AND(HN256&lt;&gt;"",COUNTIFS(Линии[Щит],A256,Линии[Клемма (итог)],HN256)&gt;1),"дубль клеммы "&amp;HN256,""),IF(AND(HQ256&lt;&gt;"",HQ256&lt;&gt;"ok"),HQ256,""),IF(HR256&lt;&gt;"",HR256,""),IF(AND(N(CB256)&gt;=4,N(BX256)=1),CB256&amp;" жил на 1 фазе",""),IF(AND(BC256="R",CG256=1,IF(CS256&lt;&gt;"",N(CV256)&gt;30,OR(N(DA256)=0,N(DA256)&gt;30))),"розетка без дифзащиты до 30 мА",""),IF(AND(CG256=1,N(DA256)&gt;0,ISNUMBER(T256)),IF(T256&gt;N(DA256)/3,"ток утечки "&amp;FIXED(T256,1)&amp;" мА &gt; 1/3 уставки ("&amp;DA256&amp;" мА)",""),""),IF(AND(CH256=1,CS256=""),"«узо»: нет строки с УЗО выше (УЗО 2P 40А 30мА в «Аппаратах»)",""),IF(AND(CS256&lt;&gt;"",CS256=BA256),IF(CT256="","впишите номинал УЗО (УЗО 2P 40А 30мА)",IF(N(CT256)&lt;N(DT256),"УЗО "&amp;CT256&amp;" А &lt; автомата "&amp;DT256&amp;" А перед ним",IF(N(CT256)&lt;N(CX256),"УЗО "&amp;CT256&amp;" А &lt; тока блока "&amp;FIXED(CX256,1)&amp;" А",""))),""),IF(AND(CS256&lt;&gt;"",CS256=BA256,ISNUMBER(CY256)),IF(CY256&gt;N(CV256)/3,"ток утечки блока УЗО "&amp;FIXED(CY256,1)&amp;" мА &gt; 1/3 уставки ("&amp;CV256&amp;" мА)",""),""),IF(AND(CG256=1,N(BV256)+N(IB256)&gt;0,IC256=""),"линии до 50 В без БП: впишите в «Аппараты» (БП 24V 480W)",""),IF(AND(CG256=1,ISNUMBER(ID256),ISNUMBER(U256)),IF(U256&gt;ID256,"БП "&amp;ID256&amp;" Вт &lt; нужно "&amp;U256&amp;" Вт (×"&amp;Запас_БП&amp;")",""),""),IF(AND(CG256=1,ISNUMBER(IE256),N(BV256)=1),IF(IE256&lt;&gt;N(BU256),"БП на "&amp;IE256&amp;" В, линия "&amp;BU256&amp;" В",""),""),IF(AND(N(IF256)&gt;0,N(IG256)&gt;N(IF256)),HH256&amp;" канал "&amp;HJ256&amp;": "&amp;FIXED(IG256,1)&amp;" А &gt; "&amp;IF256&amp;" А",""),IFERROR(IF(AND(ISNUMBER(Q256),Q256&gt;EL256),"потери "&amp;FIXED(Q256,1)&amp;" % &gt; "&amp;EL256&amp;" %",""),""),IFERROR(IF(LEFT(HU256,4)="мало","Iкз мало — отключение &gt; 0,4 с",""),""),IF(AND(B256&lt;&gt;"",BM256=""),"не на схеме",""),IF(AND(CG256=0,B256&lt;&gt;"",FV256&lt;&gt;"",IF(BA256=1,"",FW255)&lt;&gt;"",FV256&lt;&gt;IF(BA256=1,"",FW255)),"фаза не как у автомата группы ("&amp;IF(BA256=1,"",FW255)&amp;")","")))</f>
        <v/>
      </c>
      <c r="II256" s="6">
        <f>IF(OR(CG256=0,DQ256=""),"",_xlfn.LET(_xlpm.t,IFERROR(_xlfn.XLOOKUP(DQ256,Каталог!$U$4:$U$500,Каталог!$G$4:$G$500),""),_xlpm.k,SEARCH("кА",_xlpm.t),IFERROR(--TRIM(RIGHT(SUBSTITUTE(MID(_xlpm.t,MAX(1,_xlpm.k-4),_xlpm.k-MAX(1,_xlpm.k-4))," ",REPT(" ",9)),5)),"")))</f>
        <v>6</v>
      </c>
      <c r="IJ256" t="str">
        <f>IF(OR(II256="",CG256=0),"",IF(_xlfn.XLOOKUP(A256,Щиты[Щит],Щиты[Iкз max на шинах, кА],"")="","",IF(II256&lt;_xlfn.XLOOKUP(A256,Щиты[Щит],Щиты[Iкз max на шинах, кА]),"Icu "&amp;II256&amp;" кА &lt; Iкз max","ok")))</f>
        <v/>
      </c>
      <c r="IK256" t="str">
        <f t="shared" si="527"/>
        <v/>
      </c>
      <c r="IL256" t="str">
        <f t="shared" si="528"/>
        <v>QFD32</v>
      </c>
      <c r="IM256" t="str">
        <f t="shared" si="529"/>
        <v>QFD32|кабель ВВГнг(А)-LS (3х2,5) → Розеточная группа, пом. 011A</v>
      </c>
      <c r="IN256" t="str" cm="1">
        <f t="array" ref="IN256">IF(IM256="","",_xlfn.LET(_xlpm.nd,_xlfn.TEXTSPLIT(IM256,"|"),IF(COLUMNS(_xlpm.nd)&gt;1,A256&amp;"¦"&amp;INDEX(_xlpm.nd,1)&amp;"¦"&amp;INDEX(_xlpm.nd,2),"")))</f>
        <v>ЩР-1¦QFD32¦кабель ВВГнг(А)-LS (3х2,5) → Розеточная группа, пом. 011A</v>
      </c>
      <c r="IO256" t="str">
        <f t="shared" si="530"/>
        <v>R.1.011A.1¦Розеточная группа, пом. 011A</v>
      </c>
      <c r="IP256" t="str" cm="1">
        <f t="array" ref="IP256">IF(IM256="","",_xlfn.LET(_xlpm.nd,_xlfn.TEXTSPLIT(IM256,"|"),IF(COLUMNS(_xlpm.nd)&gt;2,A256&amp;"¦"&amp;INDEX(_xlpm.nd,2)&amp;"¦"&amp;INDEX(_xlpm.nd,3),"")))</f>
        <v/>
      </c>
      <c r="IQ256" t="str">
        <f t="shared" si="531"/>
        <v/>
      </c>
      <c r="IR256" t="str" cm="1">
        <f t="array" ref="IR256">IF(IM256="","",_xlfn.LET(_xlpm.nd,_xlfn.TEXTSPLIT(IM256,"|"),IF(COLUMNS(_xlpm.nd)&gt;3,A256&amp;"¦"&amp;INDEX(_xlpm.nd,3)&amp;"¦"&amp;INDEX(_xlpm.nd,4),"")))</f>
        <v/>
      </c>
      <c r="IS256" t="str">
        <f t="shared" si="532"/>
        <v/>
      </c>
      <c r="IT256" t="str" cm="1">
        <f t="array" ref="IT256">IF(IM256="","",_xlfn.LET(_xlpm.nd,_xlfn.TEXTSPLIT(IM256,"|"),IF(COLUMNS(_xlpm.nd)&gt;4,A256&amp;"¦"&amp;INDEX(_xlpm.nd,4)&amp;"¦"&amp;INDEX(_xlpm.nd,5),"")))</f>
        <v/>
      </c>
      <c r="IU256" t="str">
        <f t="shared" si="533"/>
        <v/>
      </c>
      <c r="IV256" t="str" cm="1">
        <f t="array" ref="IV256">IF(IM256="","",_xlfn.LET(_xlpm.nd,_xlfn.TEXTSPLIT(IM256,"|"),IF(COLUMNS(_xlpm.nd)&gt;5,A256&amp;"¦"&amp;INDEX(_xlpm.nd,5)&amp;"¦"&amp;INDEX(_xlpm.nd,6),"")))</f>
        <v/>
      </c>
      <c r="IW256" t="str">
        <f t="shared" si="534"/>
        <v/>
      </c>
      <c r="IX256" t="str" cm="1">
        <f t="array" ref="IX256">IF(IM256="","",_xlfn.LET(_xlpm.nd,_xlfn.TEXTSPLIT(IM256,"|"),IF(COLUMNS(_xlpm.nd)&gt;6,A256&amp;"¦"&amp;INDEX(_xlpm.nd,6)&amp;"¦"&amp;INDEX(_xlpm.nd,7),"")))</f>
        <v/>
      </c>
      <c r="IY256" t="str">
        <f t="shared" si="535"/>
        <v/>
      </c>
      <c r="IZ256" t="str">
        <f t="shared" si="536"/>
        <v/>
      </c>
      <c r="JA256" t="str">
        <f t="shared" si="537"/>
        <v>QFD32</v>
      </c>
      <c r="JB256">
        <f t="shared" si="538"/>
        <v>0</v>
      </c>
      <c r="JC256">
        <f t="shared" si="539"/>
        <v>1</v>
      </c>
      <c r="JD256" t="str">
        <f t="shared" si="540"/>
        <v/>
      </c>
      <c r="JE256" t="str">
        <f t="shared" si="541"/>
        <v/>
      </c>
      <c r="JF256" t="str">
        <f t="shared" si="542"/>
        <v/>
      </c>
      <c r="JG256" t="str">
        <f t="shared" si="543"/>
        <v/>
      </c>
      <c r="JH256" t="str">
        <f>IF(B256="","",IFERROR(_xlfn.XLOOKUP(B256,Коды_код,Коды_уго),IFERROR(_xlfn.XLOOKUP(BC256,Коды_код,Коды_уго),IFERROR(_xlfn.XLOOKUP(LEFT(BC256,2),Коды_код,Коды_уго),""))))</f>
        <v>Розетка</v>
      </c>
      <c r="JI256" t="str">
        <f>IF(B256="","",IF(OR(JH256="",JH256=0),"BOX",IFERROR(IF(VLOOKUP(JH256,УГО_блоки,3,FALSE)&amp;""&lt;&gt;"",VLOOKUP(JH256,УГО_блоки,3,FALSE),VLOOKUP(JH256,УГО_блоки,2,FALSE)),JH256)))</f>
        <v>SOCKET</v>
      </c>
      <c r="JJ256">
        <f t="shared" si="544"/>
        <v>1</v>
      </c>
      <c r="JK256" t="str">
        <f>IF(DQ256="","",IF(COUNTIF(DQ$3:DQ256,DQ256)=1,MAX(JK$2:JK255)+1,""))</f>
        <v/>
      </c>
      <c r="JL256" t="str">
        <f>IF(DE256="","",IF(COUNTIF(DE$3:DE256,DE256)+COUNTIF(DF$2:DF255,DE256)+COUNTIF(DG$2:DG255,DE256)=1,MAX(JL$2:JN255)+1,""))</f>
        <v/>
      </c>
      <c r="JM256" t="str">
        <f>IF(DF256="","",IF(COUNTIF(DE$3:DE256,DF256)+COUNTIF(DF$3:DF256,DF256)+COUNTIF(DG$2:DG255,DF256)=1,MAX(JL$2:JN255,JL256)+1,""))</f>
        <v/>
      </c>
      <c r="JN256" t="str">
        <f>IF(DG256="","",IF(COUNTIF(DE$3:DE256,DG256)+COUNTIF(DF$3:DF256,DG256)+COUNTIF(DG$3:DG256,DG256)=1,MAX(JL$2:JN255,JL256,JM256)+1,""))</f>
        <v/>
      </c>
      <c r="JO256" t="str">
        <f t="shared" si="545"/>
        <v>3х2,5</v>
      </c>
      <c r="JP256" t="str">
        <f>IF(JO256="","",IF(COUNTIF(JO$3:JO256,JO256)=1,MAX(JP$2:JP255)+1,""))</f>
        <v/>
      </c>
      <c r="JQ256" t="str">
        <f>IF(HG256="","",COUNTIF(HG$3:HG256,"?*"))</f>
        <v/>
      </c>
      <c r="JR256" t="str">
        <f>IF(OR(HG256="",HI256=""),"",IF(COUNTIFS(HG$3:HG256,"?*",HI$3:HI256,HI256)=1,MAX(JR$2:JR255)+1,""))</f>
        <v/>
      </c>
      <c r="JS256">
        <f t="shared" si="546"/>
        <v>0</v>
      </c>
      <c r="JT256">
        <f>IF(B256="","",COUNTIF(B$3:B256,"?*"))</f>
        <v>254</v>
      </c>
      <c r="JU256">
        <f>IF(HL256&lt;&gt;1,0,_xlfn.LET(_xlpm.k,MAX(IFERROR(--_xlfn.XLOOKUP(B256,Коды_код,Коды_3L),0),IFERROR(--_xlfn.XLOOKUP(BC256,Коды_код,Коды_3L),0),IFERROR(--_xlfn.XLOOKUP(LEFT(BC256,2),Коды_код,Коды_3L),0)),IF(_xlpm.k&gt;0,_xlpm.k,IF(IFERROR(--LEFT(SUBSTITUTE(JO256,"x","х"),FIND("х",SUBSTITUTE(JO256,"x","х"))-1),3)&gt;3,Каталог!$S$9,1))))</f>
        <v>1</v>
      </c>
      <c r="JV256">
        <f t="shared" si="547"/>
        <v>0</v>
      </c>
      <c r="JW256" t="str">
        <f t="shared" si="548"/>
        <v>авто</v>
      </c>
      <c r="JX256">
        <f t="shared" si="549"/>
        <v>30</v>
      </c>
      <c r="JY256">
        <f t="shared" si="550"/>
        <v>1</v>
      </c>
      <c r="JZ256">
        <f t="shared" si="551"/>
        <v>1</v>
      </c>
    </row>
    <row r="257" spans="1:286" x14ac:dyDescent="0.3">
      <c r="A257" t="s">
        <v>757</v>
      </c>
      <c r="B257" t="s">
        <v>1563</v>
      </c>
      <c r="C257" t="str">
        <f>Линии[[#This Row],[_авто наименование]]</f>
        <v>Розеточная группа, пом. 012</v>
      </c>
      <c r="D257">
        <v>1</v>
      </c>
      <c r="E257">
        <v>0.06</v>
      </c>
      <c r="G257" t="str">
        <f>Линии[[#This Row],[_авто автомат]]</f>
        <v>2P С16А 30мА</v>
      </c>
      <c r="H257" t="str">
        <f>Линии[[#This Row],[_авто управление]]</f>
        <v/>
      </c>
      <c r="I257" t="str">
        <f>Линии[[#This Row],[_авто аппараты]]</f>
        <v/>
      </c>
      <c r="J257">
        <v>2.5</v>
      </c>
      <c r="K257">
        <v>29</v>
      </c>
      <c r="L257" t="str">
        <f>Линии[[#This Row],[_авто фаза]]</f>
        <v>L1</v>
      </c>
      <c r="M257" t="s">
        <v>484</v>
      </c>
      <c r="N257" t="str">
        <f t="shared" si="414"/>
        <v/>
      </c>
      <c r="O257" s="6" cm="1">
        <f t="array" ref="O257">IF(B257="","",IF(BH257&lt;&gt;"",IFERROR(_xlfn.XLOOKUP(BH257,Щиты[Щит],Щиты[Iр, А]),""),IF(BP257=1,IF(OR(N(_xlfn.XLOOKUP(A257,Щиты[Щит],Щиты[Вводов],1))&lt;=1,LOWER(TRIM(_xlfn.XLOOKUP(A257,Щиты[Щит],Щиты[АВР],"")&amp;""))="да"),IFERROR(_xlfn.XLOOKUP(A257,Щиты[Щит],Щиты[Iр, А]),""),IFERROR(N(BS257)*_xlfn.XLOOKUP(A257,Щиты[Щит],Щиты[Кс итог])/(SQRT(3)*Uн_лин*_xlfn.XLOOKUP(A257,Щиты[Щит],Щиты[cos φ])),"")),IF(BV257=1,IFERROR(BS257*1000/BU257,""),IFERROR(_xlfn.IFS(BX257=1,BS257/((Uн_лин/SQRT(3))*CE257),BX257=3,BS257/(SQRT(3)*Uн_лин*CE257)),"")))))</f>
        <v>0.27348170645824377</v>
      </c>
      <c r="P257" s="7">
        <f>IF(B257="","",IFERROR(IF(VLOOKUP(BC257,Потребители_обозначение,4,FALSE)=1,VLOOKUP(BC257,Потребители_обозначение,3,FALSE)*(MAX(1,N(D257))*2-1)+EI257+VLOOKUP(BE257,Этаж_обозначение,3,FALSE)+VLOOKUP(BE257,Этаж_обозначение,4,FALSE),VLOOKUP(BC257,Потребители_обозначение,3,FALSE)*(MAX(1,N(D257))*2-1)+EI257),EI257))</f>
        <v>32</v>
      </c>
      <c r="Q257" s="6">
        <f t="shared" si="415"/>
        <v>1.26</v>
      </c>
      <c r="R257" t="str">
        <f t="shared" si="416"/>
        <v>ВВГнг(А)-LS (3х2,5)</v>
      </c>
      <c r="S257" t="str">
        <f>IF(BM257="","",IF(BN257="вводной узел","узел ","")&amp;"л."&amp;(INT((BM257-1)/Столбцов_на_лист)+1)&amp;" / "&amp;(MOD(BM257-1,Столбцов_на_лист)+1))</f>
        <v>л.3 / 11</v>
      </c>
      <c r="T257" s="119">
        <f t="shared" si="417"/>
        <v>0.4</v>
      </c>
      <c r="U257" s="7" t="str">
        <f>IF(OR(CG257=0,N(BV257)+N(IB257)=0),"",ROUNDUP(Запас_БП*(N(HY257)+N(HZ257)),0))</f>
        <v/>
      </c>
      <c r="V257" s="119" t="str">
        <f t="shared" si="418"/>
        <v/>
      </c>
      <c r="W257" s="7" t="str">
        <f>IFERROR(IF(OR(B257="",BP257=1,BV257=1,NOT(ISNUMBER(EN257)),N(DT257)=0),"",MAX(0,ROUNDDOWN((c_min*(Uн_лин*1000/SQRT(3))/(HT257*N(DT257))-_xlfn.XLOOKUP(A257,Щиты[Щит],Щиты[Zпетли на шинах, Ом]))*EN257/(2*ρкз_Cu),0))),"")</f>
        <v/>
      </c>
      <c r="Y257">
        <f>Линии[[#This Row],[_авто утечка]]</f>
        <v>30</v>
      </c>
      <c r="Z257">
        <v>1</v>
      </c>
      <c r="AA257">
        <v>230</v>
      </c>
      <c r="AB257" t="s">
        <v>562</v>
      </c>
      <c r="AG257" t="s">
        <v>810</v>
      </c>
      <c r="AI257" t="s">
        <v>561</v>
      </c>
      <c r="AK257" t="str">
        <f>Линии[[#This Row],[_авто модуль]]</f>
        <v/>
      </c>
      <c r="AM257">
        <v>45</v>
      </c>
      <c r="AN257" t="s">
        <v>11</v>
      </c>
      <c r="AO257">
        <v>3</v>
      </c>
      <c r="AQ257">
        <v>18</v>
      </c>
      <c r="AR257">
        <v>14</v>
      </c>
      <c r="AS257">
        <v>0</v>
      </c>
      <c r="BA257" cm="1">
        <f t="array" ref="BA257">ROW()-ROW(Линии[#Headers])</f>
        <v>255</v>
      </c>
      <c r="BC257" s="6" t="str">
        <f t="shared" si="419"/>
        <v>R</v>
      </c>
      <c r="BD257" t="str">
        <f t="shared" si="420"/>
        <v>1.012.1A.1</v>
      </c>
      <c r="BE257" t="str">
        <f t="shared" si="421"/>
        <v>1</v>
      </c>
      <c r="BF257" t="str">
        <f t="shared" si="422"/>
        <v>012.1A.1</v>
      </c>
      <c r="BG257" t="str">
        <f t="shared" si="423"/>
        <v>012</v>
      </c>
      <c r="BH257" t="str">
        <f>IF(X257&lt;&gt;"",X257,IF(AND(B257&lt;&gt;"",B257&lt;&gt;A257,ISNUMBER(_xlfn.XMATCH(B257,Щиты[Щит]))),B257,""))</f>
        <v/>
      </c>
      <c r="BI257" t="str" cm="1">
        <f t="array" ref="BI257">IF(B257="","",IF(BH257&lt;&gt;"","Щит "&amp;BH257,_xlfn.LET(_xlpm.nm,IFERROR(_xlfn.XLOOKUP(BC257,Коды_код,Коды_имя)&amp;"",""),_xlpm.md,IFERROR(N(_xlfn.XLOOKUP(BC257,Коды_код,Коды_режим)),1),_xlpm.ex,IF(Имя_режим="по экспликации",IFERROR(_xlfn.XLOOKUP(BE257&amp;"|"&amp;BG257,Экспликация[Этаж]&amp;"|"&amp;Экспликация[Помещение],Экспликация[Название])&amp;"",""),""),_xlpm.rm,IF(BG257="","",IF(_xlpm.ex&lt;&gt;"",". "&amp;_xlpm.ex&amp;IF(Имя_пом="нет"," ("&amp;BG257&amp;")"," (пом. "&amp;BG257&amp;")"),IF(Имя_пом="нет"," ",", пом. ")&amp;BG257)),IF(_xlpm.nm="","",IF(_xlpm.md=2,_xlpm.nm&amp;" шлейф "&amp;BE257,_xlpm.nm&amp;_xlpm.rm)))))</f>
        <v>Розеточная группа, пом. 012</v>
      </c>
      <c r="BJ257" t="str">
        <f t="shared" si="424"/>
        <v>Розеточная группа, пом. 012</v>
      </c>
      <c r="BK257">
        <f>IFERROR(_xlfn.XMATCH(A257,Щиты[Щит]),0)</f>
        <v>10</v>
      </c>
      <c r="BL257">
        <f>_xlfn.LET(_xlpm.k,IFERROR(_xlfn.XLOOKUP(A257,Щиты[Щит],Щиты[Мест под вводной узел]),""),IF(_xlpm.k="",Столбцов_на_лист,N(_xlpm.k)))</f>
        <v>8</v>
      </c>
      <c r="BM257">
        <f t="shared" si="425"/>
        <v>45</v>
      </c>
      <c r="BN257" t="str">
        <f t="shared" si="426"/>
        <v>линии</v>
      </c>
      <c r="BO257" s="6">
        <f>IFERROR(N(_xlfn.XLOOKUP(BC257,Коды_код,Коды_квт)),0)</f>
        <v>0</v>
      </c>
      <c r="BP257">
        <f t="shared" si="427"/>
        <v>0</v>
      </c>
      <c r="BQ257" t="str">
        <f>IF(B257="","",IF(BH257&lt;&gt;"",IFERROR(_xlfn.XLOOKUP(BH257,Щиты[Щит],Щиты[Руст, кВт]),0),IF(BP257=1,IF(OR(N(_xlfn.XLOOKUP(A257,Щиты[Щит],Щиты[Вводов],1))&lt;=1,LOWER(TRIM(_xlfn.XLOOKUP(A257,Щиты[Щит],Щиты[АВР],"")&amp;""))="да"),IFERROR(_xlfn.XLOOKUP(A257,Щиты[Щит],Щиты[Руст, кВт]),0),SUMIFS(Линии[_Р для вводов],Линии[Щит],A257,Линии[Источник для режимов],GF257)),IF(BO257&gt;0,ROUND(BO257*MAX(1,N(D257)),3),""))))</f>
        <v/>
      </c>
      <c r="BR257">
        <f t="shared" si="428"/>
        <v>0.06</v>
      </c>
      <c r="BS257" s="6">
        <f>IF(B257="","",IF(BH257&lt;&gt;"",IFERROR(_xlfn.XLOOKUP(BH257,Щиты[Щит],Щиты[Руст, кВт]),0),N(BR257)))</f>
        <v>0.06</v>
      </c>
      <c r="BT257" t="str">
        <f>IF(B257="","",IFERROR(IF(VLOOKUP(BC257,Потребители_обозначение,8,FALSE)=0,"",VLOOKUP(BC257,Потребители_обозначение,8,FALSE)),""))</f>
        <v/>
      </c>
      <c r="BU257">
        <f t="shared" si="429"/>
        <v>230</v>
      </c>
      <c r="BV257">
        <f t="shared" si="430"/>
        <v>0</v>
      </c>
      <c r="BW257">
        <f>IF(B257="","",IF(BH257&lt;&gt;"",3,IFERROR(IF(N(VLOOKUP(BC257,Потребители_обозначение,9,FALSE))=0,1,VLOOKUP(BC257,Потребители_обозначение,9,FALSE)),1)))</f>
        <v>1</v>
      </c>
      <c r="BX257">
        <f t="shared" si="431"/>
        <v>1</v>
      </c>
      <c r="BY257" t="str">
        <f>IF(B257="","",_xlfn.LET(_xlpm.bc,IFERROR(IF(VLOOKUP(BC257,Потребители_обозначение,6,FALSE)=0,"",VLOOKUP(BC257,Потребители_обозначение,6,FALSE)&amp;""),""),IF(AND(GA257="да",OR(_xlpm.bc="",_xlpm.bc="мс")),Марка_пож,IF(AND(_xlpm.bc="",BH257&lt;&gt;""),"мс",_xlpm.bc))))</f>
        <v/>
      </c>
      <c r="BZ257" t="str">
        <f t="shared" si="432"/>
        <v>мс</v>
      </c>
      <c r="CA257">
        <f>IF(B257="","",_xlfn.LET(_xlpm.cc,IFERROR(N(VLOOKUP(BC257,Потребители_обозначение,7,FALSE)),0),IF(_xlpm.cc&gt;0,_xlpm.cc,IF(BZ257="","",IF(BV257=1,2,IF(N(BX257)=3,5,3))))))</f>
        <v>3</v>
      </c>
      <c r="CB257">
        <f t="shared" si="433"/>
        <v>3</v>
      </c>
      <c r="CC257">
        <f>IFERROR(N(VLOOKUP(BC257,Потребители_обозначение,10,FALSE)),0)</f>
        <v>0</v>
      </c>
      <c r="CD257">
        <f>IFERROR(VLOOKUP(BC257,Потребители_обозначение,5,FALSE),0)</f>
        <v>1</v>
      </c>
      <c r="CE257" s="6" cm="1">
        <f t="array" ref="CE257">IF(B257="","",IF(BH257&lt;&gt;"",IFERROR(_xlfn.XLOOKUP(BH257,Щиты[Щит],Щиты[cos φ]),0.95),IF(BP257=1,IFERROR(_xlfn.XLOOKUP(A257,Щиты[Щит],Щиты[cos φ]),0.95),IF(ISNUMBER(AD257),AD257,IFERROR(IF(CD257=2,_xlfn.IFS(BX257=3,VLOOKUP(BS257,Справочная_двигатели,8,FALSE),BX257=1,VLOOKUP(BS257,Справочная_двигатели,10,TRUE)),IF(AND(Методика="нормы 2026",FG257="Сил"),0.8,0.95)),0.95)))))</f>
        <v>0.95</v>
      </c>
      <c r="CF257">
        <f t="shared" si="434"/>
        <v>0</v>
      </c>
      <c r="CG257">
        <f t="shared" si="435"/>
        <v>1</v>
      </c>
      <c r="CH257">
        <f t="shared" si="436"/>
        <v>0</v>
      </c>
      <c r="CI257">
        <f>IF(B257="","",IF(BV257=1,IFERROR(BS257/((Uн_лин/SQRT(3))*MAX(0.5,N(CE257))),0),N(O257)))</f>
        <v>0.27348170645824377</v>
      </c>
      <c r="CJ257">
        <f t="shared" si="437"/>
        <v>0</v>
      </c>
      <c r="CK257">
        <f t="shared" si="438"/>
        <v>0</v>
      </c>
      <c r="CL257">
        <f t="shared" si="439"/>
        <v>0</v>
      </c>
      <c r="CM257">
        <f t="shared" si="440"/>
        <v>0</v>
      </c>
      <c r="CN257">
        <f t="shared" si="441"/>
        <v>0</v>
      </c>
      <c r="CO257">
        <f>IF(BC257="",0,_xlfn.LET(_xlpm.v,IFERROR(_xlfn.XLOOKUP(B257,Коды_код,Коды_мА),IFERROR(_xlfn.XLOOKUP(BC257,Коды_код,Коды_мА),IFERROR(_xlfn.XLOOKUP(LEFT(BC257,2),Коды_код,Коды_мА),""))),IF(_xlpm.v="да",30,IF(ISNUMBER(_xlpm.v),_xlpm.v,0))))</f>
        <v>30</v>
      </c>
      <c r="CP257">
        <f t="shared" si="442"/>
        <v>30</v>
      </c>
      <c r="CQ257" t="str">
        <f>_xlfn.LET(_xlpm.k,IFERROR(_xlfn.XLOOKUP(BC257,Коды_код,Коды_утечка)&amp;"",""),IF(_xlpm.k="","дифавтомат",_xlpm.k))</f>
        <v>дифавтомат</v>
      </c>
      <c r="CR257" t="str" cm="1">
        <f t="array" ref="CR257">IF(CG257=0,"",_xlfn.LET(_xlpm.sg,TRIM(_xlfn.TEXTSPLIT(DD257&amp;"",";")),_xlpm.f_,_xlfn._xlws.FILTER(_xlpm.sg,LEFT(_xlpm.sg,3)="УЗО",""),IFERROR(INDEX(_xlpm.f_,1)&amp;"","")))</f>
        <v/>
      </c>
      <c r="CS257" t="str">
        <f t="shared" si="443"/>
        <v/>
      </c>
      <c r="CT257" s="6" t="str" cm="1">
        <f t="array" ref="CT257">IF(CR257="","",_xlfn.LET(_xlpm.tk,_xlfn.TEXTSPLIT(UPPER(CR257)," ",,TRUE),_xlpm.a_,_xlfn._xlws.FILTER(_xlpm.tk,ISNUMBER(--LEFT(_xlpm.tk,1))*((ISNUMBER(SEARCH("А",_xlpm.tk))+ISNUMBER(SEARCH("A",_xlpm.tk)))&gt;0)*NOT(ISNUMBER(SEARCH("МА",_xlpm.tk)))*NOT(ISNUMBER(SEARCH("MA",_xlpm.tk))),""),IFERROR(--SUBSTITUTE(SUBSTITUTE(INDEX(_xlpm.a_,1),"А",""),"A",""),"")))</f>
        <v/>
      </c>
      <c r="CU257" t="str" cm="1">
        <f t="array" ref="CU257">IF(CR257="","",_xlfn.LET(_xlpm.tk,_xlfn.TEXTSPLIT(UPPER(CR257)," ",,TRUE),_xlpm.a_,_xlfn._xlws.FILTER(_xlpm.tk,ISNUMBER(--LEFT(_xlpm.tk,1))*((ISNUMBER(SEARCH("МА",_xlpm.tk))+ISNUMBER(SEARCH("MA",_xlpm.tk)))&gt;0),""),IFERROR(--SUBSTITUTE(SUBSTITUTE(INDEX(_xlpm.a_,1),"МА",""),"MA",""),30)))</f>
        <v/>
      </c>
      <c r="CV257" t="str">
        <f>IF(CS257="","",IFERROR(_xlfn.XLOOKUP(CS257,Линии[_n],Линии[_УЗО, мА]),30))</f>
        <v/>
      </c>
      <c r="CW257">
        <f>IF(CS257="",0,IF(ISNUMBER(SEARCH("4P",IFERROR(_xlfn.XLOOKUP(CS257,Линии[_n],Линии[_УЗО строки])&amp;"",""))),0,1))</f>
        <v>0</v>
      </c>
      <c r="CX257" t="str">
        <f>IF(AND(CS257&lt;&gt;"",CS257=BA257),SUMIFS(Линии[_ток на 230 В],Линии[_блок УЗО],BA257,Линии[Щит],A257),"")</f>
        <v/>
      </c>
      <c r="CY257" t="str">
        <f>IF(AND(CS257&lt;&gt;"",CS257=BA257),SUMIFS(Линии[_ток утечки линии, мА],Линии[_блок УЗО],BA257,Линии[Щит],A257),"")</f>
        <v/>
      </c>
      <c r="CZ257">
        <f t="shared" si="444"/>
        <v>30</v>
      </c>
      <c r="DA257">
        <f t="shared" si="445"/>
        <v>30</v>
      </c>
      <c r="DB257">
        <f>IF(B257="",0,IFERROR(--_xlfn.XLOOKUP(B257,Коды_код,Коды_минавт),IFERROR(--_xlfn.XLOOKUP(BC257,Коды_код,Коды_минавт),IFERROR(--_xlfn.XLOOKUP(LEFT(BC257,2),Коды_код,Коды_минавт),0))))</f>
        <v>16</v>
      </c>
      <c r="DC257" t="str">
        <f>IF(B257="","",IFERROR(_xlfn.XLOOKUP(BC257,Коды_код,Коды_апп)&amp;"",""))</f>
        <v/>
      </c>
      <c r="DD257" t="str">
        <f t="shared" si="446"/>
        <v/>
      </c>
      <c r="DE257" t="str" cm="1">
        <f t="array" ref="DE257">IF(TRIM(DD257&amp;"")="","",IFERROR(TRIM(INDEX(_xlfn.TEXTSPLIT(DD257&amp;";;;",";"),1)),""))</f>
        <v/>
      </c>
      <c r="DF257" t="str" cm="1">
        <f t="array" ref="DF257">IF(TRIM(DD257&amp;"")="","",IFERROR(TRIM(INDEX(_xlfn.TEXTSPLIT(DD257&amp;";;;",";"),2)),""))</f>
        <v/>
      </c>
      <c r="DG257" t="str" cm="1">
        <f t="array" ref="DG257">IF(TRIM(DD257&amp;"")="","",IFERROR(TRIM(INDEX(_xlfn.TEXTSPLIT(DD257&amp;";;;",";"),3)),""))</f>
        <v/>
      </c>
      <c r="DH257">
        <f t="shared" si="447"/>
        <v>0</v>
      </c>
      <c r="DI257" t="str">
        <f>IF(B257="","",_xlfn.LET(_xlpm.t,LOWER(AZ257&amp;""),IF(ISNUMBER(SEARCH("dim",_xlpm.t)),"DIM",IF(ISNUMBER(SEARCH("dali",_xlpm.t)),"DALI",IF(OR(ISNUMBER(SEARCH("relay",_xlpm.t)),ISNUMBER(SEARCH("реле",_xlpm.t))),"Relay",IF(ISNUMBER(SEARCH("кнопк",_xlpm.t)),"",IFERROR(_xlfn.XLOOKUP(BC257,Коды_код,Коды_упр)&amp;"","")))))))</f>
        <v/>
      </c>
      <c r="DJ257" t="str">
        <f t="shared" si="448"/>
        <v/>
      </c>
      <c r="DK257">
        <f>IF(B257="","",_xlfn.LET(_xlpm.ig,IF(N(CX257)&gt;0,N(CX257),N(CI257)+IF(AJ257="вручную",0,N(CJ257))),_xlpm.n0,IFERROR(VLOOKUP(_xlpm.ig,Автомат_номиналы,2,TRUE),0),_xlpm.mn,MAX(DB257,IF(AJ257="вручную",0,N(CM257))),MAX(_xlpm.n0,_xlpm.mn,IF(DH257=1,Мин_автомат_БП,0))))</f>
        <v>16</v>
      </c>
      <c r="DL257">
        <f t="shared" si="449"/>
        <v>1</v>
      </c>
      <c r="DM257" t="str">
        <f t="shared" si="450"/>
        <v>2P</v>
      </c>
      <c r="DN257" t="str">
        <f>_xlfn.LET(_xlpm.cc,UPPER(TRIM(IFERROR(_xlfn.XLOOKUP(BC257,Коды_код,Коды_хар)&amp;"",""))),IF(OR(_xlpm.cc="B",_xlpm.cc="В"),"B",IF(_xlpm.cc="D","D","С")))</f>
        <v>С</v>
      </c>
      <c r="DO257" t="str">
        <f t="shared" si="451"/>
        <v>2P С16А 30мА</v>
      </c>
      <c r="DP257" t="str">
        <f t="shared" si="452"/>
        <v>2P С16А 30мА</v>
      </c>
      <c r="DQ257" t="str">
        <f t="shared" si="453"/>
        <v>2P С16А 30мА</v>
      </c>
      <c r="DR257" cm="1">
        <f t="array" ref="DR257">IF(DQ257="","",_xlfn.LET(_xlpm.t,SUBSTITUTE(SUBSTITUTE(SUBSTITUTE(UPPER(DQ257),"С","C"),"А","A"),"В","B"),_xlpm.tk,_xlfn.TEXTSPLIT(_xlpm.t," "),_xlpm.f,_xlfn._xlws.FILTER(_xlpm.tk,ISNUMBER(--MID(_xlpm.tk,2,1))*ISNUMBER(SEARCH(LEFT(_xlpm.tk,1)&amp;"#","B#C#D#"))*(LEN(_xlpm.tk)&gt;1),""),_xlpm.x,INDEX(_xlpm.f,1),IFERROR(--SUBSTITUTE(MID(_xlpm.x,2,9),"A",""),IFERROR(--SUBSTITUTE(INDEX(_xlfn._xlws.FILTER(_xlpm.tk,ISNUMBER(--SUBSTITUTE(_xlpm.tk,"A","")),""),1),"A",""),""))))</f>
        <v>16</v>
      </c>
      <c r="DS257" t="str">
        <f t="shared" si="454"/>
        <v>ok</v>
      </c>
      <c r="DT257">
        <f t="shared" si="455"/>
        <v>16</v>
      </c>
      <c r="DU257" t="str">
        <f t="shared" si="456"/>
        <v>2P С16А 30мА</v>
      </c>
      <c r="DV257">
        <f t="shared" si="457"/>
        <v>30</v>
      </c>
      <c r="DW257">
        <f t="shared" si="458"/>
        <v>1</v>
      </c>
      <c r="DX257">
        <f t="shared" si="459"/>
        <v>0</v>
      </c>
      <c r="DY257">
        <f t="shared" si="460"/>
        <v>0.27348170645824377</v>
      </c>
      <c r="DZ257">
        <f t="shared" si="461"/>
        <v>1</v>
      </c>
      <c r="EA257">
        <f>IF(ISNUMBER(AP257),AP257,К_прокл)</f>
        <v>1</v>
      </c>
      <c r="EB257">
        <f t="shared" si="462"/>
        <v>2</v>
      </c>
      <c r="EC257">
        <f>IFERROR(N(VLOOKUP(BZ257,Кабель_обозначение,3,FALSE)),1)</f>
        <v>1</v>
      </c>
      <c r="ED257">
        <f>IFERROR(N(_xlfn.XLOOKUP(A257,Щиты[Щит],Щиты[ΔU до шин, %])),0)</f>
        <v>1.19</v>
      </c>
      <c r="EE257" t="str">
        <f>IFERROR(_xlfn.XLOOKUP(A257,Щиты[Щит],Щиты[Zпетли на шинах, Ом]),"")</f>
        <v/>
      </c>
      <c r="EF257">
        <f>IFERROR(N(_xlfn.XLOOKUP(A257,Щиты[Щит],Щиты[ΔU до шин (подбор), %])),0)</f>
        <v>1.19</v>
      </c>
      <c r="EG257" t="str">
        <f>IFERROR(_xlfn.XLOOKUP(A257,Щиты[Щит],Щиты[Zпетли на шинах (подбор), Ом]),"")</f>
        <v/>
      </c>
      <c r="EH257" t="str">
        <f t="shared" si="463"/>
        <v/>
      </c>
      <c r="EI257">
        <f t="shared" si="464"/>
        <v>29</v>
      </c>
      <c r="EJ257">
        <f t="shared" si="465"/>
        <v>2</v>
      </c>
      <c r="EK257">
        <f t="shared" si="466"/>
        <v>0.31</v>
      </c>
      <c r="EL257" s="6">
        <f>IF(B257="","",IF(BV257=1,dU_LED,IF(IFERROR(_xlfn.XLOOKUP(BC257,Коды_код,Коды_уго),"")="Светильник",3,4)+IF(Методика="нормы 2026",MIN(0.5,MAX(0,N(P257)-100)*0.005),0)))</f>
        <v>4</v>
      </c>
      <c r="EM257" cm="1">
        <f t="array" ref="EM257">IF(OR(B257="",BZ257="",EC257&lt;&gt;1),"",_xlfn.LET(_xlpm.sz,Iдоп_S,_xlpm.t_,CHOOSE(EB257,Iдоп_1ж,Iдоп_2ж,Iдоп_3ж)*DZ257*EA257,_xlpm.dcx,BV257=1,_xlpm.inn,IF(_xlpm.dcx,N(O257),N(DT257)),_xlpm.smin,MAX(1.5,CC257),_xlpm.L_,N(P257)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257)/N(BU257)*100,999),IFERROR(N(EJ257)*(_xlpm.rho*_xlpm.L_/_xlpm.sz*N(CE257)+_xlpm.xx*_xlpm.L_*N(EK257)/1000)*N(O257)/((Uн_лин/SQRT(3))*1000)*100,999)),_xlpm.kz,IF(OR(_xlpm.dcx,DW257=1,NOT(ISNUMBER(EG257)),_xlpm.L_=0,_xlpm.inn=0),1,IFERROR(--(c_min*(Uн_лин*1000/SQRT(3))/(EG257+2*ρкз_Cu*_xlpm.L_/_xlpm.sz)&gt;=HT257*_xlpm.inn),0)),_xlpm.ok,IFERROR((_xlpm.sz&gt;=_xlpm.smin)*(_xlpm.t_&gt;=_xlpm.inn)*IF(_xlpm.L_&gt;0,(_xlpm.du_+IF(_xlpm.dcx,0,EF257)&lt;=EL257+0.00001),1)*_xlpm.kz,0),_xlpm.r_,_xlfn._xlws.FILTER(_xlpm.sz,_xlpm.ok,"не подобрано"),INDEX(_xlpm.r_,1)))</f>
        <v>1.5</v>
      </c>
      <c r="EN257">
        <f t="shared" si="467"/>
        <v>2.5</v>
      </c>
      <c r="EO257" cm="1">
        <f t="array" ref="EO257">IF(OR(B257="",BZ257="",EC257&lt;&gt;1),"",_xlfn.LET(_xlpm.sz,Iдоп_S,_xlpm.t_,CHOOSE(EB257,Iдоп_1ж,Iдоп_2ж,Iдоп_3ж)*DZ257*EA257,_xlpm.ok,IFERROR((_xlpm.sz&gt;=MAX(1.5,CC257))*(_xlpm.t_&gt;=N(DT257)),0),_xlpm.r_,_xlfn._xlws.FILTER(_xlpm.sz,_xlpm.ok,""),INDEX(_xlpm.r_,1)))</f>
        <v>1.5</v>
      </c>
      <c r="EP257" s="6" cm="1">
        <f t="array" ref="EP257">IFERROR(ROUNDUP(N(EJ257)*(_xlfn.XLOOKUP(EO257,INDEX(Кабель_сопротивление,0,1),INDEX(Кабель_сопротивление,0,3))*N(P257)/EO257*N(CE257)+_xlfn.XLOOKUP(EO257,INDEX(Кабель_сопротивление,0,1),INDEX(Кабель_сопротивление,0,2))*N(P257)*N(EK257)/1000)*N(O257)/((Uн_лин/SQRT(3))*1000)*100,2),"")</f>
        <v>0.11</v>
      </c>
      <c r="EQ257">
        <f>IFERROR(2*ρкз_Cu*N(P257)/EO257,"")</f>
        <v>1.1221333333333334</v>
      </c>
      <c r="ER257">
        <f>IFERROR(VLOOKUP(EN257,Кабель_сопротивление,3,FALSE),"")</f>
        <v>2.2499999999999999E-2</v>
      </c>
      <c r="ES257">
        <f>IFERROR(VLOOKUP(EN257,Кабель_сопротивление,2,FALSE),"")</f>
        <v>0.1</v>
      </c>
      <c r="ET257">
        <f t="shared" si="468"/>
        <v>14</v>
      </c>
      <c r="EU257">
        <f t="shared" si="469"/>
        <v>0</v>
      </c>
      <c r="EV257">
        <f t="shared" si="470"/>
        <v>0.15019177747956411</v>
      </c>
      <c r="EW257" s="6">
        <f>IFERROR(ROUNDUP(EV257/IF(BV257=1,BU257,(Uн_лин/SQRT(3))*1000)*100,2),"")</f>
        <v>6.9999999999999993E-2</v>
      </c>
      <c r="EX257" t="str">
        <f>IFERROR(VLOOKUP(BZ257,Кабель_обозначение,2,FALSE),"")</f>
        <v>ВВГнг(А)-LS</v>
      </c>
      <c r="EY257" t="str">
        <f t="shared" si="471"/>
        <v>ВВГнг(А)-LS (3х2,5)</v>
      </c>
      <c r="EZ257" t="str">
        <f t="shared" si="472"/>
        <v>ВВГнг(А)-LS (3х2,5)
L=32-0,07%</v>
      </c>
      <c r="FA257">
        <f>IFERROR(2*ρкз_Cu*P257/EN257,"")</f>
        <v>0.67327999999999999</v>
      </c>
      <c r="FB257">
        <f t="shared" si="473"/>
        <v>0.22400000000000003</v>
      </c>
      <c r="FC257" s="6" t="str">
        <f>IFERROR(IF(OR(B257="",BV257=1,NOT(ISNUMBER(EN257)),N(P257)=0),"",_xlfn.XLOOKUP(A257,Щиты[Щит],Щиты[Zпетли на шинах, Ом])+FA257),"")</f>
        <v/>
      </c>
      <c r="FD257" s="6" t="str">
        <f>IF(ISNUMBER(FC257),c_min*(Uн_лин*1000/SQRT(3))/FC257,"")</f>
        <v/>
      </c>
      <c r="FE257" s="6" t="str">
        <f>IFERROR(IF(OR(B257="",NOT(ISNUMBER(EN257))),"",1.05*(Uн_лин*1000/SQRT(3))/(_xlfn.XLOOKUP(A257,Щиты[Щит],Щиты[Zmax на шинах, Ом])+FB257)/1000),"")</f>
        <v/>
      </c>
      <c r="FF257" s="6" t="str">
        <f>IF(B257="","",IF(ISNUMBER(AC257),"Сил",IF(IFERROR(_xlfn.XLOOKUP(BC257,Коды_код,Коды_группа)&amp;"","")="","Быт",_xlfn.XLOOKUP(BC257,Коды_код,Коды_группа)&amp;"")))</f>
        <v>Быт</v>
      </c>
      <c r="FG257" s="6" t="str">
        <f t="shared" si="474"/>
        <v>Быт</v>
      </c>
      <c r="FH257" s="6">
        <f>IF(FG257="Щит","щит",IF(FG257="","",IF(FG257="Быт",IFERROR(_xlfn.XLOOKUP(A257,Щиты[Щит],Щиты[Кс быт]),1),IF(FG257="Сил",IF(ISNUMBER(AC257),AC257,IF(Методика="нормы 2026",IFERROR(_xlfn.XLOOKUP(A257,Щиты[Щит],Щиты[Кс силовых (табл. 7.5)]),1),1)),IF(OR(FG257="Пост",FG257="Отоп"),1,IF(FG257="ВНГ",0.7,0))))))</f>
        <v>0.57830000000000004</v>
      </c>
      <c r="FI257">
        <f>IF(FG257="","",IF(AND(BP257=1,TRIM(AE257&amp;"")=""),IF(COUNTIFS(Линии[Щит],A257,Линии[Секция (1/2/3)],"&gt;=2")&gt;0,MIN(3,MAX(1,IFERROR(--BD257,1))),1),IFERROR(MIN(3,MAX(1,INT(--AE257))),1)))</f>
        <v>1</v>
      </c>
      <c r="FJ257">
        <f t="shared" si="475"/>
        <v>0.06</v>
      </c>
      <c r="FK257">
        <f t="shared" si="476"/>
        <v>0.06</v>
      </c>
      <c r="FL257">
        <f t="shared" si="477"/>
        <v>0</v>
      </c>
      <c r="FM257">
        <f t="shared" si="478"/>
        <v>0</v>
      </c>
      <c r="FN257">
        <f t="shared" si="479"/>
        <v>0</v>
      </c>
      <c r="FO257">
        <f t="shared" si="480"/>
        <v>0</v>
      </c>
      <c r="FP257">
        <f t="shared" si="481"/>
        <v>0.06</v>
      </c>
      <c r="FQ257">
        <f t="shared" si="482"/>
        <v>0.06</v>
      </c>
      <c r="FR257">
        <f t="shared" si="483"/>
        <v>5.6999999999999995E-2</v>
      </c>
      <c r="FS257">
        <f>IF(CG257=1,IF(AND(CH257=1,CW257=1),0,IF(AND(CS257&lt;&gt;"",CS257=BA257,CW257=1),SUMIFS(Линии[_Р линии, кВт],Линии[_блок УЗО],BA257,Линии[Щит],A257),N(BS257)+IF(AJ257="вручную",0,N(CK257)))),0)</f>
        <v>0.06</v>
      </c>
      <c r="FT257" t="str">
        <f t="shared" si="484"/>
        <v/>
      </c>
      <c r="FU257" t="str">
        <f>IF(B257="","",IF(CG257=0,IF(BA257=1,"",FW256),IF(AND(CH257=1,CW257=1,CS257&lt;&gt;""),IFERROR(_xlfn.XLOOKUP(CS257,Линии[_n],Линии[_фаза итог]),"L1"),IF(OR(N(DL257)&gt;=3,N(BX257)&gt;=3),"L1,L2,L3",IFERROR(_xlfn.TEXTBEFORE(_xlfn.TEXTAFTER(_xlfn.XLOOKUP(A257,Щиты[Щит],Щиты[_фазы авто]),";"&amp;BA257&amp;":"),";"),"L1")))))</f>
        <v>L1</v>
      </c>
      <c r="FV257" t="str">
        <f t="shared" si="485"/>
        <v>L1</v>
      </c>
      <c r="FW257" t="str">
        <f t="shared" si="486"/>
        <v>L1</v>
      </c>
      <c r="FX257" cm="1">
        <f t="array" ref="FX257">IFERROR(IF(CD257=2,_xlfn.IFS(BX257=3,VLOOKUP(BS257,Справочная_двигатели,3,FALSE),BX257=1,VLOOKUP(BS257,Справочная_двигатели,5,TRUE)),0),0)</f>
        <v>0</v>
      </c>
      <c r="FY257">
        <f>IFERROR(IF(CD257=3,VLOOKUP(BS257,Справочная_ЛЭД,2,TRUE),0),0)</f>
        <v>0</v>
      </c>
      <c r="FZ257" s="6">
        <f t="shared" si="487"/>
        <v>0</v>
      </c>
      <c r="GA257" t="str">
        <f>IF(B257="","",IF(TRIM(AH257&amp;"")&lt;&gt;"",IF(LOWER(TRIM(AH257&amp;""))="да","да","нет"),IF(IFERROR(_xlfn.XLOOKUP(BC257,Коды_код,Коды_пожарная),"")="да","да","нет")))</f>
        <v>нет</v>
      </c>
      <c r="GB257" t="str">
        <f t="shared" si="488"/>
        <v/>
      </c>
      <c r="GC257" t="str">
        <f t="shared" si="489"/>
        <v>основная</v>
      </c>
      <c r="GD257">
        <f>IF(AND(BP257=1,TRIM(AE257&amp;"")=""),IF(COUNTIFS(Линии[Щит],A257,Линии[Секция (1/2/3)],"&gt;=2")&gt;0,MIN(3,MAX(1,IFERROR(--BD257,1))),1),IFERROR(MIN(3,MAX(1,INT(--AE257))),1))</f>
        <v>1</v>
      </c>
      <c r="GE257" t="str" cm="1">
        <f t="array" ref="GE257">IF(B257="","",_xlfn.LET(_xlpm.t,IFERROR(_xlfn.XLOOKUP(1,(Шины[Шина]=GC257)*(((Шины[Щит]=A257)+(Шины[Щит]=""))&gt;0),Шины[Тип]),"")&amp;"",IF(_xlpm.t&lt;&gt;"",_xlpm.t,IF(ISNUMBER(SEARCH("ИБП",GC257)),"ИБП",IF(ISNUMBER(SEARCH("ДГУ",GC257)),"ДГУ","Ввод "&amp;GD257)))))</f>
        <v>Ввод 1</v>
      </c>
      <c r="GF257" t="str">
        <f t="shared" si="490"/>
        <v>Ввод 1</v>
      </c>
      <c r="GG257" t="str">
        <f>IF(BP257=0,"",IF(TRIM(AG257&amp;"")&lt;&gt;"",TRIM(AG257&amp;""),IF(OR(GE257="ИБП",GE257="ДГУ"),"I особая",_xlfn.XLOOKUP(A257,Щиты[Щит],Щиты[Категория шины «Ввод»],"III"))))</f>
        <v/>
      </c>
      <c r="GH257" t="str">
        <f>IF(A257="","",_xlfn.XLOOKUP(A257,Щиты[Щит],Щиты[Путь],""))</f>
        <v>|ГРЩ-ЖД|ЩР-1|</v>
      </c>
      <c r="GI257" t="str">
        <f>IF(B257="","",IF(AI257&lt;&gt;"",AI257,IF(IFERROR(_xlfn.XLOOKUP(BC257,Коды_код,Коды_вид)&amp;"","")="","Прочее",_xlfn.XLOOKUP(BC257,Коды_код,Коды_вид)&amp;"")))</f>
        <v>Розеточная сеть и бытовые приборы</v>
      </c>
      <c r="GJ257">
        <f>IF(BM257="","",INT((BM257-1)/Столбцов_на_лист)+1)</f>
        <v>3</v>
      </c>
      <c r="GK257" t="str">
        <f t="shared" si="491"/>
        <v>ВВГнг(А)-LS (3х2,5) L=32-0,07%</v>
      </c>
      <c r="GL257">
        <f t="shared" si="492"/>
        <v>0.06</v>
      </c>
      <c r="GM257">
        <f t="shared" si="493"/>
        <v>0.28000000000000003</v>
      </c>
      <c r="GN257">
        <f t="shared" si="494"/>
        <v>1</v>
      </c>
      <c r="GO257">
        <f t="shared" si="495"/>
        <v>0</v>
      </c>
      <c r="GP257">
        <f t="shared" si="496"/>
        <v>1</v>
      </c>
      <c r="GQ257">
        <f>IF(BM257="","",IF(AND(CG257=1,GP257=1),COUNTIFS(A$3:A257,A257,CG$3:CG257,1,GP$3:GP257,1),IF(OR(OR(BA257=1,A257&lt;&gt;A256),AJ257="вручную",GP257=0),"",IF(BA257=1,"",GR256))))</f>
        <v>33</v>
      </c>
      <c r="GR257">
        <f t="shared" si="497"/>
        <v>33</v>
      </c>
      <c r="GS257">
        <f>IF(B257="","",IFERROR(LOOKUP(INDEX(CHOOSE(EB257,Iдоп_1ж,Iдоп_2ж,Iдоп_3ж),MATCH(EN257,Iдоп_S,0))*DZ257*EA257,{6,10,16,20,25,32,40,50,63,80,100,125,160,200,250,315,400,500,630}),""))</f>
        <v>25</v>
      </c>
      <c r="GT257" t="str">
        <f t="shared" si="498"/>
        <v>QFD33</v>
      </c>
      <c r="GU257" t="str">
        <f t="shared" si="499"/>
        <v>QFD33</v>
      </c>
      <c r="GV257" t="str">
        <f t="shared" si="500"/>
        <v/>
      </c>
      <c r="GW257">
        <f t="shared" si="501"/>
        <v>0</v>
      </c>
      <c r="GX257" t="str">
        <f>IF(OR(B257="",DJ257=""),"",IFERROR(_xlfn.XLOOKUP(DJ257,Модули_умолч[Управление],Модули_умолч[Модель])&amp;"",""))</f>
        <v/>
      </c>
      <c r="GY257">
        <f>IF(DJ257="",1,IFERROR(MAX(0,N(_xlfn.XLOOKUP(DJ257,Модули_умолч[Управление],Модули_умолч[Каналов на линию]))),1))</f>
        <v>1</v>
      </c>
      <c r="GZ257" t="str">
        <f t="shared" si="502"/>
        <v/>
      </c>
      <c r="HA257" t="str">
        <f t="shared" si="503"/>
        <v/>
      </c>
      <c r="HB257" t="str">
        <f t="shared" si="504"/>
        <v/>
      </c>
      <c r="HC257">
        <f>IF(HB257="",0,IFERROR(N(VLOOKUP(HB257,Модули_спр,3,FALSE)),0))</f>
        <v>0</v>
      </c>
      <c r="HD257" t="str">
        <f t="shared" si="505"/>
        <v/>
      </c>
      <c r="HE257" t="str">
        <f t="shared" si="506"/>
        <v/>
      </c>
      <c r="HF257" t="str">
        <f>IF(OR(HE257="",HE257="-"),"",IFERROR(VLOOKUP(HE257,Модули_спр,2,FALSE),"R"))</f>
        <v/>
      </c>
      <c r="HG257" t="str">
        <f>IF(HF257="","",HF257&amp;"."&amp;COUNTIFS(A$3:A257,A257,HF$3:HF257,HF257))</f>
        <v/>
      </c>
      <c r="HH257" t="str">
        <f t="shared" si="507"/>
        <v/>
      </c>
      <c r="HI257" t="str">
        <f t="shared" si="508"/>
        <v/>
      </c>
      <c r="HJ257" t="str">
        <f t="shared" si="509"/>
        <v/>
      </c>
      <c r="HK257" t="str">
        <f t="shared" si="510"/>
        <v/>
      </c>
      <c r="HL257">
        <f t="shared" si="511"/>
        <v>1</v>
      </c>
      <c r="HM257" t="str">
        <f>IF(HL257=1,"XT"&amp;COUNTIFS(A$3:A257,A257,HL$3:HL257,1),"")</f>
        <v>XT33</v>
      </c>
      <c r="HN257" t="str">
        <f t="shared" si="512"/>
        <v/>
      </c>
      <c r="HO257" t="str">
        <f t="shared" si="513"/>
        <v>QFD33</v>
      </c>
      <c r="HP257" t="str">
        <f t="shared" si="514"/>
        <v/>
      </c>
      <c r="HQ257" t="str">
        <f t="shared" si="515"/>
        <v>ok</v>
      </c>
      <c r="HR257" t="str">
        <f>IF(OR(HJ257="",HH257=""),"",IF(HJ257+MAX(0,GY257-1)&gt;IFERROR(VLOOKUP(HI257,Модули_спр,3,FALSE),99),"ЛИШНИЙ КАНАЛ",IF(AND(AL257&lt;&gt;"=",GY257&gt;0,COUNTIFS(Линии[_модуль гр.],HH257,Линии[Канал (итог)],HJ257,Линии[Канал],"&lt;&gt;=",Линии[Щит],A257)&gt;1),"ДУБЛЬ КАНАЛА","")))</f>
        <v/>
      </c>
      <c r="HS257" s="6" t="str">
        <f t="shared" si="516"/>
        <v/>
      </c>
      <c r="HT257">
        <f t="shared" si="517"/>
        <v>10</v>
      </c>
      <c r="HU257" t="str">
        <f t="shared" si="518"/>
        <v/>
      </c>
      <c r="HV257">
        <f t="shared" si="519"/>
        <v>0.42939268258329755</v>
      </c>
      <c r="HW257">
        <f t="shared" si="520"/>
        <v>0</v>
      </c>
      <c r="HX257">
        <f t="shared" si="521"/>
        <v>0</v>
      </c>
      <c r="HY257">
        <f t="shared" si="522"/>
        <v>0</v>
      </c>
      <c r="HZ257">
        <f t="shared" si="523"/>
        <v>0</v>
      </c>
      <c r="IA257">
        <f t="shared" si="524"/>
        <v>0</v>
      </c>
      <c r="IB257">
        <f t="shared" si="525"/>
        <v>0</v>
      </c>
      <c r="IC257" t="str">
        <f t="shared" si="526"/>
        <v/>
      </c>
      <c r="ID257" t="str" cm="1">
        <f t="array" ref="ID257">IF(IC257="","",_xlfn.LET(_xlpm.tk,_xlfn.TEXTSPLIT(SUBSTITUTE(SUBSTITUTE(IC257,";"," "),"→"," ")," ",,TRUE),_xlpm.w_,_xlfn._xlws.FILTER(_xlpm.tk,ISNUMBER(--LEFT(_xlpm.tk,1))*((ISNUMBER(SEARCH("W",_xlpm.tk))+ISNUMBER(SEARCH("Вт",_xlpm.tk)))&gt;0),""),IFERROR(--SUBSTITUTE(SUBSTITUTE(UPPER(INDEX(_xlpm.w_,1)),"W",""),"ВТ",""),"")))</f>
        <v/>
      </c>
      <c r="IE257" t="str" cm="1">
        <f t="array" ref="IE257">IF(IC257="","",_xlfn.LET(_xlpm.tk,_xlfn.TEXTSPLIT(SUBSTITUTE(SUBSTITUTE(IC257,";"," "),"→"," ")," ",,TRUE),_xlpm.v_,_xlfn._xlws.FILTER(_xlpm.tk,ISNUMBER(--LEFT(_xlpm.tk,1))*((ISNUMBER(SEARCH("V",_xlpm.tk))+(RIGHT(UPPER(_xlpm.tk))="В"))&gt;0),""),IFERROR(--SUBSTITUTE(SUBSTITUTE(UPPER(INDEX(_xlpm.v_,1)),"V",""),"В",""),"")))</f>
        <v/>
      </c>
      <c r="IF257" s="6" t="str">
        <f>IF(OR(BV257=0,HI257="",HJ257=""),"",IFERROR(N(_xlfn.XLOOKUP(HI257,Каталог!$C$4:$C$500,Каталог!$Q$4:$Q$500)),""))</f>
        <v/>
      </c>
      <c r="IG257" s="6" t="str">
        <f>IF(N(IF257)=0,"",SUMIFS(Линии[Iр, А],Линии[Щит],A257,Линии[_модуль гр.],HH257,Линии[Канал (итог)],HJ257))</f>
        <v/>
      </c>
      <c r="IH257" t="str">
        <f>IF(AND(B257="",HO257=""),"",_xlfn.TEXTJOIN("; ",TRUE,IF(AND(B257&lt;&gt;"",FV257=""),"нет фазы",""),IF(AND(B257&lt;&gt;"",N(GL257)=0,FG257&lt;&gt;"Нет"),"нет мощности",""),IF(AND(HN257&lt;&gt;"",COUNTIFS(Линии[Щит],A257,Линии[Клемма (итог)],HN257)&gt;1),"дубль клеммы "&amp;HN257,""),IF(AND(HQ257&lt;&gt;"",HQ257&lt;&gt;"ok"),HQ257,""),IF(HR257&lt;&gt;"",HR257,""),IF(AND(N(CB257)&gt;=4,N(BX257)=1),CB257&amp;" жил на 1 фазе",""),IF(AND(BC257="R",CG257=1,IF(CS257&lt;&gt;"",N(CV257)&gt;30,OR(N(DA257)=0,N(DA257)&gt;30))),"розетка без дифзащиты до 30 мА",""),IF(AND(CG257=1,N(DA257)&gt;0,ISNUMBER(T257)),IF(T257&gt;N(DA257)/3,"ток утечки "&amp;FIXED(T257,1)&amp;" мА &gt; 1/3 уставки ("&amp;DA257&amp;" мА)",""),""),IF(AND(CH257=1,CS257=""),"«узо»: нет строки с УЗО выше (УЗО 2P 40А 30мА в «Аппаратах»)",""),IF(AND(CS257&lt;&gt;"",CS257=BA257),IF(CT257="","впишите номинал УЗО (УЗО 2P 40А 30мА)",IF(N(CT257)&lt;N(DT257),"УЗО "&amp;CT257&amp;" А &lt; автомата "&amp;DT257&amp;" А перед ним",IF(N(CT257)&lt;N(CX257),"УЗО "&amp;CT257&amp;" А &lt; тока блока "&amp;FIXED(CX257,1)&amp;" А",""))),""),IF(AND(CS257&lt;&gt;"",CS257=BA257,ISNUMBER(CY257)),IF(CY257&gt;N(CV257)/3,"ток утечки блока УЗО "&amp;FIXED(CY257,1)&amp;" мА &gt; 1/3 уставки ("&amp;CV257&amp;" мА)",""),""),IF(AND(CG257=1,N(BV257)+N(IB257)&gt;0,IC257=""),"линии до 50 В без БП: впишите в «Аппараты» (БП 24V 480W)",""),IF(AND(CG257=1,ISNUMBER(ID257),ISNUMBER(U257)),IF(U257&gt;ID257,"БП "&amp;ID257&amp;" Вт &lt; нужно "&amp;U257&amp;" Вт (×"&amp;Запас_БП&amp;")",""),""),IF(AND(CG257=1,ISNUMBER(IE257),N(BV257)=1),IF(IE257&lt;&gt;N(BU257),"БП на "&amp;IE257&amp;" В, линия "&amp;BU257&amp;" В",""),""),IF(AND(N(IF257)&gt;0,N(IG257)&gt;N(IF257)),HH257&amp;" канал "&amp;HJ257&amp;": "&amp;FIXED(IG257,1)&amp;" А &gt; "&amp;IF257&amp;" А",""),IFERROR(IF(AND(ISNUMBER(Q257),Q257&gt;EL257),"потери "&amp;FIXED(Q257,1)&amp;" % &gt; "&amp;EL257&amp;" %",""),""),IFERROR(IF(LEFT(HU257,4)="мало","Iкз мало — отключение &gt; 0,4 с",""),""),IF(AND(B257&lt;&gt;"",BM257=""),"не на схеме",""),IF(AND(CG257=0,B257&lt;&gt;"",FV257&lt;&gt;"",IF(BA257=1,"",FW256)&lt;&gt;"",FV257&lt;&gt;IF(BA257=1,"",FW256)),"фаза не как у автомата группы ("&amp;IF(BA257=1,"",FW256)&amp;")","")))</f>
        <v/>
      </c>
      <c r="II257" s="6">
        <f>IF(OR(CG257=0,DQ257=""),"",_xlfn.LET(_xlpm.t,IFERROR(_xlfn.XLOOKUP(DQ257,Каталог!$U$4:$U$500,Каталог!$G$4:$G$500),""),_xlpm.k,SEARCH("кА",_xlpm.t),IFERROR(--TRIM(RIGHT(SUBSTITUTE(MID(_xlpm.t,MAX(1,_xlpm.k-4),_xlpm.k-MAX(1,_xlpm.k-4))," ",REPT(" ",9)),5)),"")))</f>
        <v>6</v>
      </c>
      <c r="IJ257" t="str">
        <f>IF(OR(II257="",CG257=0),"",IF(_xlfn.XLOOKUP(A257,Щиты[Щит],Щиты[Iкз max на шинах, кА],"")="","",IF(II257&lt;_xlfn.XLOOKUP(A257,Щиты[Щит],Щиты[Iкз max на шинах, кА]),"Icu "&amp;II257&amp;" кА &lt; Iкз max","ok")))</f>
        <v/>
      </c>
      <c r="IK257" t="str">
        <f t="shared" si="527"/>
        <v/>
      </c>
      <c r="IL257" t="str">
        <f t="shared" si="528"/>
        <v>QFD33</v>
      </c>
      <c r="IM257" t="str">
        <f t="shared" si="529"/>
        <v>QFD33|кабель ВВГнг(А)-LS (3х2,5) → Розеточная группа, пом. 012</v>
      </c>
      <c r="IN257" t="str" cm="1">
        <f t="array" ref="IN257">IF(IM257="","",_xlfn.LET(_xlpm.nd,_xlfn.TEXTSPLIT(IM257,"|"),IF(COLUMNS(_xlpm.nd)&gt;1,A257&amp;"¦"&amp;INDEX(_xlpm.nd,1)&amp;"¦"&amp;INDEX(_xlpm.nd,2),"")))</f>
        <v>ЩР-1¦QFD33¦кабель ВВГнг(А)-LS (3х2,5) → Розеточная группа, пом. 012</v>
      </c>
      <c r="IO257" t="str">
        <f t="shared" si="530"/>
        <v>R.1.012.1A.1¦Розеточная группа, пом. 012</v>
      </c>
      <c r="IP257" t="str" cm="1">
        <f t="array" ref="IP257">IF(IM257="","",_xlfn.LET(_xlpm.nd,_xlfn.TEXTSPLIT(IM257,"|"),IF(COLUMNS(_xlpm.nd)&gt;2,A257&amp;"¦"&amp;INDEX(_xlpm.nd,2)&amp;"¦"&amp;INDEX(_xlpm.nd,3),"")))</f>
        <v/>
      </c>
      <c r="IQ257" t="str">
        <f t="shared" si="531"/>
        <v/>
      </c>
      <c r="IR257" t="str" cm="1">
        <f t="array" ref="IR257">IF(IM257="","",_xlfn.LET(_xlpm.nd,_xlfn.TEXTSPLIT(IM257,"|"),IF(COLUMNS(_xlpm.nd)&gt;3,A257&amp;"¦"&amp;INDEX(_xlpm.nd,3)&amp;"¦"&amp;INDEX(_xlpm.nd,4),"")))</f>
        <v/>
      </c>
      <c r="IS257" t="str">
        <f t="shared" si="532"/>
        <v/>
      </c>
      <c r="IT257" t="str" cm="1">
        <f t="array" ref="IT257">IF(IM257="","",_xlfn.LET(_xlpm.nd,_xlfn.TEXTSPLIT(IM257,"|"),IF(COLUMNS(_xlpm.nd)&gt;4,A257&amp;"¦"&amp;INDEX(_xlpm.nd,4)&amp;"¦"&amp;INDEX(_xlpm.nd,5),"")))</f>
        <v/>
      </c>
      <c r="IU257" t="str">
        <f t="shared" si="533"/>
        <v/>
      </c>
      <c r="IV257" t="str" cm="1">
        <f t="array" ref="IV257">IF(IM257="","",_xlfn.LET(_xlpm.nd,_xlfn.TEXTSPLIT(IM257,"|"),IF(COLUMNS(_xlpm.nd)&gt;5,A257&amp;"¦"&amp;INDEX(_xlpm.nd,5)&amp;"¦"&amp;INDEX(_xlpm.nd,6),"")))</f>
        <v/>
      </c>
      <c r="IW257" t="str">
        <f t="shared" si="534"/>
        <v/>
      </c>
      <c r="IX257" t="str" cm="1">
        <f t="array" ref="IX257">IF(IM257="","",_xlfn.LET(_xlpm.nd,_xlfn.TEXTSPLIT(IM257,"|"),IF(COLUMNS(_xlpm.nd)&gt;6,A257&amp;"¦"&amp;INDEX(_xlpm.nd,6)&amp;"¦"&amp;INDEX(_xlpm.nd,7),"")))</f>
        <v/>
      </c>
      <c r="IY257" t="str">
        <f t="shared" si="535"/>
        <v/>
      </c>
      <c r="IZ257" t="str">
        <f t="shared" si="536"/>
        <v/>
      </c>
      <c r="JA257" t="str">
        <f t="shared" si="537"/>
        <v>QFD33</v>
      </c>
      <c r="JB257">
        <f t="shared" si="538"/>
        <v>0</v>
      </c>
      <c r="JC257">
        <f t="shared" si="539"/>
        <v>1</v>
      </c>
      <c r="JD257" t="str">
        <f t="shared" si="540"/>
        <v/>
      </c>
      <c r="JE257" t="str">
        <f t="shared" si="541"/>
        <v/>
      </c>
      <c r="JF257" t="str">
        <f t="shared" si="542"/>
        <v/>
      </c>
      <c r="JG257" t="str">
        <f t="shared" si="543"/>
        <v/>
      </c>
      <c r="JH257" t="str">
        <f>IF(B257="","",IFERROR(_xlfn.XLOOKUP(B257,Коды_код,Коды_уго),IFERROR(_xlfn.XLOOKUP(BC257,Коды_код,Коды_уго),IFERROR(_xlfn.XLOOKUP(LEFT(BC257,2),Коды_код,Коды_уго),""))))</f>
        <v>Розетка</v>
      </c>
      <c r="JI257" t="str">
        <f>IF(B257="","",IF(OR(JH257="",JH257=0),"BOX",IFERROR(IF(VLOOKUP(JH257,УГО_блоки,3,FALSE)&amp;""&lt;&gt;"",VLOOKUP(JH257,УГО_блоки,3,FALSE),VLOOKUP(JH257,УГО_блоки,2,FALSE)),JH257)))</f>
        <v>SOCKET</v>
      </c>
      <c r="JJ257">
        <f t="shared" si="544"/>
        <v>1</v>
      </c>
      <c r="JK257" t="str">
        <f>IF(DQ257="","",IF(COUNTIF(DQ$3:DQ257,DQ257)=1,MAX(JK$2:JK256)+1,""))</f>
        <v/>
      </c>
      <c r="JL257" t="str">
        <f>IF(DE257="","",IF(COUNTIF(DE$3:DE257,DE257)+COUNTIF(DF$2:DF256,DE257)+COUNTIF(DG$2:DG256,DE257)=1,MAX(JL$2:JN256)+1,""))</f>
        <v/>
      </c>
      <c r="JM257" t="str">
        <f>IF(DF257="","",IF(COUNTIF(DE$3:DE257,DF257)+COUNTIF(DF$3:DF257,DF257)+COUNTIF(DG$2:DG256,DF257)=1,MAX(JL$2:JN256,JL257)+1,""))</f>
        <v/>
      </c>
      <c r="JN257" t="str">
        <f>IF(DG257="","",IF(COUNTIF(DE$3:DE257,DG257)+COUNTIF(DF$3:DF257,DG257)+COUNTIF(DG$3:DG257,DG257)=1,MAX(JL$2:JN256,JL257,JM257)+1,""))</f>
        <v/>
      </c>
      <c r="JO257" t="str">
        <f t="shared" si="545"/>
        <v>3х2,5</v>
      </c>
      <c r="JP257" t="str">
        <f>IF(JO257="","",IF(COUNTIF(JO$3:JO257,JO257)=1,MAX(JP$2:JP256)+1,""))</f>
        <v/>
      </c>
      <c r="JQ257" t="str">
        <f>IF(HG257="","",COUNTIF(HG$3:HG257,"?*"))</f>
        <v/>
      </c>
      <c r="JR257" t="str">
        <f>IF(OR(HG257="",HI257=""),"",IF(COUNTIFS(HG$3:HG257,"?*",HI$3:HI257,HI257)=1,MAX(JR$2:JR256)+1,""))</f>
        <v/>
      </c>
      <c r="JS257">
        <f t="shared" si="546"/>
        <v>0</v>
      </c>
      <c r="JT257">
        <f>IF(B257="","",COUNTIF(B$3:B257,"?*"))</f>
        <v>255</v>
      </c>
      <c r="JU257">
        <f>IF(HL257&lt;&gt;1,0,_xlfn.LET(_xlpm.k,MAX(IFERROR(--_xlfn.XLOOKUP(B257,Коды_код,Коды_3L),0),IFERROR(--_xlfn.XLOOKUP(BC257,Коды_код,Коды_3L),0),IFERROR(--_xlfn.XLOOKUP(LEFT(BC257,2),Коды_код,Коды_3L),0)),IF(_xlpm.k&gt;0,_xlpm.k,IF(IFERROR(--LEFT(SUBSTITUTE(JO257,"x","х"),FIND("х",SUBSTITUTE(JO257,"x","х"))-1),3)&gt;3,Каталог!$S$9,1))))</f>
        <v>1</v>
      </c>
      <c r="JV257">
        <f t="shared" si="547"/>
        <v>0</v>
      </c>
      <c r="JW257" t="str">
        <f t="shared" si="548"/>
        <v>авто</v>
      </c>
      <c r="JX257">
        <f t="shared" si="549"/>
        <v>30</v>
      </c>
      <c r="JY257">
        <f t="shared" si="550"/>
        <v>1</v>
      </c>
      <c r="JZ257">
        <f t="shared" si="551"/>
        <v>1</v>
      </c>
    </row>
    <row r="258" spans="1:286" x14ac:dyDescent="0.3">
      <c r="A258" t="s">
        <v>757</v>
      </c>
      <c r="B258" t="s">
        <v>1564</v>
      </c>
      <c r="C258" t="str">
        <f>Линии[[#This Row],[_авто наименование]]</f>
        <v>Розеточная группа, пом. 013A</v>
      </c>
      <c r="D258">
        <v>1</v>
      </c>
      <c r="E258">
        <v>0.06</v>
      </c>
      <c r="G258" t="str">
        <f>Линии[[#This Row],[_авто автомат]]</f>
        <v>2P С16А 30мА</v>
      </c>
      <c r="H258" t="str">
        <f>Линии[[#This Row],[_авто управление]]</f>
        <v/>
      </c>
      <c r="I258" t="str">
        <f>Линии[[#This Row],[_авто аппараты]]</f>
        <v/>
      </c>
      <c r="J258">
        <v>2.5</v>
      </c>
      <c r="K258">
        <v>35</v>
      </c>
      <c r="L258">
        <v>1</v>
      </c>
      <c r="M258" t="s">
        <v>484</v>
      </c>
      <c r="N258" t="str">
        <f t="shared" si="414"/>
        <v/>
      </c>
      <c r="O258" s="6" cm="1">
        <f t="array" ref="O258">IF(B258="","",IF(BH258&lt;&gt;"",IFERROR(_xlfn.XLOOKUP(BH258,Щиты[Щит],Щиты[Iр, А]),""),IF(BP258=1,IF(OR(N(_xlfn.XLOOKUP(A258,Щиты[Щит],Щиты[Вводов],1))&lt;=1,LOWER(TRIM(_xlfn.XLOOKUP(A258,Щиты[Щит],Щиты[АВР],"")&amp;""))="да"),IFERROR(_xlfn.XLOOKUP(A258,Щиты[Щит],Щиты[Iр, А]),""),IFERROR(N(BS258)*_xlfn.XLOOKUP(A258,Щиты[Щит],Щиты[Кс итог])/(SQRT(3)*Uн_лин*_xlfn.XLOOKUP(A258,Щиты[Щит],Щиты[cos φ])),"")),IF(BV258=1,IFERROR(BS258*1000/BU258,""),IFERROR(_xlfn.IFS(BX258=1,BS258/((Uн_лин/SQRT(3))*CE258),BX258=3,BS258/(SQRT(3)*Uн_лин*CE258)),"")))))</f>
        <v>0.27348170645824377</v>
      </c>
      <c r="P258" s="7">
        <f>IF(B258="","",IFERROR(IF(VLOOKUP(BC258,Потребители_обозначение,4,FALSE)=1,VLOOKUP(BC258,Потребители_обозначение,3,FALSE)*(MAX(1,N(D258))*2-1)+EI258+VLOOKUP(BE258,Этаж_обозначение,3,FALSE)+VLOOKUP(BE258,Этаж_обозначение,4,FALSE),VLOOKUP(BC258,Потребители_обозначение,3,FALSE)*(MAX(1,N(D258))*2-1)+EI258),EI258))</f>
        <v>38</v>
      </c>
      <c r="Q258" s="6">
        <f t="shared" si="415"/>
        <v>1.27</v>
      </c>
      <c r="R258" t="str">
        <f t="shared" si="416"/>
        <v>ВВГнг(А)-LS (3х2,5)</v>
      </c>
      <c r="S258" t="str">
        <f>IF(BM258="","",IF(BN258="вводной узел","узел ","")&amp;"л."&amp;(INT((BM258-1)/Столбцов_на_лист)+1)&amp;" / "&amp;(MOD(BM258-1,Столбцов_на_лист)+1))</f>
        <v>л.3 / 12</v>
      </c>
      <c r="T258" s="119">
        <f t="shared" si="417"/>
        <v>0.5</v>
      </c>
      <c r="U258" s="7" t="str">
        <f>IF(OR(CG258=0,N(BV258)+N(IB258)=0),"",ROUNDUP(Запас_БП*(N(HY258)+N(HZ258)),0))</f>
        <v/>
      </c>
      <c r="V258" s="119" t="str">
        <f t="shared" si="418"/>
        <v/>
      </c>
      <c r="W258" s="7" t="str">
        <f>IFERROR(IF(OR(B258="",BP258=1,BV258=1,NOT(ISNUMBER(EN258)),N(DT258)=0),"",MAX(0,ROUNDDOWN((c_min*(Uн_лин*1000/SQRT(3))/(HT258*N(DT258))-_xlfn.XLOOKUP(A258,Щиты[Щит],Щиты[Zпетли на шинах, Ом]))*EN258/(2*ρкз_Cu),0))),"")</f>
        <v/>
      </c>
      <c r="Y258">
        <f>Линии[[#This Row],[_авто утечка]]</f>
        <v>30</v>
      </c>
      <c r="Z258">
        <v>1</v>
      </c>
      <c r="AA258">
        <v>230</v>
      </c>
      <c r="AB258" t="s">
        <v>562</v>
      </c>
      <c r="AG258" t="s">
        <v>810</v>
      </c>
      <c r="AI258" t="s">
        <v>561</v>
      </c>
      <c r="AK258" t="str">
        <f>Линии[[#This Row],[_авто модуль]]</f>
        <v/>
      </c>
      <c r="AM258">
        <v>46</v>
      </c>
      <c r="AN258" t="s">
        <v>11</v>
      </c>
      <c r="AO258">
        <v>3</v>
      </c>
      <c r="AQ258">
        <v>20</v>
      </c>
      <c r="AR258">
        <v>18</v>
      </c>
      <c r="AS258">
        <v>0</v>
      </c>
      <c r="BA258" cm="1">
        <f t="array" ref="BA258">ROW()-ROW(Линии[#Headers])</f>
        <v>256</v>
      </c>
      <c r="BC258" s="6" t="str">
        <f t="shared" si="419"/>
        <v>R</v>
      </c>
      <c r="BD258" t="str">
        <f t="shared" si="420"/>
        <v>1.013A.1</v>
      </c>
      <c r="BE258" t="str">
        <f t="shared" si="421"/>
        <v>1</v>
      </c>
      <c r="BF258" t="str">
        <f t="shared" si="422"/>
        <v>013A.1</v>
      </c>
      <c r="BG258" t="str">
        <f t="shared" si="423"/>
        <v>013A</v>
      </c>
      <c r="BH258" t="str">
        <f>IF(X258&lt;&gt;"",X258,IF(AND(B258&lt;&gt;"",B258&lt;&gt;A258,ISNUMBER(_xlfn.XMATCH(B258,Щиты[Щит]))),B258,""))</f>
        <v/>
      </c>
      <c r="BI258" t="str" cm="1">
        <f t="array" ref="BI258">IF(B258="","",IF(BH258&lt;&gt;"","Щит "&amp;BH258,_xlfn.LET(_xlpm.nm,IFERROR(_xlfn.XLOOKUP(BC258,Коды_код,Коды_имя)&amp;"",""),_xlpm.md,IFERROR(N(_xlfn.XLOOKUP(BC258,Коды_код,Коды_режим)),1),_xlpm.ex,IF(Имя_режим="по экспликации",IFERROR(_xlfn.XLOOKUP(BE258&amp;"|"&amp;BG258,Экспликация[Этаж]&amp;"|"&amp;Экспликация[Помещение],Экспликация[Название])&amp;"",""),""),_xlpm.rm,IF(BG258="","",IF(_xlpm.ex&lt;&gt;"",". "&amp;_xlpm.ex&amp;IF(Имя_пом="нет"," ("&amp;BG258&amp;")"," (пом. "&amp;BG258&amp;")"),IF(Имя_пом="нет"," ",", пом. ")&amp;BG258)),IF(_xlpm.nm="","",IF(_xlpm.md=2,_xlpm.nm&amp;" шлейф "&amp;BE258,_xlpm.nm&amp;_xlpm.rm)))))</f>
        <v>Розеточная группа, пом. 013A</v>
      </c>
      <c r="BJ258" t="str">
        <f t="shared" si="424"/>
        <v>Розеточная группа, пом. 013A</v>
      </c>
      <c r="BK258">
        <f>IFERROR(_xlfn.XMATCH(A258,Щиты[Щит]),0)</f>
        <v>10</v>
      </c>
      <c r="BL258">
        <f>_xlfn.LET(_xlpm.k,IFERROR(_xlfn.XLOOKUP(A258,Щиты[Щит],Щиты[Мест под вводной узел]),""),IF(_xlpm.k="",Столбцов_на_лист,N(_xlpm.k)))</f>
        <v>8</v>
      </c>
      <c r="BM258">
        <f t="shared" si="425"/>
        <v>46</v>
      </c>
      <c r="BN258" t="str">
        <f t="shared" si="426"/>
        <v>линии</v>
      </c>
      <c r="BO258" s="6">
        <f>IFERROR(N(_xlfn.XLOOKUP(BC258,Коды_код,Коды_квт)),0)</f>
        <v>0</v>
      </c>
      <c r="BP258">
        <f t="shared" si="427"/>
        <v>0</v>
      </c>
      <c r="BQ258" t="str">
        <f>IF(B258="","",IF(BH258&lt;&gt;"",IFERROR(_xlfn.XLOOKUP(BH258,Щиты[Щит],Щиты[Руст, кВт]),0),IF(BP258=1,IF(OR(N(_xlfn.XLOOKUP(A258,Щиты[Щит],Щиты[Вводов],1))&lt;=1,LOWER(TRIM(_xlfn.XLOOKUP(A258,Щиты[Щит],Щиты[АВР],"")&amp;""))="да"),IFERROR(_xlfn.XLOOKUP(A258,Щиты[Щит],Щиты[Руст, кВт]),0),SUMIFS(Линии[_Р для вводов],Линии[Щит],A258,Линии[Источник для режимов],GF258)),IF(BO258&gt;0,ROUND(BO258*MAX(1,N(D258)),3),""))))</f>
        <v/>
      </c>
      <c r="BR258">
        <f t="shared" si="428"/>
        <v>0.06</v>
      </c>
      <c r="BS258" s="6">
        <f>IF(B258="","",IF(BH258&lt;&gt;"",IFERROR(_xlfn.XLOOKUP(BH258,Щиты[Щит],Щиты[Руст, кВт]),0),N(BR258)))</f>
        <v>0.06</v>
      </c>
      <c r="BT258" t="str">
        <f>IF(B258="","",IFERROR(IF(VLOOKUP(BC258,Потребители_обозначение,8,FALSE)=0,"",VLOOKUP(BC258,Потребители_обозначение,8,FALSE)),""))</f>
        <v/>
      </c>
      <c r="BU258">
        <f t="shared" si="429"/>
        <v>230</v>
      </c>
      <c r="BV258">
        <f t="shared" si="430"/>
        <v>0</v>
      </c>
      <c r="BW258">
        <f>IF(B258="","",IF(BH258&lt;&gt;"",3,IFERROR(IF(N(VLOOKUP(BC258,Потребители_обозначение,9,FALSE))=0,1,VLOOKUP(BC258,Потребители_обозначение,9,FALSE)),1)))</f>
        <v>1</v>
      </c>
      <c r="BX258">
        <f t="shared" si="431"/>
        <v>1</v>
      </c>
      <c r="BY258" t="str">
        <f>IF(B258="","",_xlfn.LET(_xlpm.bc,IFERROR(IF(VLOOKUP(BC258,Потребители_обозначение,6,FALSE)=0,"",VLOOKUP(BC258,Потребители_обозначение,6,FALSE)&amp;""),""),IF(AND(GA258="да",OR(_xlpm.bc="",_xlpm.bc="мс")),Марка_пож,IF(AND(_xlpm.bc="",BH258&lt;&gt;""),"мс",_xlpm.bc))))</f>
        <v/>
      </c>
      <c r="BZ258" t="str">
        <f t="shared" si="432"/>
        <v>мс</v>
      </c>
      <c r="CA258">
        <f>IF(B258="","",_xlfn.LET(_xlpm.cc,IFERROR(N(VLOOKUP(BC258,Потребители_обозначение,7,FALSE)),0),IF(_xlpm.cc&gt;0,_xlpm.cc,IF(BZ258="","",IF(BV258=1,2,IF(N(BX258)=3,5,3))))))</f>
        <v>3</v>
      </c>
      <c r="CB258">
        <f t="shared" si="433"/>
        <v>3</v>
      </c>
      <c r="CC258">
        <f>IFERROR(N(VLOOKUP(BC258,Потребители_обозначение,10,FALSE)),0)</f>
        <v>0</v>
      </c>
      <c r="CD258">
        <f>IFERROR(VLOOKUP(BC258,Потребители_обозначение,5,FALSE),0)</f>
        <v>1</v>
      </c>
      <c r="CE258" s="6" cm="1">
        <f t="array" ref="CE258">IF(B258="","",IF(BH258&lt;&gt;"",IFERROR(_xlfn.XLOOKUP(BH258,Щиты[Щит],Щиты[cos φ]),0.95),IF(BP258=1,IFERROR(_xlfn.XLOOKUP(A258,Щиты[Щит],Щиты[cos φ]),0.95),IF(ISNUMBER(AD258),AD258,IFERROR(IF(CD258=2,_xlfn.IFS(BX258=3,VLOOKUP(BS258,Справочная_двигатели,8,FALSE),BX258=1,VLOOKUP(BS258,Справочная_двигатели,10,TRUE)),IF(AND(Методика="нормы 2026",FG258="Сил"),0.8,0.95)),0.95)))))</f>
        <v>0.95</v>
      </c>
      <c r="CF258">
        <f t="shared" si="434"/>
        <v>0</v>
      </c>
      <c r="CG258">
        <f t="shared" si="435"/>
        <v>1</v>
      </c>
      <c r="CH258">
        <f t="shared" si="436"/>
        <v>0</v>
      </c>
      <c r="CI258">
        <f>IF(B258="","",IF(BV258=1,IFERROR(BS258/((Uн_лин/SQRT(3))*MAX(0.5,N(CE258))),0),N(O258)))</f>
        <v>0.27348170645824377</v>
      </c>
      <c r="CJ258">
        <f t="shared" si="437"/>
        <v>0</v>
      </c>
      <c r="CK258">
        <f t="shared" si="438"/>
        <v>0</v>
      </c>
      <c r="CL258">
        <f t="shared" si="439"/>
        <v>0</v>
      </c>
      <c r="CM258">
        <f t="shared" si="440"/>
        <v>0</v>
      </c>
      <c r="CN258">
        <f t="shared" si="441"/>
        <v>0</v>
      </c>
      <c r="CO258">
        <f>IF(BC258="",0,_xlfn.LET(_xlpm.v,IFERROR(_xlfn.XLOOKUP(B258,Коды_код,Коды_мА),IFERROR(_xlfn.XLOOKUP(BC258,Коды_код,Коды_мА),IFERROR(_xlfn.XLOOKUP(LEFT(BC258,2),Коды_код,Коды_мА),""))),IF(_xlpm.v="да",30,IF(ISNUMBER(_xlpm.v),_xlpm.v,0))))</f>
        <v>30</v>
      </c>
      <c r="CP258">
        <f t="shared" si="442"/>
        <v>30</v>
      </c>
      <c r="CQ258" t="str">
        <f>_xlfn.LET(_xlpm.k,IFERROR(_xlfn.XLOOKUP(BC258,Коды_код,Коды_утечка)&amp;"",""),IF(_xlpm.k="","дифавтомат",_xlpm.k))</f>
        <v>дифавтомат</v>
      </c>
      <c r="CR258" t="str" cm="1">
        <f t="array" ref="CR258">IF(CG258=0,"",_xlfn.LET(_xlpm.sg,TRIM(_xlfn.TEXTSPLIT(DD258&amp;"",";")),_xlpm.f_,_xlfn._xlws.FILTER(_xlpm.sg,LEFT(_xlpm.sg,3)="УЗО",""),IFERROR(INDEX(_xlpm.f_,1)&amp;"","")))</f>
        <v/>
      </c>
      <c r="CS258" t="str">
        <f t="shared" si="443"/>
        <v/>
      </c>
      <c r="CT258" s="6" t="str" cm="1">
        <f t="array" ref="CT258">IF(CR258="","",_xlfn.LET(_xlpm.tk,_xlfn.TEXTSPLIT(UPPER(CR258)," ",,TRUE),_xlpm.a_,_xlfn._xlws.FILTER(_xlpm.tk,ISNUMBER(--LEFT(_xlpm.tk,1))*((ISNUMBER(SEARCH("А",_xlpm.tk))+ISNUMBER(SEARCH("A",_xlpm.tk)))&gt;0)*NOT(ISNUMBER(SEARCH("МА",_xlpm.tk)))*NOT(ISNUMBER(SEARCH("MA",_xlpm.tk))),""),IFERROR(--SUBSTITUTE(SUBSTITUTE(INDEX(_xlpm.a_,1),"А",""),"A",""),"")))</f>
        <v/>
      </c>
      <c r="CU258" t="str" cm="1">
        <f t="array" ref="CU258">IF(CR258="","",_xlfn.LET(_xlpm.tk,_xlfn.TEXTSPLIT(UPPER(CR258)," ",,TRUE),_xlpm.a_,_xlfn._xlws.FILTER(_xlpm.tk,ISNUMBER(--LEFT(_xlpm.tk,1))*((ISNUMBER(SEARCH("МА",_xlpm.tk))+ISNUMBER(SEARCH("MA",_xlpm.tk)))&gt;0),""),IFERROR(--SUBSTITUTE(SUBSTITUTE(INDEX(_xlpm.a_,1),"МА",""),"MA",""),30)))</f>
        <v/>
      </c>
      <c r="CV258" t="str">
        <f>IF(CS258="","",IFERROR(_xlfn.XLOOKUP(CS258,Линии[_n],Линии[_УЗО, мА]),30))</f>
        <v/>
      </c>
      <c r="CW258">
        <f>IF(CS258="",0,IF(ISNUMBER(SEARCH("4P",IFERROR(_xlfn.XLOOKUP(CS258,Линии[_n],Линии[_УЗО строки])&amp;"",""))),0,1))</f>
        <v>0</v>
      </c>
      <c r="CX258" t="str">
        <f>IF(AND(CS258&lt;&gt;"",CS258=BA258),SUMIFS(Линии[_ток на 230 В],Линии[_блок УЗО],BA258,Линии[Щит],A258),"")</f>
        <v/>
      </c>
      <c r="CY258" t="str">
        <f>IF(AND(CS258&lt;&gt;"",CS258=BA258),SUMIFS(Линии[_ток утечки линии, мА],Линии[_блок УЗО],BA258,Линии[Щит],A258),"")</f>
        <v/>
      </c>
      <c r="CZ258">
        <f t="shared" si="444"/>
        <v>30</v>
      </c>
      <c r="DA258">
        <f t="shared" si="445"/>
        <v>30</v>
      </c>
      <c r="DB258">
        <f>IF(B258="",0,IFERROR(--_xlfn.XLOOKUP(B258,Коды_код,Коды_минавт),IFERROR(--_xlfn.XLOOKUP(BC258,Коды_код,Коды_минавт),IFERROR(--_xlfn.XLOOKUP(LEFT(BC258,2),Коды_код,Коды_минавт),0))))</f>
        <v>16</v>
      </c>
      <c r="DC258" t="str">
        <f>IF(B258="","",IFERROR(_xlfn.XLOOKUP(BC258,Коды_код,Коды_апп)&amp;"",""))</f>
        <v/>
      </c>
      <c r="DD258" t="str">
        <f t="shared" si="446"/>
        <v/>
      </c>
      <c r="DE258" t="str" cm="1">
        <f t="array" ref="DE258">IF(TRIM(DD258&amp;"")="","",IFERROR(TRIM(INDEX(_xlfn.TEXTSPLIT(DD258&amp;";;;",";"),1)),""))</f>
        <v/>
      </c>
      <c r="DF258" t="str" cm="1">
        <f t="array" ref="DF258">IF(TRIM(DD258&amp;"")="","",IFERROR(TRIM(INDEX(_xlfn.TEXTSPLIT(DD258&amp;";;;",";"),2)),""))</f>
        <v/>
      </c>
      <c r="DG258" t="str" cm="1">
        <f t="array" ref="DG258">IF(TRIM(DD258&amp;"")="","",IFERROR(TRIM(INDEX(_xlfn.TEXTSPLIT(DD258&amp;";;;",";"),3)),""))</f>
        <v/>
      </c>
      <c r="DH258">
        <f t="shared" si="447"/>
        <v>0</v>
      </c>
      <c r="DI258" t="str">
        <f>IF(B258="","",_xlfn.LET(_xlpm.t,LOWER(AZ258&amp;""),IF(ISNUMBER(SEARCH("dim",_xlpm.t)),"DIM",IF(ISNUMBER(SEARCH("dali",_xlpm.t)),"DALI",IF(OR(ISNUMBER(SEARCH("relay",_xlpm.t)),ISNUMBER(SEARCH("реле",_xlpm.t))),"Relay",IF(ISNUMBER(SEARCH("кнопк",_xlpm.t)),"",IFERROR(_xlfn.XLOOKUP(BC258,Коды_код,Коды_упр)&amp;"","")))))))</f>
        <v/>
      </c>
      <c r="DJ258" t="str">
        <f t="shared" si="448"/>
        <v/>
      </c>
      <c r="DK258">
        <f>IF(B258="","",_xlfn.LET(_xlpm.ig,IF(N(CX258)&gt;0,N(CX258),N(CI258)+IF(AJ258="вручную",0,N(CJ258))),_xlpm.n0,IFERROR(VLOOKUP(_xlpm.ig,Автомат_номиналы,2,TRUE),0),_xlpm.mn,MAX(DB258,IF(AJ258="вручную",0,N(CM258))),MAX(_xlpm.n0,_xlpm.mn,IF(DH258=1,Мин_автомат_БП,0))))</f>
        <v>16</v>
      </c>
      <c r="DL258">
        <f t="shared" si="449"/>
        <v>1</v>
      </c>
      <c r="DM258" t="str">
        <f t="shared" si="450"/>
        <v>2P</v>
      </c>
      <c r="DN258" t="str">
        <f>_xlfn.LET(_xlpm.cc,UPPER(TRIM(IFERROR(_xlfn.XLOOKUP(BC258,Коды_код,Коды_хар)&amp;"",""))),IF(OR(_xlpm.cc="B",_xlpm.cc="В"),"B",IF(_xlpm.cc="D","D","С")))</f>
        <v>С</v>
      </c>
      <c r="DO258" t="str">
        <f t="shared" si="451"/>
        <v>2P С16А 30мА</v>
      </c>
      <c r="DP258" t="str">
        <f t="shared" si="452"/>
        <v>2P С16А 30мА</v>
      </c>
      <c r="DQ258" t="str">
        <f t="shared" si="453"/>
        <v>2P С16А 30мА</v>
      </c>
      <c r="DR258" cm="1">
        <f t="array" ref="DR258">IF(DQ258="","",_xlfn.LET(_xlpm.t,SUBSTITUTE(SUBSTITUTE(SUBSTITUTE(UPPER(DQ258),"С","C"),"А","A"),"В","B"),_xlpm.tk,_xlfn.TEXTSPLIT(_xlpm.t," "),_xlpm.f,_xlfn._xlws.FILTER(_xlpm.tk,ISNUMBER(--MID(_xlpm.tk,2,1))*ISNUMBER(SEARCH(LEFT(_xlpm.tk,1)&amp;"#","B#C#D#"))*(LEN(_xlpm.tk)&gt;1),""),_xlpm.x,INDEX(_xlpm.f,1),IFERROR(--SUBSTITUTE(MID(_xlpm.x,2,9),"A",""),IFERROR(--SUBSTITUTE(INDEX(_xlfn._xlws.FILTER(_xlpm.tk,ISNUMBER(--SUBSTITUTE(_xlpm.tk,"A","")),""),1),"A",""),""))))</f>
        <v>16</v>
      </c>
      <c r="DS258" t="str">
        <f t="shared" si="454"/>
        <v>ok</v>
      </c>
      <c r="DT258">
        <f t="shared" si="455"/>
        <v>16</v>
      </c>
      <c r="DU258" t="str">
        <f t="shared" si="456"/>
        <v>2P С16А 30мА</v>
      </c>
      <c r="DV258">
        <f t="shared" si="457"/>
        <v>30</v>
      </c>
      <c r="DW258">
        <f t="shared" si="458"/>
        <v>1</v>
      </c>
      <c r="DX258">
        <f t="shared" si="459"/>
        <v>0</v>
      </c>
      <c r="DY258">
        <f t="shared" si="460"/>
        <v>0.27348170645824377</v>
      </c>
      <c r="DZ258">
        <f t="shared" si="461"/>
        <v>1</v>
      </c>
      <c r="EA258">
        <f>IF(ISNUMBER(AP258),AP258,К_прокл)</f>
        <v>1</v>
      </c>
      <c r="EB258">
        <f t="shared" si="462"/>
        <v>2</v>
      </c>
      <c r="EC258">
        <f>IFERROR(N(VLOOKUP(BZ258,Кабель_обозначение,3,FALSE)),1)</f>
        <v>1</v>
      </c>
      <c r="ED258">
        <f>IFERROR(N(_xlfn.XLOOKUP(A258,Щиты[Щит],Щиты[ΔU до шин, %])),0)</f>
        <v>1.19</v>
      </c>
      <c r="EE258" t="str">
        <f>IFERROR(_xlfn.XLOOKUP(A258,Щиты[Щит],Щиты[Zпетли на шинах, Ом]),"")</f>
        <v/>
      </c>
      <c r="EF258">
        <f>IFERROR(N(_xlfn.XLOOKUP(A258,Щиты[Щит],Щиты[ΔU до шин (подбор), %])),0)</f>
        <v>1.19</v>
      </c>
      <c r="EG258" t="str">
        <f>IFERROR(_xlfn.XLOOKUP(A258,Щиты[Щит],Щиты[Zпетли на шинах (подбор), Ом]),"")</f>
        <v/>
      </c>
      <c r="EH258" t="str">
        <f t="shared" si="463"/>
        <v/>
      </c>
      <c r="EI258">
        <f t="shared" si="464"/>
        <v>35</v>
      </c>
      <c r="EJ258">
        <f t="shared" si="465"/>
        <v>2</v>
      </c>
      <c r="EK258">
        <f t="shared" si="466"/>
        <v>0.31</v>
      </c>
      <c r="EL258" s="6">
        <f>IF(B258="","",IF(BV258=1,dU_LED,IF(IFERROR(_xlfn.XLOOKUP(BC258,Коды_код,Коды_уго),"")="Светильник",3,4)+IF(Методика="нормы 2026",MIN(0.5,MAX(0,N(P258)-100)*0.005),0)))</f>
        <v>4</v>
      </c>
      <c r="EM258" cm="1">
        <f t="array" ref="EM258">IF(OR(B258="",BZ258="",EC258&lt;&gt;1),"",_xlfn.LET(_xlpm.sz,Iдоп_S,_xlpm.t_,CHOOSE(EB258,Iдоп_1ж,Iдоп_2ж,Iдоп_3ж)*DZ258*EA258,_xlpm.dcx,BV258=1,_xlpm.inn,IF(_xlpm.dcx,N(O258),N(DT258)),_xlpm.smin,MAX(1.5,CC258),_xlpm.L_,N(P258)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258)/N(BU258)*100,999),IFERROR(N(EJ258)*(_xlpm.rho*_xlpm.L_/_xlpm.sz*N(CE258)+_xlpm.xx*_xlpm.L_*N(EK258)/1000)*N(O258)/((Uн_лин/SQRT(3))*1000)*100,999)),_xlpm.kz,IF(OR(_xlpm.dcx,DW258=1,NOT(ISNUMBER(EG258)),_xlpm.L_=0,_xlpm.inn=0),1,IFERROR(--(c_min*(Uн_лин*1000/SQRT(3))/(EG258+2*ρкз_Cu*_xlpm.L_/_xlpm.sz)&gt;=HT258*_xlpm.inn),0)),_xlpm.ok,IFERROR((_xlpm.sz&gt;=_xlpm.smin)*(_xlpm.t_&gt;=_xlpm.inn)*IF(_xlpm.L_&gt;0,(_xlpm.du_+IF(_xlpm.dcx,0,EF258)&lt;=EL258+0.00001),1)*_xlpm.kz,0),_xlpm.r_,_xlfn._xlws.FILTER(_xlpm.sz,_xlpm.ok,"не подобрано"),INDEX(_xlpm.r_,1)))</f>
        <v>1.5</v>
      </c>
      <c r="EN258">
        <f t="shared" si="467"/>
        <v>2.5</v>
      </c>
      <c r="EO258" cm="1">
        <f t="array" ref="EO258">IF(OR(B258="",BZ258="",EC258&lt;&gt;1),"",_xlfn.LET(_xlpm.sz,Iдоп_S,_xlpm.t_,CHOOSE(EB258,Iдоп_1ж,Iдоп_2ж,Iдоп_3ж)*DZ258*EA258,_xlpm.ok,IFERROR((_xlpm.sz&gt;=MAX(1.5,CC258))*(_xlpm.t_&gt;=N(DT258)),0),_xlpm.r_,_xlfn._xlws.FILTER(_xlpm.sz,_xlpm.ok,""),INDEX(_xlpm.r_,1)))</f>
        <v>1.5</v>
      </c>
      <c r="EP258" s="6" cm="1">
        <f t="array" ref="EP258">IFERROR(ROUNDUP(N(EJ258)*(_xlfn.XLOOKUP(EO258,INDEX(Кабель_сопротивление,0,1),INDEX(Кабель_сопротивление,0,3))*N(P258)/EO258*N(CE258)+_xlfn.XLOOKUP(EO258,INDEX(Кабель_сопротивление,0,1),INDEX(Кабель_сопротивление,0,2))*N(P258)*N(EK258)/1000)*N(O258)/((Uн_лин/SQRT(3))*1000)*100,2),"")</f>
        <v>0.13</v>
      </c>
      <c r="EQ258">
        <f>IFERROR(2*ρкз_Cu*N(P258)/EO258,"")</f>
        <v>1.3325333333333333</v>
      </c>
      <c r="ER258">
        <f>IFERROR(VLOOKUP(EN258,Кабель_сопротивление,3,FALSE),"")</f>
        <v>2.2499999999999999E-2</v>
      </c>
      <c r="ES258">
        <f>IFERROR(VLOOKUP(EN258,Кабель_сопротивление,2,FALSE),"")</f>
        <v>0.1</v>
      </c>
      <c r="ET258">
        <f t="shared" si="468"/>
        <v>18</v>
      </c>
      <c r="EU258">
        <f t="shared" si="469"/>
        <v>0</v>
      </c>
      <c r="EV258">
        <f t="shared" si="470"/>
        <v>0.17835273575698241</v>
      </c>
      <c r="EW258" s="6">
        <f>IFERROR(ROUNDUP(EV258/IF(BV258=1,BU258,(Uн_лин/SQRT(3))*1000)*100,2),"")</f>
        <v>0.08</v>
      </c>
      <c r="EX258" t="str">
        <f>IFERROR(VLOOKUP(BZ258,Кабель_обозначение,2,FALSE),"")</f>
        <v>ВВГнг(А)-LS</v>
      </c>
      <c r="EY258" t="str">
        <f t="shared" si="471"/>
        <v>ВВГнг(А)-LS (3х2,5)</v>
      </c>
      <c r="EZ258" t="str">
        <f t="shared" si="472"/>
        <v>ВВГнг(А)-LS (3х2,5)
L=38-0,08%</v>
      </c>
      <c r="FA258">
        <f>IFERROR(2*ρкз_Cu*P258/EN258,"")</f>
        <v>0.79952000000000001</v>
      </c>
      <c r="FB258">
        <f t="shared" si="473"/>
        <v>0.26600000000000001</v>
      </c>
      <c r="FC258" s="6" t="str">
        <f>IFERROR(IF(OR(B258="",BV258=1,NOT(ISNUMBER(EN258)),N(P258)=0),"",_xlfn.XLOOKUP(A258,Щиты[Щит],Щиты[Zпетли на шинах, Ом])+FA258),"")</f>
        <v/>
      </c>
      <c r="FD258" s="6" t="str">
        <f>IF(ISNUMBER(FC258),c_min*(Uн_лин*1000/SQRT(3))/FC258,"")</f>
        <v/>
      </c>
      <c r="FE258" s="6" t="str">
        <f>IFERROR(IF(OR(B258="",NOT(ISNUMBER(EN258))),"",1.05*(Uн_лин*1000/SQRT(3))/(_xlfn.XLOOKUP(A258,Щиты[Щит],Щиты[Zmax на шинах, Ом])+FB258)/1000),"")</f>
        <v/>
      </c>
      <c r="FF258" s="6" t="str">
        <f>IF(B258="","",IF(ISNUMBER(AC258),"Сил",IF(IFERROR(_xlfn.XLOOKUP(BC258,Коды_код,Коды_группа)&amp;"","")="","Быт",_xlfn.XLOOKUP(BC258,Коды_код,Коды_группа)&amp;"")))</f>
        <v>Быт</v>
      </c>
      <c r="FG258" s="6" t="str">
        <f t="shared" si="474"/>
        <v>Быт</v>
      </c>
      <c r="FH258" s="6">
        <f>IF(FG258="Щит","щит",IF(FG258="","",IF(FG258="Быт",IFERROR(_xlfn.XLOOKUP(A258,Щиты[Щит],Щиты[Кс быт]),1),IF(FG258="Сил",IF(ISNUMBER(AC258),AC258,IF(Методика="нормы 2026",IFERROR(_xlfn.XLOOKUP(A258,Щиты[Щит],Щиты[Кс силовых (табл. 7.5)]),1),1)),IF(OR(FG258="Пост",FG258="Отоп"),1,IF(FG258="ВНГ",0.7,0))))))</f>
        <v>0.57830000000000004</v>
      </c>
      <c r="FI258">
        <f>IF(FG258="","",IF(AND(BP258=1,TRIM(AE258&amp;"")=""),IF(COUNTIFS(Линии[Щит],A258,Линии[Секция (1/2/3)],"&gt;=2")&gt;0,MIN(3,MAX(1,IFERROR(--BD258,1))),1),IFERROR(MIN(3,MAX(1,INT(--AE258))),1)))</f>
        <v>1</v>
      </c>
      <c r="FJ258">
        <f t="shared" si="475"/>
        <v>0.06</v>
      </c>
      <c r="FK258">
        <f t="shared" si="476"/>
        <v>0.06</v>
      </c>
      <c r="FL258">
        <f t="shared" si="477"/>
        <v>0</v>
      </c>
      <c r="FM258">
        <f t="shared" si="478"/>
        <v>0</v>
      </c>
      <c r="FN258">
        <f t="shared" si="479"/>
        <v>0</v>
      </c>
      <c r="FO258">
        <f t="shared" si="480"/>
        <v>0</v>
      </c>
      <c r="FP258">
        <f t="shared" si="481"/>
        <v>0.06</v>
      </c>
      <c r="FQ258">
        <f t="shared" si="482"/>
        <v>0.06</v>
      </c>
      <c r="FR258">
        <f t="shared" si="483"/>
        <v>5.6999999999999995E-2</v>
      </c>
      <c r="FS258">
        <f>IF(CG258=1,IF(AND(CH258=1,CW258=1),0,IF(AND(CS258&lt;&gt;"",CS258=BA258,CW258=1),SUMIFS(Линии[_Р линии, кВт],Линии[_блок УЗО],BA258,Линии[Щит],A258),N(BS258)+IF(AJ258="вручную",0,N(CK258)))),0)</f>
        <v>0.06</v>
      </c>
      <c r="FT258" t="str">
        <f t="shared" si="484"/>
        <v>L1</v>
      </c>
      <c r="FU258" t="str">
        <f>IF(B258="","",IF(CG258=0,IF(BA258=1,"",FW257),IF(AND(CH258=1,CW258=1,CS258&lt;&gt;""),IFERROR(_xlfn.XLOOKUP(CS258,Линии[_n],Линии[_фаза итог]),"L1"),IF(OR(N(DL258)&gt;=3,N(BX258)&gt;=3),"L1,L2,L3",IFERROR(_xlfn.TEXTBEFORE(_xlfn.TEXTAFTER(_xlfn.XLOOKUP(A258,Щиты[Щит],Щиты[_фазы авто]),";"&amp;BA258&amp;":"),";"),"L1")))))</f>
        <v>L1</v>
      </c>
      <c r="FV258" t="str">
        <f t="shared" si="485"/>
        <v>L1</v>
      </c>
      <c r="FW258" t="str">
        <f t="shared" si="486"/>
        <v>L1</v>
      </c>
      <c r="FX258" cm="1">
        <f t="array" ref="FX258">IFERROR(IF(CD258=2,_xlfn.IFS(BX258=3,VLOOKUP(BS258,Справочная_двигатели,3,FALSE),BX258=1,VLOOKUP(BS258,Справочная_двигатели,5,TRUE)),0),0)</f>
        <v>0</v>
      </c>
      <c r="FY258">
        <f>IFERROR(IF(CD258=3,VLOOKUP(BS258,Справочная_ЛЭД,2,TRUE),0),0)</f>
        <v>0</v>
      </c>
      <c r="FZ258" s="6">
        <f t="shared" si="487"/>
        <v>0</v>
      </c>
      <c r="GA258" t="str">
        <f>IF(B258="","",IF(TRIM(AH258&amp;"")&lt;&gt;"",IF(LOWER(TRIM(AH258&amp;""))="да","да","нет"),IF(IFERROR(_xlfn.XLOOKUP(BC258,Коды_код,Коды_пожарная),"")="да","да","нет")))</f>
        <v>нет</v>
      </c>
      <c r="GB258" t="str">
        <f t="shared" si="488"/>
        <v/>
      </c>
      <c r="GC258" t="str">
        <f t="shared" si="489"/>
        <v>основная</v>
      </c>
      <c r="GD258">
        <f>IF(AND(BP258=1,TRIM(AE258&amp;"")=""),IF(COUNTIFS(Линии[Щит],A258,Линии[Секция (1/2/3)],"&gt;=2")&gt;0,MIN(3,MAX(1,IFERROR(--BD258,1))),1),IFERROR(MIN(3,MAX(1,INT(--AE258))),1))</f>
        <v>1</v>
      </c>
      <c r="GE258" t="str" cm="1">
        <f t="array" ref="GE258">IF(B258="","",_xlfn.LET(_xlpm.t,IFERROR(_xlfn.XLOOKUP(1,(Шины[Шина]=GC258)*(((Шины[Щит]=A258)+(Шины[Щит]=""))&gt;0),Шины[Тип]),"")&amp;"",IF(_xlpm.t&lt;&gt;"",_xlpm.t,IF(ISNUMBER(SEARCH("ИБП",GC258)),"ИБП",IF(ISNUMBER(SEARCH("ДГУ",GC258)),"ДГУ","Ввод "&amp;GD258)))))</f>
        <v>Ввод 1</v>
      </c>
      <c r="GF258" t="str">
        <f t="shared" si="490"/>
        <v>Ввод 1</v>
      </c>
      <c r="GG258" t="str">
        <f>IF(BP258=0,"",IF(TRIM(AG258&amp;"")&lt;&gt;"",TRIM(AG258&amp;""),IF(OR(GE258="ИБП",GE258="ДГУ"),"I особая",_xlfn.XLOOKUP(A258,Щиты[Щит],Щиты[Категория шины «Ввод»],"III"))))</f>
        <v/>
      </c>
      <c r="GH258" t="str">
        <f>IF(A258="","",_xlfn.XLOOKUP(A258,Щиты[Щит],Щиты[Путь],""))</f>
        <v>|ГРЩ-ЖД|ЩР-1|</v>
      </c>
      <c r="GI258" t="str">
        <f>IF(B258="","",IF(AI258&lt;&gt;"",AI258,IF(IFERROR(_xlfn.XLOOKUP(BC258,Коды_код,Коды_вид)&amp;"","")="","Прочее",_xlfn.XLOOKUP(BC258,Коды_код,Коды_вид)&amp;"")))</f>
        <v>Розеточная сеть и бытовые приборы</v>
      </c>
      <c r="GJ258">
        <f>IF(BM258="","",INT((BM258-1)/Столбцов_на_лист)+1)</f>
        <v>3</v>
      </c>
      <c r="GK258" t="str">
        <f t="shared" si="491"/>
        <v>ВВГнг(А)-LS (3х2,5) L=38-0,08%</v>
      </c>
      <c r="GL258">
        <f t="shared" si="492"/>
        <v>0.06</v>
      </c>
      <c r="GM258">
        <f t="shared" si="493"/>
        <v>0.28000000000000003</v>
      </c>
      <c r="GN258">
        <f t="shared" si="494"/>
        <v>1</v>
      </c>
      <c r="GO258">
        <f t="shared" si="495"/>
        <v>0</v>
      </c>
      <c r="GP258">
        <f t="shared" si="496"/>
        <v>1</v>
      </c>
      <c r="GQ258">
        <f>IF(BM258="","",IF(AND(CG258=1,GP258=1),COUNTIFS(A$3:A258,A258,CG$3:CG258,1,GP$3:GP258,1),IF(OR(OR(BA258=1,A258&lt;&gt;A257),AJ258="вручную",GP258=0),"",IF(BA258=1,"",GR257))))</f>
        <v>34</v>
      </c>
      <c r="GR258">
        <f t="shared" si="497"/>
        <v>34</v>
      </c>
      <c r="GS258">
        <f>IF(B258="","",IFERROR(LOOKUP(INDEX(CHOOSE(EB258,Iдоп_1ж,Iдоп_2ж,Iдоп_3ж),MATCH(EN258,Iдоп_S,0))*DZ258*EA258,{6,10,16,20,25,32,40,50,63,80,100,125,160,200,250,315,400,500,630}),""))</f>
        <v>25</v>
      </c>
      <c r="GT258" t="str">
        <f t="shared" si="498"/>
        <v>QFD34</v>
      </c>
      <c r="GU258" t="str">
        <f t="shared" si="499"/>
        <v>QFD34</v>
      </c>
      <c r="GV258" t="str">
        <f t="shared" si="500"/>
        <v/>
      </c>
      <c r="GW258">
        <f t="shared" si="501"/>
        <v>0</v>
      </c>
      <c r="GX258" t="str">
        <f>IF(OR(B258="",DJ258=""),"",IFERROR(_xlfn.XLOOKUP(DJ258,Модули_умолч[Управление],Модули_умолч[Модель])&amp;"",""))</f>
        <v/>
      </c>
      <c r="GY258">
        <f>IF(DJ258="",1,IFERROR(MAX(0,N(_xlfn.XLOOKUP(DJ258,Модули_умолч[Управление],Модули_умолч[Каналов на линию]))),1))</f>
        <v>1</v>
      </c>
      <c r="GZ258" t="str">
        <f t="shared" si="502"/>
        <v/>
      </c>
      <c r="HA258" t="str">
        <f t="shared" si="503"/>
        <v/>
      </c>
      <c r="HB258" t="str">
        <f t="shared" si="504"/>
        <v/>
      </c>
      <c r="HC258">
        <f>IF(HB258="",0,IFERROR(N(VLOOKUP(HB258,Модули_спр,3,FALSE)),0))</f>
        <v>0</v>
      </c>
      <c r="HD258" t="str">
        <f t="shared" si="505"/>
        <v/>
      </c>
      <c r="HE258" t="str">
        <f t="shared" si="506"/>
        <v/>
      </c>
      <c r="HF258" t="str">
        <f>IF(OR(HE258="",HE258="-"),"",IFERROR(VLOOKUP(HE258,Модули_спр,2,FALSE),"R"))</f>
        <v/>
      </c>
      <c r="HG258" t="str">
        <f>IF(HF258="","",HF258&amp;"."&amp;COUNTIFS(A$3:A258,A258,HF$3:HF258,HF258))</f>
        <v/>
      </c>
      <c r="HH258" t="str">
        <f t="shared" si="507"/>
        <v/>
      </c>
      <c r="HI258" t="str">
        <f t="shared" si="508"/>
        <v/>
      </c>
      <c r="HJ258" t="str">
        <f t="shared" si="509"/>
        <v/>
      </c>
      <c r="HK258" t="str">
        <f t="shared" si="510"/>
        <v/>
      </c>
      <c r="HL258">
        <f t="shared" si="511"/>
        <v>1</v>
      </c>
      <c r="HM258" t="str">
        <f>IF(HL258=1,"XT"&amp;COUNTIFS(A$3:A258,A258,HL$3:HL258,1),"")</f>
        <v>XT34</v>
      </c>
      <c r="HN258" t="str">
        <f t="shared" si="512"/>
        <v/>
      </c>
      <c r="HO258" t="str">
        <f t="shared" si="513"/>
        <v>QFD34</v>
      </c>
      <c r="HP258" t="str">
        <f t="shared" si="514"/>
        <v/>
      </c>
      <c r="HQ258" t="str">
        <f t="shared" si="515"/>
        <v>ok</v>
      </c>
      <c r="HR258" t="str">
        <f>IF(OR(HJ258="",HH258=""),"",IF(HJ258+MAX(0,GY258-1)&gt;IFERROR(VLOOKUP(HI258,Модули_спр,3,FALSE),99),"ЛИШНИЙ КАНАЛ",IF(AND(AL258&lt;&gt;"=",GY258&gt;0,COUNTIFS(Линии[_модуль гр.],HH258,Линии[Канал (итог)],HJ258,Линии[Канал],"&lt;&gt;=",Линии[Щит],A258)&gt;1),"ДУБЛЬ КАНАЛА","")))</f>
        <v/>
      </c>
      <c r="HS258" s="6" t="str">
        <f t="shared" si="516"/>
        <v/>
      </c>
      <c r="HT258">
        <f t="shared" si="517"/>
        <v>10</v>
      </c>
      <c r="HU258" t="str">
        <f t="shared" si="518"/>
        <v/>
      </c>
      <c r="HV258">
        <f t="shared" si="519"/>
        <v>0.48939268258329749</v>
      </c>
      <c r="HW258">
        <f t="shared" si="520"/>
        <v>0</v>
      </c>
      <c r="HX258">
        <f t="shared" si="521"/>
        <v>0</v>
      </c>
      <c r="HY258">
        <f t="shared" si="522"/>
        <v>0</v>
      </c>
      <c r="HZ258">
        <f t="shared" si="523"/>
        <v>0</v>
      </c>
      <c r="IA258">
        <f t="shared" si="524"/>
        <v>0</v>
      </c>
      <c r="IB258">
        <f t="shared" si="525"/>
        <v>0</v>
      </c>
      <c r="IC258" t="str">
        <f t="shared" si="526"/>
        <v/>
      </c>
      <c r="ID258" t="str" cm="1">
        <f t="array" ref="ID258">IF(IC258="","",_xlfn.LET(_xlpm.tk,_xlfn.TEXTSPLIT(SUBSTITUTE(SUBSTITUTE(IC258,";"," "),"→"," ")," ",,TRUE),_xlpm.w_,_xlfn._xlws.FILTER(_xlpm.tk,ISNUMBER(--LEFT(_xlpm.tk,1))*((ISNUMBER(SEARCH("W",_xlpm.tk))+ISNUMBER(SEARCH("Вт",_xlpm.tk)))&gt;0),""),IFERROR(--SUBSTITUTE(SUBSTITUTE(UPPER(INDEX(_xlpm.w_,1)),"W",""),"ВТ",""),"")))</f>
        <v/>
      </c>
      <c r="IE258" t="str" cm="1">
        <f t="array" ref="IE258">IF(IC258="","",_xlfn.LET(_xlpm.tk,_xlfn.TEXTSPLIT(SUBSTITUTE(SUBSTITUTE(IC258,";"," "),"→"," ")," ",,TRUE),_xlpm.v_,_xlfn._xlws.FILTER(_xlpm.tk,ISNUMBER(--LEFT(_xlpm.tk,1))*((ISNUMBER(SEARCH("V",_xlpm.tk))+(RIGHT(UPPER(_xlpm.tk))="В"))&gt;0),""),IFERROR(--SUBSTITUTE(SUBSTITUTE(UPPER(INDEX(_xlpm.v_,1)),"V",""),"В",""),"")))</f>
        <v/>
      </c>
      <c r="IF258" s="6" t="str">
        <f>IF(OR(BV258=0,HI258="",HJ258=""),"",IFERROR(N(_xlfn.XLOOKUP(HI258,Каталог!$C$4:$C$500,Каталог!$Q$4:$Q$500)),""))</f>
        <v/>
      </c>
      <c r="IG258" s="6" t="str">
        <f>IF(N(IF258)=0,"",SUMIFS(Линии[Iр, А],Линии[Щит],A258,Линии[_модуль гр.],HH258,Линии[Канал (итог)],HJ258))</f>
        <v/>
      </c>
      <c r="IH258" t="str">
        <f>IF(AND(B258="",HO258=""),"",_xlfn.TEXTJOIN("; ",TRUE,IF(AND(B258&lt;&gt;"",FV258=""),"нет фазы",""),IF(AND(B258&lt;&gt;"",N(GL258)=0,FG258&lt;&gt;"Нет"),"нет мощности",""),IF(AND(HN258&lt;&gt;"",COUNTIFS(Линии[Щит],A258,Линии[Клемма (итог)],HN258)&gt;1),"дубль клеммы "&amp;HN258,""),IF(AND(HQ258&lt;&gt;"",HQ258&lt;&gt;"ok"),HQ258,""),IF(HR258&lt;&gt;"",HR258,""),IF(AND(N(CB258)&gt;=4,N(BX258)=1),CB258&amp;" жил на 1 фазе",""),IF(AND(BC258="R",CG258=1,IF(CS258&lt;&gt;"",N(CV258)&gt;30,OR(N(DA258)=0,N(DA258)&gt;30))),"розетка без дифзащиты до 30 мА",""),IF(AND(CG258=1,N(DA258)&gt;0,ISNUMBER(T258)),IF(T258&gt;N(DA258)/3,"ток утечки "&amp;FIXED(T258,1)&amp;" мА &gt; 1/3 уставки ("&amp;DA258&amp;" мА)",""),""),IF(AND(CH258=1,CS258=""),"«узо»: нет строки с УЗО выше (УЗО 2P 40А 30мА в «Аппаратах»)",""),IF(AND(CS258&lt;&gt;"",CS258=BA258),IF(CT258="","впишите номинал УЗО (УЗО 2P 40А 30мА)",IF(N(CT258)&lt;N(DT258),"УЗО "&amp;CT258&amp;" А &lt; автомата "&amp;DT258&amp;" А перед ним",IF(N(CT258)&lt;N(CX258),"УЗО "&amp;CT258&amp;" А &lt; тока блока "&amp;FIXED(CX258,1)&amp;" А",""))),""),IF(AND(CS258&lt;&gt;"",CS258=BA258,ISNUMBER(CY258)),IF(CY258&gt;N(CV258)/3,"ток утечки блока УЗО "&amp;FIXED(CY258,1)&amp;" мА &gt; 1/3 уставки ("&amp;CV258&amp;" мА)",""),""),IF(AND(CG258=1,N(BV258)+N(IB258)&gt;0,IC258=""),"линии до 50 В без БП: впишите в «Аппараты» (БП 24V 480W)",""),IF(AND(CG258=1,ISNUMBER(ID258),ISNUMBER(U258)),IF(U258&gt;ID258,"БП "&amp;ID258&amp;" Вт &lt; нужно "&amp;U258&amp;" Вт (×"&amp;Запас_БП&amp;")",""),""),IF(AND(CG258=1,ISNUMBER(IE258),N(BV258)=1),IF(IE258&lt;&gt;N(BU258),"БП на "&amp;IE258&amp;" В, линия "&amp;BU258&amp;" В",""),""),IF(AND(N(IF258)&gt;0,N(IG258)&gt;N(IF258)),HH258&amp;" канал "&amp;HJ258&amp;": "&amp;FIXED(IG258,1)&amp;" А &gt; "&amp;IF258&amp;" А",""),IFERROR(IF(AND(ISNUMBER(Q258),Q258&gt;EL258),"потери "&amp;FIXED(Q258,1)&amp;" % &gt; "&amp;EL258&amp;" %",""),""),IFERROR(IF(LEFT(HU258,4)="мало","Iкз мало — отключение &gt; 0,4 с",""),""),IF(AND(B258&lt;&gt;"",BM258=""),"не на схеме",""),IF(AND(CG258=0,B258&lt;&gt;"",FV258&lt;&gt;"",IF(BA258=1,"",FW257)&lt;&gt;"",FV258&lt;&gt;IF(BA258=1,"",FW257)),"фаза не как у автомата группы ("&amp;IF(BA258=1,"",FW257)&amp;")","")))</f>
        <v/>
      </c>
      <c r="II258" s="6">
        <f>IF(OR(CG258=0,DQ258=""),"",_xlfn.LET(_xlpm.t,IFERROR(_xlfn.XLOOKUP(DQ258,Каталог!$U$4:$U$500,Каталог!$G$4:$G$500),""),_xlpm.k,SEARCH("кА",_xlpm.t),IFERROR(--TRIM(RIGHT(SUBSTITUTE(MID(_xlpm.t,MAX(1,_xlpm.k-4),_xlpm.k-MAX(1,_xlpm.k-4))," ",REPT(" ",9)),5)),"")))</f>
        <v>6</v>
      </c>
      <c r="IJ258" t="str">
        <f>IF(OR(II258="",CG258=0),"",IF(_xlfn.XLOOKUP(A258,Щиты[Щит],Щиты[Iкз max на шинах, кА],"")="","",IF(II258&lt;_xlfn.XLOOKUP(A258,Щиты[Щит],Щиты[Iкз max на шинах, кА]),"Icu "&amp;II258&amp;" кА &lt; Iкз max","ok")))</f>
        <v/>
      </c>
      <c r="IK258" t="str">
        <f t="shared" si="527"/>
        <v/>
      </c>
      <c r="IL258" t="str">
        <f t="shared" si="528"/>
        <v>QFD34</v>
      </c>
      <c r="IM258" t="str">
        <f t="shared" si="529"/>
        <v>QFD34|кабель ВВГнг(А)-LS (3х2,5) → Розеточная группа, пом. 013A</v>
      </c>
      <c r="IN258" t="str" cm="1">
        <f t="array" ref="IN258">IF(IM258="","",_xlfn.LET(_xlpm.nd,_xlfn.TEXTSPLIT(IM258,"|"),IF(COLUMNS(_xlpm.nd)&gt;1,A258&amp;"¦"&amp;INDEX(_xlpm.nd,1)&amp;"¦"&amp;INDEX(_xlpm.nd,2),"")))</f>
        <v>ЩР-1¦QFD34¦кабель ВВГнг(А)-LS (3х2,5) → Розеточная группа, пом. 013A</v>
      </c>
      <c r="IO258" t="str">
        <f t="shared" si="530"/>
        <v>R.1.013A.1¦Розеточная группа, пом. 013A</v>
      </c>
      <c r="IP258" t="str" cm="1">
        <f t="array" ref="IP258">IF(IM258="","",_xlfn.LET(_xlpm.nd,_xlfn.TEXTSPLIT(IM258,"|"),IF(COLUMNS(_xlpm.nd)&gt;2,A258&amp;"¦"&amp;INDEX(_xlpm.nd,2)&amp;"¦"&amp;INDEX(_xlpm.nd,3),"")))</f>
        <v/>
      </c>
      <c r="IQ258" t="str">
        <f t="shared" si="531"/>
        <v/>
      </c>
      <c r="IR258" t="str" cm="1">
        <f t="array" ref="IR258">IF(IM258="","",_xlfn.LET(_xlpm.nd,_xlfn.TEXTSPLIT(IM258,"|"),IF(COLUMNS(_xlpm.nd)&gt;3,A258&amp;"¦"&amp;INDEX(_xlpm.nd,3)&amp;"¦"&amp;INDEX(_xlpm.nd,4),"")))</f>
        <v/>
      </c>
      <c r="IS258" t="str">
        <f t="shared" si="532"/>
        <v/>
      </c>
      <c r="IT258" t="str" cm="1">
        <f t="array" ref="IT258">IF(IM258="","",_xlfn.LET(_xlpm.nd,_xlfn.TEXTSPLIT(IM258,"|"),IF(COLUMNS(_xlpm.nd)&gt;4,A258&amp;"¦"&amp;INDEX(_xlpm.nd,4)&amp;"¦"&amp;INDEX(_xlpm.nd,5),"")))</f>
        <v/>
      </c>
      <c r="IU258" t="str">
        <f t="shared" si="533"/>
        <v/>
      </c>
      <c r="IV258" t="str" cm="1">
        <f t="array" ref="IV258">IF(IM258="","",_xlfn.LET(_xlpm.nd,_xlfn.TEXTSPLIT(IM258,"|"),IF(COLUMNS(_xlpm.nd)&gt;5,A258&amp;"¦"&amp;INDEX(_xlpm.nd,5)&amp;"¦"&amp;INDEX(_xlpm.nd,6),"")))</f>
        <v/>
      </c>
      <c r="IW258" t="str">
        <f t="shared" si="534"/>
        <v/>
      </c>
      <c r="IX258" t="str" cm="1">
        <f t="array" ref="IX258">IF(IM258="","",_xlfn.LET(_xlpm.nd,_xlfn.TEXTSPLIT(IM258,"|"),IF(COLUMNS(_xlpm.nd)&gt;6,A258&amp;"¦"&amp;INDEX(_xlpm.nd,6)&amp;"¦"&amp;INDEX(_xlpm.nd,7),"")))</f>
        <v/>
      </c>
      <c r="IY258" t="str">
        <f t="shared" si="535"/>
        <v/>
      </c>
      <c r="IZ258" t="str">
        <f t="shared" si="536"/>
        <v/>
      </c>
      <c r="JA258" t="str">
        <f t="shared" si="537"/>
        <v>QFD34</v>
      </c>
      <c r="JB258">
        <f t="shared" si="538"/>
        <v>0</v>
      </c>
      <c r="JC258">
        <f t="shared" si="539"/>
        <v>1</v>
      </c>
      <c r="JD258" t="str">
        <f t="shared" si="540"/>
        <v/>
      </c>
      <c r="JE258" t="str">
        <f t="shared" si="541"/>
        <v/>
      </c>
      <c r="JF258" t="str">
        <f t="shared" si="542"/>
        <v/>
      </c>
      <c r="JG258" t="str">
        <f t="shared" si="543"/>
        <v/>
      </c>
      <c r="JH258" t="str">
        <f>IF(B258="","",IFERROR(_xlfn.XLOOKUP(B258,Коды_код,Коды_уго),IFERROR(_xlfn.XLOOKUP(BC258,Коды_код,Коды_уго),IFERROR(_xlfn.XLOOKUP(LEFT(BC258,2),Коды_код,Коды_уго),""))))</f>
        <v>Розетка</v>
      </c>
      <c r="JI258" t="str">
        <f>IF(B258="","",IF(OR(JH258="",JH258=0),"BOX",IFERROR(IF(VLOOKUP(JH258,УГО_блоки,3,FALSE)&amp;""&lt;&gt;"",VLOOKUP(JH258,УГО_блоки,3,FALSE),VLOOKUP(JH258,УГО_блоки,2,FALSE)),JH258)))</f>
        <v>SOCKET</v>
      </c>
      <c r="JJ258">
        <f t="shared" si="544"/>
        <v>1</v>
      </c>
      <c r="JK258" t="str">
        <f>IF(DQ258="","",IF(COUNTIF(DQ$3:DQ258,DQ258)=1,MAX(JK$2:JK257)+1,""))</f>
        <v/>
      </c>
      <c r="JL258" t="str">
        <f>IF(DE258="","",IF(COUNTIF(DE$3:DE258,DE258)+COUNTIF(DF$2:DF257,DE258)+COUNTIF(DG$2:DG257,DE258)=1,MAX(JL$2:JN257)+1,""))</f>
        <v/>
      </c>
      <c r="JM258" t="str">
        <f>IF(DF258="","",IF(COUNTIF(DE$3:DE258,DF258)+COUNTIF(DF$3:DF258,DF258)+COUNTIF(DG$2:DG257,DF258)=1,MAX(JL$2:JN257,JL258)+1,""))</f>
        <v/>
      </c>
      <c r="JN258" t="str">
        <f>IF(DG258="","",IF(COUNTIF(DE$3:DE258,DG258)+COUNTIF(DF$3:DF258,DG258)+COUNTIF(DG$3:DG258,DG258)=1,MAX(JL$2:JN257,JL258,JM258)+1,""))</f>
        <v/>
      </c>
      <c r="JO258" t="str">
        <f t="shared" si="545"/>
        <v>3х2,5</v>
      </c>
      <c r="JP258" t="str">
        <f>IF(JO258="","",IF(COUNTIF(JO$3:JO258,JO258)=1,MAX(JP$2:JP257)+1,""))</f>
        <v/>
      </c>
      <c r="JQ258" t="str">
        <f>IF(HG258="","",COUNTIF(HG$3:HG258,"?*"))</f>
        <v/>
      </c>
      <c r="JR258" t="str">
        <f>IF(OR(HG258="",HI258=""),"",IF(COUNTIFS(HG$3:HG258,"?*",HI$3:HI258,HI258)=1,MAX(JR$2:JR257)+1,""))</f>
        <v/>
      </c>
      <c r="JS258">
        <f t="shared" si="546"/>
        <v>0</v>
      </c>
      <c r="JT258">
        <f>IF(B258="","",COUNTIF(B$3:B258,"?*"))</f>
        <v>256</v>
      </c>
      <c r="JU258">
        <f>IF(HL258&lt;&gt;1,0,_xlfn.LET(_xlpm.k,MAX(IFERROR(--_xlfn.XLOOKUP(B258,Коды_код,Коды_3L),0),IFERROR(--_xlfn.XLOOKUP(BC258,Коды_код,Коды_3L),0),IFERROR(--_xlfn.XLOOKUP(LEFT(BC258,2),Коды_код,Коды_3L),0)),IF(_xlpm.k&gt;0,_xlpm.k,IF(IFERROR(--LEFT(SUBSTITUTE(JO258,"x","х"),FIND("х",SUBSTITUTE(JO258,"x","х"))-1),3)&gt;3,Каталог!$S$9,1))))</f>
        <v>1</v>
      </c>
      <c r="JV258">
        <f t="shared" si="547"/>
        <v>0</v>
      </c>
      <c r="JW258" t="str">
        <f t="shared" si="548"/>
        <v>авто</v>
      </c>
      <c r="JX258">
        <f t="shared" si="549"/>
        <v>30</v>
      </c>
      <c r="JY258">
        <f t="shared" si="550"/>
        <v>1</v>
      </c>
      <c r="JZ258">
        <f t="shared" si="551"/>
        <v>1</v>
      </c>
    </row>
    <row r="259" spans="1:286" x14ac:dyDescent="0.3">
      <c r="A259" t="s">
        <v>757</v>
      </c>
      <c r="B259" t="s">
        <v>1565</v>
      </c>
      <c r="C259" t="str">
        <f>Линии[[#This Row],[_авто наименование]]</f>
        <v>Розеточная группа, пом. 014A</v>
      </c>
      <c r="D259">
        <v>1</v>
      </c>
      <c r="E259">
        <v>0.12</v>
      </c>
      <c r="G259" t="str">
        <f>Линии[[#This Row],[_авто автомат]]</f>
        <v>2P С16А 30мА</v>
      </c>
      <c r="H259" t="str">
        <f>Линии[[#This Row],[_авто управление]]</f>
        <v/>
      </c>
      <c r="I259" t="str">
        <f>Линии[[#This Row],[_авто аппараты]]</f>
        <v/>
      </c>
      <c r="J259">
        <v>2.5</v>
      </c>
      <c r="K259">
        <v>19</v>
      </c>
      <c r="L259" t="str">
        <f>Линии[[#This Row],[_авто фаза]]</f>
        <v>L1</v>
      </c>
      <c r="M259" t="s">
        <v>484</v>
      </c>
      <c r="N259" t="str">
        <f t="shared" ref="N259:N322" si="552">_xlfn.TEXTJOIN("; ",TRUE,IK259,IH259,IF(LEFT(IJ259,3)="Icu",IJ259,""),IF(AND(B259&lt;&gt;"",EN259="не подобрано"),"сечение не подобрано: проверьте длину и автомат или впишите сечение",""))</f>
        <v/>
      </c>
      <c r="O259" s="6" cm="1">
        <f t="array" ref="O259">IF(B259="","",IF(BH259&lt;&gt;"",IFERROR(_xlfn.XLOOKUP(BH259,Щиты[Щит],Щиты[Iр, А]),""),IF(BP259=1,IF(OR(N(_xlfn.XLOOKUP(A259,Щиты[Щит],Щиты[Вводов],1))&lt;=1,LOWER(TRIM(_xlfn.XLOOKUP(A259,Щиты[Щит],Щиты[АВР],"")&amp;""))="да"),IFERROR(_xlfn.XLOOKUP(A259,Щиты[Щит],Щиты[Iр, А]),""),IFERROR(N(BS259)*_xlfn.XLOOKUP(A259,Щиты[Щит],Щиты[Кс итог])/(SQRT(3)*Uн_лин*_xlfn.XLOOKUP(A259,Щиты[Щит],Щиты[cos φ])),"")),IF(BV259=1,IFERROR(BS259*1000/BU259,""),IFERROR(_xlfn.IFS(BX259=1,BS259/((Uн_лин/SQRT(3))*CE259),BX259=3,BS259/(SQRT(3)*Uн_лин*CE259)),"")))))</f>
        <v>0.54696341291648753</v>
      </c>
      <c r="P259" s="7">
        <f>IF(B259="","",IFERROR(IF(VLOOKUP(BC259,Потребители_обозначение,4,FALSE)=1,VLOOKUP(BC259,Потребители_обозначение,3,FALSE)*(MAX(1,N(D259))*2-1)+EI259+VLOOKUP(BE259,Этаж_обозначение,3,FALSE)+VLOOKUP(BE259,Этаж_обозначение,4,FALSE),VLOOKUP(BC259,Потребители_обозначение,3,FALSE)*(MAX(1,N(D259))*2-1)+EI259),EI259))</f>
        <v>22</v>
      </c>
      <c r="Q259" s="6">
        <f t="shared" ref="Q259:Q322" si="553">IF(ISNUMBER(EW259),EW259+IF(BV259=1,0,ED259),"")</f>
        <v>1.28</v>
      </c>
      <c r="R259" t="str">
        <f t="shared" ref="R259:R322" si="554">IF(OR(B259="",EX259=""),"",IF(EN259="не подобрано",EX259&amp;" — сечение не подобрано",EY259))</f>
        <v>ВВГнг(А)-LS (3х2,5)</v>
      </c>
      <c r="S259" t="str">
        <f>IF(BM259="","",IF(BN259="вводной узел","узел ","")&amp;"л."&amp;(INT((BM259-1)/Столбцов_на_лист)+1)&amp;" / "&amp;(MOD(BM259-1,Столбцов_на_лист)+1))</f>
        <v>л.3 / 13</v>
      </c>
      <c r="T259" s="119">
        <f t="shared" ref="T259:T322" si="555">IF(OR(CG259=0,BH259&lt;&gt;"",BP259=1),"",IF(AND(CS259&lt;&gt;"",CS259=BA259),ROUND(N(CY259),1),ROUND(N(HV259)+N(HW259),1)))</f>
        <v>0.4</v>
      </c>
      <c r="U259" s="7" t="str">
        <f>IF(OR(CG259=0,N(BV259)+N(IB259)=0),"",ROUNDUP(Запас_БП*(N(HY259)+N(HZ259)),0))</f>
        <v/>
      </c>
      <c r="V259" s="119" t="str">
        <f t="shared" ref="V259:V322" si="556">IF(OR(CG259=0,N(BV259)+N(IB259)=0),"",ROUND(MAX(N(HX259),N(IA259)),1))</f>
        <v/>
      </c>
      <c r="W259" s="7" t="str">
        <f>IFERROR(IF(OR(B259="",BP259=1,BV259=1,NOT(ISNUMBER(EN259)),N(DT259)=0),"",MAX(0,ROUNDDOWN((c_min*(Uн_лин*1000/SQRT(3))/(HT259*N(DT259))-_xlfn.XLOOKUP(A259,Щиты[Щит],Щиты[Zпетли на шинах, Ом]))*EN259/(2*ρкз_Cu),0))),"")</f>
        <v/>
      </c>
      <c r="Y259">
        <f>Линии[[#This Row],[_авто утечка]]</f>
        <v>30</v>
      </c>
      <c r="Z259">
        <v>1</v>
      </c>
      <c r="AA259">
        <v>230</v>
      </c>
      <c r="AB259" t="s">
        <v>562</v>
      </c>
      <c r="AG259" t="s">
        <v>810</v>
      </c>
      <c r="AI259" t="s">
        <v>561</v>
      </c>
      <c r="AK259" t="str">
        <f>Линии[[#This Row],[_авто модуль]]</f>
        <v/>
      </c>
      <c r="AM259">
        <v>47</v>
      </c>
      <c r="AN259" t="s">
        <v>11</v>
      </c>
      <c r="AO259">
        <v>3</v>
      </c>
      <c r="AQ259">
        <v>3</v>
      </c>
      <c r="AR259">
        <v>19</v>
      </c>
      <c r="AS259">
        <v>0</v>
      </c>
      <c r="BA259" cm="1">
        <f t="array" ref="BA259">ROW()-ROW(Линии[#Headers])</f>
        <v>257</v>
      </c>
      <c r="BC259" s="6" t="str">
        <f t="shared" ref="BC259:BC322" si="557">IF(B259="","",IFERROR(LEFT(B259,SEARCH(".",B259)-1),B259))</f>
        <v>R</v>
      </c>
      <c r="BD259" t="str">
        <f t="shared" ref="BD259:BD322" si="558">IFERROR(RIGHT(B259,LEN(B259)-SEARCH(".",B259)),"")</f>
        <v>1.014A.1</v>
      </c>
      <c r="BE259" t="str">
        <f t="shared" ref="BE259:BE322" si="559">IFERROR(LEFT(BD259,SEARCH(".",BD259)-1),BD259)</f>
        <v>1</v>
      </c>
      <c r="BF259" t="str">
        <f t="shared" ref="BF259:BF322" si="560">IFERROR(RIGHT(BD259,LEN(BD259)-SEARCH(".",BD259)),"")</f>
        <v>014A.1</v>
      </c>
      <c r="BG259" t="str">
        <f t="shared" ref="BG259:BG322" si="561">IFERROR(LEFT(BF259,SEARCH(".",BF259)-1),BF259)</f>
        <v>014A</v>
      </c>
      <c r="BH259" t="str">
        <f>IF(X259&lt;&gt;"",X259,IF(AND(B259&lt;&gt;"",B259&lt;&gt;A259,ISNUMBER(_xlfn.XMATCH(B259,Щиты[Щит]))),B259,""))</f>
        <v/>
      </c>
      <c r="BI259" t="str" cm="1">
        <f t="array" ref="BI259">IF(B259="","",IF(BH259&lt;&gt;"","Щит "&amp;BH259,_xlfn.LET(_xlpm.nm,IFERROR(_xlfn.XLOOKUP(BC259,Коды_код,Коды_имя)&amp;"",""),_xlpm.md,IFERROR(N(_xlfn.XLOOKUP(BC259,Коды_код,Коды_режим)),1),_xlpm.ex,IF(Имя_режим="по экспликации",IFERROR(_xlfn.XLOOKUP(BE259&amp;"|"&amp;BG259,Экспликация[Этаж]&amp;"|"&amp;Экспликация[Помещение],Экспликация[Название])&amp;"",""),""),_xlpm.rm,IF(BG259="","",IF(_xlpm.ex&lt;&gt;"",". "&amp;_xlpm.ex&amp;IF(Имя_пом="нет"," ("&amp;BG259&amp;")"," (пом. "&amp;BG259&amp;")"),IF(Имя_пом="нет"," ",", пом. ")&amp;BG259)),IF(_xlpm.nm="","",IF(_xlpm.md=2,_xlpm.nm&amp;" шлейф "&amp;BE259,_xlpm.nm&amp;_xlpm.rm)))))</f>
        <v>Розеточная группа, пом. 014A</v>
      </c>
      <c r="BJ259" t="str">
        <f t="shared" ref="BJ259:BJ322" si="562">IF(TRIM(C259&amp;"")="",BI259,C259)</f>
        <v>Розеточная группа, пом. 014A</v>
      </c>
      <c r="BK259">
        <f>IFERROR(_xlfn.XMATCH(A259,Щиты[Щит]),0)</f>
        <v>10</v>
      </c>
      <c r="BL259">
        <f>_xlfn.LET(_xlpm.k,IFERROR(_xlfn.XLOOKUP(A259,Щиты[Щит],Щиты[Мест под вводной узел]),""),IF(_xlpm.k="",Столбцов_на_лист,N(_xlpm.k)))</f>
        <v>8</v>
      </c>
      <c r="BM259">
        <f t="shared" ref="BM259:BM322" si="563">IF(AM259="-","",IF(ISNUMBER(AM259),AM259,_xlfn.LET(_xlpm.prev,IF(OR(BA259=1,A259&lt;&gt;A258),0,N(IF(BA259=1,"",BM258))),_xlpm.nx,_xlpm.prev+1,IF(AND(AJ259&lt;&gt;"вручную",_xlpm.nx&lt;=BL259),BL259+1,_xlpm.nx))))</f>
        <v>47</v>
      </c>
      <c r="BN259" t="str">
        <f t="shared" ref="BN259:BN322" si="564">IF(BM259="","",IF(BM259&lt;=BL259,"вводной узел","линии"))</f>
        <v>линии</v>
      </c>
      <c r="BO259" s="6">
        <f>IFERROR(N(_xlfn.XLOOKUP(BC259,Коды_код,Коды_квт)),0)</f>
        <v>0</v>
      </c>
      <c r="BP259">
        <f t="shared" ref="BP259:BP322" si="565">IF(AND(B259&lt;&gt;"",BC259="Ввод"),1,0)</f>
        <v>0</v>
      </c>
      <c r="BQ259" t="str">
        <f>IF(B259="","",IF(BH259&lt;&gt;"",IFERROR(_xlfn.XLOOKUP(BH259,Щиты[Щит],Щиты[Руст, кВт]),0),IF(BP259=1,IF(OR(N(_xlfn.XLOOKUP(A259,Щиты[Щит],Щиты[Вводов],1))&lt;=1,LOWER(TRIM(_xlfn.XLOOKUP(A259,Щиты[Щит],Щиты[АВР],"")&amp;""))="да"),IFERROR(_xlfn.XLOOKUP(A259,Щиты[Щит],Щиты[Руст, кВт]),0),SUMIFS(Линии[_Р для вводов],Линии[Щит],A259,Линии[Источник для режимов],GF259)),IF(BO259&gt;0,ROUND(BO259*MAX(1,N(D259)),3),""))))</f>
        <v/>
      </c>
      <c r="BR259">
        <f t="shared" ref="BR259:BR322" si="566">IF(TRIM(E259&amp;"")="",BQ259,E259)</f>
        <v>0.12</v>
      </c>
      <c r="BS259" s="6">
        <f>IF(B259="","",IF(BH259&lt;&gt;"",IFERROR(_xlfn.XLOOKUP(BH259,Щиты[Щит],Щиты[Руст, кВт]),0),N(BR259)))</f>
        <v>0.12</v>
      </c>
      <c r="BT259" t="str">
        <f>IF(B259="","",IFERROR(IF(VLOOKUP(BC259,Потребители_обозначение,8,FALSE)=0,"",VLOOKUP(BC259,Потребители_обозначение,8,FALSE)),""))</f>
        <v/>
      </c>
      <c r="BU259">
        <f t="shared" ref="BU259:BU322" si="567">IF(TRIM(AA259&amp;"")="",BT259,AA259)</f>
        <v>230</v>
      </c>
      <c r="BV259">
        <f t="shared" ref="BV259:BV322" si="568">IF(B259="",0,IF(AND(N(BU259)&gt;0,N(BU259)&lt;=50),1,0))</f>
        <v>0</v>
      </c>
      <c r="BW259">
        <f>IF(B259="","",IF(BH259&lt;&gt;"",3,IFERROR(IF(N(VLOOKUP(BC259,Потребители_обозначение,9,FALSE))=0,1,VLOOKUP(BC259,Потребители_обозначение,9,FALSE)),1)))</f>
        <v>1</v>
      </c>
      <c r="BX259">
        <f t="shared" ref="BX259:BX322" si="569">IF(B259="","",IF(TRIM(Z259&amp;"")="",BW259,N(Z259)))</f>
        <v>1</v>
      </c>
      <c r="BY259" t="str">
        <f>IF(B259="","",_xlfn.LET(_xlpm.bc,IFERROR(IF(VLOOKUP(BC259,Потребители_обозначение,6,FALSE)=0,"",VLOOKUP(BC259,Потребители_обозначение,6,FALSE)&amp;""),""),IF(AND(GA259="да",OR(_xlpm.bc="",_xlpm.bc="мс")),Марка_пож,IF(AND(_xlpm.bc="",BH259&lt;&gt;""),"мс",_xlpm.bc))))</f>
        <v/>
      </c>
      <c r="BZ259" t="str">
        <f t="shared" ref="BZ259:BZ322" si="570">IF(TRIM(AN259&amp;"")="",BY259,AN259)</f>
        <v>мс</v>
      </c>
      <c r="CA259">
        <f>IF(B259="","",_xlfn.LET(_xlpm.cc,IFERROR(N(VLOOKUP(BC259,Потребители_обозначение,7,FALSE)),0),IF(_xlpm.cc&gt;0,_xlpm.cc,IF(BZ259="","",IF(BV259=1,2,IF(N(BX259)=3,5,3))))))</f>
        <v>3</v>
      </c>
      <c r="CB259">
        <f t="shared" ref="CB259:CB322" si="571">IF(TRIM(AO259&amp;"")="",CA259,AO259)</f>
        <v>3</v>
      </c>
      <c r="CC259">
        <f>IFERROR(N(VLOOKUP(BC259,Потребители_обозначение,10,FALSE)),0)</f>
        <v>0</v>
      </c>
      <c r="CD259">
        <f>IFERROR(VLOOKUP(BC259,Потребители_обозначение,5,FALSE),0)</f>
        <v>1</v>
      </c>
      <c r="CE259" s="6" cm="1">
        <f t="array" ref="CE259">IF(B259="","",IF(BH259&lt;&gt;"",IFERROR(_xlfn.XLOOKUP(BH259,Щиты[Щит],Щиты[cos φ]),0.95),IF(BP259=1,IFERROR(_xlfn.XLOOKUP(A259,Щиты[Щит],Щиты[cos φ]),0.95),IF(ISNUMBER(AD259),AD259,IFERROR(IF(CD259=2,_xlfn.IFS(BX259=3,VLOOKUP(BS259,Справочная_двигатели,8,FALSE),BX259=1,VLOOKUP(BS259,Справочная_двигатели,10,TRUE)),IF(AND(Методика="нормы 2026",FG259="Сил"),0.8,0.95)),0.95)))))</f>
        <v>0.95</v>
      </c>
      <c r="CF259">
        <f t="shared" ref="CF259:CF322" si="572">IF(OR(TRIM(F259&amp;"")="гр",TRIM(F259&amp;"")="=",TRIM(F259&amp;"")="^",TRIM(F259&amp;"")="↑"),1,0)</f>
        <v>0</v>
      </c>
      <c r="CG259">
        <f t="shared" ref="CG259:CG322" si="573">IF(AND(B259&lt;&gt;"",CF259=0),1,0)</f>
        <v>1</v>
      </c>
      <c r="CH259">
        <f t="shared" ref="CH259:CH322" si="574">IF(B259="",0,IF(TRIM(F259&amp;"")="узо",1,0))</f>
        <v>0</v>
      </c>
      <c r="CI259">
        <f>IF(B259="","",IF(BV259=1,IFERROR(BS259/((Uн_лин/SQRT(3))*MAX(0.5,N(CE259))),0),N(O259)))</f>
        <v>0.54696341291648753</v>
      </c>
      <c r="CJ259">
        <f t="shared" ref="CJ259:CJ322" si="575">IF(AND(A260=A259,AJ260&lt;&gt;"вручную",OR(B260="",CF260=1)),IF(B260="",0,N(CI260))+N(CJ260),0)</f>
        <v>0</v>
      </c>
      <c r="CK259">
        <f t="shared" ref="CK259:CK322" si="576">IF(AND(A260=A259,AJ260&lt;&gt;"вручную",OR(B260="",CF260=1)),IF(B260="",0,N(BS260))+N(CK260),0)</f>
        <v>0</v>
      </c>
      <c r="CL259">
        <f t="shared" ref="CL259:CL322" si="577">IF(AND(A260=A259,AJ260&lt;&gt;"вручную",OR(B260="",CF260=1)),MAX(IF(B260="",0,N(BX260)),N(CL260)),0)</f>
        <v>0</v>
      </c>
      <c r="CM259">
        <f t="shared" ref="CM259:CM322" si="578">IF(AND(A260=A259,AJ260&lt;&gt;"вручную",OR(B260="",CF260=1)),MAX(IF(B260="",0,N(DB260)),N(CM260)),0)</f>
        <v>0</v>
      </c>
      <c r="CN259">
        <f t="shared" ref="CN259:CN322" si="579">IF(AND(A260=A259,AJ260&lt;&gt;"вручную",OR(B260="",CF260=1)),_xlfn.LET(_xlpm.a_,IF(B260="",0,N(CZ260)),_xlpm.b_,N(CN260),IF(_xlpm.a_=0,_xlpm.b_,IF(_xlpm.b_=0,_xlpm.a_,MIN(_xlpm.a_,_xlpm.b_)))),0)</f>
        <v>0</v>
      </c>
      <c r="CO259">
        <f>IF(BC259="",0,_xlfn.LET(_xlpm.v,IFERROR(_xlfn.XLOOKUP(B259,Коды_код,Коды_мА),IFERROR(_xlfn.XLOOKUP(BC259,Коды_код,Коды_мА),IFERROR(_xlfn.XLOOKUP(LEFT(BC259,2),Коды_код,Коды_мА),""))),IF(_xlpm.v="да",30,IF(ISNUMBER(_xlpm.v),_xlpm.v,0))))</f>
        <v>30</v>
      </c>
      <c r="CP259">
        <f t="shared" ref="CP259:CP322" si="580">IF(B259="","",IF(N(CO259)&gt;0,CO259,""))</f>
        <v>30</v>
      </c>
      <c r="CQ259" t="str">
        <f>_xlfn.LET(_xlpm.k,IFERROR(_xlfn.XLOOKUP(BC259,Коды_код,Коды_утечка)&amp;"",""),IF(_xlpm.k="","дифавтомат",_xlpm.k))</f>
        <v>дифавтомат</v>
      </c>
      <c r="CR259" t="str" cm="1">
        <f t="array" ref="CR259">IF(CG259=0,"",_xlfn.LET(_xlpm.sg,TRIM(_xlfn.TEXTSPLIT(DD259&amp;"",";")),_xlpm.f_,_xlfn._xlws.FILTER(_xlpm.sg,LEFT(_xlpm.sg,3)="УЗО",""),IFERROR(INDEX(_xlpm.f_,1)&amp;"","")))</f>
        <v/>
      </c>
      <c r="CS259" t="str">
        <f t="shared" ref="CS259:CS322" si="581">IF(B259="",IF(OR(OR(BA259=1,A259&lt;&gt;A258),AJ259="вручную"),"",IF(BA259=1,"",CS258)),IF(CG259=1,IF(CH259=1,IF(OR(BA259=1,A259&lt;&gt;A258),"",IF(BA259=1,"",CS258)),IF(CR259&lt;&gt;"",BA259,"")),IF(AND(NOT(OR(BA259=1,A259&lt;&gt;A258)),AJ259&lt;&gt;"вручную",IF(BA259=1,"",DS258)="ok"),IF(BA259=1,"",CS258),"")))</f>
        <v/>
      </c>
      <c r="CT259" s="6" t="str" cm="1">
        <f t="array" ref="CT259">IF(CR259="","",_xlfn.LET(_xlpm.tk,_xlfn.TEXTSPLIT(UPPER(CR259)," ",,TRUE),_xlpm.a_,_xlfn._xlws.FILTER(_xlpm.tk,ISNUMBER(--LEFT(_xlpm.tk,1))*((ISNUMBER(SEARCH("А",_xlpm.tk))+ISNUMBER(SEARCH("A",_xlpm.tk)))&gt;0)*NOT(ISNUMBER(SEARCH("МА",_xlpm.tk)))*NOT(ISNUMBER(SEARCH("MA",_xlpm.tk))),""),IFERROR(--SUBSTITUTE(SUBSTITUTE(INDEX(_xlpm.a_,1),"А",""),"A",""),"")))</f>
        <v/>
      </c>
      <c r="CU259" t="str" cm="1">
        <f t="array" ref="CU259">IF(CR259="","",_xlfn.LET(_xlpm.tk,_xlfn.TEXTSPLIT(UPPER(CR259)," ",,TRUE),_xlpm.a_,_xlfn._xlws.FILTER(_xlpm.tk,ISNUMBER(--LEFT(_xlpm.tk,1))*((ISNUMBER(SEARCH("МА",_xlpm.tk))+ISNUMBER(SEARCH("MA",_xlpm.tk)))&gt;0),""),IFERROR(--SUBSTITUTE(SUBSTITUTE(INDEX(_xlpm.a_,1),"МА",""),"MA",""),30)))</f>
        <v/>
      </c>
      <c r="CV259" t="str">
        <f>IF(CS259="","",IFERROR(_xlfn.XLOOKUP(CS259,Линии[_n],Линии[_УЗО, мА]),30))</f>
        <v/>
      </c>
      <c r="CW259">
        <f>IF(CS259="",0,IF(ISNUMBER(SEARCH("4P",IFERROR(_xlfn.XLOOKUP(CS259,Линии[_n],Линии[_УЗО строки])&amp;"",""))),0,1))</f>
        <v>0</v>
      </c>
      <c r="CX259" t="str">
        <f>IF(AND(CS259&lt;&gt;"",CS259=BA259),SUMIFS(Линии[_ток на 230 В],Линии[_блок УЗО],BA259,Линии[Щит],A259),"")</f>
        <v/>
      </c>
      <c r="CY259" t="str">
        <f>IF(AND(CS259&lt;&gt;"",CS259=BA259),SUMIFS(Линии[_ток утечки линии, мА],Линии[_блок УЗО],BA259,Линии[Щит],A259),"")</f>
        <v/>
      </c>
      <c r="CZ259">
        <f t="shared" ref="CZ259:CZ322" si="582">IF(B259="",0,_xlfn.LET(_xlpm.v,IF(TRIM(Y259&amp;"")="",CP259,Y259),_xlpm.nm,IF(_xlpm.v&amp;""="нет",0,IF(_xlpm.v&amp;""="да",30,IFERROR(--_xlpm.v,0))),IF(OR(CQ259="УЗО на группу",CS259&lt;&gt;""),0,_xlpm.nm)))</f>
        <v>30</v>
      </c>
      <c r="DA259">
        <f t="shared" ref="DA259:DA322" si="583">IF(CG259=0,"",_xlfn.LET(_xlpm.a_,N(CZ259),_xlpm.b_,IF(AJ259="вручную",0,N(CN259)),IF(_xlpm.a_=0,_xlpm.b_,IF(_xlpm.b_=0,_xlpm.a_,MIN(_xlpm.a_,_xlpm.b_)))))</f>
        <v>30</v>
      </c>
      <c r="DB259">
        <f>IF(B259="",0,IFERROR(--_xlfn.XLOOKUP(B259,Коды_код,Коды_минавт),IFERROR(--_xlfn.XLOOKUP(BC259,Коды_код,Коды_минавт),IFERROR(--_xlfn.XLOOKUP(LEFT(BC259,2),Коды_код,Коды_минавт),0))))</f>
        <v>16</v>
      </c>
      <c r="DC259" t="str">
        <f>IF(B259="","",IFERROR(_xlfn.XLOOKUP(BC259,Коды_код,Коды_апп)&amp;"",""))</f>
        <v/>
      </c>
      <c r="DD259" t="str">
        <f t="shared" ref="DD259:DD322" si="584">IF(TRIM(I259&amp;"")="",DC259,I259)</f>
        <v/>
      </c>
      <c r="DE259" t="str" cm="1">
        <f t="array" ref="DE259">IF(TRIM(DD259&amp;"")="","",IFERROR(TRIM(INDEX(_xlfn.TEXTSPLIT(DD259&amp;";;;",";"),1)),""))</f>
        <v/>
      </c>
      <c r="DF259" t="str" cm="1">
        <f t="array" ref="DF259">IF(TRIM(DD259&amp;"")="","",IFERROR(TRIM(INDEX(_xlfn.TEXTSPLIT(DD259&amp;";;;",";"),2)),""))</f>
        <v/>
      </c>
      <c r="DG259" t="str" cm="1">
        <f t="array" ref="DG259">IF(TRIM(DD259&amp;"")="","",IFERROR(TRIM(INDEX(_xlfn.TEXTSPLIT(DD259&amp;";;;",";"),3)),""))</f>
        <v/>
      </c>
      <c r="DH259">
        <f t="shared" ref="DH259:DH322" si="585">IF(DD259="",0,IF(OR(LEFT(DE259,2)="T ",LEFT(DE259,2)="Т ",ISNUMBER(SEARCH("БП",DD259)),ISNUMBER(SEARCH("; T ",DD259)),ISNUMBER(SEARCH("; Т ",DD259))),1,0))</f>
        <v>0</v>
      </c>
      <c r="DI259" t="str">
        <f>IF(B259="","",_xlfn.LET(_xlpm.t,LOWER(AZ259&amp;""),IF(ISNUMBER(SEARCH("dim",_xlpm.t)),"DIM",IF(ISNUMBER(SEARCH("dali",_xlpm.t)),"DALI",IF(OR(ISNUMBER(SEARCH("relay",_xlpm.t)),ISNUMBER(SEARCH("реле",_xlpm.t))),"Relay",IF(ISNUMBER(SEARCH("кнопк",_xlpm.t)),"",IFERROR(_xlfn.XLOOKUP(BC259,Коды_код,Коды_упр)&amp;"","")))))))</f>
        <v/>
      </c>
      <c r="DJ259" t="str">
        <f t="shared" ref="DJ259:DJ322" si="586">IF(TRIM(H259&amp;"")="",DI259,H259)</f>
        <v/>
      </c>
      <c r="DK259">
        <f>IF(B259="","",_xlfn.LET(_xlpm.ig,IF(N(CX259)&gt;0,N(CX259),N(CI259)+IF(AJ259="вручную",0,N(CJ259))),_xlpm.n0,IFERROR(VLOOKUP(_xlpm.ig,Автомат_номиналы,2,TRUE),0),_xlpm.mn,MAX(DB259,IF(AJ259="вручную",0,N(CM259))),MAX(_xlpm.n0,_xlpm.mn,IF(DH259=1,Мин_автомат_БП,0))))</f>
        <v>16</v>
      </c>
      <c r="DL259">
        <f t="shared" ref="DL259:DL322" si="587">IF(B259="","",MAX(N(BX259),IF(AJ259="вручную",0,N(CL259))))</f>
        <v>1</v>
      </c>
      <c r="DM259" t="str">
        <f t="shared" ref="DM259:DM322" si="588">IF(B259="","",IF(N(DL259)&gt;=3,IF(N(DA259)&gt;0,"4P","3P"),IF(N(DA259)&gt;0,"2P","1P")))</f>
        <v>2P</v>
      </c>
      <c r="DN259" t="str">
        <f>_xlfn.LET(_xlpm.cc,UPPER(TRIM(IFERROR(_xlfn.XLOOKUP(BC259,Коды_код,Коды_хар)&amp;"",""))),IF(OR(_xlpm.cc="B",_xlpm.cc="В"),"B",IF(_xlpm.cc="D","D","С")))</f>
        <v>С</v>
      </c>
      <c r="DO259" t="str">
        <f t="shared" ref="DO259:DO322" si="589">IF(B259="","",IF(CG259=0,IF(AND(AND(NOT(OR(BA259=1,A259&lt;&gt;A258)),AJ259&lt;&gt;"вручную",IF(BA259=1,"",DS258)="ok"),IF(BA259=1,"",DU258)&lt;&gt;""),"↑ "&amp;IF(BA259=1,"",DU258),""),IF(N(DK259)=0,"",DM259&amp;" "&amp;DN259&amp;DK259&amp;"А"&amp;IF(N(DA259)&gt;0," "&amp;DA259&amp;"мА",""))))</f>
        <v>2P С16А 30мА</v>
      </c>
      <c r="DP259" t="str">
        <f t="shared" ref="DP259:DP322" si="590">IF(TRIM(G259&amp;"")="",DO259,G259)</f>
        <v>2P С16А 30мА</v>
      </c>
      <c r="DQ259" t="str">
        <f t="shared" ref="DQ259:DQ322" si="591">IF(CG259=0,"",_xlfn.LET(_xlpm.v,TRIM(DP259&amp;""),IF(_xlpm.v="","",IF(ISNUMBER(--_xlpm.v),DM259&amp;" "&amp;DN259&amp;(--_xlpm.v)&amp;"А"&amp;IF(N(DA259)&gt;0," "&amp;DA259&amp;"мА",""),IF(ISNUMBER(SEARCH("P",UPPER(_xlpm.v))),_xlpm.v,DM259&amp;" "&amp;_xlpm.v)))))</f>
        <v>2P С16А 30мА</v>
      </c>
      <c r="DR259" cm="1">
        <f t="array" ref="DR259">IF(DQ259="","",_xlfn.LET(_xlpm.t,SUBSTITUTE(SUBSTITUTE(SUBSTITUTE(UPPER(DQ259),"С","C"),"А","A"),"В","B"),_xlpm.tk,_xlfn.TEXTSPLIT(_xlpm.t," "),_xlpm.f,_xlfn._xlws.FILTER(_xlpm.tk,ISNUMBER(--MID(_xlpm.tk,2,1))*ISNUMBER(SEARCH(LEFT(_xlpm.tk,1)&amp;"#","B#C#D#"))*(LEN(_xlpm.tk)&gt;1),""),_xlpm.x,INDEX(_xlpm.f,1),IFERROR(--SUBSTITUTE(MID(_xlpm.x,2,9),"A",""),IFERROR(--SUBSTITUTE(INDEX(_xlfn._xlws.FILTER(_xlpm.tk,ISNUMBER(--SUBSTITUTE(_xlpm.tk,"A","")),""),1),"A",""),""))))</f>
        <v>16</v>
      </c>
      <c r="DS259" t="str">
        <f t="shared" ref="DS259:DS322" si="592">IF(CG259=1,IF(AJ259="вручную","узел","ok"),IF(OR(OR(BA259=1,A259&lt;&gt;A258),AJ259="вручную"),"",IF(BA259=1,"",DS258)))</f>
        <v>ok</v>
      </c>
      <c r="DT259">
        <f t="shared" ref="DT259:DT322" si="593">IF(CG259=1,DR259,IF(AND(NOT(OR(BA259=1,A259&lt;&gt;A258)),AJ259&lt;&gt;"вручную",IF(BA259=1,"",DS258)="ok"),IF(BA259=1,"",DT258),""))</f>
        <v>16</v>
      </c>
      <c r="DU259" t="str">
        <f t="shared" ref="DU259:DU322" si="594">IF(CG259=1,DQ259,IF(AND(NOT(OR(BA259=1,A259&lt;&gt;A258)),AJ259&lt;&gt;"вручную",IF(BA259=1,"",DS258)="ok"),IF(BA259=1,"",DU258),""))</f>
        <v>2P С16А 30мА</v>
      </c>
      <c r="DV259">
        <f t="shared" ref="DV259:DV322" si="595">IF(CG259=1,DA259,IF(AND(NOT(OR(BA259=1,A259&lt;&gt;A258)),AJ259&lt;&gt;"вручную",IF(BA259=1,"",DS258)="ok"),IF(BA259=1,"",DV258),""))</f>
        <v>30</v>
      </c>
      <c r="DW259">
        <f t="shared" ref="DW259:DW322" si="596">IF(OR(N(DV259)&gt;0,CS259&lt;&gt;""),1,0)</f>
        <v>1</v>
      </c>
      <c r="DX259">
        <f t="shared" ref="DX259:DX322" si="597">IF(CG259=1,DH259,IF(AND(NOT(OR(BA259=1,A259&lt;&gt;A258)),AJ259&lt;&gt;"вручную",IF(BA259=1,"",DS258)="ok"),N(IF(BA259=1,"",DX258)),0))</f>
        <v>0</v>
      </c>
      <c r="DY259">
        <f t="shared" ref="DY259:DY322" si="598">IF(CG259=1,IF(N(CX259)&gt;0,N(CX259),N(CI259)+IF(AJ259="вручную",0,N(CJ259))),"")</f>
        <v>0.54696341291648753</v>
      </c>
      <c r="DZ259">
        <f t="shared" ref="DZ259:DZ322" si="599">IF(N(CB259)=1,1,IF(BX259=1,1,IF(N(CB259)&gt;=4,0.92,1)))</f>
        <v>1</v>
      </c>
      <c r="EA259">
        <f>IF(ISNUMBER(AP259),AP259,К_прокл)</f>
        <v>1</v>
      </c>
      <c r="EB259">
        <f t="shared" ref="EB259:EB322" si="600">IF(N(CB259)=1,1,IF(BX259=1,2,3))</f>
        <v>2</v>
      </c>
      <c r="EC259">
        <f>IFERROR(N(VLOOKUP(BZ259,Кабель_обозначение,3,FALSE)),1)</f>
        <v>1</v>
      </c>
      <c r="ED259">
        <f>IFERROR(N(_xlfn.XLOOKUP(A259,Щиты[Щит],Щиты[ΔU до шин, %])),0)</f>
        <v>1.19</v>
      </c>
      <c r="EE259" t="str">
        <f>IFERROR(_xlfn.XLOOKUP(A259,Щиты[Щит],Щиты[Zпетли на шинах, Ом]),"")</f>
        <v/>
      </c>
      <c r="EF259">
        <f>IFERROR(N(_xlfn.XLOOKUP(A259,Щиты[Щит],Щиты[ΔU до шин (подбор), %])),0)</f>
        <v>1.19</v>
      </c>
      <c r="EG259" t="str">
        <f>IFERROR(_xlfn.XLOOKUP(A259,Щиты[Щит],Щиты[Zпетли на шинах (подбор), Ом]),"")</f>
        <v/>
      </c>
      <c r="EH259" t="str">
        <f t="shared" ref="EH259:EH322" si="601">IF(COUNT(AV259,AW259)=0,"",ROUNDUP(SUM(AV259,AW259),0))</f>
        <v/>
      </c>
      <c r="EI259">
        <f t="shared" ref="EI259:EI322" si="602">IF(TRIM(K259&amp;"")="",EH259,K259)</f>
        <v>19</v>
      </c>
      <c r="EJ259">
        <f t="shared" ref="EJ259:EJ322" si="603">IF(BX259=1,2,IF(BX259=3,1,""))</f>
        <v>2</v>
      </c>
      <c r="EK259">
        <f t="shared" ref="EK259:EK322" si="604">IFERROR(ROUND(SIN(ACOS(CE259)),2),"")</f>
        <v>0.31</v>
      </c>
      <c r="EL259" s="6">
        <f>IF(B259="","",IF(BV259=1,dU_LED,IF(IFERROR(_xlfn.XLOOKUP(BC259,Коды_код,Коды_уго),"")="Светильник",3,4)+IF(Методика="нормы 2026",MIN(0.5,MAX(0,N(P259)-100)*0.005),0)))</f>
        <v>4</v>
      </c>
      <c r="EM259" cm="1">
        <f t="array" ref="EM259">IF(OR(B259="",BZ259="",EC259&lt;&gt;1),"",_xlfn.LET(_xlpm.sz,Iдоп_S,_xlpm.t_,CHOOSE(EB259,Iдоп_1ж,Iдоп_2ж,Iдоп_3ж)*DZ259*EA259,_xlpm.dcx,BV259=1,_xlpm.inn,IF(_xlpm.dcx,N(O259),N(DT259)),_xlpm.smin,MAX(1.5,CC259),_xlpm.L_,N(P259)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259)/N(BU259)*100,999),IFERROR(N(EJ259)*(_xlpm.rho*_xlpm.L_/_xlpm.sz*N(CE259)+_xlpm.xx*_xlpm.L_*N(EK259)/1000)*N(O259)/((Uн_лин/SQRT(3))*1000)*100,999)),_xlpm.kz,IF(OR(_xlpm.dcx,DW259=1,NOT(ISNUMBER(EG259)),_xlpm.L_=0,_xlpm.inn=0),1,IFERROR(--(c_min*(Uн_лин*1000/SQRT(3))/(EG259+2*ρкз_Cu*_xlpm.L_/_xlpm.sz)&gt;=HT259*_xlpm.inn),0)),_xlpm.ok,IFERROR((_xlpm.sz&gt;=_xlpm.smin)*(_xlpm.t_&gt;=_xlpm.inn)*IF(_xlpm.L_&gt;0,(_xlpm.du_+IF(_xlpm.dcx,0,EF259)&lt;=EL259+0.00001),1)*_xlpm.kz,0),_xlpm.r_,_xlfn._xlws.FILTER(_xlpm.sz,_xlpm.ok,"не подобрано"),INDEX(_xlpm.r_,1)))</f>
        <v>1.5</v>
      </c>
      <c r="EN259">
        <f t="shared" ref="EN259:EN322" si="605">IF(B259="","",IF(TRIM(J259&amp;"")="",EM259,J259))</f>
        <v>2.5</v>
      </c>
      <c r="EO259" cm="1">
        <f t="array" ref="EO259">IF(OR(B259="",BZ259="",EC259&lt;&gt;1),"",_xlfn.LET(_xlpm.sz,Iдоп_S,_xlpm.t_,CHOOSE(EB259,Iдоп_1ж,Iдоп_2ж,Iдоп_3ж)*DZ259*EA259,_xlpm.ok,IFERROR((_xlpm.sz&gt;=MAX(1.5,CC259))*(_xlpm.t_&gt;=N(DT259)),0),_xlpm.r_,_xlfn._xlws.FILTER(_xlpm.sz,_xlpm.ok,""),INDEX(_xlpm.r_,1)))</f>
        <v>1.5</v>
      </c>
      <c r="EP259" s="6" cm="1">
        <f t="array" ref="EP259">IFERROR(ROUNDUP(N(EJ259)*(_xlfn.XLOOKUP(EO259,INDEX(Кабель_сопротивление,0,1),INDEX(Кабель_сопротивление,0,3))*N(P259)/EO259*N(CE259)+_xlfn.XLOOKUP(EO259,INDEX(Кабель_сопротивление,0,1),INDEX(Кабель_сопротивление,0,2))*N(P259)*N(EK259)/1000)*N(O259)/((Uн_лин/SQRT(3))*1000)*100,2),"")</f>
        <v>0.15000000000000002</v>
      </c>
      <c r="EQ259">
        <f>IFERROR(2*ρкз_Cu*N(P259)/EO259,"")</f>
        <v>0.77146666666666663</v>
      </c>
      <c r="ER259">
        <f>IFERROR(VLOOKUP(EN259,Кабель_сопротивление,3,FALSE),"")</f>
        <v>2.2499999999999999E-2</v>
      </c>
      <c r="ES259">
        <f>IFERROR(VLOOKUP(EN259,Кабель_сопротивление,2,FALSE),"")</f>
        <v>0.1</v>
      </c>
      <c r="ET259">
        <f t="shared" ref="ET259:ET322" si="606">IF(AR259&lt;&gt;"",AR259,IF(OR(EI259="",AT259=""),"",IF(AT259=1,MAX(0,P259-ROUNDUP(N(AW259),0)-4),ROUNDUP(N(AV259),0))))</f>
        <v>19</v>
      </c>
      <c r="EU259">
        <f t="shared" ref="EU259:EU322" si="607">IF(AS259&lt;&gt;"",AS259,IF(OR(EI259="",AT259=""),"",IF(AT259=2,MAX(0,P259-ROUNDUP(N(AV259),0)-4),ROUNDUP(N(AW259),0))))</f>
        <v>0</v>
      </c>
      <c r="EV259">
        <f t="shared" ref="EV259:EV322" si="608">IFERROR(IF(BV259=1,2*ER259*P259/EN259*O259,EJ259*(ER259*P259/EN259*CE259+ES259*P259*EK259/1000)*O259),"")</f>
        <v>0.20651369403440067</v>
      </c>
      <c r="EW259" s="6">
        <f>IFERROR(ROUNDUP(EV259/IF(BV259=1,BU259,(Uн_лин/SQRT(3))*1000)*100,2),"")</f>
        <v>0.09</v>
      </c>
      <c r="EX259" t="str">
        <f>IFERROR(VLOOKUP(BZ259,Кабель_обозначение,2,FALSE),"")</f>
        <v>ВВГнг(А)-LS</v>
      </c>
      <c r="EY259" t="str">
        <f t="shared" ref="EY259:EY322" si="609">IFERROR(IF(EC259=1,IF(ISNUMBER(EN259),EX259&amp;" ("&amp;CB259&amp;"х"&amp;EN259&amp;")",EX259),EX259),"")</f>
        <v>ВВГнг(А)-LS (3х2,5)</v>
      </c>
      <c r="EZ259" t="str">
        <f t="shared" ref="EZ259:EZ322" si="610">IF(OR(B259="",EX259="",AND(BR259&lt;&gt;"",NOT(ISNUMBER(BR259)))),"",IF(N(EN259)=0,EX259,EY259&amp;IF(N(P259)=0,"",CHAR(10)&amp;"L="&amp;P259&amp;"-"&amp;EW259&amp;"%")))</f>
        <v>ВВГнг(А)-LS (3х2,5)
L=22-0,09%</v>
      </c>
      <c r="FA259">
        <f>IFERROR(2*ρкз_Cu*P259/EN259,"")</f>
        <v>0.46288000000000001</v>
      </c>
      <c r="FB259">
        <f t="shared" ref="FB259:FB322" si="611">IFERROR(0.0175*N(P259)/EN259,"")</f>
        <v>0.154</v>
      </c>
      <c r="FC259" s="6" t="str">
        <f>IFERROR(IF(OR(B259="",BV259=1,NOT(ISNUMBER(EN259)),N(P259)=0),"",_xlfn.XLOOKUP(A259,Щиты[Щит],Щиты[Zпетли на шинах, Ом])+FA259),"")</f>
        <v/>
      </c>
      <c r="FD259" s="6" t="str">
        <f>IF(ISNUMBER(FC259),c_min*(Uн_лин*1000/SQRT(3))/FC259,"")</f>
        <v/>
      </c>
      <c r="FE259" s="6" t="str">
        <f>IFERROR(IF(OR(B259="",NOT(ISNUMBER(EN259))),"",1.05*(Uн_лин*1000/SQRT(3))/(_xlfn.XLOOKUP(A259,Щиты[Щит],Щиты[Zmax на шинах, Ом])+FB259)/1000),"")</f>
        <v/>
      </c>
      <c r="FF259" s="6" t="str">
        <f>IF(B259="","",IF(ISNUMBER(AC259),"Сил",IF(IFERROR(_xlfn.XLOOKUP(BC259,Коды_код,Коды_группа)&amp;"","")="","Быт",_xlfn.XLOOKUP(BC259,Коды_код,Коды_группа)&amp;"")))</f>
        <v>Быт</v>
      </c>
      <c r="FG259" s="6" t="str">
        <f t="shared" ref="FG259:FG322" si="612">IF(B259="","",IF(BH259&lt;&gt;"","Щит",IF(TRIM(AB259&amp;"")="",FF259,AB259)))</f>
        <v>Быт</v>
      </c>
      <c r="FH259" s="6">
        <f>IF(FG259="Щит","щит",IF(FG259="","",IF(FG259="Быт",IFERROR(_xlfn.XLOOKUP(A259,Щиты[Щит],Щиты[Кс быт]),1),IF(FG259="Сил",IF(ISNUMBER(AC259),AC259,IF(Методика="нормы 2026",IFERROR(_xlfn.XLOOKUP(A259,Щиты[Щит],Щиты[Кс силовых (табл. 7.5)]),1),1)),IF(OR(FG259="Пост",FG259="Отоп"),1,IF(FG259="ВНГ",0.7,0))))))</f>
        <v>0.57830000000000004</v>
      </c>
      <c r="FI259">
        <f>IF(FG259="","",IF(AND(BP259=1,TRIM(AE259&amp;"")=""),IF(COUNTIFS(Линии[Щит],A259,Линии[Секция (1/2/3)],"&gt;=2")&gt;0,MIN(3,MAX(1,IFERROR(--BD259,1))),1),IFERROR(MIN(3,MAX(1,INT(--AE259))),1)))</f>
        <v>1</v>
      </c>
      <c r="FJ259">
        <f t="shared" ref="FJ259:FJ322" si="613">IF(OR(FG259="",FG259="Нет",FG259="Щит"),0,N(BS259))</f>
        <v>0.12</v>
      </c>
      <c r="FK259">
        <f t="shared" ref="FK259:FK322" si="614">IF(FG259="Быт",N(BS259),0)</f>
        <v>0.12</v>
      </c>
      <c r="FL259">
        <f t="shared" ref="FL259:FL322" si="615">IF(FG259="Сил",N(BS259)*N(FH259),0)</f>
        <v>0</v>
      </c>
      <c r="FM259">
        <f t="shared" ref="FM259:FM322" si="616">IF(FG259="Пост",N(BS259),0)</f>
        <v>0</v>
      </c>
      <c r="FN259">
        <f t="shared" ref="FN259:FN322" si="617">IF(FG259="Отоп",N(BS259),0)</f>
        <v>0</v>
      </c>
      <c r="FO259">
        <f t="shared" ref="FO259:FO322" si="618">IF(FG259="ВНГ",N(BS259)*0.7,0)</f>
        <v>0</v>
      </c>
      <c r="FP259">
        <f t="shared" ref="FP259:FP322" si="619">IF(OR(B259="",FG259="Нет"),0,N(BS259))</f>
        <v>0.12</v>
      </c>
      <c r="FQ259">
        <f t="shared" ref="FQ259:FQ322" si="620">IF(OR(B259="",FG259="Щит",FG259="Нет"),0,N(BS259))</f>
        <v>0.12</v>
      </c>
      <c r="FR259">
        <f t="shared" ref="FR259:FR322" si="621">IF(OR(B259="",FG259="Щит",FG259="Нет"),0,N(BS259)*N(CE259))</f>
        <v>0.11399999999999999</v>
      </c>
      <c r="FS259">
        <f>IF(CG259=1,IF(AND(CH259=1,CW259=1),0,IF(AND(CS259&lt;&gt;"",CS259=BA259,CW259=1),SUMIFS(Линии[_Р линии, кВт],Линии[_блок УЗО],BA259,Линии[Щит],A259),N(BS259)+IF(AJ259="вручную",0,N(CK259)))),0)</f>
        <v>0.12</v>
      </c>
      <c r="FT259" t="str">
        <f t="shared" ref="FT259:FT322" si="622">IF(B259="","",IF(_xlfn.ISFORMULA(L259),"",_xlfn.LET(_xlpm.v,UPPER(SUBSTITUTE(TRIM(L259&amp;"")," ","")),IF(_xlpm.v="","",IF(OR(_xlpm.v="1,2,3",_xlpm.v="L1,L2,L3",_xlpm.v="123",_xlpm.v="3Ф"),"L1,L2,L3",IF(OR(_xlpm.v="1",_xlpm.v="2",_xlpm.v="3"),"L"&amp;_xlpm.v,IF(OR(_xlpm.v="L1",_xlpm.v="L2",_xlpm.v="L3"),_xlpm.v,"")))))))</f>
        <v/>
      </c>
      <c r="FU259" t="str">
        <f>IF(B259="","",IF(CG259=0,IF(BA259=1,"",FW258),IF(AND(CH259=1,CW259=1,CS259&lt;&gt;""),IFERROR(_xlfn.XLOOKUP(CS259,Линии[_n],Линии[_фаза итог]),"L1"),IF(OR(N(DL259)&gt;=3,N(BX259)&gt;=3),"L1,L2,L3",IFERROR(_xlfn.TEXTBEFORE(_xlfn.TEXTAFTER(_xlfn.XLOOKUP(A259,Щиты[Щит],Щиты[_фазы авто]),";"&amp;BA259&amp;":"),";"),"L1")))))</f>
        <v>L1</v>
      </c>
      <c r="FV259" t="str">
        <f t="shared" ref="FV259:FV322" si="623">IF(B259="","",_xlfn.LET(_xlpm.v,UPPER(SUBSTITUTE(TRIM(L259&amp;"")," ","")),IF(_xlpm.v="",FU259,IF(OR(_xlpm.v="1,2,3",_xlpm.v="L1,L2,L3",_xlpm.v="123",_xlpm.v="3Ф"),"L1,L2,L3",IF(OR(_xlpm.v="1",_xlpm.v="2",_xlpm.v="3"),"L"&amp;_xlpm.v,IF(OR(_xlpm.v="L1",_xlpm.v="L2",_xlpm.v="L3"),_xlpm.v,IF(_xlpm.v="УПР","",_xlpm.v)))))))</f>
        <v>L1</v>
      </c>
      <c r="FW259" t="str">
        <f t="shared" ref="FW259:FW322" si="624">IF(CG259=1,FV259,IF(AND(NOT(OR(BA259=1,A259&lt;&gt;A258)),AJ259&lt;&gt;"вручную",IF(BA259=1,"",DS258)="ok"),IF(BA259=1,"",FW258),""))</f>
        <v>L1</v>
      </c>
      <c r="FX259" cm="1">
        <f t="array" ref="FX259">IFERROR(IF(CD259=2,_xlfn.IFS(BX259=3,VLOOKUP(BS259,Справочная_двигатели,3,FALSE),BX259=1,VLOOKUP(BS259,Справочная_двигатели,5,TRUE)),0),0)</f>
        <v>0</v>
      </c>
      <c r="FY259">
        <f>IFERROR(IF(CD259=3,VLOOKUP(BS259,Справочная_ЛЭД,2,TRUE),0),0)</f>
        <v>0</v>
      </c>
      <c r="FZ259" s="6">
        <f t="shared" ref="FZ259:FZ322" si="625">IF(B259="","",IF(FX259=0,FY259,FX259))</f>
        <v>0</v>
      </c>
      <c r="GA259" t="str">
        <f>IF(B259="","",IF(TRIM(AH259&amp;"")&lt;&gt;"",IF(LOWER(TRIM(AH259&amp;""))="да","да","нет"),IF(IFERROR(_xlfn.XLOOKUP(BC259,Коды_код,Коды_пожарная),"")="да","да","нет")))</f>
        <v>нет</v>
      </c>
      <c r="GB259" t="str">
        <f t="shared" ref="GB259:GB322" si="626">IF(AF259&lt;&gt;"",AF259,IF(CG259=1,"",IF(GU259="","",IF(BA259=1,"",GB258))))</f>
        <v/>
      </c>
      <c r="GC259" t="str">
        <f t="shared" ref="GC259:GC322" si="627">IF(B259="","",IF(GB259="","основная",GB259))</f>
        <v>основная</v>
      </c>
      <c r="GD259">
        <f>IF(AND(BP259=1,TRIM(AE259&amp;"")=""),IF(COUNTIFS(Линии[Щит],A259,Линии[Секция (1/2/3)],"&gt;=2")&gt;0,MIN(3,MAX(1,IFERROR(--BD259,1))),1),IFERROR(MIN(3,MAX(1,INT(--AE259))),1))</f>
        <v>1</v>
      </c>
      <c r="GE259" t="str" cm="1">
        <f t="array" ref="GE259">IF(B259="","",_xlfn.LET(_xlpm.t,IFERROR(_xlfn.XLOOKUP(1,(Шины[Шина]=GC259)*(((Шины[Щит]=A259)+(Шины[Щит]=""))&gt;0),Шины[Тип]),"")&amp;"",IF(_xlpm.t&lt;&gt;"",_xlpm.t,IF(ISNUMBER(SEARCH("ИБП",GC259)),"ИБП",IF(ISNUMBER(SEARCH("ДГУ",GC259)),"ДГУ","Ввод "&amp;GD259)))))</f>
        <v>Ввод 1</v>
      </c>
      <c r="GF259" t="str">
        <f t="shared" ref="GF259:GF322" si="628">IF(B259="","",IF(OR(GE259="ИБП",GE259="ДГУ"),GE259,IF(LEFT(GE259,5)="Ввод ",GE259,"Ввод "&amp;GD259)))</f>
        <v>Ввод 1</v>
      </c>
      <c r="GG259" t="str">
        <f>IF(BP259=0,"",IF(TRIM(AG259&amp;"")&lt;&gt;"",TRIM(AG259&amp;""),IF(OR(GE259="ИБП",GE259="ДГУ"),"I особая",_xlfn.XLOOKUP(A259,Щиты[Щит],Щиты[Категория шины «Ввод»],"III"))))</f>
        <v/>
      </c>
      <c r="GH259" t="str">
        <f>IF(A259="","",_xlfn.XLOOKUP(A259,Щиты[Щит],Щиты[Путь],""))</f>
        <v>|ГРЩ-ЖД|ЩР-1|</v>
      </c>
      <c r="GI259" t="str">
        <f>IF(B259="","",IF(AI259&lt;&gt;"",AI259,IF(IFERROR(_xlfn.XLOOKUP(BC259,Коды_код,Коды_вид)&amp;"","")="","Прочее",_xlfn.XLOOKUP(BC259,Коды_код,Коды_вид)&amp;"")))</f>
        <v>Розеточная сеть и бытовые приборы</v>
      </c>
      <c r="GJ259">
        <f>IF(BM259="","",INT((BM259-1)/Столбцов_на_лист)+1)</f>
        <v>3</v>
      </c>
      <c r="GK259" t="str">
        <f t="shared" ref="GK259:GK322" si="629">IF(B259="","",SUBSTITUTE(EZ259,CHAR(10)," "))</f>
        <v>ВВГнг(А)-LS (3х2,5) L=22-0,09%</v>
      </c>
      <c r="GL259">
        <f t="shared" ref="GL259:GL322" si="630">IF(B259="","",IFERROR(--BS259,""))</f>
        <v>0.12</v>
      </c>
      <c r="GM259">
        <f t="shared" ref="GM259:GM322" si="631">IF(B259="","",IFERROR(ROUNDUP(O259,2),""))</f>
        <v>0.55000000000000004</v>
      </c>
      <c r="GN259">
        <f t="shared" ref="GN259:GN322" si="632">IF(B259="","",IFERROR(--BX259,1))</f>
        <v>1</v>
      </c>
      <c r="GO259">
        <f t="shared" ref="GO259:GO322" si="633">IF(OR(AL259="+",AND(B259&lt;&gt;"",B259=IF(BA259=1,"",B258))),1,0)</f>
        <v>0</v>
      </c>
      <c r="GP259">
        <f t="shared" ref="GP259:GP322" si="634">IF(OR(BM259="",AJ259="вручную",AND(BN259="вводной узел",AJ259&lt;&gt;"рисовать")),0,1)</f>
        <v>1</v>
      </c>
      <c r="GQ259">
        <f>IF(BM259="","",IF(AND(CG259=1,GP259=1),COUNTIFS(A$3:A259,A259,CG$3:CG259,1,GP$3:GP259,1),IF(OR(OR(BA259=1,A259&lt;&gt;A258),AJ259="вручную",GP259=0),"",IF(BA259=1,"",GR258))))</f>
        <v>35</v>
      </c>
      <c r="GR259">
        <f t="shared" ref="GR259:GR322" si="635">IF(BM259="",IF(OR(BA259=1,A259&lt;&gt;A258),"",IF(BA259=1,"",GR258)),GQ259)</f>
        <v>35</v>
      </c>
      <c r="GS259">
        <f>IF(B259="","",IFERROR(LOOKUP(INDEX(CHOOSE(EB259,Iдоп_1ж,Iдоп_2ж,Iдоп_3ж),MATCH(EN259,Iдоп_S,0))*DZ259*EA259,{6,10,16,20,25,32,40,50,63,80,100,125,160,200,250,315,400,500,630}),""))</f>
        <v>25</v>
      </c>
      <c r="GT259" t="str">
        <f t="shared" ref="GT259:GT322" si="636">IF(AND(CG259=1,GP259=1,GQ259&lt;&gt;""),IF(N(DA259)&gt;0,"QFD","QF")&amp;GQ259,"")</f>
        <v>QFD35</v>
      </c>
      <c r="GU259" t="str">
        <f t="shared" ref="GU259:GU322" si="637">IF(GT259&lt;&gt;"",GT259,IF(OR(OR(BA259=1,A259&lt;&gt;A258),AJ259="вручную"),"",IF(BA259=1,"",GU258)))</f>
        <v>QFD35</v>
      </c>
      <c r="GV259" t="str">
        <f t="shared" ref="GV259:GV322" si="638">IF(GT259&lt;&gt;"",_xlfn.TEXTJOIN(" → ",TRUE,DE259,DF259,DG259),IF(GU259="","",IF(BA259=1,"",GV258)))</f>
        <v/>
      </c>
      <c r="GW259">
        <f t="shared" ref="GW259:GW322" si="639">IF(GV259="",0,IF(OR(LEFT(GV259,2)="T ",LEFT(GV259,2)="Т ",ISNUMBER(SEARCH("→ T ",GV259)),ISNUMBER(SEARCH("→ Т ",GV259)),ISNUMBER(SEARCH("БП",GV259))),1,0))</f>
        <v>0</v>
      </c>
      <c r="GX259" t="str">
        <f>IF(OR(B259="",DJ259=""),"",IFERROR(_xlfn.XLOOKUP(DJ259,Модули_умолч[Управление],Модули_умолч[Модель])&amp;"",""))</f>
        <v/>
      </c>
      <c r="GY259">
        <f>IF(DJ259="",1,IFERROR(MAX(0,N(_xlfn.XLOOKUP(DJ259,Модули_умолч[Управление],Модули_умолч[Каналов на линию]))),1))</f>
        <v>1</v>
      </c>
      <c r="GZ259" t="str">
        <f t="shared" ref="GZ259:GZ322" si="640">IF(_xlfn.ISFORMULA(AK259),"",TRIM(AK259&amp;""))</f>
        <v/>
      </c>
      <c r="HA259" t="str">
        <f t="shared" ref="HA259:HA322" si="641">IF(GZ259="-","",IF(GZ259&lt;&gt;"","M",IF(AND(NOT(OR(BA259=1,A259&lt;&gt;A258)),IF(BA259=1,"",HA258)="M"),"M",IF(GX259&lt;&gt;"","A",IF(AND(NOT(OR(BA259=1,A259&lt;&gt;A258)),IF(BA259=1,"",HA258)="A",B259="",OR(AL259="р",AL259="+",AL259="=")),"A","")))))</f>
        <v/>
      </c>
      <c r="HB259" t="str">
        <f t="shared" ref="HB259:HB322" si="642">IF(HA259="A",IF(GX259&lt;&gt;"",GX259,IF(BA259=1,"",HB258)),"")</f>
        <v/>
      </c>
      <c r="HC259">
        <f>IF(HB259="",0,IFERROR(N(VLOOKUP(HB259,Модули_спр,3,FALSE)),0))</f>
        <v>0</v>
      </c>
      <c r="HD259" t="str">
        <f t="shared" ref="HD259:HD322" si="643">IF(HA259="A",IF(OR(OR(BA259=1,A259&lt;&gt;A258),IF(BA259=1,"",HA258)&lt;&gt;"A",IF(BA259=1,"",HB258)&lt;&gt;HB259,AND(HC259&gt;0,GY259&gt;0,N(IF(BA259=1,"",HK258))+GY259&gt;HC259)),HB259,""),IF(AND(HA259="",NOT(OR(BA259=1,A259&lt;&gt;A258)),IF(BA259=1,"",HA258)="A",GZ259=""),"-",""))</f>
        <v/>
      </c>
      <c r="HE259" t="str">
        <f t="shared" ref="HE259:HE322" si="644">IF(GZ259&lt;&gt;"",GZ259,HD259)</f>
        <v/>
      </c>
      <c r="HF259" t="str">
        <f>IF(OR(HE259="",HE259="-"),"",IFERROR(VLOOKUP(HE259,Модули_спр,2,FALSE),"R"))</f>
        <v/>
      </c>
      <c r="HG259" t="str">
        <f>IF(HF259="","",HF259&amp;"."&amp;COUNTIFS(A$3:A259,A259,HF$3:HF259,HF259))</f>
        <v/>
      </c>
      <c r="HH259" t="str">
        <f t="shared" ref="HH259:HH322" si="645">IF(HE259="-","",IF(HG259&lt;&gt;"",HG259,IF(OR(BA259=1,A259&lt;&gt;A258),"",IF(BA259=1,"",HH258))))</f>
        <v/>
      </c>
      <c r="HI259" t="str">
        <f t="shared" ref="HI259:HI322" si="646">IF(HH259="","",IF(AND(HE259&lt;&gt;"",HE259&lt;&gt;"-"),HE259,IF(BA259=1,"",HI258)))</f>
        <v/>
      </c>
      <c r="HJ259" t="str">
        <f t="shared" ref="HJ259:HJ322" si="647">IF(AL259="=",IF(BA259=1,"",HK258),IF(ISNUMBER(AL259),AL259,IF(HH259="","",IF(OR(B259&lt;&gt;"",AL259="+",AL259="р"),IF(OR(HG259&lt;&gt;"",IF(BA259=1,"",HK258)=""),1,IF(BA259=1,"",HK258)+IF(GY259=0,0,1)),""))))</f>
        <v/>
      </c>
      <c r="HK259" t="str">
        <f t="shared" ref="HK259:HK322" si="648">IF(HJ259&lt;&gt;"",MAX(HJ259,HJ259+GY259-1),IF(OR(OR(BA259=1,A259&lt;&gt;A258),HE259="-",HG259&lt;&gt;""),"",IF(BA259=1,"",HK258)))</f>
        <v/>
      </c>
      <c r="HL259">
        <f t="shared" ref="HL259:HL322" si="649">IF(OR(AL259="б/к",AJ259="вручную"),0,IF(OR(EZ259&lt;&gt;"",AL259="+",AL259="="),1,0))</f>
        <v>1</v>
      </c>
      <c r="HM259" t="str">
        <f>IF(HL259=1,"XT"&amp;COUNTIFS(A$3:A259,A259,HL$3:HL259,1),"")</f>
        <v>XT35</v>
      </c>
      <c r="HN259" t="str">
        <f t="shared" ref="HN259:HN322" si="650">_xlfn.LET(_xlpm.v,TRIM(M259&amp;""),IF(_xlpm.v="нет","",IF(_xlpm.v="",HM259,_xlpm.v)))</f>
        <v/>
      </c>
      <c r="HO259" t="str">
        <f t="shared" ref="HO259:HO322" si="651">IF(OR(B259&lt;&gt;"",HJ259&lt;&gt;"",HL259=1),GU259,"")</f>
        <v>QFD35</v>
      </c>
      <c r="HP259" t="str">
        <f t="shared" ref="HP259:HP322" si="652">IF(OR(HJ259&lt;&gt;"",AND(HE259&lt;&gt;"",HE259&lt;&gt;"-")),HH259,"")</f>
        <v/>
      </c>
      <c r="HQ259" t="str">
        <f t="shared" ref="HQ259:HQ322" si="653">IF(B259="","",IF(AND(CG259=1,DQ259&lt;&gt;"",DR259=""),"номинал автомата не распознан",IF(DT259="",IF(CF259=1,"«гр»: нет автомата выше",""),IF(AND(CG259=1,N(DY259)&gt;N(DT259)),"ПЕРЕГРУЗ",IF(AND(N(DX259)=0,ISNUMBER(GS259),N(GS259)&lt;N(DT259)),"КАБЕЛЬ НЕ ЗАЩИЩЁН","ok")))))</f>
        <v>ok</v>
      </c>
      <c r="HR259" t="str">
        <f>IF(OR(HJ259="",HH259=""),"",IF(HJ259+MAX(0,GY259-1)&gt;IFERROR(VLOOKUP(HI259,Модули_спр,3,FALSE),99),"ЛИШНИЙ КАНАЛ",IF(AND(AL259&lt;&gt;"=",GY259&gt;0,COUNTIFS(Линии[_модуль гр.],HH259,Линии[Канал (итог)],HJ259,Линии[Канал],"&lt;&gt;=",Линии[Щит],A259)&gt;1),"ДУБЛЬ КАНАЛА","")))</f>
        <v/>
      </c>
      <c r="HS259" s="6" t="str">
        <f t="shared" ref="HS259:HS322" si="654">IFERROR(IF(ISNUMBER(FD259),FD259/N(DT259),""),"")</f>
        <v/>
      </c>
      <c r="HT259">
        <f t="shared" ref="HT259:HT322" si="655">IF(OR(ISNUMBER(SEARCH(" B"," "&amp;DU259)),ISNUMBER(SEARCH(" В"," "&amp;DU259))),5,IF(ISNUMBER(SEARCH(" D"," "&amp;DU259)),20,10))</f>
        <v>10</v>
      </c>
      <c r="HU259" t="str">
        <f t="shared" ref="HU259:HU322" si="656">IF(NOT(ISNUMBER(HS259)),"",IF(HS259&gt;=HT259,"ok",IF(N(DW259)=1,"ok (дифзащита "&amp;IF(CS259&lt;&gt;"",CV259,DV259)&amp;" мА)","мало: Iкз &lt; "&amp;HT259&amp;"·In")))</f>
        <v/>
      </c>
      <c r="HV259">
        <f t="shared" ref="HV259:HV322" si="657">IF(OR(B259="",BH259&lt;&gt;"",BP259=1),0,0.4*N(CI259)+IF(BV259=1,0,0.01*N(P259)))</f>
        <v>0.43878536516659505</v>
      </c>
      <c r="HW259">
        <f t="shared" ref="HW259:HW322" si="658">IF(AND(A260=A259,AJ260&lt;&gt;"вручную",OR(B260="",CF260=1)),IF(B260="",0,N(HV260))+N(HW260),0)</f>
        <v>0</v>
      </c>
      <c r="HX259">
        <f t="shared" ref="HX259:HX322" si="659">IF(BV259=1,N(BU259)+N(EV259),0)</f>
        <v>0</v>
      </c>
      <c r="HY259">
        <f t="shared" ref="HY259:HY322" si="660">IF(BV259=1,(N(BU259)+N(EV259))*N(O259),0)</f>
        <v>0</v>
      </c>
      <c r="HZ259">
        <f t="shared" ref="HZ259:HZ322" si="661">IF(AND(A260=A259,AJ260&lt;&gt;"вручную",OR(B260="",CF260=1)),IF(B260="",0,N(HY260))+N(HZ260),0)</f>
        <v>0</v>
      </c>
      <c r="IA259">
        <f t="shared" ref="IA259:IA322" si="662">IF(AND(A260=A259,AJ260&lt;&gt;"вручную",OR(B260="",CF260=1)),MAX(IF(B260="",0,N(HX260)),N(IA260)),0)</f>
        <v>0</v>
      </c>
      <c r="IB259">
        <f t="shared" ref="IB259:IB322" si="663">IF(AND(A260=A259,AJ260&lt;&gt;"вручную",OR(B260="",CF260=1)),IF(B260="",0,N(BV260))+N(IB260),0)</f>
        <v>0</v>
      </c>
      <c r="IC259" t="str">
        <f t="shared" ref="IC259:IC322" si="664">IF(CG259=0,"",IFERROR(TRIM(MID(DD259,SEARCH("БП",DD259),40)),""))</f>
        <v/>
      </c>
      <c r="ID259" t="str" cm="1">
        <f t="array" ref="ID259">IF(IC259="","",_xlfn.LET(_xlpm.tk,_xlfn.TEXTSPLIT(SUBSTITUTE(SUBSTITUTE(IC259,";"," "),"→"," ")," ",,TRUE),_xlpm.w_,_xlfn._xlws.FILTER(_xlpm.tk,ISNUMBER(--LEFT(_xlpm.tk,1))*((ISNUMBER(SEARCH("W",_xlpm.tk))+ISNUMBER(SEARCH("Вт",_xlpm.tk)))&gt;0),""),IFERROR(--SUBSTITUTE(SUBSTITUTE(UPPER(INDEX(_xlpm.w_,1)),"W",""),"ВТ",""),"")))</f>
        <v/>
      </c>
      <c r="IE259" t="str" cm="1">
        <f t="array" ref="IE259">IF(IC259="","",_xlfn.LET(_xlpm.tk,_xlfn.TEXTSPLIT(SUBSTITUTE(SUBSTITUTE(IC259,";"," "),"→"," ")," ",,TRUE),_xlpm.v_,_xlfn._xlws.FILTER(_xlpm.tk,ISNUMBER(--LEFT(_xlpm.tk,1))*((ISNUMBER(SEARCH("V",_xlpm.tk))+(RIGHT(UPPER(_xlpm.tk))="В"))&gt;0),""),IFERROR(--SUBSTITUTE(SUBSTITUTE(UPPER(INDEX(_xlpm.v_,1)),"V",""),"В",""),"")))</f>
        <v/>
      </c>
      <c r="IF259" s="6" t="str">
        <f>IF(OR(BV259=0,HI259="",HJ259=""),"",IFERROR(N(_xlfn.XLOOKUP(HI259,Каталог!$C$4:$C$500,Каталог!$Q$4:$Q$500)),""))</f>
        <v/>
      </c>
      <c r="IG259" s="6" t="str">
        <f>IF(N(IF259)=0,"",SUMIFS(Линии[Iр, А],Линии[Щит],A259,Линии[_модуль гр.],HH259,Линии[Канал (итог)],HJ259))</f>
        <v/>
      </c>
      <c r="IH259" t="str">
        <f>IF(AND(B259="",HO259=""),"",_xlfn.TEXTJOIN("; ",TRUE,IF(AND(B259&lt;&gt;"",FV259=""),"нет фазы",""),IF(AND(B259&lt;&gt;"",N(GL259)=0,FG259&lt;&gt;"Нет"),"нет мощности",""),IF(AND(HN259&lt;&gt;"",COUNTIFS(Линии[Щит],A259,Линии[Клемма (итог)],HN259)&gt;1),"дубль клеммы "&amp;HN259,""),IF(AND(HQ259&lt;&gt;"",HQ259&lt;&gt;"ok"),HQ259,""),IF(HR259&lt;&gt;"",HR259,""),IF(AND(N(CB259)&gt;=4,N(BX259)=1),CB259&amp;" жил на 1 фазе",""),IF(AND(BC259="R",CG259=1,IF(CS259&lt;&gt;"",N(CV259)&gt;30,OR(N(DA259)=0,N(DA259)&gt;30))),"розетка без дифзащиты до 30 мА",""),IF(AND(CG259=1,N(DA259)&gt;0,ISNUMBER(T259)),IF(T259&gt;N(DA259)/3,"ток утечки "&amp;FIXED(T259,1)&amp;" мА &gt; 1/3 уставки ("&amp;DA259&amp;" мА)",""),""),IF(AND(CH259=1,CS259=""),"«узо»: нет строки с УЗО выше (УЗО 2P 40А 30мА в «Аппаратах»)",""),IF(AND(CS259&lt;&gt;"",CS259=BA259),IF(CT259="","впишите номинал УЗО (УЗО 2P 40А 30мА)",IF(N(CT259)&lt;N(DT259),"УЗО "&amp;CT259&amp;" А &lt; автомата "&amp;DT259&amp;" А перед ним",IF(N(CT259)&lt;N(CX259),"УЗО "&amp;CT259&amp;" А &lt; тока блока "&amp;FIXED(CX259,1)&amp;" А",""))),""),IF(AND(CS259&lt;&gt;"",CS259=BA259,ISNUMBER(CY259)),IF(CY259&gt;N(CV259)/3,"ток утечки блока УЗО "&amp;FIXED(CY259,1)&amp;" мА &gt; 1/3 уставки ("&amp;CV259&amp;" мА)",""),""),IF(AND(CG259=1,N(BV259)+N(IB259)&gt;0,IC259=""),"линии до 50 В без БП: впишите в «Аппараты» (БП 24V 480W)",""),IF(AND(CG259=1,ISNUMBER(ID259),ISNUMBER(U259)),IF(U259&gt;ID259,"БП "&amp;ID259&amp;" Вт &lt; нужно "&amp;U259&amp;" Вт (×"&amp;Запас_БП&amp;")",""),""),IF(AND(CG259=1,ISNUMBER(IE259),N(BV259)=1),IF(IE259&lt;&gt;N(BU259),"БП на "&amp;IE259&amp;" В, линия "&amp;BU259&amp;" В",""),""),IF(AND(N(IF259)&gt;0,N(IG259)&gt;N(IF259)),HH259&amp;" канал "&amp;HJ259&amp;": "&amp;FIXED(IG259,1)&amp;" А &gt; "&amp;IF259&amp;" А",""),IFERROR(IF(AND(ISNUMBER(Q259),Q259&gt;EL259),"потери "&amp;FIXED(Q259,1)&amp;" % &gt; "&amp;EL259&amp;" %",""),""),IFERROR(IF(LEFT(HU259,4)="мало","Iкз мало — отключение &gt; 0,4 с",""),""),IF(AND(B259&lt;&gt;"",BM259=""),"не на схеме",""),IF(AND(CG259=0,B259&lt;&gt;"",FV259&lt;&gt;"",IF(BA259=1,"",FW258)&lt;&gt;"",FV259&lt;&gt;IF(BA259=1,"",FW258)),"фаза не как у автомата группы ("&amp;IF(BA259=1,"",FW258)&amp;")","")))</f>
        <v/>
      </c>
      <c r="II259" s="6">
        <f>IF(OR(CG259=0,DQ259=""),"",_xlfn.LET(_xlpm.t,IFERROR(_xlfn.XLOOKUP(DQ259,Каталог!$U$4:$U$500,Каталог!$G$4:$G$500),""),_xlpm.k,SEARCH("кА",_xlpm.t),IFERROR(--TRIM(RIGHT(SUBSTITUTE(MID(_xlpm.t,MAX(1,_xlpm.k-4),_xlpm.k-MAX(1,_xlpm.k-4))," ",REPT(" ",9)),5)),"")))</f>
        <v>6</v>
      </c>
      <c r="IJ259" t="str">
        <f>IF(OR(II259="",CG259=0),"",IF(_xlfn.XLOOKUP(A259,Щиты[Щит],Щиты[Iкз max на шинах, кА],"")="","",IF(II259&lt;_xlfn.XLOOKUP(A259,Щиты[Щит],Щиты[Iкз max на шинах, кА]),"Icu "&amp;II259&amp;" кА &lt; Iкз max","ok")))</f>
        <v/>
      </c>
      <c r="IK259" t="str">
        <f t="shared" ref="IK259:IK322" si="665">IF(OR(AND(BA259&gt;1,N(BA258)&lt;&gt;BA259-1),AND(BA260&lt;&gt;"",N(BA260)&lt;&gt;BA259+1)),"строки сдвинуты (вставка или удаление) — нажмите «Починить формулы»","")</f>
        <v/>
      </c>
      <c r="IL259" t="str">
        <f t="shared" ref="IL259:IL322" si="666">IF(OR(AJ259="вручную",BM259="",AND(B259="",HN259="")),"",_xlfn.TEXTJOIN("|",TRUE,GU259,SUBSTITUTE(GV259," → ","|"),IF(HH259&lt;&gt;"",HH259&amp;IF(HJ259&lt;&gt;""," к."&amp;HJ259,""),""),HN259))</f>
        <v>QFD35</v>
      </c>
      <c r="IM259" t="str">
        <f t="shared" ref="IM259:IM322" si="667">IF(IL259="","",IL259&amp;IF(B259&lt;&gt;"","|кабель "&amp;EY259&amp;" → "&amp;BJ259,""))</f>
        <v>QFD35|кабель ВВГнг(А)-LS (3х2,5) → Розеточная группа, пом. 014A</v>
      </c>
      <c r="IN259" t="str" cm="1">
        <f t="array" ref="IN259">IF(IM259="","",_xlfn.LET(_xlpm.nd,_xlfn.TEXTSPLIT(IM259,"|"),IF(COLUMNS(_xlpm.nd)&gt;1,A259&amp;"¦"&amp;INDEX(_xlpm.nd,1)&amp;"¦"&amp;INDEX(_xlpm.nd,2),"")))</f>
        <v>ЩР-1¦QFD35¦кабель ВВГнг(А)-LS (3х2,5) → Розеточная группа, пом. 014A</v>
      </c>
      <c r="IO259" t="str">
        <f t="shared" ref="IO259:IO322" si="668">IF(IN259="","",B259&amp;"¦"&amp;BJ259)</f>
        <v>R.1.014A.1¦Розеточная группа, пом. 014A</v>
      </c>
      <c r="IP259" t="str" cm="1">
        <f t="array" ref="IP259">IF(IM259="","",_xlfn.LET(_xlpm.nd,_xlfn.TEXTSPLIT(IM259,"|"),IF(COLUMNS(_xlpm.nd)&gt;2,A259&amp;"¦"&amp;INDEX(_xlpm.nd,2)&amp;"¦"&amp;INDEX(_xlpm.nd,3),"")))</f>
        <v/>
      </c>
      <c r="IQ259" t="str">
        <f t="shared" ref="IQ259:IQ322" si="669">IF(IP259="","",B259&amp;"¦"&amp;BJ259)</f>
        <v/>
      </c>
      <c r="IR259" t="str" cm="1">
        <f t="array" ref="IR259">IF(IM259="","",_xlfn.LET(_xlpm.nd,_xlfn.TEXTSPLIT(IM259,"|"),IF(COLUMNS(_xlpm.nd)&gt;3,A259&amp;"¦"&amp;INDEX(_xlpm.nd,3)&amp;"¦"&amp;INDEX(_xlpm.nd,4),"")))</f>
        <v/>
      </c>
      <c r="IS259" t="str">
        <f t="shared" ref="IS259:IS322" si="670">IF(IR259="","",B259&amp;"¦"&amp;BJ259)</f>
        <v/>
      </c>
      <c r="IT259" t="str" cm="1">
        <f t="array" ref="IT259">IF(IM259="","",_xlfn.LET(_xlpm.nd,_xlfn.TEXTSPLIT(IM259,"|"),IF(COLUMNS(_xlpm.nd)&gt;4,A259&amp;"¦"&amp;INDEX(_xlpm.nd,4)&amp;"¦"&amp;INDEX(_xlpm.nd,5),"")))</f>
        <v/>
      </c>
      <c r="IU259" t="str">
        <f t="shared" ref="IU259:IU322" si="671">IF(IT259="","",B259&amp;"¦"&amp;BJ259)</f>
        <v/>
      </c>
      <c r="IV259" t="str" cm="1">
        <f t="array" ref="IV259">IF(IM259="","",_xlfn.LET(_xlpm.nd,_xlfn.TEXTSPLIT(IM259,"|"),IF(COLUMNS(_xlpm.nd)&gt;5,A259&amp;"¦"&amp;INDEX(_xlpm.nd,5)&amp;"¦"&amp;INDEX(_xlpm.nd,6),"")))</f>
        <v/>
      </c>
      <c r="IW259" t="str">
        <f t="shared" ref="IW259:IW322" si="672">IF(IV259="","",B259&amp;"¦"&amp;BJ259)</f>
        <v/>
      </c>
      <c r="IX259" t="str" cm="1">
        <f t="array" ref="IX259">IF(IM259="","",_xlfn.LET(_xlpm.nd,_xlfn.TEXTSPLIT(IM259,"|"),IF(COLUMNS(_xlpm.nd)&gt;6,A259&amp;"¦"&amp;INDEX(_xlpm.nd,6)&amp;"¦"&amp;INDEX(_xlpm.nd,7),"")))</f>
        <v/>
      </c>
      <c r="IY259" t="str">
        <f t="shared" ref="IY259:IY322" si="673">IF(IX259="","",B259&amp;"¦"&amp;BJ259)</f>
        <v/>
      </c>
      <c r="IZ259" t="str">
        <f t="shared" ref="IZ259:IZ322" si="674">IF(HP259="","",HI259)</f>
        <v/>
      </c>
      <c r="JA259" t="str">
        <f t="shared" ref="JA259:JA322" si="675">IF(AND(B259="",HJ259="",HN259=""),"",_xlfn.TEXTJOIN(" → ",TRUE,GU259,GV259,IF(HH259&lt;&gt;"",HH259&amp;IF(HJ259&lt;&gt;""," к."&amp;HJ259,""),IF(HJ259&lt;&gt;"","к."&amp;HJ259,"")),HN259,IF(GO259=1,"(в кабель выше)","")))</f>
        <v>QFD35</v>
      </c>
      <c r="JB259">
        <f t="shared" ref="JB259:JB322" si="676">IF(AF259="",0,1)</f>
        <v>0</v>
      </c>
      <c r="JC259">
        <f t="shared" ref="JC259:JC322" si="677">IF(GT259="",0,IF(LEFT(GT259,3)="QFD",1,0))</f>
        <v>1</v>
      </c>
      <c r="JD259" t="str">
        <f t="shared" ref="JD259:JD322" si="678">IF(AL259="=","=",IF(AL259="+","+",IF(AL259="р","R","")))</f>
        <v/>
      </c>
      <c r="JE259" t="str">
        <f t="shared" ref="JE259:JE322" si="679">IF(DE259="","",IF(OR(LEFT(DE259,1)="T",LEFT(DE259,1)="Т"),"T",IF(LEFT(UPPER(DE259),2)="БП","PS",IF(OR(LEFT(UPPER(DE259),2)="МК",LEFT(UPPER(DE259),2)="MK"),"MK",IF(OR(LEFT(UPPER(DE259),2)="КМ",LEFT(UPPER(DE259),2)="KM"),"KM","X")))))</f>
        <v/>
      </c>
      <c r="JF259" t="str">
        <f t="shared" ref="JF259:JF322" si="680">IF(DF259="","",IF(OR(LEFT(DF259,1)="T",LEFT(DF259,1)="Т"),"T",IF(LEFT(UPPER(DF259),2)="БП","PS",IF(OR(LEFT(UPPER(DF259),2)="МК",LEFT(UPPER(DF259),2)="MK"),"MK",IF(OR(LEFT(UPPER(DF259),2)="КМ",LEFT(UPPER(DF259),2)="KM"),"KM","X")))))</f>
        <v/>
      </c>
      <c r="JG259" t="str">
        <f t="shared" ref="JG259:JG322" si="681">IF(DG259="","",IF(OR(LEFT(DG259,1)="T",LEFT(DG259,1)="Т"),"T",IF(LEFT(UPPER(DG259),2)="БП","PS",IF(OR(LEFT(UPPER(DG259),2)="МК",LEFT(UPPER(DG259),2)="MK"),"MK",IF(OR(LEFT(UPPER(DG259),2)="КМ",LEFT(UPPER(DG259),2)="KM"),"KM","X")))))</f>
        <v/>
      </c>
      <c r="JH259" t="str">
        <f>IF(B259="","",IFERROR(_xlfn.XLOOKUP(B259,Коды_код,Коды_уго),IFERROR(_xlfn.XLOOKUP(BC259,Коды_код,Коды_уго),IFERROR(_xlfn.XLOOKUP(LEFT(BC259,2),Коды_код,Коды_уго),""))))</f>
        <v>Розетка</v>
      </c>
      <c r="JI259" t="str">
        <f>IF(B259="","",IF(OR(JH259="",JH259=0),"BOX",IFERROR(IF(VLOOKUP(JH259,УГО_блоки,3,FALSE)&amp;""&lt;&gt;"",VLOOKUP(JH259,УГО_блоки,3,FALSE),VLOOKUP(JH259,УГО_блоки,2,FALSE)),JH259)))</f>
        <v>SOCKET</v>
      </c>
      <c r="JJ259">
        <f t="shared" ref="JJ259:JJ322" si="682">IF(B259="",0,1)</f>
        <v>1</v>
      </c>
      <c r="JK259" t="str">
        <f>IF(DQ259="","",IF(COUNTIF(DQ$3:DQ259,DQ259)=1,MAX(JK$2:JK258)+1,""))</f>
        <v/>
      </c>
      <c r="JL259" t="str">
        <f>IF(DE259="","",IF(COUNTIF(DE$3:DE259,DE259)+COUNTIF(DF$2:DF258,DE259)+COUNTIF(DG$2:DG258,DE259)=1,MAX(JL$2:JN258)+1,""))</f>
        <v/>
      </c>
      <c r="JM259" t="str">
        <f>IF(DF259="","",IF(COUNTIF(DE$3:DE259,DF259)+COUNTIF(DF$3:DF259,DF259)+COUNTIF(DG$2:DG258,DF259)=1,MAX(JL$2:JN258,JL259)+1,""))</f>
        <v/>
      </c>
      <c r="JN259" t="str">
        <f>IF(DG259="","",IF(COUNTIF(DE$3:DE259,DG259)+COUNTIF(DF$3:DF259,DG259)+COUNTIF(DG$3:DG259,DG259)=1,MAX(JL$2:JN258,JL259,JM259)+1,""))</f>
        <v/>
      </c>
      <c r="JO259" t="str">
        <f t="shared" ref="JO259:JO322" si="683">IF(HL259=1,IFERROR(MID(GK259,FIND(" (",GK259)+2,FIND(")",GK259,FIND(" (",GK259))-FIND(" (",GK259)-2),"?"),"")</f>
        <v>3х2,5</v>
      </c>
      <c r="JP259" t="str">
        <f>IF(JO259="","",IF(COUNTIF(JO$3:JO259,JO259)=1,MAX(JP$2:JP258)+1,""))</f>
        <v/>
      </c>
      <c r="JQ259" t="str">
        <f>IF(HG259="","",COUNTIF(HG$3:HG259,"?*"))</f>
        <v/>
      </c>
      <c r="JR259" t="str">
        <f>IF(OR(HG259="",HI259=""),"",IF(COUNTIFS(HG$3:HG259,"?*",HI$3:HI259,HI259)=1,MAX(JR$2:JR258)+1,""))</f>
        <v/>
      </c>
      <c r="JS259">
        <f t="shared" ref="JS259:JS322" si="684">IF(IH259="",0,IF(OR(ISNUMBER(SEARCH("дубль",IH259)),ISNUMBER(SEARCH("ПЕРЕГРУЗ",IH259)),ISNUMBER(SEARCH("ЗАЩИЩ",IH259)),ISNUMBER(SEARCH("КАНАЛ",IH259)),ISNUMBER(SEARCH("без диф",IH259))),2,1))</f>
        <v>0</v>
      </c>
      <c r="JT259">
        <f>IF(B259="","",COUNTIF(B$3:B259,"?*"))</f>
        <v>257</v>
      </c>
      <c r="JU259">
        <f>IF(HL259&lt;&gt;1,0,_xlfn.LET(_xlpm.k,MAX(IFERROR(--_xlfn.XLOOKUP(B259,Коды_код,Коды_3L),0),IFERROR(--_xlfn.XLOOKUP(BC259,Коды_код,Коды_3L),0),IFERROR(--_xlfn.XLOOKUP(LEFT(BC259,2),Коды_код,Коды_3L),0)),IF(_xlpm.k&gt;0,_xlpm.k,IF(IFERROR(--LEFT(SUBSTITUTE(JO259,"x","х"),FIND("х",SUBSTITUTE(JO259,"x","х"))-1),3)&gt;3,Каталог!$S$9,1))))</f>
        <v>1</v>
      </c>
      <c r="JV259">
        <f t="shared" ref="JV259:JV322" si="685">IF(HL259&lt;&gt;1,0,MAX(0,IFERROR(--LEFT(SUBSTITUTE(JO259,"x","х"),FIND("х",SUBSTITUTE(JO259,"x","х"))-1),3)-3*JU259))</f>
        <v>0</v>
      </c>
      <c r="JW259" t="str">
        <f t="shared" ref="JW259:JW322" si="686">IF(CG259=1,"авто","")</f>
        <v>авто</v>
      </c>
      <c r="JX259">
        <f t="shared" ref="JX259:JX322" si="687">IF(CG259=1,IF(N(DA259)&gt;0,DA259,""),"")</f>
        <v>30</v>
      </c>
      <c r="JY259">
        <f t="shared" ref="JY259:JY322" si="688">IF(CG259=1,IF(N(DA259)&gt;0,1,0),"")</f>
        <v>1</v>
      </c>
      <c r="JZ259">
        <f t="shared" ref="JZ259:JZ322" si="689">SUBTOTAL(103,A259)</f>
        <v>1</v>
      </c>
    </row>
    <row r="260" spans="1:286" x14ac:dyDescent="0.3">
      <c r="A260" t="s">
        <v>757</v>
      </c>
      <c r="B260" t="s">
        <v>1566</v>
      </c>
      <c r="C260" t="str">
        <f>Линии[[#This Row],[_авто наименование]]</f>
        <v>Розеточная группа, пом. 015A</v>
      </c>
      <c r="D260">
        <v>3</v>
      </c>
      <c r="E260">
        <v>0.24</v>
      </c>
      <c r="G260" t="str">
        <f>Линии[[#This Row],[_авто автомат]]</f>
        <v>2P С16А 30мА</v>
      </c>
      <c r="H260" t="str">
        <f>Линии[[#This Row],[_авто управление]]</f>
        <v/>
      </c>
      <c r="I260" t="str">
        <f>Линии[[#This Row],[_авто аппараты]]</f>
        <v/>
      </c>
      <c r="J260">
        <v>2.5</v>
      </c>
      <c r="K260">
        <v>27</v>
      </c>
      <c r="L260" t="str">
        <f>Линии[[#This Row],[_авто фаза]]</f>
        <v>L3</v>
      </c>
      <c r="M260" t="str">
        <f>Линии[[#This Row],[_авто клемма]]</f>
        <v>XT36</v>
      </c>
      <c r="N260" t="str">
        <f t="shared" si="552"/>
        <v/>
      </c>
      <c r="O260" s="6" cm="1">
        <f t="array" ref="O260">IF(B260="","",IF(BH260&lt;&gt;"",IFERROR(_xlfn.XLOOKUP(BH260,Щиты[Щит],Щиты[Iр, А]),""),IF(BP260=1,IF(OR(N(_xlfn.XLOOKUP(A260,Щиты[Щит],Щиты[Вводов],1))&lt;=1,LOWER(TRIM(_xlfn.XLOOKUP(A260,Щиты[Щит],Щиты[АВР],"")&amp;""))="да"),IFERROR(_xlfn.XLOOKUP(A260,Щиты[Щит],Щиты[Iр, А]),""),IFERROR(N(BS260)*_xlfn.XLOOKUP(A260,Щиты[Щит],Щиты[Кс итог])/(SQRT(3)*Uн_лин*_xlfn.XLOOKUP(A260,Щиты[Щит],Щиты[cos φ])),"")),IF(BV260=1,IFERROR(BS260*1000/BU260,""),IFERROR(_xlfn.IFS(BX260=1,BS260/((Uн_лин/SQRT(3))*CE260),BX260=3,BS260/(SQRT(3)*Uн_лин*CE260)),"")))))</f>
        <v>1.0939268258329751</v>
      </c>
      <c r="P260" s="7">
        <f>IF(B260="","",IFERROR(IF(VLOOKUP(BC260,Потребители_обозначение,4,FALSE)=1,VLOOKUP(BC260,Потребители_обозначение,3,FALSE)*(MAX(1,N(D260))*2-1)+EI260+VLOOKUP(BE260,Этаж_обозначение,3,FALSE)+VLOOKUP(BE260,Этаж_обозначение,4,FALSE),VLOOKUP(BC260,Потребители_обозначение,3,FALSE)*(MAX(1,N(D260))*2-1)+EI260),EI260))</f>
        <v>42</v>
      </c>
      <c r="Q260" s="6">
        <f t="shared" si="553"/>
        <v>1.54</v>
      </c>
      <c r="R260" t="str">
        <f t="shared" si="554"/>
        <v>ВВГнг(А)-LS (3х2,5)</v>
      </c>
      <c r="S260" t="str">
        <f>IF(BM260="","",IF(BN260="вводной узел","узел ","")&amp;"л."&amp;(INT((BM260-1)/Столбцов_на_лист)+1)&amp;" / "&amp;(MOD(BM260-1,Столбцов_на_лист)+1))</f>
        <v>л.3 / 14</v>
      </c>
      <c r="T260" s="119">
        <f t="shared" si="555"/>
        <v>0.9</v>
      </c>
      <c r="U260" s="7" t="str">
        <f>IF(OR(CG260=0,N(BV260)+N(IB260)=0),"",ROUNDUP(Запас_БП*(N(HY260)+N(HZ260)),0))</f>
        <v/>
      </c>
      <c r="V260" s="119" t="str">
        <f t="shared" si="556"/>
        <v/>
      </c>
      <c r="W260" s="7" t="str">
        <f>IFERROR(IF(OR(B260="",BP260=1,BV260=1,NOT(ISNUMBER(EN260)),N(DT260)=0),"",MAX(0,ROUNDDOWN((c_min*(Uн_лин*1000/SQRT(3))/(HT260*N(DT260))-_xlfn.XLOOKUP(A260,Щиты[Щит],Щиты[Zпетли на шинах, Ом]))*EN260/(2*ρкз_Cu),0))),"")</f>
        <v/>
      </c>
      <c r="Y260">
        <f>Линии[[#This Row],[_авто утечка]]</f>
        <v>30</v>
      </c>
      <c r="Z260">
        <v>1</v>
      </c>
      <c r="AA260">
        <v>230</v>
      </c>
      <c r="AB260" t="s">
        <v>562</v>
      </c>
      <c r="AG260" t="s">
        <v>810</v>
      </c>
      <c r="AI260" t="s">
        <v>561</v>
      </c>
      <c r="AK260" t="str">
        <f>Линии[[#This Row],[_авто модуль]]</f>
        <v/>
      </c>
      <c r="AM260">
        <v>48</v>
      </c>
      <c r="AN260" t="s">
        <v>11</v>
      </c>
      <c r="AO260">
        <v>3</v>
      </c>
      <c r="AQ260">
        <v>6</v>
      </c>
      <c r="AR260">
        <v>36</v>
      </c>
      <c r="AS260">
        <v>0</v>
      </c>
      <c r="BA260" cm="1">
        <f t="array" ref="BA260">ROW()-ROW(Линии[#Headers])</f>
        <v>258</v>
      </c>
      <c r="BC260" s="6" t="str">
        <f t="shared" si="557"/>
        <v>R</v>
      </c>
      <c r="BD260" t="str">
        <f t="shared" si="558"/>
        <v>1.015A.1</v>
      </c>
      <c r="BE260" t="str">
        <f t="shared" si="559"/>
        <v>1</v>
      </c>
      <c r="BF260" t="str">
        <f t="shared" si="560"/>
        <v>015A.1</v>
      </c>
      <c r="BG260" t="str">
        <f t="shared" si="561"/>
        <v>015A</v>
      </c>
      <c r="BH260" t="str">
        <f>IF(X260&lt;&gt;"",X260,IF(AND(B260&lt;&gt;"",B260&lt;&gt;A260,ISNUMBER(_xlfn.XMATCH(B260,Щиты[Щит]))),B260,""))</f>
        <v/>
      </c>
      <c r="BI260" t="str" cm="1">
        <f t="array" ref="BI260">IF(B260="","",IF(BH260&lt;&gt;"","Щит "&amp;BH260,_xlfn.LET(_xlpm.nm,IFERROR(_xlfn.XLOOKUP(BC260,Коды_код,Коды_имя)&amp;"",""),_xlpm.md,IFERROR(N(_xlfn.XLOOKUP(BC260,Коды_код,Коды_режим)),1),_xlpm.ex,IF(Имя_режим="по экспликации",IFERROR(_xlfn.XLOOKUP(BE260&amp;"|"&amp;BG260,Экспликация[Этаж]&amp;"|"&amp;Экспликация[Помещение],Экспликация[Название])&amp;"",""),""),_xlpm.rm,IF(BG260="","",IF(_xlpm.ex&lt;&gt;"",". "&amp;_xlpm.ex&amp;IF(Имя_пом="нет"," ("&amp;BG260&amp;")"," (пом. "&amp;BG260&amp;")"),IF(Имя_пом="нет"," ",", пом. ")&amp;BG260)),IF(_xlpm.nm="","",IF(_xlpm.md=2,_xlpm.nm&amp;" шлейф "&amp;BE260,_xlpm.nm&amp;_xlpm.rm)))))</f>
        <v>Розеточная группа, пом. 015A</v>
      </c>
      <c r="BJ260" t="str">
        <f t="shared" si="562"/>
        <v>Розеточная группа, пом. 015A</v>
      </c>
      <c r="BK260">
        <f>IFERROR(_xlfn.XMATCH(A260,Щиты[Щит]),0)</f>
        <v>10</v>
      </c>
      <c r="BL260">
        <f>_xlfn.LET(_xlpm.k,IFERROR(_xlfn.XLOOKUP(A260,Щиты[Щит],Щиты[Мест под вводной узел]),""),IF(_xlpm.k="",Столбцов_на_лист,N(_xlpm.k)))</f>
        <v>8</v>
      </c>
      <c r="BM260">
        <f t="shared" si="563"/>
        <v>48</v>
      </c>
      <c r="BN260" t="str">
        <f t="shared" si="564"/>
        <v>линии</v>
      </c>
      <c r="BO260" s="6">
        <f>IFERROR(N(_xlfn.XLOOKUP(BC260,Коды_код,Коды_квт)),0)</f>
        <v>0</v>
      </c>
      <c r="BP260">
        <f t="shared" si="565"/>
        <v>0</v>
      </c>
      <c r="BQ260" t="str">
        <f>IF(B260="","",IF(BH260&lt;&gt;"",IFERROR(_xlfn.XLOOKUP(BH260,Щиты[Щит],Щиты[Руст, кВт]),0),IF(BP260=1,IF(OR(N(_xlfn.XLOOKUP(A260,Щиты[Щит],Щиты[Вводов],1))&lt;=1,LOWER(TRIM(_xlfn.XLOOKUP(A260,Щиты[Щит],Щиты[АВР],"")&amp;""))="да"),IFERROR(_xlfn.XLOOKUP(A260,Щиты[Щит],Щиты[Руст, кВт]),0),SUMIFS(Линии[_Р для вводов],Линии[Щит],A260,Линии[Источник для режимов],GF260)),IF(BO260&gt;0,ROUND(BO260*MAX(1,N(D260)),3),""))))</f>
        <v/>
      </c>
      <c r="BR260">
        <f t="shared" si="566"/>
        <v>0.24</v>
      </c>
      <c r="BS260" s="6">
        <f>IF(B260="","",IF(BH260&lt;&gt;"",IFERROR(_xlfn.XLOOKUP(BH260,Щиты[Щит],Щиты[Руст, кВт]),0),N(BR260)))</f>
        <v>0.24</v>
      </c>
      <c r="BT260" t="str">
        <f>IF(B260="","",IFERROR(IF(VLOOKUP(BC260,Потребители_обозначение,8,FALSE)=0,"",VLOOKUP(BC260,Потребители_обозначение,8,FALSE)),""))</f>
        <v/>
      </c>
      <c r="BU260">
        <f t="shared" si="567"/>
        <v>230</v>
      </c>
      <c r="BV260">
        <f t="shared" si="568"/>
        <v>0</v>
      </c>
      <c r="BW260">
        <f>IF(B260="","",IF(BH260&lt;&gt;"",3,IFERROR(IF(N(VLOOKUP(BC260,Потребители_обозначение,9,FALSE))=0,1,VLOOKUP(BC260,Потребители_обозначение,9,FALSE)),1)))</f>
        <v>1</v>
      </c>
      <c r="BX260">
        <f t="shared" si="569"/>
        <v>1</v>
      </c>
      <c r="BY260" t="str">
        <f>IF(B260="","",_xlfn.LET(_xlpm.bc,IFERROR(IF(VLOOKUP(BC260,Потребители_обозначение,6,FALSE)=0,"",VLOOKUP(BC260,Потребители_обозначение,6,FALSE)&amp;""),""),IF(AND(GA260="да",OR(_xlpm.bc="",_xlpm.bc="мс")),Марка_пож,IF(AND(_xlpm.bc="",BH260&lt;&gt;""),"мс",_xlpm.bc))))</f>
        <v/>
      </c>
      <c r="BZ260" t="str">
        <f t="shared" si="570"/>
        <v>мс</v>
      </c>
      <c r="CA260">
        <f>IF(B260="","",_xlfn.LET(_xlpm.cc,IFERROR(N(VLOOKUP(BC260,Потребители_обозначение,7,FALSE)),0),IF(_xlpm.cc&gt;0,_xlpm.cc,IF(BZ260="","",IF(BV260=1,2,IF(N(BX260)=3,5,3))))))</f>
        <v>3</v>
      </c>
      <c r="CB260">
        <f t="shared" si="571"/>
        <v>3</v>
      </c>
      <c r="CC260">
        <f>IFERROR(N(VLOOKUP(BC260,Потребители_обозначение,10,FALSE)),0)</f>
        <v>0</v>
      </c>
      <c r="CD260">
        <f>IFERROR(VLOOKUP(BC260,Потребители_обозначение,5,FALSE),0)</f>
        <v>1</v>
      </c>
      <c r="CE260" s="6" cm="1">
        <f t="array" ref="CE260">IF(B260="","",IF(BH260&lt;&gt;"",IFERROR(_xlfn.XLOOKUP(BH260,Щиты[Щит],Щиты[cos φ]),0.95),IF(BP260=1,IFERROR(_xlfn.XLOOKUP(A260,Щиты[Щит],Щиты[cos φ]),0.95),IF(ISNUMBER(AD260),AD260,IFERROR(IF(CD260=2,_xlfn.IFS(BX260=3,VLOOKUP(BS260,Справочная_двигатели,8,FALSE),BX260=1,VLOOKUP(BS260,Справочная_двигатели,10,TRUE)),IF(AND(Методика="нормы 2026",FG260="Сил"),0.8,0.95)),0.95)))))</f>
        <v>0.95</v>
      </c>
      <c r="CF260">
        <f t="shared" si="572"/>
        <v>0</v>
      </c>
      <c r="CG260">
        <f t="shared" si="573"/>
        <v>1</v>
      </c>
      <c r="CH260">
        <f t="shared" si="574"/>
        <v>0</v>
      </c>
      <c r="CI260">
        <f>IF(B260="","",IF(BV260=1,IFERROR(BS260/((Uн_лин/SQRT(3))*MAX(0.5,N(CE260))),0),N(O260)))</f>
        <v>1.0939268258329751</v>
      </c>
      <c r="CJ260">
        <f t="shared" si="575"/>
        <v>0</v>
      </c>
      <c r="CK260">
        <f t="shared" si="576"/>
        <v>0</v>
      </c>
      <c r="CL260">
        <f t="shared" si="577"/>
        <v>0</v>
      </c>
      <c r="CM260">
        <f t="shared" si="578"/>
        <v>0</v>
      </c>
      <c r="CN260">
        <f t="shared" si="579"/>
        <v>0</v>
      </c>
      <c r="CO260">
        <f>IF(BC260="",0,_xlfn.LET(_xlpm.v,IFERROR(_xlfn.XLOOKUP(B260,Коды_код,Коды_мА),IFERROR(_xlfn.XLOOKUP(BC260,Коды_код,Коды_мА),IFERROR(_xlfn.XLOOKUP(LEFT(BC260,2),Коды_код,Коды_мА),""))),IF(_xlpm.v="да",30,IF(ISNUMBER(_xlpm.v),_xlpm.v,0))))</f>
        <v>30</v>
      </c>
      <c r="CP260">
        <f t="shared" si="580"/>
        <v>30</v>
      </c>
      <c r="CQ260" t="str">
        <f>_xlfn.LET(_xlpm.k,IFERROR(_xlfn.XLOOKUP(BC260,Коды_код,Коды_утечка)&amp;"",""),IF(_xlpm.k="","дифавтомат",_xlpm.k))</f>
        <v>дифавтомат</v>
      </c>
      <c r="CR260" t="str" cm="1">
        <f t="array" ref="CR260">IF(CG260=0,"",_xlfn.LET(_xlpm.sg,TRIM(_xlfn.TEXTSPLIT(DD260&amp;"",";")),_xlpm.f_,_xlfn._xlws.FILTER(_xlpm.sg,LEFT(_xlpm.sg,3)="УЗО",""),IFERROR(INDEX(_xlpm.f_,1)&amp;"","")))</f>
        <v/>
      </c>
      <c r="CS260" t="str">
        <f t="shared" si="581"/>
        <v/>
      </c>
      <c r="CT260" s="6" t="str" cm="1">
        <f t="array" ref="CT260">IF(CR260="","",_xlfn.LET(_xlpm.tk,_xlfn.TEXTSPLIT(UPPER(CR260)," ",,TRUE),_xlpm.a_,_xlfn._xlws.FILTER(_xlpm.tk,ISNUMBER(--LEFT(_xlpm.tk,1))*((ISNUMBER(SEARCH("А",_xlpm.tk))+ISNUMBER(SEARCH("A",_xlpm.tk)))&gt;0)*NOT(ISNUMBER(SEARCH("МА",_xlpm.tk)))*NOT(ISNUMBER(SEARCH("MA",_xlpm.tk))),""),IFERROR(--SUBSTITUTE(SUBSTITUTE(INDEX(_xlpm.a_,1),"А",""),"A",""),"")))</f>
        <v/>
      </c>
      <c r="CU260" t="str" cm="1">
        <f t="array" ref="CU260">IF(CR260="","",_xlfn.LET(_xlpm.tk,_xlfn.TEXTSPLIT(UPPER(CR260)," ",,TRUE),_xlpm.a_,_xlfn._xlws.FILTER(_xlpm.tk,ISNUMBER(--LEFT(_xlpm.tk,1))*((ISNUMBER(SEARCH("МА",_xlpm.tk))+ISNUMBER(SEARCH("MA",_xlpm.tk)))&gt;0),""),IFERROR(--SUBSTITUTE(SUBSTITUTE(INDEX(_xlpm.a_,1),"МА",""),"MA",""),30)))</f>
        <v/>
      </c>
      <c r="CV260" t="str">
        <f>IF(CS260="","",IFERROR(_xlfn.XLOOKUP(CS260,Линии[_n],Линии[_УЗО, мА]),30))</f>
        <v/>
      </c>
      <c r="CW260">
        <f>IF(CS260="",0,IF(ISNUMBER(SEARCH("4P",IFERROR(_xlfn.XLOOKUP(CS260,Линии[_n],Линии[_УЗО строки])&amp;"",""))),0,1))</f>
        <v>0</v>
      </c>
      <c r="CX260" t="str">
        <f>IF(AND(CS260&lt;&gt;"",CS260=BA260),SUMIFS(Линии[_ток на 230 В],Линии[_блок УЗО],BA260,Линии[Щит],A260),"")</f>
        <v/>
      </c>
      <c r="CY260" t="str">
        <f>IF(AND(CS260&lt;&gt;"",CS260=BA260),SUMIFS(Линии[_ток утечки линии, мА],Линии[_блок УЗО],BA260,Линии[Щит],A260),"")</f>
        <v/>
      </c>
      <c r="CZ260">
        <f t="shared" si="582"/>
        <v>30</v>
      </c>
      <c r="DA260">
        <f t="shared" si="583"/>
        <v>30</v>
      </c>
      <c r="DB260">
        <f>IF(B260="",0,IFERROR(--_xlfn.XLOOKUP(B260,Коды_код,Коды_минавт),IFERROR(--_xlfn.XLOOKUP(BC260,Коды_код,Коды_минавт),IFERROR(--_xlfn.XLOOKUP(LEFT(BC260,2),Коды_код,Коды_минавт),0))))</f>
        <v>16</v>
      </c>
      <c r="DC260" t="str">
        <f>IF(B260="","",IFERROR(_xlfn.XLOOKUP(BC260,Коды_код,Коды_апп)&amp;"",""))</f>
        <v/>
      </c>
      <c r="DD260" t="str">
        <f t="shared" si="584"/>
        <v/>
      </c>
      <c r="DE260" t="str" cm="1">
        <f t="array" ref="DE260">IF(TRIM(DD260&amp;"")="","",IFERROR(TRIM(INDEX(_xlfn.TEXTSPLIT(DD260&amp;";;;",";"),1)),""))</f>
        <v/>
      </c>
      <c r="DF260" t="str" cm="1">
        <f t="array" ref="DF260">IF(TRIM(DD260&amp;"")="","",IFERROR(TRIM(INDEX(_xlfn.TEXTSPLIT(DD260&amp;";;;",";"),2)),""))</f>
        <v/>
      </c>
      <c r="DG260" t="str" cm="1">
        <f t="array" ref="DG260">IF(TRIM(DD260&amp;"")="","",IFERROR(TRIM(INDEX(_xlfn.TEXTSPLIT(DD260&amp;";;;",";"),3)),""))</f>
        <v/>
      </c>
      <c r="DH260">
        <f t="shared" si="585"/>
        <v>0</v>
      </c>
      <c r="DI260" t="str">
        <f>IF(B260="","",_xlfn.LET(_xlpm.t,LOWER(AZ260&amp;""),IF(ISNUMBER(SEARCH("dim",_xlpm.t)),"DIM",IF(ISNUMBER(SEARCH("dali",_xlpm.t)),"DALI",IF(OR(ISNUMBER(SEARCH("relay",_xlpm.t)),ISNUMBER(SEARCH("реле",_xlpm.t))),"Relay",IF(ISNUMBER(SEARCH("кнопк",_xlpm.t)),"",IFERROR(_xlfn.XLOOKUP(BC260,Коды_код,Коды_упр)&amp;"","")))))))</f>
        <v/>
      </c>
      <c r="DJ260" t="str">
        <f t="shared" si="586"/>
        <v/>
      </c>
      <c r="DK260">
        <f>IF(B260="","",_xlfn.LET(_xlpm.ig,IF(N(CX260)&gt;0,N(CX260),N(CI260)+IF(AJ260="вручную",0,N(CJ260))),_xlpm.n0,IFERROR(VLOOKUP(_xlpm.ig,Автомат_номиналы,2,TRUE),0),_xlpm.mn,MAX(DB260,IF(AJ260="вручную",0,N(CM260))),MAX(_xlpm.n0,_xlpm.mn,IF(DH260=1,Мин_автомат_БП,0))))</f>
        <v>16</v>
      </c>
      <c r="DL260">
        <f t="shared" si="587"/>
        <v>1</v>
      </c>
      <c r="DM260" t="str">
        <f t="shared" si="588"/>
        <v>2P</v>
      </c>
      <c r="DN260" t="str">
        <f>_xlfn.LET(_xlpm.cc,UPPER(TRIM(IFERROR(_xlfn.XLOOKUP(BC260,Коды_код,Коды_хар)&amp;"",""))),IF(OR(_xlpm.cc="B",_xlpm.cc="В"),"B",IF(_xlpm.cc="D","D","С")))</f>
        <v>С</v>
      </c>
      <c r="DO260" t="str">
        <f t="shared" si="589"/>
        <v>2P С16А 30мА</v>
      </c>
      <c r="DP260" t="str">
        <f t="shared" si="590"/>
        <v>2P С16А 30мА</v>
      </c>
      <c r="DQ260" t="str">
        <f t="shared" si="591"/>
        <v>2P С16А 30мА</v>
      </c>
      <c r="DR260" cm="1">
        <f t="array" ref="DR260">IF(DQ260="","",_xlfn.LET(_xlpm.t,SUBSTITUTE(SUBSTITUTE(SUBSTITUTE(UPPER(DQ260),"С","C"),"А","A"),"В","B"),_xlpm.tk,_xlfn.TEXTSPLIT(_xlpm.t," "),_xlpm.f,_xlfn._xlws.FILTER(_xlpm.tk,ISNUMBER(--MID(_xlpm.tk,2,1))*ISNUMBER(SEARCH(LEFT(_xlpm.tk,1)&amp;"#","B#C#D#"))*(LEN(_xlpm.tk)&gt;1),""),_xlpm.x,INDEX(_xlpm.f,1),IFERROR(--SUBSTITUTE(MID(_xlpm.x,2,9),"A",""),IFERROR(--SUBSTITUTE(INDEX(_xlfn._xlws.FILTER(_xlpm.tk,ISNUMBER(--SUBSTITUTE(_xlpm.tk,"A","")),""),1),"A",""),""))))</f>
        <v>16</v>
      </c>
      <c r="DS260" t="str">
        <f t="shared" si="592"/>
        <v>ok</v>
      </c>
      <c r="DT260">
        <f t="shared" si="593"/>
        <v>16</v>
      </c>
      <c r="DU260" t="str">
        <f t="shared" si="594"/>
        <v>2P С16А 30мА</v>
      </c>
      <c r="DV260">
        <f t="shared" si="595"/>
        <v>30</v>
      </c>
      <c r="DW260">
        <f t="shared" si="596"/>
        <v>1</v>
      </c>
      <c r="DX260">
        <f t="shared" si="597"/>
        <v>0</v>
      </c>
      <c r="DY260">
        <f t="shared" si="598"/>
        <v>1.0939268258329751</v>
      </c>
      <c r="DZ260">
        <f t="shared" si="599"/>
        <v>1</v>
      </c>
      <c r="EA260">
        <f>IF(ISNUMBER(AP260),AP260,К_прокл)</f>
        <v>1</v>
      </c>
      <c r="EB260">
        <f t="shared" si="600"/>
        <v>2</v>
      </c>
      <c r="EC260">
        <f>IFERROR(N(VLOOKUP(BZ260,Кабель_обозначение,3,FALSE)),1)</f>
        <v>1</v>
      </c>
      <c r="ED260">
        <f>IFERROR(N(_xlfn.XLOOKUP(A260,Щиты[Щит],Щиты[ΔU до шин, %])),0)</f>
        <v>1.19</v>
      </c>
      <c r="EE260" t="str">
        <f>IFERROR(_xlfn.XLOOKUP(A260,Щиты[Щит],Щиты[Zпетли на шинах, Ом]),"")</f>
        <v/>
      </c>
      <c r="EF260">
        <f>IFERROR(N(_xlfn.XLOOKUP(A260,Щиты[Щит],Щиты[ΔU до шин (подбор), %])),0)</f>
        <v>1.19</v>
      </c>
      <c r="EG260" t="str">
        <f>IFERROR(_xlfn.XLOOKUP(A260,Щиты[Щит],Щиты[Zпетли на шинах (подбор), Ом]),"")</f>
        <v/>
      </c>
      <c r="EH260" t="str">
        <f t="shared" si="601"/>
        <v/>
      </c>
      <c r="EI260">
        <f t="shared" si="602"/>
        <v>27</v>
      </c>
      <c r="EJ260">
        <f t="shared" si="603"/>
        <v>2</v>
      </c>
      <c r="EK260">
        <f t="shared" si="604"/>
        <v>0.31</v>
      </c>
      <c r="EL260" s="6">
        <f>IF(B260="","",IF(BV260=1,dU_LED,IF(IFERROR(_xlfn.XLOOKUP(BC260,Коды_код,Коды_уго),"")="Светильник",3,4)+IF(Методика="нормы 2026",MIN(0.5,MAX(0,N(P260)-100)*0.005),0)))</f>
        <v>4</v>
      </c>
      <c r="EM260" cm="1">
        <f t="array" ref="EM260">IF(OR(B260="",BZ260="",EC260&lt;&gt;1),"",_xlfn.LET(_xlpm.sz,Iдоп_S,_xlpm.t_,CHOOSE(EB260,Iдоп_1ж,Iдоп_2ж,Iдоп_3ж)*DZ260*EA260,_xlpm.dcx,BV260=1,_xlpm.inn,IF(_xlpm.dcx,N(O260),N(DT260)),_xlpm.smin,MAX(1.5,CC260),_xlpm.L_,N(P260)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260)/N(BU260)*100,999),IFERROR(N(EJ260)*(_xlpm.rho*_xlpm.L_/_xlpm.sz*N(CE260)+_xlpm.xx*_xlpm.L_*N(EK260)/1000)*N(O260)/((Uн_лин/SQRT(3))*1000)*100,999)),_xlpm.kz,IF(OR(_xlpm.dcx,DW260=1,NOT(ISNUMBER(EG260)),_xlpm.L_=0,_xlpm.inn=0),1,IFERROR(--(c_min*(Uн_лин*1000/SQRT(3))/(EG260+2*ρкз_Cu*_xlpm.L_/_xlpm.sz)&gt;=HT260*_xlpm.inn),0)),_xlpm.ok,IFERROR((_xlpm.sz&gt;=_xlpm.smin)*(_xlpm.t_&gt;=_xlpm.inn)*IF(_xlpm.L_&gt;0,(_xlpm.du_+IF(_xlpm.dcx,0,EF260)&lt;=EL260+0.00001),1)*_xlpm.kz,0),_xlpm.r_,_xlfn._xlws.FILTER(_xlpm.sz,_xlpm.ok,"не подобрано"),INDEX(_xlpm.r_,1)))</f>
        <v>1.5</v>
      </c>
      <c r="EN260">
        <f t="shared" si="605"/>
        <v>2.5</v>
      </c>
      <c r="EO260" cm="1">
        <f t="array" ref="EO260">IF(OR(B260="",BZ260="",EC260&lt;&gt;1),"",_xlfn.LET(_xlpm.sz,Iдоп_S,_xlpm.t_,CHOOSE(EB260,Iдоп_1ж,Iдоп_2ж,Iдоп_3ж)*DZ260*EA260,_xlpm.ok,IFERROR((_xlpm.sz&gt;=MAX(1.5,CC260))*(_xlpm.t_&gt;=N(DT260)),0),_xlpm.r_,_xlfn._xlws.FILTER(_xlpm.sz,_xlpm.ok,""),INDEX(_xlpm.r_,1)))</f>
        <v>1.5</v>
      </c>
      <c r="EP260" s="6" cm="1">
        <f t="array" ref="EP260">IFERROR(ROUNDUP(N(EJ260)*(_xlfn.XLOOKUP(EO260,INDEX(Кабель_сопротивление,0,1),INDEX(Кабель_сопротивление,0,3))*N(P260)/EO260*N(CE260)+_xlfn.XLOOKUP(EO260,INDEX(Кабель_сопротивление,0,1),INDEX(Кабель_сопротивление,0,2))*N(P260)*N(EK260)/1000)*N(O260)/((Uн_лин/SQRT(3))*1000)*100,2),"")</f>
        <v>0.57000000000000006</v>
      </c>
      <c r="EQ260">
        <f>IFERROR(2*ρкз_Cu*N(P260)/EO260,"")</f>
        <v>1.4728000000000001</v>
      </c>
      <c r="ER260">
        <f>IFERROR(VLOOKUP(EN260,Кабель_сопротивление,3,FALSE),"")</f>
        <v>2.2499999999999999E-2</v>
      </c>
      <c r="ES260">
        <f>IFERROR(VLOOKUP(EN260,Кабель_сопротивление,2,FALSE),"")</f>
        <v>0.1</v>
      </c>
      <c r="ET260">
        <f t="shared" si="606"/>
        <v>36</v>
      </c>
      <c r="EU260">
        <f t="shared" si="607"/>
        <v>0</v>
      </c>
      <c r="EV260">
        <f t="shared" si="608"/>
        <v>0.78850683176771175</v>
      </c>
      <c r="EW260" s="6">
        <f>IFERROR(ROUNDUP(EV260/IF(BV260=1,BU260,(Uн_лин/SQRT(3))*1000)*100,2),"")</f>
        <v>0.35000000000000003</v>
      </c>
      <c r="EX260" t="str">
        <f>IFERROR(VLOOKUP(BZ260,Кабель_обозначение,2,FALSE),"")</f>
        <v>ВВГнг(А)-LS</v>
      </c>
      <c r="EY260" t="str">
        <f t="shared" si="609"/>
        <v>ВВГнг(А)-LS (3х2,5)</v>
      </c>
      <c r="EZ260" t="str">
        <f t="shared" si="610"/>
        <v>ВВГнг(А)-LS (3х2,5)
L=42-0,35%</v>
      </c>
      <c r="FA260">
        <f>IFERROR(2*ρкз_Cu*P260/EN260,"")</f>
        <v>0.88368000000000002</v>
      </c>
      <c r="FB260">
        <f t="shared" si="611"/>
        <v>0.29400000000000004</v>
      </c>
      <c r="FC260" s="6" t="str">
        <f>IFERROR(IF(OR(B260="",BV260=1,NOT(ISNUMBER(EN260)),N(P260)=0),"",_xlfn.XLOOKUP(A260,Щиты[Щит],Щиты[Zпетли на шинах, Ом])+FA260),"")</f>
        <v/>
      </c>
      <c r="FD260" s="6" t="str">
        <f>IF(ISNUMBER(FC260),c_min*(Uн_лин*1000/SQRT(3))/FC260,"")</f>
        <v/>
      </c>
      <c r="FE260" s="6" t="str">
        <f>IFERROR(IF(OR(B260="",NOT(ISNUMBER(EN260))),"",1.05*(Uн_лин*1000/SQRT(3))/(_xlfn.XLOOKUP(A260,Щиты[Щит],Щиты[Zmax на шинах, Ом])+FB260)/1000),"")</f>
        <v/>
      </c>
      <c r="FF260" s="6" t="str">
        <f>IF(B260="","",IF(ISNUMBER(AC260),"Сил",IF(IFERROR(_xlfn.XLOOKUP(BC260,Коды_код,Коды_группа)&amp;"","")="","Быт",_xlfn.XLOOKUP(BC260,Коды_код,Коды_группа)&amp;"")))</f>
        <v>Быт</v>
      </c>
      <c r="FG260" s="6" t="str">
        <f t="shared" si="612"/>
        <v>Быт</v>
      </c>
      <c r="FH260" s="6">
        <f>IF(FG260="Щит","щит",IF(FG260="","",IF(FG260="Быт",IFERROR(_xlfn.XLOOKUP(A260,Щиты[Щит],Щиты[Кс быт]),1),IF(FG260="Сил",IF(ISNUMBER(AC260),AC260,IF(Методика="нормы 2026",IFERROR(_xlfn.XLOOKUP(A260,Щиты[Щит],Щиты[Кс силовых (табл. 7.5)]),1),1)),IF(OR(FG260="Пост",FG260="Отоп"),1,IF(FG260="ВНГ",0.7,0))))))</f>
        <v>0.57830000000000004</v>
      </c>
      <c r="FI260">
        <f>IF(FG260="","",IF(AND(BP260=1,TRIM(AE260&amp;"")=""),IF(COUNTIFS(Линии[Щит],A260,Линии[Секция (1/2/3)],"&gt;=2")&gt;0,MIN(3,MAX(1,IFERROR(--BD260,1))),1),IFERROR(MIN(3,MAX(1,INT(--AE260))),1)))</f>
        <v>1</v>
      </c>
      <c r="FJ260">
        <f t="shared" si="613"/>
        <v>0.24</v>
      </c>
      <c r="FK260">
        <f t="shared" si="614"/>
        <v>0.24</v>
      </c>
      <c r="FL260">
        <f t="shared" si="615"/>
        <v>0</v>
      </c>
      <c r="FM260">
        <f t="shared" si="616"/>
        <v>0</v>
      </c>
      <c r="FN260">
        <f t="shared" si="617"/>
        <v>0</v>
      </c>
      <c r="FO260">
        <f t="shared" si="618"/>
        <v>0</v>
      </c>
      <c r="FP260">
        <f t="shared" si="619"/>
        <v>0.24</v>
      </c>
      <c r="FQ260">
        <f t="shared" si="620"/>
        <v>0.24</v>
      </c>
      <c r="FR260">
        <f t="shared" si="621"/>
        <v>0.22799999999999998</v>
      </c>
      <c r="FS260">
        <f>IF(CG260=1,IF(AND(CH260=1,CW260=1),0,IF(AND(CS260&lt;&gt;"",CS260=BA260,CW260=1),SUMIFS(Линии[_Р линии, кВт],Линии[_блок УЗО],BA260,Линии[Щит],A260),N(BS260)+IF(AJ260="вручную",0,N(CK260)))),0)</f>
        <v>0.24</v>
      </c>
      <c r="FT260" t="str">
        <f t="shared" si="622"/>
        <v/>
      </c>
      <c r="FU260" t="str">
        <f>IF(B260="","",IF(CG260=0,IF(BA260=1,"",FW259),IF(AND(CH260=1,CW260=1,CS260&lt;&gt;""),IFERROR(_xlfn.XLOOKUP(CS260,Линии[_n],Линии[_фаза итог]),"L1"),IF(OR(N(DL260)&gt;=3,N(BX260)&gt;=3),"L1,L2,L3",IFERROR(_xlfn.TEXTBEFORE(_xlfn.TEXTAFTER(_xlfn.XLOOKUP(A260,Щиты[Щит],Щиты[_фазы авто]),";"&amp;BA260&amp;":"),";"),"L1")))))</f>
        <v>L3</v>
      </c>
      <c r="FV260" t="str">
        <f t="shared" si="623"/>
        <v>L3</v>
      </c>
      <c r="FW260" t="str">
        <f t="shared" si="624"/>
        <v>L3</v>
      </c>
      <c r="FX260" cm="1">
        <f t="array" ref="FX260">IFERROR(IF(CD260=2,_xlfn.IFS(BX260=3,VLOOKUP(BS260,Справочная_двигатели,3,FALSE),BX260=1,VLOOKUP(BS260,Справочная_двигатели,5,TRUE)),0),0)</f>
        <v>0</v>
      </c>
      <c r="FY260">
        <f>IFERROR(IF(CD260=3,VLOOKUP(BS260,Справочная_ЛЭД,2,TRUE),0),0)</f>
        <v>0</v>
      </c>
      <c r="FZ260" s="6">
        <f t="shared" si="625"/>
        <v>0</v>
      </c>
      <c r="GA260" t="str">
        <f>IF(B260="","",IF(TRIM(AH260&amp;"")&lt;&gt;"",IF(LOWER(TRIM(AH260&amp;""))="да","да","нет"),IF(IFERROR(_xlfn.XLOOKUP(BC260,Коды_код,Коды_пожарная),"")="да","да","нет")))</f>
        <v>нет</v>
      </c>
      <c r="GB260" t="str">
        <f t="shared" si="626"/>
        <v/>
      </c>
      <c r="GC260" t="str">
        <f t="shared" si="627"/>
        <v>основная</v>
      </c>
      <c r="GD260">
        <f>IF(AND(BP260=1,TRIM(AE260&amp;"")=""),IF(COUNTIFS(Линии[Щит],A260,Линии[Секция (1/2/3)],"&gt;=2")&gt;0,MIN(3,MAX(1,IFERROR(--BD260,1))),1),IFERROR(MIN(3,MAX(1,INT(--AE260))),1))</f>
        <v>1</v>
      </c>
      <c r="GE260" t="str" cm="1">
        <f t="array" ref="GE260">IF(B260="","",_xlfn.LET(_xlpm.t,IFERROR(_xlfn.XLOOKUP(1,(Шины[Шина]=GC260)*(((Шины[Щит]=A260)+(Шины[Щит]=""))&gt;0),Шины[Тип]),"")&amp;"",IF(_xlpm.t&lt;&gt;"",_xlpm.t,IF(ISNUMBER(SEARCH("ИБП",GC260)),"ИБП",IF(ISNUMBER(SEARCH("ДГУ",GC260)),"ДГУ","Ввод "&amp;GD260)))))</f>
        <v>Ввод 1</v>
      </c>
      <c r="GF260" t="str">
        <f t="shared" si="628"/>
        <v>Ввод 1</v>
      </c>
      <c r="GG260" t="str">
        <f>IF(BP260=0,"",IF(TRIM(AG260&amp;"")&lt;&gt;"",TRIM(AG260&amp;""),IF(OR(GE260="ИБП",GE260="ДГУ"),"I особая",_xlfn.XLOOKUP(A260,Щиты[Щит],Щиты[Категория шины «Ввод»],"III"))))</f>
        <v/>
      </c>
      <c r="GH260" t="str">
        <f>IF(A260="","",_xlfn.XLOOKUP(A260,Щиты[Щит],Щиты[Путь],""))</f>
        <v>|ГРЩ-ЖД|ЩР-1|</v>
      </c>
      <c r="GI260" t="str">
        <f>IF(B260="","",IF(AI260&lt;&gt;"",AI260,IF(IFERROR(_xlfn.XLOOKUP(BC260,Коды_код,Коды_вид)&amp;"","")="","Прочее",_xlfn.XLOOKUP(BC260,Коды_код,Коды_вид)&amp;"")))</f>
        <v>Розеточная сеть и бытовые приборы</v>
      </c>
      <c r="GJ260">
        <f>IF(BM260="","",INT((BM260-1)/Столбцов_на_лист)+1)</f>
        <v>3</v>
      </c>
      <c r="GK260" t="str">
        <f t="shared" si="629"/>
        <v>ВВГнг(А)-LS (3х2,5) L=42-0,35%</v>
      </c>
      <c r="GL260">
        <f t="shared" si="630"/>
        <v>0.24</v>
      </c>
      <c r="GM260">
        <f t="shared" si="631"/>
        <v>1.1000000000000001</v>
      </c>
      <c r="GN260">
        <f t="shared" si="632"/>
        <v>1</v>
      </c>
      <c r="GO260">
        <f t="shared" si="633"/>
        <v>0</v>
      </c>
      <c r="GP260">
        <f t="shared" si="634"/>
        <v>1</v>
      </c>
      <c r="GQ260">
        <f>IF(BM260="","",IF(AND(CG260=1,GP260=1),COUNTIFS(A$3:A260,A260,CG$3:CG260,1,GP$3:GP260,1),IF(OR(OR(BA260=1,A260&lt;&gt;A259),AJ260="вручную",GP260=0),"",IF(BA260=1,"",GR259))))</f>
        <v>36</v>
      </c>
      <c r="GR260">
        <f t="shared" si="635"/>
        <v>36</v>
      </c>
      <c r="GS260">
        <f>IF(B260="","",IFERROR(LOOKUP(INDEX(CHOOSE(EB260,Iдоп_1ж,Iдоп_2ж,Iдоп_3ж),MATCH(EN260,Iдоп_S,0))*DZ260*EA260,{6,10,16,20,25,32,40,50,63,80,100,125,160,200,250,315,400,500,630}),""))</f>
        <v>25</v>
      </c>
      <c r="GT260" t="str">
        <f t="shared" si="636"/>
        <v>QFD36</v>
      </c>
      <c r="GU260" t="str">
        <f t="shared" si="637"/>
        <v>QFD36</v>
      </c>
      <c r="GV260" t="str">
        <f t="shared" si="638"/>
        <v/>
      </c>
      <c r="GW260">
        <f t="shared" si="639"/>
        <v>0</v>
      </c>
      <c r="GX260" t="str">
        <f>IF(OR(B260="",DJ260=""),"",IFERROR(_xlfn.XLOOKUP(DJ260,Модули_умолч[Управление],Модули_умолч[Модель])&amp;"",""))</f>
        <v/>
      </c>
      <c r="GY260">
        <f>IF(DJ260="",1,IFERROR(MAX(0,N(_xlfn.XLOOKUP(DJ260,Модули_умолч[Управление],Модули_умолч[Каналов на линию]))),1))</f>
        <v>1</v>
      </c>
      <c r="GZ260" t="str">
        <f t="shared" si="640"/>
        <v/>
      </c>
      <c r="HA260" t="str">
        <f t="shared" si="641"/>
        <v/>
      </c>
      <c r="HB260" t="str">
        <f t="shared" si="642"/>
        <v/>
      </c>
      <c r="HC260">
        <f>IF(HB260="",0,IFERROR(N(VLOOKUP(HB260,Модули_спр,3,FALSE)),0))</f>
        <v>0</v>
      </c>
      <c r="HD260" t="str">
        <f t="shared" si="643"/>
        <v/>
      </c>
      <c r="HE260" t="str">
        <f t="shared" si="644"/>
        <v/>
      </c>
      <c r="HF260" t="str">
        <f>IF(OR(HE260="",HE260="-"),"",IFERROR(VLOOKUP(HE260,Модули_спр,2,FALSE),"R"))</f>
        <v/>
      </c>
      <c r="HG260" t="str">
        <f>IF(HF260="","",HF260&amp;"."&amp;COUNTIFS(A$3:A260,A260,HF$3:HF260,HF260))</f>
        <v/>
      </c>
      <c r="HH260" t="str">
        <f t="shared" si="645"/>
        <v/>
      </c>
      <c r="HI260" t="str">
        <f t="shared" si="646"/>
        <v/>
      </c>
      <c r="HJ260" t="str">
        <f t="shared" si="647"/>
        <v/>
      </c>
      <c r="HK260" t="str">
        <f t="shared" si="648"/>
        <v/>
      </c>
      <c r="HL260">
        <f t="shared" si="649"/>
        <v>1</v>
      </c>
      <c r="HM260" t="str">
        <f>IF(HL260=1,"XT"&amp;COUNTIFS(A$3:A260,A260,HL$3:HL260,1),"")</f>
        <v>XT36</v>
      </c>
      <c r="HN260" t="str">
        <f t="shared" si="650"/>
        <v>XT36</v>
      </c>
      <c r="HO260" t="str">
        <f t="shared" si="651"/>
        <v>QFD36</v>
      </c>
      <c r="HP260" t="str">
        <f t="shared" si="652"/>
        <v/>
      </c>
      <c r="HQ260" t="str">
        <f t="shared" si="653"/>
        <v>ok</v>
      </c>
      <c r="HR260" t="str">
        <f>IF(OR(HJ260="",HH260=""),"",IF(HJ260+MAX(0,GY260-1)&gt;IFERROR(VLOOKUP(HI260,Модули_спр,3,FALSE),99),"ЛИШНИЙ КАНАЛ",IF(AND(AL260&lt;&gt;"=",GY260&gt;0,COUNTIFS(Линии[_модуль гр.],HH260,Линии[Канал (итог)],HJ260,Линии[Канал],"&lt;&gt;=",Линии[Щит],A260)&gt;1),"ДУБЛЬ КАНАЛА","")))</f>
        <v/>
      </c>
      <c r="HS260" s="6" t="str">
        <f t="shared" si="654"/>
        <v/>
      </c>
      <c r="HT260">
        <f t="shared" si="655"/>
        <v>10</v>
      </c>
      <c r="HU260" t="str">
        <f t="shared" si="656"/>
        <v/>
      </c>
      <c r="HV260">
        <f t="shared" si="657"/>
        <v>0.85757073033319009</v>
      </c>
      <c r="HW260">
        <f t="shared" si="658"/>
        <v>0</v>
      </c>
      <c r="HX260">
        <f t="shared" si="659"/>
        <v>0</v>
      </c>
      <c r="HY260">
        <f t="shared" si="660"/>
        <v>0</v>
      </c>
      <c r="HZ260">
        <f t="shared" si="661"/>
        <v>0</v>
      </c>
      <c r="IA260">
        <f t="shared" si="662"/>
        <v>0</v>
      </c>
      <c r="IB260">
        <f t="shared" si="663"/>
        <v>0</v>
      </c>
      <c r="IC260" t="str">
        <f t="shared" si="664"/>
        <v/>
      </c>
      <c r="ID260" t="str" cm="1">
        <f t="array" ref="ID260">IF(IC260="","",_xlfn.LET(_xlpm.tk,_xlfn.TEXTSPLIT(SUBSTITUTE(SUBSTITUTE(IC260,";"," "),"→"," ")," ",,TRUE),_xlpm.w_,_xlfn._xlws.FILTER(_xlpm.tk,ISNUMBER(--LEFT(_xlpm.tk,1))*((ISNUMBER(SEARCH("W",_xlpm.tk))+ISNUMBER(SEARCH("Вт",_xlpm.tk)))&gt;0),""),IFERROR(--SUBSTITUTE(SUBSTITUTE(UPPER(INDEX(_xlpm.w_,1)),"W",""),"ВТ",""),"")))</f>
        <v/>
      </c>
      <c r="IE260" t="str" cm="1">
        <f t="array" ref="IE260">IF(IC260="","",_xlfn.LET(_xlpm.tk,_xlfn.TEXTSPLIT(SUBSTITUTE(SUBSTITUTE(IC260,";"," "),"→"," ")," ",,TRUE),_xlpm.v_,_xlfn._xlws.FILTER(_xlpm.tk,ISNUMBER(--LEFT(_xlpm.tk,1))*((ISNUMBER(SEARCH("V",_xlpm.tk))+(RIGHT(UPPER(_xlpm.tk))="В"))&gt;0),""),IFERROR(--SUBSTITUTE(SUBSTITUTE(UPPER(INDEX(_xlpm.v_,1)),"V",""),"В",""),"")))</f>
        <v/>
      </c>
      <c r="IF260" s="6" t="str">
        <f>IF(OR(BV260=0,HI260="",HJ260=""),"",IFERROR(N(_xlfn.XLOOKUP(HI260,Каталог!$C$4:$C$500,Каталог!$Q$4:$Q$500)),""))</f>
        <v/>
      </c>
      <c r="IG260" s="6" t="str">
        <f>IF(N(IF260)=0,"",SUMIFS(Линии[Iр, А],Линии[Щит],A260,Линии[_модуль гр.],HH260,Линии[Канал (итог)],HJ260))</f>
        <v/>
      </c>
      <c r="IH260" t="str">
        <f>IF(AND(B260="",HO260=""),"",_xlfn.TEXTJOIN("; ",TRUE,IF(AND(B260&lt;&gt;"",FV260=""),"нет фазы",""),IF(AND(B260&lt;&gt;"",N(GL260)=0,FG260&lt;&gt;"Нет"),"нет мощности",""),IF(AND(HN260&lt;&gt;"",COUNTIFS(Линии[Щит],A260,Линии[Клемма (итог)],HN260)&gt;1),"дубль клеммы "&amp;HN260,""),IF(AND(HQ260&lt;&gt;"",HQ260&lt;&gt;"ok"),HQ260,""),IF(HR260&lt;&gt;"",HR260,""),IF(AND(N(CB260)&gt;=4,N(BX260)=1),CB260&amp;" жил на 1 фазе",""),IF(AND(BC260="R",CG260=1,IF(CS260&lt;&gt;"",N(CV260)&gt;30,OR(N(DA260)=0,N(DA260)&gt;30))),"розетка без дифзащиты до 30 мА",""),IF(AND(CG260=1,N(DA260)&gt;0,ISNUMBER(T260)),IF(T260&gt;N(DA260)/3,"ток утечки "&amp;FIXED(T260,1)&amp;" мА &gt; 1/3 уставки ("&amp;DA260&amp;" мА)",""),""),IF(AND(CH260=1,CS260=""),"«узо»: нет строки с УЗО выше (УЗО 2P 40А 30мА в «Аппаратах»)",""),IF(AND(CS260&lt;&gt;"",CS260=BA260),IF(CT260="","впишите номинал УЗО (УЗО 2P 40А 30мА)",IF(N(CT260)&lt;N(DT260),"УЗО "&amp;CT260&amp;" А &lt; автомата "&amp;DT260&amp;" А перед ним",IF(N(CT260)&lt;N(CX260),"УЗО "&amp;CT260&amp;" А &lt; тока блока "&amp;FIXED(CX260,1)&amp;" А",""))),""),IF(AND(CS260&lt;&gt;"",CS260=BA260,ISNUMBER(CY260)),IF(CY260&gt;N(CV260)/3,"ток утечки блока УЗО "&amp;FIXED(CY260,1)&amp;" мА &gt; 1/3 уставки ("&amp;CV260&amp;" мА)",""),""),IF(AND(CG260=1,N(BV260)+N(IB260)&gt;0,IC260=""),"линии до 50 В без БП: впишите в «Аппараты» (БП 24V 480W)",""),IF(AND(CG260=1,ISNUMBER(ID260),ISNUMBER(U260)),IF(U260&gt;ID260,"БП "&amp;ID260&amp;" Вт &lt; нужно "&amp;U260&amp;" Вт (×"&amp;Запас_БП&amp;")",""),""),IF(AND(CG260=1,ISNUMBER(IE260),N(BV260)=1),IF(IE260&lt;&gt;N(BU260),"БП на "&amp;IE260&amp;" В, линия "&amp;BU260&amp;" В",""),""),IF(AND(N(IF260)&gt;0,N(IG260)&gt;N(IF260)),HH260&amp;" канал "&amp;HJ260&amp;": "&amp;FIXED(IG260,1)&amp;" А &gt; "&amp;IF260&amp;" А",""),IFERROR(IF(AND(ISNUMBER(Q260),Q260&gt;EL260),"потери "&amp;FIXED(Q260,1)&amp;" % &gt; "&amp;EL260&amp;" %",""),""),IFERROR(IF(LEFT(HU260,4)="мало","Iкз мало — отключение &gt; 0,4 с",""),""),IF(AND(B260&lt;&gt;"",BM260=""),"не на схеме",""),IF(AND(CG260=0,B260&lt;&gt;"",FV260&lt;&gt;"",IF(BA260=1,"",FW259)&lt;&gt;"",FV260&lt;&gt;IF(BA260=1,"",FW259)),"фаза не как у автомата группы ("&amp;IF(BA260=1,"",FW259)&amp;")","")))</f>
        <v/>
      </c>
      <c r="II260" s="6">
        <f>IF(OR(CG260=0,DQ260=""),"",_xlfn.LET(_xlpm.t,IFERROR(_xlfn.XLOOKUP(DQ260,Каталог!$U$4:$U$500,Каталог!$G$4:$G$500),""),_xlpm.k,SEARCH("кА",_xlpm.t),IFERROR(--TRIM(RIGHT(SUBSTITUTE(MID(_xlpm.t,MAX(1,_xlpm.k-4),_xlpm.k-MAX(1,_xlpm.k-4))," ",REPT(" ",9)),5)),"")))</f>
        <v>6</v>
      </c>
      <c r="IJ260" t="str">
        <f>IF(OR(II260="",CG260=0),"",IF(_xlfn.XLOOKUP(A260,Щиты[Щит],Щиты[Iкз max на шинах, кА],"")="","",IF(II260&lt;_xlfn.XLOOKUP(A260,Щиты[Щит],Щиты[Iкз max на шинах, кА]),"Icu "&amp;II260&amp;" кА &lt; Iкз max","ok")))</f>
        <v/>
      </c>
      <c r="IK260" t="str">
        <f t="shared" si="665"/>
        <v/>
      </c>
      <c r="IL260" t="str">
        <f t="shared" si="666"/>
        <v>QFD36|XT36</v>
      </c>
      <c r="IM260" t="str">
        <f t="shared" si="667"/>
        <v>QFD36|XT36|кабель ВВГнг(А)-LS (3х2,5) → Розеточная группа, пом. 015A</v>
      </c>
      <c r="IN260" t="str" cm="1">
        <f t="array" ref="IN260">IF(IM260="","",_xlfn.LET(_xlpm.nd,_xlfn.TEXTSPLIT(IM260,"|"),IF(COLUMNS(_xlpm.nd)&gt;1,A260&amp;"¦"&amp;INDEX(_xlpm.nd,1)&amp;"¦"&amp;INDEX(_xlpm.nd,2),"")))</f>
        <v>ЩР-1¦QFD36¦XT36</v>
      </c>
      <c r="IO260" t="str">
        <f t="shared" si="668"/>
        <v>R.1.015A.1¦Розеточная группа, пом. 015A</v>
      </c>
      <c r="IP260" t="str" cm="1">
        <f t="array" ref="IP260">IF(IM260="","",_xlfn.LET(_xlpm.nd,_xlfn.TEXTSPLIT(IM260,"|"),IF(COLUMNS(_xlpm.nd)&gt;2,A260&amp;"¦"&amp;INDEX(_xlpm.nd,2)&amp;"¦"&amp;INDEX(_xlpm.nd,3),"")))</f>
        <v>ЩР-1¦XT36¦кабель ВВГнг(А)-LS (3х2,5) → Розеточная группа, пом. 015A</v>
      </c>
      <c r="IQ260" t="str">
        <f t="shared" si="669"/>
        <v>R.1.015A.1¦Розеточная группа, пом. 015A</v>
      </c>
      <c r="IR260" t="str" cm="1">
        <f t="array" ref="IR260">IF(IM260="","",_xlfn.LET(_xlpm.nd,_xlfn.TEXTSPLIT(IM260,"|"),IF(COLUMNS(_xlpm.nd)&gt;3,A260&amp;"¦"&amp;INDEX(_xlpm.nd,3)&amp;"¦"&amp;INDEX(_xlpm.nd,4),"")))</f>
        <v/>
      </c>
      <c r="IS260" t="str">
        <f t="shared" si="670"/>
        <v/>
      </c>
      <c r="IT260" t="str" cm="1">
        <f t="array" ref="IT260">IF(IM260="","",_xlfn.LET(_xlpm.nd,_xlfn.TEXTSPLIT(IM260,"|"),IF(COLUMNS(_xlpm.nd)&gt;4,A260&amp;"¦"&amp;INDEX(_xlpm.nd,4)&amp;"¦"&amp;INDEX(_xlpm.nd,5),"")))</f>
        <v/>
      </c>
      <c r="IU260" t="str">
        <f t="shared" si="671"/>
        <v/>
      </c>
      <c r="IV260" t="str" cm="1">
        <f t="array" ref="IV260">IF(IM260="","",_xlfn.LET(_xlpm.nd,_xlfn.TEXTSPLIT(IM260,"|"),IF(COLUMNS(_xlpm.nd)&gt;5,A260&amp;"¦"&amp;INDEX(_xlpm.nd,5)&amp;"¦"&amp;INDEX(_xlpm.nd,6),"")))</f>
        <v/>
      </c>
      <c r="IW260" t="str">
        <f t="shared" si="672"/>
        <v/>
      </c>
      <c r="IX260" t="str" cm="1">
        <f t="array" ref="IX260">IF(IM260="","",_xlfn.LET(_xlpm.nd,_xlfn.TEXTSPLIT(IM260,"|"),IF(COLUMNS(_xlpm.nd)&gt;6,A260&amp;"¦"&amp;INDEX(_xlpm.nd,6)&amp;"¦"&amp;INDEX(_xlpm.nd,7),"")))</f>
        <v/>
      </c>
      <c r="IY260" t="str">
        <f t="shared" si="673"/>
        <v/>
      </c>
      <c r="IZ260" t="str">
        <f t="shared" si="674"/>
        <v/>
      </c>
      <c r="JA260" t="str">
        <f t="shared" si="675"/>
        <v>QFD36 → XT36</v>
      </c>
      <c r="JB260">
        <f t="shared" si="676"/>
        <v>0</v>
      </c>
      <c r="JC260">
        <f t="shared" si="677"/>
        <v>1</v>
      </c>
      <c r="JD260" t="str">
        <f t="shared" si="678"/>
        <v/>
      </c>
      <c r="JE260" t="str">
        <f t="shared" si="679"/>
        <v/>
      </c>
      <c r="JF260" t="str">
        <f t="shared" si="680"/>
        <v/>
      </c>
      <c r="JG260" t="str">
        <f t="shared" si="681"/>
        <v/>
      </c>
      <c r="JH260" t="str">
        <f>IF(B260="","",IFERROR(_xlfn.XLOOKUP(B260,Коды_код,Коды_уго),IFERROR(_xlfn.XLOOKUP(BC260,Коды_код,Коды_уго),IFERROR(_xlfn.XLOOKUP(LEFT(BC260,2),Коды_код,Коды_уго),""))))</f>
        <v>Розетка</v>
      </c>
      <c r="JI260" t="str">
        <f>IF(B260="","",IF(OR(JH260="",JH260=0),"BOX",IFERROR(IF(VLOOKUP(JH260,УГО_блоки,3,FALSE)&amp;""&lt;&gt;"",VLOOKUP(JH260,УГО_блоки,3,FALSE),VLOOKUP(JH260,УГО_блоки,2,FALSE)),JH260)))</f>
        <v>SOCKET</v>
      </c>
      <c r="JJ260">
        <f t="shared" si="682"/>
        <v>1</v>
      </c>
      <c r="JK260" t="str">
        <f>IF(DQ260="","",IF(COUNTIF(DQ$3:DQ260,DQ260)=1,MAX(JK$2:JK259)+1,""))</f>
        <v/>
      </c>
      <c r="JL260" t="str">
        <f>IF(DE260="","",IF(COUNTIF(DE$3:DE260,DE260)+COUNTIF(DF$2:DF259,DE260)+COUNTIF(DG$2:DG259,DE260)=1,MAX(JL$2:JN259)+1,""))</f>
        <v/>
      </c>
      <c r="JM260" t="str">
        <f>IF(DF260="","",IF(COUNTIF(DE$3:DE260,DF260)+COUNTIF(DF$3:DF260,DF260)+COUNTIF(DG$2:DG259,DF260)=1,MAX(JL$2:JN259,JL260)+1,""))</f>
        <v/>
      </c>
      <c r="JN260" t="str">
        <f>IF(DG260="","",IF(COUNTIF(DE$3:DE260,DG260)+COUNTIF(DF$3:DF260,DG260)+COUNTIF(DG$3:DG260,DG260)=1,MAX(JL$2:JN259,JL260,JM260)+1,""))</f>
        <v/>
      </c>
      <c r="JO260" t="str">
        <f t="shared" si="683"/>
        <v>3х2,5</v>
      </c>
      <c r="JP260" t="str">
        <f>IF(JO260="","",IF(COUNTIF(JO$3:JO260,JO260)=1,MAX(JP$2:JP259)+1,""))</f>
        <v/>
      </c>
      <c r="JQ260" t="str">
        <f>IF(HG260="","",COUNTIF(HG$3:HG260,"?*"))</f>
        <v/>
      </c>
      <c r="JR260" t="str">
        <f>IF(OR(HG260="",HI260=""),"",IF(COUNTIFS(HG$3:HG260,"?*",HI$3:HI260,HI260)=1,MAX(JR$2:JR259)+1,""))</f>
        <v/>
      </c>
      <c r="JS260">
        <f t="shared" si="684"/>
        <v>0</v>
      </c>
      <c r="JT260">
        <f>IF(B260="","",COUNTIF(B$3:B260,"?*"))</f>
        <v>258</v>
      </c>
      <c r="JU260">
        <f>IF(HL260&lt;&gt;1,0,_xlfn.LET(_xlpm.k,MAX(IFERROR(--_xlfn.XLOOKUP(B260,Коды_код,Коды_3L),0),IFERROR(--_xlfn.XLOOKUP(BC260,Коды_код,Коды_3L),0),IFERROR(--_xlfn.XLOOKUP(LEFT(BC260,2),Коды_код,Коды_3L),0)),IF(_xlpm.k&gt;0,_xlpm.k,IF(IFERROR(--LEFT(SUBSTITUTE(JO260,"x","х"),FIND("х",SUBSTITUTE(JO260,"x","х"))-1),3)&gt;3,Каталог!$S$9,1))))</f>
        <v>1</v>
      </c>
      <c r="JV260">
        <f t="shared" si="685"/>
        <v>0</v>
      </c>
      <c r="JW260" t="str">
        <f t="shared" si="686"/>
        <v>авто</v>
      </c>
      <c r="JX260">
        <f t="shared" si="687"/>
        <v>30</v>
      </c>
      <c r="JY260">
        <f t="shared" si="688"/>
        <v>1</v>
      </c>
      <c r="JZ260">
        <f t="shared" si="689"/>
        <v>1</v>
      </c>
    </row>
    <row r="261" spans="1:286" x14ac:dyDescent="0.3">
      <c r="A261" t="s">
        <v>757</v>
      </c>
      <c r="B261" t="s">
        <v>1567</v>
      </c>
      <c r="C261" t="str">
        <f>Линии[[#This Row],[_авто наименование]]</f>
        <v>Розеточная группа, пом. 016A</v>
      </c>
      <c r="D261">
        <v>3</v>
      </c>
      <c r="E261">
        <v>0.48</v>
      </c>
      <c r="G261" t="str">
        <f>Линии[[#This Row],[_авто автомат]]</f>
        <v>2P С16А 30мА</v>
      </c>
      <c r="H261" t="str">
        <f>Линии[[#This Row],[_авто управление]]</f>
        <v/>
      </c>
      <c r="I261" t="str">
        <f>Линии[[#This Row],[_авто аппараты]]</f>
        <v/>
      </c>
      <c r="J261">
        <v>2.5</v>
      </c>
      <c r="K261">
        <v>48</v>
      </c>
      <c r="L261">
        <v>2</v>
      </c>
      <c r="M261" t="str">
        <f>Линии[[#This Row],[_авто клемма]]</f>
        <v>XT37</v>
      </c>
      <c r="N261" t="str">
        <f t="shared" si="552"/>
        <v/>
      </c>
      <c r="O261" s="6" cm="1">
        <f t="array" ref="O261">IF(B261="","",IF(BH261&lt;&gt;"",IFERROR(_xlfn.XLOOKUP(BH261,Щиты[Щит],Щиты[Iр, А]),""),IF(BP261=1,IF(OR(N(_xlfn.XLOOKUP(A261,Щиты[Щит],Щиты[Вводов],1))&lt;=1,LOWER(TRIM(_xlfn.XLOOKUP(A261,Щиты[Щит],Щиты[АВР],"")&amp;""))="да"),IFERROR(_xlfn.XLOOKUP(A261,Щиты[Щит],Щиты[Iр, А]),""),IFERROR(N(BS261)*_xlfn.XLOOKUP(A261,Щиты[Щит],Щиты[Кс итог])/(SQRT(3)*Uн_лин*_xlfn.XLOOKUP(A261,Щиты[Щит],Щиты[cos φ])),"")),IF(BV261=1,IFERROR(BS261*1000/BU261,""),IFERROR(_xlfn.IFS(BX261=1,BS261/((Uн_лин/SQRT(3))*CE261),BX261=3,BS261/(SQRT(3)*Uн_лин*CE261)),"")))))</f>
        <v>2.1878536516659501</v>
      </c>
      <c r="P261" s="7">
        <f>IF(B261="","",IFERROR(IF(VLOOKUP(BC261,Потребители_обозначение,4,FALSE)=1,VLOOKUP(BC261,Потребители_обозначение,3,FALSE)*(MAX(1,N(D261))*2-1)+EI261+VLOOKUP(BE261,Этаж_обозначение,3,FALSE)+VLOOKUP(BE261,Этаж_обозначение,4,FALSE),VLOOKUP(BC261,Потребители_обозначение,3,FALSE)*(MAX(1,N(D261))*2-1)+EI261),EI261))</f>
        <v>63</v>
      </c>
      <c r="Q261" s="6">
        <f t="shared" si="553"/>
        <v>2.2199999999999998</v>
      </c>
      <c r="R261" t="str">
        <f t="shared" si="554"/>
        <v>ВВГнг(А)-LS (3х2,5)</v>
      </c>
      <c r="S261" t="str">
        <f>IF(BM261="","",IF(BN261="вводной узел","узел ","")&amp;"л."&amp;(INT((BM261-1)/Столбцов_на_лист)+1)&amp;" / "&amp;(MOD(BM261-1,Столбцов_на_лист)+1))</f>
        <v>л.3 / 15</v>
      </c>
      <c r="T261" s="119">
        <f t="shared" si="555"/>
        <v>1.5</v>
      </c>
      <c r="U261" s="7" t="str">
        <f>IF(OR(CG261=0,N(BV261)+N(IB261)=0),"",ROUNDUP(Запас_БП*(N(HY261)+N(HZ261)),0))</f>
        <v/>
      </c>
      <c r="V261" s="119" t="str">
        <f t="shared" si="556"/>
        <v/>
      </c>
      <c r="W261" s="7" t="str">
        <f>IFERROR(IF(OR(B261="",BP261=1,BV261=1,NOT(ISNUMBER(EN261)),N(DT261)=0),"",MAX(0,ROUNDDOWN((c_min*(Uн_лин*1000/SQRT(3))/(HT261*N(DT261))-_xlfn.XLOOKUP(A261,Щиты[Щит],Щиты[Zпетли на шинах, Ом]))*EN261/(2*ρкз_Cu),0))),"")</f>
        <v/>
      </c>
      <c r="Y261">
        <f>Линии[[#This Row],[_авто утечка]]</f>
        <v>30</v>
      </c>
      <c r="Z261">
        <v>1</v>
      </c>
      <c r="AA261">
        <v>230</v>
      </c>
      <c r="AB261" t="s">
        <v>562</v>
      </c>
      <c r="AG261" t="s">
        <v>810</v>
      </c>
      <c r="AI261" t="s">
        <v>561</v>
      </c>
      <c r="AK261" t="str">
        <f>Линии[[#This Row],[_авто модуль]]</f>
        <v/>
      </c>
      <c r="AM261">
        <v>49</v>
      </c>
      <c r="AN261" t="s">
        <v>11</v>
      </c>
      <c r="AO261">
        <v>3</v>
      </c>
      <c r="AQ261">
        <v>20</v>
      </c>
      <c r="AR261">
        <v>25</v>
      </c>
      <c r="AS261">
        <v>18</v>
      </c>
      <c r="BA261" cm="1">
        <f t="array" ref="BA261">ROW()-ROW(Линии[#Headers])</f>
        <v>259</v>
      </c>
      <c r="BC261" s="6" t="str">
        <f t="shared" si="557"/>
        <v>R</v>
      </c>
      <c r="BD261" t="str">
        <f t="shared" si="558"/>
        <v>1.016A.1</v>
      </c>
      <c r="BE261" t="str">
        <f t="shared" si="559"/>
        <v>1</v>
      </c>
      <c r="BF261" t="str">
        <f t="shared" si="560"/>
        <v>016A.1</v>
      </c>
      <c r="BG261" t="str">
        <f t="shared" si="561"/>
        <v>016A</v>
      </c>
      <c r="BH261" t="str">
        <f>IF(X261&lt;&gt;"",X261,IF(AND(B261&lt;&gt;"",B261&lt;&gt;A261,ISNUMBER(_xlfn.XMATCH(B261,Щиты[Щит]))),B261,""))</f>
        <v/>
      </c>
      <c r="BI261" t="str" cm="1">
        <f t="array" ref="BI261">IF(B261="","",IF(BH261&lt;&gt;"","Щит "&amp;BH261,_xlfn.LET(_xlpm.nm,IFERROR(_xlfn.XLOOKUP(BC261,Коды_код,Коды_имя)&amp;"",""),_xlpm.md,IFERROR(N(_xlfn.XLOOKUP(BC261,Коды_код,Коды_режим)),1),_xlpm.ex,IF(Имя_режим="по экспликации",IFERROR(_xlfn.XLOOKUP(BE261&amp;"|"&amp;BG261,Экспликация[Этаж]&amp;"|"&amp;Экспликация[Помещение],Экспликация[Название])&amp;"",""),""),_xlpm.rm,IF(BG261="","",IF(_xlpm.ex&lt;&gt;"",". "&amp;_xlpm.ex&amp;IF(Имя_пом="нет"," ("&amp;BG261&amp;")"," (пом. "&amp;BG261&amp;")"),IF(Имя_пом="нет"," ",", пом. ")&amp;BG261)),IF(_xlpm.nm="","",IF(_xlpm.md=2,_xlpm.nm&amp;" шлейф "&amp;BE261,_xlpm.nm&amp;_xlpm.rm)))))</f>
        <v>Розеточная группа, пом. 016A</v>
      </c>
      <c r="BJ261" t="str">
        <f t="shared" si="562"/>
        <v>Розеточная группа, пом. 016A</v>
      </c>
      <c r="BK261">
        <f>IFERROR(_xlfn.XMATCH(A261,Щиты[Щит]),0)</f>
        <v>10</v>
      </c>
      <c r="BL261">
        <f>_xlfn.LET(_xlpm.k,IFERROR(_xlfn.XLOOKUP(A261,Щиты[Щит],Щиты[Мест под вводной узел]),""),IF(_xlpm.k="",Столбцов_на_лист,N(_xlpm.k)))</f>
        <v>8</v>
      </c>
      <c r="BM261">
        <f t="shared" si="563"/>
        <v>49</v>
      </c>
      <c r="BN261" t="str">
        <f t="shared" si="564"/>
        <v>линии</v>
      </c>
      <c r="BO261" s="6">
        <f>IFERROR(N(_xlfn.XLOOKUP(BC261,Коды_код,Коды_квт)),0)</f>
        <v>0</v>
      </c>
      <c r="BP261">
        <f t="shared" si="565"/>
        <v>0</v>
      </c>
      <c r="BQ261" t="str">
        <f>IF(B261="","",IF(BH261&lt;&gt;"",IFERROR(_xlfn.XLOOKUP(BH261,Щиты[Щит],Щиты[Руст, кВт]),0),IF(BP261=1,IF(OR(N(_xlfn.XLOOKUP(A261,Щиты[Щит],Щиты[Вводов],1))&lt;=1,LOWER(TRIM(_xlfn.XLOOKUP(A261,Щиты[Щит],Щиты[АВР],"")&amp;""))="да"),IFERROR(_xlfn.XLOOKUP(A261,Щиты[Щит],Щиты[Руст, кВт]),0),SUMIFS(Линии[_Р для вводов],Линии[Щит],A261,Линии[Источник для режимов],GF261)),IF(BO261&gt;0,ROUND(BO261*MAX(1,N(D261)),3),""))))</f>
        <v/>
      </c>
      <c r="BR261">
        <f t="shared" si="566"/>
        <v>0.48</v>
      </c>
      <c r="BS261" s="6">
        <f>IF(B261="","",IF(BH261&lt;&gt;"",IFERROR(_xlfn.XLOOKUP(BH261,Щиты[Щит],Щиты[Руст, кВт]),0),N(BR261)))</f>
        <v>0.48</v>
      </c>
      <c r="BT261" t="str">
        <f>IF(B261="","",IFERROR(IF(VLOOKUP(BC261,Потребители_обозначение,8,FALSE)=0,"",VLOOKUP(BC261,Потребители_обозначение,8,FALSE)),""))</f>
        <v/>
      </c>
      <c r="BU261">
        <f t="shared" si="567"/>
        <v>230</v>
      </c>
      <c r="BV261">
        <f t="shared" si="568"/>
        <v>0</v>
      </c>
      <c r="BW261">
        <f>IF(B261="","",IF(BH261&lt;&gt;"",3,IFERROR(IF(N(VLOOKUP(BC261,Потребители_обозначение,9,FALSE))=0,1,VLOOKUP(BC261,Потребители_обозначение,9,FALSE)),1)))</f>
        <v>1</v>
      </c>
      <c r="BX261">
        <f t="shared" si="569"/>
        <v>1</v>
      </c>
      <c r="BY261" t="str">
        <f>IF(B261="","",_xlfn.LET(_xlpm.bc,IFERROR(IF(VLOOKUP(BC261,Потребители_обозначение,6,FALSE)=0,"",VLOOKUP(BC261,Потребители_обозначение,6,FALSE)&amp;""),""),IF(AND(GA261="да",OR(_xlpm.bc="",_xlpm.bc="мс")),Марка_пож,IF(AND(_xlpm.bc="",BH261&lt;&gt;""),"мс",_xlpm.bc))))</f>
        <v/>
      </c>
      <c r="BZ261" t="str">
        <f t="shared" si="570"/>
        <v>мс</v>
      </c>
      <c r="CA261">
        <f>IF(B261="","",_xlfn.LET(_xlpm.cc,IFERROR(N(VLOOKUP(BC261,Потребители_обозначение,7,FALSE)),0),IF(_xlpm.cc&gt;0,_xlpm.cc,IF(BZ261="","",IF(BV261=1,2,IF(N(BX261)=3,5,3))))))</f>
        <v>3</v>
      </c>
      <c r="CB261">
        <f t="shared" si="571"/>
        <v>3</v>
      </c>
      <c r="CC261">
        <f>IFERROR(N(VLOOKUP(BC261,Потребители_обозначение,10,FALSE)),0)</f>
        <v>0</v>
      </c>
      <c r="CD261">
        <f>IFERROR(VLOOKUP(BC261,Потребители_обозначение,5,FALSE),0)</f>
        <v>1</v>
      </c>
      <c r="CE261" s="6" cm="1">
        <f t="array" ref="CE261">IF(B261="","",IF(BH261&lt;&gt;"",IFERROR(_xlfn.XLOOKUP(BH261,Щиты[Щит],Щиты[cos φ]),0.95),IF(BP261=1,IFERROR(_xlfn.XLOOKUP(A261,Щиты[Щит],Щиты[cos φ]),0.95),IF(ISNUMBER(AD261),AD261,IFERROR(IF(CD261=2,_xlfn.IFS(BX261=3,VLOOKUP(BS261,Справочная_двигатели,8,FALSE),BX261=1,VLOOKUP(BS261,Справочная_двигатели,10,TRUE)),IF(AND(Методика="нормы 2026",FG261="Сил"),0.8,0.95)),0.95)))))</f>
        <v>0.95</v>
      </c>
      <c r="CF261">
        <f t="shared" si="572"/>
        <v>0</v>
      </c>
      <c r="CG261">
        <f t="shared" si="573"/>
        <v>1</v>
      </c>
      <c r="CH261">
        <f t="shared" si="574"/>
        <v>0</v>
      </c>
      <c r="CI261">
        <f>IF(B261="","",IF(BV261=1,IFERROR(BS261/((Uн_лин/SQRT(3))*MAX(0.5,N(CE261))),0),N(O261)))</f>
        <v>2.1878536516659501</v>
      </c>
      <c r="CJ261">
        <f t="shared" si="575"/>
        <v>0</v>
      </c>
      <c r="CK261">
        <f t="shared" si="576"/>
        <v>0</v>
      </c>
      <c r="CL261">
        <f t="shared" si="577"/>
        <v>0</v>
      </c>
      <c r="CM261">
        <f t="shared" si="578"/>
        <v>0</v>
      </c>
      <c r="CN261">
        <f t="shared" si="579"/>
        <v>0</v>
      </c>
      <c r="CO261">
        <f>IF(BC261="",0,_xlfn.LET(_xlpm.v,IFERROR(_xlfn.XLOOKUP(B261,Коды_код,Коды_мА),IFERROR(_xlfn.XLOOKUP(BC261,Коды_код,Коды_мА),IFERROR(_xlfn.XLOOKUP(LEFT(BC261,2),Коды_код,Коды_мА),""))),IF(_xlpm.v="да",30,IF(ISNUMBER(_xlpm.v),_xlpm.v,0))))</f>
        <v>30</v>
      </c>
      <c r="CP261">
        <f t="shared" si="580"/>
        <v>30</v>
      </c>
      <c r="CQ261" t="str">
        <f>_xlfn.LET(_xlpm.k,IFERROR(_xlfn.XLOOKUP(BC261,Коды_код,Коды_утечка)&amp;"",""),IF(_xlpm.k="","дифавтомат",_xlpm.k))</f>
        <v>дифавтомат</v>
      </c>
      <c r="CR261" t="str" cm="1">
        <f t="array" ref="CR261">IF(CG261=0,"",_xlfn.LET(_xlpm.sg,TRIM(_xlfn.TEXTSPLIT(DD261&amp;"",";")),_xlpm.f_,_xlfn._xlws.FILTER(_xlpm.sg,LEFT(_xlpm.sg,3)="УЗО",""),IFERROR(INDEX(_xlpm.f_,1)&amp;"","")))</f>
        <v/>
      </c>
      <c r="CS261" t="str">
        <f t="shared" si="581"/>
        <v/>
      </c>
      <c r="CT261" s="6" t="str" cm="1">
        <f t="array" ref="CT261">IF(CR261="","",_xlfn.LET(_xlpm.tk,_xlfn.TEXTSPLIT(UPPER(CR261)," ",,TRUE),_xlpm.a_,_xlfn._xlws.FILTER(_xlpm.tk,ISNUMBER(--LEFT(_xlpm.tk,1))*((ISNUMBER(SEARCH("А",_xlpm.tk))+ISNUMBER(SEARCH("A",_xlpm.tk)))&gt;0)*NOT(ISNUMBER(SEARCH("МА",_xlpm.tk)))*NOT(ISNUMBER(SEARCH("MA",_xlpm.tk))),""),IFERROR(--SUBSTITUTE(SUBSTITUTE(INDEX(_xlpm.a_,1),"А",""),"A",""),"")))</f>
        <v/>
      </c>
      <c r="CU261" t="str" cm="1">
        <f t="array" ref="CU261">IF(CR261="","",_xlfn.LET(_xlpm.tk,_xlfn.TEXTSPLIT(UPPER(CR261)," ",,TRUE),_xlpm.a_,_xlfn._xlws.FILTER(_xlpm.tk,ISNUMBER(--LEFT(_xlpm.tk,1))*((ISNUMBER(SEARCH("МА",_xlpm.tk))+ISNUMBER(SEARCH("MA",_xlpm.tk)))&gt;0),""),IFERROR(--SUBSTITUTE(SUBSTITUTE(INDEX(_xlpm.a_,1),"МА",""),"MA",""),30)))</f>
        <v/>
      </c>
      <c r="CV261" t="str">
        <f>IF(CS261="","",IFERROR(_xlfn.XLOOKUP(CS261,Линии[_n],Линии[_УЗО, мА]),30))</f>
        <v/>
      </c>
      <c r="CW261">
        <f>IF(CS261="",0,IF(ISNUMBER(SEARCH("4P",IFERROR(_xlfn.XLOOKUP(CS261,Линии[_n],Линии[_УЗО строки])&amp;"",""))),0,1))</f>
        <v>0</v>
      </c>
      <c r="CX261" t="str">
        <f>IF(AND(CS261&lt;&gt;"",CS261=BA261),SUMIFS(Линии[_ток на 230 В],Линии[_блок УЗО],BA261,Линии[Щит],A261),"")</f>
        <v/>
      </c>
      <c r="CY261" t="str">
        <f>IF(AND(CS261&lt;&gt;"",CS261=BA261),SUMIFS(Линии[_ток утечки линии, мА],Линии[_блок УЗО],BA261,Линии[Щит],A261),"")</f>
        <v/>
      </c>
      <c r="CZ261">
        <f t="shared" si="582"/>
        <v>30</v>
      </c>
      <c r="DA261">
        <f t="shared" si="583"/>
        <v>30</v>
      </c>
      <c r="DB261">
        <f>IF(B261="",0,IFERROR(--_xlfn.XLOOKUP(B261,Коды_код,Коды_минавт),IFERROR(--_xlfn.XLOOKUP(BC261,Коды_код,Коды_минавт),IFERROR(--_xlfn.XLOOKUP(LEFT(BC261,2),Коды_код,Коды_минавт),0))))</f>
        <v>16</v>
      </c>
      <c r="DC261" t="str">
        <f>IF(B261="","",IFERROR(_xlfn.XLOOKUP(BC261,Коды_код,Коды_апп)&amp;"",""))</f>
        <v/>
      </c>
      <c r="DD261" t="str">
        <f t="shared" si="584"/>
        <v/>
      </c>
      <c r="DE261" t="str" cm="1">
        <f t="array" ref="DE261">IF(TRIM(DD261&amp;"")="","",IFERROR(TRIM(INDEX(_xlfn.TEXTSPLIT(DD261&amp;";;;",";"),1)),""))</f>
        <v/>
      </c>
      <c r="DF261" t="str" cm="1">
        <f t="array" ref="DF261">IF(TRIM(DD261&amp;"")="","",IFERROR(TRIM(INDEX(_xlfn.TEXTSPLIT(DD261&amp;";;;",";"),2)),""))</f>
        <v/>
      </c>
      <c r="DG261" t="str" cm="1">
        <f t="array" ref="DG261">IF(TRIM(DD261&amp;"")="","",IFERROR(TRIM(INDEX(_xlfn.TEXTSPLIT(DD261&amp;";;;",";"),3)),""))</f>
        <v/>
      </c>
      <c r="DH261">
        <f t="shared" si="585"/>
        <v>0</v>
      </c>
      <c r="DI261" t="str">
        <f>IF(B261="","",_xlfn.LET(_xlpm.t,LOWER(AZ261&amp;""),IF(ISNUMBER(SEARCH("dim",_xlpm.t)),"DIM",IF(ISNUMBER(SEARCH("dali",_xlpm.t)),"DALI",IF(OR(ISNUMBER(SEARCH("relay",_xlpm.t)),ISNUMBER(SEARCH("реле",_xlpm.t))),"Relay",IF(ISNUMBER(SEARCH("кнопк",_xlpm.t)),"",IFERROR(_xlfn.XLOOKUP(BC261,Коды_код,Коды_упр)&amp;"","")))))))</f>
        <v/>
      </c>
      <c r="DJ261" t="str">
        <f t="shared" si="586"/>
        <v/>
      </c>
      <c r="DK261">
        <f>IF(B261="","",_xlfn.LET(_xlpm.ig,IF(N(CX261)&gt;0,N(CX261),N(CI261)+IF(AJ261="вручную",0,N(CJ261))),_xlpm.n0,IFERROR(VLOOKUP(_xlpm.ig,Автомат_номиналы,2,TRUE),0),_xlpm.mn,MAX(DB261,IF(AJ261="вручную",0,N(CM261))),MAX(_xlpm.n0,_xlpm.mn,IF(DH261=1,Мин_автомат_БП,0))))</f>
        <v>16</v>
      </c>
      <c r="DL261">
        <f t="shared" si="587"/>
        <v>1</v>
      </c>
      <c r="DM261" t="str">
        <f t="shared" si="588"/>
        <v>2P</v>
      </c>
      <c r="DN261" t="str">
        <f>_xlfn.LET(_xlpm.cc,UPPER(TRIM(IFERROR(_xlfn.XLOOKUP(BC261,Коды_код,Коды_хар)&amp;"",""))),IF(OR(_xlpm.cc="B",_xlpm.cc="В"),"B",IF(_xlpm.cc="D","D","С")))</f>
        <v>С</v>
      </c>
      <c r="DO261" t="str">
        <f t="shared" si="589"/>
        <v>2P С16А 30мА</v>
      </c>
      <c r="DP261" t="str">
        <f t="shared" si="590"/>
        <v>2P С16А 30мА</v>
      </c>
      <c r="DQ261" t="str">
        <f t="shared" si="591"/>
        <v>2P С16А 30мА</v>
      </c>
      <c r="DR261" cm="1">
        <f t="array" ref="DR261">IF(DQ261="","",_xlfn.LET(_xlpm.t,SUBSTITUTE(SUBSTITUTE(SUBSTITUTE(UPPER(DQ261),"С","C"),"А","A"),"В","B"),_xlpm.tk,_xlfn.TEXTSPLIT(_xlpm.t," "),_xlpm.f,_xlfn._xlws.FILTER(_xlpm.tk,ISNUMBER(--MID(_xlpm.tk,2,1))*ISNUMBER(SEARCH(LEFT(_xlpm.tk,1)&amp;"#","B#C#D#"))*(LEN(_xlpm.tk)&gt;1),""),_xlpm.x,INDEX(_xlpm.f,1),IFERROR(--SUBSTITUTE(MID(_xlpm.x,2,9),"A",""),IFERROR(--SUBSTITUTE(INDEX(_xlfn._xlws.FILTER(_xlpm.tk,ISNUMBER(--SUBSTITUTE(_xlpm.tk,"A","")),""),1),"A",""),""))))</f>
        <v>16</v>
      </c>
      <c r="DS261" t="str">
        <f t="shared" si="592"/>
        <v>ok</v>
      </c>
      <c r="DT261">
        <f t="shared" si="593"/>
        <v>16</v>
      </c>
      <c r="DU261" t="str">
        <f t="shared" si="594"/>
        <v>2P С16А 30мА</v>
      </c>
      <c r="DV261">
        <f t="shared" si="595"/>
        <v>30</v>
      </c>
      <c r="DW261">
        <f t="shared" si="596"/>
        <v>1</v>
      </c>
      <c r="DX261">
        <f t="shared" si="597"/>
        <v>0</v>
      </c>
      <c r="DY261">
        <f t="shared" si="598"/>
        <v>2.1878536516659501</v>
      </c>
      <c r="DZ261">
        <f t="shared" si="599"/>
        <v>1</v>
      </c>
      <c r="EA261">
        <f>IF(ISNUMBER(AP261),AP261,К_прокл)</f>
        <v>1</v>
      </c>
      <c r="EB261">
        <f t="shared" si="600"/>
        <v>2</v>
      </c>
      <c r="EC261">
        <f>IFERROR(N(VLOOKUP(BZ261,Кабель_обозначение,3,FALSE)),1)</f>
        <v>1</v>
      </c>
      <c r="ED261">
        <f>IFERROR(N(_xlfn.XLOOKUP(A261,Щиты[Щит],Щиты[ΔU до шин, %])),0)</f>
        <v>1.19</v>
      </c>
      <c r="EE261" t="str">
        <f>IFERROR(_xlfn.XLOOKUP(A261,Щиты[Щит],Щиты[Zпетли на шинах, Ом]),"")</f>
        <v/>
      </c>
      <c r="EF261">
        <f>IFERROR(N(_xlfn.XLOOKUP(A261,Щиты[Щит],Щиты[ΔU до шин (подбор), %])),0)</f>
        <v>1.19</v>
      </c>
      <c r="EG261" t="str">
        <f>IFERROR(_xlfn.XLOOKUP(A261,Щиты[Щит],Щиты[Zпетли на шинах (подбор), Ом]),"")</f>
        <v/>
      </c>
      <c r="EH261" t="str">
        <f t="shared" si="601"/>
        <v/>
      </c>
      <c r="EI261">
        <f t="shared" si="602"/>
        <v>48</v>
      </c>
      <c r="EJ261">
        <f t="shared" si="603"/>
        <v>2</v>
      </c>
      <c r="EK261">
        <f t="shared" si="604"/>
        <v>0.31</v>
      </c>
      <c r="EL261" s="6">
        <f>IF(B261="","",IF(BV261=1,dU_LED,IF(IFERROR(_xlfn.XLOOKUP(BC261,Коды_код,Коды_уго),"")="Светильник",3,4)+IF(Методика="нормы 2026",MIN(0.5,MAX(0,N(P261)-100)*0.005),0)))</f>
        <v>4</v>
      </c>
      <c r="EM261" cm="1">
        <f t="array" ref="EM261">IF(OR(B261="",BZ261="",EC261&lt;&gt;1),"",_xlfn.LET(_xlpm.sz,Iдоп_S,_xlpm.t_,CHOOSE(EB261,Iдоп_1ж,Iдоп_2ж,Iдоп_3ж)*DZ261*EA261,_xlpm.dcx,BV261=1,_xlpm.inn,IF(_xlpm.dcx,N(O261),N(DT261)),_xlpm.smin,MAX(1.5,CC261),_xlpm.L_,N(P261)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261)/N(BU261)*100,999),IFERROR(N(EJ261)*(_xlpm.rho*_xlpm.L_/_xlpm.sz*N(CE261)+_xlpm.xx*_xlpm.L_*N(EK261)/1000)*N(O261)/((Uн_лин/SQRT(3))*1000)*100,999)),_xlpm.kz,IF(OR(_xlpm.dcx,DW261=1,NOT(ISNUMBER(EG261)),_xlpm.L_=0,_xlpm.inn=0),1,IFERROR(--(c_min*(Uн_лин*1000/SQRT(3))/(EG261+2*ρкз_Cu*_xlpm.L_/_xlpm.sz)&gt;=HT261*_xlpm.inn),0)),_xlpm.ok,IFERROR((_xlpm.sz&gt;=_xlpm.smin)*(_xlpm.t_&gt;=_xlpm.inn)*IF(_xlpm.L_&gt;0,(_xlpm.du_+IF(_xlpm.dcx,0,EF261)&lt;=EL261+0.00001),1)*_xlpm.kz,0),_xlpm.r_,_xlfn._xlws.FILTER(_xlpm.sz,_xlpm.ok,"не подобрано"),INDEX(_xlpm.r_,1)))</f>
        <v>1.5</v>
      </c>
      <c r="EN261">
        <f t="shared" si="605"/>
        <v>2.5</v>
      </c>
      <c r="EO261" cm="1">
        <f t="array" ref="EO261">IF(OR(B261="",BZ261="",EC261&lt;&gt;1),"",_xlfn.LET(_xlpm.sz,Iдоп_S,_xlpm.t_,CHOOSE(EB261,Iдоп_1ж,Iдоп_2ж,Iдоп_3ж)*DZ261*EA261,_xlpm.ok,IFERROR((_xlpm.sz&gt;=MAX(1.5,CC261))*(_xlpm.t_&gt;=N(DT261)),0),_xlpm.r_,_xlfn._xlws.FILTER(_xlpm.sz,_xlpm.ok,""),INDEX(_xlpm.r_,1)))</f>
        <v>1.5</v>
      </c>
      <c r="EP261" s="6" cm="1">
        <f t="array" ref="EP261">IFERROR(ROUNDUP(N(EJ261)*(_xlfn.XLOOKUP(EO261,INDEX(Кабель_сопротивление,0,1),INDEX(Кабель_сопротивление,0,3))*N(P261)/EO261*N(CE261)+_xlfn.XLOOKUP(EO261,INDEX(Кабель_сопротивление,0,1),INDEX(Кабель_сопротивление,0,2))*N(P261)*N(EK261)/1000)*N(O261)/((Uн_лин/SQRT(3))*1000)*100,2),"")</f>
        <v>1.71</v>
      </c>
      <c r="EQ261">
        <f>IFERROR(2*ρкз_Cu*N(P261)/EO261,"")</f>
        <v>2.2092000000000001</v>
      </c>
      <c r="ER261">
        <f>IFERROR(VLOOKUP(EN261,Кабель_сопротивление,3,FALSE),"")</f>
        <v>2.2499999999999999E-2</v>
      </c>
      <c r="ES261">
        <f>IFERROR(VLOOKUP(EN261,Кабель_сопротивление,2,FALSE),"")</f>
        <v>0.1</v>
      </c>
      <c r="ET261">
        <f t="shared" si="606"/>
        <v>25</v>
      </c>
      <c r="EU261">
        <f t="shared" si="607"/>
        <v>18</v>
      </c>
      <c r="EV261">
        <f t="shared" si="608"/>
        <v>2.365520495303135</v>
      </c>
      <c r="EW261" s="6">
        <f>IFERROR(ROUNDUP(EV261/IF(BV261=1,BU261,(Uн_лин/SQRT(3))*1000)*100,2),"")</f>
        <v>1.03</v>
      </c>
      <c r="EX261" t="str">
        <f>IFERROR(VLOOKUP(BZ261,Кабель_обозначение,2,FALSE),"")</f>
        <v>ВВГнг(А)-LS</v>
      </c>
      <c r="EY261" t="str">
        <f t="shared" si="609"/>
        <v>ВВГнг(А)-LS (3х2,5)</v>
      </c>
      <c r="EZ261" t="str">
        <f t="shared" si="610"/>
        <v>ВВГнг(А)-LS (3х2,5)
L=63-1,03%</v>
      </c>
      <c r="FA261">
        <f>IFERROR(2*ρкз_Cu*P261/EN261,"")</f>
        <v>1.32552</v>
      </c>
      <c r="FB261">
        <f t="shared" si="611"/>
        <v>0.441</v>
      </c>
      <c r="FC261" s="6" t="str">
        <f>IFERROR(IF(OR(B261="",BV261=1,NOT(ISNUMBER(EN261)),N(P261)=0),"",_xlfn.XLOOKUP(A261,Щиты[Щит],Щиты[Zпетли на шинах, Ом])+FA261),"")</f>
        <v/>
      </c>
      <c r="FD261" s="6" t="str">
        <f>IF(ISNUMBER(FC261),c_min*(Uн_лин*1000/SQRT(3))/FC261,"")</f>
        <v/>
      </c>
      <c r="FE261" s="6" t="str">
        <f>IFERROR(IF(OR(B261="",NOT(ISNUMBER(EN261))),"",1.05*(Uн_лин*1000/SQRT(3))/(_xlfn.XLOOKUP(A261,Щиты[Щит],Щиты[Zmax на шинах, Ом])+FB261)/1000),"")</f>
        <v/>
      </c>
      <c r="FF261" s="6" t="str">
        <f>IF(B261="","",IF(ISNUMBER(AC261),"Сил",IF(IFERROR(_xlfn.XLOOKUP(BC261,Коды_код,Коды_группа)&amp;"","")="","Быт",_xlfn.XLOOKUP(BC261,Коды_код,Коды_группа)&amp;"")))</f>
        <v>Быт</v>
      </c>
      <c r="FG261" s="6" t="str">
        <f t="shared" si="612"/>
        <v>Быт</v>
      </c>
      <c r="FH261" s="6">
        <f>IF(FG261="Щит","щит",IF(FG261="","",IF(FG261="Быт",IFERROR(_xlfn.XLOOKUP(A261,Щиты[Щит],Щиты[Кс быт]),1),IF(FG261="Сил",IF(ISNUMBER(AC261),AC261,IF(Методика="нормы 2026",IFERROR(_xlfn.XLOOKUP(A261,Щиты[Щит],Щиты[Кс силовых (табл. 7.5)]),1),1)),IF(OR(FG261="Пост",FG261="Отоп"),1,IF(FG261="ВНГ",0.7,0))))))</f>
        <v>0.57830000000000004</v>
      </c>
      <c r="FI261">
        <f>IF(FG261="","",IF(AND(BP261=1,TRIM(AE261&amp;"")=""),IF(COUNTIFS(Линии[Щит],A261,Линии[Секция (1/2/3)],"&gt;=2")&gt;0,MIN(3,MAX(1,IFERROR(--BD261,1))),1),IFERROR(MIN(3,MAX(1,INT(--AE261))),1)))</f>
        <v>1</v>
      </c>
      <c r="FJ261">
        <f t="shared" si="613"/>
        <v>0.48</v>
      </c>
      <c r="FK261">
        <f t="shared" si="614"/>
        <v>0.48</v>
      </c>
      <c r="FL261">
        <f t="shared" si="615"/>
        <v>0</v>
      </c>
      <c r="FM261">
        <f t="shared" si="616"/>
        <v>0</v>
      </c>
      <c r="FN261">
        <f t="shared" si="617"/>
        <v>0</v>
      </c>
      <c r="FO261">
        <f t="shared" si="618"/>
        <v>0</v>
      </c>
      <c r="FP261">
        <f t="shared" si="619"/>
        <v>0.48</v>
      </c>
      <c r="FQ261">
        <f t="shared" si="620"/>
        <v>0.48</v>
      </c>
      <c r="FR261">
        <f t="shared" si="621"/>
        <v>0.45599999999999996</v>
      </c>
      <c r="FS261">
        <f>IF(CG261=1,IF(AND(CH261=1,CW261=1),0,IF(AND(CS261&lt;&gt;"",CS261=BA261,CW261=1),SUMIFS(Линии[_Р линии, кВт],Линии[_блок УЗО],BA261,Линии[Щит],A261),N(BS261)+IF(AJ261="вручную",0,N(CK261)))),0)</f>
        <v>0.48</v>
      </c>
      <c r="FT261" t="str">
        <f t="shared" si="622"/>
        <v>L2</v>
      </c>
      <c r="FU261" t="str">
        <f>IF(B261="","",IF(CG261=0,IF(BA261=1,"",FW260),IF(AND(CH261=1,CW261=1,CS261&lt;&gt;""),IFERROR(_xlfn.XLOOKUP(CS261,Линии[_n],Линии[_фаза итог]),"L1"),IF(OR(N(DL261)&gt;=3,N(BX261)&gt;=3),"L1,L2,L3",IFERROR(_xlfn.TEXTBEFORE(_xlfn.TEXTAFTER(_xlfn.XLOOKUP(A261,Щиты[Щит],Щиты[_фазы авто]),";"&amp;BA261&amp;":"),";"),"L1")))))</f>
        <v>L1</v>
      </c>
      <c r="FV261" t="str">
        <f t="shared" si="623"/>
        <v>L2</v>
      </c>
      <c r="FW261" t="str">
        <f t="shared" si="624"/>
        <v>L2</v>
      </c>
      <c r="FX261" cm="1">
        <f t="array" ref="FX261">IFERROR(IF(CD261=2,_xlfn.IFS(BX261=3,VLOOKUP(BS261,Справочная_двигатели,3,FALSE),BX261=1,VLOOKUP(BS261,Справочная_двигатели,5,TRUE)),0),0)</f>
        <v>0</v>
      </c>
      <c r="FY261">
        <f>IFERROR(IF(CD261=3,VLOOKUP(BS261,Справочная_ЛЭД,2,TRUE),0),0)</f>
        <v>0</v>
      </c>
      <c r="FZ261" s="6">
        <f t="shared" si="625"/>
        <v>0</v>
      </c>
      <c r="GA261" t="str">
        <f>IF(B261="","",IF(TRIM(AH261&amp;"")&lt;&gt;"",IF(LOWER(TRIM(AH261&amp;""))="да","да","нет"),IF(IFERROR(_xlfn.XLOOKUP(BC261,Коды_код,Коды_пожарная),"")="да","да","нет")))</f>
        <v>нет</v>
      </c>
      <c r="GB261" t="str">
        <f t="shared" si="626"/>
        <v/>
      </c>
      <c r="GC261" t="str">
        <f t="shared" si="627"/>
        <v>основная</v>
      </c>
      <c r="GD261">
        <f>IF(AND(BP261=1,TRIM(AE261&amp;"")=""),IF(COUNTIFS(Линии[Щит],A261,Линии[Секция (1/2/3)],"&gt;=2")&gt;0,MIN(3,MAX(1,IFERROR(--BD261,1))),1),IFERROR(MIN(3,MAX(1,INT(--AE261))),1))</f>
        <v>1</v>
      </c>
      <c r="GE261" t="str" cm="1">
        <f t="array" ref="GE261">IF(B261="","",_xlfn.LET(_xlpm.t,IFERROR(_xlfn.XLOOKUP(1,(Шины[Шина]=GC261)*(((Шины[Щит]=A261)+(Шины[Щит]=""))&gt;0),Шины[Тип]),"")&amp;"",IF(_xlpm.t&lt;&gt;"",_xlpm.t,IF(ISNUMBER(SEARCH("ИБП",GC261)),"ИБП",IF(ISNUMBER(SEARCH("ДГУ",GC261)),"ДГУ","Ввод "&amp;GD261)))))</f>
        <v>Ввод 1</v>
      </c>
      <c r="GF261" t="str">
        <f t="shared" si="628"/>
        <v>Ввод 1</v>
      </c>
      <c r="GG261" t="str">
        <f>IF(BP261=0,"",IF(TRIM(AG261&amp;"")&lt;&gt;"",TRIM(AG261&amp;""),IF(OR(GE261="ИБП",GE261="ДГУ"),"I особая",_xlfn.XLOOKUP(A261,Щиты[Щит],Щиты[Категория шины «Ввод»],"III"))))</f>
        <v/>
      </c>
      <c r="GH261" t="str">
        <f>IF(A261="","",_xlfn.XLOOKUP(A261,Щиты[Щит],Щиты[Путь],""))</f>
        <v>|ГРЩ-ЖД|ЩР-1|</v>
      </c>
      <c r="GI261" t="str">
        <f>IF(B261="","",IF(AI261&lt;&gt;"",AI261,IF(IFERROR(_xlfn.XLOOKUP(BC261,Коды_код,Коды_вид)&amp;"","")="","Прочее",_xlfn.XLOOKUP(BC261,Коды_код,Коды_вид)&amp;"")))</f>
        <v>Розеточная сеть и бытовые приборы</v>
      </c>
      <c r="GJ261">
        <f>IF(BM261="","",INT((BM261-1)/Столбцов_на_лист)+1)</f>
        <v>3</v>
      </c>
      <c r="GK261" t="str">
        <f t="shared" si="629"/>
        <v>ВВГнг(А)-LS (3х2,5) L=63-1,03%</v>
      </c>
      <c r="GL261">
        <f t="shared" si="630"/>
        <v>0.48</v>
      </c>
      <c r="GM261">
        <f t="shared" si="631"/>
        <v>2.19</v>
      </c>
      <c r="GN261">
        <f t="shared" si="632"/>
        <v>1</v>
      </c>
      <c r="GO261">
        <f t="shared" si="633"/>
        <v>0</v>
      </c>
      <c r="GP261">
        <f t="shared" si="634"/>
        <v>1</v>
      </c>
      <c r="GQ261">
        <f>IF(BM261="","",IF(AND(CG261=1,GP261=1),COUNTIFS(A$3:A261,A261,CG$3:CG261,1,GP$3:GP261,1),IF(OR(OR(BA261=1,A261&lt;&gt;A260),AJ261="вручную",GP261=0),"",IF(BA261=1,"",GR260))))</f>
        <v>37</v>
      </c>
      <c r="GR261">
        <f t="shared" si="635"/>
        <v>37</v>
      </c>
      <c r="GS261">
        <f>IF(B261="","",IFERROR(LOOKUP(INDEX(CHOOSE(EB261,Iдоп_1ж,Iдоп_2ж,Iдоп_3ж),MATCH(EN261,Iдоп_S,0))*DZ261*EA261,{6,10,16,20,25,32,40,50,63,80,100,125,160,200,250,315,400,500,630}),""))</f>
        <v>25</v>
      </c>
      <c r="GT261" t="str">
        <f t="shared" si="636"/>
        <v>QFD37</v>
      </c>
      <c r="GU261" t="str">
        <f t="shared" si="637"/>
        <v>QFD37</v>
      </c>
      <c r="GV261" t="str">
        <f t="shared" si="638"/>
        <v/>
      </c>
      <c r="GW261">
        <f t="shared" si="639"/>
        <v>0</v>
      </c>
      <c r="GX261" t="str">
        <f>IF(OR(B261="",DJ261=""),"",IFERROR(_xlfn.XLOOKUP(DJ261,Модули_умолч[Управление],Модули_умолч[Модель])&amp;"",""))</f>
        <v/>
      </c>
      <c r="GY261">
        <f>IF(DJ261="",1,IFERROR(MAX(0,N(_xlfn.XLOOKUP(DJ261,Модули_умолч[Управление],Модули_умолч[Каналов на линию]))),1))</f>
        <v>1</v>
      </c>
      <c r="GZ261" t="str">
        <f t="shared" si="640"/>
        <v/>
      </c>
      <c r="HA261" t="str">
        <f t="shared" si="641"/>
        <v/>
      </c>
      <c r="HB261" t="str">
        <f t="shared" si="642"/>
        <v/>
      </c>
      <c r="HC261">
        <f>IF(HB261="",0,IFERROR(N(VLOOKUP(HB261,Модули_спр,3,FALSE)),0))</f>
        <v>0</v>
      </c>
      <c r="HD261" t="str">
        <f t="shared" si="643"/>
        <v/>
      </c>
      <c r="HE261" t="str">
        <f t="shared" si="644"/>
        <v/>
      </c>
      <c r="HF261" t="str">
        <f>IF(OR(HE261="",HE261="-"),"",IFERROR(VLOOKUP(HE261,Модули_спр,2,FALSE),"R"))</f>
        <v/>
      </c>
      <c r="HG261" t="str">
        <f>IF(HF261="","",HF261&amp;"."&amp;COUNTIFS(A$3:A261,A261,HF$3:HF261,HF261))</f>
        <v/>
      </c>
      <c r="HH261" t="str">
        <f t="shared" si="645"/>
        <v/>
      </c>
      <c r="HI261" t="str">
        <f t="shared" si="646"/>
        <v/>
      </c>
      <c r="HJ261" t="str">
        <f t="shared" si="647"/>
        <v/>
      </c>
      <c r="HK261" t="str">
        <f t="shared" si="648"/>
        <v/>
      </c>
      <c r="HL261">
        <f t="shared" si="649"/>
        <v>1</v>
      </c>
      <c r="HM261" t="str">
        <f>IF(HL261=1,"XT"&amp;COUNTIFS(A$3:A261,A261,HL$3:HL261,1),"")</f>
        <v>XT37</v>
      </c>
      <c r="HN261" t="str">
        <f t="shared" si="650"/>
        <v>XT37</v>
      </c>
      <c r="HO261" t="str">
        <f t="shared" si="651"/>
        <v>QFD37</v>
      </c>
      <c r="HP261" t="str">
        <f t="shared" si="652"/>
        <v/>
      </c>
      <c r="HQ261" t="str">
        <f t="shared" si="653"/>
        <v>ok</v>
      </c>
      <c r="HR261" t="str">
        <f>IF(OR(HJ261="",HH261=""),"",IF(HJ261+MAX(0,GY261-1)&gt;IFERROR(VLOOKUP(HI261,Модули_спр,3,FALSE),99),"ЛИШНИЙ КАНАЛ",IF(AND(AL261&lt;&gt;"=",GY261&gt;0,COUNTIFS(Линии[_модуль гр.],HH261,Линии[Канал (итог)],HJ261,Линии[Канал],"&lt;&gt;=",Линии[Щит],A261)&gt;1),"ДУБЛЬ КАНАЛА","")))</f>
        <v/>
      </c>
      <c r="HS261" s="6" t="str">
        <f t="shared" si="654"/>
        <v/>
      </c>
      <c r="HT261">
        <f t="shared" si="655"/>
        <v>10</v>
      </c>
      <c r="HU261" t="str">
        <f t="shared" si="656"/>
        <v/>
      </c>
      <c r="HV261">
        <f t="shared" si="657"/>
        <v>1.5051414606663802</v>
      </c>
      <c r="HW261">
        <f t="shared" si="658"/>
        <v>0</v>
      </c>
      <c r="HX261">
        <f t="shared" si="659"/>
        <v>0</v>
      </c>
      <c r="HY261">
        <f t="shared" si="660"/>
        <v>0</v>
      </c>
      <c r="HZ261">
        <f t="shared" si="661"/>
        <v>0</v>
      </c>
      <c r="IA261">
        <f t="shared" si="662"/>
        <v>0</v>
      </c>
      <c r="IB261">
        <f t="shared" si="663"/>
        <v>0</v>
      </c>
      <c r="IC261" t="str">
        <f t="shared" si="664"/>
        <v/>
      </c>
      <c r="ID261" t="str" cm="1">
        <f t="array" ref="ID261">IF(IC261="","",_xlfn.LET(_xlpm.tk,_xlfn.TEXTSPLIT(SUBSTITUTE(SUBSTITUTE(IC261,";"," "),"→"," ")," ",,TRUE),_xlpm.w_,_xlfn._xlws.FILTER(_xlpm.tk,ISNUMBER(--LEFT(_xlpm.tk,1))*((ISNUMBER(SEARCH("W",_xlpm.tk))+ISNUMBER(SEARCH("Вт",_xlpm.tk)))&gt;0),""),IFERROR(--SUBSTITUTE(SUBSTITUTE(UPPER(INDEX(_xlpm.w_,1)),"W",""),"ВТ",""),"")))</f>
        <v/>
      </c>
      <c r="IE261" t="str" cm="1">
        <f t="array" ref="IE261">IF(IC261="","",_xlfn.LET(_xlpm.tk,_xlfn.TEXTSPLIT(SUBSTITUTE(SUBSTITUTE(IC261,";"," "),"→"," ")," ",,TRUE),_xlpm.v_,_xlfn._xlws.FILTER(_xlpm.tk,ISNUMBER(--LEFT(_xlpm.tk,1))*((ISNUMBER(SEARCH("V",_xlpm.tk))+(RIGHT(UPPER(_xlpm.tk))="В"))&gt;0),""),IFERROR(--SUBSTITUTE(SUBSTITUTE(UPPER(INDEX(_xlpm.v_,1)),"V",""),"В",""),"")))</f>
        <v/>
      </c>
      <c r="IF261" s="6" t="str">
        <f>IF(OR(BV261=0,HI261="",HJ261=""),"",IFERROR(N(_xlfn.XLOOKUP(HI261,Каталог!$C$4:$C$500,Каталог!$Q$4:$Q$500)),""))</f>
        <v/>
      </c>
      <c r="IG261" s="6" t="str">
        <f>IF(N(IF261)=0,"",SUMIFS(Линии[Iр, А],Линии[Щит],A261,Линии[_модуль гр.],HH261,Линии[Канал (итог)],HJ261))</f>
        <v/>
      </c>
      <c r="IH261" t="str">
        <f>IF(AND(B261="",HO261=""),"",_xlfn.TEXTJOIN("; ",TRUE,IF(AND(B261&lt;&gt;"",FV261=""),"нет фазы",""),IF(AND(B261&lt;&gt;"",N(GL261)=0,FG261&lt;&gt;"Нет"),"нет мощности",""),IF(AND(HN261&lt;&gt;"",COUNTIFS(Линии[Щит],A261,Линии[Клемма (итог)],HN261)&gt;1),"дубль клеммы "&amp;HN261,""),IF(AND(HQ261&lt;&gt;"",HQ261&lt;&gt;"ok"),HQ261,""),IF(HR261&lt;&gt;"",HR261,""),IF(AND(N(CB261)&gt;=4,N(BX261)=1),CB261&amp;" жил на 1 фазе",""),IF(AND(BC261="R",CG261=1,IF(CS261&lt;&gt;"",N(CV261)&gt;30,OR(N(DA261)=0,N(DA261)&gt;30))),"розетка без дифзащиты до 30 мА",""),IF(AND(CG261=1,N(DA261)&gt;0,ISNUMBER(T261)),IF(T261&gt;N(DA261)/3,"ток утечки "&amp;FIXED(T261,1)&amp;" мА &gt; 1/3 уставки ("&amp;DA261&amp;" мА)",""),""),IF(AND(CH261=1,CS261=""),"«узо»: нет строки с УЗО выше (УЗО 2P 40А 30мА в «Аппаратах»)",""),IF(AND(CS261&lt;&gt;"",CS261=BA261),IF(CT261="","впишите номинал УЗО (УЗО 2P 40А 30мА)",IF(N(CT261)&lt;N(DT261),"УЗО "&amp;CT261&amp;" А &lt; автомата "&amp;DT261&amp;" А перед ним",IF(N(CT261)&lt;N(CX261),"УЗО "&amp;CT261&amp;" А &lt; тока блока "&amp;FIXED(CX261,1)&amp;" А",""))),""),IF(AND(CS261&lt;&gt;"",CS261=BA261,ISNUMBER(CY261)),IF(CY261&gt;N(CV261)/3,"ток утечки блока УЗО "&amp;FIXED(CY261,1)&amp;" мА &gt; 1/3 уставки ("&amp;CV261&amp;" мА)",""),""),IF(AND(CG261=1,N(BV261)+N(IB261)&gt;0,IC261=""),"линии до 50 В без БП: впишите в «Аппараты» (БП 24V 480W)",""),IF(AND(CG261=1,ISNUMBER(ID261),ISNUMBER(U261)),IF(U261&gt;ID261,"БП "&amp;ID261&amp;" Вт &lt; нужно "&amp;U261&amp;" Вт (×"&amp;Запас_БП&amp;")",""),""),IF(AND(CG261=1,ISNUMBER(IE261),N(BV261)=1),IF(IE261&lt;&gt;N(BU261),"БП на "&amp;IE261&amp;" В, линия "&amp;BU261&amp;" В",""),""),IF(AND(N(IF261)&gt;0,N(IG261)&gt;N(IF261)),HH261&amp;" канал "&amp;HJ261&amp;": "&amp;FIXED(IG261,1)&amp;" А &gt; "&amp;IF261&amp;" А",""),IFERROR(IF(AND(ISNUMBER(Q261),Q261&gt;EL261),"потери "&amp;FIXED(Q261,1)&amp;" % &gt; "&amp;EL261&amp;" %",""),""),IFERROR(IF(LEFT(HU261,4)="мало","Iкз мало — отключение &gt; 0,4 с",""),""),IF(AND(B261&lt;&gt;"",BM261=""),"не на схеме",""),IF(AND(CG261=0,B261&lt;&gt;"",FV261&lt;&gt;"",IF(BA261=1,"",FW260)&lt;&gt;"",FV261&lt;&gt;IF(BA261=1,"",FW260)),"фаза не как у автомата группы ("&amp;IF(BA261=1,"",FW260)&amp;")","")))</f>
        <v/>
      </c>
      <c r="II261" s="6">
        <f>IF(OR(CG261=0,DQ261=""),"",_xlfn.LET(_xlpm.t,IFERROR(_xlfn.XLOOKUP(DQ261,Каталог!$U$4:$U$500,Каталог!$G$4:$G$500),""),_xlpm.k,SEARCH("кА",_xlpm.t),IFERROR(--TRIM(RIGHT(SUBSTITUTE(MID(_xlpm.t,MAX(1,_xlpm.k-4),_xlpm.k-MAX(1,_xlpm.k-4))," ",REPT(" ",9)),5)),"")))</f>
        <v>6</v>
      </c>
      <c r="IJ261" t="str">
        <f>IF(OR(II261="",CG261=0),"",IF(_xlfn.XLOOKUP(A261,Щиты[Щит],Щиты[Iкз max на шинах, кА],"")="","",IF(II261&lt;_xlfn.XLOOKUP(A261,Щиты[Щит],Щиты[Iкз max на шинах, кА]),"Icu "&amp;II261&amp;" кА &lt; Iкз max","ok")))</f>
        <v/>
      </c>
      <c r="IK261" t="str">
        <f t="shared" si="665"/>
        <v/>
      </c>
      <c r="IL261" t="str">
        <f t="shared" si="666"/>
        <v>QFD37|XT37</v>
      </c>
      <c r="IM261" t="str">
        <f t="shared" si="667"/>
        <v>QFD37|XT37|кабель ВВГнг(А)-LS (3х2,5) → Розеточная группа, пом. 016A</v>
      </c>
      <c r="IN261" t="str" cm="1">
        <f t="array" ref="IN261">IF(IM261="","",_xlfn.LET(_xlpm.nd,_xlfn.TEXTSPLIT(IM261,"|"),IF(COLUMNS(_xlpm.nd)&gt;1,A261&amp;"¦"&amp;INDEX(_xlpm.nd,1)&amp;"¦"&amp;INDEX(_xlpm.nd,2),"")))</f>
        <v>ЩР-1¦QFD37¦XT37</v>
      </c>
      <c r="IO261" t="str">
        <f t="shared" si="668"/>
        <v>R.1.016A.1¦Розеточная группа, пом. 016A</v>
      </c>
      <c r="IP261" t="str" cm="1">
        <f t="array" ref="IP261">IF(IM261="","",_xlfn.LET(_xlpm.nd,_xlfn.TEXTSPLIT(IM261,"|"),IF(COLUMNS(_xlpm.nd)&gt;2,A261&amp;"¦"&amp;INDEX(_xlpm.nd,2)&amp;"¦"&amp;INDEX(_xlpm.nd,3),"")))</f>
        <v>ЩР-1¦XT37¦кабель ВВГнг(А)-LS (3х2,5) → Розеточная группа, пом. 016A</v>
      </c>
      <c r="IQ261" t="str">
        <f t="shared" si="669"/>
        <v>R.1.016A.1¦Розеточная группа, пом. 016A</v>
      </c>
      <c r="IR261" t="str" cm="1">
        <f t="array" ref="IR261">IF(IM261="","",_xlfn.LET(_xlpm.nd,_xlfn.TEXTSPLIT(IM261,"|"),IF(COLUMNS(_xlpm.nd)&gt;3,A261&amp;"¦"&amp;INDEX(_xlpm.nd,3)&amp;"¦"&amp;INDEX(_xlpm.nd,4),"")))</f>
        <v/>
      </c>
      <c r="IS261" t="str">
        <f t="shared" si="670"/>
        <v/>
      </c>
      <c r="IT261" t="str" cm="1">
        <f t="array" ref="IT261">IF(IM261="","",_xlfn.LET(_xlpm.nd,_xlfn.TEXTSPLIT(IM261,"|"),IF(COLUMNS(_xlpm.nd)&gt;4,A261&amp;"¦"&amp;INDEX(_xlpm.nd,4)&amp;"¦"&amp;INDEX(_xlpm.nd,5),"")))</f>
        <v/>
      </c>
      <c r="IU261" t="str">
        <f t="shared" si="671"/>
        <v/>
      </c>
      <c r="IV261" t="str" cm="1">
        <f t="array" ref="IV261">IF(IM261="","",_xlfn.LET(_xlpm.nd,_xlfn.TEXTSPLIT(IM261,"|"),IF(COLUMNS(_xlpm.nd)&gt;5,A261&amp;"¦"&amp;INDEX(_xlpm.nd,5)&amp;"¦"&amp;INDEX(_xlpm.nd,6),"")))</f>
        <v/>
      </c>
      <c r="IW261" t="str">
        <f t="shared" si="672"/>
        <v/>
      </c>
      <c r="IX261" t="str" cm="1">
        <f t="array" ref="IX261">IF(IM261="","",_xlfn.LET(_xlpm.nd,_xlfn.TEXTSPLIT(IM261,"|"),IF(COLUMNS(_xlpm.nd)&gt;6,A261&amp;"¦"&amp;INDEX(_xlpm.nd,6)&amp;"¦"&amp;INDEX(_xlpm.nd,7),"")))</f>
        <v/>
      </c>
      <c r="IY261" t="str">
        <f t="shared" si="673"/>
        <v/>
      </c>
      <c r="IZ261" t="str">
        <f t="shared" si="674"/>
        <v/>
      </c>
      <c r="JA261" t="str">
        <f t="shared" si="675"/>
        <v>QFD37 → XT37</v>
      </c>
      <c r="JB261">
        <f t="shared" si="676"/>
        <v>0</v>
      </c>
      <c r="JC261">
        <f t="shared" si="677"/>
        <v>1</v>
      </c>
      <c r="JD261" t="str">
        <f t="shared" si="678"/>
        <v/>
      </c>
      <c r="JE261" t="str">
        <f t="shared" si="679"/>
        <v/>
      </c>
      <c r="JF261" t="str">
        <f t="shared" si="680"/>
        <v/>
      </c>
      <c r="JG261" t="str">
        <f t="shared" si="681"/>
        <v/>
      </c>
      <c r="JH261" t="str">
        <f>IF(B261="","",IFERROR(_xlfn.XLOOKUP(B261,Коды_код,Коды_уго),IFERROR(_xlfn.XLOOKUP(BC261,Коды_код,Коды_уго),IFERROR(_xlfn.XLOOKUP(LEFT(BC261,2),Коды_код,Коды_уго),""))))</f>
        <v>Розетка</v>
      </c>
      <c r="JI261" t="str">
        <f>IF(B261="","",IF(OR(JH261="",JH261=0),"BOX",IFERROR(IF(VLOOKUP(JH261,УГО_блоки,3,FALSE)&amp;""&lt;&gt;"",VLOOKUP(JH261,УГО_блоки,3,FALSE),VLOOKUP(JH261,УГО_блоки,2,FALSE)),JH261)))</f>
        <v>SOCKET</v>
      </c>
      <c r="JJ261">
        <f t="shared" si="682"/>
        <v>1</v>
      </c>
      <c r="JK261" t="str">
        <f>IF(DQ261="","",IF(COUNTIF(DQ$3:DQ261,DQ261)=1,MAX(JK$2:JK260)+1,""))</f>
        <v/>
      </c>
      <c r="JL261" t="str">
        <f>IF(DE261="","",IF(COUNTIF(DE$3:DE261,DE261)+COUNTIF(DF$2:DF260,DE261)+COUNTIF(DG$2:DG260,DE261)=1,MAX(JL$2:JN260)+1,""))</f>
        <v/>
      </c>
      <c r="JM261" t="str">
        <f>IF(DF261="","",IF(COUNTIF(DE$3:DE261,DF261)+COUNTIF(DF$3:DF261,DF261)+COUNTIF(DG$2:DG260,DF261)=1,MAX(JL$2:JN260,JL261)+1,""))</f>
        <v/>
      </c>
      <c r="JN261" t="str">
        <f>IF(DG261="","",IF(COUNTIF(DE$3:DE261,DG261)+COUNTIF(DF$3:DF261,DG261)+COUNTIF(DG$3:DG261,DG261)=1,MAX(JL$2:JN260,JL261,JM261)+1,""))</f>
        <v/>
      </c>
      <c r="JO261" t="str">
        <f t="shared" si="683"/>
        <v>3х2,5</v>
      </c>
      <c r="JP261" t="str">
        <f>IF(JO261="","",IF(COUNTIF(JO$3:JO261,JO261)=1,MAX(JP$2:JP260)+1,""))</f>
        <v/>
      </c>
      <c r="JQ261" t="str">
        <f>IF(HG261="","",COUNTIF(HG$3:HG261,"?*"))</f>
        <v/>
      </c>
      <c r="JR261" t="str">
        <f>IF(OR(HG261="",HI261=""),"",IF(COUNTIFS(HG$3:HG261,"?*",HI$3:HI261,HI261)=1,MAX(JR$2:JR260)+1,""))</f>
        <v/>
      </c>
      <c r="JS261">
        <f t="shared" si="684"/>
        <v>0</v>
      </c>
      <c r="JT261">
        <f>IF(B261="","",COUNTIF(B$3:B261,"?*"))</f>
        <v>259</v>
      </c>
      <c r="JU261">
        <f>IF(HL261&lt;&gt;1,0,_xlfn.LET(_xlpm.k,MAX(IFERROR(--_xlfn.XLOOKUP(B261,Коды_код,Коды_3L),0),IFERROR(--_xlfn.XLOOKUP(BC261,Коды_код,Коды_3L),0),IFERROR(--_xlfn.XLOOKUP(LEFT(BC261,2),Коды_код,Коды_3L),0)),IF(_xlpm.k&gt;0,_xlpm.k,IF(IFERROR(--LEFT(SUBSTITUTE(JO261,"x","х"),FIND("х",SUBSTITUTE(JO261,"x","х"))-1),3)&gt;3,Каталог!$S$9,1))))</f>
        <v>1</v>
      </c>
      <c r="JV261">
        <f t="shared" si="685"/>
        <v>0</v>
      </c>
      <c r="JW261" t="str">
        <f t="shared" si="686"/>
        <v>авто</v>
      </c>
      <c r="JX261">
        <f t="shared" si="687"/>
        <v>30</v>
      </c>
      <c r="JY261">
        <f t="shared" si="688"/>
        <v>1</v>
      </c>
      <c r="JZ261">
        <f t="shared" si="689"/>
        <v>1</v>
      </c>
    </row>
    <row r="262" spans="1:286" x14ac:dyDescent="0.3">
      <c r="A262" t="s">
        <v>757</v>
      </c>
      <c r="B262" t="s">
        <v>1568</v>
      </c>
      <c r="C262" t="str">
        <f>Линии[[#This Row],[_авто наименование]]</f>
        <v>Розеточная группа, пом. 017A</v>
      </c>
      <c r="D262">
        <v>2</v>
      </c>
      <c r="E262">
        <v>0.24</v>
      </c>
      <c r="G262" t="str">
        <f>Линии[[#This Row],[_авто автомат]]</f>
        <v>2P С16А 30мА</v>
      </c>
      <c r="H262" t="str">
        <f>Линии[[#This Row],[_авто управление]]</f>
        <v/>
      </c>
      <c r="I262" t="str">
        <f>Линии[[#This Row],[_авто аппараты]]</f>
        <v/>
      </c>
      <c r="J262">
        <v>2.5</v>
      </c>
      <c r="K262">
        <v>50</v>
      </c>
      <c r="L262" t="str">
        <f>Линии[[#This Row],[_авто фаза]]</f>
        <v>L2</v>
      </c>
      <c r="M262" t="str">
        <f>Линии[[#This Row],[_авто клемма]]</f>
        <v>XT38</v>
      </c>
      <c r="N262" t="str">
        <f t="shared" si="552"/>
        <v/>
      </c>
      <c r="O262" s="6" cm="1">
        <f t="array" ref="O262">IF(B262="","",IF(BH262&lt;&gt;"",IFERROR(_xlfn.XLOOKUP(BH262,Щиты[Щит],Щиты[Iр, А]),""),IF(BP262=1,IF(OR(N(_xlfn.XLOOKUP(A262,Щиты[Щит],Щиты[Вводов],1))&lt;=1,LOWER(TRIM(_xlfn.XLOOKUP(A262,Щиты[Щит],Щиты[АВР],"")&amp;""))="да"),IFERROR(_xlfn.XLOOKUP(A262,Щиты[Щит],Щиты[Iр, А]),""),IFERROR(N(BS262)*_xlfn.XLOOKUP(A262,Щиты[Щит],Щиты[Кс итог])/(SQRT(3)*Uн_лин*_xlfn.XLOOKUP(A262,Щиты[Щит],Щиты[cos φ])),"")),IF(BV262=1,IFERROR(BS262*1000/BU262,""),IFERROR(_xlfn.IFS(BX262=1,BS262/((Uн_лин/SQRT(3))*CE262),BX262=3,BS262/(SQRT(3)*Uн_лин*CE262)),"")))))</f>
        <v>1.0939268258329751</v>
      </c>
      <c r="P262" s="7">
        <f>IF(B262="","",IFERROR(IF(VLOOKUP(BC262,Потребители_обозначение,4,FALSE)=1,VLOOKUP(BC262,Потребители_обозначение,3,FALSE)*(MAX(1,N(D262))*2-1)+EI262+VLOOKUP(BE262,Этаж_обозначение,3,FALSE)+VLOOKUP(BE262,Этаж_обозначение,4,FALSE),VLOOKUP(BC262,Потребители_обозначение,3,FALSE)*(MAX(1,N(D262))*2-1)+EI262),EI262))</f>
        <v>59</v>
      </c>
      <c r="Q262" s="6">
        <f t="shared" si="553"/>
        <v>1.67</v>
      </c>
      <c r="R262" t="str">
        <f t="shared" si="554"/>
        <v>ВВГнг(А)-LS (3х2,5)</v>
      </c>
      <c r="S262" t="str">
        <f>IF(BM262="","",IF(BN262="вводной узел","узел ","")&amp;"л."&amp;(INT((BM262-1)/Столбцов_на_лист)+1)&amp;" / "&amp;(MOD(BM262-1,Столбцов_на_лист)+1))</f>
        <v>л.3 / 16</v>
      </c>
      <c r="T262" s="119">
        <f t="shared" si="555"/>
        <v>1</v>
      </c>
      <c r="U262" s="7" t="str">
        <f>IF(OR(CG262=0,N(BV262)+N(IB262)=0),"",ROUNDUP(Запас_БП*(N(HY262)+N(HZ262)),0))</f>
        <v/>
      </c>
      <c r="V262" s="119" t="str">
        <f t="shared" si="556"/>
        <v/>
      </c>
      <c r="W262" s="7" t="str">
        <f>IFERROR(IF(OR(B262="",BP262=1,BV262=1,NOT(ISNUMBER(EN262)),N(DT262)=0),"",MAX(0,ROUNDDOWN((c_min*(Uн_лин*1000/SQRT(3))/(HT262*N(DT262))-_xlfn.XLOOKUP(A262,Щиты[Щит],Щиты[Zпетли на шинах, Ом]))*EN262/(2*ρкз_Cu),0))),"")</f>
        <v/>
      </c>
      <c r="Y262">
        <f>Линии[[#This Row],[_авто утечка]]</f>
        <v>30</v>
      </c>
      <c r="Z262">
        <v>1</v>
      </c>
      <c r="AA262">
        <v>230</v>
      </c>
      <c r="AB262" t="s">
        <v>562</v>
      </c>
      <c r="AG262" t="s">
        <v>810</v>
      </c>
      <c r="AI262" t="s">
        <v>561</v>
      </c>
      <c r="AK262" t="str">
        <f>Линии[[#This Row],[_авто модуль]]</f>
        <v/>
      </c>
      <c r="AM262">
        <v>50</v>
      </c>
      <c r="AN262" t="s">
        <v>11</v>
      </c>
      <c r="AO262">
        <v>3</v>
      </c>
      <c r="AQ262">
        <v>20</v>
      </c>
      <c r="AR262">
        <v>31</v>
      </c>
      <c r="AS262">
        <v>8</v>
      </c>
      <c r="BA262" cm="1">
        <f t="array" ref="BA262">ROW()-ROW(Линии[#Headers])</f>
        <v>260</v>
      </c>
      <c r="BC262" s="6" t="str">
        <f t="shared" si="557"/>
        <v>R</v>
      </c>
      <c r="BD262" t="str">
        <f t="shared" si="558"/>
        <v>1.017A.1</v>
      </c>
      <c r="BE262" t="str">
        <f t="shared" si="559"/>
        <v>1</v>
      </c>
      <c r="BF262" t="str">
        <f t="shared" si="560"/>
        <v>017A.1</v>
      </c>
      <c r="BG262" t="str">
        <f t="shared" si="561"/>
        <v>017A</v>
      </c>
      <c r="BH262" t="str">
        <f>IF(X262&lt;&gt;"",X262,IF(AND(B262&lt;&gt;"",B262&lt;&gt;A262,ISNUMBER(_xlfn.XMATCH(B262,Щиты[Щит]))),B262,""))</f>
        <v/>
      </c>
      <c r="BI262" t="str" cm="1">
        <f t="array" ref="BI262">IF(B262="","",IF(BH262&lt;&gt;"","Щит "&amp;BH262,_xlfn.LET(_xlpm.nm,IFERROR(_xlfn.XLOOKUP(BC262,Коды_код,Коды_имя)&amp;"",""),_xlpm.md,IFERROR(N(_xlfn.XLOOKUP(BC262,Коды_код,Коды_режим)),1),_xlpm.ex,IF(Имя_режим="по экспликации",IFERROR(_xlfn.XLOOKUP(BE262&amp;"|"&amp;BG262,Экспликация[Этаж]&amp;"|"&amp;Экспликация[Помещение],Экспликация[Название])&amp;"",""),""),_xlpm.rm,IF(BG262="","",IF(_xlpm.ex&lt;&gt;"",". "&amp;_xlpm.ex&amp;IF(Имя_пом="нет"," ("&amp;BG262&amp;")"," (пом. "&amp;BG262&amp;")"),IF(Имя_пом="нет"," ",", пом. ")&amp;BG262)),IF(_xlpm.nm="","",IF(_xlpm.md=2,_xlpm.nm&amp;" шлейф "&amp;BE262,_xlpm.nm&amp;_xlpm.rm)))))</f>
        <v>Розеточная группа, пом. 017A</v>
      </c>
      <c r="BJ262" t="str">
        <f t="shared" si="562"/>
        <v>Розеточная группа, пом. 017A</v>
      </c>
      <c r="BK262">
        <f>IFERROR(_xlfn.XMATCH(A262,Щиты[Щит]),0)</f>
        <v>10</v>
      </c>
      <c r="BL262">
        <f>_xlfn.LET(_xlpm.k,IFERROR(_xlfn.XLOOKUP(A262,Щиты[Щит],Щиты[Мест под вводной узел]),""),IF(_xlpm.k="",Столбцов_на_лист,N(_xlpm.k)))</f>
        <v>8</v>
      </c>
      <c r="BM262">
        <f t="shared" si="563"/>
        <v>50</v>
      </c>
      <c r="BN262" t="str">
        <f t="shared" si="564"/>
        <v>линии</v>
      </c>
      <c r="BO262" s="6">
        <f>IFERROR(N(_xlfn.XLOOKUP(BC262,Коды_код,Коды_квт)),0)</f>
        <v>0</v>
      </c>
      <c r="BP262">
        <f t="shared" si="565"/>
        <v>0</v>
      </c>
      <c r="BQ262" t="str">
        <f>IF(B262="","",IF(BH262&lt;&gt;"",IFERROR(_xlfn.XLOOKUP(BH262,Щиты[Щит],Щиты[Руст, кВт]),0),IF(BP262=1,IF(OR(N(_xlfn.XLOOKUP(A262,Щиты[Щит],Щиты[Вводов],1))&lt;=1,LOWER(TRIM(_xlfn.XLOOKUP(A262,Щиты[Щит],Щиты[АВР],"")&amp;""))="да"),IFERROR(_xlfn.XLOOKUP(A262,Щиты[Щит],Щиты[Руст, кВт]),0),SUMIFS(Линии[_Р для вводов],Линии[Щит],A262,Линии[Источник для режимов],GF262)),IF(BO262&gt;0,ROUND(BO262*MAX(1,N(D262)),3),""))))</f>
        <v/>
      </c>
      <c r="BR262">
        <f t="shared" si="566"/>
        <v>0.24</v>
      </c>
      <c r="BS262" s="6">
        <f>IF(B262="","",IF(BH262&lt;&gt;"",IFERROR(_xlfn.XLOOKUP(BH262,Щиты[Щит],Щиты[Руст, кВт]),0),N(BR262)))</f>
        <v>0.24</v>
      </c>
      <c r="BT262" t="str">
        <f>IF(B262="","",IFERROR(IF(VLOOKUP(BC262,Потребители_обозначение,8,FALSE)=0,"",VLOOKUP(BC262,Потребители_обозначение,8,FALSE)),""))</f>
        <v/>
      </c>
      <c r="BU262">
        <f t="shared" si="567"/>
        <v>230</v>
      </c>
      <c r="BV262">
        <f t="shared" si="568"/>
        <v>0</v>
      </c>
      <c r="BW262">
        <f>IF(B262="","",IF(BH262&lt;&gt;"",3,IFERROR(IF(N(VLOOKUP(BC262,Потребители_обозначение,9,FALSE))=0,1,VLOOKUP(BC262,Потребители_обозначение,9,FALSE)),1)))</f>
        <v>1</v>
      </c>
      <c r="BX262">
        <f t="shared" si="569"/>
        <v>1</v>
      </c>
      <c r="BY262" t="str">
        <f>IF(B262="","",_xlfn.LET(_xlpm.bc,IFERROR(IF(VLOOKUP(BC262,Потребители_обозначение,6,FALSE)=0,"",VLOOKUP(BC262,Потребители_обозначение,6,FALSE)&amp;""),""),IF(AND(GA262="да",OR(_xlpm.bc="",_xlpm.bc="мс")),Марка_пож,IF(AND(_xlpm.bc="",BH262&lt;&gt;""),"мс",_xlpm.bc))))</f>
        <v/>
      </c>
      <c r="BZ262" t="str">
        <f t="shared" si="570"/>
        <v>мс</v>
      </c>
      <c r="CA262">
        <f>IF(B262="","",_xlfn.LET(_xlpm.cc,IFERROR(N(VLOOKUP(BC262,Потребители_обозначение,7,FALSE)),0),IF(_xlpm.cc&gt;0,_xlpm.cc,IF(BZ262="","",IF(BV262=1,2,IF(N(BX262)=3,5,3))))))</f>
        <v>3</v>
      </c>
      <c r="CB262">
        <f t="shared" si="571"/>
        <v>3</v>
      </c>
      <c r="CC262">
        <f>IFERROR(N(VLOOKUP(BC262,Потребители_обозначение,10,FALSE)),0)</f>
        <v>0</v>
      </c>
      <c r="CD262">
        <f>IFERROR(VLOOKUP(BC262,Потребители_обозначение,5,FALSE),0)</f>
        <v>1</v>
      </c>
      <c r="CE262" s="6" cm="1">
        <f t="array" ref="CE262">IF(B262="","",IF(BH262&lt;&gt;"",IFERROR(_xlfn.XLOOKUP(BH262,Щиты[Щит],Щиты[cos φ]),0.95),IF(BP262=1,IFERROR(_xlfn.XLOOKUP(A262,Щиты[Щит],Щиты[cos φ]),0.95),IF(ISNUMBER(AD262),AD262,IFERROR(IF(CD262=2,_xlfn.IFS(BX262=3,VLOOKUP(BS262,Справочная_двигатели,8,FALSE),BX262=1,VLOOKUP(BS262,Справочная_двигатели,10,TRUE)),IF(AND(Методика="нормы 2026",FG262="Сил"),0.8,0.95)),0.95)))))</f>
        <v>0.95</v>
      </c>
      <c r="CF262">
        <f t="shared" si="572"/>
        <v>0</v>
      </c>
      <c r="CG262">
        <f t="shared" si="573"/>
        <v>1</v>
      </c>
      <c r="CH262">
        <f t="shared" si="574"/>
        <v>0</v>
      </c>
      <c r="CI262">
        <f>IF(B262="","",IF(BV262=1,IFERROR(BS262/((Uн_лин/SQRT(3))*MAX(0.5,N(CE262))),0),N(O262)))</f>
        <v>1.0939268258329751</v>
      </c>
      <c r="CJ262">
        <f t="shared" si="575"/>
        <v>0</v>
      </c>
      <c r="CK262">
        <f t="shared" si="576"/>
        <v>0</v>
      </c>
      <c r="CL262">
        <f t="shared" si="577"/>
        <v>0</v>
      </c>
      <c r="CM262">
        <f t="shared" si="578"/>
        <v>0</v>
      </c>
      <c r="CN262">
        <f t="shared" si="579"/>
        <v>0</v>
      </c>
      <c r="CO262">
        <f>IF(BC262="",0,_xlfn.LET(_xlpm.v,IFERROR(_xlfn.XLOOKUP(B262,Коды_код,Коды_мА),IFERROR(_xlfn.XLOOKUP(BC262,Коды_код,Коды_мА),IFERROR(_xlfn.XLOOKUP(LEFT(BC262,2),Коды_код,Коды_мА),""))),IF(_xlpm.v="да",30,IF(ISNUMBER(_xlpm.v),_xlpm.v,0))))</f>
        <v>30</v>
      </c>
      <c r="CP262">
        <f t="shared" si="580"/>
        <v>30</v>
      </c>
      <c r="CQ262" t="str">
        <f>_xlfn.LET(_xlpm.k,IFERROR(_xlfn.XLOOKUP(BC262,Коды_код,Коды_утечка)&amp;"",""),IF(_xlpm.k="","дифавтомат",_xlpm.k))</f>
        <v>дифавтомат</v>
      </c>
      <c r="CR262" t="str" cm="1">
        <f t="array" ref="CR262">IF(CG262=0,"",_xlfn.LET(_xlpm.sg,TRIM(_xlfn.TEXTSPLIT(DD262&amp;"",";")),_xlpm.f_,_xlfn._xlws.FILTER(_xlpm.sg,LEFT(_xlpm.sg,3)="УЗО",""),IFERROR(INDEX(_xlpm.f_,1)&amp;"","")))</f>
        <v/>
      </c>
      <c r="CS262" t="str">
        <f t="shared" si="581"/>
        <v/>
      </c>
      <c r="CT262" s="6" t="str" cm="1">
        <f t="array" ref="CT262">IF(CR262="","",_xlfn.LET(_xlpm.tk,_xlfn.TEXTSPLIT(UPPER(CR262)," ",,TRUE),_xlpm.a_,_xlfn._xlws.FILTER(_xlpm.tk,ISNUMBER(--LEFT(_xlpm.tk,1))*((ISNUMBER(SEARCH("А",_xlpm.tk))+ISNUMBER(SEARCH("A",_xlpm.tk)))&gt;0)*NOT(ISNUMBER(SEARCH("МА",_xlpm.tk)))*NOT(ISNUMBER(SEARCH("MA",_xlpm.tk))),""),IFERROR(--SUBSTITUTE(SUBSTITUTE(INDEX(_xlpm.a_,1),"А",""),"A",""),"")))</f>
        <v/>
      </c>
      <c r="CU262" t="str" cm="1">
        <f t="array" ref="CU262">IF(CR262="","",_xlfn.LET(_xlpm.tk,_xlfn.TEXTSPLIT(UPPER(CR262)," ",,TRUE),_xlpm.a_,_xlfn._xlws.FILTER(_xlpm.tk,ISNUMBER(--LEFT(_xlpm.tk,1))*((ISNUMBER(SEARCH("МА",_xlpm.tk))+ISNUMBER(SEARCH("MA",_xlpm.tk)))&gt;0),""),IFERROR(--SUBSTITUTE(SUBSTITUTE(INDEX(_xlpm.a_,1),"МА",""),"MA",""),30)))</f>
        <v/>
      </c>
      <c r="CV262" t="str">
        <f>IF(CS262="","",IFERROR(_xlfn.XLOOKUP(CS262,Линии[_n],Линии[_УЗО, мА]),30))</f>
        <v/>
      </c>
      <c r="CW262">
        <f>IF(CS262="",0,IF(ISNUMBER(SEARCH("4P",IFERROR(_xlfn.XLOOKUP(CS262,Линии[_n],Линии[_УЗО строки])&amp;"",""))),0,1))</f>
        <v>0</v>
      </c>
      <c r="CX262" t="str">
        <f>IF(AND(CS262&lt;&gt;"",CS262=BA262),SUMIFS(Линии[_ток на 230 В],Линии[_блок УЗО],BA262,Линии[Щит],A262),"")</f>
        <v/>
      </c>
      <c r="CY262" t="str">
        <f>IF(AND(CS262&lt;&gt;"",CS262=BA262),SUMIFS(Линии[_ток утечки линии, мА],Линии[_блок УЗО],BA262,Линии[Щит],A262),"")</f>
        <v/>
      </c>
      <c r="CZ262">
        <f t="shared" si="582"/>
        <v>30</v>
      </c>
      <c r="DA262">
        <f t="shared" si="583"/>
        <v>30</v>
      </c>
      <c r="DB262">
        <f>IF(B262="",0,IFERROR(--_xlfn.XLOOKUP(B262,Коды_код,Коды_минавт),IFERROR(--_xlfn.XLOOKUP(BC262,Коды_код,Коды_минавт),IFERROR(--_xlfn.XLOOKUP(LEFT(BC262,2),Коды_код,Коды_минавт),0))))</f>
        <v>16</v>
      </c>
      <c r="DC262" t="str">
        <f>IF(B262="","",IFERROR(_xlfn.XLOOKUP(BC262,Коды_код,Коды_апп)&amp;"",""))</f>
        <v/>
      </c>
      <c r="DD262" t="str">
        <f t="shared" si="584"/>
        <v/>
      </c>
      <c r="DE262" t="str" cm="1">
        <f t="array" ref="DE262">IF(TRIM(DD262&amp;"")="","",IFERROR(TRIM(INDEX(_xlfn.TEXTSPLIT(DD262&amp;";;;",";"),1)),""))</f>
        <v/>
      </c>
      <c r="DF262" t="str" cm="1">
        <f t="array" ref="DF262">IF(TRIM(DD262&amp;"")="","",IFERROR(TRIM(INDEX(_xlfn.TEXTSPLIT(DD262&amp;";;;",";"),2)),""))</f>
        <v/>
      </c>
      <c r="DG262" t="str" cm="1">
        <f t="array" ref="DG262">IF(TRIM(DD262&amp;"")="","",IFERROR(TRIM(INDEX(_xlfn.TEXTSPLIT(DD262&amp;";;;",";"),3)),""))</f>
        <v/>
      </c>
      <c r="DH262">
        <f t="shared" si="585"/>
        <v>0</v>
      </c>
      <c r="DI262" t="str">
        <f>IF(B262="","",_xlfn.LET(_xlpm.t,LOWER(AZ262&amp;""),IF(ISNUMBER(SEARCH("dim",_xlpm.t)),"DIM",IF(ISNUMBER(SEARCH("dali",_xlpm.t)),"DALI",IF(OR(ISNUMBER(SEARCH("relay",_xlpm.t)),ISNUMBER(SEARCH("реле",_xlpm.t))),"Relay",IF(ISNUMBER(SEARCH("кнопк",_xlpm.t)),"",IFERROR(_xlfn.XLOOKUP(BC262,Коды_код,Коды_упр)&amp;"","")))))))</f>
        <v/>
      </c>
      <c r="DJ262" t="str">
        <f t="shared" si="586"/>
        <v/>
      </c>
      <c r="DK262">
        <f>IF(B262="","",_xlfn.LET(_xlpm.ig,IF(N(CX262)&gt;0,N(CX262),N(CI262)+IF(AJ262="вручную",0,N(CJ262))),_xlpm.n0,IFERROR(VLOOKUP(_xlpm.ig,Автомат_номиналы,2,TRUE),0),_xlpm.mn,MAX(DB262,IF(AJ262="вручную",0,N(CM262))),MAX(_xlpm.n0,_xlpm.mn,IF(DH262=1,Мин_автомат_БП,0))))</f>
        <v>16</v>
      </c>
      <c r="DL262">
        <f t="shared" si="587"/>
        <v>1</v>
      </c>
      <c r="DM262" t="str">
        <f t="shared" si="588"/>
        <v>2P</v>
      </c>
      <c r="DN262" t="str">
        <f>_xlfn.LET(_xlpm.cc,UPPER(TRIM(IFERROR(_xlfn.XLOOKUP(BC262,Коды_код,Коды_хар)&amp;"",""))),IF(OR(_xlpm.cc="B",_xlpm.cc="В"),"B",IF(_xlpm.cc="D","D","С")))</f>
        <v>С</v>
      </c>
      <c r="DO262" t="str">
        <f t="shared" si="589"/>
        <v>2P С16А 30мА</v>
      </c>
      <c r="DP262" t="str">
        <f t="shared" si="590"/>
        <v>2P С16А 30мА</v>
      </c>
      <c r="DQ262" t="str">
        <f t="shared" si="591"/>
        <v>2P С16А 30мА</v>
      </c>
      <c r="DR262" cm="1">
        <f t="array" ref="DR262">IF(DQ262="","",_xlfn.LET(_xlpm.t,SUBSTITUTE(SUBSTITUTE(SUBSTITUTE(UPPER(DQ262),"С","C"),"А","A"),"В","B"),_xlpm.tk,_xlfn.TEXTSPLIT(_xlpm.t," "),_xlpm.f,_xlfn._xlws.FILTER(_xlpm.tk,ISNUMBER(--MID(_xlpm.tk,2,1))*ISNUMBER(SEARCH(LEFT(_xlpm.tk,1)&amp;"#","B#C#D#"))*(LEN(_xlpm.tk)&gt;1),""),_xlpm.x,INDEX(_xlpm.f,1),IFERROR(--SUBSTITUTE(MID(_xlpm.x,2,9),"A",""),IFERROR(--SUBSTITUTE(INDEX(_xlfn._xlws.FILTER(_xlpm.tk,ISNUMBER(--SUBSTITUTE(_xlpm.tk,"A","")),""),1),"A",""),""))))</f>
        <v>16</v>
      </c>
      <c r="DS262" t="str">
        <f t="shared" si="592"/>
        <v>ok</v>
      </c>
      <c r="DT262">
        <f t="shared" si="593"/>
        <v>16</v>
      </c>
      <c r="DU262" t="str">
        <f t="shared" si="594"/>
        <v>2P С16А 30мА</v>
      </c>
      <c r="DV262">
        <f t="shared" si="595"/>
        <v>30</v>
      </c>
      <c r="DW262">
        <f t="shared" si="596"/>
        <v>1</v>
      </c>
      <c r="DX262">
        <f t="shared" si="597"/>
        <v>0</v>
      </c>
      <c r="DY262">
        <f t="shared" si="598"/>
        <v>1.0939268258329751</v>
      </c>
      <c r="DZ262">
        <f t="shared" si="599"/>
        <v>1</v>
      </c>
      <c r="EA262">
        <f>IF(ISNUMBER(AP262),AP262,К_прокл)</f>
        <v>1</v>
      </c>
      <c r="EB262">
        <f t="shared" si="600"/>
        <v>2</v>
      </c>
      <c r="EC262">
        <f>IFERROR(N(VLOOKUP(BZ262,Кабель_обозначение,3,FALSE)),1)</f>
        <v>1</v>
      </c>
      <c r="ED262">
        <f>IFERROR(N(_xlfn.XLOOKUP(A262,Щиты[Щит],Щиты[ΔU до шин, %])),0)</f>
        <v>1.19</v>
      </c>
      <c r="EE262" t="str">
        <f>IFERROR(_xlfn.XLOOKUP(A262,Щиты[Щит],Щиты[Zпетли на шинах, Ом]),"")</f>
        <v/>
      </c>
      <c r="EF262">
        <f>IFERROR(N(_xlfn.XLOOKUP(A262,Щиты[Щит],Щиты[ΔU до шин (подбор), %])),0)</f>
        <v>1.19</v>
      </c>
      <c r="EG262" t="str">
        <f>IFERROR(_xlfn.XLOOKUP(A262,Щиты[Щит],Щиты[Zпетли на шинах (подбор), Ом]),"")</f>
        <v/>
      </c>
      <c r="EH262" t="str">
        <f t="shared" si="601"/>
        <v/>
      </c>
      <c r="EI262">
        <f t="shared" si="602"/>
        <v>50</v>
      </c>
      <c r="EJ262">
        <f t="shared" si="603"/>
        <v>2</v>
      </c>
      <c r="EK262">
        <f t="shared" si="604"/>
        <v>0.31</v>
      </c>
      <c r="EL262" s="6">
        <f>IF(B262="","",IF(BV262=1,dU_LED,IF(IFERROR(_xlfn.XLOOKUP(BC262,Коды_код,Коды_уго),"")="Светильник",3,4)+IF(Методика="нормы 2026",MIN(0.5,MAX(0,N(P262)-100)*0.005),0)))</f>
        <v>4</v>
      </c>
      <c r="EM262" cm="1">
        <f t="array" ref="EM262">IF(OR(B262="",BZ262="",EC262&lt;&gt;1),"",_xlfn.LET(_xlpm.sz,Iдоп_S,_xlpm.t_,CHOOSE(EB262,Iдоп_1ж,Iдоп_2ж,Iдоп_3ж)*DZ262*EA262,_xlpm.dcx,BV262=1,_xlpm.inn,IF(_xlpm.dcx,N(O262),N(DT262)),_xlpm.smin,MAX(1.5,CC262),_xlpm.L_,N(P262)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262)/N(BU262)*100,999),IFERROR(N(EJ262)*(_xlpm.rho*_xlpm.L_/_xlpm.sz*N(CE262)+_xlpm.xx*_xlpm.L_*N(EK262)/1000)*N(O262)/((Uн_лин/SQRT(3))*1000)*100,999)),_xlpm.kz,IF(OR(_xlpm.dcx,DW262=1,NOT(ISNUMBER(EG262)),_xlpm.L_=0,_xlpm.inn=0),1,IFERROR(--(c_min*(Uн_лин*1000/SQRT(3))/(EG262+2*ρкз_Cu*_xlpm.L_/_xlpm.sz)&gt;=HT262*_xlpm.inn),0)),_xlpm.ok,IFERROR((_xlpm.sz&gt;=_xlpm.smin)*(_xlpm.t_&gt;=_xlpm.inn)*IF(_xlpm.L_&gt;0,(_xlpm.du_+IF(_xlpm.dcx,0,EF262)&lt;=EL262+0.00001),1)*_xlpm.kz,0),_xlpm.r_,_xlfn._xlws.FILTER(_xlpm.sz,_xlpm.ok,"не подобрано"),INDEX(_xlpm.r_,1)))</f>
        <v>1.5</v>
      </c>
      <c r="EN262">
        <f t="shared" si="605"/>
        <v>2.5</v>
      </c>
      <c r="EO262" cm="1">
        <f t="array" ref="EO262">IF(OR(B262="",BZ262="",EC262&lt;&gt;1),"",_xlfn.LET(_xlpm.sz,Iдоп_S,_xlpm.t_,CHOOSE(EB262,Iдоп_1ж,Iдоп_2ж,Iдоп_3ж)*DZ262*EA262,_xlpm.ok,IFERROR((_xlpm.sz&gt;=MAX(1.5,CC262))*(_xlpm.t_&gt;=N(DT262)),0),_xlpm.r_,_xlfn._xlws.FILTER(_xlpm.sz,_xlpm.ok,""),INDEX(_xlpm.r_,1)))</f>
        <v>1.5</v>
      </c>
      <c r="EP262" s="6" cm="1">
        <f t="array" ref="EP262">IFERROR(ROUNDUP(N(EJ262)*(_xlfn.XLOOKUP(EO262,INDEX(Кабель_сопротивление,0,1),INDEX(Кабель_сопротивление,0,3))*N(P262)/EO262*N(CE262)+_xlfn.XLOOKUP(EO262,INDEX(Кабель_сопротивление,0,1),INDEX(Кабель_сопротивление,0,2))*N(P262)*N(EK262)/1000)*N(O262)/((Uн_лин/SQRT(3))*1000)*100,2),"")</f>
        <v>0.8</v>
      </c>
      <c r="EQ262">
        <f>IFERROR(2*ρкз_Cu*N(P262)/EO262,"")</f>
        <v>2.0689333333333333</v>
      </c>
      <c r="ER262">
        <f>IFERROR(VLOOKUP(EN262,Кабель_сопротивление,3,FALSE),"")</f>
        <v>2.2499999999999999E-2</v>
      </c>
      <c r="ES262">
        <f>IFERROR(VLOOKUP(EN262,Кабель_сопротивление,2,FALSE),"")</f>
        <v>0.1</v>
      </c>
      <c r="ET262">
        <f t="shared" si="606"/>
        <v>31</v>
      </c>
      <c r="EU262">
        <f t="shared" si="607"/>
        <v>8</v>
      </c>
      <c r="EV262">
        <f t="shared" si="608"/>
        <v>1.1076643589117852</v>
      </c>
      <c r="EW262" s="6">
        <f>IFERROR(ROUNDUP(EV262/IF(BV262=1,BU262,(Uн_лин/SQRT(3))*1000)*100,2),"")</f>
        <v>0.48</v>
      </c>
      <c r="EX262" t="str">
        <f>IFERROR(VLOOKUP(BZ262,Кабель_обозначение,2,FALSE),"")</f>
        <v>ВВГнг(А)-LS</v>
      </c>
      <c r="EY262" t="str">
        <f t="shared" si="609"/>
        <v>ВВГнг(А)-LS (3х2,5)</v>
      </c>
      <c r="EZ262" t="str">
        <f t="shared" si="610"/>
        <v>ВВГнг(А)-LS (3х2,5)
L=59-0,48%</v>
      </c>
      <c r="FA262">
        <f>IFERROR(2*ρкз_Cu*P262/EN262,"")</f>
        <v>1.24136</v>
      </c>
      <c r="FB262">
        <f t="shared" si="611"/>
        <v>0.41300000000000009</v>
      </c>
      <c r="FC262" s="6" t="str">
        <f>IFERROR(IF(OR(B262="",BV262=1,NOT(ISNUMBER(EN262)),N(P262)=0),"",_xlfn.XLOOKUP(A262,Щиты[Щит],Щиты[Zпетли на шинах, Ом])+FA262),"")</f>
        <v/>
      </c>
      <c r="FD262" s="6" t="str">
        <f>IF(ISNUMBER(FC262),c_min*(Uн_лин*1000/SQRT(3))/FC262,"")</f>
        <v/>
      </c>
      <c r="FE262" s="6" t="str">
        <f>IFERROR(IF(OR(B262="",NOT(ISNUMBER(EN262))),"",1.05*(Uн_лин*1000/SQRT(3))/(_xlfn.XLOOKUP(A262,Щиты[Щит],Щиты[Zmax на шинах, Ом])+FB262)/1000),"")</f>
        <v/>
      </c>
      <c r="FF262" s="6" t="str">
        <f>IF(B262="","",IF(ISNUMBER(AC262),"Сил",IF(IFERROR(_xlfn.XLOOKUP(BC262,Коды_код,Коды_группа)&amp;"","")="","Быт",_xlfn.XLOOKUP(BC262,Коды_код,Коды_группа)&amp;"")))</f>
        <v>Быт</v>
      </c>
      <c r="FG262" s="6" t="str">
        <f t="shared" si="612"/>
        <v>Быт</v>
      </c>
      <c r="FH262" s="6">
        <f>IF(FG262="Щит","щит",IF(FG262="","",IF(FG262="Быт",IFERROR(_xlfn.XLOOKUP(A262,Щиты[Щит],Щиты[Кс быт]),1),IF(FG262="Сил",IF(ISNUMBER(AC262),AC262,IF(Методика="нормы 2026",IFERROR(_xlfn.XLOOKUP(A262,Щиты[Щит],Щиты[Кс силовых (табл. 7.5)]),1),1)),IF(OR(FG262="Пост",FG262="Отоп"),1,IF(FG262="ВНГ",0.7,0))))))</f>
        <v>0.57830000000000004</v>
      </c>
      <c r="FI262">
        <f>IF(FG262="","",IF(AND(BP262=1,TRIM(AE262&amp;"")=""),IF(COUNTIFS(Линии[Щит],A262,Линии[Секция (1/2/3)],"&gt;=2")&gt;0,MIN(3,MAX(1,IFERROR(--BD262,1))),1),IFERROR(MIN(3,MAX(1,INT(--AE262))),1)))</f>
        <v>1</v>
      </c>
      <c r="FJ262">
        <f t="shared" si="613"/>
        <v>0.24</v>
      </c>
      <c r="FK262">
        <f t="shared" si="614"/>
        <v>0.24</v>
      </c>
      <c r="FL262">
        <f t="shared" si="615"/>
        <v>0</v>
      </c>
      <c r="FM262">
        <f t="shared" si="616"/>
        <v>0</v>
      </c>
      <c r="FN262">
        <f t="shared" si="617"/>
        <v>0</v>
      </c>
      <c r="FO262">
        <f t="shared" si="618"/>
        <v>0</v>
      </c>
      <c r="FP262">
        <f t="shared" si="619"/>
        <v>0.24</v>
      </c>
      <c r="FQ262">
        <f t="shared" si="620"/>
        <v>0.24</v>
      </c>
      <c r="FR262">
        <f t="shared" si="621"/>
        <v>0.22799999999999998</v>
      </c>
      <c r="FS262">
        <f>IF(CG262=1,IF(AND(CH262=1,CW262=1),0,IF(AND(CS262&lt;&gt;"",CS262=BA262,CW262=1),SUMIFS(Линии[_Р линии, кВт],Линии[_блок УЗО],BA262,Линии[Щит],A262),N(BS262)+IF(AJ262="вручную",0,N(CK262)))),0)</f>
        <v>0.24</v>
      </c>
      <c r="FT262" t="str">
        <f t="shared" si="622"/>
        <v/>
      </c>
      <c r="FU262" t="str">
        <f>IF(B262="","",IF(CG262=0,IF(BA262=1,"",FW261),IF(AND(CH262=1,CW262=1,CS262&lt;&gt;""),IFERROR(_xlfn.XLOOKUP(CS262,Линии[_n],Линии[_фаза итог]),"L1"),IF(OR(N(DL262)&gt;=3,N(BX262)&gt;=3),"L1,L2,L3",IFERROR(_xlfn.TEXTBEFORE(_xlfn.TEXTAFTER(_xlfn.XLOOKUP(A262,Щиты[Щит],Щиты[_фазы авто]),";"&amp;BA262&amp;":"),";"),"L1")))))</f>
        <v>L2</v>
      </c>
      <c r="FV262" t="str">
        <f t="shared" si="623"/>
        <v>L2</v>
      </c>
      <c r="FW262" t="str">
        <f t="shared" si="624"/>
        <v>L2</v>
      </c>
      <c r="FX262" cm="1">
        <f t="array" ref="FX262">IFERROR(IF(CD262=2,_xlfn.IFS(BX262=3,VLOOKUP(BS262,Справочная_двигатели,3,FALSE),BX262=1,VLOOKUP(BS262,Справочная_двигатели,5,TRUE)),0),0)</f>
        <v>0</v>
      </c>
      <c r="FY262">
        <f>IFERROR(IF(CD262=3,VLOOKUP(BS262,Справочная_ЛЭД,2,TRUE),0),0)</f>
        <v>0</v>
      </c>
      <c r="FZ262" s="6">
        <f t="shared" si="625"/>
        <v>0</v>
      </c>
      <c r="GA262" t="str">
        <f>IF(B262="","",IF(TRIM(AH262&amp;"")&lt;&gt;"",IF(LOWER(TRIM(AH262&amp;""))="да","да","нет"),IF(IFERROR(_xlfn.XLOOKUP(BC262,Коды_код,Коды_пожарная),"")="да","да","нет")))</f>
        <v>нет</v>
      </c>
      <c r="GB262" t="str">
        <f t="shared" si="626"/>
        <v/>
      </c>
      <c r="GC262" t="str">
        <f t="shared" si="627"/>
        <v>основная</v>
      </c>
      <c r="GD262">
        <f>IF(AND(BP262=1,TRIM(AE262&amp;"")=""),IF(COUNTIFS(Линии[Щит],A262,Линии[Секция (1/2/3)],"&gt;=2")&gt;0,MIN(3,MAX(1,IFERROR(--BD262,1))),1),IFERROR(MIN(3,MAX(1,INT(--AE262))),1))</f>
        <v>1</v>
      </c>
      <c r="GE262" t="str" cm="1">
        <f t="array" ref="GE262">IF(B262="","",_xlfn.LET(_xlpm.t,IFERROR(_xlfn.XLOOKUP(1,(Шины[Шина]=GC262)*(((Шины[Щит]=A262)+(Шины[Щит]=""))&gt;0),Шины[Тип]),"")&amp;"",IF(_xlpm.t&lt;&gt;"",_xlpm.t,IF(ISNUMBER(SEARCH("ИБП",GC262)),"ИБП",IF(ISNUMBER(SEARCH("ДГУ",GC262)),"ДГУ","Ввод "&amp;GD262)))))</f>
        <v>Ввод 1</v>
      </c>
      <c r="GF262" t="str">
        <f t="shared" si="628"/>
        <v>Ввод 1</v>
      </c>
      <c r="GG262" t="str">
        <f>IF(BP262=0,"",IF(TRIM(AG262&amp;"")&lt;&gt;"",TRIM(AG262&amp;""),IF(OR(GE262="ИБП",GE262="ДГУ"),"I особая",_xlfn.XLOOKUP(A262,Щиты[Щит],Щиты[Категория шины «Ввод»],"III"))))</f>
        <v/>
      </c>
      <c r="GH262" t="str">
        <f>IF(A262="","",_xlfn.XLOOKUP(A262,Щиты[Щит],Щиты[Путь],""))</f>
        <v>|ГРЩ-ЖД|ЩР-1|</v>
      </c>
      <c r="GI262" t="str">
        <f>IF(B262="","",IF(AI262&lt;&gt;"",AI262,IF(IFERROR(_xlfn.XLOOKUP(BC262,Коды_код,Коды_вид)&amp;"","")="","Прочее",_xlfn.XLOOKUP(BC262,Коды_код,Коды_вид)&amp;"")))</f>
        <v>Розеточная сеть и бытовые приборы</v>
      </c>
      <c r="GJ262">
        <f>IF(BM262="","",INT((BM262-1)/Столбцов_на_лист)+1)</f>
        <v>3</v>
      </c>
      <c r="GK262" t="str">
        <f t="shared" si="629"/>
        <v>ВВГнг(А)-LS (3х2,5) L=59-0,48%</v>
      </c>
      <c r="GL262">
        <f t="shared" si="630"/>
        <v>0.24</v>
      </c>
      <c r="GM262">
        <f t="shared" si="631"/>
        <v>1.1000000000000001</v>
      </c>
      <c r="GN262">
        <f t="shared" si="632"/>
        <v>1</v>
      </c>
      <c r="GO262">
        <f t="shared" si="633"/>
        <v>0</v>
      </c>
      <c r="GP262">
        <f t="shared" si="634"/>
        <v>1</v>
      </c>
      <c r="GQ262">
        <f>IF(BM262="","",IF(AND(CG262=1,GP262=1),COUNTIFS(A$3:A262,A262,CG$3:CG262,1,GP$3:GP262,1),IF(OR(OR(BA262=1,A262&lt;&gt;A261),AJ262="вручную",GP262=0),"",IF(BA262=1,"",GR261))))</f>
        <v>38</v>
      </c>
      <c r="GR262">
        <f t="shared" si="635"/>
        <v>38</v>
      </c>
      <c r="GS262">
        <f>IF(B262="","",IFERROR(LOOKUP(INDEX(CHOOSE(EB262,Iдоп_1ж,Iдоп_2ж,Iдоп_3ж),MATCH(EN262,Iдоп_S,0))*DZ262*EA262,{6,10,16,20,25,32,40,50,63,80,100,125,160,200,250,315,400,500,630}),""))</f>
        <v>25</v>
      </c>
      <c r="GT262" t="str">
        <f t="shared" si="636"/>
        <v>QFD38</v>
      </c>
      <c r="GU262" t="str">
        <f t="shared" si="637"/>
        <v>QFD38</v>
      </c>
      <c r="GV262" t="str">
        <f t="shared" si="638"/>
        <v/>
      </c>
      <c r="GW262">
        <f t="shared" si="639"/>
        <v>0</v>
      </c>
      <c r="GX262" t="str">
        <f>IF(OR(B262="",DJ262=""),"",IFERROR(_xlfn.XLOOKUP(DJ262,Модули_умолч[Управление],Модули_умолч[Модель])&amp;"",""))</f>
        <v/>
      </c>
      <c r="GY262">
        <f>IF(DJ262="",1,IFERROR(MAX(0,N(_xlfn.XLOOKUP(DJ262,Модули_умолч[Управление],Модули_умолч[Каналов на линию]))),1))</f>
        <v>1</v>
      </c>
      <c r="GZ262" t="str">
        <f t="shared" si="640"/>
        <v/>
      </c>
      <c r="HA262" t="str">
        <f t="shared" si="641"/>
        <v/>
      </c>
      <c r="HB262" t="str">
        <f t="shared" si="642"/>
        <v/>
      </c>
      <c r="HC262">
        <f>IF(HB262="",0,IFERROR(N(VLOOKUP(HB262,Модули_спр,3,FALSE)),0))</f>
        <v>0</v>
      </c>
      <c r="HD262" t="str">
        <f t="shared" si="643"/>
        <v/>
      </c>
      <c r="HE262" t="str">
        <f t="shared" si="644"/>
        <v/>
      </c>
      <c r="HF262" t="str">
        <f>IF(OR(HE262="",HE262="-"),"",IFERROR(VLOOKUP(HE262,Модули_спр,2,FALSE),"R"))</f>
        <v/>
      </c>
      <c r="HG262" t="str">
        <f>IF(HF262="","",HF262&amp;"."&amp;COUNTIFS(A$3:A262,A262,HF$3:HF262,HF262))</f>
        <v/>
      </c>
      <c r="HH262" t="str">
        <f t="shared" si="645"/>
        <v/>
      </c>
      <c r="HI262" t="str">
        <f t="shared" si="646"/>
        <v/>
      </c>
      <c r="HJ262" t="str">
        <f t="shared" si="647"/>
        <v/>
      </c>
      <c r="HK262" t="str">
        <f t="shared" si="648"/>
        <v/>
      </c>
      <c r="HL262">
        <f t="shared" si="649"/>
        <v>1</v>
      </c>
      <c r="HM262" t="str">
        <f>IF(HL262=1,"XT"&amp;COUNTIFS(A$3:A262,A262,HL$3:HL262,1),"")</f>
        <v>XT38</v>
      </c>
      <c r="HN262" t="str">
        <f t="shared" si="650"/>
        <v>XT38</v>
      </c>
      <c r="HO262" t="str">
        <f t="shared" si="651"/>
        <v>QFD38</v>
      </c>
      <c r="HP262" t="str">
        <f t="shared" si="652"/>
        <v/>
      </c>
      <c r="HQ262" t="str">
        <f t="shared" si="653"/>
        <v>ok</v>
      </c>
      <c r="HR262" t="str">
        <f>IF(OR(HJ262="",HH262=""),"",IF(HJ262+MAX(0,GY262-1)&gt;IFERROR(VLOOKUP(HI262,Модули_спр,3,FALSE),99),"ЛИШНИЙ КАНАЛ",IF(AND(AL262&lt;&gt;"=",GY262&gt;0,COUNTIFS(Линии[_модуль гр.],HH262,Линии[Канал (итог)],HJ262,Линии[Канал],"&lt;&gt;=",Линии[Щит],A262)&gt;1),"ДУБЛЬ КАНАЛА","")))</f>
        <v/>
      </c>
      <c r="HS262" s="6" t="str">
        <f t="shared" si="654"/>
        <v/>
      </c>
      <c r="HT262">
        <f t="shared" si="655"/>
        <v>10</v>
      </c>
      <c r="HU262" t="str">
        <f t="shared" si="656"/>
        <v/>
      </c>
      <c r="HV262">
        <f t="shared" si="657"/>
        <v>1.02757073033319</v>
      </c>
      <c r="HW262">
        <f t="shared" si="658"/>
        <v>0</v>
      </c>
      <c r="HX262">
        <f t="shared" si="659"/>
        <v>0</v>
      </c>
      <c r="HY262">
        <f t="shared" si="660"/>
        <v>0</v>
      </c>
      <c r="HZ262">
        <f t="shared" si="661"/>
        <v>0</v>
      </c>
      <c r="IA262">
        <f t="shared" si="662"/>
        <v>0</v>
      </c>
      <c r="IB262">
        <f t="shared" si="663"/>
        <v>0</v>
      </c>
      <c r="IC262" t="str">
        <f t="shared" si="664"/>
        <v/>
      </c>
      <c r="ID262" t="str" cm="1">
        <f t="array" ref="ID262">IF(IC262="","",_xlfn.LET(_xlpm.tk,_xlfn.TEXTSPLIT(SUBSTITUTE(SUBSTITUTE(IC262,";"," "),"→"," ")," ",,TRUE),_xlpm.w_,_xlfn._xlws.FILTER(_xlpm.tk,ISNUMBER(--LEFT(_xlpm.tk,1))*((ISNUMBER(SEARCH("W",_xlpm.tk))+ISNUMBER(SEARCH("Вт",_xlpm.tk)))&gt;0),""),IFERROR(--SUBSTITUTE(SUBSTITUTE(UPPER(INDEX(_xlpm.w_,1)),"W",""),"ВТ",""),"")))</f>
        <v/>
      </c>
      <c r="IE262" t="str" cm="1">
        <f t="array" ref="IE262">IF(IC262="","",_xlfn.LET(_xlpm.tk,_xlfn.TEXTSPLIT(SUBSTITUTE(SUBSTITUTE(IC262,";"," "),"→"," ")," ",,TRUE),_xlpm.v_,_xlfn._xlws.FILTER(_xlpm.tk,ISNUMBER(--LEFT(_xlpm.tk,1))*((ISNUMBER(SEARCH("V",_xlpm.tk))+(RIGHT(UPPER(_xlpm.tk))="В"))&gt;0),""),IFERROR(--SUBSTITUTE(SUBSTITUTE(UPPER(INDEX(_xlpm.v_,1)),"V",""),"В",""),"")))</f>
        <v/>
      </c>
      <c r="IF262" s="6" t="str">
        <f>IF(OR(BV262=0,HI262="",HJ262=""),"",IFERROR(N(_xlfn.XLOOKUP(HI262,Каталог!$C$4:$C$500,Каталог!$Q$4:$Q$500)),""))</f>
        <v/>
      </c>
      <c r="IG262" s="6" t="str">
        <f>IF(N(IF262)=0,"",SUMIFS(Линии[Iр, А],Линии[Щит],A262,Линии[_модуль гр.],HH262,Линии[Канал (итог)],HJ262))</f>
        <v/>
      </c>
      <c r="IH262" t="str">
        <f>IF(AND(B262="",HO262=""),"",_xlfn.TEXTJOIN("; ",TRUE,IF(AND(B262&lt;&gt;"",FV262=""),"нет фазы",""),IF(AND(B262&lt;&gt;"",N(GL262)=0,FG262&lt;&gt;"Нет"),"нет мощности",""),IF(AND(HN262&lt;&gt;"",COUNTIFS(Линии[Щит],A262,Линии[Клемма (итог)],HN262)&gt;1),"дубль клеммы "&amp;HN262,""),IF(AND(HQ262&lt;&gt;"",HQ262&lt;&gt;"ok"),HQ262,""),IF(HR262&lt;&gt;"",HR262,""),IF(AND(N(CB262)&gt;=4,N(BX262)=1),CB262&amp;" жил на 1 фазе",""),IF(AND(BC262="R",CG262=1,IF(CS262&lt;&gt;"",N(CV262)&gt;30,OR(N(DA262)=0,N(DA262)&gt;30))),"розетка без дифзащиты до 30 мА",""),IF(AND(CG262=1,N(DA262)&gt;0,ISNUMBER(T262)),IF(T262&gt;N(DA262)/3,"ток утечки "&amp;FIXED(T262,1)&amp;" мА &gt; 1/3 уставки ("&amp;DA262&amp;" мА)",""),""),IF(AND(CH262=1,CS262=""),"«узо»: нет строки с УЗО выше (УЗО 2P 40А 30мА в «Аппаратах»)",""),IF(AND(CS262&lt;&gt;"",CS262=BA262),IF(CT262="","впишите номинал УЗО (УЗО 2P 40А 30мА)",IF(N(CT262)&lt;N(DT262),"УЗО "&amp;CT262&amp;" А &lt; автомата "&amp;DT262&amp;" А перед ним",IF(N(CT262)&lt;N(CX262),"УЗО "&amp;CT262&amp;" А &lt; тока блока "&amp;FIXED(CX262,1)&amp;" А",""))),""),IF(AND(CS262&lt;&gt;"",CS262=BA262,ISNUMBER(CY262)),IF(CY262&gt;N(CV262)/3,"ток утечки блока УЗО "&amp;FIXED(CY262,1)&amp;" мА &gt; 1/3 уставки ("&amp;CV262&amp;" мА)",""),""),IF(AND(CG262=1,N(BV262)+N(IB262)&gt;0,IC262=""),"линии до 50 В без БП: впишите в «Аппараты» (БП 24V 480W)",""),IF(AND(CG262=1,ISNUMBER(ID262),ISNUMBER(U262)),IF(U262&gt;ID262,"БП "&amp;ID262&amp;" Вт &lt; нужно "&amp;U262&amp;" Вт (×"&amp;Запас_БП&amp;")",""),""),IF(AND(CG262=1,ISNUMBER(IE262),N(BV262)=1),IF(IE262&lt;&gt;N(BU262),"БП на "&amp;IE262&amp;" В, линия "&amp;BU262&amp;" В",""),""),IF(AND(N(IF262)&gt;0,N(IG262)&gt;N(IF262)),HH262&amp;" канал "&amp;HJ262&amp;": "&amp;FIXED(IG262,1)&amp;" А &gt; "&amp;IF262&amp;" А",""),IFERROR(IF(AND(ISNUMBER(Q262),Q262&gt;EL262),"потери "&amp;FIXED(Q262,1)&amp;" % &gt; "&amp;EL262&amp;" %",""),""),IFERROR(IF(LEFT(HU262,4)="мало","Iкз мало — отключение &gt; 0,4 с",""),""),IF(AND(B262&lt;&gt;"",BM262=""),"не на схеме",""),IF(AND(CG262=0,B262&lt;&gt;"",FV262&lt;&gt;"",IF(BA262=1,"",FW261)&lt;&gt;"",FV262&lt;&gt;IF(BA262=1,"",FW261)),"фаза не как у автомата группы ("&amp;IF(BA262=1,"",FW261)&amp;")","")))</f>
        <v/>
      </c>
      <c r="II262" s="6">
        <f>IF(OR(CG262=0,DQ262=""),"",_xlfn.LET(_xlpm.t,IFERROR(_xlfn.XLOOKUP(DQ262,Каталог!$U$4:$U$500,Каталог!$G$4:$G$500),""),_xlpm.k,SEARCH("кА",_xlpm.t),IFERROR(--TRIM(RIGHT(SUBSTITUTE(MID(_xlpm.t,MAX(1,_xlpm.k-4),_xlpm.k-MAX(1,_xlpm.k-4))," ",REPT(" ",9)),5)),"")))</f>
        <v>6</v>
      </c>
      <c r="IJ262" t="str">
        <f>IF(OR(II262="",CG262=0),"",IF(_xlfn.XLOOKUP(A262,Щиты[Щит],Щиты[Iкз max на шинах, кА],"")="","",IF(II262&lt;_xlfn.XLOOKUP(A262,Щиты[Щит],Щиты[Iкз max на шинах, кА]),"Icu "&amp;II262&amp;" кА &lt; Iкз max","ok")))</f>
        <v/>
      </c>
      <c r="IK262" t="str">
        <f t="shared" si="665"/>
        <v/>
      </c>
      <c r="IL262" t="str">
        <f t="shared" si="666"/>
        <v>QFD38|XT38</v>
      </c>
      <c r="IM262" t="str">
        <f t="shared" si="667"/>
        <v>QFD38|XT38|кабель ВВГнг(А)-LS (3х2,5) → Розеточная группа, пом. 017A</v>
      </c>
      <c r="IN262" t="str" cm="1">
        <f t="array" ref="IN262">IF(IM262="","",_xlfn.LET(_xlpm.nd,_xlfn.TEXTSPLIT(IM262,"|"),IF(COLUMNS(_xlpm.nd)&gt;1,A262&amp;"¦"&amp;INDEX(_xlpm.nd,1)&amp;"¦"&amp;INDEX(_xlpm.nd,2),"")))</f>
        <v>ЩР-1¦QFD38¦XT38</v>
      </c>
      <c r="IO262" t="str">
        <f t="shared" si="668"/>
        <v>R.1.017A.1¦Розеточная группа, пом. 017A</v>
      </c>
      <c r="IP262" t="str" cm="1">
        <f t="array" ref="IP262">IF(IM262="","",_xlfn.LET(_xlpm.nd,_xlfn.TEXTSPLIT(IM262,"|"),IF(COLUMNS(_xlpm.nd)&gt;2,A262&amp;"¦"&amp;INDEX(_xlpm.nd,2)&amp;"¦"&amp;INDEX(_xlpm.nd,3),"")))</f>
        <v>ЩР-1¦XT38¦кабель ВВГнг(А)-LS (3х2,5) → Розеточная группа, пом. 017A</v>
      </c>
      <c r="IQ262" t="str">
        <f t="shared" si="669"/>
        <v>R.1.017A.1¦Розеточная группа, пом. 017A</v>
      </c>
      <c r="IR262" t="str" cm="1">
        <f t="array" ref="IR262">IF(IM262="","",_xlfn.LET(_xlpm.nd,_xlfn.TEXTSPLIT(IM262,"|"),IF(COLUMNS(_xlpm.nd)&gt;3,A262&amp;"¦"&amp;INDEX(_xlpm.nd,3)&amp;"¦"&amp;INDEX(_xlpm.nd,4),"")))</f>
        <v/>
      </c>
      <c r="IS262" t="str">
        <f t="shared" si="670"/>
        <v/>
      </c>
      <c r="IT262" t="str" cm="1">
        <f t="array" ref="IT262">IF(IM262="","",_xlfn.LET(_xlpm.nd,_xlfn.TEXTSPLIT(IM262,"|"),IF(COLUMNS(_xlpm.nd)&gt;4,A262&amp;"¦"&amp;INDEX(_xlpm.nd,4)&amp;"¦"&amp;INDEX(_xlpm.nd,5),"")))</f>
        <v/>
      </c>
      <c r="IU262" t="str">
        <f t="shared" si="671"/>
        <v/>
      </c>
      <c r="IV262" t="str" cm="1">
        <f t="array" ref="IV262">IF(IM262="","",_xlfn.LET(_xlpm.nd,_xlfn.TEXTSPLIT(IM262,"|"),IF(COLUMNS(_xlpm.nd)&gt;5,A262&amp;"¦"&amp;INDEX(_xlpm.nd,5)&amp;"¦"&amp;INDEX(_xlpm.nd,6),"")))</f>
        <v/>
      </c>
      <c r="IW262" t="str">
        <f t="shared" si="672"/>
        <v/>
      </c>
      <c r="IX262" t="str" cm="1">
        <f t="array" ref="IX262">IF(IM262="","",_xlfn.LET(_xlpm.nd,_xlfn.TEXTSPLIT(IM262,"|"),IF(COLUMNS(_xlpm.nd)&gt;6,A262&amp;"¦"&amp;INDEX(_xlpm.nd,6)&amp;"¦"&amp;INDEX(_xlpm.nd,7),"")))</f>
        <v/>
      </c>
      <c r="IY262" t="str">
        <f t="shared" si="673"/>
        <v/>
      </c>
      <c r="IZ262" t="str">
        <f t="shared" si="674"/>
        <v/>
      </c>
      <c r="JA262" t="str">
        <f t="shared" si="675"/>
        <v>QFD38 → XT38</v>
      </c>
      <c r="JB262">
        <f t="shared" si="676"/>
        <v>0</v>
      </c>
      <c r="JC262">
        <f t="shared" si="677"/>
        <v>1</v>
      </c>
      <c r="JD262" t="str">
        <f t="shared" si="678"/>
        <v/>
      </c>
      <c r="JE262" t="str">
        <f t="shared" si="679"/>
        <v/>
      </c>
      <c r="JF262" t="str">
        <f t="shared" si="680"/>
        <v/>
      </c>
      <c r="JG262" t="str">
        <f t="shared" si="681"/>
        <v/>
      </c>
      <c r="JH262" t="str">
        <f>IF(B262="","",IFERROR(_xlfn.XLOOKUP(B262,Коды_код,Коды_уго),IFERROR(_xlfn.XLOOKUP(BC262,Коды_код,Коды_уго),IFERROR(_xlfn.XLOOKUP(LEFT(BC262,2),Коды_код,Коды_уго),""))))</f>
        <v>Розетка</v>
      </c>
      <c r="JI262" t="str">
        <f>IF(B262="","",IF(OR(JH262="",JH262=0),"BOX",IFERROR(IF(VLOOKUP(JH262,УГО_блоки,3,FALSE)&amp;""&lt;&gt;"",VLOOKUP(JH262,УГО_блоки,3,FALSE),VLOOKUP(JH262,УГО_блоки,2,FALSE)),JH262)))</f>
        <v>SOCKET</v>
      </c>
      <c r="JJ262">
        <f t="shared" si="682"/>
        <v>1</v>
      </c>
      <c r="JK262" t="str">
        <f>IF(DQ262="","",IF(COUNTIF(DQ$3:DQ262,DQ262)=1,MAX(JK$2:JK261)+1,""))</f>
        <v/>
      </c>
      <c r="JL262" t="str">
        <f>IF(DE262="","",IF(COUNTIF(DE$3:DE262,DE262)+COUNTIF(DF$2:DF261,DE262)+COUNTIF(DG$2:DG261,DE262)=1,MAX(JL$2:JN261)+1,""))</f>
        <v/>
      </c>
      <c r="JM262" t="str">
        <f>IF(DF262="","",IF(COUNTIF(DE$3:DE262,DF262)+COUNTIF(DF$3:DF262,DF262)+COUNTIF(DG$2:DG261,DF262)=1,MAX(JL$2:JN261,JL262)+1,""))</f>
        <v/>
      </c>
      <c r="JN262" t="str">
        <f>IF(DG262="","",IF(COUNTIF(DE$3:DE262,DG262)+COUNTIF(DF$3:DF262,DG262)+COUNTIF(DG$3:DG262,DG262)=1,MAX(JL$2:JN261,JL262,JM262)+1,""))</f>
        <v/>
      </c>
      <c r="JO262" t="str">
        <f t="shared" si="683"/>
        <v>3х2,5</v>
      </c>
      <c r="JP262" t="str">
        <f>IF(JO262="","",IF(COUNTIF(JO$3:JO262,JO262)=1,MAX(JP$2:JP261)+1,""))</f>
        <v/>
      </c>
      <c r="JQ262" t="str">
        <f>IF(HG262="","",COUNTIF(HG$3:HG262,"?*"))</f>
        <v/>
      </c>
      <c r="JR262" t="str">
        <f>IF(OR(HG262="",HI262=""),"",IF(COUNTIFS(HG$3:HG262,"?*",HI$3:HI262,HI262)=1,MAX(JR$2:JR261)+1,""))</f>
        <v/>
      </c>
      <c r="JS262">
        <f t="shared" si="684"/>
        <v>0</v>
      </c>
      <c r="JT262">
        <f>IF(B262="","",COUNTIF(B$3:B262,"?*"))</f>
        <v>260</v>
      </c>
      <c r="JU262">
        <f>IF(HL262&lt;&gt;1,0,_xlfn.LET(_xlpm.k,MAX(IFERROR(--_xlfn.XLOOKUP(B262,Коды_код,Коды_3L),0),IFERROR(--_xlfn.XLOOKUP(BC262,Коды_код,Коды_3L),0),IFERROR(--_xlfn.XLOOKUP(LEFT(BC262,2),Коды_код,Коды_3L),0)),IF(_xlpm.k&gt;0,_xlpm.k,IF(IFERROR(--LEFT(SUBSTITUTE(JO262,"x","х"),FIND("х",SUBSTITUTE(JO262,"x","х"))-1),3)&gt;3,Каталог!$S$9,1))))</f>
        <v>1</v>
      </c>
      <c r="JV262">
        <f t="shared" si="685"/>
        <v>0</v>
      </c>
      <c r="JW262" t="str">
        <f t="shared" si="686"/>
        <v>авто</v>
      </c>
      <c r="JX262">
        <f t="shared" si="687"/>
        <v>30</v>
      </c>
      <c r="JY262">
        <f t="shared" si="688"/>
        <v>1</v>
      </c>
      <c r="JZ262">
        <f t="shared" si="689"/>
        <v>1</v>
      </c>
    </row>
    <row r="263" spans="1:286" x14ac:dyDescent="0.3">
      <c r="A263" t="s">
        <v>757</v>
      </c>
      <c r="B263" t="s">
        <v>1569</v>
      </c>
      <c r="C263" t="str">
        <f>Линии[[#This Row],[_авто наименование]]</f>
        <v>Розеточная группа, пом. 017A</v>
      </c>
      <c r="D263">
        <v>2</v>
      </c>
      <c r="E263">
        <v>0.24</v>
      </c>
      <c r="G263" t="str">
        <f>Линии[[#This Row],[_авто автомат]]</f>
        <v>2P С16А 30мА</v>
      </c>
      <c r="H263" t="str">
        <f>Линии[[#This Row],[_авто управление]]</f>
        <v/>
      </c>
      <c r="I263" t="str">
        <f>Линии[[#This Row],[_авто аппараты]]</f>
        <v/>
      </c>
      <c r="J263">
        <v>2.5</v>
      </c>
      <c r="K263">
        <v>48</v>
      </c>
      <c r="L263" t="str">
        <f>Линии[[#This Row],[_авто фаза]]</f>
        <v>L1</v>
      </c>
      <c r="M263" t="str">
        <f>Линии[[#This Row],[_авто клемма]]</f>
        <v>XT39</v>
      </c>
      <c r="N263" t="str">
        <f t="shared" si="552"/>
        <v/>
      </c>
      <c r="O263" s="6" cm="1">
        <f t="array" ref="O263">IF(B263="","",IF(BH263&lt;&gt;"",IFERROR(_xlfn.XLOOKUP(BH263,Щиты[Щит],Щиты[Iр, А]),""),IF(BP263=1,IF(OR(N(_xlfn.XLOOKUP(A263,Щиты[Щит],Щиты[Вводов],1))&lt;=1,LOWER(TRIM(_xlfn.XLOOKUP(A263,Щиты[Щит],Щиты[АВР],"")&amp;""))="да"),IFERROR(_xlfn.XLOOKUP(A263,Щиты[Щит],Щиты[Iр, А]),""),IFERROR(N(BS263)*_xlfn.XLOOKUP(A263,Щиты[Щит],Щиты[Кс итог])/(SQRT(3)*Uн_лин*_xlfn.XLOOKUP(A263,Щиты[Щит],Щиты[cos φ])),"")),IF(BV263=1,IFERROR(BS263*1000/BU263,""),IFERROR(_xlfn.IFS(BX263=1,BS263/((Uн_лин/SQRT(3))*CE263),BX263=3,BS263/(SQRT(3)*Uн_лин*CE263)),"")))))</f>
        <v>1.0939268258329751</v>
      </c>
      <c r="P263" s="7">
        <f>IF(B263="","",IFERROR(IF(VLOOKUP(BC263,Потребители_обозначение,4,FALSE)=1,VLOOKUP(BC263,Потребители_обозначение,3,FALSE)*(MAX(1,N(D263))*2-1)+EI263+VLOOKUP(BE263,Этаж_обозначение,3,FALSE)+VLOOKUP(BE263,Этаж_обозначение,4,FALSE),VLOOKUP(BC263,Потребители_обозначение,3,FALSE)*(MAX(1,N(D263))*2-1)+EI263),EI263))</f>
        <v>57</v>
      </c>
      <c r="Q263" s="6">
        <f t="shared" si="553"/>
        <v>1.66</v>
      </c>
      <c r="R263" t="str">
        <f t="shared" si="554"/>
        <v>ВВГнг(А)-LS (3х2,5)</v>
      </c>
      <c r="S263" t="str">
        <f>IF(BM263="","",IF(BN263="вводной узел","узел ","")&amp;"л."&amp;(INT((BM263-1)/Столбцов_на_лист)+1)&amp;" / "&amp;(MOD(BM263-1,Столбцов_на_лист)+1))</f>
        <v>л.4 / 2</v>
      </c>
      <c r="T263" s="119">
        <f t="shared" si="555"/>
        <v>1</v>
      </c>
      <c r="U263" s="7" t="str">
        <f>IF(OR(CG263=0,N(BV263)+N(IB263)=0),"",ROUNDUP(Запас_БП*(N(HY263)+N(HZ263)),0))</f>
        <v/>
      </c>
      <c r="V263" s="119" t="str">
        <f t="shared" si="556"/>
        <v/>
      </c>
      <c r="W263" s="7" t="str">
        <f>IFERROR(IF(OR(B263="",BP263=1,BV263=1,NOT(ISNUMBER(EN263)),N(DT263)=0),"",MAX(0,ROUNDDOWN((c_min*(Uн_лин*1000/SQRT(3))/(HT263*N(DT263))-_xlfn.XLOOKUP(A263,Щиты[Щит],Щиты[Zпетли на шинах, Ом]))*EN263/(2*ρкз_Cu),0))),"")</f>
        <v/>
      </c>
      <c r="Y263">
        <f>Линии[[#This Row],[_авто утечка]]</f>
        <v>30</v>
      </c>
      <c r="Z263">
        <v>1</v>
      </c>
      <c r="AA263">
        <v>230</v>
      </c>
      <c r="AB263" t="s">
        <v>562</v>
      </c>
      <c r="AG263" t="s">
        <v>810</v>
      </c>
      <c r="AI263" t="s">
        <v>561</v>
      </c>
      <c r="AK263" t="str">
        <f>Линии[[#This Row],[_авто модуль]]</f>
        <v/>
      </c>
      <c r="AM263">
        <v>53</v>
      </c>
      <c r="AN263" t="s">
        <v>11</v>
      </c>
      <c r="AO263">
        <v>3</v>
      </c>
      <c r="AQ263">
        <v>20</v>
      </c>
      <c r="AR263">
        <v>23</v>
      </c>
      <c r="AS263">
        <v>14</v>
      </c>
      <c r="BA263" cm="1">
        <f t="array" ref="BA263">ROW()-ROW(Линии[#Headers])</f>
        <v>261</v>
      </c>
      <c r="BC263" s="6" t="str">
        <f t="shared" si="557"/>
        <v>R</v>
      </c>
      <c r="BD263" t="str">
        <f t="shared" si="558"/>
        <v>1.017A.2</v>
      </c>
      <c r="BE263" t="str">
        <f t="shared" si="559"/>
        <v>1</v>
      </c>
      <c r="BF263" t="str">
        <f t="shared" si="560"/>
        <v>017A.2</v>
      </c>
      <c r="BG263" t="str">
        <f t="shared" si="561"/>
        <v>017A</v>
      </c>
      <c r="BH263" t="str">
        <f>IF(X263&lt;&gt;"",X263,IF(AND(B263&lt;&gt;"",B263&lt;&gt;A263,ISNUMBER(_xlfn.XMATCH(B263,Щиты[Щит]))),B263,""))</f>
        <v/>
      </c>
      <c r="BI263" t="str" cm="1">
        <f t="array" ref="BI263">IF(B263="","",IF(BH263&lt;&gt;"","Щит "&amp;BH263,_xlfn.LET(_xlpm.nm,IFERROR(_xlfn.XLOOKUP(BC263,Коды_код,Коды_имя)&amp;"",""),_xlpm.md,IFERROR(N(_xlfn.XLOOKUP(BC263,Коды_код,Коды_режим)),1),_xlpm.ex,IF(Имя_режим="по экспликации",IFERROR(_xlfn.XLOOKUP(BE263&amp;"|"&amp;BG263,Экспликация[Этаж]&amp;"|"&amp;Экспликация[Помещение],Экспликация[Название])&amp;"",""),""),_xlpm.rm,IF(BG263="","",IF(_xlpm.ex&lt;&gt;"",". "&amp;_xlpm.ex&amp;IF(Имя_пом="нет"," ("&amp;BG263&amp;")"," (пом. "&amp;BG263&amp;")"),IF(Имя_пом="нет"," ",", пом. ")&amp;BG263)),IF(_xlpm.nm="","",IF(_xlpm.md=2,_xlpm.nm&amp;" шлейф "&amp;BE263,_xlpm.nm&amp;_xlpm.rm)))))</f>
        <v>Розеточная группа, пом. 017A</v>
      </c>
      <c r="BJ263" t="str">
        <f t="shared" si="562"/>
        <v>Розеточная группа, пом. 017A</v>
      </c>
      <c r="BK263">
        <f>IFERROR(_xlfn.XMATCH(A263,Щиты[Щит]),0)</f>
        <v>10</v>
      </c>
      <c r="BL263">
        <f>_xlfn.LET(_xlpm.k,IFERROR(_xlfn.XLOOKUP(A263,Щиты[Щит],Щиты[Мест под вводной узел]),""),IF(_xlpm.k="",Столбцов_на_лист,N(_xlpm.k)))</f>
        <v>8</v>
      </c>
      <c r="BM263">
        <f t="shared" si="563"/>
        <v>53</v>
      </c>
      <c r="BN263" t="str">
        <f t="shared" si="564"/>
        <v>линии</v>
      </c>
      <c r="BO263" s="6">
        <f>IFERROR(N(_xlfn.XLOOKUP(BC263,Коды_код,Коды_квт)),0)</f>
        <v>0</v>
      </c>
      <c r="BP263">
        <f t="shared" si="565"/>
        <v>0</v>
      </c>
      <c r="BQ263" t="str">
        <f>IF(B263="","",IF(BH263&lt;&gt;"",IFERROR(_xlfn.XLOOKUP(BH263,Щиты[Щит],Щиты[Руст, кВт]),0),IF(BP263=1,IF(OR(N(_xlfn.XLOOKUP(A263,Щиты[Щит],Щиты[Вводов],1))&lt;=1,LOWER(TRIM(_xlfn.XLOOKUP(A263,Щиты[Щит],Щиты[АВР],"")&amp;""))="да"),IFERROR(_xlfn.XLOOKUP(A263,Щиты[Щит],Щиты[Руст, кВт]),0),SUMIFS(Линии[_Р для вводов],Линии[Щит],A263,Линии[Источник для режимов],GF263)),IF(BO263&gt;0,ROUND(BO263*MAX(1,N(D263)),3),""))))</f>
        <v/>
      </c>
      <c r="BR263">
        <f t="shared" si="566"/>
        <v>0.24</v>
      </c>
      <c r="BS263" s="6">
        <f>IF(B263="","",IF(BH263&lt;&gt;"",IFERROR(_xlfn.XLOOKUP(BH263,Щиты[Щит],Щиты[Руст, кВт]),0),N(BR263)))</f>
        <v>0.24</v>
      </c>
      <c r="BT263" t="str">
        <f>IF(B263="","",IFERROR(IF(VLOOKUP(BC263,Потребители_обозначение,8,FALSE)=0,"",VLOOKUP(BC263,Потребители_обозначение,8,FALSE)),""))</f>
        <v/>
      </c>
      <c r="BU263">
        <f t="shared" si="567"/>
        <v>230</v>
      </c>
      <c r="BV263">
        <f t="shared" si="568"/>
        <v>0</v>
      </c>
      <c r="BW263">
        <f>IF(B263="","",IF(BH263&lt;&gt;"",3,IFERROR(IF(N(VLOOKUP(BC263,Потребители_обозначение,9,FALSE))=0,1,VLOOKUP(BC263,Потребители_обозначение,9,FALSE)),1)))</f>
        <v>1</v>
      </c>
      <c r="BX263">
        <f t="shared" si="569"/>
        <v>1</v>
      </c>
      <c r="BY263" t="str">
        <f>IF(B263="","",_xlfn.LET(_xlpm.bc,IFERROR(IF(VLOOKUP(BC263,Потребители_обозначение,6,FALSE)=0,"",VLOOKUP(BC263,Потребители_обозначение,6,FALSE)&amp;""),""),IF(AND(GA263="да",OR(_xlpm.bc="",_xlpm.bc="мс")),Марка_пож,IF(AND(_xlpm.bc="",BH263&lt;&gt;""),"мс",_xlpm.bc))))</f>
        <v/>
      </c>
      <c r="BZ263" t="str">
        <f t="shared" si="570"/>
        <v>мс</v>
      </c>
      <c r="CA263">
        <f>IF(B263="","",_xlfn.LET(_xlpm.cc,IFERROR(N(VLOOKUP(BC263,Потребители_обозначение,7,FALSE)),0),IF(_xlpm.cc&gt;0,_xlpm.cc,IF(BZ263="","",IF(BV263=1,2,IF(N(BX263)=3,5,3))))))</f>
        <v>3</v>
      </c>
      <c r="CB263">
        <f t="shared" si="571"/>
        <v>3</v>
      </c>
      <c r="CC263">
        <f>IFERROR(N(VLOOKUP(BC263,Потребители_обозначение,10,FALSE)),0)</f>
        <v>0</v>
      </c>
      <c r="CD263">
        <f>IFERROR(VLOOKUP(BC263,Потребители_обозначение,5,FALSE),0)</f>
        <v>1</v>
      </c>
      <c r="CE263" s="6" cm="1">
        <f t="array" ref="CE263">IF(B263="","",IF(BH263&lt;&gt;"",IFERROR(_xlfn.XLOOKUP(BH263,Щиты[Щит],Щиты[cos φ]),0.95),IF(BP263=1,IFERROR(_xlfn.XLOOKUP(A263,Щиты[Щит],Щиты[cos φ]),0.95),IF(ISNUMBER(AD263),AD263,IFERROR(IF(CD263=2,_xlfn.IFS(BX263=3,VLOOKUP(BS263,Справочная_двигатели,8,FALSE),BX263=1,VLOOKUP(BS263,Справочная_двигатели,10,TRUE)),IF(AND(Методика="нормы 2026",FG263="Сил"),0.8,0.95)),0.95)))))</f>
        <v>0.95</v>
      </c>
      <c r="CF263">
        <f t="shared" si="572"/>
        <v>0</v>
      </c>
      <c r="CG263">
        <f t="shared" si="573"/>
        <v>1</v>
      </c>
      <c r="CH263">
        <f t="shared" si="574"/>
        <v>0</v>
      </c>
      <c r="CI263">
        <f>IF(B263="","",IF(BV263=1,IFERROR(BS263/((Uн_лин/SQRT(3))*MAX(0.5,N(CE263))),0),N(O263)))</f>
        <v>1.0939268258329751</v>
      </c>
      <c r="CJ263">
        <f t="shared" si="575"/>
        <v>0</v>
      </c>
      <c r="CK263">
        <f t="shared" si="576"/>
        <v>0</v>
      </c>
      <c r="CL263">
        <f t="shared" si="577"/>
        <v>0</v>
      </c>
      <c r="CM263">
        <f t="shared" si="578"/>
        <v>0</v>
      </c>
      <c r="CN263">
        <f t="shared" si="579"/>
        <v>0</v>
      </c>
      <c r="CO263">
        <f>IF(BC263="",0,_xlfn.LET(_xlpm.v,IFERROR(_xlfn.XLOOKUP(B263,Коды_код,Коды_мА),IFERROR(_xlfn.XLOOKUP(BC263,Коды_код,Коды_мА),IFERROR(_xlfn.XLOOKUP(LEFT(BC263,2),Коды_код,Коды_мА),""))),IF(_xlpm.v="да",30,IF(ISNUMBER(_xlpm.v),_xlpm.v,0))))</f>
        <v>30</v>
      </c>
      <c r="CP263">
        <f t="shared" si="580"/>
        <v>30</v>
      </c>
      <c r="CQ263" t="str">
        <f>_xlfn.LET(_xlpm.k,IFERROR(_xlfn.XLOOKUP(BC263,Коды_код,Коды_утечка)&amp;"",""),IF(_xlpm.k="","дифавтомат",_xlpm.k))</f>
        <v>дифавтомат</v>
      </c>
      <c r="CR263" t="str" cm="1">
        <f t="array" ref="CR263">IF(CG263=0,"",_xlfn.LET(_xlpm.sg,TRIM(_xlfn.TEXTSPLIT(DD263&amp;"",";")),_xlpm.f_,_xlfn._xlws.FILTER(_xlpm.sg,LEFT(_xlpm.sg,3)="УЗО",""),IFERROR(INDEX(_xlpm.f_,1)&amp;"","")))</f>
        <v/>
      </c>
      <c r="CS263" t="str">
        <f t="shared" si="581"/>
        <v/>
      </c>
      <c r="CT263" s="6" t="str" cm="1">
        <f t="array" ref="CT263">IF(CR263="","",_xlfn.LET(_xlpm.tk,_xlfn.TEXTSPLIT(UPPER(CR263)," ",,TRUE),_xlpm.a_,_xlfn._xlws.FILTER(_xlpm.tk,ISNUMBER(--LEFT(_xlpm.tk,1))*((ISNUMBER(SEARCH("А",_xlpm.tk))+ISNUMBER(SEARCH("A",_xlpm.tk)))&gt;0)*NOT(ISNUMBER(SEARCH("МА",_xlpm.tk)))*NOT(ISNUMBER(SEARCH("MA",_xlpm.tk))),""),IFERROR(--SUBSTITUTE(SUBSTITUTE(INDEX(_xlpm.a_,1),"А",""),"A",""),"")))</f>
        <v/>
      </c>
      <c r="CU263" t="str" cm="1">
        <f t="array" ref="CU263">IF(CR263="","",_xlfn.LET(_xlpm.tk,_xlfn.TEXTSPLIT(UPPER(CR263)," ",,TRUE),_xlpm.a_,_xlfn._xlws.FILTER(_xlpm.tk,ISNUMBER(--LEFT(_xlpm.tk,1))*((ISNUMBER(SEARCH("МА",_xlpm.tk))+ISNUMBER(SEARCH("MA",_xlpm.tk)))&gt;0),""),IFERROR(--SUBSTITUTE(SUBSTITUTE(INDEX(_xlpm.a_,1),"МА",""),"MA",""),30)))</f>
        <v/>
      </c>
      <c r="CV263" t="str">
        <f>IF(CS263="","",IFERROR(_xlfn.XLOOKUP(CS263,Линии[_n],Линии[_УЗО, мА]),30))</f>
        <v/>
      </c>
      <c r="CW263">
        <f>IF(CS263="",0,IF(ISNUMBER(SEARCH("4P",IFERROR(_xlfn.XLOOKUP(CS263,Линии[_n],Линии[_УЗО строки])&amp;"",""))),0,1))</f>
        <v>0</v>
      </c>
      <c r="CX263" t="str">
        <f>IF(AND(CS263&lt;&gt;"",CS263=BA263),SUMIFS(Линии[_ток на 230 В],Линии[_блок УЗО],BA263,Линии[Щит],A263),"")</f>
        <v/>
      </c>
      <c r="CY263" t="str">
        <f>IF(AND(CS263&lt;&gt;"",CS263=BA263),SUMIFS(Линии[_ток утечки линии, мА],Линии[_блок УЗО],BA263,Линии[Щит],A263),"")</f>
        <v/>
      </c>
      <c r="CZ263">
        <f t="shared" si="582"/>
        <v>30</v>
      </c>
      <c r="DA263">
        <f t="shared" si="583"/>
        <v>30</v>
      </c>
      <c r="DB263">
        <f>IF(B263="",0,IFERROR(--_xlfn.XLOOKUP(B263,Коды_код,Коды_минавт),IFERROR(--_xlfn.XLOOKUP(BC263,Коды_код,Коды_минавт),IFERROR(--_xlfn.XLOOKUP(LEFT(BC263,2),Коды_код,Коды_минавт),0))))</f>
        <v>16</v>
      </c>
      <c r="DC263" t="str">
        <f>IF(B263="","",IFERROR(_xlfn.XLOOKUP(BC263,Коды_код,Коды_апп)&amp;"",""))</f>
        <v/>
      </c>
      <c r="DD263" t="str">
        <f t="shared" si="584"/>
        <v/>
      </c>
      <c r="DE263" t="str" cm="1">
        <f t="array" ref="DE263">IF(TRIM(DD263&amp;"")="","",IFERROR(TRIM(INDEX(_xlfn.TEXTSPLIT(DD263&amp;";;;",";"),1)),""))</f>
        <v/>
      </c>
      <c r="DF263" t="str" cm="1">
        <f t="array" ref="DF263">IF(TRIM(DD263&amp;"")="","",IFERROR(TRIM(INDEX(_xlfn.TEXTSPLIT(DD263&amp;";;;",";"),2)),""))</f>
        <v/>
      </c>
      <c r="DG263" t="str" cm="1">
        <f t="array" ref="DG263">IF(TRIM(DD263&amp;"")="","",IFERROR(TRIM(INDEX(_xlfn.TEXTSPLIT(DD263&amp;";;;",";"),3)),""))</f>
        <v/>
      </c>
      <c r="DH263">
        <f t="shared" si="585"/>
        <v>0</v>
      </c>
      <c r="DI263" t="str">
        <f>IF(B263="","",_xlfn.LET(_xlpm.t,LOWER(AZ263&amp;""),IF(ISNUMBER(SEARCH("dim",_xlpm.t)),"DIM",IF(ISNUMBER(SEARCH("dali",_xlpm.t)),"DALI",IF(OR(ISNUMBER(SEARCH("relay",_xlpm.t)),ISNUMBER(SEARCH("реле",_xlpm.t))),"Relay",IF(ISNUMBER(SEARCH("кнопк",_xlpm.t)),"",IFERROR(_xlfn.XLOOKUP(BC263,Коды_код,Коды_упр)&amp;"","")))))))</f>
        <v/>
      </c>
      <c r="DJ263" t="str">
        <f t="shared" si="586"/>
        <v/>
      </c>
      <c r="DK263">
        <f>IF(B263="","",_xlfn.LET(_xlpm.ig,IF(N(CX263)&gt;0,N(CX263),N(CI263)+IF(AJ263="вручную",0,N(CJ263))),_xlpm.n0,IFERROR(VLOOKUP(_xlpm.ig,Автомат_номиналы,2,TRUE),0),_xlpm.mn,MAX(DB263,IF(AJ263="вручную",0,N(CM263))),MAX(_xlpm.n0,_xlpm.mn,IF(DH263=1,Мин_автомат_БП,0))))</f>
        <v>16</v>
      </c>
      <c r="DL263">
        <f t="shared" si="587"/>
        <v>1</v>
      </c>
      <c r="DM263" t="str">
        <f t="shared" si="588"/>
        <v>2P</v>
      </c>
      <c r="DN263" t="str">
        <f>_xlfn.LET(_xlpm.cc,UPPER(TRIM(IFERROR(_xlfn.XLOOKUP(BC263,Коды_код,Коды_хар)&amp;"",""))),IF(OR(_xlpm.cc="B",_xlpm.cc="В"),"B",IF(_xlpm.cc="D","D","С")))</f>
        <v>С</v>
      </c>
      <c r="DO263" t="str">
        <f t="shared" si="589"/>
        <v>2P С16А 30мА</v>
      </c>
      <c r="DP263" t="str">
        <f t="shared" si="590"/>
        <v>2P С16А 30мА</v>
      </c>
      <c r="DQ263" t="str">
        <f t="shared" si="591"/>
        <v>2P С16А 30мА</v>
      </c>
      <c r="DR263" cm="1">
        <f t="array" ref="DR263">IF(DQ263="","",_xlfn.LET(_xlpm.t,SUBSTITUTE(SUBSTITUTE(SUBSTITUTE(UPPER(DQ263),"С","C"),"А","A"),"В","B"),_xlpm.tk,_xlfn.TEXTSPLIT(_xlpm.t," "),_xlpm.f,_xlfn._xlws.FILTER(_xlpm.tk,ISNUMBER(--MID(_xlpm.tk,2,1))*ISNUMBER(SEARCH(LEFT(_xlpm.tk,1)&amp;"#","B#C#D#"))*(LEN(_xlpm.tk)&gt;1),""),_xlpm.x,INDEX(_xlpm.f,1),IFERROR(--SUBSTITUTE(MID(_xlpm.x,2,9),"A",""),IFERROR(--SUBSTITUTE(INDEX(_xlfn._xlws.FILTER(_xlpm.tk,ISNUMBER(--SUBSTITUTE(_xlpm.tk,"A","")),""),1),"A",""),""))))</f>
        <v>16</v>
      </c>
      <c r="DS263" t="str">
        <f t="shared" si="592"/>
        <v>ok</v>
      </c>
      <c r="DT263">
        <f t="shared" si="593"/>
        <v>16</v>
      </c>
      <c r="DU263" t="str">
        <f t="shared" si="594"/>
        <v>2P С16А 30мА</v>
      </c>
      <c r="DV263">
        <f t="shared" si="595"/>
        <v>30</v>
      </c>
      <c r="DW263">
        <f t="shared" si="596"/>
        <v>1</v>
      </c>
      <c r="DX263">
        <f t="shared" si="597"/>
        <v>0</v>
      </c>
      <c r="DY263">
        <f t="shared" si="598"/>
        <v>1.0939268258329751</v>
      </c>
      <c r="DZ263">
        <f t="shared" si="599"/>
        <v>1</v>
      </c>
      <c r="EA263">
        <f>IF(ISNUMBER(AP263),AP263,К_прокл)</f>
        <v>1</v>
      </c>
      <c r="EB263">
        <f t="shared" si="600"/>
        <v>2</v>
      </c>
      <c r="EC263">
        <f>IFERROR(N(VLOOKUP(BZ263,Кабель_обозначение,3,FALSE)),1)</f>
        <v>1</v>
      </c>
      <c r="ED263">
        <f>IFERROR(N(_xlfn.XLOOKUP(A263,Щиты[Щит],Щиты[ΔU до шин, %])),0)</f>
        <v>1.19</v>
      </c>
      <c r="EE263" t="str">
        <f>IFERROR(_xlfn.XLOOKUP(A263,Щиты[Щит],Щиты[Zпетли на шинах, Ом]),"")</f>
        <v/>
      </c>
      <c r="EF263">
        <f>IFERROR(N(_xlfn.XLOOKUP(A263,Щиты[Щит],Щиты[ΔU до шин (подбор), %])),0)</f>
        <v>1.19</v>
      </c>
      <c r="EG263" t="str">
        <f>IFERROR(_xlfn.XLOOKUP(A263,Щиты[Щит],Щиты[Zпетли на шинах (подбор), Ом]),"")</f>
        <v/>
      </c>
      <c r="EH263" t="str">
        <f t="shared" si="601"/>
        <v/>
      </c>
      <c r="EI263">
        <f t="shared" si="602"/>
        <v>48</v>
      </c>
      <c r="EJ263">
        <f t="shared" si="603"/>
        <v>2</v>
      </c>
      <c r="EK263">
        <f t="shared" si="604"/>
        <v>0.31</v>
      </c>
      <c r="EL263" s="6">
        <f>IF(B263="","",IF(BV263=1,dU_LED,IF(IFERROR(_xlfn.XLOOKUP(BC263,Коды_код,Коды_уго),"")="Светильник",3,4)+IF(Методика="нормы 2026",MIN(0.5,MAX(0,N(P263)-100)*0.005),0)))</f>
        <v>4</v>
      </c>
      <c r="EM263" cm="1">
        <f t="array" ref="EM263">IF(OR(B263="",BZ263="",EC263&lt;&gt;1),"",_xlfn.LET(_xlpm.sz,Iдоп_S,_xlpm.t_,CHOOSE(EB263,Iдоп_1ж,Iдоп_2ж,Iдоп_3ж)*DZ263*EA263,_xlpm.dcx,BV263=1,_xlpm.inn,IF(_xlpm.dcx,N(O263),N(DT263)),_xlpm.smin,MAX(1.5,CC263),_xlpm.L_,N(P263)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263)/N(BU263)*100,999),IFERROR(N(EJ263)*(_xlpm.rho*_xlpm.L_/_xlpm.sz*N(CE263)+_xlpm.xx*_xlpm.L_*N(EK263)/1000)*N(O263)/((Uн_лин/SQRT(3))*1000)*100,999)),_xlpm.kz,IF(OR(_xlpm.dcx,DW263=1,NOT(ISNUMBER(EG263)),_xlpm.L_=0,_xlpm.inn=0),1,IFERROR(--(c_min*(Uн_лин*1000/SQRT(3))/(EG263+2*ρкз_Cu*_xlpm.L_/_xlpm.sz)&gt;=HT263*_xlpm.inn),0)),_xlpm.ok,IFERROR((_xlpm.sz&gt;=_xlpm.smin)*(_xlpm.t_&gt;=_xlpm.inn)*IF(_xlpm.L_&gt;0,(_xlpm.du_+IF(_xlpm.dcx,0,EF263)&lt;=EL263+0.00001),1)*_xlpm.kz,0),_xlpm.r_,_xlfn._xlws.FILTER(_xlpm.sz,_xlpm.ok,"не подобрано"),INDEX(_xlpm.r_,1)))</f>
        <v>1.5</v>
      </c>
      <c r="EN263">
        <f t="shared" si="605"/>
        <v>2.5</v>
      </c>
      <c r="EO263" cm="1">
        <f t="array" ref="EO263">IF(OR(B263="",BZ263="",EC263&lt;&gt;1),"",_xlfn.LET(_xlpm.sz,Iдоп_S,_xlpm.t_,CHOOSE(EB263,Iдоп_1ж,Iдоп_2ж,Iдоп_3ж)*DZ263*EA263,_xlpm.ok,IFERROR((_xlpm.sz&gt;=MAX(1.5,CC263))*(_xlpm.t_&gt;=N(DT263)),0),_xlpm.r_,_xlfn._xlws.FILTER(_xlpm.sz,_xlpm.ok,""),INDEX(_xlpm.r_,1)))</f>
        <v>1.5</v>
      </c>
      <c r="EP263" s="6" cm="1">
        <f t="array" ref="EP263">IFERROR(ROUNDUP(N(EJ263)*(_xlfn.XLOOKUP(EO263,INDEX(Кабель_сопротивление,0,1),INDEX(Кабель_сопротивление,0,3))*N(P263)/EO263*N(CE263)+_xlfn.XLOOKUP(EO263,INDEX(Кабель_сопротивление,0,1),INDEX(Кабель_сопротивление,0,2))*N(P263)*N(EK263)/1000)*N(O263)/((Uн_лин/SQRT(3))*1000)*100,2),"")</f>
        <v>0.78</v>
      </c>
      <c r="EQ263">
        <f>IFERROR(2*ρкз_Cu*N(P263)/EO263,"")</f>
        <v>1.9988000000000001</v>
      </c>
      <c r="ER263">
        <f>IFERROR(VLOOKUP(EN263,Кабель_сопротивление,3,FALSE),"")</f>
        <v>2.2499999999999999E-2</v>
      </c>
      <c r="ES263">
        <f>IFERROR(VLOOKUP(EN263,Кабель_сопротивление,2,FALSE),"")</f>
        <v>0.1</v>
      </c>
      <c r="ET263">
        <f t="shared" si="606"/>
        <v>23</v>
      </c>
      <c r="EU263">
        <f t="shared" si="607"/>
        <v>14</v>
      </c>
      <c r="EV263">
        <f t="shared" si="608"/>
        <v>1.0701164145418947</v>
      </c>
      <c r="EW263" s="6">
        <f>IFERROR(ROUNDUP(EV263/IF(BV263=1,BU263,(Uн_лин/SQRT(3))*1000)*100,2),"")</f>
        <v>0.47000000000000003</v>
      </c>
      <c r="EX263" t="str">
        <f>IFERROR(VLOOKUP(BZ263,Кабель_обозначение,2,FALSE),"")</f>
        <v>ВВГнг(А)-LS</v>
      </c>
      <c r="EY263" t="str">
        <f t="shared" si="609"/>
        <v>ВВГнг(А)-LS (3х2,5)</v>
      </c>
      <c r="EZ263" t="str">
        <f t="shared" si="610"/>
        <v>ВВГнг(А)-LS (3х2,5)
L=57-0,47%</v>
      </c>
      <c r="FA263">
        <f>IFERROR(2*ρкз_Cu*P263/EN263,"")</f>
        <v>1.1992800000000001</v>
      </c>
      <c r="FB263">
        <f t="shared" si="611"/>
        <v>0.39900000000000002</v>
      </c>
      <c r="FC263" s="6" t="str">
        <f>IFERROR(IF(OR(B263="",BV263=1,NOT(ISNUMBER(EN263)),N(P263)=0),"",_xlfn.XLOOKUP(A263,Щиты[Щит],Щиты[Zпетли на шинах, Ом])+FA263),"")</f>
        <v/>
      </c>
      <c r="FD263" s="6" t="str">
        <f>IF(ISNUMBER(FC263),c_min*(Uн_лин*1000/SQRT(3))/FC263,"")</f>
        <v/>
      </c>
      <c r="FE263" s="6" t="str">
        <f>IFERROR(IF(OR(B263="",NOT(ISNUMBER(EN263))),"",1.05*(Uн_лин*1000/SQRT(3))/(_xlfn.XLOOKUP(A263,Щиты[Щит],Щиты[Zmax на шинах, Ом])+FB263)/1000),"")</f>
        <v/>
      </c>
      <c r="FF263" s="6" t="str">
        <f>IF(B263="","",IF(ISNUMBER(AC263),"Сил",IF(IFERROR(_xlfn.XLOOKUP(BC263,Коды_код,Коды_группа)&amp;"","")="","Быт",_xlfn.XLOOKUP(BC263,Коды_код,Коды_группа)&amp;"")))</f>
        <v>Быт</v>
      </c>
      <c r="FG263" s="6" t="str">
        <f t="shared" si="612"/>
        <v>Быт</v>
      </c>
      <c r="FH263" s="6">
        <f>IF(FG263="Щит","щит",IF(FG263="","",IF(FG263="Быт",IFERROR(_xlfn.XLOOKUP(A263,Щиты[Щит],Щиты[Кс быт]),1),IF(FG263="Сил",IF(ISNUMBER(AC263),AC263,IF(Методика="нормы 2026",IFERROR(_xlfn.XLOOKUP(A263,Щиты[Щит],Щиты[Кс силовых (табл. 7.5)]),1),1)),IF(OR(FG263="Пост",FG263="Отоп"),1,IF(FG263="ВНГ",0.7,0))))))</f>
        <v>0.57830000000000004</v>
      </c>
      <c r="FI263">
        <f>IF(FG263="","",IF(AND(BP263=1,TRIM(AE263&amp;"")=""),IF(COUNTIFS(Линии[Щит],A263,Линии[Секция (1/2/3)],"&gt;=2")&gt;0,MIN(3,MAX(1,IFERROR(--BD263,1))),1),IFERROR(MIN(3,MAX(1,INT(--AE263))),1)))</f>
        <v>1</v>
      </c>
      <c r="FJ263">
        <f t="shared" si="613"/>
        <v>0.24</v>
      </c>
      <c r="FK263">
        <f t="shared" si="614"/>
        <v>0.24</v>
      </c>
      <c r="FL263">
        <f t="shared" si="615"/>
        <v>0</v>
      </c>
      <c r="FM263">
        <f t="shared" si="616"/>
        <v>0</v>
      </c>
      <c r="FN263">
        <f t="shared" si="617"/>
        <v>0</v>
      </c>
      <c r="FO263">
        <f t="shared" si="618"/>
        <v>0</v>
      </c>
      <c r="FP263">
        <f t="shared" si="619"/>
        <v>0.24</v>
      </c>
      <c r="FQ263">
        <f t="shared" si="620"/>
        <v>0.24</v>
      </c>
      <c r="FR263">
        <f t="shared" si="621"/>
        <v>0.22799999999999998</v>
      </c>
      <c r="FS263">
        <f>IF(CG263=1,IF(AND(CH263=1,CW263=1),0,IF(AND(CS263&lt;&gt;"",CS263=BA263,CW263=1),SUMIFS(Линии[_Р линии, кВт],Линии[_блок УЗО],BA263,Линии[Щит],A263),N(BS263)+IF(AJ263="вручную",0,N(CK263)))),0)</f>
        <v>0.24</v>
      </c>
      <c r="FT263" t="str">
        <f t="shared" si="622"/>
        <v/>
      </c>
      <c r="FU263" t="str">
        <f>IF(B263="","",IF(CG263=0,IF(BA263=1,"",FW262),IF(AND(CH263=1,CW263=1,CS263&lt;&gt;""),IFERROR(_xlfn.XLOOKUP(CS263,Линии[_n],Линии[_фаза итог]),"L1"),IF(OR(N(DL263)&gt;=3,N(BX263)&gt;=3),"L1,L2,L3",IFERROR(_xlfn.TEXTBEFORE(_xlfn.TEXTAFTER(_xlfn.XLOOKUP(A263,Щиты[Щит],Щиты[_фазы авто]),";"&amp;BA263&amp;":"),";"),"L1")))))</f>
        <v>L1</v>
      </c>
      <c r="FV263" t="str">
        <f t="shared" si="623"/>
        <v>L1</v>
      </c>
      <c r="FW263" t="str">
        <f t="shared" si="624"/>
        <v>L1</v>
      </c>
      <c r="FX263" cm="1">
        <f t="array" ref="FX263">IFERROR(IF(CD263=2,_xlfn.IFS(BX263=3,VLOOKUP(BS263,Справочная_двигатели,3,FALSE),BX263=1,VLOOKUP(BS263,Справочная_двигатели,5,TRUE)),0),0)</f>
        <v>0</v>
      </c>
      <c r="FY263">
        <f>IFERROR(IF(CD263=3,VLOOKUP(BS263,Справочная_ЛЭД,2,TRUE),0),0)</f>
        <v>0</v>
      </c>
      <c r="FZ263" s="6">
        <f t="shared" si="625"/>
        <v>0</v>
      </c>
      <c r="GA263" t="str">
        <f>IF(B263="","",IF(TRIM(AH263&amp;"")&lt;&gt;"",IF(LOWER(TRIM(AH263&amp;""))="да","да","нет"),IF(IFERROR(_xlfn.XLOOKUP(BC263,Коды_код,Коды_пожарная),"")="да","да","нет")))</f>
        <v>нет</v>
      </c>
      <c r="GB263" t="str">
        <f t="shared" si="626"/>
        <v/>
      </c>
      <c r="GC263" t="str">
        <f t="shared" si="627"/>
        <v>основная</v>
      </c>
      <c r="GD263">
        <f>IF(AND(BP263=1,TRIM(AE263&amp;"")=""),IF(COUNTIFS(Линии[Щит],A263,Линии[Секция (1/2/3)],"&gt;=2")&gt;0,MIN(3,MAX(1,IFERROR(--BD263,1))),1),IFERROR(MIN(3,MAX(1,INT(--AE263))),1))</f>
        <v>1</v>
      </c>
      <c r="GE263" t="str" cm="1">
        <f t="array" ref="GE263">IF(B263="","",_xlfn.LET(_xlpm.t,IFERROR(_xlfn.XLOOKUP(1,(Шины[Шина]=GC263)*(((Шины[Щит]=A263)+(Шины[Щит]=""))&gt;0),Шины[Тип]),"")&amp;"",IF(_xlpm.t&lt;&gt;"",_xlpm.t,IF(ISNUMBER(SEARCH("ИБП",GC263)),"ИБП",IF(ISNUMBER(SEARCH("ДГУ",GC263)),"ДГУ","Ввод "&amp;GD263)))))</f>
        <v>Ввод 1</v>
      </c>
      <c r="GF263" t="str">
        <f t="shared" si="628"/>
        <v>Ввод 1</v>
      </c>
      <c r="GG263" t="str">
        <f>IF(BP263=0,"",IF(TRIM(AG263&amp;"")&lt;&gt;"",TRIM(AG263&amp;""),IF(OR(GE263="ИБП",GE263="ДГУ"),"I особая",_xlfn.XLOOKUP(A263,Щиты[Щит],Щиты[Категория шины «Ввод»],"III"))))</f>
        <v/>
      </c>
      <c r="GH263" t="str">
        <f>IF(A263="","",_xlfn.XLOOKUP(A263,Щиты[Щит],Щиты[Путь],""))</f>
        <v>|ГРЩ-ЖД|ЩР-1|</v>
      </c>
      <c r="GI263" t="str">
        <f>IF(B263="","",IF(AI263&lt;&gt;"",AI263,IF(IFERROR(_xlfn.XLOOKUP(BC263,Коды_код,Коды_вид)&amp;"","")="","Прочее",_xlfn.XLOOKUP(BC263,Коды_код,Коды_вид)&amp;"")))</f>
        <v>Розеточная сеть и бытовые приборы</v>
      </c>
      <c r="GJ263">
        <f>IF(BM263="","",INT((BM263-1)/Столбцов_на_лист)+1)</f>
        <v>4</v>
      </c>
      <c r="GK263" t="str">
        <f t="shared" si="629"/>
        <v>ВВГнг(А)-LS (3х2,5) L=57-0,47%</v>
      </c>
      <c r="GL263">
        <f t="shared" si="630"/>
        <v>0.24</v>
      </c>
      <c r="GM263">
        <f t="shared" si="631"/>
        <v>1.1000000000000001</v>
      </c>
      <c r="GN263">
        <f t="shared" si="632"/>
        <v>1</v>
      </c>
      <c r="GO263">
        <f t="shared" si="633"/>
        <v>0</v>
      </c>
      <c r="GP263">
        <f t="shared" si="634"/>
        <v>1</v>
      </c>
      <c r="GQ263">
        <f>IF(BM263="","",IF(AND(CG263=1,GP263=1),COUNTIFS(A$3:A263,A263,CG$3:CG263,1,GP$3:GP263,1),IF(OR(OR(BA263=1,A263&lt;&gt;A262),AJ263="вручную",GP263=0),"",IF(BA263=1,"",GR262))))</f>
        <v>39</v>
      </c>
      <c r="GR263">
        <f t="shared" si="635"/>
        <v>39</v>
      </c>
      <c r="GS263">
        <f>IF(B263="","",IFERROR(LOOKUP(INDEX(CHOOSE(EB263,Iдоп_1ж,Iдоп_2ж,Iдоп_3ж),MATCH(EN263,Iдоп_S,0))*DZ263*EA263,{6,10,16,20,25,32,40,50,63,80,100,125,160,200,250,315,400,500,630}),""))</f>
        <v>25</v>
      </c>
      <c r="GT263" t="str">
        <f t="shared" si="636"/>
        <v>QFD39</v>
      </c>
      <c r="GU263" t="str">
        <f t="shared" si="637"/>
        <v>QFD39</v>
      </c>
      <c r="GV263" t="str">
        <f t="shared" si="638"/>
        <v/>
      </c>
      <c r="GW263">
        <f t="shared" si="639"/>
        <v>0</v>
      </c>
      <c r="GX263" t="str">
        <f>IF(OR(B263="",DJ263=""),"",IFERROR(_xlfn.XLOOKUP(DJ263,Модули_умолч[Управление],Модули_умолч[Модель])&amp;"",""))</f>
        <v/>
      </c>
      <c r="GY263">
        <f>IF(DJ263="",1,IFERROR(MAX(0,N(_xlfn.XLOOKUP(DJ263,Модули_умолч[Управление],Модули_умолч[Каналов на линию]))),1))</f>
        <v>1</v>
      </c>
      <c r="GZ263" t="str">
        <f t="shared" si="640"/>
        <v/>
      </c>
      <c r="HA263" t="str">
        <f t="shared" si="641"/>
        <v/>
      </c>
      <c r="HB263" t="str">
        <f t="shared" si="642"/>
        <v/>
      </c>
      <c r="HC263">
        <f>IF(HB263="",0,IFERROR(N(VLOOKUP(HB263,Модули_спр,3,FALSE)),0))</f>
        <v>0</v>
      </c>
      <c r="HD263" t="str">
        <f t="shared" si="643"/>
        <v/>
      </c>
      <c r="HE263" t="str">
        <f t="shared" si="644"/>
        <v/>
      </c>
      <c r="HF263" t="str">
        <f>IF(OR(HE263="",HE263="-"),"",IFERROR(VLOOKUP(HE263,Модули_спр,2,FALSE),"R"))</f>
        <v/>
      </c>
      <c r="HG263" t="str">
        <f>IF(HF263="","",HF263&amp;"."&amp;COUNTIFS(A$3:A263,A263,HF$3:HF263,HF263))</f>
        <v/>
      </c>
      <c r="HH263" t="str">
        <f t="shared" si="645"/>
        <v/>
      </c>
      <c r="HI263" t="str">
        <f t="shared" si="646"/>
        <v/>
      </c>
      <c r="HJ263" t="str">
        <f t="shared" si="647"/>
        <v/>
      </c>
      <c r="HK263" t="str">
        <f t="shared" si="648"/>
        <v/>
      </c>
      <c r="HL263">
        <f t="shared" si="649"/>
        <v>1</v>
      </c>
      <c r="HM263" t="str">
        <f>IF(HL263=1,"XT"&amp;COUNTIFS(A$3:A263,A263,HL$3:HL263,1),"")</f>
        <v>XT39</v>
      </c>
      <c r="HN263" t="str">
        <f t="shared" si="650"/>
        <v>XT39</v>
      </c>
      <c r="HO263" t="str">
        <f t="shared" si="651"/>
        <v>QFD39</v>
      </c>
      <c r="HP263" t="str">
        <f t="shared" si="652"/>
        <v/>
      </c>
      <c r="HQ263" t="str">
        <f t="shared" si="653"/>
        <v>ok</v>
      </c>
      <c r="HR263" t="str">
        <f>IF(OR(HJ263="",HH263=""),"",IF(HJ263+MAX(0,GY263-1)&gt;IFERROR(VLOOKUP(HI263,Модули_спр,3,FALSE),99),"ЛИШНИЙ КАНАЛ",IF(AND(AL263&lt;&gt;"=",GY263&gt;0,COUNTIFS(Линии[_модуль гр.],HH263,Линии[Канал (итог)],HJ263,Линии[Канал],"&lt;&gt;=",Линии[Щит],A263)&gt;1),"ДУБЛЬ КАНАЛА","")))</f>
        <v/>
      </c>
      <c r="HS263" s="6" t="str">
        <f t="shared" si="654"/>
        <v/>
      </c>
      <c r="HT263">
        <f t="shared" si="655"/>
        <v>10</v>
      </c>
      <c r="HU263" t="str">
        <f t="shared" si="656"/>
        <v/>
      </c>
      <c r="HV263">
        <f t="shared" si="657"/>
        <v>1.0075707303331902</v>
      </c>
      <c r="HW263">
        <f t="shared" si="658"/>
        <v>0</v>
      </c>
      <c r="HX263">
        <f t="shared" si="659"/>
        <v>0</v>
      </c>
      <c r="HY263">
        <f t="shared" si="660"/>
        <v>0</v>
      </c>
      <c r="HZ263">
        <f t="shared" si="661"/>
        <v>0</v>
      </c>
      <c r="IA263">
        <f t="shared" si="662"/>
        <v>0</v>
      </c>
      <c r="IB263">
        <f t="shared" si="663"/>
        <v>0</v>
      </c>
      <c r="IC263" t="str">
        <f t="shared" si="664"/>
        <v/>
      </c>
      <c r="ID263" t="str" cm="1">
        <f t="array" ref="ID263">IF(IC263="","",_xlfn.LET(_xlpm.tk,_xlfn.TEXTSPLIT(SUBSTITUTE(SUBSTITUTE(IC263,";"," "),"→"," ")," ",,TRUE),_xlpm.w_,_xlfn._xlws.FILTER(_xlpm.tk,ISNUMBER(--LEFT(_xlpm.tk,1))*((ISNUMBER(SEARCH("W",_xlpm.tk))+ISNUMBER(SEARCH("Вт",_xlpm.tk)))&gt;0),""),IFERROR(--SUBSTITUTE(SUBSTITUTE(UPPER(INDEX(_xlpm.w_,1)),"W",""),"ВТ",""),"")))</f>
        <v/>
      </c>
      <c r="IE263" t="str" cm="1">
        <f t="array" ref="IE263">IF(IC263="","",_xlfn.LET(_xlpm.tk,_xlfn.TEXTSPLIT(SUBSTITUTE(SUBSTITUTE(IC263,";"," "),"→"," ")," ",,TRUE),_xlpm.v_,_xlfn._xlws.FILTER(_xlpm.tk,ISNUMBER(--LEFT(_xlpm.tk,1))*((ISNUMBER(SEARCH("V",_xlpm.tk))+(RIGHT(UPPER(_xlpm.tk))="В"))&gt;0),""),IFERROR(--SUBSTITUTE(SUBSTITUTE(UPPER(INDEX(_xlpm.v_,1)),"V",""),"В",""),"")))</f>
        <v/>
      </c>
      <c r="IF263" s="6" t="str">
        <f>IF(OR(BV263=0,HI263="",HJ263=""),"",IFERROR(N(_xlfn.XLOOKUP(HI263,Каталог!$C$4:$C$500,Каталог!$Q$4:$Q$500)),""))</f>
        <v/>
      </c>
      <c r="IG263" s="6" t="str">
        <f>IF(N(IF263)=0,"",SUMIFS(Линии[Iр, А],Линии[Щит],A263,Линии[_модуль гр.],HH263,Линии[Канал (итог)],HJ263))</f>
        <v/>
      </c>
      <c r="IH263" t="str">
        <f>IF(AND(B263="",HO263=""),"",_xlfn.TEXTJOIN("; ",TRUE,IF(AND(B263&lt;&gt;"",FV263=""),"нет фазы",""),IF(AND(B263&lt;&gt;"",N(GL263)=0,FG263&lt;&gt;"Нет"),"нет мощности",""),IF(AND(HN263&lt;&gt;"",COUNTIFS(Линии[Щит],A263,Линии[Клемма (итог)],HN263)&gt;1),"дубль клеммы "&amp;HN263,""),IF(AND(HQ263&lt;&gt;"",HQ263&lt;&gt;"ok"),HQ263,""),IF(HR263&lt;&gt;"",HR263,""),IF(AND(N(CB263)&gt;=4,N(BX263)=1),CB263&amp;" жил на 1 фазе",""),IF(AND(BC263="R",CG263=1,IF(CS263&lt;&gt;"",N(CV263)&gt;30,OR(N(DA263)=0,N(DA263)&gt;30))),"розетка без дифзащиты до 30 мА",""),IF(AND(CG263=1,N(DA263)&gt;0,ISNUMBER(T263)),IF(T263&gt;N(DA263)/3,"ток утечки "&amp;FIXED(T263,1)&amp;" мА &gt; 1/3 уставки ("&amp;DA263&amp;" мА)",""),""),IF(AND(CH263=1,CS263=""),"«узо»: нет строки с УЗО выше (УЗО 2P 40А 30мА в «Аппаратах»)",""),IF(AND(CS263&lt;&gt;"",CS263=BA263),IF(CT263="","впишите номинал УЗО (УЗО 2P 40А 30мА)",IF(N(CT263)&lt;N(DT263),"УЗО "&amp;CT263&amp;" А &lt; автомата "&amp;DT263&amp;" А перед ним",IF(N(CT263)&lt;N(CX263),"УЗО "&amp;CT263&amp;" А &lt; тока блока "&amp;FIXED(CX263,1)&amp;" А",""))),""),IF(AND(CS263&lt;&gt;"",CS263=BA263,ISNUMBER(CY263)),IF(CY263&gt;N(CV263)/3,"ток утечки блока УЗО "&amp;FIXED(CY263,1)&amp;" мА &gt; 1/3 уставки ("&amp;CV263&amp;" мА)",""),""),IF(AND(CG263=1,N(BV263)+N(IB263)&gt;0,IC263=""),"линии до 50 В без БП: впишите в «Аппараты» (БП 24V 480W)",""),IF(AND(CG263=1,ISNUMBER(ID263),ISNUMBER(U263)),IF(U263&gt;ID263,"БП "&amp;ID263&amp;" Вт &lt; нужно "&amp;U263&amp;" Вт (×"&amp;Запас_БП&amp;")",""),""),IF(AND(CG263=1,ISNUMBER(IE263),N(BV263)=1),IF(IE263&lt;&gt;N(BU263),"БП на "&amp;IE263&amp;" В, линия "&amp;BU263&amp;" В",""),""),IF(AND(N(IF263)&gt;0,N(IG263)&gt;N(IF263)),HH263&amp;" канал "&amp;HJ263&amp;": "&amp;FIXED(IG263,1)&amp;" А &gt; "&amp;IF263&amp;" А",""),IFERROR(IF(AND(ISNUMBER(Q263),Q263&gt;EL263),"потери "&amp;FIXED(Q263,1)&amp;" % &gt; "&amp;EL263&amp;" %",""),""),IFERROR(IF(LEFT(HU263,4)="мало","Iкз мало — отключение &gt; 0,4 с",""),""),IF(AND(B263&lt;&gt;"",BM263=""),"не на схеме",""),IF(AND(CG263=0,B263&lt;&gt;"",FV263&lt;&gt;"",IF(BA263=1,"",FW262)&lt;&gt;"",FV263&lt;&gt;IF(BA263=1,"",FW262)),"фаза не как у автомата группы ("&amp;IF(BA263=1,"",FW262)&amp;")","")))</f>
        <v/>
      </c>
      <c r="II263" s="6">
        <f>IF(OR(CG263=0,DQ263=""),"",_xlfn.LET(_xlpm.t,IFERROR(_xlfn.XLOOKUP(DQ263,Каталог!$U$4:$U$500,Каталог!$G$4:$G$500),""),_xlpm.k,SEARCH("кА",_xlpm.t),IFERROR(--TRIM(RIGHT(SUBSTITUTE(MID(_xlpm.t,MAX(1,_xlpm.k-4),_xlpm.k-MAX(1,_xlpm.k-4))," ",REPT(" ",9)),5)),"")))</f>
        <v>6</v>
      </c>
      <c r="IJ263" t="str">
        <f>IF(OR(II263="",CG263=0),"",IF(_xlfn.XLOOKUP(A263,Щиты[Щит],Щиты[Iкз max на шинах, кА],"")="","",IF(II263&lt;_xlfn.XLOOKUP(A263,Щиты[Щит],Щиты[Iкз max на шинах, кА]),"Icu "&amp;II263&amp;" кА &lt; Iкз max","ok")))</f>
        <v/>
      </c>
      <c r="IK263" t="str">
        <f t="shared" si="665"/>
        <v/>
      </c>
      <c r="IL263" t="str">
        <f t="shared" si="666"/>
        <v>QFD39|XT39</v>
      </c>
      <c r="IM263" t="str">
        <f t="shared" si="667"/>
        <v>QFD39|XT39|кабель ВВГнг(А)-LS (3х2,5) → Розеточная группа, пом. 017A</v>
      </c>
      <c r="IN263" t="str" cm="1">
        <f t="array" ref="IN263">IF(IM263="","",_xlfn.LET(_xlpm.nd,_xlfn.TEXTSPLIT(IM263,"|"),IF(COLUMNS(_xlpm.nd)&gt;1,A263&amp;"¦"&amp;INDEX(_xlpm.nd,1)&amp;"¦"&amp;INDEX(_xlpm.nd,2),"")))</f>
        <v>ЩР-1¦QFD39¦XT39</v>
      </c>
      <c r="IO263" t="str">
        <f t="shared" si="668"/>
        <v>R.1.017A.2¦Розеточная группа, пом. 017A</v>
      </c>
      <c r="IP263" t="str" cm="1">
        <f t="array" ref="IP263">IF(IM263="","",_xlfn.LET(_xlpm.nd,_xlfn.TEXTSPLIT(IM263,"|"),IF(COLUMNS(_xlpm.nd)&gt;2,A263&amp;"¦"&amp;INDEX(_xlpm.nd,2)&amp;"¦"&amp;INDEX(_xlpm.nd,3),"")))</f>
        <v>ЩР-1¦XT39¦кабель ВВГнг(А)-LS (3х2,5) → Розеточная группа, пом. 017A</v>
      </c>
      <c r="IQ263" t="str">
        <f t="shared" si="669"/>
        <v>R.1.017A.2¦Розеточная группа, пом. 017A</v>
      </c>
      <c r="IR263" t="str" cm="1">
        <f t="array" ref="IR263">IF(IM263="","",_xlfn.LET(_xlpm.nd,_xlfn.TEXTSPLIT(IM263,"|"),IF(COLUMNS(_xlpm.nd)&gt;3,A263&amp;"¦"&amp;INDEX(_xlpm.nd,3)&amp;"¦"&amp;INDEX(_xlpm.nd,4),"")))</f>
        <v/>
      </c>
      <c r="IS263" t="str">
        <f t="shared" si="670"/>
        <v/>
      </c>
      <c r="IT263" t="str" cm="1">
        <f t="array" ref="IT263">IF(IM263="","",_xlfn.LET(_xlpm.nd,_xlfn.TEXTSPLIT(IM263,"|"),IF(COLUMNS(_xlpm.nd)&gt;4,A263&amp;"¦"&amp;INDEX(_xlpm.nd,4)&amp;"¦"&amp;INDEX(_xlpm.nd,5),"")))</f>
        <v/>
      </c>
      <c r="IU263" t="str">
        <f t="shared" si="671"/>
        <v/>
      </c>
      <c r="IV263" t="str" cm="1">
        <f t="array" ref="IV263">IF(IM263="","",_xlfn.LET(_xlpm.nd,_xlfn.TEXTSPLIT(IM263,"|"),IF(COLUMNS(_xlpm.nd)&gt;5,A263&amp;"¦"&amp;INDEX(_xlpm.nd,5)&amp;"¦"&amp;INDEX(_xlpm.nd,6),"")))</f>
        <v/>
      </c>
      <c r="IW263" t="str">
        <f t="shared" si="672"/>
        <v/>
      </c>
      <c r="IX263" t="str" cm="1">
        <f t="array" ref="IX263">IF(IM263="","",_xlfn.LET(_xlpm.nd,_xlfn.TEXTSPLIT(IM263,"|"),IF(COLUMNS(_xlpm.nd)&gt;6,A263&amp;"¦"&amp;INDEX(_xlpm.nd,6)&amp;"¦"&amp;INDEX(_xlpm.nd,7),"")))</f>
        <v/>
      </c>
      <c r="IY263" t="str">
        <f t="shared" si="673"/>
        <v/>
      </c>
      <c r="IZ263" t="str">
        <f t="shared" si="674"/>
        <v/>
      </c>
      <c r="JA263" t="str">
        <f t="shared" si="675"/>
        <v>QFD39 → XT39</v>
      </c>
      <c r="JB263">
        <f t="shared" si="676"/>
        <v>0</v>
      </c>
      <c r="JC263">
        <f t="shared" si="677"/>
        <v>1</v>
      </c>
      <c r="JD263" t="str">
        <f t="shared" si="678"/>
        <v/>
      </c>
      <c r="JE263" t="str">
        <f t="shared" si="679"/>
        <v/>
      </c>
      <c r="JF263" t="str">
        <f t="shared" si="680"/>
        <v/>
      </c>
      <c r="JG263" t="str">
        <f t="shared" si="681"/>
        <v/>
      </c>
      <c r="JH263" t="str">
        <f>IF(B263="","",IFERROR(_xlfn.XLOOKUP(B263,Коды_код,Коды_уго),IFERROR(_xlfn.XLOOKUP(BC263,Коды_код,Коды_уго),IFERROR(_xlfn.XLOOKUP(LEFT(BC263,2),Коды_код,Коды_уго),""))))</f>
        <v>Розетка</v>
      </c>
      <c r="JI263" t="str">
        <f>IF(B263="","",IF(OR(JH263="",JH263=0),"BOX",IFERROR(IF(VLOOKUP(JH263,УГО_блоки,3,FALSE)&amp;""&lt;&gt;"",VLOOKUP(JH263,УГО_блоки,3,FALSE),VLOOKUP(JH263,УГО_блоки,2,FALSE)),JH263)))</f>
        <v>SOCKET</v>
      </c>
      <c r="JJ263">
        <f t="shared" si="682"/>
        <v>1</v>
      </c>
      <c r="JK263" t="str">
        <f>IF(DQ263="","",IF(COUNTIF(DQ$3:DQ263,DQ263)=1,MAX(JK$2:JK262)+1,""))</f>
        <v/>
      </c>
      <c r="JL263" t="str">
        <f>IF(DE263="","",IF(COUNTIF(DE$3:DE263,DE263)+COUNTIF(DF$2:DF262,DE263)+COUNTIF(DG$2:DG262,DE263)=1,MAX(JL$2:JN262)+1,""))</f>
        <v/>
      </c>
      <c r="JM263" t="str">
        <f>IF(DF263="","",IF(COUNTIF(DE$3:DE263,DF263)+COUNTIF(DF$3:DF263,DF263)+COUNTIF(DG$2:DG262,DF263)=1,MAX(JL$2:JN262,JL263)+1,""))</f>
        <v/>
      </c>
      <c r="JN263" t="str">
        <f>IF(DG263="","",IF(COUNTIF(DE$3:DE263,DG263)+COUNTIF(DF$3:DF263,DG263)+COUNTIF(DG$3:DG263,DG263)=1,MAX(JL$2:JN262,JL263,JM263)+1,""))</f>
        <v/>
      </c>
      <c r="JO263" t="str">
        <f t="shared" si="683"/>
        <v>3х2,5</v>
      </c>
      <c r="JP263" t="str">
        <f>IF(JO263="","",IF(COUNTIF(JO$3:JO263,JO263)=1,MAX(JP$2:JP262)+1,""))</f>
        <v/>
      </c>
      <c r="JQ263" t="str">
        <f>IF(HG263="","",COUNTIF(HG$3:HG263,"?*"))</f>
        <v/>
      </c>
      <c r="JR263" t="str">
        <f>IF(OR(HG263="",HI263=""),"",IF(COUNTIFS(HG$3:HG263,"?*",HI$3:HI263,HI263)=1,MAX(JR$2:JR262)+1,""))</f>
        <v/>
      </c>
      <c r="JS263">
        <f t="shared" si="684"/>
        <v>0</v>
      </c>
      <c r="JT263">
        <f>IF(B263="","",COUNTIF(B$3:B263,"?*"))</f>
        <v>261</v>
      </c>
      <c r="JU263">
        <f>IF(HL263&lt;&gt;1,0,_xlfn.LET(_xlpm.k,MAX(IFERROR(--_xlfn.XLOOKUP(B263,Коды_код,Коды_3L),0),IFERROR(--_xlfn.XLOOKUP(BC263,Коды_код,Коды_3L),0),IFERROR(--_xlfn.XLOOKUP(LEFT(BC263,2),Коды_код,Коды_3L),0)),IF(_xlpm.k&gt;0,_xlpm.k,IF(IFERROR(--LEFT(SUBSTITUTE(JO263,"x","х"),FIND("х",SUBSTITUTE(JO263,"x","х"))-1),3)&gt;3,Каталог!$S$9,1))))</f>
        <v>1</v>
      </c>
      <c r="JV263">
        <f t="shared" si="685"/>
        <v>0</v>
      </c>
      <c r="JW263" t="str">
        <f t="shared" si="686"/>
        <v>авто</v>
      </c>
      <c r="JX263">
        <f t="shared" si="687"/>
        <v>30</v>
      </c>
      <c r="JY263">
        <f t="shared" si="688"/>
        <v>1</v>
      </c>
      <c r="JZ263">
        <f t="shared" si="689"/>
        <v>1</v>
      </c>
    </row>
    <row r="264" spans="1:286" x14ac:dyDescent="0.3">
      <c r="A264" t="s">
        <v>757</v>
      </c>
      <c r="B264" t="s">
        <v>1570</v>
      </c>
      <c r="C264" t="str">
        <f>Линии[[#This Row],[_авто наименование]]</f>
        <v>Розеточная группа, пом. 018A</v>
      </c>
      <c r="D264">
        <v>1</v>
      </c>
      <c r="E264">
        <v>0.12</v>
      </c>
      <c r="G264" t="str">
        <f>Линии[[#This Row],[_авто автомат]]</f>
        <v>2P С16А 30мА</v>
      </c>
      <c r="H264" t="str">
        <f>Линии[[#This Row],[_авто управление]]</f>
        <v/>
      </c>
      <c r="I264" t="str">
        <f>Линии[[#This Row],[_авто аппараты]]</f>
        <v/>
      </c>
      <c r="J264">
        <v>2.5</v>
      </c>
      <c r="K264">
        <v>39</v>
      </c>
      <c r="L264" t="str">
        <f>Линии[[#This Row],[_авто фаза]]</f>
        <v>L2</v>
      </c>
      <c r="M264" t="str">
        <f>Линии[[#This Row],[_авто клемма]]</f>
        <v>XT40</v>
      </c>
      <c r="N264" t="str">
        <f t="shared" si="552"/>
        <v/>
      </c>
      <c r="O264" s="6" cm="1">
        <f t="array" ref="O264">IF(B264="","",IF(BH264&lt;&gt;"",IFERROR(_xlfn.XLOOKUP(BH264,Щиты[Щит],Щиты[Iр, А]),""),IF(BP264=1,IF(OR(N(_xlfn.XLOOKUP(A264,Щиты[Щит],Щиты[Вводов],1))&lt;=1,LOWER(TRIM(_xlfn.XLOOKUP(A264,Щиты[Щит],Щиты[АВР],"")&amp;""))="да"),IFERROR(_xlfn.XLOOKUP(A264,Щиты[Щит],Щиты[Iр, А]),""),IFERROR(N(BS264)*_xlfn.XLOOKUP(A264,Щиты[Щит],Щиты[Кс итог])/(SQRT(3)*Uн_лин*_xlfn.XLOOKUP(A264,Щиты[Щит],Щиты[cos φ])),"")),IF(BV264=1,IFERROR(BS264*1000/BU264,""),IFERROR(_xlfn.IFS(BX264=1,BS264/((Uн_лин/SQRT(3))*CE264),BX264=3,BS264/(SQRT(3)*Uн_лин*CE264)),"")))))</f>
        <v>0.54696341291648753</v>
      </c>
      <c r="P264" s="7">
        <f>IF(B264="","",IFERROR(IF(VLOOKUP(BC264,Потребители_обозначение,4,FALSE)=1,VLOOKUP(BC264,Потребители_обозначение,3,FALSE)*(MAX(1,N(D264))*2-1)+EI264+VLOOKUP(BE264,Этаж_обозначение,3,FALSE)+VLOOKUP(BE264,Этаж_обозначение,4,FALSE),VLOOKUP(BC264,Потребители_обозначение,3,FALSE)*(MAX(1,N(D264))*2-1)+EI264),EI264))</f>
        <v>42</v>
      </c>
      <c r="Q264" s="6">
        <f t="shared" si="553"/>
        <v>1.3699999999999999</v>
      </c>
      <c r="R264" t="str">
        <f t="shared" si="554"/>
        <v>ВВГнг(А)-LS (3х2,5)</v>
      </c>
      <c r="S264" t="str">
        <f>IF(BM264="","",IF(BN264="вводной узел","узел ","")&amp;"л."&amp;(INT((BM264-1)/Столбцов_на_лист)+1)&amp;" / "&amp;(MOD(BM264-1,Столбцов_на_лист)+1))</f>
        <v>л.4 / 3</v>
      </c>
      <c r="T264" s="119">
        <f t="shared" si="555"/>
        <v>0.6</v>
      </c>
      <c r="U264" s="7" t="str">
        <f>IF(OR(CG264=0,N(BV264)+N(IB264)=0),"",ROUNDUP(Запас_БП*(N(HY264)+N(HZ264)),0))</f>
        <v/>
      </c>
      <c r="V264" s="119" t="str">
        <f t="shared" si="556"/>
        <v/>
      </c>
      <c r="W264" s="7" t="str">
        <f>IFERROR(IF(OR(B264="",BP264=1,BV264=1,NOT(ISNUMBER(EN264)),N(DT264)=0),"",MAX(0,ROUNDDOWN((c_min*(Uн_лин*1000/SQRT(3))/(HT264*N(DT264))-_xlfn.XLOOKUP(A264,Щиты[Щит],Щиты[Zпетли на шинах, Ом]))*EN264/(2*ρкз_Cu),0))),"")</f>
        <v/>
      </c>
      <c r="Y264">
        <f>Линии[[#This Row],[_авто утечка]]</f>
        <v>30</v>
      </c>
      <c r="Z264">
        <v>1</v>
      </c>
      <c r="AA264">
        <v>230</v>
      </c>
      <c r="AB264" t="s">
        <v>562</v>
      </c>
      <c r="AG264" t="s">
        <v>810</v>
      </c>
      <c r="AI264" t="s">
        <v>561</v>
      </c>
      <c r="AK264" t="str">
        <f>Линии[[#This Row],[_авто модуль]]</f>
        <v/>
      </c>
      <c r="AM264">
        <v>54</v>
      </c>
      <c r="AN264" t="s">
        <v>11</v>
      </c>
      <c r="AO264">
        <v>3</v>
      </c>
      <c r="AQ264">
        <v>20</v>
      </c>
      <c r="AR264">
        <v>18</v>
      </c>
      <c r="AS264">
        <v>4</v>
      </c>
      <c r="BA264" cm="1">
        <f t="array" ref="BA264">ROW()-ROW(Линии[#Headers])</f>
        <v>262</v>
      </c>
      <c r="BC264" s="6" t="str">
        <f t="shared" si="557"/>
        <v>R</v>
      </c>
      <c r="BD264" t="str">
        <f t="shared" si="558"/>
        <v>1.018A.1</v>
      </c>
      <c r="BE264" t="str">
        <f t="shared" si="559"/>
        <v>1</v>
      </c>
      <c r="BF264" t="str">
        <f t="shared" si="560"/>
        <v>018A.1</v>
      </c>
      <c r="BG264" t="str">
        <f t="shared" si="561"/>
        <v>018A</v>
      </c>
      <c r="BH264" t="str">
        <f>IF(X264&lt;&gt;"",X264,IF(AND(B264&lt;&gt;"",B264&lt;&gt;A264,ISNUMBER(_xlfn.XMATCH(B264,Щиты[Щит]))),B264,""))</f>
        <v/>
      </c>
      <c r="BI264" t="str" cm="1">
        <f t="array" ref="BI264">IF(B264="","",IF(BH264&lt;&gt;"","Щит "&amp;BH264,_xlfn.LET(_xlpm.nm,IFERROR(_xlfn.XLOOKUP(BC264,Коды_код,Коды_имя)&amp;"",""),_xlpm.md,IFERROR(N(_xlfn.XLOOKUP(BC264,Коды_код,Коды_режим)),1),_xlpm.ex,IF(Имя_режим="по экспликации",IFERROR(_xlfn.XLOOKUP(BE264&amp;"|"&amp;BG264,Экспликация[Этаж]&amp;"|"&amp;Экспликация[Помещение],Экспликация[Название])&amp;"",""),""),_xlpm.rm,IF(BG264="","",IF(_xlpm.ex&lt;&gt;"",". "&amp;_xlpm.ex&amp;IF(Имя_пом="нет"," ("&amp;BG264&amp;")"," (пом. "&amp;BG264&amp;")"),IF(Имя_пом="нет"," ",", пом. ")&amp;BG264)),IF(_xlpm.nm="","",IF(_xlpm.md=2,_xlpm.nm&amp;" шлейф "&amp;BE264,_xlpm.nm&amp;_xlpm.rm)))))</f>
        <v>Розеточная группа, пом. 018A</v>
      </c>
      <c r="BJ264" t="str">
        <f t="shared" si="562"/>
        <v>Розеточная группа, пом. 018A</v>
      </c>
      <c r="BK264">
        <f>IFERROR(_xlfn.XMATCH(A264,Щиты[Щит]),0)</f>
        <v>10</v>
      </c>
      <c r="BL264">
        <f>_xlfn.LET(_xlpm.k,IFERROR(_xlfn.XLOOKUP(A264,Щиты[Щит],Щиты[Мест под вводной узел]),""),IF(_xlpm.k="",Столбцов_на_лист,N(_xlpm.k)))</f>
        <v>8</v>
      </c>
      <c r="BM264">
        <f t="shared" si="563"/>
        <v>54</v>
      </c>
      <c r="BN264" t="str">
        <f t="shared" si="564"/>
        <v>линии</v>
      </c>
      <c r="BO264" s="6">
        <f>IFERROR(N(_xlfn.XLOOKUP(BC264,Коды_код,Коды_квт)),0)</f>
        <v>0</v>
      </c>
      <c r="BP264">
        <f t="shared" si="565"/>
        <v>0</v>
      </c>
      <c r="BQ264" t="str">
        <f>IF(B264="","",IF(BH264&lt;&gt;"",IFERROR(_xlfn.XLOOKUP(BH264,Щиты[Щит],Щиты[Руст, кВт]),0),IF(BP264=1,IF(OR(N(_xlfn.XLOOKUP(A264,Щиты[Щит],Щиты[Вводов],1))&lt;=1,LOWER(TRIM(_xlfn.XLOOKUP(A264,Щиты[Щит],Щиты[АВР],"")&amp;""))="да"),IFERROR(_xlfn.XLOOKUP(A264,Щиты[Щит],Щиты[Руст, кВт]),0),SUMIFS(Линии[_Р для вводов],Линии[Щит],A264,Линии[Источник для режимов],GF264)),IF(BO264&gt;0,ROUND(BO264*MAX(1,N(D264)),3),""))))</f>
        <v/>
      </c>
      <c r="BR264">
        <f t="shared" si="566"/>
        <v>0.12</v>
      </c>
      <c r="BS264" s="6">
        <f>IF(B264="","",IF(BH264&lt;&gt;"",IFERROR(_xlfn.XLOOKUP(BH264,Щиты[Щит],Щиты[Руст, кВт]),0),N(BR264)))</f>
        <v>0.12</v>
      </c>
      <c r="BT264" t="str">
        <f>IF(B264="","",IFERROR(IF(VLOOKUP(BC264,Потребители_обозначение,8,FALSE)=0,"",VLOOKUP(BC264,Потребители_обозначение,8,FALSE)),""))</f>
        <v/>
      </c>
      <c r="BU264">
        <f t="shared" si="567"/>
        <v>230</v>
      </c>
      <c r="BV264">
        <f t="shared" si="568"/>
        <v>0</v>
      </c>
      <c r="BW264">
        <f>IF(B264="","",IF(BH264&lt;&gt;"",3,IFERROR(IF(N(VLOOKUP(BC264,Потребители_обозначение,9,FALSE))=0,1,VLOOKUP(BC264,Потребители_обозначение,9,FALSE)),1)))</f>
        <v>1</v>
      </c>
      <c r="BX264">
        <f t="shared" si="569"/>
        <v>1</v>
      </c>
      <c r="BY264" t="str">
        <f>IF(B264="","",_xlfn.LET(_xlpm.bc,IFERROR(IF(VLOOKUP(BC264,Потребители_обозначение,6,FALSE)=0,"",VLOOKUP(BC264,Потребители_обозначение,6,FALSE)&amp;""),""),IF(AND(GA264="да",OR(_xlpm.bc="",_xlpm.bc="мс")),Марка_пож,IF(AND(_xlpm.bc="",BH264&lt;&gt;""),"мс",_xlpm.bc))))</f>
        <v/>
      </c>
      <c r="BZ264" t="str">
        <f t="shared" si="570"/>
        <v>мс</v>
      </c>
      <c r="CA264">
        <f>IF(B264="","",_xlfn.LET(_xlpm.cc,IFERROR(N(VLOOKUP(BC264,Потребители_обозначение,7,FALSE)),0),IF(_xlpm.cc&gt;0,_xlpm.cc,IF(BZ264="","",IF(BV264=1,2,IF(N(BX264)=3,5,3))))))</f>
        <v>3</v>
      </c>
      <c r="CB264">
        <f t="shared" si="571"/>
        <v>3</v>
      </c>
      <c r="CC264">
        <f>IFERROR(N(VLOOKUP(BC264,Потребители_обозначение,10,FALSE)),0)</f>
        <v>0</v>
      </c>
      <c r="CD264">
        <f>IFERROR(VLOOKUP(BC264,Потребители_обозначение,5,FALSE),0)</f>
        <v>1</v>
      </c>
      <c r="CE264" s="6" cm="1">
        <f t="array" ref="CE264">IF(B264="","",IF(BH264&lt;&gt;"",IFERROR(_xlfn.XLOOKUP(BH264,Щиты[Щит],Щиты[cos φ]),0.95),IF(BP264=1,IFERROR(_xlfn.XLOOKUP(A264,Щиты[Щит],Щиты[cos φ]),0.95),IF(ISNUMBER(AD264),AD264,IFERROR(IF(CD264=2,_xlfn.IFS(BX264=3,VLOOKUP(BS264,Справочная_двигатели,8,FALSE),BX264=1,VLOOKUP(BS264,Справочная_двигатели,10,TRUE)),IF(AND(Методика="нормы 2026",FG264="Сил"),0.8,0.95)),0.95)))))</f>
        <v>0.95</v>
      </c>
      <c r="CF264">
        <f t="shared" si="572"/>
        <v>0</v>
      </c>
      <c r="CG264">
        <f t="shared" si="573"/>
        <v>1</v>
      </c>
      <c r="CH264">
        <f t="shared" si="574"/>
        <v>0</v>
      </c>
      <c r="CI264">
        <f>IF(B264="","",IF(BV264=1,IFERROR(BS264/((Uн_лин/SQRT(3))*MAX(0.5,N(CE264))),0),N(O264)))</f>
        <v>0.54696341291648753</v>
      </c>
      <c r="CJ264">
        <f t="shared" si="575"/>
        <v>0</v>
      </c>
      <c r="CK264">
        <f t="shared" si="576"/>
        <v>0</v>
      </c>
      <c r="CL264">
        <f t="shared" si="577"/>
        <v>0</v>
      </c>
      <c r="CM264">
        <f t="shared" si="578"/>
        <v>0</v>
      </c>
      <c r="CN264">
        <f t="shared" si="579"/>
        <v>0</v>
      </c>
      <c r="CO264">
        <f>IF(BC264="",0,_xlfn.LET(_xlpm.v,IFERROR(_xlfn.XLOOKUP(B264,Коды_код,Коды_мА),IFERROR(_xlfn.XLOOKUP(BC264,Коды_код,Коды_мА),IFERROR(_xlfn.XLOOKUP(LEFT(BC264,2),Коды_код,Коды_мА),""))),IF(_xlpm.v="да",30,IF(ISNUMBER(_xlpm.v),_xlpm.v,0))))</f>
        <v>30</v>
      </c>
      <c r="CP264">
        <f t="shared" si="580"/>
        <v>30</v>
      </c>
      <c r="CQ264" t="str">
        <f>_xlfn.LET(_xlpm.k,IFERROR(_xlfn.XLOOKUP(BC264,Коды_код,Коды_утечка)&amp;"",""),IF(_xlpm.k="","дифавтомат",_xlpm.k))</f>
        <v>дифавтомат</v>
      </c>
      <c r="CR264" t="str" cm="1">
        <f t="array" ref="CR264">IF(CG264=0,"",_xlfn.LET(_xlpm.sg,TRIM(_xlfn.TEXTSPLIT(DD264&amp;"",";")),_xlpm.f_,_xlfn._xlws.FILTER(_xlpm.sg,LEFT(_xlpm.sg,3)="УЗО",""),IFERROR(INDEX(_xlpm.f_,1)&amp;"","")))</f>
        <v/>
      </c>
      <c r="CS264" t="str">
        <f t="shared" si="581"/>
        <v/>
      </c>
      <c r="CT264" s="6" t="str" cm="1">
        <f t="array" ref="CT264">IF(CR264="","",_xlfn.LET(_xlpm.tk,_xlfn.TEXTSPLIT(UPPER(CR264)," ",,TRUE),_xlpm.a_,_xlfn._xlws.FILTER(_xlpm.tk,ISNUMBER(--LEFT(_xlpm.tk,1))*((ISNUMBER(SEARCH("А",_xlpm.tk))+ISNUMBER(SEARCH("A",_xlpm.tk)))&gt;0)*NOT(ISNUMBER(SEARCH("МА",_xlpm.tk)))*NOT(ISNUMBER(SEARCH("MA",_xlpm.tk))),""),IFERROR(--SUBSTITUTE(SUBSTITUTE(INDEX(_xlpm.a_,1),"А",""),"A",""),"")))</f>
        <v/>
      </c>
      <c r="CU264" t="str" cm="1">
        <f t="array" ref="CU264">IF(CR264="","",_xlfn.LET(_xlpm.tk,_xlfn.TEXTSPLIT(UPPER(CR264)," ",,TRUE),_xlpm.a_,_xlfn._xlws.FILTER(_xlpm.tk,ISNUMBER(--LEFT(_xlpm.tk,1))*((ISNUMBER(SEARCH("МА",_xlpm.tk))+ISNUMBER(SEARCH("MA",_xlpm.tk)))&gt;0),""),IFERROR(--SUBSTITUTE(SUBSTITUTE(INDEX(_xlpm.a_,1),"МА",""),"MA",""),30)))</f>
        <v/>
      </c>
      <c r="CV264" t="str">
        <f>IF(CS264="","",IFERROR(_xlfn.XLOOKUP(CS264,Линии[_n],Линии[_УЗО, мА]),30))</f>
        <v/>
      </c>
      <c r="CW264">
        <f>IF(CS264="",0,IF(ISNUMBER(SEARCH("4P",IFERROR(_xlfn.XLOOKUP(CS264,Линии[_n],Линии[_УЗО строки])&amp;"",""))),0,1))</f>
        <v>0</v>
      </c>
      <c r="CX264" t="str">
        <f>IF(AND(CS264&lt;&gt;"",CS264=BA264),SUMIFS(Линии[_ток на 230 В],Линии[_блок УЗО],BA264,Линии[Щит],A264),"")</f>
        <v/>
      </c>
      <c r="CY264" t="str">
        <f>IF(AND(CS264&lt;&gt;"",CS264=BA264),SUMIFS(Линии[_ток утечки линии, мА],Линии[_блок УЗО],BA264,Линии[Щит],A264),"")</f>
        <v/>
      </c>
      <c r="CZ264">
        <f t="shared" si="582"/>
        <v>30</v>
      </c>
      <c r="DA264">
        <f t="shared" si="583"/>
        <v>30</v>
      </c>
      <c r="DB264">
        <f>IF(B264="",0,IFERROR(--_xlfn.XLOOKUP(B264,Коды_код,Коды_минавт),IFERROR(--_xlfn.XLOOKUP(BC264,Коды_код,Коды_минавт),IFERROR(--_xlfn.XLOOKUP(LEFT(BC264,2),Коды_код,Коды_минавт),0))))</f>
        <v>16</v>
      </c>
      <c r="DC264" t="str">
        <f>IF(B264="","",IFERROR(_xlfn.XLOOKUP(BC264,Коды_код,Коды_апп)&amp;"",""))</f>
        <v/>
      </c>
      <c r="DD264" t="str">
        <f t="shared" si="584"/>
        <v/>
      </c>
      <c r="DE264" t="str" cm="1">
        <f t="array" ref="DE264">IF(TRIM(DD264&amp;"")="","",IFERROR(TRIM(INDEX(_xlfn.TEXTSPLIT(DD264&amp;";;;",";"),1)),""))</f>
        <v/>
      </c>
      <c r="DF264" t="str" cm="1">
        <f t="array" ref="DF264">IF(TRIM(DD264&amp;"")="","",IFERROR(TRIM(INDEX(_xlfn.TEXTSPLIT(DD264&amp;";;;",";"),2)),""))</f>
        <v/>
      </c>
      <c r="DG264" t="str" cm="1">
        <f t="array" ref="DG264">IF(TRIM(DD264&amp;"")="","",IFERROR(TRIM(INDEX(_xlfn.TEXTSPLIT(DD264&amp;";;;",";"),3)),""))</f>
        <v/>
      </c>
      <c r="DH264">
        <f t="shared" si="585"/>
        <v>0</v>
      </c>
      <c r="DI264" t="str">
        <f>IF(B264="","",_xlfn.LET(_xlpm.t,LOWER(AZ264&amp;""),IF(ISNUMBER(SEARCH("dim",_xlpm.t)),"DIM",IF(ISNUMBER(SEARCH("dali",_xlpm.t)),"DALI",IF(OR(ISNUMBER(SEARCH("relay",_xlpm.t)),ISNUMBER(SEARCH("реле",_xlpm.t))),"Relay",IF(ISNUMBER(SEARCH("кнопк",_xlpm.t)),"",IFERROR(_xlfn.XLOOKUP(BC264,Коды_код,Коды_упр)&amp;"","")))))))</f>
        <v/>
      </c>
      <c r="DJ264" t="str">
        <f t="shared" si="586"/>
        <v/>
      </c>
      <c r="DK264">
        <f>IF(B264="","",_xlfn.LET(_xlpm.ig,IF(N(CX264)&gt;0,N(CX264),N(CI264)+IF(AJ264="вручную",0,N(CJ264))),_xlpm.n0,IFERROR(VLOOKUP(_xlpm.ig,Автомат_номиналы,2,TRUE),0),_xlpm.mn,MAX(DB264,IF(AJ264="вручную",0,N(CM264))),MAX(_xlpm.n0,_xlpm.mn,IF(DH264=1,Мин_автомат_БП,0))))</f>
        <v>16</v>
      </c>
      <c r="DL264">
        <f t="shared" si="587"/>
        <v>1</v>
      </c>
      <c r="DM264" t="str">
        <f t="shared" si="588"/>
        <v>2P</v>
      </c>
      <c r="DN264" t="str">
        <f>_xlfn.LET(_xlpm.cc,UPPER(TRIM(IFERROR(_xlfn.XLOOKUP(BC264,Коды_код,Коды_хар)&amp;"",""))),IF(OR(_xlpm.cc="B",_xlpm.cc="В"),"B",IF(_xlpm.cc="D","D","С")))</f>
        <v>С</v>
      </c>
      <c r="DO264" t="str">
        <f t="shared" si="589"/>
        <v>2P С16А 30мА</v>
      </c>
      <c r="DP264" t="str">
        <f t="shared" si="590"/>
        <v>2P С16А 30мА</v>
      </c>
      <c r="DQ264" t="str">
        <f t="shared" si="591"/>
        <v>2P С16А 30мА</v>
      </c>
      <c r="DR264" cm="1">
        <f t="array" ref="DR264">IF(DQ264="","",_xlfn.LET(_xlpm.t,SUBSTITUTE(SUBSTITUTE(SUBSTITUTE(UPPER(DQ264),"С","C"),"А","A"),"В","B"),_xlpm.tk,_xlfn.TEXTSPLIT(_xlpm.t," "),_xlpm.f,_xlfn._xlws.FILTER(_xlpm.tk,ISNUMBER(--MID(_xlpm.tk,2,1))*ISNUMBER(SEARCH(LEFT(_xlpm.tk,1)&amp;"#","B#C#D#"))*(LEN(_xlpm.tk)&gt;1),""),_xlpm.x,INDEX(_xlpm.f,1),IFERROR(--SUBSTITUTE(MID(_xlpm.x,2,9),"A",""),IFERROR(--SUBSTITUTE(INDEX(_xlfn._xlws.FILTER(_xlpm.tk,ISNUMBER(--SUBSTITUTE(_xlpm.tk,"A","")),""),1),"A",""),""))))</f>
        <v>16</v>
      </c>
      <c r="DS264" t="str">
        <f t="shared" si="592"/>
        <v>ok</v>
      </c>
      <c r="DT264">
        <f t="shared" si="593"/>
        <v>16</v>
      </c>
      <c r="DU264" t="str">
        <f t="shared" si="594"/>
        <v>2P С16А 30мА</v>
      </c>
      <c r="DV264">
        <f t="shared" si="595"/>
        <v>30</v>
      </c>
      <c r="DW264">
        <f t="shared" si="596"/>
        <v>1</v>
      </c>
      <c r="DX264">
        <f t="shared" si="597"/>
        <v>0</v>
      </c>
      <c r="DY264">
        <f t="shared" si="598"/>
        <v>0.54696341291648753</v>
      </c>
      <c r="DZ264">
        <f t="shared" si="599"/>
        <v>1</v>
      </c>
      <c r="EA264">
        <f>IF(ISNUMBER(AP264),AP264,К_прокл)</f>
        <v>1</v>
      </c>
      <c r="EB264">
        <f t="shared" si="600"/>
        <v>2</v>
      </c>
      <c r="EC264">
        <f>IFERROR(N(VLOOKUP(BZ264,Кабель_обозначение,3,FALSE)),1)</f>
        <v>1</v>
      </c>
      <c r="ED264">
        <f>IFERROR(N(_xlfn.XLOOKUP(A264,Щиты[Щит],Щиты[ΔU до шин, %])),0)</f>
        <v>1.19</v>
      </c>
      <c r="EE264" t="str">
        <f>IFERROR(_xlfn.XLOOKUP(A264,Щиты[Щит],Щиты[Zпетли на шинах, Ом]),"")</f>
        <v/>
      </c>
      <c r="EF264">
        <f>IFERROR(N(_xlfn.XLOOKUP(A264,Щиты[Щит],Щиты[ΔU до шин (подбор), %])),0)</f>
        <v>1.19</v>
      </c>
      <c r="EG264" t="str">
        <f>IFERROR(_xlfn.XLOOKUP(A264,Щиты[Щит],Щиты[Zпетли на шинах (подбор), Ом]),"")</f>
        <v/>
      </c>
      <c r="EH264" t="str">
        <f t="shared" si="601"/>
        <v/>
      </c>
      <c r="EI264">
        <f t="shared" si="602"/>
        <v>39</v>
      </c>
      <c r="EJ264">
        <f t="shared" si="603"/>
        <v>2</v>
      </c>
      <c r="EK264">
        <f t="shared" si="604"/>
        <v>0.31</v>
      </c>
      <c r="EL264" s="6">
        <f>IF(B264="","",IF(BV264=1,dU_LED,IF(IFERROR(_xlfn.XLOOKUP(BC264,Коды_код,Коды_уго),"")="Светильник",3,4)+IF(Методика="нормы 2026",MIN(0.5,MAX(0,N(P264)-100)*0.005),0)))</f>
        <v>4</v>
      </c>
      <c r="EM264" cm="1">
        <f t="array" ref="EM264">IF(OR(B264="",BZ264="",EC264&lt;&gt;1),"",_xlfn.LET(_xlpm.sz,Iдоп_S,_xlpm.t_,CHOOSE(EB264,Iдоп_1ж,Iдоп_2ж,Iдоп_3ж)*DZ264*EA264,_xlpm.dcx,BV264=1,_xlpm.inn,IF(_xlpm.dcx,N(O264),N(DT264)),_xlpm.smin,MAX(1.5,CC264),_xlpm.L_,N(P264)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264)/N(BU264)*100,999),IFERROR(N(EJ264)*(_xlpm.rho*_xlpm.L_/_xlpm.sz*N(CE264)+_xlpm.xx*_xlpm.L_*N(EK264)/1000)*N(O264)/((Uн_лин/SQRT(3))*1000)*100,999)),_xlpm.kz,IF(OR(_xlpm.dcx,DW264=1,NOT(ISNUMBER(EG264)),_xlpm.L_=0,_xlpm.inn=0),1,IFERROR(--(c_min*(Uн_лин*1000/SQRT(3))/(EG264+2*ρкз_Cu*_xlpm.L_/_xlpm.sz)&gt;=HT264*_xlpm.inn),0)),_xlpm.ok,IFERROR((_xlpm.sz&gt;=_xlpm.smin)*(_xlpm.t_&gt;=_xlpm.inn)*IF(_xlpm.L_&gt;0,(_xlpm.du_+IF(_xlpm.dcx,0,EF264)&lt;=EL264+0.00001),1)*_xlpm.kz,0),_xlpm.r_,_xlfn._xlws.FILTER(_xlpm.sz,_xlpm.ok,"не подобрано"),INDEX(_xlpm.r_,1)))</f>
        <v>1.5</v>
      </c>
      <c r="EN264">
        <f t="shared" si="605"/>
        <v>2.5</v>
      </c>
      <c r="EO264" cm="1">
        <f t="array" ref="EO264">IF(OR(B264="",BZ264="",EC264&lt;&gt;1),"",_xlfn.LET(_xlpm.sz,Iдоп_S,_xlpm.t_,CHOOSE(EB264,Iдоп_1ж,Iдоп_2ж,Iдоп_3ж)*DZ264*EA264,_xlpm.ok,IFERROR((_xlpm.sz&gt;=MAX(1.5,CC264))*(_xlpm.t_&gt;=N(DT264)),0),_xlpm.r_,_xlfn._xlws.FILTER(_xlpm.sz,_xlpm.ok,""),INDEX(_xlpm.r_,1)))</f>
        <v>1.5</v>
      </c>
      <c r="EP264" s="6" cm="1">
        <f t="array" ref="EP264">IFERROR(ROUNDUP(N(EJ264)*(_xlfn.XLOOKUP(EO264,INDEX(Кабель_сопротивление,0,1),INDEX(Кабель_сопротивление,0,3))*N(P264)/EO264*N(CE264)+_xlfn.XLOOKUP(EO264,INDEX(Кабель_сопротивление,0,1),INDEX(Кабель_сопротивление,0,2))*N(P264)*N(EK264)/1000)*N(O264)/((Uн_лин/SQRT(3))*1000)*100,2),"")</f>
        <v>0.29000000000000004</v>
      </c>
      <c r="EQ264">
        <f>IFERROR(2*ρкз_Cu*N(P264)/EO264,"")</f>
        <v>1.4728000000000001</v>
      </c>
      <c r="ER264">
        <f>IFERROR(VLOOKUP(EN264,Кабель_сопротивление,3,FALSE),"")</f>
        <v>2.2499999999999999E-2</v>
      </c>
      <c r="ES264">
        <f>IFERROR(VLOOKUP(EN264,Кабель_сопротивление,2,FALSE),"")</f>
        <v>0.1</v>
      </c>
      <c r="ET264">
        <f t="shared" si="606"/>
        <v>18</v>
      </c>
      <c r="EU264">
        <f t="shared" si="607"/>
        <v>4</v>
      </c>
      <c r="EV264">
        <f t="shared" si="608"/>
        <v>0.39425341588385587</v>
      </c>
      <c r="EW264" s="6">
        <f>IFERROR(ROUNDUP(EV264/IF(BV264=1,BU264,(Uн_лин/SQRT(3))*1000)*100,2),"")</f>
        <v>0.18000000000000002</v>
      </c>
      <c r="EX264" t="str">
        <f>IFERROR(VLOOKUP(BZ264,Кабель_обозначение,2,FALSE),"")</f>
        <v>ВВГнг(А)-LS</v>
      </c>
      <c r="EY264" t="str">
        <f t="shared" si="609"/>
        <v>ВВГнг(А)-LS (3х2,5)</v>
      </c>
      <c r="EZ264" t="str">
        <f t="shared" si="610"/>
        <v>ВВГнг(А)-LS (3х2,5)
L=42-0,18%</v>
      </c>
      <c r="FA264">
        <f>IFERROR(2*ρкз_Cu*P264/EN264,"")</f>
        <v>0.88368000000000002</v>
      </c>
      <c r="FB264">
        <f t="shared" si="611"/>
        <v>0.29400000000000004</v>
      </c>
      <c r="FC264" s="6" t="str">
        <f>IFERROR(IF(OR(B264="",BV264=1,NOT(ISNUMBER(EN264)),N(P264)=0),"",_xlfn.XLOOKUP(A264,Щиты[Щит],Щиты[Zпетли на шинах, Ом])+FA264),"")</f>
        <v/>
      </c>
      <c r="FD264" s="6" t="str">
        <f>IF(ISNUMBER(FC264),c_min*(Uн_лин*1000/SQRT(3))/FC264,"")</f>
        <v/>
      </c>
      <c r="FE264" s="6" t="str">
        <f>IFERROR(IF(OR(B264="",NOT(ISNUMBER(EN264))),"",1.05*(Uн_лин*1000/SQRT(3))/(_xlfn.XLOOKUP(A264,Щиты[Щит],Щиты[Zmax на шинах, Ом])+FB264)/1000),"")</f>
        <v/>
      </c>
      <c r="FF264" s="6" t="str">
        <f>IF(B264="","",IF(ISNUMBER(AC264),"Сил",IF(IFERROR(_xlfn.XLOOKUP(BC264,Коды_код,Коды_группа)&amp;"","")="","Быт",_xlfn.XLOOKUP(BC264,Коды_код,Коды_группа)&amp;"")))</f>
        <v>Быт</v>
      </c>
      <c r="FG264" s="6" t="str">
        <f t="shared" si="612"/>
        <v>Быт</v>
      </c>
      <c r="FH264" s="6">
        <f>IF(FG264="Щит","щит",IF(FG264="","",IF(FG264="Быт",IFERROR(_xlfn.XLOOKUP(A264,Щиты[Щит],Щиты[Кс быт]),1),IF(FG264="Сил",IF(ISNUMBER(AC264),AC264,IF(Методика="нормы 2026",IFERROR(_xlfn.XLOOKUP(A264,Щиты[Щит],Щиты[Кс силовых (табл. 7.5)]),1),1)),IF(OR(FG264="Пост",FG264="Отоп"),1,IF(FG264="ВНГ",0.7,0))))))</f>
        <v>0.57830000000000004</v>
      </c>
      <c r="FI264">
        <f>IF(FG264="","",IF(AND(BP264=1,TRIM(AE264&amp;"")=""),IF(COUNTIFS(Линии[Щит],A264,Линии[Секция (1/2/3)],"&gt;=2")&gt;0,MIN(3,MAX(1,IFERROR(--BD264,1))),1),IFERROR(MIN(3,MAX(1,INT(--AE264))),1)))</f>
        <v>1</v>
      </c>
      <c r="FJ264">
        <f t="shared" si="613"/>
        <v>0.12</v>
      </c>
      <c r="FK264">
        <f t="shared" si="614"/>
        <v>0.12</v>
      </c>
      <c r="FL264">
        <f t="shared" si="615"/>
        <v>0</v>
      </c>
      <c r="FM264">
        <f t="shared" si="616"/>
        <v>0</v>
      </c>
      <c r="FN264">
        <f t="shared" si="617"/>
        <v>0</v>
      </c>
      <c r="FO264">
        <f t="shared" si="618"/>
        <v>0</v>
      </c>
      <c r="FP264">
        <f t="shared" si="619"/>
        <v>0.12</v>
      </c>
      <c r="FQ264">
        <f t="shared" si="620"/>
        <v>0.12</v>
      </c>
      <c r="FR264">
        <f t="shared" si="621"/>
        <v>0.11399999999999999</v>
      </c>
      <c r="FS264">
        <f>IF(CG264=1,IF(AND(CH264=1,CW264=1),0,IF(AND(CS264&lt;&gt;"",CS264=BA264,CW264=1),SUMIFS(Линии[_Р линии, кВт],Линии[_блок УЗО],BA264,Линии[Щит],A264),N(BS264)+IF(AJ264="вручную",0,N(CK264)))),0)</f>
        <v>0.12</v>
      </c>
      <c r="FT264" t="str">
        <f t="shared" si="622"/>
        <v/>
      </c>
      <c r="FU264" t="str">
        <f>IF(B264="","",IF(CG264=0,IF(BA264=1,"",FW263),IF(AND(CH264=1,CW264=1,CS264&lt;&gt;""),IFERROR(_xlfn.XLOOKUP(CS264,Линии[_n],Линии[_фаза итог]),"L1"),IF(OR(N(DL264)&gt;=3,N(BX264)&gt;=3),"L1,L2,L3",IFERROR(_xlfn.TEXTBEFORE(_xlfn.TEXTAFTER(_xlfn.XLOOKUP(A264,Щиты[Щит],Щиты[_фазы авто]),";"&amp;BA264&amp;":"),";"),"L1")))))</f>
        <v>L2</v>
      </c>
      <c r="FV264" t="str">
        <f t="shared" si="623"/>
        <v>L2</v>
      </c>
      <c r="FW264" t="str">
        <f t="shared" si="624"/>
        <v>L2</v>
      </c>
      <c r="FX264" cm="1">
        <f t="array" ref="FX264">IFERROR(IF(CD264=2,_xlfn.IFS(BX264=3,VLOOKUP(BS264,Справочная_двигатели,3,FALSE),BX264=1,VLOOKUP(BS264,Справочная_двигатели,5,TRUE)),0),0)</f>
        <v>0</v>
      </c>
      <c r="FY264">
        <f>IFERROR(IF(CD264=3,VLOOKUP(BS264,Справочная_ЛЭД,2,TRUE),0),0)</f>
        <v>0</v>
      </c>
      <c r="FZ264" s="6">
        <f t="shared" si="625"/>
        <v>0</v>
      </c>
      <c r="GA264" t="str">
        <f>IF(B264="","",IF(TRIM(AH264&amp;"")&lt;&gt;"",IF(LOWER(TRIM(AH264&amp;""))="да","да","нет"),IF(IFERROR(_xlfn.XLOOKUP(BC264,Коды_код,Коды_пожарная),"")="да","да","нет")))</f>
        <v>нет</v>
      </c>
      <c r="GB264" t="str">
        <f t="shared" si="626"/>
        <v/>
      </c>
      <c r="GC264" t="str">
        <f t="shared" si="627"/>
        <v>основная</v>
      </c>
      <c r="GD264">
        <f>IF(AND(BP264=1,TRIM(AE264&amp;"")=""),IF(COUNTIFS(Линии[Щит],A264,Линии[Секция (1/2/3)],"&gt;=2")&gt;0,MIN(3,MAX(1,IFERROR(--BD264,1))),1),IFERROR(MIN(3,MAX(1,INT(--AE264))),1))</f>
        <v>1</v>
      </c>
      <c r="GE264" t="str" cm="1">
        <f t="array" ref="GE264">IF(B264="","",_xlfn.LET(_xlpm.t,IFERROR(_xlfn.XLOOKUP(1,(Шины[Шина]=GC264)*(((Шины[Щит]=A264)+(Шины[Щит]=""))&gt;0),Шины[Тип]),"")&amp;"",IF(_xlpm.t&lt;&gt;"",_xlpm.t,IF(ISNUMBER(SEARCH("ИБП",GC264)),"ИБП",IF(ISNUMBER(SEARCH("ДГУ",GC264)),"ДГУ","Ввод "&amp;GD264)))))</f>
        <v>Ввод 1</v>
      </c>
      <c r="GF264" t="str">
        <f t="shared" si="628"/>
        <v>Ввод 1</v>
      </c>
      <c r="GG264" t="str">
        <f>IF(BP264=0,"",IF(TRIM(AG264&amp;"")&lt;&gt;"",TRIM(AG264&amp;""),IF(OR(GE264="ИБП",GE264="ДГУ"),"I особая",_xlfn.XLOOKUP(A264,Щиты[Щит],Щиты[Категория шины «Ввод»],"III"))))</f>
        <v/>
      </c>
      <c r="GH264" t="str">
        <f>IF(A264="","",_xlfn.XLOOKUP(A264,Щиты[Щит],Щиты[Путь],""))</f>
        <v>|ГРЩ-ЖД|ЩР-1|</v>
      </c>
      <c r="GI264" t="str">
        <f>IF(B264="","",IF(AI264&lt;&gt;"",AI264,IF(IFERROR(_xlfn.XLOOKUP(BC264,Коды_код,Коды_вид)&amp;"","")="","Прочее",_xlfn.XLOOKUP(BC264,Коды_код,Коды_вид)&amp;"")))</f>
        <v>Розеточная сеть и бытовые приборы</v>
      </c>
      <c r="GJ264">
        <f>IF(BM264="","",INT((BM264-1)/Столбцов_на_лист)+1)</f>
        <v>4</v>
      </c>
      <c r="GK264" t="str">
        <f t="shared" si="629"/>
        <v>ВВГнг(А)-LS (3х2,5) L=42-0,18%</v>
      </c>
      <c r="GL264">
        <f t="shared" si="630"/>
        <v>0.12</v>
      </c>
      <c r="GM264">
        <f t="shared" si="631"/>
        <v>0.55000000000000004</v>
      </c>
      <c r="GN264">
        <f t="shared" si="632"/>
        <v>1</v>
      </c>
      <c r="GO264">
        <f t="shared" si="633"/>
        <v>0</v>
      </c>
      <c r="GP264">
        <f t="shared" si="634"/>
        <v>1</v>
      </c>
      <c r="GQ264">
        <f>IF(BM264="","",IF(AND(CG264=1,GP264=1),COUNTIFS(A$3:A264,A264,CG$3:CG264,1,GP$3:GP264,1),IF(OR(OR(BA264=1,A264&lt;&gt;A263),AJ264="вручную",GP264=0),"",IF(BA264=1,"",GR263))))</f>
        <v>40</v>
      </c>
      <c r="GR264">
        <f t="shared" si="635"/>
        <v>40</v>
      </c>
      <c r="GS264">
        <f>IF(B264="","",IFERROR(LOOKUP(INDEX(CHOOSE(EB264,Iдоп_1ж,Iдоп_2ж,Iдоп_3ж),MATCH(EN264,Iдоп_S,0))*DZ264*EA264,{6,10,16,20,25,32,40,50,63,80,100,125,160,200,250,315,400,500,630}),""))</f>
        <v>25</v>
      </c>
      <c r="GT264" t="str">
        <f t="shared" si="636"/>
        <v>QFD40</v>
      </c>
      <c r="GU264" t="str">
        <f t="shared" si="637"/>
        <v>QFD40</v>
      </c>
      <c r="GV264" t="str">
        <f t="shared" si="638"/>
        <v/>
      </c>
      <c r="GW264">
        <f t="shared" si="639"/>
        <v>0</v>
      </c>
      <c r="GX264" t="str">
        <f>IF(OR(B264="",DJ264=""),"",IFERROR(_xlfn.XLOOKUP(DJ264,Модули_умолч[Управление],Модули_умолч[Модель])&amp;"",""))</f>
        <v/>
      </c>
      <c r="GY264">
        <f>IF(DJ264="",1,IFERROR(MAX(0,N(_xlfn.XLOOKUP(DJ264,Модули_умолч[Управление],Модули_умолч[Каналов на линию]))),1))</f>
        <v>1</v>
      </c>
      <c r="GZ264" t="str">
        <f t="shared" si="640"/>
        <v/>
      </c>
      <c r="HA264" t="str">
        <f t="shared" si="641"/>
        <v/>
      </c>
      <c r="HB264" t="str">
        <f t="shared" si="642"/>
        <v/>
      </c>
      <c r="HC264">
        <f>IF(HB264="",0,IFERROR(N(VLOOKUP(HB264,Модули_спр,3,FALSE)),0))</f>
        <v>0</v>
      </c>
      <c r="HD264" t="str">
        <f t="shared" si="643"/>
        <v/>
      </c>
      <c r="HE264" t="str">
        <f t="shared" si="644"/>
        <v/>
      </c>
      <c r="HF264" t="str">
        <f>IF(OR(HE264="",HE264="-"),"",IFERROR(VLOOKUP(HE264,Модули_спр,2,FALSE),"R"))</f>
        <v/>
      </c>
      <c r="HG264" t="str">
        <f>IF(HF264="","",HF264&amp;"."&amp;COUNTIFS(A$3:A264,A264,HF$3:HF264,HF264))</f>
        <v/>
      </c>
      <c r="HH264" t="str">
        <f t="shared" si="645"/>
        <v/>
      </c>
      <c r="HI264" t="str">
        <f t="shared" si="646"/>
        <v/>
      </c>
      <c r="HJ264" t="str">
        <f t="shared" si="647"/>
        <v/>
      </c>
      <c r="HK264" t="str">
        <f t="shared" si="648"/>
        <v/>
      </c>
      <c r="HL264">
        <f t="shared" si="649"/>
        <v>1</v>
      </c>
      <c r="HM264" t="str">
        <f>IF(HL264=1,"XT"&amp;COUNTIFS(A$3:A264,A264,HL$3:HL264,1),"")</f>
        <v>XT40</v>
      </c>
      <c r="HN264" t="str">
        <f t="shared" si="650"/>
        <v>XT40</v>
      </c>
      <c r="HO264" t="str">
        <f t="shared" si="651"/>
        <v>QFD40</v>
      </c>
      <c r="HP264" t="str">
        <f t="shared" si="652"/>
        <v/>
      </c>
      <c r="HQ264" t="str">
        <f t="shared" si="653"/>
        <v>ok</v>
      </c>
      <c r="HR264" t="str">
        <f>IF(OR(HJ264="",HH264=""),"",IF(HJ264+MAX(0,GY264-1)&gt;IFERROR(VLOOKUP(HI264,Модули_спр,3,FALSE),99),"ЛИШНИЙ КАНАЛ",IF(AND(AL264&lt;&gt;"=",GY264&gt;0,COUNTIFS(Линии[_модуль гр.],HH264,Линии[Канал (итог)],HJ264,Линии[Канал],"&lt;&gt;=",Линии[Щит],A264)&gt;1),"ДУБЛЬ КАНАЛА","")))</f>
        <v/>
      </c>
      <c r="HS264" s="6" t="str">
        <f t="shared" si="654"/>
        <v/>
      </c>
      <c r="HT264">
        <f t="shared" si="655"/>
        <v>10</v>
      </c>
      <c r="HU264" t="str">
        <f t="shared" si="656"/>
        <v/>
      </c>
      <c r="HV264">
        <f t="shared" si="657"/>
        <v>0.63878536516659501</v>
      </c>
      <c r="HW264">
        <f t="shared" si="658"/>
        <v>0</v>
      </c>
      <c r="HX264">
        <f t="shared" si="659"/>
        <v>0</v>
      </c>
      <c r="HY264">
        <f t="shared" si="660"/>
        <v>0</v>
      </c>
      <c r="HZ264">
        <f t="shared" si="661"/>
        <v>0</v>
      </c>
      <c r="IA264">
        <f t="shared" si="662"/>
        <v>0</v>
      </c>
      <c r="IB264">
        <f t="shared" si="663"/>
        <v>0</v>
      </c>
      <c r="IC264" t="str">
        <f t="shared" si="664"/>
        <v/>
      </c>
      <c r="ID264" t="str" cm="1">
        <f t="array" ref="ID264">IF(IC264="","",_xlfn.LET(_xlpm.tk,_xlfn.TEXTSPLIT(SUBSTITUTE(SUBSTITUTE(IC264,";"," "),"→"," ")," ",,TRUE),_xlpm.w_,_xlfn._xlws.FILTER(_xlpm.tk,ISNUMBER(--LEFT(_xlpm.tk,1))*((ISNUMBER(SEARCH("W",_xlpm.tk))+ISNUMBER(SEARCH("Вт",_xlpm.tk)))&gt;0),""),IFERROR(--SUBSTITUTE(SUBSTITUTE(UPPER(INDEX(_xlpm.w_,1)),"W",""),"ВТ",""),"")))</f>
        <v/>
      </c>
      <c r="IE264" t="str" cm="1">
        <f t="array" ref="IE264">IF(IC264="","",_xlfn.LET(_xlpm.tk,_xlfn.TEXTSPLIT(SUBSTITUTE(SUBSTITUTE(IC264,";"," "),"→"," ")," ",,TRUE),_xlpm.v_,_xlfn._xlws.FILTER(_xlpm.tk,ISNUMBER(--LEFT(_xlpm.tk,1))*((ISNUMBER(SEARCH("V",_xlpm.tk))+(RIGHT(UPPER(_xlpm.tk))="В"))&gt;0),""),IFERROR(--SUBSTITUTE(SUBSTITUTE(UPPER(INDEX(_xlpm.v_,1)),"V",""),"В",""),"")))</f>
        <v/>
      </c>
      <c r="IF264" s="6" t="str">
        <f>IF(OR(BV264=0,HI264="",HJ264=""),"",IFERROR(N(_xlfn.XLOOKUP(HI264,Каталог!$C$4:$C$500,Каталог!$Q$4:$Q$500)),""))</f>
        <v/>
      </c>
      <c r="IG264" s="6" t="str">
        <f>IF(N(IF264)=0,"",SUMIFS(Линии[Iр, А],Линии[Щит],A264,Линии[_модуль гр.],HH264,Линии[Канал (итог)],HJ264))</f>
        <v/>
      </c>
      <c r="IH264" t="str">
        <f>IF(AND(B264="",HO264=""),"",_xlfn.TEXTJOIN("; ",TRUE,IF(AND(B264&lt;&gt;"",FV264=""),"нет фазы",""),IF(AND(B264&lt;&gt;"",N(GL264)=0,FG264&lt;&gt;"Нет"),"нет мощности",""),IF(AND(HN264&lt;&gt;"",COUNTIFS(Линии[Щит],A264,Линии[Клемма (итог)],HN264)&gt;1),"дубль клеммы "&amp;HN264,""),IF(AND(HQ264&lt;&gt;"",HQ264&lt;&gt;"ok"),HQ264,""),IF(HR264&lt;&gt;"",HR264,""),IF(AND(N(CB264)&gt;=4,N(BX264)=1),CB264&amp;" жил на 1 фазе",""),IF(AND(BC264="R",CG264=1,IF(CS264&lt;&gt;"",N(CV264)&gt;30,OR(N(DA264)=0,N(DA264)&gt;30))),"розетка без дифзащиты до 30 мА",""),IF(AND(CG264=1,N(DA264)&gt;0,ISNUMBER(T264)),IF(T264&gt;N(DA264)/3,"ток утечки "&amp;FIXED(T264,1)&amp;" мА &gt; 1/3 уставки ("&amp;DA264&amp;" мА)",""),""),IF(AND(CH264=1,CS264=""),"«узо»: нет строки с УЗО выше (УЗО 2P 40А 30мА в «Аппаратах»)",""),IF(AND(CS264&lt;&gt;"",CS264=BA264),IF(CT264="","впишите номинал УЗО (УЗО 2P 40А 30мА)",IF(N(CT264)&lt;N(DT264),"УЗО "&amp;CT264&amp;" А &lt; автомата "&amp;DT264&amp;" А перед ним",IF(N(CT264)&lt;N(CX264),"УЗО "&amp;CT264&amp;" А &lt; тока блока "&amp;FIXED(CX264,1)&amp;" А",""))),""),IF(AND(CS264&lt;&gt;"",CS264=BA264,ISNUMBER(CY264)),IF(CY264&gt;N(CV264)/3,"ток утечки блока УЗО "&amp;FIXED(CY264,1)&amp;" мА &gt; 1/3 уставки ("&amp;CV264&amp;" мА)",""),""),IF(AND(CG264=1,N(BV264)+N(IB264)&gt;0,IC264=""),"линии до 50 В без БП: впишите в «Аппараты» (БП 24V 480W)",""),IF(AND(CG264=1,ISNUMBER(ID264),ISNUMBER(U264)),IF(U264&gt;ID264,"БП "&amp;ID264&amp;" Вт &lt; нужно "&amp;U264&amp;" Вт (×"&amp;Запас_БП&amp;")",""),""),IF(AND(CG264=1,ISNUMBER(IE264),N(BV264)=1),IF(IE264&lt;&gt;N(BU264),"БП на "&amp;IE264&amp;" В, линия "&amp;BU264&amp;" В",""),""),IF(AND(N(IF264)&gt;0,N(IG264)&gt;N(IF264)),HH264&amp;" канал "&amp;HJ264&amp;": "&amp;FIXED(IG264,1)&amp;" А &gt; "&amp;IF264&amp;" А",""),IFERROR(IF(AND(ISNUMBER(Q264),Q264&gt;EL264),"потери "&amp;FIXED(Q264,1)&amp;" % &gt; "&amp;EL264&amp;" %",""),""),IFERROR(IF(LEFT(HU264,4)="мало","Iкз мало — отключение &gt; 0,4 с",""),""),IF(AND(B264&lt;&gt;"",BM264=""),"не на схеме",""),IF(AND(CG264=0,B264&lt;&gt;"",FV264&lt;&gt;"",IF(BA264=1,"",FW263)&lt;&gt;"",FV264&lt;&gt;IF(BA264=1,"",FW263)),"фаза не как у автомата группы ("&amp;IF(BA264=1,"",FW263)&amp;")","")))</f>
        <v/>
      </c>
      <c r="II264" s="6">
        <f>IF(OR(CG264=0,DQ264=""),"",_xlfn.LET(_xlpm.t,IFERROR(_xlfn.XLOOKUP(DQ264,Каталог!$U$4:$U$500,Каталог!$G$4:$G$500),""),_xlpm.k,SEARCH("кА",_xlpm.t),IFERROR(--TRIM(RIGHT(SUBSTITUTE(MID(_xlpm.t,MAX(1,_xlpm.k-4),_xlpm.k-MAX(1,_xlpm.k-4))," ",REPT(" ",9)),5)),"")))</f>
        <v>6</v>
      </c>
      <c r="IJ264" t="str">
        <f>IF(OR(II264="",CG264=0),"",IF(_xlfn.XLOOKUP(A264,Щиты[Щит],Щиты[Iкз max на шинах, кА],"")="","",IF(II264&lt;_xlfn.XLOOKUP(A264,Щиты[Щит],Щиты[Iкз max на шинах, кА]),"Icu "&amp;II264&amp;" кА &lt; Iкз max","ok")))</f>
        <v/>
      </c>
      <c r="IK264" t="str">
        <f t="shared" si="665"/>
        <v/>
      </c>
      <c r="IL264" t="str">
        <f t="shared" si="666"/>
        <v>QFD40|XT40</v>
      </c>
      <c r="IM264" t="str">
        <f t="shared" si="667"/>
        <v>QFD40|XT40|кабель ВВГнг(А)-LS (3х2,5) → Розеточная группа, пом. 018A</v>
      </c>
      <c r="IN264" t="str" cm="1">
        <f t="array" ref="IN264">IF(IM264="","",_xlfn.LET(_xlpm.nd,_xlfn.TEXTSPLIT(IM264,"|"),IF(COLUMNS(_xlpm.nd)&gt;1,A264&amp;"¦"&amp;INDEX(_xlpm.nd,1)&amp;"¦"&amp;INDEX(_xlpm.nd,2),"")))</f>
        <v>ЩР-1¦QFD40¦XT40</v>
      </c>
      <c r="IO264" t="str">
        <f t="shared" si="668"/>
        <v>R.1.018A.1¦Розеточная группа, пом. 018A</v>
      </c>
      <c r="IP264" t="str" cm="1">
        <f t="array" ref="IP264">IF(IM264="","",_xlfn.LET(_xlpm.nd,_xlfn.TEXTSPLIT(IM264,"|"),IF(COLUMNS(_xlpm.nd)&gt;2,A264&amp;"¦"&amp;INDEX(_xlpm.nd,2)&amp;"¦"&amp;INDEX(_xlpm.nd,3),"")))</f>
        <v>ЩР-1¦XT40¦кабель ВВГнг(А)-LS (3х2,5) → Розеточная группа, пом. 018A</v>
      </c>
      <c r="IQ264" t="str">
        <f t="shared" si="669"/>
        <v>R.1.018A.1¦Розеточная группа, пом. 018A</v>
      </c>
      <c r="IR264" t="str" cm="1">
        <f t="array" ref="IR264">IF(IM264="","",_xlfn.LET(_xlpm.nd,_xlfn.TEXTSPLIT(IM264,"|"),IF(COLUMNS(_xlpm.nd)&gt;3,A264&amp;"¦"&amp;INDEX(_xlpm.nd,3)&amp;"¦"&amp;INDEX(_xlpm.nd,4),"")))</f>
        <v/>
      </c>
      <c r="IS264" t="str">
        <f t="shared" si="670"/>
        <v/>
      </c>
      <c r="IT264" t="str" cm="1">
        <f t="array" ref="IT264">IF(IM264="","",_xlfn.LET(_xlpm.nd,_xlfn.TEXTSPLIT(IM264,"|"),IF(COLUMNS(_xlpm.nd)&gt;4,A264&amp;"¦"&amp;INDEX(_xlpm.nd,4)&amp;"¦"&amp;INDEX(_xlpm.nd,5),"")))</f>
        <v/>
      </c>
      <c r="IU264" t="str">
        <f t="shared" si="671"/>
        <v/>
      </c>
      <c r="IV264" t="str" cm="1">
        <f t="array" ref="IV264">IF(IM264="","",_xlfn.LET(_xlpm.nd,_xlfn.TEXTSPLIT(IM264,"|"),IF(COLUMNS(_xlpm.nd)&gt;5,A264&amp;"¦"&amp;INDEX(_xlpm.nd,5)&amp;"¦"&amp;INDEX(_xlpm.nd,6),"")))</f>
        <v/>
      </c>
      <c r="IW264" t="str">
        <f t="shared" si="672"/>
        <v/>
      </c>
      <c r="IX264" t="str" cm="1">
        <f t="array" ref="IX264">IF(IM264="","",_xlfn.LET(_xlpm.nd,_xlfn.TEXTSPLIT(IM264,"|"),IF(COLUMNS(_xlpm.nd)&gt;6,A264&amp;"¦"&amp;INDEX(_xlpm.nd,6)&amp;"¦"&amp;INDEX(_xlpm.nd,7),"")))</f>
        <v/>
      </c>
      <c r="IY264" t="str">
        <f t="shared" si="673"/>
        <v/>
      </c>
      <c r="IZ264" t="str">
        <f t="shared" si="674"/>
        <v/>
      </c>
      <c r="JA264" t="str">
        <f t="shared" si="675"/>
        <v>QFD40 → XT40</v>
      </c>
      <c r="JB264">
        <f t="shared" si="676"/>
        <v>0</v>
      </c>
      <c r="JC264">
        <f t="shared" si="677"/>
        <v>1</v>
      </c>
      <c r="JD264" t="str">
        <f t="shared" si="678"/>
        <v/>
      </c>
      <c r="JE264" t="str">
        <f t="shared" si="679"/>
        <v/>
      </c>
      <c r="JF264" t="str">
        <f t="shared" si="680"/>
        <v/>
      </c>
      <c r="JG264" t="str">
        <f t="shared" si="681"/>
        <v/>
      </c>
      <c r="JH264" t="str">
        <f>IF(B264="","",IFERROR(_xlfn.XLOOKUP(B264,Коды_код,Коды_уго),IFERROR(_xlfn.XLOOKUP(BC264,Коды_код,Коды_уго),IFERROR(_xlfn.XLOOKUP(LEFT(BC264,2),Коды_код,Коды_уго),""))))</f>
        <v>Розетка</v>
      </c>
      <c r="JI264" t="str">
        <f>IF(B264="","",IF(OR(JH264="",JH264=0),"BOX",IFERROR(IF(VLOOKUP(JH264,УГО_блоки,3,FALSE)&amp;""&lt;&gt;"",VLOOKUP(JH264,УГО_блоки,3,FALSE),VLOOKUP(JH264,УГО_блоки,2,FALSE)),JH264)))</f>
        <v>SOCKET</v>
      </c>
      <c r="JJ264">
        <f t="shared" si="682"/>
        <v>1</v>
      </c>
      <c r="JK264" t="str">
        <f>IF(DQ264="","",IF(COUNTIF(DQ$3:DQ264,DQ264)=1,MAX(JK$2:JK263)+1,""))</f>
        <v/>
      </c>
      <c r="JL264" t="str">
        <f>IF(DE264="","",IF(COUNTIF(DE$3:DE264,DE264)+COUNTIF(DF$2:DF263,DE264)+COUNTIF(DG$2:DG263,DE264)=1,MAX(JL$2:JN263)+1,""))</f>
        <v/>
      </c>
      <c r="JM264" t="str">
        <f>IF(DF264="","",IF(COUNTIF(DE$3:DE264,DF264)+COUNTIF(DF$3:DF264,DF264)+COUNTIF(DG$2:DG263,DF264)=1,MAX(JL$2:JN263,JL264)+1,""))</f>
        <v/>
      </c>
      <c r="JN264" t="str">
        <f>IF(DG264="","",IF(COUNTIF(DE$3:DE264,DG264)+COUNTIF(DF$3:DF264,DG264)+COUNTIF(DG$3:DG264,DG264)=1,MAX(JL$2:JN263,JL264,JM264)+1,""))</f>
        <v/>
      </c>
      <c r="JO264" t="str">
        <f t="shared" si="683"/>
        <v>3х2,5</v>
      </c>
      <c r="JP264" t="str">
        <f>IF(JO264="","",IF(COUNTIF(JO$3:JO264,JO264)=1,MAX(JP$2:JP263)+1,""))</f>
        <v/>
      </c>
      <c r="JQ264" t="str">
        <f>IF(HG264="","",COUNTIF(HG$3:HG264,"?*"))</f>
        <v/>
      </c>
      <c r="JR264" t="str">
        <f>IF(OR(HG264="",HI264=""),"",IF(COUNTIFS(HG$3:HG264,"?*",HI$3:HI264,HI264)=1,MAX(JR$2:JR263)+1,""))</f>
        <v/>
      </c>
      <c r="JS264">
        <f t="shared" si="684"/>
        <v>0</v>
      </c>
      <c r="JT264">
        <f>IF(B264="","",COUNTIF(B$3:B264,"?*"))</f>
        <v>262</v>
      </c>
      <c r="JU264">
        <f>IF(HL264&lt;&gt;1,0,_xlfn.LET(_xlpm.k,MAX(IFERROR(--_xlfn.XLOOKUP(B264,Коды_код,Коды_3L),0),IFERROR(--_xlfn.XLOOKUP(BC264,Коды_код,Коды_3L),0),IFERROR(--_xlfn.XLOOKUP(LEFT(BC264,2),Коды_код,Коды_3L),0)),IF(_xlpm.k&gt;0,_xlpm.k,IF(IFERROR(--LEFT(SUBSTITUTE(JO264,"x","х"),FIND("х",SUBSTITUTE(JO264,"x","х"))-1),3)&gt;3,Каталог!$S$9,1))))</f>
        <v>1</v>
      </c>
      <c r="JV264">
        <f t="shared" si="685"/>
        <v>0</v>
      </c>
      <c r="JW264" t="str">
        <f t="shared" si="686"/>
        <v>авто</v>
      </c>
      <c r="JX264">
        <f t="shared" si="687"/>
        <v>30</v>
      </c>
      <c r="JY264">
        <f t="shared" si="688"/>
        <v>1</v>
      </c>
      <c r="JZ264">
        <f t="shared" si="689"/>
        <v>1</v>
      </c>
    </row>
    <row r="265" spans="1:286" x14ac:dyDescent="0.3">
      <c r="A265" t="s">
        <v>757</v>
      </c>
      <c r="B265" t="s">
        <v>1571</v>
      </c>
      <c r="C265" t="s">
        <v>1712</v>
      </c>
      <c r="D265">
        <v>1</v>
      </c>
      <c r="E265">
        <v>0.03</v>
      </c>
      <c r="G265" t="str">
        <f>Линии[[#This Row],[_авто автомат]]</f>
        <v>2P С16А 30мА</v>
      </c>
      <c r="H265" t="str">
        <f>Линии[[#This Row],[_авто управление]]</f>
        <v/>
      </c>
      <c r="I265" t="str">
        <f>Линии[[#This Row],[_авто аппараты]]</f>
        <v/>
      </c>
      <c r="J265">
        <v>2.5</v>
      </c>
      <c r="K265">
        <v>37</v>
      </c>
      <c r="L265" t="str">
        <f>Линии[[#This Row],[_авто фаза]]</f>
        <v>L2</v>
      </c>
      <c r="M265" t="str">
        <f>Линии[[#This Row],[_авто клемма]]</f>
        <v>XT41</v>
      </c>
      <c r="N265" t="str">
        <f t="shared" si="552"/>
        <v/>
      </c>
      <c r="O265" s="6" cm="1">
        <f t="array" ref="O265">IF(B265="","",IF(BH265&lt;&gt;"",IFERROR(_xlfn.XLOOKUP(BH265,Щиты[Щит],Щиты[Iр, А]),""),IF(BP265=1,IF(OR(N(_xlfn.XLOOKUP(A265,Щиты[Щит],Щиты[Вводов],1))&lt;=1,LOWER(TRIM(_xlfn.XLOOKUP(A265,Щиты[Щит],Щиты[АВР],"")&amp;""))="да"),IFERROR(_xlfn.XLOOKUP(A265,Щиты[Щит],Щиты[Iр, А]),""),IFERROR(N(BS265)*_xlfn.XLOOKUP(A265,Щиты[Щит],Щиты[Кс итог])/(SQRT(3)*Uн_лин*_xlfn.XLOOKUP(A265,Щиты[Щит],Щиты[cos φ])),"")),IF(BV265=1,IFERROR(BS265*1000/BU265,""),IFERROR(_xlfn.IFS(BX265=1,BS265/((Uн_лин/SQRT(3))*CE265),BX265=3,BS265/(SQRT(3)*Uн_лин*CE265)),"")))))</f>
        <v>0.13674085322912188</v>
      </c>
      <c r="P265" s="7">
        <f>IF(B265="","",IFERROR(IF(VLOOKUP(BC265,Потребители_обозначение,4,FALSE)=1,VLOOKUP(BC265,Потребители_обозначение,3,FALSE)*(MAX(1,N(D265))*2-1)+EI265+VLOOKUP(BE265,Этаж_обозначение,3,FALSE)+VLOOKUP(BE265,Этаж_обозначение,4,FALSE),VLOOKUP(BC265,Потребители_обозначение,3,FALSE)*(MAX(1,N(D265))*2-1)+EI265),EI265))</f>
        <v>40</v>
      </c>
      <c r="Q265" s="6">
        <f t="shared" si="553"/>
        <v>1.24</v>
      </c>
      <c r="R265" t="str">
        <f t="shared" si="554"/>
        <v>ВВГнг(А)-LS (3х2,5)</v>
      </c>
      <c r="S265" t="str">
        <f>IF(BM265="","",IF(BN265="вводной узел","узел ","")&amp;"л."&amp;(INT((BM265-1)/Столбцов_на_лист)+1)&amp;" / "&amp;(MOD(BM265-1,Столбцов_на_лист)+1))</f>
        <v>л.4 / 4</v>
      </c>
      <c r="T265" s="119">
        <f t="shared" si="555"/>
        <v>0.5</v>
      </c>
      <c r="U265" s="7" t="str">
        <f>IF(OR(CG265=0,N(BV265)+N(IB265)=0),"",ROUNDUP(Запас_БП*(N(HY265)+N(HZ265)),0))</f>
        <v/>
      </c>
      <c r="V265" s="119" t="str">
        <f t="shared" si="556"/>
        <v/>
      </c>
      <c r="W265" s="7" t="str">
        <f>IFERROR(IF(OR(B265="",BP265=1,BV265=1,NOT(ISNUMBER(EN265)),N(DT265)=0),"",MAX(0,ROUNDDOWN((c_min*(Uн_лин*1000/SQRT(3))/(HT265*N(DT265))-_xlfn.XLOOKUP(A265,Щиты[Щит],Щиты[Zпетли на шинах, Ом]))*EN265/(2*ρкз_Cu),0))),"")</f>
        <v/>
      </c>
      <c r="Y265">
        <f>Линии[[#This Row],[_авто утечка]]</f>
        <v>30</v>
      </c>
      <c r="Z265">
        <v>1</v>
      </c>
      <c r="AA265">
        <v>230</v>
      </c>
      <c r="AB265" t="s">
        <v>562</v>
      </c>
      <c r="AG265" t="s">
        <v>810</v>
      </c>
      <c r="AI265" t="s">
        <v>561</v>
      </c>
      <c r="AK265" t="str">
        <f>Линии[[#This Row],[_авто модуль]]</f>
        <v/>
      </c>
      <c r="AM265">
        <v>55</v>
      </c>
      <c r="AN265" t="s">
        <v>11</v>
      </c>
      <c r="AO265">
        <v>3</v>
      </c>
      <c r="AQ265">
        <v>20</v>
      </c>
      <c r="AS265">
        <v>0</v>
      </c>
      <c r="BA265" cm="1">
        <f t="array" ref="BA265">ROW()-ROW(Линии[#Headers])</f>
        <v>263</v>
      </c>
      <c r="BC265" s="6" t="str">
        <f t="shared" si="557"/>
        <v>R</v>
      </c>
      <c r="BD265" t="str">
        <f t="shared" si="558"/>
        <v>1.019A.1</v>
      </c>
      <c r="BE265" t="str">
        <f t="shared" si="559"/>
        <v>1</v>
      </c>
      <c r="BF265" t="str">
        <f t="shared" si="560"/>
        <v>019A.1</v>
      </c>
      <c r="BG265" t="str">
        <f t="shared" si="561"/>
        <v>019A</v>
      </c>
      <c r="BH265" t="str">
        <f>IF(X265&lt;&gt;"",X265,IF(AND(B265&lt;&gt;"",B265&lt;&gt;A265,ISNUMBER(_xlfn.XMATCH(B265,Щиты[Щит]))),B265,""))</f>
        <v/>
      </c>
      <c r="BI265" t="str" cm="1">
        <f t="array" ref="BI265">IF(B265="","",IF(BH265&lt;&gt;"","Щит "&amp;BH265,_xlfn.LET(_xlpm.nm,IFERROR(_xlfn.XLOOKUP(BC265,Коды_код,Коды_имя)&amp;"",""),_xlpm.md,IFERROR(N(_xlfn.XLOOKUP(BC265,Коды_код,Коды_режим)),1),_xlpm.ex,IF(Имя_режим="по экспликации",IFERROR(_xlfn.XLOOKUP(BE265&amp;"|"&amp;BG265,Экспликация[Этаж]&amp;"|"&amp;Экспликация[Помещение],Экспликация[Название])&amp;"",""),""),_xlpm.rm,IF(BG265="","",IF(_xlpm.ex&lt;&gt;"",". "&amp;_xlpm.ex&amp;IF(Имя_пом="нет"," ("&amp;BG265&amp;")"," (пом. "&amp;BG265&amp;")"),IF(Имя_пом="нет"," ",", пом. ")&amp;BG265)),IF(_xlpm.nm="","",IF(_xlpm.md=2,_xlpm.nm&amp;" шлейф "&amp;BE265,_xlpm.nm&amp;_xlpm.rm)))))</f>
        <v>Розеточная группа, пом. 019A</v>
      </c>
      <c r="BJ265" t="str">
        <f t="shared" si="562"/>
        <v>Розеточная группа Первый этаж Пом. №019A Полотенцесушитель</v>
      </c>
      <c r="BK265">
        <f>IFERROR(_xlfn.XMATCH(A265,Щиты[Щит]),0)</f>
        <v>10</v>
      </c>
      <c r="BL265">
        <f>_xlfn.LET(_xlpm.k,IFERROR(_xlfn.XLOOKUP(A265,Щиты[Щит],Щиты[Мест под вводной узел]),""),IF(_xlpm.k="",Столбцов_на_лист,N(_xlpm.k)))</f>
        <v>8</v>
      </c>
      <c r="BM265">
        <f t="shared" si="563"/>
        <v>55</v>
      </c>
      <c r="BN265" t="str">
        <f t="shared" si="564"/>
        <v>линии</v>
      </c>
      <c r="BO265" s="6">
        <f>IFERROR(N(_xlfn.XLOOKUP(BC265,Коды_код,Коды_квт)),0)</f>
        <v>0</v>
      </c>
      <c r="BP265">
        <f t="shared" si="565"/>
        <v>0</v>
      </c>
      <c r="BQ265" t="str">
        <f>IF(B265="","",IF(BH265&lt;&gt;"",IFERROR(_xlfn.XLOOKUP(BH265,Щиты[Щит],Щиты[Руст, кВт]),0),IF(BP265=1,IF(OR(N(_xlfn.XLOOKUP(A265,Щиты[Щит],Щиты[Вводов],1))&lt;=1,LOWER(TRIM(_xlfn.XLOOKUP(A265,Щиты[Щит],Щиты[АВР],"")&amp;""))="да"),IFERROR(_xlfn.XLOOKUP(A265,Щиты[Щит],Щиты[Руст, кВт]),0),SUMIFS(Линии[_Р для вводов],Линии[Щит],A265,Линии[Источник для режимов],GF265)),IF(BO265&gt;0,ROUND(BO265*MAX(1,N(D265)),3),""))))</f>
        <v/>
      </c>
      <c r="BR265">
        <f t="shared" si="566"/>
        <v>0.03</v>
      </c>
      <c r="BS265" s="6">
        <f>IF(B265="","",IF(BH265&lt;&gt;"",IFERROR(_xlfn.XLOOKUP(BH265,Щиты[Щит],Щиты[Руст, кВт]),0),N(BR265)))</f>
        <v>0.03</v>
      </c>
      <c r="BT265" t="str">
        <f>IF(B265="","",IFERROR(IF(VLOOKUP(BC265,Потребители_обозначение,8,FALSE)=0,"",VLOOKUP(BC265,Потребители_обозначение,8,FALSE)),""))</f>
        <v/>
      </c>
      <c r="BU265">
        <f t="shared" si="567"/>
        <v>230</v>
      </c>
      <c r="BV265">
        <f t="shared" si="568"/>
        <v>0</v>
      </c>
      <c r="BW265">
        <f>IF(B265="","",IF(BH265&lt;&gt;"",3,IFERROR(IF(N(VLOOKUP(BC265,Потребители_обозначение,9,FALSE))=0,1,VLOOKUP(BC265,Потребители_обозначение,9,FALSE)),1)))</f>
        <v>1</v>
      </c>
      <c r="BX265">
        <f t="shared" si="569"/>
        <v>1</v>
      </c>
      <c r="BY265" t="str">
        <f>IF(B265="","",_xlfn.LET(_xlpm.bc,IFERROR(IF(VLOOKUP(BC265,Потребители_обозначение,6,FALSE)=0,"",VLOOKUP(BC265,Потребители_обозначение,6,FALSE)&amp;""),""),IF(AND(GA265="да",OR(_xlpm.bc="",_xlpm.bc="мс")),Марка_пож,IF(AND(_xlpm.bc="",BH265&lt;&gt;""),"мс",_xlpm.bc))))</f>
        <v/>
      </c>
      <c r="BZ265" t="str">
        <f t="shared" si="570"/>
        <v>мс</v>
      </c>
      <c r="CA265">
        <f>IF(B265="","",_xlfn.LET(_xlpm.cc,IFERROR(N(VLOOKUP(BC265,Потребители_обозначение,7,FALSE)),0),IF(_xlpm.cc&gt;0,_xlpm.cc,IF(BZ265="","",IF(BV265=1,2,IF(N(BX265)=3,5,3))))))</f>
        <v>3</v>
      </c>
      <c r="CB265">
        <f t="shared" si="571"/>
        <v>3</v>
      </c>
      <c r="CC265">
        <f>IFERROR(N(VLOOKUP(BC265,Потребители_обозначение,10,FALSE)),0)</f>
        <v>0</v>
      </c>
      <c r="CD265">
        <f>IFERROR(VLOOKUP(BC265,Потребители_обозначение,5,FALSE),0)</f>
        <v>1</v>
      </c>
      <c r="CE265" s="6" cm="1">
        <f t="array" ref="CE265">IF(B265="","",IF(BH265&lt;&gt;"",IFERROR(_xlfn.XLOOKUP(BH265,Щиты[Щит],Щиты[cos φ]),0.95),IF(BP265=1,IFERROR(_xlfn.XLOOKUP(A265,Щиты[Щит],Щиты[cos φ]),0.95),IF(ISNUMBER(AD265),AD265,IFERROR(IF(CD265=2,_xlfn.IFS(BX265=3,VLOOKUP(BS265,Справочная_двигатели,8,FALSE),BX265=1,VLOOKUP(BS265,Справочная_двигатели,10,TRUE)),IF(AND(Методика="нормы 2026",FG265="Сил"),0.8,0.95)),0.95)))))</f>
        <v>0.95</v>
      </c>
      <c r="CF265">
        <f t="shared" si="572"/>
        <v>0</v>
      </c>
      <c r="CG265">
        <f t="shared" si="573"/>
        <v>1</v>
      </c>
      <c r="CH265">
        <f t="shared" si="574"/>
        <v>0</v>
      </c>
      <c r="CI265">
        <f>IF(B265="","",IF(BV265=1,IFERROR(BS265/((Uн_лин/SQRT(3))*MAX(0.5,N(CE265))),0),N(O265)))</f>
        <v>0.13674085322912188</v>
      </c>
      <c r="CJ265">
        <f t="shared" si="575"/>
        <v>0</v>
      </c>
      <c r="CK265">
        <f t="shared" si="576"/>
        <v>0</v>
      </c>
      <c r="CL265">
        <f t="shared" si="577"/>
        <v>0</v>
      </c>
      <c r="CM265">
        <f t="shared" si="578"/>
        <v>0</v>
      </c>
      <c r="CN265">
        <f t="shared" si="579"/>
        <v>0</v>
      </c>
      <c r="CO265">
        <f>IF(BC265="",0,_xlfn.LET(_xlpm.v,IFERROR(_xlfn.XLOOKUP(B265,Коды_код,Коды_мА),IFERROR(_xlfn.XLOOKUP(BC265,Коды_код,Коды_мА),IFERROR(_xlfn.XLOOKUP(LEFT(BC265,2),Коды_код,Коды_мА),""))),IF(_xlpm.v="да",30,IF(ISNUMBER(_xlpm.v),_xlpm.v,0))))</f>
        <v>30</v>
      </c>
      <c r="CP265">
        <f t="shared" si="580"/>
        <v>30</v>
      </c>
      <c r="CQ265" t="str">
        <f>_xlfn.LET(_xlpm.k,IFERROR(_xlfn.XLOOKUP(BC265,Коды_код,Коды_утечка)&amp;"",""),IF(_xlpm.k="","дифавтомат",_xlpm.k))</f>
        <v>дифавтомат</v>
      </c>
      <c r="CR265" t="str" cm="1">
        <f t="array" ref="CR265">IF(CG265=0,"",_xlfn.LET(_xlpm.sg,TRIM(_xlfn.TEXTSPLIT(DD265&amp;"",";")),_xlpm.f_,_xlfn._xlws.FILTER(_xlpm.sg,LEFT(_xlpm.sg,3)="УЗО",""),IFERROR(INDEX(_xlpm.f_,1)&amp;"","")))</f>
        <v/>
      </c>
      <c r="CS265" t="str">
        <f t="shared" si="581"/>
        <v/>
      </c>
      <c r="CT265" s="6" t="str" cm="1">
        <f t="array" ref="CT265">IF(CR265="","",_xlfn.LET(_xlpm.tk,_xlfn.TEXTSPLIT(UPPER(CR265)," ",,TRUE),_xlpm.a_,_xlfn._xlws.FILTER(_xlpm.tk,ISNUMBER(--LEFT(_xlpm.tk,1))*((ISNUMBER(SEARCH("А",_xlpm.tk))+ISNUMBER(SEARCH("A",_xlpm.tk)))&gt;0)*NOT(ISNUMBER(SEARCH("МА",_xlpm.tk)))*NOT(ISNUMBER(SEARCH("MA",_xlpm.tk))),""),IFERROR(--SUBSTITUTE(SUBSTITUTE(INDEX(_xlpm.a_,1),"А",""),"A",""),"")))</f>
        <v/>
      </c>
      <c r="CU265" t="str" cm="1">
        <f t="array" ref="CU265">IF(CR265="","",_xlfn.LET(_xlpm.tk,_xlfn.TEXTSPLIT(UPPER(CR265)," ",,TRUE),_xlpm.a_,_xlfn._xlws.FILTER(_xlpm.tk,ISNUMBER(--LEFT(_xlpm.tk,1))*((ISNUMBER(SEARCH("МА",_xlpm.tk))+ISNUMBER(SEARCH("MA",_xlpm.tk)))&gt;0),""),IFERROR(--SUBSTITUTE(SUBSTITUTE(INDEX(_xlpm.a_,1),"МА",""),"MA",""),30)))</f>
        <v/>
      </c>
      <c r="CV265" t="str">
        <f>IF(CS265="","",IFERROR(_xlfn.XLOOKUP(CS265,Линии[_n],Линии[_УЗО, мА]),30))</f>
        <v/>
      </c>
      <c r="CW265">
        <f>IF(CS265="",0,IF(ISNUMBER(SEARCH("4P",IFERROR(_xlfn.XLOOKUP(CS265,Линии[_n],Линии[_УЗО строки])&amp;"",""))),0,1))</f>
        <v>0</v>
      </c>
      <c r="CX265" t="str">
        <f>IF(AND(CS265&lt;&gt;"",CS265=BA265),SUMIFS(Линии[_ток на 230 В],Линии[_блок УЗО],BA265,Линии[Щит],A265),"")</f>
        <v/>
      </c>
      <c r="CY265" t="str">
        <f>IF(AND(CS265&lt;&gt;"",CS265=BA265),SUMIFS(Линии[_ток утечки линии, мА],Линии[_блок УЗО],BA265,Линии[Щит],A265),"")</f>
        <v/>
      </c>
      <c r="CZ265">
        <f t="shared" si="582"/>
        <v>30</v>
      </c>
      <c r="DA265">
        <f t="shared" si="583"/>
        <v>30</v>
      </c>
      <c r="DB265">
        <f>IF(B265="",0,IFERROR(--_xlfn.XLOOKUP(B265,Коды_код,Коды_минавт),IFERROR(--_xlfn.XLOOKUP(BC265,Коды_код,Коды_минавт),IFERROR(--_xlfn.XLOOKUP(LEFT(BC265,2),Коды_код,Коды_минавт),0))))</f>
        <v>16</v>
      </c>
      <c r="DC265" t="str">
        <f>IF(B265="","",IFERROR(_xlfn.XLOOKUP(BC265,Коды_код,Коды_апп)&amp;"",""))</f>
        <v/>
      </c>
      <c r="DD265" t="str">
        <f t="shared" si="584"/>
        <v/>
      </c>
      <c r="DE265" t="str" cm="1">
        <f t="array" ref="DE265">IF(TRIM(DD265&amp;"")="","",IFERROR(TRIM(INDEX(_xlfn.TEXTSPLIT(DD265&amp;";;;",";"),1)),""))</f>
        <v/>
      </c>
      <c r="DF265" t="str" cm="1">
        <f t="array" ref="DF265">IF(TRIM(DD265&amp;"")="","",IFERROR(TRIM(INDEX(_xlfn.TEXTSPLIT(DD265&amp;";;;",";"),2)),""))</f>
        <v/>
      </c>
      <c r="DG265" t="str" cm="1">
        <f t="array" ref="DG265">IF(TRIM(DD265&amp;"")="","",IFERROR(TRIM(INDEX(_xlfn.TEXTSPLIT(DD265&amp;";;;",";"),3)),""))</f>
        <v/>
      </c>
      <c r="DH265">
        <f t="shared" si="585"/>
        <v>0</v>
      </c>
      <c r="DI265" t="str">
        <f>IF(B265="","",_xlfn.LET(_xlpm.t,LOWER(AZ265&amp;""),IF(ISNUMBER(SEARCH("dim",_xlpm.t)),"DIM",IF(ISNUMBER(SEARCH("dali",_xlpm.t)),"DALI",IF(OR(ISNUMBER(SEARCH("relay",_xlpm.t)),ISNUMBER(SEARCH("реле",_xlpm.t))),"Relay",IF(ISNUMBER(SEARCH("кнопк",_xlpm.t)),"",IFERROR(_xlfn.XLOOKUP(BC265,Коды_код,Коды_упр)&amp;"","")))))))</f>
        <v/>
      </c>
      <c r="DJ265" t="str">
        <f t="shared" si="586"/>
        <v/>
      </c>
      <c r="DK265">
        <f>IF(B265="","",_xlfn.LET(_xlpm.ig,IF(N(CX265)&gt;0,N(CX265),N(CI265)+IF(AJ265="вручную",0,N(CJ265))),_xlpm.n0,IFERROR(VLOOKUP(_xlpm.ig,Автомат_номиналы,2,TRUE),0),_xlpm.mn,MAX(DB265,IF(AJ265="вручную",0,N(CM265))),MAX(_xlpm.n0,_xlpm.mn,IF(DH265=1,Мин_автомат_БП,0))))</f>
        <v>16</v>
      </c>
      <c r="DL265">
        <f t="shared" si="587"/>
        <v>1</v>
      </c>
      <c r="DM265" t="str">
        <f t="shared" si="588"/>
        <v>2P</v>
      </c>
      <c r="DN265" t="str">
        <f>_xlfn.LET(_xlpm.cc,UPPER(TRIM(IFERROR(_xlfn.XLOOKUP(BC265,Коды_код,Коды_хар)&amp;"",""))),IF(OR(_xlpm.cc="B",_xlpm.cc="В"),"B",IF(_xlpm.cc="D","D","С")))</f>
        <v>С</v>
      </c>
      <c r="DO265" t="str">
        <f t="shared" si="589"/>
        <v>2P С16А 30мА</v>
      </c>
      <c r="DP265" t="str">
        <f t="shared" si="590"/>
        <v>2P С16А 30мА</v>
      </c>
      <c r="DQ265" t="str">
        <f t="shared" si="591"/>
        <v>2P С16А 30мА</v>
      </c>
      <c r="DR265" cm="1">
        <f t="array" ref="DR265">IF(DQ265="","",_xlfn.LET(_xlpm.t,SUBSTITUTE(SUBSTITUTE(SUBSTITUTE(UPPER(DQ265),"С","C"),"А","A"),"В","B"),_xlpm.tk,_xlfn.TEXTSPLIT(_xlpm.t," "),_xlpm.f,_xlfn._xlws.FILTER(_xlpm.tk,ISNUMBER(--MID(_xlpm.tk,2,1))*ISNUMBER(SEARCH(LEFT(_xlpm.tk,1)&amp;"#","B#C#D#"))*(LEN(_xlpm.tk)&gt;1),""),_xlpm.x,INDEX(_xlpm.f,1),IFERROR(--SUBSTITUTE(MID(_xlpm.x,2,9),"A",""),IFERROR(--SUBSTITUTE(INDEX(_xlfn._xlws.FILTER(_xlpm.tk,ISNUMBER(--SUBSTITUTE(_xlpm.tk,"A","")),""),1),"A",""),""))))</f>
        <v>16</v>
      </c>
      <c r="DS265" t="str">
        <f t="shared" si="592"/>
        <v>ok</v>
      </c>
      <c r="DT265">
        <f t="shared" si="593"/>
        <v>16</v>
      </c>
      <c r="DU265" t="str">
        <f t="shared" si="594"/>
        <v>2P С16А 30мА</v>
      </c>
      <c r="DV265">
        <f t="shared" si="595"/>
        <v>30</v>
      </c>
      <c r="DW265">
        <f t="shared" si="596"/>
        <v>1</v>
      </c>
      <c r="DX265">
        <f t="shared" si="597"/>
        <v>0</v>
      </c>
      <c r="DY265">
        <f t="shared" si="598"/>
        <v>0.13674085322912188</v>
      </c>
      <c r="DZ265">
        <f t="shared" si="599"/>
        <v>1</v>
      </c>
      <c r="EA265">
        <f>IF(ISNUMBER(AP265),AP265,К_прокл)</f>
        <v>1</v>
      </c>
      <c r="EB265">
        <f t="shared" si="600"/>
        <v>2</v>
      </c>
      <c r="EC265">
        <f>IFERROR(N(VLOOKUP(BZ265,Кабель_обозначение,3,FALSE)),1)</f>
        <v>1</v>
      </c>
      <c r="ED265">
        <f>IFERROR(N(_xlfn.XLOOKUP(A265,Щиты[Щит],Щиты[ΔU до шин, %])),0)</f>
        <v>1.19</v>
      </c>
      <c r="EE265" t="str">
        <f>IFERROR(_xlfn.XLOOKUP(A265,Щиты[Щит],Щиты[Zпетли на шинах, Ом]),"")</f>
        <v/>
      </c>
      <c r="EF265">
        <f>IFERROR(N(_xlfn.XLOOKUP(A265,Щиты[Щит],Щиты[ΔU до шин (подбор), %])),0)</f>
        <v>1.19</v>
      </c>
      <c r="EG265" t="str">
        <f>IFERROR(_xlfn.XLOOKUP(A265,Щиты[Щит],Щиты[Zпетли на шинах (подбор), Ом]),"")</f>
        <v/>
      </c>
      <c r="EH265" t="str">
        <f t="shared" si="601"/>
        <v/>
      </c>
      <c r="EI265">
        <f t="shared" si="602"/>
        <v>37</v>
      </c>
      <c r="EJ265">
        <f t="shared" si="603"/>
        <v>2</v>
      </c>
      <c r="EK265">
        <f t="shared" si="604"/>
        <v>0.31</v>
      </c>
      <c r="EL265" s="6">
        <f>IF(B265="","",IF(BV265=1,dU_LED,IF(IFERROR(_xlfn.XLOOKUP(BC265,Коды_код,Коды_уго),"")="Светильник",3,4)+IF(Методика="нормы 2026",MIN(0.5,MAX(0,N(P265)-100)*0.005),0)))</f>
        <v>4</v>
      </c>
      <c r="EM265" cm="1">
        <f t="array" ref="EM265">IF(OR(B265="",BZ265="",EC265&lt;&gt;1),"",_xlfn.LET(_xlpm.sz,Iдоп_S,_xlpm.t_,CHOOSE(EB265,Iдоп_1ж,Iдоп_2ж,Iдоп_3ж)*DZ265*EA265,_xlpm.dcx,BV265=1,_xlpm.inn,IF(_xlpm.dcx,N(O265),N(DT265)),_xlpm.smin,MAX(1.5,CC265),_xlpm.L_,N(P265)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265)/N(BU265)*100,999),IFERROR(N(EJ265)*(_xlpm.rho*_xlpm.L_/_xlpm.sz*N(CE265)+_xlpm.xx*_xlpm.L_*N(EK265)/1000)*N(O265)/((Uн_лин/SQRT(3))*1000)*100,999)),_xlpm.kz,IF(OR(_xlpm.dcx,DW265=1,NOT(ISNUMBER(EG265)),_xlpm.L_=0,_xlpm.inn=0),1,IFERROR(--(c_min*(Uн_лин*1000/SQRT(3))/(EG265+2*ρкз_Cu*_xlpm.L_/_xlpm.sz)&gt;=HT265*_xlpm.inn),0)),_xlpm.ok,IFERROR((_xlpm.sz&gt;=_xlpm.smin)*(_xlpm.t_&gt;=_xlpm.inn)*IF(_xlpm.L_&gt;0,(_xlpm.du_+IF(_xlpm.dcx,0,EF265)&lt;=EL265+0.00001),1)*_xlpm.kz,0),_xlpm.r_,_xlfn._xlws.FILTER(_xlpm.sz,_xlpm.ok,"не подобрано"),INDEX(_xlpm.r_,1)))</f>
        <v>1.5</v>
      </c>
      <c r="EN265">
        <f t="shared" si="605"/>
        <v>2.5</v>
      </c>
      <c r="EO265" cm="1">
        <f t="array" ref="EO265">IF(OR(B265="",BZ265="",EC265&lt;&gt;1),"",_xlfn.LET(_xlpm.sz,Iдоп_S,_xlpm.t_,CHOOSE(EB265,Iдоп_1ж,Iдоп_2ж,Iдоп_3ж)*DZ265*EA265,_xlpm.ok,IFERROR((_xlpm.sz&gt;=MAX(1.5,CC265))*(_xlpm.t_&gt;=N(DT265)),0),_xlpm.r_,_xlfn._xlws.FILTER(_xlpm.sz,_xlpm.ok,""),INDEX(_xlpm.r_,1)))</f>
        <v>1.5</v>
      </c>
      <c r="EP265" s="6" cm="1">
        <f t="array" ref="EP265">IFERROR(ROUNDUP(N(EJ265)*(_xlfn.XLOOKUP(EO265,INDEX(Кабель_сопротивление,0,1),INDEX(Кабель_сопротивление,0,3))*N(P265)/EO265*N(CE265)+_xlfn.XLOOKUP(EO265,INDEX(Кабель_сопротивление,0,1),INDEX(Кабель_сопротивление,0,2))*N(P265)*N(EK265)/1000)*N(O265)/((Uн_лин/SQRT(3))*1000)*100,2),"")</f>
        <v>6.9999999999999993E-2</v>
      </c>
      <c r="EQ265">
        <f>IFERROR(2*ρкз_Cu*N(P265)/EO265,"")</f>
        <v>1.4026666666666667</v>
      </c>
      <c r="ER265">
        <f>IFERROR(VLOOKUP(EN265,Кабель_сопротивление,3,FALSE),"")</f>
        <v>2.2499999999999999E-2</v>
      </c>
      <c r="ES265">
        <f>IFERROR(VLOOKUP(EN265,Кабель_сопротивление,2,FALSE),"")</f>
        <v>0.1</v>
      </c>
      <c r="ET265" t="str">
        <f t="shared" si="606"/>
        <v/>
      </c>
      <c r="EU265">
        <f t="shared" si="607"/>
        <v>0</v>
      </c>
      <c r="EV265">
        <f t="shared" si="608"/>
        <v>9.3869860924727586E-2</v>
      </c>
      <c r="EW265" s="6">
        <f>IFERROR(ROUNDUP(EV265/IF(BV265=1,BU265,(Uн_лин/SQRT(3))*1000)*100,2),"")</f>
        <v>0.05</v>
      </c>
      <c r="EX265" t="str">
        <f>IFERROR(VLOOKUP(BZ265,Кабель_обозначение,2,FALSE),"")</f>
        <v>ВВГнг(А)-LS</v>
      </c>
      <c r="EY265" t="str">
        <f t="shared" si="609"/>
        <v>ВВГнг(А)-LS (3х2,5)</v>
      </c>
      <c r="EZ265" t="str">
        <f t="shared" si="610"/>
        <v>ВВГнг(А)-LS (3х2,5)
L=40-0,05%</v>
      </c>
      <c r="FA265">
        <f>IFERROR(2*ρкз_Cu*P265/EN265,"")</f>
        <v>0.84160000000000001</v>
      </c>
      <c r="FB265">
        <f t="shared" si="611"/>
        <v>0.28000000000000003</v>
      </c>
      <c r="FC265" s="6" t="str">
        <f>IFERROR(IF(OR(B265="",BV265=1,NOT(ISNUMBER(EN265)),N(P265)=0),"",_xlfn.XLOOKUP(A265,Щиты[Щит],Щиты[Zпетли на шинах, Ом])+FA265),"")</f>
        <v/>
      </c>
      <c r="FD265" s="6" t="str">
        <f>IF(ISNUMBER(FC265),c_min*(Uн_лин*1000/SQRT(3))/FC265,"")</f>
        <v/>
      </c>
      <c r="FE265" s="6" t="str">
        <f>IFERROR(IF(OR(B265="",NOT(ISNUMBER(EN265))),"",1.05*(Uн_лин*1000/SQRT(3))/(_xlfn.XLOOKUP(A265,Щиты[Щит],Щиты[Zmax на шинах, Ом])+FB265)/1000),"")</f>
        <v/>
      </c>
      <c r="FF265" s="6" t="str">
        <f>IF(B265="","",IF(ISNUMBER(AC265),"Сил",IF(IFERROR(_xlfn.XLOOKUP(BC265,Коды_код,Коды_группа)&amp;"","")="","Быт",_xlfn.XLOOKUP(BC265,Коды_код,Коды_группа)&amp;"")))</f>
        <v>Быт</v>
      </c>
      <c r="FG265" s="6" t="str">
        <f t="shared" si="612"/>
        <v>Быт</v>
      </c>
      <c r="FH265" s="6">
        <f>IF(FG265="Щит","щит",IF(FG265="","",IF(FG265="Быт",IFERROR(_xlfn.XLOOKUP(A265,Щиты[Щит],Щиты[Кс быт]),1),IF(FG265="Сил",IF(ISNUMBER(AC265),AC265,IF(Методика="нормы 2026",IFERROR(_xlfn.XLOOKUP(A265,Щиты[Щит],Щиты[Кс силовых (табл. 7.5)]),1),1)),IF(OR(FG265="Пост",FG265="Отоп"),1,IF(FG265="ВНГ",0.7,0))))))</f>
        <v>0.57830000000000004</v>
      </c>
      <c r="FI265">
        <f>IF(FG265="","",IF(AND(BP265=1,TRIM(AE265&amp;"")=""),IF(COUNTIFS(Линии[Щит],A265,Линии[Секция (1/2/3)],"&gt;=2")&gt;0,MIN(3,MAX(1,IFERROR(--BD265,1))),1),IFERROR(MIN(3,MAX(1,INT(--AE265))),1)))</f>
        <v>1</v>
      </c>
      <c r="FJ265">
        <f t="shared" si="613"/>
        <v>0.03</v>
      </c>
      <c r="FK265">
        <f t="shared" si="614"/>
        <v>0.03</v>
      </c>
      <c r="FL265">
        <f t="shared" si="615"/>
        <v>0</v>
      </c>
      <c r="FM265">
        <f t="shared" si="616"/>
        <v>0</v>
      </c>
      <c r="FN265">
        <f t="shared" si="617"/>
        <v>0</v>
      </c>
      <c r="FO265">
        <f t="shared" si="618"/>
        <v>0</v>
      </c>
      <c r="FP265">
        <f t="shared" si="619"/>
        <v>0.03</v>
      </c>
      <c r="FQ265">
        <f t="shared" si="620"/>
        <v>0.03</v>
      </c>
      <c r="FR265">
        <f t="shared" si="621"/>
        <v>2.8499999999999998E-2</v>
      </c>
      <c r="FS265">
        <f>IF(CG265=1,IF(AND(CH265=1,CW265=1),0,IF(AND(CS265&lt;&gt;"",CS265=BA265,CW265=1),SUMIFS(Линии[_Р линии, кВт],Линии[_блок УЗО],BA265,Линии[Щит],A265),N(BS265)+IF(AJ265="вручную",0,N(CK265)))),0)</f>
        <v>0.03</v>
      </c>
      <c r="FT265" t="str">
        <f t="shared" si="622"/>
        <v/>
      </c>
      <c r="FU265" t="str">
        <f>IF(B265="","",IF(CG265=0,IF(BA265=1,"",FW264),IF(AND(CH265=1,CW265=1,CS265&lt;&gt;""),IFERROR(_xlfn.XLOOKUP(CS265,Линии[_n],Линии[_фаза итог]),"L1"),IF(OR(N(DL265)&gt;=3,N(BX265)&gt;=3),"L1,L2,L3",IFERROR(_xlfn.TEXTBEFORE(_xlfn.TEXTAFTER(_xlfn.XLOOKUP(A265,Щиты[Щит],Щиты[_фазы авто]),";"&amp;BA265&amp;":"),";"),"L1")))))</f>
        <v>L2</v>
      </c>
      <c r="FV265" t="str">
        <f t="shared" si="623"/>
        <v>L2</v>
      </c>
      <c r="FW265" t="str">
        <f t="shared" si="624"/>
        <v>L2</v>
      </c>
      <c r="FX265" cm="1">
        <f t="array" ref="FX265">IFERROR(IF(CD265=2,_xlfn.IFS(BX265=3,VLOOKUP(BS265,Справочная_двигатели,3,FALSE),BX265=1,VLOOKUP(BS265,Справочная_двигатели,5,TRUE)),0),0)</f>
        <v>0</v>
      </c>
      <c r="FY265">
        <f>IFERROR(IF(CD265=3,VLOOKUP(BS265,Справочная_ЛЭД,2,TRUE),0),0)</f>
        <v>0</v>
      </c>
      <c r="FZ265" s="6">
        <f t="shared" si="625"/>
        <v>0</v>
      </c>
      <c r="GA265" t="str">
        <f>IF(B265="","",IF(TRIM(AH265&amp;"")&lt;&gt;"",IF(LOWER(TRIM(AH265&amp;""))="да","да","нет"),IF(IFERROR(_xlfn.XLOOKUP(BC265,Коды_код,Коды_пожарная),"")="да","да","нет")))</f>
        <v>нет</v>
      </c>
      <c r="GB265" t="str">
        <f t="shared" si="626"/>
        <v/>
      </c>
      <c r="GC265" t="str">
        <f t="shared" si="627"/>
        <v>основная</v>
      </c>
      <c r="GD265">
        <f>IF(AND(BP265=1,TRIM(AE265&amp;"")=""),IF(COUNTIFS(Линии[Щит],A265,Линии[Секция (1/2/3)],"&gt;=2")&gt;0,MIN(3,MAX(1,IFERROR(--BD265,1))),1),IFERROR(MIN(3,MAX(1,INT(--AE265))),1))</f>
        <v>1</v>
      </c>
      <c r="GE265" t="str" cm="1">
        <f t="array" ref="GE265">IF(B265="","",_xlfn.LET(_xlpm.t,IFERROR(_xlfn.XLOOKUP(1,(Шины[Шина]=GC265)*(((Шины[Щит]=A265)+(Шины[Щит]=""))&gt;0),Шины[Тип]),"")&amp;"",IF(_xlpm.t&lt;&gt;"",_xlpm.t,IF(ISNUMBER(SEARCH("ИБП",GC265)),"ИБП",IF(ISNUMBER(SEARCH("ДГУ",GC265)),"ДГУ","Ввод "&amp;GD265)))))</f>
        <v>Ввод 1</v>
      </c>
      <c r="GF265" t="str">
        <f t="shared" si="628"/>
        <v>Ввод 1</v>
      </c>
      <c r="GG265" t="str">
        <f>IF(BP265=0,"",IF(TRIM(AG265&amp;"")&lt;&gt;"",TRIM(AG265&amp;""),IF(OR(GE265="ИБП",GE265="ДГУ"),"I особая",_xlfn.XLOOKUP(A265,Щиты[Щит],Щиты[Категория шины «Ввод»],"III"))))</f>
        <v/>
      </c>
      <c r="GH265" t="str">
        <f>IF(A265="","",_xlfn.XLOOKUP(A265,Щиты[Щит],Щиты[Путь],""))</f>
        <v>|ГРЩ-ЖД|ЩР-1|</v>
      </c>
      <c r="GI265" t="str">
        <f>IF(B265="","",IF(AI265&lt;&gt;"",AI265,IF(IFERROR(_xlfn.XLOOKUP(BC265,Коды_код,Коды_вид)&amp;"","")="","Прочее",_xlfn.XLOOKUP(BC265,Коды_код,Коды_вид)&amp;"")))</f>
        <v>Розеточная сеть и бытовые приборы</v>
      </c>
      <c r="GJ265">
        <f>IF(BM265="","",INT((BM265-1)/Столбцов_на_лист)+1)</f>
        <v>4</v>
      </c>
      <c r="GK265" t="str">
        <f t="shared" si="629"/>
        <v>ВВГнг(А)-LS (3х2,5) L=40-0,05%</v>
      </c>
      <c r="GL265">
        <f t="shared" si="630"/>
        <v>0.03</v>
      </c>
      <c r="GM265">
        <f t="shared" si="631"/>
        <v>0.14000000000000001</v>
      </c>
      <c r="GN265">
        <f t="shared" si="632"/>
        <v>1</v>
      </c>
      <c r="GO265">
        <f t="shared" si="633"/>
        <v>0</v>
      </c>
      <c r="GP265">
        <f t="shared" si="634"/>
        <v>1</v>
      </c>
      <c r="GQ265">
        <f>IF(BM265="","",IF(AND(CG265=1,GP265=1),COUNTIFS(A$3:A265,A265,CG$3:CG265,1,GP$3:GP265,1),IF(OR(OR(BA265=1,A265&lt;&gt;A264),AJ265="вручную",GP265=0),"",IF(BA265=1,"",GR264))))</f>
        <v>41</v>
      </c>
      <c r="GR265">
        <f t="shared" si="635"/>
        <v>41</v>
      </c>
      <c r="GS265">
        <f>IF(B265="","",IFERROR(LOOKUP(INDEX(CHOOSE(EB265,Iдоп_1ж,Iдоп_2ж,Iдоп_3ж),MATCH(EN265,Iдоп_S,0))*DZ265*EA265,{6,10,16,20,25,32,40,50,63,80,100,125,160,200,250,315,400,500,630}),""))</f>
        <v>25</v>
      </c>
      <c r="GT265" t="str">
        <f t="shared" si="636"/>
        <v>QFD41</v>
      </c>
      <c r="GU265" t="str">
        <f t="shared" si="637"/>
        <v>QFD41</v>
      </c>
      <c r="GV265" t="str">
        <f t="shared" si="638"/>
        <v/>
      </c>
      <c r="GW265">
        <f t="shared" si="639"/>
        <v>0</v>
      </c>
      <c r="GX265" t="str">
        <f>IF(OR(B265="",DJ265=""),"",IFERROR(_xlfn.XLOOKUP(DJ265,Модули_умолч[Управление],Модули_умолч[Модель])&amp;"",""))</f>
        <v/>
      </c>
      <c r="GY265">
        <f>IF(DJ265="",1,IFERROR(MAX(0,N(_xlfn.XLOOKUP(DJ265,Модули_умолч[Управление],Модули_умолч[Каналов на линию]))),1))</f>
        <v>1</v>
      </c>
      <c r="GZ265" t="str">
        <f t="shared" si="640"/>
        <v/>
      </c>
      <c r="HA265" t="str">
        <f t="shared" si="641"/>
        <v/>
      </c>
      <c r="HB265" t="str">
        <f t="shared" si="642"/>
        <v/>
      </c>
      <c r="HC265">
        <f>IF(HB265="",0,IFERROR(N(VLOOKUP(HB265,Модули_спр,3,FALSE)),0))</f>
        <v>0</v>
      </c>
      <c r="HD265" t="str">
        <f t="shared" si="643"/>
        <v/>
      </c>
      <c r="HE265" t="str">
        <f t="shared" si="644"/>
        <v/>
      </c>
      <c r="HF265" t="str">
        <f>IF(OR(HE265="",HE265="-"),"",IFERROR(VLOOKUP(HE265,Модули_спр,2,FALSE),"R"))</f>
        <v/>
      </c>
      <c r="HG265" t="str">
        <f>IF(HF265="","",HF265&amp;"."&amp;COUNTIFS(A$3:A265,A265,HF$3:HF265,HF265))</f>
        <v/>
      </c>
      <c r="HH265" t="str">
        <f t="shared" si="645"/>
        <v/>
      </c>
      <c r="HI265" t="str">
        <f t="shared" si="646"/>
        <v/>
      </c>
      <c r="HJ265" t="str">
        <f t="shared" si="647"/>
        <v/>
      </c>
      <c r="HK265" t="str">
        <f t="shared" si="648"/>
        <v/>
      </c>
      <c r="HL265">
        <f t="shared" si="649"/>
        <v>1</v>
      </c>
      <c r="HM265" t="str">
        <f>IF(HL265=1,"XT"&amp;COUNTIFS(A$3:A265,A265,HL$3:HL265,1),"")</f>
        <v>XT41</v>
      </c>
      <c r="HN265" t="str">
        <f t="shared" si="650"/>
        <v>XT41</v>
      </c>
      <c r="HO265" t="str">
        <f t="shared" si="651"/>
        <v>QFD41</v>
      </c>
      <c r="HP265" t="str">
        <f t="shared" si="652"/>
        <v/>
      </c>
      <c r="HQ265" t="str">
        <f t="shared" si="653"/>
        <v>ok</v>
      </c>
      <c r="HR265" t="str">
        <f>IF(OR(HJ265="",HH265=""),"",IF(HJ265+MAX(0,GY265-1)&gt;IFERROR(VLOOKUP(HI265,Модули_спр,3,FALSE),99),"ЛИШНИЙ КАНАЛ",IF(AND(AL265&lt;&gt;"=",GY265&gt;0,COUNTIFS(Линии[_модуль гр.],HH265,Линии[Канал (итог)],HJ265,Линии[Канал],"&lt;&gt;=",Линии[Щит],A265)&gt;1),"ДУБЛЬ КАНАЛА","")))</f>
        <v/>
      </c>
      <c r="HS265" s="6" t="str">
        <f t="shared" si="654"/>
        <v/>
      </c>
      <c r="HT265">
        <f t="shared" si="655"/>
        <v>10</v>
      </c>
      <c r="HU265" t="str">
        <f t="shared" si="656"/>
        <v/>
      </c>
      <c r="HV265">
        <f t="shared" si="657"/>
        <v>0.45469634129164876</v>
      </c>
      <c r="HW265">
        <f t="shared" si="658"/>
        <v>0</v>
      </c>
      <c r="HX265">
        <f t="shared" si="659"/>
        <v>0</v>
      </c>
      <c r="HY265">
        <f t="shared" si="660"/>
        <v>0</v>
      </c>
      <c r="HZ265">
        <f t="shared" si="661"/>
        <v>0</v>
      </c>
      <c r="IA265">
        <f t="shared" si="662"/>
        <v>0</v>
      </c>
      <c r="IB265">
        <f t="shared" si="663"/>
        <v>0</v>
      </c>
      <c r="IC265" t="str">
        <f t="shared" si="664"/>
        <v/>
      </c>
      <c r="ID265" t="str" cm="1">
        <f t="array" ref="ID265">IF(IC265="","",_xlfn.LET(_xlpm.tk,_xlfn.TEXTSPLIT(SUBSTITUTE(SUBSTITUTE(IC265,";"," "),"→"," ")," ",,TRUE),_xlpm.w_,_xlfn._xlws.FILTER(_xlpm.tk,ISNUMBER(--LEFT(_xlpm.tk,1))*((ISNUMBER(SEARCH("W",_xlpm.tk))+ISNUMBER(SEARCH("Вт",_xlpm.tk)))&gt;0),""),IFERROR(--SUBSTITUTE(SUBSTITUTE(UPPER(INDEX(_xlpm.w_,1)),"W",""),"ВТ",""),"")))</f>
        <v/>
      </c>
      <c r="IE265" t="str" cm="1">
        <f t="array" ref="IE265">IF(IC265="","",_xlfn.LET(_xlpm.tk,_xlfn.TEXTSPLIT(SUBSTITUTE(SUBSTITUTE(IC265,";"," "),"→"," ")," ",,TRUE),_xlpm.v_,_xlfn._xlws.FILTER(_xlpm.tk,ISNUMBER(--LEFT(_xlpm.tk,1))*((ISNUMBER(SEARCH("V",_xlpm.tk))+(RIGHT(UPPER(_xlpm.tk))="В"))&gt;0),""),IFERROR(--SUBSTITUTE(SUBSTITUTE(UPPER(INDEX(_xlpm.v_,1)),"V",""),"В",""),"")))</f>
        <v/>
      </c>
      <c r="IF265" s="6" t="str">
        <f>IF(OR(BV265=0,HI265="",HJ265=""),"",IFERROR(N(_xlfn.XLOOKUP(HI265,Каталог!$C$4:$C$500,Каталог!$Q$4:$Q$500)),""))</f>
        <v/>
      </c>
      <c r="IG265" s="6" t="str">
        <f>IF(N(IF265)=0,"",SUMIFS(Линии[Iр, А],Линии[Щит],A265,Линии[_модуль гр.],HH265,Линии[Канал (итог)],HJ265))</f>
        <v/>
      </c>
      <c r="IH265" t="str">
        <f>IF(AND(B265="",HO265=""),"",_xlfn.TEXTJOIN("; ",TRUE,IF(AND(B265&lt;&gt;"",FV265=""),"нет фазы",""),IF(AND(B265&lt;&gt;"",N(GL265)=0,FG265&lt;&gt;"Нет"),"нет мощности",""),IF(AND(HN265&lt;&gt;"",COUNTIFS(Линии[Щит],A265,Линии[Клемма (итог)],HN265)&gt;1),"дубль клеммы "&amp;HN265,""),IF(AND(HQ265&lt;&gt;"",HQ265&lt;&gt;"ok"),HQ265,""),IF(HR265&lt;&gt;"",HR265,""),IF(AND(N(CB265)&gt;=4,N(BX265)=1),CB265&amp;" жил на 1 фазе",""),IF(AND(BC265="R",CG265=1,IF(CS265&lt;&gt;"",N(CV265)&gt;30,OR(N(DA265)=0,N(DA265)&gt;30))),"розетка без дифзащиты до 30 мА",""),IF(AND(CG265=1,N(DA265)&gt;0,ISNUMBER(T265)),IF(T265&gt;N(DA265)/3,"ток утечки "&amp;FIXED(T265,1)&amp;" мА &gt; 1/3 уставки ("&amp;DA265&amp;" мА)",""),""),IF(AND(CH265=1,CS265=""),"«узо»: нет строки с УЗО выше (УЗО 2P 40А 30мА в «Аппаратах»)",""),IF(AND(CS265&lt;&gt;"",CS265=BA265),IF(CT265="","впишите номинал УЗО (УЗО 2P 40А 30мА)",IF(N(CT265)&lt;N(DT265),"УЗО "&amp;CT265&amp;" А &lt; автомата "&amp;DT265&amp;" А перед ним",IF(N(CT265)&lt;N(CX265),"УЗО "&amp;CT265&amp;" А &lt; тока блока "&amp;FIXED(CX265,1)&amp;" А",""))),""),IF(AND(CS265&lt;&gt;"",CS265=BA265,ISNUMBER(CY265)),IF(CY265&gt;N(CV265)/3,"ток утечки блока УЗО "&amp;FIXED(CY265,1)&amp;" мА &gt; 1/3 уставки ("&amp;CV265&amp;" мА)",""),""),IF(AND(CG265=1,N(BV265)+N(IB265)&gt;0,IC265=""),"линии до 50 В без БП: впишите в «Аппараты» (БП 24V 480W)",""),IF(AND(CG265=1,ISNUMBER(ID265),ISNUMBER(U265)),IF(U265&gt;ID265,"БП "&amp;ID265&amp;" Вт &lt; нужно "&amp;U265&amp;" Вт (×"&amp;Запас_БП&amp;")",""),""),IF(AND(CG265=1,ISNUMBER(IE265),N(BV265)=1),IF(IE265&lt;&gt;N(BU265),"БП на "&amp;IE265&amp;" В, линия "&amp;BU265&amp;" В",""),""),IF(AND(N(IF265)&gt;0,N(IG265)&gt;N(IF265)),HH265&amp;" канал "&amp;HJ265&amp;": "&amp;FIXED(IG265,1)&amp;" А &gt; "&amp;IF265&amp;" А",""),IFERROR(IF(AND(ISNUMBER(Q265),Q265&gt;EL265),"потери "&amp;FIXED(Q265,1)&amp;" % &gt; "&amp;EL265&amp;" %",""),""),IFERROR(IF(LEFT(HU265,4)="мало","Iкз мало — отключение &gt; 0,4 с",""),""),IF(AND(B265&lt;&gt;"",BM265=""),"не на схеме",""),IF(AND(CG265=0,B265&lt;&gt;"",FV265&lt;&gt;"",IF(BA265=1,"",FW264)&lt;&gt;"",FV265&lt;&gt;IF(BA265=1,"",FW264)),"фаза не как у автомата группы ("&amp;IF(BA265=1,"",FW264)&amp;")","")))</f>
        <v/>
      </c>
      <c r="II265" s="6">
        <f>IF(OR(CG265=0,DQ265=""),"",_xlfn.LET(_xlpm.t,IFERROR(_xlfn.XLOOKUP(DQ265,Каталог!$U$4:$U$500,Каталог!$G$4:$G$500),""),_xlpm.k,SEARCH("кА",_xlpm.t),IFERROR(--TRIM(RIGHT(SUBSTITUTE(MID(_xlpm.t,MAX(1,_xlpm.k-4),_xlpm.k-MAX(1,_xlpm.k-4))," ",REPT(" ",9)),5)),"")))</f>
        <v>6</v>
      </c>
      <c r="IJ265" t="str">
        <f>IF(OR(II265="",CG265=0),"",IF(_xlfn.XLOOKUP(A265,Щиты[Щит],Щиты[Iкз max на шинах, кА],"")="","",IF(II265&lt;_xlfn.XLOOKUP(A265,Щиты[Щит],Щиты[Iкз max на шинах, кА]),"Icu "&amp;II265&amp;" кА &lt; Iкз max","ok")))</f>
        <v/>
      </c>
      <c r="IK265" t="str">
        <f t="shared" si="665"/>
        <v/>
      </c>
      <c r="IL265" t="str">
        <f t="shared" si="666"/>
        <v>QFD41|XT41</v>
      </c>
      <c r="IM265" t="str">
        <f t="shared" si="667"/>
        <v>QFD41|XT41|кабель ВВГнг(А)-LS (3х2,5) → Розеточная группа Первый этаж Пом. №019A Полотенцесушитель</v>
      </c>
      <c r="IN265" t="str" cm="1">
        <f t="array" ref="IN265">IF(IM265="","",_xlfn.LET(_xlpm.nd,_xlfn.TEXTSPLIT(IM265,"|"),IF(COLUMNS(_xlpm.nd)&gt;1,A265&amp;"¦"&amp;INDEX(_xlpm.nd,1)&amp;"¦"&amp;INDEX(_xlpm.nd,2),"")))</f>
        <v>ЩР-1¦QFD41¦XT41</v>
      </c>
      <c r="IO265" t="str">
        <f t="shared" si="668"/>
        <v>R.1.019A.1¦Розеточная группа Первый этаж Пом. №019A Полотенцесушитель</v>
      </c>
      <c r="IP265" t="str" cm="1">
        <f t="array" ref="IP265">IF(IM265="","",_xlfn.LET(_xlpm.nd,_xlfn.TEXTSPLIT(IM265,"|"),IF(COLUMNS(_xlpm.nd)&gt;2,A265&amp;"¦"&amp;INDEX(_xlpm.nd,2)&amp;"¦"&amp;INDEX(_xlpm.nd,3),"")))</f>
        <v>ЩР-1¦XT41¦кабель ВВГнг(А)-LS (3х2,5) → Розеточная группа Первый этаж Пом. №019A Полотенцесушитель</v>
      </c>
      <c r="IQ265" t="str">
        <f t="shared" si="669"/>
        <v>R.1.019A.1¦Розеточная группа Первый этаж Пом. №019A Полотенцесушитель</v>
      </c>
      <c r="IR265" t="str" cm="1">
        <f t="array" ref="IR265">IF(IM265="","",_xlfn.LET(_xlpm.nd,_xlfn.TEXTSPLIT(IM265,"|"),IF(COLUMNS(_xlpm.nd)&gt;3,A265&amp;"¦"&amp;INDEX(_xlpm.nd,3)&amp;"¦"&amp;INDEX(_xlpm.nd,4),"")))</f>
        <v/>
      </c>
      <c r="IS265" t="str">
        <f t="shared" si="670"/>
        <v/>
      </c>
      <c r="IT265" t="str" cm="1">
        <f t="array" ref="IT265">IF(IM265="","",_xlfn.LET(_xlpm.nd,_xlfn.TEXTSPLIT(IM265,"|"),IF(COLUMNS(_xlpm.nd)&gt;4,A265&amp;"¦"&amp;INDEX(_xlpm.nd,4)&amp;"¦"&amp;INDEX(_xlpm.nd,5),"")))</f>
        <v/>
      </c>
      <c r="IU265" t="str">
        <f t="shared" si="671"/>
        <v/>
      </c>
      <c r="IV265" t="str" cm="1">
        <f t="array" ref="IV265">IF(IM265="","",_xlfn.LET(_xlpm.nd,_xlfn.TEXTSPLIT(IM265,"|"),IF(COLUMNS(_xlpm.nd)&gt;5,A265&amp;"¦"&amp;INDEX(_xlpm.nd,5)&amp;"¦"&amp;INDEX(_xlpm.nd,6),"")))</f>
        <v/>
      </c>
      <c r="IW265" t="str">
        <f t="shared" si="672"/>
        <v/>
      </c>
      <c r="IX265" t="str" cm="1">
        <f t="array" ref="IX265">IF(IM265="","",_xlfn.LET(_xlpm.nd,_xlfn.TEXTSPLIT(IM265,"|"),IF(COLUMNS(_xlpm.nd)&gt;6,A265&amp;"¦"&amp;INDEX(_xlpm.nd,6)&amp;"¦"&amp;INDEX(_xlpm.nd,7),"")))</f>
        <v/>
      </c>
      <c r="IY265" t="str">
        <f t="shared" si="673"/>
        <v/>
      </c>
      <c r="IZ265" t="str">
        <f t="shared" si="674"/>
        <v/>
      </c>
      <c r="JA265" t="str">
        <f t="shared" si="675"/>
        <v>QFD41 → XT41</v>
      </c>
      <c r="JB265">
        <f t="shared" si="676"/>
        <v>0</v>
      </c>
      <c r="JC265">
        <f t="shared" si="677"/>
        <v>1</v>
      </c>
      <c r="JD265" t="str">
        <f t="shared" si="678"/>
        <v/>
      </c>
      <c r="JE265" t="str">
        <f t="shared" si="679"/>
        <v/>
      </c>
      <c r="JF265" t="str">
        <f t="shared" si="680"/>
        <v/>
      </c>
      <c r="JG265" t="str">
        <f t="shared" si="681"/>
        <v/>
      </c>
      <c r="JH265" t="str">
        <f>IF(B265="","",IFERROR(_xlfn.XLOOKUP(B265,Коды_код,Коды_уго),IFERROR(_xlfn.XLOOKUP(BC265,Коды_код,Коды_уго),IFERROR(_xlfn.XLOOKUP(LEFT(BC265,2),Коды_код,Коды_уго),""))))</f>
        <v>Розетка</v>
      </c>
      <c r="JI265" t="str">
        <f>IF(B265="","",IF(OR(JH265="",JH265=0),"BOX",IFERROR(IF(VLOOKUP(JH265,УГО_блоки,3,FALSE)&amp;""&lt;&gt;"",VLOOKUP(JH265,УГО_блоки,3,FALSE),VLOOKUP(JH265,УГО_блоки,2,FALSE)),JH265)))</f>
        <v>SOCKET</v>
      </c>
      <c r="JJ265">
        <f t="shared" si="682"/>
        <v>1</v>
      </c>
      <c r="JK265" t="str">
        <f>IF(DQ265="","",IF(COUNTIF(DQ$3:DQ265,DQ265)=1,MAX(JK$2:JK264)+1,""))</f>
        <v/>
      </c>
      <c r="JL265" t="str">
        <f>IF(DE265="","",IF(COUNTIF(DE$3:DE265,DE265)+COUNTIF(DF$2:DF264,DE265)+COUNTIF(DG$2:DG264,DE265)=1,MAX(JL$2:JN264)+1,""))</f>
        <v/>
      </c>
      <c r="JM265" t="str">
        <f>IF(DF265="","",IF(COUNTIF(DE$3:DE265,DF265)+COUNTIF(DF$3:DF265,DF265)+COUNTIF(DG$2:DG264,DF265)=1,MAX(JL$2:JN264,JL265)+1,""))</f>
        <v/>
      </c>
      <c r="JN265" t="str">
        <f>IF(DG265="","",IF(COUNTIF(DE$3:DE265,DG265)+COUNTIF(DF$3:DF265,DG265)+COUNTIF(DG$3:DG265,DG265)=1,MAX(JL$2:JN264,JL265,JM265)+1,""))</f>
        <v/>
      </c>
      <c r="JO265" t="str">
        <f t="shared" si="683"/>
        <v>3х2,5</v>
      </c>
      <c r="JP265" t="str">
        <f>IF(JO265="","",IF(COUNTIF(JO$3:JO265,JO265)=1,MAX(JP$2:JP264)+1,""))</f>
        <v/>
      </c>
      <c r="JQ265" t="str">
        <f>IF(HG265="","",COUNTIF(HG$3:HG265,"?*"))</f>
        <v/>
      </c>
      <c r="JR265" t="str">
        <f>IF(OR(HG265="",HI265=""),"",IF(COUNTIFS(HG$3:HG265,"?*",HI$3:HI265,HI265)=1,MAX(JR$2:JR264)+1,""))</f>
        <v/>
      </c>
      <c r="JS265">
        <f t="shared" si="684"/>
        <v>0</v>
      </c>
      <c r="JT265">
        <f>IF(B265="","",COUNTIF(B$3:B265,"?*"))</f>
        <v>263</v>
      </c>
      <c r="JU265">
        <f>IF(HL265&lt;&gt;1,0,_xlfn.LET(_xlpm.k,MAX(IFERROR(--_xlfn.XLOOKUP(B265,Коды_код,Коды_3L),0),IFERROR(--_xlfn.XLOOKUP(BC265,Коды_код,Коды_3L),0),IFERROR(--_xlfn.XLOOKUP(LEFT(BC265,2),Коды_код,Коды_3L),0)),IF(_xlpm.k&gt;0,_xlpm.k,IF(IFERROR(--LEFT(SUBSTITUTE(JO265,"x","х"),FIND("х",SUBSTITUTE(JO265,"x","х"))-1),3)&gt;3,Каталог!$S$9,1))))</f>
        <v>1</v>
      </c>
      <c r="JV265">
        <f t="shared" si="685"/>
        <v>0</v>
      </c>
      <c r="JW265" t="str">
        <f t="shared" si="686"/>
        <v>авто</v>
      </c>
      <c r="JX265">
        <f t="shared" si="687"/>
        <v>30</v>
      </c>
      <c r="JY265">
        <f t="shared" si="688"/>
        <v>1</v>
      </c>
      <c r="JZ265">
        <f t="shared" si="689"/>
        <v>1</v>
      </c>
    </row>
    <row r="266" spans="1:286" x14ac:dyDescent="0.3">
      <c r="A266" t="s">
        <v>757</v>
      </c>
      <c r="B266" t="s">
        <v>1572</v>
      </c>
      <c r="C266" t="str">
        <f>Линии[[#This Row],[_авто наименование]]</f>
        <v>Розеточная группа, пом. 020A</v>
      </c>
      <c r="D266">
        <v>2</v>
      </c>
      <c r="E266">
        <v>0.12</v>
      </c>
      <c r="G266" t="str">
        <f>Линии[[#This Row],[_авто автомат]]</f>
        <v>2P С16А 30мА</v>
      </c>
      <c r="H266" t="str">
        <f>Линии[[#This Row],[_авто управление]]</f>
        <v/>
      </c>
      <c r="I266" t="str">
        <f>Линии[[#This Row],[_авто аппараты]]</f>
        <v/>
      </c>
      <c r="J266">
        <v>2.5</v>
      </c>
      <c r="K266">
        <v>45</v>
      </c>
      <c r="L266" t="str">
        <f>Линии[[#This Row],[_авто фаза]]</f>
        <v>L3</v>
      </c>
      <c r="M266" t="str">
        <f>Линии[[#This Row],[_авто клемма]]</f>
        <v>XT42</v>
      </c>
      <c r="N266" t="str">
        <f t="shared" si="552"/>
        <v/>
      </c>
      <c r="O266" s="6" cm="1">
        <f t="array" ref="O266">IF(B266="","",IF(BH266&lt;&gt;"",IFERROR(_xlfn.XLOOKUP(BH266,Щиты[Щит],Щиты[Iр, А]),""),IF(BP266=1,IF(OR(N(_xlfn.XLOOKUP(A266,Щиты[Щит],Щиты[Вводов],1))&lt;=1,LOWER(TRIM(_xlfn.XLOOKUP(A266,Щиты[Щит],Щиты[АВР],"")&amp;""))="да"),IFERROR(_xlfn.XLOOKUP(A266,Щиты[Щит],Щиты[Iр, А]),""),IFERROR(N(BS266)*_xlfn.XLOOKUP(A266,Щиты[Щит],Щиты[Кс итог])/(SQRT(3)*Uн_лин*_xlfn.XLOOKUP(A266,Щиты[Щит],Щиты[cos φ])),"")),IF(BV266=1,IFERROR(BS266*1000/BU266,""),IFERROR(_xlfn.IFS(BX266=1,BS266/((Uн_лин/SQRT(3))*CE266),BX266=3,BS266/(SQRT(3)*Uн_лин*CE266)),"")))))</f>
        <v>0.54696341291648753</v>
      </c>
      <c r="P266" s="7">
        <f>IF(B266="","",IFERROR(IF(VLOOKUP(BC266,Потребители_обозначение,4,FALSE)=1,VLOOKUP(BC266,Потребители_обозначение,3,FALSE)*(MAX(1,N(D266))*2-1)+EI266+VLOOKUP(BE266,Этаж_обозначение,3,FALSE)+VLOOKUP(BE266,Этаж_обозначение,4,FALSE),VLOOKUP(BC266,Потребители_обозначение,3,FALSE)*(MAX(1,N(D266))*2-1)+EI266),EI266))</f>
        <v>54</v>
      </c>
      <c r="Q266" s="6">
        <f t="shared" si="553"/>
        <v>1.41</v>
      </c>
      <c r="R266" t="str">
        <f t="shared" si="554"/>
        <v>ВВГнг(А)-LS (3х2,5)</v>
      </c>
      <c r="S266" t="str">
        <f>IF(BM266="","",IF(BN266="вводной узел","узел ","")&amp;"л."&amp;(INT((BM266-1)/Столбцов_на_лист)+1)&amp;" / "&amp;(MOD(BM266-1,Столбцов_на_лист)+1))</f>
        <v>л.4 / 5</v>
      </c>
      <c r="T266" s="119">
        <f t="shared" si="555"/>
        <v>0.8</v>
      </c>
      <c r="U266" s="7" t="str">
        <f>IF(OR(CG266=0,N(BV266)+N(IB266)=0),"",ROUNDUP(Запас_БП*(N(HY266)+N(HZ266)),0))</f>
        <v/>
      </c>
      <c r="V266" s="119" t="str">
        <f t="shared" si="556"/>
        <v/>
      </c>
      <c r="W266" s="7" t="str">
        <f>IFERROR(IF(OR(B266="",BP266=1,BV266=1,NOT(ISNUMBER(EN266)),N(DT266)=0),"",MAX(0,ROUNDDOWN((c_min*(Uн_лин*1000/SQRT(3))/(HT266*N(DT266))-_xlfn.XLOOKUP(A266,Щиты[Щит],Щиты[Zпетли на шинах, Ом]))*EN266/(2*ρкз_Cu),0))),"")</f>
        <v/>
      </c>
      <c r="Y266">
        <f>Линии[[#This Row],[_авто утечка]]</f>
        <v>30</v>
      </c>
      <c r="Z266">
        <v>1</v>
      </c>
      <c r="AA266">
        <v>230</v>
      </c>
      <c r="AB266" t="s">
        <v>562</v>
      </c>
      <c r="AG266" t="s">
        <v>810</v>
      </c>
      <c r="AI266" t="s">
        <v>561</v>
      </c>
      <c r="AK266" t="str">
        <f>Линии[[#This Row],[_авто модуль]]</f>
        <v/>
      </c>
      <c r="AM266">
        <v>56</v>
      </c>
      <c r="AN266" t="s">
        <v>11</v>
      </c>
      <c r="AO266">
        <v>3</v>
      </c>
      <c r="AQ266">
        <v>20</v>
      </c>
      <c r="AR266">
        <v>34</v>
      </c>
      <c r="AS266">
        <v>0</v>
      </c>
      <c r="BA266" cm="1">
        <f t="array" ref="BA266">ROW()-ROW(Линии[#Headers])</f>
        <v>264</v>
      </c>
      <c r="BC266" s="6" t="str">
        <f t="shared" si="557"/>
        <v>R</v>
      </c>
      <c r="BD266" t="str">
        <f t="shared" si="558"/>
        <v>1.020A.2</v>
      </c>
      <c r="BE266" t="str">
        <f t="shared" si="559"/>
        <v>1</v>
      </c>
      <c r="BF266" t="str">
        <f t="shared" si="560"/>
        <v>020A.2</v>
      </c>
      <c r="BG266" t="str">
        <f t="shared" si="561"/>
        <v>020A</v>
      </c>
      <c r="BH266" t="str">
        <f>IF(X266&lt;&gt;"",X266,IF(AND(B266&lt;&gt;"",B266&lt;&gt;A266,ISNUMBER(_xlfn.XMATCH(B266,Щиты[Щит]))),B266,""))</f>
        <v/>
      </c>
      <c r="BI266" t="str" cm="1">
        <f t="array" ref="BI266">IF(B266="","",IF(BH266&lt;&gt;"","Щит "&amp;BH266,_xlfn.LET(_xlpm.nm,IFERROR(_xlfn.XLOOKUP(BC266,Коды_код,Коды_имя)&amp;"",""),_xlpm.md,IFERROR(N(_xlfn.XLOOKUP(BC266,Коды_код,Коды_режим)),1),_xlpm.ex,IF(Имя_режим="по экспликации",IFERROR(_xlfn.XLOOKUP(BE266&amp;"|"&amp;BG266,Экспликация[Этаж]&amp;"|"&amp;Экспликация[Помещение],Экспликация[Название])&amp;"",""),""),_xlpm.rm,IF(BG266="","",IF(_xlpm.ex&lt;&gt;"",". "&amp;_xlpm.ex&amp;IF(Имя_пом="нет"," ("&amp;BG266&amp;")"," (пом. "&amp;BG266&amp;")"),IF(Имя_пом="нет"," ",", пом. ")&amp;BG266)),IF(_xlpm.nm="","",IF(_xlpm.md=2,_xlpm.nm&amp;" шлейф "&amp;BE266,_xlpm.nm&amp;_xlpm.rm)))))</f>
        <v>Розеточная группа, пом. 020A</v>
      </c>
      <c r="BJ266" t="str">
        <f t="shared" si="562"/>
        <v>Розеточная группа, пом. 020A</v>
      </c>
      <c r="BK266">
        <f>IFERROR(_xlfn.XMATCH(A266,Щиты[Щит]),0)</f>
        <v>10</v>
      </c>
      <c r="BL266">
        <f>_xlfn.LET(_xlpm.k,IFERROR(_xlfn.XLOOKUP(A266,Щиты[Щит],Щиты[Мест под вводной узел]),""),IF(_xlpm.k="",Столбцов_на_лист,N(_xlpm.k)))</f>
        <v>8</v>
      </c>
      <c r="BM266">
        <f t="shared" si="563"/>
        <v>56</v>
      </c>
      <c r="BN266" t="str">
        <f t="shared" si="564"/>
        <v>линии</v>
      </c>
      <c r="BO266" s="6">
        <f>IFERROR(N(_xlfn.XLOOKUP(BC266,Коды_код,Коды_квт)),0)</f>
        <v>0</v>
      </c>
      <c r="BP266">
        <f t="shared" si="565"/>
        <v>0</v>
      </c>
      <c r="BQ266" t="str">
        <f>IF(B266="","",IF(BH266&lt;&gt;"",IFERROR(_xlfn.XLOOKUP(BH266,Щиты[Щит],Щиты[Руст, кВт]),0),IF(BP266=1,IF(OR(N(_xlfn.XLOOKUP(A266,Щиты[Щит],Щиты[Вводов],1))&lt;=1,LOWER(TRIM(_xlfn.XLOOKUP(A266,Щиты[Щит],Щиты[АВР],"")&amp;""))="да"),IFERROR(_xlfn.XLOOKUP(A266,Щиты[Щит],Щиты[Руст, кВт]),0),SUMIFS(Линии[_Р для вводов],Линии[Щит],A266,Линии[Источник для режимов],GF266)),IF(BO266&gt;0,ROUND(BO266*MAX(1,N(D266)),3),""))))</f>
        <v/>
      </c>
      <c r="BR266">
        <f t="shared" si="566"/>
        <v>0.12</v>
      </c>
      <c r="BS266" s="6">
        <f>IF(B266="","",IF(BH266&lt;&gt;"",IFERROR(_xlfn.XLOOKUP(BH266,Щиты[Щит],Щиты[Руст, кВт]),0),N(BR266)))</f>
        <v>0.12</v>
      </c>
      <c r="BT266" t="str">
        <f>IF(B266="","",IFERROR(IF(VLOOKUP(BC266,Потребители_обозначение,8,FALSE)=0,"",VLOOKUP(BC266,Потребители_обозначение,8,FALSE)),""))</f>
        <v/>
      </c>
      <c r="BU266">
        <f t="shared" si="567"/>
        <v>230</v>
      </c>
      <c r="BV266">
        <f t="shared" si="568"/>
        <v>0</v>
      </c>
      <c r="BW266">
        <f>IF(B266="","",IF(BH266&lt;&gt;"",3,IFERROR(IF(N(VLOOKUP(BC266,Потребители_обозначение,9,FALSE))=0,1,VLOOKUP(BC266,Потребители_обозначение,9,FALSE)),1)))</f>
        <v>1</v>
      </c>
      <c r="BX266">
        <f t="shared" si="569"/>
        <v>1</v>
      </c>
      <c r="BY266" t="str">
        <f>IF(B266="","",_xlfn.LET(_xlpm.bc,IFERROR(IF(VLOOKUP(BC266,Потребители_обозначение,6,FALSE)=0,"",VLOOKUP(BC266,Потребители_обозначение,6,FALSE)&amp;""),""),IF(AND(GA266="да",OR(_xlpm.bc="",_xlpm.bc="мс")),Марка_пож,IF(AND(_xlpm.bc="",BH266&lt;&gt;""),"мс",_xlpm.bc))))</f>
        <v/>
      </c>
      <c r="BZ266" t="str">
        <f t="shared" si="570"/>
        <v>мс</v>
      </c>
      <c r="CA266">
        <f>IF(B266="","",_xlfn.LET(_xlpm.cc,IFERROR(N(VLOOKUP(BC266,Потребители_обозначение,7,FALSE)),0),IF(_xlpm.cc&gt;0,_xlpm.cc,IF(BZ266="","",IF(BV266=1,2,IF(N(BX266)=3,5,3))))))</f>
        <v>3</v>
      </c>
      <c r="CB266">
        <f t="shared" si="571"/>
        <v>3</v>
      </c>
      <c r="CC266">
        <f>IFERROR(N(VLOOKUP(BC266,Потребители_обозначение,10,FALSE)),0)</f>
        <v>0</v>
      </c>
      <c r="CD266">
        <f>IFERROR(VLOOKUP(BC266,Потребители_обозначение,5,FALSE),0)</f>
        <v>1</v>
      </c>
      <c r="CE266" s="6" cm="1">
        <f t="array" ref="CE266">IF(B266="","",IF(BH266&lt;&gt;"",IFERROR(_xlfn.XLOOKUP(BH266,Щиты[Щит],Щиты[cos φ]),0.95),IF(BP266=1,IFERROR(_xlfn.XLOOKUP(A266,Щиты[Щит],Щиты[cos φ]),0.95),IF(ISNUMBER(AD266),AD266,IFERROR(IF(CD266=2,_xlfn.IFS(BX266=3,VLOOKUP(BS266,Справочная_двигатели,8,FALSE),BX266=1,VLOOKUP(BS266,Справочная_двигатели,10,TRUE)),IF(AND(Методика="нормы 2026",FG266="Сил"),0.8,0.95)),0.95)))))</f>
        <v>0.95</v>
      </c>
      <c r="CF266">
        <f t="shared" si="572"/>
        <v>0</v>
      </c>
      <c r="CG266">
        <f t="shared" si="573"/>
        <v>1</v>
      </c>
      <c r="CH266">
        <f t="shared" si="574"/>
        <v>0</v>
      </c>
      <c r="CI266">
        <f>IF(B266="","",IF(BV266=1,IFERROR(BS266/((Uн_лин/SQRT(3))*MAX(0.5,N(CE266))),0),N(O266)))</f>
        <v>0.54696341291648753</v>
      </c>
      <c r="CJ266">
        <f t="shared" si="575"/>
        <v>0</v>
      </c>
      <c r="CK266">
        <f t="shared" si="576"/>
        <v>0</v>
      </c>
      <c r="CL266">
        <f t="shared" si="577"/>
        <v>0</v>
      </c>
      <c r="CM266">
        <f t="shared" si="578"/>
        <v>0</v>
      </c>
      <c r="CN266">
        <f t="shared" si="579"/>
        <v>0</v>
      </c>
      <c r="CO266">
        <f>IF(BC266="",0,_xlfn.LET(_xlpm.v,IFERROR(_xlfn.XLOOKUP(B266,Коды_код,Коды_мА),IFERROR(_xlfn.XLOOKUP(BC266,Коды_код,Коды_мА),IFERROR(_xlfn.XLOOKUP(LEFT(BC266,2),Коды_код,Коды_мА),""))),IF(_xlpm.v="да",30,IF(ISNUMBER(_xlpm.v),_xlpm.v,0))))</f>
        <v>30</v>
      </c>
      <c r="CP266">
        <f t="shared" si="580"/>
        <v>30</v>
      </c>
      <c r="CQ266" t="str">
        <f>_xlfn.LET(_xlpm.k,IFERROR(_xlfn.XLOOKUP(BC266,Коды_код,Коды_утечка)&amp;"",""),IF(_xlpm.k="","дифавтомат",_xlpm.k))</f>
        <v>дифавтомат</v>
      </c>
      <c r="CR266" t="str" cm="1">
        <f t="array" ref="CR266">IF(CG266=0,"",_xlfn.LET(_xlpm.sg,TRIM(_xlfn.TEXTSPLIT(DD266&amp;"",";")),_xlpm.f_,_xlfn._xlws.FILTER(_xlpm.sg,LEFT(_xlpm.sg,3)="УЗО",""),IFERROR(INDEX(_xlpm.f_,1)&amp;"","")))</f>
        <v/>
      </c>
      <c r="CS266" t="str">
        <f t="shared" si="581"/>
        <v/>
      </c>
      <c r="CT266" s="6" t="str" cm="1">
        <f t="array" ref="CT266">IF(CR266="","",_xlfn.LET(_xlpm.tk,_xlfn.TEXTSPLIT(UPPER(CR266)," ",,TRUE),_xlpm.a_,_xlfn._xlws.FILTER(_xlpm.tk,ISNUMBER(--LEFT(_xlpm.tk,1))*((ISNUMBER(SEARCH("А",_xlpm.tk))+ISNUMBER(SEARCH("A",_xlpm.tk)))&gt;0)*NOT(ISNUMBER(SEARCH("МА",_xlpm.tk)))*NOT(ISNUMBER(SEARCH("MA",_xlpm.tk))),""),IFERROR(--SUBSTITUTE(SUBSTITUTE(INDEX(_xlpm.a_,1),"А",""),"A",""),"")))</f>
        <v/>
      </c>
      <c r="CU266" t="str" cm="1">
        <f t="array" ref="CU266">IF(CR266="","",_xlfn.LET(_xlpm.tk,_xlfn.TEXTSPLIT(UPPER(CR266)," ",,TRUE),_xlpm.a_,_xlfn._xlws.FILTER(_xlpm.tk,ISNUMBER(--LEFT(_xlpm.tk,1))*((ISNUMBER(SEARCH("МА",_xlpm.tk))+ISNUMBER(SEARCH("MA",_xlpm.tk)))&gt;0),""),IFERROR(--SUBSTITUTE(SUBSTITUTE(INDEX(_xlpm.a_,1),"МА",""),"MA",""),30)))</f>
        <v/>
      </c>
      <c r="CV266" t="str">
        <f>IF(CS266="","",IFERROR(_xlfn.XLOOKUP(CS266,Линии[_n],Линии[_УЗО, мА]),30))</f>
        <v/>
      </c>
      <c r="CW266">
        <f>IF(CS266="",0,IF(ISNUMBER(SEARCH("4P",IFERROR(_xlfn.XLOOKUP(CS266,Линии[_n],Линии[_УЗО строки])&amp;"",""))),0,1))</f>
        <v>0</v>
      </c>
      <c r="CX266" t="str">
        <f>IF(AND(CS266&lt;&gt;"",CS266=BA266),SUMIFS(Линии[_ток на 230 В],Линии[_блок УЗО],BA266,Линии[Щит],A266),"")</f>
        <v/>
      </c>
      <c r="CY266" t="str">
        <f>IF(AND(CS266&lt;&gt;"",CS266=BA266),SUMIFS(Линии[_ток утечки линии, мА],Линии[_блок УЗО],BA266,Линии[Щит],A266),"")</f>
        <v/>
      </c>
      <c r="CZ266">
        <f t="shared" si="582"/>
        <v>30</v>
      </c>
      <c r="DA266">
        <f t="shared" si="583"/>
        <v>30</v>
      </c>
      <c r="DB266">
        <f>IF(B266="",0,IFERROR(--_xlfn.XLOOKUP(B266,Коды_код,Коды_минавт),IFERROR(--_xlfn.XLOOKUP(BC266,Коды_код,Коды_минавт),IFERROR(--_xlfn.XLOOKUP(LEFT(BC266,2),Коды_код,Коды_минавт),0))))</f>
        <v>16</v>
      </c>
      <c r="DC266" t="str">
        <f>IF(B266="","",IFERROR(_xlfn.XLOOKUP(BC266,Коды_код,Коды_апп)&amp;"",""))</f>
        <v/>
      </c>
      <c r="DD266" t="str">
        <f t="shared" si="584"/>
        <v/>
      </c>
      <c r="DE266" t="str" cm="1">
        <f t="array" ref="DE266">IF(TRIM(DD266&amp;"")="","",IFERROR(TRIM(INDEX(_xlfn.TEXTSPLIT(DD266&amp;";;;",";"),1)),""))</f>
        <v/>
      </c>
      <c r="DF266" t="str" cm="1">
        <f t="array" ref="DF266">IF(TRIM(DD266&amp;"")="","",IFERROR(TRIM(INDEX(_xlfn.TEXTSPLIT(DD266&amp;";;;",";"),2)),""))</f>
        <v/>
      </c>
      <c r="DG266" t="str" cm="1">
        <f t="array" ref="DG266">IF(TRIM(DD266&amp;"")="","",IFERROR(TRIM(INDEX(_xlfn.TEXTSPLIT(DD266&amp;";;;",";"),3)),""))</f>
        <v/>
      </c>
      <c r="DH266">
        <f t="shared" si="585"/>
        <v>0</v>
      </c>
      <c r="DI266" t="str">
        <f>IF(B266="","",_xlfn.LET(_xlpm.t,LOWER(AZ266&amp;""),IF(ISNUMBER(SEARCH("dim",_xlpm.t)),"DIM",IF(ISNUMBER(SEARCH("dali",_xlpm.t)),"DALI",IF(OR(ISNUMBER(SEARCH("relay",_xlpm.t)),ISNUMBER(SEARCH("реле",_xlpm.t))),"Relay",IF(ISNUMBER(SEARCH("кнопк",_xlpm.t)),"",IFERROR(_xlfn.XLOOKUP(BC266,Коды_код,Коды_упр)&amp;"","")))))))</f>
        <v/>
      </c>
      <c r="DJ266" t="str">
        <f t="shared" si="586"/>
        <v/>
      </c>
      <c r="DK266">
        <f>IF(B266="","",_xlfn.LET(_xlpm.ig,IF(N(CX266)&gt;0,N(CX266),N(CI266)+IF(AJ266="вручную",0,N(CJ266))),_xlpm.n0,IFERROR(VLOOKUP(_xlpm.ig,Автомат_номиналы,2,TRUE),0),_xlpm.mn,MAX(DB266,IF(AJ266="вручную",0,N(CM266))),MAX(_xlpm.n0,_xlpm.mn,IF(DH266=1,Мин_автомат_БП,0))))</f>
        <v>16</v>
      </c>
      <c r="DL266">
        <f t="shared" si="587"/>
        <v>1</v>
      </c>
      <c r="DM266" t="str">
        <f t="shared" si="588"/>
        <v>2P</v>
      </c>
      <c r="DN266" t="str">
        <f>_xlfn.LET(_xlpm.cc,UPPER(TRIM(IFERROR(_xlfn.XLOOKUP(BC266,Коды_код,Коды_хар)&amp;"",""))),IF(OR(_xlpm.cc="B",_xlpm.cc="В"),"B",IF(_xlpm.cc="D","D","С")))</f>
        <v>С</v>
      </c>
      <c r="DO266" t="str">
        <f t="shared" si="589"/>
        <v>2P С16А 30мА</v>
      </c>
      <c r="DP266" t="str">
        <f t="shared" si="590"/>
        <v>2P С16А 30мА</v>
      </c>
      <c r="DQ266" t="str">
        <f t="shared" si="591"/>
        <v>2P С16А 30мА</v>
      </c>
      <c r="DR266" cm="1">
        <f t="array" ref="DR266">IF(DQ266="","",_xlfn.LET(_xlpm.t,SUBSTITUTE(SUBSTITUTE(SUBSTITUTE(UPPER(DQ266),"С","C"),"А","A"),"В","B"),_xlpm.tk,_xlfn.TEXTSPLIT(_xlpm.t," "),_xlpm.f,_xlfn._xlws.FILTER(_xlpm.tk,ISNUMBER(--MID(_xlpm.tk,2,1))*ISNUMBER(SEARCH(LEFT(_xlpm.tk,1)&amp;"#","B#C#D#"))*(LEN(_xlpm.tk)&gt;1),""),_xlpm.x,INDEX(_xlpm.f,1),IFERROR(--SUBSTITUTE(MID(_xlpm.x,2,9),"A",""),IFERROR(--SUBSTITUTE(INDEX(_xlfn._xlws.FILTER(_xlpm.tk,ISNUMBER(--SUBSTITUTE(_xlpm.tk,"A","")),""),1),"A",""),""))))</f>
        <v>16</v>
      </c>
      <c r="DS266" t="str">
        <f t="shared" si="592"/>
        <v>ok</v>
      </c>
      <c r="DT266">
        <f t="shared" si="593"/>
        <v>16</v>
      </c>
      <c r="DU266" t="str">
        <f t="shared" si="594"/>
        <v>2P С16А 30мА</v>
      </c>
      <c r="DV266">
        <f t="shared" si="595"/>
        <v>30</v>
      </c>
      <c r="DW266">
        <f t="shared" si="596"/>
        <v>1</v>
      </c>
      <c r="DX266">
        <f t="shared" si="597"/>
        <v>0</v>
      </c>
      <c r="DY266">
        <f t="shared" si="598"/>
        <v>0.54696341291648753</v>
      </c>
      <c r="DZ266">
        <f t="shared" si="599"/>
        <v>1</v>
      </c>
      <c r="EA266">
        <f>IF(ISNUMBER(AP266),AP266,К_прокл)</f>
        <v>1</v>
      </c>
      <c r="EB266">
        <f t="shared" si="600"/>
        <v>2</v>
      </c>
      <c r="EC266">
        <f>IFERROR(N(VLOOKUP(BZ266,Кабель_обозначение,3,FALSE)),1)</f>
        <v>1</v>
      </c>
      <c r="ED266">
        <f>IFERROR(N(_xlfn.XLOOKUP(A266,Щиты[Щит],Щиты[ΔU до шин, %])),0)</f>
        <v>1.19</v>
      </c>
      <c r="EE266" t="str">
        <f>IFERROR(_xlfn.XLOOKUP(A266,Щиты[Щит],Щиты[Zпетли на шинах, Ом]),"")</f>
        <v/>
      </c>
      <c r="EF266">
        <f>IFERROR(N(_xlfn.XLOOKUP(A266,Щиты[Щит],Щиты[ΔU до шин (подбор), %])),0)</f>
        <v>1.19</v>
      </c>
      <c r="EG266" t="str">
        <f>IFERROR(_xlfn.XLOOKUP(A266,Щиты[Щит],Щиты[Zпетли на шинах (подбор), Ом]),"")</f>
        <v/>
      </c>
      <c r="EH266" t="str">
        <f t="shared" si="601"/>
        <v/>
      </c>
      <c r="EI266">
        <f t="shared" si="602"/>
        <v>45</v>
      </c>
      <c r="EJ266">
        <f t="shared" si="603"/>
        <v>2</v>
      </c>
      <c r="EK266">
        <f t="shared" si="604"/>
        <v>0.31</v>
      </c>
      <c r="EL266" s="6">
        <f>IF(B266="","",IF(BV266=1,dU_LED,IF(IFERROR(_xlfn.XLOOKUP(BC266,Коды_код,Коды_уго),"")="Светильник",3,4)+IF(Методика="нормы 2026",MIN(0.5,MAX(0,N(P266)-100)*0.005),0)))</f>
        <v>4</v>
      </c>
      <c r="EM266" cm="1">
        <f t="array" ref="EM266">IF(OR(B266="",BZ266="",EC266&lt;&gt;1),"",_xlfn.LET(_xlpm.sz,Iдоп_S,_xlpm.t_,CHOOSE(EB266,Iдоп_1ж,Iдоп_2ж,Iдоп_3ж)*DZ266*EA266,_xlpm.dcx,BV266=1,_xlpm.inn,IF(_xlpm.dcx,N(O266),N(DT266)),_xlpm.smin,MAX(1.5,CC266),_xlpm.L_,N(P266)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266)/N(BU266)*100,999),IFERROR(N(EJ266)*(_xlpm.rho*_xlpm.L_/_xlpm.sz*N(CE266)+_xlpm.xx*_xlpm.L_*N(EK266)/1000)*N(O266)/((Uн_лин/SQRT(3))*1000)*100,999)),_xlpm.kz,IF(OR(_xlpm.dcx,DW266=1,NOT(ISNUMBER(EG266)),_xlpm.L_=0,_xlpm.inn=0),1,IFERROR(--(c_min*(Uн_лин*1000/SQRT(3))/(EG266+2*ρкз_Cu*_xlpm.L_/_xlpm.sz)&gt;=HT266*_xlpm.inn),0)),_xlpm.ok,IFERROR((_xlpm.sz&gt;=_xlpm.smin)*(_xlpm.t_&gt;=_xlpm.inn)*IF(_xlpm.L_&gt;0,(_xlpm.du_+IF(_xlpm.dcx,0,EF266)&lt;=EL266+0.00001),1)*_xlpm.kz,0),_xlpm.r_,_xlfn._xlws.FILTER(_xlpm.sz,_xlpm.ok,"не подобрано"),INDEX(_xlpm.r_,1)))</f>
        <v>1.5</v>
      </c>
      <c r="EN266">
        <f t="shared" si="605"/>
        <v>2.5</v>
      </c>
      <c r="EO266" cm="1">
        <f t="array" ref="EO266">IF(OR(B266="",BZ266="",EC266&lt;&gt;1),"",_xlfn.LET(_xlpm.sz,Iдоп_S,_xlpm.t_,CHOOSE(EB266,Iдоп_1ж,Iдоп_2ж,Iдоп_3ж)*DZ266*EA266,_xlpm.ok,IFERROR((_xlpm.sz&gt;=MAX(1.5,CC266))*(_xlpm.t_&gt;=N(DT266)),0),_xlpm.r_,_xlfn._xlws.FILTER(_xlpm.sz,_xlpm.ok,""),INDEX(_xlpm.r_,1)))</f>
        <v>1.5</v>
      </c>
      <c r="EP266" s="6" cm="1">
        <f t="array" ref="EP266">IFERROR(ROUNDUP(N(EJ266)*(_xlfn.XLOOKUP(EO266,INDEX(Кабель_сопротивление,0,1),INDEX(Кабель_сопротивление,0,3))*N(P266)/EO266*N(CE266)+_xlfn.XLOOKUP(EO266,INDEX(Кабель_сопротивление,0,1),INDEX(Кабель_сопротивление,0,2))*N(P266)*N(EK266)/1000)*N(O266)/((Uн_лин/SQRT(3))*1000)*100,2),"")</f>
        <v>0.37</v>
      </c>
      <c r="EQ266">
        <f>IFERROR(2*ρкз_Cu*N(P266)/EO266,"")</f>
        <v>1.8936000000000002</v>
      </c>
      <c r="ER266">
        <f>IFERROR(VLOOKUP(EN266,Кабель_сопротивление,3,FALSE),"")</f>
        <v>2.2499999999999999E-2</v>
      </c>
      <c r="ES266">
        <f>IFERROR(VLOOKUP(EN266,Кабель_сопротивление,2,FALSE),"")</f>
        <v>0.1</v>
      </c>
      <c r="ET266">
        <f t="shared" si="606"/>
        <v>34</v>
      </c>
      <c r="EU266">
        <f t="shared" si="607"/>
        <v>0</v>
      </c>
      <c r="EV266">
        <f t="shared" si="608"/>
        <v>0.50689724899352884</v>
      </c>
      <c r="EW266" s="6">
        <f>IFERROR(ROUNDUP(EV266/IF(BV266=1,BU266,(Uн_лин/SQRT(3))*1000)*100,2),"")</f>
        <v>0.22</v>
      </c>
      <c r="EX266" t="str">
        <f>IFERROR(VLOOKUP(BZ266,Кабель_обозначение,2,FALSE),"")</f>
        <v>ВВГнг(А)-LS</v>
      </c>
      <c r="EY266" t="str">
        <f t="shared" si="609"/>
        <v>ВВГнг(А)-LS (3х2,5)</v>
      </c>
      <c r="EZ266" t="str">
        <f t="shared" si="610"/>
        <v>ВВГнг(А)-LS (3х2,5)
L=54-0,22%</v>
      </c>
      <c r="FA266">
        <f>IFERROR(2*ρкз_Cu*P266/EN266,"")</f>
        <v>1.1361600000000001</v>
      </c>
      <c r="FB266">
        <f t="shared" si="611"/>
        <v>0.378</v>
      </c>
      <c r="FC266" s="6" t="str">
        <f>IFERROR(IF(OR(B266="",BV266=1,NOT(ISNUMBER(EN266)),N(P266)=0),"",_xlfn.XLOOKUP(A266,Щиты[Щит],Щиты[Zпетли на шинах, Ом])+FA266),"")</f>
        <v/>
      </c>
      <c r="FD266" s="6" t="str">
        <f>IF(ISNUMBER(FC266),c_min*(Uн_лин*1000/SQRT(3))/FC266,"")</f>
        <v/>
      </c>
      <c r="FE266" s="6" t="str">
        <f>IFERROR(IF(OR(B266="",NOT(ISNUMBER(EN266))),"",1.05*(Uн_лин*1000/SQRT(3))/(_xlfn.XLOOKUP(A266,Щиты[Щит],Щиты[Zmax на шинах, Ом])+FB266)/1000),"")</f>
        <v/>
      </c>
      <c r="FF266" s="6" t="str">
        <f>IF(B266="","",IF(ISNUMBER(AC266),"Сил",IF(IFERROR(_xlfn.XLOOKUP(BC266,Коды_код,Коды_группа)&amp;"","")="","Быт",_xlfn.XLOOKUP(BC266,Коды_код,Коды_группа)&amp;"")))</f>
        <v>Быт</v>
      </c>
      <c r="FG266" s="6" t="str">
        <f t="shared" si="612"/>
        <v>Быт</v>
      </c>
      <c r="FH266" s="6">
        <f>IF(FG266="Щит","щит",IF(FG266="","",IF(FG266="Быт",IFERROR(_xlfn.XLOOKUP(A266,Щиты[Щит],Щиты[Кс быт]),1),IF(FG266="Сил",IF(ISNUMBER(AC266),AC266,IF(Методика="нормы 2026",IFERROR(_xlfn.XLOOKUP(A266,Щиты[Щит],Щиты[Кс силовых (табл. 7.5)]),1),1)),IF(OR(FG266="Пост",FG266="Отоп"),1,IF(FG266="ВНГ",0.7,0))))))</f>
        <v>0.57830000000000004</v>
      </c>
      <c r="FI266">
        <f>IF(FG266="","",IF(AND(BP266=1,TRIM(AE266&amp;"")=""),IF(COUNTIFS(Линии[Щит],A266,Линии[Секция (1/2/3)],"&gt;=2")&gt;0,MIN(3,MAX(1,IFERROR(--BD266,1))),1),IFERROR(MIN(3,MAX(1,INT(--AE266))),1)))</f>
        <v>1</v>
      </c>
      <c r="FJ266">
        <f t="shared" si="613"/>
        <v>0.12</v>
      </c>
      <c r="FK266">
        <f t="shared" si="614"/>
        <v>0.12</v>
      </c>
      <c r="FL266">
        <f t="shared" si="615"/>
        <v>0</v>
      </c>
      <c r="FM266">
        <f t="shared" si="616"/>
        <v>0</v>
      </c>
      <c r="FN266">
        <f t="shared" si="617"/>
        <v>0</v>
      </c>
      <c r="FO266">
        <f t="shared" si="618"/>
        <v>0</v>
      </c>
      <c r="FP266">
        <f t="shared" si="619"/>
        <v>0.12</v>
      </c>
      <c r="FQ266">
        <f t="shared" si="620"/>
        <v>0.12</v>
      </c>
      <c r="FR266">
        <f t="shared" si="621"/>
        <v>0.11399999999999999</v>
      </c>
      <c r="FS266">
        <f>IF(CG266=1,IF(AND(CH266=1,CW266=1),0,IF(AND(CS266&lt;&gt;"",CS266=BA266,CW266=1),SUMIFS(Линии[_Р линии, кВт],Линии[_блок УЗО],BA266,Линии[Щит],A266),N(BS266)+IF(AJ266="вручную",0,N(CK266)))),0)</f>
        <v>0.12</v>
      </c>
      <c r="FT266" t="str">
        <f t="shared" si="622"/>
        <v/>
      </c>
      <c r="FU266" t="str">
        <f>IF(B266="","",IF(CG266=0,IF(BA266=1,"",FW265),IF(AND(CH266=1,CW266=1,CS266&lt;&gt;""),IFERROR(_xlfn.XLOOKUP(CS266,Линии[_n],Линии[_фаза итог]),"L1"),IF(OR(N(DL266)&gt;=3,N(BX266)&gt;=3),"L1,L2,L3",IFERROR(_xlfn.TEXTBEFORE(_xlfn.TEXTAFTER(_xlfn.XLOOKUP(A266,Щиты[Щит],Щиты[_фазы авто]),";"&amp;BA266&amp;":"),";"),"L1")))))</f>
        <v>L3</v>
      </c>
      <c r="FV266" t="str">
        <f t="shared" si="623"/>
        <v>L3</v>
      </c>
      <c r="FW266" t="str">
        <f t="shared" si="624"/>
        <v>L3</v>
      </c>
      <c r="FX266" cm="1">
        <f t="array" ref="FX266">IFERROR(IF(CD266=2,_xlfn.IFS(BX266=3,VLOOKUP(BS266,Справочная_двигатели,3,FALSE),BX266=1,VLOOKUP(BS266,Справочная_двигатели,5,TRUE)),0),0)</f>
        <v>0</v>
      </c>
      <c r="FY266">
        <f>IFERROR(IF(CD266=3,VLOOKUP(BS266,Справочная_ЛЭД,2,TRUE),0),0)</f>
        <v>0</v>
      </c>
      <c r="FZ266" s="6">
        <f t="shared" si="625"/>
        <v>0</v>
      </c>
      <c r="GA266" t="str">
        <f>IF(B266="","",IF(TRIM(AH266&amp;"")&lt;&gt;"",IF(LOWER(TRIM(AH266&amp;""))="да","да","нет"),IF(IFERROR(_xlfn.XLOOKUP(BC266,Коды_код,Коды_пожарная),"")="да","да","нет")))</f>
        <v>нет</v>
      </c>
      <c r="GB266" t="str">
        <f t="shared" si="626"/>
        <v/>
      </c>
      <c r="GC266" t="str">
        <f t="shared" si="627"/>
        <v>основная</v>
      </c>
      <c r="GD266">
        <f>IF(AND(BP266=1,TRIM(AE266&amp;"")=""),IF(COUNTIFS(Линии[Щит],A266,Линии[Секция (1/2/3)],"&gt;=2")&gt;0,MIN(3,MAX(1,IFERROR(--BD266,1))),1),IFERROR(MIN(3,MAX(1,INT(--AE266))),1))</f>
        <v>1</v>
      </c>
      <c r="GE266" t="str" cm="1">
        <f t="array" ref="GE266">IF(B266="","",_xlfn.LET(_xlpm.t,IFERROR(_xlfn.XLOOKUP(1,(Шины[Шина]=GC266)*(((Шины[Щит]=A266)+(Шины[Щит]=""))&gt;0),Шины[Тип]),"")&amp;"",IF(_xlpm.t&lt;&gt;"",_xlpm.t,IF(ISNUMBER(SEARCH("ИБП",GC266)),"ИБП",IF(ISNUMBER(SEARCH("ДГУ",GC266)),"ДГУ","Ввод "&amp;GD266)))))</f>
        <v>Ввод 1</v>
      </c>
      <c r="GF266" t="str">
        <f t="shared" si="628"/>
        <v>Ввод 1</v>
      </c>
      <c r="GG266" t="str">
        <f>IF(BP266=0,"",IF(TRIM(AG266&amp;"")&lt;&gt;"",TRIM(AG266&amp;""),IF(OR(GE266="ИБП",GE266="ДГУ"),"I особая",_xlfn.XLOOKUP(A266,Щиты[Щит],Щиты[Категория шины «Ввод»],"III"))))</f>
        <v/>
      </c>
      <c r="GH266" t="str">
        <f>IF(A266="","",_xlfn.XLOOKUP(A266,Щиты[Щит],Щиты[Путь],""))</f>
        <v>|ГРЩ-ЖД|ЩР-1|</v>
      </c>
      <c r="GI266" t="str">
        <f>IF(B266="","",IF(AI266&lt;&gt;"",AI266,IF(IFERROR(_xlfn.XLOOKUP(BC266,Коды_код,Коды_вид)&amp;"","")="","Прочее",_xlfn.XLOOKUP(BC266,Коды_код,Коды_вид)&amp;"")))</f>
        <v>Розеточная сеть и бытовые приборы</v>
      </c>
      <c r="GJ266">
        <f>IF(BM266="","",INT((BM266-1)/Столбцов_на_лист)+1)</f>
        <v>4</v>
      </c>
      <c r="GK266" t="str">
        <f t="shared" si="629"/>
        <v>ВВГнг(А)-LS (3х2,5) L=54-0,22%</v>
      </c>
      <c r="GL266">
        <f t="shared" si="630"/>
        <v>0.12</v>
      </c>
      <c r="GM266">
        <f t="shared" si="631"/>
        <v>0.55000000000000004</v>
      </c>
      <c r="GN266">
        <f t="shared" si="632"/>
        <v>1</v>
      </c>
      <c r="GO266">
        <f t="shared" si="633"/>
        <v>0</v>
      </c>
      <c r="GP266">
        <f t="shared" si="634"/>
        <v>1</v>
      </c>
      <c r="GQ266">
        <f>IF(BM266="","",IF(AND(CG266=1,GP266=1),COUNTIFS(A$3:A266,A266,CG$3:CG266,1,GP$3:GP266,1),IF(OR(OR(BA266=1,A266&lt;&gt;A265),AJ266="вручную",GP266=0),"",IF(BA266=1,"",GR265))))</f>
        <v>42</v>
      </c>
      <c r="GR266">
        <f t="shared" si="635"/>
        <v>42</v>
      </c>
      <c r="GS266">
        <f>IF(B266="","",IFERROR(LOOKUP(INDEX(CHOOSE(EB266,Iдоп_1ж,Iдоп_2ж,Iдоп_3ж),MATCH(EN266,Iдоп_S,0))*DZ266*EA266,{6,10,16,20,25,32,40,50,63,80,100,125,160,200,250,315,400,500,630}),""))</f>
        <v>25</v>
      </c>
      <c r="GT266" t="str">
        <f t="shared" si="636"/>
        <v>QFD42</v>
      </c>
      <c r="GU266" t="str">
        <f t="shared" si="637"/>
        <v>QFD42</v>
      </c>
      <c r="GV266" t="str">
        <f t="shared" si="638"/>
        <v/>
      </c>
      <c r="GW266">
        <f t="shared" si="639"/>
        <v>0</v>
      </c>
      <c r="GX266" t="str">
        <f>IF(OR(B266="",DJ266=""),"",IFERROR(_xlfn.XLOOKUP(DJ266,Модули_умолч[Управление],Модули_умолч[Модель])&amp;"",""))</f>
        <v/>
      </c>
      <c r="GY266">
        <f>IF(DJ266="",1,IFERROR(MAX(0,N(_xlfn.XLOOKUP(DJ266,Модули_умолч[Управление],Модули_умолч[Каналов на линию]))),1))</f>
        <v>1</v>
      </c>
      <c r="GZ266" t="str">
        <f t="shared" si="640"/>
        <v/>
      </c>
      <c r="HA266" t="str">
        <f t="shared" si="641"/>
        <v/>
      </c>
      <c r="HB266" t="str">
        <f t="shared" si="642"/>
        <v/>
      </c>
      <c r="HC266">
        <f>IF(HB266="",0,IFERROR(N(VLOOKUP(HB266,Модули_спр,3,FALSE)),0))</f>
        <v>0</v>
      </c>
      <c r="HD266" t="str">
        <f t="shared" si="643"/>
        <v/>
      </c>
      <c r="HE266" t="str">
        <f t="shared" si="644"/>
        <v/>
      </c>
      <c r="HF266" t="str">
        <f>IF(OR(HE266="",HE266="-"),"",IFERROR(VLOOKUP(HE266,Модули_спр,2,FALSE),"R"))</f>
        <v/>
      </c>
      <c r="HG266" t="str">
        <f>IF(HF266="","",HF266&amp;"."&amp;COUNTIFS(A$3:A266,A266,HF$3:HF266,HF266))</f>
        <v/>
      </c>
      <c r="HH266" t="str">
        <f t="shared" si="645"/>
        <v/>
      </c>
      <c r="HI266" t="str">
        <f t="shared" si="646"/>
        <v/>
      </c>
      <c r="HJ266" t="str">
        <f t="shared" si="647"/>
        <v/>
      </c>
      <c r="HK266" t="str">
        <f t="shared" si="648"/>
        <v/>
      </c>
      <c r="HL266">
        <f t="shared" si="649"/>
        <v>1</v>
      </c>
      <c r="HM266" t="str">
        <f>IF(HL266=1,"XT"&amp;COUNTIFS(A$3:A266,A266,HL$3:HL266,1),"")</f>
        <v>XT42</v>
      </c>
      <c r="HN266" t="str">
        <f t="shared" si="650"/>
        <v>XT42</v>
      </c>
      <c r="HO266" t="str">
        <f t="shared" si="651"/>
        <v>QFD42</v>
      </c>
      <c r="HP266" t="str">
        <f t="shared" si="652"/>
        <v/>
      </c>
      <c r="HQ266" t="str">
        <f t="shared" si="653"/>
        <v>ok</v>
      </c>
      <c r="HR266" t="str">
        <f>IF(OR(HJ266="",HH266=""),"",IF(HJ266+MAX(0,GY266-1)&gt;IFERROR(VLOOKUP(HI266,Модули_спр,3,FALSE),99),"ЛИШНИЙ КАНАЛ",IF(AND(AL266&lt;&gt;"=",GY266&gt;0,COUNTIFS(Линии[_модуль гр.],HH266,Линии[Канал (итог)],HJ266,Линии[Канал],"&lt;&gt;=",Линии[Щит],A266)&gt;1),"ДУБЛЬ КАНАЛА","")))</f>
        <v/>
      </c>
      <c r="HS266" s="6" t="str">
        <f t="shared" si="654"/>
        <v/>
      </c>
      <c r="HT266">
        <f t="shared" si="655"/>
        <v>10</v>
      </c>
      <c r="HU266" t="str">
        <f t="shared" si="656"/>
        <v/>
      </c>
      <c r="HV266">
        <f t="shared" si="657"/>
        <v>0.758785365166595</v>
      </c>
      <c r="HW266">
        <f t="shared" si="658"/>
        <v>0</v>
      </c>
      <c r="HX266">
        <f t="shared" si="659"/>
        <v>0</v>
      </c>
      <c r="HY266">
        <f t="shared" si="660"/>
        <v>0</v>
      </c>
      <c r="HZ266">
        <f t="shared" si="661"/>
        <v>0</v>
      </c>
      <c r="IA266">
        <f t="shared" si="662"/>
        <v>0</v>
      </c>
      <c r="IB266">
        <f t="shared" si="663"/>
        <v>0</v>
      </c>
      <c r="IC266" t="str">
        <f t="shared" si="664"/>
        <v/>
      </c>
      <c r="ID266" t="str" cm="1">
        <f t="array" ref="ID266">IF(IC266="","",_xlfn.LET(_xlpm.tk,_xlfn.TEXTSPLIT(SUBSTITUTE(SUBSTITUTE(IC266,";"," "),"→"," ")," ",,TRUE),_xlpm.w_,_xlfn._xlws.FILTER(_xlpm.tk,ISNUMBER(--LEFT(_xlpm.tk,1))*((ISNUMBER(SEARCH("W",_xlpm.tk))+ISNUMBER(SEARCH("Вт",_xlpm.tk)))&gt;0),""),IFERROR(--SUBSTITUTE(SUBSTITUTE(UPPER(INDEX(_xlpm.w_,1)),"W",""),"ВТ",""),"")))</f>
        <v/>
      </c>
      <c r="IE266" t="str" cm="1">
        <f t="array" ref="IE266">IF(IC266="","",_xlfn.LET(_xlpm.tk,_xlfn.TEXTSPLIT(SUBSTITUTE(SUBSTITUTE(IC266,";"," "),"→"," ")," ",,TRUE),_xlpm.v_,_xlfn._xlws.FILTER(_xlpm.tk,ISNUMBER(--LEFT(_xlpm.tk,1))*((ISNUMBER(SEARCH("V",_xlpm.tk))+(RIGHT(UPPER(_xlpm.tk))="В"))&gt;0),""),IFERROR(--SUBSTITUTE(SUBSTITUTE(UPPER(INDEX(_xlpm.v_,1)),"V",""),"В",""),"")))</f>
        <v/>
      </c>
      <c r="IF266" s="6" t="str">
        <f>IF(OR(BV266=0,HI266="",HJ266=""),"",IFERROR(N(_xlfn.XLOOKUP(HI266,Каталог!$C$4:$C$500,Каталог!$Q$4:$Q$500)),""))</f>
        <v/>
      </c>
      <c r="IG266" s="6" t="str">
        <f>IF(N(IF266)=0,"",SUMIFS(Линии[Iр, А],Линии[Щит],A266,Линии[_модуль гр.],HH266,Линии[Канал (итог)],HJ266))</f>
        <v/>
      </c>
      <c r="IH266" t="str">
        <f>IF(AND(B266="",HO266=""),"",_xlfn.TEXTJOIN("; ",TRUE,IF(AND(B266&lt;&gt;"",FV266=""),"нет фазы",""),IF(AND(B266&lt;&gt;"",N(GL266)=0,FG266&lt;&gt;"Нет"),"нет мощности",""),IF(AND(HN266&lt;&gt;"",COUNTIFS(Линии[Щит],A266,Линии[Клемма (итог)],HN266)&gt;1),"дубль клеммы "&amp;HN266,""),IF(AND(HQ266&lt;&gt;"",HQ266&lt;&gt;"ok"),HQ266,""),IF(HR266&lt;&gt;"",HR266,""),IF(AND(N(CB266)&gt;=4,N(BX266)=1),CB266&amp;" жил на 1 фазе",""),IF(AND(BC266="R",CG266=1,IF(CS266&lt;&gt;"",N(CV266)&gt;30,OR(N(DA266)=0,N(DA266)&gt;30))),"розетка без дифзащиты до 30 мА",""),IF(AND(CG266=1,N(DA266)&gt;0,ISNUMBER(T266)),IF(T266&gt;N(DA266)/3,"ток утечки "&amp;FIXED(T266,1)&amp;" мА &gt; 1/3 уставки ("&amp;DA266&amp;" мА)",""),""),IF(AND(CH266=1,CS266=""),"«узо»: нет строки с УЗО выше (УЗО 2P 40А 30мА в «Аппаратах»)",""),IF(AND(CS266&lt;&gt;"",CS266=BA266),IF(CT266="","впишите номинал УЗО (УЗО 2P 40А 30мА)",IF(N(CT266)&lt;N(DT266),"УЗО "&amp;CT266&amp;" А &lt; автомата "&amp;DT266&amp;" А перед ним",IF(N(CT266)&lt;N(CX266),"УЗО "&amp;CT266&amp;" А &lt; тока блока "&amp;FIXED(CX266,1)&amp;" А",""))),""),IF(AND(CS266&lt;&gt;"",CS266=BA266,ISNUMBER(CY266)),IF(CY266&gt;N(CV266)/3,"ток утечки блока УЗО "&amp;FIXED(CY266,1)&amp;" мА &gt; 1/3 уставки ("&amp;CV266&amp;" мА)",""),""),IF(AND(CG266=1,N(BV266)+N(IB266)&gt;0,IC266=""),"линии до 50 В без БП: впишите в «Аппараты» (БП 24V 480W)",""),IF(AND(CG266=1,ISNUMBER(ID266),ISNUMBER(U266)),IF(U266&gt;ID266,"БП "&amp;ID266&amp;" Вт &lt; нужно "&amp;U266&amp;" Вт (×"&amp;Запас_БП&amp;")",""),""),IF(AND(CG266=1,ISNUMBER(IE266),N(BV266)=1),IF(IE266&lt;&gt;N(BU266),"БП на "&amp;IE266&amp;" В, линия "&amp;BU266&amp;" В",""),""),IF(AND(N(IF266)&gt;0,N(IG266)&gt;N(IF266)),HH266&amp;" канал "&amp;HJ266&amp;": "&amp;FIXED(IG266,1)&amp;" А &gt; "&amp;IF266&amp;" А",""),IFERROR(IF(AND(ISNUMBER(Q266),Q266&gt;EL266),"потери "&amp;FIXED(Q266,1)&amp;" % &gt; "&amp;EL266&amp;" %",""),""),IFERROR(IF(LEFT(HU266,4)="мало","Iкз мало — отключение &gt; 0,4 с",""),""),IF(AND(B266&lt;&gt;"",BM266=""),"не на схеме",""),IF(AND(CG266=0,B266&lt;&gt;"",FV266&lt;&gt;"",IF(BA266=1,"",FW265)&lt;&gt;"",FV266&lt;&gt;IF(BA266=1,"",FW265)),"фаза не как у автомата группы ("&amp;IF(BA266=1,"",FW265)&amp;")","")))</f>
        <v/>
      </c>
      <c r="II266" s="6">
        <f>IF(OR(CG266=0,DQ266=""),"",_xlfn.LET(_xlpm.t,IFERROR(_xlfn.XLOOKUP(DQ266,Каталог!$U$4:$U$500,Каталог!$G$4:$G$500),""),_xlpm.k,SEARCH("кА",_xlpm.t),IFERROR(--TRIM(RIGHT(SUBSTITUTE(MID(_xlpm.t,MAX(1,_xlpm.k-4),_xlpm.k-MAX(1,_xlpm.k-4))," ",REPT(" ",9)),5)),"")))</f>
        <v>6</v>
      </c>
      <c r="IJ266" t="str">
        <f>IF(OR(II266="",CG266=0),"",IF(_xlfn.XLOOKUP(A266,Щиты[Щит],Щиты[Iкз max на шинах, кА],"")="","",IF(II266&lt;_xlfn.XLOOKUP(A266,Щиты[Щит],Щиты[Iкз max на шинах, кА]),"Icu "&amp;II266&amp;" кА &lt; Iкз max","ok")))</f>
        <v/>
      </c>
      <c r="IK266" t="str">
        <f t="shared" si="665"/>
        <v/>
      </c>
      <c r="IL266" t="str">
        <f t="shared" si="666"/>
        <v>QFD42|XT42</v>
      </c>
      <c r="IM266" t="str">
        <f t="shared" si="667"/>
        <v>QFD42|XT42|кабель ВВГнг(А)-LS (3х2,5) → Розеточная группа, пом. 020A</v>
      </c>
      <c r="IN266" t="str" cm="1">
        <f t="array" ref="IN266">IF(IM266="","",_xlfn.LET(_xlpm.nd,_xlfn.TEXTSPLIT(IM266,"|"),IF(COLUMNS(_xlpm.nd)&gt;1,A266&amp;"¦"&amp;INDEX(_xlpm.nd,1)&amp;"¦"&amp;INDEX(_xlpm.nd,2),"")))</f>
        <v>ЩР-1¦QFD42¦XT42</v>
      </c>
      <c r="IO266" t="str">
        <f t="shared" si="668"/>
        <v>R.1.020A.2¦Розеточная группа, пом. 020A</v>
      </c>
      <c r="IP266" t="str" cm="1">
        <f t="array" ref="IP266">IF(IM266="","",_xlfn.LET(_xlpm.nd,_xlfn.TEXTSPLIT(IM266,"|"),IF(COLUMNS(_xlpm.nd)&gt;2,A266&amp;"¦"&amp;INDEX(_xlpm.nd,2)&amp;"¦"&amp;INDEX(_xlpm.nd,3),"")))</f>
        <v>ЩР-1¦XT42¦кабель ВВГнг(А)-LS (3х2,5) → Розеточная группа, пом. 020A</v>
      </c>
      <c r="IQ266" t="str">
        <f t="shared" si="669"/>
        <v>R.1.020A.2¦Розеточная группа, пом. 020A</v>
      </c>
      <c r="IR266" t="str" cm="1">
        <f t="array" ref="IR266">IF(IM266="","",_xlfn.LET(_xlpm.nd,_xlfn.TEXTSPLIT(IM266,"|"),IF(COLUMNS(_xlpm.nd)&gt;3,A266&amp;"¦"&amp;INDEX(_xlpm.nd,3)&amp;"¦"&amp;INDEX(_xlpm.nd,4),"")))</f>
        <v/>
      </c>
      <c r="IS266" t="str">
        <f t="shared" si="670"/>
        <v/>
      </c>
      <c r="IT266" t="str" cm="1">
        <f t="array" ref="IT266">IF(IM266="","",_xlfn.LET(_xlpm.nd,_xlfn.TEXTSPLIT(IM266,"|"),IF(COLUMNS(_xlpm.nd)&gt;4,A266&amp;"¦"&amp;INDEX(_xlpm.nd,4)&amp;"¦"&amp;INDEX(_xlpm.nd,5),"")))</f>
        <v/>
      </c>
      <c r="IU266" t="str">
        <f t="shared" si="671"/>
        <v/>
      </c>
      <c r="IV266" t="str" cm="1">
        <f t="array" ref="IV266">IF(IM266="","",_xlfn.LET(_xlpm.nd,_xlfn.TEXTSPLIT(IM266,"|"),IF(COLUMNS(_xlpm.nd)&gt;5,A266&amp;"¦"&amp;INDEX(_xlpm.nd,5)&amp;"¦"&amp;INDEX(_xlpm.nd,6),"")))</f>
        <v/>
      </c>
      <c r="IW266" t="str">
        <f t="shared" si="672"/>
        <v/>
      </c>
      <c r="IX266" t="str" cm="1">
        <f t="array" ref="IX266">IF(IM266="","",_xlfn.LET(_xlpm.nd,_xlfn.TEXTSPLIT(IM266,"|"),IF(COLUMNS(_xlpm.nd)&gt;6,A266&amp;"¦"&amp;INDEX(_xlpm.nd,6)&amp;"¦"&amp;INDEX(_xlpm.nd,7),"")))</f>
        <v/>
      </c>
      <c r="IY266" t="str">
        <f t="shared" si="673"/>
        <v/>
      </c>
      <c r="IZ266" t="str">
        <f t="shared" si="674"/>
        <v/>
      </c>
      <c r="JA266" t="str">
        <f t="shared" si="675"/>
        <v>QFD42 → XT42</v>
      </c>
      <c r="JB266">
        <f t="shared" si="676"/>
        <v>0</v>
      </c>
      <c r="JC266">
        <f t="shared" si="677"/>
        <v>1</v>
      </c>
      <c r="JD266" t="str">
        <f t="shared" si="678"/>
        <v/>
      </c>
      <c r="JE266" t="str">
        <f t="shared" si="679"/>
        <v/>
      </c>
      <c r="JF266" t="str">
        <f t="shared" si="680"/>
        <v/>
      </c>
      <c r="JG266" t="str">
        <f t="shared" si="681"/>
        <v/>
      </c>
      <c r="JH266" t="str">
        <f>IF(B266="","",IFERROR(_xlfn.XLOOKUP(B266,Коды_код,Коды_уго),IFERROR(_xlfn.XLOOKUP(BC266,Коды_код,Коды_уго),IFERROR(_xlfn.XLOOKUP(LEFT(BC266,2),Коды_код,Коды_уго),""))))</f>
        <v>Розетка</v>
      </c>
      <c r="JI266" t="str">
        <f>IF(B266="","",IF(OR(JH266="",JH266=0),"BOX",IFERROR(IF(VLOOKUP(JH266,УГО_блоки,3,FALSE)&amp;""&lt;&gt;"",VLOOKUP(JH266,УГО_блоки,3,FALSE),VLOOKUP(JH266,УГО_блоки,2,FALSE)),JH266)))</f>
        <v>SOCKET</v>
      </c>
      <c r="JJ266">
        <f t="shared" si="682"/>
        <v>1</v>
      </c>
      <c r="JK266" t="str">
        <f>IF(DQ266="","",IF(COUNTIF(DQ$3:DQ266,DQ266)=1,MAX(JK$2:JK265)+1,""))</f>
        <v/>
      </c>
      <c r="JL266" t="str">
        <f>IF(DE266="","",IF(COUNTIF(DE$3:DE266,DE266)+COUNTIF(DF$2:DF265,DE266)+COUNTIF(DG$2:DG265,DE266)=1,MAX(JL$2:JN265)+1,""))</f>
        <v/>
      </c>
      <c r="JM266" t="str">
        <f>IF(DF266="","",IF(COUNTIF(DE$3:DE266,DF266)+COUNTIF(DF$3:DF266,DF266)+COUNTIF(DG$2:DG265,DF266)=1,MAX(JL$2:JN265,JL266)+1,""))</f>
        <v/>
      </c>
      <c r="JN266" t="str">
        <f>IF(DG266="","",IF(COUNTIF(DE$3:DE266,DG266)+COUNTIF(DF$3:DF266,DG266)+COUNTIF(DG$3:DG266,DG266)=1,MAX(JL$2:JN265,JL266,JM266)+1,""))</f>
        <v/>
      </c>
      <c r="JO266" t="str">
        <f t="shared" si="683"/>
        <v>3х2,5</v>
      </c>
      <c r="JP266" t="str">
        <f>IF(JO266="","",IF(COUNTIF(JO$3:JO266,JO266)=1,MAX(JP$2:JP265)+1,""))</f>
        <v/>
      </c>
      <c r="JQ266" t="str">
        <f>IF(HG266="","",COUNTIF(HG$3:HG266,"?*"))</f>
        <v/>
      </c>
      <c r="JR266" t="str">
        <f>IF(OR(HG266="",HI266=""),"",IF(COUNTIFS(HG$3:HG266,"?*",HI$3:HI266,HI266)=1,MAX(JR$2:JR265)+1,""))</f>
        <v/>
      </c>
      <c r="JS266">
        <f t="shared" si="684"/>
        <v>0</v>
      </c>
      <c r="JT266">
        <f>IF(B266="","",COUNTIF(B$3:B266,"?*"))</f>
        <v>264</v>
      </c>
      <c r="JU266">
        <f>IF(HL266&lt;&gt;1,0,_xlfn.LET(_xlpm.k,MAX(IFERROR(--_xlfn.XLOOKUP(B266,Коды_код,Коды_3L),0),IFERROR(--_xlfn.XLOOKUP(BC266,Коды_код,Коды_3L),0),IFERROR(--_xlfn.XLOOKUP(LEFT(BC266,2),Коды_код,Коды_3L),0)),IF(_xlpm.k&gt;0,_xlpm.k,IF(IFERROR(--LEFT(SUBSTITUTE(JO266,"x","х"),FIND("х",SUBSTITUTE(JO266,"x","х"))-1),3)&gt;3,Каталог!$S$9,1))))</f>
        <v>1</v>
      </c>
      <c r="JV266">
        <f t="shared" si="685"/>
        <v>0</v>
      </c>
      <c r="JW266" t="str">
        <f t="shared" si="686"/>
        <v>авто</v>
      </c>
      <c r="JX266">
        <f t="shared" si="687"/>
        <v>30</v>
      </c>
      <c r="JY266">
        <f t="shared" si="688"/>
        <v>1</v>
      </c>
      <c r="JZ266">
        <f t="shared" si="689"/>
        <v>1</v>
      </c>
    </row>
    <row r="267" spans="1:286" x14ac:dyDescent="0.3">
      <c r="A267" t="s">
        <v>757</v>
      </c>
      <c r="B267" t="s">
        <v>1573</v>
      </c>
      <c r="C267" t="s">
        <v>1713</v>
      </c>
      <c r="D267">
        <v>1</v>
      </c>
      <c r="E267">
        <v>1.5</v>
      </c>
      <c r="G267" t="str">
        <f>Линии[[#This Row],[_авто автомат]]</f>
        <v>2P С16А 30мА</v>
      </c>
      <c r="H267" t="str">
        <f>Линии[[#This Row],[_авто управление]]</f>
        <v/>
      </c>
      <c r="I267" t="str">
        <f>Линии[[#This Row],[_авто аппараты]]</f>
        <v/>
      </c>
      <c r="J267">
        <v>2.5</v>
      </c>
      <c r="K267">
        <v>36</v>
      </c>
      <c r="L267" t="str">
        <f>Линии[[#This Row],[_авто фаза]]</f>
        <v>L2</v>
      </c>
      <c r="M267" t="str">
        <f>Линии[[#This Row],[_авто клемма]]</f>
        <v>XT43</v>
      </c>
      <c r="N267" t="str">
        <f t="shared" si="552"/>
        <v/>
      </c>
      <c r="O267" s="6" cm="1">
        <f t="array" ref="O267">IF(B267="","",IF(BH267&lt;&gt;"",IFERROR(_xlfn.XLOOKUP(BH267,Щиты[Щит],Щиты[Iр, А]),""),IF(BP267=1,IF(OR(N(_xlfn.XLOOKUP(A267,Щиты[Щит],Щиты[Вводов],1))&lt;=1,LOWER(TRIM(_xlfn.XLOOKUP(A267,Щиты[Щит],Щиты[АВР],"")&amp;""))="да"),IFERROR(_xlfn.XLOOKUP(A267,Щиты[Щит],Щиты[Iр, А]),""),IFERROR(N(BS267)*_xlfn.XLOOKUP(A267,Щиты[Щит],Щиты[Кс итог])/(SQRT(3)*Uн_лин*_xlfn.XLOOKUP(A267,Щиты[Щит],Щиты[cos φ])),"")),IF(BV267=1,IFERROR(BS267*1000/BU267,""),IFERROR(_xlfn.IFS(BX267=1,BS267/((Uн_лин/SQRT(3))*CE267),BX267=3,BS267/(SQRT(3)*Uн_лин*CE267)),"")))))</f>
        <v>6.8370426614560946</v>
      </c>
      <c r="P267" s="7">
        <f>IF(B267="","",IFERROR(IF(VLOOKUP(BC267,Потребители_обозначение,4,FALSE)=1,VLOOKUP(BC267,Потребители_обозначение,3,FALSE)*(MAX(1,N(D267))*2-1)+EI267+VLOOKUP(BE267,Этаж_обозначение,3,FALSE)+VLOOKUP(BE267,Этаж_обозначение,4,FALSE),VLOOKUP(BC267,Потребители_обозначение,3,FALSE)*(MAX(1,N(D267))*2-1)+EI267),EI267))</f>
        <v>39</v>
      </c>
      <c r="Q267" s="6">
        <f t="shared" si="553"/>
        <v>3.1799999999999997</v>
      </c>
      <c r="R267" t="str">
        <f t="shared" si="554"/>
        <v>ВВГнг(А)-LS (3х2,5)</v>
      </c>
      <c r="S267" t="str">
        <f>IF(BM267="","",IF(BN267="вводной узел","узел ","")&amp;"л."&amp;(INT((BM267-1)/Столбцов_на_лист)+1)&amp;" / "&amp;(MOD(BM267-1,Столбцов_на_лист)+1))</f>
        <v>л.4 / 6</v>
      </c>
      <c r="T267" s="119">
        <f t="shared" si="555"/>
        <v>3.1</v>
      </c>
      <c r="U267" s="7" t="str">
        <f>IF(OR(CG267=0,N(BV267)+N(IB267)=0),"",ROUNDUP(Запас_БП*(N(HY267)+N(HZ267)),0))</f>
        <v/>
      </c>
      <c r="V267" s="119" t="str">
        <f t="shared" si="556"/>
        <v/>
      </c>
      <c r="W267" s="7" t="str">
        <f>IFERROR(IF(OR(B267="",BP267=1,BV267=1,NOT(ISNUMBER(EN267)),N(DT267)=0),"",MAX(0,ROUNDDOWN((c_min*(Uн_лин*1000/SQRT(3))/(HT267*N(DT267))-_xlfn.XLOOKUP(A267,Щиты[Щит],Щиты[Zпетли на шинах, Ом]))*EN267/(2*ρкз_Cu),0))),"")</f>
        <v/>
      </c>
      <c r="Y267">
        <f>Линии[[#This Row],[_авто утечка]]</f>
        <v>30</v>
      </c>
      <c r="Z267">
        <v>1</v>
      </c>
      <c r="AA267">
        <v>230</v>
      </c>
      <c r="AB267" t="s">
        <v>562</v>
      </c>
      <c r="AG267" t="s">
        <v>810</v>
      </c>
      <c r="AI267" t="s">
        <v>561</v>
      </c>
      <c r="AK267" t="str">
        <f>Линии[[#This Row],[_авто модуль]]</f>
        <v/>
      </c>
      <c r="AM267">
        <v>57</v>
      </c>
      <c r="AN267" t="s">
        <v>11</v>
      </c>
      <c r="AO267">
        <v>3</v>
      </c>
      <c r="AQ267">
        <v>20</v>
      </c>
      <c r="AR267">
        <v>19</v>
      </c>
      <c r="AS267">
        <v>0</v>
      </c>
      <c r="BA267" cm="1">
        <f t="array" ref="BA267">ROW()-ROW(Линии[#Headers])</f>
        <v>265</v>
      </c>
      <c r="BC267" s="6" t="str">
        <f t="shared" si="557"/>
        <v>R</v>
      </c>
      <c r="BD267" t="str">
        <f t="shared" si="558"/>
        <v>1.021A.1</v>
      </c>
      <c r="BE267" t="str">
        <f t="shared" si="559"/>
        <v>1</v>
      </c>
      <c r="BF267" t="str">
        <f t="shared" si="560"/>
        <v>021A.1</v>
      </c>
      <c r="BG267" t="str">
        <f t="shared" si="561"/>
        <v>021A</v>
      </c>
      <c r="BH267" t="str">
        <f>IF(X267&lt;&gt;"",X267,IF(AND(B267&lt;&gt;"",B267&lt;&gt;A267,ISNUMBER(_xlfn.XMATCH(B267,Щиты[Щит]))),B267,""))</f>
        <v/>
      </c>
      <c r="BI267" t="str" cm="1">
        <f t="array" ref="BI267">IF(B267="","",IF(BH267&lt;&gt;"","Щит "&amp;BH267,_xlfn.LET(_xlpm.nm,IFERROR(_xlfn.XLOOKUP(BC267,Коды_код,Коды_имя)&amp;"",""),_xlpm.md,IFERROR(N(_xlfn.XLOOKUP(BC267,Коды_код,Коды_режим)),1),_xlpm.ex,IF(Имя_режим="по экспликации",IFERROR(_xlfn.XLOOKUP(BE267&amp;"|"&amp;BG267,Экспликация[Этаж]&amp;"|"&amp;Экспликация[Помещение],Экспликация[Название])&amp;"",""),""),_xlpm.rm,IF(BG267="","",IF(_xlpm.ex&lt;&gt;"",". "&amp;_xlpm.ex&amp;IF(Имя_пом="нет"," ("&amp;BG267&amp;")"," (пом. "&amp;BG267&amp;")"),IF(Имя_пом="нет"," ",", пом. ")&amp;BG267)),IF(_xlpm.nm="","",IF(_xlpm.md=2,_xlpm.nm&amp;" шлейф "&amp;BE267,_xlpm.nm&amp;_xlpm.rm)))))</f>
        <v>Розеточная группа, пом. 021A</v>
      </c>
      <c r="BJ267" t="str">
        <f t="shared" si="562"/>
        <v>Розеточная группа Первый этаж Пом. №021A Кофемашина</v>
      </c>
      <c r="BK267">
        <f>IFERROR(_xlfn.XMATCH(A267,Щиты[Щит]),0)</f>
        <v>10</v>
      </c>
      <c r="BL267">
        <f>_xlfn.LET(_xlpm.k,IFERROR(_xlfn.XLOOKUP(A267,Щиты[Щит],Щиты[Мест под вводной узел]),""),IF(_xlpm.k="",Столбцов_на_лист,N(_xlpm.k)))</f>
        <v>8</v>
      </c>
      <c r="BM267">
        <f t="shared" si="563"/>
        <v>57</v>
      </c>
      <c r="BN267" t="str">
        <f t="shared" si="564"/>
        <v>линии</v>
      </c>
      <c r="BO267" s="6">
        <f>IFERROR(N(_xlfn.XLOOKUP(BC267,Коды_код,Коды_квт)),0)</f>
        <v>0</v>
      </c>
      <c r="BP267">
        <f t="shared" si="565"/>
        <v>0</v>
      </c>
      <c r="BQ267" t="str">
        <f>IF(B267="","",IF(BH267&lt;&gt;"",IFERROR(_xlfn.XLOOKUP(BH267,Щиты[Щит],Щиты[Руст, кВт]),0),IF(BP267=1,IF(OR(N(_xlfn.XLOOKUP(A267,Щиты[Щит],Щиты[Вводов],1))&lt;=1,LOWER(TRIM(_xlfn.XLOOKUP(A267,Щиты[Щит],Щиты[АВР],"")&amp;""))="да"),IFERROR(_xlfn.XLOOKUP(A267,Щиты[Щит],Щиты[Руст, кВт]),0),SUMIFS(Линии[_Р для вводов],Линии[Щит],A267,Линии[Источник для режимов],GF267)),IF(BO267&gt;0,ROUND(BO267*MAX(1,N(D267)),3),""))))</f>
        <v/>
      </c>
      <c r="BR267">
        <f t="shared" si="566"/>
        <v>1.5</v>
      </c>
      <c r="BS267" s="6">
        <f>IF(B267="","",IF(BH267&lt;&gt;"",IFERROR(_xlfn.XLOOKUP(BH267,Щиты[Щит],Щиты[Руст, кВт]),0),N(BR267)))</f>
        <v>1.5</v>
      </c>
      <c r="BT267" t="str">
        <f>IF(B267="","",IFERROR(IF(VLOOKUP(BC267,Потребители_обозначение,8,FALSE)=0,"",VLOOKUP(BC267,Потребители_обозначение,8,FALSE)),""))</f>
        <v/>
      </c>
      <c r="BU267">
        <f t="shared" si="567"/>
        <v>230</v>
      </c>
      <c r="BV267">
        <f t="shared" si="568"/>
        <v>0</v>
      </c>
      <c r="BW267">
        <f>IF(B267="","",IF(BH267&lt;&gt;"",3,IFERROR(IF(N(VLOOKUP(BC267,Потребители_обозначение,9,FALSE))=0,1,VLOOKUP(BC267,Потребители_обозначение,9,FALSE)),1)))</f>
        <v>1</v>
      </c>
      <c r="BX267">
        <f t="shared" si="569"/>
        <v>1</v>
      </c>
      <c r="BY267" t="str">
        <f>IF(B267="","",_xlfn.LET(_xlpm.bc,IFERROR(IF(VLOOKUP(BC267,Потребители_обозначение,6,FALSE)=0,"",VLOOKUP(BC267,Потребители_обозначение,6,FALSE)&amp;""),""),IF(AND(GA267="да",OR(_xlpm.bc="",_xlpm.bc="мс")),Марка_пож,IF(AND(_xlpm.bc="",BH267&lt;&gt;""),"мс",_xlpm.bc))))</f>
        <v/>
      </c>
      <c r="BZ267" t="str">
        <f t="shared" si="570"/>
        <v>мс</v>
      </c>
      <c r="CA267">
        <f>IF(B267="","",_xlfn.LET(_xlpm.cc,IFERROR(N(VLOOKUP(BC267,Потребители_обозначение,7,FALSE)),0),IF(_xlpm.cc&gt;0,_xlpm.cc,IF(BZ267="","",IF(BV267=1,2,IF(N(BX267)=3,5,3))))))</f>
        <v>3</v>
      </c>
      <c r="CB267">
        <f t="shared" si="571"/>
        <v>3</v>
      </c>
      <c r="CC267">
        <f>IFERROR(N(VLOOKUP(BC267,Потребители_обозначение,10,FALSE)),0)</f>
        <v>0</v>
      </c>
      <c r="CD267">
        <f>IFERROR(VLOOKUP(BC267,Потребители_обозначение,5,FALSE),0)</f>
        <v>1</v>
      </c>
      <c r="CE267" s="6" cm="1">
        <f t="array" ref="CE267">IF(B267="","",IF(BH267&lt;&gt;"",IFERROR(_xlfn.XLOOKUP(BH267,Щиты[Щит],Щиты[cos φ]),0.95),IF(BP267=1,IFERROR(_xlfn.XLOOKUP(A267,Щиты[Щит],Щиты[cos φ]),0.95),IF(ISNUMBER(AD267),AD267,IFERROR(IF(CD267=2,_xlfn.IFS(BX267=3,VLOOKUP(BS267,Справочная_двигатели,8,FALSE),BX267=1,VLOOKUP(BS267,Справочная_двигатели,10,TRUE)),IF(AND(Методика="нормы 2026",FG267="Сил"),0.8,0.95)),0.95)))))</f>
        <v>0.95</v>
      </c>
      <c r="CF267">
        <f t="shared" si="572"/>
        <v>0</v>
      </c>
      <c r="CG267">
        <f t="shared" si="573"/>
        <v>1</v>
      </c>
      <c r="CH267">
        <f t="shared" si="574"/>
        <v>0</v>
      </c>
      <c r="CI267">
        <f>IF(B267="","",IF(BV267=1,IFERROR(BS267/((Uн_лин/SQRT(3))*MAX(0.5,N(CE267))),0),N(O267)))</f>
        <v>6.8370426614560946</v>
      </c>
      <c r="CJ267">
        <f t="shared" si="575"/>
        <v>0</v>
      </c>
      <c r="CK267">
        <f t="shared" si="576"/>
        <v>0</v>
      </c>
      <c r="CL267">
        <f t="shared" si="577"/>
        <v>0</v>
      </c>
      <c r="CM267">
        <f t="shared" si="578"/>
        <v>0</v>
      </c>
      <c r="CN267">
        <f t="shared" si="579"/>
        <v>0</v>
      </c>
      <c r="CO267">
        <f>IF(BC267="",0,_xlfn.LET(_xlpm.v,IFERROR(_xlfn.XLOOKUP(B267,Коды_код,Коды_мА),IFERROR(_xlfn.XLOOKUP(BC267,Коды_код,Коды_мА),IFERROR(_xlfn.XLOOKUP(LEFT(BC267,2),Коды_код,Коды_мА),""))),IF(_xlpm.v="да",30,IF(ISNUMBER(_xlpm.v),_xlpm.v,0))))</f>
        <v>30</v>
      </c>
      <c r="CP267">
        <f t="shared" si="580"/>
        <v>30</v>
      </c>
      <c r="CQ267" t="str">
        <f>_xlfn.LET(_xlpm.k,IFERROR(_xlfn.XLOOKUP(BC267,Коды_код,Коды_утечка)&amp;"",""),IF(_xlpm.k="","дифавтомат",_xlpm.k))</f>
        <v>дифавтомат</v>
      </c>
      <c r="CR267" t="str" cm="1">
        <f t="array" ref="CR267">IF(CG267=0,"",_xlfn.LET(_xlpm.sg,TRIM(_xlfn.TEXTSPLIT(DD267&amp;"",";")),_xlpm.f_,_xlfn._xlws.FILTER(_xlpm.sg,LEFT(_xlpm.sg,3)="УЗО",""),IFERROR(INDEX(_xlpm.f_,1)&amp;"","")))</f>
        <v/>
      </c>
      <c r="CS267" t="str">
        <f t="shared" si="581"/>
        <v/>
      </c>
      <c r="CT267" s="6" t="str" cm="1">
        <f t="array" ref="CT267">IF(CR267="","",_xlfn.LET(_xlpm.tk,_xlfn.TEXTSPLIT(UPPER(CR267)," ",,TRUE),_xlpm.a_,_xlfn._xlws.FILTER(_xlpm.tk,ISNUMBER(--LEFT(_xlpm.tk,1))*((ISNUMBER(SEARCH("А",_xlpm.tk))+ISNUMBER(SEARCH("A",_xlpm.tk)))&gt;0)*NOT(ISNUMBER(SEARCH("МА",_xlpm.tk)))*NOT(ISNUMBER(SEARCH("MA",_xlpm.tk))),""),IFERROR(--SUBSTITUTE(SUBSTITUTE(INDEX(_xlpm.a_,1),"А",""),"A",""),"")))</f>
        <v/>
      </c>
      <c r="CU267" t="str" cm="1">
        <f t="array" ref="CU267">IF(CR267="","",_xlfn.LET(_xlpm.tk,_xlfn.TEXTSPLIT(UPPER(CR267)," ",,TRUE),_xlpm.a_,_xlfn._xlws.FILTER(_xlpm.tk,ISNUMBER(--LEFT(_xlpm.tk,1))*((ISNUMBER(SEARCH("МА",_xlpm.tk))+ISNUMBER(SEARCH("MA",_xlpm.tk)))&gt;0),""),IFERROR(--SUBSTITUTE(SUBSTITUTE(INDEX(_xlpm.a_,1),"МА",""),"MA",""),30)))</f>
        <v/>
      </c>
      <c r="CV267" t="str">
        <f>IF(CS267="","",IFERROR(_xlfn.XLOOKUP(CS267,Линии[_n],Линии[_УЗО, мА]),30))</f>
        <v/>
      </c>
      <c r="CW267">
        <f>IF(CS267="",0,IF(ISNUMBER(SEARCH("4P",IFERROR(_xlfn.XLOOKUP(CS267,Линии[_n],Линии[_УЗО строки])&amp;"",""))),0,1))</f>
        <v>0</v>
      </c>
      <c r="CX267" t="str">
        <f>IF(AND(CS267&lt;&gt;"",CS267=BA267),SUMIFS(Линии[_ток на 230 В],Линии[_блок УЗО],BA267,Линии[Щит],A267),"")</f>
        <v/>
      </c>
      <c r="CY267" t="str">
        <f>IF(AND(CS267&lt;&gt;"",CS267=BA267),SUMIFS(Линии[_ток утечки линии, мА],Линии[_блок УЗО],BA267,Линии[Щит],A267),"")</f>
        <v/>
      </c>
      <c r="CZ267">
        <f t="shared" si="582"/>
        <v>30</v>
      </c>
      <c r="DA267">
        <f t="shared" si="583"/>
        <v>30</v>
      </c>
      <c r="DB267">
        <f>IF(B267="",0,IFERROR(--_xlfn.XLOOKUP(B267,Коды_код,Коды_минавт),IFERROR(--_xlfn.XLOOKUP(BC267,Коды_код,Коды_минавт),IFERROR(--_xlfn.XLOOKUP(LEFT(BC267,2),Коды_код,Коды_минавт),0))))</f>
        <v>16</v>
      </c>
      <c r="DC267" t="str">
        <f>IF(B267="","",IFERROR(_xlfn.XLOOKUP(BC267,Коды_код,Коды_апп)&amp;"",""))</f>
        <v/>
      </c>
      <c r="DD267" t="str">
        <f t="shared" si="584"/>
        <v/>
      </c>
      <c r="DE267" t="str" cm="1">
        <f t="array" ref="DE267">IF(TRIM(DD267&amp;"")="","",IFERROR(TRIM(INDEX(_xlfn.TEXTSPLIT(DD267&amp;";;;",";"),1)),""))</f>
        <v/>
      </c>
      <c r="DF267" t="str" cm="1">
        <f t="array" ref="DF267">IF(TRIM(DD267&amp;"")="","",IFERROR(TRIM(INDEX(_xlfn.TEXTSPLIT(DD267&amp;";;;",";"),2)),""))</f>
        <v/>
      </c>
      <c r="DG267" t="str" cm="1">
        <f t="array" ref="DG267">IF(TRIM(DD267&amp;"")="","",IFERROR(TRIM(INDEX(_xlfn.TEXTSPLIT(DD267&amp;";;;",";"),3)),""))</f>
        <v/>
      </c>
      <c r="DH267">
        <f t="shared" si="585"/>
        <v>0</v>
      </c>
      <c r="DI267" t="str">
        <f>IF(B267="","",_xlfn.LET(_xlpm.t,LOWER(AZ267&amp;""),IF(ISNUMBER(SEARCH("dim",_xlpm.t)),"DIM",IF(ISNUMBER(SEARCH("dali",_xlpm.t)),"DALI",IF(OR(ISNUMBER(SEARCH("relay",_xlpm.t)),ISNUMBER(SEARCH("реле",_xlpm.t))),"Relay",IF(ISNUMBER(SEARCH("кнопк",_xlpm.t)),"",IFERROR(_xlfn.XLOOKUP(BC267,Коды_код,Коды_упр)&amp;"","")))))))</f>
        <v/>
      </c>
      <c r="DJ267" t="str">
        <f t="shared" si="586"/>
        <v/>
      </c>
      <c r="DK267">
        <f>IF(B267="","",_xlfn.LET(_xlpm.ig,IF(N(CX267)&gt;0,N(CX267),N(CI267)+IF(AJ267="вручную",0,N(CJ267))),_xlpm.n0,IFERROR(VLOOKUP(_xlpm.ig,Автомат_номиналы,2,TRUE),0),_xlpm.mn,MAX(DB267,IF(AJ267="вручную",0,N(CM267))),MAX(_xlpm.n0,_xlpm.mn,IF(DH267=1,Мин_автомат_БП,0))))</f>
        <v>16</v>
      </c>
      <c r="DL267">
        <f t="shared" si="587"/>
        <v>1</v>
      </c>
      <c r="DM267" t="str">
        <f t="shared" si="588"/>
        <v>2P</v>
      </c>
      <c r="DN267" t="str">
        <f>_xlfn.LET(_xlpm.cc,UPPER(TRIM(IFERROR(_xlfn.XLOOKUP(BC267,Коды_код,Коды_хар)&amp;"",""))),IF(OR(_xlpm.cc="B",_xlpm.cc="В"),"B",IF(_xlpm.cc="D","D","С")))</f>
        <v>С</v>
      </c>
      <c r="DO267" t="str">
        <f t="shared" si="589"/>
        <v>2P С16А 30мА</v>
      </c>
      <c r="DP267" t="str">
        <f t="shared" si="590"/>
        <v>2P С16А 30мА</v>
      </c>
      <c r="DQ267" t="str">
        <f t="shared" si="591"/>
        <v>2P С16А 30мА</v>
      </c>
      <c r="DR267" cm="1">
        <f t="array" ref="DR267">IF(DQ267="","",_xlfn.LET(_xlpm.t,SUBSTITUTE(SUBSTITUTE(SUBSTITUTE(UPPER(DQ267),"С","C"),"А","A"),"В","B"),_xlpm.tk,_xlfn.TEXTSPLIT(_xlpm.t," "),_xlpm.f,_xlfn._xlws.FILTER(_xlpm.tk,ISNUMBER(--MID(_xlpm.tk,2,1))*ISNUMBER(SEARCH(LEFT(_xlpm.tk,1)&amp;"#","B#C#D#"))*(LEN(_xlpm.tk)&gt;1),""),_xlpm.x,INDEX(_xlpm.f,1),IFERROR(--SUBSTITUTE(MID(_xlpm.x,2,9),"A",""),IFERROR(--SUBSTITUTE(INDEX(_xlfn._xlws.FILTER(_xlpm.tk,ISNUMBER(--SUBSTITUTE(_xlpm.tk,"A","")),""),1),"A",""),""))))</f>
        <v>16</v>
      </c>
      <c r="DS267" t="str">
        <f t="shared" si="592"/>
        <v>ok</v>
      </c>
      <c r="DT267">
        <f t="shared" si="593"/>
        <v>16</v>
      </c>
      <c r="DU267" t="str">
        <f t="shared" si="594"/>
        <v>2P С16А 30мА</v>
      </c>
      <c r="DV267">
        <f t="shared" si="595"/>
        <v>30</v>
      </c>
      <c r="DW267">
        <f t="shared" si="596"/>
        <v>1</v>
      </c>
      <c r="DX267">
        <f t="shared" si="597"/>
        <v>0</v>
      </c>
      <c r="DY267">
        <f t="shared" si="598"/>
        <v>6.8370426614560946</v>
      </c>
      <c r="DZ267">
        <f t="shared" si="599"/>
        <v>1</v>
      </c>
      <c r="EA267">
        <f>IF(ISNUMBER(AP267),AP267,К_прокл)</f>
        <v>1</v>
      </c>
      <c r="EB267">
        <f t="shared" si="600"/>
        <v>2</v>
      </c>
      <c r="EC267">
        <f>IFERROR(N(VLOOKUP(BZ267,Кабель_обозначение,3,FALSE)),1)</f>
        <v>1</v>
      </c>
      <c r="ED267">
        <f>IFERROR(N(_xlfn.XLOOKUP(A267,Щиты[Щит],Щиты[ΔU до шин, %])),0)</f>
        <v>1.19</v>
      </c>
      <c r="EE267" t="str">
        <f>IFERROR(_xlfn.XLOOKUP(A267,Щиты[Щит],Щиты[Zпетли на шинах, Ом]),"")</f>
        <v/>
      </c>
      <c r="EF267">
        <f>IFERROR(N(_xlfn.XLOOKUP(A267,Щиты[Щит],Щиты[ΔU до шин (подбор), %])),0)</f>
        <v>1.19</v>
      </c>
      <c r="EG267" t="str">
        <f>IFERROR(_xlfn.XLOOKUP(A267,Щиты[Щит],Щиты[Zпетли на шинах (подбор), Ом]),"")</f>
        <v/>
      </c>
      <c r="EH267" t="str">
        <f t="shared" si="601"/>
        <v/>
      </c>
      <c r="EI267">
        <f t="shared" si="602"/>
        <v>36</v>
      </c>
      <c r="EJ267">
        <f t="shared" si="603"/>
        <v>2</v>
      </c>
      <c r="EK267">
        <f t="shared" si="604"/>
        <v>0.31</v>
      </c>
      <c r="EL267" s="6">
        <f>IF(B267="","",IF(BV267=1,dU_LED,IF(IFERROR(_xlfn.XLOOKUP(BC267,Коды_код,Коды_уго),"")="Светильник",3,4)+IF(Методика="нормы 2026",MIN(0.5,MAX(0,N(P267)-100)*0.005),0)))</f>
        <v>4</v>
      </c>
      <c r="EM267" cm="1">
        <f t="array" ref="EM267">IF(OR(B267="",BZ267="",EC267&lt;&gt;1),"",_xlfn.LET(_xlpm.sz,Iдоп_S,_xlpm.t_,CHOOSE(EB267,Iдоп_1ж,Iдоп_2ж,Iдоп_3ж)*DZ267*EA267,_xlpm.dcx,BV267=1,_xlpm.inn,IF(_xlpm.dcx,N(O267),N(DT267)),_xlpm.smin,MAX(1.5,CC267),_xlpm.L_,N(P267)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267)/N(BU267)*100,999),IFERROR(N(EJ267)*(_xlpm.rho*_xlpm.L_/_xlpm.sz*N(CE267)+_xlpm.xx*_xlpm.L_*N(EK267)/1000)*N(O267)/((Uн_лин/SQRT(3))*1000)*100,999)),_xlpm.kz,IF(OR(_xlpm.dcx,DW267=1,NOT(ISNUMBER(EG267)),_xlpm.L_=0,_xlpm.inn=0),1,IFERROR(--(c_min*(Uн_лин*1000/SQRT(3))/(EG267+2*ρкз_Cu*_xlpm.L_/_xlpm.sz)&gt;=HT267*_xlpm.inn),0)),_xlpm.ok,IFERROR((_xlpm.sz&gt;=_xlpm.smin)*(_xlpm.t_&gt;=_xlpm.inn)*IF(_xlpm.L_&gt;0,(_xlpm.du_+IF(_xlpm.dcx,0,EF267)&lt;=EL267+0.00001),1)*_xlpm.kz,0),_xlpm.r_,_xlfn._xlws.FILTER(_xlpm.sz,_xlpm.ok,"не подобрано"),INDEX(_xlpm.r_,1)))</f>
        <v>2.5</v>
      </c>
      <c r="EN267">
        <f t="shared" si="605"/>
        <v>2.5</v>
      </c>
      <c r="EO267" cm="1">
        <f t="array" ref="EO267">IF(OR(B267="",BZ267="",EC267&lt;&gt;1),"",_xlfn.LET(_xlpm.sz,Iдоп_S,_xlpm.t_,CHOOSE(EB267,Iдоп_1ж,Iдоп_2ж,Iдоп_3ж)*DZ267*EA267,_xlpm.ok,IFERROR((_xlpm.sz&gt;=MAX(1.5,CC267))*(_xlpm.t_&gt;=N(DT267)),0),_xlpm.r_,_xlfn._xlws.FILTER(_xlpm.sz,_xlpm.ok,""),INDEX(_xlpm.r_,1)))</f>
        <v>1.5</v>
      </c>
      <c r="EP267" s="6" cm="1">
        <f t="array" ref="EP267">IFERROR(ROUNDUP(N(EJ267)*(_xlfn.XLOOKUP(EO267,INDEX(Кабель_сопротивление,0,1),INDEX(Кабель_сопротивление,0,3))*N(P267)/EO267*N(CE267)+_xlfn.XLOOKUP(EO267,INDEX(Кабель_сопротивление,0,1),INDEX(Кабель_сопротивление,0,2))*N(P267)*N(EK267)/1000)*N(O267)/((Uн_лин/SQRT(3))*1000)*100,2),"")</f>
        <v>3.3</v>
      </c>
      <c r="EQ267">
        <f>IFERROR(2*ρкз_Cu*N(P267)/EO267,"")</f>
        <v>1.3676000000000001</v>
      </c>
      <c r="ER267">
        <f>IFERROR(VLOOKUP(EN267,Кабель_сопротивление,3,FALSE),"")</f>
        <v>2.2499999999999999E-2</v>
      </c>
      <c r="ES267">
        <f>IFERROR(VLOOKUP(EN267,Кабель_сопротивление,2,FALSE),"")</f>
        <v>0.1</v>
      </c>
      <c r="ET267">
        <f t="shared" si="606"/>
        <v>19</v>
      </c>
      <c r="EU267">
        <f t="shared" si="607"/>
        <v>0</v>
      </c>
      <c r="EV267">
        <f t="shared" si="608"/>
        <v>4.5761557200804699</v>
      </c>
      <c r="EW267" s="6">
        <f>IFERROR(ROUNDUP(EV267/IF(BV267=1,BU267,(Uн_лин/SQRT(3))*1000)*100,2),"")</f>
        <v>1.99</v>
      </c>
      <c r="EX267" t="str">
        <f>IFERROR(VLOOKUP(BZ267,Кабель_обозначение,2,FALSE),"")</f>
        <v>ВВГнг(А)-LS</v>
      </c>
      <c r="EY267" t="str">
        <f t="shared" si="609"/>
        <v>ВВГнг(А)-LS (3х2,5)</v>
      </c>
      <c r="EZ267" t="str">
        <f t="shared" si="610"/>
        <v>ВВГнг(А)-LS (3х2,5)
L=39-1,99%</v>
      </c>
      <c r="FA267">
        <f>IFERROR(2*ρкз_Cu*P267/EN267,"")</f>
        <v>0.82056000000000007</v>
      </c>
      <c r="FB267">
        <f t="shared" si="611"/>
        <v>0.27300000000000002</v>
      </c>
      <c r="FC267" s="6" t="str">
        <f>IFERROR(IF(OR(B267="",BV267=1,NOT(ISNUMBER(EN267)),N(P267)=0),"",_xlfn.XLOOKUP(A267,Щиты[Щит],Щиты[Zпетли на шинах, Ом])+FA267),"")</f>
        <v/>
      </c>
      <c r="FD267" s="6" t="str">
        <f>IF(ISNUMBER(FC267),c_min*(Uн_лин*1000/SQRT(3))/FC267,"")</f>
        <v/>
      </c>
      <c r="FE267" s="6" t="str">
        <f>IFERROR(IF(OR(B267="",NOT(ISNUMBER(EN267))),"",1.05*(Uн_лин*1000/SQRT(3))/(_xlfn.XLOOKUP(A267,Щиты[Щит],Щиты[Zmax на шинах, Ом])+FB267)/1000),"")</f>
        <v/>
      </c>
      <c r="FF267" s="6" t="str">
        <f>IF(B267="","",IF(ISNUMBER(AC267),"Сил",IF(IFERROR(_xlfn.XLOOKUP(BC267,Коды_код,Коды_группа)&amp;"","")="","Быт",_xlfn.XLOOKUP(BC267,Коды_код,Коды_группа)&amp;"")))</f>
        <v>Быт</v>
      </c>
      <c r="FG267" s="6" t="str">
        <f t="shared" si="612"/>
        <v>Быт</v>
      </c>
      <c r="FH267" s="6">
        <f>IF(FG267="Щит","щит",IF(FG267="","",IF(FG267="Быт",IFERROR(_xlfn.XLOOKUP(A267,Щиты[Щит],Щиты[Кс быт]),1),IF(FG267="Сил",IF(ISNUMBER(AC267),AC267,IF(Методика="нормы 2026",IFERROR(_xlfn.XLOOKUP(A267,Щиты[Щит],Щиты[Кс силовых (табл. 7.5)]),1),1)),IF(OR(FG267="Пост",FG267="Отоп"),1,IF(FG267="ВНГ",0.7,0))))))</f>
        <v>0.57830000000000004</v>
      </c>
      <c r="FI267">
        <f>IF(FG267="","",IF(AND(BP267=1,TRIM(AE267&amp;"")=""),IF(COUNTIFS(Линии[Щит],A267,Линии[Секция (1/2/3)],"&gt;=2")&gt;0,MIN(3,MAX(1,IFERROR(--BD267,1))),1),IFERROR(MIN(3,MAX(1,INT(--AE267))),1)))</f>
        <v>1</v>
      </c>
      <c r="FJ267">
        <f t="shared" si="613"/>
        <v>1.5</v>
      </c>
      <c r="FK267">
        <f t="shared" si="614"/>
        <v>1.5</v>
      </c>
      <c r="FL267">
        <f t="shared" si="615"/>
        <v>0</v>
      </c>
      <c r="FM267">
        <f t="shared" si="616"/>
        <v>0</v>
      </c>
      <c r="FN267">
        <f t="shared" si="617"/>
        <v>0</v>
      </c>
      <c r="FO267">
        <f t="shared" si="618"/>
        <v>0</v>
      </c>
      <c r="FP267">
        <f t="shared" si="619"/>
        <v>1.5</v>
      </c>
      <c r="FQ267">
        <f t="shared" si="620"/>
        <v>1.5</v>
      </c>
      <c r="FR267">
        <f t="shared" si="621"/>
        <v>1.4249999999999998</v>
      </c>
      <c r="FS267">
        <f>IF(CG267=1,IF(AND(CH267=1,CW267=1),0,IF(AND(CS267&lt;&gt;"",CS267=BA267,CW267=1),SUMIFS(Линии[_Р линии, кВт],Линии[_блок УЗО],BA267,Линии[Щит],A267),N(BS267)+IF(AJ267="вручную",0,N(CK267)))),0)</f>
        <v>1.5</v>
      </c>
      <c r="FT267" t="str">
        <f t="shared" si="622"/>
        <v/>
      </c>
      <c r="FU267" t="str">
        <f>IF(B267="","",IF(CG267=0,IF(BA267=1,"",FW266),IF(AND(CH267=1,CW267=1,CS267&lt;&gt;""),IFERROR(_xlfn.XLOOKUP(CS267,Линии[_n],Линии[_фаза итог]),"L1"),IF(OR(N(DL267)&gt;=3,N(BX267)&gt;=3),"L1,L2,L3",IFERROR(_xlfn.TEXTBEFORE(_xlfn.TEXTAFTER(_xlfn.XLOOKUP(A267,Щиты[Щит],Щиты[_фазы авто]),";"&amp;BA267&amp;":"),";"),"L1")))))</f>
        <v>L2</v>
      </c>
      <c r="FV267" t="str">
        <f t="shared" si="623"/>
        <v>L2</v>
      </c>
      <c r="FW267" t="str">
        <f t="shared" si="624"/>
        <v>L2</v>
      </c>
      <c r="FX267" cm="1">
        <f t="array" ref="FX267">IFERROR(IF(CD267=2,_xlfn.IFS(BX267=3,VLOOKUP(BS267,Справочная_двигатели,3,FALSE),BX267=1,VLOOKUP(BS267,Справочная_двигатели,5,TRUE)),0),0)</f>
        <v>0</v>
      </c>
      <c r="FY267">
        <f>IFERROR(IF(CD267=3,VLOOKUP(BS267,Справочная_ЛЭД,2,TRUE),0),0)</f>
        <v>0</v>
      </c>
      <c r="FZ267" s="6">
        <f t="shared" si="625"/>
        <v>0</v>
      </c>
      <c r="GA267" t="str">
        <f>IF(B267="","",IF(TRIM(AH267&amp;"")&lt;&gt;"",IF(LOWER(TRIM(AH267&amp;""))="да","да","нет"),IF(IFERROR(_xlfn.XLOOKUP(BC267,Коды_код,Коды_пожарная),"")="да","да","нет")))</f>
        <v>нет</v>
      </c>
      <c r="GB267" t="str">
        <f t="shared" si="626"/>
        <v/>
      </c>
      <c r="GC267" t="str">
        <f t="shared" si="627"/>
        <v>основная</v>
      </c>
      <c r="GD267">
        <f>IF(AND(BP267=1,TRIM(AE267&amp;"")=""),IF(COUNTIFS(Линии[Щит],A267,Линии[Секция (1/2/3)],"&gt;=2")&gt;0,MIN(3,MAX(1,IFERROR(--BD267,1))),1),IFERROR(MIN(3,MAX(1,INT(--AE267))),1))</f>
        <v>1</v>
      </c>
      <c r="GE267" t="str" cm="1">
        <f t="array" ref="GE267">IF(B267="","",_xlfn.LET(_xlpm.t,IFERROR(_xlfn.XLOOKUP(1,(Шины[Шина]=GC267)*(((Шины[Щит]=A267)+(Шины[Щит]=""))&gt;0),Шины[Тип]),"")&amp;"",IF(_xlpm.t&lt;&gt;"",_xlpm.t,IF(ISNUMBER(SEARCH("ИБП",GC267)),"ИБП",IF(ISNUMBER(SEARCH("ДГУ",GC267)),"ДГУ","Ввод "&amp;GD267)))))</f>
        <v>Ввод 1</v>
      </c>
      <c r="GF267" t="str">
        <f t="shared" si="628"/>
        <v>Ввод 1</v>
      </c>
      <c r="GG267" t="str">
        <f>IF(BP267=0,"",IF(TRIM(AG267&amp;"")&lt;&gt;"",TRIM(AG267&amp;""),IF(OR(GE267="ИБП",GE267="ДГУ"),"I особая",_xlfn.XLOOKUP(A267,Щиты[Щит],Щиты[Категория шины «Ввод»],"III"))))</f>
        <v/>
      </c>
      <c r="GH267" t="str">
        <f>IF(A267="","",_xlfn.XLOOKUP(A267,Щиты[Щит],Щиты[Путь],""))</f>
        <v>|ГРЩ-ЖД|ЩР-1|</v>
      </c>
      <c r="GI267" t="str">
        <f>IF(B267="","",IF(AI267&lt;&gt;"",AI267,IF(IFERROR(_xlfn.XLOOKUP(BC267,Коды_код,Коды_вид)&amp;"","")="","Прочее",_xlfn.XLOOKUP(BC267,Коды_код,Коды_вид)&amp;"")))</f>
        <v>Розеточная сеть и бытовые приборы</v>
      </c>
      <c r="GJ267">
        <f>IF(BM267="","",INT((BM267-1)/Столбцов_на_лист)+1)</f>
        <v>4</v>
      </c>
      <c r="GK267" t="str">
        <f t="shared" si="629"/>
        <v>ВВГнг(А)-LS (3х2,5) L=39-1,99%</v>
      </c>
      <c r="GL267">
        <f t="shared" si="630"/>
        <v>1.5</v>
      </c>
      <c r="GM267">
        <f t="shared" si="631"/>
        <v>6.84</v>
      </c>
      <c r="GN267">
        <f t="shared" si="632"/>
        <v>1</v>
      </c>
      <c r="GO267">
        <f t="shared" si="633"/>
        <v>0</v>
      </c>
      <c r="GP267">
        <f t="shared" si="634"/>
        <v>1</v>
      </c>
      <c r="GQ267">
        <f>IF(BM267="","",IF(AND(CG267=1,GP267=1),COUNTIFS(A$3:A267,A267,CG$3:CG267,1,GP$3:GP267,1),IF(OR(OR(BA267=1,A267&lt;&gt;A266),AJ267="вручную",GP267=0),"",IF(BA267=1,"",GR266))))</f>
        <v>43</v>
      </c>
      <c r="GR267">
        <f t="shared" si="635"/>
        <v>43</v>
      </c>
      <c r="GS267">
        <f>IF(B267="","",IFERROR(LOOKUP(INDEX(CHOOSE(EB267,Iдоп_1ж,Iдоп_2ж,Iдоп_3ж),MATCH(EN267,Iдоп_S,0))*DZ267*EA267,{6,10,16,20,25,32,40,50,63,80,100,125,160,200,250,315,400,500,630}),""))</f>
        <v>25</v>
      </c>
      <c r="GT267" t="str">
        <f t="shared" si="636"/>
        <v>QFD43</v>
      </c>
      <c r="GU267" t="str">
        <f t="shared" si="637"/>
        <v>QFD43</v>
      </c>
      <c r="GV267" t="str">
        <f t="shared" si="638"/>
        <v/>
      </c>
      <c r="GW267">
        <f t="shared" si="639"/>
        <v>0</v>
      </c>
      <c r="GX267" t="str">
        <f>IF(OR(B267="",DJ267=""),"",IFERROR(_xlfn.XLOOKUP(DJ267,Модули_умолч[Управление],Модули_умолч[Модель])&amp;"",""))</f>
        <v/>
      </c>
      <c r="GY267">
        <f>IF(DJ267="",1,IFERROR(MAX(0,N(_xlfn.XLOOKUP(DJ267,Модули_умолч[Управление],Модули_умолч[Каналов на линию]))),1))</f>
        <v>1</v>
      </c>
      <c r="GZ267" t="str">
        <f t="shared" si="640"/>
        <v/>
      </c>
      <c r="HA267" t="str">
        <f t="shared" si="641"/>
        <v/>
      </c>
      <c r="HB267" t="str">
        <f t="shared" si="642"/>
        <v/>
      </c>
      <c r="HC267">
        <f>IF(HB267="",0,IFERROR(N(VLOOKUP(HB267,Модули_спр,3,FALSE)),0))</f>
        <v>0</v>
      </c>
      <c r="HD267" t="str">
        <f t="shared" si="643"/>
        <v/>
      </c>
      <c r="HE267" t="str">
        <f t="shared" si="644"/>
        <v/>
      </c>
      <c r="HF267" t="str">
        <f>IF(OR(HE267="",HE267="-"),"",IFERROR(VLOOKUP(HE267,Модули_спр,2,FALSE),"R"))</f>
        <v/>
      </c>
      <c r="HG267" t="str">
        <f>IF(HF267="","",HF267&amp;"."&amp;COUNTIFS(A$3:A267,A267,HF$3:HF267,HF267))</f>
        <v/>
      </c>
      <c r="HH267" t="str">
        <f t="shared" si="645"/>
        <v/>
      </c>
      <c r="HI267" t="str">
        <f t="shared" si="646"/>
        <v/>
      </c>
      <c r="HJ267" t="str">
        <f t="shared" si="647"/>
        <v/>
      </c>
      <c r="HK267" t="str">
        <f t="shared" si="648"/>
        <v/>
      </c>
      <c r="HL267">
        <f t="shared" si="649"/>
        <v>1</v>
      </c>
      <c r="HM267" t="str">
        <f>IF(HL267=1,"XT"&amp;COUNTIFS(A$3:A267,A267,HL$3:HL267,1),"")</f>
        <v>XT43</v>
      </c>
      <c r="HN267" t="str">
        <f t="shared" si="650"/>
        <v>XT43</v>
      </c>
      <c r="HO267" t="str">
        <f t="shared" si="651"/>
        <v>QFD43</v>
      </c>
      <c r="HP267" t="str">
        <f t="shared" si="652"/>
        <v/>
      </c>
      <c r="HQ267" t="str">
        <f t="shared" si="653"/>
        <v>ok</v>
      </c>
      <c r="HR267" t="str">
        <f>IF(OR(HJ267="",HH267=""),"",IF(HJ267+MAX(0,GY267-1)&gt;IFERROR(VLOOKUP(HI267,Модули_спр,3,FALSE),99),"ЛИШНИЙ КАНАЛ",IF(AND(AL267&lt;&gt;"=",GY267&gt;0,COUNTIFS(Линии[_модуль гр.],HH267,Линии[Канал (итог)],HJ267,Линии[Канал],"&lt;&gt;=",Линии[Щит],A267)&gt;1),"ДУБЛЬ КАНАЛА","")))</f>
        <v/>
      </c>
      <c r="HS267" s="6" t="str">
        <f t="shared" si="654"/>
        <v/>
      </c>
      <c r="HT267">
        <f t="shared" si="655"/>
        <v>10</v>
      </c>
      <c r="HU267" t="str">
        <f t="shared" si="656"/>
        <v/>
      </c>
      <c r="HV267">
        <f t="shared" si="657"/>
        <v>3.1248170645824382</v>
      </c>
      <c r="HW267">
        <f t="shared" si="658"/>
        <v>0</v>
      </c>
      <c r="HX267">
        <f t="shared" si="659"/>
        <v>0</v>
      </c>
      <c r="HY267">
        <f t="shared" si="660"/>
        <v>0</v>
      </c>
      <c r="HZ267">
        <f t="shared" si="661"/>
        <v>0</v>
      </c>
      <c r="IA267">
        <f t="shared" si="662"/>
        <v>0</v>
      </c>
      <c r="IB267">
        <f t="shared" si="663"/>
        <v>0</v>
      </c>
      <c r="IC267" t="str">
        <f t="shared" si="664"/>
        <v/>
      </c>
      <c r="ID267" t="str" cm="1">
        <f t="array" ref="ID267">IF(IC267="","",_xlfn.LET(_xlpm.tk,_xlfn.TEXTSPLIT(SUBSTITUTE(SUBSTITUTE(IC267,";"," "),"→"," ")," ",,TRUE),_xlpm.w_,_xlfn._xlws.FILTER(_xlpm.tk,ISNUMBER(--LEFT(_xlpm.tk,1))*((ISNUMBER(SEARCH("W",_xlpm.tk))+ISNUMBER(SEARCH("Вт",_xlpm.tk)))&gt;0),""),IFERROR(--SUBSTITUTE(SUBSTITUTE(UPPER(INDEX(_xlpm.w_,1)),"W",""),"ВТ",""),"")))</f>
        <v/>
      </c>
      <c r="IE267" t="str" cm="1">
        <f t="array" ref="IE267">IF(IC267="","",_xlfn.LET(_xlpm.tk,_xlfn.TEXTSPLIT(SUBSTITUTE(SUBSTITUTE(IC267,";"," "),"→"," ")," ",,TRUE),_xlpm.v_,_xlfn._xlws.FILTER(_xlpm.tk,ISNUMBER(--LEFT(_xlpm.tk,1))*((ISNUMBER(SEARCH("V",_xlpm.tk))+(RIGHT(UPPER(_xlpm.tk))="В"))&gt;0),""),IFERROR(--SUBSTITUTE(SUBSTITUTE(UPPER(INDEX(_xlpm.v_,1)),"V",""),"В",""),"")))</f>
        <v/>
      </c>
      <c r="IF267" s="6" t="str">
        <f>IF(OR(BV267=0,HI267="",HJ267=""),"",IFERROR(N(_xlfn.XLOOKUP(HI267,Каталог!$C$4:$C$500,Каталог!$Q$4:$Q$500)),""))</f>
        <v/>
      </c>
      <c r="IG267" s="6" t="str">
        <f>IF(N(IF267)=0,"",SUMIFS(Линии[Iр, А],Линии[Щит],A267,Линии[_модуль гр.],HH267,Линии[Канал (итог)],HJ267))</f>
        <v/>
      </c>
      <c r="IH267" t="str">
        <f>IF(AND(B267="",HO267=""),"",_xlfn.TEXTJOIN("; ",TRUE,IF(AND(B267&lt;&gt;"",FV267=""),"нет фазы",""),IF(AND(B267&lt;&gt;"",N(GL267)=0,FG267&lt;&gt;"Нет"),"нет мощности",""),IF(AND(HN267&lt;&gt;"",COUNTIFS(Линии[Щит],A267,Линии[Клемма (итог)],HN267)&gt;1),"дубль клеммы "&amp;HN267,""),IF(AND(HQ267&lt;&gt;"",HQ267&lt;&gt;"ok"),HQ267,""),IF(HR267&lt;&gt;"",HR267,""),IF(AND(N(CB267)&gt;=4,N(BX267)=1),CB267&amp;" жил на 1 фазе",""),IF(AND(BC267="R",CG267=1,IF(CS267&lt;&gt;"",N(CV267)&gt;30,OR(N(DA267)=0,N(DA267)&gt;30))),"розетка без дифзащиты до 30 мА",""),IF(AND(CG267=1,N(DA267)&gt;0,ISNUMBER(T267)),IF(T267&gt;N(DA267)/3,"ток утечки "&amp;FIXED(T267,1)&amp;" мА &gt; 1/3 уставки ("&amp;DA267&amp;" мА)",""),""),IF(AND(CH267=1,CS267=""),"«узо»: нет строки с УЗО выше (УЗО 2P 40А 30мА в «Аппаратах»)",""),IF(AND(CS267&lt;&gt;"",CS267=BA267),IF(CT267="","впишите номинал УЗО (УЗО 2P 40А 30мА)",IF(N(CT267)&lt;N(DT267),"УЗО "&amp;CT267&amp;" А &lt; автомата "&amp;DT267&amp;" А перед ним",IF(N(CT267)&lt;N(CX267),"УЗО "&amp;CT267&amp;" А &lt; тока блока "&amp;FIXED(CX267,1)&amp;" А",""))),""),IF(AND(CS267&lt;&gt;"",CS267=BA267,ISNUMBER(CY267)),IF(CY267&gt;N(CV267)/3,"ток утечки блока УЗО "&amp;FIXED(CY267,1)&amp;" мА &gt; 1/3 уставки ("&amp;CV267&amp;" мА)",""),""),IF(AND(CG267=1,N(BV267)+N(IB267)&gt;0,IC267=""),"линии до 50 В без БП: впишите в «Аппараты» (БП 24V 480W)",""),IF(AND(CG267=1,ISNUMBER(ID267),ISNUMBER(U267)),IF(U267&gt;ID267,"БП "&amp;ID267&amp;" Вт &lt; нужно "&amp;U267&amp;" Вт (×"&amp;Запас_БП&amp;")",""),""),IF(AND(CG267=1,ISNUMBER(IE267),N(BV267)=1),IF(IE267&lt;&gt;N(BU267),"БП на "&amp;IE267&amp;" В, линия "&amp;BU267&amp;" В",""),""),IF(AND(N(IF267)&gt;0,N(IG267)&gt;N(IF267)),HH267&amp;" канал "&amp;HJ267&amp;": "&amp;FIXED(IG267,1)&amp;" А &gt; "&amp;IF267&amp;" А",""),IFERROR(IF(AND(ISNUMBER(Q267),Q267&gt;EL267),"потери "&amp;FIXED(Q267,1)&amp;" % &gt; "&amp;EL267&amp;" %",""),""),IFERROR(IF(LEFT(HU267,4)="мало","Iкз мало — отключение &gt; 0,4 с",""),""),IF(AND(B267&lt;&gt;"",BM267=""),"не на схеме",""),IF(AND(CG267=0,B267&lt;&gt;"",FV267&lt;&gt;"",IF(BA267=1,"",FW266)&lt;&gt;"",FV267&lt;&gt;IF(BA267=1,"",FW266)),"фаза не как у автомата группы ("&amp;IF(BA267=1,"",FW266)&amp;")","")))</f>
        <v/>
      </c>
      <c r="II267" s="6">
        <f>IF(OR(CG267=0,DQ267=""),"",_xlfn.LET(_xlpm.t,IFERROR(_xlfn.XLOOKUP(DQ267,Каталог!$U$4:$U$500,Каталог!$G$4:$G$500),""),_xlpm.k,SEARCH("кА",_xlpm.t),IFERROR(--TRIM(RIGHT(SUBSTITUTE(MID(_xlpm.t,MAX(1,_xlpm.k-4),_xlpm.k-MAX(1,_xlpm.k-4))," ",REPT(" ",9)),5)),"")))</f>
        <v>6</v>
      </c>
      <c r="IJ267" t="str">
        <f>IF(OR(II267="",CG267=0),"",IF(_xlfn.XLOOKUP(A267,Щиты[Щит],Щиты[Iкз max на шинах, кА],"")="","",IF(II267&lt;_xlfn.XLOOKUP(A267,Щиты[Щит],Щиты[Iкз max на шинах, кА]),"Icu "&amp;II267&amp;" кА &lt; Iкз max","ok")))</f>
        <v/>
      </c>
      <c r="IK267" t="str">
        <f t="shared" si="665"/>
        <v/>
      </c>
      <c r="IL267" t="str">
        <f t="shared" si="666"/>
        <v>QFD43|XT43</v>
      </c>
      <c r="IM267" t="str">
        <f t="shared" si="667"/>
        <v>QFD43|XT43|кабель ВВГнг(А)-LS (3х2,5) → Розеточная группа Первый этаж Пом. №021A Кофемашина</v>
      </c>
      <c r="IN267" t="str" cm="1">
        <f t="array" ref="IN267">IF(IM267="","",_xlfn.LET(_xlpm.nd,_xlfn.TEXTSPLIT(IM267,"|"),IF(COLUMNS(_xlpm.nd)&gt;1,A267&amp;"¦"&amp;INDEX(_xlpm.nd,1)&amp;"¦"&amp;INDEX(_xlpm.nd,2),"")))</f>
        <v>ЩР-1¦QFD43¦XT43</v>
      </c>
      <c r="IO267" t="str">
        <f t="shared" si="668"/>
        <v>R.1.021A.1¦Розеточная группа Первый этаж Пом. №021A Кофемашина</v>
      </c>
      <c r="IP267" t="str" cm="1">
        <f t="array" ref="IP267">IF(IM267="","",_xlfn.LET(_xlpm.nd,_xlfn.TEXTSPLIT(IM267,"|"),IF(COLUMNS(_xlpm.nd)&gt;2,A267&amp;"¦"&amp;INDEX(_xlpm.nd,2)&amp;"¦"&amp;INDEX(_xlpm.nd,3),"")))</f>
        <v>ЩР-1¦XT43¦кабель ВВГнг(А)-LS (3х2,5) → Розеточная группа Первый этаж Пом. №021A Кофемашина</v>
      </c>
      <c r="IQ267" t="str">
        <f t="shared" si="669"/>
        <v>R.1.021A.1¦Розеточная группа Первый этаж Пом. №021A Кофемашина</v>
      </c>
      <c r="IR267" t="str" cm="1">
        <f t="array" ref="IR267">IF(IM267="","",_xlfn.LET(_xlpm.nd,_xlfn.TEXTSPLIT(IM267,"|"),IF(COLUMNS(_xlpm.nd)&gt;3,A267&amp;"¦"&amp;INDEX(_xlpm.nd,3)&amp;"¦"&amp;INDEX(_xlpm.nd,4),"")))</f>
        <v/>
      </c>
      <c r="IS267" t="str">
        <f t="shared" si="670"/>
        <v/>
      </c>
      <c r="IT267" t="str" cm="1">
        <f t="array" ref="IT267">IF(IM267="","",_xlfn.LET(_xlpm.nd,_xlfn.TEXTSPLIT(IM267,"|"),IF(COLUMNS(_xlpm.nd)&gt;4,A267&amp;"¦"&amp;INDEX(_xlpm.nd,4)&amp;"¦"&amp;INDEX(_xlpm.nd,5),"")))</f>
        <v/>
      </c>
      <c r="IU267" t="str">
        <f t="shared" si="671"/>
        <v/>
      </c>
      <c r="IV267" t="str" cm="1">
        <f t="array" ref="IV267">IF(IM267="","",_xlfn.LET(_xlpm.nd,_xlfn.TEXTSPLIT(IM267,"|"),IF(COLUMNS(_xlpm.nd)&gt;5,A267&amp;"¦"&amp;INDEX(_xlpm.nd,5)&amp;"¦"&amp;INDEX(_xlpm.nd,6),"")))</f>
        <v/>
      </c>
      <c r="IW267" t="str">
        <f t="shared" si="672"/>
        <v/>
      </c>
      <c r="IX267" t="str" cm="1">
        <f t="array" ref="IX267">IF(IM267="","",_xlfn.LET(_xlpm.nd,_xlfn.TEXTSPLIT(IM267,"|"),IF(COLUMNS(_xlpm.nd)&gt;6,A267&amp;"¦"&amp;INDEX(_xlpm.nd,6)&amp;"¦"&amp;INDEX(_xlpm.nd,7),"")))</f>
        <v/>
      </c>
      <c r="IY267" t="str">
        <f t="shared" si="673"/>
        <v/>
      </c>
      <c r="IZ267" t="str">
        <f t="shared" si="674"/>
        <v/>
      </c>
      <c r="JA267" t="str">
        <f t="shared" si="675"/>
        <v>QFD43 → XT43</v>
      </c>
      <c r="JB267">
        <f t="shared" si="676"/>
        <v>0</v>
      </c>
      <c r="JC267">
        <f t="shared" si="677"/>
        <v>1</v>
      </c>
      <c r="JD267" t="str">
        <f t="shared" si="678"/>
        <v/>
      </c>
      <c r="JE267" t="str">
        <f t="shared" si="679"/>
        <v/>
      </c>
      <c r="JF267" t="str">
        <f t="shared" si="680"/>
        <v/>
      </c>
      <c r="JG267" t="str">
        <f t="shared" si="681"/>
        <v/>
      </c>
      <c r="JH267" t="str">
        <f>IF(B267="","",IFERROR(_xlfn.XLOOKUP(B267,Коды_код,Коды_уго),IFERROR(_xlfn.XLOOKUP(BC267,Коды_код,Коды_уго),IFERROR(_xlfn.XLOOKUP(LEFT(BC267,2),Коды_код,Коды_уго),""))))</f>
        <v>Розетка</v>
      </c>
      <c r="JI267" t="str">
        <f>IF(B267="","",IF(OR(JH267="",JH267=0),"BOX",IFERROR(IF(VLOOKUP(JH267,УГО_блоки,3,FALSE)&amp;""&lt;&gt;"",VLOOKUP(JH267,УГО_блоки,3,FALSE),VLOOKUP(JH267,УГО_блоки,2,FALSE)),JH267)))</f>
        <v>SOCKET</v>
      </c>
      <c r="JJ267">
        <f t="shared" si="682"/>
        <v>1</v>
      </c>
      <c r="JK267" t="str">
        <f>IF(DQ267="","",IF(COUNTIF(DQ$3:DQ267,DQ267)=1,MAX(JK$2:JK266)+1,""))</f>
        <v/>
      </c>
      <c r="JL267" t="str">
        <f>IF(DE267="","",IF(COUNTIF(DE$3:DE267,DE267)+COUNTIF(DF$2:DF266,DE267)+COUNTIF(DG$2:DG266,DE267)=1,MAX(JL$2:JN266)+1,""))</f>
        <v/>
      </c>
      <c r="JM267" t="str">
        <f>IF(DF267="","",IF(COUNTIF(DE$3:DE267,DF267)+COUNTIF(DF$3:DF267,DF267)+COUNTIF(DG$2:DG266,DF267)=1,MAX(JL$2:JN266,JL267)+1,""))</f>
        <v/>
      </c>
      <c r="JN267" t="str">
        <f>IF(DG267="","",IF(COUNTIF(DE$3:DE267,DG267)+COUNTIF(DF$3:DF267,DG267)+COUNTIF(DG$3:DG267,DG267)=1,MAX(JL$2:JN266,JL267,JM267)+1,""))</f>
        <v/>
      </c>
      <c r="JO267" t="str">
        <f t="shared" si="683"/>
        <v>3х2,5</v>
      </c>
      <c r="JP267" t="str">
        <f>IF(JO267="","",IF(COUNTIF(JO$3:JO267,JO267)=1,MAX(JP$2:JP266)+1,""))</f>
        <v/>
      </c>
      <c r="JQ267" t="str">
        <f>IF(HG267="","",COUNTIF(HG$3:HG267,"?*"))</f>
        <v/>
      </c>
      <c r="JR267" t="str">
        <f>IF(OR(HG267="",HI267=""),"",IF(COUNTIFS(HG$3:HG267,"?*",HI$3:HI267,HI267)=1,MAX(JR$2:JR266)+1,""))</f>
        <v/>
      </c>
      <c r="JS267">
        <f t="shared" si="684"/>
        <v>0</v>
      </c>
      <c r="JT267">
        <f>IF(B267="","",COUNTIF(B$3:B267,"?*"))</f>
        <v>265</v>
      </c>
      <c r="JU267">
        <f>IF(HL267&lt;&gt;1,0,_xlfn.LET(_xlpm.k,MAX(IFERROR(--_xlfn.XLOOKUP(B267,Коды_код,Коды_3L),0),IFERROR(--_xlfn.XLOOKUP(BC267,Коды_код,Коды_3L),0),IFERROR(--_xlfn.XLOOKUP(LEFT(BC267,2),Коды_код,Коды_3L),0)),IF(_xlpm.k&gt;0,_xlpm.k,IF(IFERROR(--LEFT(SUBSTITUTE(JO267,"x","х"),FIND("х",SUBSTITUTE(JO267,"x","х"))-1),3)&gt;3,Каталог!$S$9,1))))</f>
        <v>1</v>
      </c>
      <c r="JV267">
        <f t="shared" si="685"/>
        <v>0</v>
      </c>
      <c r="JW267" t="str">
        <f t="shared" si="686"/>
        <v>авто</v>
      </c>
      <c r="JX267">
        <f t="shared" si="687"/>
        <v>30</v>
      </c>
      <c r="JY267">
        <f t="shared" si="688"/>
        <v>1</v>
      </c>
      <c r="JZ267">
        <f t="shared" si="689"/>
        <v>1</v>
      </c>
    </row>
    <row r="268" spans="1:286" x14ac:dyDescent="0.3">
      <c r="A268" t="s">
        <v>757</v>
      </c>
      <c r="B268" t="s">
        <v>1574</v>
      </c>
      <c r="C268" t="s">
        <v>1714</v>
      </c>
      <c r="D268">
        <v>1</v>
      </c>
      <c r="E268">
        <v>2</v>
      </c>
      <c r="G268" t="str">
        <f>Линии[[#This Row],[_авто автомат]]</f>
        <v>2P С16А 30мА</v>
      </c>
      <c r="H268" t="str">
        <f>Линии[[#This Row],[_авто управление]]</f>
        <v/>
      </c>
      <c r="I268" t="str">
        <f>Линии[[#This Row],[_авто аппараты]]</f>
        <v/>
      </c>
      <c r="J268">
        <v>2.5</v>
      </c>
      <c r="K268">
        <v>39</v>
      </c>
      <c r="L268" t="str">
        <f>Линии[[#This Row],[_авто фаза]]</f>
        <v>L3</v>
      </c>
      <c r="M268" t="str">
        <f>Линии[[#This Row],[_авто клемма]]</f>
        <v>XT44</v>
      </c>
      <c r="N268" t="str">
        <f t="shared" si="552"/>
        <v>потери 4,0 % &gt; 4 %</v>
      </c>
      <c r="O268" s="6" cm="1">
        <f t="array" ref="O268">IF(B268="","",IF(BH268&lt;&gt;"",IFERROR(_xlfn.XLOOKUP(BH268,Щиты[Щит],Щиты[Iр, А]),""),IF(BP268=1,IF(OR(N(_xlfn.XLOOKUP(A268,Щиты[Щит],Щиты[Вводов],1))&lt;=1,LOWER(TRIM(_xlfn.XLOOKUP(A268,Щиты[Щит],Щиты[АВР],"")&amp;""))="да"),IFERROR(_xlfn.XLOOKUP(A268,Щиты[Щит],Щиты[Iр, А]),""),IFERROR(N(BS268)*_xlfn.XLOOKUP(A268,Щиты[Щит],Щиты[Кс итог])/(SQRT(3)*Uн_лин*_xlfn.XLOOKUP(A268,Щиты[Щит],Щиты[cos φ])),"")),IF(BV268=1,IFERROR(BS268*1000/BU268,""),IFERROR(_xlfn.IFS(BX268=1,BS268/((Uн_лин/SQRT(3))*CE268),BX268=3,BS268/(SQRT(3)*Uн_лин*CE268)),"")))))</f>
        <v>9.1160568819414589</v>
      </c>
      <c r="P268" s="7">
        <f>IF(B268="","",IFERROR(IF(VLOOKUP(BC268,Потребители_обозначение,4,FALSE)=1,VLOOKUP(BC268,Потребители_обозначение,3,FALSE)*(MAX(1,N(D268))*2-1)+EI268+VLOOKUP(BE268,Этаж_обозначение,3,FALSE)+VLOOKUP(BE268,Этаж_обозначение,4,FALSE),VLOOKUP(BC268,Потребители_обозначение,3,FALSE)*(MAX(1,N(D268))*2-1)+EI268),EI268))</f>
        <v>42</v>
      </c>
      <c r="Q268" s="6">
        <f t="shared" si="553"/>
        <v>4.0399999999999991</v>
      </c>
      <c r="R268" t="str">
        <f t="shared" si="554"/>
        <v>ВВГнг(А)-LS (3х2,5)</v>
      </c>
      <c r="S268" t="str">
        <f>IF(BM268="","",IF(BN268="вводной узел","узел ","")&amp;"л."&amp;(INT((BM268-1)/Столбцов_на_лист)+1)&amp;" / "&amp;(MOD(BM268-1,Столбцов_на_лист)+1))</f>
        <v>л.4 / 7</v>
      </c>
      <c r="T268" s="119">
        <f t="shared" si="555"/>
        <v>4.0999999999999996</v>
      </c>
      <c r="U268" s="7" t="str">
        <f>IF(OR(CG268=0,N(BV268)+N(IB268)=0),"",ROUNDUP(Запас_БП*(N(HY268)+N(HZ268)),0))</f>
        <v/>
      </c>
      <c r="V268" s="119" t="str">
        <f t="shared" si="556"/>
        <v/>
      </c>
      <c r="W268" s="7" t="str">
        <f>IFERROR(IF(OR(B268="",BP268=1,BV268=1,NOT(ISNUMBER(EN268)),N(DT268)=0),"",MAX(0,ROUNDDOWN((c_min*(Uн_лин*1000/SQRT(3))/(HT268*N(DT268))-_xlfn.XLOOKUP(A268,Щиты[Щит],Щиты[Zпетли на шинах, Ом]))*EN268/(2*ρкз_Cu),0))),"")</f>
        <v/>
      </c>
      <c r="Y268">
        <f>Линии[[#This Row],[_авто утечка]]</f>
        <v>30</v>
      </c>
      <c r="Z268">
        <v>1</v>
      </c>
      <c r="AA268">
        <v>230</v>
      </c>
      <c r="AB268" t="s">
        <v>562</v>
      </c>
      <c r="AG268" t="s">
        <v>810</v>
      </c>
      <c r="AI268" t="s">
        <v>561</v>
      </c>
      <c r="AK268" t="str">
        <f>Линии[[#This Row],[_авто модуль]]</f>
        <v/>
      </c>
      <c r="AM268">
        <v>58</v>
      </c>
      <c r="AN268" t="s">
        <v>11</v>
      </c>
      <c r="AO268">
        <v>3</v>
      </c>
      <c r="AQ268">
        <v>20</v>
      </c>
      <c r="AR268">
        <v>22</v>
      </c>
      <c r="AS268">
        <v>0</v>
      </c>
      <c r="BA268" cm="1">
        <f t="array" ref="BA268">ROW()-ROW(Линии[#Headers])</f>
        <v>266</v>
      </c>
      <c r="BC268" s="6" t="str">
        <f t="shared" si="557"/>
        <v>R</v>
      </c>
      <c r="BD268" t="str">
        <f t="shared" si="558"/>
        <v>1.021A.10</v>
      </c>
      <c r="BE268" t="str">
        <f t="shared" si="559"/>
        <v>1</v>
      </c>
      <c r="BF268" t="str">
        <f t="shared" si="560"/>
        <v>021A.10</v>
      </c>
      <c r="BG268" t="str">
        <f t="shared" si="561"/>
        <v>021A</v>
      </c>
      <c r="BH268" t="str">
        <f>IF(X268&lt;&gt;"",X268,IF(AND(B268&lt;&gt;"",B268&lt;&gt;A268,ISNUMBER(_xlfn.XMATCH(B268,Щиты[Щит]))),B268,""))</f>
        <v/>
      </c>
      <c r="BI268" t="str" cm="1">
        <f t="array" ref="BI268">IF(B268="","",IF(BH268&lt;&gt;"","Щит "&amp;BH268,_xlfn.LET(_xlpm.nm,IFERROR(_xlfn.XLOOKUP(BC268,Коды_код,Коды_имя)&amp;"",""),_xlpm.md,IFERROR(N(_xlfn.XLOOKUP(BC268,Коды_код,Коды_режим)),1),_xlpm.ex,IF(Имя_режим="по экспликации",IFERROR(_xlfn.XLOOKUP(BE268&amp;"|"&amp;BG268,Экспликация[Этаж]&amp;"|"&amp;Экспликация[Помещение],Экспликация[Название])&amp;"",""),""),_xlpm.rm,IF(BG268="","",IF(_xlpm.ex&lt;&gt;"",". "&amp;_xlpm.ex&amp;IF(Имя_пом="нет"," ("&amp;BG268&amp;")"," (пом. "&amp;BG268&amp;")"),IF(Имя_пом="нет"," ",", пом. ")&amp;BG268)),IF(_xlpm.nm="","",IF(_xlpm.md=2,_xlpm.nm&amp;" шлейф "&amp;BE268,_xlpm.nm&amp;_xlpm.rm)))))</f>
        <v>Розеточная группа, пом. 021A</v>
      </c>
      <c r="BJ268" t="str">
        <f t="shared" si="562"/>
        <v>Розеточная группа Первый этаж Пом. №021A ПММ</v>
      </c>
      <c r="BK268">
        <f>IFERROR(_xlfn.XMATCH(A268,Щиты[Щит]),0)</f>
        <v>10</v>
      </c>
      <c r="BL268">
        <f>_xlfn.LET(_xlpm.k,IFERROR(_xlfn.XLOOKUP(A268,Щиты[Щит],Щиты[Мест под вводной узел]),""),IF(_xlpm.k="",Столбцов_на_лист,N(_xlpm.k)))</f>
        <v>8</v>
      </c>
      <c r="BM268">
        <f t="shared" si="563"/>
        <v>58</v>
      </c>
      <c r="BN268" t="str">
        <f t="shared" si="564"/>
        <v>линии</v>
      </c>
      <c r="BO268" s="6">
        <f>IFERROR(N(_xlfn.XLOOKUP(BC268,Коды_код,Коды_квт)),0)</f>
        <v>0</v>
      </c>
      <c r="BP268">
        <f t="shared" si="565"/>
        <v>0</v>
      </c>
      <c r="BQ268" t="str">
        <f>IF(B268="","",IF(BH268&lt;&gt;"",IFERROR(_xlfn.XLOOKUP(BH268,Щиты[Щит],Щиты[Руст, кВт]),0),IF(BP268=1,IF(OR(N(_xlfn.XLOOKUP(A268,Щиты[Щит],Щиты[Вводов],1))&lt;=1,LOWER(TRIM(_xlfn.XLOOKUP(A268,Щиты[Щит],Щиты[АВР],"")&amp;""))="да"),IFERROR(_xlfn.XLOOKUP(A268,Щиты[Щит],Щиты[Руст, кВт]),0),SUMIFS(Линии[_Р для вводов],Линии[Щит],A268,Линии[Источник для режимов],GF268)),IF(BO268&gt;0,ROUND(BO268*MAX(1,N(D268)),3),""))))</f>
        <v/>
      </c>
      <c r="BR268">
        <f t="shared" si="566"/>
        <v>2</v>
      </c>
      <c r="BS268" s="6">
        <f>IF(B268="","",IF(BH268&lt;&gt;"",IFERROR(_xlfn.XLOOKUP(BH268,Щиты[Щит],Щиты[Руст, кВт]),0),N(BR268)))</f>
        <v>2</v>
      </c>
      <c r="BT268" t="str">
        <f>IF(B268="","",IFERROR(IF(VLOOKUP(BC268,Потребители_обозначение,8,FALSE)=0,"",VLOOKUP(BC268,Потребители_обозначение,8,FALSE)),""))</f>
        <v/>
      </c>
      <c r="BU268">
        <f t="shared" si="567"/>
        <v>230</v>
      </c>
      <c r="BV268">
        <f t="shared" si="568"/>
        <v>0</v>
      </c>
      <c r="BW268">
        <f>IF(B268="","",IF(BH268&lt;&gt;"",3,IFERROR(IF(N(VLOOKUP(BC268,Потребители_обозначение,9,FALSE))=0,1,VLOOKUP(BC268,Потребители_обозначение,9,FALSE)),1)))</f>
        <v>1</v>
      </c>
      <c r="BX268">
        <f t="shared" si="569"/>
        <v>1</v>
      </c>
      <c r="BY268" t="str">
        <f>IF(B268="","",_xlfn.LET(_xlpm.bc,IFERROR(IF(VLOOKUP(BC268,Потребители_обозначение,6,FALSE)=0,"",VLOOKUP(BC268,Потребители_обозначение,6,FALSE)&amp;""),""),IF(AND(GA268="да",OR(_xlpm.bc="",_xlpm.bc="мс")),Марка_пож,IF(AND(_xlpm.bc="",BH268&lt;&gt;""),"мс",_xlpm.bc))))</f>
        <v/>
      </c>
      <c r="BZ268" t="str">
        <f t="shared" si="570"/>
        <v>мс</v>
      </c>
      <c r="CA268">
        <f>IF(B268="","",_xlfn.LET(_xlpm.cc,IFERROR(N(VLOOKUP(BC268,Потребители_обозначение,7,FALSE)),0),IF(_xlpm.cc&gt;0,_xlpm.cc,IF(BZ268="","",IF(BV268=1,2,IF(N(BX268)=3,5,3))))))</f>
        <v>3</v>
      </c>
      <c r="CB268">
        <f t="shared" si="571"/>
        <v>3</v>
      </c>
      <c r="CC268">
        <f>IFERROR(N(VLOOKUP(BC268,Потребители_обозначение,10,FALSE)),0)</f>
        <v>0</v>
      </c>
      <c r="CD268">
        <f>IFERROR(VLOOKUP(BC268,Потребители_обозначение,5,FALSE),0)</f>
        <v>1</v>
      </c>
      <c r="CE268" s="6" cm="1">
        <f t="array" ref="CE268">IF(B268="","",IF(BH268&lt;&gt;"",IFERROR(_xlfn.XLOOKUP(BH268,Щиты[Щит],Щиты[cos φ]),0.95),IF(BP268=1,IFERROR(_xlfn.XLOOKUP(A268,Щиты[Щит],Щиты[cos φ]),0.95),IF(ISNUMBER(AD268),AD268,IFERROR(IF(CD268=2,_xlfn.IFS(BX268=3,VLOOKUP(BS268,Справочная_двигатели,8,FALSE),BX268=1,VLOOKUP(BS268,Справочная_двигатели,10,TRUE)),IF(AND(Методика="нормы 2026",FG268="Сил"),0.8,0.95)),0.95)))))</f>
        <v>0.95</v>
      </c>
      <c r="CF268">
        <f t="shared" si="572"/>
        <v>0</v>
      </c>
      <c r="CG268">
        <f t="shared" si="573"/>
        <v>1</v>
      </c>
      <c r="CH268">
        <f t="shared" si="574"/>
        <v>0</v>
      </c>
      <c r="CI268">
        <f>IF(B268="","",IF(BV268=1,IFERROR(BS268/((Uн_лин/SQRT(3))*MAX(0.5,N(CE268))),0),N(O268)))</f>
        <v>9.1160568819414589</v>
      </c>
      <c r="CJ268">
        <f t="shared" si="575"/>
        <v>0</v>
      </c>
      <c r="CK268">
        <f t="shared" si="576"/>
        <v>0</v>
      </c>
      <c r="CL268">
        <f t="shared" si="577"/>
        <v>0</v>
      </c>
      <c r="CM268">
        <f t="shared" si="578"/>
        <v>0</v>
      </c>
      <c r="CN268">
        <f t="shared" si="579"/>
        <v>0</v>
      </c>
      <c r="CO268">
        <f>IF(BC268="",0,_xlfn.LET(_xlpm.v,IFERROR(_xlfn.XLOOKUP(B268,Коды_код,Коды_мА),IFERROR(_xlfn.XLOOKUP(BC268,Коды_код,Коды_мА),IFERROR(_xlfn.XLOOKUP(LEFT(BC268,2),Коды_код,Коды_мА),""))),IF(_xlpm.v="да",30,IF(ISNUMBER(_xlpm.v),_xlpm.v,0))))</f>
        <v>30</v>
      </c>
      <c r="CP268">
        <f t="shared" si="580"/>
        <v>30</v>
      </c>
      <c r="CQ268" t="str">
        <f>_xlfn.LET(_xlpm.k,IFERROR(_xlfn.XLOOKUP(BC268,Коды_код,Коды_утечка)&amp;"",""),IF(_xlpm.k="","дифавтомат",_xlpm.k))</f>
        <v>дифавтомат</v>
      </c>
      <c r="CR268" t="str" cm="1">
        <f t="array" ref="CR268">IF(CG268=0,"",_xlfn.LET(_xlpm.sg,TRIM(_xlfn.TEXTSPLIT(DD268&amp;"",";")),_xlpm.f_,_xlfn._xlws.FILTER(_xlpm.sg,LEFT(_xlpm.sg,3)="УЗО",""),IFERROR(INDEX(_xlpm.f_,1)&amp;"","")))</f>
        <v/>
      </c>
      <c r="CS268" t="str">
        <f t="shared" si="581"/>
        <v/>
      </c>
      <c r="CT268" s="6" t="str" cm="1">
        <f t="array" ref="CT268">IF(CR268="","",_xlfn.LET(_xlpm.tk,_xlfn.TEXTSPLIT(UPPER(CR268)," ",,TRUE),_xlpm.a_,_xlfn._xlws.FILTER(_xlpm.tk,ISNUMBER(--LEFT(_xlpm.tk,1))*((ISNUMBER(SEARCH("А",_xlpm.tk))+ISNUMBER(SEARCH("A",_xlpm.tk)))&gt;0)*NOT(ISNUMBER(SEARCH("МА",_xlpm.tk)))*NOT(ISNUMBER(SEARCH("MA",_xlpm.tk))),""),IFERROR(--SUBSTITUTE(SUBSTITUTE(INDEX(_xlpm.a_,1),"А",""),"A",""),"")))</f>
        <v/>
      </c>
      <c r="CU268" t="str" cm="1">
        <f t="array" ref="CU268">IF(CR268="","",_xlfn.LET(_xlpm.tk,_xlfn.TEXTSPLIT(UPPER(CR268)," ",,TRUE),_xlpm.a_,_xlfn._xlws.FILTER(_xlpm.tk,ISNUMBER(--LEFT(_xlpm.tk,1))*((ISNUMBER(SEARCH("МА",_xlpm.tk))+ISNUMBER(SEARCH("MA",_xlpm.tk)))&gt;0),""),IFERROR(--SUBSTITUTE(SUBSTITUTE(INDEX(_xlpm.a_,1),"МА",""),"MA",""),30)))</f>
        <v/>
      </c>
      <c r="CV268" t="str">
        <f>IF(CS268="","",IFERROR(_xlfn.XLOOKUP(CS268,Линии[_n],Линии[_УЗО, мА]),30))</f>
        <v/>
      </c>
      <c r="CW268">
        <f>IF(CS268="",0,IF(ISNUMBER(SEARCH("4P",IFERROR(_xlfn.XLOOKUP(CS268,Линии[_n],Линии[_УЗО строки])&amp;"",""))),0,1))</f>
        <v>0</v>
      </c>
      <c r="CX268" t="str">
        <f>IF(AND(CS268&lt;&gt;"",CS268=BA268),SUMIFS(Линии[_ток на 230 В],Линии[_блок УЗО],BA268,Линии[Щит],A268),"")</f>
        <v/>
      </c>
      <c r="CY268" t="str">
        <f>IF(AND(CS268&lt;&gt;"",CS268=BA268),SUMIFS(Линии[_ток утечки линии, мА],Линии[_блок УЗО],BA268,Линии[Щит],A268),"")</f>
        <v/>
      </c>
      <c r="CZ268">
        <f t="shared" si="582"/>
        <v>30</v>
      </c>
      <c r="DA268">
        <f t="shared" si="583"/>
        <v>30</v>
      </c>
      <c r="DB268">
        <f>IF(B268="",0,IFERROR(--_xlfn.XLOOKUP(B268,Коды_код,Коды_минавт),IFERROR(--_xlfn.XLOOKUP(BC268,Коды_код,Коды_минавт),IFERROR(--_xlfn.XLOOKUP(LEFT(BC268,2),Коды_код,Коды_минавт),0))))</f>
        <v>16</v>
      </c>
      <c r="DC268" t="str">
        <f>IF(B268="","",IFERROR(_xlfn.XLOOKUP(BC268,Коды_код,Коды_апп)&amp;"",""))</f>
        <v/>
      </c>
      <c r="DD268" t="str">
        <f t="shared" si="584"/>
        <v/>
      </c>
      <c r="DE268" t="str" cm="1">
        <f t="array" ref="DE268">IF(TRIM(DD268&amp;"")="","",IFERROR(TRIM(INDEX(_xlfn.TEXTSPLIT(DD268&amp;";;;",";"),1)),""))</f>
        <v/>
      </c>
      <c r="DF268" t="str" cm="1">
        <f t="array" ref="DF268">IF(TRIM(DD268&amp;"")="","",IFERROR(TRIM(INDEX(_xlfn.TEXTSPLIT(DD268&amp;";;;",";"),2)),""))</f>
        <v/>
      </c>
      <c r="DG268" t="str" cm="1">
        <f t="array" ref="DG268">IF(TRIM(DD268&amp;"")="","",IFERROR(TRIM(INDEX(_xlfn.TEXTSPLIT(DD268&amp;";;;",";"),3)),""))</f>
        <v/>
      </c>
      <c r="DH268">
        <f t="shared" si="585"/>
        <v>0</v>
      </c>
      <c r="DI268" t="str">
        <f>IF(B268="","",_xlfn.LET(_xlpm.t,LOWER(AZ268&amp;""),IF(ISNUMBER(SEARCH("dim",_xlpm.t)),"DIM",IF(ISNUMBER(SEARCH("dali",_xlpm.t)),"DALI",IF(OR(ISNUMBER(SEARCH("relay",_xlpm.t)),ISNUMBER(SEARCH("реле",_xlpm.t))),"Relay",IF(ISNUMBER(SEARCH("кнопк",_xlpm.t)),"",IFERROR(_xlfn.XLOOKUP(BC268,Коды_код,Коды_упр)&amp;"","")))))))</f>
        <v/>
      </c>
      <c r="DJ268" t="str">
        <f t="shared" si="586"/>
        <v/>
      </c>
      <c r="DK268">
        <f>IF(B268="","",_xlfn.LET(_xlpm.ig,IF(N(CX268)&gt;0,N(CX268),N(CI268)+IF(AJ268="вручную",0,N(CJ268))),_xlpm.n0,IFERROR(VLOOKUP(_xlpm.ig,Автомат_номиналы,2,TRUE),0),_xlpm.mn,MAX(DB268,IF(AJ268="вручную",0,N(CM268))),MAX(_xlpm.n0,_xlpm.mn,IF(DH268=1,Мин_автомат_БП,0))))</f>
        <v>16</v>
      </c>
      <c r="DL268">
        <f t="shared" si="587"/>
        <v>1</v>
      </c>
      <c r="DM268" t="str">
        <f t="shared" si="588"/>
        <v>2P</v>
      </c>
      <c r="DN268" t="str">
        <f>_xlfn.LET(_xlpm.cc,UPPER(TRIM(IFERROR(_xlfn.XLOOKUP(BC268,Коды_код,Коды_хар)&amp;"",""))),IF(OR(_xlpm.cc="B",_xlpm.cc="В"),"B",IF(_xlpm.cc="D","D","С")))</f>
        <v>С</v>
      </c>
      <c r="DO268" t="str">
        <f t="shared" si="589"/>
        <v>2P С16А 30мА</v>
      </c>
      <c r="DP268" t="str">
        <f t="shared" si="590"/>
        <v>2P С16А 30мА</v>
      </c>
      <c r="DQ268" t="str">
        <f t="shared" si="591"/>
        <v>2P С16А 30мА</v>
      </c>
      <c r="DR268" cm="1">
        <f t="array" ref="DR268">IF(DQ268="","",_xlfn.LET(_xlpm.t,SUBSTITUTE(SUBSTITUTE(SUBSTITUTE(UPPER(DQ268),"С","C"),"А","A"),"В","B"),_xlpm.tk,_xlfn.TEXTSPLIT(_xlpm.t," "),_xlpm.f,_xlfn._xlws.FILTER(_xlpm.tk,ISNUMBER(--MID(_xlpm.tk,2,1))*ISNUMBER(SEARCH(LEFT(_xlpm.tk,1)&amp;"#","B#C#D#"))*(LEN(_xlpm.tk)&gt;1),""),_xlpm.x,INDEX(_xlpm.f,1),IFERROR(--SUBSTITUTE(MID(_xlpm.x,2,9),"A",""),IFERROR(--SUBSTITUTE(INDEX(_xlfn._xlws.FILTER(_xlpm.tk,ISNUMBER(--SUBSTITUTE(_xlpm.tk,"A","")),""),1),"A",""),""))))</f>
        <v>16</v>
      </c>
      <c r="DS268" t="str">
        <f t="shared" si="592"/>
        <v>ok</v>
      </c>
      <c r="DT268">
        <f t="shared" si="593"/>
        <v>16</v>
      </c>
      <c r="DU268" t="str">
        <f t="shared" si="594"/>
        <v>2P С16А 30мА</v>
      </c>
      <c r="DV268">
        <f t="shared" si="595"/>
        <v>30</v>
      </c>
      <c r="DW268">
        <f t="shared" si="596"/>
        <v>1</v>
      </c>
      <c r="DX268">
        <f t="shared" si="597"/>
        <v>0</v>
      </c>
      <c r="DY268">
        <f t="shared" si="598"/>
        <v>9.1160568819414589</v>
      </c>
      <c r="DZ268">
        <f t="shared" si="599"/>
        <v>1</v>
      </c>
      <c r="EA268">
        <f>IF(ISNUMBER(AP268),AP268,К_прокл)</f>
        <v>1</v>
      </c>
      <c r="EB268">
        <f t="shared" si="600"/>
        <v>2</v>
      </c>
      <c r="EC268">
        <f>IFERROR(N(VLOOKUP(BZ268,Кабель_обозначение,3,FALSE)),1)</f>
        <v>1</v>
      </c>
      <c r="ED268">
        <f>IFERROR(N(_xlfn.XLOOKUP(A268,Щиты[Щит],Щиты[ΔU до шин, %])),0)</f>
        <v>1.19</v>
      </c>
      <c r="EE268" t="str">
        <f>IFERROR(_xlfn.XLOOKUP(A268,Щиты[Щит],Щиты[Zпетли на шинах, Ом]),"")</f>
        <v/>
      </c>
      <c r="EF268">
        <f>IFERROR(N(_xlfn.XLOOKUP(A268,Щиты[Щит],Щиты[ΔU до шин (подбор), %])),0)</f>
        <v>1.19</v>
      </c>
      <c r="EG268" t="str">
        <f>IFERROR(_xlfn.XLOOKUP(A268,Щиты[Щит],Щиты[Zпетли на шинах (подбор), Ом]),"")</f>
        <v/>
      </c>
      <c r="EH268" t="str">
        <f t="shared" si="601"/>
        <v/>
      </c>
      <c r="EI268">
        <f t="shared" si="602"/>
        <v>39</v>
      </c>
      <c r="EJ268">
        <f t="shared" si="603"/>
        <v>2</v>
      </c>
      <c r="EK268">
        <f t="shared" si="604"/>
        <v>0.31</v>
      </c>
      <c r="EL268" s="6">
        <f>IF(B268="","",IF(BV268=1,dU_LED,IF(IFERROR(_xlfn.XLOOKUP(BC268,Коды_код,Коды_уго),"")="Светильник",3,4)+IF(Методика="нормы 2026",MIN(0.5,MAX(0,N(P268)-100)*0.005),0)))</f>
        <v>4</v>
      </c>
      <c r="EM268" cm="1">
        <f t="array" ref="EM268">IF(OR(B268="",BZ268="",EC268&lt;&gt;1),"",_xlfn.LET(_xlpm.sz,Iдоп_S,_xlpm.t_,CHOOSE(EB268,Iдоп_1ж,Iдоп_2ж,Iдоп_3ж)*DZ268*EA268,_xlpm.dcx,BV268=1,_xlpm.inn,IF(_xlpm.dcx,N(O268),N(DT268)),_xlpm.smin,MAX(1.5,CC268),_xlpm.L_,N(P268)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268)/N(BU268)*100,999),IFERROR(N(EJ268)*(_xlpm.rho*_xlpm.L_/_xlpm.sz*N(CE268)+_xlpm.xx*_xlpm.L_*N(EK268)/1000)*N(O268)/((Uн_лин/SQRT(3))*1000)*100,999)),_xlpm.kz,IF(OR(_xlpm.dcx,DW268=1,NOT(ISNUMBER(EG268)),_xlpm.L_=0,_xlpm.inn=0),1,IFERROR(--(c_min*(Uн_лин*1000/SQRT(3))/(EG268+2*ρкз_Cu*_xlpm.L_/_xlpm.sz)&gt;=HT268*_xlpm.inn),0)),_xlpm.ok,IFERROR((_xlpm.sz&gt;=_xlpm.smin)*(_xlpm.t_&gt;=_xlpm.inn)*IF(_xlpm.L_&gt;0,(_xlpm.du_+IF(_xlpm.dcx,0,EF268)&lt;=EL268+0.00001),1)*_xlpm.kz,0),_xlpm.r_,_xlfn._xlws.FILTER(_xlpm.sz,_xlpm.ok,"не подобрано"),INDEX(_xlpm.r_,1)))</f>
        <v>4</v>
      </c>
      <c r="EN268">
        <f t="shared" si="605"/>
        <v>2.5</v>
      </c>
      <c r="EO268" cm="1">
        <f t="array" ref="EO268">IF(OR(B268="",BZ268="",EC268&lt;&gt;1),"",_xlfn.LET(_xlpm.sz,Iдоп_S,_xlpm.t_,CHOOSE(EB268,Iдоп_1ж,Iдоп_2ж,Iдоп_3ж)*DZ268*EA268,_xlpm.ok,IFERROR((_xlpm.sz&gt;=MAX(1.5,CC268))*(_xlpm.t_&gt;=N(DT268)),0),_xlpm.r_,_xlfn._xlws.FILTER(_xlpm.sz,_xlpm.ok,""),INDEX(_xlpm.r_,1)))</f>
        <v>1.5</v>
      </c>
      <c r="EP268" s="6" cm="1">
        <f t="array" ref="EP268">IFERROR(ROUNDUP(N(EJ268)*(_xlfn.XLOOKUP(EO268,INDEX(Кабель_сопротивление,0,1),INDEX(Кабель_сопротивление,0,3))*N(P268)/EO268*N(CE268)+_xlfn.XLOOKUP(EO268,INDEX(Кабель_сопротивление,0,1),INDEX(Кабель_сопротивление,0,2))*N(P268)*N(EK268)/1000)*N(O268)/((Uн_лин/SQRT(3))*1000)*100,2),"")</f>
        <v>4.74</v>
      </c>
      <c r="EQ268">
        <f>IFERROR(2*ρкз_Cu*N(P268)/EO268,"")</f>
        <v>1.4728000000000001</v>
      </c>
      <c r="ER268">
        <f>IFERROR(VLOOKUP(EN268,Кабель_сопротивление,3,FALSE),"")</f>
        <v>2.2499999999999999E-2</v>
      </c>
      <c r="ES268">
        <f>IFERROR(VLOOKUP(EN268,Кабель_сопротивление,2,FALSE),"")</f>
        <v>0.1</v>
      </c>
      <c r="ET268">
        <f t="shared" si="606"/>
        <v>22</v>
      </c>
      <c r="EU268">
        <f t="shared" si="607"/>
        <v>0</v>
      </c>
      <c r="EV268">
        <f t="shared" si="608"/>
        <v>6.5708902647309317</v>
      </c>
      <c r="EW268" s="6">
        <f>IFERROR(ROUNDUP(EV268/IF(BV268=1,BU268,(Uн_лин/SQRT(3))*1000)*100,2),"")</f>
        <v>2.8499999999999996</v>
      </c>
      <c r="EX268" t="str">
        <f>IFERROR(VLOOKUP(BZ268,Кабель_обозначение,2,FALSE),"")</f>
        <v>ВВГнг(А)-LS</v>
      </c>
      <c r="EY268" t="str">
        <f t="shared" si="609"/>
        <v>ВВГнг(А)-LS (3х2,5)</v>
      </c>
      <c r="EZ268" t="str">
        <f t="shared" si="610"/>
        <v>ВВГнг(А)-LS (3х2,5)
L=42-2,85%</v>
      </c>
      <c r="FA268">
        <f>IFERROR(2*ρкз_Cu*P268/EN268,"")</f>
        <v>0.88368000000000002</v>
      </c>
      <c r="FB268">
        <f t="shared" si="611"/>
        <v>0.29400000000000004</v>
      </c>
      <c r="FC268" s="6" t="str">
        <f>IFERROR(IF(OR(B268="",BV268=1,NOT(ISNUMBER(EN268)),N(P268)=0),"",_xlfn.XLOOKUP(A268,Щиты[Щит],Щиты[Zпетли на шинах, Ом])+FA268),"")</f>
        <v/>
      </c>
      <c r="FD268" s="6" t="str">
        <f>IF(ISNUMBER(FC268),c_min*(Uн_лин*1000/SQRT(3))/FC268,"")</f>
        <v/>
      </c>
      <c r="FE268" s="6" t="str">
        <f>IFERROR(IF(OR(B268="",NOT(ISNUMBER(EN268))),"",1.05*(Uн_лин*1000/SQRT(3))/(_xlfn.XLOOKUP(A268,Щиты[Щит],Щиты[Zmax на шинах, Ом])+FB268)/1000),"")</f>
        <v/>
      </c>
      <c r="FF268" s="6" t="str">
        <f>IF(B268="","",IF(ISNUMBER(AC268),"Сил",IF(IFERROR(_xlfn.XLOOKUP(BC268,Коды_код,Коды_группа)&amp;"","")="","Быт",_xlfn.XLOOKUP(BC268,Коды_код,Коды_группа)&amp;"")))</f>
        <v>Быт</v>
      </c>
      <c r="FG268" s="6" t="str">
        <f t="shared" si="612"/>
        <v>Быт</v>
      </c>
      <c r="FH268" s="6">
        <f>IF(FG268="Щит","щит",IF(FG268="","",IF(FG268="Быт",IFERROR(_xlfn.XLOOKUP(A268,Щиты[Щит],Щиты[Кс быт]),1),IF(FG268="Сил",IF(ISNUMBER(AC268),AC268,IF(Методика="нормы 2026",IFERROR(_xlfn.XLOOKUP(A268,Щиты[Щит],Щиты[Кс силовых (табл. 7.5)]),1),1)),IF(OR(FG268="Пост",FG268="Отоп"),1,IF(FG268="ВНГ",0.7,0))))))</f>
        <v>0.57830000000000004</v>
      </c>
      <c r="FI268">
        <f>IF(FG268="","",IF(AND(BP268=1,TRIM(AE268&amp;"")=""),IF(COUNTIFS(Линии[Щит],A268,Линии[Секция (1/2/3)],"&gt;=2")&gt;0,MIN(3,MAX(1,IFERROR(--BD268,1))),1),IFERROR(MIN(3,MAX(1,INT(--AE268))),1)))</f>
        <v>1</v>
      </c>
      <c r="FJ268">
        <f t="shared" si="613"/>
        <v>2</v>
      </c>
      <c r="FK268">
        <f t="shared" si="614"/>
        <v>2</v>
      </c>
      <c r="FL268">
        <f t="shared" si="615"/>
        <v>0</v>
      </c>
      <c r="FM268">
        <f t="shared" si="616"/>
        <v>0</v>
      </c>
      <c r="FN268">
        <f t="shared" si="617"/>
        <v>0</v>
      </c>
      <c r="FO268">
        <f t="shared" si="618"/>
        <v>0</v>
      </c>
      <c r="FP268">
        <f t="shared" si="619"/>
        <v>2</v>
      </c>
      <c r="FQ268">
        <f t="shared" si="620"/>
        <v>2</v>
      </c>
      <c r="FR268">
        <f t="shared" si="621"/>
        <v>1.9</v>
      </c>
      <c r="FS268">
        <f>IF(CG268=1,IF(AND(CH268=1,CW268=1),0,IF(AND(CS268&lt;&gt;"",CS268=BA268,CW268=1),SUMIFS(Линии[_Р линии, кВт],Линии[_блок УЗО],BA268,Линии[Щит],A268),N(BS268)+IF(AJ268="вручную",0,N(CK268)))),0)</f>
        <v>2</v>
      </c>
      <c r="FT268" t="str">
        <f t="shared" si="622"/>
        <v/>
      </c>
      <c r="FU268" t="str">
        <f>IF(B268="","",IF(CG268=0,IF(BA268=1,"",FW267),IF(AND(CH268=1,CW268=1,CS268&lt;&gt;""),IFERROR(_xlfn.XLOOKUP(CS268,Линии[_n],Линии[_фаза итог]),"L1"),IF(OR(N(DL268)&gt;=3,N(BX268)&gt;=3),"L1,L2,L3",IFERROR(_xlfn.TEXTBEFORE(_xlfn.TEXTAFTER(_xlfn.XLOOKUP(A268,Щиты[Щит],Щиты[_фазы авто]),";"&amp;BA268&amp;":"),";"),"L1")))))</f>
        <v>L3</v>
      </c>
      <c r="FV268" t="str">
        <f t="shared" si="623"/>
        <v>L3</v>
      </c>
      <c r="FW268" t="str">
        <f t="shared" si="624"/>
        <v>L3</v>
      </c>
      <c r="FX268" cm="1">
        <f t="array" ref="FX268">IFERROR(IF(CD268=2,_xlfn.IFS(BX268=3,VLOOKUP(BS268,Справочная_двигатели,3,FALSE),BX268=1,VLOOKUP(BS268,Справочная_двигатели,5,TRUE)),0),0)</f>
        <v>0</v>
      </c>
      <c r="FY268">
        <f>IFERROR(IF(CD268=3,VLOOKUP(BS268,Справочная_ЛЭД,2,TRUE),0),0)</f>
        <v>0</v>
      </c>
      <c r="FZ268" s="6">
        <f t="shared" si="625"/>
        <v>0</v>
      </c>
      <c r="GA268" t="str">
        <f>IF(B268="","",IF(TRIM(AH268&amp;"")&lt;&gt;"",IF(LOWER(TRIM(AH268&amp;""))="да","да","нет"),IF(IFERROR(_xlfn.XLOOKUP(BC268,Коды_код,Коды_пожарная),"")="да","да","нет")))</f>
        <v>нет</v>
      </c>
      <c r="GB268" t="str">
        <f t="shared" si="626"/>
        <v/>
      </c>
      <c r="GC268" t="str">
        <f t="shared" si="627"/>
        <v>основная</v>
      </c>
      <c r="GD268">
        <f>IF(AND(BP268=1,TRIM(AE268&amp;"")=""),IF(COUNTIFS(Линии[Щит],A268,Линии[Секция (1/2/3)],"&gt;=2")&gt;0,MIN(3,MAX(1,IFERROR(--BD268,1))),1),IFERROR(MIN(3,MAX(1,INT(--AE268))),1))</f>
        <v>1</v>
      </c>
      <c r="GE268" t="str" cm="1">
        <f t="array" ref="GE268">IF(B268="","",_xlfn.LET(_xlpm.t,IFERROR(_xlfn.XLOOKUP(1,(Шины[Шина]=GC268)*(((Шины[Щит]=A268)+(Шины[Щит]=""))&gt;0),Шины[Тип]),"")&amp;"",IF(_xlpm.t&lt;&gt;"",_xlpm.t,IF(ISNUMBER(SEARCH("ИБП",GC268)),"ИБП",IF(ISNUMBER(SEARCH("ДГУ",GC268)),"ДГУ","Ввод "&amp;GD268)))))</f>
        <v>Ввод 1</v>
      </c>
      <c r="GF268" t="str">
        <f t="shared" si="628"/>
        <v>Ввод 1</v>
      </c>
      <c r="GG268" t="str">
        <f>IF(BP268=0,"",IF(TRIM(AG268&amp;"")&lt;&gt;"",TRIM(AG268&amp;""),IF(OR(GE268="ИБП",GE268="ДГУ"),"I особая",_xlfn.XLOOKUP(A268,Щиты[Щит],Щиты[Категория шины «Ввод»],"III"))))</f>
        <v/>
      </c>
      <c r="GH268" t="str">
        <f>IF(A268="","",_xlfn.XLOOKUP(A268,Щиты[Щит],Щиты[Путь],""))</f>
        <v>|ГРЩ-ЖД|ЩР-1|</v>
      </c>
      <c r="GI268" t="str">
        <f>IF(B268="","",IF(AI268&lt;&gt;"",AI268,IF(IFERROR(_xlfn.XLOOKUP(BC268,Коды_код,Коды_вид)&amp;"","")="","Прочее",_xlfn.XLOOKUP(BC268,Коды_код,Коды_вид)&amp;"")))</f>
        <v>Розеточная сеть и бытовые приборы</v>
      </c>
      <c r="GJ268">
        <f>IF(BM268="","",INT((BM268-1)/Столбцов_на_лист)+1)</f>
        <v>4</v>
      </c>
      <c r="GK268" t="str">
        <f t="shared" si="629"/>
        <v>ВВГнг(А)-LS (3х2,5) L=42-2,85%</v>
      </c>
      <c r="GL268">
        <f t="shared" si="630"/>
        <v>2</v>
      </c>
      <c r="GM268">
        <f t="shared" si="631"/>
        <v>9.1199999999999992</v>
      </c>
      <c r="GN268">
        <f t="shared" si="632"/>
        <v>1</v>
      </c>
      <c r="GO268">
        <f t="shared" si="633"/>
        <v>0</v>
      </c>
      <c r="GP268">
        <f t="shared" si="634"/>
        <v>1</v>
      </c>
      <c r="GQ268">
        <f>IF(BM268="","",IF(AND(CG268=1,GP268=1),COUNTIFS(A$3:A268,A268,CG$3:CG268,1,GP$3:GP268,1),IF(OR(OR(BA268=1,A268&lt;&gt;A267),AJ268="вручную",GP268=0),"",IF(BA268=1,"",GR267))))</f>
        <v>44</v>
      </c>
      <c r="GR268">
        <f t="shared" si="635"/>
        <v>44</v>
      </c>
      <c r="GS268">
        <f>IF(B268="","",IFERROR(LOOKUP(INDEX(CHOOSE(EB268,Iдоп_1ж,Iдоп_2ж,Iдоп_3ж),MATCH(EN268,Iдоп_S,0))*DZ268*EA268,{6,10,16,20,25,32,40,50,63,80,100,125,160,200,250,315,400,500,630}),""))</f>
        <v>25</v>
      </c>
      <c r="GT268" t="str">
        <f t="shared" si="636"/>
        <v>QFD44</v>
      </c>
      <c r="GU268" t="str">
        <f t="shared" si="637"/>
        <v>QFD44</v>
      </c>
      <c r="GV268" t="str">
        <f t="shared" si="638"/>
        <v/>
      </c>
      <c r="GW268">
        <f t="shared" si="639"/>
        <v>0</v>
      </c>
      <c r="GX268" t="str">
        <f>IF(OR(B268="",DJ268=""),"",IFERROR(_xlfn.XLOOKUP(DJ268,Модули_умолч[Управление],Модули_умолч[Модель])&amp;"",""))</f>
        <v/>
      </c>
      <c r="GY268">
        <f>IF(DJ268="",1,IFERROR(MAX(0,N(_xlfn.XLOOKUP(DJ268,Модули_умолч[Управление],Модули_умолч[Каналов на линию]))),1))</f>
        <v>1</v>
      </c>
      <c r="GZ268" t="str">
        <f t="shared" si="640"/>
        <v/>
      </c>
      <c r="HA268" t="str">
        <f t="shared" si="641"/>
        <v/>
      </c>
      <c r="HB268" t="str">
        <f t="shared" si="642"/>
        <v/>
      </c>
      <c r="HC268">
        <f>IF(HB268="",0,IFERROR(N(VLOOKUP(HB268,Модули_спр,3,FALSE)),0))</f>
        <v>0</v>
      </c>
      <c r="HD268" t="str">
        <f t="shared" si="643"/>
        <v/>
      </c>
      <c r="HE268" t="str">
        <f t="shared" si="644"/>
        <v/>
      </c>
      <c r="HF268" t="str">
        <f>IF(OR(HE268="",HE268="-"),"",IFERROR(VLOOKUP(HE268,Модули_спр,2,FALSE),"R"))</f>
        <v/>
      </c>
      <c r="HG268" t="str">
        <f>IF(HF268="","",HF268&amp;"."&amp;COUNTIFS(A$3:A268,A268,HF$3:HF268,HF268))</f>
        <v/>
      </c>
      <c r="HH268" t="str">
        <f t="shared" si="645"/>
        <v/>
      </c>
      <c r="HI268" t="str">
        <f t="shared" si="646"/>
        <v/>
      </c>
      <c r="HJ268" t="str">
        <f t="shared" si="647"/>
        <v/>
      </c>
      <c r="HK268" t="str">
        <f t="shared" si="648"/>
        <v/>
      </c>
      <c r="HL268">
        <f t="shared" si="649"/>
        <v>1</v>
      </c>
      <c r="HM268" t="str">
        <f>IF(HL268=1,"XT"&amp;COUNTIFS(A$3:A268,A268,HL$3:HL268,1),"")</f>
        <v>XT44</v>
      </c>
      <c r="HN268" t="str">
        <f t="shared" si="650"/>
        <v>XT44</v>
      </c>
      <c r="HO268" t="str">
        <f t="shared" si="651"/>
        <v>QFD44</v>
      </c>
      <c r="HP268" t="str">
        <f t="shared" si="652"/>
        <v/>
      </c>
      <c r="HQ268" t="str">
        <f t="shared" si="653"/>
        <v>ok</v>
      </c>
      <c r="HR268" t="str">
        <f>IF(OR(HJ268="",HH268=""),"",IF(HJ268+MAX(0,GY268-1)&gt;IFERROR(VLOOKUP(HI268,Модули_спр,3,FALSE),99),"ЛИШНИЙ КАНАЛ",IF(AND(AL268&lt;&gt;"=",GY268&gt;0,COUNTIFS(Линии[_модуль гр.],HH268,Линии[Канал (итог)],HJ268,Линии[Канал],"&lt;&gt;=",Линии[Щит],A268)&gt;1),"ДУБЛЬ КАНАЛА","")))</f>
        <v/>
      </c>
      <c r="HS268" s="6" t="str">
        <f t="shared" si="654"/>
        <v/>
      </c>
      <c r="HT268">
        <f t="shared" si="655"/>
        <v>10</v>
      </c>
      <c r="HU268" t="str">
        <f t="shared" si="656"/>
        <v/>
      </c>
      <c r="HV268">
        <f t="shared" si="657"/>
        <v>4.0664227527765835</v>
      </c>
      <c r="HW268">
        <f t="shared" si="658"/>
        <v>0</v>
      </c>
      <c r="HX268">
        <f t="shared" si="659"/>
        <v>0</v>
      </c>
      <c r="HY268">
        <f t="shared" si="660"/>
        <v>0</v>
      </c>
      <c r="HZ268">
        <f t="shared" si="661"/>
        <v>0</v>
      </c>
      <c r="IA268">
        <f t="shared" si="662"/>
        <v>0</v>
      </c>
      <c r="IB268">
        <f t="shared" si="663"/>
        <v>0</v>
      </c>
      <c r="IC268" t="str">
        <f t="shared" si="664"/>
        <v/>
      </c>
      <c r="ID268" t="str" cm="1">
        <f t="array" ref="ID268">IF(IC268="","",_xlfn.LET(_xlpm.tk,_xlfn.TEXTSPLIT(SUBSTITUTE(SUBSTITUTE(IC268,";"," "),"→"," ")," ",,TRUE),_xlpm.w_,_xlfn._xlws.FILTER(_xlpm.tk,ISNUMBER(--LEFT(_xlpm.tk,1))*((ISNUMBER(SEARCH("W",_xlpm.tk))+ISNUMBER(SEARCH("Вт",_xlpm.tk)))&gt;0),""),IFERROR(--SUBSTITUTE(SUBSTITUTE(UPPER(INDEX(_xlpm.w_,1)),"W",""),"ВТ",""),"")))</f>
        <v/>
      </c>
      <c r="IE268" t="str" cm="1">
        <f t="array" ref="IE268">IF(IC268="","",_xlfn.LET(_xlpm.tk,_xlfn.TEXTSPLIT(SUBSTITUTE(SUBSTITUTE(IC268,";"," "),"→"," ")," ",,TRUE),_xlpm.v_,_xlfn._xlws.FILTER(_xlpm.tk,ISNUMBER(--LEFT(_xlpm.tk,1))*((ISNUMBER(SEARCH("V",_xlpm.tk))+(RIGHT(UPPER(_xlpm.tk))="В"))&gt;0),""),IFERROR(--SUBSTITUTE(SUBSTITUTE(UPPER(INDEX(_xlpm.v_,1)),"V",""),"В",""),"")))</f>
        <v/>
      </c>
      <c r="IF268" s="6" t="str">
        <f>IF(OR(BV268=0,HI268="",HJ268=""),"",IFERROR(N(_xlfn.XLOOKUP(HI268,Каталог!$C$4:$C$500,Каталог!$Q$4:$Q$500)),""))</f>
        <v/>
      </c>
      <c r="IG268" s="6" t="str">
        <f>IF(N(IF268)=0,"",SUMIFS(Линии[Iр, А],Линии[Щит],A268,Линии[_модуль гр.],HH268,Линии[Канал (итог)],HJ268))</f>
        <v/>
      </c>
      <c r="IH268" t="str">
        <f>IF(AND(B268="",HO268=""),"",_xlfn.TEXTJOIN("; ",TRUE,IF(AND(B268&lt;&gt;"",FV268=""),"нет фазы",""),IF(AND(B268&lt;&gt;"",N(GL268)=0,FG268&lt;&gt;"Нет"),"нет мощности",""),IF(AND(HN268&lt;&gt;"",COUNTIFS(Линии[Щит],A268,Линии[Клемма (итог)],HN268)&gt;1),"дубль клеммы "&amp;HN268,""),IF(AND(HQ268&lt;&gt;"",HQ268&lt;&gt;"ok"),HQ268,""),IF(HR268&lt;&gt;"",HR268,""),IF(AND(N(CB268)&gt;=4,N(BX268)=1),CB268&amp;" жил на 1 фазе",""),IF(AND(BC268="R",CG268=1,IF(CS268&lt;&gt;"",N(CV268)&gt;30,OR(N(DA268)=0,N(DA268)&gt;30))),"розетка без дифзащиты до 30 мА",""),IF(AND(CG268=1,N(DA268)&gt;0,ISNUMBER(T268)),IF(T268&gt;N(DA268)/3,"ток утечки "&amp;FIXED(T268,1)&amp;" мА &gt; 1/3 уставки ("&amp;DA268&amp;" мА)",""),""),IF(AND(CH268=1,CS268=""),"«узо»: нет строки с УЗО выше (УЗО 2P 40А 30мА в «Аппаратах»)",""),IF(AND(CS268&lt;&gt;"",CS268=BA268),IF(CT268="","впишите номинал УЗО (УЗО 2P 40А 30мА)",IF(N(CT268)&lt;N(DT268),"УЗО "&amp;CT268&amp;" А &lt; автомата "&amp;DT268&amp;" А перед ним",IF(N(CT268)&lt;N(CX268),"УЗО "&amp;CT268&amp;" А &lt; тока блока "&amp;FIXED(CX268,1)&amp;" А",""))),""),IF(AND(CS268&lt;&gt;"",CS268=BA268,ISNUMBER(CY268)),IF(CY268&gt;N(CV268)/3,"ток утечки блока УЗО "&amp;FIXED(CY268,1)&amp;" мА &gt; 1/3 уставки ("&amp;CV268&amp;" мА)",""),""),IF(AND(CG268=1,N(BV268)+N(IB268)&gt;0,IC268=""),"линии до 50 В без БП: впишите в «Аппараты» (БП 24V 480W)",""),IF(AND(CG268=1,ISNUMBER(ID268),ISNUMBER(U268)),IF(U268&gt;ID268,"БП "&amp;ID268&amp;" Вт &lt; нужно "&amp;U268&amp;" Вт (×"&amp;Запас_БП&amp;")",""),""),IF(AND(CG268=1,ISNUMBER(IE268),N(BV268)=1),IF(IE268&lt;&gt;N(BU268),"БП на "&amp;IE268&amp;" В, линия "&amp;BU268&amp;" В",""),""),IF(AND(N(IF268)&gt;0,N(IG268)&gt;N(IF268)),HH268&amp;" канал "&amp;HJ268&amp;": "&amp;FIXED(IG268,1)&amp;" А &gt; "&amp;IF268&amp;" А",""),IFERROR(IF(AND(ISNUMBER(Q268),Q268&gt;EL268),"потери "&amp;FIXED(Q268,1)&amp;" % &gt; "&amp;EL268&amp;" %",""),""),IFERROR(IF(LEFT(HU268,4)="мало","Iкз мало — отключение &gt; 0,4 с",""),""),IF(AND(B268&lt;&gt;"",BM268=""),"не на схеме",""),IF(AND(CG268=0,B268&lt;&gt;"",FV268&lt;&gt;"",IF(BA268=1,"",FW267)&lt;&gt;"",FV268&lt;&gt;IF(BA268=1,"",FW267)),"фаза не как у автомата группы ("&amp;IF(BA268=1,"",FW267)&amp;")","")))</f>
        <v>потери 4,0 % &gt; 4 %</v>
      </c>
      <c r="II268" s="6">
        <f>IF(OR(CG268=0,DQ268=""),"",_xlfn.LET(_xlpm.t,IFERROR(_xlfn.XLOOKUP(DQ268,Каталог!$U$4:$U$500,Каталог!$G$4:$G$500),""),_xlpm.k,SEARCH("кА",_xlpm.t),IFERROR(--TRIM(RIGHT(SUBSTITUTE(MID(_xlpm.t,MAX(1,_xlpm.k-4),_xlpm.k-MAX(1,_xlpm.k-4))," ",REPT(" ",9)),5)),"")))</f>
        <v>6</v>
      </c>
      <c r="IJ268" t="str">
        <f>IF(OR(II268="",CG268=0),"",IF(_xlfn.XLOOKUP(A268,Щиты[Щит],Щиты[Iкз max на шинах, кА],"")="","",IF(II268&lt;_xlfn.XLOOKUP(A268,Щиты[Щит],Щиты[Iкз max на шинах, кА]),"Icu "&amp;II268&amp;" кА &lt; Iкз max","ok")))</f>
        <v/>
      </c>
      <c r="IK268" t="str">
        <f t="shared" si="665"/>
        <v/>
      </c>
      <c r="IL268" t="str">
        <f t="shared" si="666"/>
        <v>QFD44|XT44</v>
      </c>
      <c r="IM268" t="str">
        <f t="shared" si="667"/>
        <v>QFD44|XT44|кабель ВВГнг(А)-LS (3х2,5) → Розеточная группа Первый этаж Пом. №021A ПММ</v>
      </c>
      <c r="IN268" t="str" cm="1">
        <f t="array" ref="IN268">IF(IM268="","",_xlfn.LET(_xlpm.nd,_xlfn.TEXTSPLIT(IM268,"|"),IF(COLUMNS(_xlpm.nd)&gt;1,A268&amp;"¦"&amp;INDEX(_xlpm.nd,1)&amp;"¦"&amp;INDEX(_xlpm.nd,2),"")))</f>
        <v>ЩР-1¦QFD44¦XT44</v>
      </c>
      <c r="IO268" t="str">
        <f t="shared" si="668"/>
        <v>R.1.021A.10¦Розеточная группа Первый этаж Пом. №021A ПММ</v>
      </c>
      <c r="IP268" t="str" cm="1">
        <f t="array" ref="IP268">IF(IM268="","",_xlfn.LET(_xlpm.nd,_xlfn.TEXTSPLIT(IM268,"|"),IF(COLUMNS(_xlpm.nd)&gt;2,A268&amp;"¦"&amp;INDEX(_xlpm.nd,2)&amp;"¦"&amp;INDEX(_xlpm.nd,3),"")))</f>
        <v>ЩР-1¦XT44¦кабель ВВГнг(А)-LS (3х2,5) → Розеточная группа Первый этаж Пом. №021A ПММ</v>
      </c>
      <c r="IQ268" t="str">
        <f t="shared" si="669"/>
        <v>R.1.021A.10¦Розеточная группа Первый этаж Пом. №021A ПММ</v>
      </c>
      <c r="IR268" t="str" cm="1">
        <f t="array" ref="IR268">IF(IM268="","",_xlfn.LET(_xlpm.nd,_xlfn.TEXTSPLIT(IM268,"|"),IF(COLUMNS(_xlpm.nd)&gt;3,A268&amp;"¦"&amp;INDEX(_xlpm.nd,3)&amp;"¦"&amp;INDEX(_xlpm.nd,4),"")))</f>
        <v/>
      </c>
      <c r="IS268" t="str">
        <f t="shared" si="670"/>
        <v/>
      </c>
      <c r="IT268" t="str" cm="1">
        <f t="array" ref="IT268">IF(IM268="","",_xlfn.LET(_xlpm.nd,_xlfn.TEXTSPLIT(IM268,"|"),IF(COLUMNS(_xlpm.nd)&gt;4,A268&amp;"¦"&amp;INDEX(_xlpm.nd,4)&amp;"¦"&amp;INDEX(_xlpm.nd,5),"")))</f>
        <v/>
      </c>
      <c r="IU268" t="str">
        <f t="shared" si="671"/>
        <v/>
      </c>
      <c r="IV268" t="str" cm="1">
        <f t="array" ref="IV268">IF(IM268="","",_xlfn.LET(_xlpm.nd,_xlfn.TEXTSPLIT(IM268,"|"),IF(COLUMNS(_xlpm.nd)&gt;5,A268&amp;"¦"&amp;INDEX(_xlpm.nd,5)&amp;"¦"&amp;INDEX(_xlpm.nd,6),"")))</f>
        <v/>
      </c>
      <c r="IW268" t="str">
        <f t="shared" si="672"/>
        <v/>
      </c>
      <c r="IX268" t="str" cm="1">
        <f t="array" ref="IX268">IF(IM268="","",_xlfn.LET(_xlpm.nd,_xlfn.TEXTSPLIT(IM268,"|"),IF(COLUMNS(_xlpm.nd)&gt;6,A268&amp;"¦"&amp;INDEX(_xlpm.nd,6)&amp;"¦"&amp;INDEX(_xlpm.nd,7),"")))</f>
        <v/>
      </c>
      <c r="IY268" t="str">
        <f t="shared" si="673"/>
        <v/>
      </c>
      <c r="IZ268" t="str">
        <f t="shared" si="674"/>
        <v/>
      </c>
      <c r="JA268" t="str">
        <f t="shared" si="675"/>
        <v>QFD44 → XT44</v>
      </c>
      <c r="JB268">
        <f t="shared" si="676"/>
        <v>0</v>
      </c>
      <c r="JC268">
        <f t="shared" si="677"/>
        <v>1</v>
      </c>
      <c r="JD268" t="str">
        <f t="shared" si="678"/>
        <v/>
      </c>
      <c r="JE268" t="str">
        <f t="shared" si="679"/>
        <v/>
      </c>
      <c r="JF268" t="str">
        <f t="shared" si="680"/>
        <v/>
      </c>
      <c r="JG268" t="str">
        <f t="shared" si="681"/>
        <v/>
      </c>
      <c r="JH268" t="str">
        <f>IF(B268="","",IFERROR(_xlfn.XLOOKUP(B268,Коды_код,Коды_уго),IFERROR(_xlfn.XLOOKUP(BC268,Коды_код,Коды_уго),IFERROR(_xlfn.XLOOKUP(LEFT(BC268,2),Коды_код,Коды_уго),""))))</f>
        <v>Розетка</v>
      </c>
      <c r="JI268" t="str">
        <f>IF(B268="","",IF(OR(JH268="",JH268=0),"BOX",IFERROR(IF(VLOOKUP(JH268,УГО_блоки,3,FALSE)&amp;""&lt;&gt;"",VLOOKUP(JH268,УГО_блоки,3,FALSE),VLOOKUP(JH268,УГО_блоки,2,FALSE)),JH268)))</f>
        <v>SOCKET</v>
      </c>
      <c r="JJ268">
        <f t="shared" si="682"/>
        <v>1</v>
      </c>
      <c r="JK268" t="str">
        <f>IF(DQ268="","",IF(COUNTIF(DQ$3:DQ268,DQ268)=1,MAX(JK$2:JK267)+1,""))</f>
        <v/>
      </c>
      <c r="JL268" t="str">
        <f>IF(DE268="","",IF(COUNTIF(DE$3:DE268,DE268)+COUNTIF(DF$2:DF267,DE268)+COUNTIF(DG$2:DG267,DE268)=1,MAX(JL$2:JN267)+1,""))</f>
        <v/>
      </c>
      <c r="JM268" t="str">
        <f>IF(DF268="","",IF(COUNTIF(DE$3:DE268,DF268)+COUNTIF(DF$3:DF268,DF268)+COUNTIF(DG$2:DG267,DF268)=1,MAX(JL$2:JN267,JL268)+1,""))</f>
        <v/>
      </c>
      <c r="JN268" t="str">
        <f>IF(DG268="","",IF(COUNTIF(DE$3:DE268,DG268)+COUNTIF(DF$3:DF268,DG268)+COUNTIF(DG$3:DG268,DG268)=1,MAX(JL$2:JN267,JL268,JM268)+1,""))</f>
        <v/>
      </c>
      <c r="JO268" t="str">
        <f t="shared" si="683"/>
        <v>3х2,5</v>
      </c>
      <c r="JP268" t="str">
        <f>IF(JO268="","",IF(COUNTIF(JO$3:JO268,JO268)=1,MAX(JP$2:JP267)+1,""))</f>
        <v/>
      </c>
      <c r="JQ268" t="str">
        <f>IF(HG268="","",COUNTIF(HG$3:HG268,"?*"))</f>
        <v/>
      </c>
      <c r="JR268" t="str">
        <f>IF(OR(HG268="",HI268=""),"",IF(COUNTIFS(HG$3:HG268,"?*",HI$3:HI268,HI268)=1,MAX(JR$2:JR267)+1,""))</f>
        <v/>
      </c>
      <c r="JS268">
        <f t="shared" si="684"/>
        <v>1</v>
      </c>
      <c r="JT268">
        <f>IF(B268="","",COUNTIF(B$3:B268,"?*"))</f>
        <v>266</v>
      </c>
      <c r="JU268">
        <f>IF(HL268&lt;&gt;1,0,_xlfn.LET(_xlpm.k,MAX(IFERROR(--_xlfn.XLOOKUP(B268,Коды_код,Коды_3L),0),IFERROR(--_xlfn.XLOOKUP(BC268,Коды_код,Коды_3L),0),IFERROR(--_xlfn.XLOOKUP(LEFT(BC268,2),Коды_код,Коды_3L),0)),IF(_xlpm.k&gt;0,_xlpm.k,IF(IFERROR(--LEFT(SUBSTITUTE(JO268,"x","х"),FIND("х",SUBSTITUTE(JO268,"x","х"))-1),3)&gt;3,Каталог!$S$9,1))))</f>
        <v>1</v>
      </c>
      <c r="JV268">
        <f t="shared" si="685"/>
        <v>0</v>
      </c>
      <c r="JW268" t="str">
        <f t="shared" si="686"/>
        <v>авто</v>
      </c>
      <c r="JX268">
        <f t="shared" si="687"/>
        <v>30</v>
      </c>
      <c r="JY268">
        <f t="shared" si="688"/>
        <v>1</v>
      </c>
      <c r="JZ268">
        <f t="shared" si="689"/>
        <v>1</v>
      </c>
    </row>
    <row r="269" spans="1:286" x14ac:dyDescent="0.3">
      <c r="A269" t="s">
        <v>757</v>
      </c>
      <c r="B269" t="s">
        <v>1575</v>
      </c>
      <c r="C269" t="str">
        <f>Линии[[#This Row],[_авто наименование]]</f>
        <v>Розеточная группа, пом. 021A</v>
      </c>
      <c r="D269">
        <v>1</v>
      </c>
      <c r="E269">
        <v>0.18</v>
      </c>
      <c r="G269" t="str">
        <f>Линии[[#This Row],[_авто автомат]]</f>
        <v>2P С16А 30мА</v>
      </c>
      <c r="H269" t="str">
        <f>Линии[[#This Row],[_авто управление]]</f>
        <v/>
      </c>
      <c r="I269" t="str">
        <f>Линии[[#This Row],[_авто аппараты]]</f>
        <v/>
      </c>
      <c r="J269">
        <v>2.5</v>
      </c>
      <c r="K269">
        <v>3</v>
      </c>
      <c r="L269" t="str">
        <f>Линии[[#This Row],[_авто фаза]]</f>
        <v>L3</v>
      </c>
      <c r="M269" t="str">
        <f>Линии[[#This Row],[_авто клемма]]</f>
        <v>XT45</v>
      </c>
      <c r="N269" t="str">
        <f t="shared" si="552"/>
        <v/>
      </c>
      <c r="O269" s="6" cm="1">
        <f t="array" ref="O269">IF(B269="","",IF(BH269&lt;&gt;"",IFERROR(_xlfn.XLOOKUP(BH269,Щиты[Щит],Щиты[Iр, А]),""),IF(BP269=1,IF(OR(N(_xlfn.XLOOKUP(A269,Щиты[Щит],Щиты[Вводов],1))&lt;=1,LOWER(TRIM(_xlfn.XLOOKUP(A269,Щиты[Щит],Щиты[АВР],"")&amp;""))="да"),IFERROR(_xlfn.XLOOKUP(A269,Щиты[Щит],Щиты[Iр, А]),""),IFERROR(N(BS269)*_xlfn.XLOOKUP(A269,Щиты[Щит],Щиты[Кс итог])/(SQRT(3)*Uн_лин*_xlfn.XLOOKUP(A269,Щиты[Щит],Щиты[cos φ])),"")),IF(BV269=1,IFERROR(BS269*1000/BU269,""),IFERROR(_xlfn.IFS(BX269=1,BS269/((Uн_лин/SQRT(3))*CE269),BX269=3,BS269/(SQRT(3)*Uн_лин*CE269)),"")))))</f>
        <v>0.8204451193747313</v>
      </c>
      <c r="P269" s="7">
        <f>IF(B269="","",IFERROR(IF(VLOOKUP(BC269,Потребители_обозначение,4,FALSE)=1,VLOOKUP(BC269,Потребители_обозначение,3,FALSE)*(MAX(1,N(D269))*2-1)+EI269+VLOOKUP(BE269,Этаж_обозначение,3,FALSE)+VLOOKUP(BE269,Этаж_обозначение,4,FALSE),VLOOKUP(BC269,Потребители_обозначение,3,FALSE)*(MAX(1,N(D269))*2-1)+EI269),EI269))</f>
        <v>6</v>
      </c>
      <c r="Q269" s="6">
        <f t="shared" si="553"/>
        <v>1.23</v>
      </c>
      <c r="R269" t="str">
        <f t="shared" si="554"/>
        <v>ВВГнг(А)-LS (3х2,5)</v>
      </c>
      <c r="S269" t="str">
        <f>IF(BM269="","",IF(BN269="вводной узел","узел ","")&amp;"л."&amp;(INT((BM269-1)/Столбцов_на_лист)+1)&amp;" / "&amp;(MOD(BM269-1,Столбцов_на_лист)+1))</f>
        <v>л.4 / 8</v>
      </c>
      <c r="T269" s="119">
        <f t="shared" si="555"/>
        <v>0.4</v>
      </c>
      <c r="U269" s="7" t="str">
        <f>IF(OR(CG269=0,N(BV269)+N(IB269)=0),"",ROUNDUP(Запас_БП*(N(HY269)+N(HZ269)),0))</f>
        <v/>
      </c>
      <c r="V269" s="119" t="str">
        <f t="shared" si="556"/>
        <v/>
      </c>
      <c r="W269" s="7" t="str">
        <f>IFERROR(IF(OR(B269="",BP269=1,BV269=1,NOT(ISNUMBER(EN269)),N(DT269)=0),"",MAX(0,ROUNDDOWN((c_min*(Uн_лин*1000/SQRT(3))/(HT269*N(DT269))-_xlfn.XLOOKUP(A269,Щиты[Щит],Щиты[Zпетли на шинах, Ом]))*EN269/(2*ρкз_Cu),0))),"")</f>
        <v/>
      </c>
      <c r="Y269">
        <f>Линии[[#This Row],[_авто утечка]]</f>
        <v>30</v>
      </c>
      <c r="Z269">
        <v>1</v>
      </c>
      <c r="AA269">
        <v>230</v>
      </c>
      <c r="AB269" t="s">
        <v>562</v>
      </c>
      <c r="AG269" t="s">
        <v>810</v>
      </c>
      <c r="AI269" t="s">
        <v>561</v>
      </c>
      <c r="AK269" t="str">
        <f>Линии[[#This Row],[_авто модуль]]</f>
        <v/>
      </c>
      <c r="AM269">
        <v>59</v>
      </c>
      <c r="AN269" t="s">
        <v>11</v>
      </c>
      <c r="AO269">
        <v>3</v>
      </c>
      <c r="AQ269">
        <v>0</v>
      </c>
      <c r="AR269">
        <v>3</v>
      </c>
      <c r="AS269">
        <v>0</v>
      </c>
      <c r="BA269" cm="1">
        <f t="array" ref="BA269">ROW()-ROW(Линии[#Headers])</f>
        <v>267</v>
      </c>
      <c r="BC269" s="6" t="str">
        <f t="shared" si="557"/>
        <v>R</v>
      </c>
      <c r="BD269" t="str">
        <f t="shared" si="558"/>
        <v>1.021A.11</v>
      </c>
      <c r="BE269" t="str">
        <f t="shared" si="559"/>
        <v>1</v>
      </c>
      <c r="BF269" t="str">
        <f t="shared" si="560"/>
        <v>021A.11</v>
      </c>
      <c r="BG269" t="str">
        <f t="shared" si="561"/>
        <v>021A</v>
      </c>
      <c r="BH269" t="str">
        <f>IF(X269&lt;&gt;"",X269,IF(AND(B269&lt;&gt;"",B269&lt;&gt;A269,ISNUMBER(_xlfn.XMATCH(B269,Щиты[Щит]))),B269,""))</f>
        <v/>
      </c>
      <c r="BI269" t="str" cm="1">
        <f t="array" ref="BI269">IF(B269="","",IF(BH269&lt;&gt;"","Щит "&amp;BH269,_xlfn.LET(_xlpm.nm,IFERROR(_xlfn.XLOOKUP(BC269,Коды_код,Коды_имя)&amp;"",""),_xlpm.md,IFERROR(N(_xlfn.XLOOKUP(BC269,Коды_код,Коды_режим)),1),_xlpm.ex,IF(Имя_режим="по экспликации",IFERROR(_xlfn.XLOOKUP(BE269&amp;"|"&amp;BG269,Экспликация[Этаж]&amp;"|"&amp;Экспликация[Помещение],Экспликация[Название])&amp;"",""),""),_xlpm.rm,IF(BG269="","",IF(_xlpm.ex&lt;&gt;"",". "&amp;_xlpm.ex&amp;IF(Имя_пом="нет"," ("&amp;BG269&amp;")"," (пом. "&amp;BG269&amp;")"),IF(Имя_пом="нет"," ",", пом. ")&amp;BG269)),IF(_xlpm.nm="","",IF(_xlpm.md=2,_xlpm.nm&amp;" шлейф "&amp;BE269,_xlpm.nm&amp;_xlpm.rm)))))</f>
        <v>Розеточная группа, пом. 021A</v>
      </c>
      <c r="BJ269" t="str">
        <f t="shared" si="562"/>
        <v>Розеточная группа, пом. 021A</v>
      </c>
      <c r="BK269">
        <f>IFERROR(_xlfn.XMATCH(A269,Щиты[Щит]),0)</f>
        <v>10</v>
      </c>
      <c r="BL269">
        <f>_xlfn.LET(_xlpm.k,IFERROR(_xlfn.XLOOKUP(A269,Щиты[Щит],Щиты[Мест под вводной узел]),""),IF(_xlpm.k="",Столбцов_на_лист,N(_xlpm.k)))</f>
        <v>8</v>
      </c>
      <c r="BM269">
        <f t="shared" si="563"/>
        <v>59</v>
      </c>
      <c r="BN269" t="str">
        <f t="shared" si="564"/>
        <v>линии</v>
      </c>
      <c r="BO269" s="6">
        <f>IFERROR(N(_xlfn.XLOOKUP(BC269,Коды_код,Коды_квт)),0)</f>
        <v>0</v>
      </c>
      <c r="BP269">
        <f t="shared" si="565"/>
        <v>0</v>
      </c>
      <c r="BQ269" t="str">
        <f>IF(B269="","",IF(BH269&lt;&gt;"",IFERROR(_xlfn.XLOOKUP(BH269,Щиты[Щит],Щиты[Руст, кВт]),0),IF(BP269=1,IF(OR(N(_xlfn.XLOOKUP(A269,Щиты[Щит],Щиты[Вводов],1))&lt;=1,LOWER(TRIM(_xlfn.XLOOKUP(A269,Щиты[Щит],Щиты[АВР],"")&amp;""))="да"),IFERROR(_xlfn.XLOOKUP(A269,Щиты[Щит],Щиты[Руст, кВт]),0),SUMIFS(Линии[_Р для вводов],Линии[Щит],A269,Линии[Источник для режимов],GF269)),IF(BO269&gt;0,ROUND(BO269*MAX(1,N(D269)),3),""))))</f>
        <v/>
      </c>
      <c r="BR269">
        <f t="shared" si="566"/>
        <v>0.18</v>
      </c>
      <c r="BS269" s="6">
        <f>IF(B269="","",IF(BH269&lt;&gt;"",IFERROR(_xlfn.XLOOKUP(BH269,Щиты[Щит],Щиты[Руст, кВт]),0),N(BR269)))</f>
        <v>0.18</v>
      </c>
      <c r="BT269" t="str">
        <f>IF(B269="","",IFERROR(IF(VLOOKUP(BC269,Потребители_обозначение,8,FALSE)=0,"",VLOOKUP(BC269,Потребители_обозначение,8,FALSE)),""))</f>
        <v/>
      </c>
      <c r="BU269">
        <f t="shared" si="567"/>
        <v>230</v>
      </c>
      <c r="BV269">
        <f t="shared" si="568"/>
        <v>0</v>
      </c>
      <c r="BW269">
        <f>IF(B269="","",IF(BH269&lt;&gt;"",3,IFERROR(IF(N(VLOOKUP(BC269,Потребители_обозначение,9,FALSE))=0,1,VLOOKUP(BC269,Потребители_обозначение,9,FALSE)),1)))</f>
        <v>1</v>
      </c>
      <c r="BX269">
        <f t="shared" si="569"/>
        <v>1</v>
      </c>
      <c r="BY269" t="str">
        <f>IF(B269="","",_xlfn.LET(_xlpm.bc,IFERROR(IF(VLOOKUP(BC269,Потребители_обозначение,6,FALSE)=0,"",VLOOKUP(BC269,Потребители_обозначение,6,FALSE)&amp;""),""),IF(AND(GA269="да",OR(_xlpm.bc="",_xlpm.bc="мс")),Марка_пож,IF(AND(_xlpm.bc="",BH269&lt;&gt;""),"мс",_xlpm.bc))))</f>
        <v/>
      </c>
      <c r="BZ269" t="str">
        <f t="shared" si="570"/>
        <v>мс</v>
      </c>
      <c r="CA269">
        <f>IF(B269="","",_xlfn.LET(_xlpm.cc,IFERROR(N(VLOOKUP(BC269,Потребители_обозначение,7,FALSE)),0),IF(_xlpm.cc&gt;0,_xlpm.cc,IF(BZ269="","",IF(BV269=1,2,IF(N(BX269)=3,5,3))))))</f>
        <v>3</v>
      </c>
      <c r="CB269">
        <f t="shared" si="571"/>
        <v>3</v>
      </c>
      <c r="CC269">
        <f>IFERROR(N(VLOOKUP(BC269,Потребители_обозначение,10,FALSE)),0)</f>
        <v>0</v>
      </c>
      <c r="CD269">
        <f>IFERROR(VLOOKUP(BC269,Потребители_обозначение,5,FALSE),0)</f>
        <v>1</v>
      </c>
      <c r="CE269" s="6" cm="1">
        <f t="array" ref="CE269">IF(B269="","",IF(BH269&lt;&gt;"",IFERROR(_xlfn.XLOOKUP(BH269,Щиты[Щит],Щиты[cos φ]),0.95),IF(BP269=1,IFERROR(_xlfn.XLOOKUP(A269,Щиты[Щит],Щиты[cos φ]),0.95),IF(ISNUMBER(AD269),AD269,IFERROR(IF(CD269=2,_xlfn.IFS(BX269=3,VLOOKUP(BS269,Справочная_двигатели,8,FALSE),BX269=1,VLOOKUP(BS269,Справочная_двигатели,10,TRUE)),IF(AND(Методика="нормы 2026",FG269="Сил"),0.8,0.95)),0.95)))))</f>
        <v>0.95</v>
      </c>
      <c r="CF269">
        <f t="shared" si="572"/>
        <v>0</v>
      </c>
      <c r="CG269">
        <f t="shared" si="573"/>
        <v>1</v>
      </c>
      <c r="CH269">
        <f t="shared" si="574"/>
        <v>0</v>
      </c>
      <c r="CI269">
        <f>IF(B269="","",IF(BV269=1,IFERROR(BS269/((Uн_лин/SQRT(3))*MAX(0.5,N(CE269))),0),N(O269)))</f>
        <v>0.8204451193747313</v>
      </c>
      <c r="CJ269">
        <f t="shared" si="575"/>
        <v>0</v>
      </c>
      <c r="CK269">
        <f t="shared" si="576"/>
        <v>0</v>
      </c>
      <c r="CL269">
        <f t="shared" si="577"/>
        <v>0</v>
      </c>
      <c r="CM269">
        <f t="shared" si="578"/>
        <v>0</v>
      </c>
      <c r="CN269">
        <f t="shared" si="579"/>
        <v>0</v>
      </c>
      <c r="CO269">
        <f>IF(BC269="",0,_xlfn.LET(_xlpm.v,IFERROR(_xlfn.XLOOKUP(B269,Коды_код,Коды_мА),IFERROR(_xlfn.XLOOKUP(BC269,Коды_код,Коды_мА),IFERROR(_xlfn.XLOOKUP(LEFT(BC269,2),Коды_код,Коды_мА),""))),IF(_xlpm.v="да",30,IF(ISNUMBER(_xlpm.v),_xlpm.v,0))))</f>
        <v>30</v>
      </c>
      <c r="CP269">
        <f t="shared" si="580"/>
        <v>30</v>
      </c>
      <c r="CQ269" t="str">
        <f>_xlfn.LET(_xlpm.k,IFERROR(_xlfn.XLOOKUP(BC269,Коды_код,Коды_утечка)&amp;"",""),IF(_xlpm.k="","дифавтомат",_xlpm.k))</f>
        <v>дифавтомат</v>
      </c>
      <c r="CR269" t="str" cm="1">
        <f t="array" ref="CR269">IF(CG269=0,"",_xlfn.LET(_xlpm.sg,TRIM(_xlfn.TEXTSPLIT(DD269&amp;"",";")),_xlpm.f_,_xlfn._xlws.FILTER(_xlpm.sg,LEFT(_xlpm.sg,3)="УЗО",""),IFERROR(INDEX(_xlpm.f_,1)&amp;"","")))</f>
        <v/>
      </c>
      <c r="CS269" t="str">
        <f t="shared" si="581"/>
        <v/>
      </c>
      <c r="CT269" s="6" t="str" cm="1">
        <f t="array" ref="CT269">IF(CR269="","",_xlfn.LET(_xlpm.tk,_xlfn.TEXTSPLIT(UPPER(CR269)," ",,TRUE),_xlpm.a_,_xlfn._xlws.FILTER(_xlpm.tk,ISNUMBER(--LEFT(_xlpm.tk,1))*((ISNUMBER(SEARCH("А",_xlpm.tk))+ISNUMBER(SEARCH("A",_xlpm.tk)))&gt;0)*NOT(ISNUMBER(SEARCH("МА",_xlpm.tk)))*NOT(ISNUMBER(SEARCH("MA",_xlpm.tk))),""),IFERROR(--SUBSTITUTE(SUBSTITUTE(INDEX(_xlpm.a_,1),"А",""),"A",""),"")))</f>
        <v/>
      </c>
      <c r="CU269" t="str" cm="1">
        <f t="array" ref="CU269">IF(CR269="","",_xlfn.LET(_xlpm.tk,_xlfn.TEXTSPLIT(UPPER(CR269)," ",,TRUE),_xlpm.a_,_xlfn._xlws.FILTER(_xlpm.tk,ISNUMBER(--LEFT(_xlpm.tk,1))*((ISNUMBER(SEARCH("МА",_xlpm.tk))+ISNUMBER(SEARCH("MA",_xlpm.tk)))&gt;0),""),IFERROR(--SUBSTITUTE(SUBSTITUTE(INDEX(_xlpm.a_,1),"МА",""),"MA",""),30)))</f>
        <v/>
      </c>
      <c r="CV269" t="str">
        <f>IF(CS269="","",IFERROR(_xlfn.XLOOKUP(CS269,Линии[_n],Линии[_УЗО, мА]),30))</f>
        <v/>
      </c>
      <c r="CW269">
        <f>IF(CS269="",0,IF(ISNUMBER(SEARCH("4P",IFERROR(_xlfn.XLOOKUP(CS269,Линии[_n],Линии[_УЗО строки])&amp;"",""))),0,1))</f>
        <v>0</v>
      </c>
      <c r="CX269" t="str">
        <f>IF(AND(CS269&lt;&gt;"",CS269=BA269),SUMIFS(Линии[_ток на 230 В],Линии[_блок УЗО],BA269,Линии[Щит],A269),"")</f>
        <v/>
      </c>
      <c r="CY269" t="str">
        <f>IF(AND(CS269&lt;&gt;"",CS269=BA269),SUMIFS(Линии[_ток утечки линии, мА],Линии[_блок УЗО],BA269,Линии[Щит],A269),"")</f>
        <v/>
      </c>
      <c r="CZ269">
        <f t="shared" si="582"/>
        <v>30</v>
      </c>
      <c r="DA269">
        <f t="shared" si="583"/>
        <v>30</v>
      </c>
      <c r="DB269">
        <f>IF(B269="",0,IFERROR(--_xlfn.XLOOKUP(B269,Коды_код,Коды_минавт),IFERROR(--_xlfn.XLOOKUP(BC269,Коды_код,Коды_минавт),IFERROR(--_xlfn.XLOOKUP(LEFT(BC269,2),Коды_код,Коды_минавт),0))))</f>
        <v>16</v>
      </c>
      <c r="DC269" t="str">
        <f>IF(B269="","",IFERROR(_xlfn.XLOOKUP(BC269,Коды_код,Коды_апп)&amp;"",""))</f>
        <v/>
      </c>
      <c r="DD269" t="str">
        <f t="shared" si="584"/>
        <v/>
      </c>
      <c r="DE269" t="str" cm="1">
        <f t="array" ref="DE269">IF(TRIM(DD269&amp;"")="","",IFERROR(TRIM(INDEX(_xlfn.TEXTSPLIT(DD269&amp;";;;",";"),1)),""))</f>
        <v/>
      </c>
      <c r="DF269" t="str" cm="1">
        <f t="array" ref="DF269">IF(TRIM(DD269&amp;"")="","",IFERROR(TRIM(INDEX(_xlfn.TEXTSPLIT(DD269&amp;";;;",";"),2)),""))</f>
        <v/>
      </c>
      <c r="DG269" t="str" cm="1">
        <f t="array" ref="DG269">IF(TRIM(DD269&amp;"")="","",IFERROR(TRIM(INDEX(_xlfn.TEXTSPLIT(DD269&amp;";;;",";"),3)),""))</f>
        <v/>
      </c>
      <c r="DH269">
        <f t="shared" si="585"/>
        <v>0</v>
      </c>
      <c r="DI269" t="str">
        <f>IF(B269="","",_xlfn.LET(_xlpm.t,LOWER(AZ269&amp;""),IF(ISNUMBER(SEARCH("dim",_xlpm.t)),"DIM",IF(ISNUMBER(SEARCH("dali",_xlpm.t)),"DALI",IF(OR(ISNUMBER(SEARCH("relay",_xlpm.t)),ISNUMBER(SEARCH("реле",_xlpm.t))),"Relay",IF(ISNUMBER(SEARCH("кнопк",_xlpm.t)),"",IFERROR(_xlfn.XLOOKUP(BC269,Коды_код,Коды_упр)&amp;"","")))))))</f>
        <v/>
      </c>
      <c r="DJ269" t="str">
        <f t="shared" si="586"/>
        <v/>
      </c>
      <c r="DK269">
        <f>IF(B269="","",_xlfn.LET(_xlpm.ig,IF(N(CX269)&gt;0,N(CX269),N(CI269)+IF(AJ269="вручную",0,N(CJ269))),_xlpm.n0,IFERROR(VLOOKUP(_xlpm.ig,Автомат_номиналы,2,TRUE),0),_xlpm.mn,MAX(DB269,IF(AJ269="вручную",0,N(CM269))),MAX(_xlpm.n0,_xlpm.mn,IF(DH269=1,Мин_автомат_БП,0))))</f>
        <v>16</v>
      </c>
      <c r="DL269">
        <f t="shared" si="587"/>
        <v>1</v>
      </c>
      <c r="DM269" t="str">
        <f t="shared" si="588"/>
        <v>2P</v>
      </c>
      <c r="DN269" t="str">
        <f>_xlfn.LET(_xlpm.cc,UPPER(TRIM(IFERROR(_xlfn.XLOOKUP(BC269,Коды_код,Коды_хар)&amp;"",""))),IF(OR(_xlpm.cc="B",_xlpm.cc="В"),"B",IF(_xlpm.cc="D","D","С")))</f>
        <v>С</v>
      </c>
      <c r="DO269" t="str">
        <f t="shared" si="589"/>
        <v>2P С16А 30мА</v>
      </c>
      <c r="DP269" t="str">
        <f t="shared" si="590"/>
        <v>2P С16А 30мА</v>
      </c>
      <c r="DQ269" t="str">
        <f t="shared" si="591"/>
        <v>2P С16А 30мА</v>
      </c>
      <c r="DR269" cm="1">
        <f t="array" ref="DR269">IF(DQ269="","",_xlfn.LET(_xlpm.t,SUBSTITUTE(SUBSTITUTE(SUBSTITUTE(UPPER(DQ269),"С","C"),"А","A"),"В","B"),_xlpm.tk,_xlfn.TEXTSPLIT(_xlpm.t," "),_xlpm.f,_xlfn._xlws.FILTER(_xlpm.tk,ISNUMBER(--MID(_xlpm.tk,2,1))*ISNUMBER(SEARCH(LEFT(_xlpm.tk,1)&amp;"#","B#C#D#"))*(LEN(_xlpm.tk)&gt;1),""),_xlpm.x,INDEX(_xlpm.f,1),IFERROR(--SUBSTITUTE(MID(_xlpm.x,2,9),"A",""),IFERROR(--SUBSTITUTE(INDEX(_xlfn._xlws.FILTER(_xlpm.tk,ISNUMBER(--SUBSTITUTE(_xlpm.tk,"A","")),""),1),"A",""),""))))</f>
        <v>16</v>
      </c>
      <c r="DS269" t="str">
        <f t="shared" si="592"/>
        <v>ok</v>
      </c>
      <c r="DT269">
        <f t="shared" si="593"/>
        <v>16</v>
      </c>
      <c r="DU269" t="str">
        <f t="shared" si="594"/>
        <v>2P С16А 30мА</v>
      </c>
      <c r="DV269">
        <f t="shared" si="595"/>
        <v>30</v>
      </c>
      <c r="DW269">
        <f t="shared" si="596"/>
        <v>1</v>
      </c>
      <c r="DX269">
        <f t="shared" si="597"/>
        <v>0</v>
      </c>
      <c r="DY269">
        <f t="shared" si="598"/>
        <v>0.8204451193747313</v>
      </c>
      <c r="DZ269">
        <f t="shared" si="599"/>
        <v>1</v>
      </c>
      <c r="EA269">
        <f>IF(ISNUMBER(AP269),AP269,К_прокл)</f>
        <v>1</v>
      </c>
      <c r="EB269">
        <f t="shared" si="600"/>
        <v>2</v>
      </c>
      <c r="EC269">
        <f>IFERROR(N(VLOOKUP(BZ269,Кабель_обозначение,3,FALSE)),1)</f>
        <v>1</v>
      </c>
      <c r="ED269">
        <f>IFERROR(N(_xlfn.XLOOKUP(A269,Щиты[Щит],Щиты[ΔU до шин, %])),0)</f>
        <v>1.19</v>
      </c>
      <c r="EE269" t="str">
        <f>IFERROR(_xlfn.XLOOKUP(A269,Щиты[Щит],Щиты[Zпетли на шинах, Ом]),"")</f>
        <v/>
      </c>
      <c r="EF269">
        <f>IFERROR(N(_xlfn.XLOOKUP(A269,Щиты[Щит],Щиты[ΔU до шин (подбор), %])),0)</f>
        <v>1.19</v>
      </c>
      <c r="EG269" t="str">
        <f>IFERROR(_xlfn.XLOOKUP(A269,Щиты[Щит],Щиты[Zпетли на шинах (подбор), Ом]),"")</f>
        <v/>
      </c>
      <c r="EH269" t="str">
        <f t="shared" si="601"/>
        <v/>
      </c>
      <c r="EI269">
        <f t="shared" si="602"/>
        <v>3</v>
      </c>
      <c r="EJ269">
        <f t="shared" si="603"/>
        <v>2</v>
      </c>
      <c r="EK269">
        <f t="shared" si="604"/>
        <v>0.31</v>
      </c>
      <c r="EL269" s="6">
        <f>IF(B269="","",IF(BV269=1,dU_LED,IF(IFERROR(_xlfn.XLOOKUP(BC269,Коды_код,Коды_уго),"")="Светильник",3,4)+IF(Методика="нормы 2026",MIN(0.5,MAX(0,N(P269)-100)*0.005),0)))</f>
        <v>4</v>
      </c>
      <c r="EM269" cm="1">
        <f t="array" ref="EM269">IF(OR(B269="",BZ269="",EC269&lt;&gt;1),"",_xlfn.LET(_xlpm.sz,Iдоп_S,_xlpm.t_,CHOOSE(EB269,Iдоп_1ж,Iдоп_2ж,Iдоп_3ж)*DZ269*EA269,_xlpm.dcx,BV269=1,_xlpm.inn,IF(_xlpm.dcx,N(O269),N(DT269)),_xlpm.smin,MAX(1.5,CC269),_xlpm.L_,N(P269)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269)/N(BU269)*100,999),IFERROR(N(EJ269)*(_xlpm.rho*_xlpm.L_/_xlpm.sz*N(CE269)+_xlpm.xx*_xlpm.L_*N(EK269)/1000)*N(O269)/((Uн_лин/SQRT(3))*1000)*100,999)),_xlpm.kz,IF(OR(_xlpm.dcx,DW269=1,NOT(ISNUMBER(EG269)),_xlpm.L_=0,_xlpm.inn=0),1,IFERROR(--(c_min*(Uн_лин*1000/SQRT(3))/(EG269+2*ρкз_Cu*_xlpm.L_/_xlpm.sz)&gt;=HT269*_xlpm.inn),0)),_xlpm.ok,IFERROR((_xlpm.sz&gt;=_xlpm.smin)*(_xlpm.t_&gt;=_xlpm.inn)*IF(_xlpm.L_&gt;0,(_xlpm.du_+IF(_xlpm.dcx,0,EF269)&lt;=EL269+0.00001),1)*_xlpm.kz,0),_xlpm.r_,_xlfn._xlws.FILTER(_xlpm.sz,_xlpm.ok,"не подобрано"),INDEX(_xlpm.r_,1)))</f>
        <v>1.5</v>
      </c>
      <c r="EN269">
        <f t="shared" si="605"/>
        <v>2.5</v>
      </c>
      <c r="EO269" cm="1">
        <f t="array" ref="EO269">IF(OR(B269="",BZ269="",EC269&lt;&gt;1),"",_xlfn.LET(_xlpm.sz,Iдоп_S,_xlpm.t_,CHOOSE(EB269,Iдоп_1ж,Iдоп_2ж,Iдоп_3ж)*DZ269*EA269,_xlpm.ok,IFERROR((_xlpm.sz&gt;=MAX(1.5,CC269))*(_xlpm.t_&gt;=N(DT269)),0),_xlpm.r_,_xlfn._xlws.FILTER(_xlpm.sz,_xlpm.ok,""),INDEX(_xlpm.r_,1)))</f>
        <v>1.5</v>
      </c>
      <c r="EP269" s="6" cm="1">
        <f t="array" ref="EP269">IFERROR(ROUNDUP(N(EJ269)*(_xlfn.XLOOKUP(EO269,INDEX(Кабель_сопротивление,0,1),INDEX(Кабель_сопротивление,0,3))*N(P269)/EO269*N(CE269)+_xlfn.XLOOKUP(EO269,INDEX(Кабель_сопротивление,0,1),INDEX(Кабель_сопротивление,0,2))*N(P269)*N(EK269)/1000)*N(O269)/((Uн_лин/SQRT(3))*1000)*100,2),"")</f>
        <v>6.9999999999999993E-2</v>
      </c>
      <c r="EQ269">
        <f>IFERROR(2*ρкз_Cu*N(P269)/EO269,"")</f>
        <v>0.2104</v>
      </c>
      <c r="ER269">
        <f>IFERROR(VLOOKUP(EN269,Кабель_сопротивление,3,FALSE),"")</f>
        <v>2.2499999999999999E-2</v>
      </c>
      <c r="ES269">
        <f>IFERROR(VLOOKUP(EN269,Кабель_сопротивление,2,FALSE),"")</f>
        <v>0.1</v>
      </c>
      <c r="ET269">
        <f t="shared" si="606"/>
        <v>3</v>
      </c>
      <c r="EU269">
        <f t="shared" si="607"/>
        <v>0</v>
      </c>
      <c r="EV269">
        <f t="shared" si="608"/>
        <v>8.4482874832254834E-2</v>
      </c>
      <c r="EW269" s="6">
        <f>IFERROR(ROUNDUP(EV269/IF(BV269=1,BU269,(Uн_лин/SQRT(3))*1000)*100,2),"")</f>
        <v>0.04</v>
      </c>
      <c r="EX269" t="str">
        <f>IFERROR(VLOOKUP(BZ269,Кабель_обозначение,2,FALSE),"")</f>
        <v>ВВГнг(А)-LS</v>
      </c>
      <c r="EY269" t="str">
        <f t="shared" si="609"/>
        <v>ВВГнг(А)-LS (3х2,5)</v>
      </c>
      <c r="EZ269" t="str">
        <f t="shared" si="610"/>
        <v>ВВГнг(А)-LS (3х2,5)
L=6-0,04%</v>
      </c>
      <c r="FA269">
        <f>IFERROR(2*ρкз_Cu*P269/EN269,"")</f>
        <v>0.12623999999999999</v>
      </c>
      <c r="FB269">
        <f t="shared" si="611"/>
        <v>4.2000000000000003E-2</v>
      </c>
      <c r="FC269" s="6" t="str">
        <f>IFERROR(IF(OR(B269="",BV269=1,NOT(ISNUMBER(EN269)),N(P269)=0),"",_xlfn.XLOOKUP(A269,Щиты[Щит],Щиты[Zпетли на шинах, Ом])+FA269),"")</f>
        <v/>
      </c>
      <c r="FD269" s="6" t="str">
        <f>IF(ISNUMBER(FC269),c_min*(Uн_лин*1000/SQRT(3))/FC269,"")</f>
        <v/>
      </c>
      <c r="FE269" s="6" t="str">
        <f>IFERROR(IF(OR(B269="",NOT(ISNUMBER(EN269))),"",1.05*(Uн_лин*1000/SQRT(3))/(_xlfn.XLOOKUP(A269,Щиты[Щит],Щиты[Zmax на шинах, Ом])+FB269)/1000),"")</f>
        <v/>
      </c>
      <c r="FF269" s="6" t="str">
        <f>IF(B269="","",IF(ISNUMBER(AC269),"Сил",IF(IFERROR(_xlfn.XLOOKUP(BC269,Коды_код,Коды_группа)&amp;"","")="","Быт",_xlfn.XLOOKUP(BC269,Коды_код,Коды_группа)&amp;"")))</f>
        <v>Быт</v>
      </c>
      <c r="FG269" s="6" t="str">
        <f t="shared" si="612"/>
        <v>Быт</v>
      </c>
      <c r="FH269" s="6">
        <f>IF(FG269="Щит","щит",IF(FG269="","",IF(FG269="Быт",IFERROR(_xlfn.XLOOKUP(A269,Щиты[Щит],Щиты[Кс быт]),1),IF(FG269="Сил",IF(ISNUMBER(AC269),AC269,IF(Методика="нормы 2026",IFERROR(_xlfn.XLOOKUP(A269,Щиты[Щит],Щиты[Кс силовых (табл. 7.5)]),1),1)),IF(OR(FG269="Пост",FG269="Отоп"),1,IF(FG269="ВНГ",0.7,0))))))</f>
        <v>0.57830000000000004</v>
      </c>
      <c r="FI269">
        <f>IF(FG269="","",IF(AND(BP269=1,TRIM(AE269&amp;"")=""),IF(COUNTIFS(Линии[Щит],A269,Линии[Секция (1/2/3)],"&gt;=2")&gt;0,MIN(3,MAX(1,IFERROR(--BD269,1))),1),IFERROR(MIN(3,MAX(1,INT(--AE269))),1)))</f>
        <v>1</v>
      </c>
      <c r="FJ269">
        <f t="shared" si="613"/>
        <v>0.18</v>
      </c>
      <c r="FK269">
        <f t="shared" si="614"/>
        <v>0.18</v>
      </c>
      <c r="FL269">
        <f t="shared" si="615"/>
        <v>0</v>
      </c>
      <c r="FM269">
        <f t="shared" si="616"/>
        <v>0</v>
      </c>
      <c r="FN269">
        <f t="shared" si="617"/>
        <v>0</v>
      </c>
      <c r="FO269">
        <f t="shared" si="618"/>
        <v>0</v>
      </c>
      <c r="FP269">
        <f t="shared" si="619"/>
        <v>0.18</v>
      </c>
      <c r="FQ269">
        <f t="shared" si="620"/>
        <v>0.18</v>
      </c>
      <c r="FR269">
        <f t="shared" si="621"/>
        <v>0.17099999999999999</v>
      </c>
      <c r="FS269">
        <f>IF(CG269=1,IF(AND(CH269=1,CW269=1),0,IF(AND(CS269&lt;&gt;"",CS269=BA269,CW269=1),SUMIFS(Линии[_Р линии, кВт],Линии[_блок УЗО],BA269,Линии[Щит],A269),N(BS269)+IF(AJ269="вручную",0,N(CK269)))),0)</f>
        <v>0.18</v>
      </c>
      <c r="FT269" t="str">
        <f t="shared" si="622"/>
        <v/>
      </c>
      <c r="FU269" t="str">
        <f>IF(B269="","",IF(CG269=0,IF(BA269=1,"",FW268),IF(AND(CH269=1,CW269=1,CS269&lt;&gt;""),IFERROR(_xlfn.XLOOKUP(CS269,Линии[_n],Линии[_фаза итог]),"L1"),IF(OR(N(DL269)&gt;=3,N(BX269)&gt;=3),"L1,L2,L3",IFERROR(_xlfn.TEXTBEFORE(_xlfn.TEXTAFTER(_xlfn.XLOOKUP(A269,Щиты[Щит],Щиты[_фазы авто]),";"&amp;BA269&amp;":"),";"),"L1")))))</f>
        <v>L3</v>
      </c>
      <c r="FV269" t="str">
        <f t="shared" si="623"/>
        <v>L3</v>
      </c>
      <c r="FW269" t="str">
        <f t="shared" si="624"/>
        <v>L3</v>
      </c>
      <c r="FX269" cm="1">
        <f t="array" ref="FX269">IFERROR(IF(CD269=2,_xlfn.IFS(BX269=3,VLOOKUP(BS269,Справочная_двигатели,3,FALSE),BX269=1,VLOOKUP(BS269,Справочная_двигатели,5,TRUE)),0),0)</f>
        <v>0</v>
      </c>
      <c r="FY269">
        <f>IFERROR(IF(CD269=3,VLOOKUP(BS269,Справочная_ЛЭД,2,TRUE),0),0)</f>
        <v>0</v>
      </c>
      <c r="FZ269" s="6">
        <f t="shared" si="625"/>
        <v>0</v>
      </c>
      <c r="GA269" t="str">
        <f>IF(B269="","",IF(TRIM(AH269&amp;"")&lt;&gt;"",IF(LOWER(TRIM(AH269&amp;""))="да","да","нет"),IF(IFERROR(_xlfn.XLOOKUP(BC269,Коды_код,Коды_пожарная),"")="да","да","нет")))</f>
        <v>нет</v>
      </c>
      <c r="GB269" t="str">
        <f t="shared" si="626"/>
        <v/>
      </c>
      <c r="GC269" t="str">
        <f t="shared" si="627"/>
        <v>основная</v>
      </c>
      <c r="GD269">
        <f>IF(AND(BP269=1,TRIM(AE269&amp;"")=""),IF(COUNTIFS(Линии[Щит],A269,Линии[Секция (1/2/3)],"&gt;=2")&gt;0,MIN(3,MAX(1,IFERROR(--BD269,1))),1),IFERROR(MIN(3,MAX(1,INT(--AE269))),1))</f>
        <v>1</v>
      </c>
      <c r="GE269" t="str" cm="1">
        <f t="array" ref="GE269">IF(B269="","",_xlfn.LET(_xlpm.t,IFERROR(_xlfn.XLOOKUP(1,(Шины[Шина]=GC269)*(((Шины[Щит]=A269)+(Шины[Щит]=""))&gt;0),Шины[Тип]),"")&amp;"",IF(_xlpm.t&lt;&gt;"",_xlpm.t,IF(ISNUMBER(SEARCH("ИБП",GC269)),"ИБП",IF(ISNUMBER(SEARCH("ДГУ",GC269)),"ДГУ","Ввод "&amp;GD269)))))</f>
        <v>Ввод 1</v>
      </c>
      <c r="GF269" t="str">
        <f t="shared" si="628"/>
        <v>Ввод 1</v>
      </c>
      <c r="GG269" t="str">
        <f>IF(BP269=0,"",IF(TRIM(AG269&amp;"")&lt;&gt;"",TRIM(AG269&amp;""),IF(OR(GE269="ИБП",GE269="ДГУ"),"I особая",_xlfn.XLOOKUP(A269,Щиты[Щит],Щиты[Категория шины «Ввод»],"III"))))</f>
        <v/>
      </c>
      <c r="GH269" t="str">
        <f>IF(A269="","",_xlfn.XLOOKUP(A269,Щиты[Щит],Щиты[Путь],""))</f>
        <v>|ГРЩ-ЖД|ЩР-1|</v>
      </c>
      <c r="GI269" t="str">
        <f>IF(B269="","",IF(AI269&lt;&gt;"",AI269,IF(IFERROR(_xlfn.XLOOKUP(BC269,Коды_код,Коды_вид)&amp;"","")="","Прочее",_xlfn.XLOOKUP(BC269,Коды_код,Коды_вид)&amp;"")))</f>
        <v>Розеточная сеть и бытовые приборы</v>
      </c>
      <c r="GJ269">
        <f>IF(BM269="","",INT((BM269-1)/Столбцов_на_лист)+1)</f>
        <v>4</v>
      </c>
      <c r="GK269" t="str">
        <f t="shared" si="629"/>
        <v>ВВГнг(А)-LS (3х2,5) L=6-0,04%</v>
      </c>
      <c r="GL269">
        <f t="shared" si="630"/>
        <v>0.18</v>
      </c>
      <c r="GM269">
        <f t="shared" si="631"/>
        <v>0.83</v>
      </c>
      <c r="GN269">
        <f t="shared" si="632"/>
        <v>1</v>
      </c>
      <c r="GO269">
        <f t="shared" si="633"/>
        <v>0</v>
      </c>
      <c r="GP269">
        <f t="shared" si="634"/>
        <v>1</v>
      </c>
      <c r="GQ269">
        <f>IF(BM269="","",IF(AND(CG269=1,GP269=1),COUNTIFS(A$3:A269,A269,CG$3:CG269,1,GP$3:GP269,1),IF(OR(OR(BA269=1,A269&lt;&gt;A268),AJ269="вручную",GP269=0),"",IF(BA269=1,"",GR268))))</f>
        <v>45</v>
      </c>
      <c r="GR269">
        <f t="shared" si="635"/>
        <v>45</v>
      </c>
      <c r="GS269">
        <f>IF(B269="","",IFERROR(LOOKUP(INDEX(CHOOSE(EB269,Iдоп_1ж,Iдоп_2ж,Iдоп_3ж),MATCH(EN269,Iдоп_S,0))*DZ269*EA269,{6,10,16,20,25,32,40,50,63,80,100,125,160,200,250,315,400,500,630}),""))</f>
        <v>25</v>
      </c>
      <c r="GT269" t="str">
        <f t="shared" si="636"/>
        <v>QFD45</v>
      </c>
      <c r="GU269" t="str">
        <f t="shared" si="637"/>
        <v>QFD45</v>
      </c>
      <c r="GV269" t="str">
        <f t="shared" si="638"/>
        <v/>
      </c>
      <c r="GW269">
        <f t="shared" si="639"/>
        <v>0</v>
      </c>
      <c r="GX269" t="str">
        <f>IF(OR(B269="",DJ269=""),"",IFERROR(_xlfn.XLOOKUP(DJ269,Модули_умолч[Управление],Модули_умолч[Модель])&amp;"",""))</f>
        <v/>
      </c>
      <c r="GY269">
        <f>IF(DJ269="",1,IFERROR(MAX(0,N(_xlfn.XLOOKUP(DJ269,Модули_умолч[Управление],Модули_умолч[Каналов на линию]))),1))</f>
        <v>1</v>
      </c>
      <c r="GZ269" t="str">
        <f t="shared" si="640"/>
        <v/>
      </c>
      <c r="HA269" t="str">
        <f t="shared" si="641"/>
        <v/>
      </c>
      <c r="HB269" t="str">
        <f t="shared" si="642"/>
        <v/>
      </c>
      <c r="HC269">
        <f>IF(HB269="",0,IFERROR(N(VLOOKUP(HB269,Модули_спр,3,FALSE)),0))</f>
        <v>0</v>
      </c>
      <c r="HD269" t="str">
        <f t="shared" si="643"/>
        <v/>
      </c>
      <c r="HE269" t="str">
        <f t="shared" si="644"/>
        <v/>
      </c>
      <c r="HF269" t="str">
        <f>IF(OR(HE269="",HE269="-"),"",IFERROR(VLOOKUP(HE269,Модули_спр,2,FALSE),"R"))</f>
        <v/>
      </c>
      <c r="HG269" t="str">
        <f>IF(HF269="","",HF269&amp;"."&amp;COUNTIFS(A$3:A269,A269,HF$3:HF269,HF269))</f>
        <v/>
      </c>
      <c r="HH269" t="str">
        <f t="shared" si="645"/>
        <v/>
      </c>
      <c r="HI269" t="str">
        <f t="shared" si="646"/>
        <v/>
      </c>
      <c r="HJ269" t="str">
        <f t="shared" si="647"/>
        <v/>
      </c>
      <c r="HK269" t="str">
        <f t="shared" si="648"/>
        <v/>
      </c>
      <c r="HL269">
        <f t="shared" si="649"/>
        <v>1</v>
      </c>
      <c r="HM269" t="str">
        <f>IF(HL269=1,"XT"&amp;COUNTIFS(A$3:A269,A269,HL$3:HL269,1),"")</f>
        <v>XT45</v>
      </c>
      <c r="HN269" t="str">
        <f t="shared" si="650"/>
        <v>XT45</v>
      </c>
      <c r="HO269" t="str">
        <f t="shared" si="651"/>
        <v>QFD45</v>
      </c>
      <c r="HP269" t="str">
        <f t="shared" si="652"/>
        <v/>
      </c>
      <c r="HQ269" t="str">
        <f t="shared" si="653"/>
        <v>ok</v>
      </c>
      <c r="HR269" t="str">
        <f>IF(OR(HJ269="",HH269=""),"",IF(HJ269+MAX(0,GY269-1)&gt;IFERROR(VLOOKUP(HI269,Модули_спр,3,FALSE),99),"ЛИШНИЙ КАНАЛ",IF(AND(AL269&lt;&gt;"=",GY269&gt;0,COUNTIFS(Линии[_модуль гр.],HH269,Линии[Канал (итог)],HJ269,Линии[Канал],"&lt;&gt;=",Линии[Щит],A269)&gt;1),"ДУБЛЬ КАНАЛА","")))</f>
        <v/>
      </c>
      <c r="HS269" s="6" t="str">
        <f t="shared" si="654"/>
        <v/>
      </c>
      <c r="HT269">
        <f t="shared" si="655"/>
        <v>10</v>
      </c>
      <c r="HU269" t="str">
        <f t="shared" si="656"/>
        <v/>
      </c>
      <c r="HV269">
        <f t="shared" si="657"/>
        <v>0.38817804774989256</v>
      </c>
      <c r="HW269">
        <f t="shared" si="658"/>
        <v>0</v>
      </c>
      <c r="HX269">
        <f t="shared" si="659"/>
        <v>0</v>
      </c>
      <c r="HY269">
        <f t="shared" si="660"/>
        <v>0</v>
      </c>
      <c r="HZ269">
        <f t="shared" si="661"/>
        <v>0</v>
      </c>
      <c r="IA269">
        <f t="shared" si="662"/>
        <v>0</v>
      </c>
      <c r="IB269">
        <f t="shared" si="663"/>
        <v>0</v>
      </c>
      <c r="IC269" t="str">
        <f t="shared" si="664"/>
        <v/>
      </c>
      <c r="ID269" t="str" cm="1">
        <f t="array" ref="ID269">IF(IC269="","",_xlfn.LET(_xlpm.tk,_xlfn.TEXTSPLIT(SUBSTITUTE(SUBSTITUTE(IC269,";"," "),"→"," ")," ",,TRUE),_xlpm.w_,_xlfn._xlws.FILTER(_xlpm.tk,ISNUMBER(--LEFT(_xlpm.tk,1))*((ISNUMBER(SEARCH("W",_xlpm.tk))+ISNUMBER(SEARCH("Вт",_xlpm.tk)))&gt;0),""),IFERROR(--SUBSTITUTE(SUBSTITUTE(UPPER(INDEX(_xlpm.w_,1)),"W",""),"ВТ",""),"")))</f>
        <v/>
      </c>
      <c r="IE269" t="str" cm="1">
        <f t="array" ref="IE269">IF(IC269="","",_xlfn.LET(_xlpm.tk,_xlfn.TEXTSPLIT(SUBSTITUTE(SUBSTITUTE(IC269,";"," "),"→"," ")," ",,TRUE),_xlpm.v_,_xlfn._xlws.FILTER(_xlpm.tk,ISNUMBER(--LEFT(_xlpm.tk,1))*((ISNUMBER(SEARCH("V",_xlpm.tk))+(RIGHT(UPPER(_xlpm.tk))="В"))&gt;0),""),IFERROR(--SUBSTITUTE(SUBSTITUTE(UPPER(INDEX(_xlpm.v_,1)),"V",""),"В",""),"")))</f>
        <v/>
      </c>
      <c r="IF269" s="6" t="str">
        <f>IF(OR(BV269=0,HI269="",HJ269=""),"",IFERROR(N(_xlfn.XLOOKUP(HI269,Каталог!$C$4:$C$500,Каталог!$Q$4:$Q$500)),""))</f>
        <v/>
      </c>
      <c r="IG269" s="6" t="str">
        <f>IF(N(IF269)=0,"",SUMIFS(Линии[Iр, А],Линии[Щит],A269,Линии[_модуль гр.],HH269,Линии[Канал (итог)],HJ269))</f>
        <v/>
      </c>
      <c r="IH269" t="str">
        <f>IF(AND(B269="",HO269=""),"",_xlfn.TEXTJOIN("; ",TRUE,IF(AND(B269&lt;&gt;"",FV269=""),"нет фазы",""),IF(AND(B269&lt;&gt;"",N(GL269)=0,FG269&lt;&gt;"Нет"),"нет мощности",""),IF(AND(HN269&lt;&gt;"",COUNTIFS(Линии[Щит],A269,Линии[Клемма (итог)],HN269)&gt;1),"дубль клеммы "&amp;HN269,""),IF(AND(HQ269&lt;&gt;"",HQ269&lt;&gt;"ok"),HQ269,""),IF(HR269&lt;&gt;"",HR269,""),IF(AND(N(CB269)&gt;=4,N(BX269)=1),CB269&amp;" жил на 1 фазе",""),IF(AND(BC269="R",CG269=1,IF(CS269&lt;&gt;"",N(CV269)&gt;30,OR(N(DA269)=0,N(DA269)&gt;30))),"розетка без дифзащиты до 30 мА",""),IF(AND(CG269=1,N(DA269)&gt;0,ISNUMBER(T269)),IF(T269&gt;N(DA269)/3,"ток утечки "&amp;FIXED(T269,1)&amp;" мА &gt; 1/3 уставки ("&amp;DA269&amp;" мА)",""),""),IF(AND(CH269=1,CS269=""),"«узо»: нет строки с УЗО выше (УЗО 2P 40А 30мА в «Аппаратах»)",""),IF(AND(CS269&lt;&gt;"",CS269=BA269),IF(CT269="","впишите номинал УЗО (УЗО 2P 40А 30мА)",IF(N(CT269)&lt;N(DT269),"УЗО "&amp;CT269&amp;" А &lt; автомата "&amp;DT269&amp;" А перед ним",IF(N(CT269)&lt;N(CX269),"УЗО "&amp;CT269&amp;" А &lt; тока блока "&amp;FIXED(CX269,1)&amp;" А",""))),""),IF(AND(CS269&lt;&gt;"",CS269=BA269,ISNUMBER(CY269)),IF(CY269&gt;N(CV269)/3,"ток утечки блока УЗО "&amp;FIXED(CY269,1)&amp;" мА &gt; 1/3 уставки ("&amp;CV269&amp;" мА)",""),""),IF(AND(CG269=1,N(BV269)+N(IB269)&gt;0,IC269=""),"линии до 50 В без БП: впишите в «Аппараты» (БП 24V 480W)",""),IF(AND(CG269=1,ISNUMBER(ID269),ISNUMBER(U269)),IF(U269&gt;ID269,"БП "&amp;ID269&amp;" Вт &lt; нужно "&amp;U269&amp;" Вт (×"&amp;Запас_БП&amp;")",""),""),IF(AND(CG269=1,ISNUMBER(IE269),N(BV269)=1),IF(IE269&lt;&gt;N(BU269),"БП на "&amp;IE269&amp;" В, линия "&amp;BU269&amp;" В",""),""),IF(AND(N(IF269)&gt;0,N(IG269)&gt;N(IF269)),HH269&amp;" канал "&amp;HJ269&amp;": "&amp;FIXED(IG269,1)&amp;" А &gt; "&amp;IF269&amp;" А",""),IFERROR(IF(AND(ISNUMBER(Q269),Q269&gt;EL269),"потери "&amp;FIXED(Q269,1)&amp;" % &gt; "&amp;EL269&amp;" %",""),""),IFERROR(IF(LEFT(HU269,4)="мало","Iкз мало — отключение &gt; 0,4 с",""),""),IF(AND(B269&lt;&gt;"",BM269=""),"не на схеме",""),IF(AND(CG269=0,B269&lt;&gt;"",FV269&lt;&gt;"",IF(BA269=1,"",FW268)&lt;&gt;"",FV269&lt;&gt;IF(BA269=1,"",FW268)),"фаза не как у автомата группы ("&amp;IF(BA269=1,"",FW268)&amp;")","")))</f>
        <v/>
      </c>
      <c r="II269" s="6">
        <f>IF(OR(CG269=0,DQ269=""),"",_xlfn.LET(_xlpm.t,IFERROR(_xlfn.XLOOKUP(DQ269,Каталог!$U$4:$U$500,Каталог!$G$4:$G$500),""),_xlpm.k,SEARCH("кА",_xlpm.t),IFERROR(--TRIM(RIGHT(SUBSTITUTE(MID(_xlpm.t,MAX(1,_xlpm.k-4),_xlpm.k-MAX(1,_xlpm.k-4))," ",REPT(" ",9)),5)),"")))</f>
        <v>6</v>
      </c>
      <c r="IJ269" t="str">
        <f>IF(OR(II269="",CG269=0),"",IF(_xlfn.XLOOKUP(A269,Щиты[Щит],Щиты[Iкз max на шинах, кА],"")="","",IF(II269&lt;_xlfn.XLOOKUP(A269,Щиты[Щит],Щиты[Iкз max на шинах, кА]),"Icu "&amp;II269&amp;" кА &lt; Iкз max","ok")))</f>
        <v/>
      </c>
      <c r="IK269" t="str">
        <f t="shared" si="665"/>
        <v/>
      </c>
      <c r="IL269" t="str">
        <f t="shared" si="666"/>
        <v>QFD45|XT45</v>
      </c>
      <c r="IM269" t="str">
        <f t="shared" si="667"/>
        <v>QFD45|XT45|кабель ВВГнг(А)-LS (3х2,5) → Розеточная группа, пом. 021A</v>
      </c>
      <c r="IN269" t="str" cm="1">
        <f t="array" ref="IN269">IF(IM269="","",_xlfn.LET(_xlpm.nd,_xlfn.TEXTSPLIT(IM269,"|"),IF(COLUMNS(_xlpm.nd)&gt;1,A269&amp;"¦"&amp;INDEX(_xlpm.nd,1)&amp;"¦"&amp;INDEX(_xlpm.nd,2),"")))</f>
        <v>ЩР-1¦QFD45¦XT45</v>
      </c>
      <c r="IO269" t="str">
        <f t="shared" si="668"/>
        <v>R.1.021A.11¦Розеточная группа, пом. 021A</v>
      </c>
      <c r="IP269" t="str" cm="1">
        <f t="array" ref="IP269">IF(IM269="","",_xlfn.LET(_xlpm.nd,_xlfn.TEXTSPLIT(IM269,"|"),IF(COLUMNS(_xlpm.nd)&gt;2,A269&amp;"¦"&amp;INDEX(_xlpm.nd,2)&amp;"¦"&amp;INDEX(_xlpm.nd,3),"")))</f>
        <v>ЩР-1¦XT45¦кабель ВВГнг(А)-LS (3х2,5) → Розеточная группа, пом. 021A</v>
      </c>
      <c r="IQ269" t="str">
        <f t="shared" si="669"/>
        <v>R.1.021A.11¦Розеточная группа, пом. 021A</v>
      </c>
      <c r="IR269" t="str" cm="1">
        <f t="array" ref="IR269">IF(IM269="","",_xlfn.LET(_xlpm.nd,_xlfn.TEXTSPLIT(IM269,"|"),IF(COLUMNS(_xlpm.nd)&gt;3,A269&amp;"¦"&amp;INDEX(_xlpm.nd,3)&amp;"¦"&amp;INDEX(_xlpm.nd,4),"")))</f>
        <v/>
      </c>
      <c r="IS269" t="str">
        <f t="shared" si="670"/>
        <v/>
      </c>
      <c r="IT269" t="str" cm="1">
        <f t="array" ref="IT269">IF(IM269="","",_xlfn.LET(_xlpm.nd,_xlfn.TEXTSPLIT(IM269,"|"),IF(COLUMNS(_xlpm.nd)&gt;4,A269&amp;"¦"&amp;INDEX(_xlpm.nd,4)&amp;"¦"&amp;INDEX(_xlpm.nd,5),"")))</f>
        <v/>
      </c>
      <c r="IU269" t="str">
        <f t="shared" si="671"/>
        <v/>
      </c>
      <c r="IV269" t="str" cm="1">
        <f t="array" ref="IV269">IF(IM269="","",_xlfn.LET(_xlpm.nd,_xlfn.TEXTSPLIT(IM269,"|"),IF(COLUMNS(_xlpm.nd)&gt;5,A269&amp;"¦"&amp;INDEX(_xlpm.nd,5)&amp;"¦"&amp;INDEX(_xlpm.nd,6),"")))</f>
        <v/>
      </c>
      <c r="IW269" t="str">
        <f t="shared" si="672"/>
        <v/>
      </c>
      <c r="IX269" t="str" cm="1">
        <f t="array" ref="IX269">IF(IM269="","",_xlfn.LET(_xlpm.nd,_xlfn.TEXTSPLIT(IM269,"|"),IF(COLUMNS(_xlpm.nd)&gt;6,A269&amp;"¦"&amp;INDEX(_xlpm.nd,6)&amp;"¦"&amp;INDEX(_xlpm.nd,7),"")))</f>
        <v/>
      </c>
      <c r="IY269" t="str">
        <f t="shared" si="673"/>
        <v/>
      </c>
      <c r="IZ269" t="str">
        <f t="shared" si="674"/>
        <v/>
      </c>
      <c r="JA269" t="str">
        <f t="shared" si="675"/>
        <v>QFD45 → XT45</v>
      </c>
      <c r="JB269">
        <f t="shared" si="676"/>
        <v>0</v>
      </c>
      <c r="JC269">
        <f t="shared" si="677"/>
        <v>1</v>
      </c>
      <c r="JD269" t="str">
        <f t="shared" si="678"/>
        <v/>
      </c>
      <c r="JE269" t="str">
        <f t="shared" si="679"/>
        <v/>
      </c>
      <c r="JF269" t="str">
        <f t="shared" si="680"/>
        <v/>
      </c>
      <c r="JG269" t="str">
        <f t="shared" si="681"/>
        <v/>
      </c>
      <c r="JH269" t="str">
        <f>IF(B269="","",IFERROR(_xlfn.XLOOKUP(B269,Коды_код,Коды_уго),IFERROR(_xlfn.XLOOKUP(BC269,Коды_код,Коды_уго),IFERROR(_xlfn.XLOOKUP(LEFT(BC269,2),Коды_код,Коды_уго),""))))</f>
        <v>Розетка</v>
      </c>
      <c r="JI269" t="str">
        <f>IF(B269="","",IF(OR(JH269="",JH269=0),"BOX",IFERROR(IF(VLOOKUP(JH269,УГО_блоки,3,FALSE)&amp;""&lt;&gt;"",VLOOKUP(JH269,УГО_блоки,3,FALSE),VLOOKUP(JH269,УГО_блоки,2,FALSE)),JH269)))</f>
        <v>SOCKET</v>
      </c>
      <c r="JJ269">
        <f t="shared" si="682"/>
        <v>1</v>
      </c>
      <c r="JK269" t="str">
        <f>IF(DQ269="","",IF(COUNTIF(DQ$3:DQ269,DQ269)=1,MAX(JK$2:JK268)+1,""))</f>
        <v/>
      </c>
      <c r="JL269" t="str">
        <f>IF(DE269="","",IF(COUNTIF(DE$3:DE269,DE269)+COUNTIF(DF$2:DF268,DE269)+COUNTIF(DG$2:DG268,DE269)=1,MAX(JL$2:JN268)+1,""))</f>
        <v/>
      </c>
      <c r="JM269" t="str">
        <f>IF(DF269="","",IF(COUNTIF(DE$3:DE269,DF269)+COUNTIF(DF$3:DF269,DF269)+COUNTIF(DG$2:DG268,DF269)=1,MAX(JL$2:JN268,JL269)+1,""))</f>
        <v/>
      </c>
      <c r="JN269" t="str">
        <f>IF(DG269="","",IF(COUNTIF(DE$3:DE269,DG269)+COUNTIF(DF$3:DF269,DG269)+COUNTIF(DG$3:DG269,DG269)=1,MAX(JL$2:JN268,JL269,JM269)+1,""))</f>
        <v/>
      </c>
      <c r="JO269" t="str">
        <f t="shared" si="683"/>
        <v>3х2,5</v>
      </c>
      <c r="JP269" t="str">
        <f>IF(JO269="","",IF(COUNTIF(JO$3:JO269,JO269)=1,MAX(JP$2:JP268)+1,""))</f>
        <v/>
      </c>
      <c r="JQ269" t="str">
        <f>IF(HG269="","",COUNTIF(HG$3:HG269,"?*"))</f>
        <v/>
      </c>
      <c r="JR269" t="str">
        <f>IF(OR(HG269="",HI269=""),"",IF(COUNTIFS(HG$3:HG269,"?*",HI$3:HI269,HI269)=1,MAX(JR$2:JR268)+1,""))</f>
        <v/>
      </c>
      <c r="JS269">
        <f t="shared" si="684"/>
        <v>0</v>
      </c>
      <c r="JT269">
        <f>IF(B269="","",COUNTIF(B$3:B269,"?*"))</f>
        <v>267</v>
      </c>
      <c r="JU269">
        <f>IF(HL269&lt;&gt;1,0,_xlfn.LET(_xlpm.k,MAX(IFERROR(--_xlfn.XLOOKUP(B269,Коды_код,Коды_3L),0),IFERROR(--_xlfn.XLOOKUP(BC269,Коды_код,Коды_3L),0),IFERROR(--_xlfn.XLOOKUP(LEFT(BC269,2),Коды_код,Коды_3L),0)),IF(_xlpm.k&gt;0,_xlpm.k,IF(IFERROR(--LEFT(SUBSTITUTE(JO269,"x","х"),FIND("х",SUBSTITUTE(JO269,"x","х"))-1),3)&gt;3,Каталог!$S$9,1))))</f>
        <v>1</v>
      </c>
      <c r="JV269">
        <f t="shared" si="685"/>
        <v>0</v>
      </c>
      <c r="JW269" t="str">
        <f t="shared" si="686"/>
        <v>авто</v>
      </c>
      <c r="JX269">
        <f t="shared" si="687"/>
        <v>30</v>
      </c>
      <c r="JY269">
        <f t="shared" si="688"/>
        <v>1</v>
      </c>
      <c r="JZ269">
        <f t="shared" si="689"/>
        <v>1</v>
      </c>
    </row>
    <row r="270" spans="1:286" x14ac:dyDescent="0.3">
      <c r="A270" t="s">
        <v>757</v>
      </c>
      <c r="B270" t="s">
        <v>1576</v>
      </c>
      <c r="C270" t="s">
        <v>1715</v>
      </c>
      <c r="D270">
        <v>1</v>
      </c>
      <c r="E270">
        <v>3.7</v>
      </c>
      <c r="G270" t="str">
        <f>Линии[[#This Row],[_авто автомат]]</f>
        <v>2P С20А 30мА</v>
      </c>
      <c r="H270" t="str">
        <f>Линии[[#This Row],[_авто управление]]</f>
        <v/>
      </c>
      <c r="I270" t="str">
        <f>Линии[[#This Row],[_авто аппараты]]</f>
        <v/>
      </c>
      <c r="J270">
        <v>4</v>
      </c>
      <c r="K270">
        <v>36</v>
      </c>
      <c r="L270" t="str">
        <f>Линии[[#This Row],[_авто фаза]]</f>
        <v>L2</v>
      </c>
      <c r="M270" t="str">
        <f>Линии[[#This Row],[_авто клемма]]</f>
        <v>XT46</v>
      </c>
      <c r="N270" t="str">
        <f t="shared" si="552"/>
        <v>потери 4,3 % &gt; 4 %</v>
      </c>
      <c r="O270" s="6" cm="1">
        <f t="array" ref="O270">IF(B270="","",IF(BH270&lt;&gt;"",IFERROR(_xlfn.XLOOKUP(BH270,Щиты[Щит],Щиты[Iр, А]),""),IF(BP270=1,IF(OR(N(_xlfn.XLOOKUP(A270,Щиты[Щит],Щиты[Вводов],1))&lt;=1,LOWER(TRIM(_xlfn.XLOOKUP(A270,Щиты[Щит],Щиты[АВР],"")&amp;""))="да"),IFERROR(_xlfn.XLOOKUP(A270,Щиты[Щит],Щиты[Iр, А]),""),IFERROR(N(BS270)*_xlfn.XLOOKUP(A270,Щиты[Щит],Щиты[Кс итог])/(SQRT(3)*Uн_лин*_xlfn.XLOOKUP(A270,Щиты[Щит],Щиты[cos φ])),"")),IF(BV270=1,IFERROR(BS270*1000/BU270,""),IFERROR(_xlfn.IFS(BX270=1,BS270/((Uн_лин/SQRT(3))*CE270),BX270=3,BS270/(SQRT(3)*Uн_лин*CE270)),"")))))</f>
        <v>16.864705231591699</v>
      </c>
      <c r="P270" s="7">
        <f>IF(B270="","",IFERROR(IF(VLOOKUP(BC270,Потребители_обозначение,4,FALSE)=1,VLOOKUP(BC270,Потребители_обозначение,3,FALSE)*(MAX(1,N(D270))*2-1)+EI270+VLOOKUP(BE270,Этаж_обозначение,3,FALSE)+VLOOKUP(BE270,Этаж_обозначение,4,FALSE),VLOOKUP(BC270,Потребители_обозначение,3,FALSE)*(MAX(1,N(D270))*2-1)+EI270),EI270))</f>
        <v>39</v>
      </c>
      <c r="Q270" s="6">
        <f t="shared" si="553"/>
        <v>4.26</v>
      </c>
      <c r="R270" t="str">
        <f t="shared" si="554"/>
        <v>ВВГнг(А)-LS (3х4)</v>
      </c>
      <c r="S270" t="str">
        <f>IF(BM270="","",IF(BN270="вводной узел","узел ","")&amp;"л."&amp;(INT((BM270-1)/Столбцов_на_лист)+1)&amp;" / "&amp;(MOD(BM270-1,Столбцов_на_лист)+1))</f>
        <v>л.4 / 9</v>
      </c>
      <c r="T270" s="119">
        <f t="shared" si="555"/>
        <v>7.1</v>
      </c>
      <c r="U270" s="7" t="str">
        <f>IF(OR(CG270=0,N(BV270)+N(IB270)=0),"",ROUNDUP(Запас_БП*(N(HY270)+N(HZ270)),0))</f>
        <v/>
      </c>
      <c r="V270" s="119" t="str">
        <f t="shared" si="556"/>
        <v/>
      </c>
      <c r="W270" s="7" t="str">
        <f>IFERROR(IF(OR(B270="",BP270=1,BV270=1,NOT(ISNUMBER(EN270)),N(DT270)=0),"",MAX(0,ROUNDDOWN((c_min*(Uн_лин*1000/SQRT(3))/(HT270*N(DT270))-_xlfn.XLOOKUP(A270,Щиты[Щит],Щиты[Zпетли на шинах, Ом]))*EN270/(2*ρкз_Cu),0))),"")</f>
        <v/>
      </c>
      <c r="Y270">
        <f>Линии[[#This Row],[_авто утечка]]</f>
        <v>30</v>
      </c>
      <c r="Z270">
        <v>1</v>
      </c>
      <c r="AA270">
        <v>230</v>
      </c>
      <c r="AB270" t="s">
        <v>562</v>
      </c>
      <c r="AG270" t="s">
        <v>810</v>
      </c>
      <c r="AI270" t="s">
        <v>561</v>
      </c>
      <c r="AK270" t="str">
        <f>Линии[[#This Row],[_авто модуль]]</f>
        <v/>
      </c>
      <c r="AM270">
        <v>60</v>
      </c>
      <c r="AN270" t="s">
        <v>11</v>
      </c>
      <c r="AO270">
        <v>3</v>
      </c>
      <c r="AQ270">
        <v>20</v>
      </c>
      <c r="AR270">
        <v>19</v>
      </c>
      <c r="AS270">
        <v>0</v>
      </c>
      <c r="BA270" cm="1">
        <f t="array" ref="BA270">ROW()-ROW(Линии[#Headers])</f>
        <v>268</v>
      </c>
      <c r="BC270" s="6" t="str">
        <f t="shared" si="557"/>
        <v>R</v>
      </c>
      <c r="BD270" t="str">
        <f t="shared" si="558"/>
        <v>1.021A.2</v>
      </c>
      <c r="BE270" t="str">
        <f t="shared" si="559"/>
        <v>1</v>
      </c>
      <c r="BF270" t="str">
        <f t="shared" si="560"/>
        <v>021A.2</v>
      </c>
      <c r="BG270" t="str">
        <f t="shared" si="561"/>
        <v>021A</v>
      </c>
      <c r="BH270" t="str">
        <f>IF(X270&lt;&gt;"",X270,IF(AND(B270&lt;&gt;"",B270&lt;&gt;A270,ISNUMBER(_xlfn.XMATCH(B270,Щиты[Щит]))),B270,""))</f>
        <v/>
      </c>
      <c r="BI270" t="str" cm="1">
        <f t="array" ref="BI270">IF(B270="","",IF(BH270&lt;&gt;"","Щит "&amp;BH270,_xlfn.LET(_xlpm.nm,IFERROR(_xlfn.XLOOKUP(BC270,Коды_код,Коды_имя)&amp;"",""),_xlpm.md,IFERROR(N(_xlfn.XLOOKUP(BC270,Коды_код,Коды_режим)),1),_xlpm.ex,IF(Имя_режим="по экспликации",IFERROR(_xlfn.XLOOKUP(BE270&amp;"|"&amp;BG270,Экспликация[Этаж]&amp;"|"&amp;Экспликация[Помещение],Экспликация[Название])&amp;"",""),""),_xlpm.rm,IF(BG270="","",IF(_xlpm.ex&lt;&gt;"",". "&amp;_xlpm.ex&amp;IF(Имя_пом="нет"," ("&amp;BG270&amp;")"," (пом. "&amp;BG270&amp;")"),IF(Имя_пом="нет"," ",", пом. ")&amp;BG270)),IF(_xlpm.nm="","",IF(_xlpm.md=2,_xlpm.nm&amp;" шлейф "&amp;BE270,_xlpm.nm&amp;_xlpm.rm)))))</f>
        <v>Розеточная группа, пом. 021A</v>
      </c>
      <c r="BJ270" t="str">
        <f t="shared" si="562"/>
        <v>Розеточная группа Первый этаж Пом. №021A Духовой шкаф</v>
      </c>
      <c r="BK270">
        <f>IFERROR(_xlfn.XMATCH(A270,Щиты[Щит]),0)</f>
        <v>10</v>
      </c>
      <c r="BL270">
        <f>_xlfn.LET(_xlpm.k,IFERROR(_xlfn.XLOOKUP(A270,Щиты[Щит],Щиты[Мест под вводной узел]),""),IF(_xlpm.k="",Столбцов_на_лист,N(_xlpm.k)))</f>
        <v>8</v>
      </c>
      <c r="BM270">
        <f t="shared" si="563"/>
        <v>60</v>
      </c>
      <c r="BN270" t="str">
        <f t="shared" si="564"/>
        <v>линии</v>
      </c>
      <c r="BO270" s="6">
        <f>IFERROR(N(_xlfn.XLOOKUP(BC270,Коды_код,Коды_квт)),0)</f>
        <v>0</v>
      </c>
      <c r="BP270">
        <f t="shared" si="565"/>
        <v>0</v>
      </c>
      <c r="BQ270" t="str">
        <f>IF(B270="","",IF(BH270&lt;&gt;"",IFERROR(_xlfn.XLOOKUP(BH270,Щиты[Щит],Щиты[Руст, кВт]),0),IF(BP270=1,IF(OR(N(_xlfn.XLOOKUP(A270,Щиты[Щит],Щиты[Вводов],1))&lt;=1,LOWER(TRIM(_xlfn.XLOOKUP(A270,Щиты[Щит],Щиты[АВР],"")&amp;""))="да"),IFERROR(_xlfn.XLOOKUP(A270,Щиты[Щит],Щиты[Руст, кВт]),0),SUMIFS(Линии[_Р для вводов],Линии[Щит],A270,Линии[Источник для режимов],GF270)),IF(BO270&gt;0,ROUND(BO270*MAX(1,N(D270)),3),""))))</f>
        <v/>
      </c>
      <c r="BR270">
        <f t="shared" si="566"/>
        <v>3.7</v>
      </c>
      <c r="BS270" s="6">
        <f>IF(B270="","",IF(BH270&lt;&gt;"",IFERROR(_xlfn.XLOOKUP(BH270,Щиты[Щит],Щиты[Руст, кВт]),0),N(BR270)))</f>
        <v>3.7</v>
      </c>
      <c r="BT270" t="str">
        <f>IF(B270="","",IFERROR(IF(VLOOKUP(BC270,Потребители_обозначение,8,FALSE)=0,"",VLOOKUP(BC270,Потребители_обозначение,8,FALSE)),""))</f>
        <v/>
      </c>
      <c r="BU270">
        <f t="shared" si="567"/>
        <v>230</v>
      </c>
      <c r="BV270">
        <f t="shared" si="568"/>
        <v>0</v>
      </c>
      <c r="BW270">
        <f>IF(B270="","",IF(BH270&lt;&gt;"",3,IFERROR(IF(N(VLOOKUP(BC270,Потребители_обозначение,9,FALSE))=0,1,VLOOKUP(BC270,Потребители_обозначение,9,FALSE)),1)))</f>
        <v>1</v>
      </c>
      <c r="BX270">
        <f t="shared" si="569"/>
        <v>1</v>
      </c>
      <c r="BY270" t="str">
        <f>IF(B270="","",_xlfn.LET(_xlpm.bc,IFERROR(IF(VLOOKUP(BC270,Потребители_обозначение,6,FALSE)=0,"",VLOOKUP(BC270,Потребители_обозначение,6,FALSE)&amp;""),""),IF(AND(GA270="да",OR(_xlpm.bc="",_xlpm.bc="мс")),Марка_пож,IF(AND(_xlpm.bc="",BH270&lt;&gt;""),"мс",_xlpm.bc))))</f>
        <v/>
      </c>
      <c r="BZ270" t="str">
        <f t="shared" si="570"/>
        <v>мс</v>
      </c>
      <c r="CA270">
        <f>IF(B270="","",_xlfn.LET(_xlpm.cc,IFERROR(N(VLOOKUP(BC270,Потребители_обозначение,7,FALSE)),0),IF(_xlpm.cc&gt;0,_xlpm.cc,IF(BZ270="","",IF(BV270=1,2,IF(N(BX270)=3,5,3))))))</f>
        <v>3</v>
      </c>
      <c r="CB270">
        <f t="shared" si="571"/>
        <v>3</v>
      </c>
      <c r="CC270">
        <f>IFERROR(N(VLOOKUP(BC270,Потребители_обозначение,10,FALSE)),0)</f>
        <v>0</v>
      </c>
      <c r="CD270">
        <f>IFERROR(VLOOKUP(BC270,Потребители_обозначение,5,FALSE),0)</f>
        <v>1</v>
      </c>
      <c r="CE270" s="6" cm="1">
        <f t="array" ref="CE270">IF(B270="","",IF(BH270&lt;&gt;"",IFERROR(_xlfn.XLOOKUP(BH270,Щиты[Щит],Щиты[cos φ]),0.95),IF(BP270=1,IFERROR(_xlfn.XLOOKUP(A270,Щиты[Щит],Щиты[cos φ]),0.95),IF(ISNUMBER(AD270),AD270,IFERROR(IF(CD270=2,_xlfn.IFS(BX270=3,VLOOKUP(BS270,Справочная_двигатели,8,FALSE),BX270=1,VLOOKUP(BS270,Справочная_двигатели,10,TRUE)),IF(AND(Методика="нормы 2026",FG270="Сил"),0.8,0.95)),0.95)))))</f>
        <v>0.95</v>
      </c>
      <c r="CF270">
        <f t="shared" si="572"/>
        <v>0</v>
      </c>
      <c r="CG270">
        <f t="shared" si="573"/>
        <v>1</v>
      </c>
      <c r="CH270">
        <f t="shared" si="574"/>
        <v>0</v>
      </c>
      <c r="CI270">
        <f>IF(B270="","",IF(BV270=1,IFERROR(BS270/((Uн_лин/SQRT(3))*MAX(0.5,N(CE270))),0),N(O270)))</f>
        <v>16.864705231591699</v>
      </c>
      <c r="CJ270">
        <f t="shared" si="575"/>
        <v>0</v>
      </c>
      <c r="CK270">
        <f t="shared" si="576"/>
        <v>0</v>
      </c>
      <c r="CL270">
        <f t="shared" si="577"/>
        <v>0</v>
      </c>
      <c r="CM270">
        <f t="shared" si="578"/>
        <v>0</v>
      </c>
      <c r="CN270">
        <f t="shared" si="579"/>
        <v>0</v>
      </c>
      <c r="CO270">
        <f>IF(BC270="",0,_xlfn.LET(_xlpm.v,IFERROR(_xlfn.XLOOKUP(B270,Коды_код,Коды_мА),IFERROR(_xlfn.XLOOKUP(BC270,Коды_код,Коды_мА),IFERROR(_xlfn.XLOOKUP(LEFT(BC270,2),Коды_код,Коды_мА),""))),IF(_xlpm.v="да",30,IF(ISNUMBER(_xlpm.v),_xlpm.v,0))))</f>
        <v>30</v>
      </c>
      <c r="CP270">
        <f t="shared" si="580"/>
        <v>30</v>
      </c>
      <c r="CQ270" t="str">
        <f>_xlfn.LET(_xlpm.k,IFERROR(_xlfn.XLOOKUP(BC270,Коды_код,Коды_утечка)&amp;"",""),IF(_xlpm.k="","дифавтомат",_xlpm.k))</f>
        <v>дифавтомат</v>
      </c>
      <c r="CR270" t="str" cm="1">
        <f t="array" ref="CR270">IF(CG270=0,"",_xlfn.LET(_xlpm.sg,TRIM(_xlfn.TEXTSPLIT(DD270&amp;"",";")),_xlpm.f_,_xlfn._xlws.FILTER(_xlpm.sg,LEFT(_xlpm.sg,3)="УЗО",""),IFERROR(INDEX(_xlpm.f_,1)&amp;"","")))</f>
        <v/>
      </c>
      <c r="CS270" t="str">
        <f t="shared" si="581"/>
        <v/>
      </c>
      <c r="CT270" s="6" t="str" cm="1">
        <f t="array" ref="CT270">IF(CR270="","",_xlfn.LET(_xlpm.tk,_xlfn.TEXTSPLIT(UPPER(CR270)," ",,TRUE),_xlpm.a_,_xlfn._xlws.FILTER(_xlpm.tk,ISNUMBER(--LEFT(_xlpm.tk,1))*((ISNUMBER(SEARCH("А",_xlpm.tk))+ISNUMBER(SEARCH("A",_xlpm.tk)))&gt;0)*NOT(ISNUMBER(SEARCH("МА",_xlpm.tk)))*NOT(ISNUMBER(SEARCH("MA",_xlpm.tk))),""),IFERROR(--SUBSTITUTE(SUBSTITUTE(INDEX(_xlpm.a_,1),"А",""),"A",""),"")))</f>
        <v/>
      </c>
      <c r="CU270" t="str" cm="1">
        <f t="array" ref="CU270">IF(CR270="","",_xlfn.LET(_xlpm.tk,_xlfn.TEXTSPLIT(UPPER(CR270)," ",,TRUE),_xlpm.a_,_xlfn._xlws.FILTER(_xlpm.tk,ISNUMBER(--LEFT(_xlpm.tk,1))*((ISNUMBER(SEARCH("МА",_xlpm.tk))+ISNUMBER(SEARCH("MA",_xlpm.tk)))&gt;0),""),IFERROR(--SUBSTITUTE(SUBSTITUTE(INDEX(_xlpm.a_,1),"МА",""),"MA",""),30)))</f>
        <v/>
      </c>
      <c r="CV270" t="str">
        <f>IF(CS270="","",IFERROR(_xlfn.XLOOKUP(CS270,Линии[_n],Линии[_УЗО, мА]),30))</f>
        <v/>
      </c>
      <c r="CW270">
        <f>IF(CS270="",0,IF(ISNUMBER(SEARCH("4P",IFERROR(_xlfn.XLOOKUP(CS270,Линии[_n],Линии[_УЗО строки])&amp;"",""))),0,1))</f>
        <v>0</v>
      </c>
      <c r="CX270" t="str">
        <f>IF(AND(CS270&lt;&gt;"",CS270=BA270),SUMIFS(Линии[_ток на 230 В],Линии[_блок УЗО],BA270,Линии[Щит],A270),"")</f>
        <v/>
      </c>
      <c r="CY270" t="str">
        <f>IF(AND(CS270&lt;&gt;"",CS270=BA270),SUMIFS(Линии[_ток утечки линии, мА],Линии[_блок УЗО],BA270,Линии[Щит],A270),"")</f>
        <v/>
      </c>
      <c r="CZ270">
        <f t="shared" si="582"/>
        <v>30</v>
      </c>
      <c r="DA270">
        <f t="shared" si="583"/>
        <v>30</v>
      </c>
      <c r="DB270">
        <f>IF(B270="",0,IFERROR(--_xlfn.XLOOKUP(B270,Коды_код,Коды_минавт),IFERROR(--_xlfn.XLOOKUP(BC270,Коды_код,Коды_минавт),IFERROR(--_xlfn.XLOOKUP(LEFT(BC270,2),Коды_код,Коды_минавт),0))))</f>
        <v>16</v>
      </c>
      <c r="DC270" t="str">
        <f>IF(B270="","",IFERROR(_xlfn.XLOOKUP(BC270,Коды_код,Коды_апп)&amp;"",""))</f>
        <v/>
      </c>
      <c r="DD270" t="str">
        <f t="shared" si="584"/>
        <v/>
      </c>
      <c r="DE270" t="str" cm="1">
        <f t="array" ref="DE270">IF(TRIM(DD270&amp;"")="","",IFERROR(TRIM(INDEX(_xlfn.TEXTSPLIT(DD270&amp;";;;",";"),1)),""))</f>
        <v/>
      </c>
      <c r="DF270" t="str" cm="1">
        <f t="array" ref="DF270">IF(TRIM(DD270&amp;"")="","",IFERROR(TRIM(INDEX(_xlfn.TEXTSPLIT(DD270&amp;";;;",";"),2)),""))</f>
        <v/>
      </c>
      <c r="DG270" t="str" cm="1">
        <f t="array" ref="DG270">IF(TRIM(DD270&amp;"")="","",IFERROR(TRIM(INDEX(_xlfn.TEXTSPLIT(DD270&amp;";;;",";"),3)),""))</f>
        <v/>
      </c>
      <c r="DH270">
        <f t="shared" si="585"/>
        <v>0</v>
      </c>
      <c r="DI270" t="str">
        <f>IF(B270="","",_xlfn.LET(_xlpm.t,LOWER(AZ270&amp;""),IF(ISNUMBER(SEARCH("dim",_xlpm.t)),"DIM",IF(ISNUMBER(SEARCH("dali",_xlpm.t)),"DALI",IF(OR(ISNUMBER(SEARCH("relay",_xlpm.t)),ISNUMBER(SEARCH("реле",_xlpm.t))),"Relay",IF(ISNUMBER(SEARCH("кнопк",_xlpm.t)),"",IFERROR(_xlfn.XLOOKUP(BC270,Коды_код,Коды_упр)&amp;"","")))))))</f>
        <v/>
      </c>
      <c r="DJ270" t="str">
        <f t="shared" si="586"/>
        <v/>
      </c>
      <c r="DK270">
        <f>IF(B270="","",_xlfn.LET(_xlpm.ig,IF(N(CX270)&gt;0,N(CX270),N(CI270)+IF(AJ270="вручную",0,N(CJ270))),_xlpm.n0,IFERROR(VLOOKUP(_xlpm.ig,Автомат_номиналы,2,TRUE),0),_xlpm.mn,MAX(DB270,IF(AJ270="вручную",0,N(CM270))),MAX(_xlpm.n0,_xlpm.mn,IF(DH270=1,Мин_автомат_БП,0))))</f>
        <v>20</v>
      </c>
      <c r="DL270">
        <f t="shared" si="587"/>
        <v>1</v>
      </c>
      <c r="DM270" t="str">
        <f t="shared" si="588"/>
        <v>2P</v>
      </c>
      <c r="DN270" t="str">
        <f>_xlfn.LET(_xlpm.cc,UPPER(TRIM(IFERROR(_xlfn.XLOOKUP(BC270,Коды_код,Коды_хар)&amp;"",""))),IF(OR(_xlpm.cc="B",_xlpm.cc="В"),"B",IF(_xlpm.cc="D","D","С")))</f>
        <v>С</v>
      </c>
      <c r="DO270" t="str">
        <f t="shared" si="589"/>
        <v>2P С20А 30мА</v>
      </c>
      <c r="DP270" t="str">
        <f t="shared" si="590"/>
        <v>2P С20А 30мА</v>
      </c>
      <c r="DQ270" t="str">
        <f t="shared" si="591"/>
        <v>2P С20А 30мА</v>
      </c>
      <c r="DR270" cm="1">
        <f t="array" ref="DR270">IF(DQ270="","",_xlfn.LET(_xlpm.t,SUBSTITUTE(SUBSTITUTE(SUBSTITUTE(UPPER(DQ270),"С","C"),"А","A"),"В","B"),_xlpm.tk,_xlfn.TEXTSPLIT(_xlpm.t," "),_xlpm.f,_xlfn._xlws.FILTER(_xlpm.tk,ISNUMBER(--MID(_xlpm.tk,2,1))*ISNUMBER(SEARCH(LEFT(_xlpm.tk,1)&amp;"#","B#C#D#"))*(LEN(_xlpm.tk)&gt;1),""),_xlpm.x,INDEX(_xlpm.f,1),IFERROR(--SUBSTITUTE(MID(_xlpm.x,2,9),"A",""),IFERROR(--SUBSTITUTE(INDEX(_xlfn._xlws.FILTER(_xlpm.tk,ISNUMBER(--SUBSTITUTE(_xlpm.tk,"A","")),""),1),"A",""),""))))</f>
        <v>20</v>
      </c>
      <c r="DS270" t="str">
        <f t="shared" si="592"/>
        <v>ok</v>
      </c>
      <c r="DT270">
        <f t="shared" si="593"/>
        <v>20</v>
      </c>
      <c r="DU270" t="str">
        <f t="shared" si="594"/>
        <v>2P С20А 30мА</v>
      </c>
      <c r="DV270">
        <f t="shared" si="595"/>
        <v>30</v>
      </c>
      <c r="DW270">
        <f t="shared" si="596"/>
        <v>1</v>
      </c>
      <c r="DX270">
        <f t="shared" si="597"/>
        <v>0</v>
      </c>
      <c r="DY270">
        <f t="shared" si="598"/>
        <v>16.864705231591699</v>
      </c>
      <c r="DZ270">
        <f t="shared" si="599"/>
        <v>1</v>
      </c>
      <c r="EA270">
        <f>IF(ISNUMBER(AP270),AP270,К_прокл)</f>
        <v>1</v>
      </c>
      <c r="EB270">
        <f t="shared" si="600"/>
        <v>2</v>
      </c>
      <c r="EC270">
        <f>IFERROR(N(VLOOKUP(BZ270,Кабель_обозначение,3,FALSE)),1)</f>
        <v>1</v>
      </c>
      <c r="ED270">
        <f>IFERROR(N(_xlfn.XLOOKUP(A270,Щиты[Щит],Щиты[ΔU до шин, %])),0)</f>
        <v>1.19</v>
      </c>
      <c r="EE270" t="str">
        <f>IFERROR(_xlfn.XLOOKUP(A270,Щиты[Щит],Щиты[Zпетли на шинах, Ом]),"")</f>
        <v/>
      </c>
      <c r="EF270">
        <f>IFERROR(N(_xlfn.XLOOKUP(A270,Щиты[Щит],Щиты[ΔU до шин (подбор), %])),0)</f>
        <v>1.19</v>
      </c>
      <c r="EG270" t="str">
        <f>IFERROR(_xlfn.XLOOKUP(A270,Щиты[Щит],Щиты[Zпетли на шинах (подбор), Ом]),"")</f>
        <v/>
      </c>
      <c r="EH270" t="str">
        <f t="shared" si="601"/>
        <v/>
      </c>
      <c r="EI270">
        <f t="shared" si="602"/>
        <v>36</v>
      </c>
      <c r="EJ270">
        <f t="shared" si="603"/>
        <v>2</v>
      </c>
      <c r="EK270">
        <f t="shared" si="604"/>
        <v>0.31</v>
      </c>
      <c r="EL270" s="6">
        <f>IF(B270="","",IF(BV270=1,dU_LED,IF(IFERROR(_xlfn.XLOOKUP(BC270,Коды_код,Коды_уго),"")="Светильник",3,4)+IF(Методика="нормы 2026",MIN(0.5,MAX(0,N(P270)-100)*0.005),0)))</f>
        <v>4</v>
      </c>
      <c r="EM270" cm="1">
        <f t="array" ref="EM270">IF(OR(B270="",BZ270="",EC270&lt;&gt;1),"",_xlfn.LET(_xlpm.sz,Iдоп_S,_xlpm.t_,CHOOSE(EB270,Iдоп_1ж,Iдоп_2ж,Iдоп_3ж)*DZ270*EA270,_xlpm.dcx,BV270=1,_xlpm.inn,IF(_xlpm.dcx,N(O270),N(DT270)),_xlpm.smin,MAX(1.5,CC270),_xlpm.L_,N(P270)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270)/N(BU270)*100,999),IFERROR(N(EJ270)*(_xlpm.rho*_xlpm.L_/_xlpm.sz*N(CE270)+_xlpm.xx*_xlpm.L_*N(EK270)/1000)*N(O270)/((Uн_лин/SQRT(3))*1000)*100,999)),_xlpm.kz,IF(OR(_xlpm.dcx,DW270=1,NOT(ISNUMBER(EG270)),_xlpm.L_=0,_xlpm.inn=0),1,IFERROR(--(c_min*(Uн_лин*1000/SQRT(3))/(EG270+2*ρкз_Cu*_xlpm.L_/_xlpm.sz)&gt;=HT270*_xlpm.inn),0)),_xlpm.ok,IFERROR((_xlpm.sz&gt;=_xlpm.smin)*(_xlpm.t_&gt;=_xlpm.inn)*IF(_xlpm.L_&gt;0,(_xlpm.du_+IF(_xlpm.dcx,0,EF270)&lt;=EL270+0.00001),1)*_xlpm.kz,0),_xlpm.r_,_xlfn._xlws.FILTER(_xlpm.sz,_xlpm.ok,"не подобрано"),INDEX(_xlpm.r_,1)))</f>
        <v>6</v>
      </c>
      <c r="EN270">
        <f t="shared" si="605"/>
        <v>4</v>
      </c>
      <c r="EO270" cm="1">
        <f t="array" ref="EO270">IF(OR(B270="",BZ270="",EC270&lt;&gt;1),"",_xlfn.LET(_xlpm.sz,Iдоп_S,_xlpm.t_,CHOOSE(EB270,Iдоп_1ж,Iдоп_2ж,Iдоп_3ж)*DZ270*EA270,_xlpm.ok,IFERROR((_xlpm.sz&gt;=MAX(1.5,CC270))*(_xlpm.t_&gt;=N(DT270)),0),_xlpm.r_,_xlfn._xlws.FILTER(_xlpm.sz,_xlpm.ok,""),INDEX(_xlpm.r_,1)))</f>
        <v>2.5</v>
      </c>
      <c r="EP270" s="6" cm="1">
        <f t="array" ref="EP270">IFERROR(ROUNDUP(N(EJ270)*(_xlfn.XLOOKUP(EO270,INDEX(Кабель_сопротивление,0,1),INDEX(Кабель_сопротивление,0,3))*N(P270)/EO270*N(CE270)+_xlfn.XLOOKUP(EO270,INDEX(Кабель_сопротивление,0,1),INDEX(Кабель_сопротивление,0,2))*N(P270)*N(EK270)/1000)*N(O270)/((Uн_лин/SQRT(3))*1000)*100,2),"")</f>
        <v>4.8899999999999997</v>
      </c>
      <c r="EQ270">
        <f>IFERROR(2*ρкз_Cu*N(P270)/EO270,"")</f>
        <v>0.82056000000000007</v>
      </c>
      <c r="ER270">
        <f>IFERROR(VLOOKUP(EN270,Кабель_сопротивление,3,FALSE),"")</f>
        <v>2.2499999999999999E-2</v>
      </c>
      <c r="ES270">
        <f>IFERROR(VLOOKUP(EN270,Кабель_сопротивление,2,FALSE),"")</f>
        <v>9.5000000000000001E-2</v>
      </c>
      <c r="ET270">
        <f t="shared" si="606"/>
        <v>19</v>
      </c>
      <c r="EU270">
        <f t="shared" si="607"/>
        <v>0</v>
      </c>
      <c r="EV270">
        <f t="shared" si="608"/>
        <v>7.0681598637303038</v>
      </c>
      <c r="EW270" s="6">
        <f>IFERROR(ROUNDUP(EV270/IF(BV270=1,BU270,(Uн_лин/SQRT(3))*1000)*100,2),"")</f>
        <v>3.07</v>
      </c>
      <c r="EX270" t="str">
        <f>IFERROR(VLOOKUP(BZ270,Кабель_обозначение,2,FALSE),"")</f>
        <v>ВВГнг(А)-LS</v>
      </c>
      <c r="EY270" t="str">
        <f t="shared" si="609"/>
        <v>ВВГнг(А)-LS (3х4)</v>
      </c>
      <c r="EZ270" t="str">
        <f t="shared" si="610"/>
        <v>ВВГнг(А)-LS (3х4)
L=39-3,07%</v>
      </c>
      <c r="FA270">
        <f>IFERROR(2*ρкз_Cu*P270/EN270,"")</f>
        <v>0.51285000000000003</v>
      </c>
      <c r="FB270">
        <f t="shared" si="611"/>
        <v>0.17062500000000003</v>
      </c>
      <c r="FC270" s="6" t="str">
        <f>IFERROR(IF(OR(B270="",BV270=1,NOT(ISNUMBER(EN270)),N(P270)=0),"",_xlfn.XLOOKUP(A270,Щиты[Щит],Щиты[Zпетли на шинах, Ом])+FA270),"")</f>
        <v/>
      </c>
      <c r="FD270" s="6" t="str">
        <f>IF(ISNUMBER(FC270),c_min*(Uн_лин*1000/SQRT(3))/FC270,"")</f>
        <v/>
      </c>
      <c r="FE270" s="6" t="str">
        <f>IFERROR(IF(OR(B270="",NOT(ISNUMBER(EN270))),"",1.05*(Uн_лин*1000/SQRT(3))/(_xlfn.XLOOKUP(A270,Щиты[Щит],Щиты[Zmax на шинах, Ом])+FB270)/1000),"")</f>
        <v/>
      </c>
      <c r="FF270" s="6" t="str">
        <f>IF(B270="","",IF(ISNUMBER(AC270),"Сил",IF(IFERROR(_xlfn.XLOOKUP(BC270,Коды_код,Коды_группа)&amp;"","")="","Быт",_xlfn.XLOOKUP(BC270,Коды_код,Коды_группа)&amp;"")))</f>
        <v>Быт</v>
      </c>
      <c r="FG270" s="6" t="str">
        <f t="shared" si="612"/>
        <v>Быт</v>
      </c>
      <c r="FH270" s="6">
        <f>IF(FG270="Щит","щит",IF(FG270="","",IF(FG270="Быт",IFERROR(_xlfn.XLOOKUP(A270,Щиты[Щит],Щиты[Кс быт]),1),IF(FG270="Сил",IF(ISNUMBER(AC270),AC270,IF(Методика="нормы 2026",IFERROR(_xlfn.XLOOKUP(A270,Щиты[Щит],Щиты[Кс силовых (табл. 7.5)]),1),1)),IF(OR(FG270="Пост",FG270="Отоп"),1,IF(FG270="ВНГ",0.7,0))))))</f>
        <v>0.57830000000000004</v>
      </c>
      <c r="FI270">
        <f>IF(FG270="","",IF(AND(BP270=1,TRIM(AE270&amp;"")=""),IF(COUNTIFS(Линии[Щит],A270,Линии[Секция (1/2/3)],"&gt;=2")&gt;0,MIN(3,MAX(1,IFERROR(--BD270,1))),1),IFERROR(MIN(3,MAX(1,INT(--AE270))),1)))</f>
        <v>1</v>
      </c>
      <c r="FJ270">
        <f t="shared" si="613"/>
        <v>3.7</v>
      </c>
      <c r="FK270">
        <f t="shared" si="614"/>
        <v>3.7</v>
      </c>
      <c r="FL270">
        <f t="shared" si="615"/>
        <v>0</v>
      </c>
      <c r="FM270">
        <f t="shared" si="616"/>
        <v>0</v>
      </c>
      <c r="FN270">
        <f t="shared" si="617"/>
        <v>0</v>
      </c>
      <c r="FO270">
        <f t="shared" si="618"/>
        <v>0</v>
      </c>
      <c r="FP270">
        <f t="shared" si="619"/>
        <v>3.7</v>
      </c>
      <c r="FQ270">
        <f t="shared" si="620"/>
        <v>3.7</v>
      </c>
      <c r="FR270">
        <f t="shared" si="621"/>
        <v>3.5150000000000001</v>
      </c>
      <c r="FS270">
        <f>IF(CG270=1,IF(AND(CH270=1,CW270=1),0,IF(AND(CS270&lt;&gt;"",CS270=BA270,CW270=1),SUMIFS(Линии[_Р линии, кВт],Линии[_блок УЗО],BA270,Линии[Щит],A270),N(BS270)+IF(AJ270="вручную",0,N(CK270)))),0)</f>
        <v>3.7</v>
      </c>
      <c r="FT270" t="str">
        <f t="shared" si="622"/>
        <v/>
      </c>
      <c r="FU270" t="str">
        <f>IF(B270="","",IF(CG270=0,IF(BA270=1,"",FW269),IF(AND(CH270=1,CW270=1,CS270&lt;&gt;""),IFERROR(_xlfn.XLOOKUP(CS270,Линии[_n],Линии[_фаза итог]),"L1"),IF(OR(N(DL270)&gt;=3,N(BX270)&gt;=3),"L1,L2,L3",IFERROR(_xlfn.TEXTBEFORE(_xlfn.TEXTAFTER(_xlfn.XLOOKUP(A270,Щиты[Щит],Щиты[_фазы авто]),";"&amp;BA270&amp;":"),";"),"L1")))))</f>
        <v>L2</v>
      </c>
      <c r="FV270" t="str">
        <f t="shared" si="623"/>
        <v>L2</v>
      </c>
      <c r="FW270" t="str">
        <f t="shared" si="624"/>
        <v>L2</v>
      </c>
      <c r="FX270" cm="1">
        <f t="array" ref="FX270">IFERROR(IF(CD270=2,_xlfn.IFS(BX270=3,VLOOKUP(BS270,Справочная_двигатели,3,FALSE),BX270=1,VLOOKUP(BS270,Справочная_двигатели,5,TRUE)),0),0)</f>
        <v>0</v>
      </c>
      <c r="FY270">
        <f>IFERROR(IF(CD270=3,VLOOKUP(BS270,Справочная_ЛЭД,2,TRUE),0),0)</f>
        <v>0</v>
      </c>
      <c r="FZ270" s="6">
        <f t="shared" si="625"/>
        <v>0</v>
      </c>
      <c r="GA270" t="str">
        <f>IF(B270="","",IF(TRIM(AH270&amp;"")&lt;&gt;"",IF(LOWER(TRIM(AH270&amp;""))="да","да","нет"),IF(IFERROR(_xlfn.XLOOKUP(BC270,Коды_код,Коды_пожарная),"")="да","да","нет")))</f>
        <v>нет</v>
      </c>
      <c r="GB270" t="str">
        <f t="shared" si="626"/>
        <v/>
      </c>
      <c r="GC270" t="str">
        <f t="shared" si="627"/>
        <v>основная</v>
      </c>
      <c r="GD270">
        <f>IF(AND(BP270=1,TRIM(AE270&amp;"")=""),IF(COUNTIFS(Линии[Щит],A270,Линии[Секция (1/2/3)],"&gt;=2")&gt;0,MIN(3,MAX(1,IFERROR(--BD270,1))),1),IFERROR(MIN(3,MAX(1,INT(--AE270))),1))</f>
        <v>1</v>
      </c>
      <c r="GE270" t="str" cm="1">
        <f t="array" ref="GE270">IF(B270="","",_xlfn.LET(_xlpm.t,IFERROR(_xlfn.XLOOKUP(1,(Шины[Шина]=GC270)*(((Шины[Щит]=A270)+(Шины[Щит]=""))&gt;0),Шины[Тип]),"")&amp;"",IF(_xlpm.t&lt;&gt;"",_xlpm.t,IF(ISNUMBER(SEARCH("ИБП",GC270)),"ИБП",IF(ISNUMBER(SEARCH("ДГУ",GC270)),"ДГУ","Ввод "&amp;GD270)))))</f>
        <v>Ввод 1</v>
      </c>
      <c r="GF270" t="str">
        <f t="shared" si="628"/>
        <v>Ввод 1</v>
      </c>
      <c r="GG270" t="str">
        <f>IF(BP270=0,"",IF(TRIM(AG270&amp;"")&lt;&gt;"",TRIM(AG270&amp;""),IF(OR(GE270="ИБП",GE270="ДГУ"),"I особая",_xlfn.XLOOKUP(A270,Щиты[Щит],Щиты[Категория шины «Ввод»],"III"))))</f>
        <v/>
      </c>
      <c r="GH270" t="str">
        <f>IF(A270="","",_xlfn.XLOOKUP(A270,Щиты[Щит],Щиты[Путь],""))</f>
        <v>|ГРЩ-ЖД|ЩР-1|</v>
      </c>
      <c r="GI270" t="str">
        <f>IF(B270="","",IF(AI270&lt;&gt;"",AI270,IF(IFERROR(_xlfn.XLOOKUP(BC270,Коды_код,Коды_вид)&amp;"","")="","Прочее",_xlfn.XLOOKUP(BC270,Коды_код,Коды_вид)&amp;"")))</f>
        <v>Розеточная сеть и бытовые приборы</v>
      </c>
      <c r="GJ270">
        <f>IF(BM270="","",INT((BM270-1)/Столбцов_на_лист)+1)</f>
        <v>4</v>
      </c>
      <c r="GK270" t="str">
        <f t="shared" si="629"/>
        <v>ВВГнг(А)-LS (3х4) L=39-3,07%</v>
      </c>
      <c r="GL270">
        <f t="shared" si="630"/>
        <v>3.7</v>
      </c>
      <c r="GM270">
        <f t="shared" si="631"/>
        <v>16.87</v>
      </c>
      <c r="GN270">
        <f t="shared" si="632"/>
        <v>1</v>
      </c>
      <c r="GO270">
        <f t="shared" si="633"/>
        <v>0</v>
      </c>
      <c r="GP270">
        <f t="shared" si="634"/>
        <v>1</v>
      </c>
      <c r="GQ270">
        <f>IF(BM270="","",IF(AND(CG270=1,GP270=1),COUNTIFS(A$3:A270,A270,CG$3:CG270,1,GP$3:GP270,1),IF(OR(OR(BA270=1,A270&lt;&gt;A269),AJ270="вручную",GP270=0),"",IF(BA270=1,"",GR269))))</f>
        <v>46</v>
      </c>
      <c r="GR270">
        <f t="shared" si="635"/>
        <v>46</v>
      </c>
      <c r="GS270">
        <f>IF(B270="","",IFERROR(LOOKUP(INDEX(CHOOSE(EB270,Iдоп_1ж,Iдоп_2ж,Iдоп_3ж),MATCH(EN270,Iдоп_S,0))*DZ270*EA270,{6,10,16,20,25,32,40,50,63,80,100,125,160,200,250,315,400,500,630}),""))</f>
        <v>32</v>
      </c>
      <c r="GT270" t="str">
        <f t="shared" si="636"/>
        <v>QFD46</v>
      </c>
      <c r="GU270" t="str">
        <f t="shared" si="637"/>
        <v>QFD46</v>
      </c>
      <c r="GV270" t="str">
        <f t="shared" si="638"/>
        <v/>
      </c>
      <c r="GW270">
        <f t="shared" si="639"/>
        <v>0</v>
      </c>
      <c r="GX270" t="str">
        <f>IF(OR(B270="",DJ270=""),"",IFERROR(_xlfn.XLOOKUP(DJ270,Модули_умолч[Управление],Модули_умолч[Модель])&amp;"",""))</f>
        <v/>
      </c>
      <c r="GY270">
        <f>IF(DJ270="",1,IFERROR(MAX(0,N(_xlfn.XLOOKUP(DJ270,Модули_умолч[Управление],Модули_умолч[Каналов на линию]))),1))</f>
        <v>1</v>
      </c>
      <c r="GZ270" t="str">
        <f t="shared" si="640"/>
        <v/>
      </c>
      <c r="HA270" t="str">
        <f t="shared" si="641"/>
        <v/>
      </c>
      <c r="HB270" t="str">
        <f t="shared" si="642"/>
        <v/>
      </c>
      <c r="HC270">
        <f>IF(HB270="",0,IFERROR(N(VLOOKUP(HB270,Модули_спр,3,FALSE)),0))</f>
        <v>0</v>
      </c>
      <c r="HD270" t="str">
        <f t="shared" si="643"/>
        <v/>
      </c>
      <c r="HE270" t="str">
        <f t="shared" si="644"/>
        <v/>
      </c>
      <c r="HF270" t="str">
        <f>IF(OR(HE270="",HE270="-"),"",IFERROR(VLOOKUP(HE270,Модули_спр,2,FALSE),"R"))</f>
        <v/>
      </c>
      <c r="HG270" t="str">
        <f>IF(HF270="","",HF270&amp;"."&amp;COUNTIFS(A$3:A270,A270,HF$3:HF270,HF270))</f>
        <v/>
      </c>
      <c r="HH270" t="str">
        <f t="shared" si="645"/>
        <v/>
      </c>
      <c r="HI270" t="str">
        <f t="shared" si="646"/>
        <v/>
      </c>
      <c r="HJ270" t="str">
        <f t="shared" si="647"/>
        <v/>
      </c>
      <c r="HK270" t="str">
        <f t="shared" si="648"/>
        <v/>
      </c>
      <c r="HL270">
        <f t="shared" si="649"/>
        <v>1</v>
      </c>
      <c r="HM270" t="str">
        <f>IF(HL270=1,"XT"&amp;COUNTIFS(A$3:A270,A270,HL$3:HL270,1),"")</f>
        <v>XT46</v>
      </c>
      <c r="HN270" t="str">
        <f t="shared" si="650"/>
        <v>XT46</v>
      </c>
      <c r="HO270" t="str">
        <f t="shared" si="651"/>
        <v>QFD46</v>
      </c>
      <c r="HP270" t="str">
        <f t="shared" si="652"/>
        <v/>
      </c>
      <c r="HQ270" t="str">
        <f t="shared" si="653"/>
        <v>ok</v>
      </c>
      <c r="HR270" t="str">
        <f>IF(OR(HJ270="",HH270=""),"",IF(HJ270+MAX(0,GY270-1)&gt;IFERROR(VLOOKUP(HI270,Модули_спр,3,FALSE),99),"ЛИШНИЙ КАНАЛ",IF(AND(AL270&lt;&gt;"=",GY270&gt;0,COUNTIFS(Линии[_модуль гр.],HH270,Линии[Канал (итог)],HJ270,Линии[Канал],"&lt;&gt;=",Линии[Щит],A270)&gt;1),"ДУБЛЬ КАНАЛА","")))</f>
        <v/>
      </c>
      <c r="HS270" s="6" t="str">
        <f t="shared" si="654"/>
        <v/>
      </c>
      <c r="HT270">
        <f t="shared" si="655"/>
        <v>10</v>
      </c>
      <c r="HU270" t="str">
        <f t="shared" si="656"/>
        <v/>
      </c>
      <c r="HV270">
        <f t="shared" si="657"/>
        <v>7.1358820926366802</v>
      </c>
      <c r="HW270">
        <f t="shared" si="658"/>
        <v>0</v>
      </c>
      <c r="HX270">
        <f t="shared" si="659"/>
        <v>0</v>
      </c>
      <c r="HY270">
        <f t="shared" si="660"/>
        <v>0</v>
      </c>
      <c r="HZ270">
        <f t="shared" si="661"/>
        <v>0</v>
      </c>
      <c r="IA270">
        <f t="shared" si="662"/>
        <v>0</v>
      </c>
      <c r="IB270">
        <f t="shared" si="663"/>
        <v>0</v>
      </c>
      <c r="IC270" t="str">
        <f t="shared" si="664"/>
        <v/>
      </c>
      <c r="ID270" t="str" cm="1">
        <f t="array" ref="ID270">IF(IC270="","",_xlfn.LET(_xlpm.tk,_xlfn.TEXTSPLIT(SUBSTITUTE(SUBSTITUTE(IC270,";"," "),"→"," ")," ",,TRUE),_xlpm.w_,_xlfn._xlws.FILTER(_xlpm.tk,ISNUMBER(--LEFT(_xlpm.tk,1))*((ISNUMBER(SEARCH("W",_xlpm.tk))+ISNUMBER(SEARCH("Вт",_xlpm.tk)))&gt;0),""),IFERROR(--SUBSTITUTE(SUBSTITUTE(UPPER(INDEX(_xlpm.w_,1)),"W",""),"ВТ",""),"")))</f>
        <v/>
      </c>
      <c r="IE270" t="str" cm="1">
        <f t="array" ref="IE270">IF(IC270="","",_xlfn.LET(_xlpm.tk,_xlfn.TEXTSPLIT(SUBSTITUTE(SUBSTITUTE(IC270,";"," "),"→"," ")," ",,TRUE),_xlpm.v_,_xlfn._xlws.FILTER(_xlpm.tk,ISNUMBER(--LEFT(_xlpm.tk,1))*((ISNUMBER(SEARCH("V",_xlpm.tk))+(RIGHT(UPPER(_xlpm.tk))="В"))&gt;0),""),IFERROR(--SUBSTITUTE(SUBSTITUTE(UPPER(INDEX(_xlpm.v_,1)),"V",""),"В",""),"")))</f>
        <v/>
      </c>
      <c r="IF270" s="6" t="str">
        <f>IF(OR(BV270=0,HI270="",HJ270=""),"",IFERROR(N(_xlfn.XLOOKUP(HI270,Каталог!$C$4:$C$500,Каталог!$Q$4:$Q$500)),""))</f>
        <v/>
      </c>
      <c r="IG270" s="6" t="str">
        <f>IF(N(IF270)=0,"",SUMIFS(Линии[Iр, А],Линии[Щит],A270,Линии[_модуль гр.],HH270,Линии[Канал (итог)],HJ270))</f>
        <v/>
      </c>
      <c r="IH270" t="str">
        <f>IF(AND(B270="",HO270=""),"",_xlfn.TEXTJOIN("; ",TRUE,IF(AND(B270&lt;&gt;"",FV270=""),"нет фазы",""),IF(AND(B270&lt;&gt;"",N(GL270)=0,FG270&lt;&gt;"Нет"),"нет мощности",""),IF(AND(HN270&lt;&gt;"",COUNTIFS(Линии[Щит],A270,Линии[Клемма (итог)],HN270)&gt;1),"дубль клеммы "&amp;HN270,""),IF(AND(HQ270&lt;&gt;"",HQ270&lt;&gt;"ok"),HQ270,""),IF(HR270&lt;&gt;"",HR270,""),IF(AND(N(CB270)&gt;=4,N(BX270)=1),CB270&amp;" жил на 1 фазе",""),IF(AND(BC270="R",CG270=1,IF(CS270&lt;&gt;"",N(CV270)&gt;30,OR(N(DA270)=0,N(DA270)&gt;30))),"розетка без дифзащиты до 30 мА",""),IF(AND(CG270=1,N(DA270)&gt;0,ISNUMBER(T270)),IF(T270&gt;N(DA270)/3,"ток утечки "&amp;FIXED(T270,1)&amp;" мА &gt; 1/3 уставки ("&amp;DA270&amp;" мА)",""),""),IF(AND(CH270=1,CS270=""),"«узо»: нет строки с УЗО выше (УЗО 2P 40А 30мА в «Аппаратах»)",""),IF(AND(CS270&lt;&gt;"",CS270=BA270),IF(CT270="","впишите номинал УЗО (УЗО 2P 40А 30мА)",IF(N(CT270)&lt;N(DT270),"УЗО "&amp;CT270&amp;" А &lt; автомата "&amp;DT270&amp;" А перед ним",IF(N(CT270)&lt;N(CX270),"УЗО "&amp;CT270&amp;" А &lt; тока блока "&amp;FIXED(CX270,1)&amp;" А",""))),""),IF(AND(CS270&lt;&gt;"",CS270=BA270,ISNUMBER(CY270)),IF(CY270&gt;N(CV270)/3,"ток утечки блока УЗО "&amp;FIXED(CY270,1)&amp;" мА &gt; 1/3 уставки ("&amp;CV270&amp;" мА)",""),""),IF(AND(CG270=1,N(BV270)+N(IB270)&gt;0,IC270=""),"линии до 50 В без БП: впишите в «Аппараты» (БП 24V 480W)",""),IF(AND(CG270=1,ISNUMBER(ID270),ISNUMBER(U270)),IF(U270&gt;ID270,"БП "&amp;ID270&amp;" Вт &lt; нужно "&amp;U270&amp;" Вт (×"&amp;Запас_БП&amp;")",""),""),IF(AND(CG270=1,ISNUMBER(IE270),N(BV270)=1),IF(IE270&lt;&gt;N(BU270),"БП на "&amp;IE270&amp;" В, линия "&amp;BU270&amp;" В",""),""),IF(AND(N(IF270)&gt;0,N(IG270)&gt;N(IF270)),HH270&amp;" канал "&amp;HJ270&amp;": "&amp;FIXED(IG270,1)&amp;" А &gt; "&amp;IF270&amp;" А",""),IFERROR(IF(AND(ISNUMBER(Q270),Q270&gt;EL270),"потери "&amp;FIXED(Q270,1)&amp;" % &gt; "&amp;EL270&amp;" %",""),""),IFERROR(IF(LEFT(HU270,4)="мало","Iкз мало — отключение &gt; 0,4 с",""),""),IF(AND(B270&lt;&gt;"",BM270=""),"не на схеме",""),IF(AND(CG270=0,B270&lt;&gt;"",FV270&lt;&gt;"",IF(BA270=1,"",FW269)&lt;&gt;"",FV270&lt;&gt;IF(BA270=1,"",FW269)),"фаза не как у автомата группы ("&amp;IF(BA270=1,"",FW269)&amp;")","")))</f>
        <v>потери 4,3 % &gt; 4 %</v>
      </c>
      <c r="II270" s="6">
        <f>IF(OR(CG270=0,DQ270=""),"",_xlfn.LET(_xlpm.t,IFERROR(_xlfn.XLOOKUP(DQ270,Каталог!$U$4:$U$500,Каталог!$G$4:$G$500),""),_xlpm.k,SEARCH("кА",_xlpm.t),IFERROR(--TRIM(RIGHT(SUBSTITUTE(MID(_xlpm.t,MAX(1,_xlpm.k-4),_xlpm.k-MAX(1,_xlpm.k-4))," ",REPT(" ",9)),5)),"")))</f>
        <v>6</v>
      </c>
      <c r="IJ270" t="str">
        <f>IF(OR(II270="",CG270=0),"",IF(_xlfn.XLOOKUP(A270,Щиты[Щит],Щиты[Iкз max на шинах, кА],"")="","",IF(II270&lt;_xlfn.XLOOKUP(A270,Щиты[Щит],Щиты[Iкз max на шинах, кА]),"Icu "&amp;II270&amp;" кА &lt; Iкз max","ok")))</f>
        <v/>
      </c>
      <c r="IK270" t="str">
        <f t="shared" si="665"/>
        <v/>
      </c>
      <c r="IL270" t="str">
        <f t="shared" si="666"/>
        <v>QFD46|XT46</v>
      </c>
      <c r="IM270" t="str">
        <f t="shared" si="667"/>
        <v>QFD46|XT46|кабель ВВГнг(А)-LS (3х4) → Розеточная группа Первый этаж Пом. №021A Духовой шкаф</v>
      </c>
      <c r="IN270" t="str" cm="1">
        <f t="array" ref="IN270">IF(IM270="","",_xlfn.LET(_xlpm.nd,_xlfn.TEXTSPLIT(IM270,"|"),IF(COLUMNS(_xlpm.nd)&gt;1,A270&amp;"¦"&amp;INDEX(_xlpm.nd,1)&amp;"¦"&amp;INDEX(_xlpm.nd,2),"")))</f>
        <v>ЩР-1¦QFD46¦XT46</v>
      </c>
      <c r="IO270" t="str">
        <f t="shared" si="668"/>
        <v>R.1.021A.2¦Розеточная группа Первый этаж Пом. №021A Духовой шкаф</v>
      </c>
      <c r="IP270" t="str" cm="1">
        <f t="array" ref="IP270">IF(IM270="","",_xlfn.LET(_xlpm.nd,_xlfn.TEXTSPLIT(IM270,"|"),IF(COLUMNS(_xlpm.nd)&gt;2,A270&amp;"¦"&amp;INDEX(_xlpm.nd,2)&amp;"¦"&amp;INDEX(_xlpm.nd,3),"")))</f>
        <v>ЩР-1¦XT46¦кабель ВВГнг(А)-LS (3х4) → Розеточная группа Первый этаж Пом. №021A Духовой шкаф</v>
      </c>
      <c r="IQ270" t="str">
        <f t="shared" si="669"/>
        <v>R.1.021A.2¦Розеточная группа Первый этаж Пом. №021A Духовой шкаф</v>
      </c>
      <c r="IR270" t="str" cm="1">
        <f t="array" ref="IR270">IF(IM270="","",_xlfn.LET(_xlpm.nd,_xlfn.TEXTSPLIT(IM270,"|"),IF(COLUMNS(_xlpm.nd)&gt;3,A270&amp;"¦"&amp;INDEX(_xlpm.nd,3)&amp;"¦"&amp;INDEX(_xlpm.nd,4),"")))</f>
        <v/>
      </c>
      <c r="IS270" t="str">
        <f t="shared" si="670"/>
        <v/>
      </c>
      <c r="IT270" t="str" cm="1">
        <f t="array" ref="IT270">IF(IM270="","",_xlfn.LET(_xlpm.nd,_xlfn.TEXTSPLIT(IM270,"|"),IF(COLUMNS(_xlpm.nd)&gt;4,A270&amp;"¦"&amp;INDEX(_xlpm.nd,4)&amp;"¦"&amp;INDEX(_xlpm.nd,5),"")))</f>
        <v/>
      </c>
      <c r="IU270" t="str">
        <f t="shared" si="671"/>
        <v/>
      </c>
      <c r="IV270" t="str" cm="1">
        <f t="array" ref="IV270">IF(IM270="","",_xlfn.LET(_xlpm.nd,_xlfn.TEXTSPLIT(IM270,"|"),IF(COLUMNS(_xlpm.nd)&gt;5,A270&amp;"¦"&amp;INDEX(_xlpm.nd,5)&amp;"¦"&amp;INDEX(_xlpm.nd,6),"")))</f>
        <v/>
      </c>
      <c r="IW270" t="str">
        <f t="shared" si="672"/>
        <v/>
      </c>
      <c r="IX270" t="str" cm="1">
        <f t="array" ref="IX270">IF(IM270="","",_xlfn.LET(_xlpm.nd,_xlfn.TEXTSPLIT(IM270,"|"),IF(COLUMNS(_xlpm.nd)&gt;6,A270&amp;"¦"&amp;INDEX(_xlpm.nd,6)&amp;"¦"&amp;INDEX(_xlpm.nd,7),"")))</f>
        <v/>
      </c>
      <c r="IY270" t="str">
        <f t="shared" si="673"/>
        <v/>
      </c>
      <c r="IZ270" t="str">
        <f t="shared" si="674"/>
        <v/>
      </c>
      <c r="JA270" t="str">
        <f t="shared" si="675"/>
        <v>QFD46 → XT46</v>
      </c>
      <c r="JB270">
        <f t="shared" si="676"/>
        <v>0</v>
      </c>
      <c r="JC270">
        <f t="shared" si="677"/>
        <v>1</v>
      </c>
      <c r="JD270" t="str">
        <f t="shared" si="678"/>
        <v/>
      </c>
      <c r="JE270" t="str">
        <f t="shared" si="679"/>
        <v/>
      </c>
      <c r="JF270" t="str">
        <f t="shared" si="680"/>
        <v/>
      </c>
      <c r="JG270" t="str">
        <f t="shared" si="681"/>
        <v/>
      </c>
      <c r="JH270" t="str">
        <f>IF(B270="","",IFERROR(_xlfn.XLOOKUP(B270,Коды_код,Коды_уго),IFERROR(_xlfn.XLOOKUP(BC270,Коды_код,Коды_уго),IFERROR(_xlfn.XLOOKUP(LEFT(BC270,2),Коды_код,Коды_уго),""))))</f>
        <v>Розетка</v>
      </c>
      <c r="JI270" t="str">
        <f>IF(B270="","",IF(OR(JH270="",JH270=0),"BOX",IFERROR(IF(VLOOKUP(JH270,УГО_блоки,3,FALSE)&amp;""&lt;&gt;"",VLOOKUP(JH270,УГО_блоки,3,FALSE),VLOOKUP(JH270,УГО_блоки,2,FALSE)),JH270)))</f>
        <v>SOCKET</v>
      </c>
      <c r="JJ270">
        <f t="shared" si="682"/>
        <v>1</v>
      </c>
      <c r="JK270" t="str">
        <f>IF(DQ270="","",IF(COUNTIF(DQ$3:DQ270,DQ270)=1,MAX(JK$2:JK269)+1,""))</f>
        <v/>
      </c>
      <c r="JL270" t="str">
        <f>IF(DE270="","",IF(COUNTIF(DE$3:DE270,DE270)+COUNTIF(DF$2:DF269,DE270)+COUNTIF(DG$2:DG269,DE270)=1,MAX(JL$2:JN269)+1,""))</f>
        <v/>
      </c>
      <c r="JM270" t="str">
        <f>IF(DF270="","",IF(COUNTIF(DE$3:DE270,DF270)+COUNTIF(DF$3:DF270,DF270)+COUNTIF(DG$2:DG269,DF270)=1,MAX(JL$2:JN269,JL270)+1,""))</f>
        <v/>
      </c>
      <c r="JN270" t="str">
        <f>IF(DG270="","",IF(COUNTIF(DE$3:DE270,DG270)+COUNTIF(DF$3:DF270,DG270)+COUNTIF(DG$3:DG270,DG270)=1,MAX(JL$2:JN269,JL270,JM270)+1,""))</f>
        <v/>
      </c>
      <c r="JO270" t="str">
        <f t="shared" si="683"/>
        <v>3х4</v>
      </c>
      <c r="JP270" t="str">
        <f>IF(JO270="","",IF(COUNTIF(JO$3:JO270,JO270)=1,MAX(JP$2:JP269)+1,""))</f>
        <v/>
      </c>
      <c r="JQ270" t="str">
        <f>IF(HG270="","",COUNTIF(HG$3:HG270,"?*"))</f>
        <v/>
      </c>
      <c r="JR270" t="str">
        <f>IF(OR(HG270="",HI270=""),"",IF(COUNTIFS(HG$3:HG270,"?*",HI$3:HI270,HI270)=1,MAX(JR$2:JR269)+1,""))</f>
        <v/>
      </c>
      <c r="JS270">
        <f t="shared" si="684"/>
        <v>1</v>
      </c>
      <c r="JT270">
        <f>IF(B270="","",COUNTIF(B$3:B270,"?*"))</f>
        <v>268</v>
      </c>
      <c r="JU270">
        <f>IF(HL270&lt;&gt;1,0,_xlfn.LET(_xlpm.k,MAX(IFERROR(--_xlfn.XLOOKUP(B270,Коды_код,Коды_3L),0),IFERROR(--_xlfn.XLOOKUP(BC270,Коды_код,Коды_3L),0),IFERROR(--_xlfn.XLOOKUP(LEFT(BC270,2),Коды_код,Коды_3L),0)),IF(_xlpm.k&gt;0,_xlpm.k,IF(IFERROR(--LEFT(SUBSTITUTE(JO270,"x","х"),FIND("х",SUBSTITUTE(JO270,"x","х"))-1),3)&gt;3,Каталог!$S$9,1))))</f>
        <v>1</v>
      </c>
      <c r="JV270">
        <f t="shared" si="685"/>
        <v>0</v>
      </c>
      <c r="JW270" t="str">
        <f t="shared" si="686"/>
        <v>авто</v>
      </c>
      <c r="JX270">
        <f t="shared" si="687"/>
        <v>30</v>
      </c>
      <c r="JY270">
        <f t="shared" si="688"/>
        <v>1</v>
      </c>
      <c r="JZ270">
        <f t="shared" si="689"/>
        <v>1</v>
      </c>
    </row>
    <row r="271" spans="1:286" x14ac:dyDescent="0.3">
      <c r="A271" t="s">
        <v>757</v>
      </c>
      <c r="B271" t="s">
        <v>1577</v>
      </c>
      <c r="C271" t="s">
        <v>1716</v>
      </c>
      <c r="D271">
        <v>1</v>
      </c>
      <c r="E271">
        <v>1.6</v>
      </c>
      <c r="G271" t="str">
        <f>Линии[[#This Row],[_авто автомат]]</f>
        <v>2P С16А 30мА</v>
      </c>
      <c r="H271" t="str">
        <f>Линии[[#This Row],[_авто управление]]</f>
        <v/>
      </c>
      <c r="I271" t="str">
        <f>Линии[[#This Row],[_авто аппараты]]</f>
        <v/>
      </c>
      <c r="J271">
        <v>2.5</v>
      </c>
      <c r="K271">
        <v>36</v>
      </c>
      <c r="L271" t="str">
        <f>Линии[[#This Row],[_авто фаза]]</f>
        <v>L1</v>
      </c>
      <c r="M271" t="str">
        <f>Линии[[#This Row],[_авто клемма]]</f>
        <v>XT47</v>
      </c>
      <c r="N271" t="str">
        <f t="shared" si="552"/>
        <v/>
      </c>
      <c r="O271" s="6" cm="1">
        <f t="array" ref="O271">IF(B271="","",IF(BH271&lt;&gt;"",IFERROR(_xlfn.XLOOKUP(BH271,Щиты[Щит],Щиты[Iр, А]),""),IF(BP271=1,IF(OR(N(_xlfn.XLOOKUP(A271,Щиты[Щит],Щиты[Вводов],1))&lt;=1,LOWER(TRIM(_xlfn.XLOOKUP(A271,Щиты[Щит],Щиты[АВР],"")&amp;""))="да"),IFERROR(_xlfn.XLOOKUP(A271,Щиты[Щит],Щиты[Iр, А]),""),IFERROR(N(BS271)*_xlfn.XLOOKUP(A271,Щиты[Щит],Щиты[Кс итог])/(SQRT(3)*Uн_лин*_xlfn.XLOOKUP(A271,Щиты[Щит],Щиты[cos φ])),"")),IF(BV271=1,IFERROR(BS271*1000/BU271,""),IFERROR(_xlfn.IFS(BX271=1,BS271/((Uн_лин/SQRT(3))*CE271),BX271=3,BS271/(SQRT(3)*Uн_лин*CE271)),"")))))</f>
        <v>7.292845505553168</v>
      </c>
      <c r="P271" s="7">
        <f>IF(B271="","",IFERROR(IF(VLOOKUP(BC271,Потребители_обозначение,4,FALSE)=1,VLOOKUP(BC271,Потребители_обозначение,3,FALSE)*(MAX(1,N(D271))*2-1)+EI271+VLOOKUP(BE271,Этаж_обозначение,3,FALSE)+VLOOKUP(BE271,Этаж_обозначение,4,FALSE),VLOOKUP(BC271,Потребители_обозначение,3,FALSE)*(MAX(1,N(D271))*2-1)+EI271),EI271))</f>
        <v>39</v>
      </c>
      <c r="Q271" s="6">
        <f t="shared" si="553"/>
        <v>3.3099999999999996</v>
      </c>
      <c r="R271" t="str">
        <f t="shared" si="554"/>
        <v>ВВГнг(А)-LS (3х2,5)</v>
      </c>
      <c r="S271" t="str">
        <f>IF(BM271="","",IF(BN271="вводной узел","узел ","")&amp;"л."&amp;(INT((BM271-1)/Столбцов_на_лист)+1)&amp;" / "&amp;(MOD(BM271-1,Столбцов_на_лист)+1))</f>
        <v>л.4 / 10</v>
      </c>
      <c r="T271" s="119">
        <f t="shared" si="555"/>
        <v>3.3</v>
      </c>
      <c r="U271" s="7" t="str">
        <f>IF(OR(CG271=0,N(BV271)+N(IB271)=0),"",ROUNDUP(Запас_БП*(N(HY271)+N(HZ271)),0))</f>
        <v/>
      </c>
      <c r="V271" s="119" t="str">
        <f t="shared" si="556"/>
        <v/>
      </c>
      <c r="W271" s="7" t="str">
        <f>IFERROR(IF(OR(B271="",BP271=1,BV271=1,NOT(ISNUMBER(EN271)),N(DT271)=0),"",MAX(0,ROUNDDOWN((c_min*(Uн_лин*1000/SQRT(3))/(HT271*N(DT271))-_xlfn.XLOOKUP(A271,Щиты[Щит],Щиты[Zпетли на шинах, Ом]))*EN271/(2*ρкз_Cu),0))),"")</f>
        <v/>
      </c>
      <c r="Y271">
        <f>Линии[[#This Row],[_авто утечка]]</f>
        <v>30</v>
      </c>
      <c r="Z271">
        <v>1</v>
      </c>
      <c r="AA271">
        <v>230</v>
      </c>
      <c r="AB271" t="s">
        <v>562</v>
      </c>
      <c r="AG271" t="s">
        <v>810</v>
      </c>
      <c r="AI271" t="s">
        <v>561</v>
      </c>
      <c r="AK271" t="str">
        <f>Линии[[#This Row],[_авто модуль]]</f>
        <v/>
      </c>
      <c r="AM271">
        <v>61</v>
      </c>
      <c r="AN271" t="s">
        <v>11</v>
      </c>
      <c r="AO271">
        <v>3</v>
      </c>
      <c r="AQ271">
        <v>20</v>
      </c>
      <c r="AR271">
        <v>19</v>
      </c>
      <c r="AS271">
        <v>0</v>
      </c>
      <c r="BA271" cm="1">
        <f t="array" ref="BA271">ROW()-ROW(Линии[#Headers])</f>
        <v>269</v>
      </c>
      <c r="BC271" s="6" t="str">
        <f t="shared" si="557"/>
        <v>R</v>
      </c>
      <c r="BD271" t="str">
        <f t="shared" si="558"/>
        <v>1.021A.3</v>
      </c>
      <c r="BE271" t="str">
        <f t="shared" si="559"/>
        <v>1</v>
      </c>
      <c r="BF271" t="str">
        <f t="shared" si="560"/>
        <v>021A.3</v>
      </c>
      <c r="BG271" t="str">
        <f t="shared" si="561"/>
        <v>021A</v>
      </c>
      <c r="BH271" t="str">
        <f>IF(X271&lt;&gt;"",X271,IF(AND(B271&lt;&gt;"",B271&lt;&gt;A271,ISNUMBER(_xlfn.XMATCH(B271,Щиты[Щит]))),B271,""))</f>
        <v/>
      </c>
      <c r="BI271" t="str" cm="1">
        <f t="array" ref="BI271">IF(B271="","",IF(BH271&lt;&gt;"","Щит "&amp;BH271,_xlfn.LET(_xlpm.nm,IFERROR(_xlfn.XLOOKUP(BC271,Коды_код,Коды_имя)&amp;"",""),_xlpm.md,IFERROR(N(_xlfn.XLOOKUP(BC271,Коды_код,Коды_режим)),1),_xlpm.ex,IF(Имя_режим="по экспликации",IFERROR(_xlfn.XLOOKUP(BE271&amp;"|"&amp;BG271,Экспликация[Этаж]&amp;"|"&amp;Экспликация[Помещение],Экспликация[Название])&amp;"",""),""),_xlpm.rm,IF(BG271="","",IF(_xlpm.ex&lt;&gt;"",". "&amp;_xlpm.ex&amp;IF(Имя_пом="нет"," ("&amp;BG271&amp;")"," (пом. "&amp;BG271&amp;")"),IF(Имя_пом="нет"," ",", пом. ")&amp;BG271)),IF(_xlpm.nm="","",IF(_xlpm.md=2,_xlpm.nm&amp;" шлейф "&amp;BE271,_xlpm.nm&amp;_xlpm.rm)))))</f>
        <v>Розеточная группа, пом. 021A</v>
      </c>
      <c r="BJ271" t="str">
        <f t="shared" si="562"/>
        <v>Розеточная группа Первый этаж Пом. №021A Микроволновая печь</v>
      </c>
      <c r="BK271">
        <f>IFERROR(_xlfn.XMATCH(A271,Щиты[Щит]),0)</f>
        <v>10</v>
      </c>
      <c r="BL271">
        <f>_xlfn.LET(_xlpm.k,IFERROR(_xlfn.XLOOKUP(A271,Щиты[Щит],Щиты[Мест под вводной узел]),""),IF(_xlpm.k="",Столбцов_на_лист,N(_xlpm.k)))</f>
        <v>8</v>
      </c>
      <c r="BM271">
        <f t="shared" si="563"/>
        <v>61</v>
      </c>
      <c r="BN271" t="str">
        <f t="shared" si="564"/>
        <v>линии</v>
      </c>
      <c r="BO271" s="6">
        <f>IFERROR(N(_xlfn.XLOOKUP(BC271,Коды_код,Коды_квт)),0)</f>
        <v>0</v>
      </c>
      <c r="BP271">
        <f t="shared" si="565"/>
        <v>0</v>
      </c>
      <c r="BQ271" t="str">
        <f>IF(B271="","",IF(BH271&lt;&gt;"",IFERROR(_xlfn.XLOOKUP(BH271,Щиты[Щит],Щиты[Руст, кВт]),0),IF(BP271=1,IF(OR(N(_xlfn.XLOOKUP(A271,Щиты[Щит],Щиты[Вводов],1))&lt;=1,LOWER(TRIM(_xlfn.XLOOKUP(A271,Щиты[Щит],Щиты[АВР],"")&amp;""))="да"),IFERROR(_xlfn.XLOOKUP(A271,Щиты[Щит],Щиты[Руст, кВт]),0),SUMIFS(Линии[_Р для вводов],Линии[Щит],A271,Линии[Источник для режимов],GF271)),IF(BO271&gt;0,ROUND(BO271*MAX(1,N(D271)),3),""))))</f>
        <v/>
      </c>
      <c r="BR271">
        <f t="shared" si="566"/>
        <v>1.6</v>
      </c>
      <c r="BS271" s="6">
        <f>IF(B271="","",IF(BH271&lt;&gt;"",IFERROR(_xlfn.XLOOKUP(BH271,Щиты[Щит],Щиты[Руст, кВт]),0),N(BR271)))</f>
        <v>1.6</v>
      </c>
      <c r="BT271" t="str">
        <f>IF(B271="","",IFERROR(IF(VLOOKUP(BC271,Потребители_обозначение,8,FALSE)=0,"",VLOOKUP(BC271,Потребители_обозначение,8,FALSE)),""))</f>
        <v/>
      </c>
      <c r="BU271">
        <f t="shared" si="567"/>
        <v>230</v>
      </c>
      <c r="BV271">
        <f t="shared" si="568"/>
        <v>0</v>
      </c>
      <c r="BW271">
        <f>IF(B271="","",IF(BH271&lt;&gt;"",3,IFERROR(IF(N(VLOOKUP(BC271,Потребители_обозначение,9,FALSE))=0,1,VLOOKUP(BC271,Потребители_обозначение,9,FALSE)),1)))</f>
        <v>1</v>
      </c>
      <c r="BX271">
        <f t="shared" si="569"/>
        <v>1</v>
      </c>
      <c r="BY271" t="str">
        <f>IF(B271="","",_xlfn.LET(_xlpm.bc,IFERROR(IF(VLOOKUP(BC271,Потребители_обозначение,6,FALSE)=0,"",VLOOKUP(BC271,Потребители_обозначение,6,FALSE)&amp;""),""),IF(AND(GA271="да",OR(_xlpm.bc="",_xlpm.bc="мс")),Марка_пож,IF(AND(_xlpm.bc="",BH271&lt;&gt;""),"мс",_xlpm.bc))))</f>
        <v/>
      </c>
      <c r="BZ271" t="str">
        <f t="shared" si="570"/>
        <v>мс</v>
      </c>
      <c r="CA271">
        <f>IF(B271="","",_xlfn.LET(_xlpm.cc,IFERROR(N(VLOOKUP(BC271,Потребители_обозначение,7,FALSE)),0),IF(_xlpm.cc&gt;0,_xlpm.cc,IF(BZ271="","",IF(BV271=1,2,IF(N(BX271)=3,5,3))))))</f>
        <v>3</v>
      </c>
      <c r="CB271">
        <f t="shared" si="571"/>
        <v>3</v>
      </c>
      <c r="CC271">
        <f>IFERROR(N(VLOOKUP(BC271,Потребители_обозначение,10,FALSE)),0)</f>
        <v>0</v>
      </c>
      <c r="CD271">
        <f>IFERROR(VLOOKUP(BC271,Потребители_обозначение,5,FALSE),0)</f>
        <v>1</v>
      </c>
      <c r="CE271" s="6" cm="1">
        <f t="array" ref="CE271">IF(B271="","",IF(BH271&lt;&gt;"",IFERROR(_xlfn.XLOOKUP(BH271,Щиты[Щит],Щиты[cos φ]),0.95),IF(BP271=1,IFERROR(_xlfn.XLOOKUP(A271,Щиты[Щит],Щиты[cos φ]),0.95),IF(ISNUMBER(AD271),AD271,IFERROR(IF(CD271=2,_xlfn.IFS(BX271=3,VLOOKUP(BS271,Справочная_двигатели,8,FALSE),BX271=1,VLOOKUP(BS271,Справочная_двигатели,10,TRUE)),IF(AND(Методика="нормы 2026",FG271="Сил"),0.8,0.95)),0.95)))))</f>
        <v>0.95</v>
      </c>
      <c r="CF271">
        <f t="shared" si="572"/>
        <v>0</v>
      </c>
      <c r="CG271">
        <f t="shared" si="573"/>
        <v>1</v>
      </c>
      <c r="CH271">
        <f t="shared" si="574"/>
        <v>0</v>
      </c>
      <c r="CI271">
        <f>IF(B271="","",IF(BV271=1,IFERROR(BS271/((Uн_лин/SQRT(3))*MAX(0.5,N(CE271))),0),N(O271)))</f>
        <v>7.292845505553168</v>
      </c>
      <c r="CJ271">
        <f t="shared" si="575"/>
        <v>0</v>
      </c>
      <c r="CK271">
        <f t="shared" si="576"/>
        <v>0</v>
      </c>
      <c r="CL271">
        <f t="shared" si="577"/>
        <v>0</v>
      </c>
      <c r="CM271">
        <f t="shared" si="578"/>
        <v>0</v>
      </c>
      <c r="CN271">
        <f t="shared" si="579"/>
        <v>0</v>
      </c>
      <c r="CO271">
        <f>IF(BC271="",0,_xlfn.LET(_xlpm.v,IFERROR(_xlfn.XLOOKUP(B271,Коды_код,Коды_мА),IFERROR(_xlfn.XLOOKUP(BC271,Коды_код,Коды_мА),IFERROR(_xlfn.XLOOKUP(LEFT(BC271,2),Коды_код,Коды_мА),""))),IF(_xlpm.v="да",30,IF(ISNUMBER(_xlpm.v),_xlpm.v,0))))</f>
        <v>30</v>
      </c>
      <c r="CP271">
        <f t="shared" si="580"/>
        <v>30</v>
      </c>
      <c r="CQ271" t="str">
        <f>_xlfn.LET(_xlpm.k,IFERROR(_xlfn.XLOOKUP(BC271,Коды_код,Коды_утечка)&amp;"",""),IF(_xlpm.k="","дифавтомат",_xlpm.k))</f>
        <v>дифавтомат</v>
      </c>
      <c r="CR271" t="str" cm="1">
        <f t="array" ref="CR271">IF(CG271=0,"",_xlfn.LET(_xlpm.sg,TRIM(_xlfn.TEXTSPLIT(DD271&amp;"",";")),_xlpm.f_,_xlfn._xlws.FILTER(_xlpm.sg,LEFT(_xlpm.sg,3)="УЗО",""),IFERROR(INDEX(_xlpm.f_,1)&amp;"","")))</f>
        <v/>
      </c>
      <c r="CS271" t="str">
        <f t="shared" si="581"/>
        <v/>
      </c>
      <c r="CT271" s="6" t="str" cm="1">
        <f t="array" ref="CT271">IF(CR271="","",_xlfn.LET(_xlpm.tk,_xlfn.TEXTSPLIT(UPPER(CR271)," ",,TRUE),_xlpm.a_,_xlfn._xlws.FILTER(_xlpm.tk,ISNUMBER(--LEFT(_xlpm.tk,1))*((ISNUMBER(SEARCH("А",_xlpm.tk))+ISNUMBER(SEARCH("A",_xlpm.tk)))&gt;0)*NOT(ISNUMBER(SEARCH("МА",_xlpm.tk)))*NOT(ISNUMBER(SEARCH("MA",_xlpm.tk))),""),IFERROR(--SUBSTITUTE(SUBSTITUTE(INDEX(_xlpm.a_,1),"А",""),"A",""),"")))</f>
        <v/>
      </c>
      <c r="CU271" t="str" cm="1">
        <f t="array" ref="CU271">IF(CR271="","",_xlfn.LET(_xlpm.tk,_xlfn.TEXTSPLIT(UPPER(CR271)," ",,TRUE),_xlpm.a_,_xlfn._xlws.FILTER(_xlpm.tk,ISNUMBER(--LEFT(_xlpm.tk,1))*((ISNUMBER(SEARCH("МА",_xlpm.tk))+ISNUMBER(SEARCH("MA",_xlpm.tk)))&gt;0),""),IFERROR(--SUBSTITUTE(SUBSTITUTE(INDEX(_xlpm.a_,1),"МА",""),"MA",""),30)))</f>
        <v/>
      </c>
      <c r="CV271" t="str">
        <f>IF(CS271="","",IFERROR(_xlfn.XLOOKUP(CS271,Линии[_n],Линии[_УЗО, мА]),30))</f>
        <v/>
      </c>
      <c r="CW271">
        <f>IF(CS271="",0,IF(ISNUMBER(SEARCH("4P",IFERROR(_xlfn.XLOOKUP(CS271,Линии[_n],Линии[_УЗО строки])&amp;"",""))),0,1))</f>
        <v>0</v>
      </c>
      <c r="CX271" t="str">
        <f>IF(AND(CS271&lt;&gt;"",CS271=BA271),SUMIFS(Линии[_ток на 230 В],Линии[_блок УЗО],BA271,Линии[Щит],A271),"")</f>
        <v/>
      </c>
      <c r="CY271" t="str">
        <f>IF(AND(CS271&lt;&gt;"",CS271=BA271),SUMIFS(Линии[_ток утечки линии, мА],Линии[_блок УЗО],BA271,Линии[Щит],A271),"")</f>
        <v/>
      </c>
      <c r="CZ271">
        <f t="shared" si="582"/>
        <v>30</v>
      </c>
      <c r="DA271">
        <f t="shared" si="583"/>
        <v>30</v>
      </c>
      <c r="DB271">
        <f>IF(B271="",0,IFERROR(--_xlfn.XLOOKUP(B271,Коды_код,Коды_минавт),IFERROR(--_xlfn.XLOOKUP(BC271,Коды_код,Коды_минавт),IFERROR(--_xlfn.XLOOKUP(LEFT(BC271,2),Коды_код,Коды_минавт),0))))</f>
        <v>16</v>
      </c>
      <c r="DC271" t="str">
        <f>IF(B271="","",IFERROR(_xlfn.XLOOKUP(BC271,Коды_код,Коды_апп)&amp;"",""))</f>
        <v/>
      </c>
      <c r="DD271" t="str">
        <f t="shared" si="584"/>
        <v/>
      </c>
      <c r="DE271" t="str" cm="1">
        <f t="array" ref="DE271">IF(TRIM(DD271&amp;"")="","",IFERROR(TRIM(INDEX(_xlfn.TEXTSPLIT(DD271&amp;";;;",";"),1)),""))</f>
        <v/>
      </c>
      <c r="DF271" t="str" cm="1">
        <f t="array" ref="DF271">IF(TRIM(DD271&amp;"")="","",IFERROR(TRIM(INDEX(_xlfn.TEXTSPLIT(DD271&amp;";;;",";"),2)),""))</f>
        <v/>
      </c>
      <c r="DG271" t="str" cm="1">
        <f t="array" ref="DG271">IF(TRIM(DD271&amp;"")="","",IFERROR(TRIM(INDEX(_xlfn.TEXTSPLIT(DD271&amp;";;;",";"),3)),""))</f>
        <v/>
      </c>
      <c r="DH271">
        <f t="shared" si="585"/>
        <v>0</v>
      </c>
      <c r="DI271" t="str">
        <f>IF(B271="","",_xlfn.LET(_xlpm.t,LOWER(AZ271&amp;""),IF(ISNUMBER(SEARCH("dim",_xlpm.t)),"DIM",IF(ISNUMBER(SEARCH("dali",_xlpm.t)),"DALI",IF(OR(ISNUMBER(SEARCH("relay",_xlpm.t)),ISNUMBER(SEARCH("реле",_xlpm.t))),"Relay",IF(ISNUMBER(SEARCH("кнопк",_xlpm.t)),"",IFERROR(_xlfn.XLOOKUP(BC271,Коды_код,Коды_упр)&amp;"","")))))))</f>
        <v/>
      </c>
      <c r="DJ271" t="str">
        <f t="shared" si="586"/>
        <v/>
      </c>
      <c r="DK271">
        <f>IF(B271="","",_xlfn.LET(_xlpm.ig,IF(N(CX271)&gt;0,N(CX271),N(CI271)+IF(AJ271="вручную",0,N(CJ271))),_xlpm.n0,IFERROR(VLOOKUP(_xlpm.ig,Автомат_номиналы,2,TRUE),0),_xlpm.mn,MAX(DB271,IF(AJ271="вручную",0,N(CM271))),MAX(_xlpm.n0,_xlpm.mn,IF(DH271=1,Мин_автомат_БП,0))))</f>
        <v>16</v>
      </c>
      <c r="DL271">
        <f t="shared" si="587"/>
        <v>1</v>
      </c>
      <c r="DM271" t="str">
        <f t="shared" si="588"/>
        <v>2P</v>
      </c>
      <c r="DN271" t="str">
        <f>_xlfn.LET(_xlpm.cc,UPPER(TRIM(IFERROR(_xlfn.XLOOKUP(BC271,Коды_код,Коды_хар)&amp;"",""))),IF(OR(_xlpm.cc="B",_xlpm.cc="В"),"B",IF(_xlpm.cc="D","D","С")))</f>
        <v>С</v>
      </c>
      <c r="DO271" t="str">
        <f t="shared" si="589"/>
        <v>2P С16А 30мА</v>
      </c>
      <c r="DP271" t="str">
        <f t="shared" si="590"/>
        <v>2P С16А 30мА</v>
      </c>
      <c r="DQ271" t="str">
        <f t="shared" si="591"/>
        <v>2P С16А 30мА</v>
      </c>
      <c r="DR271" cm="1">
        <f t="array" ref="DR271">IF(DQ271="","",_xlfn.LET(_xlpm.t,SUBSTITUTE(SUBSTITUTE(SUBSTITUTE(UPPER(DQ271),"С","C"),"А","A"),"В","B"),_xlpm.tk,_xlfn.TEXTSPLIT(_xlpm.t," "),_xlpm.f,_xlfn._xlws.FILTER(_xlpm.tk,ISNUMBER(--MID(_xlpm.tk,2,1))*ISNUMBER(SEARCH(LEFT(_xlpm.tk,1)&amp;"#","B#C#D#"))*(LEN(_xlpm.tk)&gt;1),""),_xlpm.x,INDEX(_xlpm.f,1),IFERROR(--SUBSTITUTE(MID(_xlpm.x,2,9),"A",""),IFERROR(--SUBSTITUTE(INDEX(_xlfn._xlws.FILTER(_xlpm.tk,ISNUMBER(--SUBSTITUTE(_xlpm.tk,"A","")),""),1),"A",""),""))))</f>
        <v>16</v>
      </c>
      <c r="DS271" t="str">
        <f t="shared" si="592"/>
        <v>ok</v>
      </c>
      <c r="DT271">
        <f t="shared" si="593"/>
        <v>16</v>
      </c>
      <c r="DU271" t="str">
        <f t="shared" si="594"/>
        <v>2P С16А 30мА</v>
      </c>
      <c r="DV271">
        <f t="shared" si="595"/>
        <v>30</v>
      </c>
      <c r="DW271">
        <f t="shared" si="596"/>
        <v>1</v>
      </c>
      <c r="DX271">
        <f t="shared" si="597"/>
        <v>0</v>
      </c>
      <c r="DY271">
        <f t="shared" si="598"/>
        <v>7.292845505553168</v>
      </c>
      <c r="DZ271">
        <f t="shared" si="599"/>
        <v>1</v>
      </c>
      <c r="EA271">
        <f>IF(ISNUMBER(AP271),AP271,К_прокл)</f>
        <v>1</v>
      </c>
      <c r="EB271">
        <f t="shared" si="600"/>
        <v>2</v>
      </c>
      <c r="EC271">
        <f>IFERROR(N(VLOOKUP(BZ271,Кабель_обозначение,3,FALSE)),1)</f>
        <v>1</v>
      </c>
      <c r="ED271">
        <f>IFERROR(N(_xlfn.XLOOKUP(A271,Щиты[Щит],Щиты[ΔU до шин, %])),0)</f>
        <v>1.19</v>
      </c>
      <c r="EE271" t="str">
        <f>IFERROR(_xlfn.XLOOKUP(A271,Щиты[Щит],Щиты[Zпетли на шинах, Ом]),"")</f>
        <v/>
      </c>
      <c r="EF271">
        <f>IFERROR(N(_xlfn.XLOOKUP(A271,Щиты[Щит],Щиты[ΔU до шин (подбор), %])),0)</f>
        <v>1.19</v>
      </c>
      <c r="EG271" t="str">
        <f>IFERROR(_xlfn.XLOOKUP(A271,Щиты[Щит],Щиты[Zпетли на шинах (подбор), Ом]),"")</f>
        <v/>
      </c>
      <c r="EH271" t="str">
        <f t="shared" si="601"/>
        <v/>
      </c>
      <c r="EI271">
        <f t="shared" si="602"/>
        <v>36</v>
      </c>
      <c r="EJ271">
        <f t="shared" si="603"/>
        <v>2</v>
      </c>
      <c r="EK271">
        <f t="shared" si="604"/>
        <v>0.31</v>
      </c>
      <c r="EL271" s="6">
        <f>IF(B271="","",IF(BV271=1,dU_LED,IF(IFERROR(_xlfn.XLOOKUP(BC271,Коды_код,Коды_уго),"")="Светильник",3,4)+IF(Методика="нормы 2026",MIN(0.5,MAX(0,N(P271)-100)*0.005),0)))</f>
        <v>4</v>
      </c>
      <c r="EM271" cm="1">
        <f t="array" ref="EM271">IF(OR(B271="",BZ271="",EC271&lt;&gt;1),"",_xlfn.LET(_xlpm.sz,Iдоп_S,_xlpm.t_,CHOOSE(EB271,Iдоп_1ж,Iдоп_2ж,Iдоп_3ж)*DZ271*EA271,_xlpm.dcx,BV271=1,_xlpm.inn,IF(_xlpm.dcx,N(O271),N(DT271)),_xlpm.smin,MAX(1.5,CC271),_xlpm.L_,N(P271)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271)/N(BU271)*100,999),IFERROR(N(EJ271)*(_xlpm.rho*_xlpm.L_/_xlpm.sz*N(CE271)+_xlpm.xx*_xlpm.L_*N(EK271)/1000)*N(O271)/((Uн_лин/SQRT(3))*1000)*100,999)),_xlpm.kz,IF(OR(_xlpm.dcx,DW271=1,NOT(ISNUMBER(EG271)),_xlpm.L_=0,_xlpm.inn=0),1,IFERROR(--(c_min*(Uн_лин*1000/SQRT(3))/(EG271+2*ρкз_Cu*_xlpm.L_/_xlpm.sz)&gt;=HT271*_xlpm.inn),0)),_xlpm.ok,IFERROR((_xlpm.sz&gt;=_xlpm.smin)*(_xlpm.t_&gt;=_xlpm.inn)*IF(_xlpm.L_&gt;0,(_xlpm.du_+IF(_xlpm.dcx,0,EF271)&lt;=EL271+0.00001),1)*_xlpm.kz,0),_xlpm.r_,_xlfn._xlws.FILTER(_xlpm.sz,_xlpm.ok,"не подобрано"),INDEX(_xlpm.r_,1)))</f>
        <v>2.5</v>
      </c>
      <c r="EN271">
        <f t="shared" si="605"/>
        <v>2.5</v>
      </c>
      <c r="EO271" cm="1">
        <f t="array" ref="EO271">IF(OR(B271="",BZ271="",EC271&lt;&gt;1),"",_xlfn.LET(_xlpm.sz,Iдоп_S,_xlpm.t_,CHOOSE(EB271,Iдоп_1ж,Iдоп_2ж,Iдоп_3ж)*DZ271*EA271,_xlpm.ok,IFERROR((_xlpm.sz&gt;=MAX(1.5,CC271))*(_xlpm.t_&gt;=N(DT271)),0),_xlpm.r_,_xlfn._xlws.FILTER(_xlpm.sz,_xlpm.ok,""),INDEX(_xlpm.r_,1)))</f>
        <v>1.5</v>
      </c>
      <c r="EP271" s="6" cm="1">
        <f t="array" ref="EP271">IFERROR(ROUNDUP(N(EJ271)*(_xlfn.XLOOKUP(EO271,INDEX(Кабель_сопротивление,0,1),INDEX(Кабель_сопротивление,0,3))*N(P271)/EO271*N(CE271)+_xlfn.XLOOKUP(EO271,INDEX(Кабель_сопротивление,0,1),INDEX(Кабель_сопротивление,0,2))*N(P271)*N(EK271)/1000)*N(O271)/((Uн_лин/SQRT(3))*1000)*100,2),"")</f>
        <v>3.5199999999999996</v>
      </c>
      <c r="EQ271">
        <f>IFERROR(2*ρкз_Cu*N(P271)/EO271,"")</f>
        <v>1.3676000000000001</v>
      </c>
      <c r="ER271">
        <f>IFERROR(VLOOKUP(EN271,Кабель_сопротивление,3,FALSE),"")</f>
        <v>2.2499999999999999E-2</v>
      </c>
      <c r="ES271">
        <f>IFERROR(VLOOKUP(EN271,Кабель_сопротивление,2,FALSE),"")</f>
        <v>0.1</v>
      </c>
      <c r="ET271">
        <f t="shared" si="606"/>
        <v>19</v>
      </c>
      <c r="EU271">
        <f t="shared" si="607"/>
        <v>0</v>
      </c>
      <c r="EV271">
        <f t="shared" si="608"/>
        <v>4.8812327680858347</v>
      </c>
      <c r="EW271" s="6">
        <f>IFERROR(ROUNDUP(EV271/IF(BV271=1,BU271,(Uн_лин/SQRT(3))*1000)*100,2),"")</f>
        <v>2.1199999999999997</v>
      </c>
      <c r="EX271" t="str">
        <f>IFERROR(VLOOKUP(BZ271,Кабель_обозначение,2,FALSE),"")</f>
        <v>ВВГнг(А)-LS</v>
      </c>
      <c r="EY271" t="str">
        <f t="shared" si="609"/>
        <v>ВВГнг(А)-LS (3х2,5)</v>
      </c>
      <c r="EZ271" t="str">
        <f t="shared" si="610"/>
        <v>ВВГнг(А)-LS (3х2,5)
L=39-2,12%</v>
      </c>
      <c r="FA271">
        <f>IFERROR(2*ρкз_Cu*P271/EN271,"")</f>
        <v>0.82056000000000007</v>
      </c>
      <c r="FB271">
        <f t="shared" si="611"/>
        <v>0.27300000000000002</v>
      </c>
      <c r="FC271" s="6" t="str">
        <f>IFERROR(IF(OR(B271="",BV271=1,NOT(ISNUMBER(EN271)),N(P271)=0),"",_xlfn.XLOOKUP(A271,Щиты[Щит],Щиты[Zпетли на шинах, Ом])+FA271),"")</f>
        <v/>
      </c>
      <c r="FD271" s="6" t="str">
        <f>IF(ISNUMBER(FC271),c_min*(Uн_лин*1000/SQRT(3))/FC271,"")</f>
        <v/>
      </c>
      <c r="FE271" s="6" t="str">
        <f>IFERROR(IF(OR(B271="",NOT(ISNUMBER(EN271))),"",1.05*(Uн_лин*1000/SQRT(3))/(_xlfn.XLOOKUP(A271,Щиты[Щит],Щиты[Zmax на шинах, Ом])+FB271)/1000),"")</f>
        <v/>
      </c>
      <c r="FF271" s="6" t="str">
        <f>IF(B271="","",IF(ISNUMBER(AC271),"Сил",IF(IFERROR(_xlfn.XLOOKUP(BC271,Коды_код,Коды_группа)&amp;"","")="","Быт",_xlfn.XLOOKUP(BC271,Коды_код,Коды_группа)&amp;"")))</f>
        <v>Быт</v>
      </c>
      <c r="FG271" s="6" t="str">
        <f t="shared" si="612"/>
        <v>Быт</v>
      </c>
      <c r="FH271" s="6">
        <f>IF(FG271="Щит","щит",IF(FG271="","",IF(FG271="Быт",IFERROR(_xlfn.XLOOKUP(A271,Щиты[Щит],Щиты[Кс быт]),1),IF(FG271="Сил",IF(ISNUMBER(AC271),AC271,IF(Методика="нормы 2026",IFERROR(_xlfn.XLOOKUP(A271,Щиты[Щит],Щиты[Кс силовых (табл. 7.5)]),1),1)),IF(OR(FG271="Пост",FG271="Отоп"),1,IF(FG271="ВНГ",0.7,0))))))</f>
        <v>0.57830000000000004</v>
      </c>
      <c r="FI271">
        <f>IF(FG271="","",IF(AND(BP271=1,TRIM(AE271&amp;"")=""),IF(COUNTIFS(Линии[Щит],A271,Линии[Секция (1/2/3)],"&gt;=2")&gt;0,MIN(3,MAX(1,IFERROR(--BD271,1))),1),IFERROR(MIN(3,MAX(1,INT(--AE271))),1)))</f>
        <v>1</v>
      </c>
      <c r="FJ271">
        <f t="shared" si="613"/>
        <v>1.6</v>
      </c>
      <c r="FK271">
        <f t="shared" si="614"/>
        <v>1.6</v>
      </c>
      <c r="FL271">
        <f t="shared" si="615"/>
        <v>0</v>
      </c>
      <c r="FM271">
        <f t="shared" si="616"/>
        <v>0</v>
      </c>
      <c r="FN271">
        <f t="shared" si="617"/>
        <v>0</v>
      </c>
      <c r="FO271">
        <f t="shared" si="618"/>
        <v>0</v>
      </c>
      <c r="FP271">
        <f t="shared" si="619"/>
        <v>1.6</v>
      </c>
      <c r="FQ271">
        <f t="shared" si="620"/>
        <v>1.6</v>
      </c>
      <c r="FR271">
        <f t="shared" si="621"/>
        <v>1.52</v>
      </c>
      <c r="FS271">
        <f>IF(CG271=1,IF(AND(CH271=1,CW271=1),0,IF(AND(CS271&lt;&gt;"",CS271=BA271,CW271=1),SUMIFS(Линии[_Р линии, кВт],Линии[_блок УЗО],BA271,Линии[Щит],A271),N(BS271)+IF(AJ271="вручную",0,N(CK271)))),0)</f>
        <v>1.6</v>
      </c>
      <c r="FT271" t="str">
        <f t="shared" si="622"/>
        <v/>
      </c>
      <c r="FU271" t="str">
        <f>IF(B271="","",IF(CG271=0,IF(BA271=1,"",FW270),IF(AND(CH271=1,CW271=1,CS271&lt;&gt;""),IFERROR(_xlfn.XLOOKUP(CS271,Линии[_n],Линии[_фаза итог]),"L1"),IF(OR(N(DL271)&gt;=3,N(BX271)&gt;=3),"L1,L2,L3",IFERROR(_xlfn.TEXTBEFORE(_xlfn.TEXTAFTER(_xlfn.XLOOKUP(A271,Щиты[Щит],Щиты[_фазы авто]),";"&amp;BA271&amp;":"),";"),"L1")))))</f>
        <v>L1</v>
      </c>
      <c r="FV271" t="str">
        <f t="shared" si="623"/>
        <v>L1</v>
      </c>
      <c r="FW271" t="str">
        <f t="shared" si="624"/>
        <v>L1</v>
      </c>
      <c r="FX271" cm="1">
        <f t="array" ref="FX271">IFERROR(IF(CD271=2,_xlfn.IFS(BX271=3,VLOOKUP(BS271,Справочная_двигатели,3,FALSE),BX271=1,VLOOKUP(BS271,Справочная_двигатели,5,TRUE)),0),0)</f>
        <v>0</v>
      </c>
      <c r="FY271">
        <f>IFERROR(IF(CD271=3,VLOOKUP(BS271,Справочная_ЛЭД,2,TRUE),0),0)</f>
        <v>0</v>
      </c>
      <c r="FZ271" s="6">
        <f t="shared" si="625"/>
        <v>0</v>
      </c>
      <c r="GA271" t="str">
        <f>IF(B271="","",IF(TRIM(AH271&amp;"")&lt;&gt;"",IF(LOWER(TRIM(AH271&amp;""))="да","да","нет"),IF(IFERROR(_xlfn.XLOOKUP(BC271,Коды_код,Коды_пожарная),"")="да","да","нет")))</f>
        <v>нет</v>
      </c>
      <c r="GB271" t="str">
        <f t="shared" si="626"/>
        <v/>
      </c>
      <c r="GC271" t="str">
        <f t="shared" si="627"/>
        <v>основная</v>
      </c>
      <c r="GD271">
        <f>IF(AND(BP271=1,TRIM(AE271&amp;"")=""),IF(COUNTIFS(Линии[Щит],A271,Линии[Секция (1/2/3)],"&gt;=2")&gt;0,MIN(3,MAX(1,IFERROR(--BD271,1))),1),IFERROR(MIN(3,MAX(1,INT(--AE271))),1))</f>
        <v>1</v>
      </c>
      <c r="GE271" t="str" cm="1">
        <f t="array" ref="GE271">IF(B271="","",_xlfn.LET(_xlpm.t,IFERROR(_xlfn.XLOOKUP(1,(Шины[Шина]=GC271)*(((Шины[Щит]=A271)+(Шины[Щит]=""))&gt;0),Шины[Тип]),"")&amp;"",IF(_xlpm.t&lt;&gt;"",_xlpm.t,IF(ISNUMBER(SEARCH("ИБП",GC271)),"ИБП",IF(ISNUMBER(SEARCH("ДГУ",GC271)),"ДГУ","Ввод "&amp;GD271)))))</f>
        <v>Ввод 1</v>
      </c>
      <c r="GF271" t="str">
        <f t="shared" si="628"/>
        <v>Ввод 1</v>
      </c>
      <c r="GG271" t="str">
        <f>IF(BP271=0,"",IF(TRIM(AG271&amp;"")&lt;&gt;"",TRIM(AG271&amp;""),IF(OR(GE271="ИБП",GE271="ДГУ"),"I особая",_xlfn.XLOOKUP(A271,Щиты[Щит],Щиты[Категория шины «Ввод»],"III"))))</f>
        <v/>
      </c>
      <c r="GH271" t="str">
        <f>IF(A271="","",_xlfn.XLOOKUP(A271,Щиты[Щит],Щиты[Путь],""))</f>
        <v>|ГРЩ-ЖД|ЩР-1|</v>
      </c>
      <c r="GI271" t="str">
        <f>IF(B271="","",IF(AI271&lt;&gt;"",AI271,IF(IFERROR(_xlfn.XLOOKUP(BC271,Коды_код,Коды_вид)&amp;"","")="","Прочее",_xlfn.XLOOKUP(BC271,Коды_код,Коды_вид)&amp;"")))</f>
        <v>Розеточная сеть и бытовые приборы</v>
      </c>
      <c r="GJ271">
        <f>IF(BM271="","",INT((BM271-1)/Столбцов_на_лист)+1)</f>
        <v>4</v>
      </c>
      <c r="GK271" t="str">
        <f t="shared" si="629"/>
        <v>ВВГнг(А)-LS (3х2,5) L=39-2,12%</v>
      </c>
      <c r="GL271">
        <f t="shared" si="630"/>
        <v>1.6</v>
      </c>
      <c r="GM271">
        <f t="shared" si="631"/>
        <v>7.3</v>
      </c>
      <c r="GN271">
        <f t="shared" si="632"/>
        <v>1</v>
      </c>
      <c r="GO271">
        <f t="shared" si="633"/>
        <v>0</v>
      </c>
      <c r="GP271">
        <f t="shared" si="634"/>
        <v>1</v>
      </c>
      <c r="GQ271">
        <f>IF(BM271="","",IF(AND(CG271=1,GP271=1),COUNTIFS(A$3:A271,A271,CG$3:CG271,1,GP$3:GP271,1),IF(OR(OR(BA271=1,A271&lt;&gt;A270),AJ271="вручную",GP271=0),"",IF(BA271=1,"",GR270))))</f>
        <v>47</v>
      </c>
      <c r="GR271">
        <f t="shared" si="635"/>
        <v>47</v>
      </c>
      <c r="GS271">
        <f>IF(B271="","",IFERROR(LOOKUP(INDEX(CHOOSE(EB271,Iдоп_1ж,Iдоп_2ж,Iдоп_3ж),MATCH(EN271,Iдоп_S,0))*DZ271*EA271,{6,10,16,20,25,32,40,50,63,80,100,125,160,200,250,315,400,500,630}),""))</f>
        <v>25</v>
      </c>
      <c r="GT271" t="str">
        <f t="shared" si="636"/>
        <v>QFD47</v>
      </c>
      <c r="GU271" t="str">
        <f t="shared" si="637"/>
        <v>QFD47</v>
      </c>
      <c r="GV271" t="str">
        <f t="shared" si="638"/>
        <v/>
      </c>
      <c r="GW271">
        <f t="shared" si="639"/>
        <v>0</v>
      </c>
      <c r="GX271" t="str">
        <f>IF(OR(B271="",DJ271=""),"",IFERROR(_xlfn.XLOOKUP(DJ271,Модули_умолч[Управление],Модули_умолч[Модель])&amp;"",""))</f>
        <v/>
      </c>
      <c r="GY271">
        <f>IF(DJ271="",1,IFERROR(MAX(0,N(_xlfn.XLOOKUP(DJ271,Модули_умолч[Управление],Модули_умолч[Каналов на линию]))),1))</f>
        <v>1</v>
      </c>
      <c r="GZ271" t="str">
        <f t="shared" si="640"/>
        <v/>
      </c>
      <c r="HA271" t="str">
        <f t="shared" si="641"/>
        <v/>
      </c>
      <c r="HB271" t="str">
        <f t="shared" si="642"/>
        <v/>
      </c>
      <c r="HC271">
        <f>IF(HB271="",0,IFERROR(N(VLOOKUP(HB271,Модули_спр,3,FALSE)),0))</f>
        <v>0</v>
      </c>
      <c r="HD271" t="str">
        <f t="shared" si="643"/>
        <v/>
      </c>
      <c r="HE271" t="str">
        <f t="shared" si="644"/>
        <v/>
      </c>
      <c r="HF271" t="str">
        <f>IF(OR(HE271="",HE271="-"),"",IFERROR(VLOOKUP(HE271,Модули_спр,2,FALSE),"R"))</f>
        <v/>
      </c>
      <c r="HG271" t="str">
        <f>IF(HF271="","",HF271&amp;"."&amp;COUNTIFS(A$3:A271,A271,HF$3:HF271,HF271))</f>
        <v/>
      </c>
      <c r="HH271" t="str">
        <f t="shared" si="645"/>
        <v/>
      </c>
      <c r="HI271" t="str">
        <f t="shared" si="646"/>
        <v/>
      </c>
      <c r="HJ271" t="str">
        <f t="shared" si="647"/>
        <v/>
      </c>
      <c r="HK271" t="str">
        <f t="shared" si="648"/>
        <v/>
      </c>
      <c r="HL271">
        <f t="shared" si="649"/>
        <v>1</v>
      </c>
      <c r="HM271" t="str">
        <f>IF(HL271=1,"XT"&amp;COUNTIFS(A$3:A271,A271,HL$3:HL271,1),"")</f>
        <v>XT47</v>
      </c>
      <c r="HN271" t="str">
        <f t="shared" si="650"/>
        <v>XT47</v>
      </c>
      <c r="HO271" t="str">
        <f t="shared" si="651"/>
        <v>QFD47</v>
      </c>
      <c r="HP271" t="str">
        <f t="shared" si="652"/>
        <v/>
      </c>
      <c r="HQ271" t="str">
        <f t="shared" si="653"/>
        <v>ok</v>
      </c>
      <c r="HR271" t="str">
        <f>IF(OR(HJ271="",HH271=""),"",IF(HJ271+MAX(0,GY271-1)&gt;IFERROR(VLOOKUP(HI271,Модули_спр,3,FALSE),99),"ЛИШНИЙ КАНАЛ",IF(AND(AL271&lt;&gt;"=",GY271&gt;0,COUNTIFS(Линии[_модуль гр.],HH271,Линии[Канал (итог)],HJ271,Линии[Канал],"&lt;&gt;=",Линии[Щит],A271)&gt;1),"ДУБЛЬ КАНАЛА","")))</f>
        <v/>
      </c>
      <c r="HS271" s="6" t="str">
        <f t="shared" si="654"/>
        <v/>
      </c>
      <c r="HT271">
        <f t="shared" si="655"/>
        <v>10</v>
      </c>
      <c r="HU271" t="str">
        <f t="shared" si="656"/>
        <v/>
      </c>
      <c r="HV271">
        <f t="shared" si="657"/>
        <v>3.3071382022212674</v>
      </c>
      <c r="HW271">
        <f t="shared" si="658"/>
        <v>0</v>
      </c>
      <c r="HX271">
        <f t="shared" si="659"/>
        <v>0</v>
      </c>
      <c r="HY271">
        <f t="shared" si="660"/>
        <v>0</v>
      </c>
      <c r="HZ271">
        <f t="shared" si="661"/>
        <v>0</v>
      </c>
      <c r="IA271">
        <f t="shared" si="662"/>
        <v>0</v>
      </c>
      <c r="IB271">
        <f t="shared" si="663"/>
        <v>0</v>
      </c>
      <c r="IC271" t="str">
        <f t="shared" si="664"/>
        <v/>
      </c>
      <c r="ID271" t="str" cm="1">
        <f t="array" ref="ID271">IF(IC271="","",_xlfn.LET(_xlpm.tk,_xlfn.TEXTSPLIT(SUBSTITUTE(SUBSTITUTE(IC271,";"," "),"→"," ")," ",,TRUE),_xlpm.w_,_xlfn._xlws.FILTER(_xlpm.tk,ISNUMBER(--LEFT(_xlpm.tk,1))*((ISNUMBER(SEARCH("W",_xlpm.tk))+ISNUMBER(SEARCH("Вт",_xlpm.tk)))&gt;0),""),IFERROR(--SUBSTITUTE(SUBSTITUTE(UPPER(INDEX(_xlpm.w_,1)),"W",""),"ВТ",""),"")))</f>
        <v/>
      </c>
      <c r="IE271" t="str" cm="1">
        <f t="array" ref="IE271">IF(IC271="","",_xlfn.LET(_xlpm.tk,_xlfn.TEXTSPLIT(SUBSTITUTE(SUBSTITUTE(IC271,";"," "),"→"," ")," ",,TRUE),_xlpm.v_,_xlfn._xlws.FILTER(_xlpm.tk,ISNUMBER(--LEFT(_xlpm.tk,1))*((ISNUMBER(SEARCH("V",_xlpm.tk))+(RIGHT(UPPER(_xlpm.tk))="В"))&gt;0),""),IFERROR(--SUBSTITUTE(SUBSTITUTE(UPPER(INDEX(_xlpm.v_,1)),"V",""),"В",""),"")))</f>
        <v/>
      </c>
      <c r="IF271" s="6" t="str">
        <f>IF(OR(BV271=0,HI271="",HJ271=""),"",IFERROR(N(_xlfn.XLOOKUP(HI271,Каталог!$C$4:$C$500,Каталог!$Q$4:$Q$500)),""))</f>
        <v/>
      </c>
      <c r="IG271" s="6" t="str">
        <f>IF(N(IF271)=0,"",SUMIFS(Линии[Iр, А],Линии[Щит],A271,Линии[_модуль гр.],HH271,Линии[Канал (итог)],HJ271))</f>
        <v/>
      </c>
      <c r="IH271" t="str">
        <f>IF(AND(B271="",HO271=""),"",_xlfn.TEXTJOIN("; ",TRUE,IF(AND(B271&lt;&gt;"",FV271=""),"нет фазы",""),IF(AND(B271&lt;&gt;"",N(GL271)=0,FG271&lt;&gt;"Нет"),"нет мощности",""),IF(AND(HN271&lt;&gt;"",COUNTIFS(Линии[Щит],A271,Линии[Клемма (итог)],HN271)&gt;1),"дубль клеммы "&amp;HN271,""),IF(AND(HQ271&lt;&gt;"",HQ271&lt;&gt;"ok"),HQ271,""),IF(HR271&lt;&gt;"",HR271,""),IF(AND(N(CB271)&gt;=4,N(BX271)=1),CB271&amp;" жил на 1 фазе",""),IF(AND(BC271="R",CG271=1,IF(CS271&lt;&gt;"",N(CV271)&gt;30,OR(N(DA271)=0,N(DA271)&gt;30))),"розетка без дифзащиты до 30 мА",""),IF(AND(CG271=1,N(DA271)&gt;0,ISNUMBER(T271)),IF(T271&gt;N(DA271)/3,"ток утечки "&amp;FIXED(T271,1)&amp;" мА &gt; 1/3 уставки ("&amp;DA271&amp;" мА)",""),""),IF(AND(CH271=1,CS271=""),"«узо»: нет строки с УЗО выше (УЗО 2P 40А 30мА в «Аппаратах»)",""),IF(AND(CS271&lt;&gt;"",CS271=BA271),IF(CT271="","впишите номинал УЗО (УЗО 2P 40А 30мА)",IF(N(CT271)&lt;N(DT271),"УЗО "&amp;CT271&amp;" А &lt; автомата "&amp;DT271&amp;" А перед ним",IF(N(CT271)&lt;N(CX271),"УЗО "&amp;CT271&amp;" А &lt; тока блока "&amp;FIXED(CX271,1)&amp;" А",""))),""),IF(AND(CS271&lt;&gt;"",CS271=BA271,ISNUMBER(CY271)),IF(CY271&gt;N(CV271)/3,"ток утечки блока УЗО "&amp;FIXED(CY271,1)&amp;" мА &gt; 1/3 уставки ("&amp;CV271&amp;" мА)",""),""),IF(AND(CG271=1,N(BV271)+N(IB271)&gt;0,IC271=""),"линии до 50 В без БП: впишите в «Аппараты» (БП 24V 480W)",""),IF(AND(CG271=1,ISNUMBER(ID271),ISNUMBER(U271)),IF(U271&gt;ID271,"БП "&amp;ID271&amp;" Вт &lt; нужно "&amp;U271&amp;" Вт (×"&amp;Запас_БП&amp;")",""),""),IF(AND(CG271=1,ISNUMBER(IE271),N(BV271)=1),IF(IE271&lt;&gt;N(BU271),"БП на "&amp;IE271&amp;" В, линия "&amp;BU271&amp;" В",""),""),IF(AND(N(IF271)&gt;0,N(IG271)&gt;N(IF271)),HH271&amp;" канал "&amp;HJ271&amp;": "&amp;FIXED(IG271,1)&amp;" А &gt; "&amp;IF271&amp;" А",""),IFERROR(IF(AND(ISNUMBER(Q271),Q271&gt;EL271),"потери "&amp;FIXED(Q271,1)&amp;" % &gt; "&amp;EL271&amp;" %",""),""),IFERROR(IF(LEFT(HU271,4)="мало","Iкз мало — отключение &gt; 0,4 с",""),""),IF(AND(B271&lt;&gt;"",BM271=""),"не на схеме",""),IF(AND(CG271=0,B271&lt;&gt;"",FV271&lt;&gt;"",IF(BA271=1,"",FW270)&lt;&gt;"",FV271&lt;&gt;IF(BA271=1,"",FW270)),"фаза не как у автомата группы ("&amp;IF(BA271=1,"",FW270)&amp;")","")))</f>
        <v/>
      </c>
      <c r="II271" s="6">
        <f>IF(OR(CG271=0,DQ271=""),"",_xlfn.LET(_xlpm.t,IFERROR(_xlfn.XLOOKUP(DQ271,Каталог!$U$4:$U$500,Каталог!$G$4:$G$500),""),_xlpm.k,SEARCH("кА",_xlpm.t),IFERROR(--TRIM(RIGHT(SUBSTITUTE(MID(_xlpm.t,MAX(1,_xlpm.k-4),_xlpm.k-MAX(1,_xlpm.k-4))," ",REPT(" ",9)),5)),"")))</f>
        <v>6</v>
      </c>
      <c r="IJ271" t="str">
        <f>IF(OR(II271="",CG271=0),"",IF(_xlfn.XLOOKUP(A271,Щиты[Щит],Щиты[Iкз max на шинах, кА],"")="","",IF(II271&lt;_xlfn.XLOOKUP(A271,Щиты[Щит],Щиты[Iкз max на шинах, кА]),"Icu "&amp;II271&amp;" кА &lt; Iкз max","ok")))</f>
        <v/>
      </c>
      <c r="IK271" t="str">
        <f t="shared" si="665"/>
        <v/>
      </c>
      <c r="IL271" t="str">
        <f t="shared" si="666"/>
        <v>QFD47|XT47</v>
      </c>
      <c r="IM271" t="str">
        <f t="shared" si="667"/>
        <v>QFD47|XT47|кабель ВВГнг(А)-LS (3х2,5) → Розеточная группа Первый этаж Пом. №021A Микроволновая печь</v>
      </c>
      <c r="IN271" t="str" cm="1">
        <f t="array" ref="IN271">IF(IM271="","",_xlfn.LET(_xlpm.nd,_xlfn.TEXTSPLIT(IM271,"|"),IF(COLUMNS(_xlpm.nd)&gt;1,A271&amp;"¦"&amp;INDEX(_xlpm.nd,1)&amp;"¦"&amp;INDEX(_xlpm.nd,2),"")))</f>
        <v>ЩР-1¦QFD47¦XT47</v>
      </c>
      <c r="IO271" t="str">
        <f t="shared" si="668"/>
        <v>R.1.021A.3¦Розеточная группа Первый этаж Пом. №021A Микроволновая печь</v>
      </c>
      <c r="IP271" t="str" cm="1">
        <f t="array" ref="IP271">IF(IM271="","",_xlfn.LET(_xlpm.nd,_xlfn.TEXTSPLIT(IM271,"|"),IF(COLUMNS(_xlpm.nd)&gt;2,A271&amp;"¦"&amp;INDEX(_xlpm.nd,2)&amp;"¦"&amp;INDEX(_xlpm.nd,3),"")))</f>
        <v>ЩР-1¦XT47¦кабель ВВГнг(А)-LS (3х2,5) → Розеточная группа Первый этаж Пом. №021A Микроволновая печь</v>
      </c>
      <c r="IQ271" t="str">
        <f t="shared" si="669"/>
        <v>R.1.021A.3¦Розеточная группа Первый этаж Пом. №021A Микроволновая печь</v>
      </c>
      <c r="IR271" t="str" cm="1">
        <f t="array" ref="IR271">IF(IM271="","",_xlfn.LET(_xlpm.nd,_xlfn.TEXTSPLIT(IM271,"|"),IF(COLUMNS(_xlpm.nd)&gt;3,A271&amp;"¦"&amp;INDEX(_xlpm.nd,3)&amp;"¦"&amp;INDEX(_xlpm.nd,4),"")))</f>
        <v/>
      </c>
      <c r="IS271" t="str">
        <f t="shared" si="670"/>
        <v/>
      </c>
      <c r="IT271" t="str" cm="1">
        <f t="array" ref="IT271">IF(IM271="","",_xlfn.LET(_xlpm.nd,_xlfn.TEXTSPLIT(IM271,"|"),IF(COLUMNS(_xlpm.nd)&gt;4,A271&amp;"¦"&amp;INDEX(_xlpm.nd,4)&amp;"¦"&amp;INDEX(_xlpm.nd,5),"")))</f>
        <v/>
      </c>
      <c r="IU271" t="str">
        <f t="shared" si="671"/>
        <v/>
      </c>
      <c r="IV271" t="str" cm="1">
        <f t="array" ref="IV271">IF(IM271="","",_xlfn.LET(_xlpm.nd,_xlfn.TEXTSPLIT(IM271,"|"),IF(COLUMNS(_xlpm.nd)&gt;5,A271&amp;"¦"&amp;INDEX(_xlpm.nd,5)&amp;"¦"&amp;INDEX(_xlpm.nd,6),"")))</f>
        <v/>
      </c>
      <c r="IW271" t="str">
        <f t="shared" si="672"/>
        <v/>
      </c>
      <c r="IX271" t="str" cm="1">
        <f t="array" ref="IX271">IF(IM271="","",_xlfn.LET(_xlpm.nd,_xlfn.TEXTSPLIT(IM271,"|"),IF(COLUMNS(_xlpm.nd)&gt;6,A271&amp;"¦"&amp;INDEX(_xlpm.nd,6)&amp;"¦"&amp;INDEX(_xlpm.nd,7),"")))</f>
        <v/>
      </c>
      <c r="IY271" t="str">
        <f t="shared" si="673"/>
        <v/>
      </c>
      <c r="IZ271" t="str">
        <f t="shared" si="674"/>
        <v/>
      </c>
      <c r="JA271" t="str">
        <f t="shared" si="675"/>
        <v>QFD47 → XT47</v>
      </c>
      <c r="JB271">
        <f t="shared" si="676"/>
        <v>0</v>
      </c>
      <c r="JC271">
        <f t="shared" si="677"/>
        <v>1</v>
      </c>
      <c r="JD271" t="str">
        <f t="shared" si="678"/>
        <v/>
      </c>
      <c r="JE271" t="str">
        <f t="shared" si="679"/>
        <v/>
      </c>
      <c r="JF271" t="str">
        <f t="shared" si="680"/>
        <v/>
      </c>
      <c r="JG271" t="str">
        <f t="shared" si="681"/>
        <v/>
      </c>
      <c r="JH271" t="str">
        <f>IF(B271="","",IFERROR(_xlfn.XLOOKUP(B271,Коды_код,Коды_уго),IFERROR(_xlfn.XLOOKUP(BC271,Коды_код,Коды_уго),IFERROR(_xlfn.XLOOKUP(LEFT(BC271,2),Коды_код,Коды_уго),""))))</f>
        <v>Розетка</v>
      </c>
      <c r="JI271" t="str">
        <f>IF(B271="","",IF(OR(JH271="",JH271=0),"BOX",IFERROR(IF(VLOOKUP(JH271,УГО_блоки,3,FALSE)&amp;""&lt;&gt;"",VLOOKUP(JH271,УГО_блоки,3,FALSE),VLOOKUP(JH271,УГО_блоки,2,FALSE)),JH271)))</f>
        <v>SOCKET</v>
      </c>
      <c r="JJ271">
        <f t="shared" si="682"/>
        <v>1</v>
      </c>
      <c r="JK271" t="str">
        <f>IF(DQ271="","",IF(COUNTIF(DQ$3:DQ271,DQ271)=1,MAX(JK$2:JK270)+1,""))</f>
        <v/>
      </c>
      <c r="JL271" t="str">
        <f>IF(DE271="","",IF(COUNTIF(DE$3:DE271,DE271)+COUNTIF(DF$2:DF270,DE271)+COUNTIF(DG$2:DG270,DE271)=1,MAX(JL$2:JN270)+1,""))</f>
        <v/>
      </c>
      <c r="JM271" t="str">
        <f>IF(DF271="","",IF(COUNTIF(DE$3:DE271,DF271)+COUNTIF(DF$3:DF271,DF271)+COUNTIF(DG$2:DG270,DF271)=1,MAX(JL$2:JN270,JL271)+1,""))</f>
        <v/>
      </c>
      <c r="JN271" t="str">
        <f>IF(DG271="","",IF(COUNTIF(DE$3:DE271,DG271)+COUNTIF(DF$3:DF271,DG271)+COUNTIF(DG$3:DG271,DG271)=1,MAX(JL$2:JN270,JL271,JM271)+1,""))</f>
        <v/>
      </c>
      <c r="JO271" t="str">
        <f t="shared" si="683"/>
        <v>3х2,5</v>
      </c>
      <c r="JP271" t="str">
        <f>IF(JO271="","",IF(COUNTIF(JO$3:JO271,JO271)=1,MAX(JP$2:JP270)+1,""))</f>
        <v/>
      </c>
      <c r="JQ271" t="str">
        <f>IF(HG271="","",COUNTIF(HG$3:HG271,"?*"))</f>
        <v/>
      </c>
      <c r="JR271" t="str">
        <f>IF(OR(HG271="",HI271=""),"",IF(COUNTIFS(HG$3:HG271,"?*",HI$3:HI271,HI271)=1,MAX(JR$2:JR270)+1,""))</f>
        <v/>
      </c>
      <c r="JS271">
        <f t="shared" si="684"/>
        <v>0</v>
      </c>
      <c r="JT271">
        <f>IF(B271="","",COUNTIF(B$3:B271,"?*"))</f>
        <v>269</v>
      </c>
      <c r="JU271">
        <f>IF(HL271&lt;&gt;1,0,_xlfn.LET(_xlpm.k,MAX(IFERROR(--_xlfn.XLOOKUP(B271,Коды_код,Коды_3L),0),IFERROR(--_xlfn.XLOOKUP(BC271,Коды_код,Коды_3L),0),IFERROR(--_xlfn.XLOOKUP(LEFT(BC271,2),Коды_код,Коды_3L),0)),IF(_xlpm.k&gt;0,_xlpm.k,IF(IFERROR(--LEFT(SUBSTITUTE(JO271,"x","х"),FIND("х",SUBSTITUTE(JO271,"x","х"))-1),3)&gt;3,Каталог!$S$9,1))))</f>
        <v>1</v>
      </c>
      <c r="JV271">
        <f t="shared" si="685"/>
        <v>0</v>
      </c>
      <c r="JW271" t="str">
        <f t="shared" si="686"/>
        <v>авто</v>
      </c>
      <c r="JX271">
        <f t="shared" si="687"/>
        <v>30</v>
      </c>
      <c r="JY271">
        <f t="shared" si="688"/>
        <v>1</v>
      </c>
      <c r="JZ271">
        <f t="shared" si="689"/>
        <v>1</v>
      </c>
    </row>
    <row r="272" spans="1:286" x14ac:dyDescent="0.3">
      <c r="A272" t="s">
        <v>757</v>
      </c>
      <c r="B272" t="s">
        <v>1578</v>
      </c>
      <c r="C272" t="s">
        <v>1717</v>
      </c>
      <c r="D272">
        <v>1</v>
      </c>
      <c r="E272">
        <v>0.62</v>
      </c>
      <c r="G272" t="str">
        <f>Линии[[#This Row],[_авто автомат]]</f>
        <v>2P С16А 30мА</v>
      </c>
      <c r="H272" t="str">
        <f>Линии[[#This Row],[_авто управление]]</f>
        <v/>
      </c>
      <c r="I272" t="str">
        <f>Линии[[#This Row],[_авто аппараты]]</f>
        <v/>
      </c>
      <c r="J272">
        <v>2.5</v>
      </c>
      <c r="K272">
        <v>39</v>
      </c>
      <c r="L272" t="str">
        <f>Линии[[#This Row],[_авто фаза]]</f>
        <v>L2</v>
      </c>
      <c r="M272" t="str">
        <f>Линии[[#This Row],[_авто клемма]]</f>
        <v>XT48</v>
      </c>
      <c r="N272" t="str">
        <f t="shared" si="552"/>
        <v/>
      </c>
      <c r="O272" s="6" cm="1">
        <f t="array" ref="O272">IF(B272="","",IF(BH272&lt;&gt;"",IFERROR(_xlfn.XLOOKUP(BH272,Щиты[Щит],Щиты[Iр, А]),""),IF(BP272=1,IF(OR(N(_xlfn.XLOOKUP(A272,Щиты[Щит],Щиты[Вводов],1))&lt;=1,LOWER(TRIM(_xlfn.XLOOKUP(A272,Щиты[Щит],Щиты[АВР],"")&amp;""))="да"),IFERROR(_xlfn.XLOOKUP(A272,Щиты[Щит],Щиты[Iр, А]),""),IFERROR(N(BS272)*_xlfn.XLOOKUP(A272,Щиты[Щит],Щиты[Кс итог])/(SQRT(3)*Uн_лин*_xlfn.XLOOKUP(A272,Щиты[Щит],Щиты[cos φ])),"")),IF(BV272=1,IFERROR(BS272*1000/BU272,""),IFERROR(_xlfn.IFS(BX272=1,BS272/((Uн_лин/SQRT(3))*CE272),BX272=3,BS272/(SQRT(3)*Uн_лин*CE272)),"")))))</f>
        <v>2.8259776334018523</v>
      </c>
      <c r="P272" s="7">
        <f>IF(B272="","",IFERROR(IF(VLOOKUP(BC272,Потребители_обозначение,4,FALSE)=1,VLOOKUP(BC272,Потребители_обозначение,3,FALSE)*(MAX(1,N(D272))*2-1)+EI272+VLOOKUP(BE272,Этаж_обозначение,3,FALSE)+VLOOKUP(BE272,Этаж_обозначение,4,FALSE),VLOOKUP(BC272,Потребители_обозначение,3,FALSE)*(MAX(1,N(D272))*2-1)+EI272),EI272))</f>
        <v>42</v>
      </c>
      <c r="Q272" s="6">
        <f t="shared" si="553"/>
        <v>2.08</v>
      </c>
      <c r="R272" t="str">
        <f t="shared" si="554"/>
        <v>ВВГнг(А)-LS (3х2,5)</v>
      </c>
      <c r="S272" t="str">
        <f>IF(BM272="","",IF(BN272="вводной узел","узел ","")&amp;"л."&amp;(INT((BM272-1)/Столбцов_на_лист)+1)&amp;" / "&amp;(MOD(BM272-1,Столбцов_на_лист)+1))</f>
        <v>л.4 / 11</v>
      </c>
      <c r="T272" s="119">
        <f t="shared" si="555"/>
        <v>1.6</v>
      </c>
      <c r="U272" s="7" t="str">
        <f>IF(OR(CG272=0,N(BV272)+N(IB272)=0),"",ROUNDUP(Запас_БП*(N(HY272)+N(HZ272)),0))</f>
        <v/>
      </c>
      <c r="V272" s="119" t="str">
        <f t="shared" si="556"/>
        <v/>
      </c>
      <c r="W272" s="7" t="str">
        <f>IFERROR(IF(OR(B272="",BP272=1,BV272=1,NOT(ISNUMBER(EN272)),N(DT272)=0),"",MAX(0,ROUNDDOWN((c_min*(Uн_лин*1000/SQRT(3))/(HT272*N(DT272))-_xlfn.XLOOKUP(A272,Щиты[Щит],Щиты[Zпетли на шинах, Ом]))*EN272/(2*ρкз_Cu),0))),"")</f>
        <v/>
      </c>
      <c r="Y272">
        <f>Линии[[#This Row],[_авто утечка]]</f>
        <v>30</v>
      </c>
      <c r="Z272">
        <v>1</v>
      </c>
      <c r="AA272">
        <v>230</v>
      </c>
      <c r="AB272" t="s">
        <v>562</v>
      </c>
      <c r="AG272" t="s">
        <v>810</v>
      </c>
      <c r="AI272" t="s">
        <v>561</v>
      </c>
      <c r="AK272" t="str">
        <f>Линии[[#This Row],[_авто модуль]]</f>
        <v/>
      </c>
      <c r="AM272">
        <v>62</v>
      </c>
      <c r="AN272" t="s">
        <v>11</v>
      </c>
      <c r="AO272">
        <v>3</v>
      </c>
      <c r="AQ272">
        <v>20</v>
      </c>
      <c r="AR272">
        <v>22</v>
      </c>
      <c r="AS272">
        <v>0</v>
      </c>
      <c r="BA272" cm="1">
        <f t="array" ref="BA272">ROW()-ROW(Линии[#Headers])</f>
        <v>270</v>
      </c>
      <c r="BC272" s="6" t="str">
        <f t="shared" si="557"/>
        <v>R</v>
      </c>
      <c r="BD272" t="str">
        <f t="shared" si="558"/>
        <v>1.021A.4</v>
      </c>
      <c r="BE272" t="str">
        <f t="shared" si="559"/>
        <v>1</v>
      </c>
      <c r="BF272" t="str">
        <f t="shared" si="560"/>
        <v>021A.4</v>
      </c>
      <c r="BG272" t="str">
        <f t="shared" si="561"/>
        <v>021A</v>
      </c>
      <c r="BH272" t="str">
        <f>IF(X272&lt;&gt;"",X272,IF(AND(B272&lt;&gt;"",B272&lt;&gt;A272,ISNUMBER(_xlfn.XMATCH(B272,Щиты[Щит]))),B272,""))</f>
        <v/>
      </c>
      <c r="BI272" t="str" cm="1">
        <f t="array" ref="BI272">IF(B272="","",IF(BH272&lt;&gt;"","Щит "&amp;BH272,_xlfn.LET(_xlpm.nm,IFERROR(_xlfn.XLOOKUP(BC272,Коды_код,Коды_имя)&amp;"",""),_xlpm.md,IFERROR(N(_xlfn.XLOOKUP(BC272,Коды_код,Коды_режим)),1),_xlpm.ex,IF(Имя_режим="по экспликации",IFERROR(_xlfn.XLOOKUP(BE272&amp;"|"&amp;BG272,Экспликация[Этаж]&amp;"|"&amp;Экспликация[Помещение],Экспликация[Название])&amp;"",""),""),_xlpm.rm,IF(BG272="","",IF(_xlpm.ex&lt;&gt;"",". "&amp;_xlpm.ex&amp;IF(Имя_пом="нет"," ("&amp;BG272&amp;")"," (пом. "&amp;BG272&amp;")"),IF(Имя_пом="нет"," ",", пом. ")&amp;BG272)),IF(_xlpm.nm="","",IF(_xlpm.md=2,_xlpm.nm&amp;" шлейф "&amp;BE272,_xlpm.nm&amp;_xlpm.rm)))))</f>
        <v>Розеточная группа, пом. 021A</v>
      </c>
      <c r="BJ272" t="str">
        <f t="shared" si="562"/>
        <v>Розеточная группа Первый этаж Пом. №021A Холодильник, морозильная камера</v>
      </c>
      <c r="BK272">
        <f>IFERROR(_xlfn.XMATCH(A272,Щиты[Щит]),0)</f>
        <v>10</v>
      </c>
      <c r="BL272">
        <f>_xlfn.LET(_xlpm.k,IFERROR(_xlfn.XLOOKUP(A272,Щиты[Щит],Щиты[Мест под вводной узел]),""),IF(_xlpm.k="",Столбцов_на_лист,N(_xlpm.k)))</f>
        <v>8</v>
      </c>
      <c r="BM272">
        <f t="shared" si="563"/>
        <v>62</v>
      </c>
      <c r="BN272" t="str">
        <f t="shared" si="564"/>
        <v>линии</v>
      </c>
      <c r="BO272" s="6">
        <f>IFERROR(N(_xlfn.XLOOKUP(BC272,Коды_код,Коды_квт)),0)</f>
        <v>0</v>
      </c>
      <c r="BP272">
        <f t="shared" si="565"/>
        <v>0</v>
      </c>
      <c r="BQ272" t="str">
        <f>IF(B272="","",IF(BH272&lt;&gt;"",IFERROR(_xlfn.XLOOKUP(BH272,Щиты[Щит],Щиты[Руст, кВт]),0),IF(BP272=1,IF(OR(N(_xlfn.XLOOKUP(A272,Щиты[Щит],Щиты[Вводов],1))&lt;=1,LOWER(TRIM(_xlfn.XLOOKUP(A272,Щиты[Щит],Щиты[АВР],"")&amp;""))="да"),IFERROR(_xlfn.XLOOKUP(A272,Щиты[Щит],Щиты[Руст, кВт]),0),SUMIFS(Линии[_Р для вводов],Линии[Щит],A272,Линии[Источник для режимов],GF272)),IF(BO272&gt;0,ROUND(BO272*MAX(1,N(D272)),3),""))))</f>
        <v/>
      </c>
      <c r="BR272">
        <f t="shared" si="566"/>
        <v>0.62</v>
      </c>
      <c r="BS272" s="6">
        <f>IF(B272="","",IF(BH272&lt;&gt;"",IFERROR(_xlfn.XLOOKUP(BH272,Щиты[Щит],Щиты[Руст, кВт]),0),N(BR272)))</f>
        <v>0.62</v>
      </c>
      <c r="BT272" t="str">
        <f>IF(B272="","",IFERROR(IF(VLOOKUP(BC272,Потребители_обозначение,8,FALSE)=0,"",VLOOKUP(BC272,Потребители_обозначение,8,FALSE)),""))</f>
        <v/>
      </c>
      <c r="BU272">
        <f t="shared" si="567"/>
        <v>230</v>
      </c>
      <c r="BV272">
        <f t="shared" si="568"/>
        <v>0</v>
      </c>
      <c r="BW272">
        <f>IF(B272="","",IF(BH272&lt;&gt;"",3,IFERROR(IF(N(VLOOKUP(BC272,Потребители_обозначение,9,FALSE))=0,1,VLOOKUP(BC272,Потребители_обозначение,9,FALSE)),1)))</f>
        <v>1</v>
      </c>
      <c r="BX272">
        <f t="shared" si="569"/>
        <v>1</v>
      </c>
      <c r="BY272" t="str">
        <f>IF(B272="","",_xlfn.LET(_xlpm.bc,IFERROR(IF(VLOOKUP(BC272,Потребители_обозначение,6,FALSE)=0,"",VLOOKUP(BC272,Потребители_обозначение,6,FALSE)&amp;""),""),IF(AND(GA272="да",OR(_xlpm.bc="",_xlpm.bc="мс")),Марка_пож,IF(AND(_xlpm.bc="",BH272&lt;&gt;""),"мс",_xlpm.bc))))</f>
        <v/>
      </c>
      <c r="BZ272" t="str">
        <f t="shared" si="570"/>
        <v>мс</v>
      </c>
      <c r="CA272">
        <f>IF(B272="","",_xlfn.LET(_xlpm.cc,IFERROR(N(VLOOKUP(BC272,Потребители_обозначение,7,FALSE)),0),IF(_xlpm.cc&gt;0,_xlpm.cc,IF(BZ272="","",IF(BV272=1,2,IF(N(BX272)=3,5,3))))))</f>
        <v>3</v>
      </c>
      <c r="CB272">
        <f t="shared" si="571"/>
        <v>3</v>
      </c>
      <c r="CC272">
        <f>IFERROR(N(VLOOKUP(BC272,Потребители_обозначение,10,FALSE)),0)</f>
        <v>0</v>
      </c>
      <c r="CD272">
        <f>IFERROR(VLOOKUP(BC272,Потребители_обозначение,5,FALSE),0)</f>
        <v>1</v>
      </c>
      <c r="CE272" s="6" cm="1">
        <f t="array" ref="CE272">IF(B272="","",IF(BH272&lt;&gt;"",IFERROR(_xlfn.XLOOKUP(BH272,Щиты[Щит],Щиты[cos φ]),0.95),IF(BP272=1,IFERROR(_xlfn.XLOOKUP(A272,Щиты[Щит],Щиты[cos φ]),0.95),IF(ISNUMBER(AD272),AD272,IFERROR(IF(CD272=2,_xlfn.IFS(BX272=3,VLOOKUP(BS272,Справочная_двигатели,8,FALSE),BX272=1,VLOOKUP(BS272,Справочная_двигатели,10,TRUE)),IF(AND(Методика="нормы 2026",FG272="Сил"),0.8,0.95)),0.95)))))</f>
        <v>0.95</v>
      </c>
      <c r="CF272">
        <f t="shared" si="572"/>
        <v>0</v>
      </c>
      <c r="CG272">
        <f t="shared" si="573"/>
        <v>1</v>
      </c>
      <c r="CH272">
        <f t="shared" si="574"/>
        <v>0</v>
      </c>
      <c r="CI272">
        <f>IF(B272="","",IF(BV272=1,IFERROR(BS272/((Uн_лин/SQRT(3))*MAX(0.5,N(CE272))),0),N(O272)))</f>
        <v>2.8259776334018523</v>
      </c>
      <c r="CJ272">
        <f t="shared" si="575"/>
        <v>0</v>
      </c>
      <c r="CK272">
        <f t="shared" si="576"/>
        <v>0</v>
      </c>
      <c r="CL272">
        <f t="shared" si="577"/>
        <v>0</v>
      </c>
      <c r="CM272">
        <f t="shared" si="578"/>
        <v>0</v>
      </c>
      <c r="CN272">
        <f t="shared" si="579"/>
        <v>0</v>
      </c>
      <c r="CO272">
        <f>IF(BC272="",0,_xlfn.LET(_xlpm.v,IFERROR(_xlfn.XLOOKUP(B272,Коды_код,Коды_мА),IFERROR(_xlfn.XLOOKUP(BC272,Коды_код,Коды_мА),IFERROR(_xlfn.XLOOKUP(LEFT(BC272,2),Коды_код,Коды_мА),""))),IF(_xlpm.v="да",30,IF(ISNUMBER(_xlpm.v),_xlpm.v,0))))</f>
        <v>30</v>
      </c>
      <c r="CP272">
        <f t="shared" si="580"/>
        <v>30</v>
      </c>
      <c r="CQ272" t="str">
        <f>_xlfn.LET(_xlpm.k,IFERROR(_xlfn.XLOOKUP(BC272,Коды_код,Коды_утечка)&amp;"",""),IF(_xlpm.k="","дифавтомат",_xlpm.k))</f>
        <v>дифавтомат</v>
      </c>
      <c r="CR272" t="str" cm="1">
        <f t="array" ref="CR272">IF(CG272=0,"",_xlfn.LET(_xlpm.sg,TRIM(_xlfn.TEXTSPLIT(DD272&amp;"",";")),_xlpm.f_,_xlfn._xlws.FILTER(_xlpm.sg,LEFT(_xlpm.sg,3)="УЗО",""),IFERROR(INDEX(_xlpm.f_,1)&amp;"","")))</f>
        <v/>
      </c>
      <c r="CS272" t="str">
        <f t="shared" si="581"/>
        <v/>
      </c>
      <c r="CT272" s="6" t="str" cm="1">
        <f t="array" ref="CT272">IF(CR272="","",_xlfn.LET(_xlpm.tk,_xlfn.TEXTSPLIT(UPPER(CR272)," ",,TRUE),_xlpm.a_,_xlfn._xlws.FILTER(_xlpm.tk,ISNUMBER(--LEFT(_xlpm.tk,1))*((ISNUMBER(SEARCH("А",_xlpm.tk))+ISNUMBER(SEARCH("A",_xlpm.tk)))&gt;0)*NOT(ISNUMBER(SEARCH("МА",_xlpm.tk)))*NOT(ISNUMBER(SEARCH("MA",_xlpm.tk))),""),IFERROR(--SUBSTITUTE(SUBSTITUTE(INDEX(_xlpm.a_,1),"А",""),"A",""),"")))</f>
        <v/>
      </c>
      <c r="CU272" t="str" cm="1">
        <f t="array" ref="CU272">IF(CR272="","",_xlfn.LET(_xlpm.tk,_xlfn.TEXTSPLIT(UPPER(CR272)," ",,TRUE),_xlpm.a_,_xlfn._xlws.FILTER(_xlpm.tk,ISNUMBER(--LEFT(_xlpm.tk,1))*((ISNUMBER(SEARCH("МА",_xlpm.tk))+ISNUMBER(SEARCH("MA",_xlpm.tk)))&gt;0),""),IFERROR(--SUBSTITUTE(SUBSTITUTE(INDEX(_xlpm.a_,1),"МА",""),"MA",""),30)))</f>
        <v/>
      </c>
      <c r="CV272" t="str">
        <f>IF(CS272="","",IFERROR(_xlfn.XLOOKUP(CS272,Линии[_n],Линии[_УЗО, мА]),30))</f>
        <v/>
      </c>
      <c r="CW272">
        <f>IF(CS272="",0,IF(ISNUMBER(SEARCH("4P",IFERROR(_xlfn.XLOOKUP(CS272,Линии[_n],Линии[_УЗО строки])&amp;"",""))),0,1))</f>
        <v>0</v>
      </c>
      <c r="CX272" t="str">
        <f>IF(AND(CS272&lt;&gt;"",CS272=BA272),SUMIFS(Линии[_ток на 230 В],Линии[_блок УЗО],BA272,Линии[Щит],A272),"")</f>
        <v/>
      </c>
      <c r="CY272" t="str">
        <f>IF(AND(CS272&lt;&gt;"",CS272=BA272),SUMIFS(Линии[_ток утечки линии, мА],Линии[_блок УЗО],BA272,Линии[Щит],A272),"")</f>
        <v/>
      </c>
      <c r="CZ272">
        <f t="shared" si="582"/>
        <v>30</v>
      </c>
      <c r="DA272">
        <f t="shared" si="583"/>
        <v>30</v>
      </c>
      <c r="DB272">
        <f>IF(B272="",0,IFERROR(--_xlfn.XLOOKUP(B272,Коды_код,Коды_минавт),IFERROR(--_xlfn.XLOOKUP(BC272,Коды_код,Коды_минавт),IFERROR(--_xlfn.XLOOKUP(LEFT(BC272,2),Коды_код,Коды_минавт),0))))</f>
        <v>16</v>
      </c>
      <c r="DC272" t="str">
        <f>IF(B272="","",IFERROR(_xlfn.XLOOKUP(BC272,Коды_код,Коды_апп)&amp;"",""))</f>
        <v/>
      </c>
      <c r="DD272" t="str">
        <f t="shared" si="584"/>
        <v/>
      </c>
      <c r="DE272" t="str" cm="1">
        <f t="array" ref="DE272">IF(TRIM(DD272&amp;"")="","",IFERROR(TRIM(INDEX(_xlfn.TEXTSPLIT(DD272&amp;";;;",";"),1)),""))</f>
        <v/>
      </c>
      <c r="DF272" t="str" cm="1">
        <f t="array" ref="DF272">IF(TRIM(DD272&amp;"")="","",IFERROR(TRIM(INDEX(_xlfn.TEXTSPLIT(DD272&amp;";;;",";"),2)),""))</f>
        <v/>
      </c>
      <c r="DG272" t="str" cm="1">
        <f t="array" ref="DG272">IF(TRIM(DD272&amp;"")="","",IFERROR(TRIM(INDEX(_xlfn.TEXTSPLIT(DD272&amp;";;;",";"),3)),""))</f>
        <v/>
      </c>
      <c r="DH272">
        <f t="shared" si="585"/>
        <v>0</v>
      </c>
      <c r="DI272" t="str">
        <f>IF(B272="","",_xlfn.LET(_xlpm.t,LOWER(AZ272&amp;""),IF(ISNUMBER(SEARCH("dim",_xlpm.t)),"DIM",IF(ISNUMBER(SEARCH("dali",_xlpm.t)),"DALI",IF(OR(ISNUMBER(SEARCH("relay",_xlpm.t)),ISNUMBER(SEARCH("реле",_xlpm.t))),"Relay",IF(ISNUMBER(SEARCH("кнопк",_xlpm.t)),"",IFERROR(_xlfn.XLOOKUP(BC272,Коды_код,Коды_упр)&amp;"","")))))))</f>
        <v/>
      </c>
      <c r="DJ272" t="str">
        <f t="shared" si="586"/>
        <v/>
      </c>
      <c r="DK272">
        <f>IF(B272="","",_xlfn.LET(_xlpm.ig,IF(N(CX272)&gt;0,N(CX272),N(CI272)+IF(AJ272="вручную",0,N(CJ272))),_xlpm.n0,IFERROR(VLOOKUP(_xlpm.ig,Автомат_номиналы,2,TRUE),0),_xlpm.mn,MAX(DB272,IF(AJ272="вручную",0,N(CM272))),MAX(_xlpm.n0,_xlpm.mn,IF(DH272=1,Мин_автомат_БП,0))))</f>
        <v>16</v>
      </c>
      <c r="DL272">
        <f t="shared" si="587"/>
        <v>1</v>
      </c>
      <c r="DM272" t="str">
        <f t="shared" si="588"/>
        <v>2P</v>
      </c>
      <c r="DN272" t="str">
        <f>_xlfn.LET(_xlpm.cc,UPPER(TRIM(IFERROR(_xlfn.XLOOKUP(BC272,Коды_код,Коды_хар)&amp;"",""))),IF(OR(_xlpm.cc="B",_xlpm.cc="В"),"B",IF(_xlpm.cc="D","D","С")))</f>
        <v>С</v>
      </c>
      <c r="DO272" t="str">
        <f t="shared" si="589"/>
        <v>2P С16А 30мА</v>
      </c>
      <c r="DP272" t="str">
        <f t="shared" si="590"/>
        <v>2P С16А 30мА</v>
      </c>
      <c r="DQ272" t="str">
        <f t="shared" si="591"/>
        <v>2P С16А 30мА</v>
      </c>
      <c r="DR272" cm="1">
        <f t="array" ref="DR272">IF(DQ272="","",_xlfn.LET(_xlpm.t,SUBSTITUTE(SUBSTITUTE(SUBSTITUTE(UPPER(DQ272),"С","C"),"А","A"),"В","B"),_xlpm.tk,_xlfn.TEXTSPLIT(_xlpm.t," "),_xlpm.f,_xlfn._xlws.FILTER(_xlpm.tk,ISNUMBER(--MID(_xlpm.tk,2,1))*ISNUMBER(SEARCH(LEFT(_xlpm.tk,1)&amp;"#","B#C#D#"))*(LEN(_xlpm.tk)&gt;1),""),_xlpm.x,INDEX(_xlpm.f,1),IFERROR(--SUBSTITUTE(MID(_xlpm.x,2,9),"A",""),IFERROR(--SUBSTITUTE(INDEX(_xlfn._xlws.FILTER(_xlpm.tk,ISNUMBER(--SUBSTITUTE(_xlpm.tk,"A","")),""),1),"A",""),""))))</f>
        <v>16</v>
      </c>
      <c r="DS272" t="str">
        <f t="shared" si="592"/>
        <v>ok</v>
      </c>
      <c r="DT272">
        <f t="shared" si="593"/>
        <v>16</v>
      </c>
      <c r="DU272" t="str">
        <f t="shared" si="594"/>
        <v>2P С16А 30мА</v>
      </c>
      <c r="DV272">
        <f t="shared" si="595"/>
        <v>30</v>
      </c>
      <c r="DW272">
        <f t="shared" si="596"/>
        <v>1</v>
      </c>
      <c r="DX272">
        <f t="shared" si="597"/>
        <v>0</v>
      </c>
      <c r="DY272">
        <f t="shared" si="598"/>
        <v>2.8259776334018523</v>
      </c>
      <c r="DZ272">
        <f t="shared" si="599"/>
        <v>1</v>
      </c>
      <c r="EA272">
        <f>IF(ISNUMBER(AP272),AP272,К_прокл)</f>
        <v>1</v>
      </c>
      <c r="EB272">
        <f t="shared" si="600"/>
        <v>2</v>
      </c>
      <c r="EC272">
        <f>IFERROR(N(VLOOKUP(BZ272,Кабель_обозначение,3,FALSE)),1)</f>
        <v>1</v>
      </c>
      <c r="ED272">
        <f>IFERROR(N(_xlfn.XLOOKUP(A272,Щиты[Щит],Щиты[ΔU до шин, %])),0)</f>
        <v>1.19</v>
      </c>
      <c r="EE272" t="str">
        <f>IFERROR(_xlfn.XLOOKUP(A272,Щиты[Щит],Щиты[Zпетли на шинах, Ом]),"")</f>
        <v/>
      </c>
      <c r="EF272">
        <f>IFERROR(N(_xlfn.XLOOKUP(A272,Щиты[Щит],Щиты[ΔU до шин (подбор), %])),0)</f>
        <v>1.19</v>
      </c>
      <c r="EG272" t="str">
        <f>IFERROR(_xlfn.XLOOKUP(A272,Щиты[Щит],Щиты[Zпетли на шинах (подбор), Ом]),"")</f>
        <v/>
      </c>
      <c r="EH272" t="str">
        <f t="shared" si="601"/>
        <v/>
      </c>
      <c r="EI272">
        <f t="shared" si="602"/>
        <v>39</v>
      </c>
      <c r="EJ272">
        <f t="shared" si="603"/>
        <v>2</v>
      </c>
      <c r="EK272">
        <f t="shared" si="604"/>
        <v>0.31</v>
      </c>
      <c r="EL272" s="6">
        <f>IF(B272="","",IF(BV272=1,dU_LED,IF(IFERROR(_xlfn.XLOOKUP(BC272,Коды_код,Коды_уго),"")="Светильник",3,4)+IF(Методика="нормы 2026",MIN(0.5,MAX(0,N(P272)-100)*0.005),0)))</f>
        <v>4</v>
      </c>
      <c r="EM272" cm="1">
        <f t="array" ref="EM272">IF(OR(B272="",BZ272="",EC272&lt;&gt;1),"",_xlfn.LET(_xlpm.sz,Iдоп_S,_xlpm.t_,CHOOSE(EB272,Iдоп_1ж,Iдоп_2ж,Iдоп_3ж)*DZ272*EA272,_xlpm.dcx,BV272=1,_xlpm.inn,IF(_xlpm.dcx,N(O272),N(DT272)),_xlpm.smin,MAX(1.5,CC272),_xlpm.L_,N(P272)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272)/N(BU272)*100,999),IFERROR(N(EJ272)*(_xlpm.rho*_xlpm.L_/_xlpm.sz*N(CE272)+_xlpm.xx*_xlpm.L_*N(EK272)/1000)*N(O272)/((Uн_лин/SQRT(3))*1000)*100,999)),_xlpm.kz,IF(OR(_xlpm.dcx,DW272=1,NOT(ISNUMBER(EG272)),_xlpm.L_=0,_xlpm.inn=0),1,IFERROR(--(c_min*(Uн_лин*1000/SQRT(3))/(EG272+2*ρкз_Cu*_xlpm.L_/_xlpm.sz)&gt;=HT272*_xlpm.inn),0)),_xlpm.ok,IFERROR((_xlpm.sz&gt;=_xlpm.smin)*(_xlpm.t_&gt;=_xlpm.inn)*IF(_xlpm.L_&gt;0,(_xlpm.du_+IF(_xlpm.dcx,0,EF272)&lt;=EL272+0.00001),1)*_xlpm.kz,0),_xlpm.r_,_xlfn._xlws.FILTER(_xlpm.sz,_xlpm.ok,"не подобрано"),INDEX(_xlpm.r_,1)))</f>
        <v>1.5</v>
      </c>
      <c r="EN272">
        <f t="shared" si="605"/>
        <v>2.5</v>
      </c>
      <c r="EO272" cm="1">
        <f t="array" ref="EO272">IF(OR(B272="",BZ272="",EC272&lt;&gt;1),"",_xlfn.LET(_xlpm.sz,Iдоп_S,_xlpm.t_,CHOOSE(EB272,Iдоп_1ж,Iдоп_2ж,Iдоп_3ж)*DZ272*EA272,_xlpm.ok,IFERROR((_xlpm.sz&gt;=MAX(1.5,CC272))*(_xlpm.t_&gt;=N(DT272)),0),_xlpm.r_,_xlfn._xlws.FILTER(_xlpm.sz,_xlpm.ok,""),INDEX(_xlpm.r_,1)))</f>
        <v>1.5</v>
      </c>
      <c r="EP272" s="6" cm="1">
        <f t="array" ref="EP272">IFERROR(ROUNDUP(N(EJ272)*(_xlfn.XLOOKUP(EO272,INDEX(Кабель_сопротивление,0,1),INDEX(Кабель_сопротивление,0,3))*N(P272)/EO272*N(CE272)+_xlfn.XLOOKUP(EO272,INDEX(Кабель_сопротивление,0,1),INDEX(Кабель_сопротивление,0,2))*N(P272)*N(EK272)/1000)*N(O272)/((Uн_лин/SQRT(3))*1000)*100,2),"")</f>
        <v>1.47</v>
      </c>
      <c r="EQ272">
        <f>IFERROR(2*ρкз_Cu*N(P272)/EO272,"")</f>
        <v>1.4728000000000001</v>
      </c>
      <c r="ER272">
        <f>IFERROR(VLOOKUP(EN272,Кабель_сопротивление,3,FALSE),"")</f>
        <v>2.2499999999999999E-2</v>
      </c>
      <c r="ES272">
        <f>IFERROR(VLOOKUP(EN272,Кабель_сопротивление,2,FALSE),"")</f>
        <v>0.1</v>
      </c>
      <c r="ET272">
        <f t="shared" si="606"/>
        <v>22</v>
      </c>
      <c r="EU272">
        <f t="shared" si="607"/>
        <v>0</v>
      </c>
      <c r="EV272">
        <f t="shared" si="608"/>
        <v>2.0369759820665889</v>
      </c>
      <c r="EW272" s="6">
        <f>IFERROR(ROUNDUP(EV272/IF(BV272=1,BU272,(Uн_лин/SQRT(3))*1000)*100,2),"")</f>
        <v>0.89</v>
      </c>
      <c r="EX272" t="str">
        <f>IFERROR(VLOOKUP(BZ272,Кабель_обозначение,2,FALSE),"")</f>
        <v>ВВГнг(А)-LS</v>
      </c>
      <c r="EY272" t="str">
        <f t="shared" si="609"/>
        <v>ВВГнг(А)-LS (3х2,5)</v>
      </c>
      <c r="EZ272" t="str">
        <f t="shared" si="610"/>
        <v>ВВГнг(А)-LS (3х2,5)
L=42-0,89%</v>
      </c>
      <c r="FA272">
        <f>IFERROR(2*ρкз_Cu*P272/EN272,"")</f>
        <v>0.88368000000000002</v>
      </c>
      <c r="FB272">
        <f t="shared" si="611"/>
        <v>0.29400000000000004</v>
      </c>
      <c r="FC272" s="6" t="str">
        <f>IFERROR(IF(OR(B272="",BV272=1,NOT(ISNUMBER(EN272)),N(P272)=0),"",_xlfn.XLOOKUP(A272,Щиты[Щит],Щиты[Zпетли на шинах, Ом])+FA272),"")</f>
        <v/>
      </c>
      <c r="FD272" s="6" t="str">
        <f>IF(ISNUMBER(FC272),c_min*(Uн_лин*1000/SQRT(3))/FC272,"")</f>
        <v/>
      </c>
      <c r="FE272" s="6" t="str">
        <f>IFERROR(IF(OR(B272="",NOT(ISNUMBER(EN272))),"",1.05*(Uн_лин*1000/SQRT(3))/(_xlfn.XLOOKUP(A272,Щиты[Щит],Щиты[Zmax на шинах, Ом])+FB272)/1000),"")</f>
        <v/>
      </c>
      <c r="FF272" s="6" t="str">
        <f>IF(B272="","",IF(ISNUMBER(AC272),"Сил",IF(IFERROR(_xlfn.XLOOKUP(BC272,Коды_код,Коды_группа)&amp;"","")="","Быт",_xlfn.XLOOKUP(BC272,Коды_код,Коды_группа)&amp;"")))</f>
        <v>Быт</v>
      </c>
      <c r="FG272" s="6" t="str">
        <f t="shared" si="612"/>
        <v>Быт</v>
      </c>
      <c r="FH272" s="6">
        <f>IF(FG272="Щит","щит",IF(FG272="","",IF(FG272="Быт",IFERROR(_xlfn.XLOOKUP(A272,Щиты[Щит],Щиты[Кс быт]),1),IF(FG272="Сил",IF(ISNUMBER(AC272),AC272,IF(Методика="нормы 2026",IFERROR(_xlfn.XLOOKUP(A272,Щиты[Щит],Щиты[Кс силовых (табл. 7.5)]),1),1)),IF(OR(FG272="Пост",FG272="Отоп"),1,IF(FG272="ВНГ",0.7,0))))))</f>
        <v>0.57830000000000004</v>
      </c>
      <c r="FI272">
        <f>IF(FG272="","",IF(AND(BP272=1,TRIM(AE272&amp;"")=""),IF(COUNTIFS(Линии[Щит],A272,Линии[Секция (1/2/3)],"&gt;=2")&gt;0,MIN(3,MAX(1,IFERROR(--BD272,1))),1),IFERROR(MIN(3,MAX(1,INT(--AE272))),1)))</f>
        <v>1</v>
      </c>
      <c r="FJ272">
        <f t="shared" si="613"/>
        <v>0.62</v>
      </c>
      <c r="FK272">
        <f t="shared" si="614"/>
        <v>0.62</v>
      </c>
      <c r="FL272">
        <f t="shared" si="615"/>
        <v>0</v>
      </c>
      <c r="FM272">
        <f t="shared" si="616"/>
        <v>0</v>
      </c>
      <c r="FN272">
        <f t="shared" si="617"/>
        <v>0</v>
      </c>
      <c r="FO272">
        <f t="shared" si="618"/>
        <v>0</v>
      </c>
      <c r="FP272">
        <f t="shared" si="619"/>
        <v>0.62</v>
      </c>
      <c r="FQ272">
        <f t="shared" si="620"/>
        <v>0.62</v>
      </c>
      <c r="FR272">
        <f t="shared" si="621"/>
        <v>0.58899999999999997</v>
      </c>
      <c r="FS272">
        <f>IF(CG272=1,IF(AND(CH272=1,CW272=1),0,IF(AND(CS272&lt;&gt;"",CS272=BA272,CW272=1),SUMIFS(Линии[_Р линии, кВт],Линии[_блок УЗО],BA272,Линии[Щит],A272),N(BS272)+IF(AJ272="вручную",0,N(CK272)))),0)</f>
        <v>0.62</v>
      </c>
      <c r="FT272" t="str">
        <f t="shared" si="622"/>
        <v/>
      </c>
      <c r="FU272" t="str">
        <f>IF(B272="","",IF(CG272=0,IF(BA272=1,"",FW271),IF(AND(CH272=1,CW272=1,CS272&lt;&gt;""),IFERROR(_xlfn.XLOOKUP(CS272,Линии[_n],Линии[_фаза итог]),"L1"),IF(OR(N(DL272)&gt;=3,N(BX272)&gt;=3),"L1,L2,L3",IFERROR(_xlfn.TEXTBEFORE(_xlfn.TEXTAFTER(_xlfn.XLOOKUP(A272,Щиты[Щит],Щиты[_фазы авто]),";"&amp;BA272&amp;":"),";"),"L1")))))</f>
        <v>L2</v>
      </c>
      <c r="FV272" t="str">
        <f t="shared" si="623"/>
        <v>L2</v>
      </c>
      <c r="FW272" t="str">
        <f t="shared" si="624"/>
        <v>L2</v>
      </c>
      <c r="FX272" cm="1">
        <f t="array" ref="FX272">IFERROR(IF(CD272=2,_xlfn.IFS(BX272=3,VLOOKUP(BS272,Справочная_двигатели,3,FALSE),BX272=1,VLOOKUP(BS272,Справочная_двигатели,5,TRUE)),0),0)</f>
        <v>0</v>
      </c>
      <c r="FY272">
        <f>IFERROR(IF(CD272=3,VLOOKUP(BS272,Справочная_ЛЭД,2,TRUE),0),0)</f>
        <v>0</v>
      </c>
      <c r="FZ272" s="6">
        <f t="shared" si="625"/>
        <v>0</v>
      </c>
      <c r="GA272" t="str">
        <f>IF(B272="","",IF(TRIM(AH272&amp;"")&lt;&gt;"",IF(LOWER(TRIM(AH272&amp;""))="да","да","нет"),IF(IFERROR(_xlfn.XLOOKUP(BC272,Коды_код,Коды_пожарная),"")="да","да","нет")))</f>
        <v>нет</v>
      </c>
      <c r="GB272" t="str">
        <f t="shared" si="626"/>
        <v/>
      </c>
      <c r="GC272" t="str">
        <f t="shared" si="627"/>
        <v>основная</v>
      </c>
      <c r="GD272">
        <f>IF(AND(BP272=1,TRIM(AE272&amp;"")=""),IF(COUNTIFS(Линии[Щит],A272,Линии[Секция (1/2/3)],"&gt;=2")&gt;0,MIN(3,MAX(1,IFERROR(--BD272,1))),1),IFERROR(MIN(3,MAX(1,INT(--AE272))),1))</f>
        <v>1</v>
      </c>
      <c r="GE272" t="str" cm="1">
        <f t="array" ref="GE272">IF(B272="","",_xlfn.LET(_xlpm.t,IFERROR(_xlfn.XLOOKUP(1,(Шины[Шина]=GC272)*(((Шины[Щит]=A272)+(Шины[Щит]=""))&gt;0),Шины[Тип]),"")&amp;"",IF(_xlpm.t&lt;&gt;"",_xlpm.t,IF(ISNUMBER(SEARCH("ИБП",GC272)),"ИБП",IF(ISNUMBER(SEARCH("ДГУ",GC272)),"ДГУ","Ввод "&amp;GD272)))))</f>
        <v>Ввод 1</v>
      </c>
      <c r="GF272" t="str">
        <f t="shared" si="628"/>
        <v>Ввод 1</v>
      </c>
      <c r="GG272" t="str">
        <f>IF(BP272=0,"",IF(TRIM(AG272&amp;"")&lt;&gt;"",TRIM(AG272&amp;""),IF(OR(GE272="ИБП",GE272="ДГУ"),"I особая",_xlfn.XLOOKUP(A272,Щиты[Щит],Щиты[Категория шины «Ввод»],"III"))))</f>
        <v/>
      </c>
      <c r="GH272" t="str">
        <f>IF(A272="","",_xlfn.XLOOKUP(A272,Щиты[Щит],Щиты[Путь],""))</f>
        <v>|ГРЩ-ЖД|ЩР-1|</v>
      </c>
      <c r="GI272" t="str">
        <f>IF(B272="","",IF(AI272&lt;&gt;"",AI272,IF(IFERROR(_xlfn.XLOOKUP(BC272,Коды_код,Коды_вид)&amp;"","")="","Прочее",_xlfn.XLOOKUP(BC272,Коды_код,Коды_вид)&amp;"")))</f>
        <v>Розеточная сеть и бытовые приборы</v>
      </c>
      <c r="GJ272">
        <f>IF(BM272="","",INT((BM272-1)/Столбцов_на_лист)+1)</f>
        <v>4</v>
      </c>
      <c r="GK272" t="str">
        <f t="shared" si="629"/>
        <v>ВВГнг(А)-LS (3х2,5) L=42-0,89%</v>
      </c>
      <c r="GL272">
        <f t="shared" si="630"/>
        <v>0.62</v>
      </c>
      <c r="GM272">
        <f t="shared" si="631"/>
        <v>2.8299999999999996</v>
      </c>
      <c r="GN272">
        <f t="shared" si="632"/>
        <v>1</v>
      </c>
      <c r="GO272">
        <f t="shared" si="633"/>
        <v>0</v>
      </c>
      <c r="GP272">
        <f t="shared" si="634"/>
        <v>1</v>
      </c>
      <c r="GQ272">
        <f>IF(BM272="","",IF(AND(CG272=1,GP272=1),COUNTIFS(A$3:A272,A272,CG$3:CG272,1,GP$3:GP272,1),IF(OR(OR(BA272=1,A272&lt;&gt;A271),AJ272="вручную",GP272=0),"",IF(BA272=1,"",GR271))))</f>
        <v>48</v>
      </c>
      <c r="GR272">
        <f t="shared" si="635"/>
        <v>48</v>
      </c>
      <c r="GS272">
        <f>IF(B272="","",IFERROR(LOOKUP(INDEX(CHOOSE(EB272,Iдоп_1ж,Iдоп_2ж,Iдоп_3ж),MATCH(EN272,Iдоп_S,0))*DZ272*EA272,{6,10,16,20,25,32,40,50,63,80,100,125,160,200,250,315,400,500,630}),""))</f>
        <v>25</v>
      </c>
      <c r="GT272" t="str">
        <f t="shared" si="636"/>
        <v>QFD48</v>
      </c>
      <c r="GU272" t="str">
        <f t="shared" si="637"/>
        <v>QFD48</v>
      </c>
      <c r="GV272" t="str">
        <f t="shared" si="638"/>
        <v/>
      </c>
      <c r="GW272">
        <f t="shared" si="639"/>
        <v>0</v>
      </c>
      <c r="GX272" t="str">
        <f>IF(OR(B272="",DJ272=""),"",IFERROR(_xlfn.XLOOKUP(DJ272,Модули_умолч[Управление],Модули_умолч[Модель])&amp;"",""))</f>
        <v/>
      </c>
      <c r="GY272">
        <f>IF(DJ272="",1,IFERROR(MAX(0,N(_xlfn.XLOOKUP(DJ272,Модули_умолч[Управление],Модули_умолч[Каналов на линию]))),1))</f>
        <v>1</v>
      </c>
      <c r="GZ272" t="str">
        <f t="shared" si="640"/>
        <v/>
      </c>
      <c r="HA272" t="str">
        <f t="shared" si="641"/>
        <v/>
      </c>
      <c r="HB272" t="str">
        <f t="shared" si="642"/>
        <v/>
      </c>
      <c r="HC272">
        <f>IF(HB272="",0,IFERROR(N(VLOOKUP(HB272,Модули_спр,3,FALSE)),0))</f>
        <v>0</v>
      </c>
      <c r="HD272" t="str">
        <f t="shared" si="643"/>
        <v/>
      </c>
      <c r="HE272" t="str">
        <f t="shared" si="644"/>
        <v/>
      </c>
      <c r="HF272" t="str">
        <f>IF(OR(HE272="",HE272="-"),"",IFERROR(VLOOKUP(HE272,Модули_спр,2,FALSE),"R"))</f>
        <v/>
      </c>
      <c r="HG272" t="str">
        <f>IF(HF272="","",HF272&amp;"."&amp;COUNTIFS(A$3:A272,A272,HF$3:HF272,HF272))</f>
        <v/>
      </c>
      <c r="HH272" t="str">
        <f t="shared" si="645"/>
        <v/>
      </c>
      <c r="HI272" t="str">
        <f t="shared" si="646"/>
        <v/>
      </c>
      <c r="HJ272" t="str">
        <f t="shared" si="647"/>
        <v/>
      </c>
      <c r="HK272" t="str">
        <f t="shared" si="648"/>
        <v/>
      </c>
      <c r="HL272">
        <f t="shared" si="649"/>
        <v>1</v>
      </c>
      <c r="HM272" t="str">
        <f>IF(HL272=1,"XT"&amp;COUNTIFS(A$3:A272,A272,HL$3:HL272,1),"")</f>
        <v>XT48</v>
      </c>
      <c r="HN272" t="str">
        <f t="shared" si="650"/>
        <v>XT48</v>
      </c>
      <c r="HO272" t="str">
        <f t="shared" si="651"/>
        <v>QFD48</v>
      </c>
      <c r="HP272" t="str">
        <f t="shared" si="652"/>
        <v/>
      </c>
      <c r="HQ272" t="str">
        <f t="shared" si="653"/>
        <v>ok</v>
      </c>
      <c r="HR272" t="str">
        <f>IF(OR(HJ272="",HH272=""),"",IF(HJ272+MAX(0,GY272-1)&gt;IFERROR(VLOOKUP(HI272,Модули_спр,3,FALSE),99),"ЛИШНИЙ КАНАЛ",IF(AND(AL272&lt;&gt;"=",GY272&gt;0,COUNTIFS(Линии[_модуль гр.],HH272,Линии[Канал (итог)],HJ272,Линии[Канал],"&lt;&gt;=",Линии[Щит],A272)&gt;1),"ДУБЛЬ КАНАЛА","")))</f>
        <v/>
      </c>
      <c r="HS272" s="6" t="str">
        <f t="shared" si="654"/>
        <v/>
      </c>
      <c r="HT272">
        <f t="shared" si="655"/>
        <v>10</v>
      </c>
      <c r="HU272" t="str">
        <f t="shared" si="656"/>
        <v/>
      </c>
      <c r="HV272">
        <f t="shared" si="657"/>
        <v>1.5503910533607408</v>
      </c>
      <c r="HW272">
        <f t="shared" si="658"/>
        <v>0</v>
      </c>
      <c r="HX272">
        <f t="shared" si="659"/>
        <v>0</v>
      </c>
      <c r="HY272">
        <f t="shared" si="660"/>
        <v>0</v>
      </c>
      <c r="HZ272">
        <f t="shared" si="661"/>
        <v>0</v>
      </c>
      <c r="IA272">
        <f t="shared" si="662"/>
        <v>0</v>
      </c>
      <c r="IB272">
        <f t="shared" si="663"/>
        <v>0</v>
      </c>
      <c r="IC272" t="str">
        <f t="shared" si="664"/>
        <v/>
      </c>
      <c r="ID272" t="str" cm="1">
        <f t="array" ref="ID272">IF(IC272="","",_xlfn.LET(_xlpm.tk,_xlfn.TEXTSPLIT(SUBSTITUTE(SUBSTITUTE(IC272,";"," "),"→"," ")," ",,TRUE),_xlpm.w_,_xlfn._xlws.FILTER(_xlpm.tk,ISNUMBER(--LEFT(_xlpm.tk,1))*((ISNUMBER(SEARCH("W",_xlpm.tk))+ISNUMBER(SEARCH("Вт",_xlpm.tk)))&gt;0),""),IFERROR(--SUBSTITUTE(SUBSTITUTE(UPPER(INDEX(_xlpm.w_,1)),"W",""),"ВТ",""),"")))</f>
        <v/>
      </c>
      <c r="IE272" t="str" cm="1">
        <f t="array" ref="IE272">IF(IC272="","",_xlfn.LET(_xlpm.tk,_xlfn.TEXTSPLIT(SUBSTITUTE(SUBSTITUTE(IC272,";"," "),"→"," ")," ",,TRUE),_xlpm.v_,_xlfn._xlws.FILTER(_xlpm.tk,ISNUMBER(--LEFT(_xlpm.tk,1))*((ISNUMBER(SEARCH("V",_xlpm.tk))+(RIGHT(UPPER(_xlpm.tk))="В"))&gt;0),""),IFERROR(--SUBSTITUTE(SUBSTITUTE(UPPER(INDEX(_xlpm.v_,1)),"V",""),"В",""),"")))</f>
        <v/>
      </c>
      <c r="IF272" s="6" t="str">
        <f>IF(OR(BV272=0,HI272="",HJ272=""),"",IFERROR(N(_xlfn.XLOOKUP(HI272,Каталог!$C$4:$C$500,Каталог!$Q$4:$Q$500)),""))</f>
        <v/>
      </c>
      <c r="IG272" s="6" t="str">
        <f>IF(N(IF272)=0,"",SUMIFS(Линии[Iр, А],Линии[Щит],A272,Линии[_модуль гр.],HH272,Линии[Канал (итог)],HJ272))</f>
        <v/>
      </c>
      <c r="IH272" t="str">
        <f>IF(AND(B272="",HO272=""),"",_xlfn.TEXTJOIN("; ",TRUE,IF(AND(B272&lt;&gt;"",FV272=""),"нет фазы",""),IF(AND(B272&lt;&gt;"",N(GL272)=0,FG272&lt;&gt;"Нет"),"нет мощности",""),IF(AND(HN272&lt;&gt;"",COUNTIFS(Линии[Щит],A272,Линии[Клемма (итог)],HN272)&gt;1),"дубль клеммы "&amp;HN272,""),IF(AND(HQ272&lt;&gt;"",HQ272&lt;&gt;"ok"),HQ272,""),IF(HR272&lt;&gt;"",HR272,""),IF(AND(N(CB272)&gt;=4,N(BX272)=1),CB272&amp;" жил на 1 фазе",""),IF(AND(BC272="R",CG272=1,IF(CS272&lt;&gt;"",N(CV272)&gt;30,OR(N(DA272)=0,N(DA272)&gt;30))),"розетка без дифзащиты до 30 мА",""),IF(AND(CG272=1,N(DA272)&gt;0,ISNUMBER(T272)),IF(T272&gt;N(DA272)/3,"ток утечки "&amp;FIXED(T272,1)&amp;" мА &gt; 1/3 уставки ("&amp;DA272&amp;" мА)",""),""),IF(AND(CH272=1,CS272=""),"«узо»: нет строки с УЗО выше (УЗО 2P 40А 30мА в «Аппаратах»)",""),IF(AND(CS272&lt;&gt;"",CS272=BA272),IF(CT272="","впишите номинал УЗО (УЗО 2P 40А 30мА)",IF(N(CT272)&lt;N(DT272),"УЗО "&amp;CT272&amp;" А &lt; автомата "&amp;DT272&amp;" А перед ним",IF(N(CT272)&lt;N(CX272),"УЗО "&amp;CT272&amp;" А &lt; тока блока "&amp;FIXED(CX272,1)&amp;" А",""))),""),IF(AND(CS272&lt;&gt;"",CS272=BA272,ISNUMBER(CY272)),IF(CY272&gt;N(CV272)/3,"ток утечки блока УЗО "&amp;FIXED(CY272,1)&amp;" мА &gt; 1/3 уставки ("&amp;CV272&amp;" мА)",""),""),IF(AND(CG272=1,N(BV272)+N(IB272)&gt;0,IC272=""),"линии до 50 В без БП: впишите в «Аппараты» (БП 24V 480W)",""),IF(AND(CG272=1,ISNUMBER(ID272),ISNUMBER(U272)),IF(U272&gt;ID272,"БП "&amp;ID272&amp;" Вт &lt; нужно "&amp;U272&amp;" Вт (×"&amp;Запас_БП&amp;")",""),""),IF(AND(CG272=1,ISNUMBER(IE272),N(BV272)=1),IF(IE272&lt;&gt;N(BU272),"БП на "&amp;IE272&amp;" В, линия "&amp;BU272&amp;" В",""),""),IF(AND(N(IF272)&gt;0,N(IG272)&gt;N(IF272)),HH272&amp;" канал "&amp;HJ272&amp;": "&amp;FIXED(IG272,1)&amp;" А &gt; "&amp;IF272&amp;" А",""),IFERROR(IF(AND(ISNUMBER(Q272),Q272&gt;EL272),"потери "&amp;FIXED(Q272,1)&amp;" % &gt; "&amp;EL272&amp;" %",""),""),IFERROR(IF(LEFT(HU272,4)="мало","Iкз мало — отключение &gt; 0,4 с",""),""),IF(AND(B272&lt;&gt;"",BM272=""),"не на схеме",""),IF(AND(CG272=0,B272&lt;&gt;"",FV272&lt;&gt;"",IF(BA272=1,"",FW271)&lt;&gt;"",FV272&lt;&gt;IF(BA272=1,"",FW271)),"фаза не как у автомата группы ("&amp;IF(BA272=1,"",FW271)&amp;")","")))</f>
        <v/>
      </c>
      <c r="II272" s="6">
        <f>IF(OR(CG272=0,DQ272=""),"",_xlfn.LET(_xlpm.t,IFERROR(_xlfn.XLOOKUP(DQ272,Каталог!$U$4:$U$500,Каталог!$G$4:$G$500),""),_xlpm.k,SEARCH("кА",_xlpm.t),IFERROR(--TRIM(RIGHT(SUBSTITUTE(MID(_xlpm.t,MAX(1,_xlpm.k-4),_xlpm.k-MAX(1,_xlpm.k-4))," ",REPT(" ",9)),5)),"")))</f>
        <v>6</v>
      </c>
      <c r="IJ272" t="str">
        <f>IF(OR(II272="",CG272=0),"",IF(_xlfn.XLOOKUP(A272,Щиты[Щит],Щиты[Iкз max на шинах, кА],"")="","",IF(II272&lt;_xlfn.XLOOKUP(A272,Щиты[Щит],Щиты[Iкз max на шинах, кА]),"Icu "&amp;II272&amp;" кА &lt; Iкз max","ok")))</f>
        <v/>
      </c>
      <c r="IK272" t="str">
        <f t="shared" si="665"/>
        <v/>
      </c>
      <c r="IL272" t="str">
        <f t="shared" si="666"/>
        <v>QFD48|XT48</v>
      </c>
      <c r="IM272" t="str">
        <f t="shared" si="667"/>
        <v>QFD48|XT48|кабель ВВГнг(А)-LS (3х2,5) → Розеточная группа Первый этаж Пом. №021A Холодильник, морозильная камера</v>
      </c>
      <c r="IN272" t="str" cm="1">
        <f t="array" ref="IN272">IF(IM272="","",_xlfn.LET(_xlpm.nd,_xlfn.TEXTSPLIT(IM272,"|"),IF(COLUMNS(_xlpm.nd)&gt;1,A272&amp;"¦"&amp;INDEX(_xlpm.nd,1)&amp;"¦"&amp;INDEX(_xlpm.nd,2),"")))</f>
        <v>ЩР-1¦QFD48¦XT48</v>
      </c>
      <c r="IO272" t="str">
        <f t="shared" si="668"/>
        <v>R.1.021A.4¦Розеточная группа Первый этаж Пом. №021A Холодильник, морозильная камера</v>
      </c>
      <c r="IP272" t="str" cm="1">
        <f t="array" ref="IP272">IF(IM272="","",_xlfn.LET(_xlpm.nd,_xlfn.TEXTSPLIT(IM272,"|"),IF(COLUMNS(_xlpm.nd)&gt;2,A272&amp;"¦"&amp;INDEX(_xlpm.nd,2)&amp;"¦"&amp;INDEX(_xlpm.nd,3),"")))</f>
        <v>ЩР-1¦XT48¦кабель ВВГнг(А)-LS (3х2,5) → Розеточная группа Первый этаж Пом. №021A Холодильник, морозильная камера</v>
      </c>
      <c r="IQ272" t="str">
        <f t="shared" si="669"/>
        <v>R.1.021A.4¦Розеточная группа Первый этаж Пом. №021A Холодильник, морозильная камера</v>
      </c>
      <c r="IR272" t="str" cm="1">
        <f t="array" ref="IR272">IF(IM272="","",_xlfn.LET(_xlpm.nd,_xlfn.TEXTSPLIT(IM272,"|"),IF(COLUMNS(_xlpm.nd)&gt;3,A272&amp;"¦"&amp;INDEX(_xlpm.nd,3)&amp;"¦"&amp;INDEX(_xlpm.nd,4),"")))</f>
        <v/>
      </c>
      <c r="IS272" t="str">
        <f t="shared" si="670"/>
        <v/>
      </c>
      <c r="IT272" t="str" cm="1">
        <f t="array" ref="IT272">IF(IM272="","",_xlfn.LET(_xlpm.nd,_xlfn.TEXTSPLIT(IM272,"|"),IF(COLUMNS(_xlpm.nd)&gt;4,A272&amp;"¦"&amp;INDEX(_xlpm.nd,4)&amp;"¦"&amp;INDEX(_xlpm.nd,5),"")))</f>
        <v/>
      </c>
      <c r="IU272" t="str">
        <f t="shared" si="671"/>
        <v/>
      </c>
      <c r="IV272" t="str" cm="1">
        <f t="array" ref="IV272">IF(IM272="","",_xlfn.LET(_xlpm.nd,_xlfn.TEXTSPLIT(IM272,"|"),IF(COLUMNS(_xlpm.nd)&gt;5,A272&amp;"¦"&amp;INDEX(_xlpm.nd,5)&amp;"¦"&amp;INDEX(_xlpm.nd,6),"")))</f>
        <v/>
      </c>
      <c r="IW272" t="str">
        <f t="shared" si="672"/>
        <v/>
      </c>
      <c r="IX272" t="str" cm="1">
        <f t="array" ref="IX272">IF(IM272="","",_xlfn.LET(_xlpm.nd,_xlfn.TEXTSPLIT(IM272,"|"),IF(COLUMNS(_xlpm.nd)&gt;6,A272&amp;"¦"&amp;INDEX(_xlpm.nd,6)&amp;"¦"&amp;INDEX(_xlpm.nd,7),"")))</f>
        <v/>
      </c>
      <c r="IY272" t="str">
        <f t="shared" si="673"/>
        <v/>
      </c>
      <c r="IZ272" t="str">
        <f t="shared" si="674"/>
        <v/>
      </c>
      <c r="JA272" t="str">
        <f t="shared" si="675"/>
        <v>QFD48 → XT48</v>
      </c>
      <c r="JB272">
        <f t="shared" si="676"/>
        <v>0</v>
      </c>
      <c r="JC272">
        <f t="shared" si="677"/>
        <v>1</v>
      </c>
      <c r="JD272" t="str">
        <f t="shared" si="678"/>
        <v/>
      </c>
      <c r="JE272" t="str">
        <f t="shared" si="679"/>
        <v/>
      </c>
      <c r="JF272" t="str">
        <f t="shared" si="680"/>
        <v/>
      </c>
      <c r="JG272" t="str">
        <f t="shared" si="681"/>
        <v/>
      </c>
      <c r="JH272" t="str">
        <f>IF(B272="","",IFERROR(_xlfn.XLOOKUP(B272,Коды_код,Коды_уго),IFERROR(_xlfn.XLOOKUP(BC272,Коды_код,Коды_уго),IFERROR(_xlfn.XLOOKUP(LEFT(BC272,2),Коды_код,Коды_уго),""))))</f>
        <v>Розетка</v>
      </c>
      <c r="JI272" t="str">
        <f>IF(B272="","",IF(OR(JH272="",JH272=0),"BOX",IFERROR(IF(VLOOKUP(JH272,УГО_блоки,3,FALSE)&amp;""&lt;&gt;"",VLOOKUP(JH272,УГО_блоки,3,FALSE),VLOOKUP(JH272,УГО_блоки,2,FALSE)),JH272)))</f>
        <v>SOCKET</v>
      </c>
      <c r="JJ272">
        <f t="shared" si="682"/>
        <v>1</v>
      </c>
      <c r="JK272" t="str">
        <f>IF(DQ272="","",IF(COUNTIF(DQ$3:DQ272,DQ272)=1,MAX(JK$2:JK271)+1,""))</f>
        <v/>
      </c>
      <c r="JL272" t="str">
        <f>IF(DE272="","",IF(COUNTIF(DE$3:DE272,DE272)+COUNTIF(DF$2:DF271,DE272)+COUNTIF(DG$2:DG271,DE272)=1,MAX(JL$2:JN271)+1,""))</f>
        <v/>
      </c>
      <c r="JM272" t="str">
        <f>IF(DF272="","",IF(COUNTIF(DE$3:DE272,DF272)+COUNTIF(DF$3:DF272,DF272)+COUNTIF(DG$2:DG271,DF272)=1,MAX(JL$2:JN271,JL272)+1,""))</f>
        <v/>
      </c>
      <c r="JN272" t="str">
        <f>IF(DG272="","",IF(COUNTIF(DE$3:DE272,DG272)+COUNTIF(DF$3:DF272,DG272)+COUNTIF(DG$3:DG272,DG272)=1,MAX(JL$2:JN271,JL272,JM272)+1,""))</f>
        <v/>
      </c>
      <c r="JO272" t="str">
        <f t="shared" si="683"/>
        <v>3х2,5</v>
      </c>
      <c r="JP272" t="str">
        <f>IF(JO272="","",IF(COUNTIF(JO$3:JO272,JO272)=1,MAX(JP$2:JP271)+1,""))</f>
        <v/>
      </c>
      <c r="JQ272" t="str">
        <f>IF(HG272="","",COUNTIF(HG$3:HG272,"?*"))</f>
        <v/>
      </c>
      <c r="JR272" t="str">
        <f>IF(OR(HG272="",HI272=""),"",IF(COUNTIFS(HG$3:HG272,"?*",HI$3:HI272,HI272)=1,MAX(JR$2:JR271)+1,""))</f>
        <v/>
      </c>
      <c r="JS272">
        <f t="shared" si="684"/>
        <v>0</v>
      </c>
      <c r="JT272">
        <f>IF(B272="","",COUNTIF(B$3:B272,"?*"))</f>
        <v>270</v>
      </c>
      <c r="JU272">
        <f>IF(HL272&lt;&gt;1,0,_xlfn.LET(_xlpm.k,MAX(IFERROR(--_xlfn.XLOOKUP(B272,Коды_код,Коды_3L),0),IFERROR(--_xlfn.XLOOKUP(BC272,Коды_код,Коды_3L),0),IFERROR(--_xlfn.XLOOKUP(LEFT(BC272,2),Коды_код,Коды_3L),0)),IF(_xlpm.k&gt;0,_xlpm.k,IF(IFERROR(--LEFT(SUBSTITUTE(JO272,"x","х"),FIND("х",SUBSTITUTE(JO272,"x","х"))-1),3)&gt;3,Каталог!$S$9,1))))</f>
        <v>1</v>
      </c>
      <c r="JV272">
        <f t="shared" si="685"/>
        <v>0</v>
      </c>
      <c r="JW272" t="str">
        <f t="shared" si="686"/>
        <v>авто</v>
      </c>
      <c r="JX272">
        <f t="shared" si="687"/>
        <v>30</v>
      </c>
      <c r="JY272">
        <f t="shared" si="688"/>
        <v>1</v>
      </c>
      <c r="JZ272">
        <f t="shared" si="689"/>
        <v>1</v>
      </c>
    </row>
    <row r="273" spans="1:286" x14ac:dyDescent="0.3">
      <c r="A273" t="s">
        <v>757</v>
      </c>
      <c r="B273" t="s">
        <v>1579</v>
      </c>
      <c r="C273" t="s">
        <v>1718</v>
      </c>
      <c r="D273">
        <v>1</v>
      </c>
      <c r="E273">
        <v>0.09</v>
      </c>
      <c r="G273" t="str">
        <f>Линии[[#This Row],[_авто автомат]]</f>
        <v>2P С16А 30мА</v>
      </c>
      <c r="H273" t="str">
        <f>Линии[[#This Row],[_авто управление]]</f>
        <v/>
      </c>
      <c r="I273" t="str">
        <f>Линии[[#This Row],[_авто аппараты]]</f>
        <v/>
      </c>
      <c r="J273">
        <v>2.5</v>
      </c>
      <c r="K273">
        <v>39</v>
      </c>
      <c r="L273" t="str">
        <f>Линии[[#This Row],[_авто фаза]]</f>
        <v>L2</v>
      </c>
      <c r="M273" t="str">
        <f>Линии[[#This Row],[_авто клемма]]</f>
        <v>XT49</v>
      </c>
      <c r="N273" t="str">
        <f t="shared" si="552"/>
        <v/>
      </c>
      <c r="O273" s="6" cm="1">
        <f t="array" ref="O273">IF(B273="","",IF(BH273&lt;&gt;"",IFERROR(_xlfn.XLOOKUP(BH273,Щиты[Щит],Щиты[Iр, А]),""),IF(BP273=1,IF(OR(N(_xlfn.XLOOKUP(A273,Щиты[Щит],Щиты[Вводов],1))&lt;=1,LOWER(TRIM(_xlfn.XLOOKUP(A273,Щиты[Щит],Щиты[АВР],"")&amp;""))="да"),IFERROR(_xlfn.XLOOKUP(A273,Щиты[Щит],Щиты[Iр, А]),""),IFERROR(N(BS273)*_xlfn.XLOOKUP(A273,Щиты[Щит],Щиты[Кс итог])/(SQRT(3)*Uн_лин*_xlfn.XLOOKUP(A273,Щиты[Щит],Щиты[cos φ])),"")),IF(BV273=1,IFERROR(BS273*1000/BU273,""),IFERROR(_xlfn.IFS(BX273=1,BS273/((Uн_лин/SQRT(3))*CE273),BX273=3,BS273/(SQRT(3)*Uн_лин*CE273)),"")))))</f>
        <v>0.41022255968736565</v>
      </c>
      <c r="P273" s="7">
        <f>IF(B273="","",IFERROR(IF(VLOOKUP(BC273,Потребители_обозначение,4,FALSE)=1,VLOOKUP(BC273,Потребители_обозначение,3,FALSE)*(MAX(1,N(D273))*2-1)+EI273+VLOOKUP(BE273,Этаж_обозначение,3,FALSE)+VLOOKUP(BE273,Этаж_обозначение,4,FALSE),VLOOKUP(BC273,Потребители_обозначение,3,FALSE)*(MAX(1,N(D273))*2-1)+EI273),EI273))</f>
        <v>42</v>
      </c>
      <c r="Q273" s="6">
        <f t="shared" si="553"/>
        <v>1.3199999999999998</v>
      </c>
      <c r="R273" t="str">
        <f t="shared" si="554"/>
        <v>ВВГнг(А)-LS (3х2,5)</v>
      </c>
      <c r="S273" t="str">
        <f>IF(BM273="","",IF(BN273="вводной узел","узел ","")&amp;"л."&amp;(INT((BM273-1)/Столбцов_на_лист)+1)&amp;" / "&amp;(MOD(BM273-1,Столбцов_на_лист)+1))</f>
        <v>л.4 / 12</v>
      </c>
      <c r="T273" s="119">
        <f t="shared" si="555"/>
        <v>0.6</v>
      </c>
      <c r="U273" s="7" t="str">
        <f>IF(OR(CG273=0,N(BV273)+N(IB273)=0),"",ROUNDUP(Запас_БП*(N(HY273)+N(HZ273)),0))</f>
        <v/>
      </c>
      <c r="V273" s="119" t="str">
        <f t="shared" si="556"/>
        <v/>
      </c>
      <c r="W273" s="7" t="str">
        <f>IFERROR(IF(OR(B273="",BP273=1,BV273=1,NOT(ISNUMBER(EN273)),N(DT273)=0),"",MAX(0,ROUNDDOWN((c_min*(Uн_лин*1000/SQRT(3))/(HT273*N(DT273))-_xlfn.XLOOKUP(A273,Щиты[Щит],Щиты[Zпетли на шинах, Ом]))*EN273/(2*ρкз_Cu),0))),"")</f>
        <v/>
      </c>
      <c r="Y273">
        <f>Линии[[#This Row],[_авто утечка]]</f>
        <v>30</v>
      </c>
      <c r="Z273">
        <v>1</v>
      </c>
      <c r="AA273">
        <v>230</v>
      </c>
      <c r="AB273" t="s">
        <v>562</v>
      </c>
      <c r="AG273" t="s">
        <v>810</v>
      </c>
      <c r="AI273" t="s">
        <v>561</v>
      </c>
      <c r="AK273" t="str">
        <f>Линии[[#This Row],[_авто модуль]]</f>
        <v/>
      </c>
      <c r="AM273">
        <v>63</v>
      </c>
      <c r="AN273" t="s">
        <v>11</v>
      </c>
      <c r="AO273">
        <v>3</v>
      </c>
      <c r="AQ273">
        <v>20</v>
      </c>
      <c r="AR273">
        <v>22</v>
      </c>
      <c r="AS273">
        <v>0</v>
      </c>
      <c r="BA273" cm="1">
        <f t="array" ref="BA273">ROW()-ROW(Линии[#Headers])</f>
        <v>271</v>
      </c>
      <c r="BC273" s="6" t="str">
        <f t="shared" si="557"/>
        <v>R</v>
      </c>
      <c r="BD273" t="str">
        <f t="shared" si="558"/>
        <v>1.021A.6</v>
      </c>
      <c r="BE273" t="str">
        <f t="shared" si="559"/>
        <v>1</v>
      </c>
      <c r="BF273" t="str">
        <f t="shared" si="560"/>
        <v>021A.6</v>
      </c>
      <c r="BG273" t="str">
        <f t="shared" si="561"/>
        <v>021A</v>
      </c>
      <c r="BH273" t="str">
        <f>IF(X273&lt;&gt;"",X273,IF(AND(B273&lt;&gt;"",B273&lt;&gt;A273,ISNUMBER(_xlfn.XMATCH(B273,Щиты[Щит]))),B273,""))</f>
        <v/>
      </c>
      <c r="BI273" t="str" cm="1">
        <f t="array" ref="BI273">IF(B273="","",IF(BH273&lt;&gt;"","Щит "&amp;BH273,_xlfn.LET(_xlpm.nm,IFERROR(_xlfn.XLOOKUP(BC273,Коды_код,Коды_имя)&amp;"",""),_xlpm.md,IFERROR(N(_xlfn.XLOOKUP(BC273,Коды_код,Коды_режим)),1),_xlpm.ex,IF(Имя_режим="по экспликации",IFERROR(_xlfn.XLOOKUP(BE273&amp;"|"&amp;BG273,Экспликация[Этаж]&amp;"|"&amp;Экспликация[Помещение],Экспликация[Название])&amp;"",""),""),_xlpm.rm,IF(BG273="","",IF(_xlpm.ex&lt;&gt;"",". "&amp;_xlpm.ex&amp;IF(Имя_пом="нет"," ("&amp;BG273&amp;")"," (пом. "&amp;BG273&amp;")"),IF(Имя_пом="нет"," ",", пом. ")&amp;BG273)),IF(_xlpm.nm="","",IF(_xlpm.md=2,_xlpm.nm&amp;" шлейф "&amp;BE273,_xlpm.nm&amp;_xlpm.rm)))))</f>
        <v>Розеточная группа, пом. 021A</v>
      </c>
      <c r="BJ273" t="str">
        <f t="shared" si="562"/>
        <v>Розеточная группа Первый этаж Пом. №021A Вывод для вытяжки</v>
      </c>
      <c r="BK273">
        <f>IFERROR(_xlfn.XMATCH(A273,Щиты[Щит]),0)</f>
        <v>10</v>
      </c>
      <c r="BL273">
        <f>_xlfn.LET(_xlpm.k,IFERROR(_xlfn.XLOOKUP(A273,Щиты[Щит],Щиты[Мест под вводной узел]),""),IF(_xlpm.k="",Столбцов_на_лист,N(_xlpm.k)))</f>
        <v>8</v>
      </c>
      <c r="BM273">
        <f t="shared" si="563"/>
        <v>63</v>
      </c>
      <c r="BN273" t="str">
        <f t="shared" si="564"/>
        <v>линии</v>
      </c>
      <c r="BO273" s="6">
        <f>IFERROR(N(_xlfn.XLOOKUP(BC273,Коды_код,Коды_квт)),0)</f>
        <v>0</v>
      </c>
      <c r="BP273">
        <f t="shared" si="565"/>
        <v>0</v>
      </c>
      <c r="BQ273" t="str">
        <f>IF(B273="","",IF(BH273&lt;&gt;"",IFERROR(_xlfn.XLOOKUP(BH273,Щиты[Щит],Щиты[Руст, кВт]),0),IF(BP273=1,IF(OR(N(_xlfn.XLOOKUP(A273,Щиты[Щит],Щиты[Вводов],1))&lt;=1,LOWER(TRIM(_xlfn.XLOOKUP(A273,Щиты[Щит],Щиты[АВР],"")&amp;""))="да"),IFERROR(_xlfn.XLOOKUP(A273,Щиты[Щит],Щиты[Руст, кВт]),0),SUMIFS(Линии[_Р для вводов],Линии[Щит],A273,Линии[Источник для режимов],GF273)),IF(BO273&gt;0,ROUND(BO273*MAX(1,N(D273)),3),""))))</f>
        <v/>
      </c>
      <c r="BR273">
        <f t="shared" si="566"/>
        <v>0.09</v>
      </c>
      <c r="BS273" s="6">
        <f>IF(B273="","",IF(BH273&lt;&gt;"",IFERROR(_xlfn.XLOOKUP(BH273,Щиты[Щит],Щиты[Руст, кВт]),0),N(BR273)))</f>
        <v>0.09</v>
      </c>
      <c r="BT273" t="str">
        <f>IF(B273="","",IFERROR(IF(VLOOKUP(BC273,Потребители_обозначение,8,FALSE)=0,"",VLOOKUP(BC273,Потребители_обозначение,8,FALSE)),""))</f>
        <v/>
      </c>
      <c r="BU273">
        <f t="shared" si="567"/>
        <v>230</v>
      </c>
      <c r="BV273">
        <f t="shared" si="568"/>
        <v>0</v>
      </c>
      <c r="BW273">
        <f>IF(B273="","",IF(BH273&lt;&gt;"",3,IFERROR(IF(N(VLOOKUP(BC273,Потребители_обозначение,9,FALSE))=0,1,VLOOKUP(BC273,Потребители_обозначение,9,FALSE)),1)))</f>
        <v>1</v>
      </c>
      <c r="BX273">
        <f t="shared" si="569"/>
        <v>1</v>
      </c>
      <c r="BY273" t="str">
        <f>IF(B273="","",_xlfn.LET(_xlpm.bc,IFERROR(IF(VLOOKUP(BC273,Потребители_обозначение,6,FALSE)=0,"",VLOOKUP(BC273,Потребители_обозначение,6,FALSE)&amp;""),""),IF(AND(GA273="да",OR(_xlpm.bc="",_xlpm.bc="мс")),Марка_пож,IF(AND(_xlpm.bc="",BH273&lt;&gt;""),"мс",_xlpm.bc))))</f>
        <v/>
      </c>
      <c r="BZ273" t="str">
        <f t="shared" si="570"/>
        <v>мс</v>
      </c>
      <c r="CA273">
        <f>IF(B273="","",_xlfn.LET(_xlpm.cc,IFERROR(N(VLOOKUP(BC273,Потребители_обозначение,7,FALSE)),0),IF(_xlpm.cc&gt;0,_xlpm.cc,IF(BZ273="","",IF(BV273=1,2,IF(N(BX273)=3,5,3))))))</f>
        <v>3</v>
      </c>
      <c r="CB273">
        <f t="shared" si="571"/>
        <v>3</v>
      </c>
      <c r="CC273">
        <f>IFERROR(N(VLOOKUP(BC273,Потребители_обозначение,10,FALSE)),0)</f>
        <v>0</v>
      </c>
      <c r="CD273">
        <f>IFERROR(VLOOKUP(BC273,Потребители_обозначение,5,FALSE),0)</f>
        <v>1</v>
      </c>
      <c r="CE273" s="6" cm="1">
        <f t="array" ref="CE273">IF(B273="","",IF(BH273&lt;&gt;"",IFERROR(_xlfn.XLOOKUP(BH273,Щиты[Щит],Щиты[cos φ]),0.95),IF(BP273=1,IFERROR(_xlfn.XLOOKUP(A273,Щиты[Щит],Щиты[cos φ]),0.95),IF(ISNUMBER(AD273),AD273,IFERROR(IF(CD273=2,_xlfn.IFS(BX273=3,VLOOKUP(BS273,Справочная_двигатели,8,FALSE),BX273=1,VLOOKUP(BS273,Справочная_двигатели,10,TRUE)),IF(AND(Методика="нормы 2026",FG273="Сил"),0.8,0.95)),0.95)))))</f>
        <v>0.95</v>
      </c>
      <c r="CF273">
        <f t="shared" si="572"/>
        <v>0</v>
      </c>
      <c r="CG273">
        <f t="shared" si="573"/>
        <v>1</v>
      </c>
      <c r="CH273">
        <f t="shared" si="574"/>
        <v>0</v>
      </c>
      <c r="CI273">
        <f>IF(B273="","",IF(BV273=1,IFERROR(BS273/((Uн_лин/SQRT(3))*MAX(0.5,N(CE273))),0),N(O273)))</f>
        <v>0.41022255968736565</v>
      </c>
      <c r="CJ273">
        <f t="shared" si="575"/>
        <v>0</v>
      </c>
      <c r="CK273">
        <f t="shared" si="576"/>
        <v>0</v>
      </c>
      <c r="CL273">
        <f t="shared" si="577"/>
        <v>0</v>
      </c>
      <c r="CM273">
        <f t="shared" si="578"/>
        <v>0</v>
      </c>
      <c r="CN273">
        <f t="shared" si="579"/>
        <v>0</v>
      </c>
      <c r="CO273">
        <f>IF(BC273="",0,_xlfn.LET(_xlpm.v,IFERROR(_xlfn.XLOOKUP(B273,Коды_код,Коды_мА),IFERROR(_xlfn.XLOOKUP(BC273,Коды_код,Коды_мА),IFERROR(_xlfn.XLOOKUP(LEFT(BC273,2),Коды_код,Коды_мА),""))),IF(_xlpm.v="да",30,IF(ISNUMBER(_xlpm.v),_xlpm.v,0))))</f>
        <v>30</v>
      </c>
      <c r="CP273">
        <f t="shared" si="580"/>
        <v>30</v>
      </c>
      <c r="CQ273" t="str">
        <f>_xlfn.LET(_xlpm.k,IFERROR(_xlfn.XLOOKUP(BC273,Коды_код,Коды_утечка)&amp;"",""),IF(_xlpm.k="","дифавтомат",_xlpm.k))</f>
        <v>дифавтомат</v>
      </c>
      <c r="CR273" t="str" cm="1">
        <f t="array" ref="CR273">IF(CG273=0,"",_xlfn.LET(_xlpm.sg,TRIM(_xlfn.TEXTSPLIT(DD273&amp;"",";")),_xlpm.f_,_xlfn._xlws.FILTER(_xlpm.sg,LEFT(_xlpm.sg,3)="УЗО",""),IFERROR(INDEX(_xlpm.f_,1)&amp;"","")))</f>
        <v/>
      </c>
      <c r="CS273" t="str">
        <f t="shared" si="581"/>
        <v/>
      </c>
      <c r="CT273" s="6" t="str" cm="1">
        <f t="array" ref="CT273">IF(CR273="","",_xlfn.LET(_xlpm.tk,_xlfn.TEXTSPLIT(UPPER(CR273)," ",,TRUE),_xlpm.a_,_xlfn._xlws.FILTER(_xlpm.tk,ISNUMBER(--LEFT(_xlpm.tk,1))*((ISNUMBER(SEARCH("А",_xlpm.tk))+ISNUMBER(SEARCH("A",_xlpm.tk)))&gt;0)*NOT(ISNUMBER(SEARCH("МА",_xlpm.tk)))*NOT(ISNUMBER(SEARCH("MA",_xlpm.tk))),""),IFERROR(--SUBSTITUTE(SUBSTITUTE(INDEX(_xlpm.a_,1),"А",""),"A",""),"")))</f>
        <v/>
      </c>
      <c r="CU273" t="str" cm="1">
        <f t="array" ref="CU273">IF(CR273="","",_xlfn.LET(_xlpm.tk,_xlfn.TEXTSPLIT(UPPER(CR273)," ",,TRUE),_xlpm.a_,_xlfn._xlws.FILTER(_xlpm.tk,ISNUMBER(--LEFT(_xlpm.tk,1))*((ISNUMBER(SEARCH("МА",_xlpm.tk))+ISNUMBER(SEARCH("MA",_xlpm.tk)))&gt;0),""),IFERROR(--SUBSTITUTE(SUBSTITUTE(INDEX(_xlpm.a_,1),"МА",""),"MA",""),30)))</f>
        <v/>
      </c>
      <c r="CV273" t="str">
        <f>IF(CS273="","",IFERROR(_xlfn.XLOOKUP(CS273,Линии[_n],Линии[_УЗО, мА]),30))</f>
        <v/>
      </c>
      <c r="CW273">
        <f>IF(CS273="",0,IF(ISNUMBER(SEARCH("4P",IFERROR(_xlfn.XLOOKUP(CS273,Линии[_n],Линии[_УЗО строки])&amp;"",""))),0,1))</f>
        <v>0</v>
      </c>
      <c r="CX273" t="str">
        <f>IF(AND(CS273&lt;&gt;"",CS273=BA273),SUMIFS(Линии[_ток на 230 В],Линии[_блок УЗО],BA273,Линии[Щит],A273),"")</f>
        <v/>
      </c>
      <c r="CY273" t="str">
        <f>IF(AND(CS273&lt;&gt;"",CS273=BA273),SUMIFS(Линии[_ток утечки линии, мА],Линии[_блок УЗО],BA273,Линии[Щит],A273),"")</f>
        <v/>
      </c>
      <c r="CZ273">
        <f t="shared" si="582"/>
        <v>30</v>
      </c>
      <c r="DA273">
        <f t="shared" si="583"/>
        <v>30</v>
      </c>
      <c r="DB273">
        <f>IF(B273="",0,IFERROR(--_xlfn.XLOOKUP(B273,Коды_код,Коды_минавт),IFERROR(--_xlfn.XLOOKUP(BC273,Коды_код,Коды_минавт),IFERROR(--_xlfn.XLOOKUP(LEFT(BC273,2),Коды_код,Коды_минавт),0))))</f>
        <v>16</v>
      </c>
      <c r="DC273" t="str">
        <f>IF(B273="","",IFERROR(_xlfn.XLOOKUP(BC273,Коды_код,Коды_апп)&amp;"",""))</f>
        <v/>
      </c>
      <c r="DD273" t="str">
        <f t="shared" si="584"/>
        <v/>
      </c>
      <c r="DE273" t="str" cm="1">
        <f t="array" ref="DE273">IF(TRIM(DD273&amp;"")="","",IFERROR(TRIM(INDEX(_xlfn.TEXTSPLIT(DD273&amp;";;;",";"),1)),""))</f>
        <v/>
      </c>
      <c r="DF273" t="str" cm="1">
        <f t="array" ref="DF273">IF(TRIM(DD273&amp;"")="","",IFERROR(TRIM(INDEX(_xlfn.TEXTSPLIT(DD273&amp;";;;",";"),2)),""))</f>
        <v/>
      </c>
      <c r="DG273" t="str" cm="1">
        <f t="array" ref="DG273">IF(TRIM(DD273&amp;"")="","",IFERROR(TRIM(INDEX(_xlfn.TEXTSPLIT(DD273&amp;";;;",";"),3)),""))</f>
        <v/>
      </c>
      <c r="DH273">
        <f t="shared" si="585"/>
        <v>0</v>
      </c>
      <c r="DI273" t="str">
        <f>IF(B273="","",_xlfn.LET(_xlpm.t,LOWER(AZ273&amp;""),IF(ISNUMBER(SEARCH("dim",_xlpm.t)),"DIM",IF(ISNUMBER(SEARCH("dali",_xlpm.t)),"DALI",IF(OR(ISNUMBER(SEARCH("relay",_xlpm.t)),ISNUMBER(SEARCH("реле",_xlpm.t))),"Relay",IF(ISNUMBER(SEARCH("кнопк",_xlpm.t)),"",IFERROR(_xlfn.XLOOKUP(BC273,Коды_код,Коды_упр)&amp;"","")))))))</f>
        <v/>
      </c>
      <c r="DJ273" t="str">
        <f t="shared" si="586"/>
        <v/>
      </c>
      <c r="DK273">
        <f>IF(B273="","",_xlfn.LET(_xlpm.ig,IF(N(CX273)&gt;0,N(CX273),N(CI273)+IF(AJ273="вручную",0,N(CJ273))),_xlpm.n0,IFERROR(VLOOKUP(_xlpm.ig,Автомат_номиналы,2,TRUE),0),_xlpm.mn,MAX(DB273,IF(AJ273="вручную",0,N(CM273))),MAX(_xlpm.n0,_xlpm.mn,IF(DH273=1,Мин_автомат_БП,0))))</f>
        <v>16</v>
      </c>
      <c r="DL273">
        <f t="shared" si="587"/>
        <v>1</v>
      </c>
      <c r="DM273" t="str">
        <f t="shared" si="588"/>
        <v>2P</v>
      </c>
      <c r="DN273" t="str">
        <f>_xlfn.LET(_xlpm.cc,UPPER(TRIM(IFERROR(_xlfn.XLOOKUP(BC273,Коды_код,Коды_хар)&amp;"",""))),IF(OR(_xlpm.cc="B",_xlpm.cc="В"),"B",IF(_xlpm.cc="D","D","С")))</f>
        <v>С</v>
      </c>
      <c r="DO273" t="str">
        <f t="shared" si="589"/>
        <v>2P С16А 30мА</v>
      </c>
      <c r="DP273" t="str">
        <f t="shared" si="590"/>
        <v>2P С16А 30мА</v>
      </c>
      <c r="DQ273" t="str">
        <f t="shared" si="591"/>
        <v>2P С16А 30мА</v>
      </c>
      <c r="DR273" cm="1">
        <f t="array" ref="DR273">IF(DQ273="","",_xlfn.LET(_xlpm.t,SUBSTITUTE(SUBSTITUTE(SUBSTITUTE(UPPER(DQ273),"С","C"),"А","A"),"В","B"),_xlpm.tk,_xlfn.TEXTSPLIT(_xlpm.t," "),_xlpm.f,_xlfn._xlws.FILTER(_xlpm.tk,ISNUMBER(--MID(_xlpm.tk,2,1))*ISNUMBER(SEARCH(LEFT(_xlpm.tk,1)&amp;"#","B#C#D#"))*(LEN(_xlpm.tk)&gt;1),""),_xlpm.x,INDEX(_xlpm.f,1),IFERROR(--SUBSTITUTE(MID(_xlpm.x,2,9),"A",""),IFERROR(--SUBSTITUTE(INDEX(_xlfn._xlws.FILTER(_xlpm.tk,ISNUMBER(--SUBSTITUTE(_xlpm.tk,"A","")),""),1),"A",""),""))))</f>
        <v>16</v>
      </c>
      <c r="DS273" t="str">
        <f t="shared" si="592"/>
        <v>ok</v>
      </c>
      <c r="DT273">
        <f t="shared" si="593"/>
        <v>16</v>
      </c>
      <c r="DU273" t="str">
        <f t="shared" si="594"/>
        <v>2P С16А 30мА</v>
      </c>
      <c r="DV273">
        <f t="shared" si="595"/>
        <v>30</v>
      </c>
      <c r="DW273">
        <f t="shared" si="596"/>
        <v>1</v>
      </c>
      <c r="DX273">
        <f t="shared" si="597"/>
        <v>0</v>
      </c>
      <c r="DY273">
        <f t="shared" si="598"/>
        <v>0.41022255968736565</v>
      </c>
      <c r="DZ273">
        <f t="shared" si="599"/>
        <v>1</v>
      </c>
      <c r="EA273">
        <f>IF(ISNUMBER(AP273),AP273,К_прокл)</f>
        <v>1</v>
      </c>
      <c r="EB273">
        <f t="shared" si="600"/>
        <v>2</v>
      </c>
      <c r="EC273">
        <f>IFERROR(N(VLOOKUP(BZ273,Кабель_обозначение,3,FALSE)),1)</f>
        <v>1</v>
      </c>
      <c r="ED273">
        <f>IFERROR(N(_xlfn.XLOOKUP(A273,Щиты[Щит],Щиты[ΔU до шин, %])),0)</f>
        <v>1.19</v>
      </c>
      <c r="EE273" t="str">
        <f>IFERROR(_xlfn.XLOOKUP(A273,Щиты[Щит],Щиты[Zпетли на шинах, Ом]),"")</f>
        <v/>
      </c>
      <c r="EF273">
        <f>IFERROR(N(_xlfn.XLOOKUP(A273,Щиты[Щит],Щиты[ΔU до шин (подбор), %])),0)</f>
        <v>1.19</v>
      </c>
      <c r="EG273" t="str">
        <f>IFERROR(_xlfn.XLOOKUP(A273,Щиты[Щит],Щиты[Zпетли на шинах (подбор), Ом]),"")</f>
        <v/>
      </c>
      <c r="EH273" t="str">
        <f t="shared" si="601"/>
        <v/>
      </c>
      <c r="EI273">
        <f t="shared" si="602"/>
        <v>39</v>
      </c>
      <c r="EJ273">
        <f t="shared" si="603"/>
        <v>2</v>
      </c>
      <c r="EK273">
        <f t="shared" si="604"/>
        <v>0.31</v>
      </c>
      <c r="EL273" s="6">
        <f>IF(B273="","",IF(BV273=1,dU_LED,IF(IFERROR(_xlfn.XLOOKUP(BC273,Коды_код,Коды_уго),"")="Светильник",3,4)+IF(Методика="нормы 2026",MIN(0.5,MAX(0,N(P273)-100)*0.005),0)))</f>
        <v>4</v>
      </c>
      <c r="EM273" cm="1">
        <f t="array" ref="EM273">IF(OR(B273="",BZ273="",EC273&lt;&gt;1),"",_xlfn.LET(_xlpm.sz,Iдоп_S,_xlpm.t_,CHOOSE(EB273,Iдоп_1ж,Iдоп_2ж,Iдоп_3ж)*DZ273*EA273,_xlpm.dcx,BV273=1,_xlpm.inn,IF(_xlpm.dcx,N(O273),N(DT273)),_xlpm.smin,MAX(1.5,CC273),_xlpm.L_,N(P273)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273)/N(BU273)*100,999),IFERROR(N(EJ273)*(_xlpm.rho*_xlpm.L_/_xlpm.sz*N(CE273)+_xlpm.xx*_xlpm.L_*N(EK273)/1000)*N(O273)/((Uн_лин/SQRT(3))*1000)*100,999)),_xlpm.kz,IF(OR(_xlpm.dcx,DW273=1,NOT(ISNUMBER(EG273)),_xlpm.L_=0,_xlpm.inn=0),1,IFERROR(--(c_min*(Uн_лин*1000/SQRT(3))/(EG273+2*ρкз_Cu*_xlpm.L_/_xlpm.sz)&gt;=HT273*_xlpm.inn),0)),_xlpm.ok,IFERROR((_xlpm.sz&gt;=_xlpm.smin)*(_xlpm.t_&gt;=_xlpm.inn)*IF(_xlpm.L_&gt;0,(_xlpm.du_+IF(_xlpm.dcx,0,EF273)&lt;=EL273+0.00001),1)*_xlpm.kz,0),_xlpm.r_,_xlfn._xlws.FILTER(_xlpm.sz,_xlpm.ok,"не подобрано"),INDEX(_xlpm.r_,1)))</f>
        <v>1.5</v>
      </c>
      <c r="EN273">
        <f t="shared" si="605"/>
        <v>2.5</v>
      </c>
      <c r="EO273" cm="1">
        <f t="array" ref="EO273">IF(OR(B273="",BZ273="",EC273&lt;&gt;1),"",_xlfn.LET(_xlpm.sz,Iдоп_S,_xlpm.t_,CHOOSE(EB273,Iдоп_1ж,Iдоп_2ж,Iдоп_3ж)*DZ273*EA273,_xlpm.ok,IFERROR((_xlpm.sz&gt;=MAX(1.5,CC273))*(_xlpm.t_&gt;=N(DT273)),0),_xlpm.r_,_xlfn._xlws.FILTER(_xlpm.sz,_xlpm.ok,""),INDEX(_xlpm.r_,1)))</f>
        <v>1.5</v>
      </c>
      <c r="EP273" s="6" cm="1">
        <f t="array" ref="EP273">IFERROR(ROUNDUP(N(EJ273)*(_xlfn.XLOOKUP(EO273,INDEX(Кабель_сопротивление,0,1),INDEX(Кабель_сопротивление,0,3))*N(P273)/EO273*N(CE273)+_xlfn.XLOOKUP(EO273,INDEX(Кабель_сопротивление,0,1),INDEX(Кабель_сопротивление,0,2))*N(P273)*N(EK273)/1000)*N(O273)/((Uн_лин/SQRT(3))*1000)*100,2),"")</f>
        <v>0.22</v>
      </c>
      <c r="EQ273">
        <f>IFERROR(2*ρкз_Cu*N(P273)/EO273,"")</f>
        <v>1.4728000000000001</v>
      </c>
      <c r="ER273">
        <f>IFERROR(VLOOKUP(EN273,Кабель_сопротивление,3,FALSE),"")</f>
        <v>2.2499999999999999E-2</v>
      </c>
      <c r="ES273">
        <f>IFERROR(VLOOKUP(EN273,Кабель_сопротивление,2,FALSE),"")</f>
        <v>0.1</v>
      </c>
      <c r="ET273">
        <f t="shared" si="606"/>
        <v>22</v>
      </c>
      <c r="EU273">
        <f t="shared" si="607"/>
        <v>0</v>
      </c>
      <c r="EV273">
        <f t="shared" si="608"/>
        <v>0.29569006191289193</v>
      </c>
      <c r="EW273" s="6">
        <f>IFERROR(ROUNDUP(EV273/IF(BV273=1,BU273,(Uн_лин/SQRT(3))*1000)*100,2),"")</f>
        <v>0.13</v>
      </c>
      <c r="EX273" t="str">
        <f>IFERROR(VLOOKUP(BZ273,Кабель_обозначение,2,FALSE),"")</f>
        <v>ВВГнг(А)-LS</v>
      </c>
      <c r="EY273" t="str">
        <f t="shared" si="609"/>
        <v>ВВГнг(А)-LS (3х2,5)</v>
      </c>
      <c r="EZ273" t="str">
        <f t="shared" si="610"/>
        <v>ВВГнг(А)-LS (3х2,5)
L=42-0,13%</v>
      </c>
      <c r="FA273">
        <f>IFERROR(2*ρкз_Cu*P273/EN273,"")</f>
        <v>0.88368000000000002</v>
      </c>
      <c r="FB273">
        <f t="shared" si="611"/>
        <v>0.29400000000000004</v>
      </c>
      <c r="FC273" s="6" t="str">
        <f>IFERROR(IF(OR(B273="",BV273=1,NOT(ISNUMBER(EN273)),N(P273)=0),"",_xlfn.XLOOKUP(A273,Щиты[Щит],Щиты[Zпетли на шинах, Ом])+FA273),"")</f>
        <v/>
      </c>
      <c r="FD273" s="6" t="str">
        <f>IF(ISNUMBER(FC273),c_min*(Uн_лин*1000/SQRT(3))/FC273,"")</f>
        <v/>
      </c>
      <c r="FE273" s="6" t="str">
        <f>IFERROR(IF(OR(B273="",NOT(ISNUMBER(EN273))),"",1.05*(Uн_лин*1000/SQRT(3))/(_xlfn.XLOOKUP(A273,Щиты[Щит],Щиты[Zmax на шинах, Ом])+FB273)/1000),"")</f>
        <v/>
      </c>
      <c r="FF273" s="6" t="str">
        <f>IF(B273="","",IF(ISNUMBER(AC273),"Сил",IF(IFERROR(_xlfn.XLOOKUP(BC273,Коды_код,Коды_группа)&amp;"","")="","Быт",_xlfn.XLOOKUP(BC273,Коды_код,Коды_группа)&amp;"")))</f>
        <v>Быт</v>
      </c>
      <c r="FG273" s="6" t="str">
        <f t="shared" si="612"/>
        <v>Быт</v>
      </c>
      <c r="FH273" s="6">
        <f>IF(FG273="Щит","щит",IF(FG273="","",IF(FG273="Быт",IFERROR(_xlfn.XLOOKUP(A273,Щиты[Щит],Щиты[Кс быт]),1),IF(FG273="Сил",IF(ISNUMBER(AC273),AC273,IF(Методика="нормы 2026",IFERROR(_xlfn.XLOOKUP(A273,Щиты[Щит],Щиты[Кс силовых (табл. 7.5)]),1),1)),IF(OR(FG273="Пост",FG273="Отоп"),1,IF(FG273="ВНГ",0.7,0))))))</f>
        <v>0.57830000000000004</v>
      </c>
      <c r="FI273">
        <f>IF(FG273="","",IF(AND(BP273=1,TRIM(AE273&amp;"")=""),IF(COUNTIFS(Линии[Щит],A273,Линии[Секция (1/2/3)],"&gt;=2")&gt;0,MIN(3,MAX(1,IFERROR(--BD273,1))),1),IFERROR(MIN(3,MAX(1,INT(--AE273))),1)))</f>
        <v>1</v>
      </c>
      <c r="FJ273">
        <f t="shared" si="613"/>
        <v>0.09</v>
      </c>
      <c r="FK273">
        <f t="shared" si="614"/>
        <v>0.09</v>
      </c>
      <c r="FL273">
        <f t="shared" si="615"/>
        <v>0</v>
      </c>
      <c r="FM273">
        <f t="shared" si="616"/>
        <v>0</v>
      </c>
      <c r="FN273">
        <f t="shared" si="617"/>
        <v>0</v>
      </c>
      <c r="FO273">
        <f t="shared" si="618"/>
        <v>0</v>
      </c>
      <c r="FP273">
        <f t="shared" si="619"/>
        <v>0.09</v>
      </c>
      <c r="FQ273">
        <f t="shared" si="620"/>
        <v>0.09</v>
      </c>
      <c r="FR273">
        <f t="shared" si="621"/>
        <v>8.5499999999999993E-2</v>
      </c>
      <c r="FS273">
        <f>IF(CG273=1,IF(AND(CH273=1,CW273=1),0,IF(AND(CS273&lt;&gt;"",CS273=BA273,CW273=1),SUMIFS(Линии[_Р линии, кВт],Линии[_блок УЗО],BA273,Линии[Щит],A273),N(BS273)+IF(AJ273="вручную",0,N(CK273)))),0)</f>
        <v>0.09</v>
      </c>
      <c r="FT273" t="str">
        <f t="shared" si="622"/>
        <v/>
      </c>
      <c r="FU273" t="str">
        <f>IF(B273="","",IF(CG273=0,IF(BA273=1,"",FW272),IF(AND(CH273=1,CW273=1,CS273&lt;&gt;""),IFERROR(_xlfn.XLOOKUP(CS273,Линии[_n],Линии[_фаза итог]),"L1"),IF(OR(N(DL273)&gt;=3,N(BX273)&gt;=3),"L1,L2,L3",IFERROR(_xlfn.TEXTBEFORE(_xlfn.TEXTAFTER(_xlfn.XLOOKUP(A273,Щиты[Щит],Щиты[_фазы авто]),";"&amp;BA273&amp;":"),";"),"L1")))))</f>
        <v>L2</v>
      </c>
      <c r="FV273" t="str">
        <f t="shared" si="623"/>
        <v>L2</v>
      </c>
      <c r="FW273" t="str">
        <f t="shared" si="624"/>
        <v>L2</v>
      </c>
      <c r="FX273" cm="1">
        <f t="array" ref="FX273">IFERROR(IF(CD273=2,_xlfn.IFS(BX273=3,VLOOKUP(BS273,Справочная_двигатели,3,FALSE),BX273=1,VLOOKUP(BS273,Справочная_двигатели,5,TRUE)),0),0)</f>
        <v>0</v>
      </c>
      <c r="FY273">
        <f>IFERROR(IF(CD273=3,VLOOKUP(BS273,Справочная_ЛЭД,2,TRUE),0),0)</f>
        <v>0</v>
      </c>
      <c r="FZ273" s="6">
        <f t="shared" si="625"/>
        <v>0</v>
      </c>
      <c r="GA273" t="str">
        <f>IF(B273="","",IF(TRIM(AH273&amp;"")&lt;&gt;"",IF(LOWER(TRIM(AH273&amp;""))="да","да","нет"),IF(IFERROR(_xlfn.XLOOKUP(BC273,Коды_код,Коды_пожарная),"")="да","да","нет")))</f>
        <v>нет</v>
      </c>
      <c r="GB273" t="str">
        <f t="shared" si="626"/>
        <v/>
      </c>
      <c r="GC273" t="str">
        <f t="shared" si="627"/>
        <v>основная</v>
      </c>
      <c r="GD273">
        <f>IF(AND(BP273=1,TRIM(AE273&amp;"")=""),IF(COUNTIFS(Линии[Щит],A273,Линии[Секция (1/2/3)],"&gt;=2")&gt;0,MIN(3,MAX(1,IFERROR(--BD273,1))),1),IFERROR(MIN(3,MAX(1,INT(--AE273))),1))</f>
        <v>1</v>
      </c>
      <c r="GE273" t="str" cm="1">
        <f t="array" ref="GE273">IF(B273="","",_xlfn.LET(_xlpm.t,IFERROR(_xlfn.XLOOKUP(1,(Шины[Шина]=GC273)*(((Шины[Щит]=A273)+(Шины[Щит]=""))&gt;0),Шины[Тип]),"")&amp;"",IF(_xlpm.t&lt;&gt;"",_xlpm.t,IF(ISNUMBER(SEARCH("ИБП",GC273)),"ИБП",IF(ISNUMBER(SEARCH("ДГУ",GC273)),"ДГУ","Ввод "&amp;GD273)))))</f>
        <v>Ввод 1</v>
      </c>
      <c r="GF273" t="str">
        <f t="shared" si="628"/>
        <v>Ввод 1</v>
      </c>
      <c r="GG273" t="str">
        <f>IF(BP273=0,"",IF(TRIM(AG273&amp;"")&lt;&gt;"",TRIM(AG273&amp;""),IF(OR(GE273="ИБП",GE273="ДГУ"),"I особая",_xlfn.XLOOKUP(A273,Щиты[Щит],Щиты[Категория шины «Ввод»],"III"))))</f>
        <v/>
      </c>
      <c r="GH273" t="str">
        <f>IF(A273="","",_xlfn.XLOOKUP(A273,Щиты[Щит],Щиты[Путь],""))</f>
        <v>|ГРЩ-ЖД|ЩР-1|</v>
      </c>
      <c r="GI273" t="str">
        <f>IF(B273="","",IF(AI273&lt;&gt;"",AI273,IF(IFERROR(_xlfn.XLOOKUP(BC273,Коды_код,Коды_вид)&amp;"","")="","Прочее",_xlfn.XLOOKUP(BC273,Коды_код,Коды_вид)&amp;"")))</f>
        <v>Розеточная сеть и бытовые приборы</v>
      </c>
      <c r="GJ273">
        <f>IF(BM273="","",INT((BM273-1)/Столбцов_на_лист)+1)</f>
        <v>4</v>
      </c>
      <c r="GK273" t="str">
        <f t="shared" si="629"/>
        <v>ВВГнг(А)-LS (3х2,5) L=42-0,13%</v>
      </c>
      <c r="GL273">
        <f t="shared" si="630"/>
        <v>0.09</v>
      </c>
      <c r="GM273">
        <f t="shared" si="631"/>
        <v>0.42</v>
      </c>
      <c r="GN273">
        <f t="shared" si="632"/>
        <v>1</v>
      </c>
      <c r="GO273">
        <f t="shared" si="633"/>
        <v>0</v>
      </c>
      <c r="GP273">
        <f t="shared" si="634"/>
        <v>1</v>
      </c>
      <c r="GQ273">
        <f>IF(BM273="","",IF(AND(CG273=1,GP273=1),COUNTIFS(A$3:A273,A273,CG$3:CG273,1,GP$3:GP273,1),IF(OR(OR(BA273=1,A273&lt;&gt;A272),AJ273="вручную",GP273=0),"",IF(BA273=1,"",GR272))))</f>
        <v>49</v>
      </c>
      <c r="GR273">
        <f t="shared" si="635"/>
        <v>49</v>
      </c>
      <c r="GS273">
        <f>IF(B273="","",IFERROR(LOOKUP(INDEX(CHOOSE(EB273,Iдоп_1ж,Iдоп_2ж,Iдоп_3ж),MATCH(EN273,Iдоп_S,0))*DZ273*EA273,{6,10,16,20,25,32,40,50,63,80,100,125,160,200,250,315,400,500,630}),""))</f>
        <v>25</v>
      </c>
      <c r="GT273" t="str">
        <f t="shared" si="636"/>
        <v>QFD49</v>
      </c>
      <c r="GU273" t="str">
        <f t="shared" si="637"/>
        <v>QFD49</v>
      </c>
      <c r="GV273" t="str">
        <f t="shared" si="638"/>
        <v/>
      </c>
      <c r="GW273">
        <f t="shared" si="639"/>
        <v>0</v>
      </c>
      <c r="GX273" t="str">
        <f>IF(OR(B273="",DJ273=""),"",IFERROR(_xlfn.XLOOKUP(DJ273,Модули_умолч[Управление],Модули_умолч[Модель])&amp;"",""))</f>
        <v/>
      </c>
      <c r="GY273">
        <f>IF(DJ273="",1,IFERROR(MAX(0,N(_xlfn.XLOOKUP(DJ273,Модули_умолч[Управление],Модули_умолч[Каналов на линию]))),1))</f>
        <v>1</v>
      </c>
      <c r="GZ273" t="str">
        <f t="shared" si="640"/>
        <v/>
      </c>
      <c r="HA273" t="str">
        <f t="shared" si="641"/>
        <v/>
      </c>
      <c r="HB273" t="str">
        <f t="shared" si="642"/>
        <v/>
      </c>
      <c r="HC273">
        <f>IF(HB273="",0,IFERROR(N(VLOOKUP(HB273,Модули_спр,3,FALSE)),0))</f>
        <v>0</v>
      </c>
      <c r="HD273" t="str">
        <f t="shared" si="643"/>
        <v/>
      </c>
      <c r="HE273" t="str">
        <f t="shared" si="644"/>
        <v/>
      </c>
      <c r="HF273" t="str">
        <f>IF(OR(HE273="",HE273="-"),"",IFERROR(VLOOKUP(HE273,Модули_спр,2,FALSE),"R"))</f>
        <v/>
      </c>
      <c r="HG273" t="str">
        <f>IF(HF273="","",HF273&amp;"."&amp;COUNTIFS(A$3:A273,A273,HF$3:HF273,HF273))</f>
        <v/>
      </c>
      <c r="HH273" t="str">
        <f t="shared" si="645"/>
        <v/>
      </c>
      <c r="HI273" t="str">
        <f t="shared" si="646"/>
        <v/>
      </c>
      <c r="HJ273" t="str">
        <f t="shared" si="647"/>
        <v/>
      </c>
      <c r="HK273" t="str">
        <f t="shared" si="648"/>
        <v/>
      </c>
      <c r="HL273">
        <f t="shared" si="649"/>
        <v>1</v>
      </c>
      <c r="HM273" t="str">
        <f>IF(HL273=1,"XT"&amp;COUNTIFS(A$3:A273,A273,HL$3:HL273,1),"")</f>
        <v>XT49</v>
      </c>
      <c r="HN273" t="str">
        <f t="shared" si="650"/>
        <v>XT49</v>
      </c>
      <c r="HO273" t="str">
        <f t="shared" si="651"/>
        <v>QFD49</v>
      </c>
      <c r="HP273" t="str">
        <f t="shared" si="652"/>
        <v/>
      </c>
      <c r="HQ273" t="str">
        <f t="shared" si="653"/>
        <v>ok</v>
      </c>
      <c r="HR273" t="str">
        <f>IF(OR(HJ273="",HH273=""),"",IF(HJ273+MAX(0,GY273-1)&gt;IFERROR(VLOOKUP(HI273,Модули_спр,3,FALSE),99),"ЛИШНИЙ КАНАЛ",IF(AND(AL273&lt;&gt;"=",GY273&gt;0,COUNTIFS(Линии[_модуль гр.],HH273,Линии[Канал (итог)],HJ273,Линии[Канал],"&lt;&gt;=",Линии[Щит],A273)&gt;1),"ДУБЛЬ КАНАЛА","")))</f>
        <v/>
      </c>
      <c r="HS273" s="6" t="str">
        <f t="shared" si="654"/>
        <v/>
      </c>
      <c r="HT273">
        <f t="shared" si="655"/>
        <v>10</v>
      </c>
      <c r="HU273" t="str">
        <f t="shared" si="656"/>
        <v/>
      </c>
      <c r="HV273">
        <f t="shared" si="657"/>
        <v>0.58408902387494632</v>
      </c>
      <c r="HW273">
        <f t="shared" si="658"/>
        <v>0</v>
      </c>
      <c r="HX273">
        <f t="shared" si="659"/>
        <v>0</v>
      </c>
      <c r="HY273">
        <f t="shared" si="660"/>
        <v>0</v>
      </c>
      <c r="HZ273">
        <f t="shared" si="661"/>
        <v>0</v>
      </c>
      <c r="IA273">
        <f t="shared" si="662"/>
        <v>0</v>
      </c>
      <c r="IB273">
        <f t="shared" si="663"/>
        <v>0</v>
      </c>
      <c r="IC273" t="str">
        <f t="shared" si="664"/>
        <v/>
      </c>
      <c r="ID273" t="str" cm="1">
        <f t="array" ref="ID273">IF(IC273="","",_xlfn.LET(_xlpm.tk,_xlfn.TEXTSPLIT(SUBSTITUTE(SUBSTITUTE(IC273,";"," "),"→"," ")," ",,TRUE),_xlpm.w_,_xlfn._xlws.FILTER(_xlpm.tk,ISNUMBER(--LEFT(_xlpm.tk,1))*((ISNUMBER(SEARCH("W",_xlpm.tk))+ISNUMBER(SEARCH("Вт",_xlpm.tk)))&gt;0),""),IFERROR(--SUBSTITUTE(SUBSTITUTE(UPPER(INDEX(_xlpm.w_,1)),"W",""),"ВТ",""),"")))</f>
        <v/>
      </c>
      <c r="IE273" t="str" cm="1">
        <f t="array" ref="IE273">IF(IC273="","",_xlfn.LET(_xlpm.tk,_xlfn.TEXTSPLIT(SUBSTITUTE(SUBSTITUTE(IC273,";"," "),"→"," ")," ",,TRUE),_xlpm.v_,_xlfn._xlws.FILTER(_xlpm.tk,ISNUMBER(--LEFT(_xlpm.tk,1))*((ISNUMBER(SEARCH("V",_xlpm.tk))+(RIGHT(UPPER(_xlpm.tk))="В"))&gt;0),""),IFERROR(--SUBSTITUTE(SUBSTITUTE(UPPER(INDEX(_xlpm.v_,1)),"V",""),"В",""),"")))</f>
        <v/>
      </c>
      <c r="IF273" s="6" t="str">
        <f>IF(OR(BV273=0,HI273="",HJ273=""),"",IFERROR(N(_xlfn.XLOOKUP(HI273,Каталог!$C$4:$C$500,Каталог!$Q$4:$Q$500)),""))</f>
        <v/>
      </c>
      <c r="IG273" s="6" t="str">
        <f>IF(N(IF273)=0,"",SUMIFS(Линии[Iр, А],Линии[Щит],A273,Линии[_модуль гр.],HH273,Линии[Канал (итог)],HJ273))</f>
        <v/>
      </c>
      <c r="IH273" t="str">
        <f>IF(AND(B273="",HO273=""),"",_xlfn.TEXTJOIN("; ",TRUE,IF(AND(B273&lt;&gt;"",FV273=""),"нет фазы",""),IF(AND(B273&lt;&gt;"",N(GL273)=0,FG273&lt;&gt;"Нет"),"нет мощности",""),IF(AND(HN273&lt;&gt;"",COUNTIFS(Линии[Щит],A273,Линии[Клемма (итог)],HN273)&gt;1),"дубль клеммы "&amp;HN273,""),IF(AND(HQ273&lt;&gt;"",HQ273&lt;&gt;"ok"),HQ273,""),IF(HR273&lt;&gt;"",HR273,""),IF(AND(N(CB273)&gt;=4,N(BX273)=1),CB273&amp;" жил на 1 фазе",""),IF(AND(BC273="R",CG273=1,IF(CS273&lt;&gt;"",N(CV273)&gt;30,OR(N(DA273)=0,N(DA273)&gt;30))),"розетка без дифзащиты до 30 мА",""),IF(AND(CG273=1,N(DA273)&gt;0,ISNUMBER(T273)),IF(T273&gt;N(DA273)/3,"ток утечки "&amp;FIXED(T273,1)&amp;" мА &gt; 1/3 уставки ("&amp;DA273&amp;" мА)",""),""),IF(AND(CH273=1,CS273=""),"«узо»: нет строки с УЗО выше (УЗО 2P 40А 30мА в «Аппаратах»)",""),IF(AND(CS273&lt;&gt;"",CS273=BA273),IF(CT273="","впишите номинал УЗО (УЗО 2P 40А 30мА)",IF(N(CT273)&lt;N(DT273),"УЗО "&amp;CT273&amp;" А &lt; автомата "&amp;DT273&amp;" А перед ним",IF(N(CT273)&lt;N(CX273),"УЗО "&amp;CT273&amp;" А &lt; тока блока "&amp;FIXED(CX273,1)&amp;" А",""))),""),IF(AND(CS273&lt;&gt;"",CS273=BA273,ISNUMBER(CY273)),IF(CY273&gt;N(CV273)/3,"ток утечки блока УЗО "&amp;FIXED(CY273,1)&amp;" мА &gt; 1/3 уставки ("&amp;CV273&amp;" мА)",""),""),IF(AND(CG273=1,N(BV273)+N(IB273)&gt;0,IC273=""),"линии до 50 В без БП: впишите в «Аппараты» (БП 24V 480W)",""),IF(AND(CG273=1,ISNUMBER(ID273),ISNUMBER(U273)),IF(U273&gt;ID273,"БП "&amp;ID273&amp;" Вт &lt; нужно "&amp;U273&amp;" Вт (×"&amp;Запас_БП&amp;")",""),""),IF(AND(CG273=1,ISNUMBER(IE273),N(BV273)=1),IF(IE273&lt;&gt;N(BU273),"БП на "&amp;IE273&amp;" В, линия "&amp;BU273&amp;" В",""),""),IF(AND(N(IF273)&gt;0,N(IG273)&gt;N(IF273)),HH273&amp;" канал "&amp;HJ273&amp;": "&amp;FIXED(IG273,1)&amp;" А &gt; "&amp;IF273&amp;" А",""),IFERROR(IF(AND(ISNUMBER(Q273),Q273&gt;EL273),"потери "&amp;FIXED(Q273,1)&amp;" % &gt; "&amp;EL273&amp;" %",""),""),IFERROR(IF(LEFT(HU273,4)="мало","Iкз мало — отключение &gt; 0,4 с",""),""),IF(AND(B273&lt;&gt;"",BM273=""),"не на схеме",""),IF(AND(CG273=0,B273&lt;&gt;"",FV273&lt;&gt;"",IF(BA273=1,"",FW272)&lt;&gt;"",FV273&lt;&gt;IF(BA273=1,"",FW272)),"фаза не как у автомата группы ("&amp;IF(BA273=1,"",FW272)&amp;")","")))</f>
        <v/>
      </c>
      <c r="II273" s="6">
        <f>IF(OR(CG273=0,DQ273=""),"",_xlfn.LET(_xlpm.t,IFERROR(_xlfn.XLOOKUP(DQ273,Каталог!$U$4:$U$500,Каталог!$G$4:$G$500),""),_xlpm.k,SEARCH("кА",_xlpm.t),IFERROR(--TRIM(RIGHT(SUBSTITUTE(MID(_xlpm.t,MAX(1,_xlpm.k-4),_xlpm.k-MAX(1,_xlpm.k-4))," ",REPT(" ",9)),5)),"")))</f>
        <v>6</v>
      </c>
      <c r="IJ273" t="str">
        <f>IF(OR(II273="",CG273=0),"",IF(_xlfn.XLOOKUP(A273,Щиты[Щит],Щиты[Iкз max на шинах, кА],"")="","",IF(II273&lt;_xlfn.XLOOKUP(A273,Щиты[Щит],Щиты[Iкз max на шинах, кА]),"Icu "&amp;II273&amp;" кА &lt; Iкз max","ok")))</f>
        <v/>
      </c>
      <c r="IK273" t="str">
        <f t="shared" si="665"/>
        <v/>
      </c>
      <c r="IL273" t="str">
        <f t="shared" si="666"/>
        <v>QFD49|XT49</v>
      </c>
      <c r="IM273" t="str">
        <f t="shared" si="667"/>
        <v>QFD49|XT49|кабель ВВГнг(А)-LS (3х2,5) → Розеточная группа Первый этаж Пом. №021A Вывод для вытяжки</v>
      </c>
      <c r="IN273" t="str" cm="1">
        <f t="array" ref="IN273">IF(IM273="","",_xlfn.LET(_xlpm.nd,_xlfn.TEXTSPLIT(IM273,"|"),IF(COLUMNS(_xlpm.nd)&gt;1,A273&amp;"¦"&amp;INDEX(_xlpm.nd,1)&amp;"¦"&amp;INDEX(_xlpm.nd,2),"")))</f>
        <v>ЩР-1¦QFD49¦XT49</v>
      </c>
      <c r="IO273" t="str">
        <f t="shared" si="668"/>
        <v>R.1.021A.6¦Розеточная группа Первый этаж Пом. №021A Вывод для вытяжки</v>
      </c>
      <c r="IP273" t="str" cm="1">
        <f t="array" ref="IP273">IF(IM273="","",_xlfn.LET(_xlpm.nd,_xlfn.TEXTSPLIT(IM273,"|"),IF(COLUMNS(_xlpm.nd)&gt;2,A273&amp;"¦"&amp;INDEX(_xlpm.nd,2)&amp;"¦"&amp;INDEX(_xlpm.nd,3),"")))</f>
        <v>ЩР-1¦XT49¦кабель ВВГнг(А)-LS (3х2,5) → Розеточная группа Первый этаж Пом. №021A Вывод для вытяжки</v>
      </c>
      <c r="IQ273" t="str">
        <f t="shared" si="669"/>
        <v>R.1.021A.6¦Розеточная группа Первый этаж Пом. №021A Вывод для вытяжки</v>
      </c>
      <c r="IR273" t="str" cm="1">
        <f t="array" ref="IR273">IF(IM273="","",_xlfn.LET(_xlpm.nd,_xlfn.TEXTSPLIT(IM273,"|"),IF(COLUMNS(_xlpm.nd)&gt;3,A273&amp;"¦"&amp;INDEX(_xlpm.nd,3)&amp;"¦"&amp;INDEX(_xlpm.nd,4),"")))</f>
        <v/>
      </c>
      <c r="IS273" t="str">
        <f t="shared" si="670"/>
        <v/>
      </c>
      <c r="IT273" t="str" cm="1">
        <f t="array" ref="IT273">IF(IM273="","",_xlfn.LET(_xlpm.nd,_xlfn.TEXTSPLIT(IM273,"|"),IF(COLUMNS(_xlpm.nd)&gt;4,A273&amp;"¦"&amp;INDEX(_xlpm.nd,4)&amp;"¦"&amp;INDEX(_xlpm.nd,5),"")))</f>
        <v/>
      </c>
      <c r="IU273" t="str">
        <f t="shared" si="671"/>
        <v/>
      </c>
      <c r="IV273" t="str" cm="1">
        <f t="array" ref="IV273">IF(IM273="","",_xlfn.LET(_xlpm.nd,_xlfn.TEXTSPLIT(IM273,"|"),IF(COLUMNS(_xlpm.nd)&gt;5,A273&amp;"¦"&amp;INDEX(_xlpm.nd,5)&amp;"¦"&amp;INDEX(_xlpm.nd,6),"")))</f>
        <v/>
      </c>
      <c r="IW273" t="str">
        <f t="shared" si="672"/>
        <v/>
      </c>
      <c r="IX273" t="str" cm="1">
        <f t="array" ref="IX273">IF(IM273="","",_xlfn.LET(_xlpm.nd,_xlfn.TEXTSPLIT(IM273,"|"),IF(COLUMNS(_xlpm.nd)&gt;6,A273&amp;"¦"&amp;INDEX(_xlpm.nd,6)&amp;"¦"&amp;INDEX(_xlpm.nd,7),"")))</f>
        <v/>
      </c>
      <c r="IY273" t="str">
        <f t="shared" si="673"/>
        <v/>
      </c>
      <c r="IZ273" t="str">
        <f t="shared" si="674"/>
        <v/>
      </c>
      <c r="JA273" t="str">
        <f t="shared" si="675"/>
        <v>QFD49 → XT49</v>
      </c>
      <c r="JB273">
        <f t="shared" si="676"/>
        <v>0</v>
      </c>
      <c r="JC273">
        <f t="shared" si="677"/>
        <v>1</v>
      </c>
      <c r="JD273" t="str">
        <f t="shared" si="678"/>
        <v/>
      </c>
      <c r="JE273" t="str">
        <f t="shared" si="679"/>
        <v/>
      </c>
      <c r="JF273" t="str">
        <f t="shared" si="680"/>
        <v/>
      </c>
      <c r="JG273" t="str">
        <f t="shared" si="681"/>
        <v/>
      </c>
      <c r="JH273" t="str">
        <f>IF(B273="","",IFERROR(_xlfn.XLOOKUP(B273,Коды_код,Коды_уго),IFERROR(_xlfn.XLOOKUP(BC273,Коды_код,Коды_уго),IFERROR(_xlfn.XLOOKUP(LEFT(BC273,2),Коды_код,Коды_уго),""))))</f>
        <v>Розетка</v>
      </c>
      <c r="JI273" t="str">
        <f>IF(B273="","",IF(OR(JH273="",JH273=0),"BOX",IFERROR(IF(VLOOKUP(JH273,УГО_блоки,3,FALSE)&amp;""&lt;&gt;"",VLOOKUP(JH273,УГО_блоки,3,FALSE),VLOOKUP(JH273,УГО_блоки,2,FALSE)),JH273)))</f>
        <v>SOCKET</v>
      </c>
      <c r="JJ273">
        <f t="shared" si="682"/>
        <v>1</v>
      </c>
      <c r="JK273" t="str">
        <f>IF(DQ273="","",IF(COUNTIF(DQ$3:DQ273,DQ273)=1,MAX(JK$2:JK272)+1,""))</f>
        <v/>
      </c>
      <c r="JL273" t="str">
        <f>IF(DE273="","",IF(COUNTIF(DE$3:DE273,DE273)+COUNTIF(DF$2:DF272,DE273)+COUNTIF(DG$2:DG272,DE273)=1,MAX(JL$2:JN272)+1,""))</f>
        <v/>
      </c>
      <c r="JM273" t="str">
        <f>IF(DF273="","",IF(COUNTIF(DE$3:DE273,DF273)+COUNTIF(DF$3:DF273,DF273)+COUNTIF(DG$2:DG272,DF273)=1,MAX(JL$2:JN272,JL273)+1,""))</f>
        <v/>
      </c>
      <c r="JN273" t="str">
        <f>IF(DG273="","",IF(COUNTIF(DE$3:DE273,DG273)+COUNTIF(DF$3:DF273,DG273)+COUNTIF(DG$3:DG273,DG273)=1,MAX(JL$2:JN272,JL273,JM273)+1,""))</f>
        <v/>
      </c>
      <c r="JO273" t="str">
        <f t="shared" si="683"/>
        <v>3х2,5</v>
      </c>
      <c r="JP273" t="str">
        <f>IF(JO273="","",IF(COUNTIF(JO$3:JO273,JO273)=1,MAX(JP$2:JP272)+1,""))</f>
        <v/>
      </c>
      <c r="JQ273" t="str">
        <f>IF(HG273="","",COUNTIF(HG$3:HG273,"?*"))</f>
        <v/>
      </c>
      <c r="JR273" t="str">
        <f>IF(OR(HG273="",HI273=""),"",IF(COUNTIFS(HG$3:HG273,"?*",HI$3:HI273,HI273)=1,MAX(JR$2:JR272)+1,""))</f>
        <v/>
      </c>
      <c r="JS273">
        <f t="shared" si="684"/>
        <v>0</v>
      </c>
      <c r="JT273">
        <f>IF(B273="","",COUNTIF(B$3:B273,"?*"))</f>
        <v>271</v>
      </c>
      <c r="JU273">
        <f>IF(HL273&lt;&gt;1,0,_xlfn.LET(_xlpm.k,MAX(IFERROR(--_xlfn.XLOOKUP(B273,Коды_код,Коды_3L),0),IFERROR(--_xlfn.XLOOKUP(BC273,Коды_код,Коды_3L),0),IFERROR(--_xlfn.XLOOKUP(LEFT(BC273,2),Коды_код,Коды_3L),0)),IF(_xlpm.k&gt;0,_xlpm.k,IF(IFERROR(--LEFT(SUBSTITUTE(JO273,"x","х"),FIND("х",SUBSTITUTE(JO273,"x","х"))-1),3)&gt;3,Каталог!$S$9,1))))</f>
        <v>1</v>
      </c>
      <c r="JV273">
        <f t="shared" si="685"/>
        <v>0</v>
      </c>
      <c r="JW273" t="str">
        <f t="shared" si="686"/>
        <v>авто</v>
      </c>
      <c r="JX273">
        <f t="shared" si="687"/>
        <v>30</v>
      </c>
      <c r="JY273">
        <f t="shared" si="688"/>
        <v>1</v>
      </c>
      <c r="JZ273">
        <f t="shared" si="689"/>
        <v>1</v>
      </c>
    </row>
    <row r="274" spans="1:286" x14ac:dyDescent="0.3">
      <c r="A274" t="s">
        <v>757</v>
      </c>
      <c r="B274" t="s">
        <v>1580</v>
      </c>
      <c r="C274" t="s">
        <v>1719</v>
      </c>
      <c r="D274">
        <v>1</v>
      </c>
      <c r="E274">
        <v>7.36</v>
      </c>
      <c r="G274" t="str">
        <f>Линии[[#This Row],[_авто автомат]]</f>
        <v>4P С16А 30мА</v>
      </c>
      <c r="H274" t="str">
        <f>Линии[[#This Row],[_авто управление]]</f>
        <v/>
      </c>
      <c r="I274" t="str">
        <f>Линии[[#This Row],[_авто аппараты]]</f>
        <v/>
      </c>
      <c r="J274">
        <v>4</v>
      </c>
      <c r="K274">
        <v>39</v>
      </c>
      <c r="L274" t="str">
        <f>Линии[[#This Row],[_авто фаза]]</f>
        <v>L1,L2,L3</v>
      </c>
      <c r="M274" t="str">
        <f>Линии[[#This Row],[_авто клемма]]</f>
        <v>XT50</v>
      </c>
      <c r="N274" t="str">
        <f t="shared" si="552"/>
        <v/>
      </c>
      <c r="O274" s="6" cm="1">
        <f t="array" ref="O274">IF(B274="","",IF(BH274&lt;&gt;"",IFERROR(_xlfn.XLOOKUP(BH274,Щиты[Щит],Щиты[Iр, А]),""),IF(BP274=1,IF(OR(N(_xlfn.XLOOKUP(A274,Щиты[Щит],Щиты[Вводов],1))&lt;=1,LOWER(TRIM(_xlfn.XLOOKUP(A274,Щиты[Щит],Щиты[АВР],"")&amp;""))="да"),IFERROR(_xlfn.XLOOKUP(A274,Щиты[Щит],Щиты[Iр, А]),""),IFERROR(N(BS274)*_xlfn.XLOOKUP(A274,Щиты[Щит],Щиты[Кс итог])/(SQRT(3)*Uн_лин*_xlfn.XLOOKUP(A274,Щиты[Щит],Щиты[cos φ])),"")),IF(BV274=1,IFERROR(BS274*1000/BU274,""),IFERROR(_xlfn.IFS(BX274=1,BS274/((Uн_лин/SQRT(3))*CE274),BX274=3,BS274/(SQRT(3)*Uн_лин*CE274)),"")))))</f>
        <v>11.182363108514858</v>
      </c>
      <c r="P274" s="7">
        <f>IF(B274="","",IFERROR(IF(VLOOKUP(BC274,Потребители_обозначение,4,FALSE)=1,VLOOKUP(BC274,Потребители_обозначение,3,FALSE)*(MAX(1,N(D274))*2-1)+EI274+VLOOKUP(BE274,Этаж_обозначение,3,FALSE)+VLOOKUP(BE274,Этаж_обозначение,4,FALSE),VLOOKUP(BC274,Потребители_обозначение,3,FALSE)*(MAX(1,N(D274))*2-1)+EI274),EI274))</f>
        <v>42</v>
      </c>
      <c r="Q274" s="6">
        <f t="shared" si="553"/>
        <v>2.29</v>
      </c>
      <c r="R274" t="str">
        <f t="shared" si="554"/>
        <v>ВВГнг(А)-LS (5х4)</v>
      </c>
      <c r="S274" t="str">
        <f>IF(BM274="","",IF(BN274="вводной узел","узел ","")&amp;"л."&amp;(INT((BM274-1)/Столбцов_на_лист)+1)&amp;" / "&amp;(MOD(BM274-1,Столбцов_на_лист)+1))</f>
        <v>л.4 / 13</v>
      </c>
      <c r="T274" s="119">
        <f t="shared" si="555"/>
        <v>4.9000000000000004</v>
      </c>
      <c r="U274" s="7" t="str">
        <f>IF(OR(CG274=0,N(BV274)+N(IB274)=0),"",ROUNDUP(Запас_БП*(N(HY274)+N(HZ274)),0))</f>
        <v/>
      </c>
      <c r="V274" s="119" t="str">
        <f t="shared" si="556"/>
        <v/>
      </c>
      <c r="W274" s="7" t="str">
        <f>IFERROR(IF(OR(B274="",BP274=1,BV274=1,NOT(ISNUMBER(EN274)),N(DT274)=0),"",MAX(0,ROUNDDOWN((c_min*(Uн_лин*1000/SQRT(3))/(HT274*N(DT274))-_xlfn.XLOOKUP(A274,Щиты[Щит],Щиты[Zпетли на шинах, Ом]))*EN274/(2*ρкз_Cu),0))),"")</f>
        <v/>
      </c>
      <c r="Y274">
        <f>Линии[[#This Row],[_авто утечка]]</f>
        <v>30</v>
      </c>
      <c r="Z274">
        <v>3</v>
      </c>
      <c r="AA274">
        <v>400</v>
      </c>
      <c r="AB274" t="s">
        <v>562</v>
      </c>
      <c r="AG274" t="s">
        <v>810</v>
      </c>
      <c r="AI274" t="s">
        <v>561</v>
      </c>
      <c r="AK274" t="str">
        <f>Линии[[#This Row],[_авто модуль]]</f>
        <v/>
      </c>
      <c r="AM274">
        <v>64</v>
      </c>
      <c r="AN274" t="s">
        <v>11</v>
      </c>
      <c r="AO274">
        <v>5</v>
      </c>
      <c r="AQ274">
        <v>20</v>
      </c>
      <c r="AR274">
        <v>22</v>
      </c>
      <c r="AS274">
        <v>0</v>
      </c>
      <c r="BA274" cm="1">
        <f t="array" ref="BA274">ROW()-ROW(Линии[#Headers])</f>
        <v>272</v>
      </c>
      <c r="BC274" s="6" t="str">
        <f t="shared" si="557"/>
        <v>R</v>
      </c>
      <c r="BD274" t="str">
        <f t="shared" si="558"/>
        <v>1.021A.7</v>
      </c>
      <c r="BE274" t="str">
        <f t="shared" si="559"/>
        <v>1</v>
      </c>
      <c r="BF274" t="str">
        <f t="shared" si="560"/>
        <v>021A.7</v>
      </c>
      <c r="BG274" t="str">
        <f t="shared" si="561"/>
        <v>021A</v>
      </c>
      <c r="BH274" t="str">
        <f>IF(X274&lt;&gt;"",X274,IF(AND(B274&lt;&gt;"",B274&lt;&gt;A274,ISNUMBER(_xlfn.XMATCH(B274,Щиты[Щит]))),B274,""))</f>
        <v/>
      </c>
      <c r="BI274" t="str" cm="1">
        <f t="array" ref="BI274">IF(B274="","",IF(BH274&lt;&gt;"","Щит "&amp;BH274,_xlfn.LET(_xlpm.nm,IFERROR(_xlfn.XLOOKUP(BC274,Коды_код,Коды_имя)&amp;"",""),_xlpm.md,IFERROR(N(_xlfn.XLOOKUP(BC274,Коды_код,Коды_режим)),1),_xlpm.ex,IF(Имя_режим="по экспликации",IFERROR(_xlfn.XLOOKUP(BE274&amp;"|"&amp;BG274,Экспликация[Этаж]&amp;"|"&amp;Экспликация[Помещение],Экспликация[Название])&amp;"",""),""),_xlpm.rm,IF(BG274="","",IF(_xlpm.ex&lt;&gt;"",". "&amp;_xlpm.ex&amp;IF(Имя_пом="нет"," ("&amp;BG274&amp;")"," (пом. "&amp;BG274&amp;")"),IF(Имя_пом="нет"," ",", пом. ")&amp;BG274)),IF(_xlpm.nm="","",IF(_xlpm.md=2,_xlpm.nm&amp;" шлейф "&amp;BE274,_xlpm.nm&amp;_xlpm.rm)))))</f>
        <v>Розеточная группа, пом. 021A</v>
      </c>
      <c r="BJ274" t="str">
        <f t="shared" si="562"/>
        <v>Розеточная группа Первый этаж Пом. №021A Вывод на варочную панель</v>
      </c>
      <c r="BK274">
        <f>IFERROR(_xlfn.XMATCH(A274,Щиты[Щит]),0)</f>
        <v>10</v>
      </c>
      <c r="BL274">
        <f>_xlfn.LET(_xlpm.k,IFERROR(_xlfn.XLOOKUP(A274,Щиты[Щит],Щиты[Мест под вводной узел]),""),IF(_xlpm.k="",Столбцов_на_лист,N(_xlpm.k)))</f>
        <v>8</v>
      </c>
      <c r="BM274">
        <f t="shared" si="563"/>
        <v>64</v>
      </c>
      <c r="BN274" t="str">
        <f t="shared" si="564"/>
        <v>линии</v>
      </c>
      <c r="BO274" s="6">
        <f>IFERROR(N(_xlfn.XLOOKUP(BC274,Коды_код,Коды_квт)),0)</f>
        <v>0</v>
      </c>
      <c r="BP274">
        <f t="shared" si="565"/>
        <v>0</v>
      </c>
      <c r="BQ274" t="str">
        <f>IF(B274="","",IF(BH274&lt;&gt;"",IFERROR(_xlfn.XLOOKUP(BH274,Щиты[Щит],Щиты[Руст, кВт]),0),IF(BP274=1,IF(OR(N(_xlfn.XLOOKUP(A274,Щиты[Щит],Щиты[Вводов],1))&lt;=1,LOWER(TRIM(_xlfn.XLOOKUP(A274,Щиты[Щит],Щиты[АВР],"")&amp;""))="да"),IFERROR(_xlfn.XLOOKUP(A274,Щиты[Щит],Щиты[Руст, кВт]),0),SUMIFS(Линии[_Р для вводов],Линии[Щит],A274,Линии[Источник для режимов],GF274)),IF(BO274&gt;0,ROUND(BO274*MAX(1,N(D274)),3),""))))</f>
        <v/>
      </c>
      <c r="BR274">
        <f t="shared" si="566"/>
        <v>7.36</v>
      </c>
      <c r="BS274" s="6">
        <f>IF(B274="","",IF(BH274&lt;&gt;"",IFERROR(_xlfn.XLOOKUP(BH274,Щиты[Щит],Щиты[Руст, кВт]),0),N(BR274)))</f>
        <v>7.36</v>
      </c>
      <c r="BT274" t="str">
        <f>IF(B274="","",IFERROR(IF(VLOOKUP(BC274,Потребители_обозначение,8,FALSE)=0,"",VLOOKUP(BC274,Потребители_обозначение,8,FALSE)),""))</f>
        <v/>
      </c>
      <c r="BU274">
        <f t="shared" si="567"/>
        <v>400</v>
      </c>
      <c r="BV274">
        <f t="shared" si="568"/>
        <v>0</v>
      </c>
      <c r="BW274">
        <f>IF(B274="","",IF(BH274&lt;&gt;"",3,IFERROR(IF(N(VLOOKUP(BC274,Потребители_обозначение,9,FALSE))=0,1,VLOOKUP(BC274,Потребители_обозначение,9,FALSE)),1)))</f>
        <v>1</v>
      </c>
      <c r="BX274">
        <f t="shared" si="569"/>
        <v>3</v>
      </c>
      <c r="BY274" t="str">
        <f>IF(B274="","",_xlfn.LET(_xlpm.bc,IFERROR(IF(VLOOKUP(BC274,Потребители_обозначение,6,FALSE)=0,"",VLOOKUP(BC274,Потребители_обозначение,6,FALSE)&amp;""),""),IF(AND(GA274="да",OR(_xlpm.bc="",_xlpm.bc="мс")),Марка_пож,IF(AND(_xlpm.bc="",BH274&lt;&gt;""),"мс",_xlpm.bc))))</f>
        <v/>
      </c>
      <c r="BZ274" t="str">
        <f t="shared" si="570"/>
        <v>мс</v>
      </c>
      <c r="CA274">
        <f>IF(B274="","",_xlfn.LET(_xlpm.cc,IFERROR(N(VLOOKUP(BC274,Потребители_обозначение,7,FALSE)),0),IF(_xlpm.cc&gt;0,_xlpm.cc,IF(BZ274="","",IF(BV274=1,2,IF(N(BX274)=3,5,3))))))</f>
        <v>5</v>
      </c>
      <c r="CB274">
        <f t="shared" si="571"/>
        <v>5</v>
      </c>
      <c r="CC274">
        <f>IFERROR(N(VLOOKUP(BC274,Потребители_обозначение,10,FALSE)),0)</f>
        <v>0</v>
      </c>
      <c r="CD274">
        <f>IFERROR(VLOOKUP(BC274,Потребители_обозначение,5,FALSE),0)</f>
        <v>1</v>
      </c>
      <c r="CE274" s="6" cm="1">
        <f t="array" ref="CE274">IF(B274="","",IF(BH274&lt;&gt;"",IFERROR(_xlfn.XLOOKUP(BH274,Щиты[Щит],Щиты[cos φ]),0.95),IF(BP274=1,IFERROR(_xlfn.XLOOKUP(A274,Щиты[Щит],Щиты[cos φ]),0.95),IF(ISNUMBER(AD274),AD274,IFERROR(IF(CD274=2,_xlfn.IFS(BX274=3,VLOOKUP(BS274,Справочная_двигатели,8,FALSE),BX274=1,VLOOKUP(BS274,Справочная_двигатели,10,TRUE)),IF(AND(Методика="нормы 2026",FG274="Сил"),0.8,0.95)),0.95)))))</f>
        <v>0.95</v>
      </c>
      <c r="CF274">
        <f t="shared" si="572"/>
        <v>0</v>
      </c>
      <c r="CG274">
        <f t="shared" si="573"/>
        <v>1</v>
      </c>
      <c r="CH274">
        <f t="shared" si="574"/>
        <v>0</v>
      </c>
      <c r="CI274">
        <f>IF(B274="","",IF(BV274=1,IFERROR(BS274/((Uн_лин/SQRT(3))*MAX(0.5,N(CE274))),0),N(O274)))</f>
        <v>11.182363108514858</v>
      </c>
      <c r="CJ274">
        <f t="shared" si="575"/>
        <v>0</v>
      </c>
      <c r="CK274">
        <f t="shared" si="576"/>
        <v>0</v>
      </c>
      <c r="CL274">
        <f t="shared" si="577"/>
        <v>0</v>
      </c>
      <c r="CM274">
        <f t="shared" si="578"/>
        <v>0</v>
      </c>
      <c r="CN274">
        <f t="shared" si="579"/>
        <v>0</v>
      </c>
      <c r="CO274">
        <f>IF(BC274="",0,_xlfn.LET(_xlpm.v,IFERROR(_xlfn.XLOOKUP(B274,Коды_код,Коды_мА),IFERROR(_xlfn.XLOOKUP(BC274,Коды_код,Коды_мА),IFERROR(_xlfn.XLOOKUP(LEFT(BC274,2),Коды_код,Коды_мА),""))),IF(_xlpm.v="да",30,IF(ISNUMBER(_xlpm.v),_xlpm.v,0))))</f>
        <v>30</v>
      </c>
      <c r="CP274">
        <f t="shared" si="580"/>
        <v>30</v>
      </c>
      <c r="CQ274" t="str">
        <f>_xlfn.LET(_xlpm.k,IFERROR(_xlfn.XLOOKUP(BC274,Коды_код,Коды_утечка)&amp;"",""),IF(_xlpm.k="","дифавтомат",_xlpm.k))</f>
        <v>дифавтомат</v>
      </c>
      <c r="CR274" t="str" cm="1">
        <f t="array" ref="CR274">IF(CG274=0,"",_xlfn.LET(_xlpm.sg,TRIM(_xlfn.TEXTSPLIT(DD274&amp;"",";")),_xlpm.f_,_xlfn._xlws.FILTER(_xlpm.sg,LEFT(_xlpm.sg,3)="УЗО",""),IFERROR(INDEX(_xlpm.f_,1)&amp;"","")))</f>
        <v/>
      </c>
      <c r="CS274" t="str">
        <f t="shared" si="581"/>
        <v/>
      </c>
      <c r="CT274" s="6" t="str" cm="1">
        <f t="array" ref="CT274">IF(CR274="","",_xlfn.LET(_xlpm.tk,_xlfn.TEXTSPLIT(UPPER(CR274)," ",,TRUE),_xlpm.a_,_xlfn._xlws.FILTER(_xlpm.tk,ISNUMBER(--LEFT(_xlpm.tk,1))*((ISNUMBER(SEARCH("А",_xlpm.tk))+ISNUMBER(SEARCH("A",_xlpm.tk)))&gt;0)*NOT(ISNUMBER(SEARCH("МА",_xlpm.tk)))*NOT(ISNUMBER(SEARCH("MA",_xlpm.tk))),""),IFERROR(--SUBSTITUTE(SUBSTITUTE(INDEX(_xlpm.a_,1),"А",""),"A",""),"")))</f>
        <v/>
      </c>
      <c r="CU274" t="str" cm="1">
        <f t="array" ref="CU274">IF(CR274="","",_xlfn.LET(_xlpm.tk,_xlfn.TEXTSPLIT(UPPER(CR274)," ",,TRUE),_xlpm.a_,_xlfn._xlws.FILTER(_xlpm.tk,ISNUMBER(--LEFT(_xlpm.tk,1))*((ISNUMBER(SEARCH("МА",_xlpm.tk))+ISNUMBER(SEARCH("MA",_xlpm.tk)))&gt;0),""),IFERROR(--SUBSTITUTE(SUBSTITUTE(INDEX(_xlpm.a_,1),"МА",""),"MA",""),30)))</f>
        <v/>
      </c>
      <c r="CV274" t="str">
        <f>IF(CS274="","",IFERROR(_xlfn.XLOOKUP(CS274,Линии[_n],Линии[_УЗО, мА]),30))</f>
        <v/>
      </c>
      <c r="CW274">
        <f>IF(CS274="",0,IF(ISNUMBER(SEARCH("4P",IFERROR(_xlfn.XLOOKUP(CS274,Линии[_n],Линии[_УЗО строки])&amp;"",""))),0,1))</f>
        <v>0</v>
      </c>
      <c r="CX274" t="str">
        <f>IF(AND(CS274&lt;&gt;"",CS274=BA274),SUMIFS(Линии[_ток на 230 В],Линии[_блок УЗО],BA274,Линии[Щит],A274),"")</f>
        <v/>
      </c>
      <c r="CY274" t="str">
        <f>IF(AND(CS274&lt;&gt;"",CS274=BA274),SUMIFS(Линии[_ток утечки линии, мА],Линии[_блок УЗО],BA274,Линии[Щит],A274),"")</f>
        <v/>
      </c>
      <c r="CZ274">
        <f t="shared" si="582"/>
        <v>30</v>
      </c>
      <c r="DA274">
        <f t="shared" si="583"/>
        <v>30</v>
      </c>
      <c r="DB274">
        <f>IF(B274="",0,IFERROR(--_xlfn.XLOOKUP(B274,Коды_код,Коды_минавт),IFERROR(--_xlfn.XLOOKUP(BC274,Коды_код,Коды_минавт),IFERROR(--_xlfn.XLOOKUP(LEFT(BC274,2),Коды_код,Коды_минавт),0))))</f>
        <v>16</v>
      </c>
      <c r="DC274" t="str">
        <f>IF(B274="","",IFERROR(_xlfn.XLOOKUP(BC274,Коды_код,Коды_апп)&amp;"",""))</f>
        <v/>
      </c>
      <c r="DD274" t="str">
        <f t="shared" si="584"/>
        <v/>
      </c>
      <c r="DE274" t="str" cm="1">
        <f t="array" ref="DE274">IF(TRIM(DD274&amp;"")="","",IFERROR(TRIM(INDEX(_xlfn.TEXTSPLIT(DD274&amp;";;;",";"),1)),""))</f>
        <v/>
      </c>
      <c r="DF274" t="str" cm="1">
        <f t="array" ref="DF274">IF(TRIM(DD274&amp;"")="","",IFERROR(TRIM(INDEX(_xlfn.TEXTSPLIT(DD274&amp;";;;",";"),2)),""))</f>
        <v/>
      </c>
      <c r="DG274" t="str" cm="1">
        <f t="array" ref="DG274">IF(TRIM(DD274&amp;"")="","",IFERROR(TRIM(INDEX(_xlfn.TEXTSPLIT(DD274&amp;";;;",";"),3)),""))</f>
        <v/>
      </c>
      <c r="DH274">
        <f t="shared" si="585"/>
        <v>0</v>
      </c>
      <c r="DI274" t="str">
        <f>IF(B274="","",_xlfn.LET(_xlpm.t,LOWER(AZ274&amp;""),IF(ISNUMBER(SEARCH("dim",_xlpm.t)),"DIM",IF(ISNUMBER(SEARCH("dali",_xlpm.t)),"DALI",IF(OR(ISNUMBER(SEARCH("relay",_xlpm.t)),ISNUMBER(SEARCH("реле",_xlpm.t))),"Relay",IF(ISNUMBER(SEARCH("кнопк",_xlpm.t)),"",IFERROR(_xlfn.XLOOKUP(BC274,Коды_код,Коды_упр)&amp;"","")))))))</f>
        <v/>
      </c>
      <c r="DJ274" t="str">
        <f t="shared" si="586"/>
        <v/>
      </c>
      <c r="DK274">
        <f>IF(B274="","",_xlfn.LET(_xlpm.ig,IF(N(CX274)&gt;0,N(CX274),N(CI274)+IF(AJ274="вручную",0,N(CJ274))),_xlpm.n0,IFERROR(VLOOKUP(_xlpm.ig,Автомат_номиналы,2,TRUE),0),_xlpm.mn,MAX(DB274,IF(AJ274="вручную",0,N(CM274))),MAX(_xlpm.n0,_xlpm.mn,IF(DH274=1,Мин_автомат_БП,0))))</f>
        <v>16</v>
      </c>
      <c r="DL274">
        <f t="shared" si="587"/>
        <v>3</v>
      </c>
      <c r="DM274" t="str">
        <f t="shared" si="588"/>
        <v>4P</v>
      </c>
      <c r="DN274" t="str">
        <f>_xlfn.LET(_xlpm.cc,UPPER(TRIM(IFERROR(_xlfn.XLOOKUP(BC274,Коды_код,Коды_хар)&amp;"",""))),IF(OR(_xlpm.cc="B",_xlpm.cc="В"),"B",IF(_xlpm.cc="D","D","С")))</f>
        <v>С</v>
      </c>
      <c r="DO274" t="str">
        <f t="shared" si="589"/>
        <v>4P С16А 30мА</v>
      </c>
      <c r="DP274" t="str">
        <f t="shared" si="590"/>
        <v>4P С16А 30мА</v>
      </c>
      <c r="DQ274" t="str">
        <f t="shared" si="591"/>
        <v>4P С16А 30мА</v>
      </c>
      <c r="DR274" cm="1">
        <f t="array" ref="DR274">IF(DQ274="","",_xlfn.LET(_xlpm.t,SUBSTITUTE(SUBSTITUTE(SUBSTITUTE(UPPER(DQ274),"С","C"),"А","A"),"В","B"),_xlpm.tk,_xlfn.TEXTSPLIT(_xlpm.t," "),_xlpm.f,_xlfn._xlws.FILTER(_xlpm.tk,ISNUMBER(--MID(_xlpm.tk,2,1))*ISNUMBER(SEARCH(LEFT(_xlpm.tk,1)&amp;"#","B#C#D#"))*(LEN(_xlpm.tk)&gt;1),""),_xlpm.x,INDEX(_xlpm.f,1),IFERROR(--SUBSTITUTE(MID(_xlpm.x,2,9),"A",""),IFERROR(--SUBSTITUTE(INDEX(_xlfn._xlws.FILTER(_xlpm.tk,ISNUMBER(--SUBSTITUTE(_xlpm.tk,"A","")),""),1),"A",""),""))))</f>
        <v>16</v>
      </c>
      <c r="DS274" t="str">
        <f t="shared" si="592"/>
        <v>ok</v>
      </c>
      <c r="DT274">
        <f t="shared" si="593"/>
        <v>16</v>
      </c>
      <c r="DU274" t="str">
        <f t="shared" si="594"/>
        <v>4P С16А 30мА</v>
      </c>
      <c r="DV274">
        <f t="shared" si="595"/>
        <v>30</v>
      </c>
      <c r="DW274">
        <f t="shared" si="596"/>
        <v>1</v>
      </c>
      <c r="DX274">
        <f t="shared" si="597"/>
        <v>0</v>
      </c>
      <c r="DY274">
        <f t="shared" si="598"/>
        <v>11.182363108514858</v>
      </c>
      <c r="DZ274">
        <f t="shared" si="599"/>
        <v>0.92</v>
      </c>
      <c r="EA274">
        <f>IF(ISNUMBER(AP274),AP274,К_прокл)</f>
        <v>1</v>
      </c>
      <c r="EB274">
        <f t="shared" si="600"/>
        <v>3</v>
      </c>
      <c r="EC274">
        <f>IFERROR(N(VLOOKUP(BZ274,Кабель_обозначение,3,FALSE)),1)</f>
        <v>1</v>
      </c>
      <c r="ED274">
        <f>IFERROR(N(_xlfn.XLOOKUP(A274,Щиты[Щит],Щиты[ΔU до шин, %])),0)</f>
        <v>1.19</v>
      </c>
      <c r="EE274" t="str">
        <f>IFERROR(_xlfn.XLOOKUP(A274,Щиты[Щит],Щиты[Zпетли на шинах, Ом]),"")</f>
        <v/>
      </c>
      <c r="EF274">
        <f>IFERROR(N(_xlfn.XLOOKUP(A274,Щиты[Щит],Щиты[ΔU до шин (подбор), %])),0)</f>
        <v>1.19</v>
      </c>
      <c r="EG274" t="str">
        <f>IFERROR(_xlfn.XLOOKUP(A274,Щиты[Щит],Щиты[Zпетли на шинах (подбор), Ом]),"")</f>
        <v/>
      </c>
      <c r="EH274" t="str">
        <f t="shared" si="601"/>
        <v/>
      </c>
      <c r="EI274">
        <f t="shared" si="602"/>
        <v>39</v>
      </c>
      <c r="EJ274">
        <f t="shared" si="603"/>
        <v>1</v>
      </c>
      <c r="EK274">
        <f t="shared" si="604"/>
        <v>0.31</v>
      </c>
      <c r="EL274" s="6">
        <f>IF(B274="","",IF(BV274=1,dU_LED,IF(IFERROR(_xlfn.XLOOKUP(BC274,Коды_код,Коды_уго),"")="Светильник",3,4)+IF(Методика="нормы 2026",MIN(0.5,MAX(0,N(P274)-100)*0.005),0)))</f>
        <v>4</v>
      </c>
      <c r="EM274" cm="1">
        <f t="array" ref="EM274">IF(OR(B274="",BZ274="",EC274&lt;&gt;1),"",_xlfn.LET(_xlpm.sz,Iдоп_S,_xlpm.t_,CHOOSE(EB274,Iдоп_1ж,Iдоп_2ж,Iдоп_3ж)*DZ274*EA274,_xlpm.dcx,BV274=1,_xlpm.inn,IF(_xlpm.dcx,N(O274),N(DT274)),_xlpm.smin,MAX(1.5,CC274),_xlpm.L_,N(P274)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274)/N(BU274)*100,999),IFERROR(N(EJ274)*(_xlpm.rho*_xlpm.L_/_xlpm.sz*N(CE274)+_xlpm.xx*_xlpm.L_*N(EK274)/1000)*N(O274)/((Uн_лин/SQRT(3))*1000)*100,999)),_xlpm.kz,IF(OR(_xlpm.dcx,DW274=1,NOT(ISNUMBER(EG274)),_xlpm.L_=0,_xlpm.inn=0),1,IFERROR(--(c_min*(Uн_лин*1000/SQRT(3))/(EG274+2*ρкз_Cu*_xlpm.L_/_xlpm.sz)&gt;=HT274*_xlpm.inn),0)),_xlpm.ok,IFERROR((_xlpm.sz&gt;=_xlpm.smin)*(_xlpm.t_&gt;=_xlpm.inn)*IF(_xlpm.L_&gt;0,(_xlpm.du_+IF(_xlpm.dcx,0,EF274)&lt;=EL274+0.00001),1)*_xlpm.kz,0),_xlpm.r_,_xlfn._xlws.FILTER(_xlpm.sz,_xlpm.ok,"не подобрано"),INDEX(_xlpm.r_,1)))</f>
        <v>2.5</v>
      </c>
      <c r="EN274">
        <f t="shared" si="605"/>
        <v>4</v>
      </c>
      <c r="EO274" cm="1">
        <f t="array" ref="EO274">IF(OR(B274="",BZ274="",EC274&lt;&gt;1),"",_xlfn.LET(_xlpm.sz,Iдоп_S,_xlpm.t_,CHOOSE(EB274,Iдоп_1ж,Iдоп_2ж,Iдоп_3ж)*DZ274*EA274,_xlpm.ok,IFERROR((_xlpm.sz&gt;=MAX(1.5,CC274))*(_xlpm.t_&gt;=N(DT274)),0),_xlpm.r_,_xlfn._xlws.FILTER(_xlpm.sz,_xlpm.ok,""),INDEX(_xlpm.r_,1)))</f>
        <v>1.5</v>
      </c>
      <c r="EP274" s="6" cm="1">
        <f t="array" ref="EP274">IFERROR(ROUNDUP(N(EJ274)*(_xlfn.XLOOKUP(EO274,INDEX(Кабель_сопротивление,0,1),INDEX(Кабель_сопротивление,0,3))*N(P274)/EO274*N(CE274)+_xlfn.XLOOKUP(EO274,INDEX(Кабель_сопротивление,0,1),INDEX(Кабель_сопротивление,0,2))*N(P274)*N(EK274)/1000)*N(O274)/((Uн_лин/SQRT(3))*1000)*100,2),"")</f>
        <v>2.9099999999999997</v>
      </c>
      <c r="EQ274">
        <f>IFERROR(2*ρкз_Cu*N(P274)/EO274,"")</f>
        <v>1.4728000000000001</v>
      </c>
      <c r="ER274">
        <f>IFERROR(VLOOKUP(EN274,Кабель_сопротивление,3,FALSE),"")</f>
        <v>2.2499999999999999E-2</v>
      </c>
      <c r="ES274">
        <f>IFERROR(VLOOKUP(EN274,Кабель_сопротивление,2,FALSE),"")</f>
        <v>9.5000000000000001E-2</v>
      </c>
      <c r="ET274">
        <f t="shared" si="606"/>
        <v>22</v>
      </c>
      <c r="EU274">
        <f t="shared" si="607"/>
        <v>0</v>
      </c>
      <c r="EV274">
        <f t="shared" si="608"/>
        <v>2.5235730850962255</v>
      </c>
      <c r="EW274" s="6">
        <f>IFERROR(ROUNDUP(EV274/IF(BV274=1,BU274,(Uн_лин/SQRT(3))*1000)*100,2),"")</f>
        <v>1.1000000000000001</v>
      </c>
      <c r="EX274" t="str">
        <f>IFERROR(VLOOKUP(BZ274,Кабель_обозначение,2,FALSE),"")</f>
        <v>ВВГнг(А)-LS</v>
      </c>
      <c r="EY274" t="str">
        <f t="shared" si="609"/>
        <v>ВВГнг(А)-LS (5х4)</v>
      </c>
      <c r="EZ274" t="str">
        <f t="shared" si="610"/>
        <v>ВВГнг(А)-LS (5х4)
L=42-1,1%</v>
      </c>
      <c r="FA274">
        <f>IFERROR(2*ρкз_Cu*P274/EN274,"")</f>
        <v>0.55230000000000001</v>
      </c>
      <c r="FB274">
        <f t="shared" si="611"/>
        <v>0.18375000000000002</v>
      </c>
      <c r="FC274" s="6" t="str">
        <f>IFERROR(IF(OR(B274="",BV274=1,NOT(ISNUMBER(EN274)),N(P274)=0),"",_xlfn.XLOOKUP(A274,Щиты[Щит],Щиты[Zпетли на шинах, Ом])+FA274),"")</f>
        <v/>
      </c>
      <c r="FD274" s="6" t="str">
        <f>IF(ISNUMBER(FC274),c_min*(Uн_лин*1000/SQRT(3))/FC274,"")</f>
        <v/>
      </c>
      <c r="FE274" s="6" t="str">
        <f>IFERROR(IF(OR(B274="",NOT(ISNUMBER(EN274))),"",1.05*(Uн_лин*1000/SQRT(3))/(_xlfn.XLOOKUP(A274,Щиты[Щит],Щиты[Zmax на шинах, Ом])+FB274)/1000),"")</f>
        <v/>
      </c>
      <c r="FF274" s="6" t="str">
        <f>IF(B274="","",IF(ISNUMBER(AC274),"Сил",IF(IFERROR(_xlfn.XLOOKUP(BC274,Коды_код,Коды_группа)&amp;"","")="","Быт",_xlfn.XLOOKUP(BC274,Коды_код,Коды_группа)&amp;"")))</f>
        <v>Быт</v>
      </c>
      <c r="FG274" s="6" t="str">
        <f t="shared" si="612"/>
        <v>Быт</v>
      </c>
      <c r="FH274" s="6">
        <f>IF(FG274="Щит","щит",IF(FG274="","",IF(FG274="Быт",IFERROR(_xlfn.XLOOKUP(A274,Щиты[Щит],Щиты[Кс быт]),1),IF(FG274="Сил",IF(ISNUMBER(AC274),AC274,IF(Методика="нормы 2026",IFERROR(_xlfn.XLOOKUP(A274,Щиты[Щит],Щиты[Кс силовых (табл. 7.5)]),1),1)),IF(OR(FG274="Пост",FG274="Отоп"),1,IF(FG274="ВНГ",0.7,0))))))</f>
        <v>0.57830000000000004</v>
      </c>
      <c r="FI274">
        <f>IF(FG274="","",IF(AND(BP274=1,TRIM(AE274&amp;"")=""),IF(COUNTIFS(Линии[Щит],A274,Линии[Секция (1/2/3)],"&gt;=2")&gt;0,MIN(3,MAX(1,IFERROR(--BD274,1))),1),IFERROR(MIN(3,MAX(1,INT(--AE274))),1)))</f>
        <v>1</v>
      </c>
      <c r="FJ274">
        <f t="shared" si="613"/>
        <v>7.36</v>
      </c>
      <c r="FK274">
        <f t="shared" si="614"/>
        <v>7.36</v>
      </c>
      <c r="FL274">
        <f t="shared" si="615"/>
        <v>0</v>
      </c>
      <c r="FM274">
        <f t="shared" si="616"/>
        <v>0</v>
      </c>
      <c r="FN274">
        <f t="shared" si="617"/>
        <v>0</v>
      </c>
      <c r="FO274">
        <f t="shared" si="618"/>
        <v>0</v>
      </c>
      <c r="FP274">
        <f t="shared" si="619"/>
        <v>7.36</v>
      </c>
      <c r="FQ274">
        <f t="shared" si="620"/>
        <v>7.36</v>
      </c>
      <c r="FR274">
        <f t="shared" si="621"/>
        <v>6.992</v>
      </c>
      <c r="FS274">
        <f>IF(CG274=1,IF(AND(CH274=1,CW274=1),0,IF(AND(CS274&lt;&gt;"",CS274=BA274,CW274=1),SUMIFS(Линии[_Р линии, кВт],Линии[_блок УЗО],BA274,Линии[Щит],A274),N(BS274)+IF(AJ274="вручную",0,N(CK274)))),0)</f>
        <v>7.36</v>
      </c>
      <c r="FT274" t="str">
        <f t="shared" si="622"/>
        <v/>
      </c>
      <c r="FU274" t="str">
        <f>IF(B274="","",IF(CG274=0,IF(BA274=1,"",FW273),IF(AND(CH274=1,CW274=1,CS274&lt;&gt;""),IFERROR(_xlfn.XLOOKUP(CS274,Линии[_n],Линии[_фаза итог]),"L1"),IF(OR(N(DL274)&gt;=3,N(BX274)&gt;=3),"L1,L2,L3",IFERROR(_xlfn.TEXTBEFORE(_xlfn.TEXTAFTER(_xlfn.XLOOKUP(A274,Щиты[Щит],Щиты[_фазы авто]),";"&amp;BA274&amp;":"),";"),"L1")))))</f>
        <v>L1,L2,L3</v>
      </c>
      <c r="FV274" t="str">
        <f t="shared" si="623"/>
        <v>L1,L2,L3</v>
      </c>
      <c r="FW274" t="str">
        <f t="shared" si="624"/>
        <v>L1,L2,L3</v>
      </c>
      <c r="FX274" cm="1">
        <f t="array" ref="FX274">IFERROR(IF(CD274=2,_xlfn.IFS(BX274=3,VLOOKUP(BS274,Справочная_двигатели,3,FALSE),BX274=1,VLOOKUP(BS274,Справочная_двигатели,5,TRUE)),0),0)</f>
        <v>0</v>
      </c>
      <c r="FY274">
        <f>IFERROR(IF(CD274=3,VLOOKUP(BS274,Справочная_ЛЭД,2,TRUE),0),0)</f>
        <v>0</v>
      </c>
      <c r="FZ274" s="6">
        <f t="shared" si="625"/>
        <v>0</v>
      </c>
      <c r="GA274" t="str">
        <f>IF(B274="","",IF(TRIM(AH274&amp;"")&lt;&gt;"",IF(LOWER(TRIM(AH274&amp;""))="да","да","нет"),IF(IFERROR(_xlfn.XLOOKUP(BC274,Коды_код,Коды_пожарная),"")="да","да","нет")))</f>
        <v>нет</v>
      </c>
      <c r="GB274" t="str">
        <f t="shared" si="626"/>
        <v/>
      </c>
      <c r="GC274" t="str">
        <f t="shared" si="627"/>
        <v>основная</v>
      </c>
      <c r="GD274">
        <f>IF(AND(BP274=1,TRIM(AE274&amp;"")=""),IF(COUNTIFS(Линии[Щит],A274,Линии[Секция (1/2/3)],"&gt;=2")&gt;0,MIN(3,MAX(1,IFERROR(--BD274,1))),1),IFERROR(MIN(3,MAX(1,INT(--AE274))),1))</f>
        <v>1</v>
      </c>
      <c r="GE274" t="str" cm="1">
        <f t="array" ref="GE274">IF(B274="","",_xlfn.LET(_xlpm.t,IFERROR(_xlfn.XLOOKUP(1,(Шины[Шина]=GC274)*(((Шины[Щит]=A274)+(Шины[Щит]=""))&gt;0),Шины[Тип]),"")&amp;"",IF(_xlpm.t&lt;&gt;"",_xlpm.t,IF(ISNUMBER(SEARCH("ИБП",GC274)),"ИБП",IF(ISNUMBER(SEARCH("ДГУ",GC274)),"ДГУ","Ввод "&amp;GD274)))))</f>
        <v>Ввод 1</v>
      </c>
      <c r="GF274" t="str">
        <f t="shared" si="628"/>
        <v>Ввод 1</v>
      </c>
      <c r="GG274" t="str">
        <f>IF(BP274=0,"",IF(TRIM(AG274&amp;"")&lt;&gt;"",TRIM(AG274&amp;""),IF(OR(GE274="ИБП",GE274="ДГУ"),"I особая",_xlfn.XLOOKUP(A274,Щиты[Щит],Щиты[Категория шины «Ввод»],"III"))))</f>
        <v/>
      </c>
      <c r="GH274" t="str">
        <f>IF(A274="","",_xlfn.XLOOKUP(A274,Щиты[Щит],Щиты[Путь],""))</f>
        <v>|ГРЩ-ЖД|ЩР-1|</v>
      </c>
      <c r="GI274" t="str">
        <f>IF(B274="","",IF(AI274&lt;&gt;"",AI274,IF(IFERROR(_xlfn.XLOOKUP(BC274,Коды_код,Коды_вид)&amp;"","")="","Прочее",_xlfn.XLOOKUP(BC274,Коды_код,Коды_вид)&amp;"")))</f>
        <v>Розеточная сеть и бытовые приборы</v>
      </c>
      <c r="GJ274">
        <f>IF(BM274="","",INT((BM274-1)/Столбцов_на_лист)+1)</f>
        <v>4</v>
      </c>
      <c r="GK274" t="str">
        <f t="shared" si="629"/>
        <v>ВВГнг(А)-LS (5х4) L=42-1,1%</v>
      </c>
      <c r="GL274">
        <f t="shared" si="630"/>
        <v>7.36</v>
      </c>
      <c r="GM274">
        <f t="shared" si="631"/>
        <v>11.19</v>
      </c>
      <c r="GN274">
        <f t="shared" si="632"/>
        <v>3</v>
      </c>
      <c r="GO274">
        <f t="shared" si="633"/>
        <v>0</v>
      </c>
      <c r="GP274">
        <f t="shared" si="634"/>
        <v>1</v>
      </c>
      <c r="GQ274">
        <f>IF(BM274="","",IF(AND(CG274=1,GP274=1),COUNTIFS(A$3:A274,A274,CG$3:CG274,1,GP$3:GP274,1),IF(OR(OR(BA274=1,A274&lt;&gt;A273),AJ274="вручную",GP274=0),"",IF(BA274=1,"",GR273))))</f>
        <v>50</v>
      </c>
      <c r="GR274">
        <f t="shared" si="635"/>
        <v>50</v>
      </c>
      <c r="GS274">
        <f>IF(B274="","",IFERROR(LOOKUP(INDEX(CHOOSE(EB274,Iдоп_1ж,Iдоп_2ж,Iдоп_3ж),MATCH(EN274,Iдоп_S,0))*DZ274*EA274,{6,10,16,20,25,32,40,50,63,80,100,125,160,200,250,315,400,500,630}),""))</f>
        <v>32</v>
      </c>
      <c r="GT274" t="str">
        <f t="shared" si="636"/>
        <v>QFD50</v>
      </c>
      <c r="GU274" t="str">
        <f t="shared" si="637"/>
        <v>QFD50</v>
      </c>
      <c r="GV274" t="str">
        <f t="shared" si="638"/>
        <v/>
      </c>
      <c r="GW274">
        <f t="shared" si="639"/>
        <v>0</v>
      </c>
      <c r="GX274" t="str">
        <f>IF(OR(B274="",DJ274=""),"",IFERROR(_xlfn.XLOOKUP(DJ274,Модули_умолч[Управление],Модули_умолч[Модель])&amp;"",""))</f>
        <v/>
      </c>
      <c r="GY274">
        <f>IF(DJ274="",1,IFERROR(MAX(0,N(_xlfn.XLOOKUP(DJ274,Модули_умолч[Управление],Модули_умолч[Каналов на линию]))),1))</f>
        <v>1</v>
      </c>
      <c r="GZ274" t="str">
        <f t="shared" si="640"/>
        <v/>
      </c>
      <c r="HA274" t="str">
        <f t="shared" si="641"/>
        <v/>
      </c>
      <c r="HB274" t="str">
        <f t="shared" si="642"/>
        <v/>
      </c>
      <c r="HC274">
        <f>IF(HB274="",0,IFERROR(N(VLOOKUP(HB274,Модули_спр,3,FALSE)),0))</f>
        <v>0</v>
      </c>
      <c r="HD274" t="str">
        <f t="shared" si="643"/>
        <v/>
      </c>
      <c r="HE274" t="str">
        <f t="shared" si="644"/>
        <v/>
      </c>
      <c r="HF274" t="str">
        <f>IF(OR(HE274="",HE274="-"),"",IFERROR(VLOOKUP(HE274,Модули_спр,2,FALSE),"R"))</f>
        <v/>
      </c>
      <c r="HG274" t="str">
        <f>IF(HF274="","",HF274&amp;"."&amp;COUNTIFS(A$3:A274,A274,HF$3:HF274,HF274))</f>
        <v/>
      </c>
      <c r="HH274" t="str">
        <f t="shared" si="645"/>
        <v/>
      </c>
      <c r="HI274" t="str">
        <f t="shared" si="646"/>
        <v/>
      </c>
      <c r="HJ274" t="str">
        <f t="shared" si="647"/>
        <v/>
      </c>
      <c r="HK274" t="str">
        <f t="shared" si="648"/>
        <v/>
      </c>
      <c r="HL274">
        <f t="shared" si="649"/>
        <v>1</v>
      </c>
      <c r="HM274" t="str">
        <f>IF(HL274=1,"XT"&amp;COUNTIFS(A$3:A274,A274,HL$3:HL274,1),"")</f>
        <v>XT50</v>
      </c>
      <c r="HN274" t="str">
        <f t="shared" si="650"/>
        <v>XT50</v>
      </c>
      <c r="HO274" t="str">
        <f t="shared" si="651"/>
        <v>QFD50</v>
      </c>
      <c r="HP274" t="str">
        <f t="shared" si="652"/>
        <v/>
      </c>
      <c r="HQ274" t="str">
        <f t="shared" si="653"/>
        <v>ok</v>
      </c>
      <c r="HR274" t="str">
        <f>IF(OR(HJ274="",HH274=""),"",IF(HJ274+MAX(0,GY274-1)&gt;IFERROR(VLOOKUP(HI274,Модули_спр,3,FALSE),99),"ЛИШНИЙ КАНАЛ",IF(AND(AL274&lt;&gt;"=",GY274&gt;0,COUNTIFS(Линии[_модуль гр.],HH274,Линии[Канал (итог)],HJ274,Линии[Канал],"&lt;&gt;=",Линии[Щит],A274)&gt;1),"ДУБЛЬ КАНАЛА","")))</f>
        <v/>
      </c>
      <c r="HS274" s="6" t="str">
        <f t="shared" si="654"/>
        <v/>
      </c>
      <c r="HT274">
        <f t="shared" si="655"/>
        <v>10</v>
      </c>
      <c r="HU274" t="str">
        <f t="shared" si="656"/>
        <v/>
      </c>
      <c r="HV274">
        <f t="shared" si="657"/>
        <v>4.8929452434059435</v>
      </c>
      <c r="HW274">
        <f t="shared" si="658"/>
        <v>0</v>
      </c>
      <c r="HX274">
        <f t="shared" si="659"/>
        <v>0</v>
      </c>
      <c r="HY274">
        <f t="shared" si="660"/>
        <v>0</v>
      </c>
      <c r="HZ274">
        <f t="shared" si="661"/>
        <v>0</v>
      </c>
      <c r="IA274">
        <f t="shared" si="662"/>
        <v>0</v>
      </c>
      <c r="IB274">
        <f t="shared" si="663"/>
        <v>0</v>
      </c>
      <c r="IC274" t="str">
        <f t="shared" si="664"/>
        <v/>
      </c>
      <c r="ID274" t="str" cm="1">
        <f t="array" ref="ID274">IF(IC274="","",_xlfn.LET(_xlpm.tk,_xlfn.TEXTSPLIT(SUBSTITUTE(SUBSTITUTE(IC274,";"," "),"→"," ")," ",,TRUE),_xlpm.w_,_xlfn._xlws.FILTER(_xlpm.tk,ISNUMBER(--LEFT(_xlpm.tk,1))*((ISNUMBER(SEARCH("W",_xlpm.tk))+ISNUMBER(SEARCH("Вт",_xlpm.tk)))&gt;0),""),IFERROR(--SUBSTITUTE(SUBSTITUTE(UPPER(INDEX(_xlpm.w_,1)),"W",""),"ВТ",""),"")))</f>
        <v/>
      </c>
      <c r="IE274" t="str" cm="1">
        <f t="array" ref="IE274">IF(IC274="","",_xlfn.LET(_xlpm.tk,_xlfn.TEXTSPLIT(SUBSTITUTE(SUBSTITUTE(IC274,";"," "),"→"," ")," ",,TRUE),_xlpm.v_,_xlfn._xlws.FILTER(_xlpm.tk,ISNUMBER(--LEFT(_xlpm.tk,1))*((ISNUMBER(SEARCH("V",_xlpm.tk))+(RIGHT(UPPER(_xlpm.tk))="В"))&gt;0),""),IFERROR(--SUBSTITUTE(SUBSTITUTE(UPPER(INDEX(_xlpm.v_,1)),"V",""),"В",""),"")))</f>
        <v/>
      </c>
      <c r="IF274" s="6" t="str">
        <f>IF(OR(BV274=0,HI274="",HJ274=""),"",IFERROR(N(_xlfn.XLOOKUP(HI274,Каталог!$C$4:$C$500,Каталог!$Q$4:$Q$500)),""))</f>
        <v/>
      </c>
      <c r="IG274" s="6" t="str">
        <f>IF(N(IF274)=0,"",SUMIFS(Линии[Iр, А],Линии[Щит],A274,Линии[_модуль гр.],HH274,Линии[Канал (итог)],HJ274))</f>
        <v/>
      </c>
      <c r="IH274" t="str">
        <f>IF(AND(B274="",HO274=""),"",_xlfn.TEXTJOIN("; ",TRUE,IF(AND(B274&lt;&gt;"",FV274=""),"нет фазы",""),IF(AND(B274&lt;&gt;"",N(GL274)=0,FG274&lt;&gt;"Нет"),"нет мощности",""),IF(AND(HN274&lt;&gt;"",COUNTIFS(Линии[Щит],A274,Линии[Клемма (итог)],HN274)&gt;1),"дубль клеммы "&amp;HN274,""),IF(AND(HQ274&lt;&gt;"",HQ274&lt;&gt;"ok"),HQ274,""),IF(HR274&lt;&gt;"",HR274,""),IF(AND(N(CB274)&gt;=4,N(BX274)=1),CB274&amp;" жил на 1 фазе",""),IF(AND(BC274="R",CG274=1,IF(CS274&lt;&gt;"",N(CV274)&gt;30,OR(N(DA274)=0,N(DA274)&gt;30))),"розетка без дифзащиты до 30 мА",""),IF(AND(CG274=1,N(DA274)&gt;0,ISNUMBER(T274)),IF(T274&gt;N(DA274)/3,"ток утечки "&amp;FIXED(T274,1)&amp;" мА &gt; 1/3 уставки ("&amp;DA274&amp;" мА)",""),""),IF(AND(CH274=1,CS274=""),"«узо»: нет строки с УЗО выше (УЗО 2P 40А 30мА в «Аппаратах»)",""),IF(AND(CS274&lt;&gt;"",CS274=BA274),IF(CT274="","впишите номинал УЗО (УЗО 2P 40А 30мА)",IF(N(CT274)&lt;N(DT274),"УЗО "&amp;CT274&amp;" А &lt; автомата "&amp;DT274&amp;" А перед ним",IF(N(CT274)&lt;N(CX274),"УЗО "&amp;CT274&amp;" А &lt; тока блока "&amp;FIXED(CX274,1)&amp;" А",""))),""),IF(AND(CS274&lt;&gt;"",CS274=BA274,ISNUMBER(CY274)),IF(CY274&gt;N(CV274)/3,"ток утечки блока УЗО "&amp;FIXED(CY274,1)&amp;" мА &gt; 1/3 уставки ("&amp;CV274&amp;" мА)",""),""),IF(AND(CG274=1,N(BV274)+N(IB274)&gt;0,IC274=""),"линии до 50 В без БП: впишите в «Аппараты» (БП 24V 480W)",""),IF(AND(CG274=1,ISNUMBER(ID274),ISNUMBER(U274)),IF(U274&gt;ID274,"БП "&amp;ID274&amp;" Вт &lt; нужно "&amp;U274&amp;" Вт (×"&amp;Запас_БП&amp;")",""),""),IF(AND(CG274=1,ISNUMBER(IE274),N(BV274)=1),IF(IE274&lt;&gt;N(BU274),"БП на "&amp;IE274&amp;" В, линия "&amp;BU274&amp;" В",""),""),IF(AND(N(IF274)&gt;0,N(IG274)&gt;N(IF274)),HH274&amp;" канал "&amp;HJ274&amp;": "&amp;FIXED(IG274,1)&amp;" А &gt; "&amp;IF274&amp;" А",""),IFERROR(IF(AND(ISNUMBER(Q274),Q274&gt;EL274),"потери "&amp;FIXED(Q274,1)&amp;" % &gt; "&amp;EL274&amp;" %",""),""),IFERROR(IF(LEFT(HU274,4)="мало","Iкз мало — отключение &gt; 0,4 с",""),""),IF(AND(B274&lt;&gt;"",BM274=""),"не на схеме",""),IF(AND(CG274=0,B274&lt;&gt;"",FV274&lt;&gt;"",IF(BA274=1,"",FW273)&lt;&gt;"",FV274&lt;&gt;IF(BA274=1,"",FW273)),"фаза не как у автомата группы ("&amp;IF(BA274=1,"",FW273)&amp;")","")))</f>
        <v/>
      </c>
      <c r="II274" s="6" t="str">
        <f>IF(OR(CG274=0,DQ274=""),"",_xlfn.LET(_xlpm.t,IFERROR(_xlfn.XLOOKUP(DQ274,Каталог!$U$4:$U$500,Каталог!$G$4:$G$500),""),_xlpm.k,SEARCH("кА",_xlpm.t),IFERROR(--TRIM(RIGHT(SUBSTITUTE(MID(_xlpm.t,MAX(1,_xlpm.k-4),_xlpm.k-MAX(1,_xlpm.k-4))," ",REPT(" ",9)),5)),"")))</f>
        <v/>
      </c>
      <c r="IJ274" t="str">
        <f>IF(OR(II274="",CG274=0),"",IF(_xlfn.XLOOKUP(A274,Щиты[Щит],Щиты[Iкз max на шинах, кА],"")="","",IF(II274&lt;_xlfn.XLOOKUP(A274,Щиты[Щит],Щиты[Iкз max на шинах, кА]),"Icu "&amp;II274&amp;" кА &lt; Iкз max","ok")))</f>
        <v/>
      </c>
      <c r="IK274" t="str">
        <f t="shared" si="665"/>
        <v/>
      </c>
      <c r="IL274" t="str">
        <f t="shared" si="666"/>
        <v>QFD50|XT50</v>
      </c>
      <c r="IM274" t="str">
        <f t="shared" si="667"/>
        <v>QFD50|XT50|кабель ВВГнг(А)-LS (5х4) → Розеточная группа Первый этаж Пом. №021A Вывод на варочную панель</v>
      </c>
      <c r="IN274" t="str" cm="1">
        <f t="array" ref="IN274">IF(IM274="","",_xlfn.LET(_xlpm.nd,_xlfn.TEXTSPLIT(IM274,"|"),IF(COLUMNS(_xlpm.nd)&gt;1,A274&amp;"¦"&amp;INDEX(_xlpm.nd,1)&amp;"¦"&amp;INDEX(_xlpm.nd,2),"")))</f>
        <v>ЩР-1¦QFD50¦XT50</v>
      </c>
      <c r="IO274" t="str">
        <f t="shared" si="668"/>
        <v>R.1.021A.7¦Розеточная группа Первый этаж Пом. №021A Вывод на варочную панель</v>
      </c>
      <c r="IP274" t="str" cm="1">
        <f t="array" ref="IP274">IF(IM274="","",_xlfn.LET(_xlpm.nd,_xlfn.TEXTSPLIT(IM274,"|"),IF(COLUMNS(_xlpm.nd)&gt;2,A274&amp;"¦"&amp;INDEX(_xlpm.nd,2)&amp;"¦"&amp;INDEX(_xlpm.nd,3),"")))</f>
        <v>ЩР-1¦XT50¦кабель ВВГнг(А)-LS (5х4) → Розеточная группа Первый этаж Пом. №021A Вывод на варочную панель</v>
      </c>
      <c r="IQ274" t="str">
        <f t="shared" si="669"/>
        <v>R.1.021A.7¦Розеточная группа Первый этаж Пом. №021A Вывод на варочную панель</v>
      </c>
      <c r="IR274" t="str" cm="1">
        <f t="array" ref="IR274">IF(IM274="","",_xlfn.LET(_xlpm.nd,_xlfn.TEXTSPLIT(IM274,"|"),IF(COLUMNS(_xlpm.nd)&gt;3,A274&amp;"¦"&amp;INDEX(_xlpm.nd,3)&amp;"¦"&amp;INDEX(_xlpm.nd,4),"")))</f>
        <v/>
      </c>
      <c r="IS274" t="str">
        <f t="shared" si="670"/>
        <v/>
      </c>
      <c r="IT274" t="str" cm="1">
        <f t="array" ref="IT274">IF(IM274="","",_xlfn.LET(_xlpm.nd,_xlfn.TEXTSPLIT(IM274,"|"),IF(COLUMNS(_xlpm.nd)&gt;4,A274&amp;"¦"&amp;INDEX(_xlpm.nd,4)&amp;"¦"&amp;INDEX(_xlpm.nd,5),"")))</f>
        <v/>
      </c>
      <c r="IU274" t="str">
        <f t="shared" si="671"/>
        <v/>
      </c>
      <c r="IV274" t="str" cm="1">
        <f t="array" ref="IV274">IF(IM274="","",_xlfn.LET(_xlpm.nd,_xlfn.TEXTSPLIT(IM274,"|"),IF(COLUMNS(_xlpm.nd)&gt;5,A274&amp;"¦"&amp;INDEX(_xlpm.nd,5)&amp;"¦"&amp;INDEX(_xlpm.nd,6),"")))</f>
        <v/>
      </c>
      <c r="IW274" t="str">
        <f t="shared" si="672"/>
        <v/>
      </c>
      <c r="IX274" t="str" cm="1">
        <f t="array" ref="IX274">IF(IM274="","",_xlfn.LET(_xlpm.nd,_xlfn.TEXTSPLIT(IM274,"|"),IF(COLUMNS(_xlpm.nd)&gt;6,A274&amp;"¦"&amp;INDEX(_xlpm.nd,6)&amp;"¦"&amp;INDEX(_xlpm.nd,7),"")))</f>
        <v/>
      </c>
      <c r="IY274" t="str">
        <f t="shared" si="673"/>
        <v/>
      </c>
      <c r="IZ274" t="str">
        <f t="shared" si="674"/>
        <v/>
      </c>
      <c r="JA274" t="str">
        <f t="shared" si="675"/>
        <v>QFD50 → XT50</v>
      </c>
      <c r="JB274">
        <f t="shared" si="676"/>
        <v>0</v>
      </c>
      <c r="JC274">
        <f t="shared" si="677"/>
        <v>1</v>
      </c>
      <c r="JD274" t="str">
        <f t="shared" si="678"/>
        <v/>
      </c>
      <c r="JE274" t="str">
        <f t="shared" si="679"/>
        <v/>
      </c>
      <c r="JF274" t="str">
        <f t="shared" si="680"/>
        <v/>
      </c>
      <c r="JG274" t="str">
        <f t="shared" si="681"/>
        <v/>
      </c>
      <c r="JH274" t="str">
        <f>IF(B274="","",IFERROR(_xlfn.XLOOKUP(B274,Коды_код,Коды_уго),IFERROR(_xlfn.XLOOKUP(BC274,Коды_код,Коды_уго),IFERROR(_xlfn.XLOOKUP(LEFT(BC274,2),Коды_код,Коды_уго),""))))</f>
        <v>Розетка</v>
      </c>
      <c r="JI274" t="str">
        <f>IF(B274="","",IF(OR(JH274="",JH274=0),"BOX",IFERROR(IF(VLOOKUP(JH274,УГО_блоки,3,FALSE)&amp;""&lt;&gt;"",VLOOKUP(JH274,УГО_блоки,3,FALSE),VLOOKUP(JH274,УГО_блоки,2,FALSE)),JH274)))</f>
        <v>SOCKET</v>
      </c>
      <c r="JJ274">
        <f t="shared" si="682"/>
        <v>1</v>
      </c>
      <c r="JK274">
        <f>IF(DQ274="","",IF(COUNTIF(DQ$3:DQ274,DQ274)=1,MAX(JK$2:JK273)+1,""))</f>
        <v>19</v>
      </c>
      <c r="JL274" t="str">
        <f>IF(DE274="","",IF(COUNTIF(DE$3:DE274,DE274)+COUNTIF(DF$2:DF273,DE274)+COUNTIF(DG$2:DG273,DE274)=1,MAX(JL$2:JN273)+1,""))</f>
        <v/>
      </c>
      <c r="JM274" t="str">
        <f>IF(DF274="","",IF(COUNTIF(DE$3:DE274,DF274)+COUNTIF(DF$3:DF274,DF274)+COUNTIF(DG$2:DG273,DF274)=1,MAX(JL$2:JN273,JL274)+1,""))</f>
        <v/>
      </c>
      <c r="JN274" t="str">
        <f>IF(DG274="","",IF(COUNTIF(DE$3:DE274,DG274)+COUNTIF(DF$3:DF274,DG274)+COUNTIF(DG$3:DG274,DG274)=1,MAX(JL$2:JN273,JL274,JM274)+1,""))</f>
        <v/>
      </c>
      <c r="JO274" t="str">
        <f t="shared" si="683"/>
        <v>5х4</v>
      </c>
      <c r="JP274" t="str">
        <f>IF(JO274="","",IF(COUNTIF(JO$3:JO274,JO274)=1,MAX(JP$2:JP273)+1,""))</f>
        <v/>
      </c>
      <c r="JQ274" t="str">
        <f>IF(HG274="","",COUNTIF(HG$3:HG274,"?*"))</f>
        <v/>
      </c>
      <c r="JR274" t="str">
        <f>IF(OR(HG274="",HI274=""),"",IF(COUNTIFS(HG$3:HG274,"?*",HI$3:HI274,HI274)=1,MAX(JR$2:JR273)+1,""))</f>
        <v/>
      </c>
      <c r="JS274">
        <f t="shared" si="684"/>
        <v>0</v>
      </c>
      <c r="JT274">
        <f>IF(B274="","",COUNTIF(B$3:B274,"?*"))</f>
        <v>272</v>
      </c>
      <c r="JU274">
        <f>IF(HL274&lt;&gt;1,0,_xlfn.LET(_xlpm.k,MAX(IFERROR(--_xlfn.XLOOKUP(B274,Коды_код,Коды_3L),0),IFERROR(--_xlfn.XLOOKUP(BC274,Коды_код,Коды_3L),0),IFERROR(--_xlfn.XLOOKUP(LEFT(BC274,2),Коды_код,Коды_3L),0)),IF(_xlpm.k&gt;0,_xlpm.k,IF(IFERROR(--LEFT(SUBSTITUTE(JO274,"x","х"),FIND("х",SUBSTITUTE(JO274,"x","х"))-1),3)&gt;3,Каталог!$S$9,1))))</f>
        <v>1</v>
      </c>
      <c r="JV274">
        <f t="shared" si="685"/>
        <v>2</v>
      </c>
      <c r="JW274" t="str">
        <f t="shared" si="686"/>
        <v>авто</v>
      </c>
      <c r="JX274">
        <f t="shared" si="687"/>
        <v>30</v>
      </c>
      <c r="JY274">
        <f t="shared" si="688"/>
        <v>1</v>
      </c>
      <c r="JZ274">
        <f t="shared" si="689"/>
        <v>1</v>
      </c>
    </row>
    <row r="275" spans="1:286" x14ac:dyDescent="0.3">
      <c r="A275" t="s">
        <v>757</v>
      </c>
      <c r="B275" t="s">
        <v>1581</v>
      </c>
      <c r="C275" t="str">
        <f>Линии[[#This Row],[_авто наименование]]</f>
        <v>Розеточная группа, пом. 021A</v>
      </c>
      <c r="D275">
        <v>2</v>
      </c>
      <c r="E275">
        <v>0.18</v>
      </c>
      <c r="G275" t="str">
        <f>Линии[[#This Row],[_авто автомат]]</f>
        <v>2P С16А 30мА</v>
      </c>
      <c r="H275" t="str">
        <f>Линии[[#This Row],[_авто управление]]</f>
        <v/>
      </c>
      <c r="I275" t="str">
        <f>Линии[[#This Row],[_авто аппараты]]</f>
        <v/>
      </c>
      <c r="J275">
        <v>2.5</v>
      </c>
      <c r="K275">
        <v>54</v>
      </c>
      <c r="L275" t="str">
        <f>Линии[[#This Row],[_авто фаза]]</f>
        <v>L2</v>
      </c>
      <c r="M275" t="str">
        <f>Линии[[#This Row],[_авто клемма]]</f>
        <v>XT51</v>
      </c>
      <c r="N275" t="str">
        <f t="shared" si="552"/>
        <v/>
      </c>
      <c r="O275" s="6" cm="1">
        <f t="array" ref="O275">IF(B275="","",IF(BH275&lt;&gt;"",IFERROR(_xlfn.XLOOKUP(BH275,Щиты[Щит],Щиты[Iр, А]),""),IF(BP275=1,IF(OR(N(_xlfn.XLOOKUP(A275,Щиты[Щит],Щиты[Вводов],1))&lt;=1,LOWER(TRIM(_xlfn.XLOOKUP(A275,Щиты[Щит],Щиты[АВР],"")&amp;""))="да"),IFERROR(_xlfn.XLOOKUP(A275,Щиты[Щит],Щиты[Iр, А]),""),IFERROR(N(BS275)*_xlfn.XLOOKUP(A275,Щиты[Щит],Щиты[Кс итог])/(SQRT(3)*Uн_лин*_xlfn.XLOOKUP(A275,Щиты[Щит],Щиты[cos φ])),"")),IF(BV275=1,IFERROR(BS275*1000/BU275,""),IFERROR(_xlfn.IFS(BX275=1,BS275/((Uн_лин/SQRT(3))*CE275),BX275=3,BS275/(SQRT(3)*Uн_лин*CE275)),"")))))</f>
        <v>0.8204451193747313</v>
      </c>
      <c r="P275" s="7">
        <f>IF(B275="","",IFERROR(IF(VLOOKUP(BC275,Потребители_обозначение,4,FALSE)=1,VLOOKUP(BC275,Потребители_обозначение,3,FALSE)*(MAX(1,N(D275))*2-1)+EI275+VLOOKUP(BE275,Этаж_обозначение,3,FALSE)+VLOOKUP(BE275,Этаж_обозначение,4,FALSE),VLOOKUP(BC275,Потребители_обозначение,3,FALSE)*(MAX(1,N(D275))*2-1)+EI275),EI275))</f>
        <v>63</v>
      </c>
      <c r="Q275" s="6">
        <f t="shared" si="553"/>
        <v>1.58</v>
      </c>
      <c r="R275" t="str">
        <f t="shared" si="554"/>
        <v>ВВГнг(А)-LS (3х2,5)</v>
      </c>
      <c r="S275" t="str">
        <f>IF(BM275="","",IF(BN275="вводной узел","узел ","")&amp;"л."&amp;(INT((BM275-1)/Столбцов_на_лист)+1)&amp;" / "&amp;(MOD(BM275-1,Столбцов_на_лист)+1))</f>
        <v>л.4 / 14</v>
      </c>
      <c r="T275" s="119">
        <f t="shared" si="555"/>
        <v>1</v>
      </c>
      <c r="U275" s="7" t="str">
        <f>IF(OR(CG275=0,N(BV275)+N(IB275)=0),"",ROUNDUP(Запас_БП*(N(HY275)+N(HZ275)),0))</f>
        <v/>
      </c>
      <c r="V275" s="119" t="str">
        <f t="shared" si="556"/>
        <v/>
      </c>
      <c r="W275" s="7" t="str">
        <f>IFERROR(IF(OR(B275="",BP275=1,BV275=1,NOT(ISNUMBER(EN275)),N(DT275)=0),"",MAX(0,ROUNDDOWN((c_min*(Uн_лин*1000/SQRT(3))/(HT275*N(DT275))-_xlfn.XLOOKUP(A275,Щиты[Щит],Щиты[Zпетли на шинах, Ом]))*EN275/(2*ρкз_Cu),0))),"")</f>
        <v/>
      </c>
      <c r="Y275">
        <f>Линии[[#This Row],[_авто утечка]]</f>
        <v>30</v>
      </c>
      <c r="Z275">
        <v>1</v>
      </c>
      <c r="AA275">
        <v>230</v>
      </c>
      <c r="AB275" t="s">
        <v>562</v>
      </c>
      <c r="AG275" t="s">
        <v>810</v>
      </c>
      <c r="AI275" t="s">
        <v>561</v>
      </c>
      <c r="AK275" t="str">
        <f>Линии[[#This Row],[_авто модуль]]</f>
        <v/>
      </c>
      <c r="AM275">
        <v>65</v>
      </c>
      <c r="AN275" t="s">
        <v>11</v>
      </c>
      <c r="AO275">
        <v>3</v>
      </c>
      <c r="AQ275">
        <v>20</v>
      </c>
      <c r="AR275">
        <v>29</v>
      </c>
      <c r="AS275">
        <v>14</v>
      </c>
      <c r="BA275" cm="1">
        <f t="array" ref="BA275">ROW()-ROW(Линии[#Headers])</f>
        <v>273</v>
      </c>
      <c r="BC275" s="6" t="str">
        <f t="shared" si="557"/>
        <v>R</v>
      </c>
      <c r="BD275" t="str">
        <f t="shared" si="558"/>
        <v>1.021A.8</v>
      </c>
      <c r="BE275" t="str">
        <f t="shared" si="559"/>
        <v>1</v>
      </c>
      <c r="BF275" t="str">
        <f t="shared" si="560"/>
        <v>021A.8</v>
      </c>
      <c r="BG275" t="str">
        <f t="shared" si="561"/>
        <v>021A</v>
      </c>
      <c r="BH275" t="str">
        <f>IF(X275&lt;&gt;"",X275,IF(AND(B275&lt;&gt;"",B275&lt;&gt;A275,ISNUMBER(_xlfn.XMATCH(B275,Щиты[Щит]))),B275,""))</f>
        <v/>
      </c>
      <c r="BI275" t="str" cm="1">
        <f t="array" ref="BI275">IF(B275="","",IF(BH275&lt;&gt;"","Щит "&amp;BH275,_xlfn.LET(_xlpm.nm,IFERROR(_xlfn.XLOOKUP(BC275,Коды_код,Коды_имя)&amp;"",""),_xlpm.md,IFERROR(N(_xlfn.XLOOKUP(BC275,Коды_код,Коды_режим)),1),_xlpm.ex,IF(Имя_режим="по экспликации",IFERROR(_xlfn.XLOOKUP(BE275&amp;"|"&amp;BG275,Экспликация[Этаж]&amp;"|"&amp;Экспликация[Помещение],Экспликация[Название])&amp;"",""),""),_xlpm.rm,IF(BG275="","",IF(_xlpm.ex&lt;&gt;"",". "&amp;_xlpm.ex&amp;IF(Имя_пом="нет"," ("&amp;BG275&amp;")"," (пом. "&amp;BG275&amp;")"),IF(Имя_пом="нет"," ",", пом. ")&amp;BG275)),IF(_xlpm.nm="","",IF(_xlpm.md=2,_xlpm.nm&amp;" шлейф "&amp;BE275,_xlpm.nm&amp;_xlpm.rm)))))</f>
        <v>Розеточная группа, пом. 021A</v>
      </c>
      <c r="BJ275" t="str">
        <f t="shared" si="562"/>
        <v>Розеточная группа, пом. 021A</v>
      </c>
      <c r="BK275">
        <f>IFERROR(_xlfn.XMATCH(A275,Щиты[Щит]),0)</f>
        <v>10</v>
      </c>
      <c r="BL275">
        <f>_xlfn.LET(_xlpm.k,IFERROR(_xlfn.XLOOKUP(A275,Щиты[Щит],Щиты[Мест под вводной узел]),""),IF(_xlpm.k="",Столбцов_на_лист,N(_xlpm.k)))</f>
        <v>8</v>
      </c>
      <c r="BM275">
        <f t="shared" si="563"/>
        <v>65</v>
      </c>
      <c r="BN275" t="str">
        <f t="shared" si="564"/>
        <v>линии</v>
      </c>
      <c r="BO275" s="6">
        <f>IFERROR(N(_xlfn.XLOOKUP(BC275,Коды_код,Коды_квт)),0)</f>
        <v>0</v>
      </c>
      <c r="BP275">
        <f t="shared" si="565"/>
        <v>0</v>
      </c>
      <c r="BQ275" t="str">
        <f>IF(B275="","",IF(BH275&lt;&gt;"",IFERROR(_xlfn.XLOOKUP(BH275,Щиты[Щит],Щиты[Руст, кВт]),0),IF(BP275=1,IF(OR(N(_xlfn.XLOOKUP(A275,Щиты[Щит],Щиты[Вводов],1))&lt;=1,LOWER(TRIM(_xlfn.XLOOKUP(A275,Щиты[Щит],Щиты[АВР],"")&amp;""))="да"),IFERROR(_xlfn.XLOOKUP(A275,Щиты[Щит],Щиты[Руст, кВт]),0),SUMIFS(Линии[_Р для вводов],Линии[Щит],A275,Линии[Источник для режимов],GF275)),IF(BO275&gt;0,ROUND(BO275*MAX(1,N(D275)),3),""))))</f>
        <v/>
      </c>
      <c r="BR275">
        <f t="shared" si="566"/>
        <v>0.18</v>
      </c>
      <c r="BS275" s="6">
        <f>IF(B275="","",IF(BH275&lt;&gt;"",IFERROR(_xlfn.XLOOKUP(BH275,Щиты[Щит],Щиты[Руст, кВт]),0),N(BR275)))</f>
        <v>0.18</v>
      </c>
      <c r="BT275" t="str">
        <f>IF(B275="","",IFERROR(IF(VLOOKUP(BC275,Потребители_обозначение,8,FALSE)=0,"",VLOOKUP(BC275,Потребители_обозначение,8,FALSE)),""))</f>
        <v/>
      </c>
      <c r="BU275">
        <f t="shared" si="567"/>
        <v>230</v>
      </c>
      <c r="BV275">
        <f t="shared" si="568"/>
        <v>0</v>
      </c>
      <c r="BW275">
        <f>IF(B275="","",IF(BH275&lt;&gt;"",3,IFERROR(IF(N(VLOOKUP(BC275,Потребители_обозначение,9,FALSE))=0,1,VLOOKUP(BC275,Потребители_обозначение,9,FALSE)),1)))</f>
        <v>1</v>
      </c>
      <c r="BX275">
        <f t="shared" si="569"/>
        <v>1</v>
      </c>
      <c r="BY275" t="str">
        <f>IF(B275="","",_xlfn.LET(_xlpm.bc,IFERROR(IF(VLOOKUP(BC275,Потребители_обозначение,6,FALSE)=0,"",VLOOKUP(BC275,Потребители_обозначение,6,FALSE)&amp;""),""),IF(AND(GA275="да",OR(_xlpm.bc="",_xlpm.bc="мс")),Марка_пож,IF(AND(_xlpm.bc="",BH275&lt;&gt;""),"мс",_xlpm.bc))))</f>
        <v/>
      </c>
      <c r="BZ275" t="str">
        <f t="shared" si="570"/>
        <v>мс</v>
      </c>
      <c r="CA275">
        <f>IF(B275="","",_xlfn.LET(_xlpm.cc,IFERROR(N(VLOOKUP(BC275,Потребители_обозначение,7,FALSE)),0),IF(_xlpm.cc&gt;0,_xlpm.cc,IF(BZ275="","",IF(BV275=1,2,IF(N(BX275)=3,5,3))))))</f>
        <v>3</v>
      </c>
      <c r="CB275">
        <f t="shared" si="571"/>
        <v>3</v>
      </c>
      <c r="CC275">
        <f>IFERROR(N(VLOOKUP(BC275,Потребители_обозначение,10,FALSE)),0)</f>
        <v>0</v>
      </c>
      <c r="CD275">
        <f>IFERROR(VLOOKUP(BC275,Потребители_обозначение,5,FALSE),0)</f>
        <v>1</v>
      </c>
      <c r="CE275" s="6" cm="1">
        <f t="array" ref="CE275">IF(B275="","",IF(BH275&lt;&gt;"",IFERROR(_xlfn.XLOOKUP(BH275,Щиты[Щит],Щиты[cos φ]),0.95),IF(BP275=1,IFERROR(_xlfn.XLOOKUP(A275,Щиты[Щит],Щиты[cos φ]),0.95),IF(ISNUMBER(AD275),AD275,IFERROR(IF(CD275=2,_xlfn.IFS(BX275=3,VLOOKUP(BS275,Справочная_двигатели,8,FALSE),BX275=1,VLOOKUP(BS275,Справочная_двигатели,10,TRUE)),IF(AND(Методика="нормы 2026",FG275="Сил"),0.8,0.95)),0.95)))))</f>
        <v>0.95</v>
      </c>
      <c r="CF275">
        <f t="shared" si="572"/>
        <v>0</v>
      </c>
      <c r="CG275">
        <f t="shared" si="573"/>
        <v>1</v>
      </c>
      <c r="CH275">
        <f t="shared" si="574"/>
        <v>0</v>
      </c>
      <c r="CI275">
        <f>IF(B275="","",IF(BV275=1,IFERROR(BS275/((Uн_лин/SQRT(3))*MAX(0.5,N(CE275))),0),N(O275)))</f>
        <v>0.8204451193747313</v>
      </c>
      <c r="CJ275">
        <f t="shared" si="575"/>
        <v>0</v>
      </c>
      <c r="CK275">
        <f t="shared" si="576"/>
        <v>0</v>
      </c>
      <c r="CL275">
        <f t="shared" si="577"/>
        <v>0</v>
      </c>
      <c r="CM275">
        <f t="shared" si="578"/>
        <v>0</v>
      </c>
      <c r="CN275">
        <f t="shared" si="579"/>
        <v>0</v>
      </c>
      <c r="CO275">
        <f>IF(BC275="",0,_xlfn.LET(_xlpm.v,IFERROR(_xlfn.XLOOKUP(B275,Коды_код,Коды_мА),IFERROR(_xlfn.XLOOKUP(BC275,Коды_код,Коды_мА),IFERROR(_xlfn.XLOOKUP(LEFT(BC275,2),Коды_код,Коды_мА),""))),IF(_xlpm.v="да",30,IF(ISNUMBER(_xlpm.v),_xlpm.v,0))))</f>
        <v>30</v>
      </c>
      <c r="CP275">
        <f t="shared" si="580"/>
        <v>30</v>
      </c>
      <c r="CQ275" t="str">
        <f>_xlfn.LET(_xlpm.k,IFERROR(_xlfn.XLOOKUP(BC275,Коды_код,Коды_утечка)&amp;"",""),IF(_xlpm.k="","дифавтомат",_xlpm.k))</f>
        <v>дифавтомат</v>
      </c>
      <c r="CR275" t="str" cm="1">
        <f t="array" ref="CR275">IF(CG275=0,"",_xlfn.LET(_xlpm.sg,TRIM(_xlfn.TEXTSPLIT(DD275&amp;"",";")),_xlpm.f_,_xlfn._xlws.FILTER(_xlpm.sg,LEFT(_xlpm.sg,3)="УЗО",""),IFERROR(INDEX(_xlpm.f_,1)&amp;"","")))</f>
        <v/>
      </c>
      <c r="CS275" t="str">
        <f t="shared" si="581"/>
        <v/>
      </c>
      <c r="CT275" s="6" t="str" cm="1">
        <f t="array" ref="CT275">IF(CR275="","",_xlfn.LET(_xlpm.tk,_xlfn.TEXTSPLIT(UPPER(CR275)," ",,TRUE),_xlpm.a_,_xlfn._xlws.FILTER(_xlpm.tk,ISNUMBER(--LEFT(_xlpm.tk,1))*((ISNUMBER(SEARCH("А",_xlpm.tk))+ISNUMBER(SEARCH("A",_xlpm.tk)))&gt;0)*NOT(ISNUMBER(SEARCH("МА",_xlpm.tk)))*NOT(ISNUMBER(SEARCH("MA",_xlpm.tk))),""),IFERROR(--SUBSTITUTE(SUBSTITUTE(INDEX(_xlpm.a_,1),"А",""),"A",""),"")))</f>
        <v/>
      </c>
      <c r="CU275" t="str" cm="1">
        <f t="array" ref="CU275">IF(CR275="","",_xlfn.LET(_xlpm.tk,_xlfn.TEXTSPLIT(UPPER(CR275)," ",,TRUE),_xlpm.a_,_xlfn._xlws.FILTER(_xlpm.tk,ISNUMBER(--LEFT(_xlpm.tk,1))*((ISNUMBER(SEARCH("МА",_xlpm.tk))+ISNUMBER(SEARCH("MA",_xlpm.tk)))&gt;0),""),IFERROR(--SUBSTITUTE(SUBSTITUTE(INDEX(_xlpm.a_,1),"МА",""),"MA",""),30)))</f>
        <v/>
      </c>
      <c r="CV275" t="str">
        <f>IF(CS275="","",IFERROR(_xlfn.XLOOKUP(CS275,Линии[_n],Линии[_УЗО, мА]),30))</f>
        <v/>
      </c>
      <c r="CW275">
        <f>IF(CS275="",0,IF(ISNUMBER(SEARCH("4P",IFERROR(_xlfn.XLOOKUP(CS275,Линии[_n],Линии[_УЗО строки])&amp;"",""))),0,1))</f>
        <v>0</v>
      </c>
      <c r="CX275" t="str">
        <f>IF(AND(CS275&lt;&gt;"",CS275=BA275),SUMIFS(Линии[_ток на 230 В],Линии[_блок УЗО],BA275,Линии[Щит],A275),"")</f>
        <v/>
      </c>
      <c r="CY275" t="str">
        <f>IF(AND(CS275&lt;&gt;"",CS275=BA275),SUMIFS(Линии[_ток утечки линии, мА],Линии[_блок УЗО],BA275,Линии[Щит],A275),"")</f>
        <v/>
      </c>
      <c r="CZ275">
        <f t="shared" si="582"/>
        <v>30</v>
      </c>
      <c r="DA275">
        <f t="shared" si="583"/>
        <v>30</v>
      </c>
      <c r="DB275">
        <f>IF(B275="",0,IFERROR(--_xlfn.XLOOKUP(B275,Коды_код,Коды_минавт),IFERROR(--_xlfn.XLOOKUP(BC275,Коды_код,Коды_минавт),IFERROR(--_xlfn.XLOOKUP(LEFT(BC275,2),Коды_код,Коды_минавт),0))))</f>
        <v>16</v>
      </c>
      <c r="DC275" t="str">
        <f>IF(B275="","",IFERROR(_xlfn.XLOOKUP(BC275,Коды_код,Коды_апп)&amp;"",""))</f>
        <v/>
      </c>
      <c r="DD275" t="str">
        <f t="shared" si="584"/>
        <v/>
      </c>
      <c r="DE275" t="str" cm="1">
        <f t="array" ref="DE275">IF(TRIM(DD275&amp;"")="","",IFERROR(TRIM(INDEX(_xlfn.TEXTSPLIT(DD275&amp;";;;",";"),1)),""))</f>
        <v/>
      </c>
      <c r="DF275" t="str" cm="1">
        <f t="array" ref="DF275">IF(TRIM(DD275&amp;"")="","",IFERROR(TRIM(INDEX(_xlfn.TEXTSPLIT(DD275&amp;";;;",";"),2)),""))</f>
        <v/>
      </c>
      <c r="DG275" t="str" cm="1">
        <f t="array" ref="DG275">IF(TRIM(DD275&amp;"")="","",IFERROR(TRIM(INDEX(_xlfn.TEXTSPLIT(DD275&amp;";;;",";"),3)),""))</f>
        <v/>
      </c>
      <c r="DH275">
        <f t="shared" si="585"/>
        <v>0</v>
      </c>
      <c r="DI275" t="str">
        <f>IF(B275="","",_xlfn.LET(_xlpm.t,LOWER(AZ275&amp;""),IF(ISNUMBER(SEARCH("dim",_xlpm.t)),"DIM",IF(ISNUMBER(SEARCH("dali",_xlpm.t)),"DALI",IF(OR(ISNUMBER(SEARCH("relay",_xlpm.t)),ISNUMBER(SEARCH("реле",_xlpm.t))),"Relay",IF(ISNUMBER(SEARCH("кнопк",_xlpm.t)),"",IFERROR(_xlfn.XLOOKUP(BC275,Коды_код,Коды_упр)&amp;"","")))))))</f>
        <v/>
      </c>
      <c r="DJ275" t="str">
        <f t="shared" si="586"/>
        <v/>
      </c>
      <c r="DK275">
        <f>IF(B275="","",_xlfn.LET(_xlpm.ig,IF(N(CX275)&gt;0,N(CX275),N(CI275)+IF(AJ275="вручную",0,N(CJ275))),_xlpm.n0,IFERROR(VLOOKUP(_xlpm.ig,Автомат_номиналы,2,TRUE),0),_xlpm.mn,MAX(DB275,IF(AJ275="вручную",0,N(CM275))),MAX(_xlpm.n0,_xlpm.mn,IF(DH275=1,Мин_автомат_БП,0))))</f>
        <v>16</v>
      </c>
      <c r="DL275">
        <f t="shared" si="587"/>
        <v>1</v>
      </c>
      <c r="DM275" t="str">
        <f t="shared" si="588"/>
        <v>2P</v>
      </c>
      <c r="DN275" t="str">
        <f>_xlfn.LET(_xlpm.cc,UPPER(TRIM(IFERROR(_xlfn.XLOOKUP(BC275,Коды_код,Коды_хар)&amp;"",""))),IF(OR(_xlpm.cc="B",_xlpm.cc="В"),"B",IF(_xlpm.cc="D","D","С")))</f>
        <v>С</v>
      </c>
      <c r="DO275" t="str">
        <f t="shared" si="589"/>
        <v>2P С16А 30мА</v>
      </c>
      <c r="DP275" t="str">
        <f t="shared" si="590"/>
        <v>2P С16А 30мА</v>
      </c>
      <c r="DQ275" t="str">
        <f t="shared" si="591"/>
        <v>2P С16А 30мА</v>
      </c>
      <c r="DR275" cm="1">
        <f t="array" ref="DR275">IF(DQ275="","",_xlfn.LET(_xlpm.t,SUBSTITUTE(SUBSTITUTE(SUBSTITUTE(UPPER(DQ275),"С","C"),"А","A"),"В","B"),_xlpm.tk,_xlfn.TEXTSPLIT(_xlpm.t," "),_xlpm.f,_xlfn._xlws.FILTER(_xlpm.tk,ISNUMBER(--MID(_xlpm.tk,2,1))*ISNUMBER(SEARCH(LEFT(_xlpm.tk,1)&amp;"#","B#C#D#"))*(LEN(_xlpm.tk)&gt;1),""),_xlpm.x,INDEX(_xlpm.f,1),IFERROR(--SUBSTITUTE(MID(_xlpm.x,2,9),"A",""),IFERROR(--SUBSTITUTE(INDEX(_xlfn._xlws.FILTER(_xlpm.tk,ISNUMBER(--SUBSTITUTE(_xlpm.tk,"A","")),""),1),"A",""),""))))</f>
        <v>16</v>
      </c>
      <c r="DS275" t="str">
        <f t="shared" si="592"/>
        <v>ok</v>
      </c>
      <c r="DT275">
        <f t="shared" si="593"/>
        <v>16</v>
      </c>
      <c r="DU275" t="str">
        <f t="shared" si="594"/>
        <v>2P С16А 30мА</v>
      </c>
      <c r="DV275">
        <f t="shared" si="595"/>
        <v>30</v>
      </c>
      <c r="DW275">
        <f t="shared" si="596"/>
        <v>1</v>
      </c>
      <c r="DX275">
        <f t="shared" si="597"/>
        <v>0</v>
      </c>
      <c r="DY275">
        <f t="shared" si="598"/>
        <v>0.8204451193747313</v>
      </c>
      <c r="DZ275">
        <f t="shared" si="599"/>
        <v>1</v>
      </c>
      <c r="EA275">
        <f>IF(ISNUMBER(AP275),AP275,К_прокл)</f>
        <v>1</v>
      </c>
      <c r="EB275">
        <f t="shared" si="600"/>
        <v>2</v>
      </c>
      <c r="EC275">
        <f>IFERROR(N(VLOOKUP(BZ275,Кабель_обозначение,3,FALSE)),1)</f>
        <v>1</v>
      </c>
      <c r="ED275">
        <f>IFERROR(N(_xlfn.XLOOKUP(A275,Щиты[Щит],Щиты[ΔU до шин, %])),0)</f>
        <v>1.19</v>
      </c>
      <c r="EE275" t="str">
        <f>IFERROR(_xlfn.XLOOKUP(A275,Щиты[Щит],Щиты[Zпетли на шинах, Ом]),"")</f>
        <v/>
      </c>
      <c r="EF275">
        <f>IFERROR(N(_xlfn.XLOOKUP(A275,Щиты[Щит],Щиты[ΔU до шин (подбор), %])),0)</f>
        <v>1.19</v>
      </c>
      <c r="EG275" t="str">
        <f>IFERROR(_xlfn.XLOOKUP(A275,Щиты[Щит],Щиты[Zпетли на шинах (подбор), Ом]),"")</f>
        <v/>
      </c>
      <c r="EH275" t="str">
        <f t="shared" si="601"/>
        <v/>
      </c>
      <c r="EI275">
        <f t="shared" si="602"/>
        <v>54</v>
      </c>
      <c r="EJ275">
        <f t="shared" si="603"/>
        <v>2</v>
      </c>
      <c r="EK275">
        <f t="shared" si="604"/>
        <v>0.31</v>
      </c>
      <c r="EL275" s="6">
        <f>IF(B275="","",IF(BV275=1,dU_LED,IF(IFERROR(_xlfn.XLOOKUP(BC275,Коды_код,Коды_уго),"")="Светильник",3,4)+IF(Методика="нормы 2026",MIN(0.5,MAX(0,N(P275)-100)*0.005),0)))</f>
        <v>4</v>
      </c>
      <c r="EM275" cm="1">
        <f t="array" ref="EM275">IF(OR(B275="",BZ275="",EC275&lt;&gt;1),"",_xlfn.LET(_xlpm.sz,Iдоп_S,_xlpm.t_,CHOOSE(EB275,Iдоп_1ж,Iдоп_2ж,Iдоп_3ж)*DZ275*EA275,_xlpm.dcx,BV275=1,_xlpm.inn,IF(_xlpm.dcx,N(O275),N(DT275)),_xlpm.smin,MAX(1.5,CC275),_xlpm.L_,N(P275)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275)/N(BU275)*100,999),IFERROR(N(EJ275)*(_xlpm.rho*_xlpm.L_/_xlpm.sz*N(CE275)+_xlpm.xx*_xlpm.L_*N(EK275)/1000)*N(O275)/((Uн_лин/SQRT(3))*1000)*100,999)),_xlpm.kz,IF(OR(_xlpm.dcx,DW275=1,NOT(ISNUMBER(EG275)),_xlpm.L_=0,_xlpm.inn=0),1,IFERROR(--(c_min*(Uн_лин*1000/SQRT(3))/(EG275+2*ρкз_Cu*_xlpm.L_/_xlpm.sz)&gt;=HT275*_xlpm.inn),0)),_xlpm.ok,IFERROR((_xlpm.sz&gt;=_xlpm.smin)*(_xlpm.t_&gt;=_xlpm.inn)*IF(_xlpm.L_&gt;0,(_xlpm.du_+IF(_xlpm.dcx,0,EF275)&lt;=EL275+0.00001),1)*_xlpm.kz,0),_xlpm.r_,_xlfn._xlws.FILTER(_xlpm.sz,_xlpm.ok,"не подобрано"),INDEX(_xlpm.r_,1)))</f>
        <v>1.5</v>
      </c>
      <c r="EN275">
        <f t="shared" si="605"/>
        <v>2.5</v>
      </c>
      <c r="EO275" cm="1">
        <f t="array" ref="EO275">IF(OR(B275="",BZ275="",EC275&lt;&gt;1),"",_xlfn.LET(_xlpm.sz,Iдоп_S,_xlpm.t_,CHOOSE(EB275,Iдоп_1ж,Iдоп_2ж,Iдоп_3ж)*DZ275*EA275,_xlpm.ok,IFERROR((_xlpm.sz&gt;=MAX(1.5,CC275))*(_xlpm.t_&gt;=N(DT275)),0),_xlpm.r_,_xlfn._xlws.FILTER(_xlpm.sz,_xlpm.ok,""),INDEX(_xlpm.r_,1)))</f>
        <v>1.5</v>
      </c>
      <c r="EP275" s="6" cm="1">
        <f t="array" ref="EP275">IFERROR(ROUNDUP(N(EJ275)*(_xlfn.XLOOKUP(EO275,INDEX(Кабель_сопротивление,0,1),INDEX(Кабель_сопротивление,0,3))*N(P275)/EO275*N(CE275)+_xlfn.XLOOKUP(EO275,INDEX(Кабель_сопротивление,0,1),INDEX(Кабель_сопротивление,0,2))*N(P275)*N(EK275)/1000)*N(O275)/((Uн_лин/SQRT(3))*1000)*100,2),"")</f>
        <v>0.64</v>
      </c>
      <c r="EQ275">
        <f>IFERROR(2*ρкз_Cu*N(P275)/EO275,"")</f>
        <v>2.2092000000000001</v>
      </c>
      <c r="ER275">
        <f>IFERROR(VLOOKUP(EN275,Кабель_сопротивление,3,FALSE),"")</f>
        <v>2.2499999999999999E-2</v>
      </c>
      <c r="ES275">
        <f>IFERROR(VLOOKUP(EN275,Кабель_сопротивление,2,FALSE),"")</f>
        <v>0.1</v>
      </c>
      <c r="ET275">
        <f t="shared" si="606"/>
        <v>29</v>
      </c>
      <c r="EU275">
        <f t="shared" si="607"/>
        <v>14</v>
      </c>
      <c r="EV275">
        <f t="shared" si="608"/>
        <v>0.88707018573867569</v>
      </c>
      <c r="EW275" s="6">
        <f>IFERROR(ROUNDUP(EV275/IF(BV275=1,BU275,(Uн_лин/SQRT(3))*1000)*100,2),"")</f>
        <v>0.39</v>
      </c>
      <c r="EX275" t="str">
        <f>IFERROR(VLOOKUP(BZ275,Кабель_обозначение,2,FALSE),"")</f>
        <v>ВВГнг(А)-LS</v>
      </c>
      <c r="EY275" t="str">
        <f t="shared" si="609"/>
        <v>ВВГнг(А)-LS (3х2,5)</v>
      </c>
      <c r="EZ275" t="str">
        <f t="shared" si="610"/>
        <v>ВВГнг(А)-LS (3х2,5)
L=63-0,39%</v>
      </c>
      <c r="FA275">
        <f>IFERROR(2*ρкз_Cu*P275/EN275,"")</f>
        <v>1.32552</v>
      </c>
      <c r="FB275">
        <f t="shared" si="611"/>
        <v>0.441</v>
      </c>
      <c r="FC275" s="6" t="str">
        <f>IFERROR(IF(OR(B275="",BV275=1,NOT(ISNUMBER(EN275)),N(P275)=0),"",_xlfn.XLOOKUP(A275,Щиты[Щит],Щиты[Zпетли на шинах, Ом])+FA275),"")</f>
        <v/>
      </c>
      <c r="FD275" s="6" t="str">
        <f>IF(ISNUMBER(FC275),c_min*(Uн_лин*1000/SQRT(3))/FC275,"")</f>
        <v/>
      </c>
      <c r="FE275" s="6" t="str">
        <f>IFERROR(IF(OR(B275="",NOT(ISNUMBER(EN275))),"",1.05*(Uн_лин*1000/SQRT(3))/(_xlfn.XLOOKUP(A275,Щиты[Щит],Щиты[Zmax на шинах, Ом])+FB275)/1000),"")</f>
        <v/>
      </c>
      <c r="FF275" s="6" t="str">
        <f>IF(B275="","",IF(ISNUMBER(AC275),"Сил",IF(IFERROR(_xlfn.XLOOKUP(BC275,Коды_код,Коды_группа)&amp;"","")="","Быт",_xlfn.XLOOKUP(BC275,Коды_код,Коды_группа)&amp;"")))</f>
        <v>Быт</v>
      </c>
      <c r="FG275" s="6" t="str">
        <f t="shared" si="612"/>
        <v>Быт</v>
      </c>
      <c r="FH275" s="6">
        <f>IF(FG275="Щит","щит",IF(FG275="","",IF(FG275="Быт",IFERROR(_xlfn.XLOOKUP(A275,Щиты[Щит],Щиты[Кс быт]),1),IF(FG275="Сил",IF(ISNUMBER(AC275),AC275,IF(Методика="нормы 2026",IFERROR(_xlfn.XLOOKUP(A275,Щиты[Щит],Щиты[Кс силовых (табл. 7.5)]),1),1)),IF(OR(FG275="Пост",FG275="Отоп"),1,IF(FG275="ВНГ",0.7,0))))))</f>
        <v>0.57830000000000004</v>
      </c>
      <c r="FI275">
        <f>IF(FG275="","",IF(AND(BP275=1,TRIM(AE275&amp;"")=""),IF(COUNTIFS(Линии[Щит],A275,Линии[Секция (1/2/3)],"&gt;=2")&gt;0,MIN(3,MAX(1,IFERROR(--BD275,1))),1),IFERROR(MIN(3,MAX(1,INT(--AE275))),1)))</f>
        <v>1</v>
      </c>
      <c r="FJ275">
        <f t="shared" si="613"/>
        <v>0.18</v>
      </c>
      <c r="FK275">
        <f t="shared" si="614"/>
        <v>0.18</v>
      </c>
      <c r="FL275">
        <f t="shared" si="615"/>
        <v>0</v>
      </c>
      <c r="FM275">
        <f t="shared" si="616"/>
        <v>0</v>
      </c>
      <c r="FN275">
        <f t="shared" si="617"/>
        <v>0</v>
      </c>
      <c r="FO275">
        <f t="shared" si="618"/>
        <v>0</v>
      </c>
      <c r="FP275">
        <f t="shared" si="619"/>
        <v>0.18</v>
      </c>
      <c r="FQ275">
        <f t="shared" si="620"/>
        <v>0.18</v>
      </c>
      <c r="FR275">
        <f t="shared" si="621"/>
        <v>0.17099999999999999</v>
      </c>
      <c r="FS275">
        <f>IF(CG275=1,IF(AND(CH275=1,CW275=1),0,IF(AND(CS275&lt;&gt;"",CS275=BA275,CW275=1),SUMIFS(Линии[_Р линии, кВт],Линии[_блок УЗО],BA275,Линии[Щит],A275),N(BS275)+IF(AJ275="вручную",0,N(CK275)))),0)</f>
        <v>0.18</v>
      </c>
      <c r="FT275" t="str">
        <f t="shared" si="622"/>
        <v/>
      </c>
      <c r="FU275" t="str">
        <f>IF(B275="","",IF(CG275=0,IF(BA275=1,"",FW274),IF(AND(CH275=1,CW275=1,CS275&lt;&gt;""),IFERROR(_xlfn.XLOOKUP(CS275,Линии[_n],Линии[_фаза итог]),"L1"),IF(OR(N(DL275)&gt;=3,N(BX275)&gt;=3),"L1,L2,L3",IFERROR(_xlfn.TEXTBEFORE(_xlfn.TEXTAFTER(_xlfn.XLOOKUP(A275,Щиты[Щит],Щиты[_фазы авто]),";"&amp;BA275&amp;":"),";"),"L1")))))</f>
        <v>L2</v>
      </c>
      <c r="FV275" t="str">
        <f t="shared" si="623"/>
        <v>L2</v>
      </c>
      <c r="FW275" t="str">
        <f t="shared" si="624"/>
        <v>L2</v>
      </c>
      <c r="FX275" cm="1">
        <f t="array" ref="FX275">IFERROR(IF(CD275=2,_xlfn.IFS(BX275=3,VLOOKUP(BS275,Справочная_двигатели,3,FALSE),BX275=1,VLOOKUP(BS275,Справочная_двигатели,5,TRUE)),0),0)</f>
        <v>0</v>
      </c>
      <c r="FY275">
        <f>IFERROR(IF(CD275=3,VLOOKUP(BS275,Справочная_ЛЭД,2,TRUE),0),0)</f>
        <v>0</v>
      </c>
      <c r="FZ275" s="6">
        <f t="shared" si="625"/>
        <v>0</v>
      </c>
      <c r="GA275" t="str">
        <f>IF(B275="","",IF(TRIM(AH275&amp;"")&lt;&gt;"",IF(LOWER(TRIM(AH275&amp;""))="да","да","нет"),IF(IFERROR(_xlfn.XLOOKUP(BC275,Коды_код,Коды_пожарная),"")="да","да","нет")))</f>
        <v>нет</v>
      </c>
      <c r="GB275" t="str">
        <f t="shared" si="626"/>
        <v/>
      </c>
      <c r="GC275" t="str">
        <f t="shared" si="627"/>
        <v>основная</v>
      </c>
      <c r="GD275">
        <f>IF(AND(BP275=1,TRIM(AE275&amp;"")=""),IF(COUNTIFS(Линии[Щит],A275,Линии[Секция (1/2/3)],"&gt;=2")&gt;0,MIN(3,MAX(1,IFERROR(--BD275,1))),1),IFERROR(MIN(3,MAX(1,INT(--AE275))),1))</f>
        <v>1</v>
      </c>
      <c r="GE275" t="str" cm="1">
        <f t="array" ref="GE275">IF(B275="","",_xlfn.LET(_xlpm.t,IFERROR(_xlfn.XLOOKUP(1,(Шины[Шина]=GC275)*(((Шины[Щит]=A275)+(Шины[Щит]=""))&gt;0),Шины[Тип]),"")&amp;"",IF(_xlpm.t&lt;&gt;"",_xlpm.t,IF(ISNUMBER(SEARCH("ИБП",GC275)),"ИБП",IF(ISNUMBER(SEARCH("ДГУ",GC275)),"ДГУ","Ввод "&amp;GD275)))))</f>
        <v>Ввод 1</v>
      </c>
      <c r="GF275" t="str">
        <f t="shared" si="628"/>
        <v>Ввод 1</v>
      </c>
      <c r="GG275" t="str">
        <f>IF(BP275=0,"",IF(TRIM(AG275&amp;"")&lt;&gt;"",TRIM(AG275&amp;""),IF(OR(GE275="ИБП",GE275="ДГУ"),"I особая",_xlfn.XLOOKUP(A275,Щиты[Щит],Щиты[Категория шины «Ввод»],"III"))))</f>
        <v/>
      </c>
      <c r="GH275" t="str">
        <f>IF(A275="","",_xlfn.XLOOKUP(A275,Щиты[Щит],Щиты[Путь],""))</f>
        <v>|ГРЩ-ЖД|ЩР-1|</v>
      </c>
      <c r="GI275" t="str">
        <f>IF(B275="","",IF(AI275&lt;&gt;"",AI275,IF(IFERROR(_xlfn.XLOOKUP(BC275,Коды_код,Коды_вид)&amp;"","")="","Прочее",_xlfn.XLOOKUP(BC275,Коды_код,Коды_вид)&amp;"")))</f>
        <v>Розеточная сеть и бытовые приборы</v>
      </c>
      <c r="GJ275">
        <f>IF(BM275="","",INT((BM275-1)/Столбцов_на_лист)+1)</f>
        <v>4</v>
      </c>
      <c r="GK275" t="str">
        <f t="shared" si="629"/>
        <v>ВВГнг(А)-LS (3х2,5) L=63-0,39%</v>
      </c>
      <c r="GL275">
        <f t="shared" si="630"/>
        <v>0.18</v>
      </c>
      <c r="GM275">
        <f t="shared" si="631"/>
        <v>0.83</v>
      </c>
      <c r="GN275">
        <f t="shared" si="632"/>
        <v>1</v>
      </c>
      <c r="GO275">
        <f t="shared" si="633"/>
        <v>0</v>
      </c>
      <c r="GP275">
        <f t="shared" si="634"/>
        <v>1</v>
      </c>
      <c r="GQ275">
        <f>IF(BM275="","",IF(AND(CG275=1,GP275=1),COUNTIFS(A$3:A275,A275,CG$3:CG275,1,GP$3:GP275,1),IF(OR(OR(BA275=1,A275&lt;&gt;A274),AJ275="вручную",GP275=0),"",IF(BA275=1,"",GR274))))</f>
        <v>51</v>
      </c>
      <c r="GR275">
        <f t="shared" si="635"/>
        <v>51</v>
      </c>
      <c r="GS275">
        <f>IF(B275="","",IFERROR(LOOKUP(INDEX(CHOOSE(EB275,Iдоп_1ж,Iдоп_2ж,Iдоп_3ж),MATCH(EN275,Iдоп_S,0))*DZ275*EA275,{6,10,16,20,25,32,40,50,63,80,100,125,160,200,250,315,400,500,630}),""))</f>
        <v>25</v>
      </c>
      <c r="GT275" t="str">
        <f t="shared" si="636"/>
        <v>QFD51</v>
      </c>
      <c r="GU275" t="str">
        <f t="shared" si="637"/>
        <v>QFD51</v>
      </c>
      <c r="GV275" t="str">
        <f t="shared" si="638"/>
        <v/>
      </c>
      <c r="GW275">
        <f t="shared" si="639"/>
        <v>0</v>
      </c>
      <c r="GX275" t="str">
        <f>IF(OR(B275="",DJ275=""),"",IFERROR(_xlfn.XLOOKUP(DJ275,Модули_умолч[Управление],Модули_умолч[Модель])&amp;"",""))</f>
        <v/>
      </c>
      <c r="GY275">
        <f>IF(DJ275="",1,IFERROR(MAX(0,N(_xlfn.XLOOKUP(DJ275,Модули_умолч[Управление],Модули_умолч[Каналов на линию]))),1))</f>
        <v>1</v>
      </c>
      <c r="GZ275" t="str">
        <f t="shared" si="640"/>
        <v/>
      </c>
      <c r="HA275" t="str">
        <f t="shared" si="641"/>
        <v/>
      </c>
      <c r="HB275" t="str">
        <f t="shared" si="642"/>
        <v/>
      </c>
      <c r="HC275">
        <f>IF(HB275="",0,IFERROR(N(VLOOKUP(HB275,Модули_спр,3,FALSE)),0))</f>
        <v>0</v>
      </c>
      <c r="HD275" t="str">
        <f t="shared" si="643"/>
        <v/>
      </c>
      <c r="HE275" t="str">
        <f t="shared" si="644"/>
        <v/>
      </c>
      <c r="HF275" t="str">
        <f>IF(OR(HE275="",HE275="-"),"",IFERROR(VLOOKUP(HE275,Модули_спр,2,FALSE),"R"))</f>
        <v/>
      </c>
      <c r="HG275" t="str">
        <f>IF(HF275="","",HF275&amp;"."&amp;COUNTIFS(A$3:A275,A275,HF$3:HF275,HF275))</f>
        <v/>
      </c>
      <c r="HH275" t="str">
        <f t="shared" si="645"/>
        <v/>
      </c>
      <c r="HI275" t="str">
        <f t="shared" si="646"/>
        <v/>
      </c>
      <c r="HJ275" t="str">
        <f t="shared" si="647"/>
        <v/>
      </c>
      <c r="HK275" t="str">
        <f t="shared" si="648"/>
        <v/>
      </c>
      <c r="HL275">
        <f t="shared" si="649"/>
        <v>1</v>
      </c>
      <c r="HM275" t="str">
        <f>IF(HL275=1,"XT"&amp;COUNTIFS(A$3:A275,A275,HL$3:HL275,1),"")</f>
        <v>XT51</v>
      </c>
      <c r="HN275" t="str">
        <f t="shared" si="650"/>
        <v>XT51</v>
      </c>
      <c r="HO275" t="str">
        <f t="shared" si="651"/>
        <v>QFD51</v>
      </c>
      <c r="HP275" t="str">
        <f t="shared" si="652"/>
        <v/>
      </c>
      <c r="HQ275" t="str">
        <f t="shared" si="653"/>
        <v>ok</v>
      </c>
      <c r="HR275" t="str">
        <f>IF(OR(HJ275="",HH275=""),"",IF(HJ275+MAX(0,GY275-1)&gt;IFERROR(VLOOKUP(HI275,Модули_спр,3,FALSE),99),"ЛИШНИЙ КАНАЛ",IF(AND(AL275&lt;&gt;"=",GY275&gt;0,COUNTIFS(Линии[_модуль гр.],HH275,Линии[Канал (итог)],HJ275,Линии[Канал],"&lt;&gt;=",Линии[Щит],A275)&gt;1),"ДУБЛЬ КАНАЛА","")))</f>
        <v/>
      </c>
      <c r="HS275" s="6" t="str">
        <f t="shared" si="654"/>
        <v/>
      </c>
      <c r="HT275">
        <f t="shared" si="655"/>
        <v>10</v>
      </c>
      <c r="HU275" t="str">
        <f t="shared" si="656"/>
        <v/>
      </c>
      <c r="HV275">
        <f t="shared" si="657"/>
        <v>0.95817804774989257</v>
      </c>
      <c r="HW275">
        <f t="shared" si="658"/>
        <v>0</v>
      </c>
      <c r="HX275">
        <f t="shared" si="659"/>
        <v>0</v>
      </c>
      <c r="HY275">
        <f t="shared" si="660"/>
        <v>0</v>
      </c>
      <c r="HZ275">
        <f t="shared" si="661"/>
        <v>0</v>
      </c>
      <c r="IA275">
        <f t="shared" si="662"/>
        <v>0</v>
      </c>
      <c r="IB275">
        <f t="shared" si="663"/>
        <v>0</v>
      </c>
      <c r="IC275" t="str">
        <f t="shared" si="664"/>
        <v/>
      </c>
      <c r="ID275" t="str" cm="1">
        <f t="array" ref="ID275">IF(IC275="","",_xlfn.LET(_xlpm.tk,_xlfn.TEXTSPLIT(SUBSTITUTE(SUBSTITUTE(IC275,";"," "),"→"," ")," ",,TRUE),_xlpm.w_,_xlfn._xlws.FILTER(_xlpm.tk,ISNUMBER(--LEFT(_xlpm.tk,1))*((ISNUMBER(SEARCH("W",_xlpm.tk))+ISNUMBER(SEARCH("Вт",_xlpm.tk)))&gt;0),""),IFERROR(--SUBSTITUTE(SUBSTITUTE(UPPER(INDEX(_xlpm.w_,1)),"W",""),"ВТ",""),"")))</f>
        <v/>
      </c>
      <c r="IE275" t="str" cm="1">
        <f t="array" ref="IE275">IF(IC275="","",_xlfn.LET(_xlpm.tk,_xlfn.TEXTSPLIT(SUBSTITUTE(SUBSTITUTE(IC275,";"," "),"→"," ")," ",,TRUE),_xlpm.v_,_xlfn._xlws.FILTER(_xlpm.tk,ISNUMBER(--LEFT(_xlpm.tk,1))*((ISNUMBER(SEARCH("V",_xlpm.tk))+(RIGHT(UPPER(_xlpm.tk))="В"))&gt;0),""),IFERROR(--SUBSTITUTE(SUBSTITUTE(UPPER(INDEX(_xlpm.v_,1)),"V",""),"В",""),"")))</f>
        <v/>
      </c>
      <c r="IF275" s="6" t="str">
        <f>IF(OR(BV275=0,HI275="",HJ275=""),"",IFERROR(N(_xlfn.XLOOKUP(HI275,Каталог!$C$4:$C$500,Каталог!$Q$4:$Q$500)),""))</f>
        <v/>
      </c>
      <c r="IG275" s="6" t="str">
        <f>IF(N(IF275)=0,"",SUMIFS(Линии[Iр, А],Линии[Щит],A275,Линии[_модуль гр.],HH275,Линии[Канал (итог)],HJ275))</f>
        <v/>
      </c>
      <c r="IH275" t="str">
        <f>IF(AND(B275="",HO275=""),"",_xlfn.TEXTJOIN("; ",TRUE,IF(AND(B275&lt;&gt;"",FV275=""),"нет фазы",""),IF(AND(B275&lt;&gt;"",N(GL275)=0,FG275&lt;&gt;"Нет"),"нет мощности",""),IF(AND(HN275&lt;&gt;"",COUNTIFS(Линии[Щит],A275,Линии[Клемма (итог)],HN275)&gt;1),"дубль клеммы "&amp;HN275,""),IF(AND(HQ275&lt;&gt;"",HQ275&lt;&gt;"ok"),HQ275,""),IF(HR275&lt;&gt;"",HR275,""),IF(AND(N(CB275)&gt;=4,N(BX275)=1),CB275&amp;" жил на 1 фазе",""),IF(AND(BC275="R",CG275=1,IF(CS275&lt;&gt;"",N(CV275)&gt;30,OR(N(DA275)=0,N(DA275)&gt;30))),"розетка без дифзащиты до 30 мА",""),IF(AND(CG275=1,N(DA275)&gt;0,ISNUMBER(T275)),IF(T275&gt;N(DA275)/3,"ток утечки "&amp;FIXED(T275,1)&amp;" мА &gt; 1/3 уставки ("&amp;DA275&amp;" мА)",""),""),IF(AND(CH275=1,CS275=""),"«узо»: нет строки с УЗО выше (УЗО 2P 40А 30мА в «Аппаратах»)",""),IF(AND(CS275&lt;&gt;"",CS275=BA275),IF(CT275="","впишите номинал УЗО (УЗО 2P 40А 30мА)",IF(N(CT275)&lt;N(DT275),"УЗО "&amp;CT275&amp;" А &lt; автомата "&amp;DT275&amp;" А перед ним",IF(N(CT275)&lt;N(CX275),"УЗО "&amp;CT275&amp;" А &lt; тока блока "&amp;FIXED(CX275,1)&amp;" А",""))),""),IF(AND(CS275&lt;&gt;"",CS275=BA275,ISNUMBER(CY275)),IF(CY275&gt;N(CV275)/3,"ток утечки блока УЗО "&amp;FIXED(CY275,1)&amp;" мА &gt; 1/3 уставки ("&amp;CV275&amp;" мА)",""),""),IF(AND(CG275=1,N(BV275)+N(IB275)&gt;0,IC275=""),"линии до 50 В без БП: впишите в «Аппараты» (БП 24V 480W)",""),IF(AND(CG275=1,ISNUMBER(ID275),ISNUMBER(U275)),IF(U275&gt;ID275,"БП "&amp;ID275&amp;" Вт &lt; нужно "&amp;U275&amp;" Вт (×"&amp;Запас_БП&amp;")",""),""),IF(AND(CG275=1,ISNUMBER(IE275),N(BV275)=1),IF(IE275&lt;&gt;N(BU275),"БП на "&amp;IE275&amp;" В, линия "&amp;BU275&amp;" В",""),""),IF(AND(N(IF275)&gt;0,N(IG275)&gt;N(IF275)),HH275&amp;" канал "&amp;HJ275&amp;": "&amp;FIXED(IG275,1)&amp;" А &gt; "&amp;IF275&amp;" А",""),IFERROR(IF(AND(ISNUMBER(Q275),Q275&gt;EL275),"потери "&amp;FIXED(Q275,1)&amp;" % &gt; "&amp;EL275&amp;" %",""),""),IFERROR(IF(LEFT(HU275,4)="мало","Iкз мало — отключение &gt; 0,4 с",""),""),IF(AND(B275&lt;&gt;"",BM275=""),"не на схеме",""),IF(AND(CG275=0,B275&lt;&gt;"",FV275&lt;&gt;"",IF(BA275=1,"",FW274)&lt;&gt;"",FV275&lt;&gt;IF(BA275=1,"",FW274)),"фаза не как у автомата группы ("&amp;IF(BA275=1,"",FW274)&amp;")","")))</f>
        <v/>
      </c>
      <c r="II275" s="6">
        <f>IF(OR(CG275=0,DQ275=""),"",_xlfn.LET(_xlpm.t,IFERROR(_xlfn.XLOOKUP(DQ275,Каталог!$U$4:$U$500,Каталог!$G$4:$G$500),""),_xlpm.k,SEARCH("кА",_xlpm.t),IFERROR(--TRIM(RIGHT(SUBSTITUTE(MID(_xlpm.t,MAX(1,_xlpm.k-4),_xlpm.k-MAX(1,_xlpm.k-4))," ",REPT(" ",9)),5)),"")))</f>
        <v>6</v>
      </c>
      <c r="IJ275" t="str">
        <f>IF(OR(II275="",CG275=0),"",IF(_xlfn.XLOOKUP(A275,Щиты[Щит],Щиты[Iкз max на шинах, кА],"")="","",IF(II275&lt;_xlfn.XLOOKUP(A275,Щиты[Щит],Щиты[Iкз max на шинах, кА]),"Icu "&amp;II275&amp;" кА &lt; Iкз max","ok")))</f>
        <v/>
      </c>
      <c r="IK275" t="str">
        <f t="shared" si="665"/>
        <v/>
      </c>
      <c r="IL275" t="str">
        <f t="shared" si="666"/>
        <v>QFD51|XT51</v>
      </c>
      <c r="IM275" t="str">
        <f t="shared" si="667"/>
        <v>QFD51|XT51|кабель ВВГнг(А)-LS (3х2,5) → Розеточная группа, пом. 021A</v>
      </c>
      <c r="IN275" t="str" cm="1">
        <f t="array" ref="IN275">IF(IM275="","",_xlfn.LET(_xlpm.nd,_xlfn.TEXTSPLIT(IM275,"|"),IF(COLUMNS(_xlpm.nd)&gt;1,A275&amp;"¦"&amp;INDEX(_xlpm.nd,1)&amp;"¦"&amp;INDEX(_xlpm.nd,2),"")))</f>
        <v>ЩР-1¦QFD51¦XT51</v>
      </c>
      <c r="IO275" t="str">
        <f t="shared" si="668"/>
        <v>R.1.021A.8¦Розеточная группа, пом. 021A</v>
      </c>
      <c r="IP275" t="str" cm="1">
        <f t="array" ref="IP275">IF(IM275="","",_xlfn.LET(_xlpm.nd,_xlfn.TEXTSPLIT(IM275,"|"),IF(COLUMNS(_xlpm.nd)&gt;2,A275&amp;"¦"&amp;INDEX(_xlpm.nd,2)&amp;"¦"&amp;INDEX(_xlpm.nd,3),"")))</f>
        <v>ЩР-1¦XT51¦кабель ВВГнг(А)-LS (3х2,5) → Розеточная группа, пом. 021A</v>
      </c>
      <c r="IQ275" t="str">
        <f t="shared" si="669"/>
        <v>R.1.021A.8¦Розеточная группа, пом. 021A</v>
      </c>
      <c r="IR275" t="str" cm="1">
        <f t="array" ref="IR275">IF(IM275="","",_xlfn.LET(_xlpm.nd,_xlfn.TEXTSPLIT(IM275,"|"),IF(COLUMNS(_xlpm.nd)&gt;3,A275&amp;"¦"&amp;INDEX(_xlpm.nd,3)&amp;"¦"&amp;INDEX(_xlpm.nd,4),"")))</f>
        <v/>
      </c>
      <c r="IS275" t="str">
        <f t="shared" si="670"/>
        <v/>
      </c>
      <c r="IT275" t="str" cm="1">
        <f t="array" ref="IT275">IF(IM275="","",_xlfn.LET(_xlpm.nd,_xlfn.TEXTSPLIT(IM275,"|"),IF(COLUMNS(_xlpm.nd)&gt;4,A275&amp;"¦"&amp;INDEX(_xlpm.nd,4)&amp;"¦"&amp;INDEX(_xlpm.nd,5),"")))</f>
        <v/>
      </c>
      <c r="IU275" t="str">
        <f t="shared" si="671"/>
        <v/>
      </c>
      <c r="IV275" t="str" cm="1">
        <f t="array" ref="IV275">IF(IM275="","",_xlfn.LET(_xlpm.nd,_xlfn.TEXTSPLIT(IM275,"|"),IF(COLUMNS(_xlpm.nd)&gt;5,A275&amp;"¦"&amp;INDEX(_xlpm.nd,5)&amp;"¦"&amp;INDEX(_xlpm.nd,6),"")))</f>
        <v/>
      </c>
      <c r="IW275" t="str">
        <f t="shared" si="672"/>
        <v/>
      </c>
      <c r="IX275" t="str" cm="1">
        <f t="array" ref="IX275">IF(IM275="","",_xlfn.LET(_xlpm.nd,_xlfn.TEXTSPLIT(IM275,"|"),IF(COLUMNS(_xlpm.nd)&gt;6,A275&amp;"¦"&amp;INDEX(_xlpm.nd,6)&amp;"¦"&amp;INDEX(_xlpm.nd,7),"")))</f>
        <v/>
      </c>
      <c r="IY275" t="str">
        <f t="shared" si="673"/>
        <v/>
      </c>
      <c r="IZ275" t="str">
        <f t="shared" si="674"/>
        <v/>
      </c>
      <c r="JA275" t="str">
        <f t="shared" si="675"/>
        <v>QFD51 → XT51</v>
      </c>
      <c r="JB275">
        <f t="shared" si="676"/>
        <v>0</v>
      </c>
      <c r="JC275">
        <f t="shared" si="677"/>
        <v>1</v>
      </c>
      <c r="JD275" t="str">
        <f t="shared" si="678"/>
        <v/>
      </c>
      <c r="JE275" t="str">
        <f t="shared" si="679"/>
        <v/>
      </c>
      <c r="JF275" t="str">
        <f t="shared" si="680"/>
        <v/>
      </c>
      <c r="JG275" t="str">
        <f t="shared" si="681"/>
        <v/>
      </c>
      <c r="JH275" t="str">
        <f>IF(B275="","",IFERROR(_xlfn.XLOOKUP(B275,Коды_код,Коды_уго),IFERROR(_xlfn.XLOOKUP(BC275,Коды_код,Коды_уго),IFERROR(_xlfn.XLOOKUP(LEFT(BC275,2),Коды_код,Коды_уго),""))))</f>
        <v>Розетка</v>
      </c>
      <c r="JI275" t="str">
        <f>IF(B275="","",IF(OR(JH275="",JH275=0),"BOX",IFERROR(IF(VLOOKUP(JH275,УГО_блоки,3,FALSE)&amp;""&lt;&gt;"",VLOOKUP(JH275,УГО_блоки,3,FALSE),VLOOKUP(JH275,УГО_блоки,2,FALSE)),JH275)))</f>
        <v>SOCKET</v>
      </c>
      <c r="JJ275">
        <f t="shared" si="682"/>
        <v>1</v>
      </c>
      <c r="JK275" t="str">
        <f>IF(DQ275="","",IF(COUNTIF(DQ$3:DQ275,DQ275)=1,MAX(JK$2:JK274)+1,""))</f>
        <v/>
      </c>
      <c r="JL275" t="str">
        <f>IF(DE275="","",IF(COUNTIF(DE$3:DE275,DE275)+COUNTIF(DF$2:DF274,DE275)+COUNTIF(DG$2:DG274,DE275)=1,MAX(JL$2:JN274)+1,""))</f>
        <v/>
      </c>
      <c r="JM275" t="str">
        <f>IF(DF275="","",IF(COUNTIF(DE$3:DE275,DF275)+COUNTIF(DF$3:DF275,DF275)+COUNTIF(DG$2:DG274,DF275)=1,MAX(JL$2:JN274,JL275)+1,""))</f>
        <v/>
      </c>
      <c r="JN275" t="str">
        <f>IF(DG275="","",IF(COUNTIF(DE$3:DE275,DG275)+COUNTIF(DF$3:DF275,DG275)+COUNTIF(DG$3:DG275,DG275)=1,MAX(JL$2:JN274,JL275,JM275)+1,""))</f>
        <v/>
      </c>
      <c r="JO275" t="str">
        <f t="shared" si="683"/>
        <v>3х2,5</v>
      </c>
      <c r="JP275" t="str">
        <f>IF(JO275="","",IF(COUNTIF(JO$3:JO275,JO275)=1,MAX(JP$2:JP274)+1,""))</f>
        <v/>
      </c>
      <c r="JQ275" t="str">
        <f>IF(HG275="","",COUNTIF(HG$3:HG275,"?*"))</f>
        <v/>
      </c>
      <c r="JR275" t="str">
        <f>IF(OR(HG275="",HI275=""),"",IF(COUNTIFS(HG$3:HG275,"?*",HI$3:HI275,HI275)=1,MAX(JR$2:JR274)+1,""))</f>
        <v/>
      </c>
      <c r="JS275">
        <f t="shared" si="684"/>
        <v>0</v>
      </c>
      <c r="JT275">
        <f>IF(B275="","",COUNTIF(B$3:B275,"?*"))</f>
        <v>273</v>
      </c>
      <c r="JU275">
        <f>IF(HL275&lt;&gt;1,0,_xlfn.LET(_xlpm.k,MAX(IFERROR(--_xlfn.XLOOKUP(B275,Коды_код,Коды_3L),0),IFERROR(--_xlfn.XLOOKUP(BC275,Коды_код,Коды_3L),0),IFERROR(--_xlfn.XLOOKUP(LEFT(BC275,2),Коды_код,Коды_3L),0)),IF(_xlpm.k&gt;0,_xlpm.k,IF(IFERROR(--LEFT(SUBSTITUTE(JO275,"x","х"),FIND("х",SUBSTITUTE(JO275,"x","х"))-1),3)&gt;3,Каталог!$S$9,1))))</f>
        <v>1</v>
      </c>
      <c r="JV275">
        <f t="shared" si="685"/>
        <v>0</v>
      </c>
      <c r="JW275" t="str">
        <f t="shared" si="686"/>
        <v>авто</v>
      </c>
      <c r="JX275">
        <f t="shared" si="687"/>
        <v>30</v>
      </c>
      <c r="JY275">
        <f t="shared" si="688"/>
        <v>1</v>
      </c>
      <c r="JZ275">
        <f t="shared" si="689"/>
        <v>1</v>
      </c>
    </row>
    <row r="276" spans="1:286" x14ac:dyDescent="0.3">
      <c r="A276" t="s">
        <v>757</v>
      </c>
      <c r="B276" t="s">
        <v>1582</v>
      </c>
      <c r="C276" t="s">
        <v>1720</v>
      </c>
      <c r="D276">
        <v>1</v>
      </c>
      <c r="E276">
        <v>0.7</v>
      </c>
      <c r="G276" t="str">
        <f>Линии[[#This Row],[_авто автомат]]</f>
        <v>2P С16А 30мА</v>
      </c>
      <c r="H276" t="str">
        <f>Линии[[#This Row],[_авто управление]]</f>
        <v/>
      </c>
      <c r="I276" t="str">
        <f>Линии[[#This Row],[_авто аппараты]]</f>
        <v/>
      </c>
      <c r="J276">
        <v>2.5</v>
      </c>
      <c r="K276">
        <v>37</v>
      </c>
      <c r="L276" t="str">
        <f>Линии[[#This Row],[_авто фаза]]</f>
        <v>L1</v>
      </c>
      <c r="M276" t="str">
        <f>Линии[[#This Row],[_авто клемма]]</f>
        <v>XT52</v>
      </c>
      <c r="N276" t="str">
        <f t="shared" si="552"/>
        <v/>
      </c>
      <c r="O276" s="6" cm="1">
        <f t="array" ref="O276">IF(B276="","",IF(BH276&lt;&gt;"",IFERROR(_xlfn.XLOOKUP(BH276,Щиты[Щит],Щиты[Iр, А]),""),IF(BP276=1,IF(OR(N(_xlfn.XLOOKUP(A276,Щиты[Щит],Щиты[Вводов],1))&lt;=1,LOWER(TRIM(_xlfn.XLOOKUP(A276,Щиты[Щит],Щиты[АВР],"")&amp;""))="да"),IFERROR(_xlfn.XLOOKUP(A276,Щиты[Щит],Щиты[Iр, А]),""),IFERROR(N(BS276)*_xlfn.XLOOKUP(A276,Щиты[Щит],Щиты[Кс итог])/(SQRT(3)*Uн_лин*_xlfn.XLOOKUP(A276,Щиты[Щит],Щиты[cos φ])),"")),IF(BV276=1,IFERROR(BS276*1000/BU276,""),IFERROR(_xlfn.IFS(BX276=1,BS276/((Uн_лин/SQRT(3))*CE276),BX276=3,BS276/(SQRT(3)*Uн_лин*CE276)),"")))))</f>
        <v>3.1906199086795106</v>
      </c>
      <c r="P276" s="7">
        <f>IF(B276="","",IFERROR(IF(VLOOKUP(BC276,Потребители_обозначение,4,FALSE)=1,VLOOKUP(BC276,Потребители_обозначение,3,FALSE)*(MAX(1,N(D276))*2-1)+EI276+VLOOKUP(BE276,Этаж_обозначение,3,FALSE)+VLOOKUP(BE276,Этаж_обозначение,4,FALSE),VLOOKUP(BC276,Потребители_обозначение,3,FALSE)*(MAX(1,N(D276))*2-1)+EI276),EI276))</f>
        <v>40</v>
      </c>
      <c r="Q276" s="6">
        <f t="shared" si="553"/>
        <v>2.1399999999999997</v>
      </c>
      <c r="R276" t="str">
        <f t="shared" si="554"/>
        <v>ВВГнг(А)-LS (3х2,5)</v>
      </c>
      <c r="S276" t="str">
        <f>IF(BM276="","",IF(BN276="вводной узел","узел ","")&amp;"л."&amp;(INT((BM276-1)/Столбцов_на_лист)+1)&amp;" / "&amp;(MOD(BM276-1,Столбцов_на_лист)+1))</f>
        <v>л.4 / 15</v>
      </c>
      <c r="T276" s="119">
        <f t="shared" si="555"/>
        <v>1.7</v>
      </c>
      <c r="U276" s="7" t="str">
        <f>IF(OR(CG276=0,N(BV276)+N(IB276)=0),"",ROUNDUP(Запас_БП*(N(HY276)+N(HZ276)),0))</f>
        <v/>
      </c>
      <c r="V276" s="119" t="str">
        <f t="shared" si="556"/>
        <v/>
      </c>
      <c r="W276" s="7" t="str">
        <f>IFERROR(IF(OR(B276="",BP276=1,BV276=1,NOT(ISNUMBER(EN276)),N(DT276)=0),"",MAX(0,ROUNDDOWN((c_min*(Uн_лин*1000/SQRT(3))/(HT276*N(DT276))-_xlfn.XLOOKUP(A276,Щиты[Щит],Щиты[Zпетли на шинах, Ом]))*EN276/(2*ρкз_Cu),0))),"")</f>
        <v/>
      </c>
      <c r="Y276">
        <f>Линии[[#This Row],[_авто утечка]]</f>
        <v>30</v>
      </c>
      <c r="Z276">
        <v>1</v>
      </c>
      <c r="AA276">
        <v>230</v>
      </c>
      <c r="AB276" t="s">
        <v>562</v>
      </c>
      <c r="AG276" t="s">
        <v>810</v>
      </c>
      <c r="AI276" t="s">
        <v>561</v>
      </c>
      <c r="AK276" t="str">
        <f>Линии[[#This Row],[_авто модуль]]</f>
        <v/>
      </c>
      <c r="AM276">
        <v>66</v>
      </c>
      <c r="AN276" t="s">
        <v>11</v>
      </c>
      <c r="AO276">
        <v>3</v>
      </c>
      <c r="AQ276">
        <v>20</v>
      </c>
      <c r="AR276">
        <v>20</v>
      </c>
      <c r="AS276">
        <v>0</v>
      </c>
      <c r="BA276" cm="1">
        <f t="array" ref="BA276">ROW()-ROW(Линии[#Headers])</f>
        <v>274</v>
      </c>
      <c r="BC276" s="6" t="str">
        <f t="shared" si="557"/>
        <v>R</v>
      </c>
      <c r="BD276" t="str">
        <f t="shared" si="558"/>
        <v>1.021A.9</v>
      </c>
      <c r="BE276" t="str">
        <f t="shared" si="559"/>
        <v>1</v>
      </c>
      <c r="BF276" t="str">
        <f t="shared" si="560"/>
        <v>021A.9</v>
      </c>
      <c r="BG276" t="str">
        <f t="shared" si="561"/>
        <v>021A</v>
      </c>
      <c r="BH276" t="str">
        <f>IF(X276&lt;&gt;"",X276,IF(AND(B276&lt;&gt;"",B276&lt;&gt;A276,ISNUMBER(_xlfn.XMATCH(B276,Щиты[Щит]))),B276,""))</f>
        <v/>
      </c>
      <c r="BI276" t="str" cm="1">
        <f t="array" ref="BI276">IF(B276="","",IF(BH276&lt;&gt;"","Щит "&amp;BH276,_xlfn.LET(_xlpm.nm,IFERROR(_xlfn.XLOOKUP(BC276,Коды_код,Коды_имя)&amp;"",""),_xlpm.md,IFERROR(N(_xlfn.XLOOKUP(BC276,Коды_код,Коды_режим)),1),_xlpm.ex,IF(Имя_режим="по экспликации",IFERROR(_xlfn.XLOOKUP(BE276&amp;"|"&amp;BG276,Экспликация[Этаж]&amp;"|"&amp;Экспликация[Помещение],Экспликация[Название])&amp;"",""),""),_xlpm.rm,IF(BG276="","",IF(_xlpm.ex&lt;&gt;"",". "&amp;_xlpm.ex&amp;IF(Имя_пом="нет"," ("&amp;BG276&amp;")"," (пом. "&amp;BG276&amp;")"),IF(Имя_пом="нет"," ",", пом. ")&amp;BG276)),IF(_xlpm.nm="","",IF(_xlpm.md=2,_xlpm.nm&amp;" шлейф "&amp;BE276,_xlpm.nm&amp;_xlpm.rm)))))</f>
        <v>Розеточная группа, пом. 021A</v>
      </c>
      <c r="BJ276" t="str">
        <f t="shared" si="562"/>
        <v>Розеточная группа Первый этаж Пом. №021A Подогреватель пищи и посуды</v>
      </c>
      <c r="BK276">
        <f>IFERROR(_xlfn.XMATCH(A276,Щиты[Щит]),0)</f>
        <v>10</v>
      </c>
      <c r="BL276">
        <f>_xlfn.LET(_xlpm.k,IFERROR(_xlfn.XLOOKUP(A276,Щиты[Щит],Щиты[Мест под вводной узел]),""),IF(_xlpm.k="",Столбцов_на_лист,N(_xlpm.k)))</f>
        <v>8</v>
      </c>
      <c r="BM276">
        <f t="shared" si="563"/>
        <v>66</v>
      </c>
      <c r="BN276" t="str">
        <f t="shared" si="564"/>
        <v>линии</v>
      </c>
      <c r="BO276" s="6">
        <f>IFERROR(N(_xlfn.XLOOKUP(BC276,Коды_код,Коды_квт)),0)</f>
        <v>0</v>
      </c>
      <c r="BP276">
        <f t="shared" si="565"/>
        <v>0</v>
      </c>
      <c r="BQ276" t="str">
        <f>IF(B276="","",IF(BH276&lt;&gt;"",IFERROR(_xlfn.XLOOKUP(BH276,Щиты[Щит],Щиты[Руст, кВт]),0),IF(BP276=1,IF(OR(N(_xlfn.XLOOKUP(A276,Щиты[Щит],Щиты[Вводов],1))&lt;=1,LOWER(TRIM(_xlfn.XLOOKUP(A276,Щиты[Щит],Щиты[АВР],"")&amp;""))="да"),IFERROR(_xlfn.XLOOKUP(A276,Щиты[Щит],Щиты[Руст, кВт]),0),SUMIFS(Линии[_Р для вводов],Линии[Щит],A276,Линии[Источник для режимов],GF276)),IF(BO276&gt;0,ROUND(BO276*MAX(1,N(D276)),3),""))))</f>
        <v/>
      </c>
      <c r="BR276">
        <f t="shared" si="566"/>
        <v>0.7</v>
      </c>
      <c r="BS276" s="6">
        <f>IF(B276="","",IF(BH276&lt;&gt;"",IFERROR(_xlfn.XLOOKUP(BH276,Щиты[Щит],Щиты[Руст, кВт]),0),N(BR276)))</f>
        <v>0.7</v>
      </c>
      <c r="BT276" t="str">
        <f>IF(B276="","",IFERROR(IF(VLOOKUP(BC276,Потребители_обозначение,8,FALSE)=0,"",VLOOKUP(BC276,Потребители_обозначение,8,FALSE)),""))</f>
        <v/>
      </c>
      <c r="BU276">
        <f t="shared" si="567"/>
        <v>230</v>
      </c>
      <c r="BV276">
        <f t="shared" si="568"/>
        <v>0</v>
      </c>
      <c r="BW276">
        <f>IF(B276="","",IF(BH276&lt;&gt;"",3,IFERROR(IF(N(VLOOKUP(BC276,Потребители_обозначение,9,FALSE))=0,1,VLOOKUP(BC276,Потребители_обозначение,9,FALSE)),1)))</f>
        <v>1</v>
      </c>
      <c r="BX276">
        <f t="shared" si="569"/>
        <v>1</v>
      </c>
      <c r="BY276" t="str">
        <f>IF(B276="","",_xlfn.LET(_xlpm.bc,IFERROR(IF(VLOOKUP(BC276,Потребители_обозначение,6,FALSE)=0,"",VLOOKUP(BC276,Потребители_обозначение,6,FALSE)&amp;""),""),IF(AND(GA276="да",OR(_xlpm.bc="",_xlpm.bc="мс")),Марка_пож,IF(AND(_xlpm.bc="",BH276&lt;&gt;""),"мс",_xlpm.bc))))</f>
        <v/>
      </c>
      <c r="BZ276" t="str">
        <f t="shared" si="570"/>
        <v>мс</v>
      </c>
      <c r="CA276">
        <f>IF(B276="","",_xlfn.LET(_xlpm.cc,IFERROR(N(VLOOKUP(BC276,Потребители_обозначение,7,FALSE)),0),IF(_xlpm.cc&gt;0,_xlpm.cc,IF(BZ276="","",IF(BV276=1,2,IF(N(BX276)=3,5,3))))))</f>
        <v>3</v>
      </c>
      <c r="CB276">
        <f t="shared" si="571"/>
        <v>3</v>
      </c>
      <c r="CC276">
        <f>IFERROR(N(VLOOKUP(BC276,Потребители_обозначение,10,FALSE)),0)</f>
        <v>0</v>
      </c>
      <c r="CD276">
        <f>IFERROR(VLOOKUP(BC276,Потребители_обозначение,5,FALSE),0)</f>
        <v>1</v>
      </c>
      <c r="CE276" s="6" cm="1">
        <f t="array" ref="CE276">IF(B276="","",IF(BH276&lt;&gt;"",IFERROR(_xlfn.XLOOKUP(BH276,Щиты[Щит],Щиты[cos φ]),0.95),IF(BP276=1,IFERROR(_xlfn.XLOOKUP(A276,Щиты[Щит],Щиты[cos φ]),0.95),IF(ISNUMBER(AD276),AD276,IFERROR(IF(CD276=2,_xlfn.IFS(BX276=3,VLOOKUP(BS276,Справочная_двигатели,8,FALSE),BX276=1,VLOOKUP(BS276,Справочная_двигатели,10,TRUE)),IF(AND(Методика="нормы 2026",FG276="Сил"),0.8,0.95)),0.95)))))</f>
        <v>0.95</v>
      </c>
      <c r="CF276">
        <f t="shared" si="572"/>
        <v>0</v>
      </c>
      <c r="CG276">
        <f t="shared" si="573"/>
        <v>1</v>
      </c>
      <c r="CH276">
        <f t="shared" si="574"/>
        <v>0</v>
      </c>
      <c r="CI276">
        <f>IF(B276="","",IF(BV276=1,IFERROR(BS276/((Uн_лин/SQRT(3))*MAX(0.5,N(CE276))),0),N(O276)))</f>
        <v>3.1906199086795106</v>
      </c>
      <c r="CJ276">
        <f t="shared" si="575"/>
        <v>0</v>
      </c>
      <c r="CK276">
        <f t="shared" si="576"/>
        <v>0</v>
      </c>
      <c r="CL276">
        <f t="shared" si="577"/>
        <v>0</v>
      </c>
      <c r="CM276">
        <f t="shared" si="578"/>
        <v>0</v>
      </c>
      <c r="CN276">
        <f t="shared" si="579"/>
        <v>0</v>
      </c>
      <c r="CO276">
        <f>IF(BC276="",0,_xlfn.LET(_xlpm.v,IFERROR(_xlfn.XLOOKUP(B276,Коды_код,Коды_мА),IFERROR(_xlfn.XLOOKUP(BC276,Коды_код,Коды_мА),IFERROR(_xlfn.XLOOKUP(LEFT(BC276,2),Коды_код,Коды_мА),""))),IF(_xlpm.v="да",30,IF(ISNUMBER(_xlpm.v),_xlpm.v,0))))</f>
        <v>30</v>
      </c>
      <c r="CP276">
        <f t="shared" si="580"/>
        <v>30</v>
      </c>
      <c r="CQ276" t="str">
        <f>_xlfn.LET(_xlpm.k,IFERROR(_xlfn.XLOOKUP(BC276,Коды_код,Коды_утечка)&amp;"",""),IF(_xlpm.k="","дифавтомат",_xlpm.k))</f>
        <v>дифавтомат</v>
      </c>
      <c r="CR276" t="str" cm="1">
        <f t="array" ref="CR276">IF(CG276=0,"",_xlfn.LET(_xlpm.sg,TRIM(_xlfn.TEXTSPLIT(DD276&amp;"",";")),_xlpm.f_,_xlfn._xlws.FILTER(_xlpm.sg,LEFT(_xlpm.sg,3)="УЗО",""),IFERROR(INDEX(_xlpm.f_,1)&amp;"","")))</f>
        <v/>
      </c>
      <c r="CS276" t="str">
        <f t="shared" si="581"/>
        <v/>
      </c>
      <c r="CT276" s="6" t="str" cm="1">
        <f t="array" ref="CT276">IF(CR276="","",_xlfn.LET(_xlpm.tk,_xlfn.TEXTSPLIT(UPPER(CR276)," ",,TRUE),_xlpm.a_,_xlfn._xlws.FILTER(_xlpm.tk,ISNUMBER(--LEFT(_xlpm.tk,1))*((ISNUMBER(SEARCH("А",_xlpm.tk))+ISNUMBER(SEARCH("A",_xlpm.tk)))&gt;0)*NOT(ISNUMBER(SEARCH("МА",_xlpm.tk)))*NOT(ISNUMBER(SEARCH("MA",_xlpm.tk))),""),IFERROR(--SUBSTITUTE(SUBSTITUTE(INDEX(_xlpm.a_,1),"А",""),"A",""),"")))</f>
        <v/>
      </c>
      <c r="CU276" t="str" cm="1">
        <f t="array" ref="CU276">IF(CR276="","",_xlfn.LET(_xlpm.tk,_xlfn.TEXTSPLIT(UPPER(CR276)," ",,TRUE),_xlpm.a_,_xlfn._xlws.FILTER(_xlpm.tk,ISNUMBER(--LEFT(_xlpm.tk,1))*((ISNUMBER(SEARCH("МА",_xlpm.tk))+ISNUMBER(SEARCH("MA",_xlpm.tk)))&gt;0),""),IFERROR(--SUBSTITUTE(SUBSTITUTE(INDEX(_xlpm.a_,1),"МА",""),"MA",""),30)))</f>
        <v/>
      </c>
      <c r="CV276" t="str">
        <f>IF(CS276="","",IFERROR(_xlfn.XLOOKUP(CS276,Линии[_n],Линии[_УЗО, мА]),30))</f>
        <v/>
      </c>
      <c r="CW276">
        <f>IF(CS276="",0,IF(ISNUMBER(SEARCH("4P",IFERROR(_xlfn.XLOOKUP(CS276,Линии[_n],Линии[_УЗО строки])&amp;"",""))),0,1))</f>
        <v>0</v>
      </c>
      <c r="CX276" t="str">
        <f>IF(AND(CS276&lt;&gt;"",CS276=BA276),SUMIFS(Линии[_ток на 230 В],Линии[_блок УЗО],BA276,Линии[Щит],A276),"")</f>
        <v/>
      </c>
      <c r="CY276" t="str">
        <f>IF(AND(CS276&lt;&gt;"",CS276=BA276),SUMIFS(Линии[_ток утечки линии, мА],Линии[_блок УЗО],BA276,Линии[Щит],A276),"")</f>
        <v/>
      </c>
      <c r="CZ276">
        <f t="shared" si="582"/>
        <v>30</v>
      </c>
      <c r="DA276">
        <f t="shared" si="583"/>
        <v>30</v>
      </c>
      <c r="DB276">
        <f>IF(B276="",0,IFERROR(--_xlfn.XLOOKUP(B276,Коды_код,Коды_минавт),IFERROR(--_xlfn.XLOOKUP(BC276,Коды_код,Коды_минавт),IFERROR(--_xlfn.XLOOKUP(LEFT(BC276,2),Коды_код,Коды_минавт),0))))</f>
        <v>16</v>
      </c>
      <c r="DC276" t="str">
        <f>IF(B276="","",IFERROR(_xlfn.XLOOKUP(BC276,Коды_код,Коды_апп)&amp;"",""))</f>
        <v/>
      </c>
      <c r="DD276" t="str">
        <f t="shared" si="584"/>
        <v/>
      </c>
      <c r="DE276" t="str" cm="1">
        <f t="array" ref="DE276">IF(TRIM(DD276&amp;"")="","",IFERROR(TRIM(INDEX(_xlfn.TEXTSPLIT(DD276&amp;";;;",";"),1)),""))</f>
        <v/>
      </c>
      <c r="DF276" t="str" cm="1">
        <f t="array" ref="DF276">IF(TRIM(DD276&amp;"")="","",IFERROR(TRIM(INDEX(_xlfn.TEXTSPLIT(DD276&amp;";;;",";"),2)),""))</f>
        <v/>
      </c>
      <c r="DG276" t="str" cm="1">
        <f t="array" ref="DG276">IF(TRIM(DD276&amp;"")="","",IFERROR(TRIM(INDEX(_xlfn.TEXTSPLIT(DD276&amp;";;;",";"),3)),""))</f>
        <v/>
      </c>
      <c r="DH276">
        <f t="shared" si="585"/>
        <v>0</v>
      </c>
      <c r="DI276" t="str">
        <f>IF(B276="","",_xlfn.LET(_xlpm.t,LOWER(AZ276&amp;""),IF(ISNUMBER(SEARCH("dim",_xlpm.t)),"DIM",IF(ISNUMBER(SEARCH("dali",_xlpm.t)),"DALI",IF(OR(ISNUMBER(SEARCH("relay",_xlpm.t)),ISNUMBER(SEARCH("реле",_xlpm.t))),"Relay",IF(ISNUMBER(SEARCH("кнопк",_xlpm.t)),"",IFERROR(_xlfn.XLOOKUP(BC276,Коды_код,Коды_упр)&amp;"","")))))))</f>
        <v/>
      </c>
      <c r="DJ276" t="str">
        <f t="shared" si="586"/>
        <v/>
      </c>
      <c r="DK276">
        <f>IF(B276="","",_xlfn.LET(_xlpm.ig,IF(N(CX276)&gt;0,N(CX276),N(CI276)+IF(AJ276="вручную",0,N(CJ276))),_xlpm.n0,IFERROR(VLOOKUP(_xlpm.ig,Автомат_номиналы,2,TRUE),0),_xlpm.mn,MAX(DB276,IF(AJ276="вручную",0,N(CM276))),MAX(_xlpm.n0,_xlpm.mn,IF(DH276=1,Мин_автомат_БП,0))))</f>
        <v>16</v>
      </c>
      <c r="DL276">
        <f t="shared" si="587"/>
        <v>1</v>
      </c>
      <c r="DM276" t="str">
        <f t="shared" si="588"/>
        <v>2P</v>
      </c>
      <c r="DN276" t="str">
        <f>_xlfn.LET(_xlpm.cc,UPPER(TRIM(IFERROR(_xlfn.XLOOKUP(BC276,Коды_код,Коды_хар)&amp;"",""))),IF(OR(_xlpm.cc="B",_xlpm.cc="В"),"B",IF(_xlpm.cc="D","D","С")))</f>
        <v>С</v>
      </c>
      <c r="DO276" t="str">
        <f t="shared" si="589"/>
        <v>2P С16А 30мА</v>
      </c>
      <c r="DP276" t="str">
        <f t="shared" si="590"/>
        <v>2P С16А 30мА</v>
      </c>
      <c r="DQ276" t="str">
        <f t="shared" si="591"/>
        <v>2P С16А 30мА</v>
      </c>
      <c r="DR276" cm="1">
        <f t="array" ref="DR276">IF(DQ276="","",_xlfn.LET(_xlpm.t,SUBSTITUTE(SUBSTITUTE(SUBSTITUTE(UPPER(DQ276),"С","C"),"А","A"),"В","B"),_xlpm.tk,_xlfn.TEXTSPLIT(_xlpm.t," "),_xlpm.f,_xlfn._xlws.FILTER(_xlpm.tk,ISNUMBER(--MID(_xlpm.tk,2,1))*ISNUMBER(SEARCH(LEFT(_xlpm.tk,1)&amp;"#","B#C#D#"))*(LEN(_xlpm.tk)&gt;1),""),_xlpm.x,INDEX(_xlpm.f,1),IFERROR(--SUBSTITUTE(MID(_xlpm.x,2,9),"A",""),IFERROR(--SUBSTITUTE(INDEX(_xlfn._xlws.FILTER(_xlpm.tk,ISNUMBER(--SUBSTITUTE(_xlpm.tk,"A","")),""),1),"A",""),""))))</f>
        <v>16</v>
      </c>
      <c r="DS276" t="str">
        <f t="shared" si="592"/>
        <v>ok</v>
      </c>
      <c r="DT276">
        <f t="shared" si="593"/>
        <v>16</v>
      </c>
      <c r="DU276" t="str">
        <f t="shared" si="594"/>
        <v>2P С16А 30мА</v>
      </c>
      <c r="DV276">
        <f t="shared" si="595"/>
        <v>30</v>
      </c>
      <c r="DW276">
        <f t="shared" si="596"/>
        <v>1</v>
      </c>
      <c r="DX276">
        <f t="shared" si="597"/>
        <v>0</v>
      </c>
      <c r="DY276">
        <f t="shared" si="598"/>
        <v>3.1906199086795106</v>
      </c>
      <c r="DZ276">
        <f t="shared" si="599"/>
        <v>1</v>
      </c>
      <c r="EA276">
        <f>IF(ISNUMBER(AP276),AP276,К_прокл)</f>
        <v>1</v>
      </c>
      <c r="EB276">
        <f t="shared" si="600"/>
        <v>2</v>
      </c>
      <c r="EC276">
        <f>IFERROR(N(VLOOKUP(BZ276,Кабель_обозначение,3,FALSE)),1)</f>
        <v>1</v>
      </c>
      <c r="ED276">
        <f>IFERROR(N(_xlfn.XLOOKUP(A276,Щиты[Щит],Щиты[ΔU до шин, %])),0)</f>
        <v>1.19</v>
      </c>
      <c r="EE276" t="str">
        <f>IFERROR(_xlfn.XLOOKUP(A276,Щиты[Щит],Щиты[Zпетли на шинах, Ом]),"")</f>
        <v/>
      </c>
      <c r="EF276">
        <f>IFERROR(N(_xlfn.XLOOKUP(A276,Щиты[Щит],Щиты[ΔU до шин (подбор), %])),0)</f>
        <v>1.19</v>
      </c>
      <c r="EG276" t="str">
        <f>IFERROR(_xlfn.XLOOKUP(A276,Щиты[Щит],Щиты[Zпетли на шинах (подбор), Ом]),"")</f>
        <v/>
      </c>
      <c r="EH276" t="str">
        <f t="shared" si="601"/>
        <v/>
      </c>
      <c r="EI276">
        <f t="shared" si="602"/>
        <v>37</v>
      </c>
      <c r="EJ276">
        <f t="shared" si="603"/>
        <v>2</v>
      </c>
      <c r="EK276">
        <f t="shared" si="604"/>
        <v>0.31</v>
      </c>
      <c r="EL276" s="6">
        <f>IF(B276="","",IF(BV276=1,dU_LED,IF(IFERROR(_xlfn.XLOOKUP(BC276,Коды_код,Коды_уго),"")="Светильник",3,4)+IF(Методика="нормы 2026",MIN(0.5,MAX(0,N(P276)-100)*0.005),0)))</f>
        <v>4</v>
      </c>
      <c r="EM276" cm="1">
        <f t="array" ref="EM276">IF(OR(B276="",BZ276="",EC276&lt;&gt;1),"",_xlfn.LET(_xlpm.sz,Iдоп_S,_xlpm.t_,CHOOSE(EB276,Iдоп_1ж,Iдоп_2ж,Iдоп_3ж)*DZ276*EA276,_xlpm.dcx,BV276=1,_xlpm.inn,IF(_xlpm.dcx,N(O276),N(DT276)),_xlpm.smin,MAX(1.5,CC276),_xlpm.L_,N(P276)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276)/N(BU276)*100,999),IFERROR(N(EJ276)*(_xlpm.rho*_xlpm.L_/_xlpm.sz*N(CE276)+_xlpm.xx*_xlpm.L_*N(EK276)/1000)*N(O276)/((Uн_лин/SQRT(3))*1000)*100,999)),_xlpm.kz,IF(OR(_xlpm.dcx,DW276=1,NOT(ISNUMBER(EG276)),_xlpm.L_=0,_xlpm.inn=0),1,IFERROR(--(c_min*(Uн_лин*1000/SQRT(3))/(EG276+2*ρкз_Cu*_xlpm.L_/_xlpm.sz)&gt;=HT276*_xlpm.inn),0)),_xlpm.ok,IFERROR((_xlpm.sz&gt;=_xlpm.smin)*(_xlpm.t_&gt;=_xlpm.inn)*IF(_xlpm.L_&gt;0,(_xlpm.du_+IF(_xlpm.dcx,0,EF276)&lt;=EL276+0.00001),1)*_xlpm.kz,0),_xlpm.r_,_xlfn._xlws.FILTER(_xlpm.sz,_xlpm.ok,"не подобрано"),INDEX(_xlpm.r_,1)))</f>
        <v>1.5</v>
      </c>
      <c r="EN276">
        <f t="shared" si="605"/>
        <v>2.5</v>
      </c>
      <c r="EO276" cm="1">
        <f t="array" ref="EO276">IF(OR(B276="",BZ276="",EC276&lt;&gt;1),"",_xlfn.LET(_xlpm.sz,Iдоп_S,_xlpm.t_,CHOOSE(EB276,Iдоп_1ж,Iдоп_2ж,Iдоп_3ж)*DZ276*EA276,_xlpm.ok,IFERROR((_xlpm.sz&gt;=MAX(1.5,CC276))*(_xlpm.t_&gt;=N(DT276)),0),_xlpm.r_,_xlfn._xlws.FILTER(_xlpm.sz,_xlpm.ok,""),INDEX(_xlpm.r_,1)))</f>
        <v>1.5</v>
      </c>
      <c r="EP276" s="6" cm="1">
        <f t="array" ref="EP276">IFERROR(ROUNDUP(N(EJ276)*(_xlfn.XLOOKUP(EO276,INDEX(Кабель_сопротивление,0,1),INDEX(Кабель_сопротивление,0,3))*N(P276)/EO276*N(CE276)+_xlfn.XLOOKUP(EO276,INDEX(Кабель_сопротивление,0,1),INDEX(Кабель_сопротивление,0,2))*N(P276)*N(EK276)/1000)*N(O276)/((Uн_лин/SQRT(3))*1000)*100,2),"")</f>
        <v>1.58</v>
      </c>
      <c r="EQ276">
        <f>IFERROR(2*ρкз_Cu*N(P276)/EO276,"")</f>
        <v>1.4026666666666667</v>
      </c>
      <c r="ER276">
        <f>IFERROR(VLOOKUP(EN276,Кабель_сопротивление,3,FALSE),"")</f>
        <v>2.2499999999999999E-2</v>
      </c>
      <c r="ES276">
        <f>IFERROR(VLOOKUP(EN276,Кабель_сопротивление,2,FALSE),"")</f>
        <v>0.1</v>
      </c>
      <c r="ET276">
        <f t="shared" si="606"/>
        <v>20</v>
      </c>
      <c r="EU276">
        <f t="shared" si="607"/>
        <v>0</v>
      </c>
      <c r="EV276">
        <f t="shared" si="608"/>
        <v>2.1902967549103103</v>
      </c>
      <c r="EW276" s="6">
        <f>IFERROR(ROUNDUP(EV276/IF(BV276=1,BU276,(Uн_лин/SQRT(3))*1000)*100,2),"")</f>
        <v>0.95</v>
      </c>
      <c r="EX276" t="str">
        <f>IFERROR(VLOOKUP(BZ276,Кабель_обозначение,2,FALSE),"")</f>
        <v>ВВГнг(А)-LS</v>
      </c>
      <c r="EY276" t="str">
        <f t="shared" si="609"/>
        <v>ВВГнг(А)-LS (3х2,5)</v>
      </c>
      <c r="EZ276" t="str">
        <f t="shared" si="610"/>
        <v>ВВГнг(А)-LS (3х2,5)
L=40-0,95%</v>
      </c>
      <c r="FA276">
        <f>IFERROR(2*ρкз_Cu*P276/EN276,"")</f>
        <v>0.84160000000000001</v>
      </c>
      <c r="FB276">
        <f t="shared" si="611"/>
        <v>0.28000000000000003</v>
      </c>
      <c r="FC276" s="6" t="str">
        <f>IFERROR(IF(OR(B276="",BV276=1,NOT(ISNUMBER(EN276)),N(P276)=0),"",_xlfn.XLOOKUP(A276,Щиты[Щит],Щиты[Zпетли на шинах, Ом])+FA276),"")</f>
        <v/>
      </c>
      <c r="FD276" s="6" t="str">
        <f>IF(ISNUMBER(FC276),c_min*(Uн_лин*1000/SQRT(3))/FC276,"")</f>
        <v/>
      </c>
      <c r="FE276" s="6" t="str">
        <f>IFERROR(IF(OR(B276="",NOT(ISNUMBER(EN276))),"",1.05*(Uн_лин*1000/SQRT(3))/(_xlfn.XLOOKUP(A276,Щиты[Щит],Щиты[Zmax на шинах, Ом])+FB276)/1000),"")</f>
        <v/>
      </c>
      <c r="FF276" s="6" t="str">
        <f>IF(B276="","",IF(ISNUMBER(AC276),"Сил",IF(IFERROR(_xlfn.XLOOKUP(BC276,Коды_код,Коды_группа)&amp;"","")="","Быт",_xlfn.XLOOKUP(BC276,Коды_код,Коды_группа)&amp;"")))</f>
        <v>Быт</v>
      </c>
      <c r="FG276" s="6" t="str">
        <f t="shared" si="612"/>
        <v>Быт</v>
      </c>
      <c r="FH276" s="6">
        <f>IF(FG276="Щит","щит",IF(FG276="","",IF(FG276="Быт",IFERROR(_xlfn.XLOOKUP(A276,Щиты[Щит],Щиты[Кс быт]),1),IF(FG276="Сил",IF(ISNUMBER(AC276),AC276,IF(Методика="нормы 2026",IFERROR(_xlfn.XLOOKUP(A276,Щиты[Щит],Щиты[Кс силовых (табл. 7.5)]),1),1)),IF(OR(FG276="Пост",FG276="Отоп"),1,IF(FG276="ВНГ",0.7,0))))))</f>
        <v>0.57830000000000004</v>
      </c>
      <c r="FI276">
        <f>IF(FG276="","",IF(AND(BP276=1,TRIM(AE276&amp;"")=""),IF(COUNTIFS(Линии[Щит],A276,Линии[Секция (1/2/3)],"&gt;=2")&gt;0,MIN(3,MAX(1,IFERROR(--BD276,1))),1),IFERROR(MIN(3,MAX(1,INT(--AE276))),1)))</f>
        <v>1</v>
      </c>
      <c r="FJ276">
        <f t="shared" si="613"/>
        <v>0.7</v>
      </c>
      <c r="FK276">
        <f t="shared" si="614"/>
        <v>0.7</v>
      </c>
      <c r="FL276">
        <f t="shared" si="615"/>
        <v>0</v>
      </c>
      <c r="FM276">
        <f t="shared" si="616"/>
        <v>0</v>
      </c>
      <c r="FN276">
        <f t="shared" si="617"/>
        <v>0</v>
      </c>
      <c r="FO276">
        <f t="shared" si="618"/>
        <v>0</v>
      </c>
      <c r="FP276">
        <f t="shared" si="619"/>
        <v>0.7</v>
      </c>
      <c r="FQ276">
        <f t="shared" si="620"/>
        <v>0.7</v>
      </c>
      <c r="FR276">
        <f t="shared" si="621"/>
        <v>0.66499999999999992</v>
      </c>
      <c r="FS276">
        <f>IF(CG276=1,IF(AND(CH276=1,CW276=1),0,IF(AND(CS276&lt;&gt;"",CS276=BA276,CW276=1),SUMIFS(Линии[_Р линии, кВт],Линии[_блок УЗО],BA276,Линии[Щит],A276),N(BS276)+IF(AJ276="вручную",0,N(CK276)))),0)</f>
        <v>0.7</v>
      </c>
      <c r="FT276" t="str">
        <f t="shared" si="622"/>
        <v/>
      </c>
      <c r="FU276" t="str">
        <f>IF(B276="","",IF(CG276=0,IF(BA276=1,"",FW275),IF(AND(CH276=1,CW276=1,CS276&lt;&gt;""),IFERROR(_xlfn.XLOOKUP(CS276,Линии[_n],Линии[_фаза итог]),"L1"),IF(OR(N(DL276)&gt;=3,N(BX276)&gt;=3),"L1,L2,L3",IFERROR(_xlfn.TEXTBEFORE(_xlfn.TEXTAFTER(_xlfn.XLOOKUP(A276,Щиты[Щит],Щиты[_фазы авто]),";"&amp;BA276&amp;":"),";"),"L1")))))</f>
        <v>L1</v>
      </c>
      <c r="FV276" t="str">
        <f t="shared" si="623"/>
        <v>L1</v>
      </c>
      <c r="FW276" t="str">
        <f t="shared" si="624"/>
        <v>L1</v>
      </c>
      <c r="FX276" cm="1">
        <f t="array" ref="FX276">IFERROR(IF(CD276=2,_xlfn.IFS(BX276=3,VLOOKUP(BS276,Справочная_двигатели,3,FALSE),BX276=1,VLOOKUP(BS276,Справочная_двигатели,5,TRUE)),0),0)</f>
        <v>0</v>
      </c>
      <c r="FY276">
        <f>IFERROR(IF(CD276=3,VLOOKUP(BS276,Справочная_ЛЭД,2,TRUE),0),0)</f>
        <v>0</v>
      </c>
      <c r="FZ276" s="6">
        <f t="shared" si="625"/>
        <v>0</v>
      </c>
      <c r="GA276" t="str">
        <f>IF(B276="","",IF(TRIM(AH276&amp;"")&lt;&gt;"",IF(LOWER(TRIM(AH276&amp;""))="да","да","нет"),IF(IFERROR(_xlfn.XLOOKUP(BC276,Коды_код,Коды_пожарная),"")="да","да","нет")))</f>
        <v>нет</v>
      </c>
      <c r="GB276" t="str">
        <f t="shared" si="626"/>
        <v/>
      </c>
      <c r="GC276" t="str">
        <f t="shared" si="627"/>
        <v>основная</v>
      </c>
      <c r="GD276">
        <f>IF(AND(BP276=1,TRIM(AE276&amp;"")=""),IF(COUNTIFS(Линии[Щит],A276,Линии[Секция (1/2/3)],"&gt;=2")&gt;0,MIN(3,MAX(1,IFERROR(--BD276,1))),1),IFERROR(MIN(3,MAX(1,INT(--AE276))),1))</f>
        <v>1</v>
      </c>
      <c r="GE276" t="str" cm="1">
        <f t="array" ref="GE276">IF(B276="","",_xlfn.LET(_xlpm.t,IFERROR(_xlfn.XLOOKUP(1,(Шины[Шина]=GC276)*(((Шины[Щит]=A276)+(Шины[Щит]=""))&gt;0),Шины[Тип]),"")&amp;"",IF(_xlpm.t&lt;&gt;"",_xlpm.t,IF(ISNUMBER(SEARCH("ИБП",GC276)),"ИБП",IF(ISNUMBER(SEARCH("ДГУ",GC276)),"ДГУ","Ввод "&amp;GD276)))))</f>
        <v>Ввод 1</v>
      </c>
      <c r="GF276" t="str">
        <f t="shared" si="628"/>
        <v>Ввод 1</v>
      </c>
      <c r="GG276" t="str">
        <f>IF(BP276=0,"",IF(TRIM(AG276&amp;"")&lt;&gt;"",TRIM(AG276&amp;""),IF(OR(GE276="ИБП",GE276="ДГУ"),"I особая",_xlfn.XLOOKUP(A276,Щиты[Щит],Щиты[Категория шины «Ввод»],"III"))))</f>
        <v/>
      </c>
      <c r="GH276" t="str">
        <f>IF(A276="","",_xlfn.XLOOKUP(A276,Щиты[Щит],Щиты[Путь],""))</f>
        <v>|ГРЩ-ЖД|ЩР-1|</v>
      </c>
      <c r="GI276" t="str">
        <f>IF(B276="","",IF(AI276&lt;&gt;"",AI276,IF(IFERROR(_xlfn.XLOOKUP(BC276,Коды_код,Коды_вид)&amp;"","")="","Прочее",_xlfn.XLOOKUP(BC276,Коды_код,Коды_вид)&amp;"")))</f>
        <v>Розеточная сеть и бытовые приборы</v>
      </c>
      <c r="GJ276">
        <f>IF(BM276="","",INT((BM276-1)/Столбцов_на_лист)+1)</f>
        <v>4</v>
      </c>
      <c r="GK276" t="str">
        <f t="shared" si="629"/>
        <v>ВВГнг(А)-LS (3х2,5) L=40-0,95%</v>
      </c>
      <c r="GL276">
        <f t="shared" si="630"/>
        <v>0.7</v>
      </c>
      <c r="GM276">
        <f t="shared" si="631"/>
        <v>3.1999999999999997</v>
      </c>
      <c r="GN276">
        <f t="shared" si="632"/>
        <v>1</v>
      </c>
      <c r="GO276">
        <f t="shared" si="633"/>
        <v>0</v>
      </c>
      <c r="GP276">
        <f t="shared" si="634"/>
        <v>1</v>
      </c>
      <c r="GQ276">
        <f>IF(BM276="","",IF(AND(CG276=1,GP276=1),COUNTIFS(A$3:A276,A276,CG$3:CG276,1,GP$3:GP276,1),IF(OR(OR(BA276=1,A276&lt;&gt;A275),AJ276="вручную",GP276=0),"",IF(BA276=1,"",GR275))))</f>
        <v>52</v>
      </c>
      <c r="GR276">
        <f t="shared" si="635"/>
        <v>52</v>
      </c>
      <c r="GS276">
        <f>IF(B276="","",IFERROR(LOOKUP(INDEX(CHOOSE(EB276,Iдоп_1ж,Iдоп_2ж,Iдоп_3ж),MATCH(EN276,Iдоп_S,0))*DZ276*EA276,{6,10,16,20,25,32,40,50,63,80,100,125,160,200,250,315,400,500,630}),""))</f>
        <v>25</v>
      </c>
      <c r="GT276" t="str">
        <f t="shared" si="636"/>
        <v>QFD52</v>
      </c>
      <c r="GU276" t="str">
        <f t="shared" si="637"/>
        <v>QFD52</v>
      </c>
      <c r="GV276" t="str">
        <f t="shared" si="638"/>
        <v/>
      </c>
      <c r="GW276">
        <f t="shared" si="639"/>
        <v>0</v>
      </c>
      <c r="GX276" t="str">
        <f>IF(OR(B276="",DJ276=""),"",IFERROR(_xlfn.XLOOKUP(DJ276,Модули_умолч[Управление],Модули_умолч[Модель])&amp;"",""))</f>
        <v/>
      </c>
      <c r="GY276">
        <f>IF(DJ276="",1,IFERROR(MAX(0,N(_xlfn.XLOOKUP(DJ276,Модули_умолч[Управление],Модули_умолч[Каналов на линию]))),1))</f>
        <v>1</v>
      </c>
      <c r="GZ276" t="str">
        <f t="shared" si="640"/>
        <v/>
      </c>
      <c r="HA276" t="str">
        <f t="shared" si="641"/>
        <v/>
      </c>
      <c r="HB276" t="str">
        <f t="shared" si="642"/>
        <v/>
      </c>
      <c r="HC276">
        <f>IF(HB276="",0,IFERROR(N(VLOOKUP(HB276,Модули_спр,3,FALSE)),0))</f>
        <v>0</v>
      </c>
      <c r="HD276" t="str">
        <f t="shared" si="643"/>
        <v/>
      </c>
      <c r="HE276" t="str">
        <f t="shared" si="644"/>
        <v/>
      </c>
      <c r="HF276" t="str">
        <f>IF(OR(HE276="",HE276="-"),"",IFERROR(VLOOKUP(HE276,Модули_спр,2,FALSE),"R"))</f>
        <v/>
      </c>
      <c r="HG276" t="str">
        <f>IF(HF276="","",HF276&amp;"."&amp;COUNTIFS(A$3:A276,A276,HF$3:HF276,HF276))</f>
        <v/>
      </c>
      <c r="HH276" t="str">
        <f t="shared" si="645"/>
        <v/>
      </c>
      <c r="HI276" t="str">
        <f t="shared" si="646"/>
        <v/>
      </c>
      <c r="HJ276" t="str">
        <f t="shared" si="647"/>
        <v/>
      </c>
      <c r="HK276" t="str">
        <f t="shared" si="648"/>
        <v/>
      </c>
      <c r="HL276">
        <f t="shared" si="649"/>
        <v>1</v>
      </c>
      <c r="HM276" t="str">
        <f>IF(HL276=1,"XT"&amp;COUNTIFS(A$3:A276,A276,HL$3:HL276,1),"")</f>
        <v>XT52</v>
      </c>
      <c r="HN276" t="str">
        <f t="shared" si="650"/>
        <v>XT52</v>
      </c>
      <c r="HO276" t="str">
        <f t="shared" si="651"/>
        <v>QFD52</v>
      </c>
      <c r="HP276" t="str">
        <f t="shared" si="652"/>
        <v/>
      </c>
      <c r="HQ276" t="str">
        <f t="shared" si="653"/>
        <v>ok</v>
      </c>
      <c r="HR276" t="str">
        <f>IF(OR(HJ276="",HH276=""),"",IF(HJ276+MAX(0,GY276-1)&gt;IFERROR(VLOOKUP(HI276,Модули_спр,3,FALSE),99),"ЛИШНИЙ КАНАЛ",IF(AND(AL276&lt;&gt;"=",GY276&gt;0,COUNTIFS(Линии[_модуль гр.],HH276,Линии[Канал (итог)],HJ276,Линии[Канал],"&lt;&gt;=",Линии[Щит],A276)&gt;1),"ДУБЛЬ КАНАЛА","")))</f>
        <v/>
      </c>
      <c r="HS276" s="6" t="str">
        <f t="shared" si="654"/>
        <v/>
      </c>
      <c r="HT276">
        <f t="shared" si="655"/>
        <v>10</v>
      </c>
      <c r="HU276" t="str">
        <f t="shared" si="656"/>
        <v/>
      </c>
      <c r="HV276">
        <f t="shared" si="657"/>
        <v>1.6762479634718042</v>
      </c>
      <c r="HW276">
        <f t="shared" si="658"/>
        <v>0</v>
      </c>
      <c r="HX276">
        <f t="shared" si="659"/>
        <v>0</v>
      </c>
      <c r="HY276">
        <f t="shared" si="660"/>
        <v>0</v>
      </c>
      <c r="HZ276">
        <f t="shared" si="661"/>
        <v>0</v>
      </c>
      <c r="IA276">
        <f t="shared" si="662"/>
        <v>0</v>
      </c>
      <c r="IB276">
        <f t="shared" si="663"/>
        <v>0</v>
      </c>
      <c r="IC276" t="str">
        <f t="shared" si="664"/>
        <v/>
      </c>
      <c r="ID276" t="str" cm="1">
        <f t="array" ref="ID276">IF(IC276="","",_xlfn.LET(_xlpm.tk,_xlfn.TEXTSPLIT(SUBSTITUTE(SUBSTITUTE(IC276,";"," "),"→"," ")," ",,TRUE),_xlpm.w_,_xlfn._xlws.FILTER(_xlpm.tk,ISNUMBER(--LEFT(_xlpm.tk,1))*((ISNUMBER(SEARCH("W",_xlpm.tk))+ISNUMBER(SEARCH("Вт",_xlpm.tk)))&gt;0),""),IFERROR(--SUBSTITUTE(SUBSTITUTE(UPPER(INDEX(_xlpm.w_,1)),"W",""),"ВТ",""),"")))</f>
        <v/>
      </c>
      <c r="IE276" t="str" cm="1">
        <f t="array" ref="IE276">IF(IC276="","",_xlfn.LET(_xlpm.tk,_xlfn.TEXTSPLIT(SUBSTITUTE(SUBSTITUTE(IC276,";"," "),"→"," ")," ",,TRUE),_xlpm.v_,_xlfn._xlws.FILTER(_xlpm.tk,ISNUMBER(--LEFT(_xlpm.tk,1))*((ISNUMBER(SEARCH("V",_xlpm.tk))+(RIGHT(UPPER(_xlpm.tk))="В"))&gt;0),""),IFERROR(--SUBSTITUTE(SUBSTITUTE(UPPER(INDEX(_xlpm.v_,1)),"V",""),"В",""),"")))</f>
        <v/>
      </c>
      <c r="IF276" s="6" t="str">
        <f>IF(OR(BV276=0,HI276="",HJ276=""),"",IFERROR(N(_xlfn.XLOOKUP(HI276,Каталог!$C$4:$C$500,Каталог!$Q$4:$Q$500)),""))</f>
        <v/>
      </c>
      <c r="IG276" s="6" t="str">
        <f>IF(N(IF276)=0,"",SUMIFS(Линии[Iр, А],Линии[Щит],A276,Линии[_модуль гр.],HH276,Линии[Канал (итог)],HJ276))</f>
        <v/>
      </c>
      <c r="IH276" t="str">
        <f>IF(AND(B276="",HO276=""),"",_xlfn.TEXTJOIN("; ",TRUE,IF(AND(B276&lt;&gt;"",FV276=""),"нет фазы",""),IF(AND(B276&lt;&gt;"",N(GL276)=0,FG276&lt;&gt;"Нет"),"нет мощности",""),IF(AND(HN276&lt;&gt;"",COUNTIFS(Линии[Щит],A276,Линии[Клемма (итог)],HN276)&gt;1),"дубль клеммы "&amp;HN276,""),IF(AND(HQ276&lt;&gt;"",HQ276&lt;&gt;"ok"),HQ276,""),IF(HR276&lt;&gt;"",HR276,""),IF(AND(N(CB276)&gt;=4,N(BX276)=1),CB276&amp;" жил на 1 фазе",""),IF(AND(BC276="R",CG276=1,IF(CS276&lt;&gt;"",N(CV276)&gt;30,OR(N(DA276)=0,N(DA276)&gt;30))),"розетка без дифзащиты до 30 мА",""),IF(AND(CG276=1,N(DA276)&gt;0,ISNUMBER(T276)),IF(T276&gt;N(DA276)/3,"ток утечки "&amp;FIXED(T276,1)&amp;" мА &gt; 1/3 уставки ("&amp;DA276&amp;" мА)",""),""),IF(AND(CH276=1,CS276=""),"«узо»: нет строки с УЗО выше (УЗО 2P 40А 30мА в «Аппаратах»)",""),IF(AND(CS276&lt;&gt;"",CS276=BA276),IF(CT276="","впишите номинал УЗО (УЗО 2P 40А 30мА)",IF(N(CT276)&lt;N(DT276),"УЗО "&amp;CT276&amp;" А &lt; автомата "&amp;DT276&amp;" А перед ним",IF(N(CT276)&lt;N(CX276),"УЗО "&amp;CT276&amp;" А &lt; тока блока "&amp;FIXED(CX276,1)&amp;" А",""))),""),IF(AND(CS276&lt;&gt;"",CS276=BA276,ISNUMBER(CY276)),IF(CY276&gt;N(CV276)/3,"ток утечки блока УЗО "&amp;FIXED(CY276,1)&amp;" мА &gt; 1/3 уставки ("&amp;CV276&amp;" мА)",""),""),IF(AND(CG276=1,N(BV276)+N(IB276)&gt;0,IC276=""),"линии до 50 В без БП: впишите в «Аппараты» (БП 24V 480W)",""),IF(AND(CG276=1,ISNUMBER(ID276),ISNUMBER(U276)),IF(U276&gt;ID276,"БП "&amp;ID276&amp;" Вт &lt; нужно "&amp;U276&amp;" Вт (×"&amp;Запас_БП&amp;")",""),""),IF(AND(CG276=1,ISNUMBER(IE276),N(BV276)=1),IF(IE276&lt;&gt;N(BU276),"БП на "&amp;IE276&amp;" В, линия "&amp;BU276&amp;" В",""),""),IF(AND(N(IF276)&gt;0,N(IG276)&gt;N(IF276)),HH276&amp;" канал "&amp;HJ276&amp;": "&amp;FIXED(IG276,1)&amp;" А &gt; "&amp;IF276&amp;" А",""),IFERROR(IF(AND(ISNUMBER(Q276),Q276&gt;EL276),"потери "&amp;FIXED(Q276,1)&amp;" % &gt; "&amp;EL276&amp;" %",""),""),IFERROR(IF(LEFT(HU276,4)="мало","Iкз мало — отключение &gt; 0,4 с",""),""),IF(AND(B276&lt;&gt;"",BM276=""),"не на схеме",""),IF(AND(CG276=0,B276&lt;&gt;"",FV276&lt;&gt;"",IF(BA276=1,"",FW275)&lt;&gt;"",FV276&lt;&gt;IF(BA276=1,"",FW275)),"фаза не как у автомата группы ("&amp;IF(BA276=1,"",FW275)&amp;")","")))</f>
        <v/>
      </c>
      <c r="II276" s="6">
        <f>IF(OR(CG276=0,DQ276=""),"",_xlfn.LET(_xlpm.t,IFERROR(_xlfn.XLOOKUP(DQ276,Каталог!$U$4:$U$500,Каталог!$G$4:$G$500),""),_xlpm.k,SEARCH("кА",_xlpm.t),IFERROR(--TRIM(RIGHT(SUBSTITUTE(MID(_xlpm.t,MAX(1,_xlpm.k-4),_xlpm.k-MAX(1,_xlpm.k-4))," ",REPT(" ",9)),5)),"")))</f>
        <v>6</v>
      </c>
      <c r="IJ276" t="str">
        <f>IF(OR(II276="",CG276=0),"",IF(_xlfn.XLOOKUP(A276,Щиты[Щит],Щиты[Iкз max на шинах, кА],"")="","",IF(II276&lt;_xlfn.XLOOKUP(A276,Щиты[Щит],Щиты[Iкз max на шинах, кА]),"Icu "&amp;II276&amp;" кА &lt; Iкз max","ok")))</f>
        <v/>
      </c>
      <c r="IK276" t="str">
        <f t="shared" si="665"/>
        <v/>
      </c>
      <c r="IL276" t="str">
        <f t="shared" si="666"/>
        <v>QFD52|XT52</v>
      </c>
      <c r="IM276" t="str">
        <f t="shared" si="667"/>
        <v>QFD52|XT52|кабель ВВГнг(А)-LS (3х2,5) → Розеточная группа Первый этаж Пом. №021A Подогреватель пищи и посуды</v>
      </c>
      <c r="IN276" t="str" cm="1">
        <f t="array" ref="IN276">IF(IM276="","",_xlfn.LET(_xlpm.nd,_xlfn.TEXTSPLIT(IM276,"|"),IF(COLUMNS(_xlpm.nd)&gt;1,A276&amp;"¦"&amp;INDEX(_xlpm.nd,1)&amp;"¦"&amp;INDEX(_xlpm.nd,2),"")))</f>
        <v>ЩР-1¦QFD52¦XT52</v>
      </c>
      <c r="IO276" t="str">
        <f t="shared" si="668"/>
        <v>R.1.021A.9¦Розеточная группа Первый этаж Пом. №021A Подогреватель пищи и посуды</v>
      </c>
      <c r="IP276" t="str" cm="1">
        <f t="array" ref="IP276">IF(IM276="","",_xlfn.LET(_xlpm.nd,_xlfn.TEXTSPLIT(IM276,"|"),IF(COLUMNS(_xlpm.nd)&gt;2,A276&amp;"¦"&amp;INDEX(_xlpm.nd,2)&amp;"¦"&amp;INDEX(_xlpm.nd,3),"")))</f>
        <v>ЩР-1¦XT52¦кабель ВВГнг(А)-LS (3х2,5) → Розеточная группа Первый этаж Пом. №021A Подогреватель пищи и посуды</v>
      </c>
      <c r="IQ276" t="str">
        <f t="shared" si="669"/>
        <v>R.1.021A.9¦Розеточная группа Первый этаж Пом. №021A Подогреватель пищи и посуды</v>
      </c>
      <c r="IR276" t="str" cm="1">
        <f t="array" ref="IR276">IF(IM276="","",_xlfn.LET(_xlpm.nd,_xlfn.TEXTSPLIT(IM276,"|"),IF(COLUMNS(_xlpm.nd)&gt;3,A276&amp;"¦"&amp;INDEX(_xlpm.nd,3)&amp;"¦"&amp;INDEX(_xlpm.nd,4),"")))</f>
        <v/>
      </c>
      <c r="IS276" t="str">
        <f t="shared" si="670"/>
        <v/>
      </c>
      <c r="IT276" t="str" cm="1">
        <f t="array" ref="IT276">IF(IM276="","",_xlfn.LET(_xlpm.nd,_xlfn.TEXTSPLIT(IM276,"|"),IF(COLUMNS(_xlpm.nd)&gt;4,A276&amp;"¦"&amp;INDEX(_xlpm.nd,4)&amp;"¦"&amp;INDEX(_xlpm.nd,5),"")))</f>
        <v/>
      </c>
      <c r="IU276" t="str">
        <f t="shared" si="671"/>
        <v/>
      </c>
      <c r="IV276" t="str" cm="1">
        <f t="array" ref="IV276">IF(IM276="","",_xlfn.LET(_xlpm.nd,_xlfn.TEXTSPLIT(IM276,"|"),IF(COLUMNS(_xlpm.nd)&gt;5,A276&amp;"¦"&amp;INDEX(_xlpm.nd,5)&amp;"¦"&amp;INDEX(_xlpm.nd,6),"")))</f>
        <v/>
      </c>
      <c r="IW276" t="str">
        <f t="shared" si="672"/>
        <v/>
      </c>
      <c r="IX276" t="str" cm="1">
        <f t="array" ref="IX276">IF(IM276="","",_xlfn.LET(_xlpm.nd,_xlfn.TEXTSPLIT(IM276,"|"),IF(COLUMNS(_xlpm.nd)&gt;6,A276&amp;"¦"&amp;INDEX(_xlpm.nd,6)&amp;"¦"&amp;INDEX(_xlpm.nd,7),"")))</f>
        <v/>
      </c>
      <c r="IY276" t="str">
        <f t="shared" si="673"/>
        <v/>
      </c>
      <c r="IZ276" t="str">
        <f t="shared" si="674"/>
        <v/>
      </c>
      <c r="JA276" t="str">
        <f t="shared" si="675"/>
        <v>QFD52 → XT52</v>
      </c>
      <c r="JB276">
        <f t="shared" si="676"/>
        <v>0</v>
      </c>
      <c r="JC276">
        <f t="shared" si="677"/>
        <v>1</v>
      </c>
      <c r="JD276" t="str">
        <f t="shared" si="678"/>
        <v/>
      </c>
      <c r="JE276" t="str">
        <f t="shared" si="679"/>
        <v/>
      </c>
      <c r="JF276" t="str">
        <f t="shared" si="680"/>
        <v/>
      </c>
      <c r="JG276" t="str">
        <f t="shared" si="681"/>
        <v/>
      </c>
      <c r="JH276" t="str">
        <f>IF(B276="","",IFERROR(_xlfn.XLOOKUP(B276,Коды_код,Коды_уго),IFERROR(_xlfn.XLOOKUP(BC276,Коды_код,Коды_уго),IFERROR(_xlfn.XLOOKUP(LEFT(BC276,2),Коды_код,Коды_уго),""))))</f>
        <v>Розетка</v>
      </c>
      <c r="JI276" t="str">
        <f>IF(B276="","",IF(OR(JH276="",JH276=0),"BOX",IFERROR(IF(VLOOKUP(JH276,УГО_блоки,3,FALSE)&amp;""&lt;&gt;"",VLOOKUP(JH276,УГО_блоки,3,FALSE),VLOOKUP(JH276,УГО_блоки,2,FALSE)),JH276)))</f>
        <v>SOCKET</v>
      </c>
      <c r="JJ276">
        <f t="shared" si="682"/>
        <v>1</v>
      </c>
      <c r="JK276" t="str">
        <f>IF(DQ276="","",IF(COUNTIF(DQ$3:DQ276,DQ276)=1,MAX(JK$2:JK275)+1,""))</f>
        <v/>
      </c>
      <c r="JL276" t="str">
        <f>IF(DE276="","",IF(COUNTIF(DE$3:DE276,DE276)+COUNTIF(DF$2:DF275,DE276)+COUNTIF(DG$2:DG275,DE276)=1,MAX(JL$2:JN275)+1,""))</f>
        <v/>
      </c>
      <c r="JM276" t="str">
        <f>IF(DF276="","",IF(COUNTIF(DE$3:DE276,DF276)+COUNTIF(DF$3:DF276,DF276)+COUNTIF(DG$2:DG275,DF276)=1,MAX(JL$2:JN275,JL276)+1,""))</f>
        <v/>
      </c>
      <c r="JN276" t="str">
        <f>IF(DG276="","",IF(COUNTIF(DE$3:DE276,DG276)+COUNTIF(DF$3:DF276,DG276)+COUNTIF(DG$3:DG276,DG276)=1,MAX(JL$2:JN275,JL276,JM276)+1,""))</f>
        <v/>
      </c>
      <c r="JO276" t="str">
        <f t="shared" si="683"/>
        <v>3х2,5</v>
      </c>
      <c r="JP276" t="str">
        <f>IF(JO276="","",IF(COUNTIF(JO$3:JO276,JO276)=1,MAX(JP$2:JP275)+1,""))</f>
        <v/>
      </c>
      <c r="JQ276" t="str">
        <f>IF(HG276="","",COUNTIF(HG$3:HG276,"?*"))</f>
        <v/>
      </c>
      <c r="JR276" t="str">
        <f>IF(OR(HG276="",HI276=""),"",IF(COUNTIFS(HG$3:HG276,"?*",HI$3:HI276,HI276)=1,MAX(JR$2:JR275)+1,""))</f>
        <v/>
      </c>
      <c r="JS276">
        <f t="shared" si="684"/>
        <v>0</v>
      </c>
      <c r="JT276">
        <f>IF(B276="","",COUNTIF(B$3:B276,"?*"))</f>
        <v>274</v>
      </c>
      <c r="JU276">
        <f>IF(HL276&lt;&gt;1,0,_xlfn.LET(_xlpm.k,MAX(IFERROR(--_xlfn.XLOOKUP(B276,Коды_код,Коды_3L),0),IFERROR(--_xlfn.XLOOKUP(BC276,Коды_код,Коды_3L),0),IFERROR(--_xlfn.XLOOKUP(LEFT(BC276,2),Коды_код,Коды_3L),0)),IF(_xlpm.k&gt;0,_xlpm.k,IF(IFERROR(--LEFT(SUBSTITUTE(JO276,"x","х"),FIND("х",SUBSTITUTE(JO276,"x","х"))-1),3)&gt;3,Каталог!$S$9,1))))</f>
        <v>1</v>
      </c>
      <c r="JV276">
        <f t="shared" si="685"/>
        <v>0</v>
      </c>
      <c r="JW276" t="str">
        <f t="shared" si="686"/>
        <v>авто</v>
      </c>
      <c r="JX276">
        <f t="shared" si="687"/>
        <v>30</v>
      </c>
      <c r="JY276">
        <f t="shared" si="688"/>
        <v>1</v>
      </c>
      <c r="JZ276">
        <f t="shared" si="689"/>
        <v>1</v>
      </c>
    </row>
    <row r="277" spans="1:286" x14ac:dyDescent="0.3">
      <c r="A277" t="s">
        <v>757</v>
      </c>
      <c r="B277" t="s">
        <v>1583</v>
      </c>
      <c r="C277" t="s">
        <v>1721</v>
      </c>
      <c r="D277">
        <v>1</v>
      </c>
      <c r="E277">
        <v>0.23</v>
      </c>
      <c r="G277" t="str">
        <f>Линии[[#This Row],[_авто автомат]]</f>
        <v>2P С16А 30мА</v>
      </c>
      <c r="H277" t="str">
        <f>Линии[[#This Row],[_авто управление]]</f>
        <v/>
      </c>
      <c r="I277" t="str">
        <f>Линии[[#This Row],[_авто аппараты]]</f>
        <v/>
      </c>
      <c r="J277">
        <v>2.5</v>
      </c>
      <c r="K277">
        <v>6</v>
      </c>
      <c r="L277" t="str">
        <f>Линии[[#This Row],[_авто фаза]]</f>
        <v>L2</v>
      </c>
      <c r="M277" t="str">
        <f>Линии[[#This Row],[_авто клемма]]</f>
        <v>XT53</v>
      </c>
      <c r="N277" t="str">
        <f t="shared" si="552"/>
        <v/>
      </c>
      <c r="O277" s="6" cm="1">
        <f t="array" ref="O277">IF(B277="","",IF(BH277&lt;&gt;"",IFERROR(_xlfn.XLOOKUP(BH277,Щиты[Щит],Щиты[Iр, А]),""),IF(BP277=1,IF(OR(N(_xlfn.XLOOKUP(A277,Щиты[Щит],Щиты[Вводов],1))&lt;=1,LOWER(TRIM(_xlfn.XLOOKUP(A277,Щиты[Щит],Щиты[АВР],"")&amp;""))="да"),IFERROR(_xlfn.XLOOKUP(A277,Щиты[Щит],Щиты[Iр, А]),""),IFERROR(N(BS277)*_xlfn.XLOOKUP(A277,Щиты[Щит],Щиты[Кс итог])/(SQRT(3)*Uн_лин*_xlfn.XLOOKUP(A277,Щиты[Щит],Щиты[cos φ])),"")),IF(BV277=1,IFERROR(BS277*1000/BU277,""),IFERROR(_xlfn.IFS(BX277=1,BS277/((Uн_лин/SQRT(3))*CE277),BX277=3,BS277/(SQRT(3)*Uн_лин*CE277)),"")))))</f>
        <v>1.0483465414232678</v>
      </c>
      <c r="P277" s="7">
        <f>IF(B277="","",IFERROR(IF(VLOOKUP(BC277,Потребители_обозначение,4,FALSE)=1,VLOOKUP(BC277,Потребители_обозначение,3,FALSE)*(MAX(1,N(D277))*2-1)+EI277+VLOOKUP(BE277,Этаж_обозначение,3,FALSE)+VLOOKUP(BE277,Этаж_обозначение,4,FALSE),VLOOKUP(BC277,Потребители_обозначение,3,FALSE)*(MAX(1,N(D277))*2-1)+EI277),EI277))</f>
        <v>9</v>
      </c>
      <c r="Q277" s="6">
        <f t="shared" si="553"/>
        <v>1.27</v>
      </c>
      <c r="R277" t="str">
        <f t="shared" si="554"/>
        <v>ВВГнг(А)-LS (3х2,5)</v>
      </c>
      <c r="S277" t="str">
        <f>IF(BM277="","",IF(BN277="вводной узел","узел ","")&amp;"л."&amp;(INT((BM277-1)/Столбцов_на_лист)+1)&amp;" / "&amp;(MOD(BM277-1,Столбцов_на_лист)+1))</f>
        <v>л.4 / 16</v>
      </c>
      <c r="T277" s="119">
        <f t="shared" si="555"/>
        <v>0.5</v>
      </c>
      <c r="U277" s="7" t="str">
        <f>IF(OR(CG277=0,N(BV277)+N(IB277)=0),"",ROUNDUP(Запас_БП*(N(HY277)+N(HZ277)),0))</f>
        <v/>
      </c>
      <c r="V277" s="119" t="str">
        <f t="shared" si="556"/>
        <v/>
      </c>
      <c r="W277" s="7" t="str">
        <f>IFERROR(IF(OR(B277="",BP277=1,BV277=1,NOT(ISNUMBER(EN277)),N(DT277)=0),"",MAX(0,ROUNDDOWN((c_min*(Uн_лин*1000/SQRT(3))/(HT277*N(DT277))-_xlfn.XLOOKUP(A277,Щиты[Щит],Щиты[Zпетли на шинах, Ом]))*EN277/(2*ρкз_Cu),0))),"")</f>
        <v/>
      </c>
      <c r="Y277">
        <f>Линии[[#This Row],[_авто утечка]]</f>
        <v>30</v>
      </c>
      <c r="Z277">
        <v>1</v>
      </c>
      <c r="AA277">
        <v>230</v>
      </c>
      <c r="AB277" t="s">
        <v>562</v>
      </c>
      <c r="AG277" t="s">
        <v>810</v>
      </c>
      <c r="AI277" t="s">
        <v>561</v>
      </c>
      <c r="AK277" t="str">
        <f>Линии[[#This Row],[_авто модуль]]</f>
        <v/>
      </c>
      <c r="AM277">
        <v>67</v>
      </c>
      <c r="AN277" t="s">
        <v>11</v>
      </c>
      <c r="AO277">
        <v>3</v>
      </c>
      <c r="AQ277">
        <v>0</v>
      </c>
      <c r="AR277">
        <v>0</v>
      </c>
      <c r="AS277">
        <v>6</v>
      </c>
      <c r="BA277" cm="1">
        <f t="array" ref="BA277">ROW()-ROW(Линии[#Headers])</f>
        <v>275</v>
      </c>
      <c r="BC277" s="6" t="str">
        <f t="shared" si="557"/>
        <v>R</v>
      </c>
      <c r="BD277" t="str">
        <f t="shared" si="558"/>
        <v>1.002Б.9</v>
      </c>
      <c r="BE277" t="str">
        <f t="shared" si="559"/>
        <v>1</v>
      </c>
      <c r="BF277" t="str">
        <f t="shared" si="560"/>
        <v>002Б.9</v>
      </c>
      <c r="BG277" t="str">
        <f t="shared" si="561"/>
        <v>002Б</v>
      </c>
      <c r="BH277" t="str">
        <f>IF(X277&lt;&gt;"",X277,IF(AND(B277&lt;&gt;"",B277&lt;&gt;A277,ISNUMBER(_xlfn.XMATCH(B277,Щиты[Щит]))),B277,""))</f>
        <v/>
      </c>
      <c r="BI277" t="str" cm="1">
        <f t="array" ref="BI277">IF(B277="","",IF(BH277&lt;&gt;"","Щит "&amp;BH277,_xlfn.LET(_xlpm.nm,IFERROR(_xlfn.XLOOKUP(BC277,Коды_код,Коды_имя)&amp;"",""),_xlpm.md,IFERROR(N(_xlfn.XLOOKUP(BC277,Коды_код,Коды_режим)),1),_xlpm.ex,IF(Имя_режим="по экспликации",IFERROR(_xlfn.XLOOKUP(BE277&amp;"|"&amp;BG277,Экспликация[Этаж]&amp;"|"&amp;Экспликация[Помещение],Экспликация[Название])&amp;"",""),""),_xlpm.rm,IF(BG277="","",IF(_xlpm.ex&lt;&gt;"",". "&amp;_xlpm.ex&amp;IF(Имя_пом="нет"," ("&amp;BG277&amp;")"," (пом. "&amp;BG277&amp;")"),IF(Имя_пом="нет"," ",", пом. ")&amp;BG277)),IF(_xlpm.nm="","",IF(_xlpm.md=2,_xlpm.nm&amp;" шлейф "&amp;BE277,_xlpm.nm&amp;_xlpm.rm)))))</f>
        <v>Розеточная группа, пом. 002Б</v>
      </c>
      <c r="BJ277" t="str">
        <f t="shared" si="562"/>
        <v>Розеточная группа Первый этаж Пом. №002Б Холодильник</v>
      </c>
      <c r="BK277">
        <f>IFERROR(_xlfn.XMATCH(A277,Щиты[Щит]),0)</f>
        <v>10</v>
      </c>
      <c r="BL277">
        <f>_xlfn.LET(_xlpm.k,IFERROR(_xlfn.XLOOKUP(A277,Щиты[Щит],Щиты[Мест под вводной узел]),""),IF(_xlpm.k="",Столбцов_на_лист,N(_xlpm.k)))</f>
        <v>8</v>
      </c>
      <c r="BM277">
        <f t="shared" si="563"/>
        <v>67</v>
      </c>
      <c r="BN277" t="str">
        <f t="shared" si="564"/>
        <v>линии</v>
      </c>
      <c r="BO277" s="6">
        <f>IFERROR(N(_xlfn.XLOOKUP(BC277,Коды_код,Коды_квт)),0)</f>
        <v>0</v>
      </c>
      <c r="BP277">
        <f t="shared" si="565"/>
        <v>0</v>
      </c>
      <c r="BQ277" t="str">
        <f>IF(B277="","",IF(BH277&lt;&gt;"",IFERROR(_xlfn.XLOOKUP(BH277,Щиты[Щит],Щиты[Руст, кВт]),0),IF(BP277=1,IF(OR(N(_xlfn.XLOOKUP(A277,Щиты[Щит],Щиты[Вводов],1))&lt;=1,LOWER(TRIM(_xlfn.XLOOKUP(A277,Щиты[Щит],Щиты[АВР],"")&amp;""))="да"),IFERROR(_xlfn.XLOOKUP(A277,Щиты[Щит],Щиты[Руст, кВт]),0),SUMIFS(Линии[_Р для вводов],Линии[Щит],A277,Линии[Источник для режимов],GF277)),IF(BO277&gt;0,ROUND(BO277*MAX(1,N(D277)),3),""))))</f>
        <v/>
      </c>
      <c r="BR277">
        <f t="shared" si="566"/>
        <v>0.23</v>
      </c>
      <c r="BS277" s="6">
        <f>IF(B277="","",IF(BH277&lt;&gt;"",IFERROR(_xlfn.XLOOKUP(BH277,Щиты[Щит],Щиты[Руст, кВт]),0),N(BR277)))</f>
        <v>0.23</v>
      </c>
      <c r="BT277" t="str">
        <f>IF(B277="","",IFERROR(IF(VLOOKUP(BC277,Потребители_обозначение,8,FALSE)=0,"",VLOOKUP(BC277,Потребители_обозначение,8,FALSE)),""))</f>
        <v/>
      </c>
      <c r="BU277">
        <f t="shared" si="567"/>
        <v>230</v>
      </c>
      <c r="BV277">
        <f t="shared" si="568"/>
        <v>0</v>
      </c>
      <c r="BW277">
        <f>IF(B277="","",IF(BH277&lt;&gt;"",3,IFERROR(IF(N(VLOOKUP(BC277,Потребители_обозначение,9,FALSE))=0,1,VLOOKUP(BC277,Потребители_обозначение,9,FALSE)),1)))</f>
        <v>1</v>
      </c>
      <c r="BX277">
        <f t="shared" si="569"/>
        <v>1</v>
      </c>
      <c r="BY277" t="str">
        <f>IF(B277="","",_xlfn.LET(_xlpm.bc,IFERROR(IF(VLOOKUP(BC277,Потребители_обозначение,6,FALSE)=0,"",VLOOKUP(BC277,Потребители_обозначение,6,FALSE)&amp;""),""),IF(AND(GA277="да",OR(_xlpm.bc="",_xlpm.bc="мс")),Марка_пож,IF(AND(_xlpm.bc="",BH277&lt;&gt;""),"мс",_xlpm.bc))))</f>
        <v/>
      </c>
      <c r="BZ277" t="str">
        <f t="shared" si="570"/>
        <v>мс</v>
      </c>
      <c r="CA277">
        <f>IF(B277="","",_xlfn.LET(_xlpm.cc,IFERROR(N(VLOOKUP(BC277,Потребители_обозначение,7,FALSE)),0),IF(_xlpm.cc&gt;0,_xlpm.cc,IF(BZ277="","",IF(BV277=1,2,IF(N(BX277)=3,5,3))))))</f>
        <v>3</v>
      </c>
      <c r="CB277">
        <f t="shared" si="571"/>
        <v>3</v>
      </c>
      <c r="CC277">
        <f>IFERROR(N(VLOOKUP(BC277,Потребители_обозначение,10,FALSE)),0)</f>
        <v>0</v>
      </c>
      <c r="CD277">
        <f>IFERROR(VLOOKUP(BC277,Потребители_обозначение,5,FALSE),0)</f>
        <v>1</v>
      </c>
      <c r="CE277" s="6" cm="1">
        <f t="array" ref="CE277">IF(B277="","",IF(BH277&lt;&gt;"",IFERROR(_xlfn.XLOOKUP(BH277,Щиты[Щит],Щиты[cos φ]),0.95),IF(BP277=1,IFERROR(_xlfn.XLOOKUP(A277,Щиты[Щит],Щиты[cos φ]),0.95),IF(ISNUMBER(AD277),AD277,IFERROR(IF(CD277=2,_xlfn.IFS(BX277=3,VLOOKUP(BS277,Справочная_двигатели,8,FALSE),BX277=1,VLOOKUP(BS277,Справочная_двигатели,10,TRUE)),IF(AND(Методика="нормы 2026",FG277="Сил"),0.8,0.95)),0.95)))))</f>
        <v>0.95</v>
      </c>
      <c r="CF277">
        <f t="shared" si="572"/>
        <v>0</v>
      </c>
      <c r="CG277">
        <f t="shared" si="573"/>
        <v>1</v>
      </c>
      <c r="CH277">
        <f t="shared" si="574"/>
        <v>0</v>
      </c>
      <c r="CI277">
        <f>IF(B277="","",IF(BV277=1,IFERROR(BS277/((Uн_лин/SQRT(3))*MAX(0.5,N(CE277))),0),N(O277)))</f>
        <v>1.0483465414232678</v>
      </c>
      <c r="CJ277">
        <f t="shared" si="575"/>
        <v>0</v>
      </c>
      <c r="CK277">
        <f t="shared" si="576"/>
        <v>0</v>
      </c>
      <c r="CL277">
        <f t="shared" si="577"/>
        <v>0</v>
      </c>
      <c r="CM277">
        <f t="shared" si="578"/>
        <v>0</v>
      </c>
      <c r="CN277">
        <f t="shared" si="579"/>
        <v>0</v>
      </c>
      <c r="CO277">
        <f>IF(BC277="",0,_xlfn.LET(_xlpm.v,IFERROR(_xlfn.XLOOKUP(B277,Коды_код,Коды_мА),IFERROR(_xlfn.XLOOKUP(BC277,Коды_код,Коды_мА),IFERROR(_xlfn.XLOOKUP(LEFT(BC277,2),Коды_код,Коды_мА),""))),IF(_xlpm.v="да",30,IF(ISNUMBER(_xlpm.v),_xlpm.v,0))))</f>
        <v>30</v>
      </c>
      <c r="CP277">
        <f t="shared" si="580"/>
        <v>30</v>
      </c>
      <c r="CQ277" t="str">
        <f>_xlfn.LET(_xlpm.k,IFERROR(_xlfn.XLOOKUP(BC277,Коды_код,Коды_утечка)&amp;"",""),IF(_xlpm.k="","дифавтомат",_xlpm.k))</f>
        <v>дифавтомат</v>
      </c>
      <c r="CR277" t="str" cm="1">
        <f t="array" ref="CR277">IF(CG277=0,"",_xlfn.LET(_xlpm.sg,TRIM(_xlfn.TEXTSPLIT(DD277&amp;"",";")),_xlpm.f_,_xlfn._xlws.FILTER(_xlpm.sg,LEFT(_xlpm.sg,3)="УЗО",""),IFERROR(INDEX(_xlpm.f_,1)&amp;"","")))</f>
        <v/>
      </c>
      <c r="CS277" t="str">
        <f t="shared" si="581"/>
        <v/>
      </c>
      <c r="CT277" s="6" t="str" cm="1">
        <f t="array" ref="CT277">IF(CR277="","",_xlfn.LET(_xlpm.tk,_xlfn.TEXTSPLIT(UPPER(CR277)," ",,TRUE),_xlpm.a_,_xlfn._xlws.FILTER(_xlpm.tk,ISNUMBER(--LEFT(_xlpm.tk,1))*((ISNUMBER(SEARCH("А",_xlpm.tk))+ISNUMBER(SEARCH("A",_xlpm.tk)))&gt;0)*NOT(ISNUMBER(SEARCH("МА",_xlpm.tk)))*NOT(ISNUMBER(SEARCH("MA",_xlpm.tk))),""),IFERROR(--SUBSTITUTE(SUBSTITUTE(INDEX(_xlpm.a_,1),"А",""),"A",""),"")))</f>
        <v/>
      </c>
      <c r="CU277" t="str" cm="1">
        <f t="array" ref="CU277">IF(CR277="","",_xlfn.LET(_xlpm.tk,_xlfn.TEXTSPLIT(UPPER(CR277)," ",,TRUE),_xlpm.a_,_xlfn._xlws.FILTER(_xlpm.tk,ISNUMBER(--LEFT(_xlpm.tk,1))*((ISNUMBER(SEARCH("МА",_xlpm.tk))+ISNUMBER(SEARCH("MA",_xlpm.tk)))&gt;0),""),IFERROR(--SUBSTITUTE(SUBSTITUTE(INDEX(_xlpm.a_,1),"МА",""),"MA",""),30)))</f>
        <v/>
      </c>
      <c r="CV277" t="str">
        <f>IF(CS277="","",IFERROR(_xlfn.XLOOKUP(CS277,Линии[_n],Линии[_УЗО, мА]),30))</f>
        <v/>
      </c>
      <c r="CW277">
        <f>IF(CS277="",0,IF(ISNUMBER(SEARCH("4P",IFERROR(_xlfn.XLOOKUP(CS277,Линии[_n],Линии[_УЗО строки])&amp;"",""))),0,1))</f>
        <v>0</v>
      </c>
      <c r="CX277" t="str">
        <f>IF(AND(CS277&lt;&gt;"",CS277=BA277),SUMIFS(Линии[_ток на 230 В],Линии[_блок УЗО],BA277,Линии[Щит],A277),"")</f>
        <v/>
      </c>
      <c r="CY277" t="str">
        <f>IF(AND(CS277&lt;&gt;"",CS277=BA277),SUMIFS(Линии[_ток утечки линии, мА],Линии[_блок УЗО],BA277,Линии[Щит],A277),"")</f>
        <v/>
      </c>
      <c r="CZ277">
        <f t="shared" si="582"/>
        <v>30</v>
      </c>
      <c r="DA277">
        <f t="shared" si="583"/>
        <v>30</v>
      </c>
      <c r="DB277">
        <f>IF(B277="",0,IFERROR(--_xlfn.XLOOKUP(B277,Коды_код,Коды_минавт),IFERROR(--_xlfn.XLOOKUP(BC277,Коды_код,Коды_минавт),IFERROR(--_xlfn.XLOOKUP(LEFT(BC277,2),Коды_код,Коды_минавт),0))))</f>
        <v>16</v>
      </c>
      <c r="DC277" t="str">
        <f>IF(B277="","",IFERROR(_xlfn.XLOOKUP(BC277,Коды_код,Коды_апп)&amp;"",""))</f>
        <v/>
      </c>
      <c r="DD277" t="str">
        <f t="shared" si="584"/>
        <v/>
      </c>
      <c r="DE277" t="str" cm="1">
        <f t="array" ref="DE277">IF(TRIM(DD277&amp;"")="","",IFERROR(TRIM(INDEX(_xlfn.TEXTSPLIT(DD277&amp;";;;",";"),1)),""))</f>
        <v/>
      </c>
      <c r="DF277" t="str" cm="1">
        <f t="array" ref="DF277">IF(TRIM(DD277&amp;"")="","",IFERROR(TRIM(INDEX(_xlfn.TEXTSPLIT(DD277&amp;";;;",";"),2)),""))</f>
        <v/>
      </c>
      <c r="DG277" t="str" cm="1">
        <f t="array" ref="DG277">IF(TRIM(DD277&amp;"")="","",IFERROR(TRIM(INDEX(_xlfn.TEXTSPLIT(DD277&amp;";;;",";"),3)),""))</f>
        <v/>
      </c>
      <c r="DH277">
        <f t="shared" si="585"/>
        <v>0</v>
      </c>
      <c r="DI277" t="str">
        <f>IF(B277="","",_xlfn.LET(_xlpm.t,LOWER(AZ277&amp;""),IF(ISNUMBER(SEARCH("dim",_xlpm.t)),"DIM",IF(ISNUMBER(SEARCH("dali",_xlpm.t)),"DALI",IF(OR(ISNUMBER(SEARCH("relay",_xlpm.t)),ISNUMBER(SEARCH("реле",_xlpm.t))),"Relay",IF(ISNUMBER(SEARCH("кнопк",_xlpm.t)),"",IFERROR(_xlfn.XLOOKUP(BC277,Коды_код,Коды_упр)&amp;"","")))))))</f>
        <v/>
      </c>
      <c r="DJ277" t="str">
        <f t="shared" si="586"/>
        <v/>
      </c>
      <c r="DK277">
        <f>IF(B277="","",_xlfn.LET(_xlpm.ig,IF(N(CX277)&gt;0,N(CX277),N(CI277)+IF(AJ277="вручную",0,N(CJ277))),_xlpm.n0,IFERROR(VLOOKUP(_xlpm.ig,Автомат_номиналы,2,TRUE),0),_xlpm.mn,MAX(DB277,IF(AJ277="вручную",0,N(CM277))),MAX(_xlpm.n0,_xlpm.mn,IF(DH277=1,Мин_автомат_БП,0))))</f>
        <v>16</v>
      </c>
      <c r="DL277">
        <f t="shared" si="587"/>
        <v>1</v>
      </c>
      <c r="DM277" t="str">
        <f t="shared" si="588"/>
        <v>2P</v>
      </c>
      <c r="DN277" t="str">
        <f>_xlfn.LET(_xlpm.cc,UPPER(TRIM(IFERROR(_xlfn.XLOOKUP(BC277,Коды_код,Коды_хар)&amp;"",""))),IF(OR(_xlpm.cc="B",_xlpm.cc="В"),"B",IF(_xlpm.cc="D","D","С")))</f>
        <v>С</v>
      </c>
      <c r="DO277" t="str">
        <f t="shared" si="589"/>
        <v>2P С16А 30мА</v>
      </c>
      <c r="DP277" t="str">
        <f t="shared" si="590"/>
        <v>2P С16А 30мА</v>
      </c>
      <c r="DQ277" t="str">
        <f t="shared" si="591"/>
        <v>2P С16А 30мА</v>
      </c>
      <c r="DR277" cm="1">
        <f t="array" ref="DR277">IF(DQ277="","",_xlfn.LET(_xlpm.t,SUBSTITUTE(SUBSTITUTE(SUBSTITUTE(UPPER(DQ277),"С","C"),"А","A"),"В","B"),_xlpm.tk,_xlfn.TEXTSPLIT(_xlpm.t," "),_xlpm.f,_xlfn._xlws.FILTER(_xlpm.tk,ISNUMBER(--MID(_xlpm.tk,2,1))*ISNUMBER(SEARCH(LEFT(_xlpm.tk,1)&amp;"#","B#C#D#"))*(LEN(_xlpm.tk)&gt;1),""),_xlpm.x,INDEX(_xlpm.f,1),IFERROR(--SUBSTITUTE(MID(_xlpm.x,2,9),"A",""),IFERROR(--SUBSTITUTE(INDEX(_xlfn._xlws.FILTER(_xlpm.tk,ISNUMBER(--SUBSTITUTE(_xlpm.tk,"A","")),""),1),"A",""),""))))</f>
        <v>16</v>
      </c>
      <c r="DS277" t="str">
        <f t="shared" si="592"/>
        <v>ok</v>
      </c>
      <c r="DT277">
        <f t="shared" si="593"/>
        <v>16</v>
      </c>
      <c r="DU277" t="str">
        <f t="shared" si="594"/>
        <v>2P С16А 30мА</v>
      </c>
      <c r="DV277">
        <f t="shared" si="595"/>
        <v>30</v>
      </c>
      <c r="DW277">
        <f t="shared" si="596"/>
        <v>1</v>
      </c>
      <c r="DX277">
        <f t="shared" si="597"/>
        <v>0</v>
      </c>
      <c r="DY277">
        <f t="shared" si="598"/>
        <v>1.0483465414232678</v>
      </c>
      <c r="DZ277">
        <f t="shared" si="599"/>
        <v>1</v>
      </c>
      <c r="EA277">
        <f>IF(ISNUMBER(AP277),AP277,К_прокл)</f>
        <v>1</v>
      </c>
      <c r="EB277">
        <f t="shared" si="600"/>
        <v>2</v>
      </c>
      <c r="EC277">
        <f>IFERROR(N(VLOOKUP(BZ277,Кабель_обозначение,3,FALSE)),1)</f>
        <v>1</v>
      </c>
      <c r="ED277">
        <f>IFERROR(N(_xlfn.XLOOKUP(A277,Щиты[Щит],Щиты[ΔU до шин, %])),0)</f>
        <v>1.19</v>
      </c>
      <c r="EE277" t="str">
        <f>IFERROR(_xlfn.XLOOKUP(A277,Щиты[Щит],Щиты[Zпетли на шинах, Ом]),"")</f>
        <v/>
      </c>
      <c r="EF277">
        <f>IFERROR(N(_xlfn.XLOOKUP(A277,Щиты[Щит],Щиты[ΔU до шин (подбор), %])),0)</f>
        <v>1.19</v>
      </c>
      <c r="EG277" t="str">
        <f>IFERROR(_xlfn.XLOOKUP(A277,Щиты[Щит],Щиты[Zпетли на шинах (подбор), Ом]),"")</f>
        <v/>
      </c>
      <c r="EH277" t="str">
        <f t="shared" si="601"/>
        <v/>
      </c>
      <c r="EI277">
        <f t="shared" si="602"/>
        <v>6</v>
      </c>
      <c r="EJ277">
        <f t="shared" si="603"/>
        <v>2</v>
      </c>
      <c r="EK277">
        <f t="shared" si="604"/>
        <v>0.31</v>
      </c>
      <c r="EL277" s="6">
        <f>IF(B277="","",IF(BV277=1,dU_LED,IF(IFERROR(_xlfn.XLOOKUP(BC277,Коды_код,Коды_уго),"")="Светильник",3,4)+IF(Методика="нормы 2026",MIN(0.5,MAX(0,N(P277)-100)*0.005),0)))</f>
        <v>4</v>
      </c>
      <c r="EM277" cm="1">
        <f t="array" ref="EM277">IF(OR(B277="",BZ277="",EC277&lt;&gt;1),"",_xlfn.LET(_xlpm.sz,Iдоп_S,_xlpm.t_,CHOOSE(EB277,Iдоп_1ж,Iдоп_2ж,Iдоп_3ж)*DZ277*EA277,_xlpm.dcx,BV277=1,_xlpm.inn,IF(_xlpm.dcx,N(O277),N(DT277)),_xlpm.smin,MAX(1.5,CC277),_xlpm.L_,N(P277)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277)/N(BU277)*100,999),IFERROR(N(EJ277)*(_xlpm.rho*_xlpm.L_/_xlpm.sz*N(CE277)+_xlpm.xx*_xlpm.L_*N(EK277)/1000)*N(O277)/((Uн_лин/SQRT(3))*1000)*100,999)),_xlpm.kz,IF(OR(_xlpm.dcx,DW277=1,NOT(ISNUMBER(EG277)),_xlpm.L_=0,_xlpm.inn=0),1,IFERROR(--(c_min*(Uн_лин*1000/SQRT(3))/(EG277+2*ρкз_Cu*_xlpm.L_/_xlpm.sz)&gt;=HT277*_xlpm.inn),0)),_xlpm.ok,IFERROR((_xlpm.sz&gt;=_xlpm.smin)*(_xlpm.t_&gt;=_xlpm.inn)*IF(_xlpm.L_&gt;0,(_xlpm.du_+IF(_xlpm.dcx,0,EF277)&lt;=EL277+0.00001),1)*_xlpm.kz,0),_xlpm.r_,_xlfn._xlws.FILTER(_xlpm.sz,_xlpm.ok,"не подобрано"),INDEX(_xlpm.r_,1)))</f>
        <v>1.5</v>
      </c>
      <c r="EN277">
        <f t="shared" si="605"/>
        <v>2.5</v>
      </c>
      <c r="EO277" cm="1">
        <f t="array" ref="EO277">IF(OR(B277="",BZ277="",EC277&lt;&gt;1),"",_xlfn.LET(_xlpm.sz,Iдоп_S,_xlpm.t_,CHOOSE(EB277,Iдоп_1ж,Iдоп_2ж,Iдоп_3ж)*DZ277*EA277,_xlpm.ok,IFERROR((_xlpm.sz&gt;=MAX(1.5,CC277))*(_xlpm.t_&gt;=N(DT277)),0),_xlpm.r_,_xlfn._xlws.FILTER(_xlpm.sz,_xlpm.ok,""),INDEX(_xlpm.r_,1)))</f>
        <v>1.5</v>
      </c>
      <c r="EP277" s="6" cm="1">
        <f t="array" ref="EP277">IFERROR(ROUNDUP(N(EJ277)*(_xlfn.XLOOKUP(EO277,INDEX(Кабель_сопротивление,0,1),INDEX(Кабель_сопротивление,0,3))*N(P277)/EO277*N(CE277)+_xlfn.XLOOKUP(EO277,INDEX(Кабель_сопротивление,0,1),INDEX(Кабель_сопротивление,0,2))*N(P277)*N(EK277)/1000)*N(O277)/((Uн_лин/SQRT(3))*1000)*100,2),"")</f>
        <v>0.12</v>
      </c>
      <c r="EQ277">
        <f>IFERROR(2*ρкз_Cu*N(P277)/EO277,"")</f>
        <v>0.31559999999999999</v>
      </c>
      <c r="ER277">
        <f>IFERROR(VLOOKUP(EN277,Кабель_сопротивление,3,FALSE),"")</f>
        <v>2.2499999999999999E-2</v>
      </c>
      <c r="ES277">
        <f>IFERROR(VLOOKUP(EN277,Кабель_сопротивление,2,FALSE),"")</f>
        <v>0.1</v>
      </c>
      <c r="ET277">
        <f t="shared" si="606"/>
        <v>0</v>
      </c>
      <c r="EU277">
        <f t="shared" si="607"/>
        <v>6</v>
      </c>
      <c r="EV277">
        <f t="shared" si="608"/>
        <v>0.16192551009515507</v>
      </c>
      <c r="EW277" s="6">
        <f>IFERROR(ROUNDUP(EV277/IF(BV277=1,BU277,(Uн_лин/SQRT(3))*1000)*100,2),"")</f>
        <v>0.08</v>
      </c>
      <c r="EX277" t="str">
        <f>IFERROR(VLOOKUP(BZ277,Кабель_обозначение,2,FALSE),"")</f>
        <v>ВВГнг(А)-LS</v>
      </c>
      <c r="EY277" t="str">
        <f t="shared" si="609"/>
        <v>ВВГнг(А)-LS (3х2,5)</v>
      </c>
      <c r="EZ277" t="str">
        <f t="shared" si="610"/>
        <v>ВВГнг(А)-LS (3х2,5)
L=9-0,08%</v>
      </c>
      <c r="FA277">
        <f>IFERROR(2*ρкз_Cu*P277/EN277,"")</f>
        <v>0.18936</v>
      </c>
      <c r="FB277">
        <f t="shared" si="611"/>
        <v>6.3000000000000014E-2</v>
      </c>
      <c r="FC277" s="6" t="str">
        <f>IFERROR(IF(OR(B277="",BV277=1,NOT(ISNUMBER(EN277)),N(P277)=0),"",_xlfn.XLOOKUP(A277,Щиты[Щит],Щиты[Zпетли на шинах, Ом])+FA277),"")</f>
        <v/>
      </c>
      <c r="FD277" s="6" t="str">
        <f>IF(ISNUMBER(FC277),c_min*(Uн_лин*1000/SQRT(3))/FC277,"")</f>
        <v/>
      </c>
      <c r="FE277" s="6" t="str">
        <f>IFERROR(IF(OR(B277="",NOT(ISNUMBER(EN277))),"",1.05*(Uн_лин*1000/SQRT(3))/(_xlfn.XLOOKUP(A277,Щиты[Щит],Щиты[Zmax на шинах, Ом])+FB277)/1000),"")</f>
        <v/>
      </c>
      <c r="FF277" s="6" t="str">
        <f>IF(B277="","",IF(ISNUMBER(AC277),"Сил",IF(IFERROR(_xlfn.XLOOKUP(BC277,Коды_код,Коды_группа)&amp;"","")="","Быт",_xlfn.XLOOKUP(BC277,Коды_код,Коды_группа)&amp;"")))</f>
        <v>Быт</v>
      </c>
      <c r="FG277" s="6" t="str">
        <f t="shared" si="612"/>
        <v>Быт</v>
      </c>
      <c r="FH277" s="6">
        <f>IF(FG277="Щит","щит",IF(FG277="","",IF(FG277="Быт",IFERROR(_xlfn.XLOOKUP(A277,Щиты[Щит],Щиты[Кс быт]),1),IF(FG277="Сил",IF(ISNUMBER(AC277),AC277,IF(Методика="нормы 2026",IFERROR(_xlfn.XLOOKUP(A277,Щиты[Щит],Щиты[Кс силовых (табл. 7.5)]),1),1)),IF(OR(FG277="Пост",FG277="Отоп"),1,IF(FG277="ВНГ",0.7,0))))))</f>
        <v>0.57830000000000004</v>
      </c>
      <c r="FI277">
        <f>IF(FG277="","",IF(AND(BP277=1,TRIM(AE277&amp;"")=""),IF(COUNTIFS(Линии[Щит],A277,Линии[Секция (1/2/3)],"&gt;=2")&gt;0,MIN(3,MAX(1,IFERROR(--BD277,1))),1),IFERROR(MIN(3,MAX(1,INT(--AE277))),1)))</f>
        <v>1</v>
      </c>
      <c r="FJ277">
        <f t="shared" si="613"/>
        <v>0.23</v>
      </c>
      <c r="FK277">
        <f t="shared" si="614"/>
        <v>0.23</v>
      </c>
      <c r="FL277">
        <f t="shared" si="615"/>
        <v>0</v>
      </c>
      <c r="FM277">
        <f t="shared" si="616"/>
        <v>0</v>
      </c>
      <c r="FN277">
        <f t="shared" si="617"/>
        <v>0</v>
      </c>
      <c r="FO277">
        <f t="shared" si="618"/>
        <v>0</v>
      </c>
      <c r="FP277">
        <f t="shared" si="619"/>
        <v>0.23</v>
      </c>
      <c r="FQ277">
        <f t="shared" si="620"/>
        <v>0.23</v>
      </c>
      <c r="FR277">
        <f t="shared" si="621"/>
        <v>0.2185</v>
      </c>
      <c r="FS277">
        <f>IF(CG277=1,IF(AND(CH277=1,CW277=1),0,IF(AND(CS277&lt;&gt;"",CS277=BA277,CW277=1),SUMIFS(Линии[_Р линии, кВт],Линии[_блок УЗО],BA277,Линии[Щит],A277),N(BS277)+IF(AJ277="вручную",0,N(CK277)))),0)</f>
        <v>0.23</v>
      </c>
      <c r="FT277" t="str">
        <f t="shared" si="622"/>
        <v/>
      </c>
      <c r="FU277" t="str">
        <f>IF(B277="","",IF(CG277=0,IF(BA277=1,"",FW276),IF(AND(CH277=1,CW277=1,CS277&lt;&gt;""),IFERROR(_xlfn.XLOOKUP(CS277,Линии[_n],Линии[_фаза итог]),"L1"),IF(OR(N(DL277)&gt;=3,N(BX277)&gt;=3),"L1,L2,L3",IFERROR(_xlfn.TEXTBEFORE(_xlfn.TEXTAFTER(_xlfn.XLOOKUP(A277,Щиты[Щит],Щиты[_фазы авто]),";"&amp;BA277&amp;":"),";"),"L1")))))</f>
        <v>L2</v>
      </c>
      <c r="FV277" t="str">
        <f t="shared" si="623"/>
        <v>L2</v>
      </c>
      <c r="FW277" t="str">
        <f t="shared" si="624"/>
        <v>L2</v>
      </c>
      <c r="FX277" cm="1">
        <f t="array" ref="FX277">IFERROR(IF(CD277=2,_xlfn.IFS(BX277=3,VLOOKUP(BS277,Справочная_двигатели,3,FALSE),BX277=1,VLOOKUP(BS277,Справочная_двигатели,5,TRUE)),0),0)</f>
        <v>0</v>
      </c>
      <c r="FY277">
        <f>IFERROR(IF(CD277=3,VLOOKUP(BS277,Справочная_ЛЭД,2,TRUE),0),0)</f>
        <v>0</v>
      </c>
      <c r="FZ277" s="6">
        <f t="shared" si="625"/>
        <v>0</v>
      </c>
      <c r="GA277" t="str">
        <f>IF(B277="","",IF(TRIM(AH277&amp;"")&lt;&gt;"",IF(LOWER(TRIM(AH277&amp;""))="да","да","нет"),IF(IFERROR(_xlfn.XLOOKUP(BC277,Коды_код,Коды_пожарная),"")="да","да","нет")))</f>
        <v>нет</v>
      </c>
      <c r="GB277" t="str">
        <f t="shared" si="626"/>
        <v/>
      </c>
      <c r="GC277" t="str">
        <f t="shared" si="627"/>
        <v>основная</v>
      </c>
      <c r="GD277">
        <f>IF(AND(BP277=1,TRIM(AE277&amp;"")=""),IF(COUNTIFS(Линии[Щит],A277,Линии[Секция (1/2/3)],"&gt;=2")&gt;0,MIN(3,MAX(1,IFERROR(--BD277,1))),1),IFERROR(MIN(3,MAX(1,INT(--AE277))),1))</f>
        <v>1</v>
      </c>
      <c r="GE277" t="str" cm="1">
        <f t="array" ref="GE277">IF(B277="","",_xlfn.LET(_xlpm.t,IFERROR(_xlfn.XLOOKUP(1,(Шины[Шина]=GC277)*(((Шины[Щит]=A277)+(Шины[Щит]=""))&gt;0),Шины[Тип]),"")&amp;"",IF(_xlpm.t&lt;&gt;"",_xlpm.t,IF(ISNUMBER(SEARCH("ИБП",GC277)),"ИБП",IF(ISNUMBER(SEARCH("ДГУ",GC277)),"ДГУ","Ввод "&amp;GD277)))))</f>
        <v>Ввод 1</v>
      </c>
      <c r="GF277" t="str">
        <f t="shared" si="628"/>
        <v>Ввод 1</v>
      </c>
      <c r="GG277" t="str">
        <f>IF(BP277=0,"",IF(TRIM(AG277&amp;"")&lt;&gt;"",TRIM(AG277&amp;""),IF(OR(GE277="ИБП",GE277="ДГУ"),"I особая",_xlfn.XLOOKUP(A277,Щиты[Щит],Щиты[Категория шины «Ввод»],"III"))))</f>
        <v/>
      </c>
      <c r="GH277" t="str">
        <f>IF(A277="","",_xlfn.XLOOKUP(A277,Щиты[Щит],Щиты[Путь],""))</f>
        <v>|ГРЩ-ЖД|ЩР-1|</v>
      </c>
      <c r="GI277" t="str">
        <f>IF(B277="","",IF(AI277&lt;&gt;"",AI277,IF(IFERROR(_xlfn.XLOOKUP(BC277,Коды_код,Коды_вид)&amp;"","")="","Прочее",_xlfn.XLOOKUP(BC277,Коды_код,Коды_вид)&amp;"")))</f>
        <v>Розеточная сеть и бытовые приборы</v>
      </c>
      <c r="GJ277">
        <f>IF(BM277="","",INT((BM277-1)/Столбцов_на_лист)+1)</f>
        <v>4</v>
      </c>
      <c r="GK277" t="str">
        <f t="shared" si="629"/>
        <v>ВВГнг(А)-LS (3х2,5) L=9-0,08%</v>
      </c>
      <c r="GL277">
        <f t="shared" si="630"/>
        <v>0.23</v>
      </c>
      <c r="GM277">
        <f t="shared" si="631"/>
        <v>1.05</v>
      </c>
      <c r="GN277">
        <f t="shared" si="632"/>
        <v>1</v>
      </c>
      <c r="GO277">
        <f t="shared" si="633"/>
        <v>0</v>
      </c>
      <c r="GP277">
        <f t="shared" si="634"/>
        <v>1</v>
      </c>
      <c r="GQ277">
        <f>IF(BM277="","",IF(AND(CG277=1,GP277=1),COUNTIFS(A$3:A277,A277,CG$3:CG277,1,GP$3:GP277,1),IF(OR(OR(BA277=1,A277&lt;&gt;A276),AJ277="вручную",GP277=0),"",IF(BA277=1,"",GR276))))</f>
        <v>53</v>
      </c>
      <c r="GR277">
        <f t="shared" si="635"/>
        <v>53</v>
      </c>
      <c r="GS277">
        <f>IF(B277="","",IFERROR(LOOKUP(INDEX(CHOOSE(EB277,Iдоп_1ж,Iдоп_2ж,Iдоп_3ж),MATCH(EN277,Iдоп_S,0))*DZ277*EA277,{6,10,16,20,25,32,40,50,63,80,100,125,160,200,250,315,400,500,630}),""))</f>
        <v>25</v>
      </c>
      <c r="GT277" t="str">
        <f t="shared" si="636"/>
        <v>QFD53</v>
      </c>
      <c r="GU277" t="str">
        <f t="shared" si="637"/>
        <v>QFD53</v>
      </c>
      <c r="GV277" t="str">
        <f t="shared" si="638"/>
        <v/>
      </c>
      <c r="GW277">
        <f t="shared" si="639"/>
        <v>0</v>
      </c>
      <c r="GX277" t="str">
        <f>IF(OR(B277="",DJ277=""),"",IFERROR(_xlfn.XLOOKUP(DJ277,Модули_умолч[Управление],Модули_умолч[Модель])&amp;"",""))</f>
        <v/>
      </c>
      <c r="GY277">
        <f>IF(DJ277="",1,IFERROR(MAX(0,N(_xlfn.XLOOKUP(DJ277,Модули_умолч[Управление],Модули_умолч[Каналов на линию]))),1))</f>
        <v>1</v>
      </c>
      <c r="GZ277" t="str">
        <f t="shared" si="640"/>
        <v/>
      </c>
      <c r="HA277" t="str">
        <f t="shared" si="641"/>
        <v/>
      </c>
      <c r="HB277" t="str">
        <f t="shared" si="642"/>
        <v/>
      </c>
      <c r="HC277">
        <f>IF(HB277="",0,IFERROR(N(VLOOKUP(HB277,Модули_спр,3,FALSE)),0))</f>
        <v>0</v>
      </c>
      <c r="HD277" t="str">
        <f t="shared" si="643"/>
        <v/>
      </c>
      <c r="HE277" t="str">
        <f t="shared" si="644"/>
        <v/>
      </c>
      <c r="HF277" t="str">
        <f>IF(OR(HE277="",HE277="-"),"",IFERROR(VLOOKUP(HE277,Модули_спр,2,FALSE),"R"))</f>
        <v/>
      </c>
      <c r="HG277" t="str">
        <f>IF(HF277="","",HF277&amp;"."&amp;COUNTIFS(A$3:A277,A277,HF$3:HF277,HF277))</f>
        <v/>
      </c>
      <c r="HH277" t="str">
        <f t="shared" si="645"/>
        <v/>
      </c>
      <c r="HI277" t="str">
        <f t="shared" si="646"/>
        <v/>
      </c>
      <c r="HJ277" t="str">
        <f t="shared" si="647"/>
        <v/>
      </c>
      <c r="HK277" t="str">
        <f t="shared" si="648"/>
        <v/>
      </c>
      <c r="HL277">
        <f t="shared" si="649"/>
        <v>1</v>
      </c>
      <c r="HM277" t="str">
        <f>IF(HL277=1,"XT"&amp;COUNTIFS(A$3:A277,A277,HL$3:HL277,1),"")</f>
        <v>XT53</v>
      </c>
      <c r="HN277" t="str">
        <f t="shared" si="650"/>
        <v>XT53</v>
      </c>
      <c r="HO277" t="str">
        <f t="shared" si="651"/>
        <v>QFD53</v>
      </c>
      <c r="HP277" t="str">
        <f t="shared" si="652"/>
        <v/>
      </c>
      <c r="HQ277" t="str">
        <f t="shared" si="653"/>
        <v>ok</v>
      </c>
      <c r="HR277" t="str">
        <f>IF(OR(HJ277="",HH277=""),"",IF(HJ277+MAX(0,GY277-1)&gt;IFERROR(VLOOKUP(HI277,Модули_спр,3,FALSE),99),"ЛИШНИЙ КАНАЛ",IF(AND(AL277&lt;&gt;"=",GY277&gt;0,COUNTIFS(Линии[_модуль гр.],HH277,Линии[Канал (итог)],HJ277,Линии[Канал],"&lt;&gt;=",Линии[Щит],A277)&gt;1),"ДУБЛЬ КАНАЛА","")))</f>
        <v/>
      </c>
      <c r="HS277" s="6" t="str">
        <f t="shared" si="654"/>
        <v/>
      </c>
      <c r="HT277">
        <f t="shared" si="655"/>
        <v>10</v>
      </c>
      <c r="HU277" t="str">
        <f t="shared" si="656"/>
        <v/>
      </c>
      <c r="HV277">
        <f t="shared" si="657"/>
        <v>0.50933861656930712</v>
      </c>
      <c r="HW277">
        <f t="shared" si="658"/>
        <v>0</v>
      </c>
      <c r="HX277">
        <f t="shared" si="659"/>
        <v>0</v>
      </c>
      <c r="HY277">
        <f t="shared" si="660"/>
        <v>0</v>
      </c>
      <c r="HZ277">
        <f t="shared" si="661"/>
        <v>0</v>
      </c>
      <c r="IA277">
        <f t="shared" si="662"/>
        <v>0</v>
      </c>
      <c r="IB277">
        <f t="shared" si="663"/>
        <v>0</v>
      </c>
      <c r="IC277" t="str">
        <f t="shared" si="664"/>
        <v/>
      </c>
      <c r="ID277" t="str" cm="1">
        <f t="array" ref="ID277">IF(IC277="","",_xlfn.LET(_xlpm.tk,_xlfn.TEXTSPLIT(SUBSTITUTE(SUBSTITUTE(IC277,";"," "),"→"," ")," ",,TRUE),_xlpm.w_,_xlfn._xlws.FILTER(_xlpm.tk,ISNUMBER(--LEFT(_xlpm.tk,1))*((ISNUMBER(SEARCH("W",_xlpm.tk))+ISNUMBER(SEARCH("Вт",_xlpm.tk)))&gt;0),""),IFERROR(--SUBSTITUTE(SUBSTITUTE(UPPER(INDEX(_xlpm.w_,1)),"W",""),"ВТ",""),"")))</f>
        <v/>
      </c>
      <c r="IE277" t="str" cm="1">
        <f t="array" ref="IE277">IF(IC277="","",_xlfn.LET(_xlpm.tk,_xlfn.TEXTSPLIT(SUBSTITUTE(SUBSTITUTE(IC277,";"," "),"→"," ")," ",,TRUE),_xlpm.v_,_xlfn._xlws.FILTER(_xlpm.tk,ISNUMBER(--LEFT(_xlpm.tk,1))*((ISNUMBER(SEARCH("V",_xlpm.tk))+(RIGHT(UPPER(_xlpm.tk))="В"))&gt;0),""),IFERROR(--SUBSTITUTE(SUBSTITUTE(UPPER(INDEX(_xlpm.v_,1)),"V",""),"В",""),"")))</f>
        <v/>
      </c>
      <c r="IF277" s="6" t="str">
        <f>IF(OR(BV277=0,HI277="",HJ277=""),"",IFERROR(N(_xlfn.XLOOKUP(HI277,Каталог!$C$4:$C$500,Каталог!$Q$4:$Q$500)),""))</f>
        <v/>
      </c>
      <c r="IG277" s="6" t="str">
        <f>IF(N(IF277)=0,"",SUMIFS(Линии[Iр, А],Линии[Щит],A277,Линии[_модуль гр.],HH277,Линии[Канал (итог)],HJ277))</f>
        <v/>
      </c>
      <c r="IH277" t="str">
        <f>IF(AND(B277="",HO277=""),"",_xlfn.TEXTJOIN("; ",TRUE,IF(AND(B277&lt;&gt;"",FV277=""),"нет фазы",""),IF(AND(B277&lt;&gt;"",N(GL277)=0,FG277&lt;&gt;"Нет"),"нет мощности",""),IF(AND(HN277&lt;&gt;"",COUNTIFS(Линии[Щит],A277,Линии[Клемма (итог)],HN277)&gt;1),"дубль клеммы "&amp;HN277,""),IF(AND(HQ277&lt;&gt;"",HQ277&lt;&gt;"ok"),HQ277,""),IF(HR277&lt;&gt;"",HR277,""),IF(AND(N(CB277)&gt;=4,N(BX277)=1),CB277&amp;" жил на 1 фазе",""),IF(AND(BC277="R",CG277=1,IF(CS277&lt;&gt;"",N(CV277)&gt;30,OR(N(DA277)=0,N(DA277)&gt;30))),"розетка без дифзащиты до 30 мА",""),IF(AND(CG277=1,N(DA277)&gt;0,ISNUMBER(T277)),IF(T277&gt;N(DA277)/3,"ток утечки "&amp;FIXED(T277,1)&amp;" мА &gt; 1/3 уставки ("&amp;DA277&amp;" мА)",""),""),IF(AND(CH277=1,CS277=""),"«узо»: нет строки с УЗО выше (УЗО 2P 40А 30мА в «Аппаратах»)",""),IF(AND(CS277&lt;&gt;"",CS277=BA277),IF(CT277="","впишите номинал УЗО (УЗО 2P 40А 30мА)",IF(N(CT277)&lt;N(DT277),"УЗО "&amp;CT277&amp;" А &lt; автомата "&amp;DT277&amp;" А перед ним",IF(N(CT277)&lt;N(CX277),"УЗО "&amp;CT277&amp;" А &lt; тока блока "&amp;FIXED(CX277,1)&amp;" А",""))),""),IF(AND(CS277&lt;&gt;"",CS277=BA277,ISNUMBER(CY277)),IF(CY277&gt;N(CV277)/3,"ток утечки блока УЗО "&amp;FIXED(CY277,1)&amp;" мА &gt; 1/3 уставки ("&amp;CV277&amp;" мА)",""),""),IF(AND(CG277=1,N(BV277)+N(IB277)&gt;0,IC277=""),"линии до 50 В без БП: впишите в «Аппараты» (БП 24V 480W)",""),IF(AND(CG277=1,ISNUMBER(ID277),ISNUMBER(U277)),IF(U277&gt;ID277,"БП "&amp;ID277&amp;" Вт &lt; нужно "&amp;U277&amp;" Вт (×"&amp;Запас_БП&amp;")",""),""),IF(AND(CG277=1,ISNUMBER(IE277),N(BV277)=1),IF(IE277&lt;&gt;N(BU277),"БП на "&amp;IE277&amp;" В, линия "&amp;BU277&amp;" В",""),""),IF(AND(N(IF277)&gt;0,N(IG277)&gt;N(IF277)),HH277&amp;" канал "&amp;HJ277&amp;": "&amp;FIXED(IG277,1)&amp;" А &gt; "&amp;IF277&amp;" А",""),IFERROR(IF(AND(ISNUMBER(Q277),Q277&gt;EL277),"потери "&amp;FIXED(Q277,1)&amp;" % &gt; "&amp;EL277&amp;" %",""),""),IFERROR(IF(LEFT(HU277,4)="мало","Iкз мало — отключение &gt; 0,4 с",""),""),IF(AND(B277&lt;&gt;"",BM277=""),"не на схеме",""),IF(AND(CG277=0,B277&lt;&gt;"",FV277&lt;&gt;"",IF(BA277=1,"",FW276)&lt;&gt;"",FV277&lt;&gt;IF(BA277=1,"",FW276)),"фаза не как у автомата группы ("&amp;IF(BA277=1,"",FW276)&amp;")","")))</f>
        <v/>
      </c>
      <c r="II277" s="6">
        <f>IF(OR(CG277=0,DQ277=""),"",_xlfn.LET(_xlpm.t,IFERROR(_xlfn.XLOOKUP(DQ277,Каталог!$U$4:$U$500,Каталог!$G$4:$G$500),""),_xlpm.k,SEARCH("кА",_xlpm.t),IFERROR(--TRIM(RIGHT(SUBSTITUTE(MID(_xlpm.t,MAX(1,_xlpm.k-4),_xlpm.k-MAX(1,_xlpm.k-4))," ",REPT(" ",9)),5)),"")))</f>
        <v>6</v>
      </c>
      <c r="IJ277" t="str">
        <f>IF(OR(II277="",CG277=0),"",IF(_xlfn.XLOOKUP(A277,Щиты[Щит],Щиты[Iкз max на шинах, кА],"")="","",IF(II277&lt;_xlfn.XLOOKUP(A277,Щиты[Щит],Щиты[Iкз max на шинах, кА]),"Icu "&amp;II277&amp;" кА &lt; Iкз max","ok")))</f>
        <v/>
      </c>
      <c r="IK277" t="str">
        <f t="shared" si="665"/>
        <v/>
      </c>
      <c r="IL277" t="str">
        <f t="shared" si="666"/>
        <v>QFD53|XT53</v>
      </c>
      <c r="IM277" t="str">
        <f t="shared" si="667"/>
        <v>QFD53|XT53|кабель ВВГнг(А)-LS (3х2,5) → Розеточная группа Первый этаж Пом. №002Б Холодильник</v>
      </c>
      <c r="IN277" t="str" cm="1">
        <f t="array" ref="IN277">IF(IM277="","",_xlfn.LET(_xlpm.nd,_xlfn.TEXTSPLIT(IM277,"|"),IF(COLUMNS(_xlpm.nd)&gt;1,A277&amp;"¦"&amp;INDEX(_xlpm.nd,1)&amp;"¦"&amp;INDEX(_xlpm.nd,2),"")))</f>
        <v>ЩР-1¦QFD53¦XT53</v>
      </c>
      <c r="IO277" t="str">
        <f t="shared" si="668"/>
        <v>R.1.002Б.9¦Розеточная группа Первый этаж Пом. №002Б Холодильник</v>
      </c>
      <c r="IP277" t="str" cm="1">
        <f t="array" ref="IP277">IF(IM277="","",_xlfn.LET(_xlpm.nd,_xlfn.TEXTSPLIT(IM277,"|"),IF(COLUMNS(_xlpm.nd)&gt;2,A277&amp;"¦"&amp;INDEX(_xlpm.nd,2)&amp;"¦"&amp;INDEX(_xlpm.nd,3),"")))</f>
        <v>ЩР-1¦XT53¦кабель ВВГнг(А)-LS (3х2,5) → Розеточная группа Первый этаж Пом. №002Б Холодильник</v>
      </c>
      <c r="IQ277" t="str">
        <f t="shared" si="669"/>
        <v>R.1.002Б.9¦Розеточная группа Первый этаж Пом. №002Б Холодильник</v>
      </c>
      <c r="IR277" t="str" cm="1">
        <f t="array" ref="IR277">IF(IM277="","",_xlfn.LET(_xlpm.nd,_xlfn.TEXTSPLIT(IM277,"|"),IF(COLUMNS(_xlpm.nd)&gt;3,A277&amp;"¦"&amp;INDEX(_xlpm.nd,3)&amp;"¦"&amp;INDEX(_xlpm.nd,4),"")))</f>
        <v/>
      </c>
      <c r="IS277" t="str">
        <f t="shared" si="670"/>
        <v/>
      </c>
      <c r="IT277" t="str" cm="1">
        <f t="array" ref="IT277">IF(IM277="","",_xlfn.LET(_xlpm.nd,_xlfn.TEXTSPLIT(IM277,"|"),IF(COLUMNS(_xlpm.nd)&gt;4,A277&amp;"¦"&amp;INDEX(_xlpm.nd,4)&amp;"¦"&amp;INDEX(_xlpm.nd,5),"")))</f>
        <v/>
      </c>
      <c r="IU277" t="str">
        <f t="shared" si="671"/>
        <v/>
      </c>
      <c r="IV277" t="str" cm="1">
        <f t="array" ref="IV277">IF(IM277="","",_xlfn.LET(_xlpm.nd,_xlfn.TEXTSPLIT(IM277,"|"),IF(COLUMNS(_xlpm.nd)&gt;5,A277&amp;"¦"&amp;INDEX(_xlpm.nd,5)&amp;"¦"&amp;INDEX(_xlpm.nd,6),"")))</f>
        <v/>
      </c>
      <c r="IW277" t="str">
        <f t="shared" si="672"/>
        <v/>
      </c>
      <c r="IX277" t="str" cm="1">
        <f t="array" ref="IX277">IF(IM277="","",_xlfn.LET(_xlpm.nd,_xlfn.TEXTSPLIT(IM277,"|"),IF(COLUMNS(_xlpm.nd)&gt;6,A277&amp;"¦"&amp;INDEX(_xlpm.nd,6)&amp;"¦"&amp;INDEX(_xlpm.nd,7),"")))</f>
        <v/>
      </c>
      <c r="IY277" t="str">
        <f t="shared" si="673"/>
        <v/>
      </c>
      <c r="IZ277" t="str">
        <f t="shared" si="674"/>
        <v/>
      </c>
      <c r="JA277" t="str">
        <f t="shared" si="675"/>
        <v>QFD53 → XT53</v>
      </c>
      <c r="JB277">
        <f t="shared" si="676"/>
        <v>0</v>
      </c>
      <c r="JC277">
        <f t="shared" si="677"/>
        <v>1</v>
      </c>
      <c r="JD277" t="str">
        <f t="shared" si="678"/>
        <v/>
      </c>
      <c r="JE277" t="str">
        <f t="shared" si="679"/>
        <v/>
      </c>
      <c r="JF277" t="str">
        <f t="shared" si="680"/>
        <v/>
      </c>
      <c r="JG277" t="str">
        <f t="shared" si="681"/>
        <v/>
      </c>
      <c r="JH277" t="str">
        <f>IF(B277="","",IFERROR(_xlfn.XLOOKUP(B277,Коды_код,Коды_уго),IFERROR(_xlfn.XLOOKUP(BC277,Коды_код,Коды_уго),IFERROR(_xlfn.XLOOKUP(LEFT(BC277,2),Коды_код,Коды_уго),""))))</f>
        <v>Розетка</v>
      </c>
      <c r="JI277" t="str">
        <f>IF(B277="","",IF(OR(JH277="",JH277=0),"BOX",IFERROR(IF(VLOOKUP(JH277,УГО_блоки,3,FALSE)&amp;""&lt;&gt;"",VLOOKUP(JH277,УГО_блоки,3,FALSE),VLOOKUP(JH277,УГО_блоки,2,FALSE)),JH277)))</f>
        <v>SOCKET</v>
      </c>
      <c r="JJ277">
        <f t="shared" si="682"/>
        <v>1</v>
      </c>
      <c r="JK277" t="str">
        <f>IF(DQ277="","",IF(COUNTIF(DQ$3:DQ277,DQ277)=1,MAX(JK$2:JK276)+1,""))</f>
        <v/>
      </c>
      <c r="JL277" t="str">
        <f>IF(DE277="","",IF(COUNTIF(DE$3:DE277,DE277)+COUNTIF(DF$2:DF276,DE277)+COUNTIF(DG$2:DG276,DE277)=1,MAX(JL$2:JN276)+1,""))</f>
        <v/>
      </c>
      <c r="JM277" t="str">
        <f>IF(DF277="","",IF(COUNTIF(DE$3:DE277,DF277)+COUNTIF(DF$3:DF277,DF277)+COUNTIF(DG$2:DG276,DF277)=1,MAX(JL$2:JN276,JL277)+1,""))</f>
        <v/>
      </c>
      <c r="JN277" t="str">
        <f>IF(DG277="","",IF(COUNTIF(DE$3:DE277,DG277)+COUNTIF(DF$3:DF277,DG277)+COUNTIF(DG$3:DG277,DG277)=1,MAX(JL$2:JN276,JL277,JM277)+1,""))</f>
        <v/>
      </c>
      <c r="JO277" t="str">
        <f t="shared" si="683"/>
        <v>3х2,5</v>
      </c>
      <c r="JP277" t="str">
        <f>IF(JO277="","",IF(COUNTIF(JO$3:JO277,JO277)=1,MAX(JP$2:JP276)+1,""))</f>
        <v/>
      </c>
      <c r="JQ277" t="str">
        <f>IF(HG277="","",COUNTIF(HG$3:HG277,"?*"))</f>
        <v/>
      </c>
      <c r="JR277" t="str">
        <f>IF(OR(HG277="",HI277=""),"",IF(COUNTIFS(HG$3:HG277,"?*",HI$3:HI277,HI277)=1,MAX(JR$2:JR276)+1,""))</f>
        <v/>
      </c>
      <c r="JS277">
        <f t="shared" si="684"/>
        <v>0</v>
      </c>
      <c r="JT277">
        <f>IF(B277="","",COUNTIF(B$3:B277,"?*"))</f>
        <v>275</v>
      </c>
      <c r="JU277">
        <f>IF(HL277&lt;&gt;1,0,_xlfn.LET(_xlpm.k,MAX(IFERROR(--_xlfn.XLOOKUP(B277,Коды_код,Коды_3L),0),IFERROR(--_xlfn.XLOOKUP(BC277,Коды_код,Коды_3L),0),IFERROR(--_xlfn.XLOOKUP(LEFT(BC277,2),Коды_код,Коды_3L),0)),IF(_xlpm.k&gt;0,_xlpm.k,IF(IFERROR(--LEFT(SUBSTITUTE(JO277,"x","х"),FIND("х",SUBSTITUTE(JO277,"x","х"))-1),3)&gt;3,Каталог!$S$9,1))))</f>
        <v>1</v>
      </c>
      <c r="JV277">
        <f t="shared" si="685"/>
        <v>0</v>
      </c>
      <c r="JW277" t="str">
        <f t="shared" si="686"/>
        <v>авто</v>
      </c>
      <c r="JX277">
        <f t="shared" si="687"/>
        <v>30</v>
      </c>
      <c r="JY277">
        <f t="shared" si="688"/>
        <v>1</v>
      </c>
      <c r="JZ277">
        <f t="shared" si="689"/>
        <v>1</v>
      </c>
    </row>
    <row r="278" spans="1:286" x14ac:dyDescent="0.3">
      <c r="A278" t="s">
        <v>757</v>
      </c>
      <c r="B278" t="s">
        <v>1584</v>
      </c>
      <c r="C278" t="str">
        <f>Линии[[#This Row],[_авто наименование]]</f>
        <v>Розеточная группа, пом. 002Б</v>
      </c>
      <c r="D278">
        <v>1</v>
      </c>
      <c r="E278">
        <v>0.12</v>
      </c>
      <c r="G278" t="str">
        <f>Линии[[#This Row],[_авто автомат]]</f>
        <v>2P С16А 30мА</v>
      </c>
      <c r="H278" t="str">
        <f>Линии[[#This Row],[_авто управление]]</f>
        <v/>
      </c>
      <c r="I278" t="str">
        <f>Линии[[#This Row],[_авто аппараты]]</f>
        <v/>
      </c>
      <c r="J278">
        <v>2.5</v>
      </c>
      <c r="K278">
        <v>6</v>
      </c>
      <c r="L278" t="str">
        <f>Линии[[#This Row],[_авто фаза]]</f>
        <v>L1</v>
      </c>
      <c r="M278" t="str">
        <f>Линии[[#This Row],[_авто клемма]]</f>
        <v>XT54</v>
      </c>
      <c r="N278" t="str">
        <f t="shared" si="552"/>
        <v/>
      </c>
      <c r="O278" s="6" cm="1">
        <f t="array" ref="O278">IF(B278="","",IF(BH278&lt;&gt;"",IFERROR(_xlfn.XLOOKUP(BH278,Щиты[Щит],Щиты[Iр, А]),""),IF(BP278=1,IF(OR(N(_xlfn.XLOOKUP(A278,Щиты[Щит],Щиты[Вводов],1))&lt;=1,LOWER(TRIM(_xlfn.XLOOKUP(A278,Щиты[Щит],Щиты[АВР],"")&amp;""))="да"),IFERROR(_xlfn.XLOOKUP(A278,Щиты[Щит],Щиты[Iр, А]),""),IFERROR(N(BS278)*_xlfn.XLOOKUP(A278,Щиты[Щит],Щиты[Кс итог])/(SQRT(3)*Uн_лин*_xlfn.XLOOKUP(A278,Щиты[Щит],Щиты[cos φ])),"")),IF(BV278=1,IFERROR(BS278*1000/BU278,""),IFERROR(_xlfn.IFS(BX278=1,BS278/((Uн_лин/SQRT(3))*CE278),BX278=3,BS278/(SQRT(3)*Uн_лин*CE278)),"")))))</f>
        <v>0.54696341291648753</v>
      </c>
      <c r="P278" s="7">
        <f>IF(B278="","",IFERROR(IF(VLOOKUP(BC278,Потребители_обозначение,4,FALSE)=1,VLOOKUP(BC278,Потребители_обозначение,3,FALSE)*(MAX(1,N(D278))*2-1)+EI278+VLOOKUP(BE278,Этаж_обозначение,3,FALSE)+VLOOKUP(BE278,Этаж_обозначение,4,FALSE),VLOOKUP(BC278,Потребители_обозначение,3,FALSE)*(MAX(1,N(D278))*2-1)+EI278),EI278))</f>
        <v>9</v>
      </c>
      <c r="Q278" s="6">
        <f t="shared" si="553"/>
        <v>1.23</v>
      </c>
      <c r="R278" t="str">
        <f t="shared" si="554"/>
        <v>ВВГнг(А)-LS (3х2,5)</v>
      </c>
      <c r="S278" t="str">
        <f>IF(BM278="","",IF(BN278="вводной узел","узел ","")&amp;"л."&amp;(INT((BM278-1)/Столбцов_на_лист)+1)&amp;" / "&amp;(MOD(BM278-1,Столбцов_на_лист)+1))</f>
        <v>л.5 / 2</v>
      </c>
      <c r="T278" s="119">
        <f t="shared" si="555"/>
        <v>0.3</v>
      </c>
      <c r="U278" s="7" t="str">
        <f>IF(OR(CG278=0,N(BV278)+N(IB278)=0),"",ROUNDUP(Запас_БП*(N(HY278)+N(HZ278)),0))</f>
        <v/>
      </c>
      <c r="V278" s="119" t="str">
        <f t="shared" si="556"/>
        <v/>
      </c>
      <c r="W278" s="7" t="str">
        <f>IFERROR(IF(OR(B278="",BP278=1,BV278=1,NOT(ISNUMBER(EN278)),N(DT278)=0),"",MAX(0,ROUNDDOWN((c_min*(Uн_лин*1000/SQRT(3))/(HT278*N(DT278))-_xlfn.XLOOKUP(A278,Щиты[Щит],Щиты[Zпетли на шинах, Ом]))*EN278/(2*ρкз_Cu),0))),"")</f>
        <v/>
      </c>
      <c r="Y278">
        <f>Линии[[#This Row],[_авто утечка]]</f>
        <v>30</v>
      </c>
      <c r="Z278">
        <v>1</v>
      </c>
      <c r="AA278">
        <v>230</v>
      </c>
      <c r="AB278" t="s">
        <v>562</v>
      </c>
      <c r="AG278" t="s">
        <v>810</v>
      </c>
      <c r="AI278" t="s">
        <v>561</v>
      </c>
      <c r="AK278" t="str">
        <f>Линии[[#This Row],[_авто модуль]]</f>
        <v/>
      </c>
      <c r="AM278">
        <v>70</v>
      </c>
      <c r="AN278" t="s">
        <v>11</v>
      </c>
      <c r="AO278">
        <v>3</v>
      </c>
      <c r="AQ278">
        <v>0</v>
      </c>
      <c r="AR278">
        <v>0</v>
      </c>
      <c r="AS278">
        <v>6</v>
      </c>
      <c r="BA278" cm="1">
        <f t="array" ref="BA278">ROW()-ROW(Линии[#Headers])</f>
        <v>276</v>
      </c>
      <c r="BC278" s="6" t="str">
        <f t="shared" si="557"/>
        <v>R</v>
      </c>
      <c r="BD278" t="str">
        <f t="shared" si="558"/>
        <v>1.002Б.10</v>
      </c>
      <c r="BE278" t="str">
        <f t="shared" si="559"/>
        <v>1</v>
      </c>
      <c r="BF278" t="str">
        <f t="shared" si="560"/>
        <v>002Б.10</v>
      </c>
      <c r="BG278" t="str">
        <f t="shared" si="561"/>
        <v>002Б</v>
      </c>
      <c r="BH278" t="str">
        <f>IF(X278&lt;&gt;"",X278,IF(AND(B278&lt;&gt;"",B278&lt;&gt;A278,ISNUMBER(_xlfn.XMATCH(B278,Щиты[Щит]))),B278,""))</f>
        <v/>
      </c>
      <c r="BI278" t="str" cm="1">
        <f t="array" ref="BI278">IF(B278="","",IF(BH278&lt;&gt;"","Щит "&amp;BH278,_xlfn.LET(_xlpm.nm,IFERROR(_xlfn.XLOOKUP(BC278,Коды_код,Коды_имя)&amp;"",""),_xlpm.md,IFERROR(N(_xlfn.XLOOKUP(BC278,Коды_код,Коды_режим)),1),_xlpm.ex,IF(Имя_режим="по экспликации",IFERROR(_xlfn.XLOOKUP(BE278&amp;"|"&amp;BG278,Экспликация[Этаж]&amp;"|"&amp;Экспликация[Помещение],Экспликация[Название])&amp;"",""),""),_xlpm.rm,IF(BG278="","",IF(_xlpm.ex&lt;&gt;"",". "&amp;_xlpm.ex&amp;IF(Имя_пом="нет"," ("&amp;BG278&amp;")"," (пом. "&amp;BG278&amp;")"),IF(Имя_пом="нет"," ",", пом. ")&amp;BG278)),IF(_xlpm.nm="","",IF(_xlpm.md=2,_xlpm.nm&amp;" шлейф "&amp;BE278,_xlpm.nm&amp;_xlpm.rm)))))</f>
        <v>Розеточная группа, пом. 002Б</v>
      </c>
      <c r="BJ278" t="str">
        <f t="shared" si="562"/>
        <v>Розеточная группа, пом. 002Б</v>
      </c>
      <c r="BK278">
        <f>IFERROR(_xlfn.XMATCH(A278,Щиты[Щит]),0)</f>
        <v>10</v>
      </c>
      <c r="BL278">
        <f>_xlfn.LET(_xlpm.k,IFERROR(_xlfn.XLOOKUP(A278,Щиты[Щит],Щиты[Мест под вводной узел]),""),IF(_xlpm.k="",Столбцов_на_лист,N(_xlpm.k)))</f>
        <v>8</v>
      </c>
      <c r="BM278">
        <f t="shared" si="563"/>
        <v>70</v>
      </c>
      <c r="BN278" t="str">
        <f t="shared" si="564"/>
        <v>линии</v>
      </c>
      <c r="BO278" s="6">
        <f>IFERROR(N(_xlfn.XLOOKUP(BC278,Коды_код,Коды_квт)),0)</f>
        <v>0</v>
      </c>
      <c r="BP278">
        <f t="shared" si="565"/>
        <v>0</v>
      </c>
      <c r="BQ278" t="str">
        <f>IF(B278="","",IF(BH278&lt;&gt;"",IFERROR(_xlfn.XLOOKUP(BH278,Щиты[Щит],Щиты[Руст, кВт]),0),IF(BP278=1,IF(OR(N(_xlfn.XLOOKUP(A278,Щиты[Щит],Щиты[Вводов],1))&lt;=1,LOWER(TRIM(_xlfn.XLOOKUP(A278,Щиты[Щит],Щиты[АВР],"")&amp;""))="да"),IFERROR(_xlfn.XLOOKUP(A278,Щиты[Щит],Щиты[Руст, кВт]),0),SUMIFS(Линии[_Р для вводов],Линии[Щит],A278,Линии[Источник для режимов],GF278)),IF(BO278&gt;0,ROUND(BO278*MAX(1,N(D278)),3),""))))</f>
        <v/>
      </c>
      <c r="BR278">
        <f t="shared" si="566"/>
        <v>0.12</v>
      </c>
      <c r="BS278" s="6">
        <f>IF(B278="","",IF(BH278&lt;&gt;"",IFERROR(_xlfn.XLOOKUP(BH278,Щиты[Щит],Щиты[Руст, кВт]),0),N(BR278)))</f>
        <v>0.12</v>
      </c>
      <c r="BT278" t="str">
        <f>IF(B278="","",IFERROR(IF(VLOOKUP(BC278,Потребители_обозначение,8,FALSE)=0,"",VLOOKUP(BC278,Потребители_обозначение,8,FALSE)),""))</f>
        <v/>
      </c>
      <c r="BU278">
        <f t="shared" si="567"/>
        <v>230</v>
      </c>
      <c r="BV278">
        <f t="shared" si="568"/>
        <v>0</v>
      </c>
      <c r="BW278">
        <f>IF(B278="","",IF(BH278&lt;&gt;"",3,IFERROR(IF(N(VLOOKUP(BC278,Потребители_обозначение,9,FALSE))=0,1,VLOOKUP(BC278,Потребители_обозначение,9,FALSE)),1)))</f>
        <v>1</v>
      </c>
      <c r="BX278">
        <f t="shared" si="569"/>
        <v>1</v>
      </c>
      <c r="BY278" t="str">
        <f>IF(B278="","",_xlfn.LET(_xlpm.bc,IFERROR(IF(VLOOKUP(BC278,Потребители_обозначение,6,FALSE)=0,"",VLOOKUP(BC278,Потребители_обозначение,6,FALSE)&amp;""),""),IF(AND(GA278="да",OR(_xlpm.bc="",_xlpm.bc="мс")),Марка_пож,IF(AND(_xlpm.bc="",BH278&lt;&gt;""),"мс",_xlpm.bc))))</f>
        <v/>
      </c>
      <c r="BZ278" t="str">
        <f t="shared" si="570"/>
        <v>мс</v>
      </c>
      <c r="CA278">
        <f>IF(B278="","",_xlfn.LET(_xlpm.cc,IFERROR(N(VLOOKUP(BC278,Потребители_обозначение,7,FALSE)),0),IF(_xlpm.cc&gt;0,_xlpm.cc,IF(BZ278="","",IF(BV278=1,2,IF(N(BX278)=3,5,3))))))</f>
        <v>3</v>
      </c>
      <c r="CB278">
        <f t="shared" si="571"/>
        <v>3</v>
      </c>
      <c r="CC278">
        <f>IFERROR(N(VLOOKUP(BC278,Потребители_обозначение,10,FALSE)),0)</f>
        <v>0</v>
      </c>
      <c r="CD278">
        <f>IFERROR(VLOOKUP(BC278,Потребители_обозначение,5,FALSE),0)</f>
        <v>1</v>
      </c>
      <c r="CE278" s="6" cm="1">
        <f t="array" ref="CE278">IF(B278="","",IF(BH278&lt;&gt;"",IFERROR(_xlfn.XLOOKUP(BH278,Щиты[Щит],Щиты[cos φ]),0.95),IF(BP278=1,IFERROR(_xlfn.XLOOKUP(A278,Щиты[Щит],Щиты[cos φ]),0.95),IF(ISNUMBER(AD278),AD278,IFERROR(IF(CD278=2,_xlfn.IFS(BX278=3,VLOOKUP(BS278,Справочная_двигатели,8,FALSE),BX278=1,VLOOKUP(BS278,Справочная_двигатели,10,TRUE)),IF(AND(Методика="нормы 2026",FG278="Сил"),0.8,0.95)),0.95)))))</f>
        <v>0.95</v>
      </c>
      <c r="CF278">
        <f t="shared" si="572"/>
        <v>0</v>
      </c>
      <c r="CG278">
        <f t="shared" si="573"/>
        <v>1</v>
      </c>
      <c r="CH278">
        <f t="shared" si="574"/>
        <v>0</v>
      </c>
      <c r="CI278">
        <f>IF(B278="","",IF(BV278=1,IFERROR(BS278/((Uн_лин/SQRT(3))*MAX(0.5,N(CE278))),0),N(O278)))</f>
        <v>0.54696341291648753</v>
      </c>
      <c r="CJ278">
        <f t="shared" si="575"/>
        <v>0</v>
      </c>
      <c r="CK278">
        <f t="shared" si="576"/>
        <v>0</v>
      </c>
      <c r="CL278">
        <f t="shared" si="577"/>
        <v>0</v>
      </c>
      <c r="CM278">
        <f t="shared" si="578"/>
        <v>0</v>
      </c>
      <c r="CN278">
        <f t="shared" si="579"/>
        <v>0</v>
      </c>
      <c r="CO278">
        <f>IF(BC278="",0,_xlfn.LET(_xlpm.v,IFERROR(_xlfn.XLOOKUP(B278,Коды_код,Коды_мА),IFERROR(_xlfn.XLOOKUP(BC278,Коды_код,Коды_мА),IFERROR(_xlfn.XLOOKUP(LEFT(BC278,2),Коды_код,Коды_мА),""))),IF(_xlpm.v="да",30,IF(ISNUMBER(_xlpm.v),_xlpm.v,0))))</f>
        <v>30</v>
      </c>
      <c r="CP278">
        <f t="shared" si="580"/>
        <v>30</v>
      </c>
      <c r="CQ278" t="str">
        <f>_xlfn.LET(_xlpm.k,IFERROR(_xlfn.XLOOKUP(BC278,Коды_код,Коды_утечка)&amp;"",""),IF(_xlpm.k="","дифавтомат",_xlpm.k))</f>
        <v>дифавтомат</v>
      </c>
      <c r="CR278" t="str" cm="1">
        <f t="array" ref="CR278">IF(CG278=0,"",_xlfn.LET(_xlpm.sg,TRIM(_xlfn.TEXTSPLIT(DD278&amp;"",";")),_xlpm.f_,_xlfn._xlws.FILTER(_xlpm.sg,LEFT(_xlpm.sg,3)="УЗО",""),IFERROR(INDEX(_xlpm.f_,1)&amp;"","")))</f>
        <v/>
      </c>
      <c r="CS278" t="str">
        <f t="shared" si="581"/>
        <v/>
      </c>
      <c r="CT278" s="6" t="str" cm="1">
        <f t="array" ref="CT278">IF(CR278="","",_xlfn.LET(_xlpm.tk,_xlfn.TEXTSPLIT(UPPER(CR278)," ",,TRUE),_xlpm.a_,_xlfn._xlws.FILTER(_xlpm.tk,ISNUMBER(--LEFT(_xlpm.tk,1))*((ISNUMBER(SEARCH("А",_xlpm.tk))+ISNUMBER(SEARCH("A",_xlpm.tk)))&gt;0)*NOT(ISNUMBER(SEARCH("МА",_xlpm.tk)))*NOT(ISNUMBER(SEARCH("MA",_xlpm.tk))),""),IFERROR(--SUBSTITUTE(SUBSTITUTE(INDEX(_xlpm.a_,1),"А",""),"A",""),"")))</f>
        <v/>
      </c>
      <c r="CU278" t="str" cm="1">
        <f t="array" ref="CU278">IF(CR278="","",_xlfn.LET(_xlpm.tk,_xlfn.TEXTSPLIT(UPPER(CR278)," ",,TRUE),_xlpm.a_,_xlfn._xlws.FILTER(_xlpm.tk,ISNUMBER(--LEFT(_xlpm.tk,1))*((ISNUMBER(SEARCH("МА",_xlpm.tk))+ISNUMBER(SEARCH("MA",_xlpm.tk)))&gt;0),""),IFERROR(--SUBSTITUTE(SUBSTITUTE(INDEX(_xlpm.a_,1),"МА",""),"MA",""),30)))</f>
        <v/>
      </c>
      <c r="CV278" t="str">
        <f>IF(CS278="","",IFERROR(_xlfn.XLOOKUP(CS278,Линии[_n],Линии[_УЗО, мА]),30))</f>
        <v/>
      </c>
      <c r="CW278">
        <f>IF(CS278="",0,IF(ISNUMBER(SEARCH("4P",IFERROR(_xlfn.XLOOKUP(CS278,Линии[_n],Линии[_УЗО строки])&amp;"",""))),0,1))</f>
        <v>0</v>
      </c>
      <c r="CX278" t="str">
        <f>IF(AND(CS278&lt;&gt;"",CS278=BA278),SUMIFS(Линии[_ток на 230 В],Линии[_блок УЗО],BA278,Линии[Щит],A278),"")</f>
        <v/>
      </c>
      <c r="CY278" t="str">
        <f>IF(AND(CS278&lt;&gt;"",CS278=BA278),SUMIFS(Линии[_ток утечки линии, мА],Линии[_блок УЗО],BA278,Линии[Щит],A278),"")</f>
        <v/>
      </c>
      <c r="CZ278">
        <f t="shared" si="582"/>
        <v>30</v>
      </c>
      <c r="DA278">
        <f t="shared" si="583"/>
        <v>30</v>
      </c>
      <c r="DB278">
        <f>IF(B278="",0,IFERROR(--_xlfn.XLOOKUP(B278,Коды_код,Коды_минавт),IFERROR(--_xlfn.XLOOKUP(BC278,Коды_код,Коды_минавт),IFERROR(--_xlfn.XLOOKUP(LEFT(BC278,2),Коды_код,Коды_минавт),0))))</f>
        <v>16</v>
      </c>
      <c r="DC278" t="str">
        <f>IF(B278="","",IFERROR(_xlfn.XLOOKUP(BC278,Коды_код,Коды_апп)&amp;"",""))</f>
        <v/>
      </c>
      <c r="DD278" t="str">
        <f t="shared" si="584"/>
        <v/>
      </c>
      <c r="DE278" t="str" cm="1">
        <f t="array" ref="DE278">IF(TRIM(DD278&amp;"")="","",IFERROR(TRIM(INDEX(_xlfn.TEXTSPLIT(DD278&amp;";;;",";"),1)),""))</f>
        <v/>
      </c>
      <c r="DF278" t="str" cm="1">
        <f t="array" ref="DF278">IF(TRIM(DD278&amp;"")="","",IFERROR(TRIM(INDEX(_xlfn.TEXTSPLIT(DD278&amp;";;;",";"),2)),""))</f>
        <v/>
      </c>
      <c r="DG278" t="str" cm="1">
        <f t="array" ref="DG278">IF(TRIM(DD278&amp;"")="","",IFERROR(TRIM(INDEX(_xlfn.TEXTSPLIT(DD278&amp;";;;",";"),3)),""))</f>
        <v/>
      </c>
      <c r="DH278">
        <f t="shared" si="585"/>
        <v>0</v>
      </c>
      <c r="DI278" t="str">
        <f>IF(B278="","",_xlfn.LET(_xlpm.t,LOWER(AZ278&amp;""),IF(ISNUMBER(SEARCH("dim",_xlpm.t)),"DIM",IF(ISNUMBER(SEARCH("dali",_xlpm.t)),"DALI",IF(OR(ISNUMBER(SEARCH("relay",_xlpm.t)),ISNUMBER(SEARCH("реле",_xlpm.t))),"Relay",IF(ISNUMBER(SEARCH("кнопк",_xlpm.t)),"",IFERROR(_xlfn.XLOOKUP(BC278,Коды_код,Коды_упр)&amp;"","")))))))</f>
        <v/>
      </c>
      <c r="DJ278" t="str">
        <f t="shared" si="586"/>
        <v/>
      </c>
      <c r="DK278">
        <f>IF(B278="","",_xlfn.LET(_xlpm.ig,IF(N(CX278)&gt;0,N(CX278),N(CI278)+IF(AJ278="вручную",0,N(CJ278))),_xlpm.n0,IFERROR(VLOOKUP(_xlpm.ig,Автомат_номиналы,2,TRUE),0),_xlpm.mn,MAX(DB278,IF(AJ278="вручную",0,N(CM278))),MAX(_xlpm.n0,_xlpm.mn,IF(DH278=1,Мин_автомат_БП,0))))</f>
        <v>16</v>
      </c>
      <c r="DL278">
        <f t="shared" si="587"/>
        <v>1</v>
      </c>
      <c r="DM278" t="str">
        <f t="shared" si="588"/>
        <v>2P</v>
      </c>
      <c r="DN278" t="str">
        <f>_xlfn.LET(_xlpm.cc,UPPER(TRIM(IFERROR(_xlfn.XLOOKUP(BC278,Коды_код,Коды_хар)&amp;"",""))),IF(OR(_xlpm.cc="B",_xlpm.cc="В"),"B",IF(_xlpm.cc="D","D","С")))</f>
        <v>С</v>
      </c>
      <c r="DO278" t="str">
        <f t="shared" si="589"/>
        <v>2P С16А 30мА</v>
      </c>
      <c r="DP278" t="str">
        <f t="shared" si="590"/>
        <v>2P С16А 30мА</v>
      </c>
      <c r="DQ278" t="str">
        <f t="shared" si="591"/>
        <v>2P С16А 30мА</v>
      </c>
      <c r="DR278" cm="1">
        <f t="array" ref="DR278">IF(DQ278="","",_xlfn.LET(_xlpm.t,SUBSTITUTE(SUBSTITUTE(SUBSTITUTE(UPPER(DQ278),"С","C"),"А","A"),"В","B"),_xlpm.tk,_xlfn.TEXTSPLIT(_xlpm.t," "),_xlpm.f,_xlfn._xlws.FILTER(_xlpm.tk,ISNUMBER(--MID(_xlpm.tk,2,1))*ISNUMBER(SEARCH(LEFT(_xlpm.tk,1)&amp;"#","B#C#D#"))*(LEN(_xlpm.tk)&gt;1),""),_xlpm.x,INDEX(_xlpm.f,1),IFERROR(--SUBSTITUTE(MID(_xlpm.x,2,9),"A",""),IFERROR(--SUBSTITUTE(INDEX(_xlfn._xlws.FILTER(_xlpm.tk,ISNUMBER(--SUBSTITUTE(_xlpm.tk,"A","")),""),1),"A",""),""))))</f>
        <v>16</v>
      </c>
      <c r="DS278" t="str">
        <f t="shared" si="592"/>
        <v>ok</v>
      </c>
      <c r="DT278">
        <f t="shared" si="593"/>
        <v>16</v>
      </c>
      <c r="DU278" t="str">
        <f t="shared" si="594"/>
        <v>2P С16А 30мА</v>
      </c>
      <c r="DV278">
        <f t="shared" si="595"/>
        <v>30</v>
      </c>
      <c r="DW278">
        <f t="shared" si="596"/>
        <v>1</v>
      </c>
      <c r="DX278">
        <f t="shared" si="597"/>
        <v>0</v>
      </c>
      <c r="DY278">
        <f t="shared" si="598"/>
        <v>0.54696341291648753</v>
      </c>
      <c r="DZ278">
        <f t="shared" si="599"/>
        <v>1</v>
      </c>
      <c r="EA278">
        <f>IF(ISNUMBER(AP278),AP278,К_прокл)</f>
        <v>1</v>
      </c>
      <c r="EB278">
        <f t="shared" si="600"/>
        <v>2</v>
      </c>
      <c r="EC278">
        <f>IFERROR(N(VLOOKUP(BZ278,Кабель_обозначение,3,FALSE)),1)</f>
        <v>1</v>
      </c>
      <c r="ED278">
        <f>IFERROR(N(_xlfn.XLOOKUP(A278,Щиты[Щит],Щиты[ΔU до шин, %])),0)</f>
        <v>1.19</v>
      </c>
      <c r="EE278" t="str">
        <f>IFERROR(_xlfn.XLOOKUP(A278,Щиты[Щит],Щиты[Zпетли на шинах, Ом]),"")</f>
        <v/>
      </c>
      <c r="EF278">
        <f>IFERROR(N(_xlfn.XLOOKUP(A278,Щиты[Щит],Щиты[ΔU до шин (подбор), %])),0)</f>
        <v>1.19</v>
      </c>
      <c r="EG278" t="str">
        <f>IFERROR(_xlfn.XLOOKUP(A278,Щиты[Щит],Щиты[Zпетли на шинах (подбор), Ом]),"")</f>
        <v/>
      </c>
      <c r="EH278" t="str">
        <f t="shared" si="601"/>
        <v/>
      </c>
      <c r="EI278">
        <f t="shared" si="602"/>
        <v>6</v>
      </c>
      <c r="EJ278">
        <f t="shared" si="603"/>
        <v>2</v>
      </c>
      <c r="EK278">
        <f t="shared" si="604"/>
        <v>0.31</v>
      </c>
      <c r="EL278" s="6">
        <f>IF(B278="","",IF(BV278=1,dU_LED,IF(IFERROR(_xlfn.XLOOKUP(BC278,Коды_код,Коды_уго),"")="Светильник",3,4)+IF(Методика="нормы 2026",MIN(0.5,MAX(0,N(P278)-100)*0.005),0)))</f>
        <v>4</v>
      </c>
      <c r="EM278" cm="1">
        <f t="array" ref="EM278">IF(OR(B278="",BZ278="",EC278&lt;&gt;1),"",_xlfn.LET(_xlpm.sz,Iдоп_S,_xlpm.t_,CHOOSE(EB278,Iдоп_1ж,Iдоп_2ж,Iдоп_3ж)*DZ278*EA278,_xlpm.dcx,BV278=1,_xlpm.inn,IF(_xlpm.dcx,N(O278),N(DT278)),_xlpm.smin,MAX(1.5,CC278),_xlpm.L_,N(P278)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278)/N(BU278)*100,999),IFERROR(N(EJ278)*(_xlpm.rho*_xlpm.L_/_xlpm.sz*N(CE278)+_xlpm.xx*_xlpm.L_*N(EK278)/1000)*N(O278)/((Uн_лин/SQRT(3))*1000)*100,999)),_xlpm.kz,IF(OR(_xlpm.dcx,DW278=1,NOT(ISNUMBER(EG278)),_xlpm.L_=0,_xlpm.inn=0),1,IFERROR(--(c_min*(Uн_лин*1000/SQRT(3))/(EG278+2*ρкз_Cu*_xlpm.L_/_xlpm.sz)&gt;=HT278*_xlpm.inn),0)),_xlpm.ok,IFERROR((_xlpm.sz&gt;=_xlpm.smin)*(_xlpm.t_&gt;=_xlpm.inn)*IF(_xlpm.L_&gt;0,(_xlpm.du_+IF(_xlpm.dcx,0,EF278)&lt;=EL278+0.00001),1)*_xlpm.kz,0),_xlpm.r_,_xlfn._xlws.FILTER(_xlpm.sz,_xlpm.ok,"не подобрано"),INDEX(_xlpm.r_,1)))</f>
        <v>1.5</v>
      </c>
      <c r="EN278">
        <f t="shared" si="605"/>
        <v>2.5</v>
      </c>
      <c r="EO278" cm="1">
        <f t="array" ref="EO278">IF(OR(B278="",BZ278="",EC278&lt;&gt;1),"",_xlfn.LET(_xlpm.sz,Iдоп_S,_xlpm.t_,CHOOSE(EB278,Iдоп_1ж,Iдоп_2ж,Iдоп_3ж)*DZ278*EA278,_xlpm.ok,IFERROR((_xlpm.sz&gt;=MAX(1.5,CC278))*(_xlpm.t_&gt;=N(DT278)),0),_xlpm.r_,_xlfn._xlws.FILTER(_xlpm.sz,_xlpm.ok,""),INDEX(_xlpm.r_,1)))</f>
        <v>1.5</v>
      </c>
      <c r="EP278" s="6" cm="1">
        <f t="array" ref="EP278">IFERROR(ROUNDUP(N(EJ278)*(_xlfn.XLOOKUP(EO278,INDEX(Кабель_сопротивление,0,1),INDEX(Кабель_сопротивление,0,3))*N(P278)/EO278*N(CE278)+_xlfn.XLOOKUP(EO278,INDEX(Кабель_сопротивление,0,1),INDEX(Кабель_сопротивление,0,2))*N(P278)*N(EK278)/1000)*N(O278)/((Uн_лин/SQRT(3))*1000)*100,2),"")</f>
        <v>6.9999999999999993E-2</v>
      </c>
      <c r="EQ278">
        <f>IFERROR(2*ρкз_Cu*N(P278)/EO278,"")</f>
        <v>0.31559999999999999</v>
      </c>
      <c r="ER278">
        <f>IFERROR(VLOOKUP(EN278,Кабель_сопротивление,3,FALSE),"")</f>
        <v>2.2499999999999999E-2</v>
      </c>
      <c r="ES278">
        <f>IFERROR(VLOOKUP(EN278,Кабель_сопротивление,2,FALSE),"")</f>
        <v>0.1</v>
      </c>
      <c r="ET278">
        <f t="shared" si="606"/>
        <v>0</v>
      </c>
      <c r="EU278">
        <f t="shared" si="607"/>
        <v>6</v>
      </c>
      <c r="EV278">
        <f t="shared" si="608"/>
        <v>8.448287483225482E-2</v>
      </c>
      <c r="EW278" s="6">
        <f>IFERROR(ROUNDUP(EV278/IF(BV278=1,BU278,(Uн_лин/SQRT(3))*1000)*100,2),"")</f>
        <v>0.04</v>
      </c>
      <c r="EX278" t="str">
        <f>IFERROR(VLOOKUP(BZ278,Кабель_обозначение,2,FALSE),"")</f>
        <v>ВВГнг(А)-LS</v>
      </c>
      <c r="EY278" t="str">
        <f t="shared" si="609"/>
        <v>ВВГнг(А)-LS (3х2,5)</v>
      </c>
      <c r="EZ278" t="str">
        <f t="shared" si="610"/>
        <v>ВВГнг(А)-LS (3х2,5)
L=9-0,04%</v>
      </c>
      <c r="FA278">
        <f>IFERROR(2*ρкз_Cu*P278/EN278,"")</f>
        <v>0.18936</v>
      </c>
      <c r="FB278">
        <f t="shared" si="611"/>
        <v>6.3000000000000014E-2</v>
      </c>
      <c r="FC278" s="6" t="str">
        <f>IFERROR(IF(OR(B278="",BV278=1,NOT(ISNUMBER(EN278)),N(P278)=0),"",_xlfn.XLOOKUP(A278,Щиты[Щит],Щиты[Zпетли на шинах, Ом])+FA278),"")</f>
        <v/>
      </c>
      <c r="FD278" s="6" t="str">
        <f>IF(ISNUMBER(FC278),c_min*(Uн_лин*1000/SQRT(3))/FC278,"")</f>
        <v/>
      </c>
      <c r="FE278" s="6" t="str">
        <f>IFERROR(IF(OR(B278="",NOT(ISNUMBER(EN278))),"",1.05*(Uн_лин*1000/SQRT(3))/(_xlfn.XLOOKUP(A278,Щиты[Щит],Щиты[Zmax на шинах, Ом])+FB278)/1000),"")</f>
        <v/>
      </c>
      <c r="FF278" s="6" t="str">
        <f>IF(B278="","",IF(ISNUMBER(AC278),"Сил",IF(IFERROR(_xlfn.XLOOKUP(BC278,Коды_код,Коды_группа)&amp;"","")="","Быт",_xlfn.XLOOKUP(BC278,Коды_код,Коды_группа)&amp;"")))</f>
        <v>Быт</v>
      </c>
      <c r="FG278" s="6" t="str">
        <f t="shared" si="612"/>
        <v>Быт</v>
      </c>
      <c r="FH278" s="6">
        <f>IF(FG278="Щит","щит",IF(FG278="","",IF(FG278="Быт",IFERROR(_xlfn.XLOOKUP(A278,Щиты[Щит],Щиты[Кс быт]),1),IF(FG278="Сил",IF(ISNUMBER(AC278),AC278,IF(Методика="нормы 2026",IFERROR(_xlfn.XLOOKUP(A278,Щиты[Щит],Щиты[Кс силовых (табл. 7.5)]),1),1)),IF(OR(FG278="Пост",FG278="Отоп"),1,IF(FG278="ВНГ",0.7,0))))))</f>
        <v>0.57830000000000004</v>
      </c>
      <c r="FI278">
        <f>IF(FG278="","",IF(AND(BP278=1,TRIM(AE278&amp;"")=""),IF(COUNTIFS(Линии[Щит],A278,Линии[Секция (1/2/3)],"&gt;=2")&gt;0,MIN(3,MAX(1,IFERROR(--BD278,1))),1),IFERROR(MIN(3,MAX(1,INT(--AE278))),1)))</f>
        <v>1</v>
      </c>
      <c r="FJ278">
        <f t="shared" si="613"/>
        <v>0.12</v>
      </c>
      <c r="FK278">
        <f t="shared" si="614"/>
        <v>0.12</v>
      </c>
      <c r="FL278">
        <f t="shared" si="615"/>
        <v>0</v>
      </c>
      <c r="FM278">
        <f t="shared" si="616"/>
        <v>0</v>
      </c>
      <c r="FN278">
        <f t="shared" si="617"/>
        <v>0</v>
      </c>
      <c r="FO278">
        <f t="shared" si="618"/>
        <v>0</v>
      </c>
      <c r="FP278">
        <f t="shared" si="619"/>
        <v>0.12</v>
      </c>
      <c r="FQ278">
        <f t="shared" si="620"/>
        <v>0.12</v>
      </c>
      <c r="FR278">
        <f t="shared" si="621"/>
        <v>0.11399999999999999</v>
      </c>
      <c r="FS278">
        <f>IF(CG278=1,IF(AND(CH278=1,CW278=1),0,IF(AND(CS278&lt;&gt;"",CS278=BA278,CW278=1),SUMIFS(Линии[_Р линии, кВт],Линии[_блок УЗО],BA278,Линии[Щит],A278),N(BS278)+IF(AJ278="вручную",0,N(CK278)))),0)</f>
        <v>0.12</v>
      </c>
      <c r="FT278" t="str">
        <f t="shared" si="622"/>
        <v/>
      </c>
      <c r="FU278" t="str">
        <f>IF(B278="","",IF(CG278=0,IF(BA278=1,"",FW277),IF(AND(CH278=1,CW278=1,CS278&lt;&gt;""),IFERROR(_xlfn.XLOOKUP(CS278,Линии[_n],Линии[_фаза итог]),"L1"),IF(OR(N(DL278)&gt;=3,N(BX278)&gt;=3),"L1,L2,L3",IFERROR(_xlfn.TEXTBEFORE(_xlfn.TEXTAFTER(_xlfn.XLOOKUP(A278,Щиты[Щит],Щиты[_фазы авто]),";"&amp;BA278&amp;":"),";"),"L1")))))</f>
        <v>L1</v>
      </c>
      <c r="FV278" t="str">
        <f t="shared" si="623"/>
        <v>L1</v>
      </c>
      <c r="FW278" t="str">
        <f t="shared" si="624"/>
        <v>L1</v>
      </c>
      <c r="FX278" cm="1">
        <f t="array" ref="FX278">IFERROR(IF(CD278=2,_xlfn.IFS(BX278=3,VLOOKUP(BS278,Справочная_двигатели,3,FALSE),BX278=1,VLOOKUP(BS278,Справочная_двигатели,5,TRUE)),0),0)</f>
        <v>0</v>
      </c>
      <c r="FY278">
        <f>IFERROR(IF(CD278=3,VLOOKUP(BS278,Справочная_ЛЭД,2,TRUE),0),0)</f>
        <v>0</v>
      </c>
      <c r="FZ278" s="6">
        <f t="shared" si="625"/>
        <v>0</v>
      </c>
      <c r="GA278" t="str">
        <f>IF(B278="","",IF(TRIM(AH278&amp;"")&lt;&gt;"",IF(LOWER(TRIM(AH278&amp;""))="да","да","нет"),IF(IFERROR(_xlfn.XLOOKUP(BC278,Коды_код,Коды_пожарная),"")="да","да","нет")))</f>
        <v>нет</v>
      </c>
      <c r="GB278" t="str">
        <f t="shared" si="626"/>
        <v/>
      </c>
      <c r="GC278" t="str">
        <f t="shared" si="627"/>
        <v>основная</v>
      </c>
      <c r="GD278">
        <f>IF(AND(BP278=1,TRIM(AE278&amp;"")=""),IF(COUNTIFS(Линии[Щит],A278,Линии[Секция (1/2/3)],"&gt;=2")&gt;0,MIN(3,MAX(1,IFERROR(--BD278,1))),1),IFERROR(MIN(3,MAX(1,INT(--AE278))),1))</f>
        <v>1</v>
      </c>
      <c r="GE278" t="str" cm="1">
        <f t="array" ref="GE278">IF(B278="","",_xlfn.LET(_xlpm.t,IFERROR(_xlfn.XLOOKUP(1,(Шины[Шина]=GC278)*(((Шины[Щит]=A278)+(Шины[Щит]=""))&gt;0),Шины[Тип]),"")&amp;"",IF(_xlpm.t&lt;&gt;"",_xlpm.t,IF(ISNUMBER(SEARCH("ИБП",GC278)),"ИБП",IF(ISNUMBER(SEARCH("ДГУ",GC278)),"ДГУ","Ввод "&amp;GD278)))))</f>
        <v>Ввод 1</v>
      </c>
      <c r="GF278" t="str">
        <f t="shared" si="628"/>
        <v>Ввод 1</v>
      </c>
      <c r="GG278" t="str">
        <f>IF(BP278=0,"",IF(TRIM(AG278&amp;"")&lt;&gt;"",TRIM(AG278&amp;""),IF(OR(GE278="ИБП",GE278="ДГУ"),"I особая",_xlfn.XLOOKUP(A278,Щиты[Щит],Щиты[Категория шины «Ввод»],"III"))))</f>
        <v/>
      </c>
      <c r="GH278" t="str">
        <f>IF(A278="","",_xlfn.XLOOKUP(A278,Щиты[Щит],Щиты[Путь],""))</f>
        <v>|ГРЩ-ЖД|ЩР-1|</v>
      </c>
      <c r="GI278" t="str">
        <f>IF(B278="","",IF(AI278&lt;&gt;"",AI278,IF(IFERROR(_xlfn.XLOOKUP(BC278,Коды_код,Коды_вид)&amp;"","")="","Прочее",_xlfn.XLOOKUP(BC278,Коды_код,Коды_вид)&amp;"")))</f>
        <v>Розеточная сеть и бытовые приборы</v>
      </c>
      <c r="GJ278">
        <f>IF(BM278="","",INT((BM278-1)/Столбцов_на_лист)+1)</f>
        <v>5</v>
      </c>
      <c r="GK278" t="str">
        <f t="shared" si="629"/>
        <v>ВВГнг(А)-LS (3х2,5) L=9-0,04%</v>
      </c>
      <c r="GL278">
        <f t="shared" si="630"/>
        <v>0.12</v>
      </c>
      <c r="GM278">
        <f t="shared" si="631"/>
        <v>0.55000000000000004</v>
      </c>
      <c r="GN278">
        <f t="shared" si="632"/>
        <v>1</v>
      </c>
      <c r="GO278">
        <f t="shared" si="633"/>
        <v>0</v>
      </c>
      <c r="GP278">
        <f t="shared" si="634"/>
        <v>1</v>
      </c>
      <c r="GQ278">
        <f>IF(BM278="","",IF(AND(CG278=1,GP278=1),COUNTIFS(A$3:A278,A278,CG$3:CG278,1,GP$3:GP278,1),IF(OR(OR(BA278=1,A278&lt;&gt;A277),AJ278="вручную",GP278=0),"",IF(BA278=1,"",GR277))))</f>
        <v>54</v>
      </c>
      <c r="GR278">
        <f t="shared" si="635"/>
        <v>54</v>
      </c>
      <c r="GS278">
        <f>IF(B278="","",IFERROR(LOOKUP(INDEX(CHOOSE(EB278,Iдоп_1ж,Iдоп_2ж,Iдоп_3ж),MATCH(EN278,Iдоп_S,0))*DZ278*EA278,{6,10,16,20,25,32,40,50,63,80,100,125,160,200,250,315,400,500,630}),""))</f>
        <v>25</v>
      </c>
      <c r="GT278" t="str">
        <f t="shared" si="636"/>
        <v>QFD54</v>
      </c>
      <c r="GU278" t="str">
        <f t="shared" si="637"/>
        <v>QFD54</v>
      </c>
      <c r="GV278" t="str">
        <f t="shared" si="638"/>
        <v/>
      </c>
      <c r="GW278">
        <f t="shared" si="639"/>
        <v>0</v>
      </c>
      <c r="GX278" t="str">
        <f>IF(OR(B278="",DJ278=""),"",IFERROR(_xlfn.XLOOKUP(DJ278,Модули_умолч[Управление],Модули_умолч[Модель])&amp;"",""))</f>
        <v/>
      </c>
      <c r="GY278">
        <f>IF(DJ278="",1,IFERROR(MAX(0,N(_xlfn.XLOOKUP(DJ278,Модули_умолч[Управление],Модули_умолч[Каналов на линию]))),1))</f>
        <v>1</v>
      </c>
      <c r="GZ278" t="str">
        <f t="shared" si="640"/>
        <v/>
      </c>
      <c r="HA278" t="str">
        <f t="shared" si="641"/>
        <v/>
      </c>
      <c r="HB278" t="str">
        <f t="shared" si="642"/>
        <v/>
      </c>
      <c r="HC278">
        <f>IF(HB278="",0,IFERROR(N(VLOOKUP(HB278,Модули_спр,3,FALSE)),0))</f>
        <v>0</v>
      </c>
      <c r="HD278" t="str">
        <f t="shared" si="643"/>
        <v/>
      </c>
      <c r="HE278" t="str">
        <f t="shared" si="644"/>
        <v/>
      </c>
      <c r="HF278" t="str">
        <f>IF(OR(HE278="",HE278="-"),"",IFERROR(VLOOKUP(HE278,Модули_спр,2,FALSE),"R"))</f>
        <v/>
      </c>
      <c r="HG278" t="str">
        <f>IF(HF278="","",HF278&amp;"."&amp;COUNTIFS(A$3:A278,A278,HF$3:HF278,HF278))</f>
        <v/>
      </c>
      <c r="HH278" t="str">
        <f t="shared" si="645"/>
        <v/>
      </c>
      <c r="HI278" t="str">
        <f t="shared" si="646"/>
        <v/>
      </c>
      <c r="HJ278" t="str">
        <f t="shared" si="647"/>
        <v/>
      </c>
      <c r="HK278" t="str">
        <f t="shared" si="648"/>
        <v/>
      </c>
      <c r="HL278">
        <f t="shared" si="649"/>
        <v>1</v>
      </c>
      <c r="HM278" t="str">
        <f>IF(HL278=1,"XT"&amp;COUNTIFS(A$3:A278,A278,HL$3:HL278,1),"")</f>
        <v>XT54</v>
      </c>
      <c r="HN278" t="str">
        <f t="shared" si="650"/>
        <v>XT54</v>
      </c>
      <c r="HO278" t="str">
        <f t="shared" si="651"/>
        <v>QFD54</v>
      </c>
      <c r="HP278" t="str">
        <f t="shared" si="652"/>
        <v/>
      </c>
      <c r="HQ278" t="str">
        <f t="shared" si="653"/>
        <v>ok</v>
      </c>
      <c r="HR278" t="str">
        <f>IF(OR(HJ278="",HH278=""),"",IF(HJ278+MAX(0,GY278-1)&gt;IFERROR(VLOOKUP(HI278,Модули_спр,3,FALSE),99),"ЛИШНИЙ КАНАЛ",IF(AND(AL278&lt;&gt;"=",GY278&gt;0,COUNTIFS(Линии[_модуль гр.],HH278,Линии[Канал (итог)],HJ278,Линии[Канал],"&lt;&gt;=",Линии[Щит],A278)&gt;1),"ДУБЛЬ КАНАЛА","")))</f>
        <v/>
      </c>
      <c r="HS278" s="6" t="str">
        <f t="shared" si="654"/>
        <v/>
      </c>
      <c r="HT278">
        <f t="shared" si="655"/>
        <v>10</v>
      </c>
      <c r="HU278" t="str">
        <f t="shared" si="656"/>
        <v/>
      </c>
      <c r="HV278">
        <f t="shared" si="657"/>
        <v>0.30878536516659505</v>
      </c>
      <c r="HW278">
        <f t="shared" si="658"/>
        <v>0</v>
      </c>
      <c r="HX278">
        <f t="shared" si="659"/>
        <v>0</v>
      </c>
      <c r="HY278">
        <f t="shared" si="660"/>
        <v>0</v>
      </c>
      <c r="HZ278">
        <f t="shared" si="661"/>
        <v>0</v>
      </c>
      <c r="IA278">
        <f t="shared" si="662"/>
        <v>0</v>
      </c>
      <c r="IB278">
        <f t="shared" si="663"/>
        <v>0</v>
      </c>
      <c r="IC278" t="str">
        <f t="shared" si="664"/>
        <v/>
      </c>
      <c r="ID278" t="str" cm="1">
        <f t="array" ref="ID278">IF(IC278="","",_xlfn.LET(_xlpm.tk,_xlfn.TEXTSPLIT(SUBSTITUTE(SUBSTITUTE(IC278,";"," "),"→"," ")," ",,TRUE),_xlpm.w_,_xlfn._xlws.FILTER(_xlpm.tk,ISNUMBER(--LEFT(_xlpm.tk,1))*((ISNUMBER(SEARCH("W",_xlpm.tk))+ISNUMBER(SEARCH("Вт",_xlpm.tk)))&gt;0),""),IFERROR(--SUBSTITUTE(SUBSTITUTE(UPPER(INDEX(_xlpm.w_,1)),"W",""),"ВТ",""),"")))</f>
        <v/>
      </c>
      <c r="IE278" t="str" cm="1">
        <f t="array" ref="IE278">IF(IC278="","",_xlfn.LET(_xlpm.tk,_xlfn.TEXTSPLIT(SUBSTITUTE(SUBSTITUTE(IC278,";"," "),"→"," ")," ",,TRUE),_xlpm.v_,_xlfn._xlws.FILTER(_xlpm.tk,ISNUMBER(--LEFT(_xlpm.tk,1))*((ISNUMBER(SEARCH("V",_xlpm.tk))+(RIGHT(UPPER(_xlpm.tk))="В"))&gt;0),""),IFERROR(--SUBSTITUTE(SUBSTITUTE(UPPER(INDEX(_xlpm.v_,1)),"V",""),"В",""),"")))</f>
        <v/>
      </c>
      <c r="IF278" s="6" t="str">
        <f>IF(OR(BV278=0,HI278="",HJ278=""),"",IFERROR(N(_xlfn.XLOOKUP(HI278,Каталог!$C$4:$C$500,Каталог!$Q$4:$Q$500)),""))</f>
        <v/>
      </c>
      <c r="IG278" s="6" t="str">
        <f>IF(N(IF278)=0,"",SUMIFS(Линии[Iр, А],Линии[Щит],A278,Линии[_модуль гр.],HH278,Линии[Канал (итог)],HJ278))</f>
        <v/>
      </c>
      <c r="IH278" t="str">
        <f>IF(AND(B278="",HO278=""),"",_xlfn.TEXTJOIN("; ",TRUE,IF(AND(B278&lt;&gt;"",FV278=""),"нет фазы",""),IF(AND(B278&lt;&gt;"",N(GL278)=0,FG278&lt;&gt;"Нет"),"нет мощности",""),IF(AND(HN278&lt;&gt;"",COUNTIFS(Линии[Щит],A278,Линии[Клемма (итог)],HN278)&gt;1),"дубль клеммы "&amp;HN278,""),IF(AND(HQ278&lt;&gt;"",HQ278&lt;&gt;"ok"),HQ278,""),IF(HR278&lt;&gt;"",HR278,""),IF(AND(N(CB278)&gt;=4,N(BX278)=1),CB278&amp;" жил на 1 фазе",""),IF(AND(BC278="R",CG278=1,IF(CS278&lt;&gt;"",N(CV278)&gt;30,OR(N(DA278)=0,N(DA278)&gt;30))),"розетка без дифзащиты до 30 мА",""),IF(AND(CG278=1,N(DA278)&gt;0,ISNUMBER(T278)),IF(T278&gt;N(DA278)/3,"ток утечки "&amp;FIXED(T278,1)&amp;" мА &gt; 1/3 уставки ("&amp;DA278&amp;" мА)",""),""),IF(AND(CH278=1,CS278=""),"«узо»: нет строки с УЗО выше (УЗО 2P 40А 30мА в «Аппаратах»)",""),IF(AND(CS278&lt;&gt;"",CS278=BA278),IF(CT278="","впишите номинал УЗО (УЗО 2P 40А 30мА)",IF(N(CT278)&lt;N(DT278),"УЗО "&amp;CT278&amp;" А &lt; автомата "&amp;DT278&amp;" А перед ним",IF(N(CT278)&lt;N(CX278),"УЗО "&amp;CT278&amp;" А &lt; тока блока "&amp;FIXED(CX278,1)&amp;" А",""))),""),IF(AND(CS278&lt;&gt;"",CS278=BA278,ISNUMBER(CY278)),IF(CY278&gt;N(CV278)/3,"ток утечки блока УЗО "&amp;FIXED(CY278,1)&amp;" мА &gt; 1/3 уставки ("&amp;CV278&amp;" мА)",""),""),IF(AND(CG278=1,N(BV278)+N(IB278)&gt;0,IC278=""),"линии до 50 В без БП: впишите в «Аппараты» (БП 24V 480W)",""),IF(AND(CG278=1,ISNUMBER(ID278),ISNUMBER(U278)),IF(U278&gt;ID278,"БП "&amp;ID278&amp;" Вт &lt; нужно "&amp;U278&amp;" Вт (×"&amp;Запас_БП&amp;")",""),""),IF(AND(CG278=1,ISNUMBER(IE278),N(BV278)=1),IF(IE278&lt;&gt;N(BU278),"БП на "&amp;IE278&amp;" В, линия "&amp;BU278&amp;" В",""),""),IF(AND(N(IF278)&gt;0,N(IG278)&gt;N(IF278)),HH278&amp;" канал "&amp;HJ278&amp;": "&amp;FIXED(IG278,1)&amp;" А &gt; "&amp;IF278&amp;" А",""),IFERROR(IF(AND(ISNUMBER(Q278),Q278&gt;EL278),"потери "&amp;FIXED(Q278,1)&amp;" % &gt; "&amp;EL278&amp;" %",""),""),IFERROR(IF(LEFT(HU278,4)="мало","Iкз мало — отключение &gt; 0,4 с",""),""),IF(AND(B278&lt;&gt;"",BM278=""),"не на схеме",""),IF(AND(CG278=0,B278&lt;&gt;"",FV278&lt;&gt;"",IF(BA278=1,"",FW277)&lt;&gt;"",FV278&lt;&gt;IF(BA278=1,"",FW277)),"фаза не как у автомата группы ("&amp;IF(BA278=1,"",FW277)&amp;")","")))</f>
        <v/>
      </c>
      <c r="II278" s="6">
        <f>IF(OR(CG278=0,DQ278=""),"",_xlfn.LET(_xlpm.t,IFERROR(_xlfn.XLOOKUP(DQ278,Каталог!$U$4:$U$500,Каталог!$G$4:$G$500),""),_xlpm.k,SEARCH("кА",_xlpm.t),IFERROR(--TRIM(RIGHT(SUBSTITUTE(MID(_xlpm.t,MAX(1,_xlpm.k-4),_xlpm.k-MAX(1,_xlpm.k-4))," ",REPT(" ",9)),5)),"")))</f>
        <v>6</v>
      </c>
      <c r="IJ278" t="str">
        <f>IF(OR(II278="",CG278=0),"",IF(_xlfn.XLOOKUP(A278,Щиты[Щит],Щиты[Iкз max на шинах, кА],"")="","",IF(II278&lt;_xlfn.XLOOKUP(A278,Щиты[Щит],Щиты[Iкз max на шинах, кА]),"Icu "&amp;II278&amp;" кА &lt; Iкз max","ok")))</f>
        <v/>
      </c>
      <c r="IK278" t="str">
        <f t="shared" si="665"/>
        <v/>
      </c>
      <c r="IL278" t="str">
        <f t="shared" si="666"/>
        <v>QFD54|XT54</v>
      </c>
      <c r="IM278" t="str">
        <f t="shared" si="667"/>
        <v>QFD54|XT54|кабель ВВГнг(А)-LS (3х2,5) → Розеточная группа, пом. 002Б</v>
      </c>
      <c r="IN278" t="str" cm="1">
        <f t="array" ref="IN278">IF(IM278="","",_xlfn.LET(_xlpm.nd,_xlfn.TEXTSPLIT(IM278,"|"),IF(COLUMNS(_xlpm.nd)&gt;1,A278&amp;"¦"&amp;INDEX(_xlpm.nd,1)&amp;"¦"&amp;INDEX(_xlpm.nd,2),"")))</f>
        <v>ЩР-1¦QFD54¦XT54</v>
      </c>
      <c r="IO278" t="str">
        <f t="shared" si="668"/>
        <v>R.1.002Б.10¦Розеточная группа, пом. 002Б</v>
      </c>
      <c r="IP278" t="str" cm="1">
        <f t="array" ref="IP278">IF(IM278="","",_xlfn.LET(_xlpm.nd,_xlfn.TEXTSPLIT(IM278,"|"),IF(COLUMNS(_xlpm.nd)&gt;2,A278&amp;"¦"&amp;INDEX(_xlpm.nd,2)&amp;"¦"&amp;INDEX(_xlpm.nd,3),"")))</f>
        <v>ЩР-1¦XT54¦кабель ВВГнг(А)-LS (3х2,5) → Розеточная группа, пом. 002Б</v>
      </c>
      <c r="IQ278" t="str">
        <f t="shared" si="669"/>
        <v>R.1.002Б.10¦Розеточная группа, пом. 002Б</v>
      </c>
      <c r="IR278" t="str" cm="1">
        <f t="array" ref="IR278">IF(IM278="","",_xlfn.LET(_xlpm.nd,_xlfn.TEXTSPLIT(IM278,"|"),IF(COLUMNS(_xlpm.nd)&gt;3,A278&amp;"¦"&amp;INDEX(_xlpm.nd,3)&amp;"¦"&amp;INDEX(_xlpm.nd,4),"")))</f>
        <v/>
      </c>
      <c r="IS278" t="str">
        <f t="shared" si="670"/>
        <v/>
      </c>
      <c r="IT278" t="str" cm="1">
        <f t="array" ref="IT278">IF(IM278="","",_xlfn.LET(_xlpm.nd,_xlfn.TEXTSPLIT(IM278,"|"),IF(COLUMNS(_xlpm.nd)&gt;4,A278&amp;"¦"&amp;INDEX(_xlpm.nd,4)&amp;"¦"&amp;INDEX(_xlpm.nd,5),"")))</f>
        <v/>
      </c>
      <c r="IU278" t="str">
        <f t="shared" si="671"/>
        <v/>
      </c>
      <c r="IV278" t="str" cm="1">
        <f t="array" ref="IV278">IF(IM278="","",_xlfn.LET(_xlpm.nd,_xlfn.TEXTSPLIT(IM278,"|"),IF(COLUMNS(_xlpm.nd)&gt;5,A278&amp;"¦"&amp;INDEX(_xlpm.nd,5)&amp;"¦"&amp;INDEX(_xlpm.nd,6),"")))</f>
        <v/>
      </c>
      <c r="IW278" t="str">
        <f t="shared" si="672"/>
        <v/>
      </c>
      <c r="IX278" t="str" cm="1">
        <f t="array" ref="IX278">IF(IM278="","",_xlfn.LET(_xlpm.nd,_xlfn.TEXTSPLIT(IM278,"|"),IF(COLUMNS(_xlpm.nd)&gt;6,A278&amp;"¦"&amp;INDEX(_xlpm.nd,6)&amp;"¦"&amp;INDEX(_xlpm.nd,7),"")))</f>
        <v/>
      </c>
      <c r="IY278" t="str">
        <f t="shared" si="673"/>
        <v/>
      </c>
      <c r="IZ278" t="str">
        <f t="shared" si="674"/>
        <v/>
      </c>
      <c r="JA278" t="str">
        <f t="shared" si="675"/>
        <v>QFD54 → XT54</v>
      </c>
      <c r="JB278">
        <f t="shared" si="676"/>
        <v>0</v>
      </c>
      <c r="JC278">
        <f t="shared" si="677"/>
        <v>1</v>
      </c>
      <c r="JD278" t="str">
        <f t="shared" si="678"/>
        <v/>
      </c>
      <c r="JE278" t="str">
        <f t="shared" si="679"/>
        <v/>
      </c>
      <c r="JF278" t="str">
        <f t="shared" si="680"/>
        <v/>
      </c>
      <c r="JG278" t="str">
        <f t="shared" si="681"/>
        <v/>
      </c>
      <c r="JH278" t="str">
        <f>IF(B278="","",IFERROR(_xlfn.XLOOKUP(B278,Коды_код,Коды_уго),IFERROR(_xlfn.XLOOKUP(BC278,Коды_код,Коды_уго),IFERROR(_xlfn.XLOOKUP(LEFT(BC278,2),Коды_код,Коды_уго),""))))</f>
        <v>Розетка</v>
      </c>
      <c r="JI278" t="str">
        <f>IF(B278="","",IF(OR(JH278="",JH278=0),"BOX",IFERROR(IF(VLOOKUP(JH278,УГО_блоки,3,FALSE)&amp;""&lt;&gt;"",VLOOKUP(JH278,УГО_блоки,3,FALSE),VLOOKUP(JH278,УГО_блоки,2,FALSE)),JH278)))</f>
        <v>SOCKET</v>
      </c>
      <c r="JJ278">
        <f t="shared" si="682"/>
        <v>1</v>
      </c>
      <c r="JK278" t="str">
        <f>IF(DQ278="","",IF(COUNTIF(DQ$3:DQ278,DQ278)=1,MAX(JK$2:JK277)+1,""))</f>
        <v/>
      </c>
      <c r="JL278" t="str">
        <f>IF(DE278="","",IF(COUNTIF(DE$3:DE278,DE278)+COUNTIF(DF$2:DF277,DE278)+COUNTIF(DG$2:DG277,DE278)=1,MAX(JL$2:JN277)+1,""))</f>
        <v/>
      </c>
      <c r="JM278" t="str">
        <f>IF(DF278="","",IF(COUNTIF(DE$3:DE278,DF278)+COUNTIF(DF$3:DF278,DF278)+COUNTIF(DG$2:DG277,DF278)=1,MAX(JL$2:JN277,JL278)+1,""))</f>
        <v/>
      </c>
      <c r="JN278" t="str">
        <f>IF(DG278="","",IF(COUNTIF(DE$3:DE278,DG278)+COUNTIF(DF$3:DF278,DG278)+COUNTIF(DG$3:DG278,DG278)=1,MAX(JL$2:JN277,JL278,JM278)+1,""))</f>
        <v/>
      </c>
      <c r="JO278" t="str">
        <f t="shared" si="683"/>
        <v>3х2,5</v>
      </c>
      <c r="JP278" t="str">
        <f>IF(JO278="","",IF(COUNTIF(JO$3:JO278,JO278)=1,MAX(JP$2:JP277)+1,""))</f>
        <v/>
      </c>
      <c r="JQ278" t="str">
        <f>IF(HG278="","",COUNTIF(HG$3:HG278,"?*"))</f>
        <v/>
      </c>
      <c r="JR278" t="str">
        <f>IF(OR(HG278="",HI278=""),"",IF(COUNTIFS(HG$3:HG278,"?*",HI$3:HI278,HI278)=1,MAX(JR$2:JR277)+1,""))</f>
        <v/>
      </c>
      <c r="JS278">
        <f t="shared" si="684"/>
        <v>0</v>
      </c>
      <c r="JT278">
        <f>IF(B278="","",COUNTIF(B$3:B278,"?*"))</f>
        <v>276</v>
      </c>
      <c r="JU278">
        <f>IF(HL278&lt;&gt;1,0,_xlfn.LET(_xlpm.k,MAX(IFERROR(--_xlfn.XLOOKUP(B278,Коды_код,Коды_3L),0),IFERROR(--_xlfn.XLOOKUP(BC278,Коды_код,Коды_3L),0),IFERROR(--_xlfn.XLOOKUP(LEFT(BC278,2),Коды_код,Коды_3L),0)),IF(_xlpm.k&gt;0,_xlpm.k,IF(IFERROR(--LEFT(SUBSTITUTE(JO278,"x","х"),FIND("х",SUBSTITUTE(JO278,"x","х"))-1),3)&gt;3,Каталог!$S$9,1))))</f>
        <v>1</v>
      </c>
      <c r="JV278">
        <f t="shared" si="685"/>
        <v>0</v>
      </c>
      <c r="JW278" t="str">
        <f t="shared" si="686"/>
        <v>авто</v>
      </c>
      <c r="JX278">
        <f t="shared" si="687"/>
        <v>30</v>
      </c>
      <c r="JY278">
        <f t="shared" si="688"/>
        <v>1</v>
      </c>
      <c r="JZ278">
        <f t="shared" si="689"/>
        <v>1</v>
      </c>
    </row>
    <row r="279" spans="1:286" x14ac:dyDescent="0.3">
      <c r="A279" t="s">
        <v>757</v>
      </c>
      <c r="B279" t="s">
        <v>1585</v>
      </c>
      <c r="C279" t="str">
        <f>Линии[[#This Row],[_авто наименование]]</f>
        <v>Розеточная группа, пом. 021A</v>
      </c>
      <c r="D279">
        <v>1</v>
      </c>
      <c r="E279">
        <v>0.18</v>
      </c>
      <c r="G279" t="str">
        <f>Линии[[#This Row],[_авто автомат]]</f>
        <v>2P С16А 30мА</v>
      </c>
      <c r="H279" t="str">
        <f>Линии[[#This Row],[_авто управление]]</f>
        <v/>
      </c>
      <c r="I279" t="str">
        <f>Линии[[#This Row],[_авто аппараты]]</f>
        <v/>
      </c>
      <c r="J279">
        <v>2.5</v>
      </c>
      <c r="K279">
        <v>39</v>
      </c>
      <c r="L279" t="str">
        <f>Линии[[#This Row],[_авто фаза]]</f>
        <v>L1</v>
      </c>
      <c r="M279" t="str">
        <f>Линии[[#This Row],[_авто клемма]]</f>
        <v>XT55</v>
      </c>
      <c r="N279" t="str">
        <f t="shared" si="552"/>
        <v/>
      </c>
      <c r="O279" s="6" cm="1">
        <f t="array" ref="O279">IF(B279="","",IF(BH279&lt;&gt;"",IFERROR(_xlfn.XLOOKUP(BH279,Щиты[Щит],Щиты[Iр, А]),""),IF(BP279=1,IF(OR(N(_xlfn.XLOOKUP(A279,Щиты[Щит],Щиты[Вводов],1))&lt;=1,LOWER(TRIM(_xlfn.XLOOKUP(A279,Щиты[Щит],Щиты[АВР],"")&amp;""))="да"),IFERROR(_xlfn.XLOOKUP(A279,Щиты[Щит],Щиты[Iр, А]),""),IFERROR(N(BS279)*_xlfn.XLOOKUP(A279,Щиты[Щит],Щиты[Кс итог])/(SQRT(3)*Uн_лин*_xlfn.XLOOKUP(A279,Щиты[Щит],Щиты[cos φ])),"")),IF(BV279=1,IFERROR(BS279*1000/BU279,""),IFERROR(_xlfn.IFS(BX279=1,BS279/((Uн_лин/SQRT(3))*CE279),BX279=3,BS279/(SQRT(3)*Uн_лин*CE279)),"")))))</f>
        <v>0.8204451193747313</v>
      </c>
      <c r="P279" s="7">
        <f>IF(B279="","",IFERROR(IF(VLOOKUP(BC279,Потребители_обозначение,4,FALSE)=1,VLOOKUP(BC279,Потребители_обозначение,3,FALSE)*(MAX(1,N(D279))*2-1)+EI279+VLOOKUP(BE279,Этаж_обозначение,3,FALSE)+VLOOKUP(BE279,Этаж_обозначение,4,FALSE),VLOOKUP(BC279,Потребители_обозначение,3,FALSE)*(MAX(1,N(D279))*2-1)+EI279),EI279))</f>
        <v>42</v>
      </c>
      <c r="Q279" s="6">
        <f t="shared" si="553"/>
        <v>1.45</v>
      </c>
      <c r="R279" t="str">
        <f t="shared" si="554"/>
        <v>ВВГнг(А)-LS (3х2,5)</v>
      </c>
      <c r="S279" t="str">
        <f>IF(BM279="","",IF(BN279="вводной узел","узел ","")&amp;"л."&amp;(INT((BM279-1)/Столбцов_на_лист)+1)&amp;" / "&amp;(MOD(BM279-1,Столбцов_на_лист)+1))</f>
        <v>л.5 / 3</v>
      </c>
      <c r="T279" s="119">
        <f t="shared" si="555"/>
        <v>0.7</v>
      </c>
      <c r="U279" s="7" t="str">
        <f>IF(OR(CG279=0,N(BV279)+N(IB279)=0),"",ROUNDUP(Запас_БП*(N(HY279)+N(HZ279)),0))</f>
        <v/>
      </c>
      <c r="V279" s="119" t="str">
        <f t="shared" si="556"/>
        <v/>
      </c>
      <c r="W279" s="7" t="str">
        <f>IFERROR(IF(OR(B279="",BP279=1,BV279=1,NOT(ISNUMBER(EN279)),N(DT279)=0),"",MAX(0,ROUNDDOWN((c_min*(Uн_лин*1000/SQRT(3))/(HT279*N(DT279))-_xlfn.XLOOKUP(A279,Щиты[Щит],Щиты[Zпетли на шинах, Ом]))*EN279/(2*ρкз_Cu),0))),"")</f>
        <v/>
      </c>
      <c r="Y279">
        <f>Линии[[#This Row],[_авто утечка]]</f>
        <v>30</v>
      </c>
      <c r="Z279">
        <v>1</v>
      </c>
      <c r="AA279">
        <v>230</v>
      </c>
      <c r="AB279" t="s">
        <v>562</v>
      </c>
      <c r="AG279" t="s">
        <v>810</v>
      </c>
      <c r="AI279" t="s">
        <v>561</v>
      </c>
      <c r="AK279" t="str">
        <f>Линии[[#This Row],[_авто модуль]]</f>
        <v/>
      </c>
      <c r="AM279">
        <v>71</v>
      </c>
      <c r="AN279" t="s">
        <v>11</v>
      </c>
      <c r="AO279">
        <v>3</v>
      </c>
      <c r="AQ279">
        <v>20</v>
      </c>
      <c r="AR279">
        <v>22</v>
      </c>
      <c r="AS279">
        <v>0</v>
      </c>
      <c r="BA279" cm="1">
        <f t="array" ref="BA279">ROW()-ROW(Линии[#Headers])</f>
        <v>277</v>
      </c>
      <c r="BC279" s="6" t="str">
        <f t="shared" si="557"/>
        <v>R</v>
      </c>
      <c r="BD279" t="str">
        <f t="shared" si="558"/>
        <v>1.021A.5</v>
      </c>
      <c r="BE279" t="str">
        <f t="shared" si="559"/>
        <v>1</v>
      </c>
      <c r="BF279" t="str">
        <f t="shared" si="560"/>
        <v>021A.5</v>
      </c>
      <c r="BG279" t="str">
        <f t="shared" si="561"/>
        <v>021A</v>
      </c>
      <c r="BH279" t="str">
        <f>IF(X279&lt;&gt;"",X279,IF(AND(B279&lt;&gt;"",B279&lt;&gt;A279,ISNUMBER(_xlfn.XMATCH(B279,Щиты[Щит]))),B279,""))</f>
        <v/>
      </c>
      <c r="BI279" t="str" cm="1">
        <f t="array" ref="BI279">IF(B279="","",IF(BH279&lt;&gt;"","Щит "&amp;BH279,_xlfn.LET(_xlpm.nm,IFERROR(_xlfn.XLOOKUP(BC279,Коды_код,Коды_имя)&amp;"",""),_xlpm.md,IFERROR(N(_xlfn.XLOOKUP(BC279,Коды_код,Коды_режим)),1),_xlpm.ex,IF(Имя_режим="по экспликации",IFERROR(_xlfn.XLOOKUP(BE279&amp;"|"&amp;BG279,Экспликация[Этаж]&amp;"|"&amp;Экспликация[Помещение],Экспликация[Название])&amp;"",""),""),_xlpm.rm,IF(BG279="","",IF(_xlpm.ex&lt;&gt;"",". "&amp;_xlpm.ex&amp;IF(Имя_пом="нет"," ("&amp;BG279&amp;")"," (пом. "&amp;BG279&amp;")"),IF(Имя_пом="нет"," ",", пом. ")&amp;BG279)),IF(_xlpm.nm="","",IF(_xlpm.md=2,_xlpm.nm&amp;" шлейф "&amp;BE279,_xlpm.nm&amp;_xlpm.rm)))))</f>
        <v>Розеточная группа, пом. 021A</v>
      </c>
      <c r="BJ279" t="str">
        <f t="shared" si="562"/>
        <v>Розеточная группа, пом. 021A</v>
      </c>
      <c r="BK279">
        <f>IFERROR(_xlfn.XMATCH(A279,Щиты[Щит]),0)</f>
        <v>10</v>
      </c>
      <c r="BL279">
        <f>_xlfn.LET(_xlpm.k,IFERROR(_xlfn.XLOOKUP(A279,Щиты[Щит],Щиты[Мест под вводной узел]),""),IF(_xlpm.k="",Столбцов_на_лист,N(_xlpm.k)))</f>
        <v>8</v>
      </c>
      <c r="BM279">
        <f t="shared" si="563"/>
        <v>71</v>
      </c>
      <c r="BN279" t="str">
        <f t="shared" si="564"/>
        <v>линии</v>
      </c>
      <c r="BO279" s="6">
        <f>IFERROR(N(_xlfn.XLOOKUP(BC279,Коды_код,Коды_квт)),0)</f>
        <v>0</v>
      </c>
      <c r="BP279">
        <f t="shared" si="565"/>
        <v>0</v>
      </c>
      <c r="BQ279" t="str">
        <f>IF(B279="","",IF(BH279&lt;&gt;"",IFERROR(_xlfn.XLOOKUP(BH279,Щиты[Щит],Щиты[Руст, кВт]),0),IF(BP279=1,IF(OR(N(_xlfn.XLOOKUP(A279,Щиты[Щит],Щиты[Вводов],1))&lt;=1,LOWER(TRIM(_xlfn.XLOOKUP(A279,Щиты[Щит],Щиты[АВР],"")&amp;""))="да"),IFERROR(_xlfn.XLOOKUP(A279,Щиты[Щит],Щиты[Руст, кВт]),0),SUMIFS(Линии[_Р для вводов],Линии[Щит],A279,Линии[Источник для режимов],GF279)),IF(BO279&gt;0,ROUND(BO279*MAX(1,N(D279)),3),""))))</f>
        <v/>
      </c>
      <c r="BR279">
        <f t="shared" si="566"/>
        <v>0.18</v>
      </c>
      <c r="BS279" s="6">
        <f>IF(B279="","",IF(BH279&lt;&gt;"",IFERROR(_xlfn.XLOOKUP(BH279,Щиты[Щит],Щиты[Руст, кВт]),0),N(BR279)))</f>
        <v>0.18</v>
      </c>
      <c r="BT279" t="str">
        <f>IF(B279="","",IFERROR(IF(VLOOKUP(BC279,Потребители_обозначение,8,FALSE)=0,"",VLOOKUP(BC279,Потребители_обозначение,8,FALSE)),""))</f>
        <v/>
      </c>
      <c r="BU279">
        <f t="shared" si="567"/>
        <v>230</v>
      </c>
      <c r="BV279">
        <f t="shared" si="568"/>
        <v>0</v>
      </c>
      <c r="BW279">
        <f>IF(B279="","",IF(BH279&lt;&gt;"",3,IFERROR(IF(N(VLOOKUP(BC279,Потребители_обозначение,9,FALSE))=0,1,VLOOKUP(BC279,Потребители_обозначение,9,FALSE)),1)))</f>
        <v>1</v>
      </c>
      <c r="BX279">
        <f t="shared" si="569"/>
        <v>1</v>
      </c>
      <c r="BY279" t="str">
        <f>IF(B279="","",_xlfn.LET(_xlpm.bc,IFERROR(IF(VLOOKUP(BC279,Потребители_обозначение,6,FALSE)=0,"",VLOOKUP(BC279,Потребители_обозначение,6,FALSE)&amp;""),""),IF(AND(GA279="да",OR(_xlpm.bc="",_xlpm.bc="мс")),Марка_пож,IF(AND(_xlpm.bc="",BH279&lt;&gt;""),"мс",_xlpm.bc))))</f>
        <v/>
      </c>
      <c r="BZ279" t="str">
        <f t="shared" si="570"/>
        <v>мс</v>
      </c>
      <c r="CA279">
        <f>IF(B279="","",_xlfn.LET(_xlpm.cc,IFERROR(N(VLOOKUP(BC279,Потребители_обозначение,7,FALSE)),0),IF(_xlpm.cc&gt;0,_xlpm.cc,IF(BZ279="","",IF(BV279=1,2,IF(N(BX279)=3,5,3))))))</f>
        <v>3</v>
      </c>
      <c r="CB279">
        <f t="shared" si="571"/>
        <v>3</v>
      </c>
      <c r="CC279">
        <f>IFERROR(N(VLOOKUP(BC279,Потребители_обозначение,10,FALSE)),0)</f>
        <v>0</v>
      </c>
      <c r="CD279">
        <f>IFERROR(VLOOKUP(BC279,Потребители_обозначение,5,FALSE),0)</f>
        <v>1</v>
      </c>
      <c r="CE279" s="6" cm="1">
        <f t="array" ref="CE279">IF(B279="","",IF(BH279&lt;&gt;"",IFERROR(_xlfn.XLOOKUP(BH279,Щиты[Щит],Щиты[cos φ]),0.95),IF(BP279=1,IFERROR(_xlfn.XLOOKUP(A279,Щиты[Щит],Щиты[cos φ]),0.95),IF(ISNUMBER(AD279),AD279,IFERROR(IF(CD279=2,_xlfn.IFS(BX279=3,VLOOKUP(BS279,Справочная_двигатели,8,FALSE),BX279=1,VLOOKUP(BS279,Справочная_двигатели,10,TRUE)),IF(AND(Методика="нормы 2026",FG279="Сил"),0.8,0.95)),0.95)))))</f>
        <v>0.95</v>
      </c>
      <c r="CF279">
        <f t="shared" si="572"/>
        <v>0</v>
      </c>
      <c r="CG279">
        <f t="shared" si="573"/>
        <v>1</v>
      </c>
      <c r="CH279">
        <f t="shared" si="574"/>
        <v>0</v>
      </c>
      <c r="CI279">
        <f>IF(B279="","",IF(BV279=1,IFERROR(BS279/((Uн_лин/SQRT(3))*MAX(0.5,N(CE279))),0),N(O279)))</f>
        <v>0.8204451193747313</v>
      </c>
      <c r="CJ279">
        <f t="shared" si="575"/>
        <v>0</v>
      </c>
      <c r="CK279">
        <f t="shared" si="576"/>
        <v>0</v>
      </c>
      <c r="CL279">
        <f t="shared" si="577"/>
        <v>0</v>
      </c>
      <c r="CM279">
        <f t="shared" si="578"/>
        <v>0</v>
      </c>
      <c r="CN279">
        <f t="shared" si="579"/>
        <v>0</v>
      </c>
      <c r="CO279">
        <f>IF(BC279="",0,_xlfn.LET(_xlpm.v,IFERROR(_xlfn.XLOOKUP(B279,Коды_код,Коды_мА),IFERROR(_xlfn.XLOOKUP(BC279,Коды_код,Коды_мА),IFERROR(_xlfn.XLOOKUP(LEFT(BC279,2),Коды_код,Коды_мА),""))),IF(_xlpm.v="да",30,IF(ISNUMBER(_xlpm.v),_xlpm.v,0))))</f>
        <v>30</v>
      </c>
      <c r="CP279">
        <f t="shared" si="580"/>
        <v>30</v>
      </c>
      <c r="CQ279" t="str">
        <f>_xlfn.LET(_xlpm.k,IFERROR(_xlfn.XLOOKUP(BC279,Коды_код,Коды_утечка)&amp;"",""),IF(_xlpm.k="","дифавтомат",_xlpm.k))</f>
        <v>дифавтомат</v>
      </c>
      <c r="CR279" t="str" cm="1">
        <f t="array" ref="CR279">IF(CG279=0,"",_xlfn.LET(_xlpm.sg,TRIM(_xlfn.TEXTSPLIT(DD279&amp;"",";")),_xlpm.f_,_xlfn._xlws.FILTER(_xlpm.sg,LEFT(_xlpm.sg,3)="УЗО",""),IFERROR(INDEX(_xlpm.f_,1)&amp;"","")))</f>
        <v/>
      </c>
      <c r="CS279" t="str">
        <f t="shared" si="581"/>
        <v/>
      </c>
      <c r="CT279" s="6" t="str" cm="1">
        <f t="array" ref="CT279">IF(CR279="","",_xlfn.LET(_xlpm.tk,_xlfn.TEXTSPLIT(UPPER(CR279)," ",,TRUE),_xlpm.a_,_xlfn._xlws.FILTER(_xlpm.tk,ISNUMBER(--LEFT(_xlpm.tk,1))*((ISNUMBER(SEARCH("А",_xlpm.tk))+ISNUMBER(SEARCH("A",_xlpm.tk)))&gt;0)*NOT(ISNUMBER(SEARCH("МА",_xlpm.tk)))*NOT(ISNUMBER(SEARCH("MA",_xlpm.tk))),""),IFERROR(--SUBSTITUTE(SUBSTITUTE(INDEX(_xlpm.a_,1),"А",""),"A",""),"")))</f>
        <v/>
      </c>
      <c r="CU279" t="str" cm="1">
        <f t="array" ref="CU279">IF(CR279="","",_xlfn.LET(_xlpm.tk,_xlfn.TEXTSPLIT(UPPER(CR279)," ",,TRUE),_xlpm.a_,_xlfn._xlws.FILTER(_xlpm.tk,ISNUMBER(--LEFT(_xlpm.tk,1))*((ISNUMBER(SEARCH("МА",_xlpm.tk))+ISNUMBER(SEARCH("MA",_xlpm.tk)))&gt;0),""),IFERROR(--SUBSTITUTE(SUBSTITUTE(INDEX(_xlpm.a_,1),"МА",""),"MA",""),30)))</f>
        <v/>
      </c>
      <c r="CV279" t="str">
        <f>IF(CS279="","",IFERROR(_xlfn.XLOOKUP(CS279,Линии[_n],Линии[_УЗО, мА]),30))</f>
        <v/>
      </c>
      <c r="CW279">
        <f>IF(CS279="",0,IF(ISNUMBER(SEARCH("4P",IFERROR(_xlfn.XLOOKUP(CS279,Линии[_n],Линии[_УЗО строки])&amp;"",""))),0,1))</f>
        <v>0</v>
      </c>
      <c r="CX279" t="str">
        <f>IF(AND(CS279&lt;&gt;"",CS279=BA279),SUMIFS(Линии[_ток на 230 В],Линии[_блок УЗО],BA279,Линии[Щит],A279),"")</f>
        <v/>
      </c>
      <c r="CY279" t="str">
        <f>IF(AND(CS279&lt;&gt;"",CS279=BA279),SUMIFS(Линии[_ток утечки линии, мА],Линии[_блок УЗО],BA279,Линии[Щит],A279),"")</f>
        <v/>
      </c>
      <c r="CZ279">
        <f t="shared" si="582"/>
        <v>30</v>
      </c>
      <c r="DA279">
        <f t="shared" si="583"/>
        <v>30</v>
      </c>
      <c r="DB279">
        <f>IF(B279="",0,IFERROR(--_xlfn.XLOOKUP(B279,Коды_код,Коды_минавт),IFERROR(--_xlfn.XLOOKUP(BC279,Коды_код,Коды_минавт),IFERROR(--_xlfn.XLOOKUP(LEFT(BC279,2),Коды_код,Коды_минавт),0))))</f>
        <v>16</v>
      </c>
      <c r="DC279" t="str">
        <f>IF(B279="","",IFERROR(_xlfn.XLOOKUP(BC279,Коды_код,Коды_апп)&amp;"",""))</f>
        <v/>
      </c>
      <c r="DD279" t="str">
        <f t="shared" si="584"/>
        <v/>
      </c>
      <c r="DE279" t="str" cm="1">
        <f t="array" ref="DE279">IF(TRIM(DD279&amp;"")="","",IFERROR(TRIM(INDEX(_xlfn.TEXTSPLIT(DD279&amp;";;;",";"),1)),""))</f>
        <v/>
      </c>
      <c r="DF279" t="str" cm="1">
        <f t="array" ref="DF279">IF(TRIM(DD279&amp;"")="","",IFERROR(TRIM(INDEX(_xlfn.TEXTSPLIT(DD279&amp;";;;",";"),2)),""))</f>
        <v/>
      </c>
      <c r="DG279" t="str" cm="1">
        <f t="array" ref="DG279">IF(TRIM(DD279&amp;"")="","",IFERROR(TRIM(INDEX(_xlfn.TEXTSPLIT(DD279&amp;";;;",";"),3)),""))</f>
        <v/>
      </c>
      <c r="DH279">
        <f t="shared" si="585"/>
        <v>0</v>
      </c>
      <c r="DI279" t="str">
        <f>IF(B279="","",_xlfn.LET(_xlpm.t,LOWER(AZ279&amp;""),IF(ISNUMBER(SEARCH("dim",_xlpm.t)),"DIM",IF(ISNUMBER(SEARCH("dali",_xlpm.t)),"DALI",IF(OR(ISNUMBER(SEARCH("relay",_xlpm.t)),ISNUMBER(SEARCH("реле",_xlpm.t))),"Relay",IF(ISNUMBER(SEARCH("кнопк",_xlpm.t)),"",IFERROR(_xlfn.XLOOKUP(BC279,Коды_код,Коды_упр)&amp;"","")))))))</f>
        <v/>
      </c>
      <c r="DJ279" t="str">
        <f t="shared" si="586"/>
        <v/>
      </c>
      <c r="DK279">
        <f>IF(B279="","",_xlfn.LET(_xlpm.ig,IF(N(CX279)&gt;0,N(CX279),N(CI279)+IF(AJ279="вручную",0,N(CJ279))),_xlpm.n0,IFERROR(VLOOKUP(_xlpm.ig,Автомат_номиналы,2,TRUE),0),_xlpm.mn,MAX(DB279,IF(AJ279="вручную",0,N(CM279))),MAX(_xlpm.n0,_xlpm.mn,IF(DH279=1,Мин_автомат_БП,0))))</f>
        <v>16</v>
      </c>
      <c r="DL279">
        <f t="shared" si="587"/>
        <v>1</v>
      </c>
      <c r="DM279" t="str">
        <f t="shared" si="588"/>
        <v>2P</v>
      </c>
      <c r="DN279" t="str">
        <f>_xlfn.LET(_xlpm.cc,UPPER(TRIM(IFERROR(_xlfn.XLOOKUP(BC279,Коды_код,Коды_хар)&amp;"",""))),IF(OR(_xlpm.cc="B",_xlpm.cc="В"),"B",IF(_xlpm.cc="D","D","С")))</f>
        <v>С</v>
      </c>
      <c r="DO279" t="str">
        <f t="shared" si="589"/>
        <v>2P С16А 30мА</v>
      </c>
      <c r="DP279" t="str">
        <f t="shared" si="590"/>
        <v>2P С16А 30мА</v>
      </c>
      <c r="DQ279" t="str">
        <f t="shared" si="591"/>
        <v>2P С16А 30мА</v>
      </c>
      <c r="DR279" cm="1">
        <f t="array" ref="DR279">IF(DQ279="","",_xlfn.LET(_xlpm.t,SUBSTITUTE(SUBSTITUTE(SUBSTITUTE(UPPER(DQ279),"С","C"),"А","A"),"В","B"),_xlpm.tk,_xlfn.TEXTSPLIT(_xlpm.t," "),_xlpm.f,_xlfn._xlws.FILTER(_xlpm.tk,ISNUMBER(--MID(_xlpm.tk,2,1))*ISNUMBER(SEARCH(LEFT(_xlpm.tk,1)&amp;"#","B#C#D#"))*(LEN(_xlpm.tk)&gt;1),""),_xlpm.x,INDEX(_xlpm.f,1),IFERROR(--SUBSTITUTE(MID(_xlpm.x,2,9),"A",""),IFERROR(--SUBSTITUTE(INDEX(_xlfn._xlws.FILTER(_xlpm.tk,ISNUMBER(--SUBSTITUTE(_xlpm.tk,"A","")),""),1),"A",""),""))))</f>
        <v>16</v>
      </c>
      <c r="DS279" t="str">
        <f t="shared" si="592"/>
        <v>ok</v>
      </c>
      <c r="DT279">
        <f t="shared" si="593"/>
        <v>16</v>
      </c>
      <c r="DU279" t="str">
        <f t="shared" si="594"/>
        <v>2P С16А 30мА</v>
      </c>
      <c r="DV279">
        <f t="shared" si="595"/>
        <v>30</v>
      </c>
      <c r="DW279">
        <f t="shared" si="596"/>
        <v>1</v>
      </c>
      <c r="DX279">
        <f t="shared" si="597"/>
        <v>0</v>
      </c>
      <c r="DY279">
        <f t="shared" si="598"/>
        <v>0.8204451193747313</v>
      </c>
      <c r="DZ279">
        <f t="shared" si="599"/>
        <v>1</v>
      </c>
      <c r="EA279">
        <f>IF(ISNUMBER(AP279),AP279,К_прокл)</f>
        <v>1</v>
      </c>
      <c r="EB279">
        <f t="shared" si="600"/>
        <v>2</v>
      </c>
      <c r="EC279">
        <f>IFERROR(N(VLOOKUP(BZ279,Кабель_обозначение,3,FALSE)),1)</f>
        <v>1</v>
      </c>
      <c r="ED279">
        <f>IFERROR(N(_xlfn.XLOOKUP(A279,Щиты[Щит],Щиты[ΔU до шин, %])),0)</f>
        <v>1.19</v>
      </c>
      <c r="EE279" t="str">
        <f>IFERROR(_xlfn.XLOOKUP(A279,Щиты[Щит],Щиты[Zпетли на шинах, Ом]),"")</f>
        <v/>
      </c>
      <c r="EF279">
        <f>IFERROR(N(_xlfn.XLOOKUP(A279,Щиты[Щит],Щиты[ΔU до шин (подбор), %])),0)</f>
        <v>1.19</v>
      </c>
      <c r="EG279" t="str">
        <f>IFERROR(_xlfn.XLOOKUP(A279,Щиты[Щит],Щиты[Zпетли на шинах (подбор), Ом]),"")</f>
        <v/>
      </c>
      <c r="EH279" t="str">
        <f t="shared" si="601"/>
        <v/>
      </c>
      <c r="EI279">
        <f t="shared" si="602"/>
        <v>39</v>
      </c>
      <c r="EJ279">
        <f t="shared" si="603"/>
        <v>2</v>
      </c>
      <c r="EK279">
        <f t="shared" si="604"/>
        <v>0.31</v>
      </c>
      <c r="EL279" s="6">
        <f>IF(B279="","",IF(BV279=1,dU_LED,IF(IFERROR(_xlfn.XLOOKUP(BC279,Коды_код,Коды_уго),"")="Светильник",3,4)+IF(Методика="нормы 2026",MIN(0.5,MAX(0,N(P279)-100)*0.005),0)))</f>
        <v>4</v>
      </c>
      <c r="EM279" cm="1">
        <f t="array" ref="EM279">IF(OR(B279="",BZ279="",EC279&lt;&gt;1),"",_xlfn.LET(_xlpm.sz,Iдоп_S,_xlpm.t_,CHOOSE(EB279,Iдоп_1ж,Iдоп_2ж,Iдоп_3ж)*DZ279*EA279,_xlpm.dcx,BV279=1,_xlpm.inn,IF(_xlpm.dcx,N(O279),N(DT279)),_xlpm.smin,MAX(1.5,CC279),_xlpm.L_,N(P279)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279)/N(BU279)*100,999),IFERROR(N(EJ279)*(_xlpm.rho*_xlpm.L_/_xlpm.sz*N(CE279)+_xlpm.xx*_xlpm.L_*N(EK279)/1000)*N(O279)/((Uн_лин/SQRT(3))*1000)*100,999)),_xlpm.kz,IF(OR(_xlpm.dcx,DW279=1,NOT(ISNUMBER(EG279)),_xlpm.L_=0,_xlpm.inn=0),1,IFERROR(--(c_min*(Uн_лин*1000/SQRT(3))/(EG279+2*ρкз_Cu*_xlpm.L_/_xlpm.sz)&gt;=HT279*_xlpm.inn),0)),_xlpm.ok,IFERROR((_xlpm.sz&gt;=_xlpm.smin)*(_xlpm.t_&gt;=_xlpm.inn)*IF(_xlpm.L_&gt;0,(_xlpm.du_+IF(_xlpm.dcx,0,EF279)&lt;=EL279+0.00001),1)*_xlpm.kz,0),_xlpm.r_,_xlfn._xlws.FILTER(_xlpm.sz,_xlpm.ok,"не подобрано"),INDEX(_xlpm.r_,1)))</f>
        <v>1.5</v>
      </c>
      <c r="EN279">
        <f t="shared" si="605"/>
        <v>2.5</v>
      </c>
      <c r="EO279" cm="1">
        <f t="array" ref="EO279">IF(OR(B279="",BZ279="",EC279&lt;&gt;1),"",_xlfn.LET(_xlpm.sz,Iдоп_S,_xlpm.t_,CHOOSE(EB279,Iдоп_1ж,Iдоп_2ж,Iдоп_3ж)*DZ279*EA279,_xlpm.ok,IFERROR((_xlpm.sz&gt;=MAX(1.5,CC279))*(_xlpm.t_&gt;=N(DT279)),0),_xlpm.r_,_xlfn._xlws.FILTER(_xlpm.sz,_xlpm.ok,""),INDEX(_xlpm.r_,1)))</f>
        <v>1.5</v>
      </c>
      <c r="EP279" s="6" cm="1">
        <f t="array" ref="EP279">IFERROR(ROUNDUP(N(EJ279)*(_xlfn.XLOOKUP(EO279,INDEX(Кабель_сопротивление,0,1),INDEX(Кабель_сопротивление,0,3))*N(P279)/EO279*N(CE279)+_xlfn.XLOOKUP(EO279,INDEX(Кабель_сопротивление,0,1),INDEX(Кабель_сопротивление,0,2))*N(P279)*N(EK279)/1000)*N(O279)/((Uн_лин/SQRT(3))*1000)*100,2),"")</f>
        <v>0.43</v>
      </c>
      <c r="EQ279">
        <f>IFERROR(2*ρкз_Cu*N(P279)/EO279,"")</f>
        <v>1.4728000000000001</v>
      </c>
      <c r="ER279">
        <f>IFERROR(VLOOKUP(EN279,Кабель_сопротивление,3,FALSE),"")</f>
        <v>2.2499999999999999E-2</v>
      </c>
      <c r="ES279">
        <f>IFERROR(VLOOKUP(EN279,Кабель_сопротивление,2,FALSE),"")</f>
        <v>0.1</v>
      </c>
      <c r="ET279">
        <f t="shared" si="606"/>
        <v>22</v>
      </c>
      <c r="EU279">
        <f t="shared" si="607"/>
        <v>0</v>
      </c>
      <c r="EV279">
        <f t="shared" si="608"/>
        <v>0.59138012382578387</v>
      </c>
      <c r="EW279" s="6">
        <f>IFERROR(ROUNDUP(EV279/IF(BV279=1,BU279,(Uн_лин/SQRT(3))*1000)*100,2),"")</f>
        <v>0.26</v>
      </c>
      <c r="EX279" t="str">
        <f>IFERROR(VLOOKUP(BZ279,Кабель_обозначение,2,FALSE),"")</f>
        <v>ВВГнг(А)-LS</v>
      </c>
      <c r="EY279" t="str">
        <f t="shared" si="609"/>
        <v>ВВГнг(А)-LS (3х2,5)</v>
      </c>
      <c r="EZ279" t="str">
        <f t="shared" si="610"/>
        <v>ВВГнг(А)-LS (3х2,5)
L=42-0,26%</v>
      </c>
      <c r="FA279">
        <f>IFERROR(2*ρкз_Cu*P279/EN279,"")</f>
        <v>0.88368000000000002</v>
      </c>
      <c r="FB279">
        <f t="shared" si="611"/>
        <v>0.29400000000000004</v>
      </c>
      <c r="FC279" s="6" t="str">
        <f>IFERROR(IF(OR(B279="",BV279=1,NOT(ISNUMBER(EN279)),N(P279)=0),"",_xlfn.XLOOKUP(A279,Щиты[Щит],Щиты[Zпетли на шинах, Ом])+FA279),"")</f>
        <v/>
      </c>
      <c r="FD279" s="6" t="str">
        <f>IF(ISNUMBER(FC279),c_min*(Uн_лин*1000/SQRT(3))/FC279,"")</f>
        <v/>
      </c>
      <c r="FE279" s="6" t="str">
        <f>IFERROR(IF(OR(B279="",NOT(ISNUMBER(EN279))),"",1.05*(Uн_лин*1000/SQRT(3))/(_xlfn.XLOOKUP(A279,Щиты[Щит],Щиты[Zmax на шинах, Ом])+FB279)/1000),"")</f>
        <v/>
      </c>
      <c r="FF279" s="6" t="str">
        <f>IF(B279="","",IF(ISNUMBER(AC279),"Сил",IF(IFERROR(_xlfn.XLOOKUP(BC279,Коды_код,Коды_группа)&amp;"","")="","Быт",_xlfn.XLOOKUP(BC279,Коды_код,Коды_группа)&amp;"")))</f>
        <v>Быт</v>
      </c>
      <c r="FG279" s="6" t="str">
        <f t="shared" si="612"/>
        <v>Быт</v>
      </c>
      <c r="FH279" s="6">
        <f>IF(FG279="Щит","щит",IF(FG279="","",IF(FG279="Быт",IFERROR(_xlfn.XLOOKUP(A279,Щиты[Щит],Щиты[Кс быт]),1),IF(FG279="Сил",IF(ISNUMBER(AC279),AC279,IF(Методика="нормы 2026",IFERROR(_xlfn.XLOOKUP(A279,Щиты[Щит],Щиты[Кс силовых (табл. 7.5)]),1),1)),IF(OR(FG279="Пост",FG279="Отоп"),1,IF(FG279="ВНГ",0.7,0))))))</f>
        <v>0.57830000000000004</v>
      </c>
      <c r="FI279">
        <f>IF(FG279="","",IF(AND(BP279=1,TRIM(AE279&amp;"")=""),IF(COUNTIFS(Линии[Щит],A279,Линии[Секция (1/2/3)],"&gt;=2")&gt;0,MIN(3,MAX(1,IFERROR(--BD279,1))),1),IFERROR(MIN(3,MAX(1,INT(--AE279))),1)))</f>
        <v>1</v>
      </c>
      <c r="FJ279">
        <f t="shared" si="613"/>
        <v>0.18</v>
      </c>
      <c r="FK279">
        <f t="shared" si="614"/>
        <v>0.18</v>
      </c>
      <c r="FL279">
        <f t="shared" si="615"/>
        <v>0</v>
      </c>
      <c r="FM279">
        <f t="shared" si="616"/>
        <v>0</v>
      </c>
      <c r="FN279">
        <f t="shared" si="617"/>
        <v>0</v>
      </c>
      <c r="FO279">
        <f t="shared" si="618"/>
        <v>0</v>
      </c>
      <c r="FP279">
        <f t="shared" si="619"/>
        <v>0.18</v>
      </c>
      <c r="FQ279">
        <f t="shared" si="620"/>
        <v>0.18</v>
      </c>
      <c r="FR279">
        <f t="shared" si="621"/>
        <v>0.17099999999999999</v>
      </c>
      <c r="FS279">
        <f>IF(CG279=1,IF(AND(CH279=1,CW279=1),0,IF(AND(CS279&lt;&gt;"",CS279=BA279,CW279=1),SUMIFS(Линии[_Р линии, кВт],Линии[_блок УЗО],BA279,Линии[Щит],A279),N(BS279)+IF(AJ279="вручную",0,N(CK279)))),0)</f>
        <v>0.18</v>
      </c>
      <c r="FT279" t="str">
        <f t="shared" si="622"/>
        <v/>
      </c>
      <c r="FU279" t="str">
        <f>IF(B279="","",IF(CG279=0,IF(BA279=1,"",FW278),IF(AND(CH279=1,CW279=1,CS279&lt;&gt;""),IFERROR(_xlfn.XLOOKUP(CS279,Линии[_n],Линии[_фаза итог]),"L1"),IF(OR(N(DL279)&gt;=3,N(BX279)&gt;=3),"L1,L2,L3",IFERROR(_xlfn.TEXTBEFORE(_xlfn.TEXTAFTER(_xlfn.XLOOKUP(A279,Щиты[Щит],Щиты[_фазы авто]),";"&amp;BA279&amp;":"),";"),"L1")))))</f>
        <v>L1</v>
      </c>
      <c r="FV279" t="str">
        <f t="shared" si="623"/>
        <v>L1</v>
      </c>
      <c r="FW279" t="str">
        <f t="shared" si="624"/>
        <v>L1</v>
      </c>
      <c r="FX279" cm="1">
        <f t="array" ref="FX279">IFERROR(IF(CD279=2,_xlfn.IFS(BX279=3,VLOOKUP(BS279,Справочная_двигатели,3,FALSE),BX279=1,VLOOKUP(BS279,Справочная_двигатели,5,TRUE)),0),0)</f>
        <v>0</v>
      </c>
      <c r="FY279">
        <f>IFERROR(IF(CD279=3,VLOOKUP(BS279,Справочная_ЛЭД,2,TRUE),0),0)</f>
        <v>0</v>
      </c>
      <c r="FZ279" s="6">
        <f t="shared" si="625"/>
        <v>0</v>
      </c>
      <c r="GA279" t="str">
        <f>IF(B279="","",IF(TRIM(AH279&amp;"")&lt;&gt;"",IF(LOWER(TRIM(AH279&amp;""))="да","да","нет"),IF(IFERROR(_xlfn.XLOOKUP(BC279,Коды_код,Коды_пожарная),"")="да","да","нет")))</f>
        <v>нет</v>
      </c>
      <c r="GB279" t="str">
        <f t="shared" si="626"/>
        <v/>
      </c>
      <c r="GC279" t="str">
        <f t="shared" si="627"/>
        <v>основная</v>
      </c>
      <c r="GD279">
        <f>IF(AND(BP279=1,TRIM(AE279&amp;"")=""),IF(COUNTIFS(Линии[Щит],A279,Линии[Секция (1/2/3)],"&gt;=2")&gt;0,MIN(3,MAX(1,IFERROR(--BD279,1))),1),IFERROR(MIN(3,MAX(1,INT(--AE279))),1))</f>
        <v>1</v>
      </c>
      <c r="GE279" t="str" cm="1">
        <f t="array" ref="GE279">IF(B279="","",_xlfn.LET(_xlpm.t,IFERROR(_xlfn.XLOOKUP(1,(Шины[Шина]=GC279)*(((Шины[Щит]=A279)+(Шины[Щит]=""))&gt;0),Шины[Тип]),"")&amp;"",IF(_xlpm.t&lt;&gt;"",_xlpm.t,IF(ISNUMBER(SEARCH("ИБП",GC279)),"ИБП",IF(ISNUMBER(SEARCH("ДГУ",GC279)),"ДГУ","Ввод "&amp;GD279)))))</f>
        <v>Ввод 1</v>
      </c>
      <c r="GF279" t="str">
        <f t="shared" si="628"/>
        <v>Ввод 1</v>
      </c>
      <c r="GG279" t="str">
        <f>IF(BP279=0,"",IF(TRIM(AG279&amp;"")&lt;&gt;"",TRIM(AG279&amp;""),IF(OR(GE279="ИБП",GE279="ДГУ"),"I особая",_xlfn.XLOOKUP(A279,Щиты[Щит],Щиты[Категория шины «Ввод»],"III"))))</f>
        <v/>
      </c>
      <c r="GH279" t="str">
        <f>IF(A279="","",_xlfn.XLOOKUP(A279,Щиты[Щит],Щиты[Путь],""))</f>
        <v>|ГРЩ-ЖД|ЩР-1|</v>
      </c>
      <c r="GI279" t="str">
        <f>IF(B279="","",IF(AI279&lt;&gt;"",AI279,IF(IFERROR(_xlfn.XLOOKUP(BC279,Коды_код,Коды_вид)&amp;"","")="","Прочее",_xlfn.XLOOKUP(BC279,Коды_код,Коды_вид)&amp;"")))</f>
        <v>Розеточная сеть и бытовые приборы</v>
      </c>
      <c r="GJ279">
        <f>IF(BM279="","",INT((BM279-1)/Столбцов_на_лист)+1)</f>
        <v>5</v>
      </c>
      <c r="GK279" t="str">
        <f t="shared" si="629"/>
        <v>ВВГнг(А)-LS (3х2,5) L=42-0,26%</v>
      </c>
      <c r="GL279">
        <f t="shared" si="630"/>
        <v>0.18</v>
      </c>
      <c r="GM279">
        <f t="shared" si="631"/>
        <v>0.83</v>
      </c>
      <c r="GN279">
        <f t="shared" si="632"/>
        <v>1</v>
      </c>
      <c r="GO279">
        <f t="shared" si="633"/>
        <v>0</v>
      </c>
      <c r="GP279">
        <f t="shared" si="634"/>
        <v>1</v>
      </c>
      <c r="GQ279">
        <f>IF(BM279="","",IF(AND(CG279=1,GP279=1),COUNTIFS(A$3:A279,A279,CG$3:CG279,1,GP$3:GP279,1),IF(OR(OR(BA279=1,A279&lt;&gt;A278),AJ279="вручную",GP279=0),"",IF(BA279=1,"",GR278))))</f>
        <v>55</v>
      </c>
      <c r="GR279">
        <f t="shared" si="635"/>
        <v>55</v>
      </c>
      <c r="GS279">
        <f>IF(B279="","",IFERROR(LOOKUP(INDEX(CHOOSE(EB279,Iдоп_1ж,Iдоп_2ж,Iдоп_3ж),MATCH(EN279,Iдоп_S,0))*DZ279*EA279,{6,10,16,20,25,32,40,50,63,80,100,125,160,200,250,315,400,500,630}),""))</f>
        <v>25</v>
      </c>
      <c r="GT279" t="str">
        <f t="shared" si="636"/>
        <v>QFD55</v>
      </c>
      <c r="GU279" t="str">
        <f t="shared" si="637"/>
        <v>QFD55</v>
      </c>
      <c r="GV279" t="str">
        <f t="shared" si="638"/>
        <v/>
      </c>
      <c r="GW279">
        <f t="shared" si="639"/>
        <v>0</v>
      </c>
      <c r="GX279" t="str">
        <f>IF(OR(B279="",DJ279=""),"",IFERROR(_xlfn.XLOOKUP(DJ279,Модули_умолч[Управление],Модули_умолч[Модель])&amp;"",""))</f>
        <v/>
      </c>
      <c r="GY279">
        <f>IF(DJ279="",1,IFERROR(MAX(0,N(_xlfn.XLOOKUP(DJ279,Модули_умолч[Управление],Модули_умолч[Каналов на линию]))),1))</f>
        <v>1</v>
      </c>
      <c r="GZ279" t="str">
        <f t="shared" si="640"/>
        <v/>
      </c>
      <c r="HA279" t="str">
        <f t="shared" si="641"/>
        <v/>
      </c>
      <c r="HB279" t="str">
        <f t="shared" si="642"/>
        <v/>
      </c>
      <c r="HC279">
        <f>IF(HB279="",0,IFERROR(N(VLOOKUP(HB279,Модули_спр,3,FALSE)),0))</f>
        <v>0</v>
      </c>
      <c r="HD279" t="str">
        <f t="shared" si="643"/>
        <v/>
      </c>
      <c r="HE279" t="str">
        <f t="shared" si="644"/>
        <v/>
      </c>
      <c r="HF279" t="str">
        <f>IF(OR(HE279="",HE279="-"),"",IFERROR(VLOOKUP(HE279,Модули_спр,2,FALSE),"R"))</f>
        <v/>
      </c>
      <c r="HG279" t="str">
        <f>IF(HF279="","",HF279&amp;"."&amp;COUNTIFS(A$3:A279,A279,HF$3:HF279,HF279))</f>
        <v/>
      </c>
      <c r="HH279" t="str">
        <f t="shared" si="645"/>
        <v/>
      </c>
      <c r="HI279" t="str">
        <f t="shared" si="646"/>
        <v/>
      </c>
      <c r="HJ279" t="str">
        <f t="shared" si="647"/>
        <v/>
      </c>
      <c r="HK279" t="str">
        <f t="shared" si="648"/>
        <v/>
      </c>
      <c r="HL279">
        <f t="shared" si="649"/>
        <v>1</v>
      </c>
      <c r="HM279" t="str">
        <f>IF(HL279=1,"XT"&amp;COUNTIFS(A$3:A279,A279,HL$3:HL279,1),"")</f>
        <v>XT55</v>
      </c>
      <c r="HN279" t="str">
        <f t="shared" si="650"/>
        <v>XT55</v>
      </c>
      <c r="HO279" t="str">
        <f t="shared" si="651"/>
        <v>QFD55</v>
      </c>
      <c r="HP279" t="str">
        <f t="shared" si="652"/>
        <v/>
      </c>
      <c r="HQ279" t="str">
        <f t="shared" si="653"/>
        <v>ok</v>
      </c>
      <c r="HR279" t="str">
        <f>IF(OR(HJ279="",HH279=""),"",IF(HJ279+MAX(0,GY279-1)&gt;IFERROR(VLOOKUP(HI279,Модули_спр,3,FALSE),99),"ЛИШНИЙ КАНАЛ",IF(AND(AL279&lt;&gt;"=",GY279&gt;0,COUNTIFS(Линии[_модуль гр.],HH279,Линии[Канал (итог)],HJ279,Линии[Канал],"&lt;&gt;=",Линии[Щит],A279)&gt;1),"ДУБЛЬ КАНАЛА","")))</f>
        <v/>
      </c>
      <c r="HS279" s="6" t="str">
        <f t="shared" si="654"/>
        <v/>
      </c>
      <c r="HT279">
        <f t="shared" si="655"/>
        <v>10</v>
      </c>
      <c r="HU279" t="str">
        <f t="shared" si="656"/>
        <v/>
      </c>
      <c r="HV279">
        <f t="shared" si="657"/>
        <v>0.74817804774989249</v>
      </c>
      <c r="HW279">
        <f t="shared" si="658"/>
        <v>0</v>
      </c>
      <c r="HX279">
        <f t="shared" si="659"/>
        <v>0</v>
      </c>
      <c r="HY279">
        <f t="shared" si="660"/>
        <v>0</v>
      </c>
      <c r="HZ279">
        <f t="shared" si="661"/>
        <v>0</v>
      </c>
      <c r="IA279">
        <f t="shared" si="662"/>
        <v>0</v>
      </c>
      <c r="IB279">
        <f t="shared" si="663"/>
        <v>0</v>
      </c>
      <c r="IC279" t="str">
        <f t="shared" si="664"/>
        <v/>
      </c>
      <c r="ID279" t="str" cm="1">
        <f t="array" ref="ID279">IF(IC279="","",_xlfn.LET(_xlpm.tk,_xlfn.TEXTSPLIT(SUBSTITUTE(SUBSTITUTE(IC279,";"," "),"→"," ")," ",,TRUE),_xlpm.w_,_xlfn._xlws.FILTER(_xlpm.tk,ISNUMBER(--LEFT(_xlpm.tk,1))*((ISNUMBER(SEARCH("W",_xlpm.tk))+ISNUMBER(SEARCH("Вт",_xlpm.tk)))&gt;0),""),IFERROR(--SUBSTITUTE(SUBSTITUTE(UPPER(INDEX(_xlpm.w_,1)),"W",""),"ВТ",""),"")))</f>
        <v/>
      </c>
      <c r="IE279" t="str" cm="1">
        <f t="array" ref="IE279">IF(IC279="","",_xlfn.LET(_xlpm.tk,_xlfn.TEXTSPLIT(SUBSTITUTE(SUBSTITUTE(IC279,";"," "),"→"," ")," ",,TRUE),_xlpm.v_,_xlfn._xlws.FILTER(_xlpm.tk,ISNUMBER(--LEFT(_xlpm.tk,1))*((ISNUMBER(SEARCH("V",_xlpm.tk))+(RIGHT(UPPER(_xlpm.tk))="В"))&gt;0),""),IFERROR(--SUBSTITUTE(SUBSTITUTE(UPPER(INDEX(_xlpm.v_,1)),"V",""),"В",""),"")))</f>
        <v/>
      </c>
      <c r="IF279" s="6" t="str">
        <f>IF(OR(BV279=0,HI279="",HJ279=""),"",IFERROR(N(_xlfn.XLOOKUP(HI279,Каталог!$C$4:$C$500,Каталог!$Q$4:$Q$500)),""))</f>
        <v/>
      </c>
      <c r="IG279" s="6" t="str">
        <f>IF(N(IF279)=0,"",SUMIFS(Линии[Iр, А],Линии[Щит],A279,Линии[_модуль гр.],HH279,Линии[Канал (итог)],HJ279))</f>
        <v/>
      </c>
      <c r="IH279" t="str">
        <f>IF(AND(B279="",HO279=""),"",_xlfn.TEXTJOIN("; ",TRUE,IF(AND(B279&lt;&gt;"",FV279=""),"нет фазы",""),IF(AND(B279&lt;&gt;"",N(GL279)=0,FG279&lt;&gt;"Нет"),"нет мощности",""),IF(AND(HN279&lt;&gt;"",COUNTIFS(Линии[Щит],A279,Линии[Клемма (итог)],HN279)&gt;1),"дубль клеммы "&amp;HN279,""),IF(AND(HQ279&lt;&gt;"",HQ279&lt;&gt;"ok"),HQ279,""),IF(HR279&lt;&gt;"",HR279,""),IF(AND(N(CB279)&gt;=4,N(BX279)=1),CB279&amp;" жил на 1 фазе",""),IF(AND(BC279="R",CG279=1,IF(CS279&lt;&gt;"",N(CV279)&gt;30,OR(N(DA279)=0,N(DA279)&gt;30))),"розетка без дифзащиты до 30 мА",""),IF(AND(CG279=1,N(DA279)&gt;0,ISNUMBER(T279)),IF(T279&gt;N(DA279)/3,"ток утечки "&amp;FIXED(T279,1)&amp;" мА &gt; 1/3 уставки ("&amp;DA279&amp;" мА)",""),""),IF(AND(CH279=1,CS279=""),"«узо»: нет строки с УЗО выше (УЗО 2P 40А 30мА в «Аппаратах»)",""),IF(AND(CS279&lt;&gt;"",CS279=BA279),IF(CT279="","впишите номинал УЗО (УЗО 2P 40А 30мА)",IF(N(CT279)&lt;N(DT279),"УЗО "&amp;CT279&amp;" А &lt; автомата "&amp;DT279&amp;" А перед ним",IF(N(CT279)&lt;N(CX279),"УЗО "&amp;CT279&amp;" А &lt; тока блока "&amp;FIXED(CX279,1)&amp;" А",""))),""),IF(AND(CS279&lt;&gt;"",CS279=BA279,ISNUMBER(CY279)),IF(CY279&gt;N(CV279)/3,"ток утечки блока УЗО "&amp;FIXED(CY279,1)&amp;" мА &gt; 1/3 уставки ("&amp;CV279&amp;" мА)",""),""),IF(AND(CG279=1,N(BV279)+N(IB279)&gt;0,IC279=""),"линии до 50 В без БП: впишите в «Аппараты» (БП 24V 480W)",""),IF(AND(CG279=1,ISNUMBER(ID279),ISNUMBER(U279)),IF(U279&gt;ID279,"БП "&amp;ID279&amp;" Вт &lt; нужно "&amp;U279&amp;" Вт (×"&amp;Запас_БП&amp;")",""),""),IF(AND(CG279=1,ISNUMBER(IE279),N(BV279)=1),IF(IE279&lt;&gt;N(BU279),"БП на "&amp;IE279&amp;" В, линия "&amp;BU279&amp;" В",""),""),IF(AND(N(IF279)&gt;0,N(IG279)&gt;N(IF279)),HH279&amp;" канал "&amp;HJ279&amp;": "&amp;FIXED(IG279,1)&amp;" А &gt; "&amp;IF279&amp;" А",""),IFERROR(IF(AND(ISNUMBER(Q279),Q279&gt;EL279),"потери "&amp;FIXED(Q279,1)&amp;" % &gt; "&amp;EL279&amp;" %",""),""),IFERROR(IF(LEFT(HU279,4)="мало","Iкз мало — отключение &gt; 0,4 с",""),""),IF(AND(B279&lt;&gt;"",BM279=""),"не на схеме",""),IF(AND(CG279=0,B279&lt;&gt;"",FV279&lt;&gt;"",IF(BA279=1,"",FW278)&lt;&gt;"",FV279&lt;&gt;IF(BA279=1,"",FW278)),"фаза не как у автомата группы ("&amp;IF(BA279=1,"",FW278)&amp;")","")))</f>
        <v/>
      </c>
      <c r="II279" s="6">
        <f>IF(OR(CG279=0,DQ279=""),"",_xlfn.LET(_xlpm.t,IFERROR(_xlfn.XLOOKUP(DQ279,Каталог!$U$4:$U$500,Каталог!$G$4:$G$500),""),_xlpm.k,SEARCH("кА",_xlpm.t),IFERROR(--TRIM(RIGHT(SUBSTITUTE(MID(_xlpm.t,MAX(1,_xlpm.k-4),_xlpm.k-MAX(1,_xlpm.k-4))," ",REPT(" ",9)),5)),"")))</f>
        <v>6</v>
      </c>
      <c r="IJ279" t="str">
        <f>IF(OR(II279="",CG279=0),"",IF(_xlfn.XLOOKUP(A279,Щиты[Щит],Щиты[Iкз max на шинах, кА],"")="","",IF(II279&lt;_xlfn.XLOOKUP(A279,Щиты[Щит],Щиты[Iкз max на шинах, кА]),"Icu "&amp;II279&amp;" кА &lt; Iкз max","ok")))</f>
        <v/>
      </c>
      <c r="IK279" t="str">
        <f t="shared" si="665"/>
        <v/>
      </c>
      <c r="IL279" t="str">
        <f t="shared" si="666"/>
        <v>QFD55|XT55</v>
      </c>
      <c r="IM279" t="str">
        <f t="shared" si="667"/>
        <v>QFD55|XT55|кабель ВВГнг(А)-LS (3х2,5) → Розеточная группа, пом. 021A</v>
      </c>
      <c r="IN279" t="str" cm="1">
        <f t="array" ref="IN279">IF(IM279="","",_xlfn.LET(_xlpm.nd,_xlfn.TEXTSPLIT(IM279,"|"),IF(COLUMNS(_xlpm.nd)&gt;1,A279&amp;"¦"&amp;INDEX(_xlpm.nd,1)&amp;"¦"&amp;INDEX(_xlpm.nd,2),"")))</f>
        <v>ЩР-1¦QFD55¦XT55</v>
      </c>
      <c r="IO279" t="str">
        <f t="shared" si="668"/>
        <v>R.1.021A.5¦Розеточная группа, пом. 021A</v>
      </c>
      <c r="IP279" t="str" cm="1">
        <f t="array" ref="IP279">IF(IM279="","",_xlfn.LET(_xlpm.nd,_xlfn.TEXTSPLIT(IM279,"|"),IF(COLUMNS(_xlpm.nd)&gt;2,A279&amp;"¦"&amp;INDEX(_xlpm.nd,2)&amp;"¦"&amp;INDEX(_xlpm.nd,3),"")))</f>
        <v>ЩР-1¦XT55¦кабель ВВГнг(А)-LS (3х2,5) → Розеточная группа, пом. 021A</v>
      </c>
      <c r="IQ279" t="str">
        <f t="shared" si="669"/>
        <v>R.1.021A.5¦Розеточная группа, пом. 021A</v>
      </c>
      <c r="IR279" t="str" cm="1">
        <f t="array" ref="IR279">IF(IM279="","",_xlfn.LET(_xlpm.nd,_xlfn.TEXTSPLIT(IM279,"|"),IF(COLUMNS(_xlpm.nd)&gt;3,A279&amp;"¦"&amp;INDEX(_xlpm.nd,3)&amp;"¦"&amp;INDEX(_xlpm.nd,4),"")))</f>
        <v/>
      </c>
      <c r="IS279" t="str">
        <f t="shared" si="670"/>
        <v/>
      </c>
      <c r="IT279" t="str" cm="1">
        <f t="array" ref="IT279">IF(IM279="","",_xlfn.LET(_xlpm.nd,_xlfn.TEXTSPLIT(IM279,"|"),IF(COLUMNS(_xlpm.nd)&gt;4,A279&amp;"¦"&amp;INDEX(_xlpm.nd,4)&amp;"¦"&amp;INDEX(_xlpm.nd,5),"")))</f>
        <v/>
      </c>
      <c r="IU279" t="str">
        <f t="shared" si="671"/>
        <v/>
      </c>
      <c r="IV279" t="str" cm="1">
        <f t="array" ref="IV279">IF(IM279="","",_xlfn.LET(_xlpm.nd,_xlfn.TEXTSPLIT(IM279,"|"),IF(COLUMNS(_xlpm.nd)&gt;5,A279&amp;"¦"&amp;INDEX(_xlpm.nd,5)&amp;"¦"&amp;INDEX(_xlpm.nd,6),"")))</f>
        <v/>
      </c>
      <c r="IW279" t="str">
        <f t="shared" si="672"/>
        <v/>
      </c>
      <c r="IX279" t="str" cm="1">
        <f t="array" ref="IX279">IF(IM279="","",_xlfn.LET(_xlpm.nd,_xlfn.TEXTSPLIT(IM279,"|"),IF(COLUMNS(_xlpm.nd)&gt;6,A279&amp;"¦"&amp;INDEX(_xlpm.nd,6)&amp;"¦"&amp;INDEX(_xlpm.nd,7),"")))</f>
        <v/>
      </c>
      <c r="IY279" t="str">
        <f t="shared" si="673"/>
        <v/>
      </c>
      <c r="IZ279" t="str">
        <f t="shared" si="674"/>
        <v/>
      </c>
      <c r="JA279" t="str">
        <f t="shared" si="675"/>
        <v>QFD55 → XT55</v>
      </c>
      <c r="JB279">
        <f t="shared" si="676"/>
        <v>0</v>
      </c>
      <c r="JC279">
        <f t="shared" si="677"/>
        <v>1</v>
      </c>
      <c r="JD279" t="str">
        <f t="shared" si="678"/>
        <v/>
      </c>
      <c r="JE279" t="str">
        <f t="shared" si="679"/>
        <v/>
      </c>
      <c r="JF279" t="str">
        <f t="shared" si="680"/>
        <v/>
      </c>
      <c r="JG279" t="str">
        <f t="shared" si="681"/>
        <v/>
      </c>
      <c r="JH279" t="str">
        <f>IF(B279="","",IFERROR(_xlfn.XLOOKUP(B279,Коды_код,Коды_уго),IFERROR(_xlfn.XLOOKUP(BC279,Коды_код,Коды_уго),IFERROR(_xlfn.XLOOKUP(LEFT(BC279,2),Коды_код,Коды_уго),""))))</f>
        <v>Розетка</v>
      </c>
      <c r="JI279" t="str">
        <f>IF(B279="","",IF(OR(JH279="",JH279=0),"BOX",IFERROR(IF(VLOOKUP(JH279,УГО_блоки,3,FALSE)&amp;""&lt;&gt;"",VLOOKUP(JH279,УГО_блоки,3,FALSE),VLOOKUP(JH279,УГО_блоки,2,FALSE)),JH279)))</f>
        <v>SOCKET</v>
      </c>
      <c r="JJ279">
        <f t="shared" si="682"/>
        <v>1</v>
      </c>
      <c r="JK279" t="str">
        <f>IF(DQ279="","",IF(COUNTIF(DQ$3:DQ279,DQ279)=1,MAX(JK$2:JK278)+1,""))</f>
        <v/>
      </c>
      <c r="JL279" t="str">
        <f>IF(DE279="","",IF(COUNTIF(DE$3:DE279,DE279)+COUNTIF(DF$2:DF278,DE279)+COUNTIF(DG$2:DG278,DE279)=1,MAX(JL$2:JN278)+1,""))</f>
        <v/>
      </c>
      <c r="JM279" t="str">
        <f>IF(DF279="","",IF(COUNTIF(DE$3:DE279,DF279)+COUNTIF(DF$3:DF279,DF279)+COUNTIF(DG$2:DG278,DF279)=1,MAX(JL$2:JN278,JL279)+1,""))</f>
        <v/>
      </c>
      <c r="JN279" t="str">
        <f>IF(DG279="","",IF(COUNTIF(DE$3:DE279,DG279)+COUNTIF(DF$3:DF279,DG279)+COUNTIF(DG$3:DG279,DG279)=1,MAX(JL$2:JN278,JL279,JM279)+1,""))</f>
        <v/>
      </c>
      <c r="JO279" t="str">
        <f t="shared" si="683"/>
        <v>3х2,5</v>
      </c>
      <c r="JP279" t="str">
        <f>IF(JO279="","",IF(COUNTIF(JO$3:JO279,JO279)=1,MAX(JP$2:JP278)+1,""))</f>
        <v/>
      </c>
      <c r="JQ279" t="str">
        <f>IF(HG279="","",COUNTIF(HG$3:HG279,"?*"))</f>
        <v/>
      </c>
      <c r="JR279" t="str">
        <f>IF(OR(HG279="",HI279=""),"",IF(COUNTIFS(HG$3:HG279,"?*",HI$3:HI279,HI279)=1,MAX(JR$2:JR278)+1,""))</f>
        <v/>
      </c>
      <c r="JS279">
        <f t="shared" si="684"/>
        <v>0</v>
      </c>
      <c r="JT279">
        <f>IF(B279="","",COUNTIF(B$3:B279,"?*"))</f>
        <v>277</v>
      </c>
      <c r="JU279">
        <f>IF(HL279&lt;&gt;1,0,_xlfn.LET(_xlpm.k,MAX(IFERROR(--_xlfn.XLOOKUP(B279,Коды_код,Коды_3L),0),IFERROR(--_xlfn.XLOOKUP(BC279,Коды_код,Коды_3L),0),IFERROR(--_xlfn.XLOOKUP(LEFT(BC279,2),Коды_код,Коды_3L),0)),IF(_xlpm.k&gt;0,_xlpm.k,IF(IFERROR(--LEFT(SUBSTITUTE(JO279,"x","х"),FIND("х",SUBSTITUTE(JO279,"x","х"))-1),3)&gt;3,Каталог!$S$9,1))))</f>
        <v>1</v>
      </c>
      <c r="JV279">
        <f t="shared" si="685"/>
        <v>0</v>
      </c>
      <c r="JW279" t="str">
        <f t="shared" si="686"/>
        <v>авто</v>
      </c>
      <c r="JX279">
        <f t="shared" si="687"/>
        <v>30</v>
      </c>
      <c r="JY279">
        <f t="shared" si="688"/>
        <v>1</v>
      </c>
      <c r="JZ279">
        <f t="shared" si="689"/>
        <v>1</v>
      </c>
    </row>
    <row r="280" spans="1:286" x14ac:dyDescent="0.3">
      <c r="A280" t="s">
        <v>757</v>
      </c>
      <c r="B280" t="s">
        <v>1586</v>
      </c>
      <c r="C280" t="s">
        <v>1722</v>
      </c>
      <c r="D280">
        <v>1</v>
      </c>
      <c r="E280" t="str">
        <f>Линии[[#This Row],[_авто Р]]</f>
        <v/>
      </c>
      <c r="G280" t="str">
        <f>Линии[[#This Row],[_авто автомат]]</f>
        <v>2P С16А 30мА</v>
      </c>
      <c r="H280" t="str">
        <f>Линии[[#This Row],[_авто управление]]</f>
        <v/>
      </c>
      <c r="I280" t="str">
        <f>Линии[[#This Row],[_авто аппараты]]</f>
        <v/>
      </c>
      <c r="J280">
        <v>2.5</v>
      </c>
      <c r="K280">
        <v>47</v>
      </c>
      <c r="L280" t="str">
        <f>Линии[[#This Row],[_авто фаза]]</f>
        <v>L3</v>
      </c>
      <c r="M280" t="str">
        <f>Линии[[#This Row],[_авто клемма]]</f>
        <v>XT56</v>
      </c>
      <c r="N280" t="str">
        <f t="shared" si="552"/>
        <v>нет мощности</v>
      </c>
      <c r="O280" s="6" cm="1">
        <f t="array" ref="O280">IF(B280="","",IF(BH280&lt;&gt;"",IFERROR(_xlfn.XLOOKUP(BH280,Щиты[Щит],Щиты[Iр, А]),""),IF(BP280=1,IF(OR(N(_xlfn.XLOOKUP(A280,Щиты[Щит],Щиты[Вводов],1))&lt;=1,LOWER(TRIM(_xlfn.XLOOKUP(A280,Щиты[Щит],Щиты[АВР],"")&amp;""))="да"),IFERROR(_xlfn.XLOOKUP(A280,Щиты[Щит],Щиты[Iр, А]),""),IFERROR(N(BS280)*_xlfn.XLOOKUP(A280,Щиты[Щит],Щиты[Кс итог])/(SQRT(3)*Uн_лин*_xlfn.XLOOKUP(A280,Щиты[Щит],Щиты[cos φ])),"")),IF(BV280=1,IFERROR(BS280*1000/BU280,""),IFERROR(_xlfn.IFS(BX280=1,BS280/((Uн_лин/SQRT(3))*CE280),BX280=3,BS280/(SQRT(3)*Uн_лин*CE280)),"")))))</f>
        <v>0</v>
      </c>
      <c r="P280" s="7">
        <f>IF(B280="","",IFERROR(IF(VLOOKUP(BC280,Потребители_обозначение,4,FALSE)=1,VLOOKUP(BC280,Потребители_обозначение,3,FALSE)*(MAX(1,N(D280))*2-1)+EI280+VLOOKUP(BE280,Этаж_обозначение,3,FALSE)+VLOOKUP(BE280,Этаж_обозначение,4,FALSE),VLOOKUP(BC280,Потребители_обозначение,3,FALSE)*(MAX(1,N(D280))*2-1)+EI280),EI280))</f>
        <v>50</v>
      </c>
      <c r="Q280" s="6">
        <f t="shared" si="553"/>
        <v>1.19</v>
      </c>
      <c r="R280" t="str">
        <f t="shared" si="554"/>
        <v>ВВГнг(А)-LS (3х2,5)</v>
      </c>
      <c r="S280" t="str">
        <f>IF(BM280="","",IF(BN280="вводной узел","узел ","")&amp;"л."&amp;(INT((BM280-1)/Столбцов_на_лист)+1)&amp;" / "&amp;(MOD(BM280-1,Столбцов_на_лист)+1))</f>
        <v>л.5 / 4</v>
      </c>
      <c r="T280" s="119">
        <f t="shared" si="555"/>
        <v>0.5</v>
      </c>
      <c r="U280" s="7" t="str">
        <f>IF(OR(CG280=0,N(BV280)+N(IB280)=0),"",ROUNDUP(Запас_БП*(N(HY280)+N(HZ280)),0))</f>
        <v/>
      </c>
      <c r="V280" s="119" t="str">
        <f t="shared" si="556"/>
        <v/>
      </c>
      <c r="W280" s="7" t="str">
        <f>IFERROR(IF(OR(B280="",BP280=1,BV280=1,NOT(ISNUMBER(EN280)),N(DT280)=0),"",MAX(0,ROUNDDOWN((c_min*(Uн_лин*1000/SQRT(3))/(HT280*N(DT280))-_xlfn.XLOOKUP(A280,Щиты[Щит],Щиты[Zпетли на шинах, Ом]))*EN280/(2*ρкз_Cu),0))),"")</f>
        <v/>
      </c>
      <c r="Y280">
        <f>Линии[[#This Row],[_авто утечка]]</f>
        <v>30</v>
      </c>
      <c r="Z280">
        <v>1</v>
      </c>
      <c r="AA280">
        <v>230</v>
      </c>
      <c r="AB280" t="s">
        <v>562</v>
      </c>
      <c r="AG280" t="s">
        <v>810</v>
      </c>
      <c r="AI280" t="s">
        <v>561</v>
      </c>
      <c r="AK280" t="str">
        <f>Линии[[#This Row],[_авто модуль]]</f>
        <v/>
      </c>
      <c r="AM280">
        <v>72</v>
      </c>
      <c r="AN280" t="s">
        <v>11</v>
      </c>
      <c r="AO280">
        <v>3</v>
      </c>
      <c r="AQ280">
        <v>20</v>
      </c>
      <c r="AR280">
        <v>30</v>
      </c>
      <c r="AS280">
        <v>0</v>
      </c>
      <c r="BA280" cm="1">
        <f t="array" ref="BA280">ROW()-ROW(Линии[#Headers])</f>
        <v>278</v>
      </c>
      <c r="BC280" s="6" t="str">
        <f t="shared" si="557"/>
        <v>R</v>
      </c>
      <c r="BD280" t="str">
        <f t="shared" si="558"/>
        <v>1.020A.1</v>
      </c>
      <c r="BE280" t="str">
        <f t="shared" si="559"/>
        <v>1</v>
      </c>
      <c r="BF280" t="str">
        <f t="shared" si="560"/>
        <v>020A.1</v>
      </c>
      <c r="BG280" t="str">
        <f t="shared" si="561"/>
        <v>020A</v>
      </c>
      <c r="BH280" t="str">
        <f>IF(X280&lt;&gt;"",X280,IF(AND(B280&lt;&gt;"",B280&lt;&gt;A280,ISNUMBER(_xlfn.XMATCH(B280,Щиты[Щит]))),B280,""))</f>
        <v/>
      </c>
      <c r="BI280" t="str" cm="1">
        <f t="array" ref="BI280">IF(B280="","",IF(BH280&lt;&gt;"","Щит "&amp;BH280,_xlfn.LET(_xlpm.nm,IFERROR(_xlfn.XLOOKUP(BC280,Коды_код,Коды_имя)&amp;"",""),_xlpm.md,IFERROR(N(_xlfn.XLOOKUP(BC280,Коды_код,Коды_режим)),1),_xlpm.ex,IF(Имя_режим="по экспликации",IFERROR(_xlfn.XLOOKUP(BE280&amp;"|"&amp;BG280,Экспликация[Этаж]&amp;"|"&amp;Экспликация[Помещение],Экспликация[Название])&amp;"",""),""),_xlpm.rm,IF(BG280="","",IF(_xlpm.ex&lt;&gt;"",". "&amp;_xlpm.ex&amp;IF(Имя_пом="нет"," ("&amp;BG280&amp;")"," (пом. "&amp;BG280&amp;")"),IF(Имя_пом="нет"," ",", пом. ")&amp;BG280)),IF(_xlpm.nm="","",IF(_xlpm.md=2,_xlpm.nm&amp;" шлейф "&amp;BE280,_xlpm.nm&amp;_xlpm.rm)))))</f>
        <v>Розеточная группа, пом. 020A</v>
      </c>
      <c r="BJ280" t="str">
        <f t="shared" si="562"/>
        <v>Розеточная группа Первый этаж Пом. №020A Холодильник, морозильная камера</v>
      </c>
      <c r="BK280">
        <f>IFERROR(_xlfn.XMATCH(A280,Щиты[Щит]),0)</f>
        <v>10</v>
      </c>
      <c r="BL280">
        <f>_xlfn.LET(_xlpm.k,IFERROR(_xlfn.XLOOKUP(A280,Щиты[Щит],Щиты[Мест под вводной узел]),""),IF(_xlpm.k="",Столбцов_на_лист,N(_xlpm.k)))</f>
        <v>8</v>
      </c>
      <c r="BM280">
        <f t="shared" si="563"/>
        <v>72</v>
      </c>
      <c r="BN280" t="str">
        <f t="shared" si="564"/>
        <v>линии</v>
      </c>
      <c r="BO280" s="6">
        <f>IFERROR(N(_xlfn.XLOOKUP(BC280,Коды_код,Коды_квт)),0)</f>
        <v>0</v>
      </c>
      <c r="BP280">
        <f t="shared" si="565"/>
        <v>0</v>
      </c>
      <c r="BQ280" t="str">
        <f>IF(B280="","",IF(BH280&lt;&gt;"",IFERROR(_xlfn.XLOOKUP(BH280,Щиты[Щит],Щиты[Руст, кВт]),0),IF(BP280=1,IF(OR(N(_xlfn.XLOOKUP(A280,Щиты[Щит],Щиты[Вводов],1))&lt;=1,LOWER(TRIM(_xlfn.XLOOKUP(A280,Щиты[Щит],Щиты[АВР],"")&amp;""))="да"),IFERROR(_xlfn.XLOOKUP(A280,Щиты[Щит],Щиты[Руст, кВт]),0),SUMIFS(Линии[_Р для вводов],Линии[Щит],A280,Линии[Источник для режимов],GF280)),IF(BO280&gt;0,ROUND(BO280*MAX(1,N(D280)),3),""))))</f>
        <v/>
      </c>
      <c r="BR280" t="str">
        <f t="shared" si="566"/>
        <v/>
      </c>
      <c r="BS280" s="6">
        <f>IF(B280="","",IF(BH280&lt;&gt;"",IFERROR(_xlfn.XLOOKUP(BH280,Щиты[Щит],Щиты[Руст, кВт]),0),N(BR280)))</f>
        <v>0</v>
      </c>
      <c r="BT280" t="str">
        <f>IF(B280="","",IFERROR(IF(VLOOKUP(BC280,Потребители_обозначение,8,FALSE)=0,"",VLOOKUP(BC280,Потребители_обозначение,8,FALSE)),""))</f>
        <v/>
      </c>
      <c r="BU280">
        <f t="shared" si="567"/>
        <v>230</v>
      </c>
      <c r="BV280">
        <f t="shared" si="568"/>
        <v>0</v>
      </c>
      <c r="BW280">
        <f>IF(B280="","",IF(BH280&lt;&gt;"",3,IFERROR(IF(N(VLOOKUP(BC280,Потребители_обозначение,9,FALSE))=0,1,VLOOKUP(BC280,Потребители_обозначение,9,FALSE)),1)))</f>
        <v>1</v>
      </c>
      <c r="BX280">
        <f t="shared" si="569"/>
        <v>1</v>
      </c>
      <c r="BY280" t="str">
        <f>IF(B280="","",_xlfn.LET(_xlpm.bc,IFERROR(IF(VLOOKUP(BC280,Потребители_обозначение,6,FALSE)=0,"",VLOOKUP(BC280,Потребители_обозначение,6,FALSE)&amp;""),""),IF(AND(GA280="да",OR(_xlpm.bc="",_xlpm.bc="мс")),Марка_пож,IF(AND(_xlpm.bc="",BH280&lt;&gt;""),"мс",_xlpm.bc))))</f>
        <v/>
      </c>
      <c r="BZ280" t="str">
        <f t="shared" si="570"/>
        <v>мс</v>
      </c>
      <c r="CA280">
        <f>IF(B280="","",_xlfn.LET(_xlpm.cc,IFERROR(N(VLOOKUP(BC280,Потребители_обозначение,7,FALSE)),0),IF(_xlpm.cc&gt;0,_xlpm.cc,IF(BZ280="","",IF(BV280=1,2,IF(N(BX280)=3,5,3))))))</f>
        <v>3</v>
      </c>
      <c r="CB280">
        <f t="shared" si="571"/>
        <v>3</v>
      </c>
      <c r="CC280">
        <f>IFERROR(N(VLOOKUP(BC280,Потребители_обозначение,10,FALSE)),0)</f>
        <v>0</v>
      </c>
      <c r="CD280">
        <f>IFERROR(VLOOKUP(BC280,Потребители_обозначение,5,FALSE),0)</f>
        <v>1</v>
      </c>
      <c r="CE280" s="6" cm="1">
        <f t="array" ref="CE280">IF(B280="","",IF(BH280&lt;&gt;"",IFERROR(_xlfn.XLOOKUP(BH280,Щиты[Щит],Щиты[cos φ]),0.95),IF(BP280=1,IFERROR(_xlfn.XLOOKUP(A280,Щиты[Щит],Щиты[cos φ]),0.95),IF(ISNUMBER(AD280),AD280,IFERROR(IF(CD280=2,_xlfn.IFS(BX280=3,VLOOKUP(BS280,Справочная_двигатели,8,FALSE),BX280=1,VLOOKUP(BS280,Справочная_двигатели,10,TRUE)),IF(AND(Методика="нормы 2026",FG280="Сил"),0.8,0.95)),0.95)))))</f>
        <v>0.95</v>
      </c>
      <c r="CF280">
        <f t="shared" si="572"/>
        <v>0</v>
      </c>
      <c r="CG280">
        <f t="shared" si="573"/>
        <v>1</v>
      </c>
      <c r="CH280">
        <f t="shared" si="574"/>
        <v>0</v>
      </c>
      <c r="CI280">
        <f>IF(B280="","",IF(BV280=1,IFERROR(BS280/((Uн_лин/SQRT(3))*MAX(0.5,N(CE280))),0),N(O280)))</f>
        <v>0</v>
      </c>
      <c r="CJ280">
        <f t="shared" si="575"/>
        <v>0</v>
      </c>
      <c r="CK280">
        <f t="shared" si="576"/>
        <v>0</v>
      </c>
      <c r="CL280">
        <f t="shared" si="577"/>
        <v>0</v>
      </c>
      <c r="CM280">
        <f t="shared" si="578"/>
        <v>0</v>
      </c>
      <c r="CN280">
        <f t="shared" si="579"/>
        <v>0</v>
      </c>
      <c r="CO280">
        <f>IF(BC280="",0,_xlfn.LET(_xlpm.v,IFERROR(_xlfn.XLOOKUP(B280,Коды_код,Коды_мА),IFERROR(_xlfn.XLOOKUP(BC280,Коды_код,Коды_мА),IFERROR(_xlfn.XLOOKUP(LEFT(BC280,2),Коды_код,Коды_мА),""))),IF(_xlpm.v="да",30,IF(ISNUMBER(_xlpm.v),_xlpm.v,0))))</f>
        <v>30</v>
      </c>
      <c r="CP280">
        <f t="shared" si="580"/>
        <v>30</v>
      </c>
      <c r="CQ280" t="str">
        <f>_xlfn.LET(_xlpm.k,IFERROR(_xlfn.XLOOKUP(BC280,Коды_код,Коды_утечка)&amp;"",""),IF(_xlpm.k="","дифавтомат",_xlpm.k))</f>
        <v>дифавтомат</v>
      </c>
      <c r="CR280" t="str" cm="1">
        <f t="array" ref="CR280">IF(CG280=0,"",_xlfn.LET(_xlpm.sg,TRIM(_xlfn.TEXTSPLIT(DD280&amp;"",";")),_xlpm.f_,_xlfn._xlws.FILTER(_xlpm.sg,LEFT(_xlpm.sg,3)="УЗО",""),IFERROR(INDEX(_xlpm.f_,1)&amp;"","")))</f>
        <v/>
      </c>
      <c r="CS280" t="str">
        <f t="shared" si="581"/>
        <v/>
      </c>
      <c r="CT280" s="6" t="str" cm="1">
        <f t="array" ref="CT280">IF(CR280="","",_xlfn.LET(_xlpm.tk,_xlfn.TEXTSPLIT(UPPER(CR280)," ",,TRUE),_xlpm.a_,_xlfn._xlws.FILTER(_xlpm.tk,ISNUMBER(--LEFT(_xlpm.tk,1))*((ISNUMBER(SEARCH("А",_xlpm.tk))+ISNUMBER(SEARCH("A",_xlpm.tk)))&gt;0)*NOT(ISNUMBER(SEARCH("МА",_xlpm.tk)))*NOT(ISNUMBER(SEARCH("MA",_xlpm.tk))),""),IFERROR(--SUBSTITUTE(SUBSTITUTE(INDEX(_xlpm.a_,1),"А",""),"A",""),"")))</f>
        <v/>
      </c>
      <c r="CU280" t="str" cm="1">
        <f t="array" ref="CU280">IF(CR280="","",_xlfn.LET(_xlpm.tk,_xlfn.TEXTSPLIT(UPPER(CR280)," ",,TRUE),_xlpm.a_,_xlfn._xlws.FILTER(_xlpm.tk,ISNUMBER(--LEFT(_xlpm.tk,1))*((ISNUMBER(SEARCH("МА",_xlpm.tk))+ISNUMBER(SEARCH("MA",_xlpm.tk)))&gt;0),""),IFERROR(--SUBSTITUTE(SUBSTITUTE(INDEX(_xlpm.a_,1),"МА",""),"MA",""),30)))</f>
        <v/>
      </c>
      <c r="CV280" t="str">
        <f>IF(CS280="","",IFERROR(_xlfn.XLOOKUP(CS280,Линии[_n],Линии[_УЗО, мА]),30))</f>
        <v/>
      </c>
      <c r="CW280">
        <f>IF(CS280="",0,IF(ISNUMBER(SEARCH("4P",IFERROR(_xlfn.XLOOKUP(CS280,Линии[_n],Линии[_УЗО строки])&amp;"",""))),0,1))</f>
        <v>0</v>
      </c>
      <c r="CX280" t="str">
        <f>IF(AND(CS280&lt;&gt;"",CS280=BA280),SUMIFS(Линии[_ток на 230 В],Линии[_блок УЗО],BA280,Линии[Щит],A280),"")</f>
        <v/>
      </c>
      <c r="CY280" t="str">
        <f>IF(AND(CS280&lt;&gt;"",CS280=BA280),SUMIFS(Линии[_ток утечки линии, мА],Линии[_блок УЗО],BA280,Линии[Щит],A280),"")</f>
        <v/>
      </c>
      <c r="CZ280">
        <f t="shared" si="582"/>
        <v>30</v>
      </c>
      <c r="DA280">
        <f t="shared" si="583"/>
        <v>30</v>
      </c>
      <c r="DB280">
        <f>IF(B280="",0,IFERROR(--_xlfn.XLOOKUP(B280,Коды_код,Коды_минавт),IFERROR(--_xlfn.XLOOKUP(BC280,Коды_код,Коды_минавт),IFERROR(--_xlfn.XLOOKUP(LEFT(BC280,2),Коды_код,Коды_минавт),0))))</f>
        <v>16</v>
      </c>
      <c r="DC280" t="str">
        <f>IF(B280="","",IFERROR(_xlfn.XLOOKUP(BC280,Коды_код,Коды_апп)&amp;"",""))</f>
        <v/>
      </c>
      <c r="DD280" t="str">
        <f t="shared" si="584"/>
        <v/>
      </c>
      <c r="DE280" t="str" cm="1">
        <f t="array" ref="DE280">IF(TRIM(DD280&amp;"")="","",IFERROR(TRIM(INDEX(_xlfn.TEXTSPLIT(DD280&amp;";;;",";"),1)),""))</f>
        <v/>
      </c>
      <c r="DF280" t="str" cm="1">
        <f t="array" ref="DF280">IF(TRIM(DD280&amp;"")="","",IFERROR(TRIM(INDEX(_xlfn.TEXTSPLIT(DD280&amp;";;;",";"),2)),""))</f>
        <v/>
      </c>
      <c r="DG280" t="str" cm="1">
        <f t="array" ref="DG280">IF(TRIM(DD280&amp;"")="","",IFERROR(TRIM(INDEX(_xlfn.TEXTSPLIT(DD280&amp;";;;",";"),3)),""))</f>
        <v/>
      </c>
      <c r="DH280">
        <f t="shared" si="585"/>
        <v>0</v>
      </c>
      <c r="DI280" t="str">
        <f>IF(B280="","",_xlfn.LET(_xlpm.t,LOWER(AZ280&amp;""),IF(ISNUMBER(SEARCH("dim",_xlpm.t)),"DIM",IF(ISNUMBER(SEARCH("dali",_xlpm.t)),"DALI",IF(OR(ISNUMBER(SEARCH("relay",_xlpm.t)),ISNUMBER(SEARCH("реле",_xlpm.t))),"Relay",IF(ISNUMBER(SEARCH("кнопк",_xlpm.t)),"",IFERROR(_xlfn.XLOOKUP(BC280,Коды_код,Коды_упр)&amp;"","")))))))</f>
        <v/>
      </c>
      <c r="DJ280" t="str">
        <f t="shared" si="586"/>
        <v/>
      </c>
      <c r="DK280">
        <f>IF(B280="","",_xlfn.LET(_xlpm.ig,IF(N(CX280)&gt;0,N(CX280),N(CI280)+IF(AJ280="вручную",0,N(CJ280))),_xlpm.n0,IFERROR(VLOOKUP(_xlpm.ig,Автомат_номиналы,2,TRUE),0),_xlpm.mn,MAX(DB280,IF(AJ280="вручную",0,N(CM280))),MAX(_xlpm.n0,_xlpm.mn,IF(DH280=1,Мин_автомат_БП,0))))</f>
        <v>16</v>
      </c>
      <c r="DL280">
        <f t="shared" si="587"/>
        <v>1</v>
      </c>
      <c r="DM280" t="str">
        <f t="shared" si="588"/>
        <v>2P</v>
      </c>
      <c r="DN280" t="str">
        <f>_xlfn.LET(_xlpm.cc,UPPER(TRIM(IFERROR(_xlfn.XLOOKUP(BC280,Коды_код,Коды_хар)&amp;"",""))),IF(OR(_xlpm.cc="B",_xlpm.cc="В"),"B",IF(_xlpm.cc="D","D","С")))</f>
        <v>С</v>
      </c>
      <c r="DO280" t="str">
        <f t="shared" si="589"/>
        <v>2P С16А 30мА</v>
      </c>
      <c r="DP280" t="str">
        <f t="shared" si="590"/>
        <v>2P С16А 30мА</v>
      </c>
      <c r="DQ280" t="str">
        <f t="shared" si="591"/>
        <v>2P С16А 30мА</v>
      </c>
      <c r="DR280" cm="1">
        <f t="array" ref="DR280">IF(DQ280="","",_xlfn.LET(_xlpm.t,SUBSTITUTE(SUBSTITUTE(SUBSTITUTE(UPPER(DQ280),"С","C"),"А","A"),"В","B"),_xlpm.tk,_xlfn.TEXTSPLIT(_xlpm.t," "),_xlpm.f,_xlfn._xlws.FILTER(_xlpm.tk,ISNUMBER(--MID(_xlpm.tk,2,1))*ISNUMBER(SEARCH(LEFT(_xlpm.tk,1)&amp;"#","B#C#D#"))*(LEN(_xlpm.tk)&gt;1),""),_xlpm.x,INDEX(_xlpm.f,1),IFERROR(--SUBSTITUTE(MID(_xlpm.x,2,9),"A",""),IFERROR(--SUBSTITUTE(INDEX(_xlfn._xlws.FILTER(_xlpm.tk,ISNUMBER(--SUBSTITUTE(_xlpm.tk,"A","")),""),1),"A",""),""))))</f>
        <v>16</v>
      </c>
      <c r="DS280" t="str">
        <f t="shared" si="592"/>
        <v>ok</v>
      </c>
      <c r="DT280">
        <f t="shared" si="593"/>
        <v>16</v>
      </c>
      <c r="DU280" t="str">
        <f t="shared" si="594"/>
        <v>2P С16А 30мА</v>
      </c>
      <c r="DV280">
        <f t="shared" si="595"/>
        <v>30</v>
      </c>
      <c r="DW280">
        <f t="shared" si="596"/>
        <v>1</v>
      </c>
      <c r="DX280">
        <f t="shared" si="597"/>
        <v>0</v>
      </c>
      <c r="DY280">
        <f t="shared" si="598"/>
        <v>0</v>
      </c>
      <c r="DZ280">
        <f t="shared" si="599"/>
        <v>1</v>
      </c>
      <c r="EA280">
        <f>IF(ISNUMBER(AP280),AP280,К_прокл)</f>
        <v>1</v>
      </c>
      <c r="EB280">
        <f t="shared" si="600"/>
        <v>2</v>
      </c>
      <c r="EC280">
        <f>IFERROR(N(VLOOKUP(BZ280,Кабель_обозначение,3,FALSE)),1)</f>
        <v>1</v>
      </c>
      <c r="ED280">
        <f>IFERROR(N(_xlfn.XLOOKUP(A280,Щиты[Щит],Щиты[ΔU до шин, %])),0)</f>
        <v>1.19</v>
      </c>
      <c r="EE280" t="str">
        <f>IFERROR(_xlfn.XLOOKUP(A280,Щиты[Щит],Щиты[Zпетли на шинах, Ом]),"")</f>
        <v/>
      </c>
      <c r="EF280">
        <f>IFERROR(N(_xlfn.XLOOKUP(A280,Щиты[Щит],Щиты[ΔU до шин (подбор), %])),0)</f>
        <v>1.19</v>
      </c>
      <c r="EG280" t="str">
        <f>IFERROR(_xlfn.XLOOKUP(A280,Щиты[Щит],Щиты[Zпетли на шинах (подбор), Ом]),"")</f>
        <v/>
      </c>
      <c r="EH280" t="str">
        <f t="shared" si="601"/>
        <v/>
      </c>
      <c r="EI280">
        <f t="shared" si="602"/>
        <v>47</v>
      </c>
      <c r="EJ280">
        <f t="shared" si="603"/>
        <v>2</v>
      </c>
      <c r="EK280">
        <f t="shared" si="604"/>
        <v>0.31</v>
      </c>
      <c r="EL280" s="6">
        <f>IF(B280="","",IF(BV280=1,dU_LED,IF(IFERROR(_xlfn.XLOOKUP(BC280,Коды_код,Коды_уго),"")="Светильник",3,4)+IF(Методика="нормы 2026",MIN(0.5,MAX(0,N(P280)-100)*0.005),0)))</f>
        <v>4</v>
      </c>
      <c r="EM280" cm="1">
        <f t="array" ref="EM280">IF(OR(B280="",BZ280="",EC280&lt;&gt;1),"",_xlfn.LET(_xlpm.sz,Iдоп_S,_xlpm.t_,CHOOSE(EB280,Iдоп_1ж,Iдоп_2ж,Iдоп_3ж)*DZ280*EA280,_xlpm.dcx,BV280=1,_xlpm.inn,IF(_xlpm.dcx,N(O280),N(DT280)),_xlpm.smin,MAX(1.5,CC280),_xlpm.L_,N(P280)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280)/N(BU280)*100,999),IFERROR(N(EJ280)*(_xlpm.rho*_xlpm.L_/_xlpm.sz*N(CE280)+_xlpm.xx*_xlpm.L_*N(EK280)/1000)*N(O280)/((Uн_лин/SQRT(3))*1000)*100,999)),_xlpm.kz,IF(OR(_xlpm.dcx,DW280=1,NOT(ISNUMBER(EG280)),_xlpm.L_=0,_xlpm.inn=0),1,IFERROR(--(c_min*(Uн_лин*1000/SQRT(3))/(EG280+2*ρкз_Cu*_xlpm.L_/_xlpm.sz)&gt;=HT280*_xlpm.inn),0)),_xlpm.ok,IFERROR((_xlpm.sz&gt;=_xlpm.smin)*(_xlpm.t_&gt;=_xlpm.inn)*IF(_xlpm.L_&gt;0,(_xlpm.du_+IF(_xlpm.dcx,0,EF280)&lt;=EL280+0.00001),1)*_xlpm.kz,0),_xlpm.r_,_xlfn._xlws.FILTER(_xlpm.sz,_xlpm.ok,"не подобрано"),INDEX(_xlpm.r_,1)))</f>
        <v>1.5</v>
      </c>
      <c r="EN280">
        <f t="shared" si="605"/>
        <v>2.5</v>
      </c>
      <c r="EO280" cm="1">
        <f t="array" ref="EO280">IF(OR(B280="",BZ280="",EC280&lt;&gt;1),"",_xlfn.LET(_xlpm.sz,Iдоп_S,_xlpm.t_,CHOOSE(EB280,Iдоп_1ж,Iдоп_2ж,Iдоп_3ж)*DZ280*EA280,_xlpm.ok,IFERROR((_xlpm.sz&gt;=MAX(1.5,CC280))*(_xlpm.t_&gt;=N(DT280)),0),_xlpm.r_,_xlfn._xlws.FILTER(_xlpm.sz,_xlpm.ok,""),INDEX(_xlpm.r_,1)))</f>
        <v>1.5</v>
      </c>
      <c r="EP280" s="6" cm="1">
        <f t="array" ref="EP280">IFERROR(ROUNDUP(N(EJ280)*(_xlfn.XLOOKUP(EO280,INDEX(Кабель_сопротивление,0,1),INDEX(Кабель_сопротивление,0,3))*N(P280)/EO280*N(CE280)+_xlfn.XLOOKUP(EO280,INDEX(Кабель_сопротивление,0,1),INDEX(Кабель_сопротивление,0,2))*N(P280)*N(EK280)/1000)*N(O280)/((Uн_лин/SQRT(3))*1000)*100,2),"")</f>
        <v>0</v>
      </c>
      <c r="EQ280">
        <f>IFERROR(2*ρкз_Cu*N(P280)/EO280,"")</f>
        <v>1.7533333333333332</v>
      </c>
      <c r="ER280">
        <f>IFERROR(VLOOKUP(EN280,Кабель_сопротивление,3,FALSE),"")</f>
        <v>2.2499999999999999E-2</v>
      </c>
      <c r="ES280">
        <f>IFERROR(VLOOKUP(EN280,Кабель_сопротивление,2,FALSE),"")</f>
        <v>0.1</v>
      </c>
      <c r="ET280">
        <f t="shared" si="606"/>
        <v>30</v>
      </c>
      <c r="EU280">
        <f t="shared" si="607"/>
        <v>0</v>
      </c>
      <c r="EV280">
        <f t="shared" si="608"/>
        <v>0</v>
      </c>
      <c r="EW280" s="6">
        <f>IFERROR(ROUNDUP(EV280/IF(BV280=1,BU280,(Uн_лин/SQRT(3))*1000)*100,2),"")</f>
        <v>0</v>
      </c>
      <c r="EX280" t="str">
        <f>IFERROR(VLOOKUP(BZ280,Кабель_обозначение,2,FALSE),"")</f>
        <v>ВВГнг(А)-LS</v>
      </c>
      <c r="EY280" t="str">
        <f t="shared" si="609"/>
        <v>ВВГнг(А)-LS (3х2,5)</v>
      </c>
      <c r="EZ280" t="str">
        <f t="shared" si="610"/>
        <v>ВВГнг(А)-LS (3х2,5)
L=50-0%</v>
      </c>
      <c r="FA280">
        <f>IFERROR(2*ρкз_Cu*P280/EN280,"")</f>
        <v>1.052</v>
      </c>
      <c r="FB280">
        <f t="shared" si="611"/>
        <v>0.35000000000000003</v>
      </c>
      <c r="FC280" s="6" t="str">
        <f>IFERROR(IF(OR(B280="",BV280=1,NOT(ISNUMBER(EN280)),N(P280)=0),"",_xlfn.XLOOKUP(A280,Щиты[Щит],Щиты[Zпетли на шинах, Ом])+FA280),"")</f>
        <v/>
      </c>
      <c r="FD280" s="6" t="str">
        <f>IF(ISNUMBER(FC280),c_min*(Uн_лин*1000/SQRT(3))/FC280,"")</f>
        <v/>
      </c>
      <c r="FE280" s="6" t="str">
        <f>IFERROR(IF(OR(B280="",NOT(ISNUMBER(EN280))),"",1.05*(Uн_лин*1000/SQRT(3))/(_xlfn.XLOOKUP(A280,Щиты[Щит],Щиты[Zmax на шинах, Ом])+FB280)/1000),"")</f>
        <v/>
      </c>
      <c r="FF280" s="6" t="str">
        <f>IF(B280="","",IF(ISNUMBER(AC280),"Сил",IF(IFERROR(_xlfn.XLOOKUP(BC280,Коды_код,Коды_группа)&amp;"","")="","Быт",_xlfn.XLOOKUP(BC280,Коды_код,Коды_группа)&amp;"")))</f>
        <v>Быт</v>
      </c>
      <c r="FG280" s="6" t="str">
        <f t="shared" si="612"/>
        <v>Быт</v>
      </c>
      <c r="FH280" s="6">
        <f>IF(FG280="Щит","щит",IF(FG280="","",IF(FG280="Быт",IFERROR(_xlfn.XLOOKUP(A280,Щиты[Щит],Щиты[Кс быт]),1),IF(FG280="Сил",IF(ISNUMBER(AC280),AC280,IF(Методика="нормы 2026",IFERROR(_xlfn.XLOOKUP(A280,Щиты[Щит],Щиты[Кс силовых (табл. 7.5)]),1),1)),IF(OR(FG280="Пост",FG280="Отоп"),1,IF(FG280="ВНГ",0.7,0))))))</f>
        <v>0.57830000000000004</v>
      </c>
      <c r="FI280">
        <f>IF(FG280="","",IF(AND(BP280=1,TRIM(AE280&amp;"")=""),IF(COUNTIFS(Линии[Щит],A280,Линии[Секция (1/2/3)],"&gt;=2")&gt;0,MIN(3,MAX(1,IFERROR(--BD280,1))),1),IFERROR(MIN(3,MAX(1,INT(--AE280))),1)))</f>
        <v>1</v>
      </c>
      <c r="FJ280">
        <f t="shared" si="613"/>
        <v>0</v>
      </c>
      <c r="FK280">
        <f t="shared" si="614"/>
        <v>0</v>
      </c>
      <c r="FL280">
        <f t="shared" si="615"/>
        <v>0</v>
      </c>
      <c r="FM280">
        <f t="shared" si="616"/>
        <v>0</v>
      </c>
      <c r="FN280">
        <f t="shared" si="617"/>
        <v>0</v>
      </c>
      <c r="FO280">
        <f t="shared" si="618"/>
        <v>0</v>
      </c>
      <c r="FP280">
        <f t="shared" si="619"/>
        <v>0</v>
      </c>
      <c r="FQ280">
        <f t="shared" si="620"/>
        <v>0</v>
      </c>
      <c r="FR280">
        <f t="shared" si="621"/>
        <v>0</v>
      </c>
      <c r="FS280">
        <f>IF(CG280=1,IF(AND(CH280=1,CW280=1),0,IF(AND(CS280&lt;&gt;"",CS280=BA280,CW280=1),SUMIFS(Линии[_Р линии, кВт],Линии[_блок УЗО],BA280,Линии[Щит],A280),N(BS280)+IF(AJ280="вручную",0,N(CK280)))),0)</f>
        <v>0</v>
      </c>
      <c r="FT280" t="str">
        <f t="shared" si="622"/>
        <v/>
      </c>
      <c r="FU280" t="str">
        <f>IF(B280="","",IF(CG280=0,IF(BA280=1,"",FW279),IF(AND(CH280=1,CW280=1,CS280&lt;&gt;""),IFERROR(_xlfn.XLOOKUP(CS280,Линии[_n],Линии[_фаза итог]),"L1"),IF(OR(N(DL280)&gt;=3,N(BX280)&gt;=3),"L1,L2,L3",IFERROR(_xlfn.TEXTBEFORE(_xlfn.TEXTAFTER(_xlfn.XLOOKUP(A280,Щиты[Щит],Щиты[_фазы авто]),";"&amp;BA280&amp;":"),";"),"L1")))))</f>
        <v>L3</v>
      </c>
      <c r="FV280" t="str">
        <f t="shared" si="623"/>
        <v>L3</v>
      </c>
      <c r="FW280" t="str">
        <f t="shared" si="624"/>
        <v>L3</v>
      </c>
      <c r="FX280" cm="1">
        <f t="array" ref="FX280">IFERROR(IF(CD280=2,_xlfn.IFS(BX280=3,VLOOKUP(BS280,Справочная_двигатели,3,FALSE),BX280=1,VLOOKUP(BS280,Справочная_двигатели,5,TRUE)),0),0)</f>
        <v>0</v>
      </c>
      <c r="FY280">
        <f>IFERROR(IF(CD280=3,VLOOKUP(BS280,Справочная_ЛЭД,2,TRUE),0),0)</f>
        <v>0</v>
      </c>
      <c r="FZ280" s="6">
        <f t="shared" si="625"/>
        <v>0</v>
      </c>
      <c r="GA280" t="str">
        <f>IF(B280="","",IF(TRIM(AH280&amp;"")&lt;&gt;"",IF(LOWER(TRIM(AH280&amp;""))="да","да","нет"),IF(IFERROR(_xlfn.XLOOKUP(BC280,Коды_код,Коды_пожарная),"")="да","да","нет")))</f>
        <v>нет</v>
      </c>
      <c r="GB280" t="str">
        <f t="shared" si="626"/>
        <v/>
      </c>
      <c r="GC280" t="str">
        <f t="shared" si="627"/>
        <v>основная</v>
      </c>
      <c r="GD280">
        <f>IF(AND(BP280=1,TRIM(AE280&amp;"")=""),IF(COUNTIFS(Линии[Щит],A280,Линии[Секция (1/2/3)],"&gt;=2")&gt;0,MIN(3,MAX(1,IFERROR(--BD280,1))),1),IFERROR(MIN(3,MAX(1,INT(--AE280))),1))</f>
        <v>1</v>
      </c>
      <c r="GE280" t="str" cm="1">
        <f t="array" ref="GE280">IF(B280="","",_xlfn.LET(_xlpm.t,IFERROR(_xlfn.XLOOKUP(1,(Шины[Шина]=GC280)*(((Шины[Щит]=A280)+(Шины[Щит]=""))&gt;0),Шины[Тип]),"")&amp;"",IF(_xlpm.t&lt;&gt;"",_xlpm.t,IF(ISNUMBER(SEARCH("ИБП",GC280)),"ИБП",IF(ISNUMBER(SEARCH("ДГУ",GC280)),"ДГУ","Ввод "&amp;GD280)))))</f>
        <v>Ввод 1</v>
      </c>
      <c r="GF280" t="str">
        <f t="shared" si="628"/>
        <v>Ввод 1</v>
      </c>
      <c r="GG280" t="str">
        <f>IF(BP280=0,"",IF(TRIM(AG280&amp;"")&lt;&gt;"",TRIM(AG280&amp;""),IF(OR(GE280="ИБП",GE280="ДГУ"),"I особая",_xlfn.XLOOKUP(A280,Щиты[Щит],Щиты[Категория шины «Ввод»],"III"))))</f>
        <v/>
      </c>
      <c r="GH280" t="str">
        <f>IF(A280="","",_xlfn.XLOOKUP(A280,Щиты[Щит],Щиты[Путь],""))</f>
        <v>|ГРЩ-ЖД|ЩР-1|</v>
      </c>
      <c r="GI280" t="str">
        <f>IF(B280="","",IF(AI280&lt;&gt;"",AI280,IF(IFERROR(_xlfn.XLOOKUP(BC280,Коды_код,Коды_вид)&amp;"","")="","Прочее",_xlfn.XLOOKUP(BC280,Коды_код,Коды_вид)&amp;"")))</f>
        <v>Розеточная сеть и бытовые приборы</v>
      </c>
      <c r="GJ280">
        <f>IF(BM280="","",INT((BM280-1)/Столбцов_на_лист)+1)</f>
        <v>5</v>
      </c>
      <c r="GK280" t="str">
        <f t="shared" si="629"/>
        <v>ВВГнг(А)-LS (3х2,5) L=50-0%</v>
      </c>
      <c r="GL280">
        <f t="shared" si="630"/>
        <v>0</v>
      </c>
      <c r="GM280">
        <f t="shared" si="631"/>
        <v>0</v>
      </c>
      <c r="GN280">
        <f t="shared" si="632"/>
        <v>1</v>
      </c>
      <c r="GO280">
        <f t="shared" si="633"/>
        <v>0</v>
      </c>
      <c r="GP280">
        <f t="shared" si="634"/>
        <v>1</v>
      </c>
      <c r="GQ280">
        <f>IF(BM280="","",IF(AND(CG280=1,GP280=1),COUNTIFS(A$3:A280,A280,CG$3:CG280,1,GP$3:GP280,1),IF(OR(OR(BA280=1,A280&lt;&gt;A279),AJ280="вручную",GP280=0),"",IF(BA280=1,"",GR279))))</f>
        <v>56</v>
      </c>
      <c r="GR280">
        <f t="shared" si="635"/>
        <v>56</v>
      </c>
      <c r="GS280">
        <f>IF(B280="","",IFERROR(LOOKUP(INDEX(CHOOSE(EB280,Iдоп_1ж,Iдоп_2ж,Iдоп_3ж),MATCH(EN280,Iдоп_S,0))*DZ280*EA280,{6,10,16,20,25,32,40,50,63,80,100,125,160,200,250,315,400,500,630}),""))</f>
        <v>25</v>
      </c>
      <c r="GT280" t="str">
        <f t="shared" si="636"/>
        <v>QFD56</v>
      </c>
      <c r="GU280" t="str">
        <f t="shared" si="637"/>
        <v>QFD56</v>
      </c>
      <c r="GV280" t="str">
        <f t="shared" si="638"/>
        <v/>
      </c>
      <c r="GW280">
        <f t="shared" si="639"/>
        <v>0</v>
      </c>
      <c r="GX280" t="str">
        <f>IF(OR(B280="",DJ280=""),"",IFERROR(_xlfn.XLOOKUP(DJ280,Модули_умолч[Управление],Модули_умолч[Модель])&amp;"",""))</f>
        <v/>
      </c>
      <c r="GY280">
        <f>IF(DJ280="",1,IFERROR(MAX(0,N(_xlfn.XLOOKUP(DJ280,Модули_умолч[Управление],Модули_умолч[Каналов на линию]))),1))</f>
        <v>1</v>
      </c>
      <c r="GZ280" t="str">
        <f t="shared" si="640"/>
        <v/>
      </c>
      <c r="HA280" t="str">
        <f t="shared" si="641"/>
        <v/>
      </c>
      <c r="HB280" t="str">
        <f t="shared" si="642"/>
        <v/>
      </c>
      <c r="HC280">
        <f>IF(HB280="",0,IFERROR(N(VLOOKUP(HB280,Модули_спр,3,FALSE)),0))</f>
        <v>0</v>
      </c>
      <c r="HD280" t="str">
        <f t="shared" si="643"/>
        <v/>
      </c>
      <c r="HE280" t="str">
        <f t="shared" si="644"/>
        <v/>
      </c>
      <c r="HF280" t="str">
        <f>IF(OR(HE280="",HE280="-"),"",IFERROR(VLOOKUP(HE280,Модули_спр,2,FALSE),"R"))</f>
        <v/>
      </c>
      <c r="HG280" t="str">
        <f>IF(HF280="","",HF280&amp;"."&amp;COUNTIFS(A$3:A280,A280,HF$3:HF280,HF280))</f>
        <v/>
      </c>
      <c r="HH280" t="str">
        <f t="shared" si="645"/>
        <v/>
      </c>
      <c r="HI280" t="str">
        <f t="shared" si="646"/>
        <v/>
      </c>
      <c r="HJ280" t="str">
        <f t="shared" si="647"/>
        <v/>
      </c>
      <c r="HK280" t="str">
        <f t="shared" si="648"/>
        <v/>
      </c>
      <c r="HL280">
        <f t="shared" si="649"/>
        <v>1</v>
      </c>
      <c r="HM280" t="str">
        <f>IF(HL280=1,"XT"&amp;COUNTIFS(A$3:A280,A280,HL$3:HL280,1),"")</f>
        <v>XT56</v>
      </c>
      <c r="HN280" t="str">
        <f t="shared" si="650"/>
        <v>XT56</v>
      </c>
      <c r="HO280" t="str">
        <f t="shared" si="651"/>
        <v>QFD56</v>
      </c>
      <c r="HP280" t="str">
        <f t="shared" si="652"/>
        <v/>
      </c>
      <c r="HQ280" t="str">
        <f t="shared" si="653"/>
        <v>ok</v>
      </c>
      <c r="HR280" t="str">
        <f>IF(OR(HJ280="",HH280=""),"",IF(HJ280+MAX(0,GY280-1)&gt;IFERROR(VLOOKUP(HI280,Модули_спр,3,FALSE),99),"ЛИШНИЙ КАНАЛ",IF(AND(AL280&lt;&gt;"=",GY280&gt;0,COUNTIFS(Линии[_модуль гр.],HH280,Линии[Канал (итог)],HJ280,Линии[Канал],"&lt;&gt;=",Линии[Щит],A280)&gt;1),"ДУБЛЬ КАНАЛА","")))</f>
        <v/>
      </c>
      <c r="HS280" s="6" t="str">
        <f t="shared" si="654"/>
        <v/>
      </c>
      <c r="HT280">
        <f t="shared" si="655"/>
        <v>10</v>
      </c>
      <c r="HU280" t="str">
        <f t="shared" si="656"/>
        <v/>
      </c>
      <c r="HV280">
        <f t="shared" si="657"/>
        <v>0.5</v>
      </c>
      <c r="HW280">
        <f t="shared" si="658"/>
        <v>0</v>
      </c>
      <c r="HX280">
        <f t="shared" si="659"/>
        <v>0</v>
      </c>
      <c r="HY280">
        <f t="shared" si="660"/>
        <v>0</v>
      </c>
      <c r="HZ280">
        <f t="shared" si="661"/>
        <v>0</v>
      </c>
      <c r="IA280">
        <f t="shared" si="662"/>
        <v>0</v>
      </c>
      <c r="IB280">
        <f t="shared" si="663"/>
        <v>0</v>
      </c>
      <c r="IC280" t="str">
        <f t="shared" si="664"/>
        <v/>
      </c>
      <c r="ID280" t="str" cm="1">
        <f t="array" ref="ID280">IF(IC280="","",_xlfn.LET(_xlpm.tk,_xlfn.TEXTSPLIT(SUBSTITUTE(SUBSTITUTE(IC280,";"," "),"→"," ")," ",,TRUE),_xlpm.w_,_xlfn._xlws.FILTER(_xlpm.tk,ISNUMBER(--LEFT(_xlpm.tk,1))*((ISNUMBER(SEARCH("W",_xlpm.tk))+ISNUMBER(SEARCH("Вт",_xlpm.tk)))&gt;0),""),IFERROR(--SUBSTITUTE(SUBSTITUTE(UPPER(INDEX(_xlpm.w_,1)),"W",""),"ВТ",""),"")))</f>
        <v/>
      </c>
      <c r="IE280" t="str" cm="1">
        <f t="array" ref="IE280">IF(IC280="","",_xlfn.LET(_xlpm.tk,_xlfn.TEXTSPLIT(SUBSTITUTE(SUBSTITUTE(IC280,";"," "),"→"," ")," ",,TRUE),_xlpm.v_,_xlfn._xlws.FILTER(_xlpm.tk,ISNUMBER(--LEFT(_xlpm.tk,1))*((ISNUMBER(SEARCH("V",_xlpm.tk))+(RIGHT(UPPER(_xlpm.tk))="В"))&gt;0),""),IFERROR(--SUBSTITUTE(SUBSTITUTE(UPPER(INDEX(_xlpm.v_,1)),"V",""),"В",""),"")))</f>
        <v/>
      </c>
      <c r="IF280" s="6" t="str">
        <f>IF(OR(BV280=0,HI280="",HJ280=""),"",IFERROR(N(_xlfn.XLOOKUP(HI280,Каталог!$C$4:$C$500,Каталог!$Q$4:$Q$500)),""))</f>
        <v/>
      </c>
      <c r="IG280" s="6" t="str">
        <f>IF(N(IF280)=0,"",SUMIFS(Линии[Iр, А],Линии[Щит],A280,Линии[_модуль гр.],HH280,Линии[Канал (итог)],HJ280))</f>
        <v/>
      </c>
      <c r="IH280" t="str">
        <f>IF(AND(B280="",HO280=""),"",_xlfn.TEXTJOIN("; ",TRUE,IF(AND(B280&lt;&gt;"",FV280=""),"нет фазы",""),IF(AND(B280&lt;&gt;"",N(GL280)=0,FG280&lt;&gt;"Нет"),"нет мощности",""),IF(AND(HN280&lt;&gt;"",COUNTIFS(Линии[Щит],A280,Линии[Клемма (итог)],HN280)&gt;1),"дубль клеммы "&amp;HN280,""),IF(AND(HQ280&lt;&gt;"",HQ280&lt;&gt;"ok"),HQ280,""),IF(HR280&lt;&gt;"",HR280,""),IF(AND(N(CB280)&gt;=4,N(BX280)=1),CB280&amp;" жил на 1 фазе",""),IF(AND(BC280="R",CG280=1,IF(CS280&lt;&gt;"",N(CV280)&gt;30,OR(N(DA280)=0,N(DA280)&gt;30))),"розетка без дифзащиты до 30 мА",""),IF(AND(CG280=1,N(DA280)&gt;0,ISNUMBER(T280)),IF(T280&gt;N(DA280)/3,"ток утечки "&amp;FIXED(T280,1)&amp;" мА &gt; 1/3 уставки ("&amp;DA280&amp;" мА)",""),""),IF(AND(CH280=1,CS280=""),"«узо»: нет строки с УЗО выше (УЗО 2P 40А 30мА в «Аппаратах»)",""),IF(AND(CS280&lt;&gt;"",CS280=BA280),IF(CT280="","впишите номинал УЗО (УЗО 2P 40А 30мА)",IF(N(CT280)&lt;N(DT280),"УЗО "&amp;CT280&amp;" А &lt; автомата "&amp;DT280&amp;" А перед ним",IF(N(CT280)&lt;N(CX280),"УЗО "&amp;CT280&amp;" А &lt; тока блока "&amp;FIXED(CX280,1)&amp;" А",""))),""),IF(AND(CS280&lt;&gt;"",CS280=BA280,ISNUMBER(CY280)),IF(CY280&gt;N(CV280)/3,"ток утечки блока УЗО "&amp;FIXED(CY280,1)&amp;" мА &gt; 1/3 уставки ("&amp;CV280&amp;" мА)",""),""),IF(AND(CG280=1,N(BV280)+N(IB280)&gt;0,IC280=""),"линии до 50 В без БП: впишите в «Аппараты» (БП 24V 480W)",""),IF(AND(CG280=1,ISNUMBER(ID280),ISNUMBER(U280)),IF(U280&gt;ID280,"БП "&amp;ID280&amp;" Вт &lt; нужно "&amp;U280&amp;" Вт (×"&amp;Запас_БП&amp;")",""),""),IF(AND(CG280=1,ISNUMBER(IE280),N(BV280)=1),IF(IE280&lt;&gt;N(BU280),"БП на "&amp;IE280&amp;" В, линия "&amp;BU280&amp;" В",""),""),IF(AND(N(IF280)&gt;0,N(IG280)&gt;N(IF280)),HH280&amp;" канал "&amp;HJ280&amp;": "&amp;FIXED(IG280,1)&amp;" А &gt; "&amp;IF280&amp;" А",""),IFERROR(IF(AND(ISNUMBER(Q280),Q280&gt;EL280),"потери "&amp;FIXED(Q280,1)&amp;" % &gt; "&amp;EL280&amp;" %",""),""),IFERROR(IF(LEFT(HU280,4)="мало","Iкз мало — отключение &gt; 0,4 с",""),""),IF(AND(B280&lt;&gt;"",BM280=""),"не на схеме",""),IF(AND(CG280=0,B280&lt;&gt;"",FV280&lt;&gt;"",IF(BA280=1,"",FW279)&lt;&gt;"",FV280&lt;&gt;IF(BA280=1,"",FW279)),"фаза не как у автомата группы ("&amp;IF(BA280=1,"",FW279)&amp;")","")))</f>
        <v>нет мощности</v>
      </c>
      <c r="II280" s="6">
        <f>IF(OR(CG280=0,DQ280=""),"",_xlfn.LET(_xlpm.t,IFERROR(_xlfn.XLOOKUP(DQ280,Каталог!$U$4:$U$500,Каталог!$G$4:$G$500),""),_xlpm.k,SEARCH("кА",_xlpm.t),IFERROR(--TRIM(RIGHT(SUBSTITUTE(MID(_xlpm.t,MAX(1,_xlpm.k-4),_xlpm.k-MAX(1,_xlpm.k-4))," ",REPT(" ",9)),5)),"")))</f>
        <v>6</v>
      </c>
      <c r="IJ280" t="str">
        <f>IF(OR(II280="",CG280=0),"",IF(_xlfn.XLOOKUP(A280,Щиты[Щит],Щиты[Iкз max на шинах, кА],"")="","",IF(II280&lt;_xlfn.XLOOKUP(A280,Щиты[Щит],Щиты[Iкз max на шинах, кА]),"Icu "&amp;II280&amp;" кА &lt; Iкз max","ok")))</f>
        <v/>
      </c>
      <c r="IK280" t="str">
        <f t="shared" si="665"/>
        <v/>
      </c>
      <c r="IL280" t="str">
        <f t="shared" si="666"/>
        <v>QFD56|XT56</v>
      </c>
      <c r="IM280" t="str">
        <f t="shared" si="667"/>
        <v>QFD56|XT56|кабель ВВГнг(А)-LS (3х2,5) → Розеточная группа Первый этаж Пом. №020A Холодильник, морозильная камера</v>
      </c>
      <c r="IN280" t="str" cm="1">
        <f t="array" ref="IN280">IF(IM280="","",_xlfn.LET(_xlpm.nd,_xlfn.TEXTSPLIT(IM280,"|"),IF(COLUMNS(_xlpm.nd)&gt;1,A280&amp;"¦"&amp;INDEX(_xlpm.nd,1)&amp;"¦"&amp;INDEX(_xlpm.nd,2),"")))</f>
        <v>ЩР-1¦QFD56¦XT56</v>
      </c>
      <c r="IO280" t="str">
        <f t="shared" si="668"/>
        <v>R.1.020A.1¦Розеточная группа Первый этаж Пом. №020A Холодильник, морозильная камера</v>
      </c>
      <c r="IP280" t="str" cm="1">
        <f t="array" ref="IP280">IF(IM280="","",_xlfn.LET(_xlpm.nd,_xlfn.TEXTSPLIT(IM280,"|"),IF(COLUMNS(_xlpm.nd)&gt;2,A280&amp;"¦"&amp;INDEX(_xlpm.nd,2)&amp;"¦"&amp;INDEX(_xlpm.nd,3),"")))</f>
        <v>ЩР-1¦XT56¦кабель ВВГнг(А)-LS (3х2,5) → Розеточная группа Первый этаж Пом. №020A Холодильник, морозильная камера</v>
      </c>
      <c r="IQ280" t="str">
        <f t="shared" si="669"/>
        <v>R.1.020A.1¦Розеточная группа Первый этаж Пом. №020A Холодильник, морозильная камера</v>
      </c>
      <c r="IR280" t="str" cm="1">
        <f t="array" ref="IR280">IF(IM280="","",_xlfn.LET(_xlpm.nd,_xlfn.TEXTSPLIT(IM280,"|"),IF(COLUMNS(_xlpm.nd)&gt;3,A280&amp;"¦"&amp;INDEX(_xlpm.nd,3)&amp;"¦"&amp;INDEX(_xlpm.nd,4),"")))</f>
        <v/>
      </c>
      <c r="IS280" t="str">
        <f t="shared" si="670"/>
        <v/>
      </c>
      <c r="IT280" t="str" cm="1">
        <f t="array" ref="IT280">IF(IM280="","",_xlfn.LET(_xlpm.nd,_xlfn.TEXTSPLIT(IM280,"|"),IF(COLUMNS(_xlpm.nd)&gt;4,A280&amp;"¦"&amp;INDEX(_xlpm.nd,4)&amp;"¦"&amp;INDEX(_xlpm.nd,5),"")))</f>
        <v/>
      </c>
      <c r="IU280" t="str">
        <f t="shared" si="671"/>
        <v/>
      </c>
      <c r="IV280" t="str" cm="1">
        <f t="array" ref="IV280">IF(IM280="","",_xlfn.LET(_xlpm.nd,_xlfn.TEXTSPLIT(IM280,"|"),IF(COLUMNS(_xlpm.nd)&gt;5,A280&amp;"¦"&amp;INDEX(_xlpm.nd,5)&amp;"¦"&amp;INDEX(_xlpm.nd,6),"")))</f>
        <v/>
      </c>
      <c r="IW280" t="str">
        <f t="shared" si="672"/>
        <v/>
      </c>
      <c r="IX280" t="str" cm="1">
        <f t="array" ref="IX280">IF(IM280="","",_xlfn.LET(_xlpm.nd,_xlfn.TEXTSPLIT(IM280,"|"),IF(COLUMNS(_xlpm.nd)&gt;6,A280&amp;"¦"&amp;INDEX(_xlpm.nd,6)&amp;"¦"&amp;INDEX(_xlpm.nd,7),"")))</f>
        <v/>
      </c>
      <c r="IY280" t="str">
        <f t="shared" si="673"/>
        <v/>
      </c>
      <c r="IZ280" t="str">
        <f t="shared" si="674"/>
        <v/>
      </c>
      <c r="JA280" t="str">
        <f t="shared" si="675"/>
        <v>QFD56 → XT56</v>
      </c>
      <c r="JB280">
        <f t="shared" si="676"/>
        <v>0</v>
      </c>
      <c r="JC280">
        <f t="shared" si="677"/>
        <v>1</v>
      </c>
      <c r="JD280" t="str">
        <f t="shared" si="678"/>
        <v/>
      </c>
      <c r="JE280" t="str">
        <f t="shared" si="679"/>
        <v/>
      </c>
      <c r="JF280" t="str">
        <f t="shared" si="680"/>
        <v/>
      </c>
      <c r="JG280" t="str">
        <f t="shared" si="681"/>
        <v/>
      </c>
      <c r="JH280" t="str">
        <f>IF(B280="","",IFERROR(_xlfn.XLOOKUP(B280,Коды_код,Коды_уго),IFERROR(_xlfn.XLOOKUP(BC280,Коды_код,Коды_уго),IFERROR(_xlfn.XLOOKUP(LEFT(BC280,2),Коды_код,Коды_уго),""))))</f>
        <v>Розетка</v>
      </c>
      <c r="JI280" t="str">
        <f>IF(B280="","",IF(OR(JH280="",JH280=0),"BOX",IFERROR(IF(VLOOKUP(JH280,УГО_блоки,3,FALSE)&amp;""&lt;&gt;"",VLOOKUP(JH280,УГО_блоки,3,FALSE),VLOOKUP(JH280,УГО_блоки,2,FALSE)),JH280)))</f>
        <v>SOCKET</v>
      </c>
      <c r="JJ280">
        <f t="shared" si="682"/>
        <v>1</v>
      </c>
      <c r="JK280" t="str">
        <f>IF(DQ280="","",IF(COUNTIF(DQ$3:DQ280,DQ280)=1,MAX(JK$2:JK279)+1,""))</f>
        <v/>
      </c>
      <c r="JL280" t="str">
        <f>IF(DE280="","",IF(COUNTIF(DE$3:DE280,DE280)+COUNTIF(DF$2:DF279,DE280)+COUNTIF(DG$2:DG279,DE280)=1,MAX(JL$2:JN279)+1,""))</f>
        <v/>
      </c>
      <c r="JM280" t="str">
        <f>IF(DF280="","",IF(COUNTIF(DE$3:DE280,DF280)+COUNTIF(DF$3:DF280,DF280)+COUNTIF(DG$2:DG279,DF280)=1,MAX(JL$2:JN279,JL280)+1,""))</f>
        <v/>
      </c>
      <c r="JN280" t="str">
        <f>IF(DG280="","",IF(COUNTIF(DE$3:DE280,DG280)+COUNTIF(DF$3:DF280,DG280)+COUNTIF(DG$3:DG280,DG280)=1,MAX(JL$2:JN279,JL280,JM280)+1,""))</f>
        <v/>
      </c>
      <c r="JO280" t="str">
        <f t="shared" si="683"/>
        <v>3х2,5</v>
      </c>
      <c r="JP280" t="str">
        <f>IF(JO280="","",IF(COUNTIF(JO$3:JO280,JO280)=1,MAX(JP$2:JP279)+1,""))</f>
        <v/>
      </c>
      <c r="JQ280" t="str">
        <f>IF(HG280="","",COUNTIF(HG$3:HG280,"?*"))</f>
        <v/>
      </c>
      <c r="JR280" t="str">
        <f>IF(OR(HG280="",HI280=""),"",IF(COUNTIFS(HG$3:HG280,"?*",HI$3:HI280,HI280)=1,MAX(JR$2:JR279)+1,""))</f>
        <v/>
      </c>
      <c r="JS280">
        <f t="shared" si="684"/>
        <v>1</v>
      </c>
      <c r="JT280">
        <f>IF(B280="","",COUNTIF(B$3:B280,"?*"))</f>
        <v>278</v>
      </c>
      <c r="JU280">
        <f>IF(HL280&lt;&gt;1,0,_xlfn.LET(_xlpm.k,MAX(IFERROR(--_xlfn.XLOOKUP(B280,Коды_код,Коды_3L),0),IFERROR(--_xlfn.XLOOKUP(BC280,Коды_код,Коды_3L),0),IFERROR(--_xlfn.XLOOKUP(LEFT(BC280,2),Коды_код,Коды_3L),0)),IF(_xlpm.k&gt;0,_xlpm.k,IF(IFERROR(--LEFT(SUBSTITUTE(JO280,"x","х"),FIND("х",SUBSTITUTE(JO280,"x","х"))-1),3)&gt;3,Каталог!$S$9,1))))</f>
        <v>1</v>
      </c>
      <c r="JV280">
        <f t="shared" si="685"/>
        <v>0</v>
      </c>
      <c r="JW280" t="str">
        <f t="shared" si="686"/>
        <v>авто</v>
      </c>
      <c r="JX280">
        <f t="shared" si="687"/>
        <v>30</v>
      </c>
      <c r="JY280">
        <f t="shared" si="688"/>
        <v>1</v>
      </c>
      <c r="JZ280">
        <f t="shared" si="689"/>
        <v>1</v>
      </c>
    </row>
    <row r="281" spans="1:286" x14ac:dyDescent="0.3">
      <c r="A281" t="s">
        <v>757</v>
      </c>
      <c r="B281" t="s">
        <v>1587</v>
      </c>
      <c r="C281" t="str">
        <f>Линии[[#This Row],[_авто наименование]]</f>
        <v>Розеточная группа, пом. 022A</v>
      </c>
      <c r="D281">
        <v>1</v>
      </c>
      <c r="E281">
        <v>0.18</v>
      </c>
      <c r="G281" t="str">
        <f>Линии[[#This Row],[_авто автомат]]</f>
        <v>2P С16А 30мА</v>
      </c>
      <c r="H281" t="str">
        <f>Линии[[#This Row],[_авто управление]]</f>
        <v/>
      </c>
      <c r="I281" t="str">
        <f>Линии[[#This Row],[_авто аппараты]]</f>
        <v/>
      </c>
      <c r="J281">
        <v>2.5</v>
      </c>
      <c r="K281">
        <v>63</v>
      </c>
      <c r="L281" t="str">
        <f>Линии[[#This Row],[_авто фаза]]</f>
        <v>L3</v>
      </c>
      <c r="M281" t="str">
        <f>Линии[[#This Row],[_авто клемма]]</f>
        <v>XT57</v>
      </c>
      <c r="N281" t="str">
        <f t="shared" si="552"/>
        <v/>
      </c>
      <c r="O281" s="6" cm="1">
        <f t="array" ref="O281">IF(B281="","",IF(BH281&lt;&gt;"",IFERROR(_xlfn.XLOOKUP(BH281,Щиты[Щит],Щиты[Iр, А]),""),IF(BP281=1,IF(OR(N(_xlfn.XLOOKUP(A281,Щиты[Щит],Щиты[Вводов],1))&lt;=1,LOWER(TRIM(_xlfn.XLOOKUP(A281,Щиты[Щит],Щиты[АВР],"")&amp;""))="да"),IFERROR(_xlfn.XLOOKUP(A281,Щиты[Щит],Щиты[Iр, А]),""),IFERROR(N(BS281)*_xlfn.XLOOKUP(A281,Щиты[Щит],Щиты[Кс итог])/(SQRT(3)*Uн_лин*_xlfn.XLOOKUP(A281,Щиты[Щит],Щиты[cos φ])),"")),IF(BV281=1,IFERROR(BS281*1000/BU281,""),IFERROR(_xlfn.IFS(BX281=1,BS281/((Uн_лин/SQRT(3))*CE281),BX281=3,BS281/(SQRT(3)*Uн_лин*CE281)),"")))))</f>
        <v>0.8204451193747313</v>
      </c>
      <c r="P281" s="7">
        <f>IF(B281="","",IFERROR(IF(VLOOKUP(BC281,Потребители_обозначение,4,FALSE)=1,VLOOKUP(BC281,Потребители_обозначение,3,FALSE)*(MAX(1,N(D281))*2-1)+EI281+VLOOKUP(BE281,Этаж_обозначение,3,FALSE)+VLOOKUP(BE281,Этаж_обозначение,4,FALSE),VLOOKUP(BC281,Потребители_обозначение,3,FALSE)*(MAX(1,N(D281))*2-1)+EI281),EI281))</f>
        <v>66</v>
      </c>
      <c r="Q281" s="6">
        <f t="shared" si="553"/>
        <v>1.6</v>
      </c>
      <c r="R281" t="str">
        <f t="shared" si="554"/>
        <v>ВВГнг(А)-LS (3х2,5)</v>
      </c>
      <c r="S281" t="str">
        <f>IF(BM281="","",IF(BN281="вводной узел","узел ","")&amp;"л."&amp;(INT((BM281-1)/Столбцов_на_лист)+1)&amp;" / "&amp;(MOD(BM281-1,Столбцов_на_лист)+1))</f>
        <v>л.5 / 5</v>
      </c>
      <c r="T281" s="119">
        <f t="shared" si="555"/>
        <v>1</v>
      </c>
      <c r="U281" s="7" t="str">
        <f>IF(OR(CG281=0,N(BV281)+N(IB281)=0),"",ROUNDUP(Запас_БП*(N(HY281)+N(HZ281)),0))</f>
        <v/>
      </c>
      <c r="V281" s="119" t="str">
        <f t="shared" si="556"/>
        <v/>
      </c>
      <c r="W281" s="7" t="str">
        <f>IFERROR(IF(OR(B281="",BP281=1,BV281=1,NOT(ISNUMBER(EN281)),N(DT281)=0),"",MAX(0,ROUNDDOWN((c_min*(Uн_лин*1000/SQRT(3))/(HT281*N(DT281))-_xlfn.XLOOKUP(A281,Щиты[Щит],Щиты[Zпетли на шинах, Ом]))*EN281/(2*ρкз_Cu),0))),"")</f>
        <v/>
      </c>
      <c r="Y281">
        <f>Линии[[#This Row],[_авто утечка]]</f>
        <v>30</v>
      </c>
      <c r="Z281">
        <v>1</v>
      </c>
      <c r="AA281">
        <v>230</v>
      </c>
      <c r="AB281" t="s">
        <v>562</v>
      </c>
      <c r="AG281" t="s">
        <v>810</v>
      </c>
      <c r="AI281" t="s">
        <v>561</v>
      </c>
      <c r="AK281" t="str">
        <f>Линии[[#This Row],[_авто модуль]]</f>
        <v/>
      </c>
      <c r="AM281">
        <v>73</v>
      </c>
      <c r="AN281" t="s">
        <v>11</v>
      </c>
      <c r="AO281">
        <v>3</v>
      </c>
      <c r="AQ281">
        <v>20</v>
      </c>
      <c r="AR281">
        <v>46</v>
      </c>
      <c r="AS281">
        <v>0</v>
      </c>
      <c r="BA281" cm="1">
        <f t="array" ref="BA281">ROW()-ROW(Линии[#Headers])</f>
        <v>279</v>
      </c>
      <c r="BC281" s="6" t="str">
        <f t="shared" si="557"/>
        <v>R</v>
      </c>
      <c r="BD281" t="str">
        <f t="shared" si="558"/>
        <v>1.022A.1</v>
      </c>
      <c r="BE281" t="str">
        <f t="shared" si="559"/>
        <v>1</v>
      </c>
      <c r="BF281" t="str">
        <f t="shared" si="560"/>
        <v>022A.1</v>
      </c>
      <c r="BG281" t="str">
        <f t="shared" si="561"/>
        <v>022A</v>
      </c>
      <c r="BH281" t="str">
        <f>IF(X281&lt;&gt;"",X281,IF(AND(B281&lt;&gt;"",B281&lt;&gt;A281,ISNUMBER(_xlfn.XMATCH(B281,Щиты[Щит]))),B281,""))</f>
        <v/>
      </c>
      <c r="BI281" t="str" cm="1">
        <f t="array" ref="BI281">IF(B281="","",IF(BH281&lt;&gt;"","Щит "&amp;BH281,_xlfn.LET(_xlpm.nm,IFERROR(_xlfn.XLOOKUP(BC281,Коды_код,Коды_имя)&amp;"",""),_xlpm.md,IFERROR(N(_xlfn.XLOOKUP(BC281,Коды_код,Коды_режим)),1),_xlpm.ex,IF(Имя_режим="по экспликации",IFERROR(_xlfn.XLOOKUP(BE281&amp;"|"&amp;BG281,Экспликация[Этаж]&amp;"|"&amp;Экспликация[Помещение],Экспликация[Название])&amp;"",""),""),_xlpm.rm,IF(BG281="","",IF(_xlpm.ex&lt;&gt;"",". "&amp;_xlpm.ex&amp;IF(Имя_пом="нет"," ("&amp;BG281&amp;")"," (пом. "&amp;BG281&amp;")"),IF(Имя_пом="нет"," ",", пом. ")&amp;BG281)),IF(_xlpm.nm="","",IF(_xlpm.md=2,_xlpm.nm&amp;" шлейф "&amp;BE281,_xlpm.nm&amp;_xlpm.rm)))))</f>
        <v>Розеточная группа, пом. 022A</v>
      </c>
      <c r="BJ281" t="str">
        <f t="shared" si="562"/>
        <v>Розеточная группа, пом. 022A</v>
      </c>
      <c r="BK281">
        <f>IFERROR(_xlfn.XMATCH(A281,Щиты[Щит]),0)</f>
        <v>10</v>
      </c>
      <c r="BL281">
        <f>_xlfn.LET(_xlpm.k,IFERROR(_xlfn.XLOOKUP(A281,Щиты[Щит],Щиты[Мест под вводной узел]),""),IF(_xlpm.k="",Столбцов_на_лист,N(_xlpm.k)))</f>
        <v>8</v>
      </c>
      <c r="BM281">
        <f t="shared" si="563"/>
        <v>73</v>
      </c>
      <c r="BN281" t="str">
        <f t="shared" si="564"/>
        <v>линии</v>
      </c>
      <c r="BO281" s="6">
        <f>IFERROR(N(_xlfn.XLOOKUP(BC281,Коды_код,Коды_квт)),0)</f>
        <v>0</v>
      </c>
      <c r="BP281">
        <f t="shared" si="565"/>
        <v>0</v>
      </c>
      <c r="BQ281" t="str">
        <f>IF(B281="","",IF(BH281&lt;&gt;"",IFERROR(_xlfn.XLOOKUP(BH281,Щиты[Щит],Щиты[Руст, кВт]),0),IF(BP281=1,IF(OR(N(_xlfn.XLOOKUP(A281,Щиты[Щит],Щиты[Вводов],1))&lt;=1,LOWER(TRIM(_xlfn.XLOOKUP(A281,Щиты[Щит],Щиты[АВР],"")&amp;""))="да"),IFERROR(_xlfn.XLOOKUP(A281,Щиты[Щит],Щиты[Руст, кВт]),0),SUMIFS(Линии[_Р для вводов],Линии[Щит],A281,Линии[Источник для режимов],GF281)),IF(BO281&gt;0,ROUND(BO281*MAX(1,N(D281)),3),""))))</f>
        <v/>
      </c>
      <c r="BR281">
        <f t="shared" si="566"/>
        <v>0.18</v>
      </c>
      <c r="BS281" s="6">
        <f>IF(B281="","",IF(BH281&lt;&gt;"",IFERROR(_xlfn.XLOOKUP(BH281,Щиты[Щит],Щиты[Руст, кВт]),0),N(BR281)))</f>
        <v>0.18</v>
      </c>
      <c r="BT281" t="str">
        <f>IF(B281="","",IFERROR(IF(VLOOKUP(BC281,Потребители_обозначение,8,FALSE)=0,"",VLOOKUP(BC281,Потребители_обозначение,8,FALSE)),""))</f>
        <v/>
      </c>
      <c r="BU281">
        <f t="shared" si="567"/>
        <v>230</v>
      </c>
      <c r="BV281">
        <f t="shared" si="568"/>
        <v>0</v>
      </c>
      <c r="BW281">
        <f>IF(B281="","",IF(BH281&lt;&gt;"",3,IFERROR(IF(N(VLOOKUP(BC281,Потребители_обозначение,9,FALSE))=0,1,VLOOKUP(BC281,Потребители_обозначение,9,FALSE)),1)))</f>
        <v>1</v>
      </c>
      <c r="BX281">
        <f t="shared" si="569"/>
        <v>1</v>
      </c>
      <c r="BY281" t="str">
        <f>IF(B281="","",_xlfn.LET(_xlpm.bc,IFERROR(IF(VLOOKUP(BC281,Потребители_обозначение,6,FALSE)=0,"",VLOOKUP(BC281,Потребители_обозначение,6,FALSE)&amp;""),""),IF(AND(GA281="да",OR(_xlpm.bc="",_xlpm.bc="мс")),Марка_пож,IF(AND(_xlpm.bc="",BH281&lt;&gt;""),"мс",_xlpm.bc))))</f>
        <v/>
      </c>
      <c r="BZ281" t="str">
        <f t="shared" si="570"/>
        <v>мс</v>
      </c>
      <c r="CA281">
        <f>IF(B281="","",_xlfn.LET(_xlpm.cc,IFERROR(N(VLOOKUP(BC281,Потребители_обозначение,7,FALSE)),0),IF(_xlpm.cc&gt;0,_xlpm.cc,IF(BZ281="","",IF(BV281=1,2,IF(N(BX281)=3,5,3))))))</f>
        <v>3</v>
      </c>
      <c r="CB281">
        <f t="shared" si="571"/>
        <v>3</v>
      </c>
      <c r="CC281">
        <f>IFERROR(N(VLOOKUP(BC281,Потребители_обозначение,10,FALSE)),0)</f>
        <v>0</v>
      </c>
      <c r="CD281">
        <f>IFERROR(VLOOKUP(BC281,Потребители_обозначение,5,FALSE),0)</f>
        <v>1</v>
      </c>
      <c r="CE281" s="6" cm="1">
        <f t="array" ref="CE281">IF(B281="","",IF(BH281&lt;&gt;"",IFERROR(_xlfn.XLOOKUP(BH281,Щиты[Щит],Щиты[cos φ]),0.95),IF(BP281=1,IFERROR(_xlfn.XLOOKUP(A281,Щиты[Щит],Щиты[cos φ]),0.95),IF(ISNUMBER(AD281),AD281,IFERROR(IF(CD281=2,_xlfn.IFS(BX281=3,VLOOKUP(BS281,Справочная_двигатели,8,FALSE),BX281=1,VLOOKUP(BS281,Справочная_двигатели,10,TRUE)),IF(AND(Методика="нормы 2026",FG281="Сил"),0.8,0.95)),0.95)))))</f>
        <v>0.95</v>
      </c>
      <c r="CF281">
        <f t="shared" si="572"/>
        <v>0</v>
      </c>
      <c r="CG281">
        <f t="shared" si="573"/>
        <v>1</v>
      </c>
      <c r="CH281">
        <f t="shared" si="574"/>
        <v>0</v>
      </c>
      <c r="CI281">
        <f>IF(B281="","",IF(BV281=1,IFERROR(BS281/((Uн_лин/SQRT(3))*MAX(0.5,N(CE281))),0),N(O281)))</f>
        <v>0.8204451193747313</v>
      </c>
      <c r="CJ281">
        <f t="shared" si="575"/>
        <v>0</v>
      </c>
      <c r="CK281">
        <f t="shared" si="576"/>
        <v>0</v>
      </c>
      <c r="CL281">
        <f t="shared" si="577"/>
        <v>0</v>
      </c>
      <c r="CM281">
        <f t="shared" si="578"/>
        <v>0</v>
      </c>
      <c r="CN281">
        <f t="shared" si="579"/>
        <v>0</v>
      </c>
      <c r="CO281">
        <f>IF(BC281="",0,_xlfn.LET(_xlpm.v,IFERROR(_xlfn.XLOOKUP(B281,Коды_код,Коды_мА),IFERROR(_xlfn.XLOOKUP(BC281,Коды_код,Коды_мА),IFERROR(_xlfn.XLOOKUP(LEFT(BC281,2),Коды_код,Коды_мА),""))),IF(_xlpm.v="да",30,IF(ISNUMBER(_xlpm.v),_xlpm.v,0))))</f>
        <v>30</v>
      </c>
      <c r="CP281">
        <f t="shared" si="580"/>
        <v>30</v>
      </c>
      <c r="CQ281" t="str">
        <f>_xlfn.LET(_xlpm.k,IFERROR(_xlfn.XLOOKUP(BC281,Коды_код,Коды_утечка)&amp;"",""),IF(_xlpm.k="","дифавтомат",_xlpm.k))</f>
        <v>дифавтомат</v>
      </c>
      <c r="CR281" t="str" cm="1">
        <f t="array" ref="CR281">IF(CG281=0,"",_xlfn.LET(_xlpm.sg,TRIM(_xlfn.TEXTSPLIT(DD281&amp;"",";")),_xlpm.f_,_xlfn._xlws.FILTER(_xlpm.sg,LEFT(_xlpm.sg,3)="УЗО",""),IFERROR(INDEX(_xlpm.f_,1)&amp;"","")))</f>
        <v/>
      </c>
      <c r="CS281" t="str">
        <f t="shared" si="581"/>
        <v/>
      </c>
      <c r="CT281" s="6" t="str" cm="1">
        <f t="array" ref="CT281">IF(CR281="","",_xlfn.LET(_xlpm.tk,_xlfn.TEXTSPLIT(UPPER(CR281)," ",,TRUE),_xlpm.a_,_xlfn._xlws.FILTER(_xlpm.tk,ISNUMBER(--LEFT(_xlpm.tk,1))*((ISNUMBER(SEARCH("А",_xlpm.tk))+ISNUMBER(SEARCH("A",_xlpm.tk)))&gt;0)*NOT(ISNUMBER(SEARCH("МА",_xlpm.tk)))*NOT(ISNUMBER(SEARCH("MA",_xlpm.tk))),""),IFERROR(--SUBSTITUTE(SUBSTITUTE(INDEX(_xlpm.a_,1),"А",""),"A",""),"")))</f>
        <v/>
      </c>
      <c r="CU281" t="str" cm="1">
        <f t="array" ref="CU281">IF(CR281="","",_xlfn.LET(_xlpm.tk,_xlfn.TEXTSPLIT(UPPER(CR281)," ",,TRUE),_xlpm.a_,_xlfn._xlws.FILTER(_xlpm.tk,ISNUMBER(--LEFT(_xlpm.tk,1))*((ISNUMBER(SEARCH("МА",_xlpm.tk))+ISNUMBER(SEARCH("MA",_xlpm.tk)))&gt;0),""),IFERROR(--SUBSTITUTE(SUBSTITUTE(INDEX(_xlpm.a_,1),"МА",""),"MA",""),30)))</f>
        <v/>
      </c>
      <c r="CV281" t="str">
        <f>IF(CS281="","",IFERROR(_xlfn.XLOOKUP(CS281,Линии[_n],Линии[_УЗО, мА]),30))</f>
        <v/>
      </c>
      <c r="CW281">
        <f>IF(CS281="",0,IF(ISNUMBER(SEARCH("4P",IFERROR(_xlfn.XLOOKUP(CS281,Линии[_n],Линии[_УЗО строки])&amp;"",""))),0,1))</f>
        <v>0</v>
      </c>
      <c r="CX281" t="str">
        <f>IF(AND(CS281&lt;&gt;"",CS281=BA281),SUMIFS(Линии[_ток на 230 В],Линии[_блок УЗО],BA281,Линии[Щит],A281),"")</f>
        <v/>
      </c>
      <c r="CY281" t="str">
        <f>IF(AND(CS281&lt;&gt;"",CS281=BA281),SUMIFS(Линии[_ток утечки линии, мА],Линии[_блок УЗО],BA281,Линии[Щит],A281),"")</f>
        <v/>
      </c>
      <c r="CZ281">
        <f t="shared" si="582"/>
        <v>30</v>
      </c>
      <c r="DA281">
        <f t="shared" si="583"/>
        <v>30</v>
      </c>
      <c r="DB281">
        <f>IF(B281="",0,IFERROR(--_xlfn.XLOOKUP(B281,Коды_код,Коды_минавт),IFERROR(--_xlfn.XLOOKUP(BC281,Коды_код,Коды_минавт),IFERROR(--_xlfn.XLOOKUP(LEFT(BC281,2),Коды_код,Коды_минавт),0))))</f>
        <v>16</v>
      </c>
      <c r="DC281" t="str">
        <f>IF(B281="","",IFERROR(_xlfn.XLOOKUP(BC281,Коды_код,Коды_апп)&amp;"",""))</f>
        <v/>
      </c>
      <c r="DD281" t="str">
        <f t="shared" si="584"/>
        <v/>
      </c>
      <c r="DE281" t="str" cm="1">
        <f t="array" ref="DE281">IF(TRIM(DD281&amp;"")="","",IFERROR(TRIM(INDEX(_xlfn.TEXTSPLIT(DD281&amp;";;;",";"),1)),""))</f>
        <v/>
      </c>
      <c r="DF281" t="str" cm="1">
        <f t="array" ref="DF281">IF(TRIM(DD281&amp;"")="","",IFERROR(TRIM(INDEX(_xlfn.TEXTSPLIT(DD281&amp;";;;",";"),2)),""))</f>
        <v/>
      </c>
      <c r="DG281" t="str" cm="1">
        <f t="array" ref="DG281">IF(TRIM(DD281&amp;"")="","",IFERROR(TRIM(INDEX(_xlfn.TEXTSPLIT(DD281&amp;";;;",";"),3)),""))</f>
        <v/>
      </c>
      <c r="DH281">
        <f t="shared" si="585"/>
        <v>0</v>
      </c>
      <c r="DI281" t="str">
        <f>IF(B281="","",_xlfn.LET(_xlpm.t,LOWER(AZ281&amp;""),IF(ISNUMBER(SEARCH("dim",_xlpm.t)),"DIM",IF(ISNUMBER(SEARCH("dali",_xlpm.t)),"DALI",IF(OR(ISNUMBER(SEARCH("relay",_xlpm.t)),ISNUMBER(SEARCH("реле",_xlpm.t))),"Relay",IF(ISNUMBER(SEARCH("кнопк",_xlpm.t)),"",IFERROR(_xlfn.XLOOKUP(BC281,Коды_код,Коды_упр)&amp;"","")))))))</f>
        <v/>
      </c>
      <c r="DJ281" t="str">
        <f t="shared" si="586"/>
        <v/>
      </c>
      <c r="DK281">
        <f>IF(B281="","",_xlfn.LET(_xlpm.ig,IF(N(CX281)&gt;0,N(CX281),N(CI281)+IF(AJ281="вручную",0,N(CJ281))),_xlpm.n0,IFERROR(VLOOKUP(_xlpm.ig,Автомат_номиналы,2,TRUE),0),_xlpm.mn,MAX(DB281,IF(AJ281="вручную",0,N(CM281))),MAX(_xlpm.n0,_xlpm.mn,IF(DH281=1,Мин_автомат_БП,0))))</f>
        <v>16</v>
      </c>
      <c r="DL281">
        <f t="shared" si="587"/>
        <v>1</v>
      </c>
      <c r="DM281" t="str">
        <f t="shared" si="588"/>
        <v>2P</v>
      </c>
      <c r="DN281" t="str">
        <f>_xlfn.LET(_xlpm.cc,UPPER(TRIM(IFERROR(_xlfn.XLOOKUP(BC281,Коды_код,Коды_хар)&amp;"",""))),IF(OR(_xlpm.cc="B",_xlpm.cc="В"),"B",IF(_xlpm.cc="D","D","С")))</f>
        <v>С</v>
      </c>
      <c r="DO281" t="str">
        <f t="shared" si="589"/>
        <v>2P С16А 30мА</v>
      </c>
      <c r="DP281" t="str">
        <f t="shared" si="590"/>
        <v>2P С16А 30мА</v>
      </c>
      <c r="DQ281" t="str">
        <f t="shared" si="591"/>
        <v>2P С16А 30мА</v>
      </c>
      <c r="DR281" cm="1">
        <f t="array" ref="DR281">IF(DQ281="","",_xlfn.LET(_xlpm.t,SUBSTITUTE(SUBSTITUTE(SUBSTITUTE(UPPER(DQ281),"С","C"),"А","A"),"В","B"),_xlpm.tk,_xlfn.TEXTSPLIT(_xlpm.t," "),_xlpm.f,_xlfn._xlws.FILTER(_xlpm.tk,ISNUMBER(--MID(_xlpm.tk,2,1))*ISNUMBER(SEARCH(LEFT(_xlpm.tk,1)&amp;"#","B#C#D#"))*(LEN(_xlpm.tk)&gt;1),""),_xlpm.x,INDEX(_xlpm.f,1),IFERROR(--SUBSTITUTE(MID(_xlpm.x,2,9),"A",""),IFERROR(--SUBSTITUTE(INDEX(_xlfn._xlws.FILTER(_xlpm.tk,ISNUMBER(--SUBSTITUTE(_xlpm.tk,"A","")),""),1),"A",""),""))))</f>
        <v>16</v>
      </c>
      <c r="DS281" t="str">
        <f t="shared" si="592"/>
        <v>ok</v>
      </c>
      <c r="DT281">
        <f t="shared" si="593"/>
        <v>16</v>
      </c>
      <c r="DU281" t="str">
        <f t="shared" si="594"/>
        <v>2P С16А 30мА</v>
      </c>
      <c r="DV281">
        <f t="shared" si="595"/>
        <v>30</v>
      </c>
      <c r="DW281">
        <f t="shared" si="596"/>
        <v>1</v>
      </c>
      <c r="DX281">
        <f t="shared" si="597"/>
        <v>0</v>
      </c>
      <c r="DY281">
        <f t="shared" si="598"/>
        <v>0.8204451193747313</v>
      </c>
      <c r="DZ281">
        <f t="shared" si="599"/>
        <v>1</v>
      </c>
      <c r="EA281">
        <f>IF(ISNUMBER(AP281),AP281,К_прокл)</f>
        <v>1</v>
      </c>
      <c r="EB281">
        <f t="shared" si="600"/>
        <v>2</v>
      </c>
      <c r="EC281">
        <f>IFERROR(N(VLOOKUP(BZ281,Кабель_обозначение,3,FALSE)),1)</f>
        <v>1</v>
      </c>
      <c r="ED281">
        <f>IFERROR(N(_xlfn.XLOOKUP(A281,Щиты[Щит],Щиты[ΔU до шин, %])),0)</f>
        <v>1.19</v>
      </c>
      <c r="EE281" t="str">
        <f>IFERROR(_xlfn.XLOOKUP(A281,Щиты[Щит],Щиты[Zпетли на шинах, Ом]),"")</f>
        <v/>
      </c>
      <c r="EF281">
        <f>IFERROR(N(_xlfn.XLOOKUP(A281,Щиты[Щит],Щиты[ΔU до шин (подбор), %])),0)</f>
        <v>1.19</v>
      </c>
      <c r="EG281" t="str">
        <f>IFERROR(_xlfn.XLOOKUP(A281,Щиты[Щит],Щиты[Zпетли на шинах (подбор), Ом]),"")</f>
        <v/>
      </c>
      <c r="EH281" t="str">
        <f t="shared" si="601"/>
        <v/>
      </c>
      <c r="EI281">
        <f t="shared" si="602"/>
        <v>63</v>
      </c>
      <c r="EJ281">
        <f t="shared" si="603"/>
        <v>2</v>
      </c>
      <c r="EK281">
        <f t="shared" si="604"/>
        <v>0.31</v>
      </c>
      <c r="EL281" s="6">
        <f>IF(B281="","",IF(BV281=1,dU_LED,IF(IFERROR(_xlfn.XLOOKUP(BC281,Коды_код,Коды_уго),"")="Светильник",3,4)+IF(Методика="нормы 2026",MIN(0.5,MAX(0,N(P281)-100)*0.005),0)))</f>
        <v>4</v>
      </c>
      <c r="EM281" cm="1">
        <f t="array" ref="EM281">IF(OR(B281="",BZ281="",EC281&lt;&gt;1),"",_xlfn.LET(_xlpm.sz,Iдоп_S,_xlpm.t_,CHOOSE(EB281,Iдоп_1ж,Iдоп_2ж,Iдоп_3ж)*DZ281*EA281,_xlpm.dcx,BV281=1,_xlpm.inn,IF(_xlpm.dcx,N(O281),N(DT281)),_xlpm.smin,MAX(1.5,CC281),_xlpm.L_,N(P281)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281)/N(BU281)*100,999),IFERROR(N(EJ281)*(_xlpm.rho*_xlpm.L_/_xlpm.sz*N(CE281)+_xlpm.xx*_xlpm.L_*N(EK281)/1000)*N(O281)/((Uн_лин/SQRT(3))*1000)*100,999)),_xlpm.kz,IF(OR(_xlpm.dcx,DW281=1,NOT(ISNUMBER(EG281)),_xlpm.L_=0,_xlpm.inn=0),1,IFERROR(--(c_min*(Uн_лин*1000/SQRT(3))/(EG281+2*ρкз_Cu*_xlpm.L_/_xlpm.sz)&gt;=HT281*_xlpm.inn),0)),_xlpm.ok,IFERROR((_xlpm.sz&gt;=_xlpm.smin)*(_xlpm.t_&gt;=_xlpm.inn)*IF(_xlpm.L_&gt;0,(_xlpm.du_+IF(_xlpm.dcx,0,EF281)&lt;=EL281+0.00001),1)*_xlpm.kz,0),_xlpm.r_,_xlfn._xlws.FILTER(_xlpm.sz,_xlpm.ok,"не подобрано"),INDEX(_xlpm.r_,1)))</f>
        <v>1.5</v>
      </c>
      <c r="EN281">
        <f t="shared" si="605"/>
        <v>2.5</v>
      </c>
      <c r="EO281" cm="1">
        <f t="array" ref="EO281">IF(OR(B281="",BZ281="",EC281&lt;&gt;1),"",_xlfn.LET(_xlpm.sz,Iдоп_S,_xlpm.t_,CHOOSE(EB281,Iдоп_1ж,Iдоп_2ж,Iдоп_3ж)*DZ281*EA281,_xlpm.ok,IFERROR((_xlpm.sz&gt;=MAX(1.5,CC281))*(_xlpm.t_&gt;=N(DT281)),0),_xlpm.r_,_xlfn._xlws.FILTER(_xlpm.sz,_xlpm.ok,""),INDEX(_xlpm.r_,1)))</f>
        <v>1.5</v>
      </c>
      <c r="EP281" s="6" cm="1">
        <f t="array" ref="EP281">IFERROR(ROUNDUP(N(EJ281)*(_xlfn.XLOOKUP(EO281,INDEX(Кабель_сопротивление,0,1),INDEX(Кабель_сопротивление,0,3))*N(P281)/EO281*N(CE281)+_xlfn.XLOOKUP(EO281,INDEX(Кабель_сопротивление,0,1),INDEX(Кабель_сопротивление,0,2))*N(P281)*N(EK281)/1000)*N(O281)/((Uн_лин/SQRT(3))*1000)*100,2),"")</f>
        <v>0.67</v>
      </c>
      <c r="EQ281">
        <f>IFERROR(2*ρкз_Cu*N(P281)/EO281,"")</f>
        <v>2.3144</v>
      </c>
      <c r="ER281">
        <f>IFERROR(VLOOKUP(EN281,Кабель_сопротивление,3,FALSE),"")</f>
        <v>2.2499999999999999E-2</v>
      </c>
      <c r="ES281">
        <f>IFERROR(VLOOKUP(EN281,Кабель_сопротивление,2,FALSE),"")</f>
        <v>0.1</v>
      </c>
      <c r="ET281">
        <f t="shared" si="606"/>
        <v>46</v>
      </c>
      <c r="EU281">
        <f t="shared" si="607"/>
        <v>0</v>
      </c>
      <c r="EV281">
        <f t="shared" si="608"/>
        <v>0.92931162315480298</v>
      </c>
      <c r="EW281" s="6">
        <f>IFERROR(ROUNDUP(EV281/IF(BV281=1,BU281,(Uн_лин/SQRT(3))*1000)*100,2),"")</f>
        <v>0.41000000000000003</v>
      </c>
      <c r="EX281" t="str">
        <f>IFERROR(VLOOKUP(BZ281,Кабель_обозначение,2,FALSE),"")</f>
        <v>ВВГнг(А)-LS</v>
      </c>
      <c r="EY281" t="str">
        <f t="shared" si="609"/>
        <v>ВВГнг(А)-LS (3х2,5)</v>
      </c>
      <c r="EZ281" t="str">
        <f t="shared" si="610"/>
        <v>ВВГнг(А)-LS (3х2,5)
L=66-0,41%</v>
      </c>
      <c r="FA281">
        <f>IFERROR(2*ρкз_Cu*P281/EN281,"")</f>
        <v>1.3886400000000001</v>
      </c>
      <c r="FB281">
        <f t="shared" si="611"/>
        <v>0.46200000000000002</v>
      </c>
      <c r="FC281" s="6" t="str">
        <f>IFERROR(IF(OR(B281="",BV281=1,NOT(ISNUMBER(EN281)),N(P281)=0),"",_xlfn.XLOOKUP(A281,Щиты[Щит],Щиты[Zпетли на шинах, Ом])+FA281),"")</f>
        <v/>
      </c>
      <c r="FD281" s="6" t="str">
        <f>IF(ISNUMBER(FC281),c_min*(Uн_лин*1000/SQRT(3))/FC281,"")</f>
        <v/>
      </c>
      <c r="FE281" s="6" t="str">
        <f>IFERROR(IF(OR(B281="",NOT(ISNUMBER(EN281))),"",1.05*(Uн_лин*1000/SQRT(3))/(_xlfn.XLOOKUP(A281,Щиты[Щит],Щиты[Zmax на шинах, Ом])+FB281)/1000),"")</f>
        <v/>
      </c>
      <c r="FF281" s="6" t="str">
        <f>IF(B281="","",IF(ISNUMBER(AC281),"Сил",IF(IFERROR(_xlfn.XLOOKUP(BC281,Коды_код,Коды_группа)&amp;"","")="","Быт",_xlfn.XLOOKUP(BC281,Коды_код,Коды_группа)&amp;"")))</f>
        <v>Быт</v>
      </c>
      <c r="FG281" s="6" t="str">
        <f t="shared" si="612"/>
        <v>Быт</v>
      </c>
      <c r="FH281" s="6">
        <f>IF(FG281="Щит","щит",IF(FG281="","",IF(FG281="Быт",IFERROR(_xlfn.XLOOKUP(A281,Щиты[Щит],Щиты[Кс быт]),1),IF(FG281="Сил",IF(ISNUMBER(AC281),AC281,IF(Методика="нормы 2026",IFERROR(_xlfn.XLOOKUP(A281,Щиты[Щит],Щиты[Кс силовых (табл. 7.5)]),1),1)),IF(OR(FG281="Пост",FG281="Отоп"),1,IF(FG281="ВНГ",0.7,0))))))</f>
        <v>0.57830000000000004</v>
      </c>
      <c r="FI281">
        <f>IF(FG281="","",IF(AND(BP281=1,TRIM(AE281&amp;"")=""),IF(COUNTIFS(Линии[Щит],A281,Линии[Секция (1/2/3)],"&gt;=2")&gt;0,MIN(3,MAX(1,IFERROR(--BD281,1))),1),IFERROR(MIN(3,MAX(1,INT(--AE281))),1)))</f>
        <v>1</v>
      </c>
      <c r="FJ281">
        <f t="shared" si="613"/>
        <v>0.18</v>
      </c>
      <c r="FK281">
        <f t="shared" si="614"/>
        <v>0.18</v>
      </c>
      <c r="FL281">
        <f t="shared" si="615"/>
        <v>0</v>
      </c>
      <c r="FM281">
        <f t="shared" si="616"/>
        <v>0</v>
      </c>
      <c r="FN281">
        <f t="shared" si="617"/>
        <v>0</v>
      </c>
      <c r="FO281">
        <f t="shared" si="618"/>
        <v>0</v>
      </c>
      <c r="FP281">
        <f t="shared" si="619"/>
        <v>0.18</v>
      </c>
      <c r="FQ281">
        <f t="shared" si="620"/>
        <v>0.18</v>
      </c>
      <c r="FR281">
        <f t="shared" si="621"/>
        <v>0.17099999999999999</v>
      </c>
      <c r="FS281">
        <f>IF(CG281=1,IF(AND(CH281=1,CW281=1),0,IF(AND(CS281&lt;&gt;"",CS281=BA281,CW281=1),SUMIFS(Линии[_Р линии, кВт],Линии[_блок УЗО],BA281,Линии[Щит],A281),N(BS281)+IF(AJ281="вручную",0,N(CK281)))),0)</f>
        <v>0.18</v>
      </c>
      <c r="FT281" t="str">
        <f t="shared" si="622"/>
        <v/>
      </c>
      <c r="FU281" t="str">
        <f>IF(B281="","",IF(CG281=0,IF(BA281=1,"",FW280),IF(AND(CH281=1,CW281=1,CS281&lt;&gt;""),IFERROR(_xlfn.XLOOKUP(CS281,Линии[_n],Линии[_фаза итог]),"L1"),IF(OR(N(DL281)&gt;=3,N(BX281)&gt;=3),"L1,L2,L3",IFERROR(_xlfn.TEXTBEFORE(_xlfn.TEXTAFTER(_xlfn.XLOOKUP(A281,Щиты[Щит],Щиты[_фазы авто]),";"&amp;BA281&amp;":"),";"),"L1")))))</f>
        <v>L3</v>
      </c>
      <c r="FV281" t="str">
        <f t="shared" si="623"/>
        <v>L3</v>
      </c>
      <c r="FW281" t="str">
        <f t="shared" si="624"/>
        <v>L3</v>
      </c>
      <c r="FX281" cm="1">
        <f t="array" ref="FX281">IFERROR(IF(CD281=2,_xlfn.IFS(BX281=3,VLOOKUP(BS281,Справочная_двигатели,3,FALSE),BX281=1,VLOOKUP(BS281,Справочная_двигатели,5,TRUE)),0),0)</f>
        <v>0</v>
      </c>
      <c r="FY281">
        <f>IFERROR(IF(CD281=3,VLOOKUP(BS281,Справочная_ЛЭД,2,TRUE),0),0)</f>
        <v>0</v>
      </c>
      <c r="FZ281" s="6">
        <f t="shared" si="625"/>
        <v>0</v>
      </c>
      <c r="GA281" t="str">
        <f>IF(B281="","",IF(TRIM(AH281&amp;"")&lt;&gt;"",IF(LOWER(TRIM(AH281&amp;""))="да","да","нет"),IF(IFERROR(_xlfn.XLOOKUP(BC281,Коды_код,Коды_пожарная),"")="да","да","нет")))</f>
        <v>нет</v>
      </c>
      <c r="GB281" t="str">
        <f t="shared" si="626"/>
        <v/>
      </c>
      <c r="GC281" t="str">
        <f t="shared" si="627"/>
        <v>основная</v>
      </c>
      <c r="GD281">
        <f>IF(AND(BP281=1,TRIM(AE281&amp;"")=""),IF(COUNTIFS(Линии[Щит],A281,Линии[Секция (1/2/3)],"&gt;=2")&gt;0,MIN(3,MAX(1,IFERROR(--BD281,1))),1),IFERROR(MIN(3,MAX(1,INT(--AE281))),1))</f>
        <v>1</v>
      </c>
      <c r="GE281" t="str" cm="1">
        <f t="array" ref="GE281">IF(B281="","",_xlfn.LET(_xlpm.t,IFERROR(_xlfn.XLOOKUP(1,(Шины[Шина]=GC281)*(((Шины[Щит]=A281)+(Шины[Щит]=""))&gt;0),Шины[Тип]),"")&amp;"",IF(_xlpm.t&lt;&gt;"",_xlpm.t,IF(ISNUMBER(SEARCH("ИБП",GC281)),"ИБП",IF(ISNUMBER(SEARCH("ДГУ",GC281)),"ДГУ","Ввод "&amp;GD281)))))</f>
        <v>Ввод 1</v>
      </c>
      <c r="GF281" t="str">
        <f t="shared" si="628"/>
        <v>Ввод 1</v>
      </c>
      <c r="GG281" t="str">
        <f>IF(BP281=0,"",IF(TRIM(AG281&amp;"")&lt;&gt;"",TRIM(AG281&amp;""),IF(OR(GE281="ИБП",GE281="ДГУ"),"I особая",_xlfn.XLOOKUP(A281,Щиты[Щит],Щиты[Категория шины «Ввод»],"III"))))</f>
        <v/>
      </c>
      <c r="GH281" t="str">
        <f>IF(A281="","",_xlfn.XLOOKUP(A281,Щиты[Щит],Щиты[Путь],""))</f>
        <v>|ГРЩ-ЖД|ЩР-1|</v>
      </c>
      <c r="GI281" t="str">
        <f>IF(B281="","",IF(AI281&lt;&gt;"",AI281,IF(IFERROR(_xlfn.XLOOKUP(BC281,Коды_код,Коды_вид)&amp;"","")="","Прочее",_xlfn.XLOOKUP(BC281,Коды_код,Коды_вид)&amp;"")))</f>
        <v>Розеточная сеть и бытовые приборы</v>
      </c>
      <c r="GJ281">
        <f>IF(BM281="","",INT((BM281-1)/Столбцов_на_лист)+1)</f>
        <v>5</v>
      </c>
      <c r="GK281" t="str">
        <f t="shared" si="629"/>
        <v>ВВГнг(А)-LS (3х2,5) L=66-0,41%</v>
      </c>
      <c r="GL281">
        <f t="shared" si="630"/>
        <v>0.18</v>
      </c>
      <c r="GM281">
        <f t="shared" si="631"/>
        <v>0.83</v>
      </c>
      <c r="GN281">
        <f t="shared" si="632"/>
        <v>1</v>
      </c>
      <c r="GO281">
        <f t="shared" si="633"/>
        <v>0</v>
      </c>
      <c r="GP281">
        <f t="shared" si="634"/>
        <v>1</v>
      </c>
      <c r="GQ281">
        <f>IF(BM281="","",IF(AND(CG281=1,GP281=1),COUNTIFS(A$3:A281,A281,CG$3:CG281,1,GP$3:GP281,1),IF(OR(OR(BA281=1,A281&lt;&gt;A280),AJ281="вручную",GP281=0),"",IF(BA281=1,"",GR280))))</f>
        <v>57</v>
      </c>
      <c r="GR281">
        <f t="shared" si="635"/>
        <v>57</v>
      </c>
      <c r="GS281">
        <f>IF(B281="","",IFERROR(LOOKUP(INDEX(CHOOSE(EB281,Iдоп_1ж,Iдоп_2ж,Iдоп_3ж),MATCH(EN281,Iдоп_S,0))*DZ281*EA281,{6,10,16,20,25,32,40,50,63,80,100,125,160,200,250,315,400,500,630}),""))</f>
        <v>25</v>
      </c>
      <c r="GT281" t="str">
        <f t="shared" si="636"/>
        <v>QFD57</v>
      </c>
      <c r="GU281" t="str">
        <f t="shared" si="637"/>
        <v>QFD57</v>
      </c>
      <c r="GV281" t="str">
        <f t="shared" si="638"/>
        <v/>
      </c>
      <c r="GW281">
        <f t="shared" si="639"/>
        <v>0</v>
      </c>
      <c r="GX281" t="str">
        <f>IF(OR(B281="",DJ281=""),"",IFERROR(_xlfn.XLOOKUP(DJ281,Модули_умолч[Управление],Модули_умолч[Модель])&amp;"",""))</f>
        <v/>
      </c>
      <c r="GY281">
        <f>IF(DJ281="",1,IFERROR(MAX(0,N(_xlfn.XLOOKUP(DJ281,Модули_умолч[Управление],Модули_умолч[Каналов на линию]))),1))</f>
        <v>1</v>
      </c>
      <c r="GZ281" t="str">
        <f t="shared" si="640"/>
        <v/>
      </c>
      <c r="HA281" t="str">
        <f t="shared" si="641"/>
        <v/>
      </c>
      <c r="HB281" t="str">
        <f t="shared" si="642"/>
        <v/>
      </c>
      <c r="HC281">
        <f>IF(HB281="",0,IFERROR(N(VLOOKUP(HB281,Модули_спр,3,FALSE)),0))</f>
        <v>0</v>
      </c>
      <c r="HD281" t="str">
        <f t="shared" si="643"/>
        <v/>
      </c>
      <c r="HE281" t="str">
        <f t="shared" si="644"/>
        <v/>
      </c>
      <c r="HF281" t="str">
        <f>IF(OR(HE281="",HE281="-"),"",IFERROR(VLOOKUP(HE281,Модули_спр,2,FALSE),"R"))</f>
        <v/>
      </c>
      <c r="HG281" t="str">
        <f>IF(HF281="","",HF281&amp;"."&amp;COUNTIFS(A$3:A281,A281,HF$3:HF281,HF281))</f>
        <v/>
      </c>
      <c r="HH281" t="str">
        <f t="shared" si="645"/>
        <v/>
      </c>
      <c r="HI281" t="str">
        <f t="shared" si="646"/>
        <v/>
      </c>
      <c r="HJ281" t="str">
        <f t="shared" si="647"/>
        <v/>
      </c>
      <c r="HK281" t="str">
        <f t="shared" si="648"/>
        <v/>
      </c>
      <c r="HL281">
        <f t="shared" si="649"/>
        <v>1</v>
      </c>
      <c r="HM281" t="str">
        <f>IF(HL281=1,"XT"&amp;COUNTIFS(A$3:A281,A281,HL$3:HL281,1),"")</f>
        <v>XT57</v>
      </c>
      <c r="HN281" t="str">
        <f t="shared" si="650"/>
        <v>XT57</v>
      </c>
      <c r="HO281" t="str">
        <f t="shared" si="651"/>
        <v>QFD57</v>
      </c>
      <c r="HP281" t="str">
        <f t="shared" si="652"/>
        <v/>
      </c>
      <c r="HQ281" t="str">
        <f t="shared" si="653"/>
        <v>ok</v>
      </c>
      <c r="HR281" t="str">
        <f>IF(OR(HJ281="",HH281=""),"",IF(HJ281+MAX(0,GY281-1)&gt;IFERROR(VLOOKUP(HI281,Модули_спр,3,FALSE),99),"ЛИШНИЙ КАНАЛ",IF(AND(AL281&lt;&gt;"=",GY281&gt;0,COUNTIFS(Линии[_модуль гр.],HH281,Линии[Канал (итог)],HJ281,Линии[Канал],"&lt;&gt;=",Линии[Щит],A281)&gt;1),"ДУБЛЬ КАНАЛА","")))</f>
        <v/>
      </c>
      <c r="HS281" s="6" t="str">
        <f t="shared" si="654"/>
        <v/>
      </c>
      <c r="HT281">
        <f t="shared" si="655"/>
        <v>10</v>
      </c>
      <c r="HU281" t="str">
        <f t="shared" si="656"/>
        <v/>
      </c>
      <c r="HV281">
        <f t="shared" si="657"/>
        <v>0.9881780477498926</v>
      </c>
      <c r="HW281">
        <f t="shared" si="658"/>
        <v>0</v>
      </c>
      <c r="HX281">
        <f t="shared" si="659"/>
        <v>0</v>
      </c>
      <c r="HY281">
        <f t="shared" si="660"/>
        <v>0</v>
      </c>
      <c r="HZ281">
        <f t="shared" si="661"/>
        <v>0</v>
      </c>
      <c r="IA281">
        <f t="shared" si="662"/>
        <v>0</v>
      </c>
      <c r="IB281">
        <f t="shared" si="663"/>
        <v>0</v>
      </c>
      <c r="IC281" t="str">
        <f t="shared" si="664"/>
        <v/>
      </c>
      <c r="ID281" t="str" cm="1">
        <f t="array" ref="ID281">IF(IC281="","",_xlfn.LET(_xlpm.tk,_xlfn.TEXTSPLIT(SUBSTITUTE(SUBSTITUTE(IC281,";"," "),"→"," ")," ",,TRUE),_xlpm.w_,_xlfn._xlws.FILTER(_xlpm.tk,ISNUMBER(--LEFT(_xlpm.tk,1))*((ISNUMBER(SEARCH("W",_xlpm.tk))+ISNUMBER(SEARCH("Вт",_xlpm.tk)))&gt;0),""),IFERROR(--SUBSTITUTE(SUBSTITUTE(UPPER(INDEX(_xlpm.w_,1)),"W",""),"ВТ",""),"")))</f>
        <v/>
      </c>
      <c r="IE281" t="str" cm="1">
        <f t="array" ref="IE281">IF(IC281="","",_xlfn.LET(_xlpm.tk,_xlfn.TEXTSPLIT(SUBSTITUTE(SUBSTITUTE(IC281,";"," "),"→"," ")," ",,TRUE),_xlpm.v_,_xlfn._xlws.FILTER(_xlpm.tk,ISNUMBER(--LEFT(_xlpm.tk,1))*((ISNUMBER(SEARCH("V",_xlpm.tk))+(RIGHT(UPPER(_xlpm.tk))="В"))&gt;0),""),IFERROR(--SUBSTITUTE(SUBSTITUTE(UPPER(INDEX(_xlpm.v_,1)),"V",""),"В",""),"")))</f>
        <v/>
      </c>
      <c r="IF281" s="6" t="str">
        <f>IF(OR(BV281=0,HI281="",HJ281=""),"",IFERROR(N(_xlfn.XLOOKUP(HI281,Каталог!$C$4:$C$500,Каталог!$Q$4:$Q$500)),""))</f>
        <v/>
      </c>
      <c r="IG281" s="6" t="str">
        <f>IF(N(IF281)=0,"",SUMIFS(Линии[Iр, А],Линии[Щит],A281,Линии[_модуль гр.],HH281,Линии[Канал (итог)],HJ281))</f>
        <v/>
      </c>
      <c r="IH281" t="str">
        <f>IF(AND(B281="",HO281=""),"",_xlfn.TEXTJOIN("; ",TRUE,IF(AND(B281&lt;&gt;"",FV281=""),"нет фазы",""),IF(AND(B281&lt;&gt;"",N(GL281)=0,FG281&lt;&gt;"Нет"),"нет мощности",""),IF(AND(HN281&lt;&gt;"",COUNTIFS(Линии[Щит],A281,Линии[Клемма (итог)],HN281)&gt;1),"дубль клеммы "&amp;HN281,""),IF(AND(HQ281&lt;&gt;"",HQ281&lt;&gt;"ok"),HQ281,""),IF(HR281&lt;&gt;"",HR281,""),IF(AND(N(CB281)&gt;=4,N(BX281)=1),CB281&amp;" жил на 1 фазе",""),IF(AND(BC281="R",CG281=1,IF(CS281&lt;&gt;"",N(CV281)&gt;30,OR(N(DA281)=0,N(DA281)&gt;30))),"розетка без дифзащиты до 30 мА",""),IF(AND(CG281=1,N(DA281)&gt;0,ISNUMBER(T281)),IF(T281&gt;N(DA281)/3,"ток утечки "&amp;FIXED(T281,1)&amp;" мА &gt; 1/3 уставки ("&amp;DA281&amp;" мА)",""),""),IF(AND(CH281=1,CS281=""),"«узо»: нет строки с УЗО выше (УЗО 2P 40А 30мА в «Аппаратах»)",""),IF(AND(CS281&lt;&gt;"",CS281=BA281),IF(CT281="","впишите номинал УЗО (УЗО 2P 40А 30мА)",IF(N(CT281)&lt;N(DT281),"УЗО "&amp;CT281&amp;" А &lt; автомата "&amp;DT281&amp;" А перед ним",IF(N(CT281)&lt;N(CX281),"УЗО "&amp;CT281&amp;" А &lt; тока блока "&amp;FIXED(CX281,1)&amp;" А",""))),""),IF(AND(CS281&lt;&gt;"",CS281=BA281,ISNUMBER(CY281)),IF(CY281&gt;N(CV281)/3,"ток утечки блока УЗО "&amp;FIXED(CY281,1)&amp;" мА &gt; 1/3 уставки ("&amp;CV281&amp;" мА)",""),""),IF(AND(CG281=1,N(BV281)+N(IB281)&gt;0,IC281=""),"линии до 50 В без БП: впишите в «Аппараты» (БП 24V 480W)",""),IF(AND(CG281=1,ISNUMBER(ID281),ISNUMBER(U281)),IF(U281&gt;ID281,"БП "&amp;ID281&amp;" Вт &lt; нужно "&amp;U281&amp;" Вт (×"&amp;Запас_БП&amp;")",""),""),IF(AND(CG281=1,ISNUMBER(IE281),N(BV281)=1),IF(IE281&lt;&gt;N(BU281),"БП на "&amp;IE281&amp;" В, линия "&amp;BU281&amp;" В",""),""),IF(AND(N(IF281)&gt;0,N(IG281)&gt;N(IF281)),HH281&amp;" канал "&amp;HJ281&amp;": "&amp;FIXED(IG281,1)&amp;" А &gt; "&amp;IF281&amp;" А",""),IFERROR(IF(AND(ISNUMBER(Q281),Q281&gt;EL281),"потери "&amp;FIXED(Q281,1)&amp;" % &gt; "&amp;EL281&amp;" %",""),""),IFERROR(IF(LEFT(HU281,4)="мало","Iкз мало — отключение &gt; 0,4 с",""),""),IF(AND(B281&lt;&gt;"",BM281=""),"не на схеме",""),IF(AND(CG281=0,B281&lt;&gt;"",FV281&lt;&gt;"",IF(BA281=1,"",FW280)&lt;&gt;"",FV281&lt;&gt;IF(BA281=1,"",FW280)),"фаза не как у автомата группы ("&amp;IF(BA281=1,"",FW280)&amp;")","")))</f>
        <v/>
      </c>
      <c r="II281" s="6">
        <f>IF(OR(CG281=0,DQ281=""),"",_xlfn.LET(_xlpm.t,IFERROR(_xlfn.XLOOKUP(DQ281,Каталог!$U$4:$U$500,Каталог!$G$4:$G$500),""),_xlpm.k,SEARCH("кА",_xlpm.t),IFERROR(--TRIM(RIGHT(SUBSTITUTE(MID(_xlpm.t,MAX(1,_xlpm.k-4),_xlpm.k-MAX(1,_xlpm.k-4))," ",REPT(" ",9)),5)),"")))</f>
        <v>6</v>
      </c>
      <c r="IJ281" t="str">
        <f>IF(OR(II281="",CG281=0),"",IF(_xlfn.XLOOKUP(A281,Щиты[Щит],Щиты[Iкз max на шинах, кА],"")="","",IF(II281&lt;_xlfn.XLOOKUP(A281,Щиты[Щит],Щиты[Iкз max на шинах, кА]),"Icu "&amp;II281&amp;" кА &lt; Iкз max","ok")))</f>
        <v/>
      </c>
      <c r="IK281" t="str">
        <f t="shared" si="665"/>
        <v/>
      </c>
      <c r="IL281" t="str">
        <f t="shared" si="666"/>
        <v>QFD57|XT57</v>
      </c>
      <c r="IM281" t="str">
        <f t="shared" si="667"/>
        <v>QFD57|XT57|кабель ВВГнг(А)-LS (3х2,5) → Розеточная группа, пом. 022A</v>
      </c>
      <c r="IN281" t="str" cm="1">
        <f t="array" ref="IN281">IF(IM281="","",_xlfn.LET(_xlpm.nd,_xlfn.TEXTSPLIT(IM281,"|"),IF(COLUMNS(_xlpm.nd)&gt;1,A281&amp;"¦"&amp;INDEX(_xlpm.nd,1)&amp;"¦"&amp;INDEX(_xlpm.nd,2),"")))</f>
        <v>ЩР-1¦QFD57¦XT57</v>
      </c>
      <c r="IO281" t="str">
        <f t="shared" si="668"/>
        <v>R.1.022A.1¦Розеточная группа, пом. 022A</v>
      </c>
      <c r="IP281" t="str" cm="1">
        <f t="array" ref="IP281">IF(IM281="","",_xlfn.LET(_xlpm.nd,_xlfn.TEXTSPLIT(IM281,"|"),IF(COLUMNS(_xlpm.nd)&gt;2,A281&amp;"¦"&amp;INDEX(_xlpm.nd,2)&amp;"¦"&amp;INDEX(_xlpm.nd,3),"")))</f>
        <v>ЩР-1¦XT57¦кабель ВВГнг(А)-LS (3х2,5) → Розеточная группа, пом. 022A</v>
      </c>
      <c r="IQ281" t="str">
        <f t="shared" si="669"/>
        <v>R.1.022A.1¦Розеточная группа, пом. 022A</v>
      </c>
      <c r="IR281" t="str" cm="1">
        <f t="array" ref="IR281">IF(IM281="","",_xlfn.LET(_xlpm.nd,_xlfn.TEXTSPLIT(IM281,"|"),IF(COLUMNS(_xlpm.nd)&gt;3,A281&amp;"¦"&amp;INDEX(_xlpm.nd,3)&amp;"¦"&amp;INDEX(_xlpm.nd,4),"")))</f>
        <v/>
      </c>
      <c r="IS281" t="str">
        <f t="shared" si="670"/>
        <v/>
      </c>
      <c r="IT281" t="str" cm="1">
        <f t="array" ref="IT281">IF(IM281="","",_xlfn.LET(_xlpm.nd,_xlfn.TEXTSPLIT(IM281,"|"),IF(COLUMNS(_xlpm.nd)&gt;4,A281&amp;"¦"&amp;INDEX(_xlpm.nd,4)&amp;"¦"&amp;INDEX(_xlpm.nd,5),"")))</f>
        <v/>
      </c>
      <c r="IU281" t="str">
        <f t="shared" si="671"/>
        <v/>
      </c>
      <c r="IV281" t="str" cm="1">
        <f t="array" ref="IV281">IF(IM281="","",_xlfn.LET(_xlpm.nd,_xlfn.TEXTSPLIT(IM281,"|"),IF(COLUMNS(_xlpm.nd)&gt;5,A281&amp;"¦"&amp;INDEX(_xlpm.nd,5)&amp;"¦"&amp;INDEX(_xlpm.nd,6),"")))</f>
        <v/>
      </c>
      <c r="IW281" t="str">
        <f t="shared" si="672"/>
        <v/>
      </c>
      <c r="IX281" t="str" cm="1">
        <f t="array" ref="IX281">IF(IM281="","",_xlfn.LET(_xlpm.nd,_xlfn.TEXTSPLIT(IM281,"|"),IF(COLUMNS(_xlpm.nd)&gt;6,A281&amp;"¦"&amp;INDEX(_xlpm.nd,6)&amp;"¦"&amp;INDEX(_xlpm.nd,7),"")))</f>
        <v/>
      </c>
      <c r="IY281" t="str">
        <f t="shared" si="673"/>
        <v/>
      </c>
      <c r="IZ281" t="str">
        <f t="shared" si="674"/>
        <v/>
      </c>
      <c r="JA281" t="str">
        <f t="shared" si="675"/>
        <v>QFD57 → XT57</v>
      </c>
      <c r="JB281">
        <f t="shared" si="676"/>
        <v>0</v>
      </c>
      <c r="JC281">
        <f t="shared" si="677"/>
        <v>1</v>
      </c>
      <c r="JD281" t="str">
        <f t="shared" si="678"/>
        <v/>
      </c>
      <c r="JE281" t="str">
        <f t="shared" si="679"/>
        <v/>
      </c>
      <c r="JF281" t="str">
        <f t="shared" si="680"/>
        <v/>
      </c>
      <c r="JG281" t="str">
        <f t="shared" si="681"/>
        <v/>
      </c>
      <c r="JH281" t="str">
        <f>IF(B281="","",IFERROR(_xlfn.XLOOKUP(B281,Коды_код,Коды_уго),IFERROR(_xlfn.XLOOKUP(BC281,Коды_код,Коды_уго),IFERROR(_xlfn.XLOOKUP(LEFT(BC281,2),Коды_код,Коды_уго),""))))</f>
        <v>Розетка</v>
      </c>
      <c r="JI281" t="str">
        <f>IF(B281="","",IF(OR(JH281="",JH281=0),"BOX",IFERROR(IF(VLOOKUP(JH281,УГО_блоки,3,FALSE)&amp;""&lt;&gt;"",VLOOKUP(JH281,УГО_блоки,3,FALSE),VLOOKUP(JH281,УГО_блоки,2,FALSE)),JH281)))</f>
        <v>SOCKET</v>
      </c>
      <c r="JJ281">
        <f t="shared" si="682"/>
        <v>1</v>
      </c>
      <c r="JK281" t="str">
        <f>IF(DQ281="","",IF(COUNTIF(DQ$3:DQ281,DQ281)=1,MAX(JK$2:JK280)+1,""))</f>
        <v/>
      </c>
      <c r="JL281" t="str">
        <f>IF(DE281="","",IF(COUNTIF(DE$3:DE281,DE281)+COUNTIF(DF$2:DF280,DE281)+COUNTIF(DG$2:DG280,DE281)=1,MAX(JL$2:JN280)+1,""))</f>
        <v/>
      </c>
      <c r="JM281" t="str">
        <f>IF(DF281="","",IF(COUNTIF(DE$3:DE281,DF281)+COUNTIF(DF$3:DF281,DF281)+COUNTIF(DG$2:DG280,DF281)=1,MAX(JL$2:JN280,JL281)+1,""))</f>
        <v/>
      </c>
      <c r="JN281" t="str">
        <f>IF(DG281="","",IF(COUNTIF(DE$3:DE281,DG281)+COUNTIF(DF$3:DF281,DG281)+COUNTIF(DG$3:DG281,DG281)=1,MAX(JL$2:JN280,JL281,JM281)+1,""))</f>
        <v/>
      </c>
      <c r="JO281" t="str">
        <f t="shared" si="683"/>
        <v>3х2,5</v>
      </c>
      <c r="JP281" t="str">
        <f>IF(JO281="","",IF(COUNTIF(JO$3:JO281,JO281)=1,MAX(JP$2:JP280)+1,""))</f>
        <v/>
      </c>
      <c r="JQ281" t="str">
        <f>IF(HG281="","",COUNTIF(HG$3:HG281,"?*"))</f>
        <v/>
      </c>
      <c r="JR281" t="str">
        <f>IF(OR(HG281="",HI281=""),"",IF(COUNTIFS(HG$3:HG281,"?*",HI$3:HI281,HI281)=1,MAX(JR$2:JR280)+1,""))</f>
        <v/>
      </c>
      <c r="JS281">
        <f t="shared" si="684"/>
        <v>0</v>
      </c>
      <c r="JT281">
        <f>IF(B281="","",COUNTIF(B$3:B281,"?*"))</f>
        <v>279</v>
      </c>
      <c r="JU281">
        <f>IF(HL281&lt;&gt;1,0,_xlfn.LET(_xlpm.k,MAX(IFERROR(--_xlfn.XLOOKUP(B281,Коды_код,Коды_3L),0),IFERROR(--_xlfn.XLOOKUP(BC281,Коды_код,Коды_3L),0),IFERROR(--_xlfn.XLOOKUP(LEFT(BC281,2),Коды_код,Коды_3L),0)),IF(_xlpm.k&gt;0,_xlpm.k,IF(IFERROR(--LEFT(SUBSTITUTE(JO281,"x","х"),FIND("х",SUBSTITUTE(JO281,"x","х"))-1),3)&gt;3,Каталог!$S$9,1))))</f>
        <v>1</v>
      </c>
      <c r="JV281">
        <f t="shared" si="685"/>
        <v>0</v>
      </c>
      <c r="JW281" t="str">
        <f t="shared" si="686"/>
        <v>авто</v>
      </c>
      <c r="JX281">
        <f t="shared" si="687"/>
        <v>30</v>
      </c>
      <c r="JY281">
        <f t="shared" si="688"/>
        <v>1</v>
      </c>
      <c r="JZ281">
        <f t="shared" si="689"/>
        <v>1</v>
      </c>
    </row>
    <row r="282" spans="1:286" x14ac:dyDescent="0.3">
      <c r="A282" t="s">
        <v>757</v>
      </c>
      <c r="B282" t="s">
        <v>1588</v>
      </c>
      <c r="C282" t="s">
        <v>1723</v>
      </c>
      <c r="D282">
        <v>1</v>
      </c>
      <c r="E282">
        <v>0.5</v>
      </c>
      <c r="G282" t="str">
        <f>Линии[[#This Row],[_авто автомат]]</f>
        <v>1P С6А</v>
      </c>
      <c r="H282" t="str">
        <f>Линии[[#This Row],[_авто управление]]</f>
        <v/>
      </c>
      <c r="I282" t="str">
        <f>Линии[[#This Row],[_авто аппараты]]</f>
        <v/>
      </c>
      <c r="J282">
        <v>2.5</v>
      </c>
      <c r="K282">
        <v>8</v>
      </c>
      <c r="L282" t="str">
        <f>Линии[[#This Row],[_авто фаза]]</f>
        <v>L3</v>
      </c>
      <c r="M282" t="str">
        <f>Линии[[#This Row],[_авто клемма]]</f>
        <v>XT58</v>
      </c>
      <c r="N282" t="str">
        <f t="shared" si="552"/>
        <v/>
      </c>
      <c r="O282" s="6" cm="1">
        <f t="array" ref="O282">IF(B282="","",IF(BH282&lt;&gt;"",IFERROR(_xlfn.XLOOKUP(BH282,Щиты[Щит],Щиты[Iр, А]),""),IF(BP282=1,IF(OR(N(_xlfn.XLOOKUP(A282,Щиты[Щит],Щиты[Вводов],1))&lt;=1,LOWER(TRIM(_xlfn.XLOOKUP(A282,Щиты[Щит],Щиты[АВР],"")&amp;""))="да"),IFERROR(_xlfn.XLOOKUP(A282,Щиты[Щит],Щиты[Iр, А]),""),IFERROR(N(BS282)*_xlfn.XLOOKUP(A282,Щиты[Щит],Щиты[Кс итог])/(SQRT(3)*Uн_лин*_xlfn.XLOOKUP(A282,Щиты[Щит],Щиты[cos φ])),"")),IF(BV282=1,IFERROR(BS282*1000/BU282,""),IFERROR(_xlfn.IFS(BX282=1,BS282/((Uн_лин/SQRT(3))*CE282),BX282=3,BS282/(SQRT(3)*Uн_лин*CE282)),"")))))</f>
        <v>2.2790142204853647</v>
      </c>
      <c r="P282" s="7">
        <f>IF(B282="","",IFERROR(IF(VLOOKUP(BC282,Потребители_обозначение,4,FALSE)=1,VLOOKUP(BC282,Потребители_обозначение,3,FALSE)*(MAX(1,N(D282))*2-1)+EI282+VLOOKUP(BE282,Этаж_обозначение,3,FALSE)+VLOOKUP(BE282,Этаж_обозначение,4,FALSE),VLOOKUP(BC282,Потребители_обозначение,3,FALSE)*(MAX(1,N(D282))*2-1)+EI282),EI282))</f>
        <v>11</v>
      </c>
      <c r="Q282" s="6">
        <f t="shared" si="553"/>
        <v>1.38</v>
      </c>
      <c r="R282" t="str">
        <f t="shared" si="554"/>
        <v>ВВГнг(А)-LS (3х2,5)</v>
      </c>
      <c r="S282" t="str">
        <f>IF(BM282="","",IF(BN282="вводной узел","узел ","")&amp;"л."&amp;(INT((BM282-1)/Столбцов_на_лист)+1)&amp;" / "&amp;(MOD(BM282-1,Столбцов_на_лист)+1))</f>
        <v>л.5 / 7</v>
      </c>
      <c r="T282" s="119">
        <f t="shared" si="555"/>
        <v>1</v>
      </c>
      <c r="U282" s="7" t="str">
        <f>IF(OR(CG282=0,N(BV282)+N(IB282)=0),"",ROUNDUP(Запас_БП*(N(HY282)+N(HZ282)),0))</f>
        <v/>
      </c>
      <c r="V282" s="119" t="str">
        <f t="shared" si="556"/>
        <v/>
      </c>
      <c r="W282" s="7" t="str">
        <f>IFERROR(IF(OR(B282="",BP282=1,BV282=1,NOT(ISNUMBER(EN282)),N(DT282)=0),"",MAX(0,ROUNDDOWN((c_min*(Uн_лин*1000/SQRT(3))/(HT282*N(DT282))-_xlfn.XLOOKUP(A282,Щиты[Щит],Щиты[Zпетли на шинах, Ом]))*EN282/(2*ρкз_Cu),0))),"")</f>
        <v/>
      </c>
      <c r="Y282" t="str">
        <f>Линии[[#This Row],[_авто утечка]]</f>
        <v/>
      </c>
      <c r="Z282">
        <v>1</v>
      </c>
      <c r="AA282">
        <v>230</v>
      </c>
      <c r="AB282" t="s">
        <v>573</v>
      </c>
      <c r="AG282" t="s">
        <v>810</v>
      </c>
      <c r="AI282" t="s">
        <v>577</v>
      </c>
      <c r="AK282" t="str">
        <f>Линии[[#This Row],[_авто модуль]]</f>
        <v/>
      </c>
      <c r="AM282">
        <v>75</v>
      </c>
      <c r="AN282" t="s">
        <v>11</v>
      </c>
      <c r="AO282">
        <v>3</v>
      </c>
      <c r="AR282">
        <v>8</v>
      </c>
      <c r="BA282" cm="1">
        <f t="array" ref="BA282">ROW()-ROW(Линии[#Headers])</f>
        <v>280</v>
      </c>
      <c r="BC282" s="6" t="str">
        <f t="shared" si="557"/>
        <v>ЩКД</v>
      </c>
      <c r="BD282" t="str">
        <f t="shared" si="558"/>
        <v>1</v>
      </c>
      <c r="BE282" t="str">
        <f t="shared" si="559"/>
        <v>1</v>
      </c>
      <c r="BF282" t="str">
        <f t="shared" si="560"/>
        <v/>
      </c>
      <c r="BG282" t="str">
        <f t="shared" si="561"/>
        <v/>
      </c>
      <c r="BH282" t="str">
        <f>IF(X282&lt;&gt;"",X282,IF(AND(B282&lt;&gt;"",B282&lt;&gt;A282,ISNUMBER(_xlfn.XMATCH(B282,Щиты[Щит]))),B282,""))</f>
        <v/>
      </c>
      <c r="BI282" t="str" cm="1">
        <f t="array" ref="BI282">IF(B282="","",IF(BH282&lt;&gt;"","Щит "&amp;BH282,_xlfn.LET(_xlpm.nm,IFERROR(_xlfn.XLOOKUP(BC282,Коды_код,Коды_имя)&amp;"",""),_xlpm.md,IFERROR(N(_xlfn.XLOOKUP(BC282,Коды_код,Коды_режим)),1),_xlpm.ex,IF(Имя_режим="по экспликации",IFERROR(_xlfn.XLOOKUP(BE282&amp;"|"&amp;BG282,Экспликация[Этаж]&amp;"|"&amp;Экспликация[Помещение],Экспликация[Название])&amp;"",""),""),_xlpm.rm,IF(BG282="","",IF(_xlpm.ex&lt;&gt;"",". "&amp;_xlpm.ex&amp;IF(Имя_пом="нет"," ("&amp;BG282&amp;")"," (пом. "&amp;BG282&amp;")"),IF(Имя_пом="нет"," ",", пом. ")&amp;BG282)),IF(_xlpm.nm="","",IF(_xlpm.md=2,_xlpm.nm&amp;" шлейф "&amp;BE282,_xlpm.nm&amp;_xlpm.rm)))))</f>
        <v>Щит контроля доступа шлейф 1</v>
      </c>
      <c r="BJ282" t="str">
        <f t="shared" si="562"/>
        <v>Щит контроля доступа ЩКД-1 Первый этаж Пом. №002Б</v>
      </c>
      <c r="BK282">
        <f>IFERROR(_xlfn.XMATCH(A282,Щиты[Щит]),0)</f>
        <v>10</v>
      </c>
      <c r="BL282">
        <f>_xlfn.LET(_xlpm.k,IFERROR(_xlfn.XLOOKUP(A282,Щиты[Щит],Щиты[Мест под вводной узел]),""),IF(_xlpm.k="",Столбцов_на_лист,N(_xlpm.k)))</f>
        <v>8</v>
      </c>
      <c r="BM282">
        <f t="shared" si="563"/>
        <v>75</v>
      </c>
      <c r="BN282" t="str">
        <f t="shared" si="564"/>
        <v>линии</v>
      </c>
      <c r="BO282" s="6">
        <f>IFERROR(N(_xlfn.XLOOKUP(BC282,Коды_код,Коды_квт)),0)</f>
        <v>0</v>
      </c>
      <c r="BP282">
        <f t="shared" si="565"/>
        <v>0</v>
      </c>
      <c r="BQ282" t="str">
        <f>IF(B282="","",IF(BH282&lt;&gt;"",IFERROR(_xlfn.XLOOKUP(BH282,Щиты[Щит],Щиты[Руст, кВт]),0),IF(BP282=1,IF(OR(N(_xlfn.XLOOKUP(A282,Щиты[Щит],Щиты[Вводов],1))&lt;=1,LOWER(TRIM(_xlfn.XLOOKUP(A282,Щиты[Щит],Щиты[АВР],"")&amp;""))="да"),IFERROR(_xlfn.XLOOKUP(A282,Щиты[Щит],Щиты[Руст, кВт]),0),SUMIFS(Линии[_Р для вводов],Линии[Щит],A282,Линии[Источник для режимов],GF282)),IF(BO282&gt;0,ROUND(BO282*MAX(1,N(D282)),3),""))))</f>
        <v/>
      </c>
      <c r="BR282">
        <f t="shared" si="566"/>
        <v>0.5</v>
      </c>
      <c r="BS282" s="6">
        <f>IF(B282="","",IF(BH282&lt;&gt;"",IFERROR(_xlfn.XLOOKUP(BH282,Щиты[Щит],Щиты[Руст, кВт]),0),N(BR282)))</f>
        <v>0.5</v>
      </c>
      <c r="BT282" t="str">
        <f>IF(B282="","",IFERROR(IF(VLOOKUP(BC282,Потребители_обозначение,8,FALSE)=0,"",VLOOKUP(BC282,Потребители_обозначение,8,FALSE)),""))</f>
        <v/>
      </c>
      <c r="BU282">
        <f t="shared" si="567"/>
        <v>230</v>
      </c>
      <c r="BV282">
        <f t="shared" si="568"/>
        <v>0</v>
      </c>
      <c r="BW282">
        <f>IF(B282="","",IF(BH282&lt;&gt;"",3,IFERROR(IF(N(VLOOKUP(BC282,Потребители_обозначение,9,FALSE))=0,1,VLOOKUP(BC282,Потребители_обозначение,9,FALSE)),1)))</f>
        <v>1</v>
      </c>
      <c r="BX282">
        <f t="shared" si="569"/>
        <v>1</v>
      </c>
      <c r="BY282" t="str">
        <f>IF(B282="","",_xlfn.LET(_xlpm.bc,IFERROR(IF(VLOOKUP(BC282,Потребители_обозначение,6,FALSE)=0,"",VLOOKUP(BC282,Потребители_обозначение,6,FALSE)&amp;""),""),IF(AND(GA282="да",OR(_xlpm.bc="",_xlpm.bc="мс")),Марка_пож,IF(AND(_xlpm.bc="",BH282&lt;&gt;""),"мс",_xlpm.bc))))</f>
        <v/>
      </c>
      <c r="BZ282" t="str">
        <f t="shared" si="570"/>
        <v>мс</v>
      </c>
      <c r="CA282">
        <f>IF(B282="","",_xlfn.LET(_xlpm.cc,IFERROR(N(VLOOKUP(BC282,Потребители_обозначение,7,FALSE)),0),IF(_xlpm.cc&gt;0,_xlpm.cc,IF(BZ282="","",IF(BV282=1,2,IF(N(BX282)=3,5,3))))))</f>
        <v>3</v>
      </c>
      <c r="CB282">
        <f t="shared" si="571"/>
        <v>3</v>
      </c>
      <c r="CC282">
        <f>IFERROR(N(VLOOKUP(BC282,Потребители_обозначение,10,FALSE)),0)</f>
        <v>0</v>
      </c>
      <c r="CD282">
        <f>IFERROR(VLOOKUP(BC282,Потребители_обозначение,5,FALSE),0)</f>
        <v>1</v>
      </c>
      <c r="CE282" s="6" cm="1">
        <f t="array" ref="CE282">IF(B282="","",IF(BH282&lt;&gt;"",IFERROR(_xlfn.XLOOKUP(BH282,Щиты[Щит],Щиты[cos φ]),0.95),IF(BP282=1,IFERROR(_xlfn.XLOOKUP(A282,Щиты[Щит],Щиты[cos φ]),0.95),IF(ISNUMBER(AD282),AD282,IFERROR(IF(CD282=2,_xlfn.IFS(BX282=3,VLOOKUP(BS282,Справочная_двигатели,8,FALSE),BX282=1,VLOOKUP(BS282,Справочная_двигатели,10,TRUE)),IF(AND(Методика="нормы 2026",FG282="Сил"),0.8,0.95)),0.95)))))</f>
        <v>0.95</v>
      </c>
      <c r="CF282">
        <f t="shared" si="572"/>
        <v>0</v>
      </c>
      <c r="CG282">
        <f t="shared" si="573"/>
        <v>1</v>
      </c>
      <c r="CH282">
        <f t="shared" si="574"/>
        <v>0</v>
      </c>
      <c r="CI282">
        <f>IF(B282="","",IF(BV282=1,IFERROR(BS282/((Uн_лин/SQRT(3))*MAX(0.5,N(CE282))),0),N(O282)))</f>
        <v>2.2790142204853647</v>
      </c>
      <c r="CJ282">
        <f t="shared" si="575"/>
        <v>0</v>
      </c>
      <c r="CK282">
        <f t="shared" si="576"/>
        <v>0</v>
      </c>
      <c r="CL282">
        <f t="shared" si="577"/>
        <v>0</v>
      </c>
      <c r="CM282">
        <f t="shared" si="578"/>
        <v>0</v>
      </c>
      <c r="CN282">
        <f t="shared" si="579"/>
        <v>0</v>
      </c>
      <c r="CO282">
        <f>IF(BC282="",0,_xlfn.LET(_xlpm.v,IFERROR(_xlfn.XLOOKUP(B282,Коды_код,Коды_мА),IFERROR(_xlfn.XLOOKUP(BC282,Коды_код,Коды_мА),IFERROR(_xlfn.XLOOKUP(LEFT(BC282,2),Коды_код,Коды_мА),""))),IF(_xlpm.v="да",30,IF(ISNUMBER(_xlpm.v),_xlpm.v,0))))</f>
        <v>0</v>
      </c>
      <c r="CP282" t="str">
        <f t="shared" si="580"/>
        <v/>
      </c>
      <c r="CQ282" t="str">
        <f>_xlfn.LET(_xlpm.k,IFERROR(_xlfn.XLOOKUP(BC282,Коды_код,Коды_утечка)&amp;"",""),IF(_xlpm.k="","дифавтомат",_xlpm.k))</f>
        <v>дифавтомат</v>
      </c>
      <c r="CR282" t="str" cm="1">
        <f t="array" ref="CR282">IF(CG282=0,"",_xlfn.LET(_xlpm.sg,TRIM(_xlfn.TEXTSPLIT(DD282&amp;"",";")),_xlpm.f_,_xlfn._xlws.FILTER(_xlpm.sg,LEFT(_xlpm.sg,3)="УЗО",""),IFERROR(INDEX(_xlpm.f_,1)&amp;"","")))</f>
        <v/>
      </c>
      <c r="CS282" t="str">
        <f t="shared" si="581"/>
        <v/>
      </c>
      <c r="CT282" s="6" t="str" cm="1">
        <f t="array" ref="CT282">IF(CR282="","",_xlfn.LET(_xlpm.tk,_xlfn.TEXTSPLIT(UPPER(CR282)," ",,TRUE),_xlpm.a_,_xlfn._xlws.FILTER(_xlpm.tk,ISNUMBER(--LEFT(_xlpm.tk,1))*((ISNUMBER(SEARCH("А",_xlpm.tk))+ISNUMBER(SEARCH("A",_xlpm.tk)))&gt;0)*NOT(ISNUMBER(SEARCH("МА",_xlpm.tk)))*NOT(ISNUMBER(SEARCH("MA",_xlpm.tk))),""),IFERROR(--SUBSTITUTE(SUBSTITUTE(INDEX(_xlpm.a_,1),"А",""),"A",""),"")))</f>
        <v/>
      </c>
      <c r="CU282" t="str" cm="1">
        <f t="array" ref="CU282">IF(CR282="","",_xlfn.LET(_xlpm.tk,_xlfn.TEXTSPLIT(UPPER(CR282)," ",,TRUE),_xlpm.a_,_xlfn._xlws.FILTER(_xlpm.tk,ISNUMBER(--LEFT(_xlpm.tk,1))*((ISNUMBER(SEARCH("МА",_xlpm.tk))+ISNUMBER(SEARCH("MA",_xlpm.tk)))&gt;0),""),IFERROR(--SUBSTITUTE(SUBSTITUTE(INDEX(_xlpm.a_,1),"МА",""),"MA",""),30)))</f>
        <v/>
      </c>
      <c r="CV282" t="str">
        <f>IF(CS282="","",IFERROR(_xlfn.XLOOKUP(CS282,Линии[_n],Линии[_УЗО, мА]),30))</f>
        <v/>
      </c>
      <c r="CW282">
        <f>IF(CS282="",0,IF(ISNUMBER(SEARCH("4P",IFERROR(_xlfn.XLOOKUP(CS282,Линии[_n],Линии[_УЗО строки])&amp;"",""))),0,1))</f>
        <v>0</v>
      </c>
      <c r="CX282" t="str">
        <f>IF(AND(CS282&lt;&gt;"",CS282=BA282),SUMIFS(Линии[_ток на 230 В],Линии[_блок УЗО],BA282,Линии[Щит],A282),"")</f>
        <v/>
      </c>
      <c r="CY282" t="str">
        <f>IF(AND(CS282&lt;&gt;"",CS282=BA282),SUMIFS(Линии[_ток утечки линии, мА],Линии[_блок УЗО],BA282,Линии[Щит],A282),"")</f>
        <v/>
      </c>
      <c r="CZ282">
        <f t="shared" si="582"/>
        <v>0</v>
      </c>
      <c r="DA282">
        <f t="shared" si="583"/>
        <v>0</v>
      </c>
      <c r="DB282">
        <f>IF(B282="",0,IFERROR(--_xlfn.XLOOKUP(B282,Коды_код,Коды_минавт),IFERROR(--_xlfn.XLOOKUP(BC282,Коды_код,Коды_минавт),IFERROR(--_xlfn.XLOOKUP(LEFT(BC282,2),Коды_код,Коды_минавт),0))))</f>
        <v>0</v>
      </c>
      <c r="DC282" t="str">
        <f>IF(B282="","",IFERROR(_xlfn.XLOOKUP(BC282,Коды_код,Коды_апп)&amp;"",""))</f>
        <v/>
      </c>
      <c r="DD282" t="str">
        <f t="shared" si="584"/>
        <v/>
      </c>
      <c r="DE282" t="str" cm="1">
        <f t="array" ref="DE282">IF(TRIM(DD282&amp;"")="","",IFERROR(TRIM(INDEX(_xlfn.TEXTSPLIT(DD282&amp;";;;",";"),1)),""))</f>
        <v/>
      </c>
      <c r="DF282" t="str" cm="1">
        <f t="array" ref="DF282">IF(TRIM(DD282&amp;"")="","",IFERROR(TRIM(INDEX(_xlfn.TEXTSPLIT(DD282&amp;";;;",";"),2)),""))</f>
        <v/>
      </c>
      <c r="DG282" t="str" cm="1">
        <f t="array" ref="DG282">IF(TRIM(DD282&amp;"")="","",IFERROR(TRIM(INDEX(_xlfn.TEXTSPLIT(DD282&amp;";;;",";"),3)),""))</f>
        <v/>
      </c>
      <c r="DH282">
        <f t="shared" si="585"/>
        <v>0</v>
      </c>
      <c r="DI282" t="str">
        <f>IF(B282="","",_xlfn.LET(_xlpm.t,LOWER(AZ282&amp;""),IF(ISNUMBER(SEARCH("dim",_xlpm.t)),"DIM",IF(ISNUMBER(SEARCH("dali",_xlpm.t)),"DALI",IF(OR(ISNUMBER(SEARCH("relay",_xlpm.t)),ISNUMBER(SEARCH("реле",_xlpm.t))),"Relay",IF(ISNUMBER(SEARCH("кнопк",_xlpm.t)),"",IFERROR(_xlfn.XLOOKUP(BC282,Коды_код,Коды_упр)&amp;"","")))))))</f>
        <v/>
      </c>
      <c r="DJ282" t="str">
        <f t="shared" si="586"/>
        <v/>
      </c>
      <c r="DK282">
        <f>IF(B282="","",_xlfn.LET(_xlpm.ig,IF(N(CX282)&gt;0,N(CX282),N(CI282)+IF(AJ282="вручную",0,N(CJ282))),_xlpm.n0,IFERROR(VLOOKUP(_xlpm.ig,Автомат_номиналы,2,TRUE),0),_xlpm.mn,MAX(DB282,IF(AJ282="вручную",0,N(CM282))),MAX(_xlpm.n0,_xlpm.mn,IF(DH282=1,Мин_автомат_БП,0))))</f>
        <v>6</v>
      </c>
      <c r="DL282">
        <f t="shared" si="587"/>
        <v>1</v>
      </c>
      <c r="DM282" t="str">
        <f t="shared" si="588"/>
        <v>1P</v>
      </c>
      <c r="DN282" t="str">
        <f>_xlfn.LET(_xlpm.cc,UPPER(TRIM(IFERROR(_xlfn.XLOOKUP(BC282,Коды_код,Коды_хар)&amp;"",""))),IF(OR(_xlpm.cc="B",_xlpm.cc="В"),"B",IF(_xlpm.cc="D","D","С")))</f>
        <v>С</v>
      </c>
      <c r="DO282" t="str">
        <f t="shared" si="589"/>
        <v>1P С6А</v>
      </c>
      <c r="DP282" t="str">
        <f t="shared" si="590"/>
        <v>1P С6А</v>
      </c>
      <c r="DQ282" t="str">
        <f t="shared" si="591"/>
        <v>1P С6А</v>
      </c>
      <c r="DR282" cm="1">
        <f t="array" ref="DR282">IF(DQ282="","",_xlfn.LET(_xlpm.t,SUBSTITUTE(SUBSTITUTE(SUBSTITUTE(UPPER(DQ282),"С","C"),"А","A"),"В","B"),_xlpm.tk,_xlfn.TEXTSPLIT(_xlpm.t," "),_xlpm.f,_xlfn._xlws.FILTER(_xlpm.tk,ISNUMBER(--MID(_xlpm.tk,2,1))*ISNUMBER(SEARCH(LEFT(_xlpm.tk,1)&amp;"#","B#C#D#"))*(LEN(_xlpm.tk)&gt;1),""),_xlpm.x,INDEX(_xlpm.f,1),IFERROR(--SUBSTITUTE(MID(_xlpm.x,2,9),"A",""),IFERROR(--SUBSTITUTE(INDEX(_xlfn._xlws.FILTER(_xlpm.tk,ISNUMBER(--SUBSTITUTE(_xlpm.tk,"A","")),""),1),"A",""),""))))</f>
        <v>6</v>
      </c>
      <c r="DS282" t="str">
        <f t="shared" si="592"/>
        <v>ok</v>
      </c>
      <c r="DT282">
        <f t="shared" si="593"/>
        <v>6</v>
      </c>
      <c r="DU282" t="str">
        <f t="shared" si="594"/>
        <v>1P С6А</v>
      </c>
      <c r="DV282">
        <f t="shared" si="595"/>
        <v>0</v>
      </c>
      <c r="DW282">
        <f t="shared" si="596"/>
        <v>0</v>
      </c>
      <c r="DX282">
        <f t="shared" si="597"/>
        <v>0</v>
      </c>
      <c r="DY282">
        <f t="shared" si="598"/>
        <v>2.2790142204853647</v>
      </c>
      <c r="DZ282">
        <f t="shared" si="599"/>
        <v>1</v>
      </c>
      <c r="EA282">
        <f>IF(ISNUMBER(AP282),AP282,К_прокл)</f>
        <v>1</v>
      </c>
      <c r="EB282">
        <f t="shared" si="600"/>
        <v>2</v>
      </c>
      <c r="EC282">
        <f>IFERROR(N(VLOOKUP(BZ282,Кабель_обозначение,3,FALSE)),1)</f>
        <v>1</v>
      </c>
      <c r="ED282">
        <f>IFERROR(N(_xlfn.XLOOKUP(A282,Щиты[Щит],Щиты[ΔU до шин, %])),0)</f>
        <v>1.19</v>
      </c>
      <c r="EE282" t="str">
        <f>IFERROR(_xlfn.XLOOKUP(A282,Щиты[Щит],Щиты[Zпетли на шинах, Ом]),"")</f>
        <v/>
      </c>
      <c r="EF282">
        <f>IFERROR(N(_xlfn.XLOOKUP(A282,Щиты[Щит],Щиты[ΔU до шин (подбор), %])),0)</f>
        <v>1.19</v>
      </c>
      <c r="EG282" t="str">
        <f>IFERROR(_xlfn.XLOOKUP(A282,Щиты[Щит],Щиты[Zпетли на шинах (подбор), Ом]),"")</f>
        <v/>
      </c>
      <c r="EH282" t="str">
        <f t="shared" si="601"/>
        <v/>
      </c>
      <c r="EI282">
        <f t="shared" si="602"/>
        <v>8</v>
      </c>
      <c r="EJ282">
        <f t="shared" si="603"/>
        <v>2</v>
      </c>
      <c r="EK282">
        <f t="shared" si="604"/>
        <v>0.31</v>
      </c>
      <c r="EL282" s="6">
        <f>IF(B282="","",IF(BV282=1,dU_LED,IF(IFERROR(_xlfn.XLOOKUP(BC282,Коды_код,Коды_уго),"")="Светильник",3,4)+IF(Методика="нормы 2026",MIN(0.5,MAX(0,N(P282)-100)*0.005),0)))</f>
        <v>4</v>
      </c>
      <c r="EM282" cm="1">
        <f t="array" ref="EM282">IF(OR(B282="",BZ282="",EC282&lt;&gt;1),"",_xlfn.LET(_xlpm.sz,Iдоп_S,_xlpm.t_,CHOOSE(EB282,Iдоп_1ж,Iдоп_2ж,Iдоп_3ж)*DZ282*EA282,_xlpm.dcx,BV282=1,_xlpm.inn,IF(_xlpm.dcx,N(O282),N(DT282)),_xlpm.smin,MAX(1.5,CC282),_xlpm.L_,N(P282)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282)/N(BU282)*100,999),IFERROR(N(EJ282)*(_xlpm.rho*_xlpm.L_/_xlpm.sz*N(CE282)+_xlpm.xx*_xlpm.L_*N(EK282)/1000)*N(O282)/((Uн_лин/SQRT(3))*1000)*100,999)),_xlpm.kz,IF(OR(_xlpm.dcx,DW282=1,NOT(ISNUMBER(EG282)),_xlpm.L_=0,_xlpm.inn=0),1,IFERROR(--(c_min*(Uн_лин*1000/SQRT(3))/(EG282+2*ρкз_Cu*_xlpm.L_/_xlpm.sz)&gt;=HT282*_xlpm.inn),0)),_xlpm.ok,IFERROR((_xlpm.sz&gt;=_xlpm.smin)*(_xlpm.t_&gt;=_xlpm.inn)*IF(_xlpm.L_&gt;0,(_xlpm.du_+IF(_xlpm.dcx,0,EF282)&lt;=EL282+0.00001),1)*_xlpm.kz,0),_xlpm.r_,_xlfn._xlws.FILTER(_xlpm.sz,_xlpm.ok,"не подобрано"),INDEX(_xlpm.r_,1)))</f>
        <v>1.5</v>
      </c>
      <c r="EN282">
        <f t="shared" si="605"/>
        <v>2.5</v>
      </c>
      <c r="EO282" cm="1">
        <f t="array" ref="EO282">IF(OR(B282="",BZ282="",EC282&lt;&gt;1),"",_xlfn.LET(_xlpm.sz,Iдоп_S,_xlpm.t_,CHOOSE(EB282,Iдоп_1ж,Iдоп_2ж,Iдоп_3ж)*DZ282*EA282,_xlpm.ok,IFERROR((_xlpm.sz&gt;=MAX(1.5,CC282))*(_xlpm.t_&gt;=N(DT282)),0),_xlpm.r_,_xlfn._xlws.FILTER(_xlpm.sz,_xlpm.ok,""),INDEX(_xlpm.r_,1)))</f>
        <v>1.5</v>
      </c>
      <c r="EP282" s="6" cm="1">
        <f t="array" ref="EP282">IFERROR(ROUNDUP(N(EJ282)*(_xlfn.XLOOKUP(EO282,INDEX(Кабель_сопротивление,0,1),INDEX(Кабель_сопротивление,0,3))*N(P282)/EO282*N(CE282)+_xlfn.XLOOKUP(EO282,INDEX(Кабель_сопротивление,0,1),INDEX(Кабель_сопротивление,0,2))*N(P282)*N(EK282)/1000)*N(O282)/((Uн_лин/SQRT(3))*1000)*100,2),"")</f>
        <v>0.32</v>
      </c>
      <c r="EQ282">
        <f>IFERROR(2*ρкз_Cu*N(P282)/EO282,"")</f>
        <v>0.38573333333333332</v>
      </c>
      <c r="ER282">
        <f>IFERROR(VLOOKUP(EN282,Кабель_сопротивление,3,FALSE),"")</f>
        <v>2.2499999999999999E-2</v>
      </c>
      <c r="ES282">
        <f>IFERROR(VLOOKUP(EN282,Кабель_сопротивление,2,FALSE),"")</f>
        <v>0.1</v>
      </c>
      <c r="ET282">
        <f t="shared" si="606"/>
        <v>8</v>
      </c>
      <c r="EU282" t="str">
        <f t="shared" si="607"/>
        <v/>
      </c>
      <c r="EV282">
        <f t="shared" si="608"/>
        <v>0.4302368625716681</v>
      </c>
      <c r="EW282" s="6">
        <f>IFERROR(ROUNDUP(EV282/IF(BV282=1,BU282,(Uн_лин/SQRT(3))*1000)*100,2),"")</f>
        <v>0.19</v>
      </c>
      <c r="EX282" t="str">
        <f>IFERROR(VLOOKUP(BZ282,Кабель_обозначение,2,FALSE),"")</f>
        <v>ВВГнг(А)-LS</v>
      </c>
      <c r="EY282" t="str">
        <f t="shared" si="609"/>
        <v>ВВГнг(А)-LS (3х2,5)</v>
      </c>
      <c r="EZ282" t="str">
        <f t="shared" si="610"/>
        <v>ВВГнг(А)-LS (3х2,5)
L=11-0,19%</v>
      </c>
      <c r="FA282">
        <f>IFERROR(2*ρкз_Cu*P282/EN282,"")</f>
        <v>0.23144000000000001</v>
      </c>
      <c r="FB282">
        <f t="shared" si="611"/>
        <v>7.6999999999999999E-2</v>
      </c>
      <c r="FC282" s="6" t="str">
        <f>IFERROR(IF(OR(B282="",BV282=1,NOT(ISNUMBER(EN282)),N(P282)=0),"",_xlfn.XLOOKUP(A282,Щиты[Щит],Щиты[Zпетли на шинах, Ом])+FA282),"")</f>
        <v/>
      </c>
      <c r="FD282" s="6" t="str">
        <f>IF(ISNUMBER(FC282),c_min*(Uн_лин*1000/SQRT(3))/FC282,"")</f>
        <v/>
      </c>
      <c r="FE282" s="6" t="str">
        <f>IFERROR(IF(OR(B282="",NOT(ISNUMBER(EN282))),"",1.05*(Uн_лин*1000/SQRT(3))/(_xlfn.XLOOKUP(A282,Щиты[Щит],Щиты[Zmax на шинах, Ом])+FB282)/1000),"")</f>
        <v/>
      </c>
      <c r="FF282" s="6" t="str">
        <f>IF(B282="","",IF(ISNUMBER(AC282),"Сил",IF(IFERROR(_xlfn.XLOOKUP(BC282,Коды_код,Коды_группа)&amp;"","")="","Быт",_xlfn.XLOOKUP(BC282,Коды_код,Коды_группа)&amp;"")))</f>
        <v>Быт</v>
      </c>
      <c r="FG282" s="6" t="str">
        <f t="shared" si="612"/>
        <v>Пост</v>
      </c>
      <c r="FH282" s="6">
        <f>IF(FG282="Щит","щит",IF(FG282="","",IF(FG282="Быт",IFERROR(_xlfn.XLOOKUP(A282,Щиты[Щит],Щиты[Кс быт]),1),IF(FG282="Сил",IF(ISNUMBER(AC282),AC282,IF(Методика="нормы 2026",IFERROR(_xlfn.XLOOKUP(A282,Щиты[Щит],Щиты[Кс силовых (табл. 7.5)]),1),1)),IF(OR(FG282="Пост",FG282="Отоп"),1,IF(FG282="ВНГ",0.7,0))))))</f>
        <v>1</v>
      </c>
      <c r="FI282">
        <f>IF(FG282="","",IF(AND(BP282=1,TRIM(AE282&amp;"")=""),IF(COUNTIFS(Линии[Щит],A282,Линии[Секция (1/2/3)],"&gt;=2")&gt;0,MIN(3,MAX(1,IFERROR(--BD282,1))),1),IFERROR(MIN(3,MAX(1,INT(--AE282))),1)))</f>
        <v>1</v>
      </c>
      <c r="FJ282">
        <f t="shared" si="613"/>
        <v>0.5</v>
      </c>
      <c r="FK282">
        <f t="shared" si="614"/>
        <v>0</v>
      </c>
      <c r="FL282">
        <f t="shared" si="615"/>
        <v>0</v>
      </c>
      <c r="FM282">
        <f t="shared" si="616"/>
        <v>0.5</v>
      </c>
      <c r="FN282">
        <f t="shared" si="617"/>
        <v>0</v>
      </c>
      <c r="FO282">
        <f t="shared" si="618"/>
        <v>0</v>
      </c>
      <c r="FP282">
        <f t="shared" si="619"/>
        <v>0.5</v>
      </c>
      <c r="FQ282">
        <f t="shared" si="620"/>
        <v>0.5</v>
      </c>
      <c r="FR282">
        <f t="shared" si="621"/>
        <v>0.47499999999999998</v>
      </c>
      <c r="FS282">
        <f>IF(CG282=1,IF(AND(CH282=1,CW282=1),0,IF(AND(CS282&lt;&gt;"",CS282=BA282,CW282=1),SUMIFS(Линии[_Р линии, кВт],Линии[_блок УЗО],BA282,Линии[Щит],A282),N(BS282)+IF(AJ282="вручную",0,N(CK282)))),0)</f>
        <v>0.5</v>
      </c>
      <c r="FT282" t="str">
        <f t="shared" si="622"/>
        <v/>
      </c>
      <c r="FU282" t="str">
        <f>IF(B282="","",IF(CG282=0,IF(BA282=1,"",FW281),IF(AND(CH282=1,CW282=1,CS282&lt;&gt;""),IFERROR(_xlfn.XLOOKUP(CS282,Линии[_n],Линии[_фаза итог]),"L1"),IF(OR(N(DL282)&gt;=3,N(BX282)&gt;=3),"L1,L2,L3",IFERROR(_xlfn.TEXTBEFORE(_xlfn.TEXTAFTER(_xlfn.XLOOKUP(A282,Щиты[Щит],Щиты[_фазы авто]),";"&amp;BA282&amp;":"),";"),"L1")))))</f>
        <v>L3</v>
      </c>
      <c r="FV282" t="str">
        <f t="shared" si="623"/>
        <v>L3</v>
      </c>
      <c r="FW282" t="str">
        <f t="shared" si="624"/>
        <v>L3</v>
      </c>
      <c r="FX282" cm="1">
        <f t="array" ref="FX282">IFERROR(IF(CD282=2,_xlfn.IFS(BX282=3,VLOOKUP(BS282,Справочная_двигатели,3,FALSE),BX282=1,VLOOKUP(BS282,Справочная_двигатели,5,TRUE)),0),0)</f>
        <v>0</v>
      </c>
      <c r="FY282">
        <f>IFERROR(IF(CD282=3,VLOOKUP(BS282,Справочная_ЛЭД,2,TRUE),0),0)</f>
        <v>0</v>
      </c>
      <c r="FZ282" s="6">
        <f t="shared" si="625"/>
        <v>0</v>
      </c>
      <c r="GA282" t="str">
        <f>IF(B282="","",IF(TRIM(AH282&amp;"")&lt;&gt;"",IF(LOWER(TRIM(AH282&amp;""))="да","да","нет"),IF(IFERROR(_xlfn.XLOOKUP(BC282,Коды_код,Коды_пожарная),"")="да","да","нет")))</f>
        <v>нет</v>
      </c>
      <c r="GB282" t="str">
        <f t="shared" si="626"/>
        <v/>
      </c>
      <c r="GC282" t="str">
        <f t="shared" si="627"/>
        <v>основная</v>
      </c>
      <c r="GD282">
        <f>IF(AND(BP282=1,TRIM(AE282&amp;"")=""),IF(COUNTIFS(Линии[Щит],A282,Линии[Секция (1/2/3)],"&gt;=2")&gt;0,MIN(3,MAX(1,IFERROR(--BD282,1))),1),IFERROR(MIN(3,MAX(1,INT(--AE282))),1))</f>
        <v>1</v>
      </c>
      <c r="GE282" t="str" cm="1">
        <f t="array" ref="GE282">IF(B282="","",_xlfn.LET(_xlpm.t,IFERROR(_xlfn.XLOOKUP(1,(Шины[Шина]=GC282)*(((Шины[Щит]=A282)+(Шины[Щит]=""))&gt;0),Шины[Тип]),"")&amp;"",IF(_xlpm.t&lt;&gt;"",_xlpm.t,IF(ISNUMBER(SEARCH("ИБП",GC282)),"ИБП",IF(ISNUMBER(SEARCH("ДГУ",GC282)),"ДГУ","Ввод "&amp;GD282)))))</f>
        <v>Ввод 1</v>
      </c>
      <c r="GF282" t="str">
        <f t="shared" si="628"/>
        <v>Ввод 1</v>
      </c>
      <c r="GG282" t="str">
        <f>IF(BP282=0,"",IF(TRIM(AG282&amp;"")&lt;&gt;"",TRIM(AG282&amp;""),IF(OR(GE282="ИБП",GE282="ДГУ"),"I особая",_xlfn.XLOOKUP(A282,Щиты[Щит],Щиты[Категория шины «Ввод»],"III"))))</f>
        <v/>
      </c>
      <c r="GH282" t="str">
        <f>IF(A282="","",_xlfn.XLOOKUP(A282,Щиты[Щит],Щиты[Путь],""))</f>
        <v>|ГРЩ-ЖД|ЩР-1|</v>
      </c>
      <c r="GI282" t="str">
        <f>IF(B282="","",IF(AI282&lt;&gt;"",AI282,IF(IFERROR(_xlfn.XLOOKUP(BC282,Коды_код,Коды_вид)&amp;"","")="","Прочее",_xlfn.XLOOKUP(BC282,Коды_код,Коды_вид)&amp;"")))</f>
        <v>Системы безопасности и связи</v>
      </c>
      <c r="GJ282">
        <f>IF(BM282="","",INT((BM282-1)/Столбцов_на_лист)+1)</f>
        <v>5</v>
      </c>
      <c r="GK282" t="str">
        <f t="shared" si="629"/>
        <v>ВВГнг(А)-LS (3х2,5) L=11-0,19%</v>
      </c>
      <c r="GL282">
        <f t="shared" si="630"/>
        <v>0.5</v>
      </c>
      <c r="GM282">
        <f t="shared" si="631"/>
        <v>2.2799999999999998</v>
      </c>
      <c r="GN282">
        <f t="shared" si="632"/>
        <v>1</v>
      </c>
      <c r="GO282">
        <f t="shared" si="633"/>
        <v>0</v>
      </c>
      <c r="GP282">
        <f t="shared" si="634"/>
        <v>1</v>
      </c>
      <c r="GQ282">
        <f>IF(BM282="","",IF(AND(CG282=1,GP282=1),COUNTIFS(A$3:A282,A282,CG$3:CG282,1,GP$3:GP282,1),IF(OR(OR(BA282=1,A282&lt;&gt;A281),AJ282="вручную",GP282=0),"",IF(BA282=1,"",GR281))))</f>
        <v>58</v>
      </c>
      <c r="GR282">
        <f t="shared" si="635"/>
        <v>58</v>
      </c>
      <c r="GS282">
        <f>IF(B282="","",IFERROR(LOOKUP(INDEX(CHOOSE(EB282,Iдоп_1ж,Iдоп_2ж,Iдоп_3ж),MATCH(EN282,Iдоп_S,0))*DZ282*EA282,{6,10,16,20,25,32,40,50,63,80,100,125,160,200,250,315,400,500,630}),""))</f>
        <v>25</v>
      </c>
      <c r="GT282" t="str">
        <f t="shared" si="636"/>
        <v>QF58</v>
      </c>
      <c r="GU282" t="str">
        <f t="shared" si="637"/>
        <v>QF58</v>
      </c>
      <c r="GV282" t="str">
        <f t="shared" si="638"/>
        <v/>
      </c>
      <c r="GW282">
        <f t="shared" si="639"/>
        <v>0</v>
      </c>
      <c r="GX282" t="str">
        <f>IF(OR(B282="",DJ282=""),"",IFERROR(_xlfn.XLOOKUP(DJ282,Модули_умолч[Управление],Модули_умолч[Модель])&amp;"",""))</f>
        <v/>
      </c>
      <c r="GY282">
        <f>IF(DJ282="",1,IFERROR(MAX(0,N(_xlfn.XLOOKUP(DJ282,Модули_умолч[Управление],Модули_умолч[Каналов на линию]))),1))</f>
        <v>1</v>
      </c>
      <c r="GZ282" t="str">
        <f t="shared" si="640"/>
        <v/>
      </c>
      <c r="HA282" t="str">
        <f t="shared" si="641"/>
        <v/>
      </c>
      <c r="HB282" t="str">
        <f t="shared" si="642"/>
        <v/>
      </c>
      <c r="HC282">
        <f>IF(HB282="",0,IFERROR(N(VLOOKUP(HB282,Модули_спр,3,FALSE)),0))</f>
        <v>0</v>
      </c>
      <c r="HD282" t="str">
        <f t="shared" si="643"/>
        <v/>
      </c>
      <c r="HE282" t="str">
        <f t="shared" si="644"/>
        <v/>
      </c>
      <c r="HF282" t="str">
        <f>IF(OR(HE282="",HE282="-"),"",IFERROR(VLOOKUP(HE282,Модули_спр,2,FALSE),"R"))</f>
        <v/>
      </c>
      <c r="HG282" t="str">
        <f>IF(HF282="","",HF282&amp;"."&amp;COUNTIFS(A$3:A282,A282,HF$3:HF282,HF282))</f>
        <v/>
      </c>
      <c r="HH282" t="str">
        <f t="shared" si="645"/>
        <v/>
      </c>
      <c r="HI282" t="str">
        <f t="shared" si="646"/>
        <v/>
      </c>
      <c r="HJ282" t="str">
        <f t="shared" si="647"/>
        <v/>
      </c>
      <c r="HK282" t="str">
        <f t="shared" si="648"/>
        <v/>
      </c>
      <c r="HL282">
        <f t="shared" si="649"/>
        <v>1</v>
      </c>
      <c r="HM282" t="str">
        <f>IF(HL282=1,"XT"&amp;COUNTIFS(A$3:A282,A282,HL$3:HL282,1),"")</f>
        <v>XT58</v>
      </c>
      <c r="HN282" t="str">
        <f t="shared" si="650"/>
        <v>XT58</v>
      </c>
      <c r="HO282" t="str">
        <f t="shared" si="651"/>
        <v>QF58</v>
      </c>
      <c r="HP282" t="str">
        <f t="shared" si="652"/>
        <v/>
      </c>
      <c r="HQ282" t="str">
        <f t="shared" si="653"/>
        <v>ok</v>
      </c>
      <c r="HR282" t="str">
        <f>IF(OR(HJ282="",HH282=""),"",IF(HJ282+MAX(0,GY282-1)&gt;IFERROR(VLOOKUP(HI282,Модули_спр,3,FALSE),99),"ЛИШНИЙ КАНАЛ",IF(AND(AL282&lt;&gt;"=",GY282&gt;0,COUNTIFS(Линии[_модуль гр.],HH282,Линии[Канал (итог)],HJ282,Линии[Канал],"&lt;&gt;=",Линии[Щит],A282)&gt;1),"ДУБЛЬ КАНАЛА","")))</f>
        <v/>
      </c>
      <c r="HS282" s="6" t="str">
        <f t="shared" si="654"/>
        <v/>
      </c>
      <c r="HT282">
        <f t="shared" si="655"/>
        <v>10</v>
      </c>
      <c r="HU282" t="str">
        <f t="shared" si="656"/>
        <v/>
      </c>
      <c r="HV282">
        <f t="shared" si="657"/>
        <v>1.021605688194146</v>
      </c>
      <c r="HW282">
        <f t="shared" si="658"/>
        <v>0</v>
      </c>
      <c r="HX282">
        <f t="shared" si="659"/>
        <v>0</v>
      </c>
      <c r="HY282">
        <f t="shared" si="660"/>
        <v>0</v>
      </c>
      <c r="HZ282">
        <f t="shared" si="661"/>
        <v>0</v>
      </c>
      <c r="IA282">
        <f t="shared" si="662"/>
        <v>0</v>
      </c>
      <c r="IB282">
        <f t="shared" si="663"/>
        <v>0</v>
      </c>
      <c r="IC282" t="str">
        <f t="shared" si="664"/>
        <v/>
      </c>
      <c r="ID282" t="str" cm="1">
        <f t="array" ref="ID282">IF(IC282="","",_xlfn.LET(_xlpm.tk,_xlfn.TEXTSPLIT(SUBSTITUTE(SUBSTITUTE(IC282,";"," "),"→"," ")," ",,TRUE),_xlpm.w_,_xlfn._xlws.FILTER(_xlpm.tk,ISNUMBER(--LEFT(_xlpm.tk,1))*((ISNUMBER(SEARCH("W",_xlpm.tk))+ISNUMBER(SEARCH("Вт",_xlpm.tk)))&gt;0),""),IFERROR(--SUBSTITUTE(SUBSTITUTE(UPPER(INDEX(_xlpm.w_,1)),"W",""),"ВТ",""),"")))</f>
        <v/>
      </c>
      <c r="IE282" t="str" cm="1">
        <f t="array" ref="IE282">IF(IC282="","",_xlfn.LET(_xlpm.tk,_xlfn.TEXTSPLIT(SUBSTITUTE(SUBSTITUTE(IC282,";"," "),"→"," ")," ",,TRUE),_xlpm.v_,_xlfn._xlws.FILTER(_xlpm.tk,ISNUMBER(--LEFT(_xlpm.tk,1))*((ISNUMBER(SEARCH("V",_xlpm.tk))+(RIGHT(UPPER(_xlpm.tk))="В"))&gt;0),""),IFERROR(--SUBSTITUTE(SUBSTITUTE(UPPER(INDEX(_xlpm.v_,1)),"V",""),"В",""),"")))</f>
        <v/>
      </c>
      <c r="IF282" s="6" t="str">
        <f>IF(OR(BV282=0,HI282="",HJ282=""),"",IFERROR(N(_xlfn.XLOOKUP(HI282,Каталог!$C$4:$C$500,Каталог!$Q$4:$Q$500)),""))</f>
        <v/>
      </c>
      <c r="IG282" s="6" t="str">
        <f>IF(N(IF282)=0,"",SUMIFS(Линии[Iр, А],Линии[Щит],A282,Линии[_модуль гр.],HH282,Линии[Канал (итог)],HJ282))</f>
        <v/>
      </c>
      <c r="IH282" t="str">
        <f>IF(AND(B282="",HO282=""),"",_xlfn.TEXTJOIN("; ",TRUE,IF(AND(B282&lt;&gt;"",FV282=""),"нет фазы",""),IF(AND(B282&lt;&gt;"",N(GL282)=0,FG282&lt;&gt;"Нет"),"нет мощности",""),IF(AND(HN282&lt;&gt;"",COUNTIFS(Линии[Щит],A282,Линии[Клемма (итог)],HN282)&gt;1),"дубль клеммы "&amp;HN282,""),IF(AND(HQ282&lt;&gt;"",HQ282&lt;&gt;"ok"),HQ282,""),IF(HR282&lt;&gt;"",HR282,""),IF(AND(N(CB282)&gt;=4,N(BX282)=1),CB282&amp;" жил на 1 фазе",""),IF(AND(BC282="R",CG282=1,IF(CS282&lt;&gt;"",N(CV282)&gt;30,OR(N(DA282)=0,N(DA282)&gt;30))),"розетка без дифзащиты до 30 мА",""),IF(AND(CG282=1,N(DA282)&gt;0,ISNUMBER(T282)),IF(T282&gt;N(DA282)/3,"ток утечки "&amp;FIXED(T282,1)&amp;" мА &gt; 1/3 уставки ("&amp;DA282&amp;" мА)",""),""),IF(AND(CH282=1,CS282=""),"«узо»: нет строки с УЗО выше (УЗО 2P 40А 30мА в «Аппаратах»)",""),IF(AND(CS282&lt;&gt;"",CS282=BA282),IF(CT282="","впишите номинал УЗО (УЗО 2P 40А 30мА)",IF(N(CT282)&lt;N(DT282),"УЗО "&amp;CT282&amp;" А &lt; автомата "&amp;DT282&amp;" А перед ним",IF(N(CT282)&lt;N(CX282),"УЗО "&amp;CT282&amp;" А &lt; тока блока "&amp;FIXED(CX282,1)&amp;" А",""))),""),IF(AND(CS282&lt;&gt;"",CS282=BA282,ISNUMBER(CY282)),IF(CY282&gt;N(CV282)/3,"ток утечки блока УЗО "&amp;FIXED(CY282,1)&amp;" мА &gt; 1/3 уставки ("&amp;CV282&amp;" мА)",""),""),IF(AND(CG282=1,N(BV282)+N(IB282)&gt;0,IC282=""),"линии до 50 В без БП: впишите в «Аппараты» (БП 24V 480W)",""),IF(AND(CG282=1,ISNUMBER(ID282),ISNUMBER(U282)),IF(U282&gt;ID282,"БП "&amp;ID282&amp;" Вт &lt; нужно "&amp;U282&amp;" Вт (×"&amp;Запас_БП&amp;")",""),""),IF(AND(CG282=1,ISNUMBER(IE282),N(BV282)=1),IF(IE282&lt;&gt;N(BU282),"БП на "&amp;IE282&amp;" В, линия "&amp;BU282&amp;" В",""),""),IF(AND(N(IF282)&gt;0,N(IG282)&gt;N(IF282)),HH282&amp;" канал "&amp;HJ282&amp;": "&amp;FIXED(IG282,1)&amp;" А &gt; "&amp;IF282&amp;" А",""),IFERROR(IF(AND(ISNUMBER(Q282),Q282&gt;EL282),"потери "&amp;FIXED(Q282,1)&amp;" % &gt; "&amp;EL282&amp;" %",""),""),IFERROR(IF(LEFT(HU282,4)="мало","Iкз мало — отключение &gt; 0,4 с",""),""),IF(AND(B282&lt;&gt;"",BM282=""),"не на схеме",""),IF(AND(CG282=0,B282&lt;&gt;"",FV282&lt;&gt;"",IF(BA282=1,"",FW281)&lt;&gt;"",FV282&lt;&gt;IF(BA282=1,"",FW281)),"фаза не как у автомата группы ("&amp;IF(BA282=1,"",FW281)&amp;")","")))</f>
        <v/>
      </c>
      <c r="II282" s="6" t="str">
        <f>IF(OR(CG282=0,DQ282=""),"",_xlfn.LET(_xlpm.t,IFERROR(_xlfn.XLOOKUP(DQ282,Каталог!$U$4:$U$500,Каталог!$G$4:$G$500),""),_xlpm.k,SEARCH("кА",_xlpm.t),IFERROR(--TRIM(RIGHT(SUBSTITUTE(MID(_xlpm.t,MAX(1,_xlpm.k-4),_xlpm.k-MAX(1,_xlpm.k-4))," ",REPT(" ",9)),5)),"")))</f>
        <v/>
      </c>
      <c r="IJ282" t="str">
        <f>IF(OR(II282="",CG282=0),"",IF(_xlfn.XLOOKUP(A282,Щиты[Щит],Щиты[Iкз max на шинах, кА],"")="","",IF(II282&lt;_xlfn.XLOOKUP(A282,Щиты[Щит],Щиты[Iкз max на шинах, кА]),"Icu "&amp;II282&amp;" кА &lt; Iкз max","ok")))</f>
        <v/>
      </c>
      <c r="IK282" t="str">
        <f t="shared" si="665"/>
        <v/>
      </c>
      <c r="IL282" t="str">
        <f t="shared" si="666"/>
        <v>QF58|XT58</v>
      </c>
      <c r="IM282" t="str">
        <f t="shared" si="667"/>
        <v>QF58|XT58|кабель ВВГнг(А)-LS (3х2,5) → Щит контроля доступа ЩКД-1 Первый этаж Пом. №002Б</v>
      </c>
      <c r="IN282" t="str" cm="1">
        <f t="array" ref="IN282">IF(IM282="","",_xlfn.LET(_xlpm.nd,_xlfn.TEXTSPLIT(IM282,"|"),IF(COLUMNS(_xlpm.nd)&gt;1,A282&amp;"¦"&amp;INDEX(_xlpm.nd,1)&amp;"¦"&amp;INDEX(_xlpm.nd,2),"")))</f>
        <v>ЩР-1¦QF58¦XT58</v>
      </c>
      <c r="IO282" t="str">
        <f t="shared" si="668"/>
        <v>ЩКД.1¦Щит контроля доступа ЩКД-1 Первый этаж Пом. №002Б</v>
      </c>
      <c r="IP282" t="str" cm="1">
        <f t="array" ref="IP282">IF(IM282="","",_xlfn.LET(_xlpm.nd,_xlfn.TEXTSPLIT(IM282,"|"),IF(COLUMNS(_xlpm.nd)&gt;2,A282&amp;"¦"&amp;INDEX(_xlpm.nd,2)&amp;"¦"&amp;INDEX(_xlpm.nd,3),"")))</f>
        <v>ЩР-1¦XT58¦кабель ВВГнг(А)-LS (3х2,5) → Щит контроля доступа ЩКД-1 Первый этаж Пом. №002Б</v>
      </c>
      <c r="IQ282" t="str">
        <f t="shared" si="669"/>
        <v>ЩКД.1¦Щит контроля доступа ЩКД-1 Первый этаж Пом. №002Б</v>
      </c>
      <c r="IR282" t="str" cm="1">
        <f t="array" ref="IR282">IF(IM282="","",_xlfn.LET(_xlpm.nd,_xlfn.TEXTSPLIT(IM282,"|"),IF(COLUMNS(_xlpm.nd)&gt;3,A282&amp;"¦"&amp;INDEX(_xlpm.nd,3)&amp;"¦"&amp;INDEX(_xlpm.nd,4),"")))</f>
        <v/>
      </c>
      <c r="IS282" t="str">
        <f t="shared" si="670"/>
        <v/>
      </c>
      <c r="IT282" t="str" cm="1">
        <f t="array" ref="IT282">IF(IM282="","",_xlfn.LET(_xlpm.nd,_xlfn.TEXTSPLIT(IM282,"|"),IF(COLUMNS(_xlpm.nd)&gt;4,A282&amp;"¦"&amp;INDEX(_xlpm.nd,4)&amp;"¦"&amp;INDEX(_xlpm.nd,5),"")))</f>
        <v/>
      </c>
      <c r="IU282" t="str">
        <f t="shared" si="671"/>
        <v/>
      </c>
      <c r="IV282" t="str" cm="1">
        <f t="array" ref="IV282">IF(IM282="","",_xlfn.LET(_xlpm.nd,_xlfn.TEXTSPLIT(IM282,"|"),IF(COLUMNS(_xlpm.nd)&gt;5,A282&amp;"¦"&amp;INDEX(_xlpm.nd,5)&amp;"¦"&amp;INDEX(_xlpm.nd,6),"")))</f>
        <v/>
      </c>
      <c r="IW282" t="str">
        <f t="shared" si="672"/>
        <v/>
      </c>
      <c r="IX282" t="str" cm="1">
        <f t="array" ref="IX282">IF(IM282="","",_xlfn.LET(_xlpm.nd,_xlfn.TEXTSPLIT(IM282,"|"),IF(COLUMNS(_xlpm.nd)&gt;6,A282&amp;"¦"&amp;INDEX(_xlpm.nd,6)&amp;"¦"&amp;INDEX(_xlpm.nd,7),"")))</f>
        <v/>
      </c>
      <c r="IY282" t="str">
        <f t="shared" si="673"/>
        <v/>
      </c>
      <c r="IZ282" t="str">
        <f t="shared" si="674"/>
        <v/>
      </c>
      <c r="JA282" t="str">
        <f t="shared" si="675"/>
        <v>QF58 → XT58</v>
      </c>
      <c r="JB282">
        <f t="shared" si="676"/>
        <v>0</v>
      </c>
      <c r="JC282">
        <f t="shared" si="677"/>
        <v>0</v>
      </c>
      <c r="JD282" t="str">
        <f t="shared" si="678"/>
        <v/>
      </c>
      <c r="JE282" t="str">
        <f t="shared" si="679"/>
        <v/>
      </c>
      <c r="JF282" t="str">
        <f t="shared" si="680"/>
        <v/>
      </c>
      <c r="JG282" t="str">
        <f t="shared" si="681"/>
        <v/>
      </c>
      <c r="JH282">
        <f>IF(B282="","",IFERROR(_xlfn.XLOOKUP(B282,Коды_код,Коды_уго),IFERROR(_xlfn.XLOOKUP(BC282,Коды_код,Коды_уго),IFERROR(_xlfn.XLOOKUP(LEFT(BC282,2),Коды_код,Коды_уго),""))))</f>
        <v>0</v>
      </c>
      <c r="JI282" t="str">
        <f>IF(B282="","",IF(OR(JH282="",JH282=0),"BOX",IFERROR(IF(VLOOKUP(JH282,УГО_блоки,3,FALSE)&amp;""&lt;&gt;"",VLOOKUP(JH282,УГО_блоки,3,FALSE),VLOOKUP(JH282,УГО_блоки,2,FALSE)),JH282)))</f>
        <v>BOX</v>
      </c>
      <c r="JJ282">
        <f t="shared" si="682"/>
        <v>1</v>
      </c>
      <c r="JK282" t="str">
        <f>IF(DQ282="","",IF(COUNTIF(DQ$3:DQ282,DQ282)=1,MAX(JK$2:JK281)+1,""))</f>
        <v/>
      </c>
      <c r="JL282" t="str">
        <f>IF(DE282="","",IF(COUNTIF(DE$3:DE282,DE282)+COUNTIF(DF$2:DF281,DE282)+COUNTIF(DG$2:DG281,DE282)=1,MAX(JL$2:JN281)+1,""))</f>
        <v/>
      </c>
      <c r="JM282" t="str">
        <f>IF(DF282="","",IF(COUNTIF(DE$3:DE282,DF282)+COUNTIF(DF$3:DF282,DF282)+COUNTIF(DG$2:DG281,DF282)=1,MAX(JL$2:JN281,JL282)+1,""))</f>
        <v/>
      </c>
      <c r="JN282" t="str">
        <f>IF(DG282="","",IF(COUNTIF(DE$3:DE282,DG282)+COUNTIF(DF$3:DF282,DG282)+COUNTIF(DG$3:DG282,DG282)=1,MAX(JL$2:JN281,JL282,JM282)+1,""))</f>
        <v/>
      </c>
      <c r="JO282" t="str">
        <f t="shared" si="683"/>
        <v>3х2,5</v>
      </c>
      <c r="JP282" t="str">
        <f>IF(JO282="","",IF(COUNTIF(JO$3:JO282,JO282)=1,MAX(JP$2:JP281)+1,""))</f>
        <v/>
      </c>
      <c r="JQ282" t="str">
        <f>IF(HG282="","",COUNTIF(HG$3:HG282,"?*"))</f>
        <v/>
      </c>
      <c r="JR282" t="str">
        <f>IF(OR(HG282="",HI282=""),"",IF(COUNTIFS(HG$3:HG282,"?*",HI$3:HI282,HI282)=1,MAX(JR$2:JR281)+1,""))</f>
        <v/>
      </c>
      <c r="JS282">
        <f t="shared" si="684"/>
        <v>0</v>
      </c>
      <c r="JT282">
        <f>IF(B282="","",COUNTIF(B$3:B282,"?*"))</f>
        <v>280</v>
      </c>
      <c r="JU282">
        <f>IF(HL282&lt;&gt;1,0,_xlfn.LET(_xlpm.k,MAX(IFERROR(--_xlfn.XLOOKUP(B282,Коды_код,Коды_3L),0),IFERROR(--_xlfn.XLOOKUP(BC282,Коды_код,Коды_3L),0),IFERROR(--_xlfn.XLOOKUP(LEFT(BC282,2),Коды_код,Коды_3L),0)),IF(_xlpm.k&gt;0,_xlpm.k,IF(IFERROR(--LEFT(SUBSTITUTE(JO282,"x","х"),FIND("х",SUBSTITUTE(JO282,"x","х"))-1),3)&gt;3,Каталог!$S$9,1))))</f>
        <v>1</v>
      </c>
      <c r="JV282">
        <f t="shared" si="685"/>
        <v>0</v>
      </c>
      <c r="JW282" t="str">
        <f t="shared" si="686"/>
        <v>авто</v>
      </c>
      <c r="JX282" t="str">
        <f t="shared" si="687"/>
        <v/>
      </c>
      <c r="JY282">
        <f t="shared" si="688"/>
        <v>0</v>
      </c>
      <c r="JZ282">
        <f t="shared" si="689"/>
        <v>1</v>
      </c>
    </row>
    <row r="283" spans="1:286" x14ac:dyDescent="0.3">
      <c r="A283" t="s">
        <v>759</v>
      </c>
      <c r="B283" t="s">
        <v>741</v>
      </c>
      <c r="C283" t="s">
        <v>52</v>
      </c>
      <c r="D283">
        <v>1</v>
      </c>
      <c r="E283">
        <f>Линии[[#This Row],[_авто Р]]</f>
        <v>9.98</v>
      </c>
      <c r="G283">
        <v>16</v>
      </c>
      <c r="H283" t="str">
        <f>Линии[[#This Row],[_авто управление]]</f>
        <v/>
      </c>
      <c r="I283" t="str">
        <f>Линии[[#This Row],[_авто аппараты]]</f>
        <v/>
      </c>
      <c r="J283">
        <v>4</v>
      </c>
      <c r="K283" t="str">
        <f>Линии[[#This Row],[_авто длина по плану]]</f>
        <v/>
      </c>
      <c r="L283" t="str">
        <f>Линии[[#This Row],[_авто фаза]]</f>
        <v>L1,L2,L3</v>
      </c>
      <c r="M283" t="str">
        <f>Линии[[#This Row],[_авто клемма]]</f>
        <v/>
      </c>
      <c r="N283" t="str">
        <f t="shared" si="552"/>
        <v/>
      </c>
      <c r="O283" s="6" cm="1">
        <f t="array" ref="O283">IF(B283="","",IF(BH283&lt;&gt;"",IFERROR(_xlfn.XLOOKUP(BH283,Щиты[Щит],Щиты[Iр, А]),""),IF(BP283=1,IF(OR(N(_xlfn.XLOOKUP(A283,Щиты[Щит],Щиты[Вводов],1))&lt;=1,LOWER(TRIM(_xlfn.XLOOKUP(A283,Щиты[Щит],Щиты[АВР],"")&amp;""))="да"),IFERROR(_xlfn.XLOOKUP(A283,Щиты[Щит],Щиты[Iр, А]),""),IFERROR(N(BS283)*_xlfn.XLOOKUP(A283,Щиты[Щит],Щиты[Кс итог])/(SQRT(3)*Uн_лин*_xlfn.XLOOKUP(A283,Щиты[Щит],Щиты[cos φ])),"")),IF(BV283=1,IFERROR(BS283*1000/BU283,""),IFERROR(_xlfn.IFS(BX283=1,BS283/((Uн_лин/SQRT(3))*CE283),BX283=3,BS283/(SQRT(3)*Uн_лин*CE283)),"")))))</f>
        <v>13.694473137501861</v>
      </c>
      <c r="P283" s="7" t="str">
        <f>IF(B283="","",IFERROR(IF(VLOOKUP(BC283,Потребители_обозначение,4,FALSE)=1,VLOOKUP(BC283,Потребители_обозначение,3,FALSE)*(MAX(1,N(D283))*2-1)+EI283+VLOOKUP(BE283,Этаж_обозначение,3,FALSE)+VLOOKUP(BE283,Этаж_обозначение,4,FALSE),VLOOKUP(BC283,Потребители_обозначение,3,FALSE)*(MAX(1,N(D283))*2-1)+EI283),EI283))</f>
        <v/>
      </c>
      <c r="Q283" s="6" t="str">
        <f t="shared" si="553"/>
        <v/>
      </c>
      <c r="R283" t="str">
        <f t="shared" si="554"/>
        <v>ВВГнг(А)-LS (5х4)</v>
      </c>
      <c r="S283" t="str">
        <f>IF(BM283="","",IF(BN283="вводной узел","узел ","")&amp;"л."&amp;(INT((BM283-1)/Столбцов_на_лист)+1)&amp;" / "&amp;(MOD(BM283-1,Столбцов_на_лист)+1))</f>
        <v>узел л.1 / 2</v>
      </c>
      <c r="T283" s="119" t="str">
        <f t="shared" si="555"/>
        <v/>
      </c>
      <c r="U283" s="7" t="str">
        <f>IF(OR(CG283=0,N(BV283)+N(IB283)=0),"",ROUNDUP(Запас_БП*(N(HY283)+N(HZ283)),0))</f>
        <v/>
      </c>
      <c r="V283" s="119" t="str">
        <f t="shared" si="556"/>
        <v/>
      </c>
      <c r="W283" s="7" t="str">
        <f>IFERROR(IF(OR(B283="",BP283=1,BV283=1,NOT(ISNUMBER(EN283)),N(DT283)=0),"",MAX(0,ROUNDDOWN((c_min*(Uн_лин*1000/SQRT(3))/(HT283*N(DT283))-_xlfn.XLOOKUP(A283,Щиты[Щит],Щиты[Zпетли на шинах, Ом]))*EN283/(2*ρкз_Cu),0))),"")</f>
        <v/>
      </c>
      <c r="Y283" t="str">
        <f>Линии[[#This Row],[_авто утечка]]</f>
        <v/>
      </c>
      <c r="Z283">
        <v>4</v>
      </c>
      <c r="AA283">
        <v>400</v>
      </c>
      <c r="AB283" t="s">
        <v>547</v>
      </c>
      <c r="AJ283" t="s">
        <v>1344</v>
      </c>
      <c r="AK283" t="str">
        <f>Линии[[#This Row],[_авто модуль]]</f>
        <v/>
      </c>
      <c r="AM283">
        <v>2</v>
      </c>
      <c r="AN283" t="s">
        <v>11</v>
      </c>
      <c r="AO283">
        <v>5</v>
      </c>
      <c r="BA283" cm="1">
        <f t="array" ref="BA283">ROW()-ROW(Линии[#Headers])</f>
        <v>281</v>
      </c>
      <c r="BC283" s="6" t="str">
        <f t="shared" si="557"/>
        <v>Ввод</v>
      </c>
      <c r="BD283" t="str">
        <f t="shared" si="558"/>
        <v>1</v>
      </c>
      <c r="BE283" t="str">
        <f t="shared" si="559"/>
        <v>1</v>
      </c>
      <c r="BF283" t="str">
        <f t="shared" si="560"/>
        <v/>
      </c>
      <c r="BG283" t="str">
        <f t="shared" si="561"/>
        <v/>
      </c>
      <c r="BH283" t="str">
        <f>IF(X283&lt;&gt;"",X283,IF(AND(B283&lt;&gt;"",B283&lt;&gt;A283,ISNUMBER(_xlfn.XMATCH(B283,Щиты[Щит]))),B283,""))</f>
        <v/>
      </c>
      <c r="BI283" t="str" cm="1">
        <f t="array" ref="BI283">IF(B283="","",IF(BH283&lt;&gt;"","Щит "&amp;BH283,_xlfn.LET(_xlpm.nm,IFERROR(_xlfn.XLOOKUP(BC283,Коды_код,Коды_имя)&amp;"",""),_xlpm.md,IFERROR(N(_xlfn.XLOOKUP(BC283,Коды_код,Коды_режим)),1),_xlpm.ex,IF(Имя_режим="по экспликации",IFERROR(_xlfn.XLOOKUP(BE283&amp;"|"&amp;BG283,Экспликация[Этаж]&amp;"|"&amp;Экспликация[Помещение],Экспликация[Название])&amp;"",""),""),_xlpm.rm,IF(BG283="","",IF(_xlpm.ex&lt;&gt;"",". "&amp;_xlpm.ex&amp;IF(Имя_пом="нет"," ("&amp;BG283&amp;")"," (пом. "&amp;BG283&amp;")"),IF(Имя_пом="нет"," ",", пом. ")&amp;BG283)),IF(_xlpm.nm="","",IF(_xlpm.md=2,_xlpm.nm&amp;" шлейф "&amp;BE283,_xlpm.nm&amp;_xlpm.rm)))))</f>
        <v>Вводной кабель шлейф 1</v>
      </c>
      <c r="BJ283" t="str">
        <f t="shared" si="562"/>
        <v>Ввод</v>
      </c>
      <c r="BK283">
        <f>IFERROR(_xlfn.XMATCH(A283,Щиты[Щит]),0)</f>
        <v>11</v>
      </c>
      <c r="BL283">
        <f>_xlfn.LET(_xlpm.k,IFERROR(_xlfn.XLOOKUP(A283,Щиты[Щит],Щиты[Мест под вводной узел]),""),IF(_xlpm.k="",Столбцов_на_лист,N(_xlpm.k)))</f>
        <v>8</v>
      </c>
      <c r="BM283">
        <f t="shared" si="563"/>
        <v>2</v>
      </c>
      <c r="BN283" t="str">
        <f t="shared" si="564"/>
        <v>вводной узел</v>
      </c>
      <c r="BO283" s="6">
        <f>IFERROR(N(_xlfn.XLOOKUP(BC283,Коды_код,Коды_квт)),0)</f>
        <v>0</v>
      </c>
      <c r="BP283">
        <f t="shared" si="565"/>
        <v>1</v>
      </c>
      <c r="BQ283">
        <f>IF(B283="","",IF(BH283&lt;&gt;"",IFERROR(_xlfn.XLOOKUP(BH283,Щиты[Щит],Щиты[Руст, кВт]),0),IF(BP283=1,IF(OR(N(_xlfn.XLOOKUP(A283,Щиты[Щит],Щиты[Вводов],1))&lt;=1,LOWER(TRIM(_xlfn.XLOOKUP(A283,Щиты[Щит],Щиты[АВР],"")&amp;""))="да"),IFERROR(_xlfn.XLOOKUP(A283,Щиты[Щит],Щиты[Руст, кВт]),0),SUMIFS(Линии[_Р для вводов],Линии[Щит],A283,Линии[Источник для режимов],GF283)),IF(BO283&gt;0,ROUND(BO283*MAX(1,N(D283)),3),""))))</f>
        <v>9.98</v>
      </c>
      <c r="BR283">
        <f t="shared" si="566"/>
        <v>9.98</v>
      </c>
      <c r="BS283" s="6">
        <f>IF(B283="","",IF(BH283&lt;&gt;"",IFERROR(_xlfn.XLOOKUP(BH283,Щиты[Щит],Щиты[Руст, кВт]),0),N(BR283)))</f>
        <v>9.98</v>
      </c>
      <c r="BT283" t="str">
        <f>IF(B283="","",IFERROR(IF(VLOOKUP(BC283,Потребители_обозначение,8,FALSE)=0,"",VLOOKUP(BC283,Потребители_обозначение,8,FALSE)),""))</f>
        <v/>
      </c>
      <c r="BU283">
        <f t="shared" si="567"/>
        <v>400</v>
      </c>
      <c r="BV283">
        <f t="shared" si="568"/>
        <v>0</v>
      </c>
      <c r="BW283">
        <f>IF(B283="","",IF(BH283&lt;&gt;"",3,IFERROR(IF(N(VLOOKUP(BC283,Потребители_обозначение,9,FALSE))=0,1,VLOOKUP(BC283,Потребители_обозначение,9,FALSE)),1)))</f>
        <v>1</v>
      </c>
      <c r="BX283">
        <f t="shared" si="569"/>
        <v>4</v>
      </c>
      <c r="BY283" t="str">
        <f>IF(B283="","",_xlfn.LET(_xlpm.bc,IFERROR(IF(VLOOKUP(BC283,Потребители_обозначение,6,FALSE)=0,"",VLOOKUP(BC283,Потребители_обозначение,6,FALSE)&amp;""),""),IF(AND(GA283="да",OR(_xlpm.bc="",_xlpm.bc="мс")),Марка_пож,IF(AND(_xlpm.bc="",BH283&lt;&gt;""),"мс",_xlpm.bc))))</f>
        <v/>
      </c>
      <c r="BZ283" t="str">
        <f t="shared" si="570"/>
        <v>мс</v>
      </c>
      <c r="CA283">
        <f>IF(B283="","",_xlfn.LET(_xlpm.cc,IFERROR(N(VLOOKUP(BC283,Потребители_обозначение,7,FALSE)),0),IF(_xlpm.cc&gt;0,_xlpm.cc,IF(BZ283="","",IF(BV283=1,2,IF(N(BX283)=3,5,3))))))</f>
        <v>3</v>
      </c>
      <c r="CB283">
        <f t="shared" si="571"/>
        <v>5</v>
      </c>
      <c r="CC283">
        <f>IFERROR(N(VLOOKUP(BC283,Потребители_обозначение,10,FALSE)),0)</f>
        <v>0</v>
      </c>
      <c r="CD283">
        <f>IFERROR(VLOOKUP(BC283,Потребители_обозначение,5,FALSE),0)</f>
        <v>1</v>
      </c>
      <c r="CE283" s="6" cm="1">
        <f t="array" ref="CE283">IF(B283="","",IF(BH283&lt;&gt;"",IFERROR(_xlfn.XLOOKUP(BH283,Щиты[Щит],Щиты[cos φ]),0.95),IF(BP283=1,IFERROR(_xlfn.XLOOKUP(A283,Щиты[Щит],Щиты[cos φ]),0.95),IF(ISNUMBER(AD283),AD283,IFERROR(IF(CD283=2,_xlfn.IFS(BX283=3,VLOOKUP(BS283,Справочная_двигатели,8,FALSE),BX283=1,VLOOKUP(BS283,Справочная_двигатели,10,TRUE)),IF(AND(Методика="нормы 2026",FG283="Сил"),0.8,0.95)),0.95)))))</f>
        <v>0.95</v>
      </c>
      <c r="CF283">
        <f t="shared" si="572"/>
        <v>0</v>
      </c>
      <c r="CG283">
        <f t="shared" si="573"/>
        <v>1</v>
      </c>
      <c r="CH283">
        <f t="shared" si="574"/>
        <v>0</v>
      </c>
      <c r="CI283">
        <f>IF(B283="","",IF(BV283=1,IFERROR(BS283/((Uн_лин/SQRT(3))*MAX(0.5,N(CE283))),0),N(O283)))</f>
        <v>13.694473137501861</v>
      </c>
      <c r="CJ283">
        <f t="shared" si="575"/>
        <v>0</v>
      </c>
      <c r="CK283">
        <f t="shared" si="576"/>
        <v>0</v>
      </c>
      <c r="CL283">
        <f t="shared" si="577"/>
        <v>0</v>
      </c>
      <c r="CM283">
        <f t="shared" si="578"/>
        <v>0</v>
      </c>
      <c r="CN283">
        <f t="shared" si="579"/>
        <v>0</v>
      </c>
      <c r="CO283">
        <f>IF(BC283="",0,_xlfn.LET(_xlpm.v,IFERROR(_xlfn.XLOOKUP(B283,Коды_код,Коды_мА),IFERROR(_xlfn.XLOOKUP(BC283,Коды_код,Коды_мА),IFERROR(_xlfn.XLOOKUP(LEFT(BC283,2),Коды_код,Коды_мА),""))),IF(_xlpm.v="да",30,IF(ISNUMBER(_xlpm.v),_xlpm.v,0))))</f>
        <v>0</v>
      </c>
      <c r="CP283" t="str">
        <f t="shared" si="580"/>
        <v/>
      </c>
      <c r="CQ283" t="str">
        <f>_xlfn.LET(_xlpm.k,IFERROR(_xlfn.XLOOKUP(BC283,Коды_код,Коды_утечка)&amp;"",""),IF(_xlpm.k="","дифавтомат",_xlpm.k))</f>
        <v>дифавтомат</v>
      </c>
      <c r="CR283" t="str" cm="1">
        <f t="array" ref="CR283">IF(CG283=0,"",_xlfn.LET(_xlpm.sg,TRIM(_xlfn.TEXTSPLIT(DD283&amp;"",";")),_xlpm.f_,_xlfn._xlws.FILTER(_xlpm.sg,LEFT(_xlpm.sg,3)="УЗО",""),IFERROR(INDEX(_xlpm.f_,1)&amp;"","")))</f>
        <v/>
      </c>
      <c r="CS283" t="str">
        <f t="shared" si="581"/>
        <v/>
      </c>
      <c r="CT283" s="6" t="str" cm="1">
        <f t="array" ref="CT283">IF(CR283="","",_xlfn.LET(_xlpm.tk,_xlfn.TEXTSPLIT(UPPER(CR283)," ",,TRUE),_xlpm.a_,_xlfn._xlws.FILTER(_xlpm.tk,ISNUMBER(--LEFT(_xlpm.tk,1))*((ISNUMBER(SEARCH("А",_xlpm.tk))+ISNUMBER(SEARCH("A",_xlpm.tk)))&gt;0)*NOT(ISNUMBER(SEARCH("МА",_xlpm.tk)))*NOT(ISNUMBER(SEARCH("MA",_xlpm.tk))),""),IFERROR(--SUBSTITUTE(SUBSTITUTE(INDEX(_xlpm.a_,1),"А",""),"A",""),"")))</f>
        <v/>
      </c>
      <c r="CU283" t="str" cm="1">
        <f t="array" ref="CU283">IF(CR283="","",_xlfn.LET(_xlpm.tk,_xlfn.TEXTSPLIT(UPPER(CR283)," ",,TRUE),_xlpm.a_,_xlfn._xlws.FILTER(_xlpm.tk,ISNUMBER(--LEFT(_xlpm.tk,1))*((ISNUMBER(SEARCH("МА",_xlpm.tk))+ISNUMBER(SEARCH("MA",_xlpm.tk)))&gt;0),""),IFERROR(--SUBSTITUTE(SUBSTITUTE(INDEX(_xlpm.a_,1),"МА",""),"MA",""),30)))</f>
        <v/>
      </c>
      <c r="CV283" t="str">
        <f>IF(CS283="","",IFERROR(_xlfn.XLOOKUP(CS283,Линии[_n],Линии[_УЗО, мА]),30))</f>
        <v/>
      </c>
      <c r="CW283">
        <f>IF(CS283="",0,IF(ISNUMBER(SEARCH("4P",IFERROR(_xlfn.XLOOKUP(CS283,Линии[_n],Линии[_УЗО строки])&amp;"",""))),0,1))</f>
        <v>0</v>
      </c>
      <c r="CX283" t="str">
        <f>IF(AND(CS283&lt;&gt;"",CS283=BA283),SUMIFS(Линии[_ток на 230 В],Линии[_блок УЗО],BA283,Линии[Щит],A283),"")</f>
        <v/>
      </c>
      <c r="CY283" t="str">
        <f>IF(AND(CS283&lt;&gt;"",CS283=BA283),SUMIFS(Линии[_ток утечки линии, мА],Линии[_блок УЗО],BA283,Линии[Щит],A283),"")</f>
        <v/>
      </c>
      <c r="CZ283">
        <f t="shared" si="582"/>
        <v>0</v>
      </c>
      <c r="DA283">
        <f t="shared" si="583"/>
        <v>0</v>
      </c>
      <c r="DB283">
        <f>IF(B283="",0,IFERROR(--_xlfn.XLOOKUP(B283,Коды_код,Коды_минавт),IFERROR(--_xlfn.XLOOKUP(BC283,Коды_код,Коды_минавт),IFERROR(--_xlfn.XLOOKUP(LEFT(BC283,2),Коды_код,Коды_минавт),0))))</f>
        <v>0</v>
      </c>
      <c r="DC283" t="str">
        <f>IF(B283="","",IFERROR(_xlfn.XLOOKUP(BC283,Коды_код,Коды_апп)&amp;"",""))</f>
        <v/>
      </c>
      <c r="DD283" t="str">
        <f t="shared" si="584"/>
        <v/>
      </c>
      <c r="DE283" t="str" cm="1">
        <f t="array" ref="DE283">IF(TRIM(DD283&amp;"")="","",IFERROR(TRIM(INDEX(_xlfn.TEXTSPLIT(DD283&amp;";;;",";"),1)),""))</f>
        <v/>
      </c>
      <c r="DF283" t="str" cm="1">
        <f t="array" ref="DF283">IF(TRIM(DD283&amp;"")="","",IFERROR(TRIM(INDEX(_xlfn.TEXTSPLIT(DD283&amp;";;;",";"),2)),""))</f>
        <v/>
      </c>
      <c r="DG283" t="str" cm="1">
        <f t="array" ref="DG283">IF(TRIM(DD283&amp;"")="","",IFERROR(TRIM(INDEX(_xlfn.TEXTSPLIT(DD283&amp;";;;",";"),3)),""))</f>
        <v/>
      </c>
      <c r="DH283">
        <f t="shared" si="585"/>
        <v>0</v>
      </c>
      <c r="DI283" t="str">
        <f>IF(B283="","",_xlfn.LET(_xlpm.t,LOWER(AZ283&amp;""),IF(ISNUMBER(SEARCH("dim",_xlpm.t)),"DIM",IF(ISNUMBER(SEARCH("dali",_xlpm.t)),"DALI",IF(OR(ISNUMBER(SEARCH("relay",_xlpm.t)),ISNUMBER(SEARCH("реле",_xlpm.t))),"Relay",IF(ISNUMBER(SEARCH("кнопк",_xlpm.t)),"",IFERROR(_xlfn.XLOOKUP(BC283,Коды_код,Коды_упр)&amp;"","")))))))</f>
        <v/>
      </c>
      <c r="DJ283" t="str">
        <f t="shared" si="586"/>
        <v/>
      </c>
      <c r="DK283">
        <f>IF(B283="","",_xlfn.LET(_xlpm.ig,IF(N(CX283)&gt;0,N(CX283),N(CI283)+IF(AJ283="вручную",0,N(CJ283))),_xlpm.n0,IFERROR(VLOOKUP(_xlpm.ig,Автомат_номиналы,2,TRUE),0),_xlpm.mn,MAX(DB283,IF(AJ283="вручную",0,N(CM283))),MAX(_xlpm.n0,_xlpm.mn,IF(DH283=1,Мин_автомат_БП,0))))</f>
        <v>16</v>
      </c>
      <c r="DL283">
        <f t="shared" si="587"/>
        <v>4</v>
      </c>
      <c r="DM283" t="str">
        <f t="shared" si="588"/>
        <v>3P</v>
      </c>
      <c r="DN283" t="str">
        <f>_xlfn.LET(_xlpm.cc,UPPER(TRIM(IFERROR(_xlfn.XLOOKUP(BC283,Коды_код,Коды_хар)&amp;"",""))),IF(OR(_xlpm.cc="B",_xlpm.cc="В"),"B",IF(_xlpm.cc="D","D","С")))</f>
        <v>С</v>
      </c>
      <c r="DO283" t="str">
        <f t="shared" si="589"/>
        <v>3P С16А</v>
      </c>
      <c r="DP283">
        <f t="shared" si="590"/>
        <v>16</v>
      </c>
      <c r="DQ283" t="str">
        <f t="shared" si="591"/>
        <v>3P С16А</v>
      </c>
      <c r="DR283" cm="1">
        <f t="array" ref="DR283">IF(DQ283="","",_xlfn.LET(_xlpm.t,SUBSTITUTE(SUBSTITUTE(SUBSTITUTE(UPPER(DQ283),"С","C"),"А","A"),"В","B"),_xlpm.tk,_xlfn.TEXTSPLIT(_xlpm.t," "),_xlpm.f,_xlfn._xlws.FILTER(_xlpm.tk,ISNUMBER(--MID(_xlpm.tk,2,1))*ISNUMBER(SEARCH(LEFT(_xlpm.tk,1)&amp;"#","B#C#D#"))*(LEN(_xlpm.tk)&gt;1),""),_xlpm.x,INDEX(_xlpm.f,1),IFERROR(--SUBSTITUTE(MID(_xlpm.x,2,9),"A",""),IFERROR(--SUBSTITUTE(INDEX(_xlfn._xlws.FILTER(_xlpm.tk,ISNUMBER(--SUBSTITUTE(_xlpm.tk,"A","")),""),1),"A",""),""))))</f>
        <v>16</v>
      </c>
      <c r="DS283" t="str">
        <f t="shared" si="592"/>
        <v>узел</v>
      </c>
      <c r="DT283">
        <f t="shared" si="593"/>
        <v>16</v>
      </c>
      <c r="DU283" t="str">
        <f t="shared" si="594"/>
        <v>3P С16А</v>
      </c>
      <c r="DV283">
        <f t="shared" si="595"/>
        <v>0</v>
      </c>
      <c r="DW283">
        <f t="shared" si="596"/>
        <v>0</v>
      </c>
      <c r="DX283">
        <f t="shared" si="597"/>
        <v>0</v>
      </c>
      <c r="DY283">
        <f t="shared" si="598"/>
        <v>13.694473137501861</v>
      </c>
      <c r="DZ283">
        <f t="shared" si="599"/>
        <v>0.92</v>
      </c>
      <c r="EA283">
        <f>IF(ISNUMBER(AP283),AP283,К_прокл)</f>
        <v>1</v>
      </c>
      <c r="EB283">
        <f t="shared" si="600"/>
        <v>3</v>
      </c>
      <c r="EC283">
        <f>IFERROR(N(VLOOKUP(BZ283,Кабель_обозначение,3,FALSE)),1)</f>
        <v>1</v>
      </c>
      <c r="ED283">
        <f>IFERROR(N(_xlfn.XLOOKUP(A283,Щиты[Щит],Щиты[ΔU до шин, %])),0)</f>
        <v>1.79</v>
      </c>
      <c r="EE283" t="str">
        <f>IFERROR(_xlfn.XLOOKUP(A283,Щиты[Щит],Щиты[Zпетли на шинах, Ом]),"")</f>
        <v/>
      </c>
      <c r="EF283">
        <f>IFERROR(N(_xlfn.XLOOKUP(A283,Щиты[Щит],Щиты[ΔU до шин (подбор), %])),0)</f>
        <v>4.75</v>
      </c>
      <c r="EG283" t="str">
        <f>IFERROR(_xlfn.XLOOKUP(A283,Щиты[Щит],Щиты[Zпетли на шинах (подбор), Ом]),"")</f>
        <v/>
      </c>
      <c r="EH283" t="str">
        <f t="shared" si="601"/>
        <v/>
      </c>
      <c r="EI283" t="str">
        <f t="shared" si="602"/>
        <v/>
      </c>
      <c r="EJ283" t="str">
        <f t="shared" si="603"/>
        <v/>
      </c>
      <c r="EK283">
        <f t="shared" si="604"/>
        <v>0.31</v>
      </c>
      <c r="EL283" s="6">
        <f>IF(B283="","",IF(BV283=1,dU_LED,IF(IFERROR(_xlfn.XLOOKUP(BC283,Коды_код,Коды_уго),"")="Светильник",3,4)+IF(Методика="нормы 2026",MIN(0.5,MAX(0,N(P283)-100)*0.005),0)))</f>
        <v>4</v>
      </c>
      <c r="EM283" cm="1">
        <f t="array" ref="EM283">IF(OR(B283="",BZ283="",EC283&lt;&gt;1),"",_xlfn.LET(_xlpm.sz,Iдоп_S,_xlpm.t_,CHOOSE(EB283,Iдоп_1ж,Iдоп_2ж,Iдоп_3ж)*DZ283*EA283,_xlpm.dcx,BV283=1,_xlpm.inn,IF(_xlpm.dcx,N(O283),N(DT283)),_xlpm.smin,MAX(1.5,CC283),_xlpm.L_,N(P283)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283)/N(BU283)*100,999),IFERROR(N(EJ283)*(_xlpm.rho*_xlpm.L_/_xlpm.sz*N(CE283)+_xlpm.xx*_xlpm.L_*N(EK283)/1000)*N(O283)/((Uн_лин/SQRT(3))*1000)*100,999)),_xlpm.kz,IF(OR(_xlpm.dcx,DW283=1,NOT(ISNUMBER(EG283)),_xlpm.L_=0,_xlpm.inn=0),1,IFERROR(--(c_min*(Uн_лин*1000/SQRT(3))/(EG283+2*ρкз_Cu*_xlpm.L_/_xlpm.sz)&gt;=HT283*_xlpm.inn),0)),_xlpm.ok,IFERROR((_xlpm.sz&gt;=_xlpm.smin)*(_xlpm.t_&gt;=_xlpm.inn)*IF(_xlpm.L_&gt;0,(_xlpm.du_+IF(_xlpm.dcx,0,EF283)&lt;=EL283+0.00001),1)*_xlpm.kz,0),_xlpm.r_,_xlfn._xlws.FILTER(_xlpm.sz,_xlpm.ok,"не подобрано"),INDEX(_xlpm.r_,1)))</f>
        <v>1.5</v>
      </c>
      <c r="EN283">
        <f t="shared" si="605"/>
        <v>4</v>
      </c>
      <c r="EO283" cm="1">
        <f t="array" ref="EO283">IF(OR(B283="",BZ283="",EC283&lt;&gt;1),"",_xlfn.LET(_xlpm.sz,Iдоп_S,_xlpm.t_,CHOOSE(EB283,Iдоп_1ж,Iдоп_2ж,Iдоп_3ж)*DZ283*EA283,_xlpm.ok,IFERROR((_xlpm.sz&gt;=MAX(1.5,CC283))*(_xlpm.t_&gt;=N(DT283)),0),_xlpm.r_,_xlfn._xlws.FILTER(_xlpm.sz,_xlpm.ok,""),INDEX(_xlpm.r_,1)))</f>
        <v>1.5</v>
      </c>
      <c r="EP283" s="6" cm="1">
        <f t="array" ref="EP283">IFERROR(ROUNDUP(N(EJ283)*(_xlfn.XLOOKUP(EO283,INDEX(Кабель_сопротивление,0,1),INDEX(Кабель_сопротивление,0,3))*N(P283)/EO283*N(CE283)+_xlfn.XLOOKUP(EO283,INDEX(Кабель_сопротивление,0,1),INDEX(Кабель_сопротивление,0,2))*N(P283)*N(EK283)/1000)*N(O283)/((Uн_лин/SQRT(3))*1000)*100,2),"")</f>
        <v>0</v>
      </c>
      <c r="EQ283">
        <f>IFERROR(2*ρкз_Cu*N(P283)/EO283,"")</f>
        <v>0</v>
      </c>
      <c r="ER283">
        <f>IFERROR(VLOOKUP(EN283,Кабель_сопротивление,3,FALSE),"")</f>
        <v>2.2499999999999999E-2</v>
      </c>
      <c r="ES283">
        <f>IFERROR(VLOOKUP(EN283,Кабель_сопротивление,2,FALSE),"")</f>
        <v>9.5000000000000001E-2</v>
      </c>
      <c r="ET283" t="str">
        <f t="shared" si="606"/>
        <v/>
      </c>
      <c r="EU283" t="str">
        <f t="shared" si="607"/>
        <v/>
      </c>
      <c r="EV283" t="str">
        <f t="shared" si="608"/>
        <v/>
      </c>
      <c r="EW283" s="6" t="str">
        <f>IFERROR(ROUNDUP(EV283/IF(BV283=1,BU283,(Uн_лин/SQRT(3))*1000)*100,2),"")</f>
        <v/>
      </c>
      <c r="EX283" t="str">
        <f>IFERROR(VLOOKUP(BZ283,Кабель_обозначение,2,FALSE),"")</f>
        <v>ВВГнг(А)-LS</v>
      </c>
      <c r="EY283" t="str">
        <f t="shared" si="609"/>
        <v>ВВГнг(А)-LS (5х4)</v>
      </c>
      <c r="EZ283" t="str">
        <f t="shared" si="610"/>
        <v>ВВГнг(А)-LS (5х4)</v>
      </c>
      <c r="FA283" t="str">
        <f>IFERROR(2*ρкз_Cu*P283/EN283,"")</f>
        <v/>
      </c>
      <c r="FB283">
        <f t="shared" si="611"/>
        <v>0</v>
      </c>
      <c r="FC283" s="6" t="str">
        <f>IFERROR(IF(OR(B283="",BV283=1,NOT(ISNUMBER(EN283)),N(P283)=0),"",_xlfn.XLOOKUP(A283,Щиты[Щит],Щиты[Zпетли на шинах, Ом])+FA283),"")</f>
        <v/>
      </c>
      <c r="FD283" s="6" t="str">
        <f>IF(ISNUMBER(FC283),c_min*(Uн_лин*1000/SQRT(3))/FC283,"")</f>
        <v/>
      </c>
      <c r="FE283" s="6" t="str">
        <f>IFERROR(IF(OR(B283="",NOT(ISNUMBER(EN283))),"",1.05*(Uн_лин*1000/SQRT(3))/(_xlfn.XLOOKUP(A283,Щиты[Щит],Щиты[Zmax на шинах, Ом])+FB283)/1000),"")</f>
        <v/>
      </c>
      <c r="FF283" s="6" t="str">
        <f>IF(B283="","",IF(ISNUMBER(AC283),"Сил",IF(IFERROR(_xlfn.XLOOKUP(BC283,Коды_код,Коды_группа)&amp;"","")="","Быт",_xlfn.XLOOKUP(BC283,Коды_код,Коды_группа)&amp;"")))</f>
        <v>Быт</v>
      </c>
      <c r="FG283" s="6" t="str">
        <f t="shared" si="612"/>
        <v>Нет</v>
      </c>
      <c r="FH283" s="6">
        <f>IF(FG283="Щит","щит",IF(FG283="","",IF(FG283="Быт",IFERROR(_xlfn.XLOOKUP(A283,Щиты[Щит],Щиты[Кс быт]),1),IF(FG283="Сил",IF(ISNUMBER(AC283),AC283,IF(Методика="нормы 2026",IFERROR(_xlfn.XLOOKUP(A283,Щиты[Щит],Щиты[Кс силовых (табл. 7.5)]),1),1)),IF(OR(FG283="Пост",FG283="Отоп"),1,IF(FG283="ВНГ",0.7,0))))))</f>
        <v>0</v>
      </c>
      <c r="FI283">
        <f>IF(FG283="","",IF(AND(BP283=1,TRIM(AE283&amp;"")=""),IF(COUNTIFS(Линии[Щит],A283,Линии[Секция (1/2/3)],"&gt;=2")&gt;0,MIN(3,MAX(1,IFERROR(--BD283,1))),1),IFERROR(MIN(3,MAX(1,INT(--AE283))),1)))</f>
        <v>1</v>
      </c>
      <c r="FJ283">
        <f t="shared" si="613"/>
        <v>0</v>
      </c>
      <c r="FK283">
        <f t="shared" si="614"/>
        <v>0</v>
      </c>
      <c r="FL283">
        <f t="shared" si="615"/>
        <v>0</v>
      </c>
      <c r="FM283">
        <f t="shared" si="616"/>
        <v>0</v>
      </c>
      <c r="FN283">
        <f t="shared" si="617"/>
        <v>0</v>
      </c>
      <c r="FO283">
        <f t="shared" si="618"/>
        <v>0</v>
      </c>
      <c r="FP283">
        <f t="shared" si="619"/>
        <v>0</v>
      </c>
      <c r="FQ283">
        <f t="shared" si="620"/>
        <v>0</v>
      </c>
      <c r="FR283">
        <f t="shared" si="621"/>
        <v>0</v>
      </c>
      <c r="FS283">
        <f>IF(CG283=1,IF(AND(CH283=1,CW283=1),0,IF(AND(CS283&lt;&gt;"",CS283=BA283,CW283=1),SUMIFS(Линии[_Р линии, кВт],Линии[_блок УЗО],BA283,Линии[Щит],A283),N(BS283)+IF(AJ283="вручную",0,N(CK283)))),0)</f>
        <v>9.98</v>
      </c>
      <c r="FT283" t="str">
        <f t="shared" si="622"/>
        <v/>
      </c>
      <c r="FU283" t="str">
        <f>IF(B283="","",IF(CG283=0,IF(BA283=1,"",FW282),IF(AND(CH283=1,CW283=1,CS283&lt;&gt;""),IFERROR(_xlfn.XLOOKUP(CS283,Линии[_n],Линии[_фаза итог]),"L1"),IF(OR(N(DL283)&gt;=3,N(BX283)&gt;=3),"L1,L2,L3",IFERROR(_xlfn.TEXTBEFORE(_xlfn.TEXTAFTER(_xlfn.XLOOKUP(A283,Щиты[Щит],Щиты[_фазы авто]),";"&amp;BA283&amp;":"),";"),"L1")))))</f>
        <v>L1,L2,L3</v>
      </c>
      <c r="FV283" t="str">
        <f t="shared" si="623"/>
        <v>L1,L2,L3</v>
      </c>
      <c r="FW283" t="str">
        <f t="shared" si="624"/>
        <v>L1,L2,L3</v>
      </c>
      <c r="FX283" cm="1">
        <f t="array" ref="FX283">IFERROR(IF(CD283=2,_xlfn.IFS(BX283=3,VLOOKUP(BS283,Справочная_двигатели,3,FALSE),BX283=1,VLOOKUP(BS283,Справочная_двигатели,5,TRUE)),0),0)</f>
        <v>0</v>
      </c>
      <c r="FY283">
        <f>IFERROR(IF(CD283=3,VLOOKUP(BS283,Справочная_ЛЭД,2,TRUE),0),0)</f>
        <v>0</v>
      </c>
      <c r="FZ283" s="6">
        <f t="shared" si="625"/>
        <v>0</v>
      </c>
      <c r="GA283" t="str">
        <f>IF(B283="","",IF(TRIM(AH283&amp;"")&lt;&gt;"",IF(LOWER(TRIM(AH283&amp;""))="да","да","нет"),IF(IFERROR(_xlfn.XLOOKUP(BC283,Коды_код,Коды_пожарная),"")="да","да","нет")))</f>
        <v>нет</v>
      </c>
      <c r="GB283" t="str">
        <f t="shared" si="626"/>
        <v/>
      </c>
      <c r="GC283" t="str">
        <f t="shared" si="627"/>
        <v>основная</v>
      </c>
      <c r="GD283">
        <f>IF(AND(BP283=1,TRIM(AE283&amp;"")=""),IF(COUNTIFS(Линии[Щит],A283,Линии[Секция (1/2/3)],"&gt;=2")&gt;0,MIN(3,MAX(1,IFERROR(--BD283,1))),1),IFERROR(MIN(3,MAX(1,INT(--AE283))),1))</f>
        <v>1</v>
      </c>
      <c r="GE283" t="str" cm="1">
        <f t="array" ref="GE283">IF(B283="","",_xlfn.LET(_xlpm.t,IFERROR(_xlfn.XLOOKUP(1,(Шины[Шина]=GC283)*(((Шины[Щит]=A283)+(Шины[Щит]=""))&gt;0),Шины[Тип]),"")&amp;"",IF(_xlpm.t&lt;&gt;"",_xlpm.t,IF(ISNUMBER(SEARCH("ИБП",GC283)),"ИБП",IF(ISNUMBER(SEARCH("ДГУ",GC283)),"ДГУ","Ввод "&amp;GD283)))))</f>
        <v>Ввод 1</v>
      </c>
      <c r="GF283" t="str">
        <f t="shared" si="628"/>
        <v>Ввод 1</v>
      </c>
      <c r="GG283" t="str">
        <f>IF(BP283=0,"",IF(TRIM(AG283&amp;"")&lt;&gt;"",TRIM(AG283&amp;""),IF(OR(GE283="ИБП",GE283="ДГУ"),"I особая",_xlfn.XLOOKUP(A283,Щиты[Щит],Щиты[Категория шины «Ввод»],"III"))))</f>
        <v>II</v>
      </c>
      <c r="GH283" t="str">
        <f>IF(A283="","",_xlfn.XLOOKUP(A283,Щиты[Щит],Щиты[Путь],""))</f>
        <v>|ГРЩ-ЖД|ЩР-2|</v>
      </c>
      <c r="GI283" t="str">
        <f>IF(B283="","",IF(AI283&lt;&gt;"",AI283,IF(IFERROR(_xlfn.XLOOKUP(BC283,Коды_код,Коды_вид)&amp;"","")="","Прочее",_xlfn.XLOOKUP(BC283,Коды_код,Коды_вид)&amp;"")))</f>
        <v>Прочее</v>
      </c>
      <c r="GJ283">
        <f>IF(BM283="","",INT((BM283-1)/Столбцов_на_лист)+1)</f>
        <v>1</v>
      </c>
      <c r="GK283" t="str">
        <f t="shared" si="629"/>
        <v>ВВГнг(А)-LS (5х4)</v>
      </c>
      <c r="GL283">
        <f t="shared" si="630"/>
        <v>9.98</v>
      </c>
      <c r="GM283">
        <f t="shared" si="631"/>
        <v>13.7</v>
      </c>
      <c r="GN283">
        <f t="shared" si="632"/>
        <v>4</v>
      </c>
      <c r="GO283">
        <f t="shared" si="633"/>
        <v>0</v>
      </c>
      <c r="GP283">
        <f t="shared" si="634"/>
        <v>0</v>
      </c>
      <c r="GQ283" t="str">
        <f>IF(BM283="","",IF(AND(CG283=1,GP283=1),COUNTIFS(A$3:A283,A283,CG$3:CG283,1,GP$3:GP283,1),IF(OR(OR(BA283=1,A283&lt;&gt;A282),AJ283="вручную",GP283=0),"",IF(BA283=1,"",GR282))))</f>
        <v/>
      </c>
      <c r="GR283" t="str">
        <f t="shared" si="635"/>
        <v/>
      </c>
      <c r="GS283">
        <f>IF(B283="","",IFERROR(LOOKUP(INDEX(CHOOSE(EB283,Iдоп_1ж,Iдоп_2ж,Iдоп_3ж),MATCH(EN283,Iдоп_S,0))*DZ283*EA283,{6,10,16,20,25,32,40,50,63,80,100,125,160,200,250,315,400,500,630}),""))</f>
        <v>32</v>
      </c>
      <c r="GT283" t="str">
        <f t="shared" si="636"/>
        <v/>
      </c>
      <c r="GU283" t="str">
        <f t="shared" si="637"/>
        <v/>
      </c>
      <c r="GV283" t="str">
        <f t="shared" si="638"/>
        <v/>
      </c>
      <c r="GW283">
        <f t="shared" si="639"/>
        <v>0</v>
      </c>
      <c r="GX283" t="str">
        <f>IF(OR(B283="",DJ283=""),"",IFERROR(_xlfn.XLOOKUP(DJ283,Модули_умолч[Управление],Модули_умолч[Модель])&amp;"",""))</f>
        <v/>
      </c>
      <c r="GY283">
        <f>IF(DJ283="",1,IFERROR(MAX(0,N(_xlfn.XLOOKUP(DJ283,Модули_умолч[Управление],Модули_умолч[Каналов на линию]))),1))</f>
        <v>1</v>
      </c>
      <c r="GZ283" t="str">
        <f t="shared" si="640"/>
        <v/>
      </c>
      <c r="HA283" t="str">
        <f t="shared" si="641"/>
        <v/>
      </c>
      <c r="HB283" t="str">
        <f t="shared" si="642"/>
        <v/>
      </c>
      <c r="HC283">
        <f>IF(HB283="",0,IFERROR(N(VLOOKUP(HB283,Модули_спр,3,FALSE)),0))</f>
        <v>0</v>
      </c>
      <c r="HD283" t="str">
        <f t="shared" si="643"/>
        <v/>
      </c>
      <c r="HE283" t="str">
        <f t="shared" si="644"/>
        <v/>
      </c>
      <c r="HF283" t="str">
        <f>IF(OR(HE283="",HE283="-"),"",IFERROR(VLOOKUP(HE283,Модули_спр,2,FALSE),"R"))</f>
        <v/>
      </c>
      <c r="HG283" t="str">
        <f>IF(HF283="","",HF283&amp;"."&amp;COUNTIFS(A$3:A283,A283,HF$3:HF283,HF283))</f>
        <v/>
      </c>
      <c r="HH283" t="str">
        <f t="shared" si="645"/>
        <v/>
      </c>
      <c r="HI283" t="str">
        <f t="shared" si="646"/>
        <v/>
      </c>
      <c r="HJ283" t="str">
        <f t="shared" si="647"/>
        <v/>
      </c>
      <c r="HK283" t="str">
        <f t="shared" si="648"/>
        <v/>
      </c>
      <c r="HL283">
        <f t="shared" si="649"/>
        <v>0</v>
      </c>
      <c r="HM283" t="str">
        <f>IF(HL283=1,"XT"&amp;COUNTIFS(A$3:A283,A283,HL$3:HL283,1),"")</f>
        <v/>
      </c>
      <c r="HN283" t="str">
        <f t="shared" si="650"/>
        <v/>
      </c>
      <c r="HO283" t="str">
        <f t="shared" si="651"/>
        <v/>
      </c>
      <c r="HP283" t="str">
        <f t="shared" si="652"/>
        <v/>
      </c>
      <c r="HQ283" t="str">
        <f t="shared" si="653"/>
        <v>ok</v>
      </c>
      <c r="HR283" t="str">
        <f>IF(OR(HJ283="",HH283=""),"",IF(HJ283+MAX(0,GY283-1)&gt;IFERROR(VLOOKUP(HI283,Модули_спр,3,FALSE),99),"ЛИШНИЙ КАНАЛ",IF(AND(AL283&lt;&gt;"=",GY283&gt;0,COUNTIFS(Линии[_модуль гр.],HH283,Линии[Канал (итог)],HJ283,Линии[Канал],"&lt;&gt;=",Линии[Щит],A283)&gt;1),"ДУБЛЬ КАНАЛА","")))</f>
        <v/>
      </c>
      <c r="HS283" s="6" t="str">
        <f t="shared" si="654"/>
        <v/>
      </c>
      <c r="HT283">
        <f t="shared" si="655"/>
        <v>10</v>
      </c>
      <c r="HU283" t="str">
        <f t="shared" si="656"/>
        <v/>
      </c>
      <c r="HV283">
        <f t="shared" si="657"/>
        <v>0</v>
      </c>
      <c r="HW283">
        <f t="shared" si="658"/>
        <v>0</v>
      </c>
      <c r="HX283">
        <f t="shared" si="659"/>
        <v>0</v>
      </c>
      <c r="HY283">
        <f t="shared" si="660"/>
        <v>0</v>
      </c>
      <c r="HZ283">
        <f t="shared" si="661"/>
        <v>0</v>
      </c>
      <c r="IA283">
        <f t="shared" si="662"/>
        <v>0</v>
      </c>
      <c r="IB283">
        <f t="shared" si="663"/>
        <v>0</v>
      </c>
      <c r="IC283" t="str">
        <f t="shared" si="664"/>
        <v/>
      </c>
      <c r="ID283" t="str" cm="1">
        <f t="array" ref="ID283">IF(IC283="","",_xlfn.LET(_xlpm.tk,_xlfn.TEXTSPLIT(SUBSTITUTE(SUBSTITUTE(IC283,";"," "),"→"," ")," ",,TRUE),_xlpm.w_,_xlfn._xlws.FILTER(_xlpm.tk,ISNUMBER(--LEFT(_xlpm.tk,1))*((ISNUMBER(SEARCH("W",_xlpm.tk))+ISNUMBER(SEARCH("Вт",_xlpm.tk)))&gt;0),""),IFERROR(--SUBSTITUTE(SUBSTITUTE(UPPER(INDEX(_xlpm.w_,1)),"W",""),"ВТ",""),"")))</f>
        <v/>
      </c>
      <c r="IE283" t="str" cm="1">
        <f t="array" ref="IE283">IF(IC283="","",_xlfn.LET(_xlpm.tk,_xlfn.TEXTSPLIT(SUBSTITUTE(SUBSTITUTE(IC283,";"," "),"→"," ")," ",,TRUE),_xlpm.v_,_xlfn._xlws.FILTER(_xlpm.tk,ISNUMBER(--LEFT(_xlpm.tk,1))*((ISNUMBER(SEARCH("V",_xlpm.tk))+(RIGHT(UPPER(_xlpm.tk))="В"))&gt;0),""),IFERROR(--SUBSTITUTE(SUBSTITUTE(UPPER(INDEX(_xlpm.v_,1)),"V",""),"В",""),"")))</f>
        <v/>
      </c>
      <c r="IF283" s="6" t="str">
        <f>IF(OR(BV283=0,HI283="",HJ283=""),"",IFERROR(N(_xlfn.XLOOKUP(HI283,Каталог!$C$4:$C$500,Каталог!$Q$4:$Q$500)),""))</f>
        <v/>
      </c>
      <c r="IG283" s="6" t="str">
        <f>IF(N(IF283)=0,"",SUMIFS(Линии[Iр, А],Линии[Щит],A283,Линии[_модуль гр.],HH283,Линии[Канал (итог)],HJ283))</f>
        <v/>
      </c>
      <c r="IH283" t="str">
        <f>IF(AND(B283="",HO283=""),"",_xlfn.TEXTJOIN("; ",TRUE,IF(AND(B283&lt;&gt;"",FV283=""),"нет фазы",""),IF(AND(B283&lt;&gt;"",N(GL283)=0,FG283&lt;&gt;"Нет"),"нет мощности",""),IF(AND(HN283&lt;&gt;"",COUNTIFS(Линии[Щит],A283,Линии[Клемма (итог)],HN283)&gt;1),"дубль клеммы "&amp;HN283,""),IF(AND(HQ283&lt;&gt;"",HQ283&lt;&gt;"ok"),HQ283,""),IF(HR283&lt;&gt;"",HR283,""),IF(AND(N(CB283)&gt;=4,N(BX283)=1),CB283&amp;" жил на 1 фазе",""),IF(AND(BC283="R",CG283=1,IF(CS283&lt;&gt;"",N(CV283)&gt;30,OR(N(DA283)=0,N(DA283)&gt;30))),"розетка без дифзащиты до 30 мА",""),IF(AND(CG283=1,N(DA283)&gt;0,ISNUMBER(T283)),IF(T283&gt;N(DA283)/3,"ток утечки "&amp;FIXED(T283,1)&amp;" мА &gt; 1/3 уставки ("&amp;DA283&amp;" мА)",""),""),IF(AND(CH283=1,CS283=""),"«узо»: нет строки с УЗО выше (УЗО 2P 40А 30мА в «Аппаратах»)",""),IF(AND(CS283&lt;&gt;"",CS283=BA283),IF(CT283="","впишите номинал УЗО (УЗО 2P 40А 30мА)",IF(N(CT283)&lt;N(DT283),"УЗО "&amp;CT283&amp;" А &lt; автомата "&amp;DT283&amp;" А перед ним",IF(N(CT283)&lt;N(CX283),"УЗО "&amp;CT283&amp;" А &lt; тока блока "&amp;FIXED(CX283,1)&amp;" А",""))),""),IF(AND(CS283&lt;&gt;"",CS283=BA283,ISNUMBER(CY283)),IF(CY283&gt;N(CV283)/3,"ток утечки блока УЗО "&amp;FIXED(CY283,1)&amp;" мА &gt; 1/3 уставки ("&amp;CV283&amp;" мА)",""),""),IF(AND(CG283=1,N(BV283)+N(IB283)&gt;0,IC283=""),"линии до 50 В без БП: впишите в «Аппараты» (БП 24V 480W)",""),IF(AND(CG283=1,ISNUMBER(ID283),ISNUMBER(U283)),IF(U283&gt;ID283,"БП "&amp;ID283&amp;" Вт &lt; нужно "&amp;U283&amp;" Вт (×"&amp;Запас_БП&amp;")",""),""),IF(AND(CG283=1,ISNUMBER(IE283),N(BV283)=1),IF(IE283&lt;&gt;N(BU283),"БП на "&amp;IE283&amp;" В, линия "&amp;BU283&amp;" В",""),""),IF(AND(N(IF283)&gt;0,N(IG283)&gt;N(IF283)),HH283&amp;" канал "&amp;HJ283&amp;": "&amp;FIXED(IG283,1)&amp;" А &gt; "&amp;IF283&amp;" А",""),IFERROR(IF(AND(ISNUMBER(Q283),Q283&gt;EL283),"потери "&amp;FIXED(Q283,1)&amp;" % &gt; "&amp;EL283&amp;" %",""),""),IFERROR(IF(LEFT(HU283,4)="мало","Iкз мало — отключение &gt; 0,4 с",""),""),IF(AND(B283&lt;&gt;"",BM283=""),"не на схеме",""),IF(AND(CG283=0,B283&lt;&gt;"",FV283&lt;&gt;"",IF(BA283=1,"",FW282)&lt;&gt;"",FV283&lt;&gt;IF(BA283=1,"",FW282)),"фаза не как у автомата группы ("&amp;IF(BA283=1,"",FW282)&amp;")","")))</f>
        <v/>
      </c>
      <c r="II283" s="6" t="str">
        <f>IF(OR(CG283=0,DQ283=""),"",_xlfn.LET(_xlpm.t,IFERROR(_xlfn.XLOOKUP(DQ283,Каталог!$U$4:$U$500,Каталог!$G$4:$G$500),""),_xlpm.k,SEARCH("кА",_xlpm.t),IFERROR(--TRIM(RIGHT(SUBSTITUTE(MID(_xlpm.t,MAX(1,_xlpm.k-4),_xlpm.k-MAX(1,_xlpm.k-4))," ",REPT(" ",9)),5)),"")))</f>
        <v/>
      </c>
      <c r="IJ283" t="str">
        <f>IF(OR(II283="",CG283=0),"",IF(_xlfn.XLOOKUP(A283,Щиты[Щит],Щиты[Iкз max на шинах, кА],"")="","",IF(II283&lt;_xlfn.XLOOKUP(A283,Щиты[Щит],Щиты[Iкз max на шинах, кА]),"Icu "&amp;II283&amp;" кА &lt; Iкз max","ok")))</f>
        <v/>
      </c>
      <c r="IK283" t="str">
        <f t="shared" si="665"/>
        <v/>
      </c>
      <c r="IL283" t="str">
        <f t="shared" si="666"/>
        <v/>
      </c>
      <c r="IM283" t="str">
        <f t="shared" si="667"/>
        <v/>
      </c>
      <c r="IN283" t="str" cm="1">
        <f t="array" ref="IN283">IF(IM283="","",_xlfn.LET(_xlpm.nd,_xlfn.TEXTSPLIT(IM283,"|"),IF(COLUMNS(_xlpm.nd)&gt;1,A283&amp;"¦"&amp;INDEX(_xlpm.nd,1)&amp;"¦"&amp;INDEX(_xlpm.nd,2),"")))</f>
        <v/>
      </c>
      <c r="IO283" t="str">
        <f t="shared" si="668"/>
        <v/>
      </c>
      <c r="IP283" t="str" cm="1">
        <f t="array" ref="IP283">IF(IM283="","",_xlfn.LET(_xlpm.nd,_xlfn.TEXTSPLIT(IM283,"|"),IF(COLUMNS(_xlpm.nd)&gt;2,A283&amp;"¦"&amp;INDEX(_xlpm.nd,2)&amp;"¦"&amp;INDEX(_xlpm.nd,3),"")))</f>
        <v/>
      </c>
      <c r="IQ283" t="str">
        <f t="shared" si="669"/>
        <v/>
      </c>
      <c r="IR283" t="str" cm="1">
        <f t="array" ref="IR283">IF(IM283="","",_xlfn.LET(_xlpm.nd,_xlfn.TEXTSPLIT(IM283,"|"),IF(COLUMNS(_xlpm.nd)&gt;3,A283&amp;"¦"&amp;INDEX(_xlpm.nd,3)&amp;"¦"&amp;INDEX(_xlpm.nd,4),"")))</f>
        <v/>
      </c>
      <c r="IS283" t="str">
        <f t="shared" si="670"/>
        <v/>
      </c>
      <c r="IT283" t="str" cm="1">
        <f t="array" ref="IT283">IF(IM283="","",_xlfn.LET(_xlpm.nd,_xlfn.TEXTSPLIT(IM283,"|"),IF(COLUMNS(_xlpm.nd)&gt;4,A283&amp;"¦"&amp;INDEX(_xlpm.nd,4)&amp;"¦"&amp;INDEX(_xlpm.nd,5),"")))</f>
        <v/>
      </c>
      <c r="IU283" t="str">
        <f t="shared" si="671"/>
        <v/>
      </c>
      <c r="IV283" t="str" cm="1">
        <f t="array" ref="IV283">IF(IM283="","",_xlfn.LET(_xlpm.nd,_xlfn.TEXTSPLIT(IM283,"|"),IF(COLUMNS(_xlpm.nd)&gt;5,A283&amp;"¦"&amp;INDEX(_xlpm.nd,5)&amp;"¦"&amp;INDEX(_xlpm.nd,6),"")))</f>
        <v/>
      </c>
      <c r="IW283" t="str">
        <f t="shared" si="672"/>
        <v/>
      </c>
      <c r="IX283" t="str" cm="1">
        <f t="array" ref="IX283">IF(IM283="","",_xlfn.LET(_xlpm.nd,_xlfn.TEXTSPLIT(IM283,"|"),IF(COLUMNS(_xlpm.nd)&gt;6,A283&amp;"¦"&amp;INDEX(_xlpm.nd,6)&amp;"¦"&amp;INDEX(_xlpm.nd,7),"")))</f>
        <v/>
      </c>
      <c r="IY283" t="str">
        <f t="shared" si="673"/>
        <v/>
      </c>
      <c r="IZ283" t="str">
        <f t="shared" si="674"/>
        <v/>
      </c>
      <c r="JA283" t="str">
        <f t="shared" si="675"/>
        <v/>
      </c>
      <c r="JB283">
        <f t="shared" si="676"/>
        <v>0</v>
      </c>
      <c r="JC283">
        <f t="shared" si="677"/>
        <v>0</v>
      </c>
      <c r="JD283" t="str">
        <f t="shared" si="678"/>
        <v/>
      </c>
      <c r="JE283" t="str">
        <f t="shared" si="679"/>
        <v/>
      </c>
      <c r="JF283" t="str">
        <f t="shared" si="680"/>
        <v/>
      </c>
      <c r="JG283" t="str">
        <f t="shared" si="681"/>
        <v/>
      </c>
      <c r="JH283">
        <f>IF(B283="","",IFERROR(_xlfn.XLOOKUP(B283,Коды_код,Коды_уго),IFERROR(_xlfn.XLOOKUP(BC283,Коды_код,Коды_уго),IFERROR(_xlfn.XLOOKUP(LEFT(BC283,2),Коды_код,Коды_уго),""))))</f>
        <v>0</v>
      </c>
      <c r="JI283" t="str">
        <f>IF(B283="","",IF(OR(JH283="",JH283=0),"BOX",IFERROR(IF(VLOOKUP(JH283,УГО_блоки,3,FALSE)&amp;""&lt;&gt;"",VLOOKUP(JH283,УГО_блоки,3,FALSE),VLOOKUP(JH283,УГО_блоки,2,FALSE)),JH283)))</f>
        <v>BOX</v>
      </c>
      <c r="JJ283">
        <f t="shared" si="682"/>
        <v>1</v>
      </c>
      <c r="JK283" t="str">
        <f>IF(DQ283="","",IF(COUNTIF(DQ$3:DQ283,DQ283)=1,MAX(JK$2:JK282)+1,""))</f>
        <v/>
      </c>
      <c r="JL283" t="str">
        <f>IF(DE283="","",IF(COUNTIF(DE$3:DE283,DE283)+COUNTIF(DF$2:DF282,DE283)+COUNTIF(DG$2:DG282,DE283)=1,MAX(JL$2:JN282)+1,""))</f>
        <v/>
      </c>
      <c r="JM283" t="str">
        <f>IF(DF283="","",IF(COUNTIF(DE$3:DE283,DF283)+COUNTIF(DF$3:DF283,DF283)+COUNTIF(DG$2:DG282,DF283)=1,MAX(JL$2:JN282,JL283)+1,""))</f>
        <v/>
      </c>
      <c r="JN283" t="str">
        <f>IF(DG283="","",IF(COUNTIF(DE$3:DE283,DG283)+COUNTIF(DF$3:DF283,DG283)+COUNTIF(DG$3:DG283,DG283)=1,MAX(JL$2:JN282,JL283,JM283)+1,""))</f>
        <v/>
      </c>
      <c r="JO283" t="str">
        <f t="shared" si="683"/>
        <v/>
      </c>
      <c r="JP283" t="str">
        <f>IF(JO283="","",IF(COUNTIF(JO$3:JO283,JO283)=1,MAX(JP$2:JP282)+1,""))</f>
        <v/>
      </c>
      <c r="JQ283" t="str">
        <f>IF(HG283="","",COUNTIF(HG$3:HG283,"?*"))</f>
        <v/>
      </c>
      <c r="JR283" t="str">
        <f>IF(OR(HG283="",HI283=""),"",IF(COUNTIFS(HG$3:HG283,"?*",HI$3:HI283,HI283)=1,MAX(JR$2:JR282)+1,""))</f>
        <v/>
      </c>
      <c r="JS283">
        <f t="shared" si="684"/>
        <v>0</v>
      </c>
      <c r="JT283">
        <f>IF(B283="","",COUNTIF(B$3:B283,"?*"))</f>
        <v>281</v>
      </c>
      <c r="JU283">
        <f>IF(HL283&lt;&gt;1,0,_xlfn.LET(_xlpm.k,MAX(IFERROR(--_xlfn.XLOOKUP(B283,Коды_код,Коды_3L),0),IFERROR(--_xlfn.XLOOKUP(BC283,Коды_код,Коды_3L),0),IFERROR(--_xlfn.XLOOKUP(LEFT(BC283,2),Коды_код,Коды_3L),0)),IF(_xlpm.k&gt;0,_xlpm.k,IF(IFERROR(--LEFT(SUBSTITUTE(JO283,"x","х"),FIND("х",SUBSTITUTE(JO283,"x","х"))-1),3)&gt;3,Каталог!$S$9,1))))</f>
        <v>0</v>
      </c>
      <c r="JV283">
        <f t="shared" si="685"/>
        <v>0</v>
      </c>
      <c r="JW283" t="str">
        <f t="shared" si="686"/>
        <v>авто</v>
      </c>
      <c r="JX283" t="str">
        <f t="shared" si="687"/>
        <v/>
      </c>
      <c r="JY283">
        <f t="shared" si="688"/>
        <v>0</v>
      </c>
      <c r="JZ283">
        <f t="shared" si="689"/>
        <v>1</v>
      </c>
    </row>
    <row r="284" spans="1:286" x14ac:dyDescent="0.3">
      <c r="A284" t="s">
        <v>759</v>
      </c>
      <c r="B284" t="s">
        <v>1589</v>
      </c>
      <c r="C284" t="str">
        <f>Линии[[#This Row],[_авто наименование]]</f>
        <v>Розеточная группа, пом. 002А</v>
      </c>
      <c r="D284">
        <v>3</v>
      </c>
      <c r="E284">
        <v>0.18</v>
      </c>
      <c r="G284">
        <v>16</v>
      </c>
      <c r="H284" t="str">
        <f>Линии[[#This Row],[_авто управление]]</f>
        <v/>
      </c>
      <c r="I284" t="str">
        <f>Линии[[#This Row],[_авто аппараты]]</f>
        <v/>
      </c>
      <c r="J284">
        <v>2.5</v>
      </c>
      <c r="K284">
        <v>39</v>
      </c>
      <c r="L284">
        <v>3</v>
      </c>
      <c r="M284" t="str">
        <f>Линии[[#This Row],[_авто клемма]]</f>
        <v>XT1</v>
      </c>
      <c r="N284" t="str">
        <f t="shared" si="552"/>
        <v/>
      </c>
      <c r="O284" s="6" cm="1">
        <f t="array" ref="O284">IF(B284="","",IF(BH284&lt;&gt;"",IFERROR(_xlfn.XLOOKUP(BH284,Щиты[Щит],Щиты[Iр, А]),""),IF(BP284=1,IF(OR(N(_xlfn.XLOOKUP(A284,Щиты[Щит],Щиты[Вводов],1))&lt;=1,LOWER(TRIM(_xlfn.XLOOKUP(A284,Щиты[Щит],Щиты[АВР],"")&amp;""))="да"),IFERROR(_xlfn.XLOOKUP(A284,Щиты[Щит],Щиты[Iр, А]),""),IFERROR(N(BS284)*_xlfn.XLOOKUP(A284,Щиты[Щит],Щиты[Кс итог])/(SQRT(3)*Uн_лин*_xlfn.XLOOKUP(A284,Щиты[Щит],Щиты[cos φ])),"")),IF(BV284=1,IFERROR(BS284*1000/BU284,""),IFERROR(_xlfn.IFS(BX284=1,BS284/((Uн_лин/SQRT(3))*CE284),BX284=3,BS284/(SQRT(3)*Uн_лин*CE284)),"")))))</f>
        <v>0.8204451193747313</v>
      </c>
      <c r="P284" s="7">
        <f>IF(B284="","",IFERROR(IF(VLOOKUP(BC284,Потребители_обозначение,4,FALSE)=1,VLOOKUP(BC284,Потребители_обозначение,3,FALSE)*(MAX(1,N(D284))*2-1)+EI284+VLOOKUP(BE284,Этаж_обозначение,3,FALSE)+VLOOKUP(BE284,Этаж_обозначение,4,FALSE),VLOOKUP(BC284,Потребители_обозначение,3,FALSE)*(MAX(1,N(D284))*2-1)+EI284),EI284))</f>
        <v>54</v>
      </c>
      <c r="Q284" s="6">
        <f t="shared" si="553"/>
        <v>2.12</v>
      </c>
      <c r="R284" t="str">
        <f t="shared" si="554"/>
        <v>ВВГнг(А)-LS (3х2,5)</v>
      </c>
      <c r="S284" t="str">
        <f>IF(BM284="","",IF(BN284="вводной узел","узел ","")&amp;"л."&amp;(INT((BM284-1)/Столбцов_на_лист)+1)&amp;" / "&amp;(MOD(BM284-1,Столбцов_на_лист)+1))</f>
        <v>л.1 / 9</v>
      </c>
      <c r="T284" s="119">
        <f t="shared" si="555"/>
        <v>0.9</v>
      </c>
      <c r="U284" s="7" t="str">
        <f>IF(OR(CG284=0,N(BV284)+N(IB284)=0),"",ROUNDUP(Запас_БП*(N(HY284)+N(HZ284)),0))</f>
        <v/>
      </c>
      <c r="V284" s="119" t="str">
        <f t="shared" si="556"/>
        <v/>
      </c>
      <c r="W284" s="7" t="str">
        <f>IFERROR(IF(OR(B284="",BP284=1,BV284=1,NOT(ISNUMBER(EN284)),N(DT284)=0),"",MAX(0,ROUNDDOWN((c_min*(Uн_лин*1000/SQRT(3))/(HT284*N(DT284))-_xlfn.XLOOKUP(A284,Щиты[Щит],Щиты[Zпетли на шинах, Ом]))*EN284/(2*ρкз_Cu),0))),"")</f>
        <v/>
      </c>
      <c r="Y284">
        <f>Линии[[#This Row],[_авто утечка]]</f>
        <v>30</v>
      </c>
      <c r="Z284">
        <v>1</v>
      </c>
      <c r="AA284">
        <v>230</v>
      </c>
      <c r="AB284" t="s">
        <v>562</v>
      </c>
      <c r="AG284" t="s">
        <v>810</v>
      </c>
      <c r="AI284" t="s">
        <v>561</v>
      </c>
      <c r="AK284" t="str">
        <f>Линии[[#This Row],[_авто модуль]]</f>
        <v/>
      </c>
      <c r="AM284">
        <v>9</v>
      </c>
      <c r="AN284" t="s">
        <v>11</v>
      </c>
      <c r="AO284">
        <v>3</v>
      </c>
      <c r="AQ284">
        <v>12</v>
      </c>
      <c r="AR284">
        <v>26</v>
      </c>
      <c r="AS284">
        <v>10</v>
      </c>
      <c r="AT284">
        <v>2</v>
      </c>
      <c r="BA284" cm="1">
        <f t="array" ref="BA284">ROW()-ROW(Линии[#Headers])</f>
        <v>282</v>
      </c>
      <c r="BC284" s="6" t="str">
        <f t="shared" si="557"/>
        <v>R</v>
      </c>
      <c r="BD284" t="str">
        <f t="shared" si="558"/>
        <v>2.002А.1</v>
      </c>
      <c r="BE284" t="str">
        <f t="shared" si="559"/>
        <v>2</v>
      </c>
      <c r="BF284" t="str">
        <f t="shared" si="560"/>
        <v>002А.1</v>
      </c>
      <c r="BG284" t="str">
        <f t="shared" si="561"/>
        <v>002А</v>
      </c>
      <c r="BH284" t="str">
        <f>IF(X284&lt;&gt;"",X284,IF(AND(B284&lt;&gt;"",B284&lt;&gt;A284,ISNUMBER(_xlfn.XMATCH(B284,Щиты[Щит]))),B284,""))</f>
        <v/>
      </c>
      <c r="BI284" t="str" cm="1">
        <f t="array" ref="BI284">IF(B284="","",IF(BH284&lt;&gt;"","Щит "&amp;BH284,_xlfn.LET(_xlpm.nm,IFERROR(_xlfn.XLOOKUP(BC284,Коды_код,Коды_имя)&amp;"",""),_xlpm.md,IFERROR(N(_xlfn.XLOOKUP(BC284,Коды_код,Коды_режим)),1),_xlpm.ex,IF(Имя_режим="по экспликации",IFERROR(_xlfn.XLOOKUP(BE284&amp;"|"&amp;BG284,Экспликация[Этаж]&amp;"|"&amp;Экспликация[Помещение],Экспликация[Название])&amp;"",""),""),_xlpm.rm,IF(BG284="","",IF(_xlpm.ex&lt;&gt;"",". "&amp;_xlpm.ex&amp;IF(Имя_пом="нет"," ("&amp;BG284&amp;")"," (пом. "&amp;BG284&amp;")"),IF(Имя_пом="нет"," ",", пом. ")&amp;BG284)),IF(_xlpm.nm="","",IF(_xlpm.md=2,_xlpm.nm&amp;" шлейф "&amp;BE284,_xlpm.nm&amp;_xlpm.rm)))))</f>
        <v>Розеточная группа, пом. 002А</v>
      </c>
      <c r="BJ284" t="str">
        <f t="shared" si="562"/>
        <v>Розеточная группа, пом. 002А</v>
      </c>
      <c r="BK284">
        <f>IFERROR(_xlfn.XMATCH(A284,Щиты[Щит]),0)</f>
        <v>11</v>
      </c>
      <c r="BL284">
        <f>_xlfn.LET(_xlpm.k,IFERROR(_xlfn.XLOOKUP(A284,Щиты[Щит],Щиты[Мест под вводной узел]),""),IF(_xlpm.k="",Столбцов_на_лист,N(_xlpm.k)))</f>
        <v>8</v>
      </c>
      <c r="BM284">
        <f t="shared" si="563"/>
        <v>9</v>
      </c>
      <c r="BN284" t="str">
        <f t="shared" si="564"/>
        <v>линии</v>
      </c>
      <c r="BO284" s="6">
        <f>IFERROR(N(_xlfn.XLOOKUP(BC284,Коды_код,Коды_квт)),0)</f>
        <v>0</v>
      </c>
      <c r="BP284">
        <f t="shared" si="565"/>
        <v>0</v>
      </c>
      <c r="BQ284" t="str">
        <f>IF(B284="","",IF(BH284&lt;&gt;"",IFERROR(_xlfn.XLOOKUP(BH284,Щиты[Щит],Щиты[Руст, кВт]),0),IF(BP284=1,IF(OR(N(_xlfn.XLOOKUP(A284,Щиты[Щит],Щиты[Вводов],1))&lt;=1,LOWER(TRIM(_xlfn.XLOOKUP(A284,Щиты[Щит],Щиты[АВР],"")&amp;""))="да"),IFERROR(_xlfn.XLOOKUP(A284,Щиты[Щит],Щиты[Руст, кВт]),0),SUMIFS(Линии[_Р для вводов],Линии[Щит],A284,Линии[Источник для режимов],GF284)),IF(BO284&gt;0,ROUND(BO284*MAX(1,N(D284)),3),""))))</f>
        <v/>
      </c>
      <c r="BR284">
        <f t="shared" si="566"/>
        <v>0.18</v>
      </c>
      <c r="BS284" s="6">
        <f>IF(B284="","",IF(BH284&lt;&gt;"",IFERROR(_xlfn.XLOOKUP(BH284,Щиты[Щит],Щиты[Руст, кВт]),0),N(BR284)))</f>
        <v>0.18</v>
      </c>
      <c r="BT284" t="str">
        <f>IF(B284="","",IFERROR(IF(VLOOKUP(BC284,Потребители_обозначение,8,FALSE)=0,"",VLOOKUP(BC284,Потребители_обозначение,8,FALSE)),""))</f>
        <v/>
      </c>
      <c r="BU284">
        <f t="shared" si="567"/>
        <v>230</v>
      </c>
      <c r="BV284">
        <f t="shared" si="568"/>
        <v>0</v>
      </c>
      <c r="BW284">
        <f>IF(B284="","",IF(BH284&lt;&gt;"",3,IFERROR(IF(N(VLOOKUP(BC284,Потребители_обозначение,9,FALSE))=0,1,VLOOKUP(BC284,Потребители_обозначение,9,FALSE)),1)))</f>
        <v>1</v>
      </c>
      <c r="BX284">
        <f t="shared" si="569"/>
        <v>1</v>
      </c>
      <c r="BY284" t="str">
        <f>IF(B284="","",_xlfn.LET(_xlpm.bc,IFERROR(IF(VLOOKUP(BC284,Потребители_обозначение,6,FALSE)=0,"",VLOOKUP(BC284,Потребители_обозначение,6,FALSE)&amp;""),""),IF(AND(GA284="да",OR(_xlpm.bc="",_xlpm.bc="мс")),Марка_пож,IF(AND(_xlpm.bc="",BH284&lt;&gt;""),"мс",_xlpm.bc))))</f>
        <v/>
      </c>
      <c r="BZ284" t="str">
        <f t="shared" si="570"/>
        <v>мс</v>
      </c>
      <c r="CA284">
        <f>IF(B284="","",_xlfn.LET(_xlpm.cc,IFERROR(N(VLOOKUP(BC284,Потребители_обозначение,7,FALSE)),0),IF(_xlpm.cc&gt;0,_xlpm.cc,IF(BZ284="","",IF(BV284=1,2,IF(N(BX284)=3,5,3))))))</f>
        <v>3</v>
      </c>
      <c r="CB284">
        <f t="shared" si="571"/>
        <v>3</v>
      </c>
      <c r="CC284">
        <f>IFERROR(N(VLOOKUP(BC284,Потребители_обозначение,10,FALSE)),0)</f>
        <v>0</v>
      </c>
      <c r="CD284">
        <f>IFERROR(VLOOKUP(BC284,Потребители_обозначение,5,FALSE),0)</f>
        <v>1</v>
      </c>
      <c r="CE284" s="6" cm="1">
        <f t="array" ref="CE284">IF(B284="","",IF(BH284&lt;&gt;"",IFERROR(_xlfn.XLOOKUP(BH284,Щиты[Щит],Щиты[cos φ]),0.95),IF(BP284=1,IFERROR(_xlfn.XLOOKUP(A284,Щиты[Щит],Щиты[cos φ]),0.95),IF(ISNUMBER(AD284),AD284,IFERROR(IF(CD284=2,_xlfn.IFS(BX284=3,VLOOKUP(BS284,Справочная_двигатели,8,FALSE),BX284=1,VLOOKUP(BS284,Справочная_двигатели,10,TRUE)),IF(AND(Методика="нормы 2026",FG284="Сил"),0.8,0.95)),0.95)))))</f>
        <v>0.95</v>
      </c>
      <c r="CF284">
        <f t="shared" si="572"/>
        <v>0</v>
      </c>
      <c r="CG284">
        <f t="shared" si="573"/>
        <v>1</v>
      </c>
      <c r="CH284">
        <f t="shared" si="574"/>
        <v>0</v>
      </c>
      <c r="CI284">
        <f>IF(B284="","",IF(BV284=1,IFERROR(BS284/((Uн_лин/SQRT(3))*MAX(0.5,N(CE284))),0),N(O284)))</f>
        <v>0.8204451193747313</v>
      </c>
      <c r="CJ284">
        <f t="shared" si="575"/>
        <v>0</v>
      </c>
      <c r="CK284">
        <f t="shared" si="576"/>
        <v>0</v>
      </c>
      <c r="CL284">
        <f t="shared" si="577"/>
        <v>0</v>
      </c>
      <c r="CM284">
        <f t="shared" si="578"/>
        <v>0</v>
      </c>
      <c r="CN284">
        <f t="shared" si="579"/>
        <v>0</v>
      </c>
      <c r="CO284">
        <f>IF(BC284="",0,_xlfn.LET(_xlpm.v,IFERROR(_xlfn.XLOOKUP(B284,Коды_код,Коды_мА),IFERROR(_xlfn.XLOOKUP(BC284,Коды_код,Коды_мА),IFERROR(_xlfn.XLOOKUP(LEFT(BC284,2),Коды_код,Коды_мА),""))),IF(_xlpm.v="да",30,IF(ISNUMBER(_xlpm.v),_xlpm.v,0))))</f>
        <v>30</v>
      </c>
      <c r="CP284">
        <f t="shared" si="580"/>
        <v>30</v>
      </c>
      <c r="CQ284" t="str">
        <f>_xlfn.LET(_xlpm.k,IFERROR(_xlfn.XLOOKUP(BC284,Коды_код,Коды_утечка)&amp;"",""),IF(_xlpm.k="","дифавтомат",_xlpm.k))</f>
        <v>дифавтомат</v>
      </c>
      <c r="CR284" t="str" cm="1">
        <f t="array" ref="CR284">IF(CG284=0,"",_xlfn.LET(_xlpm.sg,TRIM(_xlfn.TEXTSPLIT(DD284&amp;"",";")),_xlpm.f_,_xlfn._xlws.FILTER(_xlpm.sg,LEFT(_xlpm.sg,3)="УЗО",""),IFERROR(INDEX(_xlpm.f_,1)&amp;"","")))</f>
        <v/>
      </c>
      <c r="CS284" t="str">
        <f t="shared" si="581"/>
        <v/>
      </c>
      <c r="CT284" s="6" t="str" cm="1">
        <f t="array" ref="CT284">IF(CR284="","",_xlfn.LET(_xlpm.tk,_xlfn.TEXTSPLIT(UPPER(CR284)," ",,TRUE),_xlpm.a_,_xlfn._xlws.FILTER(_xlpm.tk,ISNUMBER(--LEFT(_xlpm.tk,1))*((ISNUMBER(SEARCH("А",_xlpm.tk))+ISNUMBER(SEARCH("A",_xlpm.tk)))&gt;0)*NOT(ISNUMBER(SEARCH("МА",_xlpm.tk)))*NOT(ISNUMBER(SEARCH("MA",_xlpm.tk))),""),IFERROR(--SUBSTITUTE(SUBSTITUTE(INDEX(_xlpm.a_,1),"А",""),"A",""),"")))</f>
        <v/>
      </c>
      <c r="CU284" t="str" cm="1">
        <f t="array" ref="CU284">IF(CR284="","",_xlfn.LET(_xlpm.tk,_xlfn.TEXTSPLIT(UPPER(CR284)," ",,TRUE),_xlpm.a_,_xlfn._xlws.FILTER(_xlpm.tk,ISNUMBER(--LEFT(_xlpm.tk,1))*((ISNUMBER(SEARCH("МА",_xlpm.tk))+ISNUMBER(SEARCH("MA",_xlpm.tk)))&gt;0),""),IFERROR(--SUBSTITUTE(SUBSTITUTE(INDEX(_xlpm.a_,1),"МА",""),"MA",""),30)))</f>
        <v/>
      </c>
      <c r="CV284" t="str">
        <f>IF(CS284="","",IFERROR(_xlfn.XLOOKUP(CS284,Линии[_n],Линии[_УЗО, мА]),30))</f>
        <v/>
      </c>
      <c r="CW284">
        <f>IF(CS284="",0,IF(ISNUMBER(SEARCH("4P",IFERROR(_xlfn.XLOOKUP(CS284,Линии[_n],Линии[_УЗО строки])&amp;"",""))),0,1))</f>
        <v>0</v>
      </c>
      <c r="CX284" t="str">
        <f>IF(AND(CS284&lt;&gt;"",CS284=BA284),SUMIFS(Линии[_ток на 230 В],Линии[_блок УЗО],BA284,Линии[Щит],A284),"")</f>
        <v/>
      </c>
      <c r="CY284" t="str">
        <f>IF(AND(CS284&lt;&gt;"",CS284=BA284),SUMIFS(Линии[_ток утечки линии, мА],Линии[_блок УЗО],BA284,Линии[Щит],A284),"")</f>
        <v/>
      </c>
      <c r="CZ284">
        <f t="shared" si="582"/>
        <v>30</v>
      </c>
      <c r="DA284">
        <f t="shared" si="583"/>
        <v>30</v>
      </c>
      <c r="DB284">
        <f>IF(B284="",0,IFERROR(--_xlfn.XLOOKUP(B284,Коды_код,Коды_минавт),IFERROR(--_xlfn.XLOOKUP(BC284,Коды_код,Коды_минавт),IFERROR(--_xlfn.XLOOKUP(LEFT(BC284,2),Коды_код,Коды_минавт),0))))</f>
        <v>16</v>
      </c>
      <c r="DC284" t="str">
        <f>IF(B284="","",IFERROR(_xlfn.XLOOKUP(BC284,Коды_код,Коды_апп)&amp;"",""))</f>
        <v/>
      </c>
      <c r="DD284" t="str">
        <f t="shared" si="584"/>
        <v/>
      </c>
      <c r="DE284" t="str" cm="1">
        <f t="array" ref="DE284">IF(TRIM(DD284&amp;"")="","",IFERROR(TRIM(INDEX(_xlfn.TEXTSPLIT(DD284&amp;";;;",";"),1)),""))</f>
        <v/>
      </c>
      <c r="DF284" t="str" cm="1">
        <f t="array" ref="DF284">IF(TRIM(DD284&amp;"")="","",IFERROR(TRIM(INDEX(_xlfn.TEXTSPLIT(DD284&amp;";;;",";"),2)),""))</f>
        <v/>
      </c>
      <c r="DG284" t="str" cm="1">
        <f t="array" ref="DG284">IF(TRIM(DD284&amp;"")="","",IFERROR(TRIM(INDEX(_xlfn.TEXTSPLIT(DD284&amp;";;;",";"),3)),""))</f>
        <v/>
      </c>
      <c r="DH284">
        <f t="shared" si="585"/>
        <v>0</v>
      </c>
      <c r="DI284" t="str">
        <f>IF(B284="","",_xlfn.LET(_xlpm.t,LOWER(AZ284&amp;""),IF(ISNUMBER(SEARCH("dim",_xlpm.t)),"DIM",IF(ISNUMBER(SEARCH("dali",_xlpm.t)),"DALI",IF(OR(ISNUMBER(SEARCH("relay",_xlpm.t)),ISNUMBER(SEARCH("реле",_xlpm.t))),"Relay",IF(ISNUMBER(SEARCH("кнопк",_xlpm.t)),"",IFERROR(_xlfn.XLOOKUP(BC284,Коды_код,Коды_упр)&amp;"","")))))))</f>
        <v/>
      </c>
      <c r="DJ284" t="str">
        <f t="shared" si="586"/>
        <v/>
      </c>
      <c r="DK284">
        <f>IF(B284="","",_xlfn.LET(_xlpm.ig,IF(N(CX284)&gt;0,N(CX284),N(CI284)+IF(AJ284="вручную",0,N(CJ284))),_xlpm.n0,IFERROR(VLOOKUP(_xlpm.ig,Автомат_номиналы,2,TRUE),0),_xlpm.mn,MAX(DB284,IF(AJ284="вручную",0,N(CM284))),MAX(_xlpm.n0,_xlpm.mn,IF(DH284=1,Мин_автомат_БП,0))))</f>
        <v>16</v>
      </c>
      <c r="DL284">
        <f t="shared" si="587"/>
        <v>1</v>
      </c>
      <c r="DM284" t="str">
        <f t="shared" si="588"/>
        <v>2P</v>
      </c>
      <c r="DN284" t="str">
        <f>_xlfn.LET(_xlpm.cc,UPPER(TRIM(IFERROR(_xlfn.XLOOKUP(BC284,Коды_код,Коды_хар)&amp;"",""))),IF(OR(_xlpm.cc="B",_xlpm.cc="В"),"B",IF(_xlpm.cc="D","D","С")))</f>
        <v>С</v>
      </c>
      <c r="DO284" t="str">
        <f t="shared" si="589"/>
        <v>2P С16А 30мА</v>
      </c>
      <c r="DP284">
        <f t="shared" si="590"/>
        <v>16</v>
      </c>
      <c r="DQ284" t="str">
        <f t="shared" si="591"/>
        <v>2P С16А 30мА</v>
      </c>
      <c r="DR284" cm="1">
        <f t="array" ref="DR284">IF(DQ284="","",_xlfn.LET(_xlpm.t,SUBSTITUTE(SUBSTITUTE(SUBSTITUTE(UPPER(DQ284),"С","C"),"А","A"),"В","B"),_xlpm.tk,_xlfn.TEXTSPLIT(_xlpm.t," "),_xlpm.f,_xlfn._xlws.FILTER(_xlpm.tk,ISNUMBER(--MID(_xlpm.tk,2,1))*ISNUMBER(SEARCH(LEFT(_xlpm.tk,1)&amp;"#","B#C#D#"))*(LEN(_xlpm.tk)&gt;1),""),_xlpm.x,INDEX(_xlpm.f,1),IFERROR(--SUBSTITUTE(MID(_xlpm.x,2,9),"A",""),IFERROR(--SUBSTITUTE(INDEX(_xlfn._xlws.FILTER(_xlpm.tk,ISNUMBER(--SUBSTITUTE(_xlpm.tk,"A","")),""),1),"A",""),""))))</f>
        <v>16</v>
      </c>
      <c r="DS284" t="str">
        <f t="shared" si="592"/>
        <v>ok</v>
      </c>
      <c r="DT284">
        <f t="shared" si="593"/>
        <v>16</v>
      </c>
      <c r="DU284" t="str">
        <f t="shared" si="594"/>
        <v>2P С16А 30мА</v>
      </c>
      <c r="DV284">
        <f t="shared" si="595"/>
        <v>30</v>
      </c>
      <c r="DW284">
        <f t="shared" si="596"/>
        <v>1</v>
      </c>
      <c r="DX284">
        <f t="shared" si="597"/>
        <v>0</v>
      </c>
      <c r="DY284">
        <f t="shared" si="598"/>
        <v>0.8204451193747313</v>
      </c>
      <c r="DZ284">
        <f t="shared" si="599"/>
        <v>1</v>
      </c>
      <c r="EA284">
        <f>IF(ISNUMBER(AP284),AP284,К_прокл)</f>
        <v>1</v>
      </c>
      <c r="EB284">
        <f t="shared" si="600"/>
        <v>2</v>
      </c>
      <c r="EC284">
        <f>IFERROR(N(VLOOKUP(BZ284,Кабель_обозначение,3,FALSE)),1)</f>
        <v>1</v>
      </c>
      <c r="ED284">
        <f>IFERROR(N(_xlfn.XLOOKUP(A284,Щиты[Щит],Щиты[ΔU до шин, %])),0)</f>
        <v>1.79</v>
      </c>
      <c r="EE284" t="str">
        <f>IFERROR(_xlfn.XLOOKUP(A284,Щиты[Щит],Щиты[Zпетли на шинах, Ом]),"")</f>
        <v/>
      </c>
      <c r="EF284">
        <f>IFERROR(N(_xlfn.XLOOKUP(A284,Щиты[Щит],Щиты[ΔU до шин (подбор), %])),0)</f>
        <v>4.75</v>
      </c>
      <c r="EG284" t="str">
        <f>IFERROR(_xlfn.XLOOKUP(A284,Щиты[Щит],Щиты[Zпетли на шинах (подбор), Ом]),"")</f>
        <v/>
      </c>
      <c r="EH284" t="str">
        <f t="shared" si="601"/>
        <v/>
      </c>
      <c r="EI284">
        <f t="shared" si="602"/>
        <v>39</v>
      </c>
      <c r="EJ284">
        <f t="shared" si="603"/>
        <v>2</v>
      </c>
      <c r="EK284">
        <f t="shared" si="604"/>
        <v>0.31</v>
      </c>
      <c r="EL284" s="6">
        <f>IF(B284="","",IF(BV284=1,dU_LED,IF(IFERROR(_xlfn.XLOOKUP(BC284,Коды_код,Коды_уго),"")="Светильник",3,4)+IF(Методика="нормы 2026",MIN(0.5,MAX(0,N(P284)-100)*0.005),0)))</f>
        <v>4</v>
      </c>
      <c r="EM284" t="str" cm="1">
        <f t="array" ref="EM284">IF(OR(B284="",BZ284="",EC284&lt;&gt;1),"",_xlfn.LET(_xlpm.sz,Iдоп_S,_xlpm.t_,CHOOSE(EB284,Iдоп_1ж,Iдоп_2ж,Iдоп_3ж)*DZ284*EA284,_xlpm.dcx,BV284=1,_xlpm.inn,IF(_xlpm.dcx,N(O284),N(DT284)),_xlpm.smin,MAX(1.5,CC284),_xlpm.L_,N(P284)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284)/N(BU284)*100,999),IFERROR(N(EJ284)*(_xlpm.rho*_xlpm.L_/_xlpm.sz*N(CE284)+_xlpm.xx*_xlpm.L_*N(EK284)/1000)*N(O284)/((Uн_лин/SQRT(3))*1000)*100,999)),_xlpm.kz,IF(OR(_xlpm.dcx,DW284=1,NOT(ISNUMBER(EG284)),_xlpm.L_=0,_xlpm.inn=0),1,IFERROR(--(c_min*(Uн_лин*1000/SQRT(3))/(EG284+2*ρкз_Cu*_xlpm.L_/_xlpm.sz)&gt;=HT284*_xlpm.inn),0)),_xlpm.ok,IFERROR((_xlpm.sz&gt;=_xlpm.smin)*(_xlpm.t_&gt;=_xlpm.inn)*IF(_xlpm.L_&gt;0,(_xlpm.du_+IF(_xlpm.dcx,0,EF284)&lt;=EL284+0.00001),1)*_xlpm.kz,0),_xlpm.r_,_xlfn._xlws.FILTER(_xlpm.sz,_xlpm.ok,"не подобрано"),INDEX(_xlpm.r_,1)))</f>
        <v>не подобрано</v>
      </c>
      <c r="EN284">
        <f t="shared" si="605"/>
        <v>2.5</v>
      </c>
      <c r="EO284" cm="1">
        <f t="array" ref="EO284">IF(OR(B284="",BZ284="",EC284&lt;&gt;1),"",_xlfn.LET(_xlpm.sz,Iдоп_S,_xlpm.t_,CHOOSE(EB284,Iдоп_1ж,Iдоп_2ж,Iдоп_3ж)*DZ284*EA284,_xlpm.ok,IFERROR((_xlpm.sz&gt;=MAX(1.5,CC284))*(_xlpm.t_&gt;=N(DT284)),0),_xlpm.r_,_xlfn._xlws.FILTER(_xlpm.sz,_xlpm.ok,""),INDEX(_xlpm.r_,1)))</f>
        <v>1.5</v>
      </c>
      <c r="EP284" s="6" cm="1">
        <f t="array" ref="EP284">IFERROR(ROUNDUP(N(EJ284)*(_xlfn.XLOOKUP(EO284,INDEX(Кабель_сопротивление,0,1),INDEX(Кабель_сопротивление,0,3))*N(P284)/EO284*N(CE284)+_xlfn.XLOOKUP(EO284,INDEX(Кабель_сопротивление,0,1),INDEX(Кабель_сопротивление,0,2))*N(P284)*N(EK284)/1000)*N(O284)/((Uн_лин/SQRT(3))*1000)*100,2),"")</f>
        <v>0.55000000000000004</v>
      </c>
      <c r="EQ284">
        <f>IFERROR(2*ρкз_Cu*N(P284)/EO284,"")</f>
        <v>1.8936000000000002</v>
      </c>
      <c r="ER284">
        <f>IFERROR(VLOOKUP(EN284,Кабель_сопротивление,3,FALSE),"")</f>
        <v>2.2499999999999999E-2</v>
      </c>
      <c r="ES284">
        <f>IFERROR(VLOOKUP(EN284,Кабель_сопротивление,2,FALSE),"")</f>
        <v>0.1</v>
      </c>
      <c r="ET284">
        <f t="shared" si="606"/>
        <v>26</v>
      </c>
      <c r="EU284">
        <f t="shared" si="607"/>
        <v>10</v>
      </c>
      <c r="EV284">
        <f t="shared" si="608"/>
        <v>0.76034587349029337</v>
      </c>
      <c r="EW284" s="6">
        <f>IFERROR(ROUNDUP(EV284/IF(BV284=1,BU284,(Uн_лин/SQRT(3))*1000)*100,2),"")</f>
        <v>0.33</v>
      </c>
      <c r="EX284" t="str">
        <f>IFERROR(VLOOKUP(BZ284,Кабель_обозначение,2,FALSE),"")</f>
        <v>ВВГнг(А)-LS</v>
      </c>
      <c r="EY284" t="str">
        <f t="shared" si="609"/>
        <v>ВВГнг(А)-LS (3х2,5)</v>
      </c>
      <c r="EZ284" t="str">
        <f t="shared" si="610"/>
        <v>ВВГнг(А)-LS (3х2,5)
L=54-0,33%</v>
      </c>
      <c r="FA284">
        <f>IFERROR(2*ρкз_Cu*P284/EN284,"")</f>
        <v>1.1361600000000001</v>
      </c>
      <c r="FB284">
        <f t="shared" si="611"/>
        <v>0.378</v>
      </c>
      <c r="FC284" s="6" t="str">
        <f>IFERROR(IF(OR(B284="",BV284=1,NOT(ISNUMBER(EN284)),N(P284)=0),"",_xlfn.XLOOKUP(A284,Щиты[Щит],Щиты[Zпетли на шинах, Ом])+FA284),"")</f>
        <v/>
      </c>
      <c r="FD284" s="6" t="str">
        <f>IF(ISNUMBER(FC284),c_min*(Uн_лин*1000/SQRT(3))/FC284,"")</f>
        <v/>
      </c>
      <c r="FE284" s="6" t="str">
        <f>IFERROR(IF(OR(B284="",NOT(ISNUMBER(EN284))),"",1.05*(Uн_лин*1000/SQRT(3))/(_xlfn.XLOOKUP(A284,Щиты[Щит],Щиты[Zmax на шинах, Ом])+FB284)/1000),"")</f>
        <v/>
      </c>
      <c r="FF284" s="6" t="str">
        <f>IF(B284="","",IF(ISNUMBER(AC284),"Сил",IF(IFERROR(_xlfn.XLOOKUP(BC284,Коды_код,Коды_группа)&amp;"","")="","Быт",_xlfn.XLOOKUP(BC284,Коды_код,Коды_группа)&amp;"")))</f>
        <v>Быт</v>
      </c>
      <c r="FG284" s="6" t="str">
        <f t="shared" si="612"/>
        <v>Быт</v>
      </c>
      <c r="FH284" s="6">
        <f>IF(FG284="Щит","щит",IF(FG284="","",IF(FG284="Быт",IFERROR(_xlfn.XLOOKUP(A284,Щиты[Щит],Щиты[Кс быт]),1),IF(FG284="Сил",IF(ISNUMBER(AC284),AC284,IF(Методика="нормы 2026",IFERROR(_xlfn.XLOOKUP(A284,Щиты[Щит],Щиты[Кс силовых (табл. 7.5)]),1),1)),IF(OR(FG284="Пост",FG284="Отоп"),1,IF(FG284="ВНГ",0.7,0))))))</f>
        <v>0.8</v>
      </c>
      <c r="FI284">
        <f>IF(FG284="","",IF(AND(BP284=1,TRIM(AE284&amp;"")=""),IF(COUNTIFS(Линии[Щит],A284,Линии[Секция (1/2/3)],"&gt;=2")&gt;0,MIN(3,MAX(1,IFERROR(--BD284,1))),1),IFERROR(MIN(3,MAX(1,INT(--AE284))),1)))</f>
        <v>1</v>
      </c>
      <c r="FJ284">
        <f t="shared" si="613"/>
        <v>0.18</v>
      </c>
      <c r="FK284">
        <f t="shared" si="614"/>
        <v>0.18</v>
      </c>
      <c r="FL284">
        <f t="shared" si="615"/>
        <v>0</v>
      </c>
      <c r="FM284">
        <f t="shared" si="616"/>
        <v>0</v>
      </c>
      <c r="FN284">
        <f t="shared" si="617"/>
        <v>0</v>
      </c>
      <c r="FO284">
        <f t="shared" si="618"/>
        <v>0</v>
      </c>
      <c r="FP284">
        <f t="shared" si="619"/>
        <v>0.18</v>
      </c>
      <c r="FQ284">
        <f t="shared" si="620"/>
        <v>0.18</v>
      </c>
      <c r="FR284">
        <f t="shared" si="621"/>
        <v>0.17099999999999999</v>
      </c>
      <c r="FS284">
        <f>IF(CG284=1,IF(AND(CH284=1,CW284=1),0,IF(AND(CS284&lt;&gt;"",CS284=BA284,CW284=1),SUMIFS(Линии[_Р линии, кВт],Линии[_блок УЗО],BA284,Линии[Щит],A284),N(BS284)+IF(AJ284="вручную",0,N(CK284)))),0)</f>
        <v>0.18</v>
      </c>
      <c r="FT284" t="str">
        <f t="shared" si="622"/>
        <v>L3</v>
      </c>
      <c r="FU284" t="str">
        <f>IF(B284="","",IF(CG284=0,IF(BA284=1,"",FW283),IF(AND(CH284=1,CW284=1,CS284&lt;&gt;""),IFERROR(_xlfn.XLOOKUP(CS284,Линии[_n],Линии[_фаза итог]),"L1"),IF(OR(N(DL284)&gt;=3,N(BX284)&gt;=3),"L1,L2,L3",IFERROR(_xlfn.TEXTBEFORE(_xlfn.TEXTAFTER(_xlfn.XLOOKUP(A284,Щиты[Щит],Щиты[_фазы авто]),";"&amp;BA284&amp;":"),";"),"L1")))))</f>
        <v>L1</v>
      </c>
      <c r="FV284" t="str">
        <f t="shared" si="623"/>
        <v>L3</v>
      </c>
      <c r="FW284" t="str">
        <f t="shared" si="624"/>
        <v>L3</v>
      </c>
      <c r="FX284" cm="1">
        <f t="array" ref="FX284">IFERROR(IF(CD284=2,_xlfn.IFS(BX284=3,VLOOKUP(BS284,Справочная_двигатели,3,FALSE),BX284=1,VLOOKUP(BS284,Справочная_двигатели,5,TRUE)),0),0)</f>
        <v>0</v>
      </c>
      <c r="FY284">
        <f>IFERROR(IF(CD284=3,VLOOKUP(BS284,Справочная_ЛЭД,2,TRUE),0),0)</f>
        <v>0</v>
      </c>
      <c r="FZ284" s="6">
        <f t="shared" si="625"/>
        <v>0</v>
      </c>
      <c r="GA284" t="str">
        <f>IF(B284="","",IF(TRIM(AH284&amp;"")&lt;&gt;"",IF(LOWER(TRIM(AH284&amp;""))="да","да","нет"),IF(IFERROR(_xlfn.XLOOKUP(BC284,Коды_код,Коды_пожарная),"")="да","да","нет")))</f>
        <v>нет</v>
      </c>
      <c r="GB284" t="str">
        <f t="shared" si="626"/>
        <v/>
      </c>
      <c r="GC284" t="str">
        <f t="shared" si="627"/>
        <v>основная</v>
      </c>
      <c r="GD284">
        <f>IF(AND(BP284=1,TRIM(AE284&amp;"")=""),IF(COUNTIFS(Линии[Щит],A284,Линии[Секция (1/2/3)],"&gt;=2")&gt;0,MIN(3,MAX(1,IFERROR(--BD284,1))),1),IFERROR(MIN(3,MAX(1,INT(--AE284))),1))</f>
        <v>1</v>
      </c>
      <c r="GE284" t="str" cm="1">
        <f t="array" ref="GE284">IF(B284="","",_xlfn.LET(_xlpm.t,IFERROR(_xlfn.XLOOKUP(1,(Шины[Шина]=GC284)*(((Шины[Щит]=A284)+(Шины[Щит]=""))&gt;0),Шины[Тип]),"")&amp;"",IF(_xlpm.t&lt;&gt;"",_xlpm.t,IF(ISNUMBER(SEARCH("ИБП",GC284)),"ИБП",IF(ISNUMBER(SEARCH("ДГУ",GC284)),"ДГУ","Ввод "&amp;GD284)))))</f>
        <v>Ввод 1</v>
      </c>
      <c r="GF284" t="str">
        <f t="shared" si="628"/>
        <v>Ввод 1</v>
      </c>
      <c r="GG284" t="str">
        <f>IF(BP284=0,"",IF(TRIM(AG284&amp;"")&lt;&gt;"",TRIM(AG284&amp;""),IF(OR(GE284="ИБП",GE284="ДГУ"),"I особая",_xlfn.XLOOKUP(A284,Щиты[Щит],Щиты[Категория шины «Ввод»],"III"))))</f>
        <v/>
      </c>
      <c r="GH284" t="str">
        <f>IF(A284="","",_xlfn.XLOOKUP(A284,Щиты[Щит],Щиты[Путь],""))</f>
        <v>|ГРЩ-ЖД|ЩР-2|</v>
      </c>
      <c r="GI284" t="str">
        <f>IF(B284="","",IF(AI284&lt;&gt;"",AI284,IF(IFERROR(_xlfn.XLOOKUP(BC284,Коды_код,Коды_вид)&amp;"","")="","Прочее",_xlfn.XLOOKUP(BC284,Коды_код,Коды_вид)&amp;"")))</f>
        <v>Розеточная сеть и бытовые приборы</v>
      </c>
      <c r="GJ284">
        <f>IF(BM284="","",INT((BM284-1)/Столбцов_на_лист)+1)</f>
        <v>1</v>
      </c>
      <c r="GK284" t="str">
        <f t="shared" si="629"/>
        <v>ВВГнг(А)-LS (3х2,5) L=54-0,33%</v>
      </c>
      <c r="GL284">
        <f t="shared" si="630"/>
        <v>0.18</v>
      </c>
      <c r="GM284">
        <f t="shared" si="631"/>
        <v>0.83</v>
      </c>
      <c r="GN284">
        <f t="shared" si="632"/>
        <v>1</v>
      </c>
      <c r="GO284">
        <f t="shared" si="633"/>
        <v>0</v>
      </c>
      <c r="GP284">
        <f t="shared" si="634"/>
        <v>1</v>
      </c>
      <c r="GQ284">
        <f>IF(BM284="","",IF(AND(CG284=1,GP284=1),COUNTIFS(A$3:A284,A284,CG$3:CG284,1,GP$3:GP284,1),IF(OR(OR(BA284=1,A284&lt;&gt;A283),AJ284="вручную",GP284=0),"",IF(BA284=1,"",GR283))))</f>
        <v>1</v>
      </c>
      <c r="GR284">
        <f t="shared" si="635"/>
        <v>1</v>
      </c>
      <c r="GS284">
        <f>IF(B284="","",IFERROR(LOOKUP(INDEX(CHOOSE(EB284,Iдоп_1ж,Iдоп_2ж,Iдоп_3ж),MATCH(EN284,Iдоп_S,0))*DZ284*EA284,{6,10,16,20,25,32,40,50,63,80,100,125,160,200,250,315,400,500,630}),""))</f>
        <v>25</v>
      </c>
      <c r="GT284" t="str">
        <f t="shared" si="636"/>
        <v>QFD1</v>
      </c>
      <c r="GU284" t="str">
        <f t="shared" si="637"/>
        <v>QFD1</v>
      </c>
      <c r="GV284" t="str">
        <f t="shared" si="638"/>
        <v/>
      </c>
      <c r="GW284">
        <f t="shared" si="639"/>
        <v>0</v>
      </c>
      <c r="GX284" t="str">
        <f>IF(OR(B284="",DJ284=""),"",IFERROR(_xlfn.XLOOKUP(DJ284,Модули_умолч[Управление],Модули_умолч[Модель])&amp;"",""))</f>
        <v/>
      </c>
      <c r="GY284">
        <f>IF(DJ284="",1,IFERROR(MAX(0,N(_xlfn.XLOOKUP(DJ284,Модули_умолч[Управление],Модули_умолч[Каналов на линию]))),1))</f>
        <v>1</v>
      </c>
      <c r="GZ284" t="str">
        <f t="shared" si="640"/>
        <v/>
      </c>
      <c r="HA284" t="str">
        <f t="shared" si="641"/>
        <v/>
      </c>
      <c r="HB284" t="str">
        <f t="shared" si="642"/>
        <v/>
      </c>
      <c r="HC284">
        <f>IF(HB284="",0,IFERROR(N(VLOOKUP(HB284,Модули_спр,3,FALSE)),0))</f>
        <v>0</v>
      </c>
      <c r="HD284" t="str">
        <f t="shared" si="643"/>
        <v/>
      </c>
      <c r="HE284" t="str">
        <f t="shared" si="644"/>
        <v/>
      </c>
      <c r="HF284" t="str">
        <f>IF(OR(HE284="",HE284="-"),"",IFERROR(VLOOKUP(HE284,Модули_спр,2,FALSE),"R"))</f>
        <v/>
      </c>
      <c r="HG284" t="str">
        <f>IF(HF284="","",HF284&amp;"."&amp;COUNTIFS(A$3:A284,A284,HF$3:HF284,HF284))</f>
        <v/>
      </c>
      <c r="HH284" t="str">
        <f t="shared" si="645"/>
        <v/>
      </c>
      <c r="HI284" t="str">
        <f t="shared" si="646"/>
        <v/>
      </c>
      <c r="HJ284" t="str">
        <f t="shared" si="647"/>
        <v/>
      </c>
      <c r="HK284" t="str">
        <f t="shared" si="648"/>
        <v/>
      </c>
      <c r="HL284">
        <f t="shared" si="649"/>
        <v>1</v>
      </c>
      <c r="HM284" t="str">
        <f>IF(HL284=1,"XT"&amp;COUNTIFS(A$3:A284,A284,HL$3:HL284,1),"")</f>
        <v>XT1</v>
      </c>
      <c r="HN284" t="str">
        <f t="shared" si="650"/>
        <v>XT1</v>
      </c>
      <c r="HO284" t="str">
        <f t="shared" si="651"/>
        <v>QFD1</v>
      </c>
      <c r="HP284" t="str">
        <f t="shared" si="652"/>
        <v/>
      </c>
      <c r="HQ284" t="str">
        <f t="shared" si="653"/>
        <v>ok</v>
      </c>
      <c r="HR284" t="str">
        <f>IF(OR(HJ284="",HH284=""),"",IF(HJ284+MAX(0,GY284-1)&gt;IFERROR(VLOOKUP(HI284,Модули_спр,3,FALSE),99),"ЛИШНИЙ КАНАЛ",IF(AND(AL284&lt;&gt;"=",GY284&gt;0,COUNTIFS(Линии[_модуль гр.],HH284,Линии[Канал (итог)],HJ284,Линии[Канал],"&lt;&gt;=",Линии[Щит],A284)&gt;1),"ДУБЛЬ КАНАЛА","")))</f>
        <v/>
      </c>
      <c r="HS284" s="6" t="str">
        <f t="shared" si="654"/>
        <v/>
      </c>
      <c r="HT284">
        <f t="shared" si="655"/>
        <v>10</v>
      </c>
      <c r="HU284" t="str">
        <f t="shared" si="656"/>
        <v/>
      </c>
      <c r="HV284">
        <f t="shared" si="657"/>
        <v>0.8681780477498926</v>
      </c>
      <c r="HW284">
        <f t="shared" si="658"/>
        <v>0</v>
      </c>
      <c r="HX284">
        <f t="shared" si="659"/>
        <v>0</v>
      </c>
      <c r="HY284">
        <f t="shared" si="660"/>
        <v>0</v>
      </c>
      <c r="HZ284">
        <f t="shared" si="661"/>
        <v>0</v>
      </c>
      <c r="IA284">
        <f t="shared" si="662"/>
        <v>0</v>
      </c>
      <c r="IB284">
        <f t="shared" si="663"/>
        <v>0</v>
      </c>
      <c r="IC284" t="str">
        <f t="shared" si="664"/>
        <v/>
      </c>
      <c r="ID284" t="str" cm="1">
        <f t="array" ref="ID284">IF(IC284="","",_xlfn.LET(_xlpm.tk,_xlfn.TEXTSPLIT(SUBSTITUTE(SUBSTITUTE(IC284,";"," "),"→"," ")," ",,TRUE),_xlpm.w_,_xlfn._xlws.FILTER(_xlpm.tk,ISNUMBER(--LEFT(_xlpm.tk,1))*((ISNUMBER(SEARCH("W",_xlpm.tk))+ISNUMBER(SEARCH("Вт",_xlpm.tk)))&gt;0),""),IFERROR(--SUBSTITUTE(SUBSTITUTE(UPPER(INDEX(_xlpm.w_,1)),"W",""),"ВТ",""),"")))</f>
        <v/>
      </c>
      <c r="IE284" t="str" cm="1">
        <f t="array" ref="IE284">IF(IC284="","",_xlfn.LET(_xlpm.tk,_xlfn.TEXTSPLIT(SUBSTITUTE(SUBSTITUTE(IC284,";"," "),"→"," ")," ",,TRUE),_xlpm.v_,_xlfn._xlws.FILTER(_xlpm.tk,ISNUMBER(--LEFT(_xlpm.tk,1))*((ISNUMBER(SEARCH("V",_xlpm.tk))+(RIGHT(UPPER(_xlpm.tk))="В"))&gt;0),""),IFERROR(--SUBSTITUTE(SUBSTITUTE(UPPER(INDEX(_xlpm.v_,1)),"V",""),"В",""),"")))</f>
        <v/>
      </c>
      <c r="IF284" s="6" t="str">
        <f>IF(OR(BV284=0,HI284="",HJ284=""),"",IFERROR(N(_xlfn.XLOOKUP(HI284,Каталог!$C$4:$C$500,Каталог!$Q$4:$Q$500)),""))</f>
        <v/>
      </c>
      <c r="IG284" s="6" t="str">
        <f>IF(N(IF284)=0,"",SUMIFS(Линии[Iр, А],Линии[Щит],A284,Линии[_модуль гр.],HH284,Линии[Канал (итог)],HJ284))</f>
        <v/>
      </c>
      <c r="IH284" t="str">
        <f>IF(AND(B284="",HO284=""),"",_xlfn.TEXTJOIN("; ",TRUE,IF(AND(B284&lt;&gt;"",FV284=""),"нет фазы",""),IF(AND(B284&lt;&gt;"",N(GL284)=0,FG284&lt;&gt;"Нет"),"нет мощности",""),IF(AND(HN284&lt;&gt;"",COUNTIFS(Линии[Щит],A284,Линии[Клемма (итог)],HN284)&gt;1),"дубль клеммы "&amp;HN284,""),IF(AND(HQ284&lt;&gt;"",HQ284&lt;&gt;"ok"),HQ284,""),IF(HR284&lt;&gt;"",HR284,""),IF(AND(N(CB284)&gt;=4,N(BX284)=1),CB284&amp;" жил на 1 фазе",""),IF(AND(BC284="R",CG284=1,IF(CS284&lt;&gt;"",N(CV284)&gt;30,OR(N(DA284)=0,N(DA284)&gt;30))),"розетка без дифзащиты до 30 мА",""),IF(AND(CG284=1,N(DA284)&gt;0,ISNUMBER(T284)),IF(T284&gt;N(DA284)/3,"ток утечки "&amp;FIXED(T284,1)&amp;" мА &gt; 1/3 уставки ("&amp;DA284&amp;" мА)",""),""),IF(AND(CH284=1,CS284=""),"«узо»: нет строки с УЗО выше (УЗО 2P 40А 30мА в «Аппаратах»)",""),IF(AND(CS284&lt;&gt;"",CS284=BA284),IF(CT284="","впишите номинал УЗО (УЗО 2P 40А 30мА)",IF(N(CT284)&lt;N(DT284),"УЗО "&amp;CT284&amp;" А &lt; автомата "&amp;DT284&amp;" А перед ним",IF(N(CT284)&lt;N(CX284),"УЗО "&amp;CT284&amp;" А &lt; тока блока "&amp;FIXED(CX284,1)&amp;" А",""))),""),IF(AND(CS284&lt;&gt;"",CS284=BA284,ISNUMBER(CY284)),IF(CY284&gt;N(CV284)/3,"ток утечки блока УЗО "&amp;FIXED(CY284,1)&amp;" мА &gt; 1/3 уставки ("&amp;CV284&amp;" мА)",""),""),IF(AND(CG284=1,N(BV284)+N(IB284)&gt;0,IC284=""),"линии до 50 В без БП: впишите в «Аппараты» (БП 24V 480W)",""),IF(AND(CG284=1,ISNUMBER(ID284),ISNUMBER(U284)),IF(U284&gt;ID284,"БП "&amp;ID284&amp;" Вт &lt; нужно "&amp;U284&amp;" Вт (×"&amp;Запас_БП&amp;")",""),""),IF(AND(CG284=1,ISNUMBER(IE284),N(BV284)=1),IF(IE284&lt;&gt;N(BU284),"БП на "&amp;IE284&amp;" В, линия "&amp;BU284&amp;" В",""),""),IF(AND(N(IF284)&gt;0,N(IG284)&gt;N(IF284)),HH284&amp;" канал "&amp;HJ284&amp;": "&amp;FIXED(IG284,1)&amp;" А &gt; "&amp;IF284&amp;" А",""),IFERROR(IF(AND(ISNUMBER(Q284),Q284&gt;EL284),"потери "&amp;FIXED(Q284,1)&amp;" % &gt; "&amp;EL284&amp;" %",""),""),IFERROR(IF(LEFT(HU284,4)="мало","Iкз мало — отключение &gt; 0,4 с",""),""),IF(AND(B284&lt;&gt;"",BM284=""),"не на схеме",""),IF(AND(CG284=0,B284&lt;&gt;"",FV284&lt;&gt;"",IF(BA284=1,"",FW283)&lt;&gt;"",FV284&lt;&gt;IF(BA284=1,"",FW283)),"фаза не как у автомата группы ("&amp;IF(BA284=1,"",FW283)&amp;")","")))</f>
        <v/>
      </c>
      <c r="II284" s="6">
        <f>IF(OR(CG284=0,DQ284=""),"",_xlfn.LET(_xlpm.t,IFERROR(_xlfn.XLOOKUP(DQ284,Каталог!$U$4:$U$500,Каталог!$G$4:$G$500),""),_xlpm.k,SEARCH("кА",_xlpm.t),IFERROR(--TRIM(RIGHT(SUBSTITUTE(MID(_xlpm.t,MAX(1,_xlpm.k-4),_xlpm.k-MAX(1,_xlpm.k-4))," ",REPT(" ",9)),5)),"")))</f>
        <v>6</v>
      </c>
      <c r="IJ284" t="str">
        <f>IF(OR(II284="",CG284=0),"",IF(_xlfn.XLOOKUP(A284,Щиты[Щит],Щиты[Iкз max на шинах, кА],"")="","",IF(II284&lt;_xlfn.XLOOKUP(A284,Щиты[Щит],Щиты[Iкз max на шинах, кА]),"Icu "&amp;II284&amp;" кА &lt; Iкз max","ok")))</f>
        <v/>
      </c>
      <c r="IK284" t="str">
        <f t="shared" si="665"/>
        <v/>
      </c>
      <c r="IL284" t="str">
        <f t="shared" si="666"/>
        <v>QFD1|XT1</v>
      </c>
      <c r="IM284" t="str">
        <f t="shared" si="667"/>
        <v>QFD1|XT1|кабель ВВГнг(А)-LS (3х2,5) → Розеточная группа, пом. 002А</v>
      </c>
      <c r="IN284" t="str" cm="1">
        <f t="array" ref="IN284">IF(IM284="","",_xlfn.LET(_xlpm.nd,_xlfn.TEXTSPLIT(IM284,"|"),IF(COLUMNS(_xlpm.nd)&gt;1,A284&amp;"¦"&amp;INDEX(_xlpm.nd,1)&amp;"¦"&amp;INDEX(_xlpm.nd,2),"")))</f>
        <v>ЩР-2¦QFD1¦XT1</v>
      </c>
      <c r="IO284" t="str">
        <f t="shared" si="668"/>
        <v>R.2.002А.1¦Розеточная группа, пом. 002А</v>
      </c>
      <c r="IP284" t="str" cm="1">
        <f t="array" ref="IP284">IF(IM284="","",_xlfn.LET(_xlpm.nd,_xlfn.TEXTSPLIT(IM284,"|"),IF(COLUMNS(_xlpm.nd)&gt;2,A284&amp;"¦"&amp;INDEX(_xlpm.nd,2)&amp;"¦"&amp;INDEX(_xlpm.nd,3),"")))</f>
        <v>ЩР-2¦XT1¦кабель ВВГнг(А)-LS (3х2,5) → Розеточная группа, пом. 002А</v>
      </c>
      <c r="IQ284" t="str">
        <f t="shared" si="669"/>
        <v>R.2.002А.1¦Розеточная группа, пом. 002А</v>
      </c>
      <c r="IR284" t="str" cm="1">
        <f t="array" ref="IR284">IF(IM284="","",_xlfn.LET(_xlpm.nd,_xlfn.TEXTSPLIT(IM284,"|"),IF(COLUMNS(_xlpm.nd)&gt;3,A284&amp;"¦"&amp;INDEX(_xlpm.nd,3)&amp;"¦"&amp;INDEX(_xlpm.nd,4),"")))</f>
        <v/>
      </c>
      <c r="IS284" t="str">
        <f t="shared" si="670"/>
        <v/>
      </c>
      <c r="IT284" t="str" cm="1">
        <f t="array" ref="IT284">IF(IM284="","",_xlfn.LET(_xlpm.nd,_xlfn.TEXTSPLIT(IM284,"|"),IF(COLUMNS(_xlpm.nd)&gt;4,A284&amp;"¦"&amp;INDEX(_xlpm.nd,4)&amp;"¦"&amp;INDEX(_xlpm.nd,5),"")))</f>
        <v/>
      </c>
      <c r="IU284" t="str">
        <f t="shared" si="671"/>
        <v/>
      </c>
      <c r="IV284" t="str" cm="1">
        <f t="array" ref="IV284">IF(IM284="","",_xlfn.LET(_xlpm.nd,_xlfn.TEXTSPLIT(IM284,"|"),IF(COLUMNS(_xlpm.nd)&gt;5,A284&amp;"¦"&amp;INDEX(_xlpm.nd,5)&amp;"¦"&amp;INDEX(_xlpm.nd,6),"")))</f>
        <v/>
      </c>
      <c r="IW284" t="str">
        <f t="shared" si="672"/>
        <v/>
      </c>
      <c r="IX284" t="str" cm="1">
        <f t="array" ref="IX284">IF(IM284="","",_xlfn.LET(_xlpm.nd,_xlfn.TEXTSPLIT(IM284,"|"),IF(COLUMNS(_xlpm.nd)&gt;6,A284&amp;"¦"&amp;INDEX(_xlpm.nd,6)&amp;"¦"&amp;INDEX(_xlpm.nd,7),"")))</f>
        <v/>
      </c>
      <c r="IY284" t="str">
        <f t="shared" si="673"/>
        <v/>
      </c>
      <c r="IZ284" t="str">
        <f t="shared" si="674"/>
        <v/>
      </c>
      <c r="JA284" t="str">
        <f t="shared" si="675"/>
        <v>QFD1 → XT1</v>
      </c>
      <c r="JB284">
        <f t="shared" si="676"/>
        <v>0</v>
      </c>
      <c r="JC284">
        <f t="shared" si="677"/>
        <v>1</v>
      </c>
      <c r="JD284" t="str">
        <f t="shared" si="678"/>
        <v/>
      </c>
      <c r="JE284" t="str">
        <f t="shared" si="679"/>
        <v/>
      </c>
      <c r="JF284" t="str">
        <f t="shared" si="680"/>
        <v/>
      </c>
      <c r="JG284" t="str">
        <f t="shared" si="681"/>
        <v/>
      </c>
      <c r="JH284" t="str">
        <f>IF(B284="","",IFERROR(_xlfn.XLOOKUP(B284,Коды_код,Коды_уго),IFERROR(_xlfn.XLOOKUP(BC284,Коды_код,Коды_уго),IFERROR(_xlfn.XLOOKUP(LEFT(BC284,2),Коды_код,Коды_уго),""))))</f>
        <v>Розетка</v>
      </c>
      <c r="JI284" t="str">
        <f>IF(B284="","",IF(OR(JH284="",JH284=0),"BOX",IFERROR(IF(VLOOKUP(JH284,УГО_блоки,3,FALSE)&amp;""&lt;&gt;"",VLOOKUP(JH284,УГО_блоки,3,FALSE),VLOOKUP(JH284,УГО_блоки,2,FALSE)),JH284)))</f>
        <v>SOCKET</v>
      </c>
      <c r="JJ284">
        <f t="shared" si="682"/>
        <v>1</v>
      </c>
      <c r="JK284" t="str">
        <f>IF(DQ284="","",IF(COUNTIF(DQ$3:DQ284,DQ284)=1,MAX(JK$2:JK283)+1,""))</f>
        <v/>
      </c>
      <c r="JL284" t="str">
        <f>IF(DE284="","",IF(COUNTIF(DE$3:DE284,DE284)+COUNTIF(DF$2:DF283,DE284)+COUNTIF(DG$2:DG283,DE284)=1,MAX(JL$2:JN283)+1,""))</f>
        <v/>
      </c>
      <c r="JM284" t="str">
        <f>IF(DF284="","",IF(COUNTIF(DE$3:DE284,DF284)+COUNTIF(DF$3:DF284,DF284)+COUNTIF(DG$2:DG283,DF284)=1,MAX(JL$2:JN283,JL284)+1,""))</f>
        <v/>
      </c>
      <c r="JN284" t="str">
        <f>IF(DG284="","",IF(COUNTIF(DE$3:DE284,DG284)+COUNTIF(DF$3:DF284,DG284)+COUNTIF(DG$3:DG284,DG284)=1,MAX(JL$2:JN283,JL284,JM284)+1,""))</f>
        <v/>
      </c>
      <c r="JO284" t="str">
        <f t="shared" si="683"/>
        <v>3х2,5</v>
      </c>
      <c r="JP284" t="str">
        <f>IF(JO284="","",IF(COUNTIF(JO$3:JO284,JO284)=1,MAX(JP$2:JP283)+1,""))</f>
        <v/>
      </c>
      <c r="JQ284" t="str">
        <f>IF(HG284="","",COUNTIF(HG$3:HG284,"?*"))</f>
        <v/>
      </c>
      <c r="JR284" t="str">
        <f>IF(OR(HG284="",HI284=""),"",IF(COUNTIFS(HG$3:HG284,"?*",HI$3:HI284,HI284)=1,MAX(JR$2:JR283)+1,""))</f>
        <v/>
      </c>
      <c r="JS284">
        <f t="shared" si="684"/>
        <v>0</v>
      </c>
      <c r="JT284">
        <f>IF(B284="","",COUNTIF(B$3:B284,"?*"))</f>
        <v>282</v>
      </c>
      <c r="JU284">
        <f>IF(HL284&lt;&gt;1,0,_xlfn.LET(_xlpm.k,MAX(IFERROR(--_xlfn.XLOOKUP(B284,Коды_код,Коды_3L),0),IFERROR(--_xlfn.XLOOKUP(BC284,Коды_код,Коды_3L),0),IFERROR(--_xlfn.XLOOKUP(LEFT(BC284,2),Коды_код,Коды_3L),0)),IF(_xlpm.k&gt;0,_xlpm.k,IF(IFERROR(--LEFT(SUBSTITUTE(JO284,"x","х"),FIND("х",SUBSTITUTE(JO284,"x","х"))-1),3)&gt;3,Каталог!$S$9,1))))</f>
        <v>1</v>
      </c>
      <c r="JV284">
        <f t="shared" si="685"/>
        <v>0</v>
      </c>
      <c r="JW284" t="str">
        <f t="shared" si="686"/>
        <v>авто</v>
      </c>
      <c r="JX284">
        <f t="shared" si="687"/>
        <v>30</v>
      </c>
      <c r="JY284">
        <f t="shared" si="688"/>
        <v>1</v>
      </c>
      <c r="JZ284">
        <f t="shared" si="689"/>
        <v>1</v>
      </c>
    </row>
    <row r="285" spans="1:286" x14ac:dyDescent="0.3">
      <c r="A285" t="s">
        <v>759</v>
      </c>
      <c r="B285" t="s">
        <v>1590</v>
      </c>
      <c r="C285" t="str">
        <f>Линии[[#This Row],[_авто наименование]]</f>
        <v>Розеточная группа, пом. 003А</v>
      </c>
      <c r="D285">
        <v>3</v>
      </c>
      <c r="E285">
        <v>0.18</v>
      </c>
      <c r="G285">
        <v>16</v>
      </c>
      <c r="H285" t="str">
        <f>Линии[[#This Row],[_авто управление]]</f>
        <v/>
      </c>
      <c r="I285" t="str">
        <f>Линии[[#This Row],[_авто аппараты]]</f>
        <v/>
      </c>
      <c r="J285">
        <v>2.5</v>
      </c>
      <c r="K285">
        <v>47</v>
      </c>
      <c r="L285">
        <v>1</v>
      </c>
      <c r="M285" t="str">
        <f>Линии[[#This Row],[_авто клемма]]</f>
        <v>XT2</v>
      </c>
      <c r="N285" t="str">
        <f t="shared" si="552"/>
        <v/>
      </c>
      <c r="O285" s="6" cm="1">
        <f t="array" ref="O285">IF(B285="","",IF(BH285&lt;&gt;"",IFERROR(_xlfn.XLOOKUP(BH285,Щиты[Щит],Щиты[Iр, А]),""),IF(BP285=1,IF(OR(N(_xlfn.XLOOKUP(A285,Щиты[Щит],Щиты[Вводов],1))&lt;=1,LOWER(TRIM(_xlfn.XLOOKUP(A285,Щиты[Щит],Щиты[АВР],"")&amp;""))="да"),IFERROR(_xlfn.XLOOKUP(A285,Щиты[Щит],Щиты[Iр, А]),""),IFERROR(N(BS285)*_xlfn.XLOOKUP(A285,Щиты[Щит],Щиты[Кс итог])/(SQRT(3)*Uн_лин*_xlfn.XLOOKUP(A285,Щиты[Щит],Щиты[cos φ])),"")),IF(BV285=1,IFERROR(BS285*1000/BU285,""),IFERROR(_xlfn.IFS(BX285=1,BS285/((Uн_лин/SQRT(3))*CE285),BX285=3,BS285/(SQRT(3)*Uн_лин*CE285)),"")))))</f>
        <v>0.8204451193747313</v>
      </c>
      <c r="P285" s="7">
        <f>IF(B285="","",IFERROR(IF(VLOOKUP(BC285,Потребители_обозначение,4,FALSE)=1,VLOOKUP(BC285,Потребители_обозначение,3,FALSE)*(MAX(1,N(D285))*2-1)+EI285+VLOOKUP(BE285,Этаж_обозначение,3,FALSE)+VLOOKUP(BE285,Этаж_обозначение,4,FALSE),VLOOKUP(BC285,Потребители_обозначение,3,FALSE)*(MAX(1,N(D285))*2-1)+EI285),EI285))</f>
        <v>62</v>
      </c>
      <c r="Q285" s="6">
        <f t="shared" si="553"/>
        <v>2.17</v>
      </c>
      <c r="R285" t="str">
        <f t="shared" si="554"/>
        <v>ВВГнг(А)-LS (3х2,5)</v>
      </c>
      <c r="S285" t="str">
        <f>IF(BM285="","",IF(BN285="вводной узел","узел ","")&amp;"л."&amp;(INT((BM285-1)/Столбцов_на_лист)+1)&amp;" / "&amp;(MOD(BM285-1,Столбцов_на_лист)+1))</f>
        <v>л.1 / 10</v>
      </c>
      <c r="T285" s="119">
        <f t="shared" si="555"/>
        <v>0.9</v>
      </c>
      <c r="U285" s="7" t="str">
        <f>IF(OR(CG285=0,N(BV285)+N(IB285)=0),"",ROUNDUP(Запас_БП*(N(HY285)+N(HZ285)),0))</f>
        <v/>
      </c>
      <c r="V285" s="119" t="str">
        <f t="shared" si="556"/>
        <v/>
      </c>
      <c r="W285" s="7" t="str">
        <f>IFERROR(IF(OR(B285="",BP285=1,BV285=1,NOT(ISNUMBER(EN285)),N(DT285)=0),"",MAX(0,ROUNDDOWN((c_min*(Uн_лин*1000/SQRT(3))/(HT285*N(DT285))-_xlfn.XLOOKUP(A285,Щиты[Щит],Щиты[Zпетли на шинах, Ом]))*EN285/(2*ρкз_Cu),0))),"")</f>
        <v/>
      </c>
      <c r="Y285">
        <f>Линии[[#This Row],[_авто утечка]]</f>
        <v>30</v>
      </c>
      <c r="Z285">
        <v>1</v>
      </c>
      <c r="AA285">
        <v>230</v>
      </c>
      <c r="AB285" t="s">
        <v>562</v>
      </c>
      <c r="AG285" t="s">
        <v>810</v>
      </c>
      <c r="AI285" t="s">
        <v>561</v>
      </c>
      <c r="AK285" t="str">
        <f>Линии[[#This Row],[_авто модуль]]</f>
        <v/>
      </c>
      <c r="AM285">
        <v>10</v>
      </c>
      <c r="AN285" t="s">
        <v>11</v>
      </c>
      <c r="AO285">
        <v>3</v>
      </c>
      <c r="AQ285">
        <v>12</v>
      </c>
      <c r="AR285">
        <v>44</v>
      </c>
      <c r="AT285">
        <v>2</v>
      </c>
      <c r="BA285" cm="1">
        <f t="array" ref="BA285">ROW()-ROW(Линии[#Headers])</f>
        <v>283</v>
      </c>
      <c r="BC285" s="6" t="str">
        <f t="shared" si="557"/>
        <v>R</v>
      </c>
      <c r="BD285" t="str">
        <f t="shared" si="558"/>
        <v>2.003А.1</v>
      </c>
      <c r="BE285" t="str">
        <f t="shared" si="559"/>
        <v>2</v>
      </c>
      <c r="BF285" t="str">
        <f t="shared" si="560"/>
        <v>003А.1</v>
      </c>
      <c r="BG285" t="str">
        <f t="shared" si="561"/>
        <v>003А</v>
      </c>
      <c r="BH285" t="str">
        <f>IF(X285&lt;&gt;"",X285,IF(AND(B285&lt;&gt;"",B285&lt;&gt;A285,ISNUMBER(_xlfn.XMATCH(B285,Щиты[Щит]))),B285,""))</f>
        <v/>
      </c>
      <c r="BI285" t="str" cm="1">
        <f t="array" ref="BI285">IF(B285="","",IF(BH285&lt;&gt;"","Щит "&amp;BH285,_xlfn.LET(_xlpm.nm,IFERROR(_xlfn.XLOOKUP(BC285,Коды_код,Коды_имя)&amp;"",""),_xlpm.md,IFERROR(N(_xlfn.XLOOKUP(BC285,Коды_код,Коды_режим)),1),_xlpm.ex,IF(Имя_режим="по экспликации",IFERROR(_xlfn.XLOOKUP(BE285&amp;"|"&amp;BG285,Экспликация[Этаж]&amp;"|"&amp;Экспликация[Помещение],Экспликация[Название])&amp;"",""),""),_xlpm.rm,IF(BG285="","",IF(_xlpm.ex&lt;&gt;"",". "&amp;_xlpm.ex&amp;IF(Имя_пом="нет"," ("&amp;BG285&amp;")"," (пом. "&amp;BG285&amp;")"),IF(Имя_пом="нет"," ",", пом. ")&amp;BG285)),IF(_xlpm.nm="","",IF(_xlpm.md=2,_xlpm.nm&amp;" шлейф "&amp;BE285,_xlpm.nm&amp;_xlpm.rm)))))</f>
        <v>Розеточная группа, пом. 003А</v>
      </c>
      <c r="BJ285" t="str">
        <f t="shared" si="562"/>
        <v>Розеточная группа, пом. 003А</v>
      </c>
      <c r="BK285">
        <f>IFERROR(_xlfn.XMATCH(A285,Щиты[Щит]),0)</f>
        <v>11</v>
      </c>
      <c r="BL285">
        <f>_xlfn.LET(_xlpm.k,IFERROR(_xlfn.XLOOKUP(A285,Щиты[Щит],Щиты[Мест под вводной узел]),""),IF(_xlpm.k="",Столбцов_на_лист,N(_xlpm.k)))</f>
        <v>8</v>
      </c>
      <c r="BM285">
        <f t="shared" si="563"/>
        <v>10</v>
      </c>
      <c r="BN285" t="str">
        <f t="shared" si="564"/>
        <v>линии</v>
      </c>
      <c r="BO285" s="6">
        <f>IFERROR(N(_xlfn.XLOOKUP(BC285,Коды_код,Коды_квт)),0)</f>
        <v>0</v>
      </c>
      <c r="BP285">
        <f t="shared" si="565"/>
        <v>0</v>
      </c>
      <c r="BQ285" t="str">
        <f>IF(B285="","",IF(BH285&lt;&gt;"",IFERROR(_xlfn.XLOOKUP(BH285,Щиты[Щит],Щиты[Руст, кВт]),0),IF(BP285=1,IF(OR(N(_xlfn.XLOOKUP(A285,Щиты[Щит],Щиты[Вводов],1))&lt;=1,LOWER(TRIM(_xlfn.XLOOKUP(A285,Щиты[Щит],Щиты[АВР],"")&amp;""))="да"),IFERROR(_xlfn.XLOOKUP(A285,Щиты[Щит],Щиты[Руст, кВт]),0),SUMIFS(Линии[_Р для вводов],Линии[Щит],A285,Линии[Источник для режимов],GF285)),IF(BO285&gt;0,ROUND(BO285*MAX(1,N(D285)),3),""))))</f>
        <v/>
      </c>
      <c r="BR285">
        <f t="shared" si="566"/>
        <v>0.18</v>
      </c>
      <c r="BS285" s="6">
        <f>IF(B285="","",IF(BH285&lt;&gt;"",IFERROR(_xlfn.XLOOKUP(BH285,Щиты[Щит],Щиты[Руст, кВт]),0),N(BR285)))</f>
        <v>0.18</v>
      </c>
      <c r="BT285" t="str">
        <f>IF(B285="","",IFERROR(IF(VLOOKUP(BC285,Потребители_обозначение,8,FALSE)=0,"",VLOOKUP(BC285,Потребители_обозначение,8,FALSE)),""))</f>
        <v/>
      </c>
      <c r="BU285">
        <f t="shared" si="567"/>
        <v>230</v>
      </c>
      <c r="BV285">
        <f t="shared" si="568"/>
        <v>0</v>
      </c>
      <c r="BW285">
        <f>IF(B285="","",IF(BH285&lt;&gt;"",3,IFERROR(IF(N(VLOOKUP(BC285,Потребители_обозначение,9,FALSE))=0,1,VLOOKUP(BC285,Потребители_обозначение,9,FALSE)),1)))</f>
        <v>1</v>
      </c>
      <c r="BX285">
        <f t="shared" si="569"/>
        <v>1</v>
      </c>
      <c r="BY285" t="str">
        <f>IF(B285="","",_xlfn.LET(_xlpm.bc,IFERROR(IF(VLOOKUP(BC285,Потребители_обозначение,6,FALSE)=0,"",VLOOKUP(BC285,Потребители_обозначение,6,FALSE)&amp;""),""),IF(AND(GA285="да",OR(_xlpm.bc="",_xlpm.bc="мс")),Марка_пож,IF(AND(_xlpm.bc="",BH285&lt;&gt;""),"мс",_xlpm.bc))))</f>
        <v/>
      </c>
      <c r="BZ285" t="str">
        <f t="shared" si="570"/>
        <v>мс</v>
      </c>
      <c r="CA285">
        <f>IF(B285="","",_xlfn.LET(_xlpm.cc,IFERROR(N(VLOOKUP(BC285,Потребители_обозначение,7,FALSE)),0),IF(_xlpm.cc&gt;0,_xlpm.cc,IF(BZ285="","",IF(BV285=1,2,IF(N(BX285)=3,5,3))))))</f>
        <v>3</v>
      </c>
      <c r="CB285">
        <f t="shared" si="571"/>
        <v>3</v>
      </c>
      <c r="CC285">
        <f>IFERROR(N(VLOOKUP(BC285,Потребители_обозначение,10,FALSE)),0)</f>
        <v>0</v>
      </c>
      <c r="CD285">
        <f>IFERROR(VLOOKUP(BC285,Потребители_обозначение,5,FALSE),0)</f>
        <v>1</v>
      </c>
      <c r="CE285" s="6" cm="1">
        <f t="array" ref="CE285">IF(B285="","",IF(BH285&lt;&gt;"",IFERROR(_xlfn.XLOOKUP(BH285,Щиты[Щит],Щиты[cos φ]),0.95),IF(BP285=1,IFERROR(_xlfn.XLOOKUP(A285,Щиты[Щит],Щиты[cos φ]),0.95),IF(ISNUMBER(AD285),AD285,IFERROR(IF(CD285=2,_xlfn.IFS(BX285=3,VLOOKUP(BS285,Справочная_двигатели,8,FALSE),BX285=1,VLOOKUP(BS285,Справочная_двигатели,10,TRUE)),IF(AND(Методика="нормы 2026",FG285="Сил"),0.8,0.95)),0.95)))))</f>
        <v>0.95</v>
      </c>
      <c r="CF285">
        <f t="shared" si="572"/>
        <v>0</v>
      </c>
      <c r="CG285">
        <f t="shared" si="573"/>
        <v>1</v>
      </c>
      <c r="CH285">
        <f t="shared" si="574"/>
        <v>0</v>
      </c>
      <c r="CI285">
        <f>IF(B285="","",IF(BV285=1,IFERROR(BS285/((Uн_лин/SQRT(3))*MAX(0.5,N(CE285))),0),N(O285)))</f>
        <v>0.8204451193747313</v>
      </c>
      <c r="CJ285">
        <f t="shared" si="575"/>
        <v>0</v>
      </c>
      <c r="CK285">
        <f t="shared" si="576"/>
        <v>0</v>
      </c>
      <c r="CL285">
        <f t="shared" si="577"/>
        <v>0</v>
      </c>
      <c r="CM285">
        <f t="shared" si="578"/>
        <v>0</v>
      </c>
      <c r="CN285">
        <f t="shared" si="579"/>
        <v>0</v>
      </c>
      <c r="CO285">
        <f>IF(BC285="",0,_xlfn.LET(_xlpm.v,IFERROR(_xlfn.XLOOKUP(B285,Коды_код,Коды_мА),IFERROR(_xlfn.XLOOKUP(BC285,Коды_код,Коды_мА),IFERROR(_xlfn.XLOOKUP(LEFT(BC285,2),Коды_код,Коды_мА),""))),IF(_xlpm.v="да",30,IF(ISNUMBER(_xlpm.v),_xlpm.v,0))))</f>
        <v>30</v>
      </c>
      <c r="CP285">
        <f t="shared" si="580"/>
        <v>30</v>
      </c>
      <c r="CQ285" t="str">
        <f>_xlfn.LET(_xlpm.k,IFERROR(_xlfn.XLOOKUP(BC285,Коды_код,Коды_утечка)&amp;"",""),IF(_xlpm.k="","дифавтомат",_xlpm.k))</f>
        <v>дифавтомат</v>
      </c>
      <c r="CR285" t="str" cm="1">
        <f t="array" ref="CR285">IF(CG285=0,"",_xlfn.LET(_xlpm.sg,TRIM(_xlfn.TEXTSPLIT(DD285&amp;"",";")),_xlpm.f_,_xlfn._xlws.FILTER(_xlpm.sg,LEFT(_xlpm.sg,3)="УЗО",""),IFERROR(INDEX(_xlpm.f_,1)&amp;"","")))</f>
        <v/>
      </c>
      <c r="CS285" t="str">
        <f t="shared" si="581"/>
        <v/>
      </c>
      <c r="CT285" s="6" t="str" cm="1">
        <f t="array" ref="CT285">IF(CR285="","",_xlfn.LET(_xlpm.tk,_xlfn.TEXTSPLIT(UPPER(CR285)," ",,TRUE),_xlpm.a_,_xlfn._xlws.FILTER(_xlpm.tk,ISNUMBER(--LEFT(_xlpm.tk,1))*((ISNUMBER(SEARCH("А",_xlpm.tk))+ISNUMBER(SEARCH("A",_xlpm.tk)))&gt;0)*NOT(ISNUMBER(SEARCH("МА",_xlpm.tk)))*NOT(ISNUMBER(SEARCH("MA",_xlpm.tk))),""),IFERROR(--SUBSTITUTE(SUBSTITUTE(INDEX(_xlpm.a_,1),"А",""),"A",""),"")))</f>
        <v/>
      </c>
      <c r="CU285" t="str" cm="1">
        <f t="array" ref="CU285">IF(CR285="","",_xlfn.LET(_xlpm.tk,_xlfn.TEXTSPLIT(UPPER(CR285)," ",,TRUE),_xlpm.a_,_xlfn._xlws.FILTER(_xlpm.tk,ISNUMBER(--LEFT(_xlpm.tk,1))*((ISNUMBER(SEARCH("МА",_xlpm.tk))+ISNUMBER(SEARCH("MA",_xlpm.tk)))&gt;0),""),IFERROR(--SUBSTITUTE(SUBSTITUTE(INDEX(_xlpm.a_,1),"МА",""),"MA",""),30)))</f>
        <v/>
      </c>
      <c r="CV285" t="str">
        <f>IF(CS285="","",IFERROR(_xlfn.XLOOKUP(CS285,Линии[_n],Линии[_УЗО, мА]),30))</f>
        <v/>
      </c>
      <c r="CW285">
        <f>IF(CS285="",0,IF(ISNUMBER(SEARCH("4P",IFERROR(_xlfn.XLOOKUP(CS285,Линии[_n],Линии[_УЗО строки])&amp;"",""))),0,1))</f>
        <v>0</v>
      </c>
      <c r="CX285" t="str">
        <f>IF(AND(CS285&lt;&gt;"",CS285=BA285),SUMIFS(Линии[_ток на 230 В],Линии[_блок УЗО],BA285,Линии[Щит],A285),"")</f>
        <v/>
      </c>
      <c r="CY285" t="str">
        <f>IF(AND(CS285&lt;&gt;"",CS285=BA285),SUMIFS(Линии[_ток утечки линии, мА],Линии[_блок УЗО],BA285,Линии[Щит],A285),"")</f>
        <v/>
      </c>
      <c r="CZ285">
        <f t="shared" si="582"/>
        <v>30</v>
      </c>
      <c r="DA285">
        <f t="shared" si="583"/>
        <v>30</v>
      </c>
      <c r="DB285">
        <f>IF(B285="",0,IFERROR(--_xlfn.XLOOKUP(B285,Коды_код,Коды_минавт),IFERROR(--_xlfn.XLOOKUP(BC285,Коды_код,Коды_минавт),IFERROR(--_xlfn.XLOOKUP(LEFT(BC285,2),Коды_код,Коды_минавт),0))))</f>
        <v>16</v>
      </c>
      <c r="DC285" t="str">
        <f>IF(B285="","",IFERROR(_xlfn.XLOOKUP(BC285,Коды_код,Коды_апп)&amp;"",""))</f>
        <v/>
      </c>
      <c r="DD285" t="str">
        <f t="shared" si="584"/>
        <v/>
      </c>
      <c r="DE285" t="str" cm="1">
        <f t="array" ref="DE285">IF(TRIM(DD285&amp;"")="","",IFERROR(TRIM(INDEX(_xlfn.TEXTSPLIT(DD285&amp;";;;",";"),1)),""))</f>
        <v/>
      </c>
      <c r="DF285" t="str" cm="1">
        <f t="array" ref="DF285">IF(TRIM(DD285&amp;"")="","",IFERROR(TRIM(INDEX(_xlfn.TEXTSPLIT(DD285&amp;";;;",";"),2)),""))</f>
        <v/>
      </c>
      <c r="DG285" t="str" cm="1">
        <f t="array" ref="DG285">IF(TRIM(DD285&amp;"")="","",IFERROR(TRIM(INDEX(_xlfn.TEXTSPLIT(DD285&amp;";;;",";"),3)),""))</f>
        <v/>
      </c>
      <c r="DH285">
        <f t="shared" si="585"/>
        <v>0</v>
      </c>
      <c r="DI285" t="str">
        <f>IF(B285="","",_xlfn.LET(_xlpm.t,LOWER(AZ285&amp;""),IF(ISNUMBER(SEARCH("dim",_xlpm.t)),"DIM",IF(ISNUMBER(SEARCH("dali",_xlpm.t)),"DALI",IF(OR(ISNUMBER(SEARCH("relay",_xlpm.t)),ISNUMBER(SEARCH("реле",_xlpm.t))),"Relay",IF(ISNUMBER(SEARCH("кнопк",_xlpm.t)),"",IFERROR(_xlfn.XLOOKUP(BC285,Коды_код,Коды_упр)&amp;"","")))))))</f>
        <v/>
      </c>
      <c r="DJ285" t="str">
        <f t="shared" si="586"/>
        <v/>
      </c>
      <c r="DK285">
        <f>IF(B285="","",_xlfn.LET(_xlpm.ig,IF(N(CX285)&gt;0,N(CX285),N(CI285)+IF(AJ285="вручную",0,N(CJ285))),_xlpm.n0,IFERROR(VLOOKUP(_xlpm.ig,Автомат_номиналы,2,TRUE),0),_xlpm.mn,MAX(DB285,IF(AJ285="вручную",0,N(CM285))),MAX(_xlpm.n0,_xlpm.mn,IF(DH285=1,Мин_автомат_БП,0))))</f>
        <v>16</v>
      </c>
      <c r="DL285">
        <f t="shared" si="587"/>
        <v>1</v>
      </c>
      <c r="DM285" t="str">
        <f t="shared" si="588"/>
        <v>2P</v>
      </c>
      <c r="DN285" t="str">
        <f>_xlfn.LET(_xlpm.cc,UPPER(TRIM(IFERROR(_xlfn.XLOOKUP(BC285,Коды_код,Коды_хар)&amp;"",""))),IF(OR(_xlpm.cc="B",_xlpm.cc="В"),"B",IF(_xlpm.cc="D","D","С")))</f>
        <v>С</v>
      </c>
      <c r="DO285" t="str">
        <f t="shared" si="589"/>
        <v>2P С16А 30мА</v>
      </c>
      <c r="DP285">
        <f t="shared" si="590"/>
        <v>16</v>
      </c>
      <c r="DQ285" t="str">
        <f t="shared" si="591"/>
        <v>2P С16А 30мА</v>
      </c>
      <c r="DR285" cm="1">
        <f t="array" ref="DR285">IF(DQ285="","",_xlfn.LET(_xlpm.t,SUBSTITUTE(SUBSTITUTE(SUBSTITUTE(UPPER(DQ285),"С","C"),"А","A"),"В","B"),_xlpm.tk,_xlfn.TEXTSPLIT(_xlpm.t," "),_xlpm.f,_xlfn._xlws.FILTER(_xlpm.tk,ISNUMBER(--MID(_xlpm.tk,2,1))*ISNUMBER(SEARCH(LEFT(_xlpm.tk,1)&amp;"#","B#C#D#"))*(LEN(_xlpm.tk)&gt;1),""),_xlpm.x,INDEX(_xlpm.f,1),IFERROR(--SUBSTITUTE(MID(_xlpm.x,2,9),"A",""),IFERROR(--SUBSTITUTE(INDEX(_xlfn._xlws.FILTER(_xlpm.tk,ISNUMBER(--SUBSTITUTE(_xlpm.tk,"A","")),""),1),"A",""),""))))</f>
        <v>16</v>
      </c>
      <c r="DS285" t="str">
        <f t="shared" si="592"/>
        <v>ok</v>
      </c>
      <c r="DT285">
        <f t="shared" si="593"/>
        <v>16</v>
      </c>
      <c r="DU285" t="str">
        <f t="shared" si="594"/>
        <v>2P С16А 30мА</v>
      </c>
      <c r="DV285">
        <f t="shared" si="595"/>
        <v>30</v>
      </c>
      <c r="DW285">
        <f t="shared" si="596"/>
        <v>1</v>
      </c>
      <c r="DX285">
        <f t="shared" si="597"/>
        <v>0</v>
      </c>
      <c r="DY285">
        <f t="shared" si="598"/>
        <v>0.8204451193747313</v>
      </c>
      <c r="DZ285">
        <f t="shared" si="599"/>
        <v>1</v>
      </c>
      <c r="EA285">
        <f>IF(ISNUMBER(AP285),AP285,К_прокл)</f>
        <v>1</v>
      </c>
      <c r="EB285">
        <f t="shared" si="600"/>
        <v>2</v>
      </c>
      <c r="EC285">
        <f>IFERROR(N(VLOOKUP(BZ285,Кабель_обозначение,3,FALSE)),1)</f>
        <v>1</v>
      </c>
      <c r="ED285">
        <f>IFERROR(N(_xlfn.XLOOKUP(A285,Щиты[Щит],Щиты[ΔU до шин, %])),0)</f>
        <v>1.79</v>
      </c>
      <c r="EE285" t="str">
        <f>IFERROR(_xlfn.XLOOKUP(A285,Щиты[Щит],Щиты[Zпетли на шинах, Ом]),"")</f>
        <v/>
      </c>
      <c r="EF285">
        <f>IFERROR(N(_xlfn.XLOOKUP(A285,Щиты[Щит],Щиты[ΔU до шин (подбор), %])),0)</f>
        <v>4.75</v>
      </c>
      <c r="EG285" t="str">
        <f>IFERROR(_xlfn.XLOOKUP(A285,Щиты[Щит],Щиты[Zпетли на шинах (подбор), Ом]),"")</f>
        <v/>
      </c>
      <c r="EH285" t="str">
        <f t="shared" si="601"/>
        <v/>
      </c>
      <c r="EI285">
        <f t="shared" si="602"/>
        <v>47</v>
      </c>
      <c r="EJ285">
        <f t="shared" si="603"/>
        <v>2</v>
      </c>
      <c r="EK285">
        <f t="shared" si="604"/>
        <v>0.31</v>
      </c>
      <c r="EL285" s="6">
        <f>IF(B285="","",IF(BV285=1,dU_LED,IF(IFERROR(_xlfn.XLOOKUP(BC285,Коды_код,Коды_уго),"")="Светильник",3,4)+IF(Методика="нормы 2026",MIN(0.5,MAX(0,N(P285)-100)*0.005),0)))</f>
        <v>4</v>
      </c>
      <c r="EM285" t="str" cm="1">
        <f t="array" ref="EM285">IF(OR(B285="",BZ285="",EC285&lt;&gt;1),"",_xlfn.LET(_xlpm.sz,Iдоп_S,_xlpm.t_,CHOOSE(EB285,Iдоп_1ж,Iдоп_2ж,Iдоп_3ж)*DZ285*EA285,_xlpm.dcx,BV285=1,_xlpm.inn,IF(_xlpm.dcx,N(O285),N(DT285)),_xlpm.smin,MAX(1.5,CC285),_xlpm.L_,N(P285)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285)/N(BU285)*100,999),IFERROR(N(EJ285)*(_xlpm.rho*_xlpm.L_/_xlpm.sz*N(CE285)+_xlpm.xx*_xlpm.L_*N(EK285)/1000)*N(O285)/((Uн_лин/SQRT(3))*1000)*100,999)),_xlpm.kz,IF(OR(_xlpm.dcx,DW285=1,NOT(ISNUMBER(EG285)),_xlpm.L_=0,_xlpm.inn=0),1,IFERROR(--(c_min*(Uн_лин*1000/SQRT(3))/(EG285+2*ρкз_Cu*_xlpm.L_/_xlpm.sz)&gt;=HT285*_xlpm.inn),0)),_xlpm.ok,IFERROR((_xlpm.sz&gt;=_xlpm.smin)*(_xlpm.t_&gt;=_xlpm.inn)*IF(_xlpm.L_&gt;0,(_xlpm.du_+IF(_xlpm.dcx,0,EF285)&lt;=EL285+0.00001),1)*_xlpm.kz,0),_xlpm.r_,_xlfn._xlws.FILTER(_xlpm.sz,_xlpm.ok,"не подобрано"),INDEX(_xlpm.r_,1)))</f>
        <v>не подобрано</v>
      </c>
      <c r="EN285">
        <f t="shared" si="605"/>
        <v>2.5</v>
      </c>
      <c r="EO285" cm="1">
        <f t="array" ref="EO285">IF(OR(B285="",BZ285="",EC285&lt;&gt;1),"",_xlfn.LET(_xlpm.sz,Iдоп_S,_xlpm.t_,CHOOSE(EB285,Iдоп_1ж,Iдоп_2ж,Iдоп_3ж)*DZ285*EA285,_xlpm.ok,IFERROR((_xlpm.sz&gt;=MAX(1.5,CC285))*(_xlpm.t_&gt;=N(DT285)),0),_xlpm.r_,_xlfn._xlws.FILTER(_xlpm.sz,_xlpm.ok,""),INDEX(_xlpm.r_,1)))</f>
        <v>1.5</v>
      </c>
      <c r="EP285" s="6" cm="1">
        <f t="array" ref="EP285">IFERROR(ROUNDUP(N(EJ285)*(_xlfn.XLOOKUP(EO285,INDEX(Кабель_сопротивление,0,1),INDEX(Кабель_сопротивление,0,3))*N(P285)/EO285*N(CE285)+_xlfn.XLOOKUP(EO285,INDEX(Кабель_сопротивление,0,1),INDEX(Кабель_сопротивление,0,2))*N(P285)*N(EK285)/1000)*N(O285)/((Uн_лин/SQRT(3))*1000)*100,2),"")</f>
        <v>0.63</v>
      </c>
      <c r="EQ285">
        <f>IFERROR(2*ρкз_Cu*N(P285)/EO285,"")</f>
        <v>2.1741333333333333</v>
      </c>
      <c r="ER285">
        <f>IFERROR(VLOOKUP(EN285,Кабель_сопротивление,3,FALSE),"")</f>
        <v>2.2499999999999999E-2</v>
      </c>
      <c r="ES285">
        <f>IFERROR(VLOOKUP(EN285,Кабель_сопротивление,2,FALSE),"")</f>
        <v>0.1</v>
      </c>
      <c r="ET285">
        <f t="shared" si="606"/>
        <v>44</v>
      </c>
      <c r="EU285">
        <f t="shared" si="607"/>
        <v>58</v>
      </c>
      <c r="EV285">
        <f t="shared" si="608"/>
        <v>0.87298970659996655</v>
      </c>
      <c r="EW285" s="6">
        <f>IFERROR(ROUNDUP(EV285/IF(BV285=1,BU285,(Uн_лин/SQRT(3))*1000)*100,2),"")</f>
        <v>0.38</v>
      </c>
      <c r="EX285" t="str">
        <f>IFERROR(VLOOKUP(BZ285,Кабель_обозначение,2,FALSE),"")</f>
        <v>ВВГнг(А)-LS</v>
      </c>
      <c r="EY285" t="str">
        <f t="shared" si="609"/>
        <v>ВВГнг(А)-LS (3х2,5)</v>
      </c>
      <c r="EZ285" t="str">
        <f t="shared" si="610"/>
        <v>ВВГнг(А)-LS (3х2,5)
L=62-0,38%</v>
      </c>
      <c r="FA285">
        <f>IFERROR(2*ρкз_Cu*P285/EN285,"")</f>
        <v>1.3044800000000001</v>
      </c>
      <c r="FB285">
        <f t="shared" si="611"/>
        <v>0.43400000000000005</v>
      </c>
      <c r="FC285" s="6" t="str">
        <f>IFERROR(IF(OR(B285="",BV285=1,NOT(ISNUMBER(EN285)),N(P285)=0),"",_xlfn.XLOOKUP(A285,Щиты[Щит],Щиты[Zпетли на шинах, Ом])+FA285),"")</f>
        <v/>
      </c>
      <c r="FD285" s="6" t="str">
        <f>IF(ISNUMBER(FC285),c_min*(Uн_лин*1000/SQRT(3))/FC285,"")</f>
        <v/>
      </c>
      <c r="FE285" s="6" t="str">
        <f>IFERROR(IF(OR(B285="",NOT(ISNUMBER(EN285))),"",1.05*(Uн_лин*1000/SQRT(3))/(_xlfn.XLOOKUP(A285,Щиты[Щит],Щиты[Zmax на шинах, Ом])+FB285)/1000),"")</f>
        <v/>
      </c>
      <c r="FF285" s="6" t="str">
        <f>IF(B285="","",IF(ISNUMBER(AC285),"Сил",IF(IFERROR(_xlfn.XLOOKUP(BC285,Коды_код,Коды_группа)&amp;"","")="","Быт",_xlfn.XLOOKUP(BC285,Коды_код,Коды_группа)&amp;"")))</f>
        <v>Быт</v>
      </c>
      <c r="FG285" s="6" t="str">
        <f t="shared" si="612"/>
        <v>Быт</v>
      </c>
      <c r="FH285" s="6">
        <f>IF(FG285="Щит","щит",IF(FG285="","",IF(FG285="Быт",IFERROR(_xlfn.XLOOKUP(A285,Щиты[Щит],Щиты[Кс быт]),1),IF(FG285="Сил",IF(ISNUMBER(AC285),AC285,IF(Методика="нормы 2026",IFERROR(_xlfn.XLOOKUP(A285,Щиты[Щит],Щиты[Кс силовых (табл. 7.5)]),1),1)),IF(OR(FG285="Пост",FG285="Отоп"),1,IF(FG285="ВНГ",0.7,0))))))</f>
        <v>0.8</v>
      </c>
      <c r="FI285">
        <f>IF(FG285="","",IF(AND(BP285=1,TRIM(AE285&amp;"")=""),IF(COUNTIFS(Линии[Щит],A285,Линии[Секция (1/2/3)],"&gt;=2")&gt;0,MIN(3,MAX(1,IFERROR(--BD285,1))),1),IFERROR(MIN(3,MAX(1,INT(--AE285))),1)))</f>
        <v>1</v>
      </c>
      <c r="FJ285">
        <f t="shared" si="613"/>
        <v>0.18</v>
      </c>
      <c r="FK285">
        <f t="shared" si="614"/>
        <v>0.18</v>
      </c>
      <c r="FL285">
        <f t="shared" si="615"/>
        <v>0</v>
      </c>
      <c r="FM285">
        <f t="shared" si="616"/>
        <v>0</v>
      </c>
      <c r="FN285">
        <f t="shared" si="617"/>
        <v>0</v>
      </c>
      <c r="FO285">
        <f t="shared" si="618"/>
        <v>0</v>
      </c>
      <c r="FP285">
        <f t="shared" si="619"/>
        <v>0.18</v>
      </c>
      <c r="FQ285">
        <f t="shared" si="620"/>
        <v>0.18</v>
      </c>
      <c r="FR285">
        <f t="shared" si="621"/>
        <v>0.17099999999999999</v>
      </c>
      <c r="FS285">
        <f>IF(CG285=1,IF(AND(CH285=1,CW285=1),0,IF(AND(CS285&lt;&gt;"",CS285=BA285,CW285=1),SUMIFS(Линии[_Р линии, кВт],Линии[_блок УЗО],BA285,Линии[Щит],A285),N(BS285)+IF(AJ285="вручную",0,N(CK285)))),0)</f>
        <v>0.18</v>
      </c>
      <c r="FT285" t="str">
        <f t="shared" si="622"/>
        <v>L1</v>
      </c>
      <c r="FU285" t="str">
        <f>IF(B285="","",IF(CG285=0,IF(BA285=1,"",FW284),IF(AND(CH285=1,CW285=1,CS285&lt;&gt;""),IFERROR(_xlfn.XLOOKUP(CS285,Линии[_n],Линии[_фаза итог]),"L1"),IF(OR(N(DL285)&gt;=3,N(BX285)&gt;=3),"L1,L2,L3",IFERROR(_xlfn.TEXTBEFORE(_xlfn.TEXTAFTER(_xlfn.XLOOKUP(A285,Щиты[Щит],Щиты[_фазы авто]),";"&amp;BA285&amp;":"),";"),"L1")))))</f>
        <v>L1</v>
      </c>
      <c r="FV285" t="str">
        <f t="shared" si="623"/>
        <v>L1</v>
      </c>
      <c r="FW285" t="str">
        <f t="shared" si="624"/>
        <v>L1</v>
      </c>
      <c r="FX285" cm="1">
        <f t="array" ref="FX285">IFERROR(IF(CD285=2,_xlfn.IFS(BX285=3,VLOOKUP(BS285,Справочная_двигатели,3,FALSE),BX285=1,VLOOKUP(BS285,Справочная_двигатели,5,TRUE)),0),0)</f>
        <v>0</v>
      </c>
      <c r="FY285">
        <f>IFERROR(IF(CD285=3,VLOOKUP(BS285,Справочная_ЛЭД,2,TRUE),0),0)</f>
        <v>0</v>
      </c>
      <c r="FZ285" s="6">
        <f t="shared" si="625"/>
        <v>0</v>
      </c>
      <c r="GA285" t="str">
        <f>IF(B285="","",IF(TRIM(AH285&amp;"")&lt;&gt;"",IF(LOWER(TRIM(AH285&amp;""))="да","да","нет"),IF(IFERROR(_xlfn.XLOOKUP(BC285,Коды_код,Коды_пожарная),"")="да","да","нет")))</f>
        <v>нет</v>
      </c>
      <c r="GB285" t="str">
        <f t="shared" si="626"/>
        <v/>
      </c>
      <c r="GC285" t="str">
        <f t="shared" si="627"/>
        <v>основная</v>
      </c>
      <c r="GD285">
        <f>IF(AND(BP285=1,TRIM(AE285&amp;"")=""),IF(COUNTIFS(Линии[Щит],A285,Линии[Секция (1/2/3)],"&gt;=2")&gt;0,MIN(3,MAX(1,IFERROR(--BD285,1))),1),IFERROR(MIN(3,MAX(1,INT(--AE285))),1))</f>
        <v>1</v>
      </c>
      <c r="GE285" t="str" cm="1">
        <f t="array" ref="GE285">IF(B285="","",_xlfn.LET(_xlpm.t,IFERROR(_xlfn.XLOOKUP(1,(Шины[Шина]=GC285)*(((Шины[Щит]=A285)+(Шины[Щит]=""))&gt;0),Шины[Тип]),"")&amp;"",IF(_xlpm.t&lt;&gt;"",_xlpm.t,IF(ISNUMBER(SEARCH("ИБП",GC285)),"ИБП",IF(ISNUMBER(SEARCH("ДГУ",GC285)),"ДГУ","Ввод "&amp;GD285)))))</f>
        <v>Ввод 1</v>
      </c>
      <c r="GF285" t="str">
        <f t="shared" si="628"/>
        <v>Ввод 1</v>
      </c>
      <c r="GG285" t="str">
        <f>IF(BP285=0,"",IF(TRIM(AG285&amp;"")&lt;&gt;"",TRIM(AG285&amp;""),IF(OR(GE285="ИБП",GE285="ДГУ"),"I особая",_xlfn.XLOOKUP(A285,Щиты[Щит],Щиты[Категория шины «Ввод»],"III"))))</f>
        <v/>
      </c>
      <c r="GH285" t="str">
        <f>IF(A285="","",_xlfn.XLOOKUP(A285,Щиты[Щит],Щиты[Путь],""))</f>
        <v>|ГРЩ-ЖД|ЩР-2|</v>
      </c>
      <c r="GI285" t="str">
        <f>IF(B285="","",IF(AI285&lt;&gt;"",AI285,IF(IFERROR(_xlfn.XLOOKUP(BC285,Коды_код,Коды_вид)&amp;"","")="","Прочее",_xlfn.XLOOKUP(BC285,Коды_код,Коды_вид)&amp;"")))</f>
        <v>Розеточная сеть и бытовые приборы</v>
      </c>
      <c r="GJ285">
        <f>IF(BM285="","",INT((BM285-1)/Столбцов_на_лист)+1)</f>
        <v>1</v>
      </c>
      <c r="GK285" t="str">
        <f t="shared" si="629"/>
        <v>ВВГнг(А)-LS (3х2,5) L=62-0,38%</v>
      </c>
      <c r="GL285">
        <f t="shared" si="630"/>
        <v>0.18</v>
      </c>
      <c r="GM285">
        <f t="shared" si="631"/>
        <v>0.83</v>
      </c>
      <c r="GN285">
        <f t="shared" si="632"/>
        <v>1</v>
      </c>
      <c r="GO285">
        <f t="shared" si="633"/>
        <v>0</v>
      </c>
      <c r="GP285">
        <f t="shared" si="634"/>
        <v>1</v>
      </c>
      <c r="GQ285">
        <f>IF(BM285="","",IF(AND(CG285=1,GP285=1),COUNTIFS(A$3:A285,A285,CG$3:CG285,1,GP$3:GP285,1),IF(OR(OR(BA285=1,A285&lt;&gt;A284),AJ285="вручную",GP285=0),"",IF(BA285=1,"",GR284))))</f>
        <v>2</v>
      </c>
      <c r="GR285">
        <f t="shared" si="635"/>
        <v>2</v>
      </c>
      <c r="GS285">
        <f>IF(B285="","",IFERROR(LOOKUP(INDEX(CHOOSE(EB285,Iдоп_1ж,Iдоп_2ж,Iдоп_3ж),MATCH(EN285,Iдоп_S,0))*DZ285*EA285,{6,10,16,20,25,32,40,50,63,80,100,125,160,200,250,315,400,500,630}),""))</f>
        <v>25</v>
      </c>
      <c r="GT285" t="str">
        <f t="shared" si="636"/>
        <v>QFD2</v>
      </c>
      <c r="GU285" t="str">
        <f t="shared" si="637"/>
        <v>QFD2</v>
      </c>
      <c r="GV285" t="str">
        <f t="shared" si="638"/>
        <v/>
      </c>
      <c r="GW285">
        <f t="shared" si="639"/>
        <v>0</v>
      </c>
      <c r="GX285" t="str">
        <f>IF(OR(B285="",DJ285=""),"",IFERROR(_xlfn.XLOOKUP(DJ285,Модули_умолч[Управление],Модули_умолч[Модель])&amp;"",""))</f>
        <v/>
      </c>
      <c r="GY285">
        <f>IF(DJ285="",1,IFERROR(MAX(0,N(_xlfn.XLOOKUP(DJ285,Модули_умолч[Управление],Модули_умолч[Каналов на линию]))),1))</f>
        <v>1</v>
      </c>
      <c r="GZ285" t="str">
        <f t="shared" si="640"/>
        <v/>
      </c>
      <c r="HA285" t="str">
        <f t="shared" si="641"/>
        <v/>
      </c>
      <c r="HB285" t="str">
        <f t="shared" si="642"/>
        <v/>
      </c>
      <c r="HC285">
        <f>IF(HB285="",0,IFERROR(N(VLOOKUP(HB285,Модули_спр,3,FALSE)),0))</f>
        <v>0</v>
      </c>
      <c r="HD285" t="str">
        <f t="shared" si="643"/>
        <v/>
      </c>
      <c r="HE285" t="str">
        <f t="shared" si="644"/>
        <v/>
      </c>
      <c r="HF285" t="str">
        <f>IF(OR(HE285="",HE285="-"),"",IFERROR(VLOOKUP(HE285,Модули_спр,2,FALSE),"R"))</f>
        <v/>
      </c>
      <c r="HG285" t="str">
        <f>IF(HF285="","",HF285&amp;"."&amp;COUNTIFS(A$3:A285,A285,HF$3:HF285,HF285))</f>
        <v/>
      </c>
      <c r="HH285" t="str">
        <f t="shared" si="645"/>
        <v/>
      </c>
      <c r="HI285" t="str">
        <f t="shared" si="646"/>
        <v/>
      </c>
      <c r="HJ285" t="str">
        <f t="shared" si="647"/>
        <v/>
      </c>
      <c r="HK285" t="str">
        <f t="shared" si="648"/>
        <v/>
      </c>
      <c r="HL285">
        <f t="shared" si="649"/>
        <v>1</v>
      </c>
      <c r="HM285" t="str">
        <f>IF(HL285=1,"XT"&amp;COUNTIFS(A$3:A285,A285,HL$3:HL285,1),"")</f>
        <v>XT2</v>
      </c>
      <c r="HN285" t="str">
        <f t="shared" si="650"/>
        <v>XT2</v>
      </c>
      <c r="HO285" t="str">
        <f t="shared" si="651"/>
        <v>QFD2</v>
      </c>
      <c r="HP285" t="str">
        <f t="shared" si="652"/>
        <v/>
      </c>
      <c r="HQ285" t="str">
        <f t="shared" si="653"/>
        <v>ok</v>
      </c>
      <c r="HR285" t="str">
        <f>IF(OR(HJ285="",HH285=""),"",IF(HJ285+MAX(0,GY285-1)&gt;IFERROR(VLOOKUP(HI285,Модули_спр,3,FALSE),99),"ЛИШНИЙ КАНАЛ",IF(AND(AL285&lt;&gt;"=",GY285&gt;0,COUNTIFS(Линии[_модуль гр.],HH285,Линии[Канал (итог)],HJ285,Линии[Канал],"&lt;&gt;=",Линии[Щит],A285)&gt;1),"ДУБЛЬ КАНАЛА","")))</f>
        <v/>
      </c>
      <c r="HS285" s="6" t="str">
        <f t="shared" si="654"/>
        <v/>
      </c>
      <c r="HT285">
        <f t="shared" si="655"/>
        <v>10</v>
      </c>
      <c r="HU285" t="str">
        <f t="shared" si="656"/>
        <v/>
      </c>
      <c r="HV285">
        <f t="shared" si="657"/>
        <v>0.94817804774989256</v>
      </c>
      <c r="HW285">
        <f t="shared" si="658"/>
        <v>0</v>
      </c>
      <c r="HX285">
        <f t="shared" si="659"/>
        <v>0</v>
      </c>
      <c r="HY285">
        <f t="shared" si="660"/>
        <v>0</v>
      </c>
      <c r="HZ285">
        <f t="shared" si="661"/>
        <v>0</v>
      </c>
      <c r="IA285">
        <f t="shared" si="662"/>
        <v>0</v>
      </c>
      <c r="IB285">
        <f t="shared" si="663"/>
        <v>0</v>
      </c>
      <c r="IC285" t="str">
        <f t="shared" si="664"/>
        <v/>
      </c>
      <c r="ID285" t="str" cm="1">
        <f t="array" ref="ID285">IF(IC285="","",_xlfn.LET(_xlpm.tk,_xlfn.TEXTSPLIT(SUBSTITUTE(SUBSTITUTE(IC285,";"," "),"→"," ")," ",,TRUE),_xlpm.w_,_xlfn._xlws.FILTER(_xlpm.tk,ISNUMBER(--LEFT(_xlpm.tk,1))*((ISNUMBER(SEARCH("W",_xlpm.tk))+ISNUMBER(SEARCH("Вт",_xlpm.tk)))&gt;0),""),IFERROR(--SUBSTITUTE(SUBSTITUTE(UPPER(INDEX(_xlpm.w_,1)),"W",""),"ВТ",""),"")))</f>
        <v/>
      </c>
      <c r="IE285" t="str" cm="1">
        <f t="array" ref="IE285">IF(IC285="","",_xlfn.LET(_xlpm.tk,_xlfn.TEXTSPLIT(SUBSTITUTE(SUBSTITUTE(IC285,";"," "),"→"," ")," ",,TRUE),_xlpm.v_,_xlfn._xlws.FILTER(_xlpm.tk,ISNUMBER(--LEFT(_xlpm.tk,1))*((ISNUMBER(SEARCH("V",_xlpm.tk))+(RIGHT(UPPER(_xlpm.tk))="В"))&gt;0),""),IFERROR(--SUBSTITUTE(SUBSTITUTE(UPPER(INDEX(_xlpm.v_,1)),"V",""),"В",""),"")))</f>
        <v/>
      </c>
      <c r="IF285" s="6" t="str">
        <f>IF(OR(BV285=0,HI285="",HJ285=""),"",IFERROR(N(_xlfn.XLOOKUP(HI285,Каталог!$C$4:$C$500,Каталог!$Q$4:$Q$500)),""))</f>
        <v/>
      </c>
      <c r="IG285" s="6" t="str">
        <f>IF(N(IF285)=0,"",SUMIFS(Линии[Iр, А],Линии[Щит],A285,Линии[_модуль гр.],HH285,Линии[Канал (итог)],HJ285))</f>
        <v/>
      </c>
      <c r="IH285" t="str">
        <f>IF(AND(B285="",HO285=""),"",_xlfn.TEXTJOIN("; ",TRUE,IF(AND(B285&lt;&gt;"",FV285=""),"нет фазы",""),IF(AND(B285&lt;&gt;"",N(GL285)=0,FG285&lt;&gt;"Нет"),"нет мощности",""),IF(AND(HN285&lt;&gt;"",COUNTIFS(Линии[Щит],A285,Линии[Клемма (итог)],HN285)&gt;1),"дубль клеммы "&amp;HN285,""),IF(AND(HQ285&lt;&gt;"",HQ285&lt;&gt;"ok"),HQ285,""),IF(HR285&lt;&gt;"",HR285,""),IF(AND(N(CB285)&gt;=4,N(BX285)=1),CB285&amp;" жил на 1 фазе",""),IF(AND(BC285="R",CG285=1,IF(CS285&lt;&gt;"",N(CV285)&gt;30,OR(N(DA285)=0,N(DA285)&gt;30))),"розетка без дифзащиты до 30 мА",""),IF(AND(CG285=1,N(DA285)&gt;0,ISNUMBER(T285)),IF(T285&gt;N(DA285)/3,"ток утечки "&amp;FIXED(T285,1)&amp;" мА &gt; 1/3 уставки ("&amp;DA285&amp;" мА)",""),""),IF(AND(CH285=1,CS285=""),"«узо»: нет строки с УЗО выше (УЗО 2P 40А 30мА в «Аппаратах»)",""),IF(AND(CS285&lt;&gt;"",CS285=BA285),IF(CT285="","впишите номинал УЗО (УЗО 2P 40А 30мА)",IF(N(CT285)&lt;N(DT285),"УЗО "&amp;CT285&amp;" А &lt; автомата "&amp;DT285&amp;" А перед ним",IF(N(CT285)&lt;N(CX285),"УЗО "&amp;CT285&amp;" А &lt; тока блока "&amp;FIXED(CX285,1)&amp;" А",""))),""),IF(AND(CS285&lt;&gt;"",CS285=BA285,ISNUMBER(CY285)),IF(CY285&gt;N(CV285)/3,"ток утечки блока УЗО "&amp;FIXED(CY285,1)&amp;" мА &gt; 1/3 уставки ("&amp;CV285&amp;" мА)",""),""),IF(AND(CG285=1,N(BV285)+N(IB285)&gt;0,IC285=""),"линии до 50 В без БП: впишите в «Аппараты» (БП 24V 480W)",""),IF(AND(CG285=1,ISNUMBER(ID285),ISNUMBER(U285)),IF(U285&gt;ID285,"БП "&amp;ID285&amp;" Вт &lt; нужно "&amp;U285&amp;" Вт (×"&amp;Запас_БП&amp;")",""),""),IF(AND(CG285=1,ISNUMBER(IE285),N(BV285)=1),IF(IE285&lt;&gt;N(BU285),"БП на "&amp;IE285&amp;" В, линия "&amp;BU285&amp;" В",""),""),IF(AND(N(IF285)&gt;0,N(IG285)&gt;N(IF285)),HH285&amp;" канал "&amp;HJ285&amp;": "&amp;FIXED(IG285,1)&amp;" А &gt; "&amp;IF285&amp;" А",""),IFERROR(IF(AND(ISNUMBER(Q285),Q285&gt;EL285),"потери "&amp;FIXED(Q285,1)&amp;" % &gt; "&amp;EL285&amp;" %",""),""),IFERROR(IF(LEFT(HU285,4)="мало","Iкз мало — отключение &gt; 0,4 с",""),""),IF(AND(B285&lt;&gt;"",BM285=""),"не на схеме",""),IF(AND(CG285=0,B285&lt;&gt;"",FV285&lt;&gt;"",IF(BA285=1,"",FW284)&lt;&gt;"",FV285&lt;&gt;IF(BA285=1,"",FW284)),"фаза не как у автомата группы ("&amp;IF(BA285=1,"",FW284)&amp;")","")))</f>
        <v/>
      </c>
      <c r="II285" s="6">
        <f>IF(OR(CG285=0,DQ285=""),"",_xlfn.LET(_xlpm.t,IFERROR(_xlfn.XLOOKUP(DQ285,Каталог!$U$4:$U$500,Каталог!$G$4:$G$500),""),_xlpm.k,SEARCH("кА",_xlpm.t),IFERROR(--TRIM(RIGHT(SUBSTITUTE(MID(_xlpm.t,MAX(1,_xlpm.k-4),_xlpm.k-MAX(1,_xlpm.k-4))," ",REPT(" ",9)),5)),"")))</f>
        <v>6</v>
      </c>
      <c r="IJ285" t="str">
        <f>IF(OR(II285="",CG285=0),"",IF(_xlfn.XLOOKUP(A285,Щиты[Щит],Щиты[Iкз max на шинах, кА],"")="","",IF(II285&lt;_xlfn.XLOOKUP(A285,Щиты[Щит],Щиты[Iкз max на шинах, кА]),"Icu "&amp;II285&amp;" кА &lt; Iкз max","ok")))</f>
        <v/>
      </c>
      <c r="IK285" t="str">
        <f t="shared" si="665"/>
        <v/>
      </c>
      <c r="IL285" t="str">
        <f t="shared" si="666"/>
        <v>QFD2|XT2</v>
      </c>
      <c r="IM285" t="str">
        <f t="shared" si="667"/>
        <v>QFD2|XT2|кабель ВВГнг(А)-LS (3х2,5) → Розеточная группа, пом. 003А</v>
      </c>
      <c r="IN285" t="str" cm="1">
        <f t="array" ref="IN285">IF(IM285="","",_xlfn.LET(_xlpm.nd,_xlfn.TEXTSPLIT(IM285,"|"),IF(COLUMNS(_xlpm.nd)&gt;1,A285&amp;"¦"&amp;INDEX(_xlpm.nd,1)&amp;"¦"&amp;INDEX(_xlpm.nd,2),"")))</f>
        <v>ЩР-2¦QFD2¦XT2</v>
      </c>
      <c r="IO285" t="str">
        <f t="shared" si="668"/>
        <v>R.2.003А.1¦Розеточная группа, пом. 003А</v>
      </c>
      <c r="IP285" t="str" cm="1">
        <f t="array" ref="IP285">IF(IM285="","",_xlfn.LET(_xlpm.nd,_xlfn.TEXTSPLIT(IM285,"|"),IF(COLUMNS(_xlpm.nd)&gt;2,A285&amp;"¦"&amp;INDEX(_xlpm.nd,2)&amp;"¦"&amp;INDEX(_xlpm.nd,3),"")))</f>
        <v>ЩР-2¦XT2¦кабель ВВГнг(А)-LS (3х2,5) → Розеточная группа, пом. 003А</v>
      </c>
      <c r="IQ285" t="str">
        <f t="shared" si="669"/>
        <v>R.2.003А.1¦Розеточная группа, пом. 003А</v>
      </c>
      <c r="IR285" t="str" cm="1">
        <f t="array" ref="IR285">IF(IM285="","",_xlfn.LET(_xlpm.nd,_xlfn.TEXTSPLIT(IM285,"|"),IF(COLUMNS(_xlpm.nd)&gt;3,A285&amp;"¦"&amp;INDEX(_xlpm.nd,3)&amp;"¦"&amp;INDEX(_xlpm.nd,4),"")))</f>
        <v/>
      </c>
      <c r="IS285" t="str">
        <f t="shared" si="670"/>
        <v/>
      </c>
      <c r="IT285" t="str" cm="1">
        <f t="array" ref="IT285">IF(IM285="","",_xlfn.LET(_xlpm.nd,_xlfn.TEXTSPLIT(IM285,"|"),IF(COLUMNS(_xlpm.nd)&gt;4,A285&amp;"¦"&amp;INDEX(_xlpm.nd,4)&amp;"¦"&amp;INDEX(_xlpm.nd,5),"")))</f>
        <v/>
      </c>
      <c r="IU285" t="str">
        <f t="shared" si="671"/>
        <v/>
      </c>
      <c r="IV285" t="str" cm="1">
        <f t="array" ref="IV285">IF(IM285="","",_xlfn.LET(_xlpm.nd,_xlfn.TEXTSPLIT(IM285,"|"),IF(COLUMNS(_xlpm.nd)&gt;5,A285&amp;"¦"&amp;INDEX(_xlpm.nd,5)&amp;"¦"&amp;INDEX(_xlpm.nd,6),"")))</f>
        <v/>
      </c>
      <c r="IW285" t="str">
        <f t="shared" si="672"/>
        <v/>
      </c>
      <c r="IX285" t="str" cm="1">
        <f t="array" ref="IX285">IF(IM285="","",_xlfn.LET(_xlpm.nd,_xlfn.TEXTSPLIT(IM285,"|"),IF(COLUMNS(_xlpm.nd)&gt;6,A285&amp;"¦"&amp;INDEX(_xlpm.nd,6)&amp;"¦"&amp;INDEX(_xlpm.nd,7),"")))</f>
        <v/>
      </c>
      <c r="IY285" t="str">
        <f t="shared" si="673"/>
        <v/>
      </c>
      <c r="IZ285" t="str">
        <f t="shared" si="674"/>
        <v/>
      </c>
      <c r="JA285" t="str">
        <f t="shared" si="675"/>
        <v>QFD2 → XT2</v>
      </c>
      <c r="JB285">
        <f t="shared" si="676"/>
        <v>0</v>
      </c>
      <c r="JC285">
        <f t="shared" si="677"/>
        <v>1</v>
      </c>
      <c r="JD285" t="str">
        <f t="shared" si="678"/>
        <v/>
      </c>
      <c r="JE285" t="str">
        <f t="shared" si="679"/>
        <v/>
      </c>
      <c r="JF285" t="str">
        <f t="shared" si="680"/>
        <v/>
      </c>
      <c r="JG285" t="str">
        <f t="shared" si="681"/>
        <v/>
      </c>
      <c r="JH285" t="str">
        <f>IF(B285="","",IFERROR(_xlfn.XLOOKUP(B285,Коды_код,Коды_уго),IFERROR(_xlfn.XLOOKUP(BC285,Коды_код,Коды_уго),IFERROR(_xlfn.XLOOKUP(LEFT(BC285,2),Коды_код,Коды_уго),""))))</f>
        <v>Розетка</v>
      </c>
      <c r="JI285" t="str">
        <f>IF(B285="","",IF(OR(JH285="",JH285=0),"BOX",IFERROR(IF(VLOOKUP(JH285,УГО_блоки,3,FALSE)&amp;""&lt;&gt;"",VLOOKUP(JH285,УГО_блоки,3,FALSE),VLOOKUP(JH285,УГО_блоки,2,FALSE)),JH285)))</f>
        <v>SOCKET</v>
      </c>
      <c r="JJ285">
        <f t="shared" si="682"/>
        <v>1</v>
      </c>
      <c r="JK285" t="str">
        <f>IF(DQ285="","",IF(COUNTIF(DQ$3:DQ285,DQ285)=1,MAX(JK$2:JK284)+1,""))</f>
        <v/>
      </c>
      <c r="JL285" t="str">
        <f>IF(DE285="","",IF(COUNTIF(DE$3:DE285,DE285)+COUNTIF(DF$2:DF284,DE285)+COUNTIF(DG$2:DG284,DE285)=1,MAX(JL$2:JN284)+1,""))</f>
        <v/>
      </c>
      <c r="JM285" t="str">
        <f>IF(DF285="","",IF(COUNTIF(DE$3:DE285,DF285)+COUNTIF(DF$3:DF285,DF285)+COUNTIF(DG$2:DG284,DF285)=1,MAX(JL$2:JN284,JL285)+1,""))</f>
        <v/>
      </c>
      <c r="JN285" t="str">
        <f>IF(DG285="","",IF(COUNTIF(DE$3:DE285,DG285)+COUNTIF(DF$3:DF285,DG285)+COUNTIF(DG$3:DG285,DG285)=1,MAX(JL$2:JN284,JL285,JM285)+1,""))</f>
        <v/>
      </c>
      <c r="JO285" t="str">
        <f t="shared" si="683"/>
        <v>3х2,5</v>
      </c>
      <c r="JP285" t="str">
        <f>IF(JO285="","",IF(COUNTIF(JO$3:JO285,JO285)=1,MAX(JP$2:JP284)+1,""))</f>
        <v/>
      </c>
      <c r="JQ285" t="str">
        <f>IF(HG285="","",COUNTIF(HG$3:HG285,"?*"))</f>
        <v/>
      </c>
      <c r="JR285" t="str">
        <f>IF(OR(HG285="",HI285=""),"",IF(COUNTIFS(HG$3:HG285,"?*",HI$3:HI285,HI285)=1,MAX(JR$2:JR284)+1,""))</f>
        <v/>
      </c>
      <c r="JS285">
        <f t="shared" si="684"/>
        <v>0</v>
      </c>
      <c r="JT285">
        <f>IF(B285="","",COUNTIF(B$3:B285,"?*"))</f>
        <v>283</v>
      </c>
      <c r="JU285">
        <f>IF(HL285&lt;&gt;1,0,_xlfn.LET(_xlpm.k,MAX(IFERROR(--_xlfn.XLOOKUP(B285,Коды_код,Коды_3L),0),IFERROR(--_xlfn.XLOOKUP(BC285,Коды_код,Коды_3L),0),IFERROR(--_xlfn.XLOOKUP(LEFT(BC285,2),Коды_код,Коды_3L),0)),IF(_xlpm.k&gt;0,_xlpm.k,IF(IFERROR(--LEFT(SUBSTITUTE(JO285,"x","х"),FIND("х",SUBSTITUTE(JO285,"x","х"))-1),3)&gt;3,Каталог!$S$9,1))))</f>
        <v>1</v>
      </c>
      <c r="JV285">
        <f t="shared" si="685"/>
        <v>0</v>
      </c>
      <c r="JW285" t="str">
        <f t="shared" si="686"/>
        <v>авто</v>
      </c>
      <c r="JX285">
        <f t="shared" si="687"/>
        <v>30</v>
      </c>
      <c r="JY285">
        <f t="shared" si="688"/>
        <v>1</v>
      </c>
      <c r="JZ285">
        <f t="shared" si="689"/>
        <v>1</v>
      </c>
    </row>
    <row r="286" spans="1:286" x14ac:dyDescent="0.3">
      <c r="A286" t="s">
        <v>759</v>
      </c>
      <c r="B286" t="s">
        <v>1591</v>
      </c>
      <c r="C286" t="str">
        <f>Линии[[#This Row],[_авто наименование]]</f>
        <v>Розеточная группа, пом. 005А</v>
      </c>
      <c r="D286">
        <v>3</v>
      </c>
      <c r="E286">
        <v>0.3</v>
      </c>
      <c r="G286">
        <v>16</v>
      </c>
      <c r="H286" t="str">
        <f>Линии[[#This Row],[_авто управление]]</f>
        <v/>
      </c>
      <c r="I286" t="str">
        <f>Линии[[#This Row],[_авто аппараты]]</f>
        <v/>
      </c>
      <c r="J286">
        <v>2.5</v>
      </c>
      <c r="K286">
        <v>42</v>
      </c>
      <c r="L286">
        <v>2</v>
      </c>
      <c r="M286" t="str">
        <f>Линии[[#This Row],[_авто клемма]]</f>
        <v>XT3</v>
      </c>
      <c r="N286" t="str">
        <f t="shared" si="552"/>
        <v/>
      </c>
      <c r="O286" s="6" cm="1">
        <f t="array" ref="O286">IF(B286="","",IF(BH286&lt;&gt;"",IFERROR(_xlfn.XLOOKUP(BH286,Щиты[Щит],Щиты[Iр, А]),""),IF(BP286=1,IF(OR(N(_xlfn.XLOOKUP(A286,Щиты[Щит],Щиты[Вводов],1))&lt;=1,LOWER(TRIM(_xlfn.XLOOKUP(A286,Щиты[Щит],Щиты[АВР],"")&amp;""))="да"),IFERROR(_xlfn.XLOOKUP(A286,Щиты[Щит],Щиты[Iр, А]),""),IFERROR(N(BS286)*_xlfn.XLOOKUP(A286,Щиты[Щит],Щиты[Кс итог])/(SQRT(3)*Uн_лин*_xlfn.XLOOKUP(A286,Щиты[Щит],Щиты[cos φ])),"")),IF(BV286=1,IFERROR(BS286*1000/BU286,""),IFERROR(_xlfn.IFS(BX286=1,BS286/((Uн_лин/SQRT(3))*CE286),BX286=3,BS286/(SQRT(3)*Uн_лин*CE286)),"")))))</f>
        <v>1.3674085322912188</v>
      </c>
      <c r="P286" s="7">
        <f>IF(B286="","",IFERROR(IF(VLOOKUP(BC286,Потребители_обозначение,4,FALSE)=1,VLOOKUP(BC286,Потребители_обозначение,3,FALSE)*(MAX(1,N(D286))*2-1)+EI286+VLOOKUP(BE286,Этаж_обозначение,3,FALSE)+VLOOKUP(BE286,Этаж_обозначение,4,FALSE),VLOOKUP(BC286,Потребители_обозначение,3,FALSE)*(MAX(1,N(D286))*2-1)+EI286),EI286))</f>
        <v>57</v>
      </c>
      <c r="Q286" s="6">
        <f t="shared" si="553"/>
        <v>2.37</v>
      </c>
      <c r="R286" t="str">
        <f t="shared" si="554"/>
        <v>ВВГнг(А)-LS (3х2,5)</v>
      </c>
      <c r="S286" t="str">
        <f>IF(BM286="","",IF(BN286="вводной узел","узел ","")&amp;"л."&amp;(INT((BM286-1)/Столбцов_на_лист)+1)&amp;" / "&amp;(MOD(BM286-1,Столбцов_на_лист)+1))</f>
        <v>л.1 / 11</v>
      </c>
      <c r="T286" s="119">
        <f t="shared" si="555"/>
        <v>1.1000000000000001</v>
      </c>
      <c r="U286" s="7" t="str">
        <f>IF(OR(CG286=0,N(BV286)+N(IB286)=0),"",ROUNDUP(Запас_БП*(N(HY286)+N(HZ286)),0))</f>
        <v/>
      </c>
      <c r="V286" s="119" t="str">
        <f t="shared" si="556"/>
        <v/>
      </c>
      <c r="W286" s="7" t="str">
        <f>IFERROR(IF(OR(B286="",BP286=1,BV286=1,NOT(ISNUMBER(EN286)),N(DT286)=0),"",MAX(0,ROUNDDOWN((c_min*(Uн_лин*1000/SQRT(3))/(HT286*N(DT286))-_xlfn.XLOOKUP(A286,Щиты[Щит],Щиты[Zпетли на шинах, Ом]))*EN286/(2*ρкз_Cu),0))),"")</f>
        <v/>
      </c>
      <c r="Y286">
        <f>Линии[[#This Row],[_авто утечка]]</f>
        <v>30</v>
      </c>
      <c r="Z286">
        <v>1</v>
      </c>
      <c r="AA286">
        <v>230</v>
      </c>
      <c r="AB286" t="s">
        <v>562</v>
      </c>
      <c r="AG286" t="s">
        <v>810</v>
      </c>
      <c r="AI286" t="s">
        <v>561</v>
      </c>
      <c r="AK286" t="str">
        <f>Линии[[#This Row],[_авто модуль]]</f>
        <v/>
      </c>
      <c r="AM286">
        <v>11</v>
      </c>
      <c r="AN286" t="s">
        <v>11</v>
      </c>
      <c r="AO286">
        <v>3</v>
      </c>
      <c r="AQ286">
        <v>12</v>
      </c>
      <c r="AR286">
        <v>39</v>
      </c>
      <c r="AT286">
        <v>2</v>
      </c>
      <c r="BA286" cm="1">
        <f t="array" ref="BA286">ROW()-ROW(Линии[#Headers])</f>
        <v>284</v>
      </c>
      <c r="BC286" s="6" t="str">
        <f t="shared" si="557"/>
        <v>R</v>
      </c>
      <c r="BD286" t="str">
        <f t="shared" si="558"/>
        <v>2.005А.1</v>
      </c>
      <c r="BE286" t="str">
        <f t="shared" si="559"/>
        <v>2</v>
      </c>
      <c r="BF286" t="str">
        <f t="shared" si="560"/>
        <v>005А.1</v>
      </c>
      <c r="BG286" t="str">
        <f t="shared" si="561"/>
        <v>005А</v>
      </c>
      <c r="BH286" t="str">
        <f>IF(X286&lt;&gt;"",X286,IF(AND(B286&lt;&gt;"",B286&lt;&gt;A286,ISNUMBER(_xlfn.XMATCH(B286,Щиты[Щит]))),B286,""))</f>
        <v/>
      </c>
      <c r="BI286" t="str" cm="1">
        <f t="array" ref="BI286">IF(B286="","",IF(BH286&lt;&gt;"","Щит "&amp;BH286,_xlfn.LET(_xlpm.nm,IFERROR(_xlfn.XLOOKUP(BC286,Коды_код,Коды_имя)&amp;"",""),_xlpm.md,IFERROR(N(_xlfn.XLOOKUP(BC286,Коды_код,Коды_режим)),1),_xlpm.ex,IF(Имя_режим="по экспликации",IFERROR(_xlfn.XLOOKUP(BE286&amp;"|"&amp;BG286,Экспликация[Этаж]&amp;"|"&amp;Экспликация[Помещение],Экспликация[Название])&amp;"",""),""),_xlpm.rm,IF(BG286="","",IF(_xlpm.ex&lt;&gt;"",". "&amp;_xlpm.ex&amp;IF(Имя_пом="нет"," ("&amp;BG286&amp;")"," (пом. "&amp;BG286&amp;")"),IF(Имя_пом="нет"," ",", пом. ")&amp;BG286)),IF(_xlpm.nm="","",IF(_xlpm.md=2,_xlpm.nm&amp;" шлейф "&amp;BE286,_xlpm.nm&amp;_xlpm.rm)))))</f>
        <v>Розеточная группа, пом. 005А</v>
      </c>
      <c r="BJ286" t="str">
        <f t="shared" si="562"/>
        <v>Розеточная группа, пом. 005А</v>
      </c>
      <c r="BK286">
        <f>IFERROR(_xlfn.XMATCH(A286,Щиты[Щит]),0)</f>
        <v>11</v>
      </c>
      <c r="BL286">
        <f>_xlfn.LET(_xlpm.k,IFERROR(_xlfn.XLOOKUP(A286,Щиты[Щит],Щиты[Мест под вводной узел]),""),IF(_xlpm.k="",Столбцов_на_лист,N(_xlpm.k)))</f>
        <v>8</v>
      </c>
      <c r="BM286">
        <f t="shared" si="563"/>
        <v>11</v>
      </c>
      <c r="BN286" t="str">
        <f t="shared" si="564"/>
        <v>линии</v>
      </c>
      <c r="BO286" s="6">
        <f>IFERROR(N(_xlfn.XLOOKUP(BC286,Коды_код,Коды_квт)),0)</f>
        <v>0</v>
      </c>
      <c r="BP286">
        <f t="shared" si="565"/>
        <v>0</v>
      </c>
      <c r="BQ286" t="str">
        <f>IF(B286="","",IF(BH286&lt;&gt;"",IFERROR(_xlfn.XLOOKUP(BH286,Щиты[Щит],Щиты[Руст, кВт]),0),IF(BP286=1,IF(OR(N(_xlfn.XLOOKUP(A286,Щиты[Щит],Щиты[Вводов],1))&lt;=1,LOWER(TRIM(_xlfn.XLOOKUP(A286,Щиты[Щит],Щиты[АВР],"")&amp;""))="да"),IFERROR(_xlfn.XLOOKUP(A286,Щиты[Щит],Щиты[Руст, кВт]),0),SUMIFS(Линии[_Р для вводов],Линии[Щит],A286,Линии[Источник для режимов],GF286)),IF(BO286&gt;0,ROUND(BO286*MAX(1,N(D286)),3),""))))</f>
        <v/>
      </c>
      <c r="BR286">
        <f t="shared" si="566"/>
        <v>0.3</v>
      </c>
      <c r="BS286" s="6">
        <f>IF(B286="","",IF(BH286&lt;&gt;"",IFERROR(_xlfn.XLOOKUP(BH286,Щиты[Щит],Щиты[Руст, кВт]),0),N(BR286)))</f>
        <v>0.3</v>
      </c>
      <c r="BT286" t="str">
        <f>IF(B286="","",IFERROR(IF(VLOOKUP(BC286,Потребители_обозначение,8,FALSE)=0,"",VLOOKUP(BC286,Потребители_обозначение,8,FALSE)),""))</f>
        <v/>
      </c>
      <c r="BU286">
        <f t="shared" si="567"/>
        <v>230</v>
      </c>
      <c r="BV286">
        <f t="shared" si="568"/>
        <v>0</v>
      </c>
      <c r="BW286">
        <f>IF(B286="","",IF(BH286&lt;&gt;"",3,IFERROR(IF(N(VLOOKUP(BC286,Потребители_обозначение,9,FALSE))=0,1,VLOOKUP(BC286,Потребители_обозначение,9,FALSE)),1)))</f>
        <v>1</v>
      </c>
      <c r="BX286">
        <f t="shared" si="569"/>
        <v>1</v>
      </c>
      <c r="BY286" t="str">
        <f>IF(B286="","",_xlfn.LET(_xlpm.bc,IFERROR(IF(VLOOKUP(BC286,Потребители_обозначение,6,FALSE)=0,"",VLOOKUP(BC286,Потребители_обозначение,6,FALSE)&amp;""),""),IF(AND(GA286="да",OR(_xlpm.bc="",_xlpm.bc="мс")),Марка_пож,IF(AND(_xlpm.bc="",BH286&lt;&gt;""),"мс",_xlpm.bc))))</f>
        <v/>
      </c>
      <c r="BZ286" t="str">
        <f t="shared" si="570"/>
        <v>мс</v>
      </c>
      <c r="CA286">
        <f>IF(B286="","",_xlfn.LET(_xlpm.cc,IFERROR(N(VLOOKUP(BC286,Потребители_обозначение,7,FALSE)),0),IF(_xlpm.cc&gt;0,_xlpm.cc,IF(BZ286="","",IF(BV286=1,2,IF(N(BX286)=3,5,3))))))</f>
        <v>3</v>
      </c>
      <c r="CB286">
        <f t="shared" si="571"/>
        <v>3</v>
      </c>
      <c r="CC286">
        <f>IFERROR(N(VLOOKUP(BC286,Потребители_обозначение,10,FALSE)),0)</f>
        <v>0</v>
      </c>
      <c r="CD286">
        <f>IFERROR(VLOOKUP(BC286,Потребители_обозначение,5,FALSE),0)</f>
        <v>1</v>
      </c>
      <c r="CE286" s="6" cm="1">
        <f t="array" ref="CE286">IF(B286="","",IF(BH286&lt;&gt;"",IFERROR(_xlfn.XLOOKUP(BH286,Щиты[Щит],Щиты[cos φ]),0.95),IF(BP286=1,IFERROR(_xlfn.XLOOKUP(A286,Щиты[Щит],Щиты[cos φ]),0.95),IF(ISNUMBER(AD286),AD286,IFERROR(IF(CD286=2,_xlfn.IFS(BX286=3,VLOOKUP(BS286,Справочная_двигатели,8,FALSE),BX286=1,VLOOKUP(BS286,Справочная_двигатели,10,TRUE)),IF(AND(Методика="нормы 2026",FG286="Сил"),0.8,0.95)),0.95)))))</f>
        <v>0.95</v>
      </c>
      <c r="CF286">
        <f t="shared" si="572"/>
        <v>0</v>
      </c>
      <c r="CG286">
        <f t="shared" si="573"/>
        <v>1</v>
      </c>
      <c r="CH286">
        <f t="shared" si="574"/>
        <v>0</v>
      </c>
      <c r="CI286">
        <f>IF(B286="","",IF(BV286=1,IFERROR(BS286/((Uн_лин/SQRT(3))*MAX(0.5,N(CE286))),0),N(O286)))</f>
        <v>1.3674085322912188</v>
      </c>
      <c r="CJ286">
        <f t="shared" si="575"/>
        <v>0</v>
      </c>
      <c r="CK286">
        <f t="shared" si="576"/>
        <v>0</v>
      </c>
      <c r="CL286">
        <f t="shared" si="577"/>
        <v>0</v>
      </c>
      <c r="CM286">
        <f t="shared" si="578"/>
        <v>0</v>
      </c>
      <c r="CN286">
        <f t="shared" si="579"/>
        <v>0</v>
      </c>
      <c r="CO286">
        <f>IF(BC286="",0,_xlfn.LET(_xlpm.v,IFERROR(_xlfn.XLOOKUP(B286,Коды_код,Коды_мА),IFERROR(_xlfn.XLOOKUP(BC286,Коды_код,Коды_мА),IFERROR(_xlfn.XLOOKUP(LEFT(BC286,2),Коды_код,Коды_мА),""))),IF(_xlpm.v="да",30,IF(ISNUMBER(_xlpm.v),_xlpm.v,0))))</f>
        <v>30</v>
      </c>
      <c r="CP286">
        <f t="shared" si="580"/>
        <v>30</v>
      </c>
      <c r="CQ286" t="str">
        <f>_xlfn.LET(_xlpm.k,IFERROR(_xlfn.XLOOKUP(BC286,Коды_код,Коды_утечка)&amp;"",""),IF(_xlpm.k="","дифавтомат",_xlpm.k))</f>
        <v>дифавтомат</v>
      </c>
      <c r="CR286" t="str" cm="1">
        <f t="array" ref="CR286">IF(CG286=0,"",_xlfn.LET(_xlpm.sg,TRIM(_xlfn.TEXTSPLIT(DD286&amp;"",";")),_xlpm.f_,_xlfn._xlws.FILTER(_xlpm.sg,LEFT(_xlpm.sg,3)="УЗО",""),IFERROR(INDEX(_xlpm.f_,1)&amp;"","")))</f>
        <v/>
      </c>
      <c r="CS286" t="str">
        <f t="shared" si="581"/>
        <v/>
      </c>
      <c r="CT286" s="6" t="str" cm="1">
        <f t="array" ref="CT286">IF(CR286="","",_xlfn.LET(_xlpm.tk,_xlfn.TEXTSPLIT(UPPER(CR286)," ",,TRUE),_xlpm.a_,_xlfn._xlws.FILTER(_xlpm.tk,ISNUMBER(--LEFT(_xlpm.tk,1))*((ISNUMBER(SEARCH("А",_xlpm.tk))+ISNUMBER(SEARCH("A",_xlpm.tk)))&gt;0)*NOT(ISNUMBER(SEARCH("МА",_xlpm.tk)))*NOT(ISNUMBER(SEARCH("MA",_xlpm.tk))),""),IFERROR(--SUBSTITUTE(SUBSTITUTE(INDEX(_xlpm.a_,1),"А",""),"A",""),"")))</f>
        <v/>
      </c>
      <c r="CU286" t="str" cm="1">
        <f t="array" ref="CU286">IF(CR286="","",_xlfn.LET(_xlpm.tk,_xlfn.TEXTSPLIT(UPPER(CR286)," ",,TRUE),_xlpm.a_,_xlfn._xlws.FILTER(_xlpm.tk,ISNUMBER(--LEFT(_xlpm.tk,1))*((ISNUMBER(SEARCH("МА",_xlpm.tk))+ISNUMBER(SEARCH("MA",_xlpm.tk)))&gt;0),""),IFERROR(--SUBSTITUTE(SUBSTITUTE(INDEX(_xlpm.a_,1),"МА",""),"MA",""),30)))</f>
        <v/>
      </c>
      <c r="CV286" t="str">
        <f>IF(CS286="","",IFERROR(_xlfn.XLOOKUP(CS286,Линии[_n],Линии[_УЗО, мА]),30))</f>
        <v/>
      </c>
      <c r="CW286">
        <f>IF(CS286="",0,IF(ISNUMBER(SEARCH("4P",IFERROR(_xlfn.XLOOKUP(CS286,Линии[_n],Линии[_УЗО строки])&amp;"",""))),0,1))</f>
        <v>0</v>
      </c>
      <c r="CX286" t="str">
        <f>IF(AND(CS286&lt;&gt;"",CS286=BA286),SUMIFS(Линии[_ток на 230 В],Линии[_блок УЗО],BA286,Линии[Щит],A286),"")</f>
        <v/>
      </c>
      <c r="CY286" t="str">
        <f>IF(AND(CS286&lt;&gt;"",CS286=BA286),SUMIFS(Линии[_ток утечки линии, мА],Линии[_блок УЗО],BA286,Линии[Щит],A286),"")</f>
        <v/>
      </c>
      <c r="CZ286">
        <f t="shared" si="582"/>
        <v>30</v>
      </c>
      <c r="DA286">
        <f t="shared" si="583"/>
        <v>30</v>
      </c>
      <c r="DB286">
        <f>IF(B286="",0,IFERROR(--_xlfn.XLOOKUP(B286,Коды_код,Коды_минавт),IFERROR(--_xlfn.XLOOKUP(BC286,Коды_код,Коды_минавт),IFERROR(--_xlfn.XLOOKUP(LEFT(BC286,2),Коды_код,Коды_минавт),0))))</f>
        <v>16</v>
      </c>
      <c r="DC286" t="str">
        <f>IF(B286="","",IFERROR(_xlfn.XLOOKUP(BC286,Коды_код,Коды_апп)&amp;"",""))</f>
        <v/>
      </c>
      <c r="DD286" t="str">
        <f t="shared" si="584"/>
        <v/>
      </c>
      <c r="DE286" t="str" cm="1">
        <f t="array" ref="DE286">IF(TRIM(DD286&amp;"")="","",IFERROR(TRIM(INDEX(_xlfn.TEXTSPLIT(DD286&amp;";;;",";"),1)),""))</f>
        <v/>
      </c>
      <c r="DF286" t="str" cm="1">
        <f t="array" ref="DF286">IF(TRIM(DD286&amp;"")="","",IFERROR(TRIM(INDEX(_xlfn.TEXTSPLIT(DD286&amp;";;;",";"),2)),""))</f>
        <v/>
      </c>
      <c r="DG286" t="str" cm="1">
        <f t="array" ref="DG286">IF(TRIM(DD286&amp;"")="","",IFERROR(TRIM(INDEX(_xlfn.TEXTSPLIT(DD286&amp;";;;",";"),3)),""))</f>
        <v/>
      </c>
      <c r="DH286">
        <f t="shared" si="585"/>
        <v>0</v>
      </c>
      <c r="DI286" t="str">
        <f>IF(B286="","",_xlfn.LET(_xlpm.t,LOWER(AZ286&amp;""),IF(ISNUMBER(SEARCH("dim",_xlpm.t)),"DIM",IF(ISNUMBER(SEARCH("dali",_xlpm.t)),"DALI",IF(OR(ISNUMBER(SEARCH("relay",_xlpm.t)),ISNUMBER(SEARCH("реле",_xlpm.t))),"Relay",IF(ISNUMBER(SEARCH("кнопк",_xlpm.t)),"",IFERROR(_xlfn.XLOOKUP(BC286,Коды_код,Коды_упр)&amp;"","")))))))</f>
        <v/>
      </c>
      <c r="DJ286" t="str">
        <f t="shared" si="586"/>
        <v/>
      </c>
      <c r="DK286">
        <f>IF(B286="","",_xlfn.LET(_xlpm.ig,IF(N(CX286)&gt;0,N(CX286),N(CI286)+IF(AJ286="вручную",0,N(CJ286))),_xlpm.n0,IFERROR(VLOOKUP(_xlpm.ig,Автомат_номиналы,2,TRUE),0),_xlpm.mn,MAX(DB286,IF(AJ286="вручную",0,N(CM286))),MAX(_xlpm.n0,_xlpm.mn,IF(DH286=1,Мин_автомат_БП,0))))</f>
        <v>16</v>
      </c>
      <c r="DL286">
        <f t="shared" si="587"/>
        <v>1</v>
      </c>
      <c r="DM286" t="str">
        <f t="shared" si="588"/>
        <v>2P</v>
      </c>
      <c r="DN286" t="str">
        <f>_xlfn.LET(_xlpm.cc,UPPER(TRIM(IFERROR(_xlfn.XLOOKUP(BC286,Коды_код,Коды_хар)&amp;"",""))),IF(OR(_xlpm.cc="B",_xlpm.cc="В"),"B",IF(_xlpm.cc="D","D","С")))</f>
        <v>С</v>
      </c>
      <c r="DO286" t="str">
        <f t="shared" si="589"/>
        <v>2P С16А 30мА</v>
      </c>
      <c r="DP286">
        <f t="shared" si="590"/>
        <v>16</v>
      </c>
      <c r="DQ286" t="str">
        <f t="shared" si="591"/>
        <v>2P С16А 30мА</v>
      </c>
      <c r="DR286" cm="1">
        <f t="array" ref="DR286">IF(DQ286="","",_xlfn.LET(_xlpm.t,SUBSTITUTE(SUBSTITUTE(SUBSTITUTE(UPPER(DQ286),"С","C"),"А","A"),"В","B"),_xlpm.tk,_xlfn.TEXTSPLIT(_xlpm.t," "),_xlpm.f,_xlfn._xlws.FILTER(_xlpm.tk,ISNUMBER(--MID(_xlpm.tk,2,1))*ISNUMBER(SEARCH(LEFT(_xlpm.tk,1)&amp;"#","B#C#D#"))*(LEN(_xlpm.tk)&gt;1),""),_xlpm.x,INDEX(_xlpm.f,1),IFERROR(--SUBSTITUTE(MID(_xlpm.x,2,9),"A",""),IFERROR(--SUBSTITUTE(INDEX(_xlfn._xlws.FILTER(_xlpm.tk,ISNUMBER(--SUBSTITUTE(_xlpm.tk,"A","")),""),1),"A",""),""))))</f>
        <v>16</v>
      </c>
      <c r="DS286" t="str">
        <f t="shared" si="592"/>
        <v>ok</v>
      </c>
      <c r="DT286">
        <f t="shared" si="593"/>
        <v>16</v>
      </c>
      <c r="DU286" t="str">
        <f t="shared" si="594"/>
        <v>2P С16А 30мА</v>
      </c>
      <c r="DV286">
        <f t="shared" si="595"/>
        <v>30</v>
      </c>
      <c r="DW286">
        <f t="shared" si="596"/>
        <v>1</v>
      </c>
      <c r="DX286">
        <f t="shared" si="597"/>
        <v>0</v>
      </c>
      <c r="DY286">
        <f t="shared" si="598"/>
        <v>1.3674085322912188</v>
      </c>
      <c r="DZ286">
        <f t="shared" si="599"/>
        <v>1</v>
      </c>
      <c r="EA286">
        <f>IF(ISNUMBER(AP286),AP286,К_прокл)</f>
        <v>1</v>
      </c>
      <c r="EB286">
        <f t="shared" si="600"/>
        <v>2</v>
      </c>
      <c r="EC286">
        <f>IFERROR(N(VLOOKUP(BZ286,Кабель_обозначение,3,FALSE)),1)</f>
        <v>1</v>
      </c>
      <c r="ED286">
        <f>IFERROR(N(_xlfn.XLOOKUP(A286,Щиты[Щит],Щиты[ΔU до шин, %])),0)</f>
        <v>1.79</v>
      </c>
      <c r="EE286" t="str">
        <f>IFERROR(_xlfn.XLOOKUP(A286,Щиты[Щит],Щиты[Zпетли на шинах, Ом]),"")</f>
        <v/>
      </c>
      <c r="EF286">
        <f>IFERROR(N(_xlfn.XLOOKUP(A286,Щиты[Щит],Щиты[ΔU до шин (подбор), %])),0)</f>
        <v>4.75</v>
      </c>
      <c r="EG286" t="str">
        <f>IFERROR(_xlfn.XLOOKUP(A286,Щиты[Щит],Щиты[Zпетли на шинах (подбор), Ом]),"")</f>
        <v/>
      </c>
      <c r="EH286" t="str">
        <f t="shared" si="601"/>
        <v/>
      </c>
      <c r="EI286">
        <f t="shared" si="602"/>
        <v>42</v>
      </c>
      <c r="EJ286">
        <f t="shared" si="603"/>
        <v>2</v>
      </c>
      <c r="EK286">
        <f t="shared" si="604"/>
        <v>0.31</v>
      </c>
      <c r="EL286" s="6">
        <f>IF(B286="","",IF(BV286=1,dU_LED,IF(IFERROR(_xlfn.XLOOKUP(BC286,Коды_код,Коды_уго),"")="Светильник",3,4)+IF(Методика="нормы 2026",MIN(0.5,MAX(0,N(P286)-100)*0.005),0)))</f>
        <v>4</v>
      </c>
      <c r="EM286" t="str" cm="1">
        <f t="array" ref="EM286">IF(OR(B286="",BZ286="",EC286&lt;&gt;1),"",_xlfn.LET(_xlpm.sz,Iдоп_S,_xlpm.t_,CHOOSE(EB286,Iдоп_1ж,Iдоп_2ж,Iдоп_3ж)*DZ286*EA286,_xlpm.dcx,BV286=1,_xlpm.inn,IF(_xlpm.dcx,N(O286),N(DT286)),_xlpm.smin,MAX(1.5,CC286),_xlpm.L_,N(P286)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286)/N(BU286)*100,999),IFERROR(N(EJ286)*(_xlpm.rho*_xlpm.L_/_xlpm.sz*N(CE286)+_xlpm.xx*_xlpm.L_*N(EK286)/1000)*N(O286)/((Uн_лин/SQRT(3))*1000)*100,999)),_xlpm.kz,IF(OR(_xlpm.dcx,DW286=1,NOT(ISNUMBER(EG286)),_xlpm.L_=0,_xlpm.inn=0),1,IFERROR(--(c_min*(Uн_лин*1000/SQRT(3))/(EG286+2*ρкз_Cu*_xlpm.L_/_xlpm.sz)&gt;=HT286*_xlpm.inn),0)),_xlpm.ok,IFERROR((_xlpm.sz&gt;=_xlpm.smin)*(_xlpm.t_&gt;=_xlpm.inn)*IF(_xlpm.L_&gt;0,(_xlpm.du_+IF(_xlpm.dcx,0,EF286)&lt;=EL286+0.00001),1)*_xlpm.kz,0),_xlpm.r_,_xlfn._xlws.FILTER(_xlpm.sz,_xlpm.ok,"не подобрано"),INDEX(_xlpm.r_,1)))</f>
        <v>не подобрано</v>
      </c>
      <c r="EN286">
        <f t="shared" si="605"/>
        <v>2.5</v>
      </c>
      <c r="EO286" cm="1">
        <f t="array" ref="EO286">IF(OR(B286="",BZ286="",EC286&lt;&gt;1),"",_xlfn.LET(_xlpm.sz,Iдоп_S,_xlpm.t_,CHOOSE(EB286,Iдоп_1ж,Iдоп_2ж,Iдоп_3ж)*DZ286*EA286,_xlpm.ok,IFERROR((_xlpm.sz&gt;=MAX(1.5,CC286))*(_xlpm.t_&gt;=N(DT286)),0),_xlpm.r_,_xlfn._xlws.FILTER(_xlpm.sz,_xlpm.ok,""),INDEX(_xlpm.r_,1)))</f>
        <v>1.5</v>
      </c>
      <c r="EP286" s="6" cm="1">
        <f t="array" ref="EP286">IFERROR(ROUNDUP(N(EJ286)*(_xlfn.XLOOKUP(EO286,INDEX(Кабель_сопротивление,0,1),INDEX(Кабель_сопротивление,0,3))*N(P286)/EO286*N(CE286)+_xlfn.XLOOKUP(EO286,INDEX(Кабель_сопротивление,0,1),INDEX(Кабель_сопротивление,0,2))*N(P286)*N(EK286)/1000)*N(O286)/((Uн_лин/SQRT(3))*1000)*100,2),"")</f>
        <v>0.97</v>
      </c>
      <c r="EQ286">
        <f>IFERROR(2*ρкз_Cu*N(P286)/EO286,"")</f>
        <v>1.9988000000000001</v>
      </c>
      <c r="ER286">
        <f>IFERROR(VLOOKUP(EN286,Кабель_сопротивление,3,FALSE),"")</f>
        <v>2.2499999999999999E-2</v>
      </c>
      <c r="ES286">
        <f>IFERROR(VLOOKUP(EN286,Кабель_сопротивление,2,FALSE),"")</f>
        <v>0.1</v>
      </c>
      <c r="ET286">
        <f t="shared" si="606"/>
        <v>39</v>
      </c>
      <c r="EU286">
        <f t="shared" si="607"/>
        <v>53</v>
      </c>
      <c r="EV286">
        <f t="shared" si="608"/>
        <v>1.3376455181773683</v>
      </c>
      <c r="EW286" s="6">
        <f>IFERROR(ROUNDUP(EV286/IF(BV286=1,BU286,(Uн_лин/SQRT(3))*1000)*100,2),"")</f>
        <v>0.57999999999999996</v>
      </c>
      <c r="EX286" t="str">
        <f>IFERROR(VLOOKUP(BZ286,Кабель_обозначение,2,FALSE),"")</f>
        <v>ВВГнг(А)-LS</v>
      </c>
      <c r="EY286" t="str">
        <f t="shared" si="609"/>
        <v>ВВГнг(А)-LS (3х2,5)</v>
      </c>
      <c r="EZ286" t="str">
        <f t="shared" si="610"/>
        <v>ВВГнг(А)-LS (3х2,5)
L=57-0,58%</v>
      </c>
      <c r="FA286">
        <f>IFERROR(2*ρкз_Cu*P286/EN286,"")</f>
        <v>1.1992800000000001</v>
      </c>
      <c r="FB286">
        <f t="shared" si="611"/>
        <v>0.39900000000000002</v>
      </c>
      <c r="FC286" s="6" t="str">
        <f>IFERROR(IF(OR(B286="",BV286=1,NOT(ISNUMBER(EN286)),N(P286)=0),"",_xlfn.XLOOKUP(A286,Щиты[Щит],Щиты[Zпетли на шинах, Ом])+FA286),"")</f>
        <v/>
      </c>
      <c r="FD286" s="6" t="str">
        <f>IF(ISNUMBER(FC286),c_min*(Uн_лин*1000/SQRT(3))/FC286,"")</f>
        <v/>
      </c>
      <c r="FE286" s="6" t="str">
        <f>IFERROR(IF(OR(B286="",NOT(ISNUMBER(EN286))),"",1.05*(Uн_лин*1000/SQRT(3))/(_xlfn.XLOOKUP(A286,Щиты[Щит],Щиты[Zmax на шинах, Ом])+FB286)/1000),"")</f>
        <v/>
      </c>
      <c r="FF286" s="6" t="str">
        <f>IF(B286="","",IF(ISNUMBER(AC286),"Сил",IF(IFERROR(_xlfn.XLOOKUP(BC286,Коды_код,Коды_группа)&amp;"","")="","Быт",_xlfn.XLOOKUP(BC286,Коды_код,Коды_группа)&amp;"")))</f>
        <v>Быт</v>
      </c>
      <c r="FG286" s="6" t="str">
        <f t="shared" si="612"/>
        <v>Быт</v>
      </c>
      <c r="FH286" s="6">
        <f>IF(FG286="Щит","щит",IF(FG286="","",IF(FG286="Быт",IFERROR(_xlfn.XLOOKUP(A286,Щиты[Щит],Щиты[Кс быт]),1),IF(FG286="Сил",IF(ISNUMBER(AC286),AC286,IF(Методика="нормы 2026",IFERROR(_xlfn.XLOOKUP(A286,Щиты[Щит],Щиты[Кс силовых (табл. 7.5)]),1),1)),IF(OR(FG286="Пост",FG286="Отоп"),1,IF(FG286="ВНГ",0.7,0))))))</f>
        <v>0.8</v>
      </c>
      <c r="FI286">
        <f>IF(FG286="","",IF(AND(BP286=1,TRIM(AE286&amp;"")=""),IF(COUNTIFS(Линии[Щит],A286,Линии[Секция (1/2/3)],"&gt;=2")&gt;0,MIN(3,MAX(1,IFERROR(--BD286,1))),1),IFERROR(MIN(3,MAX(1,INT(--AE286))),1)))</f>
        <v>1</v>
      </c>
      <c r="FJ286">
        <f t="shared" si="613"/>
        <v>0.3</v>
      </c>
      <c r="FK286">
        <f t="shared" si="614"/>
        <v>0.3</v>
      </c>
      <c r="FL286">
        <f t="shared" si="615"/>
        <v>0</v>
      </c>
      <c r="FM286">
        <f t="shared" si="616"/>
        <v>0</v>
      </c>
      <c r="FN286">
        <f t="shared" si="617"/>
        <v>0</v>
      </c>
      <c r="FO286">
        <f t="shared" si="618"/>
        <v>0</v>
      </c>
      <c r="FP286">
        <f t="shared" si="619"/>
        <v>0.3</v>
      </c>
      <c r="FQ286">
        <f t="shared" si="620"/>
        <v>0.3</v>
      </c>
      <c r="FR286">
        <f t="shared" si="621"/>
        <v>0.28499999999999998</v>
      </c>
      <c r="FS286">
        <f>IF(CG286=1,IF(AND(CH286=1,CW286=1),0,IF(AND(CS286&lt;&gt;"",CS286=BA286,CW286=1),SUMIFS(Линии[_Р линии, кВт],Линии[_блок УЗО],BA286,Линии[Щит],A286),N(BS286)+IF(AJ286="вручную",0,N(CK286)))),0)</f>
        <v>0.3</v>
      </c>
      <c r="FT286" t="str">
        <f t="shared" si="622"/>
        <v>L2</v>
      </c>
      <c r="FU286" t="str">
        <f>IF(B286="","",IF(CG286=0,IF(BA286=1,"",FW285),IF(AND(CH286=1,CW286=1,CS286&lt;&gt;""),IFERROR(_xlfn.XLOOKUP(CS286,Линии[_n],Линии[_фаза итог]),"L1"),IF(OR(N(DL286)&gt;=3,N(BX286)&gt;=3),"L1,L2,L3",IFERROR(_xlfn.TEXTBEFORE(_xlfn.TEXTAFTER(_xlfn.XLOOKUP(A286,Щиты[Щит],Щиты[_фазы авто]),";"&amp;BA286&amp;":"),";"),"L1")))))</f>
        <v>L1</v>
      </c>
      <c r="FV286" t="str">
        <f t="shared" si="623"/>
        <v>L2</v>
      </c>
      <c r="FW286" t="str">
        <f t="shared" si="624"/>
        <v>L2</v>
      </c>
      <c r="FX286" cm="1">
        <f t="array" ref="FX286">IFERROR(IF(CD286=2,_xlfn.IFS(BX286=3,VLOOKUP(BS286,Справочная_двигатели,3,FALSE),BX286=1,VLOOKUP(BS286,Справочная_двигатели,5,TRUE)),0),0)</f>
        <v>0</v>
      </c>
      <c r="FY286">
        <f>IFERROR(IF(CD286=3,VLOOKUP(BS286,Справочная_ЛЭД,2,TRUE),0),0)</f>
        <v>0</v>
      </c>
      <c r="FZ286" s="6">
        <f t="shared" si="625"/>
        <v>0</v>
      </c>
      <c r="GA286" t="str">
        <f>IF(B286="","",IF(TRIM(AH286&amp;"")&lt;&gt;"",IF(LOWER(TRIM(AH286&amp;""))="да","да","нет"),IF(IFERROR(_xlfn.XLOOKUP(BC286,Коды_код,Коды_пожарная),"")="да","да","нет")))</f>
        <v>нет</v>
      </c>
      <c r="GB286" t="str">
        <f t="shared" si="626"/>
        <v/>
      </c>
      <c r="GC286" t="str">
        <f t="shared" si="627"/>
        <v>основная</v>
      </c>
      <c r="GD286">
        <f>IF(AND(BP286=1,TRIM(AE286&amp;"")=""),IF(COUNTIFS(Линии[Щит],A286,Линии[Секция (1/2/3)],"&gt;=2")&gt;0,MIN(3,MAX(1,IFERROR(--BD286,1))),1),IFERROR(MIN(3,MAX(1,INT(--AE286))),1))</f>
        <v>1</v>
      </c>
      <c r="GE286" t="str" cm="1">
        <f t="array" ref="GE286">IF(B286="","",_xlfn.LET(_xlpm.t,IFERROR(_xlfn.XLOOKUP(1,(Шины[Шина]=GC286)*(((Шины[Щит]=A286)+(Шины[Щит]=""))&gt;0),Шины[Тип]),"")&amp;"",IF(_xlpm.t&lt;&gt;"",_xlpm.t,IF(ISNUMBER(SEARCH("ИБП",GC286)),"ИБП",IF(ISNUMBER(SEARCH("ДГУ",GC286)),"ДГУ","Ввод "&amp;GD286)))))</f>
        <v>Ввод 1</v>
      </c>
      <c r="GF286" t="str">
        <f t="shared" si="628"/>
        <v>Ввод 1</v>
      </c>
      <c r="GG286" t="str">
        <f>IF(BP286=0,"",IF(TRIM(AG286&amp;"")&lt;&gt;"",TRIM(AG286&amp;""),IF(OR(GE286="ИБП",GE286="ДГУ"),"I особая",_xlfn.XLOOKUP(A286,Щиты[Щит],Щиты[Категория шины «Ввод»],"III"))))</f>
        <v/>
      </c>
      <c r="GH286" t="str">
        <f>IF(A286="","",_xlfn.XLOOKUP(A286,Щиты[Щит],Щиты[Путь],""))</f>
        <v>|ГРЩ-ЖД|ЩР-2|</v>
      </c>
      <c r="GI286" t="str">
        <f>IF(B286="","",IF(AI286&lt;&gt;"",AI286,IF(IFERROR(_xlfn.XLOOKUP(BC286,Коды_код,Коды_вид)&amp;"","")="","Прочее",_xlfn.XLOOKUP(BC286,Коды_код,Коды_вид)&amp;"")))</f>
        <v>Розеточная сеть и бытовые приборы</v>
      </c>
      <c r="GJ286">
        <f>IF(BM286="","",INT((BM286-1)/Столбцов_на_лист)+1)</f>
        <v>1</v>
      </c>
      <c r="GK286" t="str">
        <f t="shared" si="629"/>
        <v>ВВГнг(А)-LS (3х2,5) L=57-0,58%</v>
      </c>
      <c r="GL286">
        <f t="shared" si="630"/>
        <v>0.3</v>
      </c>
      <c r="GM286">
        <f t="shared" si="631"/>
        <v>1.37</v>
      </c>
      <c r="GN286">
        <f t="shared" si="632"/>
        <v>1</v>
      </c>
      <c r="GO286">
        <f t="shared" si="633"/>
        <v>0</v>
      </c>
      <c r="GP286">
        <f t="shared" si="634"/>
        <v>1</v>
      </c>
      <c r="GQ286">
        <f>IF(BM286="","",IF(AND(CG286=1,GP286=1),COUNTIFS(A$3:A286,A286,CG$3:CG286,1,GP$3:GP286,1),IF(OR(OR(BA286=1,A286&lt;&gt;A285),AJ286="вручную",GP286=0),"",IF(BA286=1,"",GR285))))</f>
        <v>3</v>
      </c>
      <c r="GR286">
        <f t="shared" si="635"/>
        <v>3</v>
      </c>
      <c r="GS286">
        <f>IF(B286="","",IFERROR(LOOKUP(INDEX(CHOOSE(EB286,Iдоп_1ж,Iдоп_2ж,Iдоп_3ж),MATCH(EN286,Iдоп_S,0))*DZ286*EA286,{6,10,16,20,25,32,40,50,63,80,100,125,160,200,250,315,400,500,630}),""))</f>
        <v>25</v>
      </c>
      <c r="GT286" t="str">
        <f t="shared" si="636"/>
        <v>QFD3</v>
      </c>
      <c r="GU286" t="str">
        <f t="shared" si="637"/>
        <v>QFD3</v>
      </c>
      <c r="GV286" t="str">
        <f t="shared" si="638"/>
        <v/>
      </c>
      <c r="GW286">
        <f t="shared" si="639"/>
        <v>0</v>
      </c>
      <c r="GX286" t="str">
        <f>IF(OR(B286="",DJ286=""),"",IFERROR(_xlfn.XLOOKUP(DJ286,Модули_умолч[Управление],Модули_умолч[Модель])&amp;"",""))</f>
        <v/>
      </c>
      <c r="GY286">
        <f>IF(DJ286="",1,IFERROR(MAX(0,N(_xlfn.XLOOKUP(DJ286,Модули_умолч[Управление],Модули_умолч[Каналов на линию]))),1))</f>
        <v>1</v>
      </c>
      <c r="GZ286" t="str">
        <f t="shared" si="640"/>
        <v/>
      </c>
      <c r="HA286" t="str">
        <f t="shared" si="641"/>
        <v/>
      </c>
      <c r="HB286" t="str">
        <f t="shared" si="642"/>
        <v/>
      </c>
      <c r="HC286">
        <f>IF(HB286="",0,IFERROR(N(VLOOKUP(HB286,Модули_спр,3,FALSE)),0))</f>
        <v>0</v>
      </c>
      <c r="HD286" t="str">
        <f t="shared" si="643"/>
        <v/>
      </c>
      <c r="HE286" t="str">
        <f t="shared" si="644"/>
        <v/>
      </c>
      <c r="HF286" t="str">
        <f>IF(OR(HE286="",HE286="-"),"",IFERROR(VLOOKUP(HE286,Модули_спр,2,FALSE),"R"))</f>
        <v/>
      </c>
      <c r="HG286" t="str">
        <f>IF(HF286="","",HF286&amp;"."&amp;COUNTIFS(A$3:A286,A286,HF$3:HF286,HF286))</f>
        <v/>
      </c>
      <c r="HH286" t="str">
        <f t="shared" si="645"/>
        <v/>
      </c>
      <c r="HI286" t="str">
        <f t="shared" si="646"/>
        <v/>
      </c>
      <c r="HJ286" t="str">
        <f t="shared" si="647"/>
        <v/>
      </c>
      <c r="HK286" t="str">
        <f t="shared" si="648"/>
        <v/>
      </c>
      <c r="HL286">
        <f t="shared" si="649"/>
        <v>1</v>
      </c>
      <c r="HM286" t="str">
        <f>IF(HL286=1,"XT"&amp;COUNTIFS(A$3:A286,A286,HL$3:HL286,1),"")</f>
        <v>XT3</v>
      </c>
      <c r="HN286" t="str">
        <f t="shared" si="650"/>
        <v>XT3</v>
      </c>
      <c r="HO286" t="str">
        <f t="shared" si="651"/>
        <v>QFD3</v>
      </c>
      <c r="HP286" t="str">
        <f t="shared" si="652"/>
        <v/>
      </c>
      <c r="HQ286" t="str">
        <f t="shared" si="653"/>
        <v>ok</v>
      </c>
      <c r="HR286" t="str">
        <f>IF(OR(HJ286="",HH286=""),"",IF(HJ286+MAX(0,GY286-1)&gt;IFERROR(VLOOKUP(HI286,Модули_спр,3,FALSE),99),"ЛИШНИЙ КАНАЛ",IF(AND(AL286&lt;&gt;"=",GY286&gt;0,COUNTIFS(Линии[_модуль гр.],HH286,Линии[Канал (итог)],HJ286,Линии[Канал],"&lt;&gt;=",Линии[Щит],A286)&gt;1),"ДУБЛЬ КАНАЛА","")))</f>
        <v/>
      </c>
      <c r="HS286" s="6" t="str">
        <f t="shared" si="654"/>
        <v/>
      </c>
      <c r="HT286">
        <f t="shared" si="655"/>
        <v>10</v>
      </c>
      <c r="HU286" t="str">
        <f t="shared" si="656"/>
        <v/>
      </c>
      <c r="HV286">
        <f t="shared" si="657"/>
        <v>1.1169634129164876</v>
      </c>
      <c r="HW286">
        <f t="shared" si="658"/>
        <v>0</v>
      </c>
      <c r="HX286">
        <f t="shared" si="659"/>
        <v>0</v>
      </c>
      <c r="HY286">
        <f t="shared" si="660"/>
        <v>0</v>
      </c>
      <c r="HZ286">
        <f t="shared" si="661"/>
        <v>0</v>
      </c>
      <c r="IA286">
        <f t="shared" si="662"/>
        <v>0</v>
      </c>
      <c r="IB286">
        <f t="shared" si="663"/>
        <v>0</v>
      </c>
      <c r="IC286" t="str">
        <f t="shared" si="664"/>
        <v/>
      </c>
      <c r="ID286" t="str" cm="1">
        <f t="array" ref="ID286">IF(IC286="","",_xlfn.LET(_xlpm.tk,_xlfn.TEXTSPLIT(SUBSTITUTE(SUBSTITUTE(IC286,";"," "),"→"," ")," ",,TRUE),_xlpm.w_,_xlfn._xlws.FILTER(_xlpm.tk,ISNUMBER(--LEFT(_xlpm.tk,1))*((ISNUMBER(SEARCH("W",_xlpm.tk))+ISNUMBER(SEARCH("Вт",_xlpm.tk)))&gt;0),""),IFERROR(--SUBSTITUTE(SUBSTITUTE(UPPER(INDEX(_xlpm.w_,1)),"W",""),"ВТ",""),"")))</f>
        <v/>
      </c>
      <c r="IE286" t="str" cm="1">
        <f t="array" ref="IE286">IF(IC286="","",_xlfn.LET(_xlpm.tk,_xlfn.TEXTSPLIT(SUBSTITUTE(SUBSTITUTE(IC286,";"," "),"→"," ")," ",,TRUE),_xlpm.v_,_xlfn._xlws.FILTER(_xlpm.tk,ISNUMBER(--LEFT(_xlpm.tk,1))*((ISNUMBER(SEARCH("V",_xlpm.tk))+(RIGHT(UPPER(_xlpm.tk))="В"))&gt;0),""),IFERROR(--SUBSTITUTE(SUBSTITUTE(UPPER(INDEX(_xlpm.v_,1)),"V",""),"В",""),"")))</f>
        <v/>
      </c>
      <c r="IF286" s="6" t="str">
        <f>IF(OR(BV286=0,HI286="",HJ286=""),"",IFERROR(N(_xlfn.XLOOKUP(HI286,Каталог!$C$4:$C$500,Каталог!$Q$4:$Q$500)),""))</f>
        <v/>
      </c>
      <c r="IG286" s="6" t="str">
        <f>IF(N(IF286)=0,"",SUMIFS(Линии[Iр, А],Линии[Щит],A286,Линии[_модуль гр.],HH286,Линии[Канал (итог)],HJ286))</f>
        <v/>
      </c>
      <c r="IH286" t="str">
        <f>IF(AND(B286="",HO286=""),"",_xlfn.TEXTJOIN("; ",TRUE,IF(AND(B286&lt;&gt;"",FV286=""),"нет фазы",""),IF(AND(B286&lt;&gt;"",N(GL286)=0,FG286&lt;&gt;"Нет"),"нет мощности",""),IF(AND(HN286&lt;&gt;"",COUNTIFS(Линии[Щит],A286,Линии[Клемма (итог)],HN286)&gt;1),"дубль клеммы "&amp;HN286,""),IF(AND(HQ286&lt;&gt;"",HQ286&lt;&gt;"ok"),HQ286,""),IF(HR286&lt;&gt;"",HR286,""),IF(AND(N(CB286)&gt;=4,N(BX286)=1),CB286&amp;" жил на 1 фазе",""),IF(AND(BC286="R",CG286=1,IF(CS286&lt;&gt;"",N(CV286)&gt;30,OR(N(DA286)=0,N(DA286)&gt;30))),"розетка без дифзащиты до 30 мА",""),IF(AND(CG286=1,N(DA286)&gt;0,ISNUMBER(T286)),IF(T286&gt;N(DA286)/3,"ток утечки "&amp;FIXED(T286,1)&amp;" мА &gt; 1/3 уставки ("&amp;DA286&amp;" мА)",""),""),IF(AND(CH286=1,CS286=""),"«узо»: нет строки с УЗО выше (УЗО 2P 40А 30мА в «Аппаратах»)",""),IF(AND(CS286&lt;&gt;"",CS286=BA286),IF(CT286="","впишите номинал УЗО (УЗО 2P 40А 30мА)",IF(N(CT286)&lt;N(DT286),"УЗО "&amp;CT286&amp;" А &lt; автомата "&amp;DT286&amp;" А перед ним",IF(N(CT286)&lt;N(CX286),"УЗО "&amp;CT286&amp;" А &lt; тока блока "&amp;FIXED(CX286,1)&amp;" А",""))),""),IF(AND(CS286&lt;&gt;"",CS286=BA286,ISNUMBER(CY286)),IF(CY286&gt;N(CV286)/3,"ток утечки блока УЗО "&amp;FIXED(CY286,1)&amp;" мА &gt; 1/3 уставки ("&amp;CV286&amp;" мА)",""),""),IF(AND(CG286=1,N(BV286)+N(IB286)&gt;0,IC286=""),"линии до 50 В без БП: впишите в «Аппараты» (БП 24V 480W)",""),IF(AND(CG286=1,ISNUMBER(ID286),ISNUMBER(U286)),IF(U286&gt;ID286,"БП "&amp;ID286&amp;" Вт &lt; нужно "&amp;U286&amp;" Вт (×"&amp;Запас_БП&amp;")",""),""),IF(AND(CG286=1,ISNUMBER(IE286),N(BV286)=1),IF(IE286&lt;&gt;N(BU286),"БП на "&amp;IE286&amp;" В, линия "&amp;BU286&amp;" В",""),""),IF(AND(N(IF286)&gt;0,N(IG286)&gt;N(IF286)),HH286&amp;" канал "&amp;HJ286&amp;": "&amp;FIXED(IG286,1)&amp;" А &gt; "&amp;IF286&amp;" А",""),IFERROR(IF(AND(ISNUMBER(Q286),Q286&gt;EL286),"потери "&amp;FIXED(Q286,1)&amp;" % &gt; "&amp;EL286&amp;" %",""),""),IFERROR(IF(LEFT(HU286,4)="мало","Iкз мало — отключение &gt; 0,4 с",""),""),IF(AND(B286&lt;&gt;"",BM286=""),"не на схеме",""),IF(AND(CG286=0,B286&lt;&gt;"",FV286&lt;&gt;"",IF(BA286=1,"",FW285)&lt;&gt;"",FV286&lt;&gt;IF(BA286=1,"",FW285)),"фаза не как у автомата группы ("&amp;IF(BA286=1,"",FW285)&amp;")","")))</f>
        <v/>
      </c>
      <c r="II286" s="6">
        <f>IF(OR(CG286=0,DQ286=""),"",_xlfn.LET(_xlpm.t,IFERROR(_xlfn.XLOOKUP(DQ286,Каталог!$U$4:$U$500,Каталог!$G$4:$G$500),""),_xlpm.k,SEARCH("кА",_xlpm.t),IFERROR(--TRIM(RIGHT(SUBSTITUTE(MID(_xlpm.t,MAX(1,_xlpm.k-4),_xlpm.k-MAX(1,_xlpm.k-4))," ",REPT(" ",9)),5)),"")))</f>
        <v>6</v>
      </c>
      <c r="IJ286" t="str">
        <f>IF(OR(II286="",CG286=0),"",IF(_xlfn.XLOOKUP(A286,Щиты[Щит],Щиты[Iкз max на шинах, кА],"")="","",IF(II286&lt;_xlfn.XLOOKUP(A286,Щиты[Щит],Щиты[Iкз max на шинах, кА]),"Icu "&amp;II286&amp;" кА &lt; Iкз max","ok")))</f>
        <v/>
      </c>
      <c r="IK286" t="str">
        <f t="shared" si="665"/>
        <v/>
      </c>
      <c r="IL286" t="str">
        <f t="shared" si="666"/>
        <v>QFD3|XT3</v>
      </c>
      <c r="IM286" t="str">
        <f t="shared" si="667"/>
        <v>QFD3|XT3|кабель ВВГнг(А)-LS (3х2,5) → Розеточная группа, пом. 005А</v>
      </c>
      <c r="IN286" t="str" cm="1">
        <f t="array" ref="IN286">IF(IM286="","",_xlfn.LET(_xlpm.nd,_xlfn.TEXTSPLIT(IM286,"|"),IF(COLUMNS(_xlpm.nd)&gt;1,A286&amp;"¦"&amp;INDEX(_xlpm.nd,1)&amp;"¦"&amp;INDEX(_xlpm.nd,2),"")))</f>
        <v>ЩР-2¦QFD3¦XT3</v>
      </c>
      <c r="IO286" t="str">
        <f t="shared" si="668"/>
        <v>R.2.005А.1¦Розеточная группа, пом. 005А</v>
      </c>
      <c r="IP286" t="str" cm="1">
        <f t="array" ref="IP286">IF(IM286="","",_xlfn.LET(_xlpm.nd,_xlfn.TEXTSPLIT(IM286,"|"),IF(COLUMNS(_xlpm.nd)&gt;2,A286&amp;"¦"&amp;INDEX(_xlpm.nd,2)&amp;"¦"&amp;INDEX(_xlpm.nd,3),"")))</f>
        <v>ЩР-2¦XT3¦кабель ВВГнг(А)-LS (3х2,5) → Розеточная группа, пом. 005А</v>
      </c>
      <c r="IQ286" t="str">
        <f t="shared" si="669"/>
        <v>R.2.005А.1¦Розеточная группа, пом. 005А</v>
      </c>
      <c r="IR286" t="str" cm="1">
        <f t="array" ref="IR286">IF(IM286="","",_xlfn.LET(_xlpm.nd,_xlfn.TEXTSPLIT(IM286,"|"),IF(COLUMNS(_xlpm.nd)&gt;3,A286&amp;"¦"&amp;INDEX(_xlpm.nd,3)&amp;"¦"&amp;INDEX(_xlpm.nd,4),"")))</f>
        <v/>
      </c>
      <c r="IS286" t="str">
        <f t="shared" si="670"/>
        <v/>
      </c>
      <c r="IT286" t="str" cm="1">
        <f t="array" ref="IT286">IF(IM286="","",_xlfn.LET(_xlpm.nd,_xlfn.TEXTSPLIT(IM286,"|"),IF(COLUMNS(_xlpm.nd)&gt;4,A286&amp;"¦"&amp;INDEX(_xlpm.nd,4)&amp;"¦"&amp;INDEX(_xlpm.nd,5),"")))</f>
        <v/>
      </c>
      <c r="IU286" t="str">
        <f t="shared" si="671"/>
        <v/>
      </c>
      <c r="IV286" t="str" cm="1">
        <f t="array" ref="IV286">IF(IM286="","",_xlfn.LET(_xlpm.nd,_xlfn.TEXTSPLIT(IM286,"|"),IF(COLUMNS(_xlpm.nd)&gt;5,A286&amp;"¦"&amp;INDEX(_xlpm.nd,5)&amp;"¦"&amp;INDEX(_xlpm.nd,6),"")))</f>
        <v/>
      </c>
      <c r="IW286" t="str">
        <f t="shared" si="672"/>
        <v/>
      </c>
      <c r="IX286" t="str" cm="1">
        <f t="array" ref="IX286">IF(IM286="","",_xlfn.LET(_xlpm.nd,_xlfn.TEXTSPLIT(IM286,"|"),IF(COLUMNS(_xlpm.nd)&gt;6,A286&amp;"¦"&amp;INDEX(_xlpm.nd,6)&amp;"¦"&amp;INDEX(_xlpm.nd,7),"")))</f>
        <v/>
      </c>
      <c r="IY286" t="str">
        <f t="shared" si="673"/>
        <v/>
      </c>
      <c r="IZ286" t="str">
        <f t="shared" si="674"/>
        <v/>
      </c>
      <c r="JA286" t="str">
        <f t="shared" si="675"/>
        <v>QFD3 → XT3</v>
      </c>
      <c r="JB286">
        <f t="shared" si="676"/>
        <v>0</v>
      </c>
      <c r="JC286">
        <f t="shared" si="677"/>
        <v>1</v>
      </c>
      <c r="JD286" t="str">
        <f t="shared" si="678"/>
        <v/>
      </c>
      <c r="JE286" t="str">
        <f t="shared" si="679"/>
        <v/>
      </c>
      <c r="JF286" t="str">
        <f t="shared" si="680"/>
        <v/>
      </c>
      <c r="JG286" t="str">
        <f t="shared" si="681"/>
        <v/>
      </c>
      <c r="JH286" t="str">
        <f>IF(B286="","",IFERROR(_xlfn.XLOOKUP(B286,Коды_код,Коды_уго),IFERROR(_xlfn.XLOOKUP(BC286,Коды_код,Коды_уго),IFERROR(_xlfn.XLOOKUP(LEFT(BC286,2),Коды_код,Коды_уго),""))))</f>
        <v>Розетка</v>
      </c>
      <c r="JI286" t="str">
        <f>IF(B286="","",IF(OR(JH286="",JH286=0),"BOX",IFERROR(IF(VLOOKUP(JH286,УГО_блоки,3,FALSE)&amp;""&lt;&gt;"",VLOOKUP(JH286,УГО_блоки,3,FALSE),VLOOKUP(JH286,УГО_блоки,2,FALSE)),JH286)))</f>
        <v>SOCKET</v>
      </c>
      <c r="JJ286">
        <f t="shared" si="682"/>
        <v>1</v>
      </c>
      <c r="JK286" t="str">
        <f>IF(DQ286="","",IF(COUNTIF(DQ$3:DQ286,DQ286)=1,MAX(JK$2:JK285)+1,""))</f>
        <v/>
      </c>
      <c r="JL286" t="str">
        <f>IF(DE286="","",IF(COUNTIF(DE$3:DE286,DE286)+COUNTIF(DF$2:DF285,DE286)+COUNTIF(DG$2:DG285,DE286)=1,MAX(JL$2:JN285)+1,""))</f>
        <v/>
      </c>
      <c r="JM286" t="str">
        <f>IF(DF286="","",IF(COUNTIF(DE$3:DE286,DF286)+COUNTIF(DF$3:DF286,DF286)+COUNTIF(DG$2:DG285,DF286)=1,MAX(JL$2:JN285,JL286)+1,""))</f>
        <v/>
      </c>
      <c r="JN286" t="str">
        <f>IF(DG286="","",IF(COUNTIF(DE$3:DE286,DG286)+COUNTIF(DF$3:DF286,DG286)+COUNTIF(DG$3:DG286,DG286)=1,MAX(JL$2:JN285,JL286,JM286)+1,""))</f>
        <v/>
      </c>
      <c r="JO286" t="str">
        <f t="shared" si="683"/>
        <v>3х2,5</v>
      </c>
      <c r="JP286" t="str">
        <f>IF(JO286="","",IF(COUNTIF(JO$3:JO286,JO286)=1,MAX(JP$2:JP285)+1,""))</f>
        <v/>
      </c>
      <c r="JQ286" t="str">
        <f>IF(HG286="","",COUNTIF(HG$3:HG286,"?*"))</f>
        <v/>
      </c>
      <c r="JR286" t="str">
        <f>IF(OR(HG286="",HI286=""),"",IF(COUNTIFS(HG$3:HG286,"?*",HI$3:HI286,HI286)=1,MAX(JR$2:JR285)+1,""))</f>
        <v/>
      </c>
      <c r="JS286">
        <f t="shared" si="684"/>
        <v>0</v>
      </c>
      <c r="JT286">
        <f>IF(B286="","",COUNTIF(B$3:B286,"?*"))</f>
        <v>284</v>
      </c>
      <c r="JU286">
        <f>IF(HL286&lt;&gt;1,0,_xlfn.LET(_xlpm.k,MAX(IFERROR(--_xlfn.XLOOKUP(B286,Коды_код,Коды_3L),0),IFERROR(--_xlfn.XLOOKUP(BC286,Коды_код,Коды_3L),0),IFERROR(--_xlfn.XLOOKUP(LEFT(BC286,2),Коды_код,Коды_3L),0)),IF(_xlpm.k&gt;0,_xlpm.k,IF(IFERROR(--LEFT(SUBSTITUTE(JO286,"x","х"),FIND("х",SUBSTITUTE(JO286,"x","х"))-1),3)&gt;3,Каталог!$S$9,1))))</f>
        <v>1</v>
      </c>
      <c r="JV286">
        <f t="shared" si="685"/>
        <v>0</v>
      </c>
      <c r="JW286" t="str">
        <f t="shared" si="686"/>
        <v>авто</v>
      </c>
      <c r="JX286">
        <f t="shared" si="687"/>
        <v>30</v>
      </c>
      <c r="JY286">
        <f t="shared" si="688"/>
        <v>1</v>
      </c>
      <c r="JZ286">
        <f t="shared" si="689"/>
        <v>1</v>
      </c>
    </row>
    <row r="287" spans="1:286" x14ac:dyDescent="0.3">
      <c r="A287" t="s">
        <v>759</v>
      </c>
      <c r="B287" t="s">
        <v>1592</v>
      </c>
      <c r="C287" t="str">
        <f>Линии[[#This Row],[_авто наименование]]</f>
        <v>Розеточная группа, пом. 005А</v>
      </c>
      <c r="D287">
        <v>2</v>
      </c>
      <c r="E287">
        <v>0.24</v>
      </c>
      <c r="G287">
        <v>16</v>
      </c>
      <c r="H287" t="str">
        <f>Линии[[#This Row],[_авто управление]]</f>
        <v/>
      </c>
      <c r="I287" t="str">
        <f>Линии[[#This Row],[_авто аппараты]]</f>
        <v/>
      </c>
      <c r="J287">
        <v>2.5</v>
      </c>
      <c r="K287">
        <v>34</v>
      </c>
      <c r="L287">
        <v>3</v>
      </c>
      <c r="M287" t="str">
        <f>Линии[[#This Row],[_авто клемма]]</f>
        <v>XT4</v>
      </c>
      <c r="N287" t="str">
        <f t="shared" si="552"/>
        <v/>
      </c>
      <c r="O287" s="6" cm="1">
        <f t="array" ref="O287">IF(B287="","",IF(BH287&lt;&gt;"",IFERROR(_xlfn.XLOOKUP(BH287,Щиты[Щит],Щиты[Iр, А]),""),IF(BP287=1,IF(OR(N(_xlfn.XLOOKUP(A287,Щиты[Щит],Щиты[Вводов],1))&lt;=1,LOWER(TRIM(_xlfn.XLOOKUP(A287,Щиты[Щит],Щиты[АВР],"")&amp;""))="да"),IFERROR(_xlfn.XLOOKUP(A287,Щиты[Щит],Щиты[Iр, А]),""),IFERROR(N(BS287)*_xlfn.XLOOKUP(A287,Щиты[Щит],Щиты[Кс итог])/(SQRT(3)*Uн_лин*_xlfn.XLOOKUP(A287,Щиты[Щит],Щиты[cos φ])),"")),IF(BV287=1,IFERROR(BS287*1000/BU287,""),IFERROR(_xlfn.IFS(BX287=1,BS287/((Uн_лин/SQRT(3))*CE287),BX287=3,BS287/(SQRT(3)*Uн_лин*CE287)),"")))))</f>
        <v>1.0939268258329751</v>
      </c>
      <c r="P287" s="7">
        <f>IF(B287="","",IFERROR(IF(VLOOKUP(BC287,Потребители_обозначение,4,FALSE)=1,VLOOKUP(BC287,Потребители_обозначение,3,FALSE)*(MAX(1,N(D287))*2-1)+EI287+VLOOKUP(BE287,Этаж_обозначение,3,FALSE)+VLOOKUP(BE287,Этаж_обозначение,4,FALSE),VLOOKUP(BC287,Потребители_обозначение,3,FALSE)*(MAX(1,N(D287))*2-1)+EI287),EI287))</f>
        <v>43</v>
      </c>
      <c r="Q287" s="6">
        <f t="shared" si="553"/>
        <v>2.14</v>
      </c>
      <c r="R287" t="str">
        <f t="shared" si="554"/>
        <v>ВВГнг(А)-LS (3х2,5)</v>
      </c>
      <c r="S287" t="str">
        <f>IF(BM287="","",IF(BN287="вводной узел","узел ","")&amp;"л."&amp;(INT((BM287-1)/Столбцов_на_лист)+1)&amp;" / "&amp;(MOD(BM287-1,Столбцов_на_лист)+1))</f>
        <v>л.1 / 12</v>
      </c>
      <c r="T287" s="119">
        <f t="shared" si="555"/>
        <v>0.9</v>
      </c>
      <c r="U287" s="7" t="str">
        <f>IF(OR(CG287=0,N(BV287)+N(IB287)=0),"",ROUNDUP(Запас_БП*(N(HY287)+N(HZ287)),0))</f>
        <v/>
      </c>
      <c r="V287" s="119" t="str">
        <f t="shared" si="556"/>
        <v/>
      </c>
      <c r="W287" s="7" t="str">
        <f>IFERROR(IF(OR(B287="",BP287=1,BV287=1,NOT(ISNUMBER(EN287)),N(DT287)=0),"",MAX(0,ROUNDDOWN((c_min*(Uн_лин*1000/SQRT(3))/(HT287*N(DT287))-_xlfn.XLOOKUP(A287,Щиты[Щит],Щиты[Zпетли на шинах, Ом]))*EN287/(2*ρкз_Cu),0))),"")</f>
        <v/>
      </c>
      <c r="Y287">
        <f>Линии[[#This Row],[_авто утечка]]</f>
        <v>30</v>
      </c>
      <c r="Z287">
        <v>1</v>
      </c>
      <c r="AA287">
        <v>230</v>
      </c>
      <c r="AB287" t="s">
        <v>562</v>
      </c>
      <c r="AG287" t="s">
        <v>810</v>
      </c>
      <c r="AI287" t="s">
        <v>561</v>
      </c>
      <c r="AK287" t="str">
        <f>Линии[[#This Row],[_авто модуль]]</f>
        <v/>
      </c>
      <c r="AM287">
        <v>12</v>
      </c>
      <c r="AN287" t="s">
        <v>11</v>
      </c>
      <c r="AO287">
        <v>3</v>
      </c>
      <c r="AQ287">
        <v>12</v>
      </c>
      <c r="AR287">
        <v>25</v>
      </c>
      <c r="AT287">
        <v>2</v>
      </c>
      <c r="BA287" cm="1">
        <f t="array" ref="BA287">ROW()-ROW(Линии[#Headers])</f>
        <v>285</v>
      </c>
      <c r="BC287" s="6" t="str">
        <f t="shared" si="557"/>
        <v>R</v>
      </c>
      <c r="BD287" t="str">
        <f t="shared" si="558"/>
        <v>2.005А.2</v>
      </c>
      <c r="BE287" t="str">
        <f t="shared" si="559"/>
        <v>2</v>
      </c>
      <c r="BF287" t="str">
        <f t="shared" si="560"/>
        <v>005А.2</v>
      </c>
      <c r="BG287" t="str">
        <f t="shared" si="561"/>
        <v>005А</v>
      </c>
      <c r="BH287" t="str">
        <f>IF(X287&lt;&gt;"",X287,IF(AND(B287&lt;&gt;"",B287&lt;&gt;A287,ISNUMBER(_xlfn.XMATCH(B287,Щиты[Щит]))),B287,""))</f>
        <v/>
      </c>
      <c r="BI287" t="str" cm="1">
        <f t="array" ref="BI287">IF(B287="","",IF(BH287&lt;&gt;"","Щит "&amp;BH287,_xlfn.LET(_xlpm.nm,IFERROR(_xlfn.XLOOKUP(BC287,Коды_код,Коды_имя)&amp;"",""),_xlpm.md,IFERROR(N(_xlfn.XLOOKUP(BC287,Коды_код,Коды_режим)),1),_xlpm.ex,IF(Имя_режим="по экспликации",IFERROR(_xlfn.XLOOKUP(BE287&amp;"|"&amp;BG287,Экспликация[Этаж]&amp;"|"&amp;Экспликация[Помещение],Экспликация[Название])&amp;"",""),""),_xlpm.rm,IF(BG287="","",IF(_xlpm.ex&lt;&gt;"",". "&amp;_xlpm.ex&amp;IF(Имя_пом="нет"," ("&amp;BG287&amp;")"," (пом. "&amp;BG287&amp;")"),IF(Имя_пом="нет"," ",", пом. ")&amp;BG287)),IF(_xlpm.nm="","",IF(_xlpm.md=2,_xlpm.nm&amp;" шлейф "&amp;BE287,_xlpm.nm&amp;_xlpm.rm)))))</f>
        <v>Розеточная группа, пом. 005А</v>
      </c>
      <c r="BJ287" t="str">
        <f t="shared" si="562"/>
        <v>Розеточная группа, пом. 005А</v>
      </c>
      <c r="BK287">
        <f>IFERROR(_xlfn.XMATCH(A287,Щиты[Щит]),0)</f>
        <v>11</v>
      </c>
      <c r="BL287">
        <f>_xlfn.LET(_xlpm.k,IFERROR(_xlfn.XLOOKUP(A287,Щиты[Щит],Щиты[Мест под вводной узел]),""),IF(_xlpm.k="",Столбцов_на_лист,N(_xlpm.k)))</f>
        <v>8</v>
      </c>
      <c r="BM287">
        <f t="shared" si="563"/>
        <v>12</v>
      </c>
      <c r="BN287" t="str">
        <f t="shared" si="564"/>
        <v>линии</v>
      </c>
      <c r="BO287" s="6">
        <f>IFERROR(N(_xlfn.XLOOKUP(BC287,Коды_код,Коды_квт)),0)</f>
        <v>0</v>
      </c>
      <c r="BP287">
        <f t="shared" si="565"/>
        <v>0</v>
      </c>
      <c r="BQ287" t="str">
        <f>IF(B287="","",IF(BH287&lt;&gt;"",IFERROR(_xlfn.XLOOKUP(BH287,Щиты[Щит],Щиты[Руст, кВт]),0),IF(BP287=1,IF(OR(N(_xlfn.XLOOKUP(A287,Щиты[Щит],Щиты[Вводов],1))&lt;=1,LOWER(TRIM(_xlfn.XLOOKUP(A287,Щиты[Щит],Щиты[АВР],"")&amp;""))="да"),IFERROR(_xlfn.XLOOKUP(A287,Щиты[Щит],Щиты[Руст, кВт]),0),SUMIFS(Линии[_Р для вводов],Линии[Щит],A287,Линии[Источник для режимов],GF287)),IF(BO287&gt;0,ROUND(BO287*MAX(1,N(D287)),3),""))))</f>
        <v/>
      </c>
      <c r="BR287">
        <f t="shared" si="566"/>
        <v>0.24</v>
      </c>
      <c r="BS287" s="6">
        <f>IF(B287="","",IF(BH287&lt;&gt;"",IFERROR(_xlfn.XLOOKUP(BH287,Щиты[Щит],Щиты[Руст, кВт]),0),N(BR287)))</f>
        <v>0.24</v>
      </c>
      <c r="BT287" t="str">
        <f>IF(B287="","",IFERROR(IF(VLOOKUP(BC287,Потребители_обозначение,8,FALSE)=0,"",VLOOKUP(BC287,Потребители_обозначение,8,FALSE)),""))</f>
        <v/>
      </c>
      <c r="BU287">
        <f t="shared" si="567"/>
        <v>230</v>
      </c>
      <c r="BV287">
        <f t="shared" si="568"/>
        <v>0</v>
      </c>
      <c r="BW287">
        <f>IF(B287="","",IF(BH287&lt;&gt;"",3,IFERROR(IF(N(VLOOKUP(BC287,Потребители_обозначение,9,FALSE))=0,1,VLOOKUP(BC287,Потребители_обозначение,9,FALSE)),1)))</f>
        <v>1</v>
      </c>
      <c r="BX287">
        <f t="shared" si="569"/>
        <v>1</v>
      </c>
      <c r="BY287" t="str">
        <f>IF(B287="","",_xlfn.LET(_xlpm.bc,IFERROR(IF(VLOOKUP(BC287,Потребители_обозначение,6,FALSE)=0,"",VLOOKUP(BC287,Потребители_обозначение,6,FALSE)&amp;""),""),IF(AND(GA287="да",OR(_xlpm.bc="",_xlpm.bc="мс")),Марка_пож,IF(AND(_xlpm.bc="",BH287&lt;&gt;""),"мс",_xlpm.bc))))</f>
        <v/>
      </c>
      <c r="BZ287" t="str">
        <f t="shared" si="570"/>
        <v>мс</v>
      </c>
      <c r="CA287">
        <f>IF(B287="","",_xlfn.LET(_xlpm.cc,IFERROR(N(VLOOKUP(BC287,Потребители_обозначение,7,FALSE)),0),IF(_xlpm.cc&gt;0,_xlpm.cc,IF(BZ287="","",IF(BV287=1,2,IF(N(BX287)=3,5,3))))))</f>
        <v>3</v>
      </c>
      <c r="CB287">
        <f t="shared" si="571"/>
        <v>3</v>
      </c>
      <c r="CC287">
        <f>IFERROR(N(VLOOKUP(BC287,Потребители_обозначение,10,FALSE)),0)</f>
        <v>0</v>
      </c>
      <c r="CD287">
        <f>IFERROR(VLOOKUP(BC287,Потребители_обозначение,5,FALSE),0)</f>
        <v>1</v>
      </c>
      <c r="CE287" s="6" cm="1">
        <f t="array" ref="CE287">IF(B287="","",IF(BH287&lt;&gt;"",IFERROR(_xlfn.XLOOKUP(BH287,Щиты[Щит],Щиты[cos φ]),0.95),IF(BP287=1,IFERROR(_xlfn.XLOOKUP(A287,Щиты[Щит],Щиты[cos φ]),0.95),IF(ISNUMBER(AD287),AD287,IFERROR(IF(CD287=2,_xlfn.IFS(BX287=3,VLOOKUP(BS287,Справочная_двигатели,8,FALSE),BX287=1,VLOOKUP(BS287,Справочная_двигатели,10,TRUE)),IF(AND(Методика="нормы 2026",FG287="Сил"),0.8,0.95)),0.95)))))</f>
        <v>0.95</v>
      </c>
      <c r="CF287">
        <f t="shared" si="572"/>
        <v>0</v>
      </c>
      <c r="CG287">
        <f t="shared" si="573"/>
        <v>1</v>
      </c>
      <c r="CH287">
        <f t="shared" si="574"/>
        <v>0</v>
      </c>
      <c r="CI287">
        <f>IF(B287="","",IF(BV287=1,IFERROR(BS287/((Uн_лин/SQRT(3))*MAX(0.5,N(CE287))),0),N(O287)))</f>
        <v>1.0939268258329751</v>
      </c>
      <c r="CJ287">
        <f t="shared" si="575"/>
        <v>0</v>
      </c>
      <c r="CK287">
        <f t="shared" si="576"/>
        <v>0</v>
      </c>
      <c r="CL287">
        <f t="shared" si="577"/>
        <v>0</v>
      </c>
      <c r="CM287">
        <f t="shared" si="578"/>
        <v>0</v>
      </c>
      <c r="CN287">
        <f t="shared" si="579"/>
        <v>0</v>
      </c>
      <c r="CO287">
        <f>IF(BC287="",0,_xlfn.LET(_xlpm.v,IFERROR(_xlfn.XLOOKUP(B287,Коды_код,Коды_мА),IFERROR(_xlfn.XLOOKUP(BC287,Коды_код,Коды_мА),IFERROR(_xlfn.XLOOKUP(LEFT(BC287,2),Коды_код,Коды_мА),""))),IF(_xlpm.v="да",30,IF(ISNUMBER(_xlpm.v),_xlpm.v,0))))</f>
        <v>30</v>
      </c>
      <c r="CP287">
        <f t="shared" si="580"/>
        <v>30</v>
      </c>
      <c r="CQ287" t="str">
        <f>_xlfn.LET(_xlpm.k,IFERROR(_xlfn.XLOOKUP(BC287,Коды_код,Коды_утечка)&amp;"",""),IF(_xlpm.k="","дифавтомат",_xlpm.k))</f>
        <v>дифавтомат</v>
      </c>
      <c r="CR287" t="str" cm="1">
        <f t="array" ref="CR287">IF(CG287=0,"",_xlfn.LET(_xlpm.sg,TRIM(_xlfn.TEXTSPLIT(DD287&amp;"",";")),_xlpm.f_,_xlfn._xlws.FILTER(_xlpm.sg,LEFT(_xlpm.sg,3)="УЗО",""),IFERROR(INDEX(_xlpm.f_,1)&amp;"","")))</f>
        <v/>
      </c>
      <c r="CS287" t="str">
        <f t="shared" si="581"/>
        <v/>
      </c>
      <c r="CT287" s="6" t="str" cm="1">
        <f t="array" ref="CT287">IF(CR287="","",_xlfn.LET(_xlpm.tk,_xlfn.TEXTSPLIT(UPPER(CR287)," ",,TRUE),_xlpm.a_,_xlfn._xlws.FILTER(_xlpm.tk,ISNUMBER(--LEFT(_xlpm.tk,1))*((ISNUMBER(SEARCH("А",_xlpm.tk))+ISNUMBER(SEARCH("A",_xlpm.tk)))&gt;0)*NOT(ISNUMBER(SEARCH("МА",_xlpm.tk)))*NOT(ISNUMBER(SEARCH("MA",_xlpm.tk))),""),IFERROR(--SUBSTITUTE(SUBSTITUTE(INDEX(_xlpm.a_,1),"А",""),"A",""),"")))</f>
        <v/>
      </c>
      <c r="CU287" t="str" cm="1">
        <f t="array" ref="CU287">IF(CR287="","",_xlfn.LET(_xlpm.tk,_xlfn.TEXTSPLIT(UPPER(CR287)," ",,TRUE),_xlpm.a_,_xlfn._xlws.FILTER(_xlpm.tk,ISNUMBER(--LEFT(_xlpm.tk,1))*((ISNUMBER(SEARCH("МА",_xlpm.tk))+ISNUMBER(SEARCH("MA",_xlpm.tk)))&gt;0),""),IFERROR(--SUBSTITUTE(SUBSTITUTE(INDEX(_xlpm.a_,1),"МА",""),"MA",""),30)))</f>
        <v/>
      </c>
      <c r="CV287" t="str">
        <f>IF(CS287="","",IFERROR(_xlfn.XLOOKUP(CS287,Линии[_n],Линии[_УЗО, мА]),30))</f>
        <v/>
      </c>
      <c r="CW287">
        <f>IF(CS287="",0,IF(ISNUMBER(SEARCH("4P",IFERROR(_xlfn.XLOOKUP(CS287,Линии[_n],Линии[_УЗО строки])&amp;"",""))),0,1))</f>
        <v>0</v>
      </c>
      <c r="CX287" t="str">
        <f>IF(AND(CS287&lt;&gt;"",CS287=BA287),SUMIFS(Линии[_ток на 230 В],Линии[_блок УЗО],BA287,Линии[Щит],A287),"")</f>
        <v/>
      </c>
      <c r="CY287" t="str">
        <f>IF(AND(CS287&lt;&gt;"",CS287=BA287),SUMIFS(Линии[_ток утечки линии, мА],Линии[_блок УЗО],BA287,Линии[Щит],A287),"")</f>
        <v/>
      </c>
      <c r="CZ287">
        <f t="shared" si="582"/>
        <v>30</v>
      </c>
      <c r="DA287">
        <f t="shared" si="583"/>
        <v>30</v>
      </c>
      <c r="DB287">
        <f>IF(B287="",0,IFERROR(--_xlfn.XLOOKUP(B287,Коды_код,Коды_минавт),IFERROR(--_xlfn.XLOOKUP(BC287,Коды_код,Коды_минавт),IFERROR(--_xlfn.XLOOKUP(LEFT(BC287,2),Коды_код,Коды_минавт),0))))</f>
        <v>16</v>
      </c>
      <c r="DC287" t="str">
        <f>IF(B287="","",IFERROR(_xlfn.XLOOKUP(BC287,Коды_код,Коды_апп)&amp;"",""))</f>
        <v/>
      </c>
      <c r="DD287" t="str">
        <f t="shared" si="584"/>
        <v/>
      </c>
      <c r="DE287" t="str" cm="1">
        <f t="array" ref="DE287">IF(TRIM(DD287&amp;"")="","",IFERROR(TRIM(INDEX(_xlfn.TEXTSPLIT(DD287&amp;";;;",";"),1)),""))</f>
        <v/>
      </c>
      <c r="DF287" t="str" cm="1">
        <f t="array" ref="DF287">IF(TRIM(DD287&amp;"")="","",IFERROR(TRIM(INDEX(_xlfn.TEXTSPLIT(DD287&amp;";;;",";"),2)),""))</f>
        <v/>
      </c>
      <c r="DG287" t="str" cm="1">
        <f t="array" ref="DG287">IF(TRIM(DD287&amp;"")="","",IFERROR(TRIM(INDEX(_xlfn.TEXTSPLIT(DD287&amp;";;;",";"),3)),""))</f>
        <v/>
      </c>
      <c r="DH287">
        <f t="shared" si="585"/>
        <v>0</v>
      </c>
      <c r="DI287" t="str">
        <f>IF(B287="","",_xlfn.LET(_xlpm.t,LOWER(AZ287&amp;""),IF(ISNUMBER(SEARCH("dim",_xlpm.t)),"DIM",IF(ISNUMBER(SEARCH("dali",_xlpm.t)),"DALI",IF(OR(ISNUMBER(SEARCH("relay",_xlpm.t)),ISNUMBER(SEARCH("реле",_xlpm.t))),"Relay",IF(ISNUMBER(SEARCH("кнопк",_xlpm.t)),"",IFERROR(_xlfn.XLOOKUP(BC287,Коды_код,Коды_упр)&amp;"","")))))))</f>
        <v/>
      </c>
      <c r="DJ287" t="str">
        <f t="shared" si="586"/>
        <v/>
      </c>
      <c r="DK287">
        <f>IF(B287="","",_xlfn.LET(_xlpm.ig,IF(N(CX287)&gt;0,N(CX287),N(CI287)+IF(AJ287="вручную",0,N(CJ287))),_xlpm.n0,IFERROR(VLOOKUP(_xlpm.ig,Автомат_номиналы,2,TRUE),0),_xlpm.mn,MAX(DB287,IF(AJ287="вручную",0,N(CM287))),MAX(_xlpm.n0,_xlpm.mn,IF(DH287=1,Мин_автомат_БП,0))))</f>
        <v>16</v>
      </c>
      <c r="DL287">
        <f t="shared" si="587"/>
        <v>1</v>
      </c>
      <c r="DM287" t="str">
        <f t="shared" si="588"/>
        <v>2P</v>
      </c>
      <c r="DN287" t="str">
        <f>_xlfn.LET(_xlpm.cc,UPPER(TRIM(IFERROR(_xlfn.XLOOKUP(BC287,Коды_код,Коды_хар)&amp;"",""))),IF(OR(_xlpm.cc="B",_xlpm.cc="В"),"B",IF(_xlpm.cc="D","D","С")))</f>
        <v>С</v>
      </c>
      <c r="DO287" t="str">
        <f t="shared" si="589"/>
        <v>2P С16А 30мА</v>
      </c>
      <c r="DP287">
        <f t="shared" si="590"/>
        <v>16</v>
      </c>
      <c r="DQ287" t="str">
        <f t="shared" si="591"/>
        <v>2P С16А 30мА</v>
      </c>
      <c r="DR287" cm="1">
        <f t="array" ref="DR287">IF(DQ287="","",_xlfn.LET(_xlpm.t,SUBSTITUTE(SUBSTITUTE(SUBSTITUTE(UPPER(DQ287),"С","C"),"А","A"),"В","B"),_xlpm.tk,_xlfn.TEXTSPLIT(_xlpm.t," "),_xlpm.f,_xlfn._xlws.FILTER(_xlpm.tk,ISNUMBER(--MID(_xlpm.tk,2,1))*ISNUMBER(SEARCH(LEFT(_xlpm.tk,1)&amp;"#","B#C#D#"))*(LEN(_xlpm.tk)&gt;1),""),_xlpm.x,INDEX(_xlpm.f,1),IFERROR(--SUBSTITUTE(MID(_xlpm.x,2,9),"A",""),IFERROR(--SUBSTITUTE(INDEX(_xlfn._xlws.FILTER(_xlpm.tk,ISNUMBER(--SUBSTITUTE(_xlpm.tk,"A","")),""),1),"A",""),""))))</f>
        <v>16</v>
      </c>
      <c r="DS287" t="str">
        <f t="shared" si="592"/>
        <v>ok</v>
      </c>
      <c r="DT287">
        <f t="shared" si="593"/>
        <v>16</v>
      </c>
      <c r="DU287" t="str">
        <f t="shared" si="594"/>
        <v>2P С16А 30мА</v>
      </c>
      <c r="DV287">
        <f t="shared" si="595"/>
        <v>30</v>
      </c>
      <c r="DW287">
        <f t="shared" si="596"/>
        <v>1</v>
      </c>
      <c r="DX287">
        <f t="shared" si="597"/>
        <v>0</v>
      </c>
      <c r="DY287">
        <f t="shared" si="598"/>
        <v>1.0939268258329751</v>
      </c>
      <c r="DZ287">
        <f t="shared" si="599"/>
        <v>1</v>
      </c>
      <c r="EA287">
        <f>IF(ISNUMBER(AP287),AP287,К_прокл)</f>
        <v>1</v>
      </c>
      <c r="EB287">
        <f t="shared" si="600"/>
        <v>2</v>
      </c>
      <c r="EC287">
        <f>IFERROR(N(VLOOKUP(BZ287,Кабель_обозначение,3,FALSE)),1)</f>
        <v>1</v>
      </c>
      <c r="ED287">
        <f>IFERROR(N(_xlfn.XLOOKUP(A287,Щиты[Щит],Щиты[ΔU до шин, %])),0)</f>
        <v>1.79</v>
      </c>
      <c r="EE287" t="str">
        <f>IFERROR(_xlfn.XLOOKUP(A287,Щиты[Щит],Щиты[Zпетли на шинах, Ом]),"")</f>
        <v/>
      </c>
      <c r="EF287">
        <f>IFERROR(N(_xlfn.XLOOKUP(A287,Щиты[Щит],Щиты[ΔU до шин (подбор), %])),0)</f>
        <v>4.75</v>
      </c>
      <c r="EG287" t="str">
        <f>IFERROR(_xlfn.XLOOKUP(A287,Щиты[Щит],Щиты[Zпетли на шинах (подбор), Ом]),"")</f>
        <v/>
      </c>
      <c r="EH287" t="str">
        <f t="shared" si="601"/>
        <v/>
      </c>
      <c r="EI287">
        <f t="shared" si="602"/>
        <v>34</v>
      </c>
      <c r="EJ287">
        <f t="shared" si="603"/>
        <v>2</v>
      </c>
      <c r="EK287">
        <f t="shared" si="604"/>
        <v>0.31</v>
      </c>
      <c r="EL287" s="6">
        <f>IF(B287="","",IF(BV287=1,dU_LED,IF(IFERROR(_xlfn.XLOOKUP(BC287,Коды_код,Коды_уго),"")="Светильник",3,4)+IF(Методика="нормы 2026",MIN(0.5,MAX(0,N(P287)-100)*0.005),0)))</f>
        <v>4</v>
      </c>
      <c r="EM287" t="str" cm="1">
        <f t="array" ref="EM287">IF(OR(B287="",BZ287="",EC287&lt;&gt;1),"",_xlfn.LET(_xlpm.sz,Iдоп_S,_xlpm.t_,CHOOSE(EB287,Iдоп_1ж,Iдоп_2ж,Iдоп_3ж)*DZ287*EA287,_xlpm.dcx,BV287=1,_xlpm.inn,IF(_xlpm.dcx,N(O287),N(DT287)),_xlpm.smin,MAX(1.5,CC287),_xlpm.L_,N(P287)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287)/N(BU287)*100,999),IFERROR(N(EJ287)*(_xlpm.rho*_xlpm.L_/_xlpm.sz*N(CE287)+_xlpm.xx*_xlpm.L_*N(EK287)/1000)*N(O287)/((Uн_лин/SQRT(3))*1000)*100,999)),_xlpm.kz,IF(OR(_xlpm.dcx,DW287=1,NOT(ISNUMBER(EG287)),_xlpm.L_=0,_xlpm.inn=0),1,IFERROR(--(c_min*(Uн_лин*1000/SQRT(3))/(EG287+2*ρкз_Cu*_xlpm.L_/_xlpm.sz)&gt;=HT287*_xlpm.inn),0)),_xlpm.ok,IFERROR((_xlpm.sz&gt;=_xlpm.smin)*(_xlpm.t_&gt;=_xlpm.inn)*IF(_xlpm.L_&gt;0,(_xlpm.du_+IF(_xlpm.dcx,0,EF287)&lt;=EL287+0.00001),1)*_xlpm.kz,0),_xlpm.r_,_xlfn._xlws.FILTER(_xlpm.sz,_xlpm.ok,"не подобрано"),INDEX(_xlpm.r_,1)))</f>
        <v>не подобрано</v>
      </c>
      <c r="EN287">
        <f t="shared" si="605"/>
        <v>2.5</v>
      </c>
      <c r="EO287" cm="1">
        <f t="array" ref="EO287">IF(OR(B287="",BZ287="",EC287&lt;&gt;1),"",_xlfn.LET(_xlpm.sz,Iдоп_S,_xlpm.t_,CHOOSE(EB287,Iдоп_1ж,Iдоп_2ж,Iдоп_3ж)*DZ287*EA287,_xlpm.ok,IFERROR((_xlpm.sz&gt;=MAX(1.5,CC287))*(_xlpm.t_&gt;=N(DT287)),0),_xlpm.r_,_xlfn._xlws.FILTER(_xlpm.sz,_xlpm.ok,""),INDEX(_xlpm.r_,1)))</f>
        <v>1.5</v>
      </c>
      <c r="EP287" s="6" cm="1">
        <f t="array" ref="EP287">IFERROR(ROUNDUP(N(EJ287)*(_xlfn.XLOOKUP(EO287,INDEX(Кабель_сопротивление,0,1),INDEX(Кабель_сопротивление,0,3))*N(P287)/EO287*N(CE287)+_xlfn.XLOOKUP(EO287,INDEX(Кабель_сопротивление,0,1),INDEX(Кабель_сопротивление,0,2))*N(P287)*N(EK287)/1000)*N(O287)/((Uн_лин/SQRT(3))*1000)*100,2),"")</f>
        <v>0.59</v>
      </c>
      <c r="EQ287">
        <f>IFERROR(2*ρкз_Cu*N(P287)/EO287,"")</f>
        <v>1.5078666666666667</v>
      </c>
      <c r="ER287">
        <f>IFERROR(VLOOKUP(EN287,Кабель_сопротивление,3,FALSE),"")</f>
        <v>2.2499999999999999E-2</v>
      </c>
      <c r="ES287">
        <f>IFERROR(VLOOKUP(EN287,Кабель_сопротивление,2,FALSE),"")</f>
        <v>0.1</v>
      </c>
      <c r="ET287">
        <f t="shared" si="606"/>
        <v>25</v>
      </c>
      <c r="EU287">
        <f t="shared" si="607"/>
        <v>39</v>
      </c>
      <c r="EV287">
        <f t="shared" si="608"/>
        <v>0.807280803952657</v>
      </c>
      <c r="EW287" s="6">
        <f>IFERROR(ROUNDUP(EV287/IF(BV287=1,BU287,(Uн_лин/SQRT(3))*1000)*100,2),"")</f>
        <v>0.35000000000000003</v>
      </c>
      <c r="EX287" t="str">
        <f>IFERROR(VLOOKUP(BZ287,Кабель_обозначение,2,FALSE),"")</f>
        <v>ВВГнг(А)-LS</v>
      </c>
      <c r="EY287" t="str">
        <f t="shared" si="609"/>
        <v>ВВГнг(А)-LS (3х2,5)</v>
      </c>
      <c r="EZ287" t="str">
        <f t="shared" si="610"/>
        <v>ВВГнг(А)-LS (3х2,5)
L=43-0,35%</v>
      </c>
      <c r="FA287">
        <f>IFERROR(2*ρкз_Cu*P287/EN287,"")</f>
        <v>0.90471999999999997</v>
      </c>
      <c r="FB287">
        <f t="shared" si="611"/>
        <v>0.30100000000000005</v>
      </c>
      <c r="FC287" s="6" t="str">
        <f>IFERROR(IF(OR(B287="",BV287=1,NOT(ISNUMBER(EN287)),N(P287)=0),"",_xlfn.XLOOKUP(A287,Щиты[Щит],Щиты[Zпетли на шинах, Ом])+FA287),"")</f>
        <v/>
      </c>
      <c r="FD287" s="6" t="str">
        <f>IF(ISNUMBER(FC287),c_min*(Uн_лин*1000/SQRT(3))/FC287,"")</f>
        <v/>
      </c>
      <c r="FE287" s="6" t="str">
        <f>IFERROR(IF(OR(B287="",NOT(ISNUMBER(EN287))),"",1.05*(Uн_лин*1000/SQRT(3))/(_xlfn.XLOOKUP(A287,Щиты[Щит],Щиты[Zmax на шинах, Ом])+FB287)/1000),"")</f>
        <v/>
      </c>
      <c r="FF287" s="6" t="str">
        <f>IF(B287="","",IF(ISNUMBER(AC287),"Сил",IF(IFERROR(_xlfn.XLOOKUP(BC287,Коды_код,Коды_группа)&amp;"","")="","Быт",_xlfn.XLOOKUP(BC287,Коды_код,Коды_группа)&amp;"")))</f>
        <v>Быт</v>
      </c>
      <c r="FG287" s="6" t="str">
        <f t="shared" si="612"/>
        <v>Быт</v>
      </c>
      <c r="FH287" s="6">
        <f>IF(FG287="Щит","щит",IF(FG287="","",IF(FG287="Быт",IFERROR(_xlfn.XLOOKUP(A287,Щиты[Щит],Щиты[Кс быт]),1),IF(FG287="Сил",IF(ISNUMBER(AC287),AC287,IF(Методика="нормы 2026",IFERROR(_xlfn.XLOOKUP(A287,Щиты[Щит],Щиты[Кс силовых (табл. 7.5)]),1),1)),IF(OR(FG287="Пост",FG287="Отоп"),1,IF(FG287="ВНГ",0.7,0))))))</f>
        <v>0.8</v>
      </c>
      <c r="FI287">
        <f>IF(FG287="","",IF(AND(BP287=1,TRIM(AE287&amp;"")=""),IF(COUNTIFS(Линии[Щит],A287,Линии[Секция (1/2/3)],"&gt;=2")&gt;0,MIN(3,MAX(1,IFERROR(--BD287,1))),1),IFERROR(MIN(3,MAX(1,INT(--AE287))),1)))</f>
        <v>1</v>
      </c>
      <c r="FJ287">
        <f t="shared" si="613"/>
        <v>0.24</v>
      </c>
      <c r="FK287">
        <f t="shared" si="614"/>
        <v>0.24</v>
      </c>
      <c r="FL287">
        <f t="shared" si="615"/>
        <v>0</v>
      </c>
      <c r="FM287">
        <f t="shared" si="616"/>
        <v>0</v>
      </c>
      <c r="FN287">
        <f t="shared" si="617"/>
        <v>0</v>
      </c>
      <c r="FO287">
        <f t="shared" si="618"/>
        <v>0</v>
      </c>
      <c r="FP287">
        <f t="shared" si="619"/>
        <v>0.24</v>
      </c>
      <c r="FQ287">
        <f t="shared" si="620"/>
        <v>0.24</v>
      </c>
      <c r="FR287">
        <f t="shared" si="621"/>
        <v>0.22799999999999998</v>
      </c>
      <c r="FS287">
        <f>IF(CG287=1,IF(AND(CH287=1,CW287=1),0,IF(AND(CS287&lt;&gt;"",CS287=BA287,CW287=1),SUMIFS(Линии[_Р линии, кВт],Линии[_блок УЗО],BA287,Линии[Щит],A287),N(BS287)+IF(AJ287="вручную",0,N(CK287)))),0)</f>
        <v>0.24</v>
      </c>
      <c r="FT287" t="str">
        <f t="shared" si="622"/>
        <v>L3</v>
      </c>
      <c r="FU287" t="str">
        <f>IF(B287="","",IF(CG287=0,IF(BA287=1,"",FW286),IF(AND(CH287=1,CW287=1,CS287&lt;&gt;""),IFERROR(_xlfn.XLOOKUP(CS287,Линии[_n],Линии[_фаза итог]),"L1"),IF(OR(N(DL287)&gt;=3,N(BX287)&gt;=3),"L1,L2,L3",IFERROR(_xlfn.TEXTBEFORE(_xlfn.TEXTAFTER(_xlfn.XLOOKUP(A287,Щиты[Щит],Щиты[_фазы авто]),";"&amp;BA287&amp;":"),";"),"L1")))))</f>
        <v>L1</v>
      </c>
      <c r="FV287" t="str">
        <f t="shared" si="623"/>
        <v>L3</v>
      </c>
      <c r="FW287" t="str">
        <f t="shared" si="624"/>
        <v>L3</v>
      </c>
      <c r="FX287" cm="1">
        <f t="array" ref="FX287">IFERROR(IF(CD287=2,_xlfn.IFS(BX287=3,VLOOKUP(BS287,Справочная_двигатели,3,FALSE),BX287=1,VLOOKUP(BS287,Справочная_двигатели,5,TRUE)),0),0)</f>
        <v>0</v>
      </c>
      <c r="FY287">
        <f>IFERROR(IF(CD287=3,VLOOKUP(BS287,Справочная_ЛЭД,2,TRUE),0),0)</f>
        <v>0</v>
      </c>
      <c r="FZ287" s="6">
        <f t="shared" si="625"/>
        <v>0</v>
      </c>
      <c r="GA287" t="str">
        <f>IF(B287="","",IF(TRIM(AH287&amp;"")&lt;&gt;"",IF(LOWER(TRIM(AH287&amp;""))="да","да","нет"),IF(IFERROR(_xlfn.XLOOKUP(BC287,Коды_код,Коды_пожарная),"")="да","да","нет")))</f>
        <v>нет</v>
      </c>
      <c r="GB287" t="str">
        <f t="shared" si="626"/>
        <v/>
      </c>
      <c r="GC287" t="str">
        <f t="shared" si="627"/>
        <v>основная</v>
      </c>
      <c r="GD287">
        <f>IF(AND(BP287=1,TRIM(AE287&amp;"")=""),IF(COUNTIFS(Линии[Щит],A287,Линии[Секция (1/2/3)],"&gt;=2")&gt;0,MIN(3,MAX(1,IFERROR(--BD287,1))),1),IFERROR(MIN(3,MAX(1,INT(--AE287))),1))</f>
        <v>1</v>
      </c>
      <c r="GE287" t="str" cm="1">
        <f t="array" ref="GE287">IF(B287="","",_xlfn.LET(_xlpm.t,IFERROR(_xlfn.XLOOKUP(1,(Шины[Шина]=GC287)*(((Шины[Щит]=A287)+(Шины[Щит]=""))&gt;0),Шины[Тип]),"")&amp;"",IF(_xlpm.t&lt;&gt;"",_xlpm.t,IF(ISNUMBER(SEARCH("ИБП",GC287)),"ИБП",IF(ISNUMBER(SEARCH("ДГУ",GC287)),"ДГУ","Ввод "&amp;GD287)))))</f>
        <v>Ввод 1</v>
      </c>
      <c r="GF287" t="str">
        <f t="shared" si="628"/>
        <v>Ввод 1</v>
      </c>
      <c r="GG287" t="str">
        <f>IF(BP287=0,"",IF(TRIM(AG287&amp;"")&lt;&gt;"",TRIM(AG287&amp;""),IF(OR(GE287="ИБП",GE287="ДГУ"),"I особая",_xlfn.XLOOKUP(A287,Щиты[Щит],Щиты[Категория шины «Ввод»],"III"))))</f>
        <v/>
      </c>
      <c r="GH287" t="str">
        <f>IF(A287="","",_xlfn.XLOOKUP(A287,Щиты[Щит],Щиты[Путь],""))</f>
        <v>|ГРЩ-ЖД|ЩР-2|</v>
      </c>
      <c r="GI287" t="str">
        <f>IF(B287="","",IF(AI287&lt;&gt;"",AI287,IF(IFERROR(_xlfn.XLOOKUP(BC287,Коды_код,Коды_вид)&amp;"","")="","Прочее",_xlfn.XLOOKUP(BC287,Коды_код,Коды_вид)&amp;"")))</f>
        <v>Розеточная сеть и бытовые приборы</v>
      </c>
      <c r="GJ287">
        <f>IF(BM287="","",INT((BM287-1)/Столбцов_на_лист)+1)</f>
        <v>1</v>
      </c>
      <c r="GK287" t="str">
        <f t="shared" si="629"/>
        <v>ВВГнг(А)-LS (3х2,5) L=43-0,35%</v>
      </c>
      <c r="GL287">
        <f t="shared" si="630"/>
        <v>0.24</v>
      </c>
      <c r="GM287">
        <f t="shared" si="631"/>
        <v>1.1000000000000001</v>
      </c>
      <c r="GN287">
        <f t="shared" si="632"/>
        <v>1</v>
      </c>
      <c r="GO287">
        <f t="shared" si="633"/>
        <v>0</v>
      </c>
      <c r="GP287">
        <f t="shared" si="634"/>
        <v>1</v>
      </c>
      <c r="GQ287">
        <f>IF(BM287="","",IF(AND(CG287=1,GP287=1),COUNTIFS(A$3:A287,A287,CG$3:CG287,1,GP$3:GP287,1),IF(OR(OR(BA287=1,A287&lt;&gt;A286),AJ287="вручную",GP287=0),"",IF(BA287=1,"",GR286))))</f>
        <v>4</v>
      </c>
      <c r="GR287">
        <f t="shared" si="635"/>
        <v>4</v>
      </c>
      <c r="GS287">
        <f>IF(B287="","",IFERROR(LOOKUP(INDEX(CHOOSE(EB287,Iдоп_1ж,Iдоп_2ж,Iдоп_3ж),MATCH(EN287,Iдоп_S,0))*DZ287*EA287,{6,10,16,20,25,32,40,50,63,80,100,125,160,200,250,315,400,500,630}),""))</f>
        <v>25</v>
      </c>
      <c r="GT287" t="str">
        <f t="shared" si="636"/>
        <v>QFD4</v>
      </c>
      <c r="GU287" t="str">
        <f t="shared" si="637"/>
        <v>QFD4</v>
      </c>
      <c r="GV287" t="str">
        <f t="shared" si="638"/>
        <v/>
      </c>
      <c r="GW287">
        <f t="shared" si="639"/>
        <v>0</v>
      </c>
      <c r="GX287" t="str">
        <f>IF(OR(B287="",DJ287=""),"",IFERROR(_xlfn.XLOOKUP(DJ287,Модули_умолч[Управление],Модули_умолч[Модель])&amp;"",""))</f>
        <v/>
      </c>
      <c r="GY287">
        <f>IF(DJ287="",1,IFERROR(MAX(0,N(_xlfn.XLOOKUP(DJ287,Модули_умолч[Управление],Модули_умолч[Каналов на линию]))),1))</f>
        <v>1</v>
      </c>
      <c r="GZ287" t="str">
        <f t="shared" si="640"/>
        <v/>
      </c>
      <c r="HA287" t="str">
        <f t="shared" si="641"/>
        <v/>
      </c>
      <c r="HB287" t="str">
        <f t="shared" si="642"/>
        <v/>
      </c>
      <c r="HC287">
        <f>IF(HB287="",0,IFERROR(N(VLOOKUP(HB287,Модули_спр,3,FALSE)),0))</f>
        <v>0</v>
      </c>
      <c r="HD287" t="str">
        <f t="shared" si="643"/>
        <v/>
      </c>
      <c r="HE287" t="str">
        <f t="shared" si="644"/>
        <v/>
      </c>
      <c r="HF287" t="str">
        <f>IF(OR(HE287="",HE287="-"),"",IFERROR(VLOOKUP(HE287,Модули_спр,2,FALSE),"R"))</f>
        <v/>
      </c>
      <c r="HG287" t="str">
        <f>IF(HF287="","",HF287&amp;"."&amp;COUNTIFS(A$3:A287,A287,HF$3:HF287,HF287))</f>
        <v/>
      </c>
      <c r="HH287" t="str">
        <f t="shared" si="645"/>
        <v/>
      </c>
      <c r="HI287" t="str">
        <f t="shared" si="646"/>
        <v/>
      </c>
      <c r="HJ287" t="str">
        <f t="shared" si="647"/>
        <v/>
      </c>
      <c r="HK287" t="str">
        <f t="shared" si="648"/>
        <v/>
      </c>
      <c r="HL287">
        <f t="shared" si="649"/>
        <v>1</v>
      </c>
      <c r="HM287" t="str">
        <f>IF(HL287=1,"XT"&amp;COUNTIFS(A$3:A287,A287,HL$3:HL287,1),"")</f>
        <v>XT4</v>
      </c>
      <c r="HN287" t="str">
        <f t="shared" si="650"/>
        <v>XT4</v>
      </c>
      <c r="HO287" t="str">
        <f t="shared" si="651"/>
        <v>QFD4</v>
      </c>
      <c r="HP287" t="str">
        <f t="shared" si="652"/>
        <v/>
      </c>
      <c r="HQ287" t="str">
        <f t="shared" si="653"/>
        <v>ok</v>
      </c>
      <c r="HR287" t="str">
        <f>IF(OR(HJ287="",HH287=""),"",IF(HJ287+MAX(0,GY287-1)&gt;IFERROR(VLOOKUP(HI287,Модули_спр,3,FALSE),99),"ЛИШНИЙ КАНАЛ",IF(AND(AL287&lt;&gt;"=",GY287&gt;0,COUNTIFS(Линии[_модуль гр.],HH287,Линии[Канал (итог)],HJ287,Линии[Канал],"&lt;&gt;=",Линии[Щит],A287)&gt;1),"ДУБЛЬ КАНАЛА","")))</f>
        <v/>
      </c>
      <c r="HS287" s="6" t="str">
        <f t="shared" si="654"/>
        <v/>
      </c>
      <c r="HT287">
        <f t="shared" si="655"/>
        <v>10</v>
      </c>
      <c r="HU287" t="str">
        <f t="shared" si="656"/>
        <v/>
      </c>
      <c r="HV287">
        <f t="shared" si="657"/>
        <v>0.8675707303331901</v>
      </c>
      <c r="HW287">
        <f t="shared" si="658"/>
        <v>0</v>
      </c>
      <c r="HX287">
        <f t="shared" si="659"/>
        <v>0</v>
      </c>
      <c r="HY287">
        <f t="shared" si="660"/>
        <v>0</v>
      </c>
      <c r="HZ287">
        <f t="shared" si="661"/>
        <v>0</v>
      </c>
      <c r="IA287">
        <f t="shared" si="662"/>
        <v>0</v>
      </c>
      <c r="IB287">
        <f t="shared" si="663"/>
        <v>0</v>
      </c>
      <c r="IC287" t="str">
        <f t="shared" si="664"/>
        <v/>
      </c>
      <c r="ID287" t="str" cm="1">
        <f t="array" ref="ID287">IF(IC287="","",_xlfn.LET(_xlpm.tk,_xlfn.TEXTSPLIT(SUBSTITUTE(SUBSTITUTE(IC287,";"," "),"→"," ")," ",,TRUE),_xlpm.w_,_xlfn._xlws.FILTER(_xlpm.tk,ISNUMBER(--LEFT(_xlpm.tk,1))*((ISNUMBER(SEARCH("W",_xlpm.tk))+ISNUMBER(SEARCH("Вт",_xlpm.tk)))&gt;0),""),IFERROR(--SUBSTITUTE(SUBSTITUTE(UPPER(INDEX(_xlpm.w_,1)),"W",""),"ВТ",""),"")))</f>
        <v/>
      </c>
      <c r="IE287" t="str" cm="1">
        <f t="array" ref="IE287">IF(IC287="","",_xlfn.LET(_xlpm.tk,_xlfn.TEXTSPLIT(SUBSTITUTE(SUBSTITUTE(IC287,";"," "),"→"," ")," ",,TRUE),_xlpm.v_,_xlfn._xlws.FILTER(_xlpm.tk,ISNUMBER(--LEFT(_xlpm.tk,1))*((ISNUMBER(SEARCH("V",_xlpm.tk))+(RIGHT(UPPER(_xlpm.tk))="В"))&gt;0),""),IFERROR(--SUBSTITUTE(SUBSTITUTE(UPPER(INDEX(_xlpm.v_,1)),"V",""),"В",""),"")))</f>
        <v/>
      </c>
      <c r="IF287" s="6" t="str">
        <f>IF(OR(BV287=0,HI287="",HJ287=""),"",IFERROR(N(_xlfn.XLOOKUP(HI287,Каталог!$C$4:$C$500,Каталог!$Q$4:$Q$500)),""))</f>
        <v/>
      </c>
      <c r="IG287" s="6" t="str">
        <f>IF(N(IF287)=0,"",SUMIFS(Линии[Iр, А],Линии[Щит],A287,Линии[_модуль гр.],HH287,Линии[Канал (итог)],HJ287))</f>
        <v/>
      </c>
      <c r="IH287" t="str">
        <f>IF(AND(B287="",HO287=""),"",_xlfn.TEXTJOIN("; ",TRUE,IF(AND(B287&lt;&gt;"",FV287=""),"нет фазы",""),IF(AND(B287&lt;&gt;"",N(GL287)=0,FG287&lt;&gt;"Нет"),"нет мощности",""),IF(AND(HN287&lt;&gt;"",COUNTIFS(Линии[Щит],A287,Линии[Клемма (итог)],HN287)&gt;1),"дубль клеммы "&amp;HN287,""),IF(AND(HQ287&lt;&gt;"",HQ287&lt;&gt;"ok"),HQ287,""),IF(HR287&lt;&gt;"",HR287,""),IF(AND(N(CB287)&gt;=4,N(BX287)=1),CB287&amp;" жил на 1 фазе",""),IF(AND(BC287="R",CG287=1,IF(CS287&lt;&gt;"",N(CV287)&gt;30,OR(N(DA287)=0,N(DA287)&gt;30))),"розетка без дифзащиты до 30 мА",""),IF(AND(CG287=1,N(DA287)&gt;0,ISNUMBER(T287)),IF(T287&gt;N(DA287)/3,"ток утечки "&amp;FIXED(T287,1)&amp;" мА &gt; 1/3 уставки ("&amp;DA287&amp;" мА)",""),""),IF(AND(CH287=1,CS287=""),"«узо»: нет строки с УЗО выше (УЗО 2P 40А 30мА в «Аппаратах»)",""),IF(AND(CS287&lt;&gt;"",CS287=BA287),IF(CT287="","впишите номинал УЗО (УЗО 2P 40А 30мА)",IF(N(CT287)&lt;N(DT287),"УЗО "&amp;CT287&amp;" А &lt; автомата "&amp;DT287&amp;" А перед ним",IF(N(CT287)&lt;N(CX287),"УЗО "&amp;CT287&amp;" А &lt; тока блока "&amp;FIXED(CX287,1)&amp;" А",""))),""),IF(AND(CS287&lt;&gt;"",CS287=BA287,ISNUMBER(CY287)),IF(CY287&gt;N(CV287)/3,"ток утечки блока УЗО "&amp;FIXED(CY287,1)&amp;" мА &gt; 1/3 уставки ("&amp;CV287&amp;" мА)",""),""),IF(AND(CG287=1,N(BV287)+N(IB287)&gt;0,IC287=""),"линии до 50 В без БП: впишите в «Аппараты» (БП 24V 480W)",""),IF(AND(CG287=1,ISNUMBER(ID287),ISNUMBER(U287)),IF(U287&gt;ID287,"БП "&amp;ID287&amp;" Вт &lt; нужно "&amp;U287&amp;" Вт (×"&amp;Запас_БП&amp;")",""),""),IF(AND(CG287=1,ISNUMBER(IE287),N(BV287)=1),IF(IE287&lt;&gt;N(BU287),"БП на "&amp;IE287&amp;" В, линия "&amp;BU287&amp;" В",""),""),IF(AND(N(IF287)&gt;0,N(IG287)&gt;N(IF287)),HH287&amp;" канал "&amp;HJ287&amp;": "&amp;FIXED(IG287,1)&amp;" А &gt; "&amp;IF287&amp;" А",""),IFERROR(IF(AND(ISNUMBER(Q287),Q287&gt;EL287),"потери "&amp;FIXED(Q287,1)&amp;" % &gt; "&amp;EL287&amp;" %",""),""),IFERROR(IF(LEFT(HU287,4)="мало","Iкз мало — отключение &gt; 0,4 с",""),""),IF(AND(B287&lt;&gt;"",BM287=""),"не на схеме",""),IF(AND(CG287=0,B287&lt;&gt;"",FV287&lt;&gt;"",IF(BA287=1,"",FW286)&lt;&gt;"",FV287&lt;&gt;IF(BA287=1,"",FW286)),"фаза не как у автомата группы ("&amp;IF(BA287=1,"",FW286)&amp;")","")))</f>
        <v/>
      </c>
      <c r="II287" s="6">
        <f>IF(OR(CG287=0,DQ287=""),"",_xlfn.LET(_xlpm.t,IFERROR(_xlfn.XLOOKUP(DQ287,Каталог!$U$4:$U$500,Каталог!$G$4:$G$500),""),_xlpm.k,SEARCH("кА",_xlpm.t),IFERROR(--TRIM(RIGHT(SUBSTITUTE(MID(_xlpm.t,MAX(1,_xlpm.k-4),_xlpm.k-MAX(1,_xlpm.k-4))," ",REPT(" ",9)),5)),"")))</f>
        <v>6</v>
      </c>
      <c r="IJ287" t="str">
        <f>IF(OR(II287="",CG287=0),"",IF(_xlfn.XLOOKUP(A287,Щиты[Щит],Щиты[Iкз max на шинах, кА],"")="","",IF(II287&lt;_xlfn.XLOOKUP(A287,Щиты[Щит],Щиты[Iкз max на шинах, кА]),"Icu "&amp;II287&amp;" кА &lt; Iкз max","ok")))</f>
        <v/>
      </c>
      <c r="IK287" t="str">
        <f t="shared" si="665"/>
        <v/>
      </c>
      <c r="IL287" t="str">
        <f t="shared" si="666"/>
        <v>QFD4|XT4</v>
      </c>
      <c r="IM287" t="str">
        <f t="shared" si="667"/>
        <v>QFD4|XT4|кабель ВВГнг(А)-LS (3х2,5) → Розеточная группа, пом. 005А</v>
      </c>
      <c r="IN287" t="str" cm="1">
        <f t="array" ref="IN287">IF(IM287="","",_xlfn.LET(_xlpm.nd,_xlfn.TEXTSPLIT(IM287,"|"),IF(COLUMNS(_xlpm.nd)&gt;1,A287&amp;"¦"&amp;INDEX(_xlpm.nd,1)&amp;"¦"&amp;INDEX(_xlpm.nd,2),"")))</f>
        <v>ЩР-2¦QFD4¦XT4</v>
      </c>
      <c r="IO287" t="str">
        <f t="shared" si="668"/>
        <v>R.2.005А.2¦Розеточная группа, пом. 005А</v>
      </c>
      <c r="IP287" t="str" cm="1">
        <f t="array" ref="IP287">IF(IM287="","",_xlfn.LET(_xlpm.nd,_xlfn.TEXTSPLIT(IM287,"|"),IF(COLUMNS(_xlpm.nd)&gt;2,A287&amp;"¦"&amp;INDEX(_xlpm.nd,2)&amp;"¦"&amp;INDEX(_xlpm.nd,3),"")))</f>
        <v>ЩР-2¦XT4¦кабель ВВГнг(А)-LS (3х2,5) → Розеточная группа, пом. 005А</v>
      </c>
      <c r="IQ287" t="str">
        <f t="shared" si="669"/>
        <v>R.2.005А.2¦Розеточная группа, пом. 005А</v>
      </c>
      <c r="IR287" t="str" cm="1">
        <f t="array" ref="IR287">IF(IM287="","",_xlfn.LET(_xlpm.nd,_xlfn.TEXTSPLIT(IM287,"|"),IF(COLUMNS(_xlpm.nd)&gt;3,A287&amp;"¦"&amp;INDEX(_xlpm.nd,3)&amp;"¦"&amp;INDEX(_xlpm.nd,4),"")))</f>
        <v/>
      </c>
      <c r="IS287" t="str">
        <f t="shared" si="670"/>
        <v/>
      </c>
      <c r="IT287" t="str" cm="1">
        <f t="array" ref="IT287">IF(IM287="","",_xlfn.LET(_xlpm.nd,_xlfn.TEXTSPLIT(IM287,"|"),IF(COLUMNS(_xlpm.nd)&gt;4,A287&amp;"¦"&amp;INDEX(_xlpm.nd,4)&amp;"¦"&amp;INDEX(_xlpm.nd,5),"")))</f>
        <v/>
      </c>
      <c r="IU287" t="str">
        <f t="shared" si="671"/>
        <v/>
      </c>
      <c r="IV287" t="str" cm="1">
        <f t="array" ref="IV287">IF(IM287="","",_xlfn.LET(_xlpm.nd,_xlfn.TEXTSPLIT(IM287,"|"),IF(COLUMNS(_xlpm.nd)&gt;5,A287&amp;"¦"&amp;INDEX(_xlpm.nd,5)&amp;"¦"&amp;INDEX(_xlpm.nd,6),"")))</f>
        <v/>
      </c>
      <c r="IW287" t="str">
        <f t="shared" si="672"/>
        <v/>
      </c>
      <c r="IX287" t="str" cm="1">
        <f t="array" ref="IX287">IF(IM287="","",_xlfn.LET(_xlpm.nd,_xlfn.TEXTSPLIT(IM287,"|"),IF(COLUMNS(_xlpm.nd)&gt;6,A287&amp;"¦"&amp;INDEX(_xlpm.nd,6)&amp;"¦"&amp;INDEX(_xlpm.nd,7),"")))</f>
        <v/>
      </c>
      <c r="IY287" t="str">
        <f t="shared" si="673"/>
        <v/>
      </c>
      <c r="IZ287" t="str">
        <f t="shared" si="674"/>
        <v/>
      </c>
      <c r="JA287" t="str">
        <f t="shared" si="675"/>
        <v>QFD4 → XT4</v>
      </c>
      <c r="JB287">
        <f t="shared" si="676"/>
        <v>0</v>
      </c>
      <c r="JC287">
        <f t="shared" si="677"/>
        <v>1</v>
      </c>
      <c r="JD287" t="str">
        <f t="shared" si="678"/>
        <v/>
      </c>
      <c r="JE287" t="str">
        <f t="shared" si="679"/>
        <v/>
      </c>
      <c r="JF287" t="str">
        <f t="shared" si="680"/>
        <v/>
      </c>
      <c r="JG287" t="str">
        <f t="shared" si="681"/>
        <v/>
      </c>
      <c r="JH287" t="str">
        <f>IF(B287="","",IFERROR(_xlfn.XLOOKUP(B287,Коды_код,Коды_уго),IFERROR(_xlfn.XLOOKUP(BC287,Коды_код,Коды_уго),IFERROR(_xlfn.XLOOKUP(LEFT(BC287,2),Коды_код,Коды_уго),""))))</f>
        <v>Розетка</v>
      </c>
      <c r="JI287" t="str">
        <f>IF(B287="","",IF(OR(JH287="",JH287=0),"BOX",IFERROR(IF(VLOOKUP(JH287,УГО_блоки,3,FALSE)&amp;""&lt;&gt;"",VLOOKUP(JH287,УГО_блоки,3,FALSE),VLOOKUP(JH287,УГО_блоки,2,FALSE)),JH287)))</f>
        <v>SOCKET</v>
      </c>
      <c r="JJ287">
        <f t="shared" si="682"/>
        <v>1</v>
      </c>
      <c r="JK287" t="str">
        <f>IF(DQ287="","",IF(COUNTIF(DQ$3:DQ287,DQ287)=1,MAX(JK$2:JK286)+1,""))</f>
        <v/>
      </c>
      <c r="JL287" t="str">
        <f>IF(DE287="","",IF(COUNTIF(DE$3:DE287,DE287)+COUNTIF(DF$2:DF286,DE287)+COUNTIF(DG$2:DG286,DE287)=1,MAX(JL$2:JN286)+1,""))</f>
        <v/>
      </c>
      <c r="JM287" t="str">
        <f>IF(DF287="","",IF(COUNTIF(DE$3:DE287,DF287)+COUNTIF(DF$3:DF287,DF287)+COUNTIF(DG$2:DG286,DF287)=1,MAX(JL$2:JN286,JL287)+1,""))</f>
        <v/>
      </c>
      <c r="JN287" t="str">
        <f>IF(DG287="","",IF(COUNTIF(DE$3:DE287,DG287)+COUNTIF(DF$3:DF287,DG287)+COUNTIF(DG$3:DG287,DG287)=1,MAX(JL$2:JN286,JL287,JM287)+1,""))</f>
        <v/>
      </c>
      <c r="JO287" t="str">
        <f t="shared" si="683"/>
        <v>3х2,5</v>
      </c>
      <c r="JP287" t="str">
        <f>IF(JO287="","",IF(COUNTIF(JO$3:JO287,JO287)=1,MAX(JP$2:JP286)+1,""))</f>
        <v/>
      </c>
      <c r="JQ287" t="str">
        <f>IF(HG287="","",COUNTIF(HG$3:HG287,"?*"))</f>
        <v/>
      </c>
      <c r="JR287" t="str">
        <f>IF(OR(HG287="",HI287=""),"",IF(COUNTIFS(HG$3:HG287,"?*",HI$3:HI287,HI287)=1,MAX(JR$2:JR286)+1,""))</f>
        <v/>
      </c>
      <c r="JS287">
        <f t="shared" si="684"/>
        <v>0</v>
      </c>
      <c r="JT287">
        <f>IF(B287="","",COUNTIF(B$3:B287,"?*"))</f>
        <v>285</v>
      </c>
      <c r="JU287">
        <f>IF(HL287&lt;&gt;1,0,_xlfn.LET(_xlpm.k,MAX(IFERROR(--_xlfn.XLOOKUP(B287,Коды_код,Коды_3L),0),IFERROR(--_xlfn.XLOOKUP(BC287,Коды_код,Коды_3L),0),IFERROR(--_xlfn.XLOOKUP(LEFT(BC287,2),Коды_код,Коды_3L),0)),IF(_xlpm.k&gt;0,_xlpm.k,IF(IFERROR(--LEFT(SUBSTITUTE(JO287,"x","х"),FIND("х",SUBSTITUTE(JO287,"x","х"))-1),3)&gt;3,Каталог!$S$9,1))))</f>
        <v>1</v>
      </c>
      <c r="JV287">
        <f t="shared" si="685"/>
        <v>0</v>
      </c>
      <c r="JW287" t="str">
        <f t="shared" si="686"/>
        <v>авто</v>
      </c>
      <c r="JX287">
        <f t="shared" si="687"/>
        <v>30</v>
      </c>
      <c r="JY287">
        <f t="shared" si="688"/>
        <v>1</v>
      </c>
      <c r="JZ287">
        <f t="shared" si="689"/>
        <v>1</v>
      </c>
    </row>
    <row r="288" spans="1:286" x14ac:dyDescent="0.3">
      <c r="A288" t="s">
        <v>759</v>
      </c>
      <c r="B288" t="s">
        <v>1593</v>
      </c>
      <c r="C288" t="str">
        <f>Линии[[#This Row],[_авто наименование]]</f>
        <v>Розеточная группа, пом. 006А</v>
      </c>
      <c r="D288">
        <v>1</v>
      </c>
      <c r="E288">
        <v>0.06</v>
      </c>
      <c r="G288">
        <v>16</v>
      </c>
      <c r="H288" t="str">
        <f>Линии[[#This Row],[_авто управление]]</f>
        <v/>
      </c>
      <c r="I288" t="str">
        <f>Линии[[#This Row],[_авто аппараты]]</f>
        <v/>
      </c>
      <c r="J288">
        <v>2.5</v>
      </c>
      <c r="K288">
        <v>46</v>
      </c>
      <c r="L288">
        <v>1</v>
      </c>
      <c r="M288" t="str">
        <f>Линии[[#This Row],[_авто клемма]]</f>
        <v>XT5</v>
      </c>
      <c r="N288" t="str">
        <f t="shared" si="552"/>
        <v/>
      </c>
      <c r="O288" s="6" cm="1">
        <f t="array" ref="O288">IF(B288="","",IF(BH288&lt;&gt;"",IFERROR(_xlfn.XLOOKUP(BH288,Щиты[Щит],Щиты[Iр, А]),""),IF(BP288=1,IF(OR(N(_xlfn.XLOOKUP(A288,Щиты[Щит],Щиты[Вводов],1))&lt;=1,LOWER(TRIM(_xlfn.XLOOKUP(A288,Щиты[Щит],Щиты[АВР],"")&amp;""))="да"),IFERROR(_xlfn.XLOOKUP(A288,Щиты[Щит],Щиты[Iр, А]),""),IFERROR(N(BS288)*_xlfn.XLOOKUP(A288,Щиты[Щит],Щиты[Кс итог])/(SQRT(3)*Uн_лин*_xlfn.XLOOKUP(A288,Щиты[Щит],Щиты[cos φ])),"")),IF(BV288=1,IFERROR(BS288*1000/BU288,""),IFERROR(_xlfn.IFS(BX288=1,BS288/((Uн_лин/SQRT(3))*CE288),BX288=3,BS288/(SQRT(3)*Uн_лин*CE288)),"")))))</f>
        <v>0.27348170645824377</v>
      </c>
      <c r="P288" s="7">
        <f>IF(B288="","",IFERROR(IF(VLOOKUP(BC288,Потребители_обозначение,4,FALSE)=1,VLOOKUP(BC288,Потребители_обозначение,3,FALSE)*(MAX(1,N(D288))*2-1)+EI288+VLOOKUP(BE288,Этаж_обозначение,3,FALSE)+VLOOKUP(BE288,Этаж_обозначение,4,FALSE),VLOOKUP(BC288,Потребители_обозначение,3,FALSE)*(MAX(1,N(D288))*2-1)+EI288),EI288))</f>
        <v>49</v>
      </c>
      <c r="Q288" s="6">
        <f t="shared" si="553"/>
        <v>1.8900000000000001</v>
      </c>
      <c r="R288" t="str">
        <f t="shared" si="554"/>
        <v>ВВГнг(А)-LS (3х2,5)</v>
      </c>
      <c r="S288" t="str">
        <f>IF(BM288="","",IF(BN288="вводной узел","узел ","")&amp;"л."&amp;(INT((BM288-1)/Столбцов_на_лист)+1)&amp;" / "&amp;(MOD(BM288-1,Столбцов_на_лист)+1))</f>
        <v>л.1 / 13</v>
      </c>
      <c r="T288" s="119">
        <f t="shared" si="555"/>
        <v>0.6</v>
      </c>
      <c r="U288" s="7" t="str">
        <f>IF(OR(CG288=0,N(BV288)+N(IB288)=0),"",ROUNDUP(Запас_БП*(N(HY288)+N(HZ288)),0))</f>
        <v/>
      </c>
      <c r="V288" s="119" t="str">
        <f t="shared" si="556"/>
        <v/>
      </c>
      <c r="W288" s="7" t="str">
        <f>IFERROR(IF(OR(B288="",BP288=1,BV288=1,NOT(ISNUMBER(EN288)),N(DT288)=0),"",MAX(0,ROUNDDOWN((c_min*(Uн_лин*1000/SQRT(3))/(HT288*N(DT288))-_xlfn.XLOOKUP(A288,Щиты[Щит],Щиты[Zпетли на шинах, Ом]))*EN288/(2*ρкз_Cu),0))),"")</f>
        <v/>
      </c>
      <c r="Y288">
        <f>Линии[[#This Row],[_авто утечка]]</f>
        <v>30</v>
      </c>
      <c r="Z288">
        <v>1</v>
      </c>
      <c r="AA288">
        <v>230</v>
      </c>
      <c r="AB288" t="s">
        <v>562</v>
      </c>
      <c r="AG288" t="s">
        <v>810</v>
      </c>
      <c r="AI288" t="s">
        <v>561</v>
      </c>
      <c r="AK288" t="str">
        <f>Линии[[#This Row],[_авто модуль]]</f>
        <v/>
      </c>
      <c r="AM288">
        <v>13</v>
      </c>
      <c r="AN288" t="s">
        <v>11</v>
      </c>
      <c r="AO288">
        <v>3</v>
      </c>
      <c r="AQ288">
        <v>12</v>
      </c>
      <c r="AR288">
        <v>31</v>
      </c>
      <c r="AS288">
        <v>30</v>
      </c>
      <c r="AT288">
        <v>2</v>
      </c>
      <c r="BA288" cm="1">
        <f t="array" ref="BA288">ROW()-ROW(Линии[#Headers])</f>
        <v>286</v>
      </c>
      <c r="BC288" s="6" t="str">
        <f t="shared" si="557"/>
        <v>R</v>
      </c>
      <c r="BD288" t="str">
        <f t="shared" si="558"/>
        <v>2.006А.1</v>
      </c>
      <c r="BE288" t="str">
        <f t="shared" si="559"/>
        <v>2</v>
      </c>
      <c r="BF288" t="str">
        <f t="shared" si="560"/>
        <v>006А.1</v>
      </c>
      <c r="BG288" t="str">
        <f t="shared" si="561"/>
        <v>006А</v>
      </c>
      <c r="BH288" t="str">
        <f>IF(X288&lt;&gt;"",X288,IF(AND(B288&lt;&gt;"",B288&lt;&gt;A288,ISNUMBER(_xlfn.XMATCH(B288,Щиты[Щит]))),B288,""))</f>
        <v/>
      </c>
      <c r="BI288" t="str" cm="1">
        <f t="array" ref="BI288">IF(B288="","",IF(BH288&lt;&gt;"","Щит "&amp;BH288,_xlfn.LET(_xlpm.nm,IFERROR(_xlfn.XLOOKUP(BC288,Коды_код,Коды_имя)&amp;"",""),_xlpm.md,IFERROR(N(_xlfn.XLOOKUP(BC288,Коды_код,Коды_режим)),1),_xlpm.ex,IF(Имя_режим="по экспликации",IFERROR(_xlfn.XLOOKUP(BE288&amp;"|"&amp;BG288,Экспликация[Этаж]&amp;"|"&amp;Экспликация[Помещение],Экспликация[Название])&amp;"",""),""),_xlpm.rm,IF(BG288="","",IF(_xlpm.ex&lt;&gt;"",". "&amp;_xlpm.ex&amp;IF(Имя_пом="нет"," ("&amp;BG288&amp;")"," (пом. "&amp;BG288&amp;")"),IF(Имя_пом="нет"," ",", пом. ")&amp;BG288)),IF(_xlpm.nm="","",IF(_xlpm.md=2,_xlpm.nm&amp;" шлейф "&amp;BE288,_xlpm.nm&amp;_xlpm.rm)))))</f>
        <v>Розеточная группа, пом. 006А</v>
      </c>
      <c r="BJ288" t="str">
        <f t="shared" si="562"/>
        <v>Розеточная группа, пом. 006А</v>
      </c>
      <c r="BK288">
        <f>IFERROR(_xlfn.XMATCH(A288,Щиты[Щит]),0)</f>
        <v>11</v>
      </c>
      <c r="BL288">
        <f>_xlfn.LET(_xlpm.k,IFERROR(_xlfn.XLOOKUP(A288,Щиты[Щит],Щиты[Мест под вводной узел]),""),IF(_xlpm.k="",Столбцов_на_лист,N(_xlpm.k)))</f>
        <v>8</v>
      </c>
      <c r="BM288">
        <f t="shared" si="563"/>
        <v>13</v>
      </c>
      <c r="BN288" t="str">
        <f t="shared" si="564"/>
        <v>линии</v>
      </c>
      <c r="BO288" s="6">
        <f>IFERROR(N(_xlfn.XLOOKUP(BC288,Коды_код,Коды_квт)),0)</f>
        <v>0</v>
      </c>
      <c r="BP288">
        <f t="shared" si="565"/>
        <v>0</v>
      </c>
      <c r="BQ288" t="str">
        <f>IF(B288="","",IF(BH288&lt;&gt;"",IFERROR(_xlfn.XLOOKUP(BH288,Щиты[Щит],Щиты[Руст, кВт]),0),IF(BP288=1,IF(OR(N(_xlfn.XLOOKUP(A288,Щиты[Щит],Щиты[Вводов],1))&lt;=1,LOWER(TRIM(_xlfn.XLOOKUP(A288,Щиты[Щит],Щиты[АВР],"")&amp;""))="да"),IFERROR(_xlfn.XLOOKUP(A288,Щиты[Щит],Щиты[Руст, кВт]),0),SUMIFS(Линии[_Р для вводов],Линии[Щит],A288,Линии[Источник для режимов],GF288)),IF(BO288&gt;0,ROUND(BO288*MAX(1,N(D288)),3),""))))</f>
        <v/>
      </c>
      <c r="BR288">
        <f t="shared" si="566"/>
        <v>0.06</v>
      </c>
      <c r="BS288" s="6">
        <f>IF(B288="","",IF(BH288&lt;&gt;"",IFERROR(_xlfn.XLOOKUP(BH288,Щиты[Щит],Щиты[Руст, кВт]),0),N(BR288)))</f>
        <v>0.06</v>
      </c>
      <c r="BT288" t="str">
        <f>IF(B288="","",IFERROR(IF(VLOOKUP(BC288,Потребители_обозначение,8,FALSE)=0,"",VLOOKUP(BC288,Потребители_обозначение,8,FALSE)),""))</f>
        <v/>
      </c>
      <c r="BU288">
        <f t="shared" si="567"/>
        <v>230</v>
      </c>
      <c r="BV288">
        <f t="shared" si="568"/>
        <v>0</v>
      </c>
      <c r="BW288">
        <f>IF(B288="","",IF(BH288&lt;&gt;"",3,IFERROR(IF(N(VLOOKUP(BC288,Потребители_обозначение,9,FALSE))=0,1,VLOOKUP(BC288,Потребители_обозначение,9,FALSE)),1)))</f>
        <v>1</v>
      </c>
      <c r="BX288">
        <f t="shared" si="569"/>
        <v>1</v>
      </c>
      <c r="BY288" t="str">
        <f>IF(B288="","",_xlfn.LET(_xlpm.bc,IFERROR(IF(VLOOKUP(BC288,Потребители_обозначение,6,FALSE)=0,"",VLOOKUP(BC288,Потребители_обозначение,6,FALSE)&amp;""),""),IF(AND(GA288="да",OR(_xlpm.bc="",_xlpm.bc="мс")),Марка_пож,IF(AND(_xlpm.bc="",BH288&lt;&gt;""),"мс",_xlpm.bc))))</f>
        <v/>
      </c>
      <c r="BZ288" t="str">
        <f t="shared" si="570"/>
        <v>мс</v>
      </c>
      <c r="CA288">
        <f>IF(B288="","",_xlfn.LET(_xlpm.cc,IFERROR(N(VLOOKUP(BC288,Потребители_обозначение,7,FALSE)),0),IF(_xlpm.cc&gt;0,_xlpm.cc,IF(BZ288="","",IF(BV288=1,2,IF(N(BX288)=3,5,3))))))</f>
        <v>3</v>
      </c>
      <c r="CB288">
        <f t="shared" si="571"/>
        <v>3</v>
      </c>
      <c r="CC288">
        <f>IFERROR(N(VLOOKUP(BC288,Потребители_обозначение,10,FALSE)),0)</f>
        <v>0</v>
      </c>
      <c r="CD288">
        <f>IFERROR(VLOOKUP(BC288,Потребители_обозначение,5,FALSE),0)</f>
        <v>1</v>
      </c>
      <c r="CE288" s="6" cm="1">
        <f t="array" ref="CE288">IF(B288="","",IF(BH288&lt;&gt;"",IFERROR(_xlfn.XLOOKUP(BH288,Щиты[Щит],Щиты[cos φ]),0.95),IF(BP288=1,IFERROR(_xlfn.XLOOKUP(A288,Щиты[Щит],Щиты[cos φ]),0.95),IF(ISNUMBER(AD288),AD288,IFERROR(IF(CD288=2,_xlfn.IFS(BX288=3,VLOOKUP(BS288,Справочная_двигатели,8,FALSE),BX288=1,VLOOKUP(BS288,Справочная_двигатели,10,TRUE)),IF(AND(Методика="нормы 2026",FG288="Сил"),0.8,0.95)),0.95)))))</f>
        <v>0.95</v>
      </c>
      <c r="CF288">
        <f t="shared" si="572"/>
        <v>0</v>
      </c>
      <c r="CG288">
        <f t="shared" si="573"/>
        <v>1</v>
      </c>
      <c r="CH288">
        <f t="shared" si="574"/>
        <v>0</v>
      </c>
      <c r="CI288">
        <f>IF(B288="","",IF(BV288=1,IFERROR(BS288/((Uн_лин/SQRT(3))*MAX(0.5,N(CE288))),0),N(O288)))</f>
        <v>0.27348170645824377</v>
      </c>
      <c r="CJ288">
        <f t="shared" si="575"/>
        <v>0</v>
      </c>
      <c r="CK288">
        <f t="shared" si="576"/>
        <v>0</v>
      </c>
      <c r="CL288">
        <f t="shared" si="577"/>
        <v>0</v>
      </c>
      <c r="CM288">
        <f t="shared" si="578"/>
        <v>0</v>
      </c>
      <c r="CN288">
        <f t="shared" si="579"/>
        <v>0</v>
      </c>
      <c r="CO288">
        <f>IF(BC288="",0,_xlfn.LET(_xlpm.v,IFERROR(_xlfn.XLOOKUP(B288,Коды_код,Коды_мА),IFERROR(_xlfn.XLOOKUP(BC288,Коды_код,Коды_мА),IFERROR(_xlfn.XLOOKUP(LEFT(BC288,2),Коды_код,Коды_мА),""))),IF(_xlpm.v="да",30,IF(ISNUMBER(_xlpm.v),_xlpm.v,0))))</f>
        <v>30</v>
      </c>
      <c r="CP288">
        <f t="shared" si="580"/>
        <v>30</v>
      </c>
      <c r="CQ288" t="str">
        <f>_xlfn.LET(_xlpm.k,IFERROR(_xlfn.XLOOKUP(BC288,Коды_код,Коды_утечка)&amp;"",""),IF(_xlpm.k="","дифавтомат",_xlpm.k))</f>
        <v>дифавтомат</v>
      </c>
      <c r="CR288" t="str" cm="1">
        <f t="array" ref="CR288">IF(CG288=0,"",_xlfn.LET(_xlpm.sg,TRIM(_xlfn.TEXTSPLIT(DD288&amp;"",";")),_xlpm.f_,_xlfn._xlws.FILTER(_xlpm.sg,LEFT(_xlpm.sg,3)="УЗО",""),IFERROR(INDEX(_xlpm.f_,1)&amp;"","")))</f>
        <v/>
      </c>
      <c r="CS288" t="str">
        <f t="shared" si="581"/>
        <v/>
      </c>
      <c r="CT288" s="6" t="str" cm="1">
        <f t="array" ref="CT288">IF(CR288="","",_xlfn.LET(_xlpm.tk,_xlfn.TEXTSPLIT(UPPER(CR288)," ",,TRUE),_xlpm.a_,_xlfn._xlws.FILTER(_xlpm.tk,ISNUMBER(--LEFT(_xlpm.tk,1))*((ISNUMBER(SEARCH("А",_xlpm.tk))+ISNUMBER(SEARCH("A",_xlpm.tk)))&gt;0)*NOT(ISNUMBER(SEARCH("МА",_xlpm.tk)))*NOT(ISNUMBER(SEARCH("MA",_xlpm.tk))),""),IFERROR(--SUBSTITUTE(SUBSTITUTE(INDEX(_xlpm.a_,1),"А",""),"A",""),"")))</f>
        <v/>
      </c>
      <c r="CU288" t="str" cm="1">
        <f t="array" ref="CU288">IF(CR288="","",_xlfn.LET(_xlpm.tk,_xlfn.TEXTSPLIT(UPPER(CR288)," ",,TRUE),_xlpm.a_,_xlfn._xlws.FILTER(_xlpm.tk,ISNUMBER(--LEFT(_xlpm.tk,1))*((ISNUMBER(SEARCH("МА",_xlpm.tk))+ISNUMBER(SEARCH("MA",_xlpm.tk)))&gt;0),""),IFERROR(--SUBSTITUTE(SUBSTITUTE(INDEX(_xlpm.a_,1),"МА",""),"MA",""),30)))</f>
        <v/>
      </c>
      <c r="CV288" t="str">
        <f>IF(CS288="","",IFERROR(_xlfn.XLOOKUP(CS288,Линии[_n],Линии[_УЗО, мА]),30))</f>
        <v/>
      </c>
      <c r="CW288">
        <f>IF(CS288="",0,IF(ISNUMBER(SEARCH("4P",IFERROR(_xlfn.XLOOKUP(CS288,Линии[_n],Линии[_УЗО строки])&amp;"",""))),0,1))</f>
        <v>0</v>
      </c>
      <c r="CX288" t="str">
        <f>IF(AND(CS288&lt;&gt;"",CS288=BA288),SUMIFS(Линии[_ток на 230 В],Линии[_блок УЗО],BA288,Линии[Щит],A288),"")</f>
        <v/>
      </c>
      <c r="CY288" t="str">
        <f>IF(AND(CS288&lt;&gt;"",CS288=BA288),SUMIFS(Линии[_ток утечки линии, мА],Линии[_блок УЗО],BA288,Линии[Щит],A288),"")</f>
        <v/>
      </c>
      <c r="CZ288">
        <f t="shared" si="582"/>
        <v>30</v>
      </c>
      <c r="DA288">
        <f t="shared" si="583"/>
        <v>30</v>
      </c>
      <c r="DB288">
        <f>IF(B288="",0,IFERROR(--_xlfn.XLOOKUP(B288,Коды_код,Коды_минавт),IFERROR(--_xlfn.XLOOKUP(BC288,Коды_код,Коды_минавт),IFERROR(--_xlfn.XLOOKUP(LEFT(BC288,2),Коды_код,Коды_минавт),0))))</f>
        <v>16</v>
      </c>
      <c r="DC288" t="str">
        <f>IF(B288="","",IFERROR(_xlfn.XLOOKUP(BC288,Коды_код,Коды_апп)&amp;"",""))</f>
        <v/>
      </c>
      <c r="DD288" t="str">
        <f t="shared" si="584"/>
        <v/>
      </c>
      <c r="DE288" t="str" cm="1">
        <f t="array" ref="DE288">IF(TRIM(DD288&amp;"")="","",IFERROR(TRIM(INDEX(_xlfn.TEXTSPLIT(DD288&amp;";;;",";"),1)),""))</f>
        <v/>
      </c>
      <c r="DF288" t="str" cm="1">
        <f t="array" ref="DF288">IF(TRIM(DD288&amp;"")="","",IFERROR(TRIM(INDEX(_xlfn.TEXTSPLIT(DD288&amp;";;;",";"),2)),""))</f>
        <v/>
      </c>
      <c r="DG288" t="str" cm="1">
        <f t="array" ref="DG288">IF(TRIM(DD288&amp;"")="","",IFERROR(TRIM(INDEX(_xlfn.TEXTSPLIT(DD288&amp;";;;",";"),3)),""))</f>
        <v/>
      </c>
      <c r="DH288">
        <f t="shared" si="585"/>
        <v>0</v>
      </c>
      <c r="DI288" t="str">
        <f>IF(B288="","",_xlfn.LET(_xlpm.t,LOWER(AZ288&amp;""),IF(ISNUMBER(SEARCH("dim",_xlpm.t)),"DIM",IF(ISNUMBER(SEARCH("dali",_xlpm.t)),"DALI",IF(OR(ISNUMBER(SEARCH("relay",_xlpm.t)),ISNUMBER(SEARCH("реле",_xlpm.t))),"Relay",IF(ISNUMBER(SEARCH("кнопк",_xlpm.t)),"",IFERROR(_xlfn.XLOOKUP(BC288,Коды_код,Коды_упр)&amp;"","")))))))</f>
        <v/>
      </c>
      <c r="DJ288" t="str">
        <f t="shared" si="586"/>
        <v/>
      </c>
      <c r="DK288">
        <f>IF(B288="","",_xlfn.LET(_xlpm.ig,IF(N(CX288)&gt;0,N(CX288),N(CI288)+IF(AJ288="вручную",0,N(CJ288))),_xlpm.n0,IFERROR(VLOOKUP(_xlpm.ig,Автомат_номиналы,2,TRUE),0),_xlpm.mn,MAX(DB288,IF(AJ288="вручную",0,N(CM288))),MAX(_xlpm.n0,_xlpm.mn,IF(DH288=1,Мин_автомат_БП,0))))</f>
        <v>16</v>
      </c>
      <c r="DL288">
        <f t="shared" si="587"/>
        <v>1</v>
      </c>
      <c r="DM288" t="str">
        <f t="shared" si="588"/>
        <v>2P</v>
      </c>
      <c r="DN288" t="str">
        <f>_xlfn.LET(_xlpm.cc,UPPER(TRIM(IFERROR(_xlfn.XLOOKUP(BC288,Коды_код,Коды_хар)&amp;"",""))),IF(OR(_xlpm.cc="B",_xlpm.cc="В"),"B",IF(_xlpm.cc="D","D","С")))</f>
        <v>С</v>
      </c>
      <c r="DO288" t="str">
        <f t="shared" si="589"/>
        <v>2P С16А 30мА</v>
      </c>
      <c r="DP288">
        <f t="shared" si="590"/>
        <v>16</v>
      </c>
      <c r="DQ288" t="str">
        <f t="shared" si="591"/>
        <v>2P С16А 30мА</v>
      </c>
      <c r="DR288" cm="1">
        <f t="array" ref="DR288">IF(DQ288="","",_xlfn.LET(_xlpm.t,SUBSTITUTE(SUBSTITUTE(SUBSTITUTE(UPPER(DQ288),"С","C"),"А","A"),"В","B"),_xlpm.tk,_xlfn.TEXTSPLIT(_xlpm.t," "),_xlpm.f,_xlfn._xlws.FILTER(_xlpm.tk,ISNUMBER(--MID(_xlpm.tk,2,1))*ISNUMBER(SEARCH(LEFT(_xlpm.tk,1)&amp;"#","B#C#D#"))*(LEN(_xlpm.tk)&gt;1),""),_xlpm.x,INDEX(_xlpm.f,1),IFERROR(--SUBSTITUTE(MID(_xlpm.x,2,9),"A",""),IFERROR(--SUBSTITUTE(INDEX(_xlfn._xlws.FILTER(_xlpm.tk,ISNUMBER(--SUBSTITUTE(_xlpm.tk,"A","")),""),1),"A",""),""))))</f>
        <v>16</v>
      </c>
      <c r="DS288" t="str">
        <f t="shared" si="592"/>
        <v>ok</v>
      </c>
      <c r="DT288">
        <f t="shared" si="593"/>
        <v>16</v>
      </c>
      <c r="DU288" t="str">
        <f t="shared" si="594"/>
        <v>2P С16А 30мА</v>
      </c>
      <c r="DV288">
        <f t="shared" si="595"/>
        <v>30</v>
      </c>
      <c r="DW288">
        <f t="shared" si="596"/>
        <v>1</v>
      </c>
      <c r="DX288">
        <f t="shared" si="597"/>
        <v>0</v>
      </c>
      <c r="DY288">
        <f t="shared" si="598"/>
        <v>0.27348170645824377</v>
      </c>
      <c r="DZ288">
        <f t="shared" si="599"/>
        <v>1</v>
      </c>
      <c r="EA288">
        <f>IF(ISNUMBER(AP288),AP288,К_прокл)</f>
        <v>1</v>
      </c>
      <c r="EB288">
        <f t="shared" si="600"/>
        <v>2</v>
      </c>
      <c r="EC288">
        <f>IFERROR(N(VLOOKUP(BZ288,Кабель_обозначение,3,FALSE)),1)</f>
        <v>1</v>
      </c>
      <c r="ED288">
        <f>IFERROR(N(_xlfn.XLOOKUP(A288,Щиты[Щит],Щиты[ΔU до шин, %])),0)</f>
        <v>1.79</v>
      </c>
      <c r="EE288" t="str">
        <f>IFERROR(_xlfn.XLOOKUP(A288,Щиты[Щит],Щиты[Zпетли на шинах, Ом]),"")</f>
        <v/>
      </c>
      <c r="EF288">
        <f>IFERROR(N(_xlfn.XLOOKUP(A288,Щиты[Щит],Щиты[ΔU до шин (подбор), %])),0)</f>
        <v>4.75</v>
      </c>
      <c r="EG288" t="str">
        <f>IFERROR(_xlfn.XLOOKUP(A288,Щиты[Щит],Щиты[Zпетли на шинах (подбор), Ом]),"")</f>
        <v/>
      </c>
      <c r="EH288" t="str">
        <f t="shared" si="601"/>
        <v/>
      </c>
      <c r="EI288">
        <f t="shared" si="602"/>
        <v>46</v>
      </c>
      <c r="EJ288">
        <f t="shared" si="603"/>
        <v>2</v>
      </c>
      <c r="EK288">
        <f t="shared" si="604"/>
        <v>0.31</v>
      </c>
      <c r="EL288" s="6">
        <f>IF(B288="","",IF(BV288=1,dU_LED,IF(IFERROR(_xlfn.XLOOKUP(BC288,Коды_код,Коды_уго),"")="Светильник",3,4)+IF(Методика="нормы 2026",MIN(0.5,MAX(0,N(P288)-100)*0.005),0)))</f>
        <v>4</v>
      </c>
      <c r="EM288" t="str" cm="1">
        <f t="array" ref="EM288">IF(OR(B288="",BZ288="",EC288&lt;&gt;1),"",_xlfn.LET(_xlpm.sz,Iдоп_S,_xlpm.t_,CHOOSE(EB288,Iдоп_1ж,Iдоп_2ж,Iдоп_3ж)*DZ288*EA288,_xlpm.dcx,BV288=1,_xlpm.inn,IF(_xlpm.dcx,N(O288),N(DT288)),_xlpm.smin,MAX(1.5,CC288),_xlpm.L_,N(P288)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288)/N(BU288)*100,999),IFERROR(N(EJ288)*(_xlpm.rho*_xlpm.L_/_xlpm.sz*N(CE288)+_xlpm.xx*_xlpm.L_*N(EK288)/1000)*N(O288)/((Uн_лин/SQRT(3))*1000)*100,999)),_xlpm.kz,IF(OR(_xlpm.dcx,DW288=1,NOT(ISNUMBER(EG288)),_xlpm.L_=0,_xlpm.inn=0),1,IFERROR(--(c_min*(Uн_лин*1000/SQRT(3))/(EG288+2*ρкз_Cu*_xlpm.L_/_xlpm.sz)&gt;=HT288*_xlpm.inn),0)),_xlpm.ok,IFERROR((_xlpm.sz&gt;=_xlpm.smin)*(_xlpm.t_&gt;=_xlpm.inn)*IF(_xlpm.L_&gt;0,(_xlpm.du_+IF(_xlpm.dcx,0,EF288)&lt;=EL288+0.00001),1)*_xlpm.kz,0),_xlpm.r_,_xlfn._xlws.FILTER(_xlpm.sz,_xlpm.ok,"не подобрано"),INDEX(_xlpm.r_,1)))</f>
        <v>не подобрано</v>
      </c>
      <c r="EN288">
        <f t="shared" si="605"/>
        <v>2.5</v>
      </c>
      <c r="EO288" cm="1">
        <f t="array" ref="EO288">IF(OR(B288="",BZ288="",EC288&lt;&gt;1),"",_xlfn.LET(_xlpm.sz,Iдоп_S,_xlpm.t_,CHOOSE(EB288,Iдоп_1ж,Iдоп_2ж,Iдоп_3ж)*DZ288*EA288,_xlpm.ok,IFERROR((_xlpm.sz&gt;=MAX(1.5,CC288))*(_xlpm.t_&gt;=N(DT288)),0),_xlpm.r_,_xlfn._xlws.FILTER(_xlpm.sz,_xlpm.ok,""),INDEX(_xlpm.r_,1)))</f>
        <v>1.5</v>
      </c>
      <c r="EP288" s="6" cm="1">
        <f t="array" ref="EP288">IFERROR(ROUNDUP(N(EJ288)*(_xlfn.XLOOKUP(EO288,INDEX(Кабель_сопротивление,0,1),INDEX(Кабель_сопротивление,0,3))*N(P288)/EO288*N(CE288)+_xlfn.XLOOKUP(EO288,INDEX(Кабель_сопротивление,0,1),INDEX(Кабель_сопротивление,0,2))*N(P288)*N(EK288)/1000)*N(O288)/((Uн_лин/SQRT(3))*1000)*100,2),"")</f>
        <v>0.17</v>
      </c>
      <c r="EQ288">
        <f>IFERROR(2*ρкз_Cu*N(P288)/EO288,"")</f>
        <v>1.7182666666666666</v>
      </c>
      <c r="ER288">
        <f>IFERROR(VLOOKUP(EN288,Кабель_сопротивление,3,FALSE),"")</f>
        <v>2.2499999999999999E-2</v>
      </c>
      <c r="ES288">
        <f>IFERROR(VLOOKUP(EN288,Кабель_сопротивление,2,FALSE),"")</f>
        <v>0.1</v>
      </c>
      <c r="ET288">
        <f t="shared" si="606"/>
        <v>31</v>
      </c>
      <c r="EU288">
        <f t="shared" si="607"/>
        <v>30</v>
      </c>
      <c r="EV288">
        <f t="shared" si="608"/>
        <v>0.22998115926558257</v>
      </c>
      <c r="EW288" s="6">
        <f>IFERROR(ROUNDUP(EV288/IF(BV288=1,BU288,(Uн_лин/SQRT(3))*1000)*100,2),"")</f>
        <v>9.9999999999999992E-2</v>
      </c>
      <c r="EX288" t="str">
        <f>IFERROR(VLOOKUP(BZ288,Кабель_обозначение,2,FALSE),"")</f>
        <v>ВВГнг(А)-LS</v>
      </c>
      <c r="EY288" t="str">
        <f t="shared" si="609"/>
        <v>ВВГнг(А)-LS (3х2,5)</v>
      </c>
      <c r="EZ288" t="str">
        <f t="shared" si="610"/>
        <v>ВВГнг(А)-LS (3х2,5)
L=49-0,1%</v>
      </c>
      <c r="FA288">
        <f>IFERROR(2*ρкз_Cu*P288/EN288,"")</f>
        <v>1.0309599999999999</v>
      </c>
      <c r="FB288">
        <f t="shared" si="611"/>
        <v>0.34300000000000003</v>
      </c>
      <c r="FC288" s="6" t="str">
        <f>IFERROR(IF(OR(B288="",BV288=1,NOT(ISNUMBER(EN288)),N(P288)=0),"",_xlfn.XLOOKUP(A288,Щиты[Щит],Щиты[Zпетли на шинах, Ом])+FA288),"")</f>
        <v/>
      </c>
      <c r="FD288" s="6" t="str">
        <f>IF(ISNUMBER(FC288),c_min*(Uн_лин*1000/SQRT(3))/FC288,"")</f>
        <v/>
      </c>
      <c r="FE288" s="6" t="str">
        <f>IFERROR(IF(OR(B288="",NOT(ISNUMBER(EN288))),"",1.05*(Uн_лин*1000/SQRT(3))/(_xlfn.XLOOKUP(A288,Щиты[Щит],Щиты[Zmax на шинах, Ом])+FB288)/1000),"")</f>
        <v/>
      </c>
      <c r="FF288" s="6" t="str">
        <f>IF(B288="","",IF(ISNUMBER(AC288),"Сил",IF(IFERROR(_xlfn.XLOOKUP(BC288,Коды_код,Коды_группа)&amp;"","")="","Быт",_xlfn.XLOOKUP(BC288,Коды_код,Коды_группа)&amp;"")))</f>
        <v>Быт</v>
      </c>
      <c r="FG288" s="6" t="str">
        <f t="shared" si="612"/>
        <v>Быт</v>
      </c>
      <c r="FH288" s="6">
        <f>IF(FG288="Щит","щит",IF(FG288="","",IF(FG288="Быт",IFERROR(_xlfn.XLOOKUP(A288,Щиты[Щит],Щиты[Кс быт]),1),IF(FG288="Сил",IF(ISNUMBER(AC288),AC288,IF(Методика="нормы 2026",IFERROR(_xlfn.XLOOKUP(A288,Щиты[Щит],Щиты[Кс силовых (табл. 7.5)]),1),1)),IF(OR(FG288="Пост",FG288="Отоп"),1,IF(FG288="ВНГ",0.7,0))))))</f>
        <v>0.8</v>
      </c>
      <c r="FI288">
        <f>IF(FG288="","",IF(AND(BP288=1,TRIM(AE288&amp;"")=""),IF(COUNTIFS(Линии[Щит],A288,Линии[Секция (1/2/3)],"&gt;=2")&gt;0,MIN(3,MAX(1,IFERROR(--BD288,1))),1),IFERROR(MIN(3,MAX(1,INT(--AE288))),1)))</f>
        <v>1</v>
      </c>
      <c r="FJ288">
        <f t="shared" si="613"/>
        <v>0.06</v>
      </c>
      <c r="FK288">
        <f t="shared" si="614"/>
        <v>0.06</v>
      </c>
      <c r="FL288">
        <f t="shared" si="615"/>
        <v>0</v>
      </c>
      <c r="FM288">
        <f t="shared" si="616"/>
        <v>0</v>
      </c>
      <c r="FN288">
        <f t="shared" si="617"/>
        <v>0</v>
      </c>
      <c r="FO288">
        <f t="shared" si="618"/>
        <v>0</v>
      </c>
      <c r="FP288">
        <f t="shared" si="619"/>
        <v>0.06</v>
      </c>
      <c r="FQ288">
        <f t="shared" si="620"/>
        <v>0.06</v>
      </c>
      <c r="FR288">
        <f t="shared" si="621"/>
        <v>5.6999999999999995E-2</v>
      </c>
      <c r="FS288">
        <f>IF(CG288=1,IF(AND(CH288=1,CW288=1),0,IF(AND(CS288&lt;&gt;"",CS288=BA288,CW288=1),SUMIFS(Линии[_Р линии, кВт],Линии[_блок УЗО],BA288,Линии[Щит],A288),N(BS288)+IF(AJ288="вручную",0,N(CK288)))),0)</f>
        <v>0.06</v>
      </c>
      <c r="FT288" t="str">
        <f t="shared" si="622"/>
        <v>L1</v>
      </c>
      <c r="FU288" t="str">
        <f>IF(B288="","",IF(CG288=0,IF(BA288=1,"",FW287),IF(AND(CH288=1,CW288=1,CS288&lt;&gt;""),IFERROR(_xlfn.XLOOKUP(CS288,Линии[_n],Линии[_фаза итог]),"L1"),IF(OR(N(DL288)&gt;=3,N(BX288)&gt;=3),"L1,L2,L3",IFERROR(_xlfn.TEXTBEFORE(_xlfn.TEXTAFTER(_xlfn.XLOOKUP(A288,Щиты[Щит],Щиты[_фазы авто]),";"&amp;BA288&amp;":"),";"),"L1")))))</f>
        <v>L1</v>
      </c>
      <c r="FV288" t="str">
        <f t="shared" si="623"/>
        <v>L1</v>
      </c>
      <c r="FW288" t="str">
        <f t="shared" si="624"/>
        <v>L1</v>
      </c>
      <c r="FX288" cm="1">
        <f t="array" ref="FX288">IFERROR(IF(CD288=2,_xlfn.IFS(BX288=3,VLOOKUP(BS288,Справочная_двигатели,3,FALSE),BX288=1,VLOOKUP(BS288,Справочная_двигатели,5,TRUE)),0),0)</f>
        <v>0</v>
      </c>
      <c r="FY288">
        <f>IFERROR(IF(CD288=3,VLOOKUP(BS288,Справочная_ЛЭД,2,TRUE),0),0)</f>
        <v>0</v>
      </c>
      <c r="FZ288" s="6">
        <f t="shared" si="625"/>
        <v>0</v>
      </c>
      <c r="GA288" t="str">
        <f>IF(B288="","",IF(TRIM(AH288&amp;"")&lt;&gt;"",IF(LOWER(TRIM(AH288&amp;""))="да","да","нет"),IF(IFERROR(_xlfn.XLOOKUP(BC288,Коды_код,Коды_пожарная),"")="да","да","нет")))</f>
        <v>нет</v>
      </c>
      <c r="GB288" t="str">
        <f t="shared" si="626"/>
        <v/>
      </c>
      <c r="GC288" t="str">
        <f t="shared" si="627"/>
        <v>основная</v>
      </c>
      <c r="GD288">
        <f>IF(AND(BP288=1,TRIM(AE288&amp;"")=""),IF(COUNTIFS(Линии[Щит],A288,Линии[Секция (1/2/3)],"&gt;=2")&gt;0,MIN(3,MAX(1,IFERROR(--BD288,1))),1),IFERROR(MIN(3,MAX(1,INT(--AE288))),1))</f>
        <v>1</v>
      </c>
      <c r="GE288" t="str" cm="1">
        <f t="array" ref="GE288">IF(B288="","",_xlfn.LET(_xlpm.t,IFERROR(_xlfn.XLOOKUP(1,(Шины[Шина]=GC288)*(((Шины[Щит]=A288)+(Шины[Щит]=""))&gt;0),Шины[Тип]),"")&amp;"",IF(_xlpm.t&lt;&gt;"",_xlpm.t,IF(ISNUMBER(SEARCH("ИБП",GC288)),"ИБП",IF(ISNUMBER(SEARCH("ДГУ",GC288)),"ДГУ","Ввод "&amp;GD288)))))</f>
        <v>Ввод 1</v>
      </c>
      <c r="GF288" t="str">
        <f t="shared" si="628"/>
        <v>Ввод 1</v>
      </c>
      <c r="GG288" t="str">
        <f>IF(BP288=0,"",IF(TRIM(AG288&amp;"")&lt;&gt;"",TRIM(AG288&amp;""),IF(OR(GE288="ИБП",GE288="ДГУ"),"I особая",_xlfn.XLOOKUP(A288,Щиты[Щит],Щиты[Категория шины «Ввод»],"III"))))</f>
        <v/>
      </c>
      <c r="GH288" t="str">
        <f>IF(A288="","",_xlfn.XLOOKUP(A288,Щиты[Щит],Щиты[Путь],""))</f>
        <v>|ГРЩ-ЖД|ЩР-2|</v>
      </c>
      <c r="GI288" t="str">
        <f>IF(B288="","",IF(AI288&lt;&gt;"",AI288,IF(IFERROR(_xlfn.XLOOKUP(BC288,Коды_код,Коды_вид)&amp;"","")="","Прочее",_xlfn.XLOOKUP(BC288,Коды_код,Коды_вид)&amp;"")))</f>
        <v>Розеточная сеть и бытовые приборы</v>
      </c>
      <c r="GJ288">
        <f>IF(BM288="","",INT((BM288-1)/Столбцов_на_лист)+1)</f>
        <v>1</v>
      </c>
      <c r="GK288" t="str">
        <f t="shared" si="629"/>
        <v>ВВГнг(А)-LS (3х2,5) L=49-0,1%</v>
      </c>
      <c r="GL288">
        <f t="shared" si="630"/>
        <v>0.06</v>
      </c>
      <c r="GM288">
        <f t="shared" si="631"/>
        <v>0.28000000000000003</v>
      </c>
      <c r="GN288">
        <f t="shared" si="632"/>
        <v>1</v>
      </c>
      <c r="GO288">
        <f t="shared" si="633"/>
        <v>0</v>
      </c>
      <c r="GP288">
        <f t="shared" si="634"/>
        <v>1</v>
      </c>
      <c r="GQ288">
        <f>IF(BM288="","",IF(AND(CG288=1,GP288=1),COUNTIFS(A$3:A288,A288,CG$3:CG288,1,GP$3:GP288,1),IF(OR(OR(BA288=1,A288&lt;&gt;A287),AJ288="вручную",GP288=0),"",IF(BA288=1,"",GR287))))</f>
        <v>5</v>
      </c>
      <c r="GR288">
        <f t="shared" si="635"/>
        <v>5</v>
      </c>
      <c r="GS288">
        <f>IF(B288="","",IFERROR(LOOKUP(INDEX(CHOOSE(EB288,Iдоп_1ж,Iдоп_2ж,Iдоп_3ж),MATCH(EN288,Iдоп_S,0))*DZ288*EA288,{6,10,16,20,25,32,40,50,63,80,100,125,160,200,250,315,400,500,630}),""))</f>
        <v>25</v>
      </c>
      <c r="GT288" t="str">
        <f t="shared" si="636"/>
        <v>QFD5</v>
      </c>
      <c r="GU288" t="str">
        <f t="shared" si="637"/>
        <v>QFD5</v>
      </c>
      <c r="GV288" t="str">
        <f t="shared" si="638"/>
        <v/>
      </c>
      <c r="GW288">
        <f t="shared" si="639"/>
        <v>0</v>
      </c>
      <c r="GX288" t="str">
        <f>IF(OR(B288="",DJ288=""),"",IFERROR(_xlfn.XLOOKUP(DJ288,Модули_умолч[Управление],Модули_умолч[Модель])&amp;"",""))</f>
        <v/>
      </c>
      <c r="GY288">
        <f>IF(DJ288="",1,IFERROR(MAX(0,N(_xlfn.XLOOKUP(DJ288,Модули_умолч[Управление],Модули_умолч[Каналов на линию]))),1))</f>
        <v>1</v>
      </c>
      <c r="GZ288" t="str">
        <f t="shared" si="640"/>
        <v/>
      </c>
      <c r="HA288" t="str">
        <f t="shared" si="641"/>
        <v/>
      </c>
      <c r="HB288" t="str">
        <f t="shared" si="642"/>
        <v/>
      </c>
      <c r="HC288">
        <f>IF(HB288="",0,IFERROR(N(VLOOKUP(HB288,Модули_спр,3,FALSE)),0))</f>
        <v>0</v>
      </c>
      <c r="HD288" t="str">
        <f t="shared" si="643"/>
        <v/>
      </c>
      <c r="HE288" t="str">
        <f t="shared" si="644"/>
        <v/>
      </c>
      <c r="HF288" t="str">
        <f>IF(OR(HE288="",HE288="-"),"",IFERROR(VLOOKUP(HE288,Модули_спр,2,FALSE),"R"))</f>
        <v/>
      </c>
      <c r="HG288" t="str">
        <f>IF(HF288="","",HF288&amp;"."&amp;COUNTIFS(A$3:A288,A288,HF$3:HF288,HF288))</f>
        <v/>
      </c>
      <c r="HH288" t="str">
        <f t="shared" si="645"/>
        <v/>
      </c>
      <c r="HI288" t="str">
        <f t="shared" si="646"/>
        <v/>
      </c>
      <c r="HJ288" t="str">
        <f t="shared" si="647"/>
        <v/>
      </c>
      <c r="HK288" t="str">
        <f t="shared" si="648"/>
        <v/>
      </c>
      <c r="HL288">
        <f t="shared" si="649"/>
        <v>1</v>
      </c>
      <c r="HM288" t="str">
        <f>IF(HL288=1,"XT"&amp;COUNTIFS(A$3:A288,A288,HL$3:HL288,1),"")</f>
        <v>XT5</v>
      </c>
      <c r="HN288" t="str">
        <f t="shared" si="650"/>
        <v>XT5</v>
      </c>
      <c r="HO288" t="str">
        <f t="shared" si="651"/>
        <v>QFD5</v>
      </c>
      <c r="HP288" t="str">
        <f t="shared" si="652"/>
        <v/>
      </c>
      <c r="HQ288" t="str">
        <f t="shared" si="653"/>
        <v>ok</v>
      </c>
      <c r="HR288" t="str">
        <f>IF(OR(HJ288="",HH288=""),"",IF(HJ288+MAX(0,GY288-1)&gt;IFERROR(VLOOKUP(HI288,Модули_спр,3,FALSE),99),"ЛИШНИЙ КАНАЛ",IF(AND(AL288&lt;&gt;"=",GY288&gt;0,COUNTIFS(Линии[_модуль гр.],HH288,Линии[Канал (итог)],HJ288,Линии[Канал],"&lt;&gt;=",Линии[Щит],A288)&gt;1),"ДУБЛЬ КАНАЛА","")))</f>
        <v/>
      </c>
      <c r="HS288" s="6" t="str">
        <f t="shared" si="654"/>
        <v/>
      </c>
      <c r="HT288">
        <f t="shared" si="655"/>
        <v>10</v>
      </c>
      <c r="HU288" t="str">
        <f t="shared" si="656"/>
        <v/>
      </c>
      <c r="HV288">
        <f t="shared" si="657"/>
        <v>0.59939268258329748</v>
      </c>
      <c r="HW288">
        <f t="shared" si="658"/>
        <v>0</v>
      </c>
      <c r="HX288">
        <f t="shared" si="659"/>
        <v>0</v>
      </c>
      <c r="HY288">
        <f t="shared" si="660"/>
        <v>0</v>
      </c>
      <c r="HZ288">
        <f t="shared" si="661"/>
        <v>0</v>
      </c>
      <c r="IA288">
        <f t="shared" si="662"/>
        <v>0</v>
      </c>
      <c r="IB288">
        <f t="shared" si="663"/>
        <v>0</v>
      </c>
      <c r="IC288" t="str">
        <f t="shared" si="664"/>
        <v/>
      </c>
      <c r="ID288" t="str" cm="1">
        <f t="array" ref="ID288">IF(IC288="","",_xlfn.LET(_xlpm.tk,_xlfn.TEXTSPLIT(SUBSTITUTE(SUBSTITUTE(IC288,";"," "),"→"," ")," ",,TRUE),_xlpm.w_,_xlfn._xlws.FILTER(_xlpm.tk,ISNUMBER(--LEFT(_xlpm.tk,1))*((ISNUMBER(SEARCH("W",_xlpm.tk))+ISNUMBER(SEARCH("Вт",_xlpm.tk)))&gt;0),""),IFERROR(--SUBSTITUTE(SUBSTITUTE(UPPER(INDEX(_xlpm.w_,1)),"W",""),"ВТ",""),"")))</f>
        <v/>
      </c>
      <c r="IE288" t="str" cm="1">
        <f t="array" ref="IE288">IF(IC288="","",_xlfn.LET(_xlpm.tk,_xlfn.TEXTSPLIT(SUBSTITUTE(SUBSTITUTE(IC288,";"," "),"→"," ")," ",,TRUE),_xlpm.v_,_xlfn._xlws.FILTER(_xlpm.tk,ISNUMBER(--LEFT(_xlpm.tk,1))*((ISNUMBER(SEARCH("V",_xlpm.tk))+(RIGHT(UPPER(_xlpm.tk))="В"))&gt;0),""),IFERROR(--SUBSTITUTE(SUBSTITUTE(UPPER(INDEX(_xlpm.v_,1)),"V",""),"В",""),"")))</f>
        <v/>
      </c>
      <c r="IF288" s="6" t="str">
        <f>IF(OR(BV288=0,HI288="",HJ288=""),"",IFERROR(N(_xlfn.XLOOKUP(HI288,Каталог!$C$4:$C$500,Каталог!$Q$4:$Q$500)),""))</f>
        <v/>
      </c>
      <c r="IG288" s="6" t="str">
        <f>IF(N(IF288)=0,"",SUMIFS(Линии[Iр, А],Линии[Щит],A288,Линии[_модуль гр.],HH288,Линии[Канал (итог)],HJ288))</f>
        <v/>
      </c>
      <c r="IH288" t="str">
        <f>IF(AND(B288="",HO288=""),"",_xlfn.TEXTJOIN("; ",TRUE,IF(AND(B288&lt;&gt;"",FV288=""),"нет фазы",""),IF(AND(B288&lt;&gt;"",N(GL288)=0,FG288&lt;&gt;"Нет"),"нет мощности",""),IF(AND(HN288&lt;&gt;"",COUNTIFS(Линии[Щит],A288,Линии[Клемма (итог)],HN288)&gt;1),"дубль клеммы "&amp;HN288,""),IF(AND(HQ288&lt;&gt;"",HQ288&lt;&gt;"ok"),HQ288,""),IF(HR288&lt;&gt;"",HR288,""),IF(AND(N(CB288)&gt;=4,N(BX288)=1),CB288&amp;" жил на 1 фазе",""),IF(AND(BC288="R",CG288=1,IF(CS288&lt;&gt;"",N(CV288)&gt;30,OR(N(DA288)=0,N(DA288)&gt;30))),"розетка без дифзащиты до 30 мА",""),IF(AND(CG288=1,N(DA288)&gt;0,ISNUMBER(T288)),IF(T288&gt;N(DA288)/3,"ток утечки "&amp;FIXED(T288,1)&amp;" мА &gt; 1/3 уставки ("&amp;DA288&amp;" мА)",""),""),IF(AND(CH288=1,CS288=""),"«узо»: нет строки с УЗО выше (УЗО 2P 40А 30мА в «Аппаратах»)",""),IF(AND(CS288&lt;&gt;"",CS288=BA288),IF(CT288="","впишите номинал УЗО (УЗО 2P 40А 30мА)",IF(N(CT288)&lt;N(DT288),"УЗО "&amp;CT288&amp;" А &lt; автомата "&amp;DT288&amp;" А перед ним",IF(N(CT288)&lt;N(CX288),"УЗО "&amp;CT288&amp;" А &lt; тока блока "&amp;FIXED(CX288,1)&amp;" А",""))),""),IF(AND(CS288&lt;&gt;"",CS288=BA288,ISNUMBER(CY288)),IF(CY288&gt;N(CV288)/3,"ток утечки блока УЗО "&amp;FIXED(CY288,1)&amp;" мА &gt; 1/3 уставки ("&amp;CV288&amp;" мА)",""),""),IF(AND(CG288=1,N(BV288)+N(IB288)&gt;0,IC288=""),"линии до 50 В без БП: впишите в «Аппараты» (БП 24V 480W)",""),IF(AND(CG288=1,ISNUMBER(ID288),ISNUMBER(U288)),IF(U288&gt;ID288,"БП "&amp;ID288&amp;" Вт &lt; нужно "&amp;U288&amp;" Вт (×"&amp;Запас_БП&amp;")",""),""),IF(AND(CG288=1,ISNUMBER(IE288),N(BV288)=1),IF(IE288&lt;&gt;N(BU288),"БП на "&amp;IE288&amp;" В, линия "&amp;BU288&amp;" В",""),""),IF(AND(N(IF288)&gt;0,N(IG288)&gt;N(IF288)),HH288&amp;" канал "&amp;HJ288&amp;": "&amp;FIXED(IG288,1)&amp;" А &gt; "&amp;IF288&amp;" А",""),IFERROR(IF(AND(ISNUMBER(Q288),Q288&gt;EL288),"потери "&amp;FIXED(Q288,1)&amp;" % &gt; "&amp;EL288&amp;" %",""),""),IFERROR(IF(LEFT(HU288,4)="мало","Iкз мало — отключение &gt; 0,4 с",""),""),IF(AND(B288&lt;&gt;"",BM288=""),"не на схеме",""),IF(AND(CG288=0,B288&lt;&gt;"",FV288&lt;&gt;"",IF(BA288=1,"",FW287)&lt;&gt;"",FV288&lt;&gt;IF(BA288=1,"",FW287)),"фаза не как у автомата группы ("&amp;IF(BA288=1,"",FW287)&amp;")","")))</f>
        <v/>
      </c>
      <c r="II288" s="6">
        <f>IF(OR(CG288=0,DQ288=""),"",_xlfn.LET(_xlpm.t,IFERROR(_xlfn.XLOOKUP(DQ288,Каталог!$U$4:$U$500,Каталог!$G$4:$G$500),""),_xlpm.k,SEARCH("кА",_xlpm.t),IFERROR(--TRIM(RIGHT(SUBSTITUTE(MID(_xlpm.t,MAX(1,_xlpm.k-4),_xlpm.k-MAX(1,_xlpm.k-4))," ",REPT(" ",9)),5)),"")))</f>
        <v>6</v>
      </c>
      <c r="IJ288" t="str">
        <f>IF(OR(II288="",CG288=0),"",IF(_xlfn.XLOOKUP(A288,Щиты[Щит],Щиты[Iкз max на шинах, кА],"")="","",IF(II288&lt;_xlfn.XLOOKUP(A288,Щиты[Щит],Щиты[Iкз max на шинах, кА]),"Icu "&amp;II288&amp;" кА &lt; Iкз max","ok")))</f>
        <v/>
      </c>
      <c r="IK288" t="str">
        <f t="shared" si="665"/>
        <v/>
      </c>
      <c r="IL288" t="str">
        <f t="shared" si="666"/>
        <v>QFD5|XT5</v>
      </c>
      <c r="IM288" t="str">
        <f t="shared" si="667"/>
        <v>QFD5|XT5|кабель ВВГнг(А)-LS (3х2,5) → Розеточная группа, пом. 006А</v>
      </c>
      <c r="IN288" t="str" cm="1">
        <f t="array" ref="IN288">IF(IM288="","",_xlfn.LET(_xlpm.nd,_xlfn.TEXTSPLIT(IM288,"|"),IF(COLUMNS(_xlpm.nd)&gt;1,A288&amp;"¦"&amp;INDEX(_xlpm.nd,1)&amp;"¦"&amp;INDEX(_xlpm.nd,2),"")))</f>
        <v>ЩР-2¦QFD5¦XT5</v>
      </c>
      <c r="IO288" t="str">
        <f t="shared" si="668"/>
        <v>R.2.006А.1¦Розеточная группа, пом. 006А</v>
      </c>
      <c r="IP288" t="str" cm="1">
        <f t="array" ref="IP288">IF(IM288="","",_xlfn.LET(_xlpm.nd,_xlfn.TEXTSPLIT(IM288,"|"),IF(COLUMNS(_xlpm.nd)&gt;2,A288&amp;"¦"&amp;INDEX(_xlpm.nd,2)&amp;"¦"&amp;INDEX(_xlpm.nd,3),"")))</f>
        <v>ЩР-2¦XT5¦кабель ВВГнг(А)-LS (3х2,5) → Розеточная группа, пом. 006А</v>
      </c>
      <c r="IQ288" t="str">
        <f t="shared" si="669"/>
        <v>R.2.006А.1¦Розеточная группа, пом. 006А</v>
      </c>
      <c r="IR288" t="str" cm="1">
        <f t="array" ref="IR288">IF(IM288="","",_xlfn.LET(_xlpm.nd,_xlfn.TEXTSPLIT(IM288,"|"),IF(COLUMNS(_xlpm.nd)&gt;3,A288&amp;"¦"&amp;INDEX(_xlpm.nd,3)&amp;"¦"&amp;INDEX(_xlpm.nd,4),"")))</f>
        <v/>
      </c>
      <c r="IS288" t="str">
        <f t="shared" si="670"/>
        <v/>
      </c>
      <c r="IT288" t="str" cm="1">
        <f t="array" ref="IT288">IF(IM288="","",_xlfn.LET(_xlpm.nd,_xlfn.TEXTSPLIT(IM288,"|"),IF(COLUMNS(_xlpm.nd)&gt;4,A288&amp;"¦"&amp;INDEX(_xlpm.nd,4)&amp;"¦"&amp;INDEX(_xlpm.nd,5),"")))</f>
        <v/>
      </c>
      <c r="IU288" t="str">
        <f t="shared" si="671"/>
        <v/>
      </c>
      <c r="IV288" t="str" cm="1">
        <f t="array" ref="IV288">IF(IM288="","",_xlfn.LET(_xlpm.nd,_xlfn.TEXTSPLIT(IM288,"|"),IF(COLUMNS(_xlpm.nd)&gt;5,A288&amp;"¦"&amp;INDEX(_xlpm.nd,5)&amp;"¦"&amp;INDEX(_xlpm.nd,6),"")))</f>
        <v/>
      </c>
      <c r="IW288" t="str">
        <f t="shared" si="672"/>
        <v/>
      </c>
      <c r="IX288" t="str" cm="1">
        <f t="array" ref="IX288">IF(IM288="","",_xlfn.LET(_xlpm.nd,_xlfn.TEXTSPLIT(IM288,"|"),IF(COLUMNS(_xlpm.nd)&gt;6,A288&amp;"¦"&amp;INDEX(_xlpm.nd,6)&amp;"¦"&amp;INDEX(_xlpm.nd,7),"")))</f>
        <v/>
      </c>
      <c r="IY288" t="str">
        <f t="shared" si="673"/>
        <v/>
      </c>
      <c r="IZ288" t="str">
        <f t="shared" si="674"/>
        <v/>
      </c>
      <c r="JA288" t="str">
        <f t="shared" si="675"/>
        <v>QFD5 → XT5</v>
      </c>
      <c r="JB288">
        <f t="shared" si="676"/>
        <v>0</v>
      </c>
      <c r="JC288">
        <f t="shared" si="677"/>
        <v>1</v>
      </c>
      <c r="JD288" t="str">
        <f t="shared" si="678"/>
        <v/>
      </c>
      <c r="JE288" t="str">
        <f t="shared" si="679"/>
        <v/>
      </c>
      <c r="JF288" t="str">
        <f t="shared" si="680"/>
        <v/>
      </c>
      <c r="JG288" t="str">
        <f t="shared" si="681"/>
        <v/>
      </c>
      <c r="JH288" t="str">
        <f>IF(B288="","",IFERROR(_xlfn.XLOOKUP(B288,Коды_код,Коды_уго),IFERROR(_xlfn.XLOOKUP(BC288,Коды_код,Коды_уго),IFERROR(_xlfn.XLOOKUP(LEFT(BC288,2),Коды_код,Коды_уго),""))))</f>
        <v>Розетка</v>
      </c>
      <c r="JI288" t="str">
        <f>IF(B288="","",IF(OR(JH288="",JH288=0),"BOX",IFERROR(IF(VLOOKUP(JH288,УГО_блоки,3,FALSE)&amp;""&lt;&gt;"",VLOOKUP(JH288,УГО_блоки,3,FALSE),VLOOKUP(JH288,УГО_блоки,2,FALSE)),JH288)))</f>
        <v>SOCKET</v>
      </c>
      <c r="JJ288">
        <f t="shared" si="682"/>
        <v>1</v>
      </c>
      <c r="JK288" t="str">
        <f>IF(DQ288="","",IF(COUNTIF(DQ$3:DQ288,DQ288)=1,MAX(JK$2:JK287)+1,""))</f>
        <v/>
      </c>
      <c r="JL288" t="str">
        <f>IF(DE288="","",IF(COUNTIF(DE$3:DE288,DE288)+COUNTIF(DF$2:DF287,DE288)+COUNTIF(DG$2:DG287,DE288)=1,MAX(JL$2:JN287)+1,""))</f>
        <v/>
      </c>
      <c r="JM288" t="str">
        <f>IF(DF288="","",IF(COUNTIF(DE$3:DE288,DF288)+COUNTIF(DF$3:DF288,DF288)+COUNTIF(DG$2:DG287,DF288)=1,MAX(JL$2:JN287,JL288)+1,""))</f>
        <v/>
      </c>
      <c r="JN288" t="str">
        <f>IF(DG288="","",IF(COUNTIF(DE$3:DE288,DG288)+COUNTIF(DF$3:DF288,DG288)+COUNTIF(DG$3:DG288,DG288)=1,MAX(JL$2:JN287,JL288,JM288)+1,""))</f>
        <v/>
      </c>
      <c r="JO288" t="str">
        <f t="shared" si="683"/>
        <v>3х2,5</v>
      </c>
      <c r="JP288" t="str">
        <f>IF(JO288="","",IF(COUNTIF(JO$3:JO288,JO288)=1,MAX(JP$2:JP287)+1,""))</f>
        <v/>
      </c>
      <c r="JQ288" t="str">
        <f>IF(HG288="","",COUNTIF(HG$3:HG288,"?*"))</f>
        <v/>
      </c>
      <c r="JR288" t="str">
        <f>IF(OR(HG288="",HI288=""),"",IF(COUNTIFS(HG$3:HG288,"?*",HI$3:HI288,HI288)=1,MAX(JR$2:JR287)+1,""))</f>
        <v/>
      </c>
      <c r="JS288">
        <f t="shared" si="684"/>
        <v>0</v>
      </c>
      <c r="JT288">
        <f>IF(B288="","",COUNTIF(B$3:B288,"?*"))</f>
        <v>286</v>
      </c>
      <c r="JU288">
        <f>IF(HL288&lt;&gt;1,0,_xlfn.LET(_xlpm.k,MAX(IFERROR(--_xlfn.XLOOKUP(B288,Коды_код,Коды_3L),0),IFERROR(--_xlfn.XLOOKUP(BC288,Коды_код,Коды_3L),0),IFERROR(--_xlfn.XLOOKUP(LEFT(BC288,2),Коды_код,Коды_3L),0)),IF(_xlpm.k&gt;0,_xlpm.k,IF(IFERROR(--LEFT(SUBSTITUTE(JO288,"x","х"),FIND("х",SUBSTITUTE(JO288,"x","х"))-1),3)&gt;3,Каталог!$S$9,1))))</f>
        <v>1</v>
      </c>
      <c r="JV288">
        <f t="shared" si="685"/>
        <v>0</v>
      </c>
      <c r="JW288" t="str">
        <f t="shared" si="686"/>
        <v>авто</v>
      </c>
      <c r="JX288">
        <f t="shared" si="687"/>
        <v>30</v>
      </c>
      <c r="JY288">
        <f t="shared" si="688"/>
        <v>1</v>
      </c>
      <c r="JZ288">
        <f t="shared" si="689"/>
        <v>1</v>
      </c>
    </row>
    <row r="289" spans="1:286" x14ac:dyDescent="0.3">
      <c r="A289" t="s">
        <v>759</v>
      </c>
      <c r="B289" t="s">
        <v>1594</v>
      </c>
      <c r="C289" t="str">
        <f>Линии[[#This Row],[_авто наименование]]</f>
        <v>Розеточная группа, пом. 009А</v>
      </c>
      <c r="D289">
        <v>4</v>
      </c>
      <c r="E289">
        <v>0.36</v>
      </c>
      <c r="G289">
        <v>16</v>
      </c>
      <c r="H289" t="str">
        <f>Линии[[#This Row],[_авто управление]]</f>
        <v/>
      </c>
      <c r="I289" t="str">
        <f>Линии[[#This Row],[_авто аппараты]]</f>
        <v/>
      </c>
      <c r="J289">
        <v>2.5</v>
      </c>
      <c r="K289">
        <v>37</v>
      </c>
      <c r="L289">
        <v>3</v>
      </c>
      <c r="M289" t="str">
        <f>Линии[[#This Row],[_авто клемма]]</f>
        <v>XT6</v>
      </c>
      <c r="N289" t="str">
        <f t="shared" si="552"/>
        <v/>
      </c>
      <c r="O289" s="6" cm="1">
        <f t="array" ref="O289">IF(B289="","",IF(BH289&lt;&gt;"",IFERROR(_xlfn.XLOOKUP(BH289,Щиты[Щит],Щиты[Iр, А]),""),IF(BP289=1,IF(OR(N(_xlfn.XLOOKUP(A289,Щиты[Щит],Щиты[Вводов],1))&lt;=1,LOWER(TRIM(_xlfn.XLOOKUP(A289,Щиты[Щит],Щиты[АВР],"")&amp;""))="да"),IFERROR(_xlfn.XLOOKUP(A289,Щиты[Щит],Щиты[Iр, А]),""),IFERROR(N(BS289)*_xlfn.XLOOKUP(A289,Щиты[Щит],Щиты[Кс итог])/(SQRT(3)*Uн_лин*_xlfn.XLOOKUP(A289,Щиты[Щит],Щиты[cos φ])),"")),IF(BV289=1,IFERROR(BS289*1000/BU289,""),IFERROR(_xlfn.IFS(BX289=1,BS289/((Uн_лин/SQRT(3))*CE289),BX289=3,BS289/(SQRT(3)*Uн_лин*CE289)),"")))))</f>
        <v>1.6408902387494626</v>
      </c>
      <c r="P289" s="7">
        <f>IF(B289="","",IFERROR(IF(VLOOKUP(BC289,Потребители_обозначение,4,FALSE)=1,VLOOKUP(BC289,Потребители_обозначение,3,FALSE)*(MAX(1,N(D289))*2-1)+EI289+VLOOKUP(BE289,Этаж_обозначение,3,FALSE)+VLOOKUP(BE289,Этаж_обозначение,4,FALSE),VLOOKUP(BC289,Потребители_обозначение,3,FALSE)*(MAX(1,N(D289))*2-1)+EI289),EI289))</f>
        <v>58</v>
      </c>
      <c r="Q289" s="6">
        <f t="shared" si="553"/>
        <v>2.5</v>
      </c>
      <c r="R289" t="str">
        <f t="shared" si="554"/>
        <v>ВВГнг(А)-LS (3х2,5)</v>
      </c>
      <c r="S289" t="str">
        <f>IF(BM289="","",IF(BN289="вводной узел","узел ","")&amp;"л."&amp;(INT((BM289-1)/Столбцов_на_лист)+1)&amp;" / "&amp;(MOD(BM289-1,Столбцов_на_лист)+1))</f>
        <v>л.1 / 14</v>
      </c>
      <c r="T289" s="119">
        <f t="shared" si="555"/>
        <v>1.2</v>
      </c>
      <c r="U289" s="7" t="str">
        <f>IF(OR(CG289=0,N(BV289)+N(IB289)=0),"",ROUNDUP(Запас_БП*(N(HY289)+N(HZ289)),0))</f>
        <v/>
      </c>
      <c r="V289" s="119" t="str">
        <f t="shared" si="556"/>
        <v/>
      </c>
      <c r="W289" s="7" t="str">
        <f>IFERROR(IF(OR(B289="",BP289=1,BV289=1,NOT(ISNUMBER(EN289)),N(DT289)=0),"",MAX(0,ROUNDDOWN((c_min*(Uн_лин*1000/SQRT(3))/(HT289*N(DT289))-_xlfn.XLOOKUP(A289,Щиты[Щит],Щиты[Zпетли на шинах, Ом]))*EN289/(2*ρкз_Cu),0))),"")</f>
        <v/>
      </c>
      <c r="Y289">
        <f>Линии[[#This Row],[_авто утечка]]</f>
        <v>30</v>
      </c>
      <c r="Z289">
        <v>1</v>
      </c>
      <c r="AA289">
        <v>230</v>
      </c>
      <c r="AB289" t="s">
        <v>562</v>
      </c>
      <c r="AG289" t="s">
        <v>810</v>
      </c>
      <c r="AI289" t="s">
        <v>561</v>
      </c>
      <c r="AK289" t="str">
        <f>Линии[[#This Row],[_авто модуль]]</f>
        <v/>
      </c>
      <c r="AM289">
        <v>14</v>
      </c>
      <c r="AN289" t="s">
        <v>11</v>
      </c>
      <c r="AO289">
        <v>3</v>
      </c>
      <c r="AQ289">
        <v>12</v>
      </c>
      <c r="AR289">
        <v>40</v>
      </c>
      <c r="AS289">
        <v>10</v>
      </c>
      <c r="AT289">
        <v>1</v>
      </c>
      <c r="BA289" cm="1">
        <f t="array" ref="BA289">ROW()-ROW(Линии[#Headers])</f>
        <v>287</v>
      </c>
      <c r="BC289" s="6" t="str">
        <f t="shared" si="557"/>
        <v>R</v>
      </c>
      <c r="BD289" t="str">
        <f t="shared" si="558"/>
        <v>2.009А.1</v>
      </c>
      <c r="BE289" t="str">
        <f t="shared" si="559"/>
        <v>2</v>
      </c>
      <c r="BF289" t="str">
        <f t="shared" si="560"/>
        <v>009А.1</v>
      </c>
      <c r="BG289" t="str">
        <f t="shared" si="561"/>
        <v>009А</v>
      </c>
      <c r="BH289" t="str">
        <f>IF(X289&lt;&gt;"",X289,IF(AND(B289&lt;&gt;"",B289&lt;&gt;A289,ISNUMBER(_xlfn.XMATCH(B289,Щиты[Щит]))),B289,""))</f>
        <v/>
      </c>
      <c r="BI289" t="str" cm="1">
        <f t="array" ref="BI289">IF(B289="","",IF(BH289&lt;&gt;"","Щит "&amp;BH289,_xlfn.LET(_xlpm.nm,IFERROR(_xlfn.XLOOKUP(BC289,Коды_код,Коды_имя)&amp;"",""),_xlpm.md,IFERROR(N(_xlfn.XLOOKUP(BC289,Коды_код,Коды_режим)),1),_xlpm.ex,IF(Имя_режим="по экспликации",IFERROR(_xlfn.XLOOKUP(BE289&amp;"|"&amp;BG289,Экспликация[Этаж]&amp;"|"&amp;Экспликация[Помещение],Экспликация[Название])&amp;"",""),""),_xlpm.rm,IF(BG289="","",IF(_xlpm.ex&lt;&gt;"",". "&amp;_xlpm.ex&amp;IF(Имя_пом="нет"," ("&amp;BG289&amp;")"," (пом. "&amp;BG289&amp;")"),IF(Имя_пом="нет"," ",", пом. ")&amp;BG289)),IF(_xlpm.nm="","",IF(_xlpm.md=2,_xlpm.nm&amp;" шлейф "&amp;BE289,_xlpm.nm&amp;_xlpm.rm)))))</f>
        <v>Розеточная группа, пом. 009А</v>
      </c>
      <c r="BJ289" t="str">
        <f t="shared" si="562"/>
        <v>Розеточная группа, пом. 009А</v>
      </c>
      <c r="BK289">
        <f>IFERROR(_xlfn.XMATCH(A289,Щиты[Щит]),0)</f>
        <v>11</v>
      </c>
      <c r="BL289">
        <f>_xlfn.LET(_xlpm.k,IFERROR(_xlfn.XLOOKUP(A289,Щиты[Щит],Щиты[Мест под вводной узел]),""),IF(_xlpm.k="",Столбцов_на_лист,N(_xlpm.k)))</f>
        <v>8</v>
      </c>
      <c r="BM289">
        <f t="shared" si="563"/>
        <v>14</v>
      </c>
      <c r="BN289" t="str">
        <f t="shared" si="564"/>
        <v>линии</v>
      </c>
      <c r="BO289" s="6">
        <f>IFERROR(N(_xlfn.XLOOKUP(BC289,Коды_код,Коды_квт)),0)</f>
        <v>0</v>
      </c>
      <c r="BP289">
        <f t="shared" si="565"/>
        <v>0</v>
      </c>
      <c r="BQ289" t="str">
        <f>IF(B289="","",IF(BH289&lt;&gt;"",IFERROR(_xlfn.XLOOKUP(BH289,Щиты[Щит],Щиты[Руст, кВт]),0),IF(BP289=1,IF(OR(N(_xlfn.XLOOKUP(A289,Щиты[Щит],Щиты[Вводов],1))&lt;=1,LOWER(TRIM(_xlfn.XLOOKUP(A289,Щиты[Щит],Щиты[АВР],"")&amp;""))="да"),IFERROR(_xlfn.XLOOKUP(A289,Щиты[Щит],Щиты[Руст, кВт]),0),SUMIFS(Линии[_Р для вводов],Линии[Щит],A289,Линии[Источник для режимов],GF289)),IF(BO289&gt;0,ROUND(BO289*MAX(1,N(D289)),3),""))))</f>
        <v/>
      </c>
      <c r="BR289">
        <f t="shared" si="566"/>
        <v>0.36</v>
      </c>
      <c r="BS289" s="6">
        <f>IF(B289="","",IF(BH289&lt;&gt;"",IFERROR(_xlfn.XLOOKUP(BH289,Щиты[Щит],Щиты[Руст, кВт]),0),N(BR289)))</f>
        <v>0.36</v>
      </c>
      <c r="BT289" t="str">
        <f>IF(B289="","",IFERROR(IF(VLOOKUP(BC289,Потребители_обозначение,8,FALSE)=0,"",VLOOKUP(BC289,Потребители_обозначение,8,FALSE)),""))</f>
        <v/>
      </c>
      <c r="BU289">
        <f t="shared" si="567"/>
        <v>230</v>
      </c>
      <c r="BV289">
        <f t="shared" si="568"/>
        <v>0</v>
      </c>
      <c r="BW289">
        <f>IF(B289="","",IF(BH289&lt;&gt;"",3,IFERROR(IF(N(VLOOKUP(BC289,Потребители_обозначение,9,FALSE))=0,1,VLOOKUP(BC289,Потребители_обозначение,9,FALSE)),1)))</f>
        <v>1</v>
      </c>
      <c r="BX289">
        <f t="shared" si="569"/>
        <v>1</v>
      </c>
      <c r="BY289" t="str">
        <f>IF(B289="","",_xlfn.LET(_xlpm.bc,IFERROR(IF(VLOOKUP(BC289,Потребители_обозначение,6,FALSE)=0,"",VLOOKUP(BC289,Потребители_обозначение,6,FALSE)&amp;""),""),IF(AND(GA289="да",OR(_xlpm.bc="",_xlpm.bc="мс")),Марка_пож,IF(AND(_xlpm.bc="",BH289&lt;&gt;""),"мс",_xlpm.bc))))</f>
        <v/>
      </c>
      <c r="BZ289" t="str">
        <f t="shared" si="570"/>
        <v>мс</v>
      </c>
      <c r="CA289">
        <f>IF(B289="","",_xlfn.LET(_xlpm.cc,IFERROR(N(VLOOKUP(BC289,Потребители_обозначение,7,FALSE)),0),IF(_xlpm.cc&gt;0,_xlpm.cc,IF(BZ289="","",IF(BV289=1,2,IF(N(BX289)=3,5,3))))))</f>
        <v>3</v>
      </c>
      <c r="CB289">
        <f t="shared" si="571"/>
        <v>3</v>
      </c>
      <c r="CC289">
        <f>IFERROR(N(VLOOKUP(BC289,Потребители_обозначение,10,FALSE)),0)</f>
        <v>0</v>
      </c>
      <c r="CD289">
        <f>IFERROR(VLOOKUP(BC289,Потребители_обозначение,5,FALSE),0)</f>
        <v>1</v>
      </c>
      <c r="CE289" s="6" cm="1">
        <f t="array" ref="CE289">IF(B289="","",IF(BH289&lt;&gt;"",IFERROR(_xlfn.XLOOKUP(BH289,Щиты[Щит],Щиты[cos φ]),0.95),IF(BP289=1,IFERROR(_xlfn.XLOOKUP(A289,Щиты[Щит],Щиты[cos φ]),0.95),IF(ISNUMBER(AD289),AD289,IFERROR(IF(CD289=2,_xlfn.IFS(BX289=3,VLOOKUP(BS289,Справочная_двигатели,8,FALSE),BX289=1,VLOOKUP(BS289,Справочная_двигатели,10,TRUE)),IF(AND(Методика="нормы 2026",FG289="Сил"),0.8,0.95)),0.95)))))</f>
        <v>0.95</v>
      </c>
      <c r="CF289">
        <f t="shared" si="572"/>
        <v>0</v>
      </c>
      <c r="CG289">
        <f t="shared" si="573"/>
        <v>1</v>
      </c>
      <c r="CH289">
        <f t="shared" si="574"/>
        <v>0</v>
      </c>
      <c r="CI289">
        <f>IF(B289="","",IF(BV289=1,IFERROR(BS289/((Uн_лин/SQRT(3))*MAX(0.5,N(CE289))),0),N(O289)))</f>
        <v>1.6408902387494626</v>
      </c>
      <c r="CJ289">
        <f t="shared" si="575"/>
        <v>0</v>
      </c>
      <c r="CK289">
        <f t="shared" si="576"/>
        <v>0</v>
      </c>
      <c r="CL289">
        <f t="shared" si="577"/>
        <v>0</v>
      </c>
      <c r="CM289">
        <f t="shared" si="578"/>
        <v>0</v>
      </c>
      <c r="CN289">
        <f t="shared" si="579"/>
        <v>0</v>
      </c>
      <c r="CO289">
        <f>IF(BC289="",0,_xlfn.LET(_xlpm.v,IFERROR(_xlfn.XLOOKUP(B289,Коды_код,Коды_мА),IFERROR(_xlfn.XLOOKUP(BC289,Коды_код,Коды_мА),IFERROR(_xlfn.XLOOKUP(LEFT(BC289,2),Коды_код,Коды_мА),""))),IF(_xlpm.v="да",30,IF(ISNUMBER(_xlpm.v),_xlpm.v,0))))</f>
        <v>30</v>
      </c>
      <c r="CP289">
        <f t="shared" si="580"/>
        <v>30</v>
      </c>
      <c r="CQ289" t="str">
        <f>_xlfn.LET(_xlpm.k,IFERROR(_xlfn.XLOOKUP(BC289,Коды_код,Коды_утечка)&amp;"",""),IF(_xlpm.k="","дифавтомат",_xlpm.k))</f>
        <v>дифавтомат</v>
      </c>
      <c r="CR289" t="str" cm="1">
        <f t="array" ref="CR289">IF(CG289=0,"",_xlfn.LET(_xlpm.sg,TRIM(_xlfn.TEXTSPLIT(DD289&amp;"",";")),_xlpm.f_,_xlfn._xlws.FILTER(_xlpm.sg,LEFT(_xlpm.sg,3)="УЗО",""),IFERROR(INDEX(_xlpm.f_,1)&amp;"","")))</f>
        <v/>
      </c>
      <c r="CS289" t="str">
        <f t="shared" si="581"/>
        <v/>
      </c>
      <c r="CT289" s="6" t="str" cm="1">
        <f t="array" ref="CT289">IF(CR289="","",_xlfn.LET(_xlpm.tk,_xlfn.TEXTSPLIT(UPPER(CR289)," ",,TRUE),_xlpm.a_,_xlfn._xlws.FILTER(_xlpm.tk,ISNUMBER(--LEFT(_xlpm.tk,1))*((ISNUMBER(SEARCH("А",_xlpm.tk))+ISNUMBER(SEARCH("A",_xlpm.tk)))&gt;0)*NOT(ISNUMBER(SEARCH("МА",_xlpm.tk)))*NOT(ISNUMBER(SEARCH("MA",_xlpm.tk))),""),IFERROR(--SUBSTITUTE(SUBSTITUTE(INDEX(_xlpm.a_,1),"А",""),"A",""),"")))</f>
        <v/>
      </c>
      <c r="CU289" t="str" cm="1">
        <f t="array" ref="CU289">IF(CR289="","",_xlfn.LET(_xlpm.tk,_xlfn.TEXTSPLIT(UPPER(CR289)," ",,TRUE),_xlpm.a_,_xlfn._xlws.FILTER(_xlpm.tk,ISNUMBER(--LEFT(_xlpm.tk,1))*((ISNUMBER(SEARCH("МА",_xlpm.tk))+ISNUMBER(SEARCH("MA",_xlpm.tk)))&gt;0),""),IFERROR(--SUBSTITUTE(SUBSTITUTE(INDEX(_xlpm.a_,1),"МА",""),"MA",""),30)))</f>
        <v/>
      </c>
      <c r="CV289" t="str">
        <f>IF(CS289="","",IFERROR(_xlfn.XLOOKUP(CS289,Линии[_n],Линии[_УЗО, мА]),30))</f>
        <v/>
      </c>
      <c r="CW289">
        <f>IF(CS289="",0,IF(ISNUMBER(SEARCH("4P",IFERROR(_xlfn.XLOOKUP(CS289,Линии[_n],Линии[_УЗО строки])&amp;"",""))),0,1))</f>
        <v>0</v>
      </c>
      <c r="CX289" t="str">
        <f>IF(AND(CS289&lt;&gt;"",CS289=BA289),SUMIFS(Линии[_ток на 230 В],Линии[_блок УЗО],BA289,Линии[Щит],A289),"")</f>
        <v/>
      </c>
      <c r="CY289" t="str">
        <f>IF(AND(CS289&lt;&gt;"",CS289=BA289),SUMIFS(Линии[_ток утечки линии, мА],Линии[_блок УЗО],BA289,Линии[Щит],A289),"")</f>
        <v/>
      </c>
      <c r="CZ289">
        <f t="shared" si="582"/>
        <v>30</v>
      </c>
      <c r="DA289">
        <f t="shared" si="583"/>
        <v>30</v>
      </c>
      <c r="DB289">
        <f>IF(B289="",0,IFERROR(--_xlfn.XLOOKUP(B289,Коды_код,Коды_минавт),IFERROR(--_xlfn.XLOOKUP(BC289,Коды_код,Коды_минавт),IFERROR(--_xlfn.XLOOKUP(LEFT(BC289,2),Коды_код,Коды_минавт),0))))</f>
        <v>16</v>
      </c>
      <c r="DC289" t="str">
        <f>IF(B289="","",IFERROR(_xlfn.XLOOKUP(BC289,Коды_код,Коды_апп)&amp;"",""))</f>
        <v/>
      </c>
      <c r="DD289" t="str">
        <f t="shared" si="584"/>
        <v/>
      </c>
      <c r="DE289" t="str" cm="1">
        <f t="array" ref="DE289">IF(TRIM(DD289&amp;"")="","",IFERROR(TRIM(INDEX(_xlfn.TEXTSPLIT(DD289&amp;";;;",";"),1)),""))</f>
        <v/>
      </c>
      <c r="DF289" t="str" cm="1">
        <f t="array" ref="DF289">IF(TRIM(DD289&amp;"")="","",IFERROR(TRIM(INDEX(_xlfn.TEXTSPLIT(DD289&amp;";;;",";"),2)),""))</f>
        <v/>
      </c>
      <c r="DG289" t="str" cm="1">
        <f t="array" ref="DG289">IF(TRIM(DD289&amp;"")="","",IFERROR(TRIM(INDEX(_xlfn.TEXTSPLIT(DD289&amp;";;;",";"),3)),""))</f>
        <v/>
      </c>
      <c r="DH289">
        <f t="shared" si="585"/>
        <v>0</v>
      </c>
      <c r="DI289" t="str">
        <f>IF(B289="","",_xlfn.LET(_xlpm.t,LOWER(AZ289&amp;""),IF(ISNUMBER(SEARCH("dim",_xlpm.t)),"DIM",IF(ISNUMBER(SEARCH("dali",_xlpm.t)),"DALI",IF(OR(ISNUMBER(SEARCH("relay",_xlpm.t)),ISNUMBER(SEARCH("реле",_xlpm.t))),"Relay",IF(ISNUMBER(SEARCH("кнопк",_xlpm.t)),"",IFERROR(_xlfn.XLOOKUP(BC289,Коды_код,Коды_упр)&amp;"","")))))))</f>
        <v/>
      </c>
      <c r="DJ289" t="str">
        <f t="shared" si="586"/>
        <v/>
      </c>
      <c r="DK289">
        <f>IF(B289="","",_xlfn.LET(_xlpm.ig,IF(N(CX289)&gt;0,N(CX289),N(CI289)+IF(AJ289="вручную",0,N(CJ289))),_xlpm.n0,IFERROR(VLOOKUP(_xlpm.ig,Автомат_номиналы,2,TRUE),0),_xlpm.mn,MAX(DB289,IF(AJ289="вручную",0,N(CM289))),MAX(_xlpm.n0,_xlpm.mn,IF(DH289=1,Мин_автомат_БП,0))))</f>
        <v>16</v>
      </c>
      <c r="DL289">
        <f t="shared" si="587"/>
        <v>1</v>
      </c>
      <c r="DM289" t="str">
        <f t="shared" si="588"/>
        <v>2P</v>
      </c>
      <c r="DN289" t="str">
        <f>_xlfn.LET(_xlpm.cc,UPPER(TRIM(IFERROR(_xlfn.XLOOKUP(BC289,Коды_код,Коды_хар)&amp;"",""))),IF(OR(_xlpm.cc="B",_xlpm.cc="В"),"B",IF(_xlpm.cc="D","D","С")))</f>
        <v>С</v>
      </c>
      <c r="DO289" t="str">
        <f t="shared" si="589"/>
        <v>2P С16А 30мА</v>
      </c>
      <c r="DP289">
        <f t="shared" si="590"/>
        <v>16</v>
      </c>
      <c r="DQ289" t="str">
        <f t="shared" si="591"/>
        <v>2P С16А 30мА</v>
      </c>
      <c r="DR289" cm="1">
        <f t="array" ref="DR289">IF(DQ289="","",_xlfn.LET(_xlpm.t,SUBSTITUTE(SUBSTITUTE(SUBSTITUTE(UPPER(DQ289),"С","C"),"А","A"),"В","B"),_xlpm.tk,_xlfn.TEXTSPLIT(_xlpm.t," "),_xlpm.f,_xlfn._xlws.FILTER(_xlpm.tk,ISNUMBER(--MID(_xlpm.tk,2,1))*ISNUMBER(SEARCH(LEFT(_xlpm.tk,1)&amp;"#","B#C#D#"))*(LEN(_xlpm.tk)&gt;1),""),_xlpm.x,INDEX(_xlpm.f,1),IFERROR(--SUBSTITUTE(MID(_xlpm.x,2,9),"A",""),IFERROR(--SUBSTITUTE(INDEX(_xlfn._xlws.FILTER(_xlpm.tk,ISNUMBER(--SUBSTITUTE(_xlpm.tk,"A","")),""),1),"A",""),""))))</f>
        <v>16</v>
      </c>
      <c r="DS289" t="str">
        <f t="shared" si="592"/>
        <v>ok</v>
      </c>
      <c r="DT289">
        <f t="shared" si="593"/>
        <v>16</v>
      </c>
      <c r="DU289" t="str">
        <f t="shared" si="594"/>
        <v>2P С16А 30мА</v>
      </c>
      <c r="DV289">
        <f t="shared" si="595"/>
        <v>30</v>
      </c>
      <c r="DW289">
        <f t="shared" si="596"/>
        <v>1</v>
      </c>
      <c r="DX289">
        <f t="shared" si="597"/>
        <v>0</v>
      </c>
      <c r="DY289">
        <f t="shared" si="598"/>
        <v>1.6408902387494626</v>
      </c>
      <c r="DZ289">
        <f t="shared" si="599"/>
        <v>1</v>
      </c>
      <c r="EA289">
        <f>IF(ISNUMBER(AP289),AP289,К_прокл)</f>
        <v>1</v>
      </c>
      <c r="EB289">
        <f t="shared" si="600"/>
        <v>2</v>
      </c>
      <c r="EC289">
        <f>IFERROR(N(VLOOKUP(BZ289,Кабель_обозначение,3,FALSE)),1)</f>
        <v>1</v>
      </c>
      <c r="ED289">
        <f>IFERROR(N(_xlfn.XLOOKUP(A289,Щиты[Щит],Щиты[ΔU до шин, %])),0)</f>
        <v>1.79</v>
      </c>
      <c r="EE289" t="str">
        <f>IFERROR(_xlfn.XLOOKUP(A289,Щиты[Щит],Щиты[Zпетли на шинах, Ом]),"")</f>
        <v/>
      </c>
      <c r="EF289">
        <f>IFERROR(N(_xlfn.XLOOKUP(A289,Щиты[Щит],Щиты[ΔU до шин (подбор), %])),0)</f>
        <v>4.75</v>
      </c>
      <c r="EG289" t="str">
        <f>IFERROR(_xlfn.XLOOKUP(A289,Щиты[Щит],Щиты[Zпетли на шинах (подбор), Ом]),"")</f>
        <v/>
      </c>
      <c r="EH289" t="str">
        <f t="shared" si="601"/>
        <v/>
      </c>
      <c r="EI289">
        <f t="shared" si="602"/>
        <v>37</v>
      </c>
      <c r="EJ289">
        <f t="shared" si="603"/>
        <v>2</v>
      </c>
      <c r="EK289">
        <f t="shared" si="604"/>
        <v>0.31</v>
      </c>
      <c r="EL289" s="6">
        <f>IF(B289="","",IF(BV289=1,dU_LED,IF(IFERROR(_xlfn.XLOOKUP(BC289,Коды_код,Коды_уго),"")="Светильник",3,4)+IF(Методика="нормы 2026",MIN(0.5,MAX(0,N(P289)-100)*0.005),0)))</f>
        <v>4</v>
      </c>
      <c r="EM289" t="str" cm="1">
        <f t="array" ref="EM289">IF(OR(B289="",BZ289="",EC289&lt;&gt;1),"",_xlfn.LET(_xlpm.sz,Iдоп_S,_xlpm.t_,CHOOSE(EB289,Iдоп_1ж,Iдоп_2ж,Iдоп_3ж)*DZ289*EA289,_xlpm.dcx,BV289=1,_xlpm.inn,IF(_xlpm.dcx,N(O289),N(DT289)),_xlpm.smin,MAX(1.5,CC289),_xlpm.L_,N(P289)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289)/N(BU289)*100,999),IFERROR(N(EJ289)*(_xlpm.rho*_xlpm.L_/_xlpm.sz*N(CE289)+_xlpm.xx*_xlpm.L_*N(EK289)/1000)*N(O289)/((Uн_лин/SQRT(3))*1000)*100,999)),_xlpm.kz,IF(OR(_xlpm.dcx,DW289=1,NOT(ISNUMBER(EG289)),_xlpm.L_=0,_xlpm.inn=0),1,IFERROR(--(c_min*(Uн_лин*1000/SQRT(3))/(EG289+2*ρкз_Cu*_xlpm.L_/_xlpm.sz)&gt;=HT289*_xlpm.inn),0)),_xlpm.ok,IFERROR((_xlpm.sz&gt;=_xlpm.smin)*(_xlpm.t_&gt;=_xlpm.inn)*IF(_xlpm.L_&gt;0,(_xlpm.du_+IF(_xlpm.dcx,0,EF289)&lt;=EL289+0.00001),1)*_xlpm.kz,0),_xlpm.r_,_xlfn._xlws.FILTER(_xlpm.sz,_xlpm.ok,"не подобрано"),INDEX(_xlpm.r_,1)))</f>
        <v>не подобрано</v>
      </c>
      <c r="EN289">
        <f t="shared" si="605"/>
        <v>2.5</v>
      </c>
      <c r="EO289" cm="1">
        <f t="array" ref="EO289">IF(OR(B289="",BZ289="",EC289&lt;&gt;1),"",_xlfn.LET(_xlpm.sz,Iдоп_S,_xlpm.t_,CHOOSE(EB289,Iдоп_1ж,Iдоп_2ж,Iдоп_3ж)*DZ289*EA289,_xlpm.ok,IFERROR((_xlpm.sz&gt;=MAX(1.5,CC289))*(_xlpm.t_&gt;=N(DT289)),0),_xlpm.r_,_xlfn._xlws.FILTER(_xlpm.sz,_xlpm.ok,""),INDEX(_xlpm.r_,1)))</f>
        <v>1.5</v>
      </c>
      <c r="EP289" s="6" cm="1">
        <f t="array" ref="EP289">IFERROR(ROUNDUP(N(EJ289)*(_xlfn.XLOOKUP(EO289,INDEX(Кабель_сопротивление,0,1),INDEX(Кабель_сопротивление,0,3))*N(P289)/EO289*N(CE289)+_xlfn.XLOOKUP(EO289,INDEX(Кабель_сопротивление,0,1),INDEX(Кабель_сопротивление,0,2))*N(P289)*N(EK289)/1000)*N(O289)/((Uн_лин/SQRT(3))*1000)*100,2),"")</f>
        <v>1.18</v>
      </c>
      <c r="EQ289">
        <f>IFERROR(2*ρкз_Cu*N(P289)/EO289,"")</f>
        <v>2.0338666666666669</v>
      </c>
      <c r="ER289">
        <f>IFERROR(VLOOKUP(EN289,Кабель_сопротивление,3,FALSE),"")</f>
        <v>2.2499999999999999E-2</v>
      </c>
      <c r="ES289">
        <f>IFERROR(VLOOKUP(EN289,Кабель_сопротивление,2,FALSE),"")</f>
        <v>0.1</v>
      </c>
      <c r="ET289">
        <f t="shared" si="606"/>
        <v>40</v>
      </c>
      <c r="EU289">
        <f t="shared" si="607"/>
        <v>10</v>
      </c>
      <c r="EV289">
        <f t="shared" si="608"/>
        <v>1.6333355800902603</v>
      </c>
      <c r="EW289" s="6">
        <f>IFERROR(ROUNDUP(EV289/IF(BV289=1,BU289,(Uн_лин/SQRT(3))*1000)*100,2),"")</f>
        <v>0.71</v>
      </c>
      <c r="EX289" t="str">
        <f>IFERROR(VLOOKUP(BZ289,Кабель_обозначение,2,FALSE),"")</f>
        <v>ВВГнг(А)-LS</v>
      </c>
      <c r="EY289" t="str">
        <f t="shared" si="609"/>
        <v>ВВГнг(А)-LS (3х2,5)</v>
      </c>
      <c r="EZ289" t="str">
        <f t="shared" si="610"/>
        <v>ВВГнг(А)-LS (3х2,5)
L=58-0,71%</v>
      </c>
      <c r="FA289">
        <f>IFERROR(2*ρкз_Cu*P289/EN289,"")</f>
        <v>1.2203200000000001</v>
      </c>
      <c r="FB289">
        <f t="shared" si="611"/>
        <v>0.40600000000000003</v>
      </c>
      <c r="FC289" s="6" t="str">
        <f>IFERROR(IF(OR(B289="",BV289=1,NOT(ISNUMBER(EN289)),N(P289)=0),"",_xlfn.XLOOKUP(A289,Щиты[Щит],Щиты[Zпетли на шинах, Ом])+FA289),"")</f>
        <v/>
      </c>
      <c r="FD289" s="6" t="str">
        <f>IF(ISNUMBER(FC289),c_min*(Uн_лин*1000/SQRT(3))/FC289,"")</f>
        <v/>
      </c>
      <c r="FE289" s="6" t="str">
        <f>IFERROR(IF(OR(B289="",NOT(ISNUMBER(EN289))),"",1.05*(Uн_лин*1000/SQRT(3))/(_xlfn.XLOOKUP(A289,Щиты[Щит],Щиты[Zmax на шинах, Ом])+FB289)/1000),"")</f>
        <v/>
      </c>
      <c r="FF289" s="6" t="str">
        <f>IF(B289="","",IF(ISNUMBER(AC289),"Сил",IF(IFERROR(_xlfn.XLOOKUP(BC289,Коды_код,Коды_группа)&amp;"","")="","Быт",_xlfn.XLOOKUP(BC289,Коды_код,Коды_группа)&amp;"")))</f>
        <v>Быт</v>
      </c>
      <c r="FG289" s="6" t="str">
        <f t="shared" si="612"/>
        <v>Быт</v>
      </c>
      <c r="FH289" s="6">
        <f>IF(FG289="Щит","щит",IF(FG289="","",IF(FG289="Быт",IFERROR(_xlfn.XLOOKUP(A289,Щиты[Щит],Щиты[Кс быт]),1),IF(FG289="Сил",IF(ISNUMBER(AC289),AC289,IF(Методика="нормы 2026",IFERROR(_xlfn.XLOOKUP(A289,Щиты[Щит],Щиты[Кс силовых (табл. 7.5)]),1),1)),IF(OR(FG289="Пост",FG289="Отоп"),1,IF(FG289="ВНГ",0.7,0))))))</f>
        <v>0.8</v>
      </c>
      <c r="FI289">
        <f>IF(FG289="","",IF(AND(BP289=1,TRIM(AE289&amp;"")=""),IF(COUNTIFS(Линии[Щит],A289,Линии[Секция (1/2/3)],"&gt;=2")&gt;0,MIN(3,MAX(1,IFERROR(--BD289,1))),1),IFERROR(MIN(3,MAX(1,INT(--AE289))),1)))</f>
        <v>1</v>
      </c>
      <c r="FJ289">
        <f t="shared" si="613"/>
        <v>0.36</v>
      </c>
      <c r="FK289">
        <f t="shared" si="614"/>
        <v>0.36</v>
      </c>
      <c r="FL289">
        <f t="shared" si="615"/>
        <v>0</v>
      </c>
      <c r="FM289">
        <f t="shared" si="616"/>
        <v>0</v>
      </c>
      <c r="FN289">
        <f t="shared" si="617"/>
        <v>0</v>
      </c>
      <c r="FO289">
        <f t="shared" si="618"/>
        <v>0</v>
      </c>
      <c r="FP289">
        <f t="shared" si="619"/>
        <v>0.36</v>
      </c>
      <c r="FQ289">
        <f t="shared" si="620"/>
        <v>0.36</v>
      </c>
      <c r="FR289">
        <f t="shared" si="621"/>
        <v>0.34199999999999997</v>
      </c>
      <c r="FS289">
        <f>IF(CG289=1,IF(AND(CH289=1,CW289=1),0,IF(AND(CS289&lt;&gt;"",CS289=BA289,CW289=1),SUMIFS(Линии[_Р линии, кВт],Линии[_блок УЗО],BA289,Линии[Щит],A289),N(BS289)+IF(AJ289="вручную",0,N(CK289)))),0)</f>
        <v>0.36</v>
      </c>
      <c r="FT289" t="str">
        <f t="shared" si="622"/>
        <v>L3</v>
      </c>
      <c r="FU289" t="str">
        <f>IF(B289="","",IF(CG289=0,IF(BA289=1,"",FW288),IF(AND(CH289=1,CW289=1,CS289&lt;&gt;""),IFERROR(_xlfn.XLOOKUP(CS289,Линии[_n],Линии[_фаза итог]),"L1"),IF(OR(N(DL289)&gt;=3,N(BX289)&gt;=3),"L1,L2,L3",IFERROR(_xlfn.TEXTBEFORE(_xlfn.TEXTAFTER(_xlfn.XLOOKUP(A289,Щиты[Щит],Щиты[_фазы авто]),";"&amp;BA289&amp;":"),";"),"L1")))))</f>
        <v>L1</v>
      </c>
      <c r="FV289" t="str">
        <f t="shared" si="623"/>
        <v>L3</v>
      </c>
      <c r="FW289" t="str">
        <f t="shared" si="624"/>
        <v>L3</v>
      </c>
      <c r="FX289" cm="1">
        <f t="array" ref="FX289">IFERROR(IF(CD289=2,_xlfn.IFS(BX289=3,VLOOKUP(BS289,Справочная_двигатели,3,FALSE),BX289=1,VLOOKUP(BS289,Справочная_двигатели,5,TRUE)),0),0)</f>
        <v>0</v>
      </c>
      <c r="FY289">
        <f>IFERROR(IF(CD289=3,VLOOKUP(BS289,Справочная_ЛЭД,2,TRUE),0),0)</f>
        <v>0</v>
      </c>
      <c r="FZ289" s="6">
        <f t="shared" si="625"/>
        <v>0</v>
      </c>
      <c r="GA289" t="str">
        <f>IF(B289="","",IF(TRIM(AH289&amp;"")&lt;&gt;"",IF(LOWER(TRIM(AH289&amp;""))="да","да","нет"),IF(IFERROR(_xlfn.XLOOKUP(BC289,Коды_код,Коды_пожарная),"")="да","да","нет")))</f>
        <v>нет</v>
      </c>
      <c r="GB289" t="str">
        <f t="shared" si="626"/>
        <v/>
      </c>
      <c r="GC289" t="str">
        <f t="shared" si="627"/>
        <v>основная</v>
      </c>
      <c r="GD289">
        <f>IF(AND(BP289=1,TRIM(AE289&amp;"")=""),IF(COUNTIFS(Линии[Щит],A289,Линии[Секция (1/2/3)],"&gt;=2")&gt;0,MIN(3,MAX(1,IFERROR(--BD289,1))),1),IFERROR(MIN(3,MAX(1,INT(--AE289))),1))</f>
        <v>1</v>
      </c>
      <c r="GE289" t="str" cm="1">
        <f t="array" ref="GE289">IF(B289="","",_xlfn.LET(_xlpm.t,IFERROR(_xlfn.XLOOKUP(1,(Шины[Шина]=GC289)*(((Шины[Щит]=A289)+(Шины[Щит]=""))&gt;0),Шины[Тип]),"")&amp;"",IF(_xlpm.t&lt;&gt;"",_xlpm.t,IF(ISNUMBER(SEARCH("ИБП",GC289)),"ИБП",IF(ISNUMBER(SEARCH("ДГУ",GC289)),"ДГУ","Ввод "&amp;GD289)))))</f>
        <v>Ввод 1</v>
      </c>
      <c r="GF289" t="str">
        <f t="shared" si="628"/>
        <v>Ввод 1</v>
      </c>
      <c r="GG289" t="str">
        <f>IF(BP289=0,"",IF(TRIM(AG289&amp;"")&lt;&gt;"",TRIM(AG289&amp;""),IF(OR(GE289="ИБП",GE289="ДГУ"),"I особая",_xlfn.XLOOKUP(A289,Щиты[Щит],Щиты[Категория шины «Ввод»],"III"))))</f>
        <v/>
      </c>
      <c r="GH289" t="str">
        <f>IF(A289="","",_xlfn.XLOOKUP(A289,Щиты[Щит],Щиты[Путь],""))</f>
        <v>|ГРЩ-ЖД|ЩР-2|</v>
      </c>
      <c r="GI289" t="str">
        <f>IF(B289="","",IF(AI289&lt;&gt;"",AI289,IF(IFERROR(_xlfn.XLOOKUP(BC289,Коды_код,Коды_вид)&amp;"","")="","Прочее",_xlfn.XLOOKUP(BC289,Коды_код,Коды_вид)&amp;"")))</f>
        <v>Розеточная сеть и бытовые приборы</v>
      </c>
      <c r="GJ289">
        <f>IF(BM289="","",INT((BM289-1)/Столбцов_на_лист)+1)</f>
        <v>1</v>
      </c>
      <c r="GK289" t="str">
        <f t="shared" si="629"/>
        <v>ВВГнг(А)-LS (3х2,5) L=58-0,71%</v>
      </c>
      <c r="GL289">
        <f t="shared" si="630"/>
        <v>0.36</v>
      </c>
      <c r="GM289">
        <f t="shared" si="631"/>
        <v>1.65</v>
      </c>
      <c r="GN289">
        <f t="shared" si="632"/>
        <v>1</v>
      </c>
      <c r="GO289">
        <f t="shared" si="633"/>
        <v>0</v>
      </c>
      <c r="GP289">
        <f t="shared" si="634"/>
        <v>1</v>
      </c>
      <c r="GQ289">
        <f>IF(BM289="","",IF(AND(CG289=1,GP289=1),COUNTIFS(A$3:A289,A289,CG$3:CG289,1,GP$3:GP289,1),IF(OR(OR(BA289=1,A289&lt;&gt;A288),AJ289="вручную",GP289=0),"",IF(BA289=1,"",GR288))))</f>
        <v>6</v>
      </c>
      <c r="GR289">
        <f t="shared" si="635"/>
        <v>6</v>
      </c>
      <c r="GS289">
        <f>IF(B289="","",IFERROR(LOOKUP(INDEX(CHOOSE(EB289,Iдоп_1ж,Iдоп_2ж,Iдоп_3ж),MATCH(EN289,Iдоп_S,0))*DZ289*EA289,{6,10,16,20,25,32,40,50,63,80,100,125,160,200,250,315,400,500,630}),""))</f>
        <v>25</v>
      </c>
      <c r="GT289" t="str">
        <f t="shared" si="636"/>
        <v>QFD6</v>
      </c>
      <c r="GU289" t="str">
        <f t="shared" si="637"/>
        <v>QFD6</v>
      </c>
      <c r="GV289" t="str">
        <f t="shared" si="638"/>
        <v/>
      </c>
      <c r="GW289">
        <f t="shared" si="639"/>
        <v>0</v>
      </c>
      <c r="GX289" t="str">
        <f>IF(OR(B289="",DJ289=""),"",IFERROR(_xlfn.XLOOKUP(DJ289,Модули_умолч[Управление],Модули_умолч[Модель])&amp;"",""))</f>
        <v/>
      </c>
      <c r="GY289">
        <f>IF(DJ289="",1,IFERROR(MAX(0,N(_xlfn.XLOOKUP(DJ289,Модули_умолч[Управление],Модули_умолч[Каналов на линию]))),1))</f>
        <v>1</v>
      </c>
      <c r="GZ289" t="str">
        <f t="shared" si="640"/>
        <v/>
      </c>
      <c r="HA289" t="str">
        <f t="shared" si="641"/>
        <v/>
      </c>
      <c r="HB289" t="str">
        <f t="shared" si="642"/>
        <v/>
      </c>
      <c r="HC289">
        <f>IF(HB289="",0,IFERROR(N(VLOOKUP(HB289,Модули_спр,3,FALSE)),0))</f>
        <v>0</v>
      </c>
      <c r="HD289" t="str">
        <f t="shared" si="643"/>
        <v/>
      </c>
      <c r="HE289" t="str">
        <f t="shared" si="644"/>
        <v/>
      </c>
      <c r="HF289" t="str">
        <f>IF(OR(HE289="",HE289="-"),"",IFERROR(VLOOKUP(HE289,Модули_спр,2,FALSE),"R"))</f>
        <v/>
      </c>
      <c r="HG289" t="str">
        <f>IF(HF289="","",HF289&amp;"."&amp;COUNTIFS(A$3:A289,A289,HF$3:HF289,HF289))</f>
        <v/>
      </c>
      <c r="HH289" t="str">
        <f t="shared" si="645"/>
        <v/>
      </c>
      <c r="HI289" t="str">
        <f t="shared" si="646"/>
        <v/>
      </c>
      <c r="HJ289" t="str">
        <f t="shared" si="647"/>
        <v/>
      </c>
      <c r="HK289" t="str">
        <f t="shared" si="648"/>
        <v/>
      </c>
      <c r="HL289">
        <f t="shared" si="649"/>
        <v>1</v>
      </c>
      <c r="HM289" t="str">
        <f>IF(HL289=1,"XT"&amp;COUNTIFS(A$3:A289,A289,HL$3:HL289,1),"")</f>
        <v>XT6</v>
      </c>
      <c r="HN289" t="str">
        <f t="shared" si="650"/>
        <v>XT6</v>
      </c>
      <c r="HO289" t="str">
        <f t="shared" si="651"/>
        <v>QFD6</v>
      </c>
      <c r="HP289" t="str">
        <f t="shared" si="652"/>
        <v/>
      </c>
      <c r="HQ289" t="str">
        <f t="shared" si="653"/>
        <v>ok</v>
      </c>
      <c r="HR289" t="str">
        <f>IF(OR(HJ289="",HH289=""),"",IF(HJ289+MAX(0,GY289-1)&gt;IFERROR(VLOOKUP(HI289,Модули_спр,3,FALSE),99),"ЛИШНИЙ КАНАЛ",IF(AND(AL289&lt;&gt;"=",GY289&gt;0,COUNTIFS(Линии[_модуль гр.],HH289,Линии[Канал (итог)],HJ289,Линии[Канал],"&lt;&gt;=",Линии[Щит],A289)&gt;1),"ДУБЛЬ КАНАЛА","")))</f>
        <v/>
      </c>
      <c r="HS289" s="6" t="str">
        <f t="shared" si="654"/>
        <v/>
      </c>
      <c r="HT289">
        <f t="shared" si="655"/>
        <v>10</v>
      </c>
      <c r="HU289" t="str">
        <f t="shared" si="656"/>
        <v/>
      </c>
      <c r="HV289">
        <f t="shared" si="657"/>
        <v>1.2363560954997852</v>
      </c>
      <c r="HW289">
        <f t="shared" si="658"/>
        <v>0</v>
      </c>
      <c r="HX289">
        <f t="shared" si="659"/>
        <v>0</v>
      </c>
      <c r="HY289">
        <f t="shared" si="660"/>
        <v>0</v>
      </c>
      <c r="HZ289">
        <f t="shared" si="661"/>
        <v>0</v>
      </c>
      <c r="IA289">
        <f t="shared" si="662"/>
        <v>0</v>
      </c>
      <c r="IB289">
        <f t="shared" si="663"/>
        <v>0</v>
      </c>
      <c r="IC289" t="str">
        <f t="shared" si="664"/>
        <v/>
      </c>
      <c r="ID289" t="str" cm="1">
        <f t="array" ref="ID289">IF(IC289="","",_xlfn.LET(_xlpm.tk,_xlfn.TEXTSPLIT(SUBSTITUTE(SUBSTITUTE(IC289,";"," "),"→"," ")," ",,TRUE),_xlpm.w_,_xlfn._xlws.FILTER(_xlpm.tk,ISNUMBER(--LEFT(_xlpm.tk,1))*((ISNUMBER(SEARCH("W",_xlpm.tk))+ISNUMBER(SEARCH("Вт",_xlpm.tk)))&gt;0),""),IFERROR(--SUBSTITUTE(SUBSTITUTE(UPPER(INDEX(_xlpm.w_,1)),"W",""),"ВТ",""),"")))</f>
        <v/>
      </c>
      <c r="IE289" t="str" cm="1">
        <f t="array" ref="IE289">IF(IC289="","",_xlfn.LET(_xlpm.tk,_xlfn.TEXTSPLIT(SUBSTITUTE(SUBSTITUTE(IC289,";"," "),"→"," ")," ",,TRUE),_xlpm.v_,_xlfn._xlws.FILTER(_xlpm.tk,ISNUMBER(--LEFT(_xlpm.tk,1))*((ISNUMBER(SEARCH("V",_xlpm.tk))+(RIGHT(UPPER(_xlpm.tk))="В"))&gt;0),""),IFERROR(--SUBSTITUTE(SUBSTITUTE(UPPER(INDEX(_xlpm.v_,1)),"V",""),"В",""),"")))</f>
        <v/>
      </c>
      <c r="IF289" s="6" t="str">
        <f>IF(OR(BV289=0,HI289="",HJ289=""),"",IFERROR(N(_xlfn.XLOOKUP(HI289,Каталог!$C$4:$C$500,Каталог!$Q$4:$Q$500)),""))</f>
        <v/>
      </c>
      <c r="IG289" s="6" t="str">
        <f>IF(N(IF289)=0,"",SUMIFS(Линии[Iр, А],Линии[Щит],A289,Линии[_модуль гр.],HH289,Линии[Канал (итог)],HJ289))</f>
        <v/>
      </c>
      <c r="IH289" t="str">
        <f>IF(AND(B289="",HO289=""),"",_xlfn.TEXTJOIN("; ",TRUE,IF(AND(B289&lt;&gt;"",FV289=""),"нет фазы",""),IF(AND(B289&lt;&gt;"",N(GL289)=0,FG289&lt;&gt;"Нет"),"нет мощности",""),IF(AND(HN289&lt;&gt;"",COUNTIFS(Линии[Щит],A289,Линии[Клемма (итог)],HN289)&gt;1),"дубль клеммы "&amp;HN289,""),IF(AND(HQ289&lt;&gt;"",HQ289&lt;&gt;"ok"),HQ289,""),IF(HR289&lt;&gt;"",HR289,""),IF(AND(N(CB289)&gt;=4,N(BX289)=1),CB289&amp;" жил на 1 фазе",""),IF(AND(BC289="R",CG289=1,IF(CS289&lt;&gt;"",N(CV289)&gt;30,OR(N(DA289)=0,N(DA289)&gt;30))),"розетка без дифзащиты до 30 мА",""),IF(AND(CG289=1,N(DA289)&gt;0,ISNUMBER(T289)),IF(T289&gt;N(DA289)/3,"ток утечки "&amp;FIXED(T289,1)&amp;" мА &gt; 1/3 уставки ("&amp;DA289&amp;" мА)",""),""),IF(AND(CH289=1,CS289=""),"«узо»: нет строки с УЗО выше (УЗО 2P 40А 30мА в «Аппаратах»)",""),IF(AND(CS289&lt;&gt;"",CS289=BA289),IF(CT289="","впишите номинал УЗО (УЗО 2P 40А 30мА)",IF(N(CT289)&lt;N(DT289),"УЗО "&amp;CT289&amp;" А &lt; автомата "&amp;DT289&amp;" А перед ним",IF(N(CT289)&lt;N(CX289),"УЗО "&amp;CT289&amp;" А &lt; тока блока "&amp;FIXED(CX289,1)&amp;" А",""))),""),IF(AND(CS289&lt;&gt;"",CS289=BA289,ISNUMBER(CY289)),IF(CY289&gt;N(CV289)/3,"ток утечки блока УЗО "&amp;FIXED(CY289,1)&amp;" мА &gt; 1/3 уставки ("&amp;CV289&amp;" мА)",""),""),IF(AND(CG289=1,N(BV289)+N(IB289)&gt;0,IC289=""),"линии до 50 В без БП: впишите в «Аппараты» (БП 24V 480W)",""),IF(AND(CG289=1,ISNUMBER(ID289),ISNUMBER(U289)),IF(U289&gt;ID289,"БП "&amp;ID289&amp;" Вт &lt; нужно "&amp;U289&amp;" Вт (×"&amp;Запас_БП&amp;")",""),""),IF(AND(CG289=1,ISNUMBER(IE289),N(BV289)=1),IF(IE289&lt;&gt;N(BU289),"БП на "&amp;IE289&amp;" В, линия "&amp;BU289&amp;" В",""),""),IF(AND(N(IF289)&gt;0,N(IG289)&gt;N(IF289)),HH289&amp;" канал "&amp;HJ289&amp;": "&amp;FIXED(IG289,1)&amp;" А &gt; "&amp;IF289&amp;" А",""),IFERROR(IF(AND(ISNUMBER(Q289),Q289&gt;EL289),"потери "&amp;FIXED(Q289,1)&amp;" % &gt; "&amp;EL289&amp;" %",""),""),IFERROR(IF(LEFT(HU289,4)="мало","Iкз мало — отключение &gt; 0,4 с",""),""),IF(AND(B289&lt;&gt;"",BM289=""),"не на схеме",""),IF(AND(CG289=0,B289&lt;&gt;"",FV289&lt;&gt;"",IF(BA289=1,"",FW288)&lt;&gt;"",FV289&lt;&gt;IF(BA289=1,"",FW288)),"фаза не как у автомата группы ("&amp;IF(BA289=1,"",FW288)&amp;")","")))</f>
        <v/>
      </c>
      <c r="II289" s="6">
        <f>IF(OR(CG289=0,DQ289=""),"",_xlfn.LET(_xlpm.t,IFERROR(_xlfn.XLOOKUP(DQ289,Каталог!$U$4:$U$500,Каталог!$G$4:$G$500),""),_xlpm.k,SEARCH("кА",_xlpm.t),IFERROR(--TRIM(RIGHT(SUBSTITUTE(MID(_xlpm.t,MAX(1,_xlpm.k-4),_xlpm.k-MAX(1,_xlpm.k-4))," ",REPT(" ",9)),5)),"")))</f>
        <v>6</v>
      </c>
      <c r="IJ289" t="str">
        <f>IF(OR(II289="",CG289=0),"",IF(_xlfn.XLOOKUP(A289,Щиты[Щит],Щиты[Iкз max на шинах, кА],"")="","",IF(II289&lt;_xlfn.XLOOKUP(A289,Щиты[Щит],Щиты[Iкз max на шинах, кА]),"Icu "&amp;II289&amp;" кА &lt; Iкз max","ok")))</f>
        <v/>
      </c>
      <c r="IK289" t="str">
        <f t="shared" si="665"/>
        <v/>
      </c>
      <c r="IL289" t="str">
        <f t="shared" si="666"/>
        <v>QFD6|XT6</v>
      </c>
      <c r="IM289" t="str">
        <f t="shared" si="667"/>
        <v>QFD6|XT6|кабель ВВГнг(А)-LS (3х2,5) → Розеточная группа, пом. 009А</v>
      </c>
      <c r="IN289" t="str" cm="1">
        <f t="array" ref="IN289">IF(IM289="","",_xlfn.LET(_xlpm.nd,_xlfn.TEXTSPLIT(IM289,"|"),IF(COLUMNS(_xlpm.nd)&gt;1,A289&amp;"¦"&amp;INDEX(_xlpm.nd,1)&amp;"¦"&amp;INDEX(_xlpm.nd,2),"")))</f>
        <v>ЩР-2¦QFD6¦XT6</v>
      </c>
      <c r="IO289" t="str">
        <f t="shared" si="668"/>
        <v>R.2.009А.1¦Розеточная группа, пом. 009А</v>
      </c>
      <c r="IP289" t="str" cm="1">
        <f t="array" ref="IP289">IF(IM289="","",_xlfn.LET(_xlpm.nd,_xlfn.TEXTSPLIT(IM289,"|"),IF(COLUMNS(_xlpm.nd)&gt;2,A289&amp;"¦"&amp;INDEX(_xlpm.nd,2)&amp;"¦"&amp;INDEX(_xlpm.nd,3),"")))</f>
        <v>ЩР-2¦XT6¦кабель ВВГнг(А)-LS (3х2,5) → Розеточная группа, пом. 009А</v>
      </c>
      <c r="IQ289" t="str">
        <f t="shared" si="669"/>
        <v>R.2.009А.1¦Розеточная группа, пом. 009А</v>
      </c>
      <c r="IR289" t="str" cm="1">
        <f t="array" ref="IR289">IF(IM289="","",_xlfn.LET(_xlpm.nd,_xlfn.TEXTSPLIT(IM289,"|"),IF(COLUMNS(_xlpm.nd)&gt;3,A289&amp;"¦"&amp;INDEX(_xlpm.nd,3)&amp;"¦"&amp;INDEX(_xlpm.nd,4),"")))</f>
        <v/>
      </c>
      <c r="IS289" t="str">
        <f t="shared" si="670"/>
        <v/>
      </c>
      <c r="IT289" t="str" cm="1">
        <f t="array" ref="IT289">IF(IM289="","",_xlfn.LET(_xlpm.nd,_xlfn.TEXTSPLIT(IM289,"|"),IF(COLUMNS(_xlpm.nd)&gt;4,A289&amp;"¦"&amp;INDEX(_xlpm.nd,4)&amp;"¦"&amp;INDEX(_xlpm.nd,5),"")))</f>
        <v/>
      </c>
      <c r="IU289" t="str">
        <f t="shared" si="671"/>
        <v/>
      </c>
      <c r="IV289" t="str" cm="1">
        <f t="array" ref="IV289">IF(IM289="","",_xlfn.LET(_xlpm.nd,_xlfn.TEXTSPLIT(IM289,"|"),IF(COLUMNS(_xlpm.nd)&gt;5,A289&amp;"¦"&amp;INDEX(_xlpm.nd,5)&amp;"¦"&amp;INDEX(_xlpm.nd,6),"")))</f>
        <v/>
      </c>
      <c r="IW289" t="str">
        <f t="shared" si="672"/>
        <v/>
      </c>
      <c r="IX289" t="str" cm="1">
        <f t="array" ref="IX289">IF(IM289="","",_xlfn.LET(_xlpm.nd,_xlfn.TEXTSPLIT(IM289,"|"),IF(COLUMNS(_xlpm.nd)&gt;6,A289&amp;"¦"&amp;INDEX(_xlpm.nd,6)&amp;"¦"&amp;INDEX(_xlpm.nd,7),"")))</f>
        <v/>
      </c>
      <c r="IY289" t="str">
        <f t="shared" si="673"/>
        <v/>
      </c>
      <c r="IZ289" t="str">
        <f t="shared" si="674"/>
        <v/>
      </c>
      <c r="JA289" t="str">
        <f t="shared" si="675"/>
        <v>QFD6 → XT6</v>
      </c>
      <c r="JB289">
        <f t="shared" si="676"/>
        <v>0</v>
      </c>
      <c r="JC289">
        <f t="shared" si="677"/>
        <v>1</v>
      </c>
      <c r="JD289" t="str">
        <f t="shared" si="678"/>
        <v/>
      </c>
      <c r="JE289" t="str">
        <f t="shared" si="679"/>
        <v/>
      </c>
      <c r="JF289" t="str">
        <f t="shared" si="680"/>
        <v/>
      </c>
      <c r="JG289" t="str">
        <f t="shared" si="681"/>
        <v/>
      </c>
      <c r="JH289" t="str">
        <f>IF(B289="","",IFERROR(_xlfn.XLOOKUP(B289,Коды_код,Коды_уго),IFERROR(_xlfn.XLOOKUP(BC289,Коды_код,Коды_уго),IFERROR(_xlfn.XLOOKUP(LEFT(BC289,2),Коды_код,Коды_уго),""))))</f>
        <v>Розетка</v>
      </c>
      <c r="JI289" t="str">
        <f>IF(B289="","",IF(OR(JH289="",JH289=0),"BOX",IFERROR(IF(VLOOKUP(JH289,УГО_блоки,3,FALSE)&amp;""&lt;&gt;"",VLOOKUP(JH289,УГО_блоки,3,FALSE),VLOOKUP(JH289,УГО_блоки,2,FALSE)),JH289)))</f>
        <v>SOCKET</v>
      </c>
      <c r="JJ289">
        <f t="shared" si="682"/>
        <v>1</v>
      </c>
      <c r="JK289" t="str">
        <f>IF(DQ289="","",IF(COUNTIF(DQ$3:DQ289,DQ289)=1,MAX(JK$2:JK288)+1,""))</f>
        <v/>
      </c>
      <c r="JL289" t="str">
        <f>IF(DE289="","",IF(COUNTIF(DE$3:DE289,DE289)+COUNTIF(DF$2:DF288,DE289)+COUNTIF(DG$2:DG288,DE289)=1,MAX(JL$2:JN288)+1,""))</f>
        <v/>
      </c>
      <c r="JM289" t="str">
        <f>IF(DF289="","",IF(COUNTIF(DE$3:DE289,DF289)+COUNTIF(DF$3:DF289,DF289)+COUNTIF(DG$2:DG288,DF289)=1,MAX(JL$2:JN288,JL289)+1,""))</f>
        <v/>
      </c>
      <c r="JN289" t="str">
        <f>IF(DG289="","",IF(COUNTIF(DE$3:DE289,DG289)+COUNTIF(DF$3:DF289,DG289)+COUNTIF(DG$3:DG289,DG289)=1,MAX(JL$2:JN288,JL289,JM289)+1,""))</f>
        <v/>
      </c>
      <c r="JO289" t="str">
        <f t="shared" si="683"/>
        <v>3х2,5</v>
      </c>
      <c r="JP289" t="str">
        <f>IF(JO289="","",IF(COUNTIF(JO$3:JO289,JO289)=1,MAX(JP$2:JP288)+1,""))</f>
        <v/>
      </c>
      <c r="JQ289" t="str">
        <f>IF(HG289="","",COUNTIF(HG$3:HG289,"?*"))</f>
        <v/>
      </c>
      <c r="JR289" t="str">
        <f>IF(OR(HG289="",HI289=""),"",IF(COUNTIFS(HG$3:HG289,"?*",HI$3:HI289,HI289)=1,MAX(JR$2:JR288)+1,""))</f>
        <v/>
      </c>
      <c r="JS289">
        <f t="shared" si="684"/>
        <v>0</v>
      </c>
      <c r="JT289">
        <f>IF(B289="","",COUNTIF(B$3:B289,"?*"))</f>
        <v>287</v>
      </c>
      <c r="JU289">
        <f>IF(HL289&lt;&gt;1,0,_xlfn.LET(_xlpm.k,MAX(IFERROR(--_xlfn.XLOOKUP(B289,Коды_код,Коды_3L),0),IFERROR(--_xlfn.XLOOKUP(BC289,Коды_код,Коды_3L),0),IFERROR(--_xlfn.XLOOKUP(LEFT(BC289,2),Коды_код,Коды_3L),0)),IF(_xlpm.k&gt;0,_xlpm.k,IF(IFERROR(--LEFT(SUBSTITUTE(JO289,"x","х"),FIND("х",SUBSTITUTE(JO289,"x","х"))-1),3)&gt;3,Каталог!$S$9,1))))</f>
        <v>1</v>
      </c>
      <c r="JV289">
        <f t="shared" si="685"/>
        <v>0</v>
      </c>
      <c r="JW289" t="str">
        <f t="shared" si="686"/>
        <v>авто</v>
      </c>
      <c r="JX289">
        <f t="shared" si="687"/>
        <v>30</v>
      </c>
      <c r="JY289">
        <f t="shared" si="688"/>
        <v>1</v>
      </c>
      <c r="JZ289">
        <f t="shared" si="689"/>
        <v>1</v>
      </c>
    </row>
    <row r="290" spans="1:286" x14ac:dyDescent="0.3">
      <c r="A290" t="s">
        <v>759</v>
      </c>
      <c r="B290" t="s">
        <v>1595</v>
      </c>
      <c r="C290" t="str">
        <f>Линии[[#This Row],[_авто наименование]]</f>
        <v>Розеточная группа, пом. 009А</v>
      </c>
      <c r="D290">
        <v>2</v>
      </c>
      <c r="E290">
        <v>0.24</v>
      </c>
      <c r="G290">
        <v>16</v>
      </c>
      <c r="H290" t="str">
        <f>Линии[[#This Row],[_авто управление]]</f>
        <v/>
      </c>
      <c r="I290" t="str">
        <f>Линии[[#This Row],[_авто аппараты]]</f>
        <v/>
      </c>
      <c r="J290">
        <v>2.5</v>
      </c>
      <c r="K290">
        <v>29</v>
      </c>
      <c r="L290">
        <v>2</v>
      </c>
      <c r="M290" t="str">
        <f>Линии[[#This Row],[_авто клемма]]</f>
        <v>XT7</v>
      </c>
      <c r="N290" t="str">
        <f t="shared" si="552"/>
        <v/>
      </c>
      <c r="O290" s="6" cm="1">
        <f t="array" ref="O290">IF(B290="","",IF(BH290&lt;&gt;"",IFERROR(_xlfn.XLOOKUP(BH290,Щиты[Щит],Щиты[Iр, А]),""),IF(BP290=1,IF(OR(N(_xlfn.XLOOKUP(A290,Щиты[Щит],Щиты[Вводов],1))&lt;=1,LOWER(TRIM(_xlfn.XLOOKUP(A290,Щиты[Щит],Щиты[АВР],"")&amp;""))="да"),IFERROR(_xlfn.XLOOKUP(A290,Щиты[Щит],Щиты[Iр, А]),""),IFERROR(N(BS290)*_xlfn.XLOOKUP(A290,Щиты[Щит],Щиты[Кс итог])/(SQRT(3)*Uн_лин*_xlfn.XLOOKUP(A290,Щиты[Щит],Щиты[cos φ])),"")),IF(BV290=1,IFERROR(BS290*1000/BU290,""),IFERROR(_xlfn.IFS(BX290=1,BS290/((Uн_лин/SQRT(3))*CE290),BX290=3,BS290/(SQRT(3)*Uн_лин*CE290)),"")))))</f>
        <v>1.0939268258329751</v>
      </c>
      <c r="P290" s="7">
        <f>IF(B290="","",IFERROR(IF(VLOOKUP(BC290,Потребители_обозначение,4,FALSE)=1,VLOOKUP(BC290,Потребители_обозначение,3,FALSE)*(MAX(1,N(D290))*2-1)+EI290+VLOOKUP(BE290,Этаж_обозначение,3,FALSE)+VLOOKUP(BE290,Этаж_обозначение,4,FALSE),VLOOKUP(BC290,Потребители_обозначение,3,FALSE)*(MAX(1,N(D290))*2-1)+EI290),EI290))</f>
        <v>38</v>
      </c>
      <c r="Q290" s="6">
        <f t="shared" si="553"/>
        <v>2.1</v>
      </c>
      <c r="R290" t="str">
        <f t="shared" si="554"/>
        <v>ВВГнг(А)-LS (3х2,5)</v>
      </c>
      <c r="S290" t="str">
        <f>IF(BM290="","",IF(BN290="вводной узел","узел ","")&amp;"л."&amp;(INT((BM290-1)/Столбцов_на_лист)+1)&amp;" / "&amp;(MOD(BM290-1,Столбцов_на_лист)+1))</f>
        <v>л.1 / 15</v>
      </c>
      <c r="T290" s="119">
        <f t="shared" si="555"/>
        <v>0.8</v>
      </c>
      <c r="U290" s="7" t="str">
        <f>IF(OR(CG290=0,N(BV290)+N(IB290)=0),"",ROUNDUP(Запас_БП*(N(HY290)+N(HZ290)),0))</f>
        <v/>
      </c>
      <c r="V290" s="119" t="str">
        <f t="shared" si="556"/>
        <v/>
      </c>
      <c r="W290" s="7" t="str">
        <f>IFERROR(IF(OR(B290="",BP290=1,BV290=1,NOT(ISNUMBER(EN290)),N(DT290)=0),"",MAX(0,ROUNDDOWN((c_min*(Uн_лин*1000/SQRT(3))/(HT290*N(DT290))-_xlfn.XLOOKUP(A290,Щиты[Щит],Щиты[Zпетли на шинах, Ом]))*EN290/(2*ρкз_Cu),0))),"")</f>
        <v/>
      </c>
      <c r="Y290">
        <f>Линии[[#This Row],[_авто утечка]]</f>
        <v>30</v>
      </c>
      <c r="Z290">
        <v>1</v>
      </c>
      <c r="AA290">
        <v>230</v>
      </c>
      <c r="AB290" t="s">
        <v>562</v>
      </c>
      <c r="AG290" t="s">
        <v>810</v>
      </c>
      <c r="AI290" t="s">
        <v>561</v>
      </c>
      <c r="AK290" t="str">
        <f>Линии[[#This Row],[_авто модуль]]</f>
        <v/>
      </c>
      <c r="AM290">
        <v>15</v>
      </c>
      <c r="AN290" t="s">
        <v>11</v>
      </c>
      <c r="AO290">
        <v>3</v>
      </c>
      <c r="AQ290">
        <v>12</v>
      </c>
      <c r="AR290">
        <v>20</v>
      </c>
      <c r="AT290">
        <v>2</v>
      </c>
      <c r="BA290" cm="1">
        <f t="array" ref="BA290">ROW()-ROW(Линии[#Headers])</f>
        <v>288</v>
      </c>
      <c r="BC290" s="6" t="str">
        <f t="shared" si="557"/>
        <v>R</v>
      </c>
      <c r="BD290" t="str">
        <f t="shared" si="558"/>
        <v>2.009А.2</v>
      </c>
      <c r="BE290" t="str">
        <f t="shared" si="559"/>
        <v>2</v>
      </c>
      <c r="BF290" t="str">
        <f t="shared" si="560"/>
        <v>009А.2</v>
      </c>
      <c r="BG290" t="str">
        <f t="shared" si="561"/>
        <v>009А</v>
      </c>
      <c r="BH290" t="str">
        <f>IF(X290&lt;&gt;"",X290,IF(AND(B290&lt;&gt;"",B290&lt;&gt;A290,ISNUMBER(_xlfn.XMATCH(B290,Щиты[Щит]))),B290,""))</f>
        <v/>
      </c>
      <c r="BI290" t="str" cm="1">
        <f t="array" ref="BI290">IF(B290="","",IF(BH290&lt;&gt;"","Щит "&amp;BH290,_xlfn.LET(_xlpm.nm,IFERROR(_xlfn.XLOOKUP(BC290,Коды_код,Коды_имя)&amp;"",""),_xlpm.md,IFERROR(N(_xlfn.XLOOKUP(BC290,Коды_код,Коды_режим)),1),_xlpm.ex,IF(Имя_режим="по экспликации",IFERROR(_xlfn.XLOOKUP(BE290&amp;"|"&amp;BG290,Экспликация[Этаж]&amp;"|"&amp;Экспликация[Помещение],Экспликация[Название])&amp;"",""),""),_xlpm.rm,IF(BG290="","",IF(_xlpm.ex&lt;&gt;"",". "&amp;_xlpm.ex&amp;IF(Имя_пом="нет"," ("&amp;BG290&amp;")"," (пом. "&amp;BG290&amp;")"),IF(Имя_пом="нет"," ",", пом. ")&amp;BG290)),IF(_xlpm.nm="","",IF(_xlpm.md=2,_xlpm.nm&amp;" шлейф "&amp;BE290,_xlpm.nm&amp;_xlpm.rm)))))</f>
        <v>Розеточная группа, пом. 009А</v>
      </c>
      <c r="BJ290" t="str">
        <f t="shared" si="562"/>
        <v>Розеточная группа, пом. 009А</v>
      </c>
      <c r="BK290">
        <f>IFERROR(_xlfn.XMATCH(A290,Щиты[Щит]),0)</f>
        <v>11</v>
      </c>
      <c r="BL290">
        <f>_xlfn.LET(_xlpm.k,IFERROR(_xlfn.XLOOKUP(A290,Щиты[Щит],Щиты[Мест под вводной узел]),""),IF(_xlpm.k="",Столбцов_на_лист,N(_xlpm.k)))</f>
        <v>8</v>
      </c>
      <c r="BM290">
        <f t="shared" si="563"/>
        <v>15</v>
      </c>
      <c r="BN290" t="str">
        <f t="shared" si="564"/>
        <v>линии</v>
      </c>
      <c r="BO290" s="6">
        <f>IFERROR(N(_xlfn.XLOOKUP(BC290,Коды_код,Коды_квт)),0)</f>
        <v>0</v>
      </c>
      <c r="BP290">
        <f t="shared" si="565"/>
        <v>0</v>
      </c>
      <c r="BQ290" t="str">
        <f>IF(B290="","",IF(BH290&lt;&gt;"",IFERROR(_xlfn.XLOOKUP(BH290,Щиты[Щит],Щиты[Руст, кВт]),0),IF(BP290=1,IF(OR(N(_xlfn.XLOOKUP(A290,Щиты[Щит],Щиты[Вводов],1))&lt;=1,LOWER(TRIM(_xlfn.XLOOKUP(A290,Щиты[Щит],Щиты[АВР],"")&amp;""))="да"),IFERROR(_xlfn.XLOOKUP(A290,Щиты[Щит],Щиты[Руст, кВт]),0),SUMIFS(Линии[_Р для вводов],Линии[Щит],A290,Линии[Источник для режимов],GF290)),IF(BO290&gt;0,ROUND(BO290*MAX(1,N(D290)),3),""))))</f>
        <v/>
      </c>
      <c r="BR290">
        <f t="shared" si="566"/>
        <v>0.24</v>
      </c>
      <c r="BS290" s="6">
        <f>IF(B290="","",IF(BH290&lt;&gt;"",IFERROR(_xlfn.XLOOKUP(BH290,Щиты[Щит],Щиты[Руст, кВт]),0),N(BR290)))</f>
        <v>0.24</v>
      </c>
      <c r="BT290" t="str">
        <f>IF(B290="","",IFERROR(IF(VLOOKUP(BC290,Потребители_обозначение,8,FALSE)=0,"",VLOOKUP(BC290,Потребители_обозначение,8,FALSE)),""))</f>
        <v/>
      </c>
      <c r="BU290">
        <f t="shared" si="567"/>
        <v>230</v>
      </c>
      <c r="BV290">
        <f t="shared" si="568"/>
        <v>0</v>
      </c>
      <c r="BW290">
        <f>IF(B290="","",IF(BH290&lt;&gt;"",3,IFERROR(IF(N(VLOOKUP(BC290,Потребители_обозначение,9,FALSE))=0,1,VLOOKUP(BC290,Потребители_обозначение,9,FALSE)),1)))</f>
        <v>1</v>
      </c>
      <c r="BX290">
        <f t="shared" si="569"/>
        <v>1</v>
      </c>
      <c r="BY290" t="str">
        <f>IF(B290="","",_xlfn.LET(_xlpm.bc,IFERROR(IF(VLOOKUP(BC290,Потребители_обозначение,6,FALSE)=0,"",VLOOKUP(BC290,Потребители_обозначение,6,FALSE)&amp;""),""),IF(AND(GA290="да",OR(_xlpm.bc="",_xlpm.bc="мс")),Марка_пож,IF(AND(_xlpm.bc="",BH290&lt;&gt;""),"мс",_xlpm.bc))))</f>
        <v/>
      </c>
      <c r="BZ290" t="str">
        <f t="shared" si="570"/>
        <v>мс</v>
      </c>
      <c r="CA290">
        <f>IF(B290="","",_xlfn.LET(_xlpm.cc,IFERROR(N(VLOOKUP(BC290,Потребители_обозначение,7,FALSE)),0),IF(_xlpm.cc&gt;0,_xlpm.cc,IF(BZ290="","",IF(BV290=1,2,IF(N(BX290)=3,5,3))))))</f>
        <v>3</v>
      </c>
      <c r="CB290">
        <f t="shared" si="571"/>
        <v>3</v>
      </c>
      <c r="CC290">
        <f>IFERROR(N(VLOOKUP(BC290,Потребители_обозначение,10,FALSE)),0)</f>
        <v>0</v>
      </c>
      <c r="CD290">
        <f>IFERROR(VLOOKUP(BC290,Потребители_обозначение,5,FALSE),0)</f>
        <v>1</v>
      </c>
      <c r="CE290" s="6" cm="1">
        <f t="array" ref="CE290">IF(B290="","",IF(BH290&lt;&gt;"",IFERROR(_xlfn.XLOOKUP(BH290,Щиты[Щит],Щиты[cos φ]),0.95),IF(BP290=1,IFERROR(_xlfn.XLOOKUP(A290,Щиты[Щит],Щиты[cos φ]),0.95),IF(ISNUMBER(AD290),AD290,IFERROR(IF(CD290=2,_xlfn.IFS(BX290=3,VLOOKUP(BS290,Справочная_двигатели,8,FALSE),BX290=1,VLOOKUP(BS290,Справочная_двигатели,10,TRUE)),IF(AND(Методика="нормы 2026",FG290="Сил"),0.8,0.95)),0.95)))))</f>
        <v>0.95</v>
      </c>
      <c r="CF290">
        <f t="shared" si="572"/>
        <v>0</v>
      </c>
      <c r="CG290">
        <f t="shared" si="573"/>
        <v>1</v>
      </c>
      <c r="CH290">
        <f t="shared" si="574"/>
        <v>0</v>
      </c>
      <c r="CI290">
        <f>IF(B290="","",IF(BV290=1,IFERROR(BS290/((Uн_лин/SQRT(3))*MAX(0.5,N(CE290))),0),N(O290)))</f>
        <v>1.0939268258329751</v>
      </c>
      <c r="CJ290">
        <f t="shared" si="575"/>
        <v>0</v>
      </c>
      <c r="CK290">
        <f t="shared" si="576"/>
        <v>0</v>
      </c>
      <c r="CL290">
        <f t="shared" si="577"/>
        <v>0</v>
      </c>
      <c r="CM290">
        <f t="shared" si="578"/>
        <v>0</v>
      </c>
      <c r="CN290">
        <f t="shared" si="579"/>
        <v>0</v>
      </c>
      <c r="CO290">
        <f>IF(BC290="",0,_xlfn.LET(_xlpm.v,IFERROR(_xlfn.XLOOKUP(B290,Коды_код,Коды_мА),IFERROR(_xlfn.XLOOKUP(BC290,Коды_код,Коды_мА),IFERROR(_xlfn.XLOOKUP(LEFT(BC290,2),Коды_код,Коды_мА),""))),IF(_xlpm.v="да",30,IF(ISNUMBER(_xlpm.v),_xlpm.v,0))))</f>
        <v>30</v>
      </c>
      <c r="CP290">
        <f t="shared" si="580"/>
        <v>30</v>
      </c>
      <c r="CQ290" t="str">
        <f>_xlfn.LET(_xlpm.k,IFERROR(_xlfn.XLOOKUP(BC290,Коды_код,Коды_утечка)&amp;"",""),IF(_xlpm.k="","дифавтомат",_xlpm.k))</f>
        <v>дифавтомат</v>
      </c>
      <c r="CR290" t="str" cm="1">
        <f t="array" ref="CR290">IF(CG290=0,"",_xlfn.LET(_xlpm.sg,TRIM(_xlfn.TEXTSPLIT(DD290&amp;"",";")),_xlpm.f_,_xlfn._xlws.FILTER(_xlpm.sg,LEFT(_xlpm.sg,3)="УЗО",""),IFERROR(INDEX(_xlpm.f_,1)&amp;"","")))</f>
        <v/>
      </c>
      <c r="CS290" t="str">
        <f t="shared" si="581"/>
        <v/>
      </c>
      <c r="CT290" s="6" t="str" cm="1">
        <f t="array" ref="CT290">IF(CR290="","",_xlfn.LET(_xlpm.tk,_xlfn.TEXTSPLIT(UPPER(CR290)," ",,TRUE),_xlpm.a_,_xlfn._xlws.FILTER(_xlpm.tk,ISNUMBER(--LEFT(_xlpm.tk,1))*((ISNUMBER(SEARCH("А",_xlpm.tk))+ISNUMBER(SEARCH("A",_xlpm.tk)))&gt;0)*NOT(ISNUMBER(SEARCH("МА",_xlpm.tk)))*NOT(ISNUMBER(SEARCH("MA",_xlpm.tk))),""),IFERROR(--SUBSTITUTE(SUBSTITUTE(INDEX(_xlpm.a_,1),"А",""),"A",""),"")))</f>
        <v/>
      </c>
      <c r="CU290" t="str" cm="1">
        <f t="array" ref="CU290">IF(CR290="","",_xlfn.LET(_xlpm.tk,_xlfn.TEXTSPLIT(UPPER(CR290)," ",,TRUE),_xlpm.a_,_xlfn._xlws.FILTER(_xlpm.tk,ISNUMBER(--LEFT(_xlpm.tk,1))*((ISNUMBER(SEARCH("МА",_xlpm.tk))+ISNUMBER(SEARCH("MA",_xlpm.tk)))&gt;0),""),IFERROR(--SUBSTITUTE(SUBSTITUTE(INDEX(_xlpm.a_,1),"МА",""),"MA",""),30)))</f>
        <v/>
      </c>
      <c r="CV290" t="str">
        <f>IF(CS290="","",IFERROR(_xlfn.XLOOKUP(CS290,Линии[_n],Линии[_УЗО, мА]),30))</f>
        <v/>
      </c>
      <c r="CW290">
        <f>IF(CS290="",0,IF(ISNUMBER(SEARCH("4P",IFERROR(_xlfn.XLOOKUP(CS290,Линии[_n],Линии[_УЗО строки])&amp;"",""))),0,1))</f>
        <v>0</v>
      </c>
      <c r="CX290" t="str">
        <f>IF(AND(CS290&lt;&gt;"",CS290=BA290),SUMIFS(Линии[_ток на 230 В],Линии[_блок УЗО],BA290,Линии[Щит],A290),"")</f>
        <v/>
      </c>
      <c r="CY290" t="str">
        <f>IF(AND(CS290&lt;&gt;"",CS290=BA290),SUMIFS(Линии[_ток утечки линии, мА],Линии[_блок УЗО],BA290,Линии[Щит],A290),"")</f>
        <v/>
      </c>
      <c r="CZ290">
        <f t="shared" si="582"/>
        <v>30</v>
      </c>
      <c r="DA290">
        <f t="shared" si="583"/>
        <v>30</v>
      </c>
      <c r="DB290">
        <f>IF(B290="",0,IFERROR(--_xlfn.XLOOKUP(B290,Коды_код,Коды_минавт),IFERROR(--_xlfn.XLOOKUP(BC290,Коды_код,Коды_минавт),IFERROR(--_xlfn.XLOOKUP(LEFT(BC290,2),Коды_код,Коды_минавт),0))))</f>
        <v>16</v>
      </c>
      <c r="DC290" t="str">
        <f>IF(B290="","",IFERROR(_xlfn.XLOOKUP(BC290,Коды_код,Коды_апп)&amp;"",""))</f>
        <v/>
      </c>
      <c r="DD290" t="str">
        <f t="shared" si="584"/>
        <v/>
      </c>
      <c r="DE290" t="str" cm="1">
        <f t="array" ref="DE290">IF(TRIM(DD290&amp;"")="","",IFERROR(TRIM(INDEX(_xlfn.TEXTSPLIT(DD290&amp;";;;",";"),1)),""))</f>
        <v/>
      </c>
      <c r="DF290" t="str" cm="1">
        <f t="array" ref="DF290">IF(TRIM(DD290&amp;"")="","",IFERROR(TRIM(INDEX(_xlfn.TEXTSPLIT(DD290&amp;";;;",";"),2)),""))</f>
        <v/>
      </c>
      <c r="DG290" t="str" cm="1">
        <f t="array" ref="DG290">IF(TRIM(DD290&amp;"")="","",IFERROR(TRIM(INDEX(_xlfn.TEXTSPLIT(DD290&amp;";;;",";"),3)),""))</f>
        <v/>
      </c>
      <c r="DH290">
        <f t="shared" si="585"/>
        <v>0</v>
      </c>
      <c r="DI290" t="str">
        <f>IF(B290="","",_xlfn.LET(_xlpm.t,LOWER(AZ290&amp;""),IF(ISNUMBER(SEARCH("dim",_xlpm.t)),"DIM",IF(ISNUMBER(SEARCH("dali",_xlpm.t)),"DALI",IF(OR(ISNUMBER(SEARCH("relay",_xlpm.t)),ISNUMBER(SEARCH("реле",_xlpm.t))),"Relay",IF(ISNUMBER(SEARCH("кнопк",_xlpm.t)),"",IFERROR(_xlfn.XLOOKUP(BC290,Коды_код,Коды_упр)&amp;"","")))))))</f>
        <v/>
      </c>
      <c r="DJ290" t="str">
        <f t="shared" si="586"/>
        <v/>
      </c>
      <c r="DK290">
        <f>IF(B290="","",_xlfn.LET(_xlpm.ig,IF(N(CX290)&gt;0,N(CX290),N(CI290)+IF(AJ290="вручную",0,N(CJ290))),_xlpm.n0,IFERROR(VLOOKUP(_xlpm.ig,Автомат_номиналы,2,TRUE),0),_xlpm.mn,MAX(DB290,IF(AJ290="вручную",0,N(CM290))),MAX(_xlpm.n0,_xlpm.mn,IF(DH290=1,Мин_автомат_БП,0))))</f>
        <v>16</v>
      </c>
      <c r="DL290">
        <f t="shared" si="587"/>
        <v>1</v>
      </c>
      <c r="DM290" t="str">
        <f t="shared" si="588"/>
        <v>2P</v>
      </c>
      <c r="DN290" t="str">
        <f>_xlfn.LET(_xlpm.cc,UPPER(TRIM(IFERROR(_xlfn.XLOOKUP(BC290,Коды_код,Коды_хар)&amp;"",""))),IF(OR(_xlpm.cc="B",_xlpm.cc="В"),"B",IF(_xlpm.cc="D","D","С")))</f>
        <v>С</v>
      </c>
      <c r="DO290" t="str">
        <f t="shared" si="589"/>
        <v>2P С16А 30мА</v>
      </c>
      <c r="DP290">
        <f t="shared" si="590"/>
        <v>16</v>
      </c>
      <c r="DQ290" t="str">
        <f t="shared" si="591"/>
        <v>2P С16А 30мА</v>
      </c>
      <c r="DR290" cm="1">
        <f t="array" ref="DR290">IF(DQ290="","",_xlfn.LET(_xlpm.t,SUBSTITUTE(SUBSTITUTE(SUBSTITUTE(UPPER(DQ290),"С","C"),"А","A"),"В","B"),_xlpm.tk,_xlfn.TEXTSPLIT(_xlpm.t," "),_xlpm.f,_xlfn._xlws.FILTER(_xlpm.tk,ISNUMBER(--MID(_xlpm.tk,2,1))*ISNUMBER(SEARCH(LEFT(_xlpm.tk,1)&amp;"#","B#C#D#"))*(LEN(_xlpm.tk)&gt;1),""),_xlpm.x,INDEX(_xlpm.f,1),IFERROR(--SUBSTITUTE(MID(_xlpm.x,2,9),"A",""),IFERROR(--SUBSTITUTE(INDEX(_xlfn._xlws.FILTER(_xlpm.tk,ISNUMBER(--SUBSTITUTE(_xlpm.tk,"A","")),""),1),"A",""),""))))</f>
        <v>16</v>
      </c>
      <c r="DS290" t="str">
        <f t="shared" si="592"/>
        <v>ok</v>
      </c>
      <c r="DT290">
        <f t="shared" si="593"/>
        <v>16</v>
      </c>
      <c r="DU290" t="str">
        <f t="shared" si="594"/>
        <v>2P С16А 30мА</v>
      </c>
      <c r="DV290">
        <f t="shared" si="595"/>
        <v>30</v>
      </c>
      <c r="DW290">
        <f t="shared" si="596"/>
        <v>1</v>
      </c>
      <c r="DX290">
        <f t="shared" si="597"/>
        <v>0</v>
      </c>
      <c r="DY290">
        <f t="shared" si="598"/>
        <v>1.0939268258329751</v>
      </c>
      <c r="DZ290">
        <f t="shared" si="599"/>
        <v>1</v>
      </c>
      <c r="EA290">
        <f>IF(ISNUMBER(AP290),AP290,К_прокл)</f>
        <v>1</v>
      </c>
      <c r="EB290">
        <f t="shared" si="600"/>
        <v>2</v>
      </c>
      <c r="EC290">
        <f>IFERROR(N(VLOOKUP(BZ290,Кабель_обозначение,3,FALSE)),1)</f>
        <v>1</v>
      </c>
      <c r="ED290">
        <f>IFERROR(N(_xlfn.XLOOKUP(A290,Щиты[Щит],Щиты[ΔU до шин, %])),0)</f>
        <v>1.79</v>
      </c>
      <c r="EE290" t="str">
        <f>IFERROR(_xlfn.XLOOKUP(A290,Щиты[Щит],Щиты[Zпетли на шинах, Ом]),"")</f>
        <v/>
      </c>
      <c r="EF290">
        <f>IFERROR(N(_xlfn.XLOOKUP(A290,Щиты[Щит],Щиты[ΔU до шин (подбор), %])),0)</f>
        <v>4.75</v>
      </c>
      <c r="EG290" t="str">
        <f>IFERROR(_xlfn.XLOOKUP(A290,Щиты[Щит],Щиты[Zпетли на шинах (подбор), Ом]),"")</f>
        <v/>
      </c>
      <c r="EH290" t="str">
        <f t="shared" si="601"/>
        <v/>
      </c>
      <c r="EI290">
        <f t="shared" si="602"/>
        <v>29</v>
      </c>
      <c r="EJ290">
        <f t="shared" si="603"/>
        <v>2</v>
      </c>
      <c r="EK290">
        <f t="shared" si="604"/>
        <v>0.31</v>
      </c>
      <c r="EL290" s="6">
        <f>IF(B290="","",IF(BV290=1,dU_LED,IF(IFERROR(_xlfn.XLOOKUP(BC290,Коды_код,Коды_уго),"")="Светильник",3,4)+IF(Методика="нормы 2026",MIN(0.5,MAX(0,N(P290)-100)*0.005),0)))</f>
        <v>4</v>
      </c>
      <c r="EM290" t="str" cm="1">
        <f t="array" ref="EM290">IF(OR(B290="",BZ290="",EC290&lt;&gt;1),"",_xlfn.LET(_xlpm.sz,Iдоп_S,_xlpm.t_,CHOOSE(EB290,Iдоп_1ж,Iдоп_2ж,Iдоп_3ж)*DZ290*EA290,_xlpm.dcx,BV290=1,_xlpm.inn,IF(_xlpm.dcx,N(O290),N(DT290)),_xlpm.smin,MAX(1.5,CC290),_xlpm.L_,N(P290)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290)/N(BU290)*100,999),IFERROR(N(EJ290)*(_xlpm.rho*_xlpm.L_/_xlpm.sz*N(CE290)+_xlpm.xx*_xlpm.L_*N(EK290)/1000)*N(O290)/((Uн_лин/SQRT(3))*1000)*100,999)),_xlpm.kz,IF(OR(_xlpm.dcx,DW290=1,NOT(ISNUMBER(EG290)),_xlpm.L_=0,_xlpm.inn=0),1,IFERROR(--(c_min*(Uн_лин*1000/SQRT(3))/(EG290+2*ρкз_Cu*_xlpm.L_/_xlpm.sz)&gt;=HT290*_xlpm.inn),0)),_xlpm.ok,IFERROR((_xlpm.sz&gt;=_xlpm.smin)*(_xlpm.t_&gt;=_xlpm.inn)*IF(_xlpm.L_&gt;0,(_xlpm.du_+IF(_xlpm.dcx,0,EF290)&lt;=EL290+0.00001),1)*_xlpm.kz,0),_xlpm.r_,_xlfn._xlws.FILTER(_xlpm.sz,_xlpm.ok,"не подобрано"),INDEX(_xlpm.r_,1)))</f>
        <v>не подобрано</v>
      </c>
      <c r="EN290">
        <f t="shared" si="605"/>
        <v>2.5</v>
      </c>
      <c r="EO290" cm="1">
        <f t="array" ref="EO290">IF(OR(B290="",BZ290="",EC290&lt;&gt;1),"",_xlfn.LET(_xlpm.sz,Iдоп_S,_xlpm.t_,CHOOSE(EB290,Iдоп_1ж,Iдоп_2ж,Iдоп_3ж)*DZ290*EA290,_xlpm.ok,IFERROR((_xlpm.sz&gt;=MAX(1.5,CC290))*(_xlpm.t_&gt;=N(DT290)),0),_xlpm.r_,_xlfn._xlws.FILTER(_xlpm.sz,_xlpm.ok,""),INDEX(_xlpm.r_,1)))</f>
        <v>1.5</v>
      </c>
      <c r="EP290" s="6" cm="1">
        <f t="array" ref="EP290">IFERROR(ROUNDUP(N(EJ290)*(_xlfn.XLOOKUP(EO290,INDEX(Кабель_сопротивление,0,1),INDEX(Кабель_сопротивление,0,3))*N(P290)/EO290*N(CE290)+_xlfn.XLOOKUP(EO290,INDEX(Кабель_сопротивление,0,1),INDEX(Кабель_сопротивление,0,2))*N(P290)*N(EK290)/1000)*N(O290)/((Uн_лин/SQRT(3))*1000)*100,2),"")</f>
        <v>0.52</v>
      </c>
      <c r="EQ290">
        <f>IFERROR(2*ρкз_Cu*N(P290)/EO290,"")</f>
        <v>1.3325333333333333</v>
      </c>
      <c r="ER290">
        <f>IFERROR(VLOOKUP(EN290,Кабель_сопротивление,3,FALSE),"")</f>
        <v>2.2499999999999999E-2</v>
      </c>
      <c r="ES290">
        <f>IFERROR(VLOOKUP(EN290,Кабель_сопротивление,2,FALSE),"")</f>
        <v>0.1</v>
      </c>
      <c r="ET290">
        <f t="shared" si="606"/>
        <v>20</v>
      </c>
      <c r="EU290">
        <f t="shared" si="607"/>
        <v>34</v>
      </c>
      <c r="EV290">
        <f t="shared" si="608"/>
        <v>0.71341094302792962</v>
      </c>
      <c r="EW290" s="6">
        <f>IFERROR(ROUNDUP(EV290/IF(BV290=1,BU290,(Uн_лин/SQRT(3))*1000)*100,2),"")</f>
        <v>0.31</v>
      </c>
      <c r="EX290" t="str">
        <f>IFERROR(VLOOKUP(BZ290,Кабель_обозначение,2,FALSE),"")</f>
        <v>ВВГнг(А)-LS</v>
      </c>
      <c r="EY290" t="str">
        <f t="shared" si="609"/>
        <v>ВВГнг(А)-LS (3х2,5)</v>
      </c>
      <c r="EZ290" t="str">
        <f t="shared" si="610"/>
        <v>ВВГнг(А)-LS (3х2,5)
L=38-0,31%</v>
      </c>
      <c r="FA290">
        <f>IFERROR(2*ρкз_Cu*P290/EN290,"")</f>
        <v>0.79952000000000001</v>
      </c>
      <c r="FB290">
        <f t="shared" si="611"/>
        <v>0.26600000000000001</v>
      </c>
      <c r="FC290" s="6" t="str">
        <f>IFERROR(IF(OR(B290="",BV290=1,NOT(ISNUMBER(EN290)),N(P290)=0),"",_xlfn.XLOOKUP(A290,Щиты[Щит],Щиты[Zпетли на шинах, Ом])+FA290),"")</f>
        <v/>
      </c>
      <c r="FD290" s="6" t="str">
        <f>IF(ISNUMBER(FC290),c_min*(Uн_лин*1000/SQRT(3))/FC290,"")</f>
        <v/>
      </c>
      <c r="FE290" s="6" t="str">
        <f>IFERROR(IF(OR(B290="",NOT(ISNUMBER(EN290))),"",1.05*(Uн_лин*1000/SQRT(3))/(_xlfn.XLOOKUP(A290,Щиты[Щит],Щиты[Zmax на шинах, Ом])+FB290)/1000),"")</f>
        <v/>
      </c>
      <c r="FF290" s="6" t="str">
        <f>IF(B290="","",IF(ISNUMBER(AC290),"Сил",IF(IFERROR(_xlfn.XLOOKUP(BC290,Коды_код,Коды_группа)&amp;"","")="","Быт",_xlfn.XLOOKUP(BC290,Коды_код,Коды_группа)&amp;"")))</f>
        <v>Быт</v>
      </c>
      <c r="FG290" s="6" t="str">
        <f t="shared" si="612"/>
        <v>Быт</v>
      </c>
      <c r="FH290" s="6">
        <f>IF(FG290="Щит","щит",IF(FG290="","",IF(FG290="Быт",IFERROR(_xlfn.XLOOKUP(A290,Щиты[Щит],Щиты[Кс быт]),1),IF(FG290="Сил",IF(ISNUMBER(AC290),AC290,IF(Методика="нормы 2026",IFERROR(_xlfn.XLOOKUP(A290,Щиты[Щит],Щиты[Кс силовых (табл. 7.5)]),1),1)),IF(OR(FG290="Пост",FG290="Отоп"),1,IF(FG290="ВНГ",0.7,0))))))</f>
        <v>0.8</v>
      </c>
      <c r="FI290">
        <f>IF(FG290="","",IF(AND(BP290=1,TRIM(AE290&amp;"")=""),IF(COUNTIFS(Линии[Щит],A290,Линии[Секция (1/2/3)],"&gt;=2")&gt;0,MIN(3,MAX(1,IFERROR(--BD290,1))),1),IFERROR(MIN(3,MAX(1,INT(--AE290))),1)))</f>
        <v>1</v>
      </c>
      <c r="FJ290">
        <f t="shared" si="613"/>
        <v>0.24</v>
      </c>
      <c r="FK290">
        <f t="shared" si="614"/>
        <v>0.24</v>
      </c>
      <c r="FL290">
        <f t="shared" si="615"/>
        <v>0</v>
      </c>
      <c r="FM290">
        <f t="shared" si="616"/>
        <v>0</v>
      </c>
      <c r="FN290">
        <f t="shared" si="617"/>
        <v>0</v>
      </c>
      <c r="FO290">
        <f t="shared" si="618"/>
        <v>0</v>
      </c>
      <c r="FP290">
        <f t="shared" si="619"/>
        <v>0.24</v>
      </c>
      <c r="FQ290">
        <f t="shared" si="620"/>
        <v>0.24</v>
      </c>
      <c r="FR290">
        <f t="shared" si="621"/>
        <v>0.22799999999999998</v>
      </c>
      <c r="FS290">
        <f>IF(CG290=1,IF(AND(CH290=1,CW290=1),0,IF(AND(CS290&lt;&gt;"",CS290=BA290,CW290=1),SUMIFS(Линии[_Р линии, кВт],Линии[_блок УЗО],BA290,Линии[Щит],A290),N(BS290)+IF(AJ290="вручную",0,N(CK290)))),0)</f>
        <v>0.24</v>
      </c>
      <c r="FT290" t="str">
        <f t="shared" si="622"/>
        <v>L2</v>
      </c>
      <c r="FU290" t="str">
        <f>IF(B290="","",IF(CG290=0,IF(BA290=1,"",FW289),IF(AND(CH290=1,CW290=1,CS290&lt;&gt;""),IFERROR(_xlfn.XLOOKUP(CS290,Линии[_n],Линии[_фаза итог]),"L1"),IF(OR(N(DL290)&gt;=3,N(BX290)&gt;=3),"L1,L2,L3",IFERROR(_xlfn.TEXTBEFORE(_xlfn.TEXTAFTER(_xlfn.XLOOKUP(A290,Щиты[Щит],Щиты[_фазы авто]),";"&amp;BA290&amp;":"),";"),"L1")))))</f>
        <v>L1</v>
      </c>
      <c r="FV290" t="str">
        <f t="shared" si="623"/>
        <v>L2</v>
      </c>
      <c r="FW290" t="str">
        <f t="shared" si="624"/>
        <v>L2</v>
      </c>
      <c r="FX290" cm="1">
        <f t="array" ref="FX290">IFERROR(IF(CD290=2,_xlfn.IFS(BX290=3,VLOOKUP(BS290,Справочная_двигатели,3,FALSE),BX290=1,VLOOKUP(BS290,Справочная_двигатели,5,TRUE)),0),0)</f>
        <v>0</v>
      </c>
      <c r="FY290">
        <f>IFERROR(IF(CD290=3,VLOOKUP(BS290,Справочная_ЛЭД,2,TRUE),0),0)</f>
        <v>0</v>
      </c>
      <c r="FZ290" s="6">
        <f t="shared" si="625"/>
        <v>0</v>
      </c>
      <c r="GA290" t="str">
        <f>IF(B290="","",IF(TRIM(AH290&amp;"")&lt;&gt;"",IF(LOWER(TRIM(AH290&amp;""))="да","да","нет"),IF(IFERROR(_xlfn.XLOOKUP(BC290,Коды_код,Коды_пожарная),"")="да","да","нет")))</f>
        <v>нет</v>
      </c>
      <c r="GB290" t="str">
        <f t="shared" si="626"/>
        <v/>
      </c>
      <c r="GC290" t="str">
        <f t="shared" si="627"/>
        <v>основная</v>
      </c>
      <c r="GD290">
        <f>IF(AND(BP290=1,TRIM(AE290&amp;"")=""),IF(COUNTIFS(Линии[Щит],A290,Линии[Секция (1/2/3)],"&gt;=2")&gt;0,MIN(3,MAX(1,IFERROR(--BD290,1))),1),IFERROR(MIN(3,MAX(1,INT(--AE290))),1))</f>
        <v>1</v>
      </c>
      <c r="GE290" t="str" cm="1">
        <f t="array" ref="GE290">IF(B290="","",_xlfn.LET(_xlpm.t,IFERROR(_xlfn.XLOOKUP(1,(Шины[Шина]=GC290)*(((Шины[Щит]=A290)+(Шины[Щит]=""))&gt;0),Шины[Тип]),"")&amp;"",IF(_xlpm.t&lt;&gt;"",_xlpm.t,IF(ISNUMBER(SEARCH("ИБП",GC290)),"ИБП",IF(ISNUMBER(SEARCH("ДГУ",GC290)),"ДГУ","Ввод "&amp;GD290)))))</f>
        <v>Ввод 1</v>
      </c>
      <c r="GF290" t="str">
        <f t="shared" si="628"/>
        <v>Ввод 1</v>
      </c>
      <c r="GG290" t="str">
        <f>IF(BP290=0,"",IF(TRIM(AG290&amp;"")&lt;&gt;"",TRIM(AG290&amp;""),IF(OR(GE290="ИБП",GE290="ДГУ"),"I особая",_xlfn.XLOOKUP(A290,Щиты[Щит],Щиты[Категория шины «Ввод»],"III"))))</f>
        <v/>
      </c>
      <c r="GH290" t="str">
        <f>IF(A290="","",_xlfn.XLOOKUP(A290,Щиты[Щит],Щиты[Путь],""))</f>
        <v>|ГРЩ-ЖД|ЩР-2|</v>
      </c>
      <c r="GI290" t="str">
        <f>IF(B290="","",IF(AI290&lt;&gt;"",AI290,IF(IFERROR(_xlfn.XLOOKUP(BC290,Коды_код,Коды_вид)&amp;"","")="","Прочее",_xlfn.XLOOKUP(BC290,Коды_код,Коды_вид)&amp;"")))</f>
        <v>Розеточная сеть и бытовые приборы</v>
      </c>
      <c r="GJ290">
        <f>IF(BM290="","",INT((BM290-1)/Столбцов_на_лист)+1)</f>
        <v>1</v>
      </c>
      <c r="GK290" t="str">
        <f t="shared" si="629"/>
        <v>ВВГнг(А)-LS (3х2,5) L=38-0,31%</v>
      </c>
      <c r="GL290">
        <f t="shared" si="630"/>
        <v>0.24</v>
      </c>
      <c r="GM290">
        <f t="shared" si="631"/>
        <v>1.1000000000000001</v>
      </c>
      <c r="GN290">
        <f t="shared" si="632"/>
        <v>1</v>
      </c>
      <c r="GO290">
        <f t="shared" si="633"/>
        <v>0</v>
      </c>
      <c r="GP290">
        <f t="shared" si="634"/>
        <v>1</v>
      </c>
      <c r="GQ290">
        <f>IF(BM290="","",IF(AND(CG290=1,GP290=1),COUNTIFS(A$3:A290,A290,CG$3:CG290,1,GP$3:GP290,1),IF(OR(OR(BA290=1,A290&lt;&gt;A289),AJ290="вручную",GP290=0),"",IF(BA290=1,"",GR289))))</f>
        <v>7</v>
      </c>
      <c r="GR290">
        <f t="shared" si="635"/>
        <v>7</v>
      </c>
      <c r="GS290">
        <f>IF(B290="","",IFERROR(LOOKUP(INDEX(CHOOSE(EB290,Iдоп_1ж,Iдоп_2ж,Iдоп_3ж),MATCH(EN290,Iдоп_S,0))*DZ290*EA290,{6,10,16,20,25,32,40,50,63,80,100,125,160,200,250,315,400,500,630}),""))</f>
        <v>25</v>
      </c>
      <c r="GT290" t="str">
        <f t="shared" si="636"/>
        <v>QFD7</v>
      </c>
      <c r="GU290" t="str">
        <f t="shared" si="637"/>
        <v>QFD7</v>
      </c>
      <c r="GV290" t="str">
        <f t="shared" si="638"/>
        <v/>
      </c>
      <c r="GW290">
        <f t="shared" si="639"/>
        <v>0</v>
      </c>
      <c r="GX290" t="str">
        <f>IF(OR(B290="",DJ290=""),"",IFERROR(_xlfn.XLOOKUP(DJ290,Модули_умолч[Управление],Модули_умолч[Модель])&amp;"",""))</f>
        <v/>
      </c>
      <c r="GY290">
        <f>IF(DJ290="",1,IFERROR(MAX(0,N(_xlfn.XLOOKUP(DJ290,Модули_умолч[Управление],Модули_умолч[Каналов на линию]))),1))</f>
        <v>1</v>
      </c>
      <c r="GZ290" t="str">
        <f t="shared" si="640"/>
        <v/>
      </c>
      <c r="HA290" t="str">
        <f t="shared" si="641"/>
        <v/>
      </c>
      <c r="HB290" t="str">
        <f t="shared" si="642"/>
        <v/>
      </c>
      <c r="HC290">
        <f>IF(HB290="",0,IFERROR(N(VLOOKUP(HB290,Модули_спр,3,FALSE)),0))</f>
        <v>0</v>
      </c>
      <c r="HD290" t="str">
        <f t="shared" si="643"/>
        <v/>
      </c>
      <c r="HE290" t="str">
        <f t="shared" si="644"/>
        <v/>
      </c>
      <c r="HF290" t="str">
        <f>IF(OR(HE290="",HE290="-"),"",IFERROR(VLOOKUP(HE290,Модули_спр,2,FALSE),"R"))</f>
        <v/>
      </c>
      <c r="HG290" t="str">
        <f>IF(HF290="","",HF290&amp;"."&amp;COUNTIFS(A$3:A290,A290,HF$3:HF290,HF290))</f>
        <v/>
      </c>
      <c r="HH290" t="str">
        <f t="shared" si="645"/>
        <v/>
      </c>
      <c r="HI290" t="str">
        <f t="shared" si="646"/>
        <v/>
      </c>
      <c r="HJ290" t="str">
        <f t="shared" si="647"/>
        <v/>
      </c>
      <c r="HK290" t="str">
        <f t="shared" si="648"/>
        <v/>
      </c>
      <c r="HL290">
        <f t="shared" si="649"/>
        <v>1</v>
      </c>
      <c r="HM290" t="str">
        <f>IF(HL290=1,"XT"&amp;COUNTIFS(A$3:A290,A290,HL$3:HL290,1),"")</f>
        <v>XT7</v>
      </c>
      <c r="HN290" t="str">
        <f t="shared" si="650"/>
        <v>XT7</v>
      </c>
      <c r="HO290" t="str">
        <f t="shared" si="651"/>
        <v>QFD7</v>
      </c>
      <c r="HP290" t="str">
        <f t="shared" si="652"/>
        <v/>
      </c>
      <c r="HQ290" t="str">
        <f t="shared" si="653"/>
        <v>ok</v>
      </c>
      <c r="HR290" t="str">
        <f>IF(OR(HJ290="",HH290=""),"",IF(HJ290+MAX(0,GY290-1)&gt;IFERROR(VLOOKUP(HI290,Модули_спр,3,FALSE),99),"ЛИШНИЙ КАНАЛ",IF(AND(AL290&lt;&gt;"=",GY290&gt;0,COUNTIFS(Линии[_модуль гр.],HH290,Линии[Канал (итог)],HJ290,Линии[Канал],"&lt;&gt;=",Линии[Щит],A290)&gt;1),"ДУБЛЬ КАНАЛА","")))</f>
        <v/>
      </c>
      <c r="HS290" s="6" t="str">
        <f t="shared" si="654"/>
        <v/>
      </c>
      <c r="HT290">
        <f t="shared" si="655"/>
        <v>10</v>
      </c>
      <c r="HU290" t="str">
        <f t="shared" si="656"/>
        <v/>
      </c>
      <c r="HV290">
        <f t="shared" si="657"/>
        <v>0.81757073033319005</v>
      </c>
      <c r="HW290">
        <f t="shared" si="658"/>
        <v>0</v>
      </c>
      <c r="HX290">
        <f t="shared" si="659"/>
        <v>0</v>
      </c>
      <c r="HY290">
        <f t="shared" si="660"/>
        <v>0</v>
      </c>
      <c r="HZ290">
        <f t="shared" si="661"/>
        <v>0</v>
      </c>
      <c r="IA290">
        <f t="shared" si="662"/>
        <v>0</v>
      </c>
      <c r="IB290">
        <f t="shared" si="663"/>
        <v>0</v>
      </c>
      <c r="IC290" t="str">
        <f t="shared" si="664"/>
        <v/>
      </c>
      <c r="ID290" t="str" cm="1">
        <f t="array" ref="ID290">IF(IC290="","",_xlfn.LET(_xlpm.tk,_xlfn.TEXTSPLIT(SUBSTITUTE(SUBSTITUTE(IC290,";"," "),"→"," ")," ",,TRUE),_xlpm.w_,_xlfn._xlws.FILTER(_xlpm.tk,ISNUMBER(--LEFT(_xlpm.tk,1))*((ISNUMBER(SEARCH("W",_xlpm.tk))+ISNUMBER(SEARCH("Вт",_xlpm.tk)))&gt;0),""),IFERROR(--SUBSTITUTE(SUBSTITUTE(UPPER(INDEX(_xlpm.w_,1)),"W",""),"ВТ",""),"")))</f>
        <v/>
      </c>
      <c r="IE290" t="str" cm="1">
        <f t="array" ref="IE290">IF(IC290="","",_xlfn.LET(_xlpm.tk,_xlfn.TEXTSPLIT(SUBSTITUTE(SUBSTITUTE(IC290,";"," "),"→"," ")," ",,TRUE),_xlpm.v_,_xlfn._xlws.FILTER(_xlpm.tk,ISNUMBER(--LEFT(_xlpm.tk,1))*((ISNUMBER(SEARCH("V",_xlpm.tk))+(RIGHT(UPPER(_xlpm.tk))="В"))&gt;0),""),IFERROR(--SUBSTITUTE(SUBSTITUTE(UPPER(INDEX(_xlpm.v_,1)),"V",""),"В",""),"")))</f>
        <v/>
      </c>
      <c r="IF290" s="6" t="str">
        <f>IF(OR(BV290=0,HI290="",HJ290=""),"",IFERROR(N(_xlfn.XLOOKUP(HI290,Каталог!$C$4:$C$500,Каталог!$Q$4:$Q$500)),""))</f>
        <v/>
      </c>
      <c r="IG290" s="6" t="str">
        <f>IF(N(IF290)=0,"",SUMIFS(Линии[Iр, А],Линии[Щит],A290,Линии[_модуль гр.],HH290,Линии[Канал (итог)],HJ290))</f>
        <v/>
      </c>
      <c r="IH290" t="str">
        <f>IF(AND(B290="",HO290=""),"",_xlfn.TEXTJOIN("; ",TRUE,IF(AND(B290&lt;&gt;"",FV290=""),"нет фазы",""),IF(AND(B290&lt;&gt;"",N(GL290)=0,FG290&lt;&gt;"Нет"),"нет мощности",""),IF(AND(HN290&lt;&gt;"",COUNTIFS(Линии[Щит],A290,Линии[Клемма (итог)],HN290)&gt;1),"дубль клеммы "&amp;HN290,""),IF(AND(HQ290&lt;&gt;"",HQ290&lt;&gt;"ok"),HQ290,""),IF(HR290&lt;&gt;"",HR290,""),IF(AND(N(CB290)&gt;=4,N(BX290)=1),CB290&amp;" жил на 1 фазе",""),IF(AND(BC290="R",CG290=1,IF(CS290&lt;&gt;"",N(CV290)&gt;30,OR(N(DA290)=0,N(DA290)&gt;30))),"розетка без дифзащиты до 30 мА",""),IF(AND(CG290=1,N(DA290)&gt;0,ISNUMBER(T290)),IF(T290&gt;N(DA290)/3,"ток утечки "&amp;FIXED(T290,1)&amp;" мА &gt; 1/3 уставки ("&amp;DA290&amp;" мА)",""),""),IF(AND(CH290=1,CS290=""),"«узо»: нет строки с УЗО выше (УЗО 2P 40А 30мА в «Аппаратах»)",""),IF(AND(CS290&lt;&gt;"",CS290=BA290),IF(CT290="","впишите номинал УЗО (УЗО 2P 40А 30мА)",IF(N(CT290)&lt;N(DT290),"УЗО "&amp;CT290&amp;" А &lt; автомата "&amp;DT290&amp;" А перед ним",IF(N(CT290)&lt;N(CX290),"УЗО "&amp;CT290&amp;" А &lt; тока блока "&amp;FIXED(CX290,1)&amp;" А",""))),""),IF(AND(CS290&lt;&gt;"",CS290=BA290,ISNUMBER(CY290)),IF(CY290&gt;N(CV290)/3,"ток утечки блока УЗО "&amp;FIXED(CY290,1)&amp;" мА &gt; 1/3 уставки ("&amp;CV290&amp;" мА)",""),""),IF(AND(CG290=1,N(BV290)+N(IB290)&gt;0,IC290=""),"линии до 50 В без БП: впишите в «Аппараты» (БП 24V 480W)",""),IF(AND(CG290=1,ISNUMBER(ID290),ISNUMBER(U290)),IF(U290&gt;ID290,"БП "&amp;ID290&amp;" Вт &lt; нужно "&amp;U290&amp;" Вт (×"&amp;Запас_БП&amp;")",""),""),IF(AND(CG290=1,ISNUMBER(IE290),N(BV290)=1),IF(IE290&lt;&gt;N(BU290),"БП на "&amp;IE290&amp;" В, линия "&amp;BU290&amp;" В",""),""),IF(AND(N(IF290)&gt;0,N(IG290)&gt;N(IF290)),HH290&amp;" канал "&amp;HJ290&amp;": "&amp;FIXED(IG290,1)&amp;" А &gt; "&amp;IF290&amp;" А",""),IFERROR(IF(AND(ISNUMBER(Q290),Q290&gt;EL290),"потери "&amp;FIXED(Q290,1)&amp;" % &gt; "&amp;EL290&amp;" %",""),""),IFERROR(IF(LEFT(HU290,4)="мало","Iкз мало — отключение &gt; 0,4 с",""),""),IF(AND(B290&lt;&gt;"",BM290=""),"не на схеме",""),IF(AND(CG290=0,B290&lt;&gt;"",FV290&lt;&gt;"",IF(BA290=1,"",FW289)&lt;&gt;"",FV290&lt;&gt;IF(BA290=1,"",FW289)),"фаза не как у автомата группы ("&amp;IF(BA290=1,"",FW289)&amp;")","")))</f>
        <v/>
      </c>
      <c r="II290" s="6">
        <f>IF(OR(CG290=0,DQ290=""),"",_xlfn.LET(_xlpm.t,IFERROR(_xlfn.XLOOKUP(DQ290,Каталог!$U$4:$U$500,Каталог!$G$4:$G$500),""),_xlpm.k,SEARCH("кА",_xlpm.t),IFERROR(--TRIM(RIGHT(SUBSTITUTE(MID(_xlpm.t,MAX(1,_xlpm.k-4),_xlpm.k-MAX(1,_xlpm.k-4))," ",REPT(" ",9)),5)),"")))</f>
        <v>6</v>
      </c>
      <c r="IJ290" t="str">
        <f>IF(OR(II290="",CG290=0),"",IF(_xlfn.XLOOKUP(A290,Щиты[Щит],Щиты[Iкз max на шинах, кА],"")="","",IF(II290&lt;_xlfn.XLOOKUP(A290,Щиты[Щит],Щиты[Iкз max на шинах, кА]),"Icu "&amp;II290&amp;" кА &lt; Iкз max","ok")))</f>
        <v/>
      </c>
      <c r="IK290" t="str">
        <f t="shared" si="665"/>
        <v/>
      </c>
      <c r="IL290" t="str">
        <f t="shared" si="666"/>
        <v>QFD7|XT7</v>
      </c>
      <c r="IM290" t="str">
        <f t="shared" si="667"/>
        <v>QFD7|XT7|кабель ВВГнг(А)-LS (3х2,5) → Розеточная группа, пом. 009А</v>
      </c>
      <c r="IN290" t="str" cm="1">
        <f t="array" ref="IN290">IF(IM290="","",_xlfn.LET(_xlpm.nd,_xlfn.TEXTSPLIT(IM290,"|"),IF(COLUMNS(_xlpm.nd)&gt;1,A290&amp;"¦"&amp;INDEX(_xlpm.nd,1)&amp;"¦"&amp;INDEX(_xlpm.nd,2),"")))</f>
        <v>ЩР-2¦QFD7¦XT7</v>
      </c>
      <c r="IO290" t="str">
        <f t="shared" si="668"/>
        <v>R.2.009А.2¦Розеточная группа, пом. 009А</v>
      </c>
      <c r="IP290" t="str" cm="1">
        <f t="array" ref="IP290">IF(IM290="","",_xlfn.LET(_xlpm.nd,_xlfn.TEXTSPLIT(IM290,"|"),IF(COLUMNS(_xlpm.nd)&gt;2,A290&amp;"¦"&amp;INDEX(_xlpm.nd,2)&amp;"¦"&amp;INDEX(_xlpm.nd,3),"")))</f>
        <v>ЩР-2¦XT7¦кабель ВВГнг(А)-LS (3х2,5) → Розеточная группа, пом. 009А</v>
      </c>
      <c r="IQ290" t="str">
        <f t="shared" si="669"/>
        <v>R.2.009А.2¦Розеточная группа, пом. 009А</v>
      </c>
      <c r="IR290" t="str" cm="1">
        <f t="array" ref="IR290">IF(IM290="","",_xlfn.LET(_xlpm.nd,_xlfn.TEXTSPLIT(IM290,"|"),IF(COLUMNS(_xlpm.nd)&gt;3,A290&amp;"¦"&amp;INDEX(_xlpm.nd,3)&amp;"¦"&amp;INDEX(_xlpm.nd,4),"")))</f>
        <v/>
      </c>
      <c r="IS290" t="str">
        <f t="shared" si="670"/>
        <v/>
      </c>
      <c r="IT290" t="str" cm="1">
        <f t="array" ref="IT290">IF(IM290="","",_xlfn.LET(_xlpm.nd,_xlfn.TEXTSPLIT(IM290,"|"),IF(COLUMNS(_xlpm.nd)&gt;4,A290&amp;"¦"&amp;INDEX(_xlpm.nd,4)&amp;"¦"&amp;INDEX(_xlpm.nd,5),"")))</f>
        <v/>
      </c>
      <c r="IU290" t="str">
        <f t="shared" si="671"/>
        <v/>
      </c>
      <c r="IV290" t="str" cm="1">
        <f t="array" ref="IV290">IF(IM290="","",_xlfn.LET(_xlpm.nd,_xlfn.TEXTSPLIT(IM290,"|"),IF(COLUMNS(_xlpm.nd)&gt;5,A290&amp;"¦"&amp;INDEX(_xlpm.nd,5)&amp;"¦"&amp;INDEX(_xlpm.nd,6),"")))</f>
        <v/>
      </c>
      <c r="IW290" t="str">
        <f t="shared" si="672"/>
        <v/>
      </c>
      <c r="IX290" t="str" cm="1">
        <f t="array" ref="IX290">IF(IM290="","",_xlfn.LET(_xlpm.nd,_xlfn.TEXTSPLIT(IM290,"|"),IF(COLUMNS(_xlpm.nd)&gt;6,A290&amp;"¦"&amp;INDEX(_xlpm.nd,6)&amp;"¦"&amp;INDEX(_xlpm.nd,7),"")))</f>
        <v/>
      </c>
      <c r="IY290" t="str">
        <f t="shared" si="673"/>
        <v/>
      </c>
      <c r="IZ290" t="str">
        <f t="shared" si="674"/>
        <v/>
      </c>
      <c r="JA290" t="str">
        <f t="shared" si="675"/>
        <v>QFD7 → XT7</v>
      </c>
      <c r="JB290">
        <f t="shared" si="676"/>
        <v>0</v>
      </c>
      <c r="JC290">
        <f t="shared" si="677"/>
        <v>1</v>
      </c>
      <c r="JD290" t="str">
        <f t="shared" si="678"/>
        <v/>
      </c>
      <c r="JE290" t="str">
        <f t="shared" si="679"/>
        <v/>
      </c>
      <c r="JF290" t="str">
        <f t="shared" si="680"/>
        <v/>
      </c>
      <c r="JG290" t="str">
        <f t="shared" si="681"/>
        <v/>
      </c>
      <c r="JH290" t="str">
        <f>IF(B290="","",IFERROR(_xlfn.XLOOKUP(B290,Коды_код,Коды_уго),IFERROR(_xlfn.XLOOKUP(BC290,Коды_код,Коды_уго),IFERROR(_xlfn.XLOOKUP(LEFT(BC290,2),Коды_код,Коды_уго),""))))</f>
        <v>Розетка</v>
      </c>
      <c r="JI290" t="str">
        <f>IF(B290="","",IF(OR(JH290="",JH290=0),"BOX",IFERROR(IF(VLOOKUP(JH290,УГО_блоки,3,FALSE)&amp;""&lt;&gt;"",VLOOKUP(JH290,УГО_блоки,3,FALSE),VLOOKUP(JH290,УГО_блоки,2,FALSE)),JH290)))</f>
        <v>SOCKET</v>
      </c>
      <c r="JJ290">
        <f t="shared" si="682"/>
        <v>1</v>
      </c>
      <c r="JK290" t="str">
        <f>IF(DQ290="","",IF(COUNTIF(DQ$3:DQ290,DQ290)=1,MAX(JK$2:JK289)+1,""))</f>
        <v/>
      </c>
      <c r="JL290" t="str">
        <f>IF(DE290="","",IF(COUNTIF(DE$3:DE290,DE290)+COUNTIF(DF$2:DF289,DE290)+COUNTIF(DG$2:DG289,DE290)=1,MAX(JL$2:JN289)+1,""))</f>
        <v/>
      </c>
      <c r="JM290" t="str">
        <f>IF(DF290="","",IF(COUNTIF(DE$3:DE290,DF290)+COUNTIF(DF$3:DF290,DF290)+COUNTIF(DG$2:DG289,DF290)=1,MAX(JL$2:JN289,JL290)+1,""))</f>
        <v/>
      </c>
      <c r="JN290" t="str">
        <f>IF(DG290="","",IF(COUNTIF(DE$3:DE290,DG290)+COUNTIF(DF$3:DF290,DG290)+COUNTIF(DG$3:DG290,DG290)=1,MAX(JL$2:JN289,JL290,JM290)+1,""))</f>
        <v/>
      </c>
      <c r="JO290" t="str">
        <f t="shared" si="683"/>
        <v>3х2,5</v>
      </c>
      <c r="JP290" t="str">
        <f>IF(JO290="","",IF(COUNTIF(JO$3:JO290,JO290)=1,MAX(JP$2:JP289)+1,""))</f>
        <v/>
      </c>
      <c r="JQ290" t="str">
        <f>IF(HG290="","",COUNTIF(HG$3:HG290,"?*"))</f>
        <v/>
      </c>
      <c r="JR290" t="str">
        <f>IF(OR(HG290="",HI290=""),"",IF(COUNTIFS(HG$3:HG290,"?*",HI$3:HI290,HI290)=1,MAX(JR$2:JR289)+1,""))</f>
        <v/>
      </c>
      <c r="JS290">
        <f t="shared" si="684"/>
        <v>0</v>
      </c>
      <c r="JT290">
        <f>IF(B290="","",COUNTIF(B$3:B290,"?*"))</f>
        <v>288</v>
      </c>
      <c r="JU290">
        <f>IF(HL290&lt;&gt;1,0,_xlfn.LET(_xlpm.k,MAX(IFERROR(--_xlfn.XLOOKUP(B290,Коды_код,Коды_3L),0),IFERROR(--_xlfn.XLOOKUP(BC290,Коды_код,Коды_3L),0),IFERROR(--_xlfn.XLOOKUP(LEFT(BC290,2),Коды_код,Коды_3L),0)),IF(_xlpm.k&gt;0,_xlpm.k,IF(IFERROR(--LEFT(SUBSTITUTE(JO290,"x","х"),FIND("х",SUBSTITUTE(JO290,"x","х"))-1),3)&gt;3,Каталог!$S$9,1))))</f>
        <v>1</v>
      </c>
      <c r="JV290">
        <f t="shared" si="685"/>
        <v>0</v>
      </c>
      <c r="JW290" t="str">
        <f t="shared" si="686"/>
        <v>авто</v>
      </c>
      <c r="JX290">
        <f t="shared" si="687"/>
        <v>30</v>
      </c>
      <c r="JY290">
        <f t="shared" si="688"/>
        <v>1</v>
      </c>
      <c r="JZ290">
        <f t="shared" si="689"/>
        <v>1</v>
      </c>
    </row>
    <row r="291" spans="1:286" x14ac:dyDescent="0.3">
      <c r="A291" t="s">
        <v>759</v>
      </c>
      <c r="B291" t="s">
        <v>1596</v>
      </c>
      <c r="C291" t="str">
        <f>Линии[[#This Row],[_авто наименование]]</f>
        <v>Розеточная группа, пом. 010А</v>
      </c>
      <c r="D291">
        <v>1</v>
      </c>
      <c r="E291">
        <v>0.06</v>
      </c>
      <c r="G291">
        <v>16</v>
      </c>
      <c r="H291" t="str">
        <f>Линии[[#This Row],[_авто управление]]</f>
        <v/>
      </c>
      <c r="I291" t="str">
        <f>Линии[[#This Row],[_авто аппараты]]</f>
        <v/>
      </c>
      <c r="J291">
        <v>2.5</v>
      </c>
      <c r="K291">
        <v>32</v>
      </c>
      <c r="L291">
        <v>2</v>
      </c>
      <c r="M291" t="str">
        <f>Линии[[#This Row],[_авто клемма]]</f>
        <v>XT8</v>
      </c>
      <c r="N291" t="str">
        <f t="shared" si="552"/>
        <v/>
      </c>
      <c r="O291" s="6" cm="1">
        <f t="array" ref="O291">IF(B291="","",IF(BH291&lt;&gt;"",IFERROR(_xlfn.XLOOKUP(BH291,Щиты[Щит],Щиты[Iр, А]),""),IF(BP291=1,IF(OR(N(_xlfn.XLOOKUP(A291,Щиты[Щит],Щиты[Вводов],1))&lt;=1,LOWER(TRIM(_xlfn.XLOOKUP(A291,Щиты[Щит],Щиты[АВР],"")&amp;""))="да"),IFERROR(_xlfn.XLOOKUP(A291,Щиты[Щит],Щиты[Iр, А]),""),IFERROR(N(BS291)*_xlfn.XLOOKUP(A291,Щиты[Щит],Щиты[Кс итог])/(SQRT(3)*Uн_лин*_xlfn.XLOOKUP(A291,Щиты[Щит],Щиты[cos φ])),"")),IF(BV291=1,IFERROR(BS291*1000/BU291,""),IFERROR(_xlfn.IFS(BX291=1,BS291/((Uн_лин/SQRT(3))*CE291),BX291=3,BS291/(SQRT(3)*Uн_лин*CE291)),"")))))</f>
        <v>0.27348170645824377</v>
      </c>
      <c r="P291" s="7">
        <f>IF(B291="","",IFERROR(IF(VLOOKUP(BC291,Потребители_обозначение,4,FALSE)=1,VLOOKUP(BC291,Потребители_обозначение,3,FALSE)*(MAX(1,N(D291))*2-1)+EI291+VLOOKUP(BE291,Этаж_обозначение,3,FALSE)+VLOOKUP(BE291,Этаж_обозначение,4,FALSE),VLOOKUP(BC291,Потребители_обозначение,3,FALSE)*(MAX(1,N(D291))*2-1)+EI291),EI291))</f>
        <v>35</v>
      </c>
      <c r="Q291" s="6">
        <f t="shared" si="553"/>
        <v>1.87</v>
      </c>
      <c r="R291" t="str">
        <f t="shared" si="554"/>
        <v>ВВГнг(А)-LS (3х2,5)</v>
      </c>
      <c r="S291" t="str">
        <f>IF(BM291="","",IF(BN291="вводной узел","узел ","")&amp;"л."&amp;(INT((BM291-1)/Столбцов_на_лист)+1)&amp;" / "&amp;(MOD(BM291-1,Столбцов_на_лист)+1))</f>
        <v>л.1 / 16</v>
      </c>
      <c r="T291" s="119">
        <f t="shared" si="555"/>
        <v>0.5</v>
      </c>
      <c r="U291" s="7" t="str">
        <f>IF(OR(CG291=0,N(BV291)+N(IB291)=0),"",ROUNDUP(Запас_БП*(N(HY291)+N(HZ291)),0))</f>
        <v/>
      </c>
      <c r="V291" s="119" t="str">
        <f t="shared" si="556"/>
        <v/>
      </c>
      <c r="W291" s="7" t="str">
        <f>IFERROR(IF(OR(B291="",BP291=1,BV291=1,NOT(ISNUMBER(EN291)),N(DT291)=0),"",MAX(0,ROUNDDOWN((c_min*(Uн_лин*1000/SQRT(3))/(HT291*N(DT291))-_xlfn.XLOOKUP(A291,Щиты[Щит],Щиты[Zпетли на шинах, Ом]))*EN291/(2*ρкз_Cu),0))),"")</f>
        <v/>
      </c>
      <c r="Y291">
        <f>Линии[[#This Row],[_авто утечка]]</f>
        <v>30</v>
      </c>
      <c r="Z291">
        <v>1</v>
      </c>
      <c r="AA291">
        <v>230</v>
      </c>
      <c r="AB291" t="s">
        <v>562</v>
      </c>
      <c r="AG291" t="s">
        <v>810</v>
      </c>
      <c r="AI291" t="s">
        <v>561</v>
      </c>
      <c r="AK291" t="str">
        <f>Линии[[#This Row],[_авто модуль]]</f>
        <v/>
      </c>
      <c r="AM291">
        <v>16</v>
      </c>
      <c r="AN291" t="s">
        <v>11</v>
      </c>
      <c r="AO291">
        <v>3</v>
      </c>
      <c r="AQ291">
        <v>12</v>
      </c>
      <c r="AR291">
        <v>17</v>
      </c>
      <c r="AS291">
        <v>0</v>
      </c>
      <c r="AT291">
        <v>2</v>
      </c>
      <c r="BA291" cm="1">
        <f t="array" ref="BA291">ROW()-ROW(Линии[#Headers])</f>
        <v>289</v>
      </c>
      <c r="BC291" s="6" t="str">
        <f t="shared" si="557"/>
        <v>R</v>
      </c>
      <c r="BD291" t="str">
        <f t="shared" si="558"/>
        <v>2.010А.1</v>
      </c>
      <c r="BE291" t="str">
        <f t="shared" si="559"/>
        <v>2</v>
      </c>
      <c r="BF291" t="str">
        <f t="shared" si="560"/>
        <v>010А.1</v>
      </c>
      <c r="BG291" t="str">
        <f t="shared" si="561"/>
        <v>010А</v>
      </c>
      <c r="BH291" t="str">
        <f>IF(X291&lt;&gt;"",X291,IF(AND(B291&lt;&gt;"",B291&lt;&gt;A291,ISNUMBER(_xlfn.XMATCH(B291,Щиты[Щит]))),B291,""))</f>
        <v/>
      </c>
      <c r="BI291" t="str" cm="1">
        <f t="array" ref="BI291">IF(B291="","",IF(BH291&lt;&gt;"","Щит "&amp;BH291,_xlfn.LET(_xlpm.nm,IFERROR(_xlfn.XLOOKUP(BC291,Коды_код,Коды_имя)&amp;"",""),_xlpm.md,IFERROR(N(_xlfn.XLOOKUP(BC291,Коды_код,Коды_режим)),1),_xlpm.ex,IF(Имя_режим="по экспликации",IFERROR(_xlfn.XLOOKUP(BE291&amp;"|"&amp;BG291,Экспликация[Этаж]&amp;"|"&amp;Экспликация[Помещение],Экспликация[Название])&amp;"",""),""),_xlpm.rm,IF(BG291="","",IF(_xlpm.ex&lt;&gt;"",". "&amp;_xlpm.ex&amp;IF(Имя_пом="нет"," ("&amp;BG291&amp;")"," (пом. "&amp;BG291&amp;")"),IF(Имя_пом="нет"," ",", пом. ")&amp;BG291)),IF(_xlpm.nm="","",IF(_xlpm.md=2,_xlpm.nm&amp;" шлейф "&amp;BE291,_xlpm.nm&amp;_xlpm.rm)))))</f>
        <v>Розеточная группа, пом. 010А</v>
      </c>
      <c r="BJ291" t="str">
        <f t="shared" si="562"/>
        <v>Розеточная группа, пом. 010А</v>
      </c>
      <c r="BK291">
        <f>IFERROR(_xlfn.XMATCH(A291,Щиты[Щит]),0)</f>
        <v>11</v>
      </c>
      <c r="BL291">
        <f>_xlfn.LET(_xlpm.k,IFERROR(_xlfn.XLOOKUP(A291,Щиты[Щит],Щиты[Мест под вводной узел]),""),IF(_xlpm.k="",Столбцов_на_лист,N(_xlpm.k)))</f>
        <v>8</v>
      </c>
      <c r="BM291">
        <f t="shared" si="563"/>
        <v>16</v>
      </c>
      <c r="BN291" t="str">
        <f t="shared" si="564"/>
        <v>линии</v>
      </c>
      <c r="BO291" s="6">
        <f>IFERROR(N(_xlfn.XLOOKUP(BC291,Коды_код,Коды_квт)),0)</f>
        <v>0</v>
      </c>
      <c r="BP291">
        <f t="shared" si="565"/>
        <v>0</v>
      </c>
      <c r="BQ291" t="str">
        <f>IF(B291="","",IF(BH291&lt;&gt;"",IFERROR(_xlfn.XLOOKUP(BH291,Щиты[Щит],Щиты[Руст, кВт]),0),IF(BP291=1,IF(OR(N(_xlfn.XLOOKUP(A291,Щиты[Щит],Щиты[Вводов],1))&lt;=1,LOWER(TRIM(_xlfn.XLOOKUP(A291,Щиты[Щит],Щиты[АВР],"")&amp;""))="да"),IFERROR(_xlfn.XLOOKUP(A291,Щиты[Щит],Щиты[Руст, кВт]),0),SUMIFS(Линии[_Р для вводов],Линии[Щит],A291,Линии[Источник для режимов],GF291)),IF(BO291&gt;0,ROUND(BO291*MAX(1,N(D291)),3),""))))</f>
        <v/>
      </c>
      <c r="BR291">
        <f t="shared" si="566"/>
        <v>0.06</v>
      </c>
      <c r="BS291" s="6">
        <f>IF(B291="","",IF(BH291&lt;&gt;"",IFERROR(_xlfn.XLOOKUP(BH291,Щиты[Щит],Щиты[Руст, кВт]),0),N(BR291)))</f>
        <v>0.06</v>
      </c>
      <c r="BT291" t="str">
        <f>IF(B291="","",IFERROR(IF(VLOOKUP(BC291,Потребители_обозначение,8,FALSE)=0,"",VLOOKUP(BC291,Потребители_обозначение,8,FALSE)),""))</f>
        <v/>
      </c>
      <c r="BU291">
        <f t="shared" si="567"/>
        <v>230</v>
      </c>
      <c r="BV291">
        <f t="shared" si="568"/>
        <v>0</v>
      </c>
      <c r="BW291">
        <f>IF(B291="","",IF(BH291&lt;&gt;"",3,IFERROR(IF(N(VLOOKUP(BC291,Потребители_обозначение,9,FALSE))=0,1,VLOOKUP(BC291,Потребители_обозначение,9,FALSE)),1)))</f>
        <v>1</v>
      </c>
      <c r="BX291">
        <f t="shared" si="569"/>
        <v>1</v>
      </c>
      <c r="BY291" t="str">
        <f>IF(B291="","",_xlfn.LET(_xlpm.bc,IFERROR(IF(VLOOKUP(BC291,Потребители_обозначение,6,FALSE)=0,"",VLOOKUP(BC291,Потребители_обозначение,6,FALSE)&amp;""),""),IF(AND(GA291="да",OR(_xlpm.bc="",_xlpm.bc="мс")),Марка_пож,IF(AND(_xlpm.bc="",BH291&lt;&gt;""),"мс",_xlpm.bc))))</f>
        <v/>
      </c>
      <c r="BZ291" t="str">
        <f t="shared" si="570"/>
        <v>мс</v>
      </c>
      <c r="CA291">
        <f>IF(B291="","",_xlfn.LET(_xlpm.cc,IFERROR(N(VLOOKUP(BC291,Потребители_обозначение,7,FALSE)),0),IF(_xlpm.cc&gt;0,_xlpm.cc,IF(BZ291="","",IF(BV291=1,2,IF(N(BX291)=3,5,3))))))</f>
        <v>3</v>
      </c>
      <c r="CB291">
        <f t="shared" si="571"/>
        <v>3</v>
      </c>
      <c r="CC291">
        <f>IFERROR(N(VLOOKUP(BC291,Потребители_обозначение,10,FALSE)),0)</f>
        <v>0</v>
      </c>
      <c r="CD291">
        <f>IFERROR(VLOOKUP(BC291,Потребители_обозначение,5,FALSE),0)</f>
        <v>1</v>
      </c>
      <c r="CE291" s="6" cm="1">
        <f t="array" ref="CE291">IF(B291="","",IF(BH291&lt;&gt;"",IFERROR(_xlfn.XLOOKUP(BH291,Щиты[Щит],Щиты[cos φ]),0.95),IF(BP291=1,IFERROR(_xlfn.XLOOKUP(A291,Щиты[Щит],Щиты[cos φ]),0.95),IF(ISNUMBER(AD291),AD291,IFERROR(IF(CD291=2,_xlfn.IFS(BX291=3,VLOOKUP(BS291,Справочная_двигатели,8,FALSE),BX291=1,VLOOKUP(BS291,Справочная_двигатели,10,TRUE)),IF(AND(Методика="нормы 2026",FG291="Сил"),0.8,0.95)),0.95)))))</f>
        <v>0.95</v>
      </c>
      <c r="CF291">
        <f t="shared" si="572"/>
        <v>0</v>
      </c>
      <c r="CG291">
        <f t="shared" si="573"/>
        <v>1</v>
      </c>
      <c r="CH291">
        <f t="shared" si="574"/>
        <v>0</v>
      </c>
      <c r="CI291">
        <f>IF(B291="","",IF(BV291=1,IFERROR(BS291/((Uн_лин/SQRT(3))*MAX(0.5,N(CE291))),0),N(O291)))</f>
        <v>0.27348170645824377</v>
      </c>
      <c r="CJ291">
        <f t="shared" si="575"/>
        <v>0</v>
      </c>
      <c r="CK291">
        <f t="shared" si="576"/>
        <v>0</v>
      </c>
      <c r="CL291">
        <f t="shared" si="577"/>
        <v>0</v>
      </c>
      <c r="CM291">
        <f t="shared" si="578"/>
        <v>0</v>
      </c>
      <c r="CN291">
        <f t="shared" si="579"/>
        <v>0</v>
      </c>
      <c r="CO291">
        <f>IF(BC291="",0,_xlfn.LET(_xlpm.v,IFERROR(_xlfn.XLOOKUP(B291,Коды_код,Коды_мА),IFERROR(_xlfn.XLOOKUP(BC291,Коды_код,Коды_мА),IFERROR(_xlfn.XLOOKUP(LEFT(BC291,2),Коды_код,Коды_мА),""))),IF(_xlpm.v="да",30,IF(ISNUMBER(_xlpm.v),_xlpm.v,0))))</f>
        <v>30</v>
      </c>
      <c r="CP291">
        <f t="shared" si="580"/>
        <v>30</v>
      </c>
      <c r="CQ291" t="str">
        <f>_xlfn.LET(_xlpm.k,IFERROR(_xlfn.XLOOKUP(BC291,Коды_код,Коды_утечка)&amp;"",""),IF(_xlpm.k="","дифавтомат",_xlpm.k))</f>
        <v>дифавтомат</v>
      </c>
      <c r="CR291" t="str" cm="1">
        <f t="array" ref="CR291">IF(CG291=0,"",_xlfn.LET(_xlpm.sg,TRIM(_xlfn.TEXTSPLIT(DD291&amp;"",";")),_xlpm.f_,_xlfn._xlws.FILTER(_xlpm.sg,LEFT(_xlpm.sg,3)="УЗО",""),IFERROR(INDEX(_xlpm.f_,1)&amp;"","")))</f>
        <v/>
      </c>
      <c r="CS291" t="str">
        <f t="shared" si="581"/>
        <v/>
      </c>
      <c r="CT291" s="6" t="str" cm="1">
        <f t="array" ref="CT291">IF(CR291="","",_xlfn.LET(_xlpm.tk,_xlfn.TEXTSPLIT(UPPER(CR291)," ",,TRUE),_xlpm.a_,_xlfn._xlws.FILTER(_xlpm.tk,ISNUMBER(--LEFT(_xlpm.tk,1))*((ISNUMBER(SEARCH("А",_xlpm.tk))+ISNUMBER(SEARCH("A",_xlpm.tk)))&gt;0)*NOT(ISNUMBER(SEARCH("МА",_xlpm.tk)))*NOT(ISNUMBER(SEARCH("MA",_xlpm.tk))),""),IFERROR(--SUBSTITUTE(SUBSTITUTE(INDEX(_xlpm.a_,1),"А",""),"A",""),"")))</f>
        <v/>
      </c>
      <c r="CU291" t="str" cm="1">
        <f t="array" ref="CU291">IF(CR291="","",_xlfn.LET(_xlpm.tk,_xlfn.TEXTSPLIT(UPPER(CR291)," ",,TRUE),_xlpm.a_,_xlfn._xlws.FILTER(_xlpm.tk,ISNUMBER(--LEFT(_xlpm.tk,1))*((ISNUMBER(SEARCH("МА",_xlpm.tk))+ISNUMBER(SEARCH("MA",_xlpm.tk)))&gt;0),""),IFERROR(--SUBSTITUTE(SUBSTITUTE(INDEX(_xlpm.a_,1),"МА",""),"MA",""),30)))</f>
        <v/>
      </c>
      <c r="CV291" t="str">
        <f>IF(CS291="","",IFERROR(_xlfn.XLOOKUP(CS291,Линии[_n],Линии[_УЗО, мА]),30))</f>
        <v/>
      </c>
      <c r="CW291">
        <f>IF(CS291="",0,IF(ISNUMBER(SEARCH("4P",IFERROR(_xlfn.XLOOKUP(CS291,Линии[_n],Линии[_УЗО строки])&amp;"",""))),0,1))</f>
        <v>0</v>
      </c>
      <c r="CX291" t="str">
        <f>IF(AND(CS291&lt;&gt;"",CS291=BA291),SUMIFS(Линии[_ток на 230 В],Линии[_блок УЗО],BA291,Линии[Щит],A291),"")</f>
        <v/>
      </c>
      <c r="CY291" t="str">
        <f>IF(AND(CS291&lt;&gt;"",CS291=BA291),SUMIFS(Линии[_ток утечки линии, мА],Линии[_блок УЗО],BA291,Линии[Щит],A291),"")</f>
        <v/>
      </c>
      <c r="CZ291">
        <f t="shared" si="582"/>
        <v>30</v>
      </c>
      <c r="DA291">
        <f t="shared" si="583"/>
        <v>30</v>
      </c>
      <c r="DB291">
        <f>IF(B291="",0,IFERROR(--_xlfn.XLOOKUP(B291,Коды_код,Коды_минавт),IFERROR(--_xlfn.XLOOKUP(BC291,Коды_код,Коды_минавт),IFERROR(--_xlfn.XLOOKUP(LEFT(BC291,2),Коды_код,Коды_минавт),0))))</f>
        <v>16</v>
      </c>
      <c r="DC291" t="str">
        <f>IF(B291="","",IFERROR(_xlfn.XLOOKUP(BC291,Коды_код,Коды_апп)&amp;"",""))</f>
        <v/>
      </c>
      <c r="DD291" t="str">
        <f t="shared" si="584"/>
        <v/>
      </c>
      <c r="DE291" t="str" cm="1">
        <f t="array" ref="DE291">IF(TRIM(DD291&amp;"")="","",IFERROR(TRIM(INDEX(_xlfn.TEXTSPLIT(DD291&amp;";;;",";"),1)),""))</f>
        <v/>
      </c>
      <c r="DF291" t="str" cm="1">
        <f t="array" ref="DF291">IF(TRIM(DD291&amp;"")="","",IFERROR(TRIM(INDEX(_xlfn.TEXTSPLIT(DD291&amp;";;;",";"),2)),""))</f>
        <v/>
      </c>
      <c r="DG291" t="str" cm="1">
        <f t="array" ref="DG291">IF(TRIM(DD291&amp;"")="","",IFERROR(TRIM(INDEX(_xlfn.TEXTSPLIT(DD291&amp;";;;",";"),3)),""))</f>
        <v/>
      </c>
      <c r="DH291">
        <f t="shared" si="585"/>
        <v>0</v>
      </c>
      <c r="DI291" t="str">
        <f>IF(B291="","",_xlfn.LET(_xlpm.t,LOWER(AZ291&amp;""),IF(ISNUMBER(SEARCH("dim",_xlpm.t)),"DIM",IF(ISNUMBER(SEARCH("dali",_xlpm.t)),"DALI",IF(OR(ISNUMBER(SEARCH("relay",_xlpm.t)),ISNUMBER(SEARCH("реле",_xlpm.t))),"Relay",IF(ISNUMBER(SEARCH("кнопк",_xlpm.t)),"",IFERROR(_xlfn.XLOOKUP(BC291,Коды_код,Коды_упр)&amp;"","")))))))</f>
        <v/>
      </c>
      <c r="DJ291" t="str">
        <f t="shared" si="586"/>
        <v/>
      </c>
      <c r="DK291">
        <f>IF(B291="","",_xlfn.LET(_xlpm.ig,IF(N(CX291)&gt;0,N(CX291),N(CI291)+IF(AJ291="вручную",0,N(CJ291))),_xlpm.n0,IFERROR(VLOOKUP(_xlpm.ig,Автомат_номиналы,2,TRUE),0),_xlpm.mn,MAX(DB291,IF(AJ291="вручную",0,N(CM291))),MAX(_xlpm.n0,_xlpm.mn,IF(DH291=1,Мин_автомат_БП,0))))</f>
        <v>16</v>
      </c>
      <c r="DL291">
        <f t="shared" si="587"/>
        <v>1</v>
      </c>
      <c r="DM291" t="str">
        <f t="shared" si="588"/>
        <v>2P</v>
      </c>
      <c r="DN291" t="str">
        <f>_xlfn.LET(_xlpm.cc,UPPER(TRIM(IFERROR(_xlfn.XLOOKUP(BC291,Коды_код,Коды_хар)&amp;"",""))),IF(OR(_xlpm.cc="B",_xlpm.cc="В"),"B",IF(_xlpm.cc="D","D","С")))</f>
        <v>С</v>
      </c>
      <c r="DO291" t="str">
        <f t="shared" si="589"/>
        <v>2P С16А 30мА</v>
      </c>
      <c r="DP291">
        <f t="shared" si="590"/>
        <v>16</v>
      </c>
      <c r="DQ291" t="str">
        <f t="shared" si="591"/>
        <v>2P С16А 30мА</v>
      </c>
      <c r="DR291" cm="1">
        <f t="array" ref="DR291">IF(DQ291="","",_xlfn.LET(_xlpm.t,SUBSTITUTE(SUBSTITUTE(SUBSTITUTE(UPPER(DQ291),"С","C"),"А","A"),"В","B"),_xlpm.tk,_xlfn.TEXTSPLIT(_xlpm.t," "),_xlpm.f,_xlfn._xlws.FILTER(_xlpm.tk,ISNUMBER(--MID(_xlpm.tk,2,1))*ISNUMBER(SEARCH(LEFT(_xlpm.tk,1)&amp;"#","B#C#D#"))*(LEN(_xlpm.tk)&gt;1),""),_xlpm.x,INDEX(_xlpm.f,1),IFERROR(--SUBSTITUTE(MID(_xlpm.x,2,9),"A",""),IFERROR(--SUBSTITUTE(INDEX(_xlfn._xlws.FILTER(_xlpm.tk,ISNUMBER(--SUBSTITUTE(_xlpm.tk,"A","")),""),1),"A",""),""))))</f>
        <v>16</v>
      </c>
      <c r="DS291" t="str">
        <f t="shared" si="592"/>
        <v>ok</v>
      </c>
      <c r="DT291">
        <f t="shared" si="593"/>
        <v>16</v>
      </c>
      <c r="DU291" t="str">
        <f t="shared" si="594"/>
        <v>2P С16А 30мА</v>
      </c>
      <c r="DV291">
        <f t="shared" si="595"/>
        <v>30</v>
      </c>
      <c r="DW291">
        <f t="shared" si="596"/>
        <v>1</v>
      </c>
      <c r="DX291">
        <f t="shared" si="597"/>
        <v>0</v>
      </c>
      <c r="DY291">
        <f t="shared" si="598"/>
        <v>0.27348170645824377</v>
      </c>
      <c r="DZ291">
        <f t="shared" si="599"/>
        <v>1</v>
      </c>
      <c r="EA291">
        <f>IF(ISNUMBER(AP291),AP291,К_прокл)</f>
        <v>1</v>
      </c>
      <c r="EB291">
        <f t="shared" si="600"/>
        <v>2</v>
      </c>
      <c r="EC291">
        <f>IFERROR(N(VLOOKUP(BZ291,Кабель_обозначение,3,FALSE)),1)</f>
        <v>1</v>
      </c>
      <c r="ED291">
        <f>IFERROR(N(_xlfn.XLOOKUP(A291,Щиты[Щит],Щиты[ΔU до шин, %])),0)</f>
        <v>1.79</v>
      </c>
      <c r="EE291" t="str">
        <f>IFERROR(_xlfn.XLOOKUP(A291,Щиты[Щит],Щиты[Zпетли на шинах, Ом]),"")</f>
        <v/>
      </c>
      <c r="EF291">
        <f>IFERROR(N(_xlfn.XLOOKUP(A291,Щиты[Щит],Щиты[ΔU до шин (подбор), %])),0)</f>
        <v>4.75</v>
      </c>
      <c r="EG291" t="str">
        <f>IFERROR(_xlfn.XLOOKUP(A291,Щиты[Щит],Щиты[Zпетли на шинах (подбор), Ом]),"")</f>
        <v/>
      </c>
      <c r="EH291" t="str">
        <f t="shared" si="601"/>
        <v/>
      </c>
      <c r="EI291">
        <f t="shared" si="602"/>
        <v>32</v>
      </c>
      <c r="EJ291">
        <f t="shared" si="603"/>
        <v>2</v>
      </c>
      <c r="EK291">
        <f t="shared" si="604"/>
        <v>0.31</v>
      </c>
      <c r="EL291" s="6">
        <f>IF(B291="","",IF(BV291=1,dU_LED,IF(IFERROR(_xlfn.XLOOKUP(BC291,Коды_код,Коды_уго),"")="Светильник",3,4)+IF(Методика="нормы 2026",MIN(0.5,MAX(0,N(P291)-100)*0.005),0)))</f>
        <v>4</v>
      </c>
      <c r="EM291" t="str" cm="1">
        <f t="array" ref="EM291">IF(OR(B291="",BZ291="",EC291&lt;&gt;1),"",_xlfn.LET(_xlpm.sz,Iдоп_S,_xlpm.t_,CHOOSE(EB291,Iдоп_1ж,Iдоп_2ж,Iдоп_3ж)*DZ291*EA291,_xlpm.dcx,BV291=1,_xlpm.inn,IF(_xlpm.dcx,N(O291),N(DT291)),_xlpm.smin,MAX(1.5,CC291),_xlpm.L_,N(P291)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291)/N(BU291)*100,999),IFERROR(N(EJ291)*(_xlpm.rho*_xlpm.L_/_xlpm.sz*N(CE291)+_xlpm.xx*_xlpm.L_*N(EK291)/1000)*N(O291)/((Uн_лин/SQRT(3))*1000)*100,999)),_xlpm.kz,IF(OR(_xlpm.dcx,DW291=1,NOT(ISNUMBER(EG291)),_xlpm.L_=0,_xlpm.inn=0),1,IFERROR(--(c_min*(Uн_лин*1000/SQRT(3))/(EG291+2*ρкз_Cu*_xlpm.L_/_xlpm.sz)&gt;=HT291*_xlpm.inn),0)),_xlpm.ok,IFERROR((_xlpm.sz&gt;=_xlpm.smin)*(_xlpm.t_&gt;=_xlpm.inn)*IF(_xlpm.L_&gt;0,(_xlpm.du_+IF(_xlpm.dcx,0,EF291)&lt;=EL291+0.00001),1)*_xlpm.kz,0),_xlpm.r_,_xlfn._xlws.FILTER(_xlpm.sz,_xlpm.ok,"не подобрано"),INDEX(_xlpm.r_,1)))</f>
        <v>не подобрано</v>
      </c>
      <c r="EN291">
        <f t="shared" si="605"/>
        <v>2.5</v>
      </c>
      <c r="EO291" cm="1">
        <f t="array" ref="EO291">IF(OR(B291="",BZ291="",EC291&lt;&gt;1),"",_xlfn.LET(_xlpm.sz,Iдоп_S,_xlpm.t_,CHOOSE(EB291,Iдоп_1ж,Iдоп_2ж,Iдоп_3ж)*DZ291*EA291,_xlpm.ok,IFERROR((_xlpm.sz&gt;=MAX(1.5,CC291))*(_xlpm.t_&gt;=N(DT291)),0),_xlpm.r_,_xlfn._xlws.FILTER(_xlpm.sz,_xlpm.ok,""),INDEX(_xlpm.r_,1)))</f>
        <v>1.5</v>
      </c>
      <c r="EP291" s="6" cm="1">
        <f t="array" ref="EP291">IFERROR(ROUNDUP(N(EJ291)*(_xlfn.XLOOKUP(EO291,INDEX(Кабель_сопротивление,0,1),INDEX(Кабель_сопротивление,0,3))*N(P291)/EO291*N(CE291)+_xlfn.XLOOKUP(EO291,INDEX(Кабель_сопротивление,0,1),INDEX(Кабель_сопротивление,0,2))*N(P291)*N(EK291)/1000)*N(O291)/((Uн_лин/SQRT(3))*1000)*100,2),"")</f>
        <v>0.12</v>
      </c>
      <c r="EQ291">
        <f>IFERROR(2*ρкз_Cu*N(P291)/EO291,"")</f>
        <v>1.2273333333333334</v>
      </c>
      <c r="ER291">
        <f>IFERROR(VLOOKUP(EN291,Кабель_сопротивление,3,FALSE),"")</f>
        <v>2.2499999999999999E-2</v>
      </c>
      <c r="ES291">
        <f>IFERROR(VLOOKUP(EN291,Кабель_сопротивление,2,FALSE),"")</f>
        <v>0.1</v>
      </c>
      <c r="ET291">
        <f t="shared" si="606"/>
        <v>17</v>
      </c>
      <c r="EU291">
        <f t="shared" si="607"/>
        <v>0</v>
      </c>
      <c r="EV291">
        <f t="shared" si="608"/>
        <v>0.16427225661827327</v>
      </c>
      <c r="EW291" s="6">
        <f>IFERROR(ROUNDUP(EV291/IF(BV291=1,BU291,(Uн_лин/SQRT(3))*1000)*100,2),"")</f>
        <v>0.08</v>
      </c>
      <c r="EX291" t="str">
        <f>IFERROR(VLOOKUP(BZ291,Кабель_обозначение,2,FALSE),"")</f>
        <v>ВВГнг(А)-LS</v>
      </c>
      <c r="EY291" t="str">
        <f t="shared" si="609"/>
        <v>ВВГнг(А)-LS (3х2,5)</v>
      </c>
      <c r="EZ291" t="str">
        <f t="shared" si="610"/>
        <v>ВВГнг(А)-LS (3х2,5)
L=35-0,08%</v>
      </c>
      <c r="FA291">
        <f>IFERROR(2*ρкз_Cu*P291/EN291,"")</f>
        <v>0.73639999999999994</v>
      </c>
      <c r="FB291">
        <f t="shared" si="611"/>
        <v>0.24500000000000002</v>
      </c>
      <c r="FC291" s="6" t="str">
        <f>IFERROR(IF(OR(B291="",BV291=1,NOT(ISNUMBER(EN291)),N(P291)=0),"",_xlfn.XLOOKUP(A291,Щиты[Щит],Щиты[Zпетли на шинах, Ом])+FA291),"")</f>
        <v/>
      </c>
      <c r="FD291" s="6" t="str">
        <f>IF(ISNUMBER(FC291),c_min*(Uн_лин*1000/SQRT(3))/FC291,"")</f>
        <v/>
      </c>
      <c r="FE291" s="6" t="str">
        <f>IFERROR(IF(OR(B291="",NOT(ISNUMBER(EN291))),"",1.05*(Uн_лин*1000/SQRT(3))/(_xlfn.XLOOKUP(A291,Щиты[Щит],Щиты[Zmax на шинах, Ом])+FB291)/1000),"")</f>
        <v/>
      </c>
      <c r="FF291" s="6" t="str">
        <f>IF(B291="","",IF(ISNUMBER(AC291),"Сил",IF(IFERROR(_xlfn.XLOOKUP(BC291,Коды_код,Коды_группа)&amp;"","")="","Быт",_xlfn.XLOOKUP(BC291,Коды_код,Коды_группа)&amp;"")))</f>
        <v>Быт</v>
      </c>
      <c r="FG291" s="6" t="str">
        <f t="shared" si="612"/>
        <v>Быт</v>
      </c>
      <c r="FH291" s="6">
        <f>IF(FG291="Щит","щит",IF(FG291="","",IF(FG291="Быт",IFERROR(_xlfn.XLOOKUP(A291,Щиты[Щит],Щиты[Кс быт]),1),IF(FG291="Сил",IF(ISNUMBER(AC291),AC291,IF(Методика="нормы 2026",IFERROR(_xlfn.XLOOKUP(A291,Щиты[Щит],Щиты[Кс силовых (табл. 7.5)]),1),1)),IF(OR(FG291="Пост",FG291="Отоп"),1,IF(FG291="ВНГ",0.7,0))))))</f>
        <v>0.8</v>
      </c>
      <c r="FI291">
        <f>IF(FG291="","",IF(AND(BP291=1,TRIM(AE291&amp;"")=""),IF(COUNTIFS(Линии[Щит],A291,Линии[Секция (1/2/3)],"&gt;=2")&gt;0,MIN(3,MAX(1,IFERROR(--BD291,1))),1),IFERROR(MIN(3,MAX(1,INT(--AE291))),1)))</f>
        <v>1</v>
      </c>
      <c r="FJ291">
        <f t="shared" si="613"/>
        <v>0.06</v>
      </c>
      <c r="FK291">
        <f t="shared" si="614"/>
        <v>0.06</v>
      </c>
      <c r="FL291">
        <f t="shared" si="615"/>
        <v>0</v>
      </c>
      <c r="FM291">
        <f t="shared" si="616"/>
        <v>0</v>
      </c>
      <c r="FN291">
        <f t="shared" si="617"/>
        <v>0</v>
      </c>
      <c r="FO291">
        <f t="shared" si="618"/>
        <v>0</v>
      </c>
      <c r="FP291">
        <f t="shared" si="619"/>
        <v>0.06</v>
      </c>
      <c r="FQ291">
        <f t="shared" si="620"/>
        <v>0.06</v>
      </c>
      <c r="FR291">
        <f t="shared" si="621"/>
        <v>5.6999999999999995E-2</v>
      </c>
      <c r="FS291">
        <f>IF(CG291=1,IF(AND(CH291=1,CW291=1),0,IF(AND(CS291&lt;&gt;"",CS291=BA291,CW291=1),SUMIFS(Линии[_Р линии, кВт],Линии[_блок УЗО],BA291,Линии[Щит],A291),N(BS291)+IF(AJ291="вручную",0,N(CK291)))),0)</f>
        <v>0.06</v>
      </c>
      <c r="FT291" t="str">
        <f t="shared" si="622"/>
        <v>L2</v>
      </c>
      <c r="FU291" t="str">
        <f>IF(B291="","",IF(CG291=0,IF(BA291=1,"",FW290),IF(AND(CH291=1,CW291=1,CS291&lt;&gt;""),IFERROR(_xlfn.XLOOKUP(CS291,Линии[_n],Линии[_фаза итог]),"L1"),IF(OR(N(DL291)&gt;=3,N(BX291)&gt;=3),"L1,L2,L3",IFERROR(_xlfn.TEXTBEFORE(_xlfn.TEXTAFTER(_xlfn.XLOOKUP(A291,Щиты[Щит],Щиты[_фазы авто]),";"&amp;BA291&amp;":"),";"),"L1")))))</f>
        <v>L1</v>
      </c>
      <c r="FV291" t="str">
        <f t="shared" si="623"/>
        <v>L2</v>
      </c>
      <c r="FW291" t="str">
        <f t="shared" si="624"/>
        <v>L2</v>
      </c>
      <c r="FX291" cm="1">
        <f t="array" ref="FX291">IFERROR(IF(CD291=2,_xlfn.IFS(BX291=3,VLOOKUP(BS291,Справочная_двигатели,3,FALSE),BX291=1,VLOOKUP(BS291,Справочная_двигатели,5,TRUE)),0),0)</f>
        <v>0</v>
      </c>
      <c r="FY291">
        <f>IFERROR(IF(CD291=3,VLOOKUP(BS291,Справочная_ЛЭД,2,TRUE),0),0)</f>
        <v>0</v>
      </c>
      <c r="FZ291" s="6">
        <f t="shared" si="625"/>
        <v>0</v>
      </c>
      <c r="GA291" t="str">
        <f>IF(B291="","",IF(TRIM(AH291&amp;"")&lt;&gt;"",IF(LOWER(TRIM(AH291&amp;""))="да","да","нет"),IF(IFERROR(_xlfn.XLOOKUP(BC291,Коды_код,Коды_пожарная),"")="да","да","нет")))</f>
        <v>нет</v>
      </c>
      <c r="GB291" t="str">
        <f t="shared" si="626"/>
        <v/>
      </c>
      <c r="GC291" t="str">
        <f t="shared" si="627"/>
        <v>основная</v>
      </c>
      <c r="GD291">
        <f>IF(AND(BP291=1,TRIM(AE291&amp;"")=""),IF(COUNTIFS(Линии[Щит],A291,Линии[Секция (1/2/3)],"&gt;=2")&gt;0,MIN(3,MAX(1,IFERROR(--BD291,1))),1),IFERROR(MIN(3,MAX(1,INT(--AE291))),1))</f>
        <v>1</v>
      </c>
      <c r="GE291" t="str" cm="1">
        <f t="array" ref="GE291">IF(B291="","",_xlfn.LET(_xlpm.t,IFERROR(_xlfn.XLOOKUP(1,(Шины[Шина]=GC291)*(((Шины[Щит]=A291)+(Шины[Щит]=""))&gt;0),Шины[Тип]),"")&amp;"",IF(_xlpm.t&lt;&gt;"",_xlpm.t,IF(ISNUMBER(SEARCH("ИБП",GC291)),"ИБП",IF(ISNUMBER(SEARCH("ДГУ",GC291)),"ДГУ","Ввод "&amp;GD291)))))</f>
        <v>Ввод 1</v>
      </c>
      <c r="GF291" t="str">
        <f t="shared" si="628"/>
        <v>Ввод 1</v>
      </c>
      <c r="GG291" t="str">
        <f>IF(BP291=0,"",IF(TRIM(AG291&amp;"")&lt;&gt;"",TRIM(AG291&amp;""),IF(OR(GE291="ИБП",GE291="ДГУ"),"I особая",_xlfn.XLOOKUP(A291,Щиты[Щит],Щиты[Категория шины «Ввод»],"III"))))</f>
        <v/>
      </c>
      <c r="GH291" t="str">
        <f>IF(A291="","",_xlfn.XLOOKUP(A291,Щиты[Щит],Щиты[Путь],""))</f>
        <v>|ГРЩ-ЖД|ЩР-2|</v>
      </c>
      <c r="GI291" t="str">
        <f>IF(B291="","",IF(AI291&lt;&gt;"",AI291,IF(IFERROR(_xlfn.XLOOKUP(BC291,Коды_код,Коды_вид)&amp;"","")="","Прочее",_xlfn.XLOOKUP(BC291,Коды_код,Коды_вид)&amp;"")))</f>
        <v>Розеточная сеть и бытовые приборы</v>
      </c>
      <c r="GJ291">
        <f>IF(BM291="","",INT((BM291-1)/Столбцов_на_лист)+1)</f>
        <v>1</v>
      </c>
      <c r="GK291" t="str">
        <f t="shared" si="629"/>
        <v>ВВГнг(А)-LS (3х2,5) L=35-0,08%</v>
      </c>
      <c r="GL291">
        <f t="shared" si="630"/>
        <v>0.06</v>
      </c>
      <c r="GM291">
        <f t="shared" si="631"/>
        <v>0.28000000000000003</v>
      </c>
      <c r="GN291">
        <f t="shared" si="632"/>
        <v>1</v>
      </c>
      <c r="GO291">
        <f t="shared" si="633"/>
        <v>0</v>
      </c>
      <c r="GP291">
        <f t="shared" si="634"/>
        <v>1</v>
      </c>
      <c r="GQ291">
        <f>IF(BM291="","",IF(AND(CG291=1,GP291=1),COUNTIFS(A$3:A291,A291,CG$3:CG291,1,GP$3:GP291,1),IF(OR(OR(BA291=1,A291&lt;&gt;A290),AJ291="вручную",GP291=0),"",IF(BA291=1,"",GR290))))</f>
        <v>8</v>
      </c>
      <c r="GR291">
        <f t="shared" si="635"/>
        <v>8</v>
      </c>
      <c r="GS291">
        <f>IF(B291="","",IFERROR(LOOKUP(INDEX(CHOOSE(EB291,Iдоп_1ж,Iдоп_2ж,Iдоп_3ж),MATCH(EN291,Iдоп_S,0))*DZ291*EA291,{6,10,16,20,25,32,40,50,63,80,100,125,160,200,250,315,400,500,630}),""))</f>
        <v>25</v>
      </c>
      <c r="GT291" t="str">
        <f t="shared" si="636"/>
        <v>QFD8</v>
      </c>
      <c r="GU291" t="str">
        <f t="shared" si="637"/>
        <v>QFD8</v>
      </c>
      <c r="GV291" t="str">
        <f t="shared" si="638"/>
        <v/>
      </c>
      <c r="GW291">
        <f t="shared" si="639"/>
        <v>0</v>
      </c>
      <c r="GX291" t="str">
        <f>IF(OR(B291="",DJ291=""),"",IFERROR(_xlfn.XLOOKUP(DJ291,Модули_умолч[Управление],Модули_умолч[Модель])&amp;"",""))</f>
        <v/>
      </c>
      <c r="GY291">
        <f>IF(DJ291="",1,IFERROR(MAX(0,N(_xlfn.XLOOKUP(DJ291,Модули_умолч[Управление],Модули_умолч[Каналов на линию]))),1))</f>
        <v>1</v>
      </c>
      <c r="GZ291" t="str">
        <f t="shared" si="640"/>
        <v/>
      </c>
      <c r="HA291" t="str">
        <f t="shared" si="641"/>
        <v/>
      </c>
      <c r="HB291" t="str">
        <f t="shared" si="642"/>
        <v/>
      </c>
      <c r="HC291">
        <f>IF(HB291="",0,IFERROR(N(VLOOKUP(HB291,Модули_спр,3,FALSE)),0))</f>
        <v>0</v>
      </c>
      <c r="HD291" t="str">
        <f t="shared" si="643"/>
        <v/>
      </c>
      <c r="HE291" t="str">
        <f t="shared" si="644"/>
        <v/>
      </c>
      <c r="HF291" t="str">
        <f>IF(OR(HE291="",HE291="-"),"",IFERROR(VLOOKUP(HE291,Модули_спр,2,FALSE),"R"))</f>
        <v/>
      </c>
      <c r="HG291" t="str">
        <f>IF(HF291="","",HF291&amp;"."&amp;COUNTIFS(A$3:A291,A291,HF$3:HF291,HF291))</f>
        <v/>
      </c>
      <c r="HH291" t="str">
        <f t="shared" si="645"/>
        <v/>
      </c>
      <c r="HI291" t="str">
        <f t="shared" si="646"/>
        <v/>
      </c>
      <c r="HJ291" t="str">
        <f t="shared" si="647"/>
        <v/>
      </c>
      <c r="HK291" t="str">
        <f t="shared" si="648"/>
        <v/>
      </c>
      <c r="HL291">
        <f t="shared" si="649"/>
        <v>1</v>
      </c>
      <c r="HM291" t="str">
        <f>IF(HL291=1,"XT"&amp;COUNTIFS(A$3:A291,A291,HL$3:HL291,1),"")</f>
        <v>XT8</v>
      </c>
      <c r="HN291" t="str">
        <f t="shared" si="650"/>
        <v>XT8</v>
      </c>
      <c r="HO291" t="str">
        <f t="shared" si="651"/>
        <v>QFD8</v>
      </c>
      <c r="HP291" t="str">
        <f t="shared" si="652"/>
        <v/>
      </c>
      <c r="HQ291" t="str">
        <f t="shared" si="653"/>
        <v>ok</v>
      </c>
      <c r="HR291" t="str">
        <f>IF(OR(HJ291="",HH291=""),"",IF(HJ291+MAX(0,GY291-1)&gt;IFERROR(VLOOKUP(HI291,Модули_спр,3,FALSE),99),"ЛИШНИЙ КАНАЛ",IF(AND(AL291&lt;&gt;"=",GY291&gt;0,COUNTIFS(Линии[_модуль гр.],HH291,Линии[Канал (итог)],HJ291,Линии[Канал],"&lt;&gt;=",Линии[Щит],A291)&gt;1),"ДУБЛЬ КАНАЛА","")))</f>
        <v/>
      </c>
      <c r="HS291" s="6" t="str">
        <f t="shared" si="654"/>
        <v/>
      </c>
      <c r="HT291">
        <f t="shared" si="655"/>
        <v>10</v>
      </c>
      <c r="HU291" t="str">
        <f t="shared" si="656"/>
        <v/>
      </c>
      <c r="HV291">
        <f t="shared" si="657"/>
        <v>0.45939268258329757</v>
      </c>
      <c r="HW291">
        <f t="shared" si="658"/>
        <v>0</v>
      </c>
      <c r="HX291">
        <f t="shared" si="659"/>
        <v>0</v>
      </c>
      <c r="HY291">
        <f t="shared" si="660"/>
        <v>0</v>
      </c>
      <c r="HZ291">
        <f t="shared" si="661"/>
        <v>0</v>
      </c>
      <c r="IA291">
        <f t="shared" si="662"/>
        <v>0</v>
      </c>
      <c r="IB291">
        <f t="shared" si="663"/>
        <v>0</v>
      </c>
      <c r="IC291" t="str">
        <f t="shared" si="664"/>
        <v/>
      </c>
      <c r="ID291" t="str" cm="1">
        <f t="array" ref="ID291">IF(IC291="","",_xlfn.LET(_xlpm.tk,_xlfn.TEXTSPLIT(SUBSTITUTE(SUBSTITUTE(IC291,";"," "),"→"," ")," ",,TRUE),_xlpm.w_,_xlfn._xlws.FILTER(_xlpm.tk,ISNUMBER(--LEFT(_xlpm.tk,1))*((ISNUMBER(SEARCH("W",_xlpm.tk))+ISNUMBER(SEARCH("Вт",_xlpm.tk)))&gt;0),""),IFERROR(--SUBSTITUTE(SUBSTITUTE(UPPER(INDEX(_xlpm.w_,1)),"W",""),"ВТ",""),"")))</f>
        <v/>
      </c>
      <c r="IE291" t="str" cm="1">
        <f t="array" ref="IE291">IF(IC291="","",_xlfn.LET(_xlpm.tk,_xlfn.TEXTSPLIT(SUBSTITUTE(SUBSTITUTE(IC291,";"," "),"→"," ")," ",,TRUE),_xlpm.v_,_xlfn._xlws.FILTER(_xlpm.tk,ISNUMBER(--LEFT(_xlpm.tk,1))*((ISNUMBER(SEARCH("V",_xlpm.tk))+(RIGHT(UPPER(_xlpm.tk))="В"))&gt;0),""),IFERROR(--SUBSTITUTE(SUBSTITUTE(UPPER(INDEX(_xlpm.v_,1)),"V",""),"В",""),"")))</f>
        <v/>
      </c>
      <c r="IF291" s="6" t="str">
        <f>IF(OR(BV291=0,HI291="",HJ291=""),"",IFERROR(N(_xlfn.XLOOKUP(HI291,Каталог!$C$4:$C$500,Каталог!$Q$4:$Q$500)),""))</f>
        <v/>
      </c>
      <c r="IG291" s="6" t="str">
        <f>IF(N(IF291)=0,"",SUMIFS(Линии[Iр, А],Линии[Щит],A291,Линии[_модуль гр.],HH291,Линии[Канал (итог)],HJ291))</f>
        <v/>
      </c>
      <c r="IH291" t="str">
        <f>IF(AND(B291="",HO291=""),"",_xlfn.TEXTJOIN("; ",TRUE,IF(AND(B291&lt;&gt;"",FV291=""),"нет фазы",""),IF(AND(B291&lt;&gt;"",N(GL291)=0,FG291&lt;&gt;"Нет"),"нет мощности",""),IF(AND(HN291&lt;&gt;"",COUNTIFS(Линии[Щит],A291,Линии[Клемма (итог)],HN291)&gt;1),"дубль клеммы "&amp;HN291,""),IF(AND(HQ291&lt;&gt;"",HQ291&lt;&gt;"ok"),HQ291,""),IF(HR291&lt;&gt;"",HR291,""),IF(AND(N(CB291)&gt;=4,N(BX291)=1),CB291&amp;" жил на 1 фазе",""),IF(AND(BC291="R",CG291=1,IF(CS291&lt;&gt;"",N(CV291)&gt;30,OR(N(DA291)=0,N(DA291)&gt;30))),"розетка без дифзащиты до 30 мА",""),IF(AND(CG291=1,N(DA291)&gt;0,ISNUMBER(T291)),IF(T291&gt;N(DA291)/3,"ток утечки "&amp;FIXED(T291,1)&amp;" мА &gt; 1/3 уставки ("&amp;DA291&amp;" мА)",""),""),IF(AND(CH291=1,CS291=""),"«узо»: нет строки с УЗО выше (УЗО 2P 40А 30мА в «Аппаратах»)",""),IF(AND(CS291&lt;&gt;"",CS291=BA291),IF(CT291="","впишите номинал УЗО (УЗО 2P 40А 30мА)",IF(N(CT291)&lt;N(DT291),"УЗО "&amp;CT291&amp;" А &lt; автомата "&amp;DT291&amp;" А перед ним",IF(N(CT291)&lt;N(CX291),"УЗО "&amp;CT291&amp;" А &lt; тока блока "&amp;FIXED(CX291,1)&amp;" А",""))),""),IF(AND(CS291&lt;&gt;"",CS291=BA291,ISNUMBER(CY291)),IF(CY291&gt;N(CV291)/3,"ток утечки блока УЗО "&amp;FIXED(CY291,1)&amp;" мА &gt; 1/3 уставки ("&amp;CV291&amp;" мА)",""),""),IF(AND(CG291=1,N(BV291)+N(IB291)&gt;0,IC291=""),"линии до 50 В без БП: впишите в «Аппараты» (БП 24V 480W)",""),IF(AND(CG291=1,ISNUMBER(ID291),ISNUMBER(U291)),IF(U291&gt;ID291,"БП "&amp;ID291&amp;" Вт &lt; нужно "&amp;U291&amp;" Вт (×"&amp;Запас_БП&amp;")",""),""),IF(AND(CG291=1,ISNUMBER(IE291),N(BV291)=1),IF(IE291&lt;&gt;N(BU291),"БП на "&amp;IE291&amp;" В, линия "&amp;BU291&amp;" В",""),""),IF(AND(N(IF291)&gt;0,N(IG291)&gt;N(IF291)),HH291&amp;" канал "&amp;HJ291&amp;": "&amp;FIXED(IG291,1)&amp;" А &gt; "&amp;IF291&amp;" А",""),IFERROR(IF(AND(ISNUMBER(Q291),Q291&gt;EL291),"потери "&amp;FIXED(Q291,1)&amp;" % &gt; "&amp;EL291&amp;" %",""),""),IFERROR(IF(LEFT(HU291,4)="мало","Iкз мало — отключение &gt; 0,4 с",""),""),IF(AND(B291&lt;&gt;"",BM291=""),"не на схеме",""),IF(AND(CG291=0,B291&lt;&gt;"",FV291&lt;&gt;"",IF(BA291=1,"",FW290)&lt;&gt;"",FV291&lt;&gt;IF(BA291=1,"",FW290)),"фаза не как у автомата группы ("&amp;IF(BA291=1,"",FW290)&amp;")","")))</f>
        <v/>
      </c>
      <c r="II291" s="6">
        <f>IF(OR(CG291=0,DQ291=""),"",_xlfn.LET(_xlpm.t,IFERROR(_xlfn.XLOOKUP(DQ291,Каталог!$U$4:$U$500,Каталог!$G$4:$G$500),""),_xlpm.k,SEARCH("кА",_xlpm.t),IFERROR(--TRIM(RIGHT(SUBSTITUTE(MID(_xlpm.t,MAX(1,_xlpm.k-4),_xlpm.k-MAX(1,_xlpm.k-4))," ",REPT(" ",9)),5)),"")))</f>
        <v>6</v>
      </c>
      <c r="IJ291" t="str">
        <f>IF(OR(II291="",CG291=0),"",IF(_xlfn.XLOOKUP(A291,Щиты[Щит],Щиты[Iкз max на шинах, кА],"")="","",IF(II291&lt;_xlfn.XLOOKUP(A291,Щиты[Щит],Щиты[Iкз max на шинах, кА]),"Icu "&amp;II291&amp;" кА &lt; Iкз max","ok")))</f>
        <v/>
      </c>
      <c r="IK291" t="str">
        <f t="shared" si="665"/>
        <v/>
      </c>
      <c r="IL291" t="str">
        <f t="shared" si="666"/>
        <v>QFD8|XT8</v>
      </c>
      <c r="IM291" t="str">
        <f t="shared" si="667"/>
        <v>QFD8|XT8|кабель ВВГнг(А)-LS (3х2,5) → Розеточная группа, пом. 010А</v>
      </c>
      <c r="IN291" t="str" cm="1">
        <f t="array" ref="IN291">IF(IM291="","",_xlfn.LET(_xlpm.nd,_xlfn.TEXTSPLIT(IM291,"|"),IF(COLUMNS(_xlpm.nd)&gt;1,A291&amp;"¦"&amp;INDEX(_xlpm.nd,1)&amp;"¦"&amp;INDEX(_xlpm.nd,2),"")))</f>
        <v>ЩР-2¦QFD8¦XT8</v>
      </c>
      <c r="IO291" t="str">
        <f t="shared" si="668"/>
        <v>R.2.010А.1¦Розеточная группа, пом. 010А</v>
      </c>
      <c r="IP291" t="str" cm="1">
        <f t="array" ref="IP291">IF(IM291="","",_xlfn.LET(_xlpm.nd,_xlfn.TEXTSPLIT(IM291,"|"),IF(COLUMNS(_xlpm.nd)&gt;2,A291&amp;"¦"&amp;INDEX(_xlpm.nd,2)&amp;"¦"&amp;INDEX(_xlpm.nd,3),"")))</f>
        <v>ЩР-2¦XT8¦кабель ВВГнг(А)-LS (3х2,5) → Розеточная группа, пом. 010А</v>
      </c>
      <c r="IQ291" t="str">
        <f t="shared" si="669"/>
        <v>R.2.010А.1¦Розеточная группа, пом. 010А</v>
      </c>
      <c r="IR291" t="str" cm="1">
        <f t="array" ref="IR291">IF(IM291="","",_xlfn.LET(_xlpm.nd,_xlfn.TEXTSPLIT(IM291,"|"),IF(COLUMNS(_xlpm.nd)&gt;3,A291&amp;"¦"&amp;INDEX(_xlpm.nd,3)&amp;"¦"&amp;INDEX(_xlpm.nd,4),"")))</f>
        <v/>
      </c>
      <c r="IS291" t="str">
        <f t="shared" si="670"/>
        <v/>
      </c>
      <c r="IT291" t="str" cm="1">
        <f t="array" ref="IT291">IF(IM291="","",_xlfn.LET(_xlpm.nd,_xlfn.TEXTSPLIT(IM291,"|"),IF(COLUMNS(_xlpm.nd)&gt;4,A291&amp;"¦"&amp;INDEX(_xlpm.nd,4)&amp;"¦"&amp;INDEX(_xlpm.nd,5),"")))</f>
        <v/>
      </c>
      <c r="IU291" t="str">
        <f t="shared" si="671"/>
        <v/>
      </c>
      <c r="IV291" t="str" cm="1">
        <f t="array" ref="IV291">IF(IM291="","",_xlfn.LET(_xlpm.nd,_xlfn.TEXTSPLIT(IM291,"|"),IF(COLUMNS(_xlpm.nd)&gt;5,A291&amp;"¦"&amp;INDEX(_xlpm.nd,5)&amp;"¦"&amp;INDEX(_xlpm.nd,6),"")))</f>
        <v/>
      </c>
      <c r="IW291" t="str">
        <f t="shared" si="672"/>
        <v/>
      </c>
      <c r="IX291" t="str" cm="1">
        <f t="array" ref="IX291">IF(IM291="","",_xlfn.LET(_xlpm.nd,_xlfn.TEXTSPLIT(IM291,"|"),IF(COLUMNS(_xlpm.nd)&gt;6,A291&amp;"¦"&amp;INDEX(_xlpm.nd,6)&amp;"¦"&amp;INDEX(_xlpm.nd,7),"")))</f>
        <v/>
      </c>
      <c r="IY291" t="str">
        <f t="shared" si="673"/>
        <v/>
      </c>
      <c r="IZ291" t="str">
        <f t="shared" si="674"/>
        <v/>
      </c>
      <c r="JA291" t="str">
        <f t="shared" si="675"/>
        <v>QFD8 → XT8</v>
      </c>
      <c r="JB291">
        <f t="shared" si="676"/>
        <v>0</v>
      </c>
      <c r="JC291">
        <f t="shared" si="677"/>
        <v>1</v>
      </c>
      <c r="JD291" t="str">
        <f t="shared" si="678"/>
        <v/>
      </c>
      <c r="JE291" t="str">
        <f t="shared" si="679"/>
        <v/>
      </c>
      <c r="JF291" t="str">
        <f t="shared" si="680"/>
        <v/>
      </c>
      <c r="JG291" t="str">
        <f t="shared" si="681"/>
        <v/>
      </c>
      <c r="JH291" t="str">
        <f>IF(B291="","",IFERROR(_xlfn.XLOOKUP(B291,Коды_код,Коды_уго),IFERROR(_xlfn.XLOOKUP(BC291,Коды_код,Коды_уго),IFERROR(_xlfn.XLOOKUP(LEFT(BC291,2),Коды_код,Коды_уго),""))))</f>
        <v>Розетка</v>
      </c>
      <c r="JI291" t="str">
        <f>IF(B291="","",IF(OR(JH291="",JH291=0),"BOX",IFERROR(IF(VLOOKUP(JH291,УГО_блоки,3,FALSE)&amp;""&lt;&gt;"",VLOOKUP(JH291,УГО_блоки,3,FALSE),VLOOKUP(JH291,УГО_блоки,2,FALSE)),JH291)))</f>
        <v>SOCKET</v>
      </c>
      <c r="JJ291">
        <f t="shared" si="682"/>
        <v>1</v>
      </c>
      <c r="JK291" t="str">
        <f>IF(DQ291="","",IF(COUNTIF(DQ$3:DQ291,DQ291)=1,MAX(JK$2:JK290)+1,""))</f>
        <v/>
      </c>
      <c r="JL291" t="str">
        <f>IF(DE291="","",IF(COUNTIF(DE$3:DE291,DE291)+COUNTIF(DF$2:DF290,DE291)+COUNTIF(DG$2:DG290,DE291)=1,MAX(JL$2:JN290)+1,""))</f>
        <v/>
      </c>
      <c r="JM291" t="str">
        <f>IF(DF291="","",IF(COUNTIF(DE$3:DE291,DF291)+COUNTIF(DF$3:DF291,DF291)+COUNTIF(DG$2:DG290,DF291)=1,MAX(JL$2:JN290,JL291)+1,""))</f>
        <v/>
      </c>
      <c r="JN291" t="str">
        <f>IF(DG291="","",IF(COUNTIF(DE$3:DE291,DG291)+COUNTIF(DF$3:DF291,DG291)+COUNTIF(DG$3:DG291,DG291)=1,MAX(JL$2:JN290,JL291,JM291)+1,""))</f>
        <v/>
      </c>
      <c r="JO291" t="str">
        <f t="shared" si="683"/>
        <v>3х2,5</v>
      </c>
      <c r="JP291" t="str">
        <f>IF(JO291="","",IF(COUNTIF(JO$3:JO291,JO291)=1,MAX(JP$2:JP290)+1,""))</f>
        <v/>
      </c>
      <c r="JQ291" t="str">
        <f>IF(HG291="","",COUNTIF(HG$3:HG291,"?*"))</f>
        <v/>
      </c>
      <c r="JR291" t="str">
        <f>IF(OR(HG291="",HI291=""),"",IF(COUNTIFS(HG$3:HG291,"?*",HI$3:HI291,HI291)=1,MAX(JR$2:JR290)+1,""))</f>
        <v/>
      </c>
      <c r="JS291">
        <f t="shared" si="684"/>
        <v>0</v>
      </c>
      <c r="JT291">
        <f>IF(B291="","",COUNTIF(B$3:B291,"?*"))</f>
        <v>289</v>
      </c>
      <c r="JU291">
        <f>IF(HL291&lt;&gt;1,0,_xlfn.LET(_xlpm.k,MAX(IFERROR(--_xlfn.XLOOKUP(B291,Коды_код,Коды_3L),0),IFERROR(--_xlfn.XLOOKUP(BC291,Коды_код,Коды_3L),0),IFERROR(--_xlfn.XLOOKUP(LEFT(BC291,2),Коды_код,Коды_3L),0)),IF(_xlpm.k&gt;0,_xlpm.k,IF(IFERROR(--LEFT(SUBSTITUTE(JO291,"x","х"),FIND("х",SUBSTITUTE(JO291,"x","х"))-1),3)&gt;3,Каталог!$S$9,1))))</f>
        <v>1</v>
      </c>
      <c r="JV291">
        <f t="shared" si="685"/>
        <v>0</v>
      </c>
      <c r="JW291" t="str">
        <f t="shared" si="686"/>
        <v>авто</v>
      </c>
      <c r="JX291">
        <f t="shared" si="687"/>
        <v>30</v>
      </c>
      <c r="JY291">
        <f t="shared" si="688"/>
        <v>1</v>
      </c>
      <c r="JZ291">
        <f t="shared" si="689"/>
        <v>1</v>
      </c>
    </row>
    <row r="292" spans="1:286" x14ac:dyDescent="0.3">
      <c r="A292" t="s">
        <v>759</v>
      </c>
      <c r="B292" t="s">
        <v>1597</v>
      </c>
      <c r="C292" t="str">
        <f>Линии[[#This Row],[_авто наименование]]</f>
        <v>Розеточная группа, пом. 002Г</v>
      </c>
      <c r="D292">
        <v>1</v>
      </c>
      <c r="E292">
        <v>0.06</v>
      </c>
      <c r="G292">
        <v>16</v>
      </c>
      <c r="H292" t="str">
        <f>Линии[[#This Row],[_авто управление]]</f>
        <v/>
      </c>
      <c r="I292" t="str">
        <f>Линии[[#This Row],[_авто аппараты]]</f>
        <v/>
      </c>
      <c r="J292">
        <v>2.5</v>
      </c>
      <c r="K292">
        <v>36</v>
      </c>
      <c r="L292">
        <v>1</v>
      </c>
      <c r="M292" t="s">
        <v>484</v>
      </c>
      <c r="N292" t="str">
        <f t="shared" si="552"/>
        <v/>
      </c>
      <c r="O292" s="6" cm="1">
        <f t="array" ref="O292">IF(B292="","",IF(BH292&lt;&gt;"",IFERROR(_xlfn.XLOOKUP(BH292,Щиты[Щит],Щиты[Iр, А]),""),IF(BP292=1,IF(OR(N(_xlfn.XLOOKUP(A292,Щиты[Щит],Щиты[Вводов],1))&lt;=1,LOWER(TRIM(_xlfn.XLOOKUP(A292,Щиты[Щит],Щиты[АВР],"")&amp;""))="да"),IFERROR(_xlfn.XLOOKUP(A292,Щиты[Щит],Щиты[Iр, А]),""),IFERROR(N(BS292)*_xlfn.XLOOKUP(A292,Щиты[Щит],Щиты[Кс итог])/(SQRT(3)*Uн_лин*_xlfn.XLOOKUP(A292,Щиты[Щит],Щиты[cos φ])),"")),IF(BV292=1,IFERROR(BS292*1000/BU292,""),IFERROR(_xlfn.IFS(BX292=1,BS292/((Uн_лин/SQRT(3))*CE292),BX292=3,BS292/(SQRT(3)*Uн_лин*CE292)),"")))))</f>
        <v>0.27348170645824377</v>
      </c>
      <c r="P292" s="7">
        <f>IF(B292="","",IFERROR(IF(VLOOKUP(BC292,Потребители_обозначение,4,FALSE)=1,VLOOKUP(BC292,Потребители_обозначение,3,FALSE)*(MAX(1,N(D292))*2-1)+EI292+VLOOKUP(BE292,Этаж_обозначение,3,FALSE)+VLOOKUP(BE292,Этаж_обозначение,4,FALSE),VLOOKUP(BC292,Потребители_обозначение,3,FALSE)*(MAX(1,N(D292))*2-1)+EI292),EI292))</f>
        <v>39</v>
      </c>
      <c r="Q292" s="6">
        <f t="shared" si="553"/>
        <v>1.87</v>
      </c>
      <c r="R292" t="str">
        <f t="shared" si="554"/>
        <v>ВВГнг(А)-LS (3х2,5)</v>
      </c>
      <c r="S292" t="str">
        <f>IF(BM292="","",IF(BN292="вводной узел","узел ","")&amp;"л."&amp;(INT((BM292-1)/Столбцов_на_лист)+1)&amp;" / "&amp;(MOD(BM292-1,Столбцов_на_лист)+1))</f>
        <v>л.2 / 2</v>
      </c>
      <c r="T292" s="119">
        <f t="shared" si="555"/>
        <v>0.5</v>
      </c>
      <c r="U292" s="7" t="str">
        <f>IF(OR(CG292=0,N(BV292)+N(IB292)=0),"",ROUNDUP(Запас_БП*(N(HY292)+N(HZ292)),0))</f>
        <v/>
      </c>
      <c r="V292" s="119" t="str">
        <f t="shared" si="556"/>
        <v/>
      </c>
      <c r="W292" s="7" t="str">
        <f>IFERROR(IF(OR(B292="",BP292=1,BV292=1,NOT(ISNUMBER(EN292)),N(DT292)=0),"",MAX(0,ROUNDDOWN((c_min*(Uн_лин*1000/SQRT(3))/(HT292*N(DT292))-_xlfn.XLOOKUP(A292,Щиты[Щит],Щиты[Zпетли на шинах, Ом]))*EN292/(2*ρкз_Cu),0))),"")</f>
        <v/>
      </c>
      <c r="Y292">
        <f>Линии[[#This Row],[_авто утечка]]</f>
        <v>30</v>
      </c>
      <c r="Z292">
        <v>1</v>
      </c>
      <c r="AA292">
        <v>230</v>
      </c>
      <c r="AB292" t="s">
        <v>562</v>
      </c>
      <c r="AG292" t="s">
        <v>810</v>
      </c>
      <c r="AI292" t="s">
        <v>561</v>
      </c>
      <c r="AK292" t="str">
        <f>Линии[[#This Row],[_авто модуль]]</f>
        <v/>
      </c>
      <c r="AM292">
        <v>19</v>
      </c>
      <c r="AN292" t="s">
        <v>11</v>
      </c>
      <c r="AO292">
        <v>3</v>
      </c>
      <c r="AQ292">
        <v>12</v>
      </c>
      <c r="AR292">
        <v>21</v>
      </c>
      <c r="AT292">
        <v>1</v>
      </c>
      <c r="BA292" cm="1">
        <f t="array" ref="BA292">ROW()-ROW(Линии[#Headers])</f>
        <v>290</v>
      </c>
      <c r="BC292" s="6" t="str">
        <f t="shared" si="557"/>
        <v>R</v>
      </c>
      <c r="BD292" t="str">
        <f t="shared" si="558"/>
        <v>2.002Г.1</v>
      </c>
      <c r="BE292" t="str">
        <f t="shared" si="559"/>
        <v>2</v>
      </c>
      <c r="BF292" t="str">
        <f t="shared" si="560"/>
        <v>002Г.1</v>
      </c>
      <c r="BG292" t="str">
        <f t="shared" si="561"/>
        <v>002Г</v>
      </c>
      <c r="BH292" t="str">
        <f>IF(X292&lt;&gt;"",X292,IF(AND(B292&lt;&gt;"",B292&lt;&gt;A292,ISNUMBER(_xlfn.XMATCH(B292,Щиты[Щит]))),B292,""))</f>
        <v/>
      </c>
      <c r="BI292" t="str" cm="1">
        <f t="array" ref="BI292">IF(B292="","",IF(BH292&lt;&gt;"","Щит "&amp;BH292,_xlfn.LET(_xlpm.nm,IFERROR(_xlfn.XLOOKUP(BC292,Коды_код,Коды_имя)&amp;"",""),_xlpm.md,IFERROR(N(_xlfn.XLOOKUP(BC292,Коды_код,Коды_режим)),1),_xlpm.ex,IF(Имя_режим="по экспликации",IFERROR(_xlfn.XLOOKUP(BE292&amp;"|"&amp;BG292,Экспликация[Этаж]&amp;"|"&amp;Экспликация[Помещение],Экспликация[Название])&amp;"",""),""),_xlpm.rm,IF(BG292="","",IF(_xlpm.ex&lt;&gt;"",". "&amp;_xlpm.ex&amp;IF(Имя_пом="нет"," ("&amp;BG292&amp;")"," (пом. "&amp;BG292&amp;")"),IF(Имя_пом="нет"," ",", пом. ")&amp;BG292)),IF(_xlpm.nm="","",IF(_xlpm.md=2,_xlpm.nm&amp;" шлейф "&amp;BE292,_xlpm.nm&amp;_xlpm.rm)))))</f>
        <v>Розеточная группа, пом. 002Г</v>
      </c>
      <c r="BJ292" t="str">
        <f t="shared" si="562"/>
        <v>Розеточная группа, пом. 002Г</v>
      </c>
      <c r="BK292">
        <f>IFERROR(_xlfn.XMATCH(A292,Щиты[Щит]),0)</f>
        <v>11</v>
      </c>
      <c r="BL292">
        <f>_xlfn.LET(_xlpm.k,IFERROR(_xlfn.XLOOKUP(A292,Щиты[Щит],Щиты[Мест под вводной узел]),""),IF(_xlpm.k="",Столбцов_на_лист,N(_xlpm.k)))</f>
        <v>8</v>
      </c>
      <c r="BM292">
        <f t="shared" si="563"/>
        <v>19</v>
      </c>
      <c r="BN292" t="str">
        <f t="shared" si="564"/>
        <v>линии</v>
      </c>
      <c r="BO292" s="6">
        <f>IFERROR(N(_xlfn.XLOOKUP(BC292,Коды_код,Коды_квт)),0)</f>
        <v>0</v>
      </c>
      <c r="BP292">
        <f t="shared" si="565"/>
        <v>0</v>
      </c>
      <c r="BQ292" t="str">
        <f>IF(B292="","",IF(BH292&lt;&gt;"",IFERROR(_xlfn.XLOOKUP(BH292,Щиты[Щит],Щиты[Руст, кВт]),0),IF(BP292=1,IF(OR(N(_xlfn.XLOOKUP(A292,Щиты[Щит],Щиты[Вводов],1))&lt;=1,LOWER(TRIM(_xlfn.XLOOKUP(A292,Щиты[Щит],Щиты[АВР],"")&amp;""))="да"),IFERROR(_xlfn.XLOOKUP(A292,Щиты[Щит],Щиты[Руст, кВт]),0),SUMIFS(Линии[_Р для вводов],Линии[Щит],A292,Линии[Источник для режимов],GF292)),IF(BO292&gt;0,ROUND(BO292*MAX(1,N(D292)),3),""))))</f>
        <v/>
      </c>
      <c r="BR292">
        <f t="shared" si="566"/>
        <v>0.06</v>
      </c>
      <c r="BS292" s="6">
        <f>IF(B292="","",IF(BH292&lt;&gt;"",IFERROR(_xlfn.XLOOKUP(BH292,Щиты[Щит],Щиты[Руст, кВт]),0),N(BR292)))</f>
        <v>0.06</v>
      </c>
      <c r="BT292" t="str">
        <f>IF(B292="","",IFERROR(IF(VLOOKUP(BC292,Потребители_обозначение,8,FALSE)=0,"",VLOOKUP(BC292,Потребители_обозначение,8,FALSE)),""))</f>
        <v/>
      </c>
      <c r="BU292">
        <f t="shared" si="567"/>
        <v>230</v>
      </c>
      <c r="BV292">
        <f t="shared" si="568"/>
        <v>0</v>
      </c>
      <c r="BW292">
        <f>IF(B292="","",IF(BH292&lt;&gt;"",3,IFERROR(IF(N(VLOOKUP(BC292,Потребители_обозначение,9,FALSE))=0,1,VLOOKUP(BC292,Потребители_обозначение,9,FALSE)),1)))</f>
        <v>1</v>
      </c>
      <c r="BX292">
        <f t="shared" si="569"/>
        <v>1</v>
      </c>
      <c r="BY292" t="str">
        <f>IF(B292="","",_xlfn.LET(_xlpm.bc,IFERROR(IF(VLOOKUP(BC292,Потребители_обозначение,6,FALSE)=0,"",VLOOKUP(BC292,Потребители_обозначение,6,FALSE)&amp;""),""),IF(AND(GA292="да",OR(_xlpm.bc="",_xlpm.bc="мс")),Марка_пож,IF(AND(_xlpm.bc="",BH292&lt;&gt;""),"мс",_xlpm.bc))))</f>
        <v/>
      </c>
      <c r="BZ292" t="str">
        <f t="shared" si="570"/>
        <v>мс</v>
      </c>
      <c r="CA292">
        <f>IF(B292="","",_xlfn.LET(_xlpm.cc,IFERROR(N(VLOOKUP(BC292,Потребители_обозначение,7,FALSE)),0),IF(_xlpm.cc&gt;0,_xlpm.cc,IF(BZ292="","",IF(BV292=1,2,IF(N(BX292)=3,5,3))))))</f>
        <v>3</v>
      </c>
      <c r="CB292">
        <f t="shared" si="571"/>
        <v>3</v>
      </c>
      <c r="CC292">
        <f>IFERROR(N(VLOOKUP(BC292,Потребители_обозначение,10,FALSE)),0)</f>
        <v>0</v>
      </c>
      <c r="CD292">
        <f>IFERROR(VLOOKUP(BC292,Потребители_обозначение,5,FALSE),0)</f>
        <v>1</v>
      </c>
      <c r="CE292" s="6" cm="1">
        <f t="array" ref="CE292">IF(B292="","",IF(BH292&lt;&gt;"",IFERROR(_xlfn.XLOOKUP(BH292,Щиты[Щит],Щиты[cos φ]),0.95),IF(BP292=1,IFERROR(_xlfn.XLOOKUP(A292,Щиты[Щит],Щиты[cos φ]),0.95),IF(ISNUMBER(AD292),AD292,IFERROR(IF(CD292=2,_xlfn.IFS(BX292=3,VLOOKUP(BS292,Справочная_двигатели,8,FALSE),BX292=1,VLOOKUP(BS292,Справочная_двигатели,10,TRUE)),IF(AND(Методика="нормы 2026",FG292="Сил"),0.8,0.95)),0.95)))))</f>
        <v>0.95</v>
      </c>
      <c r="CF292">
        <f t="shared" si="572"/>
        <v>0</v>
      </c>
      <c r="CG292">
        <f t="shared" si="573"/>
        <v>1</v>
      </c>
      <c r="CH292">
        <f t="shared" si="574"/>
        <v>0</v>
      </c>
      <c r="CI292">
        <f>IF(B292="","",IF(BV292=1,IFERROR(BS292/((Uн_лин/SQRT(3))*MAX(0.5,N(CE292))),0),N(O292)))</f>
        <v>0.27348170645824377</v>
      </c>
      <c r="CJ292">
        <f t="shared" si="575"/>
        <v>0</v>
      </c>
      <c r="CK292">
        <f t="shared" si="576"/>
        <v>0</v>
      </c>
      <c r="CL292">
        <f t="shared" si="577"/>
        <v>0</v>
      </c>
      <c r="CM292">
        <f t="shared" si="578"/>
        <v>0</v>
      </c>
      <c r="CN292">
        <f t="shared" si="579"/>
        <v>0</v>
      </c>
      <c r="CO292">
        <f>IF(BC292="",0,_xlfn.LET(_xlpm.v,IFERROR(_xlfn.XLOOKUP(B292,Коды_код,Коды_мА),IFERROR(_xlfn.XLOOKUP(BC292,Коды_код,Коды_мА),IFERROR(_xlfn.XLOOKUP(LEFT(BC292,2),Коды_код,Коды_мА),""))),IF(_xlpm.v="да",30,IF(ISNUMBER(_xlpm.v),_xlpm.v,0))))</f>
        <v>30</v>
      </c>
      <c r="CP292">
        <f t="shared" si="580"/>
        <v>30</v>
      </c>
      <c r="CQ292" t="str">
        <f>_xlfn.LET(_xlpm.k,IFERROR(_xlfn.XLOOKUP(BC292,Коды_код,Коды_утечка)&amp;"",""),IF(_xlpm.k="","дифавтомат",_xlpm.k))</f>
        <v>дифавтомат</v>
      </c>
      <c r="CR292" t="str" cm="1">
        <f t="array" ref="CR292">IF(CG292=0,"",_xlfn.LET(_xlpm.sg,TRIM(_xlfn.TEXTSPLIT(DD292&amp;"",";")),_xlpm.f_,_xlfn._xlws.FILTER(_xlpm.sg,LEFT(_xlpm.sg,3)="УЗО",""),IFERROR(INDEX(_xlpm.f_,1)&amp;"","")))</f>
        <v/>
      </c>
      <c r="CS292" t="str">
        <f t="shared" si="581"/>
        <v/>
      </c>
      <c r="CT292" s="6" t="str" cm="1">
        <f t="array" ref="CT292">IF(CR292="","",_xlfn.LET(_xlpm.tk,_xlfn.TEXTSPLIT(UPPER(CR292)," ",,TRUE),_xlpm.a_,_xlfn._xlws.FILTER(_xlpm.tk,ISNUMBER(--LEFT(_xlpm.tk,1))*((ISNUMBER(SEARCH("А",_xlpm.tk))+ISNUMBER(SEARCH("A",_xlpm.tk)))&gt;0)*NOT(ISNUMBER(SEARCH("МА",_xlpm.tk)))*NOT(ISNUMBER(SEARCH("MA",_xlpm.tk))),""),IFERROR(--SUBSTITUTE(SUBSTITUTE(INDEX(_xlpm.a_,1),"А",""),"A",""),"")))</f>
        <v/>
      </c>
      <c r="CU292" t="str" cm="1">
        <f t="array" ref="CU292">IF(CR292="","",_xlfn.LET(_xlpm.tk,_xlfn.TEXTSPLIT(UPPER(CR292)," ",,TRUE),_xlpm.a_,_xlfn._xlws.FILTER(_xlpm.tk,ISNUMBER(--LEFT(_xlpm.tk,1))*((ISNUMBER(SEARCH("МА",_xlpm.tk))+ISNUMBER(SEARCH("MA",_xlpm.tk)))&gt;0),""),IFERROR(--SUBSTITUTE(SUBSTITUTE(INDEX(_xlpm.a_,1),"МА",""),"MA",""),30)))</f>
        <v/>
      </c>
      <c r="CV292" t="str">
        <f>IF(CS292="","",IFERROR(_xlfn.XLOOKUP(CS292,Линии[_n],Линии[_УЗО, мА]),30))</f>
        <v/>
      </c>
      <c r="CW292">
        <f>IF(CS292="",0,IF(ISNUMBER(SEARCH("4P",IFERROR(_xlfn.XLOOKUP(CS292,Линии[_n],Линии[_УЗО строки])&amp;"",""))),0,1))</f>
        <v>0</v>
      </c>
      <c r="CX292" t="str">
        <f>IF(AND(CS292&lt;&gt;"",CS292=BA292),SUMIFS(Линии[_ток на 230 В],Линии[_блок УЗО],BA292,Линии[Щит],A292),"")</f>
        <v/>
      </c>
      <c r="CY292" t="str">
        <f>IF(AND(CS292&lt;&gt;"",CS292=BA292),SUMIFS(Линии[_ток утечки линии, мА],Линии[_блок УЗО],BA292,Линии[Щит],A292),"")</f>
        <v/>
      </c>
      <c r="CZ292">
        <f t="shared" si="582"/>
        <v>30</v>
      </c>
      <c r="DA292">
        <f t="shared" si="583"/>
        <v>30</v>
      </c>
      <c r="DB292">
        <f>IF(B292="",0,IFERROR(--_xlfn.XLOOKUP(B292,Коды_код,Коды_минавт),IFERROR(--_xlfn.XLOOKUP(BC292,Коды_код,Коды_минавт),IFERROR(--_xlfn.XLOOKUP(LEFT(BC292,2),Коды_код,Коды_минавт),0))))</f>
        <v>16</v>
      </c>
      <c r="DC292" t="str">
        <f>IF(B292="","",IFERROR(_xlfn.XLOOKUP(BC292,Коды_код,Коды_апп)&amp;"",""))</f>
        <v/>
      </c>
      <c r="DD292" t="str">
        <f t="shared" si="584"/>
        <v/>
      </c>
      <c r="DE292" t="str" cm="1">
        <f t="array" ref="DE292">IF(TRIM(DD292&amp;"")="","",IFERROR(TRIM(INDEX(_xlfn.TEXTSPLIT(DD292&amp;";;;",";"),1)),""))</f>
        <v/>
      </c>
      <c r="DF292" t="str" cm="1">
        <f t="array" ref="DF292">IF(TRIM(DD292&amp;"")="","",IFERROR(TRIM(INDEX(_xlfn.TEXTSPLIT(DD292&amp;";;;",";"),2)),""))</f>
        <v/>
      </c>
      <c r="DG292" t="str" cm="1">
        <f t="array" ref="DG292">IF(TRIM(DD292&amp;"")="","",IFERROR(TRIM(INDEX(_xlfn.TEXTSPLIT(DD292&amp;";;;",";"),3)),""))</f>
        <v/>
      </c>
      <c r="DH292">
        <f t="shared" si="585"/>
        <v>0</v>
      </c>
      <c r="DI292" t="str">
        <f>IF(B292="","",_xlfn.LET(_xlpm.t,LOWER(AZ292&amp;""),IF(ISNUMBER(SEARCH("dim",_xlpm.t)),"DIM",IF(ISNUMBER(SEARCH("dali",_xlpm.t)),"DALI",IF(OR(ISNUMBER(SEARCH("relay",_xlpm.t)),ISNUMBER(SEARCH("реле",_xlpm.t))),"Relay",IF(ISNUMBER(SEARCH("кнопк",_xlpm.t)),"",IFERROR(_xlfn.XLOOKUP(BC292,Коды_код,Коды_упр)&amp;"","")))))))</f>
        <v/>
      </c>
      <c r="DJ292" t="str">
        <f t="shared" si="586"/>
        <v/>
      </c>
      <c r="DK292">
        <f>IF(B292="","",_xlfn.LET(_xlpm.ig,IF(N(CX292)&gt;0,N(CX292),N(CI292)+IF(AJ292="вручную",0,N(CJ292))),_xlpm.n0,IFERROR(VLOOKUP(_xlpm.ig,Автомат_номиналы,2,TRUE),0),_xlpm.mn,MAX(DB292,IF(AJ292="вручную",0,N(CM292))),MAX(_xlpm.n0,_xlpm.mn,IF(DH292=1,Мин_автомат_БП,0))))</f>
        <v>16</v>
      </c>
      <c r="DL292">
        <f t="shared" si="587"/>
        <v>1</v>
      </c>
      <c r="DM292" t="str">
        <f t="shared" si="588"/>
        <v>2P</v>
      </c>
      <c r="DN292" t="str">
        <f>_xlfn.LET(_xlpm.cc,UPPER(TRIM(IFERROR(_xlfn.XLOOKUP(BC292,Коды_код,Коды_хар)&amp;"",""))),IF(OR(_xlpm.cc="B",_xlpm.cc="В"),"B",IF(_xlpm.cc="D","D","С")))</f>
        <v>С</v>
      </c>
      <c r="DO292" t="str">
        <f t="shared" si="589"/>
        <v>2P С16А 30мА</v>
      </c>
      <c r="DP292">
        <f t="shared" si="590"/>
        <v>16</v>
      </c>
      <c r="DQ292" t="str">
        <f t="shared" si="591"/>
        <v>2P С16А 30мА</v>
      </c>
      <c r="DR292" cm="1">
        <f t="array" ref="DR292">IF(DQ292="","",_xlfn.LET(_xlpm.t,SUBSTITUTE(SUBSTITUTE(SUBSTITUTE(UPPER(DQ292),"С","C"),"А","A"),"В","B"),_xlpm.tk,_xlfn.TEXTSPLIT(_xlpm.t," "),_xlpm.f,_xlfn._xlws.FILTER(_xlpm.tk,ISNUMBER(--MID(_xlpm.tk,2,1))*ISNUMBER(SEARCH(LEFT(_xlpm.tk,1)&amp;"#","B#C#D#"))*(LEN(_xlpm.tk)&gt;1),""),_xlpm.x,INDEX(_xlpm.f,1),IFERROR(--SUBSTITUTE(MID(_xlpm.x,2,9),"A",""),IFERROR(--SUBSTITUTE(INDEX(_xlfn._xlws.FILTER(_xlpm.tk,ISNUMBER(--SUBSTITUTE(_xlpm.tk,"A","")),""),1),"A",""),""))))</f>
        <v>16</v>
      </c>
      <c r="DS292" t="str">
        <f t="shared" si="592"/>
        <v>ok</v>
      </c>
      <c r="DT292">
        <f t="shared" si="593"/>
        <v>16</v>
      </c>
      <c r="DU292" t="str">
        <f t="shared" si="594"/>
        <v>2P С16А 30мА</v>
      </c>
      <c r="DV292">
        <f t="shared" si="595"/>
        <v>30</v>
      </c>
      <c r="DW292">
        <f t="shared" si="596"/>
        <v>1</v>
      </c>
      <c r="DX292">
        <f t="shared" si="597"/>
        <v>0</v>
      </c>
      <c r="DY292">
        <f t="shared" si="598"/>
        <v>0.27348170645824377</v>
      </c>
      <c r="DZ292">
        <f t="shared" si="599"/>
        <v>1</v>
      </c>
      <c r="EA292">
        <f>IF(ISNUMBER(AP292),AP292,К_прокл)</f>
        <v>1</v>
      </c>
      <c r="EB292">
        <f t="shared" si="600"/>
        <v>2</v>
      </c>
      <c r="EC292">
        <f>IFERROR(N(VLOOKUP(BZ292,Кабель_обозначение,3,FALSE)),1)</f>
        <v>1</v>
      </c>
      <c r="ED292">
        <f>IFERROR(N(_xlfn.XLOOKUP(A292,Щиты[Щит],Щиты[ΔU до шин, %])),0)</f>
        <v>1.79</v>
      </c>
      <c r="EE292" t="str">
        <f>IFERROR(_xlfn.XLOOKUP(A292,Щиты[Щит],Щиты[Zпетли на шинах, Ом]),"")</f>
        <v/>
      </c>
      <c r="EF292">
        <f>IFERROR(N(_xlfn.XLOOKUP(A292,Щиты[Щит],Щиты[ΔU до шин (подбор), %])),0)</f>
        <v>4.75</v>
      </c>
      <c r="EG292" t="str">
        <f>IFERROR(_xlfn.XLOOKUP(A292,Щиты[Щит],Щиты[Zпетли на шинах (подбор), Ом]),"")</f>
        <v/>
      </c>
      <c r="EH292" t="str">
        <f t="shared" si="601"/>
        <v/>
      </c>
      <c r="EI292">
        <f t="shared" si="602"/>
        <v>36</v>
      </c>
      <c r="EJ292">
        <f t="shared" si="603"/>
        <v>2</v>
      </c>
      <c r="EK292">
        <f t="shared" si="604"/>
        <v>0.31</v>
      </c>
      <c r="EL292" s="6">
        <f>IF(B292="","",IF(BV292=1,dU_LED,IF(IFERROR(_xlfn.XLOOKUP(BC292,Коды_код,Коды_уго),"")="Светильник",3,4)+IF(Методика="нормы 2026",MIN(0.5,MAX(0,N(P292)-100)*0.005),0)))</f>
        <v>4</v>
      </c>
      <c r="EM292" t="str" cm="1">
        <f t="array" ref="EM292">IF(OR(B292="",BZ292="",EC292&lt;&gt;1),"",_xlfn.LET(_xlpm.sz,Iдоп_S,_xlpm.t_,CHOOSE(EB292,Iдоп_1ж,Iдоп_2ж,Iдоп_3ж)*DZ292*EA292,_xlpm.dcx,BV292=1,_xlpm.inn,IF(_xlpm.dcx,N(O292),N(DT292)),_xlpm.smin,MAX(1.5,CC292),_xlpm.L_,N(P292)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292)/N(BU292)*100,999),IFERROR(N(EJ292)*(_xlpm.rho*_xlpm.L_/_xlpm.sz*N(CE292)+_xlpm.xx*_xlpm.L_*N(EK292)/1000)*N(O292)/((Uн_лин/SQRT(3))*1000)*100,999)),_xlpm.kz,IF(OR(_xlpm.dcx,DW292=1,NOT(ISNUMBER(EG292)),_xlpm.L_=0,_xlpm.inn=0),1,IFERROR(--(c_min*(Uн_лин*1000/SQRT(3))/(EG292+2*ρкз_Cu*_xlpm.L_/_xlpm.sz)&gt;=HT292*_xlpm.inn),0)),_xlpm.ok,IFERROR((_xlpm.sz&gt;=_xlpm.smin)*(_xlpm.t_&gt;=_xlpm.inn)*IF(_xlpm.L_&gt;0,(_xlpm.du_+IF(_xlpm.dcx,0,EF292)&lt;=EL292+0.00001),1)*_xlpm.kz,0),_xlpm.r_,_xlfn._xlws.FILTER(_xlpm.sz,_xlpm.ok,"не подобрано"),INDEX(_xlpm.r_,1)))</f>
        <v>не подобрано</v>
      </c>
      <c r="EN292">
        <f t="shared" si="605"/>
        <v>2.5</v>
      </c>
      <c r="EO292" cm="1">
        <f t="array" ref="EO292">IF(OR(B292="",BZ292="",EC292&lt;&gt;1),"",_xlfn.LET(_xlpm.sz,Iдоп_S,_xlpm.t_,CHOOSE(EB292,Iдоп_1ж,Iдоп_2ж,Iдоп_3ж)*DZ292*EA292,_xlpm.ok,IFERROR((_xlpm.sz&gt;=MAX(1.5,CC292))*(_xlpm.t_&gt;=N(DT292)),0),_xlpm.r_,_xlfn._xlws.FILTER(_xlpm.sz,_xlpm.ok,""),INDEX(_xlpm.r_,1)))</f>
        <v>1.5</v>
      </c>
      <c r="EP292" s="6" cm="1">
        <f t="array" ref="EP292">IFERROR(ROUNDUP(N(EJ292)*(_xlfn.XLOOKUP(EO292,INDEX(Кабель_сопротивление,0,1),INDEX(Кабель_сопротивление,0,3))*N(P292)/EO292*N(CE292)+_xlfn.XLOOKUP(EO292,INDEX(Кабель_сопротивление,0,1),INDEX(Кабель_сопротивление,0,2))*N(P292)*N(EK292)/1000)*N(O292)/((Uн_лин/SQRT(3))*1000)*100,2),"")</f>
        <v>0.14000000000000001</v>
      </c>
      <c r="EQ292">
        <f>IFERROR(2*ρкз_Cu*N(P292)/EO292,"")</f>
        <v>1.3676000000000001</v>
      </c>
      <c r="ER292">
        <f>IFERROR(VLOOKUP(EN292,Кабель_сопротивление,3,FALSE),"")</f>
        <v>2.2499999999999999E-2</v>
      </c>
      <c r="ES292">
        <f>IFERROR(VLOOKUP(EN292,Кабель_сопротивление,2,FALSE),"")</f>
        <v>0.1</v>
      </c>
      <c r="ET292">
        <f t="shared" si="606"/>
        <v>21</v>
      </c>
      <c r="EU292">
        <f t="shared" si="607"/>
        <v>0</v>
      </c>
      <c r="EV292">
        <f t="shared" si="608"/>
        <v>0.1830462288032188</v>
      </c>
      <c r="EW292" s="6">
        <f>IFERROR(ROUNDUP(EV292/IF(BV292=1,BU292,(Uн_лин/SQRT(3))*1000)*100,2),"")</f>
        <v>0.08</v>
      </c>
      <c r="EX292" t="str">
        <f>IFERROR(VLOOKUP(BZ292,Кабель_обозначение,2,FALSE),"")</f>
        <v>ВВГнг(А)-LS</v>
      </c>
      <c r="EY292" t="str">
        <f t="shared" si="609"/>
        <v>ВВГнг(А)-LS (3х2,5)</v>
      </c>
      <c r="EZ292" t="str">
        <f t="shared" si="610"/>
        <v>ВВГнг(А)-LS (3х2,5)
L=39-0,08%</v>
      </c>
      <c r="FA292">
        <f>IFERROR(2*ρкз_Cu*P292/EN292,"")</f>
        <v>0.82056000000000007</v>
      </c>
      <c r="FB292">
        <f t="shared" si="611"/>
        <v>0.27300000000000002</v>
      </c>
      <c r="FC292" s="6" t="str">
        <f>IFERROR(IF(OR(B292="",BV292=1,NOT(ISNUMBER(EN292)),N(P292)=0),"",_xlfn.XLOOKUP(A292,Щиты[Щит],Щиты[Zпетли на шинах, Ом])+FA292),"")</f>
        <v/>
      </c>
      <c r="FD292" s="6" t="str">
        <f>IF(ISNUMBER(FC292),c_min*(Uн_лин*1000/SQRT(3))/FC292,"")</f>
        <v/>
      </c>
      <c r="FE292" s="6" t="str">
        <f>IFERROR(IF(OR(B292="",NOT(ISNUMBER(EN292))),"",1.05*(Uн_лин*1000/SQRT(3))/(_xlfn.XLOOKUP(A292,Щиты[Щит],Щиты[Zmax на шинах, Ом])+FB292)/1000),"")</f>
        <v/>
      </c>
      <c r="FF292" s="6" t="str">
        <f>IF(B292="","",IF(ISNUMBER(AC292),"Сил",IF(IFERROR(_xlfn.XLOOKUP(BC292,Коды_код,Коды_группа)&amp;"","")="","Быт",_xlfn.XLOOKUP(BC292,Коды_код,Коды_группа)&amp;"")))</f>
        <v>Быт</v>
      </c>
      <c r="FG292" s="6" t="str">
        <f t="shared" si="612"/>
        <v>Быт</v>
      </c>
      <c r="FH292" s="6">
        <f>IF(FG292="Щит","щит",IF(FG292="","",IF(FG292="Быт",IFERROR(_xlfn.XLOOKUP(A292,Щиты[Щит],Щиты[Кс быт]),1),IF(FG292="Сил",IF(ISNUMBER(AC292),AC292,IF(Методика="нормы 2026",IFERROR(_xlfn.XLOOKUP(A292,Щиты[Щит],Щиты[Кс силовых (табл. 7.5)]),1),1)),IF(OR(FG292="Пост",FG292="Отоп"),1,IF(FG292="ВНГ",0.7,0))))))</f>
        <v>0.8</v>
      </c>
      <c r="FI292">
        <f>IF(FG292="","",IF(AND(BP292=1,TRIM(AE292&amp;"")=""),IF(COUNTIFS(Линии[Щит],A292,Линии[Секция (1/2/3)],"&gt;=2")&gt;0,MIN(3,MAX(1,IFERROR(--BD292,1))),1),IFERROR(MIN(3,MAX(1,INT(--AE292))),1)))</f>
        <v>1</v>
      </c>
      <c r="FJ292">
        <f t="shared" si="613"/>
        <v>0.06</v>
      </c>
      <c r="FK292">
        <f t="shared" si="614"/>
        <v>0.06</v>
      </c>
      <c r="FL292">
        <f t="shared" si="615"/>
        <v>0</v>
      </c>
      <c r="FM292">
        <f t="shared" si="616"/>
        <v>0</v>
      </c>
      <c r="FN292">
        <f t="shared" si="617"/>
        <v>0</v>
      </c>
      <c r="FO292">
        <f t="shared" si="618"/>
        <v>0</v>
      </c>
      <c r="FP292">
        <f t="shared" si="619"/>
        <v>0.06</v>
      </c>
      <c r="FQ292">
        <f t="shared" si="620"/>
        <v>0.06</v>
      </c>
      <c r="FR292">
        <f t="shared" si="621"/>
        <v>5.6999999999999995E-2</v>
      </c>
      <c r="FS292">
        <f>IF(CG292=1,IF(AND(CH292=1,CW292=1),0,IF(AND(CS292&lt;&gt;"",CS292=BA292,CW292=1),SUMIFS(Линии[_Р линии, кВт],Линии[_блок УЗО],BA292,Линии[Щит],A292),N(BS292)+IF(AJ292="вручную",0,N(CK292)))),0)</f>
        <v>0.06</v>
      </c>
      <c r="FT292" t="str">
        <f t="shared" si="622"/>
        <v>L1</v>
      </c>
      <c r="FU292" t="str">
        <f>IF(B292="","",IF(CG292=0,IF(BA292=1,"",FW291),IF(AND(CH292=1,CW292=1,CS292&lt;&gt;""),IFERROR(_xlfn.XLOOKUP(CS292,Линии[_n],Линии[_фаза итог]),"L1"),IF(OR(N(DL292)&gt;=3,N(BX292)&gt;=3),"L1,L2,L3",IFERROR(_xlfn.TEXTBEFORE(_xlfn.TEXTAFTER(_xlfn.XLOOKUP(A292,Щиты[Щит],Щиты[_фазы авто]),";"&amp;BA292&amp;":"),";"),"L1")))))</f>
        <v>L1</v>
      </c>
      <c r="FV292" t="str">
        <f t="shared" si="623"/>
        <v>L1</v>
      </c>
      <c r="FW292" t="str">
        <f t="shared" si="624"/>
        <v>L1</v>
      </c>
      <c r="FX292" cm="1">
        <f t="array" ref="FX292">IFERROR(IF(CD292=2,_xlfn.IFS(BX292=3,VLOOKUP(BS292,Справочная_двигатели,3,FALSE),BX292=1,VLOOKUP(BS292,Справочная_двигатели,5,TRUE)),0),0)</f>
        <v>0</v>
      </c>
      <c r="FY292">
        <f>IFERROR(IF(CD292=3,VLOOKUP(BS292,Справочная_ЛЭД,2,TRUE),0),0)</f>
        <v>0</v>
      </c>
      <c r="FZ292" s="6">
        <f t="shared" si="625"/>
        <v>0</v>
      </c>
      <c r="GA292" t="str">
        <f>IF(B292="","",IF(TRIM(AH292&amp;"")&lt;&gt;"",IF(LOWER(TRIM(AH292&amp;""))="да","да","нет"),IF(IFERROR(_xlfn.XLOOKUP(BC292,Коды_код,Коды_пожарная),"")="да","да","нет")))</f>
        <v>нет</v>
      </c>
      <c r="GB292" t="str">
        <f t="shared" si="626"/>
        <v/>
      </c>
      <c r="GC292" t="str">
        <f t="shared" si="627"/>
        <v>основная</v>
      </c>
      <c r="GD292">
        <f>IF(AND(BP292=1,TRIM(AE292&amp;"")=""),IF(COUNTIFS(Линии[Щит],A292,Линии[Секция (1/2/3)],"&gt;=2")&gt;0,MIN(3,MAX(1,IFERROR(--BD292,1))),1),IFERROR(MIN(3,MAX(1,INT(--AE292))),1))</f>
        <v>1</v>
      </c>
      <c r="GE292" t="str" cm="1">
        <f t="array" ref="GE292">IF(B292="","",_xlfn.LET(_xlpm.t,IFERROR(_xlfn.XLOOKUP(1,(Шины[Шина]=GC292)*(((Шины[Щит]=A292)+(Шины[Щит]=""))&gt;0),Шины[Тип]),"")&amp;"",IF(_xlpm.t&lt;&gt;"",_xlpm.t,IF(ISNUMBER(SEARCH("ИБП",GC292)),"ИБП",IF(ISNUMBER(SEARCH("ДГУ",GC292)),"ДГУ","Ввод "&amp;GD292)))))</f>
        <v>Ввод 1</v>
      </c>
      <c r="GF292" t="str">
        <f t="shared" si="628"/>
        <v>Ввод 1</v>
      </c>
      <c r="GG292" t="str">
        <f>IF(BP292=0,"",IF(TRIM(AG292&amp;"")&lt;&gt;"",TRIM(AG292&amp;""),IF(OR(GE292="ИБП",GE292="ДГУ"),"I особая",_xlfn.XLOOKUP(A292,Щиты[Щит],Щиты[Категория шины «Ввод»],"III"))))</f>
        <v/>
      </c>
      <c r="GH292" t="str">
        <f>IF(A292="","",_xlfn.XLOOKUP(A292,Щиты[Щит],Щиты[Путь],""))</f>
        <v>|ГРЩ-ЖД|ЩР-2|</v>
      </c>
      <c r="GI292" t="str">
        <f>IF(B292="","",IF(AI292&lt;&gt;"",AI292,IF(IFERROR(_xlfn.XLOOKUP(BC292,Коды_код,Коды_вид)&amp;"","")="","Прочее",_xlfn.XLOOKUP(BC292,Коды_код,Коды_вид)&amp;"")))</f>
        <v>Розеточная сеть и бытовые приборы</v>
      </c>
      <c r="GJ292">
        <f>IF(BM292="","",INT((BM292-1)/Столбцов_на_лист)+1)</f>
        <v>2</v>
      </c>
      <c r="GK292" t="str">
        <f t="shared" si="629"/>
        <v>ВВГнг(А)-LS (3х2,5) L=39-0,08%</v>
      </c>
      <c r="GL292">
        <f t="shared" si="630"/>
        <v>0.06</v>
      </c>
      <c r="GM292">
        <f t="shared" si="631"/>
        <v>0.28000000000000003</v>
      </c>
      <c r="GN292">
        <f t="shared" si="632"/>
        <v>1</v>
      </c>
      <c r="GO292">
        <f t="shared" si="633"/>
        <v>0</v>
      </c>
      <c r="GP292">
        <f t="shared" si="634"/>
        <v>1</v>
      </c>
      <c r="GQ292">
        <f>IF(BM292="","",IF(AND(CG292=1,GP292=1),COUNTIFS(A$3:A292,A292,CG$3:CG292,1,GP$3:GP292,1),IF(OR(OR(BA292=1,A292&lt;&gt;A291),AJ292="вручную",GP292=0),"",IF(BA292=1,"",GR291))))</f>
        <v>9</v>
      </c>
      <c r="GR292">
        <f t="shared" si="635"/>
        <v>9</v>
      </c>
      <c r="GS292">
        <f>IF(B292="","",IFERROR(LOOKUP(INDEX(CHOOSE(EB292,Iдоп_1ж,Iдоп_2ж,Iдоп_3ж),MATCH(EN292,Iдоп_S,0))*DZ292*EA292,{6,10,16,20,25,32,40,50,63,80,100,125,160,200,250,315,400,500,630}),""))</f>
        <v>25</v>
      </c>
      <c r="GT292" t="str">
        <f t="shared" si="636"/>
        <v>QFD9</v>
      </c>
      <c r="GU292" t="str">
        <f t="shared" si="637"/>
        <v>QFD9</v>
      </c>
      <c r="GV292" t="str">
        <f t="shared" si="638"/>
        <v/>
      </c>
      <c r="GW292">
        <f t="shared" si="639"/>
        <v>0</v>
      </c>
      <c r="GX292" t="str">
        <f>IF(OR(B292="",DJ292=""),"",IFERROR(_xlfn.XLOOKUP(DJ292,Модули_умолч[Управление],Модули_умолч[Модель])&amp;"",""))</f>
        <v/>
      </c>
      <c r="GY292">
        <f>IF(DJ292="",1,IFERROR(MAX(0,N(_xlfn.XLOOKUP(DJ292,Модули_умолч[Управление],Модули_умолч[Каналов на линию]))),1))</f>
        <v>1</v>
      </c>
      <c r="GZ292" t="str">
        <f t="shared" si="640"/>
        <v/>
      </c>
      <c r="HA292" t="str">
        <f t="shared" si="641"/>
        <v/>
      </c>
      <c r="HB292" t="str">
        <f t="shared" si="642"/>
        <v/>
      </c>
      <c r="HC292">
        <f>IF(HB292="",0,IFERROR(N(VLOOKUP(HB292,Модули_спр,3,FALSE)),0))</f>
        <v>0</v>
      </c>
      <c r="HD292" t="str">
        <f t="shared" si="643"/>
        <v/>
      </c>
      <c r="HE292" t="str">
        <f t="shared" si="644"/>
        <v/>
      </c>
      <c r="HF292" t="str">
        <f>IF(OR(HE292="",HE292="-"),"",IFERROR(VLOOKUP(HE292,Модули_спр,2,FALSE),"R"))</f>
        <v/>
      </c>
      <c r="HG292" t="str">
        <f>IF(HF292="","",HF292&amp;"."&amp;COUNTIFS(A$3:A292,A292,HF$3:HF292,HF292))</f>
        <v/>
      </c>
      <c r="HH292" t="str">
        <f t="shared" si="645"/>
        <v/>
      </c>
      <c r="HI292" t="str">
        <f t="shared" si="646"/>
        <v/>
      </c>
      <c r="HJ292" t="str">
        <f t="shared" si="647"/>
        <v/>
      </c>
      <c r="HK292" t="str">
        <f t="shared" si="648"/>
        <v/>
      </c>
      <c r="HL292">
        <f t="shared" si="649"/>
        <v>1</v>
      </c>
      <c r="HM292" t="str">
        <f>IF(HL292=1,"XT"&amp;COUNTIFS(A$3:A292,A292,HL$3:HL292,1),"")</f>
        <v>XT9</v>
      </c>
      <c r="HN292" t="str">
        <f t="shared" si="650"/>
        <v/>
      </c>
      <c r="HO292" t="str">
        <f t="shared" si="651"/>
        <v>QFD9</v>
      </c>
      <c r="HP292" t="str">
        <f t="shared" si="652"/>
        <v/>
      </c>
      <c r="HQ292" t="str">
        <f t="shared" si="653"/>
        <v>ok</v>
      </c>
      <c r="HR292" t="str">
        <f>IF(OR(HJ292="",HH292=""),"",IF(HJ292+MAX(0,GY292-1)&gt;IFERROR(VLOOKUP(HI292,Модули_спр,3,FALSE),99),"ЛИШНИЙ КАНАЛ",IF(AND(AL292&lt;&gt;"=",GY292&gt;0,COUNTIFS(Линии[_модуль гр.],HH292,Линии[Канал (итог)],HJ292,Линии[Канал],"&lt;&gt;=",Линии[Щит],A292)&gt;1),"ДУБЛЬ КАНАЛА","")))</f>
        <v/>
      </c>
      <c r="HS292" s="6" t="str">
        <f t="shared" si="654"/>
        <v/>
      </c>
      <c r="HT292">
        <f t="shared" si="655"/>
        <v>10</v>
      </c>
      <c r="HU292" t="str">
        <f t="shared" si="656"/>
        <v/>
      </c>
      <c r="HV292">
        <f t="shared" si="657"/>
        <v>0.4993926825832975</v>
      </c>
      <c r="HW292">
        <f t="shared" si="658"/>
        <v>0</v>
      </c>
      <c r="HX292">
        <f t="shared" si="659"/>
        <v>0</v>
      </c>
      <c r="HY292">
        <f t="shared" si="660"/>
        <v>0</v>
      </c>
      <c r="HZ292">
        <f t="shared" si="661"/>
        <v>0</v>
      </c>
      <c r="IA292">
        <f t="shared" si="662"/>
        <v>0</v>
      </c>
      <c r="IB292">
        <f t="shared" si="663"/>
        <v>0</v>
      </c>
      <c r="IC292" t="str">
        <f t="shared" si="664"/>
        <v/>
      </c>
      <c r="ID292" t="str" cm="1">
        <f t="array" ref="ID292">IF(IC292="","",_xlfn.LET(_xlpm.tk,_xlfn.TEXTSPLIT(SUBSTITUTE(SUBSTITUTE(IC292,";"," "),"→"," ")," ",,TRUE),_xlpm.w_,_xlfn._xlws.FILTER(_xlpm.tk,ISNUMBER(--LEFT(_xlpm.tk,1))*((ISNUMBER(SEARCH("W",_xlpm.tk))+ISNUMBER(SEARCH("Вт",_xlpm.tk)))&gt;0),""),IFERROR(--SUBSTITUTE(SUBSTITUTE(UPPER(INDEX(_xlpm.w_,1)),"W",""),"ВТ",""),"")))</f>
        <v/>
      </c>
      <c r="IE292" t="str" cm="1">
        <f t="array" ref="IE292">IF(IC292="","",_xlfn.LET(_xlpm.tk,_xlfn.TEXTSPLIT(SUBSTITUTE(SUBSTITUTE(IC292,";"," "),"→"," ")," ",,TRUE),_xlpm.v_,_xlfn._xlws.FILTER(_xlpm.tk,ISNUMBER(--LEFT(_xlpm.tk,1))*((ISNUMBER(SEARCH("V",_xlpm.tk))+(RIGHT(UPPER(_xlpm.tk))="В"))&gt;0),""),IFERROR(--SUBSTITUTE(SUBSTITUTE(UPPER(INDEX(_xlpm.v_,1)),"V",""),"В",""),"")))</f>
        <v/>
      </c>
      <c r="IF292" s="6" t="str">
        <f>IF(OR(BV292=0,HI292="",HJ292=""),"",IFERROR(N(_xlfn.XLOOKUP(HI292,Каталог!$C$4:$C$500,Каталог!$Q$4:$Q$500)),""))</f>
        <v/>
      </c>
      <c r="IG292" s="6" t="str">
        <f>IF(N(IF292)=0,"",SUMIFS(Линии[Iр, А],Линии[Щит],A292,Линии[_модуль гр.],HH292,Линии[Канал (итог)],HJ292))</f>
        <v/>
      </c>
      <c r="IH292" t="str">
        <f>IF(AND(B292="",HO292=""),"",_xlfn.TEXTJOIN("; ",TRUE,IF(AND(B292&lt;&gt;"",FV292=""),"нет фазы",""),IF(AND(B292&lt;&gt;"",N(GL292)=0,FG292&lt;&gt;"Нет"),"нет мощности",""),IF(AND(HN292&lt;&gt;"",COUNTIFS(Линии[Щит],A292,Линии[Клемма (итог)],HN292)&gt;1),"дубль клеммы "&amp;HN292,""),IF(AND(HQ292&lt;&gt;"",HQ292&lt;&gt;"ok"),HQ292,""),IF(HR292&lt;&gt;"",HR292,""),IF(AND(N(CB292)&gt;=4,N(BX292)=1),CB292&amp;" жил на 1 фазе",""),IF(AND(BC292="R",CG292=1,IF(CS292&lt;&gt;"",N(CV292)&gt;30,OR(N(DA292)=0,N(DA292)&gt;30))),"розетка без дифзащиты до 30 мА",""),IF(AND(CG292=1,N(DA292)&gt;0,ISNUMBER(T292)),IF(T292&gt;N(DA292)/3,"ток утечки "&amp;FIXED(T292,1)&amp;" мА &gt; 1/3 уставки ("&amp;DA292&amp;" мА)",""),""),IF(AND(CH292=1,CS292=""),"«узо»: нет строки с УЗО выше (УЗО 2P 40А 30мА в «Аппаратах»)",""),IF(AND(CS292&lt;&gt;"",CS292=BA292),IF(CT292="","впишите номинал УЗО (УЗО 2P 40А 30мА)",IF(N(CT292)&lt;N(DT292),"УЗО "&amp;CT292&amp;" А &lt; автомата "&amp;DT292&amp;" А перед ним",IF(N(CT292)&lt;N(CX292),"УЗО "&amp;CT292&amp;" А &lt; тока блока "&amp;FIXED(CX292,1)&amp;" А",""))),""),IF(AND(CS292&lt;&gt;"",CS292=BA292,ISNUMBER(CY292)),IF(CY292&gt;N(CV292)/3,"ток утечки блока УЗО "&amp;FIXED(CY292,1)&amp;" мА &gt; 1/3 уставки ("&amp;CV292&amp;" мА)",""),""),IF(AND(CG292=1,N(BV292)+N(IB292)&gt;0,IC292=""),"линии до 50 В без БП: впишите в «Аппараты» (БП 24V 480W)",""),IF(AND(CG292=1,ISNUMBER(ID292),ISNUMBER(U292)),IF(U292&gt;ID292,"БП "&amp;ID292&amp;" Вт &lt; нужно "&amp;U292&amp;" Вт (×"&amp;Запас_БП&amp;")",""),""),IF(AND(CG292=1,ISNUMBER(IE292),N(BV292)=1),IF(IE292&lt;&gt;N(BU292),"БП на "&amp;IE292&amp;" В, линия "&amp;BU292&amp;" В",""),""),IF(AND(N(IF292)&gt;0,N(IG292)&gt;N(IF292)),HH292&amp;" канал "&amp;HJ292&amp;": "&amp;FIXED(IG292,1)&amp;" А &gt; "&amp;IF292&amp;" А",""),IFERROR(IF(AND(ISNUMBER(Q292),Q292&gt;EL292),"потери "&amp;FIXED(Q292,1)&amp;" % &gt; "&amp;EL292&amp;" %",""),""),IFERROR(IF(LEFT(HU292,4)="мало","Iкз мало — отключение &gt; 0,4 с",""),""),IF(AND(B292&lt;&gt;"",BM292=""),"не на схеме",""),IF(AND(CG292=0,B292&lt;&gt;"",FV292&lt;&gt;"",IF(BA292=1,"",FW291)&lt;&gt;"",FV292&lt;&gt;IF(BA292=1,"",FW291)),"фаза не как у автомата группы ("&amp;IF(BA292=1,"",FW291)&amp;")","")))</f>
        <v/>
      </c>
      <c r="II292" s="6">
        <f>IF(OR(CG292=0,DQ292=""),"",_xlfn.LET(_xlpm.t,IFERROR(_xlfn.XLOOKUP(DQ292,Каталог!$U$4:$U$500,Каталог!$G$4:$G$500),""),_xlpm.k,SEARCH("кА",_xlpm.t),IFERROR(--TRIM(RIGHT(SUBSTITUTE(MID(_xlpm.t,MAX(1,_xlpm.k-4),_xlpm.k-MAX(1,_xlpm.k-4))," ",REPT(" ",9)),5)),"")))</f>
        <v>6</v>
      </c>
      <c r="IJ292" t="str">
        <f>IF(OR(II292="",CG292=0),"",IF(_xlfn.XLOOKUP(A292,Щиты[Щит],Щиты[Iкз max на шинах, кА],"")="","",IF(II292&lt;_xlfn.XLOOKUP(A292,Щиты[Щит],Щиты[Iкз max на шинах, кА]),"Icu "&amp;II292&amp;" кА &lt; Iкз max","ok")))</f>
        <v/>
      </c>
      <c r="IK292" t="str">
        <f t="shared" si="665"/>
        <v/>
      </c>
      <c r="IL292" t="str">
        <f t="shared" si="666"/>
        <v>QFD9</v>
      </c>
      <c r="IM292" t="str">
        <f t="shared" si="667"/>
        <v>QFD9|кабель ВВГнг(А)-LS (3х2,5) → Розеточная группа, пом. 002Г</v>
      </c>
      <c r="IN292" t="str" cm="1">
        <f t="array" ref="IN292">IF(IM292="","",_xlfn.LET(_xlpm.nd,_xlfn.TEXTSPLIT(IM292,"|"),IF(COLUMNS(_xlpm.nd)&gt;1,A292&amp;"¦"&amp;INDEX(_xlpm.nd,1)&amp;"¦"&amp;INDEX(_xlpm.nd,2),"")))</f>
        <v>ЩР-2¦QFD9¦кабель ВВГнг(А)-LS (3х2,5) → Розеточная группа, пом. 002Г</v>
      </c>
      <c r="IO292" t="str">
        <f t="shared" si="668"/>
        <v>R.2.002Г.1¦Розеточная группа, пом. 002Г</v>
      </c>
      <c r="IP292" t="str" cm="1">
        <f t="array" ref="IP292">IF(IM292="","",_xlfn.LET(_xlpm.nd,_xlfn.TEXTSPLIT(IM292,"|"),IF(COLUMNS(_xlpm.nd)&gt;2,A292&amp;"¦"&amp;INDEX(_xlpm.nd,2)&amp;"¦"&amp;INDEX(_xlpm.nd,3),"")))</f>
        <v/>
      </c>
      <c r="IQ292" t="str">
        <f t="shared" si="669"/>
        <v/>
      </c>
      <c r="IR292" t="str" cm="1">
        <f t="array" ref="IR292">IF(IM292="","",_xlfn.LET(_xlpm.nd,_xlfn.TEXTSPLIT(IM292,"|"),IF(COLUMNS(_xlpm.nd)&gt;3,A292&amp;"¦"&amp;INDEX(_xlpm.nd,3)&amp;"¦"&amp;INDEX(_xlpm.nd,4),"")))</f>
        <v/>
      </c>
      <c r="IS292" t="str">
        <f t="shared" si="670"/>
        <v/>
      </c>
      <c r="IT292" t="str" cm="1">
        <f t="array" ref="IT292">IF(IM292="","",_xlfn.LET(_xlpm.nd,_xlfn.TEXTSPLIT(IM292,"|"),IF(COLUMNS(_xlpm.nd)&gt;4,A292&amp;"¦"&amp;INDEX(_xlpm.nd,4)&amp;"¦"&amp;INDEX(_xlpm.nd,5),"")))</f>
        <v/>
      </c>
      <c r="IU292" t="str">
        <f t="shared" si="671"/>
        <v/>
      </c>
      <c r="IV292" t="str" cm="1">
        <f t="array" ref="IV292">IF(IM292="","",_xlfn.LET(_xlpm.nd,_xlfn.TEXTSPLIT(IM292,"|"),IF(COLUMNS(_xlpm.nd)&gt;5,A292&amp;"¦"&amp;INDEX(_xlpm.nd,5)&amp;"¦"&amp;INDEX(_xlpm.nd,6),"")))</f>
        <v/>
      </c>
      <c r="IW292" t="str">
        <f t="shared" si="672"/>
        <v/>
      </c>
      <c r="IX292" t="str" cm="1">
        <f t="array" ref="IX292">IF(IM292="","",_xlfn.LET(_xlpm.nd,_xlfn.TEXTSPLIT(IM292,"|"),IF(COLUMNS(_xlpm.nd)&gt;6,A292&amp;"¦"&amp;INDEX(_xlpm.nd,6)&amp;"¦"&amp;INDEX(_xlpm.nd,7),"")))</f>
        <v/>
      </c>
      <c r="IY292" t="str">
        <f t="shared" si="673"/>
        <v/>
      </c>
      <c r="IZ292" t="str">
        <f t="shared" si="674"/>
        <v/>
      </c>
      <c r="JA292" t="str">
        <f t="shared" si="675"/>
        <v>QFD9</v>
      </c>
      <c r="JB292">
        <f t="shared" si="676"/>
        <v>0</v>
      </c>
      <c r="JC292">
        <f t="shared" si="677"/>
        <v>1</v>
      </c>
      <c r="JD292" t="str">
        <f t="shared" si="678"/>
        <v/>
      </c>
      <c r="JE292" t="str">
        <f t="shared" si="679"/>
        <v/>
      </c>
      <c r="JF292" t="str">
        <f t="shared" si="680"/>
        <v/>
      </c>
      <c r="JG292" t="str">
        <f t="shared" si="681"/>
        <v/>
      </c>
      <c r="JH292" t="str">
        <f>IF(B292="","",IFERROR(_xlfn.XLOOKUP(B292,Коды_код,Коды_уго),IFERROR(_xlfn.XLOOKUP(BC292,Коды_код,Коды_уго),IFERROR(_xlfn.XLOOKUP(LEFT(BC292,2),Коды_код,Коды_уго),""))))</f>
        <v>Розетка</v>
      </c>
      <c r="JI292" t="str">
        <f>IF(B292="","",IF(OR(JH292="",JH292=0),"BOX",IFERROR(IF(VLOOKUP(JH292,УГО_блоки,3,FALSE)&amp;""&lt;&gt;"",VLOOKUP(JH292,УГО_блоки,3,FALSE),VLOOKUP(JH292,УГО_блоки,2,FALSE)),JH292)))</f>
        <v>SOCKET</v>
      </c>
      <c r="JJ292">
        <f t="shared" si="682"/>
        <v>1</v>
      </c>
      <c r="JK292" t="str">
        <f>IF(DQ292="","",IF(COUNTIF(DQ$3:DQ292,DQ292)=1,MAX(JK$2:JK291)+1,""))</f>
        <v/>
      </c>
      <c r="JL292" t="str">
        <f>IF(DE292="","",IF(COUNTIF(DE$3:DE292,DE292)+COUNTIF(DF$2:DF291,DE292)+COUNTIF(DG$2:DG291,DE292)=1,MAX(JL$2:JN291)+1,""))</f>
        <v/>
      </c>
      <c r="JM292" t="str">
        <f>IF(DF292="","",IF(COUNTIF(DE$3:DE292,DF292)+COUNTIF(DF$3:DF292,DF292)+COUNTIF(DG$2:DG291,DF292)=1,MAX(JL$2:JN291,JL292)+1,""))</f>
        <v/>
      </c>
      <c r="JN292" t="str">
        <f>IF(DG292="","",IF(COUNTIF(DE$3:DE292,DG292)+COUNTIF(DF$3:DF292,DG292)+COUNTIF(DG$3:DG292,DG292)=1,MAX(JL$2:JN291,JL292,JM292)+1,""))</f>
        <v/>
      </c>
      <c r="JO292" t="str">
        <f t="shared" si="683"/>
        <v>3х2,5</v>
      </c>
      <c r="JP292" t="str">
        <f>IF(JO292="","",IF(COUNTIF(JO$3:JO292,JO292)=1,MAX(JP$2:JP291)+1,""))</f>
        <v/>
      </c>
      <c r="JQ292" t="str">
        <f>IF(HG292="","",COUNTIF(HG$3:HG292,"?*"))</f>
        <v/>
      </c>
      <c r="JR292" t="str">
        <f>IF(OR(HG292="",HI292=""),"",IF(COUNTIFS(HG$3:HG292,"?*",HI$3:HI292,HI292)=1,MAX(JR$2:JR291)+1,""))</f>
        <v/>
      </c>
      <c r="JS292">
        <f t="shared" si="684"/>
        <v>0</v>
      </c>
      <c r="JT292">
        <f>IF(B292="","",COUNTIF(B$3:B292,"?*"))</f>
        <v>290</v>
      </c>
      <c r="JU292">
        <f>IF(HL292&lt;&gt;1,0,_xlfn.LET(_xlpm.k,MAX(IFERROR(--_xlfn.XLOOKUP(B292,Коды_код,Коды_3L),0),IFERROR(--_xlfn.XLOOKUP(BC292,Коды_код,Коды_3L),0),IFERROR(--_xlfn.XLOOKUP(LEFT(BC292,2),Коды_код,Коды_3L),0)),IF(_xlpm.k&gt;0,_xlpm.k,IF(IFERROR(--LEFT(SUBSTITUTE(JO292,"x","х"),FIND("х",SUBSTITUTE(JO292,"x","х"))-1),3)&gt;3,Каталог!$S$9,1))))</f>
        <v>1</v>
      </c>
      <c r="JV292">
        <f t="shared" si="685"/>
        <v>0</v>
      </c>
      <c r="JW292" t="str">
        <f t="shared" si="686"/>
        <v>авто</v>
      </c>
      <c r="JX292">
        <f t="shared" si="687"/>
        <v>30</v>
      </c>
      <c r="JY292">
        <f t="shared" si="688"/>
        <v>1</v>
      </c>
      <c r="JZ292">
        <f t="shared" si="689"/>
        <v>1</v>
      </c>
    </row>
    <row r="293" spans="1:286" x14ac:dyDescent="0.3">
      <c r="A293" t="s">
        <v>759</v>
      </c>
      <c r="B293" t="s">
        <v>1598</v>
      </c>
      <c r="C293" t="str">
        <f>Линии[[#This Row],[_авто наименование]]</f>
        <v>Розеточная группа, пом. 013А</v>
      </c>
      <c r="D293">
        <v>2</v>
      </c>
      <c r="E293">
        <v>0.12</v>
      </c>
      <c r="G293">
        <v>16</v>
      </c>
      <c r="H293" t="str">
        <f>Линии[[#This Row],[_авто управление]]</f>
        <v/>
      </c>
      <c r="I293" t="str">
        <f>Линии[[#This Row],[_авто аппараты]]</f>
        <v/>
      </c>
      <c r="J293">
        <v>2.5</v>
      </c>
      <c r="K293">
        <v>29</v>
      </c>
      <c r="L293">
        <v>3</v>
      </c>
      <c r="M293" t="str">
        <f>Линии[[#This Row],[_авто клемма]]</f>
        <v>XT10</v>
      </c>
      <c r="N293" t="str">
        <f t="shared" si="552"/>
        <v/>
      </c>
      <c r="O293" s="6" cm="1">
        <f t="array" ref="O293">IF(B293="","",IF(BH293&lt;&gt;"",IFERROR(_xlfn.XLOOKUP(BH293,Щиты[Щит],Щиты[Iр, А]),""),IF(BP293=1,IF(OR(N(_xlfn.XLOOKUP(A293,Щиты[Щит],Щиты[Вводов],1))&lt;=1,LOWER(TRIM(_xlfn.XLOOKUP(A293,Щиты[Щит],Щиты[АВР],"")&amp;""))="да"),IFERROR(_xlfn.XLOOKUP(A293,Щиты[Щит],Щиты[Iр, А]),""),IFERROR(N(BS293)*_xlfn.XLOOKUP(A293,Щиты[Щит],Щиты[Кс итог])/(SQRT(3)*Uн_лин*_xlfn.XLOOKUP(A293,Щиты[Щит],Щиты[cos φ])),"")),IF(BV293=1,IFERROR(BS293*1000/BU293,""),IFERROR(_xlfn.IFS(BX293=1,BS293/((Uн_лин/SQRT(3))*CE293),BX293=3,BS293/(SQRT(3)*Uн_лин*CE293)),"")))))</f>
        <v>0.54696341291648753</v>
      </c>
      <c r="P293" s="7">
        <f>IF(B293="","",IFERROR(IF(VLOOKUP(BC293,Потребители_обозначение,4,FALSE)=1,VLOOKUP(BC293,Потребители_обозначение,3,FALSE)*(MAX(1,N(D293))*2-1)+EI293+VLOOKUP(BE293,Этаж_обозначение,3,FALSE)+VLOOKUP(BE293,Этаж_обозначение,4,FALSE),VLOOKUP(BC293,Потребители_обозначение,3,FALSE)*(MAX(1,N(D293))*2-1)+EI293),EI293))</f>
        <v>38</v>
      </c>
      <c r="Q293" s="6">
        <f t="shared" si="553"/>
        <v>1.95</v>
      </c>
      <c r="R293" t="str">
        <f t="shared" si="554"/>
        <v>ВВГнг(А)-LS (3х2,5)</v>
      </c>
      <c r="S293" t="str">
        <f>IF(BM293="","",IF(BN293="вводной узел","узел ","")&amp;"л."&amp;(INT((BM293-1)/Столбцов_на_лист)+1)&amp;" / "&amp;(MOD(BM293-1,Столбцов_на_лист)+1))</f>
        <v>л.2 / 3</v>
      </c>
      <c r="T293" s="119">
        <f t="shared" si="555"/>
        <v>0.6</v>
      </c>
      <c r="U293" s="7" t="str">
        <f>IF(OR(CG293=0,N(BV293)+N(IB293)=0),"",ROUNDUP(Запас_БП*(N(HY293)+N(HZ293)),0))</f>
        <v/>
      </c>
      <c r="V293" s="119" t="str">
        <f t="shared" si="556"/>
        <v/>
      </c>
      <c r="W293" s="7" t="str">
        <f>IFERROR(IF(OR(B293="",BP293=1,BV293=1,NOT(ISNUMBER(EN293)),N(DT293)=0),"",MAX(0,ROUNDDOWN((c_min*(Uн_лин*1000/SQRT(3))/(HT293*N(DT293))-_xlfn.XLOOKUP(A293,Щиты[Щит],Щиты[Zпетли на шинах, Ом]))*EN293/(2*ρкз_Cu),0))),"")</f>
        <v/>
      </c>
      <c r="Y293">
        <f>Линии[[#This Row],[_авто утечка]]</f>
        <v>30</v>
      </c>
      <c r="Z293">
        <v>1</v>
      </c>
      <c r="AA293">
        <v>230</v>
      </c>
      <c r="AB293" t="s">
        <v>562</v>
      </c>
      <c r="AG293" t="s">
        <v>810</v>
      </c>
      <c r="AI293" t="s">
        <v>561</v>
      </c>
      <c r="AK293" t="str">
        <f>Линии[[#This Row],[_авто модуль]]</f>
        <v/>
      </c>
      <c r="AM293">
        <v>20</v>
      </c>
      <c r="AN293" t="s">
        <v>11</v>
      </c>
      <c r="AO293">
        <v>3</v>
      </c>
      <c r="AQ293">
        <v>12</v>
      </c>
      <c r="AR293">
        <v>20</v>
      </c>
      <c r="AT293">
        <v>2</v>
      </c>
      <c r="BA293" cm="1">
        <f t="array" ref="BA293">ROW()-ROW(Линии[#Headers])</f>
        <v>291</v>
      </c>
      <c r="BC293" s="6" t="str">
        <f t="shared" si="557"/>
        <v>R</v>
      </c>
      <c r="BD293" t="str">
        <f t="shared" si="558"/>
        <v>2.013А.1</v>
      </c>
      <c r="BE293" t="str">
        <f t="shared" si="559"/>
        <v>2</v>
      </c>
      <c r="BF293" t="str">
        <f t="shared" si="560"/>
        <v>013А.1</v>
      </c>
      <c r="BG293" t="str">
        <f t="shared" si="561"/>
        <v>013А</v>
      </c>
      <c r="BH293" t="str">
        <f>IF(X293&lt;&gt;"",X293,IF(AND(B293&lt;&gt;"",B293&lt;&gt;A293,ISNUMBER(_xlfn.XMATCH(B293,Щиты[Щит]))),B293,""))</f>
        <v/>
      </c>
      <c r="BI293" t="str" cm="1">
        <f t="array" ref="BI293">IF(B293="","",IF(BH293&lt;&gt;"","Щит "&amp;BH293,_xlfn.LET(_xlpm.nm,IFERROR(_xlfn.XLOOKUP(BC293,Коды_код,Коды_имя)&amp;"",""),_xlpm.md,IFERROR(N(_xlfn.XLOOKUP(BC293,Коды_код,Коды_режим)),1),_xlpm.ex,IF(Имя_режим="по экспликации",IFERROR(_xlfn.XLOOKUP(BE293&amp;"|"&amp;BG293,Экспликация[Этаж]&amp;"|"&amp;Экспликация[Помещение],Экспликация[Название])&amp;"",""),""),_xlpm.rm,IF(BG293="","",IF(_xlpm.ex&lt;&gt;"",". "&amp;_xlpm.ex&amp;IF(Имя_пом="нет"," ("&amp;BG293&amp;")"," (пом. "&amp;BG293&amp;")"),IF(Имя_пом="нет"," ",", пом. ")&amp;BG293)),IF(_xlpm.nm="","",IF(_xlpm.md=2,_xlpm.nm&amp;" шлейф "&amp;BE293,_xlpm.nm&amp;_xlpm.rm)))))</f>
        <v>Розеточная группа, пом. 013А</v>
      </c>
      <c r="BJ293" t="str">
        <f t="shared" si="562"/>
        <v>Розеточная группа, пом. 013А</v>
      </c>
      <c r="BK293">
        <f>IFERROR(_xlfn.XMATCH(A293,Щиты[Щит]),0)</f>
        <v>11</v>
      </c>
      <c r="BL293">
        <f>_xlfn.LET(_xlpm.k,IFERROR(_xlfn.XLOOKUP(A293,Щиты[Щит],Щиты[Мест под вводной узел]),""),IF(_xlpm.k="",Столбцов_на_лист,N(_xlpm.k)))</f>
        <v>8</v>
      </c>
      <c r="BM293">
        <f t="shared" si="563"/>
        <v>20</v>
      </c>
      <c r="BN293" t="str">
        <f t="shared" si="564"/>
        <v>линии</v>
      </c>
      <c r="BO293" s="6">
        <f>IFERROR(N(_xlfn.XLOOKUP(BC293,Коды_код,Коды_квт)),0)</f>
        <v>0</v>
      </c>
      <c r="BP293">
        <f t="shared" si="565"/>
        <v>0</v>
      </c>
      <c r="BQ293" t="str">
        <f>IF(B293="","",IF(BH293&lt;&gt;"",IFERROR(_xlfn.XLOOKUP(BH293,Щиты[Щит],Щиты[Руст, кВт]),0),IF(BP293=1,IF(OR(N(_xlfn.XLOOKUP(A293,Щиты[Щит],Щиты[Вводов],1))&lt;=1,LOWER(TRIM(_xlfn.XLOOKUP(A293,Щиты[Щит],Щиты[АВР],"")&amp;""))="да"),IFERROR(_xlfn.XLOOKUP(A293,Щиты[Щит],Щиты[Руст, кВт]),0),SUMIFS(Линии[_Р для вводов],Линии[Щит],A293,Линии[Источник для режимов],GF293)),IF(BO293&gt;0,ROUND(BO293*MAX(1,N(D293)),3),""))))</f>
        <v/>
      </c>
      <c r="BR293">
        <f t="shared" si="566"/>
        <v>0.12</v>
      </c>
      <c r="BS293" s="6">
        <f>IF(B293="","",IF(BH293&lt;&gt;"",IFERROR(_xlfn.XLOOKUP(BH293,Щиты[Щит],Щиты[Руст, кВт]),0),N(BR293)))</f>
        <v>0.12</v>
      </c>
      <c r="BT293" t="str">
        <f>IF(B293="","",IFERROR(IF(VLOOKUP(BC293,Потребители_обозначение,8,FALSE)=0,"",VLOOKUP(BC293,Потребители_обозначение,8,FALSE)),""))</f>
        <v/>
      </c>
      <c r="BU293">
        <f t="shared" si="567"/>
        <v>230</v>
      </c>
      <c r="BV293">
        <f t="shared" si="568"/>
        <v>0</v>
      </c>
      <c r="BW293">
        <f>IF(B293="","",IF(BH293&lt;&gt;"",3,IFERROR(IF(N(VLOOKUP(BC293,Потребители_обозначение,9,FALSE))=0,1,VLOOKUP(BC293,Потребители_обозначение,9,FALSE)),1)))</f>
        <v>1</v>
      </c>
      <c r="BX293">
        <f t="shared" si="569"/>
        <v>1</v>
      </c>
      <c r="BY293" t="str">
        <f>IF(B293="","",_xlfn.LET(_xlpm.bc,IFERROR(IF(VLOOKUP(BC293,Потребители_обозначение,6,FALSE)=0,"",VLOOKUP(BC293,Потребители_обозначение,6,FALSE)&amp;""),""),IF(AND(GA293="да",OR(_xlpm.bc="",_xlpm.bc="мс")),Марка_пож,IF(AND(_xlpm.bc="",BH293&lt;&gt;""),"мс",_xlpm.bc))))</f>
        <v/>
      </c>
      <c r="BZ293" t="str">
        <f t="shared" si="570"/>
        <v>мс</v>
      </c>
      <c r="CA293">
        <f>IF(B293="","",_xlfn.LET(_xlpm.cc,IFERROR(N(VLOOKUP(BC293,Потребители_обозначение,7,FALSE)),0),IF(_xlpm.cc&gt;0,_xlpm.cc,IF(BZ293="","",IF(BV293=1,2,IF(N(BX293)=3,5,3))))))</f>
        <v>3</v>
      </c>
      <c r="CB293">
        <f t="shared" si="571"/>
        <v>3</v>
      </c>
      <c r="CC293">
        <f>IFERROR(N(VLOOKUP(BC293,Потребители_обозначение,10,FALSE)),0)</f>
        <v>0</v>
      </c>
      <c r="CD293">
        <f>IFERROR(VLOOKUP(BC293,Потребители_обозначение,5,FALSE),0)</f>
        <v>1</v>
      </c>
      <c r="CE293" s="6" cm="1">
        <f t="array" ref="CE293">IF(B293="","",IF(BH293&lt;&gt;"",IFERROR(_xlfn.XLOOKUP(BH293,Щиты[Щит],Щиты[cos φ]),0.95),IF(BP293=1,IFERROR(_xlfn.XLOOKUP(A293,Щиты[Щит],Щиты[cos φ]),0.95),IF(ISNUMBER(AD293),AD293,IFERROR(IF(CD293=2,_xlfn.IFS(BX293=3,VLOOKUP(BS293,Справочная_двигатели,8,FALSE),BX293=1,VLOOKUP(BS293,Справочная_двигатели,10,TRUE)),IF(AND(Методика="нормы 2026",FG293="Сил"),0.8,0.95)),0.95)))))</f>
        <v>0.95</v>
      </c>
      <c r="CF293">
        <f t="shared" si="572"/>
        <v>0</v>
      </c>
      <c r="CG293">
        <f t="shared" si="573"/>
        <v>1</v>
      </c>
      <c r="CH293">
        <f t="shared" si="574"/>
        <v>0</v>
      </c>
      <c r="CI293">
        <f>IF(B293="","",IF(BV293=1,IFERROR(BS293/((Uн_лин/SQRT(3))*MAX(0.5,N(CE293))),0),N(O293)))</f>
        <v>0.54696341291648753</v>
      </c>
      <c r="CJ293">
        <f t="shared" si="575"/>
        <v>0</v>
      </c>
      <c r="CK293">
        <f t="shared" si="576"/>
        <v>0</v>
      </c>
      <c r="CL293">
        <f t="shared" si="577"/>
        <v>0</v>
      </c>
      <c r="CM293">
        <f t="shared" si="578"/>
        <v>0</v>
      </c>
      <c r="CN293">
        <f t="shared" si="579"/>
        <v>0</v>
      </c>
      <c r="CO293">
        <f>IF(BC293="",0,_xlfn.LET(_xlpm.v,IFERROR(_xlfn.XLOOKUP(B293,Коды_код,Коды_мА),IFERROR(_xlfn.XLOOKUP(BC293,Коды_код,Коды_мА),IFERROR(_xlfn.XLOOKUP(LEFT(BC293,2),Коды_код,Коды_мА),""))),IF(_xlpm.v="да",30,IF(ISNUMBER(_xlpm.v),_xlpm.v,0))))</f>
        <v>30</v>
      </c>
      <c r="CP293">
        <f t="shared" si="580"/>
        <v>30</v>
      </c>
      <c r="CQ293" t="str">
        <f>_xlfn.LET(_xlpm.k,IFERROR(_xlfn.XLOOKUP(BC293,Коды_код,Коды_утечка)&amp;"",""),IF(_xlpm.k="","дифавтомат",_xlpm.k))</f>
        <v>дифавтомат</v>
      </c>
      <c r="CR293" t="str" cm="1">
        <f t="array" ref="CR293">IF(CG293=0,"",_xlfn.LET(_xlpm.sg,TRIM(_xlfn.TEXTSPLIT(DD293&amp;"",";")),_xlpm.f_,_xlfn._xlws.FILTER(_xlpm.sg,LEFT(_xlpm.sg,3)="УЗО",""),IFERROR(INDEX(_xlpm.f_,1)&amp;"","")))</f>
        <v/>
      </c>
      <c r="CS293" t="str">
        <f t="shared" si="581"/>
        <v/>
      </c>
      <c r="CT293" s="6" t="str" cm="1">
        <f t="array" ref="CT293">IF(CR293="","",_xlfn.LET(_xlpm.tk,_xlfn.TEXTSPLIT(UPPER(CR293)," ",,TRUE),_xlpm.a_,_xlfn._xlws.FILTER(_xlpm.tk,ISNUMBER(--LEFT(_xlpm.tk,1))*((ISNUMBER(SEARCH("А",_xlpm.tk))+ISNUMBER(SEARCH("A",_xlpm.tk)))&gt;0)*NOT(ISNUMBER(SEARCH("МА",_xlpm.tk)))*NOT(ISNUMBER(SEARCH("MA",_xlpm.tk))),""),IFERROR(--SUBSTITUTE(SUBSTITUTE(INDEX(_xlpm.a_,1),"А",""),"A",""),"")))</f>
        <v/>
      </c>
      <c r="CU293" t="str" cm="1">
        <f t="array" ref="CU293">IF(CR293="","",_xlfn.LET(_xlpm.tk,_xlfn.TEXTSPLIT(UPPER(CR293)," ",,TRUE),_xlpm.a_,_xlfn._xlws.FILTER(_xlpm.tk,ISNUMBER(--LEFT(_xlpm.tk,1))*((ISNUMBER(SEARCH("МА",_xlpm.tk))+ISNUMBER(SEARCH("MA",_xlpm.tk)))&gt;0),""),IFERROR(--SUBSTITUTE(SUBSTITUTE(INDEX(_xlpm.a_,1),"МА",""),"MA",""),30)))</f>
        <v/>
      </c>
      <c r="CV293" t="str">
        <f>IF(CS293="","",IFERROR(_xlfn.XLOOKUP(CS293,Линии[_n],Линии[_УЗО, мА]),30))</f>
        <v/>
      </c>
      <c r="CW293">
        <f>IF(CS293="",0,IF(ISNUMBER(SEARCH("4P",IFERROR(_xlfn.XLOOKUP(CS293,Линии[_n],Линии[_УЗО строки])&amp;"",""))),0,1))</f>
        <v>0</v>
      </c>
      <c r="CX293" t="str">
        <f>IF(AND(CS293&lt;&gt;"",CS293=BA293),SUMIFS(Линии[_ток на 230 В],Линии[_блок УЗО],BA293,Линии[Щит],A293),"")</f>
        <v/>
      </c>
      <c r="CY293" t="str">
        <f>IF(AND(CS293&lt;&gt;"",CS293=BA293),SUMIFS(Линии[_ток утечки линии, мА],Линии[_блок УЗО],BA293,Линии[Щит],A293),"")</f>
        <v/>
      </c>
      <c r="CZ293">
        <f t="shared" si="582"/>
        <v>30</v>
      </c>
      <c r="DA293">
        <f t="shared" si="583"/>
        <v>30</v>
      </c>
      <c r="DB293">
        <f>IF(B293="",0,IFERROR(--_xlfn.XLOOKUP(B293,Коды_код,Коды_минавт),IFERROR(--_xlfn.XLOOKUP(BC293,Коды_код,Коды_минавт),IFERROR(--_xlfn.XLOOKUP(LEFT(BC293,2),Коды_код,Коды_минавт),0))))</f>
        <v>16</v>
      </c>
      <c r="DC293" t="str">
        <f>IF(B293="","",IFERROR(_xlfn.XLOOKUP(BC293,Коды_код,Коды_апп)&amp;"",""))</f>
        <v/>
      </c>
      <c r="DD293" t="str">
        <f t="shared" si="584"/>
        <v/>
      </c>
      <c r="DE293" t="str" cm="1">
        <f t="array" ref="DE293">IF(TRIM(DD293&amp;"")="","",IFERROR(TRIM(INDEX(_xlfn.TEXTSPLIT(DD293&amp;";;;",";"),1)),""))</f>
        <v/>
      </c>
      <c r="DF293" t="str" cm="1">
        <f t="array" ref="DF293">IF(TRIM(DD293&amp;"")="","",IFERROR(TRIM(INDEX(_xlfn.TEXTSPLIT(DD293&amp;";;;",";"),2)),""))</f>
        <v/>
      </c>
      <c r="DG293" t="str" cm="1">
        <f t="array" ref="DG293">IF(TRIM(DD293&amp;"")="","",IFERROR(TRIM(INDEX(_xlfn.TEXTSPLIT(DD293&amp;";;;",";"),3)),""))</f>
        <v/>
      </c>
      <c r="DH293">
        <f t="shared" si="585"/>
        <v>0</v>
      </c>
      <c r="DI293" t="str">
        <f>IF(B293="","",_xlfn.LET(_xlpm.t,LOWER(AZ293&amp;""),IF(ISNUMBER(SEARCH("dim",_xlpm.t)),"DIM",IF(ISNUMBER(SEARCH("dali",_xlpm.t)),"DALI",IF(OR(ISNUMBER(SEARCH("relay",_xlpm.t)),ISNUMBER(SEARCH("реле",_xlpm.t))),"Relay",IF(ISNUMBER(SEARCH("кнопк",_xlpm.t)),"",IFERROR(_xlfn.XLOOKUP(BC293,Коды_код,Коды_упр)&amp;"","")))))))</f>
        <v/>
      </c>
      <c r="DJ293" t="str">
        <f t="shared" si="586"/>
        <v/>
      </c>
      <c r="DK293">
        <f>IF(B293="","",_xlfn.LET(_xlpm.ig,IF(N(CX293)&gt;0,N(CX293),N(CI293)+IF(AJ293="вручную",0,N(CJ293))),_xlpm.n0,IFERROR(VLOOKUP(_xlpm.ig,Автомат_номиналы,2,TRUE),0),_xlpm.mn,MAX(DB293,IF(AJ293="вручную",0,N(CM293))),MAX(_xlpm.n0,_xlpm.mn,IF(DH293=1,Мин_автомат_БП,0))))</f>
        <v>16</v>
      </c>
      <c r="DL293">
        <f t="shared" si="587"/>
        <v>1</v>
      </c>
      <c r="DM293" t="str">
        <f t="shared" si="588"/>
        <v>2P</v>
      </c>
      <c r="DN293" t="str">
        <f>_xlfn.LET(_xlpm.cc,UPPER(TRIM(IFERROR(_xlfn.XLOOKUP(BC293,Коды_код,Коды_хар)&amp;"",""))),IF(OR(_xlpm.cc="B",_xlpm.cc="В"),"B",IF(_xlpm.cc="D","D","С")))</f>
        <v>С</v>
      </c>
      <c r="DO293" t="str">
        <f t="shared" si="589"/>
        <v>2P С16А 30мА</v>
      </c>
      <c r="DP293">
        <f t="shared" si="590"/>
        <v>16</v>
      </c>
      <c r="DQ293" t="str">
        <f t="shared" si="591"/>
        <v>2P С16А 30мА</v>
      </c>
      <c r="DR293" cm="1">
        <f t="array" ref="DR293">IF(DQ293="","",_xlfn.LET(_xlpm.t,SUBSTITUTE(SUBSTITUTE(SUBSTITUTE(UPPER(DQ293),"С","C"),"А","A"),"В","B"),_xlpm.tk,_xlfn.TEXTSPLIT(_xlpm.t," "),_xlpm.f,_xlfn._xlws.FILTER(_xlpm.tk,ISNUMBER(--MID(_xlpm.tk,2,1))*ISNUMBER(SEARCH(LEFT(_xlpm.tk,1)&amp;"#","B#C#D#"))*(LEN(_xlpm.tk)&gt;1),""),_xlpm.x,INDEX(_xlpm.f,1),IFERROR(--SUBSTITUTE(MID(_xlpm.x,2,9),"A",""),IFERROR(--SUBSTITUTE(INDEX(_xlfn._xlws.FILTER(_xlpm.tk,ISNUMBER(--SUBSTITUTE(_xlpm.tk,"A","")),""),1),"A",""),""))))</f>
        <v>16</v>
      </c>
      <c r="DS293" t="str">
        <f t="shared" si="592"/>
        <v>ok</v>
      </c>
      <c r="DT293">
        <f t="shared" si="593"/>
        <v>16</v>
      </c>
      <c r="DU293" t="str">
        <f t="shared" si="594"/>
        <v>2P С16А 30мА</v>
      </c>
      <c r="DV293">
        <f t="shared" si="595"/>
        <v>30</v>
      </c>
      <c r="DW293">
        <f t="shared" si="596"/>
        <v>1</v>
      </c>
      <c r="DX293">
        <f t="shared" si="597"/>
        <v>0</v>
      </c>
      <c r="DY293">
        <f t="shared" si="598"/>
        <v>0.54696341291648753</v>
      </c>
      <c r="DZ293">
        <f t="shared" si="599"/>
        <v>1</v>
      </c>
      <c r="EA293">
        <f>IF(ISNUMBER(AP293),AP293,К_прокл)</f>
        <v>1</v>
      </c>
      <c r="EB293">
        <f t="shared" si="600"/>
        <v>2</v>
      </c>
      <c r="EC293">
        <f>IFERROR(N(VLOOKUP(BZ293,Кабель_обозначение,3,FALSE)),1)</f>
        <v>1</v>
      </c>
      <c r="ED293">
        <f>IFERROR(N(_xlfn.XLOOKUP(A293,Щиты[Щит],Щиты[ΔU до шин, %])),0)</f>
        <v>1.79</v>
      </c>
      <c r="EE293" t="str">
        <f>IFERROR(_xlfn.XLOOKUP(A293,Щиты[Щит],Щиты[Zпетли на шинах, Ом]),"")</f>
        <v/>
      </c>
      <c r="EF293">
        <f>IFERROR(N(_xlfn.XLOOKUP(A293,Щиты[Щит],Щиты[ΔU до шин (подбор), %])),0)</f>
        <v>4.75</v>
      </c>
      <c r="EG293" t="str">
        <f>IFERROR(_xlfn.XLOOKUP(A293,Щиты[Щит],Щиты[Zпетли на шинах (подбор), Ом]),"")</f>
        <v/>
      </c>
      <c r="EH293" t="str">
        <f t="shared" si="601"/>
        <v/>
      </c>
      <c r="EI293">
        <f t="shared" si="602"/>
        <v>29</v>
      </c>
      <c r="EJ293">
        <f t="shared" si="603"/>
        <v>2</v>
      </c>
      <c r="EK293">
        <f t="shared" si="604"/>
        <v>0.31</v>
      </c>
      <c r="EL293" s="6">
        <f>IF(B293="","",IF(BV293=1,dU_LED,IF(IFERROR(_xlfn.XLOOKUP(BC293,Коды_код,Коды_уго),"")="Светильник",3,4)+IF(Методика="нормы 2026",MIN(0.5,MAX(0,N(P293)-100)*0.005),0)))</f>
        <v>4</v>
      </c>
      <c r="EM293" t="str" cm="1">
        <f t="array" ref="EM293">IF(OR(B293="",BZ293="",EC293&lt;&gt;1),"",_xlfn.LET(_xlpm.sz,Iдоп_S,_xlpm.t_,CHOOSE(EB293,Iдоп_1ж,Iдоп_2ж,Iдоп_3ж)*DZ293*EA293,_xlpm.dcx,BV293=1,_xlpm.inn,IF(_xlpm.dcx,N(O293),N(DT293)),_xlpm.smin,MAX(1.5,CC293),_xlpm.L_,N(P293)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293)/N(BU293)*100,999),IFERROR(N(EJ293)*(_xlpm.rho*_xlpm.L_/_xlpm.sz*N(CE293)+_xlpm.xx*_xlpm.L_*N(EK293)/1000)*N(O293)/((Uн_лин/SQRT(3))*1000)*100,999)),_xlpm.kz,IF(OR(_xlpm.dcx,DW293=1,NOT(ISNUMBER(EG293)),_xlpm.L_=0,_xlpm.inn=0),1,IFERROR(--(c_min*(Uн_лин*1000/SQRT(3))/(EG293+2*ρкз_Cu*_xlpm.L_/_xlpm.sz)&gt;=HT293*_xlpm.inn),0)),_xlpm.ok,IFERROR((_xlpm.sz&gt;=_xlpm.smin)*(_xlpm.t_&gt;=_xlpm.inn)*IF(_xlpm.L_&gt;0,(_xlpm.du_+IF(_xlpm.dcx,0,EF293)&lt;=EL293+0.00001),1)*_xlpm.kz,0),_xlpm.r_,_xlfn._xlws.FILTER(_xlpm.sz,_xlpm.ok,"не подобрано"),INDEX(_xlpm.r_,1)))</f>
        <v>не подобрано</v>
      </c>
      <c r="EN293">
        <f t="shared" si="605"/>
        <v>2.5</v>
      </c>
      <c r="EO293" cm="1">
        <f t="array" ref="EO293">IF(OR(B293="",BZ293="",EC293&lt;&gt;1),"",_xlfn.LET(_xlpm.sz,Iдоп_S,_xlpm.t_,CHOOSE(EB293,Iдоп_1ж,Iдоп_2ж,Iдоп_3ж)*DZ293*EA293,_xlpm.ok,IFERROR((_xlpm.sz&gt;=MAX(1.5,CC293))*(_xlpm.t_&gt;=N(DT293)),0),_xlpm.r_,_xlfn._xlws.FILTER(_xlpm.sz,_xlpm.ok,""),INDEX(_xlpm.r_,1)))</f>
        <v>1.5</v>
      </c>
      <c r="EP293" s="6" cm="1">
        <f t="array" ref="EP293">IFERROR(ROUNDUP(N(EJ293)*(_xlfn.XLOOKUP(EO293,INDEX(Кабель_сопротивление,0,1),INDEX(Кабель_сопротивление,0,3))*N(P293)/EO293*N(CE293)+_xlfn.XLOOKUP(EO293,INDEX(Кабель_сопротивление,0,1),INDEX(Кабель_сопротивление,0,2))*N(P293)*N(EK293)/1000)*N(O293)/((Uн_лин/SQRT(3))*1000)*100,2),"")</f>
        <v>0.26</v>
      </c>
      <c r="EQ293">
        <f>IFERROR(2*ρкз_Cu*N(P293)/EO293,"")</f>
        <v>1.3325333333333333</v>
      </c>
      <c r="ER293">
        <f>IFERROR(VLOOKUP(EN293,Кабель_сопротивление,3,FALSE),"")</f>
        <v>2.2499999999999999E-2</v>
      </c>
      <c r="ES293">
        <f>IFERROR(VLOOKUP(EN293,Кабель_сопротивление,2,FALSE),"")</f>
        <v>0.1</v>
      </c>
      <c r="ET293">
        <f t="shared" si="606"/>
        <v>20</v>
      </c>
      <c r="EU293">
        <f t="shared" si="607"/>
        <v>34</v>
      </c>
      <c r="EV293">
        <f t="shared" si="608"/>
        <v>0.35670547151396481</v>
      </c>
      <c r="EW293" s="6">
        <f>IFERROR(ROUNDUP(EV293/IF(BV293=1,BU293,(Uн_лин/SQRT(3))*1000)*100,2),"")</f>
        <v>0.16</v>
      </c>
      <c r="EX293" t="str">
        <f>IFERROR(VLOOKUP(BZ293,Кабель_обозначение,2,FALSE),"")</f>
        <v>ВВГнг(А)-LS</v>
      </c>
      <c r="EY293" t="str">
        <f t="shared" si="609"/>
        <v>ВВГнг(А)-LS (3х2,5)</v>
      </c>
      <c r="EZ293" t="str">
        <f t="shared" si="610"/>
        <v>ВВГнг(А)-LS (3х2,5)
L=38-0,16%</v>
      </c>
      <c r="FA293">
        <f>IFERROR(2*ρкз_Cu*P293/EN293,"")</f>
        <v>0.79952000000000001</v>
      </c>
      <c r="FB293">
        <f t="shared" si="611"/>
        <v>0.26600000000000001</v>
      </c>
      <c r="FC293" s="6" t="str">
        <f>IFERROR(IF(OR(B293="",BV293=1,NOT(ISNUMBER(EN293)),N(P293)=0),"",_xlfn.XLOOKUP(A293,Щиты[Щит],Щиты[Zпетли на шинах, Ом])+FA293),"")</f>
        <v/>
      </c>
      <c r="FD293" s="6" t="str">
        <f>IF(ISNUMBER(FC293),c_min*(Uн_лин*1000/SQRT(3))/FC293,"")</f>
        <v/>
      </c>
      <c r="FE293" s="6" t="str">
        <f>IFERROR(IF(OR(B293="",NOT(ISNUMBER(EN293))),"",1.05*(Uн_лин*1000/SQRT(3))/(_xlfn.XLOOKUP(A293,Щиты[Щит],Щиты[Zmax на шинах, Ом])+FB293)/1000),"")</f>
        <v/>
      </c>
      <c r="FF293" s="6" t="str">
        <f>IF(B293="","",IF(ISNUMBER(AC293),"Сил",IF(IFERROR(_xlfn.XLOOKUP(BC293,Коды_код,Коды_группа)&amp;"","")="","Быт",_xlfn.XLOOKUP(BC293,Коды_код,Коды_группа)&amp;"")))</f>
        <v>Быт</v>
      </c>
      <c r="FG293" s="6" t="str">
        <f t="shared" si="612"/>
        <v>Быт</v>
      </c>
      <c r="FH293" s="6">
        <f>IF(FG293="Щит","щит",IF(FG293="","",IF(FG293="Быт",IFERROR(_xlfn.XLOOKUP(A293,Щиты[Щит],Щиты[Кс быт]),1),IF(FG293="Сил",IF(ISNUMBER(AC293),AC293,IF(Методика="нормы 2026",IFERROR(_xlfn.XLOOKUP(A293,Щиты[Щит],Щиты[Кс силовых (табл. 7.5)]),1),1)),IF(OR(FG293="Пост",FG293="Отоп"),1,IF(FG293="ВНГ",0.7,0))))))</f>
        <v>0.8</v>
      </c>
      <c r="FI293">
        <f>IF(FG293="","",IF(AND(BP293=1,TRIM(AE293&amp;"")=""),IF(COUNTIFS(Линии[Щит],A293,Линии[Секция (1/2/3)],"&gt;=2")&gt;0,MIN(3,MAX(1,IFERROR(--BD293,1))),1),IFERROR(MIN(3,MAX(1,INT(--AE293))),1)))</f>
        <v>1</v>
      </c>
      <c r="FJ293">
        <f t="shared" si="613"/>
        <v>0.12</v>
      </c>
      <c r="FK293">
        <f t="shared" si="614"/>
        <v>0.12</v>
      </c>
      <c r="FL293">
        <f t="shared" si="615"/>
        <v>0</v>
      </c>
      <c r="FM293">
        <f t="shared" si="616"/>
        <v>0</v>
      </c>
      <c r="FN293">
        <f t="shared" si="617"/>
        <v>0</v>
      </c>
      <c r="FO293">
        <f t="shared" si="618"/>
        <v>0</v>
      </c>
      <c r="FP293">
        <f t="shared" si="619"/>
        <v>0.12</v>
      </c>
      <c r="FQ293">
        <f t="shared" si="620"/>
        <v>0.12</v>
      </c>
      <c r="FR293">
        <f t="shared" si="621"/>
        <v>0.11399999999999999</v>
      </c>
      <c r="FS293">
        <f>IF(CG293=1,IF(AND(CH293=1,CW293=1),0,IF(AND(CS293&lt;&gt;"",CS293=BA293,CW293=1),SUMIFS(Линии[_Р линии, кВт],Линии[_блок УЗО],BA293,Линии[Щит],A293),N(BS293)+IF(AJ293="вручную",0,N(CK293)))),0)</f>
        <v>0.12</v>
      </c>
      <c r="FT293" t="str">
        <f t="shared" si="622"/>
        <v>L3</v>
      </c>
      <c r="FU293" t="str">
        <f>IF(B293="","",IF(CG293=0,IF(BA293=1,"",FW292),IF(AND(CH293=1,CW293=1,CS293&lt;&gt;""),IFERROR(_xlfn.XLOOKUP(CS293,Линии[_n],Линии[_фаза итог]),"L1"),IF(OR(N(DL293)&gt;=3,N(BX293)&gt;=3),"L1,L2,L3",IFERROR(_xlfn.TEXTBEFORE(_xlfn.TEXTAFTER(_xlfn.XLOOKUP(A293,Щиты[Щит],Щиты[_фазы авто]),";"&amp;BA293&amp;":"),";"),"L1")))))</f>
        <v>L1</v>
      </c>
      <c r="FV293" t="str">
        <f t="shared" si="623"/>
        <v>L3</v>
      </c>
      <c r="FW293" t="str">
        <f t="shared" si="624"/>
        <v>L3</v>
      </c>
      <c r="FX293" cm="1">
        <f t="array" ref="FX293">IFERROR(IF(CD293=2,_xlfn.IFS(BX293=3,VLOOKUP(BS293,Справочная_двигатели,3,FALSE),BX293=1,VLOOKUP(BS293,Справочная_двигатели,5,TRUE)),0),0)</f>
        <v>0</v>
      </c>
      <c r="FY293">
        <f>IFERROR(IF(CD293=3,VLOOKUP(BS293,Справочная_ЛЭД,2,TRUE),0),0)</f>
        <v>0</v>
      </c>
      <c r="FZ293" s="6">
        <f t="shared" si="625"/>
        <v>0</v>
      </c>
      <c r="GA293" t="str">
        <f>IF(B293="","",IF(TRIM(AH293&amp;"")&lt;&gt;"",IF(LOWER(TRIM(AH293&amp;""))="да","да","нет"),IF(IFERROR(_xlfn.XLOOKUP(BC293,Коды_код,Коды_пожарная),"")="да","да","нет")))</f>
        <v>нет</v>
      </c>
      <c r="GB293" t="str">
        <f t="shared" si="626"/>
        <v/>
      </c>
      <c r="GC293" t="str">
        <f t="shared" si="627"/>
        <v>основная</v>
      </c>
      <c r="GD293">
        <f>IF(AND(BP293=1,TRIM(AE293&amp;"")=""),IF(COUNTIFS(Линии[Щит],A293,Линии[Секция (1/2/3)],"&gt;=2")&gt;0,MIN(3,MAX(1,IFERROR(--BD293,1))),1),IFERROR(MIN(3,MAX(1,INT(--AE293))),1))</f>
        <v>1</v>
      </c>
      <c r="GE293" t="str" cm="1">
        <f t="array" ref="GE293">IF(B293="","",_xlfn.LET(_xlpm.t,IFERROR(_xlfn.XLOOKUP(1,(Шины[Шина]=GC293)*(((Шины[Щит]=A293)+(Шины[Щит]=""))&gt;0),Шины[Тип]),"")&amp;"",IF(_xlpm.t&lt;&gt;"",_xlpm.t,IF(ISNUMBER(SEARCH("ИБП",GC293)),"ИБП",IF(ISNUMBER(SEARCH("ДГУ",GC293)),"ДГУ","Ввод "&amp;GD293)))))</f>
        <v>Ввод 1</v>
      </c>
      <c r="GF293" t="str">
        <f t="shared" si="628"/>
        <v>Ввод 1</v>
      </c>
      <c r="GG293" t="str">
        <f>IF(BP293=0,"",IF(TRIM(AG293&amp;"")&lt;&gt;"",TRIM(AG293&amp;""),IF(OR(GE293="ИБП",GE293="ДГУ"),"I особая",_xlfn.XLOOKUP(A293,Щиты[Щит],Щиты[Категория шины «Ввод»],"III"))))</f>
        <v/>
      </c>
      <c r="GH293" t="str">
        <f>IF(A293="","",_xlfn.XLOOKUP(A293,Щиты[Щит],Щиты[Путь],""))</f>
        <v>|ГРЩ-ЖД|ЩР-2|</v>
      </c>
      <c r="GI293" t="str">
        <f>IF(B293="","",IF(AI293&lt;&gt;"",AI293,IF(IFERROR(_xlfn.XLOOKUP(BC293,Коды_код,Коды_вид)&amp;"","")="","Прочее",_xlfn.XLOOKUP(BC293,Коды_код,Коды_вид)&amp;"")))</f>
        <v>Розеточная сеть и бытовые приборы</v>
      </c>
      <c r="GJ293">
        <f>IF(BM293="","",INT((BM293-1)/Столбцов_на_лист)+1)</f>
        <v>2</v>
      </c>
      <c r="GK293" t="str">
        <f t="shared" si="629"/>
        <v>ВВГнг(А)-LS (3х2,5) L=38-0,16%</v>
      </c>
      <c r="GL293">
        <f t="shared" si="630"/>
        <v>0.12</v>
      </c>
      <c r="GM293">
        <f t="shared" si="631"/>
        <v>0.55000000000000004</v>
      </c>
      <c r="GN293">
        <f t="shared" si="632"/>
        <v>1</v>
      </c>
      <c r="GO293">
        <f t="shared" si="633"/>
        <v>0</v>
      </c>
      <c r="GP293">
        <f t="shared" si="634"/>
        <v>1</v>
      </c>
      <c r="GQ293">
        <f>IF(BM293="","",IF(AND(CG293=1,GP293=1),COUNTIFS(A$3:A293,A293,CG$3:CG293,1,GP$3:GP293,1),IF(OR(OR(BA293=1,A293&lt;&gt;A292),AJ293="вручную",GP293=0),"",IF(BA293=1,"",GR292))))</f>
        <v>10</v>
      </c>
      <c r="GR293">
        <f t="shared" si="635"/>
        <v>10</v>
      </c>
      <c r="GS293">
        <f>IF(B293="","",IFERROR(LOOKUP(INDEX(CHOOSE(EB293,Iдоп_1ж,Iдоп_2ж,Iдоп_3ж),MATCH(EN293,Iдоп_S,0))*DZ293*EA293,{6,10,16,20,25,32,40,50,63,80,100,125,160,200,250,315,400,500,630}),""))</f>
        <v>25</v>
      </c>
      <c r="GT293" t="str">
        <f t="shared" si="636"/>
        <v>QFD10</v>
      </c>
      <c r="GU293" t="str">
        <f t="shared" si="637"/>
        <v>QFD10</v>
      </c>
      <c r="GV293" t="str">
        <f t="shared" si="638"/>
        <v/>
      </c>
      <c r="GW293">
        <f t="shared" si="639"/>
        <v>0</v>
      </c>
      <c r="GX293" t="str">
        <f>IF(OR(B293="",DJ293=""),"",IFERROR(_xlfn.XLOOKUP(DJ293,Модули_умолч[Управление],Модули_умолч[Модель])&amp;"",""))</f>
        <v/>
      </c>
      <c r="GY293">
        <f>IF(DJ293="",1,IFERROR(MAX(0,N(_xlfn.XLOOKUP(DJ293,Модули_умолч[Управление],Модули_умолч[Каналов на линию]))),1))</f>
        <v>1</v>
      </c>
      <c r="GZ293" t="str">
        <f t="shared" si="640"/>
        <v/>
      </c>
      <c r="HA293" t="str">
        <f t="shared" si="641"/>
        <v/>
      </c>
      <c r="HB293" t="str">
        <f t="shared" si="642"/>
        <v/>
      </c>
      <c r="HC293">
        <f>IF(HB293="",0,IFERROR(N(VLOOKUP(HB293,Модули_спр,3,FALSE)),0))</f>
        <v>0</v>
      </c>
      <c r="HD293" t="str">
        <f t="shared" si="643"/>
        <v/>
      </c>
      <c r="HE293" t="str">
        <f t="shared" si="644"/>
        <v/>
      </c>
      <c r="HF293" t="str">
        <f>IF(OR(HE293="",HE293="-"),"",IFERROR(VLOOKUP(HE293,Модули_спр,2,FALSE),"R"))</f>
        <v/>
      </c>
      <c r="HG293" t="str">
        <f>IF(HF293="","",HF293&amp;"."&amp;COUNTIFS(A$3:A293,A293,HF$3:HF293,HF293))</f>
        <v/>
      </c>
      <c r="HH293" t="str">
        <f t="shared" si="645"/>
        <v/>
      </c>
      <c r="HI293" t="str">
        <f t="shared" si="646"/>
        <v/>
      </c>
      <c r="HJ293" t="str">
        <f t="shared" si="647"/>
        <v/>
      </c>
      <c r="HK293" t="str">
        <f t="shared" si="648"/>
        <v/>
      </c>
      <c r="HL293">
        <f t="shared" si="649"/>
        <v>1</v>
      </c>
      <c r="HM293" t="str">
        <f>IF(HL293=1,"XT"&amp;COUNTIFS(A$3:A293,A293,HL$3:HL293,1),"")</f>
        <v>XT10</v>
      </c>
      <c r="HN293" t="str">
        <f t="shared" si="650"/>
        <v>XT10</v>
      </c>
      <c r="HO293" t="str">
        <f t="shared" si="651"/>
        <v>QFD10</v>
      </c>
      <c r="HP293" t="str">
        <f t="shared" si="652"/>
        <v/>
      </c>
      <c r="HQ293" t="str">
        <f t="shared" si="653"/>
        <v>ok</v>
      </c>
      <c r="HR293" t="str">
        <f>IF(OR(HJ293="",HH293=""),"",IF(HJ293+MAX(0,GY293-1)&gt;IFERROR(VLOOKUP(HI293,Модули_спр,3,FALSE),99),"ЛИШНИЙ КАНАЛ",IF(AND(AL293&lt;&gt;"=",GY293&gt;0,COUNTIFS(Линии[_модуль гр.],HH293,Линии[Канал (итог)],HJ293,Линии[Канал],"&lt;&gt;=",Линии[Щит],A293)&gt;1),"ДУБЛЬ КАНАЛА","")))</f>
        <v/>
      </c>
      <c r="HS293" s="6" t="str">
        <f t="shared" si="654"/>
        <v/>
      </c>
      <c r="HT293">
        <f t="shared" si="655"/>
        <v>10</v>
      </c>
      <c r="HU293" t="str">
        <f t="shared" si="656"/>
        <v/>
      </c>
      <c r="HV293">
        <f t="shared" si="657"/>
        <v>0.59878536516659508</v>
      </c>
      <c r="HW293">
        <f t="shared" si="658"/>
        <v>0</v>
      </c>
      <c r="HX293">
        <f t="shared" si="659"/>
        <v>0</v>
      </c>
      <c r="HY293">
        <f t="shared" si="660"/>
        <v>0</v>
      </c>
      <c r="HZ293">
        <f t="shared" si="661"/>
        <v>0</v>
      </c>
      <c r="IA293">
        <f t="shared" si="662"/>
        <v>0</v>
      </c>
      <c r="IB293">
        <f t="shared" si="663"/>
        <v>0</v>
      </c>
      <c r="IC293" t="str">
        <f t="shared" si="664"/>
        <v/>
      </c>
      <c r="ID293" t="str" cm="1">
        <f t="array" ref="ID293">IF(IC293="","",_xlfn.LET(_xlpm.tk,_xlfn.TEXTSPLIT(SUBSTITUTE(SUBSTITUTE(IC293,";"," "),"→"," ")," ",,TRUE),_xlpm.w_,_xlfn._xlws.FILTER(_xlpm.tk,ISNUMBER(--LEFT(_xlpm.tk,1))*((ISNUMBER(SEARCH("W",_xlpm.tk))+ISNUMBER(SEARCH("Вт",_xlpm.tk)))&gt;0),""),IFERROR(--SUBSTITUTE(SUBSTITUTE(UPPER(INDEX(_xlpm.w_,1)),"W",""),"ВТ",""),"")))</f>
        <v/>
      </c>
      <c r="IE293" t="str" cm="1">
        <f t="array" ref="IE293">IF(IC293="","",_xlfn.LET(_xlpm.tk,_xlfn.TEXTSPLIT(SUBSTITUTE(SUBSTITUTE(IC293,";"," "),"→"," ")," ",,TRUE),_xlpm.v_,_xlfn._xlws.FILTER(_xlpm.tk,ISNUMBER(--LEFT(_xlpm.tk,1))*((ISNUMBER(SEARCH("V",_xlpm.tk))+(RIGHT(UPPER(_xlpm.tk))="В"))&gt;0),""),IFERROR(--SUBSTITUTE(SUBSTITUTE(UPPER(INDEX(_xlpm.v_,1)),"V",""),"В",""),"")))</f>
        <v/>
      </c>
      <c r="IF293" s="6" t="str">
        <f>IF(OR(BV293=0,HI293="",HJ293=""),"",IFERROR(N(_xlfn.XLOOKUP(HI293,Каталог!$C$4:$C$500,Каталог!$Q$4:$Q$500)),""))</f>
        <v/>
      </c>
      <c r="IG293" s="6" t="str">
        <f>IF(N(IF293)=0,"",SUMIFS(Линии[Iр, А],Линии[Щит],A293,Линии[_модуль гр.],HH293,Линии[Канал (итог)],HJ293))</f>
        <v/>
      </c>
      <c r="IH293" t="str">
        <f>IF(AND(B293="",HO293=""),"",_xlfn.TEXTJOIN("; ",TRUE,IF(AND(B293&lt;&gt;"",FV293=""),"нет фазы",""),IF(AND(B293&lt;&gt;"",N(GL293)=0,FG293&lt;&gt;"Нет"),"нет мощности",""),IF(AND(HN293&lt;&gt;"",COUNTIFS(Линии[Щит],A293,Линии[Клемма (итог)],HN293)&gt;1),"дубль клеммы "&amp;HN293,""),IF(AND(HQ293&lt;&gt;"",HQ293&lt;&gt;"ok"),HQ293,""),IF(HR293&lt;&gt;"",HR293,""),IF(AND(N(CB293)&gt;=4,N(BX293)=1),CB293&amp;" жил на 1 фазе",""),IF(AND(BC293="R",CG293=1,IF(CS293&lt;&gt;"",N(CV293)&gt;30,OR(N(DA293)=0,N(DA293)&gt;30))),"розетка без дифзащиты до 30 мА",""),IF(AND(CG293=1,N(DA293)&gt;0,ISNUMBER(T293)),IF(T293&gt;N(DA293)/3,"ток утечки "&amp;FIXED(T293,1)&amp;" мА &gt; 1/3 уставки ("&amp;DA293&amp;" мА)",""),""),IF(AND(CH293=1,CS293=""),"«узо»: нет строки с УЗО выше (УЗО 2P 40А 30мА в «Аппаратах»)",""),IF(AND(CS293&lt;&gt;"",CS293=BA293),IF(CT293="","впишите номинал УЗО (УЗО 2P 40А 30мА)",IF(N(CT293)&lt;N(DT293),"УЗО "&amp;CT293&amp;" А &lt; автомата "&amp;DT293&amp;" А перед ним",IF(N(CT293)&lt;N(CX293),"УЗО "&amp;CT293&amp;" А &lt; тока блока "&amp;FIXED(CX293,1)&amp;" А",""))),""),IF(AND(CS293&lt;&gt;"",CS293=BA293,ISNUMBER(CY293)),IF(CY293&gt;N(CV293)/3,"ток утечки блока УЗО "&amp;FIXED(CY293,1)&amp;" мА &gt; 1/3 уставки ("&amp;CV293&amp;" мА)",""),""),IF(AND(CG293=1,N(BV293)+N(IB293)&gt;0,IC293=""),"линии до 50 В без БП: впишите в «Аппараты» (БП 24V 480W)",""),IF(AND(CG293=1,ISNUMBER(ID293),ISNUMBER(U293)),IF(U293&gt;ID293,"БП "&amp;ID293&amp;" Вт &lt; нужно "&amp;U293&amp;" Вт (×"&amp;Запас_БП&amp;")",""),""),IF(AND(CG293=1,ISNUMBER(IE293),N(BV293)=1),IF(IE293&lt;&gt;N(BU293),"БП на "&amp;IE293&amp;" В, линия "&amp;BU293&amp;" В",""),""),IF(AND(N(IF293)&gt;0,N(IG293)&gt;N(IF293)),HH293&amp;" канал "&amp;HJ293&amp;": "&amp;FIXED(IG293,1)&amp;" А &gt; "&amp;IF293&amp;" А",""),IFERROR(IF(AND(ISNUMBER(Q293),Q293&gt;EL293),"потери "&amp;FIXED(Q293,1)&amp;" % &gt; "&amp;EL293&amp;" %",""),""),IFERROR(IF(LEFT(HU293,4)="мало","Iкз мало — отключение &gt; 0,4 с",""),""),IF(AND(B293&lt;&gt;"",BM293=""),"не на схеме",""),IF(AND(CG293=0,B293&lt;&gt;"",FV293&lt;&gt;"",IF(BA293=1,"",FW292)&lt;&gt;"",FV293&lt;&gt;IF(BA293=1,"",FW292)),"фаза не как у автомата группы ("&amp;IF(BA293=1,"",FW292)&amp;")","")))</f>
        <v/>
      </c>
      <c r="II293" s="6">
        <f>IF(OR(CG293=0,DQ293=""),"",_xlfn.LET(_xlpm.t,IFERROR(_xlfn.XLOOKUP(DQ293,Каталог!$U$4:$U$500,Каталог!$G$4:$G$500),""),_xlpm.k,SEARCH("кА",_xlpm.t),IFERROR(--TRIM(RIGHT(SUBSTITUTE(MID(_xlpm.t,MAX(1,_xlpm.k-4),_xlpm.k-MAX(1,_xlpm.k-4))," ",REPT(" ",9)),5)),"")))</f>
        <v>6</v>
      </c>
      <c r="IJ293" t="str">
        <f>IF(OR(II293="",CG293=0),"",IF(_xlfn.XLOOKUP(A293,Щиты[Щит],Щиты[Iкз max на шинах, кА],"")="","",IF(II293&lt;_xlfn.XLOOKUP(A293,Щиты[Щит],Щиты[Iкз max на шинах, кА]),"Icu "&amp;II293&amp;" кА &lt; Iкз max","ok")))</f>
        <v/>
      </c>
      <c r="IK293" t="str">
        <f t="shared" si="665"/>
        <v/>
      </c>
      <c r="IL293" t="str">
        <f t="shared" si="666"/>
        <v>QFD10|XT10</v>
      </c>
      <c r="IM293" t="str">
        <f t="shared" si="667"/>
        <v>QFD10|XT10|кабель ВВГнг(А)-LS (3х2,5) → Розеточная группа, пом. 013А</v>
      </c>
      <c r="IN293" t="str" cm="1">
        <f t="array" ref="IN293">IF(IM293="","",_xlfn.LET(_xlpm.nd,_xlfn.TEXTSPLIT(IM293,"|"),IF(COLUMNS(_xlpm.nd)&gt;1,A293&amp;"¦"&amp;INDEX(_xlpm.nd,1)&amp;"¦"&amp;INDEX(_xlpm.nd,2),"")))</f>
        <v>ЩР-2¦QFD10¦XT10</v>
      </c>
      <c r="IO293" t="str">
        <f t="shared" si="668"/>
        <v>R.2.013А.1¦Розеточная группа, пом. 013А</v>
      </c>
      <c r="IP293" t="str" cm="1">
        <f t="array" ref="IP293">IF(IM293="","",_xlfn.LET(_xlpm.nd,_xlfn.TEXTSPLIT(IM293,"|"),IF(COLUMNS(_xlpm.nd)&gt;2,A293&amp;"¦"&amp;INDEX(_xlpm.nd,2)&amp;"¦"&amp;INDEX(_xlpm.nd,3),"")))</f>
        <v>ЩР-2¦XT10¦кабель ВВГнг(А)-LS (3х2,5) → Розеточная группа, пом. 013А</v>
      </c>
      <c r="IQ293" t="str">
        <f t="shared" si="669"/>
        <v>R.2.013А.1¦Розеточная группа, пом. 013А</v>
      </c>
      <c r="IR293" t="str" cm="1">
        <f t="array" ref="IR293">IF(IM293="","",_xlfn.LET(_xlpm.nd,_xlfn.TEXTSPLIT(IM293,"|"),IF(COLUMNS(_xlpm.nd)&gt;3,A293&amp;"¦"&amp;INDEX(_xlpm.nd,3)&amp;"¦"&amp;INDEX(_xlpm.nd,4),"")))</f>
        <v/>
      </c>
      <c r="IS293" t="str">
        <f t="shared" si="670"/>
        <v/>
      </c>
      <c r="IT293" t="str" cm="1">
        <f t="array" ref="IT293">IF(IM293="","",_xlfn.LET(_xlpm.nd,_xlfn.TEXTSPLIT(IM293,"|"),IF(COLUMNS(_xlpm.nd)&gt;4,A293&amp;"¦"&amp;INDEX(_xlpm.nd,4)&amp;"¦"&amp;INDEX(_xlpm.nd,5),"")))</f>
        <v/>
      </c>
      <c r="IU293" t="str">
        <f t="shared" si="671"/>
        <v/>
      </c>
      <c r="IV293" t="str" cm="1">
        <f t="array" ref="IV293">IF(IM293="","",_xlfn.LET(_xlpm.nd,_xlfn.TEXTSPLIT(IM293,"|"),IF(COLUMNS(_xlpm.nd)&gt;5,A293&amp;"¦"&amp;INDEX(_xlpm.nd,5)&amp;"¦"&amp;INDEX(_xlpm.nd,6),"")))</f>
        <v/>
      </c>
      <c r="IW293" t="str">
        <f t="shared" si="672"/>
        <v/>
      </c>
      <c r="IX293" t="str" cm="1">
        <f t="array" ref="IX293">IF(IM293="","",_xlfn.LET(_xlpm.nd,_xlfn.TEXTSPLIT(IM293,"|"),IF(COLUMNS(_xlpm.nd)&gt;6,A293&amp;"¦"&amp;INDEX(_xlpm.nd,6)&amp;"¦"&amp;INDEX(_xlpm.nd,7),"")))</f>
        <v/>
      </c>
      <c r="IY293" t="str">
        <f t="shared" si="673"/>
        <v/>
      </c>
      <c r="IZ293" t="str">
        <f t="shared" si="674"/>
        <v/>
      </c>
      <c r="JA293" t="str">
        <f t="shared" si="675"/>
        <v>QFD10 → XT10</v>
      </c>
      <c r="JB293">
        <f t="shared" si="676"/>
        <v>0</v>
      </c>
      <c r="JC293">
        <f t="shared" si="677"/>
        <v>1</v>
      </c>
      <c r="JD293" t="str">
        <f t="shared" si="678"/>
        <v/>
      </c>
      <c r="JE293" t="str">
        <f t="shared" si="679"/>
        <v/>
      </c>
      <c r="JF293" t="str">
        <f t="shared" si="680"/>
        <v/>
      </c>
      <c r="JG293" t="str">
        <f t="shared" si="681"/>
        <v/>
      </c>
      <c r="JH293" t="str">
        <f>IF(B293="","",IFERROR(_xlfn.XLOOKUP(B293,Коды_код,Коды_уго),IFERROR(_xlfn.XLOOKUP(BC293,Коды_код,Коды_уго),IFERROR(_xlfn.XLOOKUP(LEFT(BC293,2),Коды_код,Коды_уго),""))))</f>
        <v>Розетка</v>
      </c>
      <c r="JI293" t="str">
        <f>IF(B293="","",IF(OR(JH293="",JH293=0),"BOX",IFERROR(IF(VLOOKUP(JH293,УГО_блоки,3,FALSE)&amp;""&lt;&gt;"",VLOOKUP(JH293,УГО_блоки,3,FALSE),VLOOKUP(JH293,УГО_блоки,2,FALSE)),JH293)))</f>
        <v>SOCKET</v>
      </c>
      <c r="JJ293">
        <f t="shared" si="682"/>
        <v>1</v>
      </c>
      <c r="JK293" t="str">
        <f>IF(DQ293="","",IF(COUNTIF(DQ$3:DQ293,DQ293)=1,MAX(JK$2:JK292)+1,""))</f>
        <v/>
      </c>
      <c r="JL293" t="str">
        <f>IF(DE293="","",IF(COUNTIF(DE$3:DE293,DE293)+COUNTIF(DF$2:DF292,DE293)+COUNTIF(DG$2:DG292,DE293)=1,MAX(JL$2:JN292)+1,""))</f>
        <v/>
      </c>
      <c r="JM293" t="str">
        <f>IF(DF293="","",IF(COUNTIF(DE$3:DE293,DF293)+COUNTIF(DF$3:DF293,DF293)+COUNTIF(DG$2:DG292,DF293)=1,MAX(JL$2:JN292,JL293)+1,""))</f>
        <v/>
      </c>
      <c r="JN293" t="str">
        <f>IF(DG293="","",IF(COUNTIF(DE$3:DE293,DG293)+COUNTIF(DF$3:DF293,DG293)+COUNTIF(DG$3:DG293,DG293)=1,MAX(JL$2:JN292,JL293,JM293)+1,""))</f>
        <v/>
      </c>
      <c r="JO293" t="str">
        <f t="shared" si="683"/>
        <v>3х2,5</v>
      </c>
      <c r="JP293" t="str">
        <f>IF(JO293="","",IF(COUNTIF(JO$3:JO293,JO293)=1,MAX(JP$2:JP292)+1,""))</f>
        <v/>
      </c>
      <c r="JQ293" t="str">
        <f>IF(HG293="","",COUNTIF(HG$3:HG293,"?*"))</f>
        <v/>
      </c>
      <c r="JR293" t="str">
        <f>IF(OR(HG293="",HI293=""),"",IF(COUNTIFS(HG$3:HG293,"?*",HI$3:HI293,HI293)=1,MAX(JR$2:JR292)+1,""))</f>
        <v/>
      </c>
      <c r="JS293">
        <f t="shared" si="684"/>
        <v>0</v>
      </c>
      <c r="JT293">
        <f>IF(B293="","",COUNTIF(B$3:B293,"?*"))</f>
        <v>291</v>
      </c>
      <c r="JU293">
        <f>IF(HL293&lt;&gt;1,0,_xlfn.LET(_xlpm.k,MAX(IFERROR(--_xlfn.XLOOKUP(B293,Коды_код,Коды_3L),0),IFERROR(--_xlfn.XLOOKUP(BC293,Коды_код,Коды_3L),0),IFERROR(--_xlfn.XLOOKUP(LEFT(BC293,2),Коды_код,Коды_3L),0)),IF(_xlpm.k&gt;0,_xlpm.k,IF(IFERROR(--LEFT(SUBSTITUTE(JO293,"x","х"),FIND("х",SUBSTITUTE(JO293,"x","х"))-1),3)&gt;3,Каталог!$S$9,1))))</f>
        <v>1</v>
      </c>
      <c r="JV293">
        <f t="shared" si="685"/>
        <v>0</v>
      </c>
      <c r="JW293" t="str">
        <f t="shared" si="686"/>
        <v>авто</v>
      </c>
      <c r="JX293">
        <f t="shared" si="687"/>
        <v>30</v>
      </c>
      <c r="JY293">
        <f t="shared" si="688"/>
        <v>1</v>
      </c>
      <c r="JZ293">
        <f t="shared" si="689"/>
        <v>1</v>
      </c>
    </row>
    <row r="294" spans="1:286" x14ac:dyDescent="0.3">
      <c r="A294" t="s">
        <v>759</v>
      </c>
      <c r="B294" t="s">
        <v>1599</v>
      </c>
      <c r="C294" t="s">
        <v>1724</v>
      </c>
      <c r="D294">
        <v>3</v>
      </c>
      <c r="E294">
        <v>0.54</v>
      </c>
      <c r="G294">
        <v>16</v>
      </c>
      <c r="H294" t="str">
        <f>Линии[[#This Row],[_авто управление]]</f>
        <v/>
      </c>
      <c r="I294" t="str">
        <f>Линии[[#This Row],[_авто аппараты]]</f>
        <v/>
      </c>
      <c r="J294">
        <v>2.5</v>
      </c>
      <c r="K294">
        <v>50</v>
      </c>
      <c r="L294">
        <v>3</v>
      </c>
      <c r="M294" t="s">
        <v>484</v>
      </c>
      <c r="N294" t="str">
        <f t="shared" si="552"/>
        <v/>
      </c>
      <c r="O294" s="6" cm="1">
        <f t="array" ref="O294">IF(B294="","",IF(BH294&lt;&gt;"",IFERROR(_xlfn.XLOOKUP(BH294,Щиты[Щит],Щиты[Iр, А]),""),IF(BP294=1,IF(OR(N(_xlfn.XLOOKUP(A294,Щиты[Щит],Щиты[Вводов],1))&lt;=1,LOWER(TRIM(_xlfn.XLOOKUP(A294,Щиты[Щит],Щиты[АВР],"")&amp;""))="да"),IFERROR(_xlfn.XLOOKUP(A294,Щиты[Щит],Щиты[Iр, А]),""),IFERROR(N(BS294)*_xlfn.XLOOKUP(A294,Щиты[Щит],Щиты[Кс итог])/(SQRT(3)*Uн_лин*_xlfn.XLOOKUP(A294,Щиты[Щит],Щиты[cos φ])),"")),IF(BV294=1,IFERROR(BS294*1000/BU294,""),IFERROR(_xlfn.IFS(BX294=1,BS294/((Uн_лин/SQRT(3))*CE294),BX294=3,BS294/(SQRT(3)*Uн_лин*CE294)),"")))))</f>
        <v>2.4613353581241939</v>
      </c>
      <c r="P294" s="7">
        <f>IF(B294="","",IFERROR(IF(VLOOKUP(BC294,Потребители_обозначение,4,FALSE)=1,VLOOKUP(BC294,Потребители_обозначение,3,FALSE)*(MAX(1,N(D294))*2-1)+EI294+VLOOKUP(BE294,Этаж_обозначение,3,FALSE)+VLOOKUP(BE294,Этаж_обозначение,4,FALSE),VLOOKUP(BC294,Потребители_обозначение,3,FALSE)*(MAX(1,N(D294))*2-1)+EI294),EI294))</f>
        <v>65</v>
      </c>
      <c r="Q294" s="6">
        <f t="shared" si="553"/>
        <v>2.98</v>
      </c>
      <c r="R294" t="str">
        <f t="shared" si="554"/>
        <v>ВВГнг(А)-LS (3х2,5)</v>
      </c>
      <c r="S294" t="str">
        <f>IF(BM294="","",IF(BN294="вводной узел","узел ","")&amp;"л."&amp;(INT((BM294-1)/Столбцов_на_лист)+1)&amp;" / "&amp;(MOD(BM294-1,Столбцов_на_лист)+1))</f>
        <v>л.2 / 4</v>
      </c>
      <c r="T294" s="119">
        <f t="shared" si="555"/>
        <v>1.6</v>
      </c>
      <c r="U294" s="7" t="str">
        <f>IF(OR(CG294=0,N(BV294)+N(IB294)=0),"",ROUNDUP(Запас_БП*(N(HY294)+N(HZ294)),0))</f>
        <v/>
      </c>
      <c r="V294" s="119" t="str">
        <f t="shared" si="556"/>
        <v/>
      </c>
      <c r="W294" s="7" t="str">
        <f>IFERROR(IF(OR(B294="",BP294=1,BV294=1,NOT(ISNUMBER(EN294)),N(DT294)=0),"",MAX(0,ROUNDDOWN((c_min*(Uн_лин*1000/SQRT(3))/(HT294*N(DT294))-_xlfn.XLOOKUP(A294,Щиты[Щит],Щиты[Zпетли на шинах, Ом]))*EN294/(2*ρкз_Cu),0))),"")</f>
        <v/>
      </c>
      <c r="Y294">
        <f>Линии[[#This Row],[_авто утечка]]</f>
        <v>30</v>
      </c>
      <c r="Z294">
        <v>1</v>
      </c>
      <c r="AA294">
        <v>230</v>
      </c>
      <c r="AB294" t="s">
        <v>562</v>
      </c>
      <c r="AG294" t="s">
        <v>810</v>
      </c>
      <c r="AI294" t="s">
        <v>561</v>
      </c>
      <c r="AK294" t="str">
        <f>Линии[[#This Row],[_авто модуль]]</f>
        <v/>
      </c>
      <c r="AM294">
        <v>21</v>
      </c>
      <c r="AN294" t="s">
        <v>11</v>
      </c>
      <c r="AO294">
        <v>3</v>
      </c>
      <c r="AQ294">
        <v>12</v>
      </c>
      <c r="AR294">
        <v>17</v>
      </c>
      <c r="AS294">
        <v>30</v>
      </c>
      <c r="AT294">
        <v>2</v>
      </c>
      <c r="BA294" cm="1">
        <f t="array" ref="BA294">ROW()-ROW(Линии[#Headers])</f>
        <v>292</v>
      </c>
      <c r="BC294" s="6" t="str">
        <f t="shared" si="557"/>
        <v>R</v>
      </c>
      <c r="BD294" t="str">
        <f t="shared" si="558"/>
        <v>2.014А.1</v>
      </c>
      <c r="BE294" t="str">
        <f t="shared" si="559"/>
        <v>2</v>
      </c>
      <c r="BF294" t="str">
        <f t="shared" si="560"/>
        <v>014А.1</v>
      </c>
      <c r="BG294" t="str">
        <f t="shared" si="561"/>
        <v>014А</v>
      </c>
      <c r="BH294" t="str">
        <f>IF(X294&lt;&gt;"",X294,IF(AND(B294&lt;&gt;"",B294&lt;&gt;A294,ISNUMBER(_xlfn.XMATCH(B294,Щиты[Щит]))),B294,""))</f>
        <v/>
      </c>
      <c r="BI294" t="str" cm="1">
        <f t="array" ref="BI294">IF(B294="","",IF(BH294&lt;&gt;"","Щит "&amp;BH294,_xlfn.LET(_xlpm.nm,IFERROR(_xlfn.XLOOKUP(BC294,Коды_код,Коды_имя)&amp;"",""),_xlpm.md,IFERROR(N(_xlfn.XLOOKUP(BC294,Коды_код,Коды_режим)),1),_xlpm.ex,IF(Имя_режим="по экспликации",IFERROR(_xlfn.XLOOKUP(BE294&amp;"|"&amp;BG294,Экспликация[Этаж]&amp;"|"&amp;Экспликация[Помещение],Экспликация[Название])&amp;"",""),""),_xlpm.rm,IF(BG294="","",IF(_xlpm.ex&lt;&gt;"",". "&amp;_xlpm.ex&amp;IF(Имя_пом="нет"," ("&amp;BG294&amp;")"," (пом. "&amp;BG294&amp;")"),IF(Имя_пом="нет"," ",", пом. ")&amp;BG294)),IF(_xlpm.nm="","",IF(_xlpm.md=2,_xlpm.nm&amp;" шлейф "&amp;BE294,_xlpm.nm&amp;_xlpm.rm)))))</f>
        <v>Розеточная группа, пом. 014А</v>
      </c>
      <c r="BJ294" t="str">
        <f t="shared" si="562"/>
        <v>Розеточная группа Второй этаж Пом. №013А, 012А</v>
      </c>
      <c r="BK294">
        <f>IFERROR(_xlfn.XMATCH(A294,Щиты[Щит]),0)</f>
        <v>11</v>
      </c>
      <c r="BL294">
        <f>_xlfn.LET(_xlpm.k,IFERROR(_xlfn.XLOOKUP(A294,Щиты[Щит],Щиты[Мест под вводной узел]),""),IF(_xlpm.k="",Столбцов_на_лист,N(_xlpm.k)))</f>
        <v>8</v>
      </c>
      <c r="BM294">
        <f t="shared" si="563"/>
        <v>21</v>
      </c>
      <c r="BN294" t="str">
        <f t="shared" si="564"/>
        <v>линии</v>
      </c>
      <c r="BO294" s="6">
        <f>IFERROR(N(_xlfn.XLOOKUP(BC294,Коды_код,Коды_квт)),0)</f>
        <v>0</v>
      </c>
      <c r="BP294">
        <f t="shared" si="565"/>
        <v>0</v>
      </c>
      <c r="BQ294" t="str">
        <f>IF(B294="","",IF(BH294&lt;&gt;"",IFERROR(_xlfn.XLOOKUP(BH294,Щиты[Щит],Щиты[Руст, кВт]),0),IF(BP294=1,IF(OR(N(_xlfn.XLOOKUP(A294,Щиты[Щит],Щиты[Вводов],1))&lt;=1,LOWER(TRIM(_xlfn.XLOOKUP(A294,Щиты[Щит],Щиты[АВР],"")&amp;""))="да"),IFERROR(_xlfn.XLOOKUP(A294,Щиты[Щит],Щиты[Руст, кВт]),0),SUMIFS(Линии[_Р для вводов],Линии[Щит],A294,Линии[Источник для режимов],GF294)),IF(BO294&gt;0,ROUND(BO294*MAX(1,N(D294)),3),""))))</f>
        <v/>
      </c>
      <c r="BR294">
        <f t="shared" si="566"/>
        <v>0.54</v>
      </c>
      <c r="BS294" s="6">
        <f>IF(B294="","",IF(BH294&lt;&gt;"",IFERROR(_xlfn.XLOOKUP(BH294,Щиты[Щит],Щиты[Руст, кВт]),0),N(BR294)))</f>
        <v>0.54</v>
      </c>
      <c r="BT294" t="str">
        <f>IF(B294="","",IFERROR(IF(VLOOKUP(BC294,Потребители_обозначение,8,FALSE)=0,"",VLOOKUP(BC294,Потребители_обозначение,8,FALSE)),""))</f>
        <v/>
      </c>
      <c r="BU294">
        <f t="shared" si="567"/>
        <v>230</v>
      </c>
      <c r="BV294">
        <f t="shared" si="568"/>
        <v>0</v>
      </c>
      <c r="BW294">
        <f>IF(B294="","",IF(BH294&lt;&gt;"",3,IFERROR(IF(N(VLOOKUP(BC294,Потребители_обозначение,9,FALSE))=0,1,VLOOKUP(BC294,Потребители_обозначение,9,FALSE)),1)))</f>
        <v>1</v>
      </c>
      <c r="BX294">
        <f t="shared" si="569"/>
        <v>1</v>
      </c>
      <c r="BY294" t="str">
        <f>IF(B294="","",_xlfn.LET(_xlpm.bc,IFERROR(IF(VLOOKUP(BC294,Потребители_обозначение,6,FALSE)=0,"",VLOOKUP(BC294,Потребители_обозначение,6,FALSE)&amp;""),""),IF(AND(GA294="да",OR(_xlpm.bc="",_xlpm.bc="мс")),Марка_пож,IF(AND(_xlpm.bc="",BH294&lt;&gt;""),"мс",_xlpm.bc))))</f>
        <v/>
      </c>
      <c r="BZ294" t="str">
        <f t="shared" si="570"/>
        <v>мс</v>
      </c>
      <c r="CA294">
        <f>IF(B294="","",_xlfn.LET(_xlpm.cc,IFERROR(N(VLOOKUP(BC294,Потребители_обозначение,7,FALSE)),0),IF(_xlpm.cc&gt;0,_xlpm.cc,IF(BZ294="","",IF(BV294=1,2,IF(N(BX294)=3,5,3))))))</f>
        <v>3</v>
      </c>
      <c r="CB294">
        <f t="shared" si="571"/>
        <v>3</v>
      </c>
      <c r="CC294">
        <f>IFERROR(N(VLOOKUP(BC294,Потребители_обозначение,10,FALSE)),0)</f>
        <v>0</v>
      </c>
      <c r="CD294">
        <f>IFERROR(VLOOKUP(BC294,Потребители_обозначение,5,FALSE),0)</f>
        <v>1</v>
      </c>
      <c r="CE294" s="6" cm="1">
        <f t="array" ref="CE294">IF(B294="","",IF(BH294&lt;&gt;"",IFERROR(_xlfn.XLOOKUP(BH294,Щиты[Щит],Щиты[cos φ]),0.95),IF(BP294=1,IFERROR(_xlfn.XLOOKUP(A294,Щиты[Щит],Щиты[cos φ]),0.95),IF(ISNUMBER(AD294),AD294,IFERROR(IF(CD294=2,_xlfn.IFS(BX294=3,VLOOKUP(BS294,Справочная_двигатели,8,FALSE),BX294=1,VLOOKUP(BS294,Справочная_двигатели,10,TRUE)),IF(AND(Методика="нормы 2026",FG294="Сил"),0.8,0.95)),0.95)))))</f>
        <v>0.95</v>
      </c>
      <c r="CF294">
        <f t="shared" si="572"/>
        <v>0</v>
      </c>
      <c r="CG294">
        <f t="shared" si="573"/>
        <v>1</v>
      </c>
      <c r="CH294">
        <f t="shared" si="574"/>
        <v>0</v>
      </c>
      <c r="CI294">
        <f>IF(B294="","",IF(BV294=1,IFERROR(BS294/((Uн_лин/SQRT(3))*MAX(0.5,N(CE294))),0),N(O294)))</f>
        <v>2.4613353581241939</v>
      </c>
      <c r="CJ294">
        <f t="shared" si="575"/>
        <v>0</v>
      </c>
      <c r="CK294">
        <f t="shared" si="576"/>
        <v>0</v>
      </c>
      <c r="CL294">
        <f t="shared" si="577"/>
        <v>0</v>
      </c>
      <c r="CM294">
        <f t="shared" si="578"/>
        <v>0</v>
      </c>
      <c r="CN294">
        <f t="shared" si="579"/>
        <v>0</v>
      </c>
      <c r="CO294">
        <f>IF(BC294="",0,_xlfn.LET(_xlpm.v,IFERROR(_xlfn.XLOOKUP(B294,Коды_код,Коды_мА),IFERROR(_xlfn.XLOOKUP(BC294,Коды_код,Коды_мА),IFERROR(_xlfn.XLOOKUP(LEFT(BC294,2),Коды_код,Коды_мА),""))),IF(_xlpm.v="да",30,IF(ISNUMBER(_xlpm.v),_xlpm.v,0))))</f>
        <v>30</v>
      </c>
      <c r="CP294">
        <f t="shared" si="580"/>
        <v>30</v>
      </c>
      <c r="CQ294" t="str">
        <f>_xlfn.LET(_xlpm.k,IFERROR(_xlfn.XLOOKUP(BC294,Коды_код,Коды_утечка)&amp;"",""),IF(_xlpm.k="","дифавтомат",_xlpm.k))</f>
        <v>дифавтомат</v>
      </c>
      <c r="CR294" t="str" cm="1">
        <f t="array" ref="CR294">IF(CG294=0,"",_xlfn.LET(_xlpm.sg,TRIM(_xlfn.TEXTSPLIT(DD294&amp;"",";")),_xlpm.f_,_xlfn._xlws.FILTER(_xlpm.sg,LEFT(_xlpm.sg,3)="УЗО",""),IFERROR(INDEX(_xlpm.f_,1)&amp;"","")))</f>
        <v/>
      </c>
      <c r="CS294" t="str">
        <f t="shared" si="581"/>
        <v/>
      </c>
      <c r="CT294" s="6" t="str" cm="1">
        <f t="array" ref="CT294">IF(CR294="","",_xlfn.LET(_xlpm.tk,_xlfn.TEXTSPLIT(UPPER(CR294)," ",,TRUE),_xlpm.a_,_xlfn._xlws.FILTER(_xlpm.tk,ISNUMBER(--LEFT(_xlpm.tk,1))*((ISNUMBER(SEARCH("А",_xlpm.tk))+ISNUMBER(SEARCH("A",_xlpm.tk)))&gt;0)*NOT(ISNUMBER(SEARCH("МА",_xlpm.tk)))*NOT(ISNUMBER(SEARCH("MA",_xlpm.tk))),""),IFERROR(--SUBSTITUTE(SUBSTITUTE(INDEX(_xlpm.a_,1),"А",""),"A",""),"")))</f>
        <v/>
      </c>
      <c r="CU294" t="str" cm="1">
        <f t="array" ref="CU294">IF(CR294="","",_xlfn.LET(_xlpm.tk,_xlfn.TEXTSPLIT(UPPER(CR294)," ",,TRUE),_xlpm.a_,_xlfn._xlws.FILTER(_xlpm.tk,ISNUMBER(--LEFT(_xlpm.tk,1))*((ISNUMBER(SEARCH("МА",_xlpm.tk))+ISNUMBER(SEARCH("MA",_xlpm.tk)))&gt;0),""),IFERROR(--SUBSTITUTE(SUBSTITUTE(INDEX(_xlpm.a_,1),"МА",""),"MA",""),30)))</f>
        <v/>
      </c>
      <c r="CV294" t="str">
        <f>IF(CS294="","",IFERROR(_xlfn.XLOOKUP(CS294,Линии[_n],Линии[_УЗО, мА]),30))</f>
        <v/>
      </c>
      <c r="CW294">
        <f>IF(CS294="",0,IF(ISNUMBER(SEARCH("4P",IFERROR(_xlfn.XLOOKUP(CS294,Линии[_n],Линии[_УЗО строки])&amp;"",""))),0,1))</f>
        <v>0</v>
      </c>
      <c r="CX294" t="str">
        <f>IF(AND(CS294&lt;&gt;"",CS294=BA294),SUMIFS(Линии[_ток на 230 В],Линии[_блок УЗО],BA294,Линии[Щит],A294),"")</f>
        <v/>
      </c>
      <c r="CY294" t="str">
        <f>IF(AND(CS294&lt;&gt;"",CS294=BA294),SUMIFS(Линии[_ток утечки линии, мА],Линии[_блок УЗО],BA294,Линии[Щит],A294),"")</f>
        <v/>
      </c>
      <c r="CZ294">
        <f t="shared" si="582"/>
        <v>30</v>
      </c>
      <c r="DA294">
        <f t="shared" si="583"/>
        <v>30</v>
      </c>
      <c r="DB294">
        <f>IF(B294="",0,IFERROR(--_xlfn.XLOOKUP(B294,Коды_код,Коды_минавт),IFERROR(--_xlfn.XLOOKUP(BC294,Коды_код,Коды_минавт),IFERROR(--_xlfn.XLOOKUP(LEFT(BC294,2),Коды_код,Коды_минавт),0))))</f>
        <v>16</v>
      </c>
      <c r="DC294" t="str">
        <f>IF(B294="","",IFERROR(_xlfn.XLOOKUP(BC294,Коды_код,Коды_апп)&amp;"",""))</f>
        <v/>
      </c>
      <c r="DD294" t="str">
        <f t="shared" si="584"/>
        <v/>
      </c>
      <c r="DE294" t="str" cm="1">
        <f t="array" ref="DE294">IF(TRIM(DD294&amp;"")="","",IFERROR(TRIM(INDEX(_xlfn.TEXTSPLIT(DD294&amp;";;;",";"),1)),""))</f>
        <v/>
      </c>
      <c r="DF294" t="str" cm="1">
        <f t="array" ref="DF294">IF(TRIM(DD294&amp;"")="","",IFERROR(TRIM(INDEX(_xlfn.TEXTSPLIT(DD294&amp;";;;",";"),2)),""))</f>
        <v/>
      </c>
      <c r="DG294" t="str" cm="1">
        <f t="array" ref="DG294">IF(TRIM(DD294&amp;"")="","",IFERROR(TRIM(INDEX(_xlfn.TEXTSPLIT(DD294&amp;";;;",";"),3)),""))</f>
        <v/>
      </c>
      <c r="DH294">
        <f t="shared" si="585"/>
        <v>0</v>
      </c>
      <c r="DI294" t="str">
        <f>IF(B294="","",_xlfn.LET(_xlpm.t,LOWER(AZ294&amp;""),IF(ISNUMBER(SEARCH("dim",_xlpm.t)),"DIM",IF(ISNUMBER(SEARCH("dali",_xlpm.t)),"DALI",IF(OR(ISNUMBER(SEARCH("relay",_xlpm.t)),ISNUMBER(SEARCH("реле",_xlpm.t))),"Relay",IF(ISNUMBER(SEARCH("кнопк",_xlpm.t)),"",IFERROR(_xlfn.XLOOKUP(BC294,Коды_код,Коды_упр)&amp;"","")))))))</f>
        <v/>
      </c>
      <c r="DJ294" t="str">
        <f t="shared" si="586"/>
        <v/>
      </c>
      <c r="DK294">
        <f>IF(B294="","",_xlfn.LET(_xlpm.ig,IF(N(CX294)&gt;0,N(CX294),N(CI294)+IF(AJ294="вручную",0,N(CJ294))),_xlpm.n0,IFERROR(VLOOKUP(_xlpm.ig,Автомат_номиналы,2,TRUE),0),_xlpm.mn,MAX(DB294,IF(AJ294="вручную",0,N(CM294))),MAX(_xlpm.n0,_xlpm.mn,IF(DH294=1,Мин_автомат_БП,0))))</f>
        <v>16</v>
      </c>
      <c r="DL294">
        <f t="shared" si="587"/>
        <v>1</v>
      </c>
      <c r="DM294" t="str">
        <f t="shared" si="588"/>
        <v>2P</v>
      </c>
      <c r="DN294" t="str">
        <f>_xlfn.LET(_xlpm.cc,UPPER(TRIM(IFERROR(_xlfn.XLOOKUP(BC294,Коды_код,Коды_хар)&amp;"",""))),IF(OR(_xlpm.cc="B",_xlpm.cc="В"),"B",IF(_xlpm.cc="D","D","С")))</f>
        <v>С</v>
      </c>
      <c r="DO294" t="str">
        <f t="shared" si="589"/>
        <v>2P С16А 30мА</v>
      </c>
      <c r="DP294">
        <f t="shared" si="590"/>
        <v>16</v>
      </c>
      <c r="DQ294" t="str">
        <f t="shared" si="591"/>
        <v>2P С16А 30мА</v>
      </c>
      <c r="DR294" cm="1">
        <f t="array" ref="DR294">IF(DQ294="","",_xlfn.LET(_xlpm.t,SUBSTITUTE(SUBSTITUTE(SUBSTITUTE(UPPER(DQ294),"С","C"),"А","A"),"В","B"),_xlpm.tk,_xlfn.TEXTSPLIT(_xlpm.t," "),_xlpm.f,_xlfn._xlws.FILTER(_xlpm.tk,ISNUMBER(--MID(_xlpm.tk,2,1))*ISNUMBER(SEARCH(LEFT(_xlpm.tk,1)&amp;"#","B#C#D#"))*(LEN(_xlpm.tk)&gt;1),""),_xlpm.x,INDEX(_xlpm.f,1),IFERROR(--SUBSTITUTE(MID(_xlpm.x,2,9),"A",""),IFERROR(--SUBSTITUTE(INDEX(_xlfn._xlws.FILTER(_xlpm.tk,ISNUMBER(--SUBSTITUTE(_xlpm.tk,"A","")),""),1),"A",""),""))))</f>
        <v>16</v>
      </c>
      <c r="DS294" t="str">
        <f t="shared" si="592"/>
        <v>ok</v>
      </c>
      <c r="DT294">
        <f t="shared" si="593"/>
        <v>16</v>
      </c>
      <c r="DU294" t="str">
        <f t="shared" si="594"/>
        <v>2P С16А 30мА</v>
      </c>
      <c r="DV294">
        <f t="shared" si="595"/>
        <v>30</v>
      </c>
      <c r="DW294">
        <f t="shared" si="596"/>
        <v>1</v>
      </c>
      <c r="DX294">
        <f t="shared" si="597"/>
        <v>0</v>
      </c>
      <c r="DY294">
        <f t="shared" si="598"/>
        <v>2.4613353581241939</v>
      </c>
      <c r="DZ294">
        <f t="shared" si="599"/>
        <v>1</v>
      </c>
      <c r="EA294">
        <f>IF(ISNUMBER(AP294),AP294,К_прокл)</f>
        <v>1</v>
      </c>
      <c r="EB294">
        <f t="shared" si="600"/>
        <v>2</v>
      </c>
      <c r="EC294">
        <f>IFERROR(N(VLOOKUP(BZ294,Кабель_обозначение,3,FALSE)),1)</f>
        <v>1</v>
      </c>
      <c r="ED294">
        <f>IFERROR(N(_xlfn.XLOOKUP(A294,Щиты[Щит],Щиты[ΔU до шин, %])),0)</f>
        <v>1.79</v>
      </c>
      <c r="EE294" t="str">
        <f>IFERROR(_xlfn.XLOOKUP(A294,Щиты[Щит],Щиты[Zпетли на шинах, Ом]),"")</f>
        <v/>
      </c>
      <c r="EF294">
        <f>IFERROR(N(_xlfn.XLOOKUP(A294,Щиты[Щит],Щиты[ΔU до шин (подбор), %])),0)</f>
        <v>4.75</v>
      </c>
      <c r="EG294" t="str">
        <f>IFERROR(_xlfn.XLOOKUP(A294,Щиты[Щит],Щиты[Zпетли на шинах (подбор), Ом]),"")</f>
        <v/>
      </c>
      <c r="EH294" t="str">
        <f t="shared" si="601"/>
        <v/>
      </c>
      <c r="EI294">
        <f t="shared" si="602"/>
        <v>50</v>
      </c>
      <c r="EJ294">
        <f t="shared" si="603"/>
        <v>2</v>
      </c>
      <c r="EK294">
        <f t="shared" si="604"/>
        <v>0.31</v>
      </c>
      <c r="EL294" s="6">
        <f>IF(B294="","",IF(BV294=1,dU_LED,IF(IFERROR(_xlfn.XLOOKUP(BC294,Коды_код,Коды_уго),"")="Светильник",3,4)+IF(Методика="нормы 2026",MIN(0.5,MAX(0,N(P294)-100)*0.005),0)))</f>
        <v>4</v>
      </c>
      <c r="EM294" t="str" cm="1">
        <f t="array" ref="EM294">IF(OR(B294="",BZ294="",EC294&lt;&gt;1),"",_xlfn.LET(_xlpm.sz,Iдоп_S,_xlpm.t_,CHOOSE(EB294,Iдоп_1ж,Iдоп_2ж,Iдоп_3ж)*DZ294*EA294,_xlpm.dcx,BV294=1,_xlpm.inn,IF(_xlpm.dcx,N(O294),N(DT294)),_xlpm.smin,MAX(1.5,CC294),_xlpm.L_,N(P294)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294)/N(BU294)*100,999),IFERROR(N(EJ294)*(_xlpm.rho*_xlpm.L_/_xlpm.sz*N(CE294)+_xlpm.xx*_xlpm.L_*N(EK294)/1000)*N(O294)/((Uн_лин/SQRT(3))*1000)*100,999)),_xlpm.kz,IF(OR(_xlpm.dcx,DW294=1,NOT(ISNUMBER(EG294)),_xlpm.L_=0,_xlpm.inn=0),1,IFERROR(--(c_min*(Uн_лин*1000/SQRT(3))/(EG294+2*ρкз_Cu*_xlpm.L_/_xlpm.sz)&gt;=HT294*_xlpm.inn),0)),_xlpm.ok,IFERROR((_xlpm.sz&gt;=_xlpm.smin)*(_xlpm.t_&gt;=_xlpm.inn)*IF(_xlpm.L_&gt;0,(_xlpm.du_+IF(_xlpm.dcx,0,EF294)&lt;=EL294+0.00001),1)*_xlpm.kz,0),_xlpm.r_,_xlfn._xlws.FILTER(_xlpm.sz,_xlpm.ok,"не подобрано"),INDEX(_xlpm.r_,1)))</f>
        <v>не подобрано</v>
      </c>
      <c r="EN294">
        <f t="shared" si="605"/>
        <v>2.5</v>
      </c>
      <c r="EO294" cm="1">
        <f t="array" ref="EO294">IF(OR(B294="",BZ294="",EC294&lt;&gt;1),"",_xlfn.LET(_xlpm.sz,Iдоп_S,_xlpm.t_,CHOOSE(EB294,Iдоп_1ж,Iдоп_2ж,Iдоп_3ж)*DZ294*EA294,_xlpm.ok,IFERROR((_xlpm.sz&gt;=MAX(1.5,CC294))*(_xlpm.t_&gt;=N(DT294)),0),_xlpm.r_,_xlfn._xlws.FILTER(_xlpm.sz,_xlpm.ok,""),INDEX(_xlpm.r_,1)))</f>
        <v>1.5</v>
      </c>
      <c r="EP294" s="6" cm="1">
        <f t="array" ref="EP294">IFERROR(ROUNDUP(N(EJ294)*(_xlfn.XLOOKUP(EO294,INDEX(Кабель_сопротивление,0,1),INDEX(Кабель_сопротивление,0,3))*N(P294)/EO294*N(CE294)+_xlfn.XLOOKUP(EO294,INDEX(Кабель_сопротивление,0,1),INDEX(Кабель_сопротивление,0,2))*N(P294)*N(EK294)/1000)*N(O294)/((Uн_лин/SQRT(3))*1000)*100,2),"")</f>
        <v>1.98</v>
      </c>
      <c r="EQ294">
        <f>IFERROR(2*ρкз_Cu*N(P294)/EO294,"")</f>
        <v>2.2793333333333332</v>
      </c>
      <c r="ER294">
        <f>IFERROR(VLOOKUP(EN294,Кабель_сопротивление,3,FALSE),"")</f>
        <v>2.2499999999999999E-2</v>
      </c>
      <c r="ES294">
        <f>IFERROR(VLOOKUP(EN294,Кабель_сопротивление,2,FALSE),"")</f>
        <v>0.1</v>
      </c>
      <c r="ET294">
        <f t="shared" si="606"/>
        <v>17</v>
      </c>
      <c r="EU294">
        <f t="shared" si="607"/>
        <v>30</v>
      </c>
      <c r="EV294">
        <f t="shared" si="608"/>
        <v>2.7456934320482818</v>
      </c>
      <c r="EW294" s="6">
        <f>IFERROR(ROUNDUP(EV294/IF(BV294=1,BU294,(Uн_лин/SQRT(3))*1000)*100,2),"")</f>
        <v>1.19</v>
      </c>
      <c r="EX294" t="str">
        <f>IFERROR(VLOOKUP(BZ294,Кабель_обозначение,2,FALSE),"")</f>
        <v>ВВГнг(А)-LS</v>
      </c>
      <c r="EY294" t="str">
        <f t="shared" si="609"/>
        <v>ВВГнг(А)-LS (3х2,5)</v>
      </c>
      <c r="EZ294" t="str">
        <f t="shared" si="610"/>
        <v>ВВГнг(А)-LS (3х2,5)
L=65-1,19%</v>
      </c>
      <c r="FA294">
        <f>IFERROR(2*ρкз_Cu*P294/EN294,"")</f>
        <v>1.3675999999999999</v>
      </c>
      <c r="FB294">
        <f t="shared" si="611"/>
        <v>0.45500000000000007</v>
      </c>
      <c r="FC294" s="6" t="str">
        <f>IFERROR(IF(OR(B294="",BV294=1,NOT(ISNUMBER(EN294)),N(P294)=0),"",_xlfn.XLOOKUP(A294,Щиты[Щит],Щиты[Zпетли на шинах, Ом])+FA294),"")</f>
        <v/>
      </c>
      <c r="FD294" s="6" t="str">
        <f>IF(ISNUMBER(FC294),c_min*(Uн_лин*1000/SQRT(3))/FC294,"")</f>
        <v/>
      </c>
      <c r="FE294" s="6" t="str">
        <f>IFERROR(IF(OR(B294="",NOT(ISNUMBER(EN294))),"",1.05*(Uн_лин*1000/SQRT(3))/(_xlfn.XLOOKUP(A294,Щиты[Щит],Щиты[Zmax на шинах, Ом])+FB294)/1000),"")</f>
        <v/>
      </c>
      <c r="FF294" s="6" t="str">
        <f>IF(B294="","",IF(ISNUMBER(AC294),"Сил",IF(IFERROR(_xlfn.XLOOKUP(BC294,Коды_код,Коды_группа)&amp;"","")="","Быт",_xlfn.XLOOKUP(BC294,Коды_код,Коды_группа)&amp;"")))</f>
        <v>Быт</v>
      </c>
      <c r="FG294" s="6" t="str">
        <f t="shared" si="612"/>
        <v>Быт</v>
      </c>
      <c r="FH294" s="6">
        <f>IF(FG294="Щит","щит",IF(FG294="","",IF(FG294="Быт",IFERROR(_xlfn.XLOOKUP(A294,Щиты[Щит],Щиты[Кс быт]),1),IF(FG294="Сил",IF(ISNUMBER(AC294),AC294,IF(Методика="нормы 2026",IFERROR(_xlfn.XLOOKUP(A294,Щиты[Щит],Щиты[Кс силовых (табл. 7.5)]),1),1)),IF(OR(FG294="Пост",FG294="Отоп"),1,IF(FG294="ВНГ",0.7,0))))))</f>
        <v>0.8</v>
      </c>
      <c r="FI294">
        <f>IF(FG294="","",IF(AND(BP294=1,TRIM(AE294&amp;"")=""),IF(COUNTIFS(Линии[Щит],A294,Линии[Секция (1/2/3)],"&gt;=2")&gt;0,MIN(3,MAX(1,IFERROR(--BD294,1))),1),IFERROR(MIN(3,MAX(1,INT(--AE294))),1)))</f>
        <v>1</v>
      </c>
      <c r="FJ294">
        <f t="shared" si="613"/>
        <v>0.54</v>
      </c>
      <c r="FK294">
        <f t="shared" si="614"/>
        <v>0.54</v>
      </c>
      <c r="FL294">
        <f t="shared" si="615"/>
        <v>0</v>
      </c>
      <c r="FM294">
        <f t="shared" si="616"/>
        <v>0</v>
      </c>
      <c r="FN294">
        <f t="shared" si="617"/>
        <v>0</v>
      </c>
      <c r="FO294">
        <f t="shared" si="618"/>
        <v>0</v>
      </c>
      <c r="FP294">
        <f t="shared" si="619"/>
        <v>0.54</v>
      </c>
      <c r="FQ294">
        <f t="shared" si="620"/>
        <v>0.54</v>
      </c>
      <c r="FR294">
        <f t="shared" si="621"/>
        <v>0.51300000000000001</v>
      </c>
      <c r="FS294">
        <f>IF(CG294=1,IF(AND(CH294=1,CW294=1),0,IF(AND(CS294&lt;&gt;"",CS294=BA294,CW294=1),SUMIFS(Линии[_Р линии, кВт],Линии[_блок УЗО],BA294,Линии[Щит],A294),N(BS294)+IF(AJ294="вручную",0,N(CK294)))),0)</f>
        <v>0.54</v>
      </c>
      <c r="FT294" t="str">
        <f t="shared" si="622"/>
        <v>L3</v>
      </c>
      <c r="FU294" t="str">
        <f>IF(B294="","",IF(CG294=0,IF(BA294=1,"",FW293),IF(AND(CH294=1,CW294=1,CS294&lt;&gt;""),IFERROR(_xlfn.XLOOKUP(CS294,Линии[_n],Линии[_фаза итог]),"L1"),IF(OR(N(DL294)&gt;=3,N(BX294)&gt;=3),"L1,L2,L3",IFERROR(_xlfn.TEXTBEFORE(_xlfn.TEXTAFTER(_xlfn.XLOOKUP(A294,Щиты[Щит],Щиты[_фазы авто]),";"&amp;BA294&amp;":"),";"),"L1")))))</f>
        <v>L1</v>
      </c>
      <c r="FV294" t="str">
        <f t="shared" si="623"/>
        <v>L3</v>
      </c>
      <c r="FW294" t="str">
        <f t="shared" si="624"/>
        <v>L3</v>
      </c>
      <c r="FX294" cm="1">
        <f t="array" ref="FX294">IFERROR(IF(CD294=2,_xlfn.IFS(BX294=3,VLOOKUP(BS294,Справочная_двигатели,3,FALSE),BX294=1,VLOOKUP(BS294,Справочная_двигатели,5,TRUE)),0),0)</f>
        <v>0</v>
      </c>
      <c r="FY294">
        <f>IFERROR(IF(CD294=3,VLOOKUP(BS294,Справочная_ЛЭД,2,TRUE),0),0)</f>
        <v>0</v>
      </c>
      <c r="FZ294" s="6">
        <f t="shared" si="625"/>
        <v>0</v>
      </c>
      <c r="GA294" t="str">
        <f>IF(B294="","",IF(TRIM(AH294&amp;"")&lt;&gt;"",IF(LOWER(TRIM(AH294&amp;""))="да","да","нет"),IF(IFERROR(_xlfn.XLOOKUP(BC294,Коды_код,Коды_пожарная),"")="да","да","нет")))</f>
        <v>нет</v>
      </c>
      <c r="GB294" t="str">
        <f t="shared" si="626"/>
        <v/>
      </c>
      <c r="GC294" t="str">
        <f t="shared" si="627"/>
        <v>основная</v>
      </c>
      <c r="GD294">
        <f>IF(AND(BP294=1,TRIM(AE294&amp;"")=""),IF(COUNTIFS(Линии[Щит],A294,Линии[Секция (1/2/3)],"&gt;=2")&gt;0,MIN(3,MAX(1,IFERROR(--BD294,1))),1),IFERROR(MIN(3,MAX(1,INT(--AE294))),1))</f>
        <v>1</v>
      </c>
      <c r="GE294" t="str" cm="1">
        <f t="array" ref="GE294">IF(B294="","",_xlfn.LET(_xlpm.t,IFERROR(_xlfn.XLOOKUP(1,(Шины[Шина]=GC294)*(((Шины[Щит]=A294)+(Шины[Щит]=""))&gt;0),Шины[Тип]),"")&amp;"",IF(_xlpm.t&lt;&gt;"",_xlpm.t,IF(ISNUMBER(SEARCH("ИБП",GC294)),"ИБП",IF(ISNUMBER(SEARCH("ДГУ",GC294)),"ДГУ","Ввод "&amp;GD294)))))</f>
        <v>Ввод 1</v>
      </c>
      <c r="GF294" t="str">
        <f t="shared" si="628"/>
        <v>Ввод 1</v>
      </c>
      <c r="GG294" t="str">
        <f>IF(BP294=0,"",IF(TRIM(AG294&amp;"")&lt;&gt;"",TRIM(AG294&amp;""),IF(OR(GE294="ИБП",GE294="ДГУ"),"I особая",_xlfn.XLOOKUP(A294,Щиты[Щит],Щиты[Категория шины «Ввод»],"III"))))</f>
        <v/>
      </c>
      <c r="GH294" t="str">
        <f>IF(A294="","",_xlfn.XLOOKUP(A294,Щиты[Щит],Щиты[Путь],""))</f>
        <v>|ГРЩ-ЖД|ЩР-2|</v>
      </c>
      <c r="GI294" t="str">
        <f>IF(B294="","",IF(AI294&lt;&gt;"",AI294,IF(IFERROR(_xlfn.XLOOKUP(BC294,Коды_код,Коды_вид)&amp;"","")="","Прочее",_xlfn.XLOOKUP(BC294,Коды_код,Коды_вид)&amp;"")))</f>
        <v>Розеточная сеть и бытовые приборы</v>
      </c>
      <c r="GJ294">
        <f>IF(BM294="","",INT((BM294-1)/Столбцов_на_лист)+1)</f>
        <v>2</v>
      </c>
      <c r="GK294" t="str">
        <f t="shared" si="629"/>
        <v>ВВГнг(А)-LS (3х2,5) L=65-1,19%</v>
      </c>
      <c r="GL294">
        <f t="shared" si="630"/>
        <v>0.54</v>
      </c>
      <c r="GM294">
        <f t="shared" si="631"/>
        <v>2.4699999999999998</v>
      </c>
      <c r="GN294">
        <f t="shared" si="632"/>
        <v>1</v>
      </c>
      <c r="GO294">
        <f t="shared" si="633"/>
        <v>0</v>
      </c>
      <c r="GP294">
        <f t="shared" si="634"/>
        <v>1</v>
      </c>
      <c r="GQ294">
        <f>IF(BM294="","",IF(AND(CG294=1,GP294=1),COUNTIFS(A$3:A294,A294,CG$3:CG294,1,GP$3:GP294,1),IF(OR(OR(BA294=1,A294&lt;&gt;A293),AJ294="вручную",GP294=0),"",IF(BA294=1,"",GR293))))</f>
        <v>11</v>
      </c>
      <c r="GR294">
        <f t="shared" si="635"/>
        <v>11</v>
      </c>
      <c r="GS294">
        <f>IF(B294="","",IFERROR(LOOKUP(INDEX(CHOOSE(EB294,Iдоп_1ж,Iдоп_2ж,Iдоп_3ж),MATCH(EN294,Iдоп_S,0))*DZ294*EA294,{6,10,16,20,25,32,40,50,63,80,100,125,160,200,250,315,400,500,630}),""))</f>
        <v>25</v>
      </c>
      <c r="GT294" t="str">
        <f t="shared" si="636"/>
        <v>QFD11</v>
      </c>
      <c r="GU294" t="str">
        <f t="shared" si="637"/>
        <v>QFD11</v>
      </c>
      <c r="GV294" t="str">
        <f t="shared" si="638"/>
        <v/>
      </c>
      <c r="GW294">
        <f t="shared" si="639"/>
        <v>0</v>
      </c>
      <c r="GX294" t="str">
        <f>IF(OR(B294="",DJ294=""),"",IFERROR(_xlfn.XLOOKUP(DJ294,Модули_умолч[Управление],Модули_умолч[Модель])&amp;"",""))</f>
        <v/>
      </c>
      <c r="GY294">
        <f>IF(DJ294="",1,IFERROR(MAX(0,N(_xlfn.XLOOKUP(DJ294,Модули_умолч[Управление],Модули_умолч[Каналов на линию]))),1))</f>
        <v>1</v>
      </c>
      <c r="GZ294" t="str">
        <f t="shared" si="640"/>
        <v/>
      </c>
      <c r="HA294" t="str">
        <f t="shared" si="641"/>
        <v/>
      </c>
      <c r="HB294" t="str">
        <f t="shared" si="642"/>
        <v/>
      </c>
      <c r="HC294">
        <f>IF(HB294="",0,IFERROR(N(VLOOKUP(HB294,Модули_спр,3,FALSE)),0))</f>
        <v>0</v>
      </c>
      <c r="HD294" t="str">
        <f t="shared" si="643"/>
        <v/>
      </c>
      <c r="HE294" t="str">
        <f t="shared" si="644"/>
        <v/>
      </c>
      <c r="HF294" t="str">
        <f>IF(OR(HE294="",HE294="-"),"",IFERROR(VLOOKUP(HE294,Модули_спр,2,FALSE),"R"))</f>
        <v/>
      </c>
      <c r="HG294" t="str">
        <f>IF(HF294="","",HF294&amp;"."&amp;COUNTIFS(A$3:A294,A294,HF$3:HF294,HF294))</f>
        <v/>
      </c>
      <c r="HH294" t="str">
        <f t="shared" si="645"/>
        <v/>
      </c>
      <c r="HI294" t="str">
        <f t="shared" si="646"/>
        <v/>
      </c>
      <c r="HJ294" t="str">
        <f t="shared" si="647"/>
        <v/>
      </c>
      <c r="HK294" t="str">
        <f t="shared" si="648"/>
        <v/>
      </c>
      <c r="HL294">
        <f t="shared" si="649"/>
        <v>1</v>
      </c>
      <c r="HM294" t="str">
        <f>IF(HL294=1,"XT"&amp;COUNTIFS(A$3:A294,A294,HL$3:HL294,1),"")</f>
        <v>XT11</v>
      </c>
      <c r="HN294" t="str">
        <f t="shared" si="650"/>
        <v/>
      </c>
      <c r="HO294" t="str">
        <f t="shared" si="651"/>
        <v>QFD11</v>
      </c>
      <c r="HP294" t="str">
        <f t="shared" si="652"/>
        <v/>
      </c>
      <c r="HQ294" t="str">
        <f t="shared" si="653"/>
        <v>ok</v>
      </c>
      <c r="HR294" t="str">
        <f>IF(OR(HJ294="",HH294=""),"",IF(HJ294+MAX(0,GY294-1)&gt;IFERROR(VLOOKUP(HI294,Модули_спр,3,FALSE),99),"ЛИШНИЙ КАНАЛ",IF(AND(AL294&lt;&gt;"=",GY294&gt;0,COUNTIFS(Линии[_модуль гр.],HH294,Линии[Канал (итог)],HJ294,Линии[Канал],"&lt;&gt;=",Линии[Щит],A294)&gt;1),"ДУБЛЬ КАНАЛА","")))</f>
        <v/>
      </c>
      <c r="HS294" s="6" t="str">
        <f t="shared" si="654"/>
        <v/>
      </c>
      <c r="HT294">
        <f t="shared" si="655"/>
        <v>10</v>
      </c>
      <c r="HU294" t="str">
        <f t="shared" si="656"/>
        <v/>
      </c>
      <c r="HV294">
        <f t="shared" si="657"/>
        <v>1.6345341432496776</v>
      </c>
      <c r="HW294">
        <f t="shared" si="658"/>
        <v>0</v>
      </c>
      <c r="HX294">
        <f t="shared" si="659"/>
        <v>0</v>
      </c>
      <c r="HY294">
        <f t="shared" si="660"/>
        <v>0</v>
      </c>
      <c r="HZ294">
        <f t="shared" si="661"/>
        <v>0</v>
      </c>
      <c r="IA294">
        <f t="shared" si="662"/>
        <v>0</v>
      </c>
      <c r="IB294">
        <f t="shared" si="663"/>
        <v>0</v>
      </c>
      <c r="IC294" t="str">
        <f t="shared" si="664"/>
        <v/>
      </c>
      <c r="ID294" t="str" cm="1">
        <f t="array" ref="ID294">IF(IC294="","",_xlfn.LET(_xlpm.tk,_xlfn.TEXTSPLIT(SUBSTITUTE(SUBSTITUTE(IC294,";"," "),"→"," ")," ",,TRUE),_xlpm.w_,_xlfn._xlws.FILTER(_xlpm.tk,ISNUMBER(--LEFT(_xlpm.tk,1))*((ISNUMBER(SEARCH("W",_xlpm.tk))+ISNUMBER(SEARCH("Вт",_xlpm.tk)))&gt;0),""),IFERROR(--SUBSTITUTE(SUBSTITUTE(UPPER(INDEX(_xlpm.w_,1)),"W",""),"ВТ",""),"")))</f>
        <v/>
      </c>
      <c r="IE294" t="str" cm="1">
        <f t="array" ref="IE294">IF(IC294="","",_xlfn.LET(_xlpm.tk,_xlfn.TEXTSPLIT(SUBSTITUTE(SUBSTITUTE(IC294,";"," "),"→"," ")," ",,TRUE),_xlpm.v_,_xlfn._xlws.FILTER(_xlpm.tk,ISNUMBER(--LEFT(_xlpm.tk,1))*((ISNUMBER(SEARCH("V",_xlpm.tk))+(RIGHT(UPPER(_xlpm.tk))="В"))&gt;0),""),IFERROR(--SUBSTITUTE(SUBSTITUTE(UPPER(INDEX(_xlpm.v_,1)),"V",""),"В",""),"")))</f>
        <v/>
      </c>
      <c r="IF294" s="6" t="str">
        <f>IF(OR(BV294=0,HI294="",HJ294=""),"",IFERROR(N(_xlfn.XLOOKUP(HI294,Каталог!$C$4:$C$500,Каталог!$Q$4:$Q$500)),""))</f>
        <v/>
      </c>
      <c r="IG294" s="6" t="str">
        <f>IF(N(IF294)=0,"",SUMIFS(Линии[Iр, А],Линии[Щит],A294,Линии[_модуль гр.],HH294,Линии[Канал (итог)],HJ294))</f>
        <v/>
      </c>
      <c r="IH294" t="str">
        <f>IF(AND(B294="",HO294=""),"",_xlfn.TEXTJOIN("; ",TRUE,IF(AND(B294&lt;&gt;"",FV294=""),"нет фазы",""),IF(AND(B294&lt;&gt;"",N(GL294)=0,FG294&lt;&gt;"Нет"),"нет мощности",""),IF(AND(HN294&lt;&gt;"",COUNTIFS(Линии[Щит],A294,Линии[Клемма (итог)],HN294)&gt;1),"дубль клеммы "&amp;HN294,""),IF(AND(HQ294&lt;&gt;"",HQ294&lt;&gt;"ok"),HQ294,""),IF(HR294&lt;&gt;"",HR294,""),IF(AND(N(CB294)&gt;=4,N(BX294)=1),CB294&amp;" жил на 1 фазе",""),IF(AND(BC294="R",CG294=1,IF(CS294&lt;&gt;"",N(CV294)&gt;30,OR(N(DA294)=0,N(DA294)&gt;30))),"розетка без дифзащиты до 30 мА",""),IF(AND(CG294=1,N(DA294)&gt;0,ISNUMBER(T294)),IF(T294&gt;N(DA294)/3,"ток утечки "&amp;FIXED(T294,1)&amp;" мА &gt; 1/3 уставки ("&amp;DA294&amp;" мА)",""),""),IF(AND(CH294=1,CS294=""),"«узо»: нет строки с УЗО выше (УЗО 2P 40А 30мА в «Аппаратах»)",""),IF(AND(CS294&lt;&gt;"",CS294=BA294),IF(CT294="","впишите номинал УЗО (УЗО 2P 40А 30мА)",IF(N(CT294)&lt;N(DT294),"УЗО "&amp;CT294&amp;" А &lt; автомата "&amp;DT294&amp;" А перед ним",IF(N(CT294)&lt;N(CX294),"УЗО "&amp;CT294&amp;" А &lt; тока блока "&amp;FIXED(CX294,1)&amp;" А",""))),""),IF(AND(CS294&lt;&gt;"",CS294=BA294,ISNUMBER(CY294)),IF(CY294&gt;N(CV294)/3,"ток утечки блока УЗО "&amp;FIXED(CY294,1)&amp;" мА &gt; 1/3 уставки ("&amp;CV294&amp;" мА)",""),""),IF(AND(CG294=1,N(BV294)+N(IB294)&gt;0,IC294=""),"линии до 50 В без БП: впишите в «Аппараты» (БП 24V 480W)",""),IF(AND(CG294=1,ISNUMBER(ID294),ISNUMBER(U294)),IF(U294&gt;ID294,"БП "&amp;ID294&amp;" Вт &lt; нужно "&amp;U294&amp;" Вт (×"&amp;Запас_БП&amp;")",""),""),IF(AND(CG294=1,ISNUMBER(IE294),N(BV294)=1),IF(IE294&lt;&gt;N(BU294),"БП на "&amp;IE294&amp;" В, линия "&amp;BU294&amp;" В",""),""),IF(AND(N(IF294)&gt;0,N(IG294)&gt;N(IF294)),HH294&amp;" канал "&amp;HJ294&amp;": "&amp;FIXED(IG294,1)&amp;" А &gt; "&amp;IF294&amp;" А",""),IFERROR(IF(AND(ISNUMBER(Q294),Q294&gt;EL294),"потери "&amp;FIXED(Q294,1)&amp;" % &gt; "&amp;EL294&amp;" %",""),""),IFERROR(IF(LEFT(HU294,4)="мало","Iкз мало — отключение &gt; 0,4 с",""),""),IF(AND(B294&lt;&gt;"",BM294=""),"не на схеме",""),IF(AND(CG294=0,B294&lt;&gt;"",FV294&lt;&gt;"",IF(BA294=1,"",FW293)&lt;&gt;"",FV294&lt;&gt;IF(BA294=1,"",FW293)),"фаза не как у автомата группы ("&amp;IF(BA294=1,"",FW293)&amp;")","")))</f>
        <v/>
      </c>
      <c r="II294" s="6">
        <f>IF(OR(CG294=0,DQ294=""),"",_xlfn.LET(_xlpm.t,IFERROR(_xlfn.XLOOKUP(DQ294,Каталог!$U$4:$U$500,Каталог!$G$4:$G$500),""),_xlpm.k,SEARCH("кА",_xlpm.t),IFERROR(--TRIM(RIGHT(SUBSTITUTE(MID(_xlpm.t,MAX(1,_xlpm.k-4),_xlpm.k-MAX(1,_xlpm.k-4))," ",REPT(" ",9)),5)),"")))</f>
        <v>6</v>
      </c>
      <c r="IJ294" t="str">
        <f>IF(OR(II294="",CG294=0),"",IF(_xlfn.XLOOKUP(A294,Щиты[Щит],Щиты[Iкз max на шинах, кА],"")="","",IF(II294&lt;_xlfn.XLOOKUP(A294,Щиты[Щит],Щиты[Iкз max на шинах, кА]),"Icu "&amp;II294&amp;" кА &lt; Iкз max","ok")))</f>
        <v/>
      </c>
      <c r="IK294" t="str">
        <f t="shared" si="665"/>
        <v/>
      </c>
      <c r="IL294" t="str">
        <f t="shared" si="666"/>
        <v>QFD11</v>
      </c>
      <c r="IM294" t="str">
        <f t="shared" si="667"/>
        <v>QFD11|кабель ВВГнг(А)-LS (3х2,5) → Розеточная группа Второй этаж Пом. №013А, 012А</v>
      </c>
      <c r="IN294" t="str" cm="1">
        <f t="array" ref="IN294">IF(IM294="","",_xlfn.LET(_xlpm.nd,_xlfn.TEXTSPLIT(IM294,"|"),IF(COLUMNS(_xlpm.nd)&gt;1,A294&amp;"¦"&amp;INDEX(_xlpm.nd,1)&amp;"¦"&amp;INDEX(_xlpm.nd,2),"")))</f>
        <v>ЩР-2¦QFD11¦кабель ВВГнг(А)-LS (3х2,5) → Розеточная группа Второй этаж Пом. №013А, 012А</v>
      </c>
      <c r="IO294" t="str">
        <f t="shared" si="668"/>
        <v>R.2.014А.1¦Розеточная группа Второй этаж Пом. №013А, 012А</v>
      </c>
      <c r="IP294" t="str" cm="1">
        <f t="array" ref="IP294">IF(IM294="","",_xlfn.LET(_xlpm.nd,_xlfn.TEXTSPLIT(IM294,"|"),IF(COLUMNS(_xlpm.nd)&gt;2,A294&amp;"¦"&amp;INDEX(_xlpm.nd,2)&amp;"¦"&amp;INDEX(_xlpm.nd,3),"")))</f>
        <v/>
      </c>
      <c r="IQ294" t="str">
        <f t="shared" si="669"/>
        <v/>
      </c>
      <c r="IR294" t="str" cm="1">
        <f t="array" ref="IR294">IF(IM294="","",_xlfn.LET(_xlpm.nd,_xlfn.TEXTSPLIT(IM294,"|"),IF(COLUMNS(_xlpm.nd)&gt;3,A294&amp;"¦"&amp;INDEX(_xlpm.nd,3)&amp;"¦"&amp;INDEX(_xlpm.nd,4),"")))</f>
        <v/>
      </c>
      <c r="IS294" t="str">
        <f t="shared" si="670"/>
        <v/>
      </c>
      <c r="IT294" t="str" cm="1">
        <f t="array" ref="IT294">IF(IM294="","",_xlfn.LET(_xlpm.nd,_xlfn.TEXTSPLIT(IM294,"|"),IF(COLUMNS(_xlpm.nd)&gt;4,A294&amp;"¦"&amp;INDEX(_xlpm.nd,4)&amp;"¦"&amp;INDEX(_xlpm.nd,5),"")))</f>
        <v/>
      </c>
      <c r="IU294" t="str">
        <f t="shared" si="671"/>
        <v/>
      </c>
      <c r="IV294" t="str" cm="1">
        <f t="array" ref="IV294">IF(IM294="","",_xlfn.LET(_xlpm.nd,_xlfn.TEXTSPLIT(IM294,"|"),IF(COLUMNS(_xlpm.nd)&gt;5,A294&amp;"¦"&amp;INDEX(_xlpm.nd,5)&amp;"¦"&amp;INDEX(_xlpm.nd,6),"")))</f>
        <v/>
      </c>
      <c r="IW294" t="str">
        <f t="shared" si="672"/>
        <v/>
      </c>
      <c r="IX294" t="str" cm="1">
        <f t="array" ref="IX294">IF(IM294="","",_xlfn.LET(_xlpm.nd,_xlfn.TEXTSPLIT(IM294,"|"),IF(COLUMNS(_xlpm.nd)&gt;6,A294&amp;"¦"&amp;INDEX(_xlpm.nd,6)&amp;"¦"&amp;INDEX(_xlpm.nd,7),"")))</f>
        <v/>
      </c>
      <c r="IY294" t="str">
        <f t="shared" si="673"/>
        <v/>
      </c>
      <c r="IZ294" t="str">
        <f t="shared" si="674"/>
        <v/>
      </c>
      <c r="JA294" t="str">
        <f t="shared" si="675"/>
        <v>QFD11</v>
      </c>
      <c r="JB294">
        <f t="shared" si="676"/>
        <v>0</v>
      </c>
      <c r="JC294">
        <f t="shared" si="677"/>
        <v>1</v>
      </c>
      <c r="JD294" t="str">
        <f t="shared" si="678"/>
        <v/>
      </c>
      <c r="JE294" t="str">
        <f t="shared" si="679"/>
        <v/>
      </c>
      <c r="JF294" t="str">
        <f t="shared" si="680"/>
        <v/>
      </c>
      <c r="JG294" t="str">
        <f t="shared" si="681"/>
        <v/>
      </c>
      <c r="JH294" t="str">
        <f>IF(B294="","",IFERROR(_xlfn.XLOOKUP(B294,Коды_код,Коды_уго),IFERROR(_xlfn.XLOOKUP(BC294,Коды_код,Коды_уго),IFERROR(_xlfn.XLOOKUP(LEFT(BC294,2),Коды_код,Коды_уго),""))))</f>
        <v>Розетка</v>
      </c>
      <c r="JI294" t="str">
        <f>IF(B294="","",IF(OR(JH294="",JH294=0),"BOX",IFERROR(IF(VLOOKUP(JH294,УГО_блоки,3,FALSE)&amp;""&lt;&gt;"",VLOOKUP(JH294,УГО_блоки,3,FALSE),VLOOKUP(JH294,УГО_блоки,2,FALSE)),JH294)))</f>
        <v>SOCKET</v>
      </c>
      <c r="JJ294">
        <f t="shared" si="682"/>
        <v>1</v>
      </c>
      <c r="JK294" t="str">
        <f>IF(DQ294="","",IF(COUNTIF(DQ$3:DQ294,DQ294)=1,MAX(JK$2:JK293)+1,""))</f>
        <v/>
      </c>
      <c r="JL294" t="str">
        <f>IF(DE294="","",IF(COUNTIF(DE$3:DE294,DE294)+COUNTIF(DF$2:DF293,DE294)+COUNTIF(DG$2:DG293,DE294)=1,MAX(JL$2:JN293)+1,""))</f>
        <v/>
      </c>
      <c r="JM294" t="str">
        <f>IF(DF294="","",IF(COUNTIF(DE$3:DE294,DF294)+COUNTIF(DF$3:DF294,DF294)+COUNTIF(DG$2:DG293,DF294)=1,MAX(JL$2:JN293,JL294)+1,""))</f>
        <v/>
      </c>
      <c r="JN294" t="str">
        <f>IF(DG294="","",IF(COUNTIF(DE$3:DE294,DG294)+COUNTIF(DF$3:DF294,DG294)+COUNTIF(DG$3:DG294,DG294)=1,MAX(JL$2:JN293,JL294,JM294)+1,""))</f>
        <v/>
      </c>
      <c r="JO294" t="str">
        <f t="shared" si="683"/>
        <v>3х2,5</v>
      </c>
      <c r="JP294" t="str">
        <f>IF(JO294="","",IF(COUNTIF(JO$3:JO294,JO294)=1,MAX(JP$2:JP293)+1,""))</f>
        <v/>
      </c>
      <c r="JQ294" t="str">
        <f>IF(HG294="","",COUNTIF(HG$3:HG294,"?*"))</f>
        <v/>
      </c>
      <c r="JR294" t="str">
        <f>IF(OR(HG294="",HI294=""),"",IF(COUNTIFS(HG$3:HG294,"?*",HI$3:HI294,HI294)=1,MAX(JR$2:JR293)+1,""))</f>
        <v/>
      </c>
      <c r="JS294">
        <f t="shared" si="684"/>
        <v>0</v>
      </c>
      <c r="JT294">
        <f>IF(B294="","",COUNTIF(B$3:B294,"?*"))</f>
        <v>292</v>
      </c>
      <c r="JU294">
        <f>IF(HL294&lt;&gt;1,0,_xlfn.LET(_xlpm.k,MAX(IFERROR(--_xlfn.XLOOKUP(B294,Коды_код,Коды_3L),0),IFERROR(--_xlfn.XLOOKUP(BC294,Коды_код,Коды_3L),0),IFERROR(--_xlfn.XLOOKUP(LEFT(BC294,2),Коды_код,Коды_3L),0)),IF(_xlpm.k&gt;0,_xlpm.k,IF(IFERROR(--LEFT(SUBSTITUTE(JO294,"x","х"),FIND("х",SUBSTITUTE(JO294,"x","х"))-1),3)&gt;3,Каталог!$S$9,1))))</f>
        <v>1</v>
      </c>
      <c r="JV294">
        <f t="shared" si="685"/>
        <v>0</v>
      </c>
      <c r="JW294" t="str">
        <f t="shared" si="686"/>
        <v>авто</v>
      </c>
      <c r="JX294">
        <f t="shared" si="687"/>
        <v>30</v>
      </c>
      <c r="JY294">
        <f t="shared" si="688"/>
        <v>1</v>
      </c>
      <c r="JZ294">
        <f t="shared" si="689"/>
        <v>1</v>
      </c>
    </row>
    <row r="295" spans="1:286" x14ac:dyDescent="0.3">
      <c r="A295" t="s">
        <v>759</v>
      </c>
      <c r="B295" t="s">
        <v>1600</v>
      </c>
      <c r="C295" t="str">
        <f>Линии[[#This Row],[_авто наименование]]</f>
        <v>Розеточная группа, пом. 014А</v>
      </c>
      <c r="D295">
        <v>2</v>
      </c>
      <c r="E295">
        <v>0.18</v>
      </c>
      <c r="G295">
        <v>16</v>
      </c>
      <c r="H295" t="str">
        <f>Линии[[#This Row],[_авто управление]]</f>
        <v/>
      </c>
      <c r="I295" t="str">
        <f>Линии[[#This Row],[_авто аппараты]]</f>
        <v/>
      </c>
      <c r="J295">
        <v>2.5</v>
      </c>
      <c r="K295">
        <v>41</v>
      </c>
      <c r="L295">
        <v>2</v>
      </c>
      <c r="M295" t="s">
        <v>484</v>
      </c>
      <c r="N295" t="str">
        <f t="shared" si="552"/>
        <v/>
      </c>
      <c r="O295" s="6" cm="1">
        <f t="array" ref="O295">IF(B295="","",IF(BH295&lt;&gt;"",IFERROR(_xlfn.XLOOKUP(BH295,Щиты[Щит],Щиты[Iр, А]),""),IF(BP295=1,IF(OR(N(_xlfn.XLOOKUP(A295,Щиты[Щит],Щиты[Вводов],1))&lt;=1,LOWER(TRIM(_xlfn.XLOOKUP(A295,Щиты[Щит],Щиты[АВР],"")&amp;""))="да"),IFERROR(_xlfn.XLOOKUP(A295,Щиты[Щит],Щиты[Iр, А]),""),IFERROR(N(BS295)*_xlfn.XLOOKUP(A295,Щиты[Щит],Щиты[Кс итог])/(SQRT(3)*Uн_лин*_xlfn.XLOOKUP(A295,Щиты[Щит],Щиты[cos φ])),"")),IF(BV295=1,IFERROR(BS295*1000/BU295,""),IFERROR(_xlfn.IFS(BX295=1,BS295/((Uн_лин/SQRT(3))*CE295),BX295=3,BS295/(SQRT(3)*Uн_лин*CE295)),"")))))</f>
        <v>0.8204451193747313</v>
      </c>
      <c r="P295" s="7">
        <f>IF(B295="","",IFERROR(IF(VLOOKUP(BC295,Потребители_обозначение,4,FALSE)=1,VLOOKUP(BC295,Потребители_обозначение,3,FALSE)*(MAX(1,N(D295))*2-1)+EI295+VLOOKUP(BE295,Этаж_обозначение,3,FALSE)+VLOOKUP(BE295,Этаж_обозначение,4,FALSE),VLOOKUP(BC295,Потребители_обозначение,3,FALSE)*(MAX(1,N(D295))*2-1)+EI295),EI295))</f>
        <v>50</v>
      </c>
      <c r="Q295" s="6">
        <f t="shared" si="553"/>
        <v>2.1</v>
      </c>
      <c r="R295" t="str">
        <f t="shared" si="554"/>
        <v>ВВГнг(А)-LS (3х2,5)</v>
      </c>
      <c r="S295" t="str">
        <f>IF(BM295="","",IF(BN295="вводной узел","узел ","")&amp;"л."&amp;(INT((BM295-1)/Столбцов_на_лист)+1)&amp;" / "&amp;(MOD(BM295-1,Столбцов_на_лист)+1))</f>
        <v>л.2 / 5</v>
      </c>
      <c r="T295" s="119">
        <f t="shared" si="555"/>
        <v>0.8</v>
      </c>
      <c r="U295" s="7" t="str">
        <f>IF(OR(CG295=0,N(BV295)+N(IB295)=0),"",ROUNDUP(Запас_БП*(N(HY295)+N(HZ295)),0))</f>
        <v/>
      </c>
      <c r="V295" s="119" t="str">
        <f t="shared" si="556"/>
        <v/>
      </c>
      <c r="W295" s="7" t="str">
        <f>IFERROR(IF(OR(B295="",BP295=1,BV295=1,NOT(ISNUMBER(EN295)),N(DT295)=0),"",MAX(0,ROUNDDOWN((c_min*(Uн_лин*1000/SQRT(3))/(HT295*N(DT295))-_xlfn.XLOOKUP(A295,Щиты[Щит],Щиты[Zпетли на шинах, Ом]))*EN295/(2*ρкз_Cu),0))),"")</f>
        <v/>
      </c>
      <c r="Y295">
        <f>Линии[[#This Row],[_авто утечка]]</f>
        <v>30</v>
      </c>
      <c r="Z295">
        <v>1</v>
      </c>
      <c r="AA295">
        <v>230</v>
      </c>
      <c r="AB295" t="s">
        <v>562</v>
      </c>
      <c r="AG295" t="s">
        <v>810</v>
      </c>
      <c r="AI295" t="s">
        <v>561</v>
      </c>
      <c r="AK295" t="str">
        <f>Линии[[#This Row],[_авто модуль]]</f>
        <v/>
      </c>
      <c r="AM295">
        <v>22</v>
      </c>
      <c r="AN295" t="s">
        <v>11</v>
      </c>
      <c r="AO295">
        <v>3</v>
      </c>
      <c r="AQ295">
        <v>12</v>
      </c>
      <c r="AR295">
        <v>24</v>
      </c>
      <c r="AS295">
        <v>8</v>
      </c>
      <c r="AT295">
        <v>2</v>
      </c>
      <c r="BA295" cm="1">
        <f t="array" ref="BA295">ROW()-ROW(Линии[#Headers])</f>
        <v>293</v>
      </c>
      <c r="BC295" s="6" t="str">
        <f t="shared" si="557"/>
        <v>R</v>
      </c>
      <c r="BD295" t="str">
        <f t="shared" si="558"/>
        <v>2.014А.2</v>
      </c>
      <c r="BE295" t="str">
        <f t="shared" si="559"/>
        <v>2</v>
      </c>
      <c r="BF295" t="str">
        <f t="shared" si="560"/>
        <v>014А.2</v>
      </c>
      <c r="BG295" t="str">
        <f t="shared" si="561"/>
        <v>014А</v>
      </c>
      <c r="BH295" t="str">
        <f>IF(X295&lt;&gt;"",X295,IF(AND(B295&lt;&gt;"",B295&lt;&gt;A295,ISNUMBER(_xlfn.XMATCH(B295,Щиты[Щит]))),B295,""))</f>
        <v/>
      </c>
      <c r="BI295" t="str" cm="1">
        <f t="array" ref="BI295">IF(B295="","",IF(BH295&lt;&gt;"","Щит "&amp;BH295,_xlfn.LET(_xlpm.nm,IFERROR(_xlfn.XLOOKUP(BC295,Коды_код,Коды_имя)&amp;"",""),_xlpm.md,IFERROR(N(_xlfn.XLOOKUP(BC295,Коды_код,Коды_режим)),1),_xlpm.ex,IF(Имя_режим="по экспликации",IFERROR(_xlfn.XLOOKUP(BE295&amp;"|"&amp;BG295,Экспликация[Этаж]&amp;"|"&amp;Экспликация[Помещение],Экспликация[Название])&amp;"",""),""),_xlpm.rm,IF(BG295="","",IF(_xlpm.ex&lt;&gt;"",". "&amp;_xlpm.ex&amp;IF(Имя_пом="нет"," ("&amp;BG295&amp;")"," (пом. "&amp;BG295&amp;")"),IF(Имя_пом="нет"," ",", пом. ")&amp;BG295)),IF(_xlpm.nm="","",IF(_xlpm.md=2,_xlpm.nm&amp;" шлейф "&amp;BE295,_xlpm.nm&amp;_xlpm.rm)))))</f>
        <v>Розеточная группа, пом. 014А</v>
      </c>
      <c r="BJ295" t="str">
        <f t="shared" si="562"/>
        <v>Розеточная группа, пом. 014А</v>
      </c>
      <c r="BK295">
        <f>IFERROR(_xlfn.XMATCH(A295,Щиты[Щит]),0)</f>
        <v>11</v>
      </c>
      <c r="BL295">
        <f>_xlfn.LET(_xlpm.k,IFERROR(_xlfn.XLOOKUP(A295,Щиты[Щит],Щиты[Мест под вводной узел]),""),IF(_xlpm.k="",Столбцов_на_лист,N(_xlpm.k)))</f>
        <v>8</v>
      </c>
      <c r="BM295">
        <f t="shared" si="563"/>
        <v>22</v>
      </c>
      <c r="BN295" t="str">
        <f t="shared" si="564"/>
        <v>линии</v>
      </c>
      <c r="BO295" s="6">
        <f>IFERROR(N(_xlfn.XLOOKUP(BC295,Коды_код,Коды_квт)),0)</f>
        <v>0</v>
      </c>
      <c r="BP295">
        <f t="shared" si="565"/>
        <v>0</v>
      </c>
      <c r="BQ295" t="str">
        <f>IF(B295="","",IF(BH295&lt;&gt;"",IFERROR(_xlfn.XLOOKUP(BH295,Щиты[Щит],Щиты[Руст, кВт]),0),IF(BP295=1,IF(OR(N(_xlfn.XLOOKUP(A295,Щиты[Щит],Щиты[Вводов],1))&lt;=1,LOWER(TRIM(_xlfn.XLOOKUP(A295,Щиты[Щит],Щиты[АВР],"")&amp;""))="да"),IFERROR(_xlfn.XLOOKUP(A295,Щиты[Щит],Щиты[Руст, кВт]),0),SUMIFS(Линии[_Р для вводов],Линии[Щит],A295,Линии[Источник для режимов],GF295)),IF(BO295&gt;0,ROUND(BO295*MAX(1,N(D295)),3),""))))</f>
        <v/>
      </c>
      <c r="BR295">
        <f t="shared" si="566"/>
        <v>0.18</v>
      </c>
      <c r="BS295" s="6">
        <f>IF(B295="","",IF(BH295&lt;&gt;"",IFERROR(_xlfn.XLOOKUP(BH295,Щиты[Щит],Щиты[Руст, кВт]),0),N(BR295)))</f>
        <v>0.18</v>
      </c>
      <c r="BT295" t="str">
        <f>IF(B295="","",IFERROR(IF(VLOOKUP(BC295,Потребители_обозначение,8,FALSE)=0,"",VLOOKUP(BC295,Потребители_обозначение,8,FALSE)),""))</f>
        <v/>
      </c>
      <c r="BU295">
        <f t="shared" si="567"/>
        <v>230</v>
      </c>
      <c r="BV295">
        <f t="shared" si="568"/>
        <v>0</v>
      </c>
      <c r="BW295">
        <f>IF(B295="","",IF(BH295&lt;&gt;"",3,IFERROR(IF(N(VLOOKUP(BC295,Потребители_обозначение,9,FALSE))=0,1,VLOOKUP(BC295,Потребители_обозначение,9,FALSE)),1)))</f>
        <v>1</v>
      </c>
      <c r="BX295">
        <f t="shared" si="569"/>
        <v>1</v>
      </c>
      <c r="BY295" t="str">
        <f>IF(B295="","",_xlfn.LET(_xlpm.bc,IFERROR(IF(VLOOKUP(BC295,Потребители_обозначение,6,FALSE)=0,"",VLOOKUP(BC295,Потребители_обозначение,6,FALSE)&amp;""),""),IF(AND(GA295="да",OR(_xlpm.bc="",_xlpm.bc="мс")),Марка_пож,IF(AND(_xlpm.bc="",BH295&lt;&gt;""),"мс",_xlpm.bc))))</f>
        <v/>
      </c>
      <c r="BZ295" t="str">
        <f t="shared" si="570"/>
        <v>мс</v>
      </c>
      <c r="CA295">
        <f>IF(B295="","",_xlfn.LET(_xlpm.cc,IFERROR(N(VLOOKUP(BC295,Потребители_обозначение,7,FALSE)),0),IF(_xlpm.cc&gt;0,_xlpm.cc,IF(BZ295="","",IF(BV295=1,2,IF(N(BX295)=3,5,3))))))</f>
        <v>3</v>
      </c>
      <c r="CB295">
        <f t="shared" si="571"/>
        <v>3</v>
      </c>
      <c r="CC295">
        <f>IFERROR(N(VLOOKUP(BC295,Потребители_обозначение,10,FALSE)),0)</f>
        <v>0</v>
      </c>
      <c r="CD295">
        <f>IFERROR(VLOOKUP(BC295,Потребители_обозначение,5,FALSE),0)</f>
        <v>1</v>
      </c>
      <c r="CE295" s="6" cm="1">
        <f t="array" ref="CE295">IF(B295="","",IF(BH295&lt;&gt;"",IFERROR(_xlfn.XLOOKUP(BH295,Щиты[Щит],Щиты[cos φ]),0.95),IF(BP295=1,IFERROR(_xlfn.XLOOKUP(A295,Щиты[Щит],Щиты[cos φ]),0.95),IF(ISNUMBER(AD295),AD295,IFERROR(IF(CD295=2,_xlfn.IFS(BX295=3,VLOOKUP(BS295,Справочная_двигатели,8,FALSE),BX295=1,VLOOKUP(BS295,Справочная_двигатели,10,TRUE)),IF(AND(Методика="нормы 2026",FG295="Сил"),0.8,0.95)),0.95)))))</f>
        <v>0.95</v>
      </c>
      <c r="CF295">
        <f t="shared" si="572"/>
        <v>0</v>
      </c>
      <c r="CG295">
        <f t="shared" si="573"/>
        <v>1</v>
      </c>
      <c r="CH295">
        <f t="shared" si="574"/>
        <v>0</v>
      </c>
      <c r="CI295">
        <f>IF(B295="","",IF(BV295=1,IFERROR(BS295/((Uн_лин/SQRT(3))*MAX(0.5,N(CE295))),0),N(O295)))</f>
        <v>0.8204451193747313</v>
      </c>
      <c r="CJ295">
        <f t="shared" si="575"/>
        <v>0</v>
      </c>
      <c r="CK295">
        <f t="shared" si="576"/>
        <v>0</v>
      </c>
      <c r="CL295">
        <f t="shared" si="577"/>
        <v>0</v>
      </c>
      <c r="CM295">
        <f t="shared" si="578"/>
        <v>0</v>
      </c>
      <c r="CN295">
        <f t="shared" si="579"/>
        <v>0</v>
      </c>
      <c r="CO295">
        <f>IF(BC295="",0,_xlfn.LET(_xlpm.v,IFERROR(_xlfn.XLOOKUP(B295,Коды_код,Коды_мА),IFERROR(_xlfn.XLOOKUP(BC295,Коды_код,Коды_мА),IFERROR(_xlfn.XLOOKUP(LEFT(BC295,2),Коды_код,Коды_мА),""))),IF(_xlpm.v="да",30,IF(ISNUMBER(_xlpm.v),_xlpm.v,0))))</f>
        <v>30</v>
      </c>
      <c r="CP295">
        <f t="shared" si="580"/>
        <v>30</v>
      </c>
      <c r="CQ295" t="str">
        <f>_xlfn.LET(_xlpm.k,IFERROR(_xlfn.XLOOKUP(BC295,Коды_код,Коды_утечка)&amp;"",""),IF(_xlpm.k="","дифавтомат",_xlpm.k))</f>
        <v>дифавтомат</v>
      </c>
      <c r="CR295" t="str" cm="1">
        <f t="array" ref="CR295">IF(CG295=0,"",_xlfn.LET(_xlpm.sg,TRIM(_xlfn.TEXTSPLIT(DD295&amp;"",";")),_xlpm.f_,_xlfn._xlws.FILTER(_xlpm.sg,LEFT(_xlpm.sg,3)="УЗО",""),IFERROR(INDEX(_xlpm.f_,1)&amp;"","")))</f>
        <v/>
      </c>
      <c r="CS295" t="str">
        <f t="shared" si="581"/>
        <v/>
      </c>
      <c r="CT295" s="6" t="str" cm="1">
        <f t="array" ref="CT295">IF(CR295="","",_xlfn.LET(_xlpm.tk,_xlfn.TEXTSPLIT(UPPER(CR295)," ",,TRUE),_xlpm.a_,_xlfn._xlws.FILTER(_xlpm.tk,ISNUMBER(--LEFT(_xlpm.tk,1))*((ISNUMBER(SEARCH("А",_xlpm.tk))+ISNUMBER(SEARCH("A",_xlpm.tk)))&gt;0)*NOT(ISNUMBER(SEARCH("МА",_xlpm.tk)))*NOT(ISNUMBER(SEARCH("MA",_xlpm.tk))),""),IFERROR(--SUBSTITUTE(SUBSTITUTE(INDEX(_xlpm.a_,1),"А",""),"A",""),"")))</f>
        <v/>
      </c>
      <c r="CU295" t="str" cm="1">
        <f t="array" ref="CU295">IF(CR295="","",_xlfn.LET(_xlpm.tk,_xlfn.TEXTSPLIT(UPPER(CR295)," ",,TRUE),_xlpm.a_,_xlfn._xlws.FILTER(_xlpm.tk,ISNUMBER(--LEFT(_xlpm.tk,1))*((ISNUMBER(SEARCH("МА",_xlpm.tk))+ISNUMBER(SEARCH("MA",_xlpm.tk)))&gt;0),""),IFERROR(--SUBSTITUTE(SUBSTITUTE(INDEX(_xlpm.a_,1),"МА",""),"MA",""),30)))</f>
        <v/>
      </c>
      <c r="CV295" t="str">
        <f>IF(CS295="","",IFERROR(_xlfn.XLOOKUP(CS295,Линии[_n],Линии[_УЗО, мА]),30))</f>
        <v/>
      </c>
      <c r="CW295">
        <f>IF(CS295="",0,IF(ISNUMBER(SEARCH("4P",IFERROR(_xlfn.XLOOKUP(CS295,Линии[_n],Линии[_УЗО строки])&amp;"",""))),0,1))</f>
        <v>0</v>
      </c>
      <c r="CX295" t="str">
        <f>IF(AND(CS295&lt;&gt;"",CS295=BA295),SUMIFS(Линии[_ток на 230 В],Линии[_блок УЗО],BA295,Линии[Щит],A295),"")</f>
        <v/>
      </c>
      <c r="CY295" t="str">
        <f>IF(AND(CS295&lt;&gt;"",CS295=BA295),SUMIFS(Линии[_ток утечки линии, мА],Линии[_блок УЗО],BA295,Линии[Щит],A295),"")</f>
        <v/>
      </c>
      <c r="CZ295">
        <f t="shared" si="582"/>
        <v>30</v>
      </c>
      <c r="DA295">
        <f t="shared" si="583"/>
        <v>30</v>
      </c>
      <c r="DB295">
        <f>IF(B295="",0,IFERROR(--_xlfn.XLOOKUP(B295,Коды_код,Коды_минавт),IFERROR(--_xlfn.XLOOKUP(BC295,Коды_код,Коды_минавт),IFERROR(--_xlfn.XLOOKUP(LEFT(BC295,2),Коды_код,Коды_минавт),0))))</f>
        <v>16</v>
      </c>
      <c r="DC295" t="str">
        <f>IF(B295="","",IFERROR(_xlfn.XLOOKUP(BC295,Коды_код,Коды_апп)&amp;"",""))</f>
        <v/>
      </c>
      <c r="DD295" t="str">
        <f t="shared" si="584"/>
        <v/>
      </c>
      <c r="DE295" t="str" cm="1">
        <f t="array" ref="DE295">IF(TRIM(DD295&amp;"")="","",IFERROR(TRIM(INDEX(_xlfn.TEXTSPLIT(DD295&amp;";;;",";"),1)),""))</f>
        <v/>
      </c>
      <c r="DF295" t="str" cm="1">
        <f t="array" ref="DF295">IF(TRIM(DD295&amp;"")="","",IFERROR(TRIM(INDEX(_xlfn.TEXTSPLIT(DD295&amp;";;;",";"),2)),""))</f>
        <v/>
      </c>
      <c r="DG295" t="str" cm="1">
        <f t="array" ref="DG295">IF(TRIM(DD295&amp;"")="","",IFERROR(TRIM(INDEX(_xlfn.TEXTSPLIT(DD295&amp;";;;",";"),3)),""))</f>
        <v/>
      </c>
      <c r="DH295">
        <f t="shared" si="585"/>
        <v>0</v>
      </c>
      <c r="DI295" t="str">
        <f>IF(B295="","",_xlfn.LET(_xlpm.t,LOWER(AZ295&amp;""),IF(ISNUMBER(SEARCH("dim",_xlpm.t)),"DIM",IF(ISNUMBER(SEARCH("dali",_xlpm.t)),"DALI",IF(OR(ISNUMBER(SEARCH("relay",_xlpm.t)),ISNUMBER(SEARCH("реле",_xlpm.t))),"Relay",IF(ISNUMBER(SEARCH("кнопк",_xlpm.t)),"",IFERROR(_xlfn.XLOOKUP(BC295,Коды_код,Коды_упр)&amp;"","")))))))</f>
        <v/>
      </c>
      <c r="DJ295" t="str">
        <f t="shared" si="586"/>
        <v/>
      </c>
      <c r="DK295">
        <f>IF(B295="","",_xlfn.LET(_xlpm.ig,IF(N(CX295)&gt;0,N(CX295),N(CI295)+IF(AJ295="вручную",0,N(CJ295))),_xlpm.n0,IFERROR(VLOOKUP(_xlpm.ig,Автомат_номиналы,2,TRUE),0),_xlpm.mn,MAX(DB295,IF(AJ295="вручную",0,N(CM295))),MAX(_xlpm.n0,_xlpm.mn,IF(DH295=1,Мин_автомат_БП,0))))</f>
        <v>16</v>
      </c>
      <c r="DL295">
        <f t="shared" si="587"/>
        <v>1</v>
      </c>
      <c r="DM295" t="str">
        <f t="shared" si="588"/>
        <v>2P</v>
      </c>
      <c r="DN295" t="str">
        <f>_xlfn.LET(_xlpm.cc,UPPER(TRIM(IFERROR(_xlfn.XLOOKUP(BC295,Коды_код,Коды_хар)&amp;"",""))),IF(OR(_xlpm.cc="B",_xlpm.cc="В"),"B",IF(_xlpm.cc="D","D","С")))</f>
        <v>С</v>
      </c>
      <c r="DO295" t="str">
        <f t="shared" si="589"/>
        <v>2P С16А 30мА</v>
      </c>
      <c r="DP295">
        <f t="shared" si="590"/>
        <v>16</v>
      </c>
      <c r="DQ295" t="str">
        <f t="shared" si="591"/>
        <v>2P С16А 30мА</v>
      </c>
      <c r="DR295" cm="1">
        <f t="array" ref="DR295">IF(DQ295="","",_xlfn.LET(_xlpm.t,SUBSTITUTE(SUBSTITUTE(SUBSTITUTE(UPPER(DQ295),"С","C"),"А","A"),"В","B"),_xlpm.tk,_xlfn.TEXTSPLIT(_xlpm.t," "),_xlpm.f,_xlfn._xlws.FILTER(_xlpm.tk,ISNUMBER(--MID(_xlpm.tk,2,1))*ISNUMBER(SEARCH(LEFT(_xlpm.tk,1)&amp;"#","B#C#D#"))*(LEN(_xlpm.tk)&gt;1),""),_xlpm.x,INDEX(_xlpm.f,1),IFERROR(--SUBSTITUTE(MID(_xlpm.x,2,9),"A",""),IFERROR(--SUBSTITUTE(INDEX(_xlfn._xlws.FILTER(_xlpm.tk,ISNUMBER(--SUBSTITUTE(_xlpm.tk,"A","")),""),1),"A",""),""))))</f>
        <v>16</v>
      </c>
      <c r="DS295" t="str">
        <f t="shared" si="592"/>
        <v>ok</v>
      </c>
      <c r="DT295">
        <f t="shared" si="593"/>
        <v>16</v>
      </c>
      <c r="DU295" t="str">
        <f t="shared" si="594"/>
        <v>2P С16А 30мА</v>
      </c>
      <c r="DV295">
        <f t="shared" si="595"/>
        <v>30</v>
      </c>
      <c r="DW295">
        <f t="shared" si="596"/>
        <v>1</v>
      </c>
      <c r="DX295">
        <f t="shared" si="597"/>
        <v>0</v>
      </c>
      <c r="DY295">
        <f t="shared" si="598"/>
        <v>0.8204451193747313</v>
      </c>
      <c r="DZ295">
        <f t="shared" si="599"/>
        <v>1</v>
      </c>
      <c r="EA295">
        <f>IF(ISNUMBER(AP295),AP295,К_прокл)</f>
        <v>1</v>
      </c>
      <c r="EB295">
        <f t="shared" si="600"/>
        <v>2</v>
      </c>
      <c r="EC295">
        <f>IFERROR(N(VLOOKUP(BZ295,Кабель_обозначение,3,FALSE)),1)</f>
        <v>1</v>
      </c>
      <c r="ED295">
        <f>IFERROR(N(_xlfn.XLOOKUP(A295,Щиты[Щит],Щиты[ΔU до шин, %])),0)</f>
        <v>1.79</v>
      </c>
      <c r="EE295" t="str">
        <f>IFERROR(_xlfn.XLOOKUP(A295,Щиты[Щит],Щиты[Zпетли на шинах, Ом]),"")</f>
        <v/>
      </c>
      <c r="EF295">
        <f>IFERROR(N(_xlfn.XLOOKUP(A295,Щиты[Щит],Щиты[ΔU до шин (подбор), %])),0)</f>
        <v>4.75</v>
      </c>
      <c r="EG295" t="str">
        <f>IFERROR(_xlfn.XLOOKUP(A295,Щиты[Щит],Щиты[Zпетли на шинах (подбор), Ом]),"")</f>
        <v/>
      </c>
      <c r="EH295" t="str">
        <f t="shared" si="601"/>
        <v/>
      </c>
      <c r="EI295">
        <f t="shared" si="602"/>
        <v>41</v>
      </c>
      <c r="EJ295">
        <f t="shared" si="603"/>
        <v>2</v>
      </c>
      <c r="EK295">
        <f t="shared" si="604"/>
        <v>0.31</v>
      </c>
      <c r="EL295" s="6">
        <f>IF(B295="","",IF(BV295=1,dU_LED,IF(IFERROR(_xlfn.XLOOKUP(BC295,Коды_код,Коды_уго),"")="Светильник",3,4)+IF(Методика="нормы 2026",MIN(0.5,MAX(0,N(P295)-100)*0.005),0)))</f>
        <v>4</v>
      </c>
      <c r="EM295" t="str" cm="1">
        <f t="array" ref="EM295">IF(OR(B295="",BZ295="",EC295&lt;&gt;1),"",_xlfn.LET(_xlpm.sz,Iдоп_S,_xlpm.t_,CHOOSE(EB295,Iдоп_1ж,Iдоп_2ж,Iдоп_3ж)*DZ295*EA295,_xlpm.dcx,BV295=1,_xlpm.inn,IF(_xlpm.dcx,N(O295),N(DT295)),_xlpm.smin,MAX(1.5,CC295),_xlpm.L_,N(P295)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295)/N(BU295)*100,999),IFERROR(N(EJ295)*(_xlpm.rho*_xlpm.L_/_xlpm.sz*N(CE295)+_xlpm.xx*_xlpm.L_*N(EK295)/1000)*N(O295)/((Uн_лин/SQRT(3))*1000)*100,999)),_xlpm.kz,IF(OR(_xlpm.dcx,DW295=1,NOT(ISNUMBER(EG295)),_xlpm.L_=0,_xlpm.inn=0),1,IFERROR(--(c_min*(Uн_лин*1000/SQRT(3))/(EG295+2*ρкз_Cu*_xlpm.L_/_xlpm.sz)&gt;=HT295*_xlpm.inn),0)),_xlpm.ok,IFERROR((_xlpm.sz&gt;=_xlpm.smin)*(_xlpm.t_&gt;=_xlpm.inn)*IF(_xlpm.L_&gt;0,(_xlpm.du_+IF(_xlpm.dcx,0,EF295)&lt;=EL295+0.00001),1)*_xlpm.kz,0),_xlpm.r_,_xlfn._xlws.FILTER(_xlpm.sz,_xlpm.ok,"не подобрано"),INDEX(_xlpm.r_,1)))</f>
        <v>не подобрано</v>
      </c>
      <c r="EN295">
        <f t="shared" si="605"/>
        <v>2.5</v>
      </c>
      <c r="EO295" cm="1">
        <f t="array" ref="EO295">IF(OR(B295="",BZ295="",EC295&lt;&gt;1),"",_xlfn.LET(_xlpm.sz,Iдоп_S,_xlpm.t_,CHOOSE(EB295,Iдоп_1ж,Iдоп_2ж,Iдоп_3ж)*DZ295*EA295,_xlpm.ok,IFERROR((_xlpm.sz&gt;=MAX(1.5,CC295))*(_xlpm.t_&gt;=N(DT295)),0),_xlpm.r_,_xlfn._xlws.FILTER(_xlpm.sz,_xlpm.ok,""),INDEX(_xlpm.r_,1)))</f>
        <v>1.5</v>
      </c>
      <c r="EP295" s="6" cm="1">
        <f t="array" ref="EP295">IFERROR(ROUNDUP(N(EJ295)*(_xlfn.XLOOKUP(EO295,INDEX(Кабель_сопротивление,0,1),INDEX(Кабель_сопротивление,0,3))*N(P295)/EO295*N(CE295)+_xlfn.XLOOKUP(EO295,INDEX(Кабель_сопротивление,0,1),INDEX(Кабель_сопротивление,0,2))*N(P295)*N(EK295)/1000)*N(O295)/((Uн_лин/SQRT(3))*1000)*100,2),"")</f>
        <v>0.51</v>
      </c>
      <c r="EQ295">
        <f>IFERROR(2*ρкз_Cu*N(P295)/EO295,"")</f>
        <v>1.7533333333333332</v>
      </c>
      <c r="ER295">
        <f>IFERROR(VLOOKUP(EN295,Кабель_сопротивление,3,FALSE),"")</f>
        <v>2.2499999999999999E-2</v>
      </c>
      <c r="ES295">
        <f>IFERROR(VLOOKUP(EN295,Кабель_сопротивление,2,FALSE),"")</f>
        <v>0.1</v>
      </c>
      <c r="ET295">
        <f t="shared" si="606"/>
        <v>24</v>
      </c>
      <c r="EU295">
        <f t="shared" si="607"/>
        <v>8</v>
      </c>
      <c r="EV295">
        <f t="shared" si="608"/>
        <v>0.70402395693545694</v>
      </c>
      <c r="EW295" s="6">
        <f>IFERROR(ROUNDUP(EV295/IF(BV295=1,BU295,(Uн_лин/SQRT(3))*1000)*100,2),"")</f>
        <v>0.31</v>
      </c>
      <c r="EX295" t="str">
        <f>IFERROR(VLOOKUP(BZ295,Кабель_обозначение,2,FALSE),"")</f>
        <v>ВВГнг(А)-LS</v>
      </c>
      <c r="EY295" t="str">
        <f t="shared" si="609"/>
        <v>ВВГнг(А)-LS (3х2,5)</v>
      </c>
      <c r="EZ295" t="str">
        <f t="shared" si="610"/>
        <v>ВВГнг(А)-LS (3х2,5)
L=50-0,31%</v>
      </c>
      <c r="FA295">
        <f>IFERROR(2*ρкз_Cu*P295/EN295,"")</f>
        <v>1.052</v>
      </c>
      <c r="FB295">
        <f t="shared" si="611"/>
        <v>0.35000000000000003</v>
      </c>
      <c r="FC295" s="6" t="str">
        <f>IFERROR(IF(OR(B295="",BV295=1,NOT(ISNUMBER(EN295)),N(P295)=0),"",_xlfn.XLOOKUP(A295,Щиты[Щит],Щиты[Zпетли на шинах, Ом])+FA295),"")</f>
        <v/>
      </c>
      <c r="FD295" s="6" t="str">
        <f>IF(ISNUMBER(FC295),c_min*(Uн_лин*1000/SQRT(3))/FC295,"")</f>
        <v/>
      </c>
      <c r="FE295" s="6" t="str">
        <f>IFERROR(IF(OR(B295="",NOT(ISNUMBER(EN295))),"",1.05*(Uн_лин*1000/SQRT(3))/(_xlfn.XLOOKUP(A295,Щиты[Щит],Щиты[Zmax на шинах, Ом])+FB295)/1000),"")</f>
        <v/>
      </c>
      <c r="FF295" s="6" t="str">
        <f>IF(B295="","",IF(ISNUMBER(AC295),"Сил",IF(IFERROR(_xlfn.XLOOKUP(BC295,Коды_код,Коды_группа)&amp;"","")="","Быт",_xlfn.XLOOKUP(BC295,Коды_код,Коды_группа)&amp;"")))</f>
        <v>Быт</v>
      </c>
      <c r="FG295" s="6" t="str">
        <f t="shared" si="612"/>
        <v>Быт</v>
      </c>
      <c r="FH295" s="6">
        <f>IF(FG295="Щит","щит",IF(FG295="","",IF(FG295="Быт",IFERROR(_xlfn.XLOOKUP(A295,Щиты[Щит],Щиты[Кс быт]),1),IF(FG295="Сил",IF(ISNUMBER(AC295),AC295,IF(Методика="нормы 2026",IFERROR(_xlfn.XLOOKUP(A295,Щиты[Щит],Щиты[Кс силовых (табл. 7.5)]),1),1)),IF(OR(FG295="Пост",FG295="Отоп"),1,IF(FG295="ВНГ",0.7,0))))))</f>
        <v>0.8</v>
      </c>
      <c r="FI295">
        <f>IF(FG295="","",IF(AND(BP295=1,TRIM(AE295&amp;"")=""),IF(COUNTIFS(Линии[Щит],A295,Линии[Секция (1/2/3)],"&gt;=2")&gt;0,MIN(3,MAX(1,IFERROR(--BD295,1))),1),IFERROR(MIN(3,MAX(1,INT(--AE295))),1)))</f>
        <v>1</v>
      </c>
      <c r="FJ295">
        <f t="shared" si="613"/>
        <v>0.18</v>
      </c>
      <c r="FK295">
        <f t="shared" si="614"/>
        <v>0.18</v>
      </c>
      <c r="FL295">
        <f t="shared" si="615"/>
        <v>0</v>
      </c>
      <c r="FM295">
        <f t="shared" si="616"/>
        <v>0</v>
      </c>
      <c r="FN295">
        <f t="shared" si="617"/>
        <v>0</v>
      </c>
      <c r="FO295">
        <f t="shared" si="618"/>
        <v>0</v>
      </c>
      <c r="FP295">
        <f t="shared" si="619"/>
        <v>0.18</v>
      </c>
      <c r="FQ295">
        <f t="shared" si="620"/>
        <v>0.18</v>
      </c>
      <c r="FR295">
        <f t="shared" si="621"/>
        <v>0.17099999999999999</v>
      </c>
      <c r="FS295">
        <f>IF(CG295=1,IF(AND(CH295=1,CW295=1),0,IF(AND(CS295&lt;&gt;"",CS295=BA295,CW295=1),SUMIFS(Линии[_Р линии, кВт],Линии[_блок УЗО],BA295,Линии[Щит],A295),N(BS295)+IF(AJ295="вручную",0,N(CK295)))),0)</f>
        <v>0.18</v>
      </c>
      <c r="FT295" t="str">
        <f t="shared" si="622"/>
        <v>L2</v>
      </c>
      <c r="FU295" t="str">
        <f>IF(B295="","",IF(CG295=0,IF(BA295=1,"",FW294),IF(AND(CH295=1,CW295=1,CS295&lt;&gt;""),IFERROR(_xlfn.XLOOKUP(CS295,Линии[_n],Линии[_фаза итог]),"L1"),IF(OR(N(DL295)&gt;=3,N(BX295)&gt;=3),"L1,L2,L3",IFERROR(_xlfn.TEXTBEFORE(_xlfn.TEXTAFTER(_xlfn.XLOOKUP(A295,Щиты[Щит],Щиты[_фазы авто]),";"&amp;BA295&amp;":"),";"),"L1")))))</f>
        <v>L1</v>
      </c>
      <c r="FV295" t="str">
        <f t="shared" si="623"/>
        <v>L2</v>
      </c>
      <c r="FW295" t="str">
        <f t="shared" si="624"/>
        <v>L2</v>
      </c>
      <c r="FX295" cm="1">
        <f t="array" ref="FX295">IFERROR(IF(CD295=2,_xlfn.IFS(BX295=3,VLOOKUP(BS295,Справочная_двигатели,3,FALSE),BX295=1,VLOOKUP(BS295,Справочная_двигатели,5,TRUE)),0),0)</f>
        <v>0</v>
      </c>
      <c r="FY295">
        <f>IFERROR(IF(CD295=3,VLOOKUP(BS295,Справочная_ЛЭД,2,TRUE),0),0)</f>
        <v>0</v>
      </c>
      <c r="FZ295" s="6">
        <f t="shared" si="625"/>
        <v>0</v>
      </c>
      <c r="GA295" t="str">
        <f>IF(B295="","",IF(TRIM(AH295&amp;"")&lt;&gt;"",IF(LOWER(TRIM(AH295&amp;""))="да","да","нет"),IF(IFERROR(_xlfn.XLOOKUP(BC295,Коды_код,Коды_пожарная),"")="да","да","нет")))</f>
        <v>нет</v>
      </c>
      <c r="GB295" t="str">
        <f t="shared" si="626"/>
        <v/>
      </c>
      <c r="GC295" t="str">
        <f t="shared" si="627"/>
        <v>основная</v>
      </c>
      <c r="GD295">
        <f>IF(AND(BP295=1,TRIM(AE295&amp;"")=""),IF(COUNTIFS(Линии[Щит],A295,Линии[Секция (1/2/3)],"&gt;=2")&gt;0,MIN(3,MAX(1,IFERROR(--BD295,1))),1),IFERROR(MIN(3,MAX(1,INT(--AE295))),1))</f>
        <v>1</v>
      </c>
      <c r="GE295" t="str" cm="1">
        <f t="array" ref="GE295">IF(B295="","",_xlfn.LET(_xlpm.t,IFERROR(_xlfn.XLOOKUP(1,(Шины[Шина]=GC295)*(((Шины[Щит]=A295)+(Шины[Щит]=""))&gt;0),Шины[Тип]),"")&amp;"",IF(_xlpm.t&lt;&gt;"",_xlpm.t,IF(ISNUMBER(SEARCH("ИБП",GC295)),"ИБП",IF(ISNUMBER(SEARCH("ДГУ",GC295)),"ДГУ","Ввод "&amp;GD295)))))</f>
        <v>Ввод 1</v>
      </c>
      <c r="GF295" t="str">
        <f t="shared" si="628"/>
        <v>Ввод 1</v>
      </c>
      <c r="GG295" t="str">
        <f>IF(BP295=0,"",IF(TRIM(AG295&amp;"")&lt;&gt;"",TRIM(AG295&amp;""),IF(OR(GE295="ИБП",GE295="ДГУ"),"I особая",_xlfn.XLOOKUP(A295,Щиты[Щит],Щиты[Категория шины «Ввод»],"III"))))</f>
        <v/>
      </c>
      <c r="GH295" t="str">
        <f>IF(A295="","",_xlfn.XLOOKUP(A295,Щиты[Щит],Щиты[Путь],""))</f>
        <v>|ГРЩ-ЖД|ЩР-2|</v>
      </c>
      <c r="GI295" t="str">
        <f>IF(B295="","",IF(AI295&lt;&gt;"",AI295,IF(IFERROR(_xlfn.XLOOKUP(BC295,Коды_код,Коды_вид)&amp;"","")="","Прочее",_xlfn.XLOOKUP(BC295,Коды_код,Коды_вид)&amp;"")))</f>
        <v>Розеточная сеть и бытовые приборы</v>
      </c>
      <c r="GJ295">
        <f>IF(BM295="","",INT((BM295-1)/Столбцов_на_лист)+1)</f>
        <v>2</v>
      </c>
      <c r="GK295" t="str">
        <f t="shared" si="629"/>
        <v>ВВГнг(А)-LS (3х2,5) L=50-0,31%</v>
      </c>
      <c r="GL295">
        <f t="shared" si="630"/>
        <v>0.18</v>
      </c>
      <c r="GM295">
        <f t="shared" si="631"/>
        <v>0.83</v>
      </c>
      <c r="GN295">
        <f t="shared" si="632"/>
        <v>1</v>
      </c>
      <c r="GO295">
        <f t="shared" si="633"/>
        <v>0</v>
      </c>
      <c r="GP295">
        <f t="shared" si="634"/>
        <v>1</v>
      </c>
      <c r="GQ295">
        <f>IF(BM295="","",IF(AND(CG295=1,GP295=1),COUNTIFS(A$3:A295,A295,CG$3:CG295,1,GP$3:GP295,1),IF(OR(OR(BA295=1,A295&lt;&gt;A294),AJ295="вручную",GP295=0),"",IF(BA295=1,"",GR294))))</f>
        <v>12</v>
      </c>
      <c r="GR295">
        <f t="shared" si="635"/>
        <v>12</v>
      </c>
      <c r="GS295">
        <f>IF(B295="","",IFERROR(LOOKUP(INDEX(CHOOSE(EB295,Iдоп_1ж,Iдоп_2ж,Iдоп_3ж),MATCH(EN295,Iдоп_S,0))*DZ295*EA295,{6,10,16,20,25,32,40,50,63,80,100,125,160,200,250,315,400,500,630}),""))</f>
        <v>25</v>
      </c>
      <c r="GT295" t="str">
        <f t="shared" si="636"/>
        <v>QFD12</v>
      </c>
      <c r="GU295" t="str">
        <f t="shared" si="637"/>
        <v>QFD12</v>
      </c>
      <c r="GV295" t="str">
        <f t="shared" si="638"/>
        <v/>
      </c>
      <c r="GW295">
        <f t="shared" si="639"/>
        <v>0</v>
      </c>
      <c r="GX295" t="str">
        <f>IF(OR(B295="",DJ295=""),"",IFERROR(_xlfn.XLOOKUP(DJ295,Модули_умолч[Управление],Модули_умолч[Модель])&amp;"",""))</f>
        <v/>
      </c>
      <c r="GY295">
        <f>IF(DJ295="",1,IFERROR(MAX(0,N(_xlfn.XLOOKUP(DJ295,Модули_умолч[Управление],Модули_умолч[Каналов на линию]))),1))</f>
        <v>1</v>
      </c>
      <c r="GZ295" t="str">
        <f t="shared" si="640"/>
        <v/>
      </c>
      <c r="HA295" t="str">
        <f t="shared" si="641"/>
        <v/>
      </c>
      <c r="HB295" t="str">
        <f t="shared" si="642"/>
        <v/>
      </c>
      <c r="HC295">
        <f>IF(HB295="",0,IFERROR(N(VLOOKUP(HB295,Модули_спр,3,FALSE)),0))</f>
        <v>0</v>
      </c>
      <c r="HD295" t="str">
        <f t="shared" si="643"/>
        <v/>
      </c>
      <c r="HE295" t="str">
        <f t="shared" si="644"/>
        <v/>
      </c>
      <c r="HF295" t="str">
        <f>IF(OR(HE295="",HE295="-"),"",IFERROR(VLOOKUP(HE295,Модули_спр,2,FALSE),"R"))</f>
        <v/>
      </c>
      <c r="HG295" t="str">
        <f>IF(HF295="","",HF295&amp;"."&amp;COUNTIFS(A$3:A295,A295,HF$3:HF295,HF295))</f>
        <v/>
      </c>
      <c r="HH295" t="str">
        <f t="shared" si="645"/>
        <v/>
      </c>
      <c r="HI295" t="str">
        <f t="shared" si="646"/>
        <v/>
      </c>
      <c r="HJ295" t="str">
        <f t="shared" si="647"/>
        <v/>
      </c>
      <c r="HK295" t="str">
        <f t="shared" si="648"/>
        <v/>
      </c>
      <c r="HL295">
        <f t="shared" si="649"/>
        <v>1</v>
      </c>
      <c r="HM295" t="str">
        <f>IF(HL295=1,"XT"&amp;COUNTIFS(A$3:A295,A295,HL$3:HL295,1),"")</f>
        <v>XT12</v>
      </c>
      <c r="HN295" t="str">
        <f t="shared" si="650"/>
        <v/>
      </c>
      <c r="HO295" t="str">
        <f t="shared" si="651"/>
        <v>QFD12</v>
      </c>
      <c r="HP295" t="str">
        <f t="shared" si="652"/>
        <v/>
      </c>
      <c r="HQ295" t="str">
        <f t="shared" si="653"/>
        <v>ok</v>
      </c>
      <c r="HR295" t="str">
        <f>IF(OR(HJ295="",HH295=""),"",IF(HJ295+MAX(0,GY295-1)&gt;IFERROR(VLOOKUP(HI295,Модули_спр,3,FALSE),99),"ЛИШНИЙ КАНАЛ",IF(AND(AL295&lt;&gt;"=",GY295&gt;0,COUNTIFS(Линии[_модуль гр.],HH295,Линии[Канал (итог)],HJ295,Линии[Канал],"&lt;&gt;=",Линии[Щит],A295)&gt;1),"ДУБЛЬ КАНАЛА","")))</f>
        <v/>
      </c>
      <c r="HS295" s="6" t="str">
        <f t="shared" si="654"/>
        <v/>
      </c>
      <c r="HT295">
        <f t="shared" si="655"/>
        <v>10</v>
      </c>
      <c r="HU295" t="str">
        <f t="shared" si="656"/>
        <v/>
      </c>
      <c r="HV295">
        <f t="shared" si="657"/>
        <v>0.82817804774989257</v>
      </c>
      <c r="HW295">
        <f t="shared" si="658"/>
        <v>0</v>
      </c>
      <c r="HX295">
        <f t="shared" si="659"/>
        <v>0</v>
      </c>
      <c r="HY295">
        <f t="shared" si="660"/>
        <v>0</v>
      </c>
      <c r="HZ295">
        <f t="shared" si="661"/>
        <v>0</v>
      </c>
      <c r="IA295">
        <f t="shared" si="662"/>
        <v>0</v>
      </c>
      <c r="IB295">
        <f t="shared" si="663"/>
        <v>0</v>
      </c>
      <c r="IC295" t="str">
        <f t="shared" si="664"/>
        <v/>
      </c>
      <c r="ID295" t="str" cm="1">
        <f t="array" ref="ID295">IF(IC295="","",_xlfn.LET(_xlpm.tk,_xlfn.TEXTSPLIT(SUBSTITUTE(SUBSTITUTE(IC295,";"," "),"→"," ")," ",,TRUE),_xlpm.w_,_xlfn._xlws.FILTER(_xlpm.tk,ISNUMBER(--LEFT(_xlpm.tk,1))*((ISNUMBER(SEARCH("W",_xlpm.tk))+ISNUMBER(SEARCH("Вт",_xlpm.tk)))&gt;0),""),IFERROR(--SUBSTITUTE(SUBSTITUTE(UPPER(INDEX(_xlpm.w_,1)),"W",""),"ВТ",""),"")))</f>
        <v/>
      </c>
      <c r="IE295" t="str" cm="1">
        <f t="array" ref="IE295">IF(IC295="","",_xlfn.LET(_xlpm.tk,_xlfn.TEXTSPLIT(SUBSTITUTE(SUBSTITUTE(IC295,";"," "),"→"," ")," ",,TRUE),_xlpm.v_,_xlfn._xlws.FILTER(_xlpm.tk,ISNUMBER(--LEFT(_xlpm.tk,1))*((ISNUMBER(SEARCH("V",_xlpm.tk))+(RIGHT(UPPER(_xlpm.tk))="В"))&gt;0),""),IFERROR(--SUBSTITUTE(SUBSTITUTE(UPPER(INDEX(_xlpm.v_,1)),"V",""),"В",""),"")))</f>
        <v/>
      </c>
      <c r="IF295" s="6" t="str">
        <f>IF(OR(BV295=0,HI295="",HJ295=""),"",IFERROR(N(_xlfn.XLOOKUP(HI295,Каталог!$C$4:$C$500,Каталог!$Q$4:$Q$500)),""))</f>
        <v/>
      </c>
      <c r="IG295" s="6" t="str">
        <f>IF(N(IF295)=0,"",SUMIFS(Линии[Iр, А],Линии[Щит],A295,Линии[_модуль гр.],HH295,Линии[Канал (итог)],HJ295))</f>
        <v/>
      </c>
      <c r="IH295" t="str">
        <f>IF(AND(B295="",HO295=""),"",_xlfn.TEXTJOIN("; ",TRUE,IF(AND(B295&lt;&gt;"",FV295=""),"нет фазы",""),IF(AND(B295&lt;&gt;"",N(GL295)=0,FG295&lt;&gt;"Нет"),"нет мощности",""),IF(AND(HN295&lt;&gt;"",COUNTIFS(Линии[Щит],A295,Линии[Клемма (итог)],HN295)&gt;1),"дубль клеммы "&amp;HN295,""),IF(AND(HQ295&lt;&gt;"",HQ295&lt;&gt;"ok"),HQ295,""),IF(HR295&lt;&gt;"",HR295,""),IF(AND(N(CB295)&gt;=4,N(BX295)=1),CB295&amp;" жил на 1 фазе",""),IF(AND(BC295="R",CG295=1,IF(CS295&lt;&gt;"",N(CV295)&gt;30,OR(N(DA295)=0,N(DA295)&gt;30))),"розетка без дифзащиты до 30 мА",""),IF(AND(CG295=1,N(DA295)&gt;0,ISNUMBER(T295)),IF(T295&gt;N(DA295)/3,"ток утечки "&amp;FIXED(T295,1)&amp;" мА &gt; 1/3 уставки ("&amp;DA295&amp;" мА)",""),""),IF(AND(CH295=1,CS295=""),"«узо»: нет строки с УЗО выше (УЗО 2P 40А 30мА в «Аппаратах»)",""),IF(AND(CS295&lt;&gt;"",CS295=BA295),IF(CT295="","впишите номинал УЗО (УЗО 2P 40А 30мА)",IF(N(CT295)&lt;N(DT295),"УЗО "&amp;CT295&amp;" А &lt; автомата "&amp;DT295&amp;" А перед ним",IF(N(CT295)&lt;N(CX295),"УЗО "&amp;CT295&amp;" А &lt; тока блока "&amp;FIXED(CX295,1)&amp;" А",""))),""),IF(AND(CS295&lt;&gt;"",CS295=BA295,ISNUMBER(CY295)),IF(CY295&gt;N(CV295)/3,"ток утечки блока УЗО "&amp;FIXED(CY295,1)&amp;" мА &gt; 1/3 уставки ("&amp;CV295&amp;" мА)",""),""),IF(AND(CG295=1,N(BV295)+N(IB295)&gt;0,IC295=""),"линии до 50 В без БП: впишите в «Аппараты» (БП 24V 480W)",""),IF(AND(CG295=1,ISNUMBER(ID295),ISNUMBER(U295)),IF(U295&gt;ID295,"БП "&amp;ID295&amp;" Вт &lt; нужно "&amp;U295&amp;" Вт (×"&amp;Запас_БП&amp;")",""),""),IF(AND(CG295=1,ISNUMBER(IE295),N(BV295)=1),IF(IE295&lt;&gt;N(BU295),"БП на "&amp;IE295&amp;" В, линия "&amp;BU295&amp;" В",""),""),IF(AND(N(IF295)&gt;0,N(IG295)&gt;N(IF295)),HH295&amp;" канал "&amp;HJ295&amp;": "&amp;FIXED(IG295,1)&amp;" А &gt; "&amp;IF295&amp;" А",""),IFERROR(IF(AND(ISNUMBER(Q295),Q295&gt;EL295),"потери "&amp;FIXED(Q295,1)&amp;" % &gt; "&amp;EL295&amp;" %",""),""),IFERROR(IF(LEFT(HU295,4)="мало","Iкз мало — отключение &gt; 0,4 с",""),""),IF(AND(B295&lt;&gt;"",BM295=""),"не на схеме",""),IF(AND(CG295=0,B295&lt;&gt;"",FV295&lt;&gt;"",IF(BA295=1,"",FW294)&lt;&gt;"",FV295&lt;&gt;IF(BA295=1,"",FW294)),"фаза не как у автомата группы ("&amp;IF(BA295=1,"",FW294)&amp;")","")))</f>
        <v/>
      </c>
      <c r="II295" s="6">
        <f>IF(OR(CG295=0,DQ295=""),"",_xlfn.LET(_xlpm.t,IFERROR(_xlfn.XLOOKUP(DQ295,Каталог!$U$4:$U$500,Каталог!$G$4:$G$500),""),_xlpm.k,SEARCH("кА",_xlpm.t),IFERROR(--TRIM(RIGHT(SUBSTITUTE(MID(_xlpm.t,MAX(1,_xlpm.k-4),_xlpm.k-MAX(1,_xlpm.k-4))," ",REPT(" ",9)),5)),"")))</f>
        <v>6</v>
      </c>
      <c r="IJ295" t="str">
        <f>IF(OR(II295="",CG295=0),"",IF(_xlfn.XLOOKUP(A295,Щиты[Щит],Щиты[Iкз max на шинах, кА],"")="","",IF(II295&lt;_xlfn.XLOOKUP(A295,Щиты[Щит],Щиты[Iкз max на шинах, кА]),"Icu "&amp;II295&amp;" кА &lt; Iкз max","ok")))</f>
        <v/>
      </c>
      <c r="IK295" t="str">
        <f t="shared" si="665"/>
        <v/>
      </c>
      <c r="IL295" t="str">
        <f t="shared" si="666"/>
        <v>QFD12</v>
      </c>
      <c r="IM295" t="str">
        <f t="shared" si="667"/>
        <v>QFD12|кабель ВВГнг(А)-LS (3х2,5) → Розеточная группа, пом. 014А</v>
      </c>
      <c r="IN295" t="str" cm="1">
        <f t="array" ref="IN295">IF(IM295="","",_xlfn.LET(_xlpm.nd,_xlfn.TEXTSPLIT(IM295,"|"),IF(COLUMNS(_xlpm.nd)&gt;1,A295&amp;"¦"&amp;INDEX(_xlpm.nd,1)&amp;"¦"&amp;INDEX(_xlpm.nd,2),"")))</f>
        <v>ЩР-2¦QFD12¦кабель ВВГнг(А)-LS (3х2,5) → Розеточная группа, пом. 014А</v>
      </c>
      <c r="IO295" t="str">
        <f t="shared" si="668"/>
        <v>R.2.014А.2¦Розеточная группа, пом. 014А</v>
      </c>
      <c r="IP295" t="str" cm="1">
        <f t="array" ref="IP295">IF(IM295="","",_xlfn.LET(_xlpm.nd,_xlfn.TEXTSPLIT(IM295,"|"),IF(COLUMNS(_xlpm.nd)&gt;2,A295&amp;"¦"&amp;INDEX(_xlpm.nd,2)&amp;"¦"&amp;INDEX(_xlpm.nd,3),"")))</f>
        <v/>
      </c>
      <c r="IQ295" t="str">
        <f t="shared" si="669"/>
        <v/>
      </c>
      <c r="IR295" t="str" cm="1">
        <f t="array" ref="IR295">IF(IM295="","",_xlfn.LET(_xlpm.nd,_xlfn.TEXTSPLIT(IM295,"|"),IF(COLUMNS(_xlpm.nd)&gt;3,A295&amp;"¦"&amp;INDEX(_xlpm.nd,3)&amp;"¦"&amp;INDEX(_xlpm.nd,4),"")))</f>
        <v/>
      </c>
      <c r="IS295" t="str">
        <f t="shared" si="670"/>
        <v/>
      </c>
      <c r="IT295" t="str" cm="1">
        <f t="array" ref="IT295">IF(IM295="","",_xlfn.LET(_xlpm.nd,_xlfn.TEXTSPLIT(IM295,"|"),IF(COLUMNS(_xlpm.nd)&gt;4,A295&amp;"¦"&amp;INDEX(_xlpm.nd,4)&amp;"¦"&amp;INDEX(_xlpm.nd,5),"")))</f>
        <v/>
      </c>
      <c r="IU295" t="str">
        <f t="shared" si="671"/>
        <v/>
      </c>
      <c r="IV295" t="str" cm="1">
        <f t="array" ref="IV295">IF(IM295="","",_xlfn.LET(_xlpm.nd,_xlfn.TEXTSPLIT(IM295,"|"),IF(COLUMNS(_xlpm.nd)&gt;5,A295&amp;"¦"&amp;INDEX(_xlpm.nd,5)&amp;"¦"&amp;INDEX(_xlpm.nd,6),"")))</f>
        <v/>
      </c>
      <c r="IW295" t="str">
        <f t="shared" si="672"/>
        <v/>
      </c>
      <c r="IX295" t="str" cm="1">
        <f t="array" ref="IX295">IF(IM295="","",_xlfn.LET(_xlpm.nd,_xlfn.TEXTSPLIT(IM295,"|"),IF(COLUMNS(_xlpm.nd)&gt;6,A295&amp;"¦"&amp;INDEX(_xlpm.nd,6)&amp;"¦"&amp;INDEX(_xlpm.nd,7),"")))</f>
        <v/>
      </c>
      <c r="IY295" t="str">
        <f t="shared" si="673"/>
        <v/>
      </c>
      <c r="IZ295" t="str">
        <f t="shared" si="674"/>
        <v/>
      </c>
      <c r="JA295" t="str">
        <f t="shared" si="675"/>
        <v>QFD12</v>
      </c>
      <c r="JB295">
        <f t="shared" si="676"/>
        <v>0</v>
      </c>
      <c r="JC295">
        <f t="shared" si="677"/>
        <v>1</v>
      </c>
      <c r="JD295" t="str">
        <f t="shared" si="678"/>
        <v/>
      </c>
      <c r="JE295" t="str">
        <f t="shared" si="679"/>
        <v/>
      </c>
      <c r="JF295" t="str">
        <f t="shared" si="680"/>
        <v/>
      </c>
      <c r="JG295" t="str">
        <f t="shared" si="681"/>
        <v/>
      </c>
      <c r="JH295" t="str">
        <f>IF(B295="","",IFERROR(_xlfn.XLOOKUP(B295,Коды_код,Коды_уго),IFERROR(_xlfn.XLOOKUP(BC295,Коды_код,Коды_уго),IFERROR(_xlfn.XLOOKUP(LEFT(BC295,2),Коды_код,Коды_уго),""))))</f>
        <v>Розетка</v>
      </c>
      <c r="JI295" t="str">
        <f>IF(B295="","",IF(OR(JH295="",JH295=0),"BOX",IFERROR(IF(VLOOKUP(JH295,УГО_блоки,3,FALSE)&amp;""&lt;&gt;"",VLOOKUP(JH295,УГО_блоки,3,FALSE),VLOOKUP(JH295,УГО_блоки,2,FALSE)),JH295)))</f>
        <v>SOCKET</v>
      </c>
      <c r="JJ295">
        <f t="shared" si="682"/>
        <v>1</v>
      </c>
      <c r="JK295" t="str">
        <f>IF(DQ295="","",IF(COUNTIF(DQ$3:DQ295,DQ295)=1,MAX(JK$2:JK294)+1,""))</f>
        <v/>
      </c>
      <c r="JL295" t="str">
        <f>IF(DE295="","",IF(COUNTIF(DE$3:DE295,DE295)+COUNTIF(DF$2:DF294,DE295)+COUNTIF(DG$2:DG294,DE295)=1,MAX(JL$2:JN294)+1,""))</f>
        <v/>
      </c>
      <c r="JM295" t="str">
        <f>IF(DF295="","",IF(COUNTIF(DE$3:DE295,DF295)+COUNTIF(DF$3:DF295,DF295)+COUNTIF(DG$2:DG294,DF295)=1,MAX(JL$2:JN294,JL295)+1,""))</f>
        <v/>
      </c>
      <c r="JN295" t="str">
        <f>IF(DG295="","",IF(COUNTIF(DE$3:DE295,DG295)+COUNTIF(DF$3:DF295,DG295)+COUNTIF(DG$3:DG295,DG295)=1,MAX(JL$2:JN294,JL295,JM295)+1,""))</f>
        <v/>
      </c>
      <c r="JO295" t="str">
        <f t="shared" si="683"/>
        <v>3х2,5</v>
      </c>
      <c r="JP295" t="str">
        <f>IF(JO295="","",IF(COUNTIF(JO$3:JO295,JO295)=1,MAX(JP$2:JP294)+1,""))</f>
        <v/>
      </c>
      <c r="JQ295" t="str">
        <f>IF(HG295="","",COUNTIF(HG$3:HG295,"?*"))</f>
        <v/>
      </c>
      <c r="JR295" t="str">
        <f>IF(OR(HG295="",HI295=""),"",IF(COUNTIFS(HG$3:HG295,"?*",HI$3:HI295,HI295)=1,MAX(JR$2:JR294)+1,""))</f>
        <v/>
      </c>
      <c r="JS295">
        <f t="shared" si="684"/>
        <v>0</v>
      </c>
      <c r="JT295">
        <f>IF(B295="","",COUNTIF(B$3:B295,"?*"))</f>
        <v>293</v>
      </c>
      <c r="JU295">
        <f>IF(HL295&lt;&gt;1,0,_xlfn.LET(_xlpm.k,MAX(IFERROR(--_xlfn.XLOOKUP(B295,Коды_код,Коды_3L),0),IFERROR(--_xlfn.XLOOKUP(BC295,Коды_код,Коды_3L),0),IFERROR(--_xlfn.XLOOKUP(LEFT(BC295,2),Коды_код,Коды_3L),0)),IF(_xlpm.k&gt;0,_xlpm.k,IF(IFERROR(--LEFT(SUBSTITUTE(JO295,"x","х"),FIND("х",SUBSTITUTE(JO295,"x","х"))-1),3)&gt;3,Каталог!$S$9,1))))</f>
        <v>1</v>
      </c>
      <c r="JV295">
        <f t="shared" si="685"/>
        <v>0</v>
      </c>
      <c r="JW295" t="str">
        <f t="shared" si="686"/>
        <v>авто</v>
      </c>
      <c r="JX295">
        <f t="shared" si="687"/>
        <v>30</v>
      </c>
      <c r="JY295">
        <f t="shared" si="688"/>
        <v>1</v>
      </c>
      <c r="JZ295">
        <f t="shared" si="689"/>
        <v>1</v>
      </c>
    </row>
    <row r="296" spans="1:286" x14ac:dyDescent="0.3">
      <c r="A296" t="s">
        <v>759</v>
      </c>
      <c r="B296" t="s">
        <v>1601</v>
      </c>
      <c r="C296" t="str">
        <f>Линии[[#This Row],[_авто наименование]]</f>
        <v>Розеточная группа, пом. 015А</v>
      </c>
      <c r="D296">
        <v>1</v>
      </c>
      <c r="E296">
        <v>0.12</v>
      </c>
      <c r="G296">
        <v>16</v>
      </c>
      <c r="H296" t="str">
        <f>Линии[[#This Row],[_авто управление]]</f>
        <v/>
      </c>
      <c r="I296" t="str">
        <f>Линии[[#This Row],[_авто аппараты]]</f>
        <v/>
      </c>
      <c r="J296">
        <v>2.5</v>
      </c>
      <c r="K296">
        <v>36</v>
      </c>
      <c r="L296">
        <v>3</v>
      </c>
      <c r="M296" t="s">
        <v>484</v>
      </c>
      <c r="N296" t="str">
        <f t="shared" si="552"/>
        <v/>
      </c>
      <c r="O296" s="6" cm="1">
        <f t="array" ref="O296">IF(B296="","",IF(BH296&lt;&gt;"",IFERROR(_xlfn.XLOOKUP(BH296,Щиты[Щит],Щиты[Iр, А]),""),IF(BP296=1,IF(OR(N(_xlfn.XLOOKUP(A296,Щиты[Щит],Щиты[Вводов],1))&lt;=1,LOWER(TRIM(_xlfn.XLOOKUP(A296,Щиты[Щит],Щиты[АВР],"")&amp;""))="да"),IFERROR(_xlfn.XLOOKUP(A296,Щиты[Щит],Щиты[Iр, А]),""),IFERROR(N(BS296)*_xlfn.XLOOKUP(A296,Щиты[Щит],Щиты[Кс итог])/(SQRT(3)*Uн_лин*_xlfn.XLOOKUP(A296,Щиты[Щит],Щиты[cos φ])),"")),IF(BV296=1,IFERROR(BS296*1000/BU296,""),IFERROR(_xlfn.IFS(BX296=1,BS296/((Uн_лин/SQRT(3))*CE296),BX296=3,BS296/(SQRT(3)*Uн_лин*CE296)),"")))))</f>
        <v>0.54696341291648753</v>
      </c>
      <c r="P296" s="7">
        <f>IF(B296="","",IFERROR(IF(VLOOKUP(BC296,Потребители_обозначение,4,FALSE)=1,VLOOKUP(BC296,Потребители_обозначение,3,FALSE)*(MAX(1,N(D296))*2-1)+EI296+VLOOKUP(BE296,Этаж_обозначение,3,FALSE)+VLOOKUP(BE296,Этаж_обозначение,4,FALSE),VLOOKUP(BC296,Потребители_обозначение,3,FALSE)*(MAX(1,N(D296))*2-1)+EI296),EI296))</f>
        <v>39</v>
      </c>
      <c r="Q296" s="6">
        <f t="shared" si="553"/>
        <v>1.95</v>
      </c>
      <c r="R296" t="str">
        <f t="shared" si="554"/>
        <v>ВВГнг(А)-LS (3х2,5)</v>
      </c>
      <c r="S296" t="str">
        <f>IF(BM296="","",IF(BN296="вводной узел","узел ","")&amp;"л."&amp;(INT((BM296-1)/Столбцов_на_лист)+1)&amp;" / "&amp;(MOD(BM296-1,Столбцов_на_лист)+1))</f>
        <v>л.2 / 6</v>
      </c>
      <c r="T296" s="119">
        <f t="shared" si="555"/>
        <v>0.6</v>
      </c>
      <c r="U296" s="7" t="str">
        <f>IF(OR(CG296=0,N(BV296)+N(IB296)=0),"",ROUNDUP(Запас_БП*(N(HY296)+N(HZ296)),0))</f>
        <v/>
      </c>
      <c r="V296" s="119" t="str">
        <f t="shared" si="556"/>
        <v/>
      </c>
      <c r="W296" s="7" t="str">
        <f>IFERROR(IF(OR(B296="",BP296=1,BV296=1,NOT(ISNUMBER(EN296)),N(DT296)=0),"",MAX(0,ROUNDDOWN((c_min*(Uн_лин*1000/SQRT(3))/(HT296*N(DT296))-_xlfn.XLOOKUP(A296,Щиты[Щит],Щиты[Zпетли на шинах, Ом]))*EN296/(2*ρкз_Cu),0))),"")</f>
        <v/>
      </c>
      <c r="Y296">
        <f>Линии[[#This Row],[_авто утечка]]</f>
        <v>30</v>
      </c>
      <c r="Z296">
        <v>1</v>
      </c>
      <c r="AA296">
        <v>230</v>
      </c>
      <c r="AB296" t="s">
        <v>562</v>
      </c>
      <c r="AG296" t="s">
        <v>810</v>
      </c>
      <c r="AI296" t="s">
        <v>561</v>
      </c>
      <c r="AK296" t="str">
        <f>Линии[[#This Row],[_авто модуль]]</f>
        <v/>
      </c>
      <c r="AM296">
        <v>23</v>
      </c>
      <c r="AN296" t="s">
        <v>11</v>
      </c>
      <c r="AO296">
        <v>3</v>
      </c>
      <c r="AQ296">
        <v>12</v>
      </c>
      <c r="AR296">
        <v>16</v>
      </c>
      <c r="AS296">
        <v>5</v>
      </c>
      <c r="AT296">
        <v>2</v>
      </c>
      <c r="BA296" cm="1">
        <f t="array" ref="BA296">ROW()-ROW(Линии[#Headers])</f>
        <v>294</v>
      </c>
      <c r="BC296" s="6" t="str">
        <f t="shared" si="557"/>
        <v>R</v>
      </c>
      <c r="BD296" t="str">
        <f t="shared" si="558"/>
        <v>2.015А.1</v>
      </c>
      <c r="BE296" t="str">
        <f t="shared" si="559"/>
        <v>2</v>
      </c>
      <c r="BF296" t="str">
        <f t="shared" si="560"/>
        <v>015А.1</v>
      </c>
      <c r="BG296" t="str">
        <f t="shared" si="561"/>
        <v>015А</v>
      </c>
      <c r="BH296" t="str">
        <f>IF(X296&lt;&gt;"",X296,IF(AND(B296&lt;&gt;"",B296&lt;&gt;A296,ISNUMBER(_xlfn.XMATCH(B296,Щиты[Щит]))),B296,""))</f>
        <v/>
      </c>
      <c r="BI296" t="str" cm="1">
        <f t="array" ref="BI296">IF(B296="","",IF(BH296&lt;&gt;"","Щит "&amp;BH296,_xlfn.LET(_xlpm.nm,IFERROR(_xlfn.XLOOKUP(BC296,Коды_код,Коды_имя)&amp;"",""),_xlpm.md,IFERROR(N(_xlfn.XLOOKUP(BC296,Коды_код,Коды_режим)),1),_xlpm.ex,IF(Имя_режим="по экспликации",IFERROR(_xlfn.XLOOKUP(BE296&amp;"|"&amp;BG296,Экспликация[Этаж]&amp;"|"&amp;Экспликация[Помещение],Экспликация[Название])&amp;"",""),""),_xlpm.rm,IF(BG296="","",IF(_xlpm.ex&lt;&gt;"",". "&amp;_xlpm.ex&amp;IF(Имя_пом="нет"," ("&amp;BG296&amp;")"," (пом. "&amp;BG296&amp;")"),IF(Имя_пом="нет"," ",", пом. ")&amp;BG296)),IF(_xlpm.nm="","",IF(_xlpm.md=2,_xlpm.nm&amp;" шлейф "&amp;BE296,_xlpm.nm&amp;_xlpm.rm)))))</f>
        <v>Розеточная группа, пом. 015А</v>
      </c>
      <c r="BJ296" t="str">
        <f t="shared" si="562"/>
        <v>Розеточная группа, пом. 015А</v>
      </c>
      <c r="BK296">
        <f>IFERROR(_xlfn.XMATCH(A296,Щиты[Щит]),0)</f>
        <v>11</v>
      </c>
      <c r="BL296">
        <f>_xlfn.LET(_xlpm.k,IFERROR(_xlfn.XLOOKUP(A296,Щиты[Щит],Щиты[Мест под вводной узел]),""),IF(_xlpm.k="",Столбцов_на_лист,N(_xlpm.k)))</f>
        <v>8</v>
      </c>
      <c r="BM296">
        <f t="shared" si="563"/>
        <v>23</v>
      </c>
      <c r="BN296" t="str">
        <f t="shared" si="564"/>
        <v>линии</v>
      </c>
      <c r="BO296" s="6">
        <f>IFERROR(N(_xlfn.XLOOKUP(BC296,Коды_код,Коды_квт)),0)</f>
        <v>0</v>
      </c>
      <c r="BP296">
        <f t="shared" si="565"/>
        <v>0</v>
      </c>
      <c r="BQ296" t="str">
        <f>IF(B296="","",IF(BH296&lt;&gt;"",IFERROR(_xlfn.XLOOKUP(BH296,Щиты[Щит],Щиты[Руст, кВт]),0),IF(BP296=1,IF(OR(N(_xlfn.XLOOKUP(A296,Щиты[Щит],Щиты[Вводов],1))&lt;=1,LOWER(TRIM(_xlfn.XLOOKUP(A296,Щиты[Щит],Щиты[АВР],"")&amp;""))="да"),IFERROR(_xlfn.XLOOKUP(A296,Щиты[Щит],Щиты[Руст, кВт]),0),SUMIFS(Линии[_Р для вводов],Линии[Щит],A296,Линии[Источник для режимов],GF296)),IF(BO296&gt;0,ROUND(BO296*MAX(1,N(D296)),3),""))))</f>
        <v/>
      </c>
      <c r="BR296">
        <f t="shared" si="566"/>
        <v>0.12</v>
      </c>
      <c r="BS296" s="6">
        <f>IF(B296="","",IF(BH296&lt;&gt;"",IFERROR(_xlfn.XLOOKUP(BH296,Щиты[Щит],Щиты[Руст, кВт]),0),N(BR296)))</f>
        <v>0.12</v>
      </c>
      <c r="BT296" t="str">
        <f>IF(B296="","",IFERROR(IF(VLOOKUP(BC296,Потребители_обозначение,8,FALSE)=0,"",VLOOKUP(BC296,Потребители_обозначение,8,FALSE)),""))</f>
        <v/>
      </c>
      <c r="BU296">
        <f t="shared" si="567"/>
        <v>230</v>
      </c>
      <c r="BV296">
        <f t="shared" si="568"/>
        <v>0</v>
      </c>
      <c r="BW296">
        <f>IF(B296="","",IF(BH296&lt;&gt;"",3,IFERROR(IF(N(VLOOKUP(BC296,Потребители_обозначение,9,FALSE))=0,1,VLOOKUP(BC296,Потребители_обозначение,9,FALSE)),1)))</f>
        <v>1</v>
      </c>
      <c r="BX296">
        <f t="shared" si="569"/>
        <v>1</v>
      </c>
      <c r="BY296" t="str">
        <f>IF(B296="","",_xlfn.LET(_xlpm.bc,IFERROR(IF(VLOOKUP(BC296,Потребители_обозначение,6,FALSE)=0,"",VLOOKUP(BC296,Потребители_обозначение,6,FALSE)&amp;""),""),IF(AND(GA296="да",OR(_xlpm.bc="",_xlpm.bc="мс")),Марка_пож,IF(AND(_xlpm.bc="",BH296&lt;&gt;""),"мс",_xlpm.bc))))</f>
        <v/>
      </c>
      <c r="BZ296" t="str">
        <f t="shared" si="570"/>
        <v>мс</v>
      </c>
      <c r="CA296">
        <f>IF(B296="","",_xlfn.LET(_xlpm.cc,IFERROR(N(VLOOKUP(BC296,Потребители_обозначение,7,FALSE)),0),IF(_xlpm.cc&gt;0,_xlpm.cc,IF(BZ296="","",IF(BV296=1,2,IF(N(BX296)=3,5,3))))))</f>
        <v>3</v>
      </c>
      <c r="CB296">
        <f t="shared" si="571"/>
        <v>3</v>
      </c>
      <c r="CC296">
        <f>IFERROR(N(VLOOKUP(BC296,Потребители_обозначение,10,FALSE)),0)</f>
        <v>0</v>
      </c>
      <c r="CD296">
        <f>IFERROR(VLOOKUP(BC296,Потребители_обозначение,5,FALSE),0)</f>
        <v>1</v>
      </c>
      <c r="CE296" s="6" cm="1">
        <f t="array" ref="CE296">IF(B296="","",IF(BH296&lt;&gt;"",IFERROR(_xlfn.XLOOKUP(BH296,Щиты[Щит],Щиты[cos φ]),0.95),IF(BP296=1,IFERROR(_xlfn.XLOOKUP(A296,Щиты[Щит],Щиты[cos φ]),0.95),IF(ISNUMBER(AD296),AD296,IFERROR(IF(CD296=2,_xlfn.IFS(BX296=3,VLOOKUP(BS296,Справочная_двигатели,8,FALSE),BX296=1,VLOOKUP(BS296,Справочная_двигатели,10,TRUE)),IF(AND(Методика="нормы 2026",FG296="Сил"),0.8,0.95)),0.95)))))</f>
        <v>0.95</v>
      </c>
      <c r="CF296">
        <f t="shared" si="572"/>
        <v>0</v>
      </c>
      <c r="CG296">
        <f t="shared" si="573"/>
        <v>1</v>
      </c>
      <c r="CH296">
        <f t="shared" si="574"/>
        <v>0</v>
      </c>
      <c r="CI296">
        <f>IF(B296="","",IF(BV296=1,IFERROR(BS296/((Uн_лин/SQRT(3))*MAX(0.5,N(CE296))),0),N(O296)))</f>
        <v>0.54696341291648753</v>
      </c>
      <c r="CJ296">
        <f t="shared" si="575"/>
        <v>0</v>
      </c>
      <c r="CK296">
        <f t="shared" si="576"/>
        <v>0</v>
      </c>
      <c r="CL296">
        <f t="shared" si="577"/>
        <v>0</v>
      </c>
      <c r="CM296">
        <f t="shared" si="578"/>
        <v>0</v>
      </c>
      <c r="CN296">
        <f t="shared" si="579"/>
        <v>0</v>
      </c>
      <c r="CO296">
        <f>IF(BC296="",0,_xlfn.LET(_xlpm.v,IFERROR(_xlfn.XLOOKUP(B296,Коды_код,Коды_мА),IFERROR(_xlfn.XLOOKUP(BC296,Коды_код,Коды_мА),IFERROR(_xlfn.XLOOKUP(LEFT(BC296,2),Коды_код,Коды_мА),""))),IF(_xlpm.v="да",30,IF(ISNUMBER(_xlpm.v),_xlpm.v,0))))</f>
        <v>30</v>
      </c>
      <c r="CP296">
        <f t="shared" si="580"/>
        <v>30</v>
      </c>
      <c r="CQ296" t="str">
        <f>_xlfn.LET(_xlpm.k,IFERROR(_xlfn.XLOOKUP(BC296,Коды_код,Коды_утечка)&amp;"",""),IF(_xlpm.k="","дифавтомат",_xlpm.k))</f>
        <v>дифавтомат</v>
      </c>
      <c r="CR296" t="str" cm="1">
        <f t="array" ref="CR296">IF(CG296=0,"",_xlfn.LET(_xlpm.sg,TRIM(_xlfn.TEXTSPLIT(DD296&amp;"",";")),_xlpm.f_,_xlfn._xlws.FILTER(_xlpm.sg,LEFT(_xlpm.sg,3)="УЗО",""),IFERROR(INDEX(_xlpm.f_,1)&amp;"","")))</f>
        <v/>
      </c>
      <c r="CS296" t="str">
        <f t="shared" si="581"/>
        <v/>
      </c>
      <c r="CT296" s="6" t="str" cm="1">
        <f t="array" ref="CT296">IF(CR296="","",_xlfn.LET(_xlpm.tk,_xlfn.TEXTSPLIT(UPPER(CR296)," ",,TRUE),_xlpm.a_,_xlfn._xlws.FILTER(_xlpm.tk,ISNUMBER(--LEFT(_xlpm.tk,1))*((ISNUMBER(SEARCH("А",_xlpm.tk))+ISNUMBER(SEARCH("A",_xlpm.tk)))&gt;0)*NOT(ISNUMBER(SEARCH("МА",_xlpm.tk)))*NOT(ISNUMBER(SEARCH("MA",_xlpm.tk))),""),IFERROR(--SUBSTITUTE(SUBSTITUTE(INDEX(_xlpm.a_,1),"А",""),"A",""),"")))</f>
        <v/>
      </c>
      <c r="CU296" t="str" cm="1">
        <f t="array" ref="CU296">IF(CR296="","",_xlfn.LET(_xlpm.tk,_xlfn.TEXTSPLIT(UPPER(CR296)," ",,TRUE),_xlpm.a_,_xlfn._xlws.FILTER(_xlpm.tk,ISNUMBER(--LEFT(_xlpm.tk,1))*((ISNUMBER(SEARCH("МА",_xlpm.tk))+ISNUMBER(SEARCH("MA",_xlpm.tk)))&gt;0),""),IFERROR(--SUBSTITUTE(SUBSTITUTE(INDEX(_xlpm.a_,1),"МА",""),"MA",""),30)))</f>
        <v/>
      </c>
      <c r="CV296" t="str">
        <f>IF(CS296="","",IFERROR(_xlfn.XLOOKUP(CS296,Линии[_n],Линии[_УЗО, мА]),30))</f>
        <v/>
      </c>
      <c r="CW296">
        <f>IF(CS296="",0,IF(ISNUMBER(SEARCH("4P",IFERROR(_xlfn.XLOOKUP(CS296,Линии[_n],Линии[_УЗО строки])&amp;"",""))),0,1))</f>
        <v>0</v>
      </c>
      <c r="CX296" t="str">
        <f>IF(AND(CS296&lt;&gt;"",CS296=BA296),SUMIFS(Линии[_ток на 230 В],Линии[_блок УЗО],BA296,Линии[Щит],A296),"")</f>
        <v/>
      </c>
      <c r="CY296" t="str">
        <f>IF(AND(CS296&lt;&gt;"",CS296=BA296),SUMIFS(Линии[_ток утечки линии, мА],Линии[_блок УЗО],BA296,Линии[Щит],A296),"")</f>
        <v/>
      </c>
      <c r="CZ296">
        <f t="shared" si="582"/>
        <v>30</v>
      </c>
      <c r="DA296">
        <f t="shared" si="583"/>
        <v>30</v>
      </c>
      <c r="DB296">
        <f>IF(B296="",0,IFERROR(--_xlfn.XLOOKUP(B296,Коды_код,Коды_минавт),IFERROR(--_xlfn.XLOOKUP(BC296,Коды_код,Коды_минавт),IFERROR(--_xlfn.XLOOKUP(LEFT(BC296,2),Коды_код,Коды_минавт),0))))</f>
        <v>16</v>
      </c>
      <c r="DC296" t="str">
        <f>IF(B296="","",IFERROR(_xlfn.XLOOKUP(BC296,Коды_код,Коды_апп)&amp;"",""))</f>
        <v/>
      </c>
      <c r="DD296" t="str">
        <f t="shared" si="584"/>
        <v/>
      </c>
      <c r="DE296" t="str" cm="1">
        <f t="array" ref="DE296">IF(TRIM(DD296&amp;"")="","",IFERROR(TRIM(INDEX(_xlfn.TEXTSPLIT(DD296&amp;";;;",";"),1)),""))</f>
        <v/>
      </c>
      <c r="DF296" t="str" cm="1">
        <f t="array" ref="DF296">IF(TRIM(DD296&amp;"")="","",IFERROR(TRIM(INDEX(_xlfn.TEXTSPLIT(DD296&amp;";;;",";"),2)),""))</f>
        <v/>
      </c>
      <c r="DG296" t="str" cm="1">
        <f t="array" ref="DG296">IF(TRIM(DD296&amp;"")="","",IFERROR(TRIM(INDEX(_xlfn.TEXTSPLIT(DD296&amp;";;;",";"),3)),""))</f>
        <v/>
      </c>
      <c r="DH296">
        <f t="shared" si="585"/>
        <v>0</v>
      </c>
      <c r="DI296" t="str">
        <f>IF(B296="","",_xlfn.LET(_xlpm.t,LOWER(AZ296&amp;""),IF(ISNUMBER(SEARCH("dim",_xlpm.t)),"DIM",IF(ISNUMBER(SEARCH("dali",_xlpm.t)),"DALI",IF(OR(ISNUMBER(SEARCH("relay",_xlpm.t)),ISNUMBER(SEARCH("реле",_xlpm.t))),"Relay",IF(ISNUMBER(SEARCH("кнопк",_xlpm.t)),"",IFERROR(_xlfn.XLOOKUP(BC296,Коды_код,Коды_упр)&amp;"","")))))))</f>
        <v/>
      </c>
      <c r="DJ296" t="str">
        <f t="shared" si="586"/>
        <v/>
      </c>
      <c r="DK296">
        <f>IF(B296="","",_xlfn.LET(_xlpm.ig,IF(N(CX296)&gt;0,N(CX296),N(CI296)+IF(AJ296="вручную",0,N(CJ296))),_xlpm.n0,IFERROR(VLOOKUP(_xlpm.ig,Автомат_номиналы,2,TRUE),0),_xlpm.mn,MAX(DB296,IF(AJ296="вручную",0,N(CM296))),MAX(_xlpm.n0,_xlpm.mn,IF(DH296=1,Мин_автомат_БП,0))))</f>
        <v>16</v>
      </c>
      <c r="DL296">
        <f t="shared" si="587"/>
        <v>1</v>
      </c>
      <c r="DM296" t="str">
        <f t="shared" si="588"/>
        <v>2P</v>
      </c>
      <c r="DN296" t="str">
        <f>_xlfn.LET(_xlpm.cc,UPPER(TRIM(IFERROR(_xlfn.XLOOKUP(BC296,Коды_код,Коды_хар)&amp;"",""))),IF(OR(_xlpm.cc="B",_xlpm.cc="В"),"B",IF(_xlpm.cc="D","D","С")))</f>
        <v>С</v>
      </c>
      <c r="DO296" t="str">
        <f t="shared" si="589"/>
        <v>2P С16А 30мА</v>
      </c>
      <c r="DP296">
        <f t="shared" si="590"/>
        <v>16</v>
      </c>
      <c r="DQ296" t="str">
        <f t="shared" si="591"/>
        <v>2P С16А 30мА</v>
      </c>
      <c r="DR296" cm="1">
        <f t="array" ref="DR296">IF(DQ296="","",_xlfn.LET(_xlpm.t,SUBSTITUTE(SUBSTITUTE(SUBSTITUTE(UPPER(DQ296),"С","C"),"А","A"),"В","B"),_xlpm.tk,_xlfn.TEXTSPLIT(_xlpm.t," "),_xlpm.f,_xlfn._xlws.FILTER(_xlpm.tk,ISNUMBER(--MID(_xlpm.tk,2,1))*ISNUMBER(SEARCH(LEFT(_xlpm.tk,1)&amp;"#","B#C#D#"))*(LEN(_xlpm.tk)&gt;1),""),_xlpm.x,INDEX(_xlpm.f,1),IFERROR(--SUBSTITUTE(MID(_xlpm.x,2,9),"A",""),IFERROR(--SUBSTITUTE(INDEX(_xlfn._xlws.FILTER(_xlpm.tk,ISNUMBER(--SUBSTITUTE(_xlpm.tk,"A","")),""),1),"A",""),""))))</f>
        <v>16</v>
      </c>
      <c r="DS296" t="str">
        <f t="shared" si="592"/>
        <v>ok</v>
      </c>
      <c r="DT296">
        <f t="shared" si="593"/>
        <v>16</v>
      </c>
      <c r="DU296" t="str">
        <f t="shared" si="594"/>
        <v>2P С16А 30мА</v>
      </c>
      <c r="DV296">
        <f t="shared" si="595"/>
        <v>30</v>
      </c>
      <c r="DW296">
        <f t="shared" si="596"/>
        <v>1</v>
      </c>
      <c r="DX296">
        <f t="shared" si="597"/>
        <v>0</v>
      </c>
      <c r="DY296">
        <f t="shared" si="598"/>
        <v>0.54696341291648753</v>
      </c>
      <c r="DZ296">
        <f t="shared" si="599"/>
        <v>1</v>
      </c>
      <c r="EA296">
        <f>IF(ISNUMBER(AP296),AP296,К_прокл)</f>
        <v>1</v>
      </c>
      <c r="EB296">
        <f t="shared" si="600"/>
        <v>2</v>
      </c>
      <c r="EC296">
        <f>IFERROR(N(VLOOKUP(BZ296,Кабель_обозначение,3,FALSE)),1)</f>
        <v>1</v>
      </c>
      <c r="ED296">
        <f>IFERROR(N(_xlfn.XLOOKUP(A296,Щиты[Щит],Щиты[ΔU до шин, %])),0)</f>
        <v>1.79</v>
      </c>
      <c r="EE296" t="str">
        <f>IFERROR(_xlfn.XLOOKUP(A296,Щиты[Щит],Щиты[Zпетли на шинах, Ом]),"")</f>
        <v/>
      </c>
      <c r="EF296">
        <f>IFERROR(N(_xlfn.XLOOKUP(A296,Щиты[Щит],Щиты[ΔU до шин (подбор), %])),0)</f>
        <v>4.75</v>
      </c>
      <c r="EG296" t="str">
        <f>IFERROR(_xlfn.XLOOKUP(A296,Щиты[Щит],Щиты[Zпетли на шинах (подбор), Ом]),"")</f>
        <v/>
      </c>
      <c r="EH296" t="str">
        <f t="shared" si="601"/>
        <v/>
      </c>
      <c r="EI296">
        <f t="shared" si="602"/>
        <v>36</v>
      </c>
      <c r="EJ296">
        <f t="shared" si="603"/>
        <v>2</v>
      </c>
      <c r="EK296">
        <f t="shared" si="604"/>
        <v>0.31</v>
      </c>
      <c r="EL296" s="6">
        <f>IF(B296="","",IF(BV296=1,dU_LED,IF(IFERROR(_xlfn.XLOOKUP(BC296,Коды_код,Коды_уго),"")="Светильник",3,4)+IF(Методика="нормы 2026",MIN(0.5,MAX(0,N(P296)-100)*0.005),0)))</f>
        <v>4</v>
      </c>
      <c r="EM296" t="str" cm="1">
        <f t="array" ref="EM296">IF(OR(B296="",BZ296="",EC296&lt;&gt;1),"",_xlfn.LET(_xlpm.sz,Iдоп_S,_xlpm.t_,CHOOSE(EB296,Iдоп_1ж,Iдоп_2ж,Iдоп_3ж)*DZ296*EA296,_xlpm.dcx,BV296=1,_xlpm.inn,IF(_xlpm.dcx,N(O296),N(DT296)),_xlpm.smin,MAX(1.5,CC296),_xlpm.L_,N(P296)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296)/N(BU296)*100,999),IFERROR(N(EJ296)*(_xlpm.rho*_xlpm.L_/_xlpm.sz*N(CE296)+_xlpm.xx*_xlpm.L_*N(EK296)/1000)*N(O296)/((Uн_лин/SQRT(3))*1000)*100,999)),_xlpm.kz,IF(OR(_xlpm.dcx,DW296=1,NOT(ISNUMBER(EG296)),_xlpm.L_=0,_xlpm.inn=0),1,IFERROR(--(c_min*(Uн_лин*1000/SQRT(3))/(EG296+2*ρкз_Cu*_xlpm.L_/_xlpm.sz)&gt;=HT296*_xlpm.inn),0)),_xlpm.ok,IFERROR((_xlpm.sz&gt;=_xlpm.smin)*(_xlpm.t_&gt;=_xlpm.inn)*IF(_xlpm.L_&gt;0,(_xlpm.du_+IF(_xlpm.dcx,0,EF296)&lt;=EL296+0.00001),1)*_xlpm.kz,0),_xlpm.r_,_xlfn._xlws.FILTER(_xlpm.sz,_xlpm.ok,"не подобрано"),INDEX(_xlpm.r_,1)))</f>
        <v>не подобрано</v>
      </c>
      <c r="EN296">
        <f t="shared" si="605"/>
        <v>2.5</v>
      </c>
      <c r="EO296" cm="1">
        <f t="array" ref="EO296">IF(OR(B296="",BZ296="",EC296&lt;&gt;1),"",_xlfn.LET(_xlpm.sz,Iдоп_S,_xlpm.t_,CHOOSE(EB296,Iдоп_1ж,Iдоп_2ж,Iдоп_3ж)*DZ296*EA296,_xlpm.ok,IFERROR((_xlpm.sz&gt;=MAX(1.5,CC296))*(_xlpm.t_&gt;=N(DT296)),0),_xlpm.r_,_xlfn._xlws.FILTER(_xlpm.sz,_xlpm.ok,""),INDEX(_xlpm.r_,1)))</f>
        <v>1.5</v>
      </c>
      <c r="EP296" s="6" cm="1">
        <f t="array" ref="EP296">IFERROR(ROUNDUP(N(EJ296)*(_xlfn.XLOOKUP(EO296,INDEX(Кабель_сопротивление,0,1),INDEX(Кабель_сопротивление,0,3))*N(P296)/EO296*N(CE296)+_xlfn.XLOOKUP(EO296,INDEX(Кабель_сопротивление,0,1),INDEX(Кабель_сопротивление,0,2))*N(P296)*N(EK296)/1000)*N(O296)/((Uн_лин/SQRT(3))*1000)*100,2),"")</f>
        <v>0.27</v>
      </c>
      <c r="EQ296">
        <f>IFERROR(2*ρкз_Cu*N(P296)/EO296,"")</f>
        <v>1.3676000000000001</v>
      </c>
      <c r="ER296">
        <f>IFERROR(VLOOKUP(EN296,Кабель_сопротивление,3,FALSE),"")</f>
        <v>2.2499999999999999E-2</v>
      </c>
      <c r="ES296">
        <f>IFERROR(VLOOKUP(EN296,Кабель_сопротивление,2,FALSE),"")</f>
        <v>0.1</v>
      </c>
      <c r="ET296">
        <f t="shared" si="606"/>
        <v>16</v>
      </c>
      <c r="EU296">
        <f t="shared" si="607"/>
        <v>5</v>
      </c>
      <c r="EV296">
        <f t="shared" si="608"/>
        <v>0.3660924576064376</v>
      </c>
      <c r="EW296" s="6">
        <f>IFERROR(ROUNDUP(EV296/IF(BV296=1,BU296,(Uн_лин/SQRT(3))*1000)*100,2),"")</f>
        <v>0.16</v>
      </c>
      <c r="EX296" t="str">
        <f>IFERROR(VLOOKUP(BZ296,Кабель_обозначение,2,FALSE),"")</f>
        <v>ВВГнг(А)-LS</v>
      </c>
      <c r="EY296" t="str">
        <f t="shared" si="609"/>
        <v>ВВГнг(А)-LS (3х2,5)</v>
      </c>
      <c r="EZ296" t="str">
        <f t="shared" si="610"/>
        <v>ВВГнг(А)-LS (3х2,5)
L=39-0,16%</v>
      </c>
      <c r="FA296">
        <f>IFERROR(2*ρкз_Cu*P296/EN296,"")</f>
        <v>0.82056000000000007</v>
      </c>
      <c r="FB296">
        <f t="shared" si="611"/>
        <v>0.27300000000000002</v>
      </c>
      <c r="FC296" s="6" t="str">
        <f>IFERROR(IF(OR(B296="",BV296=1,NOT(ISNUMBER(EN296)),N(P296)=0),"",_xlfn.XLOOKUP(A296,Щиты[Щит],Щиты[Zпетли на шинах, Ом])+FA296),"")</f>
        <v/>
      </c>
      <c r="FD296" s="6" t="str">
        <f>IF(ISNUMBER(FC296),c_min*(Uн_лин*1000/SQRT(3))/FC296,"")</f>
        <v/>
      </c>
      <c r="FE296" s="6" t="str">
        <f>IFERROR(IF(OR(B296="",NOT(ISNUMBER(EN296))),"",1.05*(Uн_лин*1000/SQRT(3))/(_xlfn.XLOOKUP(A296,Щиты[Щит],Щиты[Zmax на шинах, Ом])+FB296)/1000),"")</f>
        <v/>
      </c>
      <c r="FF296" s="6" t="str">
        <f>IF(B296="","",IF(ISNUMBER(AC296),"Сил",IF(IFERROR(_xlfn.XLOOKUP(BC296,Коды_код,Коды_группа)&amp;"","")="","Быт",_xlfn.XLOOKUP(BC296,Коды_код,Коды_группа)&amp;"")))</f>
        <v>Быт</v>
      </c>
      <c r="FG296" s="6" t="str">
        <f t="shared" si="612"/>
        <v>Быт</v>
      </c>
      <c r="FH296" s="6">
        <f>IF(FG296="Щит","щит",IF(FG296="","",IF(FG296="Быт",IFERROR(_xlfn.XLOOKUP(A296,Щиты[Щит],Щиты[Кс быт]),1),IF(FG296="Сил",IF(ISNUMBER(AC296),AC296,IF(Методика="нормы 2026",IFERROR(_xlfn.XLOOKUP(A296,Щиты[Щит],Щиты[Кс силовых (табл. 7.5)]),1),1)),IF(OR(FG296="Пост",FG296="Отоп"),1,IF(FG296="ВНГ",0.7,0))))))</f>
        <v>0.8</v>
      </c>
      <c r="FI296">
        <f>IF(FG296="","",IF(AND(BP296=1,TRIM(AE296&amp;"")=""),IF(COUNTIFS(Линии[Щит],A296,Линии[Секция (1/2/3)],"&gt;=2")&gt;0,MIN(3,MAX(1,IFERROR(--BD296,1))),1),IFERROR(MIN(3,MAX(1,INT(--AE296))),1)))</f>
        <v>1</v>
      </c>
      <c r="FJ296">
        <f t="shared" si="613"/>
        <v>0.12</v>
      </c>
      <c r="FK296">
        <f t="shared" si="614"/>
        <v>0.12</v>
      </c>
      <c r="FL296">
        <f t="shared" si="615"/>
        <v>0</v>
      </c>
      <c r="FM296">
        <f t="shared" si="616"/>
        <v>0</v>
      </c>
      <c r="FN296">
        <f t="shared" si="617"/>
        <v>0</v>
      </c>
      <c r="FO296">
        <f t="shared" si="618"/>
        <v>0</v>
      </c>
      <c r="FP296">
        <f t="shared" si="619"/>
        <v>0.12</v>
      </c>
      <c r="FQ296">
        <f t="shared" si="620"/>
        <v>0.12</v>
      </c>
      <c r="FR296">
        <f t="shared" si="621"/>
        <v>0.11399999999999999</v>
      </c>
      <c r="FS296">
        <f>IF(CG296=1,IF(AND(CH296=1,CW296=1),0,IF(AND(CS296&lt;&gt;"",CS296=BA296,CW296=1),SUMIFS(Линии[_Р линии, кВт],Линии[_блок УЗО],BA296,Линии[Щит],A296),N(BS296)+IF(AJ296="вручную",0,N(CK296)))),0)</f>
        <v>0.12</v>
      </c>
      <c r="FT296" t="str">
        <f t="shared" si="622"/>
        <v>L3</v>
      </c>
      <c r="FU296" t="str">
        <f>IF(B296="","",IF(CG296=0,IF(BA296=1,"",FW295),IF(AND(CH296=1,CW296=1,CS296&lt;&gt;""),IFERROR(_xlfn.XLOOKUP(CS296,Линии[_n],Линии[_фаза итог]),"L1"),IF(OR(N(DL296)&gt;=3,N(BX296)&gt;=3),"L1,L2,L3",IFERROR(_xlfn.TEXTBEFORE(_xlfn.TEXTAFTER(_xlfn.XLOOKUP(A296,Щиты[Щит],Щиты[_фазы авто]),";"&amp;BA296&amp;":"),";"),"L1")))))</f>
        <v>L1</v>
      </c>
      <c r="FV296" t="str">
        <f t="shared" si="623"/>
        <v>L3</v>
      </c>
      <c r="FW296" t="str">
        <f t="shared" si="624"/>
        <v>L3</v>
      </c>
      <c r="FX296" cm="1">
        <f t="array" ref="FX296">IFERROR(IF(CD296=2,_xlfn.IFS(BX296=3,VLOOKUP(BS296,Справочная_двигатели,3,FALSE),BX296=1,VLOOKUP(BS296,Справочная_двигатели,5,TRUE)),0),0)</f>
        <v>0</v>
      </c>
      <c r="FY296">
        <f>IFERROR(IF(CD296=3,VLOOKUP(BS296,Справочная_ЛЭД,2,TRUE),0),0)</f>
        <v>0</v>
      </c>
      <c r="FZ296" s="6">
        <f t="shared" si="625"/>
        <v>0</v>
      </c>
      <c r="GA296" t="str">
        <f>IF(B296="","",IF(TRIM(AH296&amp;"")&lt;&gt;"",IF(LOWER(TRIM(AH296&amp;""))="да","да","нет"),IF(IFERROR(_xlfn.XLOOKUP(BC296,Коды_код,Коды_пожарная),"")="да","да","нет")))</f>
        <v>нет</v>
      </c>
      <c r="GB296" t="str">
        <f t="shared" si="626"/>
        <v/>
      </c>
      <c r="GC296" t="str">
        <f t="shared" si="627"/>
        <v>основная</v>
      </c>
      <c r="GD296">
        <f>IF(AND(BP296=1,TRIM(AE296&amp;"")=""),IF(COUNTIFS(Линии[Щит],A296,Линии[Секция (1/2/3)],"&gt;=2")&gt;0,MIN(3,MAX(1,IFERROR(--BD296,1))),1),IFERROR(MIN(3,MAX(1,INT(--AE296))),1))</f>
        <v>1</v>
      </c>
      <c r="GE296" t="str" cm="1">
        <f t="array" ref="GE296">IF(B296="","",_xlfn.LET(_xlpm.t,IFERROR(_xlfn.XLOOKUP(1,(Шины[Шина]=GC296)*(((Шины[Щит]=A296)+(Шины[Щит]=""))&gt;0),Шины[Тип]),"")&amp;"",IF(_xlpm.t&lt;&gt;"",_xlpm.t,IF(ISNUMBER(SEARCH("ИБП",GC296)),"ИБП",IF(ISNUMBER(SEARCH("ДГУ",GC296)),"ДГУ","Ввод "&amp;GD296)))))</f>
        <v>Ввод 1</v>
      </c>
      <c r="GF296" t="str">
        <f t="shared" si="628"/>
        <v>Ввод 1</v>
      </c>
      <c r="GG296" t="str">
        <f>IF(BP296=0,"",IF(TRIM(AG296&amp;"")&lt;&gt;"",TRIM(AG296&amp;""),IF(OR(GE296="ИБП",GE296="ДГУ"),"I особая",_xlfn.XLOOKUP(A296,Щиты[Щит],Щиты[Категория шины «Ввод»],"III"))))</f>
        <v/>
      </c>
      <c r="GH296" t="str">
        <f>IF(A296="","",_xlfn.XLOOKUP(A296,Щиты[Щит],Щиты[Путь],""))</f>
        <v>|ГРЩ-ЖД|ЩР-2|</v>
      </c>
      <c r="GI296" t="str">
        <f>IF(B296="","",IF(AI296&lt;&gt;"",AI296,IF(IFERROR(_xlfn.XLOOKUP(BC296,Коды_код,Коды_вид)&amp;"","")="","Прочее",_xlfn.XLOOKUP(BC296,Коды_код,Коды_вид)&amp;"")))</f>
        <v>Розеточная сеть и бытовые приборы</v>
      </c>
      <c r="GJ296">
        <f>IF(BM296="","",INT((BM296-1)/Столбцов_на_лист)+1)</f>
        <v>2</v>
      </c>
      <c r="GK296" t="str">
        <f t="shared" si="629"/>
        <v>ВВГнг(А)-LS (3х2,5) L=39-0,16%</v>
      </c>
      <c r="GL296">
        <f t="shared" si="630"/>
        <v>0.12</v>
      </c>
      <c r="GM296">
        <f t="shared" si="631"/>
        <v>0.55000000000000004</v>
      </c>
      <c r="GN296">
        <f t="shared" si="632"/>
        <v>1</v>
      </c>
      <c r="GO296">
        <f t="shared" si="633"/>
        <v>0</v>
      </c>
      <c r="GP296">
        <f t="shared" si="634"/>
        <v>1</v>
      </c>
      <c r="GQ296">
        <f>IF(BM296="","",IF(AND(CG296=1,GP296=1),COUNTIFS(A$3:A296,A296,CG$3:CG296,1,GP$3:GP296,1),IF(OR(OR(BA296=1,A296&lt;&gt;A295),AJ296="вручную",GP296=0),"",IF(BA296=1,"",GR295))))</f>
        <v>13</v>
      </c>
      <c r="GR296">
        <f t="shared" si="635"/>
        <v>13</v>
      </c>
      <c r="GS296">
        <f>IF(B296="","",IFERROR(LOOKUP(INDEX(CHOOSE(EB296,Iдоп_1ж,Iдоп_2ж,Iдоп_3ж),MATCH(EN296,Iдоп_S,0))*DZ296*EA296,{6,10,16,20,25,32,40,50,63,80,100,125,160,200,250,315,400,500,630}),""))</f>
        <v>25</v>
      </c>
      <c r="GT296" t="str">
        <f t="shared" si="636"/>
        <v>QFD13</v>
      </c>
      <c r="GU296" t="str">
        <f t="shared" si="637"/>
        <v>QFD13</v>
      </c>
      <c r="GV296" t="str">
        <f t="shared" si="638"/>
        <v/>
      </c>
      <c r="GW296">
        <f t="shared" si="639"/>
        <v>0</v>
      </c>
      <c r="GX296" t="str">
        <f>IF(OR(B296="",DJ296=""),"",IFERROR(_xlfn.XLOOKUP(DJ296,Модули_умолч[Управление],Модули_умолч[Модель])&amp;"",""))</f>
        <v/>
      </c>
      <c r="GY296">
        <f>IF(DJ296="",1,IFERROR(MAX(0,N(_xlfn.XLOOKUP(DJ296,Модули_умолч[Управление],Модули_умолч[Каналов на линию]))),1))</f>
        <v>1</v>
      </c>
      <c r="GZ296" t="str">
        <f t="shared" si="640"/>
        <v/>
      </c>
      <c r="HA296" t="str">
        <f t="shared" si="641"/>
        <v/>
      </c>
      <c r="HB296" t="str">
        <f t="shared" si="642"/>
        <v/>
      </c>
      <c r="HC296">
        <f>IF(HB296="",0,IFERROR(N(VLOOKUP(HB296,Модули_спр,3,FALSE)),0))</f>
        <v>0</v>
      </c>
      <c r="HD296" t="str">
        <f t="shared" si="643"/>
        <v/>
      </c>
      <c r="HE296" t="str">
        <f t="shared" si="644"/>
        <v/>
      </c>
      <c r="HF296" t="str">
        <f>IF(OR(HE296="",HE296="-"),"",IFERROR(VLOOKUP(HE296,Модули_спр,2,FALSE),"R"))</f>
        <v/>
      </c>
      <c r="HG296" t="str">
        <f>IF(HF296="","",HF296&amp;"."&amp;COUNTIFS(A$3:A296,A296,HF$3:HF296,HF296))</f>
        <v/>
      </c>
      <c r="HH296" t="str">
        <f t="shared" si="645"/>
        <v/>
      </c>
      <c r="HI296" t="str">
        <f t="shared" si="646"/>
        <v/>
      </c>
      <c r="HJ296" t="str">
        <f t="shared" si="647"/>
        <v/>
      </c>
      <c r="HK296" t="str">
        <f t="shared" si="648"/>
        <v/>
      </c>
      <c r="HL296">
        <f t="shared" si="649"/>
        <v>1</v>
      </c>
      <c r="HM296" t="str">
        <f>IF(HL296=1,"XT"&amp;COUNTIFS(A$3:A296,A296,HL$3:HL296,1),"")</f>
        <v>XT13</v>
      </c>
      <c r="HN296" t="str">
        <f t="shared" si="650"/>
        <v/>
      </c>
      <c r="HO296" t="str">
        <f t="shared" si="651"/>
        <v>QFD13</v>
      </c>
      <c r="HP296" t="str">
        <f t="shared" si="652"/>
        <v/>
      </c>
      <c r="HQ296" t="str">
        <f t="shared" si="653"/>
        <v>ok</v>
      </c>
      <c r="HR296" t="str">
        <f>IF(OR(HJ296="",HH296=""),"",IF(HJ296+MAX(0,GY296-1)&gt;IFERROR(VLOOKUP(HI296,Модули_спр,3,FALSE),99),"ЛИШНИЙ КАНАЛ",IF(AND(AL296&lt;&gt;"=",GY296&gt;0,COUNTIFS(Линии[_модуль гр.],HH296,Линии[Канал (итог)],HJ296,Линии[Канал],"&lt;&gt;=",Линии[Щит],A296)&gt;1),"ДУБЛЬ КАНАЛА","")))</f>
        <v/>
      </c>
      <c r="HS296" s="6" t="str">
        <f t="shared" si="654"/>
        <v/>
      </c>
      <c r="HT296">
        <f t="shared" si="655"/>
        <v>10</v>
      </c>
      <c r="HU296" t="str">
        <f t="shared" si="656"/>
        <v/>
      </c>
      <c r="HV296">
        <f t="shared" si="657"/>
        <v>0.60878536516659509</v>
      </c>
      <c r="HW296">
        <f t="shared" si="658"/>
        <v>0</v>
      </c>
      <c r="HX296">
        <f t="shared" si="659"/>
        <v>0</v>
      </c>
      <c r="HY296">
        <f t="shared" si="660"/>
        <v>0</v>
      </c>
      <c r="HZ296">
        <f t="shared" si="661"/>
        <v>0</v>
      </c>
      <c r="IA296">
        <f t="shared" si="662"/>
        <v>0</v>
      </c>
      <c r="IB296">
        <f t="shared" si="663"/>
        <v>0</v>
      </c>
      <c r="IC296" t="str">
        <f t="shared" si="664"/>
        <v/>
      </c>
      <c r="ID296" t="str" cm="1">
        <f t="array" ref="ID296">IF(IC296="","",_xlfn.LET(_xlpm.tk,_xlfn.TEXTSPLIT(SUBSTITUTE(SUBSTITUTE(IC296,";"," "),"→"," ")," ",,TRUE),_xlpm.w_,_xlfn._xlws.FILTER(_xlpm.tk,ISNUMBER(--LEFT(_xlpm.tk,1))*((ISNUMBER(SEARCH("W",_xlpm.tk))+ISNUMBER(SEARCH("Вт",_xlpm.tk)))&gt;0),""),IFERROR(--SUBSTITUTE(SUBSTITUTE(UPPER(INDEX(_xlpm.w_,1)),"W",""),"ВТ",""),"")))</f>
        <v/>
      </c>
      <c r="IE296" t="str" cm="1">
        <f t="array" ref="IE296">IF(IC296="","",_xlfn.LET(_xlpm.tk,_xlfn.TEXTSPLIT(SUBSTITUTE(SUBSTITUTE(IC296,";"," "),"→"," ")," ",,TRUE),_xlpm.v_,_xlfn._xlws.FILTER(_xlpm.tk,ISNUMBER(--LEFT(_xlpm.tk,1))*((ISNUMBER(SEARCH("V",_xlpm.tk))+(RIGHT(UPPER(_xlpm.tk))="В"))&gt;0),""),IFERROR(--SUBSTITUTE(SUBSTITUTE(UPPER(INDEX(_xlpm.v_,1)),"V",""),"В",""),"")))</f>
        <v/>
      </c>
      <c r="IF296" s="6" t="str">
        <f>IF(OR(BV296=0,HI296="",HJ296=""),"",IFERROR(N(_xlfn.XLOOKUP(HI296,Каталог!$C$4:$C$500,Каталог!$Q$4:$Q$500)),""))</f>
        <v/>
      </c>
      <c r="IG296" s="6" t="str">
        <f>IF(N(IF296)=0,"",SUMIFS(Линии[Iр, А],Линии[Щит],A296,Линии[_модуль гр.],HH296,Линии[Канал (итог)],HJ296))</f>
        <v/>
      </c>
      <c r="IH296" t="str">
        <f>IF(AND(B296="",HO296=""),"",_xlfn.TEXTJOIN("; ",TRUE,IF(AND(B296&lt;&gt;"",FV296=""),"нет фазы",""),IF(AND(B296&lt;&gt;"",N(GL296)=0,FG296&lt;&gt;"Нет"),"нет мощности",""),IF(AND(HN296&lt;&gt;"",COUNTIFS(Линии[Щит],A296,Линии[Клемма (итог)],HN296)&gt;1),"дубль клеммы "&amp;HN296,""),IF(AND(HQ296&lt;&gt;"",HQ296&lt;&gt;"ok"),HQ296,""),IF(HR296&lt;&gt;"",HR296,""),IF(AND(N(CB296)&gt;=4,N(BX296)=1),CB296&amp;" жил на 1 фазе",""),IF(AND(BC296="R",CG296=1,IF(CS296&lt;&gt;"",N(CV296)&gt;30,OR(N(DA296)=0,N(DA296)&gt;30))),"розетка без дифзащиты до 30 мА",""),IF(AND(CG296=1,N(DA296)&gt;0,ISNUMBER(T296)),IF(T296&gt;N(DA296)/3,"ток утечки "&amp;FIXED(T296,1)&amp;" мА &gt; 1/3 уставки ("&amp;DA296&amp;" мА)",""),""),IF(AND(CH296=1,CS296=""),"«узо»: нет строки с УЗО выше (УЗО 2P 40А 30мА в «Аппаратах»)",""),IF(AND(CS296&lt;&gt;"",CS296=BA296),IF(CT296="","впишите номинал УЗО (УЗО 2P 40А 30мА)",IF(N(CT296)&lt;N(DT296),"УЗО "&amp;CT296&amp;" А &lt; автомата "&amp;DT296&amp;" А перед ним",IF(N(CT296)&lt;N(CX296),"УЗО "&amp;CT296&amp;" А &lt; тока блока "&amp;FIXED(CX296,1)&amp;" А",""))),""),IF(AND(CS296&lt;&gt;"",CS296=BA296,ISNUMBER(CY296)),IF(CY296&gt;N(CV296)/3,"ток утечки блока УЗО "&amp;FIXED(CY296,1)&amp;" мА &gt; 1/3 уставки ("&amp;CV296&amp;" мА)",""),""),IF(AND(CG296=1,N(BV296)+N(IB296)&gt;0,IC296=""),"линии до 50 В без БП: впишите в «Аппараты» (БП 24V 480W)",""),IF(AND(CG296=1,ISNUMBER(ID296),ISNUMBER(U296)),IF(U296&gt;ID296,"БП "&amp;ID296&amp;" Вт &lt; нужно "&amp;U296&amp;" Вт (×"&amp;Запас_БП&amp;")",""),""),IF(AND(CG296=1,ISNUMBER(IE296),N(BV296)=1),IF(IE296&lt;&gt;N(BU296),"БП на "&amp;IE296&amp;" В, линия "&amp;BU296&amp;" В",""),""),IF(AND(N(IF296)&gt;0,N(IG296)&gt;N(IF296)),HH296&amp;" канал "&amp;HJ296&amp;": "&amp;FIXED(IG296,1)&amp;" А &gt; "&amp;IF296&amp;" А",""),IFERROR(IF(AND(ISNUMBER(Q296),Q296&gt;EL296),"потери "&amp;FIXED(Q296,1)&amp;" % &gt; "&amp;EL296&amp;" %",""),""),IFERROR(IF(LEFT(HU296,4)="мало","Iкз мало — отключение &gt; 0,4 с",""),""),IF(AND(B296&lt;&gt;"",BM296=""),"не на схеме",""),IF(AND(CG296=0,B296&lt;&gt;"",FV296&lt;&gt;"",IF(BA296=1,"",FW295)&lt;&gt;"",FV296&lt;&gt;IF(BA296=1,"",FW295)),"фаза не как у автомата группы ("&amp;IF(BA296=1,"",FW295)&amp;")","")))</f>
        <v/>
      </c>
      <c r="II296" s="6">
        <f>IF(OR(CG296=0,DQ296=""),"",_xlfn.LET(_xlpm.t,IFERROR(_xlfn.XLOOKUP(DQ296,Каталог!$U$4:$U$500,Каталог!$G$4:$G$500),""),_xlpm.k,SEARCH("кА",_xlpm.t),IFERROR(--TRIM(RIGHT(SUBSTITUTE(MID(_xlpm.t,MAX(1,_xlpm.k-4),_xlpm.k-MAX(1,_xlpm.k-4))," ",REPT(" ",9)),5)),"")))</f>
        <v>6</v>
      </c>
      <c r="IJ296" t="str">
        <f>IF(OR(II296="",CG296=0),"",IF(_xlfn.XLOOKUP(A296,Щиты[Щит],Щиты[Iкз max на шинах, кА],"")="","",IF(II296&lt;_xlfn.XLOOKUP(A296,Щиты[Щит],Щиты[Iкз max на шинах, кА]),"Icu "&amp;II296&amp;" кА &lt; Iкз max","ok")))</f>
        <v/>
      </c>
      <c r="IK296" t="str">
        <f t="shared" si="665"/>
        <v/>
      </c>
      <c r="IL296" t="str">
        <f t="shared" si="666"/>
        <v>QFD13</v>
      </c>
      <c r="IM296" t="str">
        <f t="shared" si="667"/>
        <v>QFD13|кабель ВВГнг(А)-LS (3х2,5) → Розеточная группа, пом. 015А</v>
      </c>
      <c r="IN296" t="str" cm="1">
        <f t="array" ref="IN296">IF(IM296="","",_xlfn.LET(_xlpm.nd,_xlfn.TEXTSPLIT(IM296,"|"),IF(COLUMNS(_xlpm.nd)&gt;1,A296&amp;"¦"&amp;INDEX(_xlpm.nd,1)&amp;"¦"&amp;INDEX(_xlpm.nd,2),"")))</f>
        <v>ЩР-2¦QFD13¦кабель ВВГнг(А)-LS (3х2,5) → Розеточная группа, пом. 015А</v>
      </c>
      <c r="IO296" t="str">
        <f t="shared" si="668"/>
        <v>R.2.015А.1¦Розеточная группа, пом. 015А</v>
      </c>
      <c r="IP296" t="str" cm="1">
        <f t="array" ref="IP296">IF(IM296="","",_xlfn.LET(_xlpm.nd,_xlfn.TEXTSPLIT(IM296,"|"),IF(COLUMNS(_xlpm.nd)&gt;2,A296&amp;"¦"&amp;INDEX(_xlpm.nd,2)&amp;"¦"&amp;INDEX(_xlpm.nd,3),"")))</f>
        <v/>
      </c>
      <c r="IQ296" t="str">
        <f t="shared" si="669"/>
        <v/>
      </c>
      <c r="IR296" t="str" cm="1">
        <f t="array" ref="IR296">IF(IM296="","",_xlfn.LET(_xlpm.nd,_xlfn.TEXTSPLIT(IM296,"|"),IF(COLUMNS(_xlpm.nd)&gt;3,A296&amp;"¦"&amp;INDEX(_xlpm.nd,3)&amp;"¦"&amp;INDEX(_xlpm.nd,4),"")))</f>
        <v/>
      </c>
      <c r="IS296" t="str">
        <f t="shared" si="670"/>
        <v/>
      </c>
      <c r="IT296" t="str" cm="1">
        <f t="array" ref="IT296">IF(IM296="","",_xlfn.LET(_xlpm.nd,_xlfn.TEXTSPLIT(IM296,"|"),IF(COLUMNS(_xlpm.nd)&gt;4,A296&amp;"¦"&amp;INDEX(_xlpm.nd,4)&amp;"¦"&amp;INDEX(_xlpm.nd,5),"")))</f>
        <v/>
      </c>
      <c r="IU296" t="str">
        <f t="shared" si="671"/>
        <v/>
      </c>
      <c r="IV296" t="str" cm="1">
        <f t="array" ref="IV296">IF(IM296="","",_xlfn.LET(_xlpm.nd,_xlfn.TEXTSPLIT(IM296,"|"),IF(COLUMNS(_xlpm.nd)&gt;5,A296&amp;"¦"&amp;INDEX(_xlpm.nd,5)&amp;"¦"&amp;INDEX(_xlpm.nd,6),"")))</f>
        <v/>
      </c>
      <c r="IW296" t="str">
        <f t="shared" si="672"/>
        <v/>
      </c>
      <c r="IX296" t="str" cm="1">
        <f t="array" ref="IX296">IF(IM296="","",_xlfn.LET(_xlpm.nd,_xlfn.TEXTSPLIT(IM296,"|"),IF(COLUMNS(_xlpm.nd)&gt;6,A296&amp;"¦"&amp;INDEX(_xlpm.nd,6)&amp;"¦"&amp;INDEX(_xlpm.nd,7),"")))</f>
        <v/>
      </c>
      <c r="IY296" t="str">
        <f t="shared" si="673"/>
        <v/>
      </c>
      <c r="IZ296" t="str">
        <f t="shared" si="674"/>
        <v/>
      </c>
      <c r="JA296" t="str">
        <f t="shared" si="675"/>
        <v>QFD13</v>
      </c>
      <c r="JB296">
        <f t="shared" si="676"/>
        <v>0</v>
      </c>
      <c r="JC296">
        <f t="shared" si="677"/>
        <v>1</v>
      </c>
      <c r="JD296" t="str">
        <f t="shared" si="678"/>
        <v/>
      </c>
      <c r="JE296" t="str">
        <f t="shared" si="679"/>
        <v/>
      </c>
      <c r="JF296" t="str">
        <f t="shared" si="680"/>
        <v/>
      </c>
      <c r="JG296" t="str">
        <f t="shared" si="681"/>
        <v/>
      </c>
      <c r="JH296" t="str">
        <f>IF(B296="","",IFERROR(_xlfn.XLOOKUP(B296,Коды_код,Коды_уго),IFERROR(_xlfn.XLOOKUP(BC296,Коды_код,Коды_уго),IFERROR(_xlfn.XLOOKUP(LEFT(BC296,2),Коды_код,Коды_уго),""))))</f>
        <v>Розетка</v>
      </c>
      <c r="JI296" t="str">
        <f>IF(B296="","",IF(OR(JH296="",JH296=0),"BOX",IFERROR(IF(VLOOKUP(JH296,УГО_блоки,3,FALSE)&amp;""&lt;&gt;"",VLOOKUP(JH296,УГО_блоки,3,FALSE),VLOOKUP(JH296,УГО_блоки,2,FALSE)),JH296)))</f>
        <v>SOCKET</v>
      </c>
      <c r="JJ296">
        <f t="shared" si="682"/>
        <v>1</v>
      </c>
      <c r="JK296" t="str">
        <f>IF(DQ296="","",IF(COUNTIF(DQ$3:DQ296,DQ296)=1,MAX(JK$2:JK295)+1,""))</f>
        <v/>
      </c>
      <c r="JL296" t="str">
        <f>IF(DE296="","",IF(COUNTIF(DE$3:DE296,DE296)+COUNTIF(DF$2:DF295,DE296)+COUNTIF(DG$2:DG295,DE296)=1,MAX(JL$2:JN295)+1,""))</f>
        <v/>
      </c>
      <c r="JM296" t="str">
        <f>IF(DF296="","",IF(COUNTIF(DE$3:DE296,DF296)+COUNTIF(DF$3:DF296,DF296)+COUNTIF(DG$2:DG295,DF296)=1,MAX(JL$2:JN295,JL296)+1,""))</f>
        <v/>
      </c>
      <c r="JN296" t="str">
        <f>IF(DG296="","",IF(COUNTIF(DE$3:DE296,DG296)+COUNTIF(DF$3:DF296,DG296)+COUNTIF(DG$3:DG296,DG296)=1,MAX(JL$2:JN295,JL296,JM296)+1,""))</f>
        <v/>
      </c>
      <c r="JO296" t="str">
        <f t="shared" si="683"/>
        <v>3х2,5</v>
      </c>
      <c r="JP296" t="str">
        <f>IF(JO296="","",IF(COUNTIF(JO$3:JO296,JO296)=1,MAX(JP$2:JP295)+1,""))</f>
        <v/>
      </c>
      <c r="JQ296" t="str">
        <f>IF(HG296="","",COUNTIF(HG$3:HG296,"?*"))</f>
        <v/>
      </c>
      <c r="JR296" t="str">
        <f>IF(OR(HG296="",HI296=""),"",IF(COUNTIFS(HG$3:HG296,"?*",HI$3:HI296,HI296)=1,MAX(JR$2:JR295)+1,""))</f>
        <v/>
      </c>
      <c r="JS296">
        <f t="shared" si="684"/>
        <v>0</v>
      </c>
      <c r="JT296">
        <f>IF(B296="","",COUNTIF(B$3:B296,"?*"))</f>
        <v>294</v>
      </c>
      <c r="JU296">
        <f>IF(HL296&lt;&gt;1,0,_xlfn.LET(_xlpm.k,MAX(IFERROR(--_xlfn.XLOOKUP(B296,Коды_код,Коды_3L),0),IFERROR(--_xlfn.XLOOKUP(BC296,Коды_код,Коды_3L),0),IFERROR(--_xlfn.XLOOKUP(LEFT(BC296,2),Коды_код,Коды_3L),0)),IF(_xlpm.k&gt;0,_xlpm.k,IF(IFERROR(--LEFT(SUBSTITUTE(JO296,"x","х"),FIND("х",SUBSTITUTE(JO296,"x","х"))-1),3)&gt;3,Каталог!$S$9,1))))</f>
        <v>1</v>
      </c>
      <c r="JV296">
        <f t="shared" si="685"/>
        <v>0</v>
      </c>
      <c r="JW296" t="str">
        <f t="shared" si="686"/>
        <v>авто</v>
      </c>
      <c r="JX296">
        <f t="shared" si="687"/>
        <v>30</v>
      </c>
      <c r="JY296">
        <f t="shared" si="688"/>
        <v>1</v>
      </c>
      <c r="JZ296">
        <f t="shared" si="689"/>
        <v>1</v>
      </c>
    </row>
    <row r="297" spans="1:286" x14ac:dyDescent="0.3">
      <c r="A297" t="s">
        <v>759</v>
      </c>
      <c r="B297" t="s">
        <v>1602</v>
      </c>
      <c r="C297" t="str">
        <f>Линии[[#This Row],[_авто наименование]]</f>
        <v>Розеточная группа, пом. 016А</v>
      </c>
      <c r="D297">
        <v>1</v>
      </c>
      <c r="E297">
        <v>0.06</v>
      </c>
      <c r="G297">
        <v>16</v>
      </c>
      <c r="H297" t="str">
        <f>Линии[[#This Row],[_авто управление]]</f>
        <v/>
      </c>
      <c r="I297" t="str">
        <f>Линии[[#This Row],[_авто аппараты]]</f>
        <v/>
      </c>
      <c r="J297">
        <v>2.5</v>
      </c>
      <c r="K297">
        <v>31</v>
      </c>
      <c r="L297">
        <v>2</v>
      </c>
      <c r="M297" t="s">
        <v>484</v>
      </c>
      <c r="N297" t="str">
        <f t="shared" si="552"/>
        <v/>
      </c>
      <c r="O297" s="6" cm="1">
        <f t="array" ref="O297">IF(B297="","",IF(BH297&lt;&gt;"",IFERROR(_xlfn.XLOOKUP(BH297,Щиты[Щит],Щиты[Iр, А]),""),IF(BP297=1,IF(OR(N(_xlfn.XLOOKUP(A297,Щиты[Щит],Щиты[Вводов],1))&lt;=1,LOWER(TRIM(_xlfn.XLOOKUP(A297,Щиты[Щит],Щиты[АВР],"")&amp;""))="да"),IFERROR(_xlfn.XLOOKUP(A297,Щиты[Щит],Щиты[Iр, А]),""),IFERROR(N(BS297)*_xlfn.XLOOKUP(A297,Щиты[Щит],Щиты[Кс итог])/(SQRT(3)*Uн_лин*_xlfn.XLOOKUP(A297,Щиты[Щит],Щиты[cos φ])),"")),IF(BV297=1,IFERROR(BS297*1000/BU297,""),IFERROR(_xlfn.IFS(BX297=1,BS297/((Uн_лин/SQRT(3))*CE297),BX297=3,BS297/(SQRT(3)*Uн_лин*CE297)),"")))))</f>
        <v>0.27348170645824377</v>
      </c>
      <c r="P297" s="7">
        <f>IF(B297="","",IFERROR(IF(VLOOKUP(BC297,Потребители_обозначение,4,FALSE)=1,VLOOKUP(BC297,Потребители_обозначение,3,FALSE)*(MAX(1,N(D297))*2-1)+EI297+VLOOKUP(BE297,Этаж_обозначение,3,FALSE)+VLOOKUP(BE297,Этаж_обозначение,4,FALSE),VLOOKUP(BC297,Потребители_обозначение,3,FALSE)*(MAX(1,N(D297))*2-1)+EI297),EI297))</f>
        <v>34</v>
      </c>
      <c r="Q297" s="6">
        <f t="shared" si="553"/>
        <v>1.86</v>
      </c>
      <c r="R297" t="str">
        <f t="shared" si="554"/>
        <v>ВВГнг(А)-LS (3х2,5)</v>
      </c>
      <c r="S297" t="str">
        <f>IF(BM297="","",IF(BN297="вводной узел","узел ","")&amp;"л."&amp;(INT((BM297-1)/Столбцов_на_лист)+1)&amp;" / "&amp;(MOD(BM297-1,Столбцов_на_лист)+1))</f>
        <v>л.2 / 7</v>
      </c>
      <c r="T297" s="119">
        <f t="shared" si="555"/>
        <v>0.4</v>
      </c>
      <c r="U297" s="7" t="str">
        <f>IF(OR(CG297=0,N(BV297)+N(IB297)=0),"",ROUNDUP(Запас_БП*(N(HY297)+N(HZ297)),0))</f>
        <v/>
      </c>
      <c r="V297" s="119" t="str">
        <f t="shared" si="556"/>
        <v/>
      </c>
      <c r="W297" s="7" t="str">
        <f>IFERROR(IF(OR(B297="",BP297=1,BV297=1,NOT(ISNUMBER(EN297)),N(DT297)=0),"",MAX(0,ROUNDDOWN((c_min*(Uн_лин*1000/SQRT(3))/(HT297*N(DT297))-_xlfn.XLOOKUP(A297,Щиты[Щит],Щиты[Zпетли на шинах, Ом]))*EN297/(2*ρкз_Cu),0))),"")</f>
        <v/>
      </c>
      <c r="Y297">
        <f>Линии[[#This Row],[_авто утечка]]</f>
        <v>30</v>
      </c>
      <c r="Z297">
        <v>1</v>
      </c>
      <c r="AA297">
        <v>230</v>
      </c>
      <c r="AB297" t="s">
        <v>562</v>
      </c>
      <c r="AG297" t="s">
        <v>810</v>
      </c>
      <c r="AI297" t="s">
        <v>561</v>
      </c>
      <c r="AK297" t="str">
        <f>Линии[[#This Row],[_авто модуль]]</f>
        <v/>
      </c>
      <c r="AM297">
        <v>24</v>
      </c>
      <c r="AN297" t="s">
        <v>11</v>
      </c>
      <c r="AO297">
        <v>3</v>
      </c>
      <c r="AQ297">
        <v>12</v>
      </c>
      <c r="AR297">
        <v>16</v>
      </c>
      <c r="AS297">
        <v>0</v>
      </c>
      <c r="AT297">
        <v>2</v>
      </c>
      <c r="BA297" cm="1">
        <f t="array" ref="BA297">ROW()-ROW(Линии[#Headers])</f>
        <v>295</v>
      </c>
      <c r="BC297" s="6" t="str">
        <f t="shared" si="557"/>
        <v>R</v>
      </c>
      <c r="BD297" t="str">
        <f t="shared" si="558"/>
        <v>2.016А.1</v>
      </c>
      <c r="BE297" t="str">
        <f t="shared" si="559"/>
        <v>2</v>
      </c>
      <c r="BF297" t="str">
        <f t="shared" si="560"/>
        <v>016А.1</v>
      </c>
      <c r="BG297" t="str">
        <f t="shared" si="561"/>
        <v>016А</v>
      </c>
      <c r="BH297" t="str">
        <f>IF(X297&lt;&gt;"",X297,IF(AND(B297&lt;&gt;"",B297&lt;&gt;A297,ISNUMBER(_xlfn.XMATCH(B297,Щиты[Щит]))),B297,""))</f>
        <v/>
      </c>
      <c r="BI297" t="str" cm="1">
        <f t="array" ref="BI297">IF(B297="","",IF(BH297&lt;&gt;"","Щит "&amp;BH297,_xlfn.LET(_xlpm.nm,IFERROR(_xlfn.XLOOKUP(BC297,Коды_код,Коды_имя)&amp;"",""),_xlpm.md,IFERROR(N(_xlfn.XLOOKUP(BC297,Коды_код,Коды_режим)),1),_xlpm.ex,IF(Имя_режим="по экспликации",IFERROR(_xlfn.XLOOKUP(BE297&amp;"|"&amp;BG297,Экспликация[Этаж]&amp;"|"&amp;Экспликация[Помещение],Экспликация[Название])&amp;"",""),""),_xlpm.rm,IF(BG297="","",IF(_xlpm.ex&lt;&gt;"",". "&amp;_xlpm.ex&amp;IF(Имя_пом="нет"," ("&amp;BG297&amp;")"," (пом. "&amp;BG297&amp;")"),IF(Имя_пом="нет"," ",", пом. ")&amp;BG297)),IF(_xlpm.nm="","",IF(_xlpm.md=2,_xlpm.nm&amp;" шлейф "&amp;BE297,_xlpm.nm&amp;_xlpm.rm)))))</f>
        <v>Розеточная группа, пом. 016А</v>
      </c>
      <c r="BJ297" t="str">
        <f t="shared" si="562"/>
        <v>Розеточная группа, пом. 016А</v>
      </c>
      <c r="BK297">
        <f>IFERROR(_xlfn.XMATCH(A297,Щиты[Щит]),0)</f>
        <v>11</v>
      </c>
      <c r="BL297">
        <f>_xlfn.LET(_xlpm.k,IFERROR(_xlfn.XLOOKUP(A297,Щиты[Щит],Щиты[Мест под вводной узел]),""),IF(_xlpm.k="",Столбцов_на_лист,N(_xlpm.k)))</f>
        <v>8</v>
      </c>
      <c r="BM297">
        <f t="shared" si="563"/>
        <v>24</v>
      </c>
      <c r="BN297" t="str">
        <f t="shared" si="564"/>
        <v>линии</v>
      </c>
      <c r="BO297" s="6">
        <f>IFERROR(N(_xlfn.XLOOKUP(BC297,Коды_код,Коды_квт)),0)</f>
        <v>0</v>
      </c>
      <c r="BP297">
        <f t="shared" si="565"/>
        <v>0</v>
      </c>
      <c r="BQ297" t="str">
        <f>IF(B297="","",IF(BH297&lt;&gt;"",IFERROR(_xlfn.XLOOKUP(BH297,Щиты[Щит],Щиты[Руст, кВт]),0),IF(BP297=1,IF(OR(N(_xlfn.XLOOKUP(A297,Щиты[Щит],Щиты[Вводов],1))&lt;=1,LOWER(TRIM(_xlfn.XLOOKUP(A297,Щиты[Щит],Щиты[АВР],"")&amp;""))="да"),IFERROR(_xlfn.XLOOKUP(A297,Щиты[Щит],Щиты[Руст, кВт]),0),SUMIFS(Линии[_Р для вводов],Линии[Щит],A297,Линии[Источник для режимов],GF297)),IF(BO297&gt;0,ROUND(BO297*MAX(1,N(D297)),3),""))))</f>
        <v/>
      </c>
      <c r="BR297">
        <f t="shared" si="566"/>
        <v>0.06</v>
      </c>
      <c r="BS297" s="6">
        <f>IF(B297="","",IF(BH297&lt;&gt;"",IFERROR(_xlfn.XLOOKUP(BH297,Щиты[Щит],Щиты[Руст, кВт]),0),N(BR297)))</f>
        <v>0.06</v>
      </c>
      <c r="BT297" t="str">
        <f>IF(B297="","",IFERROR(IF(VLOOKUP(BC297,Потребители_обозначение,8,FALSE)=0,"",VLOOKUP(BC297,Потребители_обозначение,8,FALSE)),""))</f>
        <v/>
      </c>
      <c r="BU297">
        <f t="shared" si="567"/>
        <v>230</v>
      </c>
      <c r="BV297">
        <f t="shared" si="568"/>
        <v>0</v>
      </c>
      <c r="BW297">
        <f>IF(B297="","",IF(BH297&lt;&gt;"",3,IFERROR(IF(N(VLOOKUP(BC297,Потребители_обозначение,9,FALSE))=0,1,VLOOKUP(BC297,Потребители_обозначение,9,FALSE)),1)))</f>
        <v>1</v>
      </c>
      <c r="BX297">
        <f t="shared" si="569"/>
        <v>1</v>
      </c>
      <c r="BY297" t="str">
        <f>IF(B297="","",_xlfn.LET(_xlpm.bc,IFERROR(IF(VLOOKUP(BC297,Потребители_обозначение,6,FALSE)=0,"",VLOOKUP(BC297,Потребители_обозначение,6,FALSE)&amp;""),""),IF(AND(GA297="да",OR(_xlpm.bc="",_xlpm.bc="мс")),Марка_пож,IF(AND(_xlpm.bc="",BH297&lt;&gt;""),"мс",_xlpm.bc))))</f>
        <v/>
      </c>
      <c r="BZ297" t="str">
        <f t="shared" si="570"/>
        <v>мс</v>
      </c>
      <c r="CA297">
        <f>IF(B297="","",_xlfn.LET(_xlpm.cc,IFERROR(N(VLOOKUP(BC297,Потребители_обозначение,7,FALSE)),0),IF(_xlpm.cc&gt;0,_xlpm.cc,IF(BZ297="","",IF(BV297=1,2,IF(N(BX297)=3,5,3))))))</f>
        <v>3</v>
      </c>
      <c r="CB297">
        <f t="shared" si="571"/>
        <v>3</v>
      </c>
      <c r="CC297">
        <f>IFERROR(N(VLOOKUP(BC297,Потребители_обозначение,10,FALSE)),0)</f>
        <v>0</v>
      </c>
      <c r="CD297">
        <f>IFERROR(VLOOKUP(BC297,Потребители_обозначение,5,FALSE),0)</f>
        <v>1</v>
      </c>
      <c r="CE297" s="6" cm="1">
        <f t="array" ref="CE297">IF(B297="","",IF(BH297&lt;&gt;"",IFERROR(_xlfn.XLOOKUP(BH297,Щиты[Щит],Щиты[cos φ]),0.95),IF(BP297=1,IFERROR(_xlfn.XLOOKUP(A297,Щиты[Щит],Щиты[cos φ]),0.95),IF(ISNUMBER(AD297),AD297,IFERROR(IF(CD297=2,_xlfn.IFS(BX297=3,VLOOKUP(BS297,Справочная_двигатели,8,FALSE),BX297=1,VLOOKUP(BS297,Справочная_двигатели,10,TRUE)),IF(AND(Методика="нормы 2026",FG297="Сил"),0.8,0.95)),0.95)))))</f>
        <v>0.95</v>
      </c>
      <c r="CF297">
        <f t="shared" si="572"/>
        <v>0</v>
      </c>
      <c r="CG297">
        <f t="shared" si="573"/>
        <v>1</v>
      </c>
      <c r="CH297">
        <f t="shared" si="574"/>
        <v>0</v>
      </c>
      <c r="CI297">
        <f>IF(B297="","",IF(BV297=1,IFERROR(BS297/((Uн_лин/SQRT(3))*MAX(0.5,N(CE297))),0),N(O297)))</f>
        <v>0.27348170645824377</v>
      </c>
      <c r="CJ297">
        <f t="shared" si="575"/>
        <v>0</v>
      </c>
      <c r="CK297">
        <f t="shared" si="576"/>
        <v>0</v>
      </c>
      <c r="CL297">
        <f t="shared" si="577"/>
        <v>0</v>
      </c>
      <c r="CM297">
        <f t="shared" si="578"/>
        <v>0</v>
      </c>
      <c r="CN297">
        <f t="shared" si="579"/>
        <v>0</v>
      </c>
      <c r="CO297">
        <f>IF(BC297="",0,_xlfn.LET(_xlpm.v,IFERROR(_xlfn.XLOOKUP(B297,Коды_код,Коды_мА),IFERROR(_xlfn.XLOOKUP(BC297,Коды_код,Коды_мА),IFERROR(_xlfn.XLOOKUP(LEFT(BC297,2),Коды_код,Коды_мА),""))),IF(_xlpm.v="да",30,IF(ISNUMBER(_xlpm.v),_xlpm.v,0))))</f>
        <v>30</v>
      </c>
      <c r="CP297">
        <f t="shared" si="580"/>
        <v>30</v>
      </c>
      <c r="CQ297" t="str">
        <f>_xlfn.LET(_xlpm.k,IFERROR(_xlfn.XLOOKUP(BC297,Коды_код,Коды_утечка)&amp;"",""),IF(_xlpm.k="","дифавтомат",_xlpm.k))</f>
        <v>дифавтомат</v>
      </c>
      <c r="CR297" t="str" cm="1">
        <f t="array" ref="CR297">IF(CG297=0,"",_xlfn.LET(_xlpm.sg,TRIM(_xlfn.TEXTSPLIT(DD297&amp;"",";")),_xlpm.f_,_xlfn._xlws.FILTER(_xlpm.sg,LEFT(_xlpm.sg,3)="УЗО",""),IFERROR(INDEX(_xlpm.f_,1)&amp;"","")))</f>
        <v/>
      </c>
      <c r="CS297" t="str">
        <f t="shared" si="581"/>
        <v/>
      </c>
      <c r="CT297" s="6" t="str" cm="1">
        <f t="array" ref="CT297">IF(CR297="","",_xlfn.LET(_xlpm.tk,_xlfn.TEXTSPLIT(UPPER(CR297)," ",,TRUE),_xlpm.a_,_xlfn._xlws.FILTER(_xlpm.tk,ISNUMBER(--LEFT(_xlpm.tk,1))*((ISNUMBER(SEARCH("А",_xlpm.tk))+ISNUMBER(SEARCH("A",_xlpm.tk)))&gt;0)*NOT(ISNUMBER(SEARCH("МА",_xlpm.tk)))*NOT(ISNUMBER(SEARCH("MA",_xlpm.tk))),""),IFERROR(--SUBSTITUTE(SUBSTITUTE(INDEX(_xlpm.a_,1),"А",""),"A",""),"")))</f>
        <v/>
      </c>
      <c r="CU297" t="str" cm="1">
        <f t="array" ref="CU297">IF(CR297="","",_xlfn.LET(_xlpm.tk,_xlfn.TEXTSPLIT(UPPER(CR297)," ",,TRUE),_xlpm.a_,_xlfn._xlws.FILTER(_xlpm.tk,ISNUMBER(--LEFT(_xlpm.tk,1))*((ISNUMBER(SEARCH("МА",_xlpm.tk))+ISNUMBER(SEARCH("MA",_xlpm.tk)))&gt;0),""),IFERROR(--SUBSTITUTE(SUBSTITUTE(INDEX(_xlpm.a_,1),"МА",""),"MA",""),30)))</f>
        <v/>
      </c>
      <c r="CV297" t="str">
        <f>IF(CS297="","",IFERROR(_xlfn.XLOOKUP(CS297,Линии[_n],Линии[_УЗО, мА]),30))</f>
        <v/>
      </c>
      <c r="CW297">
        <f>IF(CS297="",0,IF(ISNUMBER(SEARCH("4P",IFERROR(_xlfn.XLOOKUP(CS297,Линии[_n],Линии[_УЗО строки])&amp;"",""))),0,1))</f>
        <v>0</v>
      </c>
      <c r="CX297" t="str">
        <f>IF(AND(CS297&lt;&gt;"",CS297=BA297),SUMIFS(Линии[_ток на 230 В],Линии[_блок УЗО],BA297,Линии[Щит],A297),"")</f>
        <v/>
      </c>
      <c r="CY297" t="str">
        <f>IF(AND(CS297&lt;&gt;"",CS297=BA297),SUMIFS(Линии[_ток утечки линии, мА],Линии[_блок УЗО],BA297,Линии[Щит],A297),"")</f>
        <v/>
      </c>
      <c r="CZ297">
        <f t="shared" si="582"/>
        <v>30</v>
      </c>
      <c r="DA297">
        <f t="shared" si="583"/>
        <v>30</v>
      </c>
      <c r="DB297">
        <f>IF(B297="",0,IFERROR(--_xlfn.XLOOKUP(B297,Коды_код,Коды_минавт),IFERROR(--_xlfn.XLOOKUP(BC297,Коды_код,Коды_минавт),IFERROR(--_xlfn.XLOOKUP(LEFT(BC297,2),Коды_код,Коды_минавт),0))))</f>
        <v>16</v>
      </c>
      <c r="DC297" t="str">
        <f>IF(B297="","",IFERROR(_xlfn.XLOOKUP(BC297,Коды_код,Коды_апп)&amp;"",""))</f>
        <v/>
      </c>
      <c r="DD297" t="str">
        <f t="shared" si="584"/>
        <v/>
      </c>
      <c r="DE297" t="str" cm="1">
        <f t="array" ref="DE297">IF(TRIM(DD297&amp;"")="","",IFERROR(TRIM(INDEX(_xlfn.TEXTSPLIT(DD297&amp;";;;",";"),1)),""))</f>
        <v/>
      </c>
      <c r="DF297" t="str" cm="1">
        <f t="array" ref="DF297">IF(TRIM(DD297&amp;"")="","",IFERROR(TRIM(INDEX(_xlfn.TEXTSPLIT(DD297&amp;";;;",";"),2)),""))</f>
        <v/>
      </c>
      <c r="DG297" t="str" cm="1">
        <f t="array" ref="DG297">IF(TRIM(DD297&amp;"")="","",IFERROR(TRIM(INDEX(_xlfn.TEXTSPLIT(DD297&amp;";;;",";"),3)),""))</f>
        <v/>
      </c>
      <c r="DH297">
        <f t="shared" si="585"/>
        <v>0</v>
      </c>
      <c r="DI297" t="str">
        <f>IF(B297="","",_xlfn.LET(_xlpm.t,LOWER(AZ297&amp;""),IF(ISNUMBER(SEARCH("dim",_xlpm.t)),"DIM",IF(ISNUMBER(SEARCH("dali",_xlpm.t)),"DALI",IF(OR(ISNUMBER(SEARCH("relay",_xlpm.t)),ISNUMBER(SEARCH("реле",_xlpm.t))),"Relay",IF(ISNUMBER(SEARCH("кнопк",_xlpm.t)),"",IFERROR(_xlfn.XLOOKUP(BC297,Коды_код,Коды_упр)&amp;"","")))))))</f>
        <v/>
      </c>
      <c r="DJ297" t="str">
        <f t="shared" si="586"/>
        <v/>
      </c>
      <c r="DK297">
        <f>IF(B297="","",_xlfn.LET(_xlpm.ig,IF(N(CX297)&gt;0,N(CX297),N(CI297)+IF(AJ297="вручную",0,N(CJ297))),_xlpm.n0,IFERROR(VLOOKUP(_xlpm.ig,Автомат_номиналы,2,TRUE),0),_xlpm.mn,MAX(DB297,IF(AJ297="вручную",0,N(CM297))),MAX(_xlpm.n0,_xlpm.mn,IF(DH297=1,Мин_автомат_БП,0))))</f>
        <v>16</v>
      </c>
      <c r="DL297">
        <f t="shared" si="587"/>
        <v>1</v>
      </c>
      <c r="DM297" t="str">
        <f t="shared" si="588"/>
        <v>2P</v>
      </c>
      <c r="DN297" t="str">
        <f>_xlfn.LET(_xlpm.cc,UPPER(TRIM(IFERROR(_xlfn.XLOOKUP(BC297,Коды_код,Коды_хар)&amp;"",""))),IF(OR(_xlpm.cc="B",_xlpm.cc="В"),"B",IF(_xlpm.cc="D","D","С")))</f>
        <v>С</v>
      </c>
      <c r="DO297" t="str">
        <f t="shared" si="589"/>
        <v>2P С16А 30мА</v>
      </c>
      <c r="DP297">
        <f t="shared" si="590"/>
        <v>16</v>
      </c>
      <c r="DQ297" t="str">
        <f t="shared" si="591"/>
        <v>2P С16А 30мА</v>
      </c>
      <c r="DR297" cm="1">
        <f t="array" ref="DR297">IF(DQ297="","",_xlfn.LET(_xlpm.t,SUBSTITUTE(SUBSTITUTE(SUBSTITUTE(UPPER(DQ297),"С","C"),"А","A"),"В","B"),_xlpm.tk,_xlfn.TEXTSPLIT(_xlpm.t," "),_xlpm.f,_xlfn._xlws.FILTER(_xlpm.tk,ISNUMBER(--MID(_xlpm.tk,2,1))*ISNUMBER(SEARCH(LEFT(_xlpm.tk,1)&amp;"#","B#C#D#"))*(LEN(_xlpm.tk)&gt;1),""),_xlpm.x,INDEX(_xlpm.f,1),IFERROR(--SUBSTITUTE(MID(_xlpm.x,2,9),"A",""),IFERROR(--SUBSTITUTE(INDEX(_xlfn._xlws.FILTER(_xlpm.tk,ISNUMBER(--SUBSTITUTE(_xlpm.tk,"A","")),""),1),"A",""),""))))</f>
        <v>16</v>
      </c>
      <c r="DS297" t="str">
        <f t="shared" si="592"/>
        <v>ok</v>
      </c>
      <c r="DT297">
        <f t="shared" si="593"/>
        <v>16</v>
      </c>
      <c r="DU297" t="str">
        <f t="shared" si="594"/>
        <v>2P С16А 30мА</v>
      </c>
      <c r="DV297">
        <f t="shared" si="595"/>
        <v>30</v>
      </c>
      <c r="DW297">
        <f t="shared" si="596"/>
        <v>1</v>
      </c>
      <c r="DX297">
        <f t="shared" si="597"/>
        <v>0</v>
      </c>
      <c r="DY297">
        <f t="shared" si="598"/>
        <v>0.27348170645824377</v>
      </c>
      <c r="DZ297">
        <f t="shared" si="599"/>
        <v>1</v>
      </c>
      <c r="EA297">
        <f>IF(ISNUMBER(AP297),AP297,К_прокл)</f>
        <v>1</v>
      </c>
      <c r="EB297">
        <f t="shared" si="600"/>
        <v>2</v>
      </c>
      <c r="EC297">
        <f>IFERROR(N(VLOOKUP(BZ297,Кабель_обозначение,3,FALSE)),1)</f>
        <v>1</v>
      </c>
      <c r="ED297">
        <f>IFERROR(N(_xlfn.XLOOKUP(A297,Щиты[Щит],Щиты[ΔU до шин, %])),0)</f>
        <v>1.79</v>
      </c>
      <c r="EE297" t="str">
        <f>IFERROR(_xlfn.XLOOKUP(A297,Щиты[Щит],Щиты[Zпетли на шинах, Ом]),"")</f>
        <v/>
      </c>
      <c r="EF297">
        <f>IFERROR(N(_xlfn.XLOOKUP(A297,Щиты[Щит],Щиты[ΔU до шин (подбор), %])),0)</f>
        <v>4.75</v>
      </c>
      <c r="EG297" t="str">
        <f>IFERROR(_xlfn.XLOOKUP(A297,Щиты[Щит],Щиты[Zпетли на шинах (подбор), Ом]),"")</f>
        <v/>
      </c>
      <c r="EH297" t="str">
        <f t="shared" si="601"/>
        <v/>
      </c>
      <c r="EI297">
        <f t="shared" si="602"/>
        <v>31</v>
      </c>
      <c r="EJ297">
        <f t="shared" si="603"/>
        <v>2</v>
      </c>
      <c r="EK297">
        <f t="shared" si="604"/>
        <v>0.31</v>
      </c>
      <c r="EL297" s="6">
        <f>IF(B297="","",IF(BV297=1,dU_LED,IF(IFERROR(_xlfn.XLOOKUP(BC297,Коды_код,Коды_уго),"")="Светильник",3,4)+IF(Методика="нормы 2026",MIN(0.5,MAX(0,N(P297)-100)*0.005),0)))</f>
        <v>4</v>
      </c>
      <c r="EM297" t="str" cm="1">
        <f t="array" ref="EM297">IF(OR(B297="",BZ297="",EC297&lt;&gt;1),"",_xlfn.LET(_xlpm.sz,Iдоп_S,_xlpm.t_,CHOOSE(EB297,Iдоп_1ж,Iдоп_2ж,Iдоп_3ж)*DZ297*EA297,_xlpm.dcx,BV297=1,_xlpm.inn,IF(_xlpm.dcx,N(O297),N(DT297)),_xlpm.smin,MAX(1.5,CC297),_xlpm.L_,N(P297)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297)/N(BU297)*100,999),IFERROR(N(EJ297)*(_xlpm.rho*_xlpm.L_/_xlpm.sz*N(CE297)+_xlpm.xx*_xlpm.L_*N(EK297)/1000)*N(O297)/((Uн_лин/SQRT(3))*1000)*100,999)),_xlpm.kz,IF(OR(_xlpm.dcx,DW297=1,NOT(ISNUMBER(EG297)),_xlpm.L_=0,_xlpm.inn=0),1,IFERROR(--(c_min*(Uн_лин*1000/SQRT(3))/(EG297+2*ρкз_Cu*_xlpm.L_/_xlpm.sz)&gt;=HT297*_xlpm.inn),0)),_xlpm.ok,IFERROR((_xlpm.sz&gt;=_xlpm.smin)*(_xlpm.t_&gt;=_xlpm.inn)*IF(_xlpm.L_&gt;0,(_xlpm.du_+IF(_xlpm.dcx,0,EF297)&lt;=EL297+0.00001),1)*_xlpm.kz,0),_xlpm.r_,_xlfn._xlws.FILTER(_xlpm.sz,_xlpm.ok,"не подобрано"),INDEX(_xlpm.r_,1)))</f>
        <v>не подобрано</v>
      </c>
      <c r="EN297">
        <f t="shared" si="605"/>
        <v>2.5</v>
      </c>
      <c r="EO297" cm="1">
        <f t="array" ref="EO297">IF(OR(B297="",BZ297="",EC297&lt;&gt;1),"",_xlfn.LET(_xlpm.sz,Iдоп_S,_xlpm.t_,CHOOSE(EB297,Iдоп_1ж,Iдоп_2ж,Iдоп_3ж)*DZ297*EA297,_xlpm.ok,IFERROR((_xlpm.sz&gt;=MAX(1.5,CC297))*(_xlpm.t_&gt;=N(DT297)),0),_xlpm.r_,_xlfn._xlws.FILTER(_xlpm.sz,_xlpm.ok,""),INDEX(_xlpm.r_,1)))</f>
        <v>1.5</v>
      </c>
      <c r="EP297" s="6" cm="1">
        <f t="array" ref="EP297">IFERROR(ROUNDUP(N(EJ297)*(_xlfn.XLOOKUP(EO297,INDEX(Кабель_сопротивление,0,1),INDEX(Кабель_сопротивление,0,3))*N(P297)/EO297*N(CE297)+_xlfn.XLOOKUP(EO297,INDEX(Кабель_сопротивление,0,1),INDEX(Кабель_сопротивление,0,2))*N(P297)*N(EK297)/1000)*N(O297)/((Uн_лин/SQRT(3))*1000)*100,2),"")</f>
        <v>0.12</v>
      </c>
      <c r="EQ297">
        <f>IFERROR(2*ρкз_Cu*N(P297)/EO297,"")</f>
        <v>1.1922666666666666</v>
      </c>
      <c r="ER297">
        <f>IFERROR(VLOOKUP(EN297,Кабель_сопротивление,3,FALSE),"")</f>
        <v>2.2499999999999999E-2</v>
      </c>
      <c r="ES297">
        <f>IFERROR(VLOOKUP(EN297,Кабель_сопротивление,2,FALSE),"")</f>
        <v>0.1</v>
      </c>
      <c r="ET297">
        <f t="shared" si="606"/>
        <v>16</v>
      </c>
      <c r="EU297">
        <f t="shared" si="607"/>
        <v>0</v>
      </c>
      <c r="EV297">
        <f t="shared" si="608"/>
        <v>0.15957876357203687</v>
      </c>
      <c r="EW297" s="6">
        <f>IFERROR(ROUNDUP(EV297/IF(BV297=1,BU297,(Uн_лин/SQRT(3))*1000)*100,2),"")</f>
        <v>6.9999999999999993E-2</v>
      </c>
      <c r="EX297" t="str">
        <f>IFERROR(VLOOKUP(BZ297,Кабель_обозначение,2,FALSE),"")</f>
        <v>ВВГнг(А)-LS</v>
      </c>
      <c r="EY297" t="str">
        <f t="shared" si="609"/>
        <v>ВВГнг(А)-LS (3х2,5)</v>
      </c>
      <c r="EZ297" t="str">
        <f t="shared" si="610"/>
        <v>ВВГнг(А)-LS (3х2,5)
L=34-0,07%</v>
      </c>
      <c r="FA297">
        <f>IFERROR(2*ρкз_Cu*P297/EN297,"")</f>
        <v>0.71536</v>
      </c>
      <c r="FB297">
        <f t="shared" si="611"/>
        <v>0.23800000000000004</v>
      </c>
      <c r="FC297" s="6" t="str">
        <f>IFERROR(IF(OR(B297="",BV297=1,NOT(ISNUMBER(EN297)),N(P297)=0),"",_xlfn.XLOOKUP(A297,Щиты[Щит],Щиты[Zпетли на шинах, Ом])+FA297),"")</f>
        <v/>
      </c>
      <c r="FD297" s="6" t="str">
        <f>IF(ISNUMBER(FC297),c_min*(Uн_лин*1000/SQRT(3))/FC297,"")</f>
        <v/>
      </c>
      <c r="FE297" s="6" t="str">
        <f>IFERROR(IF(OR(B297="",NOT(ISNUMBER(EN297))),"",1.05*(Uн_лин*1000/SQRT(3))/(_xlfn.XLOOKUP(A297,Щиты[Щит],Щиты[Zmax на шинах, Ом])+FB297)/1000),"")</f>
        <v/>
      </c>
      <c r="FF297" s="6" t="str">
        <f>IF(B297="","",IF(ISNUMBER(AC297),"Сил",IF(IFERROR(_xlfn.XLOOKUP(BC297,Коды_код,Коды_группа)&amp;"","")="","Быт",_xlfn.XLOOKUP(BC297,Коды_код,Коды_группа)&amp;"")))</f>
        <v>Быт</v>
      </c>
      <c r="FG297" s="6" t="str">
        <f t="shared" si="612"/>
        <v>Быт</v>
      </c>
      <c r="FH297" s="6">
        <f>IF(FG297="Щит","щит",IF(FG297="","",IF(FG297="Быт",IFERROR(_xlfn.XLOOKUP(A297,Щиты[Щит],Щиты[Кс быт]),1),IF(FG297="Сил",IF(ISNUMBER(AC297),AC297,IF(Методика="нормы 2026",IFERROR(_xlfn.XLOOKUP(A297,Щиты[Щит],Щиты[Кс силовых (табл. 7.5)]),1),1)),IF(OR(FG297="Пост",FG297="Отоп"),1,IF(FG297="ВНГ",0.7,0))))))</f>
        <v>0.8</v>
      </c>
      <c r="FI297">
        <f>IF(FG297="","",IF(AND(BP297=1,TRIM(AE297&amp;"")=""),IF(COUNTIFS(Линии[Щит],A297,Линии[Секция (1/2/3)],"&gt;=2")&gt;0,MIN(3,MAX(1,IFERROR(--BD297,1))),1),IFERROR(MIN(3,MAX(1,INT(--AE297))),1)))</f>
        <v>1</v>
      </c>
      <c r="FJ297">
        <f t="shared" si="613"/>
        <v>0.06</v>
      </c>
      <c r="FK297">
        <f t="shared" si="614"/>
        <v>0.06</v>
      </c>
      <c r="FL297">
        <f t="shared" si="615"/>
        <v>0</v>
      </c>
      <c r="FM297">
        <f t="shared" si="616"/>
        <v>0</v>
      </c>
      <c r="FN297">
        <f t="shared" si="617"/>
        <v>0</v>
      </c>
      <c r="FO297">
        <f t="shared" si="618"/>
        <v>0</v>
      </c>
      <c r="FP297">
        <f t="shared" si="619"/>
        <v>0.06</v>
      </c>
      <c r="FQ297">
        <f t="shared" si="620"/>
        <v>0.06</v>
      </c>
      <c r="FR297">
        <f t="shared" si="621"/>
        <v>5.6999999999999995E-2</v>
      </c>
      <c r="FS297">
        <f>IF(CG297=1,IF(AND(CH297=1,CW297=1),0,IF(AND(CS297&lt;&gt;"",CS297=BA297,CW297=1),SUMIFS(Линии[_Р линии, кВт],Линии[_блок УЗО],BA297,Линии[Щит],A297),N(BS297)+IF(AJ297="вручную",0,N(CK297)))),0)</f>
        <v>0.06</v>
      </c>
      <c r="FT297" t="str">
        <f t="shared" si="622"/>
        <v>L2</v>
      </c>
      <c r="FU297" t="str">
        <f>IF(B297="","",IF(CG297=0,IF(BA297=1,"",FW296),IF(AND(CH297=1,CW297=1,CS297&lt;&gt;""),IFERROR(_xlfn.XLOOKUP(CS297,Линии[_n],Линии[_фаза итог]),"L1"),IF(OR(N(DL297)&gt;=3,N(BX297)&gt;=3),"L1,L2,L3",IFERROR(_xlfn.TEXTBEFORE(_xlfn.TEXTAFTER(_xlfn.XLOOKUP(A297,Щиты[Щит],Щиты[_фазы авто]),";"&amp;BA297&amp;":"),";"),"L1")))))</f>
        <v>L1</v>
      </c>
      <c r="FV297" t="str">
        <f t="shared" si="623"/>
        <v>L2</v>
      </c>
      <c r="FW297" t="str">
        <f t="shared" si="624"/>
        <v>L2</v>
      </c>
      <c r="FX297" cm="1">
        <f t="array" ref="FX297">IFERROR(IF(CD297=2,_xlfn.IFS(BX297=3,VLOOKUP(BS297,Справочная_двигатели,3,FALSE),BX297=1,VLOOKUP(BS297,Справочная_двигатели,5,TRUE)),0),0)</f>
        <v>0</v>
      </c>
      <c r="FY297">
        <f>IFERROR(IF(CD297=3,VLOOKUP(BS297,Справочная_ЛЭД,2,TRUE),0),0)</f>
        <v>0</v>
      </c>
      <c r="FZ297" s="6">
        <f t="shared" si="625"/>
        <v>0</v>
      </c>
      <c r="GA297" t="str">
        <f>IF(B297="","",IF(TRIM(AH297&amp;"")&lt;&gt;"",IF(LOWER(TRIM(AH297&amp;""))="да","да","нет"),IF(IFERROR(_xlfn.XLOOKUP(BC297,Коды_код,Коды_пожарная),"")="да","да","нет")))</f>
        <v>нет</v>
      </c>
      <c r="GB297" t="str">
        <f t="shared" si="626"/>
        <v/>
      </c>
      <c r="GC297" t="str">
        <f t="shared" si="627"/>
        <v>основная</v>
      </c>
      <c r="GD297">
        <f>IF(AND(BP297=1,TRIM(AE297&amp;"")=""),IF(COUNTIFS(Линии[Щит],A297,Линии[Секция (1/2/3)],"&gt;=2")&gt;0,MIN(3,MAX(1,IFERROR(--BD297,1))),1),IFERROR(MIN(3,MAX(1,INT(--AE297))),1))</f>
        <v>1</v>
      </c>
      <c r="GE297" t="str" cm="1">
        <f t="array" ref="GE297">IF(B297="","",_xlfn.LET(_xlpm.t,IFERROR(_xlfn.XLOOKUP(1,(Шины[Шина]=GC297)*(((Шины[Щит]=A297)+(Шины[Щит]=""))&gt;0),Шины[Тип]),"")&amp;"",IF(_xlpm.t&lt;&gt;"",_xlpm.t,IF(ISNUMBER(SEARCH("ИБП",GC297)),"ИБП",IF(ISNUMBER(SEARCH("ДГУ",GC297)),"ДГУ","Ввод "&amp;GD297)))))</f>
        <v>Ввод 1</v>
      </c>
      <c r="GF297" t="str">
        <f t="shared" si="628"/>
        <v>Ввод 1</v>
      </c>
      <c r="GG297" t="str">
        <f>IF(BP297=0,"",IF(TRIM(AG297&amp;"")&lt;&gt;"",TRIM(AG297&amp;""),IF(OR(GE297="ИБП",GE297="ДГУ"),"I особая",_xlfn.XLOOKUP(A297,Щиты[Щит],Щиты[Категория шины «Ввод»],"III"))))</f>
        <v/>
      </c>
      <c r="GH297" t="str">
        <f>IF(A297="","",_xlfn.XLOOKUP(A297,Щиты[Щит],Щиты[Путь],""))</f>
        <v>|ГРЩ-ЖД|ЩР-2|</v>
      </c>
      <c r="GI297" t="str">
        <f>IF(B297="","",IF(AI297&lt;&gt;"",AI297,IF(IFERROR(_xlfn.XLOOKUP(BC297,Коды_код,Коды_вид)&amp;"","")="","Прочее",_xlfn.XLOOKUP(BC297,Коды_код,Коды_вид)&amp;"")))</f>
        <v>Розеточная сеть и бытовые приборы</v>
      </c>
      <c r="GJ297">
        <f>IF(BM297="","",INT((BM297-1)/Столбцов_на_лист)+1)</f>
        <v>2</v>
      </c>
      <c r="GK297" t="str">
        <f t="shared" si="629"/>
        <v>ВВГнг(А)-LS (3х2,5) L=34-0,07%</v>
      </c>
      <c r="GL297">
        <f t="shared" si="630"/>
        <v>0.06</v>
      </c>
      <c r="GM297">
        <f t="shared" si="631"/>
        <v>0.28000000000000003</v>
      </c>
      <c r="GN297">
        <f t="shared" si="632"/>
        <v>1</v>
      </c>
      <c r="GO297">
        <f t="shared" si="633"/>
        <v>0</v>
      </c>
      <c r="GP297">
        <f t="shared" si="634"/>
        <v>1</v>
      </c>
      <c r="GQ297">
        <f>IF(BM297="","",IF(AND(CG297=1,GP297=1),COUNTIFS(A$3:A297,A297,CG$3:CG297,1,GP$3:GP297,1),IF(OR(OR(BA297=1,A297&lt;&gt;A296),AJ297="вручную",GP297=0),"",IF(BA297=1,"",GR296))))</f>
        <v>14</v>
      </c>
      <c r="GR297">
        <f t="shared" si="635"/>
        <v>14</v>
      </c>
      <c r="GS297">
        <f>IF(B297="","",IFERROR(LOOKUP(INDEX(CHOOSE(EB297,Iдоп_1ж,Iдоп_2ж,Iдоп_3ж),MATCH(EN297,Iдоп_S,0))*DZ297*EA297,{6,10,16,20,25,32,40,50,63,80,100,125,160,200,250,315,400,500,630}),""))</f>
        <v>25</v>
      </c>
      <c r="GT297" t="str">
        <f t="shared" si="636"/>
        <v>QFD14</v>
      </c>
      <c r="GU297" t="str">
        <f t="shared" si="637"/>
        <v>QFD14</v>
      </c>
      <c r="GV297" t="str">
        <f t="shared" si="638"/>
        <v/>
      </c>
      <c r="GW297">
        <f t="shared" si="639"/>
        <v>0</v>
      </c>
      <c r="GX297" t="str">
        <f>IF(OR(B297="",DJ297=""),"",IFERROR(_xlfn.XLOOKUP(DJ297,Модули_умолч[Управление],Модули_умолч[Модель])&amp;"",""))</f>
        <v/>
      </c>
      <c r="GY297">
        <f>IF(DJ297="",1,IFERROR(MAX(0,N(_xlfn.XLOOKUP(DJ297,Модули_умолч[Управление],Модули_умолч[Каналов на линию]))),1))</f>
        <v>1</v>
      </c>
      <c r="GZ297" t="str">
        <f t="shared" si="640"/>
        <v/>
      </c>
      <c r="HA297" t="str">
        <f t="shared" si="641"/>
        <v/>
      </c>
      <c r="HB297" t="str">
        <f t="shared" si="642"/>
        <v/>
      </c>
      <c r="HC297">
        <f>IF(HB297="",0,IFERROR(N(VLOOKUP(HB297,Модули_спр,3,FALSE)),0))</f>
        <v>0</v>
      </c>
      <c r="HD297" t="str">
        <f t="shared" si="643"/>
        <v/>
      </c>
      <c r="HE297" t="str">
        <f t="shared" si="644"/>
        <v/>
      </c>
      <c r="HF297" t="str">
        <f>IF(OR(HE297="",HE297="-"),"",IFERROR(VLOOKUP(HE297,Модули_спр,2,FALSE),"R"))</f>
        <v/>
      </c>
      <c r="HG297" t="str">
        <f>IF(HF297="","",HF297&amp;"."&amp;COUNTIFS(A$3:A297,A297,HF$3:HF297,HF297))</f>
        <v/>
      </c>
      <c r="HH297" t="str">
        <f t="shared" si="645"/>
        <v/>
      </c>
      <c r="HI297" t="str">
        <f t="shared" si="646"/>
        <v/>
      </c>
      <c r="HJ297" t="str">
        <f t="shared" si="647"/>
        <v/>
      </c>
      <c r="HK297" t="str">
        <f t="shared" si="648"/>
        <v/>
      </c>
      <c r="HL297">
        <f t="shared" si="649"/>
        <v>1</v>
      </c>
      <c r="HM297" t="str">
        <f>IF(HL297=1,"XT"&amp;COUNTIFS(A$3:A297,A297,HL$3:HL297,1),"")</f>
        <v>XT14</v>
      </c>
      <c r="HN297" t="str">
        <f t="shared" si="650"/>
        <v/>
      </c>
      <c r="HO297" t="str">
        <f t="shared" si="651"/>
        <v>QFD14</v>
      </c>
      <c r="HP297" t="str">
        <f t="shared" si="652"/>
        <v/>
      </c>
      <c r="HQ297" t="str">
        <f t="shared" si="653"/>
        <v>ok</v>
      </c>
      <c r="HR297" t="str">
        <f>IF(OR(HJ297="",HH297=""),"",IF(HJ297+MAX(0,GY297-1)&gt;IFERROR(VLOOKUP(HI297,Модули_спр,3,FALSE),99),"ЛИШНИЙ КАНАЛ",IF(AND(AL297&lt;&gt;"=",GY297&gt;0,COUNTIFS(Линии[_модуль гр.],HH297,Линии[Канал (итог)],HJ297,Линии[Канал],"&lt;&gt;=",Линии[Щит],A297)&gt;1),"ДУБЛЬ КАНАЛА","")))</f>
        <v/>
      </c>
      <c r="HS297" s="6" t="str">
        <f t="shared" si="654"/>
        <v/>
      </c>
      <c r="HT297">
        <f t="shared" si="655"/>
        <v>10</v>
      </c>
      <c r="HU297" t="str">
        <f t="shared" si="656"/>
        <v/>
      </c>
      <c r="HV297">
        <f t="shared" si="657"/>
        <v>0.44939268258329756</v>
      </c>
      <c r="HW297">
        <f t="shared" si="658"/>
        <v>0</v>
      </c>
      <c r="HX297">
        <f t="shared" si="659"/>
        <v>0</v>
      </c>
      <c r="HY297">
        <f t="shared" si="660"/>
        <v>0</v>
      </c>
      <c r="HZ297">
        <f t="shared" si="661"/>
        <v>0</v>
      </c>
      <c r="IA297">
        <f t="shared" si="662"/>
        <v>0</v>
      </c>
      <c r="IB297">
        <f t="shared" si="663"/>
        <v>0</v>
      </c>
      <c r="IC297" t="str">
        <f t="shared" si="664"/>
        <v/>
      </c>
      <c r="ID297" t="str" cm="1">
        <f t="array" ref="ID297">IF(IC297="","",_xlfn.LET(_xlpm.tk,_xlfn.TEXTSPLIT(SUBSTITUTE(SUBSTITUTE(IC297,";"," "),"→"," ")," ",,TRUE),_xlpm.w_,_xlfn._xlws.FILTER(_xlpm.tk,ISNUMBER(--LEFT(_xlpm.tk,1))*((ISNUMBER(SEARCH("W",_xlpm.tk))+ISNUMBER(SEARCH("Вт",_xlpm.tk)))&gt;0),""),IFERROR(--SUBSTITUTE(SUBSTITUTE(UPPER(INDEX(_xlpm.w_,1)),"W",""),"ВТ",""),"")))</f>
        <v/>
      </c>
      <c r="IE297" t="str" cm="1">
        <f t="array" ref="IE297">IF(IC297="","",_xlfn.LET(_xlpm.tk,_xlfn.TEXTSPLIT(SUBSTITUTE(SUBSTITUTE(IC297,";"," "),"→"," ")," ",,TRUE),_xlpm.v_,_xlfn._xlws.FILTER(_xlpm.tk,ISNUMBER(--LEFT(_xlpm.tk,1))*((ISNUMBER(SEARCH("V",_xlpm.tk))+(RIGHT(UPPER(_xlpm.tk))="В"))&gt;0),""),IFERROR(--SUBSTITUTE(SUBSTITUTE(UPPER(INDEX(_xlpm.v_,1)),"V",""),"В",""),"")))</f>
        <v/>
      </c>
      <c r="IF297" s="6" t="str">
        <f>IF(OR(BV297=0,HI297="",HJ297=""),"",IFERROR(N(_xlfn.XLOOKUP(HI297,Каталог!$C$4:$C$500,Каталог!$Q$4:$Q$500)),""))</f>
        <v/>
      </c>
      <c r="IG297" s="6" t="str">
        <f>IF(N(IF297)=0,"",SUMIFS(Линии[Iр, А],Линии[Щит],A297,Линии[_модуль гр.],HH297,Линии[Канал (итог)],HJ297))</f>
        <v/>
      </c>
      <c r="IH297" t="str">
        <f>IF(AND(B297="",HO297=""),"",_xlfn.TEXTJOIN("; ",TRUE,IF(AND(B297&lt;&gt;"",FV297=""),"нет фазы",""),IF(AND(B297&lt;&gt;"",N(GL297)=0,FG297&lt;&gt;"Нет"),"нет мощности",""),IF(AND(HN297&lt;&gt;"",COUNTIFS(Линии[Щит],A297,Линии[Клемма (итог)],HN297)&gt;1),"дубль клеммы "&amp;HN297,""),IF(AND(HQ297&lt;&gt;"",HQ297&lt;&gt;"ok"),HQ297,""),IF(HR297&lt;&gt;"",HR297,""),IF(AND(N(CB297)&gt;=4,N(BX297)=1),CB297&amp;" жил на 1 фазе",""),IF(AND(BC297="R",CG297=1,IF(CS297&lt;&gt;"",N(CV297)&gt;30,OR(N(DA297)=0,N(DA297)&gt;30))),"розетка без дифзащиты до 30 мА",""),IF(AND(CG297=1,N(DA297)&gt;0,ISNUMBER(T297)),IF(T297&gt;N(DA297)/3,"ток утечки "&amp;FIXED(T297,1)&amp;" мА &gt; 1/3 уставки ("&amp;DA297&amp;" мА)",""),""),IF(AND(CH297=1,CS297=""),"«узо»: нет строки с УЗО выше (УЗО 2P 40А 30мА в «Аппаратах»)",""),IF(AND(CS297&lt;&gt;"",CS297=BA297),IF(CT297="","впишите номинал УЗО (УЗО 2P 40А 30мА)",IF(N(CT297)&lt;N(DT297),"УЗО "&amp;CT297&amp;" А &lt; автомата "&amp;DT297&amp;" А перед ним",IF(N(CT297)&lt;N(CX297),"УЗО "&amp;CT297&amp;" А &lt; тока блока "&amp;FIXED(CX297,1)&amp;" А",""))),""),IF(AND(CS297&lt;&gt;"",CS297=BA297,ISNUMBER(CY297)),IF(CY297&gt;N(CV297)/3,"ток утечки блока УЗО "&amp;FIXED(CY297,1)&amp;" мА &gt; 1/3 уставки ("&amp;CV297&amp;" мА)",""),""),IF(AND(CG297=1,N(BV297)+N(IB297)&gt;0,IC297=""),"линии до 50 В без БП: впишите в «Аппараты» (БП 24V 480W)",""),IF(AND(CG297=1,ISNUMBER(ID297),ISNUMBER(U297)),IF(U297&gt;ID297,"БП "&amp;ID297&amp;" Вт &lt; нужно "&amp;U297&amp;" Вт (×"&amp;Запас_БП&amp;")",""),""),IF(AND(CG297=1,ISNUMBER(IE297),N(BV297)=1),IF(IE297&lt;&gt;N(BU297),"БП на "&amp;IE297&amp;" В, линия "&amp;BU297&amp;" В",""),""),IF(AND(N(IF297)&gt;0,N(IG297)&gt;N(IF297)),HH297&amp;" канал "&amp;HJ297&amp;": "&amp;FIXED(IG297,1)&amp;" А &gt; "&amp;IF297&amp;" А",""),IFERROR(IF(AND(ISNUMBER(Q297),Q297&gt;EL297),"потери "&amp;FIXED(Q297,1)&amp;" % &gt; "&amp;EL297&amp;" %",""),""),IFERROR(IF(LEFT(HU297,4)="мало","Iкз мало — отключение &gt; 0,4 с",""),""),IF(AND(B297&lt;&gt;"",BM297=""),"не на схеме",""),IF(AND(CG297=0,B297&lt;&gt;"",FV297&lt;&gt;"",IF(BA297=1,"",FW296)&lt;&gt;"",FV297&lt;&gt;IF(BA297=1,"",FW296)),"фаза не как у автомата группы ("&amp;IF(BA297=1,"",FW296)&amp;")","")))</f>
        <v/>
      </c>
      <c r="II297" s="6">
        <f>IF(OR(CG297=0,DQ297=""),"",_xlfn.LET(_xlpm.t,IFERROR(_xlfn.XLOOKUP(DQ297,Каталог!$U$4:$U$500,Каталог!$G$4:$G$500),""),_xlpm.k,SEARCH("кА",_xlpm.t),IFERROR(--TRIM(RIGHT(SUBSTITUTE(MID(_xlpm.t,MAX(1,_xlpm.k-4),_xlpm.k-MAX(1,_xlpm.k-4))," ",REPT(" ",9)),5)),"")))</f>
        <v>6</v>
      </c>
      <c r="IJ297" t="str">
        <f>IF(OR(II297="",CG297=0),"",IF(_xlfn.XLOOKUP(A297,Щиты[Щит],Щиты[Iкз max на шинах, кА],"")="","",IF(II297&lt;_xlfn.XLOOKUP(A297,Щиты[Щит],Щиты[Iкз max на шинах, кА]),"Icu "&amp;II297&amp;" кА &lt; Iкз max","ok")))</f>
        <v/>
      </c>
      <c r="IK297" t="str">
        <f t="shared" si="665"/>
        <v/>
      </c>
      <c r="IL297" t="str">
        <f t="shared" si="666"/>
        <v>QFD14</v>
      </c>
      <c r="IM297" t="str">
        <f t="shared" si="667"/>
        <v>QFD14|кабель ВВГнг(А)-LS (3х2,5) → Розеточная группа, пом. 016А</v>
      </c>
      <c r="IN297" t="str" cm="1">
        <f t="array" ref="IN297">IF(IM297="","",_xlfn.LET(_xlpm.nd,_xlfn.TEXTSPLIT(IM297,"|"),IF(COLUMNS(_xlpm.nd)&gt;1,A297&amp;"¦"&amp;INDEX(_xlpm.nd,1)&amp;"¦"&amp;INDEX(_xlpm.nd,2),"")))</f>
        <v>ЩР-2¦QFD14¦кабель ВВГнг(А)-LS (3х2,5) → Розеточная группа, пом. 016А</v>
      </c>
      <c r="IO297" t="str">
        <f t="shared" si="668"/>
        <v>R.2.016А.1¦Розеточная группа, пом. 016А</v>
      </c>
      <c r="IP297" t="str" cm="1">
        <f t="array" ref="IP297">IF(IM297="","",_xlfn.LET(_xlpm.nd,_xlfn.TEXTSPLIT(IM297,"|"),IF(COLUMNS(_xlpm.nd)&gt;2,A297&amp;"¦"&amp;INDEX(_xlpm.nd,2)&amp;"¦"&amp;INDEX(_xlpm.nd,3),"")))</f>
        <v/>
      </c>
      <c r="IQ297" t="str">
        <f t="shared" si="669"/>
        <v/>
      </c>
      <c r="IR297" t="str" cm="1">
        <f t="array" ref="IR297">IF(IM297="","",_xlfn.LET(_xlpm.nd,_xlfn.TEXTSPLIT(IM297,"|"),IF(COLUMNS(_xlpm.nd)&gt;3,A297&amp;"¦"&amp;INDEX(_xlpm.nd,3)&amp;"¦"&amp;INDEX(_xlpm.nd,4),"")))</f>
        <v/>
      </c>
      <c r="IS297" t="str">
        <f t="shared" si="670"/>
        <v/>
      </c>
      <c r="IT297" t="str" cm="1">
        <f t="array" ref="IT297">IF(IM297="","",_xlfn.LET(_xlpm.nd,_xlfn.TEXTSPLIT(IM297,"|"),IF(COLUMNS(_xlpm.nd)&gt;4,A297&amp;"¦"&amp;INDEX(_xlpm.nd,4)&amp;"¦"&amp;INDEX(_xlpm.nd,5),"")))</f>
        <v/>
      </c>
      <c r="IU297" t="str">
        <f t="shared" si="671"/>
        <v/>
      </c>
      <c r="IV297" t="str" cm="1">
        <f t="array" ref="IV297">IF(IM297="","",_xlfn.LET(_xlpm.nd,_xlfn.TEXTSPLIT(IM297,"|"),IF(COLUMNS(_xlpm.nd)&gt;5,A297&amp;"¦"&amp;INDEX(_xlpm.nd,5)&amp;"¦"&amp;INDEX(_xlpm.nd,6),"")))</f>
        <v/>
      </c>
      <c r="IW297" t="str">
        <f t="shared" si="672"/>
        <v/>
      </c>
      <c r="IX297" t="str" cm="1">
        <f t="array" ref="IX297">IF(IM297="","",_xlfn.LET(_xlpm.nd,_xlfn.TEXTSPLIT(IM297,"|"),IF(COLUMNS(_xlpm.nd)&gt;6,A297&amp;"¦"&amp;INDEX(_xlpm.nd,6)&amp;"¦"&amp;INDEX(_xlpm.nd,7),"")))</f>
        <v/>
      </c>
      <c r="IY297" t="str">
        <f t="shared" si="673"/>
        <v/>
      </c>
      <c r="IZ297" t="str">
        <f t="shared" si="674"/>
        <v/>
      </c>
      <c r="JA297" t="str">
        <f t="shared" si="675"/>
        <v>QFD14</v>
      </c>
      <c r="JB297">
        <f t="shared" si="676"/>
        <v>0</v>
      </c>
      <c r="JC297">
        <f t="shared" si="677"/>
        <v>1</v>
      </c>
      <c r="JD297" t="str">
        <f t="shared" si="678"/>
        <v/>
      </c>
      <c r="JE297" t="str">
        <f t="shared" si="679"/>
        <v/>
      </c>
      <c r="JF297" t="str">
        <f t="shared" si="680"/>
        <v/>
      </c>
      <c r="JG297" t="str">
        <f t="shared" si="681"/>
        <v/>
      </c>
      <c r="JH297" t="str">
        <f>IF(B297="","",IFERROR(_xlfn.XLOOKUP(B297,Коды_код,Коды_уго),IFERROR(_xlfn.XLOOKUP(BC297,Коды_код,Коды_уго),IFERROR(_xlfn.XLOOKUP(LEFT(BC297,2),Коды_код,Коды_уго),""))))</f>
        <v>Розетка</v>
      </c>
      <c r="JI297" t="str">
        <f>IF(B297="","",IF(OR(JH297="",JH297=0),"BOX",IFERROR(IF(VLOOKUP(JH297,УГО_блоки,3,FALSE)&amp;""&lt;&gt;"",VLOOKUP(JH297,УГО_блоки,3,FALSE),VLOOKUP(JH297,УГО_блоки,2,FALSE)),JH297)))</f>
        <v>SOCKET</v>
      </c>
      <c r="JJ297">
        <f t="shared" si="682"/>
        <v>1</v>
      </c>
      <c r="JK297" t="str">
        <f>IF(DQ297="","",IF(COUNTIF(DQ$3:DQ297,DQ297)=1,MAX(JK$2:JK296)+1,""))</f>
        <v/>
      </c>
      <c r="JL297" t="str">
        <f>IF(DE297="","",IF(COUNTIF(DE$3:DE297,DE297)+COUNTIF(DF$2:DF296,DE297)+COUNTIF(DG$2:DG296,DE297)=1,MAX(JL$2:JN296)+1,""))</f>
        <v/>
      </c>
      <c r="JM297" t="str">
        <f>IF(DF297="","",IF(COUNTIF(DE$3:DE297,DF297)+COUNTIF(DF$3:DF297,DF297)+COUNTIF(DG$2:DG296,DF297)=1,MAX(JL$2:JN296,JL297)+1,""))</f>
        <v/>
      </c>
      <c r="JN297" t="str">
        <f>IF(DG297="","",IF(COUNTIF(DE$3:DE297,DG297)+COUNTIF(DF$3:DF297,DG297)+COUNTIF(DG$3:DG297,DG297)=1,MAX(JL$2:JN296,JL297,JM297)+1,""))</f>
        <v/>
      </c>
      <c r="JO297" t="str">
        <f t="shared" si="683"/>
        <v>3х2,5</v>
      </c>
      <c r="JP297" t="str">
        <f>IF(JO297="","",IF(COUNTIF(JO$3:JO297,JO297)=1,MAX(JP$2:JP296)+1,""))</f>
        <v/>
      </c>
      <c r="JQ297" t="str">
        <f>IF(HG297="","",COUNTIF(HG$3:HG297,"?*"))</f>
        <v/>
      </c>
      <c r="JR297" t="str">
        <f>IF(OR(HG297="",HI297=""),"",IF(COUNTIFS(HG$3:HG297,"?*",HI$3:HI297,HI297)=1,MAX(JR$2:JR296)+1,""))</f>
        <v/>
      </c>
      <c r="JS297">
        <f t="shared" si="684"/>
        <v>0</v>
      </c>
      <c r="JT297">
        <f>IF(B297="","",COUNTIF(B$3:B297,"?*"))</f>
        <v>295</v>
      </c>
      <c r="JU297">
        <f>IF(HL297&lt;&gt;1,0,_xlfn.LET(_xlpm.k,MAX(IFERROR(--_xlfn.XLOOKUP(B297,Коды_код,Коды_3L),0),IFERROR(--_xlfn.XLOOKUP(BC297,Коды_код,Коды_3L),0),IFERROR(--_xlfn.XLOOKUP(LEFT(BC297,2),Коды_код,Коды_3L),0)),IF(_xlpm.k&gt;0,_xlpm.k,IF(IFERROR(--LEFT(SUBSTITUTE(JO297,"x","х"),FIND("х",SUBSTITUTE(JO297,"x","х"))-1),3)&gt;3,Каталог!$S$9,1))))</f>
        <v>1</v>
      </c>
      <c r="JV297">
        <f t="shared" si="685"/>
        <v>0</v>
      </c>
      <c r="JW297" t="str">
        <f t="shared" si="686"/>
        <v>авто</v>
      </c>
      <c r="JX297">
        <f t="shared" si="687"/>
        <v>30</v>
      </c>
      <c r="JY297">
        <f t="shared" si="688"/>
        <v>1</v>
      </c>
      <c r="JZ297">
        <f t="shared" si="689"/>
        <v>1</v>
      </c>
    </row>
    <row r="298" spans="1:286" x14ac:dyDescent="0.3">
      <c r="A298" t="s">
        <v>759</v>
      </c>
      <c r="B298" t="s">
        <v>1603</v>
      </c>
      <c r="C298" t="str">
        <f>Линии[[#This Row],[_авто наименование]]</f>
        <v>Розеточная группа, пом. 017А</v>
      </c>
      <c r="D298">
        <v>2</v>
      </c>
      <c r="E298">
        <v>0.42</v>
      </c>
      <c r="G298">
        <v>16</v>
      </c>
      <c r="H298" t="str">
        <f>Линии[[#This Row],[_авто управление]]</f>
        <v/>
      </c>
      <c r="I298" t="str">
        <f>Линии[[#This Row],[_авто аппараты]]</f>
        <v/>
      </c>
      <c r="J298">
        <v>2.5</v>
      </c>
      <c r="K298">
        <v>45</v>
      </c>
      <c r="L298">
        <v>2</v>
      </c>
      <c r="M298" t="s">
        <v>484</v>
      </c>
      <c r="N298" t="str">
        <f t="shared" si="552"/>
        <v/>
      </c>
      <c r="O298" s="6" cm="1">
        <f t="array" ref="O298">IF(B298="","",IF(BH298&lt;&gt;"",IFERROR(_xlfn.XLOOKUP(BH298,Щиты[Щит],Щиты[Iр, А]),""),IF(BP298=1,IF(OR(N(_xlfn.XLOOKUP(A298,Щиты[Щит],Щиты[Вводов],1))&lt;=1,LOWER(TRIM(_xlfn.XLOOKUP(A298,Щиты[Щит],Щиты[АВР],"")&amp;""))="да"),IFERROR(_xlfn.XLOOKUP(A298,Щиты[Щит],Щиты[Iр, А]),""),IFERROR(N(BS298)*_xlfn.XLOOKUP(A298,Щиты[Щит],Щиты[Кс итог])/(SQRT(3)*Uн_лин*_xlfn.XLOOKUP(A298,Щиты[Щит],Щиты[cos φ])),"")),IF(BV298=1,IFERROR(BS298*1000/BU298,""),IFERROR(_xlfn.IFS(BX298=1,BS298/((Uн_лин/SQRT(3))*CE298),BX298=3,BS298/(SQRT(3)*Uн_лин*CE298)),"")))))</f>
        <v>1.9143719452077064</v>
      </c>
      <c r="P298" s="7">
        <f>IF(B298="","",IFERROR(IF(VLOOKUP(BC298,Потребители_обозначение,4,FALSE)=1,VLOOKUP(BC298,Потребители_обозначение,3,FALSE)*(MAX(1,N(D298))*2-1)+EI298+VLOOKUP(BE298,Этаж_обозначение,3,FALSE)+VLOOKUP(BE298,Этаж_обозначение,4,FALSE),VLOOKUP(BC298,Потребители_обозначение,3,FALSE)*(MAX(1,N(D298))*2-1)+EI298),EI298))</f>
        <v>54</v>
      </c>
      <c r="Q298" s="6">
        <f t="shared" si="553"/>
        <v>2.56</v>
      </c>
      <c r="R298" t="str">
        <f t="shared" si="554"/>
        <v>ВВГнг(А)-LS (3х2,5)</v>
      </c>
      <c r="S298" t="str">
        <f>IF(BM298="","",IF(BN298="вводной узел","узел ","")&amp;"л."&amp;(INT((BM298-1)/Столбцов_на_лист)+1)&amp;" / "&amp;(MOD(BM298-1,Столбцов_на_лист)+1))</f>
        <v>л.2 / 8</v>
      </c>
      <c r="T298" s="119">
        <f t="shared" si="555"/>
        <v>1.3</v>
      </c>
      <c r="U298" s="7" t="str">
        <f>IF(OR(CG298=0,N(BV298)+N(IB298)=0),"",ROUNDUP(Запас_БП*(N(HY298)+N(HZ298)),0))</f>
        <v/>
      </c>
      <c r="V298" s="119" t="str">
        <f t="shared" si="556"/>
        <v/>
      </c>
      <c r="W298" s="7" t="str">
        <f>IFERROR(IF(OR(B298="",BP298=1,BV298=1,NOT(ISNUMBER(EN298)),N(DT298)=0),"",MAX(0,ROUNDDOWN((c_min*(Uн_лин*1000/SQRT(3))/(HT298*N(DT298))-_xlfn.XLOOKUP(A298,Щиты[Щит],Щиты[Zпетли на шинах, Ом]))*EN298/(2*ρкз_Cu),0))),"")</f>
        <v/>
      </c>
      <c r="Y298">
        <f>Линии[[#This Row],[_авто утечка]]</f>
        <v>30</v>
      </c>
      <c r="Z298">
        <v>1</v>
      </c>
      <c r="AA298">
        <v>230</v>
      </c>
      <c r="AB298" t="s">
        <v>562</v>
      </c>
      <c r="AG298" t="s">
        <v>810</v>
      </c>
      <c r="AI298" t="s">
        <v>561</v>
      </c>
      <c r="AK298" t="str">
        <f>Линии[[#This Row],[_авто модуль]]</f>
        <v/>
      </c>
      <c r="AM298">
        <v>25</v>
      </c>
      <c r="AN298" t="s">
        <v>11</v>
      </c>
      <c r="AO298">
        <v>3</v>
      </c>
      <c r="AQ298">
        <v>12</v>
      </c>
      <c r="AR298">
        <v>28</v>
      </c>
      <c r="AS298">
        <v>8</v>
      </c>
      <c r="AT298">
        <v>2</v>
      </c>
      <c r="BA298" cm="1">
        <f t="array" ref="BA298">ROW()-ROW(Линии[#Headers])</f>
        <v>296</v>
      </c>
      <c r="BC298" s="6" t="str">
        <f t="shared" si="557"/>
        <v>R</v>
      </c>
      <c r="BD298" t="str">
        <f t="shared" si="558"/>
        <v>2.017А.1</v>
      </c>
      <c r="BE298" t="str">
        <f t="shared" si="559"/>
        <v>2</v>
      </c>
      <c r="BF298" t="str">
        <f t="shared" si="560"/>
        <v>017А.1</v>
      </c>
      <c r="BG298" t="str">
        <f t="shared" si="561"/>
        <v>017А</v>
      </c>
      <c r="BH298" t="str">
        <f>IF(X298&lt;&gt;"",X298,IF(AND(B298&lt;&gt;"",B298&lt;&gt;A298,ISNUMBER(_xlfn.XMATCH(B298,Щиты[Щит]))),B298,""))</f>
        <v/>
      </c>
      <c r="BI298" t="str" cm="1">
        <f t="array" ref="BI298">IF(B298="","",IF(BH298&lt;&gt;"","Щит "&amp;BH298,_xlfn.LET(_xlpm.nm,IFERROR(_xlfn.XLOOKUP(BC298,Коды_код,Коды_имя)&amp;"",""),_xlpm.md,IFERROR(N(_xlfn.XLOOKUP(BC298,Коды_код,Коды_режим)),1),_xlpm.ex,IF(Имя_режим="по экспликации",IFERROR(_xlfn.XLOOKUP(BE298&amp;"|"&amp;BG298,Экспликация[Этаж]&amp;"|"&amp;Экспликация[Помещение],Экспликация[Название])&amp;"",""),""),_xlpm.rm,IF(BG298="","",IF(_xlpm.ex&lt;&gt;"",". "&amp;_xlpm.ex&amp;IF(Имя_пом="нет"," ("&amp;BG298&amp;")"," (пом. "&amp;BG298&amp;")"),IF(Имя_пом="нет"," ",", пом. ")&amp;BG298)),IF(_xlpm.nm="","",IF(_xlpm.md=2,_xlpm.nm&amp;" шлейф "&amp;BE298,_xlpm.nm&amp;_xlpm.rm)))))</f>
        <v>Розеточная группа, пом. 017А</v>
      </c>
      <c r="BJ298" t="str">
        <f t="shared" si="562"/>
        <v>Розеточная группа, пом. 017А</v>
      </c>
      <c r="BK298">
        <f>IFERROR(_xlfn.XMATCH(A298,Щиты[Щит]),0)</f>
        <v>11</v>
      </c>
      <c r="BL298">
        <f>_xlfn.LET(_xlpm.k,IFERROR(_xlfn.XLOOKUP(A298,Щиты[Щит],Щиты[Мест под вводной узел]),""),IF(_xlpm.k="",Столбцов_на_лист,N(_xlpm.k)))</f>
        <v>8</v>
      </c>
      <c r="BM298">
        <f t="shared" si="563"/>
        <v>25</v>
      </c>
      <c r="BN298" t="str">
        <f t="shared" si="564"/>
        <v>линии</v>
      </c>
      <c r="BO298" s="6">
        <f>IFERROR(N(_xlfn.XLOOKUP(BC298,Коды_код,Коды_квт)),0)</f>
        <v>0</v>
      </c>
      <c r="BP298">
        <f t="shared" si="565"/>
        <v>0</v>
      </c>
      <c r="BQ298" t="str">
        <f>IF(B298="","",IF(BH298&lt;&gt;"",IFERROR(_xlfn.XLOOKUP(BH298,Щиты[Щит],Щиты[Руст, кВт]),0),IF(BP298=1,IF(OR(N(_xlfn.XLOOKUP(A298,Щиты[Щит],Щиты[Вводов],1))&lt;=1,LOWER(TRIM(_xlfn.XLOOKUP(A298,Щиты[Щит],Щиты[АВР],"")&amp;""))="да"),IFERROR(_xlfn.XLOOKUP(A298,Щиты[Щит],Щиты[Руст, кВт]),0),SUMIFS(Линии[_Р для вводов],Линии[Щит],A298,Линии[Источник для режимов],GF298)),IF(BO298&gt;0,ROUND(BO298*MAX(1,N(D298)),3),""))))</f>
        <v/>
      </c>
      <c r="BR298">
        <f t="shared" si="566"/>
        <v>0.42</v>
      </c>
      <c r="BS298" s="6">
        <f>IF(B298="","",IF(BH298&lt;&gt;"",IFERROR(_xlfn.XLOOKUP(BH298,Щиты[Щит],Щиты[Руст, кВт]),0),N(BR298)))</f>
        <v>0.42</v>
      </c>
      <c r="BT298" t="str">
        <f>IF(B298="","",IFERROR(IF(VLOOKUP(BC298,Потребители_обозначение,8,FALSE)=0,"",VLOOKUP(BC298,Потребители_обозначение,8,FALSE)),""))</f>
        <v/>
      </c>
      <c r="BU298">
        <f t="shared" si="567"/>
        <v>230</v>
      </c>
      <c r="BV298">
        <f t="shared" si="568"/>
        <v>0</v>
      </c>
      <c r="BW298">
        <f>IF(B298="","",IF(BH298&lt;&gt;"",3,IFERROR(IF(N(VLOOKUP(BC298,Потребители_обозначение,9,FALSE))=0,1,VLOOKUP(BC298,Потребители_обозначение,9,FALSE)),1)))</f>
        <v>1</v>
      </c>
      <c r="BX298">
        <f t="shared" si="569"/>
        <v>1</v>
      </c>
      <c r="BY298" t="str">
        <f>IF(B298="","",_xlfn.LET(_xlpm.bc,IFERROR(IF(VLOOKUP(BC298,Потребители_обозначение,6,FALSE)=0,"",VLOOKUP(BC298,Потребители_обозначение,6,FALSE)&amp;""),""),IF(AND(GA298="да",OR(_xlpm.bc="",_xlpm.bc="мс")),Марка_пож,IF(AND(_xlpm.bc="",BH298&lt;&gt;""),"мс",_xlpm.bc))))</f>
        <v/>
      </c>
      <c r="BZ298" t="str">
        <f t="shared" si="570"/>
        <v>мс</v>
      </c>
      <c r="CA298">
        <f>IF(B298="","",_xlfn.LET(_xlpm.cc,IFERROR(N(VLOOKUP(BC298,Потребители_обозначение,7,FALSE)),0),IF(_xlpm.cc&gt;0,_xlpm.cc,IF(BZ298="","",IF(BV298=1,2,IF(N(BX298)=3,5,3))))))</f>
        <v>3</v>
      </c>
      <c r="CB298">
        <f t="shared" si="571"/>
        <v>3</v>
      </c>
      <c r="CC298">
        <f>IFERROR(N(VLOOKUP(BC298,Потребители_обозначение,10,FALSE)),0)</f>
        <v>0</v>
      </c>
      <c r="CD298">
        <f>IFERROR(VLOOKUP(BC298,Потребители_обозначение,5,FALSE),0)</f>
        <v>1</v>
      </c>
      <c r="CE298" s="6" cm="1">
        <f t="array" ref="CE298">IF(B298="","",IF(BH298&lt;&gt;"",IFERROR(_xlfn.XLOOKUP(BH298,Щиты[Щит],Щиты[cos φ]),0.95),IF(BP298=1,IFERROR(_xlfn.XLOOKUP(A298,Щиты[Щит],Щиты[cos φ]),0.95),IF(ISNUMBER(AD298),AD298,IFERROR(IF(CD298=2,_xlfn.IFS(BX298=3,VLOOKUP(BS298,Справочная_двигатели,8,FALSE),BX298=1,VLOOKUP(BS298,Справочная_двигатели,10,TRUE)),IF(AND(Методика="нормы 2026",FG298="Сил"),0.8,0.95)),0.95)))))</f>
        <v>0.95</v>
      </c>
      <c r="CF298">
        <f t="shared" si="572"/>
        <v>0</v>
      </c>
      <c r="CG298">
        <f t="shared" si="573"/>
        <v>1</v>
      </c>
      <c r="CH298">
        <f t="shared" si="574"/>
        <v>0</v>
      </c>
      <c r="CI298">
        <f>IF(B298="","",IF(BV298=1,IFERROR(BS298/((Uн_лин/SQRT(3))*MAX(0.5,N(CE298))),0),N(O298)))</f>
        <v>1.9143719452077064</v>
      </c>
      <c r="CJ298">
        <f t="shared" si="575"/>
        <v>0</v>
      </c>
      <c r="CK298">
        <f t="shared" si="576"/>
        <v>0</v>
      </c>
      <c r="CL298">
        <f t="shared" si="577"/>
        <v>0</v>
      </c>
      <c r="CM298">
        <f t="shared" si="578"/>
        <v>0</v>
      </c>
      <c r="CN298">
        <f t="shared" si="579"/>
        <v>0</v>
      </c>
      <c r="CO298">
        <f>IF(BC298="",0,_xlfn.LET(_xlpm.v,IFERROR(_xlfn.XLOOKUP(B298,Коды_код,Коды_мА),IFERROR(_xlfn.XLOOKUP(BC298,Коды_код,Коды_мА),IFERROR(_xlfn.XLOOKUP(LEFT(BC298,2),Коды_код,Коды_мА),""))),IF(_xlpm.v="да",30,IF(ISNUMBER(_xlpm.v),_xlpm.v,0))))</f>
        <v>30</v>
      </c>
      <c r="CP298">
        <f t="shared" si="580"/>
        <v>30</v>
      </c>
      <c r="CQ298" t="str">
        <f>_xlfn.LET(_xlpm.k,IFERROR(_xlfn.XLOOKUP(BC298,Коды_код,Коды_утечка)&amp;"",""),IF(_xlpm.k="","дифавтомат",_xlpm.k))</f>
        <v>дифавтомат</v>
      </c>
      <c r="CR298" t="str" cm="1">
        <f t="array" ref="CR298">IF(CG298=0,"",_xlfn.LET(_xlpm.sg,TRIM(_xlfn.TEXTSPLIT(DD298&amp;"",";")),_xlpm.f_,_xlfn._xlws.FILTER(_xlpm.sg,LEFT(_xlpm.sg,3)="УЗО",""),IFERROR(INDEX(_xlpm.f_,1)&amp;"","")))</f>
        <v/>
      </c>
      <c r="CS298" t="str">
        <f t="shared" si="581"/>
        <v/>
      </c>
      <c r="CT298" s="6" t="str" cm="1">
        <f t="array" ref="CT298">IF(CR298="","",_xlfn.LET(_xlpm.tk,_xlfn.TEXTSPLIT(UPPER(CR298)," ",,TRUE),_xlpm.a_,_xlfn._xlws.FILTER(_xlpm.tk,ISNUMBER(--LEFT(_xlpm.tk,1))*((ISNUMBER(SEARCH("А",_xlpm.tk))+ISNUMBER(SEARCH("A",_xlpm.tk)))&gt;0)*NOT(ISNUMBER(SEARCH("МА",_xlpm.tk)))*NOT(ISNUMBER(SEARCH("MA",_xlpm.tk))),""),IFERROR(--SUBSTITUTE(SUBSTITUTE(INDEX(_xlpm.a_,1),"А",""),"A",""),"")))</f>
        <v/>
      </c>
      <c r="CU298" t="str" cm="1">
        <f t="array" ref="CU298">IF(CR298="","",_xlfn.LET(_xlpm.tk,_xlfn.TEXTSPLIT(UPPER(CR298)," ",,TRUE),_xlpm.a_,_xlfn._xlws.FILTER(_xlpm.tk,ISNUMBER(--LEFT(_xlpm.tk,1))*((ISNUMBER(SEARCH("МА",_xlpm.tk))+ISNUMBER(SEARCH("MA",_xlpm.tk)))&gt;0),""),IFERROR(--SUBSTITUTE(SUBSTITUTE(INDEX(_xlpm.a_,1),"МА",""),"MA",""),30)))</f>
        <v/>
      </c>
      <c r="CV298" t="str">
        <f>IF(CS298="","",IFERROR(_xlfn.XLOOKUP(CS298,Линии[_n],Линии[_УЗО, мА]),30))</f>
        <v/>
      </c>
      <c r="CW298">
        <f>IF(CS298="",0,IF(ISNUMBER(SEARCH("4P",IFERROR(_xlfn.XLOOKUP(CS298,Линии[_n],Линии[_УЗО строки])&amp;"",""))),0,1))</f>
        <v>0</v>
      </c>
      <c r="CX298" t="str">
        <f>IF(AND(CS298&lt;&gt;"",CS298=BA298),SUMIFS(Линии[_ток на 230 В],Линии[_блок УЗО],BA298,Линии[Щит],A298),"")</f>
        <v/>
      </c>
      <c r="CY298" t="str">
        <f>IF(AND(CS298&lt;&gt;"",CS298=BA298),SUMIFS(Линии[_ток утечки линии, мА],Линии[_блок УЗО],BA298,Линии[Щит],A298),"")</f>
        <v/>
      </c>
      <c r="CZ298">
        <f t="shared" si="582"/>
        <v>30</v>
      </c>
      <c r="DA298">
        <f t="shared" si="583"/>
        <v>30</v>
      </c>
      <c r="DB298">
        <f>IF(B298="",0,IFERROR(--_xlfn.XLOOKUP(B298,Коды_код,Коды_минавт),IFERROR(--_xlfn.XLOOKUP(BC298,Коды_код,Коды_минавт),IFERROR(--_xlfn.XLOOKUP(LEFT(BC298,2),Коды_код,Коды_минавт),0))))</f>
        <v>16</v>
      </c>
      <c r="DC298" t="str">
        <f>IF(B298="","",IFERROR(_xlfn.XLOOKUP(BC298,Коды_код,Коды_апп)&amp;"",""))</f>
        <v/>
      </c>
      <c r="DD298" t="str">
        <f t="shared" si="584"/>
        <v/>
      </c>
      <c r="DE298" t="str" cm="1">
        <f t="array" ref="DE298">IF(TRIM(DD298&amp;"")="","",IFERROR(TRIM(INDEX(_xlfn.TEXTSPLIT(DD298&amp;";;;",";"),1)),""))</f>
        <v/>
      </c>
      <c r="DF298" t="str" cm="1">
        <f t="array" ref="DF298">IF(TRIM(DD298&amp;"")="","",IFERROR(TRIM(INDEX(_xlfn.TEXTSPLIT(DD298&amp;";;;",";"),2)),""))</f>
        <v/>
      </c>
      <c r="DG298" t="str" cm="1">
        <f t="array" ref="DG298">IF(TRIM(DD298&amp;"")="","",IFERROR(TRIM(INDEX(_xlfn.TEXTSPLIT(DD298&amp;";;;",";"),3)),""))</f>
        <v/>
      </c>
      <c r="DH298">
        <f t="shared" si="585"/>
        <v>0</v>
      </c>
      <c r="DI298" t="str">
        <f>IF(B298="","",_xlfn.LET(_xlpm.t,LOWER(AZ298&amp;""),IF(ISNUMBER(SEARCH("dim",_xlpm.t)),"DIM",IF(ISNUMBER(SEARCH("dali",_xlpm.t)),"DALI",IF(OR(ISNUMBER(SEARCH("relay",_xlpm.t)),ISNUMBER(SEARCH("реле",_xlpm.t))),"Relay",IF(ISNUMBER(SEARCH("кнопк",_xlpm.t)),"",IFERROR(_xlfn.XLOOKUP(BC298,Коды_код,Коды_упр)&amp;"","")))))))</f>
        <v/>
      </c>
      <c r="DJ298" t="str">
        <f t="shared" si="586"/>
        <v/>
      </c>
      <c r="DK298">
        <f>IF(B298="","",_xlfn.LET(_xlpm.ig,IF(N(CX298)&gt;0,N(CX298),N(CI298)+IF(AJ298="вручную",0,N(CJ298))),_xlpm.n0,IFERROR(VLOOKUP(_xlpm.ig,Автомат_номиналы,2,TRUE),0),_xlpm.mn,MAX(DB298,IF(AJ298="вручную",0,N(CM298))),MAX(_xlpm.n0,_xlpm.mn,IF(DH298=1,Мин_автомат_БП,0))))</f>
        <v>16</v>
      </c>
      <c r="DL298">
        <f t="shared" si="587"/>
        <v>1</v>
      </c>
      <c r="DM298" t="str">
        <f t="shared" si="588"/>
        <v>2P</v>
      </c>
      <c r="DN298" t="str">
        <f>_xlfn.LET(_xlpm.cc,UPPER(TRIM(IFERROR(_xlfn.XLOOKUP(BC298,Коды_код,Коды_хар)&amp;"",""))),IF(OR(_xlpm.cc="B",_xlpm.cc="В"),"B",IF(_xlpm.cc="D","D","С")))</f>
        <v>С</v>
      </c>
      <c r="DO298" t="str">
        <f t="shared" si="589"/>
        <v>2P С16А 30мА</v>
      </c>
      <c r="DP298">
        <f t="shared" si="590"/>
        <v>16</v>
      </c>
      <c r="DQ298" t="str">
        <f t="shared" si="591"/>
        <v>2P С16А 30мА</v>
      </c>
      <c r="DR298" cm="1">
        <f t="array" ref="DR298">IF(DQ298="","",_xlfn.LET(_xlpm.t,SUBSTITUTE(SUBSTITUTE(SUBSTITUTE(UPPER(DQ298),"С","C"),"А","A"),"В","B"),_xlpm.tk,_xlfn.TEXTSPLIT(_xlpm.t," "),_xlpm.f,_xlfn._xlws.FILTER(_xlpm.tk,ISNUMBER(--MID(_xlpm.tk,2,1))*ISNUMBER(SEARCH(LEFT(_xlpm.tk,1)&amp;"#","B#C#D#"))*(LEN(_xlpm.tk)&gt;1),""),_xlpm.x,INDEX(_xlpm.f,1),IFERROR(--SUBSTITUTE(MID(_xlpm.x,2,9),"A",""),IFERROR(--SUBSTITUTE(INDEX(_xlfn._xlws.FILTER(_xlpm.tk,ISNUMBER(--SUBSTITUTE(_xlpm.tk,"A","")),""),1),"A",""),""))))</f>
        <v>16</v>
      </c>
      <c r="DS298" t="str">
        <f t="shared" si="592"/>
        <v>ok</v>
      </c>
      <c r="DT298">
        <f t="shared" si="593"/>
        <v>16</v>
      </c>
      <c r="DU298" t="str">
        <f t="shared" si="594"/>
        <v>2P С16А 30мА</v>
      </c>
      <c r="DV298">
        <f t="shared" si="595"/>
        <v>30</v>
      </c>
      <c r="DW298">
        <f t="shared" si="596"/>
        <v>1</v>
      </c>
      <c r="DX298">
        <f t="shared" si="597"/>
        <v>0</v>
      </c>
      <c r="DY298">
        <f t="shared" si="598"/>
        <v>1.9143719452077064</v>
      </c>
      <c r="DZ298">
        <f t="shared" si="599"/>
        <v>1</v>
      </c>
      <c r="EA298">
        <f>IF(ISNUMBER(AP298),AP298,К_прокл)</f>
        <v>1</v>
      </c>
      <c r="EB298">
        <f t="shared" si="600"/>
        <v>2</v>
      </c>
      <c r="EC298">
        <f>IFERROR(N(VLOOKUP(BZ298,Кабель_обозначение,3,FALSE)),1)</f>
        <v>1</v>
      </c>
      <c r="ED298">
        <f>IFERROR(N(_xlfn.XLOOKUP(A298,Щиты[Щит],Щиты[ΔU до шин, %])),0)</f>
        <v>1.79</v>
      </c>
      <c r="EE298" t="str">
        <f>IFERROR(_xlfn.XLOOKUP(A298,Щиты[Щит],Щиты[Zпетли на шинах, Ом]),"")</f>
        <v/>
      </c>
      <c r="EF298">
        <f>IFERROR(N(_xlfn.XLOOKUP(A298,Щиты[Щит],Щиты[ΔU до шин (подбор), %])),0)</f>
        <v>4.75</v>
      </c>
      <c r="EG298" t="str">
        <f>IFERROR(_xlfn.XLOOKUP(A298,Щиты[Щит],Щиты[Zпетли на шинах (подбор), Ом]),"")</f>
        <v/>
      </c>
      <c r="EH298" t="str">
        <f t="shared" si="601"/>
        <v/>
      </c>
      <c r="EI298">
        <f t="shared" si="602"/>
        <v>45</v>
      </c>
      <c r="EJ298">
        <f t="shared" si="603"/>
        <v>2</v>
      </c>
      <c r="EK298">
        <f t="shared" si="604"/>
        <v>0.31</v>
      </c>
      <c r="EL298" s="6">
        <f>IF(B298="","",IF(BV298=1,dU_LED,IF(IFERROR(_xlfn.XLOOKUP(BC298,Коды_код,Коды_уго),"")="Светильник",3,4)+IF(Методика="нормы 2026",MIN(0.5,MAX(0,N(P298)-100)*0.005),0)))</f>
        <v>4</v>
      </c>
      <c r="EM298" t="str" cm="1">
        <f t="array" ref="EM298">IF(OR(B298="",BZ298="",EC298&lt;&gt;1),"",_xlfn.LET(_xlpm.sz,Iдоп_S,_xlpm.t_,CHOOSE(EB298,Iдоп_1ж,Iдоп_2ж,Iдоп_3ж)*DZ298*EA298,_xlpm.dcx,BV298=1,_xlpm.inn,IF(_xlpm.dcx,N(O298),N(DT298)),_xlpm.smin,MAX(1.5,CC298),_xlpm.L_,N(P298)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298)/N(BU298)*100,999),IFERROR(N(EJ298)*(_xlpm.rho*_xlpm.L_/_xlpm.sz*N(CE298)+_xlpm.xx*_xlpm.L_*N(EK298)/1000)*N(O298)/((Uн_лин/SQRT(3))*1000)*100,999)),_xlpm.kz,IF(OR(_xlpm.dcx,DW298=1,NOT(ISNUMBER(EG298)),_xlpm.L_=0,_xlpm.inn=0),1,IFERROR(--(c_min*(Uн_лин*1000/SQRT(3))/(EG298+2*ρкз_Cu*_xlpm.L_/_xlpm.sz)&gt;=HT298*_xlpm.inn),0)),_xlpm.ok,IFERROR((_xlpm.sz&gt;=_xlpm.smin)*(_xlpm.t_&gt;=_xlpm.inn)*IF(_xlpm.L_&gt;0,(_xlpm.du_+IF(_xlpm.dcx,0,EF298)&lt;=EL298+0.00001),1)*_xlpm.kz,0),_xlpm.r_,_xlfn._xlws.FILTER(_xlpm.sz,_xlpm.ok,"не подобрано"),INDEX(_xlpm.r_,1)))</f>
        <v>не подобрано</v>
      </c>
      <c r="EN298">
        <f t="shared" si="605"/>
        <v>2.5</v>
      </c>
      <c r="EO298" cm="1">
        <f t="array" ref="EO298">IF(OR(B298="",BZ298="",EC298&lt;&gt;1),"",_xlfn.LET(_xlpm.sz,Iдоп_S,_xlpm.t_,CHOOSE(EB298,Iдоп_1ж,Iдоп_2ж,Iдоп_3ж)*DZ298*EA298,_xlpm.ok,IFERROR((_xlpm.sz&gt;=MAX(1.5,CC298))*(_xlpm.t_&gt;=N(DT298)),0),_xlpm.r_,_xlfn._xlws.FILTER(_xlpm.sz,_xlpm.ok,""),INDEX(_xlpm.r_,1)))</f>
        <v>1.5</v>
      </c>
      <c r="EP298" s="6" cm="1">
        <f t="array" ref="EP298">IFERROR(ROUNDUP(N(EJ298)*(_xlfn.XLOOKUP(EO298,INDEX(Кабель_сопротивление,0,1),INDEX(Кабель_сопротивление,0,3))*N(P298)/EO298*N(CE298)+_xlfn.XLOOKUP(EO298,INDEX(Кабель_сопротивление,0,1),INDEX(Кабель_сопротивление,0,2))*N(P298)*N(EK298)/1000)*N(O298)/((Uн_лин/SQRT(3))*1000)*100,2),"")</f>
        <v>1.28</v>
      </c>
      <c r="EQ298">
        <f>IFERROR(2*ρкз_Cu*N(P298)/EO298,"")</f>
        <v>1.8936000000000002</v>
      </c>
      <c r="ER298">
        <f>IFERROR(VLOOKUP(EN298,Кабель_сопротивление,3,FALSE),"")</f>
        <v>2.2499999999999999E-2</v>
      </c>
      <c r="ES298">
        <f>IFERROR(VLOOKUP(EN298,Кабель_сопротивление,2,FALSE),"")</f>
        <v>0.1</v>
      </c>
      <c r="ET298">
        <f t="shared" si="606"/>
        <v>28</v>
      </c>
      <c r="EU298">
        <f t="shared" si="607"/>
        <v>8</v>
      </c>
      <c r="EV298">
        <f t="shared" si="608"/>
        <v>1.7741403714773512</v>
      </c>
      <c r="EW298" s="6">
        <f>IFERROR(ROUNDUP(EV298/IF(BV298=1,BU298,(Uн_лин/SQRT(3))*1000)*100,2),"")</f>
        <v>0.77</v>
      </c>
      <c r="EX298" t="str">
        <f>IFERROR(VLOOKUP(BZ298,Кабель_обозначение,2,FALSE),"")</f>
        <v>ВВГнг(А)-LS</v>
      </c>
      <c r="EY298" t="str">
        <f t="shared" si="609"/>
        <v>ВВГнг(А)-LS (3х2,5)</v>
      </c>
      <c r="EZ298" t="str">
        <f t="shared" si="610"/>
        <v>ВВГнг(А)-LS (3х2,5)
L=54-0,77%</v>
      </c>
      <c r="FA298">
        <f>IFERROR(2*ρкз_Cu*P298/EN298,"")</f>
        <v>1.1361600000000001</v>
      </c>
      <c r="FB298">
        <f t="shared" si="611"/>
        <v>0.378</v>
      </c>
      <c r="FC298" s="6" t="str">
        <f>IFERROR(IF(OR(B298="",BV298=1,NOT(ISNUMBER(EN298)),N(P298)=0),"",_xlfn.XLOOKUP(A298,Щиты[Щит],Щиты[Zпетли на шинах, Ом])+FA298),"")</f>
        <v/>
      </c>
      <c r="FD298" s="6" t="str">
        <f>IF(ISNUMBER(FC298),c_min*(Uн_лин*1000/SQRT(3))/FC298,"")</f>
        <v/>
      </c>
      <c r="FE298" s="6" t="str">
        <f>IFERROR(IF(OR(B298="",NOT(ISNUMBER(EN298))),"",1.05*(Uн_лин*1000/SQRT(3))/(_xlfn.XLOOKUP(A298,Щиты[Щит],Щиты[Zmax на шинах, Ом])+FB298)/1000),"")</f>
        <v/>
      </c>
      <c r="FF298" s="6" t="str">
        <f>IF(B298="","",IF(ISNUMBER(AC298),"Сил",IF(IFERROR(_xlfn.XLOOKUP(BC298,Коды_код,Коды_группа)&amp;"","")="","Быт",_xlfn.XLOOKUP(BC298,Коды_код,Коды_группа)&amp;"")))</f>
        <v>Быт</v>
      </c>
      <c r="FG298" s="6" t="str">
        <f t="shared" si="612"/>
        <v>Быт</v>
      </c>
      <c r="FH298" s="6">
        <f>IF(FG298="Щит","щит",IF(FG298="","",IF(FG298="Быт",IFERROR(_xlfn.XLOOKUP(A298,Щиты[Щит],Щиты[Кс быт]),1),IF(FG298="Сил",IF(ISNUMBER(AC298),AC298,IF(Методика="нормы 2026",IFERROR(_xlfn.XLOOKUP(A298,Щиты[Щит],Щиты[Кс силовых (табл. 7.5)]),1),1)),IF(OR(FG298="Пост",FG298="Отоп"),1,IF(FG298="ВНГ",0.7,0))))))</f>
        <v>0.8</v>
      </c>
      <c r="FI298">
        <f>IF(FG298="","",IF(AND(BP298=1,TRIM(AE298&amp;"")=""),IF(COUNTIFS(Линии[Щит],A298,Линии[Секция (1/2/3)],"&gt;=2")&gt;0,MIN(3,MAX(1,IFERROR(--BD298,1))),1),IFERROR(MIN(3,MAX(1,INT(--AE298))),1)))</f>
        <v>1</v>
      </c>
      <c r="FJ298">
        <f t="shared" si="613"/>
        <v>0.42</v>
      </c>
      <c r="FK298">
        <f t="shared" si="614"/>
        <v>0.42</v>
      </c>
      <c r="FL298">
        <f t="shared" si="615"/>
        <v>0</v>
      </c>
      <c r="FM298">
        <f t="shared" si="616"/>
        <v>0</v>
      </c>
      <c r="FN298">
        <f t="shared" si="617"/>
        <v>0</v>
      </c>
      <c r="FO298">
        <f t="shared" si="618"/>
        <v>0</v>
      </c>
      <c r="FP298">
        <f t="shared" si="619"/>
        <v>0.42</v>
      </c>
      <c r="FQ298">
        <f t="shared" si="620"/>
        <v>0.42</v>
      </c>
      <c r="FR298">
        <f t="shared" si="621"/>
        <v>0.39899999999999997</v>
      </c>
      <c r="FS298">
        <f>IF(CG298=1,IF(AND(CH298=1,CW298=1),0,IF(AND(CS298&lt;&gt;"",CS298=BA298,CW298=1),SUMIFS(Линии[_Р линии, кВт],Линии[_блок УЗО],BA298,Линии[Щит],A298),N(BS298)+IF(AJ298="вручную",0,N(CK298)))),0)</f>
        <v>0.42</v>
      </c>
      <c r="FT298" t="str">
        <f t="shared" si="622"/>
        <v>L2</v>
      </c>
      <c r="FU298" t="str">
        <f>IF(B298="","",IF(CG298=0,IF(BA298=1,"",FW297),IF(AND(CH298=1,CW298=1,CS298&lt;&gt;""),IFERROR(_xlfn.XLOOKUP(CS298,Линии[_n],Линии[_фаза итог]),"L1"),IF(OR(N(DL298)&gt;=3,N(BX298)&gt;=3),"L1,L2,L3",IFERROR(_xlfn.TEXTBEFORE(_xlfn.TEXTAFTER(_xlfn.XLOOKUP(A298,Щиты[Щит],Щиты[_фазы авто]),";"&amp;BA298&amp;":"),";"),"L1")))))</f>
        <v>L1</v>
      </c>
      <c r="FV298" t="str">
        <f t="shared" si="623"/>
        <v>L2</v>
      </c>
      <c r="FW298" t="str">
        <f t="shared" si="624"/>
        <v>L2</v>
      </c>
      <c r="FX298" cm="1">
        <f t="array" ref="FX298">IFERROR(IF(CD298=2,_xlfn.IFS(BX298=3,VLOOKUP(BS298,Справочная_двигатели,3,FALSE),BX298=1,VLOOKUP(BS298,Справочная_двигатели,5,TRUE)),0),0)</f>
        <v>0</v>
      </c>
      <c r="FY298">
        <f>IFERROR(IF(CD298=3,VLOOKUP(BS298,Справочная_ЛЭД,2,TRUE),0),0)</f>
        <v>0</v>
      </c>
      <c r="FZ298" s="6">
        <f t="shared" si="625"/>
        <v>0</v>
      </c>
      <c r="GA298" t="str">
        <f>IF(B298="","",IF(TRIM(AH298&amp;"")&lt;&gt;"",IF(LOWER(TRIM(AH298&amp;""))="да","да","нет"),IF(IFERROR(_xlfn.XLOOKUP(BC298,Коды_код,Коды_пожарная),"")="да","да","нет")))</f>
        <v>нет</v>
      </c>
      <c r="GB298" t="str">
        <f t="shared" si="626"/>
        <v/>
      </c>
      <c r="GC298" t="str">
        <f t="shared" si="627"/>
        <v>основная</v>
      </c>
      <c r="GD298">
        <f>IF(AND(BP298=1,TRIM(AE298&amp;"")=""),IF(COUNTIFS(Линии[Щит],A298,Линии[Секция (1/2/3)],"&gt;=2")&gt;0,MIN(3,MAX(1,IFERROR(--BD298,1))),1),IFERROR(MIN(3,MAX(1,INT(--AE298))),1))</f>
        <v>1</v>
      </c>
      <c r="GE298" t="str" cm="1">
        <f t="array" ref="GE298">IF(B298="","",_xlfn.LET(_xlpm.t,IFERROR(_xlfn.XLOOKUP(1,(Шины[Шина]=GC298)*(((Шины[Щит]=A298)+(Шины[Щит]=""))&gt;0),Шины[Тип]),"")&amp;"",IF(_xlpm.t&lt;&gt;"",_xlpm.t,IF(ISNUMBER(SEARCH("ИБП",GC298)),"ИБП",IF(ISNUMBER(SEARCH("ДГУ",GC298)),"ДГУ","Ввод "&amp;GD298)))))</f>
        <v>Ввод 1</v>
      </c>
      <c r="GF298" t="str">
        <f t="shared" si="628"/>
        <v>Ввод 1</v>
      </c>
      <c r="GG298" t="str">
        <f>IF(BP298=0,"",IF(TRIM(AG298&amp;"")&lt;&gt;"",TRIM(AG298&amp;""),IF(OR(GE298="ИБП",GE298="ДГУ"),"I особая",_xlfn.XLOOKUP(A298,Щиты[Щит],Щиты[Категория шины «Ввод»],"III"))))</f>
        <v/>
      </c>
      <c r="GH298" t="str">
        <f>IF(A298="","",_xlfn.XLOOKUP(A298,Щиты[Щит],Щиты[Путь],""))</f>
        <v>|ГРЩ-ЖД|ЩР-2|</v>
      </c>
      <c r="GI298" t="str">
        <f>IF(B298="","",IF(AI298&lt;&gt;"",AI298,IF(IFERROR(_xlfn.XLOOKUP(BC298,Коды_код,Коды_вид)&amp;"","")="","Прочее",_xlfn.XLOOKUP(BC298,Коды_код,Коды_вид)&amp;"")))</f>
        <v>Розеточная сеть и бытовые приборы</v>
      </c>
      <c r="GJ298">
        <f>IF(BM298="","",INT((BM298-1)/Столбцов_на_лист)+1)</f>
        <v>2</v>
      </c>
      <c r="GK298" t="str">
        <f t="shared" si="629"/>
        <v>ВВГнг(А)-LS (3х2,5) L=54-0,77%</v>
      </c>
      <c r="GL298">
        <f t="shared" si="630"/>
        <v>0.42</v>
      </c>
      <c r="GM298">
        <f t="shared" si="631"/>
        <v>1.92</v>
      </c>
      <c r="GN298">
        <f t="shared" si="632"/>
        <v>1</v>
      </c>
      <c r="GO298">
        <f t="shared" si="633"/>
        <v>0</v>
      </c>
      <c r="GP298">
        <f t="shared" si="634"/>
        <v>1</v>
      </c>
      <c r="GQ298">
        <f>IF(BM298="","",IF(AND(CG298=1,GP298=1),COUNTIFS(A$3:A298,A298,CG$3:CG298,1,GP$3:GP298,1),IF(OR(OR(BA298=1,A298&lt;&gt;A297),AJ298="вручную",GP298=0),"",IF(BA298=1,"",GR297))))</f>
        <v>15</v>
      </c>
      <c r="GR298">
        <f t="shared" si="635"/>
        <v>15</v>
      </c>
      <c r="GS298">
        <f>IF(B298="","",IFERROR(LOOKUP(INDEX(CHOOSE(EB298,Iдоп_1ж,Iдоп_2ж,Iдоп_3ж),MATCH(EN298,Iдоп_S,0))*DZ298*EA298,{6,10,16,20,25,32,40,50,63,80,100,125,160,200,250,315,400,500,630}),""))</f>
        <v>25</v>
      </c>
      <c r="GT298" t="str">
        <f t="shared" si="636"/>
        <v>QFD15</v>
      </c>
      <c r="GU298" t="str">
        <f t="shared" si="637"/>
        <v>QFD15</v>
      </c>
      <c r="GV298" t="str">
        <f t="shared" si="638"/>
        <v/>
      </c>
      <c r="GW298">
        <f t="shared" si="639"/>
        <v>0</v>
      </c>
      <c r="GX298" t="str">
        <f>IF(OR(B298="",DJ298=""),"",IFERROR(_xlfn.XLOOKUP(DJ298,Модули_умолч[Управление],Модули_умолч[Модель])&amp;"",""))</f>
        <v/>
      </c>
      <c r="GY298">
        <f>IF(DJ298="",1,IFERROR(MAX(0,N(_xlfn.XLOOKUP(DJ298,Модули_умолч[Управление],Модули_умолч[Каналов на линию]))),1))</f>
        <v>1</v>
      </c>
      <c r="GZ298" t="str">
        <f t="shared" si="640"/>
        <v/>
      </c>
      <c r="HA298" t="str">
        <f t="shared" si="641"/>
        <v/>
      </c>
      <c r="HB298" t="str">
        <f t="shared" si="642"/>
        <v/>
      </c>
      <c r="HC298">
        <f>IF(HB298="",0,IFERROR(N(VLOOKUP(HB298,Модули_спр,3,FALSE)),0))</f>
        <v>0</v>
      </c>
      <c r="HD298" t="str">
        <f t="shared" si="643"/>
        <v/>
      </c>
      <c r="HE298" t="str">
        <f t="shared" si="644"/>
        <v/>
      </c>
      <c r="HF298" t="str">
        <f>IF(OR(HE298="",HE298="-"),"",IFERROR(VLOOKUP(HE298,Модули_спр,2,FALSE),"R"))</f>
        <v/>
      </c>
      <c r="HG298" t="str">
        <f>IF(HF298="","",HF298&amp;"."&amp;COUNTIFS(A$3:A298,A298,HF$3:HF298,HF298))</f>
        <v/>
      </c>
      <c r="HH298" t="str">
        <f t="shared" si="645"/>
        <v/>
      </c>
      <c r="HI298" t="str">
        <f t="shared" si="646"/>
        <v/>
      </c>
      <c r="HJ298" t="str">
        <f t="shared" si="647"/>
        <v/>
      </c>
      <c r="HK298" t="str">
        <f t="shared" si="648"/>
        <v/>
      </c>
      <c r="HL298">
        <f t="shared" si="649"/>
        <v>1</v>
      </c>
      <c r="HM298" t="str">
        <f>IF(HL298=1,"XT"&amp;COUNTIFS(A$3:A298,A298,HL$3:HL298,1),"")</f>
        <v>XT15</v>
      </c>
      <c r="HN298" t="str">
        <f t="shared" si="650"/>
        <v/>
      </c>
      <c r="HO298" t="str">
        <f t="shared" si="651"/>
        <v>QFD15</v>
      </c>
      <c r="HP298" t="str">
        <f t="shared" si="652"/>
        <v/>
      </c>
      <c r="HQ298" t="str">
        <f t="shared" si="653"/>
        <v>ok</v>
      </c>
      <c r="HR298" t="str">
        <f>IF(OR(HJ298="",HH298=""),"",IF(HJ298+MAX(0,GY298-1)&gt;IFERROR(VLOOKUP(HI298,Модули_спр,3,FALSE),99),"ЛИШНИЙ КАНАЛ",IF(AND(AL298&lt;&gt;"=",GY298&gt;0,COUNTIFS(Линии[_модуль гр.],HH298,Линии[Канал (итог)],HJ298,Линии[Канал],"&lt;&gt;=",Линии[Щит],A298)&gt;1),"ДУБЛЬ КАНАЛА","")))</f>
        <v/>
      </c>
      <c r="HS298" s="6" t="str">
        <f t="shared" si="654"/>
        <v/>
      </c>
      <c r="HT298">
        <f t="shared" si="655"/>
        <v>10</v>
      </c>
      <c r="HU298" t="str">
        <f t="shared" si="656"/>
        <v/>
      </c>
      <c r="HV298">
        <f t="shared" si="657"/>
        <v>1.3057487780830828</v>
      </c>
      <c r="HW298">
        <f t="shared" si="658"/>
        <v>0</v>
      </c>
      <c r="HX298">
        <f t="shared" si="659"/>
        <v>0</v>
      </c>
      <c r="HY298">
        <f t="shared" si="660"/>
        <v>0</v>
      </c>
      <c r="HZ298">
        <f t="shared" si="661"/>
        <v>0</v>
      </c>
      <c r="IA298">
        <f t="shared" si="662"/>
        <v>0</v>
      </c>
      <c r="IB298">
        <f t="shared" si="663"/>
        <v>0</v>
      </c>
      <c r="IC298" t="str">
        <f t="shared" si="664"/>
        <v/>
      </c>
      <c r="ID298" t="str" cm="1">
        <f t="array" ref="ID298">IF(IC298="","",_xlfn.LET(_xlpm.tk,_xlfn.TEXTSPLIT(SUBSTITUTE(SUBSTITUTE(IC298,";"," "),"→"," ")," ",,TRUE),_xlpm.w_,_xlfn._xlws.FILTER(_xlpm.tk,ISNUMBER(--LEFT(_xlpm.tk,1))*((ISNUMBER(SEARCH("W",_xlpm.tk))+ISNUMBER(SEARCH("Вт",_xlpm.tk)))&gt;0),""),IFERROR(--SUBSTITUTE(SUBSTITUTE(UPPER(INDEX(_xlpm.w_,1)),"W",""),"ВТ",""),"")))</f>
        <v/>
      </c>
      <c r="IE298" t="str" cm="1">
        <f t="array" ref="IE298">IF(IC298="","",_xlfn.LET(_xlpm.tk,_xlfn.TEXTSPLIT(SUBSTITUTE(SUBSTITUTE(IC298,";"," "),"→"," ")," ",,TRUE),_xlpm.v_,_xlfn._xlws.FILTER(_xlpm.tk,ISNUMBER(--LEFT(_xlpm.tk,1))*((ISNUMBER(SEARCH("V",_xlpm.tk))+(RIGHT(UPPER(_xlpm.tk))="В"))&gt;0),""),IFERROR(--SUBSTITUTE(SUBSTITUTE(UPPER(INDEX(_xlpm.v_,1)),"V",""),"В",""),"")))</f>
        <v/>
      </c>
      <c r="IF298" s="6" t="str">
        <f>IF(OR(BV298=0,HI298="",HJ298=""),"",IFERROR(N(_xlfn.XLOOKUP(HI298,Каталог!$C$4:$C$500,Каталог!$Q$4:$Q$500)),""))</f>
        <v/>
      </c>
      <c r="IG298" s="6" t="str">
        <f>IF(N(IF298)=0,"",SUMIFS(Линии[Iр, А],Линии[Щит],A298,Линии[_модуль гр.],HH298,Линии[Канал (итог)],HJ298))</f>
        <v/>
      </c>
      <c r="IH298" t="str">
        <f>IF(AND(B298="",HO298=""),"",_xlfn.TEXTJOIN("; ",TRUE,IF(AND(B298&lt;&gt;"",FV298=""),"нет фазы",""),IF(AND(B298&lt;&gt;"",N(GL298)=0,FG298&lt;&gt;"Нет"),"нет мощности",""),IF(AND(HN298&lt;&gt;"",COUNTIFS(Линии[Щит],A298,Линии[Клемма (итог)],HN298)&gt;1),"дубль клеммы "&amp;HN298,""),IF(AND(HQ298&lt;&gt;"",HQ298&lt;&gt;"ok"),HQ298,""),IF(HR298&lt;&gt;"",HR298,""),IF(AND(N(CB298)&gt;=4,N(BX298)=1),CB298&amp;" жил на 1 фазе",""),IF(AND(BC298="R",CG298=1,IF(CS298&lt;&gt;"",N(CV298)&gt;30,OR(N(DA298)=0,N(DA298)&gt;30))),"розетка без дифзащиты до 30 мА",""),IF(AND(CG298=1,N(DA298)&gt;0,ISNUMBER(T298)),IF(T298&gt;N(DA298)/3,"ток утечки "&amp;FIXED(T298,1)&amp;" мА &gt; 1/3 уставки ("&amp;DA298&amp;" мА)",""),""),IF(AND(CH298=1,CS298=""),"«узо»: нет строки с УЗО выше (УЗО 2P 40А 30мА в «Аппаратах»)",""),IF(AND(CS298&lt;&gt;"",CS298=BA298),IF(CT298="","впишите номинал УЗО (УЗО 2P 40А 30мА)",IF(N(CT298)&lt;N(DT298),"УЗО "&amp;CT298&amp;" А &lt; автомата "&amp;DT298&amp;" А перед ним",IF(N(CT298)&lt;N(CX298),"УЗО "&amp;CT298&amp;" А &lt; тока блока "&amp;FIXED(CX298,1)&amp;" А",""))),""),IF(AND(CS298&lt;&gt;"",CS298=BA298,ISNUMBER(CY298)),IF(CY298&gt;N(CV298)/3,"ток утечки блока УЗО "&amp;FIXED(CY298,1)&amp;" мА &gt; 1/3 уставки ("&amp;CV298&amp;" мА)",""),""),IF(AND(CG298=1,N(BV298)+N(IB298)&gt;0,IC298=""),"линии до 50 В без БП: впишите в «Аппараты» (БП 24V 480W)",""),IF(AND(CG298=1,ISNUMBER(ID298),ISNUMBER(U298)),IF(U298&gt;ID298,"БП "&amp;ID298&amp;" Вт &lt; нужно "&amp;U298&amp;" Вт (×"&amp;Запас_БП&amp;")",""),""),IF(AND(CG298=1,ISNUMBER(IE298),N(BV298)=1),IF(IE298&lt;&gt;N(BU298),"БП на "&amp;IE298&amp;" В, линия "&amp;BU298&amp;" В",""),""),IF(AND(N(IF298)&gt;0,N(IG298)&gt;N(IF298)),HH298&amp;" канал "&amp;HJ298&amp;": "&amp;FIXED(IG298,1)&amp;" А &gt; "&amp;IF298&amp;" А",""),IFERROR(IF(AND(ISNUMBER(Q298),Q298&gt;EL298),"потери "&amp;FIXED(Q298,1)&amp;" % &gt; "&amp;EL298&amp;" %",""),""),IFERROR(IF(LEFT(HU298,4)="мало","Iкз мало — отключение &gt; 0,4 с",""),""),IF(AND(B298&lt;&gt;"",BM298=""),"не на схеме",""),IF(AND(CG298=0,B298&lt;&gt;"",FV298&lt;&gt;"",IF(BA298=1,"",FW297)&lt;&gt;"",FV298&lt;&gt;IF(BA298=1,"",FW297)),"фаза не как у автомата группы ("&amp;IF(BA298=1,"",FW297)&amp;")","")))</f>
        <v/>
      </c>
      <c r="II298" s="6">
        <f>IF(OR(CG298=0,DQ298=""),"",_xlfn.LET(_xlpm.t,IFERROR(_xlfn.XLOOKUP(DQ298,Каталог!$U$4:$U$500,Каталог!$G$4:$G$500),""),_xlpm.k,SEARCH("кА",_xlpm.t),IFERROR(--TRIM(RIGHT(SUBSTITUTE(MID(_xlpm.t,MAX(1,_xlpm.k-4),_xlpm.k-MAX(1,_xlpm.k-4))," ",REPT(" ",9)),5)),"")))</f>
        <v>6</v>
      </c>
      <c r="IJ298" t="str">
        <f>IF(OR(II298="",CG298=0),"",IF(_xlfn.XLOOKUP(A298,Щиты[Щит],Щиты[Iкз max на шинах, кА],"")="","",IF(II298&lt;_xlfn.XLOOKUP(A298,Щиты[Щит],Щиты[Iкз max на шинах, кА]),"Icu "&amp;II298&amp;" кА &lt; Iкз max","ok")))</f>
        <v/>
      </c>
      <c r="IK298" t="str">
        <f t="shared" si="665"/>
        <v/>
      </c>
      <c r="IL298" t="str">
        <f t="shared" si="666"/>
        <v>QFD15</v>
      </c>
      <c r="IM298" t="str">
        <f t="shared" si="667"/>
        <v>QFD15|кабель ВВГнг(А)-LS (3х2,5) → Розеточная группа, пом. 017А</v>
      </c>
      <c r="IN298" t="str" cm="1">
        <f t="array" ref="IN298">IF(IM298="","",_xlfn.LET(_xlpm.nd,_xlfn.TEXTSPLIT(IM298,"|"),IF(COLUMNS(_xlpm.nd)&gt;1,A298&amp;"¦"&amp;INDEX(_xlpm.nd,1)&amp;"¦"&amp;INDEX(_xlpm.nd,2),"")))</f>
        <v>ЩР-2¦QFD15¦кабель ВВГнг(А)-LS (3х2,5) → Розеточная группа, пом. 017А</v>
      </c>
      <c r="IO298" t="str">
        <f t="shared" si="668"/>
        <v>R.2.017А.1¦Розеточная группа, пом. 017А</v>
      </c>
      <c r="IP298" t="str" cm="1">
        <f t="array" ref="IP298">IF(IM298="","",_xlfn.LET(_xlpm.nd,_xlfn.TEXTSPLIT(IM298,"|"),IF(COLUMNS(_xlpm.nd)&gt;2,A298&amp;"¦"&amp;INDEX(_xlpm.nd,2)&amp;"¦"&amp;INDEX(_xlpm.nd,3),"")))</f>
        <v/>
      </c>
      <c r="IQ298" t="str">
        <f t="shared" si="669"/>
        <v/>
      </c>
      <c r="IR298" t="str" cm="1">
        <f t="array" ref="IR298">IF(IM298="","",_xlfn.LET(_xlpm.nd,_xlfn.TEXTSPLIT(IM298,"|"),IF(COLUMNS(_xlpm.nd)&gt;3,A298&amp;"¦"&amp;INDEX(_xlpm.nd,3)&amp;"¦"&amp;INDEX(_xlpm.nd,4),"")))</f>
        <v/>
      </c>
      <c r="IS298" t="str">
        <f t="shared" si="670"/>
        <v/>
      </c>
      <c r="IT298" t="str" cm="1">
        <f t="array" ref="IT298">IF(IM298="","",_xlfn.LET(_xlpm.nd,_xlfn.TEXTSPLIT(IM298,"|"),IF(COLUMNS(_xlpm.nd)&gt;4,A298&amp;"¦"&amp;INDEX(_xlpm.nd,4)&amp;"¦"&amp;INDEX(_xlpm.nd,5),"")))</f>
        <v/>
      </c>
      <c r="IU298" t="str">
        <f t="shared" si="671"/>
        <v/>
      </c>
      <c r="IV298" t="str" cm="1">
        <f t="array" ref="IV298">IF(IM298="","",_xlfn.LET(_xlpm.nd,_xlfn.TEXTSPLIT(IM298,"|"),IF(COLUMNS(_xlpm.nd)&gt;5,A298&amp;"¦"&amp;INDEX(_xlpm.nd,5)&amp;"¦"&amp;INDEX(_xlpm.nd,6),"")))</f>
        <v/>
      </c>
      <c r="IW298" t="str">
        <f t="shared" si="672"/>
        <v/>
      </c>
      <c r="IX298" t="str" cm="1">
        <f t="array" ref="IX298">IF(IM298="","",_xlfn.LET(_xlpm.nd,_xlfn.TEXTSPLIT(IM298,"|"),IF(COLUMNS(_xlpm.nd)&gt;6,A298&amp;"¦"&amp;INDEX(_xlpm.nd,6)&amp;"¦"&amp;INDEX(_xlpm.nd,7),"")))</f>
        <v/>
      </c>
      <c r="IY298" t="str">
        <f t="shared" si="673"/>
        <v/>
      </c>
      <c r="IZ298" t="str">
        <f t="shared" si="674"/>
        <v/>
      </c>
      <c r="JA298" t="str">
        <f t="shared" si="675"/>
        <v>QFD15</v>
      </c>
      <c r="JB298">
        <f t="shared" si="676"/>
        <v>0</v>
      </c>
      <c r="JC298">
        <f t="shared" si="677"/>
        <v>1</v>
      </c>
      <c r="JD298" t="str">
        <f t="shared" si="678"/>
        <v/>
      </c>
      <c r="JE298" t="str">
        <f t="shared" si="679"/>
        <v/>
      </c>
      <c r="JF298" t="str">
        <f t="shared" si="680"/>
        <v/>
      </c>
      <c r="JG298" t="str">
        <f t="shared" si="681"/>
        <v/>
      </c>
      <c r="JH298" t="str">
        <f>IF(B298="","",IFERROR(_xlfn.XLOOKUP(B298,Коды_код,Коды_уго),IFERROR(_xlfn.XLOOKUP(BC298,Коды_код,Коды_уго),IFERROR(_xlfn.XLOOKUP(LEFT(BC298,2),Коды_код,Коды_уго),""))))</f>
        <v>Розетка</v>
      </c>
      <c r="JI298" t="str">
        <f>IF(B298="","",IF(OR(JH298="",JH298=0),"BOX",IFERROR(IF(VLOOKUP(JH298,УГО_блоки,3,FALSE)&amp;""&lt;&gt;"",VLOOKUP(JH298,УГО_блоки,3,FALSE),VLOOKUP(JH298,УГО_блоки,2,FALSE)),JH298)))</f>
        <v>SOCKET</v>
      </c>
      <c r="JJ298">
        <f t="shared" si="682"/>
        <v>1</v>
      </c>
      <c r="JK298" t="str">
        <f>IF(DQ298="","",IF(COUNTIF(DQ$3:DQ298,DQ298)=1,MAX(JK$2:JK297)+1,""))</f>
        <v/>
      </c>
      <c r="JL298" t="str">
        <f>IF(DE298="","",IF(COUNTIF(DE$3:DE298,DE298)+COUNTIF(DF$2:DF297,DE298)+COUNTIF(DG$2:DG297,DE298)=1,MAX(JL$2:JN297)+1,""))</f>
        <v/>
      </c>
      <c r="JM298" t="str">
        <f>IF(DF298="","",IF(COUNTIF(DE$3:DE298,DF298)+COUNTIF(DF$3:DF298,DF298)+COUNTIF(DG$2:DG297,DF298)=1,MAX(JL$2:JN297,JL298)+1,""))</f>
        <v/>
      </c>
      <c r="JN298" t="str">
        <f>IF(DG298="","",IF(COUNTIF(DE$3:DE298,DG298)+COUNTIF(DF$3:DF298,DG298)+COUNTIF(DG$3:DG298,DG298)=1,MAX(JL$2:JN297,JL298,JM298)+1,""))</f>
        <v/>
      </c>
      <c r="JO298" t="str">
        <f t="shared" si="683"/>
        <v>3х2,5</v>
      </c>
      <c r="JP298" t="str">
        <f>IF(JO298="","",IF(COUNTIF(JO$3:JO298,JO298)=1,MAX(JP$2:JP297)+1,""))</f>
        <v/>
      </c>
      <c r="JQ298" t="str">
        <f>IF(HG298="","",COUNTIF(HG$3:HG298,"?*"))</f>
        <v/>
      </c>
      <c r="JR298" t="str">
        <f>IF(OR(HG298="",HI298=""),"",IF(COUNTIFS(HG$3:HG298,"?*",HI$3:HI298,HI298)=1,MAX(JR$2:JR297)+1,""))</f>
        <v/>
      </c>
      <c r="JS298">
        <f t="shared" si="684"/>
        <v>0</v>
      </c>
      <c r="JT298">
        <f>IF(B298="","",COUNTIF(B$3:B298,"?*"))</f>
        <v>296</v>
      </c>
      <c r="JU298">
        <f>IF(HL298&lt;&gt;1,0,_xlfn.LET(_xlpm.k,MAX(IFERROR(--_xlfn.XLOOKUP(B298,Коды_код,Коды_3L),0),IFERROR(--_xlfn.XLOOKUP(BC298,Коды_код,Коды_3L),0),IFERROR(--_xlfn.XLOOKUP(LEFT(BC298,2),Коды_код,Коды_3L),0)),IF(_xlpm.k&gt;0,_xlpm.k,IF(IFERROR(--LEFT(SUBSTITUTE(JO298,"x","х"),FIND("х",SUBSTITUTE(JO298,"x","х"))-1),3)&gt;3,Каталог!$S$9,1))))</f>
        <v>1</v>
      </c>
      <c r="JV298">
        <f t="shared" si="685"/>
        <v>0</v>
      </c>
      <c r="JW298" t="str">
        <f t="shared" si="686"/>
        <v>авто</v>
      </c>
      <c r="JX298">
        <f t="shared" si="687"/>
        <v>30</v>
      </c>
      <c r="JY298">
        <f t="shared" si="688"/>
        <v>1</v>
      </c>
      <c r="JZ298">
        <f t="shared" si="689"/>
        <v>1</v>
      </c>
    </row>
    <row r="299" spans="1:286" x14ac:dyDescent="0.3">
      <c r="A299" t="s">
        <v>759</v>
      </c>
      <c r="B299" t="s">
        <v>1604</v>
      </c>
      <c r="C299" t="str">
        <f>Линии[[#This Row],[_авто наименование]]</f>
        <v>Розеточная группа, пом. 019А</v>
      </c>
      <c r="D299">
        <v>2</v>
      </c>
      <c r="E299">
        <v>0.24</v>
      </c>
      <c r="G299">
        <v>16</v>
      </c>
      <c r="H299" t="str">
        <f>Линии[[#This Row],[_авто управление]]</f>
        <v/>
      </c>
      <c r="I299" t="str">
        <f>Линии[[#This Row],[_авто аппараты]]</f>
        <v/>
      </c>
      <c r="J299">
        <v>2.5</v>
      </c>
      <c r="K299">
        <v>46</v>
      </c>
      <c r="L299">
        <v>3</v>
      </c>
      <c r="M299" t="s">
        <v>484</v>
      </c>
      <c r="N299" t="str">
        <f t="shared" si="552"/>
        <v/>
      </c>
      <c r="O299" s="6" cm="1">
        <f t="array" ref="O299">IF(B299="","",IF(BH299&lt;&gt;"",IFERROR(_xlfn.XLOOKUP(BH299,Щиты[Щит],Щиты[Iр, А]),""),IF(BP299=1,IF(OR(N(_xlfn.XLOOKUP(A299,Щиты[Щит],Щиты[Вводов],1))&lt;=1,LOWER(TRIM(_xlfn.XLOOKUP(A299,Щиты[Щит],Щиты[АВР],"")&amp;""))="да"),IFERROR(_xlfn.XLOOKUP(A299,Щиты[Щит],Щиты[Iр, А]),""),IFERROR(N(BS299)*_xlfn.XLOOKUP(A299,Щиты[Щит],Щиты[Кс итог])/(SQRT(3)*Uн_лин*_xlfn.XLOOKUP(A299,Щиты[Щит],Щиты[cos φ])),"")),IF(BV299=1,IFERROR(BS299*1000/BU299,""),IFERROR(_xlfn.IFS(BX299=1,BS299/((Uн_лин/SQRT(3))*CE299),BX299=3,BS299/(SQRT(3)*Uн_лин*CE299)),"")))))</f>
        <v>1.0939268258329751</v>
      </c>
      <c r="P299" s="7">
        <f>IF(B299="","",IFERROR(IF(VLOOKUP(BC299,Потребители_обозначение,4,FALSE)=1,VLOOKUP(BC299,Потребители_обозначение,3,FALSE)*(MAX(1,N(D299))*2-1)+EI299+VLOOKUP(BE299,Этаж_обозначение,3,FALSE)+VLOOKUP(BE299,Этаж_обозначение,4,FALSE),VLOOKUP(BC299,Потребители_обозначение,3,FALSE)*(MAX(1,N(D299))*2-1)+EI299),EI299))</f>
        <v>55</v>
      </c>
      <c r="Q299" s="6">
        <f t="shared" si="553"/>
        <v>2.2400000000000002</v>
      </c>
      <c r="R299" t="str">
        <f t="shared" si="554"/>
        <v>ВВГнг(А)-LS (3х2,5)</v>
      </c>
      <c r="S299" t="str">
        <f>IF(BM299="","",IF(BN299="вводной узел","узел ","")&amp;"л."&amp;(INT((BM299-1)/Столбцов_на_лист)+1)&amp;" / "&amp;(MOD(BM299-1,Столбцов_на_лист)+1))</f>
        <v>л.2 / 9</v>
      </c>
      <c r="T299" s="119">
        <f t="shared" si="555"/>
        <v>1</v>
      </c>
      <c r="U299" s="7" t="str">
        <f>IF(OR(CG299=0,N(BV299)+N(IB299)=0),"",ROUNDUP(Запас_БП*(N(HY299)+N(HZ299)),0))</f>
        <v/>
      </c>
      <c r="V299" s="119" t="str">
        <f t="shared" si="556"/>
        <v/>
      </c>
      <c r="W299" s="7" t="str">
        <f>IFERROR(IF(OR(B299="",BP299=1,BV299=1,NOT(ISNUMBER(EN299)),N(DT299)=0),"",MAX(0,ROUNDDOWN((c_min*(Uн_лин*1000/SQRT(3))/(HT299*N(DT299))-_xlfn.XLOOKUP(A299,Щиты[Щит],Щиты[Zпетли на шинах, Ом]))*EN299/(2*ρкз_Cu),0))),"")</f>
        <v/>
      </c>
      <c r="Y299">
        <f>Линии[[#This Row],[_авто утечка]]</f>
        <v>30</v>
      </c>
      <c r="Z299">
        <v>1</v>
      </c>
      <c r="AA299">
        <v>230</v>
      </c>
      <c r="AB299" t="s">
        <v>562</v>
      </c>
      <c r="AG299" t="s">
        <v>810</v>
      </c>
      <c r="AI299" t="s">
        <v>561</v>
      </c>
      <c r="AK299" t="str">
        <f>Линии[[#This Row],[_авто модуль]]</f>
        <v/>
      </c>
      <c r="AM299">
        <v>26</v>
      </c>
      <c r="AN299" t="s">
        <v>11</v>
      </c>
      <c r="AO299">
        <v>3</v>
      </c>
      <c r="AQ299">
        <v>12</v>
      </c>
      <c r="AR299">
        <v>11</v>
      </c>
      <c r="AS299">
        <v>26</v>
      </c>
      <c r="AT299">
        <v>2</v>
      </c>
      <c r="BA299" cm="1">
        <f t="array" ref="BA299">ROW()-ROW(Линии[#Headers])</f>
        <v>297</v>
      </c>
      <c r="BC299" s="6" t="str">
        <f t="shared" si="557"/>
        <v>R</v>
      </c>
      <c r="BD299" t="str">
        <f t="shared" si="558"/>
        <v>2.019А.1</v>
      </c>
      <c r="BE299" t="str">
        <f t="shared" si="559"/>
        <v>2</v>
      </c>
      <c r="BF299" t="str">
        <f t="shared" si="560"/>
        <v>019А.1</v>
      </c>
      <c r="BG299" t="str">
        <f t="shared" si="561"/>
        <v>019А</v>
      </c>
      <c r="BH299" t="str">
        <f>IF(X299&lt;&gt;"",X299,IF(AND(B299&lt;&gt;"",B299&lt;&gt;A299,ISNUMBER(_xlfn.XMATCH(B299,Щиты[Щит]))),B299,""))</f>
        <v/>
      </c>
      <c r="BI299" t="str" cm="1">
        <f t="array" ref="BI299">IF(B299="","",IF(BH299&lt;&gt;"","Щит "&amp;BH299,_xlfn.LET(_xlpm.nm,IFERROR(_xlfn.XLOOKUP(BC299,Коды_код,Коды_имя)&amp;"",""),_xlpm.md,IFERROR(N(_xlfn.XLOOKUP(BC299,Коды_код,Коды_режим)),1),_xlpm.ex,IF(Имя_режим="по экспликации",IFERROR(_xlfn.XLOOKUP(BE299&amp;"|"&amp;BG299,Экспликация[Этаж]&amp;"|"&amp;Экспликация[Помещение],Экспликация[Название])&amp;"",""),""),_xlpm.rm,IF(BG299="","",IF(_xlpm.ex&lt;&gt;"",". "&amp;_xlpm.ex&amp;IF(Имя_пом="нет"," ("&amp;BG299&amp;")"," (пом. "&amp;BG299&amp;")"),IF(Имя_пом="нет"," ",", пом. ")&amp;BG299)),IF(_xlpm.nm="","",IF(_xlpm.md=2,_xlpm.nm&amp;" шлейф "&amp;BE299,_xlpm.nm&amp;_xlpm.rm)))))</f>
        <v>Розеточная группа, пом. 019А</v>
      </c>
      <c r="BJ299" t="str">
        <f t="shared" si="562"/>
        <v>Розеточная группа, пом. 019А</v>
      </c>
      <c r="BK299">
        <f>IFERROR(_xlfn.XMATCH(A299,Щиты[Щит]),0)</f>
        <v>11</v>
      </c>
      <c r="BL299">
        <f>_xlfn.LET(_xlpm.k,IFERROR(_xlfn.XLOOKUP(A299,Щиты[Щит],Щиты[Мест под вводной узел]),""),IF(_xlpm.k="",Столбцов_на_лист,N(_xlpm.k)))</f>
        <v>8</v>
      </c>
      <c r="BM299">
        <f t="shared" si="563"/>
        <v>26</v>
      </c>
      <c r="BN299" t="str">
        <f t="shared" si="564"/>
        <v>линии</v>
      </c>
      <c r="BO299" s="6">
        <f>IFERROR(N(_xlfn.XLOOKUP(BC299,Коды_код,Коды_квт)),0)</f>
        <v>0</v>
      </c>
      <c r="BP299">
        <f t="shared" si="565"/>
        <v>0</v>
      </c>
      <c r="BQ299" t="str">
        <f>IF(B299="","",IF(BH299&lt;&gt;"",IFERROR(_xlfn.XLOOKUP(BH299,Щиты[Щит],Щиты[Руст, кВт]),0),IF(BP299=1,IF(OR(N(_xlfn.XLOOKUP(A299,Щиты[Щит],Щиты[Вводов],1))&lt;=1,LOWER(TRIM(_xlfn.XLOOKUP(A299,Щиты[Щит],Щиты[АВР],"")&amp;""))="да"),IFERROR(_xlfn.XLOOKUP(A299,Щиты[Щит],Щиты[Руст, кВт]),0),SUMIFS(Линии[_Р для вводов],Линии[Щит],A299,Линии[Источник для режимов],GF299)),IF(BO299&gt;0,ROUND(BO299*MAX(1,N(D299)),3),""))))</f>
        <v/>
      </c>
      <c r="BR299">
        <f t="shared" si="566"/>
        <v>0.24</v>
      </c>
      <c r="BS299" s="6">
        <f>IF(B299="","",IF(BH299&lt;&gt;"",IFERROR(_xlfn.XLOOKUP(BH299,Щиты[Щит],Щиты[Руст, кВт]),0),N(BR299)))</f>
        <v>0.24</v>
      </c>
      <c r="BT299" t="str">
        <f>IF(B299="","",IFERROR(IF(VLOOKUP(BC299,Потребители_обозначение,8,FALSE)=0,"",VLOOKUP(BC299,Потребители_обозначение,8,FALSE)),""))</f>
        <v/>
      </c>
      <c r="BU299">
        <f t="shared" si="567"/>
        <v>230</v>
      </c>
      <c r="BV299">
        <f t="shared" si="568"/>
        <v>0</v>
      </c>
      <c r="BW299">
        <f>IF(B299="","",IF(BH299&lt;&gt;"",3,IFERROR(IF(N(VLOOKUP(BC299,Потребители_обозначение,9,FALSE))=0,1,VLOOKUP(BC299,Потребители_обозначение,9,FALSE)),1)))</f>
        <v>1</v>
      </c>
      <c r="BX299">
        <f t="shared" si="569"/>
        <v>1</v>
      </c>
      <c r="BY299" t="str">
        <f>IF(B299="","",_xlfn.LET(_xlpm.bc,IFERROR(IF(VLOOKUP(BC299,Потребители_обозначение,6,FALSE)=0,"",VLOOKUP(BC299,Потребители_обозначение,6,FALSE)&amp;""),""),IF(AND(GA299="да",OR(_xlpm.bc="",_xlpm.bc="мс")),Марка_пож,IF(AND(_xlpm.bc="",BH299&lt;&gt;""),"мс",_xlpm.bc))))</f>
        <v/>
      </c>
      <c r="BZ299" t="str">
        <f t="shared" si="570"/>
        <v>мс</v>
      </c>
      <c r="CA299">
        <f>IF(B299="","",_xlfn.LET(_xlpm.cc,IFERROR(N(VLOOKUP(BC299,Потребители_обозначение,7,FALSE)),0),IF(_xlpm.cc&gt;0,_xlpm.cc,IF(BZ299="","",IF(BV299=1,2,IF(N(BX299)=3,5,3))))))</f>
        <v>3</v>
      </c>
      <c r="CB299">
        <f t="shared" si="571"/>
        <v>3</v>
      </c>
      <c r="CC299">
        <f>IFERROR(N(VLOOKUP(BC299,Потребители_обозначение,10,FALSE)),0)</f>
        <v>0</v>
      </c>
      <c r="CD299">
        <f>IFERROR(VLOOKUP(BC299,Потребители_обозначение,5,FALSE),0)</f>
        <v>1</v>
      </c>
      <c r="CE299" s="6" cm="1">
        <f t="array" ref="CE299">IF(B299="","",IF(BH299&lt;&gt;"",IFERROR(_xlfn.XLOOKUP(BH299,Щиты[Щит],Щиты[cos φ]),0.95),IF(BP299=1,IFERROR(_xlfn.XLOOKUP(A299,Щиты[Щит],Щиты[cos φ]),0.95),IF(ISNUMBER(AD299),AD299,IFERROR(IF(CD299=2,_xlfn.IFS(BX299=3,VLOOKUP(BS299,Справочная_двигатели,8,FALSE),BX299=1,VLOOKUP(BS299,Справочная_двигатели,10,TRUE)),IF(AND(Методика="нормы 2026",FG299="Сил"),0.8,0.95)),0.95)))))</f>
        <v>0.95</v>
      </c>
      <c r="CF299">
        <f t="shared" si="572"/>
        <v>0</v>
      </c>
      <c r="CG299">
        <f t="shared" si="573"/>
        <v>1</v>
      </c>
      <c r="CH299">
        <f t="shared" si="574"/>
        <v>0</v>
      </c>
      <c r="CI299">
        <f>IF(B299="","",IF(BV299=1,IFERROR(BS299/((Uн_лин/SQRT(3))*MAX(0.5,N(CE299))),0),N(O299)))</f>
        <v>1.0939268258329751</v>
      </c>
      <c r="CJ299">
        <f t="shared" si="575"/>
        <v>0</v>
      </c>
      <c r="CK299">
        <f t="shared" si="576"/>
        <v>0</v>
      </c>
      <c r="CL299">
        <f t="shared" si="577"/>
        <v>0</v>
      </c>
      <c r="CM299">
        <f t="shared" si="578"/>
        <v>0</v>
      </c>
      <c r="CN299">
        <f t="shared" si="579"/>
        <v>0</v>
      </c>
      <c r="CO299">
        <f>IF(BC299="",0,_xlfn.LET(_xlpm.v,IFERROR(_xlfn.XLOOKUP(B299,Коды_код,Коды_мА),IFERROR(_xlfn.XLOOKUP(BC299,Коды_код,Коды_мА),IFERROR(_xlfn.XLOOKUP(LEFT(BC299,2),Коды_код,Коды_мА),""))),IF(_xlpm.v="да",30,IF(ISNUMBER(_xlpm.v),_xlpm.v,0))))</f>
        <v>30</v>
      </c>
      <c r="CP299">
        <f t="shared" si="580"/>
        <v>30</v>
      </c>
      <c r="CQ299" t="str">
        <f>_xlfn.LET(_xlpm.k,IFERROR(_xlfn.XLOOKUP(BC299,Коды_код,Коды_утечка)&amp;"",""),IF(_xlpm.k="","дифавтомат",_xlpm.k))</f>
        <v>дифавтомат</v>
      </c>
      <c r="CR299" t="str" cm="1">
        <f t="array" ref="CR299">IF(CG299=0,"",_xlfn.LET(_xlpm.sg,TRIM(_xlfn.TEXTSPLIT(DD299&amp;"",";")),_xlpm.f_,_xlfn._xlws.FILTER(_xlpm.sg,LEFT(_xlpm.sg,3)="УЗО",""),IFERROR(INDEX(_xlpm.f_,1)&amp;"","")))</f>
        <v/>
      </c>
      <c r="CS299" t="str">
        <f t="shared" si="581"/>
        <v/>
      </c>
      <c r="CT299" s="6" t="str" cm="1">
        <f t="array" ref="CT299">IF(CR299="","",_xlfn.LET(_xlpm.tk,_xlfn.TEXTSPLIT(UPPER(CR299)," ",,TRUE),_xlpm.a_,_xlfn._xlws.FILTER(_xlpm.tk,ISNUMBER(--LEFT(_xlpm.tk,1))*((ISNUMBER(SEARCH("А",_xlpm.tk))+ISNUMBER(SEARCH("A",_xlpm.tk)))&gt;0)*NOT(ISNUMBER(SEARCH("МА",_xlpm.tk)))*NOT(ISNUMBER(SEARCH("MA",_xlpm.tk))),""),IFERROR(--SUBSTITUTE(SUBSTITUTE(INDEX(_xlpm.a_,1),"А",""),"A",""),"")))</f>
        <v/>
      </c>
      <c r="CU299" t="str" cm="1">
        <f t="array" ref="CU299">IF(CR299="","",_xlfn.LET(_xlpm.tk,_xlfn.TEXTSPLIT(UPPER(CR299)," ",,TRUE),_xlpm.a_,_xlfn._xlws.FILTER(_xlpm.tk,ISNUMBER(--LEFT(_xlpm.tk,1))*((ISNUMBER(SEARCH("МА",_xlpm.tk))+ISNUMBER(SEARCH("MA",_xlpm.tk)))&gt;0),""),IFERROR(--SUBSTITUTE(SUBSTITUTE(INDEX(_xlpm.a_,1),"МА",""),"MA",""),30)))</f>
        <v/>
      </c>
      <c r="CV299" t="str">
        <f>IF(CS299="","",IFERROR(_xlfn.XLOOKUP(CS299,Линии[_n],Линии[_УЗО, мА]),30))</f>
        <v/>
      </c>
      <c r="CW299">
        <f>IF(CS299="",0,IF(ISNUMBER(SEARCH("4P",IFERROR(_xlfn.XLOOKUP(CS299,Линии[_n],Линии[_УЗО строки])&amp;"",""))),0,1))</f>
        <v>0</v>
      </c>
      <c r="CX299" t="str">
        <f>IF(AND(CS299&lt;&gt;"",CS299=BA299),SUMIFS(Линии[_ток на 230 В],Линии[_блок УЗО],BA299,Линии[Щит],A299),"")</f>
        <v/>
      </c>
      <c r="CY299" t="str">
        <f>IF(AND(CS299&lt;&gt;"",CS299=BA299),SUMIFS(Линии[_ток утечки линии, мА],Линии[_блок УЗО],BA299,Линии[Щит],A299),"")</f>
        <v/>
      </c>
      <c r="CZ299">
        <f t="shared" si="582"/>
        <v>30</v>
      </c>
      <c r="DA299">
        <f t="shared" si="583"/>
        <v>30</v>
      </c>
      <c r="DB299">
        <f>IF(B299="",0,IFERROR(--_xlfn.XLOOKUP(B299,Коды_код,Коды_минавт),IFERROR(--_xlfn.XLOOKUP(BC299,Коды_код,Коды_минавт),IFERROR(--_xlfn.XLOOKUP(LEFT(BC299,2),Коды_код,Коды_минавт),0))))</f>
        <v>16</v>
      </c>
      <c r="DC299" t="str">
        <f>IF(B299="","",IFERROR(_xlfn.XLOOKUP(BC299,Коды_код,Коды_апп)&amp;"",""))</f>
        <v/>
      </c>
      <c r="DD299" t="str">
        <f t="shared" si="584"/>
        <v/>
      </c>
      <c r="DE299" t="str" cm="1">
        <f t="array" ref="DE299">IF(TRIM(DD299&amp;"")="","",IFERROR(TRIM(INDEX(_xlfn.TEXTSPLIT(DD299&amp;";;;",";"),1)),""))</f>
        <v/>
      </c>
      <c r="DF299" t="str" cm="1">
        <f t="array" ref="DF299">IF(TRIM(DD299&amp;"")="","",IFERROR(TRIM(INDEX(_xlfn.TEXTSPLIT(DD299&amp;";;;",";"),2)),""))</f>
        <v/>
      </c>
      <c r="DG299" t="str" cm="1">
        <f t="array" ref="DG299">IF(TRIM(DD299&amp;"")="","",IFERROR(TRIM(INDEX(_xlfn.TEXTSPLIT(DD299&amp;";;;",";"),3)),""))</f>
        <v/>
      </c>
      <c r="DH299">
        <f t="shared" si="585"/>
        <v>0</v>
      </c>
      <c r="DI299" t="str">
        <f>IF(B299="","",_xlfn.LET(_xlpm.t,LOWER(AZ299&amp;""),IF(ISNUMBER(SEARCH("dim",_xlpm.t)),"DIM",IF(ISNUMBER(SEARCH("dali",_xlpm.t)),"DALI",IF(OR(ISNUMBER(SEARCH("relay",_xlpm.t)),ISNUMBER(SEARCH("реле",_xlpm.t))),"Relay",IF(ISNUMBER(SEARCH("кнопк",_xlpm.t)),"",IFERROR(_xlfn.XLOOKUP(BC299,Коды_код,Коды_упр)&amp;"","")))))))</f>
        <v/>
      </c>
      <c r="DJ299" t="str">
        <f t="shared" si="586"/>
        <v/>
      </c>
      <c r="DK299">
        <f>IF(B299="","",_xlfn.LET(_xlpm.ig,IF(N(CX299)&gt;0,N(CX299),N(CI299)+IF(AJ299="вручную",0,N(CJ299))),_xlpm.n0,IFERROR(VLOOKUP(_xlpm.ig,Автомат_номиналы,2,TRUE),0),_xlpm.mn,MAX(DB299,IF(AJ299="вручную",0,N(CM299))),MAX(_xlpm.n0,_xlpm.mn,IF(DH299=1,Мин_автомат_БП,0))))</f>
        <v>16</v>
      </c>
      <c r="DL299">
        <f t="shared" si="587"/>
        <v>1</v>
      </c>
      <c r="DM299" t="str">
        <f t="shared" si="588"/>
        <v>2P</v>
      </c>
      <c r="DN299" t="str">
        <f>_xlfn.LET(_xlpm.cc,UPPER(TRIM(IFERROR(_xlfn.XLOOKUP(BC299,Коды_код,Коды_хар)&amp;"",""))),IF(OR(_xlpm.cc="B",_xlpm.cc="В"),"B",IF(_xlpm.cc="D","D","С")))</f>
        <v>С</v>
      </c>
      <c r="DO299" t="str">
        <f t="shared" si="589"/>
        <v>2P С16А 30мА</v>
      </c>
      <c r="DP299">
        <f t="shared" si="590"/>
        <v>16</v>
      </c>
      <c r="DQ299" t="str">
        <f t="shared" si="591"/>
        <v>2P С16А 30мА</v>
      </c>
      <c r="DR299" cm="1">
        <f t="array" ref="DR299">IF(DQ299="","",_xlfn.LET(_xlpm.t,SUBSTITUTE(SUBSTITUTE(SUBSTITUTE(UPPER(DQ299),"С","C"),"А","A"),"В","B"),_xlpm.tk,_xlfn.TEXTSPLIT(_xlpm.t," "),_xlpm.f,_xlfn._xlws.FILTER(_xlpm.tk,ISNUMBER(--MID(_xlpm.tk,2,1))*ISNUMBER(SEARCH(LEFT(_xlpm.tk,1)&amp;"#","B#C#D#"))*(LEN(_xlpm.tk)&gt;1),""),_xlpm.x,INDEX(_xlpm.f,1),IFERROR(--SUBSTITUTE(MID(_xlpm.x,2,9),"A",""),IFERROR(--SUBSTITUTE(INDEX(_xlfn._xlws.FILTER(_xlpm.tk,ISNUMBER(--SUBSTITUTE(_xlpm.tk,"A","")),""),1),"A",""),""))))</f>
        <v>16</v>
      </c>
      <c r="DS299" t="str">
        <f t="shared" si="592"/>
        <v>ok</v>
      </c>
      <c r="DT299">
        <f t="shared" si="593"/>
        <v>16</v>
      </c>
      <c r="DU299" t="str">
        <f t="shared" si="594"/>
        <v>2P С16А 30мА</v>
      </c>
      <c r="DV299">
        <f t="shared" si="595"/>
        <v>30</v>
      </c>
      <c r="DW299">
        <f t="shared" si="596"/>
        <v>1</v>
      </c>
      <c r="DX299">
        <f t="shared" si="597"/>
        <v>0</v>
      </c>
      <c r="DY299">
        <f t="shared" si="598"/>
        <v>1.0939268258329751</v>
      </c>
      <c r="DZ299">
        <f t="shared" si="599"/>
        <v>1</v>
      </c>
      <c r="EA299">
        <f>IF(ISNUMBER(AP299),AP299,К_прокл)</f>
        <v>1</v>
      </c>
      <c r="EB299">
        <f t="shared" si="600"/>
        <v>2</v>
      </c>
      <c r="EC299">
        <f>IFERROR(N(VLOOKUP(BZ299,Кабель_обозначение,3,FALSE)),1)</f>
        <v>1</v>
      </c>
      <c r="ED299">
        <f>IFERROR(N(_xlfn.XLOOKUP(A299,Щиты[Щит],Щиты[ΔU до шин, %])),0)</f>
        <v>1.79</v>
      </c>
      <c r="EE299" t="str">
        <f>IFERROR(_xlfn.XLOOKUP(A299,Щиты[Щит],Щиты[Zпетли на шинах, Ом]),"")</f>
        <v/>
      </c>
      <c r="EF299">
        <f>IFERROR(N(_xlfn.XLOOKUP(A299,Щиты[Щит],Щиты[ΔU до шин (подбор), %])),0)</f>
        <v>4.75</v>
      </c>
      <c r="EG299" t="str">
        <f>IFERROR(_xlfn.XLOOKUP(A299,Щиты[Щит],Щиты[Zпетли на шинах (подбор), Ом]),"")</f>
        <v/>
      </c>
      <c r="EH299" t="str">
        <f t="shared" si="601"/>
        <v/>
      </c>
      <c r="EI299">
        <f t="shared" si="602"/>
        <v>46</v>
      </c>
      <c r="EJ299">
        <f t="shared" si="603"/>
        <v>2</v>
      </c>
      <c r="EK299">
        <f t="shared" si="604"/>
        <v>0.31</v>
      </c>
      <c r="EL299" s="6">
        <f>IF(B299="","",IF(BV299=1,dU_LED,IF(IFERROR(_xlfn.XLOOKUP(BC299,Коды_код,Коды_уго),"")="Светильник",3,4)+IF(Методика="нормы 2026",MIN(0.5,MAX(0,N(P299)-100)*0.005),0)))</f>
        <v>4</v>
      </c>
      <c r="EM299" t="str" cm="1">
        <f t="array" ref="EM299">IF(OR(B299="",BZ299="",EC299&lt;&gt;1),"",_xlfn.LET(_xlpm.sz,Iдоп_S,_xlpm.t_,CHOOSE(EB299,Iдоп_1ж,Iдоп_2ж,Iдоп_3ж)*DZ299*EA299,_xlpm.dcx,BV299=1,_xlpm.inn,IF(_xlpm.dcx,N(O299),N(DT299)),_xlpm.smin,MAX(1.5,CC299),_xlpm.L_,N(P299)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299)/N(BU299)*100,999),IFERROR(N(EJ299)*(_xlpm.rho*_xlpm.L_/_xlpm.sz*N(CE299)+_xlpm.xx*_xlpm.L_*N(EK299)/1000)*N(O299)/((Uн_лин/SQRT(3))*1000)*100,999)),_xlpm.kz,IF(OR(_xlpm.dcx,DW299=1,NOT(ISNUMBER(EG299)),_xlpm.L_=0,_xlpm.inn=0),1,IFERROR(--(c_min*(Uн_лин*1000/SQRT(3))/(EG299+2*ρкз_Cu*_xlpm.L_/_xlpm.sz)&gt;=HT299*_xlpm.inn),0)),_xlpm.ok,IFERROR((_xlpm.sz&gt;=_xlpm.smin)*(_xlpm.t_&gt;=_xlpm.inn)*IF(_xlpm.L_&gt;0,(_xlpm.du_+IF(_xlpm.dcx,0,EF299)&lt;=EL299+0.00001),1)*_xlpm.kz,0),_xlpm.r_,_xlfn._xlws.FILTER(_xlpm.sz,_xlpm.ok,"не подобрано"),INDEX(_xlpm.r_,1)))</f>
        <v>не подобрано</v>
      </c>
      <c r="EN299">
        <f t="shared" si="605"/>
        <v>2.5</v>
      </c>
      <c r="EO299" cm="1">
        <f t="array" ref="EO299">IF(OR(B299="",BZ299="",EC299&lt;&gt;1),"",_xlfn.LET(_xlpm.sz,Iдоп_S,_xlpm.t_,CHOOSE(EB299,Iдоп_1ж,Iдоп_2ж,Iдоп_3ж)*DZ299*EA299,_xlpm.ok,IFERROR((_xlpm.sz&gt;=MAX(1.5,CC299))*(_xlpm.t_&gt;=N(DT299)),0),_xlpm.r_,_xlfn._xlws.FILTER(_xlpm.sz,_xlpm.ok,""),INDEX(_xlpm.r_,1)))</f>
        <v>1.5</v>
      </c>
      <c r="EP299" s="6" cm="1">
        <f t="array" ref="EP299">IFERROR(ROUNDUP(N(EJ299)*(_xlfn.XLOOKUP(EO299,INDEX(Кабель_сопротивление,0,1),INDEX(Кабель_сопротивление,0,3))*N(P299)/EO299*N(CE299)+_xlfn.XLOOKUP(EO299,INDEX(Кабель_сопротивление,0,1),INDEX(Кабель_сопротивление,0,2))*N(P299)*N(EK299)/1000)*N(O299)/((Uн_лин/SQRT(3))*1000)*100,2),"")</f>
        <v>0.75</v>
      </c>
      <c r="EQ299">
        <f>IFERROR(2*ρкз_Cu*N(P299)/EO299,"")</f>
        <v>1.9286666666666668</v>
      </c>
      <c r="ER299">
        <f>IFERROR(VLOOKUP(EN299,Кабель_сопротивление,3,FALSE),"")</f>
        <v>2.2499999999999999E-2</v>
      </c>
      <c r="ES299">
        <f>IFERROR(VLOOKUP(EN299,Кабель_сопротивление,2,FALSE),"")</f>
        <v>0.1</v>
      </c>
      <c r="ET299">
        <f t="shared" si="606"/>
        <v>11</v>
      </c>
      <c r="EU299">
        <f t="shared" si="607"/>
        <v>26</v>
      </c>
      <c r="EV299">
        <f t="shared" si="608"/>
        <v>1.0325684701720035</v>
      </c>
      <c r="EW299" s="6">
        <f>IFERROR(ROUNDUP(EV299/IF(BV299=1,BU299,(Uн_лин/SQRT(3))*1000)*100,2),"")</f>
        <v>0.45</v>
      </c>
      <c r="EX299" t="str">
        <f>IFERROR(VLOOKUP(BZ299,Кабель_обозначение,2,FALSE),"")</f>
        <v>ВВГнг(А)-LS</v>
      </c>
      <c r="EY299" t="str">
        <f t="shared" si="609"/>
        <v>ВВГнг(А)-LS (3х2,5)</v>
      </c>
      <c r="EZ299" t="str">
        <f t="shared" si="610"/>
        <v>ВВГнг(А)-LS (3х2,5)
L=55-0,45%</v>
      </c>
      <c r="FA299">
        <f>IFERROR(2*ρкз_Cu*P299/EN299,"")</f>
        <v>1.1572</v>
      </c>
      <c r="FB299">
        <f t="shared" si="611"/>
        <v>0.38500000000000006</v>
      </c>
      <c r="FC299" s="6" t="str">
        <f>IFERROR(IF(OR(B299="",BV299=1,NOT(ISNUMBER(EN299)),N(P299)=0),"",_xlfn.XLOOKUP(A299,Щиты[Щит],Щиты[Zпетли на шинах, Ом])+FA299),"")</f>
        <v/>
      </c>
      <c r="FD299" s="6" t="str">
        <f>IF(ISNUMBER(FC299),c_min*(Uн_лин*1000/SQRT(3))/FC299,"")</f>
        <v/>
      </c>
      <c r="FE299" s="6" t="str">
        <f>IFERROR(IF(OR(B299="",NOT(ISNUMBER(EN299))),"",1.05*(Uн_лин*1000/SQRT(3))/(_xlfn.XLOOKUP(A299,Щиты[Щит],Щиты[Zmax на шинах, Ом])+FB299)/1000),"")</f>
        <v/>
      </c>
      <c r="FF299" s="6" t="str">
        <f>IF(B299="","",IF(ISNUMBER(AC299),"Сил",IF(IFERROR(_xlfn.XLOOKUP(BC299,Коды_код,Коды_группа)&amp;"","")="","Быт",_xlfn.XLOOKUP(BC299,Коды_код,Коды_группа)&amp;"")))</f>
        <v>Быт</v>
      </c>
      <c r="FG299" s="6" t="str">
        <f t="shared" si="612"/>
        <v>Быт</v>
      </c>
      <c r="FH299" s="6">
        <f>IF(FG299="Щит","щит",IF(FG299="","",IF(FG299="Быт",IFERROR(_xlfn.XLOOKUP(A299,Щиты[Щит],Щиты[Кс быт]),1),IF(FG299="Сил",IF(ISNUMBER(AC299),AC299,IF(Методика="нормы 2026",IFERROR(_xlfn.XLOOKUP(A299,Щиты[Щит],Щиты[Кс силовых (табл. 7.5)]),1),1)),IF(OR(FG299="Пост",FG299="Отоп"),1,IF(FG299="ВНГ",0.7,0))))))</f>
        <v>0.8</v>
      </c>
      <c r="FI299">
        <f>IF(FG299="","",IF(AND(BP299=1,TRIM(AE299&amp;"")=""),IF(COUNTIFS(Линии[Щит],A299,Линии[Секция (1/2/3)],"&gt;=2")&gt;0,MIN(3,MAX(1,IFERROR(--BD299,1))),1),IFERROR(MIN(3,MAX(1,INT(--AE299))),1)))</f>
        <v>1</v>
      </c>
      <c r="FJ299">
        <f t="shared" si="613"/>
        <v>0.24</v>
      </c>
      <c r="FK299">
        <f t="shared" si="614"/>
        <v>0.24</v>
      </c>
      <c r="FL299">
        <f t="shared" si="615"/>
        <v>0</v>
      </c>
      <c r="FM299">
        <f t="shared" si="616"/>
        <v>0</v>
      </c>
      <c r="FN299">
        <f t="shared" si="617"/>
        <v>0</v>
      </c>
      <c r="FO299">
        <f t="shared" si="618"/>
        <v>0</v>
      </c>
      <c r="FP299">
        <f t="shared" si="619"/>
        <v>0.24</v>
      </c>
      <c r="FQ299">
        <f t="shared" si="620"/>
        <v>0.24</v>
      </c>
      <c r="FR299">
        <f t="shared" si="621"/>
        <v>0.22799999999999998</v>
      </c>
      <c r="FS299">
        <f>IF(CG299=1,IF(AND(CH299=1,CW299=1),0,IF(AND(CS299&lt;&gt;"",CS299=BA299,CW299=1),SUMIFS(Линии[_Р линии, кВт],Линии[_блок УЗО],BA299,Линии[Щит],A299),N(BS299)+IF(AJ299="вручную",0,N(CK299)))),0)</f>
        <v>0.24</v>
      </c>
      <c r="FT299" t="str">
        <f t="shared" si="622"/>
        <v>L3</v>
      </c>
      <c r="FU299" t="str">
        <f>IF(B299="","",IF(CG299=0,IF(BA299=1,"",FW298),IF(AND(CH299=1,CW299=1,CS299&lt;&gt;""),IFERROR(_xlfn.XLOOKUP(CS299,Линии[_n],Линии[_фаза итог]),"L1"),IF(OR(N(DL299)&gt;=3,N(BX299)&gt;=3),"L1,L2,L3",IFERROR(_xlfn.TEXTBEFORE(_xlfn.TEXTAFTER(_xlfn.XLOOKUP(A299,Щиты[Щит],Щиты[_фазы авто]),";"&amp;BA299&amp;":"),";"),"L1")))))</f>
        <v>L1</v>
      </c>
      <c r="FV299" t="str">
        <f t="shared" si="623"/>
        <v>L3</v>
      </c>
      <c r="FW299" t="str">
        <f t="shared" si="624"/>
        <v>L3</v>
      </c>
      <c r="FX299" cm="1">
        <f t="array" ref="FX299">IFERROR(IF(CD299=2,_xlfn.IFS(BX299=3,VLOOKUP(BS299,Справочная_двигатели,3,FALSE),BX299=1,VLOOKUP(BS299,Справочная_двигатели,5,TRUE)),0),0)</f>
        <v>0</v>
      </c>
      <c r="FY299">
        <f>IFERROR(IF(CD299=3,VLOOKUP(BS299,Справочная_ЛЭД,2,TRUE),0),0)</f>
        <v>0</v>
      </c>
      <c r="FZ299" s="6">
        <f t="shared" si="625"/>
        <v>0</v>
      </c>
      <c r="GA299" t="str">
        <f>IF(B299="","",IF(TRIM(AH299&amp;"")&lt;&gt;"",IF(LOWER(TRIM(AH299&amp;""))="да","да","нет"),IF(IFERROR(_xlfn.XLOOKUP(BC299,Коды_код,Коды_пожарная),"")="да","да","нет")))</f>
        <v>нет</v>
      </c>
      <c r="GB299" t="str">
        <f t="shared" si="626"/>
        <v/>
      </c>
      <c r="GC299" t="str">
        <f t="shared" si="627"/>
        <v>основная</v>
      </c>
      <c r="GD299">
        <f>IF(AND(BP299=1,TRIM(AE299&amp;"")=""),IF(COUNTIFS(Линии[Щит],A299,Линии[Секция (1/2/3)],"&gt;=2")&gt;0,MIN(3,MAX(1,IFERROR(--BD299,1))),1),IFERROR(MIN(3,MAX(1,INT(--AE299))),1))</f>
        <v>1</v>
      </c>
      <c r="GE299" t="str" cm="1">
        <f t="array" ref="GE299">IF(B299="","",_xlfn.LET(_xlpm.t,IFERROR(_xlfn.XLOOKUP(1,(Шины[Шина]=GC299)*(((Шины[Щит]=A299)+(Шины[Щит]=""))&gt;0),Шины[Тип]),"")&amp;"",IF(_xlpm.t&lt;&gt;"",_xlpm.t,IF(ISNUMBER(SEARCH("ИБП",GC299)),"ИБП",IF(ISNUMBER(SEARCH("ДГУ",GC299)),"ДГУ","Ввод "&amp;GD299)))))</f>
        <v>Ввод 1</v>
      </c>
      <c r="GF299" t="str">
        <f t="shared" si="628"/>
        <v>Ввод 1</v>
      </c>
      <c r="GG299" t="str">
        <f>IF(BP299=0,"",IF(TRIM(AG299&amp;"")&lt;&gt;"",TRIM(AG299&amp;""),IF(OR(GE299="ИБП",GE299="ДГУ"),"I особая",_xlfn.XLOOKUP(A299,Щиты[Щит],Щиты[Категория шины «Ввод»],"III"))))</f>
        <v/>
      </c>
      <c r="GH299" t="str">
        <f>IF(A299="","",_xlfn.XLOOKUP(A299,Щиты[Щит],Щиты[Путь],""))</f>
        <v>|ГРЩ-ЖД|ЩР-2|</v>
      </c>
      <c r="GI299" t="str">
        <f>IF(B299="","",IF(AI299&lt;&gt;"",AI299,IF(IFERROR(_xlfn.XLOOKUP(BC299,Коды_код,Коды_вид)&amp;"","")="","Прочее",_xlfn.XLOOKUP(BC299,Коды_код,Коды_вид)&amp;"")))</f>
        <v>Розеточная сеть и бытовые приборы</v>
      </c>
      <c r="GJ299">
        <f>IF(BM299="","",INT((BM299-1)/Столбцов_на_лист)+1)</f>
        <v>2</v>
      </c>
      <c r="GK299" t="str">
        <f t="shared" si="629"/>
        <v>ВВГнг(А)-LS (3х2,5) L=55-0,45%</v>
      </c>
      <c r="GL299">
        <f t="shared" si="630"/>
        <v>0.24</v>
      </c>
      <c r="GM299">
        <f t="shared" si="631"/>
        <v>1.1000000000000001</v>
      </c>
      <c r="GN299">
        <f t="shared" si="632"/>
        <v>1</v>
      </c>
      <c r="GO299">
        <f t="shared" si="633"/>
        <v>0</v>
      </c>
      <c r="GP299">
        <f t="shared" si="634"/>
        <v>1</v>
      </c>
      <c r="GQ299">
        <f>IF(BM299="","",IF(AND(CG299=1,GP299=1),COUNTIFS(A$3:A299,A299,CG$3:CG299,1,GP$3:GP299,1),IF(OR(OR(BA299=1,A299&lt;&gt;A298),AJ299="вручную",GP299=0),"",IF(BA299=1,"",GR298))))</f>
        <v>16</v>
      </c>
      <c r="GR299">
        <f t="shared" si="635"/>
        <v>16</v>
      </c>
      <c r="GS299">
        <f>IF(B299="","",IFERROR(LOOKUP(INDEX(CHOOSE(EB299,Iдоп_1ж,Iдоп_2ж,Iдоп_3ж),MATCH(EN299,Iдоп_S,0))*DZ299*EA299,{6,10,16,20,25,32,40,50,63,80,100,125,160,200,250,315,400,500,630}),""))</f>
        <v>25</v>
      </c>
      <c r="GT299" t="str">
        <f t="shared" si="636"/>
        <v>QFD16</v>
      </c>
      <c r="GU299" t="str">
        <f t="shared" si="637"/>
        <v>QFD16</v>
      </c>
      <c r="GV299" t="str">
        <f t="shared" si="638"/>
        <v/>
      </c>
      <c r="GW299">
        <f t="shared" si="639"/>
        <v>0</v>
      </c>
      <c r="GX299" t="str">
        <f>IF(OR(B299="",DJ299=""),"",IFERROR(_xlfn.XLOOKUP(DJ299,Модули_умолч[Управление],Модули_умолч[Модель])&amp;"",""))</f>
        <v/>
      </c>
      <c r="GY299">
        <f>IF(DJ299="",1,IFERROR(MAX(0,N(_xlfn.XLOOKUP(DJ299,Модули_умолч[Управление],Модули_умолч[Каналов на линию]))),1))</f>
        <v>1</v>
      </c>
      <c r="GZ299" t="str">
        <f t="shared" si="640"/>
        <v/>
      </c>
      <c r="HA299" t="str">
        <f t="shared" si="641"/>
        <v/>
      </c>
      <c r="HB299" t="str">
        <f t="shared" si="642"/>
        <v/>
      </c>
      <c r="HC299">
        <f>IF(HB299="",0,IFERROR(N(VLOOKUP(HB299,Модули_спр,3,FALSE)),0))</f>
        <v>0</v>
      </c>
      <c r="HD299" t="str">
        <f t="shared" si="643"/>
        <v/>
      </c>
      <c r="HE299" t="str">
        <f t="shared" si="644"/>
        <v/>
      </c>
      <c r="HF299" t="str">
        <f>IF(OR(HE299="",HE299="-"),"",IFERROR(VLOOKUP(HE299,Модули_спр,2,FALSE),"R"))</f>
        <v/>
      </c>
      <c r="HG299" t="str">
        <f>IF(HF299="","",HF299&amp;"."&amp;COUNTIFS(A$3:A299,A299,HF$3:HF299,HF299))</f>
        <v/>
      </c>
      <c r="HH299" t="str">
        <f t="shared" si="645"/>
        <v/>
      </c>
      <c r="HI299" t="str">
        <f t="shared" si="646"/>
        <v/>
      </c>
      <c r="HJ299" t="str">
        <f t="shared" si="647"/>
        <v/>
      </c>
      <c r="HK299" t="str">
        <f t="shared" si="648"/>
        <v/>
      </c>
      <c r="HL299">
        <f t="shared" si="649"/>
        <v>1</v>
      </c>
      <c r="HM299" t="str">
        <f>IF(HL299=1,"XT"&amp;COUNTIFS(A$3:A299,A299,HL$3:HL299,1),"")</f>
        <v>XT16</v>
      </c>
      <c r="HN299" t="str">
        <f t="shared" si="650"/>
        <v/>
      </c>
      <c r="HO299" t="str">
        <f t="shared" si="651"/>
        <v>QFD16</v>
      </c>
      <c r="HP299" t="str">
        <f t="shared" si="652"/>
        <v/>
      </c>
      <c r="HQ299" t="str">
        <f t="shared" si="653"/>
        <v>ok</v>
      </c>
      <c r="HR299" t="str">
        <f>IF(OR(HJ299="",HH299=""),"",IF(HJ299+MAX(0,GY299-1)&gt;IFERROR(VLOOKUP(HI299,Модули_спр,3,FALSE),99),"ЛИШНИЙ КАНАЛ",IF(AND(AL299&lt;&gt;"=",GY299&gt;0,COUNTIFS(Линии[_модуль гр.],HH299,Линии[Канал (итог)],HJ299,Линии[Канал],"&lt;&gt;=",Линии[Щит],A299)&gt;1),"ДУБЛЬ КАНАЛА","")))</f>
        <v/>
      </c>
      <c r="HS299" s="6" t="str">
        <f t="shared" si="654"/>
        <v/>
      </c>
      <c r="HT299">
        <f t="shared" si="655"/>
        <v>10</v>
      </c>
      <c r="HU299" t="str">
        <f t="shared" si="656"/>
        <v/>
      </c>
      <c r="HV299">
        <f t="shared" si="657"/>
        <v>0.98757073033319009</v>
      </c>
      <c r="HW299">
        <f t="shared" si="658"/>
        <v>0</v>
      </c>
      <c r="HX299">
        <f t="shared" si="659"/>
        <v>0</v>
      </c>
      <c r="HY299">
        <f t="shared" si="660"/>
        <v>0</v>
      </c>
      <c r="HZ299">
        <f t="shared" si="661"/>
        <v>0</v>
      </c>
      <c r="IA299">
        <f t="shared" si="662"/>
        <v>0</v>
      </c>
      <c r="IB299">
        <f t="shared" si="663"/>
        <v>0</v>
      </c>
      <c r="IC299" t="str">
        <f t="shared" si="664"/>
        <v/>
      </c>
      <c r="ID299" t="str" cm="1">
        <f t="array" ref="ID299">IF(IC299="","",_xlfn.LET(_xlpm.tk,_xlfn.TEXTSPLIT(SUBSTITUTE(SUBSTITUTE(IC299,";"," "),"→"," ")," ",,TRUE),_xlpm.w_,_xlfn._xlws.FILTER(_xlpm.tk,ISNUMBER(--LEFT(_xlpm.tk,1))*((ISNUMBER(SEARCH("W",_xlpm.tk))+ISNUMBER(SEARCH("Вт",_xlpm.tk)))&gt;0),""),IFERROR(--SUBSTITUTE(SUBSTITUTE(UPPER(INDEX(_xlpm.w_,1)),"W",""),"ВТ",""),"")))</f>
        <v/>
      </c>
      <c r="IE299" t="str" cm="1">
        <f t="array" ref="IE299">IF(IC299="","",_xlfn.LET(_xlpm.tk,_xlfn.TEXTSPLIT(SUBSTITUTE(SUBSTITUTE(IC299,";"," "),"→"," ")," ",,TRUE),_xlpm.v_,_xlfn._xlws.FILTER(_xlpm.tk,ISNUMBER(--LEFT(_xlpm.tk,1))*((ISNUMBER(SEARCH("V",_xlpm.tk))+(RIGHT(UPPER(_xlpm.tk))="В"))&gt;0),""),IFERROR(--SUBSTITUTE(SUBSTITUTE(UPPER(INDEX(_xlpm.v_,1)),"V",""),"В",""),"")))</f>
        <v/>
      </c>
      <c r="IF299" s="6" t="str">
        <f>IF(OR(BV299=0,HI299="",HJ299=""),"",IFERROR(N(_xlfn.XLOOKUP(HI299,Каталог!$C$4:$C$500,Каталог!$Q$4:$Q$500)),""))</f>
        <v/>
      </c>
      <c r="IG299" s="6" t="str">
        <f>IF(N(IF299)=0,"",SUMIFS(Линии[Iр, А],Линии[Щит],A299,Линии[_модуль гр.],HH299,Линии[Канал (итог)],HJ299))</f>
        <v/>
      </c>
      <c r="IH299" t="str">
        <f>IF(AND(B299="",HO299=""),"",_xlfn.TEXTJOIN("; ",TRUE,IF(AND(B299&lt;&gt;"",FV299=""),"нет фазы",""),IF(AND(B299&lt;&gt;"",N(GL299)=0,FG299&lt;&gt;"Нет"),"нет мощности",""),IF(AND(HN299&lt;&gt;"",COUNTIFS(Линии[Щит],A299,Линии[Клемма (итог)],HN299)&gt;1),"дубль клеммы "&amp;HN299,""),IF(AND(HQ299&lt;&gt;"",HQ299&lt;&gt;"ok"),HQ299,""),IF(HR299&lt;&gt;"",HR299,""),IF(AND(N(CB299)&gt;=4,N(BX299)=1),CB299&amp;" жил на 1 фазе",""),IF(AND(BC299="R",CG299=1,IF(CS299&lt;&gt;"",N(CV299)&gt;30,OR(N(DA299)=0,N(DA299)&gt;30))),"розетка без дифзащиты до 30 мА",""),IF(AND(CG299=1,N(DA299)&gt;0,ISNUMBER(T299)),IF(T299&gt;N(DA299)/3,"ток утечки "&amp;FIXED(T299,1)&amp;" мА &gt; 1/3 уставки ("&amp;DA299&amp;" мА)",""),""),IF(AND(CH299=1,CS299=""),"«узо»: нет строки с УЗО выше (УЗО 2P 40А 30мА в «Аппаратах»)",""),IF(AND(CS299&lt;&gt;"",CS299=BA299),IF(CT299="","впишите номинал УЗО (УЗО 2P 40А 30мА)",IF(N(CT299)&lt;N(DT299),"УЗО "&amp;CT299&amp;" А &lt; автомата "&amp;DT299&amp;" А перед ним",IF(N(CT299)&lt;N(CX299),"УЗО "&amp;CT299&amp;" А &lt; тока блока "&amp;FIXED(CX299,1)&amp;" А",""))),""),IF(AND(CS299&lt;&gt;"",CS299=BA299,ISNUMBER(CY299)),IF(CY299&gt;N(CV299)/3,"ток утечки блока УЗО "&amp;FIXED(CY299,1)&amp;" мА &gt; 1/3 уставки ("&amp;CV299&amp;" мА)",""),""),IF(AND(CG299=1,N(BV299)+N(IB299)&gt;0,IC299=""),"линии до 50 В без БП: впишите в «Аппараты» (БП 24V 480W)",""),IF(AND(CG299=1,ISNUMBER(ID299),ISNUMBER(U299)),IF(U299&gt;ID299,"БП "&amp;ID299&amp;" Вт &lt; нужно "&amp;U299&amp;" Вт (×"&amp;Запас_БП&amp;")",""),""),IF(AND(CG299=1,ISNUMBER(IE299),N(BV299)=1),IF(IE299&lt;&gt;N(BU299),"БП на "&amp;IE299&amp;" В, линия "&amp;BU299&amp;" В",""),""),IF(AND(N(IF299)&gt;0,N(IG299)&gt;N(IF299)),HH299&amp;" канал "&amp;HJ299&amp;": "&amp;FIXED(IG299,1)&amp;" А &gt; "&amp;IF299&amp;" А",""),IFERROR(IF(AND(ISNUMBER(Q299),Q299&gt;EL299),"потери "&amp;FIXED(Q299,1)&amp;" % &gt; "&amp;EL299&amp;" %",""),""),IFERROR(IF(LEFT(HU299,4)="мало","Iкз мало — отключение &gt; 0,4 с",""),""),IF(AND(B299&lt;&gt;"",BM299=""),"не на схеме",""),IF(AND(CG299=0,B299&lt;&gt;"",FV299&lt;&gt;"",IF(BA299=1,"",FW298)&lt;&gt;"",FV299&lt;&gt;IF(BA299=1,"",FW298)),"фаза не как у автомата группы ("&amp;IF(BA299=1,"",FW298)&amp;")","")))</f>
        <v/>
      </c>
      <c r="II299" s="6">
        <f>IF(OR(CG299=0,DQ299=""),"",_xlfn.LET(_xlpm.t,IFERROR(_xlfn.XLOOKUP(DQ299,Каталог!$U$4:$U$500,Каталог!$G$4:$G$500),""),_xlpm.k,SEARCH("кА",_xlpm.t),IFERROR(--TRIM(RIGHT(SUBSTITUTE(MID(_xlpm.t,MAX(1,_xlpm.k-4),_xlpm.k-MAX(1,_xlpm.k-4))," ",REPT(" ",9)),5)),"")))</f>
        <v>6</v>
      </c>
      <c r="IJ299" t="str">
        <f>IF(OR(II299="",CG299=0),"",IF(_xlfn.XLOOKUP(A299,Щиты[Щит],Щиты[Iкз max на шинах, кА],"")="","",IF(II299&lt;_xlfn.XLOOKUP(A299,Щиты[Щит],Щиты[Iкз max на шинах, кА]),"Icu "&amp;II299&amp;" кА &lt; Iкз max","ok")))</f>
        <v/>
      </c>
      <c r="IK299" t="str">
        <f t="shared" si="665"/>
        <v/>
      </c>
      <c r="IL299" t="str">
        <f t="shared" si="666"/>
        <v>QFD16</v>
      </c>
      <c r="IM299" t="str">
        <f t="shared" si="667"/>
        <v>QFD16|кабель ВВГнг(А)-LS (3х2,5) → Розеточная группа, пом. 019А</v>
      </c>
      <c r="IN299" t="str" cm="1">
        <f t="array" ref="IN299">IF(IM299="","",_xlfn.LET(_xlpm.nd,_xlfn.TEXTSPLIT(IM299,"|"),IF(COLUMNS(_xlpm.nd)&gt;1,A299&amp;"¦"&amp;INDEX(_xlpm.nd,1)&amp;"¦"&amp;INDEX(_xlpm.nd,2),"")))</f>
        <v>ЩР-2¦QFD16¦кабель ВВГнг(А)-LS (3х2,5) → Розеточная группа, пом. 019А</v>
      </c>
      <c r="IO299" t="str">
        <f t="shared" si="668"/>
        <v>R.2.019А.1¦Розеточная группа, пом. 019А</v>
      </c>
      <c r="IP299" t="str" cm="1">
        <f t="array" ref="IP299">IF(IM299="","",_xlfn.LET(_xlpm.nd,_xlfn.TEXTSPLIT(IM299,"|"),IF(COLUMNS(_xlpm.nd)&gt;2,A299&amp;"¦"&amp;INDEX(_xlpm.nd,2)&amp;"¦"&amp;INDEX(_xlpm.nd,3),"")))</f>
        <v/>
      </c>
      <c r="IQ299" t="str">
        <f t="shared" si="669"/>
        <v/>
      </c>
      <c r="IR299" t="str" cm="1">
        <f t="array" ref="IR299">IF(IM299="","",_xlfn.LET(_xlpm.nd,_xlfn.TEXTSPLIT(IM299,"|"),IF(COLUMNS(_xlpm.nd)&gt;3,A299&amp;"¦"&amp;INDEX(_xlpm.nd,3)&amp;"¦"&amp;INDEX(_xlpm.nd,4),"")))</f>
        <v/>
      </c>
      <c r="IS299" t="str">
        <f t="shared" si="670"/>
        <v/>
      </c>
      <c r="IT299" t="str" cm="1">
        <f t="array" ref="IT299">IF(IM299="","",_xlfn.LET(_xlpm.nd,_xlfn.TEXTSPLIT(IM299,"|"),IF(COLUMNS(_xlpm.nd)&gt;4,A299&amp;"¦"&amp;INDEX(_xlpm.nd,4)&amp;"¦"&amp;INDEX(_xlpm.nd,5),"")))</f>
        <v/>
      </c>
      <c r="IU299" t="str">
        <f t="shared" si="671"/>
        <v/>
      </c>
      <c r="IV299" t="str" cm="1">
        <f t="array" ref="IV299">IF(IM299="","",_xlfn.LET(_xlpm.nd,_xlfn.TEXTSPLIT(IM299,"|"),IF(COLUMNS(_xlpm.nd)&gt;5,A299&amp;"¦"&amp;INDEX(_xlpm.nd,5)&amp;"¦"&amp;INDEX(_xlpm.nd,6),"")))</f>
        <v/>
      </c>
      <c r="IW299" t="str">
        <f t="shared" si="672"/>
        <v/>
      </c>
      <c r="IX299" t="str" cm="1">
        <f t="array" ref="IX299">IF(IM299="","",_xlfn.LET(_xlpm.nd,_xlfn.TEXTSPLIT(IM299,"|"),IF(COLUMNS(_xlpm.nd)&gt;6,A299&amp;"¦"&amp;INDEX(_xlpm.nd,6)&amp;"¦"&amp;INDEX(_xlpm.nd,7),"")))</f>
        <v/>
      </c>
      <c r="IY299" t="str">
        <f t="shared" si="673"/>
        <v/>
      </c>
      <c r="IZ299" t="str">
        <f t="shared" si="674"/>
        <v/>
      </c>
      <c r="JA299" t="str">
        <f t="shared" si="675"/>
        <v>QFD16</v>
      </c>
      <c r="JB299">
        <f t="shared" si="676"/>
        <v>0</v>
      </c>
      <c r="JC299">
        <f t="shared" si="677"/>
        <v>1</v>
      </c>
      <c r="JD299" t="str">
        <f t="shared" si="678"/>
        <v/>
      </c>
      <c r="JE299" t="str">
        <f t="shared" si="679"/>
        <v/>
      </c>
      <c r="JF299" t="str">
        <f t="shared" si="680"/>
        <v/>
      </c>
      <c r="JG299" t="str">
        <f t="shared" si="681"/>
        <v/>
      </c>
      <c r="JH299" t="str">
        <f>IF(B299="","",IFERROR(_xlfn.XLOOKUP(B299,Коды_код,Коды_уго),IFERROR(_xlfn.XLOOKUP(BC299,Коды_код,Коды_уго),IFERROR(_xlfn.XLOOKUP(LEFT(BC299,2),Коды_код,Коды_уго),""))))</f>
        <v>Розетка</v>
      </c>
      <c r="JI299" t="str">
        <f>IF(B299="","",IF(OR(JH299="",JH299=0),"BOX",IFERROR(IF(VLOOKUP(JH299,УГО_блоки,3,FALSE)&amp;""&lt;&gt;"",VLOOKUP(JH299,УГО_блоки,3,FALSE),VLOOKUP(JH299,УГО_блоки,2,FALSE)),JH299)))</f>
        <v>SOCKET</v>
      </c>
      <c r="JJ299">
        <f t="shared" si="682"/>
        <v>1</v>
      </c>
      <c r="JK299" t="str">
        <f>IF(DQ299="","",IF(COUNTIF(DQ$3:DQ299,DQ299)=1,MAX(JK$2:JK298)+1,""))</f>
        <v/>
      </c>
      <c r="JL299" t="str">
        <f>IF(DE299="","",IF(COUNTIF(DE$3:DE299,DE299)+COUNTIF(DF$2:DF298,DE299)+COUNTIF(DG$2:DG298,DE299)=1,MAX(JL$2:JN298)+1,""))</f>
        <v/>
      </c>
      <c r="JM299" t="str">
        <f>IF(DF299="","",IF(COUNTIF(DE$3:DE299,DF299)+COUNTIF(DF$3:DF299,DF299)+COUNTIF(DG$2:DG298,DF299)=1,MAX(JL$2:JN298,JL299)+1,""))</f>
        <v/>
      </c>
      <c r="JN299" t="str">
        <f>IF(DG299="","",IF(COUNTIF(DE$3:DE299,DG299)+COUNTIF(DF$3:DF299,DG299)+COUNTIF(DG$3:DG299,DG299)=1,MAX(JL$2:JN298,JL299,JM299)+1,""))</f>
        <v/>
      </c>
      <c r="JO299" t="str">
        <f t="shared" si="683"/>
        <v>3х2,5</v>
      </c>
      <c r="JP299" t="str">
        <f>IF(JO299="","",IF(COUNTIF(JO$3:JO299,JO299)=1,MAX(JP$2:JP298)+1,""))</f>
        <v/>
      </c>
      <c r="JQ299" t="str">
        <f>IF(HG299="","",COUNTIF(HG$3:HG299,"?*"))</f>
        <v/>
      </c>
      <c r="JR299" t="str">
        <f>IF(OR(HG299="",HI299=""),"",IF(COUNTIFS(HG$3:HG299,"?*",HI$3:HI299,HI299)=1,MAX(JR$2:JR298)+1,""))</f>
        <v/>
      </c>
      <c r="JS299">
        <f t="shared" si="684"/>
        <v>0</v>
      </c>
      <c r="JT299">
        <f>IF(B299="","",COUNTIF(B$3:B299,"?*"))</f>
        <v>297</v>
      </c>
      <c r="JU299">
        <f>IF(HL299&lt;&gt;1,0,_xlfn.LET(_xlpm.k,MAX(IFERROR(--_xlfn.XLOOKUP(B299,Коды_код,Коды_3L),0),IFERROR(--_xlfn.XLOOKUP(BC299,Коды_код,Коды_3L),0),IFERROR(--_xlfn.XLOOKUP(LEFT(BC299,2),Коды_код,Коды_3L),0)),IF(_xlpm.k&gt;0,_xlpm.k,IF(IFERROR(--LEFT(SUBSTITUTE(JO299,"x","х"),FIND("х",SUBSTITUTE(JO299,"x","х"))-1),3)&gt;3,Каталог!$S$9,1))))</f>
        <v>1</v>
      </c>
      <c r="JV299">
        <f t="shared" si="685"/>
        <v>0</v>
      </c>
      <c r="JW299" t="str">
        <f t="shared" si="686"/>
        <v>авто</v>
      </c>
      <c r="JX299">
        <f t="shared" si="687"/>
        <v>30</v>
      </c>
      <c r="JY299">
        <f t="shared" si="688"/>
        <v>1</v>
      </c>
      <c r="JZ299">
        <f t="shared" si="689"/>
        <v>1</v>
      </c>
    </row>
    <row r="300" spans="1:286" x14ac:dyDescent="0.3">
      <c r="A300" t="s">
        <v>759</v>
      </c>
      <c r="B300" t="s">
        <v>1605</v>
      </c>
      <c r="C300" t="str">
        <f>Линии[[#This Row],[_авто наименование]]</f>
        <v>Розеточная группа, пом. 019А</v>
      </c>
      <c r="D300">
        <v>6</v>
      </c>
      <c r="E300">
        <v>0.65999999999999992</v>
      </c>
      <c r="G300">
        <v>16</v>
      </c>
      <c r="H300" t="str">
        <f>Линии[[#This Row],[_авто управление]]</f>
        <v/>
      </c>
      <c r="I300" t="str">
        <f>Линии[[#This Row],[_авто аппараты]]</f>
        <v/>
      </c>
      <c r="J300">
        <v>2.5</v>
      </c>
      <c r="K300">
        <v>55</v>
      </c>
      <c r="L300">
        <v>3</v>
      </c>
      <c r="M300" t="s">
        <v>484</v>
      </c>
      <c r="N300" t="str">
        <f t="shared" si="552"/>
        <v/>
      </c>
      <c r="O300" s="6" cm="1">
        <f t="array" ref="O300">IF(B300="","",IF(BH300&lt;&gt;"",IFERROR(_xlfn.XLOOKUP(BH300,Щиты[Щит],Щиты[Iр, А]),""),IF(BP300=1,IF(OR(N(_xlfn.XLOOKUP(A300,Щиты[Щит],Щиты[Вводов],1))&lt;=1,LOWER(TRIM(_xlfn.XLOOKUP(A300,Щиты[Щит],Щиты[АВР],"")&amp;""))="да"),IFERROR(_xlfn.XLOOKUP(A300,Щиты[Щит],Щиты[Iр, А]),""),IFERROR(N(BS300)*_xlfn.XLOOKUP(A300,Щиты[Щит],Щиты[Кс итог])/(SQRT(3)*Uн_лин*_xlfn.XLOOKUP(A300,Щиты[Щит],Щиты[cos φ])),"")),IF(BV300=1,IFERROR(BS300*1000/BU300,""),IFERROR(_xlfn.IFS(BX300=1,BS300/((Uн_лин/SQRT(3))*CE300),BX300=3,BS300/(SQRT(3)*Uн_лин*CE300)),"")))))</f>
        <v>3.008298771040681</v>
      </c>
      <c r="P300" s="7">
        <f>IF(B300="","",IFERROR(IF(VLOOKUP(BC300,Потребители_обозначение,4,FALSE)=1,VLOOKUP(BC300,Потребители_обозначение,3,FALSE)*(MAX(1,N(D300))*2-1)+EI300+VLOOKUP(BE300,Этаж_обозначение,3,FALSE)+VLOOKUP(BE300,Этаж_обозначение,4,FALSE),VLOOKUP(BC300,Потребители_обозначение,3,FALSE)*(MAX(1,N(D300))*2-1)+EI300),EI300))</f>
        <v>88</v>
      </c>
      <c r="Q300" s="6">
        <f t="shared" si="553"/>
        <v>3.76</v>
      </c>
      <c r="R300" t="str">
        <f t="shared" si="554"/>
        <v>ВВГнг(А)-LS (3х2,5)</v>
      </c>
      <c r="S300" t="str">
        <f>IF(BM300="","",IF(BN300="вводной узел","узел ","")&amp;"л."&amp;(INT((BM300-1)/Столбцов_на_лист)+1)&amp;" / "&amp;(MOD(BM300-1,Столбцов_на_лист)+1))</f>
        <v>л.2 / 10</v>
      </c>
      <c r="T300" s="119">
        <f t="shared" si="555"/>
        <v>2.1</v>
      </c>
      <c r="U300" s="7" t="str">
        <f>IF(OR(CG300=0,N(BV300)+N(IB300)=0),"",ROUNDUP(Запас_БП*(N(HY300)+N(HZ300)),0))</f>
        <v/>
      </c>
      <c r="V300" s="119" t="str">
        <f t="shared" si="556"/>
        <v/>
      </c>
      <c r="W300" s="7" t="str">
        <f>IFERROR(IF(OR(B300="",BP300=1,BV300=1,NOT(ISNUMBER(EN300)),N(DT300)=0),"",MAX(0,ROUNDDOWN((c_min*(Uн_лин*1000/SQRT(3))/(HT300*N(DT300))-_xlfn.XLOOKUP(A300,Щиты[Щит],Щиты[Zпетли на шинах, Ом]))*EN300/(2*ρкз_Cu),0))),"")</f>
        <v/>
      </c>
      <c r="Y300">
        <f>Линии[[#This Row],[_авто утечка]]</f>
        <v>30</v>
      </c>
      <c r="Z300">
        <v>1</v>
      </c>
      <c r="AA300">
        <v>230</v>
      </c>
      <c r="AB300" t="s">
        <v>562</v>
      </c>
      <c r="AG300" t="s">
        <v>810</v>
      </c>
      <c r="AI300" t="s">
        <v>561</v>
      </c>
      <c r="AK300" t="str">
        <f>Линии[[#This Row],[_авто модуль]]</f>
        <v/>
      </c>
      <c r="AM300">
        <v>27</v>
      </c>
      <c r="AN300" t="s">
        <v>11</v>
      </c>
      <c r="AO300">
        <v>3</v>
      </c>
      <c r="AQ300">
        <v>12</v>
      </c>
      <c r="AR300">
        <v>70</v>
      </c>
      <c r="AT300">
        <v>2</v>
      </c>
      <c r="BA300" cm="1">
        <f t="array" ref="BA300">ROW()-ROW(Линии[#Headers])</f>
        <v>298</v>
      </c>
      <c r="BC300" s="6" t="str">
        <f t="shared" si="557"/>
        <v>R</v>
      </c>
      <c r="BD300" t="str">
        <f t="shared" si="558"/>
        <v>2.019А.2</v>
      </c>
      <c r="BE300" t="str">
        <f t="shared" si="559"/>
        <v>2</v>
      </c>
      <c r="BF300" t="str">
        <f t="shared" si="560"/>
        <v>019А.2</v>
      </c>
      <c r="BG300" t="str">
        <f t="shared" si="561"/>
        <v>019А</v>
      </c>
      <c r="BH300" t="str">
        <f>IF(X300&lt;&gt;"",X300,IF(AND(B300&lt;&gt;"",B300&lt;&gt;A300,ISNUMBER(_xlfn.XMATCH(B300,Щиты[Щит]))),B300,""))</f>
        <v/>
      </c>
      <c r="BI300" t="str" cm="1">
        <f t="array" ref="BI300">IF(B300="","",IF(BH300&lt;&gt;"","Щит "&amp;BH300,_xlfn.LET(_xlpm.nm,IFERROR(_xlfn.XLOOKUP(BC300,Коды_код,Коды_имя)&amp;"",""),_xlpm.md,IFERROR(N(_xlfn.XLOOKUP(BC300,Коды_код,Коды_режим)),1),_xlpm.ex,IF(Имя_режим="по экспликации",IFERROR(_xlfn.XLOOKUP(BE300&amp;"|"&amp;BG300,Экспликация[Этаж]&amp;"|"&amp;Экспликация[Помещение],Экспликация[Название])&amp;"",""),""),_xlpm.rm,IF(BG300="","",IF(_xlpm.ex&lt;&gt;"",". "&amp;_xlpm.ex&amp;IF(Имя_пом="нет"," ("&amp;BG300&amp;")"," (пом. "&amp;BG300&amp;")"),IF(Имя_пом="нет"," ",", пом. ")&amp;BG300)),IF(_xlpm.nm="","",IF(_xlpm.md=2,_xlpm.nm&amp;" шлейф "&amp;BE300,_xlpm.nm&amp;_xlpm.rm)))))</f>
        <v>Розеточная группа, пом. 019А</v>
      </c>
      <c r="BJ300" t="str">
        <f t="shared" si="562"/>
        <v>Розеточная группа, пом. 019А</v>
      </c>
      <c r="BK300">
        <f>IFERROR(_xlfn.XMATCH(A300,Щиты[Щит]),0)</f>
        <v>11</v>
      </c>
      <c r="BL300">
        <f>_xlfn.LET(_xlpm.k,IFERROR(_xlfn.XLOOKUP(A300,Щиты[Щит],Щиты[Мест под вводной узел]),""),IF(_xlpm.k="",Столбцов_на_лист,N(_xlpm.k)))</f>
        <v>8</v>
      </c>
      <c r="BM300">
        <f t="shared" si="563"/>
        <v>27</v>
      </c>
      <c r="BN300" t="str">
        <f t="shared" si="564"/>
        <v>линии</v>
      </c>
      <c r="BO300" s="6">
        <f>IFERROR(N(_xlfn.XLOOKUP(BC300,Коды_код,Коды_квт)),0)</f>
        <v>0</v>
      </c>
      <c r="BP300">
        <f t="shared" si="565"/>
        <v>0</v>
      </c>
      <c r="BQ300" t="str">
        <f>IF(B300="","",IF(BH300&lt;&gt;"",IFERROR(_xlfn.XLOOKUP(BH300,Щиты[Щит],Щиты[Руст, кВт]),0),IF(BP300=1,IF(OR(N(_xlfn.XLOOKUP(A300,Щиты[Щит],Щиты[Вводов],1))&lt;=1,LOWER(TRIM(_xlfn.XLOOKUP(A300,Щиты[Щит],Щиты[АВР],"")&amp;""))="да"),IFERROR(_xlfn.XLOOKUP(A300,Щиты[Щит],Щиты[Руст, кВт]),0),SUMIFS(Линии[_Р для вводов],Линии[Щит],A300,Линии[Источник для режимов],GF300)),IF(BO300&gt;0,ROUND(BO300*MAX(1,N(D300)),3),""))))</f>
        <v/>
      </c>
      <c r="BR300">
        <f t="shared" si="566"/>
        <v>0.65999999999999992</v>
      </c>
      <c r="BS300" s="6">
        <f>IF(B300="","",IF(BH300&lt;&gt;"",IFERROR(_xlfn.XLOOKUP(BH300,Щиты[Щит],Щиты[Руст, кВт]),0),N(BR300)))</f>
        <v>0.65999999999999992</v>
      </c>
      <c r="BT300" t="str">
        <f>IF(B300="","",IFERROR(IF(VLOOKUP(BC300,Потребители_обозначение,8,FALSE)=0,"",VLOOKUP(BC300,Потребители_обозначение,8,FALSE)),""))</f>
        <v/>
      </c>
      <c r="BU300">
        <f t="shared" si="567"/>
        <v>230</v>
      </c>
      <c r="BV300">
        <f t="shared" si="568"/>
        <v>0</v>
      </c>
      <c r="BW300">
        <f>IF(B300="","",IF(BH300&lt;&gt;"",3,IFERROR(IF(N(VLOOKUP(BC300,Потребители_обозначение,9,FALSE))=0,1,VLOOKUP(BC300,Потребители_обозначение,9,FALSE)),1)))</f>
        <v>1</v>
      </c>
      <c r="BX300">
        <f t="shared" si="569"/>
        <v>1</v>
      </c>
      <c r="BY300" t="str">
        <f>IF(B300="","",_xlfn.LET(_xlpm.bc,IFERROR(IF(VLOOKUP(BC300,Потребители_обозначение,6,FALSE)=0,"",VLOOKUP(BC300,Потребители_обозначение,6,FALSE)&amp;""),""),IF(AND(GA300="да",OR(_xlpm.bc="",_xlpm.bc="мс")),Марка_пож,IF(AND(_xlpm.bc="",BH300&lt;&gt;""),"мс",_xlpm.bc))))</f>
        <v/>
      </c>
      <c r="BZ300" t="str">
        <f t="shared" si="570"/>
        <v>мс</v>
      </c>
      <c r="CA300">
        <f>IF(B300="","",_xlfn.LET(_xlpm.cc,IFERROR(N(VLOOKUP(BC300,Потребители_обозначение,7,FALSE)),0),IF(_xlpm.cc&gt;0,_xlpm.cc,IF(BZ300="","",IF(BV300=1,2,IF(N(BX300)=3,5,3))))))</f>
        <v>3</v>
      </c>
      <c r="CB300">
        <f t="shared" si="571"/>
        <v>3</v>
      </c>
      <c r="CC300">
        <f>IFERROR(N(VLOOKUP(BC300,Потребители_обозначение,10,FALSE)),0)</f>
        <v>0</v>
      </c>
      <c r="CD300">
        <f>IFERROR(VLOOKUP(BC300,Потребители_обозначение,5,FALSE),0)</f>
        <v>1</v>
      </c>
      <c r="CE300" s="6" cm="1">
        <f t="array" ref="CE300">IF(B300="","",IF(BH300&lt;&gt;"",IFERROR(_xlfn.XLOOKUP(BH300,Щиты[Щит],Щиты[cos φ]),0.95),IF(BP300=1,IFERROR(_xlfn.XLOOKUP(A300,Щиты[Щит],Щиты[cos φ]),0.95),IF(ISNUMBER(AD300),AD300,IFERROR(IF(CD300=2,_xlfn.IFS(BX300=3,VLOOKUP(BS300,Справочная_двигатели,8,FALSE),BX300=1,VLOOKUP(BS300,Справочная_двигатели,10,TRUE)),IF(AND(Методика="нормы 2026",FG300="Сил"),0.8,0.95)),0.95)))))</f>
        <v>0.95</v>
      </c>
      <c r="CF300">
        <f t="shared" si="572"/>
        <v>0</v>
      </c>
      <c r="CG300">
        <f t="shared" si="573"/>
        <v>1</v>
      </c>
      <c r="CH300">
        <f t="shared" si="574"/>
        <v>0</v>
      </c>
      <c r="CI300">
        <f>IF(B300="","",IF(BV300=1,IFERROR(BS300/((Uн_лин/SQRT(3))*MAX(0.5,N(CE300))),0),N(O300)))</f>
        <v>3.008298771040681</v>
      </c>
      <c r="CJ300">
        <f t="shared" si="575"/>
        <v>0</v>
      </c>
      <c r="CK300">
        <f t="shared" si="576"/>
        <v>0</v>
      </c>
      <c r="CL300">
        <f t="shared" si="577"/>
        <v>0</v>
      </c>
      <c r="CM300">
        <f t="shared" si="578"/>
        <v>0</v>
      </c>
      <c r="CN300">
        <f t="shared" si="579"/>
        <v>0</v>
      </c>
      <c r="CO300">
        <f>IF(BC300="",0,_xlfn.LET(_xlpm.v,IFERROR(_xlfn.XLOOKUP(B300,Коды_код,Коды_мА),IFERROR(_xlfn.XLOOKUP(BC300,Коды_код,Коды_мА),IFERROR(_xlfn.XLOOKUP(LEFT(BC300,2),Коды_код,Коды_мА),""))),IF(_xlpm.v="да",30,IF(ISNUMBER(_xlpm.v),_xlpm.v,0))))</f>
        <v>30</v>
      </c>
      <c r="CP300">
        <f t="shared" si="580"/>
        <v>30</v>
      </c>
      <c r="CQ300" t="str">
        <f>_xlfn.LET(_xlpm.k,IFERROR(_xlfn.XLOOKUP(BC300,Коды_код,Коды_утечка)&amp;"",""),IF(_xlpm.k="","дифавтомат",_xlpm.k))</f>
        <v>дифавтомат</v>
      </c>
      <c r="CR300" t="str" cm="1">
        <f t="array" ref="CR300">IF(CG300=0,"",_xlfn.LET(_xlpm.sg,TRIM(_xlfn.TEXTSPLIT(DD300&amp;"",";")),_xlpm.f_,_xlfn._xlws.FILTER(_xlpm.sg,LEFT(_xlpm.sg,3)="УЗО",""),IFERROR(INDEX(_xlpm.f_,1)&amp;"","")))</f>
        <v/>
      </c>
      <c r="CS300" t="str">
        <f t="shared" si="581"/>
        <v/>
      </c>
      <c r="CT300" s="6" t="str" cm="1">
        <f t="array" ref="CT300">IF(CR300="","",_xlfn.LET(_xlpm.tk,_xlfn.TEXTSPLIT(UPPER(CR300)," ",,TRUE),_xlpm.a_,_xlfn._xlws.FILTER(_xlpm.tk,ISNUMBER(--LEFT(_xlpm.tk,1))*((ISNUMBER(SEARCH("А",_xlpm.tk))+ISNUMBER(SEARCH("A",_xlpm.tk)))&gt;0)*NOT(ISNUMBER(SEARCH("МА",_xlpm.tk)))*NOT(ISNUMBER(SEARCH("MA",_xlpm.tk))),""),IFERROR(--SUBSTITUTE(SUBSTITUTE(INDEX(_xlpm.a_,1),"А",""),"A",""),"")))</f>
        <v/>
      </c>
      <c r="CU300" t="str" cm="1">
        <f t="array" ref="CU300">IF(CR300="","",_xlfn.LET(_xlpm.tk,_xlfn.TEXTSPLIT(UPPER(CR300)," ",,TRUE),_xlpm.a_,_xlfn._xlws.FILTER(_xlpm.tk,ISNUMBER(--LEFT(_xlpm.tk,1))*((ISNUMBER(SEARCH("МА",_xlpm.tk))+ISNUMBER(SEARCH("MA",_xlpm.tk)))&gt;0),""),IFERROR(--SUBSTITUTE(SUBSTITUTE(INDEX(_xlpm.a_,1),"МА",""),"MA",""),30)))</f>
        <v/>
      </c>
      <c r="CV300" t="str">
        <f>IF(CS300="","",IFERROR(_xlfn.XLOOKUP(CS300,Линии[_n],Линии[_УЗО, мА]),30))</f>
        <v/>
      </c>
      <c r="CW300">
        <f>IF(CS300="",0,IF(ISNUMBER(SEARCH("4P",IFERROR(_xlfn.XLOOKUP(CS300,Линии[_n],Линии[_УЗО строки])&amp;"",""))),0,1))</f>
        <v>0</v>
      </c>
      <c r="CX300" t="str">
        <f>IF(AND(CS300&lt;&gt;"",CS300=BA300),SUMIFS(Линии[_ток на 230 В],Линии[_блок УЗО],BA300,Линии[Щит],A300),"")</f>
        <v/>
      </c>
      <c r="CY300" t="str">
        <f>IF(AND(CS300&lt;&gt;"",CS300=BA300),SUMIFS(Линии[_ток утечки линии, мА],Линии[_блок УЗО],BA300,Линии[Щит],A300),"")</f>
        <v/>
      </c>
      <c r="CZ300">
        <f t="shared" si="582"/>
        <v>30</v>
      </c>
      <c r="DA300">
        <f t="shared" si="583"/>
        <v>30</v>
      </c>
      <c r="DB300">
        <f>IF(B300="",0,IFERROR(--_xlfn.XLOOKUP(B300,Коды_код,Коды_минавт),IFERROR(--_xlfn.XLOOKUP(BC300,Коды_код,Коды_минавт),IFERROR(--_xlfn.XLOOKUP(LEFT(BC300,2),Коды_код,Коды_минавт),0))))</f>
        <v>16</v>
      </c>
      <c r="DC300" t="str">
        <f>IF(B300="","",IFERROR(_xlfn.XLOOKUP(BC300,Коды_код,Коды_апп)&amp;"",""))</f>
        <v/>
      </c>
      <c r="DD300" t="str">
        <f t="shared" si="584"/>
        <v/>
      </c>
      <c r="DE300" t="str" cm="1">
        <f t="array" ref="DE300">IF(TRIM(DD300&amp;"")="","",IFERROR(TRIM(INDEX(_xlfn.TEXTSPLIT(DD300&amp;";;;",";"),1)),""))</f>
        <v/>
      </c>
      <c r="DF300" t="str" cm="1">
        <f t="array" ref="DF300">IF(TRIM(DD300&amp;"")="","",IFERROR(TRIM(INDEX(_xlfn.TEXTSPLIT(DD300&amp;";;;",";"),2)),""))</f>
        <v/>
      </c>
      <c r="DG300" t="str" cm="1">
        <f t="array" ref="DG300">IF(TRIM(DD300&amp;"")="","",IFERROR(TRIM(INDEX(_xlfn.TEXTSPLIT(DD300&amp;";;;",";"),3)),""))</f>
        <v/>
      </c>
      <c r="DH300">
        <f t="shared" si="585"/>
        <v>0</v>
      </c>
      <c r="DI300" t="str">
        <f>IF(B300="","",_xlfn.LET(_xlpm.t,LOWER(AZ300&amp;""),IF(ISNUMBER(SEARCH("dim",_xlpm.t)),"DIM",IF(ISNUMBER(SEARCH("dali",_xlpm.t)),"DALI",IF(OR(ISNUMBER(SEARCH("relay",_xlpm.t)),ISNUMBER(SEARCH("реле",_xlpm.t))),"Relay",IF(ISNUMBER(SEARCH("кнопк",_xlpm.t)),"",IFERROR(_xlfn.XLOOKUP(BC300,Коды_код,Коды_упр)&amp;"","")))))))</f>
        <v/>
      </c>
      <c r="DJ300" t="str">
        <f t="shared" si="586"/>
        <v/>
      </c>
      <c r="DK300">
        <f>IF(B300="","",_xlfn.LET(_xlpm.ig,IF(N(CX300)&gt;0,N(CX300),N(CI300)+IF(AJ300="вручную",0,N(CJ300))),_xlpm.n0,IFERROR(VLOOKUP(_xlpm.ig,Автомат_номиналы,2,TRUE),0),_xlpm.mn,MAX(DB300,IF(AJ300="вручную",0,N(CM300))),MAX(_xlpm.n0,_xlpm.mn,IF(DH300=1,Мин_автомат_БП,0))))</f>
        <v>16</v>
      </c>
      <c r="DL300">
        <f t="shared" si="587"/>
        <v>1</v>
      </c>
      <c r="DM300" t="str">
        <f t="shared" si="588"/>
        <v>2P</v>
      </c>
      <c r="DN300" t="str">
        <f>_xlfn.LET(_xlpm.cc,UPPER(TRIM(IFERROR(_xlfn.XLOOKUP(BC300,Коды_код,Коды_хар)&amp;"",""))),IF(OR(_xlpm.cc="B",_xlpm.cc="В"),"B",IF(_xlpm.cc="D","D","С")))</f>
        <v>С</v>
      </c>
      <c r="DO300" t="str">
        <f t="shared" si="589"/>
        <v>2P С16А 30мА</v>
      </c>
      <c r="DP300">
        <f t="shared" si="590"/>
        <v>16</v>
      </c>
      <c r="DQ300" t="str">
        <f t="shared" si="591"/>
        <v>2P С16А 30мА</v>
      </c>
      <c r="DR300" cm="1">
        <f t="array" ref="DR300">IF(DQ300="","",_xlfn.LET(_xlpm.t,SUBSTITUTE(SUBSTITUTE(SUBSTITUTE(UPPER(DQ300),"С","C"),"А","A"),"В","B"),_xlpm.tk,_xlfn.TEXTSPLIT(_xlpm.t," "),_xlpm.f,_xlfn._xlws.FILTER(_xlpm.tk,ISNUMBER(--MID(_xlpm.tk,2,1))*ISNUMBER(SEARCH(LEFT(_xlpm.tk,1)&amp;"#","B#C#D#"))*(LEN(_xlpm.tk)&gt;1),""),_xlpm.x,INDEX(_xlpm.f,1),IFERROR(--SUBSTITUTE(MID(_xlpm.x,2,9),"A",""),IFERROR(--SUBSTITUTE(INDEX(_xlfn._xlws.FILTER(_xlpm.tk,ISNUMBER(--SUBSTITUTE(_xlpm.tk,"A","")),""),1),"A",""),""))))</f>
        <v>16</v>
      </c>
      <c r="DS300" t="str">
        <f t="shared" si="592"/>
        <v>ok</v>
      </c>
      <c r="DT300">
        <f t="shared" si="593"/>
        <v>16</v>
      </c>
      <c r="DU300" t="str">
        <f t="shared" si="594"/>
        <v>2P С16А 30мА</v>
      </c>
      <c r="DV300">
        <f t="shared" si="595"/>
        <v>30</v>
      </c>
      <c r="DW300">
        <f t="shared" si="596"/>
        <v>1</v>
      </c>
      <c r="DX300">
        <f t="shared" si="597"/>
        <v>0</v>
      </c>
      <c r="DY300">
        <f t="shared" si="598"/>
        <v>3.008298771040681</v>
      </c>
      <c r="DZ300">
        <f t="shared" si="599"/>
        <v>1</v>
      </c>
      <c r="EA300">
        <f>IF(ISNUMBER(AP300),AP300,К_прокл)</f>
        <v>1</v>
      </c>
      <c r="EB300">
        <f t="shared" si="600"/>
        <v>2</v>
      </c>
      <c r="EC300">
        <f>IFERROR(N(VLOOKUP(BZ300,Кабель_обозначение,3,FALSE)),1)</f>
        <v>1</v>
      </c>
      <c r="ED300">
        <f>IFERROR(N(_xlfn.XLOOKUP(A300,Щиты[Щит],Щиты[ΔU до шин, %])),0)</f>
        <v>1.79</v>
      </c>
      <c r="EE300" t="str">
        <f>IFERROR(_xlfn.XLOOKUP(A300,Щиты[Щит],Щиты[Zпетли на шинах, Ом]),"")</f>
        <v/>
      </c>
      <c r="EF300">
        <f>IFERROR(N(_xlfn.XLOOKUP(A300,Щиты[Щит],Щиты[ΔU до шин (подбор), %])),0)</f>
        <v>4.75</v>
      </c>
      <c r="EG300" t="str">
        <f>IFERROR(_xlfn.XLOOKUP(A300,Щиты[Щит],Щиты[Zпетли на шинах (подбор), Ом]),"")</f>
        <v/>
      </c>
      <c r="EH300" t="str">
        <f t="shared" si="601"/>
        <v/>
      </c>
      <c r="EI300">
        <f t="shared" si="602"/>
        <v>55</v>
      </c>
      <c r="EJ300">
        <f t="shared" si="603"/>
        <v>2</v>
      </c>
      <c r="EK300">
        <f t="shared" si="604"/>
        <v>0.31</v>
      </c>
      <c r="EL300" s="6">
        <f>IF(B300="","",IF(BV300=1,dU_LED,IF(IFERROR(_xlfn.XLOOKUP(BC300,Коды_код,Коды_уго),"")="Светильник",3,4)+IF(Методика="нормы 2026",MIN(0.5,MAX(0,N(P300)-100)*0.005),0)))</f>
        <v>4</v>
      </c>
      <c r="EM300" t="str" cm="1">
        <f t="array" ref="EM300">IF(OR(B300="",BZ300="",EC300&lt;&gt;1),"",_xlfn.LET(_xlpm.sz,Iдоп_S,_xlpm.t_,CHOOSE(EB300,Iдоп_1ж,Iдоп_2ж,Iдоп_3ж)*DZ300*EA300,_xlpm.dcx,BV300=1,_xlpm.inn,IF(_xlpm.dcx,N(O300),N(DT300)),_xlpm.smin,MAX(1.5,CC300),_xlpm.L_,N(P300)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300)/N(BU300)*100,999),IFERROR(N(EJ300)*(_xlpm.rho*_xlpm.L_/_xlpm.sz*N(CE300)+_xlpm.xx*_xlpm.L_*N(EK300)/1000)*N(O300)/((Uн_лин/SQRT(3))*1000)*100,999)),_xlpm.kz,IF(OR(_xlpm.dcx,DW300=1,NOT(ISNUMBER(EG300)),_xlpm.L_=0,_xlpm.inn=0),1,IFERROR(--(c_min*(Uн_лин*1000/SQRT(3))/(EG300+2*ρкз_Cu*_xlpm.L_/_xlpm.sz)&gt;=HT300*_xlpm.inn),0)),_xlpm.ok,IFERROR((_xlpm.sz&gt;=_xlpm.smin)*(_xlpm.t_&gt;=_xlpm.inn)*IF(_xlpm.L_&gt;0,(_xlpm.du_+IF(_xlpm.dcx,0,EF300)&lt;=EL300+0.00001),1)*_xlpm.kz,0),_xlpm.r_,_xlfn._xlws.FILTER(_xlpm.sz,_xlpm.ok,"не подобрано"),INDEX(_xlpm.r_,1)))</f>
        <v>не подобрано</v>
      </c>
      <c r="EN300">
        <f t="shared" si="605"/>
        <v>2.5</v>
      </c>
      <c r="EO300" cm="1">
        <f t="array" ref="EO300">IF(OR(B300="",BZ300="",EC300&lt;&gt;1),"",_xlfn.LET(_xlpm.sz,Iдоп_S,_xlpm.t_,CHOOSE(EB300,Iдоп_1ж,Iдоп_2ж,Iдоп_3ж)*DZ300*EA300,_xlpm.ok,IFERROR((_xlpm.sz&gt;=MAX(1.5,CC300))*(_xlpm.t_&gt;=N(DT300)),0),_xlpm.r_,_xlfn._xlws.FILTER(_xlpm.sz,_xlpm.ok,""),INDEX(_xlpm.r_,1)))</f>
        <v>1.5</v>
      </c>
      <c r="EP300" s="6" cm="1">
        <f t="array" ref="EP300">IFERROR(ROUNDUP(N(EJ300)*(_xlfn.XLOOKUP(EO300,INDEX(Кабель_сопротивление,0,1),INDEX(Кабель_сопротивление,0,3))*N(P300)/EO300*N(CE300)+_xlfn.XLOOKUP(EO300,INDEX(Кабель_сопротивление,0,1),INDEX(Кабель_сопротивление,0,2))*N(P300)*N(EK300)/1000)*N(O300)/((Uн_лин/SQRT(3))*1000)*100,2),"")</f>
        <v>3.28</v>
      </c>
      <c r="EQ300">
        <f>IFERROR(2*ρкз_Cu*N(P300)/EO300,"")</f>
        <v>3.0858666666666665</v>
      </c>
      <c r="ER300">
        <f>IFERROR(VLOOKUP(EN300,Кабель_сопротивление,3,FALSE),"")</f>
        <v>2.2499999999999999E-2</v>
      </c>
      <c r="ES300">
        <f>IFERROR(VLOOKUP(EN300,Кабель_сопротивление,2,FALSE),"")</f>
        <v>0.1</v>
      </c>
      <c r="ET300">
        <f t="shared" si="606"/>
        <v>70</v>
      </c>
      <c r="EU300">
        <f t="shared" si="607"/>
        <v>84</v>
      </c>
      <c r="EV300">
        <f t="shared" si="608"/>
        <v>4.5433012687568146</v>
      </c>
      <c r="EW300" s="6">
        <f>IFERROR(ROUNDUP(EV300/IF(BV300=1,BU300,(Uн_лин/SQRT(3))*1000)*100,2),"")</f>
        <v>1.97</v>
      </c>
      <c r="EX300" t="str">
        <f>IFERROR(VLOOKUP(BZ300,Кабель_обозначение,2,FALSE),"")</f>
        <v>ВВГнг(А)-LS</v>
      </c>
      <c r="EY300" t="str">
        <f t="shared" si="609"/>
        <v>ВВГнг(А)-LS (3х2,5)</v>
      </c>
      <c r="EZ300" t="str">
        <f t="shared" si="610"/>
        <v>ВВГнг(А)-LS (3х2,5)
L=88-1,97%</v>
      </c>
      <c r="FA300">
        <f>IFERROR(2*ρкз_Cu*P300/EN300,"")</f>
        <v>1.8515200000000001</v>
      </c>
      <c r="FB300">
        <f t="shared" si="611"/>
        <v>0.61599999999999999</v>
      </c>
      <c r="FC300" s="6" t="str">
        <f>IFERROR(IF(OR(B300="",BV300=1,NOT(ISNUMBER(EN300)),N(P300)=0),"",_xlfn.XLOOKUP(A300,Щиты[Щит],Щиты[Zпетли на шинах, Ом])+FA300),"")</f>
        <v/>
      </c>
      <c r="FD300" s="6" t="str">
        <f>IF(ISNUMBER(FC300),c_min*(Uн_лин*1000/SQRT(3))/FC300,"")</f>
        <v/>
      </c>
      <c r="FE300" s="6" t="str">
        <f>IFERROR(IF(OR(B300="",NOT(ISNUMBER(EN300))),"",1.05*(Uн_лин*1000/SQRT(3))/(_xlfn.XLOOKUP(A300,Щиты[Щит],Щиты[Zmax на шинах, Ом])+FB300)/1000),"")</f>
        <v/>
      </c>
      <c r="FF300" s="6" t="str">
        <f>IF(B300="","",IF(ISNUMBER(AC300),"Сил",IF(IFERROR(_xlfn.XLOOKUP(BC300,Коды_код,Коды_группа)&amp;"","")="","Быт",_xlfn.XLOOKUP(BC300,Коды_код,Коды_группа)&amp;"")))</f>
        <v>Быт</v>
      </c>
      <c r="FG300" s="6" t="str">
        <f t="shared" si="612"/>
        <v>Быт</v>
      </c>
      <c r="FH300" s="6">
        <f>IF(FG300="Щит","щит",IF(FG300="","",IF(FG300="Быт",IFERROR(_xlfn.XLOOKUP(A300,Щиты[Щит],Щиты[Кс быт]),1),IF(FG300="Сил",IF(ISNUMBER(AC300),AC300,IF(Методика="нормы 2026",IFERROR(_xlfn.XLOOKUP(A300,Щиты[Щит],Щиты[Кс силовых (табл. 7.5)]),1),1)),IF(OR(FG300="Пост",FG300="Отоп"),1,IF(FG300="ВНГ",0.7,0))))))</f>
        <v>0.8</v>
      </c>
      <c r="FI300">
        <f>IF(FG300="","",IF(AND(BP300=1,TRIM(AE300&amp;"")=""),IF(COUNTIFS(Линии[Щит],A300,Линии[Секция (1/2/3)],"&gt;=2")&gt;0,MIN(3,MAX(1,IFERROR(--BD300,1))),1),IFERROR(MIN(3,MAX(1,INT(--AE300))),1)))</f>
        <v>1</v>
      </c>
      <c r="FJ300">
        <f t="shared" si="613"/>
        <v>0.65999999999999992</v>
      </c>
      <c r="FK300">
        <f t="shared" si="614"/>
        <v>0.65999999999999992</v>
      </c>
      <c r="FL300">
        <f t="shared" si="615"/>
        <v>0</v>
      </c>
      <c r="FM300">
        <f t="shared" si="616"/>
        <v>0</v>
      </c>
      <c r="FN300">
        <f t="shared" si="617"/>
        <v>0</v>
      </c>
      <c r="FO300">
        <f t="shared" si="618"/>
        <v>0</v>
      </c>
      <c r="FP300">
        <f t="shared" si="619"/>
        <v>0.65999999999999992</v>
      </c>
      <c r="FQ300">
        <f t="shared" si="620"/>
        <v>0.65999999999999992</v>
      </c>
      <c r="FR300">
        <f t="shared" si="621"/>
        <v>0.62699999999999989</v>
      </c>
      <c r="FS300">
        <f>IF(CG300=1,IF(AND(CH300=1,CW300=1),0,IF(AND(CS300&lt;&gt;"",CS300=BA300,CW300=1),SUMIFS(Линии[_Р линии, кВт],Линии[_блок УЗО],BA300,Линии[Щит],A300),N(BS300)+IF(AJ300="вручную",0,N(CK300)))),0)</f>
        <v>0.65999999999999992</v>
      </c>
      <c r="FT300" t="str">
        <f t="shared" si="622"/>
        <v>L3</v>
      </c>
      <c r="FU300" t="str">
        <f>IF(B300="","",IF(CG300=0,IF(BA300=1,"",FW299),IF(AND(CH300=1,CW300=1,CS300&lt;&gt;""),IFERROR(_xlfn.XLOOKUP(CS300,Линии[_n],Линии[_фаза итог]),"L1"),IF(OR(N(DL300)&gt;=3,N(BX300)&gt;=3),"L1,L2,L3",IFERROR(_xlfn.TEXTBEFORE(_xlfn.TEXTAFTER(_xlfn.XLOOKUP(A300,Щиты[Щит],Щиты[_фазы авто]),";"&amp;BA300&amp;":"),";"),"L1")))))</f>
        <v>L1</v>
      </c>
      <c r="FV300" t="str">
        <f t="shared" si="623"/>
        <v>L3</v>
      </c>
      <c r="FW300" t="str">
        <f t="shared" si="624"/>
        <v>L3</v>
      </c>
      <c r="FX300" cm="1">
        <f t="array" ref="FX300">IFERROR(IF(CD300=2,_xlfn.IFS(BX300=3,VLOOKUP(BS300,Справочная_двигатели,3,FALSE),BX300=1,VLOOKUP(BS300,Справочная_двигатели,5,TRUE)),0),0)</f>
        <v>0</v>
      </c>
      <c r="FY300">
        <f>IFERROR(IF(CD300=3,VLOOKUP(BS300,Справочная_ЛЭД,2,TRUE),0),0)</f>
        <v>0</v>
      </c>
      <c r="FZ300" s="6">
        <f t="shared" si="625"/>
        <v>0</v>
      </c>
      <c r="GA300" t="str">
        <f>IF(B300="","",IF(TRIM(AH300&amp;"")&lt;&gt;"",IF(LOWER(TRIM(AH300&amp;""))="да","да","нет"),IF(IFERROR(_xlfn.XLOOKUP(BC300,Коды_код,Коды_пожарная),"")="да","да","нет")))</f>
        <v>нет</v>
      </c>
      <c r="GB300" t="str">
        <f t="shared" si="626"/>
        <v/>
      </c>
      <c r="GC300" t="str">
        <f t="shared" si="627"/>
        <v>основная</v>
      </c>
      <c r="GD300">
        <f>IF(AND(BP300=1,TRIM(AE300&amp;"")=""),IF(COUNTIFS(Линии[Щит],A300,Линии[Секция (1/2/3)],"&gt;=2")&gt;0,MIN(3,MAX(1,IFERROR(--BD300,1))),1),IFERROR(MIN(3,MAX(1,INT(--AE300))),1))</f>
        <v>1</v>
      </c>
      <c r="GE300" t="str" cm="1">
        <f t="array" ref="GE300">IF(B300="","",_xlfn.LET(_xlpm.t,IFERROR(_xlfn.XLOOKUP(1,(Шины[Шина]=GC300)*(((Шины[Щит]=A300)+(Шины[Щит]=""))&gt;0),Шины[Тип]),"")&amp;"",IF(_xlpm.t&lt;&gt;"",_xlpm.t,IF(ISNUMBER(SEARCH("ИБП",GC300)),"ИБП",IF(ISNUMBER(SEARCH("ДГУ",GC300)),"ДГУ","Ввод "&amp;GD300)))))</f>
        <v>Ввод 1</v>
      </c>
      <c r="GF300" t="str">
        <f t="shared" si="628"/>
        <v>Ввод 1</v>
      </c>
      <c r="GG300" t="str">
        <f>IF(BP300=0,"",IF(TRIM(AG300&amp;"")&lt;&gt;"",TRIM(AG300&amp;""),IF(OR(GE300="ИБП",GE300="ДГУ"),"I особая",_xlfn.XLOOKUP(A300,Щиты[Щит],Щиты[Категория шины «Ввод»],"III"))))</f>
        <v/>
      </c>
      <c r="GH300" t="str">
        <f>IF(A300="","",_xlfn.XLOOKUP(A300,Щиты[Щит],Щиты[Путь],""))</f>
        <v>|ГРЩ-ЖД|ЩР-2|</v>
      </c>
      <c r="GI300" t="str">
        <f>IF(B300="","",IF(AI300&lt;&gt;"",AI300,IF(IFERROR(_xlfn.XLOOKUP(BC300,Коды_код,Коды_вид)&amp;"","")="","Прочее",_xlfn.XLOOKUP(BC300,Коды_код,Коды_вид)&amp;"")))</f>
        <v>Розеточная сеть и бытовые приборы</v>
      </c>
      <c r="GJ300">
        <f>IF(BM300="","",INT((BM300-1)/Столбцов_на_лист)+1)</f>
        <v>2</v>
      </c>
      <c r="GK300" t="str">
        <f t="shared" si="629"/>
        <v>ВВГнг(А)-LS (3х2,5) L=88-1,97%</v>
      </c>
      <c r="GL300">
        <f t="shared" si="630"/>
        <v>0.65999999999999992</v>
      </c>
      <c r="GM300">
        <f t="shared" si="631"/>
        <v>3.01</v>
      </c>
      <c r="GN300">
        <f t="shared" si="632"/>
        <v>1</v>
      </c>
      <c r="GO300">
        <f t="shared" si="633"/>
        <v>0</v>
      </c>
      <c r="GP300">
        <f t="shared" si="634"/>
        <v>1</v>
      </c>
      <c r="GQ300">
        <f>IF(BM300="","",IF(AND(CG300=1,GP300=1),COUNTIFS(A$3:A300,A300,CG$3:CG300,1,GP$3:GP300,1),IF(OR(OR(BA300=1,A300&lt;&gt;A299),AJ300="вручную",GP300=0),"",IF(BA300=1,"",GR299))))</f>
        <v>17</v>
      </c>
      <c r="GR300">
        <f t="shared" si="635"/>
        <v>17</v>
      </c>
      <c r="GS300">
        <f>IF(B300="","",IFERROR(LOOKUP(INDEX(CHOOSE(EB300,Iдоп_1ж,Iдоп_2ж,Iдоп_3ж),MATCH(EN300,Iдоп_S,0))*DZ300*EA300,{6,10,16,20,25,32,40,50,63,80,100,125,160,200,250,315,400,500,630}),""))</f>
        <v>25</v>
      </c>
      <c r="GT300" t="str">
        <f t="shared" si="636"/>
        <v>QFD17</v>
      </c>
      <c r="GU300" t="str">
        <f t="shared" si="637"/>
        <v>QFD17</v>
      </c>
      <c r="GV300" t="str">
        <f t="shared" si="638"/>
        <v/>
      </c>
      <c r="GW300">
        <f t="shared" si="639"/>
        <v>0</v>
      </c>
      <c r="GX300" t="str">
        <f>IF(OR(B300="",DJ300=""),"",IFERROR(_xlfn.XLOOKUP(DJ300,Модули_умолч[Управление],Модули_умолч[Модель])&amp;"",""))</f>
        <v/>
      </c>
      <c r="GY300">
        <f>IF(DJ300="",1,IFERROR(MAX(0,N(_xlfn.XLOOKUP(DJ300,Модули_умолч[Управление],Модули_умолч[Каналов на линию]))),1))</f>
        <v>1</v>
      </c>
      <c r="GZ300" t="str">
        <f t="shared" si="640"/>
        <v/>
      </c>
      <c r="HA300" t="str">
        <f t="shared" si="641"/>
        <v/>
      </c>
      <c r="HB300" t="str">
        <f t="shared" si="642"/>
        <v/>
      </c>
      <c r="HC300">
        <f>IF(HB300="",0,IFERROR(N(VLOOKUP(HB300,Модули_спр,3,FALSE)),0))</f>
        <v>0</v>
      </c>
      <c r="HD300" t="str">
        <f t="shared" si="643"/>
        <v/>
      </c>
      <c r="HE300" t="str">
        <f t="shared" si="644"/>
        <v/>
      </c>
      <c r="HF300" t="str">
        <f>IF(OR(HE300="",HE300="-"),"",IFERROR(VLOOKUP(HE300,Модули_спр,2,FALSE),"R"))</f>
        <v/>
      </c>
      <c r="HG300" t="str">
        <f>IF(HF300="","",HF300&amp;"."&amp;COUNTIFS(A$3:A300,A300,HF$3:HF300,HF300))</f>
        <v/>
      </c>
      <c r="HH300" t="str">
        <f t="shared" si="645"/>
        <v/>
      </c>
      <c r="HI300" t="str">
        <f t="shared" si="646"/>
        <v/>
      </c>
      <c r="HJ300" t="str">
        <f t="shared" si="647"/>
        <v/>
      </c>
      <c r="HK300" t="str">
        <f t="shared" si="648"/>
        <v/>
      </c>
      <c r="HL300">
        <f t="shared" si="649"/>
        <v>1</v>
      </c>
      <c r="HM300" t="str">
        <f>IF(HL300=1,"XT"&amp;COUNTIFS(A$3:A300,A300,HL$3:HL300,1),"")</f>
        <v>XT17</v>
      </c>
      <c r="HN300" t="str">
        <f t="shared" si="650"/>
        <v/>
      </c>
      <c r="HO300" t="str">
        <f t="shared" si="651"/>
        <v>QFD17</v>
      </c>
      <c r="HP300" t="str">
        <f t="shared" si="652"/>
        <v/>
      </c>
      <c r="HQ300" t="str">
        <f t="shared" si="653"/>
        <v>ok</v>
      </c>
      <c r="HR300" t="str">
        <f>IF(OR(HJ300="",HH300=""),"",IF(HJ300+MAX(0,GY300-1)&gt;IFERROR(VLOOKUP(HI300,Модули_спр,3,FALSE),99),"ЛИШНИЙ КАНАЛ",IF(AND(AL300&lt;&gt;"=",GY300&gt;0,COUNTIFS(Линии[_модуль гр.],HH300,Линии[Канал (итог)],HJ300,Линии[Канал],"&lt;&gt;=",Линии[Щит],A300)&gt;1),"ДУБЛЬ КАНАЛА","")))</f>
        <v/>
      </c>
      <c r="HS300" s="6" t="str">
        <f t="shared" si="654"/>
        <v/>
      </c>
      <c r="HT300">
        <f t="shared" si="655"/>
        <v>10</v>
      </c>
      <c r="HU300" t="str">
        <f t="shared" si="656"/>
        <v/>
      </c>
      <c r="HV300">
        <f t="shared" si="657"/>
        <v>2.0833195084162726</v>
      </c>
      <c r="HW300">
        <f t="shared" si="658"/>
        <v>0</v>
      </c>
      <c r="HX300">
        <f t="shared" si="659"/>
        <v>0</v>
      </c>
      <c r="HY300">
        <f t="shared" si="660"/>
        <v>0</v>
      </c>
      <c r="HZ300">
        <f t="shared" si="661"/>
        <v>0</v>
      </c>
      <c r="IA300">
        <f t="shared" si="662"/>
        <v>0</v>
      </c>
      <c r="IB300">
        <f t="shared" si="663"/>
        <v>0</v>
      </c>
      <c r="IC300" t="str">
        <f t="shared" si="664"/>
        <v/>
      </c>
      <c r="ID300" t="str" cm="1">
        <f t="array" ref="ID300">IF(IC300="","",_xlfn.LET(_xlpm.tk,_xlfn.TEXTSPLIT(SUBSTITUTE(SUBSTITUTE(IC300,";"," "),"→"," ")," ",,TRUE),_xlpm.w_,_xlfn._xlws.FILTER(_xlpm.tk,ISNUMBER(--LEFT(_xlpm.tk,1))*((ISNUMBER(SEARCH("W",_xlpm.tk))+ISNUMBER(SEARCH("Вт",_xlpm.tk)))&gt;0),""),IFERROR(--SUBSTITUTE(SUBSTITUTE(UPPER(INDEX(_xlpm.w_,1)),"W",""),"ВТ",""),"")))</f>
        <v/>
      </c>
      <c r="IE300" t="str" cm="1">
        <f t="array" ref="IE300">IF(IC300="","",_xlfn.LET(_xlpm.tk,_xlfn.TEXTSPLIT(SUBSTITUTE(SUBSTITUTE(IC300,";"," "),"→"," ")," ",,TRUE),_xlpm.v_,_xlfn._xlws.FILTER(_xlpm.tk,ISNUMBER(--LEFT(_xlpm.tk,1))*((ISNUMBER(SEARCH("V",_xlpm.tk))+(RIGHT(UPPER(_xlpm.tk))="В"))&gt;0),""),IFERROR(--SUBSTITUTE(SUBSTITUTE(UPPER(INDEX(_xlpm.v_,1)),"V",""),"В",""),"")))</f>
        <v/>
      </c>
      <c r="IF300" s="6" t="str">
        <f>IF(OR(BV300=0,HI300="",HJ300=""),"",IFERROR(N(_xlfn.XLOOKUP(HI300,Каталог!$C$4:$C$500,Каталог!$Q$4:$Q$500)),""))</f>
        <v/>
      </c>
      <c r="IG300" s="6" t="str">
        <f>IF(N(IF300)=0,"",SUMIFS(Линии[Iр, А],Линии[Щит],A300,Линии[_модуль гр.],HH300,Линии[Канал (итог)],HJ300))</f>
        <v/>
      </c>
      <c r="IH300" t="str">
        <f>IF(AND(B300="",HO300=""),"",_xlfn.TEXTJOIN("; ",TRUE,IF(AND(B300&lt;&gt;"",FV300=""),"нет фазы",""),IF(AND(B300&lt;&gt;"",N(GL300)=0,FG300&lt;&gt;"Нет"),"нет мощности",""),IF(AND(HN300&lt;&gt;"",COUNTIFS(Линии[Щит],A300,Линии[Клемма (итог)],HN300)&gt;1),"дубль клеммы "&amp;HN300,""),IF(AND(HQ300&lt;&gt;"",HQ300&lt;&gt;"ok"),HQ300,""),IF(HR300&lt;&gt;"",HR300,""),IF(AND(N(CB300)&gt;=4,N(BX300)=1),CB300&amp;" жил на 1 фазе",""),IF(AND(BC300="R",CG300=1,IF(CS300&lt;&gt;"",N(CV300)&gt;30,OR(N(DA300)=0,N(DA300)&gt;30))),"розетка без дифзащиты до 30 мА",""),IF(AND(CG300=1,N(DA300)&gt;0,ISNUMBER(T300)),IF(T300&gt;N(DA300)/3,"ток утечки "&amp;FIXED(T300,1)&amp;" мА &gt; 1/3 уставки ("&amp;DA300&amp;" мА)",""),""),IF(AND(CH300=1,CS300=""),"«узо»: нет строки с УЗО выше (УЗО 2P 40А 30мА в «Аппаратах»)",""),IF(AND(CS300&lt;&gt;"",CS300=BA300),IF(CT300="","впишите номинал УЗО (УЗО 2P 40А 30мА)",IF(N(CT300)&lt;N(DT300),"УЗО "&amp;CT300&amp;" А &lt; автомата "&amp;DT300&amp;" А перед ним",IF(N(CT300)&lt;N(CX300),"УЗО "&amp;CT300&amp;" А &lt; тока блока "&amp;FIXED(CX300,1)&amp;" А",""))),""),IF(AND(CS300&lt;&gt;"",CS300=BA300,ISNUMBER(CY300)),IF(CY300&gt;N(CV300)/3,"ток утечки блока УЗО "&amp;FIXED(CY300,1)&amp;" мА &gt; 1/3 уставки ("&amp;CV300&amp;" мА)",""),""),IF(AND(CG300=1,N(BV300)+N(IB300)&gt;0,IC300=""),"линии до 50 В без БП: впишите в «Аппараты» (БП 24V 480W)",""),IF(AND(CG300=1,ISNUMBER(ID300),ISNUMBER(U300)),IF(U300&gt;ID300,"БП "&amp;ID300&amp;" Вт &lt; нужно "&amp;U300&amp;" Вт (×"&amp;Запас_БП&amp;")",""),""),IF(AND(CG300=1,ISNUMBER(IE300),N(BV300)=1),IF(IE300&lt;&gt;N(BU300),"БП на "&amp;IE300&amp;" В, линия "&amp;BU300&amp;" В",""),""),IF(AND(N(IF300)&gt;0,N(IG300)&gt;N(IF300)),HH300&amp;" канал "&amp;HJ300&amp;": "&amp;FIXED(IG300,1)&amp;" А &gt; "&amp;IF300&amp;" А",""),IFERROR(IF(AND(ISNUMBER(Q300),Q300&gt;EL300),"потери "&amp;FIXED(Q300,1)&amp;" % &gt; "&amp;EL300&amp;" %",""),""),IFERROR(IF(LEFT(HU300,4)="мало","Iкз мало — отключение &gt; 0,4 с",""),""),IF(AND(B300&lt;&gt;"",BM300=""),"не на схеме",""),IF(AND(CG300=0,B300&lt;&gt;"",FV300&lt;&gt;"",IF(BA300=1,"",FW299)&lt;&gt;"",FV300&lt;&gt;IF(BA300=1,"",FW299)),"фаза не как у автомата группы ("&amp;IF(BA300=1,"",FW299)&amp;")","")))</f>
        <v/>
      </c>
      <c r="II300" s="6">
        <f>IF(OR(CG300=0,DQ300=""),"",_xlfn.LET(_xlpm.t,IFERROR(_xlfn.XLOOKUP(DQ300,Каталог!$U$4:$U$500,Каталог!$G$4:$G$500),""),_xlpm.k,SEARCH("кА",_xlpm.t),IFERROR(--TRIM(RIGHT(SUBSTITUTE(MID(_xlpm.t,MAX(1,_xlpm.k-4),_xlpm.k-MAX(1,_xlpm.k-4))," ",REPT(" ",9)),5)),"")))</f>
        <v>6</v>
      </c>
      <c r="IJ300" t="str">
        <f>IF(OR(II300="",CG300=0),"",IF(_xlfn.XLOOKUP(A300,Щиты[Щит],Щиты[Iкз max на шинах, кА],"")="","",IF(II300&lt;_xlfn.XLOOKUP(A300,Щиты[Щит],Щиты[Iкз max на шинах, кА]),"Icu "&amp;II300&amp;" кА &lt; Iкз max","ok")))</f>
        <v/>
      </c>
      <c r="IK300" t="str">
        <f t="shared" si="665"/>
        <v/>
      </c>
      <c r="IL300" t="str">
        <f t="shared" si="666"/>
        <v>QFD17</v>
      </c>
      <c r="IM300" t="str">
        <f t="shared" si="667"/>
        <v>QFD17|кабель ВВГнг(А)-LS (3х2,5) → Розеточная группа, пом. 019А</v>
      </c>
      <c r="IN300" t="str" cm="1">
        <f t="array" ref="IN300">IF(IM300="","",_xlfn.LET(_xlpm.nd,_xlfn.TEXTSPLIT(IM300,"|"),IF(COLUMNS(_xlpm.nd)&gt;1,A300&amp;"¦"&amp;INDEX(_xlpm.nd,1)&amp;"¦"&amp;INDEX(_xlpm.nd,2),"")))</f>
        <v>ЩР-2¦QFD17¦кабель ВВГнг(А)-LS (3х2,5) → Розеточная группа, пом. 019А</v>
      </c>
      <c r="IO300" t="str">
        <f t="shared" si="668"/>
        <v>R.2.019А.2¦Розеточная группа, пом. 019А</v>
      </c>
      <c r="IP300" t="str" cm="1">
        <f t="array" ref="IP300">IF(IM300="","",_xlfn.LET(_xlpm.nd,_xlfn.TEXTSPLIT(IM300,"|"),IF(COLUMNS(_xlpm.nd)&gt;2,A300&amp;"¦"&amp;INDEX(_xlpm.nd,2)&amp;"¦"&amp;INDEX(_xlpm.nd,3),"")))</f>
        <v/>
      </c>
      <c r="IQ300" t="str">
        <f t="shared" si="669"/>
        <v/>
      </c>
      <c r="IR300" t="str" cm="1">
        <f t="array" ref="IR300">IF(IM300="","",_xlfn.LET(_xlpm.nd,_xlfn.TEXTSPLIT(IM300,"|"),IF(COLUMNS(_xlpm.nd)&gt;3,A300&amp;"¦"&amp;INDEX(_xlpm.nd,3)&amp;"¦"&amp;INDEX(_xlpm.nd,4),"")))</f>
        <v/>
      </c>
      <c r="IS300" t="str">
        <f t="shared" si="670"/>
        <v/>
      </c>
      <c r="IT300" t="str" cm="1">
        <f t="array" ref="IT300">IF(IM300="","",_xlfn.LET(_xlpm.nd,_xlfn.TEXTSPLIT(IM300,"|"),IF(COLUMNS(_xlpm.nd)&gt;4,A300&amp;"¦"&amp;INDEX(_xlpm.nd,4)&amp;"¦"&amp;INDEX(_xlpm.nd,5),"")))</f>
        <v/>
      </c>
      <c r="IU300" t="str">
        <f t="shared" si="671"/>
        <v/>
      </c>
      <c r="IV300" t="str" cm="1">
        <f t="array" ref="IV300">IF(IM300="","",_xlfn.LET(_xlpm.nd,_xlfn.TEXTSPLIT(IM300,"|"),IF(COLUMNS(_xlpm.nd)&gt;5,A300&amp;"¦"&amp;INDEX(_xlpm.nd,5)&amp;"¦"&amp;INDEX(_xlpm.nd,6),"")))</f>
        <v/>
      </c>
      <c r="IW300" t="str">
        <f t="shared" si="672"/>
        <v/>
      </c>
      <c r="IX300" t="str" cm="1">
        <f t="array" ref="IX300">IF(IM300="","",_xlfn.LET(_xlpm.nd,_xlfn.TEXTSPLIT(IM300,"|"),IF(COLUMNS(_xlpm.nd)&gt;6,A300&amp;"¦"&amp;INDEX(_xlpm.nd,6)&amp;"¦"&amp;INDEX(_xlpm.nd,7),"")))</f>
        <v/>
      </c>
      <c r="IY300" t="str">
        <f t="shared" si="673"/>
        <v/>
      </c>
      <c r="IZ300" t="str">
        <f t="shared" si="674"/>
        <v/>
      </c>
      <c r="JA300" t="str">
        <f t="shared" si="675"/>
        <v>QFD17</v>
      </c>
      <c r="JB300">
        <f t="shared" si="676"/>
        <v>0</v>
      </c>
      <c r="JC300">
        <f t="shared" si="677"/>
        <v>1</v>
      </c>
      <c r="JD300" t="str">
        <f t="shared" si="678"/>
        <v/>
      </c>
      <c r="JE300" t="str">
        <f t="shared" si="679"/>
        <v/>
      </c>
      <c r="JF300" t="str">
        <f t="shared" si="680"/>
        <v/>
      </c>
      <c r="JG300" t="str">
        <f t="shared" si="681"/>
        <v/>
      </c>
      <c r="JH300" t="str">
        <f>IF(B300="","",IFERROR(_xlfn.XLOOKUP(B300,Коды_код,Коды_уго),IFERROR(_xlfn.XLOOKUP(BC300,Коды_код,Коды_уго),IFERROR(_xlfn.XLOOKUP(LEFT(BC300,2),Коды_код,Коды_уго),""))))</f>
        <v>Розетка</v>
      </c>
      <c r="JI300" t="str">
        <f>IF(B300="","",IF(OR(JH300="",JH300=0),"BOX",IFERROR(IF(VLOOKUP(JH300,УГО_блоки,3,FALSE)&amp;""&lt;&gt;"",VLOOKUP(JH300,УГО_блоки,3,FALSE),VLOOKUP(JH300,УГО_блоки,2,FALSE)),JH300)))</f>
        <v>SOCKET</v>
      </c>
      <c r="JJ300">
        <f t="shared" si="682"/>
        <v>1</v>
      </c>
      <c r="JK300" t="str">
        <f>IF(DQ300="","",IF(COUNTIF(DQ$3:DQ300,DQ300)=1,MAX(JK$2:JK299)+1,""))</f>
        <v/>
      </c>
      <c r="JL300" t="str">
        <f>IF(DE300="","",IF(COUNTIF(DE$3:DE300,DE300)+COUNTIF(DF$2:DF299,DE300)+COUNTIF(DG$2:DG299,DE300)=1,MAX(JL$2:JN299)+1,""))</f>
        <v/>
      </c>
      <c r="JM300" t="str">
        <f>IF(DF300="","",IF(COUNTIF(DE$3:DE300,DF300)+COUNTIF(DF$3:DF300,DF300)+COUNTIF(DG$2:DG299,DF300)=1,MAX(JL$2:JN299,JL300)+1,""))</f>
        <v/>
      </c>
      <c r="JN300" t="str">
        <f>IF(DG300="","",IF(COUNTIF(DE$3:DE300,DG300)+COUNTIF(DF$3:DF300,DG300)+COUNTIF(DG$3:DG300,DG300)=1,MAX(JL$2:JN299,JL300,JM300)+1,""))</f>
        <v/>
      </c>
      <c r="JO300" t="str">
        <f t="shared" si="683"/>
        <v>3х2,5</v>
      </c>
      <c r="JP300" t="str">
        <f>IF(JO300="","",IF(COUNTIF(JO$3:JO300,JO300)=1,MAX(JP$2:JP299)+1,""))</f>
        <v/>
      </c>
      <c r="JQ300" t="str">
        <f>IF(HG300="","",COUNTIF(HG$3:HG300,"?*"))</f>
        <v/>
      </c>
      <c r="JR300" t="str">
        <f>IF(OR(HG300="",HI300=""),"",IF(COUNTIFS(HG$3:HG300,"?*",HI$3:HI300,HI300)=1,MAX(JR$2:JR299)+1,""))</f>
        <v/>
      </c>
      <c r="JS300">
        <f t="shared" si="684"/>
        <v>0</v>
      </c>
      <c r="JT300">
        <f>IF(B300="","",COUNTIF(B$3:B300,"?*"))</f>
        <v>298</v>
      </c>
      <c r="JU300">
        <f>IF(HL300&lt;&gt;1,0,_xlfn.LET(_xlpm.k,MAX(IFERROR(--_xlfn.XLOOKUP(B300,Коды_код,Коды_3L),0),IFERROR(--_xlfn.XLOOKUP(BC300,Коды_код,Коды_3L),0),IFERROR(--_xlfn.XLOOKUP(LEFT(BC300,2),Коды_код,Коды_3L),0)),IF(_xlpm.k&gt;0,_xlpm.k,IF(IFERROR(--LEFT(SUBSTITUTE(JO300,"x","х"),FIND("х",SUBSTITUTE(JO300,"x","х"))-1),3)&gt;3,Каталог!$S$9,1))))</f>
        <v>1</v>
      </c>
      <c r="JV300">
        <f t="shared" si="685"/>
        <v>0</v>
      </c>
      <c r="JW300" t="str">
        <f t="shared" si="686"/>
        <v>авто</v>
      </c>
      <c r="JX300">
        <f t="shared" si="687"/>
        <v>30</v>
      </c>
      <c r="JY300">
        <f t="shared" si="688"/>
        <v>1</v>
      </c>
      <c r="JZ300">
        <f t="shared" si="689"/>
        <v>1</v>
      </c>
    </row>
    <row r="301" spans="1:286" x14ac:dyDescent="0.3">
      <c r="A301" t="s">
        <v>759</v>
      </c>
      <c r="B301" t="s">
        <v>1606</v>
      </c>
      <c r="C301" t="str">
        <f>Линии[[#This Row],[_авто наименование]]</f>
        <v>Розеточная группа, пом. 020А</v>
      </c>
      <c r="D301">
        <v>3</v>
      </c>
      <c r="E301">
        <v>0.18</v>
      </c>
      <c r="G301">
        <v>16</v>
      </c>
      <c r="H301" t="str">
        <f>Линии[[#This Row],[_авто управление]]</f>
        <v/>
      </c>
      <c r="I301" t="str">
        <f>Линии[[#This Row],[_авто аппараты]]</f>
        <v/>
      </c>
      <c r="J301">
        <v>2.5</v>
      </c>
      <c r="K301">
        <v>48</v>
      </c>
      <c r="L301">
        <v>3</v>
      </c>
      <c r="M301" t="s">
        <v>484</v>
      </c>
      <c r="N301" t="str">
        <f t="shared" si="552"/>
        <v/>
      </c>
      <c r="O301" s="6" cm="1">
        <f t="array" ref="O301">IF(B301="","",IF(BH301&lt;&gt;"",IFERROR(_xlfn.XLOOKUP(BH301,Щиты[Щит],Щиты[Iр, А]),""),IF(BP301=1,IF(OR(N(_xlfn.XLOOKUP(A301,Щиты[Щит],Щиты[Вводов],1))&lt;=1,LOWER(TRIM(_xlfn.XLOOKUP(A301,Щиты[Щит],Щиты[АВР],"")&amp;""))="да"),IFERROR(_xlfn.XLOOKUP(A301,Щиты[Щит],Щиты[Iр, А]),""),IFERROR(N(BS301)*_xlfn.XLOOKUP(A301,Щиты[Щит],Щиты[Кс итог])/(SQRT(3)*Uн_лин*_xlfn.XLOOKUP(A301,Щиты[Щит],Щиты[cos φ])),"")),IF(BV301=1,IFERROR(BS301*1000/BU301,""),IFERROR(_xlfn.IFS(BX301=1,BS301/((Uн_лин/SQRT(3))*CE301),BX301=3,BS301/(SQRT(3)*Uн_лин*CE301)),"")))))</f>
        <v>0.8204451193747313</v>
      </c>
      <c r="P301" s="7">
        <f>IF(B301="","",IFERROR(IF(VLOOKUP(BC301,Потребители_обозначение,4,FALSE)=1,VLOOKUP(BC301,Потребители_обозначение,3,FALSE)*(MAX(1,N(D301))*2-1)+EI301+VLOOKUP(BE301,Этаж_обозначение,3,FALSE)+VLOOKUP(BE301,Этаж_обозначение,4,FALSE),VLOOKUP(BC301,Потребители_обозначение,3,FALSE)*(MAX(1,N(D301))*2-1)+EI301),EI301))</f>
        <v>63</v>
      </c>
      <c r="Q301" s="6">
        <f t="shared" si="553"/>
        <v>2.1800000000000002</v>
      </c>
      <c r="R301" t="str">
        <f t="shared" si="554"/>
        <v>ВВГнг(А)-LS (3х2,5)</v>
      </c>
      <c r="S301" t="str">
        <f>IF(BM301="","",IF(BN301="вводной узел","узел ","")&amp;"л."&amp;(INT((BM301-1)/Столбцов_на_лист)+1)&amp;" / "&amp;(MOD(BM301-1,Столбцов_на_лист)+1))</f>
        <v>л.2 / 11</v>
      </c>
      <c r="T301" s="119">
        <f t="shared" si="555"/>
        <v>1</v>
      </c>
      <c r="U301" s="7" t="str">
        <f>IF(OR(CG301=0,N(BV301)+N(IB301)=0),"",ROUNDUP(Запас_БП*(N(HY301)+N(HZ301)),0))</f>
        <v/>
      </c>
      <c r="V301" s="119" t="str">
        <f t="shared" si="556"/>
        <v/>
      </c>
      <c r="W301" s="7" t="str">
        <f>IFERROR(IF(OR(B301="",BP301=1,BV301=1,NOT(ISNUMBER(EN301)),N(DT301)=0),"",MAX(0,ROUNDDOWN((c_min*(Uн_лин*1000/SQRT(3))/(HT301*N(DT301))-_xlfn.XLOOKUP(A301,Щиты[Щит],Щиты[Zпетли на шинах, Ом]))*EN301/(2*ρкз_Cu),0))),"")</f>
        <v/>
      </c>
      <c r="Y301">
        <f>Линии[[#This Row],[_авто утечка]]</f>
        <v>30</v>
      </c>
      <c r="Z301">
        <v>1</v>
      </c>
      <c r="AA301">
        <v>230</v>
      </c>
      <c r="AB301" t="s">
        <v>562</v>
      </c>
      <c r="AG301" t="s">
        <v>810</v>
      </c>
      <c r="AI301" t="s">
        <v>561</v>
      </c>
      <c r="AK301" t="str">
        <f>Линии[[#This Row],[_авто модуль]]</f>
        <v/>
      </c>
      <c r="AM301">
        <v>28</v>
      </c>
      <c r="AN301" t="s">
        <v>11</v>
      </c>
      <c r="AO301">
        <v>3</v>
      </c>
      <c r="AQ301">
        <v>12</v>
      </c>
      <c r="AR301">
        <v>45</v>
      </c>
      <c r="AT301">
        <v>2</v>
      </c>
      <c r="BA301" cm="1">
        <f t="array" ref="BA301">ROW()-ROW(Линии[#Headers])</f>
        <v>299</v>
      </c>
      <c r="BC301" s="6" t="str">
        <f t="shared" si="557"/>
        <v>R</v>
      </c>
      <c r="BD301" t="str">
        <f t="shared" si="558"/>
        <v>2.020А.1</v>
      </c>
      <c r="BE301" t="str">
        <f t="shared" si="559"/>
        <v>2</v>
      </c>
      <c r="BF301" t="str">
        <f t="shared" si="560"/>
        <v>020А.1</v>
      </c>
      <c r="BG301" t="str">
        <f t="shared" si="561"/>
        <v>020А</v>
      </c>
      <c r="BH301" t="str">
        <f>IF(X301&lt;&gt;"",X301,IF(AND(B301&lt;&gt;"",B301&lt;&gt;A301,ISNUMBER(_xlfn.XMATCH(B301,Щиты[Щит]))),B301,""))</f>
        <v/>
      </c>
      <c r="BI301" t="str" cm="1">
        <f t="array" ref="BI301">IF(B301="","",IF(BH301&lt;&gt;"","Щит "&amp;BH301,_xlfn.LET(_xlpm.nm,IFERROR(_xlfn.XLOOKUP(BC301,Коды_код,Коды_имя)&amp;"",""),_xlpm.md,IFERROR(N(_xlfn.XLOOKUP(BC301,Коды_код,Коды_режим)),1),_xlpm.ex,IF(Имя_режим="по экспликации",IFERROR(_xlfn.XLOOKUP(BE301&amp;"|"&amp;BG301,Экспликация[Этаж]&amp;"|"&amp;Экспликация[Помещение],Экспликация[Название])&amp;"",""),""),_xlpm.rm,IF(BG301="","",IF(_xlpm.ex&lt;&gt;"",". "&amp;_xlpm.ex&amp;IF(Имя_пом="нет"," ("&amp;BG301&amp;")"," (пом. "&amp;BG301&amp;")"),IF(Имя_пом="нет"," ",", пом. ")&amp;BG301)),IF(_xlpm.nm="","",IF(_xlpm.md=2,_xlpm.nm&amp;" шлейф "&amp;BE301,_xlpm.nm&amp;_xlpm.rm)))))</f>
        <v>Розеточная группа, пом. 020А</v>
      </c>
      <c r="BJ301" t="str">
        <f t="shared" si="562"/>
        <v>Розеточная группа, пом. 020А</v>
      </c>
      <c r="BK301">
        <f>IFERROR(_xlfn.XMATCH(A301,Щиты[Щит]),0)</f>
        <v>11</v>
      </c>
      <c r="BL301">
        <f>_xlfn.LET(_xlpm.k,IFERROR(_xlfn.XLOOKUP(A301,Щиты[Щит],Щиты[Мест под вводной узел]),""),IF(_xlpm.k="",Столбцов_на_лист,N(_xlpm.k)))</f>
        <v>8</v>
      </c>
      <c r="BM301">
        <f t="shared" si="563"/>
        <v>28</v>
      </c>
      <c r="BN301" t="str">
        <f t="shared" si="564"/>
        <v>линии</v>
      </c>
      <c r="BO301" s="6">
        <f>IFERROR(N(_xlfn.XLOOKUP(BC301,Коды_код,Коды_квт)),0)</f>
        <v>0</v>
      </c>
      <c r="BP301">
        <f t="shared" si="565"/>
        <v>0</v>
      </c>
      <c r="BQ301" t="str">
        <f>IF(B301="","",IF(BH301&lt;&gt;"",IFERROR(_xlfn.XLOOKUP(BH301,Щиты[Щит],Щиты[Руст, кВт]),0),IF(BP301=1,IF(OR(N(_xlfn.XLOOKUP(A301,Щиты[Щит],Щиты[Вводов],1))&lt;=1,LOWER(TRIM(_xlfn.XLOOKUP(A301,Щиты[Щит],Щиты[АВР],"")&amp;""))="да"),IFERROR(_xlfn.XLOOKUP(A301,Щиты[Щит],Щиты[Руст, кВт]),0),SUMIFS(Линии[_Р для вводов],Линии[Щит],A301,Линии[Источник для режимов],GF301)),IF(BO301&gt;0,ROUND(BO301*MAX(1,N(D301)),3),""))))</f>
        <v/>
      </c>
      <c r="BR301">
        <f t="shared" si="566"/>
        <v>0.18</v>
      </c>
      <c r="BS301" s="6">
        <f>IF(B301="","",IF(BH301&lt;&gt;"",IFERROR(_xlfn.XLOOKUP(BH301,Щиты[Щит],Щиты[Руст, кВт]),0),N(BR301)))</f>
        <v>0.18</v>
      </c>
      <c r="BT301" t="str">
        <f>IF(B301="","",IFERROR(IF(VLOOKUP(BC301,Потребители_обозначение,8,FALSE)=0,"",VLOOKUP(BC301,Потребители_обозначение,8,FALSE)),""))</f>
        <v/>
      </c>
      <c r="BU301">
        <f t="shared" si="567"/>
        <v>230</v>
      </c>
      <c r="BV301">
        <f t="shared" si="568"/>
        <v>0</v>
      </c>
      <c r="BW301">
        <f>IF(B301="","",IF(BH301&lt;&gt;"",3,IFERROR(IF(N(VLOOKUP(BC301,Потребители_обозначение,9,FALSE))=0,1,VLOOKUP(BC301,Потребители_обозначение,9,FALSE)),1)))</f>
        <v>1</v>
      </c>
      <c r="BX301">
        <f t="shared" si="569"/>
        <v>1</v>
      </c>
      <c r="BY301" t="str">
        <f>IF(B301="","",_xlfn.LET(_xlpm.bc,IFERROR(IF(VLOOKUP(BC301,Потребители_обозначение,6,FALSE)=0,"",VLOOKUP(BC301,Потребители_обозначение,6,FALSE)&amp;""),""),IF(AND(GA301="да",OR(_xlpm.bc="",_xlpm.bc="мс")),Марка_пож,IF(AND(_xlpm.bc="",BH301&lt;&gt;""),"мс",_xlpm.bc))))</f>
        <v/>
      </c>
      <c r="BZ301" t="str">
        <f t="shared" si="570"/>
        <v>мс</v>
      </c>
      <c r="CA301">
        <f>IF(B301="","",_xlfn.LET(_xlpm.cc,IFERROR(N(VLOOKUP(BC301,Потребители_обозначение,7,FALSE)),0),IF(_xlpm.cc&gt;0,_xlpm.cc,IF(BZ301="","",IF(BV301=1,2,IF(N(BX301)=3,5,3))))))</f>
        <v>3</v>
      </c>
      <c r="CB301">
        <f t="shared" si="571"/>
        <v>3</v>
      </c>
      <c r="CC301">
        <f>IFERROR(N(VLOOKUP(BC301,Потребители_обозначение,10,FALSE)),0)</f>
        <v>0</v>
      </c>
      <c r="CD301">
        <f>IFERROR(VLOOKUP(BC301,Потребители_обозначение,5,FALSE),0)</f>
        <v>1</v>
      </c>
      <c r="CE301" s="6" cm="1">
        <f t="array" ref="CE301">IF(B301="","",IF(BH301&lt;&gt;"",IFERROR(_xlfn.XLOOKUP(BH301,Щиты[Щит],Щиты[cos φ]),0.95),IF(BP301=1,IFERROR(_xlfn.XLOOKUP(A301,Щиты[Щит],Щиты[cos φ]),0.95),IF(ISNUMBER(AD301),AD301,IFERROR(IF(CD301=2,_xlfn.IFS(BX301=3,VLOOKUP(BS301,Справочная_двигатели,8,FALSE),BX301=1,VLOOKUP(BS301,Справочная_двигатели,10,TRUE)),IF(AND(Методика="нормы 2026",FG301="Сил"),0.8,0.95)),0.95)))))</f>
        <v>0.95</v>
      </c>
      <c r="CF301">
        <f t="shared" si="572"/>
        <v>0</v>
      </c>
      <c r="CG301">
        <f t="shared" si="573"/>
        <v>1</v>
      </c>
      <c r="CH301">
        <f t="shared" si="574"/>
        <v>0</v>
      </c>
      <c r="CI301">
        <f>IF(B301="","",IF(BV301=1,IFERROR(BS301/((Uн_лин/SQRT(3))*MAX(0.5,N(CE301))),0),N(O301)))</f>
        <v>0.8204451193747313</v>
      </c>
      <c r="CJ301">
        <f t="shared" si="575"/>
        <v>0</v>
      </c>
      <c r="CK301">
        <f t="shared" si="576"/>
        <v>0</v>
      </c>
      <c r="CL301">
        <f t="shared" si="577"/>
        <v>0</v>
      </c>
      <c r="CM301">
        <f t="shared" si="578"/>
        <v>0</v>
      </c>
      <c r="CN301">
        <f t="shared" si="579"/>
        <v>0</v>
      </c>
      <c r="CO301">
        <f>IF(BC301="",0,_xlfn.LET(_xlpm.v,IFERROR(_xlfn.XLOOKUP(B301,Коды_код,Коды_мА),IFERROR(_xlfn.XLOOKUP(BC301,Коды_код,Коды_мА),IFERROR(_xlfn.XLOOKUP(LEFT(BC301,2),Коды_код,Коды_мА),""))),IF(_xlpm.v="да",30,IF(ISNUMBER(_xlpm.v),_xlpm.v,0))))</f>
        <v>30</v>
      </c>
      <c r="CP301">
        <f t="shared" si="580"/>
        <v>30</v>
      </c>
      <c r="CQ301" t="str">
        <f>_xlfn.LET(_xlpm.k,IFERROR(_xlfn.XLOOKUP(BC301,Коды_код,Коды_утечка)&amp;"",""),IF(_xlpm.k="","дифавтомат",_xlpm.k))</f>
        <v>дифавтомат</v>
      </c>
      <c r="CR301" t="str" cm="1">
        <f t="array" ref="CR301">IF(CG301=0,"",_xlfn.LET(_xlpm.sg,TRIM(_xlfn.TEXTSPLIT(DD301&amp;"",";")),_xlpm.f_,_xlfn._xlws.FILTER(_xlpm.sg,LEFT(_xlpm.sg,3)="УЗО",""),IFERROR(INDEX(_xlpm.f_,1)&amp;"","")))</f>
        <v/>
      </c>
      <c r="CS301" t="str">
        <f t="shared" si="581"/>
        <v/>
      </c>
      <c r="CT301" s="6" t="str" cm="1">
        <f t="array" ref="CT301">IF(CR301="","",_xlfn.LET(_xlpm.tk,_xlfn.TEXTSPLIT(UPPER(CR301)," ",,TRUE),_xlpm.a_,_xlfn._xlws.FILTER(_xlpm.tk,ISNUMBER(--LEFT(_xlpm.tk,1))*((ISNUMBER(SEARCH("А",_xlpm.tk))+ISNUMBER(SEARCH("A",_xlpm.tk)))&gt;0)*NOT(ISNUMBER(SEARCH("МА",_xlpm.tk)))*NOT(ISNUMBER(SEARCH("MA",_xlpm.tk))),""),IFERROR(--SUBSTITUTE(SUBSTITUTE(INDEX(_xlpm.a_,1),"А",""),"A",""),"")))</f>
        <v/>
      </c>
      <c r="CU301" t="str" cm="1">
        <f t="array" ref="CU301">IF(CR301="","",_xlfn.LET(_xlpm.tk,_xlfn.TEXTSPLIT(UPPER(CR301)," ",,TRUE),_xlpm.a_,_xlfn._xlws.FILTER(_xlpm.tk,ISNUMBER(--LEFT(_xlpm.tk,1))*((ISNUMBER(SEARCH("МА",_xlpm.tk))+ISNUMBER(SEARCH("MA",_xlpm.tk)))&gt;0),""),IFERROR(--SUBSTITUTE(SUBSTITUTE(INDEX(_xlpm.a_,1),"МА",""),"MA",""),30)))</f>
        <v/>
      </c>
      <c r="CV301" t="str">
        <f>IF(CS301="","",IFERROR(_xlfn.XLOOKUP(CS301,Линии[_n],Линии[_УЗО, мА]),30))</f>
        <v/>
      </c>
      <c r="CW301">
        <f>IF(CS301="",0,IF(ISNUMBER(SEARCH("4P",IFERROR(_xlfn.XLOOKUP(CS301,Линии[_n],Линии[_УЗО строки])&amp;"",""))),0,1))</f>
        <v>0</v>
      </c>
      <c r="CX301" t="str">
        <f>IF(AND(CS301&lt;&gt;"",CS301=BA301),SUMIFS(Линии[_ток на 230 В],Линии[_блок УЗО],BA301,Линии[Щит],A301),"")</f>
        <v/>
      </c>
      <c r="CY301" t="str">
        <f>IF(AND(CS301&lt;&gt;"",CS301=BA301),SUMIFS(Линии[_ток утечки линии, мА],Линии[_блок УЗО],BA301,Линии[Щит],A301),"")</f>
        <v/>
      </c>
      <c r="CZ301">
        <f t="shared" si="582"/>
        <v>30</v>
      </c>
      <c r="DA301">
        <f t="shared" si="583"/>
        <v>30</v>
      </c>
      <c r="DB301">
        <f>IF(B301="",0,IFERROR(--_xlfn.XLOOKUP(B301,Коды_код,Коды_минавт),IFERROR(--_xlfn.XLOOKUP(BC301,Коды_код,Коды_минавт),IFERROR(--_xlfn.XLOOKUP(LEFT(BC301,2),Коды_код,Коды_минавт),0))))</f>
        <v>16</v>
      </c>
      <c r="DC301" t="str">
        <f>IF(B301="","",IFERROR(_xlfn.XLOOKUP(BC301,Коды_код,Коды_апп)&amp;"",""))</f>
        <v/>
      </c>
      <c r="DD301" t="str">
        <f t="shared" si="584"/>
        <v/>
      </c>
      <c r="DE301" t="str" cm="1">
        <f t="array" ref="DE301">IF(TRIM(DD301&amp;"")="","",IFERROR(TRIM(INDEX(_xlfn.TEXTSPLIT(DD301&amp;";;;",";"),1)),""))</f>
        <v/>
      </c>
      <c r="DF301" t="str" cm="1">
        <f t="array" ref="DF301">IF(TRIM(DD301&amp;"")="","",IFERROR(TRIM(INDEX(_xlfn.TEXTSPLIT(DD301&amp;";;;",";"),2)),""))</f>
        <v/>
      </c>
      <c r="DG301" t="str" cm="1">
        <f t="array" ref="DG301">IF(TRIM(DD301&amp;"")="","",IFERROR(TRIM(INDEX(_xlfn.TEXTSPLIT(DD301&amp;";;;",";"),3)),""))</f>
        <v/>
      </c>
      <c r="DH301">
        <f t="shared" si="585"/>
        <v>0</v>
      </c>
      <c r="DI301" t="str">
        <f>IF(B301="","",_xlfn.LET(_xlpm.t,LOWER(AZ301&amp;""),IF(ISNUMBER(SEARCH("dim",_xlpm.t)),"DIM",IF(ISNUMBER(SEARCH("dali",_xlpm.t)),"DALI",IF(OR(ISNUMBER(SEARCH("relay",_xlpm.t)),ISNUMBER(SEARCH("реле",_xlpm.t))),"Relay",IF(ISNUMBER(SEARCH("кнопк",_xlpm.t)),"",IFERROR(_xlfn.XLOOKUP(BC301,Коды_код,Коды_упр)&amp;"","")))))))</f>
        <v/>
      </c>
      <c r="DJ301" t="str">
        <f t="shared" si="586"/>
        <v/>
      </c>
      <c r="DK301">
        <f>IF(B301="","",_xlfn.LET(_xlpm.ig,IF(N(CX301)&gt;0,N(CX301),N(CI301)+IF(AJ301="вручную",0,N(CJ301))),_xlpm.n0,IFERROR(VLOOKUP(_xlpm.ig,Автомат_номиналы,2,TRUE),0),_xlpm.mn,MAX(DB301,IF(AJ301="вручную",0,N(CM301))),MAX(_xlpm.n0,_xlpm.mn,IF(DH301=1,Мин_автомат_БП,0))))</f>
        <v>16</v>
      </c>
      <c r="DL301">
        <f t="shared" si="587"/>
        <v>1</v>
      </c>
      <c r="DM301" t="str">
        <f t="shared" si="588"/>
        <v>2P</v>
      </c>
      <c r="DN301" t="str">
        <f>_xlfn.LET(_xlpm.cc,UPPER(TRIM(IFERROR(_xlfn.XLOOKUP(BC301,Коды_код,Коды_хар)&amp;"",""))),IF(OR(_xlpm.cc="B",_xlpm.cc="В"),"B",IF(_xlpm.cc="D","D","С")))</f>
        <v>С</v>
      </c>
      <c r="DO301" t="str">
        <f t="shared" si="589"/>
        <v>2P С16А 30мА</v>
      </c>
      <c r="DP301">
        <f t="shared" si="590"/>
        <v>16</v>
      </c>
      <c r="DQ301" t="str">
        <f t="shared" si="591"/>
        <v>2P С16А 30мА</v>
      </c>
      <c r="DR301" cm="1">
        <f t="array" ref="DR301">IF(DQ301="","",_xlfn.LET(_xlpm.t,SUBSTITUTE(SUBSTITUTE(SUBSTITUTE(UPPER(DQ301),"С","C"),"А","A"),"В","B"),_xlpm.tk,_xlfn.TEXTSPLIT(_xlpm.t," "),_xlpm.f,_xlfn._xlws.FILTER(_xlpm.tk,ISNUMBER(--MID(_xlpm.tk,2,1))*ISNUMBER(SEARCH(LEFT(_xlpm.tk,1)&amp;"#","B#C#D#"))*(LEN(_xlpm.tk)&gt;1),""),_xlpm.x,INDEX(_xlpm.f,1),IFERROR(--SUBSTITUTE(MID(_xlpm.x,2,9),"A",""),IFERROR(--SUBSTITUTE(INDEX(_xlfn._xlws.FILTER(_xlpm.tk,ISNUMBER(--SUBSTITUTE(_xlpm.tk,"A","")),""),1),"A",""),""))))</f>
        <v>16</v>
      </c>
      <c r="DS301" t="str">
        <f t="shared" si="592"/>
        <v>ok</v>
      </c>
      <c r="DT301">
        <f t="shared" si="593"/>
        <v>16</v>
      </c>
      <c r="DU301" t="str">
        <f t="shared" si="594"/>
        <v>2P С16А 30мА</v>
      </c>
      <c r="DV301">
        <f t="shared" si="595"/>
        <v>30</v>
      </c>
      <c r="DW301">
        <f t="shared" si="596"/>
        <v>1</v>
      </c>
      <c r="DX301">
        <f t="shared" si="597"/>
        <v>0</v>
      </c>
      <c r="DY301">
        <f t="shared" si="598"/>
        <v>0.8204451193747313</v>
      </c>
      <c r="DZ301">
        <f t="shared" si="599"/>
        <v>1</v>
      </c>
      <c r="EA301">
        <f>IF(ISNUMBER(AP301),AP301,К_прокл)</f>
        <v>1</v>
      </c>
      <c r="EB301">
        <f t="shared" si="600"/>
        <v>2</v>
      </c>
      <c r="EC301">
        <f>IFERROR(N(VLOOKUP(BZ301,Кабель_обозначение,3,FALSE)),1)</f>
        <v>1</v>
      </c>
      <c r="ED301">
        <f>IFERROR(N(_xlfn.XLOOKUP(A301,Щиты[Щит],Щиты[ΔU до шин, %])),0)</f>
        <v>1.79</v>
      </c>
      <c r="EE301" t="str">
        <f>IFERROR(_xlfn.XLOOKUP(A301,Щиты[Щит],Щиты[Zпетли на шинах, Ом]),"")</f>
        <v/>
      </c>
      <c r="EF301">
        <f>IFERROR(N(_xlfn.XLOOKUP(A301,Щиты[Щит],Щиты[ΔU до шин (подбор), %])),0)</f>
        <v>4.75</v>
      </c>
      <c r="EG301" t="str">
        <f>IFERROR(_xlfn.XLOOKUP(A301,Щиты[Щит],Щиты[Zпетли на шинах (подбор), Ом]),"")</f>
        <v/>
      </c>
      <c r="EH301" t="str">
        <f t="shared" si="601"/>
        <v/>
      </c>
      <c r="EI301">
        <f t="shared" si="602"/>
        <v>48</v>
      </c>
      <c r="EJ301">
        <f t="shared" si="603"/>
        <v>2</v>
      </c>
      <c r="EK301">
        <f t="shared" si="604"/>
        <v>0.31</v>
      </c>
      <c r="EL301" s="6">
        <f>IF(B301="","",IF(BV301=1,dU_LED,IF(IFERROR(_xlfn.XLOOKUP(BC301,Коды_код,Коды_уго),"")="Светильник",3,4)+IF(Методика="нормы 2026",MIN(0.5,MAX(0,N(P301)-100)*0.005),0)))</f>
        <v>4</v>
      </c>
      <c r="EM301" t="str" cm="1">
        <f t="array" ref="EM301">IF(OR(B301="",BZ301="",EC301&lt;&gt;1),"",_xlfn.LET(_xlpm.sz,Iдоп_S,_xlpm.t_,CHOOSE(EB301,Iдоп_1ж,Iдоп_2ж,Iдоп_3ж)*DZ301*EA301,_xlpm.dcx,BV301=1,_xlpm.inn,IF(_xlpm.dcx,N(O301),N(DT301)),_xlpm.smin,MAX(1.5,CC301),_xlpm.L_,N(P301)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301)/N(BU301)*100,999),IFERROR(N(EJ301)*(_xlpm.rho*_xlpm.L_/_xlpm.sz*N(CE301)+_xlpm.xx*_xlpm.L_*N(EK301)/1000)*N(O301)/((Uн_лин/SQRT(3))*1000)*100,999)),_xlpm.kz,IF(OR(_xlpm.dcx,DW301=1,NOT(ISNUMBER(EG301)),_xlpm.L_=0,_xlpm.inn=0),1,IFERROR(--(c_min*(Uн_лин*1000/SQRT(3))/(EG301+2*ρкз_Cu*_xlpm.L_/_xlpm.sz)&gt;=HT301*_xlpm.inn),0)),_xlpm.ok,IFERROR((_xlpm.sz&gt;=_xlpm.smin)*(_xlpm.t_&gt;=_xlpm.inn)*IF(_xlpm.L_&gt;0,(_xlpm.du_+IF(_xlpm.dcx,0,EF301)&lt;=EL301+0.00001),1)*_xlpm.kz,0),_xlpm.r_,_xlfn._xlws.FILTER(_xlpm.sz,_xlpm.ok,"не подобрано"),INDEX(_xlpm.r_,1)))</f>
        <v>не подобрано</v>
      </c>
      <c r="EN301">
        <f t="shared" si="605"/>
        <v>2.5</v>
      </c>
      <c r="EO301" cm="1">
        <f t="array" ref="EO301">IF(OR(B301="",BZ301="",EC301&lt;&gt;1),"",_xlfn.LET(_xlpm.sz,Iдоп_S,_xlpm.t_,CHOOSE(EB301,Iдоп_1ж,Iдоп_2ж,Iдоп_3ж)*DZ301*EA301,_xlpm.ok,IFERROR((_xlpm.sz&gt;=MAX(1.5,CC301))*(_xlpm.t_&gt;=N(DT301)),0),_xlpm.r_,_xlfn._xlws.FILTER(_xlpm.sz,_xlpm.ok,""),INDEX(_xlpm.r_,1)))</f>
        <v>1.5</v>
      </c>
      <c r="EP301" s="6" cm="1">
        <f t="array" ref="EP301">IFERROR(ROUNDUP(N(EJ301)*(_xlfn.XLOOKUP(EO301,INDEX(Кабель_сопротивление,0,1),INDEX(Кабель_сопротивление,0,3))*N(P301)/EO301*N(CE301)+_xlfn.XLOOKUP(EO301,INDEX(Кабель_сопротивление,0,1),INDEX(Кабель_сопротивление,0,2))*N(P301)*N(EK301)/1000)*N(O301)/((Uн_лин/SQRT(3))*1000)*100,2),"")</f>
        <v>0.64</v>
      </c>
      <c r="EQ301">
        <f>IFERROR(2*ρкз_Cu*N(P301)/EO301,"")</f>
        <v>2.2092000000000001</v>
      </c>
      <c r="ER301">
        <f>IFERROR(VLOOKUP(EN301,Кабель_сопротивление,3,FALSE),"")</f>
        <v>2.2499999999999999E-2</v>
      </c>
      <c r="ES301">
        <f>IFERROR(VLOOKUP(EN301,Кабель_сопротивление,2,FALSE),"")</f>
        <v>0.1</v>
      </c>
      <c r="ET301">
        <f t="shared" si="606"/>
        <v>45</v>
      </c>
      <c r="EU301">
        <f t="shared" si="607"/>
        <v>59</v>
      </c>
      <c r="EV301">
        <f t="shared" si="608"/>
        <v>0.88707018573867569</v>
      </c>
      <c r="EW301" s="6">
        <f>IFERROR(ROUNDUP(EV301/IF(BV301=1,BU301,(Uн_лин/SQRT(3))*1000)*100,2),"")</f>
        <v>0.39</v>
      </c>
      <c r="EX301" t="str">
        <f>IFERROR(VLOOKUP(BZ301,Кабель_обозначение,2,FALSE),"")</f>
        <v>ВВГнг(А)-LS</v>
      </c>
      <c r="EY301" t="str">
        <f t="shared" si="609"/>
        <v>ВВГнг(А)-LS (3х2,5)</v>
      </c>
      <c r="EZ301" t="str">
        <f t="shared" si="610"/>
        <v>ВВГнг(А)-LS (3х2,5)
L=63-0,39%</v>
      </c>
      <c r="FA301">
        <f>IFERROR(2*ρкз_Cu*P301/EN301,"")</f>
        <v>1.32552</v>
      </c>
      <c r="FB301">
        <f t="shared" si="611"/>
        <v>0.441</v>
      </c>
      <c r="FC301" s="6" t="str">
        <f>IFERROR(IF(OR(B301="",BV301=1,NOT(ISNUMBER(EN301)),N(P301)=0),"",_xlfn.XLOOKUP(A301,Щиты[Щит],Щиты[Zпетли на шинах, Ом])+FA301),"")</f>
        <v/>
      </c>
      <c r="FD301" s="6" t="str">
        <f>IF(ISNUMBER(FC301),c_min*(Uн_лин*1000/SQRT(3))/FC301,"")</f>
        <v/>
      </c>
      <c r="FE301" s="6" t="str">
        <f>IFERROR(IF(OR(B301="",NOT(ISNUMBER(EN301))),"",1.05*(Uн_лин*1000/SQRT(3))/(_xlfn.XLOOKUP(A301,Щиты[Щит],Щиты[Zmax на шинах, Ом])+FB301)/1000),"")</f>
        <v/>
      </c>
      <c r="FF301" s="6" t="str">
        <f>IF(B301="","",IF(ISNUMBER(AC301),"Сил",IF(IFERROR(_xlfn.XLOOKUP(BC301,Коды_код,Коды_группа)&amp;"","")="","Быт",_xlfn.XLOOKUP(BC301,Коды_код,Коды_группа)&amp;"")))</f>
        <v>Быт</v>
      </c>
      <c r="FG301" s="6" t="str">
        <f t="shared" si="612"/>
        <v>Быт</v>
      </c>
      <c r="FH301" s="6">
        <f>IF(FG301="Щит","щит",IF(FG301="","",IF(FG301="Быт",IFERROR(_xlfn.XLOOKUP(A301,Щиты[Щит],Щиты[Кс быт]),1),IF(FG301="Сил",IF(ISNUMBER(AC301),AC301,IF(Методика="нормы 2026",IFERROR(_xlfn.XLOOKUP(A301,Щиты[Щит],Щиты[Кс силовых (табл. 7.5)]),1),1)),IF(OR(FG301="Пост",FG301="Отоп"),1,IF(FG301="ВНГ",0.7,0))))))</f>
        <v>0.8</v>
      </c>
      <c r="FI301">
        <f>IF(FG301="","",IF(AND(BP301=1,TRIM(AE301&amp;"")=""),IF(COUNTIFS(Линии[Щит],A301,Линии[Секция (1/2/3)],"&gt;=2")&gt;0,MIN(3,MAX(1,IFERROR(--BD301,1))),1),IFERROR(MIN(3,MAX(1,INT(--AE301))),1)))</f>
        <v>1</v>
      </c>
      <c r="FJ301">
        <f t="shared" si="613"/>
        <v>0.18</v>
      </c>
      <c r="FK301">
        <f t="shared" si="614"/>
        <v>0.18</v>
      </c>
      <c r="FL301">
        <f t="shared" si="615"/>
        <v>0</v>
      </c>
      <c r="FM301">
        <f t="shared" si="616"/>
        <v>0</v>
      </c>
      <c r="FN301">
        <f t="shared" si="617"/>
        <v>0</v>
      </c>
      <c r="FO301">
        <f t="shared" si="618"/>
        <v>0</v>
      </c>
      <c r="FP301">
        <f t="shared" si="619"/>
        <v>0.18</v>
      </c>
      <c r="FQ301">
        <f t="shared" si="620"/>
        <v>0.18</v>
      </c>
      <c r="FR301">
        <f t="shared" si="621"/>
        <v>0.17099999999999999</v>
      </c>
      <c r="FS301">
        <f>IF(CG301=1,IF(AND(CH301=1,CW301=1),0,IF(AND(CS301&lt;&gt;"",CS301=BA301,CW301=1),SUMIFS(Линии[_Р линии, кВт],Линии[_блок УЗО],BA301,Линии[Щит],A301),N(BS301)+IF(AJ301="вручную",0,N(CK301)))),0)</f>
        <v>0.18</v>
      </c>
      <c r="FT301" t="str">
        <f t="shared" si="622"/>
        <v>L3</v>
      </c>
      <c r="FU301" t="str">
        <f>IF(B301="","",IF(CG301=0,IF(BA301=1,"",FW300),IF(AND(CH301=1,CW301=1,CS301&lt;&gt;""),IFERROR(_xlfn.XLOOKUP(CS301,Линии[_n],Линии[_фаза итог]),"L1"),IF(OR(N(DL301)&gt;=3,N(BX301)&gt;=3),"L1,L2,L3",IFERROR(_xlfn.TEXTBEFORE(_xlfn.TEXTAFTER(_xlfn.XLOOKUP(A301,Щиты[Щит],Щиты[_фазы авто]),";"&amp;BA301&amp;":"),";"),"L1")))))</f>
        <v>L1</v>
      </c>
      <c r="FV301" t="str">
        <f t="shared" si="623"/>
        <v>L3</v>
      </c>
      <c r="FW301" t="str">
        <f t="shared" si="624"/>
        <v>L3</v>
      </c>
      <c r="FX301" cm="1">
        <f t="array" ref="FX301">IFERROR(IF(CD301=2,_xlfn.IFS(BX301=3,VLOOKUP(BS301,Справочная_двигатели,3,FALSE),BX301=1,VLOOKUP(BS301,Справочная_двигатели,5,TRUE)),0),0)</f>
        <v>0</v>
      </c>
      <c r="FY301">
        <f>IFERROR(IF(CD301=3,VLOOKUP(BS301,Справочная_ЛЭД,2,TRUE),0),0)</f>
        <v>0</v>
      </c>
      <c r="FZ301" s="6">
        <f t="shared" si="625"/>
        <v>0</v>
      </c>
      <c r="GA301" t="str">
        <f>IF(B301="","",IF(TRIM(AH301&amp;"")&lt;&gt;"",IF(LOWER(TRIM(AH301&amp;""))="да","да","нет"),IF(IFERROR(_xlfn.XLOOKUP(BC301,Коды_код,Коды_пожарная),"")="да","да","нет")))</f>
        <v>нет</v>
      </c>
      <c r="GB301" t="str">
        <f t="shared" si="626"/>
        <v/>
      </c>
      <c r="GC301" t="str">
        <f t="shared" si="627"/>
        <v>основная</v>
      </c>
      <c r="GD301">
        <f>IF(AND(BP301=1,TRIM(AE301&amp;"")=""),IF(COUNTIFS(Линии[Щит],A301,Линии[Секция (1/2/3)],"&gt;=2")&gt;0,MIN(3,MAX(1,IFERROR(--BD301,1))),1),IFERROR(MIN(3,MAX(1,INT(--AE301))),1))</f>
        <v>1</v>
      </c>
      <c r="GE301" t="str" cm="1">
        <f t="array" ref="GE301">IF(B301="","",_xlfn.LET(_xlpm.t,IFERROR(_xlfn.XLOOKUP(1,(Шины[Шина]=GC301)*(((Шины[Щит]=A301)+(Шины[Щит]=""))&gt;0),Шины[Тип]),"")&amp;"",IF(_xlpm.t&lt;&gt;"",_xlpm.t,IF(ISNUMBER(SEARCH("ИБП",GC301)),"ИБП",IF(ISNUMBER(SEARCH("ДГУ",GC301)),"ДГУ","Ввод "&amp;GD301)))))</f>
        <v>Ввод 1</v>
      </c>
      <c r="GF301" t="str">
        <f t="shared" si="628"/>
        <v>Ввод 1</v>
      </c>
      <c r="GG301" t="str">
        <f>IF(BP301=0,"",IF(TRIM(AG301&amp;"")&lt;&gt;"",TRIM(AG301&amp;""),IF(OR(GE301="ИБП",GE301="ДГУ"),"I особая",_xlfn.XLOOKUP(A301,Щиты[Щит],Щиты[Категория шины «Ввод»],"III"))))</f>
        <v/>
      </c>
      <c r="GH301" t="str">
        <f>IF(A301="","",_xlfn.XLOOKUP(A301,Щиты[Щит],Щиты[Путь],""))</f>
        <v>|ГРЩ-ЖД|ЩР-2|</v>
      </c>
      <c r="GI301" t="str">
        <f>IF(B301="","",IF(AI301&lt;&gt;"",AI301,IF(IFERROR(_xlfn.XLOOKUP(BC301,Коды_код,Коды_вид)&amp;"","")="","Прочее",_xlfn.XLOOKUP(BC301,Коды_код,Коды_вид)&amp;"")))</f>
        <v>Розеточная сеть и бытовые приборы</v>
      </c>
      <c r="GJ301">
        <f>IF(BM301="","",INT((BM301-1)/Столбцов_на_лист)+1)</f>
        <v>2</v>
      </c>
      <c r="GK301" t="str">
        <f t="shared" si="629"/>
        <v>ВВГнг(А)-LS (3х2,5) L=63-0,39%</v>
      </c>
      <c r="GL301">
        <f t="shared" si="630"/>
        <v>0.18</v>
      </c>
      <c r="GM301">
        <f t="shared" si="631"/>
        <v>0.83</v>
      </c>
      <c r="GN301">
        <f t="shared" si="632"/>
        <v>1</v>
      </c>
      <c r="GO301">
        <f t="shared" si="633"/>
        <v>0</v>
      </c>
      <c r="GP301">
        <f t="shared" si="634"/>
        <v>1</v>
      </c>
      <c r="GQ301">
        <f>IF(BM301="","",IF(AND(CG301=1,GP301=1),COUNTIFS(A$3:A301,A301,CG$3:CG301,1,GP$3:GP301,1),IF(OR(OR(BA301=1,A301&lt;&gt;A300),AJ301="вручную",GP301=0),"",IF(BA301=1,"",GR300))))</f>
        <v>18</v>
      </c>
      <c r="GR301">
        <f t="shared" si="635"/>
        <v>18</v>
      </c>
      <c r="GS301">
        <f>IF(B301="","",IFERROR(LOOKUP(INDEX(CHOOSE(EB301,Iдоп_1ж,Iдоп_2ж,Iдоп_3ж),MATCH(EN301,Iдоп_S,0))*DZ301*EA301,{6,10,16,20,25,32,40,50,63,80,100,125,160,200,250,315,400,500,630}),""))</f>
        <v>25</v>
      </c>
      <c r="GT301" t="str">
        <f t="shared" si="636"/>
        <v>QFD18</v>
      </c>
      <c r="GU301" t="str">
        <f t="shared" si="637"/>
        <v>QFD18</v>
      </c>
      <c r="GV301" t="str">
        <f t="shared" si="638"/>
        <v/>
      </c>
      <c r="GW301">
        <f t="shared" si="639"/>
        <v>0</v>
      </c>
      <c r="GX301" t="str">
        <f>IF(OR(B301="",DJ301=""),"",IFERROR(_xlfn.XLOOKUP(DJ301,Модули_умолч[Управление],Модули_умолч[Модель])&amp;"",""))</f>
        <v/>
      </c>
      <c r="GY301">
        <f>IF(DJ301="",1,IFERROR(MAX(0,N(_xlfn.XLOOKUP(DJ301,Модули_умолч[Управление],Модули_умолч[Каналов на линию]))),1))</f>
        <v>1</v>
      </c>
      <c r="GZ301" t="str">
        <f t="shared" si="640"/>
        <v/>
      </c>
      <c r="HA301" t="str">
        <f t="shared" si="641"/>
        <v/>
      </c>
      <c r="HB301" t="str">
        <f t="shared" si="642"/>
        <v/>
      </c>
      <c r="HC301">
        <f>IF(HB301="",0,IFERROR(N(VLOOKUP(HB301,Модули_спр,3,FALSE)),0))</f>
        <v>0</v>
      </c>
      <c r="HD301" t="str">
        <f t="shared" si="643"/>
        <v/>
      </c>
      <c r="HE301" t="str">
        <f t="shared" si="644"/>
        <v/>
      </c>
      <c r="HF301" t="str">
        <f>IF(OR(HE301="",HE301="-"),"",IFERROR(VLOOKUP(HE301,Модули_спр,2,FALSE),"R"))</f>
        <v/>
      </c>
      <c r="HG301" t="str">
        <f>IF(HF301="","",HF301&amp;"."&amp;COUNTIFS(A$3:A301,A301,HF$3:HF301,HF301))</f>
        <v/>
      </c>
      <c r="HH301" t="str">
        <f t="shared" si="645"/>
        <v/>
      </c>
      <c r="HI301" t="str">
        <f t="shared" si="646"/>
        <v/>
      </c>
      <c r="HJ301" t="str">
        <f t="shared" si="647"/>
        <v/>
      </c>
      <c r="HK301" t="str">
        <f t="shared" si="648"/>
        <v/>
      </c>
      <c r="HL301">
        <f t="shared" si="649"/>
        <v>1</v>
      </c>
      <c r="HM301" t="str">
        <f>IF(HL301=1,"XT"&amp;COUNTIFS(A$3:A301,A301,HL$3:HL301,1),"")</f>
        <v>XT18</v>
      </c>
      <c r="HN301" t="str">
        <f t="shared" si="650"/>
        <v/>
      </c>
      <c r="HO301" t="str">
        <f t="shared" si="651"/>
        <v>QFD18</v>
      </c>
      <c r="HP301" t="str">
        <f t="shared" si="652"/>
        <v/>
      </c>
      <c r="HQ301" t="str">
        <f t="shared" si="653"/>
        <v>ok</v>
      </c>
      <c r="HR301" t="str">
        <f>IF(OR(HJ301="",HH301=""),"",IF(HJ301+MAX(0,GY301-1)&gt;IFERROR(VLOOKUP(HI301,Модули_спр,3,FALSE),99),"ЛИШНИЙ КАНАЛ",IF(AND(AL301&lt;&gt;"=",GY301&gt;0,COUNTIFS(Линии[_модуль гр.],HH301,Линии[Канал (итог)],HJ301,Линии[Канал],"&lt;&gt;=",Линии[Щит],A301)&gt;1),"ДУБЛЬ КАНАЛА","")))</f>
        <v/>
      </c>
      <c r="HS301" s="6" t="str">
        <f t="shared" si="654"/>
        <v/>
      </c>
      <c r="HT301">
        <f t="shared" si="655"/>
        <v>10</v>
      </c>
      <c r="HU301" t="str">
        <f t="shared" si="656"/>
        <v/>
      </c>
      <c r="HV301">
        <f t="shared" si="657"/>
        <v>0.95817804774989257</v>
      </c>
      <c r="HW301">
        <f t="shared" si="658"/>
        <v>0</v>
      </c>
      <c r="HX301">
        <f t="shared" si="659"/>
        <v>0</v>
      </c>
      <c r="HY301">
        <f t="shared" si="660"/>
        <v>0</v>
      </c>
      <c r="HZ301">
        <f t="shared" si="661"/>
        <v>0</v>
      </c>
      <c r="IA301">
        <f t="shared" si="662"/>
        <v>0</v>
      </c>
      <c r="IB301">
        <f t="shared" si="663"/>
        <v>0</v>
      </c>
      <c r="IC301" t="str">
        <f t="shared" si="664"/>
        <v/>
      </c>
      <c r="ID301" t="str" cm="1">
        <f t="array" ref="ID301">IF(IC301="","",_xlfn.LET(_xlpm.tk,_xlfn.TEXTSPLIT(SUBSTITUTE(SUBSTITUTE(IC301,";"," "),"→"," ")," ",,TRUE),_xlpm.w_,_xlfn._xlws.FILTER(_xlpm.tk,ISNUMBER(--LEFT(_xlpm.tk,1))*((ISNUMBER(SEARCH("W",_xlpm.tk))+ISNUMBER(SEARCH("Вт",_xlpm.tk)))&gt;0),""),IFERROR(--SUBSTITUTE(SUBSTITUTE(UPPER(INDEX(_xlpm.w_,1)),"W",""),"ВТ",""),"")))</f>
        <v/>
      </c>
      <c r="IE301" t="str" cm="1">
        <f t="array" ref="IE301">IF(IC301="","",_xlfn.LET(_xlpm.tk,_xlfn.TEXTSPLIT(SUBSTITUTE(SUBSTITUTE(IC301,";"," "),"→"," ")," ",,TRUE),_xlpm.v_,_xlfn._xlws.FILTER(_xlpm.tk,ISNUMBER(--LEFT(_xlpm.tk,1))*((ISNUMBER(SEARCH("V",_xlpm.tk))+(RIGHT(UPPER(_xlpm.tk))="В"))&gt;0),""),IFERROR(--SUBSTITUTE(SUBSTITUTE(UPPER(INDEX(_xlpm.v_,1)),"V",""),"В",""),"")))</f>
        <v/>
      </c>
      <c r="IF301" s="6" t="str">
        <f>IF(OR(BV301=0,HI301="",HJ301=""),"",IFERROR(N(_xlfn.XLOOKUP(HI301,Каталог!$C$4:$C$500,Каталог!$Q$4:$Q$500)),""))</f>
        <v/>
      </c>
      <c r="IG301" s="6" t="str">
        <f>IF(N(IF301)=0,"",SUMIFS(Линии[Iр, А],Линии[Щит],A301,Линии[_модуль гр.],HH301,Линии[Канал (итог)],HJ301))</f>
        <v/>
      </c>
      <c r="IH301" t="str">
        <f>IF(AND(B301="",HO301=""),"",_xlfn.TEXTJOIN("; ",TRUE,IF(AND(B301&lt;&gt;"",FV301=""),"нет фазы",""),IF(AND(B301&lt;&gt;"",N(GL301)=0,FG301&lt;&gt;"Нет"),"нет мощности",""),IF(AND(HN301&lt;&gt;"",COUNTIFS(Линии[Щит],A301,Линии[Клемма (итог)],HN301)&gt;1),"дубль клеммы "&amp;HN301,""),IF(AND(HQ301&lt;&gt;"",HQ301&lt;&gt;"ok"),HQ301,""),IF(HR301&lt;&gt;"",HR301,""),IF(AND(N(CB301)&gt;=4,N(BX301)=1),CB301&amp;" жил на 1 фазе",""),IF(AND(BC301="R",CG301=1,IF(CS301&lt;&gt;"",N(CV301)&gt;30,OR(N(DA301)=0,N(DA301)&gt;30))),"розетка без дифзащиты до 30 мА",""),IF(AND(CG301=1,N(DA301)&gt;0,ISNUMBER(T301)),IF(T301&gt;N(DA301)/3,"ток утечки "&amp;FIXED(T301,1)&amp;" мА &gt; 1/3 уставки ("&amp;DA301&amp;" мА)",""),""),IF(AND(CH301=1,CS301=""),"«узо»: нет строки с УЗО выше (УЗО 2P 40А 30мА в «Аппаратах»)",""),IF(AND(CS301&lt;&gt;"",CS301=BA301),IF(CT301="","впишите номинал УЗО (УЗО 2P 40А 30мА)",IF(N(CT301)&lt;N(DT301),"УЗО "&amp;CT301&amp;" А &lt; автомата "&amp;DT301&amp;" А перед ним",IF(N(CT301)&lt;N(CX301),"УЗО "&amp;CT301&amp;" А &lt; тока блока "&amp;FIXED(CX301,1)&amp;" А",""))),""),IF(AND(CS301&lt;&gt;"",CS301=BA301,ISNUMBER(CY301)),IF(CY301&gt;N(CV301)/3,"ток утечки блока УЗО "&amp;FIXED(CY301,1)&amp;" мА &gt; 1/3 уставки ("&amp;CV301&amp;" мА)",""),""),IF(AND(CG301=1,N(BV301)+N(IB301)&gt;0,IC301=""),"линии до 50 В без БП: впишите в «Аппараты» (БП 24V 480W)",""),IF(AND(CG301=1,ISNUMBER(ID301),ISNUMBER(U301)),IF(U301&gt;ID301,"БП "&amp;ID301&amp;" Вт &lt; нужно "&amp;U301&amp;" Вт (×"&amp;Запас_БП&amp;")",""),""),IF(AND(CG301=1,ISNUMBER(IE301),N(BV301)=1),IF(IE301&lt;&gt;N(BU301),"БП на "&amp;IE301&amp;" В, линия "&amp;BU301&amp;" В",""),""),IF(AND(N(IF301)&gt;0,N(IG301)&gt;N(IF301)),HH301&amp;" канал "&amp;HJ301&amp;": "&amp;FIXED(IG301,1)&amp;" А &gt; "&amp;IF301&amp;" А",""),IFERROR(IF(AND(ISNUMBER(Q301),Q301&gt;EL301),"потери "&amp;FIXED(Q301,1)&amp;" % &gt; "&amp;EL301&amp;" %",""),""),IFERROR(IF(LEFT(HU301,4)="мало","Iкз мало — отключение &gt; 0,4 с",""),""),IF(AND(B301&lt;&gt;"",BM301=""),"не на схеме",""),IF(AND(CG301=0,B301&lt;&gt;"",FV301&lt;&gt;"",IF(BA301=1,"",FW300)&lt;&gt;"",FV301&lt;&gt;IF(BA301=1,"",FW300)),"фаза не как у автомата группы ("&amp;IF(BA301=1,"",FW300)&amp;")","")))</f>
        <v/>
      </c>
      <c r="II301" s="6">
        <f>IF(OR(CG301=0,DQ301=""),"",_xlfn.LET(_xlpm.t,IFERROR(_xlfn.XLOOKUP(DQ301,Каталог!$U$4:$U$500,Каталог!$G$4:$G$500),""),_xlpm.k,SEARCH("кА",_xlpm.t),IFERROR(--TRIM(RIGHT(SUBSTITUTE(MID(_xlpm.t,MAX(1,_xlpm.k-4),_xlpm.k-MAX(1,_xlpm.k-4))," ",REPT(" ",9)),5)),"")))</f>
        <v>6</v>
      </c>
      <c r="IJ301" t="str">
        <f>IF(OR(II301="",CG301=0),"",IF(_xlfn.XLOOKUP(A301,Щиты[Щит],Щиты[Iкз max на шинах, кА],"")="","",IF(II301&lt;_xlfn.XLOOKUP(A301,Щиты[Щит],Щиты[Iкз max на шинах, кА]),"Icu "&amp;II301&amp;" кА &lt; Iкз max","ok")))</f>
        <v/>
      </c>
      <c r="IK301" t="str">
        <f t="shared" si="665"/>
        <v/>
      </c>
      <c r="IL301" t="str">
        <f t="shared" si="666"/>
        <v>QFD18</v>
      </c>
      <c r="IM301" t="str">
        <f t="shared" si="667"/>
        <v>QFD18|кабель ВВГнг(А)-LS (3х2,5) → Розеточная группа, пом. 020А</v>
      </c>
      <c r="IN301" t="str" cm="1">
        <f t="array" ref="IN301">IF(IM301="","",_xlfn.LET(_xlpm.nd,_xlfn.TEXTSPLIT(IM301,"|"),IF(COLUMNS(_xlpm.nd)&gt;1,A301&amp;"¦"&amp;INDEX(_xlpm.nd,1)&amp;"¦"&amp;INDEX(_xlpm.nd,2),"")))</f>
        <v>ЩР-2¦QFD18¦кабель ВВГнг(А)-LS (3х2,5) → Розеточная группа, пом. 020А</v>
      </c>
      <c r="IO301" t="str">
        <f t="shared" si="668"/>
        <v>R.2.020А.1¦Розеточная группа, пом. 020А</v>
      </c>
      <c r="IP301" t="str" cm="1">
        <f t="array" ref="IP301">IF(IM301="","",_xlfn.LET(_xlpm.nd,_xlfn.TEXTSPLIT(IM301,"|"),IF(COLUMNS(_xlpm.nd)&gt;2,A301&amp;"¦"&amp;INDEX(_xlpm.nd,2)&amp;"¦"&amp;INDEX(_xlpm.nd,3),"")))</f>
        <v/>
      </c>
      <c r="IQ301" t="str">
        <f t="shared" si="669"/>
        <v/>
      </c>
      <c r="IR301" t="str" cm="1">
        <f t="array" ref="IR301">IF(IM301="","",_xlfn.LET(_xlpm.nd,_xlfn.TEXTSPLIT(IM301,"|"),IF(COLUMNS(_xlpm.nd)&gt;3,A301&amp;"¦"&amp;INDEX(_xlpm.nd,3)&amp;"¦"&amp;INDEX(_xlpm.nd,4),"")))</f>
        <v/>
      </c>
      <c r="IS301" t="str">
        <f t="shared" si="670"/>
        <v/>
      </c>
      <c r="IT301" t="str" cm="1">
        <f t="array" ref="IT301">IF(IM301="","",_xlfn.LET(_xlpm.nd,_xlfn.TEXTSPLIT(IM301,"|"),IF(COLUMNS(_xlpm.nd)&gt;4,A301&amp;"¦"&amp;INDEX(_xlpm.nd,4)&amp;"¦"&amp;INDEX(_xlpm.nd,5),"")))</f>
        <v/>
      </c>
      <c r="IU301" t="str">
        <f t="shared" si="671"/>
        <v/>
      </c>
      <c r="IV301" t="str" cm="1">
        <f t="array" ref="IV301">IF(IM301="","",_xlfn.LET(_xlpm.nd,_xlfn.TEXTSPLIT(IM301,"|"),IF(COLUMNS(_xlpm.nd)&gt;5,A301&amp;"¦"&amp;INDEX(_xlpm.nd,5)&amp;"¦"&amp;INDEX(_xlpm.nd,6),"")))</f>
        <v/>
      </c>
      <c r="IW301" t="str">
        <f t="shared" si="672"/>
        <v/>
      </c>
      <c r="IX301" t="str" cm="1">
        <f t="array" ref="IX301">IF(IM301="","",_xlfn.LET(_xlpm.nd,_xlfn.TEXTSPLIT(IM301,"|"),IF(COLUMNS(_xlpm.nd)&gt;6,A301&amp;"¦"&amp;INDEX(_xlpm.nd,6)&amp;"¦"&amp;INDEX(_xlpm.nd,7),"")))</f>
        <v/>
      </c>
      <c r="IY301" t="str">
        <f t="shared" si="673"/>
        <v/>
      </c>
      <c r="IZ301" t="str">
        <f t="shared" si="674"/>
        <v/>
      </c>
      <c r="JA301" t="str">
        <f t="shared" si="675"/>
        <v>QFD18</v>
      </c>
      <c r="JB301">
        <f t="shared" si="676"/>
        <v>0</v>
      </c>
      <c r="JC301">
        <f t="shared" si="677"/>
        <v>1</v>
      </c>
      <c r="JD301" t="str">
        <f t="shared" si="678"/>
        <v/>
      </c>
      <c r="JE301" t="str">
        <f t="shared" si="679"/>
        <v/>
      </c>
      <c r="JF301" t="str">
        <f t="shared" si="680"/>
        <v/>
      </c>
      <c r="JG301" t="str">
        <f t="shared" si="681"/>
        <v/>
      </c>
      <c r="JH301" t="str">
        <f>IF(B301="","",IFERROR(_xlfn.XLOOKUP(B301,Коды_код,Коды_уго),IFERROR(_xlfn.XLOOKUP(BC301,Коды_код,Коды_уго),IFERROR(_xlfn.XLOOKUP(LEFT(BC301,2),Коды_код,Коды_уго),""))))</f>
        <v>Розетка</v>
      </c>
      <c r="JI301" t="str">
        <f>IF(B301="","",IF(OR(JH301="",JH301=0),"BOX",IFERROR(IF(VLOOKUP(JH301,УГО_блоки,3,FALSE)&amp;""&lt;&gt;"",VLOOKUP(JH301,УГО_блоки,3,FALSE),VLOOKUP(JH301,УГО_блоки,2,FALSE)),JH301)))</f>
        <v>SOCKET</v>
      </c>
      <c r="JJ301">
        <f t="shared" si="682"/>
        <v>1</v>
      </c>
      <c r="JK301" t="str">
        <f>IF(DQ301="","",IF(COUNTIF(DQ$3:DQ301,DQ301)=1,MAX(JK$2:JK300)+1,""))</f>
        <v/>
      </c>
      <c r="JL301" t="str">
        <f>IF(DE301="","",IF(COUNTIF(DE$3:DE301,DE301)+COUNTIF(DF$2:DF300,DE301)+COUNTIF(DG$2:DG300,DE301)=1,MAX(JL$2:JN300)+1,""))</f>
        <v/>
      </c>
      <c r="JM301" t="str">
        <f>IF(DF301="","",IF(COUNTIF(DE$3:DE301,DF301)+COUNTIF(DF$3:DF301,DF301)+COUNTIF(DG$2:DG300,DF301)=1,MAX(JL$2:JN300,JL301)+1,""))</f>
        <v/>
      </c>
      <c r="JN301" t="str">
        <f>IF(DG301="","",IF(COUNTIF(DE$3:DE301,DG301)+COUNTIF(DF$3:DF301,DG301)+COUNTIF(DG$3:DG301,DG301)=1,MAX(JL$2:JN300,JL301,JM301)+1,""))</f>
        <v/>
      </c>
      <c r="JO301" t="str">
        <f t="shared" si="683"/>
        <v>3х2,5</v>
      </c>
      <c r="JP301" t="str">
        <f>IF(JO301="","",IF(COUNTIF(JO$3:JO301,JO301)=1,MAX(JP$2:JP300)+1,""))</f>
        <v/>
      </c>
      <c r="JQ301" t="str">
        <f>IF(HG301="","",COUNTIF(HG$3:HG301,"?*"))</f>
        <v/>
      </c>
      <c r="JR301" t="str">
        <f>IF(OR(HG301="",HI301=""),"",IF(COUNTIFS(HG$3:HG301,"?*",HI$3:HI301,HI301)=1,MAX(JR$2:JR300)+1,""))</f>
        <v/>
      </c>
      <c r="JS301">
        <f t="shared" si="684"/>
        <v>0</v>
      </c>
      <c r="JT301">
        <f>IF(B301="","",COUNTIF(B$3:B301,"?*"))</f>
        <v>299</v>
      </c>
      <c r="JU301">
        <f>IF(HL301&lt;&gt;1,0,_xlfn.LET(_xlpm.k,MAX(IFERROR(--_xlfn.XLOOKUP(B301,Коды_код,Коды_3L),0),IFERROR(--_xlfn.XLOOKUP(BC301,Коды_код,Коды_3L),0),IFERROR(--_xlfn.XLOOKUP(LEFT(BC301,2),Коды_код,Коды_3L),0)),IF(_xlpm.k&gt;0,_xlpm.k,IF(IFERROR(--LEFT(SUBSTITUTE(JO301,"x","х"),FIND("х",SUBSTITUTE(JO301,"x","х"))-1),3)&gt;3,Каталог!$S$9,1))))</f>
        <v>1</v>
      </c>
      <c r="JV301">
        <f t="shared" si="685"/>
        <v>0</v>
      </c>
      <c r="JW301" t="str">
        <f t="shared" si="686"/>
        <v>авто</v>
      </c>
      <c r="JX301">
        <f t="shared" si="687"/>
        <v>30</v>
      </c>
      <c r="JY301">
        <f t="shared" si="688"/>
        <v>1</v>
      </c>
      <c r="JZ301">
        <f t="shared" si="689"/>
        <v>1</v>
      </c>
    </row>
    <row r="302" spans="1:286" x14ac:dyDescent="0.3">
      <c r="A302" t="s">
        <v>759</v>
      </c>
      <c r="B302" t="s">
        <v>1607</v>
      </c>
      <c r="C302" t="str">
        <f>Линии[[#This Row],[_авто наименование]]</f>
        <v>Розеточная группа, пом. 022Б</v>
      </c>
      <c r="D302">
        <v>2</v>
      </c>
      <c r="E302">
        <v>0.24</v>
      </c>
      <c r="G302">
        <v>16</v>
      </c>
      <c r="H302" t="str">
        <f>Линии[[#This Row],[_авто управление]]</f>
        <v/>
      </c>
      <c r="I302" t="str">
        <f>Линии[[#This Row],[_авто аппараты]]</f>
        <v/>
      </c>
      <c r="J302">
        <v>2.5</v>
      </c>
      <c r="K302">
        <v>35</v>
      </c>
      <c r="L302">
        <v>2</v>
      </c>
      <c r="M302" t="s">
        <v>484</v>
      </c>
      <c r="N302" t="str">
        <f t="shared" si="552"/>
        <v/>
      </c>
      <c r="O302" s="6" cm="1">
        <f t="array" ref="O302">IF(B302="","",IF(BH302&lt;&gt;"",IFERROR(_xlfn.XLOOKUP(BH302,Щиты[Щит],Щиты[Iр, А]),""),IF(BP302=1,IF(OR(N(_xlfn.XLOOKUP(A302,Щиты[Щит],Щиты[Вводов],1))&lt;=1,LOWER(TRIM(_xlfn.XLOOKUP(A302,Щиты[Щит],Щиты[АВР],"")&amp;""))="да"),IFERROR(_xlfn.XLOOKUP(A302,Щиты[Щит],Щиты[Iр, А]),""),IFERROR(N(BS302)*_xlfn.XLOOKUP(A302,Щиты[Щит],Щиты[Кс итог])/(SQRT(3)*Uн_лин*_xlfn.XLOOKUP(A302,Щиты[Щит],Щиты[cos φ])),"")),IF(BV302=1,IFERROR(BS302*1000/BU302,""),IFERROR(_xlfn.IFS(BX302=1,BS302/((Uн_лин/SQRT(3))*CE302),BX302=3,BS302/(SQRT(3)*Uн_лин*CE302)),"")))))</f>
        <v>1.0939268258329751</v>
      </c>
      <c r="P302" s="7">
        <f>IF(B302="","",IFERROR(IF(VLOOKUP(BC302,Потребители_обозначение,4,FALSE)=1,VLOOKUP(BC302,Потребители_обозначение,3,FALSE)*(MAX(1,N(D302))*2-1)+EI302+VLOOKUP(BE302,Этаж_обозначение,3,FALSE)+VLOOKUP(BE302,Этаж_обозначение,4,FALSE),VLOOKUP(BC302,Потребители_обозначение,3,FALSE)*(MAX(1,N(D302))*2-1)+EI302),EI302))</f>
        <v>44</v>
      </c>
      <c r="Q302" s="6">
        <f t="shared" si="553"/>
        <v>2.15</v>
      </c>
      <c r="R302" t="str">
        <f t="shared" si="554"/>
        <v>ВВГнг(А)-LS (3х2,5)</v>
      </c>
      <c r="S302" t="str">
        <f>IF(BM302="","",IF(BN302="вводной узел","узел ","")&amp;"л."&amp;(INT((BM302-1)/Столбцов_на_лист)+1)&amp;" / "&amp;(MOD(BM302-1,Столбцов_на_лист)+1))</f>
        <v>л.2 / 12</v>
      </c>
      <c r="T302" s="119">
        <f t="shared" si="555"/>
        <v>0.9</v>
      </c>
      <c r="U302" s="7" t="str">
        <f>IF(OR(CG302=0,N(BV302)+N(IB302)=0),"",ROUNDUP(Запас_БП*(N(HY302)+N(HZ302)),0))</f>
        <v/>
      </c>
      <c r="V302" s="119" t="str">
        <f t="shared" si="556"/>
        <v/>
      </c>
      <c r="W302" s="7" t="str">
        <f>IFERROR(IF(OR(B302="",BP302=1,BV302=1,NOT(ISNUMBER(EN302)),N(DT302)=0),"",MAX(0,ROUNDDOWN((c_min*(Uн_лин*1000/SQRT(3))/(HT302*N(DT302))-_xlfn.XLOOKUP(A302,Щиты[Щит],Щиты[Zпетли на шинах, Ом]))*EN302/(2*ρкз_Cu),0))),"")</f>
        <v/>
      </c>
      <c r="Y302">
        <f>Линии[[#This Row],[_авто утечка]]</f>
        <v>30</v>
      </c>
      <c r="Z302">
        <v>1</v>
      </c>
      <c r="AA302">
        <v>230</v>
      </c>
      <c r="AB302" t="s">
        <v>562</v>
      </c>
      <c r="AG302" t="s">
        <v>810</v>
      </c>
      <c r="AI302" t="s">
        <v>561</v>
      </c>
      <c r="AK302" t="str">
        <f>Линии[[#This Row],[_авто модуль]]</f>
        <v/>
      </c>
      <c r="AM302">
        <v>29</v>
      </c>
      <c r="AN302" t="s">
        <v>11</v>
      </c>
      <c r="AO302">
        <v>3</v>
      </c>
      <c r="AQ302">
        <v>12</v>
      </c>
      <c r="AR302">
        <v>26</v>
      </c>
      <c r="AT302">
        <v>2</v>
      </c>
      <c r="BA302" cm="1">
        <f t="array" ref="BA302">ROW()-ROW(Линии[#Headers])</f>
        <v>300</v>
      </c>
      <c r="BC302" s="6" t="str">
        <f t="shared" si="557"/>
        <v>R</v>
      </c>
      <c r="BD302" t="str">
        <f t="shared" si="558"/>
        <v>2.022Б.1</v>
      </c>
      <c r="BE302" t="str">
        <f t="shared" si="559"/>
        <v>2</v>
      </c>
      <c r="BF302" t="str">
        <f t="shared" si="560"/>
        <v>022Б.1</v>
      </c>
      <c r="BG302" t="str">
        <f t="shared" si="561"/>
        <v>022Б</v>
      </c>
      <c r="BH302" t="str">
        <f>IF(X302&lt;&gt;"",X302,IF(AND(B302&lt;&gt;"",B302&lt;&gt;A302,ISNUMBER(_xlfn.XMATCH(B302,Щиты[Щит]))),B302,""))</f>
        <v/>
      </c>
      <c r="BI302" t="str" cm="1">
        <f t="array" ref="BI302">IF(B302="","",IF(BH302&lt;&gt;"","Щит "&amp;BH302,_xlfn.LET(_xlpm.nm,IFERROR(_xlfn.XLOOKUP(BC302,Коды_код,Коды_имя)&amp;"",""),_xlpm.md,IFERROR(N(_xlfn.XLOOKUP(BC302,Коды_код,Коды_режим)),1),_xlpm.ex,IF(Имя_режим="по экспликации",IFERROR(_xlfn.XLOOKUP(BE302&amp;"|"&amp;BG302,Экспликация[Этаж]&amp;"|"&amp;Экспликация[Помещение],Экспликация[Название])&amp;"",""),""),_xlpm.rm,IF(BG302="","",IF(_xlpm.ex&lt;&gt;"",". "&amp;_xlpm.ex&amp;IF(Имя_пом="нет"," ("&amp;BG302&amp;")"," (пом. "&amp;BG302&amp;")"),IF(Имя_пом="нет"," ",", пом. ")&amp;BG302)),IF(_xlpm.nm="","",IF(_xlpm.md=2,_xlpm.nm&amp;" шлейф "&amp;BE302,_xlpm.nm&amp;_xlpm.rm)))))</f>
        <v>Розеточная группа, пом. 022Б</v>
      </c>
      <c r="BJ302" t="str">
        <f t="shared" si="562"/>
        <v>Розеточная группа, пом. 022Б</v>
      </c>
      <c r="BK302">
        <f>IFERROR(_xlfn.XMATCH(A302,Щиты[Щит]),0)</f>
        <v>11</v>
      </c>
      <c r="BL302">
        <f>_xlfn.LET(_xlpm.k,IFERROR(_xlfn.XLOOKUP(A302,Щиты[Щит],Щиты[Мест под вводной узел]),""),IF(_xlpm.k="",Столбцов_на_лист,N(_xlpm.k)))</f>
        <v>8</v>
      </c>
      <c r="BM302">
        <f t="shared" si="563"/>
        <v>29</v>
      </c>
      <c r="BN302" t="str">
        <f t="shared" si="564"/>
        <v>линии</v>
      </c>
      <c r="BO302" s="6">
        <f>IFERROR(N(_xlfn.XLOOKUP(BC302,Коды_код,Коды_квт)),0)</f>
        <v>0</v>
      </c>
      <c r="BP302">
        <f t="shared" si="565"/>
        <v>0</v>
      </c>
      <c r="BQ302" t="str">
        <f>IF(B302="","",IF(BH302&lt;&gt;"",IFERROR(_xlfn.XLOOKUP(BH302,Щиты[Щит],Щиты[Руст, кВт]),0),IF(BP302=1,IF(OR(N(_xlfn.XLOOKUP(A302,Щиты[Щит],Щиты[Вводов],1))&lt;=1,LOWER(TRIM(_xlfn.XLOOKUP(A302,Щиты[Щит],Щиты[АВР],"")&amp;""))="да"),IFERROR(_xlfn.XLOOKUP(A302,Щиты[Щит],Щиты[Руст, кВт]),0),SUMIFS(Линии[_Р для вводов],Линии[Щит],A302,Линии[Источник для режимов],GF302)),IF(BO302&gt;0,ROUND(BO302*MAX(1,N(D302)),3),""))))</f>
        <v/>
      </c>
      <c r="BR302">
        <f t="shared" si="566"/>
        <v>0.24</v>
      </c>
      <c r="BS302" s="6">
        <f>IF(B302="","",IF(BH302&lt;&gt;"",IFERROR(_xlfn.XLOOKUP(BH302,Щиты[Щит],Щиты[Руст, кВт]),0),N(BR302)))</f>
        <v>0.24</v>
      </c>
      <c r="BT302" t="str">
        <f>IF(B302="","",IFERROR(IF(VLOOKUP(BC302,Потребители_обозначение,8,FALSE)=0,"",VLOOKUP(BC302,Потребители_обозначение,8,FALSE)),""))</f>
        <v/>
      </c>
      <c r="BU302">
        <f t="shared" si="567"/>
        <v>230</v>
      </c>
      <c r="BV302">
        <f t="shared" si="568"/>
        <v>0</v>
      </c>
      <c r="BW302">
        <f>IF(B302="","",IF(BH302&lt;&gt;"",3,IFERROR(IF(N(VLOOKUP(BC302,Потребители_обозначение,9,FALSE))=0,1,VLOOKUP(BC302,Потребители_обозначение,9,FALSE)),1)))</f>
        <v>1</v>
      </c>
      <c r="BX302">
        <f t="shared" si="569"/>
        <v>1</v>
      </c>
      <c r="BY302" t="str">
        <f>IF(B302="","",_xlfn.LET(_xlpm.bc,IFERROR(IF(VLOOKUP(BC302,Потребители_обозначение,6,FALSE)=0,"",VLOOKUP(BC302,Потребители_обозначение,6,FALSE)&amp;""),""),IF(AND(GA302="да",OR(_xlpm.bc="",_xlpm.bc="мс")),Марка_пож,IF(AND(_xlpm.bc="",BH302&lt;&gt;""),"мс",_xlpm.bc))))</f>
        <v/>
      </c>
      <c r="BZ302" t="str">
        <f t="shared" si="570"/>
        <v>мс</v>
      </c>
      <c r="CA302">
        <f>IF(B302="","",_xlfn.LET(_xlpm.cc,IFERROR(N(VLOOKUP(BC302,Потребители_обозначение,7,FALSE)),0),IF(_xlpm.cc&gt;0,_xlpm.cc,IF(BZ302="","",IF(BV302=1,2,IF(N(BX302)=3,5,3))))))</f>
        <v>3</v>
      </c>
      <c r="CB302">
        <f t="shared" si="571"/>
        <v>3</v>
      </c>
      <c r="CC302">
        <f>IFERROR(N(VLOOKUP(BC302,Потребители_обозначение,10,FALSE)),0)</f>
        <v>0</v>
      </c>
      <c r="CD302">
        <f>IFERROR(VLOOKUP(BC302,Потребители_обозначение,5,FALSE),0)</f>
        <v>1</v>
      </c>
      <c r="CE302" s="6" cm="1">
        <f t="array" ref="CE302">IF(B302="","",IF(BH302&lt;&gt;"",IFERROR(_xlfn.XLOOKUP(BH302,Щиты[Щит],Щиты[cos φ]),0.95),IF(BP302=1,IFERROR(_xlfn.XLOOKUP(A302,Щиты[Щит],Щиты[cos φ]),0.95),IF(ISNUMBER(AD302),AD302,IFERROR(IF(CD302=2,_xlfn.IFS(BX302=3,VLOOKUP(BS302,Справочная_двигатели,8,FALSE),BX302=1,VLOOKUP(BS302,Справочная_двигатели,10,TRUE)),IF(AND(Методика="нормы 2026",FG302="Сил"),0.8,0.95)),0.95)))))</f>
        <v>0.95</v>
      </c>
      <c r="CF302">
        <f t="shared" si="572"/>
        <v>0</v>
      </c>
      <c r="CG302">
        <f t="shared" si="573"/>
        <v>1</v>
      </c>
      <c r="CH302">
        <f t="shared" si="574"/>
        <v>0</v>
      </c>
      <c r="CI302">
        <f>IF(B302="","",IF(BV302=1,IFERROR(BS302/((Uн_лин/SQRT(3))*MAX(0.5,N(CE302))),0),N(O302)))</f>
        <v>1.0939268258329751</v>
      </c>
      <c r="CJ302">
        <f t="shared" si="575"/>
        <v>0</v>
      </c>
      <c r="CK302">
        <f t="shared" si="576"/>
        <v>0</v>
      </c>
      <c r="CL302">
        <f t="shared" si="577"/>
        <v>0</v>
      </c>
      <c r="CM302">
        <f t="shared" si="578"/>
        <v>0</v>
      </c>
      <c r="CN302">
        <f t="shared" si="579"/>
        <v>0</v>
      </c>
      <c r="CO302">
        <f>IF(BC302="",0,_xlfn.LET(_xlpm.v,IFERROR(_xlfn.XLOOKUP(B302,Коды_код,Коды_мА),IFERROR(_xlfn.XLOOKUP(BC302,Коды_код,Коды_мА),IFERROR(_xlfn.XLOOKUP(LEFT(BC302,2),Коды_код,Коды_мА),""))),IF(_xlpm.v="да",30,IF(ISNUMBER(_xlpm.v),_xlpm.v,0))))</f>
        <v>30</v>
      </c>
      <c r="CP302">
        <f t="shared" si="580"/>
        <v>30</v>
      </c>
      <c r="CQ302" t="str">
        <f>_xlfn.LET(_xlpm.k,IFERROR(_xlfn.XLOOKUP(BC302,Коды_код,Коды_утечка)&amp;"",""),IF(_xlpm.k="","дифавтомат",_xlpm.k))</f>
        <v>дифавтомат</v>
      </c>
      <c r="CR302" t="str" cm="1">
        <f t="array" ref="CR302">IF(CG302=0,"",_xlfn.LET(_xlpm.sg,TRIM(_xlfn.TEXTSPLIT(DD302&amp;"",";")),_xlpm.f_,_xlfn._xlws.FILTER(_xlpm.sg,LEFT(_xlpm.sg,3)="УЗО",""),IFERROR(INDEX(_xlpm.f_,1)&amp;"","")))</f>
        <v/>
      </c>
      <c r="CS302" t="str">
        <f t="shared" si="581"/>
        <v/>
      </c>
      <c r="CT302" s="6" t="str" cm="1">
        <f t="array" ref="CT302">IF(CR302="","",_xlfn.LET(_xlpm.tk,_xlfn.TEXTSPLIT(UPPER(CR302)," ",,TRUE),_xlpm.a_,_xlfn._xlws.FILTER(_xlpm.tk,ISNUMBER(--LEFT(_xlpm.tk,1))*((ISNUMBER(SEARCH("А",_xlpm.tk))+ISNUMBER(SEARCH("A",_xlpm.tk)))&gt;0)*NOT(ISNUMBER(SEARCH("МА",_xlpm.tk)))*NOT(ISNUMBER(SEARCH("MA",_xlpm.tk))),""),IFERROR(--SUBSTITUTE(SUBSTITUTE(INDEX(_xlpm.a_,1),"А",""),"A",""),"")))</f>
        <v/>
      </c>
      <c r="CU302" t="str" cm="1">
        <f t="array" ref="CU302">IF(CR302="","",_xlfn.LET(_xlpm.tk,_xlfn.TEXTSPLIT(UPPER(CR302)," ",,TRUE),_xlpm.a_,_xlfn._xlws.FILTER(_xlpm.tk,ISNUMBER(--LEFT(_xlpm.tk,1))*((ISNUMBER(SEARCH("МА",_xlpm.tk))+ISNUMBER(SEARCH("MA",_xlpm.tk)))&gt;0),""),IFERROR(--SUBSTITUTE(SUBSTITUTE(INDEX(_xlpm.a_,1),"МА",""),"MA",""),30)))</f>
        <v/>
      </c>
      <c r="CV302" t="str">
        <f>IF(CS302="","",IFERROR(_xlfn.XLOOKUP(CS302,Линии[_n],Линии[_УЗО, мА]),30))</f>
        <v/>
      </c>
      <c r="CW302">
        <f>IF(CS302="",0,IF(ISNUMBER(SEARCH("4P",IFERROR(_xlfn.XLOOKUP(CS302,Линии[_n],Линии[_УЗО строки])&amp;"",""))),0,1))</f>
        <v>0</v>
      </c>
      <c r="CX302" t="str">
        <f>IF(AND(CS302&lt;&gt;"",CS302=BA302),SUMIFS(Линии[_ток на 230 В],Линии[_блок УЗО],BA302,Линии[Щит],A302),"")</f>
        <v/>
      </c>
      <c r="CY302" t="str">
        <f>IF(AND(CS302&lt;&gt;"",CS302=BA302),SUMIFS(Линии[_ток утечки линии, мА],Линии[_блок УЗО],BA302,Линии[Щит],A302),"")</f>
        <v/>
      </c>
      <c r="CZ302">
        <f t="shared" si="582"/>
        <v>30</v>
      </c>
      <c r="DA302">
        <f t="shared" si="583"/>
        <v>30</v>
      </c>
      <c r="DB302">
        <f>IF(B302="",0,IFERROR(--_xlfn.XLOOKUP(B302,Коды_код,Коды_минавт),IFERROR(--_xlfn.XLOOKUP(BC302,Коды_код,Коды_минавт),IFERROR(--_xlfn.XLOOKUP(LEFT(BC302,2),Коды_код,Коды_минавт),0))))</f>
        <v>16</v>
      </c>
      <c r="DC302" t="str">
        <f>IF(B302="","",IFERROR(_xlfn.XLOOKUP(BC302,Коды_код,Коды_апп)&amp;"",""))</f>
        <v/>
      </c>
      <c r="DD302" t="str">
        <f t="shared" si="584"/>
        <v/>
      </c>
      <c r="DE302" t="str" cm="1">
        <f t="array" ref="DE302">IF(TRIM(DD302&amp;"")="","",IFERROR(TRIM(INDEX(_xlfn.TEXTSPLIT(DD302&amp;";;;",";"),1)),""))</f>
        <v/>
      </c>
      <c r="DF302" t="str" cm="1">
        <f t="array" ref="DF302">IF(TRIM(DD302&amp;"")="","",IFERROR(TRIM(INDEX(_xlfn.TEXTSPLIT(DD302&amp;";;;",";"),2)),""))</f>
        <v/>
      </c>
      <c r="DG302" t="str" cm="1">
        <f t="array" ref="DG302">IF(TRIM(DD302&amp;"")="","",IFERROR(TRIM(INDEX(_xlfn.TEXTSPLIT(DD302&amp;";;;",";"),3)),""))</f>
        <v/>
      </c>
      <c r="DH302">
        <f t="shared" si="585"/>
        <v>0</v>
      </c>
      <c r="DI302" t="str">
        <f>IF(B302="","",_xlfn.LET(_xlpm.t,LOWER(AZ302&amp;""),IF(ISNUMBER(SEARCH("dim",_xlpm.t)),"DIM",IF(ISNUMBER(SEARCH("dali",_xlpm.t)),"DALI",IF(OR(ISNUMBER(SEARCH("relay",_xlpm.t)),ISNUMBER(SEARCH("реле",_xlpm.t))),"Relay",IF(ISNUMBER(SEARCH("кнопк",_xlpm.t)),"",IFERROR(_xlfn.XLOOKUP(BC302,Коды_код,Коды_упр)&amp;"","")))))))</f>
        <v/>
      </c>
      <c r="DJ302" t="str">
        <f t="shared" si="586"/>
        <v/>
      </c>
      <c r="DK302">
        <f>IF(B302="","",_xlfn.LET(_xlpm.ig,IF(N(CX302)&gt;0,N(CX302),N(CI302)+IF(AJ302="вручную",0,N(CJ302))),_xlpm.n0,IFERROR(VLOOKUP(_xlpm.ig,Автомат_номиналы,2,TRUE),0),_xlpm.mn,MAX(DB302,IF(AJ302="вручную",0,N(CM302))),MAX(_xlpm.n0,_xlpm.mn,IF(DH302=1,Мин_автомат_БП,0))))</f>
        <v>16</v>
      </c>
      <c r="DL302">
        <f t="shared" si="587"/>
        <v>1</v>
      </c>
      <c r="DM302" t="str">
        <f t="shared" si="588"/>
        <v>2P</v>
      </c>
      <c r="DN302" t="str">
        <f>_xlfn.LET(_xlpm.cc,UPPER(TRIM(IFERROR(_xlfn.XLOOKUP(BC302,Коды_код,Коды_хар)&amp;"",""))),IF(OR(_xlpm.cc="B",_xlpm.cc="В"),"B",IF(_xlpm.cc="D","D","С")))</f>
        <v>С</v>
      </c>
      <c r="DO302" t="str">
        <f t="shared" si="589"/>
        <v>2P С16А 30мА</v>
      </c>
      <c r="DP302">
        <f t="shared" si="590"/>
        <v>16</v>
      </c>
      <c r="DQ302" t="str">
        <f t="shared" si="591"/>
        <v>2P С16А 30мА</v>
      </c>
      <c r="DR302" cm="1">
        <f t="array" ref="DR302">IF(DQ302="","",_xlfn.LET(_xlpm.t,SUBSTITUTE(SUBSTITUTE(SUBSTITUTE(UPPER(DQ302),"С","C"),"А","A"),"В","B"),_xlpm.tk,_xlfn.TEXTSPLIT(_xlpm.t," "),_xlpm.f,_xlfn._xlws.FILTER(_xlpm.tk,ISNUMBER(--MID(_xlpm.tk,2,1))*ISNUMBER(SEARCH(LEFT(_xlpm.tk,1)&amp;"#","B#C#D#"))*(LEN(_xlpm.tk)&gt;1),""),_xlpm.x,INDEX(_xlpm.f,1),IFERROR(--SUBSTITUTE(MID(_xlpm.x,2,9),"A",""),IFERROR(--SUBSTITUTE(INDEX(_xlfn._xlws.FILTER(_xlpm.tk,ISNUMBER(--SUBSTITUTE(_xlpm.tk,"A","")),""),1),"A",""),""))))</f>
        <v>16</v>
      </c>
      <c r="DS302" t="str">
        <f t="shared" si="592"/>
        <v>ok</v>
      </c>
      <c r="DT302">
        <f t="shared" si="593"/>
        <v>16</v>
      </c>
      <c r="DU302" t="str">
        <f t="shared" si="594"/>
        <v>2P С16А 30мА</v>
      </c>
      <c r="DV302">
        <f t="shared" si="595"/>
        <v>30</v>
      </c>
      <c r="DW302">
        <f t="shared" si="596"/>
        <v>1</v>
      </c>
      <c r="DX302">
        <f t="shared" si="597"/>
        <v>0</v>
      </c>
      <c r="DY302">
        <f t="shared" si="598"/>
        <v>1.0939268258329751</v>
      </c>
      <c r="DZ302">
        <f t="shared" si="599"/>
        <v>1</v>
      </c>
      <c r="EA302">
        <f>IF(ISNUMBER(AP302),AP302,К_прокл)</f>
        <v>1</v>
      </c>
      <c r="EB302">
        <f t="shared" si="600"/>
        <v>2</v>
      </c>
      <c r="EC302">
        <f>IFERROR(N(VLOOKUP(BZ302,Кабель_обозначение,3,FALSE)),1)</f>
        <v>1</v>
      </c>
      <c r="ED302">
        <f>IFERROR(N(_xlfn.XLOOKUP(A302,Щиты[Щит],Щиты[ΔU до шин, %])),0)</f>
        <v>1.79</v>
      </c>
      <c r="EE302" t="str">
        <f>IFERROR(_xlfn.XLOOKUP(A302,Щиты[Щит],Щиты[Zпетли на шинах, Ом]),"")</f>
        <v/>
      </c>
      <c r="EF302">
        <f>IFERROR(N(_xlfn.XLOOKUP(A302,Щиты[Щит],Щиты[ΔU до шин (подбор), %])),0)</f>
        <v>4.75</v>
      </c>
      <c r="EG302" t="str">
        <f>IFERROR(_xlfn.XLOOKUP(A302,Щиты[Щит],Щиты[Zпетли на шинах (подбор), Ом]),"")</f>
        <v/>
      </c>
      <c r="EH302" t="str">
        <f t="shared" si="601"/>
        <v/>
      </c>
      <c r="EI302">
        <f t="shared" si="602"/>
        <v>35</v>
      </c>
      <c r="EJ302">
        <f t="shared" si="603"/>
        <v>2</v>
      </c>
      <c r="EK302">
        <f t="shared" si="604"/>
        <v>0.31</v>
      </c>
      <c r="EL302" s="6">
        <f>IF(B302="","",IF(BV302=1,dU_LED,IF(IFERROR(_xlfn.XLOOKUP(BC302,Коды_код,Коды_уго),"")="Светильник",3,4)+IF(Методика="нормы 2026",MIN(0.5,MAX(0,N(P302)-100)*0.005),0)))</f>
        <v>4</v>
      </c>
      <c r="EM302" t="str" cm="1">
        <f t="array" ref="EM302">IF(OR(B302="",BZ302="",EC302&lt;&gt;1),"",_xlfn.LET(_xlpm.sz,Iдоп_S,_xlpm.t_,CHOOSE(EB302,Iдоп_1ж,Iдоп_2ж,Iдоп_3ж)*DZ302*EA302,_xlpm.dcx,BV302=1,_xlpm.inn,IF(_xlpm.dcx,N(O302),N(DT302)),_xlpm.smin,MAX(1.5,CC302),_xlpm.L_,N(P302)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302)/N(BU302)*100,999),IFERROR(N(EJ302)*(_xlpm.rho*_xlpm.L_/_xlpm.sz*N(CE302)+_xlpm.xx*_xlpm.L_*N(EK302)/1000)*N(O302)/((Uн_лин/SQRT(3))*1000)*100,999)),_xlpm.kz,IF(OR(_xlpm.dcx,DW302=1,NOT(ISNUMBER(EG302)),_xlpm.L_=0,_xlpm.inn=0),1,IFERROR(--(c_min*(Uн_лин*1000/SQRT(3))/(EG302+2*ρкз_Cu*_xlpm.L_/_xlpm.sz)&gt;=HT302*_xlpm.inn),0)),_xlpm.ok,IFERROR((_xlpm.sz&gt;=_xlpm.smin)*(_xlpm.t_&gt;=_xlpm.inn)*IF(_xlpm.L_&gt;0,(_xlpm.du_+IF(_xlpm.dcx,0,EF302)&lt;=EL302+0.00001),1)*_xlpm.kz,0),_xlpm.r_,_xlfn._xlws.FILTER(_xlpm.sz,_xlpm.ok,"не подобрано"),INDEX(_xlpm.r_,1)))</f>
        <v>не подобрано</v>
      </c>
      <c r="EN302">
        <f t="shared" si="605"/>
        <v>2.5</v>
      </c>
      <c r="EO302" cm="1">
        <f t="array" ref="EO302">IF(OR(B302="",BZ302="",EC302&lt;&gt;1),"",_xlfn.LET(_xlpm.sz,Iдоп_S,_xlpm.t_,CHOOSE(EB302,Iдоп_1ж,Iдоп_2ж,Iдоп_3ж)*DZ302*EA302,_xlpm.ok,IFERROR((_xlpm.sz&gt;=MAX(1.5,CC302))*(_xlpm.t_&gt;=N(DT302)),0),_xlpm.r_,_xlfn._xlws.FILTER(_xlpm.sz,_xlpm.ok,""),INDEX(_xlpm.r_,1)))</f>
        <v>1.5</v>
      </c>
      <c r="EP302" s="6" cm="1">
        <f t="array" ref="EP302">IFERROR(ROUNDUP(N(EJ302)*(_xlfn.XLOOKUP(EO302,INDEX(Кабель_сопротивление,0,1),INDEX(Кабель_сопротивление,0,3))*N(P302)/EO302*N(CE302)+_xlfn.XLOOKUP(EO302,INDEX(Кабель_сопротивление,0,1),INDEX(Кабель_сопротивление,0,2))*N(P302)*N(EK302)/1000)*N(O302)/((Uн_лин/SQRT(3))*1000)*100,2),"")</f>
        <v>0.6</v>
      </c>
      <c r="EQ302">
        <f>IFERROR(2*ρкз_Cu*N(P302)/EO302,"")</f>
        <v>1.5429333333333333</v>
      </c>
      <c r="ER302">
        <f>IFERROR(VLOOKUP(EN302,Кабель_сопротивление,3,FALSE),"")</f>
        <v>2.2499999999999999E-2</v>
      </c>
      <c r="ES302">
        <f>IFERROR(VLOOKUP(EN302,Кабель_сопротивление,2,FALSE),"")</f>
        <v>0.1</v>
      </c>
      <c r="ET302">
        <f t="shared" si="606"/>
        <v>26</v>
      </c>
      <c r="EU302">
        <f t="shared" si="607"/>
        <v>40</v>
      </c>
      <c r="EV302">
        <f t="shared" si="608"/>
        <v>0.8260547761376027</v>
      </c>
      <c r="EW302" s="6">
        <f>IFERROR(ROUNDUP(EV302/IF(BV302=1,BU302,(Uн_лин/SQRT(3))*1000)*100,2),"")</f>
        <v>0.36</v>
      </c>
      <c r="EX302" t="str">
        <f>IFERROR(VLOOKUP(BZ302,Кабель_обозначение,2,FALSE),"")</f>
        <v>ВВГнг(А)-LS</v>
      </c>
      <c r="EY302" t="str">
        <f t="shared" si="609"/>
        <v>ВВГнг(А)-LS (3х2,5)</v>
      </c>
      <c r="EZ302" t="str">
        <f t="shared" si="610"/>
        <v>ВВГнг(А)-LS (3х2,5)
L=44-0,36%</v>
      </c>
      <c r="FA302">
        <f>IFERROR(2*ρкз_Cu*P302/EN302,"")</f>
        <v>0.92576000000000003</v>
      </c>
      <c r="FB302">
        <f t="shared" si="611"/>
        <v>0.308</v>
      </c>
      <c r="FC302" s="6" t="str">
        <f>IFERROR(IF(OR(B302="",BV302=1,NOT(ISNUMBER(EN302)),N(P302)=0),"",_xlfn.XLOOKUP(A302,Щиты[Щит],Щиты[Zпетли на шинах, Ом])+FA302),"")</f>
        <v/>
      </c>
      <c r="FD302" s="6" t="str">
        <f>IF(ISNUMBER(FC302),c_min*(Uн_лин*1000/SQRT(3))/FC302,"")</f>
        <v/>
      </c>
      <c r="FE302" s="6" t="str">
        <f>IFERROR(IF(OR(B302="",NOT(ISNUMBER(EN302))),"",1.05*(Uн_лин*1000/SQRT(3))/(_xlfn.XLOOKUP(A302,Щиты[Щит],Щиты[Zmax на шинах, Ом])+FB302)/1000),"")</f>
        <v/>
      </c>
      <c r="FF302" s="6" t="str">
        <f>IF(B302="","",IF(ISNUMBER(AC302),"Сил",IF(IFERROR(_xlfn.XLOOKUP(BC302,Коды_код,Коды_группа)&amp;"","")="","Быт",_xlfn.XLOOKUP(BC302,Коды_код,Коды_группа)&amp;"")))</f>
        <v>Быт</v>
      </c>
      <c r="FG302" s="6" t="str">
        <f t="shared" si="612"/>
        <v>Быт</v>
      </c>
      <c r="FH302" s="6">
        <f>IF(FG302="Щит","щит",IF(FG302="","",IF(FG302="Быт",IFERROR(_xlfn.XLOOKUP(A302,Щиты[Щит],Щиты[Кс быт]),1),IF(FG302="Сил",IF(ISNUMBER(AC302),AC302,IF(Методика="нормы 2026",IFERROR(_xlfn.XLOOKUP(A302,Щиты[Щит],Щиты[Кс силовых (табл. 7.5)]),1),1)),IF(OR(FG302="Пост",FG302="Отоп"),1,IF(FG302="ВНГ",0.7,0))))))</f>
        <v>0.8</v>
      </c>
      <c r="FI302">
        <f>IF(FG302="","",IF(AND(BP302=1,TRIM(AE302&amp;"")=""),IF(COUNTIFS(Линии[Щит],A302,Линии[Секция (1/2/3)],"&gt;=2")&gt;0,MIN(3,MAX(1,IFERROR(--BD302,1))),1),IFERROR(MIN(3,MAX(1,INT(--AE302))),1)))</f>
        <v>1</v>
      </c>
      <c r="FJ302">
        <f t="shared" si="613"/>
        <v>0.24</v>
      </c>
      <c r="FK302">
        <f t="shared" si="614"/>
        <v>0.24</v>
      </c>
      <c r="FL302">
        <f t="shared" si="615"/>
        <v>0</v>
      </c>
      <c r="FM302">
        <f t="shared" si="616"/>
        <v>0</v>
      </c>
      <c r="FN302">
        <f t="shared" si="617"/>
        <v>0</v>
      </c>
      <c r="FO302">
        <f t="shared" si="618"/>
        <v>0</v>
      </c>
      <c r="FP302">
        <f t="shared" si="619"/>
        <v>0.24</v>
      </c>
      <c r="FQ302">
        <f t="shared" si="620"/>
        <v>0.24</v>
      </c>
      <c r="FR302">
        <f t="shared" si="621"/>
        <v>0.22799999999999998</v>
      </c>
      <c r="FS302">
        <f>IF(CG302=1,IF(AND(CH302=1,CW302=1),0,IF(AND(CS302&lt;&gt;"",CS302=BA302,CW302=1),SUMIFS(Линии[_Р линии, кВт],Линии[_блок УЗО],BA302,Линии[Щит],A302),N(BS302)+IF(AJ302="вручную",0,N(CK302)))),0)</f>
        <v>0.24</v>
      </c>
      <c r="FT302" t="str">
        <f t="shared" si="622"/>
        <v>L2</v>
      </c>
      <c r="FU302" t="str">
        <f>IF(B302="","",IF(CG302=0,IF(BA302=1,"",FW301),IF(AND(CH302=1,CW302=1,CS302&lt;&gt;""),IFERROR(_xlfn.XLOOKUP(CS302,Линии[_n],Линии[_фаза итог]),"L1"),IF(OR(N(DL302)&gt;=3,N(BX302)&gt;=3),"L1,L2,L3",IFERROR(_xlfn.TEXTBEFORE(_xlfn.TEXTAFTER(_xlfn.XLOOKUP(A302,Щиты[Щит],Щиты[_фазы авто]),";"&amp;BA302&amp;":"),";"),"L1")))))</f>
        <v>L1</v>
      </c>
      <c r="FV302" t="str">
        <f t="shared" si="623"/>
        <v>L2</v>
      </c>
      <c r="FW302" t="str">
        <f t="shared" si="624"/>
        <v>L2</v>
      </c>
      <c r="FX302" cm="1">
        <f t="array" ref="FX302">IFERROR(IF(CD302=2,_xlfn.IFS(BX302=3,VLOOKUP(BS302,Справочная_двигатели,3,FALSE),BX302=1,VLOOKUP(BS302,Справочная_двигатели,5,TRUE)),0),0)</f>
        <v>0</v>
      </c>
      <c r="FY302">
        <f>IFERROR(IF(CD302=3,VLOOKUP(BS302,Справочная_ЛЭД,2,TRUE),0),0)</f>
        <v>0</v>
      </c>
      <c r="FZ302" s="6">
        <f t="shared" si="625"/>
        <v>0</v>
      </c>
      <c r="GA302" t="str">
        <f>IF(B302="","",IF(TRIM(AH302&amp;"")&lt;&gt;"",IF(LOWER(TRIM(AH302&amp;""))="да","да","нет"),IF(IFERROR(_xlfn.XLOOKUP(BC302,Коды_код,Коды_пожарная),"")="да","да","нет")))</f>
        <v>нет</v>
      </c>
      <c r="GB302" t="str">
        <f t="shared" si="626"/>
        <v/>
      </c>
      <c r="GC302" t="str">
        <f t="shared" si="627"/>
        <v>основная</v>
      </c>
      <c r="GD302">
        <f>IF(AND(BP302=1,TRIM(AE302&amp;"")=""),IF(COUNTIFS(Линии[Щит],A302,Линии[Секция (1/2/3)],"&gt;=2")&gt;0,MIN(3,MAX(1,IFERROR(--BD302,1))),1),IFERROR(MIN(3,MAX(1,INT(--AE302))),1))</f>
        <v>1</v>
      </c>
      <c r="GE302" t="str" cm="1">
        <f t="array" ref="GE302">IF(B302="","",_xlfn.LET(_xlpm.t,IFERROR(_xlfn.XLOOKUP(1,(Шины[Шина]=GC302)*(((Шины[Щит]=A302)+(Шины[Щит]=""))&gt;0),Шины[Тип]),"")&amp;"",IF(_xlpm.t&lt;&gt;"",_xlpm.t,IF(ISNUMBER(SEARCH("ИБП",GC302)),"ИБП",IF(ISNUMBER(SEARCH("ДГУ",GC302)),"ДГУ","Ввод "&amp;GD302)))))</f>
        <v>Ввод 1</v>
      </c>
      <c r="GF302" t="str">
        <f t="shared" si="628"/>
        <v>Ввод 1</v>
      </c>
      <c r="GG302" t="str">
        <f>IF(BP302=0,"",IF(TRIM(AG302&amp;"")&lt;&gt;"",TRIM(AG302&amp;""),IF(OR(GE302="ИБП",GE302="ДГУ"),"I особая",_xlfn.XLOOKUP(A302,Щиты[Щит],Щиты[Категория шины «Ввод»],"III"))))</f>
        <v/>
      </c>
      <c r="GH302" t="str">
        <f>IF(A302="","",_xlfn.XLOOKUP(A302,Щиты[Щит],Щиты[Путь],""))</f>
        <v>|ГРЩ-ЖД|ЩР-2|</v>
      </c>
      <c r="GI302" t="str">
        <f>IF(B302="","",IF(AI302&lt;&gt;"",AI302,IF(IFERROR(_xlfn.XLOOKUP(BC302,Коды_код,Коды_вид)&amp;"","")="","Прочее",_xlfn.XLOOKUP(BC302,Коды_код,Коды_вид)&amp;"")))</f>
        <v>Розеточная сеть и бытовые приборы</v>
      </c>
      <c r="GJ302">
        <f>IF(BM302="","",INT((BM302-1)/Столбцов_на_лист)+1)</f>
        <v>2</v>
      </c>
      <c r="GK302" t="str">
        <f t="shared" si="629"/>
        <v>ВВГнг(А)-LS (3х2,5) L=44-0,36%</v>
      </c>
      <c r="GL302">
        <f t="shared" si="630"/>
        <v>0.24</v>
      </c>
      <c r="GM302">
        <f t="shared" si="631"/>
        <v>1.1000000000000001</v>
      </c>
      <c r="GN302">
        <f t="shared" si="632"/>
        <v>1</v>
      </c>
      <c r="GO302">
        <f t="shared" si="633"/>
        <v>0</v>
      </c>
      <c r="GP302">
        <f t="shared" si="634"/>
        <v>1</v>
      </c>
      <c r="GQ302">
        <f>IF(BM302="","",IF(AND(CG302=1,GP302=1),COUNTIFS(A$3:A302,A302,CG$3:CG302,1,GP$3:GP302,1),IF(OR(OR(BA302=1,A302&lt;&gt;A301),AJ302="вручную",GP302=0),"",IF(BA302=1,"",GR301))))</f>
        <v>19</v>
      </c>
      <c r="GR302">
        <f t="shared" si="635"/>
        <v>19</v>
      </c>
      <c r="GS302">
        <f>IF(B302="","",IFERROR(LOOKUP(INDEX(CHOOSE(EB302,Iдоп_1ж,Iдоп_2ж,Iдоп_3ж),MATCH(EN302,Iдоп_S,0))*DZ302*EA302,{6,10,16,20,25,32,40,50,63,80,100,125,160,200,250,315,400,500,630}),""))</f>
        <v>25</v>
      </c>
      <c r="GT302" t="str">
        <f t="shared" si="636"/>
        <v>QFD19</v>
      </c>
      <c r="GU302" t="str">
        <f t="shared" si="637"/>
        <v>QFD19</v>
      </c>
      <c r="GV302" t="str">
        <f t="shared" si="638"/>
        <v/>
      </c>
      <c r="GW302">
        <f t="shared" si="639"/>
        <v>0</v>
      </c>
      <c r="GX302" t="str">
        <f>IF(OR(B302="",DJ302=""),"",IFERROR(_xlfn.XLOOKUP(DJ302,Модули_умолч[Управление],Модули_умолч[Модель])&amp;"",""))</f>
        <v/>
      </c>
      <c r="GY302">
        <f>IF(DJ302="",1,IFERROR(MAX(0,N(_xlfn.XLOOKUP(DJ302,Модули_умолч[Управление],Модули_умолч[Каналов на линию]))),1))</f>
        <v>1</v>
      </c>
      <c r="GZ302" t="str">
        <f t="shared" si="640"/>
        <v/>
      </c>
      <c r="HA302" t="str">
        <f t="shared" si="641"/>
        <v/>
      </c>
      <c r="HB302" t="str">
        <f t="shared" si="642"/>
        <v/>
      </c>
      <c r="HC302">
        <f>IF(HB302="",0,IFERROR(N(VLOOKUP(HB302,Модули_спр,3,FALSE)),0))</f>
        <v>0</v>
      </c>
      <c r="HD302" t="str">
        <f t="shared" si="643"/>
        <v/>
      </c>
      <c r="HE302" t="str">
        <f t="shared" si="644"/>
        <v/>
      </c>
      <c r="HF302" t="str">
        <f>IF(OR(HE302="",HE302="-"),"",IFERROR(VLOOKUP(HE302,Модули_спр,2,FALSE),"R"))</f>
        <v/>
      </c>
      <c r="HG302" t="str">
        <f>IF(HF302="","",HF302&amp;"."&amp;COUNTIFS(A$3:A302,A302,HF$3:HF302,HF302))</f>
        <v/>
      </c>
      <c r="HH302" t="str">
        <f t="shared" si="645"/>
        <v/>
      </c>
      <c r="HI302" t="str">
        <f t="shared" si="646"/>
        <v/>
      </c>
      <c r="HJ302" t="str">
        <f t="shared" si="647"/>
        <v/>
      </c>
      <c r="HK302" t="str">
        <f t="shared" si="648"/>
        <v/>
      </c>
      <c r="HL302">
        <f t="shared" si="649"/>
        <v>1</v>
      </c>
      <c r="HM302" t="str">
        <f>IF(HL302=1,"XT"&amp;COUNTIFS(A$3:A302,A302,HL$3:HL302,1),"")</f>
        <v>XT19</v>
      </c>
      <c r="HN302" t="str">
        <f t="shared" si="650"/>
        <v/>
      </c>
      <c r="HO302" t="str">
        <f t="shared" si="651"/>
        <v>QFD19</v>
      </c>
      <c r="HP302" t="str">
        <f t="shared" si="652"/>
        <v/>
      </c>
      <c r="HQ302" t="str">
        <f t="shared" si="653"/>
        <v>ok</v>
      </c>
      <c r="HR302" t="str">
        <f>IF(OR(HJ302="",HH302=""),"",IF(HJ302+MAX(0,GY302-1)&gt;IFERROR(VLOOKUP(HI302,Модули_спр,3,FALSE),99),"ЛИШНИЙ КАНАЛ",IF(AND(AL302&lt;&gt;"=",GY302&gt;0,COUNTIFS(Линии[_модуль гр.],HH302,Линии[Канал (итог)],HJ302,Линии[Канал],"&lt;&gt;=",Линии[Щит],A302)&gt;1),"ДУБЛЬ КАНАЛА","")))</f>
        <v/>
      </c>
      <c r="HS302" s="6" t="str">
        <f t="shared" si="654"/>
        <v/>
      </c>
      <c r="HT302">
        <f t="shared" si="655"/>
        <v>10</v>
      </c>
      <c r="HU302" t="str">
        <f t="shared" si="656"/>
        <v/>
      </c>
      <c r="HV302">
        <f t="shared" si="657"/>
        <v>0.87757073033319011</v>
      </c>
      <c r="HW302">
        <f t="shared" si="658"/>
        <v>0</v>
      </c>
      <c r="HX302">
        <f t="shared" si="659"/>
        <v>0</v>
      </c>
      <c r="HY302">
        <f t="shared" si="660"/>
        <v>0</v>
      </c>
      <c r="HZ302">
        <f t="shared" si="661"/>
        <v>0</v>
      </c>
      <c r="IA302">
        <f t="shared" si="662"/>
        <v>0</v>
      </c>
      <c r="IB302">
        <f t="shared" si="663"/>
        <v>0</v>
      </c>
      <c r="IC302" t="str">
        <f t="shared" si="664"/>
        <v/>
      </c>
      <c r="ID302" t="str" cm="1">
        <f t="array" ref="ID302">IF(IC302="","",_xlfn.LET(_xlpm.tk,_xlfn.TEXTSPLIT(SUBSTITUTE(SUBSTITUTE(IC302,";"," "),"→"," ")," ",,TRUE),_xlpm.w_,_xlfn._xlws.FILTER(_xlpm.tk,ISNUMBER(--LEFT(_xlpm.tk,1))*((ISNUMBER(SEARCH("W",_xlpm.tk))+ISNUMBER(SEARCH("Вт",_xlpm.tk)))&gt;0),""),IFERROR(--SUBSTITUTE(SUBSTITUTE(UPPER(INDEX(_xlpm.w_,1)),"W",""),"ВТ",""),"")))</f>
        <v/>
      </c>
      <c r="IE302" t="str" cm="1">
        <f t="array" ref="IE302">IF(IC302="","",_xlfn.LET(_xlpm.tk,_xlfn.TEXTSPLIT(SUBSTITUTE(SUBSTITUTE(IC302,";"," "),"→"," ")," ",,TRUE),_xlpm.v_,_xlfn._xlws.FILTER(_xlpm.tk,ISNUMBER(--LEFT(_xlpm.tk,1))*((ISNUMBER(SEARCH("V",_xlpm.tk))+(RIGHT(UPPER(_xlpm.tk))="В"))&gt;0),""),IFERROR(--SUBSTITUTE(SUBSTITUTE(UPPER(INDEX(_xlpm.v_,1)),"V",""),"В",""),"")))</f>
        <v/>
      </c>
      <c r="IF302" s="6" t="str">
        <f>IF(OR(BV302=0,HI302="",HJ302=""),"",IFERROR(N(_xlfn.XLOOKUP(HI302,Каталог!$C$4:$C$500,Каталог!$Q$4:$Q$500)),""))</f>
        <v/>
      </c>
      <c r="IG302" s="6" t="str">
        <f>IF(N(IF302)=0,"",SUMIFS(Линии[Iр, А],Линии[Щит],A302,Линии[_модуль гр.],HH302,Линии[Канал (итог)],HJ302))</f>
        <v/>
      </c>
      <c r="IH302" t="str">
        <f>IF(AND(B302="",HO302=""),"",_xlfn.TEXTJOIN("; ",TRUE,IF(AND(B302&lt;&gt;"",FV302=""),"нет фазы",""),IF(AND(B302&lt;&gt;"",N(GL302)=0,FG302&lt;&gt;"Нет"),"нет мощности",""),IF(AND(HN302&lt;&gt;"",COUNTIFS(Линии[Щит],A302,Линии[Клемма (итог)],HN302)&gt;1),"дубль клеммы "&amp;HN302,""),IF(AND(HQ302&lt;&gt;"",HQ302&lt;&gt;"ok"),HQ302,""),IF(HR302&lt;&gt;"",HR302,""),IF(AND(N(CB302)&gt;=4,N(BX302)=1),CB302&amp;" жил на 1 фазе",""),IF(AND(BC302="R",CG302=1,IF(CS302&lt;&gt;"",N(CV302)&gt;30,OR(N(DA302)=0,N(DA302)&gt;30))),"розетка без дифзащиты до 30 мА",""),IF(AND(CG302=1,N(DA302)&gt;0,ISNUMBER(T302)),IF(T302&gt;N(DA302)/3,"ток утечки "&amp;FIXED(T302,1)&amp;" мА &gt; 1/3 уставки ("&amp;DA302&amp;" мА)",""),""),IF(AND(CH302=1,CS302=""),"«узо»: нет строки с УЗО выше (УЗО 2P 40А 30мА в «Аппаратах»)",""),IF(AND(CS302&lt;&gt;"",CS302=BA302),IF(CT302="","впишите номинал УЗО (УЗО 2P 40А 30мА)",IF(N(CT302)&lt;N(DT302),"УЗО "&amp;CT302&amp;" А &lt; автомата "&amp;DT302&amp;" А перед ним",IF(N(CT302)&lt;N(CX302),"УЗО "&amp;CT302&amp;" А &lt; тока блока "&amp;FIXED(CX302,1)&amp;" А",""))),""),IF(AND(CS302&lt;&gt;"",CS302=BA302,ISNUMBER(CY302)),IF(CY302&gt;N(CV302)/3,"ток утечки блока УЗО "&amp;FIXED(CY302,1)&amp;" мА &gt; 1/3 уставки ("&amp;CV302&amp;" мА)",""),""),IF(AND(CG302=1,N(BV302)+N(IB302)&gt;0,IC302=""),"линии до 50 В без БП: впишите в «Аппараты» (БП 24V 480W)",""),IF(AND(CG302=1,ISNUMBER(ID302),ISNUMBER(U302)),IF(U302&gt;ID302,"БП "&amp;ID302&amp;" Вт &lt; нужно "&amp;U302&amp;" Вт (×"&amp;Запас_БП&amp;")",""),""),IF(AND(CG302=1,ISNUMBER(IE302),N(BV302)=1),IF(IE302&lt;&gt;N(BU302),"БП на "&amp;IE302&amp;" В, линия "&amp;BU302&amp;" В",""),""),IF(AND(N(IF302)&gt;0,N(IG302)&gt;N(IF302)),HH302&amp;" канал "&amp;HJ302&amp;": "&amp;FIXED(IG302,1)&amp;" А &gt; "&amp;IF302&amp;" А",""),IFERROR(IF(AND(ISNUMBER(Q302),Q302&gt;EL302),"потери "&amp;FIXED(Q302,1)&amp;" % &gt; "&amp;EL302&amp;" %",""),""),IFERROR(IF(LEFT(HU302,4)="мало","Iкз мало — отключение &gt; 0,4 с",""),""),IF(AND(B302&lt;&gt;"",BM302=""),"не на схеме",""),IF(AND(CG302=0,B302&lt;&gt;"",FV302&lt;&gt;"",IF(BA302=1,"",FW301)&lt;&gt;"",FV302&lt;&gt;IF(BA302=1,"",FW301)),"фаза не как у автомата группы ("&amp;IF(BA302=1,"",FW301)&amp;")","")))</f>
        <v/>
      </c>
      <c r="II302" s="6">
        <f>IF(OR(CG302=0,DQ302=""),"",_xlfn.LET(_xlpm.t,IFERROR(_xlfn.XLOOKUP(DQ302,Каталог!$U$4:$U$500,Каталог!$G$4:$G$500),""),_xlpm.k,SEARCH("кА",_xlpm.t),IFERROR(--TRIM(RIGHT(SUBSTITUTE(MID(_xlpm.t,MAX(1,_xlpm.k-4),_xlpm.k-MAX(1,_xlpm.k-4))," ",REPT(" ",9)),5)),"")))</f>
        <v>6</v>
      </c>
      <c r="IJ302" t="str">
        <f>IF(OR(II302="",CG302=0),"",IF(_xlfn.XLOOKUP(A302,Щиты[Щит],Щиты[Iкз max на шинах, кА],"")="","",IF(II302&lt;_xlfn.XLOOKUP(A302,Щиты[Щит],Щиты[Iкз max на шинах, кА]),"Icu "&amp;II302&amp;" кА &lt; Iкз max","ok")))</f>
        <v/>
      </c>
      <c r="IK302" t="str">
        <f t="shared" si="665"/>
        <v/>
      </c>
      <c r="IL302" t="str">
        <f t="shared" si="666"/>
        <v>QFD19</v>
      </c>
      <c r="IM302" t="str">
        <f t="shared" si="667"/>
        <v>QFD19|кабель ВВГнг(А)-LS (3х2,5) → Розеточная группа, пом. 022Б</v>
      </c>
      <c r="IN302" t="str" cm="1">
        <f t="array" ref="IN302">IF(IM302="","",_xlfn.LET(_xlpm.nd,_xlfn.TEXTSPLIT(IM302,"|"),IF(COLUMNS(_xlpm.nd)&gt;1,A302&amp;"¦"&amp;INDEX(_xlpm.nd,1)&amp;"¦"&amp;INDEX(_xlpm.nd,2),"")))</f>
        <v>ЩР-2¦QFD19¦кабель ВВГнг(А)-LS (3х2,5) → Розеточная группа, пом. 022Б</v>
      </c>
      <c r="IO302" t="str">
        <f t="shared" si="668"/>
        <v>R.2.022Б.1¦Розеточная группа, пом. 022Б</v>
      </c>
      <c r="IP302" t="str" cm="1">
        <f t="array" ref="IP302">IF(IM302="","",_xlfn.LET(_xlpm.nd,_xlfn.TEXTSPLIT(IM302,"|"),IF(COLUMNS(_xlpm.nd)&gt;2,A302&amp;"¦"&amp;INDEX(_xlpm.nd,2)&amp;"¦"&amp;INDEX(_xlpm.nd,3),"")))</f>
        <v/>
      </c>
      <c r="IQ302" t="str">
        <f t="shared" si="669"/>
        <v/>
      </c>
      <c r="IR302" t="str" cm="1">
        <f t="array" ref="IR302">IF(IM302="","",_xlfn.LET(_xlpm.nd,_xlfn.TEXTSPLIT(IM302,"|"),IF(COLUMNS(_xlpm.nd)&gt;3,A302&amp;"¦"&amp;INDEX(_xlpm.nd,3)&amp;"¦"&amp;INDEX(_xlpm.nd,4),"")))</f>
        <v/>
      </c>
      <c r="IS302" t="str">
        <f t="shared" si="670"/>
        <v/>
      </c>
      <c r="IT302" t="str" cm="1">
        <f t="array" ref="IT302">IF(IM302="","",_xlfn.LET(_xlpm.nd,_xlfn.TEXTSPLIT(IM302,"|"),IF(COLUMNS(_xlpm.nd)&gt;4,A302&amp;"¦"&amp;INDEX(_xlpm.nd,4)&amp;"¦"&amp;INDEX(_xlpm.nd,5),"")))</f>
        <v/>
      </c>
      <c r="IU302" t="str">
        <f t="shared" si="671"/>
        <v/>
      </c>
      <c r="IV302" t="str" cm="1">
        <f t="array" ref="IV302">IF(IM302="","",_xlfn.LET(_xlpm.nd,_xlfn.TEXTSPLIT(IM302,"|"),IF(COLUMNS(_xlpm.nd)&gt;5,A302&amp;"¦"&amp;INDEX(_xlpm.nd,5)&amp;"¦"&amp;INDEX(_xlpm.nd,6),"")))</f>
        <v/>
      </c>
      <c r="IW302" t="str">
        <f t="shared" si="672"/>
        <v/>
      </c>
      <c r="IX302" t="str" cm="1">
        <f t="array" ref="IX302">IF(IM302="","",_xlfn.LET(_xlpm.nd,_xlfn.TEXTSPLIT(IM302,"|"),IF(COLUMNS(_xlpm.nd)&gt;6,A302&amp;"¦"&amp;INDEX(_xlpm.nd,6)&amp;"¦"&amp;INDEX(_xlpm.nd,7),"")))</f>
        <v/>
      </c>
      <c r="IY302" t="str">
        <f t="shared" si="673"/>
        <v/>
      </c>
      <c r="IZ302" t="str">
        <f t="shared" si="674"/>
        <v/>
      </c>
      <c r="JA302" t="str">
        <f t="shared" si="675"/>
        <v>QFD19</v>
      </c>
      <c r="JB302">
        <f t="shared" si="676"/>
        <v>0</v>
      </c>
      <c r="JC302">
        <f t="shared" si="677"/>
        <v>1</v>
      </c>
      <c r="JD302" t="str">
        <f t="shared" si="678"/>
        <v/>
      </c>
      <c r="JE302" t="str">
        <f t="shared" si="679"/>
        <v/>
      </c>
      <c r="JF302" t="str">
        <f t="shared" si="680"/>
        <v/>
      </c>
      <c r="JG302" t="str">
        <f t="shared" si="681"/>
        <v/>
      </c>
      <c r="JH302" t="str">
        <f>IF(B302="","",IFERROR(_xlfn.XLOOKUP(B302,Коды_код,Коды_уго),IFERROR(_xlfn.XLOOKUP(BC302,Коды_код,Коды_уго),IFERROR(_xlfn.XLOOKUP(LEFT(BC302,2),Коды_код,Коды_уго),""))))</f>
        <v>Розетка</v>
      </c>
      <c r="JI302" t="str">
        <f>IF(B302="","",IF(OR(JH302="",JH302=0),"BOX",IFERROR(IF(VLOOKUP(JH302,УГО_блоки,3,FALSE)&amp;""&lt;&gt;"",VLOOKUP(JH302,УГО_блоки,3,FALSE),VLOOKUP(JH302,УГО_блоки,2,FALSE)),JH302)))</f>
        <v>SOCKET</v>
      </c>
      <c r="JJ302">
        <f t="shared" si="682"/>
        <v>1</v>
      </c>
      <c r="JK302" t="str">
        <f>IF(DQ302="","",IF(COUNTIF(DQ$3:DQ302,DQ302)=1,MAX(JK$2:JK301)+1,""))</f>
        <v/>
      </c>
      <c r="JL302" t="str">
        <f>IF(DE302="","",IF(COUNTIF(DE$3:DE302,DE302)+COUNTIF(DF$2:DF301,DE302)+COUNTIF(DG$2:DG301,DE302)=1,MAX(JL$2:JN301)+1,""))</f>
        <v/>
      </c>
      <c r="JM302" t="str">
        <f>IF(DF302="","",IF(COUNTIF(DE$3:DE302,DF302)+COUNTIF(DF$3:DF302,DF302)+COUNTIF(DG$2:DG301,DF302)=1,MAX(JL$2:JN301,JL302)+1,""))</f>
        <v/>
      </c>
      <c r="JN302" t="str">
        <f>IF(DG302="","",IF(COUNTIF(DE$3:DE302,DG302)+COUNTIF(DF$3:DF302,DG302)+COUNTIF(DG$3:DG302,DG302)=1,MAX(JL$2:JN301,JL302,JM302)+1,""))</f>
        <v/>
      </c>
      <c r="JO302" t="str">
        <f t="shared" si="683"/>
        <v>3х2,5</v>
      </c>
      <c r="JP302" t="str">
        <f>IF(JO302="","",IF(COUNTIF(JO$3:JO302,JO302)=1,MAX(JP$2:JP301)+1,""))</f>
        <v/>
      </c>
      <c r="JQ302" t="str">
        <f>IF(HG302="","",COUNTIF(HG$3:HG302,"?*"))</f>
        <v/>
      </c>
      <c r="JR302" t="str">
        <f>IF(OR(HG302="",HI302=""),"",IF(COUNTIFS(HG$3:HG302,"?*",HI$3:HI302,HI302)=1,MAX(JR$2:JR301)+1,""))</f>
        <v/>
      </c>
      <c r="JS302">
        <f t="shared" si="684"/>
        <v>0</v>
      </c>
      <c r="JT302">
        <f>IF(B302="","",COUNTIF(B$3:B302,"?*"))</f>
        <v>300</v>
      </c>
      <c r="JU302">
        <f>IF(HL302&lt;&gt;1,0,_xlfn.LET(_xlpm.k,MAX(IFERROR(--_xlfn.XLOOKUP(B302,Коды_код,Коды_3L),0),IFERROR(--_xlfn.XLOOKUP(BC302,Коды_код,Коды_3L),0),IFERROR(--_xlfn.XLOOKUP(LEFT(BC302,2),Коды_код,Коды_3L),0)),IF(_xlpm.k&gt;0,_xlpm.k,IF(IFERROR(--LEFT(SUBSTITUTE(JO302,"x","х"),FIND("х",SUBSTITUTE(JO302,"x","х"))-1),3)&gt;3,Каталог!$S$9,1))))</f>
        <v>1</v>
      </c>
      <c r="JV302">
        <f t="shared" si="685"/>
        <v>0</v>
      </c>
      <c r="JW302" t="str">
        <f t="shared" si="686"/>
        <v>авто</v>
      </c>
      <c r="JX302">
        <f t="shared" si="687"/>
        <v>30</v>
      </c>
      <c r="JY302">
        <f t="shared" si="688"/>
        <v>1</v>
      </c>
      <c r="JZ302">
        <f t="shared" si="689"/>
        <v>1</v>
      </c>
    </row>
    <row r="303" spans="1:286" x14ac:dyDescent="0.3">
      <c r="A303" t="s">
        <v>759</v>
      </c>
      <c r="B303" t="s">
        <v>1608</v>
      </c>
      <c r="C303" t="str">
        <f>Линии[[#This Row],[_авто наименование]]</f>
        <v>Розеточная группа, пом. 001</v>
      </c>
      <c r="D303">
        <v>1</v>
      </c>
      <c r="E303">
        <v>0.18</v>
      </c>
      <c r="G303">
        <v>16</v>
      </c>
      <c r="H303" t="str">
        <f>Линии[[#This Row],[_авто управление]]</f>
        <v/>
      </c>
      <c r="I303" t="str">
        <f>Линии[[#This Row],[_авто аппараты]]</f>
        <v/>
      </c>
      <c r="J303">
        <v>2.5</v>
      </c>
      <c r="K303">
        <v>84</v>
      </c>
      <c r="L303">
        <v>1</v>
      </c>
      <c r="M303" t="s">
        <v>484</v>
      </c>
      <c r="N303" t="str">
        <f t="shared" si="552"/>
        <v/>
      </c>
      <c r="O303" s="6" cm="1">
        <f t="array" ref="O303">IF(B303="","",IF(BH303&lt;&gt;"",IFERROR(_xlfn.XLOOKUP(BH303,Щиты[Щит],Щиты[Iр, А]),""),IF(BP303=1,IF(OR(N(_xlfn.XLOOKUP(A303,Щиты[Щит],Щиты[Вводов],1))&lt;=1,LOWER(TRIM(_xlfn.XLOOKUP(A303,Щиты[Щит],Щиты[АВР],"")&amp;""))="да"),IFERROR(_xlfn.XLOOKUP(A303,Щиты[Щит],Щиты[Iр, А]),""),IFERROR(N(BS303)*_xlfn.XLOOKUP(A303,Щиты[Щит],Щиты[Кс итог])/(SQRT(3)*Uн_лин*_xlfn.XLOOKUP(A303,Щиты[Щит],Щиты[cos φ])),"")),IF(BV303=1,IFERROR(BS303*1000/BU303,""),IFERROR(_xlfn.IFS(BX303=1,BS303/((Uн_лин/SQRT(3))*CE303),BX303=3,BS303/(SQRT(3)*Uн_лин*CE303)),"")))))</f>
        <v>0.8204451193747313</v>
      </c>
      <c r="P303" s="7">
        <f>IF(B303="","",IFERROR(IF(VLOOKUP(BC303,Потребители_обозначение,4,FALSE)=1,VLOOKUP(BC303,Потребители_обозначение,3,FALSE)*(MAX(1,N(D303))*2-1)+EI303+VLOOKUP(BE303,Этаж_обозначение,3,FALSE)+VLOOKUP(BE303,Этаж_обозначение,4,FALSE),VLOOKUP(BC303,Потребители_обозначение,3,FALSE)*(MAX(1,N(D303))*2-1)+EI303),EI303))</f>
        <v>87</v>
      </c>
      <c r="Q303" s="6">
        <f t="shared" si="553"/>
        <v>2.33</v>
      </c>
      <c r="R303" t="str">
        <f t="shared" si="554"/>
        <v>ВВГнг(А)-LS (3х2,5)</v>
      </c>
      <c r="S303" t="str">
        <f>IF(BM303="","",IF(BN303="вводной узел","узел ","")&amp;"л."&amp;(INT((BM303-1)/Столбцов_на_лист)+1)&amp;" / "&amp;(MOD(BM303-1,Столбцов_на_лист)+1))</f>
        <v>л.2 / 13</v>
      </c>
      <c r="T303" s="119">
        <f t="shared" si="555"/>
        <v>1.2</v>
      </c>
      <c r="U303" s="7" t="str">
        <f>IF(OR(CG303=0,N(BV303)+N(IB303)=0),"",ROUNDUP(Запас_БП*(N(HY303)+N(HZ303)),0))</f>
        <v/>
      </c>
      <c r="V303" s="119" t="str">
        <f t="shared" si="556"/>
        <v/>
      </c>
      <c r="W303" s="7" t="str">
        <f>IFERROR(IF(OR(B303="",BP303=1,BV303=1,NOT(ISNUMBER(EN303)),N(DT303)=0),"",MAX(0,ROUNDDOWN((c_min*(Uн_лин*1000/SQRT(3))/(HT303*N(DT303))-_xlfn.XLOOKUP(A303,Щиты[Щит],Щиты[Zпетли на шинах, Ом]))*EN303/(2*ρкз_Cu),0))),"")</f>
        <v/>
      </c>
      <c r="Y303">
        <f>Линии[[#This Row],[_авто утечка]]</f>
        <v>30</v>
      </c>
      <c r="Z303">
        <v>1</v>
      </c>
      <c r="AA303">
        <v>230</v>
      </c>
      <c r="AB303" t="s">
        <v>562</v>
      </c>
      <c r="AG303" t="s">
        <v>810</v>
      </c>
      <c r="AI303" t="s">
        <v>561</v>
      </c>
      <c r="AK303" t="str">
        <f>Линии[[#This Row],[_авто модуль]]</f>
        <v/>
      </c>
      <c r="AM303">
        <v>30</v>
      </c>
      <c r="AN303" t="s">
        <v>11</v>
      </c>
      <c r="AO303">
        <v>3</v>
      </c>
      <c r="AQ303">
        <v>12</v>
      </c>
      <c r="AR303">
        <v>36</v>
      </c>
      <c r="AS303">
        <v>33</v>
      </c>
      <c r="AT303">
        <v>2</v>
      </c>
      <c r="BA303" cm="1">
        <f t="array" ref="BA303">ROW()-ROW(Линии[#Headers])</f>
        <v>301</v>
      </c>
      <c r="BC303" s="6" t="str">
        <f t="shared" si="557"/>
        <v>R</v>
      </c>
      <c r="BD303" t="str">
        <f t="shared" si="558"/>
        <v>2.001.1</v>
      </c>
      <c r="BE303" t="str">
        <f t="shared" si="559"/>
        <v>2</v>
      </c>
      <c r="BF303" t="str">
        <f t="shared" si="560"/>
        <v>001.1</v>
      </c>
      <c r="BG303" t="str">
        <f t="shared" si="561"/>
        <v>001</v>
      </c>
      <c r="BH303" t="str">
        <f>IF(X303&lt;&gt;"",X303,IF(AND(B303&lt;&gt;"",B303&lt;&gt;A303,ISNUMBER(_xlfn.XMATCH(B303,Щиты[Щит]))),B303,""))</f>
        <v/>
      </c>
      <c r="BI303" t="str" cm="1">
        <f t="array" ref="BI303">IF(B303="","",IF(BH303&lt;&gt;"","Щит "&amp;BH303,_xlfn.LET(_xlpm.nm,IFERROR(_xlfn.XLOOKUP(BC303,Коды_код,Коды_имя)&amp;"",""),_xlpm.md,IFERROR(N(_xlfn.XLOOKUP(BC303,Коды_код,Коды_режим)),1),_xlpm.ex,IF(Имя_режим="по экспликации",IFERROR(_xlfn.XLOOKUP(BE303&amp;"|"&amp;BG303,Экспликация[Этаж]&amp;"|"&amp;Экспликация[Помещение],Экспликация[Название])&amp;"",""),""),_xlpm.rm,IF(BG303="","",IF(_xlpm.ex&lt;&gt;"",". "&amp;_xlpm.ex&amp;IF(Имя_пом="нет"," ("&amp;BG303&amp;")"," (пом. "&amp;BG303&amp;")"),IF(Имя_пом="нет"," ",", пом. ")&amp;BG303)),IF(_xlpm.nm="","",IF(_xlpm.md=2,_xlpm.nm&amp;" шлейф "&amp;BE303,_xlpm.nm&amp;_xlpm.rm)))))</f>
        <v>Розеточная группа, пом. 001</v>
      </c>
      <c r="BJ303" t="str">
        <f t="shared" si="562"/>
        <v>Розеточная группа, пом. 001</v>
      </c>
      <c r="BK303">
        <f>IFERROR(_xlfn.XMATCH(A303,Щиты[Щит]),0)</f>
        <v>11</v>
      </c>
      <c r="BL303">
        <f>_xlfn.LET(_xlpm.k,IFERROR(_xlfn.XLOOKUP(A303,Щиты[Щит],Щиты[Мест под вводной узел]),""),IF(_xlpm.k="",Столбцов_на_лист,N(_xlpm.k)))</f>
        <v>8</v>
      </c>
      <c r="BM303">
        <f t="shared" si="563"/>
        <v>30</v>
      </c>
      <c r="BN303" t="str">
        <f t="shared" si="564"/>
        <v>линии</v>
      </c>
      <c r="BO303" s="6">
        <f>IFERROR(N(_xlfn.XLOOKUP(BC303,Коды_код,Коды_квт)),0)</f>
        <v>0</v>
      </c>
      <c r="BP303">
        <f t="shared" si="565"/>
        <v>0</v>
      </c>
      <c r="BQ303" t="str">
        <f>IF(B303="","",IF(BH303&lt;&gt;"",IFERROR(_xlfn.XLOOKUP(BH303,Щиты[Щит],Щиты[Руст, кВт]),0),IF(BP303=1,IF(OR(N(_xlfn.XLOOKUP(A303,Щиты[Щит],Щиты[Вводов],1))&lt;=1,LOWER(TRIM(_xlfn.XLOOKUP(A303,Щиты[Щит],Щиты[АВР],"")&amp;""))="да"),IFERROR(_xlfn.XLOOKUP(A303,Щиты[Щит],Щиты[Руст, кВт]),0),SUMIFS(Линии[_Р для вводов],Линии[Щит],A303,Линии[Источник для режимов],GF303)),IF(BO303&gt;0,ROUND(BO303*MAX(1,N(D303)),3),""))))</f>
        <v/>
      </c>
      <c r="BR303">
        <f t="shared" si="566"/>
        <v>0.18</v>
      </c>
      <c r="BS303" s="6">
        <f>IF(B303="","",IF(BH303&lt;&gt;"",IFERROR(_xlfn.XLOOKUP(BH303,Щиты[Щит],Щиты[Руст, кВт]),0),N(BR303)))</f>
        <v>0.18</v>
      </c>
      <c r="BT303" t="str">
        <f>IF(B303="","",IFERROR(IF(VLOOKUP(BC303,Потребители_обозначение,8,FALSE)=0,"",VLOOKUP(BC303,Потребители_обозначение,8,FALSE)),""))</f>
        <v/>
      </c>
      <c r="BU303">
        <f t="shared" si="567"/>
        <v>230</v>
      </c>
      <c r="BV303">
        <f t="shared" si="568"/>
        <v>0</v>
      </c>
      <c r="BW303">
        <f>IF(B303="","",IF(BH303&lt;&gt;"",3,IFERROR(IF(N(VLOOKUP(BC303,Потребители_обозначение,9,FALSE))=0,1,VLOOKUP(BC303,Потребители_обозначение,9,FALSE)),1)))</f>
        <v>1</v>
      </c>
      <c r="BX303">
        <f t="shared" si="569"/>
        <v>1</v>
      </c>
      <c r="BY303" t="str">
        <f>IF(B303="","",_xlfn.LET(_xlpm.bc,IFERROR(IF(VLOOKUP(BC303,Потребители_обозначение,6,FALSE)=0,"",VLOOKUP(BC303,Потребители_обозначение,6,FALSE)&amp;""),""),IF(AND(GA303="да",OR(_xlpm.bc="",_xlpm.bc="мс")),Марка_пож,IF(AND(_xlpm.bc="",BH303&lt;&gt;""),"мс",_xlpm.bc))))</f>
        <v/>
      </c>
      <c r="BZ303" t="str">
        <f t="shared" si="570"/>
        <v>мс</v>
      </c>
      <c r="CA303">
        <f>IF(B303="","",_xlfn.LET(_xlpm.cc,IFERROR(N(VLOOKUP(BC303,Потребители_обозначение,7,FALSE)),0),IF(_xlpm.cc&gt;0,_xlpm.cc,IF(BZ303="","",IF(BV303=1,2,IF(N(BX303)=3,5,3))))))</f>
        <v>3</v>
      </c>
      <c r="CB303">
        <f t="shared" si="571"/>
        <v>3</v>
      </c>
      <c r="CC303">
        <f>IFERROR(N(VLOOKUP(BC303,Потребители_обозначение,10,FALSE)),0)</f>
        <v>0</v>
      </c>
      <c r="CD303">
        <f>IFERROR(VLOOKUP(BC303,Потребители_обозначение,5,FALSE),0)</f>
        <v>1</v>
      </c>
      <c r="CE303" s="6" cm="1">
        <f t="array" ref="CE303">IF(B303="","",IF(BH303&lt;&gt;"",IFERROR(_xlfn.XLOOKUP(BH303,Щиты[Щит],Щиты[cos φ]),0.95),IF(BP303=1,IFERROR(_xlfn.XLOOKUP(A303,Щиты[Щит],Щиты[cos φ]),0.95),IF(ISNUMBER(AD303),AD303,IFERROR(IF(CD303=2,_xlfn.IFS(BX303=3,VLOOKUP(BS303,Справочная_двигатели,8,FALSE),BX303=1,VLOOKUP(BS303,Справочная_двигатели,10,TRUE)),IF(AND(Методика="нормы 2026",FG303="Сил"),0.8,0.95)),0.95)))))</f>
        <v>0.95</v>
      </c>
      <c r="CF303">
        <f t="shared" si="572"/>
        <v>0</v>
      </c>
      <c r="CG303">
        <f t="shared" si="573"/>
        <v>1</v>
      </c>
      <c r="CH303">
        <f t="shared" si="574"/>
        <v>0</v>
      </c>
      <c r="CI303">
        <f>IF(B303="","",IF(BV303=1,IFERROR(BS303/((Uн_лин/SQRT(3))*MAX(0.5,N(CE303))),0),N(O303)))</f>
        <v>0.8204451193747313</v>
      </c>
      <c r="CJ303">
        <f t="shared" si="575"/>
        <v>0</v>
      </c>
      <c r="CK303">
        <f t="shared" si="576"/>
        <v>0</v>
      </c>
      <c r="CL303">
        <f t="shared" si="577"/>
        <v>0</v>
      </c>
      <c r="CM303">
        <f t="shared" si="578"/>
        <v>0</v>
      </c>
      <c r="CN303">
        <f t="shared" si="579"/>
        <v>0</v>
      </c>
      <c r="CO303">
        <f>IF(BC303="",0,_xlfn.LET(_xlpm.v,IFERROR(_xlfn.XLOOKUP(B303,Коды_код,Коды_мА),IFERROR(_xlfn.XLOOKUP(BC303,Коды_код,Коды_мА),IFERROR(_xlfn.XLOOKUP(LEFT(BC303,2),Коды_код,Коды_мА),""))),IF(_xlpm.v="да",30,IF(ISNUMBER(_xlpm.v),_xlpm.v,0))))</f>
        <v>30</v>
      </c>
      <c r="CP303">
        <f t="shared" si="580"/>
        <v>30</v>
      </c>
      <c r="CQ303" t="str">
        <f>_xlfn.LET(_xlpm.k,IFERROR(_xlfn.XLOOKUP(BC303,Коды_код,Коды_утечка)&amp;"",""),IF(_xlpm.k="","дифавтомат",_xlpm.k))</f>
        <v>дифавтомат</v>
      </c>
      <c r="CR303" t="str" cm="1">
        <f t="array" ref="CR303">IF(CG303=0,"",_xlfn.LET(_xlpm.sg,TRIM(_xlfn.TEXTSPLIT(DD303&amp;"",";")),_xlpm.f_,_xlfn._xlws.FILTER(_xlpm.sg,LEFT(_xlpm.sg,3)="УЗО",""),IFERROR(INDEX(_xlpm.f_,1)&amp;"","")))</f>
        <v/>
      </c>
      <c r="CS303" t="str">
        <f t="shared" si="581"/>
        <v/>
      </c>
      <c r="CT303" s="6" t="str" cm="1">
        <f t="array" ref="CT303">IF(CR303="","",_xlfn.LET(_xlpm.tk,_xlfn.TEXTSPLIT(UPPER(CR303)," ",,TRUE),_xlpm.a_,_xlfn._xlws.FILTER(_xlpm.tk,ISNUMBER(--LEFT(_xlpm.tk,1))*((ISNUMBER(SEARCH("А",_xlpm.tk))+ISNUMBER(SEARCH("A",_xlpm.tk)))&gt;0)*NOT(ISNUMBER(SEARCH("МА",_xlpm.tk)))*NOT(ISNUMBER(SEARCH("MA",_xlpm.tk))),""),IFERROR(--SUBSTITUTE(SUBSTITUTE(INDEX(_xlpm.a_,1),"А",""),"A",""),"")))</f>
        <v/>
      </c>
      <c r="CU303" t="str" cm="1">
        <f t="array" ref="CU303">IF(CR303="","",_xlfn.LET(_xlpm.tk,_xlfn.TEXTSPLIT(UPPER(CR303)," ",,TRUE),_xlpm.a_,_xlfn._xlws.FILTER(_xlpm.tk,ISNUMBER(--LEFT(_xlpm.tk,1))*((ISNUMBER(SEARCH("МА",_xlpm.tk))+ISNUMBER(SEARCH("MA",_xlpm.tk)))&gt;0),""),IFERROR(--SUBSTITUTE(SUBSTITUTE(INDEX(_xlpm.a_,1),"МА",""),"MA",""),30)))</f>
        <v/>
      </c>
      <c r="CV303" t="str">
        <f>IF(CS303="","",IFERROR(_xlfn.XLOOKUP(CS303,Линии[_n],Линии[_УЗО, мА]),30))</f>
        <v/>
      </c>
      <c r="CW303">
        <f>IF(CS303="",0,IF(ISNUMBER(SEARCH("4P",IFERROR(_xlfn.XLOOKUP(CS303,Линии[_n],Линии[_УЗО строки])&amp;"",""))),0,1))</f>
        <v>0</v>
      </c>
      <c r="CX303" t="str">
        <f>IF(AND(CS303&lt;&gt;"",CS303=BA303),SUMIFS(Линии[_ток на 230 В],Линии[_блок УЗО],BA303,Линии[Щит],A303),"")</f>
        <v/>
      </c>
      <c r="CY303" t="str">
        <f>IF(AND(CS303&lt;&gt;"",CS303=BA303),SUMIFS(Линии[_ток утечки линии, мА],Линии[_блок УЗО],BA303,Линии[Щит],A303),"")</f>
        <v/>
      </c>
      <c r="CZ303">
        <f t="shared" si="582"/>
        <v>30</v>
      </c>
      <c r="DA303">
        <f t="shared" si="583"/>
        <v>30</v>
      </c>
      <c r="DB303">
        <f>IF(B303="",0,IFERROR(--_xlfn.XLOOKUP(B303,Коды_код,Коды_минавт),IFERROR(--_xlfn.XLOOKUP(BC303,Коды_код,Коды_минавт),IFERROR(--_xlfn.XLOOKUP(LEFT(BC303,2),Коды_код,Коды_минавт),0))))</f>
        <v>16</v>
      </c>
      <c r="DC303" t="str">
        <f>IF(B303="","",IFERROR(_xlfn.XLOOKUP(BC303,Коды_код,Коды_апп)&amp;"",""))</f>
        <v/>
      </c>
      <c r="DD303" t="str">
        <f t="shared" si="584"/>
        <v/>
      </c>
      <c r="DE303" t="str" cm="1">
        <f t="array" ref="DE303">IF(TRIM(DD303&amp;"")="","",IFERROR(TRIM(INDEX(_xlfn.TEXTSPLIT(DD303&amp;";;;",";"),1)),""))</f>
        <v/>
      </c>
      <c r="DF303" t="str" cm="1">
        <f t="array" ref="DF303">IF(TRIM(DD303&amp;"")="","",IFERROR(TRIM(INDEX(_xlfn.TEXTSPLIT(DD303&amp;";;;",";"),2)),""))</f>
        <v/>
      </c>
      <c r="DG303" t="str" cm="1">
        <f t="array" ref="DG303">IF(TRIM(DD303&amp;"")="","",IFERROR(TRIM(INDEX(_xlfn.TEXTSPLIT(DD303&amp;";;;",";"),3)),""))</f>
        <v/>
      </c>
      <c r="DH303">
        <f t="shared" si="585"/>
        <v>0</v>
      </c>
      <c r="DI303" t="str">
        <f>IF(B303="","",_xlfn.LET(_xlpm.t,LOWER(AZ303&amp;""),IF(ISNUMBER(SEARCH("dim",_xlpm.t)),"DIM",IF(ISNUMBER(SEARCH("dali",_xlpm.t)),"DALI",IF(OR(ISNUMBER(SEARCH("relay",_xlpm.t)),ISNUMBER(SEARCH("реле",_xlpm.t))),"Relay",IF(ISNUMBER(SEARCH("кнопк",_xlpm.t)),"",IFERROR(_xlfn.XLOOKUP(BC303,Коды_код,Коды_упр)&amp;"","")))))))</f>
        <v/>
      </c>
      <c r="DJ303" t="str">
        <f t="shared" si="586"/>
        <v/>
      </c>
      <c r="DK303">
        <f>IF(B303="","",_xlfn.LET(_xlpm.ig,IF(N(CX303)&gt;0,N(CX303),N(CI303)+IF(AJ303="вручную",0,N(CJ303))),_xlpm.n0,IFERROR(VLOOKUP(_xlpm.ig,Автомат_номиналы,2,TRUE),0),_xlpm.mn,MAX(DB303,IF(AJ303="вручную",0,N(CM303))),MAX(_xlpm.n0,_xlpm.mn,IF(DH303=1,Мин_автомат_БП,0))))</f>
        <v>16</v>
      </c>
      <c r="DL303">
        <f t="shared" si="587"/>
        <v>1</v>
      </c>
      <c r="DM303" t="str">
        <f t="shared" si="588"/>
        <v>2P</v>
      </c>
      <c r="DN303" t="str">
        <f>_xlfn.LET(_xlpm.cc,UPPER(TRIM(IFERROR(_xlfn.XLOOKUP(BC303,Коды_код,Коды_хар)&amp;"",""))),IF(OR(_xlpm.cc="B",_xlpm.cc="В"),"B",IF(_xlpm.cc="D","D","С")))</f>
        <v>С</v>
      </c>
      <c r="DO303" t="str">
        <f t="shared" si="589"/>
        <v>2P С16А 30мА</v>
      </c>
      <c r="DP303">
        <f t="shared" si="590"/>
        <v>16</v>
      </c>
      <c r="DQ303" t="str">
        <f t="shared" si="591"/>
        <v>2P С16А 30мА</v>
      </c>
      <c r="DR303" cm="1">
        <f t="array" ref="DR303">IF(DQ303="","",_xlfn.LET(_xlpm.t,SUBSTITUTE(SUBSTITUTE(SUBSTITUTE(UPPER(DQ303),"С","C"),"А","A"),"В","B"),_xlpm.tk,_xlfn.TEXTSPLIT(_xlpm.t," "),_xlpm.f,_xlfn._xlws.FILTER(_xlpm.tk,ISNUMBER(--MID(_xlpm.tk,2,1))*ISNUMBER(SEARCH(LEFT(_xlpm.tk,1)&amp;"#","B#C#D#"))*(LEN(_xlpm.tk)&gt;1),""),_xlpm.x,INDEX(_xlpm.f,1),IFERROR(--SUBSTITUTE(MID(_xlpm.x,2,9),"A",""),IFERROR(--SUBSTITUTE(INDEX(_xlfn._xlws.FILTER(_xlpm.tk,ISNUMBER(--SUBSTITUTE(_xlpm.tk,"A","")),""),1),"A",""),""))))</f>
        <v>16</v>
      </c>
      <c r="DS303" t="str">
        <f t="shared" si="592"/>
        <v>ok</v>
      </c>
      <c r="DT303">
        <f t="shared" si="593"/>
        <v>16</v>
      </c>
      <c r="DU303" t="str">
        <f t="shared" si="594"/>
        <v>2P С16А 30мА</v>
      </c>
      <c r="DV303">
        <f t="shared" si="595"/>
        <v>30</v>
      </c>
      <c r="DW303">
        <f t="shared" si="596"/>
        <v>1</v>
      </c>
      <c r="DX303">
        <f t="shared" si="597"/>
        <v>0</v>
      </c>
      <c r="DY303">
        <f t="shared" si="598"/>
        <v>0.8204451193747313</v>
      </c>
      <c r="DZ303">
        <f t="shared" si="599"/>
        <v>1</v>
      </c>
      <c r="EA303">
        <f>IF(ISNUMBER(AP303),AP303,К_прокл)</f>
        <v>1</v>
      </c>
      <c r="EB303">
        <f t="shared" si="600"/>
        <v>2</v>
      </c>
      <c r="EC303">
        <f>IFERROR(N(VLOOKUP(BZ303,Кабель_обозначение,3,FALSE)),1)</f>
        <v>1</v>
      </c>
      <c r="ED303">
        <f>IFERROR(N(_xlfn.XLOOKUP(A303,Щиты[Щит],Щиты[ΔU до шин, %])),0)</f>
        <v>1.79</v>
      </c>
      <c r="EE303" t="str">
        <f>IFERROR(_xlfn.XLOOKUP(A303,Щиты[Щит],Щиты[Zпетли на шинах, Ом]),"")</f>
        <v/>
      </c>
      <c r="EF303">
        <f>IFERROR(N(_xlfn.XLOOKUP(A303,Щиты[Щит],Щиты[ΔU до шин (подбор), %])),0)</f>
        <v>4.75</v>
      </c>
      <c r="EG303" t="str">
        <f>IFERROR(_xlfn.XLOOKUP(A303,Щиты[Щит],Щиты[Zпетли на шинах (подбор), Ом]),"")</f>
        <v/>
      </c>
      <c r="EH303" t="str">
        <f t="shared" si="601"/>
        <v/>
      </c>
      <c r="EI303">
        <f t="shared" si="602"/>
        <v>84</v>
      </c>
      <c r="EJ303">
        <f t="shared" si="603"/>
        <v>2</v>
      </c>
      <c r="EK303">
        <f t="shared" si="604"/>
        <v>0.31</v>
      </c>
      <c r="EL303" s="6">
        <f>IF(B303="","",IF(BV303=1,dU_LED,IF(IFERROR(_xlfn.XLOOKUP(BC303,Коды_код,Коды_уго),"")="Светильник",3,4)+IF(Методика="нормы 2026",MIN(0.5,MAX(0,N(P303)-100)*0.005),0)))</f>
        <v>4</v>
      </c>
      <c r="EM303" t="str" cm="1">
        <f t="array" ref="EM303">IF(OR(B303="",BZ303="",EC303&lt;&gt;1),"",_xlfn.LET(_xlpm.sz,Iдоп_S,_xlpm.t_,CHOOSE(EB303,Iдоп_1ж,Iдоп_2ж,Iдоп_3ж)*DZ303*EA303,_xlpm.dcx,BV303=1,_xlpm.inn,IF(_xlpm.dcx,N(O303),N(DT303)),_xlpm.smin,MAX(1.5,CC303),_xlpm.L_,N(P303)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303)/N(BU303)*100,999),IFERROR(N(EJ303)*(_xlpm.rho*_xlpm.L_/_xlpm.sz*N(CE303)+_xlpm.xx*_xlpm.L_*N(EK303)/1000)*N(O303)/((Uн_лин/SQRT(3))*1000)*100,999)),_xlpm.kz,IF(OR(_xlpm.dcx,DW303=1,NOT(ISNUMBER(EG303)),_xlpm.L_=0,_xlpm.inn=0),1,IFERROR(--(c_min*(Uн_лин*1000/SQRT(3))/(EG303+2*ρкз_Cu*_xlpm.L_/_xlpm.sz)&gt;=HT303*_xlpm.inn),0)),_xlpm.ok,IFERROR((_xlpm.sz&gt;=_xlpm.smin)*(_xlpm.t_&gt;=_xlpm.inn)*IF(_xlpm.L_&gt;0,(_xlpm.du_+IF(_xlpm.dcx,0,EF303)&lt;=EL303+0.00001),1)*_xlpm.kz,0),_xlpm.r_,_xlfn._xlws.FILTER(_xlpm.sz,_xlpm.ok,"не подобрано"),INDEX(_xlpm.r_,1)))</f>
        <v>не подобрано</v>
      </c>
      <c r="EN303">
        <f t="shared" si="605"/>
        <v>2.5</v>
      </c>
      <c r="EO303" cm="1">
        <f t="array" ref="EO303">IF(OR(B303="",BZ303="",EC303&lt;&gt;1),"",_xlfn.LET(_xlpm.sz,Iдоп_S,_xlpm.t_,CHOOSE(EB303,Iдоп_1ж,Iдоп_2ж,Iдоп_3ж)*DZ303*EA303,_xlpm.ok,IFERROR((_xlpm.sz&gt;=MAX(1.5,CC303))*(_xlpm.t_&gt;=N(DT303)),0),_xlpm.r_,_xlfn._xlws.FILTER(_xlpm.sz,_xlpm.ok,""),INDEX(_xlpm.r_,1)))</f>
        <v>1.5</v>
      </c>
      <c r="EP303" s="6" cm="1">
        <f t="array" ref="EP303">IFERROR(ROUNDUP(N(EJ303)*(_xlfn.XLOOKUP(EO303,INDEX(Кабель_сопротивление,0,1),INDEX(Кабель_сопротивление,0,3))*N(P303)/EO303*N(CE303)+_xlfn.XLOOKUP(EO303,INDEX(Кабель_сопротивление,0,1),INDEX(Кабель_сопротивление,0,2))*N(P303)*N(EK303)/1000)*N(O303)/((Uн_лин/SQRT(3))*1000)*100,2),"")</f>
        <v>0.89</v>
      </c>
      <c r="EQ303">
        <f>IFERROR(2*ρкз_Cu*N(P303)/EO303,"")</f>
        <v>3.0508000000000002</v>
      </c>
      <c r="ER303">
        <f>IFERROR(VLOOKUP(EN303,Кабель_сопротивление,3,FALSE),"")</f>
        <v>2.2499999999999999E-2</v>
      </c>
      <c r="ES303">
        <f>IFERROR(VLOOKUP(EN303,Кабель_сопротивление,2,FALSE),"")</f>
        <v>0.1</v>
      </c>
      <c r="ET303">
        <f t="shared" si="606"/>
        <v>36</v>
      </c>
      <c r="EU303">
        <f t="shared" si="607"/>
        <v>33</v>
      </c>
      <c r="EV303">
        <f t="shared" si="608"/>
        <v>1.225001685067695</v>
      </c>
      <c r="EW303" s="6">
        <f>IFERROR(ROUNDUP(EV303/IF(BV303=1,BU303,(Uн_лин/SQRT(3))*1000)*100,2),"")</f>
        <v>0.54</v>
      </c>
      <c r="EX303" t="str">
        <f>IFERROR(VLOOKUP(BZ303,Кабель_обозначение,2,FALSE),"")</f>
        <v>ВВГнг(А)-LS</v>
      </c>
      <c r="EY303" t="str">
        <f t="shared" si="609"/>
        <v>ВВГнг(А)-LS (3х2,5)</v>
      </c>
      <c r="EZ303" t="str">
        <f t="shared" si="610"/>
        <v>ВВГнг(А)-LS (3х2,5)
L=87-0,54%</v>
      </c>
      <c r="FA303">
        <f>IFERROR(2*ρкз_Cu*P303/EN303,"")</f>
        <v>1.8304800000000001</v>
      </c>
      <c r="FB303">
        <f t="shared" si="611"/>
        <v>0.6090000000000001</v>
      </c>
      <c r="FC303" s="6" t="str">
        <f>IFERROR(IF(OR(B303="",BV303=1,NOT(ISNUMBER(EN303)),N(P303)=0),"",_xlfn.XLOOKUP(A303,Щиты[Щит],Щиты[Zпетли на шинах, Ом])+FA303),"")</f>
        <v/>
      </c>
      <c r="FD303" s="6" t="str">
        <f>IF(ISNUMBER(FC303),c_min*(Uн_лин*1000/SQRT(3))/FC303,"")</f>
        <v/>
      </c>
      <c r="FE303" s="6" t="str">
        <f>IFERROR(IF(OR(B303="",NOT(ISNUMBER(EN303))),"",1.05*(Uн_лин*1000/SQRT(3))/(_xlfn.XLOOKUP(A303,Щиты[Щит],Щиты[Zmax на шинах, Ом])+FB303)/1000),"")</f>
        <v/>
      </c>
      <c r="FF303" s="6" t="str">
        <f>IF(B303="","",IF(ISNUMBER(AC303),"Сил",IF(IFERROR(_xlfn.XLOOKUP(BC303,Коды_код,Коды_группа)&amp;"","")="","Быт",_xlfn.XLOOKUP(BC303,Коды_код,Коды_группа)&amp;"")))</f>
        <v>Быт</v>
      </c>
      <c r="FG303" s="6" t="str">
        <f t="shared" si="612"/>
        <v>Быт</v>
      </c>
      <c r="FH303" s="6">
        <f>IF(FG303="Щит","щит",IF(FG303="","",IF(FG303="Быт",IFERROR(_xlfn.XLOOKUP(A303,Щиты[Щит],Щиты[Кс быт]),1),IF(FG303="Сил",IF(ISNUMBER(AC303),AC303,IF(Методика="нормы 2026",IFERROR(_xlfn.XLOOKUP(A303,Щиты[Щит],Щиты[Кс силовых (табл. 7.5)]),1),1)),IF(OR(FG303="Пост",FG303="Отоп"),1,IF(FG303="ВНГ",0.7,0))))))</f>
        <v>0.8</v>
      </c>
      <c r="FI303">
        <f>IF(FG303="","",IF(AND(BP303=1,TRIM(AE303&amp;"")=""),IF(COUNTIFS(Линии[Щит],A303,Линии[Секция (1/2/3)],"&gt;=2")&gt;0,MIN(3,MAX(1,IFERROR(--BD303,1))),1),IFERROR(MIN(3,MAX(1,INT(--AE303))),1)))</f>
        <v>1</v>
      </c>
      <c r="FJ303">
        <f t="shared" si="613"/>
        <v>0.18</v>
      </c>
      <c r="FK303">
        <f t="shared" si="614"/>
        <v>0.18</v>
      </c>
      <c r="FL303">
        <f t="shared" si="615"/>
        <v>0</v>
      </c>
      <c r="FM303">
        <f t="shared" si="616"/>
        <v>0</v>
      </c>
      <c r="FN303">
        <f t="shared" si="617"/>
        <v>0</v>
      </c>
      <c r="FO303">
        <f t="shared" si="618"/>
        <v>0</v>
      </c>
      <c r="FP303">
        <f t="shared" si="619"/>
        <v>0.18</v>
      </c>
      <c r="FQ303">
        <f t="shared" si="620"/>
        <v>0.18</v>
      </c>
      <c r="FR303">
        <f t="shared" si="621"/>
        <v>0.17099999999999999</v>
      </c>
      <c r="FS303">
        <f>IF(CG303=1,IF(AND(CH303=1,CW303=1),0,IF(AND(CS303&lt;&gt;"",CS303=BA303,CW303=1),SUMIFS(Линии[_Р линии, кВт],Линии[_блок УЗО],BA303,Линии[Щит],A303),N(BS303)+IF(AJ303="вручную",0,N(CK303)))),0)</f>
        <v>0.18</v>
      </c>
      <c r="FT303" t="str">
        <f t="shared" si="622"/>
        <v>L1</v>
      </c>
      <c r="FU303" t="str">
        <f>IF(B303="","",IF(CG303=0,IF(BA303=1,"",FW302),IF(AND(CH303=1,CW303=1,CS303&lt;&gt;""),IFERROR(_xlfn.XLOOKUP(CS303,Линии[_n],Линии[_фаза итог]),"L1"),IF(OR(N(DL303)&gt;=3,N(BX303)&gt;=3),"L1,L2,L3",IFERROR(_xlfn.TEXTBEFORE(_xlfn.TEXTAFTER(_xlfn.XLOOKUP(A303,Щиты[Щит],Щиты[_фазы авто]),";"&amp;BA303&amp;":"),";"),"L1")))))</f>
        <v>L1</v>
      </c>
      <c r="FV303" t="str">
        <f t="shared" si="623"/>
        <v>L1</v>
      </c>
      <c r="FW303" t="str">
        <f t="shared" si="624"/>
        <v>L1</v>
      </c>
      <c r="FX303" cm="1">
        <f t="array" ref="FX303">IFERROR(IF(CD303=2,_xlfn.IFS(BX303=3,VLOOKUP(BS303,Справочная_двигатели,3,FALSE),BX303=1,VLOOKUP(BS303,Справочная_двигатели,5,TRUE)),0),0)</f>
        <v>0</v>
      </c>
      <c r="FY303">
        <f>IFERROR(IF(CD303=3,VLOOKUP(BS303,Справочная_ЛЭД,2,TRUE),0),0)</f>
        <v>0</v>
      </c>
      <c r="FZ303" s="6">
        <f t="shared" si="625"/>
        <v>0</v>
      </c>
      <c r="GA303" t="str">
        <f>IF(B303="","",IF(TRIM(AH303&amp;"")&lt;&gt;"",IF(LOWER(TRIM(AH303&amp;""))="да","да","нет"),IF(IFERROR(_xlfn.XLOOKUP(BC303,Коды_код,Коды_пожарная),"")="да","да","нет")))</f>
        <v>нет</v>
      </c>
      <c r="GB303" t="str">
        <f t="shared" si="626"/>
        <v/>
      </c>
      <c r="GC303" t="str">
        <f t="shared" si="627"/>
        <v>основная</v>
      </c>
      <c r="GD303">
        <f>IF(AND(BP303=1,TRIM(AE303&amp;"")=""),IF(COUNTIFS(Линии[Щит],A303,Линии[Секция (1/2/3)],"&gt;=2")&gt;0,MIN(3,MAX(1,IFERROR(--BD303,1))),1),IFERROR(MIN(3,MAX(1,INT(--AE303))),1))</f>
        <v>1</v>
      </c>
      <c r="GE303" t="str" cm="1">
        <f t="array" ref="GE303">IF(B303="","",_xlfn.LET(_xlpm.t,IFERROR(_xlfn.XLOOKUP(1,(Шины[Шина]=GC303)*(((Шины[Щит]=A303)+(Шины[Щит]=""))&gt;0),Шины[Тип]),"")&amp;"",IF(_xlpm.t&lt;&gt;"",_xlpm.t,IF(ISNUMBER(SEARCH("ИБП",GC303)),"ИБП",IF(ISNUMBER(SEARCH("ДГУ",GC303)),"ДГУ","Ввод "&amp;GD303)))))</f>
        <v>Ввод 1</v>
      </c>
      <c r="GF303" t="str">
        <f t="shared" si="628"/>
        <v>Ввод 1</v>
      </c>
      <c r="GG303" t="str">
        <f>IF(BP303=0,"",IF(TRIM(AG303&amp;"")&lt;&gt;"",TRIM(AG303&amp;""),IF(OR(GE303="ИБП",GE303="ДГУ"),"I особая",_xlfn.XLOOKUP(A303,Щиты[Щит],Щиты[Категория шины «Ввод»],"III"))))</f>
        <v/>
      </c>
      <c r="GH303" t="str">
        <f>IF(A303="","",_xlfn.XLOOKUP(A303,Щиты[Щит],Щиты[Путь],""))</f>
        <v>|ГРЩ-ЖД|ЩР-2|</v>
      </c>
      <c r="GI303" t="str">
        <f>IF(B303="","",IF(AI303&lt;&gt;"",AI303,IF(IFERROR(_xlfn.XLOOKUP(BC303,Коды_код,Коды_вид)&amp;"","")="","Прочее",_xlfn.XLOOKUP(BC303,Коды_код,Коды_вид)&amp;"")))</f>
        <v>Розеточная сеть и бытовые приборы</v>
      </c>
      <c r="GJ303">
        <f>IF(BM303="","",INT((BM303-1)/Столбцов_на_лист)+1)</f>
        <v>2</v>
      </c>
      <c r="GK303" t="str">
        <f t="shared" si="629"/>
        <v>ВВГнг(А)-LS (3х2,5) L=87-0,54%</v>
      </c>
      <c r="GL303">
        <f t="shared" si="630"/>
        <v>0.18</v>
      </c>
      <c r="GM303">
        <f t="shared" si="631"/>
        <v>0.83</v>
      </c>
      <c r="GN303">
        <f t="shared" si="632"/>
        <v>1</v>
      </c>
      <c r="GO303">
        <f t="shared" si="633"/>
        <v>0</v>
      </c>
      <c r="GP303">
        <f t="shared" si="634"/>
        <v>1</v>
      </c>
      <c r="GQ303">
        <f>IF(BM303="","",IF(AND(CG303=1,GP303=1),COUNTIFS(A$3:A303,A303,CG$3:CG303,1,GP$3:GP303,1),IF(OR(OR(BA303=1,A303&lt;&gt;A302),AJ303="вручную",GP303=0),"",IF(BA303=1,"",GR302))))</f>
        <v>20</v>
      </c>
      <c r="GR303">
        <f t="shared" si="635"/>
        <v>20</v>
      </c>
      <c r="GS303">
        <f>IF(B303="","",IFERROR(LOOKUP(INDEX(CHOOSE(EB303,Iдоп_1ж,Iдоп_2ж,Iдоп_3ж),MATCH(EN303,Iдоп_S,0))*DZ303*EA303,{6,10,16,20,25,32,40,50,63,80,100,125,160,200,250,315,400,500,630}),""))</f>
        <v>25</v>
      </c>
      <c r="GT303" t="str">
        <f t="shared" si="636"/>
        <v>QFD20</v>
      </c>
      <c r="GU303" t="str">
        <f t="shared" si="637"/>
        <v>QFD20</v>
      </c>
      <c r="GV303" t="str">
        <f t="shared" si="638"/>
        <v/>
      </c>
      <c r="GW303">
        <f t="shared" si="639"/>
        <v>0</v>
      </c>
      <c r="GX303" t="str">
        <f>IF(OR(B303="",DJ303=""),"",IFERROR(_xlfn.XLOOKUP(DJ303,Модули_умолч[Управление],Модули_умолч[Модель])&amp;"",""))</f>
        <v/>
      </c>
      <c r="GY303">
        <f>IF(DJ303="",1,IFERROR(MAX(0,N(_xlfn.XLOOKUP(DJ303,Модули_умолч[Управление],Модули_умолч[Каналов на линию]))),1))</f>
        <v>1</v>
      </c>
      <c r="GZ303" t="str">
        <f t="shared" si="640"/>
        <v/>
      </c>
      <c r="HA303" t="str">
        <f t="shared" si="641"/>
        <v/>
      </c>
      <c r="HB303" t="str">
        <f t="shared" si="642"/>
        <v/>
      </c>
      <c r="HC303">
        <f>IF(HB303="",0,IFERROR(N(VLOOKUP(HB303,Модули_спр,3,FALSE)),0))</f>
        <v>0</v>
      </c>
      <c r="HD303" t="str">
        <f t="shared" si="643"/>
        <v/>
      </c>
      <c r="HE303" t="str">
        <f t="shared" si="644"/>
        <v/>
      </c>
      <c r="HF303" t="str">
        <f>IF(OR(HE303="",HE303="-"),"",IFERROR(VLOOKUP(HE303,Модули_спр,2,FALSE),"R"))</f>
        <v/>
      </c>
      <c r="HG303" t="str">
        <f>IF(HF303="","",HF303&amp;"."&amp;COUNTIFS(A$3:A303,A303,HF$3:HF303,HF303))</f>
        <v/>
      </c>
      <c r="HH303" t="str">
        <f t="shared" si="645"/>
        <v/>
      </c>
      <c r="HI303" t="str">
        <f t="shared" si="646"/>
        <v/>
      </c>
      <c r="HJ303" t="str">
        <f t="shared" si="647"/>
        <v/>
      </c>
      <c r="HK303" t="str">
        <f t="shared" si="648"/>
        <v/>
      </c>
      <c r="HL303">
        <f t="shared" si="649"/>
        <v>1</v>
      </c>
      <c r="HM303" t="str">
        <f>IF(HL303=1,"XT"&amp;COUNTIFS(A$3:A303,A303,HL$3:HL303,1),"")</f>
        <v>XT20</v>
      </c>
      <c r="HN303" t="str">
        <f t="shared" si="650"/>
        <v/>
      </c>
      <c r="HO303" t="str">
        <f t="shared" si="651"/>
        <v>QFD20</v>
      </c>
      <c r="HP303" t="str">
        <f t="shared" si="652"/>
        <v/>
      </c>
      <c r="HQ303" t="str">
        <f t="shared" si="653"/>
        <v>ok</v>
      </c>
      <c r="HR303" t="str">
        <f>IF(OR(HJ303="",HH303=""),"",IF(HJ303+MAX(0,GY303-1)&gt;IFERROR(VLOOKUP(HI303,Модули_спр,3,FALSE),99),"ЛИШНИЙ КАНАЛ",IF(AND(AL303&lt;&gt;"=",GY303&gt;0,COUNTIFS(Линии[_модуль гр.],HH303,Линии[Канал (итог)],HJ303,Линии[Канал],"&lt;&gt;=",Линии[Щит],A303)&gt;1),"ДУБЛЬ КАНАЛА","")))</f>
        <v/>
      </c>
      <c r="HS303" s="6" t="str">
        <f t="shared" si="654"/>
        <v/>
      </c>
      <c r="HT303">
        <f t="shared" si="655"/>
        <v>10</v>
      </c>
      <c r="HU303" t="str">
        <f t="shared" si="656"/>
        <v/>
      </c>
      <c r="HV303">
        <f t="shared" si="657"/>
        <v>1.1981780477498924</v>
      </c>
      <c r="HW303">
        <f t="shared" si="658"/>
        <v>0</v>
      </c>
      <c r="HX303">
        <f t="shared" si="659"/>
        <v>0</v>
      </c>
      <c r="HY303">
        <f t="shared" si="660"/>
        <v>0</v>
      </c>
      <c r="HZ303">
        <f t="shared" si="661"/>
        <v>0</v>
      </c>
      <c r="IA303">
        <f t="shared" si="662"/>
        <v>0</v>
      </c>
      <c r="IB303">
        <f t="shared" si="663"/>
        <v>0</v>
      </c>
      <c r="IC303" t="str">
        <f t="shared" si="664"/>
        <v/>
      </c>
      <c r="ID303" t="str" cm="1">
        <f t="array" ref="ID303">IF(IC303="","",_xlfn.LET(_xlpm.tk,_xlfn.TEXTSPLIT(SUBSTITUTE(SUBSTITUTE(IC303,";"," "),"→"," ")," ",,TRUE),_xlpm.w_,_xlfn._xlws.FILTER(_xlpm.tk,ISNUMBER(--LEFT(_xlpm.tk,1))*((ISNUMBER(SEARCH("W",_xlpm.tk))+ISNUMBER(SEARCH("Вт",_xlpm.tk)))&gt;0),""),IFERROR(--SUBSTITUTE(SUBSTITUTE(UPPER(INDEX(_xlpm.w_,1)),"W",""),"ВТ",""),"")))</f>
        <v/>
      </c>
      <c r="IE303" t="str" cm="1">
        <f t="array" ref="IE303">IF(IC303="","",_xlfn.LET(_xlpm.tk,_xlfn.TEXTSPLIT(SUBSTITUTE(SUBSTITUTE(IC303,";"," "),"→"," ")," ",,TRUE),_xlpm.v_,_xlfn._xlws.FILTER(_xlpm.tk,ISNUMBER(--LEFT(_xlpm.tk,1))*((ISNUMBER(SEARCH("V",_xlpm.tk))+(RIGHT(UPPER(_xlpm.tk))="В"))&gt;0),""),IFERROR(--SUBSTITUTE(SUBSTITUTE(UPPER(INDEX(_xlpm.v_,1)),"V",""),"В",""),"")))</f>
        <v/>
      </c>
      <c r="IF303" s="6" t="str">
        <f>IF(OR(BV303=0,HI303="",HJ303=""),"",IFERROR(N(_xlfn.XLOOKUP(HI303,Каталог!$C$4:$C$500,Каталог!$Q$4:$Q$500)),""))</f>
        <v/>
      </c>
      <c r="IG303" s="6" t="str">
        <f>IF(N(IF303)=0,"",SUMIFS(Линии[Iр, А],Линии[Щит],A303,Линии[_модуль гр.],HH303,Линии[Канал (итог)],HJ303))</f>
        <v/>
      </c>
      <c r="IH303" t="str">
        <f>IF(AND(B303="",HO303=""),"",_xlfn.TEXTJOIN("; ",TRUE,IF(AND(B303&lt;&gt;"",FV303=""),"нет фазы",""),IF(AND(B303&lt;&gt;"",N(GL303)=0,FG303&lt;&gt;"Нет"),"нет мощности",""),IF(AND(HN303&lt;&gt;"",COUNTIFS(Линии[Щит],A303,Линии[Клемма (итог)],HN303)&gt;1),"дубль клеммы "&amp;HN303,""),IF(AND(HQ303&lt;&gt;"",HQ303&lt;&gt;"ok"),HQ303,""),IF(HR303&lt;&gt;"",HR303,""),IF(AND(N(CB303)&gt;=4,N(BX303)=1),CB303&amp;" жил на 1 фазе",""),IF(AND(BC303="R",CG303=1,IF(CS303&lt;&gt;"",N(CV303)&gt;30,OR(N(DA303)=0,N(DA303)&gt;30))),"розетка без дифзащиты до 30 мА",""),IF(AND(CG303=1,N(DA303)&gt;0,ISNUMBER(T303)),IF(T303&gt;N(DA303)/3,"ток утечки "&amp;FIXED(T303,1)&amp;" мА &gt; 1/3 уставки ("&amp;DA303&amp;" мА)",""),""),IF(AND(CH303=1,CS303=""),"«узо»: нет строки с УЗО выше (УЗО 2P 40А 30мА в «Аппаратах»)",""),IF(AND(CS303&lt;&gt;"",CS303=BA303),IF(CT303="","впишите номинал УЗО (УЗО 2P 40А 30мА)",IF(N(CT303)&lt;N(DT303),"УЗО "&amp;CT303&amp;" А &lt; автомата "&amp;DT303&amp;" А перед ним",IF(N(CT303)&lt;N(CX303),"УЗО "&amp;CT303&amp;" А &lt; тока блока "&amp;FIXED(CX303,1)&amp;" А",""))),""),IF(AND(CS303&lt;&gt;"",CS303=BA303,ISNUMBER(CY303)),IF(CY303&gt;N(CV303)/3,"ток утечки блока УЗО "&amp;FIXED(CY303,1)&amp;" мА &gt; 1/3 уставки ("&amp;CV303&amp;" мА)",""),""),IF(AND(CG303=1,N(BV303)+N(IB303)&gt;0,IC303=""),"линии до 50 В без БП: впишите в «Аппараты» (БП 24V 480W)",""),IF(AND(CG303=1,ISNUMBER(ID303),ISNUMBER(U303)),IF(U303&gt;ID303,"БП "&amp;ID303&amp;" Вт &lt; нужно "&amp;U303&amp;" Вт (×"&amp;Запас_БП&amp;")",""),""),IF(AND(CG303=1,ISNUMBER(IE303),N(BV303)=1),IF(IE303&lt;&gt;N(BU303),"БП на "&amp;IE303&amp;" В, линия "&amp;BU303&amp;" В",""),""),IF(AND(N(IF303)&gt;0,N(IG303)&gt;N(IF303)),HH303&amp;" канал "&amp;HJ303&amp;": "&amp;FIXED(IG303,1)&amp;" А &gt; "&amp;IF303&amp;" А",""),IFERROR(IF(AND(ISNUMBER(Q303),Q303&gt;EL303),"потери "&amp;FIXED(Q303,1)&amp;" % &gt; "&amp;EL303&amp;" %",""),""),IFERROR(IF(LEFT(HU303,4)="мало","Iкз мало — отключение &gt; 0,4 с",""),""),IF(AND(B303&lt;&gt;"",BM303=""),"не на схеме",""),IF(AND(CG303=0,B303&lt;&gt;"",FV303&lt;&gt;"",IF(BA303=1,"",FW302)&lt;&gt;"",FV303&lt;&gt;IF(BA303=1,"",FW302)),"фаза не как у автомата группы ("&amp;IF(BA303=1,"",FW302)&amp;")","")))</f>
        <v/>
      </c>
      <c r="II303" s="6">
        <f>IF(OR(CG303=0,DQ303=""),"",_xlfn.LET(_xlpm.t,IFERROR(_xlfn.XLOOKUP(DQ303,Каталог!$U$4:$U$500,Каталог!$G$4:$G$500),""),_xlpm.k,SEARCH("кА",_xlpm.t),IFERROR(--TRIM(RIGHT(SUBSTITUTE(MID(_xlpm.t,MAX(1,_xlpm.k-4),_xlpm.k-MAX(1,_xlpm.k-4))," ",REPT(" ",9)),5)),"")))</f>
        <v>6</v>
      </c>
      <c r="IJ303" t="str">
        <f>IF(OR(II303="",CG303=0),"",IF(_xlfn.XLOOKUP(A303,Щиты[Щит],Щиты[Iкз max на шинах, кА],"")="","",IF(II303&lt;_xlfn.XLOOKUP(A303,Щиты[Щит],Щиты[Iкз max на шинах, кА]),"Icu "&amp;II303&amp;" кА &lt; Iкз max","ok")))</f>
        <v/>
      </c>
      <c r="IK303" t="str">
        <f t="shared" si="665"/>
        <v/>
      </c>
      <c r="IL303" t="str">
        <f t="shared" si="666"/>
        <v>QFD20</v>
      </c>
      <c r="IM303" t="str">
        <f t="shared" si="667"/>
        <v>QFD20|кабель ВВГнг(А)-LS (3х2,5) → Розеточная группа, пом. 001</v>
      </c>
      <c r="IN303" t="str" cm="1">
        <f t="array" ref="IN303">IF(IM303="","",_xlfn.LET(_xlpm.nd,_xlfn.TEXTSPLIT(IM303,"|"),IF(COLUMNS(_xlpm.nd)&gt;1,A303&amp;"¦"&amp;INDEX(_xlpm.nd,1)&amp;"¦"&amp;INDEX(_xlpm.nd,2),"")))</f>
        <v>ЩР-2¦QFD20¦кабель ВВГнг(А)-LS (3х2,5) → Розеточная группа, пом. 001</v>
      </c>
      <c r="IO303" t="str">
        <f t="shared" si="668"/>
        <v>R.2.001.1¦Розеточная группа, пом. 001</v>
      </c>
      <c r="IP303" t="str" cm="1">
        <f t="array" ref="IP303">IF(IM303="","",_xlfn.LET(_xlpm.nd,_xlfn.TEXTSPLIT(IM303,"|"),IF(COLUMNS(_xlpm.nd)&gt;2,A303&amp;"¦"&amp;INDEX(_xlpm.nd,2)&amp;"¦"&amp;INDEX(_xlpm.nd,3),"")))</f>
        <v/>
      </c>
      <c r="IQ303" t="str">
        <f t="shared" si="669"/>
        <v/>
      </c>
      <c r="IR303" t="str" cm="1">
        <f t="array" ref="IR303">IF(IM303="","",_xlfn.LET(_xlpm.nd,_xlfn.TEXTSPLIT(IM303,"|"),IF(COLUMNS(_xlpm.nd)&gt;3,A303&amp;"¦"&amp;INDEX(_xlpm.nd,3)&amp;"¦"&amp;INDEX(_xlpm.nd,4),"")))</f>
        <v/>
      </c>
      <c r="IS303" t="str">
        <f t="shared" si="670"/>
        <v/>
      </c>
      <c r="IT303" t="str" cm="1">
        <f t="array" ref="IT303">IF(IM303="","",_xlfn.LET(_xlpm.nd,_xlfn.TEXTSPLIT(IM303,"|"),IF(COLUMNS(_xlpm.nd)&gt;4,A303&amp;"¦"&amp;INDEX(_xlpm.nd,4)&amp;"¦"&amp;INDEX(_xlpm.nd,5),"")))</f>
        <v/>
      </c>
      <c r="IU303" t="str">
        <f t="shared" si="671"/>
        <v/>
      </c>
      <c r="IV303" t="str" cm="1">
        <f t="array" ref="IV303">IF(IM303="","",_xlfn.LET(_xlpm.nd,_xlfn.TEXTSPLIT(IM303,"|"),IF(COLUMNS(_xlpm.nd)&gt;5,A303&amp;"¦"&amp;INDEX(_xlpm.nd,5)&amp;"¦"&amp;INDEX(_xlpm.nd,6),"")))</f>
        <v/>
      </c>
      <c r="IW303" t="str">
        <f t="shared" si="672"/>
        <v/>
      </c>
      <c r="IX303" t="str" cm="1">
        <f t="array" ref="IX303">IF(IM303="","",_xlfn.LET(_xlpm.nd,_xlfn.TEXTSPLIT(IM303,"|"),IF(COLUMNS(_xlpm.nd)&gt;6,A303&amp;"¦"&amp;INDEX(_xlpm.nd,6)&amp;"¦"&amp;INDEX(_xlpm.nd,7),"")))</f>
        <v/>
      </c>
      <c r="IY303" t="str">
        <f t="shared" si="673"/>
        <v/>
      </c>
      <c r="IZ303" t="str">
        <f t="shared" si="674"/>
        <v/>
      </c>
      <c r="JA303" t="str">
        <f t="shared" si="675"/>
        <v>QFD20</v>
      </c>
      <c r="JB303">
        <f t="shared" si="676"/>
        <v>0</v>
      </c>
      <c r="JC303">
        <f t="shared" si="677"/>
        <v>1</v>
      </c>
      <c r="JD303" t="str">
        <f t="shared" si="678"/>
        <v/>
      </c>
      <c r="JE303" t="str">
        <f t="shared" si="679"/>
        <v/>
      </c>
      <c r="JF303" t="str">
        <f t="shared" si="680"/>
        <v/>
      </c>
      <c r="JG303" t="str">
        <f t="shared" si="681"/>
        <v/>
      </c>
      <c r="JH303" t="str">
        <f>IF(B303="","",IFERROR(_xlfn.XLOOKUP(B303,Коды_код,Коды_уго),IFERROR(_xlfn.XLOOKUP(BC303,Коды_код,Коды_уго),IFERROR(_xlfn.XLOOKUP(LEFT(BC303,2),Коды_код,Коды_уго),""))))</f>
        <v>Розетка</v>
      </c>
      <c r="JI303" t="str">
        <f>IF(B303="","",IF(OR(JH303="",JH303=0),"BOX",IFERROR(IF(VLOOKUP(JH303,УГО_блоки,3,FALSE)&amp;""&lt;&gt;"",VLOOKUP(JH303,УГО_блоки,3,FALSE),VLOOKUP(JH303,УГО_блоки,2,FALSE)),JH303)))</f>
        <v>SOCKET</v>
      </c>
      <c r="JJ303">
        <f t="shared" si="682"/>
        <v>1</v>
      </c>
      <c r="JK303" t="str">
        <f>IF(DQ303="","",IF(COUNTIF(DQ$3:DQ303,DQ303)=1,MAX(JK$2:JK302)+1,""))</f>
        <v/>
      </c>
      <c r="JL303" t="str">
        <f>IF(DE303="","",IF(COUNTIF(DE$3:DE303,DE303)+COUNTIF(DF$2:DF302,DE303)+COUNTIF(DG$2:DG302,DE303)=1,MAX(JL$2:JN302)+1,""))</f>
        <v/>
      </c>
      <c r="JM303" t="str">
        <f>IF(DF303="","",IF(COUNTIF(DE$3:DE303,DF303)+COUNTIF(DF$3:DF303,DF303)+COUNTIF(DG$2:DG302,DF303)=1,MAX(JL$2:JN302,JL303)+1,""))</f>
        <v/>
      </c>
      <c r="JN303" t="str">
        <f>IF(DG303="","",IF(COUNTIF(DE$3:DE303,DG303)+COUNTIF(DF$3:DF303,DG303)+COUNTIF(DG$3:DG303,DG303)=1,MAX(JL$2:JN302,JL303,JM303)+1,""))</f>
        <v/>
      </c>
      <c r="JO303" t="str">
        <f t="shared" si="683"/>
        <v>3х2,5</v>
      </c>
      <c r="JP303" t="str">
        <f>IF(JO303="","",IF(COUNTIF(JO$3:JO303,JO303)=1,MAX(JP$2:JP302)+1,""))</f>
        <v/>
      </c>
      <c r="JQ303" t="str">
        <f>IF(HG303="","",COUNTIF(HG$3:HG303,"?*"))</f>
        <v/>
      </c>
      <c r="JR303" t="str">
        <f>IF(OR(HG303="",HI303=""),"",IF(COUNTIFS(HG$3:HG303,"?*",HI$3:HI303,HI303)=1,MAX(JR$2:JR302)+1,""))</f>
        <v/>
      </c>
      <c r="JS303">
        <f t="shared" si="684"/>
        <v>0</v>
      </c>
      <c r="JT303">
        <f>IF(B303="","",COUNTIF(B$3:B303,"?*"))</f>
        <v>301</v>
      </c>
      <c r="JU303">
        <f>IF(HL303&lt;&gt;1,0,_xlfn.LET(_xlpm.k,MAX(IFERROR(--_xlfn.XLOOKUP(B303,Коды_код,Коды_3L),0),IFERROR(--_xlfn.XLOOKUP(BC303,Коды_код,Коды_3L),0),IFERROR(--_xlfn.XLOOKUP(LEFT(BC303,2),Коды_код,Коды_3L),0)),IF(_xlpm.k&gt;0,_xlpm.k,IF(IFERROR(--LEFT(SUBSTITUTE(JO303,"x","х"),FIND("х",SUBSTITUTE(JO303,"x","х"))-1),3)&gt;3,Каталог!$S$9,1))))</f>
        <v>1</v>
      </c>
      <c r="JV303">
        <f t="shared" si="685"/>
        <v>0</v>
      </c>
      <c r="JW303" t="str">
        <f t="shared" si="686"/>
        <v>авто</v>
      </c>
      <c r="JX303">
        <f t="shared" si="687"/>
        <v>30</v>
      </c>
      <c r="JY303">
        <f t="shared" si="688"/>
        <v>1</v>
      </c>
      <c r="JZ303">
        <f t="shared" si="689"/>
        <v>1</v>
      </c>
    </row>
    <row r="304" spans="1:286" x14ac:dyDescent="0.3">
      <c r="A304" t="s">
        <v>759</v>
      </c>
      <c r="B304" t="s">
        <v>1609</v>
      </c>
      <c r="C304" t="str">
        <f>Линии[[#This Row],[_авто наименование]]</f>
        <v>Розеточная группа, пом. 003Г</v>
      </c>
      <c r="D304">
        <v>1</v>
      </c>
      <c r="E304">
        <v>0.12</v>
      </c>
      <c r="G304">
        <v>16</v>
      </c>
      <c r="H304" t="str">
        <f>Линии[[#This Row],[_авто управление]]</f>
        <v/>
      </c>
      <c r="I304" t="str">
        <f>Линии[[#This Row],[_авто аппараты]]</f>
        <v/>
      </c>
      <c r="J304">
        <v>2.5</v>
      </c>
      <c r="K304">
        <v>44</v>
      </c>
      <c r="L304">
        <v>1</v>
      </c>
      <c r="M304" t="s">
        <v>484</v>
      </c>
      <c r="N304" t="str">
        <f t="shared" si="552"/>
        <v/>
      </c>
      <c r="O304" s="6" cm="1">
        <f t="array" ref="O304">IF(B304="","",IF(BH304&lt;&gt;"",IFERROR(_xlfn.XLOOKUP(BH304,Щиты[Щит],Щиты[Iр, А]),""),IF(BP304=1,IF(OR(N(_xlfn.XLOOKUP(A304,Щиты[Щит],Щиты[Вводов],1))&lt;=1,LOWER(TRIM(_xlfn.XLOOKUP(A304,Щиты[Щит],Щиты[АВР],"")&amp;""))="да"),IFERROR(_xlfn.XLOOKUP(A304,Щиты[Щит],Щиты[Iр, А]),""),IFERROR(N(BS304)*_xlfn.XLOOKUP(A304,Щиты[Щит],Щиты[Кс итог])/(SQRT(3)*Uн_лин*_xlfn.XLOOKUP(A304,Щиты[Щит],Щиты[cos φ])),"")),IF(BV304=1,IFERROR(BS304*1000/BU304,""),IFERROR(_xlfn.IFS(BX304=1,BS304/((Uн_лин/SQRT(3))*CE304),BX304=3,BS304/(SQRT(3)*Uн_лин*CE304)),"")))))</f>
        <v>0.54696341291648753</v>
      </c>
      <c r="P304" s="7">
        <f>IF(B304="","",IFERROR(IF(VLOOKUP(BC304,Потребители_обозначение,4,FALSE)=1,VLOOKUP(BC304,Потребители_обозначение,3,FALSE)*(MAX(1,N(D304))*2-1)+EI304+VLOOKUP(BE304,Этаж_обозначение,3,FALSE)+VLOOKUP(BE304,Этаж_обозначение,4,FALSE),VLOOKUP(BC304,Потребители_обозначение,3,FALSE)*(MAX(1,N(D304))*2-1)+EI304),EI304))</f>
        <v>47</v>
      </c>
      <c r="Q304" s="6">
        <f t="shared" si="553"/>
        <v>1.99</v>
      </c>
      <c r="R304" t="str">
        <f t="shared" si="554"/>
        <v>ВВГнг(А)-LS (3х2,5)</v>
      </c>
      <c r="S304" t="str">
        <f>IF(BM304="","",IF(BN304="вводной узел","узел ","")&amp;"л."&amp;(INT((BM304-1)/Столбцов_на_лист)+1)&amp;" / "&amp;(MOD(BM304-1,Столбцов_на_лист)+1))</f>
        <v>л.2 / 14</v>
      </c>
      <c r="T304" s="119">
        <f t="shared" si="555"/>
        <v>0.7</v>
      </c>
      <c r="U304" s="7" t="str">
        <f>IF(OR(CG304=0,N(BV304)+N(IB304)=0),"",ROUNDUP(Запас_БП*(N(HY304)+N(HZ304)),0))</f>
        <v/>
      </c>
      <c r="V304" s="119" t="str">
        <f t="shared" si="556"/>
        <v/>
      </c>
      <c r="W304" s="7" t="str">
        <f>IFERROR(IF(OR(B304="",BP304=1,BV304=1,NOT(ISNUMBER(EN304)),N(DT304)=0),"",MAX(0,ROUNDDOWN((c_min*(Uн_лин*1000/SQRT(3))/(HT304*N(DT304))-_xlfn.XLOOKUP(A304,Щиты[Щит],Щиты[Zпетли на шинах, Ом]))*EN304/(2*ρкз_Cu),0))),"")</f>
        <v/>
      </c>
      <c r="Y304">
        <f>Линии[[#This Row],[_авто утечка]]</f>
        <v>30</v>
      </c>
      <c r="Z304">
        <v>1</v>
      </c>
      <c r="AA304">
        <v>230</v>
      </c>
      <c r="AB304" t="s">
        <v>562</v>
      </c>
      <c r="AG304" t="s">
        <v>810</v>
      </c>
      <c r="AI304" t="s">
        <v>561</v>
      </c>
      <c r="AK304" t="str">
        <f>Линии[[#This Row],[_авто модуль]]</f>
        <v/>
      </c>
      <c r="AM304">
        <v>31</v>
      </c>
      <c r="AN304" t="s">
        <v>11</v>
      </c>
      <c r="AO304">
        <v>3</v>
      </c>
      <c r="AQ304">
        <v>12</v>
      </c>
      <c r="AR304">
        <v>27</v>
      </c>
      <c r="AS304">
        <v>8</v>
      </c>
      <c r="AT304">
        <v>2</v>
      </c>
      <c r="BA304" cm="1">
        <f t="array" ref="BA304">ROW()-ROW(Линии[#Headers])</f>
        <v>302</v>
      </c>
      <c r="BC304" s="6" t="str">
        <f t="shared" si="557"/>
        <v>R</v>
      </c>
      <c r="BD304" t="str">
        <f t="shared" si="558"/>
        <v>2.003Г.1</v>
      </c>
      <c r="BE304" t="str">
        <f t="shared" si="559"/>
        <v>2</v>
      </c>
      <c r="BF304" t="str">
        <f t="shared" si="560"/>
        <v>003Г.1</v>
      </c>
      <c r="BG304" t="str">
        <f t="shared" si="561"/>
        <v>003Г</v>
      </c>
      <c r="BH304" t="str">
        <f>IF(X304&lt;&gt;"",X304,IF(AND(B304&lt;&gt;"",B304&lt;&gt;A304,ISNUMBER(_xlfn.XMATCH(B304,Щиты[Щит]))),B304,""))</f>
        <v/>
      </c>
      <c r="BI304" t="str" cm="1">
        <f t="array" ref="BI304">IF(B304="","",IF(BH304&lt;&gt;"","Щит "&amp;BH304,_xlfn.LET(_xlpm.nm,IFERROR(_xlfn.XLOOKUP(BC304,Коды_код,Коды_имя)&amp;"",""),_xlpm.md,IFERROR(N(_xlfn.XLOOKUP(BC304,Коды_код,Коды_режим)),1),_xlpm.ex,IF(Имя_режим="по экспликации",IFERROR(_xlfn.XLOOKUP(BE304&amp;"|"&amp;BG304,Экспликация[Этаж]&amp;"|"&amp;Экспликация[Помещение],Экспликация[Название])&amp;"",""),""),_xlpm.rm,IF(BG304="","",IF(_xlpm.ex&lt;&gt;"",". "&amp;_xlpm.ex&amp;IF(Имя_пом="нет"," ("&amp;BG304&amp;")"," (пом. "&amp;BG304&amp;")"),IF(Имя_пом="нет"," ",", пом. ")&amp;BG304)),IF(_xlpm.nm="","",IF(_xlpm.md=2,_xlpm.nm&amp;" шлейф "&amp;BE304,_xlpm.nm&amp;_xlpm.rm)))))</f>
        <v>Розеточная группа, пом. 003Г</v>
      </c>
      <c r="BJ304" t="str">
        <f t="shared" si="562"/>
        <v>Розеточная группа, пом. 003Г</v>
      </c>
      <c r="BK304">
        <f>IFERROR(_xlfn.XMATCH(A304,Щиты[Щит]),0)</f>
        <v>11</v>
      </c>
      <c r="BL304">
        <f>_xlfn.LET(_xlpm.k,IFERROR(_xlfn.XLOOKUP(A304,Щиты[Щит],Щиты[Мест под вводной узел]),""),IF(_xlpm.k="",Столбцов_на_лист,N(_xlpm.k)))</f>
        <v>8</v>
      </c>
      <c r="BM304">
        <f t="shared" si="563"/>
        <v>31</v>
      </c>
      <c r="BN304" t="str">
        <f t="shared" si="564"/>
        <v>линии</v>
      </c>
      <c r="BO304" s="6">
        <f>IFERROR(N(_xlfn.XLOOKUP(BC304,Коды_код,Коды_квт)),0)</f>
        <v>0</v>
      </c>
      <c r="BP304">
        <f t="shared" si="565"/>
        <v>0</v>
      </c>
      <c r="BQ304" t="str">
        <f>IF(B304="","",IF(BH304&lt;&gt;"",IFERROR(_xlfn.XLOOKUP(BH304,Щиты[Щит],Щиты[Руст, кВт]),0),IF(BP304=1,IF(OR(N(_xlfn.XLOOKUP(A304,Щиты[Щит],Щиты[Вводов],1))&lt;=1,LOWER(TRIM(_xlfn.XLOOKUP(A304,Щиты[Щит],Щиты[АВР],"")&amp;""))="да"),IFERROR(_xlfn.XLOOKUP(A304,Щиты[Щит],Щиты[Руст, кВт]),0),SUMIFS(Линии[_Р для вводов],Линии[Щит],A304,Линии[Источник для режимов],GF304)),IF(BO304&gt;0,ROUND(BO304*MAX(1,N(D304)),3),""))))</f>
        <v/>
      </c>
      <c r="BR304">
        <f t="shared" si="566"/>
        <v>0.12</v>
      </c>
      <c r="BS304" s="6">
        <f>IF(B304="","",IF(BH304&lt;&gt;"",IFERROR(_xlfn.XLOOKUP(BH304,Щиты[Щит],Щиты[Руст, кВт]),0),N(BR304)))</f>
        <v>0.12</v>
      </c>
      <c r="BT304" t="str">
        <f>IF(B304="","",IFERROR(IF(VLOOKUP(BC304,Потребители_обозначение,8,FALSE)=0,"",VLOOKUP(BC304,Потребители_обозначение,8,FALSE)),""))</f>
        <v/>
      </c>
      <c r="BU304">
        <f t="shared" si="567"/>
        <v>230</v>
      </c>
      <c r="BV304">
        <f t="shared" si="568"/>
        <v>0</v>
      </c>
      <c r="BW304">
        <f>IF(B304="","",IF(BH304&lt;&gt;"",3,IFERROR(IF(N(VLOOKUP(BC304,Потребители_обозначение,9,FALSE))=0,1,VLOOKUP(BC304,Потребители_обозначение,9,FALSE)),1)))</f>
        <v>1</v>
      </c>
      <c r="BX304">
        <f t="shared" si="569"/>
        <v>1</v>
      </c>
      <c r="BY304" t="str">
        <f>IF(B304="","",_xlfn.LET(_xlpm.bc,IFERROR(IF(VLOOKUP(BC304,Потребители_обозначение,6,FALSE)=0,"",VLOOKUP(BC304,Потребители_обозначение,6,FALSE)&amp;""),""),IF(AND(GA304="да",OR(_xlpm.bc="",_xlpm.bc="мс")),Марка_пож,IF(AND(_xlpm.bc="",BH304&lt;&gt;""),"мс",_xlpm.bc))))</f>
        <v/>
      </c>
      <c r="BZ304" t="str">
        <f t="shared" si="570"/>
        <v>мс</v>
      </c>
      <c r="CA304">
        <f>IF(B304="","",_xlfn.LET(_xlpm.cc,IFERROR(N(VLOOKUP(BC304,Потребители_обозначение,7,FALSE)),0),IF(_xlpm.cc&gt;0,_xlpm.cc,IF(BZ304="","",IF(BV304=1,2,IF(N(BX304)=3,5,3))))))</f>
        <v>3</v>
      </c>
      <c r="CB304">
        <f t="shared" si="571"/>
        <v>3</v>
      </c>
      <c r="CC304">
        <f>IFERROR(N(VLOOKUP(BC304,Потребители_обозначение,10,FALSE)),0)</f>
        <v>0</v>
      </c>
      <c r="CD304">
        <f>IFERROR(VLOOKUP(BC304,Потребители_обозначение,5,FALSE),0)</f>
        <v>1</v>
      </c>
      <c r="CE304" s="6" cm="1">
        <f t="array" ref="CE304">IF(B304="","",IF(BH304&lt;&gt;"",IFERROR(_xlfn.XLOOKUP(BH304,Щиты[Щит],Щиты[cos φ]),0.95),IF(BP304=1,IFERROR(_xlfn.XLOOKUP(A304,Щиты[Щит],Щиты[cos φ]),0.95),IF(ISNUMBER(AD304),AD304,IFERROR(IF(CD304=2,_xlfn.IFS(BX304=3,VLOOKUP(BS304,Справочная_двигатели,8,FALSE),BX304=1,VLOOKUP(BS304,Справочная_двигатели,10,TRUE)),IF(AND(Методика="нормы 2026",FG304="Сил"),0.8,0.95)),0.95)))))</f>
        <v>0.95</v>
      </c>
      <c r="CF304">
        <f t="shared" si="572"/>
        <v>0</v>
      </c>
      <c r="CG304">
        <f t="shared" si="573"/>
        <v>1</v>
      </c>
      <c r="CH304">
        <f t="shared" si="574"/>
        <v>0</v>
      </c>
      <c r="CI304">
        <f>IF(B304="","",IF(BV304=1,IFERROR(BS304/((Uн_лин/SQRT(3))*MAX(0.5,N(CE304))),0),N(O304)))</f>
        <v>0.54696341291648753</v>
      </c>
      <c r="CJ304">
        <f t="shared" si="575"/>
        <v>0</v>
      </c>
      <c r="CK304">
        <f t="shared" si="576"/>
        <v>0</v>
      </c>
      <c r="CL304">
        <f t="shared" si="577"/>
        <v>0</v>
      </c>
      <c r="CM304">
        <f t="shared" si="578"/>
        <v>0</v>
      </c>
      <c r="CN304">
        <f t="shared" si="579"/>
        <v>0</v>
      </c>
      <c r="CO304">
        <f>IF(BC304="",0,_xlfn.LET(_xlpm.v,IFERROR(_xlfn.XLOOKUP(B304,Коды_код,Коды_мА),IFERROR(_xlfn.XLOOKUP(BC304,Коды_код,Коды_мА),IFERROR(_xlfn.XLOOKUP(LEFT(BC304,2),Коды_код,Коды_мА),""))),IF(_xlpm.v="да",30,IF(ISNUMBER(_xlpm.v),_xlpm.v,0))))</f>
        <v>30</v>
      </c>
      <c r="CP304">
        <f t="shared" si="580"/>
        <v>30</v>
      </c>
      <c r="CQ304" t="str">
        <f>_xlfn.LET(_xlpm.k,IFERROR(_xlfn.XLOOKUP(BC304,Коды_код,Коды_утечка)&amp;"",""),IF(_xlpm.k="","дифавтомат",_xlpm.k))</f>
        <v>дифавтомат</v>
      </c>
      <c r="CR304" t="str" cm="1">
        <f t="array" ref="CR304">IF(CG304=0,"",_xlfn.LET(_xlpm.sg,TRIM(_xlfn.TEXTSPLIT(DD304&amp;"",";")),_xlpm.f_,_xlfn._xlws.FILTER(_xlpm.sg,LEFT(_xlpm.sg,3)="УЗО",""),IFERROR(INDEX(_xlpm.f_,1)&amp;"","")))</f>
        <v/>
      </c>
      <c r="CS304" t="str">
        <f t="shared" si="581"/>
        <v/>
      </c>
      <c r="CT304" s="6" t="str" cm="1">
        <f t="array" ref="CT304">IF(CR304="","",_xlfn.LET(_xlpm.tk,_xlfn.TEXTSPLIT(UPPER(CR304)," ",,TRUE),_xlpm.a_,_xlfn._xlws.FILTER(_xlpm.tk,ISNUMBER(--LEFT(_xlpm.tk,1))*((ISNUMBER(SEARCH("А",_xlpm.tk))+ISNUMBER(SEARCH("A",_xlpm.tk)))&gt;0)*NOT(ISNUMBER(SEARCH("МА",_xlpm.tk)))*NOT(ISNUMBER(SEARCH("MA",_xlpm.tk))),""),IFERROR(--SUBSTITUTE(SUBSTITUTE(INDEX(_xlpm.a_,1),"А",""),"A",""),"")))</f>
        <v/>
      </c>
      <c r="CU304" t="str" cm="1">
        <f t="array" ref="CU304">IF(CR304="","",_xlfn.LET(_xlpm.tk,_xlfn.TEXTSPLIT(UPPER(CR304)," ",,TRUE),_xlpm.a_,_xlfn._xlws.FILTER(_xlpm.tk,ISNUMBER(--LEFT(_xlpm.tk,1))*((ISNUMBER(SEARCH("МА",_xlpm.tk))+ISNUMBER(SEARCH("MA",_xlpm.tk)))&gt;0),""),IFERROR(--SUBSTITUTE(SUBSTITUTE(INDEX(_xlpm.a_,1),"МА",""),"MA",""),30)))</f>
        <v/>
      </c>
      <c r="CV304" t="str">
        <f>IF(CS304="","",IFERROR(_xlfn.XLOOKUP(CS304,Линии[_n],Линии[_УЗО, мА]),30))</f>
        <v/>
      </c>
      <c r="CW304">
        <f>IF(CS304="",0,IF(ISNUMBER(SEARCH("4P",IFERROR(_xlfn.XLOOKUP(CS304,Линии[_n],Линии[_УЗО строки])&amp;"",""))),0,1))</f>
        <v>0</v>
      </c>
      <c r="CX304" t="str">
        <f>IF(AND(CS304&lt;&gt;"",CS304=BA304),SUMIFS(Линии[_ток на 230 В],Линии[_блок УЗО],BA304,Линии[Щит],A304),"")</f>
        <v/>
      </c>
      <c r="CY304" t="str">
        <f>IF(AND(CS304&lt;&gt;"",CS304=BA304),SUMIFS(Линии[_ток утечки линии, мА],Линии[_блок УЗО],BA304,Линии[Щит],A304),"")</f>
        <v/>
      </c>
      <c r="CZ304">
        <f t="shared" si="582"/>
        <v>30</v>
      </c>
      <c r="DA304">
        <f t="shared" si="583"/>
        <v>30</v>
      </c>
      <c r="DB304">
        <f>IF(B304="",0,IFERROR(--_xlfn.XLOOKUP(B304,Коды_код,Коды_минавт),IFERROR(--_xlfn.XLOOKUP(BC304,Коды_код,Коды_минавт),IFERROR(--_xlfn.XLOOKUP(LEFT(BC304,2),Коды_код,Коды_минавт),0))))</f>
        <v>16</v>
      </c>
      <c r="DC304" t="str">
        <f>IF(B304="","",IFERROR(_xlfn.XLOOKUP(BC304,Коды_код,Коды_апп)&amp;"",""))</f>
        <v/>
      </c>
      <c r="DD304" t="str">
        <f t="shared" si="584"/>
        <v/>
      </c>
      <c r="DE304" t="str" cm="1">
        <f t="array" ref="DE304">IF(TRIM(DD304&amp;"")="","",IFERROR(TRIM(INDEX(_xlfn.TEXTSPLIT(DD304&amp;";;;",";"),1)),""))</f>
        <v/>
      </c>
      <c r="DF304" t="str" cm="1">
        <f t="array" ref="DF304">IF(TRIM(DD304&amp;"")="","",IFERROR(TRIM(INDEX(_xlfn.TEXTSPLIT(DD304&amp;";;;",";"),2)),""))</f>
        <v/>
      </c>
      <c r="DG304" t="str" cm="1">
        <f t="array" ref="DG304">IF(TRIM(DD304&amp;"")="","",IFERROR(TRIM(INDEX(_xlfn.TEXTSPLIT(DD304&amp;";;;",";"),3)),""))</f>
        <v/>
      </c>
      <c r="DH304">
        <f t="shared" si="585"/>
        <v>0</v>
      </c>
      <c r="DI304" t="str">
        <f>IF(B304="","",_xlfn.LET(_xlpm.t,LOWER(AZ304&amp;""),IF(ISNUMBER(SEARCH("dim",_xlpm.t)),"DIM",IF(ISNUMBER(SEARCH("dali",_xlpm.t)),"DALI",IF(OR(ISNUMBER(SEARCH("relay",_xlpm.t)),ISNUMBER(SEARCH("реле",_xlpm.t))),"Relay",IF(ISNUMBER(SEARCH("кнопк",_xlpm.t)),"",IFERROR(_xlfn.XLOOKUP(BC304,Коды_код,Коды_упр)&amp;"","")))))))</f>
        <v/>
      </c>
      <c r="DJ304" t="str">
        <f t="shared" si="586"/>
        <v/>
      </c>
      <c r="DK304">
        <f>IF(B304="","",_xlfn.LET(_xlpm.ig,IF(N(CX304)&gt;0,N(CX304),N(CI304)+IF(AJ304="вручную",0,N(CJ304))),_xlpm.n0,IFERROR(VLOOKUP(_xlpm.ig,Автомат_номиналы,2,TRUE),0),_xlpm.mn,MAX(DB304,IF(AJ304="вручную",0,N(CM304))),MAX(_xlpm.n0,_xlpm.mn,IF(DH304=1,Мин_автомат_БП,0))))</f>
        <v>16</v>
      </c>
      <c r="DL304">
        <f t="shared" si="587"/>
        <v>1</v>
      </c>
      <c r="DM304" t="str">
        <f t="shared" si="588"/>
        <v>2P</v>
      </c>
      <c r="DN304" t="str">
        <f>_xlfn.LET(_xlpm.cc,UPPER(TRIM(IFERROR(_xlfn.XLOOKUP(BC304,Коды_код,Коды_хар)&amp;"",""))),IF(OR(_xlpm.cc="B",_xlpm.cc="В"),"B",IF(_xlpm.cc="D","D","С")))</f>
        <v>С</v>
      </c>
      <c r="DO304" t="str">
        <f t="shared" si="589"/>
        <v>2P С16А 30мА</v>
      </c>
      <c r="DP304">
        <f t="shared" si="590"/>
        <v>16</v>
      </c>
      <c r="DQ304" t="str">
        <f t="shared" si="591"/>
        <v>2P С16А 30мА</v>
      </c>
      <c r="DR304" cm="1">
        <f t="array" ref="DR304">IF(DQ304="","",_xlfn.LET(_xlpm.t,SUBSTITUTE(SUBSTITUTE(SUBSTITUTE(UPPER(DQ304),"С","C"),"А","A"),"В","B"),_xlpm.tk,_xlfn.TEXTSPLIT(_xlpm.t," "),_xlpm.f,_xlfn._xlws.FILTER(_xlpm.tk,ISNUMBER(--MID(_xlpm.tk,2,1))*ISNUMBER(SEARCH(LEFT(_xlpm.tk,1)&amp;"#","B#C#D#"))*(LEN(_xlpm.tk)&gt;1),""),_xlpm.x,INDEX(_xlpm.f,1),IFERROR(--SUBSTITUTE(MID(_xlpm.x,2,9),"A",""),IFERROR(--SUBSTITUTE(INDEX(_xlfn._xlws.FILTER(_xlpm.tk,ISNUMBER(--SUBSTITUTE(_xlpm.tk,"A","")),""),1),"A",""),""))))</f>
        <v>16</v>
      </c>
      <c r="DS304" t="str">
        <f t="shared" si="592"/>
        <v>ok</v>
      </c>
      <c r="DT304">
        <f t="shared" si="593"/>
        <v>16</v>
      </c>
      <c r="DU304" t="str">
        <f t="shared" si="594"/>
        <v>2P С16А 30мА</v>
      </c>
      <c r="DV304">
        <f t="shared" si="595"/>
        <v>30</v>
      </c>
      <c r="DW304">
        <f t="shared" si="596"/>
        <v>1</v>
      </c>
      <c r="DX304">
        <f t="shared" si="597"/>
        <v>0</v>
      </c>
      <c r="DY304">
        <f t="shared" si="598"/>
        <v>0.54696341291648753</v>
      </c>
      <c r="DZ304">
        <f t="shared" si="599"/>
        <v>1</v>
      </c>
      <c r="EA304">
        <f>IF(ISNUMBER(AP304),AP304,К_прокл)</f>
        <v>1</v>
      </c>
      <c r="EB304">
        <f t="shared" si="600"/>
        <v>2</v>
      </c>
      <c r="EC304">
        <f>IFERROR(N(VLOOKUP(BZ304,Кабель_обозначение,3,FALSE)),1)</f>
        <v>1</v>
      </c>
      <c r="ED304">
        <f>IFERROR(N(_xlfn.XLOOKUP(A304,Щиты[Щит],Щиты[ΔU до шин, %])),0)</f>
        <v>1.79</v>
      </c>
      <c r="EE304" t="str">
        <f>IFERROR(_xlfn.XLOOKUP(A304,Щиты[Щит],Щиты[Zпетли на шинах, Ом]),"")</f>
        <v/>
      </c>
      <c r="EF304">
        <f>IFERROR(N(_xlfn.XLOOKUP(A304,Щиты[Щит],Щиты[ΔU до шин (подбор), %])),0)</f>
        <v>4.75</v>
      </c>
      <c r="EG304" t="str">
        <f>IFERROR(_xlfn.XLOOKUP(A304,Щиты[Щит],Щиты[Zпетли на шинах (подбор), Ом]),"")</f>
        <v/>
      </c>
      <c r="EH304" t="str">
        <f t="shared" si="601"/>
        <v/>
      </c>
      <c r="EI304">
        <f t="shared" si="602"/>
        <v>44</v>
      </c>
      <c r="EJ304">
        <f t="shared" si="603"/>
        <v>2</v>
      </c>
      <c r="EK304">
        <f t="shared" si="604"/>
        <v>0.31</v>
      </c>
      <c r="EL304" s="6">
        <f>IF(B304="","",IF(BV304=1,dU_LED,IF(IFERROR(_xlfn.XLOOKUP(BC304,Коды_код,Коды_уго),"")="Светильник",3,4)+IF(Методика="нормы 2026",MIN(0.5,MAX(0,N(P304)-100)*0.005),0)))</f>
        <v>4</v>
      </c>
      <c r="EM304" t="str" cm="1">
        <f t="array" ref="EM304">IF(OR(B304="",BZ304="",EC304&lt;&gt;1),"",_xlfn.LET(_xlpm.sz,Iдоп_S,_xlpm.t_,CHOOSE(EB304,Iдоп_1ж,Iдоп_2ж,Iдоп_3ж)*DZ304*EA304,_xlpm.dcx,BV304=1,_xlpm.inn,IF(_xlpm.dcx,N(O304),N(DT304)),_xlpm.smin,MAX(1.5,CC304),_xlpm.L_,N(P304)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304)/N(BU304)*100,999),IFERROR(N(EJ304)*(_xlpm.rho*_xlpm.L_/_xlpm.sz*N(CE304)+_xlpm.xx*_xlpm.L_*N(EK304)/1000)*N(O304)/((Uн_лин/SQRT(3))*1000)*100,999)),_xlpm.kz,IF(OR(_xlpm.dcx,DW304=1,NOT(ISNUMBER(EG304)),_xlpm.L_=0,_xlpm.inn=0),1,IFERROR(--(c_min*(Uн_лин*1000/SQRT(3))/(EG304+2*ρкз_Cu*_xlpm.L_/_xlpm.sz)&gt;=HT304*_xlpm.inn),0)),_xlpm.ok,IFERROR((_xlpm.sz&gt;=_xlpm.smin)*(_xlpm.t_&gt;=_xlpm.inn)*IF(_xlpm.L_&gt;0,(_xlpm.du_+IF(_xlpm.dcx,0,EF304)&lt;=EL304+0.00001),1)*_xlpm.kz,0),_xlpm.r_,_xlfn._xlws.FILTER(_xlpm.sz,_xlpm.ok,"не подобрано"),INDEX(_xlpm.r_,1)))</f>
        <v>не подобрано</v>
      </c>
      <c r="EN304">
        <f t="shared" si="605"/>
        <v>2.5</v>
      </c>
      <c r="EO304" cm="1">
        <f t="array" ref="EO304">IF(OR(B304="",BZ304="",EC304&lt;&gt;1),"",_xlfn.LET(_xlpm.sz,Iдоп_S,_xlpm.t_,CHOOSE(EB304,Iдоп_1ж,Iдоп_2ж,Iдоп_3ж)*DZ304*EA304,_xlpm.ok,IFERROR((_xlpm.sz&gt;=MAX(1.5,CC304))*(_xlpm.t_&gt;=N(DT304)),0),_xlpm.r_,_xlfn._xlws.FILTER(_xlpm.sz,_xlpm.ok,""),INDEX(_xlpm.r_,1)))</f>
        <v>1.5</v>
      </c>
      <c r="EP304" s="6" cm="1">
        <f t="array" ref="EP304">IFERROR(ROUNDUP(N(EJ304)*(_xlfn.XLOOKUP(EO304,INDEX(Кабель_сопротивление,0,1),INDEX(Кабель_сопротивление,0,3))*N(P304)/EO304*N(CE304)+_xlfn.XLOOKUP(EO304,INDEX(Кабель_сопротивление,0,1),INDEX(Кабель_сопротивление,0,2))*N(P304)*N(EK304)/1000)*N(O304)/((Uн_лин/SQRT(3))*1000)*100,2),"")</f>
        <v>0.32</v>
      </c>
      <c r="EQ304">
        <f>IFERROR(2*ρкз_Cu*N(P304)/EO304,"")</f>
        <v>1.6481333333333332</v>
      </c>
      <c r="ER304">
        <f>IFERROR(VLOOKUP(EN304,Кабель_сопротивление,3,FALSE),"")</f>
        <v>2.2499999999999999E-2</v>
      </c>
      <c r="ES304">
        <f>IFERROR(VLOOKUP(EN304,Кабель_сопротивление,2,FALSE),"")</f>
        <v>0.1</v>
      </c>
      <c r="ET304">
        <f t="shared" si="606"/>
        <v>27</v>
      </c>
      <c r="EU304">
        <f t="shared" si="607"/>
        <v>8</v>
      </c>
      <c r="EV304">
        <f t="shared" si="608"/>
        <v>0.44118834634621956</v>
      </c>
      <c r="EW304" s="6">
        <f>IFERROR(ROUNDUP(EV304/IF(BV304=1,BU304,(Uн_лин/SQRT(3))*1000)*100,2),"")</f>
        <v>0.2</v>
      </c>
      <c r="EX304" t="str">
        <f>IFERROR(VLOOKUP(BZ304,Кабель_обозначение,2,FALSE),"")</f>
        <v>ВВГнг(А)-LS</v>
      </c>
      <c r="EY304" t="str">
        <f t="shared" si="609"/>
        <v>ВВГнг(А)-LS (3х2,5)</v>
      </c>
      <c r="EZ304" t="str">
        <f t="shared" si="610"/>
        <v>ВВГнг(А)-LS (3х2,5)
L=47-0,2%</v>
      </c>
      <c r="FA304">
        <f>IFERROR(2*ρкз_Cu*P304/EN304,"")</f>
        <v>0.98887999999999998</v>
      </c>
      <c r="FB304">
        <f t="shared" si="611"/>
        <v>0.32900000000000007</v>
      </c>
      <c r="FC304" s="6" t="str">
        <f>IFERROR(IF(OR(B304="",BV304=1,NOT(ISNUMBER(EN304)),N(P304)=0),"",_xlfn.XLOOKUP(A304,Щиты[Щит],Щиты[Zпетли на шинах, Ом])+FA304),"")</f>
        <v/>
      </c>
      <c r="FD304" s="6" t="str">
        <f>IF(ISNUMBER(FC304),c_min*(Uн_лин*1000/SQRT(3))/FC304,"")</f>
        <v/>
      </c>
      <c r="FE304" s="6" t="str">
        <f>IFERROR(IF(OR(B304="",NOT(ISNUMBER(EN304))),"",1.05*(Uн_лин*1000/SQRT(3))/(_xlfn.XLOOKUP(A304,Щиты[Щит],Щиты[Zmax на шинах, Ом])+FB304)/1000),"")</f>
        <v/>
      </c>
      <c r="FF304" s="6" t="str">
        <f>IF(B304="","",IF(ISNUMBER(AC304),"Сил",IF(IFERROR(_xlfn.XLOOKUP(BC304,Коды_код,Коды_группа)&amp;"","")="","Быт",_xlfn.XLOOKUP(BC304,Коды_код,Коды_группа)&amp;"")))</f>
        <v>Быт</v>
      </c>
      <c r="FG304" s="6" t="str">
        <f t="shared" si="612"/>
        <v>Быт</v>
      </c>
      <c r="FH304" s="6">
        <f>IF(FG304="Щит","щит",IF(FG304="","",IF(FG304="Быт",IFERROR(_xlfn.XLOOKUP(A304,Щиты[Щит],Щиты[Кс быт]),1),IF(FG304="Сил",IF(ISNUMBER(AC304),AC304,IF(Методика="нормы 2026",IFERROR(_xlfn.XLOOKUP(A304,Щиты[Щит],Щиты[Кс силовых (табл. 7.5)]),1),1)),IF(OR(FG304="Пост",FG304="Отоп"),1,IF(FG304="ВНГ",0.7,0))))))</f>
        <v>0.8</v>
      </c>
      <c r="FI304">
        <f>IF(FG304="","",IF(AND(BP304=1,TRIM(AE304&amp;"")=""),IF(COUNTIFS(Линии[Щит],A304,Линии[Секция (1/2/3)],"&gt;=2")&gt;0,MIN(3,MAX(1,IFERROR(--BD304,1))),1),IFERROR(MIN(3,MAX(1,INT(--AE304))),1)))</f>
        <v>1</v>
      </c>
      <c r="FJ304">
        <f t="shared" si="613"/>
        <v>0.12</v>
      </c>
      <c r="FK304">
        <f t="shared" si="614"/>
        <v>0.12</v>
      </c>
      <c r="FL304">
        <f t="shared" si="615"/>
        <v>0</v>
      </c>
      <c r="FM304">
        <f t="shared" si="616"/>
        <v>0</v>
      </c>
      <c r="FN304">
        <f t="shared" si="617"/>
        <v>0</v>
      </c>
      <c r="FO304">
        <f t="shared" si="618"/>
        <v>0</v>
      </c>
      <c r="FP304">
        <f t="shared" si="619"/>
        <v>0.12</v>
      </c>
      <c r="FQ304">
        <f t="shared" si="620"/>
        <v>0.12</v>
      </c>
      <c r="FR304">
        <f t="shared" si="621"/>
        <v>0.11399999999999999</v>
      </c>
      <c r="FS304">
        <f>IF(CG304=1,IF(AND(CH304=1,CW304=1),0,IF(AND(CS304&lt;&gt;"",CS304=BA304,CW304=1),SUMIFS(Линии[_Р линии, кВт],Линии[_блок УЗО],BA304,Линии[Щит],A304),N(BS304)+IF(AJ304="вручную",0,N(CK304)))),0)</f>
        <v>0.12</v>
      </c>
      <c r="FT304" t="str">
        <f t="shared" si="622"/>
        <v>L1</v>
      </c>
      <c r="FU304" t="str">
        <f>IF(B304="","",IF(CG304=0,IF(BA304=1,"",FW303),IF(AND(CH304=1,CW304=1,CS304&lt;&gt;""),IFERROR(_xlfn.XLOOKUP(CS304,Линии[_n],Линии[_фаза итог]),"L1"),IF(OR(N(DL304)&gt;=3,N(BX304)&gt;=3),"L1,L2,L3",IFERROR(_xlfn.TEXTBEFORE(_xlfn.TEXTAFTER(_xlfn.XLOOKUP(A304,Щиты[Щит],Щиты[_фазы авто]),";"&amp;BA304&amp;":"),";"),"L1")))))</f>
        <v>L1</v>
      </c>
      <c r="FV304" t="str">
        <f t="shared" si="623"/>
        <v>L1</v>
      </c>
      <c r="FW304" t="str">
        <f t="shared" si="624"/>
        <v>L1</v>
      </c>
      <c r="FX304" cm="1">
        <f t="array" ref="FX304">IFERROR(IF(CD304=2,_xlfn.IFS(BX304=3,VLOOKUP(BS304,Справочная_двигатели,3,FALSE),BX304=1,VLOOKUP(BS304,Справочная_двигатели,5,TRUE)),0),0)</f>
        <v>0</v>
      </c>
      <c r="FY304">
        <f>IFERROR(IF(CD304=3,VLOOKUP(BS304,Справочная_ЛЭД,2,TRUE),0),0)</f>
        <v>0</v>
      </c>
      <c r="FZ304" s="6">
        <f t="shared" si="625"/>
        <v>0</v>
      </c>
      <c r="GA304" t="str">
        <f>IF(B304="","",IF(TRIM(AH304&amp;"")&lt;&gt;"",IF(LOWER(TRIM(AH304&amp;""))="да","да","нет"),IF(IFERROR(_xlfn.XLOOKUP(BC304,Коды_код,Коды_пожарная),"")="да","да","нет")))</f>
        <v>нет</v>
      </c>
      <c r="GB304" t="str">
        <f t="shared" si="626"/>
        <v/>
      </c>
      <c r="GC304" t="str">
        <f t="shared" si="627"/>
        <v>основная</v>
      </c>
      <c r="GD304">
        <f>IF(AND(BP304=1,TRIM(AE304&amp;"")=""),IF(COUNTIFS(Линии[Щит],A304,Линии[Секция (1/2/3)],"&gt;=2")&gt;0,MIN(3,MAX(1,IFERROR(--BD304,1))),1),IFERROR(MIN(3,MAX(1,INT(--AE304))),1))</f>
        <v>1</v>
      </c>
      <c r="GE304" t="str" cm="1">
        <f t="array" ref="GE304">IF(B304="","",_xlfn.LET(_xlpm.t,IFERROR(_xlfn.XLOOKUP(1,(Шины[Шина]=GC304)*(((Шины[Щит]=A304)+(Шины[Щит]=""))&gt;0),Шины[Тип]),"")&amp;"",IF(_xlpm.t&lt;&gt;"",_xlpm.t,IF(ISNUMBER(SEARCH("ИБП",GC304)),"ИБП",IF(ISNUMBER(SEARCH("ДГУ",GC304)),"ДГУ","Ввод "&amp;GD304)))))</f>
        <v>Ввод 1</v>
      </c>
      <c r="GF304" t="str">
        <f t="shared" si="628"/>
        <v>Ввод 1</v>
      </c>
      <c r="GG304" t="str">
        <f>IF(BP304=0,"",IF(TRIM(AG304&amp;"")&lt;&gt;"",TRIM(AG304&amp;""),IF(OR(GE304="ИБП",GE304="ДГУ"),"I особая",_xlfn.XLOOKUP(A304,Щиты[Щит],Щиты[Категория шины «Ввод»],"III"))))</f>
        <v/>
      </c>
      <c r="GH304" t="str">
        <f>IF(A304="","",_xlfn.XLOOKUP(A304,Щиты[Щит],Щиты[Путь],""))</f>
        <v>|ГРЩ-ЖД|ЩР-2|</v>
      </c>
      <c r="GI304" t="str">
        <f>IF(B304="","",IF(AI304&lt;&gt;"",AI304,IF(IFERROR(_xlfn.XLOOKUP(BC304,Коды_код,Коды_вид)&amp;"","")="","Прочее",_xlfn.XLOOKUP(BC304,Коды_код,Коды_вид)&amp;"")))</f>
        <v>Розеточная сеть и бытовые приборы</v>
      </c>
      <c r="GJ304">
        <f>IF(BM304="","",INT((BM304-1)/Столбцов_на_лист)+1)</f>
        <v>2</v>
      </c>
      <c r="GK304" t="str">
        <f t="shared" si="629"/>
        <v>ВВГнг(А)-LS (3х2,5) L=47-0,2%</v>
      </c>
      <c r="GL304">
        <f t="shared" si="630"/>
        <v>0.12</v>
      </c>
      <c r="GM304">
        <f t="shared" si="631"/>
        <v>0.55000000000000004</v>
      </c>
      <c r="GN304">
        <f t="shared" si="632"/>
        <v>1</v>
      </c>
      <c r="GO304">
        <f t="shared" si="633"/>
        <v>0</v>
      </c>
      <c r="GP304">
        <f t="shared" si="634"/>
        <v>1</v>
      </c>
      <c r="GQ304">
        <f>IF(BM304="","",IF(AND(CG304=1,GP304=1),COUNTIFS(A$3:A304,A304,CG$3:CG304,1,GP$3:GP304,1),IF(OR(OR(BA304=1,A304&lt;&gt;A303),AJ304="вручную",GP304=0),"",IF(BA304=1,"",GR303))))</f>
        <v>21</v>
      </c>
      <c r="GR304">
        <f t="shared" si="635"/>
        <v>21</v>
      </c>
      <c r="GS304">
        <f>IF(B304="","",IFERROR(LOOKUP(INDEX(CHOOSE(EB304,Iдоп_1ж,Iдоп_2ж,Iдоп_3ж),MATCH(EN304,Iдоп_S,0))*DZ304*EA304,{6,10,16,20,25,32,40,50,63,80,100,125,160,200,250,315,400,500,630}),""))</f>
        <v>25</v>
      </c>
      <c r="GT304" t="str">
        <f t="shared" si="636"/>
        <v>QFD21</v>
      </c>
      <c r="GU304" t="str">
        <f t="shared" si="637"/>
        <v>QFD21</v>
      </c>
      <c r="GV304" t="str">
        <f t="shared" si="638"/>
        <v/>
      </c>
      <c r="GW304">
        <f t="shared" si="639"/>
        <v>0</v>
      </c>
      <c r="GX304" t="str">
        <f>IF(OR(B304="",DJ304=""),"",IFERROR(_xlfn.XLOOKUP(DJ304,Модули_умолч[Управление],Модули_умолч[Модель])&amp;"",""))</f>
        <v/>
      </c>
      <c r="GY304">
        <f>IF(DJ304="",1,IFERROR(MAX(0,N(_xlfn.XLOOKUP(DJ304,Модули_умолч[Управление],Модули_умолч[Каналов на линию]))),1))</f>
        <v>1</v>
      </c>
      <c r="GZ304" t="str">
        <f t="shared" si="640"/>
        <v/>
      </c>
      <c r="HA304" t="str">
        <f t="shared" si="641"/>
        <v/>
      </c>
      <c r="HB304" t="str">
        <f t="shared" si="642"/>
        <v/>
      </c>
      <c r="HC304">
        <f>IF(HB304="",0,IFERROR(N(VLOOKUP(HB304,Модули_спр,3,FALSE)),0))</f>
        <v>0</v>
      </c>
      <c r="HD304" t="str">
        <f t="shared" si="643"/>
        <v/>
      </c>
      <c r="HE304" t="str">
        <f t="shared" si="644"/>
        <v/>
      </c>
      <c r="HF304" t="str">
        <f>IF(OR(HE304="",HE304="-"),"",IFERROR(VLOOKUP(HE304,Модули_спр,2,FALSE),"R"))</f>
        <v/>
      </c>
      <c r="HG304" t="str">
        <f>IF(HF304="","",HF304&amp;"."&amp;COUNTIFS(A$3:A304,A304,HF$3:HF304,HF304))</f>
        <v/>
      </c>
      <c r="HH304" t="str">
        <f t="shared" si="645"/>
        <v/>
      </c>
      <c r="HI304" t="str">
        <f t="shared" si="646"/>
        <v/>
      </c>
      <c r="HJ304" t="str">
        <f t="shared" si="647"/>
        <v/>
      </c>
      <c r="HK304" t="str">
        <f t="shared" si="648"/>
        <v/>
      </c>
      <c r="HL304">
        <f t="shared" si="649"/>
        <v>1</v>
      </c>
      <c r="HM304" t="str">
        <f>IF(HL304=1,"XT"&amp;COUNTIFS(A$3:A304,A304,HL$3:HL304,1),"")</f>
        <v>XT21</v>
      </c>
      <c r="HN304" t="str">
        <f t="shared" si="650"/>
        <v/>
      </c>
      <c r="HO304" t="str">
        <f t="shared" si="651"/>
        <v>QFD21</v>
      </c>
      <c r="HP304" t="str">
        <f t="shared" si="652"/>
        <v/>
      </c>
      <c r="HQ304" t="str">
        <f t="shared" si="653"/>
        <v>ok</v>
      </c>
      <c r="HR304" t="str">
        <f>IF(OR(HJ304="",HH304=""),"",IF(HJ304+MAX(0,GY304-1)&gt;IFERROR(VLOOKUP(HI304,Модули_спр,3,FALSE),99),"ЛИШНИЙ КАНАЛ",IF(AND(AL304&lt;&gt;"=",GY304&gt;0,COUNTIFS(Линии[_модуль гр.],HH304,Линии[Канал (итог)],HJ304,Линии[Канал],"&lt;&gt;=",Линии[Щит],A304)&gt;1),"ДУБЛЬ КАНАЛА","")))</f>
        <v/>
      </c>
      <c r="HS304" s="6" t="str">
        <f t="shared" si="654"/>
        <v/>
      </c>
      <c r="HT304">
        <f t="shared" si="655"/>
        <v>10</v>
      </c>
      <c r="HU304" t="str">
        <f t="shared" si="656"/>
        <v/>
      </c>
      <c r="HV304">
        <f t="shared" si="657"/>
        <v>0.68878536516659505</v>
      </c>
      <c r="HW304">
        <f t="shared" si="658"/>
        <v>0</v>
      </c>
      <c r="HX304">
        <f t="shared" si="659"/>
        <v>0</v>
      </c>
      <c r="HY304">
        <f t="shared" si="660"/>
        <v>0</v>
      </c>
      <c r="HZ304">
        <f t="shared" si="661"/>
        <v>0</v>
      </c>
      <c r="IA304">
        <f t="shared" si="662"/>
        <v>0</v>
      </c>
      <c r="IB304">
        <f t="shared" si="663"/>
        <v>0</v>
      </c>
      <c r="IC304" t="str">
        <f t="shared" si="664"/>
        <v/>
      </c>
      <c r="ID304" t="str" cm="1">
        <f t="array" ref="ID304">IF(IC304="","",_xlfn.LET(_xlpm.tk,_xlfn.TEXTSPLIT(SUBSTITUTE(SUBSTITUTE(IC304,";"," "),"→"," ")," ",,TRUE),_xlpm.w_,_xlfn._xlws.FILTER(_xlpm.tk,ISNUMBER(--LEFT(_xlpm.tk,1))*((ISNUMBER(SEARCH("W",_xlpm.tk))+ISNUMBER(SEARCH("Вт",_xlpm.tk)))&gt;0),""),IFERROR(--SUBSTITUTE(SUBSTITUTE(UPPER(INDEX(_xlpm.w_,1)),"W",""),"ВТ",""),"")))</f>
        <v/>
      </c>
      <c r="IE304" t="str" cm="1">
        <f t="array" ref="IE304">IF(IC304="","",_xlfn.LET(_xlpm.tk,_xlfn.TEXTSPLIT(SUBSTITUTE(SUBSTITUTE(IC304,";"," "),"→"," ")," ",,TRUE),_xlpm.v_,_xlfn._xlws.FILTER(_xlpm.tk,ISNUMBER(--LEFT(_xlpm.tk,1))*((ISNUMBER(SEARCH("V",_xlpm.tk))+(RIGHT(UPPER(_xlpm.tk))="В"))&gt;0),""),IFERROR(--SUBSTITUTE(SUBSTITUTE(UPPER(INDEX(_xlpm.v_,1)),"V",""),"В",""),"")))</f>
        <v/>
      </c>
      <c r="IF304" s="6" t="str">
        <f>IF(OR(BV304=0,HI304="",HJ304=""),"",IFERROR(N(_xlfn.XLOOKUP(HI304,Каталог!$C$4:$C$500,Каталог!$Q$4:$Q$500)),""))</f>
        <v/>
      </c>
      <c r="IG304" s="6" t="str">
        <f>IF(N(IF304)=0,"",SUMIFS(Линии[Iр, А],Линии[Щит],A304,Линии[_модуль гр.],HH304,Линии[Канал (итог)],HJ304))</f>
        <v/>
      </c>
      <c r="IH304" t="str">
        <f>IF(AND(B304="",HO304=""),"",_xlfn.TEXTJOIN("; ",TRUE,IF(AND(B304&lt;&gt;"",FV304=""),"нет фазы",""),IF(AND(B304&lt;&gt;"",N(GL304)=0,FG304&lt;&gt;"Нет"),"нет мощности",""),IF(AND(HN304&lt;&gt;"",COUNTIFS(Линии[Щит],A304,Линии[Клемма (итог)],HN304)&gt;1),"дубль клеммы "&amp;HN304,""),IF(AND(HQ304&lt;&gt;"",HQ304&lt;&gt;"ok"),HQ304,""),IF(HR304&lt;&gt;"",HR304,""),IF(AND(N(CB304)&gt;=4,N(BX304)=1),CB304&amp;" жил на 1 фазе",""),IF(AND(BC304="R",CG304=1,IF(CS304&lt;&gt;"",N(CV304)&gt;30,OR(N(DA304)=0,N(DA304)&gt;30))),"розетка без дифзащиты до 30 мА",""),IF(AND(CG304=1,N(DA304)&gt;0,ISNUMBER(T304)),IF(T304&gt;N(DA304)/3,"ток утечки "&amp;FIXED(T304,1)&amp;" мА &gt; 1/3 уставки ("&amp;DA304&amp;" мА)",""),""),IF(AND(CH304=1,CS304=""),"«узо»: нет строки с УЗО выше (УЗО 2P 40А 30мА в «Аппаратах»)",""),IF(AND(CS304&lt;&gt;"",CS304=BA304),IF(CT304="","впишите номинал УЗО (УЗО 2P 40А 30мА)",IF(N(CT304)&lt;N(DT304),"УЗО "&amp;CT304&amp;" А &lt; автомата "&amp;DT304&amp;" А перед ним",IF(N(CT304)&lt;N(CX304),"УЗО "&amp;CT304&amp;" А &lt; тока блока "&amp;FIXED(CX304,1)&amp;" А",""))),""),IF(AND(CS304&lt;&gt;"",CS304=BA304,ISNUMBER(CY304)),IF(CY304&gt;N(CV304)/3,"ток утечки блока УЗО "&amp;FIXED(CY304,1)&amp;" мА &gt; 1/3 уставки ("&amp;CV304&amp;" мА)",""),""),IF(AND(CG304=1,N(BV304)+N(IB304)&gt;0,IC304=""),"линии до 50 В без БП: впишите в «Аппараты» (БП 24V 480W)",""),IF(AND(CG304=1,ISNUMBER(ID304),ISNUMBER(U304)),IF(U304&gt;ID304,"БП "&amp;ID304&amp;" Вт &lt; нужно "&amp;U304&amp;" Вт (×"&amp;Запас_БП&amp;")",""),""),IF(AND(CG304=1,ISNUMBER(IE304),N(BV304)=1),IF(IE304&lt;&gt;N(BU304),"БП на "&amp;IE304&amp;" В, линия "&amp;BU304&amp;" В",""),""),IF(AND(N(IF304)&gt;0,N(IG304)&gt;N(IF304)),HH304&amp;" канал "&amp;HJ304&amp;": "&amp;FIXED(IG304,1)&amp;" А &gt; "&amp;IF304&amp;" А",""),IFERROR(IF(AND(ISNUMBER(Q304),Q304&gt;EL304),"потери "&amp;FIXED(Q304,1)&amp;" % &gt; "&amp;EL304&amp;" %",""),""),IFERROR(IF(LEFT(HU304,4)="мало","Iкз мало — отключение &gt; 0,4 с",""),""),IF(AND(B304&lt;&gt;"",BM304=""),"не на схеме",""),IF(AND(CG304=0,B304&lt;&gt;"",FV304&lt;&gt;"",IF(BA304=1,"",FW303)&lt;&gt;"",FV304&lt;&gt;IF(BA304=1,"",FW303)),"фаза не как у автомата группы ("&amp;IF(BA304=1,"",FW303)&amp;")","")))</f>
        <v/>
      </c>
      <c r="II304" s="6">
        <f>IF(OR(CG304=0,DQ304=""),"",_xlfn.LET(_xlpm.t,IFERROR(_xlfn.XLOOKUP(DQ304,Каталог!$U$4:$U$500,Каталог!$G$4:$G$500),""),_xlpm.k,SEARCH("кА",_xlpm.t),IFERROR(--TRIM(RIGHT(SUBSTITUTE(MID(_xlpm.t,MAX(1,_xlpm.k-4),_xlpm.k-MAX(1,_xlpm.k-4))," ",REPT(" ",9)),5)),"")))</f>
        <v>6</v>
      </c>
      <c r="IJ304" t="str">
        <f>IF(OR(II304="",CG304=0),"",IF(_xlfn.XLOOKUP(A304,Щиты[Щит],Щиты[Iкз max на шинах, кА],"")="","",IF(II304&lt;_xlfn.XLOOKUP(A304,Щиты[Щит],Щиты[Iкз max на шинах, кА]),"Icu "&amp;II304&amp;" кА &lt; Iкз max","ok")))</f>
        <v/>
      </c>
      <c r="IK304" t="str">
        <f t="shared" si="665"/>
        <v/>
      </c>
      <c r="IL304" t="str">
        <f t="shared" si="666"/>
        <v>QFD21</v>
      </c>
      <c r="IM304" t="str">
        <f t="shared" si="667"/>
        <v>QFD21|кабель ВВГнг(А)-LS (3х2,5) → Розеточная группа, пом. 003Г</v>
      </c>
      <c r="IN304" t="str" cm="1">
        <f t="array" ref="IN304">IF(IM304="","",_xlfn.LET(_xlpm.nd,_xlfn.TEXTSPLIT(IM304,"|"),IF(COLUMNS(_xlpm.nd)&gt;1,A304&amp;"¦"&amp;INDEX(_xlpm.nd,1)&amp;"¦"&amp;INDEX(_xlpm.nd,2),"")))</f>
        <v>ЩР-2¦QFD21¦кабель ВВГнг(А)-LS (3х2,5) → Розеточная группа, пом. 003Г</v>
      </c>
      <c r="IO304" t="str">
        <f t="shared" si="668"/>
        <v>R.2.003Г.1¦Розеточная группа, пом. 003Г</v>
      </c>
      <c r="IP304" t="str" cm="1">
        <f t="array" ref="IP304">IF(IM304="","",_xlfn.LET(_xlpm.nd,_xlfn.TEXTSPLIT(IM304,"|"),IF(COLUMNS(_xlpm.nd)&gt;2,A304&amp;"¦"&amp;INDEX(_xlpm.nd,2)&amp;"¦"&amp;INDEX(_xlpm.nd,3),"")))</f>
        <v/>
      </c>
      <c r="IQ304" t="str">
        <f t="shared" si="669"/>
        <v/>
      </c>
      <c r="IR304" t="str" cm="1">
        <f t="array" ref="IR304">IF(IM304="","",_xlfn.LET(_xlpm.nd,_xlfn.TEXTSPLIT(IM304,"|"),IF(COLUMNS(_xlpm.nd)&gt;3,A304&amp;"¦"&amp;INDEX(_xlpm.nd,3)&amp;"¦"&amp;INDEX(_xlpm.nd,4),"")))</f>
        <v/>
      </c>
      <c r="IS304" t="str">
        <f t="shared" si="670"/>
        <v/>
      </c>
      <c r="IT304" t="str" cm="1">
        <f t="array" ref="IT304">IF(IM304="","",_xlfn.LET(_xlpm.nd,_xlfn.TEXTSPLIT(IM304,"|"),IF(COLUMNS(_xlpm.nd)&gt;4,A304&amp;"¦"&amp;INDEX(_xlpm.nd,4)&amp;"¦"&amp;INDEX(_xlpm.nd,5),"")))</f>
        <v/>
      </c>
      <c r="IU304" t="str">
        <f t="shared" si="671"/>
        <v/>
      </c>
      <c r="IV304" t="str" cm="1">
        <f t="array" ref="IV304">IF(IM304="","",_xlfn.LET(_xlpm.nd,_xlfn.TEXTSPLIT(IM304,"|"),IF(COLUMNS(_xlpm.nd)&gt;5,A304&amp;"¦"&amp;INDEX(_xlpm.nd,5)&amp;"¦"&amp;INDEX(_xlpm.nd,6),"")))</f>
        <v/>
      </c>
      <c r="IW304" t="str">
        <f t="shared" si="672"/>
        <v/>
      </c>
      <c r="IX304" t="str" cm="1">
        <f t="array" ref="IX304">IF(IM304="","",_xlfn.LET(_xlpm.nd,_xlfn.TEXTSPLIT(IM304,"|"),IF(COLUMNS(_xlpm.nd)&gt;6,A304&amp;"¦"&amp;INDEX(_xlpm.nd,6)&amp;"¦"&amp;INDEX(_xlpm.nd,7),"")))</f>
        <v/>
      </c>
      <c r="IY304" t="str">
        <f t="shared" si="673"/>
        <v/>
      </c>
      <c r="IZ304" t="str">
        <f t="shared" si="674"/>
        <v/>
      </c>
      <c r="JA304" t="str">
        <f t="shared" si="675"/>
        <v>QFD21</v>
      </c>
      <c r="JB304">
        <f t="shared" si="676"/>
        <v>0</v>
      </c>
      <c r="JC304">
        <f t="shared" si="677"/>
        <v>1</v>
      </c>
      <c r="JD304" t="str">
        <f t="shared" si="678"/>
        <v/>
      </c>
      <c r="JE304" t="str">
        <f t="shared" si="679"/>
        <v/>
      </c>
      <c r="JF304" t="str">
        <f t="shared" si="680"/>
        <v/>
      </c>
      <c r="JG304" t="str">
        <f t="shared" si="681"/>
        <v/>
      </c>
      <c r="JH304" t="str">
        <f>IF(B304="","",IFERROR(_xlfn.XLOOKUP(B304,Коды_код,Коды_уго),IFERROR(_xlfn.XLOOKUP(BC304,Коды_код,Коды_уго),IFERROR(_xlfn.XLOOKUP(LEFT(BC304,2),Коды_код,Коды_уго),""))))</f>
        <v>Розетка</v>
      </c>
      <c r="JI304" t="str">
        <f>IF(B304="","",IF(OR(JH304="",JH304=0),"BOX",IFERROR(IF(VLOOKUP(JH304,УГО_блоки,3,FALSE)&amp;""&lt;&gt;"",VLOOKUP(JH304,УГО_блоки,3,FALSE),VLOOKUP(JH304,УГО_блоки,2,FALSE)),JH304)))</f>
        <v>SOCKET</v>
      </c>
      <c r="JJ304">
        <f t="shared" si="682"/>
        <v>1</v>
      </c>
      <c r="JK304" t="str">
        <f>IF(DQ304="","",IF(COUNTIF(DQ$3:DQ304,DQ304)=1,MAX(JK$2:JK303)+1,""))</f>
        <v/>
      </c>
      <c r="JL304" t="str">
        <f>IF(DE304="","",IF(COUNTIF(DE$3:DE304,DE304)+COUNTIF(DF$2:DF303,DE304)+COUNTIF(DG$2:DG303,DE304)=1,MAX(JL$2:JN303)+1,""))</f>
        <v/>
      </c>
      <c r="JM304" t="str">
        <f>IF(DF304="","",IF(COUNTIF(DE$3:DE304,DF304)+COUNTIF(DF$3:DF304,DF304)+COUNTIF(DG$2:DG303,DF304)=1,MAX(JL$2:JN303,JL304)+1,""))</f>
        <v/>
      </c>
      <c r="JN304" t="str">
        <f>IF(DG304="","",IF(COUNTIF(DE$3:DE304,DG304)+COUNTIF(DF$3:DF304,DG304)+COUNTIF(DG$3:DG304,DG304)=1,MAX(JL$2:JN303,JL304,JM304)+1,""))</f>
        <v/>
      </c>
      <c r="JO304" t="str">
        <f t="shared" si="683"/>
        <v>3х2,5</v>
      </c>
      <c r="JP304" t="str">
        <f>IF(JO304="","",IF(COUNTIF(JO$3:JO304,JO304)=1,MAX(JP$2:JP303)+1,""))</f>
        <v/>
      </c>
      <c r="JQ304" t="str">
        <f>IF(HG304="","",COUNTIF(HG$3:HG304,"?*"))</f>
        <v/>
      </c>
      <c r="JR304" t="str">
        <f>IF(OR(HG304="",HI304=""),"",IF(COUNTIFS(HG$3:HG304,"?*",HI$3:HI304,HI304)=1,MAX(JR$2:JR303)+1,""))</f>
        <v/>
      </c>
      <c r="JS304">
        <f t="shared" si="684"/>
        <v>0</v>
      </c>
      <c r="JT304">
        <f>IF(B304="","",COUNTIF(B$3:B304,"?*"))</f>
        <v>302</v>
      </c>
      <c r="JU304">
        <f>IF(HL304&lt;&gt;1,0,_xlfn.LET(_xlpm.k,MAX(IFERROR(--_xlfn.XLOOKUP(B304,Коды_код,Коды_3L),0),IFERROR(--_xlfn.XLOOKUP(BC304,Коды_код,Коды_3L),0),IFERROR(--_xlfn.XLOOKUP(LEFT(BC304,2),Коды_код,Коды_3L),0)),IF(_xlpm.k&gt;0,_xlpm.k,IF(IFERROR(--LEFT(SUBSTITUTE(JO304,"x","х"),FIND("х",SUBSTITUTE(JO304,"x","х"))-1),3)&gt;3,Каталог!$S$9,1))))</f>
        <v>1</v>
      </c>
      <c r="JV304">
        <f t="shared" si="685"/>
        <v>0</v>
      </c>
      <c r="JW304" t="str">
        <f t="shared" si="686"/>
        <v>авто</v>
      </c>
      <c r="JX304">
        <f t="shared" si="687"/>
        <v>30</v>
      </c>
      <c r="JY304">
        <f t="shared" si="688"/>
        <v>1</v>
      </c>
      <c r="JZ304">
        <f t="shared" si="689"/>
        <v>1</v>
      </c>
    </row>
    <row r="305" spans="1:286" x14ac:dyDescent="0.3">
      <c r="A305" t="s">
        <v>759</v>
      </c>
      <c r="B305" t="s">
        <v>1610</v>
      </c>
      <c r="C305" t="str">
        <f>Линии[[#This Row],[_авто наименование]]</f>
        <v>Розеточная группа, пом. 005А</v>
      </c>
      <c r="D305">
        <v>1</v>
      </c>
      <c r="E305">
        <v>0.12</v>
      </c>
      <c r="G305">
        <v>16</v>
      </c>
      <c r="H305" t="str">
        <f>Линии[[#This Row],[_авто управление]]</f>
        <v/>
      </c>
      <c r="I305" t="str">
        <f>Линии[[#This Row],[_авто аппараты]]</f>
        <v/>
      </c>
      <c r="J305">
        <v>2.5</v>
      </c>
      <c r="K305">
        <v>37</v>
      </c>
      <c r="L305">
        <v>2</v>
      </c>
      <c r="M305" t="s">
        <v>484</v>
      </c>
      <c r="N305" t="str">
        <f t="shared" si="552"/>
        <v/>
      </c>
      <c r="O305" s="6" cm="1">
        <f t="array" ref="O305">IF(B305="","",IF(BH305&lt;&gt;"",IFERROR(_xlfn.XLOOKUP(BH305,Щиты[Щит],Щиты[Iр, А]),""),IF(BP305=1,IF(OR(N(_xlfn.XLOOKUP(A305,Щиты[Щит],Щиты[Вводов],1))&lt;=1,LOWER(TRIM(_xlfn.XLOOKUP(A305,Щиты[Щит],Щиты[АВР],"")&amp;""))="да"),IFERROR(_xlfn.XLOOKUP(A305,Щиты[Щит],Щиты[Iр, А]),""),IFERROR(N(BS305)*_xlfn.XLOOKUP(A305,Щиты[Щит],Щиты[Кс итог])/(SQRT(3)*Uн_лин*_xlfn.XLOOKUP(A305,Щиты[Щит],Щиты[cos φ])),"")),IF(BV305=1,IFERROR(BS305*1000/BU305,""),IFERROR(_xlfn.IFS(BX305=1,BS305/((Uн_лин/SQRT(3))*CE305),BX305=3,BS305/(SQRT(3)*Uн_лин*CE305)),"")))))</f>
        <v>0.54696341291648753</v>
      </c>
      <c r="P305" s="7">
        <f>IF(B305="","",IFERROR(IF(VLOOKUP(BC305,Потребители_обозначение,4,FALSE)=1,VLOOKUP(BC305,Потребители_обозначение,3,FALSE)*(MAX(1,N(D305))*2-1)+EI305+VLOOKUP(BE305,Этаж_обозначение,3,FALSE)+VLOOKUP(BE305,Этаж_обозначение,4,FALSE),VLOOKUP(BC305,Потребители_обозначение,3,FALSE)*(MAX(1,N(D305))*2-1)+EI305),EI305))</f>
        <v>40</v>
      </c>
      <c r="Q305" s="6">
        <f t="shared" si="553"/>
        <v>1.96</v>
      </c>
      <c r="R305" t="str">
        <f t="shared" si="554"/>
        <v>ВВГнг(А)-LS (3х2,5)</v>
      </c>
      <c r="S305" t="str">
        <f>IF(BM305="","",IF(BN305="вводной узел","узел ","")&amp;"л."&amp;(INT((BM305-1)/Столбцов_на_лист)+1)&amp;" / "&amp;(MOD(BM305-1,Столбцов_на_лист)+1))</f>
        <v>л.2 / 15</v>
      </c>
      <c r="T305" s="119">
        <f t="shared" si="555"/>
        <v>0.6</v>
      </c>
      <c r="U305" s="7" t="str">
        <f>IF(OR(CG305=0,N(BV305)+N(IB305)=0),"",ROUNDUP(Запас_БП*(N(HY305)+N(HZ305)),0))</f>
        <v/>
      </c>
      <c r="V305" s="119" t="str">
        <f t="shared" si="556"/>
        <v/>
      </c>
      <c r="W305" s="7" t="str">
        <f>IFERROR(IF(OR(B305="",BP305=1,BV305=1,NOT(ISNUMBER(EN305)),N(DT305)=0),"",MAX(0,ROUNDDOWN((c_min*(Uн_лин*1000/SQRT(3))/(HT305*N(DT305))-_xlfn.XLOOKUP(A305,Щиты[Щит],Щиты[Zпетли на шинах, Ом]))*EN305/(2*ρкз_Cu),0))),"")</f>
        <v/>
      </c>
      <c r="Y305">
        <f>Линии[[#This Row],[_авто утечка]]</f>
        <v>30</v>
      </c>
      <c r="Z305">
        <v>1</v>
      </c>
      <c r="AA305">
        <v>230</v>
      </c>
      <c r="AB305" t="s">
        <v>562</v>
      </c>
      <c r="AG305" t="s">
        <v>810</v>
      </c>
      <c r="AI305" t="s">
        <v>561</v>
      </c>
      <c r="AK305" t="str">
        <f>Линии[[#This Row],[_авто модуль]]</f>
        <v/>
      </c>
      <c r="AM305">
        <v>32</v>
      </c>
      <c r="AN305" t="s">
        <v>11</v>
      </c>
      <c r="AO305">
        <v>3</v>
      </c>
      <c r="AQ305">
        <v>12</v>
      </c>
      <c r="AR305">
        <v>28</v>
      </c>
      <c r="AT305">
        <v>2</v>
      </c>
      <c r="BA305" cm="1">
        <f t="array" ref="BA305">ROW()-ROW(Линии[#Headers])</f>
        <v>303</v>
      </c>
      <c r="BC305" s="6" t="str">
        <f t="shared" si="557"/>
        <v>R</v>
      </c>
      <c r="BD305" t="str">
        <f t="shared" si="558"/>
        <v>2.005А.3</v>
      </c>
      <c r="BE305" t="str">
        <f t="shared" si="559"/>
        <v>2</v>
      </c>
      <c r="BF305" t="str">
        <f t="shared" si="560"/>
        <v>005А.3</v>
      </c>
      <c r="BG305" t="str">
        <f t="shared" si="561"/>
        <v>005А</v>
      </c>
      <c r="BH305" t="str">
        <f>IF(X305&lt;&gt;"",X305,IF(AND(B305&lt;&gt;"",B305&lt;&gt;A305,ISNUMBER(_xlfn.XMATCH(B305,Щиты[Щит]))),B305,""))</f>
        <v/>
      </c>
      <c r="BI305" t="str" cm="1">
        <f t="array" ref="BI305">IF(B305="","",IF(BH305&lt;&gt;"","Щит "&amp;BH305,_xlfn.LET(_xlpm.nm,IFERROR(_xlfn.XLOOKUP(BC305,Коды_код,Коды_имя)&amp;"",""),_xlpm.md,IFERROR(N(_xlfn.XLOOKUP(BC305,Коды_код,Коды_режим)),1),_xlpm.ex,IF(Имя_режим="по экспликации",IFERROR(_xlfn.XLOOKUP(BE305&amp;"|"&amp;BG305,Экспликация[Этаж]&amp;"|"&amp;Экспликация[Помещение],Экспликация[Название])&amp;"",""),""),_xlpm.rm,IF(BG305="","",IF(_xlpm.ex&lt;&gt;"",". "&amp;_xlpm.ex&amp;IF(Имя_пом="нет"," ("&amp;BG305&amp;")"," (пом. "&amp;BG305&amp;")"),IF(Имя_пом="нет"," ",", пом. ")&amp;BG305)),IF(_xlpm.nm="","",IF(_xlpm.md=2,_xlpm.nm&amp;" шлейф "&amp;BE305,_xlpm.nm&amp;_xlpm.rm)))))</f>
        <v>Розеточная группа, пом. 005А</v>
      </c>
      <c r="BJ305" t="str">
        <f t="shared" si="562"/>
        <v>Розеточная группа, пом. 005А</v>
      </c>
      <c r="BK305">
        <f>IFERROR(_xlfn.XMATCH(A305,Щиты[Щит]),0)</f>
        <v>11</v>
      </c>
      <c r="BL305">
        <f>_xlfn.LET(_xlpm.k,IFERROR(_xlfn.XLOOKUP(A305,Щиты[Щит],Щиты[Мест под вводной узел]),""),IF(_xlpm.k="",Столбцов_на_лист,N(_xlpm.k)))</f>
        <v>8</v>
      </c>
      <c r="BM305">
        <f t="shared" si="563"/>
        <v>32</v>
      </c>
      <c r="BN305" t="str">
        <f t="shared" si="564"/>
        <v>линии</v>
      </c>
      <c r="BO305" s="6">
        <f>IFERROR(N(_xlfn.XLOOKUP(BC305,Коды_код,Коды_квт)),0)</f>
        <v>0</v>
      </c>
      <c r="BP305">
        <f t="shared" si="565"/>
        <v>0</v>
      </c>
      <c r="BQ305" t="str">
        <f>IF(B305="","",IF(BH305&lt;&gt;"",IFERROR(_xlfn.XLOOKUP(BH305,Щиты[Щит],Щиты[Руст, кВт]),0),IF(BP305=1,IF(OR(N(_xlfn.XLOOKUP(A305,Щиты[Щит],Щиты[Вводов],1))&lt;=1,LOWER(TRIM(_xlfn.XLOOKUP(A305,Щиты[Щит],Щиты[АВР],"")&amp;""))="да"),IFERROR(_xlfn.XLOOKUP(A305,Щиты[Щит],Щиты[Руст, кВт]),0),SUMIFS(Линии[_Р для вводов],Линии[Щит],A305,Линии[Источник для режимов],GF305)),IF(BO305&gt;0,ROUND(BO305*MAX(1,N(D305)),3),""))))</f>
        <v/>
      </c>
      <c r="BR305">
        <f t="shared" si="566"/>
        <v>0.12</v>
      </c>
      <c r="BS305" s="6">
        <f>IF(B305="","",IF(BH305&lt;&gt;"",IFERROR(_xlfn.XLOOKUP(BH305,Щиты[Щит],Щиты[Руст, кВт]),0),N(BR305)))</f>
        <v>0.12</v>
      </c>
      <c r="BT305" t="str">
        <f>IF(B305="","",IFERROR(IF(VLOOKUP(BC305,Потребители_обозначение,8,FALSE)=0,"",VLOOKUP(BC305,Потребители_обозначение,8,FALSE)),""))</f>
        <v/>
      </c>
      <c r="BU305">
        <f t="shared" si="567"/>
        <v>230</v>
      </c>
      <c r="BV305">
        <f t="shared" si="568"/>
        <v>0</v>
      </c>
      <c r="BW305">
        <f>IF(B305="","",IF(BH305&lt;&gt;"",3,IFERROR(IF(N(VLOOKUP(BC305,Потребители_обозначение,9,FALSE))=0,1,VLOOKUP(BC305,Потребители_обозначение,9,FALSE)),1)))</f>
        <v>1</v>
      </c>
      <c r="BX305">
        <f t="shared" si="569"/>
        <v>1</v>
      </c>
      <c r="BY305" t="str">
        <f>IF(B305="","",_xlfn.LET(_xlpm.bc,IFERROR(IF(VLOOKUP(BC305,Потребители_обозначение,6,FALSE)=0,"",VLOOKUP(BC305,Потребители_обозначение,6,FALSE)&amp;""),""),IF(AND(GA305="да",OR(_xlpm.bc="",_xlpm.bc="мс")),Марка_пож,IF(AND(_xlpm.bc="",BH305&lt;&gt;""),"мс",_xlpm.bc))))</f>
        <v/>
      </c>
      <c r="BZ305" t="str">
        <f t="shared" si="570"/>
        <v>мс</v>
      </c>
      <c r="CA305">
        <f>IF(B305="","",_xlfn.LET(_xlpm.cc,IFERROR(N(VLOOKUP(BC305,Потребители_обозначение,7,FALSE)),0),IF(_xlpm.cc&gt;0,_xlpm.cc,IF(BZ305="","",IF(BV305=1,2,IF(N(BX305)=3,5,3))))))</f>
        <v>3</v>
      </c>
      <c r="CB305">
        <f t="shared" si="571"/>
        <v>3</v>
      </c>
      <c r="CC305">
        <f>IFERROR(N(VLOOKUP(BC305,Потребители_обозначение,10,FALSE)),0)</f>
        <v>0</v>
      </c>
      <c r="CD305">
        <f>IFERROR(VLOOKUP(BC305,Потребители_обозначение,5,FALSE),0)</f>
        <v>1</v>
      </c>
      <c r="CE305" s="6" cm="1">
        <f t="array" ref="CE305">IF(B305="","",IF(BH305&lt;&gt;"",IFERROR(_xlfn.XLOOKUP(BH305,Щиты[Щит],Щиты[cos φ]),0.95),IF(BP305=1,IFERROR(_xlfn.XLOOKUP(A305,Щиты[Щит],Щиты[cos φ]),0.95),IF(ISNUMBER(AD305),AD305,IFERROR(IF(CD305=2,_xlfn.IFS(BX305=3,VLOOKUP(BS305,Справочная_двигатели,8,FALSE),BX305=1,VLOOKUP(BS305,Справочная_двигатели,10,TRUE)),IF(AND(Методика="нормы 2026",FG305="Сил"),0.8,0.95)),0.95)))))</f>
        <v>0.95</v>
      </c>
      <c r="CF305">
        <f t="shared" si="572"/>
        <v>0</v>
      </c>
      <c r="CG305">
        <f t="shared" si="573"/>
        <v>1</v>
      </c>
      <c r="CH305">
        <f t="shared" si="574"/>
        <v>0</v>
      </c>
      <c r="CI305">
        <f>IF(B305="","",IF(BV305=1,IFERROR(BS305/((Uн_лин/SQRT(3))*MAX(0.5,N(CE305))),0),N(O305)))</f>
        <v>0.54696341291648753</v>
      </c>
      <c r="CJ305">
        <f t="shared" si="575"/>
        <v>0</v>
      </c>
      <c r="CK305">
        <f t="shared" si="576"/>
        <v>0</v>
      </c>
      <c r="CL305">
        <f t="shared" si="577"/>
        <v>0</v>
      </c>
      <c r="CM305">
        <f t="shared" si="578"/>
        <v>0</v>
      </c>
      <c r="CN305">
        <f t="shared" si="579"/>
        <v>0</v>
      </c>
      <c r="CO305">
        <f>IF(BC305="",0,_xlfn.LET(_xlpm.v,IFERROR(_xlfn.XLOOKUP(B305,Коды_код,Коды_мА),IFERROR(_xlfn.XLOOKUP(BC305,Коды_код,Коды_мА),IFERROR(_xlfn.XLOOKUP(LEFT(BC305,2),Коды_код,Коды_мА),""))),IF(_xlpm.v="да",30,IF(ISNUMBER(_xlpm.v),_xlpm.v,0))))</f>
        <v>30</v>
      </c>
      <c r="CP305">
        <f t="shared" si="580"/>
        <v>30</v>
      </c>
      <c r="CQ305" t="str">
        <f>_xlfn.LET(_xlpm.k,IFERROR(_xlfn.XLOOKUP(BC305,Коды_код,Коды_утечка)&amp;"",""),IF(_xlpm.k="","дифавтомат",_xlpm.k))</f>
        <v>дифавтомат</v>
      </c>
      <c r="CR305" t="str" cm="1">
        <f t="array" ref="CR305">IF(CG305=0,"",_xlfn.LET(_xlpm.sg,TRIM(_xlfn.TEXTSPLIT(DD305&amp;"",";")),_xlpm.f_,_xlfn._xlws.FILTER(_xlpm.sg,LEFT(_xlpm.sg,3)="УЗО",""),IFERROR(INDEX(_xlpm.f_,1)&amp;"","")))</f>
        <v/>
      </c>
      <c r="CS305" t="str">
        <f t="shared" si="581"/>
        <v/>
      </c>
      <c r="CT305" s="6" t="str" cm="1">
        <f t="array" ref="CT305">IF(CR305="","",_xlfn.LET(_xlpm.tk,_xlfn.TEXTSPLIT(UPPER(CR305)," ",,TRUE),_xlpm.a_,_xlfn._xlws.FILTER(_xlpm.tk,ISNUMBER(--LEFT(_xlpm.tk,1))*((ISNUMBER(SEARCH("А",_xlpm.tk))+ISNUMBER(SEARCH("A",_xlpm.tk)))&gt;0)*NOT(ISNUMBER(SEARCH("МА",_xlpm.tk)))*NOT(ISNUMBER(SEARCH("MA",_xlpm.tk))),""),IFERROR(--SUBSTITUTE(SUBSTITUTE(INDEX(_xlpm.a_,1),"А",""),"A",""),"")))</f>
        <v/>
      </c>
      <c r="CU305" t="str" cm="1">
        <f t="array" ref="CU305">IF(CR305="","",_xlfn.LET(_xlpm.tk,_xlfn.TEXTSPLIT(UPPER(CR305)," ",,TRUE),_xlpm.a_,_xlfn._xlws.FILTER(_xlpm.tk,ISNUMBER(--LEFT(_xlpm.tk,1))*((ISNUMBER(SEARCH("МА",_xlpm.tk))+ISNUMBER(SEARCH("MA",_xlpm.tk)))&gt;0),""),IFERROR(--SUBSTITUTE(SUBSTITUTE(INDEX(_xlpm.a_,1),"МА",""),"MA",""),30)))</f>
        <v/>
      </c>
      <c r="CV305" t="str">
        <f>IF(CS305="","",IFERROR(_xlfn.XLOOKUP(CS305,Линии[_n],Линии[_УЗО, мА]),30))</f>
        <v/>
      </c>
      <c r="CW305">
        <f>IF(CS305="",0,IF(ISNUMBER(SEARCH("4P",IFERROR(_xlfn.XLOOKUP(CS305,Линии[_n],Линии[_УЗО строки])&amp;"",""))),0,1))</f>
        <v>0</v>
      </c>
      <c r="CX305" t="str">
        <f>IF(AND(CS305&lt;&gt;"",CS305=BA305),SUMIFS(Линии[_ток на 230 В],Линии[_блок УЗО],BA305,Линии[Щит],A305),"")</f>
        <v/>
      </c>
      <c r="CY305" t="str">
        <f>IF(AND(CS305&lt;&gt;"",CS305=BA305),SUMIFS(Линии[_ток утечки линии, мА],Линии[_блок УЗО],BA305,Линии[Щит],A305),"")</f>
        <v/>
      </c>
      <c r="CZ305">
        <f t="shared" si="582"/>
        <v>30</v>
      </c>
      <c r="DA305">
        <f t="shared" si="583"/>
        <v>30</v>
      </c>
      <c r="DB305">
        <f>IF(B305="",0,IFERROR(--_xlfn.XLOOKUP(B305,Коды_код,Коды_минавт),IFERROR(--_xlfn.XLOOKUP(BC305,Коды_код,Коды_минавт),IFERROR(--_xlfn.XLOOKUP(LEFT(BC305,2),Коды_код,Коды_минавт),0))))</f>
        <v>16</v>
      </c>
      <c r="DC305" t="str">
        <f>IF(B305="","",IFERROR(_xlfn.XLOOKUP(BC305,Коды_код,Коды_апп)&amp;"",""))</f>
        <v/>
      </c>
      <c r="DD305" t="str">
        <f t="shared" si="584"/>
        <v/>
      </c>
      <c r="DE305" t="str" cm="1">
        <f t="array" ref="DE305">IF(TRIM(DD305&amp;"")="","",IFERROR(TRIM(INDEX(_xlfn.TEXTSPLIT(DD305&amp;";;;",";"),1)),""))</f>
        <v/>
      </c>
      <c r="DF305" t="str" cm="1">
        <f t="array" ref="DF305">IF(TRIM(DD305&amp;"")="","",IFERROR(TRIM(INDEX(_xlfn.TEXTSPLIT(DD305&amp;";;;",";"),2)),""))</f>
        <v/>
      </c>
      <c r="DG305" t="str" cm="1">
        <f t="array" ref="DG305">IF(TRIM(DD305&amp;"")="","",IFERROR(TRIM(INDEX(_xlfn.TEXTSPLIT(DD305&amp;";;;",";"),3)),""))</f>
        <v/>
      </c>
      <c r="DH305">
        <f t="shared" si="585"/>
        <v>0</v>
      </c>
      <c r="DI305" t="str">
        <f>IF(B305="","",_xlfn.LET(_xlpm.t,LOWER(AZ305&amp;""),IF(ISNUMBER(SEARCH("dim",_xlpm.t)),"DIM",IF(ISNUMBER(SEARCH("dali",_xlpm.t)),"DALI",IF(OR(ISNUMBER(SEARCH("relay",_xlpm.t)),ISNUMBER(SEARCH("реле",_xlpm.t))),"Relay",IF(ISNUMBER(SEARCH("кнопк",_xlpm.t)),"",IFERROR(_xlfn.XLOOKUP(BC305,Коды_код,Коды_упр)&amp;"","")))))))</f>
        <v/>
      </c>
      <c r="DJ305" t="str">
        <f t="shared" si="586"/>
        <v/>
      </c>
      <c r="DK305">
        <f>IF(B305="","",_xlfn.LET(_xlpm.ig,IF(N(CX305)&gt;0,N(CX305),N(CI305)+IF(AJ305="вручную",0,N(CJ305))),_xlpm.n0,IFERROR(VLOOKUP(_xlpm.ig,Автомат_номиналы,2,TRUE),0),_xlpm.mn,MAX(DB305,IF(AJ305="вручную",0,N(CM305))),MAX(_xlpm.n0,_xlpm.mn,IF(DH305=1,Мин_автомат_БП,0))))</f>
        <v>16</v>
      </c>
      <c r="DL305">
        <f t="shared" si="587"/>
        <v>1</v>
      </c>
      <c r="DM305" t="str">
        <f t="shared" si="588"/>
        <v>2P</v>
      </c>
      <c r="DN305" t="str">
        <f>_xlfn.LET(_xlpm.cc,UPPER(TRIM(IFERROR(_xlfn.XLOOKUP(BC305,Коды_код,Коды_хар)&amp;"",""))),IF(OR(_xlpm.cc="B",_xlpm.cc="В"),"B",IF(_xlpm.cc="D","D","С")))</f>
        <v>С</v>
      </c>
      <c r="DO305" t="str">
        <f t="shared" si="589"/>
        <v>2P С16А 30мА</v>
      </c>
      <c r="DP305">
        <f t="shared" si="590"/>
        <v>16</v>
      </c>
      <c r="DQ305" t="str">
        <f t="shared" si="591"/>
        <v>2P С16А 30мА</v>
      </c>
      <c r="DR305" cm="1">
        <f t="array" ref="DR305">IF(DQ305="","",_xlfn.LET(_xlpm.t,SUBSTITUTE(SUBSTITUTE(SUBSTITUTE(UPPER(DQ305),"С","C"),"А","A"),"В","B"),_xlpm.tk,_xlfn.TEXTSPLIT(_xlpm.t," "),_xlpm.f,_xlfn._xlws.FILTER(_xlpm.tk,ISNUMBER(--MID(_xlpm.tk,2,1))*ISNUMBER(SEARCH(LEFT(_xlpm.tk,1)&amp;"#","B#C#D#"))*(LEN(_xlpm.tk)&gt;1),""),_xlpm.x,INDEX(_xlpm.f,1),IFERROR(--SUBSTITUTE(MID(_xlpm.x,2,9),"A",""),IFERROR(--SUBSTITUTE(INDEX(_xlfn._xlws.FILTER(_xlpm.tk,ISNUMBER(--SUBSTITUTE(_xlpm.tk,"A","")),""),1),"A",""),""))))</f>
        <v>16</v>
      </c>
      <c r="DS305" t="str">
        <f t="shared" si="592"/>
        <v>ok</v>
      </c>
      <c r="DT305">
        <f t="shared" si="593"/>
        <v>16</v>
      </c>
      <c r="DU305" t="str">
        <f t="shared" si="594"/>
        <v>2P С16А 30мА</v>
      </c>
      <c r="DV305">
        <f t="shared" si="595"/>
        <v>30</v>
      </c>
      <c r="DW305">
        <f t="shared" si="596"/>
        <v>1</v>
      </c>
      <c r="DX305">
        <f t="shared" si="597"/>
        <v>0</v>
      </c>
      <c r="DY305">
        <f t="shared" si="598"/>
        <v>0.54696341291648753</v>
      </c>
      <c r="DZ305">
        <f t="shared" si="599"/>
        <v>1</v>
      </c>
      <c r="EA305">
        <f>IF(ISNUMBER(AP305),AP305,К_прокл)</f>
        <v>1</v>
      </c>
      <c r="EB305">
        <f t="shared" si="600"/>
        <v>2</v>
      </c>
      <c r="EC305">
        <f>IFERROR(N(VLOOKUP(BZ305,Кабель_обозначение,3,FALSE)),1)</f>
        <v>1</v>
      </c>
      <c r="ED305">
        <f>IFERROR(N(_xlfn.XLOOKUP(A305,Щиты[Щит],Щиты[ΔU до шин, %])),0)</f>
        <v>1.79</v>
      </c>
      <c r="EE305" t="str">
        <f>IFERROR(_xlfn.XLOOKUP(A305,Щиты[Щит],Щиты[Zпетли на шинах, Ом]),"")</f>
        <v/>
      </c>
      <c r="EF305">
        <f>IFERROR(N(_xlfn.XLOOKUP(A305,Щиты[Щит],Щиты[ΔU до шин (подбор), %])),0)</f>
        <v>4.75</v>
      </c>
      <c r="EG305" t="str">
        <f>IFERROR(_xlfn.XLOOKUP(A305,Щиты[Щит],Щиты[Zпетли на шинах (подбор), Ом]),"")</f>
        <v/>
      </c>
      <c r="EH305" t="str">
        <f t="shared" si="601"/>
        <v/>
      </c>
      <c r="EI305">
        <f t="shared" si="602"/>
        <v>37</v>
      </c>
      <c r="EJ305">
        <f t="shared" si="603"/>
        <v>2</v>
      </c>
      <c r="EK305">
        <f t="shared" si="604"/>
        <v>0.31</v>
      </c>
      <c r="EL305" s="6">
        <f>IF(B305="","",IF(BV305=1,dU_LED,IF(IFERROR(_xlfn.XLOOKUP(BC305,Коды_код,Коды_уго),"")="Светильник",3,4)+IF(Методика="нормы 2026",MIN(0.5,MAX(0,N(P305)-100)*0.005),0)))</f>
        <v>4</v>
      </c>
      <c r="EM305" t="str" cm="1">
        <f t="array" ref="EM305">IF(OR(B305="",BZ305="",EC305&lt;&gt;1),"",_xlfn.LET(_xlpm.sz,Iдоп_S,_xlpm.t_,CHOOSE(EB305,Iдоп_1ж,Iдоп_2ж,Iдоп_3ж)*DZ305*EA305,_xlpm.dcx,BV305=1,_xlpm.inn,IF(_xlpm.dcx,N(O305),N(DT305)),_xlpm.smin,MAX(1.5,CC305),_xlpm.L_,N(P305)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305)/N(BU305)*100,999),IFERROR(N(EJ305)*(_xlpm.rho*_xlpm.L_/_xlpm.sz*N(CE305)+_xlpm.xx*_xlpm.L_*N(EK305)/1000)*N(O305)/((Uн_лин/SQRT(3))*1000)*100,999)),_xlpm.kz,IF(OR(_xlpm.dcx,DW305=1,NOT(ISNUMBER(EG305)),_xlpm.L_=0,_xlpm.inn=0),1,IFERROR(--(c_min*(Uн_лин*1000/SQRT(3))/(EG305+2*ρкз_Cu*_xlpm.L_/_xlpm.sz)&gt;=HT305*_xlpm.inn),0)),_xlpm.ok,IFERROR((_xlpm.sz&gt;=_xlpm.smin)*(_xlpm.t_&gt;=_xlpm.inn)*IF(_xlpm.L_&gt;0,(_xlpm.du_+IF(_xlpm.dcx,0,EF305)&lt;=EL305+0.00001),1)*_xlpm.kz,0),_xlpm.r_,_xlfn._xlws.FILTER(_xlpm.sz,_xlpm.ok,"не подобрано"),INDEX(_xlpm.r_,1)))</f>
        <v>не подобрано</v>
      </c>
      <c r="EN305">
        <f t="shared" si="605"/>
        <v>2.5</v>
      </c>
      <c r="EO305" cm="1">
        <f t="array" ref="EO305">IF(OR(B305="",BZ305="",EC305&lt;&gt;1),"",_xlfn.LET(_xlpm.sz,Iдоп_S,_xlpm.t_,CHOOSE(EB305,Iдоп_1ж,Iдоп_2ж,Iдоп_3ж)*DZ305*EA305,_xlpm.ok,IFERROR((_xlpm.sz&gt;=MAX(1.5,CC305))*(_xlpm.t_&gt;=N(DT305)),0),_xlpm.r_,_xlfn._xlws.FILTER(_xlpm.sz,_xlpm.ok,""),INDEX(_xlpm.r_,1)))</f>
        <v>1.5</v>
      </c>
      <c r="EP305" s="6" cm="1">
        <f t="array" ref="EP305">IFERROR(ROUNDUP(N(EJ305)*(_xlfn.XLOOKUP(EO305,INDEX(Кабель_сопротивление,0,1),INDEX(Кабель_сопротивление,0,3))*N(P305)/EO305*N(CE305)+_xlfn.XLOOKUP(EO305,INDEX(Кабель_сопротивление,0,1),INDEX(Кабель_сопротивление,0,2))*N(P305)*N(EK305)/1000)*N(O305)/((Uн_лин/SQRT(3))*1000)*100,2),"")</f>
        <v>0.28000000000000003</v>
      </c>
      <c r="EQ305">
        <f>IFERROR(2*ρкз_Cu*N(P305)/EO305,"")</f>
        <v>1.4026666666666667</v>
      </c>
      <c r="ER305">
        <f>IFERROR(VLOOKUP(EN305,Кабель_сопротивление,3,FALSE),"")</f>
        <v>2.2499999999999999E-2</v>
      </c>
      <c r="ES305">
        <f>IFERROR(VLOOKUP(EN305,Кабель_сопротивление,2,FALSE),"")</f>
        <v>0.1</v>
      </c>
      <c r="ET305">
        <f t="shared" si="606"/>
        <v>28</v>
      </c>
      <c r="EU305">
        <f t="shared" si="607"/>
        <v>36</v>
      </c>
      <c r="EV305">
        <f t="shared" si="608"/>
        <v>0.37547944369891034</v>
      </c>
      <c r="EW305" s="6">
        <f>IFERROR(ROUNDUP(EV305/IF(BV305=1,BU305,(Uн_лин/SQRT(3))*1000)*100,2),"")</f>
        <v>0.17</v>
      </c>
      <c r="EX305" t="str">
        <f>IFERROR(VLOOKUP(BZ305,Кабель_обозначение,2,FALSE),"")</f>
        <v>ВВГнг(А)-LS</v>
      </c>
      <c r="EY305" t="str">
        <f t="shared" si="609"/>
        <v>ВВГнг(А)-LS (3х2,5)</v>
      </c>
      <c r="EZ305" t="str">
        <f t="shared" si="610"/>
        <v>ВВГнг(А)-LS (3х2,5)
L=40-0,17%</v>
      </c>
      <c r="FA305">
        <f>IFERROR(2*ρкз_Cu*P305/EN305,"")</f>
        <v>0.84160000000000001</v>
      </c>
      <c r="FB305">
        <f t="shared" si="611"/>
        <v>0.28000000000000003</v>
      </c>
      <c r="FC305" s="6" t="str">
        <f>IFERROR(IF(OR(B305="",BV305=1,NOT(ISNUMBER(EN305)),N(P305)=0),"",_xlfn.XLOOKUP(A305,Щиты[Щит],Щиты[Zпетли на шинах, Ом])+FA305),"")</f>
        <v/>
      </c>
      <c r="FD305" s="6" t="str">
        <f>IF(ISNUMBER(FC305),c_min*(Uн_лин*1000/SQRT(3))/FC305,"")</f>
        <v/>
      </c>
      <c r="FE305" s="6" t="str">
        <f>IFERROR(IF(OR(B305="",NOT(ISNUMBER(EN305))),"",1.05*(Uн_лин*1000/SQRT(3))/(_xlfn.XLOOKUP(A305,Щиты[Щит],Щиты[Zmax на шинах, Ом])+FB305)/1000),"")</f>
        <v/>
      </c>
      <c r="FF305" s="6" t="str">
        <f>IF(B305="","",IF(ISNUMBER(AC305),"Сил",IF(IFERROR(_xlfn.XLOOKUP(BC305,Коды_код,Коды_группа)&amp;"","")="","Быт",_xlfn.XLOOKUP(BC305,Коды_код,Коды_группа)&amp;"")))</f>
        <v>Быт</v>
      </c>
      <c r="FG305" s="6" t="str">
        <f t="shared" si="612"/>
        <v>Быт</v>
      </c>
      <c r="FH305" s="6">
        <f>IF(FG305="Щит","щит",IF(FG305="","",IF(FG305="Быт",IFERROR(_xlfn.XLOOKUP(A305,Щиты[Щит],Щиты[Кс быт]),1),IF(FG305="Сил",IF(ISNUMBER(AC305),AC305,IF(Методика="нормы 2026",IFERROR(_xlfn.XLOOKUP(A305,Щиты[Щит],Щиты[Кс силовых (табл. 7.5)]),1),1)),IF(OR(FG305="Пост",FG305="Отоп"),1,IF(FG305="ВНГ",0.7,0))))))</f>
        <v>0.8</v>
      </c>
      <c r="FI305">
        <f>IF(FG305="","",IF(AND(BP305=1,TRIM(AE305&amp;"")=""),IF(COUNTIFS(Линии[Щит],A305,Линии[Секция (1/2/3)],"&gt;=2")&gt;0,MIN(3,MAX(1,IFERROR(--BD305,1))),1),IFERROR(MIN(3,MAX(1,INT(--AE305))),1)))</f>
        <v>1</v>
      </c>
      <c r="FJ305">
        <f t="shared" si="613"/>
        <v>0.12</v>
      </c>
      <c r="FK305">
        <f t="shared" si="614"/>
        <v>0.12</v>
      </c>
      <c r="FL305">
        <f t="shared" si="615"/>
        <v>0</v>
      </c>
      <c r="FM305">
        <f t="shared" si="616"/>
        <v>0</v>
      </c>
      <c r="FN305">
        <f t="shared" si="617"/>
        <v>0</v>
      </c>
      <c r="FO305">
        <f t="shared" si="618"/>
        <v>0</v>
      </c>
      <c r="FP305">
        <f t="shared" si="619"/>
        <v>0.12</v>
      </c>
      <c r="FQ305">
        <f t="shared" si="620"/>
        <v>0.12</v>
      </c>
      <c r="FR305">
        <f t="shared" si="621"/>
        <v>0.11399999999999999</v>
      </c>
      <c r="FS305">
        <f>IF(CG305=1,IF(AND(CH305=1,CW305=1),0,IF(AND(CS305&lt;&gt;"",CS305=BA305,CW305=1),SUMIFS(Линии[_Р линии, кВт],Линии[_блок УЗО],BA305,Линии[Щит],A305),N(BS305)+IF(AJ305="вручную",0,N(CK305)))),0)</f>
        <v>0.12</v>
      </c>
      <c r="FT305" t="str">
        <f t="shared" si="622"/>
        <v>L2</v>
      </c>
      <c r="FU305" t="str">
        <f>IF(B305="","",IF(CG305=0,IF(BA305=1,"",FW304),IF(AND(CH305=1,CW305=1,CS305&lt;&gt;""),IFERROR(_xlfn.XLOOKUP(CS305,Линии[_n],Линии[_фаза итог]),"L1"),IF(OR(N(DL305)&gt;=3,N(BX305)&gt;=3),"L1,L2,L3",IFERROR(_xlfn.TEXTBEFORE(_xlfn.TEXTAFTER(_xlfn.XLOOKUP(A305,Щиты[Щит],Щиты[_фазы авто]),";"&amp;BA305&amp;":"),";"),"L1")))))</f>
        <v>L1</v>
      </c>
      <c r="FV305" t="str">
        <f t="shared" si="623"/>
        <v>L2</v>
      </c>
      <c r="FW305" t="str">
        <f t="shared" si="624"/>
        <v>L2</v>
      </c>
      <c r="FX305" cm="1">
        <f t="array" ref="FX305">IFERROR(IF(CD305=2,_xlfn.IFS(BX305=3,VLOOKUP(BS305,Справочная_двигатели,3,FALSE),BX305=1,VLOOKUP(BS305,Справочная_двигатели,5,TRUE)),0),0)</f>
        <v>0</v>
      </c>
      <c r="FY305">
        <f>IFERROR(IF(CD305=3,VLOOKUP(BS305,Справочная_ЛЭД,2,TRUE),0),0)</f>
        <v>0</v>
      </c>
      <c r="FZ305" s="6">
        <f t="shared" si="625"/>
        <v>0</v>
      </c>
      <c r="GA305" t="str">
        <f>IF(B305="","",IF(TRIM(AH305&amp;"")&lt;&gt;"",IF(LOWER(TRIM(AH305&amp;""))="да","да","нет"),IF(IFERROR(_xlfn.XLOOKUP(BC305,Коды_код,Коды_пожарная),"")="да","да","нет")))</f>
        <v>нет</v>
      </c>
      <c r="GB305" t="str">
        <f t="shared" si="626"/>
        <v/>
      </c>
      <c r="GC305" t="str">
        <f t="shared" si="627"/>
        <v>основная</v>
      </c>
      <c r="GD305">
        <f>IF(AND(BP305=1,TRIM(AE305&amp;"")=""),IF(COUNTIFS(Линии[Щит],A305,Линии[Секция (1/2/3)],"&gt;=2")&gt;0,MIN(3,MAX(1,IFERROR(--BD305,1))),1),IFERROR(MIN(3,MAX(1,INT(--AE305))),1))</f>
        <v>1</v>
      </c>
      <c r="GE305" t="str" cm="1">
        <f t="array" ref="GE305">IF(B305="","",_xlfn.LET(_xlpm.t,IFERROR(_xlfn.XLOOKUP(1,(Шины[Шина]=GC305)*(((Шины[Щит]=A305)+(Шины[Щит]=""))&gt;0),Шины[Тип]),"")&amp;"",IF(_xlpm.t&lt;&gt;"",_xlpm.t,IF(ISNUMBER(SEARCH("ИБП",GC305)),"ИБП",IF(ISNUMBER(SEARCH("ДГУ",GC305)),"ДГУ","Ввод "&amp;GD305)))))</f>
        <v>Ввод 1</v>
      </c>
      <c r="GF305" t="str">
        <f t="shared" si="628"/>
        <v>Ввод 1</v>
      </c>
      <c r="GG305" t="str">
        <f>IF(BP305=0,"",IF(TRIM(AG305&amp;"")&lt;&gt;"",TRIM(AG305&amp;""),IF(OR(GE305="ИБП",GE305="ДГУ"),"I особая",_xlfn.XLOOKUP(A305,Щиты[Щит],Щиты[Категория шины «Ввод»],"III"))))</f>
        <v/>
      </c>
      <c r="GH305" t="str">
        <f>IF(A305="","",_xlfn.XLOOKUP(A305,Щиты[Щит],Щиты[Путь],""))</f>
        <v>|ГРЩ-ЖД|ЩР-2|</v>
      </c>
      <c r="GI305" t="str">
        <f>IF(B305="","",IF(AI305&lt;&gt;"",AI305,IF(IFERROR(_xlfn.XLOOKUP(BC305,Коды_код,Коды_вид)&amp;"","")="","Прочее",_xlfn.XLOOKUP(BC305,Коды_код,Коды_вид)&amp;"")))</f>
        <v>Розеточная сеть и бытовые приборы</v>
      </c>
      <c r="GJ305">
        <f>IF(BM305="","",INT((BM305-1)/Столбцов_на_лист)+1)</f>
        <v>2</v>
      </c>
      <c r="GK305" t="str">
        <f t="shared" si="629"/>
        <v>ВВГнг(А)-LS (3х2,5) L=40-0,17%</v>
      </c>
      <c r="GL305">
        <f t="shared" si="630"/>
        <v>0.12</v>
      </c>
      <c r="GM305">
        <f t="shared" si="631"/>
        <v>0.55000000000000004</v>
      </c>
      <c r="GN305">
        <f t="shared" si="632"/>
        <v>1</v>
      </c>
      <c r="GO305">
        <f t="shared" si="633"/>
        <v>0</v>
      </c>
      <c r="GP305">
        <f t="shared" si="634"/>
        <v>1</v>
      </c>
      <c r="GQ305">
        <f>IF(BM305="","",IF(AND(CG305=1,GP305=1),COUNTIFS(A$3:A305,A305,CG$3:CG305,1,GP$3:GP305,1),IF(OR(OR(BA305=1,A305&lt;&gt;A304),AJ305="вручную",GP305=0),"",IF(BA305=1,"",GR304))))</f>
        <v>22</v>
      </c>
      <c r="GR305">
        <f t="shared" si="635"/>
        <v>22</v>
      </c>
      <c r="GS305">
        <f>IF(B305="","",IFERROR(LOOKUP(INDEX(CHOOSE(EB305,Iдоп_1ж,Iдоп_2ж,Iдоп_3ж),MATCH(EN305,Iдоп_S,0))*DZ305*EA305,{6,10,16,20,25,32,40,50,63,80,100,125,160,200,250,315,400,500,630}),""))</f>
        <v>25</v>
      </c>
      <c r="GT305" t="str">
        <f t="shared" si="636"/>
        <v>QFD22</v>
      </c>
      <c r="GU305" t="str">
        <f t="shared" si="637"/>
        <v>QFD22</v>
      </c>
      <c r="GV305" t="str">
        <f t="shared" si="638"/>
        <v/>
      </c>
      <c r="GW305">
        <f t="shared" si="639"/>
        <v>0</v>
      </c>
      <c r="GX305" t="str">
        <f>IF(OR(B305="",DJ305=""),"",IFERROR(_xlfn.XLOOKUP(DJ305,Модули_умолч[Управление],Модули_умолч[Модель])&amp;"",""))</f>
        <v/>
      </c>
      <c r="GY305">
        <f>IF(DJ305="",1,IFERROR(MAX(0,N(_xlfn.XLOOKUP(DJ305,Модули_умолч[Управление],Модули_умолч[Каналов на линию]))),1))</f>
        <v>1</v>
      </c>
      <c r="GZ305" t="str">
        <f t="shared" si="640"/>
        <v/>
      </c>
      <c r="HA305" t="str">
        <f t="shared" si="641"/>
        <v/>
      </c>
      <c r="HB305" t="str">
        <f t="shared" si="642"/>
        <v/>
      </c>
      <c r="HC305">
        <f>IF(HB305="",0,IFERROR(N(VLOOKUP(HB305,Модули_спр,3,FALSE)),0))</f>
        <v>0</v>
      </c>
      <c r="HD305" t="str">
        <f t="shared" si="643"/>
        <v/>
      </c>
      <c r="HE305" t="str">
        <f t="shared" si="644"/>
        <v/>
      </c>
      <c r="HF305" t="str">
        <f>IF(OR(HE305="",HE305="-"),"",IFERROR(VLOOKUP(HE305,Модули_спр,2,FALSE),"R"))</f>
        <v/>
      </c>
      <c r="HG305" t="str">
        <f>IF(HF305="","",HF305&amp;"."&amp;COUNTIFS(A$3:A305,A305,HF$3:HF305,HF305))</f>
        <v/>
      </c>
      <c r="HH305" t="str">
        <f t="shared" si="645"/>
        <v/>
      </c>
      <c r="HI305" t="str">
        <f t="shared" si="646"/>
        <v/>
      </c>
      <c r="HJ305" t="str">
        <f t="shared" si="647"/>
        <v/>
      </c>
      <c r="HK305" t="str">
        <f t="shared" si="648"/>
        <v/>
      </c>
      <c r="HL305">
        <f t="shared" si="649"/>
        <v>1</v>
      </c>
      <c r="HM305" t="str">
        <f>IF(HL305=1,"XT"&amp;COUNTIFS(A$3:A305,A305,HL$3:HL305,1),"")</f>
        <v>XT22</v>
      </c>
      <c r="HN305" t="str">
        <f t="shared" si="650"/>
        <v/>
      </c>
      <c r="HO305" t="str">
        <f t="shared" si="651"/>
        <v>QFD22</v>
      </c>
      <c r="HP305" t="str">
        <f t="shared" si="652"/>
        <v/>
      </c>
      <c r="HQ305" t="str">
        <f t="shared" si="653"/>
        <v>ok</v>
      </c>
      <c r="HR305" t="str">
        <f>IF(OR(HJ305="",HH305=""),"",IF(HJ305+MAX(0,GY305-1)&gt;IFERROR(VLOOKUP(HI305,Модули_спр,3,FALSE),99),"ЛИШНИЙ КАНАЛ",IF(AND(AL305&lt;&gt;"=",GY305&gt;0,COUNTIFS(Линии[_модуль гр.],HH305,Линии[Канал (итог)],HJ305,Линии[Канал],"&lt;&gt;=",Линии[Щит],A305)&gt;1),"ДУБЛЬ КАНАЛА","")))</f>
        <v/>
      </c>
      <c r="HS305" s="6" t="str">
        <f t="shared" si="654"/>
        <v/>
      </c>
      <c r="HT305">
        <f t="shared" si="655"/>
        <v>10</v>
      </c>
      <c r="HU305" t="str">
        <f t="shared" si="656"/>
        <v/>
      </c>
      <c r="HV305">
        <f t="shared" si="657"/>
        <v>0.6187853651665951</v>
      </c>
      <c r="HW305">
        <f t="shared" si="658"/>
        <v>0</v>
      </c>
      <c r="HX305">
        <f t="shared" si="659"/>
        <v>0</v>
      </c>
      <c r="HY305">
        <f t="shared" si="660"/>
        <v>0</v>
      </c>
      <c r="HZ305">
        <f t="shared" si="661"/>
        <v>0</v>
      </c>
      <c r="IA305">
        <f t="shared" si="662"/>
        <v>0</v>
      </c>
      <c r="IB305">
        <f t="shared" si="663"/>
        <v>0</v>
      </c>
      <c r="IC305" t="str">
        <f t="shared" si="664"/>
        <v/>
      </c>
      <c r="ID305" t="str" cm="1">
        <f t="array" ref="ID305">IF(IC305="","",_xlfn.LET(_xlpm.tk,_xlfn.TEXTSPLIT(SUBSTITUTE(SUBSTITUTE(IC305,";"," "),"→"," ")," ",,TRUE),_xlpm.w_,_xlfn._xlws.FILTER(_xlpm.tk,ISNUMBER(--LEFT(_xlpm.tk,1))*((ISNUMBER(SEARCH("W",_xlpm.tk))+ISNUMBER(SEARCH("Вт",_xlpm.tk)))&gt;0),""),IFERROR(--SUBSTITUTE(SUBSTITUTE(UPPER(INDEX(_xlpm.w_,1)),"W",""),"ВТ",""),"")))</f>
        <v/>
      </c>
      <c r="IE305" t="str" cm="1">
        <f t="array" ref="IE305">IF(IC305="","",_xlfn.LET(_xlpm.tk,_xlfn.TEXTSPLIT(SUBSTITUTE(SUBSTITUTE(IC305,";"," "),"→"," ")," ",,TRUE),_xlpm.v_,_xlfn._xlws.FILTER(_xlpm.tk,ISNUMBER(--LEFT(_xlpm.tk,1))*((ISNUMBER(SEARCH("V",_xlpm.tk))+(RIGHT(UPPER(_xlpm.tk))="В"))&gt;0),""),IFERROR(--SUBSTITUTE(SUBSTITUTE(UPPER(INDEX(_xlpm.v_,1)),"V",""),"В",""),"")))</f>
        <v/>
      </c>
      <c r="IF305" s="6" t="str">
        <f>IF(OR(BV305=0,HI305="",HJ305=""),"",IFERROR(N(_xlfn.XLOOKUP(HI305,Каталог!$C$4:$C$500,Каталог!$Q$4:$Q$500)),""))</f>
        <v/>
      </c>
      <c r="IG305" s="6" t="str">
        <f>IF(N(IF305)=0,"",SUMIFS(Линии[Iр, А],Линии[Щит],A305,Линии[_модуль гр.],HH305,Линии[Канал (итог)],HJ305))</f>
        <v/>
      </c>
      <c r="IH305" t="str">
        <f>IF(AND(B305="",HO305=""),"",_xlfn.TEXTJOIN("; ",TRUE,IF(AND(B305&lt;&gt;"",FV305=""),"нет фазы",""),IF(AND(B305&lt;&gt;"",N(GL305)=0,FG305&lt;&gt;"Нет"),"нет мощности",""),IF(AND(HN305&lt;&gt;"",COUNTIFS(Линии[Щит],A305,Линии[Клемма (итог)],HN305)&gt;1),"дубль клеммы "&amp;HN305,""),IF(AND(HQ305&lt;&gt;"",HQ305&lt;&gt;"ok"),HQ305,""),IF(HR305&lt;&gt;"",HR305,""),IF(AND(N(CB305)&gt;=4,N(BX305)=1),CB305&amp;" жил на 1 фазе",""),IF(AND(BC305="R",CG305=1,IF(CS305&lt;&gt;"",N(CV305)&gt;30,OR(N(DA305)=0,N(DA305)&gt;30))),"розетка без дифзащиты до 30 мА",""),IF(AND(CG305=1,N(DA305)&gt;0,ISNUMBER(T305)),IF(T305&gt;N(DA305)/3,"ток утечки "&amp;FIXED(T305,1)&amp;" мА &gt; 1/3 уставки ("&amp;DA305&amp;" мА)",""),""),IF(AND(CH305=1,CS305=""),"«узо»: нет строки с УЗО выше (УЗО 2P 40А 30мА в «Аппаратах»)",""),IF(AND(CS305&lt;&gt;"",CS305=BA305),IF(CT305="","впишите номинал УЗО (УЗО 2P 40А 30мА)",IF(N(CT305)&lt;N(DT305),"УЗО "&amp;CT305&amp;" А &lt; автомата "&amp;DT305&amp;" А перед ним",IF(N(CT305)&lt;N(CX305),"УЗО "&amp;CT305&amp;" А &lt; тока блока "&amp;FIXED(CX305,1)&amp;" А",""))),""),IF(AND(CS305&lt;&gt;"",CS305=BA305,ISNUMBER(CY305)),IF(CY305&gt;N(CV305)/3,"ток утечки блока УЗО "&amp;FIXED(CY305,1)&amp;" мА &gt; 1/3 уставки ("&amp;CV305&amp;" мА)",""),""),IF(AND(CG305=1,N(BV305)+N(IB305)&gt;0,IC305=""),"линии до 50 В без БП: впишите в «Аппараты» (БП 24V 480W)",""),IF(AND(CG305=1,ISNUMBER(ID305),ISNUMBER(U305)),IF(U305&gt;ID305,"БП "&amp;ID305&amp;" Вт &lt; нужно "&amp;U305&amp;" Вт (×"&amp;Запас_БП&amp;")",""),""),IF(AND(CG305=1,ISNUMBER(IE305),N(BV305)=1),IF(IE305&lt;&gt;N(BU305),"БП на "&amp;IE305&amp;" В, линия "&amp;BU305&amp;" В",""),""),IF(AND(N(IF305)&gt;0,N(IG305)&gt;N(IF305)),HH305&amp;" канал "&amp;HJ305&amp;": "&amp;FIXED(IG305,1)&amp;" А &gt; "&amp;IF305&amp;" А",""),IFERROR(IF(AND(ISNUMBER(Q305),Q305&gt;EL305),"потери "&amp;FIXED(Q305,1)&amp;" % &gt; "&amp;EL305&amp;" %",""),""),IFERROR(IF(LEFT(HU305,4)="мало","Iкз мало — отключение &gt; 0,4 с",""),""),IF(AND(B305&lt;&gt;"",BM305=""),"не на схеме",""),IF(AND(CG305=0,B305&lt;&gt;"",FV305&lt;&gt;"",IF(BA305=1,"",FW304)&lt;&gt;"",FV305&lt;&gt;IF(BA305=1,"",FW304)),"фаза не как у автомата группы ("&amp;IF(BA305=1,"",FW304)&amp;")","")))</f>
        <v/>
      </c>
      <c r="II305" s="6">
        <f>IF(OR(CG305=0,DQ305=""),"",_xlfn.LET(_xlpm.t,IFERROR(_xlfn.XLOOKUP(DQ305,Каталог!$U$4:$U$500,Каталог!$G$4:$G$500),""),_xlpm.k,SEARCH("кА",_xlpm.t),IFERROR(--TRIM(RIGHT(SUBSTITUTE(MID(_xlpm.t,MAX(1,_xlpm.k-4),_xlpm.k-MAX(1,_xlpm.k-4))," ",REPT(" ",9)),5)),"")))</f>
        <v>6</v>
      </c>
      <c r="IJ305" t="str">
        <f>IF(OR(II305="",CG305=0),"",IF(_xlfn.XLOOKUP(A305,Щиты[Щит],Щиты[Iкз max на шинах, кА],"")="","",IF(II305&lt;_xlfn.XLOOKUP(A305,Щиты[Щит],Щиты[Iкз max на шинах, кА]),"Icu "&amp;II305&amp;" кА &lt; Iкз max","ok")))</f>
        <v/>
      </c>
      <c r="IK305" t="str">
        <f t="shared" si="665"/>
        <v/>
      </c>
      <c r="IL305" t="str">
        <f t="shared" si="666"/>
        <v>QFD22</v>
      </c>
      <c r="IM305" t="str">
        <f t="shared" si="667"/>
        <v>QFD22|кабель ВВГнг(А)-LS (3х2,5) → Розеточная группа, пом. 005А</v>
      </c>
      <c r="IN305" t="str" cm="1">
        <f t="array" ref="IN305">IF(IM305="","",_xlfn.LET(_xlpm.nd,_xlfn.TEXTSPLIT(IM305,"|"),IF(COLUMNS(_xlpm.nd)&gt;1,A305&amp;"¦"&amp;INDEX(_xlpm.nd,1)&amp;"¦"&amp;INDEX(_xlpm.nd,2),"")))</f>
        <v>ЩР-2¦QFD22¦кабель ВВГнг(А)-LS (3х2,5) → Розеточная группа, пом. 005А</v>
      </c>
      <c r="IO305" t="str">
        <f t="shared" si="668"/>
        <v>R.2.005А.3¦Розеточная группа, пом. 005А</v>
      </c>
      <c r="IP305" t="str" cm="1">
        <f t="array" ref="IP305">IF(IM305="","",_xlfn.LET(_xlpm.nd,_xlfn.TEXTSPLIT(IM305,"|"),IF(COLUMNS(_xlpm.nd)&gt;2,A305&amp;"¦"&amp;INDEX(_xlpm.nd,2)&amp;"¦"&amp;INDEX(_xlpm.nd,3),"")))</f>
        <v/>
      </c>
      <c r="IQ305" t="str">
        <f t="shared" si="669"/>
        <v/>
      </c>
      <c r="IR305" t="str" cm="1">
        <f t="array" ref="IR305">IF(IM305="","",_xlfn.LET(_xlpm.nd,_xlfn.TEXTSPLIT(IM305,"|"),IF(COLUMNS(_xlpm.nd)&gt;3,A305&amp;"¦"&amp;INDEX(_xlpm.nd,3)&amp;"¦"&amp;INDEX(_xlpm.nd,4),"")))</f>
        <v/>
      </c>
      <c r="IS305" t="str">
        <f t="shared" si="670"/>
        <v/>
      </c>
      <c r="IT305" t="str" cm="1">
        <f t="array" ref="IT305">IF(IM305="","",_xlfn.LET(_xlpm.nd,_xlfn.TEXTSPLIT(IM305,"|"),IF(COLUMNS(_xlpm.nd)&gt;4,A305&amp;"¦"&amp;INDEX(_xlpm.nd,4)&amp;"¦"&amp;INDEX(_xlpm.nd,5),"")))</f>
        <v/>
      </c>
      <c r="IU305" t="str">
        <f t="shared" si="671"/>
        <v/>
      </c>
      <c r="IV305" t="str" cm="1">
        <f t="array" ref="IV305">IF(IM305="","",_xlfn.LET(_xlpm.nd,_xlfn.TEXTSPLIT(IM305,"|"),IF(COLUMNS(_xlpm.nd)&gt;5,A305&amp;"¦"&amp;INDEX(_xlpm.nd,5)&amp;"¦"&amp;INDEX(_xlpm.nd,6),"")))</f>
        <v/>
      </c>
      <c r="IW305" t="str">
        <f t="shared" si="672"/>
        <v/>
      </c>
      <c r="IX305" t="str" cm="1">
        <f t="array" ref="IX305">IF(IM305="","",_xlfn.LET(_xlpm.nd,_xlfn.TEXTSPLIT(IM305,"|"),IF(COLUMNS(_xlpm.nd)&gt;6,A305&amp;"¦"&amp;INDEX(_xlpm.nd,6)&amp;"¦"&amp;INDEX(_xlpm.nd,7),"")))</f>
        <v/>
      </c>
      <c r="IY305" t="str">
        <f t="shared" si="673"/>
        <v/>
      </c>
      <c r="IZ305" t="str">
        <f t="shared" si="674"/>
        <v/>
      </c>
      <c r="JA305" t="str">
        <f t="shared" si="675"/>
        <v>QFD22</v>
      </c>
      <c r="JB305">
        <f t="shared" si="676"/>
        <v>0</v>
      </c>
      <c r="JC305">
        <f t="shared" si="677"/>
        <v>1</v>
      </c>
      <c r="JD305" t="str">
        <f t="shared" si="678"/>
        <v/>
      </c>
      <c r="JE305" t="str">
        <f t="shared" si="679"/>
        <v/>
      </c>
      <c r="JF305" t="str">
        <f t="shared" si="680"/>
        <v/>
      </c>
      <c r="JG305" t="str">
        <f t="shared" si="681"/>
        <v/>
      </c>
      <c r="JH305" t="str">
        <f>IF(B305="","",IFERROR(_xlfn.XLOOKUP(B305,Коды_код,Коды_уго),IFERROR(_xlfn.XLOOKUP(BC305,Коды_код,Коды_уго),IFERROR(_xlfn.XLOOKUP(LEFT(BC305,2),Коды_код,Коды_уго),""))))</f>
        <v>Розетка</v>
      </c>
      <c r="JI305" t="str">
        <f>IF(B305="","",IF(OR(JH305="",JH305=0),"BOX",IFERROR(IF(VLOOKUP(JH305,УГО_блоки,3,FALSE)&amp;""&lt;&gt;"",VLOOKUP(JH305,УГО_блоки,3,FALSE),VLOOKUP(JH305,УГО_блоки,2,FALSE)),JH305)))</f>
        <v>SOCKET</v>
      </c>
      <c r="JJ305">
        <f t="shared" si="682"/>
        <v>1</v>
      </c>
      <c r="JK305" t="str">
        <f>IF(DQ305="","",IF(COUNTIF(DQ$3:DQ305,DQ305)=1,MAX(JK$2:JK304)+1,""))</f>
        <v/>
      </c>
      <c r="JL305" t="str">
        <f>IF(DE305="","",IF(COUNTIF(DE$3:DE305,DE305)+COUNTIF(DF$2:DF304,DE305)+COUNTIF(DG$2:DG304,DE305)=1,MAX(JL$2:JN304)+1,""))</f>
        <v/>
      </c>
      <c r="JM305" t="str">
        <f>IF(DF305="","",IF(COUNTIF(DE$3:DE305,DF305)+COUNTIF(DF$3:DF305,DF305)+COUNTIF(DG$2:DG304,DF305)=1,MAX(JL$2:JN304,JL305)+1,""))</f>
        <v/>
      </c>
      <c r="JN305" t="str">
        <f>IF(DG305="","",IF(COUNTIF(DE$3:DE305,DG305)+COUNTIF(DF$3:DF305,DG305)+COUNTIF(DG$3:DG305,DG305)=1,MAX(JL$2:JN304,JL305,JM305)+1,""))</f>
        <v/>
      </c>
      <c r="JO305" t="str">
        <f t="shared" si="683"/>
        <v>3х2,5</v>
      </c>
      <c r="JP305" t="str">
        <f>IF(JO305="","",IF(COUNTIF(JO$3:JO305,JO305)=1,MAX(JP$2:JP304)+1,""))</f>
        <v/>
      </c>
      <c r="JQ305" t="str">
        <f>IF(HG305="","",COUNTIF(HG$3:HG305,"?*"))</f>
        <v/>
      </c>
      <c r="JR305" t="str">
        <f>IF(OR(HG305="",HI305=""),"",IF(COUNTIFS(HG$3:HG305,"?*",HI$3:HI305,HI305)=1,MAX(JR$2:JR304)+1,""))</f>
        <v/>
      </c>
      <c r="JS305">
        <f t="shared" si="684"/>
        <v>0</v>
      </c>
      <c r="JT305">
        <f>IF(B305="","",COUNTIF(B$3:B305,"?*"))</f>
        <v>303</v>
      </c>
      <c r="JU305">
        <f>IF(HL305&lt;&gt;1,0,_xlfn.LET(_xlpm.k,MAX(IFERROR(--_xlfn.XLOOKUP(B305,Коды_код,Коды_3L),0),IFERROR(--_xlfn.XLOOKUP(BC305,Коды_код,Коды_3L),0),IFERROR(--_xlfn.XLOOKUP(LEFT(BC305,2),Коды_код,Коды_3L),0)),IF(_xlpm.k&gt;0,_xlpm.k,IF(IFERROR(--LEFT(SUBSTITUTE(JO305,"x","х"),FIND("х",SUBSTITUTE(JO305,"x","х"))-1),3)&gt;3,Каталог!$S$9,1))))</f>
        <v>1</v>
      </c>
      <c r="JV305">
        <f t="shared" si="685"/>
        <v>0</v>
      </c>
      <c r="JW305" t="str">
        <f t="shared" si="686"/>
        <v>авто</v>
      </c>
      <c r="JX305">
        <f t="shared" si="687"/>
        <v>30</v>
      </c>
      <c r="JY305">
        <f t="shared" si="688"/>
        <v>1</v>
      </c>
      <c r="JZ305">
        <f t="shared" si="689"/>
        <v>1</v>
      </c>
    </row>
    <row r="306" spans="1:286" x14ac:dyDescent="0.3">
      <c r="A306" t="s">
        <v>759</v>
      </c>
      <c r="B306" t="s">
        <v>1611</v>
      </c>
      <c r="C306" t="str">
        <f>Линии[[#This Row],[_авто наименование]]</f>
        <v>Розеточная группа, пом. 009А</v>
      </c>
      <c r="D306">
        <v>1</v>
      </c>
      <c r="E306">
        <v>0.06</v>
      </c>
      <c r="G306">
        <v>16</v>
      </c>
      <c r="H306" t="str">
        <f>Линии[[#This Row],[_авто управление]]</f>
        <v/>
      </c>
      <c r="I306" t="str">
        <f>Линии[[#This Row],[_авто аппараты]]</f>
        <v/>
      </c>
      <c r="J306">
        <v>2.5</v>
      </c>
      <c r="K306">
        <v>32</v>
      </c>
      <c r="L306">
        <v>3</v>
      </c>
      <c r="M306" t="s">
        <v>484</v>
      </c>
      <c r="N306" t="str">
        <f t="shared" si="552"/>
        <v/>
      </c>
      <c r="O306" s="6" cm="1">
        <f t="array" ref="O306">IF(B306="","",IF(BH306&lt;&gt;"",IFERROR(_xlfn.XLOOKUP(BH306,Щиты[Щит],Щиты[Iр, А]),""),IF(BP306=1,IF(OR(N(_xlfn.XLOOKUP(A306,Щиты[Щит],Щиты[Вводов],1))&lt;=1,LOWER(TRIM(_xlfn.XLOOKUP(A306,Щиты[Щит],Щиты[АВР],"")&amp;""))="да"),IFERROR(_xlfn.XLOOKUP(A306,Щиты[Щит],Щиты[Iр, А]),""),IFERROR(N(BS306)*_xlfn.XLOOKUP(A306,Щиты[Щит],Щиты[Кс итог])/(SQRT(3)*Uн_лин*_xlfn.XLOOKUP(A306,Щиты[Щит],Щиты[cos φ])),"")),IF(BV306=1,IFERROR(BS306*1000/BU306,""),IFERROR(_xlfn.IFS(BX306=1,BS306/((Uн_лин/SQRT(3))*CE306),BX306=3,BS306/(SQRT(3)*Uн_лин*CE306)),"")))))</f>
        <v>0.27348170645824377</v>
      </c>
      <c r="P306" s="7">
        <f>IF(B306="","",IFERROR(IF(VLOOKUP(BC306,Потребители_обозначение,4,FALSE)=1,VLOOKUP(BC306,Потребители_обозначение,3,FALSE)*(MAX(1,N(D306))*2-1)+EI306+VLOOKUP(BE306,Этаж_обозначение,3,FALSE)+VLOOKUP(BE306,Этаж_обозначение,4,FALSE),VLOOKUP(BC306,Потребители_обозначение,3,FALSE)*(MAX(1,N(D306))*2-1)+EI306),EI306))</f>
        <v>35</v>
      </c>
      <c r="Q306" s="6">
        <f t="shared" si="553"/>
        <v>1.87</v>
      </c>
      <c r="R306" t="str">
        <f t="shared" si="554"/>
        <v>ВВГнг(А)-LS (3х2,5)</v>
      </c>
      <c r="S306" t="str">
        <f>IF(BM306="","",IF(BN306="вводной узел","узел ","")&amp;"л."&amp;(INT((BM306-1)/Столбцов_на_лист)+1)&amp;" / "&amp;(MOD(BM306-1,Столбцов_на_лист)+1))</f>
        <v>л.2 / 16</v>
      </c>
      <c r="T306" s="119">
        <f t="shared" si="555"/>
        <v>0.5</v>
      </c>
      <c r="U306" s="7" t="str">
        <f>IF(OR(CG306=0,N(BV306)+N(IB306)=0),"",ROUNDUP(Запас_БП*(N(HY306)+N(HZ306)),0))</f>
        <v/>
      </c>
      <c r="V306" s="119" t="str">
        <f t="shared" si="556"/>
        <v/>
      </c>
      <c r="W306" s="7" t="str">
        <f>IFERROR(IF(OR(B306="",BP306=1,BV306=1,NOT(ISNUMBER(EN306)),N(DT306)=0),"",MAX(0,ROUNDDOWN((c_min*(Uн_лин*1000/SQRT(3))/(HT306*N(DT306))-_xlfn.XLOOKUP(A306,Щиты[Щит],Щиты[Zпетли на шинах, Ом]))*EN306/(2*ρкз_Cu),0))),"")</f>
        <v/>
      </c>
      <c r="Y306">
        <f>Линии[[#This Row],[_авто утечка]]</f>
        <v>30</v>
      </c>
      <c r="Z306">
        <v>1</v>
      </c>
      <c r="AA306">
        <v>230</v>
      </c>
      <c r="AB306" t="s">
        <v>562</v>
      </c>
      <c r="AG306" t="s">
        <v>810</v>
      </c>
      <c r="AI306" t="s">
        <v>561</v>
      </c>
      <c r="AK306" t="str">
        <f>Линии[[#This Row],[_авто модуль]]</f>
        <v/>
      </c>
      <c r="AM306">
        <v>33</v>
      </c>
      <c r="AN306" t="s">
        <v>11</v>
      </c>
      <c r="AO306">
        <v>3</v>
      </c>
      <c r="AQ306">
        <v>12</v>
      </c>
      <c r="AR306">
        <v>17</v>
      </c>
      <c r="AT306">
        <v>2</v>
      </c>
      <c r="BA306" cm="1">
        <f t="array" ref="BA306">ROW()-ROW(Линии[#Headers])</f>
        <v>304</v>
      </c>
      <c r="BC306" s="6" t="str">
        <f t="shared" si="557"/>
        <v>R</v>
      </c>
      <c r="BD306" t="str">
        <f t="shared" si="558"/>
        <v>2.009А.3</v>
      </c>
      <c r="BE306" t="str">
        <f t="shared" si="559"/>
        <v>2</v>
      </c>
      <c r="BF306" t="str">
        <f t="shared" si="560"/>
        <v>009А.3</v>
      </c>
      <c r="BG306" t="str">
        <f t="shared" si="561"/>
        <v>009А</v>
      </c>
      <c r="BH306" t="str">
        <f>IF(X306&lt;&gt;"",X306,IF(AND(B306&lt;&gt;"",B306&lt;&gt;A306,ISNUMBER(_xlfn.XMATCH(B306,Щиты[Щит]))),B306,""))</f>
        <v/>
      </c>
      <c r="BI306" t="str" cm="1">
        <f t="array" ref="BI306">IF(B306="","",IF(BH306&lt;&gt;"","Щит "&amp;BH306,_xlfn.LET(_xlpm.nm,IFERROR(_xlfn.XLOOKUP(BC306,Коды_код,Коды_имя)&amp;"",""),_xlpm.md,IFERROR(N(_xlfn.XLOOKUP(BC306,Коды_код,Коды_режим)),1),_xlpm.ex,IF(Имя_режим="по экспликации",IFERROR(_xlfn.XLOOKUP(BE306&amp;"|"&amp;BG306,Экспликация[Этаж]&amp;"|"&amp;Экспликация[Помещение],Экспликация[Название])&amp;"",""),""),_xlpm.rm,IF(BG306="","",IF(_xlpm.ex&lt;&gt;"",". "&amp;_xlpm.ex&amp;IF(Имя_пом="нет"," ("&amp;BG306&amp;")"," (пом. "&amp;BG306&amp;")"),IF(Имя_пом="нет"," ",", пом. ")&amp;BG306)),IF(_xlpm.nm="","",IF(_xlpm.md=2,_xlpm.nm&amp;" шлейф "&amp;BE306,_xlpm.nm&amp;_xlpm.rm)))))</f>
        <v>Розеточная группа, пом. 009А</v>
      </c>
      <c r="BJ306" t="str">
        <f t="shared" si="562"/>
        <v>Розеточная группа, пом. 009А</v>
      </c>
      <c r="BK306">
        <f>IFERROR(_xlfn.XMATCH(A306,Щиты[Щит]),0)</f>
        <v>11</v>
      </c>
      <c r="BL306">
        <f>_xlfn.LET(_xlpm.k,IFERROR(_xlfn.XLOOKUP(A306,Щиты[Щит],Щиты[Мест под вводной узел]),""),IF(_xlpm.k="",Столбцов_на_лист,N(_xlpm.k)))</f>
        <v>8</v>
      </c>
      <c r="BM306">
        <f t="shared" si="563"/>
        <v>33</v>
      </c>
      <c r="BN306" t="str">
        <f t="shared" si="564"/>
        <v>линии</v>
      </c>
      <c r="BO306" s="6">
        <f>IFERROR(N(_xlfn.XLOOKUP(BC306,Коды_код,Коды_квт)),0)</f>
        <v>0</v>
      </c>
      <c r="BP306">
        <f t="shared" si="565"/>
        <v>0</v>
      </c>
      <c r="BQ306" t="str">
        <f>IF(B306="","",IF(BH306&lt;&gt;"",IFERROR(_xlfn.XLOOKUP(BH306,Щиты[Щит],Щиты[Руст, кВт]),0),IF(BP306=1,IF(OR(N(_xlfn.XLOOKUP(A306,Щиты[Щит],Щиты[Вводов],1))&lt;=1,LOWER(TRIM(_xlfn.XLOOKUP(A306,Щиты[Щит],Щиты[АВР],"")&amp;""))="да"),IFERROR(_xlfn.XLOOKUP(A306,Щиты[Щит],Щиты[Руст, кВт]),0),SUMIFS(Линии[_Р для вводов],Линии[Щит],A306,Линии[Источник для режимов],GF306)),IF(BO306&gt;0,ROUND(BO306*MAX(1,N(D306)),3),""))))</f>
        <v/>
      </c>
      <c r="BR306">
        <f t="shared" si="566"/>
        <v>0.06</v>
      </c>
      <c r="BS306" s="6">
        <f>IF(B306="","",IF(BH306&lt;&gt;"",IFERROR(_xlfn.XLOOKUP(BH306,Щиты[Щит],Щиты[Руст, кВт]),0),N(BR306)))</f>
        <v>0.06</v>
      </c>
      <c r="BT306" t="str">
        <f>IF(B306="","",IFERROR(IF(VLOOKUP(BC306,Потребители_обозначение,8,FALSE)=0,"",VLOOKUP(BC306,Потребители_обозначение,8,FALSE)),""))</f>
        <v/>
      </c>
      <c r="BU306">
        <f t="shared" si="567"/>
        <v>230</v>
      </c>
      <c r="BV306">
        <f t="shared" si="568"/>
        <v>0</v>
      </c>
      <c r="BW306">
        <f>IF(B306="","",IF(BH306&lt;&gt;"",3,IFERROR(IF(N(VLOOKUP(BC306,Потребители_обозначение,9,FALSE))=0,1,VLOOKUP(BC306,Потребители_обозначение,9,FALSE)),1)))</f>
        <v>1</v>
      </c>
      <c r="BX306">
        <f t="shared" si="569"/>
        <v>1</v>
      </c>
      <c r="BY306" t="str">
        <f>IF(B306="","",_xlfn.LET(_xlpm.bc,IFERROR(IF(VLOOKUP(BC306,Потребители_обозначение,6,FALSE)=0,"",VLOOKUP(BC306,Потребители_обозначение,6,FALSE)&amp;""),""),IF(AND(GA306="да",OR(_xlpm.bc="",_xlpm.bc="мс")),Марка_пож,IF(AND(_xlpm.bc="",BH306&lt;&gt;""),"мс",_xlpm.bc))))</f>
        <v/>
      </c>
      <c r="BZ306" t="str">
        <f t="shared" si="570"/>
        <v>мс</v>
      </c>
      <c r="CA306">
        <f>IF(B306="","",_xlfn.LET(_xlpm.cc,IFERROR(N(VLOOKUP(BC306,Потребители_обозначение,7,FALSE)),0),IF(_xlpm.cc&gt;0,_xlpm.cc,IF(BZ306="","",IF(BV306=1,2,IF(N(BX306)=3,5,3))))))</f>
        <v>3</v>
      </c>
      <c r="CB306">
        <f t="shared" si="571"/>
        <v>3</v>
      </c>
      <c r="CC306">
        <f>IFERROR(N(VLOOKUP(BC306,Потребители_обозначение,10,FALSE)),0)</f>
        <v>0</v>
      </c>
      <c r="CD306">
        <f>IFERROR(VLOOKUP(BC306,Потребители_обозначение,5,FALSE),0)</f>
        <v>1</v>
      </c>
      <c r="CE306" s="6" cm="1">
        <f t="array" ref="CE306">IF(B306="","",IF(BH306&lt;&gt;"",IFERROR(_xlfn.XLOOKUP(BH306,Щиты[Щит],Щиты[cos φ]),0.95),IF(BP306=1,IFERROR(_xlfn.XLOOKUP(A306,Щиты[Щит],Щиты[cos φ]),0.95),IF(ISNUMBER(AD306),AD306,IFERROR(IF(CD306=2,_xlfn.IFS(BX306=3,VLOOKUP(BS306,Справочная_двигатели,8,FALSE),BX306=1,VLOOKUP(BS306,Справочная_двигатели,10,TRUE)),IF(AND(Методика="нормы 2026",FG306="Сил"),0.8,0.95)),0.95)))))</f>
        <v>0.95</v>
      </c>
      <c r="CF306">
        <f t="shared" si="572"/>
        <v>0</v>
      </c>
      <c r="CG306">
        <f t="shared" si="573"/>
        <v>1</v>
      </c>
      <c r="CH306">
        <f t="shared" si="574"/>
        <v>0</v>
      </c>
      <c r="CI306">
        <f>IF(B306="","",IF(BV306=1,IFERROR(BS306/((Uн_лин/SQRT(3))*MAX(0.5,N(CE306))),0),N(O306)))</f>
        <v>0.27348170645824377</v>
      </c>
      <c r="CJ306">
        <f t="shared" si="575"/>
        <v>0</v>
      </c>
      <c r="CK306">
        <f t="shared" si="576"/>
        <v>0</v>
      </c>
      <c r="CL306">
        <f t="shared" si="577"/>
        <v>0</v>
      </c>
      <c r="CM306">
        <f t="shared" si="578"/>
        <v>0</v>
      </c>
      <c r="CN306">
        <f t="shared" si="579"/>
        <v>0</v>
      </c>
      <c r="CO306">
        <f>IF(BC306="",0,_xlfn.LET(_xlpm.v,IFERROR(_xlfn.XLOOKUP(B306,Коды_код,Коды_мА),IFERROR(_xlfn.XLOOKUP(BC306,Коды_код,Коды_мА),IFERROR(_xlfn.XLOOKUP(LEFT(BC306,2),Коды_код,Коды_мА),""))),IF(_xlpm.v="да",30,IF(ISNUMBER(_xlpm.v),_xlpm.v,0))))</f>
        <v>30</v>
      </c>
      <c r="CP306">
        <f t="shared" si="580"/>
        <v>30</v>
      </c>
      <c r="CQ306" t="str">
        <f>_xlfn.LET(_xlpm.k,IFERROR(_xlfn.XLOOKUP(BC306,Коды_код,Коды_утечка)&amp;"",""),IF(_xlpm.k="","дифавтомат",_xlpm.k))</f>
        <v>дифавтомат</v>
      </c>
      <c r="CR306" t="str" cm="1">
        <f t="array" ref="CR306">IF(CG306=0,"",_xlfn.LET(_xlpm.sg,TRIM(_xlfn.TEXTSPLIT(DD306&amp;"",";")),_xlpm.f_,_xlfn._xlws.FILTER(_xlpm.sg,LEFT(_xlpm.sg,3)="УЗО",""),IFERROR(INDEX(_xlpm.f_,1)&amp;"","")))</f>
        <v/>
      </c>
      <c r="CS306" t="str">
        <f t="shared" si="581"/>
        <v/>
      </c>
      <c r="CT306" s="6" t="str" cm="1">
        <f t="array" ref="CT306">IF(CR306="","",_xlfn.LET(_xlpm.tk,_xlfn.TEXTSPLIT(UPPER(CR306)," ",,TRUE),_xlpm.a_,_xlfn._xlws.FILTER(_xlpm.tk,ISNUMBER(--LEFT(_xlpm.tk,1))*((ISNUMBER(SEARCH("А",_xlpm.tk))+ISNUMBER(SEARCH("A",_xlpm.tk)))&gt;0)*NOT(ISNUMBER(SEARCH("МА",_xlpm.tk)))*NOT(ISNUMBER(SEARCH("MA",_xlpm.tk))),""),IFERROR(--SUBSTITUTE(SUBSTITUTE(INDEX(_xlpm.a_,1),"А",""),"A",""),"")))</f>
        <v/>
      </c>
      <c r="CU306" t="str" cm="1">
        <f t="array" ref="CU306">IF(CR306="","",_xlfn.LET(_xlpm.tk,_xlfn.TEXTSPLIT(UPPER(CR306)," ",,TRUE),_xlpm.a_,_xlfn._xlws.FILTER(_xlpm.tk,ISNUMBER(--LEFT(_xlpm.tk,1))*((ISNUMBER(SEARCH("МА",_xlpm.tk))+ISNUMBER(SEARCH("MA",_xlpm.tk)))&gt;0),""),IFERROR(--SUBSTITUTE(SUBSTITUTE(INDEX(_xlpm.a_,1),"МА",""),"MA",""),30)))</f>
        <v/>
      </c>
      <c r="CV306" t="str">
        <f>IF(CS306="","",IFERROR(_xlfn.XLOOKUP(CS306,Линии[_n],Линии[_УЗО, мА]),30))</f>
        <v/>
      </c>
      <c r="CW306">
        <f>IF(CS306="",0,IF(ISNUMBER(SEARCH("4P",IFERROR(_xlfn.XLOOKUP(CS306,Линии[_n],Линии[_УЗО строки])&amp;"",""))),0,1))</f>
        <v>0</v>
      </c>
      <c r="CX306" t="str">
        <f>IF(AND(CS306&lt;&gt;"",CS306=BA306),SUMIFS(Линии[_ток на 230 В],Линии[_блок УЗО],BA306,Линии[Щит],A306),"")</f>
        <v/>
      </c>
      <c r="CY306" t="str">
        <f>IF(AND(CS306&lt;&gt;"",CS306=BA306),SUMIFS(Линии[_ток утечки линии, мА],Линии[_блок УЗО],BA306,Линии[Щит],A306),"")</f>
        <v/>
      </c>
      <c r="CZ306">
        <f t="shared" si="582"/>
        <v>30</v>
      </c>
      <c r="DA306">
        <f t="shared" si="583"/>
        <v>30</v>
      </c>
      <c r="DB306">
        <f>IF(B306="",0,IFERROR(--_xlfn.XLOOKUP(B306,Коды_код,Коды_минавт),IFERROR(--_xlfn.XLOOKUP(BC306,Коды_код,Коды_минавт),IFERROR(--_xlfn.XLOOKUP(LEFT(BC306,2),Коды_код,Коды_минавт),0))))</f>
        <v>16</v>
      </c>
      <c r="DC306" t="str">
        <f>IF(B306="","",IFERROR(_xlfn.XLOOKUP(BC306,Коды_код,Коды_апп)&amp;"",""))</f>
        <v/>
      </c>
      <c r="DD306" t="str">
        <f t="shared" si="584"/>
        <v/>
      </c>
      <c r="DE306" t="str" cm="1">
        <f t="array" ref="DE306">IF(TRIM(DD306&amp;"")="","",IFERROR(TRIM(INDEX(_xlfn.TEXTSPLIT(DD306&amp;";;;",";"),1)),""))</f>
        <v/>
      </c>
      <c r="DF306" t="str" cm="1">
        <f t="array" ref="DF306">IF(TRIM(DD306&amp;"")="","",IFERROR(TRIM(INDEX(_xlfn.TEXTSPLIT(DD306&amp;";;;",";"),2)),""))</f>
        <v/>
      </c>
      <c r="DG306" t="str" cm="1">
        <f t="array" ref="DG306">IF(TRIM(DD306&amp;"")="","",IFERROR(TRIM(INDEX(_xlfn.TEXTSPLIT(DD306&amp;";;;",";"),3)),""))</f>
        <v/>
      </c>
      <c r="DH306">
        <f t="shared" si="585"/>
        <v>0</v>
      </c>
      <c r="DI306" t="str">
        <f>IF(B306="","",_xlfn.LET(_xlpm.t,LOWER(AZ306&amp;""),IF(ISNUMBER(SEARCH("dim",_xlpm.t)),"DIM",IF(ISNUMBER(SEARCH("dali",_xlpm.t)),"DALI",IF(OR(ISNUMBER(SEARCH("relay",_xlpm.t)),ISNUMBER(SEARCH("реле",_xlpm.t))),"Relay",IF(ISNUMBER(SEARCH("кнопк",_xlpm.t)),"",IFERROR(_xlfn.XLOOKUP(BC306,Коды_код,Коды_упр)&amp;"","")))))))</f>
        <v/>
      </c>
      <c r="DJ306" t="str">
        <f t="shared" si="586"/>
        <v/>
      </c>
      <c r="DK306">
        <f>IF(B306="","",_xlfn.LET(_xlpm.ig,IF(N(CX306)&gt;0,N(CX306),N(CI306)+IF(AJ306="вручную",0,N(CJ306))),_xlpm.n0,IFERROR(VLOOKUP(_xlpm.ig,Автомат_номиналы,2,TRUE),0),_xlpm.mn,MAX(DB306,IF(AJ306="вручную",0,N(CM306))),MAX(_xlpm.n0,_xlpm.mn,IF(DH306=1,Мин_автомат_БП,0))))</f>
        <v>16</v>
      </c>
      <c r="DL306">
        <f t="shared" si="587"/>
        <v>1</v>
      </c>
      <c r="DM306" t="str">
        <f t="shared" si="588"/>
        <v>2P</v>
      </c>
      <c r="DN306" t="str">
        <f>_xlfn.LET(_xlpm.cc,UPPER(TRIM(IFERROR(_xlfn.XLOOKUP(BC306,Коды_код,Коды_хар)&amp;"",""))),IF(OR(_xlpm.cc="B",_xlpm.cc="В"),"B",IF(_xlpm.cc="D","D","С")))</f>
        <v>С</v>
      </c>
      <c r="DO306" t="str">
        <f t="shared" si="589"/>
        <v>2P С16А 30мА</v>
      </c>
      <c r="DP306">
        <f t="shared" si="590"/>
        <v>16</v>
      </c>
      <c r="DQ306" t="str">
        <f t="shared" si="591"/>
        <v>2P С16А 30мА</v>
      </c>
      <c r="DR306" cm="1">
        <f t="array" ref="DR306">IF(DQ306="","",_xlfn.LET(_xlpm.t,SUBSTITUTE(SUBSTITUTE(SUBSTITUTE(UPPER(DQ306),"С","C"),"А","A"),"В","B"),_xlpm.tk,_xlfn.TEXTSPLIT(_xlpm.t," "),_xlpm.f,_xlfn._xlws.FILTER(_xlpm.tk,ISNUMBER(--MID(_xlpm.tk,2,1))*ISNUMBER(SEARCH(LEFT(_xlpm.tk,1)&amp;"#","B#C#D#"))*(LEN(_xlpm.tk)&gt;1),""),_xlpm.x,INDEX(_xlpm.f,1),IFERROR(--SUBSTITUTE(MID(_xlpm.x,2,9),"A",""),IFERROR(--SUBSTITUTE(INDEX(_xlfn._xlws.FILTER(_xlpm.tk,ISNUMBER(--SUBSTITUTE(_xlpm.tk,"A","")),""),1),"A",""),""))))</f>
        <v>16</v>
      </c>
      <c r="DS306" t="str">
        <f t="shared" si="592"/>
        <v>ok</v>
      </c>
      <c r="DT306">
        <f t="shared" si="593"/>
        <v>16</v>
      </c>
      <c r="DU306" t="str">
        <f t="shared" si="594"/>
        <v>2P С16А 30мА</v>
      </c>
      <c r="DV306">
        <f t="shared" si="595"/>
        <v>30</v>
      </c>
      <c r="DW306">
        <f t="shared" si="596"/>
        <v>1</v>
      </c>
      <c r="DX306">
        <f t="shared" si="597"/>
        <v>0</v>
      </c>
      <c r="DY306">
        <f t="shared" si="598"/>
        <v>0.27348170645824377</v>
      </c>
      <c r="DZ306">
        <f t="shared" si="599"/>
        <v>1</v>
      </c>
      <c r="EA306">
        <f>IF(ISNUMBER(AP306),AP306,К_прокл)</f>
        <v>1</v>
      </c>
      <c r="EB306">
        <f t="shared" si="600"/>
        <v>2</v>
      </c>
      <c r="EC306">
        <f>IFERROR(N(VLOOKUP(BZ306,Кабель_обозначение,3,FALSE)),1)</f>
        <v>1</v>
      </c>
      <c r="ED306">
        <f>IFERROR(N(_xlfn.XLOOKUP(A306,Щиты[Щит],Щиты[ΔU до шин, %])),0)</f>
        <v>1.79</v>
      </c>
      <c r="EE306" t="str">
        <f>IFERROR(_xlfn.XLOOKUP(A306,Щиты[Щит],Щиты[Zпетли на шинах, Ом]),"")</f>
        <v/>
      </c>
      <c r="EF306">
        <f>IFERROR(N(_xlfn.XLOOKUP(A306,Щиты[Щит],Щиты[ΔU до шин (подбор), %])),0)</f>
        <v>4.75</v>
      </c>
      <c r="EG306" t="str">
        <f>IFERROR(_xlfn.XLOOKUP(A306,Щиты[Щит],Щиты[Zпетли на шинах (подбор), Ом]),"")</f>
        <v/>
      </c>
      <c r="EH306" t="str">
        <f t="shared" si="601"/>
        <v/>
      </c>
      <c r="EI306">
        <f t="shared" si="602"/>
        <v>32</v>
      </c>
      <c r="EJ306">
        <f t="shared" si="603"/>
        <v>2</v>
      </c>
      <c r="EK306">
        <f t="shared" si="604"/>
        <v>0.31</v>
      </c>
      <c r="EL306" s="6">
        <f>IF(B306="","",IF(BV306=1,dU_LED,IF(IFERROR(_xlfn.XLOOKUP(BC306,Коды_код,Коды_уго),"")="Светильник",3,4)+IF(Методика="нормы 2026",MIN(0.5,MAX(0,N(P306)-100)*0.005),0)))</f>
        <v>4</v>
      </c>
      <c r="EM306" t="str" cm="1">
        <f t="array" ref="EM306">IF(OR(B306="",BZ306="",EC306&lt;&gt;1),"",_xlfn.LET(_xlpm.sz,Iдоп_S,_xlpm.t_,CHOOSE(EB306,Iдоп_1ж,Iдоп_2ж,Iдоп_3ж)*DZ306*EA306,_xlpm.dcx,BV306=1,_xlpm.inn,IF(_xlpm.dcx,N(O306),N(DT306)),_xlpm.smin,MAX(1.5,CC306),_xlpm.L_,N(P306)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306)/N(BU306)*100,999),IFERROR(N(EJ306)*(_xlpm.rho*_xlpm.L_/_xlpm.sz*N(CE306)+_xlpm.xx*_xlpm.L_*N(EK306)/1000)*N(O306)/((Uн_лин/SQRT(3))*1000)*100,999)),_xlpm.kz,IF(OR(_xlpm.dcx,DW306=1,NOT(ISNUMBER(EG306)),_xlpm.L_=0,_xlpm.inn=0),1,IFERROR(--(c_min*(Uн_лин*1000/SQRT(3))/(EG306+2*ρкз_Cu*_xlpm.L_/_xlpm.sz)&gt;=HT306*_xlpm.inn),0)),_xlpm.ok,IFERROR((_xlpm.sz&gt;=_xlpm.smin)*(_xlpm.t_&gt;=_xlpm.inn)*IF(_xlpm.L_&gt;0,(_xlpm.du_+IF(_xlpm.dcx,0,EF306)&lt;=EL306+0.00001),1)*_xlpm.kz,0),_xlpm.r_,_xlfn._xlws.FILTER(_xlpm.sz,_xlpm.ok,"не подобрано"),INDEX(_xlpm.r_,1)))</f>
        <v>не подобрано</v>
      </c>
      <c r="EN306">
        <f t="shared" si="605"/>
        <v>2.5</v>
      </c>
      <c r="EO306" cm="1">
        <f t="array" ref="EO306">IF(OR(B306="",BZ306="",EC306&lt;&gt;1),"",_xlfn.LET(_xlpm.sz,Iдоп_S,_xlpm.t_,CHOOSE(EB306,Iдоп_1ж,Iдоп_2ж,Iдоп_3ж)*DZ306*EA306,_xlpm.ok,IFERROR((_xlpm.sz&gt;=MAX(1.5,CC306))*(_xlpm.t_&gt;=N(DT306)),0),_xlpm.r_,_xlfn._xlws.FILTER(_xlpm.sz,_xlpm.ok,""),INDEX(_xlpm.r_,1)))</f>
        <v>1.5</v>
      </c>
      <c r="EP306" s="6" cm="1">
        <f t="array" ref="EP306">IFERROR(ROUNDUP(N(EJ306)*(_xlfn.XLOOKUP(EO306,INDEX(Кабель_сопротивление,0,1),INDEX(Кабель_сопротивление,0,3))*N(P306)/EO306*N(CE306)+_xlfn.XLOOKUP(EO306,INDEX(Кабель_сопротивление,0,1),INDEX(Кабель_сопротивление,0,2))*N(P306)*N(EK306)/1000)*N(O306)/((Uн_лин/SQRT(3))*1000)*100,2),"")</f>
        <v>0.12</v>
      </c>
      <c r="EQ306">
        <f>IFERROR(2*ρкз_Cu*N(P306)/EO306,"")</f>
        <v>1.2273333333333334</v>
      </c>
      <c r="ER306">
        <f>IFERROR(VLOOKUP(EN306,Кабель_сопротивление,3,FALSE),"")</f>
        <v>2.2499999999999999E-2</v>
      </c>
      <c r="ES306">
        <f>IFERROR(VLOOKUP(EN306,Кабель_сопротивление,2,FALSE),"")</f>
        <v>0.1</v>
      </c>
      <c r="ET306">
        <f t="shared" si="606"/>
        <v>17</v>
      </c>
      <c r="EU306">
        <f t="shared" si="607"/>
        <v>31</v>
      </c>
      <c r="EV306">
        <f t="shared" si="608"/>
        <v>0.16427225661827327</v>
      </c>
      <c r="EW306" s="6">
        <f>IFERROR(ROUNDUP(EV306/IF(BV306=1,BU306,(Uн_лин/SQRT(3))*1000)*100,2),"")</f>
        <v>0.08</v>
      </c>
      <c r="EX306" t="str">
        <f>IFERROR(VLOOKUP(BZ306,Кабель_обозначение,2,FALSE),"")</f>
        <v>ВВГнг(А)-LS</v>
      </c>
      <c r="EY306" t="str">
        <f t="shared" si="609"/>
        <v>ВВГнг(А)-LS (3х2,5)</v>
      </c>
      <c r="EZ306" t="str">
        <f t="shared" si="610"/>
        <v>ВВГнг(А)-LS (3х2,5)
L=35-0,08%</v>
      </c>
      <c r="FA306">
        <f>IFERROR(2*ρкз_Cu*P306/EN306,"")</f>
        <v>0.73639999999999994</v>
      </c>
      <c r="FB306">
        <f t="shared" si="611"/>
        <v>0.24500000000000002</v>
      </c>
      <c r="FC306" s="6" t="str">
        <f>IFERROR(IF(OR(B306="",BV306=1,NOT(ISNUMBER(EN306)),N(P306)=0),"",_xlfn.XLOOKUP(A306,Щиты[Щит],Щиты[Zпетли на шинах, Ом])+FA306),"")</f>
        <v/>
      </c>
      <c r="FD306" s="6" t="str">
        <f>IF(ISNUMBER(FC306),c_min*(Uн_лин*1000/SQRT(3))/FC306,"")</f>
        <v/>
      </c>
      <c r="FE306" s="6" t="str">
        <f>IFERROR(IF(OR(B306="",NOT(ISNUMBER(EN306))),"",1.05*(Uн_лин*1000/SQRT(3))/(_xlfn.XLOOKUP(A306,Щиты[Щит],Щиты[Zmax на шинах, Ом])+FB306)/1000),"")</f>
        <v/>
      </c>
      <c r="FF306" s="6" t="str">
        <f>IF(B306="","",IF(ISNUMBER(AC306),"Сил",IF(IFERROR(_xlfn.XLOOKUP(BC306,Коды_код,Коды_группа)&amp;"","")="","Быт",_xlfn.XLOOKUP(BC306,Коды_код,Коды_группа)&amp;"")))</f>
        <v>Быт</v>
      </c>
      <c r="FG306" s="6" t="str">
        <f t="shared" si="612"/>
        <v>Быт</v>
      </c>
      <c r="FH306" s="6">
        <f>IF(FG306="Щит","щит",IF(FG306="","",IF(FG306="Быт",IFERROR(_xlfn.XLOOKUP(A306,Щиты[Щит],Щиты[Кс быт]),1),IF(FG306="Сил",IF(ISNUMBER(AC306),AC306,IF(Методика="нормы 2026",IFERROR(_xlfn.XLOOKUP(A306,Щиты[Щит],Щиты[Кс силовых (табл. 7.5)]),1),1)),IF(OR(FG306="Пост",FG306="Отоп"),1,IF(FG306="ВНГ",0.7,0))))))</f>
        <v>0.8</v>
      </c>
      <c r="FI306">
        <f>IF(FG306="","",IF(AND(BP306=1,TRIM(AE306&amp;"")=""),IF(COUNTIFS(Линии[Щит],A306,Линии[Секция (1/2/3)],"&gt;=2")&gt;0,MIN(3,MAX(1,IFERROR(--BD306,1))),1),IFERROR(MIN(3,MAX(1,INT(--AE306))),1)))</f>
        <v>1</v>
      </c>
      <c r="FJ306">
        <f t="shared" si="613"/>
        <v>0.06</v>
      </c>
      <c r="FK306">
        <f t="shared" si="614"/>
        <v>0.06</v>
      </c>
      <c r="FL306">
        <f t="shared" si="615"/>
        <v>0</v>
      </c>
      <c r="FM306">
        <f t="shared" si="616"/>
        <v>0</v>
      </c>
      <c r="FN306">
        <f t="shared" si="617"/>
        <v>0</v>
      </c>
      <c r="FO306">
        <f t="shared" si="618"/>
        <v>0</v>
      </c>
      <c r="FP306">
        <f t="shared" si="619"/>
        <v>0.06</v>
      </c>
      <c r="FQ306">
        <f t="shared" si="620"/>
        <v>0.06</v>
      </c>
      <c r="FR306">
        <f t="shared" si="621"/>
        <v>5.6999999999999995E-2</v>
      </c>
      <c r="FS306">
        <f>IF(CG306=1,IF(AND(CH306=1,CW306=1),0,IF(AND(CS306&lt;&gt;"",CS306=BA306,CW306=1),SUMIFS(Линии[_Р линии, кВт],Линии[_блок УЗО],BA306,Линии[Щит],A306),N(BS306)+IF(AJ306="вручную",0,N(CK306)))),0)</f>
        <v>0.06</v>
      </c>
      <c r="FT306" t="str">
        <f t="shared" si="622"/>
        <v>L3</v>
      </c>
      <c r="FU306" t="str">
        <f>IF(B306="","",IF(CG306=0,IF(BA306=1,"",FW305),IF(AND(CH306=1,CW306=1,CS306&lt;&gt;""),IFERROR(_xlfn.XLOOKUP(CS306,Линии[_n],Линии[_фаза итог]),"L1"),IF(OR(N(DL306)&gt;=3,N(BX306)&gt;=3),"L1,L2,L3",IFERROR(_xlfn.TEXTBEFORE(_xlfn.TEXTAFTER(_xlfn.XLOOKUP(A306,Щиты[Щит],Щиты[_фазы авто]),";"&amp;BA306&amp;":"),";"),"L1")))))</f>
        <v>L1</v>
      </c>
      <c r="FV306" t="str">
        <f t="shared" si="623"/>
        <v>L3</v>
      </c>
      <c r="FW306" t="str">
        <f t="shared" si="624"/>
        <v>L3</v>
      </c>
      <c r="FX306" cm="1">
        <f t="array" ref="FX306">IFERROR(IF(CD306=2,_xlfn.IFS(BX306=3,VLOOKUP(BS306,Справочная_двигатели,3,FALSE),BX306=1,VLOOKUP(BS306,Справочная_двигатели,5,TRUE)),0),0)</f>
        <v>0</v>
      </c>
      <c r="FY306">
        <f>IFERROR(IF(CD306=3,VLOOKUP(BS306,Справочная_ЛЭД,2,TRUE),0),0)</f>
        <v>0</v>
      </c>
      <c r="FZ306" s="6">
        <f t="shared" si="625"/>
        <v>0</v>
      </c>
      <c r="GA306" t="str">
        <f>IF(B306="","",IF(TRIM(AH306&amp;"")&lt;&gt;"",IF(LOWER(TRIM(AH306&amp;""))="да","да","нет"),IF(IFERROR(_xlfn.XLOOKUP(BC306,Коды_код,Коды_пожарная),"")="да","да","нет")))</f>
        <v>нет</v>
      </c>
      <c r="GB306" t="str">
        <f t="shared" si="626"/>
        <v/>
      </c>
      <c r="GC306" t="str">
        <f t="shared" si="627"/>
        <v>основная</v>
      </c>
      <c r="GD306">
        <f>IF(AND(BP306=1,TRIM(AE306&amp;"")=""),IF(COUNTIFS(Линии[Щит],A306,Линии[Секция (1/2/3)],"&gt;=2")&gt;0,MIN(3,MAX(1,IFERROR(--BD306,1))),1),IFERROR(MIN(3,MAX(1,INT(--AE306))),1))</f>
        <v>1</v>
      </c>
      <c r="GE306" t="str" cm="1">
        <f t="array" ref="GE306">IF(B306="","",_xlfn.LET(_xlpm.t,IFERROR(_xlfn.XLOOKUP(1,(Шины[Шина]=GC306)*(((Шины[Щит]=A306)+(Шины[Щит]=""))&gt;0),Шины[Тип]),"")&amp;"",IF(_xlpm.t&lt;&gt;"",_xlpm.t,IF(ISNUMBER(SEARCH("ИБП",GC306)),"ИБП",IF(ISNUMBER(SEARCH("ДГУ",GC306)),"ДГУ","Ввод "&amp;GD306)))))</f>
        <v>Ввод 1</v>
      </c>
      <c r="GF306" t="str">
        <f t="shared" si="628"/>
        <v>Ввод 1</v>
      </c>
      <c r="GG306" t="str">
        <f>IF(BP306=0,"",IF(TRIM(AG306&amp;"")&lt;&gt;"",TRIM(AG306&amp;""),IF(OR(GE306="ИБП",GE306="ДГУ"),"I особая",_xlfn.XLOOKUP(A306,Щиты[Щит],Щиты[Категория шины «Ввод»],"III"))))</f>
        <v/>
      </c>
      <c r="GH306" t="str">
        <f>IF(A306="","",_xlfn.XLOOKUP(A306,Щиты[Щит],Щиты[Путь],""))</f>
        <v>|ГРЩ-ЖД|ЩР-2|</v>
      </c>
      <c r="GI306" t="str">
        <f>IF(B306="","",IF(AI306&lt;&gt;"",AI306,IF(IFERROR(_xlfn.XLOOKUP(BC306,Коды_код,Коды_вид)&amp;"","")="","Прочее",_xlfn.XLOOKUP(BC306,Коды_код,Коды_вид)&amp;"")))</f>
        <v>Розеточная сеть и бытовые приборы</v>
      </c>
      <c r="GJ306">
        <f>IF(BM306="","",INT((BM306-1)/Столбцов_на_лист)+1)</f>
        <v>2</v>
      </c>
      <c r="GK306" t="str">
        <f t="shared" si="629"/>
        <v>ВВГнг(А)-LS (3х2,5) L=35-0,08%</v>
      </c>
      <c r="GL306">
        <f t="shared" si="630"/>
        <v>0.06</v>
      </c>
      <c r="GM306">
        <f t="shared" si="631"/>
        <v>0.28000000000000003</v>
      </c>
      <c r="GN306">
        <f t="shared" si="632"/>
        <v>1</v>
      </c>
      <c r="GO306">
        <f t="shared" si="633"/>
        <v>0</v>
      </c>
      <c r="GP306">
        <f t="shared" si="634"/>
        <v>1</v>
      </c>
      <c r="GQ306">
        <f>IF(BM306="","",IF(AND(CG306=1,GP306=1),COUNTIFS(A$3:A306,A306,CG$3:CG306,1,GP$3:GP306,1),IF(OR(OR(BA306=1,A306&lt;&gt;A305),AJ306="вручную",GP306=0),"",IF(BA306=1,"",GR305))))</f>
        <v>23</v>
      </c>
      <c r="GR306">
        <f t="shared" si="635"/>
        <v>23</v>
      </c>
      <c r="GS306">
        <f>IF(B306="","",IFERROR(LOOKUP(INDEX(CHOOSE(EB306,Iдоп_1ж,Iдоп_2ж,Iдоп_3ж),MATCH(EN306,Iдоп_S,0))*DZ306*EA306,{6,10,16,20,25,32,40,50,63,80,100,125,160,200,250,315,400,500,630}),""))</f>
        <v>25</v>
      </c>
      <c r="GT306" t="str">
        <f t="shared" si="636"/>
        <v>QFD23</v>
      </c>
      <c r="GU306" t="str">
        <f t="shared" si="637"/>
        <v>QFD23</v>
      </c>
      <c r="GV306" t="str">
        <f t="shared" si="638"/>
        <v/>
      </c>
      <c r="GW306">
        <f t="shared" si="639"/>
        <v>0</v>
      </c>
      <c r="GX306" t="str">
        <f>IF(OR(B306="",DJ306=""),"",IFERROR(_xlfn.XLOOKUP(DJ306,Модули_умолч[Управление],Модули_умолч[Модель])&amp;"",""))</f>
        <v/>
      </c>
      <c r="GY306">
        <f>IF(DJ306="",1,IFERROR(MAX(0,N(_xlfn.XLOOKUP(DJ306,Модули_умолч[Управление],Модули_умолч[Каналов на линию]))),1))</f>
        <v>1</v>
      </c>
      <c r="GZ306" t="str">
        <f t="shared" si="640"/>
        <v/>
      </c>
      <c r="HA306" t="str">
        <f t="shared" si="641"/>
        <v/>
      </c>
      <c r="HB306" t="str">
        <f t="shared" si="642"/>
        <v/>
      </c>
      <c r="HC306">
        <f>IF(HB306="",0,IFERROR(N(VLOOKUP(HB306,Модули_спр,3,FALSE)),0))</f>
        <v>0</v>
      </c>
      <c r="HD306" t="str">
        <f t="shared" si="643"/>
        <v/>
      </c>
      <c r="HE306" t="str">
        <f t="shared" si="644"/>
        <v/>
      </c>
      <c r="HF306" t="str">
        <f>IF(OR(HE306="",HE306="-"),"",IFERROR(VLOOKUP(HE306,Модули_спр,2,FALSE),"R"))</f>
        <v/>
      </c>
      <c r="HG306" t="str">
        <f>IF(HF306="","",HF306&amp;"."&amp;COUNTIFS(A$3:A306,A306,HF$3:HF306,HF306))</f>
        <v/>
      </c>
      <c r="HH306" t="str">
        <f t="shared" si="645"/>
        <v/>
      </c>
      <c r="HI306" t="str">
        <f t="shared" si="646"/>
        <v/>
      </c>
      <c r="HJ306" t="str">
        <f t="shared" si="647"/>
        <v/>
      </c>
      <c r="HK306" t="str">
        <f t="shared" si="648"/>
        <v/>
      </c>
      <c r="HL306">
        <f t="shared" si="649"/>
        <v>1</v>
      </c>
      <c r="HM306" t="str">
        <f>IF(HL306=1,"XT"&amp;COUNTIFS(A$3:A306,A306,HL$3:HL306,1),"")</f>
        <v>XT23</v>
      </c>
      <c r="HN306" t="str">
        <f t="shared" si="650"/>
        <v/>
      </c>
      <c r="HO306" t="str">
        <f t="shared" si="651"/>
        <v>QFD23</v>
      </c>
      <c r="HP306" t="str">
        <f t="shared" si="652"/>
        <v/>
      </c>
      <c r="HQ306" t="str">
        <f t="shared" si="653"/>
        <v>ok</v>
      </c>
      <c r="HR306" t="str">
        <f>IF(OR(HJ306="",HH306=""),"",IF(HJ306+MAX(0,GY306-1)&gt;IFERROR(VLOOKUP(HI306,Модули_спр,3,FALSE),99),"ЛИШНИЙ КАНАЛ",IF(AND(AL306&lt;&gt;"=",GY306&gt;0,COUNTIFS(Линии[_модуль гр.],HH306,Линии[Канал (итог)],HJ306,Линии[Канал],"&lt;&gt;=",Линии[Щит],A306)&gt;1),"ДУБЛЬ КАНАЛА","")))</f>
        <v/>
      </c>
      <c r="HS306" s="6" t="str">
        <f t="shared" si="654"/>
        <v/>
      </c>
      <c r="HT306">
        <f t="shared" si="655"/>
        <v>10</v>
      </c>
      <c r="HU306" t="str">
        <f t="shared" si="656"/>
        <v/>
      </c>
      <c r="HV306">
        <f t="shared" si="657"/>
        <v>0.45939268258329757</v>
      </c>
      <c r="HW306">
        <f t="shared" si="658"/>
        <v>0</v>
      </c>
      <c r="HX306">
        <f t="shared" si="659"/>
        <v>0</v>
      </c>
      <c r="HY306">
        <f t="shared" si="660"/>
        <v>0</v>
      </c>
      <c r="HZ306">
        <f t="shared" si="661"/>
        <v>0</v>
      </c>
      <c r="IA306">
        <f t="shared" si="662"/>
        <v>0</v>
      </c>
      <c r="IB306">
        <f t="shared" si="663"/>
        <v>0</v>
      </c>
      <c r="IC306" t="str">
        <f t="shared" si="664"/>
        <v/>
      </c>
      <c r="ID306" t="str" cm="1">
        <f t="array" ref="ID306">IF(IC306="","",_xlfn.LET(_xlpm.tk,_xlfn.TEXTSPLIT(SUBSTITUTE(SUBSTITUTE(IC306,";"," "),"→"," ")," ",,TRUE),_xlpm.w_,_xlfn._xlws.FILTER(_xlpm.tk,ISNUMBER(--LEFT(_xlpm.tk,1))*((ISNUMBER(SEARCH("W",_xlpm.tk))+ISNUMBER(SEARCH("Вт",_xlpm.tk)))&gt;0),""),IFERROR(--SUBSTITUTE(SUBSTITUTE(UPPER(INDEX(_xlpm.w_,1)),"W",""),"ВТ",""),"")))</f>
        <v/>
      </c>
      <c r="IE306" t="str" cm="1">
        <f t="array" ref="IE306">IF(IC306="","",_xlfn.LET(_xlpm.tk,_xlfn.TEXTSPLIT(SUBSTITUTE(SUBSTITUTE(IC306,";"," "),"→"," ")," ",,TRUE),_xlpm.v_,_xlfn._xlws.FILTER(_xlpm.tk,ISNUMBER(--LEFT(_xlpm.tk,1))*((ISNUMBER(SEARCH("V",_xlpm.tk))+(RIGHT(UPPER(_xlpm.tk))="В"))&gt;0),""),IFERROR(--SUBSTITUTE(SUBSTITUTE(UPPER(INDEX(_xlpm.v_,1)),"V",""),"В",""),"")))</f>
        <v/>
      </c>
      <c r="IF306" s="6" t="str">
        <f>IF(OR(BV306=0,HI306="",HJ306=""),"",IFERROR(N(_xlfn.XLOOKUP(HI306,Каталог!$C$4:$C$500,Каталог!$Q$4:$Q$500)),""))</f>
        <v/>
      </c>
      <c r="IG306" s="6" t="str">
        <f>IF(N(IF306)=0,"",SUMIFS(Линии[Iр, А],Линии[Щит],A306,Линии[_модуль гр.],HH306,Линии[Канал (итог)],HJ306))</f>
        <v/>
      </c>
      <c r="IH306" t="str">
        <f>IF(AND(B306="",HO306=""),"",_xlfn.TEXTJOIN("; ",TRUE,IF(AND(B306&lt;&gt;"",FV306=""),"нет фазы",""),IF(AND(B306&lt;&gt;"",N(GL306)=0,FG306&lt;&gt;"Нет"),"нет мощности",""),IF(AND(HN306&lt;&gt;"",COUNTIFS(Линии[Щит],A306,Линии[Клемма (итог)],HN306)&gt;1),"дубль клеммы "&amp;HN306,""),IF(AND(HQ306&lt;&gt;"",HQ306&lt;&gt;"ok"),HQ306,""),IF(HR306&lt;&gt;"",HR306,""),IF(AND(N(CB306)&gt;=4,N(BX306)=1),CB306&amp;" жил на 1 фазе",""),IF(AND(BC306="R",CG306=1,IF(CS306&lt;&gt;"",N(CV306)&gt;30,OR(N(DA306)=0,N(DA306)&gt;30))),"розетка без дифзащиты до 30 мА",""),IF(AND(CG306=1,N(DA306)&gt;0,ISNUMBER(T306)),IF(T306&gt;N(DA306)/3,"ток утечки "&amp;FIXED(T306,1)&amp;" мА &gt; 1/3 уставки ("&amp;DA306&amp;" мА)",""),""),IF(AND(CH306=1,CS306=""),"«узо»: нет строки с УЗО выше (УЗО 2P 40А 30мА в «Аппаратах»)",""),IF(AND(CS306&lt;&gt;"",CS306=BA306),IF(CT306="","впишите номинал УЗО (УЗО 2P 40А 30мА)",IF(N(CT306)&lt;N(DT306),"УЗО "&amp;CT306&amp;" А &lt; автомата "&amp;DT306&amp;" А перед ним",IF(N(CT306)&lt;N(CX306),"УЗО "&amp;CT306&amp;" А &lt; тока блока "&amp;FIXED(CX306,1)&amp;" А",""))),""),IF(AND(CS306&lt;&gt;"",CS306=BA306,ISNUMBER(CY306)),IF(CY306&gt;N(CV306)/3,"ток утечки блока УЗО "&amp;FIXED(CY306,1)&amp;" мА &gt; 1/3 уставки ("&amp;CV306&amp;" мА)",""),""),IF(AND(CG306=1,N(BV306)+N(IB306)&gt;0,IC306=""),"линии до 50 В без БП: впишите в «Аппараты» (БП 24V 480W)",""),IF(AND(CG306=1,ISNUMBER(ID306),ISNUMBER(U306)),IF(U306&gt;ID306,"БП "&amp;ID306&amp;" Вт &lt; нужно "&amp;U306&amp;" Вт (×"&amp;Запас_БП&amp;")",""),""),IF(AND(CG306=1,ISNUMBER(IE306),N(BV306)=1),IF(IE306&lt;&gt;N(BU306),"БП на "&amp;IE306&amp;" В, линия "&amp;BU306&amp;" В",""),""),IF(AND(N(IF306)&gt;0,N(IG306)&gt;N(IF306)),HH306&amp;" канал "&amp;HJ306&amp;": "&amp;FIXED(IG306,1)&amp;" А &gt; "&amp;IF306&amp;" А",""),IFERROR(IF(AND(ISNUMBER(Q306),Q306&gt;EL306),"потери "&amp;FIXED(Q306,1)&amp;" % &gt; "&amp;EL306&amp;" %",""),""),IFERROR(IF(LEFT(HU306,4)="мало","Iкз мало — отключение &gt; 0,4 с",""),""),IF(AND(B306&lt;&gt;"",BM306=""),"не на схеме",""),IF(AND(CG306=0,B306&lt;&gt;"",FV306&lt;&gt;"",IF(BA306=1,"",FW305)&lt;&gt;"",FV306&lt;&gt;IF(BA306=1,"",FW305)),"фаза не как у автомата группы ("&amp;IF(BA306=1,"",FW305)&amp;")","")))</f>
        <v/>
      </c>
      <c r="II306" s="6">
        <f>IF(OR(CG306=0,DQ306=""),"",_xlfn.LET(_xlpm.t,IFERROR(_xlfn.XLOOKUP(DQ306,Каталог!$U$4:$U$500,Каталог!$G$4:$G$500),""),_xlpm.k,SEARCH("кА",_xlpm.t),IFERROR(--TRIM(RIGHT(SUBSTITUTE(MID(_xlpm.t,MAX(1,_xlpm.k-4),_xlpm.k-MAX(1,_xlpm.k-4))," ",REPT(" ",9)),5)),"")))</f>
        <v>6</v>
      </c>
      <c r="IJ306" t="str">
        <f>IF(OR(II306="",CG306=0),"",IF(_xlfn.XLOOKUP(A306,Щиты[Щит],Щиты[Iкз max на шинах, кА],"")="","",IF(II306&lt;_xlfn.XLOOKUP(A306,Щиты[Щит],Щиты[Iкз max на шинах, кА]),"Icu "&amp;II306&amp;" кА &lt; Iкз max","ok")))</f>
        <v/>
      </c>
      <c r="IK306" t="str">
        <f t="shared" si="665"/>
        <v/>
      </c>
      <c r="IL306" t="str">
        <f t="shared" si="666"/>
        <v>QFD23</v>
      </c>
      <c r="IM306" t="str">
        <f t="shared" si="667"/>
        <v>QFD23|кабель ВВГнг(А)-LS (3х2,5) → Розеточная группа, пом. 009А</v>
      </c>
      <c r="IN306" t="str" cm="1">
        <f t="array" ref="IN306">IF(IM306="","",_xlfn.LET(_xlpm.nd,_xlfn.TEXTSPLIT(IM306,"|"),IF(COLUMNS(_xlpm.nd)&gt;1,A306&amp;"¦"&amp;INDEX(_xlpm.nd,1)&amp;"¦"&amp;INDEX(_xlpm.nd,2),"")))</f>
        <v>ЩР-2¦QFD23¦кабель ВВГнг(А)-LS (3х2,5) → Розеточная группа, пом. 009А</v>
      </c>
      <c r="IO306" t="str">
        <f t="shared" si="668"/>
        <v>R.2.009А.3¦Розеточная группа, пом. 009А</v>
      </c>
      <c r="IP306" t="str" cm="1">
        <f t="array" ref="IP306">IF(IM306="","",_xlfn.LET(_xlpm.nd,_xlfn.TEXTSPLIT(IM306,"|"),IF(COLUMNS(_xlpm.nd)&gt;2,A306&amp;"¦"&amp;INDEX(_xlpm.nd,2)&amp;"¦"&amp;INDEX(_xlpm.nd,3),"")))</f>
        <v/>
      </c>
      <c r="IQ306" t="str">
        <f t="shared" si="669"/>
        <v/>
      </c>
      <c r="IR306" t="str" cm="1">
        <f t="array" ref="IR306">IF(IM306="","",_xlfn.LET(_xlpm.nd,_xlfn.TEXTSPLIT(IM306,"|"),IF(COLUMNS(_xlpm.nd)&gt;3,A306&amp;"¦"&amp;INDEX(_xlpm.nd,3)&amp;"¦"&amp;INDEX(_xlpm.nd,4),"")))</f>
        <v/>
      </c>
      <c r="IS306" t="str">
        <f t="shared" si="670"/>
        <v/>
      </c>
      <c r="IT306" t="str" cm="1">
        <f t="array" ref="IT306">IF(IM306="","",_xlfn.LET(_xlpm.nd,_xlfn.TEXTSPLIT(IM306,"|"),IF(COLUMNS(_xlpm.nd)&gt;4,A306&amp;"¦"&amp;INDEX(_xlpm.nd,4)&amp;"¦"&amp;INDEX(_xlpm.nd,5),"")))</f>
        <v/>
      </c>
      <c r="IU306" t="str">
        <f t="shared" si="671"/>
        <v/>
      </c>
      <c r="IV306" t="str" cm="1">
        <f t="array" ref="IV306">IF(IM306="","",_xlfn.LET(_xlpm.nd,_xlfn.TEXTSPLIT(IM306,"|"),IF(COLUMNS(_xlpm.nd)&gt;5,A306&amp;"¦"&amp;INDEX(_xlpm.nd,5)&amp;"¦"&amp;INDEX(_xlpm.nd,6),"")))</f>
        <v/>
      </c>
      <c r="IW306" t="str">
        <f t="shared" si="672"/>
        <v/>
      </c>
      <c r="IX306" t="str" cm="1">
        <f t="array" ref="IX306">IF(IM306="","",_xlfn.LET(_xlpm.nd,_xlfn.TEXTSPLIT(IM306,"|"),IF(COLUMNS(_xlpm.nd)&gt;6,A306&amp;"¦"&amp;INDEX(_xlpm.nd,6)&amp;"¦"&amp;INDEX(_xlpm.nd,7),"")))</f>
        <v/>
      </c>
      <c r="IY306" t="str">
        <f t="shared" si="673"/>
        <v/>
      </c>
      <c r="IZ306" t="str">
        <f t="shared" si="674"/>
        <v/>
      </c>
      <c r="JA306" t="str">
        <f t="shared" si="675"/>
        <v>QFD23</v>
      </c>
      <c r="JB306">
        <f t="shared" si="676"/>
        <v>0</v>
      </c>
      <c r="JC306">
        <f t="shared" si="677"/>
        <v>1</v>
      </c>
      <c r="JD306" t="str">
        <f t="shared" si="678"/>
        <v/>
      </c>
      <c r="JE306" t="str">
        <f t="shared" si="679"/>
        <v/>
      </c>
      <c r="JF306" t="str">
        <f t="shared" si="680"/>
        <v/>
      </c>
      <c r="JG306" t="str">
        <f t="shared" si="681"/>
        <v/>
      </c>
      <c r="JH306" t="str">
        <f>IF(B306="","",IFERROR(_xlfn.XLOOKUP(B306,Коды_код,Коды_уго),IFERROR(_xlfn.XLOOKUP(BC306,Коды_код,Коды_уго),IFERROR(_xlfn.XLOOKUP(LEFT(BC306,2),Коды_код,Коды_уго),""))))</f>
        <v>Розетка</v>
      </c>
      <c r="JI306" t="str">
        <f>IF(B306="","",IF(OR(JH306="",JH306=0),"BOX",IFERROR(IF(VLOOKUP(JH306,УГО_блоки,3,FALSE)&amp;""&lt;&gt;"",VLOOKUP(JH306,УГО_блоки,3,FALSE),VLOOKUP(JH306,УГО_блоки,2,FALSE)),JH306)))</f>
        <v>SOCKET</v>
      </c>
      <c r="JJ306">
        <f t="shared" si="682"/>
        <v>1</v>
      </c>
      <c r="JK306" t="str">
        <f>IF(DQ306="","",IF(COUNTIF(DQ$3:DQ306,DQ306)=1,MAX(JK$2:JK305)+1,""))</f>
        <v/>
      </c>
      <c r="JL306" t="str">
        <f>IF(DE306="","",IF(COUNTIF(DE$3:DE306,DE306)+COUNTIF(DF$2:DF305,DE306)+COUNTIF(DG$2:DG305,DE306)=1,MAX(JL$2:JN305)+1,""))</f>
        <v/>
      </c>
      <c r="JM306" t="str">
        <f>IF(DF306="","",IF(COUNTIF(DE$3:DE306,DF306)+COUNTIF(DF$3:DF306,DF306)+COUNTIF(DG$2:DG305,DF306)=1,MAX(JL$2:JN305,JL306)+1,""))</f>
        <v/>
      </c>
      <c r="JN306" t="str">
        <f>IF(DG306="","",IF(COUNTIF(DE$3:DE306,DG306)+COUNTIF(DF$3:DF306,DG306)+COUNTIF(DG$3:DG306,DG306)=1,MAX(JL$2:JN305,JL306,JM306)+1,""))</f>
        <v/>
      </c>
      <c r="JO306" t="str">
        <f t="shared" si="683"/>
        <v>3х2,5</v>
      </c>
      <c r="JP306" t="str">
        <f>IF(JO306="","",IF(COUNTIF(JO$3:JO306,JO306)=1,MAX(JP$2:JP305)+1,""))</f>
        <v/>
      </c>
      <c r="JQ306" t="str">
        <f>IF(HG306="","",COUNTIF(HG$3:HG306,"?*"))</f>
        <v/>
      </c>
      <c r="JR306" t="str">
        <f>IF(OR(HG306="",HI306=""),"",IF(COUNTIFS(HG$3:HG306,"?*",HI$3:HI306,HI306)=1,MAX(JR$2:JR305)+1,""))</f>
        <v/>
      </c>
      <c r="JS306">
        <f t="shared" si="684"/>
        <v>0</v>
      </c>
      <c r="JT306">
        <f>IF(B306="","",COUNTIF(B$3:B306,"?*"))</f>
        <v>304</v>
      </c>
      <c r="JU306">
        <f>IF(HL306&lt;&gt;1,0,_xlfn.LET(_xlpm.k,MAX(IFERROR(--_xlfn.XLOOKUP(B306,Коды_код,Коды_3L),0),IFERROR(--_xlfn.XLOOKUP(BC306,Коды_код,Коды_3L),0),IFERROR(--_xlfn.XLOOKUP(LEFT(BC306,2),Коды_код,Коды_3L),0)),IF(_xlpm.k&gt;0,_xlpm.k,IF(IFERROR(--LEFT(SUBSTITUTE(JO306,"x","х"),FIND("х",SUBSTITUTE(JO306,"x","х"))-1),3)&gt;3,Каталог!$S$9,1))))</f>
        <v>1</v>
      </c>
      <c r="JV306">
        <f t="shared" si="685"/>
        <v>0</v>
      </c>
      <c r="JW306" t="str">
        <f t="shared" si="686"/>
        <v>авто</v>
      </c>
      <c r="JX306">
        <f t="shared" si="687"/>
        <v>30</v>
      </c>
      <c r="JY306">
        <f t="shared" si="688"/>
        <v>1</v>
      </c>
      <c r="JZ306">
        <f t="shared" si="689"/>
        <v>1</v>
      </c>
    </row>
    <row r="307" spans="1:286" x14ac:dyDescent="0.3">
      <c r="A307" t="s">
        <v>759</v>
      </c>
      <c r="B307" t="s">
        <v>1612</v>
      </c>
      <c r="C307" t="str">
        <f>Линии[[#This Row],[_авто наименование]]</f>
        <v>Розеточная группа, пом. 020А</v>
      </c>
      <c r="D307">
        <v>2</v>
      </c>
      <c r="E307">
        <v>0.12</v>
      </c>
      <c r="G307">
        <v>16</v>
      </c>
      <c r="H307" t="str">
        <f>Линии[[#This Row],[_авто управление]]</f>
        <v/>
      </c>
      <c r="I307" t="str">
        <f>Линии[[#This Row],[_авто аппараты]]</f>
        <v/>
      </c>
      <c r="J307">
        <v>2.5</v>
      </c>
      <c r="K307">
        <v>50</v>
      </c>
      <c r="L307">
        <v>3</v>
      </c>
      <c r="M307" t="str">
        <f>Линии[[#This Row],[_авто клемма]]</f>
        <v>XT24</v>
      </c>
      <c r="N307" t="str">
        <f t="shared" si="552"/>
        <v/>
      </c>
      <c r="O307" s="6" cm="1">
        <f t="array" ref="O307">IF(B307="","",IF(BH307&lt;&gt;"",IFERROR(_xlfn.XLOOKUP(BH307,Щиты[Щит],Щиты[Iр, А]),""),IF(BP307=1,IF(OR(N(_xlfn.XLOOKUP(A307,Щиты[Щит],Щиты[Вводов],1))&lt;=1,LOWER(TRIM(_xlfn.XLOOKUP(A307,Щиты[Щит],Щиты[АВР],"")&amp;""))="да"),IFERROR(_xlfn.XLOOKUP(A307,Щиты[Щит],Щиты[Iр, А]),""),IFERROR(N(BS307)*_xlfn.XLOOKUP(A307,Щиты[Щит],Щиты[Кс итог])/(SQRT(3)*Uн_лин*_xlfn.XLOOKUP(A307,Щиты[Щит],Щиты[cos φ])),"")),IF(BV307=1,IFERROR(BS307*1000/BU307,""),IFERROR(_xlfn.IFS(BX307=1,BS307/((Uн_лин/SQRT(3))*CE307),BX307=3,BS307/(SQRT(3)*Uн_лин*CE307)),"")))))</f>
        <v>0.54696341291648753</v>
      </c>
      <c r="P307" s="7">
        <f>IF(B307="","",IFERROR(IF(VLOOKUP(BC307,Потребители_обозначение,4,FALSE)=1,VLOOKUP(BC307,Потребители_обозначение,3,FALSE)*(MAX(1,N(D307))*2-1)+EI307+VLOOKUP(BE307,Этаж_обозначение,3,FALSE)+VLOOKUP(BE307,Этаж_обозначение,4,FALSE),VLOOKUP(BC307,Потребители_обозначение,3,FALSE)*(MAX(1,N(D307))*2-1)+EI307),EI307))</f>
        <v>59</v>
      </c>
      <c r="Q307" s="6">
        <f t="shared" si="553"/>
        <v>2.0300000000000002</v>
      </c>
      <c r="R307" t="str">
        <f t="shared" si="554"/>
        <v>ВВГнг(А)-LS (3х2,5)</v>
      </c>
      <c r="S307" t="str">
        <f>IF(BM307="","",IF(BN307="вводной узел","узел ","")&amp;"л."&amp;(INT((BM307-1)/Столбцов_на_лист)+1)&amp;" / "&amp;(MOD(BM307-1,Столбцов_на_лист)+1))</f>
        <v>л.3 / 2</v>
      </c>
      <c r="T307" s="119">
        <f t="shared" si="555"/>
        <v>0.8</v>
      </c>
      <c r="U307" s="7" t="str">
        <f>IF(OR(CG307=0,N(BV307)+N(IB307)=0),"",ROUNDUP(Запас_БП*(N(HY307)+N(HZ307)),0))</f>
        <v/>
      </c>
      <c r="V307" s="119" t="str">
        <f t="shared" si="556"/>
        <v/>
      </c>
      <c r="W307" s="7" t="str">
        <f>IFERROR(IF(OR(B307="",BP307=1,BV307=1,NOT(ISNUMBER(EN307)),N(DT307)=0),"",MAX(0,ROUNDDOWN((c_min*(Uн_лин*1000/SQRT(3))/(HT307*N(DT307))-_xlfn.XLOOKUP(A307,Щиты[Щит],Щиты[Zпетли на шинах, Ом]))*EN307/(2*ρкз_Cu),0))),"")</f>
        <v/>
      </c>
      <c r="Y307">
        <f>Линии[[#This Row],[_авто утечка]]</f>
        <v>30</v>
      </c>
      <c r="Z307">
        <v>1</v>
      </c>
      <c r="AA307">
        <v>230</v>
      </c>
      <c r="AB307" t="s">
        <v>562</v>
      </c>
      <c r="AG307" t="s">
        <v>810</v>
      </c>
      <c r="AI307" t="s">
        <v>561</v>
      </c>
      <c r="AK307" t="str">
        <f>Линии[[#This Row],[_авто модуль]]</f>
        <v/>
      </c>
      <c r="AM307">
        <v>36</v>
      </c>
      <c r="AN307" t="s">
        <v>11</v>
      </c>
      <c r="AO307">
        <v>3</v>
      </c>
      <c r="AQ307">
        <v>12</v>
      </c>
      <c r="AR307">
        <v>41</v>
      </c>
      <c r="AT307">
        <v>2</v>
      </c>
      <c r="BA307" cm="1">
        <f t="array" ref="BA307">ROW()-ROW(Линии[#Headers])</f>
        <v>305</v>
      </c>
      <c r="BC307" s="6" t="str">
        <f t="shared" si="557"/>
        <v>R</v>
      </c>
      <c r="BD307" t="str">
        <f t="shared" si="558"/>
        <v>2.020А.2</v>
      </c>
      <c r="BE307" t="str">
        <f t="shared" si="559"/>
        <v>2</v>
      </c>
      <c r="BF307" t="str">
        <f t="shared" si="560"/>
        <v>020А.2</v>
      </c>
      <c r="BG307" t="str">
        <f t="shared" si="561"/>
        <v>020А</v>
      </c>
      <c r="BH307" t="str">
        <f>IF(X307&lt;&gt;"",X307,IF(AND(B307&lt;&gt;"",B307&lt;&gt;A307,ISNUMBER(_xlfn.XMATCH(B307,Щиты[Щит]))),B307,""))</f>
        <v/>
      </c>
      <c r="BI307" t="str" cm="1">
        <f t="array" ref="BI307">IF(B307="","",IF(BH307&lt;&gt;"","Щит "&amp;BH307,_xlfn.LET(_xlpm.nm,IFERROR(_xlfn.XLOOKUP(BC307,Коды_код,Коды_имя)&amp;"",""),_xlpm.md,IFERROR(N(_xlfn.XLOOKUP(BC307,Коды_код,Коды_режим)),1),_xlpm.ex,IF(Имя_режим="по экспликации",IFERROR(_xlfn.XLOOKUP(BE307&amp;"|"&amp;BG307,Экспликация[Этаж]&amp;"|"&amp;Экспликация[Помещение],Экспликация[Название])&amp;"",""),""),_xlpm.rm,IF(BG307="","",IF(_xlpm.ex&lt;&gt;"",". "&amp;_xlpm.ex&amp;IF(Имя_пом="нет"," ("&amp;BG307&amp;")"," (пом. "&amp;BG307&amp;")"),IF(Имя_пом="нет"," ",", пом. ")&amp;BG307)),IF(_xlpm.nm="","",IF(_xlpm.md=2,_xlpm.nm&amp;" шлейф "&amp;BE307,_xlpm.nm&amp;_xlpm.rm)))))</f>
        <v>Розеточная группа, пом. 020А</v>
      </c>
      <c r="BJ307" t="str">
        <f t="shared" si="562"/>
        <v>Розеточная группа, пом. 020А</v>
      </c>
      <c r="BK307">
        <f>IFERROR(_xlfn.XMATCH(A307,Щиты[Щит]),0)</f>
        <v>11</v>
      </c>
      <c r="BL307">
        <f>_xlfn.LET(_xlpm.k,IFERROR(_xlfn.XLOOKUP(A307,Щиты[Щит],Щиты[Мест под вводной узел]),""),IF(_xlpm.k="",Столбцов_на_лист,N(_xlpm.k)))</f>
        <v>8</v>
      </c>
      <c r="BM307">
        <f t="shared" si="563"/>
        <v>36</v>
      </c>
      <c r="BN307" t="str">
        <f t="shared" si="564"/>
        <v>линии</v>
      </c>
      <c r="BO307" s="6">
        <f>IFERROR(N(_xlfn.XLOOKUP(BC307,Коды_код,Коды_квт)),0)</f>
        <v>0</v>
      </c>
      <c r="BP307">
        <f t="shared" si="565"/>
        <v>0</v>
      </c>
      <c r="BQ307" t="str">
        <f>IF(B307="","",IF(BH307&lt;&gt;"",IFERROR(_xlfn.XLOOKUP(BH307,Щиты[Щит],Щиты[Руст, кВт]),0),IF(BP307=1,IF(OR(N(_xlfn.XLOOKUP(A307,Щиты[Щит],Щиты[Вводов],1))&lt;=1,LOWER(TRIM(_xlfn.XLOOKUP(A307,Щиты[Щит],Щиты[АВР],"")&amp;""))="да"),IFERROR(_xlfn.XLOOKUP(A307,Щиты[Щит],Щиты[Руст, кВт]),0),SUMIFS(Линии[_Р для вводов],Линии[Щит],A307,Линии[Источник для режимов],GF307)),IF(BO307&gt;0,ROUND(BO307*MAX(1,N(D307)),3),""))))</f>
        <v/>
      </c>
      <c r="BR307">
        <f t="shared" si="566"/>
        <v>0.12</v>
      </c>
      <c r="BS307" s="6">
        <f>IF(B307="","",IF(BH307&lt;&gt;"",IFERROR(_xlfn.XLOOKUP(BH307,Щиты[Щит],Щиты[Руст, кВт]),0),N(BR307)))</f>
        <v>0.12</v>
      </c>
      <c r="BT307" t="str">
        <f>IF(B307="","",IFERROR(IF(VLOOKUP(BC307,Потребители_обозначение,8,FALSE)=0,"",VLOOKUP(BC307,Потребители_обозначение,8,FALSE)),""))</f>
        <v/>
      </c>
      <c r="BU307">
        <f t="shared" si="567"/>
        <v>230</v>
      </c>
      <c r="BV307">
        <f t="shared" si="568"/>
        <v>0</v>
      </c>
      <c r="BW307">
        <f>IF(B307="","",IF(BH307&lt;&gt;"",3,IFERROR(IF(N(VLOOKUP(BC307,Потребители_обозначение,9,FALSE))=0,1,VLOOKUP(BC307,Потребители_обозначение,9,FALSE)),1)))</f>
        <v>1</v>
      </c>
      <c r="BX307">
        <f t="shared" si="569"/>
        <v>1</v>
      </c>
      <c r="BY307" t="str">
        <f>IF(B307="","",_xlfn.LET(_xlpm.bc,IFERROR(IF(VLOOKUP(BC307,Потребители_обозначение,6,FALSE)=0,"",VLOOKUP(BC307,Потребители_обозначение,6,FALSE)&amp;""),""),IF(AND(GA307="да",OR(_xlpm.bc="",_xlpm.bc="мс")),Марка_пож,IF(AND(_xlpm.bc="",BH307&lt;&gt;""),"мс",_xlpm.bc))))</f>
        <v/>
      </c>
      <c r="BZ307" t="str">
        <f t="shared" si="570"/>
        <v>мс</v>
      </c>
      <c r="CA307">
        <f>IF(B307="","",_xlfn.LET(_xlpm.cc,IFERROR(N(VLOOKUP(BC307,Потребители_обозначение,7,FALSE)),0),IF(_xlpm.cc&gt;0,_xlpm.cc,IF(BZ307="","",IF(BV307=1,2,IF(N(BX307)=3,5,3))))))</f>
        <v>3</v>
      </c>
      <c r="CB307">
        <f t="shared" si="571"/>
        <v>3</v>
      </c>
      <c r="CC307">
        <f>IFERROR(N(VLOOKUP(BC307,Потребители_обозначение,10,FALSE)),0)</f>
        <v>0</v>
      </c>
      <c r="CD307">
        <f>IFERROR(VLOOKUP(BC307,Потребители_обозначение,5,FALSE),0)</f>
        <v>1</v>
      </c>
      <c r="CE307" s="6" cm="1">
        <f t="array" ref="CE307">IF(B307="","",IF(BH307&lt;&gt;"",IFERROR(_xlfn.XLOOKUP(BH307,Щиты[Щит],Щиты[cos φ]),0.95),IF(BP307=1,IFERROR(_xlfn.XLOOKUP(A307,Щиты[Щит],Щиты[cos φ]),0.95),IF(ISNUMBER(AD307),AD307,IFERROR(IF(CD307=2,_xlfn.IFS(BX307=3,VLOOKUP(BS307,Справочная_двигатели,8,FALSE),BX307=1,VLOOKUP(BS307,Справочная_двигатели,10,TRUE)),IF(AND(Методика="нормы 2026",FG307="Сил"),0.8,0.95)),0.95)))))</f>
        <v>0.95</v>
      </c>
      <c r="CF307">
        <f t="shared" si="572"/>
        <v>0</v>
      </c>
      <c r="CG307">
        <f t="shared" si="573"/>
        <v>1</v>
      </c>
      <c r="CH307">
        <f t="shared" si="574"/>
        <v>0</v>
      </c>
      <c r="CI307">
        <f>IF(B307="","",IF(BV307=1,IFERROR(BS307/((Uн_лин/SQRT(3))*MAX(0.5,N(CE307))),0),N(O307)))</f>
        <v>0.54696341291648753</v>
      </c>
      <c r="CJ307">
        <f t="shared" si="575"/>
        <v>0</v>
      </c>
      <c r="CK307">
        <f t="shared" si="576"/>
        <v>0</v>
      </c>
      <c r="CL307">
        <f t="shared" si="577"/>
        <v>0</v>
      </c>
      <c r="CM307">
        <f t="shared" si="578"/>
        <v>0</v>
      </c>
      <c r="CN307">
        <f t="shared" si="579"/>
        <v>0</v>
      </c>
      <c r="CO307">
        <f>IF(BC307="",0,_xlfn.LET(_xlpm.v,IFERROR(_xlfn.XLOOKUP(B307,Коды_код,Коды_мА),IFERROR(_xlfn.XLOOKUP(BC307,Коды_код,Коды_мА),IFERROR(_xlfn.XLOOKUP(LEFT(BC307,2),Коды_код,Коды_мА),""))),IF(_xlpm.v="да",30,IF(ISNUMBER(_xlpm.v),_xlpm.v,0))))</f>
        <v>30</v>
      </c>
      <c r="CP307">
        <f t="shared" si="580"/>
        <v>30</v>
      </c>
      <c r="CQ307" t="str">
        <f>_xlfn.LET(_xlpm.k,IFERROR(_xlfn.XLOOKUP(BC307,Коды_код,Коды_утечка)&amp;"",""),IF(_xlpm.k="","дифавтомат",_xlpm.k))</f>
        <v>дифавтомат</v>
      </c>
      <c r="CR307" t="str" cm="1">
        <f t="array" ref="CR307">IF(CG307=0,"",_xlfn.LET(_xlpm.sg,TRIM(_xlfn.TEXTSPLIT(DD307&amp;"",";")),_xlpm.f_,_xlfn._xlws.FILTER(_xlpm.sg,LEFT(_xlpm.sg,3)="УЗО",""),IFERROR(INDEX(_xlpm.f_,1)&amp;"","")))</f>
        <v/>
      </c>
      <c r="CS307" t="str">
        <f t="shared" si="581"/>
        <v/>
      </c>
      <c r="CT307" s="6" t="str" cm="1">
        <f t="array" ref="CT307">IF(CR307="","",_xlfn.LET(_xlpm.tk,_xlfn.TEXTSPLIT(UPPER(CR307)," ",,TRUE),_xlpm.a_,_xlfn._xlws.FILTER(_xlpm.tk,ISNUMBER(--LEFT(_xlpm.tk,1))*((ISNUMBER(SEARCH("А",_xlpm.tk))+ISNUMBER(SEARCH("A",_xlpm.tk)))&gt;0)*NOT(ISNUMBER(SEARCH("МА",_xlpm.tk)))*NOT(ISNUMBER(SEARCH("MA",_xlpm.tk))),""),IFERROR(--SUBSTITUTE(SUBSTITUTE(INDEX(_xlpm.a_,1),"А",""),"A",""),"")))</f>
        <v/>
      </c>
      <c r="CU307" t="str" cm="1">
        <f t="array" ref="CU307">IF(CR307="","",_xlfn.LET(_xlpm.tk,_xlfn.TEXTSPLIT(UPPER(CR307)," ",,TRUE),_xlpm.a_,_xlfn._xlws.FILTER(_xlpm.tk,ISNUMBER(--LEFT(_xlpm.tk,1))*((ISNUMBER(SEARCH("МА",_xlpm.tk))+ISNUMBER(SEARCH("MA",_xlpm.tk)))&gt;0),""),IFERROR(--SUBSTITUTE(SUBSTITUTE(INDEX(_xlpm.a_,1),"МА",""),"MA",""),30)))</f>
        <v/>
      </c>
      <c r="CV307" t="str">
        <f>IF(CS307="","",IFERROR(_xlfn.XLOOKUP(CS307,Линии[_n],Линии[_УЗО, мА]),30))</f>
        <v/>
      </c>
      <c r="CW307">
        <f>IF(CS307="",0,IF(ISNUMBER(SEARCH("4P",IFERROR(_xlfn.XLOOKUP(CS307,Линии[_n],Линии[_УЗО строки])&amp;"",""))),0,1))</f>
        <v>0</v>
      </c>
      <c r="CX307" t="str">
        <f>IF(AND(CS307&lt;&gt;"",CS307=BA307),SUMIFS(Линии[_ток на 230 В],Линии[_блок УЗО],BA307,Линии[Щит],A307),"")</f>
        <v/>
      </c>
      <c r="CY307" t="str">
        <f>IF(AND(CS307&lt;&gt;"",CS307=BA307),SUMIFS(Линии[_ток утечки линии, мА],Линии[_блок УЗО],BA307,Линии[Щит],A307),"")</f>
        <v/>
      </c>
      <c r="CZ307">
        <f t="shared" si="582"/>
        <v>30</v>
      </c>
      <c r="DA307">
        <f t="shared" si="583"/>
        <v>30</v>
      </c>
      <c r="DB307">
        <f>IF(B307="",0,IFERROR(--_xlfn.XLOOKUP(B307,Коды_код,Коды_минавт),IFERROR(--_xlfn.XLOOKUP(BC307,Коды_код,Коды_минавт),IFERROR(--_xlfn.XLOOKUP(LEFT(BC307,2),Коды_код,Коды_минавт),0))))</f>
        <v>16</v>
      </c>
      <c r="DC307" t="str">
        <f>IF(B307="","",IFERROR(_xlfn.XLOOKUP(BC307,Коды_код,Коды_апп)&amp;"",""))</f>
        <v/>
      </c>
      <c r="DD307" t="str">
        <f t="shared" si="584"/>
        <v/>
      </c>
      <c r="DE307" t="str" cm="1">
        <f t="array" ref="DE307">IF(TRIM(DD307&amp;"")="","",IFERROR(TRIM(INDEX(_xlfn.TEXTSPLIT(DD307&amp;";;;",";"),1)),""))</f>
        <v/>
      </c>
      <c r="DF307" t="str" cm="1">
        <f t="array" ref="DF307">IF(TRIM(DD307&amp;"")="","",IFERROR(TRIM(INDEX(_xlfn.TEXTSPLIT(DD307&amp;";;;",";"),2)),""))</f>
        <v/>
      </c>
      <c r="DG307" t="str" cm="1">
        <f t="array" ref="DG307">IF(TRIM(DD307&amp;"")="","",IFERROR(TRIM(INDEX(_xlfn.TEXTSPLIT(DD307&amp;";;;",";"),3)),""))</f>
        <v/>
      </c>
      <c r="DH307">
        <f t="shared" si="585"/>
        <v>0</v>
      </c>
      <c r="DI307" t="str">
        <f>IF(B307="","",_xlfn.LET(_xlpm.t,LOWER(AZ307&amp;""),IF(ISNUMBER(SEARCH("dim",_xlpm.t)),"DIM",IF(ISNUMBER(SEARCH("dali",_xlpm.t)),"DALI",IF(OR(ISNUMBER(SEARCH("relay",_xlpm.t)),ISNUMBER(SEARCH("реле",_xlpm.t))),"Relay",IF(ISNUMBER(SEARCH("кнопк",_xlpm.t)),"",IFERROR(_xlfn.XLOOKUP(BC307,Коды_код,Коды_упр)&amp;"","")))))))</f>
        <v/>
      </c>
      <c r="DJ307" t="str">
        <f t="shared" si="586"/>
        <v/>
      </c>
      <c r="DK307">
        <f>IF(B307="","",_xlfn.LET(_xlpm.ig,IF(N(CX307)&gt;0,N(CX307),N(CI307)+IF(AJ307="вручную",0,N(CJ307))),_xlpm.n0,IFERROR(VLOOKUP(_xlpm.ig,Автомат_номиналы,2,TRUE),0),_xlpm.mn,MAX(DB307,IF(AJ307="вручную",0,N(CM307))),MAX(_xlpm.n0,_xlpm.mn,IF(DH307=1,Мин_автомат_БП,0))))</f>
        <v>16</v>
      </c>
      <c r="DL307">
        <f t="shared" si="587"/>
        <v>1</v>
      </c>
      <c r="DM307" t="str">
        <f t="shared" si="588"/>
        <v>2P</v>
      </c>
      <c r="DN307" t="str">
        <f>_xlfn.LET(_xlpm.cc,UPPER(TRIM(IFERROR(_xlfn.XLOOKUP(BC307,Коды_код,Коды_хар)&amp;"",""))),IF(OR(_xlpm.cc="B",_xlpm.cc="В"),"B",IF(_xlpm.cc="D","D","С")))</f>
        <v>С</v>
      </c>
      <c r="DO307" t="str">
        <f t="shared" si="589"/>
        <v>2P С16А 30мА</v>
      </c>
      <c r="DP307">
        <f t="shared" si="590"/>
        <v>16</v>
      </c>
      <c r="DQ307" t="str">
        <f t="shared" si="591"/>
        <v>2P С16А 30мА</v>
      </c>
      <c r="DR307" cm="1">
        <f t="array" ref="DR307">IF(DQ307="","",_xlfn.LET(_xlpm.t,SUBSTITUTE(SUBSTITUTE(SUBSTITUTE(UPPER(DQ307),"С","C"),"А","A"),"В","B"),_xlpm.tk,_xlfn.TEXTSPLIT(_xlpm.t," "),_xlpm.f,_xlfn._xlws.FILTER(_xlpm.tk,ISNUMBER(--MID(_xlpm.tk,2,1))*ISNUMBER(SEARCH(LEFT(_xlpm.tk,1)&amp;"#","B#C#D#"))*(LEN(_xlpm.tk)&gt;1),""),_xlpm.x,INDEX(_xlpm.f,1),IFERROR(--SUBSTITUTE(MID(_xlpm.x,2,9),"A",""),IFERROR(--SUBSTITUTE(INDEX(_xlfn._xlws.FILTER(_xlpm.tk,ISNUMBER(--SUBSTITUTE(_xlpm.tk,"A","")),""),1),"A",""),""))))</f>
        <v>16</v>
      </c>
      <c r="DS307" t="str">
        <f t="shared" si="592"/>
        <v>ok</v>
      </c>
      <c r="DT307">
        <f t="shared" si="593"/>
        <v>16</v>
      </c>
      <c r="DU307" t="str">
        <f t="shared" si="594"/>
        <v>2P С16А 30мА</v>
      </c>
      <c r="DV307">
        <f t="shared" si="595"/>
        <v>30</v>
      </c>
      <c r="DW307">
        <f t="shared" si="596"/>
        <v>1</v>
      </c>
      <c r="DX307">
        <f t="shared" si="597"/>
        <v>0</v>
      </c>
      <c r="DY307">
        <f t="shared" si="598"/>
        <v>0.54696341291648753</v>
      </c>
      <c r="DZ307">
        <f t="shared" si="599"/>
        <v>1</v>
      </c>
      <c r="EA307">
        <f>IF(ISNUMBER(AP307),AP307,К_прокл)</f>
        <v>1</v>
      </c>
      <c r="EB307">
        <f t="shared" si="600"/>
        <v>2</v>
      </c>
      <c r="EC307">
        <f>IFERROR(N(VLOOKUP(BZ307,Кабель_обозначение,3,FALSE)),1)</f>
        <v>1</v>
      </c>
      <c r="ED307">
        <f>IFERROR(N(_xlfn.XLOOKUP(A307,Щиты[Щит],Щиты[ΔU до шин, %])),0)</f>
        <v>1.79</v>
      </c>
      <c r="EE307" t="str">
        <f>IFERROR(_xlfn.XLOOKUP(A307,Щиты[Щит],Щиты[Zпетли на шинах, Ом]),"")</f>
        <v/>
      </c>
      <c r="EF307">
        <f>IFERROR(N(_xlfn.XLOOKUP(A307,Щиты[Щит],Щиты[ΔU до шин (подбор), %])),0)</f>
        <v>4.75</v>
      </c>
      <c r="EG307" t="str">
        <f>IFERROR(_xlfn.XLOOKUP(A307,Щиты[Щит],Щиты[Zпетли на шинах (подбор), Ом]),"")</f>
        <v/>
      </c>
      <c r="EH307" t="str">
        <f t="shared" si="601"/>
        <v/>
      </c>
      <c r="EI307">
        <f t="shared" si="602"/>
        <v>50</v>
      </c>
      <c r="EJ307">
        <f t="shared" si="603"/>
        <v>2</v>
      </c>
      <c r="EK307">
        <f t="shared" si="604"/>
        <v>0.31</v>
      </c>
      <c r="EL307" s="6">
        <f>IF(B307="","",IF(BV307=1,dU_LED,IF(IFERROR(_xlfn.XLOOKUP(BC307,Коды_код,Коды_уго),"")="Светильник",3,4)+IF(Методика="нормы 2026",MIN(0.5,MAX(0,N(P307)-100)*0.005),0)))</f>
        <v>4</v>
      </c>
      <c r="EM307" t="str" cm="1">
        <f t="array" ref="EM307">IF(OR(B307="",BZ307="",EC307&lt;&gt;1),"",_xlfn.LET(_xlpm.sz,Iдоп_S,_xlpm.t_,CHOOSE(EB307,Iдоп_1ж,Iдоп_2ж,Iдоп_3ж)*DZ307*EA307,_xlpm.dcx,BV307=1,_xlpm.inn,IF(_xlpm.dcx,N(O307),N(DT307)),_xlpm.smin,MAX(1.5,CC307),_xlpm.L_,N(P307)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307)/N(BU307)*100,999),IFERROR(N(EJ307)*(_xlpm.rho*_xlpm.L_/_xlpm.sz*N(CE307)+_xlpm.xx*_xlpm.L_*N(EK307)/1000)*N(O307)/((Uн_лин/SQRT(3))*1000)*100,999)),_xlpm.kz,IF(OR(_xlpm.dcx,DW307=1,NOT(ISNUMBER(EG307)),_xlpm.L_=0,_xlpm.inn=0),1,IFERROR(--(c_min*(Uн_лин*1000/SQRT(3))/(EG307+2*ρкз_Cu*_xlpm.L_/_xlpm.sz)&gt;=HT307*_xlpm.inn),0)),_xlpm.ok,IFERROR((_xlpm.sz&gt;=_xlpm.smin)*(_xlpm.t_&gt;=_xlpm.inn)*IF(_xlpm.L_&gt;0,(_xlpm.du_+IF(_xlpm.dcx,0,EF307)&lt;=EL307+0.00001),1)*_xlpm.kz,0),_xlpm.r_,_xlfn._xlws.FILTER(_xlpm.sz,_xlpm.ok,"не подобрано"),INDEX(_xlpm.r_,1)))</f>
        <v>не подобрано</v>
      </c>
      <c r="EN307">
        <f t="shared" si="605"/>
        <v>2.5</v>
      </c>
      <c r="EO307" cm="1">
        <f t="array" ref="EO307">IF(OR(B307="",BZ307="",EC307&lt;&gt;1),"",_xlfn.LET(_xlpm.sz,Iдоп_S,_xlpm.t_,CHOOSE(EB307,Iдоп_1ж,Iдоп_2ж,Iдоп_3ж)*DZ307*EA307,_xlpm.ok,IFERROR((_xlpm.sz&gt;=MAX(1.5,CC307))*(_xlpm.t_&gt;=N(DT307)),0),_xlpm.r_,_xlfn._xlws.FILTER(_xlpm.sz,_xlpm.ok,""),INDEX(_xlpm.r_,1)))</f>
        <v>1.5</v>
      </c>
      <c r="EP307" s="6" cm="1">
        <f t="array" ref="EP307">IFERROR(ROUNDUP(N(EJ307)*(_xlfn.XLOOKUP(EO307,INDEX(Кабель_сопротивление,0,1),INDEX(Кабель_сопротивление,0,3))*N(P307)/EO307*N(CE307)+_xlfn.XLOOKUP(EO307,INDEX(Кабель_сопротивление,0,1),INDEX(Кабель_сопротивление,0,2))*N(P307)*N(EK307)/1000)*N(O307)/((Uн_лин/SQRT(3))*1000)*100,2),"")</f>
        <v>0.4</v>
      </c>
      <c r="EQ307">
        <f>IFERROR(2*ρкз_Cu*N(P307)/EO307,"")</f>
        <v>2.0689333333333333</v>
      </c>
      <c r="ER307">
        <f>IFERROR(VLOOKUP(EN307,Кабель_сопротивление,3,FALSE),"")</f>
        <v>2.2499999999999999E-2</v>
      </c>
      <c r="ES307">
        <f>IFERROR(VLOOKUP(EN307,Кабель_сопротивление,2,FALSE),"")</f>
        <v>0.1</v>
      </c>
      <c r="ET307">
        <f t="shared" si="606"/>
        <v>41</v>
      </c>
      <c r="EU307">
        <f t="shared" si="607"/>
        <v>55</v>
      </c>
      <c r="EV307">
        <f t="shared" si="608"/>
        <v>0.55383217945589258</v>
      </c>
      <c r="EW307" s="6">
        <f>IFERROR(ROUNDUP(EV307/IF(BV307=1,BU307,(Uн_лин/SQRT(3))*1000)*100,2),"")</f>
        <v>0.24000000000000002</v>
      </c>
      <c r="EX307" t="str">
        <f>IFERROR(VLOOKUP(BZ307,Кабель_обозначение,2,FALSE),"")</f>
        <v>ВВГнг(А)-LS</v>
      </c>
      <c r="EY307" t="str">
        <f t="shared" si="609"/>
        <v>ВВГнг(А)-LS (3х2,5)</v>
      </c>
      <c r="EZ307" t="str">
        <f t="shared" si="610"/>
        <v>ВВГнг(А)-LS (3х2,5)
L=59-0,24%</v>
      </c>
      <c r="FA307">
        <f>IFERROR(2*ρкз_Cu*P307/EN307,"")</f>
        <v>1.24136</v>
      </c>
      <c r="FB307">
        <f t="shared" si="611"/>
        <v>0.41300000000000009</v>
      </c>
      <c r="FC307" s="6" t="str">
        <f>IFERROR(IF(OR(B307="",BV307=1,NOT(ISNUMBER(EN307)),N(P307)=0),"",_xlfn.XLOOKUP(A307,Щиты[Щит],Щиты[Zпетли на шинах, Ом])+FA307),"")</f>
        <v/>
      </c>
      <c r="FD307" s="6" t="str">
        <f>IF(ISNUMBER(FC307),c_min*(Uн_лин*1000/SQRT(3))/FC307,"")</f>
        <v/>
      </c>
      <c r="FE307" s="6" t="str">
        <f>IFERROR(IF(OR(B307="",NOT(ISNUMBER(EN307))),"",1.05*(Uн_лин*1000/SQRT(3))/(_xlfn.XLOOKUP(A307,Щиты[Щит],Щиты[Zmax на шинах, Ом])+FB307)/1000),"")</f>
        <v/>
      </c>
      <c r="FF307" s="6" t="str">
        <f>IF(B307="","",IF(ISNUMBER(AC307),"Сил",IF(IFERROR(_xlfn.XLOOKUP(BC307,Коды_код,Коды_группа)&amp;"","")="","Быт",_xlfn.XLOOKUP(BC307,Коды_код,Коды_группа)&amp;"")))</f>
        <v>Быт</v>
      </c>
      <c r="FG307" s="6" t="str">
        <f t="shared" si="612"/>
        <v>Быт</v>
      </c>
      <c r="FH307" s="6">
        <f>IF(FG307="Щит","щит",IF(FG307="","",IF(FG307="Быт",IFERROR(_xlfn.XLOOKUP(A307,Щиты[Щит],Щиты[Кс быт]),1),IF(FG307="Сил",IF(ISNUMBER(AC307),AC307,IF(Методика="нормы 2026",IFERROR(_xlfn.XLOOKUP(A307,Щиты[Щит],Щиты[Кс силовых (табл. 7.5)]),1),1)),IF(OR(FG307="Пост",FG307="Отоп"),1,IF(FG307="ВНГ",0.7,0))))))</f>
        <v>0.8</v>
      </c>
      <c r="FI307">
        <f>IF(FG307="","",IF(AND(BP307=1,TRIM(AE307&amp;"")=""),IF(COUNTIFS(Линии[Щит],A307,Линии[Секция (1/2/3)],"&gt;=2")&gt;0,MIN(3,MAX(1,IFERROR(--BD307,1))),1),IFERROR(MIN(3,MAX(1,INT(--AE307))),1)))</f>
        <v>1</v>
      </c>
      <c r="FJ307">
        <f t="shared" si="613"/>
        <v>0.12</v>
      </c>
      <c r="FK307">
        <f t="shared" si="614"/>
        <v>0.12</v>
      </c>
      <c r="FL307">
        <f t="shared" si="615"/>
        <v>0</v>
      </c>
      <c r="FM307">
        <f t="shared" si="616"/>
        <v>0</v>
      </c>
      <c r="FN307">
        <f t="shared" si="617"/>
        <v>0</v>
      </c>
      <c r="FO307">
        <f t="shared" si="618"/>
        <v>0</v>
      </c>
      <c r="FP307">
        <f t="shared" si="619"/>
        <v>0.12</v>
      </c>
      <c r="FQ307">
        <f t="shared" si="620"/>
        <v>0.12</v>
      </c>
      <c r="FR307">
        <f t="shared" si="621"/>
        <v>0.11399999999999999</v>
      </c>
      <c r="FS307">
        <f>IF(CG307=1,IF(AND(CH307=1,CW307=1),0,IF(AND(CS307&lt;&gt;"",CS307=BA307,CW307=1),SUMIFS(Линии[_Р линии, кВт],Линии[_блок УЗО],BA307,Линии[Щит],A307),N(BS307)+IF(AJ307="вручную",0,N(CK307)))),0)</f>
        <v>0.12</v>
      </c>
      <c r="FT307" t="str">
        <f t="shared" si="622"/>
        <v>L3</v>
      </c>
      <c r="FU307" t="str">
        <f>IF(B307="","",IF(CG307=0,IF(BA307=1,"",FW306),IF(AND(CH307=1,CW307=1,CS307&lt;&gt;""),IFERROR(_xlfn.XLOOKUP(CS307,Линии[_n],Линии[_фаза итог]),"L1"),IF(OR(N(DL307)&gt;=3,N(BX307)&gt;=3),"L1,L2,L3",IFERROR(_xlfn.TEXTBEFORE(_xlfn.TEXTAFTER(_xlfn.XLOOKUP(A307,Щиты[Щит],Щиты[_фазы авто]),";"&amp;BA307&amp;":"),";"),"L1")))))</f>
        <v>L1</v>
      </c>
      <c r="FV307" t="str">
        <f t="shared" si="623"/>
        <v>L3</v>
      </c>
      <c r="FW307" t="str">
        <f t="shared" si="624"/>
        <v>L3</v>
      </c>
      <c r="FX307" cm="1">
        <f t="array" ref="FX307">IFERROR(IF(CD307=2,_xlfn.IFS(BX307=3,VLOOKUP(BS307,Справочная_двигатели,3,FALSE),BX307=1,VLOOKUP(BS307,Справочная_двигатели,5,TRUE)),0),0)</f>
        <v>0</v>
      </c>
      <c r="FY307">
        <f>IFERROR(IF(CD307=3,VLOOKUP(BS307,Справочная_ЛЭД,2,TRUE),0),0)</f>
        <v>0</v>
      </c>
      <c r="FZ307" s="6">
        <f t="shared" si="625"/>
        <v>0</v>
      </c>
      <c r="GA307" t="str">
        <f>IF(B307="","",IF(TRIM(AH307&amp;"")&lt;&gt;"",IF(LOWER(TRIM(AH307&amp;""))="да","да","нет"),IF(IFERROR(_xlfn.XLOOKUP(BC307,Коды_код,Коды_пожарная),"")="да","да","нет")))</f>
        <v>нет</v>
      </c>
      <c r="GB307" t="str">
        <f t="shared" si="626"/>
        <v/>
      </c>
      <c r="GC307" t="str">
        <f t="shared" si="627"/>
        <v>основная</v>
      </c>
      <c r="GD307">
        <f>IF(AND(BP307=1,TRIM(AE307&amp;"")=""),IF(COUNTIFS(Линии[Щит],A307,Линии[Секция (1/2/3)],"&gt;=2")&gt;0,MIN(3,MAX(1,IFERROR(--BD307,1))),1),IFERROR(MIN(3,MAX(1,INT(--AE307))),1))</f>
        <v>1</v>
      </c>
      <c r="GE307" t="str" cm="1">
        <f t="array" ref="GE307">IF(B307="","",_xlfn.LET(_xlpm.t,IFERROR(_xlfn.XLOOKUP(1,(Шины[Шина]=GC307)*(((Шины[Щит]=A307)+(Шины[Щит]=""))&gt;0),Шины[Тип]),"")&amp;"",IF(_xlpm.t&lt;&gt;"",_xlpm.t,IF(ISNUMBER(SEARCH("ИБП",GC307)),"ИБП",IF(ISNUMBER(SEARCH("ДГУ",GC307)),"ДГУ","Ввод "&amp;GD307)))))</f>
        <v>Ввод 1</v>
      </c>
      <c r="GF307" t="str">
        <f t="shared" si="628"/>
        <v>Ввод 1</v>
      </c>
      <c r="GG307" t="str">
        <f>IF(BP307=0,"",IF(TRIM(AG307&amp;"")&lt;&gt;"",TRIM(AG307&amp;""),IF(OR(GE307="ИБП",GE307="ДГУ"),"I особая",_xlfn.XLOOKUP(A307,Щиты[Щит],Щиты[Категория шины «Ввод»],"III"))))</f>
        <v/>
      </c>
      <c r="GH307" t="str">
        <f>IF(A307="","",_xlfn.XLOOKUP(A307,Щиты[Щит],Щиты[Путь],""))</f>
        <v>|ГРЩ-ЖД|ЩР-2|</v>
      </c>
      <c r="GI307" t="str">
        <f>IF(B307="","",IF(AI307&lt;&gt;"",AI307,IF(IFERROR(_xlfn.XLOOKUP(BC307,Коды_код,Коды_вид)&amp;"","")="","Прочее",_xlfn.XLOOKUP(BC307,Коды_код,Коды_вид)&amp;"")))</f>
        <v>Розеточная сеть и бытовые приборы</v>
      </c>
      <c r="GJ307">
        <f>IF(BM307="","",INT((BM307-1)/Столбцов_на_лист)+1)</f>
        <v>3</v>
      </c>
      <c r="GK307" t="str">
        <f t="shared" si="629"/>
        <v>ВВГнг(А)-LS (3х2,5) L=59-0,24%</v>
      </c>
      <c r="GL307">
        <f t="shared" si="630"/>
        <v>0.12</v>
      </c>
      <c r="GM307">
        <f t="shared" si="631"/>
        <v>0.55000000000000004</v>
      </c>
      <c r="GN307">
        <f t="shared" si="632"/>
        <v>1</v>
      </c>
      <c r="GO307">
        <f t="shared" si="633"/>
        <v>0</v>
      </c>
      <c r="GP307">
        <f t="shared" si="634"/>
        <v>1</v>
      </c>
      <c r="GQ307">
        <f>IF(BM307="","",IF(AND(CG307=1,GP307=1),COUNTIFS(A$3:A307,A307,CG$3:CG307,1,GP$3:GP307,1),IF(OR(OR(BA307=1,A307&lt;&gt;A306),AJ307="вручную",GP307=0),"",IF(BA307=1,"",GR306))))</f>
        <v>24</v>
      </c>
      <c r="GR307">
        <f t="shared" si="635"/>
        <v>24</v>
      </c>
      <c r="GS307">
        <f>IF(B307="","",IFERROR(LOOKUP(INDEX(CHOOSE(EB307,Iдоп_1ж,Iдоп_2ж,Iдоп_3ж),MATCH(EN307,Iдоп_S,0))*DZ307*EA307,{6,10,16,20,25,32,40,50,63,80,100,125,160,200,250,315,400,500,630}),""))</f>
        <v>25</v>
      </c>
      <c r="GT307" t="str">
        <f t="shared" si="636"/>
        <v>QFD24</v>
      </c>
      <c r="GU307" t="str">
        <f t="shared" si="637"/>
        <v>QFD24</v>
      </c>
      <c r="GV307" t="str">
        <f t="shared" si="638"/>
        <v/>
      </c>
      <c r="GW307">
        <f t="shared" si="639"/>
        <v>0</v>
      </c>
      <c r="GX307" t="str">
        <f>IF(OR(B307="",DJ307=""),"",IFERROR(_xlfn.XLOOKUP(DJ307,Модули_умолч[Управление],Модули_умолч[Модель])&amp;"",""))</f>
        <v/>
      </c>
      <c r="GY307">
        <f>IF(DJ307="",1,IFERROR(MAX(0,N(_xlfn.XLOOKUP(DJ307,Модули_умолч[Управление],Модули_умолч[Каналов на линию]))),1))</f>
        <v>1</v>
      </c>
      <c r="GZ307" t="str">
        <f t="shared" si="640"/>
        <v/>
      </c>
      <c r="HA307" t="str">
        <f t="shared" si="641"/>
        <v/>
      </c>
      <c r="HB307" t="str">
        <f t="shared" si="642"/>
        <v/>
      </c>
      <c r="HC307">
        <f>IF(HB307="",0,IFERROR(N(VLOOKUP(HB307,Модули_спр,3,FALSE)),0))</f>
        <v>0</v>
      </c>
      <c r="HD307" t="str">
        <f t="shared" si="643"/>
        <v/>
      </c>
      <c r="HE307" t="str">
        <f t="shared" si="644"/>
        <v/>
      </c>
      <c r="HF307" t="str">
        <f>IF(OR(HE307="",HE307="-"),"",IFERROR(VLOOKUP(HE307,Модули_спр,2,FALSE),"R"))</f>
        <v/>
      </c>
      <c r="HG307" t="str">
        <f>IF(HF307="","",HF307&amp;"."&amp;COUNTIFS(A$3:A307,A307,HF$3:HF307,HF307))</f>
        <v/>
      </c>
      <c r="HH307" t="str">
        <f t="shared" si="645"/>
        <v/>
      </c>
      <c r="HI307" t="str">
        <f t="shared" si="646"/>
        <v/>
      </c>
      <c r="HJ307" t="str">
        <f t="shared" si="647"/>
        <v/>
      </c>
      <c r="HK307" t="str">
        <f t="shared" si="648"/>
        <v/>
      </c>
      <c r="HL307">
        <f t="shared" si="649"/>
        <v>1</v>
      </c>
      <c r="HM307" t="str">
        <f>IF(HL307=1,"XT"&amp;COUNTIFS(A$3:A307,A307,HL$3:HL307,1),"")</f>
        <v>XT24</v>
      </c>
      <c r="HN307" t="str">
        <f t="shared" si="650"/>
        <v>XT24</v>
      </c>
      <c r="HO307" t="str">
        <f t="shared" si="651"/>
        <v>QFD24</v>
      </c>
      <c r="HP307" t="str">
        <f t="shared" si="652"/>
        <v/>
      </c>
      <c r="HQ307" t="str">
        <f t="shared" si="653"/>
        <v>ok</v>
      </c>
      <c r="HR307" t="str">
        <f>IF(OR(HJ307="",HH307=""),"",IF(HJ307+MAX(0,GY307-1)&gt;IFERROR(VLOOKUP(HI307,Модули_спр,3,FALSE),99),"ЛИШНИЙ КАНАЛ",IF(AND(AL307&lt;&gt;"=",GY307&gt;0,COUNTIFS(Линии[_модуль гр.],HH307,Линии[Канал (итог)],HJ307,Линии[Канал],"&lt;&gt;=",Линии[Щит],A307)&gt;1),"ДУБЛЬ КАНАЛА","")))</f>
        <v/>
      </c>
      <c r="HS307" s="6" t="str">
        <f t="shared" si="654"/>
        <v/>
      </c>
      <c r="HT307">
        <f t="shared" si="655"/>
        <v>10</v>
      </c>
      <c r="HU307" t="str">
        <f t="shared" si="656"/>
        <v/>
      </c>
      <c r="HV307">
        <f t="shared" si="657"/>
        <v>0.80878536516659505</v>
      </c>
      <c r="HW307">
        <f t="shared" si="658"/>
        <v>0</v>
      </c>
      <c r="HX307">
        <f t="shared" si="659"/>
        <v>0</v>
      </c>
      <c r="HY307">
        <f t="shared" si="660"/>
        <v>0</v>
      </c>
      <c r="HZ307">
        <f t="shared" si="661"/>
        <v>0</v>
      </c>
      <c r="IA307">
        <f t="shared" si="662"/>
        <v>0</v>
      </c>
      <c r="IB307">
        <f t="shared" si="663"/>
        <v>0</v>
      </c>
      <c r="IC307" t="str">
        <f t="shared" si="664"/>
        <v/>
      </c>
      <c r="ID307" t="str" cm="1">
        <f t="array" ref="ID307">IF(IC307="","",_xlfn.LET(_xlpm.tk,_xlfn.TEXTSPLIT(SUBSTITUTE(SUBSTITUTE(IC307,";"," "),"→"," ")," ",,TRUE),_xlpm.w_,_xlfn._xlws.FILTER(_xlpm.tk,ISNUMBER(--LEFT(_xlpm.tk,1))*((ISNUMBER(SEARCH("W",_xlpm.tk))+ISNUMBER(SEARCH("Вт",_xlpm.tk)))&gt;0),""),IFERROR(--SUBSTITUTE(SUBSTITUTE(UPPER(INDEX(_xlpm.w_,1)),"W",""),"ВТ",""),"")))</f>
        <v/>
      </c>
      <c r="IE307" t="str" cm="1">
        <f t="array" ref="IE307">IF(IC307="","",_xlfn.LET(_xlpm.tk,_xlfn.TEXTSPLIT(SUBSTITUTE(SUBSTITUTE(IC307,";"," "),"→"," ")," ",,TRUE),_xlpm.v_,_xlfn._xlws.FILTER(_xlpm.tk,ISNUMBER(--LEFT(_xlpm.tk,1))*((ISNUMBER(SEARCH("V",_xlpm.tk))+(RIGHT(UPPER(_xlpm.tk))="В"))&gt;0),""),IFERROR(--SUBSTITUTE(SUBSTITUTE(UPPER(INDEX(_xlpm.v_,1)),"V",""),"В",""),"")))</f>
        <v/>
      </c>
      <c r="IF307" s="6" t="str">
        <f>IF(OR(BV307=0,HI307="",HJ307=""),"",IFERROR(N(_xlfn.XLOOKUP(HI307,Каталог!$C$4:$C$500,Каталог!$Q$4:$Q$500)),""))</f>
        <v/>
      </c>
      <c r="IG307" s="6" t="str">
        <f>IF(N(IF307)=0,"",SUMIFS(Линии[Iр, А],Линии[Щит],A307,Линии[_модуль гр.],HH307,Линии[Канал (итог)],HJ307))</f>
        <v/>
      </c>
      <c r="IH307" t="str">
        <f>IF(AND(B307="",HO307=""),"",_xlfn.TEXTJOIN("; ",TRUE,IF(AND(B307&lt;&gt;"",FV307=""),"нет фазы",""),IF(AND(B307&lt;&gt;"",N(GL307)=0,FG307&lt;&gt;"Нет"),"нет мощности",""),IF(AND(HN307&lt;&gt;"",COUNTIFS(Линии[Щит],A307,Линии[Клемма (итог)],HN307)&gt;1),"дубль клеммы "&amp;HN307,""),IF(AND(HQ307&lt;&gt;"",HQ307&lt;&gt;"ok"),HQ307,""),IF(HR307&lt;&gt;"",HR307,""),IF(AND(N(CB307)&gt;=4,N(BX307)=1),CB307&amp;" жил на 1 фазе",""),IF(AND(BC307="R",CG307=1,IF(CS307&lt;&gt;"",N(CV307)&gt;30,OR(N(DA307)=0,N(DA307)&gt;30))),"розетка без дифзащиты до 30 мА",""),IF(AND(CG307=1,N(DA307)&gt;0,ISNUMBER(T307)),IF(T307&gt;N(DA307)/3,"ток утечки "&amp;FIXED(T307,1)&amp;" мА &gt; 1/3 уставки ("&amp;DA307&amp;" мА)",""),""),IF(AND(CH307=1,CS307=""),"«узо»: нет строки с УЗО выше (УЗО 2P 40А 30мА в «Аппаратах»)",""),IF(AND(CS307&lt;&gt;"",CS307=BA307),IF(CT307="","впишите номинал УЗО (УЗО 2P 40А 30мА)",IF(N(CT307)&lt;N(DT307),"УЗО "&amp;CT307&amp;" А &lt; автомата "&amp;DT307&amp;" А перед ним",IF(N(CT307)&lt;N(CX307),"УЗО "&amp;CT307&amp;" А &lt; тока блока "&amp;FIXED(CX307,1)&amp;" А",""))),""),IF(AND(CS307&lt;&gt;"",CS307=BA307,ISNUMBER(CY307)),IF(CY307&gt;N(CV307)/3,"ток утечки блока УЗО "&amp;FIXED(CY307,1)&amp;" мА &gt; 1/3 уставки ("&amp;CV307&amp;" мА)",""),""),IF(AND(CG307=1,N(BV307)+N(IB307)&gt;0,IC307=""),"линии до 50 В без БП: впишите в «Аппараты» (БП 24V 480W)",""),IF(AND(CG307=1,ISNUMBER(ID307),ISNUMBER(U307)),IF(U307&gt;ID307,"БП "&amp;ID307&amp;" Вт &lt; нужно "&amp;U307&amp;" Вт (×"&amp;Запас_БП&amp;")",""),""),IF(AND(CG307=1,ISNUMBER(IE307),N(BV307)=1),IF(IE307&lt;&gt;N(BU307),"БП на "&amp;IE307&amp;" В, линия "&amp;BU307&amp;" В",""),""),IF(AND(N(IF307)&gt;0,N(IG307)&gt;N(IF307)),HH307&amp;" канал "&amp;HJ307&amp;": "&amp;FIXED(IG307,1)&amp;" А &gt; "&amp;IF307&amp;" А",""),IFERROR(IF(AND(ISNUMBER(Q307),Q307&gt;EL307),"потери "&amp;FIXED(Q307,1)&amp;" % &gt; "&amp;EL307&amp;" %",""),""),IFERROR(IF(LEFT(HU307,4)="мало","Iкз мало — отключение &gt; 0,4 с",""),""),IF(AND(B307&lt;&gt;"",BM307=""),"не на схеме",""),IF(AND(CG307=0,B307&lt;&gt;"",FV307&lt;&gt;"",IF(BA307=1,"",FW306)&lt;&gt;"",FV307&lt;&gt;IF(BA307=1,"",FW306)),"фаза не как у автомата группы ("&amp;IF(BA307=1,"",FW306)&amp;")","")))</f>
        <v/>
      </c>
      <c r="II307" s="6">
        <f>IF(OR(CG307=0,DQ307=""),"",_xlfn.LET(_xlpm.t,IFERROR(_xlfn.XLOOKUP(DQ307,Каталог!$U$4:$U$500,Каталог!$G$4:$G$500),""),_xlpm.k,SEARCH("кА",_xlpm.t),IFERROR(--TRIM(RIGHT(SUBSTITUTE(MID(_xlpm.t,MAX(1,_xlpm.k-4),_xlpm.k-MAX(1,_xlpm.k-4))," ",REPT(" ",9)),5)),"")))</f>
        <v>6</v>
      </c>
      <c r="IJ307" t="str">
        <f>IF(OR(II307="",CG307=0),"",IF(_xlfn.XLOOKUP(A307,Щиты[Щит],Щиты[Iкз max на шинах, кА],"")="","",IF(II307&lt;_xlfn.XLOOKUP(A307,Щиты[Щит],Щиты[Iкз max на шинах, кА]),"Icu "&amp;II307&amp;" кА &lt; Iкз max","ok")))</f>
        <v/>
      </c>
      <c r="IK307" t="str">
        <f t="shared" si="665"/>
        <v/>
      </c>
      <c r="IL307" t="str">
        <f t="shared" si="666"/>
        <v>QFD24|XT24</v>
      </c>
      <c r="IM307" t="str">
        <f t="shared" si="667"/>
        <v>QFD24|XT24|кабель ВВГнг(А)-LS (3х2,5) → Розеточная группа, пом. 020А</v>
      </c>
      <c r="IN307" t="str" cm="1">
        <f t="array" ref="IN307">IF(IM307="","",_xlfn.LET(_xlpm.nd,_xlfn.TEXTSPLIT(IM307,"|"),IF(COLUMNS(_xlpm.nd)&gt;1,A307&amp;"¦"&amp;INDEX(_xlpm.nd,1)&amp;"¦"&amp;INDEX(_xlpm.nd,2),"")))</f>
        <v>ЩР-2¦QFD24¦XT24</v>
      </c>
      <c r="IO307" t="str">
        <f t="shared" si="668"/>
        <v>R.2.020А.2¦Розеточная группа, пом. 020А</v>
      </c>
      <c r="IP307" t="str" cm="1">
        <f t="array" ref="IP307">IF(IM307="","",_xlfn.LET(_xlpm.nd,_xlfn.TEXTSPLIT(IM307,"|"),IF(COLUMNS(_xlpm.nd)&gt;2,A307&amp;"¦"&amp;INDEX(_xlpm.nd,2)&amp;"¦"&amp;INDEX(_xlpm.nd,3),"")))</f>
        <v>ЩР-2¦XT24¦кабель ВВГнг(А)-LS (3х2,5) → Розеточная группа, пом. 020А</v>
      </c>
      <c r="IQ307" t="str">
        <f t="shared" si="669"/>
        <v>R.2.020А.2¦Розеточная группа, пом. 020А</v>
      </c>
      <c r="IR307" t="str" cm="1">
        <f t="array" ref="IR307">IF(IM307="","",_xlfn.LET(_xlpm.nd,_xlfn.TEXTSPLIT(IM307,"|"),IF(COLUMNS(_xlpm.nd)&gt;3,A307&amp;"¦"&amp;INDEX(_xlpm.nd,3)&amp;"¦"&amp;INDEX(_xlpm.nd,4),"")))</f>
        <v/>
      </c>
      <c r="IS307" t="str">
        <f t="shared" si="670"/>
        <v/>
      </c>
      <c r="IT307" t="str" cm="1">
        <f t="array" ref="IT307">IF(IM307="","",_xlfn.LET(_xlpm.nd,_xlfn.TEXTSPLIT(IM307,"|"),IF(COLUMNS(_xlpm.nd)&gt;4,A307&amp;"¦"&amp;INDEX(_xlpm.nd,4)&amp;"¦"&amp;INDEX(_xlpm.nd,5),"")))</f>
        <v/>
      </c>
      <c r="IU307" t="str">
        <f t="shared" si="671"/>
        <v/>
      </c>
      <c r="IV307" t="str" cm="1">
        <f t="array" ref="IV307">IF(IM307="","",_xlfn.LET(_xlpm.nd,_xlfn.TEXTSPLIT(IM307,"|"),IF(COLUMNS(_xlpm.nd)&gt;5,A307&amp;"¦"&amp;INDEX(_xlpm.nd,5)&amp;"¦"&amp;INDEX(_xlpm.nd,6),"")))</f>
        <v/>
      </c>
      <c r="IW307" t="str">
        <f t="shared" si="672"/>
        <v/>
      </c>
      <c r="IX307" t="str" cm="1">
        <f t="array" ref="IX307">IF(IM307="","",_xlfn.LET(_xlpm.nd,_xlfn.TEXTSPLIT(IM307,"|"),IF(COLUMNS(_xlpm.nd)&gt;6,A307&amp;"¦"&amp;INDEX(_xlpm.nd,6)&amp;"¦"&amp;INDEX(_xlpm.nd,7),"")))</f>
        <v/>
      </c>
      <c r="IY307" t="str">
        <f t="shared" si="673"/>
        <v/>
      </c>
      <c r="IZ307" t="str">
        <f t="shared" si="674"/>
        <v/>
      </c>
      <c r="JA307" t="str">
        <f t="shared" si="675"/>
        <v>QFD24 → XT24</v>
      </c>
      <c r="JB307">
        <f t="shared" si="676"/>
        <v>0</v>
      </c>
      <c r="JC307">
        <f t="shared" si="677"/>
        <v>1</v>
      </c>
      <c r="JD307" t="str">
        <f t="shared" si="678"/>
        <v/>
      </c>
      <c r="JE307" t="str">
        <f t="shared" si="679"/>
        <v/>
      </c>
      <c r="JF307" t="str">
        <f t="shared" si="680"/>
        <v/>
      </c>
      <c r="JG307" t="str">
        <f t="shared" si="681"/>
        <v/>
      </c>
      <c r="JH307" t="str">
        <f>IF(B307="","",IFERROR(_xlfn.XLOOKUP(B307,Коды_код,Коды_уго),IFERROR(_xlfn.XLOOKUP(BC307,Коды_код,Коды_уго),IFERROR(_xlfn.XLOOKUP(LEFT(BC307,2),Коды_код,Коды_уго),""))))</f>
        <v>Розетка</v>
      </c>
      <c r="JI307" t="str">
        <f>IF(B307="","",IF(OR(JH307="",JH307=0),"BOX",IFERROR(IF(VLOOKUP(JH307,УГО_блоки,3,FALSE)&amp;""&lt;&gt;"",VLOOKUP(JH307,УГО_блоки,3,FALSE),VLOOKUP(JH307,УГО_блоки,2,FALSE)),JH307)))</f>
        <v>SOCKET</v>
      </c>
      <c r="JJ307">
        <f t="shared" si="682"/>
        <v>1</v>
      </c>
      <c r="JK307" t="str">
        <f>IF(DQ307="","",IF(COUNTIF(DQ$3:DQ307,DQ307)=1,MAX(JK$2:JK306)+1,""))</f>
        <v/>
      </c>
      <c r="JL307" t="str">
        <f>IF(DE307="","",IF(COUNTIF(DE$3:DE307,DE307)+COUNTIF(DF$2:DF306,DE307)+COUNTIF(DG$2:DG306,DE307)=1,MAX(JL$2:JN306)+1,""))</f>
        <v/>
      </c>
      <c r="JM307" t="str">
        <f>IF(DF307="","",IF(COUNTIF(DE$3:DE307,DF307)+COUNTIF(DF$3:DF307,DF307)+COUNTIF(DG$2:DG306,DF307)=1,MAX(JL$2:JN306,JL307)+1,""))</f>
        <v/>
      </c>
      <c r="JN307" t="str">
        <f>IF(DG307="","",IF(COUNTIF(DE$3:DE307,DG307)+COUNTIF(DF$3:DF307,DG307)+COUNTIF(DG$3:DG307,DG307)=1,MAX(JL$2:JN306,JL307,JM307)+1,""))</f>
        <v/>
      </c>
      <c r="JO307" t="str">
        <f t="shared" si="683"/>
        <v>3х2,5</v>
      </c>
      <c r="JP307" t="str">
        <f>IF(JO307="","",IF(COUNTIF(JO$3:JO307,JO307)=1,MAX(JP$2:JP306)+1,""))</f>
        <v/>
      </c>
      <c r="JQ307" t="str">
        <f>IF(HG307="","",COUNTIF(HG$3:HG307,"?*"))</f>
        <v/>
      </c>
      <c r="JR307" t="str">
        <f>IF(OR(HG307="",HI307=""),"",IF(COUNTIFS(HG$3:HG307,"?*",HI$3:HI307,HI307)=1,MAX(JR$2:JR306)+1,""))</f>
        <v/>
      </c>
      <c r="JS307">
        <f t="shared" si="684"/>
        <v>0</v>
      </c>
      <c r="JT307">
        <f>IF(B307="","",COUNTIF(B$3:B307,"?*"))</f>
        <v>305</v>
      </c>
      <c r="JU307">
        <f>IF(HL307&lt;&gt;1,0,_xlfn.LET(_xlpm.k,MAX(IFERROR(--_xlfn.XLOOKUP(B307,Коды_код,Коды_3L),0),IFERROR(--_xlfn.XLOOKUP(BC307,Коды_код,Коды_3L),0),IFERROR(--_xlfn.XLOOKUP(LEFT(BC307,2),Коды_код,Коды_3L),0)),IF(_xlpm.k&gt;0,_xlpm.k,IF(IFERROR(--LEFT(SUBSTITUTE(JO307,"x","х"),FIND("х",SUBSTITUTE(JO307,"x","х"))-1),3)&gt;3,Каталог!$S$9,1))))</f>
        <v>1</v>
      </c>
      <c r="JV307">
        <f t="shared" si="685"/>
        <v>0</v>
      </c>
      <c r="JW307" t="str">
        <f t="shared" si="686"/>
        <v>авто</v>
      </c>
      <c r="JX307">
        <f t="shared" si="687"/>
        <v>30</v>
      </c>
      <c r="JY307">
        <f t="shared" si="688"/>
        <v>1</v>
      </c>
      <c r="JZ307">
        <f t="shared" si="689"/>
        <v>1</v>
      </c>
    </row>
    <row r="308" spans="1:286" x14ac:dyDescent="0.3">
      <c r="A308" t="s">
        <v>759</v>
      </c>
      <c r="B308" t="s">
        <v>1613</v>
      </c>
      <c r="C308" t="str">
        <f>Линии[[#This Row],[_авто наименование]]</f>
        <v>Розеточная группа, пом. 001T</v>
      </c>
      <c r="D308">
        <v>1</v>
      </c>
      <c r="E308">
        <v>0.06</v>
      </c>
      <c r="G308">
        <v>16</v>
      </c>
      <c r="H308" t="str">
        <f>Линии[[#This Row],[_авто управление]]</f>
        <v/>
      </c>
      <c r="I308" t="str">
        <f>Линии[[#This Row],[_авто аппараты]]</f>
        <v/>
      </c>
      <c r="J308">
        <v>2.5</v>
      </c>
      <c r="K308">
        <v>19</v>
      </c>
      <c r="L308">
        <v>1</v>
      </c>
      <c r="M308" t="str">
        <f>Линии[[#This Row],[_авто клемма]]</f>
        <v>XT25</v>
      </c>
      <c r="N308" t="str">
        <f t="shared" si="552"/>
        <v/>
      </c>
      <c r="O308" s="6" cm="1">
        <f t="array" ref="O308">IF(B308="","",IF(BH308&lt;&gt;"",IFERROR(_xlfn.XLOOKUP(BH308,Щиты[Щит],Щиты[Iр, А]),""),IF(BP308=1,IF(OR(N(_xlfn.XLOOKUP(A308,Щиты[Щит],Щиты[Вводов],1))&lt;=1,LOWER(TRIM(_xlfn.XLOOKUP(A308,Щиты[Щит],Щиты[АВР],"")&amp;""))="да"),IFERROR(_xlfn.XLOOKUP(A308,Щиты[Щит],Щиты[Iр, А]),""),IFERROR(N(BS308)*_xlfn.XLOOKUP(A308,Щиты[Щит],Щиты[Кс итог])/(SQRT(3)*Uн_лин*_xlfn.XLOOKUP(A308,Щиты[Щит],Щиты[cos φ])),"")),IF(BV308=1,IFERROR(BS308*1000/BU308,""),IFERROR(_xlfn.IFS(BX308=1,BS308/((Uн_лин/SQRT(3))*CE308),BX308=3,BS308/(SQRT(3)*Uн_лин*CE308)),"")))))</f>
        <v>0.27348170645824377</v>
      </c>
      <c r="P308" s="7">
        <f>IF(B308="","",IFERROR(IF(VLOOKUP(BC308,Потребители_обозначение,4,FALSE)=1,VLOOKUP(BC308,Потребители_обозначение,3,FALSE)*(MAX(1,N(D308))*2-1)+EI308+VLOOKUP(BE308,Этаж_обозначение,3,FALSE)+VLOOKUP(BE308,Этаж_обозначение,4,FALSE),VLOOKUP(BC308,Потребители_обозначение,3,FALSE)*(MAX(1,N(D308))*2-1)+EI308),EI308))</f>
        <v>22</v>
      </c>
      <c r="Q308" s="6">
        <f t="shared" si="553"/>
        <v>1.84</v>
      </c>
      <c r="R308" t="str">
        <f t="shared" si="554"/>
        <v>ВВГнг(А)-LS (3х2,5)</v>
      </c>
      <c r="S308" t="str">
        <f>IF(BM308="","",IF(BN308="вводной узел","узел ","")&amp;"л."&amp;(INT((BM308-1)/Столбцов_на_лист)+1)&amp;" / "&amp;(MOD(BM308-1,Столбцов_на_лист)+1))</f>
        <v>л.3 / 3</v>
      </c>
      <c r="T308" s="119">
        <f t="shared" si="555"/>
        <v>0.3</v>
      </c>
      <c r="U308" s="7" t="str">
        <f>IF(OR(CG308=0,N(BV308)+N(IB308)=0),"",ROUNDUP(Запас_БП*(N(HY308)+N(HZ308)),0))</f>
        <v/>
      </c>
      <c r="V308" s="119" t="str">
        <f t="shared" si="556"/>
        <v/>
      </c>
      <c r="W308" s="7" t="str">
        <f>IFERROR(IF(OR(B308="",BP308=1,BV308=1,NOT(ISNUMBER(EN308)),N(DT308)=0),"",MAX(0,ROUNDDOWN((c_min*(Uн_лин*1000/SQRT(3))/(HT308*N(DT308))-_xlfn.XLOOKUP(A308,Щиты[Щит],Щиты[Zпетли на шинах, Ом]))*EN308/(2*ρкз_Cu),0))),"")</f>
        <v/>
      </c>
      <c r="Y308">
        <f>Линии[[#This Row],[_авто утечка]]</f>
        <v>30</v>
      </c>
      <c r="Z308">
        <v>1</v>
      </c>
      <c r="AA308">
        <v>230</v>
      </c>
      <c r="AB308" t="s">
        <v>562</v>
      </c>
      <c r="AG308" t="s">
        <v>810</v>
      </c>
      <c r="AI308" t="s">
        <v>561</v>
      </c>
      <c r="AK308" t="str">
        <f>Линии[[#This Row],[_авто модуль]]</f>
        <v/>
      </c>
      <c r="AM308">
        <v>37</v>
      </c>
      <c r="AN308" t="s">
        <v>11</v>
      </c>
      <c r="AO308">
        <v>3</v>
      </c>
      <c r="AQ308">
        <v>0</v>
      </c>
      <c r="AR308">
        <v>16</v>
      </c>
      <c r="AT308">
        <v>2</v>
      </c>
      <c r="BA308" cm="1">
        <f t="array" ref="BA308">ROW()-ROW(Линии[#Headers])</f>
        <v>306</v>
      </c>
      <c r="BC308" s="6" t="str">
        <f t="shared" si="557"/>
        <v>R</v>
      </c>
      <c r="BD308" t="str">
        <f t="shared" si="558"/>
        <v>3.001T.1</v>
      </c>
      <c r="BE308" t="str">
        <f t="shared" si="559"/>
        <v>3</v>
      </c>
      <c r="BF308" t="str">
        <f t="shared" si="560"/>
        <v>001T.1</v>
      </c>
      <c r="BG308" t="str">
        <f t="shared" si="561"/>
        <v>001T</v>
      </c>
      <c r="BH308" t="str">
        <f>IF(X308&lt;&gt;"",X308,IF(AND(B308&lt;&gt;"",B308&lt;&gt;A308,ISNUMBER(_xlfn.XMATCH(B308,Щиты[Щит]))),B308,""))</f>
        <v/>
      </c>
      <c r="BI308" t="str" cm="1">
        <f t="array" ref="BI308">IF(B308="","",IF(BH308&lt;&gt;"","Щит "&amp;BH308,_xlfn.LET(_xlpm.nm,IFERROR(_xlfn.XLOOKUP(BC308,Коды_код,Коды_имя)&amp;"",""),_xlpm.md,IFERROR(N(_xlfn.XLOOKUP(BC308,Коды_код,Коды_режим)),1),_xlpm.ex,IF(Имя_режим="по экспликации",IFERROR(_xlfn.XLOOKUP(BE308&amp;"|"&amp;BG308,Экспликация[Этаж]&amp;"|"&amp;Экспликация[Помещение],Экспликация[Название])&amp;"",""),""),_xlpm.rm,IF(BG308="","",IF(_xlpm.ex&lt;&gt;"",". "&amp;_xlpm.ex&amp;IF(Имя_пом="нет"," ("&amp;BG308&amp;")"," (пом. "&amp;BG308&amp;")"),IF(Имя_пом="нет"," ",", пом. ")&amp;BG308)),IF(_xlpm.nm="","",IF(_xlpm.md=2,_xlpm.nm&amp;" шлейф "&amp;BE308,_xlpm.nm&amp;_xlpm.rm)))))</f>
        <v>Розеточная группа, пом. 001T</v>
      </c>
      <c r="BJ308" t="str">
        <f t="shared" si="562"/>
        <v>Розеточная группа, пом. 001T</v>
      </c>
      <c r="BK308">
        <f>IFERROR(_xlfn.XMATCH(A308,Щиты[Щит]),0)</f>
        <v>11</v>
      </c>
      <c r="BL308">
        <f>_xlfn.LET(_xlpm.k,IFERROR(_xlfn.XLOOKUP(A308,Щиты[Щит],Щиты[Мест под вводной узел]),""),IF(_xlpm.k="",Столбцов_на_лист,N(_xlpm.k)))</f>
        <v>8</v>
      </c>
      <c r="BM308">
        <f t="shared" si="563"/>
        <v>37</v>
      </c>
      <c r="BN308" t="str">
        <f t="shared" si="564"/>
        <v>линии</v>
      </c>
      <c r="BO308" s="6">
        <f>IFERROR(N(_xlfn.XLOOKUP(BC308,Коды_код,Коды_квт)),0)</f>
        <v>0</v>
      </c>
      <c r="BP308">
        <f t="shared" si="565"/>
        <v>0</v>
      </c>
      <c r="BQ308" t="str">
        <f>IF(B308="","",IF(BH308&lt;&gt;"",IFERROR(_xlfn.XLOOKUP(BH308,Щиты[Щит],Щиты[Руст, кВт]),0),IF(BP308=1,IF(OR(N(_xlfn.XLOOKUP(A308,Щиты[Щит],Щиты[Вводов],1))&lt;=1,LOWER(TRIM(_xlfn.XLOOKUP(A308,Щиты[Щит],Щиты[АВР],"")&amp;""))="да"),IFERROR(_xlfn.XLOOKUP(A308,Щиты[Щит],Щиты[Руст, кВт]),0),SUMIFS(Линии[_Р для вводов],Линии[Щит],A308,Линии[Источник для режимов],GF308)),IF(BO308&gt;0,ROUND(BO308*MAX(1,N(D308)),3),""))))</f>
        <v/>
      </c>
      <c r="BR308">
        <f t="shared" si="566"/>
        <v>0.06</v>
      </c>
      <c r="BS308" s="6">
        <f>IF(B308="","",IF(BH308&lt;&gt;"",IFERROR(_xlfn.XLOOKUP(BH308,Щиты[Щит],Щиты[Руст, кВт]),0),N(BR308)))</f>
        <v>0.06</v>
      </c>
      <c r="BT308" t="str">
        <f>IF(B308="","",IFERROR(IF(VLOOKUP(BC308,Потребители_обозначение,8,FALSE)=0,"",VLOOKUP(BC308,Потребители_обозначение,8,FALSE)),""))</f>
        <v/>
      </c>
      <c r="BU308">
        <f t="shared" si="567"/>
        <v>230</v>
      </c>
      <c r="BV308">
        <f t="shared" si="568"/>
        <v>0</v>
      </c>
      <c r="BW308">
        <f>IF(B308="","",IF(BH308&lt;&gt;"",3,IFERROR(IF(N(VLOOKUP(BC308,Потребители_обозначение,9,FALSE))=0,1,VLOOKUP(BC308,Потребители_обозначение,9,FALSE)),1)))</f>
        <v>1</v>
      </c>
      <c r="BX308">
        <f t="shared" si="569"/>
        <v>1</v>
      </c>
      <c r="BY308" t="str">
        <f>IF(B308="","",_xlfn.LET(_xlpm.bc,IFERROR(IF(VLOOKUP(BC308,Потребители_обозначение,6,FALSE)=0,"",VLOOKUP(BC308,Потребители_обозначение,6,FALSE)&amp;""),""),IF(AND(GA308="да",OR(_xlpm.bc="",_xlpm.bc="мс")),Марка_пож,IF(AND(_xlpm.bc="",BH308&lt;&gt;""),"мс",_xlpm.bc))))</f>
        <v/>
      </c>
      <c r="BZ308" t="str">
        <f t="shared" si="570"/>
        <v>мс</v>
      </c>
      <c r="CA308">
        <f>IF(B308="","",_xlfn.LET(_xlpm.cc,IFERROR(N(VLOOKUP(BC308,Потребители_обозначение,7,FALSE)),0),IF(_xlpm.cc&gt;0,_xlpm.cc,IF(BZ308="","",IF(BV308=1,2,IF(N(BX308)=3,5,3))))))</f>
        <v>3</v>
      </c>
      <c r="CB308">
        <f t="shared" si="571"/>
        <v>3</v>
      </c>
      <c r="CC308">
        <f>IFERROR(N(VLOOKUP(BC308,Потребители_обозначение,10,FALSE)),0)</f>
        <v>0</v>
      </c>
      <c r="CD308">
        <f>IFERROR(VLOOKUP(BC308,Потребители_обозначение,5,FALSE),0)</f>
        <v>1</v>
      </c>
      <c r="CE308" s="6" cm="1">
        <f t="array" ref="CE308">IF(B308="","",IF(BH308&lt;&gt;"",IFERROR(_xlfn.XLOOKUP(BH308,Щиты[Щит],Щиты[cos φ]),0.95),IF(BP308=1,IFERROR(_xlfn.XLOOKUP(A308,Щиты[Щит],Щиты[cos φ]),0.95),IF(ISNUMBER(AD308),AD308,IFERROR(IF(CD308=2,_xlfn.IFS(BX308=3,VLOOKUP(BS308,Справочная_двигатели,8,FALSE),BX308=1,VLOOKUP(BS308,Справочная_двигатели,10,TRUE)),IF(AND(Методика="нормы 2026",FG308="Сил"),0.8,0.95)),0.95)))))</f>
        <v>0.95</v>
      </c>
      <c r="CF308">
        <f t="shared" si="572"/>
        <v>0</v>
      </c>
      <c r="CG308">
        <f t="shared" si="573"/>
        <v>1</v>
      </c>
      <c r="CH308">
        <f t="shared" si="574"/>
        <v>0</v>
      </c>
      <c r="CI308">
        <f>IF(B308="","",IF(BV308=1,IFERROR(BS308/((Uн_лин/SQRT(3))*MAX(0.5,N(CE308))),0),N(O308)))</f>
        <v>0.27348170645824377</v>
      </c>
      <c r="CJ308">
        <f t="shared" si="575"/>
        <v>0</v>
      </c>
      <c r="CK308">
        <f t="shared" si="576"/>
        <v>0</v>
      </c>
      <c r="CL308">
        <f t="shared" si="577"/>
        <v>0</v>
      </c>
      <c r="CM308">
        <f t="shared" si="578"/>
        <v>0</v>
      </c>
      <c r="CN308">
        <f t="shared" si="579"/>
        <v>0</v>
      </c>
      <c r="CO308">
        <f>IF(BC308="",0,_xlfn.LET(_xlpm.v,IFERROR(_xlfn.XLOOKUP(B308,Коды_код,Коды_мА),IFERROR(_xlfn.XLOOKUP(BC308,Коды_код,Коды_мА),IFERROR(_xlfn.XLOOKUP(LEFT(BC308,2),Коды_код,Коды_мА),""))),IF(_xlpm.v="да",30,IF(ISNUMBER(_xlpm.v),_xlpm.v,0))))</f>
        <v>30</v>
      </c>
      <c r="CP308">
        <f t="shared" si="580"/>
        <v>30</v>
      </c>
      <c r="CQ308" t="str">
        <f>_xlfn.LET(_xlpm.k,IFERROR(_xlfn.XLOOKUP(BC308,Коды_код,Коды_утечка)&amp;"",""),IF(_xlpm.k="","дифавтомат",_xlpm.k))</f>
        <v>дифавтомат</v>
      </c>
      <c r="CR308" t="str" cm="1">
        <f t="array" ref="CR308">IF(CG308=0,"",_xlfn.LET(_xlpm.sg,TRIM(_xlfn.TEXTSPLIT(DD308&amp;"",";")),_xlpm.f_,_xlfn._xlws.FILTER(_xlpm.sg,LEFT(_xlpm.sg,3)="УЗО",""),IFERROR(INDEX(_xlpm.f_,1)&amp;"","")))</f>
        <v/>
      </c>
      <c r="CS308" t="str">
        <f t="shared" si="581"/>
        <v/>
      </c>
      <c r="CT308" s="6" t="str" cm="1">
        <f t="array" ref="CT308">IF(CR308="","",_xlfn.LET(_xlpm.tk,_xlfn.TEXTSPLIT(UPPER(CR308)," ",,TRUE),_xlpm.a_,_xlfn._xlws.FILTER(_xlpm.tk,ISNUMBER(--LEFT(_xlpm.tk,1))*((ISNUMBER(SEARCH("А",_xlpm.tk))+ISNUMBER(SEARCH("A",_xlpm.tk)))&gt;0)*NOT(ISNUMBER(SEARCH("МА",_xlpm.tk)))*NOT(ISNUMBER(SEARCH("MA",_xlpm.tk))),""),IFERROR(--SUBSTITUTE(SUBSTITUTE(INDEX(_xlpm.a_,1),"А",""),"A",""),"")))</f>
        <v/>
      </c>
      <c r="CU308" t="str" cm="1">
        <f t="array" ref="CU308">IF(CR308="","",_xlfn.LET(_xlpm.tk,_xlfn.TEXTSPLIT(UPPER(CR308)," ",,TRUE),_xlpm.a_,_xlfn._xlws.FILTER(_xlpm.tk,ISNUMBER(--LEFT(_xlpm.tk,1))*((ISNUMBER(SEARCH("МА",_xlpm.tk))+ISNUMBER(SEARCH("MA",_xlpm.tk)))&gt;0),""),IFERROR(--SUBSTITUTE(SUBSTITUTE(INDEX(_xlpm.a_,1),"МА",""),"MA",""),30)))</f>
        <v/>
      </c>
      <c r="CV308" t="str">
        <f>IF(CS308="","",IFERROR(_xlfn.XLOOKUP(CS308,Линии[_n],Линии[_УЗО, мА]),30))</f>
        <v/>
      </c>
      <c r="CW308">
        <f>IF(CS308="",0,IF(ISNUMBER(SEARCH("4P",IFERROR(_xlfn.XLOOKUP(CS308,Линии[_n],Линии[_УЗО строки])&amp;"",""))),0,1))</f>
        <v>0</v>
      </c>
      <c r="CX308" t="str">
        <f>IF(AND(CS308&lt;&gt;"",CS308=BA308),SUMIFS(Линии[_ток на 230 В],Линии[_блок УЗО],BA308,Линии[Щит],A308),"")</f>
        <v/>
      </c>
      <c r="CY308" t="str">
        <f>IF(AND(CS308&lt;&gt;"",CS308=BA308),SUMIFS(Линии[_ток утечки линии, мА],Линии[_блок УЗО],BA308,Линии[Щит],A308),"")</f>
        <v/>
      </c>
      <c r="CZ308">
        <f t="shared" si="582"/>
        <v>30</v>
      </c>
      <c r="DA308">
        <f t="shared" si="583"/>
        <v>30</v>
      </c>
      <c r="DB308">
        <f>IF(B308="",0,IFERROR(--_xlfn.XLOOKUP(B308,Коды_код,Коды_минавт),IFERROR(--_xlfn.XLOOKUP(BC308,Коды_код,Коды_минавт),IFERROR(--_xlfn.XLOOKUP(LEFT(BC308,2),Коды_код,Коды_минавт),0))))</f>
        <v>16</v>
      </c>
      <c r="DC308" t="str">
        <f>IF(B308="","",IFERROR(_xlfn.XLOOKUP(BC308,Коды_код,Коды_апп)&amp;"",""))</f>
        <v/>
      </c>
      <c r="DD308" t="str">
        <f t="shared" si="584"/>
        <v/>
      </c>
      <c r="DE308" t="str" cm="1">
        <f t="array" ref="DE308">IF(TRIM(DD308&amp;"")="","",IFERROR(TRIM(INDEX(_xlfn.TEXTSPLIT(DD308&amp;";;;",";"),1)),""))</f>
        <v/>
      </c>
      <c r="DF308" t="str" cm="1">
        <f t="array" ref="DF308">IF(TRIM(DD308&amp;"")="","",IFERROR(TRIM(INDEX(_xlfn.TEXTSPLIT(DD308&amp;";;;",";"),2)),""))</f>
        <v/>
      </c>
      <c r="DG308" t="str" cm="1">
        <f t="array" ref="DG308">IF(TRIM(DD308&amp;"")="","",IFERROR(TRIM(INDEX(_xlfn.TEXTSPLIT(DD308&amp;";;;",";"),3)),""))</f>
        <v/>
      </c>
      <c r="DH308">
        <f t="shared" si="585"/>
        <v>0</v>
      </c>
      <c r="DI308" t="str">
        <f>IF(B308="","",_xlfn.LET(_xlpm.t,LOWER(AZ308&amp;""),IF(ISNUMBER(SEARCH("dim",_xlpm.t)),"DIM",IF(ISNUMBER(SEARCH("dali",_xlpm.t)),"DALI",IF(OR(ISNUMBER(SEARCH("relay",_xlpm.t)),ISNUMBER(SEARCH("реле",_xlpm.t))),"Relay",IF(ISNUMBER(SEARCH("кнопк",_xlpm.t)),"",IFERROR(_xlfn.XLOOKUP(BC308,Коды_код,Коды_упр)&amp;"","")))))))</f>
        <v/>
      </c>
      <c r="DJ308" t="str">
        <f t="shared" si="586"/>
        <v/>
      </c>
      <c r="DK308">
        <f>IF(B308="","",_xlfn.LET(_xlpm.ig,IF(N(CX308)&gt;0,N(CX308),N(CI308)+IF(AJ308="вручную",0,N(CJ308))),_xlpm.n0,IFERROR(VLOOKUP(_xlpm.ig,Автомат_номиналы,2,TRUE),0),_xlpm.mn,MAX(DB308,IF(AJ308="вручную",0,N(CM308))),MAX(_xlpm.n0,_xlpm.mn,IF(DH308=1,Мин_автомат_БП,0))))</f>
        <v>16</v>
      </c>
      <c r="DL308">
        <f t="shared" si="587"/>
        <v>1</v>
      </c>
      <c r="DM308" t="str">
        <f t="shared" si="588"/>
        <v>2P</v>
      </c>
      <c r="DN308" t="str">
        <f>_xlfn.LET(_xlpm.cc,UPPER(TRIM(IFERROR(_xlfn.XLOOKUP(BC308,Коды_код,Коды_хар)&amp;"",""))),IF(OR(_xlpm.cc="B",_xlpm.cc="В"),"B",IF(_xlpm.cc="D","D","С")))</f>
        <v>С</v>
      </c>
      <c r="DO308" t="str">
        <f t="shared" si="589"/>
        <v>2P С16А 30мА</v>
      </c>
      <c r="DP308">
        <f t="shared" si="590"/>
        <v>16</v>
      </c>
      <c r="DQ308" t="str">
        <f t="shared" si="591"/>
        <v>2P С16А 30мА</v>
      </c>
      <c r="DR308" cm="1">
        <f t="array" ref="DR308">IF(DQ308="","",_xlfn.LET(_xlpm.t,SUBSTITUTE(SUBSTITUTE(SUBSTITUTE(UPPER(DQ308),"С","C"),"А","A"),"В","B"),_xlpm.tk,_xlfn.TEXTSPLIT(_xlpm.t," "),_xlpm.f,_xlfn._xlws.FILTER(_xlpm.tk,ISNUMBER(--MID(_xlpm.tk,2,1))*ISNUMBER(SEARCH(LEFT(_xlpm.tk,1)&amp;"#","B#C#D#"))*(LEN(_xlpm.tk)&gt;1),""),_xlpm.x,INDEX(_xlpm.f,1),IFERROR(--SUBSTITUTE(MID(_xlpm.x,2,9),"A",""),IFERROR(--SUBSTITUTE(INDEX(_xlfn._xlws.FILTER(_xlpm.tk,ISNUMBER(--SUBSTITUTE(_xlpm.tk,"A","")),""),1),"A",""),""))))</f>
        <v>16</v>
      </c>
      <c r="DS308" t="str">
        <f t="shared" si="592"/>
        <v>ok</v>
      </c>
      <c r="DT308">
        <f t="shared" si="593"/>
        <v>16</v>
      </c>
      <c r="DU308" t="str">
        <f t="shared" si="594"/>
        <v>2P С16А 30мА</v>
      </c>
      <c r="DV308">
        <f t="shared" si="595"/>
        <v>30</v>
      </c>
      <c r="DW308">
        <f t="shared" si="596"/>
        <v>1</v>
      </c>
      <c r="DX308">
        <f t="shared" si="597"/>
        <v>0</v>
      </c>
      <c r="DY308">
        <f t="shared" si="598"/>
        <v>0.27348170645824377</v>
      </c>
      <c r="DZ308">
        <f t="shared" si="599"/>
        <v>1</v>
      </c>
      <c r="EA308">
        <f>IF(ISNUMBER(AP308),AP308,К_прокл)</f>
        <v>1</v>
      </c>
      <c r="EB308">
        <f t="shared" si="600"/>
        <v>2</v>
      </c>
      <c r="EC308">
        <f>IFERROR(N(VLOOKUP(BZ308,Кабель_обозначение,3,FALSE)),1)</f>
        <v>1</v>
      </c>
      <c r="ED308">
        <f>IFERROR(N(_xlfn.XLOOKUP(A308,Щиты[Щит],Щиты[ΔU до шин, %])),0)</f>
        <v>1.79</v>
      </c>
      <c r="EE308" t="str">
        <f>IFERROR(_xlfn.XLOOKUP(A308,Щиты[Щит],Щиты[Zпетли на шинах, Ом]),"")</f>
        <v/>
      </c>
      <c r="EF308">
        <f>IFERROR(N(_xlfn.XLOOKUP(A308,Щиты[Щит],Щиты[ΔU до шин (подбор), %])),0)</f>
        <v>4.75</v>
      </c>
      <c r="EG308" t="str">
        <f>IFERROR(_xlfn.XLOOKUP(A308,Щиты[Щит],Щиты[Zпетли на шинах (подбор), Ом]),"")</f>
        <v/>
      </c>
      <c r="EH308" t="str">
        <f t="shared" si="601"/>
        <v/>
      </c>
      <c r="EI308">
        <f t="shared" si="602"/>
        <v>19</v>
      </c>
      <c r="EJ308">
        <f t="shared" si="603"/>
        <v>2</v>
      </c>
      <c r="EK308">
        <f t="shared" si="604"/>
        <v>0.31</v>
      </c>
      <c r="EL308" s="6">
        <f>IF(B308="","",IF(BV308=1,dU_LED,IF(IFERROR(_xlfn.XLOOKUP(BC308,Коды_код,Коды_уго),"")="Светильник",3,4)+IF(Методика="нормы 2026",MIN(0.5,MAX(0,N(P308)-100)*0.005),0)))</f>
        <v>4</v>
      </c>
      <c r="EM308" t="str" cm="1">
        <f t="array" ref="EM308">IF(OR(B308="",BZ308="",EC308&lt;&gt;1),"",_xlfn.LET(_xlpm.sz,Iдоп_S,_xlpm.t_,CHOOSE(EB308,Iдоп_1ж,Iдоп_2ж,Iдоп_3ж)*DZ308*EA308,_xlpm.dcx,BV308=1,_xlpm.inn,IF(_xlpm.dcx,N(O308),N(DT308)),_xlpm.smin,MAX(1.5,CC308),_xlpm.L_,N(P308)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308)/N(BU308)*100,999),IFERROR(N(EJ308)*(_xlpm.rho*_xlpm.L_/_xlpm.sz*N(CE308)+_xlpm.xx*_xlpm.L_*N(EK308)/1000)*N(O308)/((Uн_лин/SQRT(3))*1000)*100,999)),_xlpm.kz,IF(OR(_xlpm.dcx,DW308=1,NOT(ISNUMBER(EG308)),_xlpm.L_=0,_xlpm.inn=0),1,IFERROR(--(c_min*(Uн_лин*1000/SQRT(3))/(EG308+2*ρкз_Cu*_xlpm.L_/_xlpm.sz)&gt;=HT308*_xlpm.inn),0)),_xlpm.ok,IFERROR((_xlpm.sz&gt;=_xlpm.smin)*(_xlpm.t_&gt;=_xlpm.inn)*IF(_xlpm.L_&gt;0,(_xlpm.du_+IF(_xlpm.dcx,0,EF308)&lt;=EL308+0.00001),1)*_xlpm.kz,0),_xlpm.r_,_xlfn._xlws.FILTER(_xlpm.sz,_xlpm.ok,"не подобрано"),INDEX(_xlpm.r_,1)))</f>
        <v>не подобрано</v>
      </c>
      <c r="EN308">
        <f t="shared" si="605"/>
        <v>2.5</v>
      </c>
      <c r="EO308" cm="1">
        <f t="array" ref="EO308">IF(OR(B308="",BZ308="",EC308&lt;&gt;1),"",_xlfn.LET(_xlpm.sz,Iдоп_S,_xlpm.t_,CHOOSE(EB308,Iдоп_1ж,Iдоп_2ж,Iдоп_3ж)*DZ308*EA308,_xlpm.ok,IFERROR((_xlpm.sz&gt;=MAX(1.5,CC308))*(_xlpm.t_&gt;=N(DT308)),0),_xlpm.r_,_xlfn._xlws.FILTER(_xlpm.sz,_xlpm.ok,""),INDEX(_xlpm.r_,1)))</f>
        <v>1.5</v>
      </c>
      <c r="EP308" s="6" cm="1">
        <f t="array" ref="EP308">IFERROR(ROUNDUP(N(EJ308)*(_xlfn.XLOOKUP(EO308,INDEX(Кабель_сопротивление,0,1),INDEX(Кабель_сопротивление,0,3))*N(P308)/EO308*N(CE308)+_xlfn.XLOOKUP(EO308,INDEX(Кабель_сопротивление,0,1),INDEX(Кабель_сопротивление,0,2))*N(P308)*N(EK308)/1000)*N(O308)/((Uн_лин/SQRT(3))*1000)*100,2),"")</f>
        <v>0.08</v>
      </c>
      <c r="EQ308">
        <f>IFERROR(2*ρкз_Cu*N(P308)/EO308,"")</f>
        <v>0.77146666666666663</v>
      </c>
      <c r="ER308">
        <f>IFERROR(VLOOKUP(EN308,Кабель_сопротивление,3,FALSE),"")</f>
        <v>2.2499999999999999E-2</v>
      </c>
      <c r="ES308">
        <f>IFERROR(VLOOKUP(EN308,Кабель_сопротивление,2,FALSE),"")</f>
        <v>0.1</v>
      </c>
      <c r="ET308">
        <f t="shared" si="606"/>
        <v>16</v>
      </c>
      <c r="EU308">
        <f t="shared" si="607"/>
        <v>18</v>
      </c>
      <c r="EV308">
        <f t="shared" si="608"/>
        <v>0.10325684701720034</v>
      </c>
      <c r="EW308" s="6">
        <f>IFERROR(ROUNDUP(EV308/IF(BV308=1,BU308,(Uн_лин/SQRT(3))*1000)*100,2),"")</f>
        <v>0.05</v>
      </c>
      <c r="EX308" t="str">
        <f>IFERROR(VLOOKUP(BZ308,Кабель_обозначение,2,FALSE),"")</f>
        <v>ВВГнг(А)-LS</v>
      </c>
      <c r="EY308" t="str">
        <f t="shared" si="609"/>
        <v>ВВГнг(А)-LS (3х2,5)</v>
      </c>
      <c r="EZ308" t="str">
        <f t="shared" si="610"/>
        <v>ВВГнг(А)-LS (3х2,5)
L=22-0,05%</v>
      </c>
      <c r="FA308">
        <f>IFERROR(2*ρкз_Cu*P308/EN308,"")</f>
        <v>0.46288000000000001</v>
      </c>
      <c r="FB308">
        <f t="shared" si="611"/>
        <v>0.154</v>
      </c>
      <c r="FC308" s="6" t="str">
        <f>IFERROR(IF(OR(B308="",BV308=1,NOT(ISNUMBER(EN308)),N(P308)=0),"",_xlfn.XLOOKUP(A308,Щиты[Щит],Щиты[Zпетли на шинах, Ом])+FA308),"")</f>
        <v/>
      </c>
      <c r="FD308" s="6" t="str">
        <f>IF(ISNUMBER(FC308),c_min*(Uн_лин*1000/SQRT(3))/FC308,"")</f>
        <v/>
      </c>
      <c r="FE308" s="6" t="str">
        <f>IFERROR(IF(OR(B308="",NOT(ISNUMBER(EN308))),"",1.05*(Uн_лин*1000/SQRT(3))/(_xlfn.XLOOKUP(A308,Щиты[Щит],Щиты[Zmax на шинах, Ом])+FB308)/1000),"")</f>
        <v/>
      </c>
      <c r="FF308" s="6" t="str">
        <f>IF(B308="","",IF(ISNUMBER(AC308),"Сил",IF(IFERROR(_xlfn.XLOOKUP(BC308,Коды_код,Коды_группа)&amp;"","")="","Быт",_xlfn.XLOOKUP(BC308,Коды_код,Коды_группа)&amp;"")))</f>
        <v>Быт</v>
      </c>
      <c r="FG308" s="6" t="str">
        <f t="shared" si="612"/>
        <v>Быт</v>
      </c>
      <c r="FH308" s="6">
        <f>IF(FG308="Щит","щит",IF(FG308="","",IF(FG308="Быт",IFERROR(_xlfn.XLOOKUP(A308,Щиты[Щит],Щиты[Кс быт]),1),IF(FG308="Сил",IF(ISNUMBER(AC308),AC308,IF(Методика="нормы 2026",IFERROR(_xlfn.XLOOKUP(A308,Щиты[Щит],Щиты[Кс силовых (табл. 7.5)]),1),1)),IF(OR(FG308="Пост",FG308="Отоп"),1,IF(FG308="ВНГ",0.7,0))))))</f>
        <v>0.8</v>
      </c>
      <c r="FI308">
        <f>IF(FG308="","",IF(AND(BP308=1,TRIM(AE308&amp;"")=""),IF(COUNTIFS(Линии[Щит],A308,Линии[Секция (1/2/3)],"&gt;=2")&gt;0,MIN(3,MAX(1,IFERROR(--BD308,1))),1),IFERROR(MIN(3,MAX(1,INT(--AE308))),1)))</f>
        <v>1</v>
      </c>
      <c r="FJ308">
        <f t="shared" si="613"/>
        <v>0.06</v>
      </c>
      <c r="FK308">
        <f t="shared" si="614"/>
        <v>0.06</v>
      </c>
      <c r="FL308">
        <f t="shared" si="615"/>
        <v>0</v>
      </c>
      <c r="FM308">
        <f t="shared" si="616"/>
        <v>0</v>
      </c>
      <c r="FN308">
        <f t="shared" si="617"/>
        <v>0</v>
      </c>
      <c r="FO308">
        <f t="shared" si="618"/>
        <v>0</v>
      </c>
      <c r="FP308">
        <f t="shared" si="619"/>
        <v>0.06</v>
      </c>
      <c r="FQ308">
        <f t="shared" si="620"/>
        <v>0.06</v>
      </c>
      <c r="FR308">
        <f t="shared" si="621"/>
        <v>5.6999999999999995E-2</v>
      </c>
      <c r="FS308">
        <f>IF(CG308=1,IF(AND(CH308=1,CW308=1),0,IF(AND(CS308&lt;&gt;"",CS308=BA308,CW308=1),SUMIFS(Линии[_Р линии, кВт],Линии[_блок УЗО],BA308,Линии[Щит],A308),N(BS308)+IF(AJ308="вручную",0,N(CK308)))),0)</f>
        <v>0.06</v>
      </c>
      <c r="FT308" t="str">
        <f t="shared" si="622"/>
        <v>L1</v>
      </c>
      <c r="FU308" t="str">
        <f>IF(B308="","",IF(CG308=0,IF(BA308=1,"",FW307),IF(AND(CH308=1,CW308=1,CS308&lt;&gt;""),IFERROR(_xlfn.XLOOKUP(CS308,Линии[_n],Линии[_фаза итог]),"L1"),IF(OR(N(DL308)&gt;=3,N(BX308)&gt;=3),"L1,L2,L3",IFERROR(_xlfn.TEXTBEFORE(_xlfn.TEXTAFTER(_xlfn.XLOOKUP(A308,Щиты[Щит],Щиты[_фазы авто]),";"&amp;BA308&amp;":"),";"),"L1")))))</f>
        <v>L1</v>
      </c>
      <c r="FV308" t="str">
        <f t="shared" si="623"/>
        <v>L1</v>
      </c>
      <c r="FW308" t="str">
        <f t="shared" si="624"/>
        <v>L1</v>
      </c>
      <c r="FX308" cm="1">
        <f t="array" ref="FX308">IFERROR(IF(CD308=2,_xlfn.IFS(BX308=3,VLOOKUP(BS308,Справочная_двигатели,3,FALSE),BX308=1,VLOOKUP(BS308,Справочная_двигатели,5,TRUE)),0),0)</f>
        <v>0</v>
      </c>
      <c r="FY308">
        <f>IFERROR(IF(CD308=3,VLOOKUP(BS308,Справочная_ЛЭД,2,TRUE),0),0)</f>
        <v>0</v>
      </c>
      <c r="FZ308" s="6">
        <f t="shared" si="625"/>
        <v>0</v>
      </c>
      <c r="GA308" t="str">
        <f>IF(B308="","",IF(TRIM(AH308&amp;"")&lt;&gt;"",IF(LOWER(TRIM(AH308&amp;""))="да","да","нет"),IF(IFERROR(_xlfn.XLOOKUP(BC308,Коды_код,Коды_пожарная),"")="да","да","нет")))</f>
        <v>нет</v>
      </c>
      <c r="GB308" t="str">
        <f t="shared" si="626"/>
        <v/>
      </c>
      <c r="GC308" t="str">
        <f t="shared" si="627"/>
        <v>основная</v>
      </c>
      <c r="GD308">
        <f>IF(AND(BP308=1,TRIM(AE308&amp;"")=""),IF(COUNTIFS(Линии[Щит],A308,Линии[Секция (1/2/3)],"&gt;=2")&gt;0,MIN(3,MAX(1,IFERROR(--BD308,1))),1),IFERROR(MIN(3,MAX(1,INT(--AE308))),1))</f>
        <v>1</v>
      </c>
      <c r="GE308" t="str" cm="1">
        <f t="array" ref="GE308">IF(B308="","",_xlfn.LET(_xlpm.t,IFERROR(_xlfn.XLOOKUP(1,(Шины[Шина]=GC308)*(((Шины[Щит]=A308)+(Шины[Щит]=""))&gt;0),Шины[Тип]),"")&amp;"",IF(_xlpm.t&lt;&gt;"",_xlpm.t,IF(ISNUMBER(SEARCH("ИБП",GC308)),"ИБП",IF(ISNUMBER(SEARCH("ДГУ",GC308)),"ДГУ","Ввод "&amp;GD308)))))</f>
        <v>Ввод 1</v>
      </c>
      <c r="GF308" t="str">
        <f t="shared" si="628"/>
        <v>Ввод 1</v>
      </c>
      <c r="GG308" t="str">
        <f>IF(BP308=0,"",IF(TRIM(AG308&amp;"")&lt;&gt;"",TRIM(AG308&amp;""),IF(OR(GE308="ИБП",GE308="ДГУ"),"I особая",_xlfn.XLOOKUP(A308,Щиты[Щит],Щиты[Категория шины «Ввод»],"III"))))</f>
        <v/>
      </c>
      <c r="GH308" t="str">
        <f>IF(A308="","",_xlfn.XLOOKUP(A308,Щиты[Щит],Щиты[Путь],""))</f>
        <v>|ГРЩ-ЖД|ЩР-2|</v>
      </c>
      <c r="GI308" t="str">
        <f>IF(B308="","",IF(AI308&lt;&gt;"",AI308,IF(IFERROR(_xlfn.XLOOKUP(BC308,Коды_код,Коды_вид)&amp;"","")="","Прочее",_xlfn.XLOOKUP(BC308,Коды_код,Коды_вид)&amp;"")))</f>
        <v>Розеточная сеть и бытовые приборы</v>
      </c>
      <c r="GJ308">
        <f>IF(BM308="","",INT((BM308-1)/Столбцов_на_лист)+1)</f>
        <v>3</v>
      </c>
      <c r="GK308" t="str">
        <f t="shared" si="629"/>
        <v>ВВГнг(А)-LS (3х2,5) L=22-0,05%</v>
      </c>
      <c r="GL308">
        <f t="shared" si="630"/>
        <v>0.06</v>
      </c>
      <c r="GM308">
        <f t="shared" si="631"/>
        <v>0.28000000000000003</v>
      </c>
      <c r="GN308">
        <f t="shared" si="632"/>
        <v>1</v>
      </c>
      <c r="GO308">
        <f t="shared" si="633"/>
        <v>0</v>
      </c>
      <c r="GP308">
        <f t="shared" si="634"/>
        <v>1</v>
      </c>
      <c r="GQ308">
        <f>IF(BM308="","",IF(AND(CG308=1,GP308=1),COUNTIFS(A$3:A308,A308,CG$3:CG308,1,GP$3:GP308,1),IF(OR(OR(BA308=1,A308&lt;&gt;A307),AJ308="вручную",GP308=0),"",IF(BA308=1,"",GR307))))</f>
        <v>25</v>
      </c>
      <c r="GR308">
        <f t="shared" si="635"/>
        <v>25</v>
      </c>
      <c r="GS308">
        <f>IF(B308="","",IFERROR(LOOKUP(INDEX(CHOOSE(EB308,Iдоп_1ж,Iдоп_2ж,Iдоп_3ж),MATCH(EN308,Iдоп_S,0))*DZ308*EA308,{6,10,16,20,25,32,40,50,63,80,100,125,160,200,250,315,400,500,630}),""))</f>
        <v>25</v>
      </c>
      <c r="GT308" t="str">
        <f t="shared" si="636"/>
        <v>QFD25</v>
      </c>
      <c r="GU308" t="str">
        <f t="shared" si="637"/>
        <v>QFD25</v>
      </c>
      <c r="GV308" t="str">
        <f t="shared" si="638"/>
        <v/>
      </c>
      <c r="GW308">
        <f t="shared" si="639"/>
        <v>0</v>
      </c>
      <c r="GX308" t="str">
        <f>IF(OR(B308="",DJ308=""),"",IFERROR(_xlfn.XLOOKUP(DJ308,Модули_умолч[Управление],Модули_умолч[Модель])&amp;"",""))</f>
        <v/>
      </c>
      <c r="GY308">
        <f>IF(DJ308="",1,IFERROR(MAX(0,N(_xlfn.XLOOKUP(DJ308,Модули_умолч[Управление],Модули_умолч[Каналов на линию]))),1))</f>
        <v>1</v>
      </c>
      <c r="GZ308" t="str">
        <f t="shared" si="640"/>
        <v/>
      </c>
      <c r="HA308" t="str">
        <f t="shared" si="641"/>
        <v/>
      </c>
      <c r="HB308" t="str">
        <f t="shared" si="642"/>
        <v/>
      </c>
      <c r="HC308">
        <f>IF(HB308="",0,IFERROR(N(VLOOKUP(HB308,Модули_спр,3,FALSE)),0))</f>
        <v>0</v>
      </c>
      <c r="HD308" t="str">
        <f t="shared" si="643"/>
        <v/>
      </c>
      <c r="HE308" t="str">
        <f t="shared" si="644"/>
        <v/>
      </c>
      <c r="HF308" t="str">
        <f>IF(OR(HE308="",HE308="-"),"",IFERROR(VLOOKUP(HE308,Модули_спр,2,FALSE),"R"))</f>
        <v/>
      </c>
      <c r="HG308" t="str">
        <f>IF(HF308="","",HF308&amp;"."&amp;COUNTIFS(A$3:A308,A308,HF$3:HF308,HF308))</f>
        <v/>
      </c>
      <c r="HH308" t="str">
        <f t="shared" si="645"/>
        <v/>
      </c>
      <c r="HI308" t="str">
        <f t="shared" si="646"/>
        <v/>
      </c>
      <c r="HJ308" t="str">
        <f t="shared" si="647"/>
        <v/>
      </c>
      <c r="HK308" t="str">
        <f t="shared" si="648"/>
        <v/>
      </c>
      <c r="HL308">
        <f t="shared" si="649"/>
        <v>1</v>
      </c>
      <c r="HM308" t="str">
        <f>IF(HL308=1,"XT"&amp;COUNTIFS(A$3:A308,A308,HL$3:HL308,1),"")</f>
        <v>XT25</v>
      </c>
      <c r="HN308" t="str">
        <f t="shared" si="650"/>
        <v>XT25</v>
      </c>
      <c r="HO308" t="str">
        <f t="shared" si="651"/>
        <v>QFD25</v>
      </c>
      <c r="HP308" t="str">
        <f t="shared" si="652"/>
        <v/>
      </c>
      <c r="HQ308" t="str">
        <f t="shared" si="653"/>
        <v>ok</v>
      </c>
      <c r="HR308" t="str">
        <f>IF(OR(HJ308="",HH308=""),"",IF(HJ308+MAX(0,GY308-1)&gt;IFERROR(VLOOKUP(HI308,Модули_спр,3,FALSE),99),"ЛИШНИЙ КАНАЛ",IF(AND(AL308&lt;&gt;"=",GY308&gt;0,COUNTIFS(Линии[_модуль гр.],HH308,Линии[Канал (итог)],HJ308,Линии[Канал],"&lt;&gt;=",Линии[Щит],A308)&gt;1),"ДУБЛЬ КАНАЛА","")))</f>
        <v/>
      </c>
      <c r="HS308" s="6" t="str">
        <f t="shared" si="654"/>
        <v/>
      </c>
      <c r="HT308">
        <f t="shared" si="655"/>
        <v>10</v>
      </c>
      <c r="HU308" t="str">
        <f t="shared" si="656"/>
        <v/>
      </c>
      <c r="HV308">
        <f t="shared" si="657"/>
        <v>0.32939268258329751</v>
      </c>
      <c r="HW308">
        <f t="shared" si="658"/>
        <v>0</v>
      </c>
      <c r="HX308">
        <f t="shared" si="659"/>
        <v>0</v>
      </c>
      <c r="HY308">
        <f t="shared" si="660"/>
        <v>0</v>
      </c>
      <c r="HZ308">
        <f t="shared" si="661"/>
        <v>0</v>
      </c>
      <c r="IA308">
        <f t="shared" si="662"/>
        <v>0</v>
      </c>
      <c r="IB308">
        <f t="shared" si="663"/>
        <v>0</v>
      </c>
      <c r="IC308" t="str">
        <f t="shared" si="664"/>
        <v/>
      </c>
      <c r="ID308" t="str" cm="1">
        <f t="array" ref="ID308">IF(IC308="","",_xlfn.LET(_xlpm.tk,_xlfn.TEXTSPLIT(SUBSTITUTE(SUBSTITUTE(IC308,";"," "),"→"," ")," ",,TRUE),_xlpm.w_,_xlfn._xlws.FILTER(_xlpm.tk,ISNUMBER(--LEFT(_xlpm.tk,1))*((ISNUMBER(SEARCH("W",_xlpm.tk))+ISNUMBER(SEARCH("Вт",_xlpm.tk)))&gt;0),""),IFERROR(--SUBSTITUTE(SUBSTITUTE(UPPER(INDEX(_xlpm.w_,1)),"W",""),"ВТ",""),"")))</f>
        <v/>
      </c>
      <c r="IE308" t="str" cm="1">
        <f t="array" ref="IE308">IF(IC308="","",_xlfn.LET(_xlpm.tk,_xlfn.TEXTSPLIT(SUBSTITUTE(SUBSTITUTE(IC308,";"," "),"→"," ")," ",,TRUE),_xlpm.v_,_xlfn._xlws.FILTER(_xlpm.tk,ISNUMBER(--LEFT(_xlpm.tk,1))*((ISNUMBER(SEARCH("V",_xlpm.tk))+(RIGHT(UPPER(_xlpm.tk))="В"))&gt;0),""),IFERROR(--SUBSTITUTE(SUBSTITUTE(UPPER(INDEX(_xlpm.v_,1)),"V",""),"В",""),"")))</f>
        <v/>
      </c>
      <c r="IF308" s="6" t="str">
        <f>IF(OR(BV308=0,HI308="",HJ308=""),"",IFERROR(N(_xlfn.XLOOKUP(HI308,Каталог!$C$4:$C$500,Каталог!$Q$4:$Q$500)),""))</f>
        <v/>
      </c>
      <c r="IG308" s="6" t="str">
        <f>IF(N(IF308)=0,"",SUMIFS(Линии[Iр, А],Линии[Щит],A308,Линии[_модуль гр.],HH308,Линии[Канал (итог)],HJ308))</f>
        <v/>
      </c>
      <c r="IH308" t="str">
        <f>IF(AND(B308="",HO308=""),"",_xlfn.TEXTJOIN("; ",TRUE,IF(AND(B308&lt;&gt;"",FV308=""),"нет фазы",""),IF(AND(B308&lt;&gt;"",N(GL308)=0,FG308&lt;&gt;"Нет"),"нет мощности",""),IF(AND(HN308&lt;&gt;"",COUNTIFS(Линии[Щит],A308,Линии[Клемма (итог)],HN308)&gt;1),"дубль клеммы "&amp;HN308,""),IF(AND(HQ308&lt;&gt;"",HQ308&lt;&gt;"ok"),HQ308,""),IF(HR308&lt;&gt;"",HR308,""),IF(AND(N(CB308)&gt;=4,N(BX308)=1),CB308&amp;" жил на 1 фазе",""),IF(AND(BC308="R",CG308=1,IF(CS308&lt;&gt;"",N(CV308)&gt;30,OR(N(DA308)=0,N(DA308)&gt;30))),"розетка без дифзащиты до 30 мА",""),IF(AND(CG308=1,N(DA308)&gt;0,ISNUMBER(T308)),IF(T308&gt;N(DA308)/3,"ток утечки "&amp;FIXED(T308,1)&amp;" мА &gt; 1/3 уставки ("&amp;DA308&amp;" мА)",""),""),IF(AND(CH308=1,CS308=""),"«узо»: нет строки с УЗО выше (УЗО 2P 40А 30мА в «Аппаратах»)",""),IF(AND(CS308&lt;&gt;"",CS308=BA308),IF(CT308="","впишите номинал УЗО (УЗО 2P 40А 30мА)",IF(N(CT308)&lt;N(DT308),"УЗО "&amp;CT308&amp;" А &lt; автомата "&amp;DT308&amp;" А перед ним",IF(N(CT308)&lt;N(CX308),"УЗО "&amp;CT308&amp;" А &lt; тока блока "&amp;FIXED(CX308,1)&amp;" А",""))),""),IF(AND(CS308&lt;&gt;"",CS308=BA308,ISNUMBER(CY308)),IF(CY308&gt;N(CV308)/3,"ток утечки блока УЗО "&amp;FIXED(CY308,1)&amp;" мА &gt; 1/3 уставки ("&amp;CV308&amp;" мА)",""),""),IF(AND(CG308=1,N(BV308)+N(IB308)&gt;0,IC308=""),"линии до 50 В без БП: впишите в «Аппараты» (БП 24V 480W)",""),IF(AND(CG308=1,ISNUMBER(ID308),ISNUMBER(U308)),IF(U308&gt;ID308,"БП "&amp;ID308&amp;" Вт &lt; нужно "&amp;U308&amp;" Вт (×"&amp;Запас_БП&amp;")",""),""),IF(AND(CG308=1,ISNUMBER(IE308),N(BV308)=1),IF(IE308&lt;&gt;N(BU308),"БП на "&amp;IE308&amp;" В, линия "&amp;BU308&amp;" В",""),""),IF(AND(N(IF308)&gt;0,N(IG308)&gt;N(IF308)),HH308&amp;" канал "&amp;HJ308&amp;": "&amp;FIXED(IG308,1)&amp;" А &gt; "&amp;IF308&amp;" А",""),IFERROR(IF(AND(ISNUMBER(Q308),Q308&gt;EL308),"потери "&amp;FIXED(Q308,1)&amp;" % &gt; "&amp;EL308&amp;" %",""),""),IFERROR(IF(LEFT(HU308,4)="мало","Iкз мало — отключение &gt; 0,4 с",""),""),IF(AND(B308&lt;&gt;"",BM308=""),"не на схеме",""),IF(AND(CG308=0,B308&lt;&gt;"",FV308&lt;&gt;"",IF(BA308=1,"",FW307)&lt;&gt;"",FV308&lt;&gt;IF(BA308=1,"",FW307)),"фаза не как у автомата группы ("&amp;IF(BA308=1,"",FW307)&amp;")","")))</f>
        <v/>
      </c>
      <c r="II308" s="6">
        <f>IF(OR(CG308=0,DQ308=""),"",_xlfn.LET(_xlpm.t,IFERROR(_xlfn.XLOOKUP(DQ308,Каталог!$U$4:$U$500,Каталог!$G$4:$G$500),""),_xlpm.k,SEARCH("кА",_xlpm.t),IFERROR(--TRIM(RIGHT(SUBSTITUTE(MID(_xlpm.t,MAX(1,_xlpm.k-4),_xlpm.k-MAX(1,_xlpm.k-4))," ",REPT(" ",9)),5)),"")))</f>
        <v>6</v>
      </c>
      <c r="IJ308" t="str">
        <f>IF(OR(II308="",CG308=0),"",IF(_xlfn.XLOOKUP(A308,Щиты[Щит],Щиты[Iкз max на шинах, кА],"")="","",IF(II308&lt;_xlfn.XLOOKUP(A308,Щиты[Щит],Щиты[Iкз max на шинах, кА]),"Icu "&amp;II308&amp;" кА &lt; Iкз max","ok")))</f>
        <v/>
      </c>
      <c r="IK308" t="str">
        <f t="shared" si="665"/>
        <v/>
      </c>
      <c r="IL308" t="str">
        <f t="shared" si="666"/>
        <v>QFD25|XT25</v>
      </c>
      <c r="IM308" t="str">
        <f t="shared" si="667"/>
        <v>QFD25|XT25|кабель ВВГнг(А)-LS (3х2,5) → Розеточная группа, пом. 001T</v>
      </c>
      <c r="IN308" t="str" cm="1">
        <f t="array" ref="IN308">IF(IM308="","",_xlfn.LET(_xlpm.nd,_xlfn.TEXTSPLIT(IM308,"|"),IF(COLUMNS(_xlpm.nd)&gt;1,A308&amp;"¦"&amp;INDEX(_xlpm.nd,1)&amp;"¦"&amp;INDEX(_xlpm.nd,2),"")))</f>
        <v>ЩР-2¦QFD25¦XT25</v>
      </c>
      <c r="IO308" t="str">
        <f t="shared" si="668"/>
        <v>R.3.001T.1¦Розеточная группа, пом. 001T</v>
      </c>
      <c r="IP308" t="str" cm="1">
        <f t="array" ref="IP308">IF(IM308="","",_xlfn.LET(_xlpm.nd,_xlfn.TEXTSPLIT(IM308,"|"),IF(COLUMNS(_xlpm.nd)&gt;2,A308&amp;"¦"&amp;INDEX(_xlpm.nd,2)&amp;"¦"&amp;INDEX(_xlpm.nd,3),"")))</f>
        <v>ЩР-2¦XT25¦кабель ВВГнг(А)-LS (3х2,5) → Розеточная группа, пом. 001T</v>
      </c>
      <c r="IQ308" t="str">
        <f t="shared" si="669"/>
        <v>R.3.001T.1¦Розеточная группа, пом. 001T</v>
      </c>
      <c r="IR308" t="str" cm="1">
        <f t="array" ref="IR308">IF(IM308="","",_xlfn.LET(_xlpm.nd,_xlfn.TEXTSPLIT(IM308,"|"),IF(COLUMNS(_xlpm.nd)&gt;3,A308&amp;"¦"&amp;INDEX(_xlpm.nd,3)&amp;"¦"&amp;INDEX(_xlpm.nd,4),"")))</f>
        <v/>
      </c>
      <c r="IS308" t="str">
        <f t="shared" si="670"/>
        <v/>
      </c>
      <c r="IT308" t="str" cm="1">
        <f t="array" ref="IT308">IF(IM308="","",_xlfn.LET(_xlpm.nd,_xlfn.TEXTSPLIT(IM308,"|"),IF(COLUMNS(_xlpm.nd)&gt;4,A308&amp;"¦"&amp;INDEX(_xlpm.nd,4)&amp;"¦"&amp;INDEX(_xlpm.nd,5),"")))</f>
        <v/>
      </c>
      <c r="IU308" t="str">
        <f t="shared" si="671"/>
        <v/>
      </c>
      <c r="IV308" t="str" cm="1">
        <f t="array" ref="IV308">IF(IM308="","",_xlfn.LET(_xlpm.nd,_xlfn.TEXTSPLIT(IM308,"|"),IF(COLUMNS(_xlpm.nd)&gt;5,A308&amp;"¦"&amp;INDEX(_xlpm.nd,5)&amp;"¦"&amp;INDEX(_xlpm.nd,6),"")))</f>
        <v/>
      </c>
      <c r="IW308" t="str">
        <f t="shared" si="672"/>
        <v/>
      </c>
      <c r="IX308" t="str" cm="1">
        <f t="array" ref="IX308">IF(IM308="","",_xlfn.LET(_xlpm.nd,_xlfn.TEXTSPLIT(IM308,"|"),IF(COLUMNS(_xlpm.nd)&gt;6,A308&amp;"¦"&amp;INDEX(_xlpm.nd,6)&amp;"¦"&amp;INDEX(_xlpm.nd,7),"")))</f>
        <v/>
      </c>
      <c r="IY308" t="str">
        <f t="shared" si="673"/>
        <v/>
      </c>
      <c r="IZ308" t="str">
        <f t="shared" si="674"/>
        <v/>
      </c>
      <c r="JA308" t="str">
        <f t="shared" si="675"/>
        <v>QFD25 → XT25</v>
      </c>
      <c r="JB308">
        <f t="shared" si="676"/>
        <v>0</v>
      </c>
      <c r="JC308">
        <f t="shared" si="677"/>
        <v>1</v>
      </c>
      <c r="JD308" t="str">
        <f t="shared" si="678"/>
        <v/>
      </c>
      <c r="JE308" t="str">
        <f t="shared" si="679"/>
        <v/>
      </c>
      <c r="JF308" t="str">
        <f t="shared" si="680"/>
        <v/>
      </c>
      <c r="JG308" t="str">
        <f t="shared" si="681"/>
        <v/>
      </c>
      <c r="JH308" t="str">
        <f>IF(B308="","",IFERROR(_xlfn.XLOOKUP(B308,Коды_код,Коды_уго),IFERROR(_xlfn.XLOOKUP(BC308,Коды_код,Коды_уго),IFERROR(_xlfn.XLOOKUP(LEFT(BC308,2),Коды_код,Коды_уго),""))))</f>
        <v>Розетка</v>
      </c>
      <c r="JI308" t="str">
        <f>IF(B308="","",IF(OR(JH308="",JH308=0),"BOX",IFERROR(IF(VLOOKUP(JH308,УГО_блоки,3,FALSE)&amp;""&lt;&gt;"",VLOOKUP(JH308,УГО_блоки,3,FALSE),VLOOKUP(JH308,УГО_блоки,2,FALSE)),JH308)))</f>
        <v>SOCKET</v>
      </c>
      <c r="JJ308">
        <f t="shared" si="682"/>
        <v>1</v>
      </c>
      <c r="JK308" t="str">
        <f>IF(DQ308="","",IF(COUNTIF(DQ$3:DQ308,DQ308)=1,MAX(JK$2:JK307)+1,""))</f>
        <v/>
      </c>
      <c r="JL308" t="str">
        <f>IF(DE308="","",IF(COUNTIF(DE$3:DE308,DE308)+COUNTIF(DF$2:DF307,DE308)+COUNTIF(DG$2:DG307,DE308)=1,MAX(JL$2:JN307)+1,""))</f>
        <v/>
      </c>
      <c r="JM308" t="str">
        <f>IF(DF308="","",IF(COUNTIF(DE$3:DE308,DF308)+COUNTIF(DF$3:DF308,DF308)+COUNTIF(DG$2:DG307,DF308)=1,MAX(JL$2:JN307,JL308)+1,""))</f>
        <v/>
      </c>
      <c r="JN308" t="str">
        <f>IF(DG308="","",IF(COUNTIF(DE$3:DE308,DG308)+COUNTIF(DF$3:DF308,DG308)+COUNTIF(DG$3:DG308,DG308)=1,MAX(JL$2:JN307,JL308,JM308)+1,""))</f>
        <v/>
      </c>
      <c r="JO308" t="str">
        <f t="shared" si="683"/>
        <v>3х2,5</v>
      </c>
      <c r="JP308" t="str">
        <f>IF(JO308="","",IF(COUNTIF(JO$3:JO308,JO308)=1,MAX(JP$2:JP307)+1,""))</f>
        <v/>
      </c>
      <c r="JQ308" t="str">
        <f>IF(HG308="","",COUNTIF(HG$3:HG308,"?*"))</f>
        <v/>
      </c>
      <c r="JR308" t="str">
        <f>IF(OR(HG308="",HI308=""),"",IF(COUNTIFS(HG$3:HG308,"?*",HI$3:HI308,HI308)=1,MAX(JR$2:JR307)+1,""))</f>
        <v/>
      </c>
      <c r="JS308">
        <f t="shared" si="684"/>
        <v>0</v>
      </c>
      <c r="JT308">
        <f>IF(B308="","",COUNTIF(B$3:B308,"?*"))</f>
        <v>306</v>
      </c>
      <c r="JU308">
        <f>IF(HL308&lt;&gt;1,0,_xlfn.LET(_xlpm.k,MAX(IFERROR(--_xlfn.XLOOKUP(B308,Коды_код,Коды_3L),0),IFERROR(--_xlfn.XLOOKUP(BC308,Коды_код,Коды_3L),0),IFERROR(--_xlfn.XLOOKUP(LEFT(BC308,2),Коды_код,Коды_3L),0)),IF(_xlpm.k&gt;0,_xlpm.k,IF(IFERROR(--LEFT(SUBSTITUTE(JO308,"x","х"),FIND("х",SUBSTITUTE(JO308,"x","х"))-1),3)&gt;3,Каталог!$S$9,1))))</f>
        <v>1</v>
      </c>
      <c r="JV308">
        <f t="shared" si="685"/>
        <v>0</v>
      </c>
      <c r="JW308" t="str">
        <f t="shared" si="686"/>
        <v>авто</v>
      </c>
      <c r="JX308">
        <f t="shared" si="687"/>
        <v>30</v>
      </c>
      <c r="JY308">
        <f t="shared" si="688"/>
        <v>1</v>
      </c>
      <c r="JZ308">
        <f t="shared" si="689"/>
        <v>1</v>
      </c>
    </row>
    <row r="309" spans="1:286" x14ac:dyDescent="0.3">
      <c r="A309" t="s">
        <v>759</v>
      </c>
      <c r="B309" t="s">
        <v>1614</v>
      </c>
      <c r="C309" t="str">
        <f>Линии[[#This Row],[_авто наименование]]</f>
        <v>Розеточная группа, пом. 001Б</v>
      </c>
      <c r="D309">
        <v>3</v>
      </c>
      <c r="E309">
        <v>0.18</v>
      </c>
      <c r="G309">
        <v>16</v>
      </c>
      <c r="H309" t="str">
        <f>Линии[[#This Row],[_авто управление]]</f>
        <v/>
      </c>
      <c r="I309" t="str">
        <f>Линии[[#This Row],[_авто аппараты]]</f>
        <v/>
      </c>
      <c r="J309">
        <v>2.5</v>
      </c>
      <c r="K309">
        <v>26</v>
      </c>
      <c r="L309">
        <v>2</v>
      </c>
      <c r="M309" t="s">
        <v>484</v>
      </c>
      <c r="N309" t="str">
        <f t="shared" si="552"/>
        <v/>
      </c>
      <c r="O309" s="6" cm="1">
        <f t="array" ref="O309">IF(B309="","",IF(BH309&lt;&gt;"",IFERROR(_xlfn.XLOOKUP(BH309,Щиты[Щит],Щиты[Iр, А]),""),IF(BP309=1,IF(OR(N(_xlfn.XLOOKUP(A309,Щиты[Щит],Щиты[Вводов],1))&lt;=1,LOWER(TRIM(_xlfn.XLOOKUP(A309,Щиты[Щит],Щиты[АВР],"")&amp;""))="да"),IFERROR(_xlfn.XLOOKUP(A309,Щиты[Щит],Щиты[Iр, А]),""),IFERROR(N(BS309)*_xlfn.XLOOKUP(A309,Щиты[Щит],Щиты[Кс итог])/(SQRT(3)*Uн_лин*_xlfn.XLOOKUP(A309,Щиты[Щит],Щиты[cos φ])),"")),IF(BV309=1,IFERROR(BS309*1000/BU309,""),IFERROR(_xlfn.IFS(BX309=1,BS309/((Uн_лин/SQRT(3))*CE309),BX309=3,BS309/(SQRT(3)*Uн_лин*CE309)),"")))))</f>
        <v>0.8204451193747313</v>
      </c>
      <c r="P309" s="7">
        <f>IF(B309="","",IFERROR(IF(VLOOKUP(BC309,Потребители_обозначение,4,FALSE)=1,VLOOKUP(BC309,Потребители_обозначение,3,FALSE)*(MAX(1,N(D309))*2-1)+EI309+VLOOKUP(BE309,Этаж_обозначение,3,FALSE)+VLOOKUP(BE309,Этаж_обозначение,4,FALSE),VLOOKUP(BC309,Потребители_обозначение,3,FALSE)*(MAX(1,N(D309))*2-1)+EI309),EI309))</f>
        <v>41</v>
      </c>
      <c r="Q309" s="6">
        <f t="shared" si="553"/>
        <v>2.04</v>
      </c>
      <c r="R309" t="str">
        <f t="shared" si="554"/>
        <v>ВВГнг(А)-LS (3х2,5)</v>
      </c>
      <c r="S309" t="str">
        <f>IF(BM309="","",IF(BN309="вводной узел","узел ","")&amp;"л."&amp;(INT((BM309-1)/Столбцов_на_лист)+1)&amp;" / "&amp;(MOD(BM309-1,Столбцов_на_лист)+1))</f>
        <v>л.3 / 4</v>
      </c>
      <c r="T309" s="119">
        <f t="shared" si="555"/>
        <v>0.7</v>
      </c>
      <c r="U309" s="7" t="str">
        <f>IF(OR(CG309=0,N(BV309)+N(IB309)=0),"",ROUNDUP(Запас_БП*(N(HY309)+N(HZ309)),0))</f>
        <v/>
      </c>
      <c r="V309" s="119" t="str">
        <f t="shared" si="556"/>
        <v/>
      </c>
      <c r="W309" s="7" t="str">
        <f>IFERROR(IF(OR(B309="",BP309=1,BV309=1,NOT(ISNUMBER(EN309)),N(DT309)=0),"",MAX(0,ROUNDDOWN((c_min*(Uн_лин*1000/SQRT(3))/(HT309*N(DT309))-_xlfn.XLOOKUP(A309,Щиты[Щит],Щиты[Zпетли на шинах, Ом]))*EN309/(2*ρкз_Cu),0))),"")</f>
        <v/>
      </c>
      <c r="Y309">
        <f>Линии[[#This Row],[_авто утечка]]</f>
        <v>30</v>
      </c>
      <c r="Z309">
        <v>1</v>
      </c>
      <c r="AA309">
        <v>230</v>
      </c>
      <c r="AB309" t="s">
        <v>562</v>
      </c>
      <c r="AG309" t="s">
        <v>810</v>
      </c>
      <c r="AI309" t="s">
        <v>561</v>
      </c>
      <c r="AK309" t="str">
        <f>Линии[[#This Row],[_авто модуль]]</f>
        <v/>
      </c>
      <c r="AM309">
        <v>38</v>
      </c>
      <c r="AN309" t="s">
        <v>11</v>
      </c>
      <c r="AO309">
        <v>3</v>
      </c>
      <c r="AQ309">
        <v>0</v>
      </c>
      <c r="AR309">
        <v>35</v>
      </c>
      <c r="AT309">
        <v>2</v>
      </c>
      <c r="BA309" cm="1">
        <f t="array" ref="BA309">ROW()-ROW(Линии[#Headers])</f>
        <v>307</v>
      </c>
      <c r="BC309" s="6" t="str">
        <f t="shared" si="557"/>
        <v>R</v>
      </c>
      <c r="BD309" t="str">
        <f t="shared" si="558"/>
        <v>3.001Б.1</v>
      </c>
      <c r="BE309" t="str">
        <f t="shared" si="559"/>
        <v>3</v>
      </c>
      <c r="BF309" t="str">
        <f t="shared" si="560"/>
        <v>001Б.1</v>
      </c>
      <c r="BG309" t="str">
        <f t="shared" si="561"/>
        <v>001Б</v>
      </c>
      <c r="BH309" t="str">
        <f>IF(X309&lt;&gt;"",X309,IF(AND(B309&lt;&gt;"",B309&lt;&gt;A309,ISNUMBER(_xlfn.XMATCH(B309,Щиты[Щит]))),B309,""))</f>
        <v/>
      </c>
      <c r="BI309" t="str" cm="1">
        <f t="array" ref="BI309">IF(B309="","",IF(BH309&lt;&gt;"","Щит "&amp;BH309,_xlfn.LET(_xlpm.nm,IFERROR(_xlfn.XLOOKUP(BC309,Коды_код,Коды_имя)&amp;"",""),_xlpm.md,IFERROR(N(_xlfn.XLOOKUP(BC309,Коды_код,Коды_режим)),1),_xlpm.ex,IF(Имя_режим="по экспликации",IFERROR(_xlfn.XLOOKUP(BE309&amp;"|"&amp;BG309,Экспликация[Этаж]&amp;"|"&amp;Экспликация[Помещение],Экспликация[Название])&amp;"",""),""),_xlpm.rm,IF(BG309="","",IF(_xlpm.ex&lt;&gt;"",". "&amp;_xlpm.ex&amp;IF(Имя_пом="нет"," ("&amp;BG309&amp;")"," (пом. "&amp;BG309&amp;")"),IF(Имя_пом="нет"," ",", пом. ")&amp;BG309)),IF(_xlpm.nm="","",IF(_xlpm.md=2,_xlpm.nm&amp;" шлейф "&amp;BE309,_xlpm.nm&amp;_xlpm.rm)))))</f>
        <v>Розеточная группа, пом. 001Б</v>
      </c>
      <c r="BJ309" t="str">
        <f t="shared" si="562"/>
        <v>Розеточная группа, пом. 001Б</v>
      </c>
      <c r="BK309">
        <f>IFERROR(_xlfn.XMATCH(A309,Щиты[Щит]),0)</f>
        <v>11</v>
      </c>
      <c r="BL309">
        <f>_xlfn.LET(_xlpm.k,IFERROR(_xlfn.XLOOKUP(A309,Щиты[Щит],Щиты[Мест под вводной узел]),""),IF(_xlpm.k="",Столбцов_на_лист,N(_xlpm.k)))</f>
        <v>8</v>
      </c>
      <c r="BM309">
        <f t="shared" si="563"/>
        <v>38</v>
      </c>
      <c r="BN309" t="str">
        <f t="shared" si="564"/>
        <v>линии</v>
      </c>
      <c r="BO309" s="6">
        <f>IFERROR(N(_xlfn.XLOOKUP(BC309,Коды_код,Коды_квт)),0)</f>
        <v>0</v>
      </c>
      <c r="BP309">
        <f t="shared" si="565"/>
        <v>0</v>
      </c>
      <c r="BQ309" t="str">
        <f>IF(B309="","",IF(BH309&lt;&gt;"",IFERROR(_xlfn.XLOOKUP(BH309,Щиты[Щит],Щиты[Руст, кВт]),0),IF(BP309=1,IF(OR(N(_xlfn.XLOOKUP(A309,Щиты[Щит],Щиты[Вводов],1))&lt;=1,LOWER(TRIM(_xlfn.XLOOKUP(A309,Щиты[Щит],Щиты[АВР],"")&amp;""))="да"),IFERROR(_xlfn.XLOOKUP(A309,Щиты[Щит],Щиты[Руст, кВт]),0),SUMIFS(Линии[_Р для вводов],Линии[Щит],A309,Линии[Источник для режимов],GF309)),IF(BO309&gt;0,ROUND(BO309*MAX(1,N(D309)),3),""))))</f>
        <v/>
      </c>
      <c r="BR309">
        <f t="shared" si="566"/>
        <v>0.18</v>
      </c>
      <c r="BS309" s="6">
        <f>IF(B309="","",IF(BH309&lt;&gt;"",IFERROR(_xlfn.XLOOKUP(BH309,Щиты[Щит],Щиты[Руст, кВт]),0),N(BR309)))</f>
        <v>0.18</v>
      </c>
      <c r="BT309" t="str">
        <f>IF(B309="","",IFERROR(IF(VLOOKUP(BC309,Потребители_обозначение,8,FALSE)=0,"",VLOOKUP(BC309,Потребители_обозначение,8,FALSE)),""))</f>
        <v/>
      </c>
      <c r="BU309">
        <f t="shared" si="567"/>
        <v>230</v>
      </c>
      <c r="BV309">
        <f t="shared" si="568"/>
        <v>0</v>
      </c>
      <c r="BW309">
        <f>IF(B309="","",IF(BH309&lt;&gt;"",3,IFERROR(IF(N(VLOOKUP(BC309,Потребители_обозначение,9,FALSE))=0,1,VLOOKUP(BC309,Потребители_обозначение,9,FALSE)),1)))</f>
        <v>1</v>
      </c>
      <c r="BX309">
        <f t="shared" si="569"/>
        <v>1</v>
      </c>
      <c r="BY309" t="str">
        <f>IF(B309="","",_xlfn.LET(_xlpm.bc,IFERROR(IF(VLOOKUP(BC309,Потребители_обозначение,6,FALSE)=0,"",VLOOKUP(BC309,Потребители_обозначение,6,FALSE)&amp;""),""),IF(AND(GA309="да",OR(_xlpm.bc="",_xlpm.bc="мс")),Марка_пож,IF(AND(_xlpm.bc="",BH309&lt;&gt;""),"мс",_xlpm.bc))))</f>
        <v/>
      </c>
      <c r="BZ309" t="str">
        <f t="shared" si="570"/>
        <v>мс</v>
      </c>
      <c r="CA309">
        <f>IF(B309="","",_xlfn.LET(_xlpm.cc,IFERROR(N(VLOOKUP(BC309,Потребители_обозначение,7,FALSE)),0),IF(_xlpm.cc&gt;0,_xlpm.cc,IF(BZ309="","",IF(BV309=1,2,IF(N(BX309)=3,5,3))))))</f>
        <v>3</v>
      </c>
      <c r="CB309">
        <f t="shared" si="571"/>
        <v>3</v>
      </c>
      <c r="CC309">
        <f>IFERROR(N(VLOOKUP(BC309,Потребители_обозначение,10,FALSE)),0)</f>
        <v>0</v>
      </c>
      <c r="CD309">
        <f>IFERROR(VLOOKUP(BC309,Потребители_обозначение,5,FALSE),0)</f>
        <v>1</v>
      </c>
      <c r="CE309" s="6" cm="1">
        <f t="array" ref="CE309">IF(B309="","",IF(BH309&lt;&gt;"",IFERROR(_xlfn.XLOOKUP(BH309,Щиты[Щит],Щиты[cos φ]),0.95),IF(BP309=1,IFERROR(_xlfn.XLOOKUP(A309,Щиты[Щит],Щиты[cos φ]),0.95),IF(ISNUMBER(AD309),AD309,IFERROR(IF(CD309=2,_xlfn.IFS(BX309=3,VLOOKUP(BS309,Справочная_двигатели,8,FALSE),BX309=1,VLOOKUP(BS309,Справочная_двигатели,10,TRUE)),IF(AND(Методика="нормы 2026",FG309="Сил"),0.8,0.95)),0.95)))))</f>
        <v>0.95</v>
      </c>
      <c r="CF309">
        <f t="shared" si="572"/>
        <v>0</v>
      </c>
      <c r="CG309">
        <f t="shared" si="573"/>
        <v>1</v>
      </c>
      <c r="CH309">
        <f t="shared" si="574"/>
        <v>0</v>
      </c>
      <c r="CI309">
        <f>IF(B309="","",IF(BV309=1,IFERROR(BS309/((Uн_лин/SQRT(3))*MAX(0.5,N(CE309))),0),N(O309)))</f>
        <v>0.8204451193747313</v>
      </c>
      <c r="CJ309">
        <f t="shared" si="575"/>
        <v>0</v>
      </c>
      <c r="CK309">
        <f t="shared" si="576"/>
        <v>0</v>
      </c>
      <c r="CL309">
        <f t="shared" si="577"/>
        <v>0</v>
      </c>
      <c r="CM309">
        <f t="shared" si="578"/>
        <v>0</v>
      </c>
      <c r="CN309">
        <f t="shared" si="579"/>
        <v>0</v>
      </c>
      <c r="CO309">
        <f>IF(BC309="",0,_xlfn.LET(_xlpm.v,IFERROR(_xlfn.XLOOKUP(B309,Коды_код,Коды_мА),IFERROR(_xlfn.XLOOKUP(BC309,Коды_код,Коды_мА),IFERROR(_xlfn.XLOOKUP(LEFT(BC309,2),Коды_код,Коды_мА),""))),IF(_xlpm.v="да",30,IF(ISNUMBER(_xlpm.v),_xlpm.v,0))))</f>
        <v>30</v>
      </c>
      <c r="CP309">
        <f t="shared" si="580"/>
        <v>30</v>
      </c>
      <c r="CQ309" t="str">
        <f>_xlfn.LET(_xlpm.k,IFERROR(_xlfn.XLOOKUP(BC309,Коды_код,Коды_утечка)&amp;"",""),IF(_xlpm.k="","дифавтомат",_xlpm.k))</f>
        <v>дифавтомат</v>
      </c>
      <c r="CR309" t="str" cm="1">
        <f t="array" ref="CR309">IF(CG309=0,"",_xlfn.LET(_xlpm.sg,TRIM(_xlfn.TEXTSPLIT(DD309&amp;"",";")),_xlpm.f_,_xlfn._xlws.FILTER(_xlpm.sg,LEFT(_xlpm.sg,3)="УЗО",""),IFERROR(INDEX(_xlpm.f_,1)&amp;"","")))</f>
        <v/>
      </c>
      <c r="CS309" t="str">
        <f t="shared" si="581"/>
        <v/>
      </c>
      <c r="CT309" s="6" t="str" cm="1">
        <f t="array" ref="CT309">IF(CR309="","",_xlfn.LET(_xlpm.tk,_xlfn.TEXTSPLIT(UPPER(CR309)," ",,TRUE),_xlpm.a_,_xlfn._xlws.FILTER(_xlpm.tk,ISNUMBER(--LEFT(_xlpm.tk,1))*((ISNUMBER(SEARCH("А",_xlpm.tk))+ISNUMBER(SEARCH("A",_xlpm.tk)))&gt;0)*NOT(ISNUMBER(SEARCH("МА",_xlpm.tk)))*NOT(ISNUMBER(SEARCH("MA",_xlpm.tk))),""),IFERROR(--SUBSTITUTE(SUBSTITUTE(INDEX(_xlpm.a_,1),"А",""),"A",""),"")))</f>
        <v/>
      </c>
      <c r="CU309" t="str" cm="1">
        <f t="array" ref="CU309">IF(CR309="","",_xlfn.LET(_xlpm.tk,_xlfn.TEXTSPLIT(UPPER(CR309)," ",,TRUE),_xlpm.a_,_xlfn._xlws.FILTER(_xlpm.tk,ISNUMBER(--LEFT(_xlpm.tk,1))*((ISNUMBER(SEARCH("МА",_xlpm.tk))+ISNUMBER(SEARCH("MA",_xlpm.tk)))&gt;0),""),IFERROR(--SUBSTITUTE(SUBSTITUTE(INDEX(_xlpm.a_,1),"МА",""),"MA",""),30)))</f>
        <v/>
      </c>
      <c r="CV309" t="str">
        <f>IF(CS309="","",IFERROR(_xlfn.XLOOKUP(CS309,Линии[_n],Линии[_УЗО, мА]),30))</f>
        <v/>
      </c>
      <c r="CW309">
        <f>IF(CS309="",0,IF(ISNUMBER(SEARCH("4P",IFERROR(_xlfn.XLOOKUP(CS309,Линии[_n],Линии[_УЗО строки])&amp;"",""))),0,1))</f>
        <v>0</v>
      </c>
      <c r="CX309" t="str">
        <f>IF(AND(CS309&lt;&gt;"",CS309=BA309),SUMIFS(Линии[_ток на 230 В],Линии[_блок УЗО],BA309,Линии[Щит],A309),"")</f>
        <v/>
      </c>
      <c r="CY309" t="str">
        <f>IF(AND(CS309&lt;&gt;"",CS309=BA309),SUMIFS(Линии[_ток утечки линии, мА],Линии[_блок УЗО],BA309,Линии[Щит],A309),"")</f>
        <v/>
      </c>
      <c r="CZ309">
        <f t="shared" si="582"/>
        <v>30</v>
      </c>
      <c r="DA309">
        <f t="shared" si="583"/>
        <v>30</v>
      </c>
      <c r="DB309">
        <f>IF(B309="",0,IFERROR(--_xlfn.XLOOKUP(B309,Коды_код,Коды_минавт),IFERROR(--_xlfn.XLOOKUP(BC309,Коды_код,Коды_минавт),IFERROR(--_xlfn.XLOOKUP(LEFT(BC309,2),Коды_код,Коды_минавт),0))))</f>
        <v>16</v>
      </c>
      <c r="DC309" t="str">
        <f>IF(B309="","",IFERROR(_xlfn.XLOOKUP(BC309,Коды_код,Коды_апп)&amp;"",""))</f>
        <v/>
      </c>
      <c r="DD309" t="str">
        <f t="shared" si="584"/>
        <v/>
      </c>
      <c r="DE309" t="str" cm="1">
        <f t="array" ref="DE309">IF(TRIM(DD309&amp;"")="","",IFERROR(TRIM(INDEX(_xlfn.TEXTSPLIT(DD309&amp;";;;",";"),1)),""))</f>
        <v/>
      </c>
      <c r="DF309" t="str" cm="1">
        <f t="array" ref="DF309">IF(TRIM(DD309&amp;"")="","",IFERROR(TRIM(INDEX(_xlfn.TEXTSPLIT(DD309&amp;";;;",";"),2)),""))</f>
        <v/>
      </c>
      <c r="DG309" t="str" cm="1">
        <f t="array" ref="DG309">IF(TRIM(DD309&amp;"")="","",IFERROR(TRIM(INDEX(_xlfn.TEXTSPLIT(DD309&amp;";;;",";"),3)),""))</f>
        <v/>
      </c>
      <c r="DH309">
        <f t="shared" si="585"/>
        <v>0</v>
      </c>
      <c r="DI309" t="str">
        <f>IF(B309="","",_xlfn.LET(_xlpm.t,LOWER(AZ309&amp;""),IF(ISNUMBER(SEARCH("dim",_xlpm.t)),"DIM",IF(ISNUMBER(SEARCH("dali",_xlpm.t)),"DALI",IF(OR(ISNUMBER(SEARCH("relay",_xlpm.t)),ISNUMBER(SEARCH("реле",_xlpm.t))),"Relay",IF(ISNUMBER(SEARCH("кнопк",_xlpm.t)),"",IFERROR(_xlfn.XLOOKUP(BC309,Коды_код,Коды_упр)&amp;"","")))))))</f>
        <v/>
      </c>
      <c r="DJ309" t="str">
        <f t="shared" si="586"/>
        <v/>
      </c>
      <c r="DK309">
        <f>IF(B309="","",_xlfn.LET(_xlpm.ig,IF(N(CX309)&gt;0,N(CX309),N(CI309)+IF(AJ309="вручную",0,N(CJ309))),_xlpm.n0,IFERROR(VLOOKUP(_xlpm.ig,Автомат_номиналы,2,TRUE),0),_xlpm.mn,MAX(DB309,IF(AJ309="вручную",0,N(CM309))),MAX(_xlpm.n0,_xlpm.mn,IF(DH309=1,Мин_автомат_БП,0))))</f>
        <v>16</v>
      </c>
      <c r="DL309">
        <f t="shared" si="587"/>
        <v>1</v>
      </c>
      <c r="DM309" t="str">
        <f t="shared" si="588"/>
        <v>2P</v>
      </c>
      <c r="DN309" t="str">
        <f>_xlfn.LET(_xlpm.cc,UPPER(TRIM(IFERROR(_xlfn.XLOOKUP(BC309,Коды_код,Коды_хар)&amp;"",""))),IF(OR(_xlpm.cc="B",_xlpm.cc="В"),"B",IF(_xlpm.cc="D","D","С")))</f>
        <v>С</v>
      </c>
      <c r="DO309" t="str">
        <f t="shared" si="589"/>
        <v>2P С16А 30мА</v>
      </c>
      <c r="DP309">
        <f t="shared" si="590"/>
        <v>16</v>
      </c>
      <c r="DQ309" t="str">
        <f t="shared" si="591"/>
        <v>2P С16А 30мА</v>
      </c>
      <c r="DR309" cm="1">
        <f t="array" ref="DR309">IF(DQ309="","",_xlfn.LET(_xlpm.t,SUBSTITUTE(SUBSTITUTE(SUBSTITUTE(UPPER(DQ309),"С","C"),"А","A"),"В","B"),_xlpm.tk,_xlfn.TEXTSPLIT(_xlpm.t," "),_xlpm.f,_xlfn._xlws.FILTER(_xlpm.tk,ISNUMBER(--MID(_xlpm.tk,2,1))*ISNUMBER(SEARCH(LEFT(_xlpm.tk,1)&amp;"#","B#C#D#"))*(LEN(_xlpm.tk)&gt;1),""),_xlpm.x,INDEX(_xlpm.f,1),IFERROR(--SUBSTITUTE(MID(_xlpm.x,2,9),"A",""),IFERROR(--SUBSTITUTE(INDEX(_xlfn._xlws.FILTER(_xlpm.tk,ISNUMBER(--SUBSTITUTE(_xlpm.tk,"A","")),""),1),"A",""),""))))</f>
        <v>16</v>
      </c>
      <c r="DS309" t="str">
        <f t="shared" si="592"/>
        <v>ok</v>
      </c>
      <c r="DT309">
        <f t="shared" si="593"/>
        <v>16</v>
      </c>
      <c r="DU309" t="str">
        <f t="shared" si="594"/>
        <v>2P С16А 30мА</v>
      </c>
      <c r="DV309">
        <f t="shared" si="595"/>
        <v>30</v>
      </c>
      <c r="DW309">
        <f t="shared" si="596"/>
        <v>1</v>
      </c>
      <c r="DX309">
        <f t="shared" si="597"/>
        <v>0</v>
      </c>
      <c r="DY309">
        <f t="shared" si="598"/>
        <v>0.8204451193747313</v>
      </c>
      <c r="DZ309">
        <f t="shared" si="599"/>
        <v>1</v>
      </c>
      <c r="EA309">
        <f>IF(ISNUMBER(AP309),AP309,К_прокл)</f>
        <v>1</v>
      </c>
      <c r="EB309">
        <f t="shared" si="600"/>
        <v>2</v>
      </c>
      <c r="EC309">
        <f>IFERROR(N(VLOOKUP(BZ309,Кабель_обозначение,3,FALSE)),1)</f>
        <v>1</v>
      </c>
      <c r="ED309">
        <f>IFERROR(N(_xlfn.XLOOKUP(A309,Щиты[Щит],Щиты[ΔU до шин, %])),0)</f>
        <v>1.79</v>
      </c>
      <c r="EE309" t="str">
        <f>IFERROR(_xlfn.XLOOKUP(A309,Щиты[Щит],Щиты[Zпетли на шинах, Ом]),"")</f>
        <v/>
      </c>
      <c r="EF309">
        <f>IFERROR(N(_xlfn.XLOOKUP(A309,Щиты[Щит],Щиты[ΔU до шин (подбор), %])),0)</f>
        <v>4.75</v>
      </c>
      <c r="EG309" t="str">
        <f>IFERROR(_xlfn.XLOOKUP(A309,Щиты[Щит],Щиты[Zпетли на шинах (подбор), Ом]),"")</f>
        <v/>
      </c>
      <c r="EH309" t="str">
        <f t="shared" si="601"/>
        <v/>
      </c>
      <c r="EI309">
        <f t="shared" si="602"/>
        <v>26</v>
      </c>
      <c r="EJ309">
        <f t="shared" si="603"/>
        <v>2</v>
      </c>
      <c r="EK309">
        <f t="shared" si="604"/>
        <v>0.31</v>
      </c>
      <c r="EL309" s="6">
        <f>IF(B309="","",IF(BV309=1,dU_LED,IF(IFERROR(_xlfn.XLOOKUP(BC309,Коды_код,Коды_уго),"")="Светильник",3,4)+IF(Методика="нормы 2026",MIN(0.5,MAX(0,N(P309)-100)*0.005),0)))</f>
        <v>4</v>
      </c>
      <c r="EM309" t="str" cm="1">
        <f t="array" ref="EM309">IF(OR(B309="",BZ309="",EC309&lt;&gt;1),"",_xlfn.LET(_xlpm.sz,Iдоп_S,_xlpm.t_,CHOOSE(EB309,Iдоп_1ж,Iдоп_2ж,Iдоп_3ж)*DZ309*EA309,_xlpm.dcx,BV309=1,_xlpm.inn,IF(_xlpm.dcx,N(O309),N(DT309)),_xlpm.smin,MAX(1.5,CC309),_xlpm.L_,N(P309)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309)/N(BU309)*100,999),IFERROR(N(EJ309)*(_xlpm.rho*_xlpm.L_/_xlpm.sz*N(CE309)+_xlpm.xx*_xlpm.L_*N(EK309)/1000)*N(O309)/((Uн_лин/SQRT(3))*1000)*100,999)),_xlpm.kz,IF(OR(_xlpm.dcx,DW309=1,NOT(ISNUMBER(EG309)),_xlpm.L_=0,_xlpm.inn=0),1,IFERROR(--(c_min*(Uн_лин*1000/SQRT(3))/(EG309+2*ρкз_Cu*_xlpm.L_/_xlpm.sz)&gt;=HT309*_xlpm.inn),0)),_xlpm.ok,IFERROR((_xlpm.sz&gt;=_xlpm.smin)*(_xlpm.t_&gt;=_xlpm.inn)*IF(_xlpm.L_&gt;0,(_xlpm.du_+IF(_xlpm.dcx,0,EF309)&lt;=EL309+0.00001),1)*_xlpm.kz,0),_xlpm.r_,_xlfn._xlws.FILTER(_xlpm.sz,_xlpm.ok,"не подобрано"),INDEX(_xlpm.r_,1)))</f>
        <v>не подобрано</v>
      </c>
      <c r="EN309">
        <f t="shared" si="605"/>
        <v>2.5</v>
      </c>
      <c r="EO309" cm="1">
        <f t="array" ref="EO309">IF(OR(B309="",BZ309="",EC309&lt;&gt;1),"",_xlfn.LET(_xlpm.sz,Iдоп_S,_xlpm.t_,CHOOSE(EB309,Iдоп_1ж,Iдоп_2ж,Iдоп_3ж)*DZ309*EA309,_xlpm.ok,IFERROR((_xlpm.sz&gt;=MAX(1.5,CC309))*(_xlpm.t_&gt;=N(DT309)),0),_xlpm.r_,_xlfn._xlws.FILTER(_xlpm.sz,_xlpm.ok,""),INDEX(_xlpm.r_,1)))</f>
        <v>1.5</v>
      </c>
      <c r="EP309" s="6" cm="1">
        <f t="array" ref="EP309">IFERROR(ROUNDUP(N(EJ309)*(_xlfn.XLOOKUP(EO309,INDEX(Кабель_сопротивление,0,1),INDEX(Кабель_сопротивление,0,3))*N(P309)/EO309*N(CE309)+_xlfn.XLOOKUP(EO309,INDEX(Кабель_сопротивление,0,1),INDEX(Кабель_сопротивление,0,2))*N(P309)*N(EK309)/1000)*N(O309)/((Uн_лин/SQRT(3))*1000)*100,2),"")</f>
        <v>0.42</v>
      </c>
      <c r="EQ309">
        <f>IFERROR(2*ρкз_Cu*N(P309)/EO309,"")</f>
        <v>1.4377333333333333</v>
      </c>
      <c r="ER309">
        <f>IFERROR(VLOOKUP(EN309,Кабель_сопротивление,3,FALSE),"")</f>
        <v>2.2499999999999999E-2</v>
      </c>
      <c r="ES309">
        <f>IFERROR(VLOOKUP(EN309,Кабель_сопротивление,2,FALSE),"")</f>
        <v>0.1</v>
      </c>
      <c r="ET309">
        <f t="shared" si="606"/>
        <v>35</v>
      </c>
      <c r="EU309">
        <f t="shared" si="607"/>
        <v>37</v>
      </c>
      <c r="EV309">
        <f t="shared" si="608"/>
        <v>0.57729964468707462</v>
      </c>
      <c r="EW309" s="6">
        <f>IFERROR(ROUNDUP(EV309/IF(BV309=1,BU309,(Uн_лин/SQRT(3))*1000)*100,2),"")</f>
        <v>0.25</v>
      </c>
      <c r="EX309" t="str">
        <f>IFERROR(VLOOKUP(BZ309,Кабель_обозначение,2,FALSE),"")</f>
        <v>ВВГнг(А)-LS</v>
      </c>
      <c r="EY309" t="str">
        <f t="shared" si="609"/>
        <v>ВВГнг(А)-LS (3х2,5)</v>
      </c>
      <c r="EZ309" t="str">
        <f t="shared" si="610"/>
        <v>ВВГнг(А)-LS (3х2,5)
L=41-0,25%</v>
      </c>
      <c r="FA309">
        <f>IFERROR(2*ρкз_Cu*P309/EN309,"")</f>
        <v>0.86264000000000007</v>
      </c>
      <c r="FB309">
        <f t="shared" si="611"/>
        <v>0.28700000000000003</v>
      </c>
      <c r="FC309" s="6" t="str">
        <f>IFERROR(IF(OR(B309="",BV309=1,NOT(ISNUMBER(EN309)),N(P309)=0),"",_xlfn.XLOOKUP(A309,Щиты[Щит],Щиты[Zпетли на шинах, Ом])+FA309),"")</f>
        <v/>
      </c>
      <c r="FD309" s="6" t="str">
        <f>IF(ISNUMBER(FC309),c_min*(Uн_лин*1000/SQRT(3))/FC309,"")</f>
        <v/>
      </c>
      <c r="FE309" s="6" t="str">
        <f>IFERROR(IF(OR(B309="",NOT(ISNUMBER(EN309))),"",1.05*(Uн_лин*1000/SQRT(3))/(_xlfn.XLOOKUP(A309,Щиты[Щит],Щиты[Zmax на шинах, Ом])+FB309)/1000),"")</f>
        <v/>
      </c>
      <c r="FF309" s="6" t="str">
        <f>IF(B309="","",IF(ISNUMBER(AC309),"Сил",IF(IFERROR(_xlfn.XLOOKUP(BC309,Коды_код,Коды_группа)&amp;"","")="","Быт",_xlfn.XLOOKUP(BC309,Коды_код,Коды_группа)&amp;"")))</f>
        <v>Быт</v>
      </c>
      <c r="FG309" s="6" t="str">
        <f t="shared" si="612"/>
        <v>Быт</v>
      </c>
      <c r="FH309" s="6">
        <f>IF(FG309="Щит","щит",IF(FG309="","",IF(FG309="Быт",IFERROR(_xlfn.XLOOKUP(A309,Щиты[Щит],Щиты[Кс быт]),1),IF(FG309="Сил",IF(ISNUMBER(AC309),AC309,IF(Методика="нормы 2026",IFERROR(_xlfn.XLOOKUP(A309,Щиты[Щит],Щиты[Кс силовых (табл. 7.5)]),1),1)),IF(OR(FG309="Пост",FG309="Отоп"),1,IF(FG309="ВНГ",0.7,0))))))</f>
        <v>0.8</v>
      </c>
      <c r="FI309">
        <f>IF(FG309="","",IF(AND(BP309=1,TRIM(AE309&amp;"")=""),IF(COUNTIFS(Линии[Щит],A309,Линии[Секция (1/2/3)],"&gt;=2")&gt;0,MIN(3,MAX(1,IFERROR(--BD309,1))),1),IFERROR(MIN(3,MAX(1,INT(--AE309))),1)))</f>
        <v>1</v>
      </c>
      <c r="FJ309">
        <f t="shared" si="613"/>
        <v>0.18</v>
      </c>
      <c r="FK309">
        <f t="shared" si="614"/>
        <v>0.18</v>
      </c>
      <c r="FL309">
        <f t="shared" si="615"/>
        <v>0</v>
      </c>
      <c r="FM309">
        <f t="shared" si="616"/>
        <v>0</v>
      </c>
      <c r="FN309">
        <f t="shared" si="617"/>
        <v>0</v>
      </c>
      <c r="FO309">
        <f t="shared" si="618"/>
        <v>0</v>
      </c>
      <c r="FP309">
        <f t="shared" si="619"/>
        <v>0.18</v>
      </c>
      <c r="FQ309">
        <f t="shared" si="620"/>
        <v>0.18</v>
      </c>
      <c r="FR309">
        <f t="shared" si="621"/>
        <v>0.17099999999999999</v>
      </c>
      <c r="FS309">
        <f>IF(CG309=1,IF(AND(CH309=1,CW309=1),0,IF(AND(CS309&lt;&gt;"",CS309=BA309,CW309=1),SUMIFS(Линии[_Р линии, кВт],Линии[_блок УЗО],BA309,Линии[Щит],A309),N(BS309)+IF(AJ309="вручную",0,N(CK309)))),0)</f>
        <v>0.18</v>
      </c>
      <c r="FT309" t="str">
        <f t="shared" si="622"/>
        <v>L2</v>
      </c>
      <c r="FU309" t="str">
        <f>IF(B309="","",IF(CG309=0,IF(BA309=1,"",FW308),IF(AND(CH309=1,CW309=1,CS309&lt;&gt;""),IFERROR(_xlfn.XLOOKUP(CS309,Линии[_n],Линии[_фаза итог]),"L1"),IF(OR(N(DL309)&gt;=3,N(BX309)&gt;=3),"L1,L2,L3",IFERROR(_xlfn.TEXTBEFORE(_xlfn.TEXTAFTER(_xlfn.XLOOKUP(A309,Щиты[Щит],Щиты[_фазы авто]),";"&amp;BA309&amp;":"),";"),"L1")))))</f>
        <v>L1</v>
      </c>
      <c r="FV309" t="str">
        <f t="shared" si="623"/>
        <v>L2</v>
      </c>
      <c r="FW309" t="str">
        <f t="shared" si="624"/>
        <v>L2</v>
      </c>
      <c r="FX309" cm="1">
        <f t="array" ref="FX309">IFERROR(IF(CD309=2,_xlfn.IFS(BX309=3,VLOOKUP(BS309,Справочная_двигатели,3,FALSE),BX309=1,VLOOKUP(BS309,Справочная_двигатели,5,TRUE)),0),0)</f>
        <v>0</v>
      </c>
      <c r="FY309">
        <f>IFERROR(IF(CD309=3,VLOOKUP(BS309,Справочная_ЛЭД,2,TRUE),0),0)</f>
        <v>0</v>
      </c>
      <c r="FZ309" s="6">
        <f t="shared" si="625"/>
        <v>0</v>
      </c>
      <c r="GA309" t="str">
        <f>IF(B309="","",IF(TRIM(AH309&amp;"")&lt;&gt;"",IF(LOWER(TRIM(AH309&amp;""))="да","да","нет"),IF(IFERROR(_xlfn.XLOOKUP(BC309,Коды_код,Коды_пожарная),"")="да","да","нет")))</f>
        <v>нет</v>
      </c>
      <c r="GB309" t="str">
        <f t="shared" si="626"/>
        <v/>
      </c>
      <c r="GC309" t="str">
        <f t="shared" si="627"/>
        <v>основная</v>
      </c>
      <c r="GD309">
        <f>IF(AND(BP309=1,TRIM(AE309&amp;"")=""),IF(COUNTIFS(Линии[Щит],A309,Линии[Секция (1/2/3)],"&gt;=2")&gt;0,MIN(3,MAX(1,IFERROR(--BD309,1))),1),IFERROR(MIN(3,MAX(1,INT(--AE309))),1))</f>
        <v>1</v>
      </c>
      <c r="GE309" t="str" cm="1">
        <f t="array" ref="GE309">IF(B309="","",_xlfn.LET(_xlpm.t,IFERROR(_xlfn.XLOOKUP(1,(Шины[Шина]=GC309)*(((Шины[Щит]=A309)+(Шины[Щит]=""))&gt;0),Шины[Тип]),"")&amp;"",IF(_xlpm.t&lt;&gt;"",_xlpm.t,IF(ISNUMBER(SEARCH("ИБП",GC309)),"ИБП",IF(ISNUMBER(SEARCH("ДГУ",GC309)),"ДГУ","Ввод "&amp;GD309)))))</f>
        <v>Ввод 1</v>
      </c>
      <c r="GF309" t="str">
        <f t="shared" si="628"/>
        <v>Ввод 1</v>
      </c>
      <c r="GG309" t="str">
        <f>IF(BP309=0,"",IF(TRIM(AG309&amp;"")&lt;&gt;"",TRIM(AG309&amp;""),IF(OR(GE309="ИБП",GE309="ДГУ"),"I особая",_xlfn.XLOOKUP(A309,Щиты[Щит],Щиты[Категория шины «Ввод»],"III"))))</f>
        <v/>
      </c>
      <c r="GH309" t="str">
        <f>IF(A309="","",_xlfn.XLOOKUP(A309,Щиты[Щит],Щиты[Путь],""))</f>
        <v>|ГРЩ-ЖД|ЩР-2|</v>
      </c>
      <c r="GI309" t="str">
        <f>IF(B309="","",IF(AI309&lt;&gt;"",AI309,IF(IFERROR(_xlfn.XLOOKUP(BC309,Коды_код,Коды_вид)&amp;"","")="","Прочее",_xlfn.XLOOKUP(BC309,Коды_код,Коды_вид)&amp;"")))</f>
        <v>Розеточная сеть и бытовые приборы</v>
      </c>
      <c r="GJ309">
        <f>IF(BM309="","",INT((BM309-1)/Столбцов_на_лист)+1)</f>
        <v>3</v>
      </c>
      <c r="GK309" t="str">
        <f t="shared" si="629"/>
        <v>ВВГнг(А)-LS (3х2,5) L=41-0,25%</v>
      </c>
      <c r="GL309">
        <f t="shared" si="630"/>
        <v>0.18</v>
      </c>
      <c r="GM309">
        <f t="shared" si="631"/>
        <v>0.83</v>
      </c>
      <c r="GN309">
        <f t="shared" si="632"/>
        <v>1</v>
      </c>
      <c r="GO309">
        <f t="shared" si="633"/>
        <v>0</v>
      </c>
      <c r="GP309">
        <f t="shared" si="634"/>
        <v>1</v>
      </c>
      <c r="GQ309">
        <f>IF(BM309="","",IF(AND(CG309=1,GP309=1),COUNTIFS(A$3:A309,A309,CG$3:CG309,1,GP$3:GP309,1),IF(OR(OR(BA309=1,A309&lt;&gt;A308),AJ309="вручную",GP309=0),"",IF(BA309=1,"",GR308))))</f>
        <v>26</v>
      </c>
      <c r="GR309">
        <f t="shared" si="635"/>
        <v>26</v>
      </c>
      <c r="GS309">
        <f>IF(B309="","",IFERROR(LOOKUP(INDEX(CHOOSE(EB309,Iдоп_1ж,Iдоп_2ж,Iдоп_3ж),MATCH(EN309,Iдоп_S,0))*DZ309*EA309,{6,10,16,20,25,32,40,50,63,80,100,125,160,200,250,315,400,500,630}),""))</f>
        <v>25</v>
      </c>
      <c r="GT309" t="str">
        <f t="shared" si="636"/>
        <v>QFD26</v>
      </c>
      <c r="GU309" t="str">
        <f t="shared" si="637"/>
        <v>QFD26</v>
      </c>
      <c r="GV309" t="str">
        <f t="shared" si="638"/>
        <v/>
      </c>
      <c r="GW309">
        <f t="shared" si="639"/>
        <v>0</v>
      </c>
      <c r="GX309" t="str">
        <f>IF(OR(B309="",DJ309=""),"",IFERROR(_xlfn.XLOOKUP(DJ309,Модули_умолч[Управление],Модули_умолч[Модель])&amp;"",""))</f>
        <v/>
      </c>
      <c r="GY309">
        <f>IF(DJ309="",1,IFERROR(MAX(0,N(_xlfn.XLOOKUP(DJ309,Модули_умолч[Управление],Модули_умолч[Каналов на линию]))),1))</f>
        <v>1</v>
      </c>
      <c r="GZ309" t="str">
        <f t="shared" si="640"/>
        <v/>
      </c>
      <c r="HA309" t="str">
        <f t="shared" si="641"/>
        <v/>
      </c>
      <c r="HB309" t="str">
        <f t="shared" si="642"/>
        <v/>
      </c>
      <c r="HC309">
        <f>IF(HB309="",0,IFERROR(N(VLOOKUP(HB309,Модули_спр,3,FALSE)),0))</f>
        <v>0</v>
      </c>
      <c r="HD309" t="str">
        <f t="shared" si="643"/>
        <v/>
      </c>
      <c r="HE309" t="str">
        <f t="shared" si="644"/>
        <v/>
      </c>
      <c r="HF309" t="str">
        <f>IF(OR(HE309="",HE309="-"),"",IFERROR(VLOOKUP(HE309,Модули_спр,2,FALSE),"R"))</f>
        <v/>
      </c>
      <c r="HG309" t="str">
        <f>IF(HF309="","",HF309&amp;"."&amp;COUNTIFS(A$3:A309,A309,HF$3:HF309,HF309))</f>
        <v/>
      </c>
      <c r="HH309" t="str">
        <f t="shared" si="645"/>
        <v/>
      </c>
      <c r="HI309" t="str">
        <f t="shared" si="646"/>
        <v/>
      </c>
      <c r="HJ309" t="str">
        <f t="shared" si="647"/>
        <v/>
      </c>
      <c r="HK309" t="str">
        <f t="shared" si="648"/>
        <v/>
      </c>
      <c r="HL309">
        <f t="shared" si="649"/>
        <v>1</v>
      </c>
      <c r="HM309" t="str">
        <f>IF(HL309=1,"XT"&amp;COUNTIFS(A$3:A309,A309,HL$3:HL309,1),"")</f>
        <v>XT26</v>
      </c>
      <c r="HN309" t="str">
        <f t="shared" si="650"/>
        <v/>
      </c>
      <c r="HO309" t="str">
        <f t="shared" si="651"/>
        <v>QFD26</v>
      </c>
      <c r="HP309" t="str">
        <f t="shared" si="652"/>
        <v/>
      </c>
      <c r="HQ309" t="str">
        <f t="shared" si="653"/>
        <v>ok</v>
      </c>
      <c r="HR309" t="str">
        <f>IF(OR(HJ309="",HH309=""),"",IF(HJ309+MAX(0,GY309-1)&gt;IFERROR(VLOOKUP(HI309,Модули_спр,3,FALSE),99),"ЛИШНИЙ КАНАЛ",IF(AND(AL309&lt;&gt;"=",GY309&gt;0,COUNTIFS(Линии[_модуль гр.],HH309,Линии[Канал (итог)],HJ309,Линии[Канал],"&lt;&gt;=",Линии[Щит],A309)&gt;1),"ДУБЛЬ КАНАЛА","")))</f>
        <v/>
      </c>
      <c r="HS309" s="6" t="str">
        <f t="shared" si="654"/>
        <v/>
      </c>
      <c r="HT309">
        <f t="shared" si="655"/>
        <v>10</v>
      </c>
      <c r="HU309" t="str">
        <f t="shared" si="656"/>
        <v/>
      </c>
      <c r="HV309">
        <f t="shared" si="657"/>
        <v>0.7381780477498926</v>
      </c>
      <c r="HW309">
        <f t="shared" si="658"/>
        <v>0</v>
      </c>
      <c r="HX309">
        <f t="shared" si="659"/>
        <v>0</v>
      </c>
      <c r="HY309">
        <f t="shared" si="660"/>
        <v>0</v>
      </c>
      <c r="HZ309">
        <f t="shared" si="661"/>
        <v>0</v>
      </c>
      <c r="IA309">
        <f t="shared" si="662"/>
        <v>0</v>
      </c>
      <c r="IB309">
        <f t="shared" si="663"/>
        <v>0</v>
      </c>
      <c r="IC309" t="str">
        <f t="shared" si="664"/>
        <v/>
      </c>
      <c r="ID309" t="str" cm="1">
        <f t="array" ref="ID309">IF(IC309="","",_xlfn.LET(_xlpm.tk,_xlfn.TEXTSPLIT(SUBSTITUTE(SUBSTITUTE(IC309,";"," "),"→"," ")," ",,TRUE),_xlpm.w_,_xlfn._xlws.FILTER(_xlpm.tk,ISNUMBER(--LEFT(_xlpm.tk,1))*((ISNUMBER(SEARCH("W",_xlpm.tk))+ISNUMBER(SEARCH("Вт",_xlpm.tk)))&gt;0),""),IFERROR(--SUBSTITUTE(SUBSTITUTE(UPPER(INDEX(_xlpm.w_,1)),"W",""),"ВТ",""),"")))</f>
        <v/>
      </c>
      <c r="IE309" t="str" cm="1">
        <f t="array" ref="IE309">IF(IC309="","",_xlfn.LET(_xlpm.tk,_xlfn.TEXTSPLIT(SUBSTITUTE(SUBSTITUTE(IC309,";"," "),"→"," ")," ",,TRUE),_xlpm.v_,_xlfn._xlws.FILTER(_xlpm.tk,ISNUMBER(--LEFT(_xlpm.tk,1))*((ISNUMBER(SEARCH("V",_xlpm.tk))+(RIGHT(UPPER(_xlpm.tk))="В"))&gt;0),""),IFERROR(--SUBSTITUTE(SUBSTITUTE(UPPER(INDEX(_xlpm.v_,1)),"V",""),"В",""),"")))</f>
        <v/>
      </c>
      <c r="IF309" s="6" t="str">
        <f>IF(OR(BV309=0,HI309="",HJ309=""),"",IFERROR(N(_xlfn.XLOOKUP(HI309,Каталог!$C$4:$C$500,Каталог!$Q$4:$Q$500)),""))</f>
        <v/>
      </c>
      <c r="IG309" s="6" t="str">
        <f>IF(N(IF309)=0,"",SUMIFS(Линии[Iр, А],Линии[Щит],A309,Линии[_модуль гр.],HH309,Линии[Канал (итог)],HJ309))</f>
        <v/>
      </c>
      <c r="IH309" t="str">
        <f>IF(AND(B309="",HO309=""),"",_xlfn.TEXTJOIN("; ",TRUE,IF(AND(B309&lt;&gt;"",FV309=""),"нет фазы",""),IF(AND(B309&lt;&gt;"",N(GL309)=0,FG309&lt;&gt;"Нет"),"нет мощности",""),IF(AND(HN309&lt;&gt;"",COUNTIFS(Линии[Щит],A309,Линии[Клемма (итог)],HN309)&gt;1),"дубль клеммы "&amp;HN309,""),IF(AND(HQ309&lt;&gt;"",HQ309&lt;&gt;"ok"),HQ309,""),IF(HR309&lt;&gt;"",HR309,""),IF(AND(N(CB309)&gt;=4,N(BX309)=1),CB309&amp;" жил на 1 фазе",""),IF(AND(BC309="R",CG309=1,IF(CS309&lt;&gt;"",N(CV309)&gt;30,OR(N(DA309)=0,N(DA309)&gt;30))),"розетка без дифзащиты до 30 мА",""),IF(AND(CG309=1,N(DA309)&gt;0,ISNUMBER(T309)),IF(T309&gt;N(DA309)/3,"ток утечки "&amp;FIXED(T309,1)&amp;" мА &gt; 1/3 уставки ("&amp;DA309&amp;" мА)",""),""),IF(AND(CH309=1,CS309=""),"«узо»: нет строки с УЗО выше (УЗО 2P 40А 30мА в «Аппаратах»)",""),IF(AND(CS309&lt;&gt;"",CS309=BA309),IF(CT309="","впишите номинал УЗО (УЗО 2P 40А 30мА)",IF(N(CT309)&lt;N(DT309),"УЗО "&amp;CT309&amp;" А &lt; автомата "&amp;DT309&amp;" А перед ним",IF(N(CT309)&lt;N(CX309),"УЗО "&amp;CT309&amp;" А &lt; тока блока "&amp;FIXED(CX309,1)&amp;" А",""))),""),IF(AND(CS309&lt;&gt;"",CS309=BA309,ISNUMBER(CY309)),IF(CY309&gt;N(CV309)/3,"ток утечки блока УЗО "&amp;FIXED(CY309,1)&amp;" мА &gt; 1/3 уставки ("&amp;CV309&amp;" мА)",""),""),IF(AND(CG309=1,N(BV309)+N(IB309)&gt;0,IC309=""),"линии до 50 В без БП: впишите в «Аппараты» (БП 24V 480W)",""),IF(AND(CG309=1,ISNUMBER(ID309),ISNUMBER(U309)),IF(U309&gt;ID309,"БП "&amp;ID309&amp;" Вт &lt; нужно "&amp;U309&amp;" Вт (×"&amp;Запас_БП&amp;")",""),""),IF(AND(CG309=1,ISNUMBER(IE309),N(BV309)=1),IF(IE309&lt;&gt;N(BU309),"БП на "&amp;IE309&amp;" В, линия "&amp;BU309&amp;" В",""),""),IF(AND(N(IF309)&gt;0,N(IG309)&gt;N(IF309)),HH309&amp;" канал "&amp;HJ309&amp;": "&amp;FIXED(IG309,1)&amp;" А &gt; "&amp;IF309&amp;" А",""),IFERROR(IF(AND(ISNUMBER(Q309),Q309&gt;EL309),"потери "&amp;FIXED(Q309,1)&amp;" % &gt; "&amp;EL309&amp;" %",""),""),IFERROR(IF(LEFT(HU309,4)="мало","Iкз мало — отключение &gt; 0,4 с",""),""),IF(AND(B309&lt;&gt;"",BM309=""),"не на схеме",""),IF(AND(CG309=0,B309&lt;&gt;"",FV309&lt;&gt;"",IF(BA309=1,"",FW308)&lt;&gt;"",FV309&lt;&gt;IF(BA309=1,"",FW308)),"фаза не как у автомата группы ("&amp;IF(BA309=1,"",FW308)&amp;")","")))</f>
        <v/>
      </c>
      <c r="II309" s="6">
        <f>IF(OR(CG309=0,DQ309=""),"",_xlfn.LET(_xlpm.t,IFERROR(_xlfn.XLOOKUP(DQ309,Каталог!$U$4:$U$500,Каталог!$G$4:$G$500),""),_xlpm.k,SEARCH("кА",_xlpm.t),IFERROR(--TRIM(RIGHT(SUBSTITUTE(MID(_xlpm.t,MAX(1,_xlpm.k-4),_xlpm.k-MAX(1,_xlpm.k-4))," ",REPT(" ",9)),5)),"")))</f>
        <v>6</v>
      </c>
      <c r="IJ309" t="str">
        <f>IF(OR(II309="",CG309=0),"",IF(_xlfn.XLOOKUP(A309,Щиты[Щит],Щиты[Iкз max на шинах, кА],"")="","",IF(II309&lt;_xlfn.XLOOKUP(A309,Щиты[Щит],Щиты[Iкз max на шинах, кА]),"Icu "&amp;II309&amp;" кА &lt; Iкз max","ok")))</f>
        <v/>
      </c>
      <c r="IK309" t="str">
        <f t="shared" si="665"/>
        <v/>
      </c>
      <c r="IL309" t="str">
        <f t="shared" si="666"/>
        <v>QFD26</v>
      </c>
      <c r="IM309" t="str">
        <f t="shared" si="667"/>
        <v>QFD26|кабель ВВГнг(А)-LS (3х2,5) → Розеточная группа, пом. 001Б</v>
      </c>
      <c r="IN309" t="str" cm="1">
        <f t="array" ref="IN309">IF(IM309="","",_xlfn.LET(_xlpm.nd,_xlfn.TEXTSPLIT(IM309,"|"),IF(COLUMNS(_xlpm.nd)&gt;1,A309&amp;"¦"&amp;INDEX(_xlpm.nd,1)&amp;"¦"&amp;INDEX(_xlpm.nd,2),"")))</f>
        <v>ЩР-2¦QFD26¦кабель ВВГнг(А)-LS (3х2,5) → Розеточная группа, пом. 001Б</v>
      </c>
      <c r="IO309" t="str">
        <f t="shared" si="668"/>
        <v>R.3.001Б.1¦Розеточная группа, пом. 001Б</v>
      </c>
      <c r="IP309" t="str" cm="1">
        <f t="array" ref="IP309">IF(IM309="","",_xlfn.LET(_xlpm.nd,_xlfn.TEXTSPLIT(IM309,"|"),IF(COLUMNS(_xlpm.nd)&gt;2,A309&amp;"¦"&amp;INDEX(_xlpm.nd,2)&amp;"¦"&amp;INDEX(_xlpm.nd,3),"")))</f>
        <v/>
      </c>
      <c r="IQ309" t="str">
        <f t="shared" si="669"/>
        <v/>
      </c>
      <c r="IR309" t="str" cm="1">
        <f t="array" ref="IR309">IF(IM309="","",_xlfn.LET(_xlpm.nd,_xlfn.TEXTSPLIT(IM309,"|"),IF(COLUMNS(_xlpm.nd)&gt;3,A309&amp;"¦"&amp;INDEX(_xlpm.nd,3)&amp;"¦"&amp;INDEX(_xlpm.nd,4),"")))</f>
        <v/>
      </c>
      <c r="IS309" t="str">
        <f t="shared" si="670"/>
        <v/>
      </c>
      <c r="IT309" t="str" cm="1">
        <f t="array" ref="IT309">IF(IM309="","",_xlfn.LET(_xlpm.nd,_xlfn.TEXTSPLIT(IM309,"|"),IF(COLUMNS(_xlpm.nd)&gt;4,A309&amp;"¦"&amp;INDEX(_xlpm.nd,4)&amp;"¦"&amp;INDEX(_xlpm.nd,5),"")))</f>
        <v/>
      </c>
      <c r="IU309" t="str">
        <f t="shared" si="671"/>
        <v/>
      </c>
      <c r="IV309" t="str" cm="1">
        <f t="array" ref="IV309">IF(IM309="","",_xlfn.LET(_xlpm.nd,_xlfn.TEXTSPLIT(IM309,"|"),IF(COLUMNS(_xlpm.nd)&gt;5,A309&amp;"¦"&amp;INDEX(_xlpm.nd,5)&amp;"¦"&amp;INDEX(_xlpm.nd,6),"")))</f>
        <v/>
      </c>
      <c r="IW309" t="str">
        <f t="shared" si="672"/>
        <v/>
      </c>
      <c r="IX309" t="str" cm="1">
        <f t="array" ref="IX309">IF(IM309="","",_xlfn.LET(_xlpm.nd,_xlfn.TEXTSPLIT(IM309,"|"),IF(COLUMNS(_xlpm.nd)&gt;6,A309&amp;"¦"&amp;INDEX(_xlpm.nd,6)&amp;"¦"&amp;INDEX(_xlpm.nd,7),"")))</f>
        <v/>
      </c>
      <c r="IY309" t="str">
        <f t="shared" si="673"/>
        <v/>
      </c>
      <c r="IZ309" t="str">
        <f t="shared" si="674"/>
        <v/>
      </c>
      <c r="JA309" t="str">
        <f t="shared" si="675"/>
        <v>QFD26</v>
      </c>
      <c r="JB309">
        <f t="shared" si="676"/>
        <v>0</v>
      </c>
      <c r="JC309">
        <f t="shared" si="677"/>
        <v>1</v>
      </c>
      <c r="JD309" t="str">
        <f t="shared" si="678"/>
        <v/>
      </c>
      <c r="JE309" t="str">
        <f t="shared" si="679"/>
        <v/>
      </c>
      <c r="JF309" t="str">
        <f t="shared" si="680"/>
        <v/>
      </c>
      <c r="JG309" t="str">
        <f t="shared" si="681"/>
        <v/>
      </c>
      <c r="JH309" t="str">
        <f>IF(B309="","",IFERROR(_xlfn.XLOOKUP(B309,Коды_код,Коды_уго),IFERROR(_xlfn.XLOOKUP(BC309,Коды_код,Коды_уго),IFERROR(_xlfn.XLOOKUP(LEFT(BC309,2),Коды_код,Коды_уго),""))))</f>
        <v>Розетка</v>
      </c>
      <c r="JI309" t="str">
        <f>IF(B309="","",IF(OR(JH309="",JH309=0),"BOX",IFERROR(IF(VLOOKUP(JH309,УГО_блоки,3,FALSE)&amp;""&lt;&gt;"",VLOOKUP(JH309,УГО_блоки,3,FALSE),VLOOKUP(JH309,УГО_блоки,2,FALSE)),JH309)))</f>
        <v>SOCKET</v>
      </c>
      <c r="JJ309">
        <f t="shared" si="682"/>
        <v>1</v>
      </c>
      <c r="JK309" t="str">
        <f>IF(DQ309="","",IF(COUNTIF(DQ$3:DQ309,DQ309)=1,MAX(JK$2:JK308)+1,""))</f>
        <v/>
      </c>
      <c r="JL309" t="str">
        <f>IF(DE309="","",IF(COUNTIF(DE$3:DE309,DE309)+COUNTIF(DF$2:DF308,DE309)+COUNTIF(DG$2:DG308,DE309)=1,MAX(JL$2:JN308)+1,""))</f>
        <v/>
      </c>
      <c r="JM309" t="str">
        <f>IF(DF309="","",IF(COUNTIF(DE$3:DE309,DF309)+COUNTIF(DF$3:DF309,DF309)+COUNTIF(DG$2:DG308,DF309)=1,MAX(JL$2:JN308,JL309)+1,""))</f>
        <v/>
      </c>
      <c r="JN309" t="str">
        <f>IF(DG309="","",IF(COUNTIF(DE$3:DE309,DG309)+COUNTIF(DF$3:DF309,DG309)+COUNTIF(DG$3:DG309,DG309)=1,MAX(JL$2:JN308,JL309,JM309)+1,""))</f>
        <v/>
      </c>
      <c r="JO309" t="str">
        <f t="shared" si="683"/>
        <v>3х2,5</v>
      </c>
      <c r="JP309" t="str">
        <f>IF(JO309="","",IF(COUNTIF(JO$3:JO309,JO309)=1,MAX(JP$2:JP308)+1,""))</f>
        <v/>
      </c>
      <c r="JQ309" t="str">
        <f>IF(HG309="","",COUNTIF(HG$3:HG309,"?*"))</f>
        <v/>
      </c>
      <c r="JR309" t="str">
        <f>IF(OR(HG309="",HI309=""),"",IF(COUNTIFS(HG$3:HG309,"?*",HI$3:HI309,HI309)=1,MAX(JR$2:JR308)+1,""))</f>
        <v/>
      </c>
      <c r="JS309">
        <f t="shared" si="684"/>
        <v>0</v>
      </c>
      <c r="JT309">
        <f>IF(B309="","",COUNTIF(B$3:B309,"?*"))</f>
        <v>307</v>
      </c>
      <c r="JU309">
        <f>IF(HL309&lt;&gt;1,0,_xlfn.LET(_xlpm.k,MAX(IFERROR(--_xlfn.XLOOKUP(B309,Коды_код,Коды_3L),0),IFERROR(--_xlfn.XLOOKUP(BC309,Коды_код,Коды_3L),0),IFERROR(--_xlfn.XLOOKUP(LEFT(BC309,2),Коды_код,Коды_3L),0)),IF(_xlpm.k&gt;0,_xlpm.k,IF(IFERROR(--LEFT(SUBSTITUTE(JO309,"x","х"),FIND("х",SUBSTITUTE(JO309,"x","х"))-1),3)&gt;3,Каталог!$S$9,1))))</f>
        <v>1</v>
      </c>
      <c r="JV309">
        <f t="shared" si="685"/>
        <v>0</v>
      </c>
      <c r="JW309" t="str">
        <f t="shared" si="686"/>
        <v>авто</v>
      </c>
      <c r="JX309">
        <f t="shared" si="687"/>
        <v>30</v>
      </c>
      <c r="JY309">
        <f t="shared" si="688"/>
        <v>1</v>
      </c>
      <c r="JZ309">
        <f t="shared" si="689"/>
        <v>1</v>
      </c>
    </row>
    <row r="310" spans="1:286" x14ac:dyDescent="0.3">
      <c r="A310" t="s">
        <v>759</v>
      </c>
      <c r="B310" t="s">
        <v>1615</v>
      </c>
      <c r="C310" t="s">
        <v>1725</v>
      </c>
      <c r="D310">
        <v>1</v>
      </c>
      <c r="E310">
        <v>1.5</v>
      </c>
      <c r="G310">
        <v>16</v>
      </c>
      <c r="H310" t="str">
        <f>Линии[[#This Row],[_авто управление]]</f>
        <v/>
      </c>
      <c r="I310" t="str">
        <f>Линии[[#This Row],[_авто аппараты]]</f>
        <v/>
      </c>
      <c r="J310">
        <v>2.5</v>
      </c>
      <c r="K310">
        <v>38</v>
      </c>
      <c r="L310">
        <v>2</v>
      </c>
      <c r="M310" t="s">
        <v>484</v>
      </c>
      <c r="N310" t="str">
        <f t="shared" si="552"/>
        <v/>
      </c>
      <c r="O310" s="6" cm="1">
        <f t="array" ref="O310">IF(B310="","",IF(BH310&lt;&gt;"",IFERROR(_xlfn.XLOOKUP(BH310,Щиты[Щит],Щиты[Iр, А]),""),IF(BP310=1,IF(OR(N(_xlfn.XLOOKUP(A310,Щиты[Щит],Щиты[Вводов],1))&lt;=1,LOWER(TRIM(_xlfn.XLOOKUP(A310,Щиты[Щит],Щиты[АВР],"")&amp;""))="да"),IFERROR(_xlfn.XLOOKUP(A310,Щиты[Щит],Щиты[Iр, А]),""),IFERROR(N(BS310)*_xlfn.XLOOKUP(A310,Щиты[Щит],Щиты[Кс итог])/(SQRT(3)*Uн_лин*_xlfn.XLOOKUP(A310,Щиты[Щит],Щиты[cos φ])),"")),IF(BV310=1,IFERROR(BS310*1000/BU310,""),IFERROR(_xlfn.IFS(BX310=1,BS310/((Uн_лин/SQRT(3))*CE310),BX310=3,BS310/(SQRT(3)*Uн_лин*CE310)),"")))))</f>
        <v>6.8370426614560946</v>
      </c>
      <c r="P310" s="7">
        <f>IF(B310="","",IFERROR(IF(VLOOKUP(BC310,Потребители_обозначение,4,FALSE)=1,VLOOKUP(BC310,Потребители_обозначение,3,FALSE)*(MAX(1,N(D310))*2-1)+EI310+VLOOKUP(BE310,Этаж_обозначение,3,FALSE)+VLOOKUP(BE310,Этаж_обозначение,4,FALSE),VLOOKUP(BC310,Потребители_обозначение,3,FALSE)*(MAX(1,N(D310))*2-1)+EI310),EI310))</f>
        <v>38</v>
      </c>
      <c r="Q310" s="6">
        <f t="shared" si="553"/>
        <v>3.73</v>
      </c>
      <c r="R310" t="str">
        <f t="shared" si="554"/>
        <v>ВВГнг(А)-LS (3х2,5)</v>
      </c>
      <c r="S310" t="str">
        <f>IF(BM310="","",IF(BN310="вводной узел","узел ","")&amp;"л."&amp;(INT((BM310-1)/Столбцов_на_лист)+1)&amp;" / "&amp;(MOD(BM310-1,Столбцов_на_лист)+1))</f>
        <v>л.3 / 6</v>
      </c>
      <c r="T310" s="119">
        <f t="shared" si="555"/>
        <v>3.1</v>
      </c>
      <c r="U310" s="7" t="str">
        <f>IF(OR(CG310=0,N(BV310)+N(IB310)=0),"",ROUNDUP(Запас_БП*(N(HY310)+N(HZ310)),0))</f>
        <v/>
      </c>
      <c r="V310" s="119" t="str">
        <f t="shared" si="556"/>
        <v/>
      </c>
      <c r="W310" s="7" t="str">
        <f>IFERROR(IF(OR(B310="",BP310=1,BV310=1,NOT(ISNUMBER(EN310)),N(DT310)=0),"",MAX(0,ROUNDDOWN((c_min*(Uн_лин*1000/SQRT(3))/(HT310*N(DT310))-_xlfn.XLOOKUP(A310,Щиты[Щит],Щиты[Zпетли на шинах, Ом]))*EN310/(2*ρкз_Cu),0))),"")</f>
        <v/>
      </c>
      <c r="Y310" t="str">
        <f>Линии[[#This Row],[_авто утечка]]</f>
        <v/>
      </c>
      <c r="Z310">
        <v>1</v>
      </c>
      <c r="AA310">
        <v>230</v>
      </c>
      <c r="AB310" t="s">
        <v>573</v>
      </c>
      <c r="AG310" t="s">
        <v>810</v>
      </c>
      <c r="AI310" t="s">
        <v>572</v>
      </c>
      <c r="AK310" t="str">
        <f>Линии[[#This Row],[_авто модуль]]</f>
        <v/>
      </c>
      <c r="AM310">
        <v>40</v>
      </c>
      <c r="AN310" t="s">
        <v>11</v>
      </c>
      <c r="AO310">
        <v>3</v>
      </c>
      <c r="AR310">
        <v>32</v>
      </c>
      <c r="AT310">
        <v>1</v>
      </c>
      <c r="BA310" cm="1">
        <f t="array" ref="BA310">ROW()-ROW(Линии[#Headers])</f>
        <v>308</v>
      </c>
      <c r="BC310" s="6" t="str">
        <f t="shared" si="557"/>
        <v>ШТК-2</v>
      </c>
      <c r="BD310" t="str">
        <f t="shared" si="558"/>
        <v/>
      </c>
      <c r="BE310" t="str">
        <f t="shared" si="559"/>
        <v/>
      </c>
      <c r="BF310" t="str">
        <f t="shared" si="560"/>
        <v/>
      </c>
      <c r="BG310" t="str">
        <f t="shared" si="561"/>
        <v/>
      </c>
      <c r="BH310" t="str">
        <f>IF(X310&lt;&gt;"",X310,IF(AND(B310&lt;&gt;"",B310&lt;&gt;A310,ISNUMBER(_xlfn.XMATCH(B310,Щиты[Щит]))),B310,""))</f>
        <v/>
      </c>
      <c r="BI310" t="str" cm="1">
        <f t="array" ref="BI310">IF(B310="","",IF(BH310&lt;&gt;"","Щит "&amp;BH310,_xlfn.LET(_xlpm.nm,IFERROR(_xlfn.XLOOKUP(BC310,Коды_код,Коды_имя)&amp;"",""),_xlpm.md,IFERROR(N(_xlfn.XLOOKUP(BC310,Коды_код,Коды_режим)),1),_xlpm.ex,IF(Имя_режим="по экспликации",IFERROR(_xlfn.XLOOKUP(BE310&amp;"|"&amp;BG310,Экспликация[Этаж]&amp;"|"&amp;Экспликация[Помещение],Экспликация[Название])&amp;"",""),""),_xlpm.rm,IF(BG310="","",IF(_xlpm.ex&lt;&gt;"",". "&amp;_xlpm.ex&amp;IF(Имя_пом="нет"," ("&amp;BG310&amp;")"," (пом. "&amp;BG310&amp;")"),IF(Имя_пом="нет"," ",", пом. ")&amp;BG310)),IF(_xlpm.nm="","",IF(_xlpm.md=2,_xlpm.nm&amp;" шлейф "&amp;BE310,_xlpm.nm&amp;_xlpm.rm)))))</f>
        <v/>
      </c>
      <c r="BJ310" t="str">
        <f t="shared" si="562"/>
        <v>Шкаф телекоммуникационный ШТК-2  Тех. Этаж Пом №004T</v>
      </c>
      <c r="BK310">
        <f>IFERROR(_xlfn.XMATCH(A310,Щиты[Щит]),0)</f>
        <v>11</v>
      </c>
      <c r="BL310">
        <f>_xlfn.LET(_xlpm.k,IFERROR(_xlfn.XLOOKUP(A310,Щиты[Щит],Щиты[Мест под вводной узел]),""),IF(_xlpm.k="",Столбцов_на_лист,N(_xlpm.k)))</f>
        <v>8</v>
      </c>
      <c r="BM310">
        <f t="shared" si="563"/>
        <v>40</v>
      </c>
      <c r="BN310" t="str">
        <f t="shared" si="564"/>
        <v>линии</v>
      </c>
      <c r="BO310" s="6">
        <f>IFERROR(N(_xlfn.XLOOKUP(BC310,Коды_код,Коды_квт)),0)</f>
        <v>0</v>
      </c>
      <c r="BP310">
        <f t="shared" si="565"/>
        <v>0</v>
      </c>
      <c r="BQ310" t="str">
        <f>IF(B310="","",IF(BH310&lt;&gt;"",IFERROR(_xlfn.XLOOKUP(BH310,Щиты[Щит],Щиты[Руст, кВт]),0),IF(BP310=1,IF(OR(N(_xlfn.XLOOKUP(A310,Щиты[Щит],Щиты[Вводов],1))&lt;=1,LOWER(TRIM(_xlfn.XLOOKUP(A310,Щиты[Щит],Щиты[АВР],"")&amp;""))="да"),IFERROR(_xlfn.XLOOKUP(A310,Щиты[Щит],Щиты[Руст, кВт]),0),SUMIFS(Линии[_Р для вводов],Линии[Щит],A310,Линии[Источник для режимов],GF310)),IF(BO310&gt;0,ROUND(BO310*MAX(1,N(D310)),3),""))))</f>
        <v/>
      </c>
      <c r="BR310">
        <f t="shared" si="566"/>
        <v>1.5</v>
      </c>
      <c r="BS310" s="6">
        <f>IF(B310="","",IF(BH310&lt;&gt;"",IFERROR(_xlfn.XLOOKUP(BH310,Щиты[Щит],Щиты[Руст, кВт]),0),N(BR310)))</f>
        <v>1.5</v>
      </c>
      <c r="BT310" t="str">
        <f>IF(B310="","",IFERROR(IF(VLOOKUP(BC310,Потребители_обозначение,8,FALSE)=0,"",VLOOKUP(BC310,Потребители_обозначение,8,FALSE)),""))</f>
        <v/>
      </c>
      <c r="BU310">
        <f t="shared" si="567"/>
        <v>230</v>
      </c>
      <c r="BV310">
        <f t="shared" si="568"/>
        <v>0</v>
      </c>
      <c r="BW310">
        <f>IF(B310="","",IF(BH310&lt;&gt;"",3,IFERROR(IF(N(VLOOKUP(BC310,Потребители_обозначение,9,FALSE))=0,1,VLOOKUP(BC310,Потребители_обозначение,9,FALSE)),1)))</f>
        <v>1</v>
      </c>
      <c r="BX310">
        <f t="shared" si="569"/>
        <v>1</v>
      </c>
      <c r="BY310" t="str">
        <f>IF(B310="","",_xlfn.LET(_xlpm.bc,IFERROR(IF(VLOOKUP(BC310,Потребители_обозначение,6,FALSE)=0,"",VLOOKUP(BC310,Потребители_обозначение,6,FALSE)&amp;""),""),IF(AND(GA310="да",OR(_xlpm.bc="",_xlpm.bc="мс")),Марка_пож,IF(AND(_xlpm.bc="",BH310&lt;&gt;""),"мс",_xlpm.bc))))</f>
        <v/>
      </c>
      <c r="BZ310" t="str">
        <f t="shared" si="570"/>
        <v>мс</v>
      </c>
      <c r="CA310">
        <f>IF(B310="","",_xlfn.LET(_xlpm.cc,IFERROR(N(VLOOKUP(BC310,Потребители_обозначение,7,FALSE)),0),IF(_xlpm.cc&gt;0,_xlpm.cc,IF(BZ310="","",IF(BV310=1,2,IF(N(BX310)=3,5,3))))))</f>
        <v>3</v>
      </c>
      <c r="CB310">
        <f t="shared" si="571"/>
        <v>3</v>
      </c>
      <c r="CC310">
        <f>IFERROR(N(VLOOKUP(BC310,Потребители_обозначение,10,FALSE)),0)</f>
        <v>0</v>
      </c>
      <c r="CD310">
        <f>IFERROR(VLOOKUP(BC310,Потребители_обозначение,5,FALSE),0)</f>
        <v>0</v>
      </c>
      <c r="CE310" s="6" cm="1">
        <f t="array" ref="CE310">IF(B310="","",IF(BH310&lt;&gt;"",IFERROR(_xlfn.XLOOKUP(BH310,Щиты[Щит],Щиты[cos φ]),0.95),IF(BP310=1,IFERROR(_xlfn.XLOOKUP(A310,Щиты[Щит],Щиты[cos φ]),0.95),IF(ISNUMBER(AD310),AD310,IFERROR(IF(CD310=2,_xlfn.IFS(BX310=3,VLOOKUP(BS310,Справочная_двигатели,8,FALSE),BX310=1,VLOOKUP(BS310,Справочная_двигатели,10,TRUE)),IF(AND(Методика="нормы 2026",FG310="Сил"),0.8,0.95)),0.95)))))</f>
        <v>0.95</v>
      </c>
      <c r="CF310">
        <f t="shared" si="572"/>
        <v>0</v>
      </c>
      <c r="CG310">
        <f t="shared" si="573"/>
        <v>1</v>
      </c>
      <c r="CH310">
        <f t="shared" si="574"/>
        <v>0</v>
      </c>
      <c r="CI310">
        <f>IF(B310="","",IF(BV310=1,IFERROR(BS310/((Uн_лин/SQRT(3))*MAX(0.5,N(CE310))),0),N(O310)))</f>
        <v>6.8370426614560946</v>
      </c>
      <c r="CJ310">
        <f t="shared" si="575"/>
        <v>0</v>
      </c>
      <c r="CK310">
        <f t="shared" si="576"/>
        <v>0</v>
      </c>
      <c r="CL310">
        <f t="shared" si="577"/>
        <v>0</v>
      </c>
      <c r="CM310">
        <f t="shared" si="578"/>
        <v>0</v>
      </c>
      <c r="CN310">
        <f t="shared" si="579"/>
        <v>0</v>
      </c>
      <c r="CO310">
        <f>IF(BC310="",0,_xlfn.LET(_xlpm.v,IFERROR(_xlfn.XLOOKUP(B310,Коды_код,Коды_мА),IFERROR(_xlfn.XLOOKUP(BC310,Коды_код,Коды_мА),IFERROR(_xlfn.XLOOKUP(LEFT(BC310,2),Коды_код,Коды_мА),""))),IF(_xlpm.v="да",30,IF(ISNUMBER(_xlpm.v),_xlpm.v,0))))</f>
        <v>0</v>
      </c>
      <c r="CP310" t="str">
        <f t="shared" si="580"/>
        <v/>
      </c>
      <c r="CQ310" t="str">
        <f>_xlfn.LET(_xlpm.k,IFERROR(_xlfn.XLOOKUP(BC310,Коды_код,Коды_утечка)&amp;"",""),IF(_xlpm.k="","дифавтомат",_xlpm.k))</f>
        <v>дифавтомат</v>
      </c>
      <c r="CR310" t="str" cm="1">
        <f t="array" ref="CR310">IF(CG310=0,"",_xlfn.LET(_xlpm.sg,TRIM(_xlfn.TEXTSPLIT(DD310&amp;"",";")),_xlpm.f_,_xlfn._xlws.FILTER(_xlpm.sg,LEFT(_xlpm.sg,3)="УЗО",""),IFERROR(INDEX(_xlpm.f_,1)&amp;"","")))</f>
        <v/>
      </c>
      <c r="CS310" t="str">
        <f t="shared" si="581"/>
        <v/>
      </c>
      <c r="CT310" s="6" t="str" cm="1">
        <f t="array" ref="CT310">IF(CR310="","",_xlfn.LET(_xlpm.tk,_xlfn.TEXTSPLIT(UPPER(CR310)," ",,TRUE),_xlpm.a_,_xlfn._xlws.FILTER(_xlpm.tk,ISNUMBER(--LEFT(_xlpm.tk,1))*((ISNUMBER(SEARCH("А",_xlpm.tk))+ISNUMBER(SEARCH("A",_xlpm.tk)))&gt;0)*NOT(ISNUMBER(SEARCH("МА",_xlpm.tk)))*NOT(ISNUMBER(SEARCH("MA",_xlpm.tk))),""),IFERROR(--SUBSTITUTE(SUBSTITUTE(INDEX(_xlpm.a_,1),"А",""),"A",""),"")))</f>
        <v/>
      </c>
      <c r="CU310" t="str" cm="1">
        <f t="array" ref="CU310">IF(CR310="","",_xlfn.LET(_xlpm.tk,_xlfn.TEXTSPLIT(UPPER(CR310)," ",,TRUE),_xlpm.a_,_xlfn._xlws.FILTER(_xlpm.tk,ISNUMBER(--LEFT(_xlpm.tk,1))*((ISNUMBER(SEARCH("МА",_xlpm.tk))+ISNUMBER(SEARCH("MA",_xlpm.tk)))&gt;0),""),IFERROR(--SUBSTITUTE(SUBSTITUTE(INDEX(_xlpm.a_,1),"МА",""),"MA",""),30)))</f>
        <v/>
      </c>
      <c r="CV310" t="str">
        <f>IF(CS310="","",IFERROR(_xlfn.XLOOKUP(CS310,Линии[_n],Линии[_УЗО, мА]),30))</f>
        <v/>
      </c>
      <c r="CW310">
        <f>IF(CS310="",0,IF(ISNUMBER(SEARCH("4P",IFERROR(_xlfn.XLOOKUP(CS310,Линии[_n],Линии[_УЗО строки])&amp;"",""))),0,1))</f>
        <v>0</v>
      </c>
      <c r="CX310" t="str">
        <f>IF(AND(CS310&lt;&gt;"",CS310=BA310),SUMIFS(Линии[_ток на 230 В],Линии[_блок УЗО],BA310,Линии[Щит],A310),"")</f>
        <v/>
      </c>
      <c r="CY310" t="str">
        <f>IF(AND(CS310&lt;&gt;"",CS310=BA310),SUMIFS(Линии[_ток утечки линии, мА],Линии[_блок УЗО],BA310,Линии[Щит],A310),"")</f>
        <v/>
      </c>
      <c r="CZ310">
        <f t="shared" si="582"/>
        <v>0</v>
      </c>
      <c r="DA310">
        <f t="shared" si="583"/>
        <v>0</v>
      </c>
      <c r="DB310">
        <f>IF(B310="",0,IFERROR(--_xlfn.XLOOKUP(B310,Коды_код,Коды_минавт),IFERROR(--_xlfn.XLOOKUP(BC310,Коды_код,Коды_минавт),IFERROR(--_xlfn.XLOOKUP(LEFT(BC310,2),Коды_код,Коды_минавт),0))))</f>
        <v>0</v>
      </c>
      <c r="DC310" t="str">
        <f>IF(B310="","",IFERROR(_xlfn.XLOOKUP(BC310,Коды_код,Коды_апп)&amp;"",""))</f>
        <v/>
      </c>
      <c r="DD310" t="str">
        <f t="shared" si="584"/>
        <v/>
      </c>
      <c r="DE310" t="str" cm="1">
        <f t="array" ref="DE310">IF(TRIM(DD310&amp;"")="","",IFERROR(TRIM(INDEX(_xlfn.TEXTSPLIT(DD310&amp;";;;",";"),1)),""))</f>
        <v/>
      </c>
      <c r="DF310" t="str" cm="1">
        <f t="array" ref="DF310">IF(TRIM(DD310&amp;"")="","",IFERROR(TRIM(INDEX(_xlfn.TEXTSPLIT(DD310&amp;";;;",";"),2)),""))</f>
        <v/>
      </c>
      <c r="DG310" t="str" cm="1">
        <f t="array" ref="DG310">IF(TRIM(DD310&amp;"")="","",IFERROR(TRIM(INDEX(_xlfn.TEXTSPLIT(DD310&amp;";;;",";"),3)),""))</f>
        <v/>
      </c>
      <c r="DH310">
        <f t="shared" si="585"/>
        <v>0</v>
      </c>
      <c r="DI310" t="str">
        <f>IF(B310="","",_xlfn.LET(_xlpm.t,LOWER(AZ310&amp;""),IF(ISNUMBER(SEARCH("dim",_xlpm.t)),"DIM",IF(ISNUMBER(SEARCH("dali",_xlpm.t)),"DALI",IF(OR(ISNUMBER(SEARCH("relay",_xlpm.t)),ISNUMBER(SEARCH("реле",_xlpm.t))),"Relay",IF(ISNUMBER(SEARCH("кнопк",_xlpm.t)),"",IFERROR(_xlfn.XLOOKUP(BC310,Коды_код,Коды_упр)&amp;"","")))))))</f>
        <v/>
      </c>
      <c r="DJ310" t="str">
        <f t="shared" si="586"/>
        <v/>
      </c>
      <c r="DK310">
        <f>IF(B310="","",_xlfn.LET(_xlpm.ig,IF(N(CX310)&gt;0,N(CX310),N(CI310)+IF(AJ310="вручную",0,N(CJ310))),_xlpm.n0,IFERROR(VLOOKUP(_xlpm.ig,Автомат_номиналы,2,TRUE),0),_xlpm.mn,MAX(DB310,IF(AJ310="вручную",0,N(CM310))),MAX(_xlpm.n0,_xlpm.mn,IF(DH310=1,Мин_автомат_БП,0))))</f>
        <v>10</v>
      </c>
      <c r="DL310">
        <f t="shared" si="587"/>
        <v>1</v>
      </c>
      <c r="DM310" t="str">
        <f t="shared" si="588"/>
        <v>1P</v>
      </c>
      <c r="DN310" t="str">
        <f>_xlfn.LET(_xlpm.cc,UPPER(TRIM(IFERROR(_xlfn.XLOOKUP(BC310,Коды_код,Коды_хар)&amp;"",""))),IF(OR(_xlpm.cc="B",_xlpm.cc="В"),"B",IF(_xlpm.cc="D","D","С")))</f>
        <v>С</v>
      </c>
      <c r="DO310" t="str">
        <f t="shared" si="589"/>
        <v>1P С10А</v>
      </c>
      <c r="DP310">
        <f t="shared" si="590"/>
        <v>16</v>
      </c>
      <c r="DQ310" t="str">
        <f t="shared" si="591"/>
        <v>1P С16А</v>
      </c>
      <c r="DR310" cm="1">
        <f t="array" ref="DR310">IF(DQ310="","",_xlfn.LET(_xlpm.t,SUBSTITUTE(SUBSTITUTE(SUBSTITUTE(UPPER(DQ310),"С","C"),"А","A"),"В","B"),_xlpm.tk,_xlfn.TEXTSPLIT(_xlpm.t," "),_xlpm.f,_xlfn._xlws.FILTER(_xlpm.tk,ISNUMBER(--MID(_xlpm.tk,2,1))*ISNUMBER(SEARCH(LEFT(_xlpm.tk,1)&amp;"#","B#C#D#"))*(LEN(_xlpm.tk)&gt;1),""),_xlpm.x,INDEX(_xlpm.f,1),IFERROR(--SUBSTITUTE(MID(_xlpm.x,2,9),"A",""),IFERROR(--SUBSTITUTE(INDEX(_xlfn._xlws.FILTER(_xlpm.tk,ISNUMBER(--SUBSTITUTE(_xlpm.tk,"A","")),""),1),"A",""),""))))</f>
        <v>16</v>
      </c>
      <c r="DS310" t="str">
        <f t="shared" si="592"/>
        <v>ok</v>
      </c>
      <c r="DT310">
        <f t="shared" si="593"/>
        <v>16</v>
      </c>
      <c r="DU310" t="str">
        <f t="shared" si="594"/>
        <v>1P С16А</v>
      </c>
      <c r="DV310">
        <f t="shared" si="595"/>
        <v>0</v>
      </c>
      <c r="DW310">
        <f t="shared" si="596"/>
        <v>0</v>
      </c>
      <c r="DX310">
        <f t="shared" si="597"/>
        <v>0</v>
      </c>
      <c r="DY310">
        <f t="shared" si="598"/>
        <v>6.8370426614560946</v>
      </c>
      <c r="DZ310">
        <f t="shared" si="599"/>
        <v>1</v>
      </c>
      <c r="EA310">
        <f>IF(ISNUMBER(AP310),AP310,К_прокл)</f>
        <v>1</v>
      </c>
      <c r="EB310">
        <f t="shared" si="600"/>
        <v>2</v>
      </c>
      <c r="EC310">
        <f>IFERROR(N(VLOOKUP(BZ310,Кабель_обозначение,3,FALSE)),1)</f>
        <v>1</v>
      </c>
      <c r="ED310">
        <f>IFERROR(N(_xlfn.XLOOKUP(A310,Щиты[Щит],Щиты[ΔU до шин, %])),0)</f>
        <v>1.79</v>
      </c>
      <c r="EE310" t="str">
        <f>IFERROR(_xlfn.XLOOKUP(A310,Щиты[Щит],Щиты[Zпетли на шинах, Ом]),"")</f>
        <v/>
      </c>
      <c r="EF310">
        <f>IFERROR(N(_xlfn.XLOOKUP(A310,Щиты[Щит],Щиты[ΔU до шин (подбор), %])),0)</f>
        <v>4.75</v>
      </c>
      <c r="EG310" t="str">
        <f>IFERROR(_xlfn.XLOOKUP(A310,Щиты[Щит],Щиты[Zпетли на шинах (подбор), Ом]),"")</f>
        <v/>
      </c>
      <c r="EH310" t="str">
        <f t="shared" si="601"/>
        <v/>
      </c>
      <c r="EI310">
        <f t="shared" si="602"/>
        <v>38</v>
      </c>
      <c r="EJ310">
        <f t="shared" si="603"/>
        <v>2</v>
      </c>
      <c r="EK310">
        <f t="shared" si="604"/>
        <v>0.31</v>
      </c>
      <c r="EL310" s="6">
        <f>IF(B310="","",IF(BV310=1,dU_LED,IF(IFERROR(_xlfn.XLOOKUP(BC310,Коды_код,Коды_уго),"")="Светильник",3,4)+IF(Методика="нормы 2026",MIN(0.5,MAX(0,N(P310)-100)*0.005),0)))</f>
        <v>4</v>
      </c>
      <c r="EM310" t="str" cm="1">
        <f t="array" ref="EM310">IF(OR(B310="",BZ310="",EC310&lt;&gt;1),"",_xlfn.LET(_xlpm.sz,Iдоп_S,_xlpm.t_,CHOOSE(EB310,Iдоп_1ж,Iдоп_2ж,Iдоп_3ж)*DZ310*EA310,_xlpm.dcx,BV310=1,_xlpm.inn,IF(_xlpm.dcx,N(O310),N(DT310)),_xlpm.smin,MAX(1.5,CC310),_xlpm.L_,N(P310)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310)/N(BU310)*100,999),IFERROR(N(EJ310)*(_xlpm.rho*_xlpm.L_/_xlpm.sz*N(CE310)+_xlpm.xx*_xlpm.L_*N(EK310)/1000)*N(O310)/((Uн_лин/SQRT(3))*1000)*100,999)),_xlpm.kz,IF(OR(_xlpm.dcx,DW310=1,NOT(ISNUMBER(EG310)),_xlpm.L_=0,_xlpm.inn=0),1,IFERROR(--(c_min*(Uн_лин*1000/SQRT(3))/(EG310+2*ρкз_Cu*_xlpm.L_/_xlpm.sz)&gt;=HT310*_xlpm.inn),0)),_xlpm.ok,IFERROR((_xlpm.sz&gt;=_xlpm.smin)*(_xlpm.t_&gt;=_xlpm.inn)*IF(_xlpm.L_&gt;0,(_xlpm.du_+IF(_xlpm.dcx,0,EF310)&lt;=EL310+0.00001),1)*_xlpm.kz,0),_xlpm.r_,_xlfn._xlws.FILTER(_xlpm.sz,_xlpm.ok,"не подобрано"),INDEX(_xlpm.r_,1)))</f>
        <v>не подобрано</v>
      </c>
      <c r="EN310">
        <f t="shared" si="605"/>
        <v>2.5</v>
      </c>
      <c r="EO310" cm="1">
        <f t="array" ref="EO310">IF(OR(B310="",BZ310="",EC310&lt;&gt;1),"",_xlfn.LET(_xlpm.sz,Iдоп_S,_xlpm.t_,CHOOSE(EB310,Iдоп_1ж,Iдоп_2ж,Iдоп_3ж)*DZ310*EA310,_xlpm.ok,IFERROR((_xlpm.sz&gt;=MAX(1.5,CC310))*(_xlpm.t_&gt;=N(DT310)),0),_xlpm.r_,_xlfn._xlws.FILTER(_xlpm.sz,_xlpm.ok,""),INDEX(_xlpm.r_,1)))</f>
        <v>1.5</v>
      </c>
      <c r="EP310" s="6" cm="1">
        <f t="array" ref="EP310">IFERROR(ROUNDUP(N(EJ310)*(_xlfn.XLOOKUP(EO310,INDEX(Кабель_сопротивление,0,1),INDEX(Кабель_сопротивление,0,3))*N(P310)/EO310*N(CE310)+_xlfn.XLOOKUP(EO310,INDEX(Кабель_сопротивление,0,1),INDEX(Кабель_сопротивление,0,2))*N(P310)*N(EK310)/1000)*N(O310)/((Uн_лин/SQRT(3))*1000)*100,2),"")</f>
        <v>3.2199999999999998</v>
      </c>
      <c r="EQ310">
        <f>IFERROR(2*ρкз_Cu*N(P310)/EO310,"")</f>
        <v>1.3325333333333333</v>
      </c>
      <c r="ER310">
        <f>IFERROR(VLOOKUP(EN310,Кабель_сопротивление,3,FALSE),"")</f>
        <v>2.2499999999999999E-2</v>
      </c>
      <c r="ES310">
        <f>IFERROR(VLOOKUP(EN310,Кабель_сопротивление,2,FALSE),"")</f>
        <v>0.1</v>
      </c>
      <c r="ET310">
        <f t="shared" si="606"/>
        <v>32</v>
      </c>
      <c r="EU310">
        <f t="shared" si="607"/>
        <v>0</v>
      </c>
      <c r="EV310">
        <f t="shared" si="608"/>
        <v>4.4588183939245605</v>
      </c>
      <c r="EW310" s="6">
        <f>IFERROR(ROUNDUP(EV310/IF(BV310=1,BU310,(Uн_лин/SQRT(3))*1000)*100,2),"")</f>
        <v>1.94</v>
      </c>
      <c r="EX310" t="str">
        <f>IFERROR(VLOOKUP(BZ310,Кабель_обозначение,2,FALSE),"")</f>
        <v>ВВГнг(А)-LS</v>
      </c>
      <c r="EY310" t="str">
        <f t="shared" si="609"/>
        <v>ВВГнг(А)-LS (3х2,5)</v>
      </c>
      <c r="EZ310" t="str">
        <f t="shared" si="610"/>
        <v>ВВГнг(А)-LS (3х2,5)
L=38-1,94%</v>
      </c>
      <c r="FA310">
        <f>IFERROR(2*ρкз_Cu*P310/EN310,"")</f>
        <v>0.79952000000000001</v>
      </c>
      <c r="FB310">
        <f t="shared" si="611"/>
        <v>0.26600000000000001</v>
      </c>
      <c r="FC310" s="6" t="str">
        <f>IFERROR(IF(OR(B310="",BV310=1,NOT(ISNUMBER(EN310)),N(P310)=0),"",_xlfn.XLOOKUP(A310,Щиты[Щит],Щиты[Zпетли на шинах, Ом])+FA310),"")</f>
        <v/>
      </c>
      <c r="FD310" s="6" t="str">
        <f>IF(ISNUMBER(FC310),c_min*(Uн_лин*1000/SQRT(3))/FC310,"")</f>
        <v/>
      </c>
      <c r="FE310" s="6" t="str">
        <f>IFERROR(IF(OR(B310="",NOT(ISNUMBER(EN310))),"",1.05*(Uн_лин*1000/SQRT(3))/(_xlfn.XLOOKUP(A310,Щиты[Щит],Щиты[Zmax на шинах, Ом])+FB310)/1000),"")</f>
        <v/>
      </c>
      <c r="FF310" s="6" t="str">
        <f>IF(B310="","",IF(ISNUMBER(AC310),"Сил",IF(IFERROR(_xlfn.XLOOKUP(BC310,Коды_код,Коды_группа)&amp;"","")="","Быт",_xlfn.XLOOKUP(BC310,Коды_код,Коды_группа)&amp;"")))</f>
        <v>Быт</v>
      </c>
      <c r="FG310" s="6" t="str">
        <f t="shared" si="612"/>
        <v>Пост</v>
      </c>
      <c r="FH310" s="6">
        <f>IF(FG310="Щит","щит",IF(FG310="","",IF(FG310="Быт",IFERROR(_xlfn.XLOOKUP(A310,Щиты[Щит],Щиты[Кс быт]),1),IF(FG310="Сил",IF(ISNUMBER(AC310),AC310,IF(Методика="нормы 2026",IFERROR(_xlfn.XLOOKUP(A310,Щиты[Щит],Щиты[Кс силовых (табл. 7.5)]),1),1)),IF(OR(FG310="Пост",FG310="Отоп"),1,IF(FG310="ВНГ",0.7,0))))))</f>
        <v>1</v>
      </c>
      <c r="FI310">
        <f>IF(FG310="","",IF(AND(BP310=1,TRIM(AE310&amp;"")=""),IF(COUNTIFS(Линии[Щит],A310,Линии[Секция (1/2/3)],"&gt;=2")&gt;0,MIN(3,MAX(1,IFERROR(--BD310,1))),1),IFERROR(MIN(3,MAX(1,INT(--AE310))),1)))</f>
        <v>1</v>
      </c>
      <c r="FJ310">
        <f t="shared" si="613"/>
        <v>1.5</v>
      </c>
      <c r="FK310">
        <f t="shared" si="614"/>
        <v>0</v>
      </c>
      <c r="FL310">
        <f t="shared" si="615"/>
        <v>0</v>
      </c>
      <c r="FM310">
        <f t="shared" si="616"/>
        <v>1.5</v>
      </c>
      <c r="FN310">
        <f t="shared" si="617"/>
        <v>0</v>
      </c>
      <c r="FO310">
        <f t="shared" si="618"/>
        <v>0</v>
      </c>
      <c r="FP310">
        <f t="shared" si="619"/>
        <v>1.5</v>
      </c>
      <c r="FQ310">
        <f t="shared" si="620"/>
        <v>1.5</v>
      </c>
      <c r="FR310">
        <f t="shared" si="621"/>
        <v>1.4249999999999998</v>
      </c>
      <c r="FS310">
        <f>IF(CG310=1,IF(AND(CH310=1,CW310=1),0,IF(AND(CS310&lt;&gt;"",CS310=BA310,CW310=1),SUMIFS(Линии[_Р линии, кВт],Линии[_блок УЗО],BA310,Линии[Щит],A310),N(BS310)+IF(AJ310="вручную",0,N(CK310)))),0)</f>
        <v>1.5</v>
      </c>
      <c r="FT310" t="str">
        <f t="shared" si="622"/>
        <v>L2</v>
      </c>
      <c r="FU310" t="str">
        <f>IF(B310="","",IF(CG310=0,IF(BA310=1,"",FW309),IF(AND(CH310=1,CW310=1,CS310&lt;&gt;""),IFERROR(_xlfn.XLOOKUP(CS310,Линии[_n],Линии[_фаза итог]),"L1"),IF(OR(N(DL310)&gt;=3,N(BX310)&gt;=3),"L1,L2,L3",IFERROR(_xlfn.TEXTBEFORE(_xlfn.TEXTAFTER(_xlfn.XLOOKUP(A310,Щиты[Щит],Щиты[_фазы авто]),";"&amp;BA310&amp;":"),";"),"L1")))))</f>
        <v>L1</v>
      </c>
      <c r="FV310" t="str">
        <f t="shared" si="623"/>
        <v>L2</v>
      </c>
      <c r="FW310" t="str">
        <f t="shared" si="624"/>
        <v>L2</v>
      </c>
      <c r="FX310" cm="1">
        <f t="array" ref="FX310">IFERROR(IF(CD310=2,_xlfn.IFS(BX310=3,VLOOKUP(BS310,Справочная_двигатели,3,FALSE),BX310=1,VLOOKUP(BS310,Справочная_двигатели,5,TRUE)),0),0)</f>
        <v>0</v>
      </c>
      <c r="FY310">
        <f>IFERROR(IF(CD310=3,VLOOKUP(BS310,Справочная_ЛЭД,2,TRUE),0),0)</f>
        <v>0</v>
      </c>
      <c r="FZ310" s="6">
        <f t="shared" si="625"/>
        <v>0</v>
      </c>
      <c r="GA310" t="str">
        <f>IF(B310="","",IF(TRIM(AH310&amp;"")&lt;&gt;"",IF(LOWER(TRIM(AH310&amp;""))="да","да","нет"),IF(IFERROR(_xlfn.XLOOKUP(BC310,Коды_код,Коды_пожарная),"")="да","да","нет")))</f>
        <v>нет</v>
      </c>
      <c r="GB310" t="str">
        <f t="shared" si="626"/>
        <v/>
      </c>
      <c r="GC310" t="str">
        <f t="shared" si="627"/>
        <v>основная</v>
      </c>
      <c r="GD310">
        <f>IF(AND(BP310=1,TRIM(AE310&amp;"")=""),IF(COUNTIFS(Линии[Щит],A310,Линии[Секция (1/2/3)],"&gt;=2")&gt;0,MIN(3,MAX(1,IFERROR(--BD310,1))),1),IFERROR(MIN(3,MAX(1,INT(--AE310))),1))</f>
        <v>1</v>
      </c>
      <c r="GE310" t="str" cm="1">
        <f t="array" ref="GE310">IF(B310="","",_xlfn.LET(_xlpm.t,IFERROR(_xlfn.XLOOKUP(1,(Шины[Шина]=GC310)*(((Шины[Щит]=A310)+(Шины[Щит]=""))&gt;0),Шины[Тип]),"")&amp;"",IF(_xlpm.t&lt;&gt;"",_xlpm.t,IF(ISNUMBER(SEARCH("ИБП",GC310)),"ИБП",IF(ISNUMBER(SEARCH("ДГУ",GC310)),"ДГУ","Ввод "&amp;GD310)))))</f>
        <v>Ввод 1</v>
      </c>
      <c r="GF310" t="str">
        <f t="shared" si="628"/>
        <v>Ввод 1</v>
      </c>
      <c r="GG310" t="str">
        <f>IF(BP310=0,"",IF(TRIM(AG310&amp;"")&lt;&gt;"",TRIM(AG310&amp;""),IF(OR(GE310="ИБП",GE310="ДГУ"),"I особая",_xlfn.XLOOKUP(A310,Щиты[Щит],Щиты[Категория шины «Ввод»],"III"))))</f>
        <v/>
      </c>
      <c r="GH310" t="str">
        <f>IF(A310="","",_xlfn.XLOOKUP(A310,Щиты[Щит],Щиты[Путь],""))</f>
        <v>|ГРЩ-ЖД|ЩР-2|</v>
      </c>
      <c r="GI310" t="str">
        <f>IF(B310="","",IF(AI310&lt;&gt;"",AI310,IF(IFERROR(_xlfn.XLOOKUP(BC310,Коды_код,Коды_вид)&amp;"","")="","Прочее",_xlfn.XLOOKUP(BC310,Коды_код,Коды_вид)&amp;"")))</f>
        <v>Слаботочные системы, автоматизация, KNX</v>
      </c>
      <c r="GJ310">
        <f>IF(BM310="","",INT((BM310-1)/Столбцов_на_лист)+1)</f>
        <v>3</v>
      </c>
      <c r="GK310" t="str">
        <f t="shared" si="629"/>
        <v>ВВГнг(А)-LS (3х2,5) L=38-1,94%</v>
      </c>
      <c r="GL310">
        <f t="shared" si="630"/>
        <v>1.5</v>
      </c>
      <c r="GM310">
        <f t="shared" si="631"/>
        <v>6.84</v>
      </c>
      <c r="GN310">
        <f t="shared" si="632"/>
        <v>1</v>
      </c>
      <c r="GO310">
        <f t="shared" si="633"/>
        <v>0</v>
      </c>
      <c r="GP310">
        <f t="shared" si="634"/>
        <v>1</v>
      </c>
      <c r="GQ310">
        <f>IF(BM310="","",IF(AND(CG310=1,GP310=1),COUNTIFS(A$3:A310,A310,CG$3:CG310,1,GP$3:GP310,1),IF(OR(OR(BA310=1,A310&lt;&gt;A309),AJ310="вручную",GP310=0),"",IF(BA310=1,"",GR309))))</f>
        <v>27</v>
      </c>
      <c r="GR310">
        <f t="shared" si="635"/>
        <v>27</v>
      </c>
      <c r="GS310">
        <f>IF(B310="","",IFERROR(LOOKUP(INDEX(CHOOSE(EB310,Iдоп_1ж,Iдоп_2ж,Iдоп_3ж),MATCH(EN310,Iдоп_S,0))*DZ310*EA310,{6,10,16,20,25,32,40,50,63,80,100,125,160,200,250,315,400,500,630}),""))</f>
        <v>25</v>
      </c>
      <c r="GT310" t="str">
        <f t="shared" si="636"/>
        <v>QF27</v>
      </c>
      <c r="GU310" t="str">
        <f t="shared" si="637"/>
        <v>QF27</v>
      </c>
      <c r="GV310" t="str">
        <f t="shared" si="638"/>
        <v/>
      </c>
      <c r="GW310">
        <f t="shared" si="639"/>
        <v>0</v>
      </c>
      <c r="GX310" t="str">
        <f>IF(OR(B310="",DJ310=""),"",IFERROR(_xlfn.XLOOKUP(DJ310,Модули_умолч[Управление],Модули_умолч[Модель])&amp;"",""))</f>
        <v/>
      </c>
      <c r="GY310">
        <f>IF(DJ310="",1,IFERROR(MAX(0,N(_xlfn.XLOOKUP(DJ310,Модули_умолч[Управление],Модули_умолч[Каналов на линию]))),1))</f>
        <v>1</v>
      </c>
      <c r="GZ310" t="str">
        <f t="shared" si="640"/>
        <v/>
      </c>
      <c r="HA310" t="str">
        <f t="shared" si="641"/>
        <v/>
      </c>
      <c r="HB310" t="str">
        <f t="shared" si="642"/>
        <v/>
      </c>
      <c r="HC310">
        <f>IF(HB310="",0,IFERROR(N(VLOOKUP(HB310,Модули_спр,3,FALSE)),0))</f>
        <v>0</v>
      </c>
      <c r="HD310" t="str">
        <f t="shared" si="643"/>
        <v/>
      </c>
      <c r="HE310" t="str">
        <f t="shared" si="644"/>
        <v/>
      </c>
      <c r="HF310" t="str">
        <f>IF(OR(HE310="",HE310="-"),"",IFERROR(VLOOKUP(HE310,Модули_спр,2,FALSE),"R"))</f>
        <v/>
      </c>
      <c r="HG310" t="str">
        <f>IF(HF310="","",HF310&amp;"."&amp;COUNTIFS(A$3:A310,A310,HF$3:HF310,HF310))</f>
        <v/>
      </c>
      <c r="HH310" t="str">
        <f t="shared" si="645"/>
        <v/>
      </c>
      <c r="HI310" t="str">
        <f t="shared" si="646"/>
        <v/>
      </c>
      <c r="HJ310" t="str">
        <f t="shared" si="647"/>
        <v/>
      </c>
      <c r="HK310" t="str">
        <f t="shared" si="648"/>
        <v/>
      </c>
      <c r="HL310">
        <f t="shared" si="649"/>
        <v>1</v>
      </c>
      <c r="HM310" t="str">
        <f>IF(HL310=1,"XT"&amp;COUNTIFS(A$3:A310,A310,HL$3:HL310,1),"")</f>
        <v>XT27</v>
      </c>
      <c r="HN310" t="str">
        <f t="shared" si="650"/>
        <v/>
      </c>
      <c r="HO310" t="str">
        <f t="shared" si="651"/>
        <v>QF27</v>
      </c>
      <c r="HP310" t="str">
        <f t="shared" si="652"/>
        <v/>
      </c>
      <c r="HQ310" t="str">
        <f t="shared" si="653"/>
        <v>ok</v>
      </c>
      <c r="HR310" t="str">
        <f>IF(OR(HJ310="",HH310=""),"",IF(HJ310+MAX(0,GY310-1)&gt;IFERROR(VLOOKUP(HI310,Модули_спр,3,FALSE),99),"ЛИШНИЙ КАНАЛ",IF(AND(AL310&lt;&gt;"=",GY310&gt;0,COUNTIFS(Линии[_модуль гр.],HH310,Линии[Канал (итог)],HJ310,Линии[Канал],"&lt;&gt;=",Линии[Щит],A310)&gt;1),"ДУБЛЬ КАНАЛА","")))</f>
        <v/>
      </c>
      <c r="HS310" s="6" t="str">
        <f t="shared" si="654"/>
        <v/>
      </c>
      <c r="HT310">
        <f t="shared" si="655"/>
        <v>10</v>
      </c>
      <c r="HU310" t="str">
        <f t="shared" si="656"/>
        <v/>
      </c>
      <c r="HV310">
        <f t="shared" si="657"/>
        <v>3.114817064582438</v>
      </c>
      <c r="HW310">
        <f t="shared" si="658"/>
        <v>0</v>
      </c>
      <c r="HX310">
        <f t="shared" si="659"/>
        <v>0</v>
      </c>
      <c r="HY310">
        <f t="shared" si="660"/>
        <v>0</v>
      </c>
      <c r="HZ310">
        <f t="shared" si="661"/>
        <v>0</v>
      </c>
      <c r="IA310">
        <f t="shared" si="662"/>
        <v>0</v>
      </c>
      <c r="IB310">
        <f t="shared" si="663"/>
        <v>0</v>
      </c>
      <c r="IC310" t="str">
        <f t="shared" si="664"/>
        <v/>
      </c>
      <c r="ID310" t="str" cm="1">
        <f t="array" ref="ID310">IF(IC310="","",_xlfn.LET(_xlpm.tk,_xlfn.TEXTSPLIT(SUBSTITUTE(SUBSTITUTE(IC310,";"," "),"→"," ")," ",,TRUE),_xlpm.w_,_xlfn._xlws.FILTER(_xlpm.tk,ISNUMBER(--LEFT(_xlpm.tk,1))*((ISNUMBER(SEARCH("W",_xlpm.tk))+ISNUMBER(SEARCH("Вт",_xlpm.tk)))&gt;0),""),IFERROR(--SUBSTITUTE(SUBSTITUTE(UPPER(INDEX(_xlpm.w_,1)),"W",""),"ВТ",""),"")))</f>
        <v/>
      </c>
      <c r="IE310" t="str" cm="1">
        <f t="array" ref="IE310">IF(IC310="","",_xlfn.LET(_xlpm.tk,_xlfn.TEXTSPLIT(SUBSTITUTE(SUBSTITUTE(IC310,";"," "),"→"," ")," ",,TRUE),_xlpm.v_,_xlfn._xlws.FILTER(_xlpm.tk,ISNUMBER(--LEFT(_xlpm.tk,1))*((ISNUMBER(SEARCH("V",_xlpm.tk))+(RIGHT(UPPER(_xlpm.tk))="В"))&gt;0),""),IFERROR(--SUBSTITUTE(SUBSTITUTE(UPPER(INDEX(_xlpm.v_,1)),"V",""),"В",""),"")))</f>
        <v/>
      </c>
      <c r="IF310" s="6" t="str">
        <f>IF(OR(BV310=0,HI310="",HJ310=""),"",IFERROR(N(_xlfn.XLOOKUP(HI310,Каталог!$C$4:$C$500,Каталог!$Q$4:$Q$500)),""))</f>
        <v/>
      </c>
      <c r="IG310" s="6" t="str">
        <f>IF(N(IF310)=0,"",SUMIFS(Линии[Iр, А],Линии[Щит],A310,Линии[_модуль гр.],HH310,Линии[Канал (итог)],HJ310))</f>
        <v/>
      </c>
      <c r="IH310" t="str">
        <f>IF(AND(B310="",HO310=""),"",_xlfn.TEXTJOIN("; ",TRUE,IF(AND(B310&lt;&gt;"",FV310=""),"нет фазы",""),IF(AND(B310&lt;&gt;"",N(GL310)=0,FG310&lt;&gt;"Нет"),"нет мощности",""),IF(AND(HN310&lt;&gt;"",COUNTIFS(Линии[Щит],A310,Линии[Клемма (итог)],HN310)&gt;1),"дубль клеммы "&amp;HN310,""),IF(AND(HQ310&lt;&gt;"",HQ310&lt;&gt;"ok"),HQ310,""),IF(HR310&lt;&gt;"",HR310,""),IF(AND(N(CB310)&gt;=4,N(BX310)=1),CB310&amp;" жил на 1 фазе",""),IF(AND(BC310="R",CG310=1,IF(CS310&lt;&gt;"",N(CV310)&gt;30,OR(N(DA310)=0,N(DA310)&gt;30))),"розетка без дифзащиты до 30 мА",""),IF(AND(CG310=1,N(DA310)&gt;0,ISNUMBER(T310)),IF(T310&gt;N(DA310)/3,"ток утечки "&amp;FIXED(T310,1)&amp;" мА &gt; 1/3 уставки ("&amp;DA310&amp;" мА)",""),""),IF(AND(CH310=1,CS310=""),"«узо»: нет строки с УЗО выше (УЗО 2P 40А 30мА в «Аппаратах»)",""),IF(AND(CS310&lt;&gt;"",CS310=BA310),IF(CT310="","впишите номинал УЗО (УЗО 2P 40А 30мА)",IF(N(CT310)&lt;N(DT310),"УЗО "&amp;CT310&amp;" А &lt; автомата "&amp;DT310&amp;" А перед ним",IF(N(CT310)&lt;N(CX310),"УЗО "&amp;CT310&amp;" А &lt; тока блока "&amp;FIXED(CX310,1)&amp;" А",""))),""),IF(AND(CS310&lt;&gt;"",CS310=BA310,ISNUMBER(CY310)),IF(CY310&gt;N(CV310)/3,"ток утечки блока УЗО "&amp;FIXED(CY310,1)&amp;" мА &gt; 1/3 уставки ("&amp;CV310&amp;" мА)",""),""),IF(AND(CG310=1,N(BV310)+N(IB310)&gt;0,IC310=""),"линии до 50 В без БП: впишите в «Аппараты» (БП 24V 480W)",""),IF(AND(CG310=1,ISNUMBER(ID310),ISNUMBER(U310)),IF(U310&gt;ID310,"БП "&amp;ID310&amp;" Вт &lt; нужно "&amp;U310&amp;" Вт (×"&amp;Запас_БП&amp;")",""),""),IF(AND(CG310=1,ISNUMBER(IE310),N(BV310)=1),IF(IE310&lt;&gt;N(BU310),"БП на "&amp;IE310&amp;" В, линия "&amp;BU310&amp;" В",""),""),IF(AND(N(IF310)&gt;0,N(IG310)&gt;N(IF310)),HH310&amp;" канал "&amp;HJ310&amp;": "&amp;FIXED(IG310,1)&amp;" А &gt; "&amp;IF310&amp;" А",""),IFERROR(IF(AND(ISNUMBER(Q310),Q310&gt;EL310),"потери "&amp;FIXED(Q310,1)&amp;" % &gt; "&amp;EL310&amp;" %",""),""),IFERROR(IF(LEFT(HU310,4)="мало","Iкз мало — отключение &gt; 0,4 с",""),""),IF(AND(B310&lt;&gt;"",BM310=""),"не на схеме",""),IF(AND(CG310=0,B310&lt;&gt;"",FV310&lt;&gt;"",IF(BA310=1,"",FW309)&lt;&gt;"",FV310&lt;&gt;IF(BA310=1,"",FW309)),"фаза не как у автомата группы ("&amp;IF(BA310=1,"",FW309)&amp;")","")))</f>
        <v/>
      </c>
      <c r="II310" s="6">
        <f>IF(OR(CG310=0,DQ310=""),"",_xlfn.LET(_xlpm.t,IFERROR(_xlfn.XLOOKUP(DQ310,Каталог!$U$4:$U$500,Каталог!$G$4:$G$500),""),_xlpm.k,SEARCH("кА",_xlpm.t),IFERROR(--TRIM(RIGHT(SUBSTITUTE(MID(_xlpm.t,MAX(1,_xlpm.k-4),_xlpm.k-MAX(1,_xlpm.k-4))," ",REPT(" ",9)),5)),"")))</f>
        <v>6</v>
      </c>
      <c r="IJ310" t="str">
        <f>IF(OR(II310="",CG310=0),"",IF(_xlfn.XLOOKUP(A310,Щиты[Щит],Щиты[Iкз max на шинах, кА],"")="","",IF(II310&lt;_xlfn.XLOOKUP(A310,Щиты[Щит],Щиты[Iкз max на шинах, кА]),"Icu "&amp;II310&amp;" кА &lt; Iкз max","ok")))</f>
        <v/>
      </c>
      <c r="IK310" t="str">
        <f t="shared" si="665"/>
        <v/>
      </c>
      <c r="IL310" t="str">
        <f t="shared" si="666"/>
        <v>QF27</v>
      </c>
      <c r="IM310" t="str">
        <f t="shared" si="667"/>
        <v>QF27|кабель ВВГнг(А)-LS (3х2,5) → Шкаф телекоммуникационный ШТК-2  Тех. Этаж Пом №004T</v>
      </c>
      <c r="IN310" t="str" cm="1">
        <f t="array" ref="IN310">IF(IM310="","",_xlfn.LET(_xlpm.nd,_xlfn.TEXTSPLIT(IM310,"|"),IF(COLUMNS(_xlpm.nd)&gt;1,A310&amp;"¦"&amp;INDEX(_xlpm.nd,1)&amp;"¦"&amp;INDEX(_xlpm.nd,2),"")))</f>
        <v>ЩР-2¦QF27¦кабель ВВГнг(А)-LS (3х2,5) → Шкаф телекоммуникационный ШТК-2  Тех. Этаж Пом №004T</v>
      </c>
      <c r="IO310" t="str">
        <f t="shared" si="668"/>
        <v>ШТК-2¦Шкаф телекоммуникационный ШТК-2  Тех. Этаж Пом №004T</v>
      </c>
      <c r="IP310" t="str" cm="1">
        <f t="array" ref="IP310">IF(IM310="","",_xlfn.LET(_xlpm.nd,_xlfn.TEXTSPLIT(IM310,"|"),IF(COLUMNS(_xlpm.nd)&gt;2,A310&amp;"¦"&amp;INDEX(_xlpm.nd,2)&amp;"¦"&amp;INDEX(_xlpm.nd,3),"")))</f>
        <v/>
      </c>
      <c r="IQ310" t="str">
        <f t="shared" si="669"/>
        <v/>
      </c>
      <c r="IR310" t="str" cm="1">
        <f t="array" ref="IR310">IF(IM310="","",_xlfn.LET(_xlpm.nd,_xlfn.TEXTSPLIT(IM310,"|"),IF(COLUMNS(_xlpm.nd)&gt;3,A310&amp;"¦"&amp;INDEX(_xlpm.nd,3)&amp;"¦"&amp;INDEX(_xlpm.nd,4),"")))</f>
        <v/>
      </c>
      <c r="IS310" t="str">
        <f t="shared" si="670"/>
        <v/>
      </c>
      <c r="IT310" t="str" cm="1">
        <f t="array" ref="IT310">IF(IM310="","",_xlfn.LET(_xlpm.nd,_xlfn.TEXTSPLIT(IM310,"|"),IF(COLUMNS(_xlpm.nd)&gt;4,A310&amp;"¦"&amp;INDEX(_xlpm.nd,4)&amp;"¦"&amp;INDEX(_xlpm.nd,5),"")))</f>
        <v/>
      </c>
      <c r="IU310" t="str">
        <f t="shared" si="671"/>
        <v/>
      </c>
      <c r="IV310" t="str" cm="1">
        <f t="array" ref="IV310">IF(IM310="","",_xlfn.LET(_xlpm.nd,_xlfn.TEXTSPLIT(IM310,"|"),IF(COLUMNS(_xlpm.nd)&gt;5,A310&amp;"¦"&amp;INDEX(_xlpm.nd,5)&amp;"¦"&amp;INDEX(_xlpm.nd,6),"")))</f>
        <v/>
      </c>
      <c r="IW310" t="str">
        <f t="shared" si="672"/>
        <v/>
      </c>
      <c r="IX310" t="str" cm="1">
        <f t="array" ref="IX310">IF(IM310="","",_xlfn.LET(_xlpm.nd,_xlfn.TEXTSPLIT(IM310,"|"),IF(COLUMNS(_xlpm.nd)&gt;6,A310&amp;"¦"&amp;INDEX(_xlpm.nd,6)&amp;"¦"&amp;INDEX(_xlpm.nd,7),"")))</f>
        <v/>
      </c>
      <c r="IY310" t="str">
        <f t="shared" si="673"/>
        <v/>
      </c>
      <c r="IZ310" t="str">
        <f t="shared" si="674"/>
        <v/>
      </c>
      <c r="JA310" t="str">
        <f t="shared" si="675"/>
        <v>QF27</v>
      </c>
      <c r="JB310">
        <f t="shared" si="676"/>
        <v>0</v>
      </c>
      <c r="JC310">
        <f t="shared" si="677"/>
        <v>0</v>
      </c>
      <c r="JD310" t="str">
        <f t="shared" si="678"/>
        <v/>
      </c>
      <c r="JE310" t="str">
        <f t="shared" si="679"/>
        <v/>
      </c>
      <c r="JF310" t="str">
        <f t="shared" si="680"/>
        <v/>
      </c>
      <c r="JG310" t="str">
        <f t="shared" si="681"/>
        <v/>
      </c>
      <c r="JH310" t="str">
        <f>IF(B310="","",IFERROR(_xlfn.XLOOKUP(B310,Коды_код,Коды_уго),IFERROR(_xlfn.XLOOKUP(BC310,Коды_код,Коды_уго),IFERROR(_xlfn.XLOOKUP(LEFT(BC310,2),Коды_код,Коды_уго),""))))</f>
        <v/>
      </c>
      <c r="JI310" t="str">
        <f>IF(B310="","",IF(OR(JH310="",JH310=0),"BOX",IFERROR(IF(VLOOKUP(JH310,УГО_блоки,3,FALSE)&amp;""&lt;&gt;"",VLOOKUP(JH310,УГО_блоки,3,FALSE),VLOOKUP(JH310,УГО_блоки,2,FALSE)),JH310)))</f>
        <v>BOX</v>
      </c>
      <c r="JJ310">
        <f t="shared" si="682"/>
        <v>1</v>
      </c>
      <c r="JK310" t="str">
        <f>IF(DQ310="","",IF(COUNTIF(DQ$3:DQ310,DQ310)=1,MAX(JK$2:JK309)+1,""))</f>
        <v/>
      </c>
      <c r="JL310" t="str">
        <f>IF(DE310="","",IF(COUNTIF(DE$3:DE310,DE310)+COUNTIF(DF$2:DF309,DE310)+COUNTIF(DG$2:DG309,DE310)=1,MAX(JL$2:JN309)+1,""))</f>
        <v/>
      </c>
      <c r="JM310" t="str">
        <f>IF(DF310="","",IF(COUNTIF(DE$3:DE310,DF310)+COUNTIF(DF$3:DF310,DF310)+COUNTIF(DG$2:DG309,DF310)=1,MAX(JL$2:JN309,JL310)+1,""))</f>
        <v/>
      </c>
      <c r="JN310" t="str">
        <f>IF(DG310="","",IF(COUNTIF(DE$3:DE310,DG310)+COUNTIF(DF$3:DF310,DG310)+COUNTIF(DG$3:DG310,DG310)=1,MAX(JL$2:JN309,JL310,JM310)+1,""))</f>
        <v/>
      </c>
      <c r="JO310" t="str">
        <f t="shared" si="683"/>
        <v>3х2,5</v>
      </c>
      <c r="JP310" t="str">
        <f>IF(JO310="","",IF(COUNTIF(JO$3:JO310,JO310)=1,MAX(JP$2:JP309)+1,""))</f>
        <v/>
      </c>
      <c r="JQ310" t="str">
        <f>IF(HG310="","",COUNTIF(HG$3:HG310,"?*"))</f>
        <v/>
      </c>
      <c r="JR310" t="str">
        <f>IF(OR(HG310="",HI310=""),"",IF(COUNTIFS(HG$3:HG310,"?*",HI$3:HI310,HI310)=1,MAX(JR$2:JR309)+1,""))</f>
        <v/>
      </c>
      <c r="JS310">
        <f t="shared" si="684"/>
        <v>0</v>
      </c>
      <c r="JT310">
        <f>IF(B310="","",COUNTIF(B$3:B310,"?*"))</f>
        <v>308</v>
      </c>
      <c r="JU310">
        <f>IF(HL310&lt;&gt;1,0,_xlfn.LET(_xlpm.k,MAX(IFERROR(--_xlfn.XLOOKUP(B310,Коды_код,Коды_3L),0),IFERROR(--_xlfn.XLOOKUP(BC310,Коды_код,Коды_3L),0),IFERROR(--_xlfn.XLOOKUP(LEFT(BC310,2),Коды_код,Коды_3L),0)),IF(_xlpm.k&gt;0,_xlpm.k,IF(IFERROR(--LEFT(SUBSTITUTE(JO310,"x","х"),FIND("х",SUBSTITUTE(JO310,"x","х"))-1),3)&gt;3,Каталог!$S$9,1))))</f>
        <v>1</v>
      </c>
      <c r="JV310">
        <f t="shared" si="685"/>
        <v>0</v>
      </c>
      <c r="JW310" t="str">
        <f t="shared" si="686"/>
        <v>авто</v>
      </c>
      <c r="JX310" t="str">
        <f t="shared" si="687"/>
        <v/>
      </c>
      <c r="JY310">
        <f t="shared" si="688"/>
        <v>0</v>
      </c>
      <c r="JZ310">
        <f t="shared" si="689"/>
        <v>1</v>
      </c>
    </row>
    <row r="311" spans="1:286" x14ac:dyDescent="0.3">
      <c r="A311" t="s">
        <v>759</v>
      </c>
      <c r="B311" t="s">
        <v>1616</v>
      </c>
      <c r="C311" t="s">
        <v>1725</v>
      </c>
      <c r="D311">
        <v>1</v>
      </c>
      <c r="E311">
        <v>2.7</v>
      </c>
      <c r="G311">
        <v>16</v>
      </c>
      <c r="H311" t="str">
        <f>Линии[[#This Row],[_авто управление]]</f>
        <v/>
      </c>
      <c r="I311" t="str">
        <f>Линии[[#This Row],[_авто аппараты]]</f>
        <v/>
      </c>
      <c r="J311">
        <v>2.5</v>
      </c>
      <c r="K311">
        <v>36</v>
      </c>
      <c r="L311">
        <v>1</v>
      </c>
      <c r="M311" t="s">
        <v>484</v>
      </c>
      <c r="N311" t="str">
        <f t="shared" si="552"/>
        <v>потери 5,4 % &gt; 4 %</v>
      </c>
      <c r="O311" s="6" cm="1">
        <f t="array" ref="O311">IF(B311="","",IF(BH311&lt;&gt;"",IFERROR(_xlfn.XLOOKUP(BH311,Щиты[Щит],Щиты[Iр, А]),""),IF(BP311=1,IF(OR(N(_xlfn.XLOOKUP(A311,Щиты[Щит],Щиты[Вводов],1))&lt;=1,LOWER(TRIM(_xlfn.XLOOKUP(A311,Щиты[Щит],Щиты[АВР],"")&amp;""))="да"),IFERROR(_xlfn.XLOOKUP(A311,Щиты[Щит],Щиты[Iр, А]),""),IFERROR(N(BS311)*_xlfn.XLOOKUP(A311,Щиты[Щит],Щиты[Кс итог])/(SQRT(3)*Uн_лин*_xlfn.XLOOKUP(A311,Щиты[Щит],Щиты[cos φ])),"")),IF(BV311=1,IFERROR(BS311*1000/BU311,""),IFERROR(_xlfn.IFS(BX311=1,BS311/((Uн_лин/SQRT(3))*CE311),BX311=3,BS311/(SQRT(3)*Uн_лин*CE311)),"")))))</f>
        <v>12.306676790620971</v>
      </c>
      <c r="P311" s="7">
        <f>IF(B311="","",IFERROR(IF(VLOOKUP(BC311,Потребители_обозначение,4,FALSE)=1,VLOOKUP(BC311,Потребители_обозначение,3,FALSE)*(MAX(1,N(D311))*2-1)+EI311+VLOOKUP(BE311,Этаж_обозначение,3,FALSE)+VLOOKUP(BE311,Этаж_обозначение,4,FALSE),VLOOKUP(BC311,Потребители_обозначение,3,FALSE)*(MAX(1,N(D311))*2-1)+EI311),EI311))</f>
        <v>39</v>
      </c>
      <c r="Q311" s="6">
        <f t="shared" si="553"/>
        <v>5.3599999999999994</v>
      </c>
      <c r="R311" t="str">
        <f t="shared" si="554"/>
        <v>ВВГнг(А)-LS (3х2,5)</v>
      </c>
      <c r="S311" t="str">
        <f>IF(BM311="","",IF(BN311="вводной узел","узел ","")&amp;"л."&amp;(INT((BM311-1)/Столбцов_на_лист)+1)&amp;" / "&amp;(MOD(BM311-1,Столбцов_на_лист)+1))</f>
        <v>л.3 / 7</v>
      </c>
      <c r="T311" s="119">
        <f t="shared" si="555"/>
        <v>5.3</v>
      </c>
      <c r="U311" s="7" t="str">
        <f>IF(OR(CG311=0,N(BV311)+N(IB311)=0),"",ROUNDUP(Запас_БП*(N(HY311)+N(HZ311)),0))</f>
        <v/>
      </c>
      <c r="V311" s="119" t="str">
        <f t="shared" si="556"/>
        <v/>
      </c>
      <c r="W311" s="7" t="str">
        <f>IFERROR(IF(OR(B311="",BP311=1,BV311=1,NOT(ISNUMBER(EN311)),N(DT311)=0),"",MAX(0,ROUNDDOWN((c_min*(Uн_лин*1000/SQRT(3))/(HT311*N(DT311))-_xlfn.XLOOKUP(A311,Щиты[Щит],Щиты[Zпетли на шинах, Ом]))*EN311/(2*ρкз_Cu),0))),"")</f>
        <v/>
      </c>
      <c r="Y311" t="str">
        <f>Линии[[#This Row],[_авто утечка]]</f>
        <v/>
      </c>
      <c r="Z311">
        <v>1</v>
      </c>
      <c r="AA311">
        <v>230</v>
      </c>
      <c r="AB311" t="s">
        <v>573</v>
      </c>
      <c r="AG311" t="s">
        <v>810</v>
      </c>
      <c r="AI311" t="s">
        <v>572</v>
      </c>
      <c r="AK311" t="str">
        <f>Линии[[#This Row],[_авто модуль]]</f>
        <v/>
      </c>
      <c r="AM311">
        <v>41</v>
      </c>
      <c r="AN311" t="s">
        <v>11</v>
      </c>
      <c r="AO311">
        <v>3</v>
      </c>
      <c r="AR311">
        <v>33</v>
      </c>
      <c r="AT311">
        <v>1</v>
      </c>
      <c r="BA311" cm="1">
        <f t="array" ref="BA311">ROW()-ROW(Линии[#Headers])</f>
        <v>309</v>
      </c>
      <c r="BC311" s="6" t="str">
        <f t="shared" si="557"/>
        <v>ШТК-ЛВС</v>
      </c>
      <c r="BD311" t="str">
        <f t="shared" si="558"/>
        <v>3</v>
      </c>
      <c r="BE311" t="str">
        <f t="shared" si="559"/>
        <v>3</v>
      </c>
      <c r="BF311" t="str">
        <f t="shared" si="560"/>
        <v/>
      </c>
      <c r="BG311" t="str">
        <f t="shared" si="561"/>
        <v/>
      </c>
      <c r="BH311" t="str">
        <f>IF(X311&lt;&gt;"",X311,IF(AND(B311&lt;&gt;"",B311&lt;&gt;A311,ISNUMBER(_xlfn.XMATCH(B311,Щиты[Щит]))),B311,""))</f>
        <v/>
      </c>
      <c r="BI311" t="str" cm="1">
        <f t="array" ref="BI311">IF(B311="","",IF(BH311&lt;&gt;"","Щит "&amp;BH311,_xlfn.LET(_xlpm.nm,IFERROR(_xlfn.XLOOKUP(BC311,Коды_код,Коды_имя)&amp;"",""),_xlpm.md,IFERROR(N(_xlfn.XLOOKUP(BC311,Коды_код,Коды_режим)),1),_xlpm.ex,IF(Имя_режим="по экспликации",IFERROR(_xlfn.XLOOKUP(BE311&amp;"|"&amp;BG311,Экспликация[Этаж]&amp;"|"&amp;Экспликация[Помещение],Экспликация[Название])&amp;"",""),""),_xlpm.rm,IF(BG311="","",IF(_xlpm.ex&lt;&gt;"",". "&amp;_xlpm.ex&amp;IF(Имя_пом="нет"," ("&amp;BG311&amp;")"," (пом. "&amp;BG311&amp;")"),IF(Имя_пом="нет"," ",", пом. ")&amp;BG311)),IF(_xlpm.nm="","",IF(_xlpm.md=2,_xlpm.nm&amp;" шлейф "&amp;BE311,_xlpm.nm&amp;_xlpm.rm)))))</f>
        <v>Шкаф телекоммуникационный ЛВС шлейф 3</v>
      </c>
      <c r="BJ311" t="str">
        <f t="shared" si="562"/>
        <v>Шкаф телекоммуникационный ШТК-2  Тех. Этаж Пом №004T</v>
      </c>
      <c r="BK311">
        <f>IFERROR(_xlfn.XMATCH(A311,Щиты[Щит]),0)</f>
        <v>11</v>
      </c>
      <c r="BL311">
        <f>_xlfn.LET(_xlpm.k,IFERROR(_xlfn.XLOOKUP(A311,Щиты[Щит],Щиты[Мест под вводной узел]),""),IF(_xlpm.k="",Столбцов_на_лист,N(_xlpm.k)))</f>
        <v>8</v>
      </c>
      <c r="BM311">
        <f t="shared" si="563"/>
        <v>41</v>
      </c>
      <c r="BN311" t="str">
        <f t="shared" si="564"/>
        <v>линии</v>
      </c>
      <c r="BO311" s="6">
        <f>IFERROR(N(_xlfn.XLOOKUP(BC311,Коды_код,Коды_квт)),0)</f>
        <v>0</v>
      </c>
      <c r="BP311">
        <f t="shared" si="565"/>
        <v>0</v>
      </c>
      <c r="BQ311" t="str">
        <f>IF(B311="","",IF(BH311&lt;&gt;"",IFERROR(_xlfn.XLOOKUP(BH311,Щиты[Щит],Щиты[Руст, кВт]),0),IF(BP311=1,IF(OR(N(_xlfn.XLOOKUP(A311,Щиты[Щит],Щиты[Вводов],1))&lt;=1,LOWER(TRIM(_xlfn.XLOOKUP(A311,Щиты[Щит],Щиты[АВР],"")&amp;""))="да"),IFERROR(_xlfn.XLOOKUP(A311,Щиты[Щит],Щиты[Руст, кВт]),0),SUMIFS(Линии[_Р для вводов],Линии[Щит],A311,Линии[Источник для режимов],GF311)),IF(BO311&gt;0,ROUND(BO311*MAX(1,N(D311)),3),""))))</f>
        <v/>
      </c>
      <c r="BR311">
        <f t="shared" si="566"/>
        <v>2.7</v>
      </c>
      <c r="BS311" s="6">
        <f>IF(B311="","",IF(BH311&lt;&gt;"",IFERROR(_xlfn.XLOOKUP(BH311,Щиты[Щит],Щиты[Руст, кВт]),0),N(BR311)))</f>
        <v>2.7</v>
      </c>
      <c r="BT311" t="str">
        <f>IF(B311="","",IFERROR(IF(VLOOKUP(BC311,Потребители_обозначение,8,FALSE)=0,"",VLOOKUP(BC311,Потребители_обозначение,8,FALSE)),""))</f>
        <v/>
      </c>
      <c r="BU311">
        <f t="shared" si="567"/>
        <v>230</v>
      </c>
      <c r="BV311">
        <f t="shared" si="568"/>
        <v>0</v>
      </c>
      <c r="BW311">
        <f>IF(B311="","",IF(BH311&lt;&gt;"",3,IFERROR(IF(N(VLOOKUP(BC311,Потребители_обозначение,9,FALSE))=0,1,VLOOKUP(BC311,Потребители_обозначение,9,FALSE)),1)))</f>
        <v>1</v>
      </c>
      <c r="BX311">
        <f t="shared" si="569"/>
        <v>1</v>
      </c>
      <c r="BY311" t="str">
        <f>IF(B311="","",_xlfn.LET(_xlpm.bc,IFERROR(IF(VLOOKUP(BC311,Потребители_обозначение,6,FALSE)=0,"",VLOOKUP(BC311,Потребители_обозначение,6,FALSE)&amp;""),""),IF(AND(GA311="да",OR(_xlpm.bc="",_xlpm.bc="мс")),Марка_пож,IF(AND(_xlpm.bc="",BH311&lt;&gt;""),"мс",_xlpm.bc))))</f>
        <v/>
      </c>
      <c r="BZ311" t="str">
        <f t="shared" si="570"/>
        <v>мс</v>
      </c>
      <c r="CA311">
        <f>IF(B311="","",_xlfn.LET(_xlpm.cc,IFERROR(N(VLOOKUP(BC311,Потребители_обозначение,7,FALSE)),0),IF(_xlpm.cc&gt;0,_xlpm.cc,IF(BZ311="","",IF(BV311=1,2,IF(N(BX311)=3,5,3))))))</f>
        <v>3</v>
      </c>
      <c r="CB311">
        <f t="shared" si="571"/>
        <v>3</v>
      </c>
      <c r="CC311">
        <f>IFERROR(N(VLOOKUP(BC311,Потребители_обозначение,10,FALSE)),0)</f>
        <v>0</v>
      </c>
      <c r="CD311">
        <f>IFERROR(VLOOKUP(BC311,Потребители_обозначение,5,FALSE),0)</f>
        <v>1</v>
      </c>
      <c r="CE311" s="6" cm="1">
        <f t="array" ref="CE311">IF(B311="","",IF(BH311&lt;&gt;"",IFERROR(_xlfn.XLOOKUP(BH311,Щиты[Щит],Щиты[cos φ]),0.95),IF(BP311=1,IFERROR(_xlfn.XLOOKUP(A311,Щиты[Щит],Щиты[cos φ]),0.95),IF(ISNUMBER(AD311),AD311,IFERROR(IF(CD311=2,_xlfn.IFS(BX311=3,VLOOKUP(BS311,Справочная_двигатели,8,FALSE),BX311=1,VLOOKUP(BS311,Справочная_двигатели,10,TRUE)),IF(AND(Методика="нормы 2026",FG311="Сил"),0.8,0.95)),0.95)))))</f>
        <v>0.95</v>
      </c>
      <c r="CF311">
        <f t="shared" si="572"/>
        <v>0</v>
      </c>
      <c r="CG311">
        <f t="shared" si="573"/>
        <v>1</v>
      </c>
      <c r="CH311">
        <f t="shared" si="574"/>
        <v>0</v>
      </c>
      <c r="CI311">
        <f>IF(B311="","",IF(BV311=1,IFERROR(BS311/((Uн_лин/SQRT(3))*MAX(0.5,N(CE311))),0),N(O311)))</f>
        <v>12.306676790620971</v>
      </c>
      <c r="CJ311">
        <f t="shared" si="575"/>
        <v>0</v>
      </c>
      <c r="CK311">
        <f t="shared" si="576"/>
        <v>0</v>
      </c>
      <c r="CL311">
        <f t="shared" si="577"/>
        <v>0</v>
      </c>
      <c r="CM311">
        <f t="shared" si="578"/>
        <v>0</v>
      </c>
      <c r="CN311">
        <f t="shared" si="579"/>
        <v>0</v>
      </c>
      <c r="CO311">
        <f>IF(BC311="",0,_xlfn.LET(_xlpm.v,IFERROR(_xlfn.XLOOKUP(B311,Коды_код,Коды_мА),IFERROR(_xlfn.XLOOKUP(BC311,Коды_код,Коды_мА),IFERROR(_xlfn.XLOOKUP(LEFT(BC311,2),Коды_код,Коды_мА),""))),IF(_xlpm.v="да",30,IF(ISNUMBER(_xlpm.v),_xlpm.v,0))))</f>
        <v>0</v>
      </c>
      <c r="CP311" t="str">
        <f t="shared" si="580"/>
        <v/>
      </c>
      <c r="CQ311" t="str">
        <f>_xlfn.LET(_xlpm.k,IFERROR(_xlfn.XLOOKUP(BC311,Коды_код,Коды_утечка)&amp;"",""),IF(_xlpm.k="","дифавтомат",_xlpm.k))</f>
        <v>дифавтомат</v>
      </c>
      <c r="CR311" t="str" cm="1">
        <f t="array" ref="CR311">IF(CG311=0,"",_xlfn.LET(_xlpm.sg,TRIM(_xlfn.TEXTSPLIT(DD311&amp;"",";")),_xlpm.f_,_xlfn._xlws.FILTER(_xlpm.sg,LEFT(_xlpm.sg,3)="УЗО",""),IFERROR(INDEX(_xlpm.f_,1)&amp;"","")))</f>
        <v/>
      </c>
      <c r="CS311" t="str">
        <f t="shared" si="581"/>
        <v/>
      </c>
      <c r="CT311" s="6" t="str" cm="1">
        <f t="array" ref="CT311">IF(CR311="","",_xlfn.LET(_xlpm.tk,_xlfn.TEXTSPLIT(UPPER(CR311)," ",,TRUE),_xlpm.a_,_xlfn._xlws.FILTER(_xlpm.tk,ISNUMBER(--LEFT(_xlpm.tk,1))*((ISNUMBER(SEARCH("А",_xlpm.tk))+ISNUMBER(SEARCH("A",_xlpm.tk)))&gt;0)*NOT(ISNUMBER(SEARCH("МА",_xlpm.tk)))*NOT(ISNUMBER(SEARCH("MA",_xlpm.tk))),""),IFERROR(--SUBSTITUTE(SUBSTITUTE(INDEX(_xlpm.a_,1),"А",""),"A",""),"")))</f>
        <v/>
      </c>
      <c r="CU311" t="str" cm="1">
        <f t="array" ref="CU311">IF(CR311="","",_xlfn.LET(_xlpm.tk,_xlfn.TEXTSPLIT(UPPER(CR311)," ",,TRUE),_xlpm.a_,_xlfn._xlws.FILTER(_xlpm.tk,ISNUMBER(--LEFT(_xlpm.tk,1))*((ISNUMBER(SEARCH("МА",_xlpm.tk))+ISNUMBER(SEARCH("MA",_xlpm.tk)))&gt;0),""),IFERROR(--SUBSTITUTE(SUBSTITUTE(INDEX(_xlpm.a_,1),"МА",""),"MA",""),30)))</f>
        <v/>
      </c>
      <c r="CV311" t="str">
        <f>IF(CS311="","",IFERROR(_xlfn.XLOOKUP(CS311,Линии[_n],Линии[_УЗО, мА]),30))</f>
        <v/>
      </c>
      <c r="CW311">
        <f>IF(CS311="",0,IF(ISNUMBER(SEARCH("4P",IFERROR(_xlfn.XLOOKUP(CS311,Линии[_n],Линии[_УЗО строки])&amp;"",""))),0,1))</f>
        <v>0</v>
      </c>
      <c r="CX311" t="str">
        <f>IF(AND(CS311&lt;&gt;"",CS311=BA311),SUMIFS(Линии[_ток на 230 В],Линии[_блок УЗО],BA311,Линии[Щит],A311),"")</f>
        <v/>
      </c>
      <c r="CY311" t="str">
        <f>IF(AND(CS311&lt;&gt;"",CS311=BA311),SUMIFS(Линии[_ток утечки линии, мА],Линии[_блок УЗО],BA311,Линии[Щит],A311),"")</f>
        <v/>
      </c>
      <c r="CZ311">
        <f t="shared" si="582"/>
        <v>0</v>
      </c>
      <c r="DA311">
        <f t="shared" si="583"/>
        <v>0</v>
      </c>
      <c r="DB311">
        <f>IF(B311="",0,IFERROR(--_xlfn.XLOOKUP(B311,Коды_код,Коды_минавт),IFERROR(--_xlfn.XLOOKUP(BC311,Коды_код,Коды_минавт),IFERROR(--_xlfn.XLOOKUP(LEFT(BC311,2),Коды_код,Коды_минавт),0))))</f>
        <v>0</v>
      </c>
      <c r="DC311" t="str">
        <f>IF(B311="","",IFERROR(_xlfn.XLOOKUP(BC311,Коды_код,Коды_апп)&amp;"",""))</f>
        <v/>
      </c>
      <c r="DD311" t="str">
        <f t="shared" si="584"/>
        <v/>
      </c>
      <c r="DE311" t="str" cm="1">
        <f t="array" ref="DE311">IF(TRIM(DD311&amp;"")="","",IFERROR(TRIM(INDEX(_xlfn.TEXTSPLIT(DD311&amp;";;;",";"),1)),""))</f>
        <v/>
      </c>
      <c r="DF311" t="str" cm="1">
        <f t="array" ref="DF311">IF(TRIM(DD311&amp;"")="","",IFERROR(TRIM(INDEX(_xlfn.TEXTSPLIT(DD311&amp;";;;",";"),2)),""))</f>
        <v/>
      </c>
      <c r="DG311" t="str" cm="1">
        <f t="array" ref="DG311">IF(TRIM(DD311&amp;"")="","",IFERROR(TRIM(INDEX(_xlfn.TEXTSPLIT(DD311&amp;";;;",";"),3)),""))</f>
        <v/>
      </c>
      <c r="DH311">
        <f t="shared" si="585"/>
        <v>0</v>
      </c>
      <c r="DI311" t="str">
        <f>IF(B311="","",_xlfn.LET(_xlpm.t,LOWER(AZ311&amp;""),IF(ISNUMBER(SEARCH("dim",_xlpm.t)),"DIM",IF(ISNUMBER(SEARCH("dali",_xlpm.t)),"DALI",IF(OR(ISNUMBER(SEARCH("relay",_xlpm.t)),ISNUMBER(SEARCH("реле",_xlpm.t))),"Relay",IF(ISNUMBER(SEARCH("кнопк",_xlpm.t)),"",IFERROR(_xlfn.XLOOKUP(BC311,Коды_код,Коды_упр)&amp;"","")))))))</f>
        <v/>
      </c>
      <c r="DJ311" t="str">
        <f t="shared" si="586"/>
        <v/>
      </c>
      <c r="DK311">
        <f>IF(B311="","",_xlfn.LET(_xlpm.ig,IF(N(CX311)&gt;0,N(CX311),N(CI311)+IF(AJ311="вручную",0,N(CJ311))),_xlpm.n0,IFERROR(VLOOKUP(_xlpm.ig,Автомат_номиналы,2,TRUE),0),_xlpm.mn,MAX(DB311,IF(AJ311="вручную",0,N(CM311))),MAX(_xlpm.n0,_xlpm.mn,IF(DH311=1,Мин_автомат_БП,0))))</f>
        <v>16</v>
      </c>
      <c r="DL311">
        <f t="shared" si="587"/>
        <v>1</v>
      </c>
      <c r="DM311" t="str">
        <f t="shared" si="588"/>
        <v>1P</v>
      </c>
      <c r="DN311" t="str">
        <f>_xlfn.LET(_xlpm.cc,UPPER(TRIM(IFERROR(_xlfn.XLOOKUP(BC311,Коды_код,Коды_хар)&amp;"",""))),IF(OR(_xlpm.cc="B",_xlpm.cc="В"),"B",IF(_xlpm.cc="D","D","С")))</f>
        <v>С</v>
      </c>
      <c r="DO311" t="str">
        <f t="shared" si="589"/>
        <v>1P С16А</v>
      </c>
      <c r="DP311">
        <f t="shared" si="590"/>
        <v>16</v>
      </c>
      <c r="DQ311" t="str">
        <f t="shared" si="591"/>
        <v>1P С16А</v>
      </c>
      <c r="DR311" cm="1">
        <f t="array" ref="DR311">IF(DQ311="","",_xlfn.LET(_xlpm.t,SUBSTITUTE(SUBSTITUTE(SUBSTITUTE(UPPER(DQ311),"С","C"),"А","A"),"В","B"),_xlpm.tk,_xlfn.TEXTSPLIT(_xlpm.t," "),_xlpm.f,_xlfn._xlws.FILTER(_xlpm.tk,ISNUMBER(--MID(_xlpm.tk,2,1))*ISNUMBER(SEARCH(LEFT(_xlpm.tk,1)&amp;"#","B#C#D#"))*(LEN(_xlpm.tk)&gt;1),""),_xlpm.x,INDEX(_xlpm.f,1),IFERROR(--SUBSTITUTE(MID(_xlpm.x,2,9),"A",""),IFERROR(--SUBSTITUTE(INDEX(_xlfn._xlws.FILTER(_xlpm.tk,ISNUMBER(--SUBSTITUTE(_xlpm.tk,"A","")),""),1),"A",""),""))))</f>
        <v>16</v>
      </c>
      <c r="DS311" t="str">
        <f t="shared" si="592"/>
        <v>ok</v>
      </c>
      <c r="DT311">
        <f t="shared" si="593"/>
        <v>16</v>
      </c>
      <c r="DU311" t="str">
        <f t="shared" si="594"/>
        <v>1P С16А</v>
      </c>
      <c r="DV311">
        <f t="shared" si="595"/>
        <v>0</v>
      </c>
      <c r="DW311">
        <f t="shared" si="596"/>
        <v>0</v>
      </c>
      <c r="DX311">
        <f t="shared" si="597"/>
        <v>0</v>
      </c>
      <c r="DY311">
        <f t="shared" si="598"/>
        <v>12.306676790620971</v>
      </c>
      <c r="DZ311">
        <f t="shared" si="599"/>
        <v>1</v>
      </c>
      <c r="EA311">
        <f>IF(ISNUMBER(AP311),AP311,К_прокл)</f>
        <v>1</v>
      </c>
      <c r="EB311">
        <f t="shared" si="600"/>
        <v>2</v>
      </c>
      <c r="EC311">
        <f>IFERROR(N(VLOOKUP(BZ311,Кабель_обозначение,3,FALSE)),1)</f>
        <v>1</v>
      </c>
      <c r="ED311">
        <f>IFERROR(N(_xlfn.XLOOKUP(A311,Щиты[Щит],Щиты[ΔU до шин, %])),0)</f>
        <v>1.79</v>
      </c>
      <c r="EE311" t="str">
        <f>IFERROR(_xlfn.XLOOKUP(A311,Щиты[Щит],Щиты[Zпетли на шинах, Ом]),"")</f>
        <v/>
      </c>
      <c r="EF311">
        <f>IFERROR(N(_xlfn.XLOOKUP(A311,Щиты[Щит],Щиты[ΔU до шин (подбор), %])),0)</f>
        <v>4.75</v>
      </c>
      <c r="EG311" t="str">
        <f>IFERROR(_xlfn.XLOOKUP(A311,Щиты[Щит],Щиты[Zпетли на шинах (подбор), Ом]),"")</f>
        <v/>
      </c>
      <c r="EH311" t="str">
        <f t="shared" si="601"/>
        <v/>
      </c>
      <c r="EI311">
        <f t="shared" si="602"/>
        <v>36</v>
      </c>
      <c r="EJ311">
        <f t="shared" si="603"/>
        <v>2</v>
      </c>
      <c r="EK311">
        <f t="shared" si="604"/>
        <v>0.31</v>
      </c>
      <c r="EL311" s="6">
        <f>IF(B311="","",IF(BV311=1,dU_LED,IF(IFERROR(_xlfn.XLOOKUP(BC311,Коды_код,Коды_уго),"")="Светильник",3,4)+IF(Методика="нормы 2026",MIN(0.5,MAX(0,N(P311)-100)*0.005),0)))</f>
        <v>4</v>
      </c>
      <c r="EM311" t="str" cm="1">
        <f t="array" ref="EM311">IF(OR(B311="",BZ311="",EC311&lt;&gt;1),"",_xlfn.LET(_xlpm.sz,Iдоп_S,_xlpm.t_,CHOOSE(EB311,Iдоп_1ж,Iдоп_2ж,Iдоп_3ж)*DZ311*EA311,_xlpm.dcx,BV311=1,_xlpm.inn,IF(_xlpm.dcx,N(O311),N(DT311)),_xlpm.smin,MAX(1.5,CC311),_xlpm.L_,N(P311)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311)/N(BU311)*100,999),IFERROR(N(EJ311)*(_xlpm.rho*_xlpm.L_/_xlpm.sz*N(CE311)+_xlpm.xx*_xlpm.L_*N(EK311)/1000)*N(O311)/((Uн_лин/SQRT(3))*1000)*100,999)),_xlpm.kz,IF(OR(_xlpm.dcx,DW311=1,NOT(ISNUMBER(EG311)),_xlpm.L_=0,_xlpm.inn=0),1,IFERROR(--(c_min*(Uн_лин*1000/SQRT(3))/(EG311+2*ρкз_Cu*_xlpm.L_/_xlpm.sz)&gt;=HT311*_xlpm.inn),0)),_xlpm.ok,IFERROR((_xlpm.sz&gt;=_xlpm.smin)*(_xlpm.t_&gt;=_xlpm.inn)*IF(_xlpm.L_&gt;0,(_xlpm.du_+IF(_xlpm.dcx,0,EF311)&lt;=EL311+0.00001),1)*_xlpm.kz,0),_xlpm.r_,_xlfn._xlws.FILTER(_xlpm.sz,_xlpm.ok,"не подобрано"),INDEX(_xlpm.r_,1)))</f>
        <v>не подобрано</v>
      </c>
      <c r="EN311">
        <f t="shared" si="605"/>
        <v>2.5</v>
      </c>
      <c r="EO311" cm="1">
        <f t="array" ref="EO311">IF(OR(B311="",BZ311="",EC311&lt;&gt;1),"",_xlfn.LET(_xlpm.sz,Iдоп_S,_xlpm.t_,CHOOSE(EB311,Iдоп_1ж,Iдоп_2ж,Iдоп_3ж)*DZ311*EA311,_xlpm.ok,IFERROR((_xlpm.sz&gt;=MAX(1.5,CC311))*(_xlpm.t_&gt;=N(DT311)),0),_xlpm.r_,_xlfn._xlws.FILTER(_xlpm.sz,_xlpm.ok,""),INDEX(_xlpm.r_,1)))</f>
        <v>1.5</v>
      </c>
      <c r="EP311" s="6" cm="1">
        <f t="array" ref="EP311">IFERROR(ROUNDUP(N(EJ311)*(_xlfn.XLOOKUP(EO311,INDEX(Кабель_сопротивление,0,1),INDEX(Кабель_сопротивление,0,3))*N(P311)/EO311*N(CE311)+_xlfn.XLOOKUP(EO311,INDEX(Кабель_сопротивление,0,1),INDEX(Кабель_сопротивление,0,2))*N(P311)*N(EK311)/1000)*N(O311)/((Uн_лин/SQRT(3))*1000)*100,2),"")</f>
        <v>5.9399999999999995</v>
      </c>
      <c r="EQ311">
        <f>IFERROR(2*ρкз_Cu*N(P311)/EO311,"")</f>
        <v>1.3676000000000001</v>
      </c>
      <c r="ER311">
        <f>IFERROR(VLOOKUP(EN311,Кабель_сопротивление,3,FALSE),"")</f>
        <v>2.2499999999999999E-2</v>
      </c>
      <c r="ES311">
        <f>IFERROR(VLOOKUP(EN311,Кабель_сопротивление,2,FALSE),"")</f>
        <v>0.1</v>
      </c>
      <c r="ET311">
        <f t="shared" si="606"/>
        <v>33</v>
      </c>
      <c r="EU311">
        <f t="shared" si="607"/>
        <v>0</v>
      </c>
      <c r="EV311">
        <f t="shared" si="608"/>
        <v>8.2370802961448462</v>
      </c>
      <c r="EW311" s="6">
        <f>IFERROR(ROUNDUP(EV311/IF(BV311=1,BU311,(Uн_лин/SQRT(3))*1000)*100,2),"")</f>
        <v>3.57</v>
      </c>
      <c r="EX311" t="str">
        <f>IFERROR(VLOOKUP(BZ311,Кабель_обозначение,2,FALSE),"")</f>
        <v>ВВГнг(А)-LS</v>
      </c>
      <c r="EY311" t="str">
        <f t="shared" si="609"/>
        <v>ВВГнг(А)-LS (3х2,5)</v>
      </c>
      <c r="EZ311" t="str">
        <f t="shared" si="610"/>
        <v>ВВГнг(А)-LS (3х2,5)
L=39-3,57%</v>
      </c>
      <c r="FA311">
        <f>IFERROR(2*ρкз_Cu*P311/EN311,"")</f>
        <v>0.82056000000000007</v>
      </c>
      <c r="FB311">
        <f t="shared" si="611"/>
        <v>0.27300000000000002</v>
      </c>
      <c r="FC311" s="6" t="str">
        <f>IFERROR(IF(OR(B311="",BV311=1,NOT(ISNUMBER(EN311)),N(P311)=0),"",_xlfn.XLOOKUP(A311,Щиты[Щит],Щиты[Zпетли на шинах, Ом])+FA311),"")</f>
        <v/>
      </c>
      <c r="FD311" s="6" t="str">
        <f>IF(ISNUMBER(FC311),c_min*(Uн_лин*1000/SQRT(3))/FC311,"")</f>
        <v/>
      </c>
      <c r="FE311" s="6" t="str">
        <f>IFERROR(IF(OR(B311="",NOT(ISNUMBER(EN311))),"",1.05*(Uн_лин*1000/SQRT(3))/(_xlfn.XLOOKUP(A311,Щиты[Щит],Щиты[Zmax на шинах, Ом])+FB311)/1000),"")</f>
        <v/>
      </c>
      <c r="FF311" s="6" t="str">
        <f>IF(B311="","",IF(ISNUMBER(AC311),"Сил",IF(IFERROR(_xlfn.XLOOKUP(BC311,Коды_код,Коды_группа)&amp;"","")="","Быт",_xlfn.XLOOKUP(BC311,Коды_код,Коды_группа)&amp;"")))</f>
        <v>Быт</v>
      </c>
      <c r="FG311" s="6" t="str">
        <f t="shared" si="612"/>
        <v>Пост</v>
      </c>
      <c r="FH311" s="6">
        <f>IF(FG311="Щит","щит",IF(FG311="","",IF(FG311="Быт",IFERROR(_xlfn.XLOOKUP(A311,Щиты[Щит],Щиты[Кс быт]),1),IF(FG311="Сил",IF(ISNUMBER(AC311),AC311,IF(Методика="нормы 2026",IFERROR(_xlfn.XLOOKUP(A311,Щиты[Щит],Щиты[Кс силовых (табл. 7.5)]),1),1)),IF(OR(FG311="Пост",FG311="Отоп"),1,IF(FG311="ВНГ",0.7,0))))))</f>
        <v>1</v>
      </c>
      <c r="FI311">
        <f>IF(FG311="","",IF(AND(BP311=1,TRIM(AE311&amp;"")=""),IF(COUNTIFS(Линии[Щит],A311,Линии[Секция (1/2/3)],"&gt;=2")&gt;0,MIN(3,MAX(1,IFERROR(--BD311,1))),1),IFERROR(MIN(3,MAX(1,INT(--AE311))),1)))</f>
        <v>1</v>
      </c>
      <c r="FJ311">
        <f t="shared" si="613"/>
        <v>2.7</v>
      </c>
      <c r="FK311">
        <f t="shared" si="614"/>
        <v>0</v>
      </c>
      <c r="FL311">
        <f t="shared" si="615"/>
        <v>0</v>
      </c>
      <c r="FM311">
        <f t="shared" si="616"/>
        <v>2.7</v>
      </c>
      <c r="FN311">
        <f t="shared" si="617"/>
        <v>0</v>
      </c>
      <c r="FO311">
        <f t="shared" si="618"/>
        <v>0</v>
      </c>
      <c r="FP311">
        <f t="shared" si="619"/>
        <v>2.7</v>
      </c>
      <c r="FQ311">
        <f t="shared" si="620"/>
        <v>2.7</v>
      </c>
      <c r="FR311">
        <f t="shared" si="621"/>
        <v>2.5649999999999999</v>
      </c>
      <c r="FS311">
        <f>IF(CG311=1,IF(AND(CH311=1,CW311=1),0,IF(AND(CS311&lt;&gt;"",CS311=BA311,CW311=1),SUMIFS(Линии[_Р линии, кВт],Линии[_блок УЗО],BA311,Линии[Щит],A311),N(BS311)+IF(AJ311="вручную",0,N(CK311)))),0)</f>
        <v>2.7</v>
      </c>
      <c r="FT311" t="str">
        <f t="shared" si="622"/>
        <v>L1</v>
      </c>
      <c r="FU311" t="str">
        <f>IF(B311="","",IF(CG311=0,IF(BA311=1,"",FW310),IF(AND(CH311=1,CW311=1,CS311&lt;&gt;""),IFERROR(_xlfn.XLOOKUP(CS311,Линии[_n],Линии[_фаза итог]),"L1"),IF(OR(N(DL311)&gt;=3,N(BX311)&gt;=3),"L1,L2,L3",IFERROR(_xlfn.TEXTBEFORE(_xlfn.TEXTAFTER(_xlfn.XLOOKUP(A311,Щиты[Щит],Щиты[_фазы авто]),";"&amp;BA311&amp;":"),";"),"L1")))))</f>
        <v>L1</v>
      </c>
      <c r="FV311" t="str">
        <f t="shared" si="623"/>
        <v>L1</v>
      </c>
      <c r="FW311" t="str">
        <f t="shared" si="624"/>
        <v>L1</v>
      </c>
      <c r="FX311" cm="1">
        <f t="array" ref="FX311">IFERROR(IF(CD311=2,_xlfn.IFS(BX311=3,VLOOKUP(BS311,Справочная_двигатели,3,FALSE),BX311=1,VLOOKUP(BS311,Справочная_двигатели,5,TRUE)),0),0)</f>
        <v>0</v>
      </c>
      <c r="FY311">
        <f>IFERROR(IF(CD311=3,VLOOKUP(BS311,Справочная_ЛЭД,2,TRUE),0),0)</f>
        <v>0</v>
      </c>
      <c r="FZ311" s="6">
        <f t="shared" si="625"/>
        <v>0</v>
      </c>
      <c r="GA311" t="str">
        <f>IF(B311="","",IF(TRIM(AH311&amp;"")&lt;&gt;"",IF(LOWER(TRIM(AH311&amp;""))="да","да","нет"),IF(IFERROR(_xlfn.XLOOKUP(BC311,Коды_код,Коды_пожарная),"")="да","да","нет")))</f>
        <v>нет</v>
      </c>
      <c r="GB311" t="str">
        <f t="shared" si="626"/>
        <v/>
      </c>
      <c r="GC311" t="str">
        <f t="shared" si="627"/>
        <v>основная</v>
      </c>
      <c r="GD311">
        <f>IF(AND(BP311=1,TRIM(AE311&amp;"")=""),IF(COUNTIFS(Линии[Щит],A311,Линии[Секция (1/2/3)],"&gt;=2")&gt;0,MIN(3,MAX(1,IFERROR(--BD311,1))),1),IFERROR(MIN(3,MAX(1,INT(--AE311))),1))</f>
        <v>1</v>
      </c>
      <c r="GE311" t="str" cm="1">
        <f t="array" ref="GE311">IF(B311="","",_xlfn.LET(_xlpm.t,IFERROR(_xlfn.XLOOKUP(1,(Шины[Шина]=GC311)*(((Шины[Щит]=A311)+(Шины[Щит]=""))&gt;0),Шины[Тип]),"")&amp;"",IF(_xlpm.t&lt;&gt;"",_xlpm.t,IF(ISNUMBER(SEARCH("ИБП",GC311)),"ИБП",IF(ISNUMBER(SEARCH("ДГУ",GC311)),"ДГУ","Ввод "&amp;GD311)))))</f>
        <v>Ввод 1</v>
      </c>
      <c r="GF311" t="str">
        <f t="shared" si="628"/>
        <v>Ввод 1</v>
      </c>
      <c r="GG311" t="str">
        <f>IF(BP311=0,"",IF(TRIM(AG311&amp;"")&lt;&gt;"",TRIM(AG311&amp;""),IF(OR(GE311="ИБП",GE311="ДГУ"),"I особая",_xlfn.XLOOKUP(A311,Щиты[Щит],Щиты[Категория шины «Ввод»],"III"))))</f>
        <v/>
      </c>
      <c r="GH311" t="str">
        <f>IF(A311="","",_xlfn.XLOOKUP(A311,Щиты[Щит],Щиты[Путь],""))</f>
        <v>|ГРЩ-ЖД|ЩР-2|</v>
      </c>
      <c r="GI311" t="str">
        <f>IF(B311="","",IF(AI311&lt;&gt;"",AI311,IF(IFERROR(_xlfn.XLOOKUP(BC311,Коды_код,Коды_вид)&amp;"","")="","Прочее",_xlfn.XLOOKUP(BC311,Коды_код,Коды_вид)&amp;"")))</f>
        <v>Слаботочные системы, автоматизация, KNX</v>
      </c>
      <c r="GJ311">
        <f>IF(BM311="","",INT((BM311-1)/Столбцов_на_лист)+1)</f>
        <v>3</v>
      </c>
      <c r="GK311" t="str">
        <f t="shared" si="629"/>
        <v>ВВГнг(А)-LS (3х2,5) L=39-3,57%</v>
      </c>
      <c r="GL311">
        <f t="shared" si="630"/>
        <v>2.7</v>
      </c>
      <c r="GM311">
        <f t="shared" si="631"/>
        <v>12.31</v>
      </c>
      <c r="GN311">
        <f t="shared" si="632"/>
        <v>1</v>
      </c>
      <c r="GO311">
        <f t="shared" si="633"/>
        <v>0</v>
      </c>
      <c r="GP311">
        <f t="shared" si="634"/>
        <v>1</v>
      </c>
      <c r="GQ311">
        <f>IF(BM311="","",IF(AND(CG311=1,GP311=1),COUNTIFS(A$3:A311,A311,CG$3:CG311,1,GP$3:GP311,1),IF(OR(OR(BA311=1,A311&lt;&gt;A310),AJ311="вручную",GP311=0),"",IF(BA311=1,"",GR310))))</f>
        <v>28</v>
      </c>
      <c r="GR311">
        <f t="shared" si="635"/>
        <v>28</v>
      </c>
      <c r="GS311">
        <f>IF(B311="","",IFERROR(LOOKUP(INDEX(CHOOSE(EB311,Iдоп_1ж,Iдоп_2ж,Iдоп_3ж),MATCH(EN311,Iдоп_S,0))*DZ311*EA311,{6,10,16,20,25,32,40,50,63,80,100,125,160,200,250,315,400,500,630}),""))</f>
        <v>25</v>
      </c>
      <c r="GT311" t="str">
        <f t="shared" si="636"/>
        <v>QF28</v>
      </c>
      <c r="GU311" t="str">
        <f t="shared" si="637"/>
        <v>QF28</v>
      </c>
      <c r="GV311" t="str">
        <f t="shared" si="638"/>
        <v/>
      </c>
      <c r="GW311">
        <f t="shared" si="639"/>
        <v>0</v>
      </c>
      <c r="GX311" t="str">
        <f>IF(OR(B311="",DJ311=""),"",IFERROR(_xlfn.XLOOKUP(DJ311,Модули_умолч[Управление],Модули_умолч[Модель])&amp;"",""))</f>
        <v/>
      </c>
      <c r="GY311">
        <f>IF(DJ311="",1,IFERROR(MAX(0,N(_xlfn.XLOOKUP(DJ311,Модули_умолч[Управление],Модули_умолч[Каналов на линию]))),1))</f>
        <v>1</v>
      </c>
      <c r="GZ311" t="str">
        <f t="shared" si="640"/>
        <v/>
      </c>
      <c r="HA311" t="str">
        <f t="shared" si="641"/>
        <v/>
      </c>
      <c r="HB311" t="str">
        <f t="shared" si="642"/>
        <v/>
      </c>
      <c r="HC311">
        <f>IF(HB311="",0,IFERROR(N(VLOOKUP(HB311,Модули_спр,3,FALSE)),0))</f>
        <v>0</v>
      </c>
      <c r="HD311" t="str">
        <f t="shared" si="643"/>
        <v/>
      </c>
      <c r="HE311" t="str">
        <f t="shared" si="644"/>
        <v/>
      </c>
      <c r="HF311" t="str">
        <f>IF(OR(HE311="",HE311="-"),"",IFERROR(VLOOKUP(HE311,Модули_спр,2,FALSE),"R"))</f>
        <v/>
      </c>
      <c r="HG311" t="str">
        <f>IF(HF311="","",HF311&amp;"."&amp;COUNTIFS(A$3:A311,A311,HF$3:HF311,HF311))</f>
        <v/>
      </c>
      <c r="HH311" t="str">
        <f t="shared" si="645"/>
        <v/>
      </c>
      <c r="HI311" t="str">
        <f t="shared" si="646"/>
        <v/>
      </c>
      <c r="HJ311" t="str">
        <f t="shared" si="647"/>
        <v/>
      </c>
      <c r="HK311" t="str">
        <f t="shared" si="648"/>
        <v/>
      </c>
      <c r="HL311">
        <f t="shared" si="649"/>
        <v>1</v>
      </c>
      <c r="HM311" t="str">
        <f>IF(HL311=1,"XT"&amp;COUNTIFS(A$3:A311,A311,HL$3:HL311,1),"")</f>
        <v>XT28</v>
      </c>
      <c r="HN311" t="str">
        <f t="shared" si="650"/>
        <v/>
      </c>
      <c r="HO311" t="str">
        <f t="shared" si="651"/>
        <v>QF28</v>
      </c>
      <c r="HP311" t="str">
        <f t="shared" si="652"/>
        <v/>
      </c>
      <c r="HQ311" t="str">
        <f t="shared" si="653"/>
        <v>ok</v>
      </c>
      <c r="HR311" t="str">
        <f>IF(OR(HJ311="",HH311=""),"",IF(HJ311+MAX(0,GY311-1)&gt;IFERROR(VLOOKUP(HI311,Модули_спр,3,FALSE),99),"ЛИШНИЙ КАНАЛ",IF(AND(AL311&lt;&gt;"=",GY311&gt;0,COUNTIFS(Линии[_модуль гр.],HH311,Линии[Канал (итог)],HJ311,Линии[Канал],"&lt;&gt;=",Линии[Щит],A311)&gt;1),"ДУБЛЬ КАНАЛА","")))</f>
        <v/>
      </c>
      <c r="HS311" s="6" t="str">
        <f t="shared" si="654"/>
        <v/>
      </c>
      <c r="HT311">
        <f t="shared" si="655"/>
        <v>10</v>
      </c>
      <c r="HU311" t="str">
        <f t="shared" si="656"/>
        <v/>
      </c>
      <c r="HV311">
        <f t="shared" si="657"/>
        <v>5.3126707162483884</v>
      </c>
      <c r="HW311">
        <f t="shared" si="658"/>
        <v>0</v>
      </c>
      <c r="HX311">
        <f t="shared" si="659"/>
        <v>0</v>
      </c>
      <c r="HY311">
        <f t="shared" si="660"/>
        <v>0</v>
      </c>
      <c r="HZ311">
        <f t="shared" si="661"/>
        <v>0</v>
      </c>
      <c r="IA311">
        <f t="shared" si="662"/>
        <v>0</v>
      </c>
      <c r="IB311">
        <f t="shared" si="663"/>
        <v>0</v>
      </c>
      <c r="IC311" t="str">
        <f t="shared" si="664"/>
        <v/>
      </c>
      <c r="ID311" t="str" cm="1">
        <f t="array" ref="ID311">IF(IC311="","",_xlfn.LET(_xlpm.tk,_xlfn.TEXTSPLIT(SUBSTITUTE(SUBSTITUTE(IC311,";"," "),"→"," ")," ",,TRUE),_xlpm.w_,_xlfn._xlws.FILTER(_xlpm.tk,ISNUMBER(--LEFT(_xlpm.tk,1))*((ISNUMBER(SEARCH("W",_xlpm.tk))+ISNUMBER(SEARCH("Вт",_xlpm.tk)))&gt;0),""),IFERROR(--SUBSTITUTE(SUBSTITUTE(UPPER(INDEX(_xlpm.w_,1)),"W",""),"ВТ",""),"")))</f>
        <v/>
      </c>
      <c r="IE311" t="str" cm="1">
        <f t="array" ref="IE311">IF(IC311="","",_xlfn.LET(_xlpm.tk,_xlfn.TEXTSPLIT(SUBSTITUTE(SUBSTITUTE(IC311,";"," "),"→"," ")," ",,TRUE),_xlpm.v_,_xlfn._xlws.FILTER(_xlpm.tk,ISNUMBER(--LEFT(_xlpm.tk,1))*((ISNUMBER(SEARCH("V",_xlpm.tk))+(RIGHT(UPPER(_xlpm.tk))="В"))&gt;0),""),IFERROR(--SUBSTITUTE(SUBSTITUTE(UPPER(INDEX(_xlpm.v_,1)),"V",""),"В",""),"")))</f>
        <v/>
      </c>
      <c r="IF311" s="6" t="str">
        <f>IF(OR(BV311=0,HI311="",HJ311=""),"",IFERROR(N(_xlfn.XLOOKUP(HI311,Каталог!$C$4:$C$500,Каталог!$Q$4:$Q$500)),""))</f>
        <v/>
      </c>
      <c r="IG311" s="6" t="str">
        <f>IF(N(IF311)=0,"",SUMIFS(Линии[Iр, А],Линии[Щит],A311,Линии[_модуль гр.],HH311,Линии[Канал (итог)],HJ311))</f>
        <v/>
      </c>
      <c r="IH311" t="str">
        <f>IF(AND(B311="",HO311=""),"",_xlfn.TEXTJOIN("; ",TRUE,IF(AND(B311&lt;&gt;"",FV311=""),"нет фазы",""),IF(AND(B311&lt;&gt;"",N(GL311)=0,FG311&lt;&gt;"Нет"),"нет мощности",""),IF(AND(HN311&lt;&gt;"",COUNTIFS(Линии[Щит],A311,Линии[Клемма (итог)],HN311)&gt;1),"дубль клеммы "&amp;HN311,""),IF(AND(HQ311&lt;&gt;"",HQ311&lt;&gt;"ok"),HQ311,""),IF(HR311&lt;&gt;"",HR311,""),IF(AND(N(CB311)&gt;=4,N(BX311)=1),CB311&amp;" жил на 1 фазе",""),IF(AND(BC311="R",CG311=1,IF(CS311&lt;&gt;"",N(CV311)&gt;30,OR(N(DA311)=0,N(DA311)&gt;30))),"розетка без дифзащиты до 30 мА",""),IF(AND(CG311=1,N(DA311)&gt;0,ISNUMBER(T311)),IF(T311&gt;N(DA311)/3,"ток утечки "&amp;FIXED(T311,1)&amp;" мА &gt; 1/3 уставки ("&amp;DA311&amp;" мА)",""),""),IF(AND(CH311=1,CS311=""),"«узо»: нет строки с УЗО выше (УЗО 2P 40А 30мА в «Аппаратах»)",""),IF(AND(CS311&lt;&gt;"",CS311=BA311),IF(CT311="","впишите номинал УЗО (УЗО 2P 40А 30мА)",IF(N(CT311)&lt;N(DT311),"УЗО "&amp;CT311&amp;" А &lt; автомата "&amp;DT311&amp;" А перед ним",IF(N(CT311)&lt;N(CX311),"УЗО "&amp;CT311&amp;" А &lt; тока блока "&amp;FIXED(CX311,1)&amp;" А",""))),""),IF(AND(CS311&lt;&gt;"",CS311=BA311,ISNUMBER(CY311)),IF(CY311&gt;N(CV311)/3,"ток утечки блока УЗО "&amp;FIXED(CY311,1)&amp;" мА &gt; 1/3 уставки ("&amp;CV311&amp;" мА)",""),""),IF(AND(CG311=1,N(BV311)+N(IB311)&gt;0,IC311=""),"линии до 50 В без БП: впишите в «Аппараты» (БП 24V 480W)",""),IF(AND(CG311=1,ISNUMBER(ID311),ISNUMBER(U311)),IF(U311&gt;ID311,"БП "&amp;ID311&amp;" Вт &lt; нужно "&amp;U311&amp;" Вт (×"&amp;Запас_БП&amp;")",""),""),IF(AND(CG311=1,ISNUMBER(IE311),N(BV311)=1),IF(IE311&lt;&gt;N(BU311),"БП на "&amp;IE311&amp;" В, линия "&amp;BU311&amp;" В",""),""),IF(AND(N(IF311)&gt;0,N(IG311)&gt;N(IF311)),HH311&amp;" канал "&amp;HJ311&amp;": "&amp;FIXED(IG311,1)&amp;" А &gt; "&amp;IF311&amp;" А",""),IFERROR(IF(AND(ISNUMBER(Q311),Q311&gt;EL311),"потери "&amp;FIXED(Q311,1)&amp;" % &gt; "&amp;EL311&amp;" %",""),""),IFERROR(IF(LEFT(HU311,4)="мало","Iкз мало — отключение &gt; 0,4 с",""),""),IF(AND(B311&lt;&gt;"",BM311=""),"не на схеме",""),IF(AND(CG311=0,B311&lt;&gt;"",FV311&lt;&gt;"",IF(BA311=1,"",FW310)&lt;&gt;"",FV311&lt;&gt;IF(BA311=1,"",FW310)),"фаза не как у автомата группы ("&amp;IF(BA311=1,"",FW310)&amp;")","")))</f>
        <v>потери 5,4 % &gt; 4 %</v>
      </c>
      <c r="II311" s="6">
        <f>IF(OR(CG311=0,DQ311=""),"",_xlfn.LET(_xlpm.t,IFERROR(_xlfn.XLOOKUP(DQ311,Каталог!$U$4:$U$500,Каталог!$G$4:$G$500),""),_xlpm.k,SEARCH("кА",_xlpm.t),IFERROR(--TRIM(RIGHT(SUBSTITUTE(MID(_xlpm.t,MAX(1,_xlpm.k-4),_xlpm.k-MAX(1,_xlpm.k-4))," ",REPT(" ",9)),5)),"")))</f>
        <v>6</v>
      </c>
      <c r="IJ311" t="str">
        <f>IF(OR(II311="",CG311=0),"",IF(_xlfn.XLOOKUP(A311,Щиты[Щит],Щиты[Iкз max на шинах, кА],"")="","",IF(II311&lt;_xlfn.XLOOKUP(A311,Щиты[Щит],Щиты[Iкз max на шинах, кА]),"Icu "&amp;II311&amp;" кА &lt; Iкз max","ok")))</f>
        <v/>
      </c>
      <c r="IK311" t="str">
        <f t="shared" si="665"/>
        <v/>
      </c>
      <c r="IL311" t="str">
        <f t="shared" si="666"/>
        <v>QF28</v>
      </c>
      <c r="IM311" t="str">
        <f t="shared" si="667"/>
        <v>QF28|кабель ВВГнг(А)-LS (3х2,5) → Шкаф телекоммуникационный ШТК-2  Тех. Этаж Пом №004T</v>
      </c>
      <c r="IN311" t="str" cm="1">
        <f t="array" ref="IN311">IF(IM311="","",_xlfn.LET(_xlpm.nd,_xlfn.TEXTSPLIT(IM311,"|"),IF(COLUMNS(_xlpm.nd)&gt;1,A311&amp;"¦"&amp;INDEX(_xlpm.nd,1)&amp;"¦"&amp;INDEX(_xlpm.nd,2),"")))</f>
        <v>ЩР-2¦QF28¦кабель ВВГнг(А)-LS (3х2,5) → Шкаф телекоммуникационный ШТК-2  Тех. Этаж Пом №004T</v>
      </c>
      <c r="IO311" t="str">
        <f t="shared" si="668"/>
        <v>ШТК-ЛВС.3¦Шкаф телекоммуникационный ШТК-2  Тех. Этаж Пом №004T</v>
      </c>
      <c r="IP311" t="str" cm="1">
        <f t="array" ref="IP311">IF(IM311="","",_xlfn.LET(_xlpm.nd,_xlfn.TEXTSPLIT(IM311,"|"),IF(COLUMNS(_xlpm.nd)&gt;2,A311&amp;"¦"&amp;INDEX(_xlpm.nd,2)&amp;"¦"&amp;INDEX(_xlpm.nd,3),"")))</f>
        <v/>
      </c>
      <c r="IQ311" t="str">
        <f t="shared" si="669"/>
        <v/>
      </c>
      <c r="IR311" t="str" cm="1">
        <f t="array" ref="IR311">IF(IM311="","",_xlfn.LET(_xlpm.nd,_xlfn.TEXTSPLIT(IM311,"|"),IF(COLUMNS(_xlpm.nd)&gt;3,A311&amp;"¦"&amp;INDEX(_xlpm.nd,3)&amp;"¦"&amp;INDEX(_xlpm.nd,4),"")))</f>
        <v/>
      </c>
      <c r="IS311" t="str">
        <f t="shared" si="670"/>
        <v/>
      </c>
      <c r="IT311" t="str" cm="1">
        <f t="array" ref="IT311">IF(IM311="","",_xlfn.LET(_xlpm.nd,_xlfn.TEXTSPLIT(IM311,"|"),IF(COLUMNS(_xlpm.nd)&gt;4,A311&amp;"¦"&amp;INDEX(_xlpm.nd,4)&amp;"¦"&amp;INDEX(_xlpm.nd,5),"")))</f>
        <v/>
      </c>
      <c r="IU311" t="str">
        <f t="shared" si="671"/>
        <v/>
      </c>
      <c r="IV311" t="str" cm="1">
        <f t="array" ref="IV311">IF(IM311="","",_xlfn.LET(_xlpm.nd,_xlfn.TEXTSPLIT(IM311,"|"),IF(COLUMNS(_xlpm.nd)&gt;5,A311&amp;"¦"&amp;INDEX(_xlpm.nd,5)&amp;"¦"&amp;INDEX(_xlpm.nd,6),"")))</f>
        <v/>
      </c>
      <c r="IW311" t="str">
        <f t="shared" si="672"/>
        <v/>
      </c>
      <c r="IX311" t="str" cm="1">
        <f t="array" ref="IX311">IF(IM311="","",_xlfn.LET(_xlpm.nd,_xlfn.TEXTSPLIT(IM311,"|"),IF(COLUMNS(_xlpm.nd)&gt;6,A311&amp;"¦"&amp;INDEX(_xlpm.nd,6)&amp;"¦"&amp;INDEX(_xlpm.nd,7),"")))</f>
        <v/>
      </c>
      <c r="IY311" t="str">
        <f t="shared" si="673"/>
        <v/>
      </c>
      <c r="IZ311" t="str">
        <f t="shared" si="674"/>
        <v/>
      </c>
      <c r="JA311" t="str">
        <f t="shared" si="675"/>
        <v>QF28</v>
      </c>
      <c r="JB311">
        <f t="shared" si="676"/>
        <v>0</v>
      </c>
      <c r="JC311">
        <f t="shared" si="677"/>
        <v>0</v>
      </c>
      <c r="JD311" t="str">
        <f t="shared" si="678"/>
        <v/>
      </c>
      <c r="JE311" t="str">
        <f t="shared" si="679"/>
        <v/>
      </c>
      <c r="JF311" t="str">
        <f t="shared" si="680"/>
        <v/>
      </c>
      <c r="JG311" t="str">
        <f t="shared" si="681"/>
        <v/>
      </c>
      <c r="JH311">
        <f>IF(B311="","",IFERROR(_xlfn.XLOOKUP(B311,Коды_код,Коды_уго),IFERROR(_xlfn.XLOOKUP(BC311,Коды_код,Коды_уго),IFERROR(_xlfn.XLOOKUP(LEFT(BC311,2),Коды_код,Коды_уго),""))))</f>
        <v>0</v>
      </c>
      <c r="JI311" t="str">
        <f>IF(B311="","",IF(OR(JH311="",JH311=0),"BOX",IFERROR(IF(VLOOKUP(JH311,УГО_блоки,3,FALSE)&amp;""&lt;&gt;"",VLOOKUP(JH311,УГО_блоки,3,FALSE),VLOOKUP(JH311,УГО_блоки,2,FALSE)),JH311)))</f>
        <v>BOX</v>
      </c>
      <c r="JJ311">
        <f t="shared" si="682"/>
        <v>1</v>
      </c>
      <c r="JK311" t="str">
        <f>IF(DQ311="","",IF(COUNTIF(DQ$3:DQ311,DQ311)=1,MAX(JK$2:JK310)+1,""))</f>
        <v/>
      </c>
      <c r="JL311" t="str">
        <f>IF(DE311="","",IF(COUNTIF(DE$3:DE311,DE311)+COUNTIF(DF$2:DF310,DE311)+COUNTIF(DG$2:DG310,DE311)=1,MAX(JL$2:JN310)+1,""))</f>
        <v/>
      </c>
      <c r="JM311" t="str">
        <f>IF(DF311="","",IF(COUNTIF(DE$3:DE311,DF311)+COUNTIF(DF$3:DF311,DF311)+COUNTIF(DG$2:DG310,DF311)=1,MAX(JL$2:JN310,JL311)+1,""))</f>
        <v/>
      </c>
      <c r="JN311" t="str">
        <f>IF(DG311="","",IF(COUNTIF(DE$3:DE311,DG311)+COUNTIF(DF$3:DF311,DG311)+COUNTIF(DG$3:DG311,DG311)=1,MAX(JL$2:JN310,JL311,JM311)+1,""))</f>
        <v/>
      </c>
      <c r="JO311" t="str">
        <f t="shared" si="683"/>
        <v>3х2,5</v>
      </c>
      <c r="JP311" t="str">
        <f>IF(JO311="","",IF(COUNTIF(JO$3:JO311,JO311)=1,MAX(JP$2:JP310)+1,""))</f>
        <v/>
      </c>
      <c r="JQ311" t="str">
        <f>IF(HG311="","",COUNTIF(HG$3:HG311,"?*"))</f>
        <v/>
      </c>
      <c r="JR311" t="str">
        <f>IF(OR(HG311="",HI311=""),"",IF(COUNTIFS(HG$3:HG311,"?*",HI$3:HI311,HI311)=1,MAX(JR$2:JR310)+1,""))</f>
        <v/>
      </c>
      <c r="JS311">
        <f t="shared" si="684"/>
        <v>1</v>
      </c>
      <c r="JT311">
        <f>IF(B311="","",COUNTIF(B$3:B311,"?*"))</f>
        <v>309</v>
      </c>
      <c r="JU311">
        <f>IF(HL311&lt;&gt;1,0,_xlfn.LET(_xlpm.k,MAX(IFERROR(--_xlfn.XLOOKUP(B311,Коды_код,Коды_3L),0),IFERROR(--_xlfn.XLOOKUP(BC311,Коды_код,Коды_3L),0),IFERROR(--_xlfn.XLOOKUP(LEFT(BC311,2),Коды_код,Коды_3L),0)),IF(_xlpm.k&gt;0,_xlpm.k,IF(IFERROR(--LEFT(SUBSTITUTE(JO311,"x","х"),FIND("х",SUBSTITUTE(JO311,"x","х"))-1),3)&gt;3,Каталог!$S$9,1))))</f>
        <v>1</v>
      </c>
      <c r="JV311">
        <f t="shared" si="685"/>
        <v>0</v>
      </c>
      <c r="JW311" t="str">
        <f t="shared" si="686"/>
        <v>авто</v>
      </c>
      <c r="JX311" t="str">
        <f t="shared" si="687"/>
        <v/>
      </c>
      <c r="JY311">
        <f t="shared" si="688"/>
        <v>0</v>
      </c>
      <c r="JZ311">
        <f t="shared" si="689"/>
        <v>1</v>
      </c>
    </row>
    <row r="312" spans="1:286" x14ac:dyDescent="0.3">
      <c r="A312" t="s">
        <v>759</v>
      </c>
      <c r="B312" t="s">
        <v>1617</v>
      </c>
      <c r="C312" t="s">
        <v>1726</v>
      </c>
      <c r="D312">
        <v>1</v>
      </c>
      <c r="E312">
        <v>0.5</v>
      </c>
      <c r="G312">
        <v>16</v>
      </c>
      <c r="H312" t="str">
        <f>Линии[[#This Row],[_авто управление]]</f>
        <v/>
      </c>
      <c r="I312" t="str">
        <f>Линии[[#This Row],[_авто аппараты]]</f>
        <v/>
      </c>
      <c r="J312">
        <v>2.5</v>
      </c>
      <c r="K312">
        <v>8</v>
      </c>
      <c r="L312">
        <v>3</v>
      </c>
      <c r="M312" t="s">
        <v>484</v>
      </c>
      <c r="N312" t="str">
        <f t="shared" si="552"/>
        <v/>
      </c>
      <c r="O312" s="6" cm="1">
        <f t="array" ref="O312">IF(B312="","",IF(BH312&lt;&gt;"",IFERROR(_xlfn.XLOOKUP(BH312,Щиты[Щит],Щиты[Iр, А]),""),IF(BP312=1,IF(OR(N(_xlfn.XLOOKUP(A312,Щиты[Щит],Щиты[Вводов],1))&lt;=1,LOWER(TRIM(_xlfn.XLOOKUP(A312,Щиты[Щит],Щиты[АВР],"")&amp;""))="да"),IFERROR(_xlfn.XLOOKUP(A312,Щиты[Щит],Щиты[Iр, А]),""),IFERROR(N(BS312)*_xlfn.XLOOKUP(A312,Щиты[Щит],Щиты[Кс итог])/(SQRT(3)*Uн_лин*_xlfn.XLOOKUP(A312,Щиты[Щит],Щиты[cos φ])),"")),IF(BV312=1,IFERROR(BS312*1000/BU312,""),IFERROR(_xlfn.IFS(BX312=1,BS312/((Uн_лин/SQRT(3))*CE312),BX312=3,BS312/(SQRT(3)*Uн_лин*CE312)),"")))))</f>
        <v>2.2790142204853647</v>
      </c>
      <c r="P312" s="7">
        <f>IF(B312="","",IFERROR(IF(VLOOKUP(BC312,Потребители_обозначение,4,FALSE)=1,VLOOKUP(BC312,Потребители_обозначение,3,FALSE)*(MAX(1,N(D312))*2-1)+EI312+VLOOKUP(BE312,Этаж_обозначение,3,FALSE)+VLOOKUP(BE312,Этаж_обозначение,4,FALSE),VLOOKUP(BC312,Потребители_обозначение,3,FALSE)*(MAX(1,N(D312))*2-1)+EI312),EI312))</f>
        <v>8</v>
      </c>
      <c r="Q312" s="6">
        <f t="shared" si="553"/>
        <v>1.9300000000000002</v>
      </c>
      <c r="R312" t="str">
        <f t="shared" si="554"/>
        <v>ВВГнг(А)-LS (3х2,5)</v>
      </c>
      <c r="S312" t="str">
        <f>IF(BM312="","",IF(BN312="вводной узел","узел ","")&amp;"л."&amp;(INT((BM312-1)/Столбцов_на_лист)+1)&amp;" / "&amp;(MOD(BM312-1,Столбцов_на_лист)+1))</f>
        <v>л.3 / 9</v>
      </c>
      <c r="T312" s="119">
        <f t="shared" si="555"/>
        <v>1</v>
      </c>
      <c r="U312" s="7" t="str">
        <f>IF(OR(CG312=0,N(BV312)+N(IB312)=0),"",ROUNDUP(Запас_БП*(N(HY312)+N(HZ312)),0))</f>
        <v/>
      </c>
      <c r="V312" s="119" t="str">
        <f t="shared" si="556"/>
        <v/>
      </c>
      <c r="W312" s="7" t="str">
        <f>IFERROR(IF(OR(B312="",BP312=1,BV312=1,NOT(ISNUMBER(EN312)),N(DT312)=0),"",MAX(0,ROUNDDOWN((c_min*(Uн_лин*1000/SQRT(3))/(HT312*N(DT312))-_xlfn.XLOOKUP(A312,Щиты[Щит],Щиты[Zпетли на шинах, Ом]))*EN312/(2*ρкз_Cu),0))),"")</f>
        <v/>
      </c>
      <c r="Y312" t="str">
        <f>Линии[[#This Row],[_авто утечка]]</f>
        <v/>
      </c>
      <c r="Z312">
        <v>1</v>
      </c>
      <c r="AA312">
        <v>230</v>
      </c>
      <c r="AB312" t="s">
        <v>573</v>
      </c>
      <c r="AG312" t="s">
        <v>810</v>
      </c>
      <c r="AI312" t="s">
        <v>577</v>
      </c>
      <c r="AK312" t="str">
        <f>Линии[[#This Row],[_авто модуль]]</f>
        <v/>
      </c>
      <c r="AM312">
        <v>43</v>
      </c>
      <c r="AN312" t="s">
        <v>11</v>
      </c>
      <c r="AO312">
        <v>3</v>
      </c>
      <c r="AR312">
        <v>8</v>
      </c>
      <c r="AT312">
        <v>1</v>
      </c>
      <c r="BA312" cm="1">
        <f t="array" ref="BA312">ROW()-ROW(Линии[#Headers])</f>
        <v>310</v>
      </c>
      <c r="BC312" s="6" t="str">
        <f t="shared" si="557"/>
        <v>ШКД</v>
      </c>
      <c r="BD312" t="str">
        <f t="shared" si="558"/>
        <v>3</v>
      </c>
      <c r="BE312" t="str">
        <f t="shared" si="559"/>
        <v>3</v>
      </c>
      <c r="BF312" t="str">
        <f t="shared" si="560"/>
        <v/>
      </c>
      <c r="BG312" t="str">
        <f t="shared" si="561"/>
        <v/>
      </c>
      <c r="BH312" t="str">
        <f>IF(X312&lt;&gt;"",X312,IF(AND(B312&lt;&gt;"",B312&lt;&gt;A312,ISNUMBER(_xlfn.XMATCH(B312,Щиты[Щит]))),B312,""))</f>
        <v/>
      </c>
      <c r="BI312" t="str" cm="1">
        <f t="array" ref="BI312">IF(B312="","",IF(BH312&lt;&gt;"","Щит "&amp;BH312,_xlfn.LET(_xlpm.nm,IFERROR(_xlfn.XLOOKUP(BC312,Коды_код,Коды_имя)&amp;"",""),_xlpm.md,IFERROR(N(_xlfn.XLOOKUP(BC312,Коды_код,Коды_режим)),1),_xlpm.ex,IF(Имя_режим="по экспликации",IFERROR(_xlfn.XLOOKUP(BE312&amp;"|"&amp;BG312,Экспликация[Этаж]&amp;"|"&amp;Экспликация[Помещение],Экспликация[Название])&amp;"",""),""),_xlpm.rm,IF(BG312="","",IF(_xlpm.ex&lt;&gt;"",". "&amp;_xlpm.ex&amp;IF(Имя_пом="нет"," ("&amp;BG312&amp;")"," (пом. "&amp;BG312&amp;")"),IF(Имя_пом="нет"," ",", пом. ")&amp;BG312)),IF(_xlpm.nm="","",IF(_xlpm.md=2,_xlpm.nm&amp;" шлейф "&amp;BE312,_xlpm.nm&amp;_xlpm.rm)))))</f>
        <v/>
      </c>
      <c r="BJ312" t="str">
        <f t="shared" si="562"/>
        <v>Щит контроля доступа ЩКД-2  Тех. Этаж Пом №001T</v>
      </c>
      <c r="BK312">
        <f>IFERROR(_xlfn.XMATCH(A312,Щиты[Щит]),0)</f>
        <v>11</v>
      </c>
      <c r="BL312">
        <f>_xlfn.LET(_xlpm.k,IFERROR(_xlfn.XLOOKUP(A312,Щиты[Щит],Щиты[Мест под вводной узел]),""),IF(_xlpm.k="",Столбцов_на_лист,N(_xlpm.k)))</f>
        <v>8</v>
      </c>
      <c r="BM312">
        <f t="shared" si="563"/>
        <v>43</v>
      </c>
      <c r="BN312" t="str">
        <f t="shared" si="564"/>
        <v>линии</v>
      </c>
      <c r="BO312" s="6">
        <f>IFERROR(N(_xlfn.XLOOKUP(BC312,Коды_код,Коды_квт)),0)</f>
        <v>0</v>
      </c>
      <c r="BP312">
        <f t="shared" si="565"/>
        <v>0</v>
      </c>
      <c r="BQ312" t="str">
        <f>IF(B312="","",IF(BH312&lt;&gt;"",IFERROR(_xlfn.XLOOKUP(BH312,Щиты[Щит],Щиты[Руст, кВт]),0),IF(BP312=1,IF(OR(N(_xlfn.XLOOKUP(A312,Щиты[Щит],Щиты[Вводов],1))&lt;=1,LOWER(TRIM(_xlfn.XLOOKUP(A312,Щиты[Щит],Щиты[АВР],"")&amp;""))="да"),IFERROR(_xlfn.XLOOKUP(A312,Щиты[Щит],Щиты[Руст, кВт]),0),SUMIFS(Линии[_Р для вводов],Линии[Щит],A312,Линии[Источник для режимов],GF312)),IF(BO312&gt;0,ROUND(BO312*MAX(1,N(D312)),3),""))))</f>
        <v/>
      </c>
      <c r="BR312">
        <f t="shared" si="566"/>
        <v>0.5</v>
      </c>
      <c r="BS312" s="6">
        <f>IF(B312="","",IF(BH312&lt;&gt;"",IFERROR(_xlfn.XLOOKUP(BH312,Щиты[Щит],Щиты[Руст, кВт]),0),N(BR312)))</f>
        <v>0.5</v>
      </c>
      <c r="BT312" t="str">
        <f>IF(B312="","",IFERROR(IF(VLOOKUP(BC312,Потребители_обозначение,8,FALSE)=0,"",VLOOKUP(BC312,Потребители_обозначение,8,FALSE)),""))</f>
        <v/>
      </c>
      <c r="BU312">
        <f t="shared" si="567"/>
        <v>230</v>
      </c>
      <c r="BV312">
        <f t="shared" si="568"/>
        <v>0</v>
      </c>
      <c r="BW312">
        <f>IF(B312="","",IF(BH312&lt;&gt;"",3,IFERROR(IF(N(VLOOKUP(BC312,Потребители_обозначение,9,FALSE))=0,1,VLOOKUP(BC312,Потребители_обозначение,9,FALSE)),1)))</f>
        <v>1</v>
      </c>
      <c r="BX312">
        <f t="shared" si="569"/>
        <v>1</v>
      </c>
      <c r="BY312" t="str">
        <f>IF(B312="","",_xlfn.LET(_xlpm.bc,IFERROR(IF(VLOOKUP(BC312,Потребители_обозначение,6,FALSE)=0,"",VLOOKUP(BC312,Потребители_обозначение,6,FALSE)&amp;""),""),IF(AND(GA312="да",OR(_xlpm.bc="",_xlpm.bc="мс")),Марка_пож,IF(AND(_xlpm.bc="",BH312&lt;&gt;""),"мс",_xlpm.bc))))</f>
        <v/>
      </c>
      <c r="BZ312" t="str">
        <f t="shared" si="570"/>
        <v>мс</v>
      </c>
      <c r="CA312">
        <f>IF(B312="","",_xlfn.LET(_xlpm.cc,IFERROR(N(VLOOKUP(BC312,Потребители_обозначение,7,FALSE)),0),IF(_xlpm.cc&gt;0,_xlpm.cc,IF(BZ312="","",IF(BV312=1,2,IF(N(BX312)=3,5,3))))))</f>
        <v>3</v>
      </c>
      <c r="CB312">
        <f t="shared" si="571"/>
        <v>3</v>
      </c>
      <c r="CC312">
        <f>IFERROR(N(VLOOKUP(BC312,Потребители_обозначение,10,FALSE)),0)</f>
        <v>0</v>
      </c>
      <c r="CD312">
        <f>IFERROR(VLOOKUP(BC312,Потребители_обозначение,5,FALSE),0)</f>
        <v>0</v>
      </c>
      <c r="CE312" s="6" cm="1">
        <f t="array" ref="CE312">IF(B312="","",IF(BH312&lt;&gt;"",IFERROR(_xlfn.XLOOKUP(BH312,Щиты[Щит],Щиты[cos φ]),0.95),IF(BP312=1,IFERROR(_xlfn.XLOOKUP(A312,Щиты[Щит],Щиты[cos φ]),0.95),IF(ISNUMBER(AD312),AD312,IFERROR(IF(CD312=2,_xlfn.IFS(BX312=3,VLOOKUP(BS312,Справочная_двигатели,8,FALSE),BX312=1,VLOOKUP(BS312,Справочная_двигатели,10,TRUE)),IF(AND(Методика="нормы 2026",FG312="Сил"),0.8,0.95)),0.95)))))</f>
        <v>0.95</v>
      </c>
      <c r="CF312">
        <f t="shared" si="572"/>
        <v>0</v>
      </c>
      <c r="CG312">
        <f t="shared" si="573"/>
        <v>1</v>
      </c>
      <c r="CH312">
        <f t="shared" si="574"/>
        <v>0</v>
      </c>
      <c r="CI312">
        <f>IF(B312="","",IF(BV312=1,IFERROR(BS312/((Uн_лин/SQRT(3))*MAX(0.5,N(CE312))),0),N(O312)))</f>
        <v>2.2790142204853647</v>
      </c>
      <c r="CJ312">
        <f t="shared" si="575"/>
        <v>0</v>
      </c>
      <c r="CK312">
        <f t="shared" si="576"/>
        <v>0</v>
      </c>
      <c r="CL312">
        <f t="shared" si="577"/>
        <v>0</v>
      </c>
      <c r="CM312">
        <f t="shared" si="578"/>
        <v>0</v>
      </c>
      <c r="CN312">
        <f t="shared" si="579"/>
        <v>0</v>
      </c>
      <c r="CO312">
        <f>IF(BC312="",0,_xlfn.LET(_xlpm.v,IFERROR(_xlfn.XLOOKUP(B312,Коды_код,Коды_мА),IFERROR(_xlfn.XLOOKUP(BC312,Коды_код,Коды_мА),IFERROR(_xlfn.XLOOKUP(LEFT(BC312,2),Коды_код,Коды_мА),""))),IF(_xlpm.v="да",30,IF(ISNUMBER(_xlpm.v),_xlpm.v,0))))</f>
        <v>0</v>
      </c>
      <c r="CP312" t="str">
        <f t="shared" si="580"/>
        <v/>
      </c>
      <c r="CQ312" t="str">
        <f>_xlfn.LET(_xlpm.k,IFERROR(_xlfn.XLOOKUP(BC312,Коды_код,Коды_утечка)&amp;"",""),IF(_xlpm.k="","дифавтомат",_xlpm.k))</f>
        <v>дифавтомат</v>
      </c>
      <c r="CR312" t="str" cm="1">
        <f t="array" ref="CR312">IF(CG312=0,"",_xlfn.LET(_xlpm.sg,TRIM(_xlfn.TEXTSPLIT(DD312&amp;"",";")),_xlpm.f_,_xlfn._xlws.FILTER(_xlpm.sg,LEFT(_xlpm.sg,3)="УЗО",""),IFERROR(INDEX(_xlpm.f_,1)&amp;"","")))</f>
        <v/>
      </c>
      <c r="CS312" t="str">
        <f t="shared" si="581"/>
        <v/>
      </c>
      <c r="CT312" s="6" t="str" cm="1">
        <f t="array" ref="CT312">IF(CR312="","",_xlfn.LET(_xlpm.tk,_xlfn.TEXTSPLIT(UPPER(CR312)," ",,TRUE),_xlpm.a_,_xlfn._xlws.FILTER(_xlpm.tk,ISNUMBER(--LEFT(_xlpm.tk,1))*((ISNUMBER(SEARCH("А",_xlpm.tk))+ISNUMBER(SEARCH("A",_xlpm.tk)))&gt;0)*NOT(ISNUMBER(SEARCH("МА",_xlpm.tk)))*NOT(ISNUMBER(SEARCH("MA",_xlpm.tk))),""),IFERROR(--SUBSTITUTE(SUBSTITUTE(INDEX(_xlpm.a_,1),"А",""),"A",""),"")))</f>
        <v/>
      </c>
      <c r="CU312" t="str" cm="1">
        <f t="array" ref="CU312">IF(CR312="","",_xlfn.LET(_xlpm.tk,_xlfn.TEXTSPLIT(UPPER(CR312)," ",,TRUE),_xlpm.a_,_xlfn._xlws.FILTER(_xlpm.tk,ISNUMBER(--LEFT(_xlpm.tk,1))*((ISNUMBER(SEARCH("МА",_xlpm.tk))+ISNUMBER(SEARCH("MA",_xlpm.tk)))&gt;0),""),IFERROR(--SUBSTITUTE(SUBSTITUTE(INDEX(_xlpm.a_,1),"МА",""),"MA",""),30)))</f>
        <v/>
      </c>
      <c r="CV312" t="str">
        <f>IF(CS312="","",IFERROR(_xlfn.XLOOKUP(CS312,Линии[_n],Линии[_УЗО, мА]),30))</f>
        <v/>
      </c>
      <c r="CW312">
        <f>IF(CS312="",0,IF(ISNUMBER(SEARCH("4P",IFERROR(_xlfn.XLOOKUP(CS312,Линии[_n],Линии[_УЗО строки])&amp;"",""))),0,1))</f>
        <v>0</v>
      </c>
      <c r="CX312" t="str">
        <f>IF(AND(CS312&lt;&gt;"",CS312=BA312),SUMIFS(Линии[_ток на 230 В],Линии[_блок УЗО],BA312,Линии[Щит],A312),"")</f>
        <v/>
      </c>
      <c r="CY312" t="str">
        <f>IF(AND(CS312&lt;&gt;"",CS312=BA312),SUMIFS(Линии[_ток утечки линии, мА],Линии[_блок УЗО],BA312,Линии[Щит],A312),"")</f>
        <v/>
      </c>
      <c r="CZ312">
        <f t="shared" si="582"/>
        <v>0</v>
      </c>
      <c r="DA312">
        <f t="shared" si="583"/>
        <v>0</v>
      </c>
      <c r="DB312">
        <f>IF(B312="",0,IFERROR(--_xlfn.XLOOKUP(B312,Коды_код,Коды_минавт),IFERROR(--_xlfn.XLOOKUP(BC312,Коды_код,Коды_минавт),IFERROR(--_xlfn.XLOOKUP(LEFT(BC312,2),Коды_код,Коды_минавт),0))))</f>
        <v>0</v>
      </c>
      <c r="DC312" t="str">
        <f>IF(B312="","",IFERROR(_xlfn.XLOOKUP(BC312,Коды_код,Коды_апп)&amp;"",""))</f>
        <v/>
      </c>
      <c r="DD312" t="str">
        <f t="shared" si="584"/>
        <v/>
      </c>
      <c r="DE312" t="str" cm="1">
        <f t="array" ref="DE312">IF(TRIM(DD312&amp;"")="","",IFERROR(TRIM(INDEX(_xlfn.TEXTSPLIT(DD312&amp;";;;",";"),1)),""))</f>
        <v/>
      </c>
      <c r="DF312" t="str" cm="1">
        <f t="array" ref="DF312">IF(TRIM(DD312&amp;"")="","",IFERROR(TRIM(INDEX(_xlfn.TEXTSPLIT(DD312&amp;";;;",";"),2)),""))</f>
        <v/>
      </c>
      <c r="DG312" t="str" cm="1">
        <f t="array" ref="DG312">IF(TRIM(DD312&amp;"")="","",IFERROR(TRIM(INDEX(_xlfn.TEXTSPLIT(DD312&amp;";;;",";"),3)),""))</f>
        <v/>
      </c>
      <c r="DH312">
        <f t="shared" si="585"/>
        <v>0</v>
      </c>
      <c r="DI312" t="str">
        <f>IF(B312="","",_xlfn.LET(_xlpm.t,LOWER(AZ312&amp;""),IF(ISNUMBER(SEARCH("dim",_xlpm.t)),"DIM",IF(ISNUMBER(SEARCH("dali",_xlpm.t)),"DALI",IF(OR(ISNUMBER(SEARCH("relay",_xlpm.t)),ISNUMBER(SEARCH("реле",_xlpm.t))),"Relay",IF(ISNUMBER(SEARCH("кнопк",_xlpm.t)),"",IFERROR(_xlfn.XLOOKUP(BC312,Коды_код,Коды_упр)&amp;"","")))))))</f>
        <v/>
      </c>
      <c r="DJ312" t="str">
        <f t="shared" si="586"/>
        <v/>
      </c>
      <c r="DK312">
        <f>IF(B312="","",_xlfn.LET(_xlpm.ig,IF(N(CX312)&gt;0,N(CX312),N(CI312)+IF(AJ312="вручную",0,N(CJ312))),_xlpm.n0,IFERROR(VLOOKUP(_xlpm.ig,Автомат_номиналы,2,TRUE),0),_xlpm.mn,MAX(DB312,IF(AJ312="вручную",0,N(CM312))),MAX(_xlpm.n0,_xlpm.mn,IF(DH312=1,Мин_автомат_БП,0))))</f>
        <v>6</v>
      </c>
      <c r="DL312">
        <f t="shared" si="587"/>
        <v>1</v>
      </c>
      <c r="DM312" t="str">
        <f t="shared" si="588"/>
        <v>1P</v>
      </c>
      <c r="DN312" t="str">
        <f>_xlfn.LET(_xlpm.cc,UPPER(TRIM(IFERROR(_xlfn.XLOOKUP(BC312,Коды_код,Коды_хар)&amp;"",""))),IF(OR(_xlpm.cc="B",_xlpm.cc="В"),"B",IF(_xlpm.cc="D","D","С")))</f>
        <v>С</v>
      </c>
      <c r="DO312" t="str">
        <f t="shared" si="589"/>
        <v>1P С6А</v>
      </c>
      <c r="DP312">
        <f t="shared" si="590"/>
        <v>16</v>
      </c>
      <c r="DQ312" t="str">
        <f t="shared" si="591"/>
        <v>1P С16А</v>
      </c>
      <c r="DR312" cm="1">
        <f t="array" ref="DR312">IF(DQ312="","",_xlfn.LET(_xlpm.t,SUBSTITUTE(SUBSTITUTE(SUBSTITUTE(UPPER(DQ312),"С","C"),"А","A"),"В","B"),_xlpm.tk,_xlfn.TEXTSPLIT(_xlpm.t," "),_xlpm.f,_xlfn._xlws.FILTER(_xlpm.tk,ISNUMBER(--MID(_xlpm.tk,2,1))*ISNUMBER(SEARCH(LEFT(_xlpm.tk,1)&amp;"#","B#C#D#"))*(LEN(_xlpm.tk)&gt;1),""),_xlpm.x,INDEX(_xlpm.f,1),IFERROR(--SUBSTITUTE(MID(_xlpm.x,2,9),"A",""),IFERROR(--SUBSTITUTE(INDEX(_xlfn._xlws.FILTER(_xlpm.tk,ISNUMBER(--SUBSTITUTE(_xlpm.tk,"A","")),""),1),"A",""),""))))</f>
        <v>16</v>
      </c>
      <c r="DS312" t="str">
        <f t="shared" si="592"/>
        <v>ok</v>
      </c>
      <c r="DT312">
        <f t="shared" si="593"/>
        <v>16</v>
      </c>
      <c r="DU312" t="str">
        <f t="shared" si="594"/>
        <v>1P С16А</v>
      </c>
      <c r="DV312">
        <f t="shared" si="595"/>
        <v>0</v>
      </c>
      <c r="DW312">
        <f t="shared" si="596"/>
        <v>0</v>
      </c>
      <c r="DX312">
        <f t="shared" si="597"/>
        <v>0</v>
      </c>
      <c r="DY312">
        <f t="shared" si="598"/>
        <v>2.2790142204853647</v>
      </c>
      <c r="DZ312">
        <f t="shared" si="599"/>
        <v>1</v>
      </c>
      <c r="EA312">
        <f>IF(ISNUMBER(AP312),AP312,К_прокл)</f>
        <v>1</v>
      </c>
      <c r="EB312">
        <f t="shared" si="600"/>
        <v>2</v>
      </c>
      <c r="EC312">
        <f>IFERROR(N(VLOOKUP(BZ312,Кабель_обозначение,3,FALSE)),1)</f>
        <v>1</v>
      </c>
      <c r="ED312">
        <f>IFERROR(N(_xlfn.XLOOKUP(A312,Щиты[Щит],Щиты[ΔU до шин, %])),0)</f>
        <v>1.79</v>
      </c>
      <c r="EE312" t="str">
        <f>IFERROR(_xlfn.XLOOKUP(A312,Щиты[Щит],Щиты[Zпетли на шинах, Ом]),"")</f>
        <v/>
      </c>
      <c r="EF312">
        <f>IFERROR(N(_xlfn.XLOOKUP(A312,Щиты[Щит],Щиты[ΔU до шин (подбор), %])),0)</f>
        <v>4.75</v>
      </c>
      <c r="EG312" t="str">
        <f>IFERROR(_xlfn.XLOOKUP(A312,Щиты[Щит],Щиты[Zпетли на шинах (подбор), Ом]),"")</f>
        <v/>
      </c>
      <c r="EH312" t="str">
        <f t="shared" si="601"/>
        <v/>
      </c>
      <c r="EI312">
        <f t="shared" si="602"/>
        <v>8</v>
      </c>
      <c r="EJ312">
        <f t="shared" si="603"/>
        <v>2</v>
      </c>
      <c r="EK312">
        <f t="shared" si="604"/>
        <v>0.31</v>
      </c>
      <c r="EL312" s="6">
        <f>IF(B312="","",IF(BV312=1,dU_LED,IF(IFERROR(_xlfn.XLOOKUP(BC312,Коды_код,Коды_уго),"")="Светильник",3,4)+IF(Методика="нормы 2026",MIN(0.5,MAX(0,N(P312)-100)*0.005),0)))</f>
        <v>4</v>
      </c>
      <c r="EM312" t="str" cm="1">
        <f t="array" ref="EM312">IF(OR(B312="",BZ312="",EC312&lt;&gt;1),"",_xlfn.LET(_xlpm.sz,Iдоп_S,_xlpm.t_,CHOOSE(EB312,Iдоп_1ж,Iдоп_2ж,Iдоп_3ж)*DZ312*EA312,_xlpm.dcx,BV312=1,_xlpm.inn,IF(_xlpm.dcx,N(O312),N(DT312)),_xlpm.smin,MAX(1.5,CC312),_xlpm.L_,N(P312)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312)/N(BU312)*100,999),IFERROR(N(EJ312)*(_xlpm.rho*_xlpm.L_/_xlpm.sz*N(CE312)+_xlpm.xx*_xlpm.L_*N(EK312)/1000)*N(O312)/((Uн_лин/SQRT(3))*1000)*100,999)),_xlpm.kz,IF(OR(_xlpm.dcx,DW312=1,NOT(ISNUMBER(EG312)),_xlpm.L_=0,_xlpm.inn=0),1,IFERROR(--(c_min*(Uн_лин*1000/SQRT(3))/(EG312+2*ρкз_Cu*_xlpm.L_/_xlpm.sz)&gt;=HT312*_xlpm.inn),0)),_xlpm.ok,IFERROR((_xlpm.sz&gt;=_xlpm.smin)*(_xlpm.t_&gt;=_xlpm.inn)*IF(_xlpm.L_&gt;0,(_xlpm.du_+IF(_xlpm.dcx,0,EF312)&lt;=EL312+0.00001),1)*_xlpm.kz,0),_xlpm.r_,_xlfn._xlws.FILTER(_xlpm.sz,_xlpm.ok,"не подобрано"),INDEX(_xlpm.r_,1)))</f>
        <v>не подобрано</v>
      </c>
      <c r="EN312">
        <f t="shared" si="605"/>
        <v>2.5</v>
      </c>
      <c r="EO312" cm="1">
        <f t="array" ref="EO312">IF(OR(B312="",BZ312="",EC312&lt;&gt;1),"",_xlfn.LET(_xlpm.sz,Iдоп_S,_xlpm.t_,CHOOSE(EB312,Iдоп_1ж,Iдоп_2ж,Iдоп_3ж)*DZ312*EA312,_xlpm.ok,IFERROR((_xlpm.sz&gt;=MAX(1.5,CC312))*(_xlpm.t_&gt;=N(DT312)),0),_xlpm.r_,_xlfn._xlws.FILTER(_xlpm.sz,_xlpm.ok,""),INDEX(_xlpm.r_,1)))</f>
        <v>1.5</v>
      </c>
      <c r="EP312" s="6" cm="1">
        <f t="array" ref="EP312">IFERROR(ROUNDUP(N(EJ312)*(_xlfn.XLOOKUP(EO312,INDEX(Кабель_сопротивление,0,1),INDEX(Кабель_сопротивление,0,3))*N(P312)/EO312*N(CE312)+_xlfn.XLOOKUP(EO312,INDEX(Кабель_сопротивление,0,1),INDEX(Кабель_сопротивление,0,2))*N(P312)*N(EK312)/1000)*N(O312)/((Uн_лин/SQRT(3))*1000)*100,2),"")</f>
        <v>0.23</v>
      </c>
      <c r="EQ312">
        <f>IFERROR(2*ρкз_Cu*N(P312)/EO312,"")</f>
        <v>0.28053333333333336</v>
      </c>
      <c r="ER312">
        <f>IFERROR(VLOOKUP(EN312,Кабель_сопротивление,3,FALSE),"")</f>
        <v>2.2499999999999999E-2</v>
      </c>
      <c r="ES312">
        <f>IFERROR(VLOOKUP(EN312,Кабель_сопротивление,2,FALSE),"")</f>
        <v>0.1</v>
      </c>
      <c r="ET312">
        <f t="shared" si="606"/>
        <v>8</v>
      </c>
      <c r="EU312">
        <f t="shared" si="607"/>
        <v>0</v>
      </c>
      <c r="EV312">
        <f t="shared" si="608"/>
        <v>0.31289953641575857</v>
      </c>
      <c r="EW312" s="6">
        <f>IFERROR(ROUNDUP(EV312/IF(BV312=1,BU312,(Uн_лин/SQRT(3))*1000)*100,2),"")</f>
        <v>0.14000000000000001</v>
      </c>
      <c r="EX312" t="str">
        <f>IFERROR(VLOOKUP(BZ312,Кабель_обозначение,2,FALSE),"")</f>
        <v>ВВГнг(А)-LS</v>
      </c>
      <c r="EY312" t="str">
        <f t="shared" si="609"/>
        <v>ВВГнг(А)-LS (3х2,5)</v>
      </c>
      <c r="EZ312" t="str">
        <f t="shared" si="610"/>
        <v>ВВГнг(А)-LS (3х2,5)
L=8-0,14%</v>
      </c>
      <c r="FA312">
        <f>IFERROR(2*ρкз_Cu*P312/EN312,"")</f>
        <v>0.16832</v>
      </c>
      <c r="FB312">
        <f t="shared" si="611"/>
        <v>5.6000000000000008E-2</v>
      </c>
      <c r="FC312" s="6" t="str">
        <f>IFERROR(IF(OR(B312="",BV312=1,NOT(ISNUMBER(EN312)),N(P312)=0),"",_xlfn.XLOOKUP(A312,Щиты[Щит],Щиты[Zпетли на шинах, Ом])+FA312),"")</f>
        <v/>
      </c>
      <c r="FD312" s="6" t="str">
        <f>IF(ISNUMBER(FC312),c_min*(Uн_лин*1000/SQRT(3))/FC312,"")</f>
        <v/>
      </c>
      <c r="FE312" s="6" t="str">
        <f>IFERROR(IF(OR(B312="",NOT(ISNUMBER(EN312))),"",1.05*(Uн_лин*1000/SQRT(3))/(_xlfn.XLOOKUP(A312,Щиты[Щит],Щиты[Zmax на шинах, Ом])+FB312)/1000),"")</f>
        <v/>
      </c>
      <c r="FF312" s="6" t="str">
        <f>IF(B312="","",IF(ISNUMBER(AC312),"Сил",IF(IFERROR(_xlfn.XLOOKUP(BC312,Коды_код,Коды_группа)&amp;"","")="","Быт",_xlfn.XLOOKUP(BC312,Коды_код,Коды_группа)&amp;"")))</f>
        <v>Быт</v>
      </c>
      <c r="FG312" s="6" t="str">
        <f t="shared" si="612"/>
        <v>Пост</v>
      </c>
      <c r="FH312" s="6">
        <f>IF(FG312="Щит","щит",IF(FG312="","",IF(FG312="Быт",IFERROR(_xlfn.XLOOKUP(A312,Щиты[Щит],Щиты[Кс быт]),1),IF(FG312="Сил",IF(ISNUMBER(AC312),AC312,IF(Методика="нормы 2026",IFERROR(_xlfn.XLOOKUP(A312,Щиты[Щит],Щиты[Кс силовых (табл. 7.5)]),1),1)),IF(OR(FG312="Пост",FG312="Отоп"),1,IF(FG312="ВНГ",0.7,0))))))</f>
        <v>1</v>
      </c>
      <c r="FI312">
        <f>IF(FG312="","",IF(AND(BP312=1,TRIM(AE312&amp;"")=""),IF(COUNTIFS(Линии[Щит],A312,Линии[Секция (1/2/3)],"&gt;=2")&gt;0,MIN(3,MAX(1,IFERROR(--BD312,1))),1),IFERROR(MIN(3,MAX(1,INT(--AE312))),1)))</f>
        <v>1</v>
      </c>
      <c r="FJ312">
        <f t="shared" si="613"/>
        <v>0.5</v>
      </c>
      <c r="FK312">
        <f t="shared" si="614"/>
        <v>0</v>
      </c>
      <c r="FL312">
        <f t="shared" si="615"/>
        <v>0</v>
      </c>
      <c r="FM312">
        <f t="shared" si="616"/>
        <v>0.5</v>
      </c>
      <c r="FN312">
        <f t="shared" si="617"/>
        <v>0</v>
      </c>
      <c r="FO312">
        <f t="shared" si="618"/>
        <v>0</v>
      </c>
      <c r="FP312">
        <f t="shared" si="619"/>
        <v>0.5</v>
      </c>
      <c r="FQ312">
        <f t="shared" si="620"/>
        <v>0.5</v>
      </c>
      <c r="FR312">
        <f t="shared" si="621"/>
        <v>0.47499999999999998</v>
      </c>
      <c r="FS312">
        <f>IF(CG312=1,IF(AND(CH312=1,CW312=1),0,IF(AND(CS312&lt;&gt;"",CS312=BA312,CW312=1),SUMIFS(Линии[_Р линии, кВт],Линии[_блок УЗО],BA312,Линии[Щит],A312),N(BS312)+IF(AJ312="вручную",0,N(CK312)))),0)</f>
        <v>0.5</v>
      </c>
      <c r="FT312" t="str">
        <f t="shared" si="622"/>
        <v>L3</v>
      </c>
      <c r="FU312" t="str">
        <f>IF(B312="","",IF(CG312=0,IF(BA312=1,"",FW311),IF(AND(CH312=1,CW312=1,CS312&lt;&gt;""),IFERROR(_xlfn.XLOOKUP(CS312,Линии[_n],Линии[_фаза итог]),"L1"),IF(OR(N(DL312)&gt;=3,N(BX312)&gt;=3),"L1,L2,L3",IFERROR(_xlfn.TEXTBEFORE(_xlfn.TEXTAFTER(_xlfn.XLOOKUP(A312,Щиты[Щит],Щиты[_фазы авто]),";"&amp;BA312&amp;":"),";"),"L1")))))</f>
        <v>L1</v>
      </c>
      <c r="FV312" t="str">
        <f t="shared" si="623"/>
        <v>L3</v>
      </c>
      <c r="FW312" t="str">
        <f t="shared" si="624"/>
        <v>L3</v>
      </c>
      <c r="FX312" cm="1">
        <f t="array" ref="FX312">IFERROR(IF(CD312=2,_xlfn.IFS(BX312=3,VLOOKUP(BS312,Справочная_двигатели,3,FALSE),BX312=1,VLOOKUP(BS312,Справочная_двигатели,5,TRUE)),0),0)</f>
        <v>0</v>
      </c>
      <c r="FY312">
        <f>IFERROR(IF(CD312=3,VLOOKUP(BS312,Справочная_ЛЭД,2,TRUE),0),0)</f>
        <v>0</v>
      </c>
      <c r="FZ312" s="6">
        <f t="shared" si="625"/>
        <v>0</v>
      </c>
      <c r="GA312" t="str">
        <f>IF(B312="","",IF(TRIM(AH312&amp;"")&lt;&gt;"",IF(LOWER(TRIM(AH312&amp;""))="да","да","нет"),IF(IFERROR(_xlfn.XLOOKUP(BC312,Коды_код,Коды_пожарная),"")="да","да","нет")))</f>
        <v>нет</v>
      </c>
      <c r="GB312" t="str">
        <f t="shared" si="626"/>
        <v/>
      </c>
      <c r="GC312" t="str">
        <f t="shared" si="627"/>
        <v>основная</v>
      </c>
      <c r="GD312">
        <f>IF(AND(BP312=1,TRIM(AE312&amp;"")=""),IF(COUNTIFS(Линии[Щит],A312,Линии[Секция (1/2/3)],"&gt;=2")&gt;0,MIN(3,MAX(1,IFERROR(--BD312,1))),1),IFERROR(MIN(3,MAX(1,INT(--AE312))),1))</f>
        <v>1</v>
      </c>
      <c r="GE312" t="str" cm="1">
        <f t="array" ref="GE312">IF(B312="","",_xlfn.LET(_xlpm.t,IFERROR(_xlfn.XLOOKUP(1,(Шины[Шина]=GC312)*(((Шины[Щит]=A312)+(Шины[Щит]=""))&gt;0),Шины[Тип]),"")&amp;"",IF(_xlpm.t&lt;&gt;"",_xlpm.t,IF(ISNUMBER(SEARCH("ИБП",GC312)),"ИБП",IF(ISNUMBER(SEARCH("ДГУ",GC312)),"ДГУ","Ввод "&amp;GD312)))))</f>
        <v>Ввод 1</v>
      </c>
      <c r="GF312" t="str">
        <f t="shared" si="628"/>
        <v>Ввод 1</v>
      </c>
      <c r="GG312" t="str">
        <f>IF(BP312=0,"",IF(TRIM(AG312&amp;"")&lt;&gt;"",TRIM(AG312&amp;""),IF(OR(GE312="ИБП",GE312="ДГУ"),"I особая",_xlfn.XLOOKUP(A312,Щиты[Щит],Щиты[Категория шины «Ввод»],"III"))))</f>
        <v/>
      </c>
      <c r="GH312" t="str">
        <f>IF(A312="","",_xlfn.XLOOKUP(A312,Щиты[Щит],Щиты[Путь],""))</f>
        <v>|ГРЩ-ЖД|ЩР-2|</v>
      </c>
      <c r="GI312" t="str">
        <f>IF(B312="","",IF(AI312&lt;&gt;"",AI312,IF(IFERROR(_xlfn.XLOOKUP(BC312,Коды_код,Коды_вид)&amp;"","")="","Прочее",_xlfn.XLOOKUP(BC312,Коды_код,Коды_вид)&amp;"")))</f>
        <v>Системы безопасности и связи</v>
      </c>
      <c r="GJ312">
        <f>IF(BM312="","",INT((BM312-1)/Столбцов_на_лист)+1)</f>
        <v>3</v>
      </c>
      <c r="GK312" t="str">
        <f t="shared" si="629"/>
        <v>ВВГнг(А)-LS (3х2,5) L=8-0,14%</v>
      </c>
      <c r="GL312">
        <f t="shared" si="630"/>
        <v>0.5</v>
      </c>
      <c r="GM312">
        <f t="shared" si="631"/>
        <v>2.2799999999999998</v>
      </c>
      <c r="GN312">
        <f t="shared" si="632"/>
        <v>1</v>
      </c>
      <c r="GO312">
        <f t="shared" si="633"/>
        <v>0</v>
      </c>
      <c r="GP312">
        <f t="shared" si="634"/>
        <v>1</v>
      </c>
      <c r="GQ312">
        <f>IF(BM312="","",IF(AND(CG312=1,GP312=1),COUNTIFS(A$3:A312,A312,CG$3:CG312,1,GP$3:GP312,1),IF(OR(OR(BA312=1,A312&lt;&gt;A311),AJ312="вручную",GP312=0),"",IF(BA312=1,"",GR311))))</f>
        <v>29</v>
      </c>
      <c r="GR312">
        <f t="shared" si="635"/>
        <v>29</v>
      </c>
      <c r="GS312">
        <f>IF(B312="","",IFERROR(LOOKUP(INDEX(CHOOSE(EB312,Iдоп_1ж,Iдоп_2ж,Iдоп_3ж),MATCH(EN312,Iдоп_S,0))*DZ312*EA312,{6,10,16,20,25,32,40,50,63,80,100,125,160,200,250,315,400,500,630}),""))</f>
        <v>25</v>
      </c>
      <c r="GT312" t="str">
        <f t="shared" si="636"/>
        <v>QF29</v>
      </c>
      <c r="GU312" t="str">
        <f t="shared" si="637"/>
        <v>QF29</v>
      </c>
      <c r="GV312" t="str">
        <f t="shared" si="638"/>
        <v/>
      </c>
      <c r="GW312">
        <f t="shared" si="639"/>
        <v>0</v>
      </c>
      <c r="GX312" t="str">
        <f>IF(OR(B312="",DJ312=""),"",IFERROR(_xlfn.XLOOKUP(DJ312,Модули_умолч[Управление],Модули_умолч[Модель])&amp;"",""))</f>
        <v/>
      </c>
      <c r="GY312">
        <f>IF(DJ312="",1,IFERROR(MAX(0,N(_xlfn.XLOOKUP(DJ312,Модули_умолч[Управление],Модули_умолч[Каналов на линию]))),1))</f>
        <v>1</v>
      </c>
      <c r="GZ312" t="str">
        <f t="shared" si="640"/>
        <v/>
      </c>
      <c r="HA312" t="str">
        <f t="shared" si="641"/>
        <v/>
      </c>
      <c r="HB312" t="str">
        <f t="shared" si="642"/>
        <v/>
      </c>
      <c r="HC312">
        <f>IF(HB312="",0,IFERROR(N(VLOOKUP(HB312,Модули_спр,3,FALSE)),0))</f>
        <v>0</v>
      </c>
      <c r="HD312" t="str">
        <f t="shared" si="643"/>
        <v/>
      </c>
      <c r="HE312" t="str">
        <f t="shared" si="644"/>
        <v/>
      </c>
      <c r="HF312" t="str">
        <f>IF(OR(HE312="",HE312="-"),"",IFERROR(VLOOKUP(HE312,Модули_спр,2,FALSE),"R"))</f>
        <v/>
      </c>
      <c r="HG312" t="str">
        <f>IF(HF312="","",HF312&amp;"."&amp;COUNTIFS(A$3:A312,A312,HF$3:HF312,HF312))</f>
        <v/>
      </c>
      <c r="HH312" t="str">
        <f t="shared" si="645"/>
        <v/>
      </c>
      <c r="HI312" t="str">
        <f t="shared" si="646"/>
        <v/>
      </c>
      <c r="HJ312" t="str">
        <f t="shared" si="647"/>
        <v/>
      </c>
      <c r="HK312" t="str">
        <f t="shared" si="648"/>
        <v/>
      </c>
      <c r="HL312">
        <f t="shared" si="649"/>
        <v>1</v>
      </c>
      <c r="HM312" t="str">
        <f>IF(HL312=1,"XT"&amp;COUNTIFS(A$3:A312,A312,HL$3:HL312,1),"")</f>
        <v>XT29</v>
      </c>
      <c r="HN312" t="str">
        <f t="shared" si="650"/>
        <v/>
      </c>
      <c r="HO312" t="str">
        <f t="shared" si="651"/>
        <v>QF29</v>
      </c>
      <c r="HP312" t="str">
        <f t="shared" si="652"/>
        <v/>
      </c>
      <c r="HQ312" t="str">
        <f t="shared" si="653"/>
        <v>ok</v>
      </c>
      <c r="HR312" t="str">
        <f>IF(OR(HJ312="",HH312=""),"",IF(HJ312+MAX(0,GY312-1)&gt;IFERROR(VLOOKUP(HI312,Модули_спр,3,FALSE),99),"ЛИШНИЙ КАНАЛ",IF(AND(AL312&lt;&gt;"=",GY312&gt;0,COUNTIFS(Линии[_модуль гр.],HH312,Линии[Канал (итог)],HJ312,Линии[Канал],"&lt;&gt;=",Линии[Щит],A312)&gt;1),"ДУБЛЬ КАНАЛА","")))</f>
        <v/>
      </c>
      <c r="HS312" s="6" t="str">
        <f t="shared" si="654"/>
        <v/>
      </c>
      <c r="HT312">
        <f t="shared" si="655"/>
        <v>10</v>
      </c>
      <c r="HU312" t="str">
        <f t="shared" si="656"/>
        <v/>
      </c>
      <c r="HV312">
        <f t="shared" si="657"/>
        <v>0.99160568819414585</v>
      </c>
      <c r="HW312">
        <f t="shared" si="658"/>
        <v>0</v>
      </c>
      <c r="HX312">
        <f t="shared" si="659"/>
        <v>0</v>
      </c>
      <c r="HY312">
        <f t="shared" si="660"/>
        <v>0</v>
      </c>
      <c r="HZ312">
        <f t="shared" si="661"/>
        <v>0</v>
      </c>
      <c r="IA312">
        <f t="shared" si="662"/>
        <v>0</v>
      </c>
      <c r="IB312">
        <f t="shared" si="663"/>
        <v>0</v>
      </c>
      <c r="IC312" t="str">
        <f t="shared" si="664"/>
        <v/>
      </c>
      <c r="ID312" t="str" cm="1">
        <f t="array" ref="ID312">IF(IC312="","",_xlfn.LET(_xlpm.tk,_xlfn.TEXTSPLIT(SUBSTITUTE(SUBSTITUTE(IC312,";"," "),"→"," ")," ",,TRUE),_xlpm.w_,_xlfn._xlws.FILTER(_xlpm.tk,ISNUMBER(--LEFT(_xlpm.tk,1))*((ISNUMBER(SEARCH("W",_xlpm.tk))+ISNUMBER(SEARCH("Вт",_xlpm.tk)))&gt;0),""),IFERROR(--SUBSTITUTE(SUBSTITUTE(UPPER(INDEX(_xlpm.w_,1)),"W",""),"ВТ",""),"")))</f>
        <v/>
      </c>
      <c r="IE312" t="str" cm="1">
        <f t="array" ref="IE312">IF(IC312="","",_xlfn.LET(_xlpm.tk,_xlfn.TEXTSPLIT(SUBSTITUTE(SUBSTITUTE(IC312,";"," "),"→"," ")," ",,TRUE),_xlpm.v_,_xlfn._xlws.FILTER(_xlpm.tk,ISNUMBER(--LEFT(_xlpm.tk,1))*((ISNUMBER(SEARCH("V",_xlpm.tk))+(RIGHT(UPPER(_xlpm.tk))="В"))&gt;0),""),IFERROR(--SUBSTITUTE(SUBSTITUTE(UPPER(INDEX(_xlpm.v_,1)),"V",""),"В",""),"")))</f>
        <v/>
      </c>
      <c r="IF312" s="6" t="str">
        <f>IF(OR(BV312=0,HI312="",HJ312=""),"",IFERROR(N(_xlfn.XLOOKUP(HI312,Каталог!$C$4:$C$500,Каталог!$Q$4:$Q$500)),""))</f>
        <v/>
      </c>
      <c r="IG312" s="6" t="str">
        <f>IF(N(IF312)=0,"",SUMIFS(Линии[Iр, А],Линии[Щит],A312,Линии[_модуль гр.],HH312,Линии[Канал (итог)],HJ312))</f>
        <v/>
      </c>
      <c r="IH312" t="str">
        <f>IF(AND(B312="",HO312=""),"",_xlfn.TEXTJOIN("; ",TRUE,IF(AND(B312&lt;&gt;"",FV312=""),"нет фазы",""),IF(AND(B312&lt;&gt;"",N(GL312)=0,FG312&lt;&gt;"Нет"),"нет мощности",""),IF(AND(HN312&lt;&gt;"",COUNTIFS(Линии[Щит],A312,Линии[Клемма (итог)],HN312)&gt;1),"дубль клеммы "&amp;HN312,""),IF(AND(HQ312&lt;&gt;"",HQ312&lt;&gt;"ok"),HQ312,""),IF(HR312&lt;&gt;"",HR312,""),IF(AND(N(CB312)&gt;=4,N(BX312)=1),CB312&amp;" жил на 1 фазе",""),IF(AND(BC312="R",CG312=1,IF(CS312&lt;&gt;"",N(CV312)&gt;30,OR(N(DA312)=0,N(DA312)&gt;30))),"розетка без дифзащиты до 30 мА",""),IF(AND(CG312=1,N(DA312)&gt;0,ISNUMBER(T312)),IF(T312&gt;N(DA312)/3,"ток утечки "&amp;FIXED(T312,1)&amp;" мА &gt; 1/3 уставки ("&amp;DA312&amp;" мА)",""),""),IF(AND(CH312=1,CS312=""),"«узо»: нет строки с УЗО выше (УЗО 2P 40А 30мА в «Аппаратах»)",""),IF(AND(CS312&lt;&gt;"",CS312=BA312),IF(CT312="","впишите номинал УЗО (УЗО 2P 40А 30мА)",IF(N(CT312)&lt;N(DT312),"УЗО "&amp;CT312&amp;" А &lt; автомата "&amp;DT312&amp;" А перед ним",IF(N(CT312)&lt;N(CX312),"УЗО "&amp;CT312&amp;" А &lt; тока блока "&amp;FIXED(CX312,1)&amp;" А",""))),""),IF(AND(CS312&lt;&gt;"",CS312=BA312,ISNUMBER(CY312)),IF(CY312&gt;N(CV312)/3,"ток утечки блока УЗО "&amp;FIXED(CY312,1)&amp;" мА &gt; 1/3 уставки ("&amp;CV312&amp;" мА)",""),""),IF(AND(CG312=1,N(BV312)+N(IB312)&gt;0,IC312=""),"линии до 50 В без БП: впишите в «Аппараты» (БП 24V 480W)",""),IF(AND(CG312=1,ISNUMBER(ID312),ISNUMBER(U312)),IF(U312&gt;ID312,"БП "&amp;ID312&amp;" Вт &lt; нужно "&amp;U312&amp;" Вт (×"&amp;Запас_БП&amp;")",""),""),IF(AND(CG312=1,ISNUMBER(IE312),N(BV312)=1),IF(IE312&lt;&gt;N(BU312),"БП на "&amp;IE312&amp;" В, линия "&amp;BU312&amp;" В",""),""),IF(AND(N(IF312)&gt;0,N(IG312)&gt;N(IF312)),HH312&amp;" канал "&amp;HJ312&amp;": "&amp;FIXED(IG312,1)&amp;" А &gt; "&amp;IF312&amp;" А",""),IFERROR(IF(AND(ISNUMBER(Q312),Q312&gt;EL312),"потери "&amp;FIXED(Q312,1)&amp;" % &gt; "&amp;EL312&amp;" %",""),""),IFERROR(IF(LEFT(HU312,4)="мало","Iкз мало — отключение &gt; 0,4 с",""),""),IF(AND(B312&lt;&gt;"",BM312=""),"не на схеме",""),IF(AND(CG312=0,B312&lt;&gt;"",FV312&lt;&gt;"",IF(BA312=1,"",FW311)&lt;&gt;"",FV312&lt;&gt;IF(BA312=1,"",FW311)),"фаза не как у автомата группы ("&amp;IF(BA312=1,"",FW311)&amp;")","")))</f>
        <v/>
      </c>
      <c r="II312" s="6">
        <f>IF(OR(CG312=0,DQ312=""),"",_xlfn.LET(_xlpm.t,IFERROR(_xlfn.XLOOKUP(DQ312,Каталог!$U$4:$U$500,Каталог!$G$4:$G$500),""),_xlpm.k,SEARCH("кА",_xlpm.t),IFERROR(--TRIM(RIGHT(SUBSTITUTE(MID(_xlpm.t,MAX(1,_xlpm.k-4),_xlpm.k-MAX(1,_xlpm.k-4))," ",REPT(" ",9)),5)),"")))</f>
        <v>6</v>
      </c>
      <c r="IJ312" t="str">
        <f>IF(OR(II312="",CG312=0),"",IF(_xlfn.XLOOKUP(A312,Щиты[Щит],Щиты[Iкз max на шинах, кА],"")="","",IF(II312&lt;_xlfn.XLOOKUP(A312,Щиты[Щит],Щиты[Iкз max на шинах, кА]),"Icu "&amp;II312&amp;" кА &lt; Iкз max","ok")))</f>
        <v/>
      </c>
      <c r="IK312" t="str">
        <f t="shared" si="665"/>
        <v/>
      </c>
      <c r="IL312" t="str">
        <f t="shared" si="666"/>
        <v>QF29</v>
      </c>
      <c r="IM312" t="str">
        <f t="shared" si="667"/>
        <v>QF29|кабель ВВГнг(А)-LS (3х2,5) → Щит контроля доступа ЩКД-2  Тех. Этаж Пом №001T</v>
      </c>
      <c r="IN312" t="str" cm="1">
        <f t="array" ref="IN312">IF(IM312="","",_xlfn.LET(_xlpm.nd,_xlfn.TEXTSPLIT(IM312,"|"),IF(COLUMNS(_xlpm.nd)&gt;1,A312&amp;"¦"&amp;INDEX(_xlpm.nd,1)&amp;"¦"&amp;INDEX(_xlpm.nd,2),"")))</f>
        <v>ЩР-2¦QF29¦кабель ВВГнг(А)-LS (3х2,5) → Щит контроля доступа ЩКД-2  Тех. Этаж Пом №001T</v>
      </c>
      <c r="IO312" t="str">
        <f t="shared" si="668"/>
        <v>ШКД.3¦Щит контроля доступа ЩКД-2  Тех. Этаж Пом №001T</v>
      </c>
      <c r="IP312" t="str" cm="1">
        <f t="array" ref="IP312">IF(IM312="","",_xlfn.LET(_xlpm.nd,_xlfn.TEXTSPLIT(IM312,"|"),IF(COLUMNS(_xlpm.nd)&gt;2,A312&amp;"¦"&amp;INDEX(_xlpm.nd,2)&amp;"¦"&amp;INDEX(_xlpm.nd,3),"")))</f>
        <v/>
      </c>
      <c r="IQ312" t="str">
        <f t="shared" si="669"/>
        <v/>
      </c>
      <c r="IR312" t="str" cm="1">
        <f t="array" ref="IR312">IF(IM312="","",_xlfn.LET(_xlpm.nd,_xlfn.TEXTSPLIT(IM312,"|"),IF(COLUMNS(_xlpm.nd)&gt;3,A312&amp;"¦"&amp;INDEX(_xlpm.nd,3)&amp;"¦"&amp;INDEX(_xlpm.nd,4),"")))</f>
        <v/>
      </c>
      <c r="IS312" t="str">
        <f t="shared" si="670"/>
        <v/>
      </c>
      <c r="IT312" t="str" cm="1">
        <f t="array" ref="IT312">IF(IM312="","",_xlfn.LET(_xlpm.nd,_xlfn.TEXTSPLIT(IM312,"|"),IF(COLUMNS(_xlpm.nd)&gt;4,A312&amp;"¦"&amp;INDEX(_xlpm.nd,4)&amp;"¦"&amp;INDEX(_xlpm.nd,5),"")))</f>
        <v/>
      </c>
      <c r="IU312" t="str">
        <f t="shared" si="671"/>
        <v/>
      </c>
      <c r="IV312" t="str" cm="1">
        <f t="array" ref="IV312">IF(IM312="","",_xlfn.LET(_xlpm.nd,_xlfn.TEXTSPLIT(IM312,"|"),IF(COLUMNS(_xlpm.nd)&gt;5,A312&amp;"¦"&amp;INDEX(_xlpm.nd,5)&amp;"¦"&amp;INDEX(_xlpm.nd,6),"")))</f>
        <v/>
      </c>
      <c r="IW312" t="str">
        <f t="shared" si="672"/>
        <v/>
      </c>
      <c r="IX312" t="str" cm="1">
        <f t="array" ref="IX312">IF(IM312="","",_xlfn.LET(_xlpm.nd,_xlfn.TEXTSPLIT(IM312,"|"),IF(COLUMNS(_xlpm.nd)&gt;6,A312&amp;"¦"&amp;INDEX(_xlpm.nd,6)&amp;"¦"&amp;INDEX(_xlpm.nd,7),"")))</f>
        <v/>
      </c>
      <c r="IY312" t="str">
        <f t="shared" si="673"/>
        <v/>
      </c>
      <c r="IZ312" t="str">
        <f t="shared" si="674"/>
        <v/>
      </c>
      <c r="JA312" t="str">
        <f t="shared" si="675"/>
        <v>QF29</v>
      </c>
      <c r="JB312">
        <f t="shared" si="676"/>
        <v>0</v>
      </c>
      <c r="JC312">
        <f t="shared" si="677"/>
        <v>0</v>
      </c>
      <c r="JD312" t="str">
        <f t="shared" si="678"/>
        <v/>
      </c>
      <c r="JE312" t="str">
        <f t="shared" si="679"/>
        <v/>
      </c>
      <c r="JF312" t="str">
        <f t="shared" si="680"/>
        <v/>
      </c>
      <c r="JG312" t="str">
        <f t="shared" si="681"/>
        <v/>
      </c>
      <c r="JH312" t="str">
        <f>IF(B312="","",IFERROR(_xlfn.XLOOKUP(B312,Коды_код,Коды_уго),IFERROR(_xlfn.XLOOKUP(BC312,Коды_код,Коды_уго),IFERROR(_xlfn.XLOOKUP(LEFT(BC312,2),Коды_код,Коды_уго),""))))</f>
        <v/>
      </c>
      <c r="JI312" t="str">
        <f>IF(B312="","",IF(OR(JH312="",JH312=0),"BOX",IFERROR(IF(VLOOKUP(JH312,УГО_блоки,3,FALSE)&amp;""&lt;&gt;"",VLOOKUP(JH312,УГО_блоки,3,FALSE),VLOOKUP(JH312,УГО_блоки,2,FALSE)),JH312)))</f>
        <v>BOX</v>
      </c>
      <c r="JJ312">
        <f t="shared" si="682"/>
        <v>1</v>
      </c>
      <c r="JK312" t="str">
        <f>IF(DQ312="","",IF(COUNTIF(DQ$3:DQ312,DQ312)=1,MAX(JK$2:JK311)+1,""))</f>
        <v/>
      </c>
      <c r="JL312" t="str">
        <f>IF(DE312="","",IF(COUNTIF(DE$3:DE312,DE312)+COUNTIF(DF$2:DF311,DE312)+COUNTIF(DG$2:DG311,DE312)=1,MAX(JL$2:JN311)+1,""))</f>
        <v/>
      </c>
      <c r="JM312" t="str">
        <f>IF(DF312="","",IF(COUNTIF(DE$3:DE312,DF312)+COUNTIF(DF$3:DF312,DF312)+COUNTIF(DG$2:DG311,DF312)=1,MAX(JL$2:JN311,JL312)+1,""))</f>
        <v/>
      </c>
      <c r="JN312" t="str">
        <f>IF(DG312="","",IF(COUNTIF(DE$3:DE312,DG312)+COUNTIF(DF$3:DF312,DG312)+COUNTIF(DG$3:DG312,DG312)=1,MAX(JL$2:JN311,JL312,JM312)+1,""))</f>
        <v/>
      </c>
      <c r="JO312" t="str">
        <f t="shared" si="683"/>
        <v>3х2,5</v>
      </c>
      <c r="JP312" t="str">
        <f>IF(JO312="","",IF(COUNTIF(JO$3:JO312,JO312)=1,MAX(JP$2:JP311)+1,""))</f>
        <v/>
      </c>
      <c r="JQ312" t="str">
        <f>IF(HG312="","",COUNTIF(HG$3:HG312,"?*"))</f>
        <v/>
      </c>
      <c r="JR312" t="str">
        <f>IF(OR(HG312="",HI312=""),"",IF(COUNTIFS(HG$3:HG312,"?*",HI$3:HI312,HI312)=1,MAX(JR$2:JR311)+1,""))</f>
        <v/>
      </c>
      <c r="JS312">
        <f t="shared" si="684"/>
        <v>0</v>
      </c>
      <c r="JT312">
        <f>IF(B312="","",COUNTIF(B$3:B312,"?*"))</f>
        <v>310</v>
      </c>
      <c r="JU312">
        <f>IF(HL312&lt;&gt;1,0,_xlfn.LET(_xlpm.k,MAX(IFERROR(--_xlfn.XLOOKUP(B312,Коды_код,Коды_3L),0),IFERROR(--_xlfn.XLOOKUP(BC312,Коды_код,Коды_3L),0),IFERROR(--_xlfn.XLOOKUP(LEFT(BC312,2),Коды_код,Коды_3L),0)),IF(_xlpm.k&gt;0,_xlpm.k,IF(IFERROR(--LEFT(SUBSTITUTE(JO312,"x","х"),FIND("х",SUBSTITUTE(JO312,"x","х"))-1),3)&gt;3,Каталог!$S$9,1))))</f>
        <v>1</v>
      </c>
      <c r="JV312">
        <f t="shared" si="685"/>
        <v>0</v>
      </c>
      <c r="JW312" t="str">
        <f t="shared" si="686"/>
        <v>авто</v>
      </c>
      <c r="JX312" t="str">
        <f t="shared" si="687"/>
        <v/>
      </c>
      <c r="JY312">
        <f t="shared" si="688"/>
        <v>0</v>
      </c>
      <c r="JZ312">
        <f t="shared" si="689"/>
        <v>1</v>
      </c>
    </row>
    <row r="313" spans="1:286" x14ac:dyDescent="0.3">
      <c r="A313" t="s">
        <v>761</v>
      </c>
      <c r="B313" t="s">
        <v>741</v>
      </c>
      <c r="C313" t="str">
        <f>Линии[[#This Row],[_авто наименование]]</f>
        <v>Вводной кабель шлейф 1</v>
      </c>
      <c r="D313">
        <v>1</v>
      </c>
      <c r="E313">
        <f>Линии[[#This Row],[_авто Р]]</f>
        <v>24.990000000000002</v>
      </c>
      <c r="G313">
        <v>40</v>
      </c>
      <c r="H313" t="str">
        <f>Линии[[#This Row],[_авто управление]]</f>
        <v/>
      </c>
      <c r="I313" t="str">
        <f>Линии[[#This Row],[_авто аппараты]]</f>
        <v/>
      </c>
      <c r="J313">
        <v>10</v>
      </c>
      <c r="K313">
        <v>51</v>
      </c>
      <c r="L313" t="str">
        <f>Линии[[#This Row],[_авто фаза]]</f>
        <v>L1,L2,L3</v>
      </c>
      <c r="M313" t="str">
        <f>Линии[[#This Row],[_авто клемма]]</f>
        <v/>
      </c>
      <c r="N313" t="str">
        <f t="shared" si="552"/>
        <v/>
      </c>
      <c r="O313" s="6" cm="1">
        <f t="array" ref="O313">IF(B313="","",IF(BH313&lt;&gt;"",IFERROR(_xlfn.XLOOKUP(BH313,Щиты[Щит],Щиты[Iр, А]),""),IF(BP313=1,IF(OR(N(_xlfn.XLOOKUP(A313,Щиты[Щит],Щиты[Вводов],1))&lt;=1,LOWER(TRIM(_xlfn.XLOOKUP(A313,Щиты[Щит],Щиты[АВР],"")&amp;""))="да"),IFERROR(_xlfn.XLOOKUP(A313,Щиты[Щит],Щиты[Iр, А]),""),IFERROR(N(BS313)*_xlfn.XLOOKUP(A313,Щиты[Щит],Щиты[Кс итог])/(SQRT(3)*Uн_лин*_xlfn.XLOOKUP(A313,Щиты[Щит],Щиты[cos φ])),"")),IF(BV313=1,IFERROR(BS313*1000/BU313,""),IFERROR(_xlfn.IFS(BX313=1,BS313/((Uн_лин/SQRT(3))*CE313),BX313=3,BS313/(SQRT(3)*Uн_лин*CE313)),"")))))</f>
        <v>22.54372379226367</v>
      </c>
      <c r="P313" s="7">
        <f>IF(B313="","",IFERROR(IF(VLOOKUP(BC313,Потребители_обозначение,4,FALSE)=1,VLOOKUP(BC313,Потребители_обозначение,3,FALSE)*(MAX(1,N(D313))*2-1)+EI313+VLOOKUP(BE313,Этаж_обозначение,3,FALSE)+VLOOKUP(BE313,Этаж_обозначение,4,FALSE),VLOOKUP(BC313,Потребители_обозначение,3,FALSE)*(MAX(1,N(D313))*2-1)+EI313),EI313))</f>
        <v>51</v>
      </c>
      <c r="Q313" s="6">
        <f t="shared" si="553"/>
        <v>1.88</v>
      </c>
      <c r="R313" t="str">
        <f t="shared" si="554"/>
        <v>ВВГнг(А)-LS (5х10)</v>
      </c>
      <c r="S313" t="str">
        <f>IF(BM313="","",IF(BN313="вводной узел","узел ","")&amp;"л."&amp;(INT((BM313-1)/Столбцов_на_лист)+1)&amp;" / "&amp;(MOD(BM313-1,Столбцов_на_лист)+1))</f>
        <v>узел л.1 / 2</v>
      </c>
      <c r="T313" s="119" t="str">
        <f t="shared" si="555"/>
        <v/>
      </c>
      <c r="U313" s="7" t="str">
        <f>IF(OR(CG313=0,N(BV313)+N(IB313)=0),"",ROUNDUP(Запас_БП*(N(HY313)+N(HZ313)),0))</f>
        <v/>
      </c>
      <c r="V313" s="119" t="str">
        <f t="shared" si="556"/>
        <v/>
      </c>
      <c r="W313" s="7" t="str">
        <f>IFERROR(IF(OR(B313="",BP313=1,BV313=1,NOT(ISNUMBER(EN313)),N(DT313)=0),"",MAX(0,ROUNDDOWN((c_min*(Uн_лин*1000/SQRT(3))/(HT313*N(DT313))-_xlfn.XLOOKUP(A313,Щиты[Щит],Щиты[Zпетли на шинах, Ом]))*EN313/(2*ρкз_Cu),0))),"")</f>
        <v/>
      </c>
      <c r="Y313" t="str">
        <f>Линии[[#This Row],[_авто утечка]]</f>
        <v/>
      </c>
      <c r="Z313">
        <v>3</v>
      </c>
      <c r="AA313">
        <v>400</v>
      </c>
      <c r="AB313" t="s">
        <v>547</v>
      </c>
      <c r="AJ313" t="s">
        <v>1344</v>
      </c>
      <c r="AK313" t="str">
        <f>Линии[[#This Row],[_авто модуль]]</f>
        <v/>
      </c>
      <c r="AM313">
        <v>2</v>
      </c>
      <c r="AN313" t="s">
        <v>11</v>
      </c>
      <c r="AO313">
        <v>5</v>
      </c>
      <c r="AQ313">
        <v>34</v>
      </c>
      <c r="AR313">
        <v>12</v>
      </c>
      <c r="AT313">
        <v>1</v>
      </c>
      <c r="BA313" cm="1">
        <f t="array" ref="BA313">ROW()-ROW(Линии[#Headers])</f>
        <v>311</v>
      </c>
      <c r="BC313" s="6" t="str">
        <f t="shared" si="557"/>
        <v>Ввод</v>
      </c>
      <c r="BD313" t="str">
        <f t="shared" si="558"/>
        <v>1</v>
      </c>
      <c r="BE313" t="str">
        <f t="shared" si="559"/>
        <v>1</v>
      </c>
      <c r="BF313" t="str">
        <f t="shared" si="560"/>
        <v/>
      </c>
      <c r="BG313" t="str">
        <f t="shared" si="561"/>
        <v/>
      </c>
      <c r="BH313" t="str">
        <f>IF(X313&lt;&gt;"",X313,IF(AND(B313&lt;&gt;"",B313&lt;&gt;A313,ISNUMBER(_xlfn.XMATCH(B313,Щиты[Щит]))),B313,""))</f>
        <v/>
      </c>
      <c r="BI313" t="str" cm="1">
        <f t="array" ref="BI313">IF(B313="","",IF(BH313&lt;&gt;"","Щит "&amp;BH313,_xlfn.LET(_xlpm.nm,IFERROR(_xlfn.XLOOKUP(BC313,Коды_код,Коды_имя)&amp;"",""),_xlpm.md,IFERROR(N(_xlfn.XLOOKUP(BC313,Коды_код,Коды_режим)),1),_xlpm.ex,IF(Имя_режим="по экспликации",IFERROR(_xlfn.XLOOKUP(BE313&amp;"|"&amp;BG313,Экспликация[Этаж]&amp;"|"&amp;Экспликация[Помещение],Экспликация[Название])&amp;"",""),""),_xlpm.rm,IF(BG313="","",IF(_xlpm.ex&lt;&gt;"",". "&amp;_xlpm.ex&amp;IF(Имя_пом="нет"," ("&amp;BG313&amp;")"," (пом. "&amp;BG313&amp;")"),IF(Имя_пом="нет"," ",", пом. ")&amp;BG313)),IF(_xlpm.nm="","",IF(_xlpm.md=2,_xlpm.nm&amp;" шлейф "&amp;BE313,_xlpm.nm&amp;_xlpm.rm)))))</f>
        <v>Вводной кабель шлейф 1</v>
      </c>
      <c r="BJ313" t="str">
        <f t="shared" si="562"/>
        <v>Вводной кабель шлейф 1</v>
      </c>
      <c r="BK313">
        <f>IFERROR(_xlfn.XMATCH(A313,Щиты[Щит]),0)</f>
        <v>12</v>
      </c>
      <c r="BL313">
        <f>_xlfn.LET(_xlpm.k,IFERROR(_xlfn.XLOOKUP(A313,Щиты[Щит],Щиты[Мест под вводной узел]),""),IF(_xlpm.k="",Столбцов_на_лист,N(_xlpm.k)))</f>
        <v>11</v>
      </c>
      <c r="BM313">
        <f t="shared" si="563"/>
        <v>2</v>
      </c>
      <c r="BN313" t="str">
        <f t="shared" si="564"/>
        <v>вводной узел</v>
      </c>
      <c r="BO313" s="6">
        <f>IFERROR(N(_xlfn.XLOOKUP(BC313,Коды_код,Коды_квт)),0)</f>
        <v>0</v>
      </c>
      <c r="BP313">
        <f t="shared" si="565"/>
        <v>1</v>
      </c>
      <c r="BQ313">
        <f>IF(B313="","",IF(BH313&lt;&gt;"",IFERROR(_xlfn.XLOOKUP(BH313,Щиты[Щит],Щиты[Руст, кВт]),0),IF(BP313=1,IF(OR(N(_xlfn.XLOOKUP(A313,Щиты[Щит],Щиты[Вводов],1))&lt;=1,LOWER(TRIM(_xlfn.XLOOKUP(A313,Щиты[Щит],Щиты[АВР],"")&amp;""))="да"),IFERROR(_xlfn.XLOOKUP(A313,Щиты[Щит],Щиты[Руст, кВт]),0),SUMIFS(Линии[_Р для вводов],Линии[Щит],A313,Линии[Источник для режимов],GF313)),IF(BO313&gt;0,ROUND(BO313*MAX(1,N(D313)),3),""))))</f>
        <v>24.990000000000002</v>
      </c>
      <c r="BR313">
        <f t="shared" si="566"/>
        <v>24.990000000000002</v>
      </c>
      <c r="BS313" s="6">
        <f>IF(B313="","",IF(BH313&lt;&gt;"",IFERROR(_xlfn.XLOOKUP(BH313,Щиты[Щит],Щиты[Руст, кВт]),0),N(BR313)))</f>
        <v>24.990000000000002</v>
      </c>
      <c r="BT313" t="str">
        <f>IF(B313="","",IFERROR(IF(VLOOKUP(BC313,Потребители_обозначение,8,FALSE)=0,"",VLOOKUP(BC313,Потребители_обозначение,8,FALSE)),""))</f>
        <v/>
      </c>
      <c r="BU313">
        <f t="shared" si="567"/>
        <v>400</v>
      </c>
      <c r="BV313">
        <f t="shared" si="568"/>
        <v>0</v>
      </c>
      <c r="BW313">
        <f>IF(B313="","",IF(BH313&lt;&gt;"",3,IFERROR(IF(N(VLOOKUP(BC313,Потребители_обозначение,9,FALSE))=0,1,VLOOKUP(BC313,Потребители_обозначение,9,FALSE)),1)))</f>
        <v>1</v>
      </c>
      <c r="BX313">
        <f t="shared" si="569"/>
        <v>3</v>
      </c>
      <c r="BY313" t="str">
        <f>IF(B313="","",_xlfn.LET(_xlpm.bc,IFERROR(IF(VLOOKUP(BC313,Потребители_обозначение,6,FALSE)=0,"",VLOOKUP(BC313,Потребители_обозначение,6,FALSE)&amp;""),""),IF(AND(GA313="да",OR(_xlpm.bc="",_xlpm.bc="мс")),Марка_пож,IF(AND(_xlpm.bc="",BH313&lt;&gt;""),"мс",_xlpm.bc))))</f>
        <v/>
      </c>
      <c r="BZ313" t="str">
        <f t="shared" si="570"/>
        <v>мс</v>
      </c>
      <c r="CA313">
        <f>IF(B313="","",_xlfn.LET(_xlpm.cc,IFERROR(N(VLOOKUP(BC313,Потребители_обозначение,7,FALSE)),0),IF(_xlpm.cc&gt;0,_xlpm.cc,IF(BZ313="","",IF(BV313=1,2,IF(N(BX313)=3,5,3))))))</f>
        <v>5</v>
      </c>
      <c r="CB313">
        <f t="shared" si="571"/>
        <v>5</v>
      </c>
      <c r="CC313">
        <f>IFERROR(N(VLOOKUP(BC313,Потребители_обозначение,10,FALSE)),0)</f>
        <v>0</v>
      </c>
      <c r="CD313">
        <f>IFERROR(VLOOKUP(BC313,Потребители_обозначение,5,FALSE),0)</f>
        <v>1</v>
      </c>
      <c r="CE313" s="6" cm="1">
        <f t="array" ref="CE313">IF(B313="","",IF(BH313&lt;&gt;"",IFERROR(_xlfn.XLOOKUP(BH313,Щиты[Щит],Щиты[cos φ]),0.95),IF(BP313=1,IFERROR(_xlfn.XLOOKUP(A313,Щиты[Щит],Щиты[cos φ]),0.95),IF(ISNUMBER(AD313),AD313,IFERROR(IF(CD313=2,_xlfn.IFS(BX313=3,VLOOKUP(BS313,Справочная_двигатели,8,FALSE),BX313=1,VLOOKUP(BS313,Справочная_двигатели,10,TRUE)),IF(AND(Методика="нормы 2026",FG313="Сил"),0.8,0.95)),0.95)))))</f>
        <v>0.79999999999999993</v>
      </c>
      <c r="CF313">
        <f t="shared" si="572"/>
        <v>0</v>
      </c>
      <c r="CG313">
        <f t="shared" si="573"/>
        <v>1</v>
      </c>
      <c r="CH313">
        <f t="shared" si="574"/>
        <v>0</v>
      </c>
      <c r="CI313">
        <f>IF(B313="","",IF(BV313=1,IFERROR(BS313/((Uн_лин/SQRT(3))*MAX(0.5,N(CE313))),0),N(O313)))</f>
        <v>22.54372379226367</v>
      </c>
      <c r="CJ313">
        <f t="shared" si="575"/>
        <v>0</v>
      </c>
      <c r="CK313">
        <f t="shared" si="576"/>
        <v>0</v>
      </c>
      <c r="CL313">
        <f t="shared" si="577"/>
        <v>0</v>
      </c>
      <c r="CM313">
        <f t="shared" si="578"/>
        <v>0</v>
      </c>
      <c r="CN313">
        <f t="shared" si="579"/>
        <v>0</v>
      </c>
      <c r="CO313">
        <f>IF(BC313="",0,_xlfn.LET(_xlpm.v,IFERROR(_xlfn.XLOOKUP(B313,Коды_код,Коды_мА),IFERROR(_xlfn.XLOOKUP(BC313,Коды_код,Коды_мА),IFERROR(_xlfn.XLOOKUP(LEFT(BC313,2),Коды_код,Коды_мА),""))),IF(_xlpm.v="да",30,IF(ISNUMBER(_xlpm.v),_xlpm.v,0))))</f>
        <v>0</v>
      </c>
      <c r="CP313" t="str">
        <f t="shared" si="580"/>
        <v/>
      </c>
      <c r="CQ313" t="str">
        <f>_xlfn.LET(_xlpm.k,IFERROR(_xlfn.XLOOKUP(BC313,Коды_код,Коды_утечка)&amp;"",""),IF(_xlpm.k="","дифавтомат",_xlpm.k))</f>
        <v>дифавтомат</v>
      </c>
      <c r="CR313" t="str" cm="1">
        <f t="array" ref="CR313">IF(CG313=0,"",_xlfn.LET(_xlpm.sg,TRIM(_xlfn.TEXTSPLIT(DD313&amp;"",";")),_xlpm.f_,_xlfn._xlws.FILTER(_xlpm.sg,LEFT(_xlpm.sg,3)="УЗО",""),IFERROR(INDEX(_xlpm.f_,1)&amp;"","")))</f>
        <v/>
      </c>
      <c r="CS313" t="str">
        <f t="shared" si="581"/>
        <v/>
      </c>
      <c r="CT313" s="6" t="str" cm="1">
        <f t="array" ref="CT313">IF(CR313="","",_xlfn.LET(_xlpm.tk,_xlfn.TEXTSPLIT(UPPER(CR313)," ",,TRUE),_xlpm.a_,_xlfn._xlws.FILTER(_xlpm.tk,ISNUMBER(--LEFT(_xlpm.tk,1))*((ISNUMBER(SEARCH("А",_xlpm.tk))+ISNUMBER(SEARCH("A",_xlpm.tk)))&gt;0)*NOT(ISNUMBER(SEARCH("МА",_xlpm.tk)))*NOT(ISNUMBER(SEARCH("MA",_xlpm.tk))),""),IFERROR(--SUBSTITUTE(SUBSTITUTE(INDEX(_xlpm.a_,1),"А",""),"A",""),"")))</f>
        <v/>
      </c>
      <c r="CU313" t="str" cm="1">
        <f t="array" ref="CU313">IF(CR313="","",_xlfn.LET(_xlpm.tk,_xlfn.TEXTSPLIT(UPPER(CR313)," ",,TRUE),_xlpm.a_,_xlfn._xlws.FILTER(_xlpm.tk,ISNUMBER(--LEFT(_xlpm.tk,1))*((ISNUMBER(SEARCH("МА",_xlpm.tk))+ISNUMBER(SEARCH("MA",_xlpm.tk)))&gt;0),""),IFERROR(--SUBSTITUTE(SUBSTITUTE(INDEX(_xlpm.a_,1),"МА",""),"MA",""),30)))</f>
        <v/>
      </c>
      <c r="CV313" t="str">
        <f>IF(CS313="","",IFERROR(_xlfn.XLOOKUP(CS313,Линии[_n],Линии[_УЗО, мА]),30))</f>
        <v/>
      </c>
      <c r="CW313">
        <f>IF(CS313="",0,IF(ISNUMBER(SEARCH("4P",IFERROR(_xlfn.XLOOKUP(CS313,Линии[_n],Линии[_УЗО строки])&amp;"",""))),0,1))</f>
        <v>0</v>
      </c>
      <c r="CX313" t="str">
        <f>IF(AND(CS313&lt;&gt;"",CS313=BA313),SUMIFS(Линии[_ток на 230 В],Линии[_блок УЗО],BA313,Линии[Щит],A313),"")</f>
        <v/>
      </c>
      <c r="CY313" t="str">
        <f>IF(AND(CS313&lt;&gt;"",CS313=BA313),SUMIFS(Линии[_ток утечки линии, мА],Линии[_блок УЗО],BA313,Линии[Щит],A313),"")</f>
        <v/>
      </c>
      <c r="CZ313">
        <f t="shared" si="582"/>
        <v>0</v>
      </c>
      <c r="DA313">
        <f t="shared" si="583"/>
        <v>0</v>
      </c>
      <c r="DB313">
        <f>IF(B313="",0,IFERROR(--_xlfn.XLOOKUP(B313,Коды_код,Коды_минавт),IFERROR(--_xlfn.XLOOKUP(BC313,Коды_код,Коды_минавт),IFERROR(--_xlfn.XLOOKUP(LEFT(BC313,2),Коды_код,Коды_минавт),0))))</f>
        <v>0</v>
      </c>
      <c r="DC313" t="str">
        <f>IF(B313="","",IFERROR(_xlfn.XLOOKUP(BC313,Коды_код,Коды_апп)&amp;"",""))</f>
        <v/>
      </c>
      <c r="DD313" t="str">
        <f t="shared" si="584"/>
        <v/>
      </c>
      <c r="DE313" t="str" cm="1">
        <f t="array" ref="DE313">IF(TRIM(DD313&amp;"")="","",IFERROR(TRIM(INDEX(_xlfn.TEXTSPLIT(DD313&amp;";;;",";"),1)),""))</f>
        <v/>
      </c>
      <c r="DF313" t="str" cm="1">
        <f t="array" ref="DF313">IF(TRIM(DD313&amp;"")="","",IFERROR(TRIM(INDEX(_xlfn.TEXTSPLIT(DD313&amp;";;;",";"),2)),""))</f>
        <v/>
      </c>
      <c r="DG313" t="str" cm="1">
        <f t="array" ref="DG313">IF(TRIM(DD313&amp;"")="","",IFERROR(TRIM(INDEX(_xlfn.TEXTSPLIT(DD313&amp;";;;",";"),3)),""))</f>
        <v/>
      </c>
      <c r="DH313">
        <f t="shared" si="585"/>
        <v>0</v>
      </c>
      <c r="DI313" t="str">
        <f>IF(B313="","",_xlfn.LET(_xlpm.t,LOWER(AZ313&amp;""),IF(ISNUMBER(SEARCH("dim",_xlpm.t)),"DIM",IF(ISNUMBER(SEARCH("dali",_xlpm.t)),"DALI",IF(OR(ISNUMBER(SEARCH("relay",_xlpm.t)),ISNUMBER(SEARCH("реле",_xlpm.t))),"Relay",IF(ISNUMBER(SEARCH("кнопк",_xlpm.t)),"",IFERROR(_xlfn.XLOOKUP(BC313,Коды_код,Коды_упр)&amp;"","")))))))</f>
        <v/>
      </c>
      <c r="DJ313" t="str">
        <f t="shared" si="586"/>
        <v/>
      </c>
      <c r="DK313">
        <f>IF(B313="","",_xlfn.LET(_xlpm.ig,IF(N(CX313)&gt;0,N(CX313),N(CI313)+IF(AJ313="вручную",0,N(CJ313))),_xlpm.n0,IFERROR(VLOOKUP(_xlpm.ig,Автомат_номиналы,2,TRUE),0),_xlpm.mn,MAX(DB313,IF(AJ313="вручную",0,N(CM313))),MAX(_xlpm.n0,_xlpm.mn,IF(DH313=1,Мин_автомат_БП,0))))</f>
        <v>32</v>
      </c>
      <c r="DL313">
        <f t="shared" si="587"/>
        <v>3</v>
      </c>
      <c r="DM313" t="str">
        <f t="shared" si="588"/>
        <v>3P</v>
      </c>
      <c r="DN313" t="str">
        <f>_xlfn.LET(_xlpm.cc,UPPER(TRIM(IFERROR(_xlfn.XLOOKUP(BC313,Коды_код,Коды_хар)&amp;"",""))),IF(OR(_xlpm.cc="B",_xlpm.cc="В"),"B",IF(_xlpm.cc="D","D","С")))</f>
        <v>С</v>
      </c>
      <c r="DO313" t="str">
        <f t="shared" si="589"/>
        <v>3P С32А</v>
      </c>
      <c r="DP313">
        <f t="shared" si="590"/>
        <v>40</v>
      </c>
      <c r="DQ313" t="str">
        <f t="shared" si="591"/>
        <v>3P С40А</v>
      </c>
      <c r="DR313" cm="1">
        <f t="array" ref="DR313">IF(DQ313="","",_xlfn.LET(_xlpm.t,SUBSTITUTE(SUBSTITUTE(SUBSTITUTE(UPPER(DQ313),"С","C"),"А","A"),"В","B"),_xlpm.tk,_xlfn.TEXTSPLIT(_xlpm.t," "),_xlpm.f,_xlfn._xlws.FILTER(_xlpm.tk,ISNUMBER(--MID(_xlpm.tk,2,1))*ISNUMBER(SEARCH(LEFT(_xlpm.tk,1)&amp;"#","B#C#D#"))*(LEN(_xlpm.tk)&gt;1),""),_xlpm.x,INDEX(_xlpm.f,1),IFERROR(--SUBSTITUTE(MID(_xlpm.x,2,9),"A",""),IFERROR(--SUBSTITUTE(INDEX(_xlfn._xlws.FILTER(_xlpm.tk,ISNUMBER(--SUBSTITUTE(_xlpm.tk,"A","")),""),1),"A",""),""))))</f>
        <v>40</v>
      </c>
      <c r="DS313" t="str">
        <f t="shared" si="592"/>
        <v>узел</v>
      </c>
      <c r="DT313">
        <f t="shared" si="593"/>
        <v>40</v>
      </c>
      <c r="DU313" t="str">
        <f t="shared" si="594"/>
        <v>3P С40А</v>
      </c>
      <c r="DV313">
        <f t="shared" si="595"/>
        <v>0</v>
      </c>
      <c r="DW313">
        <f t="shared" si="596"/>
        <v>0</v>
      </c>
      <c r="DX313">
        <f t="shared" si="597"/>
        <v>0</v>
      </c>
      <c r="DY313">
        <f t="shared" si="598"/>
        <v>22.54372379226367</v>
      </c>
      <c r="DZ313">
        <f t="shared" si="599"/>
        <v>0.92</v>
      </c>
      <c r="EA313">
        <f>IF(ISNUMBER(AP313),AP313,К_прокл)</f>
        <v>1</v>
      </c>
      <c r="EB313">
        <f t="shared" si="600"/>
        <v>3</v>
      </c>
      <c r="EC313">
        <f>IFERROR(N(VLOOKUP(BZ313,Кабель_обозначение,3,FALSE)),1)</f>
        <v>1</v>
      </c>
      <c r="ED313">
        <f>IFERROR(N(_xlfn.XLOOKUP(A313,Щиты[Щит],Щиты[ΔU до шин, %])),0)</f>
        <v>0.96</v>
      </c>
      <c r="EE313" t="str">
        <f>IFERROR(_xlfn.XLOOKUP(A313,Щиты[Щит],Щиты[Zпетли на шинах, Ом]),"")</f>
        <v/>
      </c>
      <c r="EF313">
        <f>IFERROR(N(_xlfn.XLOOKUP(A313,Щиты[Щит],Щиты[ΔU до шин (подбор), %])),0)</f>
        <v>0.96</v>
      </c>
      <c r="EG313" t="str">
        <f>IFERROR(_xlfn.XLOOKUP(A313,Щиты[Щит],Щиты[Zпетли на шинах (подбор), Ом]),"")</f>
        <v/>
      </c>
      <c r="EH313" t="str">
        <f t="shared" si="601"/>
        <v/>
      </c>
      <c r="EI313">
        <f t="shared" si="602"/>
        <v>51</v>
      </c>
      <c r="EJ313">
        <f t="shared" si="603"/>
        <v>1</v>
      </c>
      <c r="EK313">
        <f t="shared" si="604"/>
        <v>0.6</v>
      </c>
      <c r="EL313" s="6">
        <f>IF(B313="","",IF(BV313=1,dU_LED,IF(IFERROR(_xlfn.XLOOKUP(BC313,Коды_код,Коды_уго),"")="Светильник",3,4)+IF(Методика="нормы 2026",MIN(0.5,MAX(0,N(P313)-100)*0.005),0)))</f>
        <v>4</v>
      </c>
      <c r="EM313" cm="1">
        <f t="array" ref="EM313">IF(OR(B313="",BZ313="",EC313&lt;&gt;1),"",_xlfn.LET(_xlpm.sz,Iдоп_S,_xlpm.t_,CHOOSE(EB313,Iдоп_1ж,Iдоп_2ж,Iдоп_3ж)*DZ313*EA313,_xlpm.dcx,BV313=1,_xlpm.inn,IF(_xlpm.dcx,N(O313),N(DT313)),_xlpm.smin,MAX(1.5,CC313),_xlpm.L_,N(P313)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313)/N(BU313)*100,999),IFERROR(N(EJ313)*(_xlpm.rho*_xlpm.L_/_xlpm.sz*N(CE313)+_xlpm.xx*_xlpm.L_*N(EK313)/1000)*N(O313)/((Uн_лин/SQRT(3))*1000)*100,999)),_xlpm.kz,IF(OR(_xlpm.dcx,DW313=1,NOT(ISNUMBER(EG313)),_xlpm.L_=0,_xlpm.inn=0),1,IFERROR(--(c_min*(Uн_лин*1000/SQRT(3))/(EG313+2*ρкз_Cu*_xlpm.L_/_xlpm.sz)&gt;=HT313*_xlpm.inn),0)),_xlpm.ok,IFERROR((_xlpm.sz&gt;=_xlpm.smin)*(_xlpm.t_&gt;=_xlpm.inn)*IF(_xlpm.L_&gt;0,(_xlpm.du_+IF(_xlpm.dcx,0,EF313)&lt;=EL313+0.00001),1)*_xlpm.kz,0),_xlpm.r_,_xlfn._xlws.FILTER(_xlpm.sz,_xlpm.ok,"не подобрано"),INDEX(_xlpm.r_,1)))</f>
        <v>10</v>
      </c>
      <c r="EN313">
        <f t="shared" si="605"/>
        <v>10</v>
      </c>
      <c r="EO313" cm="1">
        <f t="array" ref="EO313">IF(OR(B313="",BZ313="",EC313&lt;&gt;1),"",_xlfn.LET(_xlpm.sz,Iдоп_S,_xlpm.t_,CHOOSE(EB313,Iдоп_1ж,Iдоп_2ж,Iдоп_3ж)*DZ313*EA313,_xlpm.ok,IFERROR((_xlpm.sz&gt;=MAX(1.5,CC313))*(_xlpm.t_&gt;=N(DT313)),0),_xlpm.r_,_xlfn._xlws.FILTER(_xlpm.sz,_xlpm.ok,""),INDEX(_xlpm.r_,1)))</f>
        <v>10</v>
      </c>
      <c r="EP313" s="6" cm="1">
        <f t="array" ref="EP313">IFERROR(ROUNDUP(N(EJ313)*(_xlfn.XLOOKUP(EO313,INDEX(Кабель_сопротивление,0,1),INDEX(Кабель_сопротивление,0,3))*N(P313)/EO313*N(CE313)+_xlfn.XLOOKUP(EO313,INDEX(Кабель_сопротивление,0,1),INDEX(Кабель_сопротивление,0,2))*N(P313)*N(EK313)/1000)*N(O313)/((Uн_лин/SQRT(3))*1000)*100,2),"")</f>
        <v>0.92</v>
      </c>
      <c r="EQ313">
        <f>IFERROR(2*ρкз_Cu*N(P313)/EO313,"")</f>
        <v>0.26826</v>
      </c>
      <c r="ER313">
        <f>IFERROR(VLOOKUP(EN313,Кабель_сопротивление,3,FALSE),"")</f>
        <v>2.2499999999999999E-2</v>
      </c>
      <c r="ES313">
        <f>IFERROR(VLOOKUP(EN313,Кабель_сопротивление,2,FALSE),"")</f>
        <v>7.2999999999999995E-2</v>
      </c>
      <c r="ET313">
        <f t="shared" si="606"/>
        <v>12</v>
      </c>
      <c r="EU313">
        <f t="shared" si="607"/>
        <v>0</v>
      </c>
      <c r="EV313">
        <f t="shared" si="608"/>
        <v>2.1198720143369627</v>
      </c>
      <c r="EW313" s="6">
        <f>IFERROR(ROUNDUP(EV313/IF(BV313=1,BU313,(Uн_лин/SQRT(3))*1000)*100,2),"")</f>
        <v>0.92</v>
      </c>
      <c r="EX313" t="str">
        <f>IFERROR(VLOOKUP(BZ313,Кабель_обозначение,2,FALSE),"")</f>
        <v>ВВГнг(А)-LS</v>
      </c>
      <c r="EY313" t="str">
        <f t="shared" si="609"/>
        <v>ВВГнг(А)-LS (5х10)</v>
      </c>
      <c r="EZ313" t="str">
        <f t="shared" si="610"/>
        <v>ВВГнг(А)-LS (5х10)
L=51-0,92%</v>
      </c>
      <c r="FA313">
        <f>IFERROR(2*ρкз_Cu*P313/EN313,"")</f>
        <v>0.26826</v>
      </c>
      <c r="FB313">
        <f t="shared" si="611"/>
        <v>8.925000000000001E-2</v>
      </c>
      <c r="FC313" s="6" t="str">
        <f>IFERROR(IF(OR(B313="",BV313=1,NOT(ISNUMBER(EN313)),N(P313)=0),"",_xlfn.XLOOKUP(A313,Щиты[Щит],Щиты[Zпетли на шинах, Ом])+FA313),"")</f>
        <v/>
      </c>
      <c r="FD313" s="6" t="str">
        <f>IF(ISNUMBER(FC313),c_min*(Uн_лин*1000/SQRT(3))/FC313,"")</f>
        <v/>
      </c>
      <c r="FE313" s="6" t="str">
        <f>IFERROR(IF(OR(B313="",NOT(ISNUMBER(EN313))),"",1.05*(Uн_лин*1000/SQRT(3))/(_xlfn.XLOOKUP(A313,Щиты[Щит],Щиты[Zmax на шинах, Ом])+FB313)/1000),"")</f>
        <v/>
      </c>
      <c r="FF313" s="6" t="str">
        <f>IF(B313="","",IF(ISNUMBER(AC313),"Сил",IF(IFERROR(_xlfn.XLOOKUP(BC313,Коды_код,Коды_группа)&amp;"","")="","Быт",_xlfn.XLOOKUP(BC313,Коды_код,Коды_группа)&amp;"")))</f>
        <v>Быт</v>
      </c>
      <c r="FG313" s="6" t="str">
        <f t="shared" si="612"/>
        <v>Нет</v>
      </c>
      <c r="FH313" s="6">
        <f>IF(FG313="Щит","щит",IF(FG313="","",IF(FG313="Быт",IFERROR(_xlfn.XLOOKUP(A313,Щиты[Щит],Щиты[Кс быт]),1),IF(FG313="Сил",IF(ISNUMBER(AC313),AC313,IF(Методика="нормы 2026",IFERROR(_xlfn.XLOOKUP(A313,Щиты[Щит],Щиты[Кс силовых (табл. 7.5)]),1),1)),IF(OR(FG313="Пост",FG313="Отоп"),1,IF(FG313="ВНГ",0.7,0))))))</f>
        <v>0</v>
      </c>
      <c r="FI313">
        <f>IF(FG313="","",IF(AND(BP313=1,TRIM(AE313&amp;"")=""),IF(COUNTIFS(Линии[Щит],A313,Линии[Секция (1/2/3)],"&gt;=2")&gt;0,MIN(3,MAX(1,IFERROR(--BD313,1))),1),IFERROR(MIN(3,MAX(1,INT(--AE313))),1)))</f>
        <v>1</v>
      </c>
      <c r="FJ313">
        <f t="shared" si="613"/>
        <v>0</v>
      </c>
      <c r="FK313">
        <f t="shared" si="614"/>
        <v>0</v>
      </c>
      <c r="FL313">
        <f t="shared" si="615"/>
        <v>0</v>
      </c>
      <c r="FM313">
        <f t="shared" si="616"/>
        <v>0</v>
      </c>
      <c r="FN313">
        <f t="shared" si="617"/>
        <v>0</v>
      </c>
      <c r="FO313">
        <f t="shared" si="618"/>
        <v>0</v>
      </c>
      <c r="FP313">
        <f t="shared" si="619"/>
        <v>0</v>
      </c>
      <c r="FQ313">
        <f t="shared" si="620"/>
        <v>0</v>
      </c>
      <c r="FR313">
        <f t="shared" si="621"/>
        <v>0</v>
      </c>
      <c r="FS313">
        <f>IF(CG313=1,IF(AND(CH313=1,CW313=1),0,IF(AND(CS313&lt;&gt;"",CS313=BA313,CW313=1),SUMIFS(Линии[_Р линии, кВт],Линии[_блок УЗО],BA313,Линии[Щит],A313),N(BS313)+IF(AJ313="вручную",0,N(CK313)))),0)</f>
        <v>24.990000000000002</v>
      </c>
      <c r="FT313" t="str">
        <f t="shared" si="622"/>
        <v/>
      </c>
      <c r="FU313" t="str">
        <f>IF(B313="","",IF(CG313=0,IF(BA313=1,"",FW312),IF(AND(CH313=1,CW313=1,CS313&lt;&gt;""),IFERROR(_xlfn.XLOOKUP(CS313,Линии[_n],Линии[_фаза итог]),"L1"),IF(OR(N(DL313)&gt;=3,N(BX313)&gt;=3),"L1,L2,L3",IFERROR(_xlfn.TEXTBEFORE(_xlfn.TEXTAFTER(_xlfn.XLOOKUP(A313,Щиты[Щит],Щиты[_фазы авто]),";"&amp;BA313&amp;":"),";"),"L1")))))</f>
        <v>L1,L2,L3</v>
      </c>
      <c r="FV313" t="str">
        <f t="shared" si="623"/>
        <v>L1,L2,L3</v>
      </c>
      <c r="FW313" t="str">
        <f t="shared" si="624"/>
        <v>L1,L2,L3</v>
      </c>
      <c r="FX313" cm="1">
        <f t="array" ref="FX313">IFERROR(IF(CD313=2,_xlfn.IFS(BX313=3,VLOOKUP(BS313,Справочная_двигатели,3,FALSE),BX313=1,VLOOKUP(BS313,Справочная_двигатели,5,TRUE)),0),0)</f>
        <v>0</v>
      </c>
      <c r="FY313">
        <f>IFERROR(IF(CD313=3,VLOOKUP(BS313,Справочная_ЛЭД,2,TRUE),0),0)</f>
        <v>0</v>
      </c>
      <c r="FZ313" s="6">
        <f t="shared" si="625"/>
        <v>0</v>
      </c>
      <c r="GA313" t="str">
        <f>IF(B313="","",IF(TRIM(AH313&amp;"")&lt;&gt;"",IF(LOWER(TRIM(AH313&amp;""))="да","да","нет"),IF(IFERROR(_xlfn.XLOOKUP(BC313,Коды_код,Коды_пожарная),"")="да","да","нет")))</f>
        <v>нет</v>
      </c>
      <c r="GB313" t="str">
        <f t="shared" si="626"/>
        <v/>
      </c>
      <c r="GC313" t="str">
        <f t="shared" si="627"/>
        <v>основная</v>
      </c>
      <c r="GD313">
        <f>IF(AND(BP313=1,TRIM(AE313&amp;"")=""),IF(COUNTIFS(Линии[Щит],A313,Линии[Секция (1/2/3)],"&gt;=2")&gt;0,MIN(3,MAX(1,IFERROR(--BD313,1))),1),IFERROR(MIN(3,MAX(1,INT(--AE313))),1))</f>
        <v>1</v>
      </c>
      <c r="GE313" t="str" cm="1">
        <f t="array" ref="GE313">IF(B313="","",_xlfn.LET(_xlpm.t,IFERROR(_xlfn.XLOOKUP(1,(Шины[Шина]=GC313)*(((Шины[Щит]=A313)+(Шины[Щит]=""))&gt;0),Шины[Тип]),"")&amp;"",IF(_xlpm.t&lt;&gt;"",_xlpm.t,IF(ISNUMBER(SEARCH("ИБП",GC313)),"ИБП",IF(ISNUMBER(SEARCH("ДГУ",GC313)),"ДГУ","Ввод "&amp;GD313)))))</f>
        <v>Ввод 1</v>
      </c>
      <c r="GF313" t="str">
        <f t="shared" si="628"/>
        <v>Ввод 1</v>
      </c>
      <c r="GG313" t="str">
        <f>IF(BP313=0,"",IF(TRIM(AG313&amp;"")&lt;&gt;"",TRIM(AG313&amp;""),IF(OR(GE313="ИБП",GE313="ДГУ"),"I особая",_xlfn.XLOOKUP(A313,Щиты[Щит],Щиты[Категория шины «Ввод»],"III"))))</f>
        <v>II</v>
      </c>
      <c r="GH313" t="str">
        <f>IF(A313="","",_xlfn.XLOOKUP(A313,Щиты[Щит],Щиты[Путь],""))</f>
        <v>|ГРЩ-ЖД|ЩС-Б|</v>
      </c>
      <c r="GI313" t="str">
        <f>IF(B313="","",IF(AI313&lt;&gt;"",AI313,IF(IFERROR(_xlfn.XLOOKUP(BC313,Коды_код,Коды_вид)&amp;"","")="","Прочее",_xlfn.XLOOKUP(BC313,Коды_код,Коды_вид)&amp;"")))</f>
        <v>Прочее</v>
      </c>
      <c r="GJ313">
        <f>IF(BM313="","",INT((BM313-1)/Столбцов_на_лист)+1)</f>
        <v>1</v>
      </c>
      <c r="GK313" t="str">
        <f t="shared" si="629"/>
        <v>ВВГнг(А)-LS (5х10) L=51-0,92%</v>
      </c>
      <c r="GL313">
        <f t="shared" si="630"/>
        <v>24.990000000000002</v>
      </c>
      <c r="GM313">
        <f t="shared" si="631"/>
        <v>22.55</v>
      </c>
      <c r="GN313">
        <f t="shared" si="632"/>
        <v>3</v>
      </c>
      <c r="GO313">
        <f t="shared" si="633"/>
        <v>0</v>
      </c>
      <c r="GP313">
        <f t="shared" si="634"/>
        <v>0</v>
      </c>
      <c r="GQ313" t="str">
        <f>IF(BM313="","",IF(AND(CG313=1,GP313=1),COUNTIFS(A$3:A313,A313,CG$3:CG313,1,GP$3:GP313,1),IF(OR(OR(BA313=1,A313&lt;&gt;A312),AJ313="вручную",GP313=0),"",IF(BA313=1,"",GR312))))</f>
        <v/>
      </c>
      <c r="GR313" t="str">
        <f t="shared" si="635"/>
        <v/>
      </c>
      <c r="GS313">
        <f>IF(B313="","",IFERROR(LOOKUP(INDEX(CHOOSE(EB313,Iдоп_1ж,Iдоп_2ж,Iдоп_3ж),MATCH(EN313,Iдоп_S,0))*DZ313*EA313,{6,10,16,20,25,32,40,50,63,80,100,125,160,200,250,315,400,500,630}),""))</f>
        <v>50</v>
      </c>
      <c r="GT313" t="str">
        <f t="shared" si="636"/>
        <v/>
      </c>
      <c r="GU313" t="str">
        <f t="shared" si="637"/>
        <v/>
      </c>
      <c r="GV313" t="str">
        <f t="shared" si="638"/>
        <v/>
      </c>
      <c r="GW313">
        <f t="shared" si="639"/>
        <v>0</v>
      </c>
      <c r="GX313" t="str">
        <f>IF(OR(B313="",DJ313=""),"",IFERROR(_xlfn.XLOOKUP(DJ313,Модули_умолч[Управление],Модули_умолч[Модель])&amp;"",""))</f>
        <v/>
      </c>
      <c r="GY313">
        <f>IF(DJ313="",1,IFERROR(MAX(0,N(_xlfn.XLOOKUP(DJ313,Модули_умолч[Управление],Модули_умолч[Каналов на линию]))),1))</f>
        <v>1</v>
      </c>
      <c r="GZ313" t="str">
        <f t="shared" si="640"/>
        <v/>
      </c>
      <c r="HA313" t="str">
        <f t="shared" si="641"/>
        <v/>
      </c>
      <c r="HB313" t="str">
        <f t="shared" si="642"/>
        <v/>
      </c>
      <c r="HC313">
        <f>IF(HB313="",0,IFERROR(N(VLOOKUP(HB313,Модули_спр,3,FALSE)),0))</f>
        <v>0</v>
      </c>
      <c r="HD313" t="str">
        <f t="shared" si="643"/>
        <v/>
      </c>
      <c r="HE313" t="str">
        <f t="shared" si="644"/>
        <v/>
      </c>
      <c r="HF313" t="str">
        <f>IF(OR(HE313="",HE313="-"),"",IFERROR(VLOOKUP(HE313,Модули_спр,2,FALSE),"R"))</f>
        <v/>
      </c>
      <c r="HG313" t="str">
        <f>IF(HF313="","",HF313&amp;"."&amp;COUNTIFS(A$3:A313,A313,HF$3:HF313,HF313))</f>
        <v/>
      </c>
      <c r="HH313" t="str">
        <f t="shared" si="645"/>
        <v/>
      </c>
      <c r="HI313" t="str">
        <f t="shared" si="646"/>
        <v/>
      </c>
      <c r="HJ313" t="str">
        <f t="shared" si="647"/>
        <v/>
      </c>
      <c r="HK313" t="str">
        <f t="shared" si="648"/>
        <v/>
      </c>
      <c r="HL313">
        <f t="shared" si="649"/>
        <v>0</v>
      </c>
      <c r="HM313" t="str">
        <f>IF(HL313=1,"XT"&amp;COUNTIFS(A$3:A313,A313,HL$3:HL313,1),"")</f>
        <v/>
      </c>
      <c r="HN313" t="str">
        <f t="shared" si="650"/>
        <v/>
      </c>
      <c r="HO313" t="str">
        <f t="shared" si="651"/>
        <v/>
      </c>
      <c r="HP313" t="str">
        <f t="shared" si="652"/>
        <v/>
      </c>
      <c r="HQ313" t="str">
        <f t="shared" si="653"/>
        <v>ok</v>
      </c>
      <c r="HR313" t="str">
        <f>IF(OR(HJ313="",HH313=""),"",IF(HJ313+MAX(0,GY313-1)&gt;IFERROR(VLOOKUP(HI313,Модули_спр,3,FALSE),99),"ЛИШНИЙ КАНАЛ",IF(AND(AL313&lt;&gt;"=",GY313&gt;0,COUNTIFS(Линии[_модуль гр.],HH313,Линии[Канал (итог)],HJ313,Линии[Канал],"&lt;&gt;=",Линии[Щит],A313)&gt;1),"ДУБЛЬ КАНАЛА","")))</f>
        <v/>
      </c>
      <c r="HS313" s="6" t="str">
        <f t="shared" si="654"/>
        <v/>
      </c>
      <c r="HT313">
        <f t="shared" si="655"/>
        <v>10</v>
      </c>
      <c r="HU313" t="str">
        <f t="shared" si="656"/>
        <v/>
      </c>
      <c r="HV313">
        <f t="shared" si="657"/>
        <v>0</v>
      </c>
      <c r="HW313">
        <f t="shared" si="658"/>
        <v>0</v>
      </c>
      <c r="HX313">
        <f t="shared" si="659"/>
        <v>0</v>
      </c>
      <c r="HY313">
        <f t="shared" si="660"/>
        <v>0</v>
      </c>
      <c r="HZ313">
        <f t="shared" si="661"/>
        <v>0</v>
      </c>
      <c r="IA313">
        <f t="shared" si="662"/>
        <v>0</v>
      </c>
      <c r="IB313">
        <f t="shared" si="663"/>
        <v>0</v>
      </c>
      <c r="IC313" t="str">
        <f t="shared" si="664"/>
        <v/>
      </c>
      <c r="ID313" t="str" cm="1">
        <f t="array" ref="ID313">IF(IC313="","",_xlfn.LET(_xlpm.tk,_xlfn.TEXTSPLIT(SUBSTITUTE(SUBSTITUTE(IC313,";"," "),"→"," ")," ",,TRUE),_xlpm.w_,_xlfn._xlws.FILTER(_xlpm.tk,ISNUMBER(--LEFT(_xlpm.tk,1))*((ISNUMBER(SEARCH("W",_xlpm.tk))+ISNUMBER(SEARCH("Вт",_xlpm.tk)))&gt;0),""),IFERROR(--SUBSTITUTE(SUBSTITUTE(UPPER(INDEX(_xlpm.w_,1)),"W",""),"ВТ",""),"")))</f>
        <v/>
      </c>
      <c r="IE313" t="str" cm="1">
        <f t="array" ref="IE313">IF(IC313="","",_xlfn.LET(_xlpm.tk,_xlfn.TEXTSPLIT(SUBSTITUTE(SUBSTITUTE(IC313,";"," "),"→"," ")," ",,TRUE),_xlpm.v_,_xlfn._xlws.FILTER(_xlpm.tk,ISNUMBER(--LEFT(_xlpm.tk,1))*((ISNUMBER(SEARCH("V",_xlpm.tk))+(RIGHT(UPPER(_xlpm.tk))="В"))&gt;0),""),IFERROR(--SUBSTITUTE(SUBSTITUTE(UPPER(INDEX(_xlpm.v_,1)),"V",""),"В",""),"")))</f>
        <v/>
      </c>
      <c r="IF313" s="6" t="str">
        <f>IF(OR(BV313=0,HI313="",HJ313=""),"",IFERROR(N(_xlfn.XLOOKUP(HI313,Каталог!$C$4:$C$500,Каталог!$Q$4:$Q$500)),""))</f>
        <v/>
      </c>
      <c r="IG313" s="6" t="str">
        <f>IF(N(IF313)=0,"",SUMIFS(Линии[Iр, А],Линии[Щит],A313,Линии[_модуль гр.],HH313,Линии[Канал (итог)],HJ313))</f>
        <v/>
      </c>
      <c r="IH313" t="str">
        <f>IF(AND(B313="",HO313=""),"",_xlfn.TEXTJOIN("; ",TRUE,IF(AND(B313&lt;&gt;"",FV313=""),"нет фазы",""),IF(AND(B313&lt;&gt;"",N(GL313)=0,FG313&lt;&gt;"Нет"),"нет мощности",""),IF(AND(HN313&lt;&gt;"",COUNTIFS(Линии[Щит],A313,Линии[Клемма (итог)],HN313)&gt;1),"дубль клеммы "&amp;HN313,""),IF(AND(HQ313&lt;&gt;"",HQ313&lt;&gt;"ok"),HQ313,""),IF(HR313&lt;&gt;"",HR313,""),IF(AND(N(CB313)&gt;=4,N(BX313)=1),CB313&amp;" жил на 1 фазе",""),IF(AND(BC313="R",CG313=1,IF(CS313&lt;&gt;"",N(CV313)&gt;30,OR(N(DA313)=0,N(DA313)&gt;30))),"розетка без дифзащиты до 30 мА",""),IF(AND(CG313=1,N(DA313)&gt;0,ISNUMBER(T313)),IF(T313&gt;N(DA313)/3,"ток утечки "&amp;FIXED(T313,1)&amp;" мА &gt; 1/3 уставки ("&amp;DA313&amp;" мА)",""),""),IF(AND(CH313=1,CS313=""),"«узо»: нет строки с УЗО выше (УЗО 2P 40А 30мА в «Аппаратах»)",""),IF(AND(CS313&lt;&gt;"",CS313=BA313),IF(CT313="","впишите номинал УЗО (УЗО 2P 40А 30мА)",IF(N(CT313)&lt;N(DT313),"УЗО "&amp;CT313&amp;" А &lt; автомата "&amp;DT313&amp;" А перед ним",IF(N(CT313)&lt;N(CX313),"УЗО "&amp;CT313&amp;" А &lt; тока блока "&amp;FIXED(CX313,1)&amp;" А",""))),""),IF(AND(CS313&lt;&gt;"",CS313=BA313,ISNUMBER(CY313)),IF(CY313&gt;N(CV313)/3,"ток утечки блока УЗО "&amp;FIXED(CY313,1)&amp;" мА &gt; 1/3 уставки ("&amp;CV313&amp;" мА)",""),""),IF(AND(CG313=1,N(BV313)+N(IB313)&gt;0,IC313=""),"линии до 50 В без БП: впишите в «Аппараты» (БП 24V 480W)",""),IF(AND(CG313=1,ISNUMBER(ID313),ISNUMBER(U313)),IF(U313&gt;ID313,"БП "&amp;ID313&amp;" Вт &lt; нужно "&amp;U313&amp;" Вт (×"&amp;Запас_БП&amp;")",""),""),IF(AND(CG313=1,ISNUMBER(IE313),N(BV313)=1),IF(IE313&lt;&gt;N(BU313),"БП на "&amp;IE313&amp;" В, линия "&amp;BU313&amp;" В",""),""),IF(AND(N(IF313)&gt;0,N(IG313)&gt;N(IF313)),HH313&amp;" канал "&amp;HJ313&amp;": "&amp;FIXED(IG313,1)&amp;" А &gt; "&amp;IF313&amp;" А",""),IFERROR(IF(AND(ISNUMBER(Q313),Q313&gt;EL313),"потери "&amp;FIXED(Q313,1)&amp;" % &gt; "&amp;EL313&amp;" %",""),""),IFERROR(IF(LEFT(HU313,4)="мало","Iкз мало — отключение &gt; 0,4 с",""),""),IF(AND(B313&lt;&gt;"",BM313=""),"не на схеме",""),IF(AND(CG313=0,B313&lt;&gt;"",FV313&lt;&gt;"",IF(BA313=1,"",FW312)&lt;&gt;"",FV313&lt;&gt;IF(BA313=1,"",FW312)),"фаза не как у автомата группы ("&amp;IF(BA313=1,"",FW312)&amp;")","")))</f>
        <v/>
      </c>
      <c r="II313" s="6" t="str">
        <f>IF(OR(CG313=0,DQ313=""),"",_xlfn.LET(_xlpm.t,IFERROR(_xlfn.XLOOKUP(DQ313,Каталог!$U$4:$U$500,Каталог!$G$4:$G$500),""),_xlpm.k,SEARCH("кА",_xlpm.t),IFERROR(--TRIM(RIGHT(SUBSTITUTE(MID(_xlpm.t,MAX(1,_xlpm.k-4),_xlpm.k-MAX(1,_xlpm.k-4))," ",REPT(" ",9)),5)),"")))</f>
        <v/>
      </c>
      <c r="IJ313" t="str">
        <f>IF(OR(II313="",CG313=0),"",IF(_xlfn.XLOOKUP(A313,Щиты[Щит],Щиты[Iкз max на шинах, кА],"")="","",IF(II313&lt;_xlfn.XLOOKUP(A313,Щиты[Щит],Щиты[Iкз max на шинах, кА]),"Icu "&amp;II313&amp;" кА &lt; Iкз max","ok")))</f>
        <v/>
      </c>
      <c r="IK313" t="str">
        <f t="shared" si="665"/>
        <v/>
      </c>
      <c r="IL313" t="str">
        <f t="shared" si="666"/>
        <v/>
      </c>
      <c r="IM313" t="str">
        <f t="shared" si="667"/>
        <v/>
      </c>
      <c r="IN313" t="str" cm="1">
        <f t="array" ref="IN313">IF(IM313="","",_xlfn.LET(_xlpm.nd,_xlfn.TEXTSPLIT(IM313,"|"),IF(COLUMNS(_xlpm.nd)&gt;1,A313&amp;"¦"&amp;INDEX(_xlpm.nd,1)&amp;"¦"&amp;INDEX(_xlpm.nd,2),"")))</f>
        <v/>
      </c>
      <c r="IO313" t="str">
        <f t="shared" si="668"/>
        <v/>
      </c>
      <c r="IP313" t="str" cm="1">
        <f t="array" ref="IP313">IF(IM313="","",_xlfn.LET(_xlpm.nd,_xlfn.TEXTSPLIT(IM313,"|"),IF(COLUMNS(_xlpm.nd)&gt;2,A313&amp;"¦"&amp;INDEX(_xlpm.nd,2)&amp;"¦"&amp;INDEX(_xlpm.nd,3),"")))</f>
        <v/>
      </c>
      <c r="IQ313" t="str">
        <f t="shared" si="669"/>
        <v/>
      </c>
      <c r="IR313" t="str" cm="1">
        <f t="array" ref="IR313">IF(IM313="","",_xlfn.LET(_xlpm.nd,_xlfn.TEXTSPLIT(IM313,"|"),IF(COLUMNS(_xlpm.nd)&gt;3,A313&amp;"¦"&amp;INDEX(_xlpm.nd,3)&amp;"¦"&amp;INDEX(_xlpm.nd,4),"")))</f>
        <v/>
      </c>
      <c r="IS313" t="str">
        <f t="shared" si="670"/>
        <v/>
      </c>
      <c r="IT313" t="str" cm="1">
        <f t="array" ref="IT313">IF(IM313="","",_xlfn.LET(_xlpm.nd,_xlfn.TEXTSPLIT(IM313,"|"),IF(COLUMNS(_xlpm.nd)&gt;4,A313&amp;"¦"&amp;INDEX(_xlpm.nd,4)&amp;"¦"&amp;INDEX(_xlpm.nd,5),"")))</f>
        <v/>
      </c>
      <c r="IU313" t="str">
        <f t="shared" si="671"/>
        <v/>
      </c>
      <c r="IV313" t="str" cm="1">
        <f t="array" ref="IV313">IF(IM313="","",_xlfn.LET(_xlpm.nd,_xlfn.TEXTSPLIT(IM313,"|"),IF(COLUMNS(_xlpm.nd)&gt;5,A313&amp;"¦"&amp;INDEX(_xlpm.nd,5)&amp;"¦"&amp;INDEX(_xlpm.nd,6),"")))</f>
        <v/>
      </c>
      <c r="IW313" t="str">
        <f t="shared" si="672"/>
        <v/>
      </c>
      <c r="IX313" t="str" cm="1">
        <f t="array" ref="IX313">IF(IM313="","",_xlfn.LET(_xlpm.nd,_xlfn.TEXTSPLIT(IM313,"|"),IF(COLUMNS(_xlpm.nd)&gt;6,A313&amp;"¦"&amp;INDEX(_xlpm.nd,6)&amp;"¦"&amp;INDEX(_xlpm.nd,7),"")))</f>
        <v/>
      </c>
      <c r="IY313" t="str">
        <f t="shared" si="673"/>
        <v/>
      </c>
      <c r="IZ313" t="str">
        <f t="shared" si="674"/>
        <v/>
      </c>
      <c r="JA313" t="str">
        <f t="shared" si="675"/>
        <v/>
      </c>
      <c r="JB313">
        <f t="shared" si="676"/>
        <v>0</v>
      </c>
      <c r="JC313">
        <f t="shared" si="677"/>
        <v>0</v>
      </c>
      <c r="JD313" t="str">
        <f t="shared" si="678"/>
        <v/>
      </c>
      <c r="JE313" t="str">
        <f t="shared" si="679"/>
        <v/>
      </c>
      <c r="JF313" t="str">
        <f t="shared" si="680"/>
        <v/>
      </c>
      <c r="JG313" t="str">
        <f t="shared" si="681"/>
        <v/>
      </c>
      <c r="JH313">
        <f>IF(B313="","",IFERROR(_xlfn.XLOOKUP(B313,Коды_код,Коды_уго),IFERROR(_xlfn.XLOOKUP(BC313,Коды_код,Коды_уго),IFERROR(_xlfn.XLOOKUP(LEFT(BC313,2),Коды_код,Коды_уго),""))))</f>
        <v>0</v>
      </c>
      <c r="JI313" t="str">
        <f>IF(B313="","",IF(OR(JH313="",JH313=0),"BOX",IFERROR(IF(VLOOKUP(JH313,УГО_блоки,3,FALSE)&amp;""&lt;&gt;"",VLOOKUP(JH313,УГО_блоки,3,FALSE),VLOOKUP(JH313,УГО_блоки,2,FALSE)),JH313)))</f>
        <v>BOX</v>
      </c>
      <c r="JJ313">
        <f t="shared" si="682"/>
        <v>1</v>
      </c>
      <c r="JK313" t="str">
        <f>IF(DQ313="","",IF(COUNTIF(DQ$3:DQ313,DQ313)=1,MAX(JK$2:JK312)+1,""))</f>
        <v/>
      </c>
      <c r="JL313" t="str">
        <f>IF(DE313="","",IF(COUNTIF(DE$3:DE313,DE313)+COUNTIF(DF$2:DF312,DE313)+COUNTIF(DG$2:DG312,DE313)=1,MAX(JL$2:JN312)+1,""))</f>
        <v/>
      </c>
      <c r="JM313" t="str">
        <f>IF(DF313="","",IF(COUNTIF(DE$3:DE313,DF313)+COUNTIF(DF$3:DF313,DF313)+COUNTIF(DG$2:DG312,DF313)=1,MAX(JL$2:JN312,JL313)+1,""))</f>
        <v/>
      </c>
      <c r="JN313" t="str">
        <f>IF(DG313="","",IF(COUNTIF(DE$3:DE313,DG313)+COUNTIF(DF$3:DF313,DG313)+COUNTIF(DG$3:DG313,DG313)=1,MAX(JL$2:JN312,JL313,JM313)+1,""))</f>
        <v/>
      </c>
      <c r="JO313" t="str">
        <f t="shared" si="683"/>
        <v/>
      </c>
      <c r="JP313" t="str">
        <f>IF(JO313="","",IF(COUNTIF(JO$3:JO313,JO313)=1,MAX(JP$2:JP312)+1,""))</f>
        <v/>
      </c>
      <c r="JQ313" t="str">
        <f>IF(HG313="","",COUNTIF(HG$3:HG313,"?*"))</f>
        <v/>
      </c>
      <c r="JR313" t="str">
        <f>IF(OR(HG313="",HI313=""),"",IF(COUNTIFS(HG$3:HG313,"?*",HI$3:HI313,HI313)=1,MAX(JR$2:JR312)+1,""))</f>
        <v/>
      </c>
      <c r="JS313">
        <f t="shared" si="684"/>
        <v>0</v>
      </c>
      <c r="JT313">
        <f>IF(B313="","",COUNTIF(B$3:B313,"?*"))</f>
        <v>311</v>
      </c>
      <c r="JU313">
        <f>IF(HL313&lt;&gt;1,0,_xlfn.LET(_xlpm.k,MAX(IFERROR(--_xlfn.XLOOKUP(B313,Коды_код,Коды_3L),0),IFERROR(--_xlfn.XLOOKUP(BC313,Коды_код,Коды_3L),0),IFERROR(--_xlfn.XLOOKUP(LEFT(BC313,2),Коды_код,Коды_3L),0)),IF(_xlpm.k&gt;0,_xlpm.k,IF(IFERROR(--LEFT(SUBSTITUTE(JO313,"x","х"),FIND("х",SUBSTITUTE(JO313,"x","х"))-1),3)&gt;3,Каталог!$S$9,1))))</f>
        <v>0</v>
      </c>
      <c r="JV313">
        <f t="shared" si="685"/>
        <v>0</v>
      </c>
      <c r="JW313" t="str">
        <f t="shared" si="686"/>
        <v>авто</v>
      </c>
      <c r="JX313" t="str">
        <f t="shared" si="687"/>
        <v/>
      </c>
      <c r="JY313">
        <f t="shared" si="688"/>
        <v>0</v>
      </c>
      <c r="JZ313">
        <f t="shared" si="689"/>
        <v>1</v>
      </c>
    </row>
    <row r="314" spans="1:286" x14ac:dyDescent="0.3">
      <c r="A314" t="s">
        <v>761</v>
      </c>
      <c r="B314" t="s">
        <v>1618</v>
      </c>
      <c r="C314" t="s">
        <v>1727</v>
      </c>
      <c r="D314">
        <v>1</v>
      </c>
      <c r="E314">
        <v>12.45</v>
      </c>
      <c r="G314">
        <v>20</v>
      </c>
      <c r="H314" t="str">
        <f>Линии[[#This Row],[_авто управление]]</f>
        <v/>
      </c>
      <c r="I314" t="str">
        <f>Линии[[#This Row],[_авто аппараты]]</f>
        <v/>
      </c>
      <c r="J314">
        <v>4</v>
      </c>
      <c r="K314">
        <v>18</v>
      </c>
      <c r="L314" t="str">
        <f>Линии[[#This Row],[_авто фаза]]</f>
        <v>L1,L2,L3</v>
      </c>
      <c r="M314" t="str">
        <f>Линии[[#This Row],[_авто клемма]]</f>
        <v>XT1</v>
      </c>
      <c r="N314" t="str">
        <f t="shared" si="552"/>
        <v>ПЕРЕГРУЗ</v>
      </c>
      <c r="O314" s="6" cm="1">
        <f t="array" ref="O314">IF(B314="","",IF(BH314&lt;&gt;"",IFERROR(_xlfn.XLOOKUP(BH314,Щиты[Щит],Щиты[Iр, А]),""),IF(BP314=1,IF(OR(N(_xlfn.XLOOKUP(A314,Щиты[Щит],Щиты[Вводов],1))&lt;=1,LOWER(TRIM(_xlfn.XLOOKUP(A314,Щиты[Щит],Щиты[АВР],"")&amp;""))="да"),IFERROR(_xlfn.XLOOKUP(A314,Щиты[Щит],Щиты[Iр, А]),""),IFERROR(N(BS314)*_xlfn.XLOOKUP(A314,Щиты[Щит],Щиты[Кс итог])/(SQRT(3)*Uн_лин*_xlfn.XLOOKUP(A314,Щиты[Щит],Щиты[cos φ])),"")),IF(BV314=1,IFERROR(BS314*1000/BU314,""),IFERROR(_xlfn.IFS(BX314=1,BS314/((Uн_лин/SQRT(3))*CE314),BX314=3,BS314/(SQRT(3)*Uн_лин*CE314)),"")))))</f>
        <v>22.462533910658877</v>
      </c>
      <c r="P314" s="7">
        <f>IF(B314="","",IFERROR(IF(VLOOKUP(BC314,Потребители_обозначение,4,FALSE)=1,VLOOKUP(BC314,Потребители_обозначение,3,FALSE)*(MAX(1,N(D314))*2-1)+EI314+VLOOKUP(BE314,Этаж_обозначение,3,FALSE)+VLOOKUP(BE314,Этаж_обозначение,4,FALSE),VLOOKUP(BC314,Потребители_обозначение,3,FALSE)*(MAX(1,N(D314))*2-1)+EI314),EI314))</f>
        <v>21</v>
      </c>
      <c r="Q314" s="6">
        <f t="shared" si="553"/>
        <v>1.9</v>
      </c>
      <c r="R314" t="str">
        <f t="shared" si="554"/>
        <v>ВВГнг(А)-LS (5х4)</v>
      </c>
      <c r="S314" t="str">
        <f>IF(BM314="","",IF(BN314="вводной узел","узел ","")&amp;"л."&amp;(INT((BM314-1)/Столбцов_на_лист)+1)&amp;" / "&amp;(MOD(BM314-1,Столбцов_на_лист)+1))</f>
        <v>л.1 / 12</v>
      </c>
      <c r="T314" s="119">
        <f t="shared" si="555"/>
        <v>9.1999999999999993</v>
      </c>
      <c r="U314" s="7" t="str">
        <f>IF(OR(CG314=0,N(BV314)+N(IB314)=0),"",ROUNDUP(Запас_БП*(N(HY314)+N(HZ314)),0))</f>
        <v/>
      </c>
      <c r="V314" s="119" t="str">
        <f t="shared" si="556"/>
        <v/>
      </c>
      <c r="W314" s="7" t="str">
        <f>IFERROR(IF(OR(B314="",BP314=1,BV314=1,NOT(ISNUMBER(EN314)),N(DT314)=0),"",MAX(0,ROUNDDOWN((c_min*(Uн_лин*1000/SQRT(3))/(HT314*N(DT314))-_xlfn.XLOOKUP(A314,Щиты[Щит],Щиты[Zпетли на шинах, Ом]))*EN314/(2*ρкз_Cu),0))),"")</f>
        <v/>
      </c>
      <c r="Y314" t="str">
        <f>Линии[[#This Row],[_авто утечка]]</f>
        <v/>
      </c>
      <c r="Z314">
        <v>3</v>
      </c>
      <c r="AA314">
        <v>400</v>
      </c>
      <c r="AB314" t="s">
        <v>598</v>
      </c>
      <c r="AC314">
        <v>0.5</v>
      </c>
      <c r="AI314" t="s">
        <v>600</v>
      </c>
      <c r="AK314" t="str">
        <f>Линии[[#This Row],[_авто модуль]]</f>
        <v/>
      </c>
      <c r="AM314">
        <v>12</v>
      </c>
      <c r="AN314" t="s">
        <v>11</v>
      </c>
      <c r="AO314">
        <v>5</v>
      </c>
      <c r="AQ314">
        <v>3</v>
      </c>
      <c r="AR314">
        <v>15</v>
      </c>
      <c r="AT314">
        <v>1</v>
      </c>
      <c r="BA314" cm="1">
        <f t="array" ref="BA314">ROW()-ROW(Линии[#Headers])</f>
        <v>312</v>
      </c>
      <c r="BC314" s="6" t="str">
        <f t="shared" si="557"/>
        <v>Э</v>
      </c>
      <c r="BD314" t="str">
        <f t="shared" si="558"/>
        <v>1</v>
      </c>
      <c r="BE314" t="str">
        <f t="shared" si="559"/>
        <v>1</v>
      </c>
      <c r="BF314" t="str">
        <f t="shared" si="560"/>
        <v/>
      </c>
      <c r="BG314" t="str">
        <f t="shared" si="561"/>
        <v/>
      </c>
      <c r="BH314" t="str">
        <f>IF(X314&lt;&gt;"",X314,IF(AND(B314&lt;&gt;"",B314&lt;&gt;A314,ISNUMBER(_xlfn.XMATCH(B314,Щиты[Щит]))),B314,""))</f>
        <v/>
      </c>
      <c r="BI314" t="str" cm="1">
        <f t="array" ref="BI314">IF(B314="","",IF(BH314&lt;&gt;"","Щит "&amp;BH314,_xlfn.LET(_xlpm.nm,IFERROR(_xlfn.XLOOKUP(BC314,Коды_код,Коды_имя)&amp;"",""),_xlpm.md,IFERROR(N(_xlfn.XLOOKUP(BC314,Коды_код,Коды_режим)),1),_xlpm.ex,IF(Имя_режим="по экспликации",IFERROR(_xlfn.XLOOKUP(BE314&amp;"|"&amp;BG314,Экспликация[Этаж]&amp;"|"&amp;Экспликация[Помещение],Экспликация[Название])&amp;"",""),""),_xlpm.rm,IF(BG314="","",IF(_xlpm.ex&lt;&gt;"",". "&amp;_xlpm.ex&amp;IF(Имя_пом="нет"," ("&amp;BG314&amp;")"," (пом. "&amp;BG314&amp;")"),IF(Имя_пом="нет"," ",", пом. ")&amp;BG314)),IF(_xlpm.nm="","",IF(_xlpm.md=2,_xlpm.nm&amp;" шлейф "&amp;BE314,_xlpm.nm&amp;_xlpm.rm)))))</f>
        <v>Управляющий электрощит бассейна</v>
      </c>
      <c r="BJ314" t="str">
        <f t="shared" si="562"/>
        <v>Управляющий электрощит бассейна Подвальный этаж Пом. 002Тб</v>
      </c>
      <c r="BK314">
        <f>IFERROR(_xlfn.XMATCH(A314,Щиты[Щит]),0)</f>
        <v>12</v>
      </c>
      <c r="BL314">
        <f>_xlfn.LET(_xlpm.k,IFERROR(_xlfn.XLOOKUP(A314,Щиты[Щит],Щиты[Мест под вводной узел]),""),IF(_xlpm.k="",Столбцов_на_лист,N(_xlpm.k)))</f>
        <v>11</v>
      </c>
      <c r="BM314">
        <f t="shared" si="563"/>
        <v>12</v>
      </c>
      <c r="BN314" t="str">
        <f t="shared" si="564"/>
        <v>линии</v>
      </c>
      <c r="BO314" s="6">
        <f>IFERROR(N(_xlfn.XLOOKUP(BC314,Коды_код,Коды_квт)),0)</f>
        <v>0</v>
      </c>
      <c r="BP314">
        <f t="shared" si="565"/>
        <v>0</v>
      </c>
      <c r="BQ314" t="str">
        <f>IF(B314="","",IF(BH314&lt;&gt;"",IFERROR(_xlfn.XLOOKUP(BH314,Щиты[Щит],Щиты[Руст, кВт]),0),IF(BP314=1,IF(OR(N(_xlfn.XLOOKUP(A314,Щиты[Щит],Щиты[Вводов],1))&lt;=1,LOWER(TRIM(_xlfn.XLOOKUP(A314,Щиты[Щит],Щиты[АВР],"")&amp;""))="да"),IFERROR(_xlfn.XLOOKUP(A314,Щиты[Щит],Щиты[Руст, кВт]),0),SUMIFS(Линии[_Р для вводов],Линии[Щит],A314,Линии[Источник для режимов],GF314)),IF(BO314&gt;0,ROUND(BO314*MAX(1,N(D314)),3),""))))</f>
        <v/>
      </c>
      <c r="BR314">
        <f t="shared" si="566"/>
        <v>12.45</v>
      </c>
      <c r="BS314" s="6">
        <f>IF(B314="","",IF(BH314&lt;&gt;"",IFERROR(_xlfn.XLOOKUP(BH314,Щиты[Щит],Щиты[Руст, кВт]),0),N(BR314)))</f>
        <v>12.45</v>
      </c>
      <c r="BT314" t="str">
        <f>IF(B314="","",IFERROR(IF(VLOOKUP(BC314,Потребители_обозначение,8,FALSE)=0,"",VLOOKUP(BC314,Потребители_обозначение,8,FALSE)),""))</f>
        <v/>
      </c>
      <c r="BU314">
        <f t="shared" si="567"/>
        <v>400</v>
      </c>
      <c r="BV314">
        <f t="shared" si="568"/>
        <v>0</v>
      </c>
      <c r="BW314">
        <f>IF(B314="","",IF(BH314&lt;&gt;"",3,IFERROR(IF(N(VLOOKUP(BC314,Потребители_обозначение,9,FALSE))=0,1,VLOOKUP(BC314,Потребители_обозначение,9,FALSE)),1)))</f>
        <v>1</v>
      </c>
      <c r="BX314">
        <f t="shared" si="569"/>
        <v>3</v>
      </c>
      <c r="BY314" t="str">
        <f>IF(B314="","",_xlfn.LET(_xlpm.bc,IFERROR(IF(VLOOKUP(BC314,Потребители_обозначение,6,FALSE)=0,"",VLOOKUP(BC314,Потребители_обозначение,6,FALSE)&amp;""),""),IF(AND(GA314="да",OR(_xlpm.bc="",_xlpm.bc="мс")),Марка_пож,IF(AND(_xlpm.bc="",BH314&lt;&gt;""),"мс",_xlpm.bc))))</f>
        <v/>
      </c>
      <c r="BZ314" t="str">
        <f t="shared" si="570"/>
        <v>мс</v>
      </c>
      <c r="CA314">
        <f>IF(B314="","",_xlfn.LET(_xlpm.cc,IFERROR(N(VLOOKUP(BC314,Потребители_обозначение,7,FALSE)),0),IF(_xlpm.cc&gt;0,_xlpm.cc,IF(BZ314="","",IF(BV314=1,2,IF(N(BX314)=3,5,3))))))</f>
        <v>5</v>
      </c>
      <c r="CB314">
        <f t="shared" si="571"/>
        <v>5</v>
      </c>
      <c r="CC314">
        <f>IFERROR(N(VLOOKUP(BC314,Потребители_обозначение,10,FALSE)),0)</f>
        <v>0</v>
      </c>
      <c r="CD314">
        <f>IFERROR(VLOOKUP(BC314,Потребители_обозначение,5,FALSE),0)</f>
        <v>1</v>
      </c>
      <c r="CE314" s="6" cm="1">
        <f t="array" ref="CE314">IF(B314="","",IF(BH314&lt;&gt;"",IFERROR(_xlfn.XLOOKUP(BH314,Щиты[Щит],Щиты[cos φ]),0.95),IF(BP314=1,IFERROR(_xlfn.XLOOKUP(A314,Щиты[Щит],Щиты[cos φ]),0.95),IF(ISNUMBER(AD314),AD314,IFERROR(IF(CD314=2,_xlfn.IFS(BX314=3,VLOOKUP(BS314,Справочная_двигатели,8,FALSE),BX314=1,VLOOKUP(BS314,Справочная_двигатели,10,TRUE)),IF(AND(Методика="нормы 2026",FG314="Сил"),0.8,0.95)),0.95)))))</f>
        <v>0.8</v>
      </c>
      <c r="CF314">
        <f t="shared" si="572"/>
        <v>0</v>
      </c>
      <c r="CG314">
        <f t="shared" si="573"/>
        <v>1</v>
      </c>
      <c r="CH314">
        <f t="shared" si="574"/>
        <v>0</v>
      </c>
      <c r="CI314">
        <f>IF(B314="","",IF(BV314=1,IFERROR(BS314/((Uн_лин/SQRT(3))*MAX(0.5,N(CE314))),0),N(O314)))</f>
        <v>22.462533910658877</v>
      </c>
      <c r="CJ314">
        <f t="shared" si="575"/>
        <v>0</v>
      </c>
      <c r="CK314">
        <f t="shared" si="576"/>
        <v>0</v>
      </c>
      <c r="CL314">
        <f t="shared" si="577"/>
        <v>0</v>
      </c>
      <c r="CM314">
        <f t="shared" si="578"/>
        <v>0</v>
      </c>
      <c r="CN314">
        <f t="shared" si="579"/>
        <v>0</v>
      </c>
      <c r="CO314">
        <f>IF(BC314="",0,_xlfn.LET(_xlpm.v,IFERROR(_xlfn.XLOOKUP(B314,Коды_код,Коды_мА),IFERROR(_xlfn.XLOOKUP(BC314,Коды_код,Коды_мА),IFERROR(_xlfn.XLOOKUP(LEFT(BC314,2),Коды_код,Коды_мА),""))),IF(_xlpm.v="да",30,IF(ISNUMBER(_xlpm.v),_xlpm.v,0))))</f>
        <v>0</v>
      </c>
      <c r="CP314" t="str">
        <f t="shared" si="580"/>
        <v/>
      </c>
      <c r="CQ314" t="str">
        <f>_xlfn.LET(_xlpm.k,IFERROR(_xlfn.XLOOKUP(BC314,Коды_код,Коды_утечка)&amp;"",""),IF(_xlpm.k="","дифавтомат",_xlpm.k))</f>
        <v>дифавтомат</v>
      </c>
      <c r="CR314" t="str" cm="1">
        <f t="array" ref="CR314">IF(CG314=0,"",_xlfn.LET(_xlpm.sg,TRIM(_xlfn.TEXTSPLIT(DD314&amp;"",";")),_xlpm.f_,_xlfn._xlws.FILTER(_xlpm.sg,LEFT(_xlpm.sg,3)="УЗО",""),IFERROR(INDEX(_xlpm.f_,1)&amp;"","")))</f>
        <v/>
      </c>
      <c r="CS314" t="str">
        <f t="shared" si="581"/>
        <v/>
      </c>
      <c r="CT314" s="6" t="str" cm="1">
        <f t="array" ref="CT314">IF(CR314="","",_xlfn.LET(_xlpm.tk,_xlfn.TEXTSPLIT(UPPER(CR314)," ",,TRUE),_xlpm.a_,_xlfn._xlws.FILTER(_xlpm.tk,ISNUMBER(--LEFT(_xlpm.tk,1))*((ISNUMBER(SEARCH("А",_xlpm.tk))+ISNUMBER(SEARCH("A",_xlpm.tk)))&gt;0)*NOT(ISNUMBER(SEARCH("МА",_xlpm.tk)))*NOT(ISNUMBER(SEARCH("MA",_xlpm.tk))),""),IFERROR(--SUBSTITUTE(SUBSTITUTE(INDEX(_xlpm.a_,1),"А",""),"A",""),"")))</f>
        <v/>
      </c>
      <c r="CU314" t="str" cm="1">
        <f t="array" ref="CU314">IF(CR314="","",_xlfn.LET(_xlpm.tk,_xlfn.TEXTSPLIT(UPPER(CR314)," ",,TRUE),_xlpm.a_,_xlfn._xlws.FILTER(_xlpm.tk,ISNUMBER(--LEFT(_xlpm.tk,1))*((ISNUMBER(SEARCH("МА",_xlpm.tk))+ISNUMBER(SEARCH("MA",_xlpm.tk)))&gt;0),""),IFERROR(--SUBSTITUTE(SUBSTITUTE(INDEX(_xlpm.a_,1),"МА",""),"MA",""),30)))</f>
        <v/>
      </c>
      <c r="CV314" t="str">
        <f>IF(CS314="","",IFERROR(_xlfn.XLOOKUP(CS314,Линии[_n],Линии[_УЗО, мА]),30))</f>
        <v/>
      </c>
      <c r="CW314">
        <f>IF(CS314="",0,IF(ISNUMBER(SEARCH("4P",IFERROR(_xlfn.XLOOKUP(CS314,Линии[_n],Линии[_УЗО строки])&amp;"",""))),0,1))</f>
        <v>0</v>
      </c>
      <c r="CX314" t="str">
        <f>IF(AND(CS314&lt;&gt;"",CS314=BA314),SUMIFS(Линии[_ток на 230 В],Линии[_блок УЗО],BA314,Линии[Щит],A314),"")</f>
        <v/>
      </c>
      <c r="CY314" t="str">
        <f>IF(AND(CS314&lt;&gt;"",CS314=BA314),SUMIFS(Линии[_ток утечки линии, мА],Линии[_блок УЗО],BA314,Линии[Щит],A314),"")</f>
        <v/>
      </c>
      <c r="CZ314">
        <f t="shared" si="582"/>
        <v>0</v>
      </c>
      <c r="DA314">
        <f t="shared" si="583"/>
        <v>0</v>
      </c>
      <c r="DB314">
        <f>IF(B314="",0,IFERROR(--_xlfn.XLOOKUP(B314,Коды_код,Коды_минавт),IFERROR(--_xlfn.XLOOKUP(BC314,Коды_код,Коды_минавт),IFERROR(--_xlfn.XLOOKUP(LEFT(BC314,2),Коды_код,Коды_минавт),0))))</f>
        <v>0</v>
      </c>
      <c r="DC314" t="str">
        <f>IF(B314="","",IFERROR(_xlfn.XLOOKUP(BC314,Коды_код,Коды_апп)&amp;"",""))</f>
        <v/>
      </c>
      <c r="DD314" t="str">
        <f t="shared" si="584"/>
        <v/>
      </c>
      <c r="DE314" t="str" cm="1">
        <f t="array" ref="DE314">IF(TRIM(DD314&amp;"")="","",IFERROR(TRIM(INDEX(_xlfn.TEXTSPLIT(DD314&amp;";;;",";"),1)),""))</f>
        <v/>
      </c>
      <c r="DF314" t="str" cm="1">
        <f t="array" ref="DF314">IF(TRIM(DD314&amp;"")="","",IFERROR(TRIM(INDEX(_xlfn.TEXTSPLIT(DD314&amp;";;;",";"),2)),""))</f>
        <v/>
      </c>
      <c r="DG314" t="str" cm="1">
        <f t="array" ref="DG314">IF(TRIM(DD314&amp;"")="","",IFERROR(TRIM(INDEX(_xlfn.TEXTSPLIT(DD314&amp;";;;",";"),3)),""))</f>
        <v/>
      </c>
      <c r="DH314">
        <f t="shared" si="585"/>
        <v>0</v>
      </c>
      <c r="DI314" t="str">
        <f>IF(B314="","",_xlfn.LET(_xlpm.t,LOWER(AZ314&amp;""),IF(ISNUMBER(SEARCH("dim",_xlpm.t)),"DIM",IF(ISNUMBER(SEARCH("dali",_xlpm.t)),"DALI",IF(OR(ISNUMBER(SEARCH("relay",_xlpm.t)),ISNUMBER(SEARCH("реле",_xlpm.t))),"Relay",IF(ISNUMBER(SEARCH("кнопк",_xlpm.t)),"",IFERROR(_xlfn.XLOOKUP(BC314,Коды_код,Коды_упр)&amp;"","")))))))</f>
        <v/>
      </c>
      <c r="DJ314" t="str">
        <f t="shared" si="586"/>
        <v/>
      </c>
      <c r="DK314">
        <f>IF(B314="","",_xlfn.LET(_xlpm.ig,IF(N(CX314)&gt;0,N(CX314),N(CI314)+IF(AJ314="вручную",0,N(CJ314))),_xlpm.n0,IFERROR(VLOOKUP(_xlpm.ig,Автомат_номиналы,2,TRUE),0),_xlpm.mn,MAX(DB314,IF(AJ314="вручную",0,N(CM314))),MAX(_xlpm.n0,_xlpm.mn,IF(DH314=1,Мин_автомат_БП,0))))</f>
        <v>25</v>
      </c>
      <c r="DL314">
        <f t="shared" si="587"/>
        <v>3</v>
      </c>
      <c r="DM314" t="str">
        <f t="shared" si="588"/>
        <v>3P</v>
      </c>
      <c r="DN314" t="str">
        <f>_xlfn.LET(_xlpm.cc,UPPER(TRIM(IFERROR(_xlfn.XLOOKUP(BC314,Коды_код,Коды_хар)&amp;"",""))),IF(OR(_xlpm.cc="B",_xlpm.cc="В"),"B",IF(_xlpm.cc="D","D","С")))</f>
        <v>С</v>
      </c>
      <c r="DO314" t="str">
        <f t="shared" si="589"/>
        <v>3P С25А</v>
      </c>
      <c r="DP314">
        <f t="shared" si="590"/>
        <v>20</v>
      </c>
      <c r="DQ314" t="str">
        <f t="shared" si="591"/>
        <v>3P С20А</v>
      </c>
      <c r="DR314" cm="1">
        <f t="array" ref="DR314">IF(DQ314="","",_xlfn.LET(_xlpm.t,SUBSTITUTE(SUBSTITUTE(SUBSTITUTE(UPPER(DQ314),"С","C"),"А","A"),"В","B"),_xlpm.tk,_xlfn.TEXTSPLIT(_xlpm.t," "),_xlpm.f,_xlfn._xlws.FILTER(_xlpm.tk,ISNUMBER(--MID(_xlpm.tk,2,1))*ISNUMBER(SEARCH(LEFT(_xlpm.tk,1)&amp;"#","B#C#D#"))*(LEN(_xlpm.tk)&gt;1),""),_xlpm.x,INDEX(_xlpm.f,1),IFERROR(--SUBSTITUTE(MID(_xlpm.x,2,9),"A",""),IFERROR(--SUBSTITUTE(INDEX(_xlfn._xlws.FILTER(_xlpm.tk,ISNUMBER(--SUBSTITUTE(_xlpm.tk,"A","")),""),1),"A",""),""))))</f>
        <v>20</v>
      </c>
      <c r="DS314" t="str">
        <f t="shared" si="592"/>
        <v>ok</v>
      </c>
      <c r="DT314">
        <f t="shared" si="593"/>
        <v>20</v>
      </c>
      <c r="DU314" t="str">
        <f t="shared" si="594"/>
        <v>3P С20А</v>
      </c>
      <c r="DV314">
        <f t="shared" si="595"/>
        <v>0</v>
      </c>
      <c r="DW314">
        <f t="shared" si="596"/>
        <v>0</v>
      </c>
      <c r="DX314">
        <f t="shared" si="597"/>
        <v>0</v>
      </c>
      <c r="DY314">
        <f t="shared" si="598"/>
        <v>22.462533910658877</v>
      </c>
      <c r="DZ314">
        <f t="shared" si="599"/>
        <v>0.92</v>
      </c>
      <c r="EA314">
        <f>IF(ISNUMBER(AP314),AP314,К_прокл)</f>
        <v>1</v>
      </c>
      <c r="EB314">
        <f t="shared" si="600"/>
        <v>3</v>
      </c>
      <c r="EC314">
        <f>IFERROR(N(VLOOKUP(BZ314,Кабель_обозначение,3,FALSE)),1)</f>
        <v>1</v>
      </c>
      <c r="ED314">
        <f>IFERROR(N(_xlfn.XLOOKUP(A314,Щиты[Щит],Щиты[ΔU до шин, %])),0)</f>
        <v>0.96</v>
      </c>
      <c r="EE314" t="str">
        <f>IFERROR(_xlfn.XLOOKUP(A314,Щиты[Щит],Щиты[Zпетли на шинах, Ом]),"")</f>
        <v/>
      </c>
      <c r="EF314">
        <f>IFERROR(N(_xlfn.XLOOKUP(A314,Щиты[Щит],Щиты[ΔU до шин (подбор), %])),0)</f>
        <v>0.96</v>
      </c>
      <c r="EG314" t="str">
        <f>IFERROR(_xlfn.XLOOKUP(A314,Щиты[Щит],Щиты[Zпетли на шинах (подбор), Ом]),"")</f>
        <v/>
      </c>
      <c r="EH314" t="str">
        <f t="shared" si="601"/>
        <v/>
      </c>
      <c r="EI314">
        <f t="shared" si="602"/>
        <v>18</v>
      </c>
      <c r="EJ314">
        <f t="shared" si="603"/>
        <v>1</v>
      </c>
      <c r="EK314">
        <f t="shared" si="604"/>
        <v>0.6</v>
      </c>
      <c r="EL314" s="6">
        <f>IF(B314="","",IF(BV314=1,dU_LED,IF(IFERROR(_xlfn.XLOOKUP(BC314,Коды_код,Коды_уго),"")="Светильник",3,4)+IF(Методика="нормы 2026",MIN(0.5,MAX(0,N(P314)-100)*0.005),0)))</f>
        <v>4</v>
      </c>
      <c r="EM314" cm="1">
        <f t="array" ref="EM314">IF(OR(B314="",BZ314="",EC314&lt;&gt;1),"",_xlfn.LET(_xlpm.sz,Iдоп_S,_xlpm.t_,CHOOSE(EB314,Iдоп_1ж,Iдоп_2ж,Iдоп_3ж)*DZ314*EA314,_xlpm.dcx,BV314=1,_xlpm.inn,IF(_xlpm.dcx,N(O314),N(DT314)),_xlpm.smin,MAX(1.5,CC314),_xlpm.L_,N(P314)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314)/N(BU314)*100,999),IFERROR(N(EJ314)*(_xlpm.rho*_xlpm.L_/_xlpm.sz*N(CE314)+_xlpm.xx*_xlpm.L_*N(EK314)/1000)*N(O314)/((Uн_лин/SQRT(3))*1000)*100,999)),_xlpm.kz,IF(OR(_xlpm.dcx,DW314=1,NOT(ISNUMBER(EG314)),_xlpm.L_=0,_xlpm.inn=0),1,IFERROR(--(c_min*(Uн_лин*1000/SQRT(3))/(EG314+2*ρкз_Cu*_xlpm.L_/_xlpm.sz)&gt;=HT314*_xlpm.inn),0)),_xlpm.ok,IFERROR((_xlpm.sz&gt;=_xlpm.smin)*(_xlpm.t_&gt;=_xlpm.inn)*IF(_xlpm.L_&gt;0,(_xlpm.du_+IF(_xlpm.dcx,0,EF314)&lt;=EL314+0.00001),1)*_xlpm.kz,0),_xlpm.r_,_xlfn._xlws.FILTER(_xlpm.sz,_xlpm.ok,"не подобрано"),INDEX(_xlpm.r_,1)))</f>
        <v>2.5</v>
      </c>
      <c r="EN314">
        <f t="shared" si="605"/>
        <v>4</v>
      </c>
      <c r="EO314" cm="1">
        <f t="array" ref="EO314">IF(OR(B314="",BZ314="",EC314&lt;&gt;1),"",_xlfn.LET(_xlpm.sz,Iдоп_S,_xlpm.t_,CHOOSE(EB314,Iдоп_1ж,Iдоп_2ж,Iдоп_3ж)*DZ314*EA314,_xlpm.ok,IFERROR((_xlpm.sz&gt;=MAX(1.5,CC314))*(_xlpm.t_&gt;=N(DT314)),0),_xlpm.r_,_xlfn._xlws.FILTER(_xlpm.sz,_xlpm.ok,""),INDEX(_xlpm.r_,1)))</f>
        <v>2.5</v>
      </c>
      <c r="EP314" s="6" cm="1">
        <f t="array" ref="EP314">IFERROR(ROUNDUP(N(EJ314)*(_xlfn.XLOOKUP(EO314,INDEX(Кабель_сопротивление,0,1),INDEX(Кабель_сопротивление,0,3))*N(P314)/EO314*N(CE314)+_xlfn.XLOOKUP(EO314,INDEX(Кабель_сопротивление,0,1),INDEX(Кабель_сопротивление,0,2))*N(P314)*N(EK314)/1000)*N(O314)/((Uн_лин/SQRT(3))*1000)*100,2),"")</f>
        <v>1.49</v>
      </c>
      <c r="EQ314">
        <f>IFERROR(2*ρкз_Cu*N(P314)/EO314,"")</f>
        <v>0.44184000000000001</v>
      </c>
      <c r="ER314">
        <f>IFERROR(VLOOKUP(EN314,Кабель_сопротивление,3,FALSE),"")</f>
        <v>2.2499999999999999E-2</v>
      </c>
      <c r="ES314">
        <f>IFERROR(VLOOKUP(EN314,Кабель_сопротивление,2,FALSE),"")</f>
        <v>9.5000000000000001E-2</v>
      </c>
      <c r="ET314">
        <f t="shared" si="606"/>
        <v>15</v>
      </c>
      <c r="EU314">
        <f t="shared" si="607"/>
        <v>0</v>
      </c>
      <c r="EV314">
        <f t="shared" si="608"/>
        <v>2.1495971076483227</v>
      </c>
      <c r="EW314" s="6">
        <f>IFERROR(ROUNDUP(EV314/IF(BV314=1,BU314,(Uн_лин/SQRT(3))*1000)*100,2),"")</f>
        <v>0.94000000000000006</v>
      </c>
      <c r="EX314" t="str">
        <f>IFERROR(VLOOKUP(BZ314,Кабель_обозначение,2,FALSE),"")</f>
        <v>ВВГнг(А)-LS</v>
      </c>
      <c r="EY314" t="str">
        <f t="shared" si="609"/>
        <v>ВВГнг(А)-LS (5х4)</v>
      </c>
      <c r="EZ314" t="str">
        <f t="shared" si="610"/>
        <v>ВВГнг(А)-LS (5х4)
L=21-0,94%</v>
      </c>
      <c r="FA314">
        <f>IFERROR(2*ρкз_Cu*P314/EN314,"")</f>
        <v>0.27615000000000001</v>
      </c>
      <c r="FB314">
        <f t="shared" si="611"/>
        <v>9.1875000000000012E-2</v>
      </c>
      <c r="FC314" s="6" t="str">
        <f>IFERROR(IF(OR(B314="",BV314=1,NOT(ISNUMBER(EN314)),N(P314)=0),"",_xlfn.XLOOKUP(A314,Щиты[Щит],Щиты[Zпетли на шинах, Ом])+FA314),"")</f>
        <v/>
      </c>
      <c r="FD314" s="6" t="str">
        <f>IF(ISNUMBER(FC314),c_min*(Uн_лин*1000/SQRT(3))/FC314,"")</f>
        <v/>
      </c>
      <c r="FE314" s="6" t="str">
        <f>IFERROR(IF(OR(B314="",NOT(ISNUMBER(EN314))),"",1.05*(Uн_лин*1000/SQRT(3))/(_xlfn.XLOOKUP(A314,Щиты[Щит],Щиты[Zmax на шинах, Ом])+FB314)/1000),"")</f>
        <v/>
      </c>
      <c r="FF314" s="6" t="str">
        <f>IF(B314="","",IF(ISNUMBER(AC314),"Сил",IF(IFERROR(_xlfn.XLOOKUP(BC314,Коды_код,Коды_группа)&amp;"","")="","Быт",_xlfn.XLOOKUP(BC314,Коды_код,Коды_группа)&amp;"")))</f>
        <v>Сил</v>
      </c>
      <c r="FG314" s="6" t="str">
        <f t="shared" si="612"/>
        <v>Сил</v>
      </c>
      <c r="FH314" s="6">
        <f>IF(FG314="Щит","щит",IF(FG314="","",IF(FG314="Быт",IFERROR(_xlfn.XLOOKUP(A314,Щиты[Щит],Щиты[Кс быт]),1),IF(FG314="Сил",IF(ISNUMBER(AC314),AC314,IF(Методика="нормы 2026",IFERROR(_xlfn.XLOOKUP(A314,Щиты[Щит],Щиты[Кс силовых (табл. 7.5)]),1),1)),IF(OR(FG314="Пост",FG314="Отоп"),1,IF(FG314="ВНГ",0.7,0))))))</f>
        <v>0.5</v>
      </c>
      <c r="FI314">
        <f>IF(FG314="","",IF(AND(BP314=1,TRIM(AE314&amp;"")=""),IF(COUNTIFS(Линии[Щит],A314,Линии[Секция (1/2/3)],"&gt;=2")&gt;0,MIN(3,MAX(1,IFERROR(--BD314,1))),1),IFERROR(MIN(3,MAX(1,INT(--AE314))),1)))</f>
        <v>1</v>
      </c>
      <c r="FJ314">
        <f t="shared" si="613"/>
        <v>12.45</v>
      </c>
      <c r="FK314">
        <f t="shared" si="614"/>
        <v>0</v>
      </c>
      <c r="FL314">
        <f t="shared" si="615"/>
        <v>6.2249999999999996</v>
      </c>
      <c r="FM314">
        <f t="shared" si="616"/>
        <v>0</v>
      </c>
      <c r="FN314">
        <f t="shared" si="617"/>
        <v>0</v>
      </c>
      <c r="FO314">
        <f t="shared" si="618"/>
        <v>0</v>
      </c>
      <c r="FP314">
        <f t="shared" si="619"/>
        <v>12.45</v>
      </c>
      <c r="FQ314">
        <f t="shared" si="620"/>
        <v>12.45</v>
      </c>
      <c r="FR314">
        <f t="shared" si="621"/>
        <v>9.9600000000000009</v>
      </c>
      <c r="FS314">
        <f>IF(CG314=1,IF(AND(CH314=1,CW314=1),0,IF(AND(CS314&lt;&gt;"",CS314=BA314,CW314=1),SUMIFS(Линии[_Р линии, кВт],Линии[_блок УЗО],BA314,Линии[Щит],A314),N(BS314)+IF(AJ314="вручную",0,N(CK314)))),0)</f>
        <v>12.45</v>
      </c>
      <c r="FT314" t="str">
        <f t="shared" si="622"/>
        <v/>
      </c>
      <c r="FU314" t="str">
        <f>IF(B314="","",IF(CG314=0,IF(BA314=1,"",FW313),IF(AND(CH314=1,CW314=1,CS314&lt;&gt;""),IFERROR(_xlfn.XLOOKUP(CS314,Линии[_n],Линии[_фаза итог]),"L1"),IF(OR(N(DL314)&gt;=3,N(BX314)&gt;=3),"L1,L2,L3",IFERROR(_xlfn.TEXTBEFORE(_xlfn.TEXTAFTER(_xlfn.XLOOKUP(A314,Щиты[Щит],Щиты[_фазы авто]),";"&amp;BA314&amp;":"),";"),"L1")))))</f>
        <v>L1,L2,L3</v>
      </c>
      <c r="FV314" t="str">
        <f t="shared" si="623"/>
        <v>L1,L2,L3</v>
      </c>
      <c r="FW314" t="str">
        <f t="shared" si="624"/>
        <v>L1,L2,L3</v>
      </c>
      <c r="FX314" cm="1">
        <f t="array" ref="FX314">IFERROR(IF(CD314=2,_xlfn.IFS(BX314=3,VLOOKUP(BS314,Справочная_двигатели,3,FALSE),BX314=1,VLOOKUP(BS314,Справочная_двигатели,5,TRUE)),0),0)</f>
        <v>0</v>
      </c>
      <c r="FY314">
        <f>IFERROR(IF(CD314=3,VLOOKUP(BS314,Справочная_ЛЭД,2,TRUE),0),0)</f>
        <v>0</v>
      </c>
      <c r="FZ314" s="6">
        <f t="shared" si="625"/>
        <v>0</v>
      </c>
      <c r="GA314" t="str">
        <f>IF(B314="","",IF(TRIM(AH314&amp;"")&lt;&gt;"",IF(LOWER(TRIM(AH314&amp;""))="да","да","нет"),IF(IFERROR(_xlfn.XLOOKUP(BC314,Коды_код,Коды_пожарная),"")="да","да","нет")))</f>
        <v>нет</v>
      </c>
      <c r="GB314" t="str">
        <f t="shared" si="626"/>
        <v/>
      </c>
      <c r="GC314" t="str">
        <f t="shared" si="627"/>
        <v>основная</v>
      </c>
      <c r="GD314">
        <f>IF(AND(BP314=1,TRIM(AE314&amp;"")=""),IF(COUNTIFS(Линии[Щит],A314,Линии[Секция (1/2/3)],"&gt;=2")&gt;0,MIN(3,MAX(1,IFERROR(--BD314,1))),1),IFERROR(MIN(3,MAX(1,INT(--AE314))),1))</f>
        <v>1</v>
      </c>
      <c r="GE314" t="str" cm="1">
        <f t="array" ref="GE314">IF(B314="","",_xlfn.LET(_xlpm.t,IFERROR(_xlfn.XLOOKUP(1,(Шины[Шина]=GC314)*(((Шины[Щит]=A314)+(Шины[Щит]=""))&gt;0),Шины[Тип]),"")&amp;"",IF(_xlpm.t&lt;&gt;"",_xlpm.t,IF(ISNUMBER(SEARCH("ИБП",GC314)),"ИБП",IF(ISNUMBER(SEARCH("ДГУ",GC314)),"ДГУ","Ввод "&amp;GD314)))))</f>
        <v>Ввод 1</v>
      </c>
      <c r="GF314" t="str">
        <f t="shared" si="628"/>
        <v>Ввод 1</v>
      </c>
      <c r="GG314" t="str">
        <f>IF(BP314=0,"",IF(TRIM(AG314&amp;"")&lt;&gt;"",TRIM(AG314&amp;""),IF(OR(GE314="ИБП",GE314="ДГУ"),"I особая",_xlfn.XLOOKUP(A314,Щиты[Щит],Щиты[Категория шины «Ввод»],"III"))))</f>
        <v/>
      </c>
      <c r="GH314" t="str">
        <f>IF(A314="","",_xlfn.XLOOKUP(A314,Щиты[Щит],Щиты[Путь],""))</f>
        <v>|ГРЩ-ЖД|ЩС-Б|</v>
      </c>
      <c r="GI314" t="str">
        <f>IF(B314="","",IF(AI314&lt;&gt;"",AI314,IF(IFERROR(_xlfn.XLOOKUP(BC314,Коды_код,Коды_вид)&amp;"","")="","Прочее",_xlfn.XLOOKUP(BC314,Коды_код,Коды_вид)&amp;"")))</f>
        <v>Бассейн, SPA, хаммам</v>
      </c>
      <c r="GJ314">
        <f>IF(BM314="","",INT((BM314-1)/Столбцов_на_лист)+1)</f>
        <v>1</v>
      </c>
      <c r="GK314" t="str">
        <f t="shared" si="629"/>
        <v>ВВГнг(А)-LS (5х4) L=21-0,94%</v>
      </c>
      <c r="GL314">
        <f t="shared" si="630"/>
        <v>12.45</v>
      </c>
      <c r="GM314">
        <f t="shared" si="631"/>
        <v>22.470000000000002</v>
      </c>
      <c r="GN314">
        <f t="shared" si="632"/>
        <v>3</v>
      </c>
      <c r="GO314">
        <f t="shared" si="633"/>
        <v>0</v>
      </c>
      <c r="GP314">
        <f t="shared" si="634"/>
        <v>1</v>
      </c>
      <c r="GQ314">
        <f>IF(BM314="","",IF(AND(CG314=1,GP314=1),COUNTIFS(A$3:A314,A314,CG$3:CG314,1,GP$3:GP314,1),IF(OR(OR(BA314=1,A314&lt;&gt;A313),AJ314="вручную",GP314=0),"",IF(BA314=1,"",GR313))))</f>
        <v>1</v>
      </c>
      <c r="GR314">
        <f t="shared" si="635"/>
        <v>1</v>
      </c>
      <c r="GS314">
        <f>IF(B314="","",IFERROR(LOOKUP(INDEX(CHOOSE(EB314,Iдоп_1ж,Iдоп_2ж,Iдоп_3ж),MATCH(EN314,Iдоп_S,0))*DZ314*EA314,{6,10,16,20,25,32,40,50,63,80,100,125,160,200,250,315,400,500,630}),""))</f>
        <v>32</v>
      </c>
      <c r="GT314" t="str">
        <f t="shared" si="636"/>
        <v>QF1</v>
      </c>
      <c r="GU314" t="str">
        <f t="shared" si="637"/>
        <v>QF1</v>
      </c>
      <c r="GV314" t="str">
        <f t="shared" si="638"/>
        <v/>
      </c>
      <c r="GW314">
        <f t="shared" si="639"/>
        <v>0</v>
      </c>
      <c r="GX314" t="str">
        <f>IF(OR(B314="",DJ314=""),"",IFERROR(_xlfn.XLOOKUP(DJ314,Модули_умолч[Управление],Модули_умолч[Модель])&amp;"",""))</f>
        <v/>
      </c>
      <c r="GY314">
        <f>IF(DJ314="",1,IFERROR(MAX(0,N(_xlfn.XLOOKUP(DJ314,Модули_умолч[Управление],Модули_умолч[Каналов на линию]))),1))</f>
        <v>1</v>
      </c>
      <c r="GZ314" t="str">
        <f t="shared" si="640"/>
        <v/>
      </c>
      <c r="HA314" t="str">
        <f t="shared" si="641"/>
        <v/>
      </c>
      <c r="HB314" t="str">
        <f t="shared" si="642"/>
        <v/>
      </c>
      <c r="HC314">
        <f>IF(HB314="",0,IFERROR(N(VLOOKUP(HB314,Модули_спр,3,FALSE)),0))</f>
        <v>0</v>
      </c>
      <c r="HD314" t="str">
        <f t="shared" si="643"/>
        <v/>
      </c>
      <c r="HE314" t="str">
        <f t="shared" si="644"/>
        <v/>
      </c>
      <c r="HF314" t="str">
        <f>IF(OR(HE314="",HE314="-"),"",IFERROR(VLOOKUP(HE314,Модули_спр,2,FALSE),"R"))</f>
        <v/>
      </c>
      <c r="HG314" t="str">
        <f>IF(HF314="","",HF314&amp;"."&amp;COUNTIFS(A$3:A314,A314,HF$3:HF314,HF314))</f>
        <v/>
      </c>
      <c r="HH314" t="str">
        <f t="shared" si="645"/>
        <v/>
      </c>
      <c r="HI314" t="str">
        <f t="shared" si="646"/>
        <v/>
      </c>
      <c r="HJ314" t="str">
        <f t="shared" si="647"/>
        <v/>
      </c>
      <c r="HK314" t="str">
        <f t="shared" si="648"/>
        <v/>
      </c>
      <c r="HL314">
        <f t="shared" si="649"/>
        <v>1</v>
      </c>
      <c r="HM314" t="str">
        <f>IF(HL314=1,"XT"&amp;COUNTIFS(A$3:A314,A314,HL$3:HL314,1),"")</f>
        <v>XT1</v>
      </c>
      <c r="HN314" t="str">
        <f t="shared" si="650"/>
        <v>XT1</v>
      </c>
      <c r="HO314" t="str">
        <f t="shared" si="651"/>
        <v>QF1</v>
      </c>
      <c r="HP314" t="str">
        <f t="shared" si="652"/>
        <v/>
      </c>
      <c r="HQ314" t="str">
        <f t="shared" si="653"/>
        <v>ПЕРЕГРУЗ</v>
      </c>
      <c r="HR314" t="str">
        <f>IF(OR(HJ314="",HH314=""),"",IF(HJ314+MAX(0,GY314-1)&gt;IFERROR(VLOOKUP(HI314,Модули_спр,3,FALSE),99),"ЛИШНИЙ КАНАЛ",IF(AND(AL314&lt;&gt;"=",GY314&gt;0,COUNTIFS(Линии[_модуль гр.],HH314,Линии[Канал (итог)],HJ314,Линии[Канал],"&lt;&gt;=",Линии[Щит],A314)&gt;1),"ДУБЛЬ КАНАЛА","")))</f>
        <v/>
      </c>
      <c r="HS314" s="6" t="str">
        <f t="shared" si="654"/>
        <v/>
      </c>
      <c r="HT314">
        <f t="shared" si="655"/>
        <v>10</v>
      </c>
      <c r="HU314" t="str">
        <f t="shared" si="656"/>
        <v/>
      </c>
      <c r="HV314">
        <f t="shared" si="657"/>
        <v>9.1950135642635527</v>
      </c>
      <c r="HW314">
        <f t="shared" si="658"/>
        <v>0</v>
      </c>
      <c r="HX314">
        <f t="shared" si="659"/>
        <v>0</v>
      </c>
      <c r="HY314">
        <f t="shared" si="660"/>
        <v>0</v>
      </c>
      <c r="HZ314">
        <f t="shared" si="661"/>
        <v>0</v>
      </c>
      <c r="IA314">
        <f t="shared" si="662"/>
        <v>0</v>
      </c>
      <c r="IB314">
        <f t="shared" si="663"/>
        <v>0</v>
      </c>
      <c r="IC314" t="str">
        <f t="shared" si="664"/>
        <v/>
      </c>
      <c r="ID314" t="str" cm="1">
        <f t="array" ref="ID314">IF(IC314="","",_xlfn.LET(_xlpm.tk,_xlfn.TEXTSPLIT(SUBSTITUTE(SUBSTITUTE(IC314,";"," "),"→"," ")," ",,TRUE),_xlpm.w_,_xlfn._xlws.FILTER(_xlpm.tk,ISNUMBER(--LEFT(_xlpm.tk,1))*((ISNUMBER(SEARCH("W",_xlpm.tk))+ISNUMBER(SEARCH("Вт",_xlpm.tk)))&gt;0),""),IFERROR(--SUBSTITUTE(SUBSTITUTE(UPPER(INDEX(_xlpm.w_,1)),"W",""),"ВТ",""),"")))</f>
        <v/>
      </c>
      <c r="IE314" t="str" cm="1">
        <f t="array" ref="IE314">IF(IC314="","",_xlfn.LET(_xlpm.tk,_xlfn.TEXTSPLIT(SUBSTITUTE(SUBSTITUTE(IC314,";"," "),"→"," ")," ",,TRUE),_xlpm.v_,_xlfn._xlws.FILTER(_xlpm.tk,ISNUMBER(--LEFT(_xlpm.tk,1))*((ISNUMBER(SEARCH("V",_xlpm.tk))+(RIGHT(UPPER(_xlpm.tk))="В"))&gt;0),""),IFERROR(--SUBSTITUTE(SUBSTITUTE(UPPER(INDEX(_xlpm.v_,1)),"V",""),"В",""),"")))</f>
        <v/>
      </c>
      <c r="IF314" s="6" t="str">
        <f>IF(OR(BV314=0,HI314="",HJ314=""),"",IFERROR(N(_xlfn.XLOOKUP(HI314,Каталог!$C$4:$C$500,Каталог!$Q$4:$Q$500)),""))</f>
        <v/>
      </c>
      <c r="IG314" s="6" t="str">
        <f>IF(N(IF314)=0,"",SUMIFS(Линии[Iр, А],Линии[Щит],A314,Линии[_модуль гр.],HH314,Линии[Канал (итог)],HJ314))</f>
        <v/>
      </c>
      <c r="IH314" t="str">
        <f>IF(AND(B314="",HO314=""),"",_xlfn.TEXTJOIN("; ",TRUE,IF(AND(B314&lt;&gt;"",FV314=""),"нет фазы",""),IF(AND(B314&lt;&gt;"",N(GL314)=0,FG314&lt;&gt;"Нет"),"нет мощности",""),IF(AND(HN314&lt;&gt;"",COUNTIFS(Линии[Щит],A314,Линии[Клемма (итог)],HN314)&gt;1),"дубль клеммы "&amp;HN314,""),IF(AND(HQ314&lt;&gt;"",HQ314&lt;&gt;"ok"),HQ314,""),IF(HR314&lt;&gt;"",HR314,""),IF(AND(N(CB314)&gt;=4,N(BX314)=1),CB314&amp;" жил на 1 фазе",""),IF(AND(BC314="R",CG314=1,IF(CS314&lt;&gt;"",N(CV314)&gt;30,OR(N(DA314)=0,N(DA314)&gt;30))),"розетка без дифзащиты до 30 мА",""),IF(AND(CG314=1,N(DA314)&gt;0,ISNUMBER(T314)),IF(T314&gt;N(DA314)/3,"ток утечки "&amp;FIXED(T314,1)&amp;" мА &gt; 1/3 уставки ("&amp;DA314&amp;" мА)",""),""),IF(AND(CH314=1,CS314=""),"«узо»: нет строки с УЗО выше (УЗО 2P 40А 30мА в «Аппаратах»)",""),IF(AND(CS314&lt;&gt;"",CS314=BA314),IF(CT314="","впишите номинал УЗО (УЗО 2P 40А 30мА)",IF(N(CT314)&lt;N(DT314),"УЗО "&amp;CT314&amp;" А &lt; автомата "&amp;DT314&amp;" А перед ним",IF(N(CT314)&lt;N(CX314),"УЗО "&amp;CT314&amp;" А &lt; тока блока "&amp;FIXED(CX314,1)&amp;" А",""))),""),IF(AND(CS314&lt;&gt;"",CS314=BA314,ISNUMBER(CY314)),IF(CY314&gt;N(CV314)/3,"ток утечки блока УЗО "&amp;FIXED(CY314,1)&amp;" мА &gt; 1/3 уставки ("&amp;CV314&amp;" мА)",""),""),IF(AND(CG314=1,N(BV314)+N(IB314)&gt;0,IC314=""),"линии до 50 В без БП: впишите в «Аппараты» (БП 24V 480W)",""),IF(AND(CG314=1,ISNUMBER(ID314),ISNUMBER(U314)),IF(U314&gt;ID314,"БП "&amp;ID314&amp;" Вт &lt; нужно "&amp;U314&amp;" Вт (×"&amp;Запас_БП&amp;")",""),""),IF(AND(CG314=1,ISNUMBER(IE314),N(BV314)=1),IF(IE314&lt;&gt;N(BU314),"БП на "&amp;IE314&amp;" В, линия "&amp;BU314&amp;" В",""),""),IF(AND(N(IF314)&gt;0,N(IG314)&gt;N(IF314)),HH314&amp;" канал "&amp;HJ314&amp;": "&amp;FIXED(IG314,1)&amp;" А &gt; "&amp;IF314&amp;" А",""),IFERROR(IF(AND(ISNUMBER(Q314),Q314&gt;EL314),"потери "&amp;FIXED(Q314,1)&amp;" % &gt; "&amp;EL314&amp;" %",""),""),IFERROR(IF(LEFT(HU314,4)="мало","Iкз мало — отключение &gt; 0,4 с",""),""),IF(AND(B314&lt;&gt;"",BM314=""),"не на схеме",""),IF(AND(CG314=0,B314&lt;&gt;"",FV314&lt;&gt;"",IF(BA314=1,"",FW313)&lt;&gt;"",FV314&lt;&gt;IF(BA314=1,"",FW313)),"фаза не как у автомата группы ("&amp;IF(BA314=1,"",FW313)&amp;")","")))</f>
        <v>ПЕРЕГРУЗ</v>
      </c>
      <c r="II314" s="6">
        <f>IF(OR(CG314=0,DQ314=""),"",_xlfn.LET(_xlpm.t,IFERROR(_xlfn.XLOOKUP(DQ314,Каталог!$U$4:$U$500,Каталог!$G$4:$G$500),""),_xlpm.k,SEARCH("кА",_xlpm.t),IFERROR(--TRIM(RIGHT(SUBSTITUTE(MID(_xlpm.t,MAX(1,_xlpm.k-4),_xlpm.k-MAX(1,_xlpm.k-4))," ",REPT(" ",9)),5)),"")))</f>
        <v>6</v>
      </c>
      <c r="IJ314" t="str">
        <f>IF(OR(II314="",CG314=0),"",IF(_xlfn.XLOOKUP(A314,Щиты[Щит],Щиты[Iкз max на шинах, кА],"")="","",IF(II314&lt;_xlfn.XLOOKUP(A314,Щиты[Щит],Щиты[Iкз max на шинах, кА]),"Icu "&amp;II314&amp;" кА &lt; Iкз max","ok")))</f>
        <v/>
      </c>
      <c r="IK314" t="str">
        <f t="shared" si="665"/>
        <v/>
      </c>
      <c r="IL314" t="str">
        <f t="shared" si="666"/>
        <v>QF1|XT1</v>
      </c>
      <c r="IM314" t="str">
        <f t="shared" si="667"/>
        <v>QF1|XT1|кабель ВВГнг(А)-LS (5х4) → Управляющий электрощит бассейна Подвальный этаж Пом. 002Тб</v>
      </c>
      <c r="IN314" t="str" cm="1">
        <f t="array" ref="IN314">IF(IM314="","",_xlfn.LET(_xlpm.nd,_xlfn.TEXTSPLIT(IM314,"|"),IF(COLUMNS(_xlpm.nd)&gt;1,A314&amp;"¦"&amp;INDEX(_xlpm.nd,1)&amp;"¦"&amp;INDEX(_xlpm.nd,2),"")))</f>
        <v>ЩС-Б¦QF1¦XT1</v>
      </c>
      <c r="IO314" t="str">
        <f t="shared" si="668"/>
        <v>Э.1¦Управляющий электрощит бассейна Подвальный этаж Пом. 002Тб</v>
      </c>
      <c r="IP314" t="str" cm="1">
        <f t="array" ref="IP314">IF(IM314="","",_xlfn.LET(_xlpm.nd,_xlfn.TEXTSPLIT(IM314,"|"),IF(COLUMNS(_xlpm.nd)&gt;2,A314&amp;"¦"&amp;INDEX(_xlpm.nd,2)&amp;"¦"&amp;INDEX(_xlpm.nd,3),"")))</f>
        <v>ЩС-Б¦XT1¦кабель ВВГнг(А)-LS (5х4) → Управляющий электрощит бассейна Подвальный этаж Пом. 002Тб</v>
      </c>
      <c r="IQ314" t="str">
        <f t="shared" si="669"/>
        <v>Э.1¦Управляющий электрощит бассейна Подвальный этаж Пом. 002Тб</v>
      </c>
      <c r="IR314" t="str" cm="1">
        <f t="array" ref="IR314">IF(IM314="","",_xlfn.LET(_xlpm.nd,_xlfn.TEXTSPLIT(IM314,"|"),IF(COLUMNS(_xlpm.nd)&gt;3,A314&amp;"¦"&amp;INDEX(_xlpm.nd,3)&amp;"¦"&amp;INDEX(_xlpm.nd,4),"")))</f>
        <v/>
      </c>
      <c r="IS314" t="str">
        <f t="shared" si="670"/>
        <v/>
      </c>
      <c r="IT314" t="str" cm="1">
        <f t="array" ref="IT314">IF(IM314="","",_xlfn.LET(_xlpm.nd,_xlfn.TEXTSPLIT(IM314,"|"),IF(COLUMNS(_xlpm.nd)&gt;4,A314&amp;"¦"&amp;INDEX(_xlpm.nd,4)&amp;"¦"&amp;INDEX(_xlpm.nd,5),"")))</f>
        <v/>
      </c>
      <c r="IU314" t="str">
        <f t="shared" si="671"/>
        <v/>
      </c>
      <c r="IV314" t="str" cm="1">
        <f t="array" ref="IV314">IF(IM314="","",_xlfn.LET(_xlpm.nd,_xlfn.TEXTSPLIT(IM314,"|"),IF(COLUMNS(_xlpm.nd)&gt;5,A314&amp;"¦"&amp;INDEX(_xlpm.nd,5)&amp;"¦"&amp;INDEX(_xlpm.nd,6),"")))</f>
        <v/>
      </c>
      <c r="IW314" t="str">
        <f t="shared" si="672"/>
        <v/>
      </c>
      <c r="IX314" t="str" cm="1">
        <f t="array" ref="IX314">IF(IM314="","",_xlfn.LET(_xlpm.nd,_xlfn.TEXTSPLIT(IM314,"|"),IF(COLUMNS(_xlpm.nd)&gt;6,A314&amp;"¦"&amp;INDEX(_xlpm.nd,6)&amp;"¦"&amp;INDEX(_xlpm.nd,7),"")))</f>
        <v/>
      </c>
      <c r="IY314" t="str">
        <f t="shared" si="673"/>
        <v/>
      </c>
      <c r="IZ314" t="str">
        <f t="shared" si="674"/>
        <v/>
      </c>
      <c r="JA314" t="str">
        <f t="shared" si="675"/>
        <v>QF1 → XT1</v>
      </c>
      <c r="JB314">
        <f t="shared" si="676"/>
        <v>0</v>
      </c>
      <c r="JC314">
        <f t="shared" si="677"/>
        <v>0</v>
      </c>
      <c r="JD314" t="str">
        <f t="shared" si="678"/>
        <v/>
      </c>
      <c r="JE314" t="str">
        <f t="shared" si="679"/>
        <v/>
      </c>
      <c r="JF314" t="str">
        <f t="shared" si="680"/>
        <v/>
      </c>
      <c r="JG314" t="str">
        <f t="shared" si="681"/>
        <v/>
      </c>
      <c r="JH314">
        <f>IF(B314="","",IFERROR(_xlfn.XLOOKUP(B314,Коды_код,Коды_уго),IFERROR(_xlfn.XLOOKUP(BC314,Коды_код,Коды_уго),IFERROR(_xlfn.XLOOKUP(LEFT(BC314,2),Коды_код,Коды_уго),""))))</f>
        <v>0</v>
      </c>
      <c r="JI314" t="str">
        <f>IF(B314="","",IF(OR(JH314="",JH314=0),"BOX",IFERROR(IF(VLOOKUP(JH314,УГО_блоки,3,FALSE)&amp;""&lt;&gt;"",VLOOKUP(JH314,УГО_блоки,3,FALSE),VLOOKUP(JH314,УГО_блоки,2,FALSE)),JH314)))</f>
        <v>BOX</v>
      </c>
      <c r="JJ314">
        <f t="shared" si="682"/>
        <v>1</v>
      </c>
      <c r="JK314" t="str">
        <f>IF(DQ314="","",IF(COUNTIF(DQ$3:DQ314,DQ314)=1,MAX(JK$2:JK313)+1,""))</f>
        <v/>
      </c>
      <c r="JL314" t="str">
        <f>IF(DE314="","",IF(COUNTIF(DE$3:DE314,DE314)+COUNTIF(DF$2:DF313,DE314)+COUNTIF(DG$2:DG313,DE314)=1,MAX(JL$2:JN313)+1,""))</f>
        <v/>
      </c>
      <c r="JM314" t="str">
        <f>IF(DF314="","",IF(COUNTIF(DE$3:DE314,DF314)+COUNTIF(DF$3:DF314,DF314)+COUNTIF(DG$2:DG313,DF314)=1,MAX(JL$2:JN313,JL314)+1,""))</f>
        <v/>
      </c>
      <c r="JN314" t="str">
        <f>IF(DG314="","",IF(COUNTIF(DE$3:DE314,DG314)+COUNTIF(DF$3:DF314,DG314)+COUNTIF(DG$3:DG314,DG314)=1,MAX(JL$2:JN313,JL314,JM314)+1,""))</f>
        <v/>
      </c>
      <c r="JO314" t="str">
        <f t="shared" si="683"/>
        <v>5х4</v>
      </c>
      <c r="JP314" t="str">
        <f>IF(JO314="","",IF(COUNTIF(JO$3:JO314,JO314)=1,MAX(JP$2:JP313)+1,""))</f>
        <v/>
      </c>
      <c r="JQ314" t="str">
        <f>IF(HG314="","",COUNTIF(HG$3:HG314,"?*"))</f>
        <v/>
      </c>
      <c r="JR314" t="str">
        <f>IF(OR(HG314="",HI314=""),"",IF(COUNTIFS(HG$3:HG314,"?*",HI$3:HI314,HI314)=1,MAX(JR$2:JR313)+1,""))</f>
        <v/>
      </c>
      <c r="JS314">
        <f t="shared" si="684"/>
        <v>2</v>
      </c>
      <c r="JT314">
        <f>IF(B314="","",COUNTIF(B$3:B314,"?*"))</f>
        <v>312</v>
      </c>
      <c r="JU314">
        <f>IF(HL314&lt;&gt;1,0,_xlfn.LET(_xlpm.k,MAX(IFERROR(--_xlfn.XLOOKUP(B314,Коды_код,Коды_3L),0),IFERROR(--_xlfn.XLOOKUP(BC314,Коды_код,Коды_3L),0),IFERROR(--_xlfn.XLOOKUP(LEFT(BC314,2),Коды_код,Коды_3L),0)),IF(_xlpm.k&gt;0,_xlpm.k,IF(IFERROR(--LEFT(SUBSTITUTE(JO314,"x","х"),FIND("х",SUBSTITUTE(JO314,"x","х"))-1),3)&gt;3,Каталог!$S$9,1))))</f>
        <v>1</v>
      </c>
      <c r="JV314">
        <f t="shared" si="685"/>
        <v>2</v>
      </c>
      <c r="JW314" t="str">
        <f t="shared" si="686"/>
        <v>авто</v>
      </c>
      <c r="JX314" t="str">
        <f t="shared" si="687"/>
        <v/>
      </c>
      <c r="JY314">
        <f t="shared" si="688"/>
        <v>0</v>
      </c>
      <c r="JZ314">
        <f t="shared" si="689"/>
        <v>1</v>
      </c>
    </row>
    <row r="315" spans="1:286" x14ac:dyDescent="0.3">
      <c r="A315" t="s">
        <v>761</v>
      </c>
      <c r="B315" t="s">
        <v>1619</v>
      </c>
      <c r="C315" t="s">
        <v>1728</v>
      </c>
      <c r="D315">
        <v>1</v>
      </c>
      <c r="E315">
        <v>4.6500000000000004</v>
      </c>
      <c r="G315">
        <v>16</v>
      </c>
      <c r="H315" t="str">
        <f>Линии[[#This Row],[_авто управление]]</f>
        <v/>
      </c>
      <c r="I315" t="str">
        <f>Линии[[#This Row],[_авто аппараты]]</f>
        <v/>
      </c>
      <c r="J315">
        <v>2.5</v>
      </c>
      <c r="K315">
        <v>37</v>
      </c>
      <c r="L315" t="str">
        <f>Линии[[#This Row],[_авто фаза]]</f>
        <v>L1,L2,L3</v>
      </c>
      <c r="M315" t="str">
        <f>Линии[[#This Row],[_авто клемма]]</f>
        <v>XT2</v>
      </c>
      <c r="N315" t="str">
        <f t="shared" si="552"/>
        <v/>
      </c>
      <c r="O315" s="6" cm="1">
        <f t="array" ref="O315">IF(B315="","",IF(BH315&lt;&gt;"",IFERROR(_xlfn.XLOOKUP(BH315,Щиты[Щит],Щиты[Iр, А]),""),IF(BP315=1,IF(OR(N(_xlfn.XLOOKUP(A315,Щиты[Щит],Щиты[Вводов],1))&lt;=1,LOWER(TRIM(_xlfn.XLOOKUP(A315,Щиты[Щит],Щиты[АВР],"")&amp;""))="да"),IFERROR(_xlfn.XLOOKUP(A315,Щиты[Щит],Щиты[Iр, А]),""),IFERROR(N(BS315)*_xlfn.XLOOKUP(A315,Щиты[Щит],Щиты[Кс итог])/(SQRT(3)*Uн_лин*_xlfn.XLOOKUP(A315,Щиты[Щит],Щиты[cos φ])),"")),IF(BV315=1,IFERROR(BS315*1000/BU315,""),IFERROR(_xlfn.IFS(BX315=1,BS315/((Uн_лин/SQRT(3))*CE315),BX315=3,BS315/(SQRT(3)*Uн_лин*CE315)),"")))))</f>
        <v>8.3896210991617508</v>
      </c>
      <c r="P315" s="7">
        <f>IF(B315="","",IFERROR(IF(VLOOKUP(BC315,Потребители_обозначение,4,FALSE)=1,VLOOKUP(BC315,Потребители_обозначение,3,FALSE)*(MAX(1,N(D315))*2-1)+EI315+VLOOKUP(BE315,Этаж_обозначение,3,FALSE)+VLOOKUP(BE315,Этаж_обозначение,4,FALSE),VLOOKUP(BC315,Потребители_обозначение,3,FALSE)*(MAX(1,N(D315))*2-1)+EI315),EI315))</f>
        <v>40</v>
      </c>
      <c r="Q315" s="6">
        <f t="shared" si="553"/>
        <v>2.02</v>
      </c>
      <c r="R315" t="str">
        <f t="shared" si="554"/>
        <v>ВВГнг(А)-LS (5х2,5)</v>
      </c>
      <c r="S315" t="str">
        <f>IF(BM315="","",IF(BN315="вводной узел","узел ","")&amp;"л."&amp;(INT((BM315-1)/Столбцов_на_лист)+1)&amp;" / "&amp;(MOD(BM315-1,Столбцов_на_лист)+1))</f>
        <v>л.1 / 13</v>
      </c>
      <c r="T315" s="119">
        <f t="shared" si="555"/>
        <v>3.8</v>
      </c>
      <c r="U315" s="7" t="str">
        <f>IF(OR(CG315=0,N(BV315)+N(IB315)=0),"",ROUNDUP(Запас_БП*(N(HY315)+N(HZ315)),0))</f>
        <v/>
      </c>
      <c r="V315" s="119" t="str">
        <f t="shared" si="556"/>
        <v/>
      </c>
      <c r="W315" s="7" t="str">
        <f>IFERROR(IF(OR(B315="",BP315=1,BV315=1,NOT(ISNUMBER(EN315)),N(DT315)=0),"",MAX(0,ROUNDDOWN((c_min*(Uн_лин*1000/SQRT(3))/(HT315*N(DT315))-_xlfn.XLOOKUP(A315,Щиты[Щит],Щиты[Zпетли на шинах, Ом]))*EN315/(2*ρкз_Cu),0))),"")</f>
        <v/>
      </c>
      <c r="Y315" t="str">
        <f>Линии[[#This Row],[_авто утечка]]</f>
        <v/>
      </c>
      <c r="Z315">
        <v>3</v>
      </c>
      <c r="AA315">
        <v>400</v>
      </c>
      <c r="AB315" t="s">
        <v>598</v>
      </c>
      <c r="AC315">
        <v>0.5</v>
      </c>
      <c r="AI315" t="s">
        <v>600</v>
      </c>
      <c r="AK315" t="str">
        <f>Линии[[#This Row],[_авто модуль]]</f>
        <v/>
      </c>
      <c r="AM315">
        <v>13</v>
      </c>
      <c r="AN315" t="s">
        <v>11</v>
      </c>
      <c r="AO315">
        <v>5</v>
      </c>
      <c r="AQ315">
        <v>25</v>
      </c>
      <c r="AR315">
        <v>12</v>
      </c>
      <c r="AT315">
        <v>1</v>
      </c>
      <c r="BA315" cm="1">
        <f t="array" ref="BA315">ROW()-ROW(Линии[#Headers])</f>
        <v>313</v>
      </c>
      <c r="BC315" s="6" t="str">
        <f t="shared" si="557"/>
        <v>Э</v>
      </c>
      <c r="BD315" t="str">
        <f t="shared" si="558"/>
        <v>2</v>
      </c>
      <c r="BE315" t="str">
        <f t="shared" si="559"/>
        <v>2</v>
      </c>
      <c r="BF315" t="str">
        <f t="shared" si="560"/>
        <v/>
      </c>
      <c r="BG315" t="str">
        <f t="shared" si="561"/>
        <v/>
      </c>
      <c r="BH315" t="str">
        <f>IF(X315&lt;&gt;"",X315,IF(AND(B315&lt;&gt;"",B315&lt;&gt;A315,ISNUMBER(_xlfn.XMATCH(B315,Щиты[Щит]))),B315,""))</f>
        <v/>
      </c>
      <c r="BI315" t="str" cm="1">
        <f t="array" ref="BI315">IF(B315="","",IF(BH315&lt;&gt;"","Щит "&amp;BH315,_xlfn.LET(_xlpm.nm,IFERROR(_xlfn.XLOOKUP(BC315,Коды_код,Коды_имя)&amp;"",""),_xlpm.md,IFERROR(N(_xlfn.XLOOKUP(BC315,Коды_код,Коды_режим)),1),_xlpm.ex,IF(Имя_режим="по экспликации",IFERROR(_xlfn.XLOOKUP(BE315&amp;"|"&amp;BG315,Экспликация[Этаж]&amp;"|"&amp;Экспликация[Помещение],Экспликация[Название])&amp;"",""),""),_xlpm.rm,IF(BG315="","",IF(_xlpm.ex&lt;&gt;"",". "&amp;_xlpm.ex&amp;IF(Имя_пом="нет"," ("&amp;BG315&amp;")"," (пом. "&amp;BG315&amp;")"),IF(Имя_пом="нет"," ",", пом. ")&amp;BG315)),IF(_xlpm.nm="","",IF(_xlpm.md=2,_xlpm.nm&amp;" шлейф "&amp;BE315,_xlpm.nm&amp;_xlpm.rm)))))</f>
        <v>Управляющий электрощит бассейна</v>
      </c>
      <c r="BJ315" t="str">
        <f t="shared" si="562"/>
        <v>Горячая купель Подвальный этаж Пом. 002Тб</v>
      </c>
      <c r="BK315">
        <f>IFERROR(_xlfn.XMATCH(A315,Щиты[Щит]),0)</f>
        <v>12</v>
      </c>
      <c r="BL315">
        <f>_xlfn.LET(_xlpm.k,IFERROR(_xlfn.XLOOKUP(A315,Щиты[Щит],Щиты[Мест под вводной узел]),""),IF(_xlpm.k="",Столбцов_на_лист,N(_xlpm.k)))</f>
        <v>11</v>
      </c>
      <c r="BM315">
        <f t="shared" si="563"/>
        <v>13</v>
      </c>
      <c r="BN315" t="str">
        <f t="shared" si="564"/>
        <v>линии</v>
      </c>
      <c r="BO315" s="6">
        <f>IFERROR(N(_xlfn.XLOOKUP(BC315,Коды_код,Коды_квт)),0)</f>
        <v>0</v>
      </c>
      <c r="BP315">
        <f t="shared" si="565"/>
        <v>0</v>
      </c>
      <c r="BQ315" t="str">
        <f>IF(B315="","",IF(BH315&lt;&gt;"",IFERROR(_xlfn.XLOOKUP(BH315,Щиты[Щит],Щиты[Руст, кВт]),0),IF(BP315=1,IF(OR(N(_xlfn.XLOOKUP(A315,Щиты[Щит],Щиты[Вводов],1))&lt;=1,LOWER(TRIM(_xlfn.XLOOKUP(A315,Щиты[Щит],Щиты[АВР],"")&amp;""))="да"),IFERROR(_xlfn.XLOOKUP(A315,Щиты[Щит],Щиты[Руст, кВт]),0),SUMIFS(Линии[_Р для вводов],Линии[Щит],A315,Линии[Источник для режимов],GF315)),IF(BO315&gt;0,ROUND(BO315*MAX(1,N(D315)),3),""))))</f>
        <v/>
      </c>
      <c r="BR315">
        <f t="shared" si="566"/>
        <v>4.6500000000000004</v>
      </c>
      <c r="BS315" s="6">
        <f>IF(B315="","",IF(BH315&lt;&gt;"",IFERROR(_xlfn.XLOOKUP(BH315,Щиты[Щит],Щиты[Руст, кВт]),0),N(BR315)))</f>
        <v>4.6500000000000004</v>
      </c>
      <c r="BT315" t="str">
        <f>IF(B315="","",IFERROR(IF(VLOOKUP(BC315,Потребители_обозначение,8,FALSE)=0,"",VLOOKUP(BC315,Потребители_обозначение,8,FALSE)),""))</f>
        <v/>
      </c>
      <c r="BU315">
        <f t="shared" si="567"/>
        <v>400</v>
      </c>
      <c r="BV315">
        <f t="shared" si="568"/>
        <v>0</v>
      </c>
      <c r="BW315">
        <f>IF(B315="","",IF(BH315&lt;&gt;"",3,IFERROR(IF(N(VLOOKUP(BC315,Потребители_обозначение,9,FALSE))=0,1,VLOOKUP(BC315,Потребители_обозначение,9,FALSE)),1)))</f>
        <v>1</v>
      </c>
      <c r="BX315">
        <f t="shared" si="569"/>
        <v>3</v>
      </c>
      <c r="BY315" t="str">
        <f>IF(B315="","",_xlfn.LET(_xlpm.bc,IFERROR(IF(VLOOKUP(BC315,Потребители_обозначение,6,FALSE)=0,"",VLOOKUP(BC315,Потребители_обозначение,6,FALSE)&amp;""),""),IF(AND(GA315="да",OR(_xlpm.bc="",_xlpm.bc="мс")),Марка_пож,IF(AND(_xlpm.bc="",BH315&lt;&gt;""),"мс",_xlpm.bc))))</f>
        <v/>
      </c>
      <c r="BZ315" t="str">
        <f t="shared" si="570"/>
        <v>мс</v>
      </c>
      <c r="CA315">
        <f>IF(B315="","",_xlfn.LET(_xlpm.cc,IFERROR(N(VLOOKUP(BC315,Потребители_обозначение,7,FALSE)),0),IF(_xlpm.cc&gt;0,_xlpm.cc,IF(BZ315="","",IF(BV315=1,2,IF(N(BX315)=3,5,3))))))</f>
        <v>5</v>
      </c>
      <c r="CB315">
        <f t="shared" si="571"/>
        <v>5</v>
      </c>
      <c r="CC315">
        <f>IFERROR(N(VLOOKUP(BC315,Потребители_обозначение,10,FALSE)),0)</f>
        <v>0</v>
      </c>
      <c r="CD315">
        <f>IFERROR(VLOOKUP(BC315,Потребители_обозначение,5,FALSE),0)</f>
        <v>1</v>
      </c>
      <c r="CE315" s="6" cm="1">
        <f t="array" ref="CE315">IF(B315="","",IF(BH315&lt;&gt;"",IFERROR(_xlfn.XLOOKUP(BH315,Щиты[Щит],Щиты[cos φ]),0.95),IF(BP315=1,IFERROR(_xlfn.XLOOKUP(A315,Щиты[Щит],Щиты[cos φ]),0.95),IF(ISNUMBER(AD315),AD315,IFERROR(IF(CD315=2,_xlfn.IFS(BX315=3,VLOOKUP(BS315,Справочная_двигатели,8,FALSE),BX315=1,VLOOKUP(BS315,Справочная_двигатели,10,TRUE)),IF(AND(Методика="нормы 2026",FG315="Сил"),0.8,0.95)),0.95)))))</f>
        <v>0.8</v>
      </c>
      <c r="CF315">
        <f t="shared" si="572"/>
        <v>0</v>
      </c>
      <c r="CG315">
        <f t="shared" si="573"/>
        <v>1</v>
      </c>
      <c r="CH315">
        <f t="shared" si="574"/>
        <v>0</v>
      </c>
      <c r="CI315">
        <f>IF(B315="","",IF(BV315=1,IFERROR(BS315/((Uн_лин/SQRT(3))*MAX(0.5,N(CE315))),0),N(O315)))</f>
        <v>8.3896210991617508</v>
      </c>
      <c r="CJ315">
        <f t="shared" si="575"/>
        <v>0</v>
      </c>
      <c r="CK315">
        <f t="shared" si="576"/>
        <v>0</v>
      </c>
      <c r="CL315">
        <f t="shared" si="577"/>
        <v>0</v>
      </c>
      <c r="CM315">
        <f t="shared" si="578"/>
        <v>0</v>
      </c>
      <c r="CN315">
        <f t="shared" si="579"/>
        <v>0</v>
      </c>
      <c r="CO315">
        <f>IF(BC315="",0,_xlfn.LET(_xlpm.v,IFERROR(_xlfn.XLOOKUP(B315,Коды_код,Коды_мА),IFERROR(_xlfn.XLOOKUP(BC315,Коды_код,Коды_мА),IFERROR(_xlfn.XLOOKUP(LEFT(BC315,2),Коды_код,Коды_мА),""))),IF(_xlpm.v="да",30,IF(ISNUMBER(_xlpm.v),_xlpm.v,0))))</f>
        <v>0</v>
      </c>
      <c r="CP315" t="str">
        <f t="shared" si="580"/>
        <v/>
      </c>
      <c r="CQ315" t="str">
        <f>_xlfn.LET(_xlpm.k,IFERROR(_xlfn.XLOOKUP(BC315,Коды_код,Коды_утечка)&amp;"",""),IF(_xlpm.k="","дифавтомат",_xlpm.k))</f>
        <v>дифавтомат</v>
      </c>
      <c r="CR315" t="str" cm="1">
        <f t="array" ref="CR315">IF(CG315=0,"",_xlfn.LET(_xlpm.sg,TRIM(_xlfn.TEXTSPLIT(DD315&amp;"",";")),_xlpm.f_,_xlfn._xlws.FILTER(_xlpm.sg,LEFT(_xlpm.sg,3)="УЗО",""),IFERROR(INDEX(_xlpm.f_,1)&amp;"","")))</f>
        <v/>
      </c>
      <c r="CS315" t="str">
        <f t="shared" si="581"/>
        <v/>
      </c>
      <c r="CT315" s="6" t="str" cm="1">
        <f t="array" ref="CT315">IF(CR315="","",_xlfn.LET(_xlpm.tk,_xlfn.TEXTSPLIT(UPPER(CR315)," ",,TRUE),_xlpm.a_,_xlfn._xlws.FILTER(_xlpm.tk,ISNUMBER(--LEFT(_xlpm.tk,1))*((ISNUMBER(SEARCH("А",_xlpm.tk))+ISNUMBER(SEARCH("A",_xlpm.tk)))&gt;0)*NOT(ISNUMBER(SEARCH("МА",_xlpm.tk)))*NOT(ISNUMBER(SEARCH("MA",_xlpm.tk))),""),IFERROR(--SUBSTITUTE(SUBSTITUTE(INDEX(_xlpm.a_,1),"А",""),"A",""),"")))</f>
        <v/>
      </c>
      <c r="CU315" t="str" cm="1">
        <f t="array" ref="CU315">IF(CR315="","",_xlfn.LET(_xlpm.tk,_xlfn.TEXTSPLIT(UPPER(CR315)," ",,TRUE),_xlpm.a_,_xlfn._xlws.FILTER(_xlpm.tk,ISNUMBER(--LEFT(_xlpm.tk,1))*((ISNUMBER(SEARCH("МА",_xlpm.tk))+ISNUMBER(SEARCH("MA",_xlpm.tk)))&gt;0),""),IFERROR(--SUBSTITUTE(SUBSTITUTE(INDEX(_xlpm.a_,1),"МА",""),"MA",""),30)))</f>
        <v/>
      </c>
      <c r="CV315" t="str">
        <f>IF(CS315="","",IFERROR(_xlfn.XLOOKUP(CS315,Линии[_n],Линии[_УЗО, мА]),30))</f>
        <v/>
      </c>
      <c r="CW315">
        <f>IF(CS315="",0,IF(ISNUMBER(SEARCH("4P",IFERROR(_xlfn.XLOOKUP(CS315,Линии[_n],Линии[_УЗО строки])&amp;"",""))),0,1))</f>
        <v>0</v>
      </c>
      <c r="CX315" t="str">
        <f>IF(AND(CS315&lt;&gt;"",CS315=BA315),SUMIFS(Линии[_ток на 230 В],Линии[_блок УЗО],BA315,Линии[Щит],A315),"")</f>
        <v/>
      </c>
      <c r="CY315" t="str">
        <f>IF(AND(CS315&lt;&gt;"",CS315=BA315),SUMIFS(Линии[_ток утечки линии, мА],Линии[_блок УЗО],BA315,Линии[Щит],A315),"")</f>
        <v/>
      </c>
      <c r="CZ315">
        <f t="shared" si="582"/>
        <v>0</v>
      </c>
      <c r="DA315">
        <f t="shared" si="583"/>
        <v>0</v>
      </c>
      <c r="DB315">
        <f>IF(B315="",0,IFERROR(--_xlfn.XLOOKUP(B315,Коды_код,Коды_минавт),IFERROR(--_xlfn.XLOOKUP(BC315,Коды_код,Коды_минавт),IFERROR(--_xlfn.XLOOKUP(LEFT(BC315,2),Коды_код,Коды_минавт),0))))</f>
        <v>0</v>
      </c>
      <c r="DC315" t="str">
        <f>IF(B315="","",IFERROR(_xlfn.XLOOKUP(BC315,Коды_код,Коды_апп)&amp;"",""))</f>
        <v/>
      </c>
      <c r="DD315" t="str">
        <f t="shared" si="584"/>
        <v/>
      </c>
      <c r="DE315" t="str" cm="1">
        <f t="array" ref="DE315">IF(TRIM(DD315&amp;"")="","",IFERROR(TRIM(INDEX(_xlfn.TEXTSPLIT(DD315&amp;";;;",";"),1)),""))</f>
        <v/>
      </c>
      <c r="DF315" t="str" cm="1">
        <f t="array" ref="DF315">IF(TRIM(DD315&amp;"")="","",IFERROR(TRIM(INDEX(_xlfn.TEXTSPLIT(DD315&amp;";;;",";"),2)),""))</f>
        <v/>
      </c>
      <c r="DG315" t="str" cm="1">
        <f t="array" ref="DG315">IF(TRIM(DD315&amp;"")="","",IFERROR(TRIM(INDEX(_xlfn.TEXTSPLIT(DD315&amp;";;;",";"),3)),""))</f>
        <v/>
      </c>
      <c r="DH315">
        <f t="shared" si="585"/>
        <v>0</v>
      </c>
      <c r="DI315" t="str">
        <f>IF(B315="","",_xlfn.LET(_xlpm.t,LOWER(AZ315&amp;""),IF(ISNUMBER(SEARCH("dim",_xlpm.t)),"DIM",IF(ISNUMBER(SEARCH("dali",_xlpm.t)),"DALI",IF(OR(ISNUMBER(SEARCH("relay",_xlpm.t)),ISNUMBER(SEARCH("реле",_xlpm.t))),"Relay",IF(ISNUMBER(SEARCH("кнопк",_xlpm.t)),"",IFERROR(_xlfn.XLOOKUP(BC315,Коды_код,Коды_упр)&amp;"","")))))))</f>
        <v/>
      </c>
      <c r="DJ315" t="str">
        <f t="shared" si="586"/>
        <v/>
      </c>
      <c r="DK315">
        <f>IF(B315="","",_xlfn.LET(_xlpm.ig,IF(N(CX315)&gt;0,N(CX315),N(CI315)+IF(AJ315="вручную",0,N(CJ315))),_xlpm.n0,IFERROR(VLOOKUP(_xlpm.ig,Автомат_номиналы,2,TRUE),0),_xlpm.mn,MAX(DB315,IF(AJ315="вручную",0,N(CM315))),MAX(_xlpm.n0,_xlpm.mn,IF(DH315=1,Мин_автомат_БП,0))))</f>
        <v>10</v>
      </c>
      <c r="DL315">
        <f t="shared" si="587"/>
        <v>3</v>
      </c>
      <c r="DM315" t="str">
        <f t="shared" si="588"/>
        <v>3P</v>
      </c>
      <c r="DN315" t="str">
        <f>_xlfn.LET(_xlpm.cc,UPPER(TRIM(IFERROR(_xlfn.XLOOKUP(BC315,Коды_код,Коды_хар)&amp;"",""))),IF(OR(_xlpm.cc="B",_xlpm.cc="В"),"B",IF(_xlpm.cc="D","D","С")))</f>
        <v>С</v>
      </c>
      <c r="DO315" t="str">
        <f t="shared" si="589"/>
        <v>3P С10А</v>
      </c>
      <c r="DP315">
        <f t="shared" si="590"/>
        <v>16</v>
      </c>
      <c r="DQ315" t="str">
        <f t="shared" si="591"/>
        <v>3P С16А</v>
      </c>
      <c r="DR315" cm="1">
        <f t="array" ref="DR315">IF(DQ315="","",_xlfn.LET(_xlpm.t,SUBSTITUTE(SUBSTITUTE(SUBSTITUTE(UPPER(DQ315),"С","C"),"А","A"),"В","B"),_xlpm.tk,_xlfn.TEXTSPLIT(_xlpm.t," "),_xlpm.f,_xlfn._xlws.FILTER(_xlpm.tk,ISNUMBER(--MID(_xlpm.tk,2,1))*ISNUMBER(SEARCH(LEFT(_xlpm.tk,1)&amp;"#","B#C#D#"))*(LEN(_xlpm.tk)&gt;1),""),_xlpm.x,INDEX(_xlpm.f,1),IFERROR(--SUBSTITUTE(MID(_xlpm.x,2,9),"A",""),IFERROR(--SUBSTITUTE(INDEX(_xlfn._xlws.FILTER(_xlpm.tk,ISNUMBER(--SUBSTITUTE(_xlpm.tk,"A","")),""),1),"A",""),""))))</f>
        <v>16</v>
      </c>
      <c r="DS315" t="str">
        <f t="shared" si="592"/>
        <v>ok</v>
      </c>
      <c r="DT315">
        <f t="shared" si="593"/>
        <v>16</v>
      </c>
      <c r="DU315" t="str">
        <f t="shared" si="594"/>
        <v>3P С16А</v>
      </c>
      <c r="DV315">
        <f t="shared" si="595"/>
        <v>0</v>
      </c>
      <c r="DW315">
        <f t="shared" si="596"/>
        <v>0</v>
      </c>
      <c r="DX315">
        <f t="shared" si="597"/>
        <v>0</v>
      </c>
      <c r="DY315">
        <f t="shared" si="598"/>
        <v>8.3896210991617508</v>
      </c>
      <c r="DZ315">
        <f t="shared" si="599"/>
        <v>0.92</v>
      </c>
      <c r="EA315">
        <f>IF(ISNUMBER(AP315),AP315,К_прокл)</f>
        <v>1</v>
      </c>
      <c r="EB315">
        <f t="shared" si="600"/>
        <v>3</v>
      </c>
      <c r="EC315">
        <f>IFERROR(N(VLOOKUP(BZ315,Кабель_обозначение,3,FALSE)),1)</f>
        <v>1</v>
      </c>
      <c r="ED315">
        <f>IFERROR(N(_xlfn.XLOOKUP(A315,Щиты[Щит],Щиты[ΔU до шин, %])),0)</f>
        <v>0.96</v>
      </c>
      <c r="EE315" t="str">
        <f>IFERROR(_xlfn.XLOOKUP(A315,Щиты[Щит],Щиты[Zпетли на шинах, Ом]),"")</f>
        <v/>
      </c>
      <c r="EF315">
        <f>IFERROR(N(_xlfn.XLOOKUP(A315,Щиты[Щит],Щиты[ΔU до шин (подбор), %])),0)</f>
        <v>0.96</v>
      </c>
      <c r="EG315" t="str">
        <f>IFERROR(_xlfn.XLOOKUP(A315,Щиты[Щит],Щиты[Zпетли на шинах (подбор), Ом]),"")</f>
        <v/>
      </c>
      <c r="EH315" t="str">
        <f t="shared" si="601"/>
        <v/>
      </c>
      <c r="EI315">
        <f t="shared" si="602"/>
        <v>37</v>
      </c>
      <c r="EJ315">
        <f t="shared" si="603"/>
        <v>1</v>
      </c>
      <c r="EK315">
        <f t="shared" si="604"/>
        <v>0.6</v>
      </c>
      <c r="EL315" s="6">
        <f>IF(B315="","",IF(BV315=1,dU_LED,IF(IFERROR(_xlfn.XLOOKUP(BC315,Коды_код,Коды_уго),"")="Светильник",3,4)+IF(Методика="нормы 2026",MIN(0.5,MAX(0,N(P315)-100)*0.005),0)))</f>
        <v>4</v>
      </c>
      <c r="EM315" cm="1">
        <f t="array" ref="EM315">IF(OR(B315="",BZ315="",EC315&lt;&gt;1),"",_xlfn.LET(_xlpm.sz,Iдоп_S,_xlpm.t_,CHOOSE(EB315,Iдоп_1ж,Iдоп_2ж,Iдоп_3ж)*DZ315*EA315,_xlpm.dcx,BV315=1,_xlpm.inn,IF(_xlpm.dcx,N(O315),N(DT315)),_xlpm.smin,MAX(1.5,CC315),_xlpm.L_,N(P315)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315)/N(BU315)*100,999),IFERROR(N(EJ315)*(_xlpm.rho*_xlpm.L_/_xlpm.sz*N(CE315)+_xlpm.xx*_xlpm.L_*N(EK315)/1000)*N(O315)/((Uн_лин/SQRT(3))*1000)*100,999)),_xlpm.kz,IF(OR(_xlpm.dcx,DW315=1,NOT(ISNUMBER(EG315)),_xlpm.L_=0,_xlpm.inn=0),1,IFERROR(--(c_min*(Uн_лин*1000/SQRT(3))/(EG315+2*ρкз_Cu*_xlpm.L_/_xlpm.sz)&gt;=HT315*_xlpm.inn),0)),_xlpm.ok,IFERROR((_xlpm.sz&gt;=_xlpm.smin)*(_xlpm.t_&gt;=_xlpm.inn)*IF(_xlpm.L_&gt;0,(_xlpm.du_+IF(_xlpm.dcx,0,EF315)&lt;=EL315+0.00001),1)*_xlpm.kz,0),_xlpm.r_,_xlfn._xlws.FILTER(_xlpm.sz,_xlpm.ok,"не подобрано"),INDEX(_xlpm.r_,1)))</f>
        <v>1.5</v>
      </c>
      <c r="EN315">
        <f t="shared" si="605"/>
        <v>2.5</v>
      </c>
      <c r="EO315" cm="1">
        <f t="array" ref="EO315">IF(OR(B315="",BZ315="",EC315&lt;&gt;1),"",_xlfn.LET(_xlpm.sz,Iдоп_S,_xlpm.t_,CHOOSE(EB315,Iдоп_1ж,Iдоп_2ж,Iдоп_3ж)*DZ315*EA315,_xlpm.ok,IFERROR((_xlpm.sz&gt;=MAX(1.5,CC315))*(_xlpm.t_&gt;=N(DT315)),0),_xlpm.r_,_xlfn._xlws.FILTER(_xlpm.sz,_xlpm.ok,""),INDEX(_xlpm.r_,1)))</f>
        <v>1.5</v>
      </c>
      <c r="EP315" s="6" cm="1">
        <f t="array" ref="EP315">IFERROR(ROUNDUP(N(EJ315)*(_xlfn.XLOOKUP(EO315,INDEX(Кабель_сопротивление,0,1),INDEX(Кабель_сопротивление,0,3))*N(P315)/EO315*N(CE315)+_xlfn.XLOOKUP(EO315,INDEX(Кабель_сопротивление,0,1),INDEX(Кабель_сопротивление,0,2))*N(P315)*N(EK315)/1000)*N(O315)/((Uн_лин/SQRT(3))*1000)*100,2),"")</f>
        <v>1.76</v>
      </c>
      <c r="EQ315">
        <f>IFERROR(2*ρкз_Cu*N(P315)/EO315,"")</f>
        <v>1.4026666666666667</v>
      </c>
      <c r="ER315">
        <f>IFERROR(VLOOKUP(EN315,Кабель_сопротивление,3,FALSE),"")</f>
        <v>2.2499999999999999E-2</v>
      </c>
      <c r="ES315">
        <f>IFERROR(VLOOKUP(EN315,Кабель_сопротивление,2,FALSE),"")</f>
        <v>0.1</v>
      </c>
      <c r="ET315">
        <f t="shared" si="606"/>
        <v>12</v>
      </c>
      <c r="EU315">
        <f t="shared" si="607"/>
        <v>0</v>
      </c>
      <c r="EV315">
        <f t="shared" si="608"/>
        <v>2.4363459671965724</v>
      </c>
      <c r="EW315" s="6">
        <f>IFERROR(ROUNDUP(EV315/IF(BV315=1,BU315,(Uн_лин/SQRT(3))*1000)*100,2),"")</f>
        <v>1.06</v>
      </c>
      <c r="EX315" t="str">
        <f>IFERROR(VLOOKUP(BZ315,Кабель_обозначение,2,FALSE),"")</f>
        <v>ВВГнг(А)-LS</v>
      </c>
      <c r="EY315" t="str">
        <f t="shared" si="609"/>
        <v>ВВГнг(А)-LS (5х2,5)</v>
      </c>
      <c r="EZ315" t="str">
        <f t="shared" si="610"/>
        <v>ВВГнг(А)-LS (5х2,5)
L=40-1,06%</v>
      </c>
      <c r="FA315">
        <f>IFERROR(2*ρкз_Cu*P315/EN315,"")</f>
        <v>0.84160000000000001</v>
      </c>
      <c r="FB315">
        <f t="shared" si="611"/>
        <v>0.28000000000000003</v>
      </c>
      <c r="FC315" s="6" t="str">
        <f>IFERROR(IF(OR(B315="",BV315=1,NOT(ISNUMBER(EN315)),N(P315)=0),"",_xlfn.XLOOKUP(A315,Щиты[Щит],Щиты[Zпетли на шинах, Ом])+FA315),"")</f>
        <v/>
      </c>
      <c r="FD315" s="6" t="str">
        <f>IF(ISNUMBER(FC315),c_min*(Uн_лин*1000/SQRT(3))/FC315,"")</f>
        <v/>
      </c>
      <c r="FE315" s="6" t="str">
        <f>IFERROR(IF(OR(B315="",NOT(ISNUMBER(EN315))),"",1.05*(Uн_лин*1000/SQRT(3))/(_xlfn.XLOOKUP(A315,Щиты[Щит],Щиты[Zmax на шинах, Ом])+FB315)/1000),"")</f>
        <v/>
      </c>
      <c r="FF315" s="6" t="str">
        <f>IF(B315="","",IF(ISNUMBER(AC315),"Сил",IF(IFERROR(_xlfn.XLOOKUP(BC315,Коды_код,Коды_группа)&amp;"","")="","Быт",_xlfn.XLOOKUP(BC315,Коды_код,Коды_группа)&amp;"")))</f>
        <v>Сил</v>
      </c>
      <c r="FG315" s="6" t="str">
        <f t="shared" si="612"/>
        <v>Сил</v>
      </c>
      <c r="FH315" s="6">
        <f>IF(FG315="Щит","щит",IF(FG315="","",IF(FG315="Быт",IFERROR(_xlfn.XLOOKUP(A315,Щиты[Щит],Щиты[Кс быт]),1),IF(FG315="Сил",IF(ISNUMBER(AC315),AC315,IF(Методика="нормы 2026",IFERROR(_xlfn.XLOOKUP(A315,Щиты[Щит],Щиты[Кс силовых (табл. 7.5)]),1),1)),IF(OR(FG315="Пост",FG315="Отоп"),1,IF(FG315="ВНГ",0.7,0))))))</f>
        <v>0.5</v>
      </c>
      <c r="FI315">
        <f>IF(FG315="","",IF(AND(BP315=1,TRIM(AE315&amp;"")=""),IF(COUNTIFS(Линии[Щит],A315,Линии[Секция (1/2/3)],"&gt;=2")&gt;0,MIN(3,MAX(1,IFERROR(--BD315,1))),1),IFERROR(MIN(3,MAX(1,INT(--AE315))),1)))</f>
        <v>1</v>
      </c>
      <c r="FJ315">
        <f t="shared" si="613"/>
        <v>4.6500000000000004</v>
      </c>
      <c r="FK315">
        <f t="shared" si="614"/>
        <v>0</v>
      </c>
      <c r="FL315">
        <f t="shared" si="615"/>
        <v>2.3250000000000002</v>
      </c>
      <c r="FM315">
        <f t="shared" si="616"/>
        <v>0</v>
      </c>
      <c r="FN315">
        <f t="shared" si="617"/>
        <v>0</v>
      </c>
      <c r="FO315">
        <f t="shared" si="618"/>
        <v>0</v>
      </c>
      <c r="FP315">
        <f t="shared" si="619"/>
        <v>4.6500000000000004</v>
      </c>
      <c r="FQ315">
        <f t="shared" si="620"/>
        <v>4.6500000000000004</v>
      </c>
      <c r="FR315">
        <f t="shared" si="621"/>
        <v>3.7200000000000006</v>
      </c>
      <c r="FS315">
        <f>IF(CG315=1,IF(AND(CH315=1,CW315=1),0,IF(AND(CS315&lt;&gt;"",CS315=BA315,CW315=1),SUMIFS(Линии[_Р линии, кВт],Линии[_блок УЗО],BA315,Линии[Щит],A315),N(BS315)+IF(AJ315="вручную",0,N(CK315)))),0)</f>
        <v>4.6500000000000004</v>
      </c>
      <c r="FT315" t="str">
        <f t="shared" si="622"/>
        <v/>
      </c>
      <c r="FU315" t="str">
        <f>IF(B315="","",IF(CG315=0,IF(BA315=1,"",FW314),IF(AND(CH315=1,CW315=1,CS315&lt;&gt;""),IFERROR(_xlfn.XLOOKUP(CS315,Линии[_n],Линии[_фаза итог]),"L1"),IF(OR(N(DL315)&gt;=3,N(BX315)&gt;=3),"L1,L2,L3",IFERROR(_xlfn.TEXTBEFORE(_xlfn.TEXTAFTER(_xlfn.XLOOKUP(A315,Щиты[Щит],Щиты[_фазы авто]),";"&amp;BA315&amp;":"),";"),"L1")))))</f>
        <v>L1,L2,L3</v>
      </c>
      <c r="FV315" t="str">
        <f t="shared" si="623"/>
        <v>L1,L2,L3</v>
      </c>
      <c r="FW315" t="str">
        <f t="shared" si="624"/>
        <v>L1,L2,L3</v>
      </c>
      <c r="FX315" cm="1">
        <f t="array" ref="FX315">IFERROR(IF(CD315=2,_xlfn.IFS(BX315=3,VLOOKUP(BS315,Справочная_двигатели,3,FALSE),BX315=1,VLOOKUP(BS315,Справочная_двигатели,5,TRUE)),0),0)</f>
        <v>0</v>
      </c>
      <c r="FY315">
        <f>IFERROR(IF(CD315=3,VLOOKUP(BS315,Справочная_ЛЭД,2,TRUE),0),0)</f>
        <v>0</v>
      </c>
      <c r="FZ315" s="6">
        <f t="shared" si="625"/>
        <v>0</v>
      </c>
      <c r="GA315" t="str">
        <f>IF(B315="","",IF(TRIM(AH315&amp;"")&lt;&gt;"",IF(LOWER(TRIM(AH315&amp;""))="да","да","нет"),IF(IFERROR(_xlfn.XLOOKUP(BC315,Коды_код,Коды_пожарная),"")="да","да","нет")))</f>
        <v>нет</v>
      </c>
      <c r="GB315" t="str">
        <f t="shared" si="626"/>
        <v/>
      </c>
      <c r="GC315" t="str">
        <f t="shared" si="627"/>
        <v>основная</v>
      </c>
      <c r="GD315">
        <f>IF(AND(BP315=1,TRIM(AE315&amp;"")=""),IF(COUNTIFS(Линии[Щит],A315,Линии[Секция (1/2/3)],"&gt;=2")&gt;0,MIN(3,MAX(1,IFERROR(--BD315,1))),1),IFERROR(MIN(3,MAX(1,INT(--AE315))),1))</f>
        <v>1</v>
      </c>
      <c r="GE315" t="str" cm="1">
        <f t="array" ref="GE315">IF(B315="","",_xlfn.LET(_xlpm.t,IFERROR(_xlfn.XLOOKUP(1,(Шины[Шина]=GC315)*(((Шины[Щит]=A315)+(Шины[Щит]=""))&gt;0),Шины[Тип]),"")&amp;"",IF(_xlpm.t&lt;&gt;"",_xlpm.t,IF(ISNUMBER(SEARCH("ИБП",GC315)),"ИБП",IF(ISNUMBER(SEARCH("ДГУ",GC315)),"ДГУ","Ввод "&amp;GD315)))))</f>
        <v>Ввод 1</v>
      </c>
      <c r="GF315" t="str">
        <f t="shared" si="628"/>
        <v>Ввод 1</v>
      </c>
      <c r="GG315" t="str">
        <f>IF(BP315=0,"",IF(TRIM(AG315&amp;"")&lt;&gt;"",TRIM(AG315&amp;""),IF(OR(GE315="ИБП",GE315="ДГУ"),"I особая",_xlfn.XLOOKUP(A315,Щиты[Щит],Щиты[Категория шины «Ввод»],"III"))))</f>
        <v/>
      </c>
      <c r="GH315" t="str">
        <f>IF(A315="","",_xlfn.XLOOKUP(A315,Щиты[Щит],Щиты[Путь],""))</f>
        <v>|ГРЩ-ЖД|ЩС-Б|</v>
      </c>
      <c r="GI315" t="str">
        <f>IF(B315="","",IF(AI315&lt;&gt;"",AI315,IF(IFERROR(_xlfn.XLOOKUP(BC315,Коды_код,Коды_вид)&amp;"","")="","Прочее",_xlfn.XLOOKUP(BC315,Коды_код,Коды_вид)&amp;"")))</f>
        <v>Бассейн, SPA, хаммам</v>
      </c>
      <c r="GJ315">
        <f>IF(BM315="","",INT((BM315-1)/Столбцов_на_лист)+1)</f>
        <v>1</v>
      </c>
      <c r="GK315" t="str">
        <f t="shared" si="629"/>
        <v>ВВГнг(А)-LS (5х2,5) L=40-1,06%</v>
      </c>
      <c r="GL315">
        <f t="shared" si="630"/>
        <v>4.6500000000000004</v>
      </c>
      <c r="GM315">
        <f t="shared" si="631"/>
        <v>8.39</v>
      </c>
      <c r="GN315">
        <f t="shared" si="632"/>
        <v>3</v>
      </c>
      <c r="GO315">
        <f t="shared" si="633"/>
        <v>0</v>
      </c>
      <c r="GP315">
        <f t="shared" si="634"/>
        <v>1</v>
      </c>
      <c r="GQ315">
        <f>IF(BM315="","",IF(AND(CG315=1,GP315=1),COUNTIFS(A$3:A315,A315,CG$3:CG315,1,GP$3:GP315,1),IF(OR(OR(BA315=1,A315&lt;&gt;A314),AJ315="вручную",GP315=0),"",IF(BA315=1,"",GR314))))</f>
        <v>2</v>
      </c>
      <c r="GR315">
        <f t="shared" si="635"/>
        <v>2</v>
      </c>
      <c r="GS315">
        <f>IF(B315="","",IFERROR(LOOKUP(INDEX(CHOOSE(EB315,Iдоп_1ж,Iдоп_2ж,Iдоп_3ж),MATCH(EN315,Iдоп_S,0))*DZ315*EA315,{6,10,16,20,25,32,40,50,63,80,100,125,160,200,250,315,400,500,630}),""))</f>
        <v>20</v>
      </c>
      <c r="GT315" t="str">
        <f t="shared" si="636"/>
        <v>QF2</v>
      </c>
      <c r="GU315" t="str">
        <f t="shared" si="637"/>
        <v>QF2</v>
      </c>
      <c r="GV315" t="str">
        <f t="shared" si="638"/>
        <v/>
      </c>
      <c r="GW315">
        <f t="shared" si="639"/>
        <v>0</v>
      </c>
      <c r="GX315" t="str">
        <f>IF(OR(B315="",DJ315=""),"",IFERROR(_xlfn.XLOOKUP(DJ315,Модули_умолч[Управление],Модули_умолч[Модель])&amp;"",""))</f>
        <v/>
      </c>
      <c r="GY315">
        <f>IF(DJ315="",1,IFERROR(MAX(0,N(_xlfn.XLOOKUP(DJ315,Модули_умолч[Управление],Модули_умолч[Каналов на линию]))),1))</f>
        <v>1</v>
      </c>
      <c r="GZ315" t="str">
        <f t="shared" si="640"/>
        <v/>
      </c>
      <c r="HA315" t="str">
        <f t="shared" si="641"/>
        <v/>
      </c>
      <c r="HB315" t="str">
        <f t="shared" si="642"/>
        <v/>
      </c>
      <c r="HC315">
        <f>IF(HB315="",0,IFERROR(N(VLOOKUP(HB315,Модули_спр,3,FALSE)),0))</f>
        <v>0</v>
      </c>
      <c r="HD315" t="str">
        <f t="shared" si="643"/>
        <v/>
      </c>
      <c r="HE315" t="str">
        <f t="shared" si="644"/>
        <v/>
      </c>
      <c r="HF315" t="str">
        <f>IF(OR(HE315="",HE315="-"),"",IFERROR(VLOOKUP(HE315,Модули_спр,2,FALSE),"R"))</f>
        <v/>
      </c>
      <c r="HG315" t="str">
        <f>IF(HF315="","",HF315&amp;"."&amp;COUNTIFS(A$3:A315,A315,HF$3:HF315,HF315))</f>
        <v/>
      </c>
      <c r="HH315" t="str">
        <f t="shared" si="645"/>
        <v/>
      </c>
      <c r="HI315" t="str">
        <f t="shared" si="646"/>
        <v/>
      </c>
      <c r="HJ315" t="str">
        <f t="shared" si="647"/>
        <v/>
      </c>
      <c r="HK315" t="str">
        <f t="shared" si="648"/>
        <v/>
      </c>
      <c r="HL315">
        <f t="shared" si="649"/>
        <v>1</v>
      </c>
      <c r="HM315" t="str">
        <f>IF(HL315=1,"XT"&amp;COUNTIFS(A$3:A315,A315,HL$3:HL315,1),"")</f>
        <v>XT2</v>
      </c>
      <c r="HN315" t="str">
        <f t="shared" si="650"/>
        <v>XT2</v>
      </c>
      <c r="HO315" t="str">
        <f t="shared" si="651"/>
        <v>QF2</v>
      </c>
      <c r="HP315" t="str">
        <f t="shared" si="652"/>
        <v/>
      </c>
      <c r="HQ315" t="str">
        <f t="shared" si="653"/>
        <v>ok</v>
      </c>
      <c r="HR315" t="str">
        <f>IF(OR(HJ315="",HH315=""),"",IF(HJ315+MAX(0,GY315-1)&gt;IFERROR(VLOOKUP(HI315,Модули_спр,3,FALSE),99),"ЛИШНИЙ КАНАЛ",IF(AND(AL315&lt;&gt;"=",GY315&gt;0,COUNTIFS(Линии[_модуль гр.],HH315,Линии[Канал (итог)],HJ315,Линии[Канал],"&lt;&gt;=",Линии[Щит],A315)&gt;1),"ДУБЛЬ КАНАЛА","")))</f>
        <v/>
      </c>
      <c r="HS315" s="6" t="str">
        <f t="shared" si="654"/>
        <v/>
      </c>
      <c r="HT315">
        <f t="shared" si="655"/>
        <v>10</v>
      </c>
      <c r="HU315" t="str">
        <f t="shared" si="656"/>
        <v/>
      </c>
      <c r="HV315">
        <f t="shared" si="657"/>
        <v>3.7558484396647005</v>
      </c>
      <c r="HW315">
        <f t="shared" si="658"/>
        <v>0</v>
      </c>
      <c r="HX315">
        <f t="shared" si="659"/>
        <v>0</v>
      </c>
      <c r="HY315">
        <f t="shared" si="660"/>
        <v>0</v>
      </c>
      <c r="HZ315">
        <f t="shared" si="661"/>
        <v>0</v>
      </c>
      <c r="IA315">
        <f t="shared" si="662"/>
        <v>0</v>
      </c>
      <c r="IB315">
        <f t="shared" si="663"/>
        <v>0</v>
      </c>
      <c r="IC315" t="str">
        <f t="shared" si="664"/>
        <v/>
      </c>
      <c r="ID315" t="str" cm="1">
        <f t="array" ref="ID315">IF(IC315="","",_xlfn.LET(_xlpm.tk,_xlfn.TEXTSPLIT(SUBSTITUTE(SUBSTITUTE(IC315,";"," "),"→"," ")," ",,TRUE),_xlpm.w_,_xlfn._xlws.FILTER(_xlpm.tk,ISNUMBER(--LEFT(_xlpm.tk,1))*((ISNUMBER(SEARCH("W",_xlpm.tk))+ISNUMBER(SEARCH("Вт",_xlpm.tk)))&gt;0),""),IFERROR(--SUBSTITUTE(SUBSTITUTE(UPPER(INDEX(_xlpm.w_,1)),"W",""),"ВТ",""),"")))</f>
        <v/>
      </c>
      <c r="IE315" t="str" cm="1">
        <f t="array" ref="IE315">IF(IC315="","",_xlfn.LET(_xlpm.tk,_xlfn.TEXTSPLIT(SUBSTITUTE(SUBSTITUTE(IC315,";"," "),"→"," ")," ",,TRUE),_xlpm.v_,_xlfn._xlws.FILTER(_xlpm.tk,ISNUMBER(--LEFT(_xlpm.tk,1))*((ISNUMBER(SEARCH("V",_xlpm.tk))+(RIGHT(UPPER(_xlpm.tk))="В"))&gt;0),""),IFERROR(--SUBSTITUTE(SUBSTITUTE(UPPER(INDEX(_xlpm.v_,1)),"V",""),"В",""),"")))</f>
        <v/>
      </c>
      <c r="IF315" s="6" t="str">
        <f>IF(OR(BV315=0,HI315="",HJ315=""),"",IFERROR(N(_xlfn.XLOOKUP(HI315,Каталог!$C$4:$C$500,Каталог!$Q$4:$Q$500)),""))</f>
        <v/>
      </c>
      <c r="IG315" s="6" t="str">
        <f>IF(N(IF315)=0,"",SUMIFS(Линии[Iр, А],Линии[Щит],A315,Линии[_модуль гр.],HH315,Линии[Канал (итог)],HJ315))</f>
        <v/>
      </c>
      <c r="IH315" t="str">
        <f>IF(AND(B315="",HO315=""),"",_xlfn.TEXTJOIN("; ",TRUE,IF(AND(B315&lt;&gt;"",FV315=""),"нет фазы",""),IF(AND(B315&lt;&gt;"",N(GL315)=0,FG315&lt;&gt;"Нет"),"нет мощности",""),IF(AND(HN315&lt;&gt;"",COUNTIFS(Линии[Щит],A315,Линии[Клемма (итог)],HN315)&gt;1),"дубль клеммы "&amp;HN315,""),IF(AND(HQ315&lt;&gt;"",HQ315&lt;&gt;"ok"),HQ315,""),IF(HR315&lt;&gt;"",HR315,""),IF(AND(N(CB315)&gt;=4,N(BX315)=1),CB315&amp;" жил на 1 фазе",""),IF(AND(BC315="R",CG315=1,IF(CS315&lt;&gt;"",N(CV315)&gt;30,OR(N(DA315)=0,N(DA315)&gt;30))),"розетка без дифзащиты до 30 мА",""),IF(AND(CG315=1,N(DA315)&gt;0,ISNUMBER(T315)),IF(T315&gt;N(DA315)/3,"ток утечки "&amp;FIXED(T315,1)&amp;" мА &gt; 1/3 уставки ("&amp;DA315&amp;" мА)",""),""),IF(AND(CH315=1,CS315=""),"«узо»: нет строки с УЗО выше (УЗО 2P 40А 30мА в «Аппаратах»)",""),IF(AND(CS315&lt;&gt;"",CS315=BA315),IF(CT315="","впишите номинал УЗО (УЗО 2P 40А 30мА)",IF(N(CT315)&lt;N(DT315),"УЗО "&amp;CT315&amp;" А &lt; автомата "&amp;DT315&amp;" А перед ним",IF(N(CT315)&lt;N(CX315),"УЗО "&amp;CT315&amp;" А &lt; тока блока "&amp;FIXED(CX315,1)&amp;" А",""))),""),IF(AND(CS315&lt;&gt;"",CS315=BA315,ISNUMBER(CY315)),IF(CY315&gt;N(CV315)/3,"ток утечки блока УЗО "&amp;FIXED(CY315,1)&amp;" мА &gt; 1/3 уставки ("&amp;CV315&amp;" мА)",""),""),IF(AND(CG315=1,N(BV315)+N(IB315)&gt;0,IC315=""),"линии до 50 В без БП: впишите в «Аппараты» (БП 24V 480W)",""),IF(AND(CG315=1,ISNUMBER(ID315),ISNUMBER(U315)),IF(U315&gt;ID315,"БП "&amp;ID315&amp;" Вт &lt; нужно "&amp;U315&amp;" Вт (×"&amp;Запас_БП&amp;")",""),""),IF(AND(CG315=1,ISNUMBER(IE315),N(BV315)=1),IF(IE315&lt;&gt;N(BU315),"БП на "&amp;IE315&amp;" В, линия "&amp;BU315&amp;" В",""),""),IF(AND(N(IF315)&gt;0,N(IG315)&gt;N(IF315)),HH315&amp;" канал "&amp;HJ315&amp;": "&amp;FIXED(IG315,1)&amp;" А &gt; "&amp;IF315&amp;" А",""),IFERROR(IF(AND(ISNUMBER(Q315),Q315&gt;EL315),"потери "&amp;FIXED(Q315,1)&amp;" % &gt; "&amp;EL315&amp;" %",""),""),IFERROR(IF(LEFT(HU315,4)="мало","Iкз мало — отключение &gt; 0,4 с",""),""),IF(AND(B315&lt;&gt;"",BM315=""),"не на схеме",""),IF(AND(CG315=0,B315&lt;&gt;"",FV315&lt;&gt;"",IF(BA315=1,"",FW314)&lt;&gt;"",FV315&lt;&gt;IF(BA315=1,"",FW314)),"фаза не как у автомата группы ("&amp;IF(BA315=1,"",FW314)&amp;")","")))</f>
        <v/>
      </c>
      <c r="II315" s="6" t="str">
        <f>IF(OR(CG315=0,DQ315=""),"",_xlfn.LET(_xlpm.t,IFERROR(_xlfn.XLOOKUP(DQ315,Каталог!$U$4:$U$500,Каталог!$G$4:$G$500),""),_xlpm.k,SEARCH("кА",_xlpm.t),IFERROR(--TRIM(RIGHT(SUBSTITUTE(MID(_xlpm.t,MAX(1,_xlpm.k-4),_xlpm.k-MAX(1,_xlpm.k-4))," ",REPT(" ",9)),5)),"")))</f>
        <v/>
      </c>
      <c r="IJ315" t="str">
        <f>IF(OR(II315="",CG315=0),"",IF(_xlfn.XLOOKUP(A315,Щиты[Щит],Щиты[Iкз max на шинах, кА],"")="","",IF(II315&lt;_xlfn.XLOOKUP(A315,Щиты[Щит],Щиты[Iкз max на шинах, кА]),"Icu "&amp;II315&amp;" кА &lt; Iкз max","ok")))</f>
        <v/>
      </c>
      <c r="IK315" t="str">
        <f t="shared" si="665"/>
        <v/>
      </c>
      <c r="IL315" t="str">
        <f t="shared" si="666"/>
        <v>QF2|XT2</v>
      </c>
      <c r="IM315" t="str">
        <f t="shared" si="667"/>
        <v>QF2|XT2|кабель ВВГнг(А)-LS (5х2,5) → Горячая купель Подвальный этаж Пом. 002Тб</v>
      </c>
      <c r="IN315" t="str" cm="1">
        <f t="array" ref="IN315">IF(IM315="","",_xlfn.LET(_xlpm.nd,_xlfn.TEXTSPLIT(IM315,"|"),IF(COLUMNS(_xlpm.nd)&gt;1,A315&amp;"¦"&amp;INDEX(_xlpm.nd,1)&amp;"¦"&amp;INDEX(_xlpm.nd,2),"")))</f>
        <v>ЩС-Б¦QF2¦XT2</v>
      </c>
      <c r="IO315" t="str">
        <f t="shared" si="668"/>
        <v>Э.2¦Горячая купель Подвальный этаж Пом. 002Тб</v>
      </c>
      <c r="IP315" t="str" cm="1">
        <f t="array" ref="IP315">IF(IM315="","",_xlfn.LET(_xlpm.nd,_xlfn.TEXTSPLIT(IM315,"|"),IF(COLUMNS(_xlpm.nd)&gt;2,A315&amp;"¦"&amp;INDEX(_xlpm.nd,2)&amp;"¦"&amp;INDEX(_xlpm.nd,3),"")))</f>
        <v>ЩС-Б¦XT2¦кабель ВВГнг(А)-LS (5х2,5) → Горячая купель Подвальный этаж Пом. 002Тб</v>
      </c>
      <c r="IQ315" t="str">
        <f t="shared" si="669"/>
        <v>Э.2¦Горячая купель Подвальный этаж Пом. 002Тб</v>
      </c>
      <c r="IR315" t="str" cm="1">
        <f t="array" ref="IR315">IF(IM315="","",_xlfn.LET(_xlpm.nd,_xlfn.TEXTSPLIT(IM315,"|"),IF(COLUMNS(_xlpm.nd)&gt;3,A315&amp;"¦"&amp;INDEX(_xlpm.nd,3)&amp;"¦"&amp;INDEX(_xlpm.nd,4),"")))</f>
        <v/>
      </c>
      <c r="IS315" t="str">
        <f t="shared" si="670"/>
        <v/>
      </c>
      <c r="IT315" t="str" cm="1">
        <f t="array" ref="IT315">IF(IM315="","",_xlfn.LET(_xlpm.nd,_xlfn.TEXTSPLIT(IM315,"|"),IF(COLUMNS(_xlpm.nd)&gt;4,A315&amp;"¦"&amp;INDEX(_xlpm.nd,4)&amp;"¦"&amp;INDEX(_xlpm.nd,5),"")))</f>
        <v/>
      </c>
      <c r="IU315" t="str">
        <f t="shared" si="671"/>
        <v/>
      </c>
      <c r="IV315" t="str" cm="1">
        <f t="array" ref="IV315">IF(IM315="","",_xlfn.LET(_xlpm.nd,_xlfn.TEXTSPLIT(IM315,"|"),IF(COLUMNS(_xlpm.nd)&gt;5,A315&amp;"¦"&amp;INDEX(_xlpm.nd,5)&amp;"¦"&amp;INDEX(_xlpm.nd,6),"")))</f>
        <v/>
      </c>
      <c r="IW315" t="str">
        <f t="shared" si="672"/>
        <v/>
      </c>
      <c r="IX315" t="str" cm="1">
        <f t="array" ref="IX315">IF(IM315="","",_xlfn.LET(_xlpm.nd,_xlfn.TEXTSPLIT(IM315,"|"),IF(COLUMNS(_xlpm.nd)&gt;6,A315&amp;"¦"&amp;INDEX(_xlpm.nd,6)&amp;"¦"&amp;INDEX(_xlpm.nd,7),"")))</f>
        <v/>
      </c>
      <c r="IY315" t="str">
        <f t="shared" si="673"/>
        <v/>
      </c>
      <c r="IZ315" t="str">
        <f t="shared" si="674"/>
        <v/>
      </c>
      <c r="JA315" t="str">
        <f t="shared" si="675"/>
        <v>QF2 → XT2</v>
      </c>
      <c r="JB315">
        <f t="shared" si="676"/>
        <v>0</v>
      </c>
      <c r="JC315">
        <f t="shared" si="677"/>
        <v>0</v>
      </c>
      <c r="JD315" t="str">
        <f t="shared" si="678"/>
        <v/>
      </c>
      <c r="JE315" t="str">
        <f t="shared" si="679"/>
        <v/>
      </c>
      <c r="JF315" t="str">
        <f t="shared" si="680"/>
        <v/>
      </c>
      <c r="JG315" t="str">
        <f t="shared" si="681"/>
        <v/>
      </c>
      <c r="JH315">
        <f>IF(B315="","",IFERROR(_xlfn.XLOOKUP(B315,Коды_код,Коды_уго),IFERROR(_xlfn.XLOOKUP(BC315,Коды_код,Коды_уго),IFERROR(_xlfn.XLOOKUP(LEFT(BC315,2),Коды_код,Коды_уго),""))))</f>
        <v>0</v>
      </c>
      <c r="JI315" t="str">
        <f>IF(B315="","",IF(OR(JH315="",JH315=0),"BOX",IFERROR(IF(VLOOKUP(JH315,УГО_блоки,3,FALSE)&amp;""&lt;&gt;"",VLOOKUP(JH315,УГО_блоки,3,FALSE),VLOOKUP(JH315,УГО_блоки,2,FALSE)),JH315)))</f>
        <v>BOX</v>
      </c>
      <c r="JJ315">
        <f t="shared" si="682"/>
        <v>1</v>
      </c>
      <c r="JK315" t="str">
        <f>IF(DQ315="","",IF(COUNTIF(DQ$3:DQ315,DQ315)=1,MAX(JK$2:JK314)+1,""))</f>
        <v/>
      </c>
      <c r="JL315" t="str">
        <f>IF(DE315="","",IF(COUNTIF(DE$3:DE315,DE315)+COUNTIF(DF$2:DF314,DE315)+COUNTIF(DG$2:DG314,DE315)=1,MAX(JL$2:JN314)+1,""))</f>
        <v/>
      </c>
      <c r="JM315" t="str">
        <f>IF(DF315="","",IF(COUNTIF(DE$3:DE315,DF315)+COUNTIF(DF$3:DF315,DF315)+COUNTIF(DG$2:DG314,DF315)=1,MAX(JL$2:JN314,JL315)+1,""))</f>
        <v/>
      </c>
      <c r="JN315" t="str">
        <f>IF(DG315="","",IF(COUNTIF(DE$3:DE315,DG315)+COUNTIF(DF$3:DF315,DG315)+COUNTIF(DG$3:DG315,DG315)=1,MAX(JL$2:JN314,JL315,JM315)+1,""))</f>
        <v/>
      </c>
      <c r="JO315" t="str">
        <f t="shared" si="683"/>
        <v>5х2,5</v>
      </c>
      <c r="JP315" t="str">
        <f>IF(JO315="","",IF(COUNTIF(JO$3:JO315,JO315)=1,MAX(JP$2:JP314)+1,""))</f>
        <v/>
      </c>
      <c r="JQ315" t="str">
        <f>IF(HG315="","",COUNTIF(HG$3:HG315,"?*"))</f>
        <v/>
      </c>
      <c r="JR315" t="str">
        <f>IF(OR(HG315="",HI315=""),"",IF(COUNTIFS(HG$3:HG315,"?*",HI$3:HI315,HI315)=1,MAX(JR$2:JR314)+1,""))</f>
        <v/>
      </c>
      <c r="JS315">
        <f t="shared" si="684"/>
        <v>0</v>
      </c>
      <c r="JT315">
        <f>IF(B315="","",COUNTIF(B$3:B315,"?*"))</f>
        <v>313</v>
      </c>
      <c r="JU315">
        <f>IF(HL315&lt;&gt;1,0,_xlfn.LET(_xlpm.k,MAX(IFERROR(--_xlfn.XLOOKUP(B315,Коды_код,Коды_3L),0),IFERROR(--_xlfn.XLOOKUP(BC315,Коды_код,Коды_3L),0),IFERROR(--_xlfn.XLOOKUP(LEFT(BC315,2),Коды_код,Коды_3L),0)),IF(_xlpm.k&gt;0,_xlpm.k,IF(IFERROR(--LEFT(SUBSTITUTE(JO315,"x","х"),FIND("х",SUBSTITUTE(JO315,"x","х"))-1),3)&gt;3,Каталог!$S$9,1))))</f>
        <v>1</v>
      </c>
      <c r="JV315">
        <f t="shared" si="685"/>
        <v>2</v>
      </c>
      <c r="JW315" t="str">
        <f t="shared" si="686"/>
        <v>авто</v>
      </c>
      <c r="JX315" t="str">
        <f t="shared" si="687"/>
        <v/>
      </c>
      <c r="JY315">
        <f t="shared" si="688"/>
        <v>0</v>
      </c>
      <c r="JZ315">
        <f t="shared" si="689"/>
        <v>1</v>
      </c>
    </row>
    <row r="316" spans="1:286" x14ac:dyDescent="0.3">
      <c r="A316" t="s">
        <v>761</v>
      </c>
      <c r="B316" t="s">
        <v>1620</v>
      </c>
      <c r="C316" t="s">
        <v>1729</v>
      </c>
      <c r="D316">
        <v>1</v>
      </c>
      <c r="E316">
        <v>7.89</v>
      </c>
      <c r="G316">
        <v>16</v>
      </c>
      <c r="H316" t="str">
        <f>Линии[[#This Row],[_авто управление]]</f>
        <v/>
      </c>
      <c r="I316" t="str">
        <f>Линии[[#This Row],[_авто аппараты]]</f>
        <v/>
      </c>
      <c r="J316">
        <v>2.5</v>
      </c>
      <c r="K316">
        <v>27</v>
      </c>
      <c r="L316" t="str">
        <f>Линии[[#This Row],[_авто фаза]]</f>
        <v>L1,L2,L3</v>
      </c>
      <c r="M316" t="str">
        <f>Линии[[#This Row],[_авто клемма]]</f>
        <v>XT3</v>
      </c>
      <c r="N316" t="str">
        <f t="shared" si="552"/>
        <v/>
      </c>
      <c r="O316" s="6" cm="1">
        <f t="array" ref="O316">IF(B316="","",IF(BH316&lt;&gt;"",IFERROR(_xlfn.XLOOKUP(BH316,Щиты[Щит],Щиты[Iр, А]),""),IF(BP316=1,IF(OR(N(_xlfn.XLOOKUP(A316,Щиты[Щит],Щиты[Вводов],1))&lt;=1,LOWER(TRIM(_xlfn.XLOOKUP(A316,Щиты[Щит],Щиты[АВР],"")&amp;""))="да"),IFERROR(_xlfn.XLOOKUP(A316,Щиты[Щит],Щиты[Iр, А]),""),IFERROR(N(BS316)*_xlfn.XLOOKUP(A316,Щиты[Щит],Щиты[Кс итог])/(SQRT(3)*Uн_лин*_xlfn.XLOOKUP(A316,Щиты[Щит],Щиты[cos φ])),"")),IF(BV316=1,IFERROR(BS316*1000/BU316,""),IFERROR(_xlfn.IFS(BX316=1,BS316/((Uн_лин/SQRT(3))*CE316),BX316=3,BS316/(SQRT(3)*Uн_лин*CE316)),"")))))</f>
        <v>14.23529257470671</v>
      </c>
      <c r="P316" s="7">
        <f>IF(B316="","",IFERROR(IF(VLOOKUP(BC316,Потребители_обозначение,4,FALSE)=1,VLOOKUP(BC316,Потребители_обозначение,3,FALSE)*(MAX(1,N(D316))*2-1)+EI316+VLOOKUP(BE316,Этаж_обозначение,3,FALSE)+VLOOKUP(BE316,Этаж_обозначение,4,FALSE),VLOOKUP(BC316,Потребители_обозначение,3,FALSE)*(MAX(1,N(D316))*2-1)+EI316),EI316))</f>
        <v>30</v>
      </c>
      <c r="Q316" s="6">
        <f t="shared" si="553"/>
        <v>2.31</v>
      </c>
      <c r="R316" t="str">
        <f t="shared" si="554"/>
        <v>ВВГнг(А)-LS (5х2,5)</v>
      </c>
      <c r="S316" t="str">
        <f>IF(BM316="","",IF(BN316="вводной узел","узел ","")&amp;"л."&amp;(INT((BM316-1)/Столбцов_на_лист)+1)&amp;" / "&amp;(MOD(BM316-1,Столбцов_на_лист)+1))</f>
        <v>л.1 / 14</v>
      </c>
      <c r="T316" s="119">
        <f t="shared" si="555"/>
        <v>6</v>
      </c>
      <c r="U316" s="7" t="str">
        <f>IF(OR(CG316=0,N(BV316)+N(IB316)=0),"",ROUNDUP(Запас_БП*(N(HY316)+N(HZ316)),0))</f>
        <v/>
      </c>
      <c r="V316" s="119" t="str">
        <f t="shared" si="556"/>
        <v/>
      </c>
      <c r="W316" s="7" t="str">
        <f>IFERROR(IF(OR(B316="",BP316=1,BV316=1,NOT(ISNUMBER(EN316)),N(DT316)=0),"",MAX(0,ROUNDDOWN((c_min*(Uн_лин*1000/SQRT(3))/(HT316*N(DT316))-_xlfn.XLOOKUP(A316,Щиты[Щит],Щиты[Zпетли на шинах, Ом]))*EN316/(2*ρкз_Cu),0))),"")</f>
        <v/>
      </c>
      <c r="Y316" t="str">
        <f>Линии[[#This Row],[_авто утечка]]</f>
        <v/>
      </c>
      <c r="Z316">
        <v>3</v>
      </c>
      <c r="AA316">
        <v>400</v>
      </c>
      <c r="AB316" t="s">
        <v>598</v>
      </c>
      <c r="AC316">
        <v>0.5</v>
      </c>
      <c r="AI316" t="s">
        <v>600</v>
      </c>
      <c r="AK316" t="str">
        <f>Линии[[#This Row],[_авто модуль]]</f>
        <v/>
      </c>
      <c r="AM316">
        <v>14</v>
      </c>
      <c r="AN316" t="s">
        <v>11</v>
      </c>
      <c r="AO316">
        <v>5</v>
      </c>
      <c r="AQ316">
        <v>17</v>
      </c>
      <c r="AR316">
        <v>10</v>
      </c>
      <c r="AT316">
        <v>1</v>
      </c>
      <c r="BA316" cm="1">
        <f t="array" ref="BA316">ROW()-ROW(Линии[#Headers])</f>
        <v>314</v>
      </c>
      <c r="BC316" s="6" t="str">
        <f t="shared" si="557"/>
        <v>Э</v>
      </c>
      <c r="BD316" t="str">
        <f t="shared" si="558"/>
        <v>3</v>
      </c>
      <c r="BE316" t="str">
        <f t="shared" si="559"/>
        <v>3</v>
      </c>
      <c r="BF316" t="str">
        <f t="shared" si="560"/>
        <v/>
      </c>
      <c r="BG316" t="str">
        <f t="shared" si="561"/>
        <v/>
      </c>
      <c r="BH316" t="str">
        <f>IF(X316&lt;&gt;"",X316,IF(AND(B316&lt;&gt;"",B316&lt;&gt;A316,ISNUMBER(_xlfn.XMATCH(B316,Щиты[Щит]))),B316,""))</f>
        <v/>
      </c>
      <c r="BI316" t="str" cm="1">
        <f t="array" ref="BI316">IF(B316="","",IF(BH316&lt;&gt;"","Щит "&amp;BH316,_xlfn.LET(_xlpm.nm,IFERROR(_xlfn.XLOOKUP(BC316,Коды_код,Коды_имя)&amp;"",""),_xlpm.md,IFERROR(N(_xlfn.XLOOKUP(BC316,Коды_код,Коды_режим)),1),_xlpm.ex,IF(Имя_режим="по экспликации",IFERROR(_xlfn.XLOOKUP(BE316&amp;"|"&amp;BG316,Экспликация[Этаж]&amp;"|"&amp;Экспликация[Помещение],Экспликация[Название])&amp;"",""),""),_xlpm.rm,IF(BG316="","",IF(_xlpm.ex&lt;&gt;"",". "&amp;_xlpm.ex&amp;IF(Имя_пом="нет"," ("&amp;BG316&amp;")"," (пом. "&amp;BG316&amp;")"),IF(Имя_пом="нет"," ",", пом. ")&amp;BG316)),IF(_xlpm.nm="","",IF(_xlpm.md=2,_xlpm.nm&amp;" шлейф "&amp;BE316,_xlpm.nm&amp;_xlpm.rm)))))</f>
        <v>Управляющий электрощит бассейна</v>
      </c>
      <c r="BJ316" t="str">
        <f t="shared" si="562"/>
        <v>Холодная купель Подвальный этаж Пом. 002Тб</v>
      </c>
      <c r="BK316">
        <f>IFERROR(_xlfn.XMATCH(A316,Щиты[Щит]),0)</f>
        <v>12</v>
      </c>
      <c r="BL316">
        <f>_xlfn.LET(_xlpm.k,IFERROR(_xlfn.XLOOKUP(A316,Щиты[Щит],Щиты[Мест под вводной узел]),""),IF(_xlpm.k="",Столбцов_на_лист,N(_xlpm.k)))</f>
        <v>11</v>
      </c>
      <c r="BM316">
        <f t="shared" si="563"/>
        <v>14</v>
      </c>
      <c r="BN316" t="str">
        <f t="shared" si="564"/>
        <v>линии</v>
      </c>
      <c r="BO316" s="6">
        <f>IFERROR(N(_xlfn.XLOOKUP(BC316,Коды_код,Коды_квт)),0)</f>
        <v>0</v>
      </c>
      <c r="BP316">
        <f t="shared" si="565"/>
        <v>0</v>
      </c>
      <c r="BQ316" t="str">
        <f>IF(B316="","",IF(BH316&lt;&gt;"",IFERROR(_xlfn.XLOOKUP(BH316,Щиты[Щит],Щиты[Руст, кВт]),0),IF(BP316=1,IF(OR(N(_xlfn.XLOOKUP(A316,Щиты[Щит],Щиты[Вводов],1))&lt;=1,LOWER(TRIM(_xlfn.XLOOKUP(A316,Щиты[Щит],Щиты[АВР],"")&amp;""))="да"),IFERROR(_xlfn.XLOOKUP(A316,Щиты[Щит],Щиты[Руст, кВт]),0),SUMIFS(Линии[_Р для вводов],Линии[Щит],A316,Линии[Источник для режимов],GF316)),IF(BO316&gt;0,ROUND(BO316*MAX(1,N(D316)),3),""))))</f>
        <v/>
      </c>
      <c r="BR316">
        <f t="shared" si="566"/>
        <v>7.89</v>
      </c>
      <c r="BS316" s="6">
        <f>IF(B316="","",IF(BH316&lt;&gt;"",IFERROR(_xlfn.XLOOKUP(BH316,Щиты[Щит],Щиты[Руст, кВт]),0),N(BR316)))</f>
        <v>7.89</v>
      </c>
      <c r="BT316" t="str">
        <f>IF(B316="","",IFERROR(IF(VLOOKUP(BC316,Потребители_обозначение,8,FALSE)=0,"",VLOOKUP(BC316,Потребители_обозначение,8,FALSE)),""))</f>
        <v/>
      </c>
      <c r="BU316">
        <f t="shared" si="567"/>
        <v>400</v>
      </c>
      <c r="BV316">
        <f t="shared" si="568"/>
        <v>0</v>
      </c>
      <c r="BW316">
        <f>IF(B316="","",IF(BH316&lt;&gt;"",3,IFERROR(IF(N(VLOOKUP(BC316,Потребители_обозначение,9,FALSE))=0,1,VLOOKUP(BC316,Потребители_обозначение,9,FALSE)),1)))</f>
        <v>1</v>
      </c>
      <c r="BX316">
        <f t="shared" si="569"/>
        <v>3</v>
      </c>
      <c r="BY316" t="str">
        <f>IF(B316="","",_xlfn.LET(_xlpm.bc,IFERROR(IF(VLOOKUP(BC316,Потребители_обозначение,6,FALSE)=0,"",VLOOKUP(BC316,Потребители_обозначение,6,FALSE)&amp;""),""),IF(AND(GA316="да",OR(_xlpm.bc="",_xlpm.bc="мс")),Марка_пож,IF(AND(_xlpm.bc="",BH316&lt;&gt;""),"мс",_xlpm.bc))))</f>
        <v/>
      </c>
      <c r="BZ316" t="str">
        <f t="shared" si="570"/>
        <v>мс</v>
      </c>
      <c r="CA316">
        <f>IF(B316="","",_xlfn.LET(_xlpm.cc,IFERROR(N(VLOOKUP(BC316,Потребители_обозначение,7,FALSE)),0),IF(_xlpm.cc&gt;0,_xlpm.cc,IF(BZ316="","",IF(BV316=1,2,IF(N(BX316)=3,5,3))))))</f>
        <v>5</v>
      </c>
      <c r="CB316">
        <f t="shared" si="571"/>
        <v>5</v>
      </c>
      <c r="CC316">
        <f>IFERROR(N(VLOOKUP(BC316,Потребители_обозначение,10,FALSE)),0)</f>
        <v>0</v>
      </c>
      <c r="CD316">
        <f>IFERROR(VLOOKUP(BC316,Потребители_обозначение,5,FALSE),0)</f>
        <v>1</v>
      </c>
      <c r="CE316" s="6" cm="1">
        <f t="array" ref="CE316">IF(B316="","",IF(BH316&lt;&gt;"",IFERROR(_xlfn.XLOOKUP(BH316,Щиты[Щит],Щиты[cos φ]),0.95),IF(BP316=1,IFERROR(_xlfn.XLOOKUP(A316,Щиты[Щит],Щиты[cos φ]),0.95),IF(ISNUMBER(AD316),AD316,IFERROR(IF(CD316=2,_xlfn.IFS(BX316=3,VLOOKUP(BS316,Справочная_двигатели,8,FALSE),BX316=1,VLOOKUP(BS316,Справочная_двигатели,10,TRUE)),IF(AND(Методика="нормы 2026",FG316="Сил"),0.8,0.95)),0.95)))))</f>
        <v>0.8</v>
      </c>
      <c r="CF316">
        <f t="shared" si="572"/>
        <v>0</v>
      </c>
      <c r="CG316">
        <f t="shared" si="573"/>
        <v>1</v>
      </c>
      <c r="CH316">
        <f t="shared" si="574"/>
        <v>0</v>
      </c>
      <c r="CI316">
        <f>IF(B316="","",IF(BV316=1,IFERROR(BS316/((Uн_лин/SQRT(3))*MAX(0.5,N(CE316))),0),N(O316)))</f>
        <v>14.23529257470671</v>
      </c>
      <c r="CJ316">
        <f t="shared" si="575"/>
        <v>0</v>
      </c>
      <c r="CK316">
        <f t="shared" si="576"/>
        <v>0</v>
      </c>
      <c r="CL316">
        <f t="shared" si="577"/>
        <v>0</v>
      </c>
      <c r="CM316">
        <f t="shared" si="578"/>
        <v>0</v>
      </c>
      <c r="CN316">
        <f t="shared" si="579"/>
        <v>0</v>
      </c>
      <c r="CO316">
        <f>IF(BC316="",0,_xlfn.LET(_xlpm.v,IFERROR(_xlfn.XLOOKUP(B316,Коды_код,Коды_мА),IFERROR(_xlfn.XLOOKUP(BC316,Коды_код,Коды_мА),IFERROR(_xlfn.XLOOKUP(LEFT(BC316,2),Коды_код,Коды_мА),""))),IF(_xlpm.v="да",30,IF(ISNUMBER(_xlpm.v),_xlpm.v,0))))</f>
        <v>0</v>
      </c>
      <c r="CP316" t="str">
        <f t="shared" si="580"/>
        <v/>
      </c>
      <c r="CQ316" t="str">
        <f>_xlfn.LET(_xlpm.k,IFERROR(_xlfn.XLOOKUP(BC316,Коды_код,Коды_утечка)&amp;"",""),IF(_xlpm.k="","дифавтомат",_xlpm.k))</f>
        <v>дифавтомат</v>
      </c>
      <c r="CR316" t="str" cm="1">
        <f t="array" ref="CR316">IF(CG316=0,"",_xlfn.LET(_xlpm.sg,TRIM(_xlfn.TEXTSPLIT(DD316&amp;"",";")),_xlpm.f_,_xlfn._xlws.FILTER(_xlpm.sg,LEFT(_xlpm.sg,3)="УЗО",""),IFERROR(INDEX(_xlpm.f_,1)&amp;"","")))</f>
        <v/>
      </c>
      <c r="CS316" t="str">
        <f t="shared" si="581"/>
        <v/>
      </c>
      <c r="CT316" s="6" t="str" cm="1">
        <f t="array" ref="CT316">IF(CR316="","",_xlfn.LET(_xlpm.tk,_xlfn.TEXTSPLIT(UPPER(CR316)," ",,TRUE),_xlpm.a_,_xlfn._xlws.FILTER(_xlpm.tk,ISNUMBER(--LEFT(_xlpm.tk,1))*((ISNUMBER(SEARCH("А",_xlpm.tk))+ISNUMBER(SEARCH("A",_xlpm.tk)))&gt;0)*NOT(ISNUMBER(SEARCH("МА",_xlpm.tk)))*NOT(ISNUMBER(SEARCH("MA",_xlpm.tk))),""),IFERROR(--SUBSTITUTE(SUBSTITUTE(INDEX(_xlpm.a_,1),"А",""),"A",""),"")))</f>
        <v/>
      </c>
      <c r="CU316" t="str" cm="1">
        <f t="array" ref="CU316">IF(CR316="","",_xlfn.LET(_xlpm.tk,_xlfn.TEXTSPLIT(UPPER(CR316)," ",,TRUE),_xlpm.a_,_xlfn._xlws.FILTER(_xlpm.tk,ISNUMBER(--LEFT(_xlpm.tk,1))*((ISNUMBER(SEARCH("МА",_xlpm.tk))+ISNUMBER(SEARCH("MA",_xlpm.tk)))&gt;0),""),IFERROR(--SUBSTITUTE(SUBSTITUTE(INDEX(_xlpm.a_,1),"МА",""),"MA",""),30)))</f>
        <v/>
      </c>
      <c r="CV316" t="str">
        <f>IF(CS316="","",IFERROR(_xlfn.XLOOKUP(CS316,Линии[_n],Линии[_УЗО, мА]),30))</f>
        <v/>
      </c>
      <c r="CW316">
        <f>IF(CS316="",0,IF(ISNUMBER(SEARCH("4P",IFERROR(_xlfn.XLOOKUP(CS316,Линии[_n],Линии[_УЗО строки])&amp;"",""))),0,1))</f>
        <v>0</v>
      </c>
      <c r="CX316" t="str">
        <f>IF(AND(CS316&lt;&gt;"",CS316=BA316),SUMIFS(Линии[_ток на 230 В],Линии[_блок УЗО],BA316,Линии[Щит],A316),"")</f>
        <v/>
      </c>
      <c r="CY316" t="str">
        <f>IF(AND(CS316&lt;&gt;"",CS316=BA316),SUMIFS(Линии[_ток утечки линии, мА],Линии[_блок УЗО],BA316,Линии[Щит],A316),"")</f>
        <v/>
      </c>
      <c r="CZ316">
        <f t="shared" si="582"/>
        <v>0</v>
      </c>
      <c r="DA316">
        <f t="shared" si="583"/>
        <v>0</v>
      </c>
      <c r="DB316">
        <f>IF(B316="",0,IFERROR(--_xlfn.XLOOKUP(B316,Коды_код,Коды_минавт),IFERROR(--_xlfn.XLOOKUP(BC316,Коды_код,Коды_минавт),IFERROR(--_xlfn.XLOOKUP(LEFT(BC316,2),Коды_код,Коды_минавт),0))))</f>
        <v>0</v>
      </c>
      <c r="DC316" t="str">
        <f>IF(B316="","",IFERROR(_xlfn.XLOOKUP(BC316,Коды_код,Коды_апп)&amp;"",""))</f>
        <v/>
      </c>
      <c r="DD316" t="str">
        <f t="shared" si="584"/>
        <v/>
      </c>
      <c r="DE316" t="str" cm="1">
        <f t="array" ref="DE316">IF(TRIM(DD316&amp;"")="","",IFERROR(TRIM(INDEX(_xlfn.TEXTSPLIT(DD316&amp;";;;",";"),1)),""))</f>
        <v/>
      </c>
      <c r="DF316" t="str" cm="1">
        <f t="array" ref="DF316">IF(TRIM(DD316&amp;"")="","",IFERROR(TRIM(INDEX(_xlfn.TEXTSPLIT(DD316&amp;";;;",";"),2)),""))</f>
        <v/>
      </c>
      <c r="DG316" t="str" cm="1">
        <f t="array" ref="DG316">IF(TRIM(DD316&amp;"")="","",IFERROR(TRIM(INDEX(_xlfn.TEXTSPLIT(DD316&amp;";;;",";"),3)),""))</f>
        <v/>
      </c>
      <c r="DH316">
        <f t="shared" si="585"/>
        <v>0</v>
      </c>
      <c r="DI316" t="str">
        <f>IF(B316="","",_xlfn.LET(_xlpm.t,LOWER(AZ316&amp;""),IF(ISNUMBER(SEARCH("dim",_xlpm.t)),"DIM",IF(ISNUMBER(SEARCH("dali",_xlpm.t)),"DALI",IF(OR(ISNUMBER(SEARCH("relay",_xlpm.t)),ISNUMBER(SEARCH("реле",_xlpm.t))),"Relay",IF(ISNUMBER(SEARCH("кнопк",_xlpm.t)),"",IFERROR(_xlfn.XLOOKUP(BC316,Коды_код,Коды_упр)&amp;"","")))))))</f>
        <v/>
      </c>
      <c r="DJ316" t="str">
        <f t="shared" si="586"/>
        <v/>
      </c>
      <c r="DK316">
        <f>IF(B316="","",_xlfn.LET(_xlpm.ig,IF(N(CX316)&gt;0,N(CX316),N(CI316)+IF(AJ316="вручную",0,N(CJ316))),_xlpm.n0,IFERROR(VLOOKUP(_xlpm.ig,Автомат_номиналы,2,TRUE),0),_xlpm.mn,MAX(DB316,IF(AJ316="вручную",0,N(CM316))),MAX(_xlpm.n0,_xlpm.mn,IF(DH316=1,Мин_автомат_БП,0))))</f>
        <v>16</v>
      </c>
      <c r="DL316">
        <f t="shared" si="587"/>
        <v>3</v>
      </c>
      <c r="DM316" t="str">
        <f t="shared" si="588"/>
        <v>3P</v>
      </c>
      <c r="DN316" t="str">
        <f>_xlfn.LET(_xlpm.cc,UPPER(TRIM(IFERROR(_xlfn.XLOOKUP(BC316,Коды_код,Коды_хар)&amp;"",""))),IF(OR(_xlpm.cc="B",_xlpm.cc="В"),"B",IF(_xlpm.cc="D","D","С")))</f>
        <v>С</v>
      </c>
      <c r="DO316" t="str">
        <f t="shared" si="589"/>
        <v>3P С16А</v>
      </c>
      <c r="DP316">
        <f t="shared" si="590"/>
        <v>16</v>
      </c>
      <c r="DQ316" t="str">
        <f t="shared" si="591"/>
        <v>3P С16А</v>
      </c>
      <c r="DR316" cm="1">
        <f t="array" ref="DR316">IF(DQ316="","",_xlfn.LET(_xlpm.t,SUBSTITUTE(SUBSTITUTE(SUBSTITUTE(UPPER(DQ316),"С","C"),"А","A"),"В","B"),_xlpm.tk,_xlfn.TEXTSPLIT(_xlpm.t," "),_xlpm.f,_xlfn._xlws.FILTER(_xlpm.tk,ISNUMBER(--MID(_xlpm.tk,2,1))*ISNUMBER(SEARCH(LEFT(_xlpm.tk,1)&amp;"#","B#C#D#"))*(LEN(_xlpm.tk)&gt;1),""),_xlpm.x,INDEX(_xlpm.f,1),IFERROR(--SUBSTITUTE(MID(_xlpm.x,2,9),"A",""),IFERROR(--SUBSTITUTE(INDEX(_xlfn._xlws.FILTER(_xlpm.tk,ISNUMBER(--SUBSTITUTE(_xlpm.tk,"A","")),""),1),"A",""),""))))</f>
        <v>16</v>
      </c>
      <c r="DS316" t="str">
        <f t="shared" si="592"/>
        <v>ok</v>
      </c>
      <c r="DT316">
        <f t="shared" si="593"/>
        <v>16</v>
      </c>
      <c r="DU316" t="str">
        <f t="shared" si="594"/>
        <v>3P С16А</v>
      </c>
      <c r="DV316">
        <f t="shared" si="595"/>
        <v>0</v>
      </c>
      <c r="DW316">
        <f t="shared" si="596"/>
        <v>0</v>
      </c>
      <c r="DX316">
        <f t="shared" si="597"/>
        <v>0</v>
      </c>
      <c r="DY316">
        <f t="shared" si="598"/>
        <v>14.23529257470671</v>
      </c>
      <c r="DZ316">
        <f t="shared" si="599"/>
        <v>0.92</v>
      </c>
      <c r="EA316">
        <f>IF(ISNUMBER(AP316),AP316,К_прокл)</f>
        <v>1</v>
      </c>
      <c r="EB316">
        <f t="shared" si="600"/>
        <v>3</v>
      </c>
      <c r="EC316">
        <f>IFERROR(N(VLOOKUP(BZ316,Кабель_обозначение,3,FALSE)),1)</f>
        <v>1</v>
      </c>
      <c r="ED316">
        <f>IFERROR(N(_xlfn.XLOOKUP(A316,Щиты[Щит],Щиты[ΔU до шин, %])),0)</f>
        <v>0.96</v>
      </c>
      <c r="EE316" t="str">
        <f>IFERROR(_xlfn.XLOOKUP(A316,Щиты[Щит],Щиты[Zпетли на шинах, Ом]),"")</f>
        <v/>
      </c>
      <c r="EF316">
        <f>IFERROR(N(_xlfn.XLOOKUP(A316,Щиты[Щит],Щиты[ΔU до шин (подбор), %])),0)</f>
        <v>0.96</v>
      </c>
      <c r="EG316" t="str">
        <f>IFERROR(_xlfn.XLOOKUP(A316,Щиты[Щит],Щиты[Zпетли на шинах (подбор), Ом]),"")</f>
        <v/>
      </c>
      <c r="EH316" t="str">
        <f t="shared" si="601"/>
        <v/>
      </c>
      <c r="EI316">
        <f t="shared" si="602"/>
        <v>27</v>
      </c>
      <c r="EJ316">
        <f t="shared" si="603"/>
        <v>1</v>
      </c>
      <c r="EK316">
        <f t="shared" si="604"/>
        <v>0.6</v>
      </c>
      <c r="EL316" s="6">
        <f>IF(B316="","",IF(BV316=1,dU_LED,IF(IFERROR(_xlfn.XLOOKUP(BC316,Коды_код,Коды_уго),"")="Светильник",3,4)+IF(Методика="нормы 2026",MIN(0.5,MAX(0,N(P316)-100)*0.005),0)))</f>
        <v>4</v>
      </c>
      <c r="EM316" cm="1">
        <f t="array" ref="EM316">IF(OR(B316="",BZ316="",EC316&lt;&gt;1),"",_xlfn.LET(_xlpm.sz,Iдоп_S,_xlpm.t_,CHOOSE(EB316,Iдоп_1ж,Iдоп_2ж,Iдоп_3ж)*DZ316*EA316,_xlpm.dcx,BV316=1,_xlpm.inn,IF(_xlpm.dcx,N(O316),N(DT316)),_xlpm.smin,MAX(1.5,CC316),_xlpm.L_,N(P316)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316)/N(BU316)*100,999),IFERROR(N(EJ316)*(_xlpm.rho*_xlpm.L_/_xlpm.sz*N(CE316)+_xlpm.xx*_xlpm.L_*N(EK316)/1000)*N(O316)/((Uн_лин/SQRT(3))*1000)*100,999)),_xlpm.kz,IF(OR(_xlpm.dcx,DW316=1,NOT(ISNUMBER(EG316)),_xlpm.L_=0,_xlpm.inn=0),1,IFERROR(--(c_min*(Uн_лин*1000/SQRT(3))/(EG316+2*ρкз_Cu*_xlpm.L_/_xlpm.sz)&gt;=HT316*_xlpm.inn),0)),_xlpm.ok,IFERROR((_xlpm.sz&gt;=_xlpm.smin)*(_xlpm.t_&gt;=_xlpm.inn)*IF(_xlpm.L_&gt;0,(_xlpm.du_+IF(_xlpm.dcx,0,EF316)&lt;=EL316+0.00001),1)*_xlpm.kz,0),_xlpm.r_,_xlfn._xlws.FILTER(_xlpm.sz,_xlpm.ok,"не подобрано"),INDEX(_xlpm.r_,1)))</f>
        <v>1.5</v>
      </c>
      <c r="EN316">
        <f t="shared" si="605"/>
        <v>2.5</v>
      </c>
      <c r="EO316" cm="1">
        <f t="array" ref="EO316">IF(OR(B316="",BZ316="",EC316&lt;&gt;1),"",_xlfn.LET(_xlpm.sz,Iдоп_S,_xlpm.t_,CHOOSE(EB316,Iдоп_1ж,Iдоп_2ж,Iдоп_3ж)*DZ316*EA316,_xlpm.ok,IFERROR((_xlpm.sz&gt;=MAX(1.5,CC316))*(_xlpm.t_&gt;=N(DT316)),0),_xlpm.r_,_xlfn._xlws.FILTER(_xlpm.sz,_xlpm.ok,""),INDEX(_xlpm.r_,1)))</f>
        <v>1.5</v>
      </c>
      <c r="EP316" s="6" cm="1">
        <f t="array" ref="EP316">IFERROR(ROUNDUP(N(EJ316)*(_xlfn.XLOOKUP(EO316,INDEX(Кабель_сопротивление,0,1),INDEX(Кабель_сопротивление,0,3))*N(P316)/EO316*N(CE316)+_xlfn.XLOOKUP(EO316,INDEX(Кабель_сопротивление,0,1),INDEX(Кабель_сопротивление,0,2))*N(P316)*N(EK316)/1000)*N(O316)/((Uн_лин/SQRT(3))*1000)*100,2),"")</f>
        <v>2.2399999999999998</v>
      </c>
      <c r="EQ316">
        <f>IFERROR(2*ρкз_Cu*N(P316)/EO316,"")</f>
        <v>1.052</v>
      </c>
      <c r="ER316">
        <f>IFERROR(VLOOKUP(EN316,Кабель_сопротивление,3,FALSE),"")</f>
        <v>2.2499999999999999E-2</v>
      </c>
      <c r="ES316">
        <f>IFERROR(VLOOKUP(EN316,Кабель_сопротивление,2,FALSE),"")</f>
        <v>0.1</v>
      </c>
      <c r="ET316">
        <f t="shared" si="606"/>
        <v>10</v>
      </c>
      <c r="EU316">
        <f t="shared" si="607"/>
        <v>0</v>
      </c>
      <c r="EV316">
        <f t="shared" si="608"/>
        <v>3.100446722771121</v>
      </c>
      <c r="EW316" s="6">
        <f>IFERROR(ROUNDUP(EV316/IF(BV316=1,BU316,(Uн_лин/SQRT(3))*1000)*100,2),"")</f>
        <v>1.35</v>
      </c>
      <c r="EX316" t="str">
        <f>IFERROR(VLOOKUP(BZ316,Кабель_обозначение,2,FALSE),"")</f>
        <v>ВВГнг(А)-LS</v>
      </c>
      <c r="EY316" t="str">
        <f t="shared" si="609"/>
        <v>ВВГнг(А)-LS (5х2,5)</v>
      </c>
      <c r="EZ316" t="str">
        <f t="shared" si="610"/>
        <v>ВВГнг(А)-LS (5х2,5)
L=30-1,35%</v>
      </c>
      <c r="FA316">
        <f>IFERROR(2*ρкз_Cu*P316/EN316,"")</f>
        <v>0.63119999999999998</v>
      </c>
      <c r="FB316">
        <f t="shared" si="611"/>
        <v>0.21000000000000002</v>
      </c>
      <c r="FC316" s="6" t="str">
        <f>IFERROR(IF(OR(B316="",BV316=1,NOT(ISNUMBER(EN316)),N(P316)=0),"",_xlfn.XLOOKUP(A316,Щиты[Щит],Щиты[Zпетли на шинах, Ом])+FA316),"")</f>
        <v/>
      </c>
      <c r="FD316" s="6" t="str">
        <f>IF(ISNUMBER(FC316),c_min*(Uн_лин*1000/SQRT(3))/FC316,"")</f>
        <v/>
      </c>
      <c r="FE316" s="6" t="str">
        <f>IFERROR(IF(OR(B316="",NOT(ISNUMBER(EN316))),"",1.05*(Uн_лин*1000/SQRT(3))/(_xlfn.XLOOKUP(A316,Щиты[Щит],Щиты[Zmax на шинах, Ом])+FB316)/1000),"")</f>
        <v/>
      </c>
      <c r="FF316" s="6" t="str">
        <f>IF(B316="","",IF(ISNUMBER(AC316),"Сил",IF(IFERROR(_xlfn.XLOOKUP(BC316,Коды_код,Коды_группа)&amp;"","")="","Быт",_xlfn.XLOOKUP(BC316,Коды_код,Коды_группа)&amp;"")))</f>
        <v>Сил</v>
      </c>
      <c r="FG316" s="6" t="str">
        <f t="shared" si="612"/>
        <v>Сил</v>
      </c>
      <c r="FH316" s="6">
        <f>IF(FG316="Щит","щит",IF(FG316="","",IF(FG316="Быт",IFERROR(_xlfn.XLOOKUP(A316,Щиты[Щит],Щиты[Кс быт]),1),IF(FG316="Сил",IF(ISNUMBER(AC316),AC316,IF(Методика="нормы 2026",IFERROR(_xlfn.XLOOKUP(A316,Щиты[Щит],Щиты[Кс силовых (табл. 7.5)]),1),1)),IF(OR(FG316="Пост",FG316="Отоп"),1,IF(FG316="ВНГ",0.7,0))))))</f>
        <v>0.5</v>
      </c>
      <c r="FI316">
        <f>IF(FG316="","",IF(AND(BP316=1,TRIM(AE316&amp;"")=""),IF(COUNTIFS(Линии[Щит],A316,Линии[Секция (1/2/3)],"&gt;=2")&gt;0,MIN(3,MAX(1,IFERROR(--BD316,1))),1),IFERROR(MIN(3,MAX(1,INT(--AE316))),1)))</f>
        <v>1</v>
      </c>
      <c r="FJ316">
        <f t="shared" si="613"/>
        <v>7.89</v>
      </c>
      <c r="FK316">
        <f t="shared" si="614"/>
        <v>0</v>
      </c>
      <c r="FL316">
        <f t="shared" si="615"/>
        <v>3.9449999999999998</v>
      </c>
      <c r="FM316">
        <f t="shared" si="616"/>
        <v>0</v>
      </c>
      <c r="FN316">
        <f t="shared" si="617"/>
        <v>0</v>
      </c>
      <c r="FO316">
        <f t="shared" si="618"/>
        <v>0</v>
      </c>
      <c r="FP316">
        <f t="shared" si="619"/>
        <v>7.89</v>
      </c>
      <c r="FQ316">
        <f t="shared" si="620"/>
        <v>7.89</v>
      </c>
      <c r="FR316">
        <f t="shared" si="621"/>
        <v>6.3120000000000003</v>
      </c>
      <c r="FS316">
        <f>IF(CG316=1,IF(AND(CH316=1,CW316=1),0,IF(AND(CS316&lt;&gt;"",CS316=BA316,CW316=1),SUMIFS(Линии[_Р линии, кВт],Линии[_блок УЗО],BA316,Линии[Щит],A316),N(BS316)+IF(AJ316="вручную",0,N(CK316)))),0)</f>
        <v>7.89</v>
      </c>
      <c r="FT316" t="str">
        <f t="shared" si="622"/>
        <v/>
      </c>
      <c r="FU316" t="str">
        <f>IF(B316="","",IF(CG316=0,IF(BA316=1,"",FW315),IF(AND(CH316=1,CW316=1,CS316&lt;&gt;""),IFERROR(_xlfn.XLOOKUP(CS316,Линии[_n],Линии[_фаза итог]),"L1"),IF(OR(N(DL316)&gt;=3,N(BX316)&gt;=3),"L1,L2,L3",IFERROR(_xlfn.TEXTBEFORE(_xlfn.TEXTAFTER(_xlfn.XLOOKUP(A316,Щиты[Щит],Щиты[_фазы авто]),";"&amp;BA316&amp;":"),";"),"L1")))))</f>
        <v>L1,L2,L3</v>
      </c>
      <c r="FV316" t="str">
        <f t="shared" si="623"/>
        <v>L1,L2,L3</v>
      </c>
      <c r="FW316" t="str">
        <f t="shared" si="624"/>
        <v>L1,L2,L3</v>
      </c>
      <c r="FX316" cm="1">
        <f t="array" ref="FX316">IFERROR(IF(CD316=2,_xlfn.IFS(BX316=3,VLOOKUP(BS316,Справочная_двигатели,3,FALSE),BX316=1,VLOOKUP(BS316,Справочная_двигатели,5,TRUE)),0),0)</f>
        <v>0</v>
      </c>
      <c r="FY316">
        <f>IFERROR(IF(CD316=3,VLOOKUP(BS316,Справочная_ЛЭД,2,TRUE),0),0)</f>
        <v>0</v>
      </c>
      <c r="FZ316" s="6">
        <f t="shared" si="625"/>
        <v>0</v>
      </c>
      <c r="GA316" t="str">
        <f>IF(B316="","",IF(TRIM(AH316&amp;"")&lt;&gt;"",IF(LOWER(TRIM(AH316&amp;""))="да","да","нет"),IF(IFERROR(_xlfn.XLOOKUP(BC316,Коды_код,Коды_пожарная),"")="да","да","нет")))</f>
        <v>нет</v>
      </c>
      <c r="GB316" t="str">
        <f t="shared" si="626"/>
        <v/>
      </c>
      <c r="GC316" t="str">
        <f t="shared" si="627"/>
        <v>основная</v>
      </c>
      <c r="GD316">
        <f>IF(AND(BP316=1,TRIM(AE316&amp;"")=""),IF(COUNTIFS(Линии[Щит],A316,Линии[Секция (1/2/3)],"&gt;=2")&gt;0,MIN(3,MAX(1,IFERROR(--BD316,1))),1),IFERROR(MIN(3,MAX(1,INT(--AE316))),1))</f>
        <v>1</v>
      </c>
      <c r="GE316" t="str" cm="1">
        <f t="array" ref="GE316">IF(B316="","",_xlfn.LET(_xlpm.t,IFERROR(_xlfn.XLOOKUP(1,(Шины[Шина]=GC316)*(((Шины[Щит]=A316)+(Шины[Щит]=""))&gt;0),Шины[Тип]),"")&amp;"",IF(_xlpm.t&lt;&gt;"",_xlpm.t,IF(ISNUMBER(SEARCH("ИБП",GC316)),"ИБП",IF(ISNUMBER(SEARCH("ДГУ",GC316)),"ДГУ","Ввод "&amp;GD316)))))</f>
        <v>Ввод 1</v>
      </c>
      <c r="GF316" t="str">
        <f t="shared" si="628"/>
        <v>Ввод 1</v>
      </c>
      <c r="GG316" t="str">
        <f>IF(BP316=0,"",IF(TRIM(AG316&amp;"")&lt;&gt;"",TRIM(AG316&amp;""),IF(OR(GE316="ИБП",GE316="ДГУ"),"I особая",_xlfn.XLOOKUP(A316,Щиты[Щит],Щиты[Категория шины «Ввод»],"III"))))</f>
        <v/>
      </c>
      <c r="GH316" t="str">
        <f>IF(A316="","",_xlfn.XLOOKUP(A316,Щиты[Щит],Щиты[Путь],""))</f>
        <v>|ГРЩ-ЖД|ЩС-Б|</v>
      </c>
      <c r="GI316" t="str">
        <f>IF(B316="","",IF(AI316&lt;&gt;"",AI316,IF(IFERROR(_xlfn.XLOOKUP(BC316,Коды_код,Коды_вид)&amp;"","")="","Прочее",_xlfn.XLOOKUP(BC316,Коды_код,Коды_вид)&amp;"")))</f>
        <v>Бассейн, SPA, хаммам</v>
      </c>
      <c r="GJ316">
        <f>IF(BM316="","",INT((BM316-1)/Столбцов_на_лист)+1)</f>
        <v>1</v>
      </c>
      <c r="GK316" t="str">
        <f t="shared" si="629"/>
        <v>ВВГнг(А)-LS (5х2,5) L=30-1,35%</v>
      </c>
      <c r="GL316">
        <f t="shared" si="630"/>
        <v>7.89</v>
      </c>
      <c r="GM316">
        <f t="shared" si="631"/>
        <v>14.24</v>
      </c>
      <c r="GN316">
        <f t="shared" si="632"/>
        <v>3</v>
      </c>
      <c r="GO316">
        <f t="shared" si="633"/>
        <v>0</v>
      </c>
      <c r="GP316">
        <f t="shared" si="634"/>
        <v>1</v>
      </c>
      <c r="GQ316">
        <f>IF(BM316="","",IF(AND(CG316=1,GP316=1),COUNTIFS(A$3:A316,A316,CG$3:CG316,1,GP$3:GP316,1),IF(OR(OR(BA316=1,A316&lt;&gt;A315),AJ316="вручную",GP316=0),"",IF(BA316=1,"",GR315))))</f>
        <v>3</v>
      </c>
      <c r="GR316">
        <f t="shared" si="635"/>
        <v>3</v>
      </c>
      <c r="GS316">
        <f>IF(B316="","",IFERROR(LOOKUP(INDEX(CHOOSE(EB316,Iдоп_1ж,Iдоп_2ж,Iдоп_3ж),MATCH(EN316,Iдоп_S,0))*DZ316*EA316,{6,10,16,20,25,32,40,50,63,80,100,125,160,200,250,315,400,500,630}),""))</f>
        <v>20</v>
      </c>
      <c r="GT316" t="str">
        <f t="shared" si="636"/>
        <v>QF3</v>
      </c>
      <c r="GU316" t="str">
        <f t="shared" si="637"/>
        <v>QF3</v>
      </c>
      <c r="GV316" t="str">
        <f t="shared" si="638"/>
        <v/>
      </c>
      <c r="GW316">
        <f t="shared" si="639"/>
        <v>0</v>
      </c>
      <c r="GX316" t="str">
        <f>IF(OR(B316="",DJ316=""),"",IFERROR(_xlfn.XLOOKUP(DJ316,Модули_умолч[Управление],Модули_умолч[Модель])&amp;"",""))</f>
        <v/>
      </c>
      <c r="GY316">
        <f>IF(DJ316="",1,IFERROR(MAX(0,N(_xlfn.XLOOKUP(DJ316,Модули_умолч[Управление],Модули_умолч[Каналов на линию]))),1))</f>
        <v>1</v>
      </c>
      <c r="GZ316" t="str">
        <f t="shared" si="640"/>
        <v/>
      </c>
      <c r="HA316" t="str">
        <f t="shared" si="641"/>
        <v/>
      </c>
      <c r="HB316" t="str">
        <f t="shared" si="642"/>
        <v/>
      </c>
      <c r="HC316">
        <f>IF(HB316="",0,IFERROR(N(VLOOKUP(HB316,Модули_спр,3,FALSE)),0))</f>
        <v>0</v>
      </c>
      <c r="HD316" t="str">
        <f t="shared" si="643"/>
        <v/>
      </c>
      <c r="HE316" t="str">
        <f t="shared" si="644"/>
        <v/>
      </c>
      <c r="HF316" t="str">
        <f>IF(OR(HE316="",HE316="-"),"",IFERROR(VLOOKUP(HE316,Модули_спр,2,FALSE),"R"))</f>
        <v/>
      </c>
      <c r="HG316" t="str">
        <f>IF(HF316="","",HF316&amp;"."&amp;COUNTIFS(A$3:A316,A316,HF$3:HF316,HF316))</f>
        <v/>
      </c>
      <c r="HH316" t="str">
        <f t="shared" si="645"/>
        <v/>
      </c>
      <c r="HI316" t="str">
        <f t="shared" si="646"/>
        <v/>
      </c>
      <c r="HJ316" t="str">
        <f t="shared" si="647"/>
        <v/>
      </c>
      <c r="HK316" t="str">
        <f t="shared" si="648"/>
        <v/>
      </c>
      <c r="HL316">
        <f t="shared" si="649"/>
        <v>1</v>
      </c>
      <c r="HM316" t="str">
        <f>IF(HL316=1,"XT"&amp;COUNTIFS(A$3:A316,A316,HL$3:HL316,1),"")</f>
        <v>XT3</v>
      </c>
      <c r="HN316" t="str">
        <f t="shared" si="650"/>
        <v>XT3</v>
      </c>
      <c r="HO316" t="str">
        <f t="shared" si="651"/>
        <v>QF3</v>
      </c>
      <c r="HP316" t="str">
        <f t="shared" si="652"/>
        <v/>
      </c>
      <c r="HQ316" t="str">
        <f t="shared" si="653"/>
        <v>ok</v>
      </c>
      <c r="HR316" t="str">
        <f>IF(OR(HJ316="",HH316=""),"",IF(HJ316+MAX(0,GY316-1)&gt;IFERROR(VLOOKUP(HI316,Модули_спр,3,FALSE),99),"ЛИШНИЙ КАНАЛ",IF(AND(AL316&lt;&gt;"=",GY316&gt;0,COUNTIFS(Линии[_модуль гр.],HH316,Линии[Канал (итог)],HJ316,Линии[Канал],"&lt;&gt;=",Линии[Щит],A316)&gt;1),"ДУБЛЬ КАНАЛА","")))</f>
        <v/>
      </c>
      <c r="HS316" s="6" t="str">
        <f t="shared" si="654"/>
        <v/>
      </c>
      <c r="HT316">
        <f t="shared" si="655"/>
        <v>10</v>
      </c>
      <c r="HU316" t="str">
        <f t="shared" si="656"/>
        <v/>
      </c>
      <c r="HV316">
        <f t="shared" si="657"/>
        <v>5.994117029882684</v>
      </c>
      <c r="HW316">
        <f t="shared" si="658"/>
        <v>0</v>
      </c>
      <c r="HX316">
        <f t="shared" si="659"/>
        <v>0</v>
      </c>
      <c r="HY316">
        <f t="shared" si="660"/>
        <v>0</v>
      </c>
      <c r="HZ316">
        <f t="shared" si="661"/>
        <v>0</v>
      </c>
      <c r="IA316">
        <f t="shared" si="662"/>
        <v>0</v>
      </c>
      <c r="IB316">
        <f t="shared" si="663"/>
        <v>0</v>
      </c>
      <c r="IC316" t="str">
        <f t="shared" si="664"/>
        <v/>
      </c>
      <c r="ID316" t="str" cm="1">
        <f t="array" ref="ID316">IF(IC316="","",_xlfn.LET(_xlpm.tk,_xlfn.TEXTSPLIT(SUBSTITUTE(SUBSTITUTE(IC316,";"," "),"→"," ")," ",,TRUE),_xlpm.w_,_xlfn._xlws.FILTER(_xlpm.tk,ISNUMBER(--LEFT(_xlpm.tk,1))*((ISNUMBER(SEARCH("W",_xlpm.tk))+ISNUMBER(SEARCH("Вт",_xlpm.tk)))&gt;0),""),IFERROR(--SUBSTITUTE(SUBSTITUTE(UPPER(INDEX(_xlpm.w_,1)),"W",""),"ВТ",""),"")))</f>
        <v/>
      </c>
      <c r="IE316" t="str" cm="1">
        <f t="array" ref="IE316">IF(IC316="","",_xlfn.LET(_xlpm.tk,_xlfn.TEXTSPLIT(SUBSTITUTE(SUBSTITUTE(IC316,";"," "),"→"," ")," ",,TRUE),_xlpm.v_,_xlfn._xlws.FILTER(_xlpm.tk,ISNUMBER(--LEFT(_xlpm.tk,1))*((ISNUMBER(SEARCH("V",_xlpm.tk))+(RIGHT(UPPER(_xlpm.tk))="В"))&gt;0),""),IFERROR(--SUBSTITUTE(SUBSTITUTE(UPPER(INDEX(_xlpm.v_,1)),"V",""),"В",""),"")))</f>
        <v/>
      </c>
      <c r="IF316" s="6" t="str">
        <f>IF(OR(BV316=0,HI316="",HJ316=""),"",IFERROR(N(_xlfn.XLOOKUP(HI316,Каталог!$C$4:$C$500,Каталог!$Q$4:$Q$500)),""))</f>
        <v/>
      </c>
      <c r="IG316" s="6" t="str">
        <f>IF(N(IF316)=0,"",SUMIFS(Линии[Iр, А],Линии[Щит],A316,Линии[_модуль гр.],HH316,Линии[Канал (итог)],HJ316))</f>
        <v/>
      </c>
      <c r="IH316" t="str">
        <f>IF(AND(B316="",HO316=""),"",_xlfn.TEXTJOIN("; ",TRUE,IF(AND(B316&lt;&gt;"",FV316=""),"нет фазы",""),IF(AND(B316&lt;&gt;"",N(GL316)=0,FG316&lt;&gt;"Нет"),"нет мощности",""),IF(AND(HN316&lt;&gt;"",COUNTIFS(Линии[Щит],A316,Линии[Клемма (итог)],HN316)&gt;1),"дубль клеммы "&amp;HN316,""),IF(AND(HQ316&lt;&gt;"",HQ316&lt;&gt;"ok"),HQ316,""),IF(HR316&lt;&gt;"",HR316,""),IF(AND(N(CB316)&gt;=4,N(BX316)=1),CB316&amp;" жил на 1 фазе",""),IF(AND(BC316="R",CG316=1,IF(CS316&lt;&gt;"",N(CV316)&gt;30,OR(N(DA316)=0,N(DA316)&gt;30))),"розетка без дифзащиты до 30 мА",""),IF(AND(CG316=1,N(DA316)&gt;0,ISNUMBER(T316)),IF(T316&gt;N(DA316)/3,"ток утечки "&amp;FIXED(T316,1)&amp;" мА &gt; 1/3 уставки ("&amp;DA316&amp;" мА)",""),""),IF(AND(CH316=1,CS316=""),"«узо»: нет строки с УЗО выше (УЗО 2P 40А 30мА в «Аппаратах»)",""),IF(AND(CS316&lt;&gt;"",CS316=BA316),IF(CT316="","впишите номинал УЗО (УЗО 2P 40А 30мА)",IF(N(CT316)&lt;N(DT316),"УЗО "&amp;CT316&amp;" А &lt; автомата "&amp;DT316&amp;" А перед ним",IF(N(CT316)&lt;N(CX316),"УЗО "&amp;CT316&amp;" А &lt; тока блока "&amp;FIXED(CX316,1)&amp;" А",""))),""),IF(AND(CS316&lt;&gt;"",CS316=BA316,ISNUMBER(CY316)),IF(CY316&gt;N(CV316)/3,"ток утечки блока УЗО "&amp;FIXED(CY316,1)&amp;" мА &gt; 1/3 уставки ("&amp;CV316&amp;" мА)",""),""),IF(AND(CG316=1,N(BV316)+N(IB316)&gt;0,IC316=""),"линии до 50 В без БП: впишите в «Аппараты» (БП 24V 480W)",""),IF(AND(CG316=1,ISNUMBER(ID316),ISNUMBER(U316)),IF(U316&gt;ID316,"БП "&amp;ID316&amp;" Вт &lt; нужно "&amp;U316&amp;" Вт (×"&amp;Запас_БП&amp;")",""),""),IF(AND(CG316=1,ISNUMBER(IE316),N(BV316)=1),IF(IE316&lt;&gt;N(BU316),"БП на "&amp;IE316&amp;" В, линия "&amp;BU316&amp;" В",""),""),IF(AND(N(IF316)&gt;0,N(IG316)&gt;N(IF316)),HH316&amp;" канал "&amp;HJ316&amp;": "&amp;FIXED(IG316,1)&amp;" А &gt; "&amp;IF316&amp;" А",""),IFERROR(IF(AND(ISNUMBER(Q316),Q316&gt;EL316),"потери "&amp;FIXED(Q316,1)&amp;" % &gt; "&amp;EL316&amp;" %",""),""),IFERROR(IF(LEFT(HU316,4)="мало","Iкз мало — отключение &gt; 0,4 с",""),""),IF(AND(B316&lt;&gt;"",BM316=""),"не на схеме",""),IF(AND(CG316=0,B316&lt;&gt;"",FV316&lt;&gt;"",IF(BA316=1,"",FW315)&lt;&gt;"",FV316&lt;&gt;IF(BA316=1,"",FW315)),"фаза не как у автомата группы ("&amp;IF(BA316=1,"",FW315)&amp;")","")))</f>
        <v/>
      </c>
      <c r="II316" s="6" t="str">
        <f>IF(OR(CG316=0,DQ316=""),"",_xlfn.LET(_xlpm.t,IFERROR(_xlfn.XLOOKUP(DQ316,Каталог!$U$4:$U$500,Каталог!$G$4:$G$500),""),_xlpm.k,SEARCH("кА",_xlpm.t),IFERROR(--TRIM(RIGHT(SUBSTITUTE(MID(_xlpm.t,MAX(1,_xlpm.k-4),_xlpm.k-MAX(1,_xlpm.k-4))," ",REPT(" ",9)),5)),"")))</f>
        <v/>
      </c>
      <c r="IJ316" t="str">
        <f>IF(OR(II316="",CG316=0),"",IF(_xlfn.XLOOKUP(A316,Щиты[Щит],Щиты[Iкз max на шинах, кА],"")="","",IF(II316&lt;_xlfn.XLOOKUP(A316,Щиты[Щит],Щиты[Iкз max на шинах, кА]),"Icu "&amp;II316&amp;" кА &lt; Iкз max","ok")))</f>
        <v/>
      </c>
      <c r="IK316" t="str">
        <f t="shared" si="665"/>
        <v/>
      </c>
      <c r="IL316" t="str">
        <f t="shared" si="666"/>
        <v>QF3|XT3</v>
      </c>
      <c r="IM316" t="str">
        <f t="shared" si="667"/>
        <v>QF3|XT3|кабель ВВГнг(А)-LS (5х2,5) → Холодная купель Подвальный этаж Пом. 002Тб</v>
      </c>
      <c r="IN316" t="str" cm="1">
        <f t="array" ref="IN316">IF(IM316="","",_xlfn.LET(_xlpm.nd,_xlfn.TEXTSPLIT(IM316,"|"),IF(COLUMNS(_xlpm.nd)&gt;1,A316&amp;"¦"&amp;INDEX(_xlpm.nd,1)&amp;"¦"&amp;INDEX(_xlpm.nd,2),"")))</f>
        <v>ЩС-Б¦QF3¦XT3</v>
      </c>
      <c r="IO316" t="str">
        <f t="shared" si="668"/>
        <v>Э.3¦Холодная купель Подвальный этаж Пом. 002Тб</v>
      </c>
      <c r="IP316" t="str" cm="1">
        <f t="array" ref="IP316">IF(IM316="","",_xlfn.LET(_xlpm.nd,_xlfn.TEXTSPLIT(IM316,"|"),IF(COLUMNS(_xlpm.nd)&gt;2,A316&amp;"¦"&amp;INDEX(_xlpm.nd,2)&amp;"¦"&amp;INDEX(_xlpm.nd,3),"")))</f>
        <v>ЩС-Б¦XT3¦кабель ВВГнг(А)-LS (5х2,5) → Холодная купель Подвальный этаж Пом. 002Тб</v>
      </c>
      <c r="IQ316" t="str">
        <f t="shared" si="669"/>
        <v>Э.3¦Холодная купель Подвальный этаж Пом. 002Тб</v>
      </c>
      <c r="IR316" t="str" cm="1">
        <f t="array" ref="IR316">IF(IM316="","",_xlfn.LET(_xlpm.nd,_xlfn.TEXTSPLIT(IM316,"|"),IF(COLUMNS(_xlpm.nd)&gt;3,A316&amp;"¦"&amp;INDEX(_xlpm.nd,3)&amp;"¦"&amp;INDEX(_xlpm.nd,4),"")))</f>
        <v/>
      </c>
      <c r="IS316" t="str">
        <f t="shared" si="670"/>
        <v/>
      </c>
      <c r="IT316" t="str" cm="1">
        <f t="array" ref="IT316">IF(IM316="","",_xlfn.LET(_xlpm.nd,_xlfn.TEXTSPLIT(IM316,"|"),IF(COLUMNS(_xlpm.nd)&gt;4,A316&amp;"¦"&amp;INDEX(_xlpm.nd,4)&amp;"¦"&amp;INDEX(_xlpm.nd,5),"")))</f>
        <v/>
      </c>
      <c r="IU316" t="str">
        <f t="shared" si="671"/>
        <v/>
      </c>
      <c r="IV316" t="str" cm="1">
        <f t="array" ref="IV316">IF(IM316="","",_xlfn.LET(_xlpm.nd,_xlfn.TEXTSPLIT(IM316,"|"),IF(COLUMNS(_xlpm.nd)&gt;5,A316&amp;"¦"&amp;INDEX(_xlpm.nd,5)&amp;"¦"&amp;INDEX(_xlpm.nd,6),"")))</f>
        <v/>
      </c>
      <c r="IW316" t="str">
        <f t="shared" si="672"/>
        <v/>
      </c>
      <c r="IX316" t="str" cm="1">
        <f t="array" ref="IX316">IF(IM316="","",_xlfn.LET(_xlpm.nd,_xlfn.TEXTSPLIT(IM316,"|"),IF(COLUMNS(_xlpm.nd)&gt;6,A316&amp;"¦"&amp;INDEX(_xlpm.nd,6)&amp;"¦"&amp;INDEX(_xlpm.nd,7),"")))</f>
        <v/>
      </c>
      <c r="IY316" t="str">
        <f t="shared" si="673"/>
        <v/>
      </c>
      <c r="IZ316" t="str">
        <f t="shared" si="674"/>
        <v/>
      </c>
      <c r="JA316" t="str">
        <f t="shared" si="675"/>
        <v>QF3 → XT3</v>
      </c>
      <c r="JB316">
        <f t="shared" si="676"/>
        <v>0</v>
      </c>
      <c r="JC316">
        <f t="shared" si="677"/>
        <v>0</v>
      </c>
      <c r="JD316" t="str">
        <f t="shared" si="678"/>
        <v/>
      </c>
      <c r="JE316" t="str">
        <f t="shared" si="679"/>
        <v/>
      </c>
      <c r="JF316" t="str">
        <f t="shared" si="680"/>
        <v/>
      </c>
      <c r="JG316" t="str">
        <f t="shared" si="681"/>
        <v/>
      </c>
      <c r="JH316">
        <f>IF(B316="","",IFERROR(_xlfn.XLOOKUP(B316,Коды_код,Коды_уго),IFERROR(_xlfn.XLOOKUP(BC316,Коды_код,Коды_уго),IFERROR(_xlfn.XLOOKUP(LEFT(BC316,2),Коды_код,Коды_уго),""))))</f>
        <v>0</v>
      </c>
      <c r="JI316" t="str">
        <f>IF(B316="","",IF(OR(JH316="",JH316=0),"BOX",IFERROR(IF(VLOOKUP(JH316,УГО_блоки,3,FALSE)&amp;""&lt;&gt;"",VLOOKUP(JH316,УГО_блоки,3,FALSE),VLOOKUP(JH316,УГО_блоки,2,FALSE)),JH316)))</f>
        <v>BOX</v>
      </c>
      <c r="JJ316">
        <f t="shared" si="682"/>
        <v>1</v>
      </c>
      <c r="JK316" t="str">
        <f>IF(DQ316="","",IF(COUNTIF(DQ$3:DQ316,DQ316)=1,MAX(JK$2:JK315)+1,""))</f>
        <v/>
      </c>
      <c r="JL316" t="str">
        <f>IF(DE316="","",IF(COUNTIF(DE$3:DE316,DE316)+COUNTIF(DF$2:DF315,DE316)+COUNTIF(DG$2:DG315,DE316)=1,MAX(JL$2:JN315)+1,""))</f>
        <v/>
      </c>
      <c r="JM316" t="str">
        <f>IF(DF316="","",IF(COUNTIF(DE$3:DE316,DF316)+COUNTIF(DF$3:DF316,DF316)+COUNTIF(DG$2:DG315,DF316)=1,MAX(JL$2:JN315,JL316)+1,""))</f>
        <v/>
      </c>
      <c r="JN316" t="str">
        <f>IF(DG316="","",IF(COUNTIF(DE$3:DE316,DG316)+COUNTIF(DF$3:DF316,DG316)+COUNTIF(DG$3:DG316,DG316)=1,MAX(JL$2:JN315,JL316,JM316)+1,""))</f>
        <v/>
      </c>
      <c r="JO316" t="str">
        <f t="shared" si="683"/>
        <v>5х2,5</v>
      </c>
      <c r="JP316" t="str">
        <f>IF(JO316="","",IF(COUNTIF(JO$3:JO316,JO316)=1,MAX(JP$2:JP315)+1,""))</f>
        <v/>
      </c>
      <c r="JQ316" t="str">
        <f>IF(HG316="","",COUNTIF(HG$3:HG316,"?*"))</f>
        <v/>
      </c>
      <c r="JR316" t="str">
        <f>IF(OR(HG316="",HI316=""),"",IF(COUNTIFS(HG$3:HG316,"?*",HI$3:HI316,HI316)=1,MAX(JR$2:JR315)+1,""))</f>
        <v/>
      </c>
      <c r="JS316">
        <f t="shared" si="684"/>
        <v>0</v>
      </c>
      <c r="JT316">
        <f>IF(B316="","",COUNTIF(B$3:B316,"?*"))</f>
        <v>314</v>
      </c>
      <c r="JU316">
        <f>IF(HL316&lt;&gt;1,0,_xlfn.LET(_xlpm.k,MAX(IFERROR(--_xlfn.XLOOKUP(B316,Коды_код,Коды_3L),0),IFERROR(--_xlfn.XLOOKUP(BC316,Коды_код,Коды_3L),0),IFERROR(--_xlfn.XLOOKUP(LEFT(BC316,2),Коды_код,Коды_3L),0)),IF(_xlpm.k&gt;0,_xlpm.k,IF(IFERROR(--LEFT(SUBSTITUTE(JO316,"x","х"),FIND("х",SUBSTITUTE(JO316,"x","х"))-1),3)&gt;3,Каталог!$S$9,1))))</f>
        <v>1</v>
      </c>
      <c r="JV316">
        <f t="shared" si="685"/>
        <v>2</v>
      </c>
      <c r="JW316" t="str">
        <f t="shared" si="686"/>
        <v>авто</v>
      </c>
      <c r="JX316" t="str">
        <f t="shared" si="687"/>
        <v/>
      </c>
      <c r="JY316">
        <f t="shared" si="688"/>
        <v>0</v>
      </c>
      <c r="JZ316">
        <f t="shared" si="689"/>
        <v>1</v>
      </c>
    </row>
    <row r="317" spans="1:286" x14ac:dyDescent="0.3">
      <c r="A317" t="s">
        <v>763</v>
      </c>
      <c r="B317" t="s">
        <v>741</v>
      </c>
      <c r="C317" t="str">
        <f>Линии[[#This Row],[_авто наименование]]</f>
        <v>Вводной кабель шлейф 1</v>
      </c>
      <c r="D317">
        <v>1</v>
      </c>
      <c r="E317">
        <f>Линии[[#This Row],[_авто Р]]</f>
        <v>3.8000000000000003</v>
      </c>
      <c r="G317">
        <v>20</v>
      </c>
      <c r="H317" t="str">
        <f>Линии[[#This Row],[_авто управление]]</f>
        <v/>
      </c>
      <c r="I317" t="str">
        <f>Линии[[#This Row],[_авто аппараты]]</f>
        <v/>
      </c>
      <c r="J317">
        <v>4</v>
      </c>
      <c r="K317">
        <v>50</v>
      </c>
      <c r="L317" t="str">
        <f>Линии[[#This Row],[_авто фаза]]</f>
        <v>L2</v>
      </c>
      <c r="M317" t="str">
        <f>Линии[[#This Row],[_авто клемма]]</f>
        <v/>
      </c>
      <c r="N317" t="str">
        <f t="shared" si="552"/>
        <v>потери 4,2 % &gt; 4 %</v>
      </c>
      <c r="O317" s="6" cm="1">
        <f t="array" ref="O317">IF(B317="","",IF(BH317&lt;&gt;"",IFERROR(_xlfn.XLOOKUP(BH317,Щиты[Щит],Щиты[Iр, А]),""),IF(BP317=1,IF(OR(N(_xlfn.XLOOKUP(A317,Щиты[Щит],Щиты[Вводов],1))&lt;=1,LOWER(TRIM(_xlfn.XLOOKUP(A317,Щиты[Щит],Щиты[АВР],"")&amp;""))="да"),IFERROR(_xlfn.XLOOKUP(A317,Щиты[Щит],Щиты[Iр, А]),""),IFERROR(N(BS317)*_xlfn.XLOOKUP(A317,Щиты[Щит],Щиты[Кс итог])/(SQRT(3)*Uн_лин*_xlfn.XLOOKUP(A317,Щиты[Щит],Щиты[cos φ])),"")),IF(BV317=1,IFERROR(BS317*1000/BU317,""),IFERROR(_xlfn.IFS(BX317=1,BS317/((Uн_лин/SQRT(3))*CE317),BX317=3,BS317/(SQRT(3)*Uн_лин*CE317)),"")))))</f>
        <v>10.28405166994021</v>
      </c>
      <c r="P317" s="7">
        <f>IF(B317="","",IFERROR(IF(VLOOKUP(BC317,Потребители_обозначение,4,FALSE)=1,VLOOKUP(BC317,Потребители_обозначение,3,FALSE)*(MAX(1,N(D317))*2-1)+EI317+VLOOKUP(BE317,Этаж_обозначение,3,FALSE)+VLOOKUP(BE317,Этаж_обозначение,4,FALSE),VLOOKUP(BC317,Потребители_обозначение,3,FALSE)*(MAX(1,N(D317))*2-1)+EI317),EI317))</f>
        <v>50</v>
      </c>
      <c r="Q317" s="6">
        <f t="shared" si="553"/>
        <v>4.1499999999999995</v>
      </c>
      <c r="R317" t="str">
        <f t="shared" si="554"/>
        <v>ВВГнг(А)-LS (3х4)</v>
      </c>
      <c r="S317" t="str">
        <f>IF(BM317="","",IF(BN317="вводной узел","узел ","")&amp;"л."&amp;(INT((BM317-1)/Столбцов_на_лист)+1)&amp;" / "&amp;(MOD(BM317-1,Столбцов_на_лист)+1))</f>
        <v>узел л.1 / 2</v>
      </c>
      <c r="T317" s="119" t="str">
        <f t="shared" si="555"/>
        <v/>
      </c>
      <c r="U317" s="7" t="str">
        <f>IF(OR(CG317=0,N(BV317)+N(IB317)=0),"",ROUNDUP(Запас_БП*(N(HY317)+N(HZ317)),0))</f>
        <v/>
      </c>
      <c r="V317" s="119" t="str">
        <f t="shared" si="556"/>
        <v/>
      </c>
      <c r="W317" s="7" t="str">
        <f>IFERROR(IF(OR(B317="",BP317=1,BV317=1,NOT(ISNUMBER(EN317)),N(DT317)=0),"",MAX(0,ROUNDDOWN((c_min*(Uн_лин*1000/SQRT(3))/(HT317*N(DT317))-_xlfn.XLOOKUP(A317,Щиты[Щит],Щиты[Zпетли на шинах, Ом]))*EN317/(2*ρкз_Cu),0))),"")</f>
        <v/>
      </c>
      <c r="Y317" t="str">
        <f>Линии[[#This Row],[_авто утечка]]</f>
        <v/>
      </c>
      <c r="Z317">
        <v>1</v>
      </c>
      <c r="AA317">
        <v>230</v>
      </c>
      <c r="AB317" t="s">
        <v>547</v>
      </c>
      <c r="AJ317" t="s">
        <v>1344</v>
      </c>
      <c r="AK317" t="str">
        <f>Линии[[#This Row],[_авто модуль]]</f>
        <v/>
      </c>
      <c r="AM317">
        <v>2</v>
      </c>
      <c r="AN317" t="s">
        <v>11</v>
      </c>
      <c r="AO317">
        <v>3</v>
      </c>
      <c r="AQ317">
        <v>34</v>
      </c>
      <c r="AR317">
        <v>11</v>
      </c>
      <c r="BA317" cm="1">
        <f t="array" ref="BA317">ROW()-ROW(Линии[#Headers])</f>
        <v>315</v>
      </c>
      <c r="BC317" s="6" t="str">
        <f t="shared" si="557"/>
        <v>Ввод</v>
      </c>
      <c r="BD317" t="str">
        <f t="shared" si="558"/>
        <v>1</v>
      </c>
      <c r="BE317" t="str">
        <f t="shared" si="559"/>
        <v>1</v>
      </c>
      <c r="BF317" t="str">
        <f t="shared" si="560"/>
        <v/>
      </c>
      <c r="BG317" t="str">
        <f t="shared" si="561"/>
        <v/>
      </c>
      <c r="BH317" t="str">
        <f>IF(X317&lt;&gt;"",X317,IF(AND(B317&lt;&gt;"",B317&lt;&gt;A317,ISNUMBER(_xlfn.XMATCH(B317,Щиты[Щит]))),B317,""))</f>
        <v/>
      </c>
      <c r="BI317" t="str" cm="1">
        <f t="array" ref="BI317">IF(B317="","",IF(BH317&lt;&gt;"","Щит "&amp;BH317,_xlfn.LET(_xlpm.nm,IFERROR(_xlfn.XLOOKUP(BC317,Коды_код,Коды_имя)&amp;"",""),_xlpm.md,IFERROR(N(_xlfn.XLOOKUP(BC317,Коды_код,Коды_режим)),1),_xlpm.ex,IF(Имя_режим="по экспликации",IFERROR(_xlfn.XLOOKUP(BE317&amp;"|"&amp;BG317,Экспликация[Этаж]&amp;"|"&amp;Экспликация[Помещение],Экспликация[Название])&amp;"",""),""),_xlpm.rm,IF(BG317="","",IF(_xlpm.ex&lt;&gt;"",". "&amp;_xlpm.ex&amp;IF(Имя_пом="нет"," ("&amp;BG317&amp;")"," (пом. "&amp;BG317&amp;")"),IF(Имя_пом="нет"," ",", пом. ")&amp;BG317)),IF(_xlpm.nm="","",IF(_xlpm.md=2,_xlpm.nm&amp;" шлейф "&amp;BE317,_xlpm.nm&amp;_xlpm.rm)))))</f>
        <v>Вводной кабель шлейф 1</v>
      </c>
      <c r="BJ317" t="str">
        <f t="shared" si="562"/>
        <v>Вводной кабель шлейф 1</v>
      </c>
      <c r="BK317">
        <f>IFERROR(_xlfn.XMATCH(A317,Щиты[Щит]),0)</f>
        <v>13</v>
      </c>
      <c r="BL317">
        <f>_xlfn.LET(_xlpm.k,IFERROR(_xlfn.XLOOKUP(A317,Щиты[Щит],Щиты[Мест под вводной узел]),""),IF(_xlpm.k="",Столбцов_на_лист,N(_xlpm.k)))</f>
        <v>9</v>
      </c>
      <c r="BM317">
        <f t="shared" si="563"/>
        <v>2</v>
      </c>
      <c r="BN317" t="str">
        <f t="shared" si="564"/>
        <v>вводной узел</v>
      </c>
      <c r="BO317" s="6">
        <f>IFERROR(N(_xlfn.XLOOKUP(BC317,Коды_код,Коды_квт)),0)</f>
        <v>0</v>
      </c>
      <c r="BP317">
        <f t="shared" si="565"/>
        <v>1</v>
      </c>
      <c r="BQ317">
        <f>IF(B317="","",IF(BH317&lt;&gt;"",IFERROR(_xlfn.XLOOKUP(BH317,Щиты[Щит],Щиты[Руст, кВт]),0),IF(BP317=1,IF(OR(N(_xlfn.XLOOKUP(A317,Щиты[Щит],Щиты[Вводов],1))&lt;=1,LOWER(TRIM(_xlfn.XLOOKUP(A317,Щиты[Щит],Щиты[АВР],"")&amp;""))="да"),IFERROR(_xlfn.XLOOKUP(A317,Щиты[Щит],Щиты[Руст, кВт]),0),SUMIFS(Линии[_Р для вводов],Линии[Щит],A317,Линии[Источник для режимов],GF317)),IF(BO317&gt;0,ROUND(BO317*MAX(1,N(D317)),3),""))))</f>
        <v>3.8000000000000003</v>
      </c>
      <c r="BR317">
        <f t="shared" si="566"/>
        <v>3.8000000000000003</v>
      </c>
      <c r="BS317" s="6">
        <f>IF(B317="","",IF(BH317&lt;&gt;"",IFERROR(_xlfn.XLOOKUP(BH317,Щиты[Щит],Щиты[Руст, кВт]),0),N(BR317)))</f>
        <v>3.8000000000000003</v>
      </c>
      <c r="BT317" t="str">
        <f>IF(B317="","",IFERROR(IF(VLOOKUP(BC317,Потребители_обозначение,8,FALSE)=0,"",VLOOKUP(BC317,Потребители_обозначение,8,FALSE)),""))</f>
        <v/>
      </c>
      <c r="BU317">
        <f t="shared" si="567"/>
        <v>230</v>
      </c>
      <c r="BV317">
        <f t="shared" si="568"/>
        <v>0</v>
      </c>
      <c r="BW317">
        <f>IF(B317="","",IF(BH317&lt;&gt;"",3,IFERROR(IF(N(VLOOKUP(BC317,Потребители_обозначение,9,FALSE))=0,1,VLOOKUP(BC317,Потребители_обозначение,9,FALSE)),1)))</f>
        <v>1</v>
      </c>
      <c r="BX317">
        <f t="shared" si="569"/>
        <v>1</v>
      </c>
      <c r="BY317" t="str">
        <f>IF(B317="","",_xlfn.LET(_xlpm.bc,IFERROR(IF(VLOOKUP(BC317,Потребители_обозначение,6,FALSE)=0,"",VLOOKUP(BC317,Потребители_обозначение,6,FALSE)&amp;""),""),IF(AND(GA317="да",OR(_xlpm.bc="",_xlpm.bc="мс")),Марка_пож,IF(AND(_xlpm.bc="",BH317&lt;&gt;""),"мс",_xlpm.bc))))</f>
        <v/>
      </c>
      <c r="BZ317" t="str">
        <f t="shared" si="570"/>
        <v>мс</v>
      </c>
      <c r="CA317">
        <f>IF(B317="","",_xlfn.LET(_xlpm.cc,IFERROR(N(VLOOKUP(BC317,Потребители_обозначение,7,FALSE)),0),IF(_xlpm.cc&gt;0,_xlpm.cc,IF(BZ317="","",IF(BV317=1,2,IF(N(BX317)=3,5,3))))))</f>
        <v>3</v>
      </c>
      <c r="CB317">
        <f t="shared" si="571"/>
        <v>3</v>
      </c>
      <c r="CC317">
        <f>IFERROR(N(VLOOKUP(BC317,Потребители_обозначение,10,FALSE)),0)</f>
        <v>0</v>
      </c>
      <c r="CD317">
        <f>IFERROR(VLOOKUP(BC317,Потребители_обозначение,5,FALSE),0)</f>
        <v>1</v>
      </c>
      <c r="CE317" s="6" cm="1">
        <f t="array" ref="CE317">IF(B317="","",IF(BH317&lt;&gt;"",IFERROR(_xlfn.XLOOKUP(BH317,Щиты[Щит],Щиты[cos φ]),0.95),IF(BP317=1,IFERROR(_xlfn.XLOOKUP(A317,Щиты[Щит],Щиты[cos φ]),0.95),IF(ISNUMBER(AD317),AD317,IFERROR(IF(CD317=2,_xlfn.IFS(BX317=3,VLOOKUP(BS317,Справочная_двигатели,8,FALSE),BX317=1,VLOOKUP(BS317,Справочная_двигатели,10,TRUE)),IF(AND(Методика="нормы 2026",FG317="Сил"),0.8,0.95)),0.95)))))</f>
        <v>0.79999999999999993</v>
      </c>
      <c r="CF317">
        <f t="shared" si="572"/>
        <v>0</v>
      </c>
      <c r="CG317">
        <f t="shared" si="573"/>
        <v>1</v>
      </c>
      <c r="CH317">
        <f t="shared" si="574"/>
        <v>0</v>
      </c>
      <c r="CI317">
        <f>IF(B317="","",IF(BV317=1,IFERROR(BS317/((Uн_лин/SQRT(3))*MAX(0.5,N(CE317))),0),N(O317)))</f>
        <v>10.28405166994021</v>
      </c>
      <c r="CJ317">
        <f t="shared" si="575"/>
        <v>0</v>
      </c>
      <c r="CK317">
        <f t="shared" si="576"/>
        <v>0</v>
      </c>
      <c r="CL317">
        <f t="shared" si="577"/>
        <v>0</v>
      </c>
      <c r="CM317">
        <f t="shared" si="578"/>
        <v>0</v>
      </c>
      <c r="CN317">
        <f t="shared" si="579"/>
        <v>0</v>
      </c>
      <c r="CO317">
        <f>IF(BC317="",0,_xlfn.LET(_xlpm.v,IFERROR(_xlfn.XLOOKUP(B317,Коды_код,Коды_мА),IFERROR(_xlfn.XLOOKUP(BC317,Коды_код,Коды_мА),IFERROR(_xlfn.XLOOKUP(LEFT(BC317,2),Коды_код,Коды_мА),""))),IF(_xlpm.v="да",30,IF(ISNUMBER(_xlpm.v),_xlpm.v,0))))</f>
        <v>0</v>
      </c>
      <c r="CP317" t="str">
        <f t="shared" si="580"/>
        <v/>
      </c>
      <c r="CQ317" t="str">
        <f>_xlfn.LET(_xlpm.k,IFERROR(_xlfn.XLOOKUP(BC317,Коды_код,Коды_утечка)&amp;"",""),IF(_xlpm.k="","дифавтомат",_xlpm.k))</f>
        <v>дифавтомат</v>
      </c>
      <c r="CR317" t="str" cm="1">
        <f t="array" ref="CR317">IF(CG317=0,"",_xlfn.LET(_xlpm.sg,TRIM(_xlfn.TEXTSPLIT(DD317&amp;"",";")),_xlpm.f_,_xlfn._xlws.FILTER(_xlpm.sg,LEFT(_xlpm.sg,3)="УЗО",""),IFERROR(INDEX(_xlpm.f_,1)&amp;"","")))</f>
        <v/>
      </c>
      <c r="CS317" t="str">
        <f t="shared" si="581"/>
        <v/>
      </c>
      <c r="CT317" s="6" t="str" cm="1">
        <f t="array" ref="CT317">IF(CR317="","",_xlfn.LET(_xlpm.tk,_xlfn.TEXTSPLIT(UPPER(CR317)," ",,TRUE),_xlpm.a_,_xlfn._xlws.FILTER(_xlpm.tk,ISNUMBER(--LEFT(_xlpm.tk,1))*((ISNUMBER(SEARCH("А",_xlpm.tk))+ISNUMBER(SEARCH("A",_xlpm.tk)))&gt;0)*NOT(ISNUMBER(SEARCH("МА",_xlpm.tk)))*NOT(ISNUMBER(SEARCH("MA",_xlpm.tk))),""),IFERROR(--SUBSTITUTE(SUBSTITUTE(INDEX(_xlpm.a_,1),"А",""),"A",""),"")))</f>
        <v/>
      </c>
      <c r="CU317" t="str" cm="1">
        <f t="array" ref="CU317">IF(CR317="","",_xlfn.LET(_xlpm.tk,_xlfn.TEXTSPLIT(UPPER(CR317)," ",,TRUE),_xlpm.a_,_xlfn._xlws.FILTER(_xlpm.tk,ISNUMBER(--LEFT(_xlpm.tk,1))*((ISNUMBER(SEARCH("МА",_xlpm.tk))+ISNUMBER(SEARCH("MA",_xlpm.tk)))&gt;0),""),IFERROR(--SUBSTITUTE(SUBSTITUTE(INDEX(_xlpm.a_,1),"МА",""),"MA",""),30)))</f>
        <v/>
      </c>
      <c r="CV317" t="str">
        <f>IF(CS317="","",IFERROR(_xlfn.XLOOKUP(CS317,Линии[_n],Линии[_УЗО, мА]),30))</f>
        <v/>
      </c>
      <c r="CW317">
        <f>IF(CS317="",0,IF(ISNUMBER(SEARCH("4P",IFERROR(_xlfn.XLOOKUP(CS317,Линии[_n],Линии[_УЗО строки])&amp;"",""))),0,1))</f>
        <v>0</v>
      </c>
      <c r="CX317" t="str">
        <f>IF(AND(CS317&lt;&gt;"",CS317=BA317),SUMIFS(Линии[_ток на 230 В],Линии[_блок УЗО],BA317,Линии[Щит],A317),"")</f>
        <v/>
      </c>
      <c r="CY317" t="str">
        <f>IF(AND(CS317&lt;&gt;"",CS317=BA317),SUMIFS(Линии[_ток утечки линии, мА],Линии[_блок УЗО],BA317,Линии[Щит],A317),"")</f>
        <v/>
      </c>
      <c r="CZ317">
        <f t="shared" si="582"/>
        <v>0</v>
      </c>
      <c r="DA317">
        <f t="shared" si="583"/>
        <v>0</v>
      </c>
      <c r="DB317">
        <f>IF(B317="",0,IFERROR(--_xlfn.XLOOKUP(B317,Коды_код,Коды_минавт),IFERROR(--_xlfn.XLOOKUP(BC317,Коды_код,Коды_минавт),IFERROR(--_xlfn.XLOOKUP(LEFT(BC317,2),Коды_код,Коды_минавт),0))))</f>
        <v>0</v>
      </c>
      <c r="DC317" t="str">
        <f>IF(B317="","",IFERROR(_xlfn.XLOOKUP(BC317,Коды_код,Коды_апп)&amp;"",""))</f>
        <v/>
      </c>
      <c r="DD317" t="str">
        <f t="shared" si="584"/>
        <v/>
      </c>
      <c r="DE317" t="str" cm="1">
        <f t="array" ref="DE317">IF(TRIM(DD317&amp;"")="","",IFERROR(TRIM(INDEX(_xlfn.TEXTSPLIT(DD317&amp;";;;",";"),1)),""))</f>
        <v/>
      </c>
      <c r="DF317" t="str" cm="1">
        <f t="array" ref="DF317">IF(TRIM(DD317&amp;"")="","",IFERROR(TRIM(INDEX(_xlfn.TEXTSPLIT(DD317&amp;";;;",";"),2)),""))</f>
        <v/>
      </c>
      <c r="DG317" t="str" cm="1">
        <f t="array" ref="DG317">IF(TRIM(DD317&amp;"")="","",IFERROR(TRIM(INDEX(_xlfn.TEXTSPLIT(DD317&amp;";;;",";"),3)),""))</f>
        <v/>
      </c>
      <c r="DH317">
        <f t="shared" si="585"/>
        <v>0</v>
      </c>
      <c r="DI317" t="str">
        <f>IF(B317="","",_xlfn.LET(_xlpm.t,LOWER(AZ317&amp;""),IF(ISNUMBER(SEARCH("dim",_xlpm.t)),"DIM",IF(ISNUMBER(SEARCH("dali",_xlpm.t)),"DALI",IF(OR(ISNUMBER(SEARCH("relay",_xlpm.t)),ISNUMBER(SEARCH("реле",_xlpm.t))),"Relay",IF(ISNUMBER(SEARCH("кнопк",_xlpm.t)),"",IFERROR(_xlfn.XLOOKUP(BC317,Коды_код,Коды_упр)&amp;"","")))))))</f>
        <v/>
      </c>
      <c r="DJ317" t="str">
        <f t="shared" si="586"/>
        <v/>
      </c>
      <c r="DK317">
        <f>IF(B317="","",_xlfn.LET(_xlpm.ig,IF(N(CX317)&gt;0,N(CX317),N(CI317)+IF(AJ317="вручную",0,N(CJ317))),_xlpm.n0,IFERROR(VLOOKUP(_xlpm.ig,Автомат_номиналы,2,TRUE),0),_xlpm.mn,MAX(DB317,IF(AJ317="вручную",0,N(CM317))),MAX(_xlpm.n0,_xlpm.mn,IF(DH317=1,Мин_автомат_БП,0))))</f>
        <v>16</v>
      </c>
      <c r="DL317">
        <f t="shared" si="587"/>
        <v>1</v>
      </c>
      <c r="DM317" t="str">
        <f t="shared" si="588"/>
        <v>1P</v>
      </c>
      <c r="DN317" t="str">
        <f>_xlfn.LET(_xlpm.cc,UPPER(TRIM(IFERROR(_xlfn.XLOOKUP(BC317,Коды_код,Коды_хар)&amp;"",""))),IF(OR(_xlpm.cc="B",_xlpm.cc="В"),"B",IF(_xlpm.cc="D","D","С")))</f>
        <v>С</v>
      </c>
      <c r="DO317" t="str">
        <f t="shared" si="589"/>
        <v>1P С16А</v>
      </c>
      <c r="DP317">
        <f t="shared" si="590"/>
        <v>20</v>
      </c>
      <c r="DQ317" t="str">
        <f t="shared" si="591"/>
        <v>1P С20А</v>
      </c>
      <c r="DR317" cm="1">
        <f t="array" ref="DR317">IF(DQ317="","",_xlfn.LET(_xlpm.t,SUBSTITUTE(SUBSTITUTE(SUBSTITUTE(UPPER(DQ317),"С","C"),"А","A"),"В","B"),_xlpm.tk,_xlfn.TEXTSPLIT(_xlpm.t," "),_xlpm.f,_xlfn._xlws.FILTER(_xlpm.tk,ISNUMBER(--MID(_xlpm.tk,2,1))*ISNUMBER(SEARCH(LEFT(_xlpm.tk,1)&amp;"#","B#C#D#"))*(LEN(_xlpm.tk)&gt;1),""),_xlpm.x,INDEX(_xlpm.f,1),IFERROR(--SUBSTITUTE(MID(_xlpm.x,2,9),"A",""),IFERROR(--SUBSTITUTE(INDEX(_xlfn._xlws.FILTER(_xlpm.tk,ISNUMBER(--SUBSTITUTE(_xlpm.tk,"A","")),""),1),"A",""),""))))</f>
        <v>20</v>
      </c>
      <c r="DS317" t="str">
        <f t="shared" si="592"/>
        <v>узел</v>
      </c>
      <c r="DT317">
        <f t="shared" si="593"/>
        <v>20</v>
      </c>
      <c r="DU317" t="str">
        <f t="shared" si="594"/>
        <v>1P С20А</v>
      </c>
      <c r="DV317">
        <f t="shared" si="595"/>
        <v>0</v>
      </c>
      <c r="DW317">
        <f t="shared" si="596"/>
        <v>0</v>
      </c>
      <c r="DX317">
        <f t="shared" si="597"/>
        <v>0</v>
      </c>
      <c r="DY317">
        <f t="shared" si="598"/>
        <v>10.28405166994021</v>
      </c>
      <c r="DZ317">
        <f t="shared" si="599"/>
        <v>1</v>
      </c>
      <c r="EA317">
        <f>IF(ISNUMBER(AP317),AP317,К_прокл)</f>
        <v>1</v>
      </c>
      <c r="EB317">
        <f t="shared" si="600"/>
        <v>2</v>
      </c>
      <c r="EC317">
        <f>IFERROR(N(VLOOKUP(BZ317,Кабель_обозначение,3,FALSE)),1)</f>
        <v>1</v>
      </c>
      <c r="ED317">
        <f>IFERROR(N(_xlfn.XLOOKUP(A317,Щиты[Щит],Щиты[ΔU до шин, %])),0)</f>
        <v>2.1199999999999997</v>
      </c>
      <c r="EE317" t="str">
        <f>IFERROR(_xlfn.XLOOKUP(A317,Щиты[Щит],Щиты[Zпетли на шинах, Ом]),"")</f>
        <v/>
      </c>
      <c r="EF317">
        <f>IFERROR(N(_xlfn.XLOOKUP(A317,Щиты[Щит],Щиты[ΔU до шин (подбор), %])),0)</f>
        <v>3.3699999999999997</v>
      </c>
      <c r="EG317" t="str">
        <f>IFERROR(_xlfn.XLOOKUP(A317,Щиты[Щит],Щиты[Zпетли на шинах (подбор), Ом]),"")</f>
        <v/>
      </c>
      <c r="EH317" t="str">
        <f t="shared" si="601"/>
        <v/>
      </c>
      <c r="EI317">
        <f t="shared" si="602"/>
        <v>50</v>
      </c>
      <c r="EJ317">
        <f t="shared" si="603"/>
        <v>2</v>
      </c>
      <c r="EK317">
        <f t="shared" si="604"/>
        <v>0.6</v>
      </c>
      <c r="EL317" s="6">
        <f>IF(B317="","",IF(BV317=1,dU_LED,IF(IFERROR(_xlfn.XLOOKUP(BC317,Коды_код,Коды_уго),"")="Светильник",3,4)+IF(Методика="нормы 2026",MIN(0.5,MAX(0,N(P317)-100)*0.005),0)))</f>
        <v>4</v>
      </c>
      <c r="EM317" cm="1">
        <f t="array" ref="EM317">IF(OR(B317="",BZ317="",EC317&lt;&gt;1),"",_xlfn.LET(_xlpm.sz,Iдоп_S,_xlpm.t_,CHOOSE(EB317,Iдоп_1ж,Iдоп_2ж,Iдоп_3ж)*DZ317*EA317,_xlpm.dcx,BV317=1,_xlpm.inn,IF(_xlpm.dcx,N(O317),N(DT317)),_xlpm.smin,MAX(1.5,CC317),_xlpm.L_,N(P317)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317)/N(BU317)*100,999),IFERROR(N(EJ317)*(_xlpm.rho*_xlpm.L_/_xlpm.sz*N(CE317)+_xlpm.xx*_xlpm.L_*N(EK317)/1000)*N(O317)/((Uн_лин/SQRT(3))*1000)*100,999)),_xlpm.kz,IF(OR(_xlpm.dcx,DW317=1,NOT(ISNUMBER(EG317)),_xlpm.L_=0,_xlpm.inn=0),1,IFERROR(--(c_min*(Uн_лин*1000/SQRT(3))/(EG317+2*ρкз_Cu*_xlpm.L_/_xlpm.sz)&gt;=HT317*_xlpm.inn),0)),_xlpm.ok,IFERROR((_xlpm.sz&gt;=_xlpm.smin)*(_xlpm.t_&gt;=_xlpm.inn)*IF(_xlpm.L_&gt;0,(_xlpm.du_+IF(_xlpm.dcx,0,EF317)&lt;=EL317+0.00001),1)*_xlpm.kz,0),_xlpm.r_,_xlfn._xlws.FILTER(_xlpm.sz,_xlpm.ok,"не подобрано"),INDEX(_xlpm.r_,1)))</f>
        <v>16</v>
      </c>
      <c r="EN317">
        <f t="shared" si="605"/>
        <v>4</v>
      </c>
      <c r="EO317" cm="1">
        <f t="array" ref="EO317">IF(OR(B317="",BZ317="",EC317&lt;&gt;1),"",_xlfn.LET(_xlpm.sz,Iдоп_S,_xlpm.t_,CHOOSE(EB317,Iдоп_1ж,Iдоп_2ж,Iдоп_3ж)*DZ317*EA317,_xlpm.ok,IFERROR((_xlpm.sz&gt;=MAX(1.5,CC317))*(_xlpm.t_&gt;=N(DT317)),0),_xlpm.r_,_xlfn._xlws.FILTER(_xlpm.sz,_xlpm.ok,""),INDEX(_xlpm.r_,1)))</f>
        <v>2.5</v>
      </c>
      <c r="EP317" s="6" cm="1">
        <f t="array" ref="EP317">IFERROR(ROUNDUP(N(EJ317)*(_xlfn.XLOOKUP(EO317,INDEX(Кабель_сопротивление,0,1),INDEX(Кабель_сопротивление,0,3))*N(P317)/EO317*N(CE317)+_xlfn.XLOOKUP(EO317,INDEX(Кабель_сопротивление,0,1),INDEX(Кабель_сопротивление,0,2))*N(P317)*N(EK317)/1000)*N(O317)/((Uн_лин/SQRT(3))*1000)*100,2),"")</f>
        <v>3.2399999999999998</v>
      </c>
      <c r="EQ317">
        <f>IFERROR(2*ρкз_Cu*N(P317)/EO317,"")</f>
        <v>1.052</v>
      </c>
      <c r="ER317">
        <f>IFERROR(VLOOKUP(EN317,Кабель_сопротивление,3,FALSE),"")</f>
        <v>2.2499999999999999E-2</v>
      </c>
      <c r="ES317">
        <f>IFERROR(VLOOKUP(EN317,Кабель_сопротивление,2,FALSE),"")</f>
        <v>9.5000000000000001E-2</v>
      </c>
      <c r="ET317">
        <f t="shared" si="606"/>
        <v>11</v>
      </c>
      <c r="EU317" t="str">
        <f t="shared" si="607"/>
        <v/>
      </c>
      <c r="EV317">
        <f t="shared" si="608"/>
        <v>4.686442345991753</v>
      </c>
      <c r="EW317" s="6">
        <f>IFERROR(ROUNDUP(EV317/IF(BV317=1,BU317,(Uн_лин/SQRT(3))*1000)*100,2),"")</f>
        <v>2.0299999999999998</v>
      </c>
      <c r="EX317" t="str">
        <f>IFERROR(VLOOKUP(BZ317,Кабель_обозначение,2,FALSE),"")</f>
        <v>ВВГнг(А)-LS</v>
      </c>
      <c r="EY317" t="str">
        <f t="shared" si="609"/>
        <v>ВВГнг(А)-LS (3х4)</v>
      </c>
      <c r="EZ317" t="str">
        <f t="shared" si="610"/>
        <v>ВВГнг(А)-LS (3х4)
L=50-2,03%</v>
      </c>
      <c r="FA317">
        <f>IFERROR(2*ρкз_Cu*P317/EN317,"")</f>
        <v>0.65749999999999997</v>
      </c>
      <c r="FB317">
        <f t="shared" si="611"/>
        <v>0.21875000000000003</v>
      </c>
      <c r="FC317" s="6" t="str">
        <f>IFERROR(IF(OR(B317="",BV317=1,NOT(ISNUMBER(EN317)),N(P317)=0),"",_xlfn.XLOOKUP(A317,Щиты[Щит],Щиты[Zпетли на шинах, Ом])+FA317),"")</f>
        <v/>
      </c>
      <c r="FD317" s="6" t="str">
        <f>IF(ISNUMBER(FC317),c_min*(Uн_лин*1000/SQRT(3))/FC317,"")</f>
        <v/>
      </c>
      <c r="FE317" s="6" t="str">
        <f>IFERROR(IF(OR(B317="",NOT(ISNUMBER(EN317))),"",1.05*(Uн_лин*1000/SQRT(3))/(_xlfn.XLOOKUP(A317,Щиты[Щит],Щиты[Zmax на шинах, Ом])+FB317)/1000),"")</f>
        <v/>
      </c>
      <c r="FF317" s="6" t="str">
        <f>IF(B317="","",IF(ISNUMBER(AC317),"Сил",IF(IFERROR(_xlfn.XLOOKUP(BC317,Коды_код,Коды_группа)&amp;"","")="","Быт",_xlfn.XLOOKUP(BC317,Коды_код,Коды_группа)&amp;"")))</f>
        <v>Быт</v>
      </c>
      <c r="FG317" s="6" t="str">
        <f t="shared" si="612"/>
        <v>Нет</v>
      </c>
      <c r="FH317" s="6">
        <f>IF(FG317="Щит","щит",IF(FG317="","",IF(FG317="Быт",IFERROR(_xlfn.XLOOKUP(A317,Щиты[Щит],Щиты[Кс быт]),1),IF(FG317="Сил",IF(ISNUMBER(AC317),AC317,IF(Методика="нормы 2026",IFERROR(_xlfn.XLOOKUP(A317,Щиты[Щит],Щиты[Кс силовых (табл. 7.5)]),1),1)),IF(OR(FG317="Пост",FG317="Отоп"),1,IF(FG317="ВНГ",0.7,0))))))</f>
        <v>0</v>
      </c>
      <c r="FI317">
        <f>IF(FG317="","",IF(AND(BP317=1,TRIM(AE317&amp;"")=""),IF(COUNTIFS(Линии[Щит],A317,Линии[Секция (1/2/3)],"&gt;=2")&gt;0,MIN(3,MAX(1,IFERROR(--BD317,1))),1),IFERROR(MIN(3,MAX(1,INT(--AE317))),1)))</f>
        <v>1</v>
      </c>
      <c r="FJ317">
        <f t="shared" si="613"/>
        <v>0</v>
      </c>
      <c r="FK317">
        <f t="shared" si="614"/>
        <v>0</v>
      </c>
      <c r="FL317">
        <f t="shared" si="615"/>
        <v>0</v>
      </c>
      <c r="FM317">
        <f t="shared" si="616"/>
        <v>0</v>
      </c>
      <c r="FN317">
        <f t="shared" si="617"/>
        <v>0</v>
      </c>
      <c r="FO317">
        <f t="shared" si="618"/>
        <v>0</v>
      </c>
      <c r="FP317">
        <f t="shared" si="619"/>
        <v>0</v>
      </c>
      <c r="FQ317">
        <f t="shared" si="620"/>
        <v>0</v>
      </c>
      <c r="FR317">
        <f t="shared" si="621"/>
        <v>0</v>
      </c>
      <c r="FS317">
        <f>IF(CG317=1,IF(AND(CH317=1,CW317=1),0,IF(AND(CS317&lt;&gt;"",CS317=BA317,CW317=1),SUMIFS(Линии[_Р линии, кВт],Линии[_блок УЗО],BA317,Линии[Щит],A317),N(BS317)+IF(AJ317="вручную",0,N(CK317)))),0)</f>
        <v>3.8000000000000003</v>
      </c>
      <c r="FT317" t="str">
        <f t="shared" si="622"/>
        <v/>
      </c>
      <c r="FU317" t="str">
        <f>IF(B317="","",IF(CG317=0,IF(BA317=1,"",FW316),IF(AND(CH317=1,CW317=1,CS317&lt;&gt;""),IFERROR(_xlfn.XLOOKUP(CS317,Линии[_n],Линии[_фаза итог]),"L1"),IF(OR(N(DL317)&gt;=3,N(BX317)&gt;=3),"L1,L2,L3",IFERROR(_xlfn.TEXTBEFORE(_xlfn.TEXTAFTER(_xlfn.XLOOKUP(A317,Щиты[Щит],Щиты[_фазы авто]),";"&amp;BA317&amp;":"),";"),"L1")))))</f>
        <v>L2</v>
      </c>
      <c r="FV317" t="str">
        <f t="shared" si="623"/>
        <v>L2</v>
      </c>
      <c r="FW317" t="str">
        <f t="shared" si="624"/>
        <v>L2</v>
      </c>
      <c r="FX317" cm="1">
        <f t="array" ref="FX317">IFERROR(IF(CD317=2,_xlfn.IFS(BX317=3,VLOOKUP(BS317,Справочная_двигатели,3,FALSE),BX317=1,VLOOKUP(BS317,Справочная_двигатели,5,TRUE)),0),0)</f>
        <v>0</v>
      </c>
      <c r="FY317">
        <f>IFERROR(IF(CD317=3,VLOOKUP(BS317,Справочная_ЛЭД,2,TRUE),0),0)</f>
        <v>0</v>
      </c>
      <c r="FZ317" s="6">
        <f t="shared" si="625"/>
        <v>0</v>
      </c>
      <c r="GA317" t="str">
        <f>IF(B317="","",IF(TRIM(AH317&amp;"")&lt;&gt;"",IF(LOWER(TRIM(AH317&amp;""))="да","да","нет"),IF(IFERROR(_xlfn.XLOOKUP(BC317,Коды_код,Коды_пожарная),"")="да","да","нет")))</f>
        <v>нет</v>
      </c>
      <c r="GB317" t="str">
        <f t="shared" si="626"/>
        <v/>
      </c>
      <c r="GC317" t="str">
        <f t="shared" si="627"/>
        <v>основная</v>
      </c>
      <c r="GD317">
        <f>IF(AND(BP317=1,TRIM(AE317&amp;"")=""),IF(COUNTIFS(Линии[Щит],A317,Линии[Секция (1/2/3)],"&gt;=2")&gt;0,MIN(3,MAX(1,IFERROR(--BD317,1))),1),IFERROR(MIN(3,MAX(1,INT(--AE317))),1))</f>
        <v>1</v>
      </c>
      <c r="GE317" t="str" cm="1">
        <f t="array" ref="GE317">IF(B317="","",_xlfn.LET(_xlpm.t,IFERROR(_xlfn.XLOOKUP(1,(Шины[Шина]=GC317)*(((Шины[Щит]=A317)+(Шины[Щит]=""))&gt;0),Шины[Тип]),"")&amp;"",IF(_xlpm.t&lt;&gt;"",_xlpm.t,IF(ISNUMBER(SEARCH("ИБП",GC317)),"ИБП",IF(ISNUMBER(SEARCH("ДГУ",GC317)),"ДГУ","Ввод "&amp;GD317)))))</f>
        <v>Ввод 1</v>
      </c>
      <c r="GF317" t="str">
        <f t="shared" si="628"/>
        <v>Ввод 1</v>
      </c>
      <c r="GG317" t="str">
        <f>IF(BP317=0,"",IF(TRIM(AG317&amp;"")&lt;&gt;"",TRIM(AG317&amp;""),IF(OR(GE317="ИБП",GE317="ДГУ"),"I особая",_xlfn.XLOOKUP(A317,Щиты[Щит],Щиты[Категория шины «Ввод»],"III"))))</f>
        <v>II</v>
      </c>
      <c r="GH317" t="str">
        <f>IF(A317="","",_xlfn.XLOOKUP(A317,Щиты[Щит],Щиты[Путь],""))</f>
        <v>|ГРЩ-ЖД|ЩС-ВК.001|</v>
      </c>
      <c r="GI317" t="str">
        <f>IF(B317="","",IF(AI317&lt;&gt;"",AI317,IF(IFERROR(_xlfn.XLOOKUP(BC317,Коды_код,Коды_вид)&amp;"","")="","Прочее",_xlfn.XLOOKUP(BC317,Коды_код,Коды_вид)&amp;"")))</f>
        <v>Прочее</v>
      </c>
      <c r="GJ317">
        <f>IF(BM317="","",INT((BM317-1)/Столбцов_на_лист)+1)</f>
        <v>1</v>
      </c>
      <c r="GK317" t="str">
        <f t="shared" si="629"/>
        <v>ВВГнг(А)-LS (3х4) L=50-2,03%</v>
      </c>
      <c r="GL317">
        <f t="shared" si="630"/>
        <v>3.8000000000000003</v>
      </c>
      <c r="GM317">
        <f t="shared" si="631"/>
        <v>10.29</v>
      </c>
      <c r="GN317">
        <f t="shared" si="632"/>
        <v>1</v>
      </c>
      <c r="GO317">
        <f t="shared" si="633"/>
        <v>0</v>
      </c>
      <c r="GP317">
        <f t="shared" si="634"/>
        <v>0</v>
      </c>
      <c r="GQ317" t="str">
        <f>IF(BM317="","",IF(AND(CG317=1,GP317=1),COUNTIFS(A$3:A317,A317,CG$3:CG317,1,GP$3:GP317,1),IF(OR(OR(BA317=1,A317&lt;&gt;A316),AJ317="вручную",GP317=0),"",IF(BA317=1,"",GR316))))</f>
        <v/>
      </c>
      <c r="GR317" t="str">
        <f t="shared" si="635"/>
        <v/>
      </c>
      <c r="GS317">
        <f>IF(B317="","",IFERROR(LOOKUP(INDEX(CHOOSE(EB317,Iдоп_1ж,Iдоп_2ж,Iдоп_3ж),MATCH(EN317,Iдоп_S,0))*DZ317*EA317,{6,10,16,20,25,32,40,50,63,80,100,125,160,200,250,315,400,500,630}),""))</f>
        <v>32</v>
      </c>
      <c r="GT317" t="str">
        <f t="shared" si="636"/>
        <v/>
      </c>
      <c r="GU317" t="str">
        <f t="shared" si="637"/>
        <v/>
      </c>
      <c r="GV317" t="str">
        <f t="shared" si="638"/>
        <v/>
      </c>
      <c r="GW317">
        <f t="shared" si="639"/>
        <v>0</v>
      </c>
      <c r="GX317" t="str">
        <f>IF(OR(B317="",DJ317=""),"",IFERROR(_xlfn.XLOOKUP(DJ317,Модули_умолч[Управление],Модули_умолч[Модель])&amp;"",""))</f>
        <v/>
      </c>
      <c r="GY317">
        <f>IF(DJ317="",1,IFERROR(MAX(0,N(_xlfn.XLOOKUP(DJ317,Модули_умолч[Управление],Модули_умолч[Каналов на линию]))),1))</f>
        <v>1</v>
      </c>
      <c r="GZ317" t="str">
        <f t="shared" si="640"/>
        <v/>
      </c>
      <c r="HA317" t="str">
        <f t="shared" si="641"/>
        <v/>
      </c>
      <c r="HB317" t="str">
        <f t="shared" si="642"/>
        <v/>
      </c>
      <c r="HC317">
        <f>IF(HB317="",0,IFERROR(N(VLOOKUP(HB317,Модули_спр,3,FALSE)),0))</f>
        <v>0</v>
      </c>
      <c r="HD317" t="str">
        <f t="shared" si="643"/>
        <v/>
      </c>
      <c r="HE317" t="str">
        <f t="shared" si="644"/>
        <v/>
      </c>
      <c r="HF317" t="str">
        <f>IF(OR(HE317="",HE317="-"),"",IFERROR(VLOOKUP(HE317,Модули_спр,2,FALSE),"R"))</f>
        <v/>
      </c>
      <c r="HG317" t="str">
        <f>IF(HF317="","",HF317&amp;"."&amp;COUNTIFS(A$3:A317,A317,HF$3:HF317,HF317))</f>
        <v/>
      </c>
      <c r="HH317" t="str">
        <f t="shared" si="645"/>
        <v/>
      </c>
      <c r="HI317" t="str">
        <f t="shared" si="646"/>
        <v/>
      </c>
      <c r="HJ317" t="str">
        <f t="shared" si="647"/>
        <v/>
      </c>
      <c r="HK317" t="str">
        <f t="shared" si="648"/>
        <v/>
      </c>
      <c r="HL317">
        <f t="shared" si="649"/>
        <v>0</v>
      </c>
      <c r="HM317" t="str">
        <f>IF(HL317=1,"XT"&amp;COUNTIFS(A$3:A317,A317,HL$3:HL317,1),"")</f>
        <v/>
      </c>
      <c r="HN317" t="str">
        <f t="shared" si="650"/>
        <v/>
      </c>
      <c r="HO317" t="str">
        <f t="shared" si="651"/>
        <v/>
      </c>
      <c r="HP317" t="str">
        <f t="shared" si="652"/>
        <v/>
      </c>
      <c r="HQ317" t="str">
        <f t="shared" si="653"/>
        <v>ok</v>
      </c>
      <c r="HR317" t="str">
        <f>IF(OR(HJ317="",HH317=""),"",IF(HJ317+MAX(0,GY317-1)&gt;IFERROR(VLOOKUP(HI317,Модули_спр,3,FALSE),99),"ЛИШНИЙ КАНАЛ",IF(AND(AL317&lt;&gt;"=",GY317&gt;0,COUNTIFS(Линии[_модуль гр.],HH317,Линии[Канал (итог)],HJ317,Линии[Канал],"&lt;&gt;=",Линии[Щит],A317)&gt;1),"ДУБЛЬ КАНАЛА","")))</f>
        <v/>
      </c>
      <c r="HS317" s="6" t="str">
        <f t="shared" si="654"/>
        <v/>
      </c>
      <c r="HT317">
        <f t="shared" si="655"/>
        <v>10</v>
      </c>
      <c r="HU317" t="str">
        <f t="shared" si="656"/>
        <v/>
      </c>
      <c r="HV317">
        <f t="shared" si="657"/>
        <v>0</v>
      </c>
      <c r="HW317">
        <f t="shared" si="658"/>
        <v>0</v>
      </c>
      <c r="HX317">
        <f t="shared" si="659"/>
        <v>0</v>
      </c>
      <c r="HY317">
        <f t="shared" si="660"/>
        <v>0</v>
      </c>
      <c r="HZ317">
        <f t="shared" si="661"/>
        <v>0</v>
      </c>
      <c r="IA317">
        <f t="shared" si="662"/>
        <v>0</v>
      </c>
      <c r="IB317">
        <f t="shared" si="663"/>
        <v>0</v>
      </c>
      <c r="IC317" t="str">
        <f t="shared" si="664"/>
        <v/>
      </c>
      <c r="ID317" t="str" cm="1">
        <f t="array" ref="ID317">IF(IC317="","",_xlfn.LET(_xlpm.tk,_xlfn.TEXTSPLIT(SUBSTITUTE(SUBSTITUTE(IC317,";"," "),"→"," ")," ",,TRUE),_xlpm.w_,_xlfn._xlws.FILTER(_xlpm.tk,ISNUMBER(--LEFT(_xlpm.tk,1))*((ISNUMBER(SEARCH("W",_xlpm.tk))+ISNUMBER(SEARCH("Вт",_xlpm.tk)))&gt;0),""),IFERROR(--SUBSTITUTE(SUBSTITUTE(UPPER(INDEX(_xlpm.w_,1)),"W",""),"ВТ",""),"")))</f>
        <v/>
      </c>
      <c r="IE317" t="str" cm="1">
        <f t="array" ref="IE317">IF(IC317="","",_xlfn.LET(_xlpm.tk,_xlfn.TEXTSPLIT(SUBSTITUTE(SUBSTITUTE(IC317,";"," "),"→"," ")," ",,TRUE),_xlpm.v_,_xlfn._xlws.FILTER(_xlpm.tk,ISNUMBER(--LEFT(_xlpm.tk,1))*((ISNUMBER(SEARCH("V",_xlpm.tk))+(RIGHT(UPPER(_xlpm.tk))="В"))&gt;0),""),IFERROR(--SUBSTITUTE(SUBSTITUTE(UPPER(INDEX(_xlpm.v_,1)),"V",""),"В",""),"")))</f>
        <v/>
      </c>
      <c r="IF317" s="6" t="str">
        <f>IF(OR(BV317=0,HI317="",HJ317=""),"",IFERROR(N(_xlfn.XLOOKUP(HI317,Каталог!$C$4:$C$500,Каталог!$Q$4:$Q$500)),""))</f>
        <v/>
      </c>
      <c r="IG317" s="6" t="str">
        <f>IF(N(IF317)=0,"",SUMIFS(Линии[Iр, А],Линии[Щит],A317,Линии[_модуль гр.],HH317,Линии[Канал (итог)],HJ317))</f>
        <v/>
      </c>
      <c r="IH317" t="str">
        <f>IF(AND(B317="",HO317=""),"",_xlfn.TEXTJOIN("; ",TRUE,IF(AND(B317&lt;&gt;"",FV317=""),"нет фазы",""),IF(AND(B317&lt;&gt;"",N(GL317)=0,FG317&lt;&gt;"Нет"),"нет мощности",""),IF(AND(HN317&lt;&gt;"",COUNTIFS(Линии[Щит],A317,Линии[Клемма (итог)],HN317)&gt;1),"дубль клеммы "&amp;HN317,""),IF(AND(HQ317&lt;&gt;"",HQ317&lt;&gt;"ok"),HQ317,""),IF(HR317&lt;&gt;"",HR317,""),IF(AND(N(CB317)&gt;=4,N(BX317)=1),CB317&amp;" жил на 1 фазе",""),IF(AND(BC317="R",CG317=1,IF(CS317&lt;&gt;"",N(CV317)&gt;30,OR(N(DA317)=0,N(DA317)&gt;30))),"розетка без дифзащиты до 30 мА",""),IF(AND(CG317=1,N(DA317)&gt;0,ISNUMBER(T317)),IF(T317&gt;N(DA317)/3,"ток утечки "&amp;FIXED(T317,1)&amp;" мА &gt; 1/3 уставки ("&amp;DA317&amp;" мА)",""),""),IF(AND(CH317=1,CS317=""),"«узо»: нет строки с УЗО выше (УЗО 2P 40А 30мА в «Аппаратах»)",""),IF(AND(CS317&lt;&gt;"",CS317=BA317),IF(CT317="","впишите номинал УЗО (УЗО 2P 40А 30мА)",IF(N(CT317)&lt;N(DT317),"УЗО "&amp;CT317&amp;" А &lt; автомата "&amp;DT317&amp;" А перед ним",IF(N(CT317)&lt;N(CX317),"УЗО "&amp;CT317&amp;" А &lt; тока блока "&amp;FIXED(CX317,1)&amp;" А",""))),""),IF(AND(CS317&lt;&gt;"",CS317=BA317,ISNUMBER(CY317)),IF(CY317&gt;N(CV317)/3,"ток утечки блока УЗО "&amp;FIXED(CY317,1)&amp;" мА &gt; 1/3 уставки ("&amp;CV317&amp;" мА)",""),""),IF(AND(CG317=1,N(BV317)+N(IB317)&gt;0,IC317=""),"линии до 50 В без БП: впишите в «Аппараты» (БП 24V 480W)",""),IF(AND(CG317=1,ISNUMBER(ID317),ISNUMBER(U317)),IF(U317&gt;ID317,"БП "&amp;ID317&amp;" Вт &lt; нужно "&amp;U317&amp;" Вт (×"&amp;Запас_БП&amp;")",""),""),IF(AND(CG317=1,ISNUMBER(IE317),N(BV317)=1),IF(IE317&lt;&gt;N(BU317),"БП на "&amp;IE317&amp;" В, линия "&amp;BU317&amp;" В",""),""),IF(AND(N(IF317)&gt;0,N(IG317)&gt;N(IF317)),HH317&amp;" канал "&amp;HJ317&amp;": "&amp;FIXED(IG317,1)&amp;" А &gt; "&amp;IF317&amp;" А",""),IFERROR(IF(AND(ISNUMBER(Q317),Q317&gt;EL317),"потери "&amp;FIXED(Q317,1)&amp;" % &gt; "&amp;EL317&amp;" %",""),""),IFERROR(IF(LEFT(HU317,4)="мало","Iкз мало — отключение &gt; 0,4 с",""),""),IF(AND(B317&lt;&gt;"",BM317=""),"не на схеме",""),IF(AND(CG317=0,B317&lt;&gt;"",FV317&lt;&gt;"",IF(BA317=1,"",FW316)&lt;&gt;"",FV317&lt;&gt;IF(BA317=1,"",FW316)),"фаза не как у автомата группы ("&amp;IF(BA317=1,"",FW316)&amp;")","")))</f>
        <v>потери 4,2 % &gt; 4 %</v>
      </c>
      <c r="II317" s="6" t="str">
        <f>IF(OR(CG317=0,DQ317=""),"",_xlfn.LET(_xlpm.t,IFERROR(_xlfn.XLOOKUP(DQ317,Каталог!$U$4:$U$500,Каталог!$G$4:$G$500),""),_xlpm.k,SEARCH("кА",_xlpm.t),IFERROR(--TRIM(RIGHT(SUBSTITUTE(MID(_xlpm.t,MAX(1,_xlpm.k-4),_xlpm.k-MAX(1,_xlpm.k-4))," ",REPT(" ",9)),5)),"")))</f>
        <v/>
      </c>
      <c r="IJ317" t="str">
        <f>IF(OR(II317="",CG317=0),"",IF(_xlfn.XLOOKUP(A317,Щиты[Щит],Щиты[Iкз max на шинах, кА],"")="","",IF(II317&lt;_xlfn.XLOOKUP(A317,Щиты[Щит],Щиты[Iкз max на шинах, кА]),"Icu "&amp;II317&amp;" кА &lt; Iкз max","ok")))</f>
        <v/>
      </c>
      <c r="IK317" t="str">
        <f t="shared" si="665"/>
        <v/>
      </c>
      <c r="IL317" t="str">
        <f t="shared" si="666"/>
        <v/>
      </c>
      <c r="IM317" t="str">
        <f t="shared" si="667"/>
        <v/>
      </c>
      <c r="IN317" t="str" cm="1">
        <f t="array" ref="IN317">IF(IM317="","",_xlfn.LET(_xlpm.nd,_xlfn.TEXTSPLIT(IM317,"|"),IF(COLUMNS(_xlpm.nd)&gt;1,A317&amp;"¦"&amp;INDEX(_xlpm.nd,1)&amp;"¦"&amp;INDEX(_xlpm.nd,2),"")))</f>
        <v/>
      </c>
      <c r="IO317" t="str">
        <f t="shared" si="668"/>
        <v/>
      </c>
      <c r="IP317" t="str" cm="1">
        <f t="array" ref="IP317">IF(IM317="","",_xlfn.LET(_xlpm.nd,_xlfn.TEXTSPLIT(IM317,"|"),IF(COLUMNS(_xlpm.nd)&gt;2,A317&amp;"¦"&amp;INDEX(_xlpm.nd,2)&amp;"¦"&amp;INDEX(_xlpm.nd,3),"")))</f>
        <v/>
      </c>
      <c r="IQ317" t="str">
        <f t="shared" si="669"/>
        <v/>
      </c>
      <c r="IR317" t="str" cm="1">
        <f t="array" ref="IR317">IF(IM317="","",_xlfn.LET(_xlpm.nd,_xlfn.TEXTSPLIT(IM317,"|"),IF(COLUMNS(_xlpm.nd)&gt;3,A317&amp;"¦"&amp;INDEX(_xlpm.nd,3)&amp;"¦"&amp;INDEX(_xlpm.nd,4),"")))</f>
        <v/>
      </c>
      <c r="IS317" t="str">
        <f t="shared" si="670"/>
        <v/>
      </c>
      <c r="IT317" t="str" cm="1">
        <f t="array" ref="IT317">IF(IM317="","",_xlfn.LET(_xlpm.nd,_xlfn.TEXTSPLIT(IM317,"|"),IF(COLUMNS(_xlpm.nd)&gt;4,A317&amp;"¦"&amp;INDEX(_xlpm.nd,4)&amp;"¦"&amp;INDEX(_xlpm.nd,5),"")))</f>
        <v/>
      </c>
      <c r="IU317" t="str">
        <f t="shared" si="671"/>
        <v/>
      </c>
      <c r="IV317" t="str" cm="1">
        <f t="array" ref="IV317">IF(IM317="","",_xlfn.LET(_xlpm.nd,_xlfn.TEXTSPLIT(IM317,"|"),IF(COLUMNS(_xlpm.nd)&gt;5,A317&amp;"¦"&amp;INDEX(_xlpm.nd,5)&amp;"¦"&amp;INDEX(_xlpm.nd,6),"")))</f>
        <v/>
      </c>
      <c r="IW317" t="str">
        <f t="shared" si="672"/>
        <v/>
      </c>
      <c r="IX317" t="str" cm="1">
        <f t="array" ref="IX317">IF(IM317="","",_xlfn.LET(_xlpm.nd,_xlfn.TEXTSPLIT(IM317,"|"),IF(COLUMNS(_xlpm.nd)&gt;6,A317&amp;"¦"&amp;INDEX(_xlpm.nd,6)&amp;"¦"&amp;INDEX(_xlpm.nd,7),"")))</f>
        <v/>
      </c>
      <c r="IY317" t="str">
        <f t="shared" si="673"/>
        <v/>
      </c>
      <c r="IZ317" t="str">
        <f t="shared" si="674"/>
        <v/>
      </c>
      <c r="JA317" t="str">
        <f t="shared" si="675"/>
        <v/>
      </c>
      <c r="JB317">
        <f t="shared" si="676"/>
        <v>0</v>
      </c>
      <c r="JC317">
        <f t="shared" si="677"/>
        <v>0</v>
      </c>
      <c r="JD317" t="str">
        <f t="shared" si="678"/>
        <v/>
      </c>
      <c r="JE317" t="str">
        <f t="shared" si="679"/>
        <v/>
      </c>
      <c r="JF317" t="str">
        <f t="shared" si="680"/>
        <v/>
      </c>
      <c r="JG317" t="str">
        <f t="shared" si="681"/>
        <v/>
      </c>
      <c r="JH317">
        <f>IF(B317="","",IFERROR(_xlfn.XLOOKUP(B317,Коды_код,Коды_уго),IFERROR(_xlfn.XLOOKUP(BC317,Коды_код,Коды_уго),IFERROR(_xlfn.XLOOKUP(LEFT(BC317,2),Коды_код,Коды_уго),""))))</f>
        <v>0</v>
      </c>
      <c r="JI317" t="str">
        <f>IF(B317="","",IF(OR(JH317="",JH317=0),"BOX",IFERROR(IF(VLOOKUP(JH317,УГО_блоки,3,FALSE)&amp;""&lt;&gt;"",VLOOKUP(JH317,УГО_блоки,3,FALSE),VLOOKUP(JH317,УГО_блоки,2,FALSE)),JH317)))</f>
        <v>BOX</v>
      </c>
      <c r="JJ317">
        <f t="shared" si="682"/>
        <v>1</v>
      </c>
      <c r="JK317" t="str">
        <f>IF(DQ317="","",IF(COUNTIF(DQ$3:DQ317,DQ317)=1,MAX(JK$2:JK316)+1,""))</f>
        <v/>
      </c>
      <c r="JL317" t="str">
        <f>IF(DE317="","",IF(COUNTIF(DE$3:DE317,DE317)+COUNTIF(DF$2:DF316,DE317)+COUNTIF(DG$2:DG316,DE317)=1,MAX(JL$2:JN316)+1,""))</f>
        <v/>
      </c>
      <c r="JM317" t="str">
        <f>IF(DF317="","",IF(COUNTIF(DE$3:DE317,DF317)+COUNTIF(DF$3:DF317,DF317)+COUNTIF(DG$2:DG316,DF317)=1,MAX(JL$2:JN316,JL317)+1,""))</f>
        <v/>
      </c>
      <c r="JN317" t="str">
        <f>IF(DG317="","",IF(COUNTIF(DE$3:DE317,DG317)+COUNTIF(DF$3:DF317,DG317)+COUNTIF(DG$3:DG317,DG317)=1,MAX(JL$2:JN316,JL317,JM317)+1,""))</f>
        <v/>
      </c>
      <c r="JO317" t="str">
        <f t="shared" si="683"/>
        <v/>
      </c>
      <c r="JP317" t="str">
        <f>IF(JO317="","",IF(COUNTIF(JO$3:JO317,JO317)=1,MAX(JP$2:JP316)+1,""))</f>
        <v/>
      </c>
      <c r="JQ317" t="str">
        <f>IF(HG317="","",COUNTIF(HG$3:HG317,"?*"))</f>
        <v/>
      </c>
      <c r="JR317" t="str">
        <f>IF(OR(HG317="",HI317=""),"",IF(COUNTIFS(HG$3:HG317,"?*",HI$3:HI317,HI317)=1,MAX(JR$2:JR316)+1,""))</f>
        <v/>
      </c>
      <c r="JS317">
        <f t="shared" si="684"/>
        <v>1</v>
      </c>
      <c r="JT317">
        <f>IF(B317="","",COUNTIF(B$3:B317,"?*"))</f>
        <v>315</v>
      </c>
      <c r="JU317">
        <f>IF(HL317&lt;&gt;1,0,_xlfn.LET(_xlpm.k,MAX(IFERROR(--_xlfn.XLOOKUP(B317,Коды_код,Коды_3L),0),IFERROR(--_xlfn.XLOOKUP(BC317,Коды_код,Коды_3L),0),IFERROR(--_xlfn.XLOOKUP(LEFT(BC317,2),Коды_код,Коды_3L),0)),IF(_xlpm.k&gt;0,_xlpm.k,IF(IFERROR(--LEFT(SUBSTITUTE(JO317,"x","х"),FIND("х",SUBSTITUTE(JO317,"x","х"))-1),3)&gt;3,Каталог!$S$9,1))))</f>
        <v>0</v>
      </c>
      <c r="JV317">
        <f t="shared" si="685"/>
        <v>0</v>
      </c>
      <c r="JW317" t="str">
        <f t="shared" si="686"/>
        <v>авто</v>
      </c>
      <c r="JX317" t="str">
        <f t="shared" si="687"/>
        <v/>
      </c>
      <c r="JY317">
        <f t="shared" si="688"/>
        <v>0</v>
      </c>
      <c r="JZ317">
        <f t="shared" si="689"/>
        <v>1</v>
      </c>
    </row>
    <row r="318" spans="1:286" x14ac:dyDescent="0.3">
      <c r="A318" t="s">
        <v>763</v>
      </c>
      <c r="B318" t="s">
        <v>1621</v>
      </c>
      <c r="C318" t="str">
        <f>Линии[[#This Row],[_авто наименование]]</f>
        <v>Насос дренажный, пом. 003Т</v>
      </c>
      <c r="D318">
        <v>1</v>
      </c>
      <c r="E318">
        <v>0.6</v>
      </c>
      <c r="G318">
        <v>16</v>
      </c>
      <c r="H318" t="str">
        <f>Линии[[#This Row],[_авто управление]]</f>
        <v/>
      </c>
      <c r="I318" t="str">
        <f>Линии[[#This Row],[_авто аппараты]]</f>
        <v/>
      </c>
      <c r="J318">
        <v>2.5</v>
      </c>
      <c r="K318">
        <v>18</v>
      </c>
      <c r="L318">
        <v>1</v>
      </c>
      <c r="M318" t="str">
        <f>Линии[[#This Row],[_авто клемма]]</f>
        <v>XT1</v>
      </c>
      <c r="N318" t="str">
        <f t="shared" si="552"/>
        <v/>
      </c>
      <c r="O318" s="6" cm="1">
        <f t="array" ref="O318">IF(B318="","",IF(BH318&lt;&gt;"",IFERROR(_xlfn.XLOOKUP(BH318,Щиты[Щит],Щиты[Iр, А]),""),IF(BP318=1,IF(OR(N(_xlfn.XLOOKUP(A318,Щиты[Щит],Щиты[Вводов],1))&lt;=1,LOWER(TRIM(_xlfn.XLOOKUP(A318,Щиты[Щит],Щиты[АВР],"")&amp;""))="да"),IFERROR(_xlfn.XLOOKUP(A318,Щиты[Щит],Щиты[Iр, А]),""),IFERROR(N(BS318)*_xlfn.XLOOKUP(A318,Щиты[Щит],Щиты[Кс итог])/(SQRT(3)*Uн_лин*_xlfn.XLOOKUP(A318,Щиты[Щит],Щиты[cos φ])),"")),IF(BV318=1,IFERROR(BS318*1000/BU318,""),IFERROR(_xlfn.IFS(BX318=1,BS318/((Uн_лин/SQRT(3))*CE318),BX318=3,BS318/(SQRT(3)*Uн_лин*CE318)),"")))))</f>
        <v>3.2475952641916441</v>
      </c>
      <c r="P318" s="7">
        <f>IF(B318="","",IFERROR(IF(VLOOKUP(BC318,Потребители_обозначение,4,FALSE)=1,VLOOKUP(BC318,Потребители_обозначение,3,FALSE)*(MAX(1,N(D318))*2-1)+EI318+VLOOKUP(BE318,Этаж_обозначение,3,FALSE)+VLOOKUP(BE318,Этаж_обозначение,4,FALSE),VLOOKUP(BC318,Потребители_обозначение,3,FALSE)*(MAX(1,N(D318))*2-1)+EI318),EI318))</f>
        <v>21</v>
      </c>
      <c r="Q318" s="6">
        <f t="shared" si="553"/>
        <v>2.5499999999999998</v>
      </c>
      <c r="R318" t="str">
        <f t="shared" si="554"/>
        <v>ВВГнг(А)-LS (3х2,5)</v>
      </c>
      <c r="S318" t="str">
        <f>IF(BM318="","",IF(BN318="вводной узел","узел ","")&amp;"л."&amp;(INT((BM318-1)/Столбцов_на_лист)+1)&amp;" / "&amp;(MOD(BM318-1,Столбцов_на_лист)+1))</f>
        <v>л.1 / 10</v>
      </c>
      <c r="T318" s="119">
        <f t="shared" si="555"/>
        <v>1.5</v>
      </c>
      <c r="U318" s="7" t="str">
        <f>IF(OR(CG318=0,N(BV318)+N(IB318)=0),"",ROUNDUP(Запас_БП*(N(HY318)+N(HZ318)),0))</f>
        <v/>
      </c>
      <c r="V318" s="119" t="str">
        <f t="shared" si="556"/>
        <v/>
      </c>
      <c r="W318" s="7" t="str">
        <f>IFERROR(IF(OR(B318="",BP318=1,BV318=1,NOT(ISNUMBER(EN318)),N(DT318)=0),"",MAX(0,ROUNDDOWN((c_min*(Uн_лин*1000/SQRT(3))/(HT318*N(DT318))-_xlfn.XLOOKUP(A318,Щиты[Щит],Щиты[Zпетли на шинах, Ом]))*EN318/(2*ρкз_Cu),0))),"")</f>
        <v/>
      </c>
      <c r="Y318" t="str">
        <f>Линии[[#This Row],[_авто утечка]]</f>
        <v/>
      </c>
      <c r="Z318">
        <v>1</v>
      </c>
      <c r="AA318">
        <v>230</v>
      </c>
      <c r="AB318" t="s">
        <v>598</v>
      </c>
      <c r="AC318">
        <v>0.5</v>
      </c>
      <c r="AG318" t="s">
        <v>850</v>
      </c>
      <c r="AI318" t="s">
        <v>604</v>
      </c>
      <c r="AK318" t="str">
        <f>Линии[[#This Row],[_авто модуль]]</f>
        <v/>
      </c>
      <c r="AM318">
        <v>10</v>
      </c>
      <c r="AN318" t="s">
        <v>11</v>
      </c>
      <c r="AO318">
        <v>3</v>
      </c>
      <c r="AQ318">
        <v>9</v>
      </c>
      <c r="AR318">
        <v>9</v>
      </c>
      <c r="AS318">
        <v>0</v>
      </c>
      <c r="AT318">
        <v>1</v>
      </c>
      <c r="BA318" cm="1">
        <f t="array" ref="BA318">ROW()-ROW(Линии[#Headers])</f>
        <v>316</v>
      </c>
      <c r="BC318" s="6" t="str">
        <f t="shared" si="557"/>
        <v>НВК</v>
      </c>
      <c r="BD318" t="str">
        <f t="shared" si="558"/>
        <v>00.003Т.2</v>
      </c>
      <c r="BE318" t="str">
        <f t="shared" si="559"/>
        <v>00</v>
      </c>
      <c r="BF318" t="str">
        <f t="shared" si="560"/>
        <v>003Т.2</v>
      </c>
      <c r="BG318" t="str">
        <f t="shared" si="561"/>
        <v>003Т</v>
      </c>
      <c r="BH318" t="str">
        <f>IF(X318&lt;&gt;"",X318,IF(AND(B318&lt;&gt;"",B318&lt;&gt;A318,ISNUMBER(_xlfn.XMATCH(B318,Щиты[Щит]))),B318,""))</f>
        <v/>
      </c>
      <c r="BI318" t="str" cm="1">
        <f t="array" ref="BI318">IF(B318="","",IF(BH318&lt;&gt;"","Щит "&amp;BH318,_xlfn.LET(_xlpm.nm,IFERROR(_xlfn.XLOOKUP(BC318,Коды_код,Коды_имя)&amp;"",""),_xlpm.md,IFERROR(N(_xlfn.XLOOKUP(BC318,Коды_код,Коды_режим)),1),_xlpm.ex,IF(Имя_режим="по экспликации",IFERROR(_xlfn.XLOOKUP(BE318&amp;"|"&amp;BG318,Экспликация[Этаж]&amp;"|"&amp;Экспликация[Помещение],Экспликация[Название])&amp;"",""),""),_xlpm.rm,IF(BG318="","",IF(_xlpm.ex&lt;&gt;"",". "&amp;_xlpm.ex&amp;IF(Имя_пом="нет"," ("&amp;BG318&amp;")"," (пом. "&amp;BG318&amp;")"),IF(Имя_пом="нет"," ",", пом. ")&amp;BG318)),IF(_xlpm.nm="","",IF(_xlpm.md=2,_xlpm.nm&amp;" шлейф "&amp;BE318,_xlpm.nm&amp;_xlpm.rm)))))</f>
        <v>Насос дренажный, пом. 003Т</v>
      </c>
      <c r="BJ318" t="str">
        <f t="shared" si="562"/>
        <v>Насос дренажный, пом. 003Т</v>
      </c>
      <c r="BK318">
        <f>IFERROR(_xlfn.XMATCH(A318,Щиты[Щит]),0)</f>
        <v>13</v>
      </c>
      <c r="BL318">
        <f>_xlfn.LET(_xlpm.k,IFERROR(_xlfn.XLOOKUP(A318,Щиты[Щит],Щиты[Мест под вводной узел]),""),IF(_xlpm.k="",Столбцов_на_лист,N(_xlpm.k)))</f>
        <v>9</v>
      </c>
      <c r="BM318">
        <f t="shared" si="563"/>
        <v>10</v>
      </c>
      <c r="BN318" t="str">
        <f t="shared" si="564"/>
        <v>линии</v>
      </c>
      <c r="BO318" s="6">
        <f>IFERROR(N(_xlfn.XLOOKUP(BC318,Коды_код,Коды_квт)),0)</f>
        <v>0</v>
      </c>
      <c r="BP318">
        <f t="shared" si="565"/>
        <v>0</v>
      </c>
      <c r="BQ318" t="str">
        <f>IF(B318="","",IF(BH318&lt;&gt;"",IFERROR(_xlfn.XLOOKUP(BH318,Щиты[Щит],Щиты[Руст, кВт]),0),IF(BP318=1,IF(OR(N(_xlfn.XLOOKUP(A318,Щиты[Щит],Щиты[Вводов],1))&lt;=1,LOWER(TRIM(_xlfn.XLOOKUP(A318,Щиты[Щит],Щиты[АВР],"")&amp;""))="да"),IFERROR(_xlfn.XLOOKUP(A318,Щиты[Щит],Щиты[Руст, кВт]),0),SUMIFS(Линии[_Р для вводов],Линии[Щит],A318,Линии[Источник для режимов],GF318)),IF(BO318&gt;0,ROUND(BO318*MAX(1,N(D318)),3),""))))</f>
        <v/>
      </c>
      <c r="BR318">
        <f t="shared" si="566"/>
        <v>0.6</v>
      </c>
      <c r="BS318" s="6">
        <f>IF(B318="","",IF(BH318&lt;&gt;"",IFERROR(_xlfn.XLOOKUP(BH318,Щиты[Щит],Щиты[Руст, кВт]),0),N(BR318)))</f>
        <v>0.6</v>
      </c>
      <c r="BT318" t="str">
        <f>IF(B318="","",IFERROR(IF(VLOOKUP(BC318,Потребители_обозначение,8,FALSE)=0,"",VLOOKUP(BC318,Потребители_обозначение,8,FALSE)),""))</f>
        <v/>
      </c>
      <c r="BU318">
        <f t="shared" si="567"/>
        <v>230</v>
      </c>
      <c r="BV318">
        <f t="shared" si="568"/>
        <v>0</v>
      </c>
      <c r="BW318">
        <f>IF(B318="","",IF(BH318&lt;&gt;"",3,IFERROR(IF(N(VLOOKUP(BC318,Потребители_обозначение,9,FALSE))=0,1,VLOOKUP(BC318,Потребители_обозначение,9,FALSE)),1)))</f>
        <v>1</v>
      </c>
      <c r="BX318">
        <f t="shared" si="569"/>
        <v>1</v>
      </c>
      <c r="BY318" t="str">
        <f>IF(B318="","",_xlfn.LET(_xlpm.bc,IFERROR(IF(VLOOKUP(BC318,Потребители_обозначение,6,FALSE)=0,"",VLOOKUP(BC318,Потребители_обозначение,6,FALSE)&amp;""),""),IF(AND(GA318="да",OR(_xlpm.bc="",_xlpm.bc="мс")),Марка_пож,IF(AND(_xlpm.bc="",BH318&lt;&gt;""),"мс",_xlpm.bc))))</f>
        <v/>
      </c>
      <c r="BZ318" t="str">
        <f t="shared" si="570"/>
        <v>мс</v>
      </c>
      <c r="CA318">
        <f>IF(B318="","",_xlfn.LET(_xlpm.cc,IFERROR(N(VLOOKUP(BC318,Потребители_обозначение,7,FALSE)),0),IF(_xlpm.cc&gt;0,_xlpm.cc,IF(BZ318="","",IF(BV318=1,2,IF(N(BX318)=3,5,3))))))</f>
        <v>3</v>
      </c>
      <c r="CB318">
        <f t="shared" si="571"/>
        <v>3</v>
      </c>
      <c r="CC318">
        <f>IFERROR(N(VLOOKUP(BC318,Потребители_обозначение,10,FALSE)),0)</f>
        <v>0</v>
      </c>
      <c r="CD318">
        <f>IFERROR(VLOOKUP(BC318,Потребители_обозначение,5,FALSE),0)</f>
        <v>1</v>
      </c>
      <c r="CE318" s="6" cm="1">
        <f t="array" ref="CE318">IF(B318="","",IF(BH318&lt;&gt;"",IFERROR(_xlfn.XLOOKUP(BH318,Щиты[Щит],Щиты[cos φ]),0.95),IF(BP318=1,IFERROR(_xlfn.XLOOKUP(A318,Щиты[Щит],Щиты[cos φ]),0.95),IF(ISNUMBER(AD318),AD318,IFERROR(IF(CD318=2,_xlfn.IFS(BX318=3,VLOOKUP(BS318,Справочная_двигатели,8,FALSE),BX318=1,VLOOKUP(BS318,Справочная_двигатели,10,TRUE)),IF(AND(Методика="нормы 2026",FG318="Сил"),0.8,0.95)),0.95)))))</f>
        <v>0.8</v>
      </c>
      <c r="CF318">
        <f t="shared" si="572"/>
        <v>0</v>
      </c>
      <c r="CG318">
        <f t="shared" si="573"/>
        <v>1</v>
      </c>
      <c r="CH318">
        <f t="shared" si="574"/>
        <v>0</v>
      </c>
      <c r="CI318">
        <f>IF(B318="","",IF(BV318=1,IFERROR(BS318/((Uн_лин/SQRT(3))*MAX(0.5,N(CE318))),0),N(O318)))</f>
        <v>3.2475952641916441</v>
      </c>
      <c r="CJ318">
        <f t="shared" si="575"/>
        <v>0</v>
      </c>
      <c r="CK318">
        <f t="shared" si="576"/>
        <v>0</v>
      </c>
      <c r="CL318">
        <f t="shared" si="577"/>
        <v>0</v>
      </c>
      <c r="CM318">
        <f t="shared" si="578"/>
        <v>0</v>
      </c>
      <c r="CN318">
        <f t="shared" si="579"/>
        <v>0</v>
      </c>
      <c r="CO318">
        <f>IF(BC318="",0,_xlfn.LET(_xlpm.v,IFERROR(_xlfn.XLOOKUP(B318,Коды_код,Коды_мА),IFERROR(_xlfn.XLOOKUP(BC318,Коды_код,Коды_мА),IFERROR(_xlfn.XLOOKUP(LEFT(BC318,2),Коды_код,Коды_мА),""))),IF(_xlpm.v="да",30,IF(ISNUMBER(_xlpm.v),_xlpm.v,0))))</f>
        <v>0</v>
      </c>
      <c r="CP318" t="str">
        <f t="shared" si="580"/>
        <v/>
      </c>
      <c r="CQ318" t="str">
        <f>_xlfn.LET(_xlpm.k,IFERROR(_xlfn.XLOOKUP(BC318,Коды_код,Коды_утечка)&amp;"",""),IF(_xlpm.k="","дифавтомат",_xlpm.k))</f>
        <v>дифавтомат</v>
      </c>
      <c r="CR318" t="str" cm="1">
        <f t="array" ref="CR318">IF(CG318=0,"",_xlfn.LET(_xlpm.sg,TRIM(_xlfn.TEXTSPLIT(DD318&amp;"",";")),_xlpm.f_,_xlfn._xlws.FILTER(_xlpm.sg,LEFT(_xlpm.sg,3)="УЗО",""),IFERROR(INDEX(_xlpm.f_,1)&amp;"","")))</f>
        <v/>
      </c>
      <c r="CS318" t="str">
        <f t="shared" si="581"/>
        <v/>
      </c>
      <c r="CT318" s="6" t="str" cm="1">
        <f t="array" ref="CT318">IF(CR318="","",_xlfn.LET(_xlpm.tk,_xlfn.TEXTSPLIT(UPPER(CR318)," ",,TRUE),_xlpm.a_,_xlfn._xlws.FILTER(_xlpm.tk,ISNUMBER(--LEFT(_xlpm.tk,1))*((ISNUMBER(SEARCH("А",_xlpm.tk))+ISNUMBER(SEARCH("A",_xlpm.tk)))&gt;0)*NOT(ISNUMBER(SEARCH("МА",_xlpm.tk)))*NOT(ISNUMBER(SEARCH("MA",_xlpm.tk))),""),IFERROR(--SUBSTITUTE(SUBSTITUTE(INDEX(_xlpm.a_,1),"А",""),"A",""),"")))</f>
        <v/>
      </c>
      <c r="CU318" t="str" cm="1">
        <f t="array" ref="CU318">IF(CR318="","",_xlfn.LET(_xlpm.tk,_xlfn.TEXTSPLIT(UPPER(CR318)," ",,TRUE),_xlpm.a_,_xlfn._xlws.FILTER(_xlpm.tk,ISNUMBER(--LEFT(_xlpm.tk,1))*((ISNUMBER(SEARCH("МА",_xlpm.tk))+ISNUMBER(SEARCH("MA",_xlpm.tk)))&gt;0),""),IFERROR(--SUBSTITUTE(SUBSTITUTE(INDEX(_xlpm.a_,1),"МА",""),"MA",""),30)))</f>
        <v/>
      </c>
      <c r="CV318" t="str">
        <f>IF(CS318="","",IFERROR(_xlfn.XLOOKUP(CS318,Линии[_n],Линии[_УЗО, мА]),30))</f>
        <v/>
      </c>
      <c r="CW318">
        <f>IF(CS318="",0,IF(ISNUMBER(SEARCH("4P",IFERROR(_xlfn.XLOOKUP(CS318,Линии[_n],Линии[_УЗО строки])&amp;"",""))),0,1))</f>
        <v>0</v>
      </c>
      <c r="CX318" t="str">
        <f>IF(AND(CS318&lt;&gt;"",CS318=BA318),SUMIFS(Линии[_ток на 230 В],Линии[_блок УЗО],BA318,Линии[Щит],A318),"")</f>
        <v/>
      </c>
      <c r="CY318" t="str">
        <f>IF(AND(CS318&lt;&gt;"",CS318=BA318),SUMIFS(Линии[_ток утечки линии, мА],Линии[_блок УЗО],BA318,Линии[Щит],A318),"")</f>
        <v/>
      </c>
      <c r="CZ318">
        <f t="shared" si="582"/>
        <v>0</v>
      </c>
      <c r="DA318">
        <f t="shared" si="583"/>
        <v>0</v>
      </c>
      <c r="DB318">
        <f>IF(B318="",0,IFERROR(--_xlfn.XLOOKUP(B318,Коды_код,Коды_минавт),IFERROR(--_xlfn.XLOOKUP(BC318,Коды_код,Коды_минавт),IFERROR(--_xlfn.XLOOKUP(LEFT(BC318,2),Коды_код,Коды_минавт),0))))</f>
        <v>0</v>
      </c>
      <c r="DC318" t="str">
        <f>IF(B318="","",IFERROR(_xlfn.XLOOKUP(BC318,Коды_код,Коды_апп)&amp;"",""))</f>
        <v/>
      </c>
      <c r="DD318" t="str">
        <f t="shared" si="584"/>
        <v/>
      </c>
      <c r="DE318" t="str" cm="1">
        <f t="array" ref="DE318">IF(TRIM(DD318&amp;"")="","",IFERROR(TRIM(INDEX(_xlfn.TEXTSPLIT(DD318&amp;";;;",";"),1)),""))</f>
        <v/>
      </c>
      <c r="DF318" t="str" cm="1">
        <f t="array" ref="DF318">IF(TRIM(DD318&amp;"")="","",IFERROR(TRIM(INDEX(_xlfn.TEXTSPLIT(DD318&amp;";;;",";"),2)),""))</f>
        <v/>
      </c>
      <c r="DG318" t="str" cm="1">
        <f t="array" ref="DG318">IF(TRIM(DD318&amp;"")="","",IFERROR(TRIM(INDEX(_xlfn.TEXTSPLIT(DD318&amp;";;;",";"),3)),""))</f>
        <v/>
      </c>
      <c r="DH318">
        <f t="shared" si="585"/>
        <v>0</v>
      </c>
      <c r="DI318" t="str">
        <f>IF(B318="","",_xlfn.LET(_xlpm.t,LOWER(AZ318&amp;""),IF(ISNUMBER(SEARCH("dim",_xlpm.t)),"DIM",IF(ISNUMBER(SEARCH("dali",_xlpm.t)),"DALI",IF(OR(ISNUMBER(SEARCH("relay",_xlpm.t)),ISNUMBER(SEARCH("реле",_xlpm.t))),"Relay",IF(ISNUMBER(SEARCH("кнопк",_xlpm.t)),"",IFERROR(_xlfn.XLOOKUP(BC318,Коды_код,Коды_упр)&amp;"","")))))))</f>
        <v/>
      </c>
      <c r="DJ318" t="str">
        <f t="shared" si="586"/>
        <v/>
      </c>
      <c r="DK318">
        <f>IF(B318="","",_xlfn.LET(_xlpm.ig,IF(N(CX318)&gt;0,N(CX318),N(CI318)+IF(AJ318="вручную",0,N(CJ318))),_xlpm.n0,IFERROR(VLOOKUP(_xlpm.ig,Автомат_номиналы,2,TRUE),0),_xlpm.mn,MAX(DB318,IF(AJ318="вручную",0,N(CM318))),MAX(_xlpm.n0,_xlpm.mn,IF(DH318=1,Мин_автомат_БП,0))))</f>
        <v>6</v>
      </c>
      <c r="DL318">
        <f t="shared" si="587"/>
        <v>1</v>
      </c>
      <c r="DM318" t="str">
        <f t="shared" si="588"/>
        <v>1P</v>
      </c>
      <c r="DN318" t="str">
        <f>_xlfn.LET(_xlpm.cc,UPPER(TRIM(IFERROR(_xlfn.XLOOKUP(BC318,Коды_код,Коды_хар)&amp;"",""))),IF(OR(_xlpm.cc="B",_xlpm.cc="В"),"B",IF(_xlpm.cc="D","D","С")))</f>
        <v>С</v>
      </c>
      <c r="DO318" t="str">
        <f t="shared" si="589"/>
        <v>1P С6А</v>
      </c>
      <c r="DP318">
        <f t="shared" si="590"/>
        <v>16</v>
      </c>
      <c r="DQ318" t="str">
        <f t="shared" si="591"/>
        <v>1P С16А</v>
      </c>
      <c r="DR318" cm="1">
        <f t="array" ref="DR318">IF(DQ318="","",_xlfn.LET(_xlpm.t,SUBSTITUTE(SUBSTITUTE(SUBSTITUTE(UPPER(DQ318),"С","C"),"А","A"),"В","B"),_xlpm.tk,_xlfn.TEXTSPLIT(_xlpm.t," "),_xlpm.f,_xlfn._xlws.FILTER(_xlpm.tk,ISNUMBER(--MID(_xlpm.tk,2,1))*ISNUMBER(SEARCH(LEFT(_xlpm.tk,1)&amp;"#","B#C#D#"))*(LEN(_xlpm.tk)&gt;1),""),_xlpm.x,INDEX(_xlpm.f,1),IFERROR(--SUBSTITUTE(MID(_xlpm.x,2,9),"A",""),IFERROR(--SUBSTITUTE(INDEX(_xlfn._xlws.FILTER(_xlpm.tk,ISNUMBER(--SUBSTITUTE(_xlpm.tk,"A","")),""),1),"A",""),""))))</f>
        <v>16</v>
      </c>
      <c r="DS318" t="str">
        <f t="shared" si="592"/>
        <v>ok</v>
      </c>
      <c r="DT318">
        <f t="shared" si="593"/>
        <v>16</v>
      </c>
      <c r="DU318" t="str">
        <f t="shared" si="594"/>
        <v>1P С16А</v>
      </c>
      <c r="DV318">
        <f t="shared" si="595"/>
        <v>0</v>
      </c>
      <c r="DW318">
        <f t="shared" si="596"/>
        <v>0</v>
      </c>
      <c r="DX318">
        <f t="shared" si="597"/>
        <v>0</v>
      </c>
      <c r="DY318">
        <f t="shared" si="598"/>
        <v>3.2475952641916441</v>
      </c>
      <c r="DZ318">
        <f t="shared" si="599"/>
        <v>1</v>
      </c>
      <c r="EA318">
        <f>IF(ISNUMBER(AP318),AP318,К_прокл)</f>
        <v>1</v>
      </c>
      <c r="EB318">
        <f t="shared" si="600"/>
        <v>2</v>
      </c>
      <c r="EC318">
        <f>IFERROR(N(VLOOKUP(BZ318,Кабель_обозначение,3,FALSE)),1)</f>
        <v>1</v>
      </c>
      <c r="ED318">
        <f>IFERROR(N(_xlfn.XLOOKUP(A318,Щиты[Щит],Щиты[ΔU до шин, %])),0)</f>
        <v>2.1199999999999997</v>
      </c>
      <c r="EE318" t="str">
        <f>IFERROR(_xlfn.XLOOKUP(A318,Щиты[Щит],Щиты[Zпетли на шинах, Ом]),"")</f>
        <v/>
      </c>
      <c r="EF318">
        <f>IFERROR(N(_xlfn.XLOOKUP(A318,Щиты[Щит],Щиты[ΔU до шин (подбор), %])),0)</f>
        <v>3.3699999999999997</v>
      </c>
      <c r="EG318" t="str">
        <f>IFERROR(_xlfn.XLOOKUP(A318,Щиты[Щит],Щиты[Zпетли на шинах (подбор), Ом]),"")</f>
        <v/>
      </c>
      <c r="EH318" t="str">
        <f t="shared" si="601"/>
        <v/>
      </c>
      <c r="EI318">
        <f t="shared" si="602"/>
        <v>18</v>
      </c>
      <c r="EJ318">
        <f t="shared" si="603"/>
        <v>2</v>
      </c>
      <c r="EK318">
        <f t="shared" si="604"/>
        <v>0.6</v>
      </c>
      <c r="EL318" s="6">
        <f>IF(B318="","",IF(BV318=1,dU_LED,IF(IFERROR(_xlfn.XLOOKUP(BC318,Коды_код,Коды_уго),"")="Светильник",3,4)+IF(Методика="нормы 2026",MIN(0.5,MAX(0,N(P318)-100)*0.005),0)))</f>
        <v>4</v>
      </c>
      <c r="EM318" cm="1">
        <f t="array" ref="EM318">IF(OR(B318="",BZ318="",EC318&lt;&gt;1),"",_xlfn.LET(_xlpm.sz,Iдоп_S,_xlpm.t_,CHOOSE(EB318,Iдоп_1ж,Iдоп_2ж,Iдоп_3ж)*DZ318*EA318,_xlpm.dcx,BV318=1,_xlpm.inn,IF(_xlpm.dcx,N(O318),N(DT318)),_xlpm.smin,MAX(1.5,CC318),_xlpm.L_,N(P318)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318)/N(BU318)*100,999),IFERROR(N(EJ318)*(_xlpm.rho*_xlpm.L_/_xlpm.sz*N(CE318)+_xlpm.xx*_xlpm.L_*N(EK318)/1000)*N(O318)/((Uн_лин/SQRT(3))*1000)*100,999)),_xlpm.kz,IF(OR(_xlpm.dcx,DW318=1,NOT(ISNUMBER(EG318)),_xlpm.L_=0,_xlpm.inn=0),1,IFERROR(--(c_min*(Uн_лин*1000/SQRT(3))/(EG318+2*ρкз_Cu*_xlpm.L_/_xlpm.sz)&gt;=HT318*_xlpm.inn),0)),_xlpm.ok,IFERROR((_xlpm.sz&gt;=_xlpm.smin)*(_xlpm.t_&gt;=_xlpm.inn)*IF(_xlpm.L_&gt;0,(_xlpm.du_+IF(_xlpm.dcx,0,EF318)&lt;=EL318+0.00001),1)*_xlpm.kz,0),_xlpm.r_,_xlfn._xlws.FILTER(_xlpm.sz,_xlpm.ok,"не подобрано"),INDEX(_xlpm.r_,1)))</f>
        <v>2.5</v>
      </c>
      <c r="EN318">
        <f t="shared" si="605"/>
        <v>2.5</v>
      </c>
      <c r="EO318" cm="1">
        <f t="array" ref="EO318">IF(OR(B318="",BZ318="",EC318&lt;&gt;1),"",_xlfn.LET(_xlpm.sz,Iдоп_S,_xlpm.t_,CHOOSE(EB318,Iдоп_1ж,Iдоп_2ж,Iдоп_3ж)*DZ318*EA318,_xlpm.ok,IFERROR((_xlpm.sz&gt;=MAX(1.5,CC318))*(_xlpm.t_&gt;=N(DT318)),0),_xlpm.r_,_xlfn._xlws.FILTER(_xlpm.sz,_xlpm.ok,""),INDEX(_xlpm.r_,1)))</f>
        <v>1.5</v>
      </c>
      <c r="EP318" s="6" cm="1">
        <f t="array" ref="EP318">IFERROR(ROUNDUP(N(EJ318)*(_xlfn.XLOOKUP(EO318,INDEX(Кабель_сопротивление,0,1),INDEX(Кабель_сопротивление,0,3))*N(P318)/EO318*N(CE318)+_xlfn.XLOOKUP(EO318,INDEX(Кабель_сопротивление,0,1),INDEX(Кабель_сопротивление,0,2))*N(P318)*N(EK318)/1000)*N(O318)/((Uн_лин/SQRT(3))*1000)*100,2),"")</f>
        <v>0.72</v>
      </c>
      <c r="EQ318">
        <f>IFERROR(2*ρкз_Cu*N(P318)/EO318,"")</f>
        <v>0.73640000000000005</v>
      </c>
      <c r="ER318">
        <f>IFERROR(VLOOKUP(EN318,Кабель_сопротивление,3,FALSE),"")</f>
        <v>2.2499999999999999E-2</v>
      </c>
      <c r="ES318">
        <f>IFERROR(VLOOKUP(EN318,Кабель_сопротивление,2,FALSE),"")</f>
        <v>0.1</v>
      </c>
      <c r="ET318">
        <f t="shared" si="606"/>
        <v>9</v>
      </c>
      <c r="EU318">
        <f t="shared" si="607"/>
        <v>0</v>
      </c>
      <c r="EV318">
        <f t="shared" si="608"/>
        <v>0.99025674795731622</v>
      </c>
      <c r="EW318" s="6">
        <f>IFERROR(ROUNDUP(EV318/IF(BV318=1,BU318,(Uн_лин/SQRT(3))*1000)*100,2),"")</f>
        <v>0.43</v>
      </c>
      <c r="EX318" t="str">
        <f>IFERROR(VLOOKUP(BZ318,Кабель_обозначение,2,FALSE),"")</f>
        <v>ВВГнг(А)-LS</v>
      </c>
      <c r="EY318" t="str">
        <f t="shared" si="609"/>
        <v>ВВГнг(А)-LS (3х2,5)</v>
      </c>
      <c r="EZ318" t="str">
        <f t="shared" si="610"/>
        <v>ВВГнг(А)-LS (3х2,5)
L=21-0,43%</v>
      </c>
      <c r="FA318">
        <f>IFERROR(2*ρкз_Cu*P318/EN318,"")</f>
        <v>0.44184000000000001</v>
      </c>
      <c r="FB318">
        <f t="shared" si="611"/>
        <v>0.14700000000000002</v>
      </c>
      <c r="FC318" s="6" t="str">
        <f>IFERROR(IF(OR(B318="",BV318=1,NOT(ISNUMBER(EN318)),N(P318)=0),"",_xlfn.XLOOKUP(A318,Щиты[Щит],Щиты[Zпетли на шинах, Ом])+FA318),"")</f>
        <v/>
      </c>
      <c r="FD318" s="6" t="str">
        <f>IF(ISNUMBER(FC318),c_min*(Uн_лин*1000/SQRT(3))/FC318,"")</f>
        <v/>
      </c>
      <c r="FE318" s="6" t="str">
        <f>IFERROR(IF(OR(B318="",NOT(ISNUMBER(EN318))),"",1.05*(Uн_лин*1000/SQRT(3))/(_xlfn.XLOOKUP(A318,Щиты[Щит],Щиты[Zmax на шинах, Ом])+FB318)/1000),"")</f>
        <v/>
      </c>
      <c r="FF318" s="6" t="str">
        <f>IF(B318="","",IF(ISNUMBER(AC318),"Сил",IF(IFERROR(_xlfn.XLOOKUP(BC318,Коды_код,Коды_группа)&amp;"","")="","Быт",_xlfn.XLOOKUP(BC318,Коды_код,Коды_группа)&amp;"")))</f>
        <v>Сил</v>
      </c>
      <c r="FG318" s="6" t="str">
        <f t="shared" si="612"/>
        <v>Сил</v>
      </c>
      <c r="FH318" s="6">
        <f>IF(FG318="Щит","щит",IF(FG318="","",IF(FG318="Быт",IFERROR(_xlfn.XLOOKUP(A318,Щиты[Щит],Щиты[Кс быт]),1),IF(FG318="Сил",IF(ISNUMBER(AC318),AC318,IF(Методика="нормы 2026",IFERROR(_xlfn.XLOOKUP(A318,Щиты[Щит],Щиты[Кс силовых (табл. 7.5)]),1),1)),IF(OR(FG318="Пост",FG318="Отоп"),1,IF(FG318="ВНГ",0.7,0))))))</f>
        <v>0.5</v>
      </c>
      <c r="FI318">
        <f>IF(FG318="","",IF(AND(BP318=1,TRIM(AE318&amp;"")=""),IF(COUNTIFS(Линии[Щит],A318,Линии[Секция (1/2/3)],"&gt;=2")&gt;0,MIN(3,MAX(1,IFERROR(--BD318,1))),1),IFERROR(MIN(3,MAX(1,INT(--AE318))),1)))</f>
        <v>1</v>
      </c>
      <c r="FJ318">
        <f t="shared" si="613"/>
        <v>0.6</v>
      </c>
      <c r="FK318">
        <f t="shared" si="614"/>
        <v>0</v>
      </c>
      <c r="FL318">
        <f t="shared" si="615"/>
        <v>0.3</v>
      </c>
      <c r="FM318">
        <f t="shared" si="616"/>
        <v>0</v>
      </c>
      <c r="FN318">
        <f t="shared" si="617"/>
        <v>0</v>
      </c>
      <c r="FO318">
        <f t="shared" si="618"/>
        <v>0</v>
      </c>
      <c r="FP318">
        <f t="shared" si="619"/>
        <v>0.6</v>
      </c>
      <c r="FQ318">
        <f t="shared" si="620"/>
        <v>0.6</v>
      </c>
      <c r="FR318">
        <f t="shared" si="621"/>
        <v>0.48</v>
      </c>
      <c r="FS318">
        <f>IF(CG318=1,IF(AND(CH318=1,CW318=1),0,IF(AND(CS318&lt;&gt;"",CS318=BA318,CW318=1),SUMIFS(Линии[_Р линии, кВт],Линии[_блок УЗО],BA318,Линии[Щит],A318),N(BS318)+IF(AJ318="вручную",0,N(CK318)))),0)</f>
        <v>0.6</v>
      </c>
      <c r="FT318" t="str">
        <f t="shared" si="622"/>
        <v>L1</v>
      </c>
      <c r="FU318" t="str">
        <f>IF(B318="","",IF(CG318=0,IF(BA318=1,"",FW317),IF(AND(CH318=1,CW318=1,CS318&lt;&gt;""),IFERROR(_xlfn.XLOOKUP(CS318,Линии[_n],Линии[_фаза итог]),"L1"),IF(OR(N(DL318)&gt;=3,N(BX318)&gt;=3),"L1,L2,L3",IFERROR(_xlfn.TEXTBEFORE(_xlfn.TEXTAFTER(_xlfn.XLOOKUP(A318,Щиты[Щит],Щиты[_фазы авто]),";"&amp;BA318&amp;":"),";"),"L1")))))</f>
        <v>L1</v>
      </c>
      <c r="FV318" t="str">
        <f t="shared" si="623"/>
        <v>L1</v>
      </c>
      <c r="FW318" t="str">
        <f t="shared" si="624"/>
        <v>L1</v>
      </c>
      <c r="FX318" cm="1">
        <f t="array" ref="FX318">IFERROR(IF(CD318=2,_xlfn.IFS(BX318=3,VLOOKUP(BS318,Справочная_двигатели,3,FALSE),BX318=1,VLOOKUP(BS318,Справочная_двигатели,5,TRUE)),0),0)</f>
        <v>0</v>
      </c>
      <c r="FY318">
        <f>IFERROR(IF(CD318=3,VLOOKUP(BS318,Справочная_ЛЭД,2,TRUE),0),0)</f>
        <v>0</v>
      </c>
      <c r="FZ318" s="6">
        <f t="shared" si="625"/>
        <v>0</v>
      </c>
      <c r="GA318" t="str">
        <f>IF(B318="","",IF(TRIM(AH318&amp;"")&lt;&gt;"",IF(LOWER(TRIM(AH318&amp;""))="да","да","нет"),IF(IFERROR(_xlfn.XLOOKUP(BC318,Коды_код,Коды_пожарная),"")="да","да","нет")))</f>
        <v>нет</v>
      </c>
      <c r="GB318" t="str">
        <f t="shared" si="626"/>
        <v/>
      </c>
      <c r="GC318" t="str">
        <f t="shared" si="627"/>
        <v>основная</v>
      </c>
      <c r="GD318">
        <f>IF(AND(BP318=1,TRIM(AE318&amp;"")=""),IF(COUNTIFS(Линии[Щит],A318,Линии[Секция (1/2/3)],"&gt;=2")&gt;0,MIN(3,MAX(1,IFERROR(--BD318,1))),1),IFERROR(MIN(3,MAX(1,INT(--AE318))),1))</f>
        <v>1</v>
      </c>
      <c r="GE318" t="str" cm="1">
        <f t="array" ref="GE318">IF(B318="","",_xlfn.LET(_xlpm.t,IFERROR(_xlfn.XLOOKUP(1,(Шины[Шина]=GC318)*(((Шины[Щит]=A318)+(Шины[Щит]=""))&gt;0),Шины[Тип]),"")&amp;"",IF(_xlpm.t&lt;&gt;"",_xlpm.t,IF(ISNUMBER(SEARCH("ИБП",GC318)),"ИБП",IF(ISNUMBER(SEARCH("ДГУ",GC318)),"ДГУ","Ввод "&amp;GD318)))))</f>
        <v>Ввод 1</v>
      </c>
      <c r="GF318" t="str">
        <f t="shared" si="628"/>
        <v>Ввод 1</v>
      </c>
      <c r="GG318" t="str">
        <f>IF(BP318=0,"",IF(TRIM(AG318&amp;"")&lt;&gt;"",TRIM(AG318&amp;""),IF(OR(GE318="ИБП",GE318="ДГУ"),"I особая",_xlfn.XLOOKUP(A318,Щиты[Щит],Щиты[Категория шины «Ввод»],"III"))))</f>
        <v/>
      </c>
      <c r="GH318" t="str">
        <f>IF(A318="","",_xlfn.XLOOKUP(A318,Щиты[Щит],Щиты[Путь],""))</f>
        <v>|ГРЩ-ЖД|ЩС-ВК.001|</v>
      </c>
      <c r="GI318" t="str">
        <f>IF(B318="","",IF(AI318&lt;&gt;"",AI318,IF(IFERROR(_xlfn.XLOOKUP(BC318,Коды_код,Коды_вид)&amp;"","")="","Прочее",_xlfn.XLOOKUP(BC318,Коды_код,Коды_вид)&amp;"")))</f>
        <v>Насосы (водоснабжение, дренаж)</v>
      </c>
      <c r="GJ318">
        <f>IF(BM318="","",INT((BM318-1)/Столбцов_на_лист)+1)</f>
        <v>1</v>
      </c>
      <c r="GK318" t="str">
        <f t="shared" si="629"/>
        <v>ВВГнг(А)-LS (3х2,5) L=21-0,43%</v>
      </c>
      <c r="GL318">
        <f t="shared" si="630"/>
        <v>0.6</v>
      </c>
      <c r="GM318">
        <f t="shared" si="631"/>
        <v>3.25</v>
      </c>
      <c r="GN318">
        <f t="shared" si="632"/>
        <v>1</v>
      </c>
      <c r="GO318">
        <f t="shared" si="633"/>
        <v>0</v>
      </c>
      <c r="GP318">
        <f t="shared" si="634"/>
        <v>1</v>
      </c>
      <c r="GQ318">
        <f>IF(BM318="","",IF(AND(CG318=1,GP318=1),COUNTIFS(A$3:A318,A318,CG$3:CG318,1,GP$3:GP318,1),IF(OR(OR(BA318=1,A318&lt;&gt;A317),AJ318="вручную",GP318=0),"",IF(BA318=1,"",GR317))))</f>
        <v>1</v>
      </c>
      <c r="GR318">
        <f t="shared" si="635"/>
        <v>1</v>
      </c>
      <c r="GS318">
        <f>IF(B318="","",IFERROR(LOOKUP(INDEX(CHOOSE(EB318,Iдоп_1ж,Iдоп_2ж,Iдоп_3ж),MATCH(EN318,Iдоп_S,0))*DZ318*EA318,{6,10,16,20,25,32,40,50,63,80,100,125,160,200,250,315,400,500,630}),""))</f>
        <v>25</v>
      </c>
      <c r="GT318" t="str">
        <f t="shared" si="636"/>
        <v>QF1</v>
      </c>
      <c r="GU318" t="str">
        <f t="shared" si="637"/>
        <v>QF1</v>
      </c>
      <c r="GV318" t="str">
        <f t="shared" si="638"/>
        <v/>
      </c>
      <c r="GW318">
        <f t="shared" si="639"/>
        <v>0</v>
      </c>
      <c r="GX318" t="str">
        <f>IF(OR(B318="",DJ318=""),"",IFERROR(_xlfn.XLOOKUP(DJ318,Модули_умолч[Управление],Модули_умолч[Модель])&amp;"",""))</f>
        <v/>
      </c>
      <c r="GY318">
        <f>IF(DJ318="",1,IFERROR(MAX(0,N(_xlfn.XLOOKUP(DJ318,Модули_умолч[Управление],Модули_умолч[Каналов на линию]))),1))</f>
        <v>1</v>
      </c>
      <c r="GZ318" t="str">
        <f t="shared" si="640"/>
        <v/>
      </c>
      <c r="HA318" t="str">
        <f t="shared" si="641"/>
        <v/>
      </c>
      <c r="HB318" t="str">
        <f t="shared" si="642"/>
        <v/>
      </c>
      <c r="HC318">
        <f>IF(HB318="",0,IFERROR(N(VLOOKUP(HB318,Модули_спр,3,FALSE)),0))</f>
        <v>0</v>
      </c>
      <c r="HD318" t="str">
        <f t="shared" si="643"/>
        <v/>
      </c>
      <c r="HE318" t="str">
        <f t="shared" si="644"/>
        <v/>
      </c>
      <c r="HF318" t="str">
        <f>IF(OR(HE318="",HE318="-"),"",IFERROR(VLOOKUP(HE318,Модули_спр,2,FALSE),"R"))</f>
        <v/>
      </c>
      <c r="HG318" t="str">
        <f>IF(HF318="","",HF318&amp;"."&amp;COUNTIFS(A$3:A318,A318,HF$3:HF318,HF318))</f>
        <v/>
      </c>
      <c r="HH318" t="str">
        <f t="shared" si="645"/>
        <v/>
      </c>
      <c r="HI318" t="str">
        <f t="shared" si="646"/>
        <v/>
      </c>
      <c r="HJ318" t="str">
        <f t="shared" si="647"/>
        <v/>
      </c>
      <c r="HK318" t="str">
        <f t="shared" si="648"/>
        <v/>
      </c>
      <c r="HL318">
        <f t="shared" si="649"/>
        <v>1</v>
      </c>
      <c r="HM318" t="str">
        <f>IF(HL318=1,"XT"&amp;COUNTIFS(A$3:A318,A318,HL$3:HL318,1),"")</f>
        <v>XT1</v>
      </c>
      <c r="HN318" t="str">
        <f t="shared" si="650"/>
        <v>XT1</v>
      </c>
      <c r="HO318" t="str">
        <f t="shared" si="651"/>
        <v>QF1</v>
      </c>
      <c r="HP318" t="str">
        <f t="shared" si="652"/>
        <v/>
      </c>
      <c r="HQ318" t="str">
        <f t="shared" si="653"/>
        <v>ok</v>
      </c>
      <c r="HR318" t="str">
        <f>IF(OR(HJ318="",HH318=""),"",IF(HJ318+MAX(0,GY318-1)&gt;IFERROR(VLOOKUP(HI318,Модули_спр,3,FALSE),99),"ЛИШНИЙ КАНАЛ",IF(AND(AL318&lt;&gt;"=",GY318&gt;0,COUNTIFS(Линии[_модуль гр.],HH318,Линии[Канал (итог)],HJ318,Линии[Канал],"&lt;&gt;=",Линии[Щит],A318)&gt;1),"ДУБЛЬ КАНАЛА","")))</f>
        <v/>
      </c>
      <c r="HS318" s="6" t="str">
        <f t="shared" si="654"/>
        <v/>
      </c>
      <c r="HT318">
        <f t="shared" si="655"/>
        <v>10</v>
      </c>
      <c r="HU318" t="str">
        <f t="shared" si="656"/>
        <v/>
      </c>
      <c r="HV318">
        <f t="shared" si="657"/>
        <v>1.5090381056766577</v>
      </c>
      <c r="HW318">
        <f t="shared" si="658"/>
        <v>0</v>
      </c>
      <c r="HX318">
        <f t="shared" si="659"/>
        <v>0</v>
      </c>
      <c r="HY318">
        <f t="shared" si="660"/>
        <v>0</v>
      </c>
      <c r="HZ318">
        <f t="shared" si="661"/>
        <v>0</v>
      </c>
      <c r="IA318">
        <f t="shared" si="662"/>
        <v>0</v>
      </c>
      <c r="IB318">
        <f t="shared" si="663"/>
        <v>0</v>
      </c>
      <c r="IC318" t="str">
        <f t="shared" si="664"/>
        <v/>
      </c>
      <c r="ID318" t="str" cm="1">
        <f t="array" ref="ID318">IF(IC318="","",_xlfn.LET(_xlpm.tk,_xlfn.TEXTSPLIT(SUBSTITUTE(SUBSTITUTE(IC318,";"," "),"→"," ")," ",,TRUE),_xlpm.w_,_xlfn._xlws.FILTER(_xlpm.tk,ISNUMBER(--LEFT(_xlpm.tk,1))*((ISNUMBER(SEARCH("W",_xlpm.tk))+ISNUMBER(SEARCH("Вт",_xlpm.tk)))&gt;0),""),IFERROR(--SUBSTITUTE(SUBSTITUTE(UPPER(INDEX(_xlpm.w_,1)),"W",""),"ВТ",""),"")))</f>
        <v/>
      </c>
      <c r="IE318" t="str" cm="1">
        <f t="array" ref="IE318">IF(IC318="","",_xlfn.LET(_xlpm.tk,_xlfn.TEXTSPLIT(SUBSTITUTE(SUBSTITUTE(IC318,";"," "),"→"," ")," ",,TRUE),_xlpm.v_,_xlfn._xlws.FILTER(_xlpm.tk,ISNUMBER(--LEFT(_xlpm.tk,1))*((ISNUMBER(SEARCH("V",_xlpm.tk))+(RIGHT(UPPER(_xlpm.tk))="В"))&gt;0),""),IFERROR(--SUBSTITUTE(SUBSTITUTE(UPPER(INDEX(_xlpm.v_,1)),"V",""),"В",""),"")))</f>
        <v/>
      </c>
      <c r="IF318" s="6" t="str">
        <f>IF(OR(BV318=0,HI318="",HJ318=""),"",IFERROR(N(_xlfn.XLOOKUP(HI318,Каталог!$C$4:$C$500,Каталог!$Q$4:$Q$500)),""))</f>
        <v/>
      </c>
      <c r="IG318" s="6" t="str">
        <f>IF(N(IF318)=0,"",SUMIFS(Линии[Iр, А],Линии[Щит],A318,Линии[_модуль гр.],HH318,Линии[Канал (итог)],HJ318))</f>
        <v/>
      </c>
      <c r="IH318" t="str">
        <f>IF(AND(B318="",HO318=""),"",_xlfn.TEXTJOIN("; ",TRUE,IF(AND(B318&lt;&gt;"",FV318=""),"нет фазы",""),IF(AND(B318&lt;&gt;"",N(GL318)=0,FG318&lt;&gt;"Нет"),"нет мощности",""),IF(AND(HN318&lt;&gt;"",COUNTIFS(Линии[Щит],A318,Линии[Клемма (итог)],HN318)&gt;1),"дубль клеммы "&amp;HN318,""),IF(AND(HQ318&lt;&gt;"",HQ318&lt;&gt;"ok"),HQ318,""),IF(HR318&lt;&gt;"",HR318,""),IF(AND(N(CB318)&gt;=4,N(BX318)=1),CB318&amp;" жил на 1 фазе",""),IF(AND(BC318="R",CG318=1,IF(CS318&lt;&gt;"",N(CV318)&gt;30,OR(N(DA318)=0,N(DA318)&gt;30))),"розетка без дифзащиты до 30 мА",""),IF(AND(CG318=1,N(DA318)&gt;0,ISNUMBER(T318)),IF(T318&gt;N(DA318)/3,"ток утечки "&amp;FIXED(T318,1)&amp;" мА &gt; 1/3 уставки ("&amp;DA318&amp;" мА)",""),""),IF(AND(CH318=1,CS318=""),"«узо»: нет строки с УЗО выше (УЗО 2P 40А 30мА в «Аппаратах»)",""),IF(AND(CS318&lt;&gt;"",CS318=BA318),IF(CT318="","впишите номинал УЗО (УЗО 2P 40А 30мА)",IF(N(CT318)&lt;N(DT318),"УЗО "&amp;CT318&amp;" А &lt; автомата "&amp;DT318&amp;" А перед ним",IF(N(CT318)&lt;N(CX318),"УЗО "&amp;CT318&amp;" А &lt; тока блока "&amp;FIXED(CX318,1)&amp;" А",""))),""),IF(AND(CS318&lt;&gt;"",CS318=BA318,ISNUMBER(CY318)),IF(CY318&gt;N(CV318)/3,"ток утечки блока УЗО "&amp;FIXED(CY318,1)&amp;" мА &gt; 1/3 уставки ("&amp;CV318&amp;" мА)",""),""),IF(AND(CG318=1,N(BV318)+N(IB318)&gt;0,IC318=""),"линии до 50 В без БП: впишите в «Аппараты» (БП 24V 480W)",""),IF(AND(CG318=1,ISNUMBER(ID318),ISNUMBER(U318)),IF(U318&gt;ID318,"БП "&amp;ID318&amp;" Вт &lt; нужно "&amp;U318&amp;" Вт (×"&amp;Запас_БП&amp;")",""),""),IF(AND(CG318=1,ISNUMBER(IE318),N(BV318)=1),IF(IE318&lt;&gt;N(BU318),"БП на "&amp;IE318&amp;" В, линия "&amp;BU318&amp;" В",""),""),IF(AND(N(IF318)&gt;0,N(IG318)&gt;N(IF318)),HH318&amp;" канал "&amp;HJ318&amp;": "&amp;FIXED(IG318,1)&amp;" А &gt; "&amp;IF318&amp;" А",""),IFERROR(IF(AND(ISNUMBER(Q318),Q318&gt;EL318),"потери "&amp;FIXED(Q318,1)&amp;" % &gt; "&amp;EL318&amp;" %",""),""),IFERROR(IF(LEFT(HU318,4)="мало","Iкз мало — отключение &gt; 0,4 с",""),""),IF(AND(B318&lt;&gt;"",BM318=""),"не на схеме",""),IF(AND(CG318=0,B318&lt;&gt;"",FV318&lt;&gt;"",IF(BA318=1,"",FW317)&lt;&gt;"",FV318&lt;&gt;IF(BA318=1,"",FW317)),"фаза не как у автомата группы ("&amp;IF(BA318=1,"",FW317)&amp;")","")))</f>
        <v/>
      </c>
      <c r="II318" s="6">
        <f>IF(OR(CG318=0,DQ318=""),"",_xlfn.LET(_xlpm.t,IFERROR(_xlfn.XLOOKUP(DQ318,Каталог!$U$4:$U$500,Каталог!$G$4:$G$500),""),_xlpm.k,SEARCH("кА",_xlpm.t),IFERROR(--TRIM(RIGHT(SUBSTITUTE(MID(_xlpm.t,MAX(1,_xlpm.k-4),_xlpm.k-MAX(1,_xlpm.k-4))," ",REPT(" ",9)),5)),"")))</f>
        <v>6</v>
      </c>
      <c r="IJ318" t="str">
        <f>IF(OR(II318="",CG318=0),"",IF(_xlfn.XLOOKUP(A318,Щиты[Щит],Щиты[Iкз max на шинах, кА],"")="","",IF(II318&lt;_xlfn.XLOOKUP(A318,Щиты[Щит],Щиты[Iкз max на шинах, кА]),"Icu "&amp;II318&amp;" кА &lt; Iкз max","ok")))</f>
        <v/>
      </c>
      <c r="IK318" t="str">
        <f t="shared" si="665"/>
        <v/>
      </c>
      <c r="IL318" t="str">
        <f t="shared" si="666"/>
        <v>QF1|XT1</v>
      </c>
      <c r="IM318" t="str">
        <f t="shared" si="667"/>
        <v>QF1|XT1|кабель ВВГнг(А)-LS (3х2,5) → Насос дренажный, пом. 003Т</v>
      </c>
      <c r="IN318" t="str" cm="1">
        <f t="array" ref="IN318">IF(IM318="","",_xlfn.LET(_xlpm.nd,_xlfn.TEXTSPLIT(IM318,"|"),IF(COLUMNS(_xlpm.nd)&gt;1,A318&amp;"¦"&amp;INDEX(_xlpm.nd,1)&amp;"¦"&amp;INDEX(_xlpm.nd,2),"")))</f>
        <v>ЩС-ВК.001¦QF1¦XT1</v>
      </c>
      <c r="IO318" t="str">
        <f t="shared" si="668"/>
        <v>НВК.00.003Т.2¦Насос дренажный, пом. 003Т</v>
      </c>
      <c r="IP318" t="str" cm="1">
        <f t="array" ref="IP318">IF(IM318="","",_xlfn.LET(_xlpm.nd,_xlfn.TEXTSPLIT(IM318,"|"),IF(COLUMNS(_xlpm.nd)&gt;2,A318&amp;"¦"&amp;INDEX(_xlpm.nd,2)&amp;"¦"&amp;INDEX(_xlpm.nd,3),"")))</f>
        <v>ЩС-ВК.001¦XT1¦кабель ВВГнг(А)-LS (3х2,5) → Насос дренажный, пом. 003Т</v>
      </c>
      <c r="IQ318" t="str">
        <f t="shared" si="669"/>
        <v>НВК.00.003Т.2¦Насос дренажный, пом. 003Т</v>
      </c>
      <c r="IR318" t="str" cm="1">
        <f t="array" ref="IR318">IF(IM318="","",_xlfn.LET(_xlpm.nd,_xlfn.TEXTSPLIT(IM318,"|"),IF(COLUMNS(_xlpm.nd)&gt;3,A318&amp;"¦"&amp;INDEX(_xlpm.nd,3)&amp;"¦"&amp;INDEX(_xlpm.nd,4),"")))</f>
        <v/>
      </c>
      <c r="IS318" t="str">
        <f t="shared" si="670"/>
        <v/>
      </c>
      <c r="IT318" t="str" cm="1">
        <f t="array" ref="IT318">IF(IM318="","",_xlfn.LET(_xlpm.nd,_xlfn.TEXTSPLIT(IM318,"|"),IF(COLUMNS(_xlpm.nd)&gt;4,A318&amp;"¦"&amp;INDEX(_xlpm.nd,4)&amp;"¦"&amp;INDEX(_xlpm.nd,5),"")))</f>
        <v/>
      </c>
      <c r="IU318" t="str">
        <f t="shared" si="671"/>
        <v/>
      </c>
      <c r="IV318" t="str" cm="1">
        <f t="array" ref="IV318">IF(IM318="","",_xlfn.LET(_xlpm.nd,_xlfn.TEXTSPLIT(IM318,"|"),IF(COLUMNS(_xlpm.nd)&gt;5,A318&amp;"¦"&amp;INDEX(_xlpm.nd,5)&amp;"¦"&amp;INDEX(_xlpm.nd,6),"")))</f>
        <v/>
      </c>
      <c r="IW318" t="str">
        <f t="shared" si="672"/>
        <v/>
      </c>
      <c r="IX318" t="str" cm="1">
        <f t="array" ref="IX318">IF(IM318="","",_xlfn.LET(_xlpm.nd,_xlfn.TEXTSPLIT(IM318,"|"),IF(COLUMNS(_xlpm.nd)&gt;6,A318&amp;"¦"&amp;INDEX(_xlpm.nd,6)&amp;"¦"&amp;INDEX(_xlpm.nd,7),"")))</f>
        <v/>
      </c>
      <c r="IY318" t="str">
        <f t="shared" si="673"/>
        <v/>
      </c>
      <c r="IZ318" t="str">
        <f t="shared" si="674"/>
        <v/>
      </c>
      <c r="JA318" t="str">
        <f t="shared" si="675"/>
        <v>QF1 → XT1</v>
      </c>
      <c r="JB318">
        <f t="shared" si="676"/>
        <v>0</v>
      </c>
      <c r="JC318">
        <f t="shared" si="677"/>
        <v>0</v>
      </c>
      <c r="JD318" t="str">
        <f t="shared" si="678"/>
        <v/>
      </c>
      <c r="JE318" t="str">
        <f t="shared" si="679"/>
        <v/>
      </c>
      <c r="JF318" t="str">
        <f t="shared" si="680"/>
        <v/>
      </c>
      <c r="JG318" t="str">
        <f t="shared" si="681"/>
        <v/>
      </c>
      <c r="JH318">
        <f>IF(B318="","",IFERROR(_xlfn.XLOOKUP(B318,Коды_код,Коды_уго),IFERROR(_xlfn.XLOOKUP(BC318,Коды_код,Коды_уго),IFERROR(_xlfn.XLOOKUP(LEFT(BC318,2),Коды_код,Коды_уго),""))))</f>
        <v>0</v>
      </c>
      <c r="JI318" t="str">
        <f>IF(B318="","",IF(OR(JH318="",JH318=0),"BOX",IFERROR(IF(VLOOKUP(JH318,УГО_блоки,3,FALSE)&amp;""&lt;&gt;"",VLOOKUP(JH318,УГО_блоки,3,FALSE),VLOOKUP(JH318,УГО_блоки,2,FALSE)),JH318)))</f>
        <v>BOX</v>
      </c>
      <c r="JJ318">
        <f t="shared" si="682"/>
        <v>1</v>
      </c>
      <c r="JK318" t="str">
        <f>IF(DQ318="","",IF(COUNTIF(DQ$3:DQ318,DQ318)=1,MAX(JK$2:JK317)+1,""))</f>
        <v/>
      </c>
      <c r="JL318" t="str">
        <f>IF(DE318="","",IF(COUNTIF(DE$3:DE318,DE318)+COUNTIF(DF$2:DF317,DE318)+COUNTIF(DG$2:DG317,DE318)=1,MAX(JL$2:JN317)+1,""))</f>
        <v/>
      </c>
      <c r="JM318" t="str">
        <f>IF(DF318="","",IF(COUNTIF(DE$3:DE318,DF318)+COUNTIF(DF$3:DF318,DF318)+COUNTIF(DG$2:DG317,DF318)=1,MAX(JL$2:JN317,JL318)+1,""))</f>
        <v/>
      </c>
      <c r="JN318" t="str">
        <f>IF(DG318="","",IF(COUNTIF(DE$3:DE318,DG318)+COUNTIF(DF$3:DF318,DG318)+COUNTIF(DG$3:DG318,DG318)=1,MAX(JL$2:JN317,JL318,JM318)+1,""))</f>
        <v/>
      </c>
      <c r="JO318" t="str">
        <f t="shared" si="683"/>
        <v>3х2,5</v>
      </c>
      <c r="JP318" t="str">
        <f>IF(JO318="","",IF(COUNTIF(JO$3:JO318,JO318)=1,MAX(JP$2:JP317)+1,""))</f>
        <v/>
      </c>
      <c r="JQ318" t="str">
        <f>IF(HG318="","",COUNTIF(HG$3:HG318,"?*"))</f>
        <v/>
      </c>
      <c r="JR318" t="str">
        <f>IF(OR(HG318="",HI318=""),"",IF(COUNTIFS(HG$3:HG318,"?*",HI$3:HI318,HI318)=1,MAX(JR$2:JR317)+1,""))</f>
        <v/>
      </c>
      <c r="JS318">
        <f t="shared" si="684"/>
        <v>0</v>
      </c>
      <c r="JT318">
        <f>IF(B318="","",COUNTIF(B$3:B318,"?*"))</f>
        <v>316</v>
      </c>
      <c r="JU318">
        <f>IF(HL318&lt;&gt;1,0,_xlfn.LET(_xlpm.k,MAX(IFERROR(--_xlfn.XLOOKUP(B318,Коды_код,Коды_3L),0),IFERROR(--_xlfn.XLOOKUP(BC318,Коды_код,Коды_3L),0),IFERROR(--_xlfn.XLOOKUP(LEFT(BC318,2),Коды_код,Коды_3L),0)),IF(_xlpm.k&gt;0,_xlpm.k,IF(IFERROR(--LEFT(SUBSTITUTE(JO318,"x","х"),FIND("х",SUBSTITUTE(JO318,"x","х"))-1),3)&gt;3,Каталог!$S$9,1))))</f>
        <v>1</v>
      </c>
      <c r="JV318">
        <f t="shared" si="685"/>
        <v>0</v>
      </c>
      <c r="JW318" t="str">
        <f t="shared" si="686"/>
        <v>авто</v>
      </c>
      <c r="JX318" t="str">
        <f t="shared" si="687"/>
        <v/>
      </c>
      <c r="JY318">
        <f t="shared" si="688"/>
        <v>0</v>
      </c>
      <c r="JZ318">
        <f t="shared" si="689"/>
        <v>1</v>
      </c>
    </row>
    <row r="319" spans="1:286" x14ac:dyDescent="0.3">
      <c r="A319" t="s">
        <v>763</v>
      </c>
      <c r="B319" t="s">
        <v>1622</v>
      </c>
      <c r="C319" t="str">
        <f>Линии[[#This Row],[_авто наименование]]</f>
        <v>Насос дренажный, пом. 003Т</v>
      </c>
      <c r="D319">
        <v>1</v>
      </c>
      <c r="E319">
        <v>0.6</v>
      </c>
      <c r="G319">
        <v>16</v>
      </c>
      <c r="H319" t="str">
        <f>Линии[[#This Row],[_авто управление]]</f>
        <v/>
      </c>
      <c r="I319" t="str">
        <f>Линии[[#This Row],[_авто аппараты]]</f>
        <v/>
      </c>
      <c r="J319">
        <v>2.5</v>
      </c>
      <c r="K319">
        <v>18</v>
      </c>
      <c r="L319">
        <v>1</v>
      </c>
      <c r="M319" t="str">
        <f>Линии[[#This Row],[_авто клемма]]</f>
        <v>XT2</v>
      </c>
      <c r="N319" t="str">
        <f t="shared" si="552"/>
        <v/>
      </c>
      <c r="O319" s="6" cm="1">
        <f t="array" ref="O319">IF(B319="","",IF(BH319&lt;&gt;"",IFERROR(_xlfn.XLOOKUP(BH319,Щиты[Щит],Щиты[Iр, А]),""),IF(BP319=1,IF(OR(N(_xlfn.XLOOKUP(A319,Щиты[Щит],Щиты[Вводов],1))&lt;=1,LOWER(TRIM(_xlfn.XLOOKUP(A319,Щиты[Щит],Щиты[АВР],"")&amp;""))="да"),IFERROR(_xlfn.XLOOKUP(A319,Щиты[Щит],Щиты[Iр, А]),""),IFERROR(N(BS319)*_xlfn.XLOOKUP(A319,Щиты[Щит],Щиты[Кс итог])/(SQRT(3)*Uн_лин*_xlfn.XLOOKUP(A319,Щиты[Щит],Щиты[cos φ])),"")),IF(BV319=1,IFERROR(BS319*1000/BU319,""),IFERROR(_xlfn.IFS(BX319=1,BS319/((Uн_лин/SQRT(3))*CE319),BX319=3,BS319/(SQRT(3)*Uн_лин*CE319)),"")))))</f>
        <v>3.2475952641916441</v>
      </c>
      <c r="P319" s="7">
        <f>IF(B319="","",IFERROR(IF(VLOOKUP(BC319,Потребители_обозначение,4,FALSE)=1,VLOOKUP(BC319,Потребители_обозначение,3,FALSE)*(MAX(1,N(D319))*2-1)+EI319+VLOOKUP(BE319,Этаж_обозначение,3,FALSE)+VLOOKUP(BE319,Этаж_обозначение,4,FALSE),VLOOKUP(BC319,Потребители_обозначение,3,FALSE)*(MAX(1,N(D319))*2-1)+EI319),EI319))</f>
        <v>21</v>
      </c>
      <c r="Q319" s="6">
        <f t="shared" si="553"/>
        <v>2.5499999999999998</v>
      </c>
      <c r="R319" t="str">
        <f t="shared" si="554"/>
        <v>ВВГнг(А)-LS (3х2,5)</v>
      </c>
      <c r="S319" t="str">
        <f>IF(BM319="","",IF(BN319="вводной узел","узел ","")&amp;"л."&amp;(INT((BM319-1)/Столбцов_на_лист)+1)&amp;" / "&amp;(MOD(BM319-1,Столбцов_на_лист)+1))</f>
        <v>л.1 / 11</v>
      </c>
      <c r="T319" s="119">
        <f t="shared" si="555"/>
        <v>1.5</v>
      </c>
      <c r="U319" s="7" t="str">
        <f>IF(OR(CG319=0,N(BV319)+N(IB319)=0),"",ROUNDUP(Запас_БП*(N(HY319)+N(HZ319)),0))</f>
        <v/>
      </c>
      <c r="V319" s="119" t="str">
        <f t="shared" si="556"/>
        <v/>
      </c>
      <c r="W319" s="7" t="str">
        <f>IFERROR(IF(OR(B319="",BP319=1,BV319=1,NOT(ISNUMBER(EN319)),N(DT319)=0),"",MAX(0,ROUNDDOWN((c_min*(Uн_лин*1000/SQRT(3))/(HT319*N(DT319))-_xlfn.XLOOKUP(A319,Щиты[Щит],Щиты[Zпетли на шинах, Ом]))*EN319/(2*ρкз_Cu),0))),"")</f>
        <v/>
      </c>
      <c r="Y319" t="str">
        <f>Линии[[#This Row],[_авто утечка]]</f>
        <v/>
      </c>
      <c r="Z319">
        <v>1</v>
      </c>
      <c r="AA319">
        <v>230</v>
      </c>
      <c r="AB319" t="s">
        <v>598</v>
      </c>
      <c r="AC319">
        <v>0.5</v>
      </c>
      <c r="AG319" t="s">
        <v>850</v>
      </c>
      <c r="AI319" t="s">
        <v>604</v>
      </c>
      <c r="AK319" t="str">
        <f>Линии[[#This Row],[_авто модуль]]</f>
        <v/>
      </c>
      <c r="AM319">
        <v>11</v>
      </c>
      <c r="AN319" t="s">
        <v>11</v>
      </c>
      <c r="AO319">
        <v>3</v>
      </c>
      <c r="AQ319">
        <v>9</v>
      </c>
      <c r="AR319">
        <v>9</v>
      </c>
      <c r="AS319">
        <v>0</v>
      </c>
      <c r="AT319">
        <v>1</v>
      </c>
      <c r="BA319" cm="1">
        <f t="array" ref="BA319">ROW()-ROW(Линии[#Headers])</f>
        <v>317</v>
      </c>
      <c r="BC319" s="6" t="str">
        <f t="shared" si="557"/>
        <v>НВК</v>
      </c>
      <c r="BD319" t="str">
        <f t="shared" si="558"/>
        <v>00.003Т.1</v>
      </c>
      <c r="BE319" t="str">
        <f t="shared" si="559"/>
        <v>00</v>
      </c>
      <c r="BF319" t="str">
        <f t="shared" si="560"/>
        <v>003Т.1</v>
      </c>
      <c r="BG319" t="str">
        <f t="shared" si="561"/>
        <v>003Т</v>
      </c>
      <c r="BH319" t="str">
        <f>IF(X319&lt;&gt;"",X319,IF(AND(B319&lt;&gt;"",B319&lt;&gt;A319,ISNUMBER(_xlfn.XMATCH(B319,Щиты[Щит]))),B319,""))</f>
        <v/>
      </c>
      <c r="BI319" t="str" cm="1">
        <f t="array" ref="BI319">IF(B319="","",IF(BH319&lt;&gt;"","Щит "&amp;BH319,_xlfn.LET(_xlpm.nm,IFERROR(_xlfn.XLOOKUP(BC319,Коды_код,Коды_имя)&amp;"",""),_xlpm.md,IFERROR(N(_xlfn.XLOOKUP(BC319,Коды_код,Коды_режим)),1),_xlpm.ex,IF(Имя_режим="по экспликации",IFERROR(_xlfn.XLOOKUP(BE319&amp;"|"&amp;BG319,Экспликация[Этаж]&amp;"|"&amp;Экспликация[Помещение],Экспликация[Название])&amp;"",""),""),_xlpm.rm,IF(BG319="","",IF(_xlpm.ex&lt;&gt;"",". "&amp;_xlpm.ex&amp;IF(Имя_пом="нет"," ("&amp;BG319&amp;")"," (пом. "&amp;BG319&amp;")"),IF(Имя_пом="нет"," ",", пом. ")&amp;BG319)),IF(_xlpm.nm="","",IF(_xlpm.md=2,_xlpm.nm&amp;" шлейф "&amp;BE319,_xlpm.nm&amp;_xlpm.rm)))))</f>
        <v>Насос дренажный, пом. 003Т</v>
      </c>
      <c r="BJ319" t="str">
        <f t="shared" si="562"/>
        <v>Насос дренажный, пом. 003Т</v>
      </c>
      <c r="BK319">
        <f>IFERROR(_xlfn.XMATCH(A319,Щиты[Щит]),0)</f>
        <v>13</v>
      </c>
      <c r="BL319">
        <f>_xlfn.LET(_xlpm.k,IFERROR(_xlfn.XLOOKUP(A319,Щиты[Щит],Щиты[Мест под вводной узел]),""),IF(_xlpm.k="",Столбцов_на_лист,N(_xlpm.k)))</f>
        <v>9</v>
      </c>
      <c r="BM319">
        <f t="shared" si="563"/>
        <v>11</v>
      </c>
      <c r="BN319" t="str">
        <f t="shared" si="564"/>
        <v>линии</v>
      </c>
      <c r="BO319" s="6">
        <f>IFERROR(N(_xlfn.XLOOKUP(BC319,Коды_код,Коды_квт)),0)</f>
        <v>0</v>
      </c>
      <c r="BP319">
        <f t="shared" si="565"/>
        <v>0</v>
      </c>
      <c r="BQ319" t="str">
        <f>IF(B319="","",IF(BH319&lt;&gt;"",IFERROR(_xlfn.XLOOKUP(BH319,Щиты[Щит],Щиты[Руст, кВт]),0),IF(BP319=1,IF(OR(N(_xlfn.XLOOKUP(A319,Щиты[Щит],Щиты[Вводов],1))&lt;=1,LOWER(TRIM(_xlfn.XLOOKUP(A319,Щиты[Щит],Щиты[АВР],"")&amp;""))="да"),IFERROR(_xlfn.XLOOKUP(A319,Щиты[Щит],Щиты[Руст, кВт]),0),SUMIFS(Линии[_Р для вводов],Линии[Щит],A319,Линии[Источник для режимов],GF319)),IF(BO319&gt;0,ROUND(BO319*MAX(1,N(D319)),3),""))))</f>
        <v/>
      </c>
      <c r="BR319">
        <f t="shared" si="566"/>
        <v>0.6</v>
      </c>
      <c r="BS319" s="6">
        <f>IF(B319="","",IF(BH319&lt;&gt;"",IFERROR(_xlfn.XLOOKUP(BH319,Щиты[Щит],Щиты[Руст, кВт]),0),N(BR319)))</f>
        <v>0.6</v>
      </c>
      <c r="BT319" t="str">
        <f>IF(B319="","",IFERROR(IF(VLOOKUP(BC319,Потребители_обозначение,8,FALSE)=0,"",VLOOKUP(BC319,Потребители_обозначение,8,FALSE)),""))</f>
        <v/>
      </c>
      <c r="BU319">
        <f t="shared" si="567"/>
        <v>230</v>
      </c>
      <c r="BV319">
        <f t="shared" si="568"/>
        <v>0</v>
      </c>
      <c r="BW319">
        <f>IF(B319="","",IF(BH319&lt;&gt;"",3,IFERROR(IF(N(VLOOKUP(BC319,Потребители_обозначение,9,FALSE))=0,1,VLOOKUP(BC319,Потребители_обозначение,9,FALSE)),1)))</f>
        <v>1</v>
      </c>
      <c r="BX319">
        <f t="shared" si="569"/>
        <v>1</v>
      </c>
      <c r="BY319" t="str">
        <f>IF(B319="","",_xlfn.LET(_xlpm.bc,IFERROR(IF(VLOOKUP(BC319,Потребители_обозначение,6,FALSE)=0,"",VLOOKUP(BC319,Потребители_обозначение,6,FALSE)&amp;""),""),IF(AND(GA319="да",OR(_xlpm.bc="",_xlpm.bc="мс")),Марка_пож,IF(AND(_xlpm.bc="",BH319&lt;&gt;""),"мс",_xlpm.bc))))</f>
        <v/>
      </c>
      <c r="BZ319" t="str">
        <f t="shared" si="570"/>
        <v>мс</v>
      </c>
      <c r="CA319">
        <f>IF(B319="","",_xlfn.LET(_xlpm.cc,IFERROR(N(VLOOKUP(BC319,Потребители_обозначение,7,FALSE)),0),IF(_xlpm.cc&gt;0,_xlpm.cc,IF(BZ319="","",IF(BV319=1,2,IF(N(BX319)=3,5,3))))))</f>
        <v>3</v>
      </c>
      <c r="CB319">
        <f t="shared" si="571"/>
        <v>3</v>
      </c>
      <c r="CC319">
        <f>IFERROR(N(VLOOKUP(BC319,Потребители_обозначение,10,FALSE)),0)</f>
        <v>0</v>
      </c>
      <c r="CD319">
        <f>IFERROR(VLOOKUP(BC319,Потребители_обозначение,5,FALSE),0)</f>
        <v>1</v>
      </c>
      <c r="CE319" s="6" cm="1">
        <f t="array" ref="CE319">IF(B319="","",IF(BH319&lt;&gt;"",IFERROR(_xlfn.XLOOKUP(BH319,Щиты[Щит],Щиты[cos φ]),0.95),IF(BP319=1,IFERROR(_xlfn.XLOOKUP(A319,Щиты[Щит],Щиты[cos φ]),0.95),IF(ISNUMBER(AD319),AD319,IFERROR(IF(CD319=2,_xlfn.IFS(BX319=3,VLOOKUP(BS319,Справочная_двигатели,8,FALSE),BX319=1,VLOOKUP(BS319,Справочная_двигатели,10,TRUE)),IF(AND(Методика="нормы 2026",FG319="Сил"),0.8,0.95)),0.95)))))</f>
        <v>0.8</v>
      </c>
      <c r="CF319">
        <f t="shared" si="572"/>
        <v>0</v>
      </c>
      <c r="CG319">
        <f t="shared" si="573"/>
        <v>1</v>
      </c>
      <c r="CH319">
        <f t="shared" si="574"/>
        <v>0</v>
      </c>
      <c r="CI319">
        <f>IF(B319="","",IF(BV319=1,IFERROR(BS319/((Uн_лин/SQRT(3))*MAX(0.5,N(CE319))),0),N(O319)))</f>
        <v>3.2475952641916441</v>
      </c>
      <c r="CJ319">
        <f t="shared" si="575"/>
        <v>0</v>
      </c>
      <c r="CK319">
        <f t="shared" si="576"/>
        <v>0</v>
      </c>
      <c r="CL319">
        <f t="shared" si="577"/>
        <v>0</v>
      </c>
      <c r="CM319">
        <f t="shared" si="578"/>
        <v>0</v>
      </c>
      <c r="CN319">
        <f t="shared" si="579"/>
        <v>0</v>
      </c>
      <c r="CO319">
        <f>IF(BC319="",0,_xlfn.LET(_xlpm.v,IFERROR(_xlfn.XLOOKUP(B319,Коды_код,Коды_мА),IFERROR(_xlfn.XLOOKUP(BC319,Коды_код,Коды_мА),IFERROR(_xlfn.XLOOKUP(LEFT(BC319,2),Коды_код,Коды_мА),""))),IF(_xlpm.v="да",30,IF(ISNUMBER(_xlpm.v),_xlpm.v,0))))</f>
        <v>0</v>
      </c>
      <c r="CP319" t="str">
        <f t="shared" si="580"/>
        <v/>
      </c>
      <c r="CQ319" t="str">
        <f>_xlfn.LET(_xlpm.k,IFERROR(_xlfn.XLOOKUP(BC319,Коды_код,Коды_утечка)&amp;"",""),IF(_xlpm.k="","дифавтомат",_xlpm.k))</f>
        <v>дифавтомат</v>
      </c>
      <c r="CR319" t="str" cm="1">
        <f t="array" ref="CR319">IF(CG319=0,"",_xlfn.LET(_xlpm.sg,TRIM(_xlfn.TEXTSPLIT(DD319&amp;"",";")),_xlpm.f_,_xlfn._xlws.FILTER(_xlpm.sg,LEFT(_xlpm.sg,3)="УЗО",""),IFERROR(INDEX(_xlpm.f_,1)&amp;"","")))</f>
        <v/>
      </c>
      <c r="CS319" t="str">
        <f t="shared" si="581"/>
        <v/>
      </c>
      <c r="CT319" s="6" t="str" cm="1">
        <f t="array" ref="CT319">IF(CR319="","",_xlfn.LET(_xlpm.tk,_xlfn.TEXTSPLIT(UPPER(CR319)," ",,TRUE),_xlpm.a_,_xlfn._xlws.FILTER(_xlpm.tk,ISNUMBER(--LEFT(_xlpm.tk,1))*((ISNUMBER(SEARCH("А",_xlpm.tk))+ISNUMBER(SEARCH("A",_xlpm.tk)))&gt;0)*NOT(ISNUMBER(SEARCH("МА",_xlpm.tk)))*NOT(ISNUMBER(SEARCH("MA",_xlpm.tk))),""),IFERROR(--SUBSTITUTE(SUBSTITUTE(INDEX(_xlpm.a_,1),"А",""),"A",""),"")))</f>
        <v/>
      </c>
      <c r="CU319" t="str" cm="1">
        <f t="array" ref="CU319">IF(CR319="","",_xlfn.LET(_xlpm.tk,_xlfn.TEXTSPLIT(UPPER(CR319)," ",,TRUE),_xlpm.a_,_xlfn._xlws.FILTER(_xlpm.tk,ISNUMBER(--LEFT(_xlpm.tk,1))*((ISNUMBER(SEARCH("МА",_xlpm.tk))+ISNUMBER(SEARCH("MA",_xlpm.tk)))&gt;0),""),IFERROR(--SUBSTITUTE(SUBSTITUTE(INDEX(_xlpm.a_,1),"МА",""),"MA",""),30)))</f>
        <v/>
      </c>
      <c r="CV319" t="str">
        <f>IF(CS319="","",IFERROR(_xlfn.XLOOKUP(CS319,Линии[_n],Линии[_УЗО, мА]),30))</f>
        <v/>
      </c>
      <c r="CW319">
        <f>IF(CS319="",0,IF(ISNUMBER(SEARCH("4P",IFERROR(_xlfn.XLOOKUP(CS319,Линии[_n],Линии[_УЗО строки])&amp;"",""))),0,1))</f>
        <v>0</v>
      </c>
      <c r="CX319" t="str">
        <f>IF(AND(CS319&lt;&gt;"",CS319=BA319),SUMIFS(Линии[_ток на 230 В],Линии[_блок УЗО],BA319,Линии[Щит],A319),"")</f>
        <v/>
      </c>
      <c r="CY319" t="str">
        <f>IF(AND(CS319&lt;&gt;"",CS319=BA319),SUMIFS(Линии[_ток утечки линии, мА],Линии[_блок УЗО],BA319,Линии[Щит],A319),"")</f>
        <v/>
      </c>
      <c r="CZ319">
        <f t="shared" si="582"/>
        <v>0</v>
      </c>
      <c r="DA319">
        <f t="shared" si="583"/>
        <v>0</v>
      </c>
      <c r="DB319">
        <f>IF(B319="",0,IFERROR(--_xlfn.XLOOKUP(B319,Коды_код,Коды_минавт),IFERROR(--_xlfn.XLOOKUP(BC319,Коды_код,Коды_минавт),IFERROR(--_xlfn.XLOOKUP(LEFT(BC319,2),Коды_код,Коды_минавт),0))))</f>
        <v>0</v>
      </c>
      <c r="DC319" t="str">
        <f>IF(B319="","",IFERROR(_xlfn.XLOOKUP(BC319,Коды_код,Коды_апп)&amp;"",""))</f>
        <v/>
      </c>
      <c r="DD319" t="str">
        <f t="shared" si="584"/>
        <v/>
      </c>
      <c r="DE319" t="str" cm="1">
        <f t="array" ref="DE319">IF(TRIM(DD319&amp;"")="","",IFERROR(TRIM(INDEX(_xlfn.TEXTSPLIT(DD319&amp;";;;",";"),1)),""))</f>
        <v/>
      </c>
      <c r="DF319" t="str" cm="1">
        <f t="array" ref="DF319">IF(TRIM(DD319&amp;"")="","",IFERROR(TRIM(INDEX(_xlfn.TEXTSPLIT(DD319&amp;";;;",";"),2)),""))</f>
        <v/>
      </c>
      <c r="DG319" t="str" cm="1">
        <f t="array" ref="DG319">IF(TRIM(DD319&amp;"")="","",IFERROR(TRIM(INDEX(_xlfn.TEXTSPLIT(DD319&amp;";;;",";"),3)),""))</f>
        <v/>
      </c>
      <c r="DH319">
        <f t="shared" si="585"/>
        <v>0</v>
      </c>
      <c r="DI319" t="str">
        <f>IF(B319="","",_xlfn.LET(_xlpm.t,LOWER(AZ319&amp;""),IF(ISNUMBER(SEARCH("dim",_xlpm.t)),"DIM",IF(ISNUMBER(SEARCH("dali",_xlpm.t)),"DALI",IF(OR(ISNUMBER(SEARCH("relay",_xlpm.t)),ISNUMBER(SEARCH("реле",_xlpm.t))),"Relay",IF(ISNUMBER(SEARCH("кнопк",_xlpm.t)),"",IFERROR(_xlfn.XLOOKUP(BC319,Коды_код,Коды_упр)&amp;"","")))))))</f>
        <v/>
      </c>
      <c r="DJ319" t="str">
        <f t="shared" si="586"/>
        <v/>
      </c>
      <c r="DK319">
        <f>IF(B319="","",_xlfn.LET(_xlpm.ig,IF(N(CX319)&gt;0,N(CX319),N(CI319)+IF(AJ319="вручную",0,N(CJ319))),_xlpm.n0,IFERROR(VLOOKUP(_xlpm.ig,Автомат_номиналы,2,TRUE),0),_xlpm.mn,MAX(DB319,IF(AJ319="вручную",0,N(CM319))),MAX(_xlpm.n0,_xlpm.mn,IF(DH319=1,Мин_автомат_БП,0))))</f>
        <v>6</v>
      </c>
      <c r="DL319">
        <f t="shared" si="587"/>
        <v>1</v>
      </c>
      <c r="DM319" t="str">
        <f t="shared" si="588"/>
        <v>1P</v>
      </c>
      <c r="DN319" t="str">
        <f>_xlfn.LET(_xlpm.cc,UPPER(TRIM(IFERROR(_xlfn.XLOOKUP(BC319,Коды_код,Коды_хар)&amp;"",""))),IF(OR(_xlpm.cc="B",_xlpm.cc="В"),"B",IF(_xlpm.cc="D","D","С")))</f>
        <v>С</v>
      </c>
      <c r="DO319" t="str">
        <f t="shared" si="589"/>
        <v>1P С6А</v>
      </c>
      <c r="DP319">
        <f t="shared" si="590"/>
        <v>16</v>
      </c>
      <c r="DQ319" t="str">
        <f t="shared" si="591"/>
        <v>1P С16А</v>
      </c>
      <c r="DR319" cm="1">
        <f t="array" ref="DR319">IF(DQ319="","",_xlfn.LET(_xlpm.t,SUBSTITUTE(SUBSTITUTE(SUBSTITUTE(UPPER(DQ319),"С","C"),"А","A"),"В","B"),_xlpm.tk,_xlfn.TEXTSPLIT(_xlpm.t," "),_xlpm.f,_xlfn._xlws.FILTER(_xlpm.tk,ISNUMBER(--MID(_xlpm.tk,2,1))*ISNUMBER(SEARCH(LEFT(_xlpm.tk,1)&amp;"#","B#C#D#"))*(LEN(_xlpm.tk)&gt;1),""),_xlpm.x,INDEX(_xlpm.f,1),IFERROR(--SUBSTITUTE(MID(_xlpm.x,2,9),"A",""),IFERROR(--SUBSTITUTE(INDEX(_xlfn._xlws.FILTER(_xlpm.tk,ISNUMBER(--SUBSTITUTE(_xlpm.tk,"A","")),""),1),"A",""),""))))</f>
        <v>16</v>
      </c>
      <c r="DS319" t="str">
        <f t="shared" si="592"/>
        <v>ok</v>
      </c>
      <c r="DT319">
        <f t="shared" si="593"/>
        <v>16</v>
      </c>
      <c r="DU319" t="str">
        <f t="shared" si="594"/>
        <v>1P С16А</v>
      </c>
      <c r="DV319">
        <f t="shared" si="595"/>
        <v>0</v>
      </c>
      <c r="DW319">
        <f t="shared" si="596"/>
        <v>0</v>
      </c>
      <c r="DX319">
        <f t="shared" si="597"/>
        <v>0</v>
      </c>
      <c r="DY319">
        <f t="shared" si="598"/>
        <v>3.2475952641916441</v>
      </c>
      <c r="DZ319">
        <f t="shared" si="599"/>
        <v>1</v>
      </c>
      <c r="EA319">
        <f>IF(ISNUMBER(AP319),AP319,К_прокл)</f>
        <v>1</v>
      </c>
      <c r="EB319">
        <f t="shared" si="600"/>
        <v>2</v>
      </c>
      <c r="EC319">
        <f>IFERROR(N(VLOOKUP(BZ319,Кабель_обозначение,3,FALSE)),1)</f>
        <v>1</v>
      </c>
      <c r="ED319">
        <f>IFERROR(N(_xlfn.XLOOKUP(A319,Щиты[Щит],Щиты[ΔU до шин, %])),0)</f>
        <v>2.1199999999999997</v>
      </c>
      <c r="EE319" t="str">
        <f>IFERROR(_xlfn.XLOOKUP(A319,Щиты[Щит],Щиты[Zпетли на шинах, Ом]),"")</f>
        <v/>
      </c>
      <c r="EF319">
        <f>IFERROR(N(_xlfn.XLOOKUP(A319,Щиты[Щит],Щиты[ΔU до шин (подбор), %])),0)</f>
        <v>3.3699999999999997</v>
      </c>
      <c r="EG319" t="str">
        <f>IFERROR(_xlfn.XLOOKUP(A319,Щиты[Щит],Щиты[Zпетли на шинах (подбор), Ом]),"")</f>
        <v/>
      </c>
      <c r="EH319" t="str">
        <f t="shared" si="601"/>
        <v/>
      </c>
      <c r="EI319">
        <f t="shared" si="602"/>
        <v>18</v>
      </c>
      <c r="EJ319">
        <f t="shared" si="603"/>
        <v>2</v>
      </c>
      <c r="EK319">
        <f t="shared" si="604"/>
        <v>0.6</v>
      </c>
      <c r="EL319" s="6">
        <f>IF(B319="","",IF(BV319=1,dU_LED,IF(IFERROR(_xlfn.XLOOKUP(BC319,Коды_код,Коды_уго),"")="Светильник",3,4)+IF(Методика="нормы 2026",MIN(0.5,MAX(0,N(P319)-100)*0.005),0)))</f>
        <v>4</v>
      </c>
      <c r="EM319" cm="1">
        <f t="array" ref="EM319">IF(OR(B319="",BZ319="",EC319&lt;&gt;1),"",_xlfn.LET(_xlpm.sz,Iдоп_S,_xlpm.t_,CHOOSE(EB319,Iдоп_1ж,Iдоп_2ж,Iдоп_3ж)*DZ319*EA319,_xlpm.dcx,BV319=1,_xlpm.inn,IF(_xlpm.dcx,N(O319),N(DT319)),_xlpm.smin,MAX(1.5,CC319),_xlpm.L_,N(P319)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319)/N(BU319)*100,999),IFERROR(N(EJ319)*(_xlpm.rho*_xlpm.L_/_xlpm.sz*N(CE319)+_xlpm.xx*_xlpm.L_*N(EK319)/1000)*N(O319)/((Uн_лин/SQRT(3))*1000)*100,999)),_xlpm.kz,IF(OR(_xlpm.dcx,DW319=1,NOT(ISNUMBER(EG319)),_xlpm.L_=0,_xlpm.inn=0),1,IFERROR(--(c_min*(Uн_лин*1000/SQRT(3))/(EG319+2*ρкз_Cu*_xlpm.L_/_xlpm.sz)&gt;=HT319*_xlpm.inn),0)),_xlpm.ok,IFERROR((_xlpm.sz&gt;=_xlpm.smin)*(_xlpm.t_&gt;=_xlpm.inn)*IF(_xlpm.L_&gt;0,(_xlpm.du_+IF(_xlpm.dcx,0,EF319)&lt;=EL319+0.00001),1)*_xlpm.kz,0),_xlpm.r_,_xlfn._xlws.FILTER(_xlpm.sz,_xlpm.ok,"не подобрано"),INDEX(_xlpm.r_,1)))</f>
        <v>2.5</v>
      </c>
      <c r="EN319">
        <f t="shared" si="605"/>
        <v>2.5</v>
      </c>
      <c r="EO319" cm="1">
        <f t="array" ref="EO319">IF(OR(B319="",BZ319="",EC319&lt;&gt;1),"",_xlfn.LET(_xlpm.sz,Iдоп_S,_xlpm.t_,CHOOSE(EB319,Iдоп_1ж,Iдоп_2ж,Iдоп_3ж)*DZ319*EA319,_xlpm.ok,IFERROR((_xlpm.sz&gt;=MAX(1.5,CC319))*(_xlpm.t_&gt;=N(DT319)),0),_xlpm.r_,_xlfn._xlws.FILTER(_xlpm.sz,_xlpm.ok,""),INDEX(_xlpm.r_,1)))</f>
        <v>1.5</v>
      </c>
      <c r="EP319" s="6" cm="1">
        <f t="array" ref="EP319">IFERROR(ROUNDUP(N(EJ319)*(_xlfn.XLOOKUP(EO319,INDEX(Кабель_сопротивление,0,1),INDEX(Кабель_сопротивление,0,3))*N(P319)/EO319*N(CE319)+_xlfn.XLOOKUP(EO319,INDEX(Кабель_сопротивление,0,1),INDEX(Кабель_сопротивление,0,2))*N(P319)*N(EK319)/1000)*N(O319)/((Uн_лин/SQRT(3))*1000)*100,2),"")</f>
        <v>0.72</v>
      </c>
      <c r="EQ319">
        <f>IFERROR(2*ρкз_Cu*N(P319)/EO319,"")</f>
        <v>0.73640000000000005</v>
      </c>
      <c r="ER319">
        <f>IFERROR(VLOOKUP(EN319,Кабель_сопротивление,3,FALSE),"")</f>
        <v>2.2499999999999999E-2</v>
      </c>
      <c r="ES319">
        <f>IFERROR(VLOOKUP(EN319,Кабель_сопротивление,2,FALSE),"")</f>
        <v>0.1</v>
      </c>
      <c r="ET319">
        <f t="shared" si="606"/>
        <v>9</v>
      </c>
      <c r="EU319">
        <f t="shared" si="607"/>
        <v>0</v>
      </c>
      <c r="EV319">
        <f t="shared" si="608"/>
        <v>0.99025674795731622</v>
      </c>
      <c r="EW319" s="6">
        <f>IFERROR(ROUNDUP(EV319/IF(BV319=1,BU319,(Uн_лин/SQRT(3))*1000)*100,2),"")</f>
        <v>0.43</v>
      </c>
      <c r="EX319" t="str">
        <f>IFERROR(VLOOKUP(BZ319,Кабель_обозначение,2,FALSE),"")</f>
        <v>ВВГнг(А)-LS</v>
      </c>
      <c r="EY319" t="str">
        <f t="shared" si="609"/>
        <v>ВВГнг(А)-LS (3х2,5)</v>
      </c>
      <c r="EZ319" t="str">
        <f t="shared" si="610"/>
        <v>ВВГнг(А)-LS (3х2,5)
L=21-0,43%</v>
      </c>
      <c r="FA319">
        <f>IFERROR(2*ρкз_Cu*P319/EN319,"")</f>
        <v>0.44184000000000001</v>
      </c>
      <c r="FB319">
        <f t="shared" si="611"/>
        <v>0.14700000000000002</v>
      </c>
      <c r="FC319" s="6" t="str">
        <f>IFERROR(IF(OR(B319="",BV319=1,NOT(ISNUMBER(EN319)),N(P319)=0),"",_xlfn.XLOOKUP(A319,Щиты[Щит],Щиты[Zпетли на шинах, Ом])+FA319),"")</f>
        <v/>
      </c>
      <c r="FD319" s="6" t="str">
        <f>IF(ISNUMBER(FC319),c_min*(Uн_лин*1000/SQRT(3))/FC319,"")</f>
        <v/>
      </c>
      <c r="FE319" s="6" t="str">
        <f>IFERROR(IF(OR(B319="",NOT(ISNUMBER(EN319))),"",1.05*(Uн_лин*1000/SQRT(3))/(_xlfn.XLOOKUP(A319,Щиты[Щит],Щиты[Zmax на шинах, Ом])+FB319)/1000),"")</f>
        <v/>
      </c>
      <c r="FF319" s="6" t="str">
        <f>IF(B319="","",IF(ISNUMBER(AC319),"Сил",IF(IFERROR(_xlfn.XLOOKUP(BC319,Коды_код,Коды_группа)&amp;"","")="","Быт",_xlfn.XLOOKUP(BC319,Коды_код,Коды_группа)&amp;"")))</f>
        <v>Сил</v>
      </c>
      <c r="FG319" s="6" t="str">
        <f t="shared" si="612"/>
        <v>Сил</v>
      </c>
      <c r="FH319" s="6">
        <f>IF(FG319="Щит","щит",IF(FG319="","",IF(FG319="Быт",IFERROR(_xlfn.XLOOKUP(A319,Щиты[Щит],Щиты[Кс быт]),1),IF(FG319="Сил",IF(ISNUMBER(AC319),AC319,IF(Методика="нормы 2026",IFERROR(_xlfn.XLOOKUP(A319,Щиты[Щит],Щиты[Кс силовых (табл. 7.5)]),1),1)),IF(OR(FG319="Пост",FG319="Отоп"),1,IF(FG319="ВНГ",0.7,0))))))</f>
        <v>0.5</v>
      </c>
      <c r="FI319">
        <f>IF(FG319="","",IF(AND(BP319=1,TRIM(AE319&amp;"")=""),IF(COUNTIFS(Линии[Щит],A319,Линии[Секция (1/2/3)],"&gt;=2")&gt;0,MIN(3,MAX(1,IFERROR(--BD319,1))),1),IFERROR(MIN(3,MAX(1,INT(--AE319))),1)))</f>
        <v>1</v>
      </c>
      <c r="FJ319">
        <f t="shared" si="613"/>
        <v>0.6</v>
      </c>
      <c r="FK319">
        <f t="shared" si="614"/>
        <v>0</v>
      </c>
      <c r="FL319">
        <f t="shared" si="615"/>
        <v>0.3</v>
      </c>
      <c r="FM319">
        <f t="shared" si="616"/>
        <v>0</v>
      </c>
      <c r="FN319">
        <f t="shared" si="617"/>
        <v>0</v>
      </c>
      <c r="FO319">
        <f t="shared" si="618"/>
        <v>0</v>
      </c>
      <c r="FP319">
        <f t="shared" si="619"/>
        <v>0.6</v>
      </c>
      <c r="FQ319">
        <f t="shared" si="620"/>
        <v>0.6</v>
      </c>
      <c r="FR319">
        <f t="shared" si="621"/>
        <v>0.48</v>
      </c>
      <c r="FS319">
        <f>IF(CG319=1,IF(AND(CH319=1,CW319=1),0,IF(AND(CS319&lt;&gt;"",CS319=BA319,CW319=1),SUMIFS(Линии[_Р линии, кВт],Линии[_блок УЗО],BA319,Линии[Щит],A319),N(BS319)+IF(AJ319="вручную",0,N(CK319)))),0)</f>
        <v>0.6</v>
      </c>
      <c r="FT319" t="str">
        <f t="shared" si="622"/>
        <v>L1</v>
      </c>
      <c r="FU319" t="str">
        <f>IF(B319="","",IF(CG319=0,IF(BA319=1,"",FW318),IF(AND(CH319=1,CW319=1,CS319&lt;&gt;""),IFERROR(_xlfn.XLOOKUP(CS319,Линии[_n],Линии[_фаза итог]),"L1"),IF(OR(N(DL319)&gt;=3,N(BX319)&gt;=3),"L1,L2,L3",IFERROR(_xlfn.TEXTBEFORE(_xlfn.TEXTAFTER(_xlfn.XLOOKUP(A319,Щиты[Щит],Щиты[_фазы авто]),";"&amp;BA319&amp;":"),";"),"L1")))))</f>
        <v>L1</v>
      </c>
      <c r="FV319" t="str">
        <f t="shared" si="623"/>
        <v>L1</v>
      </c>
      <c r="FW319" t="str">
        <f t="shared" si="624"/>
        <v>L1</v>
      </c>
      <c r="FX319" cm="1">
        <f t="array" ref="FX319">IFERROR(IF(CD319=2,_xlfn.IFS(BX319=3,VLOOKUP(BS319,Справочная_двигатели,3,FALSE),BX319=1,VLOOKUP(BS319,Справочная_двигатели,5,TRUE)),0),0)</f>
        <v>0</v>
      </c>
      <c r="FY319">
        <f>IFERROR(IF(CD319=3,VLOOKUP(BS319,Справочная_ЛЭД,2,TRUE),0),0)</f>
        <v>0</v>
      </c>
      <c r="FZ319" s="6">
        <f t="shared" si="625"/>
        <v>0</v>
      </c>
      <c r="GA319" t="str">
        <f>IF(B319="","",IF(TRIM(AH319&amp;"")&lt;&gt;"",IF(LOWER(TRIM(AH319&amp;""))="да","да","нет"),IF(IFERROR(_xlfn.XLOOKUP(BC319,Коды_код,Коды_пожарная),"")="да","да","нет")))</f>
        <v>нет</v>
      </c>
      <c r="GB319" t="str">
        <f t="shared" si="626"/>
        <v/>
      </c>
      <c r="GC319" t="str">
        <f t="shared" si="627"/>
        <v>основная</v>
      </c>
      <c r="GD319">
        <f>IF(AND(BP319=1,TRIM(AE319&amp;"")=""),IF(COUNTIFS(Линии[Щит],A319,Линии[Секция (1/2/3)],"&gt;=2")&gt;0,MIN(3,MAX(1,IFERROR(--BD319,1))),1),IFERROR(MIN(3,MAX(1,INT(--AE319))),1))</f>
        <v>1</v>
      </c>
      <c r="GE319" t="str" cm="1">
        <f t="array" ref="GE319">IF(B319="","",_xlfn.LET(_xlpm.t,IFERROR(_xlfn.XLOOKUP(1,(Шины[Шина]=GC319)*(((Шины[Щит]=A319)+(Шины[Щит]=""))&gt;0),Шины[Тип]),"")&amp;"",IF(_xlpm.t&lt;&gt;"",_xlpm.t,IF(ISNUMBER(SEARCH("ИБП",GC319)),"ИБП",IF(ISNUMBER(SEARCH("ДГУ",GC319)),"ДГУ","Ввод "&amp;GD319)))))</f>
        <v>Ввод 1</v>
      </c>
      <c r="GF319" t="str">
        <f t="shared" si="628"/>
        <v>Ввод 1</v>
      </c>
      <c r="GG319" t="str">
        <f>IF(BP319=0,"",IF(TRIM(AG319&amp;"")&lt;&gt;"",TRIM(AG319&amp;""),IF(OR(GE319="ИБП",GE319="ДГУ"),"I особая",_xlfn.XLOOKUP(A319,Щиты[Щит],Щиты[Категория шины «Ввод»],"III"))))</f>
        <v/>
      </c>
      <c r="GH319" t="str">
        <f>IF(A319="","",_xlfn.XLOOKUP(A319,Щиты[Щит],Щиты[Путь],""))</f>
        <v>|ГРЩ-ЖД|ЩС-ВК.001|</v>
      </c>
      <c r="GI319" t="str">
        <f>IF(B319="","",IF(AI319&lt;&gt;"",AI319,IF(IFERROR(_xlfn.XLOOKUP(BC319,Коды_код,Коды_вид)&amp;"","")="","Прочее",_xlfn.XLOOKUP(BC319,Коды_код,Коды_вид)&amp;"")))</f>
        <v>Насосы (водоснабжение, дренаж)</v>
      </c>
      <c r="GJ319">
        <f>IF(BM319="","",INT((BM319-1)/Столбцов_на_лист)+1)</f>
        <v>1</v>
      </c>
      <c r="GK319" t="str">
        <f t="shared" si="629"/>
        <v>ВВГнг(А)-LS (3х2,5) L=21-0,43%</v>
      </c>
      <c r="GL319">
        <f t="shared" si="630"/>
        <v>0.6</v>
      </c>
      <c r="GM319">
        <f t="shared" si="631"/>
        <v>3.25</v>
      </c>
      <c r="GN319">
        <f t="shared" si="632"/>
        <v>1</v>
      </c>
      <c r="GO319">
        <f t="shared" si="633"/>
        <v>0</v>
      </c>
      <c r="GP319">
        <f t="shared" si="634"/>
        <v>1</v>
      </c>
      <c r="GQ319">
        <f>IF(BM319="","",IF(AND(CG319=1,GP319=1),COUNTIFS(A$3:A319,A319,CG$3:CG319,1,GP$3:GP319,1),IF(OR(OR(BA319=1,A319&lt;&gt;A318),AJ319="вручную",GP319=0),"",IF(BA319=1,"",GR318))))</f>
        <v>2</v>
      </c>
      <c r="GR319">
        <f t="shared" si="635"/>
        <v>2</v>
      </c>
      <c r="GS319">
        <f>IF(B319="","",IFERROR(LOOKUP(INDEX(CHOOSE(EB319,Iдоп_1ж,Iдоп_2ж,Iдоп_3ж),MATCH(EN319,Iдоп_S,0))*DZ319*EA319,{6,10,16,20,25,32,40,50,63,80,100,125,160,200,250,315,400,500,630}),""))</f>
        <v>25</v>
      </c>
      <c r="GT319" t="str">
        <f t="shared" si="636"/>
        <v>QF2</v>
      </c>
      <c r="GU319" t="str">
        <f t="shared" si="637"/>
        <v>QF2</v>
      </c>
      <c r="GV319" t="str">
        <f t="shared" si="638"/>
        <v/>
      </c>
      <c r="GW319">
        <f t="shared" si="639"/>
        <v>0</v>
      </c>
      <c r="GX319" t="str">
        <f>IF(OR(B319="",DJ319=""),"",IFERROR(_xlfn.XLOOKUP(DJ319,Модули_умолч[Управление],Модули_умолч[Модель])&amp;"",""))</f>
        <v/>
      </c>
      <c r="GY319">
        <f>IF(DJ319="",1,IFERROR(MAX(0,N(_xlfn.XLOOKUP(DJ319,Модули_умолч[Управление],Модули_умолч[Каналов на линию]))),1))</f>
        <v>1</v>
      </c>
      <c r="GZ319" t="str">
        <f t="shared" si="640"/>
        <v/>
      </c>
      <c r="HA319" t="str">
        <f t="shared" si="641"/>
        <v/>
      </c>
      <c r="HB319" t="str">
        <f t="shared" si="642"/>
        <v/>
      </c>
      <c r="HC319">
        <f>IF(HB319="",0,IFERROR(N(VLOOKUP(HB319,Модули_спр,3,FALSE)),0))</f>
        <v>0</v>
      </c>
      <c r="HD319" t="str">
        <f t="shared" si="643"/>
        <v/>
      </c>
      <c r="HE319" t="str">
        <f t="shared" si="644"/>
        <v/>
      </c>
      <c r="HF319" t="str">
        <f>IF(OR(HE319="",HE319="-"),"",IFERROR(VLOOKUP(HE319,Модули_спр,2,FALSE),"R"))</f>
        <v/>
      </c>
      <c r="HG319" t="str">
        <f>IF(HF319="","",HF319&amp;"."&amp;COUNTIFS(A$3:A319,A319,HF$3:HF319,HF319))</f>
        <v/>
      </c>
      <c r="HH319" t="str">
        <f t="shared" si="645"/>
        <v/>
      </c>
      <c r="HI319" t="str">
        <f t="shared" si="646"/>
        <v/>
      </c>
      <c r="HJ319" t="str">
        <f t="shared" si="647"/>
        <v/>
      </c>
      <c r="HK319" t="str">
        <f t="shared" si="648"/>
        <v/>
      </c>
      <c r="HL319">
        <f t="shared" si="649"/>
        <v>1</v>
      </c>
      <c r="HM319" t="str">
        <f>IF(HL319=1,"XT"&amp;COUNTIFS(A$3:A319,A319,HL$3:HL319,1),"")</f>
        <v>XT2</v>
      </c>
      <c r="HN319" t="str">
        <f t="shared" si="650"/>
        <v>XT2</v>
      </c>
      <c r="HO319" t="str">
        <f t="shared" si="651"/>
        <v>QF2</v>
      </c>
      <c r="HP319" t="str">
        <f t="shared" si="652"/>
        <v/>
      </c>
      <c r="HQ319" t="str">
        <f t="shared" si="653"/>
        <v>ok</v>
      </c>
      <c r="HR319" t="str">
        <f>IF(OR(HJ319="",HH319=""),"",IF(HJ319+MAX(0,GY319-1)&gt;IFERROR(VLOOKUP(HI319,Модули_спр,3,FALSE),99),"ЛИШНИЙ КАНАЛ",IF(AND(AL319&lt;&gt;"=",GY319&gt;0,COUNTIFS(Линии[_модуль гр.],HH319,Линии[Канал (итог)],HJ319,Линии[Канал],"&lt;&gt;=",Линии[Щит],A319)&gt;1),"ДУБЛЬ КАНАЛА","")))</f>
        <v/>
      </c>
      <c r="HS319" s="6" t="str">
        <f t="shared" si="654"/>
        <v/>
      </c>
      <c r="HT319">
        <f t="shared" si="655"/>
        <v>10</v>
      </c>
      <c r="HU319" t="str">
        <f t="shared" si="656"/>
        <v/>
      </c>
      <c r="HV319">
        <f t="shared" si="657"/>
        <v>1.5090381056766577</v>
      </c>
      <c r="HW319">
        <f t="shared" si="658"/>
        <v>0</v>
      </c>
      <c r="HX319">
        <f t="shared" si="659"/>
        <v>0</v>
      </c>
      <c r="HY319">
        <f t="shared" si="660"/>
        <v>0</v>
      </c>
      <c r="HZ319">
        <f t="shared" si="661"/>
        <v>0</v>
      </c>
      <c r="IA319">
        <f t="shared" si="662"/>
        <v>0</v>
      </c>
      <c r="IB319">
        <f t="shared" si="663"/>
        <v>0</v>
      </c>
      <c r="IC319" t="str">
        <f t="shared" si="664"/>
        <v/>
      </c>
      <c r="ID319" t="str" cm="1">
        <f t="array" ref="ID319">IF(IC319="","",_xlfn.LET(_xlpm.tk,_xlfn.TEXTSPLIT(SUBSTITUTE(SUBSTITUTE(IC319,";"," "),"→"," ")," ",,TRUE),_xlpm.w_,_xlfn._xlws.FILTER(_xlpm.tk,ISNUMBER(--LEFT(_xlpm.tk,1))*((ISNUMBER(SEARCH("W",_xlpm.tk))+ISNUMBER(SEARCH("Вт",_xlpm.tk)))&gt;0),""),IFERROR(--SUBSTITUTE(SUBSTITUTE(UPPER(INDEX(_xlpm.w_,1)),"W",""),"ВТ",""),"")))</f>
        <v/>
      </c>
      <c r="IE319" t="str" cm="1">
        <f t="array" ref="IE319">IF(IC319="","",_xlfn.LET(_xlpm.tk,_xlfn.TEXTSPLIT(SUBSTITUTE(SUBSTITUTE(IC319,";"," "),"→"," ")," ",,TRUE),_xlpm.v_,_xlfn._xlws.FILTER(_xlpm.tk,ISNUMBER(--LEFT(_xlpm.tk,1))*((ISNUMBER(SEARCH("V",_xlpm.tk))+(RIGHT(UPPER(_xlpm.tk))="В"))&gt;0),""),IFERROR(--SUBSTITUTE(SUBSTITUTE(UPPER(INDEX(_xlpm.v_,1)),"V",""),"В",""),"")))</f>
        <v/>
      </c>
      <c r="IF319" s="6" t="str">
        <f>IF(OR(BV319=0,HI319="",HJ319=""),"",IFERROR(N(_xlfn.XLOOKUP(HI319,Каталог!$C$4:$C$500,Каталог!$Q$4:$Q$500)),""))</f>
        <v/>
      </c>
      <c r="IG319" s="6" t="str">
        <f>IF(N(IF319)=0,"",SUMIFS(Линии[Iр, А],Линии[Щит],A319,Линии[_модуль гр.],HH319,Линии[Канал (итог)],HJ319))</f>
        <v/>
      </c>
      <c r="IH319" t="str">
        <f>IF(AND(B319="",HO319=""),"",_xlfn.TEXTJOIN("; ",TRUE,IF(AND(B319&lt;&gt;"",FV319=""),"нет фазы",""),IF(AND(B319&lt;&gt;"",N(GL319)=0,FG319&lt;&gt;"Нет"),"нет мощности",""),IF(AND(HN319&lt;&gt;"",COUNTIFS(Линии[Щит],A319,Линии[Клемма (итог)],HN319)&gt;1),"дубль клеммы "&amp;HN319,""),IF(AND(HQ319&lt;&gt;"",HQ319&lt;&gt;"ok"),HQ319,""),IF(HR319&lt;&gt;"",HR319,""),IF(AND(N(CB319)&gt;=4,N(BX319)=1),CB319&amp;" жил на 1 фазе",""),IF(AND(BC319="R",CG319=1,IF(CS319&lt;&gt;"",N(CV319)&gt;30,OR(N(DA319)=0,N(DA319)&gt;30))),"розетка без дифзащиты до 30 мА",""),IF(AND(CG319=1,N(DA319)&gt;0,ISNUMBER(T319)),IF(T319&gt;N(DA319)/3,"ток утечки "&amp;FIXED(T319,1)&amp;" мА &gt; 1/3 уставки ("&amp;DA319&amp;" мА)",""),""),IF(AND(CH319=1,CS319=""),"«узо»: нет строки с УЗО выше (УЗО 2P 40А 30мА в «Аппаратах»)",""),IF(AND(CS319&lt;&gt;"",CS319=BA319),IF(CT319="","впишите номинал УЗО (УЗО 2P 40А 30мА)",IF(N(CT319)&lt;N(DT319),"УЗО "&amp;CT319&amp;" А &lt; автомата "&amp;DT319&amp;" А перед ним",IF(N(CT319)&lt;N(CX319),"УЗО "&amp;CT319&amp;" А &lt; тока блока "&amp;FIXED(CX319,1)&amp;" А",""))),""),IF(AND(CS319&lt;&gt;"",CS319=BA319,ISNUMBER(CY319)),IF(CY319&gt;N(CV319)/3,"ток утечки блока УЗО "&amp;FIXED(CY319,1)&amp;" мА &gt; 1/3 уставки ("&amp;CV319&amp;" мА)",""),""),IF(AND(CG319=1,N(BV319)+N(IB319)&gt;0,IC319=""),"линии до 50 В без БП: впишите в «Аппараты» (БП 24V 480W)",""),IF(AND(CG319=1,ISNUMBER(ID319),ISNUMBER(U319)),IF(U319&gt;ID319,"БП "&amp;ID319&amp;" Вт &lt; нужно "&amp;U319&amp;" Вт (×"&amp;Запас_БП&amp;")",""),""),IF(AND(CG319=1,ISNUMBER(IE319),N(BV319)=1),IF(IE319&lt;&gt;N(BU319),"БП на "&amp;IE319&amp;" В, линия "&amp;BU319&amp;" В",""),""),IF(AND(N(IF319)&gt;0,N(IG319)&gt;N(IF319)),HH319&amp;" канал "&amp;HJ319&amp;": "&amp;FIXED(IG319,1)&amp;" А &gt; "&amp;IF319&amp;" А",""),IFERROR(IF(AND(ISNUMBER(Q319),Q319&gt;EL319),"потери "&amp;FIXED(Q319,1)&amp;" % &gt; "&amp;EL319&amp;" %",""),""),IFERROR(IF(LEFT(HU319,4)="мало","Iкз мало — отключение &gt; 0,4 с",""),""),IF(AND(B319&lt;&gt;"",BM319=""),"не на схеме",""),IF(AND(CG319=0,B319&lt;&gt;"",FV319&lt;&gt;"",IF(BA319=1,"",FW318)&lt;&gt;"",FV319&lt;&gt;IF(BA319=1,"",FW318)),"фаза не как у автомата группы ("&amp;IF(BA319=1,"",FW318)&amp;")","")))</f>
        <v/>
      </c>
      <c r="II319" s="6">
        <f>IF(OR(CG319=0,DQ319=""),"",_xlfn.LET(_xlpm.t,IFERROR(_xlfn.XLOOKUP(DQ319,Каталог!$U$4:$U$500,Каталог!$G$4:$G$500),""),_xlpm.k,SEARCH("кА",_xlpm.t),IFERROR(--TRIM(RIGHT(SUBSTITUTE(MID(_xlpm.t,MAX(1,_xlpm.k-4),_xlpm.k-MAX(1,_xlpm.k-4))," ",REPT(" ",9)),5)),"")))</f>
        <v>6</v>
      </c>
      <c r="IJ319" t="str">
        <f>IF(OR(II319="",CG319=0),"",IF(_xlfn.XLOOKUP(A319,Щиты[Щит],Щиты[Iкз max на шинах, кА],"")="","",IF(II319&lt;_xlfn.XLOOKUP(A319,Щиты[Щит],Щиты[Iкз max на шинах, кА]),"Icu "&amp;II319&amp;" кА &lt; Iкз max","ok")))</f>
        <v/>
      </c>
      <c r="IK319" t="str">
        <f t="shared" si="665"/>
        <v/>
      </c>
      <c r="IL319" t="str">
        <f t="shared" si="666"/>
        <v>QF2|XT2</v>
      </c>
      <c r="IM319" t="str">
        <f t="shared" si="667"/>
        <v>QF2|XT2|кабель ВВГнг(А)-LS (3х2,5) → Насос дренажный, пом. 003Т</v>
      </c>
      <c r="IN319" t="str" cm="1">
        <f t="array" ref="IN319">IF(IM319="","",_xlfn.LET(_xlpm.nd,_xlfn.TEXTSPLIT(IM319,"|"),IF(COLUMNS(_xlpm.nd)&gt;1,A319&amp;"¦"&amp;INDEX(_xlpm.nd,1)&amp;"¦"&amp;INDEX(_xlpm.nd,2),"")))</f>
        <v>ЩС-ВК.001¦QF2¦XT2</v>
      </c>
      <c r="IO319" t="str">
        <f t="shared" si="668"/>
        <v>НВК.00.003Т.1¦Насос дренажный, пом. 003Т</v>
      </c>
      <c r="IP319" t="str" cm="1">
        <f t="array" ref="IP319">IF(IM319="","",_xlfn.LET(_xlpm.nd,_xlfn.TEXTSPLIT(IM319,"|"),IF(COLUMNS(_xlpm.nd)&gt;2,A319&amp;"¦"&amp;INDEX(_xlpm.nd,2)&amp;"¦"&amp;INDEX(_xlpm.nd,3),"")))</f>
        <v>ЩС-ВК.001¦XT2¦кабель ВВГнг(А)-LS (3х2,5) → Насос дренажный, пом. 003Т</v>
      </c>
      <c r="IQ319" t="str">
        <f t="shared" si="669"/>
        <v>НВК.00.003Т.1¦Насос дренажный, пом. 003Т</v>
      </c>
      <c r="IR319" t="str" cm="1">
        <f t="array" ref="IR319">IF(IM319="","",_xlfn.LET(_xlpm.nd,_xlfn.TEXTSPLIT(IM319,"|"),IF(COLUMNS(_xlpm.nd)&gt;3,A319&amp;"¦"&amp;INDEX(_xlpm.nd,3)&amp;"¦"&amp;INDEX(_xlpm.nd,4),"")))</f>
        <v/>
      </c>
      <c r="IS319" t="str">
        <f t="shared" si="670"/>
        <v/>
      </c>
      <c r="IT319" t="str" cm="1">
        <f t="array" ref="IT319">IF(IM319="","",_xlfn.LET(_xlpm.nd,_xlfn.TEXTSPLIT(IM319,"|"),IF(COLUMNS(_xlpm.nd)&gt;4,A319&amp;"¦"&amp;INDEX(_xlpm.nd,4)&amp;"¦"&amp;INDEX(_xlpm.nd,5),"")))</f>
        <v/>
      </c>
      <c r="IU319" t="str">
        <f t="shared" si="671"/>
        <v/>
      </c>
      <c r="IV319" t="str" cm="1">
        <f t="array" ref="IV319">IF(IM319="","",_xlfn.LET(_xlpm.nd,_xlfn.TEXTSPLIT(IM319,"|"),IF(COLUMNS(_xlpm.nd)&gt;5,A319&amp;"¦"&amp;INDEX(_xlpm.nd,5)&amp;"¦"&amp;INDEX(_xlpm.nd,6),"")))</f>
        <v/>
      </c>
      <c r="IW319" t="str">
        <f t="shared" si="672"/>
        <v/>
      </c>
      <c r="IX319" t="str" cm="1">
        <f t="array" ref="IX319">IF(IM319="","",_xlfn.LET(_xlpm.nd,_xlfn.TEXTSPLIT(IM319,"|"),IF(COLUMNS(_xlpm.nd)&gt;6,A319&amp;"¦"&amp;INDEX(_xlpm.nd,6)&amp;"¦"&amp;INDEX(_xlpm.nd,7),"")))</f>
        <v/>
      </c>
      <c r="IY319" t="str">
        <f t="shared" si="673"/>
        <v/>
      </c>
      <c r="IZ319" t="str">
        <f t="shared" si="674"/>
        <v/>
      </c>
      <c r="JA319" t="str">
        <f t="shared" si="675"/>
        <v>QF2 → XT2</v>
      </c>
      <c r="JB319">
        <f t="shared" si="676"/>
        <v>0</v>
      </c>
      <c r="JC319">
        <f t="shared" si="677"/>
        <v>0</v>
      </c>
      <c r="JD319" t="str">
        <f t="shared" si="678"/>
        <v/>
      </c>
      <c r="JE319" t="str">
        <f t="shared" si="679"/>
        <v/>
      </c>
      <c r="JF319" t="str">
        <f t="shared" si="680"/>
        <v/>
      </c>
      <c r="JG319" t="str">
        <f t="shared" si="681"/>
        <v/>
      </c>
      <c r="JH319">
        <f>IF(B319="","",IFERROR(_xlfn.XLOOKUP(B319,Коды_код,Коды_уго),IFERROR(_xlfn.XLOOKUP(BC319,Коды_код,Коды_уго),IFERROR(_xlfn.XLOOKUP(LEFT(BC319,2),Коды_код,Коды_уго),""))))</f>
        <v>0</v>
      </c>
      <c r="JI319" t="str">
        <f>IF(B319="","",IF(OR(JH319="",JH319=0),"BOX",IFERROR(IF(VLOOKUP(JH319,УГО_блоки,3,FALSE)&amp;""&lt;&gt;"",VLOOKUP(JH319,УГО_блоки,3,FALSE),VLOOKUP(JH319,УГО_блоки,2,FALSE)),JH319)))</f>
        <v>BOX</v>
      </c>
      <c r="JJ319">
        <f t="shared" si="682"/>
        <v>1</v>
      </c>
      <c r="JK319" t="str">
        <f>IF(DQ319="","",IF(COUNTIF(DQ$3:DQ319,DQ319)=1,MAX(JK$2:JK318)+1,""))</f>
        <v/>
      </c>
      <c r="JL319" t="str">
        <f>IF(DE319="","",IF(COUNTIF(DE$3:DE319,DE319)+COUNTIF(DF$2:DF318,DE319)+COUNTIF(DG$2:DG318,DE319)=1,MAX(JL$2:JN318)+1,""))</f>
        <v/>
      </c>
      <c r="JM319" t="str">
        <f>IF(DF319="","",IF(COUNTIF(DE$3:DE319,DF319)+COUNTIF(DF$3:DF319,DF319)+COUNTIF(DG$2:DG318,DF319)=1,MAX(JL$2:JN318,JL319)+1,""))</f>
        <v/>
      </c>
      <c r="JN319" t="str">
        <f>IF(DG319="","",IF(COUNTIF(DE$3:DE319,DG319)+COUNTIF(DF$3:DF319,DG319)+COUNTIF(DG$3:DG319,DG319)=1,MAX(JL$2:JN318,JL319,JM319)+1,""))</f>
        <v/>
      </c>
      <c r="JO319" t="str">
        <f t="shared" si="683"/>
        <v>3х2,5</v>
      </c>
      <c r="JP319" t="str">
        <f>IF(JO319="","",IF(COUNTIF(JO$3:JO319,JO319)=1,MAX(JP$2:JP318)+1,""))</f>
        <v/>
      </c>
      <c r="JQ319" t="str">
        <f>IF(HG319="","",COUNTIF(HG$3:HG319,"?*"))</f>
        <v/>
      </c>
      <c r="JR319" t="str">
        <f>IF(OR(HG319="",HI319=""),"",IF(COUNTIFS(HG$3:HG319,"?*",HI$3:HI319,HI319)=1,MAX(JR$2:JR318)+1,""))</f>
        <v/>
      </c>
      <c r="JS319">
        <f t="shared" si="684"/>
        <v>0</v>
      </c>
      <c r="JT319">
        <f>IF(B319="","",COUNTIF(B$3:B319,"?*"))</f>
        <v>317</v>
      </c>
      <c r="JU319">
        <f>IF(HL319&lt;&gt;1,0,_xlfn.LET(_xlpm.k,MAX(IFERROR(--_xlfn.XLOOKUP(B319,Коды_код,Коды_3L),0),IFERROR(--_xlfn.XLOOKUP(BC319,Коды_код,Коды_3L),0),IFERROR(--_xlfn.XLOOKUP(LEFT(BC319,2),Коды_код,Коды_3L),0)),IF(_xlpm.k&gt;0,_xlpm.k,IF(IFERROR(--LEFT(SUBSTITUTE(JO319,"x","х"),FIND("х",SUBSTITUTE(JO319,"x","х"))-1),3)&gt;3,Каталог!$S$9,1))))</f>
        <v>1</v>
      </c>
      <c r="JV319">
        <f t="shared" si="685"/>
        <v>0</v>
      </c>
      <c r="JW319" t="str">
        <f t="shared" si="686"/>
        <v>авто</v>
      </c>
      <c r="JX319" t="str">
        <f t="shared" si="687"/>
        <v/>
      </c>
      <c r="JY319">
        <f t="shared" si="688"/>
        <v>0</v>
      </c>
      <c r="JZ319">
        <f t="shared" si="689"/>
        <v>1</v>
      </c>
    </row>
    <row r="320" spans="1:286" x14ac:dyDescent="0.3">
      <c r="A320" t="s">
        <v>763</v>
      </c>
      <c r="B320" t="s">
        <v>1623</v>
      </c>
      <c r="C320" t="str">
        <f>Линии[[#This Row],[_авто наименование]]</f>
        <v>Насос дренажный, пом. 005Т</v>
      </c>
      <c r="D320">
        <v>1</v>
      </c>
      <c r="E320">
        <v>0.6</v>
      </c>
      <c r="G320">
        <v>16</v>
      </c>
      <c r="H320" t="str">
        <f>Линии[[#This Row],[_авто управление]]</f>
        <v/>
      </c>
      <c r="I320" t="str">
        <f>Линии[[#This Row],[_авто аппараты]]</f>
        <v/>
      </c>
      <c r="J320">
        <v>2.5</v>
      </c>
      <c r="K320">
        <v>19</v>
      </c>
      <c r="L320">
        <v>1</v>
      </c>
      <c r="M320" t="str">
        <f>Линии[[#This Row],[_авто клемма]]</f>
        <v>XT3</v>
      </c>
      <c r="N320" t="str">
        <f t="shared" si="552"/>
        <v/>
      </c>
      <c r="O320" s="6" cm="1">
        <f t="array" ref="O320">IF(B320="","",IF(BH320&lt;&gt;"",IFERROR(_xlfn.XLOOKUP(BH320,Щиты[Щит],Щиты[Iр, А]),""),IF(BP320=1,IF(OR(N(_xlfn.XLOOKUP(A320,Щиты[Щит],Щиты[Вводов],1))&lt;=1,LOWER(TRIM(_xlfn.XLOOKUP(A320,Щиты[Щит],Щиты[АВР],"")&amp;""))="да"),IFERROR(_xlfn.XLOOKUP(A320,Щиты[Щит],Щиты[Iр, А]),""),IFERROR(N(BS320)*_xlfn.XLOOKUP(A320,Щиты[Щит],Щиты[Кс итог])/(SQRT(3)*Uн_лин*_xlfn.XLOOKUP(A320,Щиты[Щит],Щиты[cos φ])),"")),IF(BV320=1,IFERROR(BS320*1000/BU320,""),IFERROR(_xlfn.IFS(BX320=1,BS320/((Uн_лин/SQRT(3))*CE320),BX320=3,BS320/(SQRT(3)*Uн_лин*CE320)),"")))))</f>
        <v>3.2475952641916441</v>
      </c>
      <c r="P320" s="7">
        <f>IF(B320="","",IFERROR(IF(VLOOKUP(BC320,Потребители_обозначение,4,FALSE)=1,VLOOKUP(BC320,Потребители_обозначение,3,FALSE)*(MAX(1,N(D320))*2-1)+EI320+VLOOKUP(BE320,Этаж_обозначение,3,FALSE)+VLOOKUP(BE320,Этаж_обозначение,4,FALSE),VLOOKUP(BC320,Потребители_обозначение,3,FALSE)*(MAX(1,N(D320))*2-1)+EI320),EI320))</f>
        <v>22</v>
      </c>
      <c r="Q320" s="6">
        <f t="shared" si="553"/>
        <v>2.57</v>
      </c>
      <c r="R320" t="str">
        <f t="shared" si="554"/>
        <v>ВВГнг(А)-LS (3х2,5)</v>
      </c>
      <c r="S320" t="str">
        <f>IF(BM320="","",IF(BN320="вводной узел","узел ","")&amp;"л."&amp;(INT((BM320-1)/Столбцов_на_лист)+1)&amp;" / "&amp;(MOD(BM320-1,Столбцов_на_лист)+1))</f>
        <v>л.1 / 12</v>
      </c>
      <c r="T320" s="119">
        <f t="shared" si="555"/>
        <v>1.5</v>
      </c>
      <c r="U320" s="7" t="str">
        <f>IF(OR(CG320=0,N(BV320)+N(IB320)=0),"",ROUNDUP(Запас_БП*(N(HY320)+N(HZ320)),0))</f>
        <v/>
      </c>
      <c r="V320" s="119" t="str">
        <f t="shared" si="556"/>
        <v/>
      </c>
      <c r="W320" s="7" t="str">
        <f>IFERROR(IF(OR(B320="",BP320=1,BV320=1,NOT(ISNUMBER(EN320)),N(DT320)=0),"",MAX(0,ROUNDDOWN((c_min*(Uн_лин*1000/SQRT(3))/(HT320*N(DT320))-_xlfn.XLOOKUP(A320,Щиты[Щит],Щиты[Zпетли на шинах, Ом]))*EN320/(2*ρкз_Cu),0))),"")</f>
        <v/>
      </c>
      <c r="Y320" t="str">
        <f>Линии[[#This Row],[_авто утечка]]</f>
        <v/>
      </c>
      <c r="Z320">
        <v>1</v>
      </c>
      <c r="AA320">
        <v>230</v>
      </c>
      <c r="AB320" t="s">
        <v>598</v>
      </c>
      <c r="AC320">
        <v>0.5</v>
      </c>
      <c r="AG320" t="s">
        <v>850</v>
      </c>
      <c r="AI320" t="s">
        <v>604</v>
      </c>
      <c r="AK320" t="str">
        <f>Линии[[#This Row],[_авто модуль]]</f>
        <v/>
      </c>
      <c r="AM320">
        <v>12</v>
      </c>
      <c r="AN320" t="s">
        <v>11</v>
      </c>
      <c r="AO320">
        <v>3</v>
      </c>
      <c r="AQ320">
        <v>1</v>
      </c>
      <c r="AR320">
        <v>18</v>
      </c>
      <c r="AS320">
        <v>0</v>
      </c>
      <c r="AT320">
        <v>1</v>
      </c>
      <c r="BA320" cm="1">
        <f t="array" ref="BA320">ROW()-ROW(Линии[#Headers])</f>
        <v>318</v>
      </c>
      <c r="BC320" s="6" t="str">
        <f t="shared" si="557"/>
        <v>НВК</v>
      </c>
      <c r="BD320" t="str">
        <f t="shared" si="558"/>
        <v>00.005Т.4</v>
      </c>
      <c r="BE320" t="str">
        <f t="shared" si="559"/>
        <v>00</v>
      </c>
      <c r="BF320" t="str">
        <f t="shared" si="560"/>
        <v>005Т.4</v>
      </c>
      <c r="BG320" t="str">
        <f t="shared" si="561"/>
        <v>005Т</v>
      </c>
      <c r="BH320" t="str">
        <f>IF(X320&lt;&gt;"",X320,IF(AND(B320&lt;&gt;"",B320&lt;&gt;A320,ISNUMBER(_xlfn.XMATCH(B320,Щиты[Щит]))),B320,""))</f>
        <v/>
      </c>
      <c r="BI320" t="str" cm="1">
        <f t="array" ref="BI320">IF(B320="","",IF(BH320&lt;&gt;"","Щит "&amp;BH320,_xlfn.LET(_xlpm.nm,IFERROR(_xlfn.XLOOKUP(BC320,Коды_код,Коды_имя)&amp;"",""),_xlpm.md,IFERROR(N(_xlfn.XLOOKUP(BC320,Коды_код,Коды_режим)),1),_xlpm.ex,IF(Имя_режим="по экспликации",IFERROR(_xlfn.XLOOKUP(BE320&amp;"|"&amp;BG320,Экспликация[Этаж]&amp;"|"&amp;Экспликация[Помещение],Экспликация[Название])&amp;"",""),""),_xlpm.rm,IF(BG320="","",IF(_xlpm.ex&lt;&gt;"",". "&amp;_xlpm.ex&amp;IF(Имя_пом="нет"," ("&amp;BG320&amp;")"," (пом. "&amp;BG320&amp;")"),IF(Имя_пом="нет"," ",", пом. ")&amp;BG320)),IF(_xlpm.nm="","",IF(_xlpm.md=2,_xlpm.nm&amp;" шлейф "&amp;BE320,_xlpm.nm&amp;_xlpm.rm)))))</f>
        <v>Насос дренажный, пом. 005Т</v>
      </c>
      <c r="BJ320" t="str">
        <f t="shared" si="562"/>
        <v>Насос дренажный, пом. 005Т</v>
      </c>
      <c r="BK320">
        <f>IFERROR(_xlfn.XMATCH(A320,Щиты[Щит]),0)</f>
        <v>13</v>
      </c>
      <c r="BL320">
        <f>_xlfn.LET(_xlpm.k,IFERROR(_xlfn.XLOOKUP(A320,Щиты[Щит],Щиты[Мест под вводной узел]),""),IF(_xlpm.k="",Столбцов_на_лист,N(_xlpm.k)))</f>
        <v>9</v>
      </c>
      <c r="BM320">
        <f t="shared" si="563"/>
        <v>12</v>
      </c>
      <c r="BN320" t="str">
        <f t="shared" si="564"/>
        <v>линии</v>
      </c>
      <c r="BO320" s="6">
        <f>IFERROR(N(_xlfn.XLOOKUP(BC320,Коды_код,Коды_квт)),0)</f>
        <v>0</v>
      </c>
      <c r="BP320">
        <f t="shared" si="565"/>
        <v>0</v>
      </c>
      <c r="BQ320" t="str">
        <f>IF(B320="","",IF(BH320&lt;&gt;"",IFERROR(_xlfn.XLOOKUP(BH320,Щиты[Щит],Щиты[Руст, кВт]),0),IF(BP320=1,IF(OR(N(_xlfn.XLOOKUP(A320,Щиты[Щит],Щиты[Вводов],1))&lt;=1,LOWER(TRIM(_xlfn.XLOOKUP(A320,Щиты[Щит],Щиты[АВР],"")&amp;""))="да"),IFERROR(_xlfn.XLOOKUP(A320,Щиты[Щит],Щиты[Руст, кВт]),0),SUMIFS(Линии[_Р для вводов],Линии[Щит],A320,Линии[Источник для режимов],GF320)),IF(BO320&gt;0,ROUND(BO320*MAX(1,N(D320)),3),""))))</f>
        <v/>
      </c>
      <c r="BR320">
        <f t="shared" si="566"/>
        <v>0.6</v>
      </c>
      <c r="BS320" s="6">
        <f>IF(B320="","",IF(BH320&lt;&gt;"",IFERROR(_xlfn.XLOOKUP(BH320,Щиты[Щит],Щиты[Руст, кВт]),0),N(BR320)))</f>
        <v>0.6</v>
      </c>
      <c r="BT320" t="str">
        <f>IF(B320="","",IFERROR(IF(VLOOKUP(BC320,Потребители_обозначение,8,FALSE)=0,"",VLOOKUP(BC320,Потребители_обозначение,8,FALSE)),""))</f>
        <v/>
      </c>
      <c r="BU320">
        <f t="shared" si="567"/>
        <v>230</v>
      </c>
      <c r="BV320">
        <f t="shared" si="568"/>
        <v>0</v>
      </c>
      <c r="BW320">
        <f>IF(B320="","",IF(BH320&lt;&gt;"",3,IFERROR(IF(N(VLOOKUP(BC320,Потребители_обозначение,9,FALSE))=0,1,VLOOKUP(BC320,Потребители_обозначение,9,FALSE)),1)))</f>
        <v>1</v>
      </c>
      <c r="BX320">
        <f t="shared" si="569"/>
        <v>1</v>
      </c>
      <c r="BY320" t="str">
        <f>IF(B320="","",_xlfn.LET(_xlpm.bc,IFERROR(IF(VLOOKUP(BC320,Потребители_обозначение,6,FALSE)=0,"",VLOOKUP(BC320,Потребители_обозначение,6,FALSE)&amp;""),""),IF(AND(GA320="да",OR(_xlpm.bc="",_xlpm.bc="мс")),Марка_пож,IF(AND(_xlpm.bc="",BH320&lt;&gt;""),"мс",_xlpm.bc))))</f>
        <v/>
      </c>
      <c r="BZ320" t="str">
        <f t="shared" si="570"/>
        <v>мс</v>
      </c>
      <c r="CA320">
        <f>IF(B320="","",_xlfn.LET(_xlpm.cc,IFERROR(N(VLOOKUP(BC320,Потребители_обозначение,7,FALSE)),0),IF(_xlpm.cc&gt;0,_xlpm.cc,IF(BZ320="","",IF(BV320=1,2,IF(N(BX320)=3,5,3))))))</f>
        <v>3</v>
      </c>
      <c r="CB320">
        <f t="shared" si="571"/>
        <v>3</v>
      </c>
      <c r="CC320">
        <f>IFERROR(N(VLOOKUP(BC320,Потребители_обозначение,10,FALSE)),0)</f>
        <v>0</v>
      </c>
      <c r="CD320">
        <f>IFERROR(VLOOKUP(BC320,Потребители_обозначение,5,FALSE),0)</f>
        <v>1</v>
      </c>
      <c r="CE320" s="6" cm="1">
        <f t="array" ref="CE320">IF(B320="","",IF(BH320&lt;&gt;"",IFERROR(_xlfn.XLOOKUP(BH320,Щиты[Щит],Щиты[cos φ]),0.95),IF(BP320=1,IFERROR(_xlfn.XLOOKUP(A320,Щиты[Щит],Щиты[cos φ]),0.95),IF(ISNUMBER(AD320),AD320,IFERROR(IF(CD320=2,_xlfn.IFS(BX320=3,VLOOKUP(BS320,Справочная_двигатели,8,FALSE),BX320=1,VLOOKUP(BS320,Справочная_двигатели,10,TRUE)),IF(AND(Методика="нормы 2026",FG320="Сил"),0.8,0.95)),0.95)))))</f>
        <v>0.8</v>
      </c>
      <c r="CF320">
        <f t="shared" si="572"/>
        <v>0</v>
      </c>
      <c r="CG320">
        <f t="shared" si="573"/>
        <v>1</v>
      </c>
      <c r="CH320">
        <f t="shared" si="574"/>
        <v>0</v>
      </c>
      <c r="CI320">
        <f>IF(B320="","",IF(BV320=1,IFERROR(BS320/((Uн_лин/SQRT(3))*MAX(0.5,N(CE320))),0),N(O320)))</f>
        <v>3.2475952641916441</v>
      </c>
      <c r="CJ320">
        <f t="shared" si="575"/>
        <v>0</v>
      </c>
      <c r="CK320">
        <f t="shared" si="576"/>
        <v>0</v>
      </c>
      <c r="CL320">
        <f t="shared" si="577"/>
        <v>0</v>
      </c>
      <c r="CM320">
        <f t="shared" si="578"/>
        <v>0</v>
      </c>
      <c r="CN320">
        <f t="shared" si="579"/>
        <v>0</v>
      </c>
      <c r="CO320">
        <f>IF(BC320="",0,_xlfn.LET(_xlpm.v,IFERROR(_xlfn.XLOOKUP(B320,Коды_код,Коды_мА),IFERROR(_xlfn.XLOOKUP(BC320,Коды_код,Коды_мА),IFERROR(_xlfn.XLOOKUP(LEFT(BC320,2),Коды_код,Коды_мА),""))),IF(_xlpm.v="да",30,IF(ISNUMBER(_xlpm.v),_xlpm.v,0))))</f>
        <v>0</v>
      </c>
      <c r="CP320" t="str">
        <f t="shared" si="580"/>
        <v/>
      </c>
      <c r="CQ320" t="str">
        <f>_xlfn.LET(_xlpm.k,IFERROR(_xlfn.XLOOKUP(BC320,Коды_код,Коды_утечка)&amp;"",""),IF(_xlpm.k="","дифавтомат",_xlpm.k))</f>
        <v>дифавтомат</v>
      </c>
      <c r="CR320" t="str" cm="1">
        <f t="array" ref="CR320">IF(CG320=0,"",_xlfn.LET(_xlpm.sg,TRIM(_xlfn.TEXTSPLIT(DD320&amp;"",";")),_xlpm.f_,_xlfn._xlws.FILTER(_xlpm.sg,LEFT(_xlpm.sg,3)="УЗО",""),IFERROR(INDEX(_xlpm.f_,1)&amp;"","")))</f>
        <v/>
      </c>
      <c r="CS320" t="str">
        <f t="shared" si="581"/>
        <v/>
      </c>
      <c r="CT320" s="6" t="str" cm="1">
        <f t="array" ref="CT320">IF(CR320="","",_xlfn.LET(_xlpm.tk,_xlfn.TEXTSPLIT(UPPER(CR320)," ",,TRUE),_xlpm.a_,_xlfn._xlws.FILTER(_xlpm.tk,ISNUMBER(--LEFT(_xlpm.tk,1))*((ISNUMBER(SEARCH("А",_xlpm.tk))+ISNUMBER(SEARCH("A",_xlpm.tk)))&gt;0)*NOT(ISNUMBER(SEARCH("МА",_xlpm.tk)))*NOT(ISNUMBER(SEARCH("MA",_xlpm.tk))),""),IFERROR(--SUBSTITUTE(SUBSTITUTE(INDEX(_xlpm.a_,1),"А",""),"A",""),"")))</f>
        <v/>
      </c>
      <c r="CU320" t="str" cm="1">
        <f t="array" ref="CU320">IF(CR320="","",_xlfn.LET(_xlpm.tk,_xlfn.TEXTSPLIT(UPPER(CR320)," ",,TRUE),_xlpm.a_,_xlfn._xlws.FILTER(_xlpm.tk,ISNUMBER(--LEFT(_xlpm.tk,1))*((ISNUMBER(SEARCH("МА",_xlpm.tk))+ISNUMBER(SEARCH("MA",_xlpm.tk)))&gt;0),""),IFERROR(--SUBSTITUTE(SUBSTITUTE(INDEX(_xlpm.a_,1),"МА",""),"MA",""),30)))</f>
        <v/>
      </c>
      <c r="CV320" t="str">
        <f>IF(CS320="","",IFERROR(_xlfn.XLOOKUP(CS320,Линии[_n],Линии[_УЗО, мА]),30))</f>
        <v/>
      </c>
      <c r="CW320">
        <f>IF(CS320="",0,IF(ISNUMBER(SEARCH("4P",IFERROR(_xlfn.XLOOKUP(CS320,Линии[_n],Линии[_УЗО строки])&amp;"",""))),0,1))</f>
        <v>0</v>
      </c>
      <c r="CX320" t="str">
        <f>IF(AND(CS320&lt;&gt;"",CS320=BA320),SUMIFS(Линии[_ток на 230 В],Линии[_блок УЗО],BA320,Линии[Щит],A320),"")</f>
        <v/>
      </c>
      <c r="CY320" t="str">
        <f>IF(AND(CS320&lt;&gt;"",CS320=BA320),SUMIFS(Линии[_ток утечки линии, мА],Линии[_блок УЗО],BA320,Линии[Щит],A320),"")</f>
        <v/>
      </c>
      <c r="CZ320">
        <f t="shared" si="582"/>
        <v>0</v>
      </c>
      <c r="DA320">
        <f t="shared" si="583"/>
        <v>0</v>
      </c>
      <c r="DB320">
        <f>IF(B320="",0,IFERROR(--_xlfn.XLOOKUP(B320,Коды_код,Коды_минавт),IFERROR(--_xlfn.XLOOKUP(BC320,Коды_код,Коды_минавт),IFERROR(--_xlfn.XLOOKUP(LEFT(BC320,2),Коды_код,Коды_минавт),0))))</f>
        <v>0</v>
      </c>
      <c r="DC320" t="str">
        <f>IF(B320="","",IFERROR(_xlfn.XLOOKUP(BC320,Коды_код,Коды_апп)&amp;"",""))</f>
        <v/>
      </c>
      <c r="DD320" t="str">
        <f t="shared" si="584"/>
        <v/>
      </c>
      <c r="DE320" t="str" cm="1">
        <f t="array" ref="DE320">IF(TRIM(DD320&amp;"")="","",IFERROR(TRIM(INDEX(_xlfn.TEXTSPLIT(DD320&amp;";;;",";"),1)),""))</f>
        <v/>
      </c>
      <c r="DF320" t="str" cm="1">
        <f t="array" ref="DF320">IF(TRIM(DD320&amp;"")="","",IFERROR(TRIM(INDEX(_xlfn.TEXTSPLIT(DD320&amp;";;;",";"),2)),""))</f>
        <v/>
      </c>
      <c r="DG320" t="str" cm="1">
        <f t="array" ref="DG320">IF(TRIM(DD320&amp;"")="","",IFERROR(TRIM(INDEX(_xlfn.TEXTSPLIT(DD320&amp;";;;",";"),3)),""))</f>
        <v/>
      </c>
      <c r="DH320">
        <f t="shared" si="585"/>
        <v>0</v>
      </c>
      <c r="DI320" t="str">
        <f>IF(B320="","",_xlfn.LET(_xlpm.t,LOWER(AZ320&amp;""),IF(ISNUMBER(SEARCH("dim",_xlpm.t)),"DIM",IF(ISNUMBER(SEARCH("dali",_xlpm.t)),"DALI",IF(OR(ISNUMBER(SEARCH("relay",_xlpm.t)),ISNUMBER(SEARCH("реле",_xlpm.t))),"Relay",IF(ISNUMBER(SEARCH("кнопк",_xlpm.t)),"",IFERROR(_xlfn.XLOOKUP(BC320,Коды_код,Коды_упр)&amp;"","")))))))</f>
        <v/>
      </c>
      <c r="DJ320" t="str">
        <f t="shared" si="586"/>
        <v/>
      </c>
      <c r="DK320">
        <f>IF(B320="","",_xlfn.LET(_xlpm.ig,IF(N(CX320)&gt;0,N(CX320),N(CI320)+IF(AJ320="вручную",0,N(CJ320))),_xlpm.n0,IFERROR(VLOOKUP(_xlpm.ig,Автомат_номиналы,2,TRUE),0),_xlpm.mn,MAX(DB320,IF(AJ320="вручную",0,N(CM320))),MAX(_xlpm.n0,_xlpm.mn,IF(DH320=1,Мин_автомат_БП,0))))</f>
        <v>6</v>
      </c>
      <c r="DL320">
        <f t="shared" si="587"/>
        <v>1</v>
      </c>
      <c r="DM320" t="str">
        <f t="shared" si="588"/>
        <v>1P</v>
      </c>
      <c r="DN320" t="str">
        <f>_xlfn.LET(_xlpm.cc,UPPER(TRIM(IFERROR(_xlfn.XLOOKUP(BC320,Коды_код,Коды_хар)&amp;"",""))),IF(OR(_xlpm.cc="B",_xlpm.cc="В"),"B",IF(_xlpm.cc="D","D","С")))</f>
        <v>С</v>
      </c>
      <c r="DO320" t="str">
        <f t="shared" si="589"/>
        <v>1P С6А</v>
      </c>
      <c r="DP320">
        <f t="shared" si="590"/>
        <v>16</v>
      </c>
      <c r="DQ320" t="str">
        <f t="shared" si="591"/>
        <v>1P С16А</v>
      </c>
      <c r="DR320" cm="1">
        <f t="array" ref="DR320">IF(DQ320="","",_xlfn.LET(_xlpm.t,SUBSTITUTE(SUBSTITUTE(SUBSTITUTE(UPPER(DQ320),"С","C"),"А","A"),"В","B"),_xlpm.tk,_xlfn.TEXTSPLIT(_xlpm.t," "),_xlpm.f,_xlfn._xlws.FILTER(_xlpm.tk,ISNUMBER(--MID(_xlpm.tk,2,1))*ISNUMBER(SEARCH(LEFT(_xlpm.tk,1)&amp;"#","B#C#D#"))*(LEN(_xlpm.tk)&gt;1),""),_xlpm.x,INDEX(_xlpm.f,1),IFERROR(--SUBSTITUTE(MID(_xlpm.x,2,9),"A",""),IFERROR(--SUBSTITUTE(INDEX(_xlfn._xlws.FILTER(_xlpm.tk,ISNUMBER(--SUBSTITUTE(_xlpm.tk,"A","")),""),1),"A",""),""))))</f>
        <v>16</v>
      </c>
      <c r="DS320" t="str">
        <f t="shared" si="592"/>
        <v>ok</v>
      </c>
      <c r="DT320">
        <f t="shared" si="593"/>
        <v>16</v>
      </c>
      <c r="DU320" t="str">
        <f t="shared" si="594"/>
        <v>1P С16А</v>
      </c>
      <c r="DV320">
        <f t="shared" si="595"/>
        <v>0</v>
      </c>
      <c r="DW320">
        <f t="shared" si="596"/>
        <v>0</v>
      </c>
      <c r="DX320">
        <f t="shared" si="597"/>
        <v>0</v>
      </c>
      <c r="DY320">
        <f t="shared" si="598"/>
        <v>3.2475952641916441</v>
      </c>
      <c r="DZ320">
        <f t="shared" si="599"/>
        <v>1</v>
      </c>
      <c r="EA320">
        <f>IF(ISNUMBER(AP320),AP320,К_прокл)</f>
        <v>1</v>
      </c>
      <c r="EB320">
        <f t="shared" si="600"/>
        <v>2</v>
      </c>
      <c r="EC320">
        <f>IFERROR(N(VLOOKUP(BZ320,Кабель_обозначение,3,FALSE)),1)</f>
        <v>1</v>
      </c>
      <c r="ED320">
        <f>IFERROR(N(_xlfn.XLOOKUP(A320,Щиты[Щит],Щиты[ΔU до шин, %])),0)</f>
        <v>2.1199999999999997</v>
      </c>
      <c r="EE320" t="str">
        <f>IFERROR(_xlfn.XLOOKUP(A320,Щиты[Щит],Щиты[Zпетли на шинах, Ом]),"")</f>
        <v/>
      </c>
      <c r="EF320">
        <f>IFERROR(N(_xlfn.XLOOKUP(A320,Щиты[Щит],Щиты[ΔU до шин (подбор), %])),0)</f>
        <v>3.3699999999999997</v>
      </c>
      <c r="EG320" t="str">
        <f>IFERROR(_xlfn.XLOOKUP(A320,Щиты[Щит],Щиты[Zпетли на шинах (подбор), Ом]),"")</f>
        <v/>
      </c>
      <c r="EH320" t="str">
        <f t="shared" si="601"/>
        <v/>
      </c>
      <c r="EI320">
        <f t="shared" si="602"/>
        <v>19</v>
      </c>
      <c r="EJ320">
        <f t="shared" si="603"/>
        <v>2</v>
      </c>
      <c r="EK320">
        <f t="shared" si="604"/>
        <v>0.6</v>
      </c>
      <c r="EL320" s="6">
        <f>IF(B320="","",IF(BV320=1,dU_LED,IF(IFERROR(_xlfn.XLOOKUP(BC320,Коды_код,Коды_уго),"")="Светильник",3,4)+IF(Методика="нормы 2026",MIN(0.5,MAX(0,N(P320)-100)*0.005),0)))</f>
        <v>4</v>
      </c>
      <c r="EM320" cm="1">
        <f t="array" ref="EM320">IF(OR(B320="",BZ320="",EC320&lt;&gt;1),"",_xlfn.LET(_xlpm.sz,Iдоп_S,_xlpm.t_,CHOOSE(EB320,Iдоп_1ж,Iдоп_2ж,Iдоп_3ж)*DZ320*EA320,_xlpm.dcx,BV320=1,_xlpm.inn,IF(_xlpm.dcx,N(O320),N(DT320)),_xlpm.smin,MAX(1.5,CC320),_xlpm.L_,N(P320)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320)/N(BU320)*100,999),IFERROR(N(EJ320)*(_xlpm.rho*_xlpm.L_/_xlpm.sz*N(CE320)+_xlpm.xx*_xlpm.L_*N(EK320)/1000)*N(O320)/((Uн_лин/SQRT(3))*1000)*100,999)),_xlpm.kz,IF(OR(_xlpm.dcx,DW320=1,NOT(ISNUMBER(EG320)),_xlpm.L_=0,_xlpm.inn=0),1,IFERROR(--(c_min*(Uн_лин*1000/SQRT(3))/(EG320+2*ρкз_Cu*_xlpm.L_/_xlpm.sz)&gt;=HT320*_xlpm.inn),0)),_xlpm.ok,IFERROR((_xlpm.sz&gt;=_xlpm.smin)*(_xlpm.t_&gt;=_xlpm.inn)*IF(_xlpm.L_&gt;0,(_xlpm.du_+IF(_xlpm.dcx,0,EF320)&lt;=EL320+0.00001),1)*_xlpm.kz,0),_xlpm.r_,_xlfn._xlws.FILTER(_xlpm.sz,_xlpm.ok,"не подобрано"),INDEX(_xlpm.r_,1)))</f>
        <v>2.5</v>
      </c>
      <c r="EN320">
        <f t="shared" si="605"/>
        <v>2.5</v>
      </c>
      <c r="EO320" cm="1">
        <f t="array" ref="EO320">IF(OR(B320="",BZ320="",EC320&lt;&gt;1),"",_xlfn.LET(_xlpm.sz,Iдоп_S,_xlpm.t_,CHOOSE(EB320,Iдоп_1ж,Iдоп_2ж,Iдоп_3ж)*DZ320*EA320,_xlpm.ok,IFERROR((_xlpm.sz&gt;=MAX(1.5,CC320))*(_xlpm.t_&gt;=N(DT320)),0),_xlpm.r_,_xlfn._xlws.FILTER(_xlpm.sz,_xlpm.ok,""),INDEX(_xlpm.r_,1)))</f>
        <v>1.5</v>
      </c>
      <c r="EP320" s="6" cm="1">
        <f t="array" ref="EP320">IFERROR(ROUNDUP(N(EJ320)*(_xlfn.XLOOKUP(EO320,INDEX(Кабель_сопротивление,0,1),INDEX(Кабель_сопротивление,0,3))*N(P320)/EO320*N(CE320)+_xlfn.XLOOKUP(EO320,INDEX(Кабель_сопротивление,0,1),INDEX(Кабель_сопротивление,0,2))*N(P320)*N(EK320)/1000)*N(O320)/((Uн_лин/SQRT(3))*1000)*100,2),"")</f>
        <v>0.75</v>
      </c>
      <c r="EQ320">
        <f>IFERROR(2*ρкз_Cu*N(P320)/EO320,"")</f>
        <v>0.77146666666666663</v>
      </c>
      <c r="ER320">
        <f>IFERROR(VLOOKUP(EN320,Кабель_сопротивление,3,FALSE),"")</f>
        <v>2.2499999999999999E-2</v>
      </c>
      <c r="ES320">
        <f>IFERROR(VLOOKUP(EN320,Кабель_сопротивление,2,FALSE),"")</f>
        <v>0.1</v>
      </c>
      <c r="ET320">
        <f t="shared" si="606"/>
        <v>18</v>
      </c>
      <c r="EU320">
        <f t="shared" si="607"/>
        <v>0</v>
      </c>
      <c r="EV320">
        <f t="shared" si="608"/>
        <v>1.0374118311933789</v>
      </c>
      <c r="EW320" s="6">
        <f>IFERROR(ROUNDUP(EV320/IF(BV320=1,BU320,(Uн_лин/SQRT(3))*1000)*100,2),"")</f>
        <v>0.45</v>
      </c>
      <c r="EX320" t="str">
        <f>IFERROR(VLOOKUP(BZ320,Кабель_обозначение,2,FALSE),"")</f>
        <v>ВВГнг(А)-LS</v>
      </c>
      <c r="EY320" t="str">
        <f t="shared" si="609"/>
        <v>ВВГнг(А)-LS (3х2,5)</v>
      </c>
      <c r="EZ320" t="str">
        <f t="shared" si="610"/>
        <v>ВВГнг(А)-LS (3х2,5)
L=22-0,45%</v>
      </c>
      <c r="FA320">
        <f>IFERROR(2*ρкз_Cu*P320/EN320,"")</f>
        <v>0.46288000000000001</v>
      </c>
      <c r="FB320">
        <f t="shared" si="611"/>
        <v>0.154</v>
      </c>
      <c r="FC320" s="6" t="str">
        <f>IFERROR(IF(OR(B320="",BV320=1,NOT(ISNUMBER(EN320)),N(P320)=0),"",_xlfn.XLOOKUP(A320,Щиты[Щит],Щиты[Zпетли на шинах, Ом])+FA320),"")</f>
        <v/>
      </c>
      <c r="FD320" s="6" t="str">
        <f>IF(ISNUMBER(FC320),c_min*(Uн_лин*1000/SQRT(3))/FC320,"")</f>
        <v/>
      </c>
      <c r="FE320" s="6" t="str">
        <f>IFERROR(IF(OR(B320="",NOT(ISNUMBER(EN320))),"",1.05*(Uн_лин*1000/SQRT(3))/(_xlfn.XLOOKUP(A320,Щиты[Щит],Щиты[Zmax на шинах, Ом])+FB320)/1000),"")</f>
        <v/>
      </c>
      <c r="FF320" s="6" t="str">
        <f>IF(B320="","",IF(ISNUMBER(AC320),"Сил",IF(IFERROR(_xlfn.XLOOKUP(BC320,Коды_код,Коды_группа)&amp;"","")="","Быт",_xlfn.XLOOKUP(BC320,Коды_код,Коды_группа)&amp;"")))</f>
        <v>Сил</v>
      </c>
      <c r="FG320" s="6" t="str">
        <f t="shared" si="612"/>
        <v>Сил</v>
      </c>
      <c r="FH320" s="6">
        <f>IF(FG320="Щит","щит",IF(FG320="","",IF(FG320="Быт",IFERROR(_xlfn.XLOOKUP(A320,Щиты[Щит],Щиты[Кс быт]),1),IF(FG320="Сил",IF(ISNUMBER(AC320),AC320,IF(Методика="нормы 2026",IFERROR(_xlfn.XLOOKUP(A320,Щиты[Щит],Щиты[Кс силовых (табл. 7.5)]),1),1)),IF(OR(FG320="Пост",FG320="Отоп"),1,IF(FG320="ВНГ",0.7,0))))))</f>
        <v>0.5</v>
      </c>
      <c r="FI320">
        <f>IF(FG320="","",IF(AND(BP320=1,TRIM(AE320&amp;"")=""),IF(COUNTIFS(Линии[Щит],A320,Линии[Секция (1/2/3)],"&gt;=2")&gt;0,MIN(3,MAX(1,IFERROR(--BD320,1))),1),IFERROR(MIN(3,MAX(1,INT(--AE320))),1)))</f>
        <v>1</v>
      </c>
      <c r="FJ320">
        <f t="shared" si="613"/>
        <v>0.6</v>
      </c>
      <c r="FK320">
        <f t="shared" si="614"/>
        <v>0</v>
      </c>
      <c r="FL320">
        <f t="shared" si="615"/>
        <v>0.3</v>
      </c>
      <c r="FM320">
        <f t="shared" si="616"/>
        <v>0</v>
      </c>
      <c r="FN320">
        <f t="shared" si="617"/>
        <v>0</v>
      </c>
      <c r="FO320">
        <f t="shared" si="618"/>
        <v>0</v>
      </c>
      <c r="FP320">
        <f t="shared" si="619"/>
        <v>0.6</v>
      </c>
      <c r="FQ320">
        <f t="shared" si="620"/>
        <v>0.6</v>
      </c>
      <c r="FR320">
        <f t="shared" si="621"/>
        <v>0.48</v>
      </c>
      <c r="FS320">
        <f>IF(CG320=1,IF(AND(CH320=1,CW320=1),0,IF(AND(CS320&lt;&gt;"",CS320=BA320,CW320=1),SUMIFS(Линии[_Р линии, кВт],Линии[_блок УЗО],BA320,Линии[Щит],A320),N(BS320)+IF(AJ320="вручную",0,N(CK320)))),0)</f>
        <v>0.6</v>
      </c>
      <c r="FT320" t="str">
        <f t="shared" si="622"/>
        <v>L1</v>
      </c>
      <c r="FU320" t="str">
        <f>IF(B320="","",IF(CG320=0,IF(BA320=1,"",FW319),IF(AND(CH320=1,CW320=1,CS320&lt;&gt;""),IFERROR(_xlfn.XLOOKUP(CS320,Линии[_n],Линии[_фаза итог]),"L1"),IF(OR(N(DL320)&gt;=3,N(BX320)&gt;=3),"L1,L2,L3",IFERROR(_xlfn.TEXTBEFORE(_xlfn.TEXTAFTER(_xlfn.XLOOKUP(A320,Щиты[Щит],Щиты[_фазы авто]),";"&amp;BA320&amp;":"),";"),"L1")))))</f>
        <v>L1</v>
      </c>
      <c r="FV320" t="str">
        <f t="shared" si="623"/>
        <v>L1</v>
      </c>
      <c r="FW320" t="str">
        <f t="shared" si="624"/>
        <v>L1</v>
      </c>
      <c r="FX320" cm="1">
        <f t="array" ref="FX320">IFERROR(IF(CD320=2,_xlfn.IFS(BX320=3,VLOOKUP(BS320,Справочная_двигатели,3,FALSE),BX320=1,VLOOKUP(BS320,Справочная_двигатели,5,TRUE)),0),0)</f>
        <v>0</v>
      </c>
      <c r="FY320">
        <f>IFERROR(IF(CD320=3,VLOOKUP(BS320,Справочная_ЛЭД,2,TRUE),0),0)</f>
        <v>0</v>
      </c>
      <c r="FZ320" s="6">
        <f t="shared" si="625"/>
        <v>0</v>
      </c>
      <c r="GA320" t="str">
        <f>IF(B320="","",IF(TRIM(AH320&amp;"")&lt;&gt;"",IF(LOWER(TRIM(AH320&amp;""))="да","да","нет"),IF(IFERROR(_xlfn.XLOOKUP(BC320,Коды_код,Коды_пожарная),"")="да","да","нет")))</f>
        <v>нет</v>
      </c>
      <c r="GB320" t="str">
        <f t="shared" si="626"/>
        <v/>
      </c>
      <c r="GC320" t="str">
        <f t="shared" si="627"/>
        <v>основная</v>
      </c>
      <c r="GD320">
        <f>IF(AND(BP320=1,TRIM(AE320&amp;"")=""),IF(COUNTIFS(Линии[Щит],A320,Линии[Секция (1/2/3)],"&gt;=2")&gt;0,MIN(3,MAX(1,IFERROR(--BD320,1))),1),IFERROR(MIN(3,MAX(1,INT(--AE320))),1))</f>
        <v>1</v>
      </c>
      <c r="GE320" t="str" cm="1">
        <f t="array" ref="GE320">IF(B320="","",_xlfn.LET(_xlpm.t,IFERROR(_xlfn.XLOOKUP(1,(Шины[Шина]=GC320)*(((Шины[Щит]=A320)+(Шины[Щит]=""))&gt;0),Шины[Тип]),"")&amp;"",IF(_xlpm.t&lt;&gt;"",_xlpm.t,IF(ISNUMBER(SEARCH("ИБП",GC320)),"ИБП",IF(ISNUMBER(SEARCH("ДГУ",GC320)),"ДГУ","Ввод "&amp;GD320)))))</f>
        <v>Ввод 1</v>
      </c>
      <c r="GF320" t="str">
        <f t="shared" si="628"/>
        <v>Ввод 1</v>
      </c>
      <c r="GG320" t="str">
        <f>IF(BP320=0,"",IF(TRIM(AG320&amp;"")&lt;&gt;"",TRIM(AG320&amp;""),IF(OR(GE320="ИБП",GE320="ДГУ"),"I особая",_xlfn.XLOOKUP(A320,Щиты[Щит],Щиты[Категория шины «Ввод»],"III"))))</f>
        <v/>
      </c>
      <c r="GH320" t="str">
        <f>IF(A320="","",_xlfn.XLOOKUP(A320,Щиты[Щит],Щиты[Путь],""))</f>
        <v>|ГРЩ-ЖД|ЩС-ВК.001|</v>
      </c>
      <c r="GI320" t="str">
        <f>IF(B320="","",IF(AI320&lt;&gt;"",AI320,IF(IFERROR(_xlfn.XLOOKUP(BC320,Коды_код,Коды_вид)&amp;"","")="","Прочее",_xlfn.XLOOKUP(BC320,Коды_код,Коды_вид)&amp;"")))</f>
        <v>Насосы (водоснабжение, дренаж)</v>
      </c>
      <c r="GJ320">
        <f>IF(BM320="","",INT((BM320-1)/Столбцов_на_лист)+1)</f>
        <v>1</v>
      </c>
      <c r="GK320" t="str">
        <f t="shared" si="629"/>
        <v>ВВГнг(А)-LS (3х2,5) L=22-0,45%</v>
      </c>
      <c r="GL320">
        <f t="shared" si="630"/>
        <v>0.6</v>
      </c>
      <c r="GM320">
        <f t="shared" si="631"/>
        <v>3.25</v>
      </c>
      <c r="GN320">
        <f t="shared" si="632"/>
        <v>1</v>
      </c>
      <c r="GO320">
        <f t="shared" si="633"/>
        <v>0</v>
      </c>
      <c r="GP320">
        <f t="shared" si="634"/>
        <v>1</v>
      </c>
      <c r="GQ320">
        <f>IF(BM320="","",IF(AND(CG320=1,GP320=1),COUNTIFS(A$3:A320,A320,CG$3:CG320,1,GP$3:GP320,1),IF(OR(OR(BA320=1,A320&lt;&gt;A319),AJ320="вручную",GP320=0),"",IF(BA320=1,"",GR319))))</f>
        <v>3</v>
      </c>
      <c r="GR320">
        <f t="shared" si="635"/>
        <v>3</v>
      </c>
      <c r="GS320">
        <f>IF(B320="","",IFERROR(LOOKUP(INDEX(CHOOSE(EB320,Iдоп_1ж,Iдоп_2ж,Iдоп_3ж),MATCH(EN320,Iдоп_S,0))*DZ320*EA320,{6,10,16,20,25,32,40,50,63,80,100,125,160,200,250,315,400,500,630}),""))</f>
        <v>25</v>
      </c>
      <c r="GT320" t="str">
        <f t="shared" si="636"/>
        <v>QF3</v>
      </c>
      <c r="GU320" t="str">
        <f t="shared" si="637"/>
        <v>QF3</v>
      </c>
      <c r="GV320" t="str">
        <f t="shared" si="638"/>
        <v/>
      </c>
      <c r="GW320">
        <f t="shared" si="639"/>
        <v>0</v>
      </c>
      <c r="GX320" t="str">
        <f>IF(OR(B320="",DJ320=""),"",IFERROR(_xlfn.XLOOKUP(DJ320,Модули_умолч[Управление],Модули_умолч[Модель])&amp;"",""))</f>
        <v/>
      </c>
      <c r="GY320">
        <f>IF(DJ320="",1,IFERROR(MAX(0,N(_xlfn.XLOOKUP(DJ320,Модули_умолч[Управление],Модули_умолч[Каналов на линию]))),1))</f>
        <v>1</v>
      </c>
      <c r="GZ320" t="str">
        <f t="shared" si="640"/>
        <v/>
      </c>
      <c r="HA320" t="str">
        <f t="shared" si="641"/>
        <v/>
      </c>
      <c r="HB320" t="str">
        <f t="shared" si="642"/>
        <v/>
      </c>
      <c r="HC320">
        <f>IF(HB320="",0,IFERROR(N(VLOOKUP(HB320,Модули_спр,3,FALSE)),0))</f>
        <v>0</v>
      </c>
      <c r="HD320" t="str">
        <f t="shared" si="643"/>
        <v/>
      </c>
      <c r="HE320" t="str">
        <f t="shared" si="644"/>
        <v/>
      </c>
      <c r="HF320" t="str">
        <f>IF(OR(HE320="",HE320="-"),"",IFERROR(VLOOKUP(HE320,Модули_спр,2,FALSE),"R"))</f>
        <v/>
      </c>
      <c r="HG320" t="str">
        <f>IF(HF320="","",HF320&amp;"."&amp;COUNTIFS(A$3:A320,A320,HF$3:HF320,HF320))</f>
        <v/>
      </c>
      <c r="HH320" t="str">
        <f t="shared" si="645"/>
        <v/>
      </c>
      <c r="HI320" t="str">
        <f t="shared" si="646"/>
        <v/>
      </c>
      <c r="HJ320" t="str">
        <f t="shared" si="647"/>
        <v/>
      </c>
      <c r="HK320" t="str">
        <f t="shared" si="648"/>
        <v/>
      </c>
      <c r="HL320">
        <f t="shared" si="649"/>
        <v>1</v>
      </c>
      <c r="HM320" t="str">
        <f>IF(HL320=1,"XT"&amp;COUNTIFS(A$3:A320,A320,HL$3:HL320,1),"")</f>
        <v>XT3</v>
      </c>
      <c r="HN320" t="str">
        <f t="shared" si="650"/>
        <v>XT3</v>
      </c>
      <c r="HO320" t="str">
        <f t="shared" si="651"/>
        <v>QF3</v>
      </c>
      <c r="HP320" t="str">
        <f t="shared" si="652"/>
        <v/>
      </c>
      <c r="HQ320" t="str">
        <f t="shared" si="653"/>
        <v>ok</v>
      </c>
      <c r="HR320" t="str">
        <f>IF(OR(HJ320="",HH320=""),"",IF(HJ320+MAX(0,GY320-1)&gt;IFERROR(VLOOKUP(HI320,Модули_спр,3,FALSE),99),"ЛИШНИЙ КАНАЛ",IF(AND(AL320&lt;&gt;"=",GY320&gt;0,COUNTIFS(Линии[_модуль гр.],HH320,Линии[Канал (итог)],HJ320,Линии[Канал],"&lt;&gt;=",Линии[Щит],A320)&gt;1),"ДУБЛЬ КАНАЛА","")))</f>
        <v/>
      </c>
      <c r="HS320" s="6" t="str">
        <f t="shared" si="654"/>
        <v/>
      </c>
      <c r="HT320">
        <f t="shared" si="655"/>
        <v>10</v>
      </c>
      <c r="HU320" t="str">
        <f t="shared" si="656"/>
        <v/>
      </c>
      <c r="HV320">
        <f t="shared" si="657"/>
        <v>1.5190381056766578</v>
      </c>
      <c r="HW320">
        <f t="shared" si="658"/>
        <v>0</v>
      </c>
      <c r="HX320">
        <f t="shared" si="659"/>
        <v>0</v>
      </c>
      <c r="HY320">
        <f t="shared" si="660"/>
        <v>0</v>
      </c>
      <c r="HZ320">
        <f t="shared" si="661"/>
        <v>0</v>
      </c>
      <c r="IA320">
        <f t="shared" si="662"/>
        <v>0</v>
      </c>
      <c r="IB320">
        <f t="shared" si="663"/>
        <v>0</v>
      </c>
      <c r="IC320" t="str">
        <f t="shared" si="664"/>
        <v/>
      </c>
      <c r="ID320" t="str" cm="1">
        <f t="array" ref="ID320">IF(IC320="","",_xlfn.LET(_xlpm.tk,_xlfn.TEXTSPLIT(SUBSTITUTE(SUBSTITUTE(IC320,";"," "),"→"," ")," ",,TRUE),_xlpm.w_,_xlfn._xlws.FILTER(_xlpm.tk,ISNUMBER(--LEFT(_xlpm.tk,1))*((ISNUMBER(SEARCH("W",_xlpm.tk))+ISNUMBER(SEARCH("Вт",_xlpm.tk)))&gt;0),""),IFERROR(--SUBSTITUTE(SUBSTITUTE(UPPER(INDEX(_xlpm.w_,1)),"W",""),"ВТ",""),"")))</f>
        <v/>
      </c>
      <c r="IE320" t="str" cm="1">
        <f t="array" ref="IE320">IF(IC320="","",_xlfn.LET(_xlpm.tk,_xlfn.TEXTSPLIT(SUBSTITUTE(SUBSTITUTE(IC320,";"," "),"→"," ")," ",,TRUE),_xlpm.v_,_xlfn._xlws.FILTER(_xlpm.tk,ISNUMBER(--LEFT(_xlpm.tk,1))*((ISNUMBER(SEARCH("V",_xlpm.tk))+(RIGHT(UPPER(_xlpm.tk))="В"))&gt;0),""),IFERROR(--SUBSTITUTE(SUBSTITUTE(UPPER(INDEX(_xlpm.v_,1)),"V",""),"В",""),"")))</f>
        <v/>
      </c>
      <c r="IF320" s="6" t="str">
        <f>IF(OR(BV320=0,HI320="",HJ320=""),"",IFERROR(N(_xlfn.XLOOKUP(HI320,Каталог!$C$4:$C$500,Каталог!$Q$4:$Q$500)),""))</f>
        <v/>
      </c>
      <c r="IG320" s="6" t="str">
        <f>IF(N(IF320)=0,"",SUMIFS(Линии[Iр, А],Линии[Щит],A320,Линии[_модуль гр.],HH320,Линии[Канал (итог)],HJ320))</f>
        <v/>
      </c>
      <c r="IH320" t="str">
        <f>IF(AND(B320="",HO320=""),"",_xlfn.TEXTJOIN("; ",TRUE,IF(AND(B320&lt;&gt;"",FV320=""),"нет фазы",""),IF(AND(B320&lt;&gt;"",N(GL320)=0,FG320&lt;&gt;"Нет"),"нет мощности",""),IF(AND(HN320&lt;&gt;"",COUNTIFS(Линии[Щит],A320,Линии[Клемма (итог)],HN320)&gt;1),"дубль клеммы "&amp;HN320,""),IF(AND(HQ320&lt;&gt;"",HQ320&lt;&gt;"ok"),HQ320,""),IF(HR320&lt;&gt;"",HR320,""),IF(AND(N(CB320)&gt;=4,N(BX320)=1),CB320&amp;" жил на 1 фазе",""),IF(AND(BC320="R",CG320=1,IF(CS320&lt;&gt;"",N(CV320)&gt;30,OR(N(DA320)=0,N(DA320)&gt;30))),"розетка без дифзащиты до 30 мА",""),IF(AND(CG320=1,N(DA320)&gt;0,ISNUMBER(T320)),IF(T320&gt;N(DA320)/3,"ток утечки "&amp;FIXED(T320,1)&amp;" мА &gt; 1/3 уставки ("&amp;DA320&amp;" мА)",""),""),IF(AND(CH320=1,CS320=""),"«узо»: нет строки с УЗО выше (УЗО 2P 40А 30мА в «Аппаратах»)",""),IF(AND(CS320&lt;&gt;"",CS320=BA320),IF(CT320="","впишите номинал УЗО (УЗО 2P 40А 30мА)",IF(N(CT320)&lt;N(DT320),"УЗО "&amp;CT320&amp;" А &lt; автомата "&amp;DT320&amp;" А перед ним",IF(N(CT320)&lt;N(CX320),"УЗО "&amp;CT320&amp;" А &lt; тока блока "&amp;FIXED(CX320,1)&amp;" А",""))),""),IF(AND(CS320&lt;&gt;"",CS320=BA320,ISNUMBER(CY320)),IF(CY320&gt;N(CV320)/3,"ток утечки блока УЗО "&amp;FIXED(CY320,1)&amp;" мА &gt; 1/3 уставки ("&amp;CV320&amp;" мА)",""),""),IF(AND(CG320=1,N(BV320)+N(IB320)&gt;0,IC320=""),"линии до 50 В без БП: впишите в «Аппараты» (БП 24V 480W)",""),IF(AND(CG320=1,ISNUMBER(ID320),ISNUMBER(U320)),IF(U320&gt;ID320,"БП "&amp;ID320&amp;" Вт &lt; нужно "&amp;U320&amp;" Вт (×"&amp;Запас_БП&amp;")",""),""),IF(AND(CG320=1,ISNUMBER(IE320),N(BV320)=1),IF(IE320&lt;&gt;N(BU320),"БП на "&amp;IE320&amp;" В, линия "&amp;BU320&amp;" В",""),""),IF(AND(N(IF320)&gt;0,N(IG320)&gt;N(IF320)),HH320&amp;" канал "&amp;HJ320&amp;": "&amp;FIXED(IG320,1)&amp;" А &gt; "&amp;IF320&amp;" А",""),IFERROR(IF(AND(ISNUMBER(Q320),Q320&gt;EL320),"потери "&amp;FIXED(Q320,1)&amp;" % &gt; "&amp;EL320&amp;" %",""),""),IFERROR(IF(LEFT(HU320,4)="мало","Iкз мало — отключение &gt; 0,4 с",""),""),IF(AND(B320&lt;&gt;"",BM320=""),"не на схеме",""),IF(AND(CG320=0,B320&lt;&gt;"",FV320&lt;&gt;"",IF(BA320=1,"",FW319)&lt;&gt;"",FV320&lt;&gt;IF(BA320=1,"",FW319)),"фаза не как у автомата группы ("&amp;IF(BA320=1,"",FW319)&amp;")","")))</f>
        <v/>
      </c>
      <c r="II320" s="6">
        <f>IF(OR(CG320=0,DQ320=""),"",_xlfn.LET(_xlpm.t,IFERROR(_xlfn.XLOOKUP(DQ320,Каталог!$U$4:$U$500,Каталог!$G$4:$G$500),""),_xlpm.k,SEARCH("кА",_xlpm.t),IFERROR(--TRIM(RIGHT(SUBSTITUTE(MID(_xlpm.t,MAX(1,_xlpm.k-4),_xlpm.k-MAX(1,_xlpm.k-4))," ",REPT(" ",9)),5)),"")))</f>
        <v>6</v>
      </c>
      <c r="IJ320" t="str">
        <f>IF(OR(II320="",CG320=0),"",IF(_xlfn.XLOOKUP(A320,Щиты[Щит],Щиты[Iкз max на шинах, кА],"")="","",IF(II320&lt;_xlfn.XLOOKUP(A320,Щиты[Щит],Щиты[Iкз max на шинах, кА]),"Icu "&amp;II320&amp;" кА &lt; Iкз max","ok")))</f>
        <v/>
      </c>
      <c r="IK320" t="str">
        <f t="shared" si="665"/>
        <v/>
      </c>
      <c r="IL320" t="str">
        <f t="shared" si="666"/>
        <v>QF3|XT3</v>
      </c>
      <c r="IM320" t="str">
        <f t="shared" si="667"/>
        <v>QF3|XT3|кабель ВВГнг(А)-LS (3х2,5) → Насос дренажный, пом. 005Т</v>
      </c>
      <c r="IN320" t="str" cm="1">
        <f t="array" ref="IN320">IF(IM320="","",_xlfn.LET(_xlpm.nd,_xlfn.TEXTSPLIT(IM320,"|"),IF(COLUMNS(_xlpm.nd)&gt;1,A320&amp;"¦"&amp;INDEX(_xlpm.nd,1)&amp;"¦"&amp;INDEX(_xlpm.nd,2),"")))</f>
        <v>ЩС-ВК.001¦QF3¦XT3</v>
      </c>
      <c r="IO320" t="str">
        <f t="shared" si="668"/>
        <v>НВК.00.005Т.4¦Насос дренажный, пом. 005Т</v>
      </c>
      <c r="IP320" t="str" cm="1">
        <f t="array" ref="IP320">IF(IM320="","",_xlfn.LET(_xlpm.nd,_xlfn.TEXTSPLIT(IM320,"|"),IF(COLUMNS(_xlpm.nd)&gt;2,A320&amp;"¦"&amp;INDEX(_xlpm.nd,2)&amp;"¦"&amp;INDEX(_xlpm.nd,3),"")))</f>
        <v>ЩС-ВК.001¦XT3¦кабель ВВГнг(А)-LS (3х2,5) → Насос дренажный, пом. 005Т</v>
      </c>
      <c r="IQ320" t="str">
        <f t="shared" si="669"/>
        <v>НВК.00.005Т.4¦Насос дренажный, пом. 005Т</v>
      </c>
      <c r="IR320" t="str" cm="1">
        <f t="array" ref="IR320">IF(IM320="","",_xlfn.LET(_xlpm.nd,_xlfn.TEXTSPLIT(IM320,"|"),IF(COLUMNS(_xlpm.nd)&gt;3,A320&amp;"¦"&amp;INDEX(_xlpm.nd,3)&amp;"¦"&amp;INDEX(_xlpm.nd,4),"")))</f>
        <v/>
      </c>
      <c r="IS320" t="str">
        <f t="shared" si="670"/>
        <v/>
      </c>
      <c r="IT320" t="str" cm="1">
        <f t="array" ref="IT320">IF(IM320="","",_xlfn.LET(_xlpm.nd,_xlfn.TEXTSPLIT(IM320,"|"),IF(COLUMNS(_xlpm.nd)&gt;4,A320&amp;"¦"&amp;INDEX(_xlpm.nd,4)&amp;"¦"&amp;INDEX(_xlpm.nd,5),"")))</f>
        <v/>
      </c>
      <c r="IU320" t="str">
        <f t="shared" si="671"/>
        <v/>
      </c>
      <c r="IV320" t="str" cm="1">
        <f t="array" ref="IV320">IF(IM320="","",_xlfn.LET(_xlpm.nd,_xlfn.TEXTSPLIT(IM320,"|"),IF(COLUMNS(_xlpm.nd)&gt;5,A320&amp;"¦"&amp;INDEX(_xlpm.nd,5)&amp;"¦"&amp;INDEX(_xlpm.nd,6),"")))</f>
        <v/>
      </c>
      <c r="IW320" t="str">
        <f t="shared" si="672"/>
        <v/>
      </c>
      <c r="IX320" t="str" cm="1">
        <f t="array" ref="IX320">IF(IM320="","",_xlfn.LET(_xlpm.nd,_xlfn.TEXTSPLIT(IM320,"|"),IF(COLUMNS(_xlpm.nd)&gt;6,A320&amp;"¦"&amp;INDEX(_xlpm.nd,6)&amp;"¦"&amp;INDEX(_xlpm.nd,7),"")))</f>
        <v/>
      </c>
      <c r="IY320" t="str">
        <f t="shared" si="673"/>
        <v/>
      </c>
      <c r="IZ320" t="str">
        <f t="shared" si="674"/>
        <v/>
      </c>
      <c r="JA320" t="str">
        <f t="shared" si="675"/>
        <v>QF3 → XT3</v>
      </c>
      <c r="JB320">
        <f t="shared" si="676"/>
        <v>0</v>
      </c>
      <c r="JC320">
        <f t="shared" si="677"/>
        <v>0</v>
      </c>
      <c r="JD320" t="str">
        <f t="shared" si="678"/>
        <v/>
      </c>
      <c r="JE320" t="str">
        <f t="shared" si="679"/>
        <v/>
      </c>
      <c r="JF320" t="str">
        <f t="shared" si="680"/>
        <v/>
      </c>
      <c r="JG320" t="str">
        <f t="shared" si="681"/>
        <v/>
      </c>
      <c r="JH320">
        <f>IF(B320="","",IFERROR(_xlfn.XLOOKUP(B320,Коды_код,Коды_уго),IFERROR(_xlfn.XLOOKUP(BC320,Коды_код,Коды_уго),IFERROR(_xlfn.XLOOKUP(LEFT(BC320,2),Коды_код,Коды_уго),""))))</f>
        <v>0</v>
      </c>
      <c r="JI320" t="str">
        <f>IF(B320="","",IF(OR(JH320="",JH320=0),"BOX",IFERROR(IF(VLOOKUP(JH320,УГО_блоки,3,FALSE)&amp;""&lt;&gt;"",VLOOKUP(JH320,УГО_блоки,3,FALSE),VLOOKUP(JH320,УГО_блоки,2,FALSE)),JH320)))</f>
        <v>BOX</v>
      </c>
      <c r="JJ320">
        <f t="shared" si="682"/>
        <v>1</v>
      </c>
      <c r="JK320" t="str">
        <f>IF(DQ320="","",IF(COUNTIF(DQ$3:DQ320,DQ320)=1,MAX(JK$2:JK319)+1,""))</f>
        <v/>
      </c>
      <c r="JL320" t="str">
        <f>IF(DE320="","",IF(COUNTIF(DE$3:DE320,DE320)+COUNTIF(DF$2:DF319,DE320)+COUNTIF(DG$2:DG319,DE320)=1,MAX(JL$2:JN319)+1,""))</f>
        <v/>
      </c>
      <c r="JM320" t="str">
        <f>IF(DF320="","",IF(COUNTIF(DE$3:DE320,DF320)+COUNTIF(DF$3:DF320,DF320)+COUNTIF(DG$2:DG319,DF320)=1,MAX(JL$2:JN319,JL320)+1,""))</f>
        <v/>
      </c>
      <c r="JN320" t="str">
        <f>IF(DG320="","",IF(COUNTIF(DE$3:DE320,DG320)+COUNTIF(DF$3:DF320,DG320)+COUNTIF(DG$3:DG320,DG320)=1,MAX(JL$2:JN319,JL320,JM320)+1,""))</f>
        <v/>
      </c>
      <c r="JO320" t="str">
        <f t="shared" si="683"/>
        <v>3х2,5</v>
      </c>
      <c r="JP320" t="str">
        <f>IF(JO320="","",IF(COUNTIF(JO$3:JO320,JO320)=1,MAX(JP$2:JP319)+1,""))</f>
        <v/>
      </c>
      <c r="JQ320" t="str">
        <f>IF(HG320="","",COUNTIF(HG$3:HG320,"?*"))</f>
        <v/>
      </c>
      <c r="JR320" t="str">
        <f>IF(OR(HG320="",HI320=""),"",IF(COUNTIFS(HG$3:HG320,"?*",HI$3:HI320,HI320)=1,MAX(JR$2:JR319)+1,""))</f>
        <v/>
      </c>
      <c r="JS320">
        <f t="shared" si="684"/>
        <v>0</v>
      </c>
      <c r="JT320">
        <f>IF(B320="","",COUNTIF(B$3:B320,"?*"))</f>
        <v>318</v>
      </c>
      <c r="JU320">
        <f>IF(HL320&lt;&gt;1,0,_xlfn.LET(_xlpm.k,MAX(IFERROR(--_xlfn.XLOOKUP(B320,Коды_код,Коды_3L),0),IFERROR(--_xlfn.XLOOKUP(BC320,Коды_код,Коды_3L),0),IFERROR(--_xlfn.XLOOKUP(LEFT(BC320,2),Коды_код,Коды_3L),0)),IF(_xlpm.k&gt;0,_xlpm.k,IF(IFERROR(--LEFT(SUBSTITUTE(JO320,"x","х"),FIND("х",SUBSTITUTE(JO320,"x","х"))-1),3)&gt;3,Каталог!$S$9,1))))</f>
        <v>1</v>
      </c>
      <c r="JV320">
        <f t="shared" si="685"/>
        <v>0</v>
      </c>
      <c r="JW320" t="str">
        <f t="shared" si="686"/>
        <v>авто</v>
      </c>
      <c r="JX320" t="str">
        <f t="shared" si="687"/>
        <v/>
      </c>
      <c r="JY320">
        <f t="shared" si="688"/>
        <v>0</v>
      </c>
      <c r="JZ320">
        <f t="shared" si="689"/>
        <v>1</v>
      </c>
    </row>
    <row r="321" spans="1:286" x14ac:dyDescent="0.3">
      <c r="A321" t="s">
        <v>763</v>
      </c>
      <c r="B321" t="s">
        <v>1624</v>
      </c>
      <c r="C321" t="str">
        <f>Линии[[#This Row],[_авто наименование]]</f>
        <v>Насос дренажный, пом. 005Т</v>
      </c>
      <c r="D321">
        <v>1</v>
      </c>
      <c r="E321">
        <v>0.6</v>
      </c>
      <c r="G321">
        <v>16</v>
      </c>
      <c r="H321" t="str">
        <f>Линии[[#This Row],[_авто управление]]</f>
        <v/>
      </c>
      <c r="I321" t="str">
        <f>Линии[[#This Row],[_авто аппараты]]</f>
        <v/>
      </c>
      <c r="J321">
        <v>2.5</v>
      </c>
      <c r="K321">
        <v>19</v>
      </c>
      <c r="L321">
        <v>1</v>
      </c>
      <c r="M321" t="str">
        <f>Линии[[#This Row],[_авто клемма]]</f>
        <v>XT4</v>
      </c>
      <c r="N321" t="str">
        <f t="shared" si="552"/>
        <v/>
      </c>
      <c r="O321" s="6" cm="1">
        <f t="array" ref="O321">IF(B321="","",IF(BH321&lt;&gt;"",IFERROR(_xlfn.XLOOKUP(BH321,Щиты[Щит],Щиты[Iр, А]),""),IF(BP321=1,IF(OR(N(_xlfn.XLOOKUP(A321,Щиты[Щит],Щиты[Вводов],1))&lt;=1,LOWER(TRIM(_xlfn.XLOOKUP(A321,Щиты[Щит],Щиты[АВР],"")&amp;""))="да"),IFERROR(_xlfn.XLOOKUP(A321,Щиты[Щит],Щиты[Iр, А]),""),IFERROR(N(BS321)*_xlfn.XLOOKUP(A321,Щиты[Щит],Щиты[Кс итог])/(SQRT(3)*Uн_лин*_xlfn.XLOOKUP(A321,Щиты[Щит],Щиты[cos φ])),"")),IF(BV321=1,IFERROR(BS321*1000/BU321,""),IFERROR(_xlfn.IFS(BX321=1,BS321/((Uн_лин/SQRT(3))*CE321),BX321=3,BS321/(SQRT(3)*Uн_лин*CE321)),"")))))</f>
        <v>3.2475952641916441</v>
      </c>
      <c r="P321" s="7">
        <f>IF(B321="","",IFERROR(IF(VLOOKUP(BC321,Потребители_обозначение,4,FALSE)=1,VLOOKUP(BC321,Потребители_обозначение,3,FALSE)*(MAX(1,N(D321))*2-1)+EI321+VLOOKUP(BE321,Этаж_обозначение,3,FALSE)+VLOOKUP(BE321,Этаж_обозначение,4,FALSE),VLOOKUP(BC321,Потребители_обозначение,3,FALSE)*(MAX(1,N(D321))*2-1)+EI321),EI321))</f>
        <v>22</v>
      </c>
      <c r="Q321" s="6">
        <f t="shared" si="553"/>
        <v>2.57</v>
      </c>
      <c r="R321" t="str">
        <f t="shared" si="554"/>
        <v>ВВГнг(А)-LS (3х2,5)</v>
      </c>
      <c r="S321" t="str">
        <f>IF(BM321="","",IF(BN321="вводной узел","узел ","")&amp;"л."&amp;(INT((BM321-1)/Столбцов_на_лист)+1)&amp;" / "&amp;(MOD(BM321-1,Столбцов_на_лист)+1))</f>
        <v>л.1 / 13</v>
      </c>
      <c r="T321" s="119">
        <f t="shared" si="555"/>
        <v>1.5</v>
      </c>
      <c r="U321" s="7" t="str">
        <f>IF(OR(CG321=0,N(BV321)+N(IB321)=0),"",ROUNDUP(Запас_БП*(N(HY321)+N(HZ321)),0))</f>
        <v/>
      </c>
      <c r="V321" s="119" t="str">
        <f t="shared" si="556"/>
        <v/>
      </c>
      <c r="W321" s="7" t="str">
        <f>IFERROR(IF(OR(B321="",BP321=1,BV321=1,NOT(ISNUMBER(EN321)),N(DT321)=0),"",MAX(0,ROUNDDOWN((c_min*(Uн_лин*1000/SQRT(3))/(HT321*N(DT321))-_xlfn.XLOOKUP(A321,Щиты[Щит],Щиты[Zпетли на шинах, Ом]))*EN321/(2*ρкз_Cu),0))),"")</f>
        <v/>
      </c>
      <c r="Y321" t="str">
        <f>Линии[[#This Row],[_авто утечка]]</f>
        <v/>
      </c>
      <c r="Z321">
        <v>1</v>
      </c>
      <c r="AA321">
        <v>230</v>
      </c>
      <c r="AB321" t="s">
        <v>598</v>
      </c>
      <c r="AC321">
        <v>0.5</v>
      </c>
      <c r="AG321" t="s">
        <v>850</v>
      </c>
      <c r="AI321" t="s">
        <v>604</v>
      </c>
      <c r="AK321" t="str">
        <f>Линии[[#This Row],[_авто модуль]]</f>
        <v/>
      </c>
      <c r="AM321">
        <v>13</v>
      </c>
      <c r="AN321" t="s">
        <v>11</v>
      </c>
      <c r="AO321">
        <v>3</v>
      </c>
      <c r="AQ321">
        <v>1</v>
      </c>
      <c r="AR321">
        <v>18</v>
      </c>
      <c r="AS321">
        <v>0</v>
      </c>
      <c r="AT321">
        <v>1</v>
      </c>
      <c r="BA321" cm="1">
        <f t="array" ref="BA321">ROW()-ROW(Линии[#Headers])</f>
        <v>319</v>
      </c>
      <c r="BC321" s="6" t="str">
        <f t="shared" si="557"/>
        <v>НВК</v>
      </c>
      <c r="BD321" t="str">
        <f t="shared" si="558"/>
        <v>00.005Т.3</v>
      </c>
      <c r="BE321" t="str">
        <f t="shared" si="559"/>
        <v>00</v>
      </c>
      <c r="BF321" t="str">
        <f t="shared" si="560"/>
        <v>005Т.3</v>
      </c>
      <c r="BG321" t="str">
        <f t="shared" si="561"/>
        <v>005Т</v>
      </c>
      <c r="BH321" t="str">
        <f>IF(X321&lt;&gt;"",X321,IF(AND(B321&lt;&gt;"",B321&lt;&gt;A321,ISNUMBER(_xlfn.XMATCH(B321,Щиты[Щит]))),B321,""))</f>
        <v/>
      </c>
      <c r="BI321" t="str" cm="1">
        <f t="array" ref="BI321">IF(B321="","",IF(BH321&lt;&gt;"","Щит "&amp;BH321,_xlfn.LET(_xlpm.nm,IFERROR(_xlfn.XLOOKUP(BC321,Коды_код,Коды_имя)&amp;"",""),_xlpm.md,IFERROR(N(_xlfn.XLOOKUP(BC321,Коды_код,Коды_режим)),1),_xlpm.ex,IF(Имя_режим="по экспликации",IFERROR(_xlfn.XLOOKUP(BE321&amp;"|"&amp;BG321,Экспликация[Этаж]&amp;"|"&amp;Экспликация[Помещение],Экспликация[Название])&amp;"",""),""),_xlpm.rm,IF(BG321="","",IF(_xlpm.ex&lt;&gt;"",". "&amp;_xlpm.ex&amp;IF(Имя_пом="нет"," ("&amp;BG321&amp;")"," (пом. "&amp;BG321&amp;")"),IF(Имя_пом="нет"," ",", пом. ")&amp;BG321)),IF(_xlpm.nm="","",IF(_xlpm.md=2,_xlpm.nm&amp;" шлейф "&amp;BE321,_xlpm.nm&amp;_xlpm.rm)))))</f>
        <v>Насос дренажный, пом. 005Т</v>
      </c>
      <c r="BJ321" t="str">
        <f t="shared" si="562"/>
        <v>Насос дренажный, пом. 005Т</v>
      </c>
      <c r="BK321">
        <f>IFERROR(_xlfn.XMATCH(A321,Щиты[Щит]),0)</f>
        <v>13</v>
      </c>
      <c r="BL321">
        <f>_xlfn.LET(_xlpm.k,IFERROR(_xlfn.XLOOKUP(A321,Щиты[Щит],Щиты[Мест под вводной узел]),""),IF(_xlpm.k="",Столбцов_на_лист,N(_xlpm.k)))</f>
        <v>9</v>
      </c>
      <c r="BM321">
        <f t="shared" si="563"/>
        <v>13</v>
      </c>
      <c r="BN321" t="str">
        <f t="shared" si="564"/>
        <v>линии</v>
      </c>
      <c r="BO321" s="6">
        <f>IFERROR(N(_xlfn.XLOOKUP(BC321,Коды_код,Коды_квт)),0)</f>
        <v>0</v>
      </c>
      <c r="BP321">
        <f t="shared" si="565"/>
        <v>0</v>
      </c>
      <c r="BQ321" t="str">
        <f>IF(B321="","",IF(BH321&lt;&gt;"",IFERROR(_xlfn.XLOOKUP(BH321,Щиты[Щит],Щиты[Руст, кВт]),0),IF(BP321=1,IF(OR(N(_xlfn.XLOOKUP(A321,Щиты[Щит],Щиты[Вводов],1))&lt;=1,LOWER(TRIM(_xlfn.XLOOKUP(A321,Щиты[Щит],Щиты[АВР],"")&amp;""))="да"),IFERROR(_xlfn.XLOOKUP(A321,Щиты[Щит],Щиты[Руст, кВт]),0),SUMIFS(Линии[_Р для вводов],Линии[Щит],A321,Линии[Источник для режимов],GF321)),IF(BO321&gt;0,ROUND(BO321*MAX(1,N(D321)),3),""))))</f>
        <v/>
      </c>
      <c r="BR321">
        <f t="shared" si="566"/>
        <v>0.6</v>
      </c>
      <c r="BS321" s="6">
        <f>IF(B321="","",IF(BH321&lt;&gt;"",IFERROR(_xlfn.XLOOKUP(BH321,Щиты[Щит],Щиты[Руст, кВт]),0),N(BR321)))</f>
        <v>0.6</v>
      </c>
      <c r="BT321" t="str">
        <f>IF(B321="","",IFERROR(IF(VLOOKUP(BC321,Потребители_обозначение,8,FALSE)=0,"",VLOOKUP(BC321,Потребители_обозначение,8,FALSE)),""))</f>
        <v/>
      </c>
      <c r="BU321">
        <f t="shared" si="567"/>
        <v>230</v>
      </c>
      <c r="BV321">
        <f t="shared" si="568"/>
        <v>0</v>
      </c>
      <c r="BW321">
        <f>IF(B321="","",IF(BH321&lt;&gt;"",3,IFERROR(IF(N(VLOOKUP(BC321,Потребители_обозначение,9,FALSE))=0,1,VLOOKUP(BC321,Потребители_обозначение,9,FALSE)),1)))</f>
        <v>1</v>
      </c>
      <c r="BX321">
        <f t="shared" si="569"/>
        <v>1</v>
      </c>
      <c r="BY321" t="str">
        <f>IF(B321="","",_xlfn.LET(_xlpm.bc,IFERROR(IF(VLOOKUP(BC321,Потребители_обозначение,6,FALSE)=0,"",VLOOKUP(BC321,Потребители_обозначение,6,FALSE)&amp;""),""),IF(AND(GA321="да",OR(_xlpm.bc="",_xlpm.bc="мс")),Марка_пож,IF(AND(_xlpm.bc="",BH321&lt;&gt;""),"мс",_xlpm.bc))))</f>
        <v/>
      </c>
      <c r="BZ321" t="str">
        <f t="shared" si="570"/>
        <v>мс</v>
      </c>
      <c r="CA321">
        <f>IF(B321="","",_xlfn.LET(_xlpm.cc,IFERROR(N(VLOOKUP(BC321,Потребители_обозначение,7,FALSE)),0),IF(_xlpm.cc&gt;0,_xlpm.cc,IF(BZ321="","",IF(BV321=1,2,IF(N(BX321)=3,5,3))))))</f>
        <v>3</v>
      </c>
      <c r="CB321">
        <f t="shared" si="571"/>
        <v>3</v>
      </c>
      <c r="CC321">
        <f>IFERROR(N(VLOOKUP(BC321,Потребители_обозначение,10,FALSE)),0)</f>
        <v>0</v>
      </c>
      <c r="CD321">
        <f>IFERROR(VLOOKUP(BC321,Потребители_обозначение,5,FALSE),0)</f>
        <v>1</v>
      </c>
      <c r="CE321" s="6" cm="1">
        <f t="array" ref="CE321">IF(B321="","",IF(BH321&lt;&gt;"",IFERROR(_xlfn.XLOOKUP(BH321,Щиты[Щит],Щиты[cos φ]),0.95),IF(BP321=1,IFERROR(_xlfn.XLOOKUP(A321,Щиты[Щит],Щиты[cos φ]),0.95),IF(ISNUMBER(AD321),AD321,IFERROR(IF(CD321=2,_xlfn.IFS(BX321=3,VLOOKUP(BS321,Справочная_двигатели,8,FALSE),BX321=1,VLOOKUP(BS321,Справочная_двигатели,10,TRUE)),IF(AND(Методика="нормы 2026",FG321="Сил"),0.8,0.95)),0.95)))))</f>
        <v>0.8</v>
      </c>
      <c r="CF321">
        <f t="shared" si="572"/>
        <v>0</v>
      </c>
      <c r="CG321">
        <f t="shared" si="573"/>
        <v>1</v>
      </c>
      <c r="CH321">
        <f t="shared" si="574"/>
        <v>0</v>
      </c>
      <c r="CI321">
        <f>IF(B321="","",IF(BV321=1,IFERROR(BS321/((Uн_лин/SQRT(3))*MAX(0.5,N(CE321))),0),N(O321)))</f>
        <v>3.2475952641916441</v>
      </c>
      <c r="CJ321">
        <f t="shared" si="575"/>
        <v>0</v>
      </c>
      <c r="CK321">
        <f t="shared" si="576"/>
        <v>0</v>
      </c>
      <c r="CL321">
        <f t="shared" si="577"/>
        <v>0</v>
      </c>
      <c r="CM321">
        <f t="shared" si="578"/>
        <v>0</v>
      </c>
      <c r="CN321">
        <f t="shared" si="579"/>
        <v>0</v>
      </c>
      <c r="CO321">
        <f>IF(BC321="",0,_xlfn.LET(_xlpm.v,IFERROR(_xlfn.XLOOKUP(B321,Коды_код,Коды_мА),IFERROR(_xlfn.XLOOKUP(BC321,Коды_код,Коды_мА),IFERROR(_xlfn.XLOOKUP(LEFT(BC321,2),Коды_код,Коды_мА),""))),IF(_xlpm.v="да",30,IF(ISNUMBER(_xlpm.v),_xlpm.v,0))))</f>
        <v>0</v>
      </c>
      <c r="CP321" t="str">
        <f t="shared" si="580"/>
        <v/>
      </c>
      <c r="CQ321" t="str">
        <f>_xlfn.LET(_xlpm.k,IFERROR(_xlfn.XLOOKUP(BC321,Коды_код,Коды_утечка)&amp;"",""),IF(_xlpm.k="","дифавтомат",_xlpm.k))</f>
        <v>дифавтомат</v>
      </c>
      <c r="CR321" t="str" cm="1">
        <f t="array" ref="CR321">IF(CG321=0,"",_xlfn.LET(_xlpm.sg,TRIM(_xlfn.TEXTSPLIT(DD321&amp;"",";")),_xlpm.f_,_xlfn._xlws.FILTER(_xlpm.sg,LEFT(_xlpm.sg,3)="УЗО",""),IFERROR(INDEX(_xlpm.f_,1)&amp;"","")))</f>
        <v/>
      </c>
      <c r="CS321" t="str">
        <f t="shared" si="581"/>
        <v/>
      </c>
      <c r="CT321" s="6" t="str" cm="1">
        <f t="array" ref="CT321">IF(CR321="","",_xlfn.LET(_xlpm.tk,_xlfn.TEXTSPLIT(UPPER(CR321)," ",,TRUE),_xlpm.a_,_xlfn._xlws.FILTER(_xlpm.tk,ISNUMBER(--LEFT(_xlpm.tk,1))*((ISNUMBER(SEARCH("А",_xlpm.tk))+ISNUMBER(SEARCH("A",_xlpm.tk)))&gt;0)*NOT(ISNUMBER(SEARCH("МА",_xlpm.tk)))*NOT(ISNUMBER(SEARCH("MA",_xlpm.tk))),""),IFERROR(--SUBSTITUTE(SUBSTITUTE(INDEX(_xlpm.a_,1),"А",""),"A",""),"")))</f>
        <v/>
      </c>
      <c r="CU321" t="str" cm="1">
        <f t="array" ref="CU321">IF(CR321="","",_xlfn.LET(_xlpm.tk,_xlfn.TEXTSPLIT(UPPER(CR321)," ",,TRUE),_xlpm.a_,_xlfn._xlws.FILTER(_xlpm.tk,ISNUMBER(--LEFT(_xlpm.tk,1))*((ISNUMBER(SEARCH("МА",_xlpm.tk))+ISNUMBER(SEARCH("MA",_xlpm.tk)))&gt;0),""),IFERROR(--SUBSTITUTE(SUBSTITUTE(INDEX(_xlpm.a_,1),"МА",""),"MA",""),30)))</f>
        <v/>
      </c>
      <c r="CV321" t="str">
        <f>IF(CS321="","",IFERROR(_xlfn.XLOOKUP(CS321,Линии[_n],Линии[_УЗО, мА]),30))</f>
        <v/>
      </c>
      <c r="CW321">
        <f>IF(CS321="",0,IF(ISNUMBER(SEARCH("4P",IFERROR(_xlfn.XLOOKUP(CS321,Линии[_n],Линии[_УЗО строки])&amp;"",""))),0,1))</f>
        <v>0</v>
      </c>
      <c r="CX321" t="str">
        <f>IF(AND(CS321&lt;&gt;"",CS321=BA321),SUMIFS(Линии[_ток на 230 В],Линии[_блок УЗО],BA321,Линии[Щит],A321),"")</f>
        <v/>
      </c>
      <c r="CY321" t="str">
        <f>IF(AND(CS321&lt;&gt;"",CS321=BA321),SUMIFS(Линии[_ток утечки линии, мА],Линии[_блок УЗО],BA321,Линии[Щит],A321),"")</f>
        <v/>
      </c>
      <c r="CZ321">
        <f t="shared" si="582"/>
        <v>0</v>
      </c>
      <c r="DA321">
        <f t="shared" si="583"/>
        <v>0</v>
      </c>
      <c r="DB321">
        <f>IF(B321="",0,IFERROR(--_xlfn.XLOOKUP(B321,Коды_код,Коды_минавт),IFERROR(--_xlfn.XLOOKUP(BC321,Коды_код,Коды_минавт),IFERROR(--_xlfn.XLOOKUP(LEFT(BC321,2),Коды_код,Коды_минавт),0))))</f>
        <v>0</v>
      </c>
      <c r="DC321" t="str">
        <f>IF(B321="","",IFERROR(_xlfn.XLOOKUP(BC321,Коды_код,Коды_апп)&amp;"",""))</f>
        <v/>
      </c>
      <c r="DD321" t="str">
        <f t="shared" si="584"/>
        <v/>
      </c>
      <c r="DE321" t="str" cm="1">
        <f t="array" ref="DE321">IF(TRIM(DD321&amp;"")="","",IFERROR(TRIM(INDEX(_xlfn.TEXTSPLIT(DD321&amp;";;;",";"),1)),""))</f>
        <v/>
      </c>
      <c r="DF321" t="str" cm="1">
        <f t="array" ref="DF321">IF(TRIM(DD321&amp;"")="","",IFERROR(TRIM(INDEX(_xlfn.TEXTSPLIT(DD321&amp;";;;",";"),2)),""))</f>
        <v/>
      </c>
      <c r="DG321" t="str" cm="1">
        <f t="array" ref="DG321">IF(TRIM(DD321&amp;"")="","",IFERROR(TRIM(INDEX(_xlfn.TEXTSPLIT(DD321&amp;";;;",";"),3)),""))</f>
        <v/>
      </c>
      <c r="DH321">
        <f t="shared" si="585"/>
        <v>0</v>
      </c>
      <c r="DI321" t="str">
        <f>IF(B321="","",_xlfn.LET(_xlpm.t,LOWER(AZ321&amp;""),IF(ISNUMBER(SEARCH("dim",_xlpm.t)),"DIM",IF(ISNUMBER(SEARCH("dali",_xlpm.t)),"DALI",IF(OR(ISNUMBER(SEARCH("relay",_xlpm.t)),ISNUMBER(SEARCH("реле",_xlpm.t))),"Relay",IF(ISNUMBER(SEARCH("кнопк",_xlpm.t)),"",IFERROR(_xlfn.XLOOKUP(BC321,Коды_код,Коды_упр)&amp;"","")))))))</f>
        <v/>
      </c>
      <c r="DJ321" t="str">
        <f t="shared" si="586"/>
        <v/>
      </c>
      <c r="DK321">
        <f>IF(B321="","",_xlfn.LET(_xlpm.ig,IF(N(CX321)&gt;0,N(CX321),N(CI321)+IF(AJ321="вручную",0,N(CJ321))),_xlpm.n0,IFERROR(VLOOKUP(_xlpm.ig,Автомат_номиналы,2,TRUE),0),_xlpm.mn,MAX(DB321,IF(AJ321="вручную",0,N(CM321))),MAX(_xlpm.n0,_xlpm.mn,IF(DH321=1,Мин_автомат_БП,0))))</f>
        <v>6</v>
      </c>
      <c r="DL321">
        <f t="shared" si="587"/>
        <v>1</v>
      </c>
      <c r="DM321" t="str">
        <f t="shared" si="588"/>
        <v>1P</v>
      </c>
      <c r="DN321" t="str">
        <f>_xlfn.LET(_xlpm.cc,UPPER(TRIM(IFERROR(_xlfn.XLOOKUP(BC321,Коды_код,Коды_хар)&amp;"",""))),IF(OR(_xlpm.cc="B",_xlpm.cc="В"),"B",IF(_xlpm.cc="D","D","С")))</f>
        <v>С</v>
      </c>
      <c r="DO321" t="str">
        <f t="shared" si="589"/>
        <v>1P С6А</v>
      </c>
      <c r="DP321">
        <f t="shared" si="590"/>
        <v>16</v>
      </c>
      <c r="DQ321" t="str">
        <f t="shared" si="591"/>
        <v>1P С16А</v>
      </c>
      <c r="DR321" cm="1">
        <f t="array" ref="DR321">IF(DQ321="","",_xlfn.LET(_xlpm.t,SUBSTITUTE(SUBSTITUTE(SUBSTITUTE(UPPER(DQ321),"С","C"),"А","A"),"В","B"),_xlpm.tk,_xlfn.TEXTSPLIT(_xlpm.t," "),_xlpm.f,_xlfn._xlws.FILTER(_xlpm.tk,ISNUMBER(--MID(_xlpm.tk,2,1))*ISNUMBER(SEARCH(LEFT(_xlpm.tk,1)&amp;"#","B#C#D#"))*(LEN(_xlpm.tk)&gt;1),""),_xlpm.x,INDEX(_xlpm.f,1),IFERROR(--SUBSTITUTE(MID(_xlpm.x,2,9),"A",""),IFERROR(--SUBSTITUTE(INDEX(_xlfn._xlws.FILTER(_xlpm.tk,ISNUMBER(--SUBSTITUTE(_xlpm.tk,"A","")),""),1),"A",""),""))))</f>
        <v>16</v>
      </c>
      <c r="DS321" t="str">
        <f t="shared" si="592"/>
        <v>ok</v>
      </c>
      <c r="DT321">
        <f t="shared" si="593"/>
        <v>16</v>
      </c>
      <c r="DU321" t="str">
        <f t="shared" si="594"/>
        <v>1P С16А</v>
      </c>
      <c r="DV321">
        <f t="shared" si="595"/>
        <v>0</v>
      </c>
      <c r="DW321">
        <f t="shared" si="596"/>
        <v>0</v>
      </c>
      <c r="DX321">
        <f t="shared" si="597"/>
        <v>0</v>
      </c>
      <c r="DY321">
        <f t="shared" si="598"/>
        <v>3.2475952641916441</v>
      </c>
      <c r="DZ321">
        <f t="shared" si="599"/>
        <v>1</v>
      </c>
      <c r="EA321">
        <f>IF(ISNUMBER(AP321),AP321,К_прокл)</f>
        <v>1</v>
      </c>
      <c r="EB321">
        <f t="shared" si="600"/>
        <v>2</v>
      </c>
      <c r="EC321">
        <f>IFERROR(N(VLOOKUP(BZ321,Кабель_обозначение,3,FALSE)),1)</f>
        <v>1</v>
      </c>
      <c r="ED321">
        <f>IFERROR(N(_xlfn.XLOOKUP(A321,Щиты[Щит],Щиты[ΔU до шин, %])),0)</f>
        <v>2.1199999999999997</v>
      </c>
      <c r="EE321" t="str">
        <f>IFERROR(_xlfn.XLOOKUP(A321,Щиты[Щит],Щиты[Zпетли на шинах, Ом]),"")</f>
        <v/>
      </c>
      <c r="EF321">
        <f>IFERROR(N(_xlfn.XLOOKUP(A321,Щиты[Щит],Щиты[ΔU до шин (подбор), %])),0)</f>
        <v>3.3699999999999997</v>
      </c>
      <c r="EG321" t="str">
        <f>IFERROR(_xlfn.XLOOKUP(A321,Щиты[Щит],Щиты[Zпетли на шинах (подбор), Ом]),"")</f>
        <v/>
      </c>
      <c r="EH321" t="str">
        <f t="shared" si="601"/>
        <v/>
      </c>
      <c r="EI321">
        <f t="shared" si="602"/>
        <v>19</v>
      </c>
      <c r="EJ321">
        <f t="shared" si="603"/>
        <v>2</v>
      </c>
      <c r="EK321">
        <f t="shared" si="604"/>
        <v>0.6</v>
      </c>
      <c r="EL321" s="6">
        <f>IF(B321="","",IF(BV321=1,dU_LED,IF(IFERROR(_xlfn.XLOOKUP(BC321,Коды_код,Коды_уго),"")="Светильник",3,4)+IF(Методика="нормы 2026",MIN(0.5,MAX(0,N(P321)-100)*0.005),0)))</f>
        <v>4</v>
      </c>
      <c r="EM321" cm="1">
        <f t="array" ref="EM321">IF(OR(B321="",BZ321="",EC321&lt;&gt;1),"",_xlfn.LET(_xlpm.sz,Iдоп_S,_xlpm.t_,CHOOSE(EB321,Iдоп_1ж,Iдоп_2ж,Iдоп_3ж)*DZ321*EA321,_xlpm.dcx,BV321=1,_xlpm.inn,IF(_xlpm.dcx,N(O321),N(DT321)),_xlpm.smin,MAX(1.5,CC321),_xlpm.L_,N(P321)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321)/N(BU321)*100,999),IFERROR(N(EJ321)*(_xlpm.rho*_xlpm.L_/_xlpm.sz*N(CE321)+_xlpm.xx*_xlpm.L_*N(EK321)/1000)*N(O321)/((Uн_лин/SQRT(3))*1000)*100,999)),_xlpm.kz,IF(OR(_xlpm.dcx,DW321=1,NOT(ISNUMBER(EG321)),_xlpm.L_=0,_xlpm.inn=0),1,IFERROR(--(c_min*(Uн_лин*1000/SQRT(3))/(EG321+2*ρкз_Cu*_xlpm.L_/_xlpm.sz)&gt;=HT321*_xlpm.inn),0)),_xlpm.ok,IFERROR((_xlpm.sz&gt;=_xlpm.smin)*(_xlpm.t_&gt;=_xlpm.inn)*IF(_xlpm.L_&gt;0,(_xlpm.du_+IF(_xlpm.dcx,0,EF321)&lt;=EL321+0.00001),1)*_xlpm.kz,0),_xlpm.r_,_xlfn._xlws.FILTER(_xlpm.sz,_xlpm.ok,"не подобрано"),INDEX(_xlpm.r_,1)))</f>
        <v>2.5</v>
      </c>
      <c r="EN321">
        <f t="shared" si="605"/>
        <v>2.5</v>
      </c>
      <c r="EO321" cm="1">
        <f t="array" ref="EO321">IF(OR(B321="",BZ321="",EC321&lt;&gt;1),"",_xlfn.LET(_xlpm.sz,Iдоп_S,_xlpm.t_,CHOOSE(EB321,Iдоп_1ж,Iдоп_2ж,Iдоп_3ж)*DZ321*EA321,_xlpm.ok,IFERROR((_xlpm.sz&gt;=MAX(1.5,CC321))*(_xlpm.t_&gt;=N(DT321)),0),_xlpm.r_,_xlfn._xlws.FILTER(_xlpm.sz,_xlpm.ok,""),INDEX(_xlpm.r_,1)))</f>
        <v>1.5</v>
      </c>
      <c r="EP321" s="6" cm="1">
        <f t="array" ref="EP321">IFERROR(ROUNDUP(N(EJ321)*(_xlfn.XLOOKUP(EO321,INDEX(Кабель_сопротивление,0,1),INDEX(Кабель_сопротивление,0,3))*N(P321)/EO321*N(CE321)+_xlfn.XLOOKUP(EO321,INDEX(Кабель_сопротивление,0,1),INDEX(Кабель_сопротивление,0,2))*N(P321)*N(EK321)/1000)*N(O321)/((Uн_лин/SQRT(3))*1000)*100,2),"")</f>
        <v>0.75</v>
      </c>
      <c r="EQ321">
        <f>IFERROR(2*ρкз_Cu*N(P321)/EO321,"")</f>
        <v>0.77146666666666663</v>
      </c>
      <c r="ER321">
        <f>IFERROR(VLOOKUP(EN321,Кабель_сопротивление,3,FALSE),"")</f>
        <v>2.2499999999999999E-2</v>
      </c>
      <c r="ES321">
        <f>IFERROR(VLOOKUP(EN321,Кабель_сопротивление,2,FALSE),"")</f>
        <v>0.1</v>
      </c>
      <c r="ET321">
        <f t="shared" si="606"/>
        <v>18</v>
      </c>
      <c r="EU321">
        <f t="shared" si="607"/>
        <v>0</v>
      </c>
      <c r="EV321">
        <f t="shared" si="608"/>
        <v>1.0374118311933789</v>
      </c>
      <c r="EW321" s="6">
        <f>IFERROR(ROUNDUP(EV321/IF(BV321=1,BU321,(Uн_лин/SQRT(3))*1000)*100,2),"")</f>
        <v>0.45</v>
      </c>
      <c r="EX321" t="str">
        <f>IFERROR(VLOOKUP(BZ321,Кабель_обозначение,2,FALSE),"")</f>
        <v>ВВГнг(А)-LS</v>
      </c>
      <c r="EY321" t="str">
        <f t="shared" si="609"/>
        <v>ВВГнг(А)-LS (3х2,5)</v>
      </c>
      <c r="EZ321" t="str">
        <f t="shared" si="610"/>
        <v>ВВГнг(А)-LS (3х2,5)
L=22-0,45%</v>
      </c>
      <c r="FA321">
        <f>IFERROR(2*ρкз_Cu*P321/EN321,"")</f>
        <v>0.46288000000000001</v>
      </c>
      <c r="FB321">
        <f t="shared" si="611"/>
        <v>0.154</v>
      </c>
      <c r="FC321" s="6" t="str">
        <f>IFERROR(IF(OR(B321="",BV321=1,NOT(ISNUMBER(EN321)),N(P321)=0),"",_xlfn.XLOOKUP(A321,Щиты[Щит],Щиты[Zпетли на шинах, Ом])+FA321),"")</f>
        <v/>
      </c>
      <c r="FD321" s="6" t="str">
        <f>IF(ISNUMBER(FC321),c_min*(Uн_лин*1000/SQRT(3))/FC321,"")</f>
        <v/>
      </c>
      <c r="FE321" s="6" t="str">
        <f>IFERROR(IF(OR(B321="",NOT(ISNUMBER(EN321))),"",1.05*(Uн_лин*1000/SQRT(3))/(_xlfn.XLOOKUP(A321,Щиты[Щит],Щиты[Zmax на шинах, Ом])+FB321)/1000),"")</f>
        <v/>
      </c>
      <c r="FF321" s="6" t="str">
        <f>IF(B321="","",IF(ISNUMBER(AC321),"Сил",IF(IFERROR(_xlfn.XLOOKUP(BC321,Коды_код,Коды_группа)&amp;"","")="","Быт",_xlfn.XLOOKUP(BC321,Коды_код,Коды_группа)&amp;"")))</f>
        <v>Сил</v>
      </c>
      <c r="FG321" s="6" t="str">
        <f t="shared" si="612"/>
        <v>Сил</v>
      </c>
      <c r="FH321" s="6">
        <f>IF(FG321="Щит","щит",IF(FG321="","",IF(FG321="Быт",IFERROR(_xlfn.XLOOKUP(A321,Щиты[Щит],Щиты[Кс быт]),1),IF(FG321="Сил",IF(ISNUMBER(AC321),AC321,IF(Методика="нормы 2026",IFERROR(_xlfn.XLOOKUP(A321,Щиты[Щит],Щиты[Кс силовых (табл. 7.5)]),1),1)),IF(OR(FG321="Пост",FG321="Отоп"),1,IF(FG321="ВНГ",0.7,0))))))</f>
        <v>0.5</v>
      </c>
      <c r="FI321">
        <f>IF(FG321="","",IF(AND(BP321=1,TRIM(AE321&amp;"")=""),IF(COUNTIFS(Линии[Щит],A321,Линии[Секция (1/2/3)],"&gt;=2")&gt;0,MIN(3,MAX(1,IFERROR(--BD321,1))),1),IFERROR(MIN(3,MAX(1,INT(--AE321))),1)))</f>
        <v>1</v>
      </c>
      <c r="FJ321">
        <f t="shared" si="613"/>
        <v>0.6</v>
      </c>
      <c r="FK321">
        <f t="shared" si="614"/>
        <v>0</v>
      </c>
      <c r="FL321">
        <f t="shared" si="615"/>
        <v>0.3</v>
      </c>
      <c r="FM321">
        <f t="shared" si="616"/>
        <v>0</v>
      </c>
      <c r="FN321">
        <f t="shared" si="617"/>
        <v>0</v>
      </c>
      <c r="FO321">
        <f t="shared" si="618"/>
        <v>0</v>
      </c>
      <c r="FP321">
        <f t="shared" si="619"/>
        <v>0.6</v>
      </c>
      <c r="FQ321">
        <f t="shared" si="620"/>
        <v>0.6</v>
      </c>
      <c r="FR321">
        <f t="shared" si="621"/>
        <v>0.48</v>
      </c>
      <c r="FS321">
        <f>IF(CG321=1,IF(AND(CH321=1,CW321=1),0,IF(AND(CS321&lt;&gt;"",CS321=BA321,CW321=1),SUMIFS(Линии[_Р линии, кВт],Линии[_блок УЗО],BA321,Линии[Щит],A321),N(BS321)+IF(AJ321="вручную",0,N(CK321)))),0)</f>
        <v>0.6</v>
      </c>
      <c r="FT321" t="str">
        <f t="shared" si="622"/>
        <v>L1</v>
      </c>
      <c r="FU321" t="str">
        <f>IF(B321="","",IF(CG321=0,IF(BA321=1,"",FW320),IF(AND(CH321=1,CW321=1,CS321&lt;&gt;""),IFERROR(_xlfn.XLOOKUP(CS321,Линии[_n],Линии[_фаза итог]),"L1"),IF(OR(N(DL321)&gt;=3,N(BX321)&gt;=3),"L1,L2,L3",IFERROR(_xlfn.TEXTBEFORE(_xlfn.TEXTAFTER(_xlfn.XLOOKUP(A321,Щиты[Щит],Щиты[_фазы авто]),";"&amp;BA321&amp;":"),";"),"L1")))))</f>
        <v>L1</v>
      </c>
      <c r="FV321" t="str">
        <f t="shared" si="623"/>
        <v>L1</v>
      </c>
      <c r="FW321" t="str">
        <f t="shared" si="624"/>
        <v>L1</v>
      </c>
      <c r="FX321" cm="1">
        <f t="array" ref="FX321">IFERROR(IF(CD321=2,_xlfn.IFS(BX321=3,VLOOKUP(BS321,Справочная_двигатели,3,FALSE),BX321=1,VLOOKUP(BS321,Справочная_двигатели,5,TRUE)),0),0)</f>
        <v>0</v>
      </c>
      <c r="FY321">
        <f>IFERROR(IF(CD321=3,VLOOKUP(BS321,Справочная_ЛЭД,2,TRUE),0),0)</f>
        <v>0</v>
      </c>
      <c r="FZ321" s="6">
        <f t="shared" si="625"/>
        <v>0</v>
      </c>
      <c r="GA321" t="str">
        <f>IF(B321="","",IF(TRIM(AH321&amp;"")&lt;&gt;"",IF(LOWER(TRIM(AH321&amp;""))="да","да","нет"),IF(IFERROR(_xlfn.XLOOKUP(BC321,Коды_код,Коды_пожарная),"")="да","да","нет")))</f>
        <v>нет</v>
      </c>
      <c r="GB321" t="str">
        <f t="shared" si="626"/>
        <v/>
      </c>
      <c r="GC321" t="str">
        <f t="shared" si="627"/>
        <v>основная</v>
      </c>
      <c r="GD321">
        <f>IF(AND(BP321=1,TRIM(AE321&amp;"")=""),IF(COUNTIFS(Линии[Щит],A321,Линии[Секция (1/2/3)],"&gt;=2")&gt;0,MIN(3,MAX(1,IFERROR(--BD321,1))),1),IFERROR(MIN(3,MAX(1,INT(--AE321))),1))</f>
        <v>1</v>
      </c>
      <c r="GE321" t="str" cm="1">
        <f t="array" ref="GE321">IF(B321="","",_xlfn.LET(_xlpm.t,IFERROR(_xlfn.XLOOKUP(1,(Шины[Шина]=GC321)*(((Шины[Щит]=A321)+(Шины[Щит]=""))&gt;0),Шины[Тип]),"")&amp;"",IF(_xlpm.t&lt;&gt;"",_xlpm.t,IF(ISNUMBER(SEARCH("ИБП",GC321)),"ИБП",IF(ISNUMBER(SEARCH("ДГУ",GC321)),"ДГУ","Ввод "&amp;GD321)))))</f>
        <v>Ввод 1</v>
      </c>
      <c r="GF321" t="str">
        <f t="shared" si="628"/>
        <v>Ввод 1</v>
      </c>
      <c r="GG321" t="str">
        <f>IF(BP321=0,"",IF(TRIM(AG321&amp;"")&lt;&gt;"",TRIM(AG321&amp;""),IF(OR(GE321="ИБП",GE321="ДГУ"),"I особая",_xlfn.XLOOKUP(A321,Щиты[Щит],Щиты[Категория шины «Ввод»],"III"))))</f>
        <v/>
      </c>
      <c r="GH321" t="str">
        <f>IF(A321="","",_xlfn.XLOOKUP(A321,Щиты[Щит],Щиты[Путь],""))</f>
        <v>|ГРЩ-ЖД|ЩС-ВК.001|</v>
      </c>
      <c r="GI321" t="str">
        <f>IF(B321="","",IF(AI321&lt;&gt;"",AI321,IF(IFERROR(_xlfn.XLOOKUP(BC321,Коды_код,Коды_вид)&amp;"","")="","Прочее",_xlfn.XLOOKUP(BC321,Коды_код,Коды_вид)&amp;"")))</f>
        <v>Насосы (водоснабжение, дренаж)</v>
      </c>
      <c r="GJ321">
        <f>IF(BM321="","",INT((BM321-1)/Столбцов_на_лист)+1)</f>
        <v>1</v>
      </c>
      <c r="GK321" t="str">
        <f t="shared" si="629"/>
        <v>ВВГнг(А)-LS (3х2,5) L=22-0,45%</v>
      </c>
      <c r="GL321">
        <f t="shared" si="630"/>
        <v>0.6</v>
      </c>
      <c r="GM321">
        <f t="shared" si="631"/>
        <v>3.25</v>
      </c>
      <c r="GN321">
        <f t="shared" si="632"/>
        <v>1</v>
      </c>
      <c r="GO321">
        <f t="shared" si="633"/>
        <v>0</v>
      </c>
      <c r="GP321">
        <f t="shared" si="634"/>
        <v>1</v>
      </c>
      <c r="GQ321">
        <f>IF(BM321="","",IF(AND(CG321=1,GP321=1),COUNTIFS(A$3:A321,A321,CG$3:CG321,1,GP$3:GP321,1),IF(OR(OR(BA321=1,A321&lt;&gt;A320),AJ321="вручную",GP321=0),"",IF(BA321=1,"",GR320))))</f>
        <v>4</v>
      </c>
      <c r="GR321">
        <f t="shared" si="635"/>
        <v>4</v>
      </c>
      <c r="GS321">
        <f>IF(B321="","",IFERROR(LOOKUP(INDEX(CHOOSE(EB321,Iдоп_1ж,Iдоп_2ж,Iдоп_3ж),MATCH(EN321,Iдоп_S,0))*DZ321*EA321,{6,10,16,20,25,32,40,50,63,80,100,125,160,200,250,315,400,500,630}),""))</f>
        <v>25</v>
      </c>
      <c r="GT321" t="str">
        <f t="shared" si="636"/>
        <v>QF4</v>
      </c>
      <c r="GU321" t="str">
        <f t="shared" si="637"/>
        <v>QF4</v>
      </c>
      <c r="GV321" t="str">
        <f t="shared" si="638"/>
        <v/>
      </c>
      <c r="GW321">
        <f t="shared" si="639"/>
        <v>0</v>
      </c>
      <c r="GX321" t="str">
        <f>IF(OR(B321="",DJ321=""),"",IFERROR(_xlfn.XLOOKUP(DJ321,Модули_умолч[Управление],Модули_умолч[Модель])&amp;"",""))</f>
        <v/>
      </c>
      <c r="GY321">
        <f>IF(DJ321="",1,IFERROR(MAX(0,N(_xlfn.XLOOKUP(DJ321,Модули_умолч[Управление],Модули_умолч[Каналов на линию]))),1))</f>
        <v>1</v>
      </c>
      <c r="GZ321" t="str">
        <f t="shared" si="640"/>
        <v/>
      </c>
      <c r="HA321" t="str">
        <f t="shared" si="641"/>
        <v/>
      </c>
      <c r="HB321" t="str">
        <f t="shared" si="642"/>
        <v/>
      </c>
      <c r="HC321">
        <f>IF(HB321="",0,IFERROR(N(VLOOKUP(HB321,Модули_спр,3,FALSE)),0))</f>
        <v>0</v>
      </c>
      <c r="HD321" t="str">
        <f t="shared" si="643"/>
        <v/>
      </c>
      <c r="HE321" t="str">
        <f t="shared" si="644"/>
        <v/>
      </c>
      <c r="HF321" t="str">
        <f>IF(OR(HE321="",HE321="-"),"",IFERROR(VLOOKUP(HE321,Модули_спр,2,FALSE),"R"))</f>
        <v/>
      </c>
      <c r="HG321" t="str">
        <f>IF(HF321="","",HF321&amp;"."&amp;COUNTIFS(A$3:A321,A321,HF$3:HF321,HF321))</f>
        <v/>
      </c>
      <c r="HH321" t="str">
        <f t="shared" si="645"/>
        <v/>
      </c>
      <c r="HI321" t="str">
        <f t="shared" si="646"/>
        <v/>
      </c>
      <c r="HJ321" t="str">
        <f t="shared" si="647"/>
        <v/>
      </c>
      <c r="HK321" t="str">
        <f t="shared" si="648"/>
        <v/>
      </c>
      <c r="HL321">
        <f t="shared" si="649"/>
        <v>1</v>
      </c>
      <c r="HM321" t="str">
        <f>IF(HL321=1,"XT"&amp;COUNTIFS(A$3:A321,A321,HL$3:HL321,1),"")</f>
        <v>XT4</v>
      </c>
      <c r="HN321" t="str">
        <f t="shared" si="650"/>
        <v>XT4</v>
      </c>
      <c r="HO321" t="str">
        <f t="shared" si="651"/>
        <v>QF4</v>
      </c>
      <c r="HP321" t="str">
        <f t="shared" si="652"/>
        <v/>
      </c>
      <c r="HQ321" t="str">
        <f t="shared" si="653"/>
        <v>ok</v>
      </c>
      <c r="HR321" t="str">
        <f>IF(OR(HJ321="",HH321=""),"",IF(HJ321+MAX(0,GY321-1)&gt;IFERROR(VLOOKUP(HI321,Модули_спр,3,FALSE),99),"ЛИШНИЙ КАНАЛ",IF(AND(AL321&lt;&gt;"=",GY321&gt;0,COUNTIFS(Линии[_модуль гр.],HH321,Линии[Канал (итог)],HJ321,Линии[Канал],"&lt;&gt;=",Линии[Щит],A321)&gt;1),"ДУБЛЬ КАНАЛА","")))</f>
        <v/>
      </c>
      <c r="HS321" s="6" t="str">
        <f t="shared" si="654"/>
        <v/>
      </c>
      <c r="HT321">
        <f t="shared" si="655"/>
        <v>10</v>
      </c>
      <c r="HU321" t="str">
        <f t="shared" si="656"/>
        <v/>
      </c>
      <c r="HV321">
        <f t="shared" si="657"/>
        <v>1.5190381056766578</v>
      </c>
      <c r="HW321">
        <f t="shared" si="658"/>
        <v>0</v>
      </c>
      <c r="HX321">
        <f t="shared" si="659"/>
        <v>0</v>
      </c>
      <c r="HY321">
        <f t="shared" si="660"/>
        <v>0</v>
      </c>
      <c r="HZ321">
        <f t="shared" si="661"/>
        <v>0</v>
      </c>
      <c r="IA321">
        <f t="shared" si="662"/>
        <v>0</v>
      </c>
      <c r="IB321">
        <f t="shared" si="663"/>
        <v>0</v>
      </c>
      <c r="IC321" t="str">
        <f t="shared" si="664"/>
        <v/>
      </c>
      <c r="ID321" t="str" cm="1">
        <f t="array" ref="ID321">IF(IC321="","",_xlfn.LET(_xlpm.tk,_xlfn.TEXTSPLIT(SUBSTITUTE(SUBSTITUTE(IC321,";"," "),"→"," ")," ",,TRUE),_xlpm.w_,_xlfn._xlws.FILTER(_xlpm.tk,ISNUMBER(--LEFT(_xlpm.tk,1))*((ISNUMBER(SEARCH("W",_xlpm.tk))+ISNUMBER(SEARCH("Вт",_xlpm.tk)))&gt;0),""),IFERROR(--SUBSTITUTE(SUBSTITUTE(UPPER(INDEX(_xlpm.w_,1)),"W",""),"ВТ",""),"")))</f>
        <v/>
      </c>
      <c r="IE321" t="str" cm="1">
        <f t="array" ref="IE321">IF(IC321="","",_xlfn.LET(_xlpm.tk,_xlfn.TEXTSPLIT(SUBSTITUTE(SUBSTITUTE(IC321,";"," "),"→"," ")," ",,TRUE),_xlpm.v_,_xlfn._xlws.FILTER(_xlpm.tk,ISNUMBER(--LEFT(_xlpm.tk,1))*((ISNUMBER(SEARCH("V",_xlpm.tk))+(RIGHT(UPPER(_xlpm.tk))="В"))&gt;0),""),IFERROR(--SUBSTITUTE(SUBSTITUTE(UPPER(INDEX(_xlpm.v_,1)),"V",""),"В",""),"")))</f>
        <v/>
      </c>
      <c r="IF321" s="6" t="str">
        <f>IF(OR(BV321=0,HI321="",HJ321=""),"",IFERROR(N(_xlfn.XLOOKUP(HI321,Каталог!$C$4:$C$500,Каталог!$Q$4:$Q$500)),""))</f>
        <v/>
      </c>
      <c r="IG321" s="6" t="str">
        <f>IF(N(IF321)=0,"",SUMIFS(Линии[Iр, А],Линии[Щит],A321,Линии[_модуль гр.],HH321,Линии[Канал (итог)],HJ321))</f>
        <v/>
      </c>
      <c r="IH321" t="str">
        <f>IF(AND(B321="",HO321=""),"",_xlfn.TEXTJOIN("; ",TRUE,IF(AND(B321&lt;&gt;"",FV321=""),"нет фазы",""),IF(AND(B321&lt;&gt;"",N(GL321)=0,FG321&lt;&gt;"Нет"),"нет мощности",""),IF(AND(HN321&lt;&gt;"",COUNTIFS(Линии[Щит],A321,Линии[Клемма (итог)],HN321)&gt;1),"дубль клеммы "&amp;HN321,""),IF(AND(HQ321&lt;&gt;"",HQ321&lt;&gt;"ok"),HQ321,""),IF(HR321&lt;&gt;"",HR321,""),IF(AND(N(CB321)&gt;=4,N(BX321)=1),CB321&amp;" жил на 1 фазе",""),IF(AND(BC321="R",CG321=1,IF(CS321&lt;&gt;"",N(CV321)&gt;30,OR(N(DA321)=0,N(DA321)&gt;30))),"розетка без дифзащиты до 30 мА",""),IF(AND(CG321=1,N(DA321)&gt;0,ISNUMBER(T321)),IF(T321&gt;N(DA321)/3,"ток утечки "&amp;FIXED(T321,1)&amp;" мА &gt; 1/3 уставки ("&amp;DA321&amp;" мА)",""),""),IF(AND(CH321=1,CS321=""),"«узо»: нет строки с УЗО выше (УЗО 2P 40А 30мА в «Аппаратах»)",""),IF(AND(CS321&lt;&gt;"",CS321=BA321),IF(CT321="","впишите номинал УЗО (УЗО 2P 40А 30мА)",IF(N(CT321)&lt;N(DT321),"УЗО "&amp;CT321&amp;" А &lt; автомата "&amp;DT321&amp;" А перед ним",IF(N(CT321)&lt;N(CX321),"УЗО "&amp;CT321&amp;" А &lt; тока блока "&amp;FIXED(CX321,1)&amp;" А",""))),""),IF(AND(CS321&lt;&gt;"",CS321=BA321,ISNUMBER(CY321)),IF(CY321&gt;N(CV321)/3,"ток утечки блока УЗО "&amp;FIXED(CY321,1)&amp;" мА &gt; 1/3 уставки ("&amp;CV321&amp;" мА)",""),""),IF(AND(CG321=1,N(BV321)+N(IB321)&gt;0,IC321=""),"линии до 50 В без БП: впишите в «Аппараты» (БП 24V 480W)",""),IF(AND(CG321=1,ISNUMBER(ID321),ISNUMBER(U321)),IF(U321&gt;ID321,"БП "&amp;ID321&amp;" Вт &lt; нужно "&amp;U321&amp;" Вт (×"&amp;Запас_БП&amp;")",""),""),IF(AND(CG321=1,ISNUMBER(IE321),N(BV321)=1),IF(IE321&lt;&gt;N(BU321),"БП на "&amp;IE321&amp;" В, линия "&amp;BU321&amp;" В",""),""),IF(AND(N(IF321)&gt;0,N(IG321)&gt;N(IF321)),HH321&amp;" канал "&amp;HJ321&amp;": "&amp;FIXED(IG321,1)&amp;" А &gt; "&amp;IF321&amp;" А",""),IFERROR(IF(AND(ISNUMBER(Q321),Q321&gt;EL321),"потери "&amp;FIXED(Q321,1)&amp;" % &gt; "&amp;EL321&amp;" %",""),""),IFERROR(IF(LEFT(HU321,4)="мало","Iкз мало — отключение &gt; 0,4 с",""),""),IF(AND(B321&lt;&gt;"",BM321=""),"не на схеме",""),IF(AND(CG321=0,B321&lt;&gt;"",FV321&lt;&gt;"",IF(BA321=1,"",FW320)&lt;&gt;"",FV321&lt;&gt;IF(BA321=1,"",FW320)),"фаза не как у автомата группы ("&amp;IF(BA321=1,"",FW320)&amp;")","")))</f>
        <v/>
      </c>
      <c r="II321" s="6">
        <f>IF(OR(CG321=0,DQ321=""),"",_xlfn.LET(_xlpm.t,IFERROR(_xlfn.XLOOKUP(DQ321,Каталог!$U$4:$U$500,Каталог!$G$4:$G$500),""),_xlpm.k,SEARCH("кА",_xlpm.t),IFERROR(--TRIM(RIGHT(SUBSTITUTE(MID(_xlpm.t,MAX(1,_xlpm.k-4),_xlpm.k-MAX(1,_xlpm.k-4))," ",REPT(" ",9)),5)),"")))</f>
        <v>6</v>
      </c>
      <c r="IJ321" t="str">
        <f>IF(OR(II321="",CG321=0),"",IF(_xlfn.XLOOKUP(A321,Щиты[Щит],Щиты[Iкз max на шинах, кА],"")="","",IF(II321&lt;_xlfn.XLOOKUP(A321,Щиты[Щит],Щиты[Iкз max на шинах, кА]),"Icu "&amp;II321&amp;" кА &lt; Iкз max","ok")))</f>
        <v/>
      </c>
      <c r="IK321" t="str">
        <f t="shared" si="665"/>
        <v/>
      </c>
      <c r="IL321" t="str">
        <f t="shared" si="666"/>
        <v>QF4|XT4</v>
      </c>
      <c r="IM321" t="str">
        <f t="shared" si="667"/>
        <v>QF4|XT4|кабель ВВГнг(А)-LS (3х2,5) → Насос дренажный, пом. 005Т</v>
      </c>
      <c r="IN321" t="str" cm="1">
        <f t="array" ref="IN321">IF(IM321="","",_xlfn.LET(_xlpm.nd,_xlfn.TEXTSPLIT(IM321,"|"),IF(COLUMNS(_xlpm.nd)&gt;1,A321&amp;"¦"&amp;INDEX(_xlpm.nd,1)&amp;"¦"&amp;INDEX(_xlpm.nd,2),"")))</f>
        <v>ЩС-ВК.001¦QF4¦XT4</v>
      </c>
      <c r="IO321" t="str">
        <f t="shared" si="668"/>
        <v>НВК.00.005Т.3¦Насос дренажный, пом. 005Т</v>
      </c>
      <c r="IP321" t="str" cm="1">
        <f t="array" ref="IP321">IF(IM321="","",_xlfn.LET(_xlpm.nd,_xlfn.TEXTSPLIT(IM321,"|"),IF(COLUMNS(_xlpm.nd)&gt;2,A321&amp;"¦"&amp;INDEX(_xlpm.nd,2)&amp;"¦"&amp;INDEX(_xlpm.nd,3),"")))</f>
        <v>ЩС-ВК.001¦XT4¦кабель ВВГнг(А)-LS (3х2,5) → Насос дренажный, пом. 005Т</v>
      </c>
      <c r="IQ321" t="str">
        <f t="shared" si="669"/>
        <v>НВК.00.005Т.3¦Насос дренажный, пом. 005Т</v>
      </c>
      <c r="IR321" t="str" cm="1">
        <f t="array" ref="IR321">IF(IM321="","",_xlfn.LET(_xlpm.nd,_xlfn.TEXTSPLIT(IM321,"|"),IF(COLUMNS(_xlpm.nd)&gt;3,A321&amp;"¦"&amp;INDEX(_xlpm.nd,3)&amp;"¦"&amp;INDEX(_xlpm.nd,4),"")))</f>
        <v/>
      </c>
      <c r="IS321" t="str">
        <f t="shared" si="670"/>
        <v/>
      </c>
      <c r="IT321" t="str" cm="1">
        <f t="array" ref="IT321">IF(IM321="","",_xlfn.LET(_xlpm.nd,_xlfn.TEXTSPLIT(IM321,"|"),IF(COLUMNS(_xlpm.nd)&gt;4,A321&amp;"¦"&amp;INDEX(_xlpm.nd,4)&amp;"¦"&amp;INDEX(_xlpm.nd,5),"")))</f>
        <v/>
      </c>
      <c r="IU321" t="str">
        <f t="shared" si="671"/>
        <v/>
      </c>
      <c r="IV321" t="str" cm="1">
        <f t="array" ref="IV321">IF(IM321="","",_xlfn.LET(_xlpm.nd,_xlfn.TEXTSPLIT(IM321,"|"),IF(COLUMNS(_xlpm.nd)&gt;5,A321&amp;"¦"&amp;INDEX(_xlpm.nd,5)&amp;"¦"&amp;INDEX(_xlpm.nd,6),"")))</f>
        <v/>
      </c>
      <c r="IW321" t="str">
        <f t="shared" si="672"/>
        <v/>
      </c>
      <c r="IX321" t="str" cm="1">
        <f t="array" ref="IX321">IF(IM321="","",_xlfn.LET(_xlpm.nd,_xlfn.TEXTSPLIT(IM321,"|"),IF(COLUMNS(_xlpm.nd)&gt;6,A321&amp;"¦"&amp;INDEX(_xlpm.nd,6)&amp;"¦"&amp;INDEX(_xlpm.nd,7),"")))</f>
        <v/>
      </c>
      <c r="IY321" t="str">
        <f t="shared" si="673"/>
        <v/>
      </c>
      <c r="IZ321" t="str">
        <f t="shared" si="674"/>
        <v/>
      </c>
      <c r="JA321" t="str">
        <f t="shared" si="675"/>
        <v>QF4 → XT4</v>
      </c>
      <c r="JB321">
        <f t="shared" si="676"/>
        <v>0</v>
      </c>
      <c r="JC321">
        <f t="shared" si="677"/>
        <v>0</v>
      </c>
      <c r="JD321" t="str">
        <f t="shared" si="678"/>
        <v/>
      </c>
      <c r="JE321" t="str">
        <f t="shared" si="679"/>
        <v/>
      </c>
      <c r="JF321" t="str">
        <f t="shared" si="680"/>
        <v/>
      </c>
      <c r="JG321" t="str">
        <f t="shared" si="681"/>
        <v/>
      </c>
      <c r="JH321">
        <f>IF(B321="","",IFERROR(_xlfn.XLOOKUP(B321,Коды_код,Коды_уго),IFERROR(_xlfn.XLOOKUP(BC321,Коды_код,Коды_уго),IFERROR(_xlfn.XLOOKUP(LEFT(BC321,2),Коды_код,Коды_уго),""))))</f>
        <v>0</v>
      </c>
      <c r="JI321" t="str">
        <f>IF(B321="","",IF(OR(JH321="",JH321=0),"BOX",IFERROR(IF(VLOOKUP(JH321,УГО_блоки,3,FALSE)&amp;""&lt;&gt;"",VLOOKUP(JH321,УГО_блоки,3,FALSE),VLOOKUP(JH321,УГО_блоки,2,FALSE)),JH321)))</f>
        <v>BOX</v>
      </c>
      <c r="JJ321">
        <f t="shared" si="682"/>
        <v>1</v>
      </c>
      <c r="JK321" t="str">
        <f>IF(DQ321="","",IF(COUNTIF(DQ$3:DQ321,DQ321)=1,MAX(JK$2:JK320)+1,""))</f>
        <v/>
      </c>
      <c r="JL321" t="str">
        <f>IF(DE321="","",IF(COUNTIF(DE$3:DE321,DE321)+COUNTIF(DF$2:DF320,DE321)+COUNTIF(DG$2:DG320,DE321)=1,MAX(JL$2:JN320)+1,""))</f>
        <v/>
      </c>
      <c r="JM321" t="str">
        <f>IF(DF321="","",IF(COUNTIF(DE$3:DE321,DF321)+COUNTIF(DF$3:DF321,DF321)+COUNTIF(DG$2:DG320,DF321)=1,MAX(JL$2:JN320,JL321)+1,""))</f>
        <v/>
      </c>
      <c r="JN321" t="str">
        <f>IF(DG321="","",IF(COUNTIF(DE$3:DE321,DG321)+COUNTIF(DF$3:DF321,DG321)+COUNTIF(DG$3:DG321,DG321)=1,MAX(JL$2:JN320,JL321,JM321)+1,""))</f>
        <v/>
      </c>
      <c r="JO321" t="str">
        <f t="shared" si="683"/>
        <v>3х2,5</v>
      </c>
      <c r="JP321" t="str">
        <f>IF(JO321="","",IF(COUNTIF(JO$3:JO321,JO321)=1,MAX(JP$2:JP320)+1,""))</f>
        <v/>
      </c>
      <c r="JQ321" t="str">
        <f>IF(HG321="","",COUNTIF(HG$3:HG321,"?*"))</f>
        <v/>
      </c>
      <c r="JR321" t="str">
        <f>IF(OR(HG321="",HI321=""),"",IF(COUNTIFS(HG$3:HG321,"?*",HI$3:HI321,HI321)=1,MAX(JR$2:JR320)+1,""))</f>
        <v/>
      </c>
      <c r="JS321">
        <f t="shared" si="684"/>
        <v>0</v>
      </c>
      <c r="JT321">
        <f>IF(B321="","",COUNTIF(B$3:B321,"?*"))</f>
        <v>319</v>
      </c>
      <c r="JU321">
        <f>IF(HL321&lt;&gt;1,0,_xlfn.LET(_xlpm.k,MAX(IFERROR(--_xlfn.XLOOKUP(B321,Коды_код,Коды_3L),0),IFERROR(--_xlfn.XLOOKUP(BC321,Коды_код,Коды_3L),0),IFERROR(--_xlfn.XLOOKUP(LEFT(BC321,2),Коды_код,Коды_3L),0)),IF(_xlpm.k&gt;0,_xlpm.k,IF(IFERROR(--LEFT(SUBSTITUTE(JO321,"x","х"),FIND("х",SUBSTITUTE(JO321,"x","х"))-1),3)&gt;3,Каталог!$S$9,1))))</f>
        <v>1</v>
      </c>
      <c r="JV321">
        <f t="shared" si="685"/>
        <v>0</v>
      </c>
      <c r="JW321" t="str">
        <f t="shared" si="686"/>
        <v>авто</v>
      </c>
      <c r="JX321" t="str">
        <f t="shared" si="687"/>
        <v/>
      </c>
      <c r="JY321">
        <f t="shared" si="688"/>
        <v>0</v>
      </c>
      <c r="JZ321">
        <f t="shared" si="689"/>
        <v>1</v>
      </c>
    </row>
    <row r="322" spans="1:286" x14ac:dyDescent="0.3">
      <c r="A322" t="s">
        <v>763</v>
      </c>
      <c r="B322" t="s">
        <v>1625</v>
      </c>
      <c r="C322" t="str">
        <f>Линии[[#This Row],[_авто наименование]]</f>
        <v>Насос дренажный, пом. 005Т</v>
      </c>
      <c r="D322">
        <v>1</v>
      </c>
      <c r="E322">
        <v>0.6</v>
      </c>
      <c r="G322">
        <v>16</v>
      </c>
      <c r="H322" t="str">
        <f>Линии[[#This Row],[_авто управление]]</f>
        <v/>
      </c>
      <c r="I322" t="str">
        <f>Линии[[#This Row],[_авто аппараты]]</f>
        <v/>
      </c>
      <c r="J322">
        <v>2.5</v>
      </c>
      <c r="K322">
        <v>11</v>
      </c>
      <c r="L322">
        <v>1</v>
      </c>
      <c r="M322" t="str">
        <f>Линии[[#This Row],[_авто клемма]]</f>
        <v>XT5</v>
      </c>
      <c r="N322" t="str">
        <f t="shared" si="552"/>
        <v/>
      </c>
      <c r="O322" s="6" cm="1">
        <f t="array" ref="O322">IF(B322="","",IF(BH322&lt;&gt;"",IFERROR(_xlfn.XLOOKUP(BH322,Щиты[Щит],Щиты[Iр, А]),""),IF(BP322=1,IF(OR(N(_xlfn.XLOOKUP(A322,Щиты[Щит],Щиты[Вводов],1))&lt;=1,LOWER(TRIM(_xlfn.XLOOKUP(A322,Щиты[Щит],Щиты[АВР],"")&amp;""))="да"),IFERROR(_xlfn.XLOOKUP(A322,Щиты[Щит],Щиты[Iр, А]),""),IFERROR(N(BS322)*_xlfn.XLOOKUP(A322,Щиты[Щит],Щиты[Кс итог])/(SQRT(3)*Uн_лин*_xlfn.XLOOKUP(A322,Щиты[Щит],Щиты[cos φ])),"")),IF(BV322=1,IFERROR(BS322*1000/BU322,""),IFERROR(_xlfn.IFS(BX322=1,BS322/((Uн_лин/SQRT(3))*CE322),BX322=3,BS322/(SQRT(3)*Uн_лин*CE322)),"")))))</f>
        <v>3.2475952641916441</v>
      </c>
      <c r="P322" s="7">
        <f>IF(B322="","",IFERROR(IF(VLOOKUP(BC322,Потребители_обозначение,4,FALSE)=1,VLOOKUP(BC322,Потребители_обозначение,3,FALSE)*(MAX(1,N(D322))*2-1)+EI322+VLOOKUP(BE322,Этаж_обозначение,3,FALSE)+VLOOKUP(BE322,Этаж_обозначение,4,FALSE),VLOOKUP(BC322,Потребители_обозначение,3,FALSE)*(MAX(1,N(D322))*2-1)+EI322),EI322))</f>
        <v>14</v>
      </c>
      <c r="Q322" s="6">
        <f t="shared" si="553"/>
        <v>2.4099999999999997</v>
      </c>
      <c r="R322" t="str">
        <f t="shared" si="554"/>
        <v>ВВГнг(А)-LS (3х2,5)</v>
      </c>
      <c r="S322" t="str">
        <f>IF(BM322="","",IF(BN322="вводной узел","узел ","")&amp;"л."&amp;(INT((BM322-1)/Столбцов_на_лист)+1)&amp;" / "&amp;(MOD(BM322-1,Столбцов_на_лист)+1))</f>
        <v>л.1 / 14</v>
      </c>
      <c r="T322" s="119">
        <f t="shared" si="555"/>
        <v>1.4</v>
      </c>
      <c r="U322" s="7" t="str">
        <f>IF(OR(CG322=0,N(BV322)+N(IB322)=0),"",ROUNDUP(Запас_БП*(N(HY322)+N(HZ322)),0))</f>
        <v/>
      </c>
      <c r="V322" s="119" t="str">
        <f t="shared" si="556"/>
        <v/>
      </c>
      <c r="W322" s="7" t="str">
        <f>IFERROR(IF(OR(B322="",BP322=1,BV322=1,NOT(ISNUMBER(EN322)),N(DT322)=0),"",MAX(0,ROUNDDOWN((c_min*(Uн_лин*1000/SQRT(3))/(HT322*N(DT322))-_xlfn.XLOOKUP(A322,Щиты[Щит],Щиты[Zпетли на шинах, Ом]))*EN322/(2*ρкз_Cu),0))),"")</f>
        <v/>
      </c>
      <c r="Y322" t="str">
        <f>Линии[[#This Row],[_авто утечка]]</f>
        <v/>
      </c>
      <c r="Z322">
        <v>1</v>
      </c>
      <c r="AA322">
        <v>230</v>
      </c>
      <c r="AB322" t="s">
        <v>598</v>
      </c>
      <c r="AC322">
        <v>0.5</v>
      </c>
      <c r="AG322" t="s">
        <v>850</v>
      </c>
      <c r="AI322" t="s">
        <v>604</v>
      </c>
      <c r="AK322" t="str">
        <f>Линии[[#This Row],[_авто модуль]]</f>
        <v/>
      </c>
      <c r="AM322">
        <v>14</v>
      </c>
      <c r="AN322" t="s">
        <v>11</v>
      </c>
      <c r="AO322">
        <v>3</v>
      </c>
      <c r="AQ322">
        <v>1</v>
      </c>
      <c r="AR322">
        <v>10</v>
      </c>
      <c r="AS322">
        <v>0</v>
      </c>
      <c r="AT322">
        <v>1</v>
      </c>
      <c r="BA322" cm="1">
        <f t="array" ref="BA322">ROW()-ROW(Линии[#Headers])</f>
        <v>320</v>
      </c>
      <c r="BC322" s="6" t="str">
        <f t="shared" si="557"/>
        <v>НВК</v>
      </c>
      <c r="BD322" t="str">
        <f t="shared" si="558"/>
        <v>00.005Т.1</v>
      </c>
      <c r="BE322" t="str">
        <f t="shared" si="559"/>
        <v>00</v>
      </c>
      <c r="BF322" t="str">
        <f t="shared" si="560"/>
        <v>005Т.1</v>
      </c>
      <c r="BG322" t="str">
        <f t="shared" si="561"/>
        <v>005Т</v>
      </c>
      <c r="BH322" t="str">
        <f>IF(X322&lt;&gt;"",X322,IF(AND(B322&lt;&gt;"",B322&lt;&gt;A322,ISNUMBER(_xlfn.XMATCH(B322,Щиты[Щит]))),B322,""))</f>
        <v/>
      </c>
      <c r="BI322" t="str" cm="1">
        <f t="array" ref="BI322">IF(B322="","",IF(BH322&lt;&gt;"","Щит "&amp;BH322,_xlfn.LET(_xlpm.nm,IFERROR(_xlfn.XLOOKUP(BC322,Коды_код,Коды_имя)&amp;"",""),_xlpm.md,IFERROR(N(_xlfn.XLOOKUP(BC322,Коды_код,Коды_режим)),1),_xlpm.ex,IF(Имя_режим="по экспликации",IFERROR(_xlfn.XLOOKUP(BE322&amp;"|"&amp;BG322,Экспликация[Этаж]&amp;"|"&amp;Экспликация[Помещение],Экспликация[Название])&amp;"",""),""),_xlpm.rm,IF(BG322="","",IF(_xlpm.ex&lt;&gt;"",". "&amp;_xlpm.ex&amp;IF(Имя_пом="нет"," ("&amp;BG322&amp;")"," (пом. "&amp;BG322&amp;")"),IF(Имя_пом="нет"," ",", пом. ")&amp;BG322)),IF(_xlpm.nm="","",IF(_xlpm.md=2,_xlpm.nm&amp;" шлейф "&amp;BE322,_xlpm.nm&amp;_xlpm.rm)))))</f>
        <v>Насос дренажный, пом. 005Т</v>
      </c>
      <c r="BJ322" t="str">
        <f t="shared" si="562"/>
        <v>Насос дренажный, пом. 005Т</v>
      </c>
      <c r="BK322">
        <f>IFERROR(_xlfn.XMATCH(A322,Щиты[Щит]),0)</f>
        <v>13</v>
      </c>
      <c r="BL322">
        <f>_xlfn.LET(_xlpm.k,IFERROR(_xlfn.XLOOKUP(A322,Щиты[Щит],Щиты[Мест под вводной узел]),""),IF(_xlpm.k="",Столбцов_на_лист,N(_xlpm.k)))</f>
        <v>9</v>
      </c>
      <c r="BM322">
        <f t="shared" si="563"/>
        <v>14</v>
      </c>
      <c r="BN322" t="str">
        <f t="shared" si="564"/>
        <v>линии</v>
      </c>
      <c r="BO322" s="6">
        <f>IFERROR(N(_xlfn.XLOOKUP(BC322,Коды_код,Коды_квт)),0)</f>
        <v>0</v>
      </c>
      <c r="BP322">
        <f t="shared" si="565"/>
        <v>0</v>
      </c>
      <c r="BQ322" t="str">
        <f>IF(B322="","",IF(BH322&lt;&gt;"",IFERROR(_xlfn.XLOOKUP(BH322,Щиты[Щит],Щиты[Руст, кВт]),0),IF(BP322=1,IF(OR(N(_xlfn.XLOOKUP(A322,Щиты[Щит],Щиты[Вводов],1))&lt;=1,LOWER(TRIM(_xlfn.XLOOKUP(A322,Щиты[Щит],Щиты[АВР],"")&amp;""))="да"),IFERROR(_xlfn.XLOOKUP(A322,Щиты[Щит],Щиты[Руст, кВт]),0),SUMIFS(Линии[_Р для вводов],Линии[Щит],A322,Линии[Источник для режимов],GF322)),IF(BO322&gt;0,ROUND(BO322*MAX(1,N(D322)),3),""))))</f>
        <v/>
      </c>
      <c r="BR322">
        <f t="shared" si="566"/>
        <v>0.6</v>
      </c>
      <c r="BS322" s="6">
        <f>IF(B322="","",IF(BH322&lt;&gt;"",IFERROR(_xlfn.XLOOKUP(BH322,Щиты[Щит],Щиты[Руст, кВт]),0),N(BR322)))</f>
        <v>0.6</v>
      </c>
      <c r="BT322" t="str">
        <f>IF(B322="","",IFERROR(IF(VLOOKUP(BC322,Потребители_обозначение,8,FALSE)=0,"",VLOOKUP(BC322,Потребители_обозначение,8,FALSE)),""))</f>
        <v/>
      </c>
      <c r="BU322">
        <f t="shared" si="567"/>
        <v>230</v>
      </c>
      <c r="BV322">
        <f t="shared" si="568"/>
        <v>0</v>
      </c>
      <c r="BW322">
        <f>IF(B322="","",IF(BH322&lt;&gt;"",3,IFERROR(IF(N(VLOOKUP(BC322,Потребители_обозначение,9,FALSE))=0,1,VLOOKUP(BC322,Потребители_обозначение,9,FALSE)),1)))</f>
        <v>1</v>
      </c>
      <c r="BX322">
        <f t="shared" si="569"/>
        <v>1</v>
      </c>
      <c r="BY322" t="str">
        <f>IF(B322="","",_xlfn.LET(_xlpm.bc,IFERROR(IF(VLOOKUP(BC322,Потребители_обозначение,6,FALSE)=0,"",VLOOKUP(BC322,Потребители_обозначение,6,FALSE)&amp;""),""),IF(AND(GA322="да",OR(_xlpm.bc="",_xlpm.bc="мс")),Марка_пож,IF(AND(_xlpm.bc="",BH322&lt;&gt;""),"мс",_xlpm.bc))))</f>
        <v/>
      </c>
      <c r="BZ322" t="str">
        <f t="shared" si="570"/>
        <v>мс</v>
      </c>
      <c r="CA322">
        <f>IF(B322="","",_xlfn.LET(_xlpm.cc,IFERROR(N(VLOOKUP(BC322,Потребители_обозначение,7,FALSE)),0),IF(_xlpm.cc&gt;0,_xlpm.cc,IF(BZ322="","",IF(BV322=1,2,IF(N(BX322)=3,5,3))))))</f>
        <v>3</v>
      </c>
      <c r="CB322">
        <f t="shared" si="571"/>
        <v>3</v>
      </c>
      <c r="CC322">
        <f>IFERROR(N(VLOOKUP(BC322,Потребители_обозначение,10,FALSE)),0)</f>
        <v>0</v>
      </c>
      <c r="CD322">
        <f>IFERROR(VLOOKUP(BC322,Потребители_обозначение,5,FALSE),0)</f>
        <v>1</v>
      </c>
      <c r="CE322" s="6" cm="1">
        <f t="array" ref="CE322">IF(B322="","",IF(BH322&lt;&gt;"",IFERROR(_xlfn.XLOOKUP(BH322,Щиты[Щит],Щиты[cos φ]),0.95),IF(BP322=1,IFERROR(_xlfn.XLOOKUP(A322,Щиты[Щит],Щиты[cos φ]),0.95),IF(ISNUMBER(AD322),AD322,IFERROR(IF(CD322=2,_xlfn.IFS(BX322=3,VLOOKUP(BS322,Справочная_двигатели,8,FALSE),BX322=1,VLOOKUP(BS322,Справочная_двигатели,10,TRUE)),IF(AND(Методика="нормы 2026",FG322="Сил"),0.8,0.95)),0.95)))))</f>
        <v>0.8</v>
      </c>
      <c r="CF322">
        <f t="shared" si="572"/>
        <v>0</v>
      </c>
      <c r="CG322">
        <f t="shared" si="573"/>
        <v>1</v>
      </c>
      <c r="CH322">
        <f t="shared" si="574"/>
        <v>0</v>
      </c>
      <c r="CI322">
        <f>IF(B322="","",IF(BV322=1,IFERROR(BS322/((Uн_лин/SQRT(3))*MAX(0.5,N(CE322))),0),N(O322)))</f>
        <v>3.2475952641916441</v>
      </c>
      <c r="CJ322">
        <f t="shared" si="575"/>
        <v>0</v>
      </c>
      <c r="CK322">
        <f t="shared" si="576"/>
        <v>0</v>
      </c>
      <c r="CL322">
        <f t="shared" si="577"/>
        <v>0</v>
      </c>
      <c r="CM322">
        <f t="shared" si="578"/>
        <v>0</v>
      </c>
      <c r="CN322">
        <f t="shared" si="579"/>
        <v>0</v>
      </c>
      <c r="CO322">
        <f>IF(BC322="",0,_xlfn.LET(_xlpm.v,IFERROR(_xlfn.XLOOKUP(B322,Коды_код,Коды_мА),IFERROR(_xlfn.XLOOKUP(BC322,Коды_код,Коды_мА),IFERROR(_xlfn.XLOOKUP(LEFT(BC322,2),Коды_код,Коды_мА),""))),IF(_xlpm.v="да",30,IF(ISNUMBER(_xlpm.v),_xlpm.v,0))))</f>
        <v>0</v>
      </c>
      <c r="CP322" t="str">
        <f t="shared" si="580"/>
        <v/>
      </c>
      <c r="CQ322" t="str">
        <f>_xlfn.LET(_xlpm.k,IFERROR(_xlfn.XLOOKUP(BC322,Коды_код,Коды_утечка)&amp;"",""),IF(_xlpm.k="","дифавтомат",_xlpm.k))</f>
        <v>дифавтомат</v>
      </c>
      <c r="CR322" t="str" cm="1">
        <f t="array" ref="CR322">IF(CG322=0,"",_xlfn.LET(_xlpm.sg,TRIM(_xlfn.TEXTSPLIT(DD322&amp;"",";")),_xlpm.f_,_xlfn._xlws.FILTER(_xlpm.sg,LEFT(_xlpm.sg,3)="УЗО",""),IFERROR(INDEX(_xlpm.f_,1)&amp;"","")))</f>
        <v/>
      </c>
      <c r="CS322" t="str">
        <f t="shared" si="581"/>
        <v/>
      </c>
      <c r="CT322" s="6" t="str" cm="1">
        <f t="array" ref="CT322">IF(CR322="","",_xlfn.LET(_xlpm.tk,_xlfn.TEXTSPLIT(UPPER(CR322)," ",,TRUE),_xlpm.a_,_xlfn._xlws.FILTER(_xlpm.tk,ISNUMBER(--LEFT(_xlpm.tk,1))*((ISNUMBER(SEARCH("А",_xlpm.tk))+ISNUMBER(SEARCH("A",_xlpm.tk)))&gt;0)*NOT(ISNUMBER(SEARCH("МА",_xlpm.tk)))*NOT(ISNUMBER(SEARCH("MA",_xlpm.tk))),""),IFERROR(--SUBSTITUTE(SUBSTITUTE(INDEX(_xlpm.a_,1),"А",""),"A",""),"")))</f>
        <v/>
      </c>
      <c r="CU322" t="str" cm="1">
        <f t="array" ref="CU322">IF(CR322="","",_xlfn.LET(_xlpm.tk,_xlfn.TEXTSPLIT(UPPER(CR322)," ",,TRUE),_xlpm.a_,_xlfn._xlws.FILTER(_xlpm.tk,ISNUMBER(--LEFT(_xlpm.tk,1))*((ISNUMBER(SEARCH("МА",_xlpm.tk))+ISNUMBER(SEARCH("MA",_xlpm.tk)))&gt;0),""),IFERROR(--SUBSTITUTE(SUBSTITUTE(INDEX(_xlpm.a_,1),"МА",""),"MA",""),30)))</f>
        <v/>
      </c>
      <c r="CV322" t="str">
        <f>IF(CS322="","",IFERROR(_xlfn.XLOOKUP(CS322,Линии[_n],Линии[_УЗО, мА]),30))</f>
        <v/>
      </c>
      <c r="CW322">
        <f>IF(CS322="",0,IF(ISNUMBER(SEARCH("4P",IFERROR(_xlfn.XLOOKUP(CS322,Линии[_n],Линии[_УЗО строки])&amp;"",""))),0,1))</f>
        <v>0</v>
      </c>
      <c r="CX322" t="str">
        <f>IF(AND(CS322&lt;&gt;"",CS322=BA322),SUMIFS(Линии[_ток на 230 В],Линии[_блок УЗО],BA322,Линии[Щит],A322),"")</f>
        <v/>
      </c>
      <c r="CY322" t="str">
        <f>IF(AND(CS322&lt;&gt;"",CS322=BA322),SUMIFS(Линии[_ток утечки линии, мА],Линии[_блок УЗО],BA322,Линии[Щит],A322),"")</f>
        <v/>
      </c>
      <c r="CZ322">
        <f t="shared" si="582"/>
        <v>0</v>
      </c>
      <c r="DA322">
        <f t="shared" si="583"/>
        <v>0</v>
      </c>
      <c r="DB322">
        <f>IF(B322="",0,IFERROR(--_xlfn.XLOOKUP(B322,Коды_код,Коды_минавт),IFERROR(--_xlfn.XLOOKUP(BC322,Коды_код,Коды_минавт),IFERROR(--_xlfn.XLOOKUP(LEFT(BC322,2),Коды_код,Коды_минавт),0))))</f>
        <v>0</v>
      </c>
      <c r="DC322" t="str">
        <f>IF(B322="","",IFERROR(_xlfn.XLOOKUP(BC322,Коды_код,Коды_апп)&amp;"",""))</f>
        <v/>
      </c>
      <c r="DD322" t="str">
        <f t="shared" si="584"/>
        <v/>
      </c>
      <c r="DE322" t="str" cm="1">
        <f t="array" ref="DE322">IF(TRIM(DD322&amp;"")="","",IFERROR(TRIM(INDEX(_xlfn.TEXTSPLIT(DD322&amp;";;;",";"),1)),""))</f>
        <v/>
      </c>
      <c r="DF322" t="str" cm="1">
        <f t="array" ref="DF322">IF(TRIM(DD322&amp;"")="","",IFERROR(TRIM(INDEX(_xlfn.TEXTSPLIT(DD322&amp;";;;",";"),2)),""))</f>
        <v/>
      </c>
      <c r="DG322" t="str" cm="1">
        <f t="array" ref="DG322">IF(TRIM(DD322&amp;"")="","",IFERROR(TRIM(INDEX(_xlfn.TEXTSPLIT(DD322&amp;";;;",";"),3)),""))</f>
        <v/>
      </c>
      <c r="DH322">
        <f t="shared" si="585"/>
        <v>0</v>
      </c>
      <c r="DI322" t="str">
        <f>IF(B322="","",_xlfn.LET(_xlpm.t,LOWER(AZ322&amp;""),IF(ISNUMBER(SEARCH("dim",_xlpm.t)),"DIM",IF(ISNUMBER(SEARCH("dali",_xlpm.t)),"DALI",IF(OR(ISNUMBER(SEARCH("relay",_xlpm.t)),ISNUMBER(SEARCH("реле",_xlpm.t))),"Relay",IF(ISNUMBER(SEARCH("кнопк",_xlpm.t)),"",IFERROR(_xlfn.XLOOKUP(BC322,Коды_код,Коды_упр)&amp;"","")))))))</f>
        <v/>
      </c>
      <c r="DJ322" t="str">
        <f t="shared" si="586"/>
        <v/>
      </c>
      <c r="DK322">
        <f>IF(B322="","",_xlfn.LET(_xlpm.ig,IF(N(CX322)&gt;0,N(CX322),N(CI322)+IF(AJ322="вручную",0,N(CJ322))),_xlpm.n0,IFERROR(VLOOKUP(_xlpm.ig,Автомат_номиналы,2,TRUE),0),_xlpm.mn,MAX(DB322,IF(AJ322="вручную",0,N(CM322))),MAX(_xlpm.n0,_xlpm.mn,IF(DH322=1,Мин_автомат_БП,0))))</f>
        <v>6</v>
      </c>
      <c r="DL322">
        <f t="shared" si="587"/>
        <v>1</v>
      </c>
      <c r="DM322" t="str">
        <f t="shared" si="588"/>
        <v>1P</v>
      </c>
      <c r="DN322" t="str">
        <f>_xlfn.LET(_xlpm.cc,UPPER(TRIM(IFERROR(_xlfn.XLOOKUP(BC322,Коды_код,Коды_хар)&amp;"",""))),IF(OR(_xlpm.cc="B",_xlpm.cc="В"),"B",IF(_xlpm.cc="D","D","С")))</f>
        <v>С</v>
      </c>
      <c r="DO322" t="str">
        <f t="shared" si="589"/>
        <v>1P С6А</v>
      </c>
      <c r="DP322">
        <f t="shared" si="590"/>
        <v>16</v>
      </c>
      <c r="DQ322" t="str">
        <f t="shared" si="591"/>
        <v>1P С16А</v>
      </c>
      <c r="DR322" cm="1">
        <f t="array" ref="DR322">IF(DQ322="","",_xlfn.LET(_xlpm.t,SUBSTITUTE(SUBSTITUTE(SUBSTITUTE(UPPER(DQ322),"С","C"),"А","A"),"В","B"),_xlpm.tk,_xlfn.TEXTSPLIT(_xlpm.t," "),_xlpm.f,_xlfn._xlws.FILTER(_xlpm.tk,ISNUMBER(--MID(_xlpm.tk,2,1))*ISNUMBER(SEARCH(LEFT(_xlpm.tk,1)&amp;"#","B#C#D#"))*(LEN(_xlpm.tk)&gt;1),""),_xlpm.x,INDEX(_xlpm.f,1),IFERROR(--SUBSTITUTE(MID(_xlpm.x,2,9),"A",""),IFERROR(--SUBSTITUTE(INDEX(_xlfn._xlws.FILTER(_xlpm.tk,ISNUMBER(--SUBSTITUTE(_xlpm.tk,"A","")),""),1),"A",""),""))))</f>
        <v>16</v>
      </c>
      <c r="DS322" t="str">
        <f t="shared" si="592"/>
        <v>ok</v>
      </c>
      <c r="DT322">
        <f t="shared" si="593"/>
        <v>16</v>
      </c>
      <c r="DU322" t="str">
        <f t="shared" si="594"/>
        <v>1P С16А</v>
      </c>
      <c r="DV322">
        <f t="shared" si="595"/>
        <v>0</v>
      </c>
      <c r="DW322">
        <f t="shared" si="596"/>
        <v>0</v>
      </c>
      <c r="DX322">
        <f t="shared" si="597"/>
        <v>0</v>
      </c>
      <c r="DY322">
        <f t="shared" si="598"/>
        <v>3.2475952641916441</v>
      </c>
      <c r="DZ322">
        <f t="shared" si="599"/>
        <v>1</v>
      </c>
      <c r="EA322">
        <f>IF(ISNUMBER(AP322),AP322,К_прокл)</f>
        <v>1</v>
      </c>
      <c r="EB322">
        <f t="shared" si="600"/>
        <v>2</v>
      </c>
      <c r="EC322">
        <f>IFERROR(N(VLOOKUP(BZ322,Кабель_обозначение,3,FALSE)),1)</f>
        <v>1</v>
      </c>
      <c r="ED322">
        <f>IFERROR(N(_xlfn.XLOOKUP(A322,Щиты[Щит],Щиты[ΔU до шин, %])),0)</f>
        <v>2.1199999999999997</v>
      </c>
      <c r="EE322" t="str">
        <f>IFERROR(_xlfn.XLOOKUP(A322,Щиты[Щит],Щиты[Zпетли на шинах, Ом]),"")</f>
        <v/>
      </c>
      <c r="EF322">
        <f>IFERROR(N(_xlfn.XLOOKUP(A322,Щиты[Щит],Щиты[ΔU до шин (подбор), %])),0)</f>
        <v>3.3699999999999997</v>
      </c>
      <c r="EG322" t="str">
        <f>IFERROR(_xlfn.XLOOKUP(A322,Щиты[Щит],Щиты[Zпетли на шинах (подбор), Ом]),"")</f>
        <v/>
      </c>
      <c r="EH322" t="str">
        <f t="shared" si="601"/>
        <v/>
      </c>
      <c r="EI322">
        <f t="shared" si="602"/>
        <v>11</v>
      </c>
      <c r="EJ322">
        <f t="shared" si="603"/>
        <v>2</v>
      </c>
      <c r="EK322">
        <f t="shared" si="604"/>
        <v>0.6</v>
      </c>
      <c r="EL322" s="6">
        <f>IF(B322="","",IF(BV322=1,dU_LED,IF(IFERROR(_xlfn.XLOOKUP(BC322,Коды_код,Коды_уго),"")="Светильник",3,4)+IF(Методика="нормы 2026",MIN(0.5,MAX(0,N(P322)-100)*0.005),0)))</f>
        <v>4</v>
      </c>
      <c r="EM322" cm="1">
        <f t="array" ref="EM322">IF(OR(B322="",BZ322="",EC322&lt;&gt;1),"",_xlfn.LET(_xlpm.sz,Iдоп_S,_xlpm.t_,CHOOSE(EB322,Iдоп_1ж,Iдоп_2ж,Iдоп_3ж)*DZ322*EA322,_xlpm.dcx,BV322=1,_xlpm.inn,IF(_xlpm.dcx,N(O322),N(DT322)),_xlpm.smin,MAX(1.5,CC322),_xlpm.L_,N(P322)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322)/N(BU322)*100,999),IFERROR(N(EJ322)*(_xlpm.rho*_xlpm.L_/_xlpm.sz*N(CE322)+_xlpm.xx*_xlpm.L_*N(EK322)/1000)*N(O322)/((Uн_лин/SQRT(3))*1000)*100,999)),_xlpm.kz,IF(OR(_xlpm.dcx,DW322=1,NOT(ISNUMBER(EG322)),_xlpm.L_=0,_xlpm.inn=0),1,IFERROR(--(c_min*(Uн_лин*1000/SQRT(3))/(EG322+2*ρкз_Cu*_xlpm.L_/_xlpm.sz)&gt;=HT322*_xlpm.inn),0)),_xlpm.ok,IFERROR((_xlpm.sz&gt;=_xlpm.smin)*(_xlpm.t_&gt;=_xlpm.inn)*IF(_xlpm.L_&gt;0,(_xlpm.du_+IF(_xlpm.dcx,0,EF322)&lt;=EL322+0.00001),1)*_xlpm.kz,0),_xlpm.r_,_xlfn._xlws.FILTER(_xlpm.sz,_xlpm.ok,"не подобрано"),INDEX(_xlpm.r_,1)))</f>
        <v>1.5</v>
      </c>
      <c r="EN322">
        <f t="shared" si="605"/>
        <v>2.5</v>
      </c>
      <c r="EO322" cm="1">
        <f t="array" ref="EO322">IF(OR(B322="",BZ322="",EC322&lt;&gt;1),"",_xlfn.LET(_xlpm.sz,Iдоп_S,_xlpm.t_,CHOOSE(EB322,Iдоп_1ж,Iдоп_2ж,Iдоп_3ж)*DZ322*EA322,_xlpm.ok,IFERROR((_xlpm.sz&gt;=MAX(1.5,CC322))*(_xlpm.t_&gt;=N(DT322)),0),_xlpm.r_,_xlfn._xlws.FILTER(_xlpm.sz,_xlpm.ok,""),INDEX(_xlpm.r_,1)))</f>
        <v>1.5</v>
      </c>
      <c r="EP322" s="6" cm="1">
        <f t="array" ref="EP322">IFERROR(ROUNDUP(N(EJ322)*(_xlfn.XLOOKUP(EO322,INDEX(Кабель_сопротивление,0,1),INDEX(Кабель_сопротивление,0,3))*N(P322)/EO322*N(CE322)+_xlfn.XLOOKUP(EO322,INDEX(Кабель_сопротивление,0,1),INDEX(Кабель_сопротивление,0,2))*N(P322)*N(EK322)/1000)*N(O322)/((Uн_лин/SQRT(3))*1000)*100,2),"")</f>
        <v>0.48</v>
      </c>
      <c r="EQ322">
        <f>IFERROR(2*ρкз_Cu*N(P322)/EO322,"")</f>
        <v>0.49093333333333339</v>
      </c>
      <c r="ER322">
        <f>IFERROR(VLOOKUP(EN322,Кабель_сопротивление,3,FALSE),"")</f>
        <v>2.2499999999999999E-2</v>
      </c>
      <c r="ES322">
        <f>IFERROR(VLOOKUP(EN322,Кабель_сопротивление,2,FALSE),"")</f>
        <v>0.1</v>
      </c>
      <c r="ET322">
        <f t="shared" si="606"/>
        <v>10</v>
      </c>
      <c r="EU322">
        <f t="shared" si="607"/>
        <v>0</v>
      </c>
      <c r="EV322">
        <f t="shared" si="608"/>
        <v>0.66017116530487741</v>
      </c>
      <c r="EW322" s="6">
        <f>IFERROR(ROUNDUP(EV322/IF(BV322=1,BU322,(Uн_лин/SQRT(3))*1000)*100,2),"")</f>
        <v>0.29000000000000004</v>
      </c>
      <c r="EX322" t="str">
        <f>IFERROR(VLOOKUP(BZ322,Кабель_обозначение,2,FALSE),"")</f>
        <v>ВВГнг(А)-LS</v>
      </c>
      <c r="EY322" t="str">
        <f t="shared" si="609"/>
        <v>ВВГнг(А)-LS (3х2,5)</v>
      </c>
      <c r="EZ322" t="str">
        <f t="shared" si="610"/>
        <v>ВВГнг(А)-LS (3х2,5)
L=14-0,29%</v>
      </c>
      <c r="FA322">
        <f>IFERROR(2*ρкз_Cu*P322/EN322,"")</f>
        <v>0.29456000000000004</v>
      </c>
      <c r="FB322">
        <f t="shared" si="611"/>
        <v>9.8000000000000004E-2</v>
      </c>
      <c r="FC322" s="6" t="str">
        <f>IFERROR(IF(OR(B322="",BV322=1,NOT(ISNUMBER(EN322)),N(P322)=0),"",_xlfn.XLOOKUP(A322,Щиты[Щит],Щиты[Zпетли на шинах, Ом])+FA322),"")</f>
        <v/>
      </c>
      <c r="FD322" s="6" t="str">
        <f>IF(ISNUMBER(FC322),c_min*(Uн_лин*1000/SQRT(3))/FC322,"")</f>
        <v/>
      </c>
      <c r="FE322" s="6" t="str">
        <f>IFERROR(IF(OR(B322="",NOT(ISNUMBER(EN322))),"",1.05*(Uн_лин*1000/SQRT(3))/(_xlfn.XLOOKUP(A322,Щиты[Щит],Щиты[Zmax на шинах, Ом])+FB322)/1000),"")</f>
        <v/>
      </c>
      <c r="FF322" s="6" t="str">
        <f>IF(B322="","",IF(ISNUMBER(AC322),"Сил",IF(IFERROR(_xlfn.XLOOKUP(BC322,Коды_код,Коды_группа)&amp;"","")="","Быт",_xlfn.XLOOKUP(BC322,Коды_код,Коды_группа)&amp;"")))</f>
        <v>Сил</v>
      </c>
      <c r="FG322" s="6" t="str">
        <f t="shared" si="612"/>
        <v>Сил</v>
      </c>
      <c r="FH322" s="6">
        <f>IF(FG322="Щит","щит",IF(FG322="","",IF(FG322="Быт",IFERROR(_xlfn.XLOOKUP(A322,Щиты[Щит],Щиты[Кс быт]),1),IF(FG322="Сил",IF(ISNUMBER(AC322),AC322,IF(Методика="нормы 2026",IFERROR(_xlfn.XLOOKUP(A322,Щиты[Щит],Щиты[Кс силовых (табл. 7.5)]),1),1)),IF(OR(FG322="Пост",FG322="Отоп"),1,IF(FG322="ВНГ",0.7,0))))))</f>
        <v>0.5</v>
      </c>
      <c r="FI322">
        <f>IF(FG322="","",IF(AND(BP322=1,TRIM(AE322&amp;"")=""),IF(COUNTIFS(Линии[Щит],A322,Линии[Секция (1/2/3)],"&gt;=2")&gt;0,MIN(3,MAX(1,IFERROR(--BD322,1))),1),IFERROR(MIN(3,MAX(1,INT(--AE322))),1)))</f>
        <v>1</v>
      </c>
      <c r="FJ322">
        <f t="shared" si="613"/>
        <v>0.6</v>
      </c>
      <c r="FK322">
        <f t="shared" si="614"/>
        <v>0</v>
      </c>
      <c r="FL322">
        <f t="shared" si="615"/>
        <v>0.3</v>
      </c>
      <c r="FM322">
        <f t="shared" si="616"/>
        <v>0</v>
      </c>
      <c r="FN322">
        <f t="shared" si="617"/>
        <v>0</v>
      </c>
      <c r="FO322">
        <f t="shared" si="618"/>
        <v>0</v>
      </c>
      <c r="FP322">
        <f t="shared" si="619"/>
        <v>0.6</v>
      </c>
      <c r="FQ322">
        <f t="shared" si="620"/>
        <v>0.6</v>
      </c>
      <c r="FR322">
        <f t="shared" si="621"/>
        <v>0.48</v>
      </c>
      <c r="FS322">
        <f>IF(CG322=1,IF(AND(CH322=1,CW322=1),0,IF(AND(CS322&lt;&gt;"",CS322=BA322,CW322=1),SUMIFS(Линии[_Р линии, кВт],Линии[_блок УЗО],BA322,Линии[Щит],A322),N(BS322)+IF(AJ322="вручную",0,N(CK322)))),0)</f>
        <v>0.6</v>
      </c>
      <c r="FT322" t="str">
        <f t="shared" si="622"/>
        <v>L1</v>
      </c>
      <c r="FU322" t="str">
        <f>IF(B322="","",IF(CG322=0,IF(BA322=1,"",FW321),IF(AND(CH322=1,CW322=1,CS322&lt;&gt;""),IFERROR(_xlfn.XLOOKUP(CS322,Линии[_n],Линии[_фаза итог]),"L1"),IF(OR(N(DL322)&gt;=3,N(BX322)&gt;=3),"L1,L2,L3",IFERROR(_xlfn.TEXTBEFORE(_xlfn.TEXTAFTER(_xlfn.XLOOKUP(A322,Щиты[Щит],Щиты[_фазы авто]),";"&amp;BA322&amp;":"),";"),"L1")))))</f>
        <v>L1</v>
      </c>
      <c r="FV322" t="str">
        <f t="shared" si="623"/>
        <v>L1</v>
      </c>
      <c r="FW322" t="str">
        <f t="shared" si="624"/>
        <v>L1</v>
      </c>
      <c r="FX322" cm="1">
        <f t="array" ref="FX322">IFERROR(IF(CD322=2,_xlfn.IFS(BX322=3,VLOOKUP(BS322,Справочная_двигатели,3,FALSE),BX322=1,VLOOKUP(BS322,Справочная_двигатели,5,TRUE)),0),0)</f>
        <v>0</v>
      </c>
      <c r="FY322">
        <f>IFERROR(IF(CD322=3,VLOOKUP(BS322,Справочная_ЛЭД,2,TRUE),0),0)</f>
        <v>0</v>
      </c>
      <c r="FZ322" s="6">
        <f t="shared" si="625"/>
        <v>0</v>
      </c>
      <c r="GA322" t="str">
        <f>IF(B322="","",IF(TRIM(AH322&amp;"")&lt;&gt;"",IF(LOWER(TRIM(AH322&amp;""))="да","да","нет"),IF(IFERROR(_xlfn.XLOOKUP(BC322,Коды_код,Коды_пожарная),"")="да","да","нет")))</f>
        <v>нет</v>
      </c>
      <c r="GB322" t="str">
        <f t="shared" si="626"/>
        <v/>
      </c>
      <c r="GC322" t="str">
        <f t="shared" si="627"/>
        <v>основная</v>
      </c>
      <c r="GD322">
        <f>IF(AND(BP322=1,TRIM(AE322&amp;"")=""),IF(COUNTIFS(Линии[Щит],A322,Линии[Секция (1/2/3)],"&gt;=2")&gt;0,MIN(3,MAX(1,IFERROR(--BD322,1))),1),IFERROR(MIN(3,MAX(1,INT(--AE322))),1))</f>
        <v>1</v>
      </c>
      <c r="GE322" t="str" cm="1">
        <f t="array" ref="GE322">IF(B322="","",_xlfn.LET(_xlpm.t,IFERROR(_xlfn.XLOOKUP(1,(Шины[Шина]=GC322)*(((Шины[Щит]=A322)+(Шины[Щит]=""))&gt;0),Шины[Тип]),"")&amp;"",IF(_xlpm.t&lt;&gt;"",_xlpm.t,IF(ISNUMBER(SEARCH("ИБП",GC322)),"ИБП",IF(ISNUMBER(SEARCH("ДГУ",GC322)),"ДГУ","Ввод "&amp;GD322)))))</f>
        <v>Ввод 1</v>
      </c>
      <c r="GF322" t="str">
        <f t="shared" si="628"/>
        <v>Ввод 1</v>
      </c>
      <c r="GG322" t="str">
        <f>IF(BP322=0,"",IF(TRIM(AG322&amp;"")&lt;&gt;"",TRIM(AG322&amp;""),IF(OR(GE322="ИБП",GE322="ДГУ"),"I особая",_xlfn.XLOOKUP(A322,Щиты[Щит],Щиты[Категория шины «Ввод»],"III"))))</f>
        <v/>
      </c>
      <c r="GH322" t="str">
        <f>IF(A322="","",_xlfn.XLOOKUP(A322,Щиты[Щит],Щиты[Путь],""))</f>
        <v>|ГРЩ-ЖД|ЩС-ВК.001|</v>
      </c>
      <c r="GI322" t="str">
        <f>IF(B322="","",IF(AI322&lt;&gt;"",AI322,IF(IFERROR(_xlfn.XLOOKUP(BC322,Коды_код,Коды_вид)&amp;"","")="","Прочее",_xlfn.XLOOKUP(BC322,Коды_код,Коды_вид)&amp;"")))</f>
        <v>Насосы (водоснабжение, дренаж)</v>
      </c>
      <c r="GJ322">
        <f>IF(BM322="","",INT((BM322-1)/Столбцов_на_лист)+1)</f>
        <v>1</v>
      </c>
      <c r="GK322" t="str">
        <f t="shared" si="629"/>
        <v>ВВГнг(А)-LS (3х2,5) L=14-0,29%</v>
      </c>
      <c r="GL322">
        <f t="shared" si="630"/>
        <v>0.6</v>
      </c>
      <c r="GM322">
        <f t="shared" si="631"/>
        <v>3.25</v>
      </c>
      <c r="GN322">
        <f t="shared" si="632"/>
        <v>1</v>
      </c>
      <c r="GO322">
        <f t="shared" si="633"/>
        <v>0</v>
      </c>
      <c r="GP322">
        <f t="shared" si="634"/>
        <v>1</v>
      </c>
      <c r="GQ322">
        <f>IF(BM322="","",IF(AND(CG322=1,GP322=1),COUNTIFS(A$3:A322,A322,CG$3:CG322,1,GP$3:GP322,1),IF(OR(OR(BA322=1,A322&lt;&gt;A321),AJ322="вручную",GP322=0),"",IF(BA322=1,"",GR321))))</f>
        <v>5</v>
      </c>
      <c r="GR322">
        <f t="shared" si="635"/>
        <v>5</v>
      </c>
      <c r="GS322">
        <f>IF(B322="","",IFERROR(LOOKUP(INDEX(CHOOSE(EB322,Iдоп_1ж,Iдоп_2ж,Iдоп_3ж),MATCH(EN322,Iдоп_S,0))*DZ322*EA322,{6,10,16,20,25,32,40,50,63,80,100,125,160,200,250,315,400,500,630}),""))</f>
        <v>25</v>
      </c>
      <c r="GT322" t="str">
        <f t="shared" si="636"/>
        <v>QF5</v>
      </c>
      <c r="GU322" t="str">
        <f t="shared" si="637"/>
        <v>QF5</v>
      </c>
      <c r="GV322" t="str">
        <f t="shared" si="638"/>
        <v/>
      </c>
      <c r="GW322">
        <f t="shared" si="639"/>
        <v>0</v>
      </c>
      <c r="GX322" t="str">
        <f>IF(OR(B322="",DJ322=""),"",IFERROR(_xlfn.XLOOKUP(DJ322,Модули_умолч[Управление],Модули_умолч[Модель])&amp;"",""))</f>
        <v/>
      </c>
      <c r="GY322">
        <f>IF(DJ322="",1,IFERROR(MAX(0,N(_xlfn.XLOOKUP(DJ322,Модули_умолч[Управление],Модули_умолч[Каналов на линию]))),1))</f>
        <v>1</v>
      </c>
      <c r="GZ322" t="str">
        <f t="shared" si="640"/>
        <v/>
      </c>
      <c r="HA322" t="str">
        <f t="shared" si="641"/>
        <v/>
      </c>
      <c r="HB322" t="str">
        <f t="shared" si="642"/>
        <v/>
      </c>
      <c r="HC322">
        <f>IF(HB322="",0,IFERROR(N(VLOOKUP(HB322,Модули_спр,3,FALSE)),0))</f>
        <v>0</v>
      </c>
      <c r="HD322" t="str">
        <f t="shared" si="643"/>
        <v/>
      </c>
      <c r="HE322" t="str">
        <f t="shared" si="644"/>
        <v/>
      </c>
      <c r="HF322" t="str">
        <f>IF(OR(HE322="",HE322="-"),"",IFERROR(VLOOKUP(HE322,Модули_спр,2,FALSE),"R"))</f>
        <v/>
      </c>
      <c r="HG322" t="str">
        <f>IF(HF322="","",HF322&amp;"."&amp;COUNTIFS(A$3:A322,A322,HF$3:HF322,HF322))</f>
        <v/>
      </c>
      <c r="HH322" t="str">
        <f t="shared" si="645"/>
        <v/>
      </c>
      <c r="HI322" t="str">
        <f t="shared" si="646"/>
        <v/>
      </c>
      <c r="HJ322" t="str">
        <f t="shared" si="647"/>
        <v/>
      </c>
      <c r="HK322" t="str">
        <f t="shared" si="648"/>
        <v/>
      </c>
      <c r="HL322">
        <f t="shared" si="649"/>
        <v>1</v>
      </c>
      <c r="HM322" t="str">
        <f>IF(HL322=1,"XT"&amp;COUNTIFS(A$3:A322,A322,HL$3:HL322,1),"")</f>
        <v>XT5</v>
      </c>
      <c r="HN322" t="str">
        <f t="shared" si="650"/>
        <v>XT5</v>
      </c>
      <c r="HO322" t="str">
        <f t="shared" si="651"/>
        <v>QF5</v>
      </c>
      <c r="HP322" t="str">
        <f t="shared" si="652"/>
        <v/>
      </c>
      <c r="HQ322" t="str">
        <f t="shared" si="653"/>
        <v>ok</v>
      </c>
      <c r="HR322" t="str">
        <f>IF(OR(HJ322="",HH322=""),"",IF(HJ322+MAX(0,GY322-1)&gt;IFERROR(VLOOKUP(HI322,Модули_спр,3,FALSE),99),"ЛИШНИЙ КАНАЛ",IF(AND(AL322&lt;&gt;"=",GY322&gt;0,COUNTIFS(Линии[_модуль гр.],HH322,Линии[Канал (итог)],HJ322,Линии[Канал],"&lt;&gt;=",Линии[Щит],A322)&gt;1),"ДУБЛЬ КАНАЛА","")))</f>
        <v/>
      </c>
      <c r="HS322" s="6" t="str">
        <f t="shared" si="654"/>
        <v/>
      </c>
      <c r="HT322">
        <f t="shared" si="655"/>
        <v>10</v>
      </c>
      <c r="HU322" t="str">
        <f t="shared" si="656"/>
        <v/>
      </c>
      <c r="HV322">
        <f t="shared" si="657"/>
        <v>1.4390381056766577</v>
      </c>
      <c r="HW322">
        <f t="shared" si="658"/>
        <v>0</v>
      </c>
      <c r="HX322">
        <f t="shared" si="659"/>
        <v>0</v>
      </c>
      <c r="HY322">
        <f t="shared" si="660"/>
        <v>0</v>
      </c>
      <c r="HZ322">
        <f t="shared" si="661"/>
        <v>0</v>
      </c>
      <c r="IA322">
        <f t="shared" si="662"/>
        <v>0</v>
      </c>
      <c r="IB322">
        <f t="shared" si="663"/>
        <v>0</v>
      </c>
      <c r="IC322" t="str">
        <f t="shared" si="664"/>
        <v/>
      </c>
      <c r="ID322" t="str" cm="1">
        <f t="array" ref="ID322">IF(IC322="","",_xlfn.LET(_xlpm.tk,_xlfn.TEXTSPLIT(SUBSTITUTE(SUBSTITUTE(IC322,";"," "),"→"," ")," ",,TRUE),_xlpm.w_,_xlfn._xlws.FILTER(_xlpm.tk,ISNUMBER(--LEFT(_xlpm.tk,1))*((ISNUMBER(SEARCH("W",_xlpm.tk))+ISNUMBER(SEARCH("Вт",_xlpm.tk)))&gt;0),""),IFERROR(--SUBSTITUTE(SUBSTITUTE(UPPER(INDEX(_xlpm.w_,1)),"W",""),"ВТ",""),"")))</f>
        <v/>
      </c>
      <c r="IE322" t="str" cm="1">
        <f t="array" ref="IE322">IF(IC322="","",_xlfn.LET(_xlpm.tk,_xlfn.TEXTSPLIT(SUBSTITUTE(SUBSTITUTE(IC322,";"," "),"→"," ")," ",,TRUE),_xlpm.v_,_xlfn._xlws.FILTER(_xlpm.tk,ISNUMBER(--LEFT(_xlpm.tk,1))*((ISNUMBER(SEARCH("V",_xlpm.tk))+(RIGHT(UPPER(_xlpm.tk))="В"))&gt;0),""),IFERROR(--SUBSTITUTE(SUBSTITUTE(UPPER(INDEX(_xlpm.v_,1)),"V",""),"В",""),"")))</f>
        <v/>
      </c>
      <c r="IF322" s="6" t="str">
        <f>IF(OR(BV322=0,HI322="",HJ322=""),"",IFERROR(N(_xlfn.XLOOKUP(HI322,Каталог!$C$4:$C$500,Каталог!$Q$4:$Q$500)),""))</f>
        <v/>
      </c>
      <c r="IG322" s="6" t="str">
        <f>IF(N(IF322)=0,"",SUMIFS(Линии[Iр, А],Линии[Щит],A322,Линии[_модуль гр.],HH322,Линии[Канал (итог)],HJ322))</f>
        <v/>
      </c>
      <c r="IH322" t="str">
        <f>IF(AND(B322="",HO322=""),"",_xlfn.TEXTJOIN("; ",TRUE,IF(AND(B322&lt;&gt;"",FV322=""),"нет фазы",""),IF(AND(B322&lt;&gt;"",N(GL322)=0,FG322&lt;&gt;"Нет"),"нет мощности",""),IF(AND(HN322&lt;&gt;"",COUNTIFS(Линии[Щит],A322,Линии[Клемма (итог)],HN322)&gt;1),"дубль клеммы "&amp;HN322,""),IF(AND(HQ322&lt;&gt;"",HQ322&lt;&gt;"ok"),HQ322,""),IF(HR322&lt;&gt;"",HR322,""),IF(AND(N(CB322)&gt;=4,N(BX322)=1),CB322&amp;" жил на 1 фазе",""),IF(AND(BC322="R",CG322=1,IF(CS322&lt;&gt;"",N(CV322)&gt;30,OR(N(DA322)=0,N(DA322)&gt;30))),"розетка без дифзащиты до 30 мА",""),IF(AND(CG322=1,N(DA322)&gt;0,ISNUMBER(T322)),IF(T322&gt;N(DA322)/3,"ток утечки "&amp;FIXED(T322,1)&amp;" мА &gt; 1/3 уставки ("&amp;DA322&amp;" мА)",""),""),IF(AND(CH322=1,CS322=""),"«узо»: нет строки с УЗО выше (УЗО 2P 40А 30мА в «Аппаратах»)",""),IF(AND(CS322&lt;&gt;"",CS322=BA322),IF(CT322="","впишите номинал УЗО (УЗО 2P 40А 30мА)",IF(N(CT322)&lt;N(DT322),"УЗО "&amp;CT322&amp;" А &lt; автомата "&amp;DT322&amp;" А перед ним",IF(N(CT322)&lt;N(CX322),"УЗО "&amp;CT322&amp;" А &lt; тока блока "&amp;FIXED(CX322,1)&amp;" А",""))),""),IF(AND(CS322&lt;&gt;"",CS322=BA322,ISNUMBER(CY322)),IF(CY322&gt;N(CV322)/3,"ток утечки блока УЗО "&amp;FIXED(CY322,1)&amp;" мА &gt; 1/3 уставки ("&amp;CV322&amp;" мА)",""),""),IF(AND(CG322=1,N(BV322)+N(IB322)&gt;0,IC322=""),"линии до 50 В без БП: впишите в «Аппараты» (БП 24V 480W)",""),IF(AND(CG322=1,ISNUMBER(ID322),ISNUMBER(U322)),IF(U322&gt;ID322,"БП "&amp;ID322&amp;" Вт &lt; нужно "&amp;U322&amp;" Вт (×"&amp;Запас_БП&amp;")",""),""),IF(AND(CG322=1,ISNUMBER(IE322),N(BV322)=1),IF(IE322&lt;&gt;N(BU322),"БП на "&amp;IE322&amp;" В, линия "&amp;BU322&amp;" В",""),""),IF(AND(N(IF322)&gt;0,N(IG322)&gt;N(IF322)),HH322&amp;" канал "&amp;HJ322&amp;": "&amp;FIXED(IG322,1)&amp;" А &gt; "&amp;IF322&amp;" А",""),IFERROR(IF(AND(ISNUMBER(Q322),Q322&gt;EL322),"потери "&amp;FIXED(Q322,1)&amp;" % &gt; "&amp;EL322&amp;" %",""),""),IFERROR(IF(LEFT(HU322,4)="мало","Iкз мало — отключение &gt; 0,4 с",""),""),IF(AND(B322&lt;&gt;"",BM322=""),"не на схеме",""),IF(AND(CG322=0,B322&lt;&gt;"",FV322&lt;&gt;"",IF(BA322=1,"",FW321)&lt;&gt;"",FV322&lt;&gt;IF(BA322=1,"",FW321)),"фаза не как у автомата группы ("&amp;IF(BA322=1,"",FW321)&amp;")","")))</f>
        <v/>
      </c>
      <c r="II322" s="6">
        <f>IF(OR(CG322=0,DQ322=""),"",_xlfn.LET(_xlpm.t,IFERROR(_xlfn.XLOOKUP(DQ322,Каталог!$U$4:$U$500,Каталог!$G$4:$G$500),""),_xlpm.k,SEARCH("кА",_xlpm.t),IFERROR(--TRIM(RIGHT(SUBSTITUTE(MID(_xlpm.t,MAX(1,_xlpm.k-4),_xlpm.k-MAX(1,_xlpm.k-4))," ",REPT(" ",9)),5)),"")))</f>
        <v>6</v>
      </c>
      <c r="IJ322" t="str">
        <f>IF(OR(II322="",CG322=0),"",IF(_xlfn.XLOOKUP(A322,Щиты[Щит],Щиты[Iкз max на шинах, кА],"")="","",IF(II322&lt;_xlfn.XLOOKUP(A322,Щиты[Щит],Щиты[Iкз max на шинах, кА]),"Icu "&amp;II322&amp;" кА &lt; Iкз max","ok")))</f>
        <v/>
      </c>
      <c r="IK322" t="str">
        <f t="shared" si="665"/>
        <v/>
      </c>
      <c r="IL322" t="str">
        <f t="shared" si="666"/>
        <v>QF5|XT5</v>
      </c>
      <c r="IM322" t="str">
        <f t="shared" si="667"/>
        <v>QF5|XT5|кабель ВВГнг(А)-LS (3х2,5) → Насос дренажный, пом. 005Т</v>
      </c>
      <c r="IN322" t="str" cm="1">
        <f t="array" ref="IN322">IF(IM322="","",_xlfn.LET(_xlpm.nd,_xlfn.TEXTSPLIT(IM322,"|"),IF(COLUMNS(_xlpm.nd)&gt;1,A322&amp;"¦"&amp;INDEX(_xlpm.nd,1)&amp;"¦"&amp;INDEX(_xlpm.nd,2),"")))</f>
        <v>ЩС-ВК.001¦QF5¦XT5</v>
      </c>
      <c r="IO322" t="str">
        <f t="shared" si="668"/>
        <v>НВК.00.005Т.1¦Насос дренажный, пом. 005Т</v>
      </c>
      <c r="IP322" t="str" cm="1">
        <f t="array" ref="IP322">IF(IM322="","",_xlfn.LET(_xlpm.nd,_xlfn.TEXTSPLIT(IM322,"|"),IF(COLUMNS(_xlpm.nd)&gt;2,A322&amp;"¦"&amp;INDEX(_xlpm.nd,2)&amp;"¦"&amp;INDEX(_xlpm.nd,3),"")))</f>
        <v>ЩС-ВК.001¦XT5¦кабель ВВГнг(А)-LS (3х2,5) → Насос дренажный, пом. 005Т</v>
      </c>
      <c r="IQ322" t="str">
        <f t="shared" si="669"/>
        <v>НВК.00.005Т.1¦Насос дренажный, пом. 005Т</v>
      </c>
      <c r="IR322" t="str" cm="1">
        <f t="array" ref="IR322">IF(IM322="","",_xlfn.LET(_xlpm.nd,_xlfn.TEXTSPLIT(IM322,"|"),IF(COLUMNS(_xlpm.nd)&gt;3,A322&amp;"¦"&amp;INDEX(_xlpm.nd,3)&amp;"¦"&amp;INDEX(_xlpm.nd,4),"")))</f>
        <v/>
      </c>
      <c r="IS322" t="str">
        <f t="shared" si="670"/>
        <v/>
      </c>
      <c r="IT322" t="str" cm="1">
        <f t="array" ref="IT322">IF(IM322="","",_xlfn.LET(_xlpm.nd,_xlfn.TEXTSPLIT(IM322,"|"),IF(COLUMNS(_xlpm.nd)&gt;4,A322&amp;"¦"&amp;INDEX(_xlpm.nd,4)&amp;"¦"&amp;INDEX(_xlpm.nd,5),"")))</f>
        <v/>
      </c>
      <c r="IU322" t="str">
        <f t="shared" si="671"/>
        <v/>
      </c>
      <c r="IV322" t="str" cm="1">
        <f t="array" ref="IV322">IF(IM322="","",_xlfn.LET(_xlpm.nd,_xlfn.TEXTSPLIT(IM322,"|"),IF(COLUMNS(_xlpm.nd)&gt;5,A322&amp;"¦"&amp;INDEX(_xlpm.nd,5)&amp;"¦"&amp;INDEX(_xlpm.nd,6),"")))</f>
        <v/>
      </c>
      <c r="IW322" t="str">
        <f t="shared" si="672"/>
        <v/>
      </c>
      <c r="IX322" t="str" cm="1">
        <f t="array" ref="IX322">IF(IM322="","",_xlfn.LET(_xlpm.nd,_xlfn.TEXTSPLIT(IM322,"|"),IF(COLUMNS(_xlpm.nd)&gt;6,A322&amp;"¦"&amp;INDEX(_xlpm.nd,6)&amp;"¦"&amp;INDEX(_xlpm.nd,7),"")))</f>
        <v/>
      </c>
      <c r="IY322" t="str">
        <f t="shared" si="673"/>
        <v/>
      </c>
      <c r="IZ322" t="str">
        <f t="shared" si="674"/>
        <v/>
      </c>
      <c r="JA322" t="str">
        <f t="shared" si="675"/>
        <v>QF5 → XT5</v>
      </c>
      <c r="JB322">
        <f t="shared" si="676"/>
        <v>0</v>
      </c>
      <c r="JC322">
        <f t="shared" si="677"/>
        <v>0</v>
      </c>
      <c r="JD322" t="str">
        <f t="shared" si="678"/>
        <v/>
      </c>
      <c r="JE322" t="str">
        <f t="shared" si="679"/>
        <v/>
      </c>
      <c r="JF322" t="str">
        <f t="shared" si="680"/>
        <v/>
      </c>
      <c r="JG322" t="str">
        <f t="shared" si="681"/>
        <v/>
      </c>
      <c r="JH322">
        <f>IF(B322="","",IFERROR(_xlfn.XLOOKUP(B322,Коды_код,Коды_уго),IFERROR(_xlfn.XLOOKUP(BC322,Коды_код,Коды_уго),IFERROR(_xlfn.XLOOKUP(LEFT(BC322,2),Коды_код,Коды_уго),""))))</f>
        <v>0</v>
      </c>
      <c r="JI322" t="str">
        <f>IF(B322="","",IF(OR(JH322="",JH322=0),"BOX",IFERROR(IF(VLOOKUP(JH322,УГО_блоки,3,FALSE)&amp;""&lt;&gt;"",VLOOKUP(JH322,УГО_блоки,3,FALSE),VLOOKUP(JH322,УГО_блоки,2,FALSE)),JH322)))</f>
        <v>BOX</v>
      </c>
      <c r="JJ322">
        <f t="shared" si="682"/>
        <v>1</v>
      </c>
      <c r="JK322" t="str">
        <f>IF(DQ322="","",IF(COUNTIF(DQ$3:DQ322,DQ322)=1,MAX(JK$2:JK321)+1,""))</f>
        <v/>
      </c>
      <c r="JL322" t="str">
        <f>IF(DE322="","",IF(COUNTIF(DE$3:DE322,DE322)+COUNTIF(DF$2:DF321,DE322)+COUNTIF(DG$2:DG321,DE322)=1,MAX(JL$2:JN321)+1,""))</f>
        <v/>
      </c>
      <c r="JM322" t="str">
        <f>IF(DF322="","",IF(COUNTIF(DE$3:DE322,DF322)+COUNTIF(DF$3:DF322,DF322)+COUNTIF(DG$2:DG321,DF322)=1,MAX(JL$2:JN321,JL322)+1,""))</f>
        <v/>
      </c>
      <c r="JN322" t="str">
        <f>IF(DG322="","",IF(COUNTIF(DE$3:DE322,DG322)+COUNTIF(DF$3:DF322,DG322)+COUNTIF(DG$3:DG322,DG322)=1,MAX(JL$2:JN321,JL322,JM322)+1,""))</f>
        <v/>
      </c>
      <c r="JO322" t="str">
        <f t="shared" si="683"/>
        <v>3х2,5</v>
      </c>
      <c r="JP322" t="str">
        <f>IF(JO322="","",IF(COUNTIF(JO$3:JO322,JO322)=1,MAX(JP$2:JP321)+1,""))</f>
        <v/>
      </c>
      <c r="JQ322" t="str">
        <f>IF(HG322="","",COUNTIF(HG$3:HG322,"?*"))</f>
        <v/>
      </c>
      <c r="JR322" t="str">
        <f>IF(OR(HG322="",HI322=""),"",IF(COUNTIFS(HG$3:HG322,"?*",HI$3:HI322,HI322)=1,MAX(JR$2:JR321)+1,""))</f>
        <v/>
      </c>
      <c r="JS322">
        <f t="shared" si="684"/>
        <v>0</v>
      </c>
      <c r="JT322">
        <f>IF(B322="","",COUNTIF(B$3:B322,"?*"))</f>
        <v>320</v>
      </c>
      <c r="JU322">
        <f>IF(HL322&lt;&gt;1,0,_xlfn.LET(_xlpm.k,MAX(IFERROR(--_xlfn.XLOOKUP(B322,Коды_код,Коды_3L),0),IFERROR(--_xlfn.XLOOKUP(BC322,Коды_код,Коды_3L),0),IFERROR(--_xlfn.XLOOKUP(LEFT(BC322,2),Коды_код,Коды_3L),0)),IF(_xlpm.k&gt;0,_xlpm.k,IF(IFERROR(--LEFT(SUBSTITUTE(JO322,"x","х"),FIND("х",SUBSTITUTE(JO322,"x","х"))-1),3)&gt;3,Каталог!$S$9,1))))</f>
        <v>1</v>
      </c>
      <c r="JV322">
        <f t="shared" si="685"/>
        <v>0</v>
      </c>
      <c r="JW322" t="str">
        <f t="shared" si="686"/>
        <v>авто</v>
      </c>
      <c r="JX322" t="str">
        <f t="shared" si="687"/>
        <v/>
      </c>
      <c r="JY322">
        <f t="shared" si="688"/>
        <v>0</v>
      </c>
      <c r="JZ322">
        <f t="shared" si="689"/>
        <v>1</v>
      </c>
    </row>
    <row r="323" spans="1:286" x14ac:dyDescent="0.3">
      <c r="A323" t="s">
        <v>763</v>
      </c>
      <c r="B323" t="s">
        <v>1626</v>
      </c>
      <c r="C323" t="str">
        <f>Линии[[#This Row],[_авто наименование]]</f>
        <v>Насос дренажный, пом. 005Т</v>
      </c>
      <c r="D323">
        <v>1</v>
      </c>
      <c r="E323">
        <v>0.6</v>
      </c>
      <c r="G323">
        <v>16</v>
      </c>
      <c r="H323" t="str">
        <f>Линии[[#This Row],[_авто управление]]</f>
        <v/>
      </c>
      <c r="I323" t="str">
        <f>Линии[[#This Row],[_авто аппараты]]</f>
        <v/>
      </c>
      <c r="J323">
        <v>2.5</v>
      </c>
      <c r="K323">
        <v>11</v>
      </c>
      <c r="L323">
        <v>1</v>
      </c>
      <c r="M323" t="str">
        <f>Линии[[#This Row],[_авто клемма]]</f>
        <v>XT6</v>
      </c>
      <c r="N323" t="str">
        <f t="shared" ref="N323:N352" si="690">_xlfn.TEXTJOIN("; ",TRUE,IK323,IH323,IF(LEFT(IJ323,3)="Icu",IJ323,""),IF(AND(B323&lt;&gt;"",EN323="не подобрано"),"сечение не подобрано: проверьте длину и автомат или впишите сечение",""))</f>
        <v/>
      </c>
      <c r="O323" s="6" cm="1">
        <f t="array" ref="O323">IF(B323="","",IF(BH323&lt;&gt;"",IFERROR(_xlfn.XLOOKUP(BH323,Щиты[Щит],Щиты[Iр, А]),""),IF(BP323=1,IF(OR(N(_xlfn.XLOOKUP(A323,Щиты[Щит],Щиты[Вводов],1))&lt;=1,LOWER(TRIM(_xlfn.XLOOKUP(A323,Щиты[Щит],Щиты[АВР],"")&amp;""))="да"),IFERROR(_xlfn.XLOOKUP(A323,Щиты[Щит],Щиты[Iр, А]),""),IFERROR(N(BS323)*_xlfn.XLOOKUP(A323,Щиты[Щит],Щиты[Кс итог])/(SQRT(3)*Uн_лин*_xlfn.XLOOKUP(A323,Щиты[Щит],Щиты[cos φ])),"")),IF(BV323=1,IFERROR(BS323*1000/BU323,""),IFERROR(_xlfn.IFS(BX323=1,BS323/((Uн_лин/SQRT(3))*CE323),BX323=3,BS323/(SQRT(3)*Uн_лин*CE323)),"")))))</f>
        <v>3.2475952641916441</v>
      </c>
      <c r="P323" s="7">
        <f>IF(B323="","",IFERROR(IF(VLOOKUP(BC323,Потребители_обозначение,4,FALSE)=1,VLOOKUP(BC323,Потребители_обозначение,3,FALSE)*(MAX(1,N(D323))*2-1)+EI323+VLOOKUP(BE323,Этаж_обозначение,3,FALSE)+VLOOKUP(BE323,Этаж_обозначение,4,FALSE),VLOOKUP(BC323,Потребители_обозначение,3,FALSE)*(MAX(1,N(D323))*2-1)+EI323),EI323))</f>
        <v>14</v>
      </c>
      <c r="Q323" s="6">
        <f t="shared" ref="Q323:Q352" si="691">IF(ISNUMBER(EW323),EW323+IF(BV323=1,0,ED323),"")</f>
        <v>2.4099999999999997</v>
      </c>
      <c r="R323" t="str">
        <f t="shared" ref="R323:R352" si="692">IF(OR(B323="",EX323=""),"",IF(EN323="не подобрано",EX323&amp;" — сечение не подобрано",EY323))</f>
        <v>ВВГнг(А)-LS (3х2,5)</v>
      </c>
      <c r="S323" t="str">
        <f>IF(BM323="","",IF(BN323="вводной узел","узел ","")&amp;"л."&amp;(INT((BM323-1)/Столбцов_на_лист)+1)&amp;" / "&amp;(MOD(BM323-1,Столбцов_на_лист)+1))</f>
        <v>л.1 / 15</v>
      </c>
      <c r="T323" s="119">
        <f t="shared" ref="T323:T352" si="693">IF(OR(CG323=0,BH323&lt;&gt;"",BP323=1),"",IF(AND(CS323&lt;&gt;"",CS323=BA323),ROUND(N(CY323),1),ROUND(N(HV323)+N(HW323),1)))</f>
        <v>1.4</v>
      </c>
      <c r="U323" s="7" t="str">
        <f>IF(OR(CG323=0,N(BV323)+N(IB323)=0),"",ROUNDUP(Запас_БП*(N(HY323)+N(HZ323)),0))</f>
        <v/>
      </c>
      <c r="V323" s="119" t="str">
        <f t="shared" ref="V323:V352" si="694">IF(OR(CG323=0,N(BV323)+N(IB323)=0),"",ROUND(MAX(N(HX323),N(IA323)),1))</f>
        <v/>
      </c>
      <c r="W323" s="7" t="str">
        <f>IFERROR(IF(OR(B323="",BP323=1,BV323=1,NOT(ISNUMBER(EN323)),N(DT323)=0),"",MAX(0,ROUNDDOWN((c_min*(Uн_лин*1000/SQRT(3))/(HT323*N(DT323))-_xlfn.XLOOKUP(A323,Щиты[Щит],Щиты[Zпетли на шинах, Ом]))*EN323/(2*ρкз_Cu),0))),"")</f>
        <v/>
      </c>
      <c r="Y323" t="str">
        <f>Линии[[#This Row],[_авто утечка]]</f>
        <v/>
      </c>
      <c r="Z323">
        <v>1</v>
      </c>
      <c r="AA323">
        <v>230</v>
      </c>
      <c r="AB323" t="s">
        <v>598</v>
      </c>
      <c r="AC323">
        <v>0.5</v>
      </c>
      <c r="AG323" t="s">
        <v>850</v>
      </c>
      <c r="AI323" t="s">
        <v>604</v>
      </c>
      <c r="AK323" t="str">
        <f>Линии[[#This Row],[_авто модуль]]</f>
        <v/>
      </c>
      <c r="AM323">
        <v>15</v>
      </c>
      <c r="AN323" t="s">
        <v>11</v>
      </c>
      <c r="AO323">
        <v>3</v>
      </c>
      <c r="AQ323">
        <v>1</v>
      </c>
      <c r="AR323">
        <v>10</v>
      </c>
      <c r="AS323">
        <v>0</v>
      </c>
      <c r="AT323">
        <v>1</v>
      </c>
      <c r="BA323" cm="1">
        <f t="array" ref="BA323">ROW()-ROW(Линии[#Headers])</f>
        <v>321</v>
      </c>
      <c r="BC323" s="6" t="str">
        <f t="shared" ref="BC323:BC352" si="695">IF(B323="","",IFERROR(LEFT(B323,SEARCH(".",B323)-1),B323))</f>
        <v>НВК</v>
      </c>
      <c r="BD323" t="str">
        <f t="shared" ref="BD323:BD352" si="696">IFERROR(RIGHT(B323,LEN(B323)-SEARCH(".",B323)),"")</f>
        <v>00.005Т.2</v>
      </c>
      <c r="BE323" t="str">
        <f t="shared" ref="BE323:BE386" si="697">IFERROR(LEFT(BD323,SEARCH(".",BD323)-1),BD323)</f>
        <v>00</v>
      </c>
      <c r="BF323" t="str">
        <f t="shared" ref="BF323:BF352" si="698">IFERROR(RIGHT(BD323,LEN(BD323)-SEARCH(".",BD323)),"")</f>
        <v>005Т.2</v>
      </c>
      <c r="BG323" t="str">
        <f t="shared" ref="BG323:BG386" si="699">IFERROR(LEFT(BF323,SEARCH(".",BF323)-1),BF323)</f>
        <v>005Т</v>
      </c>
      <c r="BH323" t="str">
        <f>IF(X323&lt;&gt;"",X323,IF(AND(B323&lt;&gt;"",B323&lt;&gt;A323,ISNUMBER(_xlfn.XMATCH(B323,Щиты[Щит]))),B323,""))</f>
        <v/>
      </c>
      <c r="BI323" t="str" cm="1">
        <f t="array" ref="BI323">IF(B323="","",IF(BH323&lt;&gt;"","Щит "&amp;BH323,_xlfn.LET(_xlpm.nm,IFERROR(_xlfn.XLOOKUP(BC323,Коды_код,Коды_имя)&amp;"",""),_xlpm.md,IFERROR(N(_xlfn.XLOOKUP(BC323,Коды_код,Коды_режим)),1),_xlpm.ex,IF(Имя_режим="по экспликации",IFERROR(_xlfn.XLOOKUP(BE323&amp;"|"&amp;BG323,Экспликация[Этаж]&amp;"|"&amp;Экспликация[Помещение],Экспликация[Название])&amp;"",""),""),_xlpm.rm,IF(BG323="","",IF(_xlpm.ex&lt;&gt;"",". "&amp;_xlpm.ex&amp;IF(Имя_пом="нет"," ("&amp;BG323&amp;")"," (пом. "&amp;BG323&amp;")"),IF(Имя_пом="нет"," ",", пом. ")&amp;BG323)),IF(_xlpm.nm="","",IF(_xlpm.md=2,_xlpm.nm&amp;" шлейф "&amp;BE323,_xlpm.nm&amp;_xlpm.rm)))))</f>
        <v>Насос дренажный, пом. 005Т</v>
      </c>
      <c r="BJ323" t="str">
        <f t="shared" ref="BJ323:BJ386" si="700">IF(TRIM(C323&amp;"")="",BI323,C323)</f>
        <v>Насос дренажный, пом. 005Т</v>
      </c>
      <c r="BK323">
        <f>IFERROR(_xlfn.XMATCH(A323,Щиты[Щит]),0)</f>
        <v>13</v>
      </c>
      <c r="BL323">
        <f>_xlfn.LET(_xlpm.k,IFERROR(_xlfn.XLOOKUP(A323,Щиты[Щит],Щиты[Мест под вводной узел]),""),IF(_xlpm.k="",Столбцов_на_лист,N(_xlpm.k)))</f>
        <v>9</v>
      </c>
      <c r="BM323">
        <f t="shared" ref="BM323:BM386" si="701">IF(AM323="-","",IF(ISNUMBER(AM323),AM323,_xlfn.LET(_xlpm.prev,IF(OR(BA323=1,A323&lt;&gt;A322),0,N(IF(BA323=1,"",BM322))),_xlpm.nx,_xlpm.prev+1,IF(AND(AJ323&lt;&gt;"вручную",_xlpm.nx&lt;=BL323),BL323+1,_xlpm.nx))))</f>
        <v>15</v>
      </c>
      <c r="BN323" t="str">
        <f t="shared" ref="BN323:BN386" si="702">IF(BM323="","",IF(BM323&lt;=BL323,"вводной узел","линии"))</f>
        <v>линии</v>
      </c>
      <c r="BO323" s="6">
        <f>IFERROR(N(_xlfn.XLOOKUP(BC323,Коды_код,Коды_квт)),0)</f>
        <v>0</v>
      </c>
      <c r="BP323">
        <f t="shared" ref="BP323:BP352" si="703">IF(AND(B323&lt;&gt;"",BC323="Ввод"),1,0)</f>
        <v>0</v>
      </c>
      <c r="BQ323" t="str">
        <f>IF(B323="","",IF(BH323&lt;&gt;"",IFERROR(_xlfn.XLOOKUP(BH323,Щиты[Щит],Щиты[Руст, кВт]),0),IF(BP323=1,IF(OR(N(_xlfn.XLOOKUP(A323,Щиты[Щит],Щиты[Вводов],1))&lt;=1,LOWER(TRIM(_xlfn.XLOOKUP(A323,Щиты[Щит],Щиты[АВР],"")&amp;""))="да"),IFERROR(_xlfn.XLOOKUP(A323,Щиты[Щит],Щиты[Руст, кВт]),0),SUMIFS(Линии[_Р для вводов],Линии[Щит],A323,Линии[Источник для режимов],GF323)),IF(BO323&gt;0,ROUND(BO323*MAX(1,N(D323)),3),""))))</f>
        <v/>
      </c>
      <c r="BR323">
        <f t="shared" ref="BR323:BR386" si="704">IF(TRIM(E323&amp;"")="",BQ323,E323)</f>
        <v>0.6</v>
      </c>
      <c r="BS323" s="6">
        <f>IF(B323="","",IF(BH323&lt;&gt;"",IFERROR(_xlfn.XLOOKUP(BH323,Щиты[Щит],Щиты[Руст, кВт]),0),N(BR323)))</f>
        <v>0.6</v>
      </c>
      <c r="BT323" t="str">
        <f>IF(B323="","",IFERROR(IF(VLOOKUP(BC323,Потребители_обозначение,8,FALSE)=0,"",VLOOKUP(BC323,Потребители_обозначение,8,FALSE)),""))</f>
        <v/>
      </c>
      <c r="BU323">
        <f t="shared" ref="BU323:BU386" si="705">IF(TRIM(AA323&amp;"")="",BT323,AA323)</f>
        <v>230</v>
      </c>
      <c r="BV323">
        <f t="shared" ref="BV323:BV386" si="706">IF(B323="",0,IF(AND(N(BU323)&gt;0,N(BU323)&lt;=50),1,0))</f>
        <v>0</v>
      </c>
      <c r="BW323">
        <f>IF(B323="","",IF(BH323&lt;&gt;"",3,IFERROR(IF(N(VLOOKUP(BC323,Потребители_обозначение,9,FALSE))=0,1,VLOOKUP(BC323,Потребители_обозначение,9,FALSE)),1)))</f>
        <v>1</v>
      </c>
      <c r="BX323">
        <f t="shared" ref="BX323:BX386" si="707">IF(B323="","",IF(TRIM(Z323&amp;"")="",BW323,N(Z323)))</f>
        <v>1</v>
      </c>
      <c r="BY323" t="str">
        <f>IF(B323="","",_xlfn.LET(_xlpm.bc,IFERROR(IF(VLOOKUP(BC323,Потребители_обозначение,6,FALSE)=0,"",VLOOKUP(BC323,Потребители_обозначение,6,FALSE)&amp;""),""),IF(AND(GA323="да",OR(_xlpm.bc="",_xlpm.bc="мс")),Марка_пож,IF(AND(_xlpm.bc="",BH323&lt;&gt;""),"мс",_xlpm.bc))))</f>
        <v/>
      </c>
      <c r="BZ323" t="str">
        <f t="shared" ref="BZ323:BZ386" si="708">IF(TRIM(AN323&amp;"")="",BY323,AN323)</f>
        <v>мс</v>
      </c>
      <c r="CA323">
        <f>IF(B323="","",_xlfn.LET(_xlpm.cc,IFERROR(N(VLOOKUP(BC323,Потребители_обозначение,7,FALSE)),0),IF(_xlpm.cc&gt;0,_xlpm.cc,IF(BZ323="","",IF(BV323=1,2,IF(N(BX323)=3,5,3))))))</f>
        <v>3</v>
      </c>
      <c r="CB323">
        <f t="shared" ref="CB323:CB386" si="709">IF(TRIM(AO323&amp;"")="",CA323,AO323)</f>
        <v>3</v>
      </c>
      <c r="CC323">
        <f>IFERROR(N(VLOOKUP(BC323,Потребители_обозначение,10,FALSE)),0)</f>
        <v>0</v>
      </c>
      <c r="CD323">
        <f>IFERROR(VLOOKUP(BC323,Потребители_обозначение,5,FALSE),0)</f>
        <v>1</v>
      </c>
      <c r="CE323" s="6" cm="1">
        <f t="array" ref="CE323">IF(B323="","",IF(BH323&lt;&gt;"",IFERROR(_xlfn.XLOOKUP(BH323,Щиты[Щит],Щиты[cos φ]),0.95),IF(BP323=1,IFERROR(_xlfn.XLOOKUP(A323,Щиты[Щит],Щиты[cos φ]),0.95),IF(ISNUMBER(AD323),AD323,IFERROR(IF(CD323=2,_xlfn.IFS(BX323=3,VLOOKUP(BS323,Справочная_двигатели,8,FALSE),BX323=1,VLOOKUP(BS323,Справочная_двигатели,10,TRUE)),IF(AND(Методика="нормы 2026",FG323="Сил"),0.8,0.95)),0.95)))))</f>
        <v>0.8</v>
      </c>
      <c r="CF323">
        <f t="shared" ref="CF323:CF352" si="710">IF(OR(TRIM(F323&amp;"")="гр",TRIM(F323&amp;"")="=",TRIM(F323&amp;"")="^",TRIM(F323&amp;"")="↑"),1,0)</f>
        <v>0</v>
      </c>
      <c r="CG323">
        <f t="shared" ref="CG323:CG386" si="711">IF(AND(B323&lt;&gt;"",CF323=0),1,0)</f>
        <v>1</v>
      </c>
      <c r="CH323">
        <f t="shared" ref="CH323:CH352" si="712">IF(B323="",0,IF(TRIM(F323&amp;"")="узо",1,0))</f>
        <v>0</v>
      </c>
      <c r="CI323">
        <f>IF(B323="","",IF(BV323=1,IFERROR(BS323/((Uн_лин/SQRT(3))*MAX(0.5,N(CE323))),0),N(O323)))</f>
        <v>3.2475952641916441</v>
      </c>
      <c r="CJ323">
        <f t="shared" ref="CJ323:CJ352" si="713">IF(AND(A324=A323,AJ324&lt;&gt;"вручную",OR(B324="",CF324=1)),IF(B324="",0,N(CI324))+N(CJ324),0)</f>
        <v>0</v>
      </c>
      <c r="CK323">
        <f t="shared" ref="CK323:CK352" si="714">IF(AND(A324=A323,AJ324&lt;&gt;"вручную",OR(B324="",CF324=1)),IF(B324="",0,N(BS324))+N(CK324),0)</f>
        <v>0</v>
      </c>
      <c r="CL323">
        <f t="shared" ref="CL323:CL352" si="715">IF(AND(A324=A323,AJ324&lt;&gt;"вручную",OR(B324="",CF324=1)),MAX(IF(B324="",0,N(BX324)),N(CL324)),0)</f>
        <v>0</v>
      </c>
      <c r="CM323">
        <f t="shared" ref="CM323:CM352" si="716">IF(AND(A324=A323,AJ324&lt;&gt;"вручную",OR(B324="",CF324=1)),MAX(IF(B324="",0,N(DB324)),N(CM324)),0)</f>
        <v>0</v>
      </c>
      <c r="CN323">
        <f t="shared" ref="CN323:CN352" si="717">IF(AND(A324=A323,AJ324&lt;&gt;"вручную",OR(B324="",CF324=1)),_xlfn.LET(_xlpm.a_,IF(B324="",0,N(CZ324)),_xlpm.b_,N(CN324),IF(_xlpm.a_=0,_xlpm.b_,IF(_xlpm.b_=0,_xlpm.a_,MIN(_xlpm.a_,_xlpm.b_)))),0)</f>
        <v>0</v>
      </c>
      <c r="CO323">
        <f>IF(BC323="",0,_xlfn.LET(_xlpm.v,IFERROR(_xlfn.XLOOKUP(B323,Коды_код,Коды_мА),IFERROR(_xlfn.XLOOKUP(BC323,Коды_код,Коды_мА),IFERROR(_xlfn.XLOOKUP(LEFT(BC323,2),Коды_код,Коды_мА),""))),IF(_xlpm.v="да",30,IF(ISNUMBER(_xlpm.v),_xlpm.v,0))))</f>
        <v>0</v>
      </c>
      <c r="CP323" t="str">
        <f t="shared" ref="CP323:CP386" si="718">IF(B323="","",IF(N(CO323)&gt;0,CO323,""))</f>
        <v/>
      </c>
      <c r="CQ323" t="str">
        <f>_xlfn.LET(_xlpm.k,IFERROR(_xlfn.XLOOKUP(BC323,Коды_код,Коды_утечка)&amp;"",""),IF(_xlpm.k="","дифавтомат",_xlpm.k))</f>
        <v>дифавтомат</v>
      </c>
      <c r="CR323" t="str" cm="1">
        <f t="array" ref="CR323">IF(CG323=0,"",_xlfn.LET(_xlpm.sg,TRIM(_xlfn.TEXTSPLIT(DD323&amp;"",";")),_xlpm.f_,_xlfn._xlws.FILTER(_xlpm.sg,LEFT(_xlpm.sg,3)="УЗО",""),IFERROR(INDEX(_xlpm.f_,1)&amp;"","")))</f>
        <v/>
      </c>
      <c r="CS323" t="str">
        <f t="shared" ref="CS323:CS386" si="719">IF(B323="",IF(OR(OR(BA323=1,A323&lt;&gt;A322),AJ323="вручную"),"",IF(BA323=1,"",CS322)),IF(CG323=1,IF(CH323=1,IF(OR(BA323=1,A323&lt;&gt;A322),"",IF(BA323=1,"",CS322)),IF(CR323&lt;&gt;"",BA323,"")),IF(AND(NOT(OR(BA323=1,A323&lt;&gt;A322)),AJ323&lt;&gt;"вручную",IF(BA323=1,"",DS322)="ok"),IF(BA323=1,"",CS322),"")))</f>
        <v/>
      </c>
      <c r="CT323" s="6" t="str" cm="1">
        <f t="array" ref="CT323">IF(CR323="","",_xlfn.LET(_xlpm.tk,_xlfn.TEXTSPLIT(UPPER(CR323)," ",,TRUE),_xlpm.a_,_xlfn._xlws.FILTER(_xlpm.tk,ISNUMBER(--LEFT(_xlpm.tk,1))*((ISNUMBER(SEARCH("А",_xlpm.tk))+ISNUMBER(SEARCH("A",_xlpm.tk)))&gt;0)*NOT(ISNUMBER(SEARCH("МА",_xlpm.tk)))*NOT(ISNUMBER(SEARCH("MA",_xlpm.tk))),""),IFERROR(--SUBSTITUTE(SUBSTITUTE(INDEX(_xlpm.a_,1),"А",""),"A",""),"")))</f>
        <v/>
      </c>
      <c r="CU323" t="str" cm="1">
        <f t="array" ref="CU323">IF(CR323="","",_xlfn.LET(_xlpm.tk,_xlfn.TEXTSPLIT(UPPER(CR323)," ",,TRUE),_xlpm.a_,_xlfn._xlws.FILTER(_xlpm.tk,ISNUMBER(--LEFT(_xlpm.tk,1))*((ISNUMBER(SEARCH("МА",_xlpm.tk))+ISNUMBER(SEARCH("MA",_xlpm.tk)))&gt;0),""),IFERROR(--SUBSTITUTE(SUBSTITUTE(INDEX(_xlpm.a_,1),"МА",""),"MA",""),30)))</f>
        <v/>
      </c>
      <c r="CV323" t="str">
        <f>IF(CS323="","",IFERROR(_xlfn.XLOOKUP(CS323,Линии[_n],Линии[_УЗО, мА]),30))</f>
        <v/>
      </c>
      <c r="CW323">
        <f>IF(CS323="",0,IF(ISNUMBER(SEARCH("4P",IFERROR(_xlfn.XLOOKUP(CS323,Линии[_n],Линии[_УЗО строки])&amp;"",""))),0,1))</f>
        <v>0</v>
      </c>
      <c r="CX323" t="str">
        <f>IF(AND(CS323&lt;&gt;"",CS323=BA323),SUMIFS(Линии[_ток на 230 В],Линии[_блок УЗО],BA323,Линии[Щит],A323),"")</f>
        <v/>
      </c>
      <c r="CY323" t="str">
        <f>IF(AND(CS323&lt;&gt;"",CS323=BA323),SUMIFS(Линии[_ток утечки линии, мА],Линии[_блок УЗО],BA323,Линии[Щит],A323),"")</f>
        <v/>
      </c>
      <c r="CZ323">
        <f t="shared" ref="CZ323:CZ352" si="720">IF(B323="",0,_xlfn.LET(_xlpm.v,IF(TRIM(Y323&amp;"")="",CP323,Y323),_xlpm.nm,IF(_xlpm.v&amp;""="нет",0,IF(_xlpm.v&amp;""="да",30,IFERROR(--_xlpm.v,0))),IF(OR(CQ323="УЗО на группу",CS323&lt;&gt;""),0,_xlpm.nm)))</f>
        <v>0</v>
      </c>
      <c r="DA323">
        <f t="shared" ref="DA323:DA386" si="721">IF(CG323=0,"",_xlfn.LET(_xlpm.a_,N(CZ323),_xlpm.b_,IF(AJ323="вручную",0,N(CN323)),IF(_xlpm.a_=0,_xlpm.b_,IF(_xlpm.b_=0,_xlpm.a_,MIN(_xlpm.a_,_xlpm.b_)))))</f>
        <v>0</v>
      </c>
      <c r="DB323">
        <f>IF(B323="",0,IFERROR(--_xlfn.XLOOKUP(B323,Коды_код,Коды_минавт),IFERROR(--_xlfn.XLOOKUP(BC323,Коды_код,Коды_минавт),IFERROR(--_xlfn.XLOOKUP(LEFT(BC323,2),Коды_код,Коды_минавт),0))))</f>
        <v>0</v>
      </c>
      <c r="DC323" t="str">
        <f>IF(B323="","",IFERROR(_xlfn.XLOOKUP(BC323,Коды_код,Коды_апп)&amp;"",""))</f>
        <v/>
      </c>
      <c r="DD323" t="str">
        <f t="shared" ref="DD323:DD386" si="722">IF(TRIM(I323&amp;"")="",DC323,I323)</f>
        <v/>
      </c>
      <c r="DE323" t="str" cm="1">
        <f t="array" ref="DE323">IF(TRIM(DD323&amp;"")="","",IFERROR(TRIM(INDEX(_xlfn.TEXTSPLIT(DD323&amp;";;;",";"),1)),""))</f>
        <v/>
      </c>
      <c r="DF323" t="str" cm="1">
        <f t="array" ref="DF323">IF(TRIM(DD323&amp;"")="","",IFERROR(TRIM(INDEX(_xlfn.TEXTSPLIT(DD323&amp;";;;",";"),2)),""))</f>
        <v/>
      </c>
      <c r="DG323" t="str" cm="1">
        <f t="array" ref="DG323">IF(TRIM(DD323&amp;"")="","",IFERROR(TRIM(INDEX(_xlfn.TEXTSPLIT(DD323&amp;";;;",";"),3)),""))</f>
        <v/>
      </c>
      <c r="DH323">
        <f t="shared" ref="DH323:DH352" si="723">IF(DD323="",0,IF(OR(LEFT(DE323,2)="T ",LEFT(DE323,2)="Т ",ISNUMBER(SEARCH("БП",DD323)),ISNUMBER(SEARCH("; T ",DD323)),ISNUMBER(SEARCH("; Т ",DD323))),1,0))</f>
        <v>0</v>
      </c>
      <c r="DI323" t="str">
        <f>IF(B323="","",_xlfn.LET(_xlpm.t,LOWER(AZ323&amp;""),IF(ISNUMBER(SEARCH("dim",_xlpm.t)),"DIM",IF(ISNUMBER(SEARCH("dali",_xlpm.t)),"DALI",IF(OR(ISNUMBER(SEARCH("relay",_xlpm.t)),ISNUMBER(SEARCH("реле",_xlpm.t))),"Relay",IF(ISNUMBER(SEARCH("кнопк",_xlpm.t)),"",IFERROR(_xlfn.XLOOKUP(BC323,Коды_код,Коды_упр)&amp;"","")))))))</f>
        <v/>
      </c>
      <c r="DJ323" t="str">
        <f t="shared" ref="DJ323:DJ386" si="724">IF(TRIM(H323&amp;"")="",DI323,H323)</f>
        <v/>
      </c>
      <c r="DK323">
        <f>IF(B323="","",_xlfn.LET(_xlpm.ig,IF(N(CX323)&gt;0,N(CX323),N(CI323)+IF(AJ323="вручную",0,N(CJ323))),_xlpm.n0,IFERROR(VLOOKUP(_xlpm.ig,Автомат_номиналы,2,TRUE),0),_xlpm.mn,MAX(DB323,IF(AJ323="вручную",0,N(CM323))),MAX(_xlpm.n0,_xlpm.mn,IF(DH323=1,Мин_автомат_БП,0))))</f>
        <v>6</v>
      </c>
      <c r="DL323">
        <f t="shared" ref="DL323:DL352" si="725">IF(B323="","",MAX(N(BX323),IF(AJ323="вручную",0,N(CL323))))</f>
        <v>1</v>
      </c>
      <c r="DM323" t="str">
        <f t="shared" ref="DM323:DM386" si="726">IF(B323="","",IF(N(DL323)&gt;=3,IF(N(DA323)&gt;0,"4P","3P"),IF(N(DA323)&gt;0,"2P","1P")))</f>
        <v>1P</v>
      </c>
      <c r="DN323" t="str">
        <f>_xlfn.LET(_xlpm.cc,UPPER(TRIM(IFERROR(_xlfn.XLOOKUP(BC323,Коды_код,Коды_хар)&amp;"",""))),IF(OR(_xlpm.cc="B",_xlpm.cc="В"),"B",IF(_xlpm.cc="D","D","С")))</f>
        <v>С</v>
      </c>
      <c r="DO323" t="str">
        <f t="shared" ref="DO323:DO386" si="727">IF(B323="","",IF(CG323=0,IF(AND(AND(NOT(OR(BA323=1,A323&lt;&gt;A322)),AJ323&lt;&gt;"вручную",IF(BA323=1,"",DS322)="ok"),IF(BA323=1,"",DU322)&lt;&gt;""),"↑ "&amp;IF(BA323=1,"",DU322),""),IF(N(DK323)=0,"",DM323&amp;" "&amp;DN323&amp;DK323&amp;"А"&amp;IF(N(DA323)&gt;0," "&amp;DA323&amp;"мА",""))))</f>
        <v>1P С6А</v>
      </c>
      <c r="DP323">
        <f t="shared" ref="DP323:DP386" si="728">IF(TRIM(G323&amp;"")="",DO323,G323)</f>
        <v>16</v>
      </c>
      <c r="DQ323" t="str">
        <f t="shared" ref="DQ323:DQ386" si="729">IF(CG323=0,"",_xlfn.LET(_xlpm.v,TRIM(DP323&amp;""),IF(_xlpm.v="","",IF(ISNUMBER(--_xlpm.v),DM323&amp;" "&amp;DN323&amp;(--_xlpm.v)&amp;"А"&amp;IF(N(DA323)&gt;0," "&amp;DA323&amp;"мА",""),IF(ISNUMBER(SEARCH("P",UPPER(_xlpm.v))),_xlpm.v,DM323&amp;" "&amp;_xlpm.v)))))</f>
        <v>1P С16А</v>
      </c>
      <c r="DR323" cm="1">
        <f t="array" ref="DR323">IF(DQ323="","",_xlfn.LET(_xlpm.t,SUBSTITUTE(SUBSTITUTE(SUBSTITUTE(UPPER(DQ323),"С","C"),"А","A"),"В","B"),_xlpm.tk,_xlfn.TEXTSPLIT(_xlpm.t," "),_xlpm.f,_xlfn._xlws.FILTER(_xlpm.tk,ISNUMBER(--MID(_xlpm.tk,2,1))*ISNUMBER(SEARCH(LEFT(_xlpm.tk,1)&amp;"#","B#C#D#"))*(LEN(_xlpm.tk)&gt;1),""),_xlpm.x,INDEX(_xlpm.f,1),IFERROR(--SUBSTITUTE(MID(_xlpm.x,2,9),"A",""),IFERROR(--SUBSTITUTE(INDEX(_xlfn._xlws.FILTER(_xlpm.tk,ISNUMBER(--SUBSTITUTE(_xlpm.tk,"A","")),""),1),"A",""),""))))</f>
        <v>16</v>
      </c>
      <c r="DS323" t="str">
        <f t="shared" ref="DS323:DS352" si="730">IF(CG323=1,IF(AJ323="вручную","узел","ok"),IF(OR(OR(BA323=1,A323&lt;&gt;A322),AJ323="вручную"),"",IF(BA323=1,"",DS322)))</f>
        <v>ok</v>
      </c>
      <c r="DT323">
        <f t="shared" ref="DT323:DT352" si="731">IF(CG323=1,DR323,IF(AND(NOT(OR(BA323=1,A323&lt;&gt;A322)),AJ323&lt;&gt;"вручную",IF(BA323=1,"",DS322)="ok"),IF(BA323=1,"",DT322),""))</f>
        <v>16</v>
      </c>
      <c r="DU323" t="str">
        <f t="shared" ref="DU323:DU352" si="732">IF(CG323=1,DQ323,IF(AND(NOT(OR(BA323=1,A323&lt;&gt;A322)),AJ323&lt;&gt;"вручную",IF(BA323=1,"",DS322)="ok"),IF(BA323=1,"",DU322),""))</f>
        <v>1P С16А</v>
      </c>
      <c r="DV323">
        <f t="shared" ref="DV323:DV352" si="733">IF(CG323=1,DA323,IF(AND(NOT(OR(BA323=1,A323&lt;&gt;A322)),AJ323&lt;&gt;"вручную",IF(BA323=1,"",DS322)="ok"),IF(BA323=1,"",DV322),""))</f>
        <v>0</v>
      </c>
      <c r="DW323">
        <f t="shared" ref="DW323:DW386" si="734">IF(OR(N(DV323)&gt;0,CS323&lt;&gt;""),1,0)</f>
        <v>0</v>
      </c>
      <c r="DX323">
        <f t="shared" ref="DX323:DX352" si="735">IF(CG323=1,DH323,IF(AND(NOT(OR(BA323=1,A323&lt;&gt;A322)),AJ323&lt;&gt;"вручную",IF(BA323=1,"",DS322)="ok"),N(IF(BA323=1,"",DX322)),0))</f>
        <v>0</v>
      </c>
      <c r="DY323">
        <f t="shared" ref="DY323:DY352" si="736">IF(CG323=1,IF(N(CX323)&gt;0,N(CX323),N(CI323)+IF(AJ323="вручную",0,N(CJ323))),"")</f>
        <v>3.2475952641916441</v>
      </c>
      <c r="DZ323">
        <f t="shared" ref="DZ323:DZ352" si="737">IF(N(CB323)=1,1,IF(BX323=1,1,IF(N(CB323)&gt;=4,0.92,1)))</f>
        <v>1</v>
      </c>
      <c r="EA323">
        <f>IF(ISNUMBER(AP323),AP323,К_прокл)</f>
        <v>1</v>
      </c>
      <c r="EB323">
        <f t="shared" ref="EB323:EB352" si="738">IF(N(CB323)=1,1,IF(BX323=1,2,3))</f>
        <v>2</v>
      </c>
      <c r="EC323">
        <f>IFERROR(N(VLOOKUP(BZ323,Кабель_обозначение,3,FALSE)),1)</f>
        <v>1</v>
      </c>
      <c r="ED323">
        <f>IFERROR(N(_xlfn.XLOOKUP(A323,Щиты[Щит],Щиты[ΔU до шин, %])),0)</f>
        <v>2.1199999999999997</v>
      </c>
      <c r="EE323" t="str">
        <f>IFERROR(_xlfn.XLOOKUP(A323,Щиты[Щит],Щиты[Zпетли на шинах, Ом]),"")</f>
        <v/>
      </c>
      <c r="EF323">
        <f>IFERROR(N(_xlfn.XLOOKUP(A323,Щиты[Щит],Щиты[ΔU до шин (подбор), %])),0)</f>
        <v>3.3699999999999997</v>
      </c>
      <c r="EG323" t="str">
        <f>IFERROR(_xlfn.XLOOKUP(A323,Щиты[Щит],Щиты[Zпетли на шинах (подбор), Ом]),"")</f>
        <v/>
      </c>
      <c r="EH323" t="str">
        <f t="shared" ref="EH323:EH352" si="739">IF(COUNT(AV323,AW323)=0,"",ROUNDUP(SUM(AV323,AW323),0))</f>
        <v/>
      </c>
      <c r="EI323">
        <f t="shared" ref="EI323:EI386" si="740">IF(TRIM(K323&amp;"")="",EH323,K323)</f>
        <v>11</v>
      </c>
      <c r="EJ323">
        <f t="shared" ref="EJ323:EJ352" si="741">IF(BX323=1,2,IF(BX323=3,1,""))</f>
        <v>2</v>
      </c>
      <c r="EK323">
        <f t="shared" ref="EK323:EK352" si="742">IFERROR(ROUND(SIN(ACOS(CE323)),2),"")</f>
        <v>0.6</v>
      </c>
      <c r="EL323" s="6">
        <f>IF(B323="","",IF(BV323=1,dU_LED,IF(IFERROR(_xlfn.XLOOKUP(BC323,Коды_код,Коды_уго),"")="Светильник",3,4)+IF(Методика="нормы 2026",MIN(0.5,MAX(0,N(P323)-100)*0.005),0)))</f>
        <v>4</v>
      </c>
      <c r="EM323" cm="1">
        <f t="array" ref="EM323">IF(OR(B323="",BZ323="",EC323&lt;&gt;1),"",_xlfn.LET(_xlpm.sz,Iдоп_S,_xlpm.t_,CHOOSE(EB323,Iдоп_1ж,Iдоп_2ж,Iдоп_3ж)*DZ323*EA323,_xlpm.dcx,BV323=1,_xlpm.inn,IF(_xlpm.dcx,N(O323),N(DT323)),_xlpm.smin,MAX(1.5,CC323),_xlpm.L_,N(P323)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323)/N(BU323)*100,999),IFERROR(N(EJ323)*(_xlpm.rho*_xlpm.L_/_xlpm.sz*N(CE323)+_xlpm.xx*_xlpm.L_*N(EK323)/1000)*N(O323)/((Uн_лин/SQRT(3))*1000)*100,999)),_xlpm.kz,IF(OR(_xlpm.dcx,DW323=1,NOT(ISNUMBER(EG323)),_xlpm.L_=0,_xlpm.inn=0),1,IFERROR(--(c_min*(Uн_лин*1000/SQRT(3))/(EG323+2*ρкз_Cu*_xlpm.L_/_xlpm.sz)&gt;=HT323*_xlpm.inn),0)),_xlpm.ok,IFERROR((_xlpm.sz&gt;=_xlpm.smin)*(_xlpm.t_&gt;=_xlpm.inn)*IF(_xlpm.L_&gt;0,(_xlpm.du_+IF(_xlpm.dcx,0,EF323)&lt;=EL323+0.00001),1)*_xlpm.kz,0),_xlpm.r_,_xlfn._xlws.FILTER(_xlpm.sz,_xlpm.ok,"не подобрано"),INDEX(_xlpm.r_,1)))</f>
        <v>1.5</v>
      </c>
      <c r="EN323">
        <f t="shared" ref="EN323:EN386" si="743">IF(B323="","",IF(TRIM(J323&amp;"")="",EM323,J323))</f>
        <v>2.5</v>
      </c>
      <c r="EO323" cm="1">
        <f t="array" ref="EO323">IF(OR(B323="",BZ323="",EC323&lt;&gt;1),"",_xlfn.LET(_xlpm.sz,Iдоп_S,_xlpm.t_,CHOOSE(EB323,Iдоп_1ж,Iдоп_2ж,Iдоп_3ж)*DZ323*EA323,_xlpm.ok,IFERROR((_xlpm.sz&gt;=MAX(1.5,CC323))*(_xlpm.t_&gt;=N(DT323)),0),_xlpm.r_,_xlfn._xlws.FILTER(_xlpm.sz,_xlpm.ok,""),INDEX(_xlpm.r_,1)))</f>
        <v>1.5</v>
      </c>
      <c r="EP323" s="6" cm="1">
        <f t="array" ref="EP323">IFERROR(ROUNDUP(N(EJ323)*(_xlfn.XLOOKUP(EO323,INDEX(Кабель_сопротивление,0,1),INDEX(Кабель_сопротивление,0,3))*N(P323)/EO323*N(CE323)+_xlfn.XLOOKUP(EO323,INDEX(Кабель_сопротивление,0,1),INDEX(Кабель_сопротивление,0,2))*N(P323)*N(EK323)/1000)*N(O323)/((Uн_лин/SQRT(3))*1000)*100,2),"")</f>
        <v>0.48</v>
      </c>
      <c r="EQ323">
        <f>IFERROR(2*ρкз_Cu*N(P323)/EO323,"")</f>
        <v>0.49093333333333339</v>
      </c>
      <c r="ER323">
        <f>IFERROR(VLOOKUP(EN323,Кабель_сопротивление,3,FALSE),"")</f>
        <v>2.2499999999999999E-2</v>
      </c>
      <c r="ES323">
        <f>IFERROR(VLOOKUP(EN323,Кабель_сопротивление,2,FALSE),"")</f>
        <v>0.1</v>
      </c>
      <c r="ET323">
        <f t="shared" ref="ET323:ET352" si="744">IF(AR323&lt;&gt;"",AR323,IF(OR(EI323="",AT323=""),"",IF(AT323=1,MAX(0,P323-ROUNDUP(N(AW323),0)-4),ROUNDUP(N(AV323),0))))</f>
        <v>10</v>
      </c>
      <c r="EU323">
        <f t="shared" ref="EU323:EU352" si="745">IF(AS323&lt;&gt;"",AS323,IF(OR(EI323="",AT323=""),"",IF(AT323=2,MAX(0,P323-ROUNDUP(N(AV323),0)-4),ROUNDUP(N(AW323),0))))</f>
        <v>0</v>
      </c>
      <c r="EV323">
        <f t="shared" ref="EV323:EV352" si="746">IFERROR(IF(BV323=1,2*ER323*P323/EN323*O323,EJ323*(ER323*P323/EN323*CE323+ES323*P323*EK323/1000)*O323),"")</f>
        <v>0.66017116530487741</v>
      </c>
      <c r="EW323" s="6">
        <f>IFERROR(ROUNDUP(EV323/IF(BV323=1,BU323,(Uн_лин/SQRT(3))*1000)*100,2),"")</f>
        <v>0.29000000000000004</v>
      </c>
      <c r="EX323" t="str">
        <f>IFERROR(VLOOKUP(BZ323,Кабель_обозначение,2,FALSE),"")</f>
        <v>ВВГнг(А)-LS</v>
      </c>
      <c r="EY323" t="str">
        <f t="shared" ref="EY323:EY386" si="747">IFERROR(IF(EC323=1,IF(ISNUMBER(EN323),EX323&amp;" ("&amp;CB323&amp;"х"&amp;EN323&amp;")",EX323),EX323),"")</f>
        <v>ВВГнг(А)-LS (3х2,5)</v>
      </c>
      <c r="EZ323" t="str">
        <f t="shared" ref="EZ323:EZ386" si="748">IF(OR(B323="",EX323="",AND(BR323&lt;&gt;"",NOT(ISNUMBER(BR323)))),"",IF(N(EN323)=0,EX323,EY323&amp;IF(N(P323)=0,"",CHAR(10)&amp;"L="&amp;P323&amp;"-"&amp;EW323&amp;"%")))</f>
        <v>ВВГнг(А)-LS (3х2,5)
L=14-0,29%</v>
      </c>
      <c r="FA323">
        <f>IFERROR(2*ρкз_Cu*P323/EN323,"")</f>
        <v>0.29456000000000004</v>
      </c>
      <c r="FB323">
        <f t="shared" ref="FB323:FB352" si="749">IFERROR(0.0175*N(P323)/EN323,"")</f>
        <v>9.8000000000000004E-2</v>
      </c>
      <c r="FC323" s="6" t="str">
        <f>IFERROR(IF(OR(B323="",BV323=1,NOT(ISNUMBER(EN323)),N(P323)=0),"",_xlfn.XLOOKUP(A323,Щиты[Щит],Щиты[Zпетли на шинах, Ом])+FA323),"")</f>
        <v/>
      </c>
      <c r="FD323" s="6" t="str">
        <f>IF(ISNUMBER(FC323),c_min*(Uн_лин*1000/SQRT(3))/FC323,"")</f>
        <v/>
      </c>
      <c r="FE323" s="6" t="str">
        <f>IFERROR(IF(OR(B323="",NOT(ISNUMBER(EN323))),"",1.05*(Uн_лин*1000/SQRT(3))/(_xlfn.XLOOKUP(A323,Щиты[Щит],Щиты[Zmax на шинах, Ом])+FB323)/1000),"")</f>
        <v/>
      </c>
      <c r="FF323" s="6" t="str">
        <f>IF(B323="","",IF(ISNUMBER(AC323),"Сил",IF(IFERROR(_xlfn.XLOOKUP(BC323,Коды_код,Коды_группа)&amp;"","")="","Быт",_xlfn.XLOOKUP(BC323,Коды_код,Коды_группа)&amp;"")))</f>
        <v>Сил</v>
      </c>
      <c r="FG323" s="6" t="str">
        <f t="shared" ref="FG323:FG386" si="750">IF(B323="","",IF(BH323&lt;&gt;"","Щит",IF(TRIM(AB323&amp;"")="",FF323,AB323)))</f>
        <v>Сил</v>
      </c>
      <c r="FH323" s="6">
        <f>IF(FG323="Щит","щит",IF(FG323="","",IF(FG323="Быт",IFERROR(_xlfn.XLOOKUP(A323,Щиты[Щит],Щиты[Кс быт]),1),IF(FG323="Сил",IF(ISNUMBER(AC323),AC323,IF(Методика="нормы 2026",IFERROR(_xlfn.XLOOKUP(A323,Щиты[Щит],Щиты[Кс силовых (табл. 7.5)]),1),1)),IF(OR(FG323="Пост",FG323="Отоп"),1,IF(FG323="ВНГ",0.7,0))))))</f>
        <v>0.5</v>
      </c>
      <c r="FI323">
        <f>IF(FG323="","",IF(AND(BP323=1,TRIM(AE323&amp;"")=""),IF(COUNTIFS(Линии[Щит],A323,Линии[Секция (1/2/3)],"&gt;=2")&gt;0,MIN(3,MAX(1,IFERROR(--BD323,1))),1),IFERROR(MIN(3,MAX(1,INT(--AE323))),1)))</f>
        <v>1</v>
      </c>
      <c r="FJ323">
        <f t="shared" ref="FJ323:FJ352" si="751">IF(OR(FG323="",FG323="Нет",FG323="Щит"),0,N(BS323))</f>
        <v>0.6</v>
      </c>
      <c r="FK323">
        <f t="shared" ref="FK323:FK352" si="752">IF(FG323="Быт",N(BS323),0)</f>
        <v>0</v>
      </c>
      <c r="FL323">
        <f t="shared" ref="FL323:FL352" si="753">IF(FG323="Сил",N(BS323)*N(FH323),0)</f>
        <v>0.3</v>
      </c>
      <c r="FM323">
        <f t="shared" ref="FM323:FM352" si="754">IF(FG323="Пост",N(BS323),0)</f>
        <v>0</v>
      </c>
      <c r="FN323">
        <f t="shared" ref="FN323:FN352" si="755">IF(FG323="Отоп",N(BS323),0)</f>
        <v>0</v>
      </c>
      <c r="FO323">
        <f t="shared" ref="FO323:FO352" si="756">IF(FG323="ВНГ",N(BS323)*0.7,0)</f>
        <v>0</v>
      </c>
      <c r="FP323">
        <f t="shared" ref="FP323:FP352" si="757">IF(OR(B323="",FG323="Нет"),0,N(BS323))</f>
        <v>0.6</v>
      </c>
      <c r="FQ323">
        <f t="shared" ref="FQ323:FQ352" si="758">IF(OR(B323="",FG323="Щит",FG323="Нет"),0,N(BS323))</f>
        <v>0.6</v>
      </c>
      <c r="FR323">
        <f t="shared" ref="FR323:FR352" si="759">IF(OR(B323="",FG323="Щит",FG323="Нет"),0,N(BS323)*N(CE323))</f>
        <v>0.48</v>
      </c>
      <c r="FS323">
        <f>IF(CG323=1,IF(AND(CH323=1,CW323=1),0,IF(AND(CS323&lt;&gt;"",CS323=BA323,CW323=1),SUMIFS(Линии[_Р линии, кВт],Линии[_блок УЗО],BA323,Линии[Щит],A323),N(BS323)+IF(AJ323="вручную",0,N(CK323)))),0)</f>
        <v>0.6</v>
      </c>
      <c r="FT323" t="str">
        <f t="shared" ref="FT323:FT352" si="760">IF(B323="","",IF(_xlfn.ISFORMULA(L323),"",_xlfn.LET(_xlpm.v,UPPER(SUBSTITUTE(TRIM(L323&amp;"")," ","")),IF(_xlpm.v="","",IF(OR(_xlpm.v="1,2,3",_xlpm.v="L1,L2,L3",_xlpm.v="123",_xlpm.v="3Ф"),"L1,L2,L3",IF(OR(_xlpm.v="1",_xlpm.v="2",_xlpm.v="3"),"L"&amp;_xlpm.v,IF(OR(_xlpm.v="L1",_xlpm.v="L2",_xlpm.v="L3"),_xlpm.v,"")))))))</f>
        <v>L1</v>
      </c>
      <c r="FU323" t="str">
        <f>IF(B323="","",IF(CG323=0,IF(BA323=1,"",FW322),IF(AND(CH323=1,CW323=1,CS323&lt;&gt;""),IFERROR(_xlfn.XLOOKUP(CS323,Линии[_n],Линии[_фаза итог]),"L1"),IF(OR(N(DL323)&gt;=3,N(BX323)&gt;=3),"L1,L2,L3",IFERROR(_xlfn.TEXTBEFORE(_xlfn.TEXTAFTER(_xlfn.XLOOKUP(A323,Щиты[Щит],Щиты[_фазы авто]),";"&amp;BA323&amp;":"),";"),"L1")))))</f>
        <v>L1</v>
      </c>
      <c r="FV323" t="str">
        <f t="shared" ref="FV323:FV386" si="761">IF(B323="","",_xlfn.LET(_xlpm.v,UPPER(SUBSTITUTE(TRIM(L323&amp;"")," ","")),IF(_xlpm.v="",FU323,IF(OR(_xlpm.v="1,2,3",_xlpm.v="L1,L2,L3",_xlpm.v="123",_xlpm.v="3Ф"),"L1,L2,L3",IF(OR(_xlpm.v="1",_xlpm.v="2",_xlpm.v="3"),"L"&amp;_xlpm.v,IF(OR(_xlpm.v="L1",_xlpm.v="L2",_xlpm.v="L3"),_xlpm.v,IF(_xlpm.v="УПР","",_xlpm.v)))))))</f>
        <v>L1</v>
      </c>
      <c r="FW323" t="str">
        <f t="shared" ref="FW323:FW386" si="762">IF(CG323=1,FV323,IF(AND(NOT(OR(BA323=1,A323&lt;&gt;A322)),AJ323&lt;&gt;"вручную",IF(BA323=1,"",DS322)="ok"),IF(BA323=1,"",FW322),""))</f>
        <v>L1</v>
      </c>
      <c r="FX323" cm="1">
        <f t="array" ref="FX323">IFERROR(IF(CD323=2,_xlfn.IFS(BX323=3,VLOOKUP(BS323,Справочная_двигатели,3,FALSE),BX323=1,VLOOKUP(BS323,Справочная_двигатели,5,TRUE)),0),0)</f>
        <v>0</v>
      </c>
      <c r="FY323">
        <f>IFERROR(IF(CD323=3,VLOOKUP(BS323,Справочная_ЛЭД,2,TRUE),0),0)</f>
        <v>0</v>
      </c>
      <c r="FZ323" s="6">
        <f t="shared" ref="FZ323:FZ386" si="763">IF(B323="","",IF(FX323=0,FY323,FX323))</f>
        <v>0</v>
      </c>
      <c r="GA323" t="str">
        <f>IF(B323="","",IF(TRIM(AH323&amp;"")&lt;&gt;"",IF(LOWER(TRIM(AH323&amp;""))="да","да","нет"),IF(IFERROR(_xlfn.XLOOKUP(BC323,Коды_код,Коды_пожарная),"")="да","да","нет")))</f>
        <v>нет</v>
      </c>
      <c r="GB323" t="str">
        <f t="shared" ref="GB323:GB352" si="764">IF(AF323&lt;&gt;"",AF323,IF(CG323=1,"",IF(GU323="","",IF(BA323=1,"",GB322))))</f>
        <v/>
      </c>
      <c r="GC323" t="str">
        <f t="shared" ref="GC323:GC386" si="765">IF(B323="","",IF(GB323="","основная",GB323))</f>
        <v>основная</v>
      </c>
      <c r="GD323">
        <f>IF(AND(BP323=1,TRIM(AE323&amp;"")=""),IF(COUNTIFS(Линии[Щит],A323,Линии[Секция (1/2/3)],"&gt;=2")&gt;0,MIN(3,MAX(1,IFERROR(--BD323,1))),1),IFERROR(MIN(3,MAX(1,INT(--AE323))),1))</f>
        <v>1</v>
      </c>
      <c r="GE323" t="str" cm="1">
        <f t="array" ref="GE323">IF(B323="","",_xlfn.LET(_xlpm.t,IFERROR(_xlfn.XLOOKUP(1,(Шины[Шина]=GC323)*(((Шины[Щит]=A323)+(Шины[Щит]=""))&gt;0),Шины[Тип]),"")&amp;"",IF(_xlpm.t&lt;&gt;"",_xlpm.t,IF(ISNUMBER(SEARCH("ИБП",GC323)),"ИБП",IF(ISNUMBER(SEARCH("ДГУ",GC323)),"ДГУ","Ввод "&amp;GD323)))))</f>
        <v>Ввод 1</v>
      </c>
      <c r="GF323" t="str">
        <f t="shared" ref="GF323:GF386" si="766">IF(B323="","",IF(OR(GE323="ИБП",GE323="ДГУ"),GE323,IF(LEFT(GE323,5)="Ввод ",GE323,"Ввод "&amp;GD323)))</f>
        <v>Ввод 1</v>
      </c>
      <c r="GG323" t="str">
        <f>IF(BP323=0,"",IF(TRIM(AG323&amp;"")&lt;&gt;"",TRIM(AG323&amp;""),IF(OR(GE323="ИБП",GE323="ДГУ"),"I особая",_xlfn.XLOOKUP(A323,Щиты[Щит],Щиты[Категория шины «Ввод»],"III"))))</f>
        <v/>
      </c>
      <c r="GH323" t="str">
        <f>IF(A323="","",_xlfn.XLOOKUP(A323,Щиты[Щит],Щиты[Путь],""))</f>
        <v>|ГРЩ-ЖД|ЩС-ВК.001|</v>
      </c>
      <c r="GI323" t="str">
        <f>IF(B323="","",IF(AI323&lt;&gt;"",AI323,IF(IFERROR(_xlfn.XLOOKUP(BC323,Коды_код,Коды_вид)&amp;"","")="","Прочее",_xlfn.XLOOKUP(BC323,Коды_код,Коды_вид)&amp;"")))</f>
        <v>Насосы (водоснабжение, дренаж)</v>
      </c>
      <c r="GJ323">
        <f>IF(BM323="","",INT((BM323-1)/Столбцов_на_лист)+1)</f>
        <v>1</v>
      </c>
      <c r="GK323" t="str">
        <f t="shared" ref="GK323:GK352" si="767">IF(B323="","",SUBSTITUTE(EZ323,CHAR(10)," "))</f>
        <v>ВВГнг(А)-LS (3х2,5) L=14-0,29%</v>
      </c>
      <c r="GL323">
        <f t="shared" ref="GL323:GL352" si="768">IF(B323="","",IFERROR(--BS323,""))</f>
        <v>0.6</v>
      </c>
      <c r="GM323">
        <f t="shared" ref="GM323:GM352" si="769">IF(B323="","",IFERROR(ROUNDUP(O323,2),""))</f>
        <v>3.25</v>
      </c>
      <c r="GN323">
        <f t="shared" ref="GN323:GN352" si="770">IF(B323="","",IFERROR(--BX323,1))</f>
        <v>1</v>
      </c>
      <c r="GO323">
        <f t="shared" ref="GO323:GO352" si="771">IF(OR(AL323="+",AND(B323&lt;&gt;"",B323=IF(BA323=1,"",B322))),1,0)</f>
        <v>0</v>
      </c>
      <c r="GP323">
        <f t="shared" ref="GP323:GP352" si="772">IF(OR(BM323="",AJ323="вручную",AND(BN323="вводной узел",AJ323&lt;&gt;"рисовать")),0,1)</f>
        <v>1</v>
      </c>
      <c r="GQ323">
        <f>IF(BM323="","",IF(AND(CG323=1,GP323=1),COUNTIFS(A$3:A323,A323,CG$3:CG323,1,GP$3:GP323,1),IF(OR(OR(BA323=1,A323&lt;&gt;A322),AJ323="вручную",GP323=0),"",IF(BA323=1,"",GR322))))</f>
        <v>6</v>
      </c>
      <c r="GR323">
        <f t="shared" ref="GR323:GR386" si="773">IF(BM323="",IF(OR(BA323=1,A323&lt;&gt;A322),"",IF(BA323=1,"",GR322)),GQ323)</f>
        <v>6</v>
      </c>
      <c r="GS323">
        <f>IF(B323="","",IFERROR(LOOKUP(INDEX(CHOOSE(EB323,Iдоп_1ж,Iдоп_2ж,Iдоп_3ж),MATCH(EN323,Iдоп_S,0))*DZ323*EA323,{6,10,16,20,25,32,40,50,63,80,100,125,160,200,250,315,400,500,630}),""))</f>
        <v>25</v>
      </c>
      <c r="GT323" t="str">
        <f t="shared" ref="GT323:GT352" si="774">IF(AND(CG323=1,GP323=1,GQ323&lt;&gt;""),IF(N(DA323)&gt;0,"QFD","QF")&amp;GQ323,"")</f>
        <v>QF6</v>
      </c>
      <c r="GU323" t="str">
        <f t="shared" ref="GU323:GU386" si="775">IF(GT323&lt;&gt;"",GT323,IF(OR(OR(BA323=1,A323&lt;&gt;A322),AJ323="вручную"),"",IF(BA323=1,"",GU322)))</f>
        <v>QF6</v>
      </c>
      <c r="GV323" t="str">
        <f t="shared" ref="GV323:GV386" si="776">IF(GT323&lt;&gt;"",_xlfn.TEXTJOIN(" → ",TRUE,DE323,DF323,DG323),IF(GU323="","",IF(BA323=1,"",GV322)))</f>
        <v/>
      </c>
      <c r="GW323">
        <f t="shared" ref="GW323:GW386" si="777">IF(GV323="",0,IF(OR(LEFT(GV323,2)="T ",LEFT(GV323,2)="Т ",ISNUMBER(SEARCH("→ T ",GV323)),ISNUMBER(SEARCH("→ Т ",GV323)),ISNUMBER(SEARCH("БП",GV323))),1,0))</f>
        <v>0</v>
      </c>
      <c r="GX323" t="str">
        <f>IF(OR(B323="",DJ323=""),"",IFERROR(_xlfn.XLOOKUP(DJ323,Модули_умолч[Управление],Модули_умолч[Модель])&amp;"",""))</f>
        <v/>
      </c>
      <c r="GY323">
        <f>IF(DJ323="",1,IFERROR(MAX(0,N(_xlfn.XLOOKUP(DJ323,Модули_умолч[Управление],Модули_умолч[Каналов на линию]))),1))</f>
        <v>1</v>
      </c>
      <c r="GZ323" t="str">
        <f t="shared" ref="GZ323:GZ352" si="778">IF(_xlfn.ISFORMULA(AK323),"",TRIM(AK323&amp;""))</f>
        <v/>
      </c>
      <c r="HA323" t="str">
        <f t="shared" ref="HA323:HA386" si="779">IF(GZ323="-","",IF(GZ323&lt;&gt;"","M",IF(AND(NOT(OR(BA323=1,A323&lt;&gt;A322)),IF(BA323=1,"",HA322)="M"),"M",IF(GX323&lt;&gt;"","A",IF(AND(NOT(OR(BA323=1,A323&lt;&gt;A322)),IF(BA323=1,"",HA322)="A",B323="",OR(AL323="р",AL323="+",AL323="=")),"A","")))))</f>
        <v/>
      </c>
      <c r="HB323" t="str">
        <f t="shared" ref="HB323:HB386" si="780">IF(HA323="A",IF(GX323&lt;&gt;"",GX323,IF(BA323=1,"",HB322)),"")</f>
        <v/>
      </c>
      <c r="HC323">
        <f>IF(HB323="",0,IFERROR(N(VLOOKUP(HB323,Модули_спр,3,FALSE)),0))</f>
        <v>0</v>
      </c>
      <c r="HD323" t="str">
        <f t="shared" ref="HD323:HD386" si="781">IF(HA323="A",IF(OR(OR(BA323=1,A323&lt;&gt;A322),IF(BA323=1,"",HA322)&lt;&gt;"A",IF(BA323=1,"",HB322)&lt;&gt;HB323,AND(HC323&gt;0,GY323&gt;0,N(IF(BA323=1,"",HK322))+GY323&gt;HC323)),HB323,""),IF(AND(HA323="",NOT(OR(BA323=1,A323&lt;&gt;A322)),IF(BA323=1,"",HA322)="A",GZ323=""),"-",""))</f>
        <v/>
      </c>
      <c r="HE323" t="str">
        <f t="shared" ref="HE323:HE386" si="782">IF(GZ323&lt;&gt;"",GZ323,HD323)</f>
        <v/>
      </c>
      <c r="HF323" t="str">
        <f>IF(OR(HE323="",HE323="-"),"",IFERROR(VLOOKUP(HE323,Модули_спр,2,FALSE),"R"))</f>
        <v/>
      </c>
      <c r="HG323" t="str">
        <f>IF(HF323="","",HF323&amp;"."&amp;COUNTIFS(A$3:A323,A323,HF$3:HF323,HF323))</f>
        <v/>
      </c>
      <c r="HH323" t="str">
        <f t="shared" ref="HH323:HH386" si="783">IF(HE323="-","",IF(HG323&lt;&gt;"",HG323,IF(OR(BA323=1,A323&lt;&gt;A322),"",IF(BA323=1,"",HH322))))</f>
        <v/>
      </c>
      <c r="HI323" t="str">
        <f t="shared" ref="HI323:HI386" si="784">IF(HH323="","",IF(AND(HE323&lt;&gt;"",HE323&lt;&gt;"-"),HE323,IF(BA323=1,"",HI322)))</f>
        <v/>
      </c>
      <c r="HJ323" t="str">
        <f t="shared" ref="HJ323:HJ352" si="785">IF(AL323="=",IF(BA323=1,"",HK322),IF(ISNUMBER(AL323),AL323,IF(HH323="","",IF(OR(B323&lt;&gt;"",AL323="+",AL323="р"),IF(OR(HG323&lt;&gt;"",IF(BA323=1,"",HK322)=""),1,IF(BA323=1,"",HK322)+IF(GY323=0,0,1)),""))))</f>
        <v/>
      </c>
      <c r="HK323" t="str">
        <f t="shared" ref="HK323:HK386" si="786">IF(HJ323&lt;&gt;"",MAX(HJ323,HJ323+GY323-1),IF(OR(OR(BA323=1,A323&lt;&gt;A322),HE323="-",HG323&lt;&gt;""),"",IF(BA323=1,"",HK322)))</f>
        <v/>
      </c>
      <c r="HL323">
        <f t="shared" ref="HL323:HL352" si="787">IF(OR(AL323="б/к",AJ323="вручную"),0,IF(OR(EZ323&lt;&gt;"",AL323="+",AL323="="),1,0))</f>
        <v>1</v>
      </c>
      <c r="HM323" t="str">
        <f>IF(HL323=1,"XT"&amp;COUNTIFS(A$3:A323,A323,HL$3:HL323,1),"")</f>
        <v>XT6</v>
      </c>
      <c r="HN323" t="str">
        <f t="shared" ref="HN323:HN386" si="788">_xlfn.LET(_xlpm.v,TRIM(M323&amp;""),IF(_xlpm.v="нет","",IF(_xlpm.v="",HM323,_xlpm.v)))</f>
        <v>XT6</v>
      </c>
      <c r="HO323" t="str">
        <f t="shared" ref="HO323:HO352" si="789">IF(OR(B323&lt;&gt;"",HJ323&lt;&gt;"",HL323=1),GU323,"")</f>
        <v>QF6</v>
      </c>
      <c r="HP323" t="str">
        <f t="shared" ref="HP323:HP352" si="790">IF(OR(HJ323&lt;&gt;"",AND(HE323&lt;&gt;"",HE323&lt;&gt;"-")),HH323,"")</f>
        <v/>
      </c>
      <c r="HQ323" t="str">
        <f t="shared" ref="HQ323:HQ352" si="791">IF(B323="","",IF(AND(CG323=1,DQ323&lt;&gt;"",DR323=""),"номинал автомата не распознан",IF(DT323="",IF(CF323=1,"«гр»: нет автомата выше",""),IF(AND(CG323=1,N(DY323)&gt;N(DT323)),"ПЕРЕГРУЗ",IF(AND(N(DX323)=0,ISNUMBER(GS323),N(GS323)&lt;N(DT323)),"КАБЕЛЬ НЕ ЗАЩИЩЁН","ok")))))</f>
        <v>ok</v>
      </c>
      <c r="HR323" t="str">
        <f>IF(OR(HJ323="",HH323=""),"",IF(HJ323+MAX(0,GY323-1)&gt;IFERROR(VLOOKUP(HI323,Модули_спр,3,FALSE),99),"ЛИШНИЙ КАНАЛ",IF(AND(AL323&lt;&gt;"=",GY323&gt;0,COUNTIFS(Линии[_модуль гр.],HH323,Линии[Канал (итог)],HJ323,Линии[Канал],"&lt;&gt;=",Линии[Щит],A323)&gt;1),"ДУБЛЬ КАНАЛА","")))</f>
        <v/>
      </c>
      <c r="HS323" s="6" t="str">
        <f t="shared" ref="HS323:HS352" si="792">IFERROR(IF(ISNUMBER(FD323),FD323/N(DT323),""),"")</f>
        <v/>
      </c>
      <c r="HT323">
        <f t="shared" ref="HT323:HT352" si="793">IF(OR(ISNUMBER(SEARCH(" B"," "&amp;DU323)),ISNUMBER(SEARCH(" В"," "&amp;DU323))),5,IF(ISNUMBER(SEARCH(" D"," "&amp;DU323)),20,10))</f>
        <v>10</v>
      </c>
      <c r="HU323" t="str">
        <f t="shared" ref="HU323:HU386" si="794">IF(NOT(ISNUMBER(HS323)),"",IF(HS323&gt;=HT323,"ok",IF(N(DW323)=1,"ok (дифзащита "&amp;IF(CS323&lt;&gt;"",CV323,DV323)&amp;" мА)","мало: Iкз &lt; "&amp;HT323&amp;"·In")))</f>
        <v/>
      </c>
      <c r="HV323">
        <f t="shared" ref="HV323:HV352" si="795">IF(OR(B323="",BH323&lt;&gt;"",BP323=1),0,0.4*N(CI323)+IF(BV323=1,0,0.01*N(P323)))</f>
        <v>1.4390381056766577</v>
      </c>
      <c r="HW323">
        <f t="shared" ref="HW323:HW352" si="796">IF(AND(A324=A323,AJ324&lt;&gt;"вручную",OR(B324="",CF324=1)),IF(B324="",0,N(HV324))+N(HW324),0)</f>
        <v>0</v>
      </c>
      <c r="HX323">
        <f t="shared" ref="HX323:HX352" si="797">IF(BV323=1,N(BU323)+N(EV323),0)</f>
        <v>0</v>
      </c>
      <c r="HY323">
        <f t="shared" ref="HY323:HY352" si="798">IF(BV323=1,(N(BU323)+N(EV323))*N(O323),0)</f>
        <v>0</v>
      </c>
      <c r="HZ323">
        <f t="shared" ref="HZ323:HZ352" si="799">IF(AND(A324=A323,AJ324&lt;&gt;"вручную",OR(B324="",CF324=1)),IF(B324="",0,N(HY324))+N(HZ324),0)</f>
        <v>0</v>
      </c>
      <c r="IA323">
        <f t="shared" ref="IA323:IA352" si="800">IF(AND(A324=A323,AJ324&lt;&gt;"вручную",OR(B324="",CF324=1)),MAX(IF(B324="",0,N(HX324)),N(IA324)),0)</f>
        <v>0</v>
      </c>
      <c r="IB323">
        <f t="shared" ref="IB323:IB352" si="801">IF(AND(A324=A323,AJ324&lt;&gt;"вручную",OR(B324="",CF324=1)),IF(B324="",0,N(BV324))+N(IB324),0)</f>
        <v>0</v>
      </c>
      <c r="IC323" t="str">
        <f t="shared" ref="IC323:IC352" si="802">IF(CG323=0,"",IFERROR(TRIM(MID(DD323,SEARCH("БП",DD323),40)),""))</f>
        <v/>
      </c>
      <c r="ID323" t="str" cm="1">
        <f t="array" ref="ID323">IF(IC323="","",_xlfn.LET(_xlpm.tk,_xlfn.TEXTSPLIT(SUBSTITUTE(SUBSTITUTE(IC323,";"," "),"→"," ")," ",,TRUE),_xlpm.w_,_xlfn._xlws.FILTER(_xlpm.tk,ISNUMBER(--LEFT(_xlpm.tk,1))*((ISNUMBER(SEARCH("W",_xlpm.tk))+ISNUMBER(SEARCH("Вт",_xlpm.tk)))&gt;0),""),IFERROR(--SUBSTITUTE(SUBSTITUTE(UPPER(INDEX(_xlpm.w_,1)),"W",""),"ВТ",""),"")))</f>
        <v/>
      </c>
      <c r="IE323" t="str" cm="1">
        <f t="array" ref="IE323">IF(IC323="","",_xlfn.LET(_xlpm.tk,_xlfn.TEXTSPLIT(SUBSTITUTE(SUBSTITUTE(IC323,";"," "),"→"," ")," ",,TRUE),_xlpm.v_,_xlfn._xlws.FILTER(_xlpm.tk,ISNUMBER(--LEFT(_xlpm.tk,1))*((ISNUMBER(SEARCH("V",_xlpm.tk))+(RIGHT(UPPER(_xlpm.tk))="В"))&gt;0),""),IFERROR(--SUBSTITUTE(SUBSTITUTE(UPPER(INDEX(_xlpm.v_,1)),"V",""),"В",""),"")))</f>
        <v/>
      </c>
      <c r="IF323" s="6" t="str">
        <f>IF(OR(BV323=0,HI323="",HJ323=""),"",IFERROR(N(_xlfn.XLOOKUP(HI323,Каталог!$C$4:$C$500,Каталог!$Q$4:$Q$500)),""))</f>
        <v/>
      </c>
      <c r="IG323" s="6" t="str">
        <f>IF(N(IF323)=0,"",SUMIFS(Линии[Iр, А],Линии[Щит],A323,Линии[_модуль гр.],HH323,Линии[Канал (итог)],HJ323))</f>
        <v/>
      </c>
      <c r="IH323" t="str">
        <f>IF(AND(B323="",HO323=""),"",_xlfn.TEXTJOIN("; ",TRUE,IF(AND(B323&lt;&gt;"",FV323=""),"нет фазы",""),IF(AND(B323&lt;&gt;"",N(GL323)=0,FG323&lt;&gt;"Нет"),"нет мощности",""),IF(AND(HN323&lt;&gt;"",COUNTIFS(Линии[Щит],A323,Линии[Клемма (итог)],HN323)&gt;1),"дубль клеммы "&amp;HN323,""),IF(AND(HQ323&lt;&gt;"",HQ323&lt;&gt;"ok"),HQ323,""),IF(HR323&lt;&gt;"",HR323,""),IF(AND(N(CB323)&gt;=4,N(BX323)=1),CB323&amp;" жил на 1 фазе",""),IF(AND(BC323="R",CG323=1,IF(CS323&lt;&gt;"",N(CV323)&gt;30,OR(N(DA323)=0,N(DA323)&gt;30))),"розетка без дифзащиты до 30 мА",""),IF(AND(CG323=1,N(DA323)&gt;0,ISNUMBER(T323)),IF(T323&gt;N(DA323)/3,"ток утечки "&amp;FIXED(T323,1)&amp;" мА &gt; 1/3 уставки ("&amp;DA323&amp;" мА)",""),""),IF(AND(CH323=1,CS323=""),"«узо»: нет строки с УЗО выше (УЗО 2P 40А 30мА в «Аппаратах»)",""),IF(AND(CS323&lt;&gt;"",CS323=BA323),IF(CT323="","впишите номинал УЗО (УЗО 2P 40А 30мА)",IF(N(CT323)&lt;N(DT323),"УЗО "&amp;CT323&amp;" А &lt; автомата "&amp;DT323&amp;" А перед ним",IF(N(CT323)&lt;N(CX323),"УЗО "&amp;CT323&amp;" А &lt; тока блока "&amp;FIXED(CX323,1)&amp;" А",""))),""),IF(AND(CS323&lt;&gt;"",CS323=BA323,ISNUMBER(CY323)),IF(CY323&gt;N(CV323)/3,"ток утечки блока УЗО "&amp;FIXED(CY323,1)&amp;" мА &gt; 1/3 уставки ("&amp;CV323&amp;" мА)",""),""),IF(AND(CG323=1,N(BV323)+N(IB323)&gt;0,IC323=""),"линии до 50 В без БП: впишите в «Аппараты» (БП 24V 480W)",""),IF(AND(CG323=1,ISNUMBER(ID323),ISNUMBER(U323)),IF(U323&gt;ID323,"БП "&amp;ID323&amp;" Вт &lt; нужно "&amp;U323&amp;" Вт (×"&amp;Запас_БП&amp;")",""),""),IF(AND(CG323=1,ISNUMBER(IE323),N(BV323)=1),IF(IE323&lt;&gt;N(BU323),"БП на "&amp;IE323&amp;" В, линия "&amp;BU323&amp;" В",""),""),IF(AND(N(IF323)&gt;0,N(IG323)&gt;N(IF323)),HH323&amp;" канал "&amp;HJ323&amp;": "&amp;FIXED(IG323,1)&amp;" А &gt; "&amp;IF323&amp;" А",""),IFERROR(IF(AND(ISNUMBER(Q323),Q323&gt;EL323),"потери "&amp;FIXED(Q323,1)&amp;" % &gt; "&amp;EL323&amp;" %",""),""),IFERROR(IF(LEFT(HU323,4)="мало","Iкз мало — отключение &gt; 0,4 с",""),""),IF(AND(B323&lt;&gt;"",BM323=""),"не на схеме",""),IF(AND(CG323=0,B323&lt;&gt;"",FV323&lt;&gt;"",IF(BA323=1,"",FW322)&lt;&gt;"",FV323&lt;&gt;IF(BA323=1,"",FW322)),"фаза не как у автомата группы ("&amp;IF(BA323=1,"",FW322)&amp;")","")))</f>
        <v/>
      </c>
      <c r="II323" s="6">
        <f>IF(OR(CG323=0,DQ323=""),"",_xlfn.LET(_xlpm.t,IFERROR(_xlfn.XLOOKUP(DQ323,Каталог!$U$4:$U$500,Каталог!$G$4:$G$500),""),_xlpm.k,SEARCH("кА",_xlpm.t),IFERROR(--TRIM(RIGHT(SUBSTITUTE(MID(_xlpm.t,MAX(1,_xlpm.k-4),_xlpm.k-MAX(1,_xlpm.k-4))," ",REPT(" ",9)),5)),"")))</f>
        <v>6</v>
      </c>
      <c r="IJ323" t="str">
        <f>IF(OR(II323="",CG323=0),"",IF(_xlfn.XLOOKUP(A323,Щиты[Щит],Щиты[Iкз max на шинах, кА],"")="","",IF(II323&lt;_xlfn.XLOOKUP(A323,Щиты[Щит],Щиты[Iкз max на шинах, кА]),"Icu "&amp;II323&amp;" кА &lt; Iкз max","ok")))</f>
        <v/>
      </c>
      <c r="IK323" t="str">
        <f t="shared" ref="IK323:IK352" si="803">IF(OR(AND(BA323&gt;1,N(BA322)&lt;&gt;BA323-1),AND(BA324&lt;&gt;"",N(BA324)&lt;&gt;BA323+1)),"строки сдвинуты (вставка или удаление) — нажмите «Починить формулы»","")</f>
        <v/>
      </c>
      <c r="IL323" t="str">
        <f t="shared" ref="IL323:IL352" si="804">IF(OR(AJ323="вручную",BM323="",AND(B323="",HN323="")),"",_xlfn.TEXTJOIN("|",TRUE,GU323,SUBSTITUTE(GV323," → ","|"),IF(HH323&lt;&gt;"",HH323&amp;IF(HJ323&lt;&gt;""," к."&amp;HJ323,""),""),HN323))</f>
        <v>QF6|XT6</v>
      </c>
      <c r="IM323" t="str">
        <f t="shared" ref="IM323:IM386" si="805">IF(IL323="","",IL323&amp;IF(B323&lt;&gt;"","|кабель "&amp;EY323&amp;" → "&amp;BJ323,""))</f>
        <v>QF6|XT6|кабель ВВГнг(А)-LS (3х2,5) → Насос дренажный, пом. 005Т</v>
      </c>
      <c r="IN323" t="str" cm="1">
        <f t="array" ref="IN323">IF(IM323="","",_xlfn.LET(_xlpm.nd,_xlfn.TEXTSPLIT(IM323,"|"),IF(COLUMNS(_xlpm.nd)&gt;1,A323&amp;"¦"&amp;INDEX(_xlpm.nd,1)&amp;"¦"&amp;INDEX(_xlpm.nd,2),"")))</f>
        <v>ЩС-ВК.001¦QF6¦XT6</v>
      </c>
      <c r="IO323" t="str">
        <f t="shared" ref="IO323:IO386" si="806">IF(IN323="","",B323&amp;"¦"&amp;BJ323)</f>
        <v>НВК.00.005Т.2¦Насос дренажный, пом. 005Т</v>
      </c>
      <c r="IP323" t="str" cm="1">
        <f t="array" ref="IP323">IF(IM323="","",_xlfn.LET(_xlpm.nd,_xlfn.TEXTSPLIT(IM323,"|"),IF(COLUMNS(_xlpm.nd)&gt;2,A323&amp;"¦"&amp;INDEX(_xlpm.nd,2)&amp;"¦"&amp;INDEX(_xlpm.nd,3),"")))</f>
        <v>ЩС-ВК.001¦XT6¦кабель ВВГнг(А)-LS (3х2,5) → Насос дренажный, пом. 005Т</v>
      </c>
      <c r="IQ323" t="str">
        <f t="shared" ref="IQ323:IQ386" si="807">IF(IP323="","",B323&amp;"¦"&amp;BJ323)</f>
        <v>НВК.00.005Т.2¦Насос дренажный, пом. 005Т</v>
      </c>
      <c r="IR323" t="str" cm="1">
        <f t="array" ref="IR323">IF(IM323="","",_xlfn.LET(_xlpm.nd,_xlfn.TEXTSPLIT(IM323,"|"),IF(COLUMNS(_xlpm.nd)&gt;3,A323&amp;"¦"&amp;INDEX(_xlpm.nd,3)&amp;"¦"&amp;INDEX(_xlpm.nd,4),"")))</f>
        <v/>
      </c>
      <c r="IS323" t="str">
        <f t="shared" ref="IS323:IS386" si="808">IF(IR323="","",B323&amp;"¦"&amp;BJ323)</f>
        <v/>
      </c>
      <c r="IT323" t="str" cm="1">
        <f t="array" ref="IT323">IF(IM323="","",_xlfn.LET(_xlpm.nd,_xlfn.TEXTSPLIT(IM323,"|"),IF(COLUMNS(_xlpm.nd)&gt;4,A323&amp;"¦"&amp;INDEX(_xlpm.nd,4)&amp;"¦"&amp;INDEX(_xlpm.nd,5),"")))</f>
        <v/>
      </c>
      <c r="IU323" t="str">
        <f t="shared" ref="IU323:IU386" si="809">IF(IT323="","",B323&amp;"¦"&amp;BJ323)</f>
        <v/>
      </c>
      <c r="IV323" t="str" cm="1">
        <f t="array" ref="IV323">IF(IM323="","",_xlfn.LET(_xlpm.nd,_xlfn.TEXTSPLIT(IM323,"|"),IF(COLUMNS(_xlpm.nd)&gt;5,A323&amp;"¦"&amp;INDEX(_xlpm.nd,5)&amp;"¦"&amp;INDEX(_xlpm.nd,6),"")))</f>
        <v/>
      </c>
      <c r="IW323" t="str">
        <f t="shared" ref="IW323:IW386" si="810">IF(IV323="","",B323&amp;"¦"&amp;BJ323)</f>
        <v/>
      </c>
      <c r="IX323" t="str" cm="1">
        <f t="array" ref="IX323">IF(IM323="","",_xlfn.LET(_xlpm.nd,_xlfn.TEXTSPLIT(IM323,"|"),IF(COLUMNS(_xlpm.nd)&gt;6,A323&amp;"¦"&amp;INDEX(_xlpm.nd,6)&amp;"¦"&amp;INDEX(_xlpm.nd,7),"")))</f>
        <v/>
      </c>
      <c r="IY323" t="str">
        <f t="shared" ref="IY323:IY386" si="811">IF(IX323="","",B323&amp;"¦"&amp;BJ323)</f>
        <v/>
      </c>
      <c r="IZ323" t="str">
        <f t="shared" ref="IZ323:IZ352" si="812">IF(HP323="","",HI323)</f>
        <v/>
      </c>
      <c r="JA323" t="str">
        <f t="shared" ref="JA323:JA352" si="813">IF(AND(B323="",HJ323="",HN323=""),"",_xlfn.TEXTJOIN(" → ",TRUE,GU323,GV323,IF(HH323&lt;&gt;"",HH323&amp;IF(HJ323&lt;&gt;""," к."&amp;HJ323,""),IF(HJ323&lt;&gt;"","к."&amp;HJ323,"")),HN323,IF(GO323=1,"(в кабель выше)","")))</f>
        <v>QF6 → XT6</v>
      </c>
      <c r="JB323">
        <f t="shared" ref="JB323:JB352" si="814">IF(AF323="",0,1)</f>
        <v>0</v>
      </c>
      <c r="JC323">
        <f t="shared" ref="JC323:JC352" si="815">IF(GT323="",0,IF(LEFT(GT323,3)="QFD",1,0))</f>
        <v>0</v>
      </c>
      <c r="JD323" t="str">
        <f t="shared" ref="JD323:JD352" si="816">IF(AL323="=","=",IF(AL323="+","+",IF(AL323="р","R","")))</f>
        <v/>
      </c>
      <c r="JE323" t="str">
        <f t="shared" ref="JE323:JE352" si="817">IF(DE323="","",IF(OR(LEFT(DE323,1)="T",LEFT(DE323,1)="Т"),"T",IF(LEFT(UPPER(DE323),2)="БП","PS",IF(OR(LEFT(UPPER(DE323),2)="МК",LEFT(UPPER(DE323),2)="MK"),"MK",IF(OR(LEFT(UPPER(DE323),2)="КМ",LEFT(UPPER(DE323),2)="KM"),"KM","X")))))</f>
        <v/>
      </c>
      <c r="JF323" t="str">
        <f t="shared" ref="JF323:JF352" si="818">IF(DF323="","",IF(OR(LEFT(DF323,1)="T",LEFT(DF323,1)="Т"),"T",IF(LEFT(UPPER(DF323),2)="БП","PS",IF(OR(LEFT(UPPER(DF323),2)="МК",LEFT(UPPER(DF323),2)="MK"),"MK",IF(OR(LEFT(UPPER(DF323),2)="КМ",LEFT(UPPER(DF323),2)="KM"),"KM","X")))))</f>
        <v/>
      </c>
      <c r="JG323" t="str">
        <f t="shared" ref="JG323:JG352" si="819">IF(DG323="","",IF(OR(LEFT(DG323,1)="T",LEFT(DG323,1)="Т"),"T",IF(LEFT(UPPER(DG323),2)="БП","PS",IF(OR(LEFT(UPPER(DG323),2)="МК",LEFT(UPPER(DG323),2)="MK"),"MK",IF(OR(LEFT(UPPER(DG323),2)="КМ",LEFT(UPPER(DG323),2)="KM"),"KM","X")))))</f>
        <v/>
      </c>
      <c r="JH323">
        <f>IF(B323="","",IFERROR(_xlfn.XLOOKUP(B323,Коды_код,Коды_уго),IFERROR(_xlfn.XLOOKUP(BC323,Коды_код,Коды_уго),IFERROR(_xlfn.XLOOKUP(LEFT(BC323,2),Коды_код,Коды_уго),""))))</f>
        <v>0</v>
      </c>
      <c r="JI323" t="str">
        <f>IF(B323="","",IF(OR(JH323="",JH323=0),"BOX",IFERROR(IF(VLOOKUP(JH323,УГО_блоки,3,FALSE)&amp;""&lt;&gt;"",VLOOKUP(JH323,УГО_блоки,3,FALSE),VLOOKUP(JH323,УГО_блоки,2,FALSE)),JH323)))</f>
        <v>BOX</v>
      </c>
      <c r="JJ323">
        <f t="shared" ref="JJ323:JJ352" si="820">IF(B323="",0,1)</f>
        <v>1</v>
      </c>
      <c r="JK323" t="str">
        <f>IF(DQ323="","",IF(COUNTIF(DQ$3:DQ323,DQ323)=1,MAX(JK$2:JK322)+1,""))</f>
        <v/>
      </c>
      <c r="JL323" t="str">
        <f>IF(DE323="","",IF(COUNTIF(DE$3:DE323,DE323)+COUNTIF(DF$2:DF322,DE323)+COUNTIF(DG$2:DG322,DE323)=1,MAX(JL$2:JN322)+1,""))</f>
        <v/>
      </c>
      <c r="JM323" t="str">
        <f>IF(DF323="","",IF(COUNTIF(DE$3:DE323,DF323)+COUNTIF(DF$3:DF323,DF323)+COUNTIF(DG$2:DG322,DF323)=1,MAX(JL$2:JN322,JL323)+1,""))</f>
        <v/>
      </c>
      <c r="JN323" t="str">
        <f>IF(DG323="","",IF(COUNTIF(DE$3:DE323,DG323)+COUNTIF(DF$3:DF323,DG323)+COUNTIF(DG$3:DG323,DG323)=1,MAX(JL$2:JN322,JL323,JM323)+1,""))</f>
        <v/>
      </c>
      <c r="JO323" t="str">
        <f t="shared" ref="JO323:JO352" si="821">IF(HL323=1,IFERROR(MID(GK323,FIND(" (",GK323)+2,FIND(")",GK323,FIND(" (",GK323))-FIND(" (",GK323)-2),"?"),"")</f>
        <v>3х2,5</v>
      </c>
      <c r="JP323" t="str">
        <f>IF(JO323="","",IF(COUNTIF(JO$3:JO323,JO323)=1,MAX(JP$2:JP322)+1,""))</f>
        <v/>
      </c>
      <c r="JQ323" t="str">
        <f>IF(HG323="","",COUNTIF(HG$3:HG323,"?*"))</f>
        <v/>
      </c>
      <c r="JR323" t="str">
        <f>IF(OR(HG323="",HI323=""),"",IF(COUNTIFS(HG$3:HG323,"?*",HI$3:HI323,HI323)=1,MAX(JR$2:JR322)+1,""))</f>
        <v/>
      </c>
      <c r="JS323">
        <f t="shared" ref="JS323:JS352" si="822">IF(IH323="",0,IF(OR(ISNUMBER(SEARCH("дубль",IH323)),ISNUMBER(SEARCH("ПЕРЕГРУЗ",IH323)),ISNUMBER(SEARCH("ЗАЩИЩ",IH323)),ISNUMBER(SEARCH("КАНАЛ",IH323)),ISNUMBER(SEARCH("без диф",IH323))),2,1))</f>
        <v>0</v>
      </c>
      <c r="JT323">
        <f>IF(B323="","",COUNTIF(B$3:B323,"?*"))</f>
        <v>321</v>
      </c>
      <c r="JU323">
        <f>IF(HL323&lt;&gt;1,0,_xlfn.LET(_xlpm.k,MAX(IFERROR(--_xlfn.XLOOKUP(B323,Коды_код,Коды_3L),0),IFERROR(--_xlfn.XLOOKUP(BC323,Коды_код,Коды_3L),0),IFERROR(--_xlfn.XLOOKUP(LEFT(BC323,2),Коды_код,Коды_3L),0)),IF(_xlpm.k&gt;0,_xlpm.k,IF(IFERROR(--LEFT(SUBSTITUTE(JO323,"x","х"),FIND("х",SUBSTITUTE(JO323,"x","х"))-1),3)&gt;3,Каталог!$S$9,1))))</f>
        <v>1</v>
      </c>
      <c r="JV323">
        <f t="shared" ref="JV323:JV386" si="823">IF(HL323&lt;&gt;1,0,MAX(0,IFERROR(--LEFT(SUBSTITUTE(JO323,"x","х"),FIND("х",SUBSTITUTE(JO323,"x","х"))-1),3)-3*JU323))</f>
        <v>0</v>
      </c>
      <c r="JW323" t="str">
        <f t="shared" ref="JW323:JW352" si="824">IF(CG323=1,"авто","")</f>
        <v>авто</v>
      </c>
      <c r="JX323" t="str">
        <f t="shared" ref="JX323:JX352" si="825">IF(CG323=1,IF(N(DA323)&gt;0,DA323,""),"")</f>
        <v/>
      </c>
      <c r="JY323">
        <f t="shared" ref="JY323:JY352" si="826">IF(CG323=1,IF(N(DA323)&gt;0,1,0),"")</f>
        <v>0</v>
      </c>
      <c r="JZ323">
        <f t="shared" ref="JZ323:JZ352" si="827">SUBTOTAL(103,A323)</f>
        <v>1</v>
      </c>
    </row>
    <row r="324" spans="1:286" x14ac:dyDescent="0.3">
      <c r="A324" t="s">
        <v>763</v>
      </c>
      <c r="B324" t="s">
        <v>1627</v>
      </c>
      <c r="C324" t="s">
        <v>1730</v>
      </c>
      <c r="D324">
        <v>2</v>
      </c>
      <c r="E324">
        <v>0.2</v>
      </c>
      <c r="G324">
        <v>16</v>
      </c>
      <c r="H324" t="str">
        <f>Линии[[#This Row],[_авто управление]]</f>
        <v/>
      </c>
      <c r="I324" t="str">
        <f>Линии[[#This Row],[_авто аппараты]]</f>
        <v/>
      </c>
      <c r="J324">
        <v>2.5</v>
      </c>
      <c r="K324">
        <v>13</v>
      </c>
      <c r="L324">
        <v>1</v>
      </c>
      <c r="M324" t="str">
        <f>Линии[[#This Row],[_авто клемма]]</f>
        <v>XT7</v>
      </c>
      <c r="N324" t="str">
        <f t="shared" si="690"/>
        <v/>
      </c>
      <c r="O324" s="6" cm="1">
        <f t="array" ref="O324">IF(B324="","",IF(BH324&lt;&gt;"",IFERROR(_xlfn.XLOOKUP(BH324,Щиты[Щит],Щиты[Iр, А]),""),IF(BP324=1,IF(OR(N(_xlfn.XLOOKUP(A324,Щиты[Щит],Щиты[Вводов],1))&lt;=1,LOWER(TRIM(_xlfn.XLOOKUP(A324,Щиты[Щит],Щиты[АВР],"")&amp;""))="да"),IFERROR(_xlfn.XLOOKUP(A324,Щиты[Щит],Щиты[Iр, А]),""),IFERROR(N(BS324)*_xlfn.XLOOKUP(A324,Щиты[Щит],Щиты[Кс итог])/(SQRT(3)*Uн_лин*_xlfn.XLOOKUP(A324,Щиты[Щит],Щиты[cos φ])),"")),IF(BV324=1,IFERROR(BS324*1000/BU324,""),IFERROR(_xlfn.IFS(BX324=1,BS324/((Uн_лин/SQRT(3))*CE324),BX324=3,BS324/(SQRT(3)*Uн_лин*CE324)),"")))))</f>
        <v>1.0825317547305482</v>
      </c>
      <c r="P324" s="7">
        <f>IF(B324="","",IFERROR(IF(VLOOKUP(BC324,Потребители_обозначение,4,FALSE)=1,VLOOKUP(BC324,Потребители_обозначение,3,FALSE)*(MAX(1,N(D324))*2-1)+EI324+VLOOKUP(BE324,Этаж_обозначение,3,FALSE)+VLOOKUP(BE324,Этаж_обозначение,4,FALSE),VLOOKUP(BC324,Потребители_обозначение,3,FALSE)*(MAX(1,N(D324))*2-1)+EI324),EI324))</f>
        <v>22</v>
      </c>
      <c r="Q324" s="6">
        <f t="shared" si="691"/>
        <v>2.2699999999999996</v>
      </c>
      <c r="R324" t="str">
        <f t="shared" si="692"/>
        <v>ВВГнг(А)-LS (3х2,5)</v>
      </c>
      <c r="S324" t="str">
        <f>IF(BM324="","",IF(BN324="вводной узел","узел ","")&amp;"л."&amp;(INT((BM324-1)/Столбцов_на_лист)+1)&amp;" / "&amp;(MOD(BM324-1,Столбцов_на_лист)+1))</f>
        <v>л.1 / 16</v>
      </c>
      <c r="T324" s="119">
        <f t="shared" si="693"/>
        <v>0.7</v>
      </c>
      <c r="U324" s="7" t="str">
        <f>IF(OR(CG324=0,N(BV324)+N(IB324)=0),"",ROUNDUP(Запас_БП*(N(HY324)+N(HZ324)),0))</f>
        <v/>
      </c>
      <c r="V324" s="119" t="str">
        <f t="shared" si="694"/>
        <v/>
      </c>
      <c r="W324" s="7" t="str">
        <f>IFERROR(IF(OR(B324="",BP324=1,BV324=1,NOT(ISNUMBER(EN324)),N(DT324)=0),"",MAX(0,ROUNDDOWN((c_min*(Uн_лин*1000/SQRT(3))/(HT324*N(DT324))-_xlfn.XLOOKUP(A324,Щиты[Щит],Щиты[Zпетли на шинах, Ом]))*EN324/(2*ρкз_Cu),0))),"")</f>
        <v/>
      </c>
      <c r="Y324" t="str">
        <f>Линии[[#This Row],[_авто утечка]]</f>
        <v/>
      </c>
      <c r="Z324">
        <v>1</v>
      </c>
      <c r="AA324">
        <v>230</v>
      </c>
      <c r="AB324" t="s">
        <v>598</v>
      </c>
      <c r="AC324">
        <v>0.5</v>
      </c>
      <c r="AG324" t="s">
        <v>850</v>
      </c>
      <c r="AI324" t="s">
        <v>604</v>
      </c>
      <c r="AK324" t="str">
        <f>Линии[[#This Row],[_авто модуль]]</f>
        <v/>
      </c>
      <c r="AM324">
        <v>16</v>
      </c>
      <c r="AN324" t="s">
        <v>11</v>
      </c>
      <c r="AO324">
        <v>3</v>
      </c>
      <c r="AQ324">
        <v>4</v>
      </c>
      <c r="AR324">
        <v>15</v>
      </c>
      <c r="AS324">
        <v>0</v>
      </c>
      <c r="AT324">
        <v>1</v>
      </c>
      <c r="BA324" cm="1">
        <f t="array" ref="BA324">ROW()-ROW(Линии[#Headers])</f>
        <v>322</v>
      </c>
      <c r="BC324" s="6" t="str">
        <f t="shared" si="695"/>
        <v>НВК</v>
      </c>
      <c r="BD324" t="str">
        <f t="shared" si="696"/>
        <v>00.002Т.1</v>
      </c>
      <c r="BE324" t="str">
        <f t="shared" si="697"/>
        <v>00</v>
      </c>
      <c r="BF324" t="str">
        <f t="shared" si="698"/>
        <v>002Т.1</v>
      </c>
      <c r="BG324" t="str">
        <f t="shared" si="699"/>
        <v>002Т</v>
      </c>
      <c r="BH324" t="str">
        <f>IF(X324&lt;&gt;"",X324,IF(AND(B324&lt;&gt;"",B324&lt;&gt;A324,ISNUMBER(_xlfn.XMATCH(B324,Щиты[Щит]))),B324,""))</f>
        <v/>
      </c>
      <c r="BI324" t="str" cm="1">
        <f t="array" ref="BI324">IF(B324="","",IF(BH324&lt;&gt;"","Щит "&amp;BH324,_xlfn.LET(_xlpm.nm,IFERROR(_xlfn.XLOOKUP(BC324,Коды_код,Коды_имя)&amp;"",""),_xlpm.md,IFERROR(N(_xlfn.XLOOKUP(BC324,Коды_код,Коды_режим)),1),_xlpm.ex,IF(Имя_режим="по экспликации",IFERROR(_xlfn.XLOOKUP(BE324&amp;"|"&amp;BG324,Экспликация[Этаж]&amp;"|"&amp;Экспликация[Помещение],Экспликация[Название])&amp;"",""),""),_xlpm.rm,IF(BG324="","",IF(_xlpm.ex&lt;&gt;"",". "&amp;_xlpm.ex&amp;IF(Имя_пом="нет"," ("&amp;BG324&amp;")"," (пом. "&amp;BG324&amp;")"),IF(Имя_пом="нет"," ",", пом. ")&amp;BG324)),IF(_xlpm.nm="","",IF(_xlpm.md=2,_xlpm.nm&amp;" шлейф "&amp;BE324,_xlpm.nm&amp;_xlpm.rm)))))</f>
        <v>Насос дренажный, пом. 002Т</v>
      </c>
      <c r="BJ324" t="str">
        <f t="shared" si="700"/>
        <v>циркуляционный насос Подвальный этаж Пом. №002Т</v>
      </c>
      <c r="BK324">
        <f>IFERROR(_xlfn.XMATCH(A324,Щиты[Щит]),0)</f>
        <v>13</v>
      </c>
      <c r="BL324">
        <f>_xlfn.LET(_xlpm.k,IFERROR(_xlfn.XLOOKUP(A324,Щиты[Щит],Щиты[Мест под вводной узел]),""),IF(_xlpm.k="",Столбцов_на_лист,N(_xlpm.k)))</f>
        <v>9</v>
      </c>
      <c r="BM324">
        <f t="shared" si="701"/>
        <v>16</v>
      </c>
      <c r="BN324" t="str">
        <f t="shared" si="702"/>
        <v>линии</v>
      </c>
      <c r="BO324" s="6">
        <f>IFERROR(N(_xlfn.XLOOKUP(BC324,Коды_код,Коды_квт)),0)</f>
        <v>0</v>
      </c>
      <c r="BP324">
        <f t="shared" si="703"/>
        <v>0</v>
      </c>
      <c r="BQ324" t="str">
        <f>IF(B324="","",IF(BH324&lt;&gt;"",IFERROR(_xlfn.XLOOKUP(BH324,Щиты[Щит],Щиты[Руст, кВт]),0),IF(BP324=1,IF(OR(N(_xlfn.XLOOKUP(A324,Щиты[Щит],Щиты[Вводов],1))&lt;=1,LOWER(TRIM(_xlfn.XLOOKUP(A324,Щиты[Щит],Щиты[АВР],"")&amp;""))="да"),IFERROR(_xlfn.XLOOKUP(A324,Щиты[Щит],Щиты[Руст, кВт]),0),SUMIFS(Линии[_Р для вводов],Линии[Щит],A324,Линии[Источник для режимов],GF324)),IF(BO324&gt;0,ROUND(BO324*MAX(1,N(D324)),3),""))))</f>
        <v/>
      </c>
      <c r="BR324">
        <f t="shared" si="704"/>
        <v>0.2</v>
      </c>
      <c r="BS324" s="6">
        <f>IF(B324="","",IF(BH324&lt;&gt;"",IFERROR(_xlfn.XLOOKUP(BH324,Щиты[Щит],Щиты[Руст, кВт]),0),N(BR324)))</f>
        <v>0.2</v>
      </c>
      <c r="BT324" t="str">
        <f>IF(B324="","",IFERROR(IF(VLOOKUP(BC324,Потребители_обозначение,8,FALSE)=0,"",VLOOKUP(BC324,Потребители_обозначение,8,FALSE)),""))</f>
        <v/>
      </c>
      <c r="BU324">
        <f t="shared" si="705"/>
        <v>230</v>
      </c>
      <c r="BV324">
        <f t="shared" si="706"/>
        <v>0</v>
      </c>
      <c r="BW324">
        <f>IF(B324="","",IF(BH324&lt;&gt;"",3,IFERROR(IF(N(VLOOKUP(BC324,Потребители_обозначение,9,FALSE))=0,1,VLOOKUP(BC324,Потребители_обозначение,9,FALSE)),1)))</f>
        <v>1</v>
      </c>
      <c r="BX324">
        <f t="shared" si="707"/>
        <v>1</v>
      </c>
      <c r="BY324" t="str">
        <f>IF(B324="","",_xlfn.LET(_xlpm.bc,IFERROR(IF(VLOOKUP(BC324,Потребители_обозначение,6,FALSE)=0,"",VLOOKUP(BC324,Потребители_обозначение,6,FALSE)&amp;""),""),IF(AND(GA324="да",OR(_xlpm.bc="",_xlpm.bc="мс")),Марка_пож,IF(AND(_xlpm.bc="",BH324&lt;&gt;""),"мс",_xlpm.bc))))</f>
        <v/>
      </c>
      <c r="BZ324" t="str">
        <f t="shared" si="708"/>
        <v>мс</v>
      </c>
      <c r="CA324">
        <f>IF(B324="","",_xlfn.LET(_xlpm.cc,IFERROR(N(VLOOKUP(BC324,Потребители_обозначение,7,FALSE)),0),IF(_xlpm.cc&gt;0,_xlpm.cc,IF(BZ324="","",IF(BV324=1,2,IF(N(BX324)=3,5,3))))))</f>
        <v>3</v>
      </c>
      <c r="CB324">
        <f t="shared" si="709"/>
        <v>3</v>
      </c>
      <c r="CC324">
        <f>IFERROR(N(VLOOKUP(BC324,Потребители_обозначение,10,FALSE)),0)</f>
        <v>0</v>
      </c>
      <c r="CD324">
        <f>IFERROR(VLOOKUP(BC324,Потребители_обозначение,5,FALSE),0)</f>
        <v>1</v>
      </c>
      <c r="CE324" s="6" cm="1">
        <f t="array" ref="CE324">IF(B324="","",IF(BH324&lt;&gt;"",IFERROR(_xlfn.XLOOKUP(BH324,Щиты[Щит],Щиты[cos φ]),0.95),IF(BP324=1,IFERROR(_xlfn.XLOOKUP(A324,Щиты[Щит],Щиты[cos φ]),0.95),IF(ISNUMBER(AD324),AD324,IFERROR(IF(CD324=2,_xlfn.IFS(BX324=3,VLOOKUP(BS324,Справочная_двигатели,8,FALSE),BX324=1,VLOOKUP(BS324,Справочная_двигатели,10,TRUE)),IF(AND(Методика="нормы 2026",FG324="Сил"),0.8,0.95)),0.95)))))</f>
        <v>0.8</v>
      </c>
      <c r="CF324">
        <f t="shared" si="710"/>
        <v>0</v>
      </c>
      <c r="CG324">
        <f t="shared" si="711"/>
        <v>1</v>
      </c>
      <c r="CH324">
        <f t="shared" si="712"/>
        <v>0</v>
      </c>
      <c r="CI324">
        <f>IF(B324="","",IF(BV324=1,IFERROR(BS324/((Uн_лин/SQRT(3))*MAX(0.5,N(CE324))),0),N(O324)))</f>
        <v>1.0825317547305482</v>
      </c>
      <c r="CJ324">
        <f t="shared" si="713"/>
        <v>0</v>
      </c>
      <c r="CK324">
        <f t="shared" si="714"/>
        <v>0</v>
      </c>
      <c r="CL324">
        <f t="shared" si="715"/>
        <v>0</v>
      </c>
      <c r="CM324">
        <f t="shared" si="716"/>
        <v>0</v>
      </c>
      <c r="CN324">
        <f t="shared" si="717"/>
        <v>0</v>
      </c>
      <c r="CO324">
        <f>IF(BC324="",0,_xlfn.LET(_xlpm.v,IFERROR(_xlfn.XLOOKUP(B324,Коды_код,Коды_мА),IFERROR(_xlfn.XLOOKUP(BC324,Коды_код,Коды_мА),IFERROR(_xlfn.XLOOKUP(LEFT(BC324,2),Коды_код,Коды_мА),""))),IF(_xlpm.v="да",30,IF(ISNUMBER(_xlpm.v),_xlpm.v,0))))</f>
        <v>0</v>
      </c>
      <c r="CP324" t="str">
        <f t="shared" si="718"/>
        <v/>
      </c>
      <c r="CQ324" t="str">
        <f>_xlfn.LET(_xlpm.k,IFERROR(_xlfn.XLOOKUP(BC324,Коды_код,Коды_утечка)&amp;"",""),IF(_xlpm.k="","дифавтомат",_xlpm.k))</f>
        <v>дифавтомат</v>
      </c>
      <c r="CR324" t="str" cm="1">
        <f t="array" ref="CR324">IF(CG324=0,"",_xlfn.LET(_xlpm.sg,TRIM(_xlfn.TEXTSPLIT(DD324&amp;"",";")),_xlpm.f_,_xlfn._xlws.FILTER(_xlpm.sg,LEFT(_xlpm.sg,3)="УЗО",""),IFERROR(INDEX(_xlpm.f_,1)&amp;"","")))</f>
        <v/>
      </c>
      <c r="CS324" t="str">
        <f t="shared" si="719"/>
        <v/>
      </c>
      <c r="CT324" s="6" t="str" cm="1">
        <f t="array" ref="CT324">IF(CR324="","",_xlfn.LET(_xlpm.tk,_xlfn.TEXTSPLIT(UPPER(CR324)," ",,TRUE),_xlpm.a_,_xlfn._xlws.FILTER(_xlpm.tk,ISNUMBER(--LEFT(_xlpm.tk,1))*((ISNUMBER(SEARCH("А",_xlpm.tk))+ISNUMBER(SEARCH("A",_xlpm.tk)))&gt;0)*NOT(ISNUMBER(SEARCH("МА",_xlpm.tk)))*NOT(ISNUMBER(SEARCH("MA",_xlpm.tk))),""),IFERROR(--SUBSTITUTE(SUBSTITUTE(INDEX(_xlpm.a_,1),"А",""),"A",""),"")))</f>
        <v/>
      </c>
      <c r="CU324" t="str" cm="1">
        <f t="array" ref="CU324">IF(CR324="","",_xlfn.LET(_xlpm.tk,_xlfn.TEXTSPLIT(UPPER(CR324)," ",,TRUE),_xlpm.a_,_xlfn._xlws.FILTER(_xlpm.tk,ISNUMBER(--LEFT(_xlpm.tk,1))*((ISNUMBER(SEARCH("МА",_xlpm.tk))+ISNUMBER(SEARCH("MA",_xlpm.tk)))&gt;0),""),IFERROR(--SUBSTITUTE(SUBSTITUTE(INDEX(_xlpm.a_,1),"МА",""),"MA",""),30)))</f>
        <v/>
      </c>
      <c r="CV324" t="str">
        <f>IF(CS324="","",IFERROR(_xlfn.XLOOKUP(CS324,Линии[_n],Линии[_УЗО, мА]),30))</f>
        <v/>
      </c>
      <c r="CW324">
        <f>IF(CS324="",0,IF(ISNUMBER(SEARCH("4P",IFERROR(_xlfn.XLOOKUP(CS324,Линии[_n],Линии[_УЗО строки])&amp;"",""))),0,1))</f>
        <v>0</v>
      </c>
      <c r="CX324" t="str">
        <f>IF(AND(CS324&lt;&gt;"",CS324=BA324),SUMIFS(Линии[_ток на 230 В],Линии[_блок УЗО],BA324,Линии[Щит],A324),"")</f>
        <v/>
      </c>
      <c r="CY324" t="str">
        <f>IF(AND(CS324&lt;&gt;"",CS324=BA324),SUMIFS(Линии[_ток утечки линии, мА],Линии[_блок УЗО],BA324,Линии[Щит],A324),"")</f>
        <v/>
      </c>
      <c r="CZ324">
        <f t="shared" si="720"/>
        <v>0</v>
      </c>
      <c r="DA324">
        <f t="shared" si="721"/>
        <v>0</v>
      </c>
      <c r="DB324">
        <f>IF(B324="",0,IFERROR(--_xlfn.XLOOKUP(B324,Коды_код,Коды_минавт),IFERROR(--_xlfn.XLOOKUP(BC324,Коды_код,Коды_минавт),IFERROR(--_xlfn.XLOOKUP(LEFT(BC324,2),Коды_код,Коды_минавт),0))))</f>
        <v>0</v>
      </c>
      <c r="DC324" t="str">
        <f>IF(B324="","",IFERROR(_xlfn.XLOOKUP(BC324,Коды_код,Коды_апп)&amp;"",""))</f>
        <v/>
      </c>
      <c r="DD324" t="str">
        <f t="shared" si="722"/>
        <v/>
      </c>
      <c r="DE324" t="str" cm="1">
        <f t="array" ref="DE324">IF(TRIM(DD324&amp;"")="","",IFERROR(TRIM(INDEX(_xlfn.TEXTSPLIT(DD324&amp;";;;",";"),1)),""))</f>
        <v/>
      </c>
      <c r="DF324" t="str" cm="1">
        <f t="array" ref="DF324">IF(TRIM(DD324&amp;"")="","",IFERROR(TRIM(INDEX(_xlfn.TEXTSPLIT(DD324&amp;";;;",";"),2)),""))</f>
        <v/>
      </c>
      <c r="DG324" t="str" cm="1">
        <f t="array" ref="DG324">IF(TRIM(DD324&amp;"")="","",IFERROR(TRIM(INDEX(_xlfn.TEXTSPLIT(DD324&amp;";;;",";"),3)),""))</f>
        <v/>
      </c>
      <c r="DH324">
        <f t="shared" si="723"/>
        <v>0</v>
      </c>
      <c r="DI324" t="str">
        <f>IF(B324="","",_xlfn.LET(_xlpm.t,LOWER(AZ324&amp;""),IF(ISNUMBER(SEARCH("dim",_xlpm.t)),"DIM",IF(ISNUMBER(SEARCH("dali",_xlpm.t)),"DALI",IF(OR(ISNUMBER(SEARCH("relay",_xlpm.t)),ISNUMBER(SEARCH("реле",_xlpm.t))),"Relay",IF(ISNUMBER(SEARCH("кнопк",_xlpm.t)),"",IFERROR(_xlfn.XLOOKUP(BC324,Коды_код,Коды_упр)&amp;"","")))))))</f>
        <v/>
      </c>
      <c r="DJ324" t="str">
        <f t="shared" si="724"/>
        <v/>
      </c>
      <c r="DK324">
        <f>IF(B324="","",_xlfn.LET(_xlpm.ig,IF(N(CX324)&gt;0,N(CX324),N(CI324)+IF(AJ324="вручную",0,N(CJ324))),_xlpm.n0,IFERROR(VLOOKUP(_xlpm.ig,Автомат_номиналы,2,TRUE),0),_xlpm.mn,MAX(DB324,IF(AJ324="вручную",0,N(CM324))),MAX(_xlpm.n0,_xlpm.mn,IF(DH324=1,Мин_автомат_БП,0))))</f>
        <v>6</v>
      </c>
      <c r="DL324">
        <f t="shared" si="725"/>
        <v>1</v>
      </c>
      <c r="DM324" t="str">
        <f t="shared" si="726"/>
        <v>1P</v>
      </c>
      <c r="DN324" t="str">
        <f>_xlfn.LET(_xlpm.cc,UPPER(TRIM(IFERROR(_xlfn.XLOOKUP(BC324,Коды_код,Коды_хар)&amp;"",""))),IF(OR(_xlpm.cc="B",_xlpm.cc="В"),"B",IF(_xlpm.cc="D","D","С")))</f>
        <v>С</v>
      </c>
      <c r="DO324" t="str">
        <f t="shared" si="727"/>
        <v>1P С6А</v>
      </c>
      <c r="DP324">
        <f t="shared" si="728"/>
        <v>16</v>
      </c>
      <c r="DQ324" t="str">
        <f t="shared" si="729"/>
        <v>1P С16А</v>
      </c>
      <c r="DR324" cm="1">
        <f t="array" ref="DR324">IF(DQ324="","",_xlfn.LET(_xlpm.t,SUBSTITUTE(SUBSTITUTE(SUBSTITUTE(UPPER(DQ324),"С","C"),"А","A"),"В","B"),_xlpm.tk,_xlfn.TEXTSPLIT(_xlpm.t," "),_xlpm.f,_xlfn._xlws.FILTER(_xlpm.tk,ISNUMBER(--MID(_xlpm.tk,2,1))*ISNUMBER(SEARCH(LEFT(_xlpm.tk,1)&amp;"#","B#C#D#"))*(LEN(_xlpm.tk)&gt;1),""),_xlpm.x,INDEX(_xlpm.f,1),IFERROR(--SUBSTITUTE(MID(_xlpm.x,2,9),"A",""),IFERROR(--SUBSTITUTE(INDEX(_xlfn._xlws.FILTER(_xlpm.tk,ISNUMBER(--SUBSTITUTE(_xlpm.tk,"A","")),""),1),"A",""),""))))</f>
        <v>16</v>
      </c>
      <c r="DS324" t="str">
        <f t="shared" si="730"/>
        <v>ok</v>
      </c>
      <c r="DT324">
        <f t="shared" si="731"/>
        <v>16</v>
      </c>
      <c r="DU324" t="str">
        <f t="shared" si="732"/>
        <v>1P С16А</v>
      </c>
      <c r="DV324">
        <f t="shared" si="733"/>
        <v>0</v>
      </c>
      <c r="DW324">
        <f t="shared" si="734"/>
        <v>0</v>
      </c>
      <c r="DX324">
        <f t="shared" si="735"/>
        <v>0</v>
      </c>
      <c r="DY324">
        <f t="shared" si="736"/>
        <v>1.0825317547305482</v>
      </c>
      <c r="DZ324">
        <f t="shared" si="737"/>
        <v>1</v>
      </c>
      <c r="EA324">
        <f>IF(ISNUMBER(AP324),AP324,К_прокл)</f>
        <v>1</v>
      </c>
      <c r="EB324">
        <f t="shared" si="738"/>
        <v>2</v>
      </c>
      <c r="EC324">
        <f>IFERROR(N(VLOOKUP(BZ324,Кабель_обозначение,3,FALSE)),1)</f>
        <v>1</v>
      </c>
      <c r="ED324">
        <f>IFERROR(N(_xlfn.XLOOKUP(A324,Щиты[Щит],Щиты[ΔU до шин, %])),0)</f>
        <v>2.1199999999999997</v>
      </c>
      <c r="EE324" t="str">
        <f>IFERROR(_xlfn.XLOOKUP(A324,Щиты[Щит],Щиты[Zпетли на шинах, Ом]),"")</f>
        <v/>
      </c>
      <c r="EF324">
        <f>IFERROR(N(_xlfn.XLOOKUP(A324,Щиты[Щит],Щиты[ΔU до шин (подбор), %])),0)</f>
        <v>3.3699999999999997</v>
      </c>
      <c r="EG324" t="str">
        <f>IFERROR(_xlfn.XLOOKUP(A324,Щиты[Щит],Щиты[Zпетли на шинах (подбор), Ом]),"")</f>
        <v/>
      </c>
      <c r="EH324" t="str">
        <f t="shared" si="739"/>
        <v/>
      </c>
      <c r="EI324">
        <f t="shared" si="740"/>
        <v>13</v>
      </c>
      <c r="EJ324">
        <f t="shared" si="741"/>
        <v>2</v>
      </c>
      <c r="EK324">
        <f t="shared" si="742"/>
        <v>0.6</v>
      </c>
      <c r="EL324" s="6">
        <f>IF(B324="","",IF(BV324=1,dU_LED,IF(IFERROR(_xlfn.XLOOKUP(BC324,Коды_код,Коды_уго),"")="Светильник",3,4)+IF(Методика="нормы 2026",MIN(0.5,MAX(0,N(P324)-100)*0.005),0)))</f>
        <v>4</v>
      </c>
      <c r="EM324" cm="1">
        <f t="array" ref="EM324">IF(OR(B324="",BZ324="",EC324&lt;&gt;1),"",_xlfn.LET(_xlpm.sz,Iдоп_S,_xlpm.t_,CHOOSE(EB324,Iдоп_1ж,Iдоп_2ж,Iдоп_3ж)*DZ324*EA324,_xlpm.dcx,BV324=1,_xlpm.inn,IF(_xlpm.dcx,N(O324),N(DT324)),_xlpm.smin,MAX(1.5,CC324),_xlpm.L_,N(P324)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324)/N(BU324)*100,999),IFERROR(N(EJ324)*(_xlpm.rho*_xlpm.L_/_xlpm.sz*N(CE324)+_xlpm.xx*_xlpm.L_*N(EK324)/1000)*N(O324)/((Uн_лин/SQRT(3))*1000)*100,999)),_xlpm.kz,IF(OR(_xlpm.dcx,DW324=1,NOT(ISNUMBER(EG324)),_xlpm.L_=0,_xlpm.inn=0),1,IFERROR(--(c_min*(Uн_лин*1000/SQRT(3))/(EG324+2*ρкз_Cu*_xlpm.L_/_xlpm.sz)&gt;=HT324*_xlpm.inn),0)),_xlpm.ok,IFERROR((_xlpm.sz&gt;=_xlpm.smin)*(_xlpm.t_&gt;=_xlpm.inn)*IF(_xlpm.L_&gt;0,(_xlpm.du_+IF(_xlpm.dcx,0,EF324)&lt;=EL324+0.00001),1)*_xlpm.kz,0),_xlpm.r_,_xlfn._xlws.FILTER(_xlpm.sz,_xlpm.ok,"не подобрано"),INDEX(_xlpm.r_,1)))</f>
        <v>1.5</v>
      </c>
      <c r="EN324">
        <f t="shared" si="743"/>
        <v>2.5</v>
      </c>
      <c r="EO324" cm="1">
        <f t="array" ref="EO324">IF(OR(B324="",BZ324="",EC324&lt;&gt;1),"",_xlfn.LET(_xlpm.sz,Iдоп_S,_xlpm.t_,CHOOSE(EB324,Iдоп_1ж,Iдоп_2ж,Iдоп_3ж)*DZ324*EA324,_xlpm.ok,IFERROR((_xlpm.sz&gt;=MAX(1.5,CC324))*(_xlpm.t_&gt;=N(DT324)),0),_xlpm.r_,_xlfn._xlws.FILTER(_xlpm.sz,_xlpm.ok,""),INDEX(_xlpm.r_,1)))</f>
        <v>1.5</v>
      </c>
      <c r="EP324" s="6" cm="1">
        <f t="array" ref="EP324">IFERROR(ROUNDUP(N(EJ324)*(_xlfn.XLOOKUP(EO324,INDEX(Кабель_сопротивление,0,1),INDEX(Кабель_сопротивление,0,3))*N(P324)/EO324*N(CE324)+_xlfn.XLOOKUP(EO324,INDEX(Кабель_сопротивление,0,1),INDEX(Кабель_сопротивление,0,2))*N(P324)*N(EK324)/1000)*N(O324)/((Uн_лин/SQRT(3))*1000)*100,2),"")</f>
        <v>0.25</v>
      </c>
      <c r="EQ324">
        <f>IFERROR(2*ρкз_Cu*N(P324)/EO324,"")</f>
        <v>0.77146666666666663</v>
      </c>
      <c r="ER324">
        <f>IFERROR(VLOOKUP(EN324,Кабель_сопротивление,3,FALSE),"")</f>
        <v>2.2499999999999999E-2</v>
      </c>
      <c r="ES324">
        <f>IFERROR(VLOOKUP(EN324,Кабель_сопротивление,2,FALSE),"")</f>
        <v>0.1</v>
      </c>
      <c r="ET324">
        <f t="shared" si="744"/>
        <v>15</v>
      </c>
      <c r="EU324">
        <f t="shared" si="745"/>
        <v>0</v>
      </c>
      <c r="EV324">
        <f t="shared" si="746"/>
        <v>0.34580394373112633</v>
      </c>
      <c r="EW324" s="6">
        <f>IFERROR(ROUNDUP(EV324/IF(BV324=1,BU324,(Uн_лин/SQRT(3))*1000)*100,2),"")</f>
        <v>0.15000000000000002</v>
      </c>
      <c r="EX324" t="str">
        <f>IFERROR(VLOOKUP(BZ324,Кабель_обозначение,2,FALSE),"")</f>
        <v>ВВГнг(А)-LS</v>
      </c>
      <c r="EY324" t="str">
        <f t="shared" si="747"/>
        <v>ВВГнг(А)-LS (3х2,5)</v>
      </c>
      <c r="EZ324" t="str">
        <f t="shared" si="748"/>
        <v>ВВГнг(А)-LS (3х2,5)
L=22-0,15%</v>
      </c>
      <c r="FA324">
        <f>IFERROR(2*ρкз_Cu*P324/EN324,"")</f>
        <v>0.46288000000000001</v>
      </c>
      <c r="FB324">
        <f t="shared" si="749"/>
        <v>0.154</v>
      </c>
      <c r="FC324" s="6" t="str">
        <f>IFERROR(IF(OR(B324="",BV324=1,NOT(ISNUMBER(EN324)),N(P324)=0),"",_xlfn.XLOOKUP(A324,Щиты[Щит],Щиты[Zпетли на шинах, Ом])+FA324),"")</f>
        <v/>
      </c>
      <c r="FD324" s="6" t="str">
        <f>IF(ISNUMBER(FC324),c_min*(Uн_лин*1000/SQRT(3))/FC324,"")</f>
        <v/>
      </c>
      <c r="FE324" s="6" t="str">
        <f>IFERROR(IF(OR(B324="",NOT(ISNUMBER(EN324))),"",1.05*(Uн_лин*1000/SQRT(3))/(_xlfn.XLOOKUP(A324,Щиты[Щит],Щиты[Zmax на шинах, Ом])+FB324)/1000),"")</f>
        <v/>
      </c>
      <c r="FF324" s="6" t="str">
        <f>IF(B324="","",IF(ISNUMBER(AC324),"Сил",IF(IFERROR(_xlfn.XLOOKUP(BC324,Коды_код,Коды_группа)&amp;"","")="","Быт",_xlfn.XLOOKUP(BC324,Коды_код,Коды_группа)&amp;"")))</f>
        <v>Сил</v>
      </c>
      <c r="FG324" s="6" t="str">
        <f t="shared" si="750"/>
        <v>Сил</v>
      </c>
      <c r="FH324" s="6">
        <f>IF(FG324="Щит","щит",IF(FG324="","",IF(FG324="Быт",IFERROR(_xlfn.XLOOKUP(A324,Щиты[Щит],Щиты[Кс быт]),1),IF(FG324="Сил",IF(ISNUMBER(AC324),AC324,IF(Методика="нормы 2026",IFERROR(_xlfn.XLOOKUP(A324,Щиты[Щит],Щиты[Кс силовых (табл. 7.5)]),1),1)),IF(OR(FG324="Пост",FG324="Отоп"),1,IF(FG324="ВНГ",0.7,0))))))</f>
        <v>0.5</v>
      </c>
      <c r="FI324">
        <f>IF(FG324="","",IF(AND(BP324=1,TRIM(AE324&amp;"")=""),IF(COUNTIFS(Линии[Щит],A324,Линии[Секция (1/2/3)],"&gt;=2")&gt;0,MIN(3,MAX(1,IFERROR(--BD324,1))),1),IFERROR(MIN(3,MAX(1,INT(--AE324))),1)))</f>
        <v>1</v>
      </c>
      <c r="FJ324">
        <f t="shared" si="751"/>
        <v>0.2</v>
      </c>
      <c r="FK324">
        <f t="shared" si="752"/>
        <v>0</v>
      </c>
      <c r="FL324">
        <f t="shared" si="753"/>
        <v>0.1</v>
      </c>
      <c r="FM324">
        <f t="shared" si="754"/>
        <v>0</v>
      </c>
      <c r="FN324">
        <f t="shared" si="755"/>
        <v>0</v>
      </c>
      <c r="FO324">
        <f t="shared" si="756"/>
        <v>0</v>
      </c>
      <c r="FP324">
        <f t="shared" si="757"/>
        <v>0.2</v>
      </c>
      <c r="FQ324">
        <f t="shared" si="758"/>
        <v>0.2</v>
      </c>
      <c r="FR324">
        <f t="shared" si="759"/>
        <v>0.16000000000000003</v>
      </c>
      <c r="FS324">
        <f>IF(CG324=1,IF(AND(CH324=1,CW324=1),0,IF(AND(CS324&lt;&gt;"",CS324=BA324,CW324=1),SUMIFS(Линии[_Р линии, кВт],Линии[_блок УЗО],BA324,Линии[Щит],A324),N(BS324)+IF(AJ324="вручную",0,N(CK324)))),0)</f>
        <v>0.2</v>
      </c>
      <c r="FT324" t="str">
        <f t="shared" si="760"/>
        <v>L1</v>
      </c>
      <c r="FU324" t="str">
        <f>IF(B324="","",IF(CG324=0,IF(BA324=1,"",FW323),IF(AND(CH324=1,CW324=1,CS324&lt;&gt;""),IFERROR(_xlfn.XLOOKUP(CS324,Линии[_n],Линии[_фаза итог]),"L1"),IF(OR(N(DL324)&gt;=3,N(BX324)&gt;=3),"L1,L2,L3",IFERROR(_xlfn.TEXTBEFORE(_xlfn.TEXTAFTER(_xlfn.XLOOKUP(A324,Щиты[Щит],Щиты[_фазы авто]),";"&amp;BA324&amp;":"),";"),"L1")))))</f>
        <v>L1</v>
      </c>
      <c r="FV324" t="str">
        <f t="shared" si="761"/>
        <v>L1</v>
      </c>
      <c r="FW324" t="str">
        <f t="shared" si="762"/>
        <v>L1</v>
      </c>
      <c r="FX324" cm="1">
        <f t="array" ref="FX324">IFERROR(IF(CD324=2,_xlfn.IFS(BX324=3,VLOOKUP(BS324,Справочная_двигатели,3,FALSE),BX324=1,VLOOKUP(BS324,Справочная_двигатели,5,TRUE)),0),0)</f>
        <v>0</v>
      </c>
      <c r="FY324">
        <f>IFERROR(IF(CD324=3,VLOOKUP(BS324,Справочная_ЛЭД,2,TRUE),0),0)</f>
        <v>0</v>
      </c>
      <c r="FZ324" s="6">
        <f t="shared" si="763"/>
        <v>0</v>
      </c>
      <c r="GA324" t="str">
        <f>IF(B324="","",IF(TRIM(AH324&amp;"")&lt;&gt;"",IF(LOWER(TRIM(AH324&amp;""))="да","да","нет"),IF(IFERROR(_xlfn.XLOOKUP(BC324,Коды_код,Коды_пожарная),"")="да","да","нет")))</f>
        <v>нет</v>
      </c>
      <c r="GB324" t="str">
        <f t="shared" si="764"/>
        <v/>
      </c>
      <c r="GC324" t="str">
        <f t="shared" si="765"/>
        <v>основная</v>
      </c>
      <c r="GD324">
        <f>IF(AND(BP324=1,TRIM(AE324&amp;"")=""),IF(COUNTIFS(Линии[Щит],A324,Линии[Секция (1/2/3)],"&gt;=2")&gt;0,MIN(3,MAX(1,IFERROR(--BD324,1))),1),IFERROR(MIN(3,MAX(1,INT(--AE324))),1))</f>
        <v>1</v>
      </c>
      <c r="GE324" t="str" cm="1">
        <f t="array" ref="GE324">IF(B324="","",_xlfn.LET(_xlpm.t,IFERROR(_xlfn.XLOOKUP(1,(Шины[Шина]=GC324)*(((Шины[Щит]=A324)+(Шины[Щит]=""))&gt;0),Шины[Тип]),"")&amp;"",IF(_xlpm.t&lt;&gt;"",_xlpm.t,IF(ISNUMBER(SEARCH("ИБП",GC324)),"ИБП",IF(ISNUMBER(SEARCH("ДГУ",GC324)),"ДГУ","Ввод "&amp;GD324)))))</f>
        <v>Ввод 1</v>
      </c>
      <c r="GF324" t="str">
        <f t="shared" si="766"/>
        <v>Ввод 1</v>
      </c>
      <c r="GG324" t="str">
        <f>IF(BP324=0,"",IF(TRIM(AG324&amp;"")&lt;&gt;"",TRIM(AG324&amp;""),IF(OR(GE324="ИБП",GE324="ДГУ"),"I особая",_xlfn.XLOOKUP(A324,Щиты[Щит],Щиты[Категория шины «Ввод»],"III"))))</f>
        <v/>
      </c>
      <c r="GH324" t="str">
        <f>IF(A324="","",_xlfn.XLOOKUP(A324,Щиты[Щит],Щиты[Путь],""))</f>
        <v>|ГРЩ-ЖД|ЩС-ВК.001|</v>
      </c>
      <c r="GI324" t="str">
        <f>IF(B324="","",IF(AI324&lt;&gt;"",AI324,IF(IFERROR(_xlfn.XLOOKUP(BC324,Коды_код,Коды_вид)&amp;"","")="","Прочее",_xlfn.XLOOKUP(BC324,Коды_код,Коды_вид)&amp;"")))</f>
        <v>Насосы (водоснабжение, дренаж)</v>
      </c>
      <c r="GJ324">
        <f>IF(BM324="","",INT((BM324-1)/Столбцов_на_лист)+1)</f>
        <v>1</v>
      </c>
      <c r="GK324" t="str">
        <f t="shared" si="767"/>
        <v>ВВГнг(А)-LS (3х2,5) L=22-0,15%</v>
      </c>
      <c r="GL324">
        <f t="shared" si="768"/>
        <v>0.2</v>
      </c>
      <c r="GM324">
        <f t="shared" si="769"/>
        <v>1.0900000000000001</v>
      </c>
      <c r="GN324">
        <f t="shared" si="770"/>
        <v>1</v>
      </c>
      <c r="GO324">
        <f t="shared" si="771"/>
        <v>0</v>
      </c>
      <c r="GP324">
        <f t="shared" si="772"/>
        <v>1</v>
      </c>
      <c r="GQ324">
        <f>IF(BM324="","",IF(AND(CG324=1,GP324=1),COUNTIFS(A$3:A324,A324,CG$3:CG324,1,GP$3:GP324,1),IF(OR(OR(BA324=1,A324&lt;&gt;A323),AJ324="вручную",GP324=0),"",IF(BA324=1,"",GR323))))</f>
        <v>7</v>
      </c>
      <c r="GR324">
        <f t="shared" si="773"/>
        <v>7</v>
      </c>
      <c r="GS324">
        <f>IF(B324="","",IFERROR(LOOKUP(INDEX(CHOOSE(EB324,Iдоп_1ж,Iдоп_2ж,Iдоп_3ж),MATCH(EN324,Iдоп_S,0))*DZ324*EA324,{6,10,16,20,25,32,40,50,63,80,100,125,160,200,250,315,400,500,630}),""))</f>
        <v>25</v>
      </c>
      <c r="GT324" t="str">
        <f t="shared" si="774"/>
        <v>QF7</v>
      </c>
      <c r="GU324" t="str">
        <f t="shared" si="775"/>
        <v>QF7</v>
      </c>
      <c r="GV324" t="str">
        <f t="shared" si="776"/>
        <v/>
      </c>
      <c r="GW324">
        <f t="shared" si="777"/>
        <v>0</v>
      </c>
      <c r="GX324" t="str">
        <f>IF(OR(B324="",DJ324=""),"",IFERROR(_xlfn.XLOOKUP(DJ324,Модули_умолч[Управление],Модули_умолч[Модель])&amp;"",""))</f>
        <v/>
      </c>
      <c r="GY324">
        <f>IF(DJ324="",1,IFERROR(MAX(0,N(_xlfn.XLOOKUP(DJ324,Модули_умолч[Управление],Модули_умолч[Каналов на линию]))),1))</f>
        <v>1</v>
      </c>
      <c r="GZ324" t="str">
        <f t="shared" si="778"/>
        <v/>
      </c>
      <c r="HA324" t="str">
        <f t="shared" si="779"/>
        <v/>
      </c>
      <c r="HB324" t="str">
        <f t="shared" si="780"/>
        <v/>
      </c>
      <c r="HC324">
        <f>IF(HB324="",0,IFERROR(N(VLOOKUP(HB324,Модули_спр,3,FALSE)),0))</f>
        <v>0</v>
      </c>
      <c r="HD324" t="str">
        <f t="shared" si="781"/>
        <v/>
      </c>
      <c r="HE324" t="str">
        <f t="shared" si="782"/>
        <v/>
      </c>
      <c r="HF324" t="str">
        <f>IF(OR(HE324="",HE324="-"),"",IFERROR(VLOOKUP(HE324,Модули_спр,2,FALSE),"R"))</f>
        <v/>
      </c>
      <c r="HG324" t="str">
        <f>IF(HF324="","",HF324&amp;"."&amp;COUNTIFS(A$3:A324,A324,HF$3:HF324,HF324))</f>
        <v/>
      </c>
      <c r="HH324" t="str">
        <f t="shared" si="783"/>
        <v/>
      </c>
      <c r="HI324" t="str">
        <f t="shared" si="784"/>
        <v/>
      </c>
      <c r="HJ324" t="str">
        <f t="shared" si="785"/>
        <v/>
      </c>
      <c r="HK324" t="str">
        <f t="shared" si="786"/>
        <v/>
      </c>
      <c r="HL324">
        <f t="shared" si="787"/>
        <v>1</v>
      </c>
      <c r="HM324" t="str">
        <f>IF(HL324=1,"XT"&amp;COUNTIFS(A$3:A324,A324,HL$3:HL324,1),"")</f>
        <v>XT7</v>
      </c>
      <c r="HN324" t="str">
        <f t="shared" si="788"/>
        <v>XT7</v>
      </c>
      <c r="HO324" t="str">
        <f t="shared" si="789"/>
        <v>QF7</v>
      </c>
      <c r="HP324" t="str">
        <f t="shared" si="790"/>
        <v/>
      </c>
      <c r="HQ324" t="str">
        <f t="shared" si="791"/>
        <v>ok</v>
      </c>
      <c r="HR324" t="str">
        <f>IF(OR(HJ324="",HH324=""),"",IF(HJ324+MAX(0,GY324-1)&gt;IFERROR(VLOOKUP(HI324,Модули_спр,3,FALSE),99),"ЛИШНИЙ КАНАЛ",IF(AND(AL324&lt;&gt;"=",GY324&gt;0,COUNTIFS(Линии[_модуль гр.],HH324,Линии[Канал (итог)],HJ324,Линии[Канал],"&lt;&gt;=",Линии[Щит],A324)&gt;1),"ДУБЛЬ КАНАЛА","")))</f>
        <v/>
      </c>
      <c r="HS324" s="6" t="str">
        <f t="shared" si="792"/>
        <v/>
      </c>
      <c r="HT324">
        <f t="shared" si="793"/>
        <v>10</v>
      </c>
      <c r="HU324" t="str">
        <f t="shared" si="794"/>
        <v/>
      </c>
      <c r="HV324">
        <f t="shared" si="795"/>
        <v>0.65301270189221927</v>
      </c>
      <c r="HW324">
        <f t="shared" si="796"/>
        <v>0</v>
      </c>
      <c r="HX324">
        <f t="shared" si="797"/>
        <v>0</v>
      </c>
      <c r="HY324">
        <f t="shared" si="798"/>
        <v>0</v>
      </c>
      <c r="HZ324">
        <f t="shared" si="799"/>
        <v>0</v>
      </c>
      <c r="IA324">
        <f t="shared" si="800"/>
        <v>0</v>
      </c>
      <c r="IB324">
        <f t="shared" si="801"/>
        <v>0</v>
      </c>
      <c r="IC324" t="str">
        <f t="shared" si="802"/>
        <v/>
      </c>
      <c r="ID324" t="str" cm="1">
        <f t="array" ref="ID324">IF(IC324="","",_xlfn.LET(_xlpm.tk,_xlfn.TEXTSPLIT(SUBSTITUTE(SUBSTITUTE(IC324,";"," "),"→"," ")," ",,TRUE),_xlpm.w_,_xlfn._xlws.FILTER(_xlpm.tk,ISNUMBER(--LEFT(_xlpm.tk,1))*((ISNUMBER(SEARCH("W",_xlpm.tk))+ISNUMBER(SEARCH("Вт",_xlpm.tk)))&gt;0),""),IFERROR(--SUBSTITUTE(SUBSTITUTE(UPPER(INDEX(_xlpm.w_,1)),"W",""),"ВТ",""),"")))</f>
        <v/>
      </c>
      <c r="IE324" t="str" cm="1">
        <f t="array" ref="IE324">IF(IC324="","",_xlfn.LET(_xlpm.tk,_xlfn.TEXTSPLIT(SUBSTITUTE(SUBSTITUTE(IC324,";"," "),"→"," ")," ",,TRUE),_xlpm.v_,_xlfn._xlws.FILTER(_xlpm.tk,ISNUMBER(--LEFT(_xlpm.tk,1))*((ISNUMBER(SEARCH("V",_xlpm.tk))+(RIGHT(UPPER(_xlpm.tk))="В"))&gt;0),""),IFERROR(--SUBSTITUTE(SUBSTITUTE(UPPER(INDEX(_xlpm.v_,1)),"V",""),"В",""),"")))</f>
        <v/>
      </c>
      <c r="IF324" s="6" t="str">
        <f>IF(OR(BV324=0,HI324="",HJ324=""),"",IFERROR(N(_xlfn.XLOOKUP(HI324,Каталог!$C$4:$C$500,Каталог!$Q$4:$Q$500)),""))</f>
        <v/>
      </c>
      <c r="IG324" s="6" t="str">
        <f>IF(N(IF324)=0,"",SUMIFS(Линии[Iр, А],Линии[Щит],A324,Линии[_модуль гр.],HH324,Линии[Канал (итог)],HJ324))</f>
        <v/>
      </c>
      <c r="IH324" t="str">
        <f>IF(AND(B324="",HO324=""),"",_xlfn.TEXTJOIN("; ",TRUE,IF(AND(B324&lt;&gt;"",FV324=""),"нет фазы",""),IF(AND(B324&lt;&gt;"",N(GL324)=0,FG324&lt;&gt;"Нет"),"нет мощности",""),IF(AND(HN324&lt;&gt;"",COUNTIFS(Линии[Щит],A324,Линии[Клемма (итог)],HN324)&gt;1),"дубль клеммы "&amp;HN324,""),IF(AND(HQ324&lt;&gt;"",HQ324&lt;&gt;"ok"),HQ324,""),IF(HR324&lt;&gt;"",HR324,""),IF(AND(N(CB324)&gt;=4,N(BX324)=1),CB324&amp;" жил на 1 фазе",""),IF(AND(BC324="R",CG324=1,IF(CS324&lt;&gt;"",N(CV324)&gt;30,OR(N(DA324)=0,N(DA324)&gt;30))),"розетка без дифзащиты до 30 мА",""),IF(AND(CG324=1,N(DA324)&gt;0,ISNUMBER(T324)),IF(T324&gt;N(DA324)/3,"ток утечки "&amp;FIXED(T324,1)&amp;" мА &gt; 1/3 уставки ("&amp;DA324&amp;" мА)",""),""),IF(AND(CH324=1,CS324=""),"«узо»: нет строки с УЗО выше (УЗО 2P 40А 30мА в «Аппаратах»)",""),IF(AND(CS324&lt;&gt;"",CS324=BA324),IF(CT324="","впишите номинал УЗО (УЗО 2P 40А 30мА)",IF(N(CT324)&lt;N(DT324),"УЗО "&amp;CT324&amp;" А &lt; автомата "&amp;DT324&amp;" А перед ним",IF(N(CT324)&lt;N(CX324),"УЗО "&amp;CT324&amp;" А &lt; тока блока "&amp;FIXED(CX324,1)&amp;" А",""))),""),IF(AND(CS324&lt;&gt;"",CS324=BA324,ISNUMBER(CY324)),IF(CY324&gt;N(CV324)/3,"ток утечки блока УЗО "&amp;FIXED(CY324,1)&amp;" мА &gt; 1/3 уставки ("&amp;CV324&amp;" мА)",""),""),IF(AND(CG324=1,N(BV324)+N(IB324)&gt;0,IC324=""),"линии до 50 В без БП: впишите в «Аппараты» (БП 24V 480W)",""),IF(AND(CG324=1,ISNUMBER(ID324),ISNUMBER(U324)),IF(U324&gt;ID324,"БП "&amp;ID324&amp;" Вт &lt; нужно "&amp;U324&amp;" Вт (×"&amp;Запас_БП&amp;")",""),""),IF(AND(CG324=1,ISNUMBER(IE324),N(BV324)=1),IF(IE324&lt;&gt;N(BU324),"БП на "&amp;IE324&amp;" В, линия "&amp;BU324&amp;" В",""),""),IF(AND(N(IF324)&gt;0,N(IG324)&gt;N(IF324)),HH324&amp;" канал "&amp;HJ324&amp;": "&amp;FIXED(IG324,1)&amp;" А &gt; "&amp;IF324&amp;" А",""),IFERROR(IF(AND(ISNUMBER(Q324),Q324&gt;EL324),"потери "&amp;FIXED(Q324,1)&amp;" % &gt; "&amp;EL324&amp;" %",""),""),IFERROR(IF(LEFT(HU324,4)="мало","Iкз мало — отключение &gt; 0,4 с",""),""),IF(AND(B324&lt;&gt;"",BM324=""),"не на схеме",""),IF(AND(CG324=0,B324&lt;&gt;"",FV324&lt;&gt;"",IF(BA324=1,"",FW323)&lt;&gt;"",FV324&lt;&gt;IF(BA324=1,"",FW323)),"фаза не как у автомата группы ("&amp;IF(BA324=1,"",FW323)&amp;")","")))</f>
        <v/>
      </c>
      <c r="II324" s="6">
        <f>IF(OR(CG324=0,DQ324=""),"",_xlfn.LET(_xlpm.t,IFERROR(_xlfn.XLOOKUP(DQ324,Каталог!$U$4:$U$500,Каталог!$G$4:$G$500),""),_xlpm.k,SEARCH("кА",_xlpm.t),IFERROR(--TRIM(RIGHT(SUBSTITUTE(MID(_xlpm.t,MAX(1,_xlpm.k-4),_xlpm.k-MAX(1,_xlpm.k-4))," ",REPT(" ",9)),5)),"")))</f>
        <v>6</v>
      </c>
      <c r="IJ324" t="str">
        <f>IF(OR(II324="",CG324=0),"",IF(_xlfn.XLOOKUP(A324,Щиты[Щит],Щиты[Iкз max на шинах, кА],"")="","",IF(II324&lt;_xlfn.XLOOKUP(A324,Щиты[Щит],Щиты[Iкз max на шинах, кА]),"Icu "&amp;II324&amp;" кА &lt; Iкз max","ok")))</f>
        <v/>
      </c>
      <c r="IK324" t="str">
        <f t="shared" si="803"/>
        <v/>
      </c>
      <c r="IL324" t="str">
        <f t="shared" si="804"/>
        <v>QF7|XT7</v>
      </c>
      <c r="IM324" t="str">
        <f t="shared" si="805"/>
        <v>QF7|XT7|кабель ВВГнг(А)-LS (3х2,5) → циркуляционный насос Подвальный этаж Пом. №002Т</v>
      </c>
      <c r="IN324" t="str" cm="1">
        <f t="array" ref="IN324">IF(IM324="","",_xlfn.LET(_xlpm.nd,_xlfn.TEXTSPLIT(IM324,"|"),IF(COLUMNS(_xlpm.nd)&gt;1,A324&amp;"¦"&amp;INDEX(_xlpm.nd,1)&amp;"¦"&amp;INDEX(_xlpm.nd,2),"")))</f>
        <v>ЩС-ВК.001¦QF7¦XT7</v>
      </c>
      <c r="IO324" t="str">
        <f t="shared" si="806"/>
        <v>НВК.00.002Т.1¦циркуляционный насос Подвальный этаж Пом. №002Т</v>
      </c>
      <c r="IP324" t="str" cm="1">
        <f t="array" ref="IP324">IF(IM324="","",_xlfn.LET(_xlpm.nd,_xlfn.TEXTSPLIT(IM324,"|"),IF(COLUMNS(_xlpm.nd)&gt;2,A324&amp;"¦"&amp;INDEX(_xlpm.nd,2)&amp;"¦"&amp;INDEX(_xlpm.nd,3),"")))</f>
        <v>ЩС-ВК.001¦XT7¦кабель ВВГнг(А)-LS (3х2,5) → циркуляционный насос Подвальный этаж Пом. №002Т</v>
      </c>
      <c r="IQ324" t="str">
        <f t="shared" si="807"/>
        <v>НВК.00.002Т.1¦циркуляционный насос Подвальный этаж Пом. №002Т</v>
      </c>
      <c r="IR324" t="str" cm="1">
        <f t="array" ref="IR324">IF(IM324="","",_xlfn.LET(_xlpm.nd,_xlfn.TEXTSPLIT(IM324,"|"),IF(COLUMNS(_xlpm.nd)&gt;3,A324&amp;"¦"&amp;INDEX(_xlpm.nd,3)&amp;"¦"&amp;INDEX(_xlpm.nd,4),"")))</f>
        <v/>
      </c>
      <c r="IS324" t="str">
        <f t="shared" si="808"/>
        <v/>
      </c>
      <c r="IT324" t="str" cm="1">
        <f t="array" ref="IT324">IF(IM324="","",_xlfn.LET(_xlpm.nd,_xlfn.TEXTSPLIT(IM324,"|"),IF(COLUMNS(_xlpm.nd)&gt;4,A324&amp;"¦"&amp;INDEX(_xlpm.nd,4)&amp;"¦"&amp;INDEX(_xlpm.nd,5),"")))</f>
        <v/>
      </c>
      <c r="IU324" t="str">
        <f t="shared" si="809"/>
        <v/>
      </c>
      <c r="IV324" t="str" cm="1">
        <f t="array" ref="IV324">IF(IM324="","",_xlfn.LET(_xlpm.nd,_xlfn.TEXTSPLIT(IM324,"|"),IF(COLUMNS(_xlpm.nd)&gt;5,A324&amp;"¦"&amp;INDEX(_xlpm.nd,5)&amp;"¦"&amp;INDEX(_xlpm.nd,6),"")))</f>
        <v/>
      </c>
      <c r="IW324" t="str">
        <f t="shared" si="810"/>
        <v/>
      </c>
      <c r="IX324" t="str" cm="1">
        <f t="array" ref="IX324">IF(IM324="","",_xlfn.LET(_xlpm.nd,_xlfn.TEXTSPLIT(IM324,"|"),IF(COLUMNS(_xlpm.nd)&gt;6,A324&amp;"¦"&amp;INDEX(_xlpm.nd,6)&amp;"¦"&amp;INDEX(_xlpm.nd,7),"")))</f>
        <v/>
      </c>
      <c r="IY324" t="str">
        <f t="shared" si="811"/>
        <v/>
      </c>
      <c r="IZ324" t="str">
        <f t="shared" si="812"/>
        <v/>
      </c>
      <c r="JA324" t="str">
        <f t="shared" si="813"/>
        <v>QF7 → XT7</v>
      </c>
      <c r="JB324">
        <f t="shared" si="814"/>
        <v>0</v>
      </c>
      <c r="JC324">
        <f t="shared" si="815"/>
        <v>0</v>
      </c>
      <c r="JD324" t="str">
        <f t="shared" si="816"/>
        <v/>
      </c>
      <c r="JE324" t="str">
        <f t="shared" si="817"/>
        <v/>
      </c>
      <c r="JF324" t="str">
        <f t="shared" si="818"/>
        <v/>
      </c>
      <c r="JG324" t="str">
        <f t="shared" si="819"/>
        <v/>
      </c>
      <c r="JH324">
        <f>IF(B324="","",IFERROR(_xlfn.XLOOKUP(B324,Коды_код,Коды_уго),IFERROR(_xlfn.XLOOKUP(BC324,Коды_код,Коды_уго),IFERROR(_xlfn.XLOOKUP(LEFT(BC324,2),Коды_код,Коды_уго),""))))</f>
        <v>0</v>
      </c>
      <c r="JI324" t="str">
        <f>IF(B324="","",IF(OR(JH324="",JH324=0),"BOX",IFERROR(IF(VLOOKUP(JH324,УГО_блоки,3,FALSE)&amp;""&lt;&gt;"",VLOOKUP(JH324,УГО_блоки,3,FALSE),VLOOKUP(JH324,УГО_блоки,2,FALSE)),JH324)))</f>
        <v>BOX</v>
      </c>
      <c r="JJ324">
        <f t="shared" si="820"/>
        <v>1</v>
      </c>
      <c r="JK324" t="str">
        <f>IF(DQ324="","",IF(COUNTIF(DQ$3:DQ324,DQ324)=1,MAX(JK$2:JK323)+1,""))</f>
        <v/>
      </c>
      <c r="JL324" t="str">
        <f>IF(DE324="","",IF(COUNTIF(DE$3:DE324,DE324)+COUNTIF(DF$2:DF323,DE324)+COUNTIF(DG$2:DG323,DE324)=1,MAX(JL$2:JN323)+1,""))</f>
        <v/>
      </c>
      <c r="JM324" t="str">
        <f>IF(DF324="","",IF(COUNTIF(DE$3:DE324,DF324)+COUNTIF(DF$3:DF324,DF324)+COUNTIF(DG$2:DG323,DF324)=1,MAX(JL$2:JN323,JL324)+1,""))</f>
        <v/>
      </c>
      <c r="JN324" t="str">
        <f>IF(DG324="","",IF(COUNTIF(DE$3:DE324,DG324)+COUNTIF(DF$3:DF324,DG324)+COUNTIF(DG$3:DG324,DG324)=1,MAX(JL$2:JN323,JL324,JM324)+1,""))</f>
        <v/>
      </c>
      <c r="JO324" t="str">
        <f t="shared" si="821"/>
        <v>3х2,5</v>
      </c>
      <c r="JP324" t="str">
        <f>IF(JO324="","",IF(COUNTIF(JO$3:JO324,JO324)=1,MAX(JP$2:JP323)+1,""))</f>
        <v/>
      </c>
      <c r="JQ324" t="str">
        <f>IF(HG324="","",COUNTIF(HG$3:HG324,"?*"))</f>
        <v/>
      </c>
      <c r="JR324" t="str">
        <f>IF(OR(HG324="",HI324=""),"",IF(COUNTIFS(HG$3:HG324,"?*",HI$3:HI324,HI324)=1,MAX(JR$2:JR323)+1,""))</f>
        <v/>
      </c>
      <c r="JS324">
        <f t="shared" si="822"/>
        <v>0</v>
      </c>
      <c r="JT324">
        <f>IF(B324="","",COUNTIF(B$3:B324,"?*"))</f>
        <v>322</v>
      </c>
      <c r="JU324">
        <f>IF(HL324&lt;&gt;1,0,_xlfn.LET(_xlpm.k,MAX(IFERROR(--_xlfn.XLOOKUP(B324,Коды_код,Коды_3L),0),IFERROR(--_xlfn.XLOOKUP(BC324,Коды_код,Коды_3L),0),IFERROR(--_xlfn.XLOOKUP(LEFT(BC324,2),Коды_код,Коды_3L),0)),IF(_xlpm.k&gt;0,_xlpm.k,IF(IFERROR(--LEFT(SUBSTITUTE(JO324,"x","х"),FIND("х",SUBSTITUTE(JO324,"x","х"))-1),3)&gt;3,Каталог!$S$9,1))))</f>
        <v>1</v>
      </c>
      <c r="JV324">
        <f t="shared" si="823"/>
        <v>0</v>
      </c>
      <c r="JW324" t="str">
        <f t="shared" si="824"/>
        <v>авто</v>
      </c>
      <c r="JX324" t="str">
        <f t="shared" si="825"/>
        <v/>
      </c>
      <c r="JY324">
        <f t="shared" si="826"/>
        <v>0</v>
      </c>
      <c r="JZ324">
        <f t="shared" si="827"/>
        <v>1</v>
      </c>
    </row>
    <row r="325" spans="1:286" x14ac:dyDescent="0.3">
      <c r="A325" t="s">
        <v>765</v>
      </c>
      <c r="B325" t="s">
        <v>741</v>
      </c>
      <c r="C325" t="str">
        <f>Линии[[#This Row],[_авто наименование]]</f>
        <v>Вводной кабель шлейф 1</v>
      </c>
      <c r="D325">
        <v>1</v>
      </c>
      <c r="E325">
        <f>Линии[[#This Row],[_авто Р]]</f>
        <v>2.4</v>
      </c>
      <c r="G325">
        <v>20</v>
      </c>
      <c r="H325" t="str">
        <f>Линии[[#This Row],[_авто управление]]</f>
        <v/>
      </c>
      <c r="I325" t="str">
        <f>Линии[[#This Row],[_авто аппараты]]</f>
        <v/>
      </c>
      <c r="J325">
        <v>4</v>
      </c>
      <c r="K325">
        <v>51</v>
      </c>
      <c r="L325" t="str">
        <f>Линии[[#This Row],[_авто фаза]]</f>
        <v>L2</v>
      </c>
      <c r="M325" t="str">
        <f>Линии[[#This Row],[_авто клемма]]</f>
        <v/>
      </c>
      <c r="N325" t="str">
        <f t="shared" si="690"/>
        <v/>
      </c>
      <c r="O325" s="6" cm="1">
        <f t="array" ref="O325">IF(B325="","",IF(BH325&lt;&gt;"",IFERROR(_xlfn.XLOOKUP(BH325,Щиты[Щит],Щиты[Iр, А]),""),IF(BP325=1,IF(OR(N(_xlfn.XLOOKUP(A325,Щиты[Щит],Щиты[Вводов],1))&lt;=1,LOWER(TRIM(_xlfn.XLOOKUP(A325,Щиты[Щит],Щиты[АВР],"")&amp;""))="да"),IFERROR(_xlfn.XLOOKUP(A325,Щиты[Щит],Щиты[Iр, А]),""),IFERROR(N(BS325)*_xlfn.XLOOKUP(A325,Щиты[Щит],Щиты[Кс итог])/(SQRT(3)*Uн_лин*_xlfn.XLOOKUP(A325,Щиты[Щит],Щиты[cos φ])),"")),IF(BV325=1,IFERROR(BS325*1000/BU325,""),IFERROR(_xlfn.IFS(BX325=1,BS325/((Uн_лин/SQRT(3))*CE325),BX325=3,BS325/(SQRT(3)*Uн_лин*CE325)),"")))))</f>
        <v>9.0932667397366043</v>
      </c>
      <c r="P325" s="7">
        <f>IF(B325="","",IFERROR(IF(VLOOKUP(BC325,Потребители_обозначение,4,FALSE)=1,VLOOKUP(BC325,Потребители_обозначение,3,FALSE)*(MAX(1,N(D325))*2-1)+EI325+VLOOKUP(BE325,Этаж_обозначение,3,FALSE)+VLOOKUP(BE325,Этаж_обозначение,4,FALSE),VLOOKUP(BC325,Потребители_обозначение,3,FALSE)*(MAX(1,N(D325))*2-1)+EI325),EI325))</f>
        <v>51</v>
      </c>
      <c r="Q325" s="6">
        <f t="shared" si="691"/>
        <v>3.68</v>
      </c>
      <c r="R325" t="str">
        <f t="shared" si="692"/>
        <v>ВВГнг(А)-LS (3х4)</v>
      </c>
      <c r="S325" t="str">
        <f>IF(BM325="","",IF(BN325="вводной узел","узел ","")&amp;"л."&amp;(INT((BM325-1)/Столбцов_на_лист)+1)&amp;" / "&amp;(MOD(BM325-1,Столбцов_на_лист)+1))</f>
        <v>узел л.1 / 2</v>
      </c>
      <c r="T325" s="119" t="str">
        <f t="shared" si="693"/>
        <v/>
      </c>
      <c r="U325" s="7" t="str">
        <f>IF(OR(CG325=0,N(BV325)+N(IB325)=0),"",ROUNDUP(Запас_БП*(N(HY325)+N(HZ325)),0))</f>
        <v/>
      </c>
      <c r="V325" s="119" t="str">
        <f t="shared" si="694"/>
        <v/>
      </c>
      <c r="W325" s="7" t="str">
        <f>IFERROR(IF(OR(B325="",BP325=1,BV325=1,NOT(ISNUMBER(EN325)),N(DT325)=0),"",MAX(0,ROUNDDOWN((c_min*(Uн_лин*1000/SQRT(3))/(HT325*N(DT325))-_xlfn.XLOOKUP(A325,Щиты[Щит],Щиты[Zпетли на шинах, Ом]))*EN325/(2*ρкз_Cu),0))),"")</f>
        <v/>
      </c>
      <c r="Y325" t="str">
        <f>Линии[[#This Row],[_авто утечка]]</f>
        <v/>
      </c>
      <c r="Z325">
        <v>1</v>
      </c>
      <c r="AA325">
        <v>230</v>
      </c>
      <c r="AB325" t="s">
        <v>547</v>
      </c>
      <c r="AJ325" t="s">
        <v>1344</v>
      </c>
      <c r="AK325" t="str">
        <f>Линии[[#This Row],[_авто модуль]]</f>
        <v/>
      </c>
      <c r="AM325">
        <v>2</v>
      </c>
      <c r="AN325" t="s">
        <v>11</v>
      </c>
      <c r="AO325">
        <v>3</v>
      </c>
      <c r="AQ325">
        <v>34</v>
      </c>
      <c r="AR325">
        <v>12</v>
      </c>
      <c r="BA325" cm="1">
        <f t="array" ref="BA325">ROW()-ROW(Линии[#Headers])</f>
        <v>323</v>
      </c>
      <c r="BC325" s="6" t="str">
        <f t="shared" si="695"/>
        <v>Ввод</v>
      </c>
      <c r="BD325" t="str">
        <f t="shared" si="696"/>
        <v>1</v>
      </c>
      <c r="BE325" t="str">
        <f t="shared" si="697"/>
        <v>1</v>
      </c>
      <c r="BF325" t="str">
        <f t="shared" si="698"/>
        <v/>
      </c>
      <c r="BG325" t="str">
        <f t="shared" si="699"/>
        <v/>
      </c>
      <c r="BH325" t="str">
        <f>IF(X325&lt;&gt;"",X325,IF(AND(B325&lt;&gt;"",B325&lt;&gt;A325,ISNUMBER(_xlfn.XMATCH(B325,Щиты[Щит]))),B325,""))</f>
        <v/>
      </c>
      <c r="BI325" t="str" cm="1">
        <f t="array" ref="BI325">IF(B325="","",IF(BH325&lt;&gt;"","Щит "&amp;BH325,_xlfn.LET(_xlpm.nm,IFERROR(_xlfn.XLOOKUP(BC325,Коды_код,Коды_имя)&amp;"",""),_xlpm.md,IFERROR(N(_xlfn.XLOOKUP(BC325,Коды_код,Коды_режим)),1),_xlpm.ex,IF(Имя_режим="по экспликации",IFERROR(_xlfn.XLOOKUP(BE325&amp;"|"&amp;BG325,Экспликация[Этаж]&amp;"|"&amp;Экспликация[Помещение],Экспликация[Название])&amp;"",""),""),_xlpm.rm,IF(BG325="","",IF(_xlpm.ex&lt;&gt;"",". "&amp;_xlpm.ex&amp;IF(Имя_пом="нет"," ("&amp;BG325&amp;")"," (пом. "&amp;BG325&amp;")"),IF(Имя_пом="нет"," ",", пом. ")&amp;BG325)),IF(_xlpm.nm="","",IF(_xlpm.md=2,_xlpm.nm&amp;" шлейф "&amp;BE325,_xlpm.nm&amp;_xlpm.rm)))))</f>
        <v>Вводной кабель шлейф 1</v>
      </c>
      <c r="BJ325" t="str">
        <f t="shared" si="700"/>
        <v>Вводной кабель шлейф 1</v>
      </c>
      <c r="BK325">
        <f>IFERROR(_xlfn.XMATCH(A325,Щиты[Щит]),0)</f>
        <v>14</v>
      </c>
      <c r="BL325">
        <f>_xlfn.LET(_xlpm.k,IFERROR(_xlfn.XLOOKUP(A325,Щиты[Щит],Щиты[Мест под вводной узел]),""),IF(_xlpm.k="",Столбцов_на_лист,N(_xlpm.k)))</f>
        <v>11</v>
      </c>
      <c r="BM325">
        <f t="shared" si="701"/>
        <v>2</v>
      </c>
      <c r="BN325" t="str">
        <f t="shared" si="702"/>
        <v>вводной узел</v>
      </c>
      <c r="BO325" s="6">
        <f>IFERROR(N(_xlfn.XLOOKUP(BC325,Коды_код,Коды_квт)),0)</f>
        <v>0</v>
      </c>
      <c r="BP325">
        <f t="shared" si="703"/>
        <v>1</v>
      </c>
      <c r="BQ325">
        <f>IF(B325="","",IF(BH325&lt;&gt;"",IFERROR(_xlfn.XLOOKUP(BH325,Щиты[Щит],Щиты[Руст, кВт]),0),IF(BP325=1,IF(OR(N(_xlfn.XLOOKUP(A325,Щиты[Щит],Щиты[Вводов],1))&lt;=1,LOWER(TRIM(_xlfn.XLOOKUP(A325,Щиты[Щит],Щиты[АВР],"")&amp;""))="да"),IFERROR(_xlfn.XLOOKUP(A325,Щиты[Щит],Щиты[Руст, кВт]),0),SUMIFS(Линии[_Р для вводов],Линии[Щит],A325,Линии[Источник для режимов],GF325)),IF(BO325&gt;0,ROUND(BO325*MAX(1,N(D325)),3),""))))</f>
        <v>2.4</v>
      </c>
      <c r="BR325">
        <f t="shared" si="704"/>
        <v>2.4</v>
      </c>
      <c r="BS325" s="6">
        <f>IF(B325="","",IF(BH325&lt;&gt;"",IFERROR(_xlfn.XLOOKUP(BH325,Щиты[Щит],Щиты[Руст, кВт]),0),N(BR325)))</f>
        <v>2.4</v>
      </c>
      <c r="BT325" t="str">
        <f>IF(B325="","",IFERROR(IF(VLOOKUP(BC325,Потребители_обозначение,8,FALSE)=0,"",VLOOKUP(BC325,Потребители_обозначение,8,FALSE)),""))</f>
        <v/>
      </c>
      <c r="BU325">
        <f t="shared" si="705"/>
        <v>230</v>
      </c>
      <c r="BV325">
        <f t="shared" si="706"/>
        <v>0</v>
      </c>
      <c r="BW325">
        <f>IF(B325="","",IF(BH325&lt;&gt;"",3,IFERROR(IF(N(VLOOKUP(BC325,Потребители_обозначение,9,FALSE))=0,1,VLOOKUP(BC325,Потребители_обозначение,9,FALSE)),1)))</f>
        <v>1</v>
      </c>
      <c r="BX325">
        <f t="shared" si="707"/>
        <v>1</v>
      </c>
      <c r="BY325" t="str">
        <f>IF(B325="","",_xlfn.LET(_xlpm.bc,IFERROR(IF(VLOOKUP(BC325,Потребители_обозначение,6,FALSE)=0,"",VLOOKUP(BC325,Потребители_обозначение,6,FALSE)&amp;""),""),IF(AND(GA325="да",OR(_xlpm.bc="",_xlpm.bc="мс")),Марка_пож,IF(AND(_xlpm.bc="",BH325&lt;&gt;""),"мс",_xlpm.bc))))</f>
        <v/>
      </c>
      <c r="BZ325" t="str">
        <f t="shared" si="708"/>
        <v>мс</v>
      </c>
      <c r="CA325">
        <f>IF(B325="","",_xlfn.LET(_xlpm.cc,IFERROR(N(VLOOKUP(BC325,Потребители_обозначение,7,FALSE)),0),IF(_xlpm.cc&gt;0,_xlpm.cc,IF(BZ325="","",IF(BV325=1,2,IF(N(BX325)=3,5,3))))))</f>
        <v>3</v>
      </c>
      <c r="CB325">
        <f t="shared" si="709"/>
        <v>3</v>
      </c>
      <c r="CC325">
        <f>IFERROR(N(VLOOKUP(BC325,Потребители_обозначение,10,FALSE)),0)</f>
        <v>0</v>
      </c>
      <c r="CD325">
        <f>IFERROR(VLOOKUP(BC325,Потребители_обозначение,5,FALSE),0)</f>
        <v>1</v>
      </c>
      <c r="CE325" s="6" cm="1">
        <f t="array" ref="CE325">IF(B325="","",IF(BH325&lt;&gt;"",IFERROR(_xlfn.XLOOKUP(BH325,Щиты[Щит],Щиты[cos φ]),0.95),IF(BP325=1,IFERROR(_xlfn.XLOOKUP(A325,Щиты[Щит],Щиты[cos φ]),0.95),IF(ISNUMBER(AD325),AD325,IFERROR(IF(CD325=2,_xlfn.IFS(BX325=3,VLOOKUP(BS325,Справочная_двигатели,8,FALSE),BX325=1,VLOOKUP(BS325,Справочная_двигатели,10,TRUE)),IF(AND(Методика="нормы 2026",FG325="Сил"),0.8,0.95)),0.95)))))</f>
        <v>0.8</v>
      </c>
      <c r="CF325">
        <f t="shared" si="710"/>
        <v>0</v>
      </c>
      <c r="CG325">
        <f t="shared" si="711"/>
        <v>1</v>
      </c>
      <c r="CH325">
        <f t="shared" si="712"/>
        <v>0</v>
      </c>
      <c r="CI325">
        <f>IF(B325="","",IF(BV325=1,IFERROR(BS325/((Uн_лин/SQRT(3))*MAX(0.5,N(CE325))),0),N(O325)))</f>
        <v>9.0932667397366043</v>
      </c>
      <c r="CJ325">
        <f t="shared" si="713"/>
        <v>0</v>
      </c>
      <c r="CK325">
        <f t="shared" si="714"/>
        <v>0</v>
      </c>
      <c r="CL325">
        <f t="shared" si="715"/>
        <v>0</v>
      </c>
      <c r="CM325">
        <f t="shared" si="716"/>
        <v>0</v>
      </c>
      <c r="CN325">
        <f t="shared" si="717"/>
        <v>0</v>
      </c>
      <c r="CO325">
        <f>IF(BC325="",0,_xlfn.LET(_xlpm.v,IFERROR(_xlfn.XLOOKUP(B325,Коды_код,Коды_мА),IFERROR(_xlfn.XLOOKUP(BC325,Коды_код,Коды_мА),IFERROR(_xlfn.XLOOKUP(LEFT(BC325,2),Коды_код,Коды_мА),""))),IF(_xlpm.v="да",30,IF(ISNUMBER(_xlpm.v),_xlpm.v,0))))</f>
        <v>0</v>
      </c>
      <c r="CP325" t="str">
        <f t="shared" si="718"/>
        <v/>
      </c>
      <c r="CQ325" t="str">
        <f>_xlfn.LET(_xlpm.k,IFERROR(_xlfn.XLOOKUP(BC325,Коды_код,Коды_утечка)&amp;"",""),IF(_xlpm.k="","дифавтомат",_xlpm.k))</f>
        <v>дифавтомат</v>
      </c>
      <c r="CR325" t="str" cm="1">
        <f t="array" ref="CR325">IF(CG325=0,"",_xlfn.LET(_xlpm.sg,TRIM(_xlfn.TEXTSPLIT(DD325&amp;"",";")),_xlpm.f_,_xlfn._xlws.FILTER(_xlpm.sg,LEFT(_xlpm.sg,3)="УЗО",""),IFERROR(INDEX(_xlpm.f_,1)&amp;"","")))</f>
        <v/>
      </c>
      <c r="CS325" t="str">
        <f t="shared" si="719"/>
        <v/>
      </c>
      <c r="CT325" s="6" t="str" cm="1">
        <f t="array" ref="CT325">IF(CR325="","",_xlfn.LET(_xlpm.tk,_xlfn.TEXTSPLIT(UPPER(CR325)," ",,TRUE),_xlpm.a_,_xlfn._xlws.FILTER(_xlpm.tk,ISNUMBER(--LEFT(_xlpm.tk,1))*((ISNUMBER(SEARCH("А",_xlpm.tk))+ISNUMBER(SEARCH("A",_xlpm.tk)))&gt;0)*NOT(ISNUMBER(SEARCH("МА",_xlpm.tk)))*NOT(ISNUMBER(SEARCH("MA",_xlpm.tk))),""),IFERROR(--SUBSTITUTE(SUBSTITUTE(INDEX(_xlpm.a_,1),"А",""),"A",""),"")))</f>
        <v/>
      </c>
      <c r="CU325" t="str" cm="1">
        <f t="array" ref="CU325">IF(CR325="","",_xlfn.LET(_xlpm.tk,_xlfn.TEXTSPLIT(UPPER(CR325)," ",,TRUE),_xlpm.a_,_xlfn._xlws.FILTER(_xlpm.tk,ISNUMBER(--LEFT(_xlpm.tk,1))*((ISNUMBER(SEARCH("МА",_xlpm.tk))+ISNUMBER(SEARCH("MA",_xlpm.tk)))&gt;0),""),IFERROR(--SUBSTITUTE(SUBSTITUTE(INDEX(_xlpm.a_,1),"МА",""),"MA",""),30)))</f>
        <v/>
      </c>
      <c r="CV325" t="str">
        <f>IF(CS325="","",IFERROR(_xlfn.XLOOKUP(CS325,Линии[_n],Линии[_УЗО, мА]),30))</f>
        <v/>
      </c>
      <c r="CW325">
        <f>IF(CS325="",0,IF(ISNUMBER(SEARCH("4P",IFERROR(_xlfn.XLOOKUP(CS325,Линии[_n],Линии[_УЗО строки])&amp;"",""))),0,1))</f>
        <v>0</v>
      </c>
      <c r="CX325" t="str">
        <f>IF(AND(CS325&lt;&gt;"",CS325=BA325),SUMIFS(Линии[_ток на 230 В],Линии[_блок УЗО],BA325,Линии[Щит],A325),"")</f>
        <v/>
      </c>
      <c r="CY325" t="str">
        <f>IF(AND(CS325&lt;&gt;"",CS325=BA325),SUMIFS(Линии[_ток утечки линии, мА],Линии[_блок УЗО],BA325,Линии[Щит],A325),"")</f>
        <v/>
      </c>
      <c r="CZ325">
        <f t="shared" si="720"/>
        <v>0</v>
      </c>
      <c r="DA325">
        <f t="shared" si="721"/>
        <v>0</v>
      </c>
      <c r="DB325">
        <f>IF(B325="",0,IFERROR(--_xlfn.XLOOKUP(B325,Коды_код,Коды_минавт),IFERROR(--_xlfn.XLOOKUP(BC325,Коды_код,Коды_минавт),IFERROR(--_xlfn.XLOOKUP(LEFT(BC325,2),Коды_код,Коды_минавт),0))))</f>
        <v>0</v>
      </c>
      <c r="DC325" t="str">
        <f>IF(B325="","",IFERROR(_xlfn.XLOOKUP(BC325,Коды_код,Коды_апп)&amp;"",""))</f>
        <v/>
      </c>
      <c r="DD325" t="str">
        <f t="shared" si="722"/>
        <v/>
      </c>
      <c r="DE325" t="str" cm="1">
        <f t="array" ref="DE325">IF(TRIM(DD325&amp;"")="","",IFERROR(TRIM(INDEX(_xlfn.TEXTSPLIT(DD325&amp;";;;",";"),1)),""))</f>
        <v/>
      </c>
      <c r="DF325" t="str" cm="1">
        <f t="array" ref="DF325">IF(TRIM(DD325&amp;"")="","",IFERROR(TRIM(INDEX(_xlfn.TEXTSPLIT(DD325&amp;";;;",";"),2)),""))</f>
        <v/>
      </c>
      <c r="DG325" t="str" cm="1">
        <f t="array" ref="DG325">IF(TRIM(DD325&amp;"")="","",IFERROR(TRIM(INDEX(_xlfn.TEXTSPLIT(DD325&amp;";;;",";"),3)),""))</f>
        <v/>
      </c>
      <c r="DH325">
        <f t="shared" si="723"/>
        <v>0</v>
      </c>
      <c r="DI325" t="str">
        <f>IF(B325="","",_xlfn.LET(_xlpm.t,LOWER(AZ325&amp;""),IF(ISNUMBER(SEARCH("dim",_xlpm.t)),"DIM",IF(ISNUMBER(SEARCH("dali",_xlpm.t)),"DALI",IF(OR(ISNUMBER(SEARCH("relay",_xlpm.t)),ISNUMBER(SEARCH("реле",_xlpm.t))),"Relay",IF(ISNUMBER(SEARCH("кнопк",_xlpm.t)),"",IFERROR(_xlfn.XLOOKUP(BC325,Коды_код,Коды_упр)&amp;"","")))))))</f>
        <v/>
      </c>
      <c r="DJ325" t="str">
        <f t="shared" si="724"/>
        <v/>
      </c>
      <c r="DK325">
        <f>IF(B325="","",_xlfn.LET(_xlpm.ig,IF(N(CX325)&gt;0,N(CX325),N(CI325)+IF(AJ325="вручную",0,N(CJ325))),_xlpm.n0,IFERROR(VLOOKUP(_xlpm.ig,Автомат_номиналы,2,TRUE),0),_xlpm.mn,MAX(DB325,IF(AJ325="вручную",0,N(CM325))),MAX(_xlpm.n0,_xlpm.mn,IF(DH325=1,Мин_автомат_БП,0))))</f>
        <v>16</v>
      </c>
      <c r="DL325">
        <f t="shared" si="725"/>
        <v>1</v>
      </c>
      <c r="DM325" t="str">
        <f t="shared" si="726"/>
        <v>1P</v>
      </c>
      <c r="DN325" t="str">
        <f>_xlfn.LET(_xlpm.cc,UPPER(TRIM(IFERROR(_xlfn.XLOOKUP(BC325,Коды_код,Коды_хар)&amp;"",""))),IF(OR(_xlpm.cc="B",_xlpm.cc="В"),"B",IF(_xlpm.cc="D","D","С")))</f>
        <v>С</v>
      </c>
      <c r="DO325" t="str">
        <f t="shared" si="727"/>
        <v>1P С16А</v>
      </c>
      <c r="DP325">
        <f t="shared" si="728"/>
        <v>20</v>
      </c>
      <c r="DQ325" t="str">
        <f t="shared" si="729"/>
        <v>1P С20А</v>
      </c>
      <c r="DR325" cm="1">
        <f t="array" ref="DR325">IF(DQ325="","",_xlfn.LET(_xlpm.t,SUBSTITUTE(SUBSTITUTE(SUBSTITUTE(UPPER(DQ325),"С","C"),"А","A"),"В","B"),_xlpm.tk,_xlfn.TEXTSPLIT(_xlpm.t," "),_xlpm.f,_xlfn._xlws.FILTER(_xlpm.tk,ISNUMBER(--MID(_xlpm.tk,2,1))*ISNUMBER(SEARCH(LEFT(_xlpm.tk,1)&amp;"#","B#C#D#"))*(LEN(_xlpm.tk)&gt;1),""),_xlpm.x,INDEX(_xlpm.f,1),IFERROR(--SUBSTITUTE(MID(_xlpm.x,2,9),"A",""),IFERROR(--SUBSTITUTE(INDEX(_xlfn._xlws.FILTER(_xlpm.tk,ISNUMBER(--SUBSTITUTE(_xlpm.tk,"A","")),""),1),"A",""),""))))</f>
        <v>20</v>
      </c>
      <c r="DS325" t="str">
        <f t="shared" si="730"/>
        <v>узел</v>
      </c>
      <c r="DT325">
        <f t="shared" si="731"/>
        <v>20</v>
      </c>
      <c r="DU325" t="str">
        <f t="shared" si="732"/>
        <v>1P С20А</v>
      </c>
      <c r="DV325">
        <f t="shared" si="733"/>
        <v>0</v>
      </c>
      <c r="DW325">
        <f t="shared" si="734"/>
        <v>0</v>
      </c>
      <c r="DX325">
        <f t="shared" si="735"/>
        <v>0</v>
      </c>
      <c r="DY325">
        <f t="shared" si="736"/>
        <v>9.0932667397366043</v>
      </c>
      <c r="DZ325">
        <f t="shared" si="737"/>
        <v>1</v>
      </c>
      <c r="EA325">
        <f>IF(ISNUMBER(AP325),AP325,К_прокл)</f>
        <v>1</v>
      </c>
      <c r="EB325">
        <f t="shared" si="738"/>
        <v>2</v>
      </c>
      <c r="EC325">
        <f>IFERROR(N(VLOOKUP(BZ325,Кабель_обозначение,3,FALSE)),1)</f>
        <v>1</v>
      </c>
      <c r="ED325">
        <f>IFERROR(N(_xlfn.XLOOKUP(A325,Щиты[Щит],Щиты[ΔU до шин, %])),0)</f>
        <v>1.84</v>
      </c>
      <c r="EE325" t="str">
        <f>IFERROR(_xlfn.XLOOKUP(A325,Щиты[Щит],Щиты[Zпетли на шинах, Ом]),"")</f>
        <v/>
      </c>
      <c r="EF325">
        <f>IFERROR(N(_xlfn.XLOOKUP(A325,Щиты[Щит],Щиты[ΔU до шин (подбор), %])),0)</f>
        <v>4.8499999999999996</v>
      </c>
      <c r="EG325" t="str">
        <f>IFERROR(_xlfn.XLOOKUP(A325,Щиты[Щит],Щиты[Zпетли на шинах (подбор), Ом]),"")</f>
        <v/>
      </c>
      <c r="EH325" t="str">
        <f t="shared" si="739"/>
        <v/>
      </c>
      <c r="EI325">
        <f t="shared" si="740"/>
        <v>51</v>
      </c>
      <c r="EJ325">
        <f t="shared" si="741"/>
        <v>2</v>
      </c>
      <c r="EK325">
        <f t="shared" si="742"/>
        <v>0.6</v>
      </c>
      <c r="EL325" s="6">
        <f>IF(B325="","",IF(BV325=1,dU_LED,IF(IFERROR(_xlfn.XLOOKUP(BC325,Коды_код,Коды_уго),"")="Светильник",3,4)+IF(Методика="нормы 2026",MIN(0.5,MAX(0,N(P325)-100)*0.005),0)))</f>
        <v>4</v>
      </c>
      <c r="EM325" t="str" cm="1">
        <f t="array" ref="EM325">IF(OR(B325="",BZ325="",EC325&lt;&gt;1),"",_xlfn.LET(_xlpm.sz,Iдоп_S,_xlpm.t_,CHOOSE(EB325,Iдоп_1ж,Iдоп_2ж,Iдоп_3ж)*DZ325*EA325,_xlpm.dcx,BV325=1,_xlpm.inn,IF(_xlpm.dcx,N(O325),N(DT325)),_xlpm.smin,MAX(1.5,CC325),_xlpm.L_,N(P325)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325)/N(BU325)*100,999),IFERROR(N(EJ325)*(_xlpm.rho*_xlpm.L_/_xlpm.sz*N(CE325)+_xlpm.xx*_xlpm.L_*N(EK325)/1000)*N(O325)/((Uн_лин/SQRT(3))*1000)*100,999)),_xlpm.kz,IF(OR(_xlpm.dcx,DW325=1,NOT(ISNUMBER(EG325)),_xlpm.L_=0,_xlpm.inn=0),1,IFERROR(--(c_min*(Uн_лин*1000/SQRT(3))/(EG325+2*ρкз_Cu*_xlpm.L_/_xlpm.sz)&gt;=HT325*_xlpm.inn),0)),_xlpm.ok,IFERROR((_xlpm.sz&gt;=_xlpm.smin)*(_xlpm.t_&gt;=_xlpm.inn)*IF(_xlpm.L_&gt;0,(_xlpm.du_+IF(_xlpm.dcx,0,EF325)&lt;=EL325+0.00001),1)*_xlpm.kz,0),_xlpm.r_,_xlfn._xlws.FILTER(_xlpm.sz,_xlpm.ok,"не подобрано"),INDEX(_xlpm.r_,1)))</f>
        <v>не подобрано</v>
      </c>
      <c r="EN325">
        <f t="shared" si="743"/>
        <v>4</v>
      </c>
      <c r="EO325" cm="1">
        <f t="array" ref="EO325">IF(OR(B325="",BZ325="",EC325&lt;&gt;1),"",_xlfn.LET(_xlpm.sz,Iдоп_S,_xlpm.t_,CHOOSE(EB325,Iдоп_1ж,Iдоп_2ж,Iдоп_3ж)*DZ325*EA325,_xlpm.ok,IFERROR((_xlpm.sz&gt;=MAX(1.5,CC325))*(_xlpm.t_&gt;=N(DT325)),0),_xlpm.r_,_xlfn._xlws.FILTER(_xlpm.sz,_xlpm.ok,""),INDEX(_xlpm.r_,1)))</f>
        <v>2.5</v>
      </c>
      <c r="EP325" s="6" cm="1">
        <f t="array" ref="EP325">IFERROR(ROUNDUP(N(EJ325)*(_xlfn.XLOOKUP(EO325,INDEX(Кабель_сопротивление,0,1),INDEX(Кабель_сопротивление,0,3))*N(P325)/EO325*N(CE325)+_xlfn.XLOOKUP(EO325,INDEX(Кабель_сопротивление,0,1),INDEX(Кабель_сопротивление,0,2))*N(P325)*N(EK325)/1000)*N(O325)/((Uн_лин/SQRT(3))*1000)*100,2),"")</f>
        <v>2.92</v>
      </c>
      <c r="EQ325">
        <f>IFERROR(2*ρкз_Cu*N(P325)/EO325,"")</f>
        <v>1.07304</v>
      </c>
      <c r="ER325">
        <f>IFERROR(VLOOKUP(EN325,Кабель_сопротивление,3,FALSE),"")</f>
        <v>2.2499999999999999E-2</v>
      </c>
      <c r="ES325">
        <f>IFERROR(VLOOKUP(EN325,Кабель_сопротивление,2,FALSE),"")</f>
        <v>9.5000000000000001E-2</v>
      </c>
      <c r="ET325">
        <f t="shared" si="744"/>
        <v>12</v>
      </c>
      <c r="EU325" t="str">
        <f t="shared" si="745"/>
        <v/>
      </c>
      <c r="EV325">
        <f t="shared" si="746"/>
        <v>4.2266776863639297</v>
      </c>
      <c r="EW325" s="6">
        <f>IFERROR(ROUNDUP(EV325/IF(BV325=1,BU325,(Uн_лин/SQRT(3))*1000)*100,2),"")</f>
        <v>1.84</v>
      </c>
      <c r="EX325" t="str">
        <f>IFERROR(VLOOKUP(BZ325,Кабель_обозначение,2,FALSE),"")</f>
        <v>ВВГнг(А)-LS</v>
      </c>
      <c r="EY325" t="str">
        <f t="shared" si="747"/>
        <v>ВВГнг(А)-LS (3х4)</v>
      </c>
      <c r="EZ325" t="str">
        <f t="shared" si="748"/>
        <v>ВВГнг(А)-LS (3х4)
L=51-1,84%</v>
      </c>
      <c r="FA325">
        <f>IFERROR(2*ρкз_Cu*P325/EN325,"")</f>
        <v>0.67064999999999997</v>
      </c>
      <c r="FB325">
        <f t="shared" si="749"/>
        <v>0.22312500000000002</v>
      </c>
      <c r="FC325" s="6" t="str">
        <f>IFERROR(IF(OR(B325="",BV325=1,NOT(ISNUMBER(EN325)),N(P325)=0),"",_xlfn.XLOOKUP(A325,Щиты[Щит],Щиты[Zпетли на шинах, Ом])+FA325),"")</f>
        <v/>
      </c>
      <c r="FD325" s="6" t="str">
        <f>IF(ISNUMBER(FC325),c_min*(Uн_лин*1000/SQRT(3))/FC325,"")</f>
        <v/>
      </c>
      <c r="FE325" s="6" t="str">
        <f>IFERROR(IF(OR(B325="",NOT(ISNUMBER(EN325))),"",1.05*(Uн_лин*1000/SQRT(3))/(_xlfn.XLOOKUP(A325,Щиты[Щит],Щиты[Zmax на шинах, Ом])+FB325)/1000),"")</f>
        <v/>
      </c>
      <c r="FF325" s="6" t="str">
        <f>IF(B325="","",IF(ISNUMBER(AC325),"Сил",IF(IFERROR(_xlfn.XLOOKUP(BC325,Коды_код,Коды_группа)&amp;"","")="","Быт",_xlfn.XLOOKUP(BC325,Коды_код,Коды_группа)&amp;"")))</f>
        <v>Быт</v>
      </c>
      <c r="FG325" s="6" t="str">
        <f t="shared" si="750"/>
        <v>Нет</v>
      </c>
      <c r="FH325" s="6">
        <f>IF(FG325="Щит","щит",IF(FG325="","",IF(FG325="Быт",IFERROR(_xlfn.XLOOKUP(A325,Щиты[Щит],Щиты[Кс быт]),1),IF(FG325="Сил",IF(ISNUMBER(AC325),AC325,IF(Методика="нормы 2026",IFERROR(_xlfn.XLOOKUP(A325,Щиты[Щит],Щиты[Кс силовых (табл. 7.5)]),1),1)),IF(OR(FG325="Пост",FG325="Отоп"),1,IF(FG325="ВНГ",0.7,0))))))</f>
        <v>0</v>
      </c>
      <c r="FI325">
        <f>IF(FG325="","",IF(AND(BP325=1,TRIM(AE325&amp;"")=""),IF(COUNTIFS(Линии[Щит],A325,Линии[Секция (1/2/3)],"&gt;=2")&gt;0,MIN(3,MAX(1,IFERROR(--BD325,1))),1),IFERROR(MIN(3,MAX(1,INT(--AE325))),1)))</f>
        <v>1</v>
      </c>
      <c r="FJ325">
        <f t="shared" si="751"/>
        <v>0</v>
      </c>
      <c r="FK325">
        <f t="shared" si="752"/>
        <v>0</v>
      </c>
      <c r="FL325">
        <f t="shared" si="753"/>
        <v>0</v>
      </c>
      <c r="FM325">
        <f t="shared" si="754"/>
        <v>0</v>
      </c>
      <c r="FN325">
        <f t="shared" si="755"/>
        <v>0</v>
      </c>
      <c r="FO325">
        <f t="shared" si="756"/>
        <v>0</v>
      </c>
      <c r="FP325">
        <f t="shared" si="757"/>
        <v>0</v>
      </c>
      <c r="FQ325">
        <f t="shared" si="758"/>
        <v>0</v>
      </c>
      <c r="FR325">
        <f t="shared" si="759"/>
        <v>0</v>
      </c>
      <c r="FS325">
        <f>IF(CG325=1,IF(AND(CH325=1,CW325=1),0,IF(AND(CS325&lt;&gt;"",CS325=BA325,CW325=1),SUMIFS(Линии[_Р линии, кВт],Линии[_блок УЗО],BA325,Линии[Щит],A325),N(BS325)+IF(AJ325="вручную",0,N(CK325)))),0)</f>
        <v>2.4</v>
      </c>
      <c r="FT325" t="str">
        <f t="shared" si="760"/>
        <v/>
      </c>
      <c r="FU325" t="str">
        <f>IF(B325="","",IF(CG325=0,IF(BA325=1,"",FW324),IF(AND(CH325=1,CW325=1,CS325&lt;&gt;""),IFERROR(_xlfn.XLOOKUP(CS325,Линии[_n],Линии[_фаза итог]),"L1"),IF(OR(N(DL325)&gt;=3,N(BX325)&gt;=3),"L1,L2,L3",IFERROR(_xlfn.TEXTBEFORE(_xlfn.TEXTAFTER(_xlfn.XLOOKUP(A325,Щиты[Щит],Щиты[_фазы авто]),";"&amp;BA325&amp;":"),";"),"L1")))))</f>
        <v>L2</v>
      </c>
      <c r="FV325" t="str">
        <f t="shared" si="761"/>
        <v>L2</v>
      </c>
      <c r="FW325" t="str">
        <f t="shared" si="762"/>
        <v>L2</v>
      </c>
      <c r="FX325" cm="1">
        <f t="array" ref="FX325">IFERROR(IF(CD325=2,_xlfn.IFS(BX325=3,VLOOKUP(BS325,Справочная_двигатели,3,FALSE),BX325=1,VLOOKUP(BS325,Справочная_двигатели,5,TRUE)),0),0)</f>
        <v>0</v>
      </c>
      <c r="FY325">
        <f>IFERROR(IF(CD325=3,VLOOKUP(BS325,Справочная_ЛЭД,2,TRUE),0),0)</f>
        <v>0</v>
      </c>
      <c r="FZ325" s="6">
        <f t="shared" si="763"/>
        <v>0</v>
      </c>
      <c r="GA325" t="str">
        <f>IF(B325="","",IF(TRIM(AH325&amp;"")&lt;&gt;"",IF(LOWER(TRIM(AH325&amp;""))="да","да","нет"),IF(IFERROR(_xlfn.XLOOKUP(BC325,Коды_код,Коды_пожарная),"")="да","да","нет")))</f>
        <v>нет</v>
      </c>
      <c r="GB325" t="str">
        <f t="shared" si="764"/>
        <v/>
      </c>
      <c r="GC325" t="str">
        <f t="shared" si="765"/>
        <v>основная</v>
      </c>
      <c r="GD325">
        <f>IF(AND(BP325=1,TRIM(AE325&amp;"")=""),IF(COUNTIFS(Линии[Щит],A325,Линии[Секция (1/2/3)],"&gt;=2")&gt;0,MIN(3,MAX(1,IFERROR(--BD325,1))),1),IFERROR(MIN(3,MAX(1,INT(--AE325))),1))</f>
        <v>1</v>
      </c>
      <c r="GE325" t="str" cm="1">
        <f t="array" ref="GE325">IF(B325="","",_xlfn.LET(_xlpm.t,IFERROR(_xlfn.XLOOKUP(1,(Шины[Шина]=GC325)*(((Шины[Щит]=A325)+(Шины[Щит]=""))&gt;0),Шины[Тип]),"")&amp;"",IF(_xlpm.t&lt;&gt;"",_xlpm.t,IF(ISNUMBER(SEARCH("ИБП",GC325)),"ИБП",IF(ISNUMBER(SEARCH("ДГУ",GC325)),"ДГУ","Ввод "&amp;GD325)))))</f>
        <v>Ввод 1</v>
      </c>
      <c r="GF325" t="str">
        <f t="shared" si="766"/>
        <v>Ввод 1</v>
      </c>
      <c r="GG325" t="str">
        <f>IF(BP325=0,"",IF(TRIM(AG325&amp;"")&lt;&gt;"",TRIM(AG325&amp;""),IF(OR(GE325="ИБП",GE325="ДГУ"),"I особая",_xlfn.XLOOKUP(A325,Щиты[Щит],Щиты[Категория шины «Ввод»],"III"))))</f>
        <v>II</v>
      </c>
      <c r="GH325" t="str">
        <f>IF(A325="","",_xlfn.XLOOKUP(A325,Щиты[Щит],Щиты[Путь],""))</f>
        <v>|ГРЩ-ЖД|ЩС-ВК.002|</v>
      </c>
      <c r="GI325" t="str">
        <f>IF(B325="","",IF(AI325&lt;&gt;"",AI325,IF(IFERROR(_xlfn.XLOOKUP(BC325,Коды_код,Коды_вид)&amp;"","")="","Прочее",_xlfn.XLOOKUP(BC325,Коды_код,Коды_вид)&amp;"")))</f>
        <v>Прочее</v>
      </c>
      <c r="GJ325">
        <f>IF(BM325="","",INT((BM325-1)/Столбцов_на_лист)+1)</f>
        <v>1</v>
      </c>
      <c r="GK325" t="str">
        <f t="shared" si="767"/>
        <v>ВВГнг(А)-LS (3х4) L=51-1,84%</v>
      </c>
      <c r="GL325">
        <f t="shared" si="768"/>
        <v>2.4</v>
      </c>
      <c r="GM325">
        <f t="shared" si="769"/>
        <v>9.1</v>
      </c>
      <c r="GN325">
        <f t="shared" si="770"/>
        <v>1</v>
      </c>
      <c r="GO325">
        <f t="shared" si="771"/>
        <v>0</v>
      </c>
      <c r="GP325">
        <f t="shared" si="772"/>
        <v>0</v>
      </c>
      <c r="GQ325" t="str">
        <f>IF(BM325="","",IF(AND(CG325=1,GP325=1),COUNTIFS(A$3:A325,A325,CG$3:CG325,1,GP$3:GP325,1),IF(OR(OR(BA325=1,A325&lt;&gt;A324),AJ325="вручную",GP325=0),"",IF(BA325=1,"",GR324))))</f>
        <v/>
      </c>
      <c r="GR325" t="str">
        <f t="shared" si="773"/>
        <v/>
      </c>
      <c r="GS325">
        <f>IF(B325="","",IFERROR(LOOKUP(INDEX(CHOOSE(EB325,Iдоп_1ж,Iдоп_2ж,Iдоп_3ж),MATCH(EN325,Iдоп_S,0))*DZ325*EA325,{6,10,16,20,25,32,40,50,63,80,100,125,160,200,250,315,400,500,630}),""))</f>
        <v>32</v>
      </c>
      <c r="GT325" t="str">
        <f t="shared" si="774"/>
        <v/>
      </c>
      <c r="GU325" t="str">
        <f t="shared" si="775"/>
        <v/>
      </c>
      <c r="GV325" t="str">
        <f t="shared" si="776"/>
        <v/>
      </c>
      <c r="GW325">
        <f t="shared" si="777"/>
        <v>0</v>
      </c>
      <c r="GX325" t="str">
        <f>IF(OR(B325="",DJ325=""),"",IFERROR(_xlfn.XLOOKUP(DJ325,Модули_умолч[Управление],Модули_умолч[Модель])&amp;"",""))</f>
        <v/>
      </c>
      <c r="GY325">
        <f>IF(DJ325="",1,IFERROR(MAX(0,N(_xlfn.XLOOKUP(DJ325,Модули_умолч[Управление],Модули_умолч[Каналов на линию]))),1))</f>
        <v>1</v>
      </c>
      <c r="GZ325" t="str">
        <f t="shared" si="778"/>
        <v/>
      </c>
      <c r="HA325" t="str">
        <f t="shared" si="779"/>
        <v/>
      </c>
      <c r="HB325" t="str">
        <f t="shared" si="780"/>
        <v/>
      </c>
      <c r="HC325">
        <f>IF(HB325="",0,IFERROR(N(VLOOKUP(HB325,Модули_спр,3,FALSE)),0))</f>
        <v>0</v>
      </c>
      <c r="HD325" t="str">
        <f t="shared" si="781"/>
        <v/>
      </c>
      <c r="HE325" t="str">
        <f t="shared" si="782"/>
        <v/>
      </c>
      <c r="HF325" t="str">
        <f>IF(OR(HE325="",HE325="-"),"",IFERROR(VLOOKUP(HE325,Модули_спр,2,FALSE),"R"))</f>
        <v/>
      </c>
      <c r="HG325" t="str">
        <f>IF(HF325="","",HF325&amp;"."&amp;COUNTIFS(A$3:A325,A325,HF$3:HF325,HF325))</f>
        <v/>
      </c>
      <c r="HH325" t="str">
        <f t="shared" si="783"/>
        <v/>
      </c>
      <c r="HI325" t="str">
        <f t="shared" si="784"/>
        <v/>
      </c>
      <c r="HJ325" t="str">
        <f t="shared" si="785"/>
        <v/>
      </c>
      <c r="HK325" t="str">
        <f t="shared" si="786"/>
        <v/>
      </c>
      <c r="HL325">
        <f t="shared" si="787"/>
        <v>0</v>
      </c>
      <c r="HM325" t="str">
        <f>IF(HL325=1,"XT"&amp;COUNTIFS(A$3:A325,A325,HL$3:HL325,1),"")</f>
        <v/>
      </c>
      <c r="HN325" t="str">
        <f t="shared" si="788"/>
        <v/>
      </c>
      <c r="HO325" t="str">
        <f t="shared" si="789"/>
        <v/>
      </c>
      <c r="HP325" t="str">
        <f t="shared" si="790"/>
        <v/>
      </c>
      <c r="HQ325" t="str">
        <f t="shared" si="791"/>
        <v>ok</v>
      </c>
      <c r="HR325" t="str">
        <f>IF(OR(HJ325="",HH325=""),"",IF(HJ325+MAX(0,GY325-1)&gt;IFERROR(VLOOKUP(HI325,Модули_спр,3,FALSE),99),"ЛИШНИЙ КАНАЛ",IF(AND(AL325&lt;&gt;"=",GY325&gt;0,COUNTIFS(Линии[_модуль гр.],HH325,Линии[Канал (итог)],HJ325,Линии[Канал],"&lt;&gt;=",Линии[Щит],A325)&gt;1),"ДУБЛЬ КАНАЛА","")))</f>
        <v/>
      </c>
      <c r="HS325" s="6" t="str">
        <f t="shared" si="792"/>
        <v/>
      </c>
      <c r="HT325">
        <f t="shared" si="793"/>
        <v>10</v>
      </c>
      <c r="HU325" t="str">
        <f t="shared" si="794"/>
        <v/>
      </c>
      <c r="HV325">
        <f t="shared" si="795"/>
        <v>0</v>
      </c>
      <c r="HW325">
        <f t="shared" si="796"/>
        <v>0</v>
      </c>
      <c r="HX325">
        <f t="shared" si="797"/>
        <v>0</v>
      </c>
      <c r="HY325">
        <f t="shared" si="798"/>
        <v>0</v>
      </c>
      <c r="HZ325">
        <f t="shared" si="799"/>
        <v>0</v>
      </c>
      <c r="IA325">
        <f t="shared" si="800"/>
        <v>0</v>
      </c>
      <c r="IB325">
        <f t="shared" si="801"/>
        <v>0</v>
      </c>
      <c r="IC325" t="str">
        <f t="shared" si="802"/>
        <v/>
      </c>
      <c r="ID325" t="str" cm="1">
        <f t="array" ref="ID325">IF(IC325="","",_xlfn.LET(_xlpm.tk,_xlfn.TEXTSPLIT(SUBSTITUTE(SUBSTITUTE(IC325,";"," "),"→"," ")," ",,TRUE),_xlpm.w_,_xlfn._xlws.FILTER(_xlpm.tk,ISNUMBER(--LEFT(_xlpm.tk,1))*((ISNUMBER(SEARCH("W",_xlpm.tk))+ISNUMBER(SEARCH("Вт",_xlpm.tk)))&gt;0),""),IFERROR(--SUBSTITUTE(SUBSTITUTE(UPPER(INDEX(_xlpm.w_,1)),"W",""),"ВТ",""),"")))</f>
        <v/>
      </c>
      <c r="IE325" t="str" cm="1">
        <f t="array" ref="IE325">IF(IC325="","",_xlfn.LET(_xlpm.tk,_xlfn.TEXTSPLIT(SUBSTITUTE(SUBSTITUTE(IC325,";"," "),"→"," ")," ",,TRUE),_xlpm.v_,_xlfn._xlws.FILTER(_xlpm.tk,ISNUMBER(--LEFT(_xlpm.tk,1))*((ISNUMBER(SEARCH("V",_xlpm.tk))+(RIGHT(UPPER(_xlpm.tk))="В"))&gt;0),""),IFERROR(--SUBSTITUTE(SUBSTITUTE(UPPER(INDEX(_xlpm.v_,1)),"V",""),"В",""),"")))</f>
        <v/>
      </c>
      <c r="IF325" s="6" t="str">
        <f>IF(OR(BV325=0,HI325="",HJ325=""),"",IFERROR(N(_xlfn.XLOOKUP(HI325,Каталог!$C$4:$C$500,Каталог!$Q$4:$Q$500)),""))</f>
        <v/>
      </c>
      <c r="IG325" s="6" t="str">
        <f>IF(N(IF325)=0,"",SUMIFS(Линии[Iр, А],Линии[Щит],A325,Линии[_модуль гр.],HH325,Линии[Канал (итог)],HJ325))</f>
        <v/>
      </c>
      <c r="IH325" t="str">
        <f>IF(AND(B325="",HO325=""),"",_xlfn.TEXTJOIN("; ",TRUE,IF(AND(B325&lt;&gt;"",FV325=""),"нет фазы",""),IF(AND(B325&lt;&gt;"",N(GL325)=0,FG325&lt;&gt;"Нет"),"нет мощности",""),IF(AND(HN325&lt;&gt;"",COUNTIFS(Линии[Щит],A325,Линии[Клемма (итог)],HN325)&gt;1),"дубль клеммы "&amp;HN325,""),IF(AND(HQ325&lt;&gt;"",HQ325&lt;&gt;"ok"),HQ325,""),IF(HR325&lt;&gt;"",HR325,""),IF(AND(N(CB325)&gt;=4,N(BX325)=1),CB325&amp;" жил на 1 фазе",""),IF(AND(BC325="R",CG325=1,IF(CS325&lt;&gt;"",N(CV325)&gt;30,OR(N(DA325)=0,N(DA325)&gt;30))),"розетка без дифзащиты до 30 мА",""),IF(AND(CG325=1,N(DA325)&gt;0,ISNUMBER(T325)),IF(T325&gt;N(DA325)/3,"ток утечки "&amp;FIXED(T325,1)&amp;" мА &gt; 1/3 уставки ("&amp;DA325&amp;" мА)",""),""),IF(AND(CH325=1,CS325=""),"«узо»: нет строки с УЗО выше (УЗО 2P 40А 30мА в «Аппаратах»)",""),IF(AND(CS325&lt;&gt;"",CS325=BA325),IF(CT325="","впишите номинал УЗО (УЗО 2P 40А 30мА)",IF(N(CT325)&lt;N(DT325),"УЗО "&amp;CT325&amp;" А &lt; автомата "&amp;DT325&amp;" А перед ним",IF(N(CT325)&lt;N(CX325),"УЗО "&amp;CT325&amp;" А &lt; тока блока "&amp;FIXED(CX325,1)&amp;" А",""))),""),IF(AND(CS325&lt;&gt;"",CS325=BA325,ISNUMBER(CY325)),IF(CY325&gt;N(CV325)/3,"ток утечки блока УЗО "&amp;FIXED(CY325,1)&amp;" мА &gt; 1/3 уставки ("&amp;CV325&amp;" мА)",""),""),IF(AND(CG325=1,N(BV325)+N(IB325)&gt;0,IC325=""),"линии до 50 В без БП: впишите в «Аппараты» (БП 24V 480W)",""),IF(AND(CG325=1,ISNUMBER(ID325),ISNUMBER(U325)),IF(U325&gt;ID325,"БП "&amp;ID325&amp;" Вт &lt; нужно "&amp;U325&amp;" Вт (×"&amp;Запас_БП&amp;")",""),""),IF(AND(CG325=1,ISNUMBER(IE325),N(BV325)=1),IF(IE325&lt;&gt;N(BU325),"БП на "&amp;IE325&amp;" В, линия "&amp;BU325&amp;" В",""),""),IF(AND(N(IF325)&gt;0,N(IG325)&gt;N(IF325)),HH325&amp;" канал "&amp;HJ325&amp;": "&amp;FIXED(IG325,1)&amp;" А &gt; "&amp;IF325&amp;" А",""),IFERROR(IF(AND(ISNUMBER(Q325),Q325&gt;EL325),"потери "&amp;FIXED(Q325,1)&amp;" % &gt; "&amp;EL325&amp;" %",""),""),IFERROR(IF(LEFT(HU325,4)="мало","Iкз мало — отключение &gt; 0,4 с",""),""),IF(AND(B325&lt;&gt;"",BM325=""),"не на схеме",""),IF(AND(CG325=0,B325&lt;&gt;"",FV325&lt;&gt;"",IF(BA325=1,"",FW324)&lt;&gt;"",FV325&lt;&gt;IF(BA325=1,"",FW324)),"фаза не как у автомата группы ("&amp;IF(BA325=1,"",FW324)&amp;")","")))</f>
        <v/>
      </c>
      <c r="II325" s="6" t="str">
        <f>IF(OR(CG325=0,DQ325=""),"",_xlfn.LET(_xlpm.t,IFERROR(_xlfn.XLOOKUP(DQ325,Каталог!$U$4:$U$500,Каталог!$G$4:$G$500),""),_xlpm.k,SEARCH("кА",_xlpm.t),IFERROR(--TRIM(RIGHT(SUBSTITUTE(MID(_xlpm.t,MAX(1,_xlpm.k-4),_xlpm.k-MAX(1,_xlpm.k-4))," ",REPT(" ",9)),5)),"")))</f>
        <v/>
      </c>
      <c r="IJ325" t="str">
        <f>IF(OR(II325="",CG325=0),"",IF(_xlfn.XLOOKUP(A325,Щиты[Щит],Щиты[Iкз max на шинах, кА],"")="","",IF(II325&lt;_xlfn.XLOOKUP(A325,Щиты[Щит],Щиты[Iкз max на шинах, кА]),"Icu "&amp;II325&amp;" кА &lt; Iкз max","ok")))</f>
        <v/>
      </c>
      <c r="IK325" t="str">
        <f t="shared" si="803"/>
        <v/>
      </c>
      <c r="IL325" t="str">
        <f t="shared" si="804"/>
        <v/>
      </c>
      <c r="IM325" t="str">
        <f t="shared" si="805"/>
        <v/>
      </c>
      <c r="IN325" t="str" cm="1">
        <f t="array" ref="IN325">IF(IM325="","",_xlfn.LET(_xlpm.nd,_xlfn.TEXTSPLIT(IM325,"|"),IF(COLUMNS(_xlpm.nd)&gt;1,A325&amp;"¦"&amp;INDEX(_xlpm.nd,1)&amp;"¦"&amp;INDEX(_xlpm.nd,2),"")))</f>
        <v/>
      </c>
      <c r="IO325" t="str">
        <f t="shared" si="806"/>
        <v/>
      </c>
      <c r="IP325" t="str" cm="1">
        <f t="array" ref="IP325">IF(IM325="","",_xlfn.LET(_xlpm.nd,_xlfn.TEXTSPLIT(IM325,"|"),IF(COLUMNS(_xlpm.nd)&gt;2,A325&amp;"¦"&amp;INDEX(_xlpm.nd,2)&amp;"¦"&amp;INDEX(_xlpm.nd,3),"")))</f>
        <v/>
      </c>
      <c r="IQ325" t="str">
        <f t="shared" si="807"/>
        <v/>
      </c>
      <c r="IR325" t="str" cm="1">
        <f t="array" ref="IR325">IF(IM325="","",_xlfn.LET(_xlpm.nd,_xlfn.TEXTSPLIT(IM325,"|"),IF(COLUMNS(_xlpm.nd)&gt;3,A325&amp;"¦"&amp;INDEX(_xlpm.nd,3)&amp;"¦"&amp;INDEX(_xlpm.nd,4),"")))</f>
        <v/>
      </c>
      <c r="IS325" t="str">
        <f t="shared" si="808"/>
        <v/>
      </c>
      <c r="IT325" t="str" cm="1">
        <f t="array" ref="IT325">IF(IM325="","",_xlfn.LET(_xlpm.nd,_xlfn.TEXTSPLIT(IM325,"|"),IF(COLUMNS(_xlpm.nd)&gt;4,A325&amp;"¦"&amp;INDEX(_xlpm.nd,4)&amp;"¦"&amp;INDEX(_xlpm.nd,5),"")))</f>
        <v/>
      </c>
      <c r="IU325" t="str">
        <f t="shared" si="809"/>
        <v/>
      </c>
      <c r="IV325" t="str" cm="1">
        <f t="array" ref="IV325">IF(IM325="","",_xlfn.LET(_xlpm.nd,_xlfn.TEXTSPLIT(IM325,"|"),IF(COLUMNS(_xlpm.nd)&gt;5,A325&amp;"¦"&amp;INDEX(_xlpm.nd,5)&amp;"¦"&amp;INDEX(_xlpm.nd,6),"")))</f>
        <v/>
      </c>
      <c r="IW325" t="str">
        <f t="shared" si="810"/>
        <v/>
      </c>
      <c r="IX325" t="str" cm="1">
        <f t="array" ref="IX325">IF(IM325="","",_xlfn.LET(_xlpm.nd,_xlfn.TEXTSPLIT(IM325,"|"),IF(COLUMNS(_xlpm.nd)&gt;6,A325&amp;"¦"&amp;INDEX(_xlpm.nd,6)&amp;"¦"&amp;INDEX(_xlpm.nd,7),"")))</f>
        <v/>
      </c>
      <c r="IY325" t="str">
        <f t="shared" si="811"/>
        <v/>
      </c>
      <c r="IZ325" t="str">
        <f t="shared" si="812"/>
        <v/>
      </c>
      <c r="JA325" t="str">
        <f t="shared" si="813"/>
        <v/>
      </c>
      <c r="JB325">
        <f t="shared" si="814"/>
        <v>0</v>
      </c>
      <c r="JC325">
        <f t="shared" si="815"/>
        <v>0</v>
      </c>
      <c r="JD325" t="str">
        <f t="shared" si="816"/>
        <v/>
      </c>
      <c r="JE325" t="str">
        <f t="shared" si="817"/>
        <v/>
      </c>
      <c r="JF325" t="str">
        <f t="shared" si="818"/>
        <v/>
      </c>
      <c r="JG325" t="str">
        <f t="shared" si="819"/>
        <v/>
      </c>
      <c r="JH325">
        <f>IF(B325="","",IFERROR(_xlfn.XLOOKUP(B325,Коды_код,Коды_уго),IFERROR(_xlfn.XLOOKUP(BC325,Коды_код,Коды_уго),IFERROR(_xlfn.XLOOKUP(LEFT(BC325,2),Коды_код,Коды_уго),""))))</f>
        <v>0</v>
      </c>
      <c r="JI325" t="str">
        <f>IF(B325="","",IF(OR(JH325="",JH325=0),"BOX",IFERROR(IF(VLOOKUP(JH325,УГО_блоки,3,FALSE)&amp;""&lt;&gt;"",VLOOKUP(JH325,УГО_блоки,3,FALSE),VLOOKUP(JH325,УГО_блоки,2,FALSE)),JH325)))</f>
        <v>BOX</v>
      </c>
      <c r="JJ325">
        <f t="shared" si="820"/>
        <v>1</v>
      </c>
      <c r="JK325" t="str">
        <f>IF(DQ325="","",IF(COUNTIF(DQ$3:DQ325,DQ325)=1,MAX(JK$2:JK324)+1,""))</f>
        <v/>
      </c>
      <c r="JL325" t="str">
        <f>IF(DE325="","",IF(COUNTIF(DE$3:DE325,DE325)+COUNTIF(DF$2:DF324,DE325)+COUNTIF(DG$2:DG324,DE325)=1,MAX(JL$2:JN324)+1,""))</f>
        <v/>
      </c>
      <c r="JM325" t="str">
        <f>IF(DF325="","",IF(COUNTIF(DE$3:DE325,DF325)+COUNTIF(DF$3:DF325,DF325)+COUNTIF(DG$2:DG324,DF325)=1,MAX(JL$2:JN324,JL325)+1,""))</f>
        <v/>
      </c>
      <c r="JN325" t="str">
        <f>IF(DG325="","",IF(COUNTIF(DE$3:DE325,DG325)+COUNTIF(DF$3:DF325,DG325)+COUNTIF(DG$3:DG325,DG325)=1,MAX(JL$2:JN324,JL325,JM325)+1,""))</f>
        <v/>
      </c>
      <c r="JO325" t="str">
        <f t="shared" si="821"/>
        <v/>
      </c>
      <c r="JP325" t="str">
        <f>IF(JO325="","",IF(COUNTIF(JO$3:JO325,JO325)=1,MAX(JP$2:JP324)+1,""))</f>
        <v/>
      </c>
      <c r="JQ325" t="str">
        <f>IF(HG325="","",COUNTIF(HG$3:HG325,"?*"))</f>
        <v/>
      </c>
      <c r="JR325" t="str">
        <f>IF(OR(HG325="",HI325=""),"",IF(COUNTIFS(HG$3:HG325,"?*",HI$3:HI325,HI325)=1,MAX(JR$2:JR324)+1,""))</f>
        <v/>
      </c>
      <c r="JS325">
        <f t="shared" si="822"/>
        <v>0</v>
      </c>
      <c r="JT325">
        <f>IF(B325="","",COUNTIF(B$3:B325,"?*"))</f>
        <v>323</v>
      </c>
      <c r="JU325">
        <f>IF(HL325&lt;&gt;1,0,_xlfn.LET(_xlpm.k,MAX(IFERROR(--_xlfn.XLOOKUP(B325,Коды_код,Коды_3L),0),IFERROR(--_xlfn.XLOOKUP(BC325,Коды_код,Коды_3L),0),IFERROR(--_xlfn.XLOOKUP(LEFT(BC325,2),Коды_код,Коды_3L),0)),IF(_xlpm.k&gt;0,_xlpm.k,IF(IFERROR(--LEFT(SUBSTITUTE(JO325,"x","х"),FIND("х",SUBSTITUTE(JO325,"x","х"))-1),3)&gt;3,Каталог!$S$9,1))))</f>
        <v>0</v>
      </c>
      <c r="JV325">
        <f t="shared" si="823"/>
        <v>0</v>
      </c>
      <c r="JW325" t="str">
        <f t="shared" si="824"/>
        <v>авто</v>
      </c>
      <c r="JX325" t="str">
        <f t="shared" si="825"/>
        <v/>
      </c>
      <c r="JY325">
        <f t="shared" si="826"/>
        <v>0</v>
      </c>
      <c r="JZ325">
        <f t="shared" si="827"/>
        <v>1</v>
      </c>
    </row>
    <row r="326" spans="1:286" x14ac:dyDescent="0.3">
      <c r="A326" t="s">
        <v>765</v>
      </c>
      <c r="B326" t="s">
        <v>1628</v>
      </c>
      <c r="C326" t="str">
        <f>Линии[[#This Row],[_авто наименование]]</f>
        <v>Насос дренажный, пом. 002Тб</v>
      </c>
      <c r="D326">
        <v>1</v>
      </c>
      <c r="E326">
        <v>0.6</v>
      </c>
      <c r="G326">
        <v>16</v>
      </c>
      <c r="H326" t="str">
        <f>Линии[[#This Row],[_авто управление]]</f>
        <v/>
      </c>
      <c r="I326" t="str">
        <f>Линии[[#This Row],[_авто аппараты]]</f>
        <v/>
      </c>
      <c r="J326">
        <v>2.5</v>
      </c>
      <c r="K326">
        <v>34</v>
      </c>
      <c r="L326">
        <v>1</v>
      </c>
      <c r="M326" t="str">
        <f>Линии[[#This Row],[_авто клемма]]</f>
        <v>XT1</v>
      </c>
      <c r="N326" t="str">
        <f t="shared" si="690"/>
        <v/>
      </c>
      <c r="O326" s="6" cm="1">
        <f t="array" ref="O326">IF(B326="","",IF(BH326&lt;&gt;"",IFERROR(_xlfn.XLOOKUP(BH326,Щиты[Щит],Щиты[Iр, А]),""),IF(BP326=1,IF(OR(N(_xlfn.XLOOKUP(A326,Щиты[Щит],Щиты[Вводов],1))&lt;=1,LOWER(TRIM(_xlfn.XLOOKUP(A326,Щиты[Щит],Щиты[АВР],"")&amp;""))="да"),IFERROR(_xlfn.XLOOKUP(A326,Щиты[Щит],Щиты[Iр, А]),""),IFERROR(N(BS326)*_xlfn.XLOOKUP(A326,Щиты[Щит],Щиты[Кс итог])/(SQRT(3)*Uн_лин*_xlfn.XLOOKUP(A326,Щиты[Щит],Щиты[cos φ])),"")),IF(BV326=1,IFERROR(BS326*1000/BU326,""),IFERROR(_xlfn.IFS(BX326=1,BS326/((Uн_лин/SQRT(3))*CE326),BX326=3,BS326/(SQRT(3)*Uн_лин*CE326)),"")))))</f>
        <v>3.2475952641916441</v>
      </c>
      <c r="P326" s="7">
        <f>IF(B326="","",IFERROR(IF(VLOOKUP(BC326,Потребители_обозначение,4,FALSE)=1,VLOOKUP(BC326,Потребители_обозначение,3,FALSE)*(MAX(1,N(D326))*2-1)+EI326+VLOOKUP(BE326,Этаж_обозначение,3,FALSE)+VLOOKUP(BE326,Этаж_обозначение,4,FALSE),VLOOKUP(BC326,Потребители_обозначение,3,FALSE)*(MAX(1,N(D326))*2-1)+EI326),EI326))</f>
        <v>37</v>
      </c>
      <c r="Q326" s="6">
        <f t="shared" si="691"/>
        <v>2.6</v>
      </c>
      <c r="R326" t="str">
        <f t="shared" si="692"/>
        <v>ВВГнг(А)-LS (3х2,5)</v>
      </c>
      <c r="S326" t="str">
        <f>IF(BM326="","",IF(BN326="вводной узел","узел ","")&amp;"л."&amp;(INT((BM326-1)/Столбцов_на_лист)+1)&amp;" / "&amp;(MOD(BM326-1,Столбцов_на_лист)+1))</f>
        <v>л.1 / 12</v>
      </c>
      <c r="T326" s="119">
        <f t="shared" si="693"/>
        <v>1.7</v>
      </c>
      <c r="U326" s="7" t="str">
        <f>IF(OR(CG326=0,N(BV326)+N(IB326)=0),"",ROUNDUP(Запас_БП*(N(HY326)+N(HZ326)),0))</f>
        <v/>
      </c>
      <c r="V326" s="119" t="str">
        <f t="shared" si="694"/>
        <v/>
      </c>
      <c r="W326" s="7" t="str">
        <f>IFERROR(IF(OR(B326="",BP326=1,BV326=1,NOT(ISNUMBER(EN326)),N(DT326)=0),"",MAX(0,ROUNDDOWN((c_min*(Uн_лин*1000/SQRT(3))/(HT326*N(DT326))-_xlfn.XLOOKUP(A326,Щиты[Щит],Щиты[Zпетли на шинах, Ом]))*EN326/(2*ρкз_Cu),0))),"")</f>
        <v/>
      </c>
      <c r="Y326" t="str">
        <f>Линии[[#This Row],[_авто утечка]]</f>
        <v/>
      </c>
      <c r="Z326">
        <v>1</v>
      </c>
      <c r="AA326">
        <v>230</v>
      </c>
      <c r="AB326" t="s">
        <v>598</v>
      </c>
      <c r="AC326">
        <v>0.7</v>
      </c>
      <c r="AG326" t="s">
        <v>810</v>
      </c>
      <c r="AI326" t="s">
        <v>604</v>
      </c>
      <c r="AK326" t="str">
        <f>Линии[[#This Row],[_авто модуль]]</f>
        <v/>
      </c>
      <c r="AM326">
        <v>12</v>
      </c>
      <c r="AN326" t="s">
        <v>11</v>
      </c>
      <c r="AO326">
        <v>3</v>
      </c>
      <c r="AQ326">
        <v>23</v>
      </c>
      <c r="AR326">
        <v>5</v>
      </c>
      <c r="AS326">
        <v>0</v>
      </c>
      <c r="AT326">
        <v>1</v>
      </c>
      <c r="BA326" cm="1">
        <f t="array" ref="BA326">ROW()-ROW(Линии[#Headers])</f>
        <v>324</v>
      </c>
      <c r="BC326" s="6" t="str">
        <f t="shared" si="695"/>
        <v>НВК</v>
      </c>
      <c r="BD326" t="str">
        <f t="shared" si="696"/>
        <v>00.002Тб.3</v>
      </c>
      <c r="BE326" t="str">
        <f t="shared" si="697"/>
        <v>00</v>
      </c>
      <c r="BF326" t="str">
        <f t="shared" si="698"/>
        <v>002Тб.3</v>
      </c>
      <c r="BG326" t="str">
        <f t="shared" si="699"/>
        <v>002Тб</v>
      </c>
      <c r="BH326" t="str">
        <f>IF(X326&lt;&gt;"",X326,IF(AND(B326&lt;&gt;"",B326&lt;&gt;A326,ISNUMBER(_xlfn.XMATCH(B326,Щиты[Щит]))),B326,""))</f>
        <v/>
      </c>
      <c r="BI326" t="str" cm="1">
        <f t="array" ref="BI326">IF(B326="","",IF(BH326&lt;&gt;"","Щит "&amp;BH326,_xlfn.LET(_xlpm.nm,IFERROR(_xlfn.XLOOKUP(BC326,Коды_код,Коды_имя)&amp;"",""),_xlpm.md,IFERROR(N(_xlfn.XLOOKUP(BC326,Коды_код,Коды_режим)),1),_xlpm.ex,IF(Имя_режим="по экспликации",IFERROR(_xlfn.XLOOKUP(BE326&amp;"|"&amp;BG326,Экспликация[Этаж]&amp;"|"&amp;Экспликация[Помещение],Экспликация[Название])&amp;"",""),""),_xlpm.rm,IF(BG326="","",IF(_xlpm.ex&lt;&gt;"",". "&amp;_xlpm.ex&amp;IF(Имя_пом="нет"," ("&amp;BG326&amp;")"," (пом. "&amp;BG326&amp;")"),IF(Имя_пом="нет"," ",", пом. ")&amp;BG326)),IF(_xlpm.nm="","",IF(_xlpm.md=2,_xlpm.nm&amp;" шлейф "&amp;BE326,_xlpm.nm&amp;_xlpm.rm)))))</f>
        <v>Насос дренажный, пом. 002Тб</v>
      </c>
      <c r="BJ326" t="str">
        <f t="shared" si="700"/>
        <v>Насос дренажный, пом. 002Тб</v>
      </c>
      <c r="BK326">
        <f>IFERROR(_xlfn.XMATCH(A326,Щиты[Щит]),0)</f>
        <v>14</v>
      </c>
      <c r="BL326">
        <f>_xlfn.LET(_xlpm.k,IFERROR(_xlfn.XLOOKUP(A326,Щиты[Щит],Щиты[Мест под вводной узел]),""),IF(_xlpm.k="",Столбцов_на_лист,N(_xlpm.k)))</f>
        <v>11</v>
      </c>
      <c r="BM326">
        <f t="shared" si="701"/>
        <v>12</v>
      </c>
      <c r="BN326" t="str">
        <f t="shared" si="702"/>
        <v>линии</v>
      </c>
      <c r="BO326" s="6">
        <f>IFERROR(N(_xlfn.XLOOKUP(BC326,Коды_код,Коды_квт)),0)</f>
        <v>0</v>
      </c>
      <c r="BP326">
        <f t="shared" si="703"/>
        <v>0</v>
      </c>
      <c r="BQ326" t="str">
        <f>IF(B326="","",IF(BH326&lt;&gt;"",IFERROR(_xlfn.XLOOKUP(BH326,Щиты[Щит],Щиты[Руст, кВт]),0),IF(BP326=1,IF(OR(N(_xlfn.XLOOKUP(A326,Щиты[Щит],Щиты[Вводов],1))&lt;=1,LOWER(TRIM(_xlfn.XLOOKUP(A326,Щиты[Щит],Щиты[АВР],"")&amp;""))="да"),IFERROR(_xlfn.XLOOKUP(A326,Щиты[Щит],Щиты[Руст, кВт]),0),SUMIFS(Линии[_Р для вводов],Линии[Щит],A326,Линии[Источник для режимов],GF326)),IF(BO326&gt;0,ROUND(BO326*MAX(1,N(D326)),3),""))))</f>
        <v/>
      </c>
      <c r="BR326">
        <f t="shared" si="704"/>
        <v>0.6</v>
      </c>
      <c r="BS326" s="6">
        <f>IF(B326="","",IF(BH326&lt;&gt;"",IFERROR(_xlfn.XLOOKUP(BH326,Щиты[Щит],Щиты[Руст, кВт]),0),N(BR326)))</f>
        <v>0.6</v>
      </c>
      <c r="BT326" t="str">
        <f>IF(B326="","",IFERROR(IF(VLOOKUP(BC326,Потребители_обозначение,8,FALSE)=0,"",VLOOKUP(BC326,Потребители_обозначение,8,FALSE)),""))</f>
        <v/>
      </c>
      <c r="BU326">
        <f t="shared" si="705"/>
        <v>230</v>
      </c>
      <c r="BV326">
        <f t="shared" si="706"/>
        <v>0</v>
      </c>
      <c r="BW326">
        <f>IF(B326="","",IF(BH326&lt;&gt;"",3,IFERROR(IF(N(VLOOKUP(BC326,Потребители_обозначение,9,FALSE))=0,1,VLOOKUP(BC326,Потребители_обозначение,9,FALSE)),1)))</f>
        <v>1</v>
      </c>
      <c r="BX326">
        <f t="shared" si="707"/>
        <v>1</v>
      </c>
      <c r="BY326" t="str">
        <f>IF(B326="","",_xlfn.LET(_xlpm.bc,IFERROR(IF(VLOOKUP(BC326,Потребители_обозначение,6,FALSE)=0,"",VLOOKUP(BC326,Потребители_обозначение,6,FALSE)&amp;""),""),IF(AND(GA326="да",OR(_xlpm.bc="",_xlpm.bc="мс")),Марка_пож,IF(AND(_xlpm.bc="",BH326&lt;&gt;""),"мс",_xlpm.bc))))</f>
        <v/>
      </c>
      <c r="BZ326" t="str">
        <f t="shared" si="708"/>
        <v>мс</v>
      </c>
      <c r="CA326">
        <f>IF(B326="","",_xlfn.LET(_xlpm.cc,IFERROR(N(VLOOKUP(BC326,Потребители_обозначение,7,FALSE)),0),IF(_xlpm.cc&gt;0,_xlpm.cc,IF(BZ326="","",IF(BV326=1,2,IF(N(BX326)=3,5,3))))))</f>
        <v>3</v>
      </c>
      <c r="CB326">
        <f t="shared" si="709"/>
        <v>3</v>
      </c>
      <c r="CC326">
        <f>IFERROR(N(VLOOKUP(BC326,Потребители_обозначение,10,FALSE)),0)</f>
        <v>0</v>
      </c>
      <c r="CD326">
        <f>IFERROR(VLOOKUP(BC326,Потребители_обозначение,5,FALSE),0)</f>
        <v>1</v>
      </c>
      <c r="CE326" s="6" cm="1">
        <f t="array" ref="CE326">IF(B326="","",IF(BH326&lt;&gt;"",IFERROR(_xlfn.XLOOKUP(BH326,Щиты[Щит],Щиты[cos φ]),0.95),IF(BP326=1,IFERROR(_xlfn.XLOOKUP(A326,Щиты[Щит],Щиты[cos φ]),0.95),IF(ISNUMBER(AD326),AD326,IFERROR(IF(CD326=2,_xlfn.IFS(BX326=3,VLOOKUP(BS326,Справочная_двигатели,8,FALSE),BX326=1,VLOOKUP(BS326,Справочная_двигатели,10,TRUE)),IF(AND(Методика="нормы 2026",FG326="Сил"),0.8,0.95)),0.95)))))</f>
        <v>0.8</v>
      </c>
      <c r="CF326">
        <f t="shared" si="710"/>
        <v>0</v>
      </c>
      <c r="CG326">
        <f t="shared" si="711"/>
        <v>1</v>
      </c>
      <c r="CH326">
        <f t="shared" si="712"/>
        <v>0</v>
      </c>
      <c r="CI326">
        <f>IF(B326="","",IF(BV326=1,IFERROR(BS326/((Uн_лин/SQRT(3))*MAX(0.5,N(CE326))),0),N(O326)))</f>
        <v>3.2475952641916441</v>
      </c>
      <c r="CJ326">
        <f t="shared" si="713"/>
        <v>0</v>
      </c>
      <c r="CK326">
        <f t="shared" si="714"/>
        <v>0</v>
      </c>
      <c r="CL326">
        <f t="shared" si="715"/>
        <v>0</v>
      </c>
      <c r="CM326">
        <f t="shared" si="716"/>
        <v>0</v>
      </c>
      <c r="CN326">
        <f t="shared" si="717"/>
        <v>0</v>
      </c>
      <c r="CO326">
        <f>IF(BC326="",0,_xlfn.LET(_xlpm.v,IFERROR(_xlfn.XLOOKUP(B326,Коды_код,Коды_мА),IFERROR(_xlfn.XLOOKUP(BC326,Коды_код,Коды_мА),IFERROR(_xlfn.XLOOKUP(LEFT(BC326,2),Коды_код,Коды_мА),""))),IF(_xlpm.v="да",30,IF(ISNUMBER(_xlpm.v),_xlpm.v,0))))</f>
        <v>0</v>
      </c>
      <c r="CP326" t="str">
        <f t="shared" si="718"/>
        <v/>
      </c>
      <c r="CQ326" t="str">
        <f>_xlfn.LET(_xlpm.k,IFERROR(_xlfn.XLOOKUP(BC326,Коды_код,Коды_утечка)&amp;"",""),IF(_xlpm.k="","дифавтомат",_xlpm.k))</f>
        <v>дифавтомат</v>
      </c>
      <c r="CR326" t="str" cm="1">
        <f t="array" ref="CR326">IF(CG326=0,"",_xlfn.LET(_xlpm.sg,TRIM(_xlfn.TEXTSPLIT(DD326&amp;"",";")),_xlpm.f_,_xlfn._xlws.FILTER(_xlpm.sg,LEFT(_xlpm.sg,3)="УЗО",""),IFERROR(INDEX(_xlpm.f_,1)&amp;"","")))</f>
        <v/>
      </c>
      <c r="CS326" t="str">
        <f t="shared" si="719"/>
        <v/>
      </c>
      <c r="CT326" s="6" t="str" cm="1">
        <f t="array" ref="CT326">IF(CR326="","",_xlfn.LET(_xlpm.tk,_xlfn.TEXTSPLIT(UPPER(CR326)," ",,TRUE),_xlpm.a_,_xlfn._xlws.FILTER(_xlpm.tk,ISNUMBER(--LEFT(_xlpm.tk,1))*((ISNUMBER(SEARCH("А",_xlpm.tk))+ISNUMBER(SEARCH("A",_xlpm.tk)))&gt;0)*NOT(ISNUMBER(SEARCH("МА",_xlpm.tk)))*NOT(ISNUMBER(SEARCH("MA",_xlpm.tk))),""),IFERROR(--SUBSTITUTE(SUBSTITUTE(INDEX(_xlpm.a_,1),"А",""),"A",""),"")))</f>
        <v/>
      </c>
      <c r="CU326" t="str" cm="1">
        <f t="array" ref="CU326">IF(CR326="","",_xlfn.LET(_xlpm.tk,_xlfn.TEXTSPLIT(UPPER(CR326)," ",,TRUE),_xlpm.a_,_xlfn._xlws.FILTER(_xlpm.tk,ISNUMBER(--LEFT(_xlpm.tk,1))*((ISNUMBER(SEARCH("МА",_xlpm.tk))+ISNUMBER(SEARCH("MA",_xlpm.tk)))&gt;0),""),IFERROR(--SUBSTITUTE(SUBSTITUTE(INDEX(_xlpm.a_,1),"МА",""),"MA",""),30)))</f>
        <v/>
      </c>
      <c r="CV326" t="str">
        <f>IF(CS326="","",IFERROR(_xlfn.XLOOKUP(CS326,Линии[_n],Линии[_УЗО, мА]),30))</f>
        <v/>
      </c>
      <c r="CW326">
        <f>IF(CS326="",0,IF(ISNUMBER(SEARCH("4P",IFERROR(_xlfn.XLOOKUP(CS326,Линии[_n],Линии[_УЗО строки])&amp;"",""))),0,1))</f>
        <v>0</v>
      </c>
      <c r="CX326" t="str">
        <f>IF(AND(CS326&lt;&gt;"",CS326=BA326),SUMIFS(Линии[_ток на 230 В],Линии[_блок УЗО],BA326,Линии[Щит],A326),"")</f>
        <v/>
      </c>
      <c r="CY326" t="str">
        <f>IF(AND(CS326&lt;&gt;"",CS326=BA326),SUMIFS(Линии[_ток утечки линии, мА],Линии[_блок УЗО],BA326,Линии[Щит],A326),"")</f>
        <v/>
      </c>
      <c r="CZ326">
        <f t="shared" si="720"/>
        <v>0</v>
      </c>
      <c r="DA326">
        <f t="shared" si="721"/>
        <v>0</v>
      </c>
      <c r="DB326">
        <f>IF(B326="",0,IFERROR(--_xlfn.XLOOKUP(B326,Коды_код,Коды_минавт),IFERROR(--_xlfn.XLOOKUP(BC326,Коды_код,Коды_минавт),IFERROR(--_xlfn.XLOOKUP(LEFT(BC326,2),Коды_код,Коды_минавт),0))))</f>
        <v>0</v>
      </c>
      <c r="DC326" t="str">
        <f>IF(B326="","",IFERROR(_xlfn.XLOOKUP(BC326,Коды_код,Коды_апп)&amp;"",""))</f>
        <v/>
      </c>
      <c r="DD326" t="str">
        <f t="shared" si="722"/>
        <v/>
      </c>
      <c r="DE326" t="str" cm="1">
        <f t="array" ref="DE326">IF(TRIM(DD326&amp;"")="","",IFERROR(TRIM(INDEX(_xlfn.TEXTSPLIT(DD326&amp;";;;",";"),1)),""))</f>
        <v/>
      </c>
      <c r="DF326" t="str" cm="1">
        <f t="array" ref="DF326">IF(TRIM(DD326&amp;"")="","",IFERROR(TRIM(INDEX(_xlfn.TEXTSPLIT(DD326&amp;";;;",";"),2)),""))</f>
        <v/>
      </c>
      <c r="DG326" t="str" cm="1">
        <f t="array" ref="DG326">IF(TRIM(DD326&amp;"")="","",IFERROR(TRIM(INDEX(_xlfn.TEXTSPLIT(DD326&amp;";;;",";"),3)),""))</f>
        <v/>
      </c>
      <c r="DH326">
        <f t="shared" si="723"/>
        <v>0</v>
      </c>
      <c r="DI326" t="str">
        <f>IF(B326="","",_xlfn.LET(_xlpm.t,LOWER(AZ326&amp;""),IF(ISNUMBER(SEARCH("dim",_xlpm.t)),"DIM",IF(ISNUMBER(SEARCH("dali",_xlpm.t)),"DALI",IF(OR(ISNUMBER(SEARCH("relay",_xlpm.t)),ISNUMBER(SEARCH("реле",_xlpm.t))),"Relay",IF(ISNUMBER(SEARCH("кнопк",_xlpm.t)),"",IFERROR(_xlfn.XLOOKUP(BC326,Коды_код,Коды_упр)&amp;"","")))))))</f>
        <v/>
      </c>
      <c r="DJ326" t="str">
        <f t="shared" si="724"/>
        <v/>
      </c>
      <c r="DK326">
        <f>IF(B326="","",_xlfn.LET(_xlpm.ig,IF(N(CX326)&gt;0,N(CX326),N(CI326)+IF(AJ326="вручную",0,N(CJ326))),_xlpm.n0,IFERROR(VLOOKUP(_xlpm.ig,Автомат_номиналы,2,TRUE),0),_xlpm.mn,MAX(DB326,IF(AJ326="вручную",0,N(CM326))),MAX(_xlpm.n0,_xlpm.mn,IF(DH326=1,Мин_автомат_БП,0))))</f>
        <v>6</v>
      </c>
      <c r="DL326">
        <f t="shared" si="725"/>
        <v>1</v>
      </c>
      <c r="DM326" t="str">
        <f t="shared" si="726"/>
        <v>1P</v>
      </c>
      <c r="DN326" t="str">
        <f>_xlfn.LET(_xlpm.cc,UPPER(TRIM(IFERROR(_xlfn.XLOOKUP(BC326,Коды_код,Коды_хар)&amp;"",""))),IF(OR(_xlpm.cc="B",_xlpm.cc="В"),"B",IF(_xlpm.cc="D","D","С")))</f>
        <v>С</v>
      </c>
      <c r="DO326" t="str">
        <f t="shared" si="727"/>
        <v>1P С6А</v>
      </c>
      <c r="DP326">
        <f t="shared" si="728"/>
        <v>16</v>
      </c>
      <c r="DQ326" t="str">
        <f t="shared" si="729"/>
        <v>1P С16А</v>
      </c>
      <c r="DR326" cm="1">
        <f t="array" ref="DR326">IF(DQ326="","",_xlfn.LET(_xlpm.t,SUBSTITUTE(SUBSTITUTE(SUBSTITUTE(UPPER(DQ326),"С","C"),"А","A"),"В","B"),_xlpm.tk,_xlfn.TEXTSPLIT(_xlpm.t," "),_xlpm.f,_xlfn._xlws.FILTER(_xlpm.tk,ISNUMBER(--MID(_xlpm.tk,2,1))*ISNUMBER(SEARCH(LEFT(_xlpm.tk,1)&amp;"#","B#C#D#"))*(LEN(_xlpm.tk)&gt;1),""),_xlpm.x,INDEX(_xlpm.f,1),IFERROR(--SUBSTITUTE(MID(_xlpm.x,2,9),"A",""),IFERROR(--SUBSTITUTE(INDEX(_xlfn._xlws.FILTER(_xlpm.tk,ISNUMBER(--SUBSTITUTE(_xlpm.tk,"A","")),""),1),"A",""),""))))</f>
        <v>16</v>
      </c>
      <c r="DS326" t="str">
        <f t="shared" si="730"/>
        <v>ok</v>
      </c>
      <c r="DT326">
        <f t="shared" si="731"/>
        <v>16</v>
      </c>
      <c r="DU326" t="str">
        <f t="shared" si="732"/>
        <v>1P С16А</v>
      </c>
      <c r="DV326">
        <f t="shared" si="733"/>
        <v>0</v>
      </c>
      <c r="DW326">
        <f t="shared" si="734"/>
        <v>0</v>
      </c>
      <c r="DX326">
        <f t="shared" si="735"/>
        <v>0</v>
      </c>
      <c r="DY326">
        <f t="shared" si="736"/>
        <v>3.2475952641916441</v>
      </c>
      <c r="DZ326">
        <f t="shared" si="737"/>
        <v>1</v>
      </c>
      <c r="EA326">
        <f>IF(ISNUMBER(AP326),AP326,К_прокл)</f>
        <v>1</v>
      </c>
      <c r="EB326">
        <f t="shared" si="738"/>
        <v>2</v>
      </c>
      <c r="EC326">
        <f>IFERROR(N(VLOOKUP(BZ326,Кабель_обозначение,3,FALSE)),1)</f>
        <v>1</v>
      </c>
      <c r="ED326">
        <f>IFERROR(N(_xlfn.XLOOKUP(A326,Щиты[Щит],Щиты[ΔU до шин, %])),0)</f>
        <v>1.84</v>
      </c>
      <c r="EE326" t="str">
        <f>IFERROR(_xlfn.XLOOKUP(A326,Щиты[Щит],Щиты[Zпетли на шинах, Ом]),"")</f>
        <v/>
      </c>
      <c r="EF326">
        <f>IFERROR(N(_xlfn.XLOOKUP(A326,Щиты[Щит],Щиты[ΔU до шин (подбор), %])),0)</f>
        <v>4.8499999999999996</v>
      </c>
      <c r="EG326" t="str">
        <f>IFERROR(_xlfn.XLOOKUP(A326,Щиты[Щит],Щиты[Zпетли на шинах (подбор), Ом]),"")</f>
        <v/>
      </c>
      <c r="EH326" t="str">
        <f t="shared" si="739"/>
        <v/>
      </c>
      <c r="EI326">
        <f t="shared" si="740"/>
        <v>34</v>
      </c>
      <c r="EJ326">
        <f t="shared" si="741"/>
        <v>2</v>
      </c>
      <c r="EK326">
        <f t="shared" si="742"/>
        <v>0.6</v>
      </c>
      <c r="EL326" s="6">
        <f>IF(B326="","",IF(BV326=1,dU_LED,IF(IFERROR(_xlfn.XLOOKUP(BC326,Коды_код,Коды_уго),"")="Светильник",3,4)+IF(Методика="нормы 2026",MIN(0.5,MAX(0,N(P326)-100)*0.005),0)))</f>
        <v>4</v>
      </c>
      <c r="EM326" t="str" cm="1">
        <f t="array" ref="EM326">IF(OR(B326="",BZ326="",EC326&lt;&gt;1),"",_xlfn.LET(_xlpm.sz,Iдоп_S,_xlpm.t_,CHOOSE(EB326,Iдоп_1ж,Iдоп_2ж,Iдоп_3ж)*DZ326*EA326,_xlpm.dcx,BV326=1,_xlpm.inn,IF(_xlpm.dcx,N(O326),N(DT326)),_xlpm.smin,MAX(1.5,CC326),_xlpm.L_,N(P326)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326)/N(BU326)*100,999),IFERROR(N(EJ326)*(_xlpm.rho*_xlpm.L_/_xlpm.sz*N(CE326)+_xlpm.xx*_xlpm.L_*N(EK326)/1000)*N(O326)/((Uн_лин/SQRT(3))*1000)*100,999)),_xlpm.kz,IF(OR(_xlpm.dcx,DW326=1,NOT(ISNUMBER(EG326)),_xlpm.L_=0,_xlpm.inn=0),1,IFERROR(--(c_min*(Uн_лин*1000/SQRT(3))/(EG326+2*ρкз_Cu*_xlpm.L_/_xlpm.sz)&gt;=HT326*_xlpm.inn),0)),_xlpm.ok,IFERROR((_xlpm.sz&gt;=_xlpm.smin)*(_xlpm.t_&gt;=_xlpm.inn)*IF(_xlpm.L_&gt;0,(_xlpm.du_+IF(_xlpm.dcx,0,EF326)&lt;=EL326+0.00001),1)*_xlpm.kz,0),_xlpm.r_,_xlfn._xlws.FILTER(_xlpm.sz,_xlpm.ok,"не подобрано"),INDEX(_xlpm.r_,1)))</f>
        <v>не подобрано</v>
      </c>
      <c r="EN326">
        <f t="shared" si="743"/>
        <v>2.5</v>
      </c>
      <c r="EO326" cm="1">
        <f t="array" ref="EO326">IF(OR(B326="",BZ326="",EC326&lt;&gt;1),"",_xlfn.LET(_xlpm.sz,Iдоп_S,_xlpm.t_,CHOOSE(EB326,Iдоп_1ж,Iдоп_2ж,Iдоп_3ж)*DZ326*EA326,_xlpm.ok,IFERROR((_xlpm.sz&gt;=MAX(1.5,CC326))*(_xlpm.t_&gt;=N(DT326)),0),_xlpm.r_,_xlfn._xlws.FILTER(_xlpm.sz,_xlpm.ok,""),INDEX(_xlpm.r_,1)))</f>
        <v>1.5</v>
      </c>
      <c r="EP326" s="6" cm="1">
        <f t="array" ref="EP326">IFERROR(ROUNDUP(N(EJ326)*(_xlfn.XLOOKUP(EO326,INDEX(Кабель_сопротивление,0,1),INDEX(Кабель_сопротивление,0,3))*N(P326)/EO326*N(CE326)+_xlfn.XLOOKUP(EO326,INDEX(Кабель_сопротивление,0,1),INDEX(Кабель_сопротивление,0,2))*N(P326)*N(EK326)/1000)*N(O326)/((Uн_лин/SQRT(3))*1000)*100,2),"")</f>
        <v>1.26</v>
      </c>
      <c r="EQ326">
        <f>IFERROR(2*ρкз_Cu*N(P326)/EO326,"")</f>
        <v>1.2974666666666665</v>
      </c>
      <c r="ER326">
        <f>IFERROR(VLOOKUP(EN326,Кабель_сопротивление,3,FALSE),"")</f>
        <v>2.2499999999999999E-2</v>
      </c>
      <c r="ES326">
        <f>IFERROR(VLOOKUP(EN326,Кабель_сопротивление,2,FALSE),"")</f>
        <v>0.1</v>
      </c>
      <c r="ET326">
        <f t="shared" si="744"/>
        <v>5</v>
      </c>
      <c r="EU326">
        <f t="shared" si="745"/>
        <v>0</v>
      </c>
      <c r="EV326">
        <f t="shared" si="746"/>
        <v>1.744738079734319</v>
      </c>
      <c r="EW326" s="6">
        <f>IFERROR(ROUNDUP(EV326/IF(BV326=1,BU326,(Uн_лин/SQRT(3))*1000)*100,2),"")</f>
        <v>0.76</v>
      </c>
      <c r="EX326" t="str">
        <f>IFERROR(VLOOKUP(BZ326,Кабель_обозначение,2,FALSE),"")</f>
        <v>ВВГнг(А)-LS</v>
      </c>
      <c r="EY326" t="str">
        <f t="shared" si="747"/>
        <v>ВВГнг(А)-LS (3х2,5)</v>
      </c>
      <c r="EZ326" t="str">
        <f t="shared" si="748"/>
        <v>ВВГнг(А)-LS (3х2,5)
L=37-0,76%</v>
      </c>
      <c r="FA326">
        <f>IFERROR(2*ρкз_Cu*P326/EN326,"")</f>
        <v>0.77847999999999995</v>
      </c>
      <c r="FB326">
        <f t="shared" si="749"/>
        <v>0.25900000000000001</v>
      </c>
      <c r="FC326" s="6" t="str">
        <f>IFERROR(IF(OR(B326="",BV326=1,NOT(ISNUMBER(EN326)),N(P326)=0),"",_xlfn.XLOOKUP(A326,Щиты[Щит],Щиты[Zпетли на шинах, Ом])+FA326),"")</f>
        <v/>
      </c>
      <c r="FD326" s="6" t="str">
        <f>IF(ISNUMBER(FC326),c_min*(Uн_лин*1000/SQRT(3))/FC326,"")</f>
        <v/>
      </c>
      <c r="FE326" s="6" t="str">
        <f>IFERROR(IF(OR(B326="",NOT(ISNUMBER(EN326))),"",1.05*(Uн_лин*1000/SQRT(3))/(_xlfn.XLOOKUP(A326,Щиты[Щит],Щиты[Zmax на шинах, Ом])+FB326)/1000),"")</f>
        <v/>
      </c>
      <c r="FF326" s="6" t="str">
        <f>IF(B326="","",IF(ISNUMBER(AC326),"Сил",IF(IFERROR(_xlfn.XLOOKUP(BC326,Коды_код,Коды_группа)&amp;"","")="","Быт",_xlfn.XLOOKUP(BC326,Коды_код,Коды_группа)&amp;"")))</f>
        <v>Сил</v>
      </c>
      <c r="FG326" s="6" t="str">
        <f t="shared" si="750"/>
        <v>Сил</v>
      </c>
      <c r="FH326" s="6">
        <f>IF(FG326="Щит","щит",IF(FG326="","",IF(FG326="Быт",IFERROR(_xlfn.XLOOKUP(A326,Щиты[Щит],Щиты[Кс быт]),1),IF(FG326="Сил",IF(ISNUMBER(AC326),AC326,IF(Методика="нормы 2026",IFERROR(_xlfn.XLOOKUP(A326,Щиты[Щит],Щиты[Кс силовых (табл. 7.5)]),1),1)),IF(OR(FG326="Пост",FG326="Отоп"),1,IF(FG326="ВНГ",0.7,0))))))</f>
        <v>0.7</v>
      </c>
      <c r="FI326">
        <f>IF(FG326="","",IF(AND(BP326=1,TRIM(AE326&amp;"")=""),IF(COUNTIFS(Линии[Щит],A326,Линии[Секция (1/2/3)],"&gt;=2")&gt;0,MIN(3,MAX(1,IFERROR(--BD326,1))),1),IFERROR(MIN(3,MAX(1,INT(--AE326))),1)))</f>
        <v>1</v>
      </c>
      <c r="FJ326">
        <f t="shared" si="751"/>
        <v>0.6</v>
      </c>
      <c r="FK326">
        <f t="shared" si="752"/>
        <v>0</v>
      </c>
      <c r="FL326">
        <f t="shared" si="753"/>
        <v>0.42</v>
      </c>
      <c r="FM326">
        <f t="shared" si="754"/>
        <v>0</v>
      </c>
      <c r="FN326">
        <f t="shared" si="755"/>
        <v>0</v>
      </c>
      <c r="FO326">
        <f t="shared" si="756"/>
        <v>0</v>
      </c>
      <c r="FP326">
        <f t="shared" si="757"/>
        <v>0.6</v>
      </c>
      <c r="FQ326">
        <f t="shared" si="758"/>
        <v>0.6</v>
      </c>
      <c r="FR326">
        <f t="shared" si="759"/>
        <v>0.48</v>
      </c>
      <c r="FS326">
        <f>IF(CG326=1,IF(AND(CH326=1,CW326=1),0,IF(AND(CS326&lt;&gt;"",CS326=BA326,CW326=1),SUMIFS(Линии[_Р линии, кВт],Линии[_блок УЗО],BA326,Линии[Щит],A326),N(BS326)+IF(AJ326="вручную",0,N(CK326)))),0)</f>
        <v>0.6</v>
      </c>
      <c r="FT326" t="str">
        <f t="shared" si="760"/>
        <v>L1</v>
      </c>
      <c r="FU326" t="str">
        <f>IF(B326="","",IF(CG326=0,IF(BA326=1,"",FW325),IF(AND(CH326=1,CW326=1,CS326&lt;&gt;""),IFERROR(_xlfn.XLOOKUP(CS326,Линии[_n],Линии[_фаза итог]),"L1"),IF(OR(N(DL326)&gt;=3,N(BX326)&gt;=3),"L1,L2,L3",IFERROR(_xlfn.TEXTBEFORE(_xlfn.TEXTAFTER(_xlfn.XLOOKUP(A326,Щиты[Щит],Щиты[_фазы авто]),";"&amp;BA326&amp;":"),";"),"L1")))))</f>
        <v>L1</v>
      </c>
      <c r="FV326" t="str">
        <f t="shared" si="761"/>
        <v>L1</v>
      </c>
      <c r="FW326" t="str">
        <f t="shared" si="762"/>
        <v>L1</v>
      </c>
      <c r="FX326" cm="1">
        <f t="array" ref="FX326">IFERROR(IF(CD326=2,_xlfn.IFS(BX326=3,VLOOKUP(BS326,Справочная_двигатели,3,FALSE),BX326=1,VLOOKUP(BS326,Справочная_двигатели,5,TRUE)),0),0)</f>
        <v>0</v>
      </c>
      <c r="FY326">
        <f>IFERROR(IF(CD326=3,VLOOKUP(BS326,Справочная_ЛЭД,2,TRUE),0),0)</f>
        <v>0</v>
      </c>
      <c r="FZ326" s="6">
        <f t="shared" si="763"/>
        <v>0</v>
      </c>
      <c r="GA326" t="str">
        <f>IF(B326="","",IF(TRIM(AH326&amp;"")&lt;&gt;"",IF(LOWER(TRIM(AH326&amp;""))="да","да","нет"),IF(IFERROR(_xlfn.XLOOKUP(BC326,Коды_код,Коды_пожарная),"")="да","да","нет")))</f>
        <v>нет</v>
      </c>
      <c r="GB326" t="str">
        <f t="shared" si="764"/>
        <v/>
      </c>
      <c r="GC326" t="str">
        <f t="shared" si="765"/>
        <v>основная</v>
      </c>
      <c r="GD326">
        <f>IF(AND(BP326=1,TRIM(AE326&amp;"")=""),IF(COUNTIFS(Линии[Щит],A326,Линии[Секция (1/2/3)],"&gt;=2")&gt;0,MIN(3,MAX(1,IFERROR(--BD326,1))),1),IFERROR(MIN(3,MAX(1,INT(--AE326))),1))</f>
        <v>1</v>
      </c>
      <c r="GE326" t="str" cm="1">
        <f t="array" ref="GE326">IF(B326="","",_xlfn.LET(_xlpm.t,IFERROR(_xlfn.XLOOKUP(1,(Шины[Шина]=GC326)*(((Шины[Щит]=A326)+(Шины[Щит]=""))&gt;0),Шины[Тип]),"")&amp;"",IF(_xlpm.t&lt;&gt;"",_xlpm.t,IF(ISNUMBER(SEARCH("ИБП",GC326)),"ИБП",IF(ISNUMBER(SEARCH("ДГУ",GC326)),"ДГУ","Ввод "&amp;GD326)))))</f>
        <v>Ввод 1</v>
      </c>
      <c r="GF326" t="str">
        <f t="shared" si="766"/>
        <v>Ввод 1</v>
      </c>
      <c r="GG326" t="str">
        <f>IF(BP326=0,"",IF(TRIM(AG326&amp;"")&lt;&gt;"",TRIM(AG326&amp;""),IF(OR(GE326="ИБП",GE326="ДГУ"),"I особая",_xlfn.XLOOKUP(A326,Щиты[Щит],Щиты[Категория шины «Ввод»],"III"))))</f>
        <v/>
      </c>
      <c r="GH326" t="str">
        <f>IF(A326="","",_xlfn.XLOOKUP(A326,Щиты[Щит],Щиты[Путь],""))</f>
        <v>|ГРЩ-ЖД|ЩС-ВК.002|</v>
      </c>
      <c r="GI326" t="str">
        <f>IF(B326="","",IF(AI326&lt;&gt;"",AI326,IF(IFERROR(_xlfn.XLOOKUP(BC326,Коды_код,Коды_вид)&amp;"","")="","Прочее",_xlfn.XLOOKUP(BC326,Коды_код,Коды_вид)&amp;"")))</f>
        <v>Насосы (водоснабжение, дренаж)</v>
      </c>
      <c r="GJ326">
        <f>IF(BM326="","",INT((BM326-1)/Столбцов_на_лист)+1)</f>
        <v>1</v>
      </c>
      <c r="GK326" t="str">
        <f t="shared" si="767"/>
        <v>ВВГнг(А)-LS (3х2,5) L=37-0,76%</v>
      </c>
      <c r="GL326">
        <f t="shared" si="768"/>
        <v>0.6</v>
      </c>
      <c r="GM326">
        <f t="shared" si="769"/>
        <v>3.25</v>
      </c>
      <c r="GN326">
        <f t="shared" si="770"/>
        <v>1</v>
      </c>
      <c r="GO326">
        <f t="shared" si="771"/>
        <v>0</v>
      </c>
      <c r="GP326">
        <f t="shared" si="772"/>
        <v>1</v>
      </c>
      <c r="GQ326">
        <f>IF(BM326="","",IF(AND(CG326=1,GP326=1),COUNTIFS(A$3:A326,A326,CG$3:CG326,1,GP$3:GP326,1),IF(OR(OR(BA326=1,A326&lt;&gt;A325),AJ326="вручную",GP326=0),"",IF(BA326=1,"",GR325))))</f>
        <v>1</v>
      </c>
      <c r="GR326">
        <f t="shared" si="773"/>
        <v>1</v>
      </c>
      <c r="GS326">
        <f>IF(B326="","",IFERROR(LOOKUP(INDEX(CHOOSE(EB326,Iдоп_1ж,Iдоп_2ж,Iдоп_3ж),MATCH(EN326,Iдоп_S,0))*DZ326*EA326,{6,10,16,20,25,32,40,50,63,80,100,125,160,200,250,315,400,500,630}),""))</f>
        <v>25</v>
      </c>
      <c r="GT326" t="str">
        <f t="shared" si="774"/>
        <v>QF1</v>
      </c>
      <c r="GU326" t="str">
        <f t="shared" si="775"/>
        <v>QF1</v>
      </c>
      <c r="GV326" t="str">
        <f t="shared" si="776"/>
        <v/>
      </c>
      <c r="GW326">
        <f t="shared" si="777"/>
        <v>0</v>
      </c>
      <c r="GX326" t="str">
        <f>IF(OR(B326="",DJ326=""),"",IFERROR(_xlfn.XLOOKUP(DJ326,Модули_умолч[Управление],Модули_умолч[Модель])&amp;"",""))</f>
        <v/>
      </c>
      <c r="GY326">
        <f>IF(DJ326="",1,IFERROR(MAX(0,N(_xlfn.XLOOKUP(DJ326,Модули_умолч[Управление],Модули_умолч[Каналов на линию]))),1))</f>
        <v>1</v>
      </c>
      <c r="GZ326" t="str">
        <f t="shared" si="778"/>
        <v/>
      </c>
      <c r="HA326" t="str">
        <f t="shared" si="779"/>
        <v/>
      </c>
      <c r="HB326" t="str">
        <f t="shared" si="780"/>
        <v/>
      </c>
      <c r="HC326">
        <f>IF(HB326="",0,IFERROR(N(VLOOKUP(HB326,Модули_спр,3,FALSE)),0))</f>
        <v>0</v>
      </c>
      <c r="HD326" t="str">
        <f t="shared" si="781"/>
        <v/>
      </c>
      <c r="HE326" t="str">
        <f t="shared" si="782"/>
        <v/>
      </c>
      <c r="HF326" t="str">
        <f>IF(OR(HE326="",HE326="-"),"",IFERROR(VLOOKUP(HE326,Модули_спр,2,FALSE),"R"))</f>
        <v/>
      </c>
      <c r="HG326" t="str">
        <f>IF(HF326="","",HF326&amp;"."&amp;COUNTIFS(A$3:A326,A326,HF$3:HF326,HF326))</f>
        <v/>
      </c>
      <c r="HH326" t="str">
        <f t="shared" si="783"/>
        <v/>
      </c>
      <c r="HI326" t="str">
        <f t="shared" si="784"/>
        <v/>
      </c>
      <c r="HJ326" t="str">
        <f t="shared" si="785"/>
        <v/>
      </c>
      <c r="HK326" t="str">
        <f t="shared" si="786"/>
        <v/>
      </c>
      <c r="HL326">
        <f t="shared" si="787"/>
        <v>1</v>
      </c>
      <c r="HM326" t="str">
        <f>IF(HL326=1,"XT"&amp;COUNTIFS(A$3:A326,A326,HL$3:HL326,1),"")</f>
        <v>XT1</v>
      </c>
      <c r="HN326" t="str">
        <f t="shared" si="788"/>
        <v>XT1</v>
      </c>
      <c r="HO326" t="str">
        <f t="shared" si="789"/>
        <v>QF1</v>
      </c>
      <c r="HP326" t="str">
        <f t="shared" si="790"/>
        <v/>
      </c>
      <c r="HQ326" t="str">
        <f t="shared" si="791"/>
        <v>ok</v>
      </c>
      <c r="HR326" t="str">
        <f>IF(OR(HJ326="",HH326=""),"",IF(HJ326+MAX(0,GY326-1)&gt;IFERROR(VLOOKUP(HI326,Модули_спр,3,FALSE),99),"ЛИШНИЙ КАНАЛ",IF(AND(AL326&lt;&gt;"=",GY326&gt;0,COUNTIFS(Линии[_модуль гр.],HH326,Линии[Канал (итог)],HJ326,Линии[Канал],"&lt;&gt;=",Линии[Щит],A326)&gt;1),"ДУБЛЬ КАНАЛА","")))</f>
        <v/>
      </c>
      <c r="HS326" s="6" t="str">
        <f t="shared" si="792"/>
        <v/>
      </c>
      <c r="HT326">
        <f t="shared" si="793"/>
        <v>10</v>
      </c>
      <c r="HU326" t="str">
        <f t="shared" si="794"/>
        <v/>
      </c>
      <c r="HV326">
        <f t="shared" si="795"/>
        <v>1.6690381056766577</v>
      </c>
      <c r="HW326">
        <f t="shared" si="796"/>
        <v>0</v>
      </c>
      <c r="HX326">
        <f t="shared" si="797"/>
        <v>0</v>
      </c>
      <c r="HY326">
        <f t="shared" si="798"/>
        <v>0</v>
      </c>
      <c r="HZ326">
        <f t="shared" si="799"/>
        <v>0</v>
      </c>
      <c r="IA326">
        <f t="shared" si="800"/>
        <v>0</v>
      </c>
      <c r="IB326">
        <f t="shared" si="801"/>
        <v>0</v>
      </c>
      <c r="IC326" t="str">
        <f t="shared" si="802"/>
        <v/>
      </c>
      <c r="ID326" t="str" cm="1">
        <f t="array" ref="ID326">IF(IC326="","",_xlfn.LET(_xlpm.tk,_xlfn.TEXTSPLIT(SUBSTITUTE(SUBSTITUTE(IC326,";"," "),"→"," ")," ",,TRUE),_xlpm.w_,_xlfn._xlws.FILTER(_xlpm.tk,ISNUMBER(--LEFT(_xlpm.tk,1))*((ISNUMBER(SEARCH("W",_xlpm.tk))+ISNUMBER(SEARCH("Вт",_xlpm.tk)))&gt;0),""),IFERROR(--SUBSTITUTE(SUBSTITUTE(UPPER(INDEX(_xlpm.w_,1)),"W",""),"ВТ",""),"")))</f>
        <v/>
      </c>
      <c r="IE326" t="str" cm="1">
        <f t="array" ref="IE326">IF(IC326="","",_xlfn.LET(_xlpm.tk,_xlfn.TEXTSPLIT(SUBSTITUTE(SUBSTITUTE(IC326,";"," "),"→"," ")," ",,TRUE),_xlpm.v_,_xlfn._xlws.FILTER(_xlpm.tk,ISNUMBER(--LEFT(_xlpm.tk,1))*((ISNUMBER(SEARCH("V",_xlpm.tk))+(RIGHT(UPPER(_xlpm.tk))="В"))&gt;0),""),IFERROR(--SUBSTITUTE(SUBSTITUTE(UPPER(INDEX(_xlpm.v_,1)),"V",""),"В",""),"")))</f>
        <v/>
      </c>
      <c r="IF326" s="6" t="str">
        <f>IF(OR(BV326=0,HI326="",HJ326=""),"",IFERROR(N(_xlfn.XLOOKUP(HI326,Каталог!$C$4:$C$500,Каталог!$Q$4:$Q$500)),""))</f>
        <v/>
      </c>
      <c r="IG326" s="6" t="str">
        <f>IF(N(IF326)=0,"",SUMIFS(Линии[Iр, А],Линии[Щит],A326,Линии[_модуль гр.],HH326,Линии[Канал (итог)],HJ326))</f>
        <v/>
      </c>
      <c r="IH326" t="str">
        <f>IF(AND(B326="",HO326=""),"",_xlfn.TEXTJOIN("; ",TRUE,IF(AND(B326&lt;&gt;"",FV326=""),"нет фазы",""),IF(AND(B326&lt;&gt;"",N(GL326)=0,FG326&lt;&gt;"Нет"),"нет мощности",""),IF(AND(HN326&lt;&gt;"",COUNTIFS(Линии[Щит],A326,Линии[Клемма (итог)],HN326)&gt;1),"дубль клеммы "&amp;HN326,""),IF(AND(HQ326&lt;&gt;"",HQ326&lt;&gt;"ok"),HQ326,""),IF(HR326&lt;&gt;"",HR326,""),IF(AND(N(CB326)&gt;=4,N(BX326)=1),CB326&amp;" жил на 1 фазе",""),IF(AND(BC326="R",CG326=1,IF(CS326&lt;&gt;"",N(CV326)&gt;30,OR(N(DA326)=0,N(DA326)&gt;30))),"розетка без дифзащиты до 30 мА",""),IF(AND(CG326=1,N(DA326)&gt;0,ISNUMBER(T326)),IF(T326&gt;N(DA326)/3,"ток утечки "&amp;FIXED(T326,1)&amp;" мА &gt; 1/3 уставки ("&amp;DA326&amp;" мА)",""),""),IF(AND(CH326=1,CS326=""),"«узо»: нет строки с УЗО выше (УЗО 2P 40А 30мА в «Аппаратах»)",""),IF(AND(CS326&lt;&gt;"",CS326=BA326),IF(CT326="","впишите номинал УЗО (УЗО 2P 40А 30мА)",IF(N(CT326)&lt;N(DT326),"УЗО "&amp;CT326&amp;" А &lt; автомата "&amp;DT326&amp;" А перед ним",IF(N(CT326)&lt;N(CX326),"УЗО "&amp;CT326&amp;" А &lt; тока блока "&amp;FIXED(CX326,1)&amp;" А",""))),""),IF(AND(CS326&lt;&gt;"",CS326=BA326,ISNUMBER(CY326)),IF(CY326&gt;N(CV326)/3,"ток утечки блока УЗО "&amp;FIXED(CY326,1)&amp;" мА &gt; 1/3 уставки ("&amp;CV326&amp;" мА)",""),""),IF(AND(CG326=1,N(BV326)+N(IB326)&gt;0,IC326=""),"линии до 50 В без БП: впишите в «Аппараты» (БП 24V 480W)",""),IF(AND(CG326=1,ISNUMBER(ID326),ISNUMBER(U326)),IF(U326&gt;ID326,"БП "&amp;ID326&amp;" Вт &lt; нужно "&amp;U326&amp;" Вт (×"&amp;Запас_БП&amp;")",""),""),IF(AND(CG326=1,ISNUMBER(IE326),N(BV326)=1),IF(IE326&lt;&gt;N(BU326),"БП на "&amp;IE326&amp;" В, линия "&amp;BU326&amp;" В",""),""),IF(AND(N(IF326)&gt;0,N(IG326)&gt;N(IF326)),HH326&amp;" канал "&amp;HJ326&amp;": "&amp;FIXED(IG326,1)&amp;" А &gt; "&amp;IF326&amp;" А",""),IFERROR(IF(AND(ISNUMBER(Q326),Q326&gt;EL326),"потери "&amp;FIXED(Q326,1)&amp;" % &gt; "&amp;EL326&amp;" %",""),""),IFERROR(IF(LEFT(HU326,4)="мало","Iкз мало — отключение &gt; 0,4 с",""),""),IF(AND(B326&lt;&gt;"",BM326=""),"не на схеме",""),IF(AND(CG326=0,B326&lt;&gt;"",FV326&lt;&gt;"",IF(BA326=1,"",FW325)&lt;&gt;"",FV326&lt;&gt;IF(BA326=1,"",FW325)),"фаза не как у автомата группы ("&amp;IF(BA326=1,"",FW325)&amp;")","")))</f>
        <v/>
      </c>
      <c r="II326" s="6">
        <f>IF(OR(CG326=0,DQ326=""),"",_xlfn.LET(_xlpm.t,IFERROR(_xlfn.XLOOKUP(DQ326,Каталог!$U$4:$U$500,Каталог!$G$4:$G$500),""),_xlpm.k,SEARCH("кА",_xlpm.t),IFERROR(--TRIM(RIGHT(SUBSTITUTE(MID(_xlpm.t,MAX(1,_xlpm.k-4),_xlpm.k-MAX(1,_xlpm.k-4))," ",REPT(" ",9)),5)),"")))</f>
        <v>6</v>
      </c>
      <c r="IJ326" t="str">
        <f>IF(OR(II326="",CG326=0),"",IF(_xlfn.XLOOKUP(A326,Щиты[Щит],Щиты[Iкз max на шинах, кА],"")="","",IF(II326&lt;_xlfn.XLOOKUP(A326,Щиты[Щит],Щиты[Iкз max на шинах, кА]),"Icu "&amp;II326&amp;" кА &lt; Iкз max","ok")))</f>
        <v/>
      </c>
      <c r="IK326" t="str">
        <f t="shared" si="803"/>
        <v/>
      </c>
      <c r="IL326" t="str">
        <f t="shared" si="804"/>
        <v>QF1|XT1</v>
      </c>
      <c r="IM326" t="str">
        <f t="shared" si="805"/>
        <v>QF1|XT1|кабель ВВГнг(А)-LS (3х2,5) → Насос дренажный, пом. 002Тб</v>
      </c>
      <c r="IN326" t="str" cm="1">
        <f t="array" ref="IN326">IF(IM326="","",_xlfn.LET(_xlpm.nd,_xlfn.TEXTSPLIT(IM326,"|"),IF(COLUMNS(_xlpm.nd)&gt;1,A326&amp;"¦"&amp;INDEX(_xlpm.nd,1)&amp;"¦"&amp;INDEX(_xlpm.nd,2),"")))</f>
        <v>ЩС-ВК.002¦QF1¦XT1</v>
      </c>
      <c r="IO326" t="str">
        <f t="shared" si="806"/>
        <v>НВК.00.002Тб.3¦Насос дренажный, пом. 002Тб</v>
      </c>
      <c r="IP326" t="str" cm="1">
        <f t="array" ref="IP326">IF(IM326="","",_xlfn.LET(_xlpm.nd,_xlfn.TEXTSPLIT(IM326,"|"),IF(COLUMNS(_xlpm.nd)&gt;2,A326&amp;"¦"&amp;INDEX(_xlpm.nd,2)&amp;"¦"&amp;INDEX(_xlpm.nd,3),"")))</f>
        <v>ЩС-ВК.002¦XT1¦кабель ВВГнг(А)-LS (3х2,5) → Насос дренажный, пом. 002Тб</v>
      </c>
      <c r="IQ326" t="str">
        <f t="shared" si="807"/>
        <v>НВК.00.002Тб.3¦Насос дренажный, пом. 002Тб</v>
      </c>
      <c r="IR326" t="str" cm="1">
        <f t="array" ref="IR326">IF(IM326="","",_xlfn.LET(_xlpm.nd,_xlfn.TEXTSPLIT(IM326,"|"),IF(COLUMNS(_xlpm.nd)&gt;3,A326&amp;"¦"&amp;INDEX(_xlpm.nd,3)&amp;"¦"&amp;INDEX(_xlpm.nd,4),"")))</f>
        <v/>
      </c>
      <c r="IS326" t="str">
        <f t="shared" si="808"/>
        <v/>
      </c>
      <c r="IT326" t="str" cm="1">
        <f t="array" ref="IT326">IF(IM326="","",_xlfn.LET(_xlpm.nd,_xlfn.TEXTSPLIT(IM326,"|"),IF(COLUMNS(_xlpm.nd)&gt;4,A326&amp;"¦"&amp;INDEX(_xlpm.nd,4)&amp;"¦"&amp;INDEX(_xlpm.nd,5),"")))</f>
        <v/>
      </c>
      <c r="IU326" t="str">
        <f t="shared" si="809"/>
        <v/>
      </c>
      <c r="IV326" t="str" cm="1">
        <f t="array" ref="IV326">IF(IM326="","",_xlfn.LET(_xlpm.nd,_xlfn.TEXTSPLIT(IM326,"|"),IF(COLUMNS(_xlpm.nd)&gt;5,A326&amp;"¦"&amp;INDEX(_xlpm.nd,5)&amp;"¦"&amp;INDEX(_xlpm.nd,6),"")))</f>
        <v/>
      </c>
      <c r="IW326" t="str">
        <f t="shared" si="810"/>
        <v/>
      </c>
      <c r="IX326" t="str" cm="1">
        <f t="array" ref="IX326">IF(IM326="","",_xlfn.LET(_xlpm.nd,_xlfn.TEXTSPLIT(IM326,"|"),IF(COLUMNS(_xlpm.nd)&gt;6,A326&amp;"¦"&amp;INDEX(_xlpm.nd,6)&amp;"¦"&amp;INDEX(_xlpm.nd,7),"")))</f>
        <v/>
      </c>
      <c r="IY326" t="str">
        <f t="shared" si="811"/>
        <v/>
      </c>
      <c r="IZ326" t="str">
        <f t="shared" si="812"/>
        <v/>
      </c>
      <c r="JA326" t="str">
        <f t="shared" si="813"/>
        <v>QF1 → XT1</v>
      </c>
      <c r="JB326">
        <f t="shared" si="814"/>
        <v>0</v>
      </c>
      <c r="JC326">
        <f t="shared" si="815"/>
        <v>0</v>
      </c>
      <c r="JD326" t="str">
        <f t="shared" si="816"/>
        <v/>
      </c>
      <c r="JE326" t="str">
        <f t="shared" si="817"/>
        <v/>
      </c>
      <c r="JF326" t="str">
        <f t="shared" si="818"/>
        <v/>
      </c>
      <c r="JG326" t="str">
        <f t="shared" si="819"/>
        <v/>
      </c>
      <c r="JH326">
        <f>IF(B326="","",IFERROR(_xlfn.XLOOKUP(B326,Коды_код,Коды_уго),IFERROR(_xlfn.XLOOKUP(BC326,Коды_код,Коды_уго),IFERROR(_xlfn.XLOOKUP(LEFT(BC326,2),Коды_код,Коды_уго),""))))</f>
        <v>0</v>
      </c>
      <c r="JI326" t="str">
        <f>IF(B326="","",IF(OR(JH326="",JH326=0),"BOX",IFERROR(IF(VLOOKUP(JH326,УГО_блоки,3,FALSE)&amp;""&lt;&gt;"",VLOOKUP(JH326,УГО_блоки,3,FALSE),VLOOKUP(JH326,УГО_блоки,2,FALSE)),JH326)))</f>
        <v>BOX</v>
      </c>
      <c r="JJ326">
        <f t="shared" si="820"/>
        <v>1</v>
      </c>
      <c r="JK326" t="str">
        <f>IF(DQ326="","",IF(COUNTIF(DQ$3:DQ326,DQ326)=1,MAX(JK$2:JK325)+1,""))</f>
        <v/>
      </c>
      <c r="JL326" t="str">
        <f>IF(DE326="","",IF(COUNTIF(DE$3:DE326,DE326)+COUNTIF(DF$2:DF325,DE326)+COUNTIF(DG$2:DG325,DE326)=1,MAX(JL$2:JN325)+1,""))</f>
        <v/>
      </c>
      <c r="JM326" t="str">
        <f>IF(DF326="","",IF(COUNTIF(DE$3:DE326,DF326)+COUNTIF(DF$3:DF326,DF326)+COUNTIF(DG$2:DG325,DF326)=1,MAX(JL$2:JN325,JL326)+1,""))</f>
        <v/>
      </c>
      <c r="JN326" t="str">
        <f>IF(DG326="","",IF(COUNTIF(DE$3:DE326,DG326)+COUNTIF(DF$3:DF326,DG326)+COUNTIF(DG$3:DG326,DG326)=1,MAX(JL$2:JN325,JL326,JM326)+1,""))</f>
        <v/>
      </c>
      <c r="JO326" t="str">
        <f t="shared" si="821"/>
        <v>3х2,5</v>
      </c>
      <c r="JP326" t="str">
        <f>IF(JO326="","",IF(COUNTIF(JO$3:JO326,JO326)=1,MAX(JP$2:JP325)+1,""))</f>
        <v/>
      </c>
      <c r="JQ326" t="str">
        <f>IF(HG326="","",COUNTIF(HG$3:HG326,"?*"))</f>
        <v/>
      </c>
      <c r="JR326" t="str">
        <f>IF(OR(HG326="",HI326=""),"",IF(COUNTIFS(HG$3:HG326,"?*",HI$3:HI326,HI326)=1,MAX(JR$2:JR325)+1,""))</f>
        <v/>
      </c>
      <c r="JS326">
        <f t="shared" si="822"/>
        <v>0</v>
      </c>
      <c r="JT326">
        <f>IF(B326="","",COUNTIF(B$3:B326,"?*"))</f>
        <v>324</v>
      </c>
      <c r="JU326">
        <f>IF(HL326&lt;&gt;1,0,_xlfn.LET(_xlpm.k,MAX(IFERROR(--_xlfn.XLOOKUP(B326,Коды_код,Коды_3L),0),IFERROR(--_xlfn.XLOOKUP(BC326,Коды_код,Коды_3L),0),IFERROR(--_xlfn.XLOOKUP(LEFT(BC326,2),Коды_код,Коды_3L),0)),IF(_xlpm.k&gt;0,_xlpm.k,IF(IFERROR(--LEFT(SUBSTITUTE(JO326,"x","х"),FIND("х",SUBSTITUTE(JO326,"x","х"))-1),3)&gt;3,Каталог!$S$9,1))))</f>
        <v>1</v>
      </c>
      <c r="JV326">
        <f t="shared" si="823"/>
        <v>0</v>
      </c>
      <c r="JW326" t="str">
        <f t="shared" si="824"/>
        <v>авто</v>
      </c>
      <c r="JX326" t="str">
        <f t="shared" si="825"/>
        <v/>
      </c>
      <c r="JY326">
        <f t="shared" si="826"/>
        <v>0</v>
      </c>
      <c r="JZ326">
        <f t="shared" si="827"/>
        <v>1</v>
      </c>
    </row>
    <row r="327" spans="1:286" x14ac:dyDescent="0.3">
      <c r="A327" t="s">
        <v>765</v>
      </c>
      <c r="B327" t="s">
        <v>1629</v>
      </c>
      <c r="C327" t="str">
        <f>Линии[[#This Row],[_авто наименование]]</f>
        <v>Насос дренажный, пом. 002Тб</v>
      </c>
      <c r="D327">
        <v>1</v>
      </c>
      <c r="E327">
        <v>0.6</v>
      </c>
      <c r="G327">
        <v>16</v>
      </c>
      <c r="H327" t="str">
        <f>Линии[[#This Row],[_авто управление]]</f>
        <v/>
      </c>
      <c r="I327" t="str">
        <f>Линии[[#This Row],[_авто аппараты]]</f>
        <v/>
      </c>
      <c r="J327">
        <v>2.5</v>
      </c>
      <c r="K327">
        <v>33</v>
      </c>
      <c r="L327">
        <v>1</v>
      </c>
      <c r="M327" t="str">
        <f>Линии[[#This Row],[_авто клемма]]</f>
        <v>XT2</v>
      </c>
      <c r="N327" t="str">
        <f t="shared" si="690"/>
        <v/>
      </c>
      <c r="O327" s="6" cm="1">
        <f t="array" ref="O327">IF(B327="","",IF(BH327&lt;&gt;"",IFERROR(_xlfn.XLOOKUP(BH327,Щиты[Щит],Щиты[Iр, А]),""),IF(BP327=1,IF(OR(N(_xlfn.XLOOKUP(A327,Щиты[Щит],Щиты[Вводов],1))&lt;=1,LOWER(TRIM(_xlfn.XLOOKUP(A327,Щиты[Щит],Щиты[АВР],"")&amp;""))="да"),IFERROR(_xlfn.XLOOKUP(A327,Щиты[Щит],Щиты[Iр, А]),""),IFERROR(N(BS327)*_xlfn.XLOOKUP(A327,Щиты[Щит],Щиты[Кс итог])/(SQRT(3)*Uн_лин*_xlfn.XLOOKUP(A327,Щиты[Щит],Щиты[cos φ])),"")),IF(BV327=1,IFERROR(BS327*1000/BU327,""),IFERROR(_xlfn.IFS(BX327=1,BS327/((Uн_лин/SQRT(3))*CE327),BX327=3,BS327/(SQRT(3)*Uн_лин*CE327)),"")))))</f>
        <v>3.2475952641916441</v>
      </c>
      <c r="P327" s="7">
        <f>IF(B327="","",IFERROR(IF(VLOOKUP(BC327,Потребители_обозначение,4,FALSE)=1,VLOOKUP(BC327,Потребители_обозначение,3,FALSE)*(MAX(1,N(D327))*2-1)+EI327+VLOOKUP(BE327,Этаж_обозначение,3,FALSE)+VLOOKUP(BE327,Этаж_обозначение,4,FALSE),VLOOKUP(BC327,Потребители_обозначение,3,FALSE)*(MAX(1,N(D327))*2-1)+EI327),EI327))</f>
        <v>36</v>
      </c>
      <c r="Q327" s="6">
        <f t="shared" si="691"/>
        <v>2.58</v>
      </c>
      <c r="R327" t="str">
        <f t="shared" si="692"/>
        <v>ВВГнг(А)-LS (3х2,5)</v>
      </c>
      <c r="S327" t="str">
        <f>IF(BM327="","",IF(BN327="вводной узел","узел ","")&amp;"л."&amp;(INT((BM327-1)/Столбцов_на_лист)+1)&amp;" / "&amp;(MOD(BM327-1,Столбцов_на_лист)+1))</f>
        <v>л.1 / 13</v>
      </c>
      <c r="T327" s="119">
        <f t="shared" si="693"/>
        <v>1.7</v>
      </c>
      <c r="U327" s="7" t="str">
        <f>IF(OR(CG327=0,N(BV327)+N(IB327)=0),"",ROUNDUP(Запас_БП*(N(HY327)+N(HZ327)),0))</f>
        <v/>
      </c>
      <c r="V327" s="119" t="str">
        <f t="shared" si="694"/>
        <v/>
      </c>
      <c r="W327" s="7" t="str">
        <f>IFERROR(IF(OR(B327="",BP327=1,BV327=1,NOT(ISNUMBER(EN327)),N(DT327)=0),"",MAX(0,ROUNDDOWN((c_min*(Uн_лин*1000/SQRT(3))/(HT327*N(DT327))-_xlfn.XLOOKUP(A327,Щиты[Щит],Щиты[Zпетли на шинах, Ом]))*EN327/(2*ρкз_Cu),0))),"")</f>
        <v/>
      </c>
      <c r="Y327" t="str">
        <f>Линии[[#This Row],[_авто утечка]]</f>
        <v/>
      </c>
      <c r="Z327">
        <v>1</v>
      </c>
      <c r="AA327">
        <v>230</v>
      </c>
      <c r="AB327" t="s">
        <v>598</v>
      </c>
      <c r="AC327">
        <v>0.7</v>
      </c>
      <c r="AG327" t="s">
        <v>810</v>
      </c>
      <c r="AI327" t="s">
        <v>604</v>
      </c>
      <c r="AK327" t="str">
        <f>Линии[[#This Row],[_авто модуль]]</f>
        <v/>
      </c>
      <c r="AM327">
        <v>13</v>
      </c>
      <c r="AN327" t="s">
        <v>11</v>
      </c>
      <c r="AO327">
        <v>3</v>
      </c>
      <c r="AQ327">
        <v>23</v>
      </c>
      <c r="AR327">
        <v>4</v>
      </c>
      <c r="AS327">
        <v>0</v>
      </c>
      <c r="AT327">
        <v>1</v>
      </c>
      <c r="BA327" cm="1">
        <f t="array" ref="BA327">ROW()-ROW(Линии[#Headers])</f>
        <v>325</v>
      </c>
      <c r="BC327" s="6" t="str">
        <f t="shared" si="695"/>
        <v>НВК</v>
      </c>
      <c r="BD327" t="str">
        <f t="shared" si="696"/>
        <v>00.002Тб.4</v>
      </c>
      <c r="BE327" t="str">
        <f t="shared" si="697"/>
        <v>00</v>
      </c>
      <c r="BF327" t="str">
        <f t="shared" si="698"/>
        <v>002Тб.4</v>
      </c>
      <c r="BG327" t="str">
        <f t="shared" si="699"/>
        <v>002Тб</v>
      </c>
      <c r="BH327" t="str">
        <f>IF(X327&lt;&gt;"",X327,IF(AND(B327&lt;&gt;"",B327&lt;&gt;A327,ISNUMBER(_xlfn.XMATCH(B327,Щиты[Щит]))),B327,""))</f>
        <v/>
      </c>
      <c r="BI327" t="str" cm="1">
        <f t="array" ref="BI327">IF(B327="","",IF(BH327&lt;&gt;"","Щит "&amp;BH327,_xlfn.LET(_xlpm.nm,IFERROR(_xlfn.XLOOKUP(BC327,Коды_код,Коды_имя)&amp;"",""),_xlpm.md,IFERROR(N(_xlfn.XLOOKUP(BC327,Коды_код,Коды_режим)),1),_xlpm.ex,IF(Имя_режим="по экспликации",IFERROR(_xlfn.XLOOKUP(BE327&amp;"|"&amp;BG327,Экспликация[Этаж]&amp;"|"&amp;Экспликация[Помещение],Экспликация[Название])&amp;"",""),""),_xlpm.rm,IF(BG327="","",IF(_xlpm.ex&lt;&gt;"",". "&amp;_xlpm.ex&amp;IF(Имя_пом="нет"," ("&amp;BG327&amp;")"," (пом. "&amp;BG327&amp;")"),IF(Имя_пом="нет"," ",", пом. ")&amp;BG327)),IF(_xlpm.nm="","",IF(_xlpm.md=2,_xlpm.nm&amp;" шлейф "&amp;BE327,_xlpm.nm&amp;_xlpm.rm)))))</f>
        <v>Насос дренажный, пом. 002Тб</v>
      </c>
      <c r="BJ327" t="str">
        <f t="shared" si="700"/>
        <v>Насос дренажный, пом. 002Тб</v>
      </c>
      <c r="BK327">
        <f>IFERROR(_xlfn.XMATCH(A327,Щиты[Щит]),0)</f>
        <v>14</v>
      </c>
      <c r="BL327">
        <f>_xlfn.LET(_xlpm.k,IFERROR(_xlfn.XLOOKUP(A327,Щиты[Щит],Щиты[Мест под вводной узел]),""),IF(_xlpm.k="",Столбцов_на_лист,N(_xlpm.k)))</f>
        <v>11</v>
      </c>
      <c r="BM327">
        <f t="shared" si="701"/>
        <v>13</v>
      </c>
      <c r="BN327" t="str">
        <f t="shared" si="702"/>
        <v>линии</v>
      </c>
      <c r="BO327" s="6">
        <f>IFERROR(N(_xlfn.XLOOKUP(BC327,Коды_код,Коды_квт)),0)</f>
        <v>0</v>
      </c>
      <c r="BP327">
        <f t="shared" si="703"/>
        <v>0</v>
      </c>
      <c r="BQ327" t="str">
        <f>IF(B327="","",IF(BH327&lt;&gt;"",IFERROR(_xlfn.XLOOKUP(BH327,Щиты[Щит],Щиты[Руст, кВт]),0),IF(BP327=1,IF(OR(N(_xlfn.XLOOKUP(A327,Щиты[Щит],Щиты[Вводов],1))&lt;=1,LOWER(TRIM(_xlfn.XLOOKUP(A327,Щиты[Щит],Щиты[АВР],"")&amp;""))="да"),IFERROR(_xlfn.XLOOKUP(A327,Щиты[Щит],Щиты[Руст, кВт]),0),SUMIFS(Линии[_Р для вводов],Линии[Щит],A327,Линии[Источник для режимов],GF327)),IF(BO327&gt;0,ROUND(BO327*MAX(1,N(D327)),3),""))))</f>
        <v/>
      </c>
      <c r="BR327">
        <f t="shared" si="704"/>
        <v>0.6</v>
      </c>
      <c r="BS327" s="6">
        <f>IF(B327="","",IF(BH327&lt;&gt;"",IFERROR(_xlfn.XLOOKUP(BH327,Щиты[Щит],Щиты[Руст, кВт]),0),N(BR327)))</f>
        <v>0.6</v>
      </c>
      <c r="BT327" t="str">
        <f>IF(B327="","",IFERROR(IF(VLOOKUP(BC327,Потребители_обозначение,8,FALSE)=0,"",VLOOKUP(BC327,Потребители_обозначение,8,FALSE)),""))</f>
        <v/>
      </c>
      <c r="BU327">
        <f t="shared" si="705"/>
        <v>230</v>
      </c>
      <c r="BV327">
        <f t="shared" si="706"/>
        <v>0</v>
      </c>
      <c r="BW327">
        <f>IF(B327="","",IF(BH327&lt;&gt;"",3,IFERROR(IF(N(VLOOKUP(BC327,Потребители_обозначение,9,FALSE))=0,1,VLOOKUP(BC327,Потребители_обозначение,9,FALSE)),1)))</f>
        <v>1</v>
      </c>
      <c r="BX327">
        <f t="shared" si="707"/>
        <v>1</v>
      </c>
      <c r="BY327" t="str">
        <f>IF(B327="","",_xlfn.LET(_xlpm.bc,IFERROR(IF(VLOOKUP(BC327,Потребители_обозначение,6,FALSE)=0,"",VLOOKUP(BC327,Потребители_обозначение,6,FALSE)&amp;""),""),IF(AND(GA327="да",OR(_xlpm.bc="",_xlpm.bc="мс")),Марка_пож,IF(AND(_xlpm.bc="",BH327&lt;&gt;""),"мс",_xlpm.bc))))</f>
        <v/>
      </c>
      <c r="BZ327" t="str">
        <f t="shared" si="708"/>
        <v>мс</v>
      </c>
      <c r="CA327">
        <f>IF(B327="","",_xlfn.LET(_xlpm.cc,IFERROR(N(VLOOKUP(BC327,Потребители_обозначение,7,FALSE)),0),IF(_xlpm.cc&gt;0,_xlpm.cc,IF(BZ327="","",IF(BV327=1,2,IF(N(BX327)=3,5,3))))))</f>
        <v>3</v>
      </c>
      <c r="CB327">
        <f t="shared" si="709"/>
        <v>3</v>
      </c>
      <c r="CC327">
        <f>IFERROR(N(VLOOKUP(BC327,Потребители_обозначение,10,FALSE)),0)</f>
        <v>0</v>
      </c>
      <c r="CD327">
        <f>IFERROR(VLOOKUP(BC327,Потребители_обозначение,5,FALSE),0)</f>
        <v>1</v>
      </c>
      <c r="CE327" s="6" cm="1">
        <f t="array" ref="CE327">IF(B327="","",IF(BH327&lt;&gt;"",IFERROR(_xlfn.XLOOKUP(BH327,Щиты[Щит],Щиты[cos φ]),0.95),IF(BP327=1,IFERROR(_xlfn.XLOOKUP(A327,Щиты[Щит],Щиты[cos φ]),0.95),IF(ISNUMBER(AD327),AD327,IFERROR(IF(CD327=2,_xlfn.IFS(BX327=3,VLOOKUP(BS327,Справочная_двигатели,8,FALSE),BX327=1,VLOOKUP(BS327,Справочная_двигатели,10,TRUE)),IF(AND(Методика="нормы 2026",FG327="Сил"),0.8,0.95)),0.95)))))</f>
        <v>0.8</v>
      </c>
      <c r="CF327">
        <f t="shared" si="710"/>
        <v>0</v>
      </c>
      <c r="CG327">
        <f t="shared" si="711"/>
        <v>1</v>
      </c>
      <c r="CH327">
        <f t="shared" si="712"/>
        <v>0</v>
      </c>
      <c r="CI327">
        <f>IF(B327="","",IF(BV327=1,IFERROR(BS327/((Uн_лин/SQRT(3))*MAX(0.5,N(CE327))),0),N(O327)))</f>
        <v>3.2475952641916441</v>
      </c>
      <c r="CJ327">
        <f t="shared" si="713"/>
        <v>0</v>
      </c>
      <c r="CK327">
        <f t="shared" si="714"/>
        <v>0</v>
      </c>
      <c r="CL327">
        <f t="shared" si="715"/>
        <v>0</v>
      </c>
      <c r="CM327">
        <f t="shared" si="716"/>
        <v>0</v>
      </c>
      <c r="CN327">
        <f t="shared" si="717"/>
        <v>0</v>
      </c>
      <c r="CO327">
        <f>IF(BC327="",0,_xlfn.LET(_xlpm.v,IFERROR(_xlfn.XLOOKUP(B327,Коды_код,Коды_мА),IFERROR(_xlfn.XLOOKUP(BC327,Коды_код,Коды_мА),IFERROR(_xlfn.XLOOKUP(LEFT(BC327,2),Коды_код,Коды_мА),""))),IF(_xlpm.v="да",30,IF(ISNUMBER(_xlpm.v),_xlpm.v,0))))</f>
        <v>0</v>
      </c>
      <c r="CP327" t="str">
        <f t="shared" si="718"/>
        <v/>
      </c>
      <c r="CQ327" t="str">
        <f>_xlfn.LET(_xlpm.k,IFERROR(_xlfn.XLOOKUP(BC327,Коды_код,Коды_утечка)&amp;"",""),IF(_xlpm.k="","дифавтомат",_xlpm.k))</f>
        <v>дифавтомат</v>
      </c>
      <c r="CR327" t="str" cm="1">
        <f t="array" ref="CR327">IF(CG327=0,"",_xlfn.LET(_xlpm.sg,TRIM(_xlfn.TEXTSPLIT(DD327&amp;"",";")),_xlpm.f_,_xlfn._xlws.FILTER(_xlpm.sg,LEFT(_xlpm.sg,3)="УЗО",""),IFERROR(INDEX(_xlpm.f_,1)&amp;"","")))</f>
        <v/>
      </c>
      <c r="CS327" t="str">
        <f t="shared" si="719"/>
        <v/>
      </c>
      <c r="CT327" s="6" t="str" cm="1">
        <f t="array" ref="CT327">IF(CR327="","",_xlfn.LET(_xlpm.tk,_xlfn.TEXTSPLIT(UPPER(CR327)," ",,TRUE),_xlpm.a_,_xlfn._xlws.FILTER(_xlpm.tk,ISNUMBER(--LEFT(_xlpm.tk,1))*((ISNUMBER(SEARCH("А",_xlpm.tk))+ISNUMBER(SEARCH("A",_xlpm.tk)))&gt;0)*NOT(ISNUMBER(SEARCH("МА",_xlpm.tk)))*NOT(ISNUMBER(SEARCH("MA",_xlpm.tk))),""),IFERROR(--SUBSTITUTE(SUBSTITUTE(INDEX(_xlpm.a_,1),"А",""),"A",""),"")))</f>
        <v/>
      </c>
      <c r="CU327" t="str" cm="1">
        <f t="array" ref="CU327">IF(CR327="","",_xlfn.LET(_xlpm.tk,_xlfn.TEXTSPLIT(UPPER(CR327)," ",,TRUE),_xlpm.a_,_xlfn._xlws.FILTER(_xlpm.tk,ISNUMBER(--LEFT(_xlpm.tk,1))*((ISNUMBER(SEARCH("МА",_xlpm.tk))+ISNUMBER(SEARCH("MA",_xlpm.tk)))&gt;0),""),IFERROR(--SUBSTITUTE(SUBSTITUTE(INDEX(_xlpm.a_,1),"МА",""),"MA",""),30)))</f>
        <v/>
      </c>
      <c r="CV327" t="str">
        <f>IF(CS327="","",IFERROR(_xlfn.XLOOKUP(CS327,Линии[_n],Линии[_УЗО, мА]),30))</f>
        <v/>
      </c>
      <c r="CW327">
        <f>IF(CS327="",0,IF(ISNUMBER(SEARCH("4P",IFERROR(_xlfn.XLOOKUP(CS327,Линии[_n],Линии[_УЗО строки])&amp;"",""))),0,1))</f>
        <v>0</v>
      </c>
      <c r="CX327" t="str">
        <f>IF(AND(CS327&lt;&gt;"",CS327=BA327),SUMIFS(Линии[_ток на 230 В],Линии[_блок УЗО],BA327,Линии[Щит],A327),"")</f>
        <v/>
      </c>
      <c r="CY327" t="str">
        <f>IF(AND(CS327&lt;&gt;"",CS327=BA327),SUMIFS(Линии[_ток утечки линии, мА],Линии[_блок УЗО],BA327,Линии[Щит],A327),"")</f>
        <v/>
      </c>
      <c r="CZ327">
        <f t="shared" si="720"/>
        <v>0</v>
      </c>
      <c r="DA327">
        <f t="shared" si="721"/>
        <v>0</v>
      </c>
      <c r="DB327">
        <f>IF(B327="",0,IFERROR(--_xlfn.XLOOKUP(B327,Коды_код,Коды_минавт),IFERROR(--_xlfn.XLOOKUP(BC327,Коды_код,Коды_минавт),IFERROR(--_xlfn.XLOOKUP(LEFT(BC327,2),Коды_код,Коды_минавт),0))))</f>
        <v>0</v>
      </c>
      <c r="DC327" t="str">
        <f>IF(B327="","",IFERROR(_xlfn.XLOOKUP(BC327,Коды_код,Коды_апп)&amp;"",""))</f>
        <v/>
      </c>
      <c r="DD327" t="str">
        <f t="shared" si="722"/>
        <v/>
      </c>
      <c r="DE327" t="str" cm="1">
        <f t="array" ref="DE327">IF(TRIM(DD327&amp;"")="","",IFERROR(TRIM(INDEX(_xlfn.TEXTSPLIT(DD327&amp;";;;",";"),1)),""))</f>
        <v/>
      </c>
      <c r="DF327" t="str" cm="1">
        <f t="array" ref="DF327">IF(TRIM(DD327&amp;"")="","",IFERROR(TRIM(INDEX(_xlfn.TEXTSPLIT(DD327&amp;";;;",";"),2)),""))</f>
        <v/>
      </c>
      <c r="DG327" t="str" cm="1">
        <f t="array" ref="DG327">IF(TRIM(DD327&amp;"")="","",IFERROR(TRIM(INDEX(_xlfn.TEXTSPLIT(DD327&amp;";;;",";"),3)),""))</f>
        <v/>
      </c>
      <c r="DH327">
        <f t="shared" si="723"/>
        <v>0</v>
      </c>
      <c r="DI327" t="str">
        <f>IF(B327="","",_xlfn.LET(_xlpm.t,LOWER(AZ327&amp;""),IF(ISNUMBER(SEARCH("dim",_xlpm.t)),"DIM",IF(ISNUMBER(SEARCH("dali",_xlpm.t)),"DALI",IF(OR(ISNUMBER(SEARCH("relay",_xlpm.t)),ISNUMBER(SEARCH("реле",_xlpm.t))),"Relay",IF(ISNUMBER(SEARCH("кнопк",_xlpm.t)),"",IFERROR(_xlfn.XLOOKUP(BC327,Коды_код,Коды_упр)&amp;"","")))))))</f>
        <v/>
      </c>
      <c r="DJ327" t="str">
        <f t="shared" si="724"/>
        <v/>
      </c>
      <c r="DK327">
        <f>IF(B327="","",_xlfn.LET(_xlpm.ig,IF(N(CX327)&gt;0,N(CX327),N(CI327)+IF(AJ327="вручную",0,N(CJ327))),_xlpm.n0,IFERROR(VLOOKUP(_xlpm.ig,Автомат_номиналы,2,TRUE),0),_xlpm.mn,MAX(DB327,IF(AJ327="вручную",0,N(CM327))),MAX(_xlpm.n0,_xlpm.mn,IF(DH327=1,Мин_автомат_БП,0))))</f>
        <v>6</v>
      </c>
      <c r="DL327">
        <f t="shared" si="725"/>
        <v>1</v>
      </c>
      <c r="DM327" t="str">
        <f t="shared" si="726"/>
        <v>1P</v>
      </c>
      <c r="DN327" t="str">
        <f>_xlfn.LET(_xlpm.cc,UPPER(TRIM(IFERROR(_xlfn.XLOOKUP(BC327,Коды_код,Коды_хар)&amp;"",""))),IF(OR(_xlpm.cc="B",_xlpm.cc="В"),"B",IF(_xlpm.cc="D","D","С")))</f>
        <v>С</v>
      </c>
      <c r="DO327" t="str">
        <f t="shared" si="727"/>
        <v>1P С6А</v>
      </c>
      <c r="DP327">
        <f t="shared" si="728"/>
        <v>16</v>
      </c>
      <c r="DQ327" t="str">
        <f t="shared" si="729"/>
        <v>1P С16А</v>
      </c>
      <c r="DR327" cm="1">
        <f t="array" ref="DR327">IF(DQ327="","",_xlfn.LET(_xlpm.t,SUBSTITUTE(SUBSTITUTE(SUBSTITUTE(UPPER(DQ327),"С","C"),"А","A"),"В","B"),_xlpm.tk,_xlfn.TEXTSPLIT(_xlpm.t," "),_xlpm.f,_xlfn._xlws.FILTER(_xlpm.tk,ISNUMBER(--MID(_xlpm.tk,2,1))*ISNUMBER(SEARCH(LEFT(_xlpm.tk,1)&amp;"#","B#C#D#"))*(LEN(_xlpm.tk)&gt;1),""),_xlpm.x,INDEX(_xlpm.f,1),IFERROR(--SUBSTITUTE(MID(_xlpm.x,2,9),"A",""),IFERROR(--SUBSTITUTE(INDEX(_xlfn._xlws.FILTER(_xlpm.tk,ISNUMBER(--SUBSTITUTE(_xlpm.tk,"A","")),""),1),"A",""),""))))</f>
        <v>16</v>
      </c>
      <c r="DS327" t="str">
        <f t="shared" si="730"/>
        <v>ok</v>
      </c>
      <c r="DT327">
        <f t="shared" si="731"/>
        <v>16</v>
      </c>
      <c r="DU327" t="str">
        <f t="shared" si="732"/>
        <v>1P С16А</v>
      </c>
      <c r="DV327">
        <f t="shared" si="733"/>
        <v>0</v>
      </c>
      <c r="DW327">
        <f t="shared" si="734"/>
        <v>0</v>
      </c>
      <c r="DX327">
        <f t="shared" si="735"/>
        <v>0</v>
      </c>
      <c r="DY327">
        <f t="shared" si="736"/>
        <v>3.2475952641916441</v>
      </c>
      <c r="DZ327">
        <f t="shared" si="737"/>
        <v>1</v>
      </c>
      <c r="EA327">
        <f>IF(ISNUMBER(AP327),AP327,К_прокл)</f>
        <v>1</v>
      </c>
      <c r="EB327">
        <f t="shared" si="738"/>
        <v>2</v>
      </c>
      <c r="EC327">
        <f>IFERROR(N(VLOOKUP(BZ327,Кабель_обозначение,3,FALSE)),1)</f>
        <v>1</v>
      </c>
      <c r="ED327">
        <f>IFERROR(N(_xlfn.XLOOKUP(A327,Щиты[Щит],Щиты[ΔU до шин, %])),0)</f>
        <v>1.84</v>
      </c>
      <c r="EE327" t="str">
        <f>IFERROR(_xlfn.XLOOKUP(A327,Щиты[Щит],Щиты[Zпетли на шинах, Ом]),"")</f>
        <v/>
      </c>
      <c r="EF327">
        <f>IFERROR(N(_xlfn.XLOOKUP(A327,Щиты[Щит],Щиты[ΔU до шин (подбор), %])),0)</f>
        <v>4.8499999999999996</v>
      </c>
      <c r="EG327" t="str">
        <f>IFERROR(_xlfn.XLOOKUP(A327,Щиты[Щит],Щиты[Zпетли на шинах (подбор), Ом]),"")</f>
        <v/>
      </c>
      <c r="EH327" t="str">
        <f t="shared" si="739"/>
        <v/>
      </c>
      <c r="EI327">
        <f t="shared" si="740"/>
        <v>33</v>
      </c>
      <c r="EJ327">
        <f t="shared" si="741"/>
        <v>2</v>
      </c>
      <c r="EK327">
        <f t="shared" si="742"/>
        <v>0.6</v>
      </c>
      <c r="EL327" s="6">
        <f>IF(B327="","",IF(BV327=1,dU_LED,IF(IFERROR(_xlfn.XLOOKUP(BC327,Коды_код,Коды_уго),"")="Светильник",3,4)+IF(Методика="нормы 2026",MIN(0.5,MAX(0,N(P327)-100)*0.005),0)))</f>
        <v>4</v>
      </c>
      <c r="EM327" t="str" cm="1">
        <f t="array" ref="EM327">IF(OR(B327="",BZ327="",EC327&lt;&gt;1),"",_xlfn.LET(_xlpm.sz,Iдоп_S,_xlpm.t_,CHOOSE(EB327,Iдоп_1ж,Iдоп_2ж,Iдоп_3ж)*DZ327*EA327,_xlpm.dcx,BV327=1,_xlpm.inn,IF(_xlpm.dcx,N(O327),N(DT327)),_xlpm.smin,MAX(1.5,CC327),_xlpm.L_,N(P327)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327)/N(BU327)*100,999),IFERROR(N(EJ327)*(_xlpm.rho*_xlpm.L_/_xlpm.sz*N(CE327)+_xlpm.xx*_xlpm.L_*N(EK327)/1000)*N(O327)/((Uн_лин/SQRT(3))*1000)*100,999)),_xlpm.kz,IF(OR(_xlpm.dcx,DW327=1,NOT(ISNUMBER(EG327)),_xlpm.L_=0,_xlpm.inn=0),1,IFERROR(--(c_min*(Uн_лин*1000/SQRT(3))/(EG327+2*ρкз_Cu*_xlpm.L_/_xlpm.sz)&gt;=HT327*_xlpm.inn),0)),_xlpm.ok,IFERROR((_xlpm.sz&gt;=_xlpm.smin)*(_xlpm.t_&gt;=_xlpm.inn)*IF(_xlpm.L_&gt;0,(_xlpm.du_+IF(_xlpm.dcx,0,EF327)&lt;=EL327+0.00001),1)*_xlpm.kz,0),_xlpm.r_,_xlfn._xlws.FILTER(_xlpm.sz,_xlpm.ok,"не подобрано"),INDEX(_xlpm.r_,1)))</f>
        <v>не подобрано</v>
      </c>
      <c r="EN327">
        <f t="shared" si="743"/>
        <v>2.5</v>
      </c>
      <c r="EO327" cm="1">
        <f t="array" ref="EO327">IF(OR(B327="",BZ327="",EC327&lt;&gt;1),"",_xlfn.LET(_xlpm.sz,Iдоп_S,_xlpm.t_,CHOOSE(EB327,Iдоп_1ж,Iдоп_2ж,Iдоп_3ж)*DZ327*EA327,_xlpm.ok,IFERROR((_xlpm.sz&gt;=MAX(1.5,CC327))*(_xlpm.t_&gt;=N(DT327)),0),_xlpm.r_,_xlfn._xlws.FILTER(_xlpm.sz,_xlpm.ok,""),INDEX(_xlpm.r_,1)))</f>
        <v>1.5</v>
      </c>
      <c r="EP327" s="6" cm="1">
        <f t="array" ref="EP327">IFERROR(ROUNDUP(N(EJ327)*(_xlfn.XLOOKUP(EO327,INDEX(Кабель_сопротивление,0,1),INDEX(Кабель_сопротивление,0,3))*N(P327)/EO327*N(CE327)+_xlfn.XLOOKUP(EO327,INDEX(Кабель_сопротивление,0,1),INDEX(Кабель_сопротивление,0,2))*N(P327)*N(EK327)/1000)*N(O327)/((Uн_лин/SQRT(3))*1000)*100,2),"")</f>
        <v>1.23</v>
      </c>
      <c r="EQ327">
        <f>IFERROR(2*ρкз_Cu*N(P327)/EO327,"")</f>
        <v>1.2624</v>
      </c>
      <c r="ER327">
        <f>IFERROR(VLOOKUP(EN327,Кабель_сопротивление,3,FALSE),"")</f>
        <v>2.2499999999999999E-2</v>
      </c>
      <c r="ES327">
        <f>IFERROR(VLOOKUP(EN327,Кабель_сопротивление,2,FALSE),"")</f>
        <v>0.1</v>
      </c>
      <c r="ET327">
        <f t="shared" si="744"/>
        <v>4</v>
      </c>
      <c r="EU327">
        <f t="shared" si="745"/>
        <v>0</v>
      </c>
      <c r="EV327">
        <f t="shared" si="746"/>
        <v>1.6975829964982561</v>
      </c>
      <c r="EW327" s="6">
        <f>IFERROR(ROUNDUP(EV327/IF(BV327=1,BU327,(Uн_лин/SQRT(3))*1000)*100,2),"")</f>
        <v>0.74</v>
      </c>
      <c r="EX327" t="str">
        <f>IFERROR(VLOOKUP(BZ327,Кабель_обозначение,2,FALSE),"")</f>
        <v>ВВГнг(А)-LS</v>
      </c>
      <c r="EY327" t="str">
        <f t="shared" si="747"/>
        <v>ВВГнг(А)-LS (3х2,5)</v>
      </c>
      <c r="EZ327" t="str">
        <f t="shared" si="748"/>
        <v>ВВГнг(А)-LS (3х2,5)
L=36-0,74%</v>
      </c>
      <c r="FA327">
        <f>IFERROR(2*ρкз_Cu*P327/EN327,"")</f>
        <v>0.75744</v>
      </c>
      <c r="FB327">
        <f t="shared" si="749"/>
        <v>0.25200000000000006</v>
      </c>
      <c r="FC327" s="6" t="str">
        <f>IFERROR(IF(OR(B327="",BV327=1,NOT(ISNUMBER(EN327)),N(P327)=0),"",_xlfn.XLOOKUP(A327,Щиты[Щит],Щиты[Zпетли на шинах, Ом])+FA327),"")</f>
        <v/>
      </c>
      <c r="FD327" s="6" t="str">
        <f>IF(ISNUMBER(FC327),c_min*(Uн_лин*1000/SQRT(3))/FC327,"")</f>
        <v/>
      </c>
      <c r="FE327" s="6" t="str">
        <f>IFERROR(IF(OR(B327="",NOT(ISNUMBER(EN327))),"",1.05*(Uн_лин*1000/SQRT(3))/(_xlfn.XLOOKUP(A327,Щиты[Щит],Щиты[Zmax на шинах, Ом])+FB327)/1000),"")</f>
        <v/>
      </c>
      <c r="FF327" s="6" t="str">
        <f>IF(B327="","",IF(ISNUMBER(AC327),"Сил",IF(IFERROR(_xlfn.XLOOKUP(BC327,Коды_код,Коды_группа)&amp;"","")="","Быт",_xlfn.XLOOKUP(BC327,Коды_код,Коды_группа)&amp;"")))</f>
        <v>Сил</v>
      </c>
      <c r="FG327" s="6" t="str">
        <f t="shared" si="750"/>
        <v>Сил</v>
      </c>
      <c r="FH327" s="6">
        <f>IF(FG327="Щит","щит",IF(FG327="","",IF(FG327="Быт",IFERROR(_xlfn.XLOOKUP(A327,Щиты[Щит],Щиты[Кс быт]),1),IF(FG327="Сил",IF(ISNUMBER(AC327),AC327,IF(Методика="нормы 2026",IFERROR(_xlfn.XLOOKUP(A327,Щиты[Щит],Щиты[Кс силовых (табл. 7.5)]),1),1)),IF(OR(FG327="Пост",FG327="Отоп"),1,IF(FG327="ВНГ",0.7,0))))))</f>
        <v>0.7</v>
      </c>
      <c r="FI327">
        <f>IF(FG327="","",IF(AND(BP327=1,TRIM(AE327&amp;"")=""),IF(COUNTIFS(Линии[Щит],A327,Линии[Секция (1/2/3)],"&gt;=2")&gt;0,MIN(3,MAX(1,IFERROR(--BD327,1))),1),IFERROR(MIN(3,MAX(1,INT(--AE327))),1)))</f>
        <v>1</v>
      </c>
      <c r="FJ327">
        <f t="shared" si="751"/>
        <v>0.6</v>
      </c>
      <c r="FK327">
        <f t="shared" si="752"/>
        <v>0</v>
      </c>
      <c r="FL327">
        <f t="shared" si="753"/>
        <v>0.42</v>
      </c>
      <c r="FM327">
        <f t="shared" si="754"/>
        <v>0</v>
      </c>
      <c r="FN327">
        <f t="shared" si="755"/>
        <v>0</v>
      </c>
      <c r="FO327">
        <f t="shared" si="756"/>
        <v>0</v>
      </c>
      <c r="FP327">
        <f t="shared" si="757"/>
        <v>0.6</v>
      </c>
      <c r="FQ327">
        <f t="shared" si="758"/>
        <v>0.6</v>
      </c>
      <c r="FR327">
        <f t="shared" si="759"/>
        <v>0.48</v>
      </c>
      <c r="FS327">
        <f>IF(CG327=1,IF(AND(CH327=1,CW327=1),0,IF(AND(CS327&lt;&gt;"",CS327=BA327,CW327=1),SUMIFS(Линии[_Р линии, кВт],Линии[_блок УЗО],BA327,Линии[Щит],A327),N(BS327)+IF(AJ327="вручную",0,N(CK327)))),0)</f>
        <v>0.6</v>
      </c>
      <c r="FT327" t="str">
        <f t="shared" si="760"/>
        <v>L1</v>
      </c>
      <c r="FU327" t="str">
        <f>IF(B327="","",IF(CG327=0,IF(BA327=1,"",FW326),IF(AND(CH327=1,CW327=1,CS327&lt;&gt;""),IFERROR(_xlfn.XLOOKUP(CS327,Линии[_n],Линии[_фаза итог]),"L1"),IF(OR(N(DL327)&gt;=3,N(BX327)&gt;=3),"L1,L2,L3",IFERROR(_xlfn.TEXTBEFORE(_xlfn.TEXTAFTER(_xlfn.XLOOKUP(A327,Щиты[Щит],Щиты[_фазы авто]),";"&amp;BA327&amp;":"),";"),"L1")))))</f>
        <v>L1</v>
      </c>
      <c r="FV327" t="str">
        <f t="shared" si="761"/>
        <v>L1</v>
      </c>
      <c r="FW327" t="str">
        <f t="shared" si="762"/>
        <v>L1</v>
      </c>
      <c r="FX327" cm="1">
        <f t="array" ref="FX327">IFERROR(IF(CD327=2,_xlfn.IFS(BX327=3,VLOOKUP(BS327,Справочная_двигатели,3,FALSE),BX327=1,VLOOKUP(BS327,Справочная_двигатели,5,TRUE)),0),0)</f>
        <v>0</v>
      </c>
      <c r="FY327">
        <f>IFERROR(IF(CD327=3,VLOOKUP(BS327,Справочная_ЛЭД,2,TRUE),0),0)</f>
        <v>0</v>
      </c>
      <c r="FZ327" s="6">
        <f t="shared" si="763"/>
        <v>0</v>
      </c>
      <c r="GA327" t="str">
        <f>IF(B327="","",IF(TRIM(AH327&amp;"")&lt;&gt;"",IF(LOWER(TRIM(AH327&amp;""))="да","да","нет"),IF(IFERROR(_xlfn.XLOOKUP(BC327,Коды_код,Коды_пожарная),"")="да","да","нет")))</f>
        <v>нет</v>
      </c>
      <c r="GB327" t="str">
        <f t="shared" si="764"/>
        <v/>
      </c>
      <c r="GC327" t="str">
        <f t="shared" si="765"/>
        <v>основная</v>
      </c>
      <c r="GD327">
        <f>IF(AND(BP327=1,TRIM(AE327&amp;"")=""),IF(COUNTIFS(Линии[Щит],A327,Линии[Секция (1/2/3)],"&gt;=2")&gt;0,MIN(3,MAX(1,IFERROR(--BD327,1))),1),IFERROR(MIN(3,MAX(1,INT(--AE327))),1))</f>
        <v>1</v>
      </c>
      <c r="GE327" t="str" cm="1">
        <f t="array" ref="GE327">IF(B327="","",_xlfn.LET(_xlpm.t,IFERROR(_xlfn.XLOOKUP(1,(Шины[Шина]=GC327)*(((Шины[Щит]=A327)+(Шины[Щит]=""))&gt;0),Шины[Тип]),"")&amp;"",IF(_xlpm.t&lt;&gt;"",_xlpm.t,IF(ISNUMBER(SEARCH("ИБП",GC327)),"ИБП",IF(ISNUMBER(SEARCH("ДГУ",GC327)),"ДГУ","Ввод "&amp;GD327)))))</f>
        <v>Ввод 1</v>
      </c>
      <c r="GF327" t="str">
        <f t="shared" si="766"/>
        <v>Ввод 1</v>
      </c>
      <c r="GG327" t="str">
        <f>IF(BP327=0,"",IF(TRIM(AG327&amp;"")&lt;&gt;"",TRIM(AG327&amp;""),IF(OR(GE327="ИБП",GE327="ДГУ"),"I особая",_xlfn.XLOOKUP(A327,Щиты[Щит],Щиты[Категория шины «Ввод»],"III"))))</f>
        <v/>
      </c>
      <c r="GH327" t="str">
        <f>IF(A327="","",_xlfn.XLOOKUP(A327,Щиты[Щит],Щиты[Путь],""))</f>
        <v>|ГРЩ-ЖД|ЩС-ВК.002|</v>
      </c>
      <c r="GI327" t="str">
        <f>IF(B327="","",IF(AI327&lt;&gt;"",AI327,IF(IFERROR(_xlfn.XLOOKUP(BC327,Коды_код,Коды_вид)&amp;"","")="","Прочее",_xlfn.XLOOKUP(BC327,Коды_код,Коды_вид)&amp;"")))</f>
        <v>Насосы (водоснабжение, дренаж)</v>
      </c>
      <c r="GJ327">
        <f>IF(BM327="","",INT((BM327-1)/Столбцов_на_лист)+1)</f>
        <v>1</v>
      </c>
      <c r="GK327" t="str">
        <f t="shared" si="767"/>
        <v>ВВГнг(А)-LS (3х2,5) L=36-0,74%</v>
      </c>
      <c r="GL327">
        <f t="shared" si="768"/>
        <v>0.6</v>
      </c>
      <c r="GM327">
        <f t="shared" si="769"/>
        <v>3.25</v>
      </c>
      <c r="GN327">
        <f t="shared" si="770"/>
        <v>1</v>
      </c>
      <c r="GO327">
        <f t="shared" si="771"/>
        <v>0</v>
      </c>
      <c r="GP327">
        <f t="shared" si="772"/>
        <v>1</v>
      </c>
      <c r="GQ327">
        <f>IF(BM327="","",IF(AND(CG327=1,GP327=1),COUNTIFS(A$3:A327,A327,CG$3:CG327,1,GP$3:GP327,1),IF(OR(OR(BA327=1,A327&lt;&gt;A326),AJ327="вручную",GP327=0),"",IF(BA327=1,"",GR326))))</f>
        <v>2</v>
      </c>
      <c r="GR327">
        <f t="shared" si="773"/>
        <v>2</v>
      </c>
      <c r="GS327">
        <f>IF(B327="","",IFERROR(LOOKUP(INDEX(CHOOSE(EB327,Iдоп_1ж,Iдоп_2ж,Iдоп_3ж),MATCH(EN327,Iдоп_S,0))*DZ327*EA327,{6,10,16,20,25,32,40,50,63,80,100,125,160,200,250,315,400,500,630}),""))</f>
        <v>25</v>
      </c>
      <c r="GT327" t="str">
        <f t="shared" si="774"/>
        <v>QF2</v>
      </c>
      <c r="GU327" t="str">
        <f t="shared" si="775"/>
        <v>QF2</v>
      </c>
      <c r="GV327" t="str">
        <f t="shared" si="776"/>
        <v/>
      </c>
      <c r="GW327">
        <f t="shared" si="777"/>
        <v>0</v>
      </c>
      <c r="GX327" t="str">
        <f>IF(OR(B327="",DJ327=""),"",IFERROR(_xlfn.XLOOKUP(DJ327,Модули_умолч[Управление],Модули_умолч[Модель])&amp;"",""))</f>
        <v/>
      </c>
      <c r="GY327">
        <f>IF(DJ327="",1,IFERROR(MAX(0,N(_xlfn.XLOOKUP(DJ327,Модули_умолч[Управление],Модули_умолч[Каналов на линию]))),1))</f>
        <v>1</v>
      </c>
      <c r="GZ327" t="str">
        <f t="shared" si="778"/>
        <v/>
      </c>
      <c r="HA327" t="str">
        <f t="shared" si="779"/>
        <v/>
      </c>
      <c r="HB327" t="str">
        <f t="shared" si="780"/>
        <v/>
      </c>
      <c r="HC327">
        <f>IF(HB327="",0,IFERROR(N(VLOOKUP(HB327,Модули_спр,3,FALSE)),0))</f>
        <v>0</v>
      </c>
      <c r="HD327" t="str">
        <f t="shared" si="781"/>
        <v/>
      </c>
      <c r="HE327" t="str">
        <f t="shared" si="782"/>
        <v/>
      </c>
      <c r="HF327" t="str">
        <f>IF(OR(HE327="",HE327="-"),"",IFERROR(VLOOKUP(HE327,Модули_спр,2,FALSE),"R"))</f>
        <v/>
      </c>
      <c r="HG327" t="str">
        <f>IF(HF327="","",HF327&amp;"."&amp;COUNTIFS(A$3:A327,A327,HF$3:HF327,HF327))</f>
        <v/>
      </c>
      <c r="HH327" t="str">
        <f t="shared" si="783"/>
        <v/>
      </c>
      <c r="HI327" t="str">
        <f t="shared" si="784"/>
        <v/>
      </c>
      <c r="HJ327" t="str">
        <f t="shared" si="785"/>
        <v/>
      </c>
      <c r="HK327" t="str">
        <f t="shared" si="786"/>
        <v/>
      </c>
      <c r="HL327">
        <f t="shared" si="787"/>
        <v>1</v>
      </c>
      <c r="HM327" t="str">
        <f>IF(HL327=1,"XT"&amp;COUNTIFS(A$3:A327,A327,HL$3:HL327,1),"")</f>
        <v>XT2</v>
      </c>
      <c r="HN327" t="str">
        <f t="shared" si="788"/>
        <v>XT2</v>
      </c>
      <c r="HO327" t="str">
        <f t="shared" si="789"/>
        <v>QF2</v>
      </c>
      <c r="HP327" t="str">
        <f t="shared" si="790"/>
        <v/>
      </c>
      <c r="HQ327" t="str">
        <f t="shared" si="791"/>
        <v>ok</v>
      </c>
      <c r="HR327" t="str">
        <f>IF(OR(HJ327="",HH327=""),"",IF(HJ327+MAX(0,GY327-1)&gt;IFERROR(VLOOKUP(HI327,Модули_спр,3,FALSE),99),"ЛИШНИЙ КАНАЛ",IF(AND(AL327&lt;&gt;"=",GY327&gt;0,COUNTIFS(Линии[_модуль гр.],HH327,Линии[Канал (итог)],HJ327,Линии[Канал],"&lt;&gt;=",Линии[Щит],A327)&gt;1),"ДУБЛЬ КАНАЛА","")))</f>
        <v/>
      </c>
      <c r="HS327" s="6" t="str">
        <f t="shared" si="792"/>
        <v/>
      </c>
      <c r="HT327">
        <f t="shared" si="793"/>
        <v>10</v>
      </c>
      <c r="HU327" t="str">
        <f t="shared" si="794"/>
        <v/>
      </c>
      <c r="HV327">
        <f t="shared" si="795"/>
        <v>1.6590381056766579</v>
      </c>
      <c r="HW327">
        <f t="shared" si="796"/>
        <v>0</v>
      </c>
      <c r="HX327">
        <f t="shared" si="797"/>
        <v>0</v>
      </c>
      <c r="HY327">
        <f t="shared" si="798"/>
        <v>0</v>
      </c>
      <c r="HZ327">
        <f t="shared" si="799"/>
        <v>0</v>
      </c>
      <c r="IA327">
        <f t="shared" si="800"/>
        <v>0</v>
      </c>
      <c r="IB327">
        <f t="shared" si="801"/>
        <v>0</v>
      </c>
      <c r="IC327" t="str">
        <f t="shared" si="802"/>
        <v/>
      </c>
      <c r="ID327" t="str" cm="1">
        <f t="array" ref="ID327">IF(IC327="","",_xlfn.LET(_xlpm.tk,_xlfn.TEXTSPLIT(SUBSTITUTE(SUBSTITUTE(IC327,";"," "),"→"," ")," ",,TRUE),_xlpm.w_,_xlfn._xlws.FILTER(_xlpm.tk,ISNUMBER(--LEFT(_xlpm.tk,1))*((ISNUMBER(SEARCH("W",_xlpm.tk))+ISNUMBER(SEARCH("Вт",_xlpm.tk)))&gt;0),""),IFERROR(--SUBSTITUTE(SUBSTITUTE(UPPER(INDEX(_xlpm.w_,1)),"W",""),"ВТ",""),"")))</f>
        <v/>
      </c>
      <c r="IE327" t="str" cm="1">
        <f t="array" ref="IE327">IF(IC327="","",_xlfn.LET(_xlpm.tk,_xlfn.TEXTSPLIT(SUBSTITUTE(SUBSTITUTE(IC327,";"," "),"→"," ")," ",,TRUE),_xlpm.v_,_xlfn._xlws.FILTER(_xlpm.tk,ISNUMBER(--LEFT(_xlpm.tk,1))*((ISNUMBER(SEARCH("V",_xlpm.tk))+(RIGHT(UPPER(_xlpm.tk))="В"))&gt;0),""),IFERROR(--SUBSTITUTE(SUBSTITUTE(UPPER(INDEX(_xlpm.v_,1)),"V",""),"В",""),"")))</f>
        <v/>
      </c>
      <c r="IF327" s="6" t="str">
        <f>IF(OR(BV327=0,HI327="",HJ327=""),"",IFERROR(N(_xlfn.XLOOKUP(HI327,Каталог!$C$4:$C$500,Каталог!$Q$4:$Q$500)),""))</f>
        <v/>
      </c>
      <c r="IG327" s="6" t="str">
        <f>IF(N(IF327)=0,"",SUMIFS(Линии[Iр, А],Линии[Щит],A327,Линии[_модуль гр.],HH327,Линии[Канал (итог)],HJ327))</f>
        <v/>
      </c>
      <c r="IH327" t="str">
        <f>IF(AND(B327="",HO327=""),"",_xlfn.TEXTJOIN("; ",TRUE,IF(AND(B327&lt;&gt;"",FV327=""),"нет фазы",""),IF(AND(B327&lt;&gt;"",N(GL327)=0,FG327&lt;&gt;"Нет"),"нет мощности",""),IF(AND(HN327&lt;&gt;"",COUNTIFS(Линии[Щит],A327,Линии[Клемма (итог)],HN327)&gt;1),"дубль клеммы "&amp;HN327,""),IF(AND(HQ327&lt;&gt;"",HQ327&lt;&gt;"ok"),HQ327,""),IF(HR327&lt;&gt;"",HR327,""),IF(AND(N(CB327)&gt;=4,N(BX327)=1),CB327&amp;" жил на 1 фазе",""),IF(AND(BC327="R",CG327=1,IF(CS327&lt;&gt;"",N(CV327)&gt;30,OR(N(DA327)=0,N(DA327)&gt;30))),"розетка без дифзащиты до 30 мА",""),IF(AND(CG327=1,N(DA327)&gt;0,ISNUMBER(T327)),IF(T327&gt;N(DA327)/3,"ток утечки "&amp;FIXED(T327,1)&amp;" мА &gt; 1/3 уставки ("&amp;DA327&amp;" мА)",""),""),IF(AND(CH327=1,CS327=""),"«узо»: нет строки с УЗО выше (УЗО 2P 40А 30мА в «Аппаратах»)",""),IF(AND(CS327&lt;&gt;"",CS327=BA327),IF(CT327="","впишите номинал УЗО (УЗО 2P 40А 30мА)",IF(N(CT327)&lt;N(DT327),"УЗО "&amp;CT327&amp;" А &lt; автомата "&amp;DT327&amp;" А перед ним",IF(N(CT327)&lt;N(CX327),"УЗО "&amp;CT327&amp;" А &lt; тока блока "&amp;FIXED(CX327,1)&amp;" А",""))),""),IF(AND(CS327&lt;&gt;"",CS327=BA327,ISNUMBER(CY327)),IF(CY327&gt;N(CV327)/3,"ток утечки блока УЗО "&amp;FIXED(CY327,1)&amp;" мА &gt; 1/3 уставки ("&amp;CV327&amp;" мА)",""),""),IF(AND(CG327=1,N(BV327)+N(IB327)&gt;0,IC327=""),"линии до 50 В без БП: впишите в «Аппараты» (БП 24V 480W)",""),IF(AND(CG327=1,ISNUMBER(ID327),ISNUMBER(U327)),IF(U327&gt;ID327,"БП "&amp;ID327&amp;" Вт &lt; нужно "&amp;U327&amp;" Вт (×"&amp;Запас_БП&amp;")",""),""),IF(AND(CG327=1,ISNUMBER(IE327),N(BV327)=1),IF(IE327&lt;&gt;N(BU327),"БП на "&amp;IE327&amp;" В, линия "&amp;BU327&amp;" В",""),""),IF(AND(N(IF327)&gt;0,N(IG327)&gt;N(IF327)),HH327&amp;" канал "&amp;HJ327&amp;": "&amp;FIXED(IG327,1)&amp;" А &gt; "&amp;IF327&amp;" А",""),IFERROR(IF(AND(ISNUMBER(Q327),Q327&gt;EL327),"потери "&amp;FIXED(Q327,1)&amp;" % &gt; "&amp;EL327&amp;" %",""),""),IFERROR(IF(LEFT(HU327,4)="мало","Iкз мало — отключение &gt; 0,4 с",""),""),IF(AND(B327&lt;&gt;"",BM327=""),"не на схеме",""),IF(AND(CG327=0,B327&lt;&gt;"",FV327&lt;&gt;"",IF(BA327=1,"",FW326)&lt;&gt;"",FV327&lt;&gt;IF(BA327=1,"",FW326)),"фаза не как у автомата группы ("&amp;IF(BA327=1,"",FW326)&amp;")","")))</f>
        <v/>
      </c>
      <c r="II327" s="6">
        <f>IF(OR(CG327=0,DQ327=""),"",_xlfn.LET(_xlpm.t,IFERROR(_xlfn.XLOOKUP(DQ327,Каталог!$U$4:$U$500,Каталог!$G$4:$G$500),""),_xlpm.k,SEARCH("кА",_xlpm.t),IFERROR(--TRIM(RIGHT(SUBSTITUTE(MID(_xlpm.t,MAX(1,_xlpm.k-4),_xlpm.k-MAX(1,_xlpm.k-4))," ",REPT(" ",9)),5)),"")))</f>
        <v>6</v>
      </c>
      <c r="IJ327" t="str">
        <f>IF(OR(II327="",CG327=0),"",IF(_xlfn.XLOOKUP(A327,Щиты[Щит],Щиты[Iкз max на шинах, кА],"")="","",IF(II327&lt;_xlfn.XLOOKUP(A327,Щиты[Щит],Щиты[Iкз max на шинах, кА]),"Icu "&amp;II327&amp;" кА &lt; Iкз max","ok")))</f>
        <v/>
      </c>
      <c r="IK327" t="str">
        <f t="shared" si="803"/>
        <v/>
      </c>
      <c r="IL327" t="str">
        <f t="shared" si="804"/>
        <v>QF2|XT2</v>
      </c>
      <c r="IM327" t="str">
        <f t="shared" si="805"/>
        <v>QF2|XT2|кабель ВВГнг(А)-LS (3х2,5) → Насос дренажный, пом. 002Тб</v>
      </c>
      <c r="IN327" t="str" cm="1">
        <f t="array" ref="IN327">IF(IM327="","",_xlfn.LET(_xlpm.nd,_xlfn.TEXTSPLIT(IM327,"|"),IF(COLUMNS(_xlpm.nd)&gt;1,A327&amp;"¦"&amp;INDEX(_xlpm.nd,1)&amp;"¦"&amp;INDEX(_xlpm.nd,2),"")))</f>
        <v>ЩС-ВК.002¦QF2¦XT2</v>
      </c>
      <c r="IO327" t="str">
        <f t="shared" si="806"/>
        <v>НВК.00.002Тб.4¦Насос дренажный, пом. 002Тб</v>
      </c>
      <c r="IP327" t="str" cm="1">
        <f t="array" ref="IP327">IF(IM327="","",_xlfn.LET(_xlpm.nd,_xlfn.TEXTSPLIT(IM327,"|"),IF(COLUMNS(_xlpm.nd)&gt;2,A327&amp;"¦"&amp;INDEX(_xlpm.nd,2)&amp;"¦"&amp;INDEX(_xlpm.nd,3),"")))</f>
        <v>ЩС-ВК.002¦XT2¦кабель ВВГнг(А)-LS (3х2,5) → Насос дренажный, пом. 002Тб</v>
      </c>
      <c r="IQ327" t="str">
        <f t="shared" si="807"/>
        <v>НВК.00.002Тб.4¦Насос дренажный, пом. 002Тб</v>
      </c>
      <c r="IR327" t="str" cm="1">
        <f t="array" ref="IR327">IF(IM327="","",_xlfn.LET(_xlpm.nd,_xlfn.TEXTSPLIT(IM327,"|"),IF(COLUMNS(_xlpm.nd)&gt;3,A327&amp;"¦"&amp;INDEX(_xlpm.nd,3)&amp;"¦"&amp;INDEX(_xlpm.nd,4),"")))</f>
        <v/>
      </c>
      <c r="IS327" t="str">
        <f t="shared" si="808"/>
        <v/>
      </c>
      <c r="IT327" t="str" cm="1">
        <f t="array" ref="IT327">IF(IM327="","",_xlfn.LET(_xlpm.nd,_xlfn.TEXTSPLIT(IM327,"|"),IF(COLUMNS(_xlpm.nd)&gt;4,A327&amp;"¦"&amp;INDEX(_xlpm.nd,4)&amp;"¦"&amp;INDEX(_xlpm.nd,5),"")))</f>
        <v/>
      </c>
      <c r="IU327" t="str">
        <f t="shared" si="809"/>
        <v/>
      </c>
      <c r="IV327" t="str" cm="1">
        <f t="array" ref="IV327">IF(IM327="","",_xlfn.LET(_xlpm.nd,_xlfn.TEXTSPLIT(IM327,"|"),IF(COLUMNS(_xlpm.nd)&gt;5,A327&amp;"¦"&amp;INDEX(_xlpm.nd,5)&amp;"¦"&amp;INDEX(_xlpm.nd,6),"")))</f>
        <v/>
      </c>
      <c r="IW327" t="str">
        <f t="shared" si="810"/>
        <v/>
      </c>
      <c r="IX327" t="str" cm="1">
        <f t="array" ref="IX327">IF(IM327="","",_xlfn.LET(_xlpm.nd,_xlfn.TEXTSPLIT(IM327,"|"),IF(COLUMNS(_xlpm.nd)&gt;6,A327&amp;"¦"&amp;INDEX(_xlpm.nd,6)&amp;"¦"&amp;INDEX(_xlpm.nd,7),"")))</f>
        <v/>
      </c>
      <c r="IY327" t="str">
        <f t="shared" si="811"/>
        <v/>
      </c>
      <c r="IZ327" t="str">
        <f t="shared" si="812"/>
        <v/>
      </c>
      <c r="JA327" t="str">
        <f t="shared" si="813"/>
        <v>QF2 → XT2</v>
      </c>
      <c r="JB327">
        <f t="shared" si="814"/>
        <v>0</v>
      </c>
      <c r="JC327">
        <f t="shared" si="815"/>
        <v>0</v>
      </c>
      <c r="JD327" t="str">
        <f t="shared" si="816"/>
        <v/>
      </c>
      <c r="JE327" t="str">
        <f t="shared" si="817"/>
        <v/>
      </c>
      <c r="JF327" t="str">
        <f t="shared" si="818"/>
        <v/>
      </c>
      <c r="JG327" t="str">
        <f t="shared" si="819"/>
        <v/>
      </c>
      <c r="JH327">
        <f>IF(B327="","",IFERROR(_xlfn.XLOOKUP(B327,Коды_код,Коды_уго),IFERROR(_xlfn.XLOOKUP(BC327,Коды_код,Коды_уго),IFERROR(_xlfn.XLOOKUP(LEFT(BC327,2),Коды_код,Коды_уго),""))))</f>
        <v>0</v>
      </c>
      <c r="JI327" t="str">
        <f>IF(B327="","",IF(OR(JH327="",JH327=0),"BOX",IFERROR(IF(VLOOKUP(JH327,УГО_блоки,3,FALSE)&amp;""&lt;&gt;"",VLOOKUP(JH327,УГО_блоки,3,FALSE),VLOOKUP(JH327,УГО_блоки,2,FALSE)),JH327)))</f>
        <v>BOX</v>
      </c>
      <c r="JJ327">
        <f t="shared" si="820"/>
        <v>1</v>
      </c>
      <c r="JK327" t="str">
        <f>IF(DQ327="","",IF(COUNTIF(DQ$3:DQ327,DQ327)=1,MAX(JK$2:JK326)+1,""))</f>
        <v/>
      </c>
      <c r="JL327" t="str">
        <f>IF(DE327="","",IF(COUNTIF(DE$3:DE327,DE327)+COUNTIF(DF$2:DF326,DE327)+COUNTIF(DG$2:DG326,DE327)=1,MAX(JL$2:JN326)+1,""))</f>
        <v/>
      </c>
      <c r="JM327" t="str">
        <f>IF(DF327="","",IF(COUNTIF(DE$3:DE327,DF327)+COUNTIF(DF$3:DF327,DF327)+COUNTIF(DG$2:DG326,DF327)=1,MAX(JL$2:JN326,JL327)+1,""))</f>
        <v/>
      </c>
      <c r="JN327" t="str">
        <f>IF(DG327="","",IF(COUNTIF(DE$3:DE327,DG327)+COUNTIF(DF$3:DF327,DG327)+COUNTIF(DG$3:DG327,DG327)=1,MAX(JL$2:JN326,JL327,JM327)+1,""))</f>
        <v/>
      </c>
      <c r="JO327" t="str">
        <f t="shared" si="821"/>
        <v>3х2,5</v>
      </c>
      <c r="JP327" t="str">
        <f>IF(JO327="","",IF(COUNTIF(JO$3:JO327,JO327)=1,MAX(JP$2:JP326)+1,""))</f>
        <v/>
      </c>
      <c r="JQ327" t="str">
        <f>IF(HG327="","",COUNTIF(HG$3:HG327,"?*"))</f>
        <v/>
      </c>
      <c r="JR327" t="str">
        <f>IF(OR(HG327="",HI327=""),"",IF(COUNTIFS(HG$3:HG327,"?*",HI$3:HI327,HI327)=1,MAX(JR$2:JR326)+1,""))</f>
        <v/>
      </c>
      <c r="JS327">
        <f t="shared" si="822"/>
        <v>0</v>
      </c>
      <c r="JT327">
        <f>IF(B327="","",COUNTIF(B$3:B327,"?*"))</f>
        <v>325</v>
      </c>
      <c r="JU327">
        <f>IF(HL327&lt;&gt;1,0,_xlfn.LET(_xlpm.k,MAX(IFERROR(--_xlfn.XLOOKUP(B327,Коды_код,Коды_3L),0),IFERROR(--_xlfn.XLOOKUP(BC327,Коды_код,Коды_3L),0),IFERROR(--_xlfn.XLOOKUP(LEFT(BC327,2),Коды_код,Коды_3L),0)),IF(_xlpm.k&gt;0,_xlpm.k,IF(IFERROR(--LEFT(SUBSTITUTE(JO327,"x","х"),FIND("х",SUBSTITUTE(JO327,"x","х"))-1),3)&gt;3,Каталог!$S$9,1))))</f>
        <v>1</v>
      </c>
      <c r="JV327">
        <f t="shared" si="823"/>
        <v>0</v>
      </c>
      <c r="JW327" t="str">
        <f t="shared" si="824"/>
        <v>авто</v>
      </c>
      <c r="JX327" t="str">
        <f t="shared" si="825"/>
        <v/>
      </c>
      <c r="JY327">
        <f t="shared" si="826"/>
        <v>0</v>
      </c>
      <c r="JZ327">
        <f t="shared" si="827"/>
        <v>1</v>
      </c>
    </row>
    <row r="328" spans="1:286" x14ac:dyDescent="0.3">
      <c r="A328" t="s">
        <v>765</v>
      </c>
      <c r="B328" t="s">
        <v>1630</v>
      </c>
      <c r="C328" t="str">
        <f>Линии[[#This Row],[_авто наименование]]</f>
        <v>Насос дренажный, пом. 002Тб</v>
      </c>
      <c r="D328">
        <v>1</v>
      </c>
      <c r="E328">
        <v>0.6</v>
      </c>
      <c r="G328">
        <v>16</v>
      </c>
      <c r="H328" t="str">
        <f>Линии[[#This Row],[_авто управление]]</f>
        <v/>
      </c>
      <c r="I328" t="str">
        <f>Линии[[#This Row],[_авто аппараты]]</f>
        <v/>
      </c>
      <c r="J328">
        <v>2.5</v>
      </c>
      <c r="K328">
        <v>10</v>
      </c>
      <c r="L328">
        <v>1</v>
      </c>
      <c r="M328" t="str">
        <f>Линии[[#This Row],[_авто клемма]]</f>
        <v>XT3</v>
      </c>
      <c r="N328" t="str">
        <f t="shared" si="690"/>
        <v/>
      </c>
      <c r="O328" s="6" cm="1">
        <f t="array" ref="O328">IF(B328="","",IF(BH328&lt;&gt;"",IFERROR(_xlfn.XLOOKUP(BH328,Щиты[Щит],Щиты[Iр, А]),""),IF(BP328=1,IF(OR(N(_xlfn.XLOOKUP(A328,Щиты[Щит],Щиты[Вводов],1))&lt;=1,LOWER(TRIM(_xlfn.XLOOKUP(A328,Щиты[Щит],Щиты[АВР],"")&amp;""))="да"),IFERROR(_xlfn.XLOOKUP(A328,Щиты[Щит],Щиты[Iр, А]),""),IFERROR(N(BS328)*_xlfn.XLOOKUP(A328,Щиты[Щит],Щиты[Кс итог])/(SQRT(3)*Uн_лин*_xlfn.XLOOKUP(A328,Щиты[Щит],Щиты[cos φ])),"")),IF(BV328=1,IFERROR(BS328*1000/BU328,""),IFERROR(_xlfn.IFS(BX328=1,BS328/((Uн_лин/SQRT(3))*CE328),BX328=3,BS328/(SQRT(3)*Uн_лин*CE328)),"")))))</f>
        <v>3.2475952641916441</v>
      </c>
      <c r="P328" s="7">
        <f>IF(B328="","",IFERROR(IF(VLOOKUP(BC328,Потребители_обозначение,4,FALSE)=1,VLOOKUP(BC328,Потребители_обозначение,3,FALSE)*(MAX(1,N(D328))*2-1)+EI328+VLOOKUP(BE328,Этаж_обозначение,3,FALSE)+VLOOKUP(BE328,Этаж_обозначение,4,FALSE),VLOOKUP(BC328,Потребители_обозначение,3,FALSE)*(MAX(1,N(D328))*2-1)+EI328),EI328))</f>
        <v>13</v>
      </c>
      <c r="Q328" s="6">
        <f t="shared" si="691"/>
        <v>2.1100000000000003</v>
      </c>
      <c r="R328" t="str">
        <f t="shared" si="692"/>
        <v>ВВГнг(А)-LS (3х2,5)</v>
      </c>
      <c r="S328" t="str">
        <f>IF(BM328="","",IF(BN328="вводной узел","узел ","")&amp;"л."&amp;(INT((BM328-1)/Столбцов_на_лист)+1)&amp;" / "&amp;(MOD(BM328-1,Столбцов_на_лист)+1))</f>
        <v>л.1 / 14</v>
      </c>
      <c r="T328" s="119">
        <f t="shared" si="693"/>
        <v>1.4</v>
      </c>
      <c r="U328" s="7" t="str">
        <f>IF(OR(CG328=0,N(BV328)+N(IB328)=0),"",ROUNDUP(Запас_БП*(N(HY328)+N(HZ328)),0))</f>
        <v/>
      </c>
      <c r="V328" s="119" t="str">
        <f t="shared" si="694"/>
        <v/>
      </c>
      <c r="W328" s="7" t="str">
        <f>IFERROR(IF(OR(B328="",BP328=1,BV328=1,NOT(ISNUMBER(EN328)),N(DT328)=0),"",MAX(0,ROUNDDOWN((c_min*(Uн_лин*1000/SQRT(3))/(HT328*N(DT328))-_xlfn.XLOOKUP(A328,Щиты[Щит],Щиты[Zпетли на шинах, Ом]))*EN328/(2*ρкз_Cu),0))),"")</f>
        <v/>
      </c>
      <c r="Y328" t="str">
        <f>Линии[[#This Row],[_авто утечка]]</f>
        <v/>
      </c>
      <c r="Z328">
        <v>1</v>
      </c>
      <c r="AA328">
        <v>230</v>
      </c>
      <c r="AB328" t="s">
        <v>598</v>
      </c>
      <c r="AC328">
        <v>0.7</v>
      </c>
      <c r="AG328" t="s">
        <v>810</v>
      </c>
      <c r="AI328" t="s">
        <v>604</v>
      </c>
      <c r="AK328" t="str">
        <f>Линии[[#This Row],[_авто модуль]]</f>
        <v/>
      </c>
      <c r="AM328">
        <v>14</v>
      </c>
      <c r="AN328" t="s">
        <v>11</v>
      </c>
      <c r="AO328">
        <v>3</v>
      </c>
      <c r="AQ328">
        <v>0</v>
      </c>
      <c r="AR328">
        <v>10</v>
      </c>
      <c r="AS328">
        <v>0</v>
      </c>
      <c r="AT328">
        <v>1</v>
      </c>
      <c r="BA328" cm="1">
        <f t="array" ref="BA328">ROW()-ROW(Линии[#Headers])</f>
        <v>326</v>
      </c>
      <c r="BC328" s="6" t="str">
        <f t="shared" si="695"/>
        <v>НВК</v>
      </c>
      <c r="BD328" t="str">
        <f t="shared" si="696"/>
        <v>00.002Тб.2</v>
      </c>
      <c r="BE328" t="str">
        <f t="shared" si="697"/>
        <v>00</v>
      </c>
      <c r="BF328" t="str">
        <f t="shared" si="698"/>
        <v>002Тб.2</v>
      </c>
      <c r="BG328" t="str">
        <f t="shared" si="699"/>
        <v>002Тб</v>
      </c>
      <c r="BH328" t="str">
        <f>IF(X328&lt;&gt;"",X328,IF(AND(B328&lt;&gt;"",B328&lt;&gt;A328,ISNUMBER(_xlfn.XMATCH(B328,Щиты[Щит]))),B328,""))</f>
        <v/>
      </c>
      <c r="BI328" t="str" cm="1">
        <f t="array" ref="BI328">IF(B328="","",IF(BH328&lt;&gt;"","Щит "&amp;BH328,_xlfn.LET(_xlpm.nm,IFERROR(_xlfn.XLOOKUP(BC328,Коды_код,Коды_имя)&amp;"",""),_xlpm.md,IFERROR(N(_xlfn.XLOOKUP(BC328,Коды_код,Коды_режим)),1),_xlpm.ex,IF(Имя_режим="по экспликации",IFERROR(_xlfn.XLOOKUP(BE328&amp;"|"&amp;BG328,Экспликация[Этаж]&amp;"|"&amp;Экспликация[Помещение],Экспликация[Название])&amp;"",""),""),_xlpm.rm,IF(BG328="","",IF(_xlpm.ex&lt;&gt;"",". "&amp;_xlpm.ex&amp;IF(Имя_пом="нет"," ("&amp;BG328&amp;")"," (пом. "&amp;BG328&amp;")"),IF(Имя_пом="нет"," ",", пом. ")&amp;BG328)),IF(_xlpm.nm="","",IF(_xlpm.md=2,_xlpm.nm&amp;" шлейф "&amp;BE328,_xlpm.nm&amp;_xlpm.rm)))))</f>
        <v>Насос дренажный, пом. 002Тб</v>
      </c>
      <c r="BJ328" t="str">
        <f t="shared" si="700"/>
        <v>Насос дренажный, пом. 002Тб</v>
      </c>
      <c r="BK328">
        <f>IFERROR(_xlfn.XMATCH(A328,Щиты[Щит]),0)</f>
        <v>14</v>
      </c>
      <c r="BL328">
        <f>_xlfn.LET(_xlpm.k,IFERROR(_xlfn.XLOOKUP(A328,Щиты[Щит],Щиты[Мест под вводной узел]),""),IF(_xlpm.k="",Столбцов_на_лист,N(_xlpm.k)))</f>
        <v>11</v>
      </c>
      <c r="BM328">
        <f t="shared" si="701"/>
        <v>14</v>
      </c>
      <c r="BN328" t="str">
        <f t="shared" si="702"/>
        <v>линии</v>
      </c>
      <c r="BO328" s="6">
        <f>IFERROR(N(_xlfn.XLOOKUP(BC328,Коды_код,Коды_квт)),0)</f>
        <v>0</v>
      </c>
      <c r="BP328">
        <f t="shared" si="703"/>
        <v>0</v>
      </c>
      <c r="BQ328" t="str">
        <f>IF(B328="","",IF(BH328&lt;&gt;"",IFERROR(_xlfn.XLOOKUP(BH328,Щиты[Щит],Щиты[Руст, кВт]),0),IF(BP328=1,IF(OR(N(_xlfn.XLOOKUP(A328,Щиты[Щит],Щиты[Вводов],1))&lt;=1,LOWER(TRIM(_xlfn.XLOOKUP(A328,Щиты[Щит],Щиты[АВР],"")&amp;""))="да"),IFERROR(_xlfn.XLOOKUP(A328,Щиты[Щит],Щиты[Руст, кВт]),0),SUMIFS(Линии[_Р для вводов],Линии[Щит],A328,Линии[Источник для режимов],GF328)),IF(BO328&gt;0,ROUND(BO328*MAX(1,N(D328)),3),""))))</f>
        <v/>
      </c>
      <c r="BR328">
        <f t="shared" si="704"/>
        <v>0.6</v>
      </c>
      <c r="BS328" s="6">
        <f>IF(B328="","",IF(BH328&lt;&gt;"",IFERROR(_xlfn.XLOOKUP(BH328,Щиты[Щит],Щиты[Руст, кВт]),0),N(BR328)))</f>
        <v>0.6</v>
      </c>
      <c r="BT328" t="str">
        <f>IF(B328="","",IFERROR(IF(VLOOKUP(BC328,Потребители_обозначение,8,FALSE)=0,"",VLOOKUP(BC328,Потребители_обозначение,8,FALSE)),""))</f>
        <v/>
      </c>
      <c r="BU328">
        <f t="shared" si="705"/>
        <v>230</v>
      </c>
      <c r="BV328">
        <f t="shared" si="706"/>
        <v>0</v>
      </c>
      <c r="BW328">
        <f>IF(B328="","",IF(BH328&lt;&gt;"",3,IFERROR(IF(N(VLOOKUP(BC328,Потребители_обозначение,9,FALSE))=0,1,VLOOKUP(BC328,Потребители_обозначение,9,FALSE)),1)))</f>
        <v>1</v>
      </c>
      <c r="BX328">
        <f t="shared" si="707"/>
        <v>1</v>
      </c>
      <c r="BY328" t="str">
        <f>IF(B328="","",_xlfn.LET(_xlpm.bc,IFERROR(IF(VLOOKUP(BC328,Потребители_обозначение,6,FALSE)=0,"",VLOOKUP(BC328,Потребители_обозначение,6,FALSE)&amp;""),""),IF(AND(GA328="да",OR(_xlpm.bc="",_xlpm.bc="мс")),Марка_пож,IF(AND(_xlpm.bc="",BH328&lt;&gt;""),"мс",_xlpm.bc))))</f>
        <v/>
      </c>
      <c r="BZ328" t="str">
        <f t="shared" si="708"/>
        <v>мс</v>
      </c>
      <c r="CA328">
        <f>IF(B328="","",_xlfn.LET(_xlpm.cc,IFERROR(N(VLOOKUP(BC328,Потребители_обозначение,7,FALSE)),0),IF(_xlpm.cc&gt;0,_xlpm.cc,IF(BZ328="","",IF(BV328=1,2,IF(N(BX328)=3,5,3))))))</f>
        <v>3</v>
      </c>
      <c r="CB328">
        <f t="shared" si="709"/>
        <v>3</v>
      </c>
      <c r="CC328">
        <f>IFERROR(N(VLOOKUP(BC328,Потребители_обозначение,10,FALSE)),0)</f>
        <v>0</v>
      </c>
      <c r="CD328">
        <f>IFERROR(VLOOKUP(BC328,Потребители_обозначение,5,FALSE),0)</f>
        <v>1</v>
      </c>
      <c r="CE328" s="6" cm="1">
        <f t="array" ref="CE328">IF(B328="","",IF(BH328&lt;&gt;"",IFERROR(_xlfn.XLOOKUP(BH328,Щиты[Щит],Щиты[cos φ]),0.95),IF(BP328=1,IFERROR(_xlfn.XLOOKUP(A328,Щиты[Щит],Щиты[cos φ]),0.95),IF(ISNUMBER(AD328),AD328,IFERROR(IF(CD328=2,_xlfn.IFS(BX328=3,VLOOKUP(BS328,Справочная_двигатели,8,FALSE),BX328=1,VLOOKUP(BS328,Справочная_двигатели,10,TRUE)),IF(AND(Методика="нормы 2026",FG328="Сил"),0.8,0.95)),0.95)))))</f>
        <v>0.8</v>
      </c>
      <c r="CF328">
        <f t="shared" si="710"/>
        <v>0</v>
      </c>
      <c r="CG328">
        <f t="shared" si="711"/>
        <v>1</v>
      </c>
      <c r="CH328">
        <f t="shared" si="712"/>
        <v>0</v>
      </c>
      <c r="CI328">
        <f>IF(B328="","",IF(BV328=1,IFERROR(BS328/((Uн_лин/SQRT(3))*MAX(0.5,N(CE328))),0),N(O328)))</f>
        <v>3.2475952641916441</v>
      </c>
      <c r="CJ328">
        <f t="shared" si="713"/>
        <v>0</v>
      </c>
      <c r="CK328">
        <f t="shared" si="714"/>
        <v>0</v>
      </c>
      <c r="CL328">
        <f t="shared" si="715"/>
        <v>0</v>
      </c>
      <c r="CM328">
        <f t="shared" si="716"/>
        <v>0</v>
      </c>
      <c r="CN328">
        <f t="shared" si="717"/>
        <v>0</v>
      </c>
      <c r="CO328">
        <f>IF(BC328="",0,_xlfn.LET(_xlpm.v,IFERROR(_xlfn.XLOOKUP(B328,Коды_код,Коды_мА),IFERROR(_xlfn.XLOOKUP(BC328,Коды_код,Коды_мА),IFERROR(_xlfn.XLOOKUP(LEFT(BC328,2),Коды_код,Коды_мА),""))),IF(_xlpm.v="да",30,IF(ISNUMBER(_xlpm.v),_xlpm.v,0))))</f>
        <v>0</v>
      </c>
      <c r="CP328" t="str">
        <f t="shared" si="718"/>
        <v/>
      </c>
      <c r="CQ328" t="str">
        <f>_xlfn.LET(_xlpm.k,IFERROR(_xlfn.XLOOKUP(BC328,Коды_код,Коды_утечка)&amp;"",""),IF(_xlpm.k="","дифавтомат",_xlpm.k))</f>
        <v>дифавтомат</v>
      </c>
      <c r="CR328" t="str" cm="1">
        <f t="array" ref="CR328">IF(CG328=0,"",_xlfn.LET(_xlpm.sg,TRIM(_xlfn.TEXTSPLIT(DD328&amp;"",";")),_xlpm.f_,_xlfn._xlws.FILTER(_xlpm.sg,LEFT(_xlpm.sg,3)="УЗО",""),IFERROR(INDEX(_xlpm.f_,1)&amp;"","")))</f>
        <v/>
      </c>
      <c r="CS328" t="str">
        <f t="shared" si="719"/>
        <v/>
      </c>
      <c r="CT328" s="6" t="str" cm="1">
        <f t="array" ref="CT328">IF(CR328="","",_xlfn.LET(_xlpm.tk,_xlfn.TEXTSPLIT(UPPER(CR328)," ",,TRUE),_xlpm.a_,_xlfn._xlws.FILTER(_xlpm.tk,ISNUMBER(--LEFT(_xlpm.tk,1))*((ISNUMBER(SEARCH("А",_xlpm.tk))+ISNUMBER(SEARCH("A",_xlpm.tk)))&gt;0)*NOT(ISNUMBER(SEARCH("МА",_xlpm.tk)))*NOT(ISNUMBER(SEARCH("MA",_xlpm.tk))),""),IFERROR(--SUBSTITUTE(SUBSTITUTE(INDEX(_xlpm.a_,1),"А",""),"A",""),"")))</f>
        <v/>
      </c>
      <c r="CU328" t="str" cm="1">
        <f t="array" ref="CU328">IF(CR328="","",_xlfn.LET(_xlpm.tk,_xlfn.TEXTSPLIT(UPPER(CR328)," ",,TRUE),_xlpm.a_,_xlfn._xlws.FILTER(_xlpm.tk,ISNUMBER(--LEFT(_xlpm.tk,1))*((ISNUMBER(SEARCH("МА",_xlpm.tk))+ISNUMBER(SEARCH("MA",_xlpm.tk)))&gt;0),""),IFERROR(--SUBSTITUTE(SUBSTITUTE(INDEX(_xlpm.a_,1),"МА",""),"MA",""),30)))</f>
        <v/>
      </c>
      <c r="CV328" t="str">
        <f>IF(CS328="","",IFERROR(_xlfn.XLOOKUP(CS328,Линии[_n],Линии[_УЗО, мА]),30))</f>
        <v/>
      </c>
      <c r="CW328">
        <f>IF(CS328="",0,IF(ISNUMBER(SEARCH("4P",IFERROR(_xlfn.XLOOKUP(CS328,Линии[_n],Линии[_УЗО строки])&amp;"",""))),0,1))</f>
        <v>0</v>
      </c>
      <c r="CX328" t="str">
        <f>IF(AND(CS328&lt;&gt;"",CS328=BA328),SUMIFS(Линии[_ток на 230 В],Линии[_блок УЗО],BA328,Линии[Щит],A328),"")</f>
        <v/>
      </c>
      <c r="CY328" t="str">
        <f>IF(AND(CS328&lt;&gt;"",CS328=BA328),SUMIFS(Линии[_ток утечки линии, мА],Линии[_блок УЗО],BA328,Линии[Щит],A328),"")</f>
        <v/>
      </c>
      <c r="CZ328">
        <f t="shared" si="720"/>
        <v>0</v>
      </c>
      <c r="DA328">
        <f t="shared" si="721"/>
        <v>0</v>
      </c>
      <c r="DB328">
        <f>IF(B328="",0,IFERROR(--_xlfn.XLOOKUP(B328,Коды_код,Коды_минавт),IFERROR(--_xlfn.XLOOKUP(BC328,Коды_код,Коды_минавт),IFERROR(--_xlfn.XLOOKUP(LEFT(BC328,2),Коды_код,Коды_минавт),0))))</f>
        <v>0</v>
      </c>
      <c r="DC328" t="str">
        <f>IF(B328="","",IFERROR(_xlfn.XLOOKUP(BC328,Коды_код,Коды_апп)&amp;"",""))</f>
        <v/>
      </c>
      <c r="DD328" t="str">
        <f t="shared" si="722"/>
        <v/>
      </c>
      <c r="DE328" t="str" cm="1">
        <f t="array" ref="DE328">IF(TRIM(DD328&amp;"")="","",IFERROR(TRIM(INDEX(_xlfn.TEXTSPLIT(DD328&amp;";;;",";"),1)),""))</f>
        <v/>
      </c>
      <c r="DF328" t="str" cm="1">
        <f t="array" ref="DF328">IF(TRIM(DD328&amp;"")="","",IFERROR(TRIM(INDEX(_xlfn.TEXTSPLIT(DD328&amp;";;;",";"),2)),""))</f>
        <v/>
      </c>
      <c r="DG328" t="str" cm="1">
        <f t="array" ref="DG328">IF(TRIM(DD328&amp;"")="","",IFERROR(TRIM(INDEX(_xlfn.TEXTSPLIT(DD328&amp;";;;",";"),3)),""))</f>
        <v/>
      </c>
      <c r="DH328">
        <f t="shared" si="723"/>
        <v>0</v>
      </c>
      <c r="DI328" t="str">
        <f>IF(B328="","",_xlfn.LET(_xlpm.t,LOWER(AZ328&amp;""),IF(ISNUMBER(SEARCH("dim",_xlpm.t)),"DIM",IF(ISNUMBER(SEARCH("dali",_xlpm.t)),"DALI",IF(OR(ISNUMBER(SEARCH("relay",_xlpm.t)),ISNUMBER(SEARCH("реле",_xlpm.t))),"Relay",IF(ISNUMBER(SEARCH("кнопк",_xlpm.t)),"",IFERROR(_xlfn.XLOOKUP(BC328,Коды_код,Коды_упр)&amp;"","")))))))</f>
        <v/>
      </c>
      <c r="DJ328" t="str">
        <f t="shared" si="724"/>
        <v/>
      </c>
      <c r="DK328">
        <f>IF(B328="","",_xlfn.LET(_xlpm.ig,IF(N(CX328)&gt;0,N(CX328),N(CI328)+IF(AJ328="вручную",0,N(CJ328))),_xlpm.n0,IFERROR(VLOOKUP(_xlpm.ig,Автомат_номиналы,2,TRUE),0),_xlpm.mn,MAX(DB328,IF(AJ328="вручную",0,N(CM328))),MAX(_xlpm.n0,_xlpm.mn,IF(DH328=1,Мин_автомат_БП,0))))</f>
        <v>6</v>
      </c>
      <c r="DL328">
        <f t="shared" si="725"/>
        <v>1</v>
      </c>
      <c r="DM328" t="str">
        <f t="shared" si="726"/>
        <v>1P</v>
      </c>
      <c r="DN328" t="str">
        <f>_xlfn.LET(_xlpm.cc,UPPER(TRIM(IFERROR(_xlfn.XLOOKUP(BC328,Коды_код,Коды_хар)&amp;"",""))),IF(OR(_xlpm.cc="B",_xlpm.cc="В"),"B",IF(_xlpm.cc="D","D","С")))</f>
        <v>С</v>
      </c>
      <c r="DO328" t="str">
        <f t="shared" si="727"/>
        <v>1P С6А</v>
      </c>
      <c r="DP328">
        <f t="shared" si="728"/>
        <v>16</v>
      </c>
      <c r="DQ328" t="str">
        <f t="shared" si="729"/>
        <v>1P С16А</v>
      </c>
      <c r="DR328" cm="1">
        <f t="array" ref="DR328">IF(DQ328="","",_xlfn.LET(_xlpm.t,SUBSTITUTE(SUBSTITUTE(SUBSTITUTE(UPPER(DQ328),"С","C"),"А","A"),"В","B"),_xlpm.tk,_xlfn.TEXTSPLIT(_xlpm.t," "),_xlpm.f,_xlfn._xlws.FILTER(_xlpm.tk,ISNUMBER(--MID(_xlpm.tk,2,1))*ISNUMBER(SEARCH(LEFT(_xlpm.tk,1)&amp;"#","B#C#D#"))*(LEN(_xlpm.tk)&gt;1),""),_xlpm.x,INDEX(_xlpm.f,1),IFERROR(--SUBSTITUTE(MID(_xlpm.x,2,9),"A",""),IFERROR(--SUBSTITUTE(INDEX(_xlfn._xlws.FILTER(_xlpm.tk,ISNUMBER(--SUBSTITUTE(_xlpm.tk,"A","")),""),1),"A",""),""))))</f>
        <v>16</v>
      </c>
      <c r="DS328" t="str">
        <f t="shared" si="730"/>
        <v>ok</v>
      </c>
      <c r="DT328">
        <f t="shared" si="731"/>
        <v>16</v>
      </c>
      <c r="DU328" t="str">
        <f t="shared" si="732"/>
        <v>1P С16А</v>
      </c>
      <c r="DV328">
        <f t="shared" si="733"/>
        <v>0</v>
      </c>
      <c r="DW328">
        <f t="shared" si="734"/>
        <v>0</v>
      </c>
      <c r="DX328">
        <f t="shared" si="735"/>
        <v>0</v>
      </c>
      <c r="DY328">
        <f t="shared" si="736"/>
        <v>3.2475952641916441</v>
      </c>
      <c r="DZ328">
        <f t="shared" si="737"/>
        <v>1</v>
      </c>
      <c r="EA328">
        <f>IF(ISNUMBER(AP328),AP328,К_прокл)</f>
        <v>1</v>
      </c>
      <c r="EB328">
        <f t="shared" si="738"/>
        <v>2</v>
      </c>
      <c r="EC328">
        <f>IFERROR(N(VLOOKUP(BZ328,Кабель_обозначение,3,FALSE)),1)</f>
        <v>1</v>
      </c>
      <c r="ED328">
        <f>IFERROR(N(_xlfn.XLOOKUP(A328,Щиты[Щит],Щиты[ΔU до шин, %])),0)</f>
        <v>1.84</v>
      </c>
      <c r="EE328" t="str">
        <f>IFERROR(_xlfn.XLOOKUP(A328,Щиты[Щит],Щиты[Zпетли на шинах, Ом]),"")</f>
        <v/>
      </c>
      <c r="EF328">
        <f>IFERROR(N(_xlfn.XLOOKUP(A328,Щиты[Щит],Щиты[ΔU до шин (подбор), %])),0)</f>
        <v>4.8499999999999996</v>
      </c>
      <c r="EG328" t="str">
        <f>IFERROR(_xlfn.XLOOKUP(A328,Щиты[Щит],Щиты[Zпетли на шинах (подбор), Ом]),"")</f>
        <v/>
      </c>
      <c r="EH328" t="str">
        <f t="shared" si="739"/>
        <v/>
      </c>
      <c r="EI328">
        <f t="shared" si="740"/>
        <v>10</v>
      </c>
      <c r="EJ328">
        <f t="shared" si="741"/>
        <v>2</v>
      </c>
      <c r="EK328">
        <f t="shared" si="742"/>
        <v>0.6</v>
      </c>
      <c r="EL328" s="6">
        <f>IF(B328="","",IF(BV328=1,dU_LED,IF(IFERROR(_xlfn.XLOOKUP(BC328,Коды_код,Коды_уго),"")="Светильник",3,4)+IF(Методика="нормы 2026",MIN(0.5,MAX(0,N(P328)-100)*0.005),0)))</f>
        <v>4</v>
      </c>
      <c r="EM328" t="str" cm="1">
        <f t="array" ref="EM328">IF(OR(B328="",BZ328="",EC328&lt;&gt;1),"",_xlfn.LET(_xlpm.sz,Iдоп_S,_xlpm.t_,CHOOSE(EB328,Iдоп_1ж,Iдоп_2ж,Iдоп_3ж)*DZ328*EA328,_xlpm.dcx,BV328=1,_xlpm.inn,IF(_xlpm.dcx,N(O328),N(DT328)),_xlpm.smin,MAX(1.5,CC328),_xlpm.L_,N(P328)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328)/N(BU328)*100,999),IFERROR(N(EJ328)*(_xlpm.rho*_xlpm.L_/_xlpm.sz*N(CE328)+_xlpm.xx*_xlpm.L_*N(EK328)/1000)*N(O328)/((Uн_лин/SQRT(3))*1000)*100,999)),_xlpm.kz,IF(OR(_xlpm.dcx,DW328=1,NOT(ISNUMBER(EG328)),_xlpm.L_=0,_xlpm.inn=0),1,IFERROR(--(c_min*(Uн_лин*1000/SQRT(3))/(EG328+2*ρкз_Cu*_xlpm.L_/_xlpm.sz)&gt;=HT328*_xlpm.inn),0)),_xlpm.ok,IFERROR((_xlpm.sz&gt;=_xlpm.smin)*(_xlpm.t_&gt;=_xlpm.inn)*IF(_xlpm.L_&gt;0,(_xlpm.du_+IF(_xlpm.dcx,0,EF328)&lt;=EL328+0.00001),1)*_xlpm.kz,0),_xlpm.r_,_xlfn._xlws.FILTER(_xlpm.sz,_xlpm.ok,"не подобрано"),INDEX(_xlpm.r_,1)))</f>
        <v>не подобрано</v>
      </c>
      <c r="EN328">
        <f t="shared" si="743"/>
        <v>2.5</v>
      </c>
      <c r="EO328" cm="1">
        <f t="array" ref="EO328">IF(OR(B328="",BZ328="",EC328&lt;&gt;1),"",_xlfn.LET(_xlpm.sz,Iдоп_S,_xlpm.t_,CHOOSE(EB328,Iдоп_1ж,Iдоп_2ж,Iдоп_3ж)*DZ328*EA328,_xlpm.ok,IFERROR((_xlpm.sz&gt;=MAX(1.5,CC328))*(_xlpm.t_&gt;=N(DT328)),0),_xlpm.r_,_xlfn._xlws.FILTER(_xlpm.sz,_xlpm.ok,""),INDEX(_xlpm.r_,1)))</f>
        <v>1.5</v>
      </c>
      <c r="EP328" s="6" cm="1">
        <f t="array" ref="EP328">IFERROR(ROUNDUP(N(EJ328)*(_xlfn.XLOOKUP(EO328,INDEX(Кабель_сопротивление,0,1),INDEX(Кабель_сопротивление,0,3))*N(P328)/EO328*N(CE328)+_xlfn.XLOOKUP(EO328,INDEX(Кабель_сопротивление,0,1),INDEX(Кабель_сопротивление,0,2))*N(P328)*N(EK328)/1000)*N(O328)/((Uн_лин/SQRT(3))*1000)*100,2),"")</f>
        <v>0.45</v>
      </c>
      <c r="EQ328">
        <f>IFERROR(2*ρкз_Cu*N(P328)/EO328,"")</f>
        <v>0.45586666666666664</v>
      </c>
      <c r="ER328">
        <f>IFERROR(VLOOKUP(EN328,Кабель_сопротивление,3,FALSE),"")</f>
        <v>2.2499999999999999E-2</v>
      </c>
      <c r="ES328">
        <f>IFERROR(VLOOKUP(EN328,Кабель_сопротивление,2,FALSE),"")</f>
        <v>0.1</v>
      </c>
      <c r="ET328">
        <f t="shared" si="744"/>
        <v>10</v>
      </c>
      <c r="EU328">
        <f t="shared" si="745"/>
        <v>0</v>
      </c>
      <c r="EV328">
        <f t="shared" si="746"/>
        <v>0.61301608206881475</v>
      </c>
      <c r="EW328" s="6">
        <f>IFERROR(ROUNDUP(EV328/IF(BV328=1,BU328,(Uн_лин/SQRT(3))*1000)*100,2),"")</f>
        <v>0.27</v>
      </c>
      <c r="EX328" t="str">
        <f>IFERROR(VLOOKUP(BZ328,Кабель_обозначение,2,FALSE),"")</f>
        <v>ВВГнг(А)-LS</v>
      </c>
      <c r="EY328" t="str">
        <f t="shared" si="747"/>
        <v>ВВГнг(А)-LS (3х2,5)</v>
      </c>
      <c r="EZ328" t="str">
        <f t="shared" si="748"/>
        <v>ВВГнг(А)-LS (3х2,5)
L=13-0,27%</v>
      </c>
      <c r="FA328">
        <f>IFERROR(2*ρкз_Cu*P328/EN328,"")</f>
        <v>0.27351999999999999</v>
      </c>
      <c r="FB328">
        <f t="shared" si="749"/>
        <v>9.1000000000000011E-2</v>
      </c>
      <c r="FC328" s="6" t="str">
        <f>IFERROR(IF(OR(B328="",BV328=1,NOT(ISNUMBER(EN328)),N(P328)=0),"",_xlfn.XLOOKUP(A328,Щиты[Щит],Щиты[Zпетли на шинах, Ом])+FA328),"")</f>
        <v/>
      </c>
      <c r="FD328" s="6" t="str">
        <f>IF(ISNUMBER(FC328),c_min*(Uн_лин*1000/SQRT(3))/FC328,"")</f>
        <v/>
      </c>
      <c r="FE328" s="6" t="str">
        <f>IFERROR(IF(OR(B328="",NOT(ISNUMBER(EN328))),"",1.05*(Uн_лин*1000/SQRT(3))/(_xlfn.XLOOKUP(A328,Щиты[Щит],Щиты[Zmax на шинах, Ом])+FB328)/1000),"")</f>
        <v/>
      </c>
      <c r="FF328" s="6" t="str">
        <f>IF(B328="","",IF(ISNUMBER(AC328),"Сил",IF(IFERROR(_xlfn.XLOOKUP(BC328,Коды_код,Коды_группа)&amp;"","")="","Быт",_xlfn.XLOOKUP(BC328,Коды_код,Коды_группа)&amp;"")))</f>
        <v>Сил</v>
      </c>
      <c r="FG328" s="6" t="str">
        <f t="shared" si="750"/>
        <v>Сил</v>
      </c>
      <c r="FH328" s="6">
        <f>IF(FG328="Щит","щит",IF(FG328="","",IF(FG328="Быт",IFERROR(_xlfn.XLOOKUP(A328,Щиты[Щит],Щиты[Кс быт]),1),IF(FG328="Сил",IF(ISNUMBER(AC328),AC328,IF(Методика="нормы 2026",IFERROR(_xlfn.XLOOKUP(A328,Щиты[Щит],Щиты[Кс силовых (табл. 7.5)]),1),1)),IF(OR(FG328="Пост",FG328="Отоп"),1,IF(FG328="ВНГ",0.7,0))))))</f>
        <v>0.7</v>
      </c>
      <c r="FI328">
        <f>IF(FG328="","",IF(AND(BP328=1,TRIM(AE328&amp;"")=""),IF(COUNTIFS(Линии[Щит],A328,Линии[Секция (1/2/3)],"&gt;=2")&gt;0,MIN(3,MAX(1,IFERROR(--BD328,1))),1),IFERROR(MIN(3,MAX(1,INT(--AE328))),1)))</f>
        <v>1</v>
      </c>
      <c r="FJ328">
        <f t="shared" si="751"/>
        <v>0.6</v>
      </c>
      <c r="FK328">
        <f t="shared" si="752"/>
        <v>0</v>
      </c>
      <c r="FL328">
        <f t="shared" si="753"/>
        <v>0.42</v>
      </c>
      <c r="FM328">
        <f t="shared" si="754"/>
        <v>0</v>
      </c>
      <c r="FN328">
        <f t="shared" si="755"/>
        <v>0</v>
      </c>
      <c r="FO328">
        <f t="shared" si="756"/>
        <v>0</v>
      </c>
      <c r="FP328">
        <f t="shared" si="757"/>
        <v>0.6</v>
      </c>
      <c r="FQ328">
        <f t="shared" si="758"/>
        <v>0.6</v>
      </c>
      <c r="FR328">
        <f t="shared" si="759"/>
        <v>0.48</v>
      </c>
      <c r="FS328">
        <f>IF(CG328=1,IF(AND(CH328=1,CW328=1),0,IF(AND(CS328&lt;&gt;"",CS328=BA328,CW328=1),SUMIFS(Линии[_Р линии, кВт],Линии[_блок УЗО],BA328,Линии[Щит],A328),N(BS328)+IF(AJ328="вручную",0,N(CK328)))),0)</f>
        <v>0.6</v>
      </c>
      <c r="FT328" t="str">
        <f t="shared" si="760"/>
        <v>L1</v>
      </c>
      <c r="FU328" t="str">
        <f>IF(B328="","",IF(CG328=0,IF(BA328=1,"",FW327),IF(AND(CH328=1,CW328=1,CS328&lt;&gt;""),IFERROR(_xlfn.XLOOKUP(CS328,Линии[_n],Линии[_фаза итог]),"L1"),IF(OR(N(DL328)&gt;=3,N(BX328)&gt;=3),"L1,L2,L3",IFERROR(_xlfn.TEXTBEFORE(_xlfn.TEXTAFTER(_xlfn.XLOOKUP(A328,Щиты[Щит],Щиты[_фазы авто]),";"&amp;BA328&amp;":"),";"),"L1")))))</f>
        <v>L1</v>
      </c>
      <c r="FV328" t="str">
        <f t="shared" si="761"/>
        <v>L1</v>
      </c>
      <c r="FW328" t="str">
        <f t="shared" si="762"/>
        <v>L1</v>
      </c>
      <c r="FX328" cm="1">
        <f t="array" ref="FX328">IFERROR(IF(CD328=2,_xlfn.IFS(BX328=3,VLOOKUP(BS328,Справочная_двигатели,3,FALSE),BX328=1,VLOOKUP(BS328,Справочная_двигатели,5,TRUE)),0),0)</f>
        <v>0</v>
      </c>
      <c r="FY328">
        <f>IFERROR(IF(CD328=3,VLOOKUP(BS328,Справочная_ЛЭД,2,TRUE),0),0)</f>
        <v>0</v>
      </c>
      <c r="FZ328" s="6">
        <f t="shared" si="763"/>
        <v>0</v>
      </c>
      <c r="GA328" t="str">
        <f>IF(B328="","",IF(TRIM(AH328&amp;"")&lt;&gt;"",IF(LOWER(TRIM(AH328&amp;""))="да","да","нет"),IF(IFERROR(_xlfn.XLOOKUP(BC328,Коды_код,Коды_пожарная),"")="да","да","нет")))</f>
        <v>нет</v>
      </c>
      <c r="GB328" t="str">
        <f t="shared" si="764"/>
        <v/>
      </c>
      <c r="GC328" t="str">
        <f t="shared" si="765"/>
        <v>основная</v>
      </c>
      <c r="GD328">
        <f>IF(AND(BP328=1,TRIM(AE328&amp;"")=""),IF(COUNTIFS(Линии[Щит],A328,Линии[Секция (1/2/3)],"&gt;=2")&gt;0,MIN(3,MAX(1,IFERROR(--BD328,1))),1),IFERROR(MIN(3,MAX(1,INT(--AE328))),1))</f>
        <v>1</v>
      </c>
      <c r="GE328" t="str" cm="1">
        <f t="array" ref="GE328">IF(B328="","",_xlfn.LET(_xlpm.t,IFERROR(_xlfn.XLOOKUP(1,(Шины[Шина]=GC328)*(((Шины[Щит]=A328)+(Шины[Щит]=""))&gt;0),Шины[Тип]),"")&amp;"",IF(_xlpm.t&lt;&gt;"",_xlpm.t,IF(ISNUMBER(SEARCH("ИБП",GC328)),"ИБП",IF(ISNUMBER(SEARCH("ДГУ",GC328)),"ДГУ","Ввод "&amp;GD328)))))</f>
        <v>Ввод 1</v>
      </c>
      <c r="GF328" t="str">
        <f t="shared" si="766"/>
        <v>Ввод 1</v>
      </c>
      <c r="GG328" t="str">
        <f>IF(BP328=0,"",IF(TRIM(AG328&amp;"")&lt;&gt;"",TRIM(AG328&amp;""),IF(OR(GE328="ИБП",GE328="ДГУ"),"I особая",_xlfn.XLOOKUP(A328,Щиты[Щит],Щиты[Категория шины «Ввод»],"III"))))</f>
        <v/>
      </c>
      <c r="GH328" t="str">
        <f>IF(A328="","",_xlfn.XLOOKUP(A328,Щиты[Щит],Щиты[Путь],""))</f>
        <v>|ГРЩ-ЖД|ЩС-ВК.002|</v>
      </c>
      <c r="GI328" t="str">
        <f>IF(B328="","",IF(AI328&lt;&gt;"",AI328,IF(IFERROR(_xlfn.XLOOKUP(BC328,Коды_код,Коды_вид)&amp;"","")="","Прочее",_xlfn.XLOOKUP(BC328,Коды_код,Коды_вид)&amp;"")))</f>
        <v>Насосы (водоснабжение, дренаж)</v>
      </c>
      <c r="GJ328">
        <f>IF(BM328="","",INT((BM328-1)/Столбцов_на_лист)+1)</f>
        <v>1</v>
      </c>
      <c r="GK328" t="str">
        <f t="shared" si="767"/>
        <v>ВВГнг(А)-LS (3х2,5) L=13-0,27%</v>
      </c>
      <c r="GL328">
        <f t="shared" si="768"/>
        <v>0.6</v>
      </c>
      <c r="GM328">
        <f t="shared" si="769"/>
        <v>3.25</v>
      </c>
      <c r="GN328">
        <f t="shared" si="770"/>
        <v>1</v>
      </c>
      <c r="GO328">
        <f t="shared" si="771"/>
        <v>0</v>
      </c>
      <c r="GP328">
        <f t="shared" si="772"/>
        <v>1</v>
      </c>
      <c r="GQ328">
        <f>IF(BM328="","",IF(AND(CG328=1,GP328=1),COUNTIFS(A$3:A328,A328,CG$3:CG328,1,GP$3:GP328,1),IF(OR(OR(BA328=1,A328&lt;&gt;A327),AJ328="вручную",GP328=0),"",IF(BA328=1,"",GR327))))</f>
        <v>3</v>
      </c>
      <c r="GR328">
        <f t="shared" si="773"/>
        <v>3</v>
      </c>
      <c r="GS328">
        <f>IF(B328="","",IFERROR(LOOKUP(INDEX(CHOOSE(EB328,Iдоп_1ж,Iдоп_2ж,Iдоп_3ж),MATCH(EN328,Iдоп_S,0))*DZ328*EA328,{6,10,16,20,25,32,40,50,63,80,100,125,160,200,250,315,400,500,630}),""))</f>
        <v>25</v>
      </c>
      <c r="GT328" t="str">
        <f t="shared" si="774"/>
        <v>QF3</v>
      </c>
      <c r="GU328" t="str">
        <f t="shared" si="775"/>
        <v>QF3</v>
      </c>
      <c r="GV328" t="str">
        <f t="shared" si="776"/>
        <v/>
      </c>
      <c r="GW328">
        <f t="shared" si="777"/>
        <v>0</v>
      </c>
      <c r="GX328" t="str">
        <f>IF(OR(B328="",DJ328=""),"",IFERROR(_xlfn.XLOOKUP(DJ328,Модули_умолч[Управление],Модули_умолч[Модель])&amp;"",""))</f>
        <v/>
      </c>
      <c r="GY328">
        <f>IF(DJ328="",1,IFERROR(MAX(0,N(_xlfn.XLOOKUP(DJ328,Модули_умолч[Управление],Модули_умолч[Каналов на линию]))),1))</f>
        <v>1</v>
      </c>
      <c r="GZ328" t="str">
        <f t="shared" si="778"/>
        <v/>
      </c>
      <c r="HA328" t="str">
        <f t="shared" si="779"/>
        <v/>
      </c>
      <c r="HB328" t="str">
        <f t="shared" si="780"/>
        <v/>
      </c>
      <c r="HC328">
        <f>IF(HB328="",0,IFERROR(N(VLOOKUP(HB328,Модули_спр,3,FALSE)),0))</f>
        <v>0</v>
      </c>
      <c r="HD328" t="str">
        <f t="shared" si="781"/>
        <v/>
      </c>
      <c r="HE328" t="str">
        <f t="shared" si="782"/>
        <v/>
      </c>
      <c r="HF328" t="str">
        <f>IF(OR(HE328="",HE328="-"),"",IFERROR(VLOOKUP(HE328,Модули_спр,2,FALSE),"R"))</f>
        <v/>
      </c>
      <c r="HG328" t="str">
        <f>IF(HF328="","",HF328&amp;"."&amp;COUNTIFS(A$3:A328,A328,HF$3:HF328,HF328))</f>
        <v/>
      </c>
      <c r="HH328" t="str">
        <f t="shared" si="783"/>
        <v/>
      </c>
      <c r="HI328" t="str">
        <f t="shared" si="784"/>
        <v/>
      </c>
      <c r="HJ328" t="str">
        <f t="shared" si="785"/>
        <v/>
      </c>
      <c r="HK328" t="str">
        <f t="shared" si="786"/>
        <v/>
      </c>
      <c r="HL328">
        <f t="shared" si="787"/>
        <v>1</v>
      </c>
      <c r="HM328" t="str">
        <f>IF(HL328=1,"XT"&amp;COUNTIFS(A$3:A328,A328,HL$3:HL328,1),"")</f>
        <v>XT3</v>
      </c>
      <c r="HN328" t="str">
        <f t="shared" si="788"/>
        <v>XT3</v>
      </c>
      <c r="HO328" t="str">
        <f t="shared" si="789"/>
        <v>QF3</v>
      </c>
      <c r="HP328" t="str">
        <f t="shared" si="790"/>
        <v/>
      </c>
      <c r="HQ328" t="str">
        <f t="shared" si="791"/>
        <v>ok</v>
      </c>
      <c r="HR328" t="str">
        <f>IF(OR(HJ328="",HH328=""),"",IF(HJ328+MAX(0,GY328-1)&gt;IFERROR(VLOOKUP(HI328,Модули_спр,3,FALSE),99),"ЛИШНИЙ КАНАЛ",IF(AND(AL328&lt;&gt;"=",GY328&gt;0,COUNTIFS(Линии[_модуль гр.],HH328,Линии[Канал (итог)],HJ328,Линии[Канал],"&lt;&gt;=",Линии[Щит],A328)&gt;1),"ДУБЛЬ КАНАЛА","")))</f>
        <v/>
      </c>
      <c r="HS328" s="6" t="str">
        <f t="shared" si="792"/>
        <v/>
      </c>
      <c r="HT328">
        <f t="shared" si="793"/>
        <v>10</v>
      </c>
      <c r="HU328" t="str">
        <f t="shared" si="794"/>
        <v/>
      </c>
      <c r="HV328">
        <f t="shared" si="795"/>
        <v>1.4290381056766579</v>
      </c>
      <c r="HW328">
        <f t="shared" si="796"/>
        <v>0</v>
      </c>
      <c r="HX328">
        <f t="shared" si="797"/>
        <v>0</v>
      </c>
      <c r="HY328">
        <f t="shared" si="798"/>
        <v>0</v>
      </c>
      <c r="HZ328">
        <f t="shared" si="799"/>
        <v>0</v>
      </c>
      <c r="IA328">
        <f t="shared" si="800"/>
        <v>0</v>
      </c>
      <c r="IB328">
        <f t="shared" si="801"/>
        <v>0</v>
      </c>
      <c r="IC328" t="str">
        <f t="shared" si="802"/>
        <v/>
      </c>
      <c r="ID328" t="str" cm="1">
        <f t="array" ref="ID328">IF(IC328="","",_xlfn.LET(_xlpm.tk,_xlfn.TEXTSPLIT(SUBSTITUTE(SUBSTITUTE(IC328,";"," "),"→"," ")," ",,TRUE),_xlpm.w_,_xlfn._xlws.FILTER(_xlpm.tk,ISNUMBER(--LEFT(_xlpm.tk,1))*((ISNUMBER(SEARCH("W",_xlpm.tk))+ISNUMBER(SEARCH("Вт",_xlpm.tk)))&gt;0),""),IFERROR(--SUBSTITUTE(SUBSTITUTE(UPPER(INDEX(_xlpm.w_,1)),"W",""),"ВТ",""),"")))</f>
        <v/>
      </c>
      <c r="IE328" t="str" cm="1">
        <f t="array" ref="IE328">IF(IC328="","",_xlfn.LET(_xlpm.tk,_xlfn.TEXTSPLIT(SUBSTITUTE(SUBSTITUTE(IC328,";"," "),"→"," ")," ",,TRUE),_xlpm.v_,_xlfn._xlws.FILTER(_xlpm.tk,ISNUMBER(--LEFT(_xlpm.tk,1))*((ISNUMBER(SEARCH("V",_xlpm.tk))+(RIGHT(UPPER(_xlpm.tk))="В"))&gt;0),""),IFERROR(--SUBSTITUTE(SUBSTITUTE(UPPER(INDEX(_xlpm.v_,1)),"V",""),"В",""),"")))</f>
        <v/>
      </c>
      <c r="IF328" s="6" t="str">
        <f>IF(OR(BV328=0,HI328="",HJ328=""),"",IFERROR(N(_xlfn.XLOOKUP(HI328,Каталог!$C$4:$C$500,Каталог!$Q$4:$Q$500)),""))</f>
        <v/>
      </c>
      <c r="IG328" s="6" t="str">
        <f>IF(N(IF328)=0,"",SUMIFS(Линии[Iр, А],Линии[Щит],A328,Линии[_модуль гр.],HH328,Линии[Канал (итог)],HJ328))</f>
        <v/>
      </c>
      <c r="IH328" t="str">
        <f>IF(AND(B328="",HO328=""),"",_xlfn.TEXTJOIN("; ",TRUE,IF(AND(B328&lt;&gt;"",FV328=""),"нет фазы",""),IF(AND(B328&lt;&gt;"",N(GL328)=0,FG328&lt;&gt;"Нет"),"нет мощности",""),IF(AND(HN328&lt;&gt;"",COUNTIFS(Линии[Щит],A328,Линии[Клемма (итог)],HN328)&gt;1),"дубль клеммы "&amp;HN328,""),IF(AND(HQ328&lt;&gt;"",HQ328&lt;&gt;"ok"),HQ328,""),IF(HR328&lt;&gt;"",HR328,""),IF(AND(N(CB328)&gt;=4,N(BX328)=1),CB328&amp;" жил на 1 фазе",""),IF(AND(BC328="R",CG328=1,IF(CS328&lt;&gt;"",N(CV328)&gt;30,OR(N(DA328)=0,N(DA328)&gt;30))),"розетка без дифзащиты до 30 мА",""),IF(AND(CG328=1,N(DA328)&gt;0,ISNUMBER(T328)),IF(T328&gt;N(DA328)/3,"ток утечки "&amp;FIXED(T328,1)&amp;" мА &gt; 1/3 уставки ("&amp;DA328&amp;" мА)",""),""),IF(AND(CH328=1,CS328=""),"«узо»: нет строки с УЗО выше (УЗО 2P 40А 30мА в «Аппаратах»)",""),IF(AND(CS328&lt;&gt;"",CS328=BA328),IF(CT328="","впишите номинал УЗО (УЗО 2P 40А 30мА)",IF(N(CT328)&lt;N(DT328),"УЗО "&amp;CT328&amp;" А &lt; автомата "&amp;DT328&amp;" А перед ним",IF(N(CT328)&lt;N(CX328),"УЗО "&amp;CT328&amp;" А &lt; тока блока "&amp;FIXED(CX328,1)&amp;" А",""))),""),IF(AND(CS328&lt;&gt;"",CS328=BA328,ISNUMBER(CY328)),IF(CY328&gt;N(CV328)/3,"ток утечки блока УЗО "&amp;FIXED(CY328,1)&amp;" мА &gt; 1/3 уставки ("&amp;CV328&amp;" мА)",""),""),IF(AND(CG328=1,N(BV328)+N(IB328)&gt;0,IC328=""),"линии до 50 В без БП: впишите в «Аппараты» (БП 24V 480W)",""),IF(AND(CG328=1,ISNUMBER(ID328),ISNUMBER(U328)),IF(U328&gt;ID328,"БП "&amp;ID328&amp;" Вт &lt; нужно "&amp;U328&amp;" Вт (×"&amp;Запас_БП&amp;")",""),""),IF(AND(CG328=1,ISNUMBER(IE328),N(BV328)=1),IF(IE328&lt;&gt;N(BU328),"БП на "&amp;IE328&amp;" В, линия "&amp;BU328&amp;" В",""),""),IF(AND(N(IF328)&gt;0,N(IG328)&gt;N(IF328)),HH328&amp;" канал "&amp;HJ328&amp;": "&amp;FIXED(IG328,1)&amp;" А &gt; "&amp;IF328&amp;" А",""),IFERROR(IF(AND(ISNUMBER(Q328),Q328&gt;EL328),"потери "&amp;FIXED(Q328,1)&amp;" % &gt; "&amp;EL328&amp;" %",""),""),IFERROR(IF(LEFT(HU328,4)="мало","Iкз мало — отключение &gt; 0,4 с",""),""),IF(AND(B328&lt;&gt;"",BM328=""),"не на схеме",""),IF(AND(CG328=0,B328&lt;&gt;"",FV328&lt;&gt;"",IF(BA328=1,"",FW327)&lt;&gt;"",FV328&lt;&gt;IF(BA328=1,"",FW327)),"фаза не как у автомата группы ("&amp;IF(BA328=1,"",FW327)&amp;")","")))</f>
        <v/>
      </c>
      <c r="II328" s="6">
        <f>IF(OR(CG328=0,DQ328=""),"",_xlfn.LET(_xlpm.t,IFERROR(_xlfn.XLOOKUP(DQ328,Каталог!$U$4:$U$500,Каталог!$G$4:$G$500),""),_xlpm.k,SEARCH("кА",_xlpm.t),IFERROR(--TRIM(RIGHT(SUBSTITUTE(MID(_xlpm.t,MAX(1,_xlpm.k-4),_xlpm.k-MAX(1,_xlpm.k-4))," ",REPT(" ",9)),5)),"")))</f>
        <v>6</v>
      </c>
      <c r="IJ328" t="str">
        <f>IF(OR(II328="",CG328=0),"",IF(_xlfn.XLOOKUP(A328,Щиты[Щит],Щиты[Iкз max на шинах, кА],"")="","",IF(II328&lt;_xlfn.XLOOKUP(A328,Щиты[Щит],Щиты[Iкз max на шинах, кА]),"Icu "&amp;II328&amp;" кА &lt; Iкз max","ok")))</f>
        <v/>
      </c>
      <c r="IK328" t="str">
        <f t="shared" si="803"/>
        <v/>
      </c>
      <c r="IL328" t="str">
        <f t="shared" si="804"/>
        <v>QF3|XT3</v>
      </c>
      <c r="IM328" t="str">
        <f t="shared" si="805"/>
        <v>QF3|XT3|кабель ВВГнг(А)-LS (3х2,5) → Насос дренажный, пом. 002Тб</v>
      </c>
      <c r="IN328" t="str" cm="1">
        <f t="array" ref="IN328">IF(IM328="","",_xlfn.LET(_xlpm.nd,_xlfn.TEXTSPLIT(IM328,"|"),IF(COLUMNS(_xlpm.nd)&gt;1,A328&amp;"¦"&amp;INDEX(_xlpm.nd,1)&amp;"¦"&amp;INDEX(_xlpm.nd,2),"")))</f>
        <v>ЩС-ВК.002¦QF3¦XT3</v>
      </c>
      <c r="IO328" t="str">
        <f t="shared" si="806"/>
        <v>НВК.00.002Тб.2¦Насос дренажный, пом. 002Тб</v>
      </c>
      <c r="IP328" t="str" cm="1">
        <f t="array" ref="IP328">IF(IM328="","",_xlfn.LET(_xlpm.nd,_xlfn.TEXTSPLIT(IM328,"|"),IF(COLUMNS(_xlpm.nd)&gt;2,A328&amp;"¦"&amp;INDEX(_xlpm.nd,2)&amp;"¦"&amp;INDEX(_xlpm.nd,3),"")))</f>
        <v>ЩС-ВК.002¦XT3¦кабель ВВГнг(А)-LS (3х2,5) → Насос дренажный, пом. 002Тб</v>
      </c>
      <c r="IQ328" t="str">
        <f t="shared" si="807"/>
        <v>НВК.00.002Тб.2¦Насос дренажный, пом. 002Тб</v>
      </c>
      <c r="IR328" t="str" cm="1">
        <f t="array" ref="IR328">IF(IM328="","",_xlfn.LET(_xlpm.nd,_xlfn.TEXTSPLIT(IM328,"|"),IF(COLUMNS(_xlpm.nd)&gt;3,A328&amp;"¦"&amp;INDEX(_xlpm.nd,3)&amp;"¦"&amp;INDEX(_xlpm.nd,4),"")))</f>
        <v/>
      </c>
      <c r="IS328" t="str">
        <f t="shared" si="808"/>
        <v/>
      </c>
      <c r="IT328" t="str" cm="1">
        <f t="array" ref="IT328">IF(IM328="","",_xlfn.LET(_xlpm.nd,_xlfn.TEXTSPLIT(IM328,"|"),IF(COLUMNS(_xlpm.nd)&gt;4,A328&amp;"¦"&amp;INDEX(_xlpm.nd,4)&amp;"¦"&amp;INDEX(_xlpm.nd,5),"")))</f>
        <v/>
      </c>
      <c r="IU328" t="str">
        <f t="shared" si="809"/>
        <v/>
      </c>
      <c r="IV328" t="str" cm="1">
        <f t="array" ref="IV328">IF(IM328="","",_xlfn.LET(_xlpm.nd,_xlfn.TEXTSPLIT(IM328,"|"),IF(COLUMNS(_xlpm.nd)&gt;5,A328&amp;"¦"&amp;INDEX(_xlpm.nd,5)&amp;"¦"&amp;INDEX(_xlpm.nd,6),"")))</f>
        <v/>
      </c>
      <c r="IW328" t="str">
        <f t="shared" si="810"/>
        <v/>
      </c>
      <c r="IX328" t="str" cm="1">
        <f t="array" ref="IX328">IF(IM328="","",_xlfn.LET(_xlpm.nd,_xlfn.TEXTSPLIT(IM328,"|"),IF(COLUMNS(_xlpm.nd)&gt;6,A328&amp;"¦"&amp;INDEX(_xlpm.nd,6)&amp;"¦"&amp;INDEX(_xlpm.nd,7),"")))</f>
        <v/>
      </c>
      <c r="IY328" t="str">
        <f t="shared" si="811"/>
        <v/>
      </c>
      <c r="IZ328" t="str">
        <f t="shared" si="812"/>
        <v/>
      </c>
      <c r="JA328" t="str">
        <f t="shared" si="813"/>
        <v>QF3 → XT3</v>
      </c>
      <c r="JB328">
        <f t="shared" si="814"/>
        <v>0</v>
      </c>
      <c r="JC328">
        <f t="shared" si="815"/>
        <v>0</v>
      </c>
      <c r="JD328" t="str">
        <f t="shared" si="816"/>
        <v/>
      </c>
      <c r="JE328" t="str">
        <f t="shared" si="817"/>
        <v/>
      </c>
      <c r="JF328" t="str">
        <f t="shared" si="818"/>
        <v/>
      </c>
      <c r="JG328" t="str">
        <f t="shared" si="819"/>
        <v/>
      </c>
      <c r="JH328">
        <f>IF(B328="","",IFERROR(_xlfn.XLOOKUP(B328,Коды_код,Коды_уго),IFERROR(_xlfn.XLOOKUP(BC328,Коды_код,Коды_уго),IFERROR(_xlfn.XLOOKUP(LEFT(BC328,2),Коды_код,Коды_уго),""))))</f>
        <v>0</v>
      </c>
      <c r="JI328" t="str">
        <f>IF(B328="","",IF(OR(JH328="",JH328=0),"BOX",IFERROR(IF(VLOOKUP(JH328,УГО_блоки,3,FALSE)&amp;""&lt;&gt;"",VLOOKUP(JH328,УГО_блоки,3,FALSE),VLOOKUP(JH328,УГО_блоки,2,FALSE)),JH328)))</f>
        <v>BOX</v>
      </c>
      <c r="JJ328">
        <f t="shared" si="820"/>
        <v>1</v>
      </c>
      <c r="JK328" t="str">
        <f>IF(DQ328="","",IF(COUNTIF(DQ$3:DQ328,DQ328)=1,MAX(JK$2:JK327)+1,""))</f>
        <v/>
      </c>
      <c r="JL328" t="str">
        <f>IF(DE328="","",IF(COUNTIF(DE$3:DE328,DE328)+COUNTIF(DF$2:DF327,DE328)+COUNTIF(DG$2:DG327,DE328)=1,MAX(JL$2:JN327)+1,""))</f>
        <v/>
      </c>
      <c r="JM328" t="str">
        <f>IF(DF328="","",IF(COUNTIF(DE$3:DE328,DF328)+COUNTIF(DF$3:DF328,DF328)+COUNTIF(DG$2:DG327,DF328)=1,MAX(JL$2:JN327,JL328)+1,""))</f>
        <v/>
      </c>
      <c r="JN328" t="str">
        <f>IF(DG328="","",IF(COUNTIF(DE$3:DE328,DG328)+COUNTIF(DF$3:DF328,DG328)+COUNTIF(DG$3:DG328,DG328)=1,MAX(JL$2:JN327,JL328,JM328)+1,""))</f>
        <v/>
      </c>
      <c r="JO328" t="str">
        <f t="shared" si="821"/>
        <v>3х2,5</v>
      </c>
      <c r="JP328" t="str">
        <f>IF(JO328="","",IF(COUNTIF(JO$3:JO328,JO328)=1,MAX(JP$2:JP327)+1,""))</f>
        <v/>
      </c>
      <c r="JQ328" t="str">
        <f>IF(HG328="","",COUNTIF(HG$3:HG328,"?*"))</f>
        <v/>
      </c>
      <c r="JR328" t="str">
        <f>IF(OR(HG328="",HI328=""),"",IF(COUNTIFS(HG$3:HG328,"?*",HI$3:HI328,HI328)=1,MAX(JR$2:JR327)+1,""))</f>
        <v/>
      </c>
      <c r="JS328">
        <f t="shared" si="822"/>
        <v>0</v>
      </c>
      <c r="JT328">
        <f>IF(B328="","",COUNTIF(B$3:B328,"?*"))</f>
        <v>326</v>
      </c>
      <c r="JU328">
        <f>IF(HL328&lt;&gt;1,0,_xlfn.LET(_xlpm.k,MAX(IFERROR(--_xlfn.XLOOKUP(B328,Коды_код,Коды_3L),0),IFERROR(--_xlfn.XLOOKUP(BC328,Коды_код,Коды_3L),0),IFERROR(--_xlfn.XLOOKUP(LEFT(BC328,2),Коды_код,Коды_3L),0)),IF(_xlpm.k&gt;0,_xlpm.k,IF(IFERROR(--LEFT(SUBSTITUTE(JO328,"x","х"),FIND("х",SUBSTITUTE(JO328,"x","х"))-1),3)&gt;3,Каталог!$S$9,1))))</f>
        <v>1</v>
      </c>
      <c r="JV328">
        <f t="shared" si="823"/>
        <v>0</v>
      </c>
      <c r="JW328" t="str">
        <f t="shared" si="824"/>
        <v>авто</v>
      </c>
      <c r="JX328" t="str">
        <f t="shared" si="825"/>
        <v/>
      </c>
      <c r="JY328">
        <f t="shared" si="826"/>
        <v>0</v>
      </c>
      <c r="JZ328">
        <f t="shared" si="827"/>
        <v>1</v>
      </c>
    </row>
    <row r="329" spans="1:286" x14ac:dyDescent="0.3">
      <c r="A329" t="s">
        <v>765</v>
      </c>
      <c r="B329" t="s">
        <v>1631</v>
      </c>
      <c r="C329" t="str">
        <f>Линии[[#This Row],[_авто наименование]]</f>
        <v>Насос дренажный, пом. 002Тб</v>
      </c>
      <c r="D329">
        <v>1</v>
      </c>
      <c r="E329">
        <v>0.6</v>
      </c>
      <c r="G329">
        <v>16</v>
      </c>
      <c r="H329" t="str">
        <f>Линии[[#This Row],[_авто управление]]</f>
        <v/>
      </c>
      <c r="I329" t="str">
        <f>Линии[[#This Row],[_авто аппараты]]</f>
        <v/>
      </c>
      <c r="J329">
        <v>2.5</v>
      </c>
      <c r="K329">
        <v>10</v>
      </c>
      <c r="L329">
        <v>1</v>
      </c>
      <c r="M329" t="str">
        <f>Линии[[#This Row],[_авто клемма]]</f>
        <v>XT4</v>
      </c>
      <c r="N329" t="str">
        <f t="shared" si="690"/>
        <v/>
      </c>
      <c r="O329" s="6" cm="1">
        <f t="array" ref="O329">IF(B329="","",IF(BH329&lt;&gt;"",IFERROR(_xlfn.XLOOKUP(BH329,Щиты[Щит],Щиты[Iр, А]),""),IF(BP329=1,IF(OR(N(_xlfn.XLOOKUP(A329,Щиты[Щит],Щиты[Вводов],1))&lt;=1,LOWER(TRIM(_xlfn.XLOOKUP(A329,Щиты[Щит],Щиты[АВР],"")&amp;""))="да"),IFERROR(_xlfn.XLOOKUP(A329,Щиты[Щит],Щиты[Iр, А]),""),IFERROR(N(BS329)*_xlfn.XLOOKUP(A329,Щиты[Щит],Щиты[Кс итог])/(SQRT(3)*Uн_лин*_xlfn.XLOOKUP(A329,Щиты[Щит],Щиты[cos φ])),"")),IF(BV329=1,IFERROR(BS329*1000/BU329,""),IFERROR(_xlfn.IFS(BX329=1,BS329/((Uн_лин/SQRT(3))*CE329),BX329=3,BS329/(SQRT(3)*Uн_лин*CE329)),"")))))</f>
        <v>3.2475952641916441</v>
      </c>
      <c r="P329" s="7">
        <f>IF(B329="","",IFERROR(IF(VLOOKUP(BC329,Потребители_обозначение,4,FALSE)=1,VLOOKUP(BC329,Потребители_обозначение,3,FALSE)*(MAX(1,N(D329))*2-1)+EI329+VLOOKUP(BE329,Этаж_обозначение,3,FALSE)+VLOOKUP(BE329,Этаж_обозначение,4,FALSE),VLOOKUP(BC329,Потребители_обозначение,3,FALSE)*(MAX(1,N(D329))*2-1)+EI329),EI329))</f>
        <v>13</v>
      </c>
      <c r="Q329" s="6">
        <f t="shared" si="691"/>
        <v>2.1100000000000003</v>
      </c>
      <c r="R329" t="str">
        <f t="shared" si="692"/>
        <v>ВВГнг(А)-LS (3х2,5)</v>
      </c>
      <c r="S329" t="str">
        <f>IF(BM329="","",IF(BN329="вводной узел","узел ","")&amp;"л."&amp;(INT((BM329-1)/Столбцов_на_лист)+1)&amp;" / "&amp;(MOD(BM329-1,Столбцов_на_лист)+1))</f>
        <v>л.1 / 15</v>
      </c>
      <c r="T329" s="119">
        <f t="shared" si="693"/>
        <v>1.4</v>
      </c>
      <c r="U329" s="7" t="str">
        <f>IF(OR(CG329=0,N(BV329)+N(IB329)=0),"",ROUNDUP(Запас_БП*(N(HY329)+N(HZ329)),0))</f>
        <v/>
      </c>
      <c r="V329" s="119" t="str">
        <f t="shared" si="694"/>
        <v/>
      </c>
      <c r="W329" s="7" t="str">
        <f>IFERROR(IF(OR(B329="",BP329=1,BV329=1,NOT(ISNUMBER(EN329)),N(DT329)=0),"",MAX(0,ROUNDDOWN((c_min*(Uн_лин*1000/SQRT(3))/(HT329*N(DT329))-_xlfn.XLOOKUP(A329,Щиты[Щит],Щиты[Zпетли на шинах, Ом]))*EN329/(2*ρкз_Cu),0))),"")</f>
        <v/>
      </c>
      <c r="Y329" t="str">
        <f>Линии[[#This Row],[_авто утечка]]</f>
        <v/>
      </c>
      <c r="Z329">
        <v>1</v>
      </c>
      <c r="AA329">
        <v>230</v>
      </c>
      <c r="AB329" t="s">
        <v>598</v>
      </c>
      <c r="AC329">
        <v>0.7</v>
      </c>
      <c r="AG329" t="s">
        <v>810</v>
      </c>
      <c r="AI329" t="s">
        <v>604</v>
      </c>
      <c r="AK329" t="str">
        <f>Линии[[#This Row],[_авто модуль]]</f>
        <v/>
      </c>
      <c r="AM329">
        <v>15</v>
      </c>
      <c r="AN329" t="s">
        <v>11</v>
      </c>
      <c r="AO329">
        <v>3</v>
      </c>
      <c r="AQ329">
        <v>0</v>
      </c>
      <c r="AR329">
        <v>10</v>
      </c>
      <c r="AS329">
        <v>0</v>
      </c>
      <c r="AT329">
        <v>1</v>
      </c>
      <c r="BA329" cm="1">
        <f t="array" ref="BA329">ROW()-ROW(Линии[#Headers])</f>
        <v>327</v>
      </c>
      <c r="BC329" s="6" t="str">
        <f t="shared" si="695"/>
        <v>НВК</v>
      </c>
      <c r="BD329" t="str">
        <f t="shared" si="696"/>
        <v>00.002Тб.1</v>
      </c>
      <c r="BE329" t="str">
        <f t="shared" si="697"/>
        <v>00</v>
      </c>
      <c r="BF329" t="str">
        <f t="shared" si="698"/>
        <v>002Тб.1</v>
      </c>
      <c r="BG329" t="str">
        <f t="shared" si="699"/>
        <v>002Тб</v>
      </c>
      <c r="BH329" t="str">
        <f>IF(X329&lt;&gt;"",X329,IF(AND(B329&lt;&gt;"",B329&lt;&gt;A329,ISNUMBER(_xlfn.XMATCH(B329,Щиты[Щит]))),B329,""))</f>
        <v/>
      </c>
      <c r="BI329" t="str" cm="1">
        <f t="array" ref="BI329">IF(B329="","",IF(BH329&lt;&gt;"","Щит "&amp;BH329,_xlfn.LET(_xlpm.nm,IFERROR(_xlfn.XLOOKUP(BC329,Коды_код,Коды_имя)&amp;"",""),_xlpm.md,IFERROR(N(_xlfn.XLOOKUP(BC329,Коды_код,Коды_режим)),1),_xlpm.ex,IF(Имя_режим="по экспликации",IFERROR(_xlfn.XLOOKUP(BE329&amp;"|"&amp;BG329,Экспликация[Этаж]&amp;"|"&amp;Экспликация[Помещение],Экспликация[Название])&amp;"",""),""),_xlpm.rm,IF(BG329="","",IF(_xlpm.ex&lt;&gt;"",". "&amp;_xlpm.ex&amp;IF(Имя_пом="нет"," ("&amp;BG329&amp;")"," (пом. "&amp;BG329&amp;")"),IF(Имя_пом="нет"," ",", пом. ")&amp;BG329)),IF(_xlpm.nm="","",IF(_xlpm.md=2,_xlpm.nm&amp;" шлейф "&amp;BE329,_xlpm.nm&amp;_xlpm.rm)))))</f>
        <v>Насос дренажный, пом. 002Тб</v>
      </c>
      <c r="BJ329" t="str">
        <f t="shared" si="700"/>
        <v>Насос дренажный, пом. 002Тб</v>
      </c>
      <c r="BK329">
        <f>IFERROR(_xlfn.XMATCH(A329,Щиты[Щит]),0)</f>
        <v>14</v>
      </c>
      <c r="BL329">
        <f>_xlfn.LET(_xlpm.k,IFERROR(_xlfn.XLOOKUP(A329,Щиты[Щит],Щиты[Мест под вводной узел]),""),IF(_xlpm.k="",Столбцов_на_лист,N(_xlpm.k)))</f>
        <v>11</v>
      </c>
      <c r="BM329">
        <f t="shared" si="701"/>
        <v>15</v>
      </c>
      <c r="BN329" t="str">
        <f t="shared" si="702"/>
        <v>линии</v>
      </c>
      <c r="BO329" s="6">
        <f>IFERROR(N(_xlfn.XLOOKUP(BC329,Коды_код,Коды_квт)),0)</f>
        <v>0</v>
      </c>
      <c r="BP329">
        <f t="shared" si="703"/>
        <v>0</v>
      </c>
      <c r="BQ329" t="str">
        <f>IF(B329="","",IF(BH329&lt;&gt;"",IFERROR(_xlfn.XLOOKUP(BH329,Щиты[Щит],Щиты[Руст, кВт]),0),IF(BP329=1,IF(OR(N(_xlfn.XLOOKUP(A329,Щиты[Щит],Щиты[Вводов],1))&lt;=1,LOWER(TRIM(_xlfn.XLOOKUP(A329,Щиты[Щит],Щиты[АВР],"")&amp;""))="да"),IFERROR(_xlfn.XLOOKUP(A329,Щиты[Щит],Щиты[Руст, кВт]),0),SUMIFS(Линии[_Р для вводов],Линии[Щит],A329,Линии[Источник для режимов],GF329)),IF(BO329&gt;0,ROUND(BO329*MAX(1,N(D329)),3),""))))</f>
        <v/>
      </c>
      <c r="BR329">
        <f t="shared" si="704"/>
        <v>0.6</v>
      </c>
      <c r="BS329" s="6">
        <f>IF(B329="","",IF(BH329&lt;&gt;"",IFERROR(_xlfn.XLOOKUP(BH329,Щиты[Щит],Щиты[Руст, кВт]),0),N(BR329)))</f>
        <v>0.6</v>
      </c>
      <c r="BT329" t="str">
        <f>IF(B329="","",IFERROR(IF(VLOOKUP(BC329,Потребители_обозначение,8,FALSE)=0,"",VLOOKUP(BC329,Потребители_обозначение,8,FALSE)),""))</f>
        <v/>
      </c>
      <c r="BU329">
        <f t="shared" si="705"/>
        <v>230</v>
      </c>
      <c r="BV329">
        <f t="shared" si="706"/>
        <v>0</v>
      </c>
      <c r="BW329">
        <f>IF(B329="","",IF(BH329&lt;&gt;"",3,IFERROR(IF(N(VLOOKUP(BC329,Потребители_обозначение,9,FALSE))=0,1,VLOOKUP(BC329,Потребители_обозначение,9,FALSE)),1)))</f>
        <v>1</v>
      </c>
      <c r="BX329">
        <f t="shared" si="707"/>
        <v>1</v>
      </c>
      <c r="BY329" t="str">
        <f>IF(B329="","",_xlfn.LET(_xlpm.bc,IFERROR(IF(VLOOKUP(BC329,Потребители_обозначение,6,FALSE)=0,"",VLOOKUP(BC329,Потребители_обозначение,6,FALSE)&amp;""),""),IF(AND(GA329="да",OR(_xlpm.bc="",_xlpm.bc="мс")),Марка_пож,IF(AND(_xlpm.bc="",BH329&lt;&gt;""),"мс",_xlpm.bc))))</f>
        <v/>
      </c>
      <c r="BZ329" t="str">
        <f t="shared" si="708"/>
        <v>мс</v>
      </c>
      <c r="CA329">
        <f>IF(B329="","",_xlfn.LET(_xlpm.cc,IFERROR(N(VLOOKUP(BC329,Потребители_обозначение,7,FALSE)),0),IF(_xlpm.cc&gt;0,_xlpm.cc,IF(BZ329="","",IF(BV329=1,2,IF(N(BX329)=3,5,3))))))</f>
        <v>3</v>
      </c>
      <c r="CB329">
        <f t="shared" si="709"/>
        <v>3</v>
      </c>
      <c r="CC329">
        <f>IFERROR(N(VLOOKUP(BC329,Потребители_обозначение,10,FALSE)),0)</f>
        <v>0</v>
      </c>
      <c r="CD329">
        <f>IFERROR(VLOOKUP(BC329,Потребители_обозначение,5,FALSE),0)</f>
        <v>1</v>
      </c>
      <c r="CE329" s="6" cm="1">
        <f t="array" ref="CE329">IF(B329="","",IF(BH329&lt;&gt;"",IFERROR(_xlfn.XLOOKUP(BH329,Щиты[Щит],Щиты[cos φ]),0.95),IF(BP329=1,IFERROR(_xlfn.XLOOKUP(A329,Щиты[Щит],Щиты[cos φ]),0.95),IF(ISNUMBER(AD329),AD329,IFERROR(IF(CD329=2,_xlfn.IFS(BX329=3,VLOOKUP(BS329,Справочная_двигатели,8,FALSE),BX329=1,VLOOKUP(BS329,Справочная_двигатели,10,TRUE)),IF(AND(Методика="нормы 2026",FG329="Сил"),0.8,0.95)),0.95)))))</f>
        <v>0.8</v>
      </c>
      <c r="CF329">
        <f t="shared" si="710"/>
        <v>0</v>
      </c>
      <c r="CG329">
        <f t="shared" si="711"/>
        <v>1</v>
      </c>
      <c r="CH329">
        <f t="shared" si="712"/>
        <v>0</v>
      </c>
      <c r="CI329">
        <f>IF(B329="","",IF(BV329=1,IFERROR(BS329/((Uн_лин/SQRT(3))*MAX(0.5,N(CE329))),0),N(O329)))</f>
        <v>3.2475952641916441</v>
      </c>
      <c r="CJ329">
        <f t="shared" si="713"/>
        <v>0</v>
      </c>
      <c r="CK329">
        <f t="shared" si="714"/>
        <v>0</v>
      </c>
      <c r="CL329">
        <f t="shared" si="715"/>
        <v>0</v>
      </c>
      <c r="CM329">
        <f t="shared" si="716"/>
        <v>0</v>
      </c>
      <c r="CN329">
        <f t="shared" si="717"/>
        <v>0</v>
      </c>
      <c r="CO329">
        <f>IF(BC329="",0,_xlfn.LET(_xlpm.v,IFERROR(_xlfn.XLOOKUP(B329,Коды_код,Коды_мА),IFERROR(_xlfn.XLOOKUP(BC329,Коды_код,Коды_мА),IFERROR(_xlfn.XLOOKUP(LEFT(BC329,2),Коды_код,Коды_мА),""))),IF(_xlpm.v="да",30,IF(ISNUMBER(_xlpm.v),_xlpm.v,0))))</f>
        <v>0</v>
      </c>
      <c r="CP329" t="str">
        <f t="shared" si="718"/>
        <v/>
      </c>
      <c r="CQ329" t="str">
        <f>_xlfn.LET(_xlpm.k,IFERROR(_xlfn.XLOOKUP(BC329,Коды_код,Коды_утечка)&amp;"",""),IF(_xlpm.k="","дифавтомат",_xlpm.k))</f>
        <v>дифавтомат</v>
      </c>
      <c r="CR329" t="str" cm="1">
        <f t="array" ref="CR329">IF(CG329=0,"",_xlfn.LET(_xlpm.sg,TRIM(_xlfn.TEXTSPLIT(DD329&amp;"",";")),_xlpm.f_,_xlfn._xlws.FILTER(_xlpm.sg,LEFT(_xlpm.sg,3)="УЗО",""),IFERROR(INDEX(_xlpm.f_,1)&amp;"","")))</f>
        <v/>
      </c>
      <c r="CS329" t="str">
        <f t="shared" si="719"/>
        <v/>
      </c>
      <c r="CT329" s="6" t="str" cm="1">
        <f t="array" ref="CT329">IF(CR329="","",_xlfn.LET(_xlpm.tk,_xlfn.TEXTSPLIT(UPPER(CR329)," ",,TRUE),_xlpm.a_,_xlfn._xlws.FILTER(_xlpm.tk,ISNUMBER(--LEFT(_xlpm.tk,1))*((ISNUMBER(SEARCH("А",_xlpm.tk))+ISNUMBER(SEARCH("A",_xlpm.tk)))&gt;0)*NOT(ISNUMBER(SEARCH("МА",_xlpm.tk)))*NOT(ISNUMBER(SEARCH("MA",_xlpm.tk))),""),IFERROR(--SUBSTITUTE(SUBSTITUTE(INDEX(_xlpm.a_,1),"А",""),"A",""),"")))</f>
        <v/>
      </c>
      <c r="CU329" t="str" cm="1">
        <f t="array" ref="CU329">IF(CR329="","",_xlfn.LET(_xlpm.tk,_xlfn.TEXTSPLIT(UPPER(CR329)," ",,TRUE),_xlpm.a_,_xlfn._xlws.FILTER(_xlpm.tk,ISNUMBER(--LEFT(_xlpm.tk,1))*((ISNUMBER(SEARCH("МА",_xlpm.tk))+ISNUMBER(SEARCH("MA",_xlpm.tk)))&gt;0),""),IFERROR(--SUBSTITUTE(SUBSTITUTE(INDEX(_xlpm.a_,1),"МА",""),"MA",""),30)))</f>
        <v/>
      </c>
      <c r="CV329" t="str">
        <f>IF(CS329="","",IFERROR(_xlfn.XLOOKUP(CS329,Линии[_n],Линии[_УЗО, мА]),30))</f>
        <v/>
      </c>
      <c r="CW329">
        <f>IF(CS329="",0,IF(ISNUMBER(SEARCH("4P",IFERROR(_xlfn.XLOOKUP(CS329,Линии[_n],Линии[_УЗО строки])&amp;"",""))),0,1))</f>
        <v>0</v>
      </c>
      <c r="CX329" t="str">
        <f>IF(AND(CS329&lt;&gt;"",CS329=BA329),SUMIFS(Линии[_ток на 230 В],Линии[_блок УЗО],BA329,Линии[Щит],A329),"")</f>
        <v/>
      </c>
      <c r="CY329" t="str">
        <f>IF(AND(CS329&lt;&gt;"",CS329=BA329),SUMIFS(Линии[_ток утечки линии, мА],Линии[_блок УЗО],BA329,Линии[Щит],A329),"")</f>
        <v/>
      </c>
      <c r="CZ329">
        <f t="shared" si="720"/>
        <v>0</v>
      </c>
      <c r="DA329">
        <f t="shared" si="721"/>
        <v>0</v>
      </c>
      <c r="DB329">
        <f>IF(B329="",0,IFERROR(--_xlfn.XLOOKUP(B329,Коды_код,Коды_минавт),IFERROR(--_xlfn.XLOOKUP(BC329,Коды_код,Коды_минавт),IFERROR(--_xlfn.XLOOKUP(LEFT(BC329,2),Коды_код,Коды_минавт),0))))</f>
        <v>0</v>
      </c>
      <c r="DC329" t="str">
        <f>IF(B329="","",IFERROR(_xlfn.XLOOKUP(BC329,Коды_код,Коды_апп)&amp;"",""))</f>
        <v/>
      </c>
      <c r="DD329" t="str">
        <f t="shared" si="722"/>
        <v/>
      </c>
      <c r="DE329" t="str" cm="1">
        <f t="array" ref="DE329">IF(TRIM(DD329&amp;"")="","",IFERROR(TRIM(INDEX(_xlfn.TEXTSPLIT(DD329&amp;";;;",";"),1)),""))</f>
        <v/>
      </c>
      <c r="DF329" t="str" cm="1">
        <f t="array" ref="DF329">IF(TRIM(DD329&amp;"")="","",IFERROR(TRIM(INDEX(_xlfn.TEXTSPLIT(DD329&amp;";;;",";"),2)),""))</f>
        <v/>
      </c>
      <c r="DG329" t="str" cm="1">
        <f t="array" ref="DG329">IF(TRIM(DD329&amp;"")="","",IFERROR(TRIM(INDEX(_xlfn.TEXTSPLIT(DD329&amp;";;;",";"),3)),""))</f>
        <v/>
      </c>
      <c r="DH329">
        <f t="shared" si="723"/>
        <v>0</v>
      </c>
      <c r="DI329" t="str">
        <f>IF(B329="","",_xlfn.LET(_xlpm.t,LOWER(AZ329&amp;""),IF(ISNUMBER(SEARCH("dim",_xlpm.t)),"DIM",IF(ISNUMBER(SEARCH("dali",_xlpm.t)),"DALI",IF(OR(ISNUMBER(SEARCH("relay",_xlpm.t)),ISNUMBER(SEARCH("реле",_xlpm.t))),"Relay",IF(ISNUMBER(SEARCH("кнопк",_xlpm.t)),"",IFERROR(_xlfn.XLOOKUP(BC329,Коды_код,Коды_упр)&amp;"","")))))))</f>
        <v/>
      </c>
      <c r="DJ329" t="str">
        <f t="shared" si="724"/>
        <v/>
      </c>
      <c r="DK329">
        <f>IF(B329="","",_xlfn.LET(_xlpm.ig,IF(N(CX329)&gt;0,N(CX329),N(CI329)+IF(AJ329="вручную",0,N(CJ329))),_xlpm.n0,IFERROR(VLOOKUP(_xlpm.ig,Автомат_номиналы,2,TRUE),0),_xlpm.mn,MAX(DB329,IF(AJ329="вручную",0,N(CM329))),MAX(_xlpm.n0,_xlpm.mn,IF(DH329=1,Мин_автомат_БП,0))))</f>
        <v>6</v>
      </c>
      <c r="DL329">
        <f t="shared" si="725"/>
        <v>1</v>
      </c>
      <c r="DM329" t="str">
        <f t="shared" si="726"/>
        <v>1P</v>
      </c>
      <c r="DN329" t="str">
        <f>_xlfn.LET(_xlpm.cc,UPPER(TRIM(IFERROR(_xlfn.XLOOKUP(BC329,Коды_код,Коды_хар)&amp;"",""))),IF(OR(_xlpm.cc="B",_xlpm.cc="В"),"B",IF(_xlpm.cc="D","D","С")))</f>
        <v>С</v>
      </c>
      <c r="DO329" t="str">
        <f t="shared" si="727"/>
        <v>1P С6А</v>
      </c>
      <c r="DP329">
        <f t="shared" si="728"/>
        <v>16</v>
      </c>
      <c r="DQ329" t="str">
        <f t="shared" si="729"/>
        <v>1P С16А</v>
      </c>
      <c r="DR329" cm="1">
        <f t="array" ref="DR329">IF(DQ329="","",_xlfn.LET(_xlpm.t,SUBSTITUTE(SUBSTITUTE(SUBSTITUTE(UPPER(DQ329),"С","C"),"А","A"),"В","B"),_xlpm.tk,_xlfn.TEXTSPLIT(_xlpm.t," "),_xlpm.f,_xlfn._xlws.FILTER(_xlpm.tk,ISNUMBER(--MID(_xlpm.tk,2,1))*ISNUMBER(SEARCH(LEFT(_xlpm.tk,1)&amp;"#","B#C#D#"))*(LEN(_xlpm.tk)&gt;1),""),_xlpm.x,INDEX(_xlpm.f,1),IFERROR(--SUBSTITUTE(MID(_xlpm.x,2,9),"A",""),IFERROR(--SUBSTITUTE(INDEX(_xlfn._xlws.FILTER(_xlpm.tk,ISNUMBER(--SUBSTITUTE(_xlpm.tk,"A","")),""),1),"A",""),""))))</f>
        <v>16</v>
      </c>
      <c r="DS329" t="str">
        <f t="shared" si="730"/>
        <v>ok</v>
      </c>
      <c r="DT329">
        <f t="shared" si="731"/>
        <v>16</v>
      </c>
      <c r="DU329" t="str">
        <f t="shared" si="732"/>
        <v>1P С16А</v>
      </c>
      <c r="DV329">
        <f t="shared" si="733"/>
        <v>0</v>
      </c>
      <c r="DW329">
        <f t="shared" si="734"/>
        <v>0</v>
      </c>
      <c r="DX329">
        <f t="shared" si="735"/>
        <v>0</v>
      </c>
      <c r="DY329">
        <f t="shared" si="736"/>
        <v>3.2475952641916441</v>
      </c>
      <c r="DZ329">
        <f t="shared" si="737"/>
        <v>1</v>
      </c>
      <c r="EA329">
        <f>IF(ISNUMBER(AP329),AP329,К_прокл)</f>
        <v>1</v>
      </c>
      <c r="EB329">
        <f t="shared" si="738"/>
        <v>2</v>
      </c>
      <c r="EC329">
        <f>IFERROR(N(VLOOKUP(BZ329,Кабель_обозначение,3,FALSE)),1)</f>
        <v>1</v>
      </c>
      <c r="ED329">
        <f>IFERROR(N(_xlfn.XLOOKUP(A329,Щиты[Щит],Щиты[ΔU до шин, %])),0)</f>
        <v>1.84</v>
      </c>
      <c r="EE329" t="str">
        <f>IFERROR(_xlfn.XLOOKUP(A329,Щиты[Щит],Щиты[Zпетли на шинах, Ом]),"")</f>
        <v/>
      </c>
      <c r="EF329">
        <f>IFERROR(N(_xlfn.XLOOKUP(A329,Щиты[Щит],Щиты[ΔU до шин (подбор), %])),0)</f>
        <v>4.8499999999999996</v>
      </c>
      <c r="EG329" t="str">
        <f>IFERROR(_xlfn.XLOOKUP(A329,Щиты[Щит],Щиты[Zпетли на шинах (подбор), Ом]),"")</f>
        <v/>
      </c>
      <c r="EH329" t="str">
        <f t="shared" si="739"/>
        <v/>
      </c>
      <c r="EI329">
        <f t="shared" si="740"/>
        <v>10</v>
      </c>
      <c r="EJ329">
        <f t="shared" si="741"/>
        <v>2</v>
      </c>
      <c r="EK329">
        <f t="shared" si="742"/>
        <v>0.6</v>
      </c>
      <c r="EL329" s="6">
        <f>IF(B329="","",IF(BV329=1,dU_LED,IF(IFERROR(_xlfn.XLOOKUP(BC329,Коды_код,Коды_уго),"")="Светильник",3,4)+IF(Методика="нормы 2026",MIN(0.5,MAX(0,N(P329)-100)*0.005),0)))</f>
        <v>4</v>
      </c>
      <c r="EM329" t="str" cm="1">
        <f t="array" ref="EM329">IF(OR(B329="",BZ329="",EC329&lt;&gt;1),"",_xlfn.LET(_xlpm.sz,Iдоп_S,_xlpm.t_,CHOOSE(EB329,Iдоп_1ж,Iдоп_2ж,Iдоп_3ж)*DZ329*EA329,_xlpm.dcx,BV329=1,_xlpm.inn,IF(_xlpm.dcx,N(O329),N(DT329)),_xlpm.smin,MAX(1.5,CC329),_xlpm.L_,N(P329)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329)/N(BU329)*100,999),IFERROR(N(EJ329)*(_xlpm.rho*_xlpm.L_/_xlpm.sz*N(CE329)+_xlpm.xx*_xlpm.L_*N(EK329)/1000)*N(O329)/((Uн_лин/SQRT(3))*1000)*100,999)),_xlpm.kz,IF(OR(_xlpm.dcx,DW329=1,NOT(ISNUMBER(EG329)),_xlpm.L_=0,_xlpm.inn=0),1,IFERROR(--(c_min*(Uн_лин*1000/SQRT(3))/(EG329+2*ρкз_Cu*_xlpm.L_/_xlpm.sz)&gt;=HT329*_xlpm.inn),0)),_xlpm.ok,IFERROR((_xlpm.sz&gt;=_xlpm.smin)*(_xlpm.t_&gt;=_xlpm.inn)*IF(_xlpm.L_&gt;0,(_xlpm.du_+IF(_xlpm.dcx,0,EF329)&lt;=EL329+0.00001),1)*_xlpm.kz,0),_xlpm.r_,_xlfn._xlws.FILTER(_xlpm.sz,_xlpm.ok,"не подобрано"),INDEX(_xlpm.r_,1)))</f>
        <v>не подобрано</v>
      </c>
      <c r="EN329">
        <f t="shared" si="743"/>
        <v>2.5</v>
      </c>
      <c r="EO329" cm="1">
        <f t="array" ref="EO329">IF(OR(B329="",BZ329="",EC329&lt;&gt;1),"",_xlfn.LET(_xlpm.sz,Iдоп_S,_xlpm.t_,CHOOSE(EB329,Iдоп_1ж,Iдоп_2ж,Iдоп_3ж)*DZ329*EA329,_xlpm.ok,IFERROR((_xlpm.sz&gt;=MAX(1.5,CC329))*(_xlpm.t_&gt;=N(DT329)),0),_xlpm.r_,_xlfn._xlws.FILTER(_xlpm.sz,_xlpm.ok,""),INDEX(_xlpm.r_,1)))</f>
        <v>1.5</v>
      </c>
      <c r="EP329" s="6" cm="1">
        <f t="array" ref="EP329">IFERROR(ROUNDUP(N(EJ329)*(_xlfn.XLOOKUP(EO329,INDEX(Кабель_сопротивление,0,1),INDEX(Кабель_сопротивление,0,3))*N(P329)/EO329*N(CE329)+_xlfn.XLOOKUP(EO329,INDEX(Кабель_сопротивление,0,1),INDEX(Кабель_сопротивление,0,2))*N(P329)*N(EK329)/1000)*N(O329)/((Uн_лин/SQRT(3))*1000)*100,2),"")</f>
        <v>0.45</v>
      </c>
      <c r="EQ329">
        <f>IFERROR(2*ρкз_Cu*N(P329)/EO329,"")</f>
        <v>0.45586666666666664</v>
      </c>
      <c r="ER329">
        <f>IFERROR(VLOOKUP(EN329,Кабель_сопротивление,3,FALSE),"")</f>
        <v>2.2499999999999999E-2</v>
      </c>
      <c r="ES329">
        <f>IFERROR(VLOOKUP(EN329,Кабель_сопротивление,2,FALSE),"")</f>
        <v>0.1</v>
      </c>
      <c r="ET329">
        <f t="shared" si="744"/>
        <v>10</v>
      </c>
      <c r="EU329">
        <f t="shared" si="745"/>
        <v>0</v>
      </c>
      <c r="EV329">
        <f t="shared" si="746"/>
        <v>0.61301608206881475</v>
      </c>
      <c r="EW329" s="6">
        <f>IFERROR(ROUNDUP(EV329/IF(BV329=1,BU329,(Uн_лин/SQRT(3))*1000)*100,2),"")</f>
        <v>0.27</v>
      </c>
      <c r="EX329" t="str">
        <f>IFERROR(VLOOKUP(BZ329,Кабель_обозначение,2,FALSE),"")</f>
        <v>ВВГнг(А)-LS</v>
      </c>
      <c r="EY329" t="str">
        <f t="shared" si="747"/>
        <v>ВВГнг(А)-LS (3х2,5)</v>
      </c>
      <c r="EZ329" t="str">
        <f t="shared" si="748"/>
        <v>ВВГнг(А)-LS (3х2,5)
L=13-0,27%</v>
      </c>
      <c r="FA329">
        <f>IFERROR(2*ρкз_Cu*P329/EN329,"")</f>
        <v>0.27351999999999999</v>
      </c>
      <c r="FB329">
        <f t="shared" si="749"/>
        <v>9.1000000000000011E-2</v>
      </c>
      <c r="FC329" s="6" t="str">
        <f>IFERROR(IF(OR(B329="",BV329=1,NOT(ISNUMBER(EN329)),N(P329)=0),"",_xlfn.XLOOKUP(A329,Щиты[Щит],Щиты[Zпетли на шинах, Ом])+FA329),"")</f>
        <v/>
      </c>
      <c r="FD329" s="6" t="str">
        <f>IF(ISNUMBER(FC329),c_min*(Uн_лин*1000/SQRT(3))/FC329,"")</f>
        <v/>
      </c>
      <c r="FE329" s="6" t="str">
        <f>IFERROR(IF(OR(B329="",NOT(ISNUMBER(EN329))),"",1.05*(Uн_лин*1000/SQRT(3))/(_xlfn.XLOOKUP(A329,Щиты[Щит],Щиты[Zmax на шинах, Ом])+FB329)/1000),"")</f>
        <v/>
      </c>
      <c r="FF329" s="6" t="str">
        <f>IF(B329="","",IF(ISNUMBER(AC329),"Сил",IF(IFERROR(_xlfn.XLOOKUP(BC329,Коды_код,Коды_группа)&amp;"","")="","Быт",_xlfn.XLOOKUP(BC329,Коды_код,Коды_группа)&amp;"")))</f>
        <v>Сил</v>
      </c>
      <c r="FG329" s="6" t="str">
        <f t="shared" si="750"/>
        <v>Сил</v>
      </c>
      <c r="FH329" s="6">
        <f>IF(FG329="Щит","щит",IF(FG329="","",IF(FG329="Быт",IFERROR(_xlfn.XLOOKUP(A329,Щиты[Щит],Щиты[Кс быт]),1),IF(FG329="Сил",IF(ISNUMBER(AC329),AC329,IF(Методика="нормы 2026",IFERROR(_xlfn.XLOOKUP(A329,Щиты[Щит],Щиты[Кс силовых (табл. 7.5)]),1),1)),IF(OR(FG329="Пост",FG329="Отоп"),1,IF(FG329="ВНГ",0.7,0))))))</f>
        <v>0.7</v>
      </c>
      <c r="FI329">
        <f>IF(FG329="","",IF(AND(BP329=1,TRIM(AE329&amp;"")=""),IF(COUNTIFS(Линии[Щит],A329,Линии[Секция (1/2/3)],"&gt;=2")&gt;0,MIN(3,MAX(1,IFERROR(--BD329,1))),1),IFERROR(MIN(3,MAX(1,INT(--AE329))),1)))</f>
        <v>1</v>
      </c>
      <c r="FJ329">
        <f t="shared" si="751"/>
        <v>0.6</v>
      </c>
      <c r="FK329">
        <f t="shared" si="752"/>
        <v>0</v>
      </c>
      <c r="FL329">
        <f t="shared" si="753"/>
        <v>0.42</v>
      </c>
      <c r="FM329">
        <f t="shared" si="754"/>
        <v>0</v>
      </c>
      <c r="FN329">
        <f t="shared" si="755"/>
        <v>0</v>
      </c>
      <c r="FO329">
        <f t="shared" si="756"/>
        <v>0</v>
      </c>
      <c r="FP329">
        <f t="shared" si="757"/>
        <v>0.6</v>
      </c>
      <c r="FQ329">
        <f t="shared" si="758"/>
        <v>0.6</v>
      </c>
      <c r="FR329">
        <f t="shared" si="759"/>
        <v>0.48</v>
      </c>
      <c r="FS329">
        <f>IF(CG329=1,IF(AND(CH329=1,CW329=1),0,IF(AND(CS329&lt;&gt;"",CS329=BA329,CW329=1),SUMIFS(Линии[_Р линии, кВт],Линии[_блок УЗО],BA329,Линии[Щит],A329),N(BS329)+IF(AJ329="вручную",0,N(CK329)))),0)</f>
        <v>0.6</v>
      </c>
      <c r="FT329" t="str">
        <f t="shared" si="760"/>
        <v>L1</v>
      </c>
      <c r="FU329" t="str">
        <f>IF(B329="","",IF(CG329=0,IF(BA329=1,"",FW328),IF(AND(CH329=1,CW329=1,CS329&lt;&gt;""),IFERROR(_xlfn.XLOOKUP(CS329,Линии[_n],Линии[_фаза итог]),"L1"),IF(OR(N(DL329)&gt;=3,N(BX329)&gt;=3),"L1,L2,L3",IFERROR(_xlfn.TEXTBEFORE(_xlfn.TEXTAFTER(_xlfn.XLOOKUP(A329,Щиты[Щит],Щиты[_фазы авто]),";"&amp;BA329&amp;":"),";"),"L1")))))</f>
        <v>L1</v>
      </c>
      <c r="FV329" t="str">
        <f t="shared" si="761"/>
        <v>L1</v>
      </c>
      <c r="FW329" t="str">
        <f t="shared" si="762"/>
        <v>L1</v>
      </c>
      <c r="FX329" cm="1">
        <f t="array" ref="FX329">IFERROR(IF(CD329=2,_xlfn.IFS(BX329=3,VLOOKUP(BS329,Справочная_двигатели,3,FALSE),BX329=1,VLOOKUP(BS329,Справочная_двигатели,5,TRUE)),0),0)</f>
        <v>0</v>
      </c>
      <c r="FY329">
        <f>IFERROR(IF(CD329=3,VLOOKUP(BS329,Справочная_ЛЭД,2,TRUE),0),0)</f>
        <v>0</v>
      </c>
      <c r="FZ329" s="6">
        <f t="shared" si="763"/>
        <v>0</v>
      </c>
      <c r="GA329" t="str">
        <f>IF(B329="","",IF(TRIM(AH329&amp;"")&lt;&gt;"",IF(LOWER(TRIM(AH329&amp;""))="да","да","нет"),IF(IFERROR(_xlfn.XLOOKUP(BC329,Коды_код,Коды_пожарная),"")="да","да","нет")))</f>
        <v>нет</v>
      </c>
      <c r="GB329" t="str">
        <f t="shared" si="764"/>
        <v/>
      </c>
      <c r="GC329" t="str">
        <f t="shared" si="765"/>
        <v>основная</v>
      </c>
      <c r="GD329">
        <f>IF(AND(BP329=1,TRIM(AE329&amp;"")=""),IF(COUNTIFS(Линии[Щит],A329,Линии[Секция (1/2/3)],"&gt;=2")&gt;0,MIN(3,MAX(1,IFERROR(--BD329,1))),1),IFERROR(MIN(3,MAX(1,INT(--AE329))),1))</f>
        <v>1</v>
      </c>
      <c r="GE329" t="str" cm="1">
        <f t="array" ref="GE329">IF(B329="","",_xlfn.LET(_xlpm.t,IFERROR(_xlfn.XLOOKUP(1,(Шины[Шина]=GC329)*(((Шины[Щит]=A329)+(Шины[Щит]=""))&gt;0),Шины[Тип]),"")&amp;"",IF(_xlpm.t&lt;&gt;"",_xlpm.t,IF(ISNUMBER(SEARCH("ИБП",GC329)),"ИБП",IF(ISNUMBER(SEARCH("ДГУ",GC329)),"ДГУ","Ввод "&amp;GD329)))))</f>
        <v>Ввод 1</v>
      </c>
      <c r="GF329" t="str">
        <f t="shared" si="766"/>
        <v>Ввод 1</v>
      </c>
      <c r="GG329" t="str">
        <f>IF(BP329=0,"",IF(TRIM(AG329&amp;"")&lt;&gt;"",TRIM(AG329&amp;""),IF(OR(GE329="ИБП",GE329="ДГУ"),"I особая",_xlfn.XLOOKUP(A329,Щиты[Щит],Щиты[Категория шины «Ввод»],"III"))))</f>
        <v/>
      </c>
      <c r="GH329" t="str">
        <f>IF(A329="","",_xlfn.XLOOKUP(A329,Щиты[Щит],Щиты[Путь],""))</f>
        <v>|ГРЩ-ЖД|ЩС-ВК.002|</v>
      </c>
      <c r="GI329" t="str">
        <f>IF(B329="","",IF(AI329&lt;&gt;"",AI329,IF(IFERROR(_xlfn.XLOOKUP(BC329,Коды_код,Коды_вид)&amp;"","")="","Прочее",_xlfn.XLOOKUP(BC329,Коды_код,Коды_вид)&amp;"")))</f>
        <v>Насосы (водоснабжение, дренаж)</v>
      </c>
      <c r="GJ329">
        <f>IF(BM329="","",INT((BM329-1)/Столбцов_на_лист)+1)</f>
        <v>1</v>
      </c>
      <c r="GK329" t="str">
        <f t="shared" si="767"/>
        <v>ВВГнг(А)-LS (3х2,5) L=13-0,27%</v>
      </c>
      <c r="GL329">
        <f t="shared" si="768"/>
        <v>0.6</v>
      </c>
      <c r="GM329">
        <f t="shared" si="769"/>
        <v>3.25</v>
      </c>
      <c r="GN329">
        <f t="shared" si="770"/>
        <v>1</v>
      </c>
      <c r="GO329">
        <f t="shared" si="771"/>
        <v>0</v>
      </c>
      <c r="GP329">
        <f t="shared" si="772"/>
        <v>1</v>
      </c>
      <c r="GQ329">
        <f>IF(BM329="","",IF(AND(CG329=1,GP329=1),COUNTIFS(A$3:A329,A329,CG$3:CG329,1,GP$3:GP329,1),IF(OR(OR(BA329=1,A329&lt;&gt;A328),AJ329="вручную",GP329=0),"",IF(BA329=1,"",GR328))))</f>
        <v>4</v>
      </c>
      <c r="GR329">
        <f t="shared" si="773"/>
        <v>4</v>
      </c>
      <c r="GS329">
        <f>IF(B329="","",IFERROR(LOOKUP(INDEX(CHOOSE(EB329,Iдоп_1ж,Iдоп_2ж,Iдоп_3ж),MATCH(EN329,Iдоп_S,0))*DZ329*EA329,{6,10,16,20,25,32,40,50,63,80,100,125,160,200,250,315,400,500,630}),""))</f>
        <v>25</v>
      </c>
      <c r="GT329" t="str">
        <f t="shared" si="774"/>
        <v>QF4</v>
      </c>
      <c r="GU329" t="str">
        <f t="shared" si="775"/>
        <v>QF4</v>
      </c>
      <c r="GV329" t="str">
        <f t="shared" si="776"/>
        <v/>
      </c>
      <c r="GW329">
        <f t="shared" si="777"/>
        <v>0</v>
      </c>
      <c r="GX329" t="str">
        <f>IF(OR(B329="",DJ329=""),"",IFERROR(_xlfn.XLOOKUP(DJ329,Модули_умолч[Управление],Модули_умолч[Модель])&amp;"",""))</f>
        <v/>
      </c>
      <c r="GY329">
        <f>IF(DJ329="",1,IFERROR(MAX(0,N(_xlfn.XLOOKUP(DJ329,Модули_умолч[Управление],Модули_умолч[Каналов на линию]))),1))</f>
        <v>1</v>
      </c>
      <c r="GZ329" t="str">
        <f t="shared" si="778"/>
        <v/>
      </c>
      <c r="HA329" t="str">
        <f t="shared" si="779"/>
        <v/>
      </c>
      <c r="HB329" t="str">
        <f t="shared" si="780"/>
        <v/>
      </c>
      <c r="HC329">
        <f>IF(HB329="",0,IFERROR(N(VLOOKUP(HB329,Модули_спр,3,FALSE)),0))</f>
        <v>0</v>
      </c>
      <c r="HD329" t="str">
        <f t="shared" si="781"/>
        <v/>
      </c>
      <c r="HE329" t="str">
        <f t="shared" si="782"/>
        <v/>
      </c>
      <c r="HF329" t="str">
        <f>IF(OR(HE329="",HE329="-"),"",IFERROR(VLOOKUP(HE329,Модули_спр,2,FALSE),"R"))</f>
        <v/>
      </c>
      <c r="HG329" t="str">
        <f>IF(HF329="","",HF329&amp;"."&amp;COUNTIFS(A$3:A329,A329,HF$3:HF329,HF329))</f>
        <v/>
      </c>
      <c r="HH329" t="str">
        <f t="shared" si="783"/>
        <v/>
      </c>
      <c r="HI329" t="str">
        <f t="shared" si="784"/>
        <v/>
      </c>
      <c r="HJ329" t="str">
        <f t="shared" si="785"/>
        <v/>
      </c>
      <c r="HK329" t="str">
        <f t="shared" si="786"/>
        <v/>
      </c>
      <c r="HL329">
        <f t="shared" si="787"/>
        <v>1</v>
      </c>
      <c r="HM329" t="str">
        <f>IF(HL329=1,"XT"&amp;COUNTIFS(A$3:A329,A329,HL$3:HL329,1),"")</f>
        <v>XT4</v>
      </c>
      <c r="HN329" t="str">
        <f t="shared" si="788"/>
        <v>XT4</v>
      </c>
      <c r="HO329" t="str">
        <f t="shared" si="789"/>
        <v>QF4</v>
      </c>
      <c r="HP329" t="str">
        <f t="shared" si="790"/>
        <v/>
      </c>
      <c r="HQ329" t="str">
        <f t="shared" si="791"/>
        <v>ok</v>
      </c>
      <c r="HR329" t="str">
        <f>IF(OR(HJ329="",HH329=""),"",IF(HJ329+MAX(0,GY329-1)&gt;IFERROR(VLOOKUP(HI329,Модули_спр,3,FALSE),99),"ЛИШНИЙ КАНАЛ",IF(AND(AL329&lt;&gt;"=",GY329&gt;0,COUNTIFS(Линии[_модуль гр.],HH329,Линии[Канал (итог)],HJ329,Линии[Канал],"&lt;&gt;=",Линии[Щит],A329)&gt;1),"ДУБЛЬ КАНАЛА","")))</f>
        <v/>
      </c>
      <c r="HS329" s="6" t="str">
        <f t="shared" si="792"/>
        <v/>
      </c>
      <c r="HT329">
        <f t="shared" si="793"/>
        <v>10</v>
      </c>
      <c r="HU329" t="str">
        <f t="shared" si="794"/>
        <v/>
      </c>
      <c r="HV329">
        <f t="shared" si="795"/>
        <v>1.4290381056766579</v>
      </c>
      <c r="HW329">
        <f t="shared" si="796"/>
        <v>0</v>
      </c>
      <c r="HX329">
        <f t="shared" si="797"/>
        <v>0</v>
      </c>
      <c r="HY329">
        <f t="shared" si="798"/>
        <v>0</v>
      </c>
      <c r="HZ329">
        <f t="shared" si="799"/>
        <v>0</v>
      </c>
      <c r="IA329">
        <f t="shared" si="800"/>
        <v>0</v>
      </c>
      <c r="IB329">
        <f t="shared" si="801"/>
        <v>0</v>
      </c>
      <c r="IC329" t="str">
        <f t="shared" si="802"/>
        <v/>
      </c>
      <c r="ID329" t="str" cm="1">
        <f t="array" ref="ID329">IF(IC329="","",_xlfn.LET(_xlpm.tk,_xlfn.TEXTSPLIT(SUBSTITUTE(SUBSTITUTE(IC329,";"," "),"→"," ")," ",,TRUE),_xlpm.w_,_xlfn._xlws.FILTER(_xlpm.tk,ISNUMBER(--LEFT(_xlpm.tk,1))*((ISNUMBER(SEARCH("W",_xlpm.tk))+ISNUMBER(SEARCH("Вт",_xlpm.tk)))&gt;0),""),IFERROR(--SUBSTITUTE(SUBSTITUTE(UPPER(INDEX(_xlpm.w_,1)),"W",""),"ВТ",""),"")))</f>
        <v/>
      </c>
      <c r="IE329" t="str" cm="1">
        <f t="array" ref="IE329">IF(IC329="","",_xlfn.LET(_xlpm.tk,_xlfn.TEXTSPLIT(SUBSTITUTE(SUBSTITUTE(IC329,";"," "),"→"," ")," ",,TRUE),_xlpm.v_,_xlfn._xlws.FILTER(_xlpm.tk,ISNUMBER(--LEFT(_xlpm.tk,1))*((ISNUMBER(SEARCH("V",_xlpm.tk))+(RIGHT(UPPER(_xlpm.tk))="В"))&gt;0),""),IFERROR(--SUBSTITUTE(SUBSTITUTE(UPPER(INDEX(_xlpm.v_,1)),"V",""),"В",""),"")))</f>
        <v/>
      </c>
      <c r="IF329" s="6" t="str">
        <f>IF(OR(BV329=0,HI329="",HJ329=""),"",IFERROR(N(_xlfn.XLOOKUP(HI329,Каталог!$C$4:$C$500,Каталог!$Q$4:$Q$500)),""))</f>
        <v/>
      </c>
      <c r="IG329" s="6" t="str">
        <f>IF(N(IF329)=0,"",SUMIFS(Линии[Iр, А],Линии[Щит],A329,Линии[_модуль гр.],HH329,Линии[Канал (итог)],HJ329))</f>
        <v/>
      </c>
      <c r="IH329" t="str">
        <f>IF(AND(B329="",HO329=""),"",_xlfn.TEXTJOIN("; ",TRUE,IF(AND(B329&lt;&gt;"",FV329=""),"нет фазы",""),IF(AND(B329&lt;&gt;"",N(GL329)=0,FG329&lt;&gt;"Нет"),"нет мощности",""),IF(AND(HN329&lt;&gt;"",COUNTIFS(Линии[Щит],A329,Линии[Клемма (итог)],HN329)&gt;1),"дубль клеммы "&amp;HN329,""),IF(AND(HQ329&lt;&gt;"",HQ329&lt;&gt;"ok"),HQ329,""),IF(HR329&lt;&gt;"",HR329,""),IF(AND(N(CB329)&gt;=4,N(BX329)=1),CB329&amp;" жил на 1 фазе",""),IF(AND(BC329="R",CG329=1,IF(CS329&lt;&gt;"",N(CV329)&gt;30,OR(N(DA329)=0,N(DA329)&gt;30))),"розетка без дифзащиты до 30 мА",""),IF(AND(CG329=1,N(DA329)&gt;0,ISNUMBER(T329)),IF(T329&gt;N(DA329)/3,"ток утечки "&amp;FIXED(T329,1)&amp;" мА &gt; 1/3 уставки ("&amp;DA329&amp;" мА)",""),""),IF(AND(CH329=1,CS329=""),"«узо»: нет строки с УЗО выше (УЗО 2P 40А 30мА в «Аппаратах»)",""),IF(AND(CS329&lt;&gt;"",CS329=BA329),IF(CT329="","впишите номинал УЗО (УЗО 2P 40А 30мА)",IF(N(CT329)&lt;N(DT329),"УЗО "&amp;CT329&amp;" А &lt; автомата "&amp;DT329&amp;" А перед ним",IF(N(CT329)&lt;N(CX329),"УЗО "&amp;CT329&amp;" А &lt; тока блока "&amp;FIXED(CX329,1)&amp;" А",""))),""),IF(AND(CS329&lt;&gt;"",CS329=BA329,ISNUMBER(CY329)),IF(CY329&gt;N(CV329)/3,"ток утечки блока УЗО "&amp;FIXED(CY329,1)&amp;" мА &gt; 1/3 уставки ("&amp;CV329&amp;" мА)",""),""),IF(AND(CG329=1,N(BV329)+N(IB329)&gt;0,IC329=""),"линии до 50 В без БП: впишите в «Аппараты» (БП 24V 480W)",""),IF(AND(CG329=1,ISNUMBER(ID329),ISNUMBER(U329)),IF(U329&gt;ID329,"БП "&amp;ID329&amp;" Вт &lt; нужно "&amp;U329&amp;" Вт (×"&amp;Запас_БП&amp;")",""),""),IF(AND(CG329=1,ISNUMBER(IE329),N(BV329)=1),IF(IE329&lt;&gt;N(BU329),"БП на "&amp;IE329&amp;" В, линия "&amp;BU329&amp;" В",""),""),IF(AND(N(IF329)&gt;0,N(IG329)&gt;N(IF329)),HH329&amp;" канал "&amp;HJ329&amp;": "&amp;FIXED(IG329,1)&amp;" А &gt; "&amp;IF329&amp;" А",""),IFERROR(IF(AND(ISNUMBER(Q329),Q329&gt;EL329),"потери "&amp;FIXED(Q329,1)&amp;" % &gt; "&amp;EL329&amp;" %",""),""),IFERROR(IF(LEFT(HU329,4)="мало","Iкз мало — отключение &gt; 0,4 с",""),""),IF(AND(B329&lt;&gt;"",BM329=""),"не на схеме",""),IF(AND(CG329=0,B329&lt;&gt;"",FV329&lt;&gt;"",IF(BA329=1,"",FW328)&lt;&gt;"",FV329&lt;&gt;IF(BA329=1,"",FW328)),"фаза не как у автомата группы ("&amp;IF(BA329=1,"",FW328)&amp;")","")))</f>
        <v/>
      </c>
      <c r="II329" s="6">
        <f>IF(OR(CG329=0,DQ329=""),"",_xlfn.LET(_xlpm.t,IFERROR(_xlfn.XLOOKUP(DQ329,Каталог!$U$4:$U$500,Каталог!$G$4:$G$500),""),_xlpm.k,SEARCH("кА",_xlpm.t),IFERROR(--TRIM(RIGHT(SUBSTITUTE(MID(_xlpm.t,MAX(1,_xlpm.k-4),_xlpm.k-MAX(1,_xlpm.k-4))," ",REPT(" ",9)),5)),"")))</f>
        <v>6</v>
      </c>
      <c r="IJ329" t="str">
        <f>IF(OR(II329="",CG329=0),"",IF(_xlfn.XLOOKUP(A329,Щиты[Щит],Щиты[Iкз max на шинах, кА],"")="","",IF(II329&lt;_xlfn.XLOOKUP(A329,Щиты[Щит],Щиты[Iкз max на шинах, кА]),"Icu "&amp;II329&amp;" кА &lt; Iкз max","ok")))</f>
        <v/>
      </c>
      <c r="IK329" t="str">
        <f t="shared" si="803"/>
        <v/>
      </c>
      <c r="IL329" t="str">
        <f t="shared" si="804"/>
        <v>QF4|XT4</v>
      </c>
      <c r="IM329" t="str">
        <f t="shared" si="805"/>
        <v>QF4|XT4|кабель ВВГнг(А)-LS (3х2,5) → Насос дренажный, пом. 002Тб</v>
      </c>
      <c r="IN329" t="str" cm="1">
        <f t="array" ref="IN329">IF(IM329="","",_xlfn.LET(_xlpm.nd,_xlfn.TEXTSPLIT(IM329,"|"),IF(COLUMNS(_xlpm.nd)&gt;1,A329&amp;"¦"&amp;INDEX(_xlpm.nd,1)&amp;"¦"&amp;INDEX(_xlpm.nd,2),"")))</f>
        <v>ЩС-ВК.002¦QF4¦XT4</v>
      </c>
      <c r="IO329" t="str">
        <f t="shared" si="806"/>
        <v>НВК.00.002Тб.1¦Насос дренажный, пом. 002Тб</v>
      </c>
      <c r="IP329" t="str" cm="1">
        <f t="array" ref="IP329">IF(IM329="","",_xlfn.LET(_xlpm.nd,_xlfn.TEXTSPLIT(IM329,"|"),IF(COLUMNS(_xlpm.nd)&gt;2,A329&amp;"¦"&amp;INDEX(_xlpm.nd,2)&amp;"¦"&amp;INDEX(_xlpm.nd,3),"")))</f>
        <v>ЩС-ВК.002¦XT4¦кабель ВВГнг(А)-LS (3х2,5) → Насос дренажный, пом. 002Тб</v>
      </c>
      <c r="IQ329" t="str">
        <f t="shared" si="807"/>
        <v>НВК.00.002Тб.1¦Насос дренажный, пом. 002Тб</v>
      </c>
      <c r="IR329" t="str" cm="1">
        <f t="array" ref="IR329">IF(IM329="","",_xlfn.LET(_xlpm.nd,_xlfn.TEXTSPLIT(IM329,"|"),IF(COLUMNS(_xlpm.nd)&gt;3,A329&amp;"¦"&amp;INDEX(_xlpm.nd,3)&amp;"¦"&amp;INDEX(_xlpm.nd,4),"")))</f>
        <v/>
      </c>
      <c r="IS329" t="str">
        <f t="shared" si="808"/>
        <v/>
      </c>
      <c r="IT329" t="str" cm="1">
        <f t="array" ref="IT329">IF(IM329="","",_xlfn.LET(_xlpm.nd,_xlfn.TEXTSPLIT(IM329,"|"),IF(COLUMNS(_xlpm.nd)&gt;4,A329&amp;"¦"&amp;INDEX(_xlpm.nd,4)&amp;"¦"&amp;INDEX(_xlpm.nd,5),"")))</f>
        <v/>
      </c>
      <c r="IU329" t="str">
        <f t="shared" si="809"/>
        <v/>
      </c>
      <c r="IV329" t="str" cm="1">
        <f t="array" ref="IV329">IF(IM329="","",_xlfn.LET(_xlpm.nd,_xlfn.TEXTSPLIT(IM329,"|"),IF(COLUMNS(_xlpm.nd)&gt;5,A329&amp;"¦"&amp;INDEX(_xlpm.nd,5)&amp;"¦"&amp;INDEX(_xlpm.nd,6),"")))</f>
        <v/>
      </c>
      <c r="IW329" t="str">
        <f t="shared" si="810"/>
        <v/>
      </c>
      <c r="IX329" t="str" cm="1">
        <f t="array" ref="IX329">IF(IM329="","",_xlfn.LET(_xlpm.nd,_xlfn.TEXTSPLIT(IM329,"|"),IF(COLUMNS(_xlpm.nd)&gt;6,A329&amp;"¦"&amp;INDEX(_xlpm.nd,6)&amp;"¦"&amp;INDEX(_xlpm.nd,7),"")))</f>
        <v/>
      </c>
      <c r="IY329" t="str">
        <f t="shared" si="811"/>
        <v/>
      </c>
      <c r="IZ329" t="str">
        <f t="shared" si="812"/>
        <v/>
      </c>
      <c r="JA329" t="str">
        <f t="shared" si="813"/>
        <v>QF4 → XT4</v>
      </c>
      <c r="JB329">
        <f t="shared" si="814"/>
        <v>0</v>
      </c>
      <c r="JC329">
        <f t="shared" si="815"/>
        <v>0</v>
      </c>
      <c r="JD329" t="str">
        <f t="shared" si="816"/>
        <v/>
      </c>
      <c r="JE329" t="str">
        <f t="shared" si="817"/>
        <v/>
      </c>
      <c r="JF329" t="str">
        <f t="shared" si="818"/>
        <v/>
      </c>
      <c r="JG329" t="str">
        <f t="shared" si="819"/>
        <v/>
      </c>
      <c r="JH329">
        <f>IF(B329="","",IFERROR(_xlfn.XLOOKUP(B329,Коды_код,Коды_уго),IFERROR(_xlfn.XLOOKUP(BC329,Коды_код,Коды_уго),IFERROR(_xlfn.XLOOKUP(LEFT(BC329,2),Коды_код,Коды_уго),""))))</f>
        <v>0</v>
      </c>
      <c r="JI329" t="str">
        <f>IF(B329="","",IF(OR(JH329="",JH329=0),"BOX",IFERROR(IF(VLOOKUP(JH329,УГО_блоки,3,FALSE)&amp;""&lt;&gt;"",VLOOKUP(JH329,УГО_блоки,3,FALSE),VLOOKUP(JH329,УГО_блоки,2,FALSE)),JH329)))</f>
        <v>BOX</v>
      </c>
      <c r="JJ329">
        <f t="shared" si="820"/>
        <v>1</v>
      </c>
      <c r="JK329" t="str">
        <f>IF(DQ329="","",IF(COUNTIF(DQ$3:DQ329,DQ329)=1,MAX(JK$2:JK328)+1,""))</f>
        <v/>
      </c>
      <c r="JL329" t="str">
        <f>IF(DE329="","",IF(COUNTIF(DE$3:DE329,DE329)+COUNTIF(DF$2:DF328,DE329)+COUNTIF(DG$2:DG328,DE329)=1,MAX(JL$2:JN328)+1,""))</f>
        <v/>
      </c>
      <c r="JM329" t="str">
        <f>IF(DF329="","",IF(COUNTIF(DE$3:DE329,DF329)+COUNTIF(DF$3:DF329,DF329)+COUNTIF(DG$2:DG328,DF329)=1,MAX(JL$2:JN328,JL329)+1,""))</f>
        <v/>
      </c>
      <c r="JN329" t="str">
        <f>IF(DG329="","",IF(COUNTIF(DE$3:DE329,DG329)+COUNTIF(DF$3:DF329,DG329)+COUNTIF(DG$3:DG329,DG329)=1,MAX(JL$2:JN328,JL329,JM329)+1,""))</f>
        <v/>
      </c>
      <c r="JO329" t="str">
        <f t="shared" si="821"/>
        <v>3х2,5</v>
      </c>
      <c r="JP329" t="str">
        <f>IF(JO329="","",IF(COUNTIF(JO$3:JO329,JO329)=1,MAX(JP$2:JP328)+1,""))</f>
        <v/>
      </c>
      <c r="JQ329" t="str">
        <f>IF(HG329="","",COUNTIF(HG$3:HG329,"?*"))</f>
        <v/>
      </c>
      <c r="JR329" t="str">
        <f>IF(OR(HG329="",HI329=""),"",IF(COUNTIFS(HG$3:HG329,"?*",HI$3:HI329,HI329)=1,MAX(JR$2:JR328)+1,""))</f>
        <v/>
      </c>
      <c r="JS329">
        <f t="shared" si="822"/>
        <v>0</v>
      </c>
      <c r="JT329">
        <f>IF(B329="","",COUNTIF(B$3:B329,"?*"))</f>
        <v>327</v>
      </c>
      <c r="JU329">
        <f>IF(HL329&lt;&gt;1,0,_xlfn.LET(_xlpm.k,MAX(IFERROR(--_xlfn.XLOOKUP(B329,Коды_код,Коды_3L),0),IFERROR(--_xlfn.XLOOKUP(BC329,Коды_код,Коды_3L),0),IFERROR(--_xlfn.XLOOKUP(LEFT(BC329,2),Коды_код,Коды_3L),0)),IF(_xlpm.k&gt;0,_xlpm.k,IF(IFERROR(--LEFT(SUBSTITUTE(JO329,"x","х"),FIND("х",SUBSTITUTE(JO329,"x","х"))-1),3)&gt;3,Каталог!$S$9,1))))</f>
        <v>1</v>
      </c>
      <c r="JV329">
        <f t="shared" si="823"/>
        <v>0</v>
      </c>
      <c r="JW329" t="str">
        <f t="shared" si="824"/>
        <v>авто</v>
      </c>
      <c r="JX329" t="str">
        <f t="shared" si="825"/>
        <v/>
      </c>
      <c r="JY329">
        <f t="shared" si="826"/>
        <v>0</v>
      </c>
      <c r="JZ329">
        <f t="shared" si="827"/>
        <v>1</v>
      </c>
    </row>
    <row r="330" spans="1:286" x14ac:dyDescent="0.3">
      <c r="A330" t="s">
        <v>767</v>
      </c>
      <c r="B330" t="s">
        <v>741</v>
      </c>
      <c r="C330" t="str">
        <f>Линии[[#This Row],[_авто наименование]]</f>
        <v>Вводной кабель шлейф 1</v>
      </c>
      <c r="D330">
        <v>1</v>
      </c>
      <c r="E330">
        <f>Линии[[#This Row],[_авто Р]]</f>
        <v>4.34</v>
      </c>
      <c r="G330">
        <v>20</v>
      </c>
      <c r="H330" t="str">
        <f>Линии[[#This Row],[_авто управление]]</f>
        <v/>
      </c>
      <c r="I330" t="str">
        <f>Линии[[#This Row],[_авто аппараты]]</f>
        <v/>
      </c>
      <c r="J330">
        <v>4</v>
      </c>
      <c r="K330">
        <v>53</v>
      </c>
      <c r="L330" t="str">
        <f>Линии[[#This Row],[_авто фаза]]</f>
        <v>L1,L2,L3</v>
      </c>
      <c r="M330" t="str">
        <f>Линии[[#This Row],[_авто клемма]]</f>
        <v/>
      </c>
      <c r="N330" t="str">
        <f t="shared" si="690"/>
        <v>потери 5,2 % &gt; 4 %</v>
      </c>
      <c r="O330" s="6" cm="1">
        <f t="array" ref="O330">IF(B330="","",IF(BH330&lt;&gt;"",IFERROR(_xlfn.XLOOKUP(BH330,Щиты[Щит],Щиты[Iр, А]),""),IF(BP330=1,IF(OR(N(_xlfn.XLOOKUP(A330,Щиты[Щит],Щиты[Вводов],1))&lt;=1,LOWER(TRIM(_xlfn.XLOOKUP(A330,Щиты[Щит],Щиты[АВР],"")&amp;""))="да"),IFERROR(_xlfn.XLOOKUP(A330,Щиты[Щит],Щиты[Iр, А]),""),IFERROR(N(BS330)*_xlfn.XLOOKUP(A330,Щиты[Щит],Щиты[Кс итог])/(SQRT(3)*Uн_лин*_xlfn.XLOOKUP(A330,Щиты[Щит],Щиты[cos φ])),"")),IF(BV330=1,IFERROR(BS330*1000/BU330,""),IFERROR(_xlfn.IFS(BX330=1,BS330/((Uн_лин/SQRT(3))*CE330),BX330=3,BS330/(SQRT(3)*Uн_лин*CE330)),"")))))</f>
        <v>16.443657354357025</v>
      </c>
      <c r="P330" s="7">
        <f>IF(B330="","",IFERROR(IF(VLOOKUP(BC330,Потребители_обозначение,4,FALSE)=1,VLOOKUP(BC330,Потребители_обозначение,3,FALSE)*(MAX(1,N(D330))*2-1)+EI330+VLOOKUP(BE330,Этаж_обозначение,3,FALSE)+VLOOKUP(BE330,Этаж_обозначение,4,FALSE),VLOOKUP(BC330,Потребители_обозначение,3,FALSE)*(MAX(1,N(D330))*2-1)+EI330),EI330))</f>
        <v>53</v>
      </c>
      <c r="Q330" s="6">
        <f t="shared" si="691"/>
        <v>5.16</v>
      </c>
      <c r="R330" t="str">
        <f t="shared" si="692"/>
        <v>ВВГнг(А)-LS (3х4)</v>
      </c>
      <c r="S330" t="str">
        <f>IF(BM330="","",IF(BN330="вводной узел","узел ","")&amp;"л."&amp;(INT((BM330-1)/Столбцов_на_лист)+1)&amp;" / "&amp;(MOD(BM330-1,Столбцов_на_лист)+1))</f>
        <v>узел л.1 / 2</v>
      </c>
      <c r="T330" s="119" t="str">
        <f t="shared" si="693"/>
        <v/>
      </c>
      <c r="U330" s="7" t="str">
        <f>IF(OR(CG330=0,N(BV330)+N(IB330)=0),"",ROUNDUP(Запас_БП*(N(HY330)+N(HZ330)),0))</f>
        <v/>
      </c>
      <c r="V330" s="119" t="str">
        <f t="shared" si="694"/>
        <v/>
      </c>
      <c r="W330" s="7" t="str">
        <f>IFERROR(IF(OR(B330="",BP330=1,BV330=1,NOT(ISNUMBER(EN330)),N(DT330)=0),"",MAX(0,ROUNDDOWN((c_min*(Uн_лин*1000/SQRT(3))/(HT330*N(DT330))-_xlfn.XLOOKUP(A330,Щиты[Щит],Щиты[Zпетли на шинах, Ом]))*EN330/(2*ρкз_Cu),0))),"")</f>
        <v/>
      </c>
      <c r="Y330" t="str">
        <f>Линии[[#This Row],[_авто утечка]]</f>
        <v/>
      </c>
      <c r="Z330">
        <v>3</v>
      </c>
      <c r="AA330">
        <v>230</v>
      </c>
      <c r="AB330" t="s">
        <v>547</v>
      </c>
      <c r="AJ330" t="s">
        <v>1344</v>
      </c>
      <c r="AK330" t="str">
        <f>Линии[[#This Row],[_авто модуль]]</f>
        <v/>
      </c>
      <c r="AM330">
        <v>2</v>
      </c>
      <c r="AN330" t="s">
        <v>11</v>
      </c>
      <c r="AO330">
        <v>3</v>
      </c>
      <c r="AQ330">
        <v>48</v>
      </c>
      <c r="AR330">
        <v>5</v>
      </c>
      <c r="BA330" cm="1">
        <f t="array" ref="BA330">ROW()-ROW(Линии[#Headers])</f>
        <v>328</v>
      </c>
      <c r="BC330" s="6" t="str">
        <f t="shared" si="695"/>
        <v>Ввод</v>
      </c>
      <c r="BD330" t="str">
        <f t="shared" si="696"/>
        <v>1</v>
      </c>
      <c r="BE330" t="str">
        <f t="shared" si="697"/>
        <v>1</v>
      </c>
      <c r="BF330" t="str">
        <f t="shared" si="698"/>
        <v/>
      </c>
      <c r="BG330" t="str">
        <f t="shared" si="699"/>
        <v/>
      </c>
      <c r="BH330" t="str">
        <f>IF(X330&lt;&gt;"",X330,IF(AND(B330&lt;&gt;"",B330&lt;&gt;A330,ISNUMBER(_xlfn.XMATCH(B330,Щиты[Щит]))),B330,""))</f>
        <v/>
      </c>
      <c r="BI330" t="str" cm="1">
        <f t="array" ref="BI330">IF(B330="","",IF(BH330&lt;&gt;"","Щит "&amp;BH330,_xlfn.LET(_xlpm.nm,IFERROR(_xlfn.XLOOKUP(BC330,Коды_код,Коды_имя)&amp;"",""),_xlpm.md,IFERROR(N(_xlfn.XLOOKUP(BC330,Коды_код,Коды_режим)),1),_xlpm.ex,IF(Имя_режим="по экспликации",IFERROR(_xlfn.XLOOKUP(BE330&amp;"|"&amp;BG330,Экспликация[Этаж]&amp;"|"&amp;Экспликация[Помещение],Экспликация[Название])&amp;"",""),""),_xlpm.rm,IF(BG330="","",IF(_xlpm.ex&lt;&gt;"",". "&amp;_xlpm.ex&amp;IF(Имя_пом="нет"," ("&amp;BG330&amp;")"," (пом. "&amp;BG330&amp;")"),IF(Имя_пом="нет"," ",", пом. ")&amp;BG330)),IF(_xlpm.nm="","",IF(_xlpm.md=2,_xlpm.nm&amp;" шлейф "&amp;BE330,_xlpm.nm&amp;_xlpm.rm)))))</f>
        <v>Вводной кабель шлейф 1</v>
      </c>
      <c r="BJ330" t="str">
        <f t="shared" si="700"/>
        <v>Вводной кабель шлейф 1</v>
      </c>
      <c r="BK330">
        <f>IFERROR(_xlfn.XMATCH(A330,Щиты[Щит]),0)</f>
        <v>15</v>
      </c>
      <c r="BL330">
        <f>_xlfn.LET(_xlpm.k,IFERROR(_xlfn.XLOOKUP(A330,Щиты[Щит],Щиты[Мест под вводной узел]),""),IF(_xlpm.k="",Столбцов_на_лист,N(_xlpm.k)))</f>
        <v>11</v>
      </c>
      <c r="BM330">
        <f t="shared" si="701"/>
        <v>2</v>
      </c>
      <c r="BN330" t="str">
        <f t="shared" si="702"/>
        <v>вводной узел</v>
      </c>
      <c r="BO330" s="6">
        <f>IFERROR(N(_xlfn.XLOOKUP(BC330,Коды_код,Коды_квт)),0)</f>
        <v>0</v>
      </c>
      <c r="BP330">
        <f t="shared" si="703"/>
        <v>1</v>
      </c>
      <c r="BQ330">
        <f>IF(B330="","",IF(BH330&lt;&gt;"",IFERROR(_xlfn.XLOOKUP(BH330,Щиты[Щит],Щиты[Руст, кВт]),0),IF(BP330=1,IF(OR(N(_xlfn.XLOOKUP(A330,Щиты[Щит],Щиты[Вводов],1))&lt;=1,LOWER(TRIM(_xlfn.XLOOKUP(A330,Щиты[Щит],Щиты[АВР],"")&amp;""))="да"),IFERROR(_xlfn.XLOOKUP(A330,Щиты[Щит],Щиты[Руст, кВт]),0),SUMIFS(Линии[_Р для вводов],Линии[Щит],A330,Линии[Источник для режимов],GF330)),IF(BO330&gt;0,ROUND(BO330*MAX(1,N(D330)),3),""))))</f>
        <v>4.34</v>
      </c>
      <c r="BR330">
        <f t="shared" si="704"/>
        <v>4.34</v>
      </c>
      <c r="BS330" s="6">
        <f>IF(B330="","",IF(BH330&lt;&gt;"",IFERROR(_xlfn.XLOOKUP(BH330,Щиты[Щит],Щиты[Руст, кВт]),0),N(BR330)))</f>
        <v>4.34</v>
      </c>
      <c r="BT330" t="str">
        <f>IF(B330="","",IFERROR(IF(VLOOKUP(BC330,Потребители_обозначение,8,FALSE)=0,"",VLOOKUP(BC330,Потребители_обозначение,8,FALSE)),""))</f>
        <v/>
      </c>
      <c r="BU330">
        <f t="shared" si="705"/>
        <v>230</v>
      </c>
      <c r="BV330">
        <f t="shared" si="706"/>
        <v>0</v>
      </c>
      <c r="BW330">
        <f>IF(B330="","",IF(BH330&lt;&gt;"",3,IFERROR(IF(N(VLOOKUP(BC330,Потребители_обозначение,9,FALSE))=0,1,VLOOKUP(BC330,Потребители_обозначение,9,FALSE)),1)))</f>
        <v>1</v>
      </c>
      <c r="BX330">
        <f t="shared" si="707"/>
        <v>3</v>
      </c>
      <c r="BY330" t="str">
        <f>IF(B330="","",_xlfn.LET(_xlpm.bc,IFERROR(IF(VLOOKUP(BC330,Потребители_обозначение,6,FALSE)=0,"",VLOOKUP(BC330,Потребители_обозначение,6,FALSE)&amp;""),""),IF(AND(GA330="да",OR(_xlpm.bc="",_xlpm.bc="мс")),Марка_пож,IF(AND(_xlpm.bc="",BH330&lt;&gt;""),"мс",_xlpm.bc))))</f>
        <v/>
      </c>
      <c r="BZ330" t="str">
        <f t="shared" si="708"/>
        <v>мс</v>
      </c>
      <c r="CA330">
        <f>IF(B330="","",_xlfn.LET(_xlpm.cc,IFERROR(N(VLOOKUP(BC330,Потребители_обозначение,7,FALSE)),0),IF(_xlpm.cc&gt;0,_xlpm.cc,IF(BZ330="","",IF(BV330=1,2,IF(N(BX330)=3,5,3))))))</f>
        <v>5</v>
      </c>
      <c r="CB330">
        <f t="shared" si="709"/>
        <v>3</v>
      </c>
      <c r="CC330">
        <f>IFERROR(N(VLOOKUP(BC330,Потребители_обозначение,10,FALSE)),0)</f>
        <v>0</v>
      </c>
      <c r="CD330">
        <f>IFERROR(VLOOKUP(BC330,Потребители_обозначение,5,FALSE),0)</f>
        <v>1</v>
      </c>
      <c r="CE330" s="6" cm="1">
        <f t="array" ref="CE330">IF(B330="","",IF(BH330&lt;&gt;"",IFERROR(_xlfn.XLOOKUP(BH330,Щиты[Щит],Щиты[cos φ]),0.95),IF(BP330=1,IFERROR(_xlfn.XLOOKUP(A330,Щиты[Щит],Щиты[cos φ]),0.95),IF(ISNUMBER(AD330),AD330,IFERROR(IF(CD330=2,_xlfn.IFS(BX330=3,VLOOKUP(BS330,Справочная_двигатели,8,FALSE),BX330=1,VLOOKUP(BS330,Справочная_двигатели,10,TRUE)),IF(AND(Методика="нормы 2026",FG330="Сил"),0.8,0.95)),0.95)))))</f>
        <v>0.8</v>
      </c>
      <c r="CF330">
        <f t="shared" si="710"/>
        <v>0</v>
      </c>
      <c r="CG330">
        <f t="shared" si="711"/>
        <v>1</v>
      </c>
      <c r="CH330">
        <f t="shared" si="712"/>
        <v>0</v>
      </c>
      <c r="CI330">
        <f>IF(B330="","",IF(BV330=1,IFERROR(BS330/((Uн_лин/SQRT(3))*MAX(0.5,N(CE330))),0),N(O330)))</f>
        <v>16.443657354357025</v>
      </c>
      <c r="CJ330">
        <f t="shared" si="713"/>
        <v>0</v>
      </c>
      <c r="CK330">
        <f t="shared" si="714"/>
        <v>0</v>
      </c>
      <c r="CL330">
        <f t="shared" si="715"/>
        <v>0</v>
      </c>
      <c r="CM330">
        <f t="shared" si="716"/>
        <v>0</v>
      </c>
      <c r="CN330">
        <f t="shared" si="717"/>
        <v>0</v>
      </c>
      <c r="CO330">
        <f>IF(BC330="",0,_xlfn.LET(_xlpm.v,IFERROR(_xlfn.XLOOKUP(B330,Коды_код,Коды_мА),IFERROR(_xlfn.XLOOKUP(BC330,Коды_код,Коды_мА),IFERROR(_xlfn.XLOOKUP(LEFT(BC330,2),Коды_код,Коды_мА),""))),IF(_xlpm.v="да",30,IF(ISNUMBER(_xlpm.v),_xlpm.v,0))))</f>
        <v>0</v>
      </c>
      <c r="CP330" t="str">
        <f t="shared" si="718"/>
        <v/>
      </c>
      <c r="CQ330" t="str">
        <f>_xlfn.LET(_xlpm.k,IFERROR(_xlfn.XLOOKUP(BC330,Коды_код,Коды_утечка)&amp;"",""),IF(_xlpm.k="","дифавтомат",_xlpm.k))</f>
        <v>дифавтомат</v>
      </c>
      <c r="CR330" t="str" cm="1">
        <f t="array" ref="CR330">IF(CG330=0,"",_xlfn.LET(_xlpm.sg,TRIM(_xlfn.TEXTSPLIT(DD330&amp;"",";")),_xlpm.f_,_xlfn._xlws.FILTER(_xlpm.sg,LEFT(_xlpm.sg,3)="УЗО",""),IFERROR(INDEX(_xlpm.f_,1)&amp;"","")))</f>
        <v/>
      </c>
      <c r="CS330" t="str">
        <f t="shared" si="719"/>
        <v/>
      </c>
      <c r="CT330" s="6" t="str" cm="1">
        <f t="array" ref="CT330">IF(CR330="","",_xlfn.LET(_xlpm.tk,_xlfn.TEXTSPLIT(UPPER(CR330)," ",,TRUE),_xlpm.a_,_xlfn._xlws.FILTER(_xlpm.tk,ISNUMBER(--LEFT(_xlpm.tk,1))*((ISNUMBER(SEARCH("А",_xlpm.tk))+ISNUMBER(SEARCH("A",_xlpm.tk)))&gt;0)*NOT(ISNUMBER(SEARCH("МА",_xlpm.tk)))*NOT(ISNUMBER(SEARCH("MA",_xlpm.tk))),""),IFERROR(--SUBSTITUTE(SUBSTITUTE(INDEX(_xlpm.a_,1),"А",""),"A",""),"")))</f>
        <v/>
      </c>
      <c r="CU330" t="str" cm="1">
        <f t="array" ref="CU330">IF(CR330="","",_xlfn.LET(_xlpm.tk,_xlfn.TEXTSPLIT(UPPER(CR330)," ",,TRUE),_xlpm.a_,_xlfn._xlws.FILTER(_xlpm.tk,ISNUMBER(--LEFT(_xlpm.tk,1))*((ISNUMBER(SEARCH("МА",_xlpm.tk))+ISNUMBER(SEARCH("MA",_xlpm.tk)))&gt;0),""),IFERROR(--SUBSTITUTE(SUBSTITUTE(INDEX(_xlpm.a_,1),"МА",""),"MA",""),30)))</f>
        <v/>
      </c>
      <c r="CV330" t="str">
        <f>IF(CS330="","",IFERROR(_xlfn.XLOOKUP(CS330,Линии[_n],Линии[_УЗО, мА]),30))</f>
        <v/>
      </c>
      <c r="CW330">
        <f>IF(CS330="",0,IF(ISNUMBER(SEARCH("4P",IFERROR(_xlfn.XLOOKUP(CS330,Линии[_n],Линии[_УЗО строки])&amp;"",""))),0,1))</f>
        <v>0</v>
      </c>
      <c r="CX330" t="str">
        <f>IF(AND(CS330&lt;&gt;"",CS330=BA330),SUMIFS(Линии[_ток на 230 В],Линии[_блок УЗО],BA330,Линии[Щит],A330),"")</f>
        <v/>
      </c>
      <c r="CY330" t="str">
        <f>IF(AND(CS330&lt;&gt;"",CS330=BA330),SUMIFS(Линии[_ток утечки линии, мА],Линии[_блок УЗО],BA330,Линии[Щит],A330),"")</f>
        <v/>
      </c>
      <c r="CZ330">
        <f t="shared" si="720"/>
        <v>0</v>
      </c>
      <c r="DA330">
        <f t="shared" si="721"/>
        <v>0</v>
      </c>
      <c r="DB330">
        <f>IF(B330="",0,IFERROR(--_xlfn.XLOOKUP(B330,Коды_код,Коды_минавт),IFERROR(--_xlfn.XLOOKUP(BC330,Коды_код,Коды_минавт),IFERROR(--_xlfn.XLOOKUP(LEFT(BC330,2),Коды_код,Коды_минавт),0))))</f>
        <v>0</v>
      </c>
      <c r="DC330" t="str">
        <f>IF(B330="","",IFERROR(_xlfn.XLOOKUP(BC330,Коды_код,Коды_апп)&amp;"",""))</f>
        <v/>
      </c>
      <c r="DD330" t="str">
        <f t="shared" si="722"/>
        <v/>
      </c>
      <c r="DE330" t="str" cm="1">
        <f t="array" ref="DE330">IF(TRIM(DD330&amp;"")="","",IFERROR(TRIM(INDEX(_xlfn.TEXTSPLIT(DD330&amp;";;;",";"),1)),""))</f>
        <v/>
      </c>
      <c r="DF330" t="str" cm="1">
        <f t="array" ref="DF330">IF(TRIM(DD330&amp;"")="","",IFERROR(TRIM(INDEX(_xlfn.TEXTSPLIT(DD330&amp;";;;",";"),2)),""))</f>
        <v/>
      </c>
      <c r="DG330" t="str" cm="1">
        <f t="array" ref="DG330">IF(TRIM(DD330&amp;"")="","",IFERROR(TRIM(INDEX(_xlfn.TEXTSPLIT(DD330&amp;";;;",";"),3)),""))</f>
        <v/>
      </c>
      <c r="DH330">
        <f t="shared" si="723"/>
        <v>0</v>
      </c>
      <c r="DI330" t="str">
        <f>IF(B330="","",_xlfn.LET(_xlpm.t,LOWER(AZ330&amp;""),IF(ISNUMBER(SEARCH("dim",_xlpm.t)),"DIM",IF(ISNUMBER(SEARCH("dali",_xlpm.t)),"DALI",IF(OR(ISNUMBER(SEARCH("relay",_xlpm.t)),ISNUMBER(SEARCH("реле",_xlpm.t))),"Relay",IF(ISNUMBER(SEARCH("кнопк",_xlpm.t)),"",IFERROR(_xlfn.XLOOKUP(BC330,Коды_код,Коды_упр)&amp;"","")))))))</f>
        <v/>
      </c>
      <c r="DJ330" t="str">
        <f t="shared" si="724"/>
        <v/>
      </c>
      <c r="DK330">
        <f>IF(B330="","",_xlfn.LET(_xlpm.ig,IF(N(CX330)&gt;0,N(CX330),N(CI330)+IF(AJ330="вручную",0,N(CJ330))),_xlpm.n0,IFERROR(VLOOKUP(_xlpm.ig,Автомат_номиналы,2,TRUE),0),_xlpm.mn,MAX(DB330,IF(AJ330="вручную",0,N(CM330))),MAX(_xlpm.n0,_xlpm.mn,IF(DH330=1,Мин_автомат_БП,0))))</f>
        <v>20</v>
      </c>
      <c r="DL330">
        <f t="shared" si="725"/>
        <v>3</v>
      </c>
      <c r="DM330" t="str">
        <f t="shared" si="726"/>
        <v>3P</v>
      </c>
      <c r="DN330" t="str">
        <f>_xlfn.LET(_xlpm.cc,UPPER(TRIM(IFERROR(_xlfn.XLOOKUP(BC330,Коды_код,Коды_хар)&amp;"",""))),IF(OR(_xlpm.cc="B",_xlpm.cc="В"),"B",IF(_xlpm.cc="D","D","С")))</f>
        <v>С</v>
      </c>
      <c r="DO330" t="str">
        <f t="shared" si="727"/>
        <v>3P С20А</v>
      </c>
      <c r="DP330">
        <f t="shared" si="728"/>
        <v>20</v>
      </c>
      <c r="DQ330" t="str">
        <f t="shared" si="729"/>
        <v>3P С20А</v>
      </c>
      <c r="DR330" cm="1">
        <f t="array" ref="DR330">IF(DQ330="","",_xlfn.LET(_xlpm.t,SUBSTITUTE(SUBSTITUTE(SUBSTITUTE(UPPER(DQ330),"С","C"),"А","A"),"В","B"),_xlpm.tk,_xlfn.TEXTSPLIT(_xlpm.t," "),_xlpm.f,_xlfn._xlws.FILTER(_xlpm.tk,ISNUMBER(--MID(_xlpm.tk,2,1))*ISNUMBER(SEARCH(LEFT(_xlpm.tk,1)&amp;"#","B#C#D#"))*(LEN(_xlpm.tk)&gt;1),""),_xlpm.x,INDEX(_xlpm.f,1),IFERROR(--SUBSTITUTE(MID(_xlpm.x,2,9),"A",""),IFERROR(--SUBSTITUTE(INDEX(_xlfn._xlws.FILTER(_xlpm.tk,ISNUMBER(--SUBSTITUTE(_xlpm.tk,"A","")),""),1),"A",""),""))))</f>
        <v>20</v>
      </c>
      <c r="DS330" t="str">
        <f t="shared" si="730"/>
        <v>узел</v>
      </c>
      <c r="DT330">
        <f t="shared" si="731"/>
        <v>20</v>
      </c>
      <c r="DU330" t="str">
        <f t="shared" si="732"/>
        <v>3P С20А</v>
      </c>
      <c r="DV330">
        <f t="shared" si="733"/>
        <v>0</v>
      </c>
      <c r="DW330">
        <f t="shared" si="734"/>
        <v>0</v>
      </c>
      <c r="DX330">
        <f t="shared" si="735"/>
        <v>0</v>
      </c>
      <c r="DY330">
        <f t="shared" si="736"/>
        <v>16.443657354357025</v>
      </c>
      <c r="DZ330">
        <f t="shared" si="737"/>
        <v>1</v>
      </c>
      <c r="EA330">
        <f>IF(ISNUMBER(AP330),AP330,К_прокл)</f>
        <v>1</v>
      </c>
      <c r="EB330">
        <f t="shared" si="738"/>
        <v>3</v>
      </c>
      <c r="EC330">
        <f>IFERROR(N(VLOOKUP(BZ330,Кабель_обозначение,3,FALSE)),1)</f>
        <v>1</v>
      </c>
      <c r="ED330">
        <f>IFERROR(N(_xlfn.XLOOKUP(A330,Щиты[Щит],Щиты[ΔU до шин, %])),0)</f>
        <v>3.44</v>
      </c>
      <c r="EE330" t="str">
        <f>IFERROR(_xlfn.XLOOKUP(A330,Щиты[Щит],Щиты[Zпетли на шинах, Ом]),"")</f>
        <v/>
      </c>
      <c r="EF330">
        <f>IFERROR(N(_xlfn.XLOOKUP(A330,Щиты[Щит],Щиты[ΔU до шин (подбор), %])),0)</f>
        <v>5.4799999999999995</v>
      </c>
      <c r="EG330" t="str">
        <f>IFERROR(_xlfn.XLOOKUP(A330,Щиты[Щит],Щиты[Zпетли на шинах (подбор), Ом]),"")</f>
        <v/>
      </c>
      <c r="EH330" t="str">
        <f t="shared" si="739"/>
        <v/>
      </c>
      <c r="EI330">
        <f t="shared" si="740"/>
        <v>53</v>
      </c>
      <c r="EJ330">
        <f t="shared" si="741"/>
        <v>1</v>
      </c>
      <c r="EK330">
        <f t="shared" si="742"/>
        <v>0.6</v>
      </c>
      <c r="EL330" s="6">
        <f>IF(B330="","",IF(BV330=1,dU_LED,IF(IFERROR(_xlfn.XLOOKUP(BC330,Коды_код,Коды_уго),"")="Светильник",3,4)+IF(Методика="нормы 2026",MIN(0.5,MAX(0,N(P330)-100)*0.005),0)))</f>
        <v>4</v>
      </c>
      <c r="EM330" t="str" cm="1">
        <f t="array" ref="EM330">IF(OR(B330="",BZ330="",EC330&lt;&gt;1),"",_xlfn.LET(_xlpm.sz,Iдоп_S,_xlpm.t_,CHOOSE(EB330,Iдоп_1ж,Iдоп_2ж,Iдоп_3ж)*DZ330*EA330,_xlpm.dcx,BV330=1,_xlpm.inn,IF(_xlpm.dcx,N(O330),N(DT330)),_xlpm.smin,MAX(1.5,CC330),_xlpm.L_,N(P330)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330)/N(BU330)*100,999),IFERROR(N(EJ330)*(_xlpm.rho*_xlpm.L_/_xlpm.sz*N(CE330)+_xlpm.xx*_xlpm.L_*N(EK330)/1000)*N(O330)/((Uн_лин/SQRT(3))*1000)*100,999)),_xlpm.kz,IF(OR(_xlpm.dcx,DW330=1,NOT(ISNUMBER(EG330)),_xlpm.L_=0,_xlpm.inn=0),1,IFERROR(--(c_min*(Uн_лин*1000/SQRT(3))/(EG330+2*ρкз_Cu*_xlpm.L_/_xlpm.sz)&gt;=HT330*_xlpm.inn),0)),_xlpm.ok,IFERROR((_xlpm.sz&gt;=_xlpm.smin)*(_xlpm.t_&gt;=_xlpm.inn)*IF(_xlpm.L_&gt;0,(_xlpm.du_+IF(_xlpm.dcx,0,EF330)&lt;=EL330+0.00001),1)*_xlpm.kz,0),_xlpm.r_,_xlfn._xlws.FILTER(_xlpm.sz,_xlpm.ok,"не подобрано"),INDEX(_xlpm.r_,1)))</f>
        <v>не подобрано</v>
      </c>
      <c r="EN330">
        <f t="shared" si="743"/>
        <v>4</v>
      </c>
      <c r="EO330" cm="1">
        <f t="array" ref="EO330">IF(OR(B330="",BZ330="",EC330&lt;&gt;1),"",_xlfn.LET(_xlpm.sz,Iдоп_S,_xlpm.t_,CHOOSE(EB330,Iдоп_1ж,Iдоп_2ж,Iдоп_3ж)*DZ330*EA330,_xlpm.ok,IFERROR((_xlpm.sz&gt;=MAX(1.5,CC330))*(_xlpm.t_&gt;=N(DT330)),0),_xlpm.r_,_xlfn._xlws.FILTER(_xlpm.sz,_xlpm.ok,""),INDEX(_xlpm.r_,1)))</f>
        <v>2.5</v>
      </c>
      <c r="EP330" s="6" cm="1">
        <f t="array" ref="EP330">IFERROR(ROUNDUP(N(EJ330)*(_xlfn.XLOOKUP(EO330,INDEX(Кабель_сопротивление,0,1),INDEX(Кабель_сопротивление,0,3))*N(P330)/EO330*N(CE330)+_xlfn.XLOOKUP(EO330,INDEX(Кабель_сопротивление,0,1),INDEX(Кабель_сопротивление,0,2))*N(P330)*N(EK330)/1000)*N(O330)/((Uн_лин/SQRT(3))*1000)*100,2),"")</f>
        <v>2.7399999999999998</v>
      </c>
      <c r="EQ330">
        <f>IFERROR(2*ρкз_Cu*N(P330)/EO330,"")</f>
        <v>1.1151199999999999</v>
      </c>
      <c r="ER330">
        <f>IFERROR(VLOOKUP(EN330,Кабель_сопротивление,3,FALSE),"")</f>
        <v>2.2499999999999999E-2</v>
      </c>
      <c r="ES330">
        <f>IFERROR(VLOOKUP(EN330,Кабель_сопротивление,2,FALSE),"")</f>
        <v>9.5000000000000001E-2</v>
      </c>
      <c r="ET330">
        <f t="shared" si="744"/>
        <v>5</v>
      </c>
      <c r="EU330" t="str">
        <f t="shared" si="745"/>
        <v/>
      </c>
      <c r="EV330">
        <f t="shared" si="746"/>
        <v>3.9714885678816629</v>
      </c>
      <c r="EW330" s="6">
        <f>IFERROR(ROUNDUP(EV330/IF(BV330=1,BU330,(Uн_лин/SQRT(3))*1000)*100,2),"")</f>
        <v>1.72</v>
      </c>
      <c r="EX330" t="str">
        <f>IFERROR(VLOOKUP(BZ330,Кабель_обозначение,2,FALSE),"")</f>
        <v>ВВГнг(А)-LS</v>
      </c>
      <c r="EY330" t="str">
        <f t="shared" si="747"/>
        <v>ВВГнг(А)-LS (3х4)</v>
      </c>
      <c r="EZ330" t="str">
        <f t="shared" si="748"/>
        <v>ВВГнг(А)-LS (3х4)
L=53-1,72%</v>
      </c>
      <c r="FA330">
        <f>IFERROR(2*ρкз_Cu*P330/EN330,"")</f>
        <v>0.69694999999999996</v>
      </c>
      <c r="FB330">
        <f t="shared" si="749"/>
        <v>0.23187500000000003</v>
      </c>
      <c r="FC330" s="6" t="str">
        <f>IFERROR(IF(OR(B330="",BV330=1,NOT(ISNUMBER(EN330)),N(P330)=0),"",_xlfn.XLOOKUP(A330,Щиты[Щит],Щиты[Zпетли на шинах, Ом])+FA330),"")</f>
        <v/>
      </c>
      <c r="FD330" s="6" t="str">
        <f>IF(ISNUMBER(FC330),c_min*(Uн_лин*1000/SQRT(3))/FC330,"")</f>
        <v/>
      </c>
      <c r="FE330" s="6" t="str">
        <f>IFERROR(IF(OR(B330="",NOT(ISNUMBER(EN330))),"",1.05*(Uн_лин*1000/SQRT(3))/(_xlfn.XLOOKUP(A330,Щиты[Щит],Щиты[Zmax на шинах, Ом])+FB330)/1000),"")</f>
        <v/>
      </c>
      <c r="FF330" s="6" t="str">
        <f>IF(B330="","",IF(ISNUMBER(AC330),"Сил",IF(IFERROR(_xlfn.XLOOKUP(BC330,Коды_код,Коды_группа)&amp;"","")="","Быт",_xlfn.XLOOKUP(BC330,Коды_код,Коды_группа)&amp;"")))</f>
        <v>Быт</v>
      </c>
      <c r="FG330" s="6" t="str">
        <f t="shared" si="750"/>
        <v>Нет</v>
      </c>
      <c r="FH330" s="6">
        <f>IF(FG330="Щит","щит",IF(FG330="","",IF(FG330="Быт",IFERROR(_xlfn.XLOOKUP(A330,Щиты[Щит],Щиты[Кс быт]),1),IF(FG330="Сил",IF(ISNUMBER(AC330),AC330,IF(Методика="нормы 2026",IFERROR(_xlfn.XLOOKUP(A330,Щиты[Щит],Щиты[Кс силовых (табл. 7.5)]),1),1)),IF(OR(FG330="Пост",FG330="Отоп"),1,IF(FG330="ВНГ",0.7,0))))))</f>
        <v>0</v>
      </c>
      <c r="FI330">
        <f>IF(FG330="","",IF(AND(BP330=1,TRIM(AE330&amp;"")=""),IF(COUNTIFS(Линии[Щит],A330,Линии[Секция (1/2/3)],"&gt;=2")&gt;0,MIN(3,MAX(1,IFERROR(--BD330,1))),1),IFERROR(MIN(3,MAX(1,INT(--AE330))),1)))</f>
        <v>1</v>
      </c>
      <c r="FJ330">
        <f t="shared" si="751"/>
        <v>0</v>
      </c>
      <c r="FK330">
        <f t="shared" si="752"/>
        <v>0</v>
      </c>
      <c r="FL330">
        <f t="shared" si="753"/>
        <v>0</v>
      </c>
      <c r="FM330">
        <f t="shared" si="754"/>
        <v>0</v>
      </c>
      <c r="FN330">
        <f t="shared" si="755"/>
        <v>0</v>
      </c>
      <c r="FO330">
        <f t="shared" si="756"/>
        <v>0</v>
      </c>
      <c r="FP330">
        <f t="shared" si="757"/>
        <v>0</v>
      </c>
      <c r="FQ330">
        <f t="shared" si="758"/>
        <v>0</v>
      </c>
      <c r="FR330">
        <f t="shared" si="759"/>
        <v>0</v>
      </c>
      <c r="FS330">
        <f>IF(CG330=1,IF(AND(CH330=1,CW330=1),0,IF(AND(CS330&lt;&gt;"",CS330=BA330,CW330=1),SUMIFS(Линии[_Р линии, кВт],Линии[_блок УЗО],BA330,Линии[Щит],A330),N(BS330)+IF(AJ330="вручную",0,N(CK330)))),0)</f>
        <v>4.34</v>
      </c>
      <c r="FT330" t="str">
        <f t="shared" si="760"/>
        <v/>
      </c>
      <c r="FU330" t="str">
        <f>IF(B330="","",IF(CG330=0,IF(BA330=1,"",FW329),IF(AND(CH330=1,CW330=1,CS330&lt;&gt;""),IFERROR(_xlfn.XLOOKUP(CS330,Линии[_n],Линии[_фаза итог]),"L1"),IF(OR(N(DL330)&gt;=3,N(BX330)&gt;=3),"L1,L2,L3",IFERROR(_xlfn.TEXTBEFORE(_xlfn.TEXTAFTER(_xlfn.XLOOKUP(A330,Щиты[Щит],Щиты[_фазы авто]),";"&amp;BA330&amp;":"),";"),"L1")))))</f>
        <v>L1,L2,L3</v>
      </c>
      <c r="FV330" t="str">
        <f t="shared" si="761"/>
        <v>L1,L2,L3</v>
      </c>
      <c r="FW330" t="str">
        <f t="shared" si="762"/>
        <v>L1,L2,L3</v>
      </c>
      <c r="FX330" cm="1">
        <f t="array" ref="FX330">IFERROR(IF(CD330=2,_xlfn.IFS(BX330=3,VLOOKUP(BS330,Справочная_двигатели,3,FALSE),BX330=1,VLOOKUP(BS330,Справочная_двигатели,5,TRUE)),0),0)</f>
        <v>0</v>
      </c>
      <c r="FY330">
        <f>IFERROR(IF(CD330=3,VLOOKUP(BS330,Справочная_ЛЭД,2,TRUE),0),0)</f>
        <v>0</v>
      </c>
      <c r="FZ330" s="6">
        <f t="shared" si="763"/>
        <v>0</v>
      </c>
      <c r="GA330" t="str">
        <f>IF(B330="","",IF(TRIM(AH330&amp;"")&lt;&gt;"",IF(LOWER(TRIM(AH330&amp;""))="да","да","нет"),IF(IFERROR(_xlfn.XLOOKUP(BC330,Коды_код,Коды_пожарная),"")="да","да","нет")))</f>
        <v>нет</v>
      </c>
      <c r="GB330" t="str">
        <f t="shared" si="764"/>
        <v/>
      </c>
      <c r="GC330" t="str">
        <f t="shared" si="765"/>
        <v>основная</v>
      </c>
      <c r="GD330">
        <f>IF(AND(BP330=1,TRIM(AE330&amp;"")=""),IF(COUNTIFS(Линии[Щит],A330,Линии[Секция (1/2/3)],"&gt;=2")&gt;0,MIN(3,MAX(1,IFERROR(--BD330,1))),1),IFERROR(MIN(3,MAX(1,INT(--AE330))),1))</f>
        <v>1</v>
      </c>
      <c r="GE330" t="str" cm="1">
        <f t="array" ref="GE330">IF(B330="","",_xlfn.LET(_xlpm.t,IFERROR(_xlfn.XLOOKUP(1,(Шины[Шина]=GC330)*(((Шины[Щит]=A330)+(Шины[Щит]=""))&gt;0),Шины[Тип]),"")&amp;"",IF(_xlpm.t&lt;&gt;"",_xlpm.t,IF(ISNUMBER(SEARCH("ИБП",GC330)),"ИБП",IF(ISNUMBER(SEARCH("ДГУ",GC330)),"ДГУ","Ввод "&amp;GD330)))))</f>
        <v>Ввод 1</v>
      </c>
      <c r="GF330" t="str">
        <f t="shared" si="766"/>
        <v>Ввод 1</v>
      </c>
      <c r="GG330" t="str">
        <f>IF(BP330=0,"",IF(TRIM(AG330&amp;"")&lt;&gt;"",TRIM(AG330&amp;""),IF(OR(GE330="ИБП",GE330="ДГУ"),"I особая",_xlfn.XLOOKUP(A330,Щиты[Щит],Щиты[Категория шины «Ввод»],"III"))))</f>
        <v>II</v>
      </c>
      <c r="GH330" t="str">
        <f>IF(A330="","",_xlfn.XLOOKUP(A330,Щиты[Щит],Щиты[Путь],""))</f>
        <v>|ГРЩ-ЖД|ЩС-ВК.003|</v>
      </c>
      <c r="GI330" t="str">
        <f>IF(B330="","",IF(AI330&lt;&gt;"",AI330,IF(IFERROR(_xlfn.XLOOKUP(BC330,Коды_код,Коды_вид)&amp;"","")="","Прочее",_xlfn.XLOOKUP(BC330,Коды_код,Коды_вид)&amp;"")))</f>
        <v>Прочее</v>
      </c>
      <c r="GJ330">
        <f>IF(BM330="","",INT((BM330-1)/Столбцов_на_лист)+1)</f>
        <v>1</v>
      </c>
      <c r="GK330" t="str">
        <f t="shared" si="767"/>
        <v>ВВГнг(А)-LS (3х4) L=53-1,72%</v>
      </c>
      <c r="GL330">
        <f t="shared" si="768"/>
        <v>4.34</v>
      </c>
      <c r="GM330">
        <f t="shared" si="769"/>
        <v>16.450000000000003</v>
      </c>
      <c r="GN330">
        <f t="shared" si="770"/>
        <v>3</v>
      </c>
      <c r="GO330">
        <f t="shared" si="771"/>
        <v>0</v>
      </c>
      <c r="GP330">
        <f t="shared" si="772"/>
        <v>0</v>
      </c>
      <c r="GQ330" t="str">
        <f>IF(BM330="","",IF(AND(CG330=1,GP330=1),COUNTIFS(A$3:A330,A330,CG$3:CG330,1,GP$3:GP330,1),IF(OR(OR(BA330=1,A330&lt;&gt;A329),AJ330="вручную",GP330=0),"",IF(BA330=1,"",GR329))))</f>
        <v/>
      </c>
      <c r="GR330" t="str">
        <f t="shared" si="773"/>
        <v/>
      </c>
      <c r="GS330">
        <f>IF(B330="","",IFERROR(LOOKUP(INDEX(CHOOSE(EB330,Iдоп_1ж,Iдоп_2ж,Iдоп_3ж),MATCH(EN330,Iдоп_S,0))*DZ330*EA330,{6,10,16,20,25,32,40,50,63,80,100,125,160,200,250,315,400,500,630}),""))</f>
        <v>32</v>
      </c>
      <c r="GT330" t="str">
        <f t="shared" si="774"/>
        <v/>
      </c>
      <c r="GU330" t="str">
        <f t="shared" si="775"/>
        <v/>
      </c>
      <c r="GV330" t="str">
        <f t="shared" si="776"/>
        <v/>
      </c>
      <c r="GW330">
        <f t="shared" si="777"/>
        <v>0</v>
      </c>
      <c r="GX330" t="str">
        <f>IF(OR(B330="",DJ330=""),"",IFERROR(_xlfn.XLOOKUP(DJ330,Модули_умолч[Управление],Модули_умолч[Модель])&amp;"",""))</f>
        <v/>
      </c>
      <c r="GY330">
        <f>IF(DJ330="",1,IFERROR(MAX(0,N(_xlfn.XLOOKUP(DJ330,Модули_умолч[Управление],Модули_умолч[Каналов на линию]))),1))</f>
        <v>1</v>
      </c>
      <c r="GZ330" t="str">
        <f t="shared" si="778"/>
        <v/>
      </c>
      <c r="HA330" t="str">
        <f t="shared" si="779"/>
        <v/>
      </c>
      <c r="HB330" t="str">
        <f t="shared" si="780"/>
        <v/>
      </c>
      <c r="HC330">
        <f>IF(HB330="",0,IFERROR(N(VLOOKUP(HB330,Модули_спр,3,FALSE)),0))</f>
        <v>0</v>
      </c>
      <c r="HD330" t="str">
        <f t="shared" si="781"/>
        <v/>
      </c>
      <c r="HE330" t="str">
        <f t="shared" si="782"/>
        <v/>
      </c>
      <c r="HF330" t="str">
        <f>IF(OR(HE330="",HE330="-"),"",IFERROR(VLOOKUP(HE330,Модули_спр,2,FALSE),"R"))</f>
        <v/>
      </c>
      <c r="HG330" t="str">
        <f>IF(HF330="","",HF330&amp;"."&amp;COUNTIFS(A$3:A330,A330,HF$3:HF330,HF330))</f>
        <v/>
      </c>
      <c r="HH330" t="str">
        <f t="shared" si="783"/>
        <v/>
      </c>
      <c r="HI330" t="str">
        <f t="shared" si="784"/>
        <v/>
      </c>
      <c r="HJ330" t="str">
        <f t="shared" si="785"/>
        <v/>
      </c>
      <c r="HK330" t="str">
        <f t="shared" si="786"/>
        <v/>
      </c>
      <c r="HL330">
        <f t="shared" si="787"/>
        <v>0</v>
      </c>
      <c r="HM330" t="str">
        <f>IF(HL330=1,"XT"&amp;COUNTIFS(A$3:A330,A330,HL$3:HL330,1),"")</f>
        <v/>
      </c>
      <c r="HN330" t="str">
        <f t="shared" si="788"/>
        <v/>
      </c>
      <c r="HO330" t="str">
        <f t="shared" si="789"/>
        <v/>
      </c>
      <c r="HP330" t="str">
        <f t="shared" si="790"/>
        <v/>
      </c>
      <c r="HQ330" t="str">
        <f t="shared" si="791"/>
        <v>ok</v>
      </c>
      <c r="HR330" t="str">
        <f>IF(OR(HJ330="",HH330=""),"",IF(HJ330+MAX(0,GY330-1)&gt;IFERROR(VLOOKUP(HI330,Модули_спр,3,FALSE),99),"ЛИШНИЙ КАНАЛ",IF(AND(AL330&lt;&gt;"=",GY330&gt;0,COUNTIFS(Линии[_модуль гр.],HH330,Линии[Канал (итог)],HJ330,Линии[Канал],"&lt;&gt;=",Линии[Щит],A330)&gt;1),"ДУБЛЬ КАНАЛА","")))</f>
        <v/>
      </c>
      <c r="HS330" s="6" t="str">
        <f t="shared" si="792"/>
        <v/>
      </c>
      <c r="HT330">
        <f t="shared" si="793"/>
        <v>10</v>
      </c>
      <c r="HU330" t="str">
        <f t="shared" si="794"/>
        <v/>
      </c>
      <c r="HV330">
        <f t="shared" si="795"/>
        <v>0</v>
      </c>
      <c r="HW330">
        <f t="shared" si="796"/>
        <v>0</v>
      </c>
      <c r="HX330">
        <f t="shared" si="797"/>
        <v>0</v>
      </c>
      <c r="HY330">
        <f t="shared" si="798"/>
        <v>0</v>
      </c>
      <c r="HZ330">
        <f t="shared" si="799"/>
        <v>0</v>
      </c>
      <c r="IA330">
        <f t="shared" si="800"/>
        <v>0</v>
      </c>
      <c r="IB330">
        <f t="shared" si="801"/>
        <v>0</v>
      </c>
      <c r="IC330" t="str">
        <f t="shared" si="802"/>
        <v/>
      </c>
      <c r="ID330" t="str" cm="1">
        <f t="array" ref="ID330">IF(IC330="","",_xlfn.LET(_xlpm.tk,_xlfn.TEXTSPLIT(SUBSTITUTE(SUBSTITUTE(IC330,";"," "),"→"," ")," ",,TRUE),_xlpm.w_,_xlfn._xlws.FILTER(_xlpm.tk,ISNUMBER(--LEFT(_xlpm.tk,1))*((ISNUMBER(SEARCH("W",_xlpm.tk))+ISNUMBER(SEARCH("Вт",_xlpm.tk)))&gt;0),""),IFERROR(--SUBSTITUTE(SUBSTITUTE(UPPER(INDEX(_xlpm.w_,1)),"W",""),"ВТ",""),"")))</f>
        <v/>
      </c>
      <c r="IE330" t="str" cm="1">
        <f t="array" ref="IE330">IF(IC330="","",_xlfn.LET(_xlpm.tk,_xlfn.TEXTSPLIT(SUBSTITUTE(SUBSTITUTE(IC330,";"," "),"→"," ")," ",,TRUE),_xlpm.v_,_xlfn._xlws.FILTER(_xlpm.tk,ISNUMBER(--LEFT(_xlpm.tk,1))*((ISNUMBER(SEARCH("V",_xlpm.tk))+(RIGHT(UPPER(_xlpm.tk))="В"))&gt;0),""),IFERROR(--SUBSTITUTE(SUBSTITUTE(UPPER(INDEX(_xlpm.v_,1)),"V",""),"В",""),"")))</f>
        <v/>
      </c>
      <c r="IF330" s="6" t="str">
        <f>IF(OR(BV330=0,HI330="",HJ330=""),"",IFERROR(N(_xlfn.XLOOKUP(HI330,Каталог!$C$4:$C$500,Каталог!$Q$4:$Q$500)),""))</f>
        <v/>
      </c>
      <c r="IG330" s="6" t="str">
        <f>IF(N(IF330)=0,"",SUMIFS(Линии[Iр, А],Линии[Щит],A330,Линии[_модуль гр.],HH330,Линии[Канал (итог)],HJ330))</f>
        <v/>
      </c>
      <c r="IH330" t="str">
        <f>IF(AND(B330="",HO330=""),"",_xlfn.TEXTJOIN("; ",TRUE,IF(AND(B330&lt;&gt;"",FV330=""),"нет фазы",""),IF(AND(B330&lt;&gt;"",N(GL330)=0,FG330&lt;&gt;"Нет"),"нет мощности",""),IF(AND(HN330&lt;&gt;"",COUNTIFS(Линии[Щит],A330,Линии[Клемма (итог)],HN330)&gt;1),"дубль клеммы "&amp;HN330,""),IF(AND(HQ330&lt;&gt;"",HQ330&lt;&gt;"ok"),HQ330,""),IF(HR330&lt;&gt;"",HR330,""),IF(AND(N(CB330)&gt;=4,N(BX330)=1),CB330&amp;" жил на 1 фазе",""),IF(AND(BC330="R",CG330=1,IF(CS330&lt;&gt;"",N(CV330)&gt;30,OR(N(DA330)=0,N(DA330)&gt;30))),"розетка без дифзащиты до 30 мА",""),IF(AND(CG330=1,N(DA330)&gt;0,ISNUMBER(T330)),IF(T330&gt;N(DA330)/3,"ток утечки "&amp;FIXED(T330,1)&amp;" мА &gt; 1/3 уставки ("&amp;DA330&amp;" мА)",""),""),IF(AND(CH330=1,CS330=""),"«узо»: нет строки с УЗО выше (УЗО 2P 40А 30мА в «Аппаратах»)",""),IF(AND(CS330&lt;&gt;"",CS330=BA330),IF(CT330="","впишите номинал УЗО (УЗО 2P 40А 30мА)",IF(N(CT330)&lt;N(DT330),"УЗО "&amp;CT330&amp;" А &lt; автомата "&amp;DT330&amp;" А перед ним",IF(N(CT330)&lt;N(CX330),"УЗО "&amp;CT330&amp;" А &lt; тока блока "&amp;FIXED(CX330,1)&amp;" А",""))),""),IF(AND(CS330&lt;&gt;"",CS330=BA330,ISNUMBER(CY330)),IF(CY330&gt;N(CV330)/3,"ток утечки блока УЗО "&amp;FIXED(CY330,1)&amp;" мА &gt; 1/3 уставки ("&amp;CV330&amp;" мА)",""),""),IF(AND(CG330=1,N(BV330)+N(IB330)&gt;0,IC330=""),"линии до 50 В без БП: впишите в «Аппараты» (БП 24V 480W)",""),IF(AND(CG330=1,ISNUMBER(ID330),ISNUMBER(U330)),IF(U330&gt;ID330,"БП "&amp;ID330&amp;" Вт &lt; нужно "&amp;U330&amp;" Вт (×"&amp;Запас_БП&amp;")",""),""),IF(AND(CG330=1,ISNUMBER(IE330),N(BV330)=1),IF(IE330&lt;&gt;N(BU330),"БП на "&amp;IE330&amp;" В, линия "&amp;BU330&amp;" В",""),""),IF(AND(N(IF330)&gt;0,N(IG330)&gt;N(IF330)),HH330&amp;" канал "&amp;HJ330&amp;": "&amp;FIXED(IG330,1)&amp;" А &gt; "&amp;IF330&amp;" А",""),IFERROR(IF(AND(ISNUMBER(Q330),Q330&gt;EL330),"потери "&amp;FIXED(Q330,1)&amp;" % &gt; "&amp;EL330&amp;" %",""),""),IFERROR(IF(LEFT(HU330,4)="мало","Iкз мало — отключение &gt; 0,4 с",""),""),IF(AND(B330&lt;&gt;"",BM330=""),"не на схеме",""),IF(AND(CG330=0,B330&lt;&gt;"",FV330&lt;&gt;"",IF(BA330=1,"",FW329)&lt;&gt;"",FV330&lt;&gt;IF(BA330=1,"",FW329)),"фаза не как у автомата группы ("&amp;IF(BA330=1,"",FW329)&amp;")","")))</f>
        <v>потери 5,2 % &gt; 4 %</v>
      </c>
      <c r="II330" s="6">
        <f>IF(OR(CG330=0,DQ330=""),"",_xlfn.LET(_xlpm.t,IFERROR(_xlfn.XLOOKUP(DQ330,Каталог!$U$4:$U$500,Каталог!$G$4:$G$500),""),_xlpm.k,SEARCH("кА",_xlpm.t),IFERROR(--TRIM(RIGHT(SUBSTITUTE(MID(_xlpm.t,MAX(1,_xlpm.k-4),_xlpm.k-MAX(1,_xlpm.k-4))," ",REPT(" ",9)),5)),"")))</f>
        <v>6</v>
      </c>
      <c r="IJ330" t="str">
        <f>IF(OR(II330="",CG330=0),"",IF(_xlfn.XLOOKUP(A330,Щиты[Щит],Щиты[Iкз max на шинах, кА],"")="","",IF(II330&lt;_xlfn.XLOOKUP(A330,Щиты[Щит],Щиты[Iкз max на шинах, кА]),"Icu "&amp;II330&amp;" кА &lt; Iкз max","ok")))</f>
        <v/>
      </c>
      <c r="IK330" t="str">
        <f t="shared" si="803"/>
        <v/>
      </c>
      <c r="IL330" t="str">
        <f t="shared" si="804"/>
        <v/>
      </c>
      <c r="IM330" t="str">
        <f t="shared" si="805"/>
        <v/>
      </c>
      <c r="IN330" t="str" cm="1">
        <f t="array" ref="IN330">IF(IM330="","",_xlfn.LET(_xlpm.nd,_xlfn.TEXTSPLIT(IM330,"|"),IF(COLUMNS(_xlpm.nd)&gt;1,A330&amp;"¦"&amp;INDEX(_xlpm.nd,1)&amp;"¦"&amp;INDEX(_xlpm.nd,2),"")))</f>
        <v/>
      </c>
      <c r="IO330" t="str">
        <f t="shared" si="806"/>
        <v/>
      </c>
      <c r="IP330" t="str" cm="1">
        <f t="array" ref="IP330">IF(IM330="","",_xlfn.LET(_xlpm.nd,_xlfn.TEXTSPLIT(IM330,"|"),IF(COLUMNS(_xlpm.nd)&gt;2,A330&amp;"¦"&amp;INDEX(_xlpm.nd,2)&amp;"¦"&amp;INDEX(_xlpm.nd,3),"")))</f>
        <v/>
      </c>
      <c r="IQ330" t="str">
        <f t="shared" si="807"/>
        <v/>
      </c>
      <c r="IR330" t="str" cm="1">
        <f t="array" ref="IR330">IF(IM330="","",_xlfn.LET(_xlpm.nd,_xlfn.TEXTSPLIT(IM330,"|"),IF(COLUMNS(_xlpm.nd)&gt;3,A330&amp;"¦"&amp;INDEX(_xlpm.nd,3)&amp;"¦"&amp;INDEX(_xlpm.nd,4),"")))</f>
        <v/>
      </c>
      <c r="IS330" t="str">
        <f t="shared" si="808"/>
        <v/>
      </c>
      <c r="IT330" t="str" cm="1">
        <f t="array" ref="IT330">IF(IM330="","",_xlfn.LET(_xlpm.nd,_xlfn.TEXTSPLIT(IM330,"|"),IF(COLUMNS(_xlpm.nd)&gt;4,A330&amp;"¦"&amp;INDEX(_xlpm.nd,4)&amp;"¦"&amp;INDEX(_xlpm.nd,5),"")))</f>
        <v/>
      </c>
      <c r="IU330" t="str">
        <f t="shared" si="809"/>
        <v/>
      </c>
      <c r="IV330" t="str" cm="1">
        <f t="array" ref="IV330">IF(IM330="","",_xlfn.LET(_xlpm.nd,_xlfn.TEXTSPLIT(IM330,"|"),IF(COLUMNS(_xlpm.nd)&gt;5,A330&amp;"¦"&amp;INDEX(_xlpm.nd,5)&amp;"¦"&amp;INDEX(_xlpm.nd,6),"")))</f>
        <v/>
      </c>
      <c r="IW330" t="str">
        <f t="shared" si="810"/>
        <v/>
      </c>
      <c r="IX330" t="str" cm="1">
        <f t="array" ref="IX330">IF(IM330="","",_xlfn.LET(_xlpm.nd,_xlfn.TEXTSPLIT(IM330,"|"),IF(COLUMNS(_xlpm.nd)&gt;6,A330&amp;"¦"&amp;INDEX(_xlpm.nd,6)&amp;"¦"&amp;INDEX(_xlpm.nd,7),"")))</f>
        <v/>
      </c>
      <c r="IY330" t="str">
        <f t="shared" si="811"/>
        <v/>
      </c>
      <c r="IZ330" t="str">
        <f t="shared" si="812"/>
        <v/>
      </c>
      <c r="JA330" t="str">
        <f t="shared" si="813"/>
        <v/>
      </c>
      <c r="JB330">
        <f t="shared" si="814"/>
        <v>0</v>
      </c>
      <c r="JC330">
        <f t="shared" si="815"/>
        <v>0</v>
      </c>
      <c r="JD330" t="str">
        <f t="shared" si="816"/>
        <v/>
      </c>
      <c r="JE330" t="str">
        <f t="shared" si="817"/>
        <v/>
      </c>
      <c r="JF330" t="str">
        <f t="shared" si="818"/>
        <v/>
      </c>
      <c r="JG330" t="str">
        <f t="shared" si="819"/>
        <v/>
      </c>
      <c r="JH330">
        <f>IF(B330="","",IFERROR(_xlfn.XLOOKUP(B330,Коды_код,Коды_уго),IFERROR(_xlfn.XLOOKUP(BC330,Коды_код,Коды_уго),IFERROR(_xlfn.XLOOKUP(LEFT(BC330,2),Коды_код,Коды_уго),""))))</f>
        <v>0</v>
      </c>
      <c r="JI330" t="str">
        <f>IF(B330="","",IF(OR(JH330="",JH330=0),"BOX",IFERROR(IF(VLOOKUP(JH330,УГО_блоки,3,FALSE)&amp;""&lt;&gt;"",VLOOKUP(JH330,УГО_блоки,3,FALSE),VLOOKUP(JH330,УГО_блоки,2,FALSE)),JH330)))</f>
        <v>BOX</v>
      </c>
      <c r="JJ330">
        <f t="shared" si="820"/>
        <v>1</v>
      </c>
      <c r="JK330" t="str">
        <f>IF(DQ330="","",IF(COUNTIF(DQ$3:DQ330,DQ330)=1,MAX(JK$2:JK329)+1,""))</f>
        <v/>
      </c>
      <c r="JL330" t="str">
        <f>IF(DE330="","",IF(COUNTIF(DE$3:DE330,DE330)+COUNTIF(DF$2:DF329,DE330)+COUNTIF(DG$2:DG329,DE330)=1,MAX(JL$2:JN329)+1,""))</f>
        <v/>
      </c>
      <c r="JM330" t="str">
        <f>IF(DF330="","",IF(COUNTIF(DE$3:DE330,DF330)+COUNTIF(DF$3:DF330,DF330)+COUNTIF(DG$2:DG329,DF330)=1,MAX(JL$2:JN329,JL330)+1,""))</f>
        <v/>
      </c>
      <c r="JN330" t="str">
        <f>IF(DG330="","",IF(COUNTIF(DE$3:DE330,DG330)+COUNTIF(DF$3:DF330,DG330)+COUNTIF(DG$3:DG330,DG330)=1,MAX(JL$2:JN329,JL330,JM330)+1,""))</f>
        <v/>
      </c>
      <c r="JO330" t="str">
        <f t="shared" si="821"/>
        <v/>
      </c>
      <c r="JP330" t="str">
        <f>IF(JO330="","",IF(COUNTIF(JO$3:JO330,JO330)=1,MAX(JP$2:JP329)+1,""))</f>
        <v/>
      </c>
      <c r="JQ330" t="str">
        <f>IF(HG330="","",COUNTIF(HG$3:HG330,"?*"))</f>
        <v/>
      </c>
      <c r="JR330" t="str">
        <f>IF(OR(HG330="",HI330=""),"",IF(COUNTIFS(HG$3:HG330,"?*",HI$3:HI330,HI330)=1,MAX(JR$2:JR329)+1,""))</f>
        <v/>
      </c>
      <c r="JS330">
        <f t="shared" si="822"/>
        <v>1</v>
      </c>
      <c r="JT330">
        <f>IF(B330="","",COUNTIF(B$3:B330,"?*"))</f>
        <v>328</v>
      </c>
      <c r="JU330">
        <f>IF(HL330&lt;&gt;1,0,_xlfn.LET(_xlpm.k,MAX(IFERROR(--_xlfn.XLOOKUP(B330,Коды_код,Коды_3L),0),IFERROR(--_xlfn.XLOOKUP(BC330,Коды_код,Коды_3L),0),IFERROR(--_xlfn.XLOOKUP(LEFT(BC330,2),Коды_код,Коды_3L),0)),IF(_xlpm.k&gt;0,_xlpm.k,IF(IFERROR(--LEFT(SUBSTITUTE(JO330,"x","х"),FIND("х",SUBSTITUTE(JO330,"x","х"))-1),3)&gt;3,Каталог!$S$9,1))))</f>
        <v>0</v>
      </c>
      <c r="JV330">
        <f t="shared" si="823"/>
        <v>0</v>
      </c>
      <c r="JW330" t="str">
        <f t="shared" si="824"/>
        <v>авто</v>
      </c>
      <c r="JX330" t="str">
        <f t="shared" si="825"/>
        <v/>
      </c>
      <c r="JY330">
        <f t="shared" si="826"/>
        <v>0</v>
      </c>
      <c r="JZ330">
        <f t="shared" si="827"/>
        <v>1</v>
      </c>
    </row>
    <row r="331" spans="1:286" x14ac:dyDescent="0.3">
      <c r="A331" t="s">
        <v>767</v>
      </c>
      <c r="B331" t="s">
        <v>1632</v>
      </c>
      <c r="C331" t="str">
        <f>Линии[[#This Row],[_авто наименование]]</f>
        <v>Насос дренажный, пом. 006Т</v>
      </c>
      <c r="D331">
        <v>1</v>
      </c>
      <c r="E331">
        <v>0.6</v>
      </c>
      <c r="G331">
        <v>16</v>
      </c>
      <c r="H331" t="str">
        <f>Линии[[#This Row],[_авто управление]]</f>
        <v/>
      </c>
      <c r="I331" t="str">
        <f>Линии[[#This Row],[_авто аппараты]]</f>
        <v/>
      </c>
      <c r="J331">
        <v>2.5</v>
      </c>
      <c r="K331">
        <v>13</v>
      </c>
      <c r="L331">
        <v>3</v>
      </c>
      <c r="M331" t="str">
        <f>Линии[[#This Row],[_авто клемма]]</f>
        <v>XT1</v>
      </c>
      <c r="N331" t="str">
        <f t="shared" si="690"/>
        <v/>
      </c>
      <c r="O331" s="6" cm="1">
        <f t="array" ref="O331">IF(B331="","",IF(BH331&lt;&gt;"",IFERROR(_xlfn.XLOOKUP(BH331,Щиты[Щит],Щиты[Iр, А]),""),IF(BP331=1,IF(OR(N(_xlfn.XLOOKUP(A331,Щиты[Щит],Щиты[Вводов],1))&lt;=1,LOWER(TRIM(_xlfn.XLOOKUP(A331,Щиты[Щит],Щиты[АВР],"")&amp;""))="да"),IFERROR(_xlfn.XLOOKUP(A331,Щиты[Щит],Щиты[Iр, А]),""),IFERROR(N(BS331)*_xlfn.XLOOKUP(A331,Щиты[Щит],Щиты[Кс итог])/(SQRT(3)*Uн_лин*_xlfn.XLOOKUP(A331,Щиты[Щит],Щиты[cos φ])),"")),IF(BV331=1,IFERROR(BS331*1000/BU331,""),IFERROR(_xlfn.IFS(BX331=1,BS331/((Uн_лин/SQRT(3))*CE331),BX331=3,BS331/(SQRT(3)*Uн_лин*CE331)),"")))))</f>
        <v>3.2475952641916441</v>
      </c>
      <c r="P331" s="7">
        <f>IF(B331="","",IFERROR(IF(VLOOKUP(BC331,Потребители_обозначение,4,FALSE)=1,VLOOKUP(BC331,Потребители_обозначение,3,FALSE)*(MAX(1,N(D331))*2-1)+EI331+VLOOKUP(BE331,Этаж_обозначение,3,FALSE)+VLOOKUP(BE331,Этаж_обозначение,4,FALSE),VLOOKUP(BC331,Потребители_обозначение,3,FALSE)*(MAX(1,N(D331))*2-1)+EI331),EI331))</f>
        <v>16</v>
      </c>
      <c r="Q331" s="6">
        <f t="shared" si="691"/>
        <v>3.77</v>
      </c>
      <c r="R331" t="str">
        <f t="shared" si="692"/>
        <v>ВВГнг(А)-LS (3х2,5)</v>
      </c>
      <c r="S331" t="str">
        <f>IF(BM331="","",IF(BN331="вводной узел","узел ","")&amp;"л."&amp;(INT((BM331-1)/Столбцов_на_лист)+1)&amp;" / "&amp;(MOD(BM331-1,Столбцов_на_лист)+1))</f>
        <v>л.1 / 12</v>
      </c>
      <c r="T331" s="119">
        <f t="shared" si="693"/>
        <v>1.5</v>
      </c>
      <c r="U331" s="7" t="str">
        <f>IF(OR(CG331=0,N(BV331)+N(IB331)=0),"",ROUNDUP(Запас_БП*(N(HY331)+N(HZ331)),0))</f>
        <v/>
      </c>
      <c r="V331" s="119" t="str">
        <f t="shared" si="694"/>
        <v/>
      </c>
      <c r="W331" s="7" t="str">
        <f>IFERROR(IF(OR(B331="",BP331=1,BV331=1,NOT(ISNUMBER(EN331)),N(DT331)=0),"",MAX(0,ROUNDDOWN((c_min*(Uн_лин*1000/SQRT(3))/(HT331*N(DT331))-_xlfn.XLOOKUP(A331,Щиты[Щит],Щиты[Zпетли на шинах, Ом]))*EN331/(2*ρкз_Cu),0))),"")</f>
        <v/>
      </c>
      <c r="Y331" t="str">
        <f>Линии[[#This Row],[_авто утечка]]</f>
        <v/>
      </c>
      <c r="Z331">
        <v>1</v>
      </c>
      <c r="AA331">
        <v>230</v>
      </c>
      <c r="AB331" t="s">
        <v>598</v>
      </c>
      <c r="AC331">
        <v>0.7</v>
      </c>
      <c r="AG331" t="s">
        <v>810</v>
      </c>
      <c r="AI331" t="s">
        <v>604</v>
      </c>
      <c r="AK331" t="str">
        <f>Линии[[#This Row],[_авто модуль]]</f>
        <v/>
      </c>
      <c r="AM331">
        <v>12</v>
      </c>
      <c r="AN331" t="s">
        <v>11</v>
      </c>
      <c r="AO331">
        <v>3</v>
      </c>
      <c r="AQ331">
        <v>0</v>
      </c>
      <c r="AR331">
        <v>12</v>
      </c>
      <c r="BA331" cm="1">
        <f t="array" ref="BA331">ROW()-ROW(Линии[#Headers])</f>
        <v>329</v>
      </c>
      <c r="BC331" s="6" t="str">
        <f t="shared" si="695"/>
        <v>НВК</v>
      </c>
      <c r="BD331" t="str">
        <f t="shared" si="696"/>
        <v>00.006Т.2</v>
      </c>
      <c r="BE331" t="str">
        <f t="shared" si="697"/>
        <v>00</v>
      </c>
      <c r="BF331" t="str">
        <f t="shared" si="698"/>
        <v>006Т.2</v>
      </c>
      <c r="BG331" t="str">
        <f t="shared" si="699"/>
        <v>006Т</v>
      </c>
      <c r="BH331" t="str">
        <f>IF(X331&lt;&gt;"",X331,IF(AND(B331&lt;&gt;"",B331&lt;&gt;A331,ISNUMBER(_xlfn.XMATCH(B331,Щиты[Щит]))),B331,""))</f>
        <v/>
      </c>
      <c r="BI331" t="str" cm="1">
        <f t="array" ref="BI331">IF(B331="","",IF(BH331&lt;&gt;"","Щит "&amp;BH331,_xlfn.LET(_xlpm.nm,IFERROR(_xlfn.XLOOKUP(BC331,Коды_код,Коды_имя)&amp;"",""),_xlpm.md,IFERROR(N(_xlfn.XLOOKUP(BC331,Коды_код,Коды_режим)),1),_xlpm.ex,IF(Имя_режим="по экспликации",IFERROR(_xlfn.XLOOKUP(BE331&amp;"|"&amp;BG331,Экспликация[Этаж]&amp;"|"&amp;Экспликация[Помещение],Экспликация[Название])&amp;"",""),""),_xlpm.rm,IF(BG331="","",IF(_xlpm.ex&lt;&gt;"",". "&amp;_xlpm.ex&amp;IF(Имя_пом="нет"," ("&amp;BG331&amp;")"," (пом. "&amp;BG331&amp;")"),IF(Имя_пом="нет"," ",", пом. ")&amp;BG331)),IF(_xlpm.nm="","",IF(_xlpm.md=2,_xlpm.nm&amp;" шлейф "&amp;BE331,_xlpm.nm&amp;_xlpm.rm)))))</f>
        <v>Насос дренажный, пом. 006Т</v>
      </c>
      <c r="BJ331" t="str">
        <f t="shared" si="700"/>
        <v>Насос дренажный, пом. 006Т</v>
      </c>
      <c r="BK331">
        <f>IFERROR(_xlfn.XMATCH(A331,Щиты[Щит]),0)</f>
        <v>15</v>
      </c>
      <c r="BL331">
        <f>_xlfn.LET(_xlpm.k,IFERROR(_xlfn.XLOOKUP(A331,Щиты[Щит],Щиты[Мест под вводной узел]),""),IF(_xlpm.k="",Столбцов_на_лист,N(_xlpm.k)))</f>
        <v>11</v>
      </c>
      <c r="BM331">
        <f t="shared" si="701"/>
        <v>12</v>
      </c>
      <c r="BN331" t="str">
        <f t="shared" si="702"/>
        <v>линии</v>
      </c>
      <c r="BO331" s="6">
        <f>IFERROR(N(_xlfn.XLOOKUP(BC331,Коды_код,Коды_квт)),0)</f>
        <v>0</v>
      </c>
      <c r="BP331">
        <f t="shared" si="703"/>
        <v>0</v>
      </c>
      <c r="BQ331" t="str">
        <f>IF(B331="","",IF(BH331&lt;&gt;"",IFERROR(_xlfn.XLOOKUP(BH331,Щиты[Щит],Щиты[Руст, кВт]),0),IF(BP331=1,IF(OR(N(_xlfn.XLOOKUP(A331,Щиты[Щит],Щиты[Вводов],1))&lt;=1,LOWER(TRIM(_xlfn.XLOOKUP(A331,Щиты[Щит],Щиты[АВР],"")&amp;""))="да"),IFERROR(_xlfn.XLOOKUP(A331,Щиты[Щит],Щиты[Руст, кВт]),0),SUMIFS(Линии[_Р для вводов],Линии[Щит],A331,Линии[Источник для режимов],GF331)),IF(BO331&gt;0,ROUND(BO331*MAX(1,N(D331)),3),""))))</f>
        <v/>
      </c>
      <c r="BR331">
        <f t="shared" si="704"/>
        <v>0.6</v>
      </c>
      <c r="BS331" s="6">
        <f>IF(B331="","",IF(BH331&lt;&gt;"",IFERROR(_xlfn.XLOOKUP(BH331,Щиты[Щит],Щиты[Руст, кВт]),0),N(BR331)))</f>
        <v>0.6</v>
      </c>
      <c r="BT331" t="str">
        <f>IF(B331="","",IFERROR(IF(VLOOKUP(BC331,Потребители_обозначение,8,FALSE)=0,"",VLOOKUP(BC331,Потребители_обозначение,8,FALSE)),""))</f>
        <v/>
      </c>
      <c r="BU331">
        <f t="shared" si="705"/>
        <v>230</v>
      </c>
      <c r="BV331">
        <f t="shared" si="706"/>
        <v>0</v>
      </c>
      <c r="BW331">
        <f>IF(B331="","",IF(BH331&lt;&gt;"",3,IFERROR(IF(N(VLOOKUP(BC331,Потребители_обозначение,9,FALSE))=0,1,VLOOKUP(BC331,Потребители_обозначение,9,FALSE)),1)))</f>
        <v>1</v>
      </c>
      <c r="BX331">
        <f t="shared" si="707"/>
        <v>1</v>
      </c>
      <c r="BY331" t="str">
        <f>IF(B331="","",_xlfn.LET(_xlpm.bc,IFERROR(IF(VLOOKUP(BC331,Потребители_обозначение,6,FALSE)=0,"",VLOOKUP(BC331,Потребители_обозначение,6,FALSE)&amp;""),""),IF(AND(GA331="да",OR(_xlpm.bc="",_xlpm.bc="мс")),Марка_пож,IF(AND(_xlpm.bc="",BH331&lt;&gt;""),"мс",_xlpm.bc))))</f>
        <v/>
      </c>
      <c r="BZ331" t="str">
        <f t="shared" si="708"/>
        <v>мс</v>
      </c>
      <c r="CA331">
        <f>IF(B331="","",_xlfn.LET(_xlpm.cc,IFERROR(N(VLOOKUP(BC331,Потребители_обозначение,7,FALSE)),0),IF(_xlpm.cc&gt;0,_xlpm.cc,IF(BZ331="","",IF(BV331=1,2,IF(N(BX331)=3,5,3))))))</f>
        <v>3</v>
      </c>
      <c r="CB331">
        <f t="shared" si="709"/>
        <v>3</v>
      </c>
      <c r="CC331">
        <f>IFERROR(N(VLOOKUP(BC331,Потребители_обозначение,10,FALSE)),0)</f>
        <v>0</v>
      </c>
      <c r="CD331">
        <f>IFERROR(VLOOKUP(BC331,Потребители_обозначение,5,FALSE),0)</f>
        <v>1</v>
      </c>
      <c r="CE331" s="6" cm="1">
        <f t="array" ref="CE331">IF(B331="","",IF(BH331&lt;&gt;"",IFERROR(_xlfn.XLOOKUP(BH331,Щиты[Щит],Щиты[cos φ]),0.95),IF(BP331=1,IFERROR(_xlfn.XLOOKUP(A331,Щиты[Щит],Щиты[cos φ]),0.95),IF(ISNUMBER(AD331),AD331,IFERROR(IF(CD331=2,_xlfn.IFS(BX331=3,VLOOKUP(BS331,Справочная_двигатели,8,FALSE),BX331=1,VLOOKUP(BS331,Справочная_двигатели,10,TRUE)),IF(AND(Методика="нормы 2026",FG331="Сил"),0.8,0.95)),0.95)))))</f>
        <v>0.8</v>
      </c>
      <c r="CF331">
        <f t="shared" si="710"/>
        <v>0</v>
      </c>
      <c r="CG331">
        <f t="shared" si="711"/>
        <v>1</v>
      </c>
      <c r="CH331">
        <f t="shared" si="712"/>
        <v>0</v>
      </c>
      <c r="CI331">
        <f>IF(B331="","",IF(BV331=1,IFERROR(BS331/((Uн_лин/SQRT(3))*MAX(0.5,N(CE331))),0),N(O331)))</f>
        <v>3.2475952641916441</v>
      </c>
      <c r="CJ331">
        <f t="shared" si="713"/>
        <v>0</v>
      </c>
      <c r="CK331">
        <f t="shared" si="714"/>
        <v>0</v>
      </c>
      <c r="CL331">
        <f t="shared" si="715"/>
        <v>0</v>
      </c>
      <c r="CM331">
        <f t="shared" si="716"/>
        <v>0</v>
      </c>
      <c r="CN331">
        <f t="shared" si="717"/>
        <v>0</v>
      </c>
      <c r="CO331">
        <f>IF(BC331="",0,_xlfn.LET(_xlpm.v,IFERROR(_xlfn.XLOOKUP(B331,Коды_код,Коды_мА),IFERROR(_xlfn.XLOOKUP(BC331,Коды_код,Коды_мА),IFERROR(_xlfn.XLOOKUP(LEFT(BC331,2),Коды_код,Коды_мА),""))),IF(_xlpm.v="да",30,IF(ISNUMBER(_xlpm.v),_xlpm.v,0))))</f>
        <v>0</v>
      </c>
      <c r="CP331" t="str">
        <f t="shared" si="718"/>
        <v/>
      </c>
      <c r="CQ331" t="str">
        <f>_xlfn.LET(_xlpm.k,IFERROR(_xlfn.XLOOKUP(BC331,Коды_код,Коды_утечка)&amp;"",""),IF(_xlpm.k="","дифавтомат",_xlpm.k))</f>
        <v>дифавтомат</v>
      </c>
      <c r="CR331" t="str" cm="1">
        <f t="array" ref="CR331">IF(CG331=0,"",_xlfn.LET(_xlpm.sg,TRIM(_xlfn.TEXTSPLIT(DD331&amp;"",";")),_xlpm.f_,_xlfn._xlws.FILTER(_xlpm.sg,LEFT(_xlpm.sg,3)="УЗО",""),IFERROR(INDEX(_xlpm.f_,1)&amp;"","")))</f>
        <v/>
      </c>
      <c r="CS331" t="str">
        <f t="shared" si="719"/>
        <v/>
      </c>
      <c r="CT331" s="6" t="str" cm="1">
        <f t="array" ref="CT331">IF(CR331="","",_xlfn.LET(_xlpm.tk,_xlfn.TEXTSPLIT(UPPER(CR331)," ",,TRUE),_xlpm.a_,_xlfn._xlws.FILTER(_xlpm.tk,ISNUMBER(--LEFT(_xlpm.tk,1))*((ISNUMBER(SEARCH("А",_xlpm.tk))+ISNUMBER(SEARCH("A",_xlpm.tk)))&gt;0)*NOT(ISNUMBER(SEARCH("МА",_xlpm.tk)))*NOT(ISNUMBER(SEARCH("MA",_xlpm.tk))),""),IFERROR(--SUBSTITUTE(SUBSTITUTE(INDEX(_xlpm.a_,1),"А",""),"A",""),"")))</f>
        <v/>
      </c>
      <c r="CU331" t="str" cm="1">
        <f t="array" ref="CU331">IF(CR331="","",_xlfn.LET(_xlpm.tk,_xlfn.TEXTSPLIT(UPPER(CR331)," ",,TRUE),_xlpm.a_,_xlfn._xlws.FILTER(_xlpm.tk,ISNUMBER(--LEFT(_xlpm.tk,1))*((ISNUMBER(SEARCH("МА",_xlpm.tk))+ISNUMBER(SEARCH("MA",_xlpm.tk)))&gt;0),""),IFERROR(--SUBSTITUTE(SUBSTITUTE(INDEX(_xlpm.a_,1),"МА",""),"MA",""),30)))</f>
        <v/>
      </c>
      <c r="CV331" t="str">
        <f>IF(CS331="","",IFERROR(_xlfn.XLOOKUP(CS331,Линии[_n],Линии[_УЗО, мА]),30))</f>
        <v/>
      </c>
      <c r="CW331">
        <f>IF(CS331="",0,IF(ISNUMBER(SEARCH("4P",IFERROR(_xlfn.XLOOKUP(CS331,Линии[_n],Линии[_УЗО строки])&amp;"",""))),0,1))</f>
        <v>0</v>
      </c>
      <c r="CX331" t="str">
        <f>IF(AND(CS331&lt;&gt;"",CS331=BA331),SUMIFS(Линии[_ток на 230 В],Линии[_блок УЗО],BA331,Линии[Щит],A331),"")</f>
        <v/>
      </c>
      <c r="CY331" t="str">
        <f>IF(AND(CS331&lt;&gt;"",CS331=BA331),SUMIFS(Линии[_ток утечки линии, мА],Линии[_блок УЗО],BA331,Линии[Щит],A331),"")</f>
        <v/>
      </c>
      <c r="CZ331">
        <f t="shared" si="720"/>
        <v>0</v>
      </c>
      <c r="DA331">
        <f t="shared" si="721"/>
        <v>0</v>
      </c>
      <c r="DB331">
        <f>IF(B331="",0,IFERROR(--_xlfn.XLOOKUP(B331,Коды_код,Коды_минавт),IFERROR(--_xlfn.XLOOKUP(BC331,Коды_код,Коды_минавт),IFERROR(--_xlfn.XLOOKUP(LEFT(BC331,2),Коды_код,Коды_минавт),0))))</f>
        <v>0</v>
      </c>
      <c r="DC331" t="str">
        <f>IF(B331="","",IFERROR(_xlfn.XLOOKUP(BC331,Коды_код,Коды_апп)&amp;"",""))</f>
        <v/>
      </c>
      <c r="DD331" t="str">
        <f t="shared" si="722"/>
        <v/>
      </c>
      <c r="DE331" t="str" cm="1">
        <f t="array" ref="DE331">IF(TRIM(DD331&amp;"")="","",IFERROR(TRIM(INDEX(_xlfn.TEXTSPLIT(DD331&amp;";;;",";"),1)),""))</f>
        <v/>
      </c>
      <c r="DF331" t="str" cm="1">
        <f t="array" ref="DF331">IF(TRIM(DD331&amp;"")="","",IFERROR(TRIM(INDEX(_xlfn.TEXTSPLIT(DD331&amp;";;;",";"),2)),""))</f>
        <v/>
      </c>
      <c r="DG331" t="str" cm="1">
        <f t="array" ref="DG331">IF(TRIM(DD331&amp;"")="","",IFERROR(TRIM(INDEX(_xlfn.TEXTSPLIT(DD331&amp;";;;",";"),3)),""))</f>
        <v/>
      </c>
      <c r="DH331">
        <f t="shared" si="723"/>
        <v>0</v>
      </c>
      <c r="DI331" t="str">
        <f>IF(B331="","",_xlfn.LET(_xlpm.t,LOWER(AZ331&amp;""),IF(ISNUMBER(SEARCH("dim",_xlpm.t)),"DIM",IF(ISNUMBER(SEARCH("dali",_xlpm.t)),"DALI",IF(OR(ISNUMBER(SEARCH("relay",_xlpm.t)),ISNUMBER(SEARCH("реле",_xlpm.t))),"Relay",IF(ISNUMBER(SEARCH("кнопк",_xlpm.t)),"",IFERROR(_xlfn.XLOOKUP(BC331,Коды_код,Коды_упр)&amp;"","")))))))</f>
        <v/>
      </c>
      <c r="DJ331" t="str">
        <f t="shared" si="724"/>
        <v/>
      </c>
      <c r="DK331">
        <f>IF(B331="","",_xlfn.LET(_xlpm.ig,IF(N(CX331)&gt;0,N(CX331),N(CI331)+IF(AJ331="вручную",0,N(CJ331))),_xlpm.n0,IFERROR(VLOOKUP(_xlpm.ig,Автомат_номиналы,2,TRUE),0),_xlpm.mn,MAX(DB331,IF(AJ331="вручную",0,N(CM331))),MAX(_xlpm.n0,_xlpm.mn,IF(DH331=1,Мин_автомат_БП,0))))</f>
        <v>6</v>
      </c>
      <c r="DL331">
        <f t="shared" si="725"/>
        <v>1</v>
      </c>
      <c r="DM331" t="str">
        <f t="shared" si="726"/>
        <v>1P</v>
      </c>
      <c r="DN331" t="str">
        <f>_xlfn.LET(_xlpm.cc,UPPER(TRIM(IFERROR(_xlfn.XLOOKUP(BC331,Коды_код,Коды_хар)&amp;"",""))),IF(OR(_xlpm.cc="B",_xlpm.cc="В"),"B",IF(_xlpm.cc="D","D","С")))</f>
        <v>С</v>
      </c>
      <c r="DO331" t="str">
        <f t="shared" si="727"/>
        <v>1P С6А</v>
      </c>
      <c r="DP331">
        <f t="shared" si="728"/>
        <v>16</v>
      </c>
      <c r="DQ331" t="str">
        <f t="shared" si="729"/>
        <v>1P С16А</v>
      </c>
      <c r="DR331" cm="1">
        <f t="array" ref="DR331">IF(DQ331="","",_xlfn.LET(_xlpm.t,SUBSTITUTE(SUBSTITUTE(SUBSTITUTE(UPPER(DQ331),"С","C"),"А","A"),"В","B"),_xlpm.tk,_xlfn.TEXTSPLIT(_xlpm.t," "),_xlpm.f,_xlfn._xlws.FILTER(_xlpm.tk,ISNUMBER(--MID(_xlpm.tk,2,1))*ISNUMBER(SEARCH(LEFT(_xlpm.tk,1)&amp;"#","B#C#D#"))*(LEN(_xlpm.tk)&gt;1),""),_xlpm.x,INDEX(_xlpm.f,1),IFERROR(--SUBSTITUTE(MID(_xlpm.x,2,9),"A",""),IFERROR(--SUBSTITUTE(INDEX(_xlfn._xlws.FILTER(_xlpm.tk,ISNUMBER(--SUBSTITUTE(_xlpm.tk,"A","")),""),1),"A",""),""))))</f>
        <v>16</v>
      </c>
      <c r="DS331" t="str">
        <f t="shared" si="730"/>
        <v>ok</v>
      </c>
      <c r="DT331">
        <f t="shared" si="731"/>
        <v>16</v>
      </c>
      <c r="DU331" t="str">
        <f t="shared" si="732"/>
        <v>1P С16А</v>
      </c>
      <c r="DV331">
        <f t="shared" si="733"/>
        <v>0</v>
      </c>
      <c r="DW331">
        <f t="shared" si="734"/>
        <v>0</v>
      </c>
      <c r="DX331">
        <f t="shared" si="735"/>
        <v>0</v>
      </c>
      <c r="DY331">
        <f t="shared" si="736"/>
        <v>3.2475952641916441</v>
      </c>
      <c r="DZ331">
        <f t="shared" si="737"/>
        <v>1</v>
      </c>
      <c r="EA331">
        <f>IF(ISNUMBER(AP331),AP331,К_прокл)</f>
        <v>1</v>
      </c>
      <c r="EB331">
        <f t="shared" si="738"/>
        <v>2</v>
      </c>
      <c r="EC331">
        <f>IFERROR(N(VLOOKUP(BZ331,Кабель_обозначение,3,FALSE)),1)</f>
        <v>1</v>
      </c>
      <c r="ED331">
        <f>IFERROR(N(_xlfn.XLOOKUP(A331,Щиты[Щит],Щиты[ΔU до шин, %])),0)</f>
        <v>3.44</v>
      </c>
      <c r="EE331" t="str">
        <f>IFERROR(_xlfn.XLOOKUP(A331,Щиты[Щит],Щиты[Zпетли на шинах, Ом]),"")</f>
        <v/>
      </c>
      <c r="EF331">
        <f>IFERROR(N(_xlfn.XLOOKUP(A331,Щиты[Щит],Щиты[ΔU до шин (подбор), %])),0)</f>
        <v>5.4799999999999995</v>
      </c>
      <c r="EG331" t="str">
        <f>IFERROR(_xlfn.XLOOKUP(A331,Щиты[Щит],Щиты[Zпетли на шинах (подбор), Ом]),"")</f>
        <v/>
      </c>
      <c r="EH331" t="str">
        <f t="shared" si="739"/>
        <v/>
      </c>
      <c r="EI331">
        <f t="shared" si="740"/>
        <v>13</v>
      </c>
      <c r="EJ331">
        <f t="shared" si="741"/>
        <v>2</v>
      </c>
      <c r="EK331">
        <f t="shared" si="742"/>
        <v>0.6</v>
      </c>
      <c r="EL331" s="6">
        <f>IF(B331="","",IF(BV331=1,dU_LED,IF(IFERROR(_xlfn.XLOOKUP(BC331,Коды_код,Коды_уго),"")="Светильник",3,4)+IF(Методика="нормы 2026",MIN(0.5,MAX(0,N(P331)-100)*0.005),0)))</f>
        <v>4</v>
      </c>
      <c r="EM331" t="str" cm="1">
        <f t="array" ref="EM331">IF(OR(B331="",BZ331="",EC331&lt;&gt;1),"",_xlfn.LET(_xlpm.sz,Iдоп_S,_xlpm.t_,CHOOSE(EB331,Iдоп_1ж,Iдоп_2ж,Iдоп_3ж)*DZ331*EA331,_xlpm.dcx,BV331=1,_xlpm.inn,IF(_xlpm.dcx,N(O331),N(DT331)),_xlpm.smin,MAX(1.5,CC331),_xlpm.L_,N(P331)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331)/N(BU331)*100,999),IFERROR(N(EJ331)*(_xlpm.rho*_xlpm.L_/_xlpm.sz*N(CE331)+_xlpm.xx*_xlpm.L_*N(EK331)/1000)*N(O331)/((Uн_лин/SQRT(3))*1000)*100,999)),_xlpm.kz,IF(OR(_xlpm.dcx,DW331=1,NOT(ISNUMBER(EG331)),_xlpm.L_=0,_xlpm.inn=0),1,IFERROR(--(c_min*(Uн_лин*1000/SQRT(3))/(EG331+2*ρкз_Cu*_xlpm.L_/_xlpm.sz)&gt;=HT331*_xlpm.inn),0)),_xlpm.ok,IFERROR((_xlpm.sz&gt;=_xlpm.smin)*(_xlpm.t_&gt;=_xlpm.inn)*IF(_xlpm.L_&gt;0,(_xlpm.du_+IF(_xlpm.dcx,0,EF331)&lt;=EL331+0.00001),1)*_xlpm.kz,0),_xlpm.r_,_xlfn._xlws.FILTER(_xlpm.sz,_xlpm.ok,"не подобрано"),INDEX(_xlpm.r_,1)))</f>
        <v>не подобрано</v>
      </c>
      <c r="EN331">
        <f t="shared" si="743"/>
        <v>2.5</v>
      </c>
      <c r="EO331" cm="1">
        <f t="array" ref="EO331">IF(OR(B331="",BZ331="",EC331&lt;&gt;1),"",_xlfn.LET(_xlpm.sz,Iдоп_S,_xlpm.t_,CHOOSE(EB331,Iдоп_1ж,Iдоп_2ж,Iдоп_3ж)*DZ331*EA331,_xlpm.ok,IFERROR((_xlpm.sz&gt;=MAX(1.5,CC331))*(_xlpm.t_&gt;=N(DT331)),0),_xlpm.r_,_xlfn._xlws.FILTER(_xlpm.sz,_xlpm.ok,""),INDEX(_xlpm.r_,1)))</f>
        <v>1.5</v>
      </c>
      <c r="EP331" s="6" cm="1">
        <f t="array" ref="EP331">IFERROR(ROUNDUP(N(EJ331)*(_xlfn.XLOOKUP(EO331,INDEX(Кабель_сопротивление,0,1),INDEX(Кабель_сопротивление,0,3))*N(P331)/EO331*N(CE331)+_xlfn.XLOOKUP(EO331,INDEX(Кабель_сопротивление,0,1),INDEX(Кабель_сопротивление,0,2))*N(P331)*N(EK331)/1000)*N(O331)/((Uн_лин/SQRT(3))*1000)*100,2),"")</f>
        <v>0.55000000000000004</v>
      </c>
      <c r="EQ331">
        <f>IFERROR(2*ρкз_Cu*N(P331)/EO331,"")</f>
        <v>0.56106666666666671</v>
      </c>
      <c r="ER331">
        <f>IFERROR(VLOOKUP(EN331,Кабель_сопротивление,3,FALSE),"")</f>
        <v>2.2499999999999999E-2</v>
      </c>
      <c r="ES331">
        <f>IFERROR(VLOOKUP(EN331,Кабель_сопротивление,2,FALSE),"")</f>
        <v>0.1</v>
      </c>
      <c r="ET331">
        <f t="shared" si="744"/>
        <v>12</v>
      </c>
      <c r="EU331" t="str">
        <f t="shared" si="745"/>
        <v/>
      </c>
      <c r="EV331">
        <f t="shared" si="746"/>
        <v>0.75448133177700272</v>
      </c>
      <c r="EW331" s="6">
        <f>IFERROR(ROUNDUP(EV331/IF(BV331=1,BU331,(Uн_лин/SQRT(3))*1000)*100,2),"")</f>
        <v>0.33</v>
      </c>
      <c r="EX331" t="str">
        <f>IFERROR(VLOOKUP(BZ331,Кабель_обозначение,2,FALSE),"")</f>
        <v>ВВГнг(А)-LS</v>
      </c>
      <c r="EY331" t="str">
        <f t="shared" si="747"/>
        <v>ВВГнг(А)-LS (3х2,5)</v>
      </c>
      <c r="EZ331" t="str">
        <f t="shared" si="748"/>
        <v>ВВГнг(А)-LS (3х2,5)
L=16-0,33%</v>
      </c>
      <c r="FA331">
        <f>IFERROR(2*ρкз_Cu*P331/EN331,"")</f>
        <v>0.33663999999999999</v>
      </c>
      <c r="FB331">
        <f t="shared" si="749"/>
        <v>0.11200000000000002</v>
      </c>
      <c r="FC331" s="6" t="str">
        <f>IFERROR(IF(OR(B331="",BV331=1,NOT(ISNUMBER(EN331)),N(P331)=0),"",_xlfn.XLOOKUP(A331,Щиты[Щит],Щиты[Zпетли на шинах, Ом])+FA331),"")</f>
        <v/>
      </c>
      <c r="FD331" s="6" t="str">
        <f>IF(ISNUMBER(FC331),c_min*(Uн_лин*1000/SQRT(3))/FC331,"")</f>
        <v/>
      </c>
      <c r="FE331" s="6" t="str">
        <f>IFERROR(IF(OR(B331="",NOT(ISNUMBER(EN331))),"",1.05*(Uн_лин*1000/SQRT(3))/(_xlfn.XLOOKUP(A331,Щиты[Щит],Щиты[Zmax на шинах, Ом])+FB331)/1000),"")</f>
        <v/>
      </c>
      <c r="FF331" s="6" t="str">
        <f>IF(B331="","",IF(ISNUMBER(AC331),"Сил",IF(IFERROR(_xlfn.XLOOKUP(BC331,Коды_код,Коды_группа)&amp;"","")="","Быт",_xlfn.XLOOKUP(BC331,Коды_код,Коды_группа)&amp;"")))</f>
        <v>Сил</v>
      </c>
      <c r="FG331" s="6" t="str">
        <f t="shared" si="750"/>
        <v>Сил</v>
      </c>
      <c r="FH331" s="6">
        <f>IF(FG331="Щит","щит",IF(FG331="","",IF(FG331="Быт",IFERROR(_xlfn.XLOOKUP(A331,Щиты[Щит],Щиты[Кс быт]),1),IF(FG331="Сил",IF(ISNUMBER(AC331),AC331,IF(Методика="нормы 2026",IFERROR(_xlfn.XLOOKUP(A331,Щиты[Щит],Щиты[Кс силовых (табл. 7.5)]),1),1)),IF(OR(FG331="Пост",FG331="Отоп"),1,IF(FG331="ВНГ",0.7,0))))))</f>
        <v>0.7</v>
      </c>
      <c r="FI331">
        <f>IF(FG331="","",IF(AND(BP331=1,TRIM(AE331&amp;"")=""),IF(COUNTIFS(Линии[Щит],A331,Линии[Секция (1/2/3)],"&gt;=2")&gt;0,MIN(3,MAX(1,IFERROR(--BD331,1))),1),IFERROR(MIN(3,MAX(1,INT(--AE331))),1)))</f>
        <v>1</v>
      </c>
      <c r="FJ331">
        <f t="shared" si="751"/>
        <v>0.6</v>
      </c>
      <c r="FK331">
        <f t="shared" si="752"/>
        <v>0</v>
      </c>
      <c r="FL331">
        <f t="shared" si="753"/>
        <v>0.42</v>
      </c>
      <c r="FM331">
        <f t="shared" si="754"/>
        <v>0</v>
      </c>
      <c r="FN331">
        <f t="shared" si="755"/>
        <v>0</v>
      </c>
      <c r="FO331">
        <f t="shared" si="756"/>
        <v>0</v>
      </c>
      <c r="FP331">
        <f t="shared" si="757"/>
        <v>0.6</v>
      </c>
      <c r="FQ331">
        <f t="shared" si="758"/>
        <v>0.6</v>
      </c>
      <c r="FR331">
        <f t="shared" si="759"/>
        <v>0.48</v>
      </c>
      <c r="FS331">
        <f>IF(CG331=1,IF(AND(CH331=1,CW331=1),0,IF(AND(CS331&lt;&gt;"",CS331=BA331,CW331=1),SUMIFS(Линии[_Р линии, кВт],Линии[_блок УЗО],BA331,Линии[Щит],A331),N(BS331)+IF(AJ331="вручную",0,N(CK331)))),0)</f>
        <v>0.6</v>
      </c>
      <c r="FT331" t="str">
        <f t="shared" si="760"/>
        <v>L3</v>
      </c>
      <c r="FU331" t="str">
        <f>IF(B331="","",IF(CG331=0,IF(BA331=1,"",FW330),IF(AND(CH331=1,CW331=1,CS331&lt;&gt;""),IFERROR(_xlfn.XLOOKUP(CS331,Линии[_n],Линии[_фаза итог]),"L1"),IF(OR(N(DL331)&gt;=3,N(BX331)&gt;=3),"L1,L2,L3",IFERROR(_xlfn.TEXTBEFORE(_xlfn.TEXTAFTER(_xlfn.XLOOKUP(A331,Щиты[Щит],Щиты[_фазы авто]),";"&amp;BA331&amp;":"),";"),"L1")))))</f>
        <v>L1</v>
      </c>
      <c r="FV331" t="str">
        <f t="shared" si="761"/>
        <v>L3</v>
      </c>
      <c r="FW331" t="str">
        <f t="shared" si="762"/>
        <v>L3</v>
      </c>
      <c r="FX331" cm="1">
        <f t="array" ref="FX331">IFERROR(IF(CD331=2,_xlfn.IFS(BX331=3,VLOOKUP(BS331,Справочная_двигатели,3,FALSE),BX331=1,VLOOKUP(BS331,Справочная_двигатели,5,TRUE)),0),0)</f>
        <v>0</v>
      </c>
      <c r="FY331">
        <f>IFERROR(IF(CD331=3,VLOOKUP(BS331,Справочная_ЛЭД,2,TRUE),0),0)</f>
        <v>0</v>
      </c>
      <c r="FZ331" s="6">
        <f t="shared" si="763"/>
        <v>0</v>
      </c>
      <c r="GA331" t="str">
        <f>IF(B331="","",IF(TRIM(AH331&amp;"")&lt;&gt;"",IF(LOWER(TRIM(AH331&amp;""))="да","да","нет"),IF(IFERROR(_xlfn.XLOOKUP(BC331,Коды_код,Коды_пожарная),"")="да","да","нет")))</f>
        <v>нет</v>
      </c>
      <c r="GB331" t="str">
        <f t="shared" si="764"/>
        <v/>
      </c>
      <c r="GC331" t="str">
        <f t="shared" si="765"/>
        <v>основная</v>
      </c>
      <c r="GD331">
        <f>IF(AND(BP331=1,TRIM(AE331&amp;"")=""),IF(COUNTIFS(Линии[Щит],A331,Линии[Секция (1/2/3)],"&gt;=2")&gt;0,MIN(3,MAX(1,IFERROR(--BD331,1))),1),IFERROR(MIN(3,MAX(1,INT(--AE331))),1))</f>
        <v>1</v>
      </c>
      <c r="GE331" t="str" cm="1">
        <f t="array" ref="GE331">IF(B331="","",_xlfn.LET(_xlpm.t,IFERROR(_xlfn.XLOOKUP(1,(Шины[Шина]=GC331)*(((Шины[Щит]=A331)+(Шины[Щит]=""))&gt;0),Шины[Тип]),"")&amp;"",IF(_xlpm.t&lt;&gt;"",_xlpm.t,IF(ISNUMBER(SEARCH("ИБП",GC331)),"ИБП",IF(ISNUMBER(SEARCH("ДГУ",GC331)),"ДГУ","Ввод "&amp;GD331)))))</f>
        <v>Ввод 1</v>
      </c>
      <c r="GF331" t="str">
        <f t="shared" si="766"/>
        <v>Ввод 1</v>
      </c>
      <c r="GG331" t="str">
        <f>IF(BP331=0,"",IF(TRIM(AG331&amp;"")&lt;&gt;"",TRIM(AG331&amp;""),IF(OR(GE331="ИБП",GE331="ДГУ"),"I особая",_xlfn.XLOOKUP(A331,Щиты[Щит],Щиты[Категория шины «Ввод»],"III"))))</f>
        <v/>
      </c>
      <c r="GH331" t="str">
        <f>IF(A331="","",_xlfn.XLOOKUP(A331,Щиты[Щит],Щиты[Путь],""))</f>
        <v>|ГРЩ-ЖД|ЩС-ВК.003|</v>
      </c>
      <c r="GI331" t="str">
        <f>IF(B331="","",IF(AI331&lt;&gt;"",AI331,IF(IFERROR(_xlfn.XLOOKUP(BC331,Коды_код,Коды_вид)&amp;"","")="","Прочее",_xlfn.XLOOKUP(BC331,Коды_код,Коды_вид)&amp;"")))</f>
        <v>Насосы (водоснабжение, дренаж)</v>
      </c>
      <c r="GJ331">
        <f>IF(BM331="","",INT((BM331-1)/Столбцов_на_лист)+1)</f>
        <v>1</v>
      </c>
      <c r="GK331" t="str">
        <f t="shared" si="767"/>
        <v>ВВГнг(А)-LS (3х2,5) L=16-0,33%</v>
      </c>
      <c r="GL331">
        <f t="shared" si="768"/>
        <v>0.6</v>
      </c>
      <c r="GM331">
        <f t="shared" si="769"/>
        <v>3.25</v>
      </c>
      <c r="GN331">
        <f t="shared" si="770"/>
        <v>1</v>
      </c>
      <c r="GO331">
        <f t="shared" si="771"/>
        <v>0</v>
      </c>
      <c r="GP331">
        <f t="shared" si="772"/>
        <v>1</v>
      </c>
      <c r="GQ331">
        <f>IF(BM331="","",IF(AND(CG331=1,GP331=1),COUNTIFS(A$3:A331,A331,CG$3:CG331,1,GP$3:GP331,1),IF(OR(OR(BA331=1,A331&lt;&gt;A330),AJ331="вручную",GP331=0),"",IF(BA331=1,"",GR330))))</f>
        <v>1</v>
      </c>
      <c r="GR331">
        <f t="shared" si="773"/>
        <v>1</v>
      </c>
      <c r="GS331">
        <f>IF(B331="","",IFERROR(LOOKUP(INDEX(CHOOSE(EB331,Iдоп_1ж,Iдоп_2ж,Iдоп_3ж),MATCH(EN331,Iдоп_S,0))*DZ331*EA331,{6,10,16,20,25,32,40,50,63,80,100,125,160,200,250,315,400,500,630}),""))</f>
        <v>25</v>
      </c>
      <c r="GT331" t="str">
        <f t="shared" si="774"/>
        <v>QF1</v>
      </c>
      <c r="GU331" t="str">
        <f t="shared" si="775"/>
        <v>QF1</v>
      </c>
      <c r="GV331" t="str">
        <f t="shared" si="776"/>
        <v/>
      </c>
      <c r="GW331">
        <f t="shared" si="777"/>
        <v>0</v>
      </c>
      <c r="GX331" t="str">
        <f>IF(OR(B331="",DJ331=""),"",IFERROR(_xlfn.XLOOKUP(DJ331,Модули_умолч[Управление],Модули_умолч[Модель])&amp;"",""))</f>
        <v/>
      </c>
      <c r="GY331">
        <f>IF(DJ331="",1,IFERROR(MAX(0,N(_xlfn.XLOOKUP(DJ331,Модули_умолч[Управление],Модули_умолч[Каналов на линию]))),1))</f>
        <v>1</v>
      </c>
      <c r="GZ331" t="str">
        <f t="shared" si="778"/>
        <v/>
      </c>
      <c r="HA331" t="str">
        <f t="shared" si="779"/>
        <v/>
      </c>
      <c r="HB331" t="str">
        <f t="shared" si="780"/>
        <v/>
      </c>
      <c r="HC331">
        <f>IF(HB331="",0,IFERROR(N(VLOOKUP(HB331,Модули_спр,3,FALSE)),0))</f>
        <v>0</v>
      </c>
      <c r="HD331" t="str">
        <f t="shared" si="781"/>
        <v/>
      </c>
      <c r="HE331" t="str">
        <f t="shared" si="782"/>
        <v/>
      </c>
      <c r="HF331" t="str">
        <f>IF(OR(HE331="",HE331="-"),"",IFERROR(VLOOKUP(HE331,Модули_спр,2,FALSE),"R"))</f>
        <v/>
      </c>
      <c r="HG331" t="str">
        <f>IF(HF331="","",HF331&amp;"."&amp;COUNTIFS(A$3:A331,A331,HF$3:HF331,HF331))</f>
        <v/>
      </c>
      <c r="HH331" t="str">
        <f t="shared" si="783"/>
        <v/>
      </c>
      <c r="HI331" t="str">
        <f t="shared" si="784"/>
        <v/>
      </c>
      <c r="HJ331" t="str">
        <f t="shared" si="785"/>
        <v/>
      </c>
      <c r="HK331" t="str">
        <f t="shared" si="786"/>
        <v/>
      </c>
      <c r="HL331">
        <f t="shared" si="787"/>
        <v>1</v>
      </c>
      <c r="HM331" t="str">
        <f>IF(HL331=1,"XT"&amp;COUNTIFS(A$3:A331,A331,HL$3:HL331,1),"")</f>
        <v>XT1</v>
      </c>
      <c r="HN331" t="str">
        <f t="shared" si="788"/>
        <v>XT1</v>
      </c>
      <c r="HO331" t="str">
        <f t="shared" si="789"/>
        <v>QF1</v>
      </c>
      <c r="HP331" t="str">
        <f t="shared" si="790"/>
        <v/>
      </c>
      <c r="HQ331" t="str">
        <f t="shared" si="791"/>
        <v>ok</v>
      </c>
      <c r="HR331" t="str">
        <f>IF(OR(HJ331="",HH331=""),"",IF(HJ331+MAX(0,GY331-1)&gt;IFERROR(VLOOKUP(HI331,Модули_спр,3,FALSE),99),"ЛИШНИЙ КАНАЛ",IF(AND(AL331&lt;&gt;"=",GY331&gt;0,COUNTIFS(Линии[_модуль гр.],HH331,Линии[Канал (итог)],HJ331,Линии[Канал],"&lt;&gt;=",Линии[Щит],A331)&gt;1),"ДУБЛЬ КАНАЛА","")))</f>
        <v/>
      </c>
      <c r="HS331" s="6" t="str">
        <f t="shared" si="792"/>
        <v/>
      </c>
      <c r="HT331">
        <f t="shared" si="793"/>
        <v>10</v>
      </c>
      <c r="HU331" t="str">
        <f t="shared" si="794"/>
        <v/>
      </c>
      <c r="HV331">
        <f t="shared" si="795"/>
        <v>1.4590381056766577</v>
      </c>
      <c r="HW331">
        <f t="shared" si="796"/>
        <v>0</v>
      </c>
      <c r="HX331">
        <f t="shared" si="797"/>
        <v>0</v>
      </c>
      <c r="HY331">
        <f t="shared" si="798"/>
        <v>0</v>
      </c>
      <c r="HZ331">
        <f t="shared" si="799"/>
        <v>0</v>
      </c>
      <c r="IA331">
        <f t="shared" si="800"/>
        <v>0</v>
      </c>
      <c r="IB331">
        <f t="shared" si="801"/>
        <v>0</v>
      </c>
      <c r="IC331" t="str">
        <f t="shared" si="802"/>
        <v/>
      </c>
      <c r="ID331" t="str" cm="1">
        <f t="array" ref="ID331">IF(IC331="","",_xlfn.LET(_xlpm.tk,_xlfn.TEXTSPLIT(SUBSTITUTE(SUBSTITUTE(IC331,";"," "),"→"," ")," ",,TRUE),_xlpm.w_,_xlfn._xlws.FILTER(_xlpm.tk,ISNUMBER(--LEFT(_xlpm.tk,1))*((ISNUMBER(SEARCH("W",_xlpm.tk))+ISNUMBER(SEARCH("Вт",_xlpm.tk)))&gt;0),""),IFERROR(--SUBSTITUTE(SUBSTITUTE(UPPER(INDEX(_xlpm.w_,1)),"W",""),"ВТ",""),"")))</f>
        <v/>
      </c>
      <c r="IE331" t="str" cm="1">
        <f t="array" ref="IE331">IF(IC331="","",_xlfn.LET(_xlpm.tk,_xlfn.TEXTSPLIT(SUBSTITUTE(SUBSTITUTE(IC331,";"," "),"→"," ")," ",,TRUE),_xlpm.v_,_xlfn._xlws.FILTER(_xlpm.tk,ISNUMBER(--LEFT(_xlpm.tk,1))*((ISNUMBER(SEARCH("V",_xlpm.tk))+(RIGHT(UPPER(_xlpm.tk))="В"))&gt;0),""),IFERROR(--SUBSTITUTE(SUBSTITUTE(UPPER(INDEX(_xlpm.v_,1)),"V",""),"В",""),"")))</f>
        <v/>
      </c>
      <c r="IF331" s="6" t="str">
        <f>IF(OR(BV331=0,HI331="",HJ331=""),"",IFERROR(N(_xlfn.XLOOKUP(HI331,Каталог!$C$4:$C$500,Каталог!$Q$4:$Q$500)),""))</f>
        <v/>
      </c>
      <c r="IG331" s="6" t="str">
        <f>IF(N(IF331)=0,"",SUMIFS(Линии[Iр, А],Линии[Щит],A331,Линии[_модуль гр.],HH331,Линии[Канал (итог)],HJ331))</f>
        <v/>
      </c>
      <c r="IH331" t="str">
        <f>IF(AND(B331="",HO331=""),"",_xlfn.TEXTJOIN("; ",TRUE,IF(AND(B331&lt;&gt;"",FV331=""),"нет фазы",""),IF(AND(B331&lt;&gt;"",N(GL331)=0,FG331&lt;&gt;"Нет"),"нет мощности",""),IF(AND(HN331&lt;&gt;"",COUNTIFS(Линии[Щит],A331,Линии[Клемма (итог)],HN331)&gt;1),"дубль клеммы "&amp;HN331,""),IF(AND(HQ331&lt;&gt;"",HQ331&lt;&gt;"ok"),HQ331,""),IF(HR331&lt;&gt;"",HR331,""),IF(AND(N(CB331)&gt;=4,N(BX331)=1),CB331&amp;" жил на 1 фазе",""),IF(AND(BC331="R",CG331=1,IF(CS331&lt;&gt;"",N(CV331)&gt;30,OR(N(DA331)=0,N(DA331)&gt;30))),"розетка без дифзащиты до 30 мА",""),IF(AND(CG331=1,N(DA331)&gt;0,ISNUMBER(T331)),IF(T331&gt;N(DA331)/3,"ток утечки "&amp;FIXED(T331,1)&amp;" мА &gt; 1/3 уставки ("&amp;DA331&amp;" мА)",""),""),IF(AND(CH331=1,CS331=""),"«узо»: нет строки с УЗО выше (УЗО 2P 40А 30мА в «Аппаратах»)",""),IF(AND(CS331&lt;&gt;"",CS331=BA331),IF(CT331="","впишите номинал УЗО (УЗО 2P 40А 30мА)",IF(N(CT331)&lt;N(DT331),"УЗО "&amp;CT331&amp;" А &lt; автомата "&amp;DT331&amp;" А перед ним",IF(N(CT331)&lt;N(CX331),"УЗО "&amp;CT331&amp;" А &lt; тока блока "&amp;FIXED(CX331,1)&amp;" А",""))),""),IF(AND(CS331&lt;&gt;"",CS331=BA331,ISNUMBER(CY331)),IF(CY331&gt;N(CV331)/3,"ток утечки блока УЗО "&amp;FIXED(CY331,1)&amp;" мА &gt; 1/3 уставки ("&amp;CV331&amp;" мА)",""),""),IF(AND(CG331=1,N(BV331)+N(IB331)&gt;0,IC331=""),"линии до 50 В без БП: впишите в «Аппараты» (БП 24V 480W)",""),IF(AND(CG331=1,ISNUMBER(ID331),ISNUMBER(U331)),IF(U331&gt;ID331,"БП "&amp;ID331&amp;" Вт &lt; нужно "&amp;U331&amp;" Вт (×"&amp;Запас_БП&amp;")",""),""),IF(AND(CG331=1,ISNUMBER(IE331),N(BV331)=1),IF(IE331&lt;&gt;N(BU331),"БП на "&amp;IE331&amp;" В, линия "&amp;BU331&amp;" В",""),""),IF(AND(N(IF331)&gt;0,N(IG331)&gt;N(IF331)),HH331&amp;" канал "&amp;HJ331&amp;": "&amp;FIXED(IG331,1)&amp;" А &gt; "&amp;IF331&amp;" А",""),IFERROR(IF(AND(ISNUMBER(Q331),Q331&gt;EL331),"потери "&amp;FIXED(Q331,1)&amp;" % &gt; "&amp;EL331&amp;" %",""),""),IFERROR(IF(LEFT(HU331,4)="мало","Iкз мало — отключение &gt; 0,4 с",""),""),IF(AND(B331&lt;&gt;"",BM331=""),"не на схеме",""),IF(AND(CG331=0,B331&lt;&gt;"",FV331&lt;&gt;"",IF(BA331=1,"",FW330)&lt;&gt;"",FV331&lt;&gt;IF(BA331=1,"",FW330)),"фаза не как у автомата группы ("&amp;IF(BA331=1,"",FW330)&amp;")","")))</f>
        <v/>
      </c>
      <c r="II331" s="6">
        <f>IF(OR(CG331=0,DQ331=""),"",_xlfn.LET(_xlpm.t,IFERROR(_xlfn.XLOOKUP(DQ331,Каталог!$U$4:$U$500,Каталог!$G$4:$G$500),""),_xlpm.k,SEARCH("кА",_xlpm.t),IFERROR(--TRIM(RIGHT(SUBSTITUTE(MID(_xlpm.t,MAX(1,_xlpm.k-4),_xlpm.k-MAX(1,_xlpm.k-4))," ",REPT(" ",9)),5)),"")))</f>
        <v>6</v>
      </c>
      <c r="IJ331" t="str">
        <f>IF(OR(II331="",CG331=0),"",IF(_xlfn.XLOOKUP(A331,Щиты[Щит],Щиты[Iкз max на шинах, кА],"")="","",IF(II331&lt;_xlfn.XLOOKUP(A331,Щиты[Щит],Щиты[Iкз max на шинах, кА]),"Icu "&amp;II331&amp;" кА &lt; Iкз max","ok")))</f>
        <v/>
      </c>
      <c r="IK331" t="str">
        <f t="shared" si="803"/>
        <v/>
      </c>
      <c r="IL331" t="str">
        <f t="shared" si="804"/>
        <v>QF1|XT1</v>
      </c>
      <c r="IM331" t="str">
        <f t="shared" si="805"/>
        <v>QF1|XT1|кабель ВВГнг(А)-LS (3х2,5) → Насос дренажный, пом. 006Т</v>
      </c>
      <c r="IN331" t="str" cm="1">
        <f t="array" ref="IN331">IF(IM331="","",_xlfn.LET(_xlpm.nd,_xlfn.TEXTSPLIT(IM331,"|"),IF(COLUMNS(_xlpm.nd)&gt;1,A331&amp;"¦"&amp;INDEX(_xlpm.nd,1)&amp;"¦"&amp;INDEX(_xlpm.nd,2),"")))</f>
        <v>ЩС-ВК.003¦QF1¦XT1</v>
      </c>
      <c r="IO331" t="str">
        <f t="shared" si="806"/>
        <v>НВК.00.006Т.2¦Насос дренажный, пом. 006Т</v>
      </c>
      <c r="IP331" t="str" cm="1">
        <f t="array" ref="IP331">IF(IM331="","",_xlfn.LET(_xlpm.nd,_xlfn.TEXTSPLIT(IM331,"|"),IF(COLUMNS(_xlpm.nd)&gt;2,A331&amp;"¦"&amp;INDEX(_xlpm.nd,2)&amp;"¦"&amp;INDEX(_xlpm.nd,3),"")))</f>
        <v>ЩС-ВК.003¦XT1¦кабель ВВГнг(А)-LS (3х2,5) → Насос дренажный, пом. 006Т</v>
      </c>
      <c r="IQ331" t="str">
        <f t="shared" si="807"/>
        <v>НВК.00.006Т.2¦Насос дренажный, пом. 006Т</v>
      </c>
      <c r="IR331" t="str" cm="1">
        <f t="array" ref="IR331">IF(IM331="","",_xlfn.LET(_xlpm.nd,_xlfn.TEXTSPLIT(IM331,"|"),IF(COLUMNS(_xlpm.nd)&gt;3,A331&amp;"¦"&amp;INDEX(_xlpm.nd,3)&amp;"¦"&amp;INDEX(_xlpm.nd,4),"")))</f>
        <v/>
      </c>
      <c r="IS331" t="str">
        <f t="shared" si="808"/>
        <v/>
      </c>
      <c r="IT331" t="str" cm="1">
        <f t="array" ref="IT331">IF(IM331="","",_xlfn.LET(_xlpm.nd,_xlfn.TEXTSPLIT(IM331,"|"),IF(COLUMNS(_xlpm.nd)&gt;4,A331&amp;"¦"&amp;INDEX(_xlpm.nd,4)&amp;"¦"&amp;INDEX(_xlpm.nd,5),"")))</f>
        <v/>
      </c>
      <c r="IU331" t="str">
        <f t="shared" si="809"/>
        <v/>
      </c>
      <c r="IV331" t="str" cm="1">
        <f t="array" ref="IV331">IF(IM331="","",_xlfn.LET(_xlpm.nd,_xlfn.TEXTSPLIT(IM331,"|"),IF(COLUMNS(_xlpm.nd)&gt;5,A331&amp;"¦"&amp;INDEX(_xlpm.nd,5)&amp;"¦"&amp;INDEX(_xlpm.nd,6),"")))</f>
        <v/>
      </c>
      <c r="IW331" t="str">
        <f t="shared" si="810"/>
        <v/>
      </c>
      <c r="IX331" t="str" cm="1">
        <f t="array" ref="IX331">IF(IM331="","",_xlfn.LET(_xlpm.nd,_xlfn.TEXTSPLIT(IM331,"|"),IF(COLUMNS(_xlpm.nd)&gt;6,A331&amp;"¦"&amp;INDEX(_xlpm.nd,6)&amp;"¦"&amp;INDEX(_xlpm.nd,7),"")))</f>
        <v/>
      </c>
      <c r="IY331" t="str">
        <f t="shared" si="811"/>
        <v/>
      </c>
      <c r="IZ331" t="str">
        <f t="shared" si="812"/>
        <v/>
      </c>
      <c r="JA331" t="str">
        <f t="shared" si="813"/>
        <v>QF1 → XT1</v>
      </c>
      <c r="JB331">
        <f t="shared" si="814"/>
        <v>0</v>
      </c>
      <c r="JC331">
        <f t="shared" si="815"/>
        <v>0</v>
      </c>
      <c r="JD331" t="str">
        <f t="shared" si="816"/>
        <v/>
      </c>
      <c r="JE331" t="str">
        <f t="shared" si="817"/>
        <v/>
      </c>
      <c r="JF331" t="str">
        <f t="shared" si="818"/>
        <v/>
      </c>
      <c r="JG331" t="str">
        <f t="shared" si="819"/>
        <v/>
      </c>
      <c r="JH331">
        <f>IF(B331="","",IFERROR(_xlfn.XLOOKUP(B331,Коды_код,Коды_уго),IFERROR(_xlfn.XLOOKUP(BC331,Коды_код,Коды_уго),IFERROR(_xlfn.XLOOKUP(LEFT(BC331,2),Коды_код,Коды_уго),""))))</f>
        <v>0</v>
      </c>
      <c r="JI331" t="str">
        <f>IF(B331="","",IF(OR(JH331="",JH331=0),"BOX",IFERROR(IF(VLOOKUP(JH331,УГО_блоки,3,FALSE)&amp;""&lt;&gt;"",VLOOKUP(JH331,УГО_блоки,3,FALSE),VLOOKUP(JH331,УГО_блоки,2,FALSE)),JH331)))</f>
        <v>BOX</v>
      </c>
      <c r="JJ331">
        <f t="shared" si="820"/>
        <v>1</v>
      </c>
      <c r="JK331" t="str">
        <f>IF(DQ331="","",IF(COUNTIF(DQ$3:DQ331,DQ331)=1,MAX(JK$2:JK330)+1,""))</f>
        <v/>
      </c>
      <c r="JL331" t="str">
        <f>IF(DE331="","",IF(COUNTIF(DE$3:DE331,DE331)+COUNTIF(DF$2:DF330,DE331)+COUNTIF(DG$2:DG330,DE331)=1,MAX(JL$2:JN330)+1,""))</f>
        <v/>
      </c>
      <c r="JM331" t="str">
        <f>IF(DF331="","",IF(COUNTIF(DE$3:DE331,DF331)+COUNTIF(DF$3:DF331,DF331)+COUNTIF(DG$2:DG330,DF331)=1,MAX(JL$2:JN330,JL331)+1,""))</f>
        <v/>
      </c>
      <c r="JN331" t="str">
        <f>IF(DG331="","",IF(COUNTIF(DE$3:DE331,DG331)+COUNTIF(DF$3:DF331,DG331)+COUNTIF(DG$3:DG331,DG331)=1,MAX(JL$2:JN330,JL331,JM331)+1,""))</f>
        <v/>
      </c>
      <c r="JO331" t="str">
        <f t="shared" si="821"/>
        <v>3х2,5</v>
      </c>
      <c r="JP331" t="str">
        <f>IF(JO331="","",IF(COUNTIF(JO$3:JO331,JO331)=1,MAX(JP$2:JP330)+1,""))</f>
        <v/>
      </c>
      <c r="JQ331" t="str">
        <f>IF(HG331="","",COUNTIF(HG$3:HG331,"?*"))</f>
        <v/>
      </c>
      <c r="JR331" t="str">
        <f>IF(OR(HG331="",HI331=""),"",IF(COUNTIFS(HG$3:HG331,"?*",HI$3:HI331,HI331)=1,MAX(JR$2:JR330)+1,""))</f>
        <v/>
      </c>
      <c r="JS331">
        <f t="shared" si="822"/>
        <v>0</v>
      </c>
      <c r="JT331">
        <f>IF(B331="","",COUNTIF(B$3:B331,"?*"))</f>
        <v>329</v>
      </c>
      <c r="JU331">
        <f>IF(HL331&lt;&gt;1,0,_xlfn.LET(_xlpm.k,MAX(IFERROR(--_xlfn.XLOOKUP(B331,Коды_код,Коды_3L),0),IFERROR(--_xlfn.XLOOKUP(BC331,Коды_код,Коды_3L),0),IFERROR(--_xlfn.XLOOKUP(LEFT(BC331,2),Коды_код,Коды_3L),0)),IF(_xlpm.k&gt;0,_xlpm.k,IF(IFERROR(--LEFT(SUBSTITUTE(JO331,"x","х"),FIND("х",SUBSTITUTE(JO331,"x","х"))-1),3)&gt;3,Каталог!$S$9,1))))</f>
        <v>1</v>
      </c>
      <c r="JV331">
        <f t="shared" si="823"/>
        <v>0</v>
      </c>
      <c r="JW331" t="str">
        <f t="shared" si="824"/>
        <v>авто</v>
      </c>
      <c r="JX331" t="str">
        <f t="shared" si="825"/>
        <v/>
      </c>
      <c r="JY331">
        <f t="shared" si="826"/>
        <v>0</v>
      </c>
      <c r="JZ331">
        <f t="shared" si="827"/>
        <v>1</v>
      </c>
    </row>
    <row r="332" spans="1:286" x14ac:dyDescent="0.3">
      <c r="A332" t="s">
        <v>767</v>
      </c>
      <c r="B332" t="s">
        <v>1633</v>
      </c>
      <c r="C332" t="str">
        <f>Линии[[#This Row],[_авто наименование]]</f>
        <v>Насос дренажный, пом. 006Т</v>
      </c>
      <c r="D332">
        <v>1</v>
      </c>
      <c r="E332">
        <v>0.6</v>
      </c>
      <c r="G332">
        <v>16</v>
      </c>
      <c r="H332" t="str">
        <f>Линии[[#This Row],[_авто управление]]</f>
        <v/>
      </c>
      <c r="I332" t="str">
        <f>Линии[[#This Row],[_авто аппараты]]</f>
        <v/>
      </c>
      <c r="J332">
        <v>2.5</v>
      </c>
      <c r="K332">
        <v>12</v>
      </c>
      <c r="L332">
        <v>3</v>
      </c>
      <c r="M332" t="str">
        <f>Линии[[#This Row],[_авто клемма]]</f>
        <v>XT2</v>
      </c>
      <c r="N332" t="str">
        <f t="shared" si="690"/>
        <v/>
      </c>
      <c r="O332" s="6" cm="1">
        <f t="array" ref="O332">IF(B332="","",IF(BH332&lt;&gt;"",IFERROR(_xlfn.XLOOKUP(BH332,Щиты[Щит],Щиты[Iр, А]),""),IF(BP332=1,IF(OR(N(_xlfn.XLOOKUP(A332,Щиты[Щит],Щиты[Вводов],1))&lt;=1,LOWER(TRIM(_xlfn.XLOOKUP(A332,Щиты[Щит],Щиты[АВР],"")&amp;""))="да"),IFERROR(_xlfn.XLOOKUP(A332,Щиты[Щит],Щиты[Iр, А]),""),IFERROR(N(BS332)*_xlfn.XLOOKUP(A332,Щиты[Щит],Щиты[Кс итог])/(SQRT(3)*Uн_лин*_xlfn.XLOOKUP(A332,Щиты[Щит],Щиты[cos φ])),"")),IF(BV332=1,IFERROR(BS332*1000/BU332,""),IFERROR(_xlfn.IFS(BX332=1,BS332/((Uн_лин/SQRT(3))*CE332),BX332=3,BS332/(SQRT(3)*Uн_лин*CE332)),"")))))</f>
        <v>3.2475952641916441</v>
      </c>
      <c r="P332" s="7">
        <f>IF(B332="","",IFERROR(IF(VLOOKUP(BC332,Потребители_обозначение,4,FALSE)=1,VLOOKUP(BC332,Потребители_обозначение,3,FALSE)*(MAX(1,N(D332))*2-1)+EI332+VLOOKUP(BE332,Этаж_обозначение,3,FALSE)+VLOOKUP(BE332,Этаж_обозначение,4,FALSE),VLOOKUP(BC332,Потребители_обозначение,3,FALSE)*(MAX(1,N(D332))*2-1)+EI332),EI332))</f>
        <v>15</v>
      </c>
      <c r="Q332" s="6">
        <f t="shared" si="691"/>
        <v>3.75</v>
      </c>
      <c r="R332" t="str">
        <f t="shared" si="692"/>
        <v>ВВГнг(А)-LS (3х2,5)</v>
      </c>
      <c r="S332" t="str">
        <f>IF(BM332="","",IF(BN332="вводной узел","узел ","")&amp;"л."&amp;(INT((BM332-1)/Столбцов_на_лист)+1)&amp;" / "&amp;(MOD(BM332-1,Столбцов_на_лист)+1))</f>
        <v>л.1 / 13</v>
      </c>
      <c r="T332" s="119">
        <f t="shared" si="693"/>
        <v>1.4</v>
      </c>
      <c r="U332" s="7" t="str">
        <f>IF(OR(CG332=0,N(BV332)+N(IB332)=0),"",ROUNDUP(Запас_БП*(N(HY332)+N(HZ332)),0))</f>
        <v/>
      </c>
      <c r="V332" s="119" t="str">
        <f t="shared" si="694"/>
        <v/>
      </c>
      <c r="W332" s="7" t="str">
        <f>IFERROR(IF(OR(B332="",BP332=1,BV332=1,NOT(ISNUMBER(EN332)),N(DT332)=0),"",MAX(0,ROUNDDOWN((c_min*(Uн_лин*1000/SQRT(3))/(HT332*N(DT332))-_xlfn.XLOOKUP(A332,Щиты[Щит],Щиты[Zпетли на шинах, Ом]))*EN332/(2*ρкз_Cu),0))),"")</f>
        <v/>
      </c>
      <c r="Y332" t="str">
        <f>Линии[[#This Row],[_авто утечка]]</f>
        <v/>
      </c>
      <c r="Z332">
        <v>1</v>
      </c>
      <c r="AA332">
        <v>230</v>
      </c>
      <c r="AB332" t="s">
        <v>598</v>
      </c>
      <c r="AC332">
        <v>0.7</v>
      </c>
      <c r="AG332" t="s">
        <v>810</v>
      </c>
      <c r="AI332" t="s">
        <v>604</v>
      </c>
      <c r="AK332" t="str">
        <f>Линии[[#This Row],[_авто модуль]]</f>
        <v/>
      </c>
      <c r="AM332">
        <v>13</v>
      </c>
      <c r="AN332" t="s">
        <v>11</v>
      </c>
      <c r="AO332">
        <v>3</v>
      </c>
      <c r="AQ332">
        <v>0</v>
      </c>
      <c r="AR332">
        <v>11</v>
      </c>
      <c r="BA332" cm="1">
        <f t="array" ref="BA332">ROW()-ROW(Линии[#Headers])</f>
        <v>330</v>
      </c>
      <c r="BC332" s="6" t="str">
        <f t="shared" si="695"/>
        <v>НВК</v>
      </c>
      <c r="BD332" t="str">
        <f t="shared" si="696"/>
        <v>00.006Т.1</v>
      </c>
      <c r="BE332" t="str">
        <f t="shared" si="697"/>
        <v>00</v>
      </c>
      <c r="BF332" t="str">
        <f t="shared" si="698"/>
        <v>006Т.1</v>
      </c>
      <c r="BG332" t="str">
        <f t="shared" si="699"/>
        <v>006Т</v>
      </c>
      <c r="BH332" t="str">
        <f>IF(X332&lt;&gt;"",X332,IF(AND(B332&lt;&gt;"",B332&lt;&gt;A332,ISNUMBER(_xlfn.XMATCH(B332,Щиты[Щит]))),B332,""))</f>
        <v/>
      </c>
      <c r="BI332" t="str" cm="1">
        <f t="array" ref="BI332">IF(B332="","",IF(BH332&lt;&gt;"","Щит "&amp;BH332,_xlfn.LET(_xlpm.nm,IFERROR(_xlfn.XLOOKUP(BC332,Коды_код,Коды_имя)&amp;"",""),_xlpm.md,IFERROR(N(_xlfn.XLOOKUP(BC332,Коды_код,Коды_режим)),1),_xlpm.ex,IF(Имя_режим="по экспликации",IFERROR(_xlfn.XLOOKUP(BE332&amp;"|"&amp;BG332,Экспликация[Этаж]&amp;"|"&amp;Экспликация[Помещение],Экспликация[Название])&amp;"",""),""),_xlpm.rm,IF(BG332="","",IF(_xlpm.ex&lt;&gt;"",". "&amp;_xlpm.ex&amp;IF(Имя_пом="нет"," ("&amp;BG332&amp;")"," (пом. "&amp;BG332&amp;")"),IF(Имя_пом="нет"," ",", пом. ")&amp;BG332)),IF(_xlpm.nm="","",IF(_xlpm.md=2,_xlpm.nm&amp;" шлейф "&amp;BE332,_xlpm.nm&amp;_xlpm.rm)))))</f>
        <v>Насос дренажный, пом. 006Т</v>
      </c>
      <c r="BJ332" t="str">
        <f t="shared" si="700"/>
        <v>Насос дренажный, пом. 006Т</v>
      </c>
      <c r="BK332">
        <f>IFERROR(_xlfn.XMATCH(A332,Щиты[Щит]),0)</f>
        <v>15</v>
      </c>
      <c r="BL332">
        <f>_xlfn.LET(_xlpm.k,IFERROR(_xlfn.XLOOKUP(A332,Щиты[Щит],Щиты[Мест под вводной узел]),""),IF(_xlpm.k="",Столбцов_на_лист,N(_xlpm.k)))</f>
        <v>11</v>
      </c>
      <c r="BM332">
        <f t="shared" si="701"/>
        <v>13</v>
      </c>
      <c r="BN332" t="str">
        <f t="shared" si="702"/>
        <v>линии</v>
      </c>
      <c r="BO332" s="6">
        <f>IFERROR(N(_xlfn.XLOOKUP(BC332,Коды_код,Коды_квт)),0)</f>
        <v>0</v>
      </c>
      <c r="BP332">
        <f t="shared" si="703"/>
        <v>0</v>
      </c>
      <c r="BQ332" t="str">
        <f>IF(B332="","",IF(BH332&lt;&gt;"",IFERROR(_xlfn.XLOOKUP(BH332,Щиты[Щит],Щиты[Руст, кВт]),0),IF(BP332=1,IF(OR(N(_xlfn.XLOOKUP(A332,Щиты[Щит],Щиты[Вводов],1))&lt;=1,LOWER(TRIM(_xlfn.XLOOKUP(A332,Щиты[Щит],Щиты[АВР],"")&amp;""))="да"),IFERROR(_xlfn.XLOOKUP(A332,Щиты[Щит],Щиты[Руст, кВт]),0),SUMIFS(Линии[_Р для вводов],Линии[Щит],A332,Линии[Источник для режимов],GF332)),IF(BO332&gt;0,ROUND(BO332*MAX(1,N(D332)),3),""))))</f>
        <v/>
      </c>
      <c r="BR332">
        <f t="shared" si="704"/>
        <v>0.6</v>
      </c>
      <c r="BS332" s="6">
        <f>IF(B332="","",IF(BH332&lt;&gt;"",IFERROR(_xlfn.XLOOKUP(BH332,Щиты[Щит],Щиты[Руст, кВт]),0),N(BR332)))</f>
        <v>0.6</v>
      </c>
      <c r="BT332" t="str">
        <f>IF(B332="","",IFERROR(IF(VLOOKUP(BC332,Потребители_обозначение,8,FALSE)=0,"",VLOOKUP(BC332,Потребители_обозначение,8,FALSE)),""))</f>
        <v/>
      </c>
      <c r="BU332">
        <f t="shared" si="705"/>
        <v>230</v>
      </c>
      <c r="BV332">
        <f t="shared" si="706"/>
        <v>0</v>
      </c>
      <c r="BW332">
        <f>IF(B332="","",IF(BH332&lt;&gt;"",3,IFERROR(IF(N(VLOOKUP(BC332,Потребители_обозначение,9,FALSE))=0,1,VLOOKUP(BC332,Потребители_обозначение,9,FALSE)),1)))</f>
        <v>1</v>
      </c>
      <c r="BX332">
        <f t="shared" si="707"/>
        <v>1</v>
      </c>
      <c r="BY332" t="str">
        <f>IF(B332="","",_xlfn.LET(_xlpm.bc,IFERROR(IF(VLOOKUP(BC332,Потребители_обозначение,6,FALSE)=0,"",VLOOKUP(BC332,Потребители_обозначение,6,FALSE)&amp;""),""),IF(AND(GA332="да",OR(_xlpm.bc="",_xlpm.bc="мс")),Марка_пож,IF(AND(_xlpm.bc="",BH332&lt;&gt;""),"мс",_xlpm.bc))))</f>
        <v/>
      </c>
      <c r="BZ332" t="str">
        <f t="shared" si="708"/>
        <v>мс</v>
      </c>
      <c r="CA332">
        <f>IF(B332="","",_xlfn.LET(_xlpm.cc,IFERROR(N(VLOOKUP(BC332,Потребители_обозначение,7,FALSE)),0),IF(_xlpm.cc&gt;0,_xlpm.cc,IF(BZ332="","",IF(BV332=1,2,IF(N(BX332)=3,5,3))))))</f>
        <v>3</v>
      </c>
      <c r="CB332">
        <f t="shared" si="709"/>
        <v>3</v>
      </c>
      <c r="CC332">
        <f>IFERROR(N(VLOOKUP(BC332,Потребители_обозначение,10,FALSE)),0)</f>
        <v>0</v>
      </c>
      <c r="CD332">
        <f>IFERROR(VLOOKUP(BC332,Потребители_обозначение,5,FALSE),0)</f>
        <v>1</v>
      </c>
      <c r="CE332" s="6" cm="1">
        <f t="array" ref="CE332">IF(B332="","",IF(BH332&lt;&gt;"",IFERROR(_xlfn.XLOOKUP(BH332,Щиты[Щит],Щиты[cos φ]),0.95),IF(BP332=1,IFERROR(_xlfn.XLOOKUP(A332,Щиты[Щит],Щиты[cos φ]),0.95),IF(ISNUMBER(AD332),AD332,IFERROR(IF(CD332=2,_xlfn.IFS(BX332=3,VLOOKUP(BS332,Справочная_двигатели,8,FALSE),BX332=1,VLOOKUP(BS332,Справочная_двигатели,10,TRUE)),IF(AND(Методика="нормы 2026",FG332="Сил"),0.8,0.95)),0.95)))))</f>
        <v>0.8</v>
      </c>
      <c r="CF332">
        <f t="shared" si="710"/>
        <v>0</v>
      </c>
      <c r="CG332">
        <f t="shared" si="711"/>
        <v>1</v>
      </c>
      <c r="CH332">
        <f t="shared" si="712"/>
        <v>0</v>
      </c>
      <c r="CI332">
        <f>IF(B332="","",IF(BV332=1,IFERROR(BS332/((Uн_лин/SQRT(3))*MAX(0.5,N(CE332))),0),N(O332)))</f>
        <v>3.2475952641916441</v>
      </c>
      <c r="CJ332">
        <f t="shared" si="713"/>
        <v>0</v>
      </c>
      <c r="CK332">
        <f t="shared" si="714"/>
        <v>0</v>
      </c>
      <c r="CL332">
        <f t="shared" si="715"/>
        <v>0</v>
      </c>
      <c r="CM332">
        <f t="shared" si="716"/>
        <v>0</v>
      </c>
      <c r="CN332">
        <f t="shared" si="717"/>
        <v>0</v>
      </c>
      <c r="CO332">
        <f>IF(BC332="",0,_xlfn.LET(_xlpm.v,IFERROR(_xlfn.XLOOKUP(B332,Коды_код,Коды_мА),IFERROR(_xlfn.XLOOKUP(BC332,Коды_код,Коды_мА),IFERROR(_xlfn.XLOOKUP(LEFT(BC332,2),Коды_код,Коды_мА),""))),IF(_xlpm.v="да",30,IF(ISNUMBER(_xlpm.v),_xlpm.v,0))))</f>
        <v>0</v>
      </c>
      <c r="CP332" t="str">
        <f t="shared" si="718"/>
        <v/>
      </c>
      <c r="CQ332" t="str">
        <f>_xlfn.LET(_xlpm.k,IFERROR(_xlfn.XLOOKUP(BC332,Коды_код,Коды_утечка)&amp;"",""),IF(_xlpm.k="","дифавтомат",_xlpm.k))</f>
        <v>дифавтомат</v>
      </c>
      <c r="CR332" t="str" cm="1">
        <f t="array" ref="CR332">IF(CG332=0,"",_xlfn.LET(_xlpm.sg,TRIM(_xlfn.TEXTSPLIT(DD332&amp;"",";")),_xlpm.f_,_xlfn._xlws.FILTER(_xlpm.sg,LEFT(_xlpm.sg,3)="УЗО",""),IFERROR(INDEX(_xlpm.f_,1)&amp;"","")))</f>
        <v/>
      </c>
      <c r="CS332" t="str">
        <f t="shared" si="719"/>
        <v/>
      </c>
      <c r="CT332" s="6" t="str" cm="1">
        <f t="array" ref="CT332">IF(CR332="","",_xlfn.LET(_xlpm.tk,_xlfn.TEXTSPLIT(UPPER(CR332)," ",,TRUE),_xlpm.a_,_xlfn._xlws.FILTER(_xlpm.tk,ISNUMBER(--LEFT(_xlpm.tk,1))*((ISNUMBER(SEARCH("А",_xlpm.tk))+ISNUMBER(SEARCH("A",_xlpm.tk)))&gt;0)*NOT(ISNUMBER(SEARCH("МА",_xlpm.tk)))*NOT(ISNUMBER(SEARCH("MA",_xlpm.tk))),""),IFERROR(--SUBSTITUTE(SUBSTITUTE(INDEX(_xlpm.a_,1),"А",""),"A",""),"")))</f>
        <v/>
      </c>
      <c r="CU332" t="str" cm="1">
        <f t="array" ref="CU332">IF(CR332="","",_xlfn.LET(_xlpm.tk,_xlfn.TEXTSPLIT(UPPER(CR332)," ",,TRUE),_xlpm.a_,_xlfn._xlws.FILTER(_xlpm.tk,ISNUMBER(--LEFT(_xlpm.tk,1))*((ISNUMBER(SEARCH("МА",_xlpm.tk))+ISNUMBER(SEARCH("MA",_xlpm.tk)))&gt;0),""),IFERROR(--SUBSTITUTE(SUBSTITUTE(INDEX(_xlpm.a_,1),"МА",""),"MA",""),30)))</f>
        <v/>
      </c>
      <c r="CV332" t="str">
        <f>IF(CS332="","",IFERROR(_xlfn.XLOOKUP(CS332,Линии[_n],Линии[_УЗО, мА]),30))</f>
        <v/>
      </c>
      <c r="CW332">
        <f>IF(CS332="",0,IF(ISNUMBER(SEARCH("4P",IFERROR(_xlfn.XLOOKUP(CS332,Линии[_n],Линии[_УЗО строки])&amp;"",""))),0,1))</f>
        <v>0</v>
      </c>
      <c r="CX332" t="str">
        <f>IF(AND(CS332&lt;&gt;"",CS332=BA332),SUMIFS(Линии[_ток на 230 В],Линии[_блок УЗО],BA332,Линии[Щит],A332),"")</f>
        <v/>
      </c>
      <c r="CY332" t="str">
        <f>IF(AND(CS332&lt;&gt;"",CS332=BA332),SUMIFS(Линии[_ток утечки линии, мА],Линии[_блок УЗО],BA332,Линии[Щит],A332),"")</f>
        <v/>
      </c>
      <c r="CZ332">
        <f t="shared" si="720"/>
        <v>0</v>
      </c>
      <c r="DA332">
        <f t="shared" si="721"/>
        <v>0</v>
      </c>
      <c r="DB332">
        <f>IF(B332="",0,IFERROR(--_xlfn.XLOOKUP(B332,Коды_код,Коды_минавт),IFERROR(--_xlfn.XLOOKUP(BC332,Коды_код,Коды_минавт),IFERROR(--_xlfn.XLOOKUP(LEFT(BC332,2),Коды_код,Коды_минавт),0))))</f>
        <v>0</v>
      </c>
      <c r="DC332" t="str">
        <f>IF(B332="","",IFERROR(_xlfn.XLOOKUP(BC332,Коды_код,Коды_апп)&amp;"",""))</f>
        <v/>
      </c>
      <c r="DD332" t="str">
        <f t="shared" si="722"/>
        <v/>
      </c>
      <c r="DE332" t="str" cm="1">
        <f t="array" ref="DE332">IF(TRIM(DD332&amp;"")="","",IFERROR(TRIM(INDEX(_xlfn.TEXTSPLIT(DD332&amp;";;;",";"),1)),""))</f>
        <v/>
      </c>
      <c r="DF332" t="str" cm="1">
        <f t="array" ref="DF332">IF(TRIM(DD332&amp;"")="","",IFERROR(TRIM(INDEX(_xlfn.TEXTSPLIT(DD332&amp;";;;",";"),2)),""))</f>
        <v/>
      </c>
      <c r="DG332" t="str" cm="1">
        <f t="array" ref="DG332">IF(TRIM(DD332&amp;"")="","",IFERROR(TRIM(INDEX(_xlfn.TEXTSPLIT(DD332&amp;";;;",";"),3)),""))</f>
        <v/>
      </c>
      <c r="DH332">
        <f t="shared" si="723"/>
        <v>0</v>
      </c>
      <c r="DI332" t="str">
        <f>IF(B332="","",_xlfn.LET(_xlpm.t,LOWER(AZ332&amp;""),IF(ISNUMBER(SEARCH("dim",_xlpm.t)),"DIM",IF(ISNUMBER(SEARCH("dali",_xlpm.t)),"DALI",IF(OR(ISNUMBER(SEARCH("relay",_xlpm.t)),ISNUMBER(SEARCH("реле",_xlpm.t))),"Relay",IF(ISNUMBER(SEARCH("кнопк",_xlpm.t)),"",IFERROR(_xlfn.XLOOKUP(BC332,Коды_код,Коды_упр)&amp;"","")))))))</f>
        <v/>
      </c>
      <c r="DJ332" t="str">
        <f t="shared" si="724"/>
        <v/>
      </c>
      <c r="DK332">
        <f>IF(B332="","",_xlfn.LET(_xlpm.ig,IF(N(CX332)&gt;0,N(CX332),N(CI332)+IF(AJ332="вручную",0,N(CJ332))),_xlpm.n0,IFERROR(VLOOKUP(_xlpm.ig,Автомат_номиналы,2,TRUE),0),_xlpm.mn,MAX(DB332,IF(AJ332="вручную",0,N(CM332))),MAX(_xlpm.n0,_xlpm.mn,IF(DH332=1,Мин_автомат_БП,0))))</f>
        <v>6</v>
      </c>
      <c r="DL332">
        <f t="shared" si="725"/>
        <v>1</v>
      </c>
      <c r="DM332" t="str">
        <f t="shared" si="726"/>
        <v>1P</v>
      </c>
      <c r="DN332" t="str">
        <f>_xlfn.LET(_xlpm.cc,UPPER(TRIM(IFERROR(_xlfn.XLOOKUP(BC332,Коды_код,Коды_хар)&amp;"",""))),IF(OR(_xlpm.cc="B",_xlpm.cc="В"),"B",IF(_xlpm.cc="D","D","С")))</f>
        <v>С</v>
      </c>
      <c r="DO332" t="str">
        <f t="shared" si="727"/>
        <v>1P С6А</v>
      </c>
      <c r="DP332">
        <f t="shared" si="728"/>
        <v>16</v>
      </c>
      <c r="DQ332" t="str">
        <f t="shared" si="729"/>
        <v>1P С16А</v>
      </c>
      <c r="DR332" cm="1">
        <f t="array" ref="DR332">IF(DQ332="","",_xlfn.LET(_xlpm.t,SUBSTITUTE(SUBSTITUTE(SUBSTITUTE(UPPER(DQ332),"С","C"),"А","A"),"В","B"),_xlpm.tk,_xlfn.TEXTSPLIT(_xlpm.t," "),_xlpm.f,_xlfn._xlws.FILTER(_xlpm.tk,ISNUMBER(--MID(_xlpm.tk,2,1))*ISNUMBER(SEARCH(LEFT(_xlpm.tk,1)&amp;"#","B#C#D#"))*(LEN(_xlpm.tk)&gt;1),""),_xlpm.x,INDEX(_xlpm.f,1),IFERROR(--SUBSTITUTE(MID(_xlpm.x,2,9),"A",""),IFERROR(--SUBSTITUTE(INDEX(_xlfn._xlws.FILTER(_xlpm.tk,ISNUMBER(--SUBSTITUTE(_xlpm.tk,"A","")),""),1),"A",""),""))))</f>
        <v>16</v>
      </c>
      <c r="DS332" t="str">
        <f t="shared" si="730"/>
        <v>ok</v>
      </c>
      <c r="DT332">
        <f t="shared" si="731"/>
        <v>16</v>
      </c>
      <c r="DU332" t="str">
        <f t="shared" si="732"/>
        <v>1P С16А</v>
      </c>
      <c r="DV332">
        <f t="shared" si="733"/>
        <v>0</v>
      </c>
      <c r="DW332">
        <f t="shared" si="734"/>
        <v>0</v>
      </c>
      <c r="DX332">
        <f t="shared" si="735"/>
        <v>0</v>
      </c>
      <c r="DY332">
        <f t="shared" si="736"/>
        <v>3.2475952641916441</v>
      </c>
      <c r="DZ332">
        <f t="shared" si="737"/>
        <v>1</v>
      </c>
      <c r="EA332">
        <f>IF(ISNUMBER(AP332),AP332,К_прокл)</f>
        <v>1</v>
      </c>
      <c r="EB332">
        <f t="shared" si="738"/>
        <v>2</v>
      </c>
      <c r="EC332">
        <f>IFERROR(N(VLOOKUP(BZ332,Кабель_обозначение,3,FALSE)),1)</f>
        <v>1</v>
      </c>
      <c r="ED332">
        <f>IFERROR(N(_xlfn.XLOOKUP(A332,Щиты[Щит],Щиты[ΔU до шин, %])),0)</f>
        <v>3.44</v>
      </c>
      <c r="EE332" t="str">
        <f>IFERROR(_xlfn.XLOOKUP(A332,Щиты[Щит],Щиты[Zпетли на шинах, Ом]),"")</f>
        <v/>
      </c>
      <c r="EF332">
        <f>IFERROR(N(_xlfn.XLOOKUP(A332,Щиты[Щит],Щиты[ΔU до шин (подбор), %])),0)</f>
        <v>5.4799999999999995</v>
      </c>
      <c r="EG332" t="str">
        <f>IFERROR(_xlfn.XLOOKUP(A332,Щиты[Щит],Щиты[Zпетли на шинах (подбор), Ом]),"")</f>
        <v/>
      </c>
      <c r="EH332" t="str">
        <f t="shared" si="739"/>
        <v/>
      </c>
      <c r="EI332">
        <f t="shared" si="740"/>
        <v>12</v>
      </c>
      <c r="EJ332">
        <f t="shared" si="741"/>
        <v>2</v>
      </c>
      <c r="EK332">
        <f t="shared" si="742"/>
        <v>0.6</v>
      </c>
      <c r="EL332" s="6">
        <f>IF(B332="","",IF(BV332=1,dU_LED,IF(IFERROR(_xlfn.XLOOKUP(BC332,Коды_код,Коды_уго),"")="Светильник",3,4)+IF(Методика="нормы 2026",MIN(0.5,MAX(0,N(P332)-100)*0.005),0)))</f>
        <v>4</v>
      </c>
      <c r="EM332" t="str" cm="1">
        <f t="array" ref="EM332">IF(OR(B332="",BZ332="",EC332&lt;&gt;1),"",_xlfn.LET(_xlpm.sz,Iдоп_S,_xlpm.t_,CHOOSE(EB332,Iдоп_1ж,Iдоп_2ж,Iдоп_3ж)*DZ332*EA332,_xlpm.dcx,BV332=1,_xlpm.inn,IF(_xlpm.dcx,N(O332),N(DT332)),_xlpm.smin,MAX(1.5,CC332),_xlpm.L_,N(P332)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332)/N(BU332)*100,999),IFERROR(N(EJ332)*(_xlpm.rho*_xlpm.L_/_xlpm.sz*N(CE332)+_xlpm.xx*_xlpm.L_*N(EK332)/1000)*N(O332)/((Uн_лин/SQRT(3))*1000)*100,999)),_xlpm.kz,IF(OR(_xlpm.dcx,DW332=1,NOT(ISNUMBER(EG332)),_xlpm.L_=0,_xlpm.inn=0),1,IFERROR(--(c_min*(Uн_лин*1000/SQRT(3))/(EG332+2*ρкз_Cu*_xlpm.L_/_xlpm.sz)&gt;=HT332*_xlpm.inn),0)),_xlpm.ok,IFERROR((_xlpm.sz&gt;=_xlpm.smin)*(_xlpm.t_&gt;=_xlpm.inn)*IF(_xlpm.L_&gt;0,(_xlpm.du_+IF(_xlpm.dcx,0,EF332)&lt;=EL332+0.00001),1)*_xlpm.kz,0),_xlpm.r_,_xlfn._xlws.FILTER(_xlpm.sz,_xlpm.ok,"не подобрано"),INDEX(_xlpm.r_,1)))</f>
        <v>не подобрано</v>
      </c>
      <c r="EN332">
        <f t="shared" si="743"/>
        <v>2.5</v>
      </c>
      <c r="EO332" cm="1">
        <f t="array" ref="EO332">IF(OR(B332="",BZ332="",EC332&lt;&gt;1),"",_xlfn.LET(_xlpm.sz,Iдоп_S,_xlpm.t_,CHOOSE(EB332,Iдоп_1ж,Iдоп_2ж,Iдоп_3ж)*DZ332*EA332,_xlpm.ok,IFERROR((_xlpm.sz&gt;=MAX(1.5,CC332))*(_xlpm.t_&gt;=N(DT332)),0),_xlpm.r_,_xlfn._xlws.FILTER(_xlpm.sz,_xlpm.ok,""),INDEX(_xlpm.r_,1)))</f>
        <v>1.5</v>
      </c>
      <c r="EP332" s="6" cm="1">
        <f t="array" ref="EP332">IFERROR(ROUNDUP(N(EJ332)*(_xlfn.XLOOKUP(EO332,INDEX(Кабель_сопротивление,0,1),INDEX(Кабель_сопротивление,0,3))*N(P332)/EO332*N(CE332)+_xlfn.XLOOKUP(EO332,INDEX(Кабель_сопротивление,0,1),INDEX(Кабель_сопротивление,0,2))*N(P332)*N(EK332)/1000)*N(O332)/((Uн_лин/SQRT(3))*1000)*100,2),"")</f>
        <v>0.51</v>
      </c>
      <c r="EQ332">
        <f>IFERROR(2*ρкз_Cu*N(P332)/EO332,"")</f>
        <v>0.52600000000000002</v>
      </c>
      <c r="ER332">
        <f>IFERROR(VLOOKUP(EN332,Кабель_сопротивление,3,FALSE),"")</f>
        <v>2.2499999999999999E-2</v>
      </c>
      <c r="ES332">
        <f>IFERROR(VLOOKUP(EN332,Кабель_сопротивление,2,FALSE),"")</f>
        <v>0.1</v>
      </c>
      <c r="ET332">
        <f t="shared" si="744"/>
        <v>11</v>
      </c>
      <c r="EU332" t="str">
        <f t="shared" si="745"/>
        <v/>
      </c>
      <c r="EV332">
        <f t="shared" si="746"/>
        <v>0.70732624854093995</v>
      </c>
      <c r="EW332" s="6">
        <f>IFERROR(ROUNDUP(EV332/IF(BV332=1,BU332,(Uн_лин/SQRT(3))*1000)*100,2),"")</f>
        <v>0.31</v>
      </c>
      <c r="EX332" t="str">
        <f>IFERROR(VLOOKUP(BZ332,Кабель_обозначение,2,FALSE),"")</f>
        <v>ВВГнг(А)-LS</v>
      </c>
      <c r="EY332" t="str">
        <f t="shared" si="747"/>
        <v>ВВГнг(А)-LS (3х2,5)</v>
      </c>
      <c r="EZ332" t="str">
        <f t="shared" si="748"/>
        <v>ВВГнг(А)-LS (3х2,5)
L=15-0,31%</v>
      </c>
      <c r="FA332">
        <f>IFERROR(2*ρкз_Cu*P332/EN332,"")</f>
        <v>0.31559999999999999</v>
      </c>
      <c r="FB332">
        <f t="shared" si="749"/>
        <v>0.10500000000000001</v>
      </c>
      <c r="FC332" s="6" t="str">
        <f>IFERROR(IF(OR(B332="",BV332=1,NOT(ISNUMBER(EN332)),N(P332)=0),"",_xlfn.XLOOKUP(A332,Щиты[Щит],Щиты[Zпетли на шинах, Ом])+FA332),"")</f>
        <v/>
      </c>
      <c r="FD332" s="6" t="str">
        <f>IF(ISNUMBER(FC332),c_min*(Uн_лин*1000/SQRT(3))/FC332,"")</f>
        <v/>
      </c>
      <c r="FE332" s="6" t="str">
        <f>IFERROR(IF(OR(B332="",NOT(ISNUMBER(EN332))),"",1.05*(Uн_лин*1000/SQRT(3))/(_xlfn.XLOOKUP(A332,Щиты[Щит],Щиты[Zmax на шинах, Ом])+FB332)/1000),"")</f>
        <v/>
      </c>
      <c r="FF332" s="6" t="str">
        <f>IF(B332="","",IF(ISNUMBER(AC332),"Сил",IF(IFERROR(_xlfn.XLOOKUP(BC332,Коды_код,Коды_группа)&amp;"","")="","Быт",_xlfn.XLOOKUP(BC332,Коды_код,Коды_группа)&amp;"")))</f>
        <v>Сил</v>
      </c>
      <c r="FG332" s="6" t="str">
        <f t="shared" si="750"/>
        <v>Сил</v>
      </c>
      <c r="FH332" s="6">
        <f>IF(FG332="Щит","щит",IF(FG332="","",IF(FG332="Быт",IFERROR(_xlfn.XLOOKUP(A332,Щиты[Щит],Щиты[Кс быт]),1),IF(FG332="Сил",IF(ISNUMBER(AC332),AC332,IF(Методика="нормы 2026",IFERROR(_xlfn.XLOOKUP(A332,Щиты[Щит],Щиты[Кс силовых (табл. 7.5)]),1),1)),IF(OR(FG332="Пост",FG332="Отоп"),1,IF(FG332="ВНГ",0.7,0))))))</f>
        <v>0.7</v>
      </c>
      <c r="FI332">
        <f>IF(FG332="","",IF(AND(BP332=1,TRIM(AE332&amp;"")=""),IF(COUNTIFS(Линии[Щит],A332,Линии[Секция (1/2/3)],"&gt;=2")&gt;0,MIN(3,MAX(1,IFERROR(--BD332,1))),1),IFERROR(MIN(3,MAX(1,INT(--AE332))),1)))</f>
        <v>1</v>
      </c>
      <c r="FJ332">
        <f t="shared" si="751"/>
        <v>0.6</v>
      </c>
      <c r="FK332">
        <f t="shared" si="752"/>
        <v>0</v>
      </c>
      <c r="FL332">
        <f t="shared" si="753"/>
        <v>0.42</v>
      </c>
      <c r="FM332">
        <f t="shared" si="754"/>
        <v>0</v>
      </c>
      <c r="FN332">
        <f t="shared" si="755"/>
        <v>0</v>
      </c>
      <c r="FO332">
        <f t="shared" si="756"/>
        <v>0</v>
      </c>
      <c r="FP332">
        <f t="shared" si="757"/>
        <v>0.6</v>
      </c>
      <c r="FQ332">
        <f t="shared" si="758"/>
        <v>0.6</v>
      </c>
      <c r="FR332">
        <f t="shared" si="759"/>
        <v>0.48</v>
      </c>
      <c r="FS332">
        <f>IF(CG332=1,IF(AND(CH332=1,CW332=1),0,IF(AND(CS332&lt;&gt;"",CS332=BA332,CW332=1),SUMIFS(Линии[_Р линии, кВт],Линии[_блок УЗО],BA332,Линии[Щит],A332),N(BS332)+IF(AJ332="вручную",0,N(CK332)))),0)</f>
        <v>0.6</v>
      </c>
      <c r="FT332" t="str">
        <f t="shared" si="760"/>
        <v>L3</v>
      </c>
      <c r="FU332" t="str">
        <f>IF(B332="","",IF(CG332=0,IF(BA332=1,"",FW331),IF(AND(CH332=1,CW332=1,CS332&lt;&gt;""),IFERROR(_xlfn.XLOOKUP(CS332,Линии[_n],Линии[_фаза итог]),"L1"),IF(OR(N(DL332)&gt;=3,N(BX332)&gt;=3),"L1,L2,L3",IFERROR(_xlfn.TEXTBEFORE(_xlfn.TEXTAFTER(_xlfn.XLOOKUP(A332,Щиты[Щит],Щиты[_фазы авто]),";"&amp;BA332&amp;":"),";"),"L1")))))</f>
        <v>L1</v>
      </c>
      <c r="FV332" t="str">
        <f t="shared" si="761"/>
        <v>L3</v>
      </c>
      <c r="FW332" t="str">
        <f t="shared" si="762"/>
        <v>L3</v>
      </c>
      <c r="FX332" cm="1">
        <f t="array" ref="FX332">IFERROR(IF(CD332=2,_xlfn.IFS(BX332=3,VLOOKUP(BS332,Справочная_двигатели,3,FALSE),BX332=1,VLOOKUP(BS332,Справочная_двигатели,5,TRUE)),0),0)</f>
        <v>0</v>
      </c>
      <c r="FY332">
        <f>IFERROR(IF(CD332=3,VLOOKUP(BS332,Справочная_ЛЭД,2,TRUE),0),0)</f>
        <v>0</v>
      </c>
      <c r="FZ332" s="6">
        <f t="shared" si="763"/>
        <v>0</v>
      </c>
      <c r="GA332" t="str">
        <f>IF(B332="","",IF(TRIM(AH332&amp;"")&lt;&gt;"",IF(LOWER(TRIM(AH332&amp;""))="да","да","нет"),IF(IFERROR(_xlfn.XLOOKUP(BC332,Коды_код,Коды_пожарная),"")="да","да","нет")))</f>
        <v>нет</v>
      </c>
      <c r="GB332" t="str">
        <f t="shared" si="764"/>
        <v/>
      </c>
      <c r="GC332" t="str">
        <f t="shared" si="765"/>
        <v>основная</v>
      </c>
      <c r="GD332">
        <f>IF(AND(BP332=1,TRIM(AE332&amp;"")=""),IF(COUNTIFS(Линии[Щит],A332,Линии[Секция (1/2/3)],"&gt;=2")&gt;0,MIN(3,MAX(1,IFERROR(--BD332,1))),1),IFERROR(MIN(3,MAX(1,INT(--AE332))),1))</f>
        <v>1</v>
      </c>
      <c r="GE332" t="str" cm="1">
        <f t="array" ref="GE332">IF(B332="","",_xlfn.LET(_xlpm.t,IFERROR(_xlfn.XLOOKUP(1,(Шины[Шина]=GC332)*(((Шины[Щит]=A332)+(Шины[Щит]=""))&gt;0),Шины[Тип]),"")&amp;"",IF(_xlpm.t&lt;&gt;"",_xlpm.t,IF(ISNUMBER(SEARCH("ИБП",GC332)),"ИБП",IF(ISNUMBER(SEARCH("ДГУ",GC332)),"ДГУ","Ввод "&amp;GD332)))))</f>
        <v>Ввод 1</v>
      </c>
      <c r="GF332" t="str">
        <f t="shared" si="766"/>
        <v>Ввод 1</v>
      </c>
      <c r="GG332" t="str">
        <f>IF(BP332=0,"",IF(TRIM(AG332&amp;"")&lt;&gt;"",TRIM(AG332&amp;""),IF(OR(GE332="ИБП",GE332="ДГУ"),"I особая",_xlfn.XLOOKUP(A332,Щиты[Щит],Щиты[Категория шины «Ввод»],"III"))))</f>
        <v/>
      </c>
      <c r="GH332" t="str">
        <f>IF(A332="","",_xlfn.XLOOKUP(A332,Щиты[Щит],Щиты[Путь],""))</f>
        <v>|ГРЩ-ЖД|ЩС-ВК.003|</v>
      </c>
      <c r="GI332" t="str">
        <f>IF(B332="","",IF(AI332&lt;&gt;"",AI332,IF(IFERROR(_xlfn.XLOOKUP(BC332,Коды_код,Коды_вид)&amp;"","")="","Прочее",_xlfn.XLOOKUP(BC332,Коды_код,Коды_вид)&amp;"")))</f>
        <v>Насосы (водоснабжение, дренаж)</v>
      </c>
      <c r="GJ332">
        <f>IF(BM332="","",INT((BM332-1)/Столбцов_на_лист)+1)</f>
        <v>1</v>
      </c>
      <c r="GK332" t="str">
        <f t="shared" si="767"/>
        <v>ВВГнг(А)-LS (3х2,5) L=15-0,31%</v>
      </c>
      <c r="GL332">
        <f t="shared" si="768"/>
        <v>0.6</v>
      </c>
      <c r="GM332">
        <f t="shared" si="769"/>
        <v>3.25</v>
      </c>
      <c r="GN332">
        <f t="shared" si="770"/>
        <v>1</v>
      </c>
      <c r="GO332">
        <f t="shared" si="771"/>
        <v>0</v>
      </c>
      <c r="GP332">
        <f t="shared" si="772"/>
        <v>1</v>
      </c>
      <c r="GQ332">
        <f>IF(BM332="","",IF(AND(CG332=1,GP332=1),COUNTIFS(A$3:A332,A332,CG$3:CG332,1,GP$3:GP332,1),IF(OR(OR(BA332=1,A332&lt;&gt;A331),AJ332="вручную",GP332=0),"",IF(BA332=1,"",GR331))))</f>
        <v>2</v>
      </c>
      <c r="GR332">
        <f t="shared" si="773"/>
        <v>2</v>
      </c>
      <c r="GS332">
        <f>IF(B332="","",IFERROR(LOOKUP(INDEX(CHOOSE(EB332,Iдоп_1ж,Iдоп_2ж,Iдоп_3ж),MATCH(EN332,Iдоп_S,0))*DZ332*EA332,{6,10,16,20,25,32,40,50,63,80,100,125,160,200,250,315,400,500,630}),""))</f>
        <v>25</v>
      </c>
      <c r="GT332" t="str">
        <f t="shared" si="774"/>
        <v>QF2</v>
      </c>
      <c r="GU332" t="str">
        <f t="shared" si="775"/>
        <v>QF2</v>
      </c>
      <c r="GV332" t="str">
        <f t="shared" si="776"/>
        <v/>
      </c>
      <c r="GW332">
        <f t="shared" si="777"/>
        <v>0</v>
      </c>
      <c r="GX332" t="str">
        <f>IF(OR(B332="",DJ332=""),"",IFERROR(_xlfn.XLOOKUP(DJ332,Модули_умолч[Управление],Модули_умолч[Модель])&amp;"",""))</f>
        <v/>
      </c>
      <c r="GY332">
        <f>IF(DJ332="",1,IFERROR(MAX(0,N(_xlfn.XLOOKUP(DJ332,Модули_умолч[Управление],Модули_умолч[Каналов на линию]))),1))</f>
        <v>1</v>
      </c>
      <c r="GZ332" t="str">
        <f t="shared" si="778"/>
        <v/>
      </c>
      <c r="HA332" t="str">
        <f t="shared" si="779"/>
        <v/>
      </c>
      <c r="HB332" t="str">
        <f t="shared" si="780"/>
        <v/>
      </c>
      <c r="HC332">
        <f>IF(HB332="",0,IFERROR(N(VLOOKUP(HB332,Модули_спр,3,FALSE)),0))</f>
        <v>0</v>
      </c>
      <c r="HD332" t="str">
        <f t="shared" si="781"/>
        <v/>
      </c>
      <c r="HE332" t="str">
        <f t="shared" si="782"/>
        <v/>
      </c>
      <c r="HF332" t="str">
        <f>IF(OR(HE332="",HE332="-"),"",IFERROR(VLOOKUP(HE332,Модули_спр,2,FALSE),"R"))</f>
        <v/>
      </c>
      <c r="HG332" t="str">
        <f>IF(HF332="","",HF332&amp;"."&amp;COUNTIFS(A$3:A332,A332,HF$3:HF332,HF332))</f>
        <v/>
      </c>
      <c r="HH332" t="str">
        <f t="shared" si="783"/>
        <v/>
      </c>
      <c r="HI332" t="str">
        <f t="shared" si="784"/>
        <v/>
      </c>
      <c r="HJ332" t="str">
        <f t="shared" si="785"/>
        <v/>
      </c>
      <c r="HK332" t="str">
        <f t="shared" si="786"/>
        <v/>
      </c>
      <c r="HL332">
        <f t="shared" si="787"/>
        <v>1</v>
      </c>
      <c r="HM332" t="str">
        <f>IF(HL332=1,"XT"&amp;COUNTIFS(A$3:A332,A332,HL$3:HL332,1),"")</f>
        <v>XT2</v>
      </c>
      <c r="HN332" t="str">
        <f t="shared" si="788"/>
        <v>XT2</v>
      </c>
      <c r="HO332" t="str">
        <f t="shared" si="789"/>
        <v>QF2</v>
      </c>
      <c r="HP332" t="str">
        <f t="shared" si="790"/>
        <v/>
      </c>
      <c r="HQ332" t="str">
        <f t="shared" si="791"/>
        <v>ok</v>
      </c>
      <c r="HR332" t="str">
        <f>IF(OR(HJ332="",HH332=""),"",IF(HJ332+MAX(0,GY332-1)&gt;IFERROR(VLOOKUP(HI332,Модули_спр,3,FALSE),99),"ЛИШНИЙ КАНАЛ",IF(AND(AL332&lt;&gt;"=",GY332&gt;0,COUNTIFS(Линии[_модуль гр.],HH332,Линии[Канал (итог)],HJ332,Линии[Канал],"&lt;&gt;=",Линии[Щит],A332)&gt;1),"ДУБЛЬ КАНАЛА","")))</f>
        <v/>
      </c>
      <c r="HS332" s="6" t="str">
        <f t="shared" si="792"/>
        <v/>
      </c>
      <c r="HT332">
        <f t="shared" si="793"/>
        <v>10</v>
      </c>
      <c r="HU332" t="str">
        <f t="shared" si="794"/>
        <v/>
      </c>
      <c r="HV332">
        <f t="shared" si="795"/>
        <v>1.4490381056766577</v>
      </c>
      <c r="HW332">
        <f t="shared" si="796"/>
        <v>0</v>
      </c>
      <c r="HX332">
        <f t="shared" si="797"/>
        <v>0</v>
      </c>
      <c r="HY332">
        <f t="shared" si="798"/>
        <v>0</v>
      </c>
      <c r="HZ332">
        <f t="shared" si="799"/>
        <v>0</v>
      </c>
      <c r="IA332">
        <f t="shared" si="800"/>
        <v>0</v>
      </c>
      <c r="IB332">
        <f t="shared" si="801"/>
        <v>0</v>
      </c>
      <c r="IC332" t="str">
        <f t="shared" si="802"/>
        <v/>
      </c>
      <c r="ID332" t="str" cm="1">
        <f t="array" ref="ID332">IF(IC332="","",_xlfn.LET(_xlpm.tk,_xlfn.TEXTSPLIT(SUBSTITUTE(SUBSTITUTE(IC332,";"," "),"→"," ")," ",,TRUE),_xlpm.w_,_xlfn._xlws.FILTER(_xlpm.tk,ISNUMBER(--LEFT(_xlpm.tk,1))*((ISNUMBER(SEARCH("W",_xlpm.tk))+ISNUMBER(SEARCH("Вт",_xlpm.tk)))&gt;0),""),IFERROR(--SUBSTITUTE(SUBSTITUTE(UPPER(INDEX(_xlpm.w_,1)),"W",""),"ВТ",""),"")))</f>
        <v/>
      </c>
      <c r="IE332" t="str" cm="1">
        <f t="array" ref="IE332">IF(IC332="","",_xlfn.LET(_xlpm.tk,_xlfn.TEXTSPLIT(SUBSTITUTE(SUBSTITUTE(IC332,";"," "),"→"," ")," ",,TRUE),_xlpm.v_,_xlfn._xlws.FILTER(_xlpm.tk,ISNUMBER(--LEFT(_xlpm.tk,1))*((ISNUMBER(SEARCH("V",_xlpm.tk))+(RIGHT(UPPER(_xlpm.tk))="В"))&gt;0),""),IFERROR(--SUBSTITUTE(SUBSTITUTE(UPPER(INDEX(_xlpm.v_,1)),"V",""),"В",""),"")))</f>
        <v/>
      </c>
      <c r="IF332" s="6" t="str">
        <f>IF(OR(BV332=0,HI332="",HJ332=""),"",IFERROR(N(_xlfn.XLOOKUP(HI332,Каталог!$C$4:$C$500,Каталог!$Q$4:$Q$500)),""))</f>
        <v/>
      </c>
      <c r="IG332" s="6" t="str">
        <f>IF(N(IF332)=0,"",SUMIFS(Линии[Iр, А],Линии[Щит],A332,Линии[_модуль гр.],HH332,Линии[Канал (итог)],HJ332))</f>
        <v/>
      </c>
      <c r="IH332" t="str">
        <f>IF(AND(B332="",HO332=""),"",_xlfn.TEXTJOIN("; ",TRUE,IF(AND(B332&lt;&gt;"",FV332=""),"нет фазы",""),IF(AND(B332&lt;&gt;"",N(GL332)=0,FG332&lt;&gt;"Нет"),"нет мощности",""),IF(AND(HN332&lt;&gt;"",COUNTIFS(Линии[Щит],A332,Линии[Клемма (итог)],HN332)&gt;1),"дубль клеммы "&amp;HN332,""),IF(AND(HQ332&lt;&gt;"",HQ332&lt;&gt;"ok"),HQ332,""),IF(HR332&lt;&gt;"",HR332,""),IF(AND(N(CB332)&gt;=4,N(BX332)=1),CB332&amp;" жил на 1 фазе",""),IF(AND(BC332="R",CG332=1,IF(CS332&lt;&gt;"",N(CV332)&gt;30,OR(N(DA332)=0,N(DA332)&gt;30))),"розетка без дифзащиты до 30 мА",""),IF(AND(CG332=1,N(DA332)&gt;0,ISNUMBER(T332)),IF(T332&gt;N(DA332)/3,"ток утечки "&amp;FIXED(T332,1)&amp;" мА &gt; 1/3 уставки ("&amp;DA332&amp;" мА)",""),""),IF(AND(CH332=1,CS332=""),"«узо»: нет строки с УЗО выше (УЗО 2P 40А 30мА в «Аппаратах»)",""),IF(AND(CS332&lt;&gt;"",CS332=BA332),IF(CT332="","впишите номинал УЗО (УЗО 2P 40А 30мА)",IF(N(CT332)&lt;N(DT332),"УЗО "&amp;CT332&amp;" А &lt; автомата "&amp;DT332&amp;" А перед ним",IF(N(CT332)&lt;N(CX332),"УЗО "&amp;CT332&amp;" А &lt; тока блока "&amp;FIXED(CX332,1)&amp;" А",""))),""),IF(AND(CS332&lt;&gt;"",CS332=BA332,ISNUMBER(CY332)),IF(CY332&gt;N(CV332)/3,"ток утечки блока УЗО "&amp;FIXED(CY332,1)&amp;" мА &gt; 1/3 уставки ("&amp;CV332&amp;" мА)",""),""),IF(AND(CG332=1,N(BV332)+N(IB332)&gt;0,IC332=""),"линии до 50 В без БП: впишите в «Аппараты» (БП 24V 480W)",""),IF(AND(CG332=1,ISNUMBER(ID332),ISNUMBER(U332)),IF(U332&gt;ID332,"БП "&amp;ID332&amp;" Вт &lt; нужно "&amp;U332&amp;" Вт (×"&amp;Запас_БП&amp;")",""),""),IF(AND(CG332=1,ISNUMBER(IE332),N(BV332)=1),IF(IE332&lt;&gt;N(BU332),"БП на "&amp;IE332&amp;" В, линия "&amp;BU332&amp;" В",""),""),IF(AND(N(IF332)&gt;0,N(IG332)&gt;N(IF332)),HH332&amp;" канал "&amp;HJ332&amp;": "&amp;FIXED(IG332,1)&amp;" А &gt; "&amp;IF332&amp;" А",""),IFERROR(IF(AND(ISNUMBER(Q332),Q332&gt;EL332),"потери "&amp;FIXED(Q332,1)&amp;" % &gt; "&amp;EL332&amp;" %",""),""),IFERROR(IF(LEFT(HU332,4)="мало","Iкз мало — отключение &gt; 0,4 с",""),""),IF(AND(B332&lt;&gt;"",BM332=""),"не на схеме",""),IF(AND(CG332=0,B332&lt;&gt;"",FV332&lt;&gt;"",IF(BA332=1,"",FW331)&lt;&gt;"",FV332&lt;&gt;IF(BA332=1,"",FW331)),"фаза не как у автомата группы ("&amp;IF(BA332=1,"",FW331)&amp;")","")))</f>
        <v/>
      </c>
      <c r="II332" s="6">
        <f>IF(OR(CG332=0,DQ332=""),"",_xlfn.LET(_xlpm.t,IFERROR(_xlfn.XLOOKUP(DQ332,Каталог!$U$4:$U$500,Каталог!$G$4:$G$500),""),_xlpm.k,SEARCH("кА",_xlpm.t),IFERROR(--TRIM(RIGHT(SUBSTITUTE(MID(_xlpm.t,MAX(1,_xlpm.k-4),_xlpm.k-MAX(1,_xlpm.k-4))," ",REPT(" ",9)),5)),"")))</f>
        <v>6</v>
      </c>
      <c r="IJ332" t="str">
        <f>IF(OR(II332="",CG332=0),"",IF(_xlfn.XLOOKUP(A332,Щиты[Щит],Щиты[Iкз max на шинах, кА],"")="","",IF(II332&lt;_xlfn.XLOOKUP(A332,Щиты[Щит],Щиты[Iкз max на шинах, кА]),"Icu "&amp;II332&amp;" кА &lt; Iкз max","ok")))</f>
        <v/>
      </c>
      <c r="IK332" t="str">
        <f t="shared" si="803"/>
        <v/>
      </c>
      <c r="IL332" t="str">
        <f t="shared" si="804"/>
        <v>QF2|XT2</v>
      </c>
      <c r="IM332" t="str">
        <f t="shared" si="805"/>
        <v>QF2|XT2|кабель ВВГнг(А)-LS (3х2,5) → Насос дренажный, пом. 006Т</v>
      </c>
      <c r="IN332" t="str" cm="1">
        <f t="array" ref="IN332">IF(IM332="","",_xlfn.LET(_xlpm.nd,_xlfn.TEXTSPLIT(IM332,"|"),IF(COLUMNS(_xlpm.nd)&gt;1,A332&amp;"¦"&amp;INDEX(_xlpm.nd,1)&amp;"¦"&amp;INDEX(_xlpm.nd,2),"")))</f>
        <v>ЩС-ВК.003¦QF2¦XT2</v>
      </c>
      <c r="IO332" t="str">
        <f t="shared" si="806"/>
        <v>НВК.00.006Т.1¦Насос дренажный, пом. 006Т</v>
      </c>
      <c r="IP332" t="str" cm="1">
        <f t="array" ref="IP332">IF(IM332="","",_xlfn.LET(_xlpm.nd,_xlfn.TEXTSPLIT(IM332,"|"),IF(COLUMNS(_xlpm.nd)&gt;2,A332&amp;"¦"&amp;INDEX(_xlpm.nd,2)&amp;"¦"&amp;INDEX(_xlpm.nd,3),"")))</f>
        <v>ЩС-ВК.003¦XT2¦кабель ВВГнг(А)-LS (3х2,5) → Насос дренажный, пом. 006Т</v>
      </c>
      <c r="IQ332" t="str">
        <f t="shared" si="807"/>
        <v>НВК.00.006Т.1¦Насос дренажный, пом. 006Т</v>
      </c>
      <c r="IR332" t="str" cm="1">
        <f t="array" ref="IR332">IF(IM332="","",_xlfn.LET(_xlpm.nd,_xlfn.TEXTSPLIT(IM332,"|"),IF(COLUMNS(_xlpm.nd)&gt;3,A332&amp;"¦"&amp;INDEX(_xlpm.nd,3)&amp;"¦"&amp;INDEX(_xlpm.nd,4),"")))</f>
        <v/>
      </c>
      <c r="IS332" t="str">
        <f t="shared" si="808"/>
        <v/>
      </c>
      <c r="IT332" t="str" cm="1">
        <f t="array" ref="IT332">IF(IM332="","",_xlfn.LET(_xlpm.nd,_xlfn.TEXTSPLIT(IM332,"|"),IF(COLUMNS(_xlpm.nd)&gt;4,A332&amp;"¦"&amp;INDEX(_xlpm.nd,4)&amp;"¦"&amp;INDEX(_xlpm.nd,5),"")))</f>
        <v/>
      </c>
      <c r="IU332" t="str">
        <f t="shared" si="809"/>
        <v/>
      </c>
      <c r="IV332" t="str" cm="1">
        <f t="array" ref="IV332">IF(IM332="","",_xlfn.LET(_xlpm.nd,_xlfn.TEXTSPLIT(IM332,"|"),IF(COLUMNS(_xlpm.nd)&gt;5,A332&amp;"¦"&amp;INDEX(_xlpm.nd,5)&amp;"¦"&amp;INDEX(_xlpm.nd,6),"")))</f>
        <v/>
      </c>
      <c r="IW332" t="str">
        <f t="shared" si="810"/>
        <v/>
      </c>
      <c r="IX332" t="str" cm="1">
        <f t="array" ref="IX332">IF(IM332="","",_xlfn.LET(_xlpm.nd,_xlfn.TEXTSPLIT(IM332,"|"),IF(COLUMNS(_xlpm.nd)&gt;6,A332&amp;"¦"&amp;INDEX(_xlpm.nd,6)&amp;"¦"&amp;INDEX(_xlpm.nd,7),"")))</f>
        <v/>
      </c>
      <c r="IY332" t="str">
        <f t="shared" si="811"/>
        <v/>
      </c>
      <c r="IZ332" t="str">
        <f t="shared" si="812"/>
        <v/>
      </c>
      <c r="JA332" t="str">
        <f t="shared" si="813"/>
        <v>QF2 → XT2</v>
      </c>
      <c r="JB332">
        <f t="shared" si="814"/>
        <v>0</v>
      </c>
      <c r="JC332">
        <f t="shared" si="815"/>
        <v>0</v>
      </c>
      <c r="JD332" t="str">
        <f t="shared" si="816"/>
        <v/>
      </c>
      <c r="JE332" t="str">
        <f t="shared" si="817"/>
        <v/>
      </c>
      <c r="JF332" t="str">
        <f t="shared" si="818"/>
        <v/>
      </c>
      <c r="JG332" t="str">
        <f t="shared" si="819"/>
        <v/>
      </c>
      <c r="JH332">
        <f>IF(B332="","",IFERROR(_xlfn.XLOOKUP(B332,Коды_код,Коды_уго),IFERROR(_xlfn.XLOOKUP(BC332,Коды_код,Коды_уго),IFERROR(_xlfn.XLOOKUP(LEFT(BC332,2),Коды_код,Коды_уго),""))))</f>
        <v>0</v>
      </c>
      <c r="JI332" t="str">
        <f>IF(B332="","",IF(OR(JH332="",JH332=0),"BOX",IFERROR(IF(VLOOKUP(JH332,УГО_блоки,3,FALSE)&amp;""&lt;&gt;"",VLOOKUP(JH332,УГО_блоки,3,FALSE),VLOOKUP(JH332,УГО_блоки,2,FALSE)),JH332)))</f>
        <v>BOX</v>
      </c>
      <c r="JJ332">
        <f t="shared" si="820"/>
        <v>1</v>
      </c>
      <c r="JK332" t="str">
        <f>IF(DQ332="","",IF(COUNTIF(DQ$3:DQ332,DQ332)=1,MAX(JK$2:JK331)+1,""))</f>
        <v/>
      </c>
      <c r="JL332" t="str">
        <f>IF(DE332="","",IF(COUNTIF(DE$3:DE332,DE332)+COUNTIF(DF$2:DF331,DE332)+COUNTIF(DG$2:DG331,DE332)=1,MAX(JL$2:JN331)+1,""))</f>
        <v/>
      </c>
      <c r="JM332" t="str">
        <f>IF(DF332="","",IF(COUNTIF(DE$3:DE332,DF332)+COUNTIF(DF$3:DF332,DF332)+COUNTIF(DG$2:DG331,DF332)=1,MAX(JL$2:JN331,JL332)+1,""))</f>
        <v/>
      </c>
      <c r="JN332" t="str">
        <f>IF(DG332="","",IF(COUNTIF(DE$3:DE332,DG332)+COUNTIF(DF$3:DF332,DG332)+COUNTIF(DG$3:DG332,DG332)=1,MAX(JL$2:JN331,JL332,JM332)+1,""))</f>
        <v/>
      </c>
      <c r="JO332" t="str">
        <f t="shared" si="821"/>
        <v>3х2,5</v>
      </c>
      <c r="JP332" t="str">
        <f>IF(JO332="","",IF(COUNTIF(JO$3:JO332,JO332)=1,MAX(JP$2:JP331)+1,""))</f>
        <v/>
      </c>
      <c r="JQ332" t="str">
        <f>IF(HG332="","",COUNTIF(HG$3:HG332,"?*"))</f>
        <v/>
      </c>
      <c r="JR332" t="str">
        <f>IF(OR(HG332="",HI332=""),"",IF(COUNTIFS(HG$3:HG332,"?*",HI$3:HI332,HI332)=1,MAX(JR$2:JR331)+1,""))</f>
        <v/>
      </c>
      <c r="JS332">
        <f t="shared" si="822"/>
        <v>0</v>
      </c>
      <c r="JT332">
        <f>IF(B332="","",COUNTIF(B$3:B332,"?*"))</f>
        <v>330</v>
      </c>
      <c r="JU332">
        <f>IF(HL332&lt;&gt;1,0,_xlfn.LET(_xlpm.k,MAX(IFERROR(--_xlfn.XLOOKUP(B332,Коды_код,Коды_3L),0),IFERROR(--_xlfn.XLOOKUP(BC332,Коды_код,Коды_3L),0),IFERROR(--_xlfn.XLOOKUP(LEFT(BC332,2),Коды_код,Коды_3L),0)),IF(_xlpm.k&gt;0,_xlpm.k,IF(IFERROR(--LEFT(SUBSTITUTE(JO332,"x","х"),FIND("х",SUBSTITUTE(JO332,"x","х"))-1),3)&gt;3,Каталог!$S$9,1))))</f>
        <v>1</v>
      </c>
      <c r="JV332">
        <f t="shared" si="823"/>
        <v>0</v>
      </c>
      <c r="JW332" t="str">
        <f t="shared" si="824"/>
        <v>авто</v>
      </c>
      <c r="JX332" t="str">
        <f t="shared" si="825"/>
        <v/>
      </c>
      <c r="JY332">
        <f t="shared" si="826"/>
        <v>0</v>
      </c>
      <c r="JZ332">
        <f t="shared" si="827"/>
        <v>1</v>
      </c>
    </row>
    <row r="333" spans="1:286" x14ac:dyDescent="0.3">
      <c r="A333" t="s">
        <v>767</v>
      </c>
      <c r="B333" t="s">
        <v>1634</v>
      </c>
      <c r="C333" t="s">
        <v>1731</v>
      </c>
      <c r="D333">
        <v>1</v>
      </c>
      <c r="E333">
        <v>2.5</v>
      </c>
      <c r="G333">
        <v>16</v>
      </c>
      <c r="H333" t="str">
        <f>Линии[[#This Row],[_авто управление]]</f>
        <v/>
      </c>
      <c r="I333" t="str">
        <f>Линии[[#This Row],[_авто аппараты]]</f>
        <v/>
      </c>
      <c r="J333">
        <v>2.5</v>
      </c>
      <c r="K333">
        <v>9</v>
      </c>
      <c r="L333">
        <v>3</v>
      </c>
      <c r="M333" t="str">
        <f>Линии[[#This Row],[_авто клемма]]</f>
        <v>XT3</v>
      </c>
      <c r="N333" t="str">
        <f t="shared" si="690"/>
        <v>потери 4,5 % &gt; 4 %</v>
      </c>
      <c r="O333" s="6" cm="1">
        <f t="array" ref="O333">IF(B333="","",IF(BH333&lt;&gt;"",IFERROR(_xlfn.XLOOKUP(BH333,Щиты[Щит],Щиты[Iр, А]),""),IF(BP333=1,IF(OR(N(_xlfn.XLOOKUP(A333,Щиты[Щит],Щиты[Вводов],1))&lt;=1,LOWER(TRIM(_xlfn.XLOOKUP(A333,Щиты[Щит],Щиты[АВР],"")&amp;""))="да"),IFERROR(_xlfn.XLOOKUP(A333,Щиты[Щит],Щиты[Iр, А]),""),IFERROR(N(BS333)*_xlfn.XLOOKUP(A333,Щиты[Щит],Щиты[Кс итог])/(SQRT(3)*Uн_лин*_xlfn.XLOOKUP(A333,Щиты[Щит],Щиты[cos φ])),"")),IF(BV333=1,IFERROR(BS333*1000/BU333,""),IFERROR(_xlfn.IFS(BX333=1,BS333/((Uн_лин/SQRT(3))*CE333),BX333=3,BS333/(SQRT(3)*Uн_лин*CE333)),"")))))</f>
        <v>13.531646934131851</v>
      </c>
      <c r="P333" s="7">
        <f>IF(B333="","",IFERROR(IF(VLOOKUP(BC333,Потребители_обозначение,4,FALSE)=1,VLOOKUP(BC333,Потребители_обозначение,3,FALSE)*(MAX(1,N(D333))*2-1)+EI333+VLOOKUP(BE333,Этаж_обозначение,3,FALSE)+VLOOKUP(BE333,Этаж_обозначение,4,FALSE),VLOOKUP(BC333,Потребители_обозначение,3,FALSE)*(MAX(1,N(D333))*2-1)+EI333),EI333))</f>
        <v>12</v>
      </c>
      <c r="Q333" s="6">
        <f t="shared" si="691"/>
        <v>4.47</v>
      </c>
      <c r="R333" t="str">
        <f t="shared" si="692"/>
        <v>ВВГнг(А)-LS (3х2,5)</v>
      </c>
      <c r="S333" t="str">
        <f>IF(BM333="","",IF(BN333="вводной узел","узел ","")&amp;"л."&amp;(INT((BM333-1)/Столбцов_на_лист)+1)&amp;" / "&amp;(MOD(BM333-1,Столбцов_на_лист)+1))</f>
        <v>л.1 / 14</v>
      </c>
      <c r="T333" s="119">
        <f t="shared" si="693"/>
        <v>5.5</v>
      </c>
      <c r="U333" s="7" t="str">
        <f>IF(OR(CG333=0,N(BV333)+N(IB333)=0),"",ROUNDUP(Запас_БП*(N(HY333)+N(HZ333)),0))</f>
        <v/>
      </c>
      <c r="V333" s="119" t="str">
        <f t="shared" si="694"/>
        <v/>
      </c>
      <c r="W333" s="7" t="str">
        <f>IFERROR(IF(OR(B333="",BP333=1,BV333=1,NOT(ISNUMBER(EN333)),N(DT333)=0),"",MAX(0,ROUNDDOWN((c_min*(Uн_лин*1000/SQRT(3))/(HT333*N(DT333))-_xlfn.XLOOKUP(A333,Щиты[Щит],Щиты[Zпетли на шинах, Ом]))*EN333/(2*ρкз_Cu),0))),"")</f>
        <v/>
      </c>
      <c r="Y333" t="str">
        <f>Линии[[#This Row],[_авто утечка]]</f>
        <v/>
      </c>
      <c r="Z333">
        <v>1</v>
      </c>
      <c r="AA333">
        <v>230</v>
      </c>
      <c r="AB333" t="s">
        <v>598</v>
      </c>
      <c r="AC333">
        <v>0.7</v>
      </c>
      <c r="AG333" t="s">
        <v>810</v>
      </c>
      <c r="AI333" t="s">
        <v>604</v>
      </c>
      <c r="AK333" t="str">
        <f>Линии[[#This Row],[_авто модуль]]</f>
        <v/>
      </c>
      <c r="AM333">
        <v>14</v>
      </c>
      <c r="AN333" t="s">
        <v>11</v>
      </c>
      <c r="AO333">
        <v>3</v>
      </c>
      <c r="AQ333">
        <v>0</v>
      </c>
      <c r="AR333">
        <v>9</v>
      </c>
      <c r="AS333">
        <v>0</v>
      </c>
      <c r="BA333" cm="1">
        <f t="array" ref="BA333">ROW()-ROW(Линии[#Headers])</f>
        <v>331</v>
      </c>
      <c r="BC333" s="6" t="str">
        <f t="shared" si="695"/>
        <v>ЖУ</v>
      </c>
      <c r="BD333" t="str">
        <f t="shared" si="696"/>
        <v>1</v>
      </c>
      <c r="BE333" t="str">
        <f t="shared" si="697"/>
        <v>1</v>
      </c>
      <c r="BF333" t="str">
        <f t="shared" si="698"/>
        <v/>
      </c>
      <c r="BG333" t="str">
        <f t="shared" si="699"/>
        <v/>
      </c>
      <c r="BH333" t="str">
        <f>IF(X333&lt;&gt;"",X333,IF(AND(B333&lt;&gt;"",B333&lt;&gt;A333,ISNUMBER(_xlfn.XMATCH(B333,Щиты[Щит]))),B333,""))</f>
        <v/>
      </c>
      <c r="BI333" t="str" cm="1">
        <f t="array" ref="BI333">IF(B333="","",IF(BH333&lt;&gt;"","Щит "&amp;BH333,_xlfn.LET(_xlpm.nm,IFERROR(_xlfn.XLOOKUP(BC333,Коды_код,Коды_имя)&amp;"",""),_xlpm.md,IFERROR(N(_xlfn.XLOOKUP(BC333,Коды_код,Коды_режим)),1),_xlpm.ex,IF(Имя_режим="по экспликации",IFERROR(_xlfn.XLOOKUP(BE333&amp;"|"&amp;BG333,Экспликация[Этаж]&amp;"|"&amp;Экспликация[Помещение],Экспликация[Название])&amp;"",""),""),_xlpm.rm,IF(BG333="","",IF(_xlpm.ex&lt;&gt;"",". "&amp;_xlpm.ex&amp;IF(Имя_пом="нет"," ("&amp;BG333&amp;")"," (пом. "&amp;BG333&amp;")"),IF(Имя_пом="нет"," ",", пом. ")&amp;BG333)),IF(_xlpm.nm="","",IF(_xlpm.md=2,_xlpm.nm&amp;" шлейф "&amp;BE333,_xlpm.nm&amp;_xlpm.rm)))))</f>
        <v>Жироулавливатель</v>
      </c>
      <c r="BJ333" t="str">
        <f t="shared" si="700"/>
        <v>Жироулавливатель Подвальный этаж Пом. №006Т</v>
      </c>
      <c r="BK333">
        <f>IFERROR(_xlfn.XMATCH(A333,Щиты[Щит]),0)</f>
        <v>15</v>
      </c>
      <c r="BL333">
        <f>_xlfn.LET(_xlpm.k,IFERROR(_xlfn.XLOOKUP(A333,Щиты[Щит],Щиты[Мест под вводной узел]),""),IF(_xlpm.k="",Столбцов_на_лист,N(_xlpm.k)))</f>
        <v>11</v>
      </c>
      <c r="BM333">
        <f t="shared" si="701"/>
        <v>14</v>
      </c>
      <c r="BN333" t="str">
        <f t="shared" si="702"/>
        <v>линии</v>
      </c>
      <c r="BO333" s="6">
        <f>IFERROR(N(_xlfn.XLOOKUP(BC333,Коды_код,Коды_квт)),0)</f>
        <v>0</v>
      </c>
      <c r="BP333">
        <f t="shared" si="703"/>
        <v>0</v>
      </c>
      <c r="BQ333" t="str">
        <f>IF(B333="","",IF(BH333&lt;&gt;"",IFERROR(_xlfn.XLOOKUP(BH333,Щиты[Щит],Щиты[Руст, кВт]),0),IF(BP333=1,IF(OR(N(_xlfn.XLOOKUP(A333,Щиты[Щит],Щиты[Вводов],1))&lt;=1,LOWER(TRIM(_xlfn.XLOOKUP(A333,Щиты[Щит],Щиты[АВР],"")&amp;""))="да"),IFERROR(_xlfn.XLOOKUP(A333,Щиты[Щит],Щиты[Руст, кВт]),0),SUMIFS(Линии[_Р для вводов],Линии[Щит],A333,Линии[Источник для режимов],GF333)),IF(BO333&gt;0,ROUND(BO333*MAX(1,N(D333)),3),""))))</f>
        <v/>
      </c>
      <c r="BR333">
        <f t="shared" si="704"/>
        <v>2.5</v>
      </c>
      <c r="BS333" s="6">
        <f>IF(B333="","",IF(BH333&lt;&gt;"",IFERROR(_xlfn.XLOOKUP(BH333,Щиты[Щит],Щиты[Руст, кВт]),0),N(BR333)))</f>
        <v>2.5</v>
      </c>
      <c r="BT333" t="str">
        <f>IF(B333="","",IFERROR(IF(VLOOKUP(BC333,Потребители_обозначение,8,FALSE)=0,"",VLOOKUP(BC333,Потребители_обозначение,8,FALSE)),""))</f>
        <v/>
      </c>
      <c r="BU333">
        <f t="shared" si="705"/>
        <v>230</v>
      </c>
      <c r="BV333">
        <f t="shared" si="706"/>
        <v>0</v>
      </c>
      <c r="BW333">
        <f>IF(B333="","",IF(BH333&lt;&gt;"",3,IFERROR(IF(N(VLOOKUP(BC333,Потребители_обозначение,9,FALSE))=0,1,VLOOKUP(BC333,Потребители_обозначение,9,FALSE)),1)))</f>
        <v>1</v>
      </c>
      <c r="BX333">
        <f t="shared" si="707"/>
        <v>1</v>
      </c>
      <c r="BY333" t="str">
        <f>IF(B333="","",_xlfn.LET(_xlpm.bc,IFERROR(IF(VLOOKUP(BC333,Потребители_обозначение,6,FALSE)=0,"",VLOOKUP(BC333,Потребители_обозначение,6,FALSE)&amp;""),""),IF(AND(GA333="да",OR(_xlpm.bc="",_xlpm.bc="мс")),Марка_пож,IF(AND(_xlpm.bc="",BH333&lt;&gt;""),"мс",_xlpm.bc))))</f>
        <v/>
      </c>
      <c r="BZ333" t="str">
        <f t="shared" si="708"/>
        <v>мс</v>
      </c>
      <c r="CA333">
        <f>IF(B333="","",_xlfn.LET(_xlpm.cc,IFERROR(N(VLOOKUP(BC333,Потребители_обозначение,7,FALSE)),0),IF(_xlpm.cc&gt;0,_xlpm.cc,IF(BZ333="","",IF(BV333=1,2,IF(N(BX333)=3,5,3))))))</f>
        <v>3</v>
      </c>
      <c r="CB333">
        <f t="shared" si="709"/>
        <v>3</v>
      </c>
      <c r="CC333">
        <f>IFERROR(N(VLOOKUP(BC333,Потребители_обозначение,10,FALSE)),0)</f>
        <v>0</v>
      </c>
      <c r="CD333">
        <f>IFERROR(VLOOKUP(BC333,Потребители_обозначение,5,FALSE),0)</f>
        <v>1</v>
      </c>
      <c r="CE333" s="6" cm="1">
        <f t="array" ref="CE333">IF(B333="","",IF(BH333&lt;&gt;"",IFERROR(_xlfn.XLOOKUP(BH333,Щиты[Щит],Щиты[cos φ]),0.95),IF(BP333=1,IFERROR(_xlfn.XLOOKUP(A333,Щиты[Щит],Щиты[cos φ]),0.95),IF(ISNUMBER(AD333),AD333,IFERROR(IF(CD333=2,_xlfn.IFS(BX333=3,VLOOKUP(BS333,Справочная_двигатели,8,FALSE),BX333=1,VLOOKUP(BS333,Справочная_двигатели,10,TRUE)),IF(AND(Методика="нормы 2026",FG333="Сил"),0.8,0.95)),0.95)))))</f>
        <v>0.8</v>
      </c>
      <c r="CF333">
        <f t="shared" si="710"/>
        <v>0</v>
      </c>
      <c r="CG333">
        <f t="shared" si="711"/>
        <v>1</v>
      </c>
      <c r="CH333">
        <f t="shared" si="712"/>
        <v>0</v>
      </c>
      <c r="CI333">
        <f>IF(B333="","",IF(BV333=1,IFERROR(BS333/((Uн_лин/SQRT(3))*MAX(0.5,N(CE333))),0),N(O333)))</f>
        <v>13.531646934131851</v>
      </c>
      <c r="CJ333">
        <f t="shared" si="713"/>
        <v>0</v>
      </c>
      <c r="CK333">
        <f t="shared" si="714"/>
        <v>0</v>
      </c>
      <c r="CL333">
        <f t="shared" si="715"/>
        <v>0</v>
      </c>
      <c r="CM333">
        <f t="shared" si="716"/>
        <v>0</v>
      </c>
      <c r="CN333">
        <f t="shared" si="717"/>
        <v>0</v>
      </c>
      <c r="CO333">
        <f>IF(BC333="",0,_xlfn.LET(_xlpm.v,IFERROR(_xlfn.XLOOKUP(B333,Коды_код,Коды_мА),IFERROR(_xlfn.XLOOKUP(BC333,Коды_код,Коды_мА),IFERROR(_xlfn.XLOOKUP(LEFT(BC333,2),Коды_код,Коды_мА),""))),IF(_xlpm.v="да",30,IF(ISNUMBER(_xlpm.v),_xlpm.v,0))))</f>
        <v>0</v>
      </c>
      <c r="CP333" t="str">
        <f t="shared" si="718"/>
        <v/>
      </c>
      <c r="CQ333" t="str">
        <f>_xlfn.LET(_xlpm.k,IFERROR(_xlfn.XLOOKUP(BC333,Коды_код,Коды_утечка)&amp;"",""),IF(_xlpm.k="","дифавтомат",_xlpm.k))</f>
        <v>дифавтомат</v>
      </c>
      <c r="CR333" t="str" cm="1">
        <f t="array" ref="CR333">IF(CG333=0,"",_xlfn.LET(_xlpm.sg,TRIM(_xlfn.TEXTSPLIT(DD333&amp;"",";")),_xlpm.f_,_xlfn._xlws.FILTER(_xlpm.sg,LEFT(_xlpm.sg,3)="УЗО",""),IFERROR(INDEX(_xlpm.f_,1)&amp;"","")))</f>
        <v/>
      </c>
      <c r="CS333" t="str">
        <f t="shared" si="719"/>
        <v/>
      </c>
      <c r="CT333" s="6" t="str" cm="1">
        <f t="array" ref="CT333">IF(CR333="","",_xlfn.LET(_xlpm.tk,_xlfn.TEXTSPLIT(UPPER(CR333)," ",,TRUE),_xlpm.a_,_xlfn._xlws.FILTER(_xlpm.tk,ISNUMBER(--LEFT(_xlpm.tk,1))*((ISNUMBER(SEARCH("А",_xlpm.tk))+ISNUMBER(SEARCH("A",_xlpm.tk)))&gt;0)*NOT(ISNUMBER(SEARCH("МА",_xlpm.tk)))*NOT(ISNUMBER(SEARCH("MA",_xlpm.tk))),""),IFERROR(--SUBSTITUTE(SUBSTITUTE(INDEX(_xlpm.a_,1),"А",""),"A",""),"")))</f>
        <v/>
      </c>
      <c r="CU333" t="str" cm="1">
        <f t="array" ref="CU333">IF(CR333="","",_xlfn.LET(_xlpm.tk,_xlfn.TEXTSPLIT(UPPER(CR333)," ",,TRUE),_xlpm.a_,_xlfn._xlws.FILTER(_xlpm.tk,ISNUMBER(--LEFT(_xlpm.tk,1))*((ISNUMBER(SEARCH("МА",_xlpm.tk))+ISNUMBER(SEARCH("MA",_xlpm.tk)))&gt;0),""),IFERROR(--SUBSTITUTE(SUBSTITUTE(INDEX(_xlpm.a_,1),"МА",""),"MA",""),30)))</f>
        <v/>
      </c>
      <c r="CV333" t="str">
        <f>IF(CS333="","",IFERROR(_xlfn.XLOOKUP(CS333,Линии[_n],Линии[_УЗО, мА]),30))</f>
        <v/>
      </c>
      <c r="CW333">
        <f>IF(CS333="",0,IF(ISNUMBER(SEARCH("4P",IFERROR(_xlfn.XLOOKUP(CS333,Линии[_n],Линии[_УЗО строки])&amp;"",""))),0,1))</f>
        <v>0</v>
      </c>
      <c r="CX333" t="str">
        <f>IF(AND(CS333&lt;&gt;"",CS333=BA333),SUMIFS(Линии[_ток на 230 В],Линии[_блок УЗО],BA333,Линии[Щит],A333),"")</f>
        <v/>
      </c>
      <c r="CY333" t="str">
        <f>IF(AND(CS333&lt;&gt;"",CS333=BA333),SUMIFS(Линии[_ток утечки линии, мА],Линии[_блок УЗО],BA333,Линии[Щит],A333),"")</f>
        <v/>
      </c>
      <c r="CZ333">
        <f t="shared" si="720"/>
        <v>0</v>
      </c>
      <c r="DA333">
        <f t="shared" si="721"/>
        <v>0</v>
      </c>
      <c r="DB333">
        <f>IF(B333="",0,IFERROR(--_xlfn.XLOOKUP(B333,Коды_код,Коды_минавт),IFERROR(--_xlfn.XLOOKUP(BC333,Коды_код,Коды_минавт),IFERROR(--_xlfn.XLOOKUP(LEFT(BC333,2),Коды_код,Коды_минавт),0))))</f>
        <v>0</v>
      </c>
      <c r="DC333" t="str">
        <f>IF(B333="","",IFERROR(_xlfn.XLOOKUP(BC333,Коды_код,Коды_апп)&amp;"",""))</f>
        <v/>
      </c>
      <c r="DD333" t="str">
        <f t="shared" si="722"/>
        <v/>
      </c>
      <c r="DE333" t="str" cm="1">
        <f t="array" ref="DE333">IF(TRIM(DD333&amp;"")="","",IFERROR(TRIM(INDEX(_xlfn.TEXTSPLIT(DD333&amp;";;;",";"),1)),""))</f>
        <v/>
      </c>
      <c r="DF333" t="str" cm="1">
        <f t="array" ref="DF333">IF(TRIM(DD333&amp;"")="","",IFERROR(TRIM(INDEX(_xlfn.TEXTSPLIT(DD333&amp;";;;",";"),2)),""))</f>
        <v/>
      </c>
      <c r="DG333" t="str" cm="1">
        <f t="array" ref="DG333">IF(TRIM(DD333&amp;"")="","",IFERROR(TRIM(INDEX(_xlfn.TEXTSPLIT(DD333&amp;";;;",";"),3)),""))</f>
        <v/>
      </c>
      <c r="DH333">
        <f t="shared" si="723"/>
        <v>0</v>
      </c>
      <c r="DI333" t="str">
        <f>IF(B333="","",_xlfn.LET(_xlpm.t,LOWER(AZ333&amp;""),IF(ISNUMBER(SEARCH("dim",_xlpm.t)),"DIM",IF(ISNUMBER(SEARCH("dali",_xlpm.t)),"DALI",IF(OR(ISNUMBER(SEARCH("relay",_xlpm.t)),ISNUMBER(SEARCH("реле",_xlpm.t))),"Relay",IF(ISNUMBER(SEARCH("кнопк",_xlpm.t)),"",IFERROR(_xlfn.XLOOKUP(BC333,Коды_код,Коды_упр)&amp;"","")))))))</f>
        <v/>
      </c>
      <c r="DJ333" t="str">
        <f t="shared" si="724"/>
        <v/>
      </c>
      <c r="DK333">
        <f>IF(B333="","",_xlfn.LET(_xlpm.ig,IF(N(CX333)&gt;0,N(CX333),N(CI333)+IF(AJ333="вручную",0,N(CJ333))),_xlpm.n0,IFERROR(VLOOKUP(_xlpm.ig,Автомат_номиналы,2,TRUE),0),_xlpm.mn,MAX(DB333,IF(AJ333="вручную",0,N(CM333))),MAX(_xlpm.n0,_xlpm.mn,IF(DH333=1,Мин_автомат_БП,0))))</f>
        <v>16</v>
      </c>
      <c r="DL333">
        <f t="shared" si="725"/>
        <v>1</v>
      </c>
      <c r="DM333" t="str">
        <f t="shared" si="726"/>
        <v>1P</v>
      </c>
      <c r="DN333" t="str">
        <f>_xlfn.LET(_xlpm.cc,UPPER(TRIM(IFERROR(_xlfn.XLOOKUP(BC333,Коды_код,Коды_хар)&amp;"",""))),IF(OR(_xlpm.cc="B",_xlpm.cc="В"),"B",IF(_xlpm.cc="D","D","С")))</f>
        <v>С</v>
      </c>
      <c r="DO333" t="str">
        <f t="shared" si="727"/>
        <v>1P С16А</v>
      </c>
      <c r="DP333">
        <f t="shared" si="728"/>
        <v>16</v>
      </c>
      <c r="DQ333" t="str">
        <f t="shared" si="729"/>
        <v>1P С16А</v>
      </c>
      <c r="DR333" cm="1">
        <f t="array" ref="DR333">IF(DQ333="","",_xlfn.LET(_xlpm.t,SUBSTITUTE(SUBSTITUTE(SUBSTITUTE(UPPER(DQ333),"С","C"),"А","A"),"В","B"),_xlpm.tk,_xlfn.TEXTSPLIT(_xlpm.t," "),_xlpm.f,_xlfn._xlws.FILTER(_xlpm.tk,ISNUMBER(--MID(_xlpm.tk,2,1))*ISNUMBER(SEARCH(LEFT(_xlpm.tk,1)&amp;"#","B#C#D#"))*(LEN(_xlpm.tk)&gt;1),""),_xlpm.x,INDEX(_xlpm.f,1),IFERROR(--SUBSTITUTE(MID(_xlpm.x,2,9),"A",""),IFERROR(--SUBSTITUTE(INDEX(_xlfn._xlws.FILTER(_xlpm.tk,ISNUMBER(--SUBSTITUTE(_xlpm.tk,"A","")),""),1),"A",""),""))))</f>
        <v>16</v>
      </c>
      <c r="DS333" t="str">
        <f t="shared" si="730"/>
        <v>ok</v>
      </c>
      <c r="DT333">
        <f t="shared" si="731"/>
        <v>16</v>
      </c>
      <c r="DU333" t="str">
        <f t="shared" si="732"/>
        <v>1P С16А</v>
      </c>
      <c r="DV333">
        <f t="shared" si="733"/>
        <v>0</v>
      </c>
      <c r="DW333">
        <f t="shared" si="734"/>
        <v>0</v>
      </c>
      <c r="DX333">
        <f t="shared" si="735"/>
        <v>0</v>
      </c>
      <c r="DY333">
        <f t="shared" si="736"/>
        <v>13.531646934131851</v>
      </c>
      <c r="DZ333">
        <f t="shared" si="737"/>
        <v>1</v>
      </c>
      <c r="EA333">
        <f>IF(ISNUMBER(AP333),AP333,К_прокл)</f>
        <v>1</v>
      </c>
      <c r="EB333">
        <f t="shared" si="738"/>
        <v>2</v>
      </c>
      <c r="EC333">
        <f>IFERROR(N(VLOOKUP(BZ333,Кабель_обозначение,3,FALSE)),1)</f>
        <v>1</v>
      </c>
      <c r="ED333">
        <f>IFERROR(N(_xlfn.XLOOKUP(A333,Щиты[Щит],Щиты[ΔU до шин, %])),0)</f>
        <v>3.44</v>
      </c>
      <c r="EE333" t="str">
        <f>IFERROR(_xlfn.XLOOKUP(A333,Щиты[Щит],Щиты[Zпетли на шинах, Ом]),"")</f>
        <v/>
      </c>
      <c r="EF333">
        <f>IFERROR(N(_xlfn.XLOOKUP(A333,Щиты[Щит],Щиты[ΔU до шин (подбор), %])),0)</f>
        <v>5.4799999999999995</v>
      </c>
      <c r="EG333" t="str">
        <f>IFERROR(_xlfn.XLOOKUP(A333,Щиты[Щит],Щиты[Zпетли на шинах (подбор), Ом]),"")</f>
        <v/>
      </c>
      <c r="EH333" t="str">
        <f t="shared" si="739"/>
        <v/>
      </c>
      <c r="EI333">
        <f t="shared" si="740"/>
        <v>9</v>
      </c>
      <c r="EJ333">
        <f t="shared" si="741"/>
        <v>2</v>
      </c>
      <c r="EK333">
        <f t="shared" si="742"/>
        <v>0.6</v>
      </c>
      <c r="EL333" s="6">
        <f>IF(B333="","",IF(BV333=1,dU_LED,IF(IFERROR(_xlfn.XLOOKUP(BC333,Коды_код,Коды_уго),"")="Светильник",3,4)+IF(Методика="нормы 2026",MIN(0.5,MAX(0,N(P333)-100)*0.005),0)))</f>
        <v>4</v>
      </c>
      <c r="EM333" t="str" cm="1">
        <f t="array" ref="EM333">IF(OR(B333="",BZ333="",EC333&lt;&gt;1),"",_xlfn.LET(_xlpm.sz,Iдоп_S,_xlpm.t_,CHOOSE(EB333,Iдоп_1ж,Iдоп_2ж,Iдоп_3ж)*DZ333*EA333,_xlpm.dcx,BV333=1,_xlpm.inn,IF(_xlpm.dcx,N(O333),N(DT333)),_xlpm.smin,MAX(1.5,CC333),_xlpm.L_,N(P333)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333)/N(BU333)*100,999),IFERROR(N(EJ333)*(_xlpm.rho*_xlpm.L_/_xlpm.sz*N(CE333)+_xlpm.xx*_xlpm.L_*N(EK333)/1000)*N(O333)/((Uн_лин/SQRT(3))*1000)*100,999)),_xlpm.kz,IF(OR(_xlpm.dcx,DW333=1,NOT(ISNUMBER(EG333)),_xlpm.L_=0,_xlpm.inn=0),1,IFERROR(--(c_min*(Uн_лин*1000/SQRT(3))/(EG333+2*ρкз_Cu*_xlpm.L_/_xlpm.sz)&gt;=HT333*_xlpm.inn),0)),_xlpm.ok,IFERROR((_xlpm.sz&gt;=_xlpm.smin)*(_xlpm.t_&gt;=_xlpm.inn)*IF(_xlpm.L_&gt;0,(_xlpm.du_+IF(_xlpm.dcx,0,EF333)&lt;=EL333+0.00001),1)*_xlpm.kz,0),_xlpm.r_,_xlfn._xlws.FILTER(_xlpm.sz,_xlpm.ok,"не подобрано"),INDEX(_xlpm.r_,1)))</f>
        <v>не подобрано</v>
      </c>
      <c r="EN333">
        <f t="shared" si="743"/>
        <v>2.5</v>
      </c>
      <c r="EO333" cm="1">
        <f t="array" ref="EO333">IF(OR(B333="",BZ333="",EC333&lt;&gt;1),"",_xlfn.LET(_xlpm.sz,Iдоп_S,_xlpm.t_,CHOOSE(EB333,Iдоп_1ж,Iдоп_2ж,Iдоп_3ж)*DZ333*EA333,_xlpm.ok,IFERROR((_xlpm.sz&gt;=MAX(1.5,CC333))*(_xlpm.t_&gt;=N(DT333)),0),_xlpm.r_,_xlfn._xlws.FILTER(_xlpm.sz,_xlpm.ok,""),INDEX(_xlpm.r_,1)))</f>
        <v>1.5</v>
      </c>
      <c r="EP333" s="6" cm="1">
        <f t="array" ref="EP333">IFERROR(ROUNDUP(N(EJ333)*(_xlfn.XLOOKUP(EO333,INDEX(Кабель_сопротивление,0,1),INDEX(Кабель_сопротивление,0,3))*N(P333)/EO333*N(CE333)+_xlfn.XLOOKUP(EO333,INDEX(Кабель_сопротивление,0,1),INDEX(Кабель_сопротивление,0,2))*N(P333)*N(EK333)/1000)*N(O333)/((Uн_лин/SQRT(3))*1000)*100,2),"")</f>
        <v>1.7</v>
      </c>
      <c r="EQ333">
        <f>IFERROR(2*ρкз_Cu*N(P333)/EO333,"")</f>
        <v>0.42080000000000001</v>
      </c>
      <c r="ER333">
        <f>IFERROR(VLOOKUP(EN333,Кабель_сопротивление,3,FALSE),"")</f>
        <v>2.2499999999999999E-2</v>
      </c>
      <c r="ES333">
        <f>IFERROR(VLOOKUP(EN333,Кабель_сопротивление,2,FALSE),"")</f>
        <v>0.1</v>
      </c>
      <c r="ET333">
        <f t="shared" si="744"/>
        <v>9</v>
      </c>
      <c r="EU333">
        <f t="shared" si="745"/>
        <v>0</v>
      </c>
      <c r="EV333">
        <f t="shared" si="746"/>
        <v>2.3577541618031344</v>
      </c>
      <c r="EW333" s="6">
        <f>IFERROR(ROUNDUP(EV333/IF(BV333=1,BU333,(Uн_лин/SQRT(3))*1000)*100,2),"")</f>
        <v>1.03</v>
      </c>
      <c r="EX333" t="str">
        <f>IFERROR(VLOOKUP(BZ333,Кабель_обозначение,2,FALSE),"")</f>
        <v>ВВГнг(А)-LS</v>
      </c>
      <c r="EY333" t="str">
        <f t="shared" si="747"/>
        <v>ВВГнг(А)-LS (3х2,5)</v>
      </c>
      <c r="EZ333" t="str">
        <f t="shared" si="748"/>
        <v>ВВГнг(А)-LS (3х2,5)
L=12-1,03%</v>
      </c>
      <c r="FA333">
        <f>IFERROR(2*ρкз_Cu*P333/EN333,"")</f>
        <v>0.25247999999999998</v>
      </c>
      <c r="FB333">
        <f t="shared" si="749"/>
        <v>8.4000000000000005E-2</v>
      </c>
      <c r="FC333" s="6" t="str">
        <f>IFERROR(IF(OR(B333="",BV333=1,NOT(ISNUMBER(EN333)),N(P333)=0),"",_xlfn.XLOOKUP(A333,Щиты[Щит],Щиты[Zпетли на шинах, Ом])+FA333),"")</f>
        <v/>
      </c>
      <c r="FD333" s="6" t="str">
        <f>IF(ISNUMBER(FC333),c_min*(Uн_лин*1000/SQRT(3))/FC333,"")</f>
        <v/>
      </c>
      <c r="FE333" s="6" t="str">
        <f>IFERROR(IF(OR(B333="",NOT(ISNUMBER(EN333))),"",1.05*(Uн_лин*1000/SQRT(3))/(_xlfn.XLOOKUP(A333,Щиты[Щит],Щиты[Zmax на шинах, Ом])+FB333)/1000),"")</f>
        <v/>
      </c>
      <c r="FF333" s="6" t="str">
        <f>IF(B333="","",IF(ISNUMBER(AC333),"Сил",IF(IFERROR(_xlfn.XLOOKUP(BC333,Коды_код,Коды_группа)&amp;"","")="","Быт",_xlfn.XLOOKUP(BC333,Коды_код,Коды_группа)&amp;"")))</f>
        <v>Сил</v>
      </c>
      <c r="FG333" s="6" t="str">
        <f t="shared" si="750"/>
        <v>Сил</v>
      </c>
      <c r="FH333" s="6">
        <f>IF(FG333="Щит","щит",IF(FG333="","",IF(FG333="Быт",IFERROR(_xlfn.XLOOKUP(A333,Щиты[Щит],Щиты[Кс быт]),1),IF(FG333="Сил",IF(ISNUMBER(AC333),AC333,IF(Методика="нормы 2026",IFERROR(_xlfn.XLOOKUP(A333,Щиты[Щит],Щиты[Кс силовых (табл. 7.5)]),1),1)),IF(OR(FG333="Пост",FG333="Отоп"),1,IF(FG333="ВНГ",0.7,0))))))</f>
        <v>0.7</v>
      </c>
      <c r="FI333">
        <f>IF(FG333="","",IF(AND(BP333=1,TRIM(AE333&amp;"")=""),IF(COUNTIFS(Линии[Щит],A333,Линии[Секция (1/2/3)],"&gt;=2")&gt;0,MIN(3,MAX(1,IFERROR(--BD333,1))),1),IFERROR(MIN(3,MAX(1,INT(--AE333))),1)))</f>
        <v>1</v>
      </c>
      <c r="FJ333">
        <f t="shared" si="751"/>
        <v>2.5</v>
      </c>
      <c r="FK333">
        <f t="shared" si="752"/>
        <v>0</v>
      </c>
      <c r="FL333">
        <f t="shared" si="753"/>
        <v>1.75</v>
      </c>
      <c r="FM333">
        <f t="shared" si="754"/>
        <v>0</v>
      </c>
      <c r="FN333">
        <f t="shared" si="755"/>
        <v>0</v>
      </c>
      <c r="FO333">
        <f t="shared" si="756"/>
        <v>0</v>
      </c>
      <c r="FP333">
        <f t="shared" si="757"/>
        <v>2.5</v>
      </c>
      <c r="FQ333">
        <f t="shared" si="758"/>
        <v>2.5</v>
      </c>
      <c r="FR333">
        <f t="shared" si="759"/>
        <v>2</v>
      </c>
      <c r="FS333">
        <f>IF(CG333=1,IF(AND(CH333=1,CW333=1),0,IF(AND(CS333&lt;&gt;"",CS333=BA333,CW333=1),SUMIFS(Линии[_Р линии, кВт],Линии[_блок УЗО],BA333,Линии[Щит],A333),N(BS333)+IF(AJ333="вручную",0,N(CK333)))),0)</f>
        <v>2.5</v>
      </c>
      <c r="FT333" t="str">
        <f t="shared" si="760"/>
        <v>L3</v>
      </c>
      <c r="FU333" t="str">
        <f>IF(B333="","",IF(CG333=0,IF(BA333=1,"",FW332),IF(AND(CH333=1,CW333=1,CS333&lt;&gt;""),IFERROR(_xlfn.XLOOKUP(CS333,Линии[_n],Линии[_фаза итог]),"L1"),IF(OR(N(DL333)&gt;=3,N(BX333)&gt;=3),"L1,L2,L3",IFERROR(_xlfn.TEXTBEFORE(_xlfn.TEXTAFTER(_xlfn.XLOOKUP(A333,Щиты[Щит],Щиты[_фазы авто]),";"&amp;BA333&amp;":"),";"),"L1")))))</f>
        <v>L1</v>
      </c>
      <c r="FV333" t="str">
        <f t="shared" si="761"/>
        <v>L3</v>
      </c>
      <c r="FW333" t="str">
        <f t="shared" si="762"/>
        <v>L3</v>
      </c>
      <c r="FX333" cm="1">
        <f t="array" ref="FX333">IFERROR(IF(CD333=2,_xlfn.IFS(BX333=3,VLOOKUP(BS333,Справочная_двигатели,3,FALSE),BX333=1,VLOOKUP(BS333,Справочная_двигатели,5,TRUE)),0),0)</f>
        <v>0</v>
      </c>
      <c r="FY333">
        <f>IFERROR(IF(CD333=3,VLOOKUP(BS333,Справочная_ЛЭД,2,TRUE),0),0)</f>
        <v>0</v>
      </c>
      <c r="FZ333" s="6">
        <f t="shared" si="763"/>
        <v>0</v>
      </c>
      <c r="GA333" t="str">
        <f>IF(B333="","",IF(TRIM(AH333&amp;"")&lt;&gt;"",IF(LOWER(TRIM(AH333&amp;""))="да","да","нет"),IF(IFERROR(_xlfn.XLOOKUP(BC333,Коды_код,Коды_пожарная),"")="да","да","нет")))</f>
        <v>нет</v>
      </c>
      <c r="GB333" t="str">
        <f t="shared" si="764"/>
        <v/>
      </c>
      <c r="GC333" t="str">
        <f t="shared" si="765"/>
        <v>основная</v>
      </c>
      <c r="GD333">
        <f>IF(AND(BP333=1,TRIM(AE333&amp;"")=""),IF(COUNTIFS(Линии[Щит],A333,Линии[Секция (1/2/3)],"&gt;=2")&gt;0,MIN(3,MAX(1,IFERROR(--BD333,1))),1),IFERROR(MIN(3,MAX(1,INT(--AE333))),1))</f>
        <v>1</v>
      </c>
      <c r="GE333" t="str" cm="1">
        <f t="array" ref="GE333">IF(B333="","",_xlfn.LET(_xlpm.t,IFERROR(_xlfn.XLOOKUP(1,(Шины[Шина]=GC333)*(((Шины[Щит]=A333)+(Шины[Щит]=""))&gt;0),Шины[Тип]),"")&amp;"",IF(_xlpm.t&lt;&gt;"",_xlpm.t,IF(ISNUMBER(SEARCH("ИБП",GC333)),"ИБП",IF(ISNUMBER(SEARCH("ДГУ",GC333)),"ДГУ","Ввод "&amp;GD333)))))</f>
        <v>Ввод 1</v>
      </c>
      <c r="GF333" t="str">
        <f t="shared" si="766"/>
        <v>Ввод 1</v>
      </c>
      <c r="GG333" t="str">
        <f>IF(BP333=0,"",IF(TRIM(AG333&amp;"")&lt;&gt;"",TRIM(AG333&amp;""),IF(OR(GE333="ИБП",GE333="ДГУ"),"I особая",_xlfn.XLOOKUP(A333,Щиты[Щит],Щиты[Категория шины «Ввод»],"III"))))</f>
        <v/>
      </c>
      <c r="GH333" t="str">
        <f>IF(A333="","",_xlfn.XLOOKUP(A333,Щиты[Щит],Щиты[Путь],""))</f>
        <v>|ГРЩ-ЖД|ЩС-ВК.003|</v>
      </c>
      <c r="GI333" t="str">
        <f>IF(B333="","",IF(AI333&lt;&gt;"",AI333,IF(IFERROR(_xlfn.XLOOKUP(BC333,Коды_код,Коды_вид)&amp;"","")="","Прочее",_xlfn.XLOOKUP(BC333,Коды_код,Коды_вид)&amp;"")))</f>
        <v>Насосы (водоснабжение, дренаж)</v>
      </c>
      <c r="GJ333">
        <f>IF(BM333="","",INT((BM333-1)/Столбцов_на_лист)+1)</f>
        <v>1</v>
      </c>
      <c r="GK333" t="str">
        <f t="shared" si="767"/>
        <v>ВВГнг(А)-LS (3х2,5) L=12-1,03%</v>
      </c>
      <c r="GL333">
        <f t="shared" si="768"/>
        <v>2.5</v>
      </c>
      <c r="GM333">
        <f t="shared" si="769"/>
        <v>13.54</v>
      </c>
      <c r="GN333">
        <f t="shared" si="770"/>
        <v>1</v>
      </c>
      <c r="GO333">
        <f t="shared" si="771"/>
        <v>0</v>
      </c>
      <c r="GP333">
        <f t="shared" si="772"/>
        <v>1</v>
      </c>
      <c r="GQ333">
        <f>IF(BM333="","",IF(AND(CG333=1,GP333=1),COUNTIFS(A$3:A333,A333,CG$3:CG333,1,GP$3:GP333,1),IF(OR(OR(BA333=1,A333&lt;&gt;A332),AJ333="вручную",GP333=0),"",IF(BA333=1,"",GR332))))</f>
        <v>3</v>
      </c>
      <c r="GR333">
        <f t="shared" si="773"/>
        <v>3</v>
      </c>
      <c r="GS333">
        <f>IF(B333="","",IFERROR(LOOKUP(INDEX(CHOOSE(EB333,Iдоп_1ж,Iдоп_2ж,Iдоп_3ж),MATCH(EN333,Iдоп_S,0))*DZ333*EA333,{6,10,16,20,25,32,40,50,63,80,100,125,160,200,250,315,400,500,630}),""))</f>
        <v>25</v>
      </c>
      <c r="GT333" t="str">
        <f t="shared" si="774"/>
        <v>QF3</v>
      </c>
      <c r="GU333" t="str">
        <f t="shared" si="775"/>
        <v>QF3</v>
      </c>
      <c r="GV333" t="str">
        <f t="shared" si="776"/>
        <v/>
      </c>
      <c r="GW333">
        <f t="shared" si="777"/>
        <v>0</v>
      </c>
      <c r="GX333" t="str">
        <f>IF(OR(B333="",DJ333=""),"",IFERROR(_xlfn.XLOOKUP(DJ333,Модули_умолч[Управление],Модули_умолч[Модель])&amp;"",""))</f>
        <v/>
      </c>
      <c r="GY333">
        <f>IF(DJ333="",1,IFERROR(MAX(0,N(_xlfn.XLOOKUP(DJ333,Модули_умолч[Управление],Модули_умолч[Каналов на линию]))),1))</f>
        <v>1</v>
      </c>
      <c r="GZ333" t="str">
        <f t="shared" si="778"/>
        <v/>
      </c>
      <c r="HA333" t="str">
        <f t="shared" si="779"/>
        <v/>
      </c>
      <c r="HB333" t="str">
        <f t="shared" si="780"/>
        <v/>
      </c>
      <c r="HC333">
        <f>IF(HB333="",0,IFERROR(N(VLOOKUP(HB333,Модули_спр,3,FALSE)),0))</f>
        <v>0</v>
      </c>
      <c r="HD333" t="str">
        <f t="shared" si="781"/>
        <v/>
      </c>
      <c r="HE333" t="str">
        <f t="shared" si="782"/>
        <v/>
      </c>
      <c r="HF333" t="str">
        <f>IF(OR(HE333="",HE333="-"),"",IFERROR(VLOOKUP(HE333,Модули_спр,2,FALSE),"R"))</f>
        <v/>
      </c>
      <c r="HG333" t="str">
        <f>IF(HF333="","",HF333&amp;"."&amp;COUNTIFS(A$3:A333,A333,HF$3:HF333,HF333))</f>
        <v/>
      </c>
      <c r="HH333" t="str">
        <f t="shared" si="783"/>
        <v/>
      </c>
      <c r="HI333" t="str">
        <f t="shared" si="784"/>
        <v/>
      </c>
      <c r="HJ333" t="str">
        <f t="shared" si="785"/>
        <v/>
      </c>
      <c r="HK333" t="str">
        <f t="shared" si="786"/>
        <v/>
      </c>
      <c r="HL333">
        <f t="shared" si="787"/>
        <v>1</v>
      </c>
      <c r="HM333" t="str">
        <f>IF(HL333=1,"XT"&amp;COUNTIFS(A$3:A333,A333,HL$3:HL333,1),"")</f>
        <v>XT3</v>
      </c>
      <c r="HN333" t="str">
        <f t="shared" si="788"/>
        <v>XT3</v>
      </c>
      <c r="HO333" t="str">
        <f t="shared" si="789"/>
        <v>QF3</v>
      </c>
      <c r="HP333" t="str">
        <f t="shared" si="790"/>
        <v/>
      </c>
      <c r="HQ333" t="str">
        <f t="shared" si="791"/>
        <v>ok</v>
      </c>
      <c r="HR333" t="str">
        <f>IF(OR(HJ333="",HH333=""),"",IF(HJ333+MAX(0,GY333-1)&gt;IFERROR(VLOOKUP(HI333,Модули_спр,3,FALSE),99),"ЛИШНИЙ КАНАЛ",IF(AND(AL333&lt;&gt;"=",GY333&gt;0,COUNTIFS(Линии[_модуль гр.],HH333,Линии[Канал (итог)],HJ333,Линии[Канал],"&lt;&gt;=",Линии[Щит],A333)&gt;1),"ДУБЛЬ КАНАЛА","")))</f>
        <v/>
      </c>
      <c r="HS333" s="6" t="str">
        <f t="shared" si="792"/>
        <v/>
      </c>
      <c r="HT333">
        <f t="shared" si="793"/>
        <v>10</v>
      </c>
      <c r="HU333" t="str">
        <f t="shared" si="794"/>
        <v/>
      </c>
      <c r="HV333">
        <f t="shared" si="795"/>
        <v>5.5326587736527406</v>
      </c>
      <c r="HW333">
        <f t="shared" si="796"/>
        <v>0</v>
      </c>
      <c r="HX333">
        <f t="shared" si="797"/>
        <v>0</v>
      </c>
      <c r="HY333">
        <f t="shared" si="798"/>
        <v>0</v>
      </c>
      <c r="HZ333">
        <f t="shared" si="799"/>
        <v>0</v>
      </c>
      <c r="IA333">
        <f t="shared" si="800"/>
        <v>0</v>
      </c>
      <c r="IB333">
        <f t="shared" si="801"/>
        <v>0</v>
      </c>
      <c r="IC333" t="str">
        <f t="shared" si="802"/>
        <v/>
      </c>
      <c r="ID333" t="str" cm="1">
        <f t="array" ref="ID333">IF(IC333="","",_xlfn.LET(_xlpm.tk,_xlfn.TEXTSPLIT(SUBSTITUTE(SUBSTITUTE(IC333,";"," "),"→"," ")," ",,TRUE),_xlpm.w_,_xlfn._xlws.FILTER(_xlpm.tk,ISNUMBER(--LEFT(_xlpm.tk,1))*((ISNUMBER(SEARCH("W",_xlpm.tk))+ISNUMBER(SEARCH("Вт",_xlpm.tk)))&gt;0),""),IFERROR(--SUBSTITUTE(SUBSTITUTE(UPPER(INDEX(_xlpm.w_,1)),"W",""),"ВТ",""),"")))</f>
        <v/>
      </c>
      <c r="IE333" t="str" cm="1">
        <f t="array" ref="IE333">IF(IC333="","",_xlfn.LET(_xlpm.tk,_xlfn.TEXTSPLIT(SUBSTITUTE(SUBSTITUTE(IC333,";"," "),"→"," ")," ",,TRUE),_xlpm.v_,_xlfn._xlws.FILTER(_xlpm.tk,ISNUMBER(--LEFT(_xlpm.tk,1))*((ISNUMBER(SEARCH("V",_xlpm.tk))+(RIGHT(UPPER(_xlpm.tk))="В"))&gt;0),""),IFERROR(--SUBSTITUTE(SUBSTITUTE(UPPER(INDEX(_xlpm.v_,1)),"V",""),"В",""),"")))</f>
        <v/>
      </c>
      <c r="IF333" s="6" t="str">
        <f>IF(OR(BV333=0,HI333="",HJ333=""),"",IFERROR(N(_xlfn.XLOOKUP(HI333,Каталог!$C$4:$C$500,Каталог!$Q$4:$Q$500)),""))</f>
        <v/>
      </c>
      <c r="IG333" s="6" t="str">
        <f>IF(N(IF333)=0,"",SUMIFS(Линии[Iр, А],Линии[Щит],A333,Линии[_модуль гр.],HH333,Линии[Канал (итог)],HJ333))</f>
        <v/>
      </c>
      <c r="IH333" t="str">
        <f>IF(AND(B333="",HO333=""),"",_xlfn.TEXTJOIN("; ",TRUE,IF(AND(B333&lt;&gt;"",FV333=""),"нет фазы",""),IF(AND(B333&lt;&gt;"",N(GL333)=0,FG333&lt;&gt;"Нет"),"нет мощности",""),IF(AND(HN333&lt;&gt;"",COUNTIFS(Линии[Щит],A333,Линии[Клемма (итог)],HN333)&gt;1),"дубль клеммы "&amp;HN333,""),IF(AND(HQ333&lt;&gt;"",HQ333&lt;&gt;"ok"),HQ333,""),IF(HR333&lt;&gt;"",HR333,""),IF(AND(N(CB333)&gt;=4,N(BX333)=1),CB333&amp;" жил на 1 фазе",""),IF(AND(BC333="R",CG333=1,IF(CS333&lt;&gt;"",N(CV333)&gt;30,OR(N(DA333)=0,N(DA333)&gt;30))),"розетка без дифзащиты до 30 мА",""),IF(AND(CG333=1,N(DA333)&gt;0,ISNUMBER(T333)),IF(T333&gt;N(DA333)/3,"ток утечки "&amp;FIXED(T333,1)&amp;" мА &gt; 1/3 уставки ("&amp;DA333&amp;" мА)",""),""),IF(AND(CH333=1,CS333=""),"«узо»: нет строки с УЗО выше (УЗО 2P 40А 30мА в «Аппаратах»)",""),IF(AND(CS333&lt;&gt;"",CS333=BA333),IF(CT333="","впишите номинал УЗО (УЗО 2P 40А 30мА)",IF(N(CT333)&lt;N(DT333),"УЗО "&amp;CT333&amp;" А &lt; автомата "&amp;DT333&amp;" А перед ним",IF(N(CT333)&lt;N(CX333),"УЗО "&amp;CT333&amp;" А &lt; тока блока "&amp;FIXED(CX333,1)&amp;" А",""))),""),IF(AND(CS333&lt;&gt;"",CS333=BA333,ISNUMBER(CY333)),IF(CY333&gt;N(CV333)/3,"ток утечки блока УЗО "&amp;FIXED(CY333,1)&amp;" мА &gt; 1/3 уставки ("&amp;CV333&amp;" мА)",""),""),IF(AND(CG333=1,N(BV333)+N(IB333)&gt;0,IC333=""),"линии до 50 В без БП: впишите в «Аппараты» (БП 24V 480W)",""),IF(AND(CG333=1,ISNUMBER(ID333),ISNUMBER(U333)),IF(U333&gt;ID333,"БП "&amp;ID333&amp;" Вт &lt; нужно "&amp;U333&amp;" Вт (×"&amp;Запас_БП&amp;")",""),""),IF(AND(CG333=1,ISNUMBER(IE333),N(BV333)=1),IF(IE333&lt;&gt;N(BU333),"БП на "&amp;IE333&amp;" В, линия "&amp;BU333&amp;" В",""),""),IF(AND(N(IF333)&gt;0,N(IG333)&gt;N(IF333)),HH333&amp;" канал "&amp;HJ333&amp;": "&amp;FIXED(IG333,1)&amp;" А &gt; "&amp;IF333&amp;" А",""),IFERROR(IF(AND(ISNUMBER(Q333),Q333&gt;EL333),"потери "&amp;FIXED(Q333,1)&amp;" % &gt; "&amp;EL333&amp;" %",""),""),IFERROR(IF(LEFT(HU333,4)="мало","Iкз мало — отключение &gt; 0,4 с",""),""),IF(AND(B333&lt;&gt;"",BM333=""),"не на схеме",""),IF(AND(CG333=0,B333&lt;&gt;"",FV333&lt;&gt;"",IF(BA333=1,"",FW332)&lt;&gt;"",FV333&lt;&gt;IF(BA333=1,"",FW332)),"фаза не как у автомата группы ("&amp;IF(BA333=1,"",FW332)&amp;")","")))</f>
        <v>потери 4,5 % &gt; 4 %</v>
      </c>
      <c r="II333" s="6">
        <f>IF(OR(CG333=0,DQ333=""),"",_xlfn.LET(_xlpm.t,IFERROR(_xlfn.XLOOKUP(DQ333,Каталог!$U$4:$U$500,Каталог!$G$4:$G$500),""),_xlpm.k,SEARCH("кА",_xlpm.t),IFERROR(--TRIM(RIGHT(SUBSTITUTE(MID(_xlpm.t,MAX(1,_xlpm.k-4),_xlpm.k-MAX(1,_xlpm.k-4))," ",REPT(" ",9)),5)),"")))</f>
        <v>6</v>
      </c>
      <c r="IJ333" t="str">
        <f>IF(OR(II333="",CG333=0),"",IF(_xlfn.XLOOKUP(A333,Щиты[Щит],Щиты[Iкз max на шинах, кА],"")="","",IF(II333&lt;_xlfn.XLOOKUP(A333,Щиты[Щит],Щиты[Iкз max на шинах, кА]),"Icu "&amp;II333&amp;" кА &lt; Iкз max","ok")))</f>
        <v/>
      </c>
      <c r="IK333" t="str">
        <f t="shared" si="803"/>
        <v/>
      </c>
      <c r="IL333" t="str">
        <f t="shared" si="804"/>
        <v>QF3|XT3</v>
      </c>
      <c r="IM333" t="str">
        <f t="shared" si="805"/>
        <v>QF3|XT3|кабель ВВГнг(А)-LS (3х2,5) → Жироулавливатель Подвальный этаж Пом. №006Т</v>
      </c>
      <c r="IN333" t="str" cm="1">
        <f t="array" ref="IN333">IF(IM333="","",_xlfn.LET(_xlpm.nd,_xlfn.TEXTSPLIT(IM333,"|"),IF(COLUMNS(_xlpm.nd)&gt;1,A333&amp;"¦"&amp;INDEX(_xlpm.nd,1)&amp;"¦"&amp;INDEX(_xlpm.nd,2),"")))</f>
        <v>ЩС-ВК.003¦QF3¦XT3</v>
      </c>
      <c r="IO333" t="str">
        <f t="shared" si="806"/>
        <v>ЖУ.1¦Жироулавливатель Подвальный этаж Пом. №006Т</v>
      </c>
      <c r="IP333" t="str" cm="1">
        <f t="array" ref="IP333">IF(IM333="","",_xlfn.LET(_xlpm.nd,_xlfn.TEXTSPLIT(IM333,"|"),IF(COLUMNS(_xlpm.nd)&gt;2,A333&amp;"¦"&amp;INDEX(_xlpm.nd,2)&amp;"¦"&amp;INDEX(_xlpm.nd,3),"")))</f>
        <v>ЩС-ВК.003¦XT3¦кабель ВВГнг(А)-LS (3х2,5) → Жироулавливатель Подвальный этаж Пом. №006Т</v>
      </c>
      <c r="IQ333" t="str">
        <f t="shared" si="807"/>
        <v>ЖУ.1¦Жироулавливатель Подвальный этаж Пом. №006Т</v>
      </c>
      <c r="IR333" t="str" cm="1">
        <f t="array" ref="IR333">IF(IM333="","",_xlfn.LET(_xlpm.nd,_xlfn.TEXTSPLIT(IM333,"|"),IF(COLUMNS(_xlpm.nd)&gt;3,A333&amp;"¦"&amp;INDEX(_xlpm.nd,3)&amp;"¦"&amp;INDEX(_xlpm.nd,4),"")))</f>
        <v/>
      </c>
      <c r="IS333" t="str">
        <f t="shared" si="808"/>
        <v/>
      </c>
      <c r="IT333" t="str" cm="1">
        <f t="array" ref="IT333">IF(IM333="","",_xlfn.LET(_xlpm.nd,_xlfn.TEXTSPLIT(IM333,"|"),IF(COLUMNS(_xlpm.nd)&gt;4,A333&amp;"¦"&amp;INDEX(_xlpm.nd,4)&amp;"¦"&amp;INDEX(_xlpm.nd,5),"")))</f>
        <v/>
      </c>
      <c r="IU333" t="str">
        <f t="shared" si="809"/>
        <v/>
      </c>
      <c r="IV333" t="str" cm="1">
        <f t="array" ref="IV333">IF(IM333="","",_xlfn.LET(_xlpm.nd,_xlfn.TEXTSPLIT(IM333,"|"),IF(COLUMNS(_xlpm.nd)&gt;5,A333&amp;"¦"&amp;INDEX(_xlpm.nd,5)&amp;"¦"&amp;INDEX(_xlpm.nd,6),"")))</f>
        <v/>
      </c>
      <c r="IW333" t="str">
        <f t="shared" si="810"/>
        <v/>
      </c>
      <c r="IX333" t="str" cm="1">
        <f t="array" ref="IX333">IF(IM333="","",_xlfn.LET(_xlpm.nd,_xlfn.TEXTSPLIT(IM333,"|"),IF(COLUMNS(_xlpm.nd)&gt;6,A333&amp;"¦"&amp;INDEX(_xlpm.nd,6)&amp;"¦"&amp;INDEX(_xlpm.nd,7),"")))</f>
        <v/>
      </c>
      <c r="IY333" t="str">
        <f t="shared" si="811"/>
        <v/>
      </c>
      <c r="IZ333" t="str">
        <f t="shared" si="812"/>
        <v/>
      </c>
      <c r="JA333" t="str">
        <f t="shared" si="813"/>
        <v>QF3 → XT3</v>
      </c>
      <c r="JB333">
        <f t="shared" si="814"/>
        <v>0</v>
      </c>
      <c r="JC333">
        <f t="shared" si="815"/>
        <v>0</v>
      </c>
      <c r="JD333" t="str">
        <f t="shared" si="816"/>
        <v/>
      </c>
      <c r="JE333" t="str">
        <f t="shared" si="817"/>
        <v/>
      </c>
      <c r="JF333" t="str">
        <f t="shared" si="818"/>
        <v/>
      </c>
      <c r="JG333" t="str">
        <f t="shared" si="819"/>
        <v/>
      </c>
      <c r="JH333">
        <f>IF(B333="","",IFERROR(_xlfn.XLOOKUP(B333,Коды_код,Коды_уго),IFERROR(_xlfn.XLOOKUP(BC333,Коды_код,Коды_уго),IFERROR(_xlfn.XLOOKUP(LEFT(BC333,2),Коды_код,Коды_уго),""))))</f>
        <v>0</v>
      </c>
      <c r="JI333" t="str">
        <f>IF(B333="","",IF(OR(JH333="",JH333=0),"BOX",IFERROR(IF(VLOOKUP(JH333,УГО_блоки,3,FALSE)&amp;""&lt;&gt;"",VLOOKUP(JH333,УГО_блоки,3,FALSE),VLOOKUP(JH333,УГО_блоки,2,FALSE)),JH333)))</f>
        <v>BOX</v>
      </c>
      <c r="JJ333">
        <f t="shared" si="820"/>
        <v>1</v>
      </c>
      <c r="JK333" t="str">
        <f>IF(DQ333="","",IF(COUNTIF(DQ$3:DQ333,DQ333)=1,MAX(JK$2:JK332)+1,""))</f>
        <v/>
      </c>
      <c r="JL333" t="str">
        <f>IF(DE333="","",IF(COUNTIF(DE$3:DE333,DE333)+COUNTIF(DF$2:DF332,DE333)+COUNTIF(DG$2:DG332,DE333)=1,MAX(JL$2:JN332)+1,""))</f>
        <v/>
      </c>
      <c r="JM333" t="str">
        <f>IF(DF333="","",IF(COUNTIF(DE$3:DE333,DF333)+COUNTIF(DF$3:DF333,DF333)+COUNTIF(DG$2:DG332,DF333)=1,MAX(JL$2:JN332,JL333)+1,""))</f>
        <v/>
      </c>
      <c r="JN333" t="str">
        <f>IF(DG333="","",IF(COUNTIF(DE$3:DE333,DG333)+COUNTIF(DF$3:DF333,DG333)+COUNTIF(DG$3:DG333,DG333)=1,MAX(JL$2:JN332,JL333,JM333)+1,""))</f>
        <v/>
      </c>
      <c r="JO333" t="str">
        <f t="shared" si="821"/>
        <v>3х2,5</v>
      </c>
      <c r="JP333" t="str">
        <f>IF(JO333="","",IF(COUNTIF(JO$3:JO333,JO333)=1,MAX(JP$2:JP332)+1,""))</f>
        <v/>
      </c>
      <c r="JQ333" t="str">
        <f>IF(HG333="","",COUNTIF(HG$3:HG333,"?*"))</f>
        <v/>
      </c>
      <c r="JR333" t="str">
        <f>IF(OR(HG333="",HI333=""),"",IF(COUNTIFS(HG$3:HG333,"?*",HI$3:HI333,HI333)=1,MAX(JR$2:JR332)+1,""))</f>
        <v/>
      </c>
      <c r="JS333">
        <f t="shared" si="822"/>
        <v>1</v>
      </c>
      <c r="JT333">
        <f>IF(B333="","",COUNTIF(B$3:B333,"?*"))</f>
        <v>331</v>
      </c>
      <c r="JU333">
        <f>IF(HL333&lt;&gt;1,0,_xlfn.LET(_xlpm.k,MAX(IFERROR(--_xlfn.XLOOKUP(B333,Коды_код,Коды_3L),0),IFERROR(--_xlfn.XLOOKUP(BC333,Коды_код,Коды_3L),0),IFERROR(--_xlfn.XLOOKUP(LEFT(BC333,2),Коды_код,Коды_3L),0)),IF(_xlpm.k&gt;0,_xlpm.k,IF(IFERROR(--LEFT(SUBSTITUTE(JO333,"x","х"),FIND("х",SUBSTITUTE(JO333,"x","х"))-1),3)&gt;3,Каталог!$S$9,1))))</f>
        <v>1</v>
      </c>
      <c r="JV333">
        <f t="shared" si="823"/>
        <v>0</v>
      </c>
      <c r="JW333" t="str">
        <f t="shared" si="824"/>
        <v>авто</v>
      </c>
      <c r="JX333" t="str">
        <f t="shared" si="825"/>
        <v/>
      </c>
      <c r="JY333">
        <f t="shared" si="826"/>
        <v>0</v>
      </c>
      <c r="JZ333">
        <f t="shared" si="827"/>
        <v>1</v>
      </c>
    </row>
    <row r="334" spans="1:286" x14ac:dyDescent="0.3">
      <c r="A334" t="s">
        <v>767</v>
      </c>
      <c r="B334" t="s">
        <v>1635</v>
      </c>
      <c r="C334" t="s">
        <v>1732</v>
      </c>
      <c r="D334">
        <v>1</v>
      </c>
      <c r="E334">
        <v>0.64</v>
      </c>
      <c r="G334">
        <v>16</v>
      </c>
      <c r="H334" t="str">
        <f>Линии[[#This Row],[_авто управление]]</f>
        <v/>
      </c>
      <c r="I334" t="str">
        <f>Линии[[#This Row],[_авто аппараты]]</f>
        <v/>
      </c>
      <c r="J334">
        <v>2.5</v>
      </c>
      <c r="K334">
        <v>28</v>
      </c>
      <c r="L334">
        <v>3</v>
      </c>
      <c r="M334" t="str">
        <f>Линии[[#This Row],[_авто клемма]]</f>
        <v>XT4</v>
      </c>
      <c r="N334" t="str">
        <f t="shared" si="690"/>
        <v>потери 4,1 % &gt; 4 %</v>
      </c>
      <c r="O334" s="6" cm="1">
        <f t="array" ref="O334">IF(B334="","",IF(BH334&lt;&gt;"",IFERROR(_xlfn.XLOOKUP(BH334,Щиты[Щит],Щиты[Iр, А]),""),IF(BP334=1,IF(OR(N(_xlfn.XLOOKUP(A334,Щиты[Щит],Щиты[Вводов],1))&lt;=1,LOWER(TRIM(_xlfn.XLOOKUP(A334,Щиты[Щит],Щиты[АВР],"")&amp;""))="да"),IFERROR(_xlfn.XLOOKUP(A334,Щиты[Щит],Щиты[Iр, А]),""),IFERROR(N(BS334)*_xlfn.XLOOKUP(A334,Щиты[Щит],Щиты[Кс итог])/(SQRT(3)*Uн_лин*_xlfn.XLOOKUP(A334,Щиты[Щит],Щиты[cos φ])),"")),IF(BV334=1,IFERROR(BS334*1000/BU334,""),IFERROR(_xlfn.IFS(BX334=1,BS334/((Uн_лин/SQRT(3))*CE334),BX334=3,BS334/(SQRT(3)*Uн_лин*CE334)),"")))))</f>
        <v>3.4641016151377539</v>
      </c>
      <c r="P334" s="7">
        <f>IF(B334="","",IFERROR(IF(VLOOKUP(BC334,Потребители_обозначение,4,FALSE)=1,VLOOKUP(BC334,Потребители_обозначение,3,FALSE)*(MAX(1,N(D334))*2-1)+EI334+VLOOKUP(BE334,Этаж_обозначение,3,FALSE)+VLOOKUP(BE334,Этаж_обозначение,4,FALSE),VLOOKUP(BC334,Потребители_обозначение,3,FALSE)*(MAX(1,N(D334))*2-1)+EI334),EI334))</f>
        <v>31</v>
      </c>
      <c r="Q334" s="6">
        <f t="shared" si="691"/>
        <v>4.12</v>
      </c>
      <c r="R334" t="str">
        <f t="shared" si="692"/>
        <v>ВВГнг(А)-LS (3х2,5)</v>
      </c>
      <c r="S334" t="str">
        <f>IF(BM334="","",IF(BN334="вводной узел","узел ","")&amp;"л."&amp;(INT((BM334-1)/Столбцов_на_лист)+1)&amp;" / "&amp;(MOD(BM334-1,Столбцов_на_лист)+1))</f>
        <v>л.1 / 15</v>
      </c>
      <c r="T334" s="119">
        <f t="shared" si="693"/>
        <v>1.7</v>
      </c>
      <c r="U334" s="7" t="str">
        <f>IF(OR(CG334=0,N(BV334)+N(IB334)=0),"",ROUNDUP(Запас_БП*(N(HY334)+N(HZ334)),0))</f>
        <v/>
      </c>
      <c r="V334" s="119" t="str">
        <f t="shared" si="694"/>
        <v/>
      </c>
      <c r="W334" s="7" t="str">
        <f>IFERROR(IF(OR(B334="",BP334=1,BV334=1,NOT(ISNUMBER(EN334)),N(DT334)=0),"",MAX(0,ROUNDDOWN((c_min*(Uн_лин*1000/SQRT(3))/(HT334*N(DT334))-_xlfn.XLOOKUP(A334,Щиты[Щит],Щиты[Zпетли на шинах, Ом]))*EN334/(2*ρкз_Cu),0))),"")</f>
        <v/>
      </c>
      <c r="Y334">
        <f>Линии[[#This Row],[_авто утечка]]</f>
        <v>30</v>
      </c>
      <c r="Z334">
        <v>1</v>
      </c>
      <c r="AA334">
        <v>230</v>
      </c>
      <c r="AB334" t="s">
        <v>598</v>
      </c>
      <c r="AC334">
        <v>0.7</v>
      </c>
      <c r="AG334" t="s">
        <v>810</v>
      </c>
      <c r="AI334" t="s">
        <v>561</v>
      </c>
      <c r="AK334" t="str">
        <f>Линии[[#This Row],[_авто модуль]]</f>
        <v/>
      </c>
      <c r="AM334">
        <v>15</v>
      </c>
      <c r="AN334" t="s">
        <v>11</v>
      </c>
      <c r="AO334">
        <v>3</v>
      </c>
      <c r="AQ334">
        <v>13</v>
      </c>
      <c r="AR334">
        <v>15</v>
      </c>
      <c r="AS334">
        <v>0</v>
      </c>
      <c r="BA334" cm="1">
        <f t="array" ref="BA334">ROW()-ROW(Линии[#Headers])</f>
        <v>332</v>
      </c>
      <c r="BC334" s="6" t="str">
        <f t="shared" si="695"/>
        <v>R</v>
      </c>
      <c r="BD334" t="str">
        <f t="shared" si="696"/>
        <v>00.002Б.3</v>
      </c>
      <c r="BE334" t="str">
        <f t="shared" si="697"/>
        <v>00</v>
      </c>
      <c r="BF334" t="str">
        <f t="shared" si="698"/>
        <v>002Б.3</v>
      </c>
      <c r="BG334" t="str">
        <f t="shared" si="699"/>
        <v>002Б</v>
      </c>
      <c r="BH334" t="str">
        <f>IF(X334&lt;&gt;"",X334,IF(AND(B334&lt;&gt;"",B334&lt;&gt;A334,ISNUMBER(_xlfn.XMATCH(B334,Щиты[Щит]))),B334,""))</f>
        <v/>
      </c>
      <c r="BI334" t="str" cm="1">
        <f t="array" ref="BI334">IF(B334="","",IF(BH334&lt;&gt;"","Щит "&amp;BH334,_xlfn.LET(_xlpm.nm,IFERROR(_xlfn.XLOOKUP(BC334,Коды_код,Коды_имя)&amp;"",""),_xlpm.md,IFERROR(N(_xlfn.XLOOKUP(BC334,Коды_код,Коды_режим)),1),_xlpm.ex,IF(Имя_режим="по экспликации",IFERROR(_xlfn.XLOOKUP(BE334&amp;"|"&amp;BG334,Экспликация[Этаж]&amp;"|"&amp;Экспликация[Помещение],Экспликация[Название])&amp;"",""),""),_xlpm.rm,IF(BG334="","",IF(_xlpm.ex&lt;&gt;"",". "&amp;_xlpm.ex&amp;IF(Имя_пом="нет"," ("&amp;BG334&amp;")"," (пом. "&amp;BG334&amp;")"),IF(Имя_пом="нет"," ",", пом. ")&amp;BG334)),IF(_xlpm.nm="","",IF(_xlpm.md=2,_xlpm.nm&amp;" шлейф "&amp;BE334,_xlpm.nm&amp;_xlpm.rm)))))</f>
        <v>Розеточная группа, пом. 002Б</v>
      </c>
      <c r="BJ334" t="str">
        <f t="shared" si="700"/>
        <v>Сололифт Подвальный этаж Пом. №002Б</v>
      </c>
      <c r="BK334">
        <f>IFERROR(_xlfn.XMATCH(A334,Щиты[Щит]),0)</f>
        <v>15</v>
      </c>
      <c r="BL334">
        <f>_xlfn.LET(_xlpm.k,IFERROR(_xlfn.XLOOKUP(A334,Щиты[Щит],Щиты[Мест под вводной узел]),""),IF(_xlpm.k="",Столбцов_на_лист,N(_xlpm.k)))</f>
        <v>11</v>
      </c>
      <c r="BM334">
        <f t="shared" si="701"/>
        <v>15</v>
      </c>
      <c r="BN334" t="str">
        <f t="shared" si="702"/>
        <v>линии</v>
      </c>
      <c r="BO334" s="6">
        <f>IFERROR(N(_xlfn.XLOOKUP(BC334,Коды_код,Коды_квт)),0)</f>
        <v>0</v>
      </c>
      <c r="BP334">
        <f t="shared" si="703"/>
        <v>0</v>
      </c>
      <c r="BQ334" t="str">
        <f>IF(B334="","",IF(BH334&lt;&gt;"",IFERROR(_xlfn.XLOOKUP(BH334,Щиты[Щит],Щиты[Руст, кВт]),0),IF(BP334=1,IF(OR(N(_xlfn.XLOOKUP(A334,Щиты[Щит],Щиты[Вводов],1))&lt;=1,LOWER(TRIM(_xlfn.XLOOKUP(A334,Щиты[Щит],Щиты[АВР],"")&amp;""))="да"),IFERROR(_xlfn.XLOOKUP(A334,Щиты[Щит],Щиты[Руст, кВт]),0),SUMIFS(Линии[_Р для вводов],Линии[Щит],A334,Линии[Источник для режимов],GF334)),IF(BO334&gt;0,ROUND(BO334*MAX(1,N(D334)),3),""))))</f>
        <v/>
      </c>
      <c r="BR334">
        <f t="shared" si="704"/>
        <v>0.64</v>
      </c>
      <c r="BS334" s="6">
        <f>IF(B334="","",IF(BH334&lt;&gt;"",IFERROR(_xlfn.XLOOKUP(BH334,Щиты[Щит],Щиты[Руст, кВт]),0),N(BR334)))</f>
        <v>0.64</v>
      </c>
      <c r="BT334" t="str">
        <f>IF(B334="","",IFERROR(IF(VLOOKUP(BC334,Потребители_обозначение,8,FALSE)=0,"",VLOOKUP(BC334,Потребители_обозначение,8,FALSE)),""))</f>
        <v/>
      </c>
      <c r="BU334">
        <f t="shared" si="705"/>
        <v>230</v>
      </c>
      <c r="BV334">
        <f t="shared" si="706"/>
        <v>0</v>
      </c>
      <c r="BW334">
        <f>IF(B334="","",IF(BH334&lt;&gt;"",3,IFERROR(IF(N(VLOOKUP(BC334,Потребители_обозначение,9,FALSE))=0,1,VLOOKUP(BC334,Потребители_обозначение,9,FALSE)),1)))</f>
        <v>1</v>
      </c>
      <c r="BX334">
        <f t="shared" si="707"/>
        <v>1</v>
      </c>
      <c r="BY334" t="str">
        <f>IF(B334="","",_xlfn.LET(_xlpm.bc,IFERROR(IF(VLOOKUP(BC334,Потребители_обозначение,6,FALSE)=0,"",VLOOKUP(BC334,Потребители_обозначение,6,FALSE)&amp;""),""),IF(AND(GA334="да",OR(_xlpm.bc="",_xlpm.bc="мс")),Марка_пож,IF(AND(_xlpm.bc="",BH334&lt;&gt;""),"мс",_xlpm.bc))))</f>
        <v/>
      </c>
      <c r="BZ334" t="str">
        <f t="shared" si="708"/>
        <v>мс</v>
      </c>
      <c r="CA334">
        <f>IF(B334="","",_xlfn.LET(_xlpm.cc,IFERROR(N(VLOOKUP(BC334,Потребители_обозначение,7,FALSE)),0),IF(_xlpm.cc&gt;0,_xlpm.cc,IF(BZ334="","",IF(BV334=1,2,IF(N(BX334)=3,5,3))))))</f>
        <v>3</v>
      </c>
      <c r="CB334">
        <f t="shared" si="709"/>
        <v>3</v>
      </c>
      <c r="CC334">
        <f>IFERROR(N(VLOOKUP(BC334,Потребители_обозначение,10,FALSE)),0)</f>
        <v>0</v>
      </c>
      <c r="CD334">
        <f>IFERROR(VLOOKUP(BC334,Потребители_обозначение,5,FALSE),0)</f>
        <v>1</v>
      </c>
      <c r="CE334" s="6" cm="1">
        <f t="array" ref="CE334">IF(B334="","",IF(BH334&lt;&gt;"",IFERROR(_xlfn.XLOOKUP(BH334,Щиты[Щит],Щиты[cos φ]),0.95),IF(BP334=1,IFERROR(_xlfn.XLOOKUP(A334,Щиты[Щит],Щиты[cos φ]),0.95),IF(ISNUMBER(AD334),AD334,IFERROR(IF(CD334=2,_xlfn.IFS(BX334=3,VLOOKUP(BS334,Справочная_двигатели,8,FALSE),BX334=1,VLOOKUP(BS334,Справочная_двигатели,10,TRUE)),IF(AND(Методика="нормы 2026",FG334="Сил"),0.8,0.95)),0.95)))))</f>
        <v>0.8</v>
      </c>
      <c r="CF334">
        <f t="shared" si="710"/>
        <v>0</v>
      </c>
      <c r="CG334">
        <f t="shared" si="711"/>
        <v>1</v>
      </c>
      <c r="CH334">
        <f t="shared" si="712"/>
        <v>0</v>
      </c>
      <c r="CI334">
        <f>IF(B334="","",IF(BV334=1,IFERROR(BS334/((Uн_лин/SQRT(3))*MAX(0.5,N(CE334))),0),N(O334)))</f>
        <v>3.4641016151377539</v>
      </c>
      <c r="CJ334">
        <f t="shared" si="713"/>
        <v>0</v>
      </c>
      <c r="CK334">
        <f t="shared" si="714"/>
        <v>0</v>
      </c>
      <c r="CL334">
        <f t="shared" si="715"/>
        <v>0</v>
      </c>
      <c r="CM334">
        <f t="shared" si="716"/>
        <v>0</v>
      </c>
      <c r="CN334">
        <f t="shared" si="717"/>
        <v>0</v>
      </c>
      <c r="CO334">
        <f>IF(BC334="",0,_xlfn.LET(_xlpm.v,IFERROR(_xlfn.XLOOKUP(B334,Коды_код,Коды_мА),IFERROR(_xlfn.XLOOKUP(BC334,Коды_код,Коды_мА),IFERROR(_xlfn.XLOOKUP(LEFT(BC334,2),Коды_код,Коды_мА),""))),IF(_xlpm.v="да",30,IF(ISNUMBER(_xlpm.v),_xlpm.v,0))))</f>
        <v>30</v>
      </c>
      <c r="CP334">
        <f t="shared" si="718"/>
        <v>30</v>
      </c>
      <c r="CQ334" t="str">
        <f>_xlfn.LET(_xlpm.k,IFERROR(_xlfn.XLOOKUP(BC334,Коды_код,Коды_утечка)&amp;"",""),IF(_xlpm.k="","дифавтомат",_xlpm.k))</f>
        <v>дифавтомат</v>
      </c>
      <c r="CR334" t="str" cm="1">
        <f t="array" ref="CR334">IF(CG334=0,"",_xlfn.LET(_xlpm.sg,TRIM(_xlfn.TEXTSPLIT(DD334&amp;"",";")),_xlpm.f_,_xlfn._xlws.FILTER(_xlpm.sg,LEFT(_xlpm.sg,3)="УЗО",""),IFERROR(INDEX(_xlpm.f_,1)&amp;"","")))</f>
        <v/>
      </c>
      <c r="CS334" t="str">
        <f t="shared" si="719"/>
        <v/>
      </c>
      <c r="CT334" s="6" t="str" cm="1">
        <f t="array" ref="CT334">IF(CR334="","",_xlfn.LET(_xlpm.tk,_xlfn.TEXTSPLIT(UPPER(CR334)," ",,TRUE),_xlpm.a_,_xlfn._xlws.FILTER(_xlpm.tk,ISNUMBER(--LEFT(_xlpm.tk,1))*((ISNUMBER(SEARCH("А",_xlpm.tk))+ISNUMBER(SEARCH("A",_xlpm.tk)))&gt;0)*NOT(ISNUMBER(SEARCH("МА",_xlpm.tk)))*NOT(ISNUMBER(SEARCH("MA",_xlpm.tk))),""),IFERROR(--SUBSTITUTE(SUBSTITUTE(INDEX(_xlpm.a_,1),"А",""),"A",""),"")))</f>
        <v/>
      </c>
      <c r="CU334" t="str" cm="1">
        <f t="array" ref="CU334">IF(CR334="","",_xlfn.LET(_xlpm.tk,_xlfn.TEXTSPLIT(UPPER(CR334)," ",,TRUE),_xlpm.a_,_xlfn._xlws.FILTER(_xlpm.tk,ISNUMBER(--LEFT(_xlpm.tk,1))*((ISNUMBER(SEARCH("МА",_xlpm.tk))+ISNUMBER(SEARCH("MA",_xlpm.tk)))&gt;0),""),IFERROR(--SUBSTITUTE(SUBSTITUTE(INDEX(_xlpm.a_,1),"МА",""),"MA",""),30)))</f>
        <v/>
      </c>
      <c r="CV334" t="str">
        <f>IF(CS334="","",IFERROR(_xlfn.XLOOKUP(CS334,Линии[_n],Линии[_УЗО, мА]),30))</f>
        <v/>
      </c>
      <c r="CW334">
        <f>IF(CS334="",0,IF(ISNUMBER(SEARCH("4P",IFERROR(_xlfn.XLOOKUP(CS334,Линии[_n],Линии[_УЗО строки])&amp;"",""))),0,1))</f>
        <v>0</v>
      </c>
      <c r="CX334" t="str">
        <f>IF(AND(CS334&lt;&gt;"",CS334=BA334),SUMIFS(Линии[_ток на 230 В],Линии[_блок УЗО],BA334,Линии[Щит],A334),"")</f>
        <v/>
      </c>
      <c r="CY334" t="str">
        <f>IF(AND(CS334&lt;&gt;"",CS334=BA334),SUMIFS(Линии[_ток утечки линии, мА],Линии[_блок УЗО],BA334,Линии[Щит],A334),"")</f>
        <v/>
      </c>
      <c r="CZ334">
        <f t="shared" si="720"/>
        <v>30</v>
      </c>
      <c r="DA334">
        <f t="shared" si="721"/>
        <v>30</v>
      </c>
      <c r="DB334">
        <f>IF(B334="",0,IFERROR(--_xlfn.XLOOKUP(B334,Коды_код,Коды_минавт),IFERROR(--_xlfn.XLOOKUP(BC334,Коды_код,Коды_минавт),IFERROR(--_xlfn.XLOOKUP(LEFT(BC334,2),Коды_код,Коды_минавт),0))))</f>
        <v>16</v>
      </c>
      <c r="DC334" t="str">
        <f>IF(B334="","",IFERROR(_xlfn.XLOOKUP(BC334,Коды_код,Коды_апп)&amp;"",""))</f>
        <v/>
      </c>
      <c r="DD334" t="str">
        <f t="shared" si="722"/>
        <v/>
      </c>
      <c r="DE334" t="str" cm="1">
        <f t="array" ref="DE334">IF(TRIM(DD334&amp;"")="","",IFERROR(TRIM(INDEX(_xlfn.TEXTSPLIT(DD334&amp;";;;",";"),1)),""))</f>
        <v/>
      </c>
      <c r="DF334" t="str" cm="1">
        <f t="array" ref="DF334">IF(TRIM(DD334&amp;"")="","",IFERROR(TRIM(INDEX(_xlfn.TEXTSPLIT(DD334&amp;";;;",";"),2)),""))</f>
        <v/>
      </c>
      <c r="DG334" t="str" cm="1">
        <f t="array" ref="DG334">IF(TRIM(DD334&amp;"")="","",IFERROR(TRIM(INDEX(_xlfn.TEXTSPLIT(DD334&amp;";;;",";"),3)),""))</f>
        <v/>
      </c>
      <c r="DH334">
        <f t="shared" si="723"/>
        <v>0</v>
      </c>
      <c r="DI334" t="str">
        <f>IF(B334="","",_xlfn.LET(_xlpm.t,LOWER(AZ334&amp;""),IF(ISNUMBER(SEARCH("dim",_xlpm.t)),"DIM",IF(ISNUMBER(SEARCH("dali",_xlpm.t)),"DALI",IF(OR(ISNUMBER(SEARCH("relay",_xlpm.t)),ISNUMBER(SEARCH("реле",_xlpm.t))),"Relay",IF(ISNUMBER(SEARCH("кнопк",_xlpm.t)),"",IFERROR(_xlfn.XLOOKUP(BC334,Коды_код,Коды_упр)&amp;"","")))))))</f>
        <v/>
      </c>
      <c r="DJ334" t="str">
        <f t="shared" si="724"/>
        <v/>
      </c>
      <c r="DK334">
        <f>IF(B334="","",_xlfn.LET(_xlpm.ig,IF(N(CX334)&gt;0,N(CX334),N(CI334)+IF(AJ334="вручную",0,N(CJ334))),_xlpm.n0,IFERROR(VLOOKUP(_xlpm.ig,Автомат_номиналы,2,TRUE),0),_xlpm.mn,MAX(DB334,IF(AJ334="вручную",0,N(CM334))),MAX(_xlpm.n0,_xlpm.mn,IF(DH334=1,Мин_автомат_БП,0))))</f>
        <v>16</v>
      </c>
      <c r="DL334">
        <f t="shared" si="725"/>
        <v>1</v>
      </c>
      <c r="DM334" t="str">
        <f t="shared" si="726"/>
        <v>2P</v>
      </c>
      <c r="DN334" t="str">
        <f>_xlfn.LET(_xlpm.cc,UPPER(TRIM(IFERROR(_xlfn.XLOOKUP(BC334,Коды_код,Коды_хар)&amp;"",""))),IF(OR(_xlpm.cc="B",_xlpm.cc="В"),"B",IF(_xlpm.cc="D","D","С")))</f>
        <v>С</v>
      </c>
      <c r="DO334" t="str">
        <f t="shared" si="727"/>
        <v>2P С16А 30мА</v>
      </c>
      <c r="DP334">
        <f t="shared" si="728"/>
        <v>16</v>
      </c>
      <c r="DQ334" t="str">
        <f t="shared" si="729"/>
        <v>2P С16А 30мА</v>
      </c>
      <c r="DR334" cm="1">
        <f t="array" ref="DR334">IF(DQ334="","",_xlfn.LET(_xlpm.t,SUBSTITUTE(SUBSTITUTE(SUBSTITUTE(UPPER(DQ334),"С","C"),"А","A"),"В","B"),_xlpm.tk,_xlfn.TEXTSPLIT(_xlpm.t," "),_xlpm.f,_xlfn._xlws.FILTER(_xlpm.tk,ISNUMBER(--MID(_xlpm.tk,2,1))*ISNUMBER(SEARCH(LEFT(_xlpm.tk,1)&amp;"#","B#C#D#"))*(LEN(_xlpm.tk)&gt;1),""),_xlpm.x,INDEX(_xlpm.f,1),IFERROR(--SUBSTITUTE(MID(_xlpm.x,2,9),"A",""),IFERROR(--SUBSTITUTE(INDEX(_xlfn._xlws.FILTER(_xlpm.tk,ISNUMBER(--SUBSTITUTE(_xlpm.tk,"A","")),""),1),"A",""),""))))</f>
        <v>16</v>
      </c>
      <c r="DS334" t="str">
        <f t="shared" si="730"/>
        <v>ok</v>
      </c>
      <c r="DT334">
        <f t="shared" si="731"/>
        <v>16</v>
      </c>
      <c r="DU334" t="str">
        <f t="shared" si="732"/>
        <v>2P С16А 30мА</v>
      </c>
      <c r="DV334">
        <f t="shared" si="733"/>
        <v>30</v>
      </c>
      <c r="DW334">
        <f t="shared" si="734"/>
        <v>1</v>
      </c>
      <c r="DX334">
        <f t="shared" si="735"/>
        <v>0</v>
      </c>
      <c r="DY334">
        <f t="shared" si="736"/>
        <v>3.4641016151377539</v>
      </c>
      <c r="DZ334">
        <f t="shared" si="737"/>
        <v>1</v>
      </c>
      <c r="EA334">
        <f>IF(ISNUMBER(AP334),AP334,К_прокл)</f>
        <v>1</v>
      </c>
      <c r="EB334">
        <f t="shared" si="738"/>
        <v>2</v>
      </c>
      <c r="EC334">
        <f>IFERROR(N(VLOOKUP(BZ334,Кабель_обозначение,3,FALSE)),1)</f>
        <v>1</v>
      </c>
      <c r="ED334">
        <f>IFERROR(N(_xlfn.XLOOKUP(A334,Щиты[Щит],Щиты[ΔU до шин, %])),0)</f>
        <v>3.44</v>
      </c>
      <c r="EE334" t="str">
        <f>IFERROR(_xlfn.XLOOKUP(A334,Щиты[Щит],Щиты[Zпетли на шинах, Ом]),"")</f>
        <v/>
      </c>
      <c r="EF334">
        <f>IFERROR(N(_xlfn.XLOOKUP(A334,Щиты[Щит],Щиты[ΔU до шин (подбор), %])),0)</f>
        <v>5.4799999999999995</v>
      </c>
      <c r="EG334" t="str">
        <f>IFERROR(_xlfn.XLOOKUP(A334,Щиты[Щит],Щиты[Zпетли на шинах (подбор), Ом]),"")</f>
        <v/>
      </c>
      <c r="EH334" t="str">
        <f t="shared" si="739"/>
        <v/>
      </c>
      <c r="EI334">
        <f t="shared" si="740"/>
        <v>28</v>
      </c>
      <c r="EJ334">
        <f t="shared" si="741"/>
        <v>2</v>
      </c>
      <c r="EK334">
        <f t="shared" si="742"/>
        <v>0.6</v>
      </c>
      <c r="EL334" s="6">
        <f>IF(B334="","",IF(BV334=1,dU_LED,IF(IFERROR(_xlfn.XLOOKUP(BC334,Коды_код,Коды_уго),"")="Светильник",3,4)+IF(Методика="нормы 2026",MIN(0.5,MAX(0,N(P334)-100)*0.005),0)))</f>
        <v>4</v>
      </c>
      <c r="EM334" t="str" cm="1">
        <f t="array" ref="EM334">IF(OR(B334="",BZ334="",EC334&lt;&gt;1),"",_xlfn.LET(_xlpm.sz,Iдоп_S,_xlpm.t_,CHOOSE(EB334,Iдоп_1ж,Iдоп_2ж,Iдоп_3ж)*DZ334*EA334,_xlpm.dcx,BV334=1,_xlpm.inn,IF(_xlpm.dcx,N(O334),N(DT334)),_xlpm.smin,MAX(1.5,CC334),_xlpm.L_,N(P334)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334)/N(BU334)*100,999),IFERROR(N(EJ334)*(_xlpm.rho*_xlpm.L_/_xlpm.sz*N(CE334)+_xlpm.xx*_xlpm.L_*N(EK334)/1000)*N(O334)/((Uн_лин/SQRT(3))*1000)*100,999)),_xlpm.kz,IF(OR(_xlpm.dcx,DW334=1,NOT(ISNUMBER(EG334)),_xlpm.L_=0,_xlpm.inn=0),1,IFERROR(--(c_min*(Uн_лин*1000/SQRT(3))/(EG334+2*ρкз_Cu*_xlpm.L_/_xlpm.sz)&gt;=HT334*_xlpm.inn),0)),_xlpm.ok,IFERROR((_xlpm.sz&gt;=_xlpm.smin)*(_xlpm.t_&gt;=_xlpm.inn)*IF(_xlpm.L_&gt;0,(_xlpm.du_+IF(_xlpm.dcx,0,EF334)&lt;=EL334+0.00001),1)*_xlpm.kz,0),_xlpm.r_,_xlfn._xlws.FILTER(_xlpm.sz,_xlpm.ok,"не подобрано"),INDEX(_xlpm.r_,1)))</f>
        <v>не подобрано</v>
      </c>
      <c r="EN334">
        <f t="shared" si="743"/>
        <v>2.5</v>
      </c>
      <c r="EO334" cm="1">
        <f t="array" ref="EO334">IF(OR(B334="",BZ334="",EC334&lt;&gt;1),"",_xlfn.LET(_xlpm.sz,Iдоп_S,_xlpm.t_,CHOOSE(EB334,Iдоп_1ж,Iдоп_2ж,Iдоп_3ж)*DZ334*EA334,_xlpm.ok,IFERROR((_xlpm.sz&gt;=MAX(1.5,CC334))*(_xlpm.t_&gt;=N(DT334)),0),_xlpm.r_,_xlfn._xlws.FILTER(_xlpm.sz,_xlpm.ok,""),INDEX(_xlpm.r_,1)))</f>
        <v>1.5</v>
      </c>
      <c r="EP334" s="6" cm="1">
        <f t="array" ref="EP334">IFERROR(ROUNDUP(N(EJ334)*(_xlfn.XLOOKUP(EO334,INDEX(Кабель_сопротивление,0,1),INDEX(Кабель_сопротивление,0,3))*N(P334)/EO334*N(CE334)+_xlfn.XLOOKUP(EO334,INDEX(Кабель_сопротивление,0,1),INDEX(Кабель_сопротивление,0,2))*N(P334)*N(EK334)/1000)*N(O334)/((Uн_лин/SQRT(3))*1000)*100,2),"")</f>
        <v>1.1300000000000001</v>
      </c>
      <c r="EQ334">
        <f>IFERROR(2*ρкз_Cu*N(P334)/EO334,"")</f>
        <v>1.0870666666666666</v>
      </c>
      <c r="ER334">
        <f>IFERROR(VLOOKUP(EN334,Кабель_сопротивление,3,FALSE),"")</f>
        <v>2.2499999999999999E-2</v>
      </c>
      <c r="ES334">
        <f>IFERROR(VLOOKUP(EN334,Кабель_сопротивление,2,FALSE),"")</f>
        <v>0.1</v>
      </c>
      <c r="ET334">
        <f t="shared" si="744"/>
        <v>15</v>
      </c>
      <c r="EU334">
        <f t="shared" si="745"/>
        <v>0</v>
      </c>
      <c r="EV334">
        <f t="shared" si="746"/>
        <v>1.5592614190058061</v>
      </c>
      <c r="EW334" s="6">
        <f>IFERROR(ROUNDUP(EV334/IF(BV334=1,BU334,(Uн_лин/SQRT(3))*1000)*100,2),"")</f>
        <v>0.68</v>
      </c>
      <c r="EX334" t="str">
        <f>IFERROR(VLOOKUP(BZ334,Кабель_обозначение,2,FALSE),"")</f>
        <v>ВВГнг(А)-LS</v>
      </c>
      <c r="EY334" t="str">
        <f t="shared" si="747"/>
        <v>ВВГнг(А)-LS (3х2,5)</v>
      </c>
      <c r="EZ334" t="str">
        <f t="shared" si="748"/>
        <v>ВВГнг(А)-LS (3х2,5)
L=31-0,68%</v>
      </c>
      <c r="FA334">
        <f>IFERROR(2*ρкз_Cu*P334/EN334,"")</f>
        <v>0.65224000000000004</v>
      </c>
      <c r="FB334">
        <f t="shared" si="749"/>
        <v>0.21700000000000003</v>
      </c>
      <c r="FC334" s="6" t="str">
        <f>IFERROR(IF(OR(B334="",BV334=1,NOT(ISNUMBER(EN334)),N(P334)=0),"",_xlfn.XLOOKUP(A334,Щиты[Щит],Щиты[Zпетли на шинах, Ом])+FA334),"")</f>
        <v/>
      </c>
      <c r="FD334" s="6" t="str">
        <f>IF(ISNUMBER(FC334),c_min*(Uн_лин*1000/SQRT(3))/FC334,"")</f>
        <v/>
      </c>
      <c r="FE334" s="6" t="str">
        <f>IFERROR(IF(OR(B334="",NOT(ISNUMBER(EN334))),"",1.05*(Uн_лин*1000/SQRT(3))/(_xlfn.XLOOKUP(A334,Щиты[Щит],Щиты[Zmax на шинах, Ом])+FB334)/1000),"")</f>
        <v/>
      </c>
      <c r="FF334" s="6" t="str">
        <f>IF(B334="","",IF(ISNUMBER(AC334),"Сил",IF(IFERROR(_xlfn.XLOOKUP(BC334,Коды_код,Коды_группа)&amp;"","")="","Быт",_xlfn.XLOOKUP(BC334,Коды_код,Коды_группа)&amp;"")))</f>
        <v>Сил</v>
      </c>
      <c r="FG334" s="6" t="str">
        <f t="shared" si="750"/>
        <v>Сил</v>
      </c>
      <c r="FH334" s="6">
        <f>IF(FG334="Щит","щит",IF(FG334="","",IF(FG334="Быт",IFERROR(_xlfn.XLOOKUP(A334,Щиты[Щит],Щиты[Кс быт]),1),IF(FG334="Сил",IF(ISNUMBER(AC334),AC334,IF(Методика="нормы 2026",IFERROR(_xlfn.XLOOKUP(A334,Щиты[Щит],Щиты[Кс силовых (табл. 7.5)]),1),1)),IF(OR(FG334="Пост",FG334="Отоп"),1,IF(FG334="ВНГ",0.7,0))))))</f>
        <v>0.7</v>
      </c>
      <c r="FI334">
        <f>IF(FG334="","",IF(AND(BP334=1,TRIM(AE334&amp;"")=""),IF(COUNTIFS(Линии[Щит],A334,Линии[Секция (1/2/3)],"&gt;=2")&gt;0,MIN(3,MAX(1,IFERROR(--BD334,1))),1),IFERROR(MIN(3,MAX(1,INT(--AE334))),1)))</f>
        <v>1</v>
      </c>
      <c r="FJ334">
        <f t="shared" si="751"/>
        <v>0.64</v>
      </c>
      <c r="FK334">
        <f t="shared" si="752"/>
        <v>0</v>
      </c>
      <c r="FL334">
        <f t="shared" si="753"/>
        <v>0.44799999999999995</v>
      </c>
      <c r="FM334">
        <f t="shared" si="754"/>
        <v>0</v>
      </c>
      <c r="FN334">
        <f t="shared" si="755"/>
        <v>0</v>
      </c>
      <c r="FO334">
        <f t="shared" si="756"/>
        <v>0</v>
      </c>
      <c r="FP334">
        <f t="shared" si="757"/>
        <v>0.64</v>
      </c>
      <c r="FQ334">
        <f t="shared" si="758"/>
        <v>0.64</v>
      </c>
      <c r="FR334">
        <f t="shared" si="759"/>
        <v>0.51200000000000001</v>
      </c>
      <c r="FS334">
        <f>IF(CG334=1,IF(AND(CH334=1,CW334=1),0,IF(AND(CS334&lt;&gt;"",CS334=BA334,CW334=1),SUMIFS(Линии[_Р линии, кВт],Линии[_блок УЗО],BA334,Линии[Щит],A334),N(BS334)+IF(AJ334="вручную",0,N(CK334)))),0)</f>
        <v>0.64</v>
      </c>
      <c r="FT334" t="str">
        <f t="shared" si="760"/>
        <v>L3</v>
      </c>
      <c r="FU334" t="str">
        <f>IF(B334="","",IF(CG334=0,IF(BA334=1,"",FW333),IF(AND(CH334=1,CW334=1,CS334&lt;&gt;""),IFERROR(_xlfn.XLOOKUP(CS334,Линии[_n],Линии[_фаза итог]),"L1"),IF(OR(N(DL334)&gt;=3,N(BX334)&gt;=3),"L1,L2,L3",IFERROR(_xlfn.TEXTBEFORE(_xlfn.TEXTAFTER(_xlfn.XLOOKUP(A334,Щиты[Щит],Щиты[_фазы авто]),";"&amp;BA334&amp;":"),";"),"L1")))))</f>
        <v>L1</v>
      </c>
      <c r="FV334" t="str">
        <f t="shared" si="761"/>
        <v>L3</v>
      </c>
      <c r="FW334" t="str">
        <f t="shared" si="762"/>
        <v>L3</v>
      </c>
      <c r="FX334" cm="1">
        <f t="array" ref="FX334">IFERROR(IF(CD334=2,_xlfn.IFS(BX334=3,VLOOKUP(BS334,Справочная_двигатели,3,FALSE),BX334=1,VLOOKUP(BS334,Справочная_двигатели,5,TRUE)),0),0)</f>
        <v>0</v>
      </c>
      <c r="FY334">
        <f>IFERROR(IF(CD334=3,VLOOKUP(BS334,Справочная_ЛЭД,2,TRUE),0),0)</f>
        <v>0</v>
      </c>
      <c r="FZ334" s="6">
        <f t="shared" si="763"/>
        <v>0</v>
      </c>
      <c r="GA334" t="str">
        <f>IF(B334="","",IF(TRIM(AH334&amp;"")&lt;&gt;"",IF(LOWER(TRIM(AH334&amp;""))="да","да","нет"),IF(IFERROR(_xlfn.XLOOKUP(BC334,Коды_код,Коды_пожарная),"")="да","да","нет")))</f>
        <v>нет</v>
      </c>
      <c r="GB334" t="str">
        <f t="shared" si="764"/>
        <v/>
      </c>
      <c r="GC334" t="str">
        <f t="shared" si="765"/>
        <v>основная</v>
      </c>
      <c r="GD334">
        <f>IF(AND(BP334=1,TRIM(AE334&amp;"")=""),IF(COUNTIFS(Линии[Щит],A334,Линии[Секция (1/2/3)],"&gt;=2")&gt;0,MIN(3,MAX(1,IFERROR(--BD334,1))),1),IFERROR(MIN(3,MAX(1,INT(--AE334))),1))</f>
        <v>1</v>
      </c>
      <c r="GE334" t="str" cm="1">
        <f t="array" ref="GE334">IF(B334="","",_xlfn.LET(_xlpm.t,IFERROR(_xlfn.XLOOKUP(1,(Шины[Шина]=GC334)*(((Шины[Щит]=A334)+(Шины[Щит]=""))&gt;0),Шины[Тип]),"")&amp;"",IF(_xlpm.t&lt;&gt;"",_xlpm.t,IF(ISNUMBER(SEARCH("ИБП",GC334)),"ИБП",IF(ISNUMBER(SEARCH("ДГУ",GC334)),"ДГУ","Ввод "&amp;GD334)))))</f>
        <v>Ввод 1</v>
      </c>
      <c r="GF334" t="str">
        <f t="shared" si="766"/>
        <v>Ввод 1</v>
      </c>
      <c r="GG334" t="str">
        <f>IF(BP334=0,"",IF(TRIM(AG334&amp;"")&lt;&gt;"",TRIM(AG334&amp;""),IF(OR(GE334="ИБП",GE334="ДГУ"),"I особая",_xlfn.XLOOKUP(A334,Щиты[Щит],Щиты[Категория шины «Ввод»],"III"))))</f>
        <v/>
      </c>
      <c r="GH334" t="str">
        <f>IF(A334="","",_xlfn.XLOOKUP(A334,Щиты[Щит],Щиты[Путь],""))</f>
        <v>|ГРЩ-ЖД|ЩС-ВК.003|</v>
      </c>
      <c r="GI334" t="str">
        <f>IF(B334="","",IF(AI334&lt;&gt;"",AI334,IF(IFERROR(_xlfn.XLOOKUP(BC334,Коды_код,Коды_вид)&amp;"","")="","Прочее",_xlfn.XLOOKUP(BC334,Коды_код,Коды_вид)&amp;"")))</f>
        <v>Розеточная сеть и бытовые приборы</v>
      </c>
      <c r="GJ334">
        <f>IF(BM334="","",INT((BM334-1)/Столбцов_на_лист)+1)</f>
        <v>1</v>
      </c>
      <c r="GK334" t="str">
        <f t="shared" si="767"/>
        <v>ВВГнг(А)-LS (3х2,5) L=31-0,68%</v>
      </c>
      <c r="GL334">
        <f t="shared" si="768"/>
        <v>0.64</v>
      </c>
      <c r="GM334">
        <f t="shared" si="769"/>
        <v>3.4699999999999998</v>
      </c>
      <c r="GN334">
        <f t="shared" si="770"/>
        <v>1</v>
      </c>
      <c r="GO334">
        <f t="shared" si="771"/>
        <v>0</v>
      </c>
      <c r="GP334">
        <f t="shared" si="772"/>
        <v>1</v>
      </c>
      <c r="GQ334">
        <f>IF(BM334="","",IF(AND(CG334=1,GP334=1),COUNTIFS(A$3:A334,A334,CG$3:CG334,1,GP$3:GP334,1),IF(OR(OR(BA334=1,A334&lt;&gt;A333),AJ334="вручную",GP334=0),"",IF(BA334=1,"",GR333))))</f>
        <v>4</v>
      </c>
      <c r="GR334">
        <f t="shared" si="773"/>
        <v>4</v>
      </c>
      <c r="GS334">
        <f>IF(B334="","",IFERROR(LOOKUP(INDEX(CHOOSE(EB334,Iдоп_1ж,Iдоп_2ж,Iдоп_3ж),MATCH(EN334,Iдоп_S,0))*DZ334*EA334,{6,10,16,20,25,32,40,50,63,80,100,125,160,200,250,315,400,500,630}),""))</f>
        <v>25</v>
      </c>
      <c r="GT334" t="str">
        <f t="shared" si="774"/>
        <v>QFD4</v>
      </c>
      <c r="GU334" t="str">
        <f t="shared" si="775"/>
        <v>QFD4</v>
      </c>
      <c r="GV334" t="str">
        <f t="shared" si="776"/>
        <v/>
      </c>
      <c r="GW334">
        <f t="shared" si="777"/>
        <v>0</v>
      </c>
      <c r="GX334" t="str">
        <f>IF(OR(B334="",DJ334=""),"",IFERROR(_xlfn.XLOOKUP(DJ334,Модули_умолч[Управление],Модули_умолч[Модель])&amp;"",""))</f>
        <v/>
      </c>
      <c r="GY334">
        <f>IF(DJ334="",1,IFERROR(MAX(0,N(_xlfn.XLOOKUP(DJ334,Модули_умолч[Управление],Модули_умолч[Каналов на линию]))),1))</f>
        <v>1</v>
      </c>
      <c r="GZ334" t="str">
        <f t="shared" si="778"/>
        <v/>
      </c>
      <c r="HA334" t="str">
        <f t="shared" si="779"/>
        <v/>
      </c>
      <c r="HB334" t="str">
        <f t="shared" si="780"/>
        <v/>
      </c>
      <c r="HC334">
        <f>IF(HB334="",0,IFERROR(N(VLOOKUP(HB334,Модули_спр,3,FALSE)),0))</f>
        <v>0</v>
      </c>
      <c r="HD334" t="str">
        <f t="shared" si="781"/>
        <v/>
      </c>
      <c r="HE334" t="str">
        <f t="shared" si="782"/>
        <v/>
      </c>
      <c r="HF334" t="str">
        <f>IF(OR(HE334="",HE334="-"),"",IFERROR(VLOOKUP(HE334,Модули_спр,2,FALSE),"R"))</f>
        <v/>
      </c>
      <c r="HG334" t="str">
        <f>IF(HF334="","",HF334&amp;"."&amp;COUNTIFS(A$3:A334,A334,HF$3:HF334,HF334))</f>
        <v/>
      </c>
      <c r="HH334" t="str">
        <f t="shared" si="783"/>
        <v/>
      </c>
      <c r="HI334" t="str">
        <f t="shared" si="784"/>
        <v/>
      </c>
      <c r="HJ334" t="str">
        <f t="shared" si="785"/>
        <v/>
      </c>
      <c r="HK334" t="str">
        <f t="shared" si="786"/>
        <v/>
      </c>
      <c r="HL334">
        <f t="shared" si="787"/>
        <v>1</v>
      </c>
      <c r="HM334" t="str">
        <f>IF(HL334=1,"XT"&amp;COUNTIFS(A$3:A334,A334,HL$3:HL334,1),"")</f>
        <v>XT4</v>
      </c>
      <c r="HN334" t="str">
        <f t="shared" si="788"/>
        <v>XT4</v>
      </c>
      <c r="HO334" t="str">
        <f t="shared" si="789"/>
        <v>QFD4</v>
      </c>
      <c r="HP334" t="str">
        <f t="shared" si="790"/>
        <v/>
      </c>
      <c r="HQ334" t="str">
        <f t="shared" si="791"/>
        <v>ok</v>
      </c>
      <c r="HR334" t="str">
        <f>IF(OR(HJ334="",HH334=""),"",IF(HJ334+MAX(0,GY334-1)&gt;IFERROR(VLOOKUP(HI334,Модули_спр,3,FALSE),99),"ЛИШНИЙ КАНАЛ",IF(AND(AL334&lt;&gt;"=",GY334&gt;0,COUNTIFS(Линии[_модуль гр.],HH334,Линии[Канал (итог)],HJ334,Линии[Канал],"&lt;&gt;=",Линии[Щит],A334)&gt;1),"ДУБЛЬ КАНАЛА","")))</f>
        <v/>
      </c>
      <c r="HS334" s="6" t="str">
        <f t="shared" si="792"/>
        <v/>
      </c>
      <c r="HT334">
        <f t="shared" si="793"/>
        <v>10</v>
      </c>
      <c r="HU334" t="str">
        <f t="shared" si="794"/>
        <v/>
      </c>
      <c r="HV334">
        <f t="shared" si="795"/>
        <v>1.6956406460551017</v>
      </c>
      <c r="HW334">
        <f t="shared" si="796"/>
        <v>0</v>
      </c>
      <c r="HX334">
        <f t="shared" si="797"/>
        <v>0</v>
      </c>
      <c r="HY334">
        <f t="shared" si="798"/>
        <v>0</v>
      </c>
      <c r="HZ334">
        <f t="shared" si="799"/>
        <v>0</v>
      </c>
      <c r="IA334">
        <f t="shared" si="800"/>
        <v>0</v>
      </c>
      <c r="IB334">
        <f t="shared" si="801"/>
        <v>0</v>
      </c>
      <c r="IC334" t="str">
        <f t="shared" si="802"/>
        <v/>
      </c>
      <c r="ID334" t="str" cm="1">
        <f t="array" ref="ID334">IF(IC334="","",_xlfn.LET(_xlpm.tk,_xlfn.TEXTSPLIT(SUBSTITUTE(SUBSTITUTE(IC334,";"," "),"→"," ")," ",,TRUE),_xlpm.w_,_xlfn._xlws.FILTER(_xlpm.tk,ISNUMBER(--LEFT(_xlpm.tk,1))*((ISNUMBER(SEARCH("W",_xlpm.tk))+ISNUMBER(SEARCH("Вт",_xlpm.tk)))&gt;0),""),IFERROR(--SUBSTITUTE(SUBSTITUTE(UPPER(INDEX(_xlpm.w_,1)),"W",""),"ВТ",""),"")))</f>
        <v/>
      </c>
      <c r="IE334" t="str" cm="1">
        <f t="array" ref="IE334">IF(IC334="","",_xlfn.LET(_xlpm.tk,_xlfn.TEXTSPLIT(SUBSTITUTE(SUBSTITUTE(IC334,";"," "),"→"," ")," ",,TRUE),_xlpm.v_,_xlfn._xlws.FILTER(_xlpm.tk,ISNUMBER(--LEFT(_xlpm.tk,1))*((ISNUMBER(SEARCH("V",_xlpm.tk))+(RIGHT(UPPER(_xlpm.tk))="В"))&gt;0),""),IFERROR(--SUBSTITUTE(SUBSTITUTE(UPPER(INDEX(_xlpm.v_,1)),"V",""),"В",""),"")))</f>
        <v/>
      </c>
      <c r="IF334" s="6" t="str">
        <f>IF(OR(BV334=0,HI334="",HJ334=""),"",IFERROR(N(_xlfn.XLOOKUP(HI334,Каталог!$C$4:$C$500,Каталог!$Q$4:$Q$500)),""))</f>
        <v/>
      </c>
      <c r="IG334" s="6" t="str">
        <f>IF(N(IF334)=0,"",SUMIFS(Линии[Iр, А],Линии[Щит],A334,Линии[_модуль гр.],HH334,Линии[Канал (итог)],HJ334))</f>
        <v/>
      </c>
      <c r="IH334" t="str">
        <f>IF(AND(B334="",HO334=""),"",_xlfn.TEXTJOIN("; ",TRUE,IF(AND(B334&lt;&gt;"",FV334=""),"нет фазы",""),IF(AND(B334&lt;&gt;"",N(GL334)=0,FG334&lt;&gt;"Нет"),"нет мощности",""),IF(AND(HN334&lt;&gt;"",COUNTIFS(Линии[Щит],A334,Линии[Клемма (итог)],HN334)&gt;1),"дубль клеммы "&amp;HN334,""),IF(AND(HQ334&lt;&gt;"",HQ334&lt;&gt;"ok"),HQ334,""),IF(HR334&lt;&gt;"",HR334,""),IF(AND(N(CB334)&gt;=4,N(BX334)=1),CB334&amp;" жил на 1 фазе",""),IF(AND(BC334="R",CG334=1,IF(CS334&lt;&gt;"",N(CV334)&gt;30,OR(N(DA334)=0,N(DA334)&gt;30))),"розетка без дифзащиты до 30 мА",""),IF(AND(CG334=1,N(DA334)&gt;0,ISNUMBER(T334)),IF(T334&gt;N(DA334)/3,"ток утечки "&amp;FIXED(T334,1)&amp;" мА &gt; 1/3 уставки ("&amp;DA334&amp;" мА)",""),""),IF(AND(CH334=1,CS334=""),"«узо»: нет строки с УЗО выше (УЗО 2P 40А 30мА в «Аппаратах»)",""),IF(AND(CS334&lt;&gt;"",CS334=BA334),IF(CT334="","впишите номинал УЗО (УЗО 2P 40А 30мА)",IF(N(CT334)&lt;N(DT334),"УЗО "&amp;CT334&amp;" А &lt; автомата "&amp;DT334&amp;" А перед ним",IF(N(CT334)&lt;N(CX334),"УЗО "&amp;CT334&amp;" А &lt; тока блока "&amp;FIXED(CX334,1)&amp;" А",""))),""),IF(AND(CS334&lt;&gt;"",CS334=BA334,ISNUMBER(CY334)),IF(CY334&gt;N(CV334)/3,"ток утечки блока УЗО "&amp;FIXED(CY334,1)&amp;" мА &gt; 1/3 уставки ("&amp;CV334&amp;" мА)",""),""),IF(AND(CG334=1,N(BV334)+N(IB334)&gt;0,IC334=""),"линии до 50 В без БП: впишите в «Аппараты» (БП 24V 480W)",""),IF(AND(CG334=1,ISNUMBER(ID334),ISNUMBER(U334)),IF(U334&gt;ID334,"БП "&amp;ID334&amp;" Вт &lt; нужно "&amp;U334&amp;" Вт (×"&amp;Запас_БП&amp;")",""),""),IF(AND(CG334=1,ISNUMBER(IE334),N(BV334)=1),IF(IE334&lt;&gt;N(BU334),"БП на "&amp;IE334&amp;" В, линия "&amp;BU334&amp;" В",""),""),IF(AND(N(IF334)&gt;0,N(IG334)&gt;N(IF334)),HH334&amp;" канал "&amp;HJ334&amp;": "&amp;FIXED(IG334,1)&amp;" А &gt; "&amp;IF334&amp;" А",""),IFERROR(IF(AND(ISNUMBER(Q334),Q334&gt;EL334),"потери "&amp;FIXED(Q334,1)&amp;" % &gt; "&amp;EL334&amp;" %",""),""),IFERROR(IF(LEFT(HU334,4)="мало","Iкз мало — отключение &gt; 0,4 с",""),""),IF(AND(B334&lt;&gt;"",BM334=""),"не на схеме",""),IF(AND(CG334=0,B334&lt;&gt;"",FV334&lt;&gt;"",IF(BA334=1,"",FW333)&lt;&gt;"",FV334&lt;&gt;IF(BA334=1,"",FW333)),"фаза не как у автомата группы ("&amp;IF(BA334=1,"",FW333)&amp;")","")))</f>
        <v>потери 4,1 % &gt; 4 %</v>
      </c>
      <c r="II334" s="6">
        <f>IF(OR(CG334=0,DQ334=""),"",_xlfn.LET(_xlpm.t,IFERROR(_xlfn.XLOOKUP(DQ334,Каталог!$U$4:$U$500,Каталог!$G$4:$G$500),""),_xlpm.k,SEARCH("кА",_xlpm.t),IFERROR(--TRIM(RIGHT(SUBSTITUTE(MID(_xlpm.t,MAX(1,_xlpm.k-4),_xlpm.k-MAX(1,_xlpm.k-4))," ",REPT(" ",9)),5)),"")))</f>
        <v>6</v>
      </c>
      <c r="IJ334" t="str">
        <f>IF(OR(II334="",CG334=0),"",IF(_xlfn.XLOOKUP(A334,Щиты[Щит],Щиты[Iкз max на шинах, кА],"")="","",IF(II334&lt;_xlfn.XLOOKUP(A334,Щиты[Щит],Щиты[Iкз max на шинах, кА]),"Icu "&amp;II334&amp;" кА &lt; Iкз max","ok")))</f>
        <v/>
      </c>
      <c r="IK334" t="str">
        <f t="shared" si="803"/>
        <v/>
      </c>
      <c r="IL334" t="str">
        <f t="shared" si="804"/>
        <v>QFD4|XT4</v>
      </c>
      <c r="IM334" t="str">
        <f t="shared" si="805"/>
        <v>QFD4|XT4|кабель ВВГнг(А)-LS (3х2,5) → Сололифт Подвальный этаж Пом. №002Б</v>
      </c>
      <c r="IN334" t="str" cm="1">
        <f t="array" ref="IN334">IF(IM334="","",_xlfn.LET(_xlpm.nd,_xlfn.TEXTSPLIT(IM334,"|"),IF(COLUMNS(_xlpm.nd)&gt;1,A334&amp;"¦"&amp;INDEX(_xlpm.nd,1)&amp;"¦"&amp;INDEX(_xlpm.nd,2),"")))</f>
        <v>ЩС-ВК.003¦QFD4¦XT4</v>
      </c>
      <c r="IO334" t="str">
        <f t="shared" si="806"/>
        <v>R.00.002Б.3¦Сололифт Подвальный этаж Пом. №002Б</v>
      </c>
      <c r="IP334" t="str" cm="1">
        <f t="array" ref="IP334">IF(IM334="","",_xlfn.LET(_xlpm.nd,_xlfn.TEXTSPLIT(IM334,"|"),IF(COLUMNS(_xlpm.nd)&gt;2,A334&amp;"¦"&amp;INDEX(_xlpm.nd,2)&amp;"¦"&amp;INDEX(_xlpm.nd,3),"")))</f>
        <v>ЩС-ВК.003¦XT4¦кабель ВВГнг(А)-LS (3х2,5) → Сололифт Подвальный этаж Пом. №002Б</v>
      </c>
      <c r="IQ334" t="str">
        <f t="shared" si="807"/>
        <v>R.00.002Б.3¦Сололифт Подвальный этаж Пом. №002Б</v>
      </c>
      <c r="IR334" t="str" cm="1">
        <f t="array" ref="IR334">IF(IM334="","",_xlfn.LET(_xlpm.nd,_xlfn.TEXTSPLIT(IM334,"|"),IF(COLUMNS(_xlpm.nd)&gt;3,A334&amp;"¦"&amp;INDEX(_xlpm.nd,3)&amp;"¦"&amp;INDEX(_xlpm.nd,4),"")))</f>
        <v/>
      </c>
      <c r="IS334" t="str">
        <f t="shared" si="808"/>
        <v/>
      </c>
      <c r="IT334" t="str" cm="1">
        <f t="array" ref="IT334">IF(IM334="","",_xlfn.LET(_xlpm.nd,_xlfn.TEXTSPLIT(IM334,"|"),IF(COLUMNS(_xlpm.nd)&gt;4,A334&amp;"¦"&amp;INDEX(_xlpm.nd,4)&amp;"¦"&amp;INDEX(_xlpm.nd,5),"")))</f>
        <v/>
      </c>
      <c r="IU334" t="str">
        <f t="shared" si="809"/>
        <v/>
      </c>
      <c r="IV334" t="str" cm="1">
        <f t="array" ref="IV334">IF(IM334="","",_xlfn.LET(_xlpm.nd,_xlfn.TEXTSPLIT(IM334,"|"),IF(COLUMNS(_xlpm.nd)&gt;5,A334&amp;"¦"&amp;INDEX(_xlpm.nd,5)&amp;"¦"&amp;INDEX(_xlpm.nd,6),"")))</f>
        <v/>
      </c>
      <c r="IW334" t="str">
        <f t="shared" si="810"/>
        <v/>
      </c>
      <c r="IX334" t="str" cm="1">
        <f t="array" ref="IX334">IF(IM334="","",_xlfn.LET(_xlpm.nd,_xlfn.TEXTSPLIT(IM334,"|"),IF(COLUMNS(_xlpm.nd)&gt;6,A334&amp;"¦"&amp;INDEX(_xlpm.nd,6)&amp;"¦"&amp;INDEX(_xlpm.nd,7),"")))</f>
        <v/>
      </c>
      <c r="IY334" t="str">
        <f t="shared" si="811"/>
        <v/>
      </c>
      <c r="IZ334" t="str">
        <f t="shared" si="812"/>
        <v/>
      </c>
      <c r="JA334" t="str">
        <f t="shared" si="813"/>
        <v>QFD4 → XT4</v>
      </c>
      <c r="JB334">
        <f t="shared" si="814"/>
        <v>0</v>
      </c>
      <c r="JC334">
        <f t="shared" si="815"/>
        <v>1</v>
      </c>
      <c r="JD334" t="str">
        <f t="shared" si="816"/>
        <v/>
      </c>
      <c r="JE334" t="str">
        <f t="shared" si="817"/>
        <v/>
      </c>
      <c r="JF334" t="str">
        <f t="shared" si="818"/>
        <v/>
      </c>
      <c r="JG334" t="str">
        <f t="shared" si="819"/>
        <v/>
      </c>
      <c r="JH334" t="str">
        <f>IF(B334="","",IFERROR(_xlfn.XLOOKUP(B334,Коды_код,Коды_уго),IFERROR(_xlfn.XLOOKUP(BC334,Коды_код,Коды_уго),IFERROR(_xlfn.XLOOKUP(LEFT(BC334,2),Коды_код,Коды_уго),""))))</f>
        <v>Розетка</v>
      </c>
      <c r="JI334" t="str">
        <f>IF(B334="","",IF(OR(JH334="",JH334=0),"BOX",IFERROR(IF(VLOOKUP(JH334,УГО_блоки,3,FALSE)&amp;""&lt;&gt;"",VLOOKUP(JH334,УГО_блоки,3,FALSE),VLOOKUP(JH334,УГО_блоки,2,FALSE)),JH334)))</f>
        <v>SOCKET</v>
      </c>
      <c r="JJ334">
        <f t="shared" si="820"/>
        <v>1</v>
      </c>
      <c r="JK334" t="str">
        <f>IF(DQ334="","",IF(COUNTIF(DQ$3:DQ334,DQ334)=1,MAX(JK$2:JK333)+1,""))</f>
        <v/>
      </c>
      <c r="JL334" t="str">
        <f>IF(DE334="","",IF(COUNTIF(DE$3:DE334,DE334)+COUNTIF(DF$2:DF333,DE334)+COUNTIF(DG$2:DG333,DE334)=1,MAX(JL$2:JN333)+1,""))</f>
        <v/>
      </c>
      <c r="JM334" t="str">
        <f>IF(DF334="","",IF(COUNTIF(DE$3:DE334,DF334)+COUNTIF(DF$3:DF334,DF334)+COUNTIF(DG$2:DG333,DF334)=1,MAX(JL$2:JN333,JL334)+1,""))</f>
        <v/>
      </c>
      <c r="JN334" t="str">
        <f>IF(DG334="","",IF(COUNTIF(DE$3:DE334,DG334)+COUNTIF(DF$3:DF334,DG334)+COUNTIF(DG$3:DG334,DG334)=1,MAX(JL$2:JN333,JL334,JM334)+1,""))</f>
        <v/>
      </c>
      <c r="JO334" t="str">
        <f t="shared" si="821"/>
        <v>3х2,5</v>
      </c>
      <c r="JP334" t="str">
        <f>IF(JO334="","",IF(COUNTIF(JO$3:JO334,JO334)=1,MAX(JP$2:JP333)+1,""))</f>
        <v/>
      </c>
      <c r="JQ334" t="str">
        <f>IF(HG334="","",COUNTIF(HG$3:HG334,"?*"))</f>
        <v/>
      </c>
      <c r="JR334" t="str">
        <f>IF(OR(HG334="",HI334=""),"",IF(COUNTIFS(HG$3:HG334,"?*",HI$3:HI334,HI334)=1,MAX(JR$2:JR333)+1,""))</f>
        <v/>
      </c>
      <c r="JS334">
        <f t="shared" si="822"/>
        <v>1</v>
      </c>
      <c r="JT334">
        <f>IF(B334="","",COUNTIF(B$3:B334,"?*"))</f>
        <v>332</v>
      </c>
      <c r="JU334">
        <f>IF(HL334&lt;&gt;1,0,_xlfn.LET(_xlpm.k,MAX(IFERROR(--_xlfn.XLOOKUP(B334,Коды_код,Коды_3L),0),IFERROR(--_xlfn.XLOOKUP(BC334,Коды_код,Коды_3L),0),IFERROR(--_xlfn.XLOOKUP(LEFT(BC334,2),Коды_код,Коды_3L),0)),IF(_xlpm.k&gt;0,_xlpm.k,IF(IFERROR(--LEFT(SUBSTITUTE(JO334,"x","х"),FIND("х",SUBSTITUTE(JO334,"x","х"))-1),3)&gt;3,Каталог!$S$9,1))))</f>
        <v>1</v>
      </c>
      <c r="JV334">
        <f t="shared" si="823"/>
        <v>0</v>
      </c>
      <c r="JW334" t="str">
        <f t="shared" si="824"/>
        <v>авто</v>
      </c>
      <c r="JX334">
        <f t="shared" si="825"/>
        <v>30</v>
      </c>
      <c r="JY334">
        <f t="shared" si="826"/>
        <v>1</v>
      </c>
      <c r="JZ334">
        <f t="shared" si="827"/>
        <v>1</v>
      </c>
    </row>
    <row r="335" spans="1:286" x14ac:dyDescent="0.3">
      <c r="A335" t="s">
        <v>1110</v>
      </c>
      <c r="B335" t="s">
        <v>741</v>
      </c>
      <c r="C335" t="s">
        <v>1028</v>
      </c>
      <c r="D335">
        <v>1</v>
      </c>
      <c r="E335">
        <f>Линии[[#This Row],[_авто Р]]</f>
        <v>1.6</v>
      </c>
      <c r="G335">
        <v>16</v>
      </c>
      <c r="H335" t="str">
        <f>Линии[[#This Row],[_авто управление]]</f>
        <v/>
      </c>
      <c r="I335" t="str">
        <f>Линии[[#This Row],[_авто аппараты]]</f>
        <v/>
      </c>
      <c r="J335">
        <v>2.5</v>
      </c>
      <c r="K335">
        <v>16</v>
      </c>
      <c r="L335" t="str">
        <f>Линии[[#This Row],[_авто фаза]]</f>
        <v>L1,L2,L3</v>
      </c>
      <c r="M335" t="str">
        <f>Линии[[#This Row],[_авто клемма]]</f>
        <v/>
      </c>
      <c r="N335" t="str">
        <f t="shared" si="690"/>
        <v/>
      </c>
      <c r="O335" s="6" cm="1">
        <f t="array" ref="O335">IF(B335="","",IF(BH335&lt;&gt;"",IFERROR(_xlfn.XLOOKUP(BH335,Щиты[Щит],Щиты[Iр, А]),""),IF(BP335=1,IF(OR(N(_xlfn.XLOOKUP(A335,Щиты[Щит],Щиты[Вводов],1))&lt;=1,LOWER(TRIM(_xlfn.XLOOKUP(A335,Щиты[Щит],Щиты[АВР],"")&amp;""))="да"),IFERROR(_xlfn.XLOOKUP(A335,Щиты[Щит],Щиты[Iр, А]),""),IFERROR(N(BS335)*_xlfn.XLOOKUP(A335,Щиты[Щит],Щиты[Кс итог])/(SQRT(3)*Uн_лин*_xlfn.XLOOKUP(A335,Щиты[Щит],Щиты[cos φ])),"")),IF(BV335=1,IFERROR(BS335*1000/BU335,""),IFERROR(_xlfn.IFS(BX335=1,BS335/((Uн_лин/SQRT(3))*CE335),BX335=3,BS335/(SQRT(3)*Uн_лин*CE335)),"")))))</f>
        <v>3.646422752776584</v>
      </c>
      <c r="P335" s="7">
        <f>IF(B335="","",IFERROR(IF(VLOOKUP(BC335,Потребители_обозначение,4,FALSE)=1,VLOOKUP(BC335,Потребители_обозначение,3,FALSE)*(MAX(1,N(D335))*2-1)+EI335+VLOOKUP(BE335,Этаж_обозначение,3,FALSE)+VLOOKUP(BE335,Этаж_обозначение,4,FALSE),VLOOKUP(BC335,Потребители_обозначение,3,FALSE)*(MAX(1,N(D335))*2-1)+EI335),EI335))</f>
        <v>16</v>
      </c>
      <c r="Q335" s="6">
        <f t="shared" si="691"/>
        <v>0.63</v>
      </c>
      <c r="R335" t="str">
        <f t="shared" si="692"/>
        <v>ВВГнг(А)-FRLS (5х2,5)</v>
      </c>
      <c r="S335" t="str">
        <f>IF(BM335="","",IF(BN335="вводной узел","узел ","")&amp;"л."&amp;(INT((BM335-1)/Столбцов_на_лист)+1)&amp;" / "&amp;(MOD(BM335-1,Столбцов_на_лист)+1))</f>
        <v>узел л.1 / 2</v>
      </c>
      <c r="T335" s="119" t="str">
        <f t="shared" si="693"/>
        <v/>
      </c>
      <c r="U335" s="7" t="str">
        <f>IF(OR(CG335=0,N(BV335)+N(IB335)=0),"",ROUNDUP(Запас_БП*(N(HY335)+N(HZ335)),0))</f>
        <v/>
      </c>
      <c r="V335" s="119" t="str">
        <f t="shared" si="694"/>
        <v/>
      </c>
      <c r="W335" s="7" t="str">
        <f>IFERROR(IF(OR(B335="",BP335=1,BV335=1,NOT(ISNUMBER(EN335)),N(DT335)=0),"",MAX(0,ROUNDDOWN((c_min*(Uн_лин*1000/SQRT(3))/(HT335*N(DT335))-_xlfn.XLOOKUP(A335,Щиты[Щит],Щиты[Zпетли на шинах, Ом]))*EN335/(2*ρкз_Cu),0))),"")</f>
        <v/>
      </c>
      <c r="Y335" t="str">
        <f>Линии[[#This Row],[_авто утечка]]</f>
        <v/>
      </c>
      <c r="Z335">
        <v>3</v>
      </c>
      <c r="AA335">
        <v>400</v>
      </c>
      <c r="AB335" t="s">
        <v>547</v>
      </c>
      <c r="AJ335" t="s">
        <v>1344</v>
      </c>
      <c r="AK335" t="str">
        <f>Линии[[#This Row],[_авто модуль]]</f>
        <v/>
      </c>
      <c r="AM335">
        <v>2</v>
      </c>
      <c r="AN335" t="s">
        <v>13</v>
      </c>
      <c r="AO335">
        <v>5</v>
      </c>
      <c r="AQ335">
        <v>5</v>
      </c>
      <c r="AR335">
        <v>11</v>
      </c>
      <c r="BA335" cm="1">
        <f t="array" ref="BA335">ROW()-ROW(Линии[#Headers])</f>
        <v>333</v>
      </c>
      <c r="BC335" s="6" t="str">
        <f t="shared" si="695"/>
        <v>Ввод</v>
      </c>
      <c r="BD335" t="str">
        <f t="shared" si="696"/>
        <v>1</v>
      </c>
      <c r="BE335" t="str">
        <f t="shared" si="697"/>
        <v>1</v>
      </c>
      <c r="BF335" t="str">
        <f t="shared" si="698"/>
        <v/>
      </c>
      <c r="BG335" t="str">
        <f t="shared" si="699"/>
        <v/>
      </c>
      <c r="BH335" t="str">
        <f>IF(X335&lt;&gt;"",X335,IF(AND(B335&lt;&gt;"",B335&lt;&gt;A335,ISNUMBER(_xlfn.XMATCH(B335,Щиты[Щит]))),B335,""))</f>
        <v/>
      </c>
      <c r="BI335" t="str" cm="1">
        <f t="array" ref="BI335">IF(B335="","",IF(BH335&lt;&gt;"","Щит "&amp;BH335,_xlfn.LET(_xlpm.nm,IFERROR(_xlfn.XLOOKUP(BC335,Коды_код,Коды_имя)&amp;"",""),_xlpm.md,IFERROR(N(_xlfn.XLOOKUP(BC335,Коды_код,Коды_режим)),1),_xlpm.ex,IF(Имя_режим="по экспликации",IFERROR(_xlfn.XLOOKUP(BE335&amp;"|"&amp;BG335,Экспликация[Этаж]&amp;"|"&amp;Экспликация[Помещение],Экспликация[Название])&amp;"",""),""),_xlpm.rm,IF(BG335="","",IF(_xlpm.ex&lt;&gt;"",". "&amp;_xlpm.ex&amp;IF(Имя_пом="нет"," ("&amp;BG335&amp;")"," (пом. "&amp;BG335&amp;")"),IF(Имя_пом="нет"," ",", пом. ")&amp;BG335)),IF(_xlpm.nm="","",IF(_xlpm.md=2,_xlpm.nm&amp;" шлейф "&amp;BE335,_xlpm.nm&amp;_xlpm.rm)))))</f>
        <v>Вводной кабель шлейф 1</v>
      </c>
      <c r="BJ335" t="str">
        <f t="shared" si="700"/>
        <v>Вводной кабель №1</v>
      </c>
      <c r="BK335">
        <f>IFERROR(_xlfn.XMATCH(A335,Щиты[Щит]),0)</f>
        <v>16</v>
      </c>
      <c r="BL335">
        <f>_xlfn.LET(_xlpm.k,IFERROR(_xlfn.XLOOKUP(A335,Щиты[Щит],Щиты[Мест под вводной узел]),""),IF(_xlpm.k="",Столбцов_на_лист,N(_xlpm.k)))</f>
        <v>12</v>
      </c>
      <c r="BM335">
        <f t="shared" si="701"/>
        <v>2</v>
      </c>
      <c r="BN335" t="str">
        <f t="shared" si="702"/>
        <v>вводной узел</v>
      </c>
      <c r="BO335" s="6">
        <f>IFERROR(N(_xlfn.XLOOKUP(BC335,Коды_код,Коды_квт)),0)</f>
        <v>0</v>
      </c>
      <c r="BP335">
        <f t="shared" si="703"/>
        <v>1</v>
      </c>
      <c r="BQ335">
        <f>IF(B335="","",IF(BH335&lt;&gt;"",IFERROR(_xlfn.XLOOKUP(BH335,Щиты[Щит],Щиты[Руст, кВт]),0),IF(BP335=1,IF(OR(N(_xlfn.XLOOKUP(A335,Щиты[Щит],Щиты[Вводов],1))&lt;=1,LOWER(TRIM(_xlfn.XLOOKUP(A335,Щиты[Щит],Щиты[АВР],"")&amp;""))="да"),IFERROR(_xlfn.XLOOKUP(A335,Щиты[Щит],Щиты[Руст, кВт]),0),SUMIFS(Линии[_Р для вводов],Линии[Щит],A335,Линии[Источник для режимов],GF335)),IF(BO335&gt;0,ROUND(BO335*MAX(1,N(D335)),3),""))))</f>
        <v>1.6</v>
      </c>
      <c r="BR335">
        <f t="shared" si="704"/>
        <v>1.6</v>
      </c>
      <c r="BS335" s="6">
        <f>IF(B335="","",IF(BH335&lt;&gt;"",IFERROR(_xlfn.XLOOKUP(BH335,Щиты[Щит],Щиты[Руст, кВт]),0),N(BR335)))</f>
        <v>1.6</v>
      </c>
      <c r="BT335" t="str">
        <f>IF(B335="","",IFERROR(IF(VLOOKUP(BC335,Потребители_обозначение,8,FALSE)=0,"",VLOOKUP(BC335,Потребители_обозначение,8,FALSE)),""))</f>
        <v/>
      </c>
      <c r="BU335">
        <f t="shared" si="705"/>
        <v>400</v>
      </c>
      <c r="BV335">
        <f t="shared" si="706"/>
        <v>0</v>
      </c>
      <c r="BW335">
        <f>IF(B335="","",IF(BH335&lt;&gt;"",3,IFERROR(IF(N(VLOOKUP(BC335,Потребители_обозначение,9,FALSE))=0,1,VLOOKUP(BC335,Потребители_обозначение,9,FALSE)),1)))</f>
        <v>1</v>
      </c>
      <c r="BX335">
        <f t="shared" si="707"/>
        <v>3</v>
      </c>
      <c r="BY335" t="str">
        <f>IF(B335="","",_xlfn.LET(_xlpm.bc,IFERROR(IF(VLOOKUP(BC335,Потребители_обозначение,6,FALSE)=0,"",VLOOKUP(BC335,Потребители_обозначение,6,FALSE)&amp;""),""),IF(AND(GA335="да",OR(_xlpm.bc="",_xlpm.bc="мс")),Марка_пож,IF(AND(_xlpm.bc="",BH335&lt;&gt;""),"мс",_xlpm.bc))))</f>
        <v/>
      </c>
      <c r="BZ335" t="str">
        <f t="shared" si="708"/>
        <v>мфр</v>
      </c>
      <c r="CA335">
        <f>IF(B335="","",_xlfn.LET(_xlpm.cc,IFERROR(N(VLOOKUP(BC335,Потребители_обозначение,7,FALSE)),0),IF(_xlpm.cc&gt;0,_xlpm.cc,IF(BZ335="","",IF(BV335=1,2,IF(N(BX335)=3,5,3))))))</f>
        <v>5</v>
      </c>
      <c r="CB335">
        <f t="shared" si="709"/>
        <v>5</v>
      </c>
      <c r="CC335">
        <f>IFERROR(N(VLOOKUP(BC335,Потребители_обозначение,10,FALSE)),0)</f>
        <v>0</v>
      </c>
      <c r="CD335">
        <f>IFERROR(VLOOKUP(BC335,Потребители_обозначение,5,FALSE),0)</f>
        <v>1</v>
      </c>
      <c r="CE335" s="6" cm="1">
        <f t="array" ref="CE335">IF(B335="","",IF(BH335&lt;&gt;"",IFERROR(_xlfn.XLOOKUP(BH335,Щиты[Щит],Щиты[cos φ]),0.95),IF(BP335=1,IFERROR(_xlfn.XLOOKUP(A335,Щиты[Щит],Щиты[cos φ]),0.95),IF(ISNUMBER(AD335),AD335,IFERROR(IF(CD335=2,_xlfn.IFS(BX335=3,VLOOKUP(BS335,Справочная_двигатели,8,FALSE),BX335=1,VLOOKUP(BS335,Справочная_двигатели,10,TRUE)),IF(AND(Методика="нормы 2026",FG335="Сил"),0.8,0.95)),0.95)))))</f>
        <v>0.95</v>
      </c>
      <c r="CF335">
        <f t="shared" si="710"/>
        <v>0</v>
      </c>
      <c r="CG335">
        <f t="shared" si="711"/>
        <v>1</v>
      </c>
      <c r="CH335">
        <f t="shared" si="712"/>
        <v>0</v>
      </c>
      <c r="CI335">
        <f>IF(B335="","",IF(BV335=1,IFERROR(BS335/((Uн_лин/SQRT(3))*MAX(0.5,N(CE335))),0),N(O335)))</f>
        <v>3.646422752776584</v>
      </c>
      <c r="CJ335">
        <f t="shared" si="713"/>
        <v>0</v>
      </c>
      <c r="CK335">
        <f t="shared" si="714"/>
        <v>0</v>
      </c>
      <c r="CL335">
        <f t="shared" si="715"/>
        <v>0</v>
      </c>
      <c r="CM335">
        <f t="shared" si="716"/>
        <v>0</v>
      </c>
      <c r="CN335">
        <f t="shared" si="717"/>
        <v>0</v>
      </c>
      <c r="CO335">
        <f>IF(BC335="",0,_xlfn.LET(_xlpm.v,IFERROR(_xlfn.XLOOKUP(B335,Коды_код,Коды_мА),IFERROR(_xlfn.XLOOKUP(BC335,Коды_код,Коды_мА),IFERROR(_xlfn.XLOOKUP(LEFT(BC335,2),Коды_код,Коды_мА),""))),IF(_xlpm.v="да",30,IF(ISNUMBER(_xlpm.v),_xlpm.v,0))))</f>
        <v>0</v>
      </c>
      <c r="CP335" t="str">
        <f t="shared" si="718"/>
        <v/>
      </c>
      <c r="CQ335" t="str">
        <f>_xlfn.LET(_xlpm.k,IFERROR(_xlfn.XLOOKUP(BC335,Коды_код,Коды_утечка)&amp;"",""),IF(_xlpm.k="","дифавтомат",_xlpm.k))</f>
        <v>дифавтомат</v>
      </c>
      <c r="CR335" t="str" cm="1">
        <f t="array" ref="CR335">IF(CG335=0,"",_xlfn.LET(_xlpm.sg,TRIM(_xlfn.TEXTSPLIT(DD335&amp;"",";")),_xlpm.f_,_xlfn._xlws.FILTER(_xlpm.sg,LEFT(_xlpm.sg,3)="УЗО",""),IFERROR(INDEX(_xlpm.f_,1)&amp;"","")))</f>
        <v/>
      </c>
      <c r="CS335" t="str">
        <f t="shared" si="719"/>
        <v/>
      </c>
      <c r="CT335" s="6" t="str" cm="1">
        <f t="array" ref="CT335">IF(CR335="","",_xlfn.LET(_xlpm.tk,_xlfn.TEXTSPLIT(UPPER(CR335)," ",,TRUE),_xlpm.a_,_xlfn._xlws.FILTER(_xlpm.tk,ISNUMBER(--LEFT(_xlpm.tk,1))*((ISNUMBER(SEARCH("А",_xlpm.tk))+ISNUMBER(SEARCH("A",_xlpm.tk)))&gt;0)*NOT(ISNUMBER(SEARCH("МА",_xlpm.tk)))*NOT(ISNUMBER(SEARCH("MA",_xlpm.tk))),""),IFERROR(--SUBSTITUTE(SUBSTITUTE(INDEX(_xlpm.a_,1),"А",""),"A",""),"")))</f>
        <v/>
      </c>
      <c r="CU335" t="str" cm="1">
        <f t="array" ref="CU335">IF(CR335="","",_xlfn.LET(_xlpm.tk,_xlfn.TEXTSPLIT(UPPER(CR335)," ",,TRUE),_xlpm.a_,_xlfn._xlws.FILTER(_xlpm.tk,ISNUMBER(--LEFT(_xlpm.tk,1))*((ISNUMBER(SEARCH("МА",_xlpm.tk))+ISNUMBER(SEARCH("MA",_xlpm.tk)))&gt;0),""),IFERROR(--SUBSTITUTE(SUBSTITUTE(INDEX(_xlpm.a_,1),"МА",""),"MA",""),30)))</f>
        <v/>
      </c>
      <c r="CV335" t="str">
        <f>IF(CS335="","",IFERROR(_xlfn.XLOOKUP(CS335,Линии[_n],Линии[_УЗО, мА]),30))</f>
        <v/>
      </c>
      <c r="CW335">
        <f>IF(CS335="",0,IF(ISNUMBER(SEARCH("4P",IFERROR(_xlfn.XLOOKUP(CS335,Линии[_n],Линии[_УЗО строки])&amp;"",""))),0,1))</f>
        <v>0</v>
      </c>
      <c r="CX335" t="str">
        <f>IF(AND(CS335&lt;&gt;"",CS335=BA335),SUMIFS(Линии[_ток на 230 В],Линии[_блок УЗО],BA335,Линии[Щит],A335),"")</f>
        <v/>
      </c>
      <c r="CY335" t="str">
        <f>IF(AND(CS335&lt;&gt;"",CS335=BA335),SUMIFS(Линии[_ток утечки линии, мА],Линии[_блок УЗО],BA335,Линии[Щит],A335),"")</f>
        <v/>
      </c>
      <c r="CZ335">
        <f t="shared" si="720"/>
        <v>0</v>
      </c>
      <c r="DA335">
        <f t="shared" si="721"/>
        <v>0</v>
      </c>
      <c r="DB335">
        <f>IF(B335="",0,IFERROR(--_xlfn.XLOOKUP(B335,Коды_код,Коды_минавт),IFERROR(--_xlfn.XLOOKUP(BC335,Коды_код,Коды_минавт),IFERROR(--_xlfn.XLOOKUP(LEFT(BC335,2),Коды_код,Коды_минавт),0))))</f>
        <v>0</v>
      </c>
      <c r="DC335" t="str">
        <f>IF(B335="","",IFERROR(_xlfn.XLOOKUP(BC335,Коды_код,Коды_апп)&amp;"",""))</f>
        <v/>
      </c>
      <c r="DD335" t="str">
        <f t="shared" si="722"/>
        <v/>
      </c>
      <c r="DE335" t="str" cm="1">
        <f t="array" ref="DE335">IF(TRIM(DD335&amp;"")="","",IFERROR(TRIM(INDEX(_xlfn.TEXTSPLIT(DD335&amp;";;;",";"),1)),""))</f>
        <v/>
      </c>
      <c r="DF335" t="str" cm="1">
        <f t="array" ref="DF335">IF(TRIM(DD335&amp;"")="","",IFERROR(TRIM(INDEX(_xlfn.TEXTSPLIT(DD335&amp;";;;",";"),2)),""))</f>
        <v/>
      </c>
      <c r="DG335" t="str" cm="1">
        <f t="array" ref="DG335">IF(TRIM(DD335&amp;"")="","",IFERROR(TRIM(INDEX(_xlfn.TEXTSPLIT(DD335&amp;";;;",";"),3)),""))</f>
        <v/>
      </c>
      <c r="DH335">
        <f t="shared" si="723"/>
        <v>0</v>
      </c>
      <c r="DI335" t="str">
        <f>IF(B335="","",_xlfn.LET(_xlpm.t,LOWER(AZ335&amp;""),IF(ISNUMBER(SEARCH("dim",_xlpm.t)),"DIM",IF(ISNUMBER(SEARCH("dali",_xlpm.t)),"DALI",IF(OR(ISNUMBER(SEARCH("relay",_xlpm.t)),ISNUMBER(SEARCH("реле",_xlpm.t))),"Relay",IF(ISNUMBER(SEARCH("кнопк",_xlpm.t)),"",IFERROR(_xlfn.XLOOKUP(BC335,Коды_код,Коды_упр)&amp;"","")))))))</f>
        <v/>
      </c>
      <c r="DJ335" t="str">
        <f t="shared" si="724"/>
        <v/>
      </c>
      <c r="DK335">
        <f>IF(B335="","",_xlfn.LET(_xlpm.ig,IF(N(CX335)&gt;0,N(CX335),N(CI335)+IF(AJ335="вручную",0,N(CJ335))),_xlpm.n0,IFERROR(VLOOKUP(_xlpm.ig,Автомат_номиналы,2,TRUE),0),_xlpm.mn,MAX(DB335,IF(AJ335="вручную",0,N(CM335))),MAX(_xlpm.n0,_xlpm.mn,IF(DH335=1,Мин_автомат_БП,0))))</f>
        <v>6</v>
      </c>
      <c r="DL335">
        <f t="shared" si="725"/>
        <v>3</v>
      </c>
      <c r="DM335" t="str">
        <f t="shared" si="726"/>
        <v>3P</v>
      </c>
      <c r="DN335" t="str">
        <f>_xlfn.LET(_xlpm.cc,UPPER(TRIM(IFERROR(_xlfn.XLOOKUP(BC335,Коды_код,Коды_хар)&amp;"",""))),IF(OR(_xlpm.cc="B",_xlpm.cc="В"),"B",IF(_xlpm.cc="D","D","С")))</f>
        <v>С</v>
      </c>
      <c r="DO335" t="str">
        <f t="shared" si="727"/>
        <v>3P С6А</v>
      </c>
      <c r="DP335">
        <f t="shared" si="728"/>
        <v>16</v>
      </c>
      <c r="DQ335" t="str">
        <f t="shared" si="729"/>
        <v>3P С16А</v>
      </c>
      <c r="DR335" cm="1">
        <f t="array" ref="DR335">IF(DQ335="","",_xlfn.LET(_xlpm.t,SUBSTITUTE(SUBSTITUTE(SUBSTITUTE(UPPER(DQ335),"С","C"),"А","A"),"В","B"),_xlpm.tk,_xlfn.TEXTSPLIT(_xlpm.t," "),_xlpm.f,_xlfn._xlws.FILTER(_xlpm.tk,ISNUMBER(--MID(_xlpm.tk,2,1))*ISNUMBER(SEARCH(LEFT(_xlpm.tk,1)&amp;"#","B#C#D#"))*(LEN(_xlpm.tk)&gt;1),""),_xlpm.x,INDEX(_xlpm.f,1),IFERROR(--SUBSTITUTE(MID(_xlpm.x,2,9),"A",""),IFERROR(--SUBSTITUTE(INDEX(_xlfn._xlws.FILTER(_xlpm.tk,ISNUMBER(--SUBSTITUTE(_xlpm.tk,"A","")),""),1),"A",""),""))))</f>
        <v>16</v>
      </c>
      <c r="DS335" t="str">
        <f t="shared" si="730"/>
        <v>узел</v>
      </c>
      <c r="DT335">
        <f t="shared" si="731"/>
        <v>16</v>
      </c>
      <c r="DU335" t="str">
        <f t="shared" si="732"/>
        <v>3P С16А</v>
      </c>
      <c r="DV335">
        <f t="shared" si="733"/>
        <v>0</v>
      </c>
      <c r="DW335">
        <f t="shared" si="734"/>
        <v>0</v>
      </c>
      <c r="DX335">
        <f t="shared" si="735"/>
        <v>0</v>
      </c>
      <c r="DY335">
        <f t="shared" si="736"/>
        <v>3.646422752776584</v>
      </c>
      <c r="DZ335">
        <f t="shared" si="737"/>
        <v>0.92</v>
      </c>
      <c r="EA335">
        <f>IF(ISNUMBER(AP335),AP335,К_прокл)</f>
        <v>1</v>
      </c>
      <c r="EB335">
        <f t="shared" si="738"/>
        <v>3</v>
      </c>
      <c r="EC335">
        <f>IFERROR(N(VLOOKUP(BZ335,Кабель_обозначение,3,FALSE)),1)</f>
        <v>1</v>
      </c>
      <c r="ED335">
        <f>IFERROR(N(_xlfn.XLOOKUP(A335,Щиты[Щит],Щиты[ΔU до шин, %])),0)</f>
        <v>0.41000000000000003</v>
      </c>
      <c r="EE335" t="str">
        <f>IFERROR(_xlfn.XLOOKUP(A335,Щиты[Щит],Щиты[Zпетли на шинах, Ом]),"")</f>
        <v/>
      </c>
      <c r="EF335">
        <f>IFERROR(N(_xlfn.XLOOKUP(A335,Щиты[Щит],Щиты[ΔU до шин (подбор), %])),0)</f>
        <v>0.68</v>
      </c>
      <c r="EG335" t="str">
        <f>IFERROR(_xlfn.XLOOKUP(A335,Щиты[Щит],Щиты[Zпетли на шинах (подбор), Ом]),"")</f>
        <v/>
      </c>
      <c r="EH335" t="str">
        <f t="shared" si="739"/>
        <v/>
      </c>
      <c r="EI335">
        <f t="shared" si="740"/>
        <v>16</v>
      </c>
      <c r="EJ335">
        <f t="shared" si="741"/>
        <v>1</v>
      </c>
      <c r="EK335">
        <f t="shared" si="742"/>
        <v>0.31</v>
      </c>
      <c r="EL335" s="6">
        <f>IF(B335="","",IF(BV335=1,dU_LED,IF(IFERROR(_xlfn.XLOOKUP(BC335,Коды_код,Коды_уго),"")="Светильник",3,4)+IF(Методика="нормы 2026",MIN(0.5,MAX(0,N(P335)-100)*0.005),0)))</f>
        <v>4</v>
      </c>
      <c r="EM335" cm="1">
        <f t="array" ref="EM335">IF(OR(B335="",BZ335="",EC335&lt;&gt;1),"",_xlfn.LET(_xlpm.sz,Iдоп_S,_xlpm.t_,CHOOSE(EB335,Iдоп_1ж,Iдоп_2ж,Iдоп_3ж)*DZ335*EA335,_xlpm.dcx,BV335=1,_xlpm.inn,IF(_xlpm.dcx,N(O335),N(DT335)),_xlpm.smin,MAX(1.5,CC335),_xlpm.L_,N(P335)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335)/N(BU335)*100,999),IFERROR(N(EJ335)*(_xlpm.rho*_xlpm.L_/_xlpm.sz*N(CE335)+_xlpm.xx*_xlpm.L_*N(EK335)/1000)*N(O335)/((Uн_лин/SQRT(3))*1000)*100,999)),_xlpm.kz,IF(OR(_xlpm.dcx,DW335=1,NOT(ISNUMBER(EG335)),_xlpm.L_=0,_xlpm.inn=0),1,IFERROR(--(c_min*(Uн_лин*1000/SQRT(3))/(EG335+2*ρкз_Cu*_xlpm.L_/_xlpm.sz)&gt;=HT335*_xlpm.inn),0)),_xlpm.ok,IFERROR((_xlpm.sz&gt;=_xlpm.smin)*(_xlpm.t_&gt;=_xlpm.inn)*IF(_xlpm.L_&gt;0,(_xlpm.du_+IF(_xlpm.dcx,0,EF335)&lt;=EL335+0.00001),1)*_xlpm.kz,0),_xlpm.r_,_xlfn._xlws.FILTER(_xlpm.sz,_xlpm.ok,"не подобрано"),INDEX(_xlpm.r_,1)))</f>
        <v>1.5</v>
      </c>
      <c r="EN335">
        <f t="shared" si="743"/>
        <v>2.5</v>
      </c>
      <c r="EO335" cm="1">
        <f t="array" ref="EO335">IF(OR(B335="",BZ335="",EC335&lt;&gt;1),"",_xlfn.LET(_xlpm.sz,Iдоп_S,_xlpm.t_,CHOOSE(EB335,Iдоп_1ж,Iдоп_2ж,Iдоп_3ж)*DZ335*EA335,_xlpm.ok,IFERROR((_xlpm.sz&gt;=MAX(1.5,CC335))*(_xlpm.t_&gt;=N(DT335)),0),_xlpm.r_,_xlfn._xlws.FILTER(_xlpm.sz,_xlpm.ok,""),INDEX(_xlpm.r_,1)))</f>
        <v>1.5</v>
      </c>
      <c r="EP335" s="6" cm="1">
        <f t="array" ref="EP335">IFERROR(ROUNDUP(N(EJ335)*(_xlfn.XLOOKUP(EO335,INDEX(Кабель_сопротивление,0,1),INDEX(Кабель_сопротивление,0,3))*N(P335)/EO335*N(CE335)+_xlfn.XLOOKUP(EO335,INDEX(Кабель_сопротивление,0,1),INDEX(Кабель_сопротивление,0,2))*N(P335)*N(EK335)/1000)*N(O335)/((Uн_лин/SQRT(3))*1000)*100,2),"")</f>
        <v>0.37</v>
      </c>
      <c r="EQ335">
        <f>IFERROR(2*ρкз_Cu*N(P335)/EO335,"")</f>
        <v>0.56106666666666671</v>
      </c>
      <c r="ER335">
        <f>IFERROR(VLOOKUP(EN335,Кабель_сопротивление,3,FALSE),"")</f>
        <v>2.2499999999999999E-2</v>
      </c>
      <c r="ES335">
        <f>IFERROR(VLOOKUP(EN335,Кабель_сопротивление,2,FALSE),"")</f>
        <v>0.1</v>
      </c>
      <c r="ET335">
        <f t="shared" si="744"/>
        <v>11</v>
      </c>
      <c r="EU335" t="str">
        <f t="shared" si="745"/>
        <v/>
      </c>
      <c r="EV335">
        <f t="shared" si="746"/>
        <v>0.50063925826521383</v>
      </c>
      <c r="EW335" s="6">
        <f>IFERROR(ROUNDUP(EV335/IF(BV335=1,BU335,(Uн_лин/SQRT(3))*1000)*100,2),"")</f>
        <v>0.22</v>
      </c>
      <c r="EX335" t="str">
        <f>IFERROR(VLOOKUP(BZ335,Кабель_обозначение,2,FALSE),"")</f>
        <v>ВВГнг(А)-FRLS</v>
      </c>
      <c r="EY335" t="str">
        <f t="shared" si="747"/>
        <v>ВВГнг(А)-FRLS (5х2,5)</v>
      </c>
      <c r="EZ335" t="str">
        <f t="shared" si="748"/>
        <v>ВВГнг(А)-FRLS (5х2,5)
L=16-0,22%</v>
      </c>
      <c r="FA335">
        <f>IFERROR(2*ρкз_Cu*P335/EN335,"")</f>
        <v>0.33663999999999999</v>
      </c>
      <c r="FB335">
        <f t="shared" si="749"/>
        <v>0.11200000000000002</v>
      </c>
      <c r="FC335" s="6" t="str">
        <f>IFERROR(IF(OR(B335="",BV335=1,NOT(ISNUMBER(EN335)),N(P335)=0),"",_xlfn.XLOOKUP(A335,Щиты[Щит],Щиты[Zпетли на шинах, Ом])+FA335),"")</f>
        <v/>
      </c>
      <c r="FD335" s="6" t="str">
        <f>IF(ISNUMBER(FC335),c_min*(Uн_лин*1000/SQRT(3))/FC335,"")</f>
        <v/>
      </c>
      <c r="FE335" s="6" t="str">
        <f>IFERROR(IF(OR(B335="",NOT(ISNUMBER(EN335))),"",1.05*(Uн_лин*1000/SQRT(3))/(_xlfn.XLOOKUP(A335,Щиты[Щит],Щиты[Zmax на шинах, Ом])+FB335)/1000),"")</f>
        <v/>
      </c>
      <c r="FF335" s="6" t="str">
        <f>IF(B335="","",IF(ISNUMBER(AC335),"Сил",IF(IFERROR(_xlfn.XLOOKUP(BC335,Коды_код,Коды_группа)&amp;"","")="","Быт",_xlfn.XLOOKUP(BC335,Коды_код,Коды_группа)&amp;"")))</f>
        <v>Быт</v>
      </c>
      <c r="FG335" s="6" t="str">
        <f t="shared" si="750"/>
        <v>Нет</v>
      </c>
      <c r="FH335" s="6">
        <f>IF(FG335="Щит","щит",IF(FG335="","",IF(FG335="Быт",IFERROR(_xlfn.XLOOKUP(A335,Щиты[Щит],Щиты[Кс быт]),1),IF(FG335="Сил",IF(ISNUMBER(AC335),AC335,IF(Методика="нормы 2026",IFERROR(_xlfn.XLOOKUP(A335,Щиты[Щит],Щиты[Кс силовых (табл. 7.5)]),1),1)),IF(OR(FG335="Пост",FG335="Отоп"),1,IF(FG335="ВНГ",0.7,0))))))</f>
        <v>0</v>
      </c>
      <c r="FI335">
        <f>IF(FG335="","",IF(AND(BP335=1,TRIM(AE335&amp;"")=""),IF(COUNTIFS(Линии[Щит],A335,Линии[Секция (1/2/3)],"&gt;=2")&gt;0,MIN(3,MAX(1,IFERROR(--BD335,1))),1),IFERROR(MIN(3,MAX(1,INT(--AE335))),1)))</f>
        <v>1</v>
      </c>
      <c r="FJ335">
        <f t="shared" si="751"/>
        <v>0</v>
      </c>
      <c r="FK335">
        <f t="shared" si="752"/>
        <v>0</v>
      </c>
      <c r="FL335">
        <f t="shared" si="753"/>
        <v>0</v>
      </c>
      <c r="FM335">
        <f t="shared" si="754"/>
        <v>0</v>
      </c>
      <c r="FN335">
        <f t="shared" si="755"/>
        <v>0</v>
      </c>
      <c r="FO335">
        <f t="shared" si="756"/>
        <v>0</v>
      </c>
      <c r="FP335">
        <f t="shared" si="757"/>
        <v>0</v>
      </c>
      <c r="FQ335">
        <f t="shared" si="758"/>
        <v>0</v>
      </c>
      <c r="FR335">
        <f t="shared" si="759"/>
        <v>0</v>
      </c>
      <c r="FS335">
        <f>IF(CG335=1,IF(AND(CH335=1,CW335=1),0,IF(AND(CS335&lt;&gt;"",CS335=BA335,CW335=1),SUMIFS(Линии[_Р линии, кВт],Линии[_блок УЗО],BA335,Линии[Щит],A335),N(BS335)+IF(AJ335="вручную",0,N(CK335)))),0)</f>
        <v>1.6</v>
      </c>
      <c r="FT335" t="str">
        <f t="shared" si="760"/>
        <v/>
      </c>
      <c r="FU335" t="str">
        <f>IF(B335="","",IF(CG335=0,IF(BA335=1,"",FW334),IF(AND(CH335=1,CW335=1,CS335&lt;&gt;""),IFERROR(_xlfn.XLOOKUP(CS335,Линии[_n],Линии[_фаза итог]),"L1"),IF(OR(N(DL335)&gt;=3,N(BX335)&gt;=3),"L1,L2,L3",IFERROR(_xlfn.TEXTBEFORE(_xlfn.TEXTAFTER(_xlfn.XLOOKUP(A335,Щиты[Щит],Щиты[_фазы авто]),";"&amp;BA335&amp;":"),";"),"L1")))))</f>
        <v>L1,L2,L3</v>
      </c>
      <c r="FV335" t="str">
        <f t="shared" si="761"/>
        <v>L1,L2,L3</v>
      </c>
      <c r="FW335" t="str">
        <f t="shared" si="762"/>
        <v>L1,L2,L3</v>
      </c>
      <c r="FX335" cm="1">
        <f t="array" ref="FX335">IFERROR(IF(CD335=2,_xlfn.IFS(BX335=3,VLOOKUP(BS335,Справочная_двигатели,3,FALSE),BX335=1,VLOOKUP(BS335,Справочная_двигатели,5,TRUE)),0),0)</f>
        <v>0</v>
      </c>
      <c r="FY335">
        <f>IFERROR(IF(CD335=3,VLOOKUP(BS335,Справочная_ЛЭД,2,TRUE),0),0)</f>
        <v>0</v>
      </c>
      <c r="FZ335" s="6">
        <f t="shared" si="763"/>
        <v>0</v>
      </c>
      <c r="GA335" t="str">
        <f>IF(B335="","",IF(TRIM(AH335&amp;"")&lt;&gt;"",IF(LOWER(TRIM(AH335&amp;""))="да","да","нет"),IF(IFERROR(_xlfn.XLOOKUP(BC335,Коды_код,Коды_пожарная),"")="да","да","нет")))</f>
        <v>нет</v>
      </c>
      <c r="GB335" t="str">
        <f t="shared" si="764"/>
        <v/>
      </c>
      <c r="GC335" t="str">
        <f t="shared" si="765"/>
        <v>основная</v>
      </c>
      <c r="GD335">
        <f>IF(AND(BP335=1,TRIM(AE335&amp;"")=""),IF(COUNTIFS(Линии[Щит],A335,Линии[Секция (1/2/3)],"&gt;=2")&gt;0,MIN(3,MAX(1,IFERROR(--BD335,1))),1),IFERROR(MIN(3,MAX(1,INT(--AE335))),1))</f>
        <v>1</v>
      </c>
      <c r="GE335" t="str" cm="1">
        <f t="array" ref="GE335">IF(B335="","",_xlfn.LET(_xlpm.t,IFERROR(_xlfn.XLOOKUP(1,(Шины[Шина]=GC335)*(((Шины[Щит]=A335)+(Шины[Щит]=""))&gt;0),Шины[Тип]),"")&amp;"",IF(_xlpm.t&lt;&gt;"",_xlpm.t,IF(ISNUMBER(SEARCH("ИБП",GC335)),"ИБП",IF(ISNUMBER(SEARCH("ДГУ",GC335)),"ДГУ","Ввод "&amp;GD335)))))</f>
        <v>Ввод 1</v>
      </c>
      <c r="GF335" t="str">
        <f t="shared" si="766"/>
        <v>Ввод 1</v>
      </c>
      <c r="GG335" t="str">
        <f>IF(BP335=0,"",IF(TRIM(AG335&amp;"")&lt;&gt;"",TRIM(AG335&amp;""),IF(OR(GE335="ИБП",GE335="ДГУ"),"I особая",_xlfn.XLOOKUP(A335,Щиты[Щит],Щиты[Категория шины «Ввод»],"III"))))</f>
        <v>I</v>
      </c>
      <c r="GH335" t="str">
        <f>IF(A335="","",_xlfn.XLOOKUP(A335,Щиты[Щит],Щиты[Путь],""))</f>
        <v>|ГРЩ-ЖД|ЩСПЗ-ЖД|</v>
      </c>
      <c r="GI335" t="str">
        <f>IF(B335="","",IF(AI335&lt;&gt;"",AI335,IF(IFERROR(_xlfn.XLOOKUP(BC335,Коды_код,Коды_вид)&amp;"","")="","Прочее",_xlfn.XLOOKUP(BC335,Коды_код,Коды_вид)&amp;"")))</f>
        <v>Прочее</v>
      </c>
      <c r="GJ335">
        <f>IF(BM335="","",INT((BM335-1)/Столбцов_на_лист)+1)</f>
        <v>1</v>
      </c>
      <c r="GK335" t="str">
        <f t="shared" si="767"/>
        <v>ВВГнг(А)-FRLS (5х2,5) L=16-0,22%</v>
      </c>
      <c r="GL335">
        <f t="shared" si="768"/>
        <v>1.6</v>
      </c>
      <c r="GM335">
        <f t="shared" si="769"/>
        <v>3.65</v>
      </c>
      <c r="GN335">
        <f t="shared" si="770"/>
        <v>3</v>
      </c>
      <c r="GO335">
        <f t="shared" si="771"/>
        <v>0</v>
      </c>
      <c r="GP335">
        <f t="shared" si="772"/>
        <v>0</v>
      </c>
      <c r="GQ335" t="str">
        <f>IF(BM335="","",IF(AND(CG335=1,GP335=1),COUNTIFS(A$3:A335,A335,CG$3:CG335,1,GP$3:GP335,1),IF(OR(OR(BA335=1,A335&lt;&gt;A334),AJ335="вручную",GP335=0),"",IF(BA335=1,"",GR334))))</f>
        <v/>
      </c>
      <c r="GR335" t="str">
        <f t="shared" si="773"/>
        <v/>
      </c>
      <c r="GS335">
        <f>IF(B335="","",IFERROR(LOOKUP(INDEX(CHOOSE(EB335,Iдоп_1ж,Iдоп_2ж,Iдоп_3ж),MATCH(EN335,Iдоп_S,0))*DZ335*EA335,{6,10,16,20,25,32,40,50,63,80,100,125,160,200,250,315,400,500,630}),""))</f>
        <v>20</v>
      </c>
      <c r="GT335" t="str">
        <f t="shared" si="774"/>
        <v/>
      </c>
      <c r="GU335" t="str">
        <f t="shared" si="775"/>
        <v/>
      </c>
      <c r="GV335" t="str">
        <f t="shared" si="776"/>
        <v/>
      </c>
      <c r="GW335">
        <f t="shared" si="777"/>
        <v>0</v>
      </c>
      <c r="GX335" t="str">
        <f>IF(OR(B335="",DJ335=""),"",IFERROR(_xlfn.XLOOKUP(DJ335,Модули_умолч[Управление],Модули_умолч[Модель])&amp;"",""))</f>
        <v/>
      </c>
      <c r="GY335">
        <f>IF(DJ335="",1,IFERROR(MAX(0,N(_xlfn.XLOOKUP(DJ335,Модули_умолч[Управление],Модули_умолч[Каналов на линию]))),1))</f>
        <v>1</v>
      </c>
      <c r="GZ335" t="str">
        <f t="shared" si="778"/>
        <v/>
      </c>
      <c r="HA335" t="str">
        <f t="shared" si="779"/>
        <v/>
      </c>
      <c r="HB335" t="str">
        <f t="shared" si="780"/>
        <v/>
      </c>
      <c r="HC335">
        <f>IF(HB335="",0,IFERROR(N(VLOOKUP(HB335,Модули_спр,3,FALSE)),0))</f>
        <v>0</v>
      </c>
      <c r="HD335" t="str">
        <f t="shared" si="781"/>
        <v/>
      </c>
      <c r="HE335" t="str">
        <f t="shared" si="782"/>
        <v/>
      </c>
      <c r="HF335" t="str">
        <f>IF(OR(HE335="",HE335="-"),"",IFERROR(VLOOKUP(HE335,Модули_спр,2,FALSE),"R"))</f>
        <v/>
      </c>
      <c r="HG335" t="str">
        <f>IF(HF335="","",HF335&amp;"."&amp;COUNTIFS(A$3:A335,A335,HF$3:HF335,HF335))</f>
        <v/>
      </c>
      <c r="HH335" t="str">
        <f t="shared" si="783"/>
        <v/>
      </c>
      <c r="HI335" t="str">
        <f t="shared" si="784"/>
        <v/>
      </c>
      <c r="HJ335" t="str">
        <f t="shared" si="785"/>
        <v/>
      </c>
      <c r="HK335" t="str">
        <f t="shared" si="786"/>
        <v/>
      </c>
      <c r="HL335">
        <f t="shared" si="787"/>
        <v>0</v>
      </c>
      <c r="HM335" t="str">
        <f>IF(HL335=1,"XT"&amp;COUNTIFS(A$3:A335,A335,HL$3:HL335,1),"")</f>
        <v/>
      </c>
      <c r="HN335" t="str">
        <f t="shared" si="788"/>
        <v/>
      </c>
      <c r="HO335" t="str">
        <f t="shared" si="789"/>
        <v/>
      </c>
      <c r="HP335" t="str">
        <f t="shared" si="790"/>
        <v/>
      </c>
      <c r="HQ335" t="str">
        <f t="shared" si="791"/>
        <v>ok</v>
      </c>
      <c r="HR335" t="str">
        <f>IF(OR(HJ335="",HH335=""),"",IF(HJ335+MAX(0,GY335-1)&gt;IFERROR(VLOOKUP(HI335,Модули_спр,3,FALSE),99),"ЛИШНИЙ КАНАЛ",IF(AND(AL335&lt;&gt;"=",GY335&gt;0,COUNTIFS(Линии[_модуль гр.],HH335,Линии[Канал (итог)],HJ335,Линии[Канал],"&lt;&gt;=",Линии[Щит],A335)&gt;1),"ДУБЛЬ КАНАЛА","")))</f>
        <v/>
      </c>
      <c r="HS335" s="6" t="str">
        <f t="shared" si="792"/>
        <v/>
      </c>
      <c r="HT335">
        <f t="shared" si="793"/>
        <v>10</v>
      </c>
      <c r="HU335" t="str">
        <f t="shared" si="794"/>
        <v/>
      </c>
      <c r="HV335">
        <f t="shared" si="795"/>
        <v>0</v>
      </c>
      <c r="HW335">
        <f t="shared" si="796"/>
        <v>0</v>
      </c>
      <c r="HX335">
        <f t="shared" si="797"/>
        <v>0</v>
      </c>
      <c r="HY335">
        <f t="shared" si="798"/>
        <v>0</v>
      </c>
      <c r="HZ335">
        <f t="shared" si="799"/>
        <v>0</v>
      </c>
      <c r="IA335">
        <f t="shared" si="800"/>
        <v>0</v>
      </c>
      <c r="IB335">
        <f t="shared" si="801"/>
        <v>0</v>
      </c>
      <c r="IC335" t="str">
        <f t="shared" si="802"/>
        <v/>
      </c>
      <c r="ID335" t="str" cm="1">
        <f t="array" ref="ID335">IF(IC335="","",_xlfn.LET(_xlpm.tk,_xlfn.TEXTSPLIT(SUBSTITUTE(SUBSTITUTE(IC335,";"," "),"→"," ")," ",,TRUE),_xlpm.w_,_xlfn._xlws.FILTER(_xlpm.tk,ISNUMBER(--LEFT(_xlpm.tk,1))*((ISNUMBER(SEARCH("W",_xlpm.tk))+ISNUMBER(SEARCH("Вт",_xlpm.tk)))&gt;0),""),IFERROR(--SUBSTITUTE(SUBSTITUTE(UPPER(INDEX(_xlpm.w_,1)),"W",""),"ВТ",""),"")))</f>
        <v/>
      </c>
      <c r="IE335" t="str" cm="1">
        <f t="array" ref="IE335">IF(IC335="","",_xlfn.LET(_xlpm.tk,_xlfn.TEXTSPLIT(SUBSTITUTE(SUBSTITUTE(IC335,";"," "),"→"," ")," ",,TRUE),_xlpm.v_,_xlfn._xlws.FILTER(_xlpm.tk,ISNUMBER(--LEFT(_xlpm.tk,1))*((ISNUMBER(SEARCH("V",_xlpm.tk))+(RIGHT(UPPER(_xlpm.tk))="В"))&gt;0),""),IFERROR(--SUBSTITUTE(SUBSTITUTE(UPPER(INDEX(_xlpm.v_,1)),"V",""),"В",""),"")))</f>
        <v/>
      </c>
      <c r="IF335" s="6" t="str">
        <f>IF(OR(BV335=0,HI335="",HJ335=""),"",IFERROR(N(_xlfn.XLOOKUP(HI335,Каталог!$C$4:$C$500,Каталог!$Q$4:$Q$500)),""))</f>
        <v/>
      </c>
      <c r="IG335" s="6" t="str">
        <f>IF(N(IF335)=0,"",SUMIFS(Линии[Iр, А],Линии[Щит],A335,Линии[_модуль гр.],HH335,Линии[Канал (итог)],HJ335))</f>
        <v/>
      </c>
      <c r="IH335" t="str">
        <f>IF(AND(B335="",HO335=""),"",_xlfn.TEXTJOIN("; ",TRUE,IF(AND(B335&lt;&gt;"",FV335=""),"нет фазы",""),IF(AND(B335&lt;&gt;"",N(GL335)=0,FG335&lt;&gt;"Нет"),"нет мощности",""),IF(AND(HN335&lt;&gt;"",COUNTIFS(Линии[Щит],A335,Линии[Клемма (итог)],HN335)&gt;1),"дубль клеммы "&amp;HN335,""),IF(AND(HQ335&lt;&gt;"",HQ335&lt;&gt;"ok"),HQ335,""),IF(HR335&lt;&gt;"",HR335,""),IF(AND(N(CB335)&gt;=4,N(BX335)=1),CB335&amp;" жил на 1 фазе",""),IF(AND(BC335="R",CG335=1,IF(CS335&lt;&gt;"",N(CV335)&gt;30,OR(N(DA335)=0,N(DA335)&gt;30))),"розетка без дифзащиты до 30 мА",""),IF(AND(CG335=1,N(DA335)&gt;0,ISNUMBER(T335)),IF(T335&gt;N(DA335)/3,"ток утечки "&amp;FIXED(T335,1)&amp;" мА &gt; 1/3 уставки ("&amp;DA335&amp;" мА)",""),""),IF(AND(CH335=1,CS335=""),"«узо»: нет строки с УЗО выше (УЗО 2P 40А 30мА в «Аппаратах»)",""),IF(AND(CS335&lt;&gt;"",CS335=BA335),IF(CT335="","впишите номинал УЗО (УЗО 2P 40А 30мА)",IF(N(CT335)&lt;N(DT335),"УЗО "&amp;CT335&amp;" А &lt; автомата "&amp;DT335&amp;" А перед ним",IF(N(CT335)&lt;N(CX335),"УЗО "&amp;CT335&amp;" А &lt; тока блока "&amp;FIXED(CX335,1)&amp;" А",""))),""),IF(AND(CS335&lt;&gt;"",CS335=BA335,ISNUMBER(CY335)),IF(CY335&gt;N(CV335)/3,"ток утечки блока УЗО "&amp;FIXED(CY335,1)&amp;" мА &gt; 1/3 уставки ("&amp;CV335&amp;" мА)",""),""),IF(AND(CG335=1,N(BV335)+N(IB335)&gt;0,IC335=""),"линии до 50 В без БП: впишите в «Аппараты» (БП 24V 480W)",""),IF(AND(CG335=1,ISNUMBER(ID335),ISNUMBER(U335)),IF(U335&gt;ID335,"БП "&amp;ID335&amp;" Вт &lt; нужно "&amp;U335&amp;" Вт (×"&amp;Запас_БП&amp;")",""),""),IF(AND(CG335=1,ISNUMBER(IE335),N(BV335)=1),IF(IE335&lt;&gt;N(BU335),"БП на "&amp;IE335&amp;" В, линия "&amp;BU335&amp;" В",""),""),IF(AND(N(IF335)&gt;0,N(IG335)&gt;N(IF335)),HH335&amp;" канал "&amp;HJ335&amp;": "&amp;FIXED(IG335,1)&amp;" А &gt; "&amp;IF335&amp;" А",""),IFERROR(IF(AND(ISNUMBER(Q335),Q335&gt;EL335),"потери "&amp;FIXED(Q335,1)&amp;" % &gt; "&amp;EL335&amp;" %",""),""),IFERROR(IF(LEFT(HU335,4)="мало","Iкз мало — отключение &gt; 0,4 с",""),""),IF(AND(B335&lt;&gt;"",BM335=""),"не на схеме",""),IF(AND(CG335=0,B335&lt;&gt;"",FV335&lt;&gt;"",IF(BA335=1,"",FW334)&lt;&gt;"",FV335&lt;&gt;IF(BA335=1,"",FW334)),"фаза не как у автомата группы ("&amp;IF(BA335=1,"",FW334)&amp;")","")))</f>
        <v/>
      </c>
      <c r="II335" s="6" t="str">
        <f>IF(OR(CG335=0,DQ335=""),"",_xlfn.LET(_xlpm.t,IFERROR(_xlfn.XLOOKUP(DQ335,Каталог!$U$4:$U$500,Каталог!$G$4:$G$500),""),_xlpm.k,SEARCH("кА",_xlpm.t),IFERROR(--TRIM(RIGHT(SUBSTITUTE(MID(_xlpm.t,MAX(1,_xlpm.k-4),_xlpm.k-MAX(1,_xlpm.k-4))," ",REPT(" ",9)),5)),"")))</f>
        <v/>
      </c>
      <c r="IJ335" t="str">
        <f>IF(OR(II335="",CG335=0),"",IF(_xlfn.XLOOKUP(A335,Щиты[Щит],Щиты[Iкз max на шинах, кА],"")="","",IF(II335&lt;_xlfn.XLOOKUP(A335,Щиты[Щит],Щиты[Iкз max на шинах, кА]),"Icu "&amp;II335&amp;" кА &lt; Iкз max","ok")))</f>
        <v/>
      </c>
      <c r="IK335" t="str">
        <f t="shared" si="803"/>
        <v/>
      </c>
      <c r="IL335" t="str">
        <f t="shared" si="804"/>
        <v/>
      </c>
      <c r="IM335" t="str">
        <f t="shared" si="805"/>
        <v/>
      </c>
      <c r="IN335" t="str" cm="1">
        <f t="array" ref="IN335">IF(IM335="","",_xlfn.LET(_xlpm.nd,_xlfn.TEXTSPLIT(IM335,"|"),IF(COLUMNS(_xlpm.nd)&gt;1,A335&amp;"¦"&amp;INDEX(_xlpm.nd,1)&amp;"¦"&amp;INDEX(_xlpm.nd,2),"")))</f>
        <v/>
      </c>
      <c r="IO335" t="str">
        <f t="shared" si="806"/>
        <v/>
      </c>
      <c r="IP335" t="str" cm="1">
        <f t="array" ref="IP335">IF(IM335="","",_xlfn.LET(_xlpm.nd,_xlfn.TEXTSPLIT(IM335,"|"),IF(COLUMNS(_xlpm.nd)&gt;2,A335&amp;"¦"&amp;INDEX(_xlpm.nd,2)&amp;"¦"&amp;INDEX(_xlpm.nd,3),"")))</f>
        <v/>
      </c>
      <c r="IQ335" t="str">
        <f t="shared" si="807"/>
        <v/>
      </c>
      <c r="IR335" t="str" cm="1">
        <f t="array" ref="IR335">IF(IM335="","",_xlfn.LET(_xlpm.nd,_xlfn.TEXTSPLIT(IM335,"|"),IF(COLUMNS(_xlpm.nd)&gt;3,A335&amp;"¦"&amp;INDEX(_xlpm.nd,3)&amp;"¦"&amp;INDEX(_xlpm.nd,4),"")))</f>
        <v/>
      </c>
      <c r="IS335" t="str">
        <f t="shared" si="808"/>
        <v/>
      </c>
      <c r="IT335" t="str" cm="1">
        <f t="array" ref="IT335">IF(IM335="","",_xlfn.LET(_xlpm.nd,_xlfn.TEXTSPLIT(IM335,"|"),IF(COLUMNS(_xlpm.nd)&gt;4,A335&amp;"¦"&amp;INDEX(_xlpm.nd,4)&amp;"¦"&amp;INDEX(_xlpm.nd,5),"")))</f>
        <v/>
      </c>
      <c r="IU335" t="str">
        <f t="shared" si="809"/>
        <v/>
      </c>
      <c r="IV335" t="str" cm="1">
        <f t="array" ref="IV335">IF(IM335="","",_xlfn.LET(_xlpm.nd,_xlfn.TEXTSPLIT(IM335,"|"),IF(COLUMNS(_xlpm.nd)&gt;5,A335&amp;"¦"&amp;INDEX(_xlpm.nd,5)&amp;"¦"&amp;INDEX(_xlpm.nd,6),"")))</f>
        <v/>
      </c>
      <c r="IW335" t="str">
        <f t="shared" si="810"/>
        <v/>
      </c>
      <c r="IX335" t="str" cm="1">
        <f t="array" ref="IX335">IF(IM335="","",_xlfn.LET(_xlpm.nd,_xlfn.TEXTSPLIT(IM335,"|"),IF(COLUMNS(_xlpm.nd)&gt;6,A335&amp;"¦"&amp;INDEX(_xlpm.nd,6)&amp;"¦"&amp;INDEX(_xlpm.nd,7),"")))</f>
        <v/>
      </c>
      <c r="IY335" t="str">
        <f t="shared" si="811"/>
        <v/>
      </c>
      <c r="IZ335" t="str">
        <f t="shared" si="812"/>
        <v/>
      </c>
      <c r="JA335" t="str">
        <f t="shared" si="813"/>
        <v/>
      </c>
      <c r="JB335">
        <f t="shared" si="814"/>
        <v>0</v>
      </c>
      <c r="JC335">
        <f t="shared" si="815"/>
        <v>0</v>
      </c>
      <c r="JD335" t="str">
        <f t="shared" si="816"/>
        <v/>
      </c>
      <c r="JE335" t="str">
        <f t="shared" si="817"/>
        <v/>
      </c>
      <c r="JF335" t="str">
        <f t="shared" si="818"/>
        <v/>
      </c>
      <c r="JG335" t="str">
        <f t="shared" si="819"/>
        <v/>
      </c>
      <c r="JH335">
        <f>IF(B335="","",IFERROR(_xlfn.XLOOKUP(B335,Коды_код,Коды_уго),IFERROR(_xlfn.XLOOKUP(BC335,Коды_код,Коды_уго),IFERROR(_xlfn.XLOOKUP(LEFT(BC335,2),Коды_код,Коды_уго),""))))</f>
        <v>0</v>
      </c>
      <c r="JI335" t="str">
        <f>IF(B335="","",IF(OR(JH335="",JH335=0),"BOX",IFERROR(IF(VLOOKUP(JH335,УГО_блоки,3,FALSE)&amp;""&lt;&gt;"",VLOOKUP(JH335,УГО_блоки,3,FALSE),VLOOKUP(JH335,УГО_блоки,2,FALSE)),JH335)))</f>
        <v>BOX</v>
      </c>
      <c r="JJ335">
        <f t="shared" si="820"/>
        <v>1</v>
      </c>
      <c r="JK335" t="str">
        <f>IF(DQ335="","",IF(COUNTIF(DQ$3:DQ335,DQ335)=1,MAX(JK$2:JK334)+1,""))</f>
        <v/>
      </c>
      <c r="JL335" t="str">
        <f>IF(DE335="","",IF(COUNTIF(DE$3:DE335,DE335)+COUNTIF(DF$2:DF334,DE335)+COUNTIF(DG$2:DG334,DE335)=1,MAX(JL$2:JN334)+1,""))</f>
        <v/>
      </c>
      <c r="JM335" t="str">
        <f>IF(DF335="","",IF(COUNTIF(DE$3:DE335,DF335)+COUNTIF(DF$3:DF335,DF335)+COUNTIF(DG$2:DG334,DF335)=1,MAX(JL$2:JN334,JL335)+1,""))</f>
        <v/>
      </c>
      <c r="JN335" t="str">
        <f>IF(DG335="","",IF(COUNTIF(DE$3:DE335,DG335)+COUNTIF(DF$3:DF335,DG335)+COUNTIF(DG$3:DG335,DG335)=1,MAX(JL$2:JN334,JL335,JM335)+1,""))</f>
        <v/>
      </c>
      <c r="JO335" t="str">
        <f t="shared" si="821"/>
        <v/>
      </c>
      <c r="JP335" t="str">
        <f>IF(JO335="","",IF(COUNTIF(JO$3:JO335,JO335)=1,MAX(JP$2:JP334)+1,""))</f>
        <v/>
      </c>
      <c r="JQ335" t="str">
        <f>IF(HG335="","",COUNTIF(HG$3:HG335,"?*"))</f>
        <v/>
      </c>
      <c r="JR335" t="str">
        <f>IF(OR(HG335="",HI335=""),"",IF(COUNTIFS(HG$3:HG335,"?*",HI$3:HI335,HI335)=1,MAX(JR$2:JR334)+1,""))</f>
        <v/>
      </c>
      <c r="JS335">
        <f t="shared" si="822"/>
        <v>0</v>
      </c>
      <c r="JT335">
        <f>IF(B335="","",COUNTIF(B$3:B335,"?*"))</f>
        <v>333</v>
      </c>
      <c r="JU335">
        <f>IF(HL335&lt;&gt;1,0,_xlfn.LET(_xlpm.k,MAX(IFERROR(--_xlfn.XLOOKUP(B335,Коды_код,Коды_3L),0),IFERROR(--_xlfn.XLOOKUP(BC335,Коды_код,Коды_3L),0),IFERROR(--_xlfn.XLOOKUP(LEFT(BC335,2),Коды_код,Коды_3L),0)),IF(_xlpm.k&gt;0,_xlpm.k,IF(IFERROR(--LEFT(SUBSTITUTE(JO335,"x","х"),FIND("х",SUBSTITUTE(JO335,"x","х"))-1),3)&gt;3,Каталог!$S$9,1))))</f>
        <v>0</v>
      </c>
      <c r="JV335">
        <f t="shared" si="823"/>
        <v>0</v>
      </c>
      <c r="JW335" t="str">
        <f t="shared" si="824"/>
        <v>авто</v>
      </c>
      <c r="JX335" t="str">
        <f t="shared" si="825"/>
        <v/>
      </c>
      <c r="JY335">
        <f t="shared" si="826"/>
        <v>0</v>
      </c>
      <c r="JZ335">
        <f t="shared" si="827"/>
        <v>1</v>
      </c>
    </row>
    <row r="336" spans="1:286" x14ac:dyDescent="0.3">
      <c r="A336" t="s">
        <v>1110</v>
      </c>
      <c r="B336" t="s">
        <v>743</v>
      </c>
      <c r="C336" t="s">
        <v>1027</v>
      </c>
      <c r="D336">
        <v>1</v>
      </c>
      <c r="E336">
        <f>Линии[[#This Row],[_авто Р]]</f>
        <v>1.6</v>
      </c>
      <c r="G336">
        <v>16</v>
      </c>
      <c r="H336" t="str">
        <f>Линии[[#This Row],[_авто управление]]</f>
        <v/>
      </c>
      <c r="I336" t="str">
        <f>Линии[[#This Row],[_авто аппараты]]</f>
        <v/>
      </c>
      <c r="J336">
        <v>2.5</v>
      </c>
      <c r="K336">
        <v>16</v>
      </c>
      <c r="L336" t="str">
        <f>Линии[[#This Row],[_авто фаза]]</f>
        <v>L1,L2,L3</v>
      </c>
      <c r="M336" t="str">
        <f>Линии[[#This Row],[_авто клемма]]</f>
        <v/>
      </c>
      <c r="N336" t="str">
        <f t="shared" si="690"/>
        <v/>
      </c>
      <c r="O336" s="6" cm="1">
        <f t="array" ref="O336">IF(B336="","",IF(BH336&lt;&gt;"",IFERROR(_xlfn.XLOOKUP(BH336,Щиты[Щит],Щиты[Iр, А]),""),IF(BP336=1,IF(OR(N(_xlfn.XLOOKUP(A336,Щиты[Щит],Щиты[Вводов],1))&lt;=1,LOWER(TRIM(_xlfn.XLOOKUP(A336,Щиты[Щит],Щиты[АВР],"")&amp;""))="да"),IFERROR(_xlfn.XLOOKUP(A336,Щиты[Щит],Щиты[Iр, А]),""),IFERROR(N(BS336)*_xlfn.XLOOKUP(A336,Щиты[Щит],Щиты[Кс итог])/(SQRT(3)*Uн_лин*_xlfn.XLOOKUP(A336,Щиты[Щит],Щиты[cos φ])),"")),IF(BV336=1,IFERROR(BS336*1000/BU336,""),IFERROR(_xlfn.IFS(BX336=1,BS336/((Uн_лин/SQRT(3))*CE336),BX336=3,BS336/(SQRT(3)*Uн_лин*CE336)),"")))))</f>
        <v>3.646422752776584</v>
      </c>
      <c r="P336" s="7">
        <f>IF(B336="","",IFERROR(IF(VLOOKUP(BC336,Потребители_обозначение,4,FALSE)=1,VLOOKUP(BC336,Потребители_обозначение,3,FALSE)*(MAX(1,N(D336))*2-1)+EI336+VLOOKUP(BE336,Этаж_обозначение,3,FALSE)+VLOOKUP(BE336,Этаж_обозначение,4,FALSE),VLOOKUP(BC336,Потребители_обозначение,3,FALSE)*(MAX(1,N(D336))*2-1)+EI336),EI336))</f>
        <v>16</v>
      </c>
      <c r="Q336" s="6">
        <f t="shared" si="691"/>
        <v>0.63</v>
      </c>
      <c r="R336" t="str">
        <f t="shared" si="692"/>
        <v>ВВГнг(А)-FRLS (5х2,5)</v>
      </c>
      <c r="S336" t="str">
        <f>IF(BM336="","",IF(BN336="вводной узел","узел ","")&amp;"л."&amp;(INT((BM336-1)/Столбцов_на_лист)+1)&amp;" / "&amp;(MOD(BM336-1,Столбцов_на_лист)+1))</f>
        <v>узел л.1 / 3</v>
      </c>
      <c r="T336" s="119" t="str">
        <f t="shared" si="693"/>
        <v/>
      </c>
      <c r="U336" s="7" t="str">
        <f>IF(OR(CG336=0,N(BV336)+N(IB336)=0),"",ROUNDUP(Запас_БП*(N(HY336)+N(HZ336)),0))</f>
        <v/>
      </c>
      <c r="V336" s="119" t="str">
        <f t="shared" si="694"/>
        <v/>
      </c>
      <c r="W336" s="7" t="str">
        <f>IFERROR(IF(OR(B336="",BP336=1,BV336=1,NOT(ISNUMBER(EN336)),N(DT336)=0),"",MAX(0,ROUNDDOWN((c_min*(Uн_лин*1000/SQRT(3))/(HT336*N(DT336))-_xlfn.XLOOKUP(A336,Щиты[Щит],Щиты[Zпетли на шинах, Ом]))*EN336/(2*ρкз_Cu),0))),"")</f>
        <v/>
      </c>
      <c r="Y336" t="str">
        <f>Линии[[#This Row],[_авто утечка]]</f>
        <v/>
      </c>
      <c r="Z336">
        <v>3</v>
      </c>
      <c r="AA336">
        <v>400</v>
      </c>
      <c r="AB336" t="s">
        <v>547</v>
      </c>
      <c r="AJ336" t="s">
        <v>1344</v>
      </c>
      <c r="AK336" t="str">
        <f>Линии[[#This Row],[_авто модуль]]</f>
        <v/>
      </c>
      <c r="AM336">
        <v>3</v>
      </c>
      <c r="AN336" t="s">
        <v>13</v>
      </c>
      <c r="AO336">
        <v>5</v>
      </c>
      <c r="AQ336">
        <v>5</v>
      </c>
      <c r="AR336">
        <v>11</v>
      </c>
      <c r="BA336" cm="1">
        <f t="array" ref="BA336">ROW()-ROW(Линии[#Headers])</f>
        <v>334</v>
      </c>
      <c r="BC336" s="6" t="str">
        <f t="shared" si="695"/>
        <v>Ввод</v>
      </c>
      <c r="BD336" t="str">
        <f t="shared" si="696"/>
        <v>2</v>
      </c>
      <c r="BE336" t="str">
        <f t="shared" si="697"/>
        <v>2</v>
      </c>
      <c r="BF336" t="str">
        <f t="shared" si="698"/>
        <v/>
      </c>
      <c r="BG336" t="str">
        <f t="shared" si="699"/>
        <v/>
      </c>
      <c r="BH336" t="str">
        <f>IF(X336&lt;&gt;"",X336,IF(AND(B336&lt;&gt;"",B336&lt;&gt;A336,ISNUMBER(_xlfn.XMATCH(B336,Щиты[Щит]))),B336,""))</f>
        <v/>
      </c>
      <c r="BI336" t="str" cm="1">
        <f t="array" ref="BI336">IF(B336="","",IF(BH336&lt;&gt;"","Щит "&amp;BH336,_xlfn.LET(_xlpm.nm,IFERROR(_xlfn.XLOOKUP(BC336,Коды_код,Коды_имя)&amp;"",""),_xlpm.md,IFERROR(N(_xlfn.XLOOKUP(BC336,Коды_код,Коды_режим)),1),_xlpm.ex,IF(Имя_режим="по экспликации",IFERROR(_xlfn.XLOOKUP(BE336&amp;"|"&amp;BG336,Экспликация[Этаж]&amp;"|"&amp;Экспликация[Помещение],Экспликация[Название])&amp;"",""),""),_xlpm.rm,IF(BG336="","",IF(_xlpm.ex&lt;&gt;"",". "&amp;_xlpm.ex&amp;IF(Имя_пом="нет"," ("&amp;BG336&amp;")"," (пом. "&amp;BG336&amp;")"),IF(Имя_пом="нет"," ",", пом. ")&amp;BG336)),IF(_xlpm.nm="","",IF(_xlpm.md=2,_xlpm.nm&amp;" шлейф "&amp;BE336,_xlpm.nm&amp;_xlpm.rm)))))</f>
        <v>Вводной кабель шлейф 2</v>
      </c>
      <c r="BJ336" t="str">
        <f t="shared" si="700"/>
        <v>Вводной кабель №2</v>
      </c>
      <c r="BK336">
        <f>IFERROR(_xlfn.XMATCH(A336,Щиты[Щит]),0)</f>
        <v>16</v>
      </c>
      <c r="BL336">
        <f>_xlfn.LET(_xlpm.k,IFERROR(_xlfn.XLOOKUP(A336,Щиты[Щит],Щиты[Мест под вводной узел]),""),IF(_xlpm.k="",Столбцов_на_лист,N(_xlpm.k)))</f>
        <v>12</v>
      </c>
      <c r="BM336">
        <f t="shared" si="701"/>
        <v>3</v>
      </c>
      <c r="BN336" t="str">
        <f t="shared" si="702"/>
        <v>вводной узел</v>
      </c>
      <c r="BO336" s="6">
        <f>IFERROR(N(_xlfn.XLOOKUP(BC336,Коды_код,Коды_квт)),0)</f>
        <v>0</v>
      </c>
      <c r="BP336">
        <f t="shared" si="703"/>
        <v>1</v>
      </c>
      <c r="BQ336">
        <f>IF(B336="","",IF(BH336&lt;&gt;"",IFERROR(_xlfn.XLOOKUP(BH336,Щиты[Щит],Щиты[Руст, кВт]),0),IF(BP336=1,IF(OR(N(_xlfn.XLOOKUP(A336,Щиты[Щит],Щиты[Вводов],1))&lt;=1,LOWER(TRIM(_xlfn.XLOOKUP(A336,Щиты[Щит],Щиты[АВР],"")&amp;""))="да"),IFERROR(_xlfn.XLOOKUP(A336,Щиты[Щит],Щиты[Руст, кВт]),0),SUMIFS(Линии[_Р для вводов],Линии[Щит],A336,Линии[Источник для режимов],GF336)),IF(BO336&gt;0,ROUND(BO336*MAX(1,N(D336)),3),""))))</f>
        <v>1.6</v>
      </c>
      <c r="BR336">
        <f t="shared" si="704"/>
        <v>1.6</v>
      </c>
      <c r="BS336" s="6">
        <f>IF(B336="","",IF(BH336&lt;&gt;"",IFERROR(_xlfn.XLOOKUP(BH336,Щиты[Щит],Щиты[Руст, кВт]),0),N(BR336)))</f>
        <v>1.6</v>
      </c>
      <c r="BT336" t="str">
        <f>IF(B336="","",IFERROR(IF(VLOOKUP(BC336,Потребители_обозначение,8,FALSE)=0,"",VLOOKUP(BC336,Потребители_обозначение,8,FALSE)),""))</f>
        <v/>
      </c>
      <c r="BU336">
        <f t="shared" si="705"/>
        <v>400</v>
      </c>
      <c r="BV336">
        <f t="shared" si="706"/>
        <v>0</v>
      </c>
      <c r="BW336">
        <f>IF(B336="","",IF(BH336&lt;&gt;"",3,IFERROR(IF(N(VLOOKUP(BC336,Потребители_обозначение,9,FALSE))=0,1,VLOOKUP(BC336,Потребители_обозначение,9,FALSE)),1)))</f>
        <v>1</v>
      </c>
      <c r="BX336">
        <f t="shared" si="707"/>
        <v>3</v>
      </c>
      <c r="BY336" t="str">
        <f>IF(B336="","",_xlfn.LET(_xlpm.bc,IFERROR(IF(VLOOKUP(BC336,Потребители_обозначение,6,FALSE)=0,"",VLOOKUP(BC336,Потребители_обозначение,6,FALSE)&amp;""),""),IF(AND(GA336="да",OR(_xlpm.bc="",_xlpm.bc="мс")),Марка_пож,IF(AND(_xlpm.bc="",BH336&lt;&gt;""),"мс",_xlpm.bc))))</f>
        <v/>
      </c>
      <c r="BZ336" t="str">
        <f t="shared" si="708"/>
        <v>мфр</v>
      </c>
      <c r="CA336">
        <f>IF(B336="","",_xlfn.LET(_xlpm.cc,IFERROR(N(VLOOKUP(BC336,Потребители_обозначение,7,FALSE)),0),IF(_xlpm.cc&gt;0,_xlpm.cc,IF(BZ336="","",IF(BV336=1,2,IF(N(BX336)=3,5,3))))))</f>
        <v>5</v>
      </c>
      <c r="CB336">
        <f t="shared" si="709"/>
        <v>5</v>
      </c>
      <c r="CC336">
        <f>IFERROR(N(VLOOKUP(BC336,Потребители_обозначение,10,FALSE)),0)</f>
        <v>0</v>
      </c>
      <c r="CD336">
        <f>IFERROR(VLOOKUP(BC336,Потребители_обозначение,5,FALSE),0)</f>
        <v>1</v>
      </c>
      <c r="CE336" s="6" cm="1">
        <f t="array" ref="CE336">IF(B336="","",IF(BH336&lt;&gt;"",IFERROR(_xlfn.XLOOKUP(BH336,Щиты[Щит],Щиты[cos φ]),0.95),IF(BP336=1,IFERROR(_xlfn.XLOOKUP(A336,Щиты[Щит],Щиты[cos φ]),0.95),IF(ISNUMBER(AD336),AD336,IFERROR(IF(CD336=2,_xlfn.IFS(BX336=3,VLOOKUP(BS336,Справочная_двигатели,8,FALSE),BX336=1,VLOOKUP(BS336,Справочная_двигатели,10,TRUE)),IF(AND(Методика="нормы 2026",FG336="Сил"),0.8,0.95)),0.95)))))</f>
        <v>0.95</v>
      </c>
      <c r="CF336">
        <f t="shared" si="710"/>
        <v>0</v>
      </c>
      <c r="CG336">
        <f t="shared" si="711"/>
        <v>1</v>
      </c>
      <c r="CH336">
        <f t="shared" si="712"/>
        <v>0</v>
      </c>
      <c r="CI336">
        <f>IF(B336="","",IF(BV336=1,IFERROR(BS336/((Uн_лин/SQRT(3))*MAX(0.5,N(CE336))),0),N(O336)))</f>
        <v>3.646422752776584</v>
      </c>
      <c r="CJ336">
        <f t="shared" si="713"/>
        <v>0</v>
      </c>
      <c r="CK336">
        <f t="shared" si="714"/>
        <v>0</v>
      </c>
      <c r="CL336">
        <f t="shared" si="715"/>
        <v>0</v>
      </c>
      <c r="CM336">
        <f t="shared" si="716"/>
        <v>0</v>
      </c>
      <c r="CN336">
        <f t="shared" si="717"/>
        <v>0</v>
      </c>
      <c r="CO336">
        <f>IF(BC336="",0,_xlfn.LET(_xlpm.v,IFERROR(_xlfn.XLOOKUP(B336,Коды_код,Коды_мА),IFERROR(_xlfn.XLOOKUP(BC336,Коды_код,Коды_мА),IFERROR(_xlfn.XLOOKUP(LEFT(BC336,2),Коды_код,Коды_мА),""))),IF(_xlpm.v="да",30,IF(ISNUMBER(_xlpm.v),_xlpm.v,0))))</f>
        <v>0</v>
      </c>
      <c r="CP336" t="str">
        <f t="shared" si="718"/>
        <v/>
      </c>
      <c r="CQ336" t="str">
        <f>_xlfn.LET(_xlpm.k,IFERROR(_xlfn.XLOOKUP(BC336,Коды_код,Коды_утечка)&amp;"",""),IF(_xlpm.k="","дифавтомат",_xlpm.k))</f>
        <v>дифавтомат</v>
      </c>
      <c r="CR336" t="str" cm="1">
        <f t="array" ref="CR336">IF(CG336=0,"",_xlfn.LET(_xlpm.sg,TRIM(_xlfn.TEXTSPLIT(DD336&amp;"",";")),_xlpm.f_,_xlfn._xlws.FILTER(_xlpm.sg,LEFT(_xlpm.sg,3)="УЗО",""),IFERROR(INDEX(_xlpm.f_,1)&amp;"","")))</f>
        <v/>
      </c>
      <c r="CS336" t="str">
        <f t="shared" si="719"/>
        <v/>
      </c>
      <c r="CT336" s="6" t="str" cm="1">
        <f t="array" ref="CT336">IF(CR336="","",_xlfn.LET(_xlpm.tk,_xlfn.TEXTSPLIT(UPPER(CR336)," ",,TRUE),_xlpm.a_,_xlfn._xlws.FILTER(_xlpm.tk,ISNUMBER(--LEFT(_xlpm.tk,1))*((ISNUMBER(SEARCH("А",_xlpm.tk))+ISNUMBER(SEARCH("A",_xlpm.tk)))&gt;0)*NOT(ISNUMBER(SEARCH("МА",_xlpm.tk)))*NOT(ISNUMBER(SEARCH("MA",_xlpm.tk))),""),IFERROR(--SUBSTITUTE(SUBSTITUTE(INDEX(_xlpm.a_,1),"А",""),"A",""),"")))</f>
        <v/>
      </c>
      <c r="CU336" t="str" cm="1">
        <f t="array" ref="CU336">IF(CR336="","",_xlfn.LET(_xlpm.tk,_xlfn.TEXTSPLIT(UPPER(CR336)," ",,TRUE),_xlpm.a_,_xlfn._xlws.FILTER(_xlpm.tk,ISNUMBER(--LEFT(_xlpm.tk,1))*((ISNUMBER(SEARCH("МА",_xlpm.tk))+ISNUMBER(SEARCH("MA",_xlpm.tk)))&gt;0),""),IFERROR(--SUBSTITUTE(SUBSTITUTE(INDEX(_xlpm.a_,1),"МА",""),"MA",""),30)))</f>
        <v/>
      </c>
      <c r="CV336" t="str">
        <f>IF(CS336="","",IFERROR(_xlfn.XLOOKUP(CS336,Линии[_n],Линии[_УЗО, мА]),30))</f>
        <v/>
      </c>
      <c r="CW336">
        <f>IF(CS336="",0,IF(ISNUMBER(SEARCH("4P",IFERROR(_xlfn.XLOOKUP(CS336,Линии[_n],Линии[_УЗО строки])&amp;"",""))),0,1))</f>
        <v>0</v>
      </c>
      <c r="CX336" t="str">
        <f>IF(AND(CS336&lt;&gt;"",CS336=BA336),SUMIFS(Линии[_ток на 230 В],Линии[_блок УЗО],BA336,Линии[Щит],A336),"")</f>
        <v/>
      </c>
      <c r="CY336" t="str">
        <f>IF(AND(CS336&lt;&gt;"",CS336=BA336),SUMIFS(Линии[_ток утечки линии, мА],Линии[_блок УЗО],BA336,Линии[Щит],A336),"")</f>
        <v/>
      </c>
      <c r="CZ336">
        <f t="shared" si="720"/>
        <v>0</v>
      </c>
      <c r="DA336">
        <f t="shared" si="721"/>
        <v>0</v>
      </c>
      <c r="DB336">
        <f>IF(B336="",0,IFERROR(--_xlfn.XLOOKUP(B336,Коды_код,Коды_минавт),IFERROR(--_xlfn.XLOOKUP(BC336,Коды_код,Коды_минавт),IFERROR(--_xlfn.XLOOKUP(LEFT(BC336,2),Коды_код,Коды_минавт),0))))</f>
        <v>0</v>
      </c>
      <c r="DC336" t="str">
        <f>IF(B336="","",IFERROR(_xlfn.XLOOKUP(BC336,Коды_код,Коды_апп)&amp;"",""))</f>
        <v/>
      </c>
      <c r="DD336" t="str">
        <f t="shared" si="722"/>
        <v/>
      </c>
      <c r="DE336" t="str" cm="1">
        <f t="array" ref="DE336">IF(TRIM(DD336&amp;"")="","",IFERROR(TRIM(INDEX(_xlfn.TEXTSPLIT(DD336&amp;";;;",";"),1)),""))</f>
        <v/>
      </c>
      <c r="DF336" t="str" cm="1">
        <f t="array" ref="DF336">IF(TRIM(DD336&amp;"")="","",IFERROR(TRIM(INDEX(_xlfn.TEXTSPLIT(DD336&amp;";;;",";"),2)),""))</f>
        <v/>
      </c>
      <c r="DG336" t="str" cm="1">
        <f t="array" ref="DG336">IF(TRIM(DD336&amp;"")="","",IFERROR(TRIM(INDEX(_xlfn.TEXTSPLIT(DD336&amp;";;;",";"),3)),""))</f>
        <v/>
      </c>
      <c r="DH336">
        <f t="shared" si="723"/>
        <v>0</v>
      </c>
      <c r="DI336" t="str">
        <f>IF(B336="","",_xlfn.LET(_xlpm.t,LOWER(AZ336&amp;""),IF(ISNUMBER(SEARCH("dim",_xlpm.t)),"DIM",IF(ISNUMBER(SEARCH("dali",_xlpm.t)),"DALI",IF(OR(ISNUMBER(SEARCH("relay",_xlpm.t)),ISNUMBER(SEARCH("реле",_xlpm.t))),"Relay",IF(ISNUMBER(SEARCH("кнопк",_xlpm.t)),"",IFERROR(_xlfn.XLOOKUP(BC336,Коды_код,Коды_упр)&amp;"","")))))))</f>
        <v/>
      </c>
      <c r="DJ336" t="str">
        <f t="shared" si="724"/>
        <v/>
      </c>
      <c r="DK336">
        <f>IF(B336="","",_xlfn.LET(_xlpm.ig,IF(N(CX336)&gt;0,N(CX336),N(CI336)+IF(AJ336="вручную",0,N(CJ336))),_xlpm.n0,IFERROR(VLOOKUP(_xlpm.ig,Автомат_номиналы,2,TRUE),0),_xlpm.mn,MAX(DB336,IF(AJ336="вручную",0,N(CM336))),MAX(_xlpm.n0,_xlpm.mn,IF(DH336=1,Мин_автомат_БП,0))))</f>
        <v>6</v>
      </c>
      <c r="DL336">
        <f t="shared" si="725"/>
        <v>3</v>
      </c>
      <c r="DM336" t="str">
        <f t="shared" si="726"/>
        <v>3P</v>
      </c>
      <c r="DN336" t="str">
        <f>_xlfn.LET(_xlpm.cc,UPPER(TRIM(IFERROR(_xlfn.XLOOKUP(BC336,Коды_код,Коды_хар)&amp;"",""))),IF(OR(_xlpm.cc="B",_xlpm.cc="В"),"B",IF(_xlpm.cc="D","D","С")))</f>
        <v>С</v>
      </c>
      <c r="DO336" t="str">
        <f t="shared" si="727"/>
        <v>3P С6А</v>
      </c>
      <c r="DP336">
        <f t="shared" si="728"/>
        <v>16</v>
      </c>
      <c r="DQ336" t="str">
        <f t="shared" si="729"/>
        <v>3P С16А</v>
      </c>
      <c r="DR336" cm="1">
        <f t="array" ref="DR336">IF(DQ336="","",_xlfn.LET(_xlpm.t,SUBSTITUTE(SUBSTITUTE(SUBSTITUTE(UPPER(DQ336),"С","C"),"А","A"),"В","B"),_xlpm.tk,_xlfn.TEXTSPLIT(_xlpm.t," "),_xlpm.f,_xlfn._xlws.FILTER(_xlpm.tk,ISNUMBER(--MID(_xlpm.tk,2,1))*ISNUMBER(SEARCH(LEFT(_xlpm.tk,1)&amp;"#","B#C#D#"))*(LEN(_xlpm.tk)&gt;1),""),_xlpm.x,INDEX(_xlpm.f,1),IFERROR(--SUBSTITUTE(MID(_xlpm.x,2,9),"A",""),IFERROR(--SUBSTITUTE(INDEX(_xlfn._xlws.FILTER(_xlpm.tk,ISNUMBER(--SUBSTITUTE(_xlpm.tk,"A","")),""),1),"A",""),""))))</f>
        <v>16</v>
      </c>
      <c r="DS336" t="str">
        <f t="shared" si="730"/>
        <v>узел</v>
      </c>
      <c r="DT336">
        <f t="shared" si="731"/>
        <v>16</v>
      </c>
      <c r="DU336" t="str">
        <f t="shared" si="732"/>
        <v>3P С16А</v>
      </c>
      <c r="DV336">
        <f t="shared" si="733"/>
        <v>0</v>
      </c>
      <c r="DW336">
        <f t="shared" si="734"/>
        <v>0</v>
      </c>
      <c r="DX336">
        <f t="shared" si="735"/>
        <v>0</v>
      </c>
      <c r="DY336">
        <f t="shared" si="736"/>
        <v>3.646422752776584</v>
      </c>
      <c r="DZ336">
        <f t="shared" si="737"/>
        <v>0.92</v>
      </c>
      <c r="EA336">
        <f>IF(ISNUMBER(AP336),AP336,К_прокл)</f>
        <v>1</v>
      </c>
      <c r="EB336">
        <f t="shared" si="738"/>
        <v>3</v>
      </c>
      <c r="EC336">
        <f>IFERROR(N(VLOOKUP(BZ336,Кабель_обозначение,3,FALSE)),1)</f>
        <v>1</v>
      </c>
      <c r="ED336">
        <f>IFERROR(N(_xlfn.XLOOKUP(A336,Щиты[Щит],Щиты[ΔU до шин, %])),0)</f>
        <v>0.41000000000000003</v>
      </c>
      <c r="EE336" t="str">
        <f>IFERROR(_xlfn.XLOOKUP(A336,Щиты[Щит],Щиты[Zпетли на шинах, Ом]),"")</f>
        <v/>
      </c>
      <c r="EF336">
        <f>IFERROR(N(_xlfn.XLOOKUP(A336,Щиты[Щит],Щиты[ΔU до шин (подбор), %])),0)</f>
        <v>0.68</v>
      </c>
      <c r="EG336" t="str">
        <f>IFERROR(_xlfn.XLOOKUP(A336,Щиты[Щит],Щиты[Zпетли на шинах (подбор), Ом]),"")</f>
        <v/>
      </c>
      <c r="EH336" t="str">
        <f t="shared" si="739"/>
        <v/>
      </c>
      <c r="EI336">
        <f t="shared" si="740"/>
        <v>16</v>
      </c>
      <c r="EJ336">
        <f t="shared" si="741"/>
        <v>1</v>
      </c>
      <c r="EK336">
        <f t="shared" si="742"/>
        <v>0.31</v>
      </c>
      <c r="EL336" s="6">
        <f>IF(B336="","",IF(BV336=1,dU_LED,IF(IFERROR(_xlfn.XLOOKUP(BC336,Коды_код,Коды_уго),"")="Светильник",3,4)+IF(Методика="нормы 2026",MIN(0.5,MAX(0,N(P336)-100)*0.005),0)))</f>
        <v>4</v>
      </c>
      <c r="EM336" cm="1">
        <f t="array" ref="EM336">IF(OR(B336="",BZ336="",EC336&lt;&gt;1),"",_xlfn.LET(_xlpm.sz,Iдоп_S,_xlpm.t_,CHOOSE(EB336,Iдоп_1ж,Iдоп_2ж,Iдоп_3ж)*DZ336*EA336,_xlpm.dcx,BV336=1,_xlpm.inn,IF(_xlpm.dcx,N(O336),N(DT336)),_xlpm.smin,MAX(1.5,CC336),_xlpm.L_,N(P336)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336)/N(BU336)*100,999),IFERROR(N(EJ336)*(_xlpm.rho*_xlpm.L_/_xlpm.sz*N(CE336)+_xlpm.xx*_xlpm.L_*N(EK336)/1000)*N(O336)/((Uн_лин/SQRT(3))*1000)*100,999)),_xlpm.kz,IF(OR(_xlpm.dcx,DW336=1,NOT(ISNUMBER(EG336)),_xlpm.L_=0,_xlpm.inn=0),1,IFERROR(--(c_min*(Uн_лин*1000/SQRT(3))/(EG336+2*ρкз_Cu*_xlpm.L_/_xlpm.sz)&gt;=HT336*_xlpm.inn),0)),_xlpm.ok,IFERROR((_xlpm.sz&gt;=_xlpm.smin)*(_xlpm.t_&gt;=_xlpm.inn)*IF(_xlpm.L_&gt;0,(_xlpm.du_+IF(_xlpm.dcx,0,EF336)&lt;=EL336+0.00001),1)*_xlpm.kz,0),_xlpm.r_,_xlfn._xlws.FILTER(_xlpm.sz,_xlpm.ok,"не подобрано"),INDEX(_xlpm.r_,1)))</f>
        <v>1.5</v>
      </c>
      <c r="EN336">
        <f t="shared" si="743"/>
        <v>2.5</v>
      </c>
      <c r="EO336" cm="1">
        <f t="array" ref="EO336">IF(OR(B336="",BZ336="",EC336&lt;&gt;1),"",_xlfn.LET(_xlpm.sz,Iдоп_S,_xlpm.t_,CHOOSE(EB336,Iдоп_1ж,Iдоп_2ж,Iдоп_3ж)*DZ336*EA336,_xlpm.ok,IFERROR((_xlpm.sz&gt;=MAX(1.5,CC336))*(_xlpm.t_&gt;=N(DT336)),0),_xlpm.r_,_xlfn._xlws.FILTER(_xlpm.sz,_xlpm.ok,""),INDEX(_xlpm.r_,1)))</f>
        <v>1.5</v>
      </c>
      <c r="EP336" s="6" cm="1">
        <f t="array" ref="EP336">IFERROR(ROUNDUP(N(EJ336)*(_xlfn.XLOOKUP(EO336,INDEX(Кабель_сопротивление,0,1),INDEX(Кабель_сопротивление,0,3))*N(P336)/EO336*N(CE336)+_xlfn.XLOOKUP(EO336,INDEX(Кабель_сопротивление,0,1),INDEX(Кабель_сопротивление,0,2))*N(P336)*N(EK336)/1000)*N(O336)/((Uн_лин/SQRT(3))*1000)*100,2),"")</f>
        <v>0.37</v>
      </c>
      <c r="EQ336">
        <f>IFERROR(2*ρкз_Cu*N(P336)/EO336,"")</f>
        <v>0.56106666666666671</v>
      </c>
      <c r="ER336">
        <f>IFERROR(VLOOKUP(EN336,Кабель_сопротивление,3,FALSE),"")</f>
        <v>2.2499999999999999E-2</v>
      </c>
      <c r="ES336">
        <f>IFERROR(VLOOKUP(EN336,Кабель_сопротивление,2,FALSE),"")</f>
        <v>0.1</v>
      </c>
      <c r="ET336">
        <f t="shared" si="744"/>
        <v>11</v>
      </c>
      <c r="EU336" t="str">
        <f t="shared" si="745"/>
        <v/>
      </c>
      <c r="EV336">
        <f t="shared" si="746"/>
        <v>0.50063925826521383</v>
      </c>
      <c r="EW336" s="6">
        <f>IFERROR(ROUNDUP(EV336/IF(BV336=1,BU336,(Uн_лин/SQRT(3))*1000)*100,2),"")</f>
        <v>0.22</v>
      </c>
      <c r="EX336" t="str">
        <f>IFERROR(VLOOKUP(BZ336,Кабель_обозначение,2,FALSE),"")</f>
        <v>ВВГнг(А)-FRLS</v>
      </c>
      <c r="EY336" t="str">
        <f t="shared" si="747"/>
        <v>ВВГнг(А)-FRLS (5х2,5)</v>
      </c>
      <c r="EZ336" t="str">
        <f t="shared" si="748"/>
        <v>ВВГнг(А)-FRLS (5х2,5)
L=16-0,22%</v>
      </c>
      <c r="FA336">
        <f>IFERROR(2*ρкз_Cu*P336/EN336,"")</f>
        <v>0.33663999999999999</v>
      </c>
      <c r="FB336">
        <f t="shared" si="749"/>
        <v>0.11200000000000002</v>
      </c>
      <c r="FC336" s="6" t="str">
        <f>IFERROR(IF(OR(B336="",BV336=1,NOT(ISNUMBER(EN336)),N(P336)=0),"",_xlfn.XLOOKUP(A336,Щиты[Щит],Щиты[Zпетли на шинах, Ом])+FA336),"")</f>
        <v/>
      </c>
      <c r="FD336" s="6" t="str">
        <f>IF(ISNUMBER(FC336),c_min*(Uн_лин*1000/SQRT(3))/FC336,"")</f>
        <v/>
      </c>
      <c r="FE336" s="6" t="str">
        <f>IFERROR(IF(OR(B336="",NOT(ISNUMBER(EN336))),"",1.05*(Uн_лин*1000/SQRT(3))/(_xlfn.XLOOKUP(A336,Щиты[Щит],Щиты[Zmax на шинах, Ом])+FB336)/1000),"")</f>
        <v/>
      </c>
      <c r="FF336" s="6" t="str">
        <f>IF(B336="","",IF(ISNUMBER(AC336),"Сил",IF(IFERROR(_xlfn.XLOOKUP(BC336,Коды_код,Коды_группа)&amp;"","")="","Быт",_xlfn.XLOOKUP(BC336,Коды_код,Коды_группа)&amp;"")))</f>
        <v>Быт</v>
      </c>
      <c r="FG336" s="6" t="str">
        <f t="shared" si="750"/>
        <v>Нет</v>
      </c>
      <c r="FH336" s="6">
        <f>IF(FG336="Щит","щит",IF(FG336="","",IF(FG336="Быт",IFERROR(_xlfn.XLOOKUP(A336,Щиты[Щит],Щиты[Кс быт]),1),IF(FG336="Сил",IF(ISNUMBER(AC336),AC336,IF(Методика="нормы 2026",IFERROR(_xlfn.XLOOKUP(A336,Щиты[Щит],Щиты[Кс силовых (табл. 7.5)]),1),1)),IF(OR(FG336="Пост",FG336="Отоп"),1,IF(FG336="ВНГ",0.7,0))))))</f>
        <v>0</v>
      </c>
      <c r="FI336">
        <f>IF(FG336="","",IF(AND(BP336=1,TRIM(AE336&amp;"")=""),IF(COUNTIFS(Линии[Щит],A336,Линии[Секция (1/2/3)],"&gt;=2")&gt;0,MIN(3,MAX(1,IFERROR(--BD336,1))),1),IFERROR(MIN(3,MAX(1,INT(--AE336))),1)))</f>
        <v>1</v>
      </c>
      <c r="FJ336">
        <f t="shared" si="751"/>
        <v>0</v>
      </c>
      <c r="FK336">
        <f t="shared" si="752"/>
        <v>0</v>
      </c>
      <c r="FL336">
        <f t="shared" si="753"/>
        <v>0</v>
      </c>
      <c r="FM336">
        <f t="shared" si="754"/>
        <v>0</v>
      </c>
      <c r="FN336">
        <f t="shared" si="755"/>
        <v>0</v>
      </c>
      <c r="FO336">
        <f t="shared" si="756"/>
        <v>0</v>
      </c>
      <c r="FP336">
        <f t="shared" si="757"/>
        <v>0</v>
      </c>
      <c r="FQ336">
        <f t="shared" si="758"/>
        <v>0</v>
      </c>
      <c r="FR336">
        <f t="shared" si="759"/>
        <v>0</v>
      </c>
      <c r="FS336">
        <f>IF(CG336=1,IF(AND(CH336=1,CW336=1),0,IF(AND(CS336&lt;&gt;"",CS336=BA336,CW336=1),SUMIFS(Линии[_Р линии, кВт],Линии[_блок УЗО],BA336,Линии[Щит],A336),N(BS336)+IF(AJ336="вручную",0,N(CK336)))),0)</f>
        <v>1.6</v>
      </c>
      <c r="FT336" t="str">
        <f t="shared" si="760"/>
        <v/>
      </c>
      <c r="FU336" t="str">
        <f>IF(B336="","",IF(CG336=0,IF(BA336=1,"",FW335),IF(AND(CH336=1,CW336=1,CS336&lt;&gt;""),IFERROR(_xlfn.XLOOKUP(CS336,Линии[_n],Линии[_фаза итог]),"L1"),IF(OR(N(DL336)&gt;=3,N(BX336)&gt;=3),"L1,L2,L3",IFERROR(_xlfn.TEXTBEFORE(_xlfn.TEXTAFTER(_xlfn.XLOOKUP(A336,Щиты[Щит],Щиты[_фазы авто]),";"&amp;BA336&amp;":"),";"),"L1")))))</f>
        <v>L1,L2,L3</v>
      </c>
      <c r="FV336" t="str">
        <f t="shared" si="761"/>
        <v>L1,L2,L3</v>
      </c>
      <c r="FW336" t="str">
        <f t="shared" si="762"/>
        <v>L1,L2,L3</v>
      </c>
      <c r="FX336" cm="1">
        <f t="array" ref="FX336">IFERROR(IF(CD336=2,_xlfn.IFS(BX336=3,VLOOKUP(BS336,Справочная_двигатели,3,FALSE),BX336=1,VLOOKUP(BS336,Справочная_двигатели,5,TRUE)),0),0)</f>
        <v>0</v>
      </c>
      <c r="FY336">
        <f>IFERROR(IF(CD336=3,VLOOKUP(BS336,Справочная_ЛЭД,2,TRUE),0),0)</f>
        <v>0</v>
      </c>
      <c r="FZ336" s="6">
        <f t="shared" si="763"/>
        <v>0</v>
      </c>
      <c r="GA336" t="str">
        <f>IF(B336="","",IF(TRIM(AH336&amp;"")&lt;&gt;"",IF(LOWER(TRIM(AH336&amp;""))="да","да","нет"),IF(IFERROR(_xlfn.XLOOKUP(BC336,Коды_код,Коды_пожарная),"")="да","да","нет")))</f>
        <v>нет</v>
      </c>
      <c r="GB336" t="str">
        <f t="shared" si="764"/>
        <v/>
      </c>
      <c r="GC336" t="str">
        <f t="shared" si="765"/>
        <v>основная</v>
      </c>
      <c r="GD336">
        <f>IF(AND(BP336=1,TRIM(AE336&amp;"")=""),IF(COUNTIFS(Линии[Щит],A336,Линии[Секция (1/2/3)],"&gt;=2")&gt;0,MIN(3,MAX(1,IFERROR(--BD336,1))),1),IFERROR(MIN(3,MAX(1,INT(--AE336))),1))</f>
        <v>1</v>
      </c>
      <c r="GE336" t="str" cm="1">
        <f t="array" ref="GE336">IF(B336="","",_xlfn.LET(_xlpm.t,IFERROR(_xlfn.XLOOKUP(1,(Шины[Шина]=GC336)*(((Шины[Щит]=A336)+(Шины[Щит]=""))&gt;0),Шины[Тип]),"")&amp;"",IF(_xlpm.t&lt;&gt;"",_xlpm.t,IF(ISNUMBER(SEARCH("ИБП",GC336)),"ИБП",IF(ISNUMBER(SEARCH("ДГУ",GC336)),"ДГУ","Ввод "&amp;GD336)))))</f>
        <v>Ввод 1</v>
      </c>
      <c r="GF336" t="str">
        <f t="shared" si="766"/>
        <v>Ввод 1</v>
      </c>
      <c r="GG336" t="str">
        <f>IF(BP336=0,"",IF(TRIM(AG336&amp;"")&lt;&gt;"",TRIM(AG336&amp;""),IF(OR(GE336="ИБП",GE336="ДГУ"),"I особая",_xlfn.XLOOKUP(A336,Щиты[Щит],Щиты[Категория шины «Ввод»],"III"))))</f>
        <v>I</v>
      </c>
      <c r="GH336" t="str">
        <f>IF(A336="","",_xlfn.XLOOKUP(A336,Щиты[Щит],Щиты[Путь],""))</f>
        <v>|ГРЩ-ЖД|ЩСПЗ-ЖД|</v>
      </c>
      <c r="GI336" t="str">
        <f>IF(B336="","",IF(AI336&lt;&gt;"",AI336,IF(IFERROR(_xlfn.XLOOKUP(BC336,Коды_код,Коды_вид)&amp;"","")="","Прочее",_xlfn.XLOOKUP(BC336,Коды_код,Коды_вид)&amp;"")))</f>
        <v>Прочее</v>
      </c>
      <c r="GJ336">
        <f>IF(BM336="","",INT((BM336-1)/Столбцов_на_лист)+1)</f>
        <v>1</v>
      </c>
      <c r="GK336" t="str">
        <f t="shared" si="767"/>
        <v>ВВГнг(А)-FRLS (5х2,5) L=16-0,22%</v>
      </c>
      <c r="GL336">
        <f t="shared" si="768"/>
        <v>1.6</v>
      </c>
      <c r="GM336">
        <f t="shared" si="769"/>
        <v>3.65</v>
      </c>
      <c r="GN336">
        <f t="shared" si="770"/>
        <v>3</v>
      </c>
      <c r="GO336">
        <f t="shared" si="771"/>
        <v>0</v>
      </c>
      <c r="GP336">
        <f t="shared" si="772"/>
        <v>0</v>
      </c>
      <c r="GQ336" t="str">
        <f>IF(BM336="","",IF(AND(CG336=1,GP336=1),COUNTIFS(A$3:A336,A336,CG$3:CG336,1,GP$3:GP336,1),IF(OR(OR(BA336=1,A336&lt;&gt;A335),AJ336="вручную",GP336=0),"",IF(BA336=1,"",GR335))))</f>
        <v/>
      </c>
      <c r="GR336" t="str">
        <f t="shared" si="773"/>
        <v/>
      </c>
      <c r="GS336">
        <f>IF(B336="","",IFERROR(LOOKUP(INDEX(CHOOSE(EB336,Iдоп_1ж,Iдоп_2ж,Iдоп_3ж),MATCH(EN336,Iдоп_S,0))*DZ336*EA336,{6,10,16,20,25,32,40,50,63,80,100,125,160,200,250,315,400,500,630}),""))</f>
        <v>20</v>
      </c>
      <c r="GT336" t="str">
        <f t="shared" si="774"/>
        <v/>
      </c>
      <c r="GU336" t="str">
        <f t="shared" si="775"/>
        <v/>
      </c>
      <c r="GV336" t="str">
        <f t="shared" si="776"/>
        <v/>
      </c>
      <c r="GW336">
        <f t="shared" si="777"/>
        <v>0</v>
      </c>
      <c r="GX336" t="str">
        <f>IF(OR(B336="",DJ336=""),"",IFERROR(_xlfn.XLOOKUP(DJ336,Модули_умолч[Управление],Модули_умолч[Модель])&amp;"",""))</f>
        <v/>
      </c>
      <c r="GY336">
        <f>IF(DJ336="",1,IFERROR(MAX(0,N(_xlfn.XLOOKUP(DJ336,Модули_умолч[Управление],Модули_умолч[Каналов на линию]))),1))</f>
        <v>1</v>
      </c>
      <c r="GZ336" t="str">
        <f t="shared" si="778"/>
        <v/>
      </c>
      <c r="HA336" t="str">
        <f t="shared" si="779"/>
        <v/>
      </c>
      <c r="HB336" t="str">
        <f t="shared" si="780"/>
        <v/>
      </c>
      <c r="HC336">
        <f>IF(HB336="",0,IFERROR(N(VLOOKUP(HB336,Модули_спр,3,FALSE)),0))</f>
        <v>0</v>
      </c>
      <c r="HD336" t="str">
        <f t="shared" si="781"/>
        <v/>
      </c>
      <c r="HE336" t="str">
        <f t="shared" si="782"/>
        <v/>
      </c>
      <c r="HF336" t="str">
        <f>IF(OR(HE336="",HE336="-"),"",IFERROR(VLOOKUP(HE336,Модули_спр,2,FALSE),"R"))</f>
        <v/>
      </c>
      <c r="HG336" t="str">
        <f>IF(HF336="","",HF336&amp;"."&amp;COUNTIFS(A$3:A336,A336,HF$3:HF336,HF336))</f>
        <v/>
      </c>
      <c r="HH336" t="str">
        <f t="shared" si="783"/>
        <v/>
      </c>
      <c r="HI336" t="str">
        <f t="shared" si="784"/>
        <v/>
      </c>
      <c r="HJ336" t="str">
        <f t="shared" si="785"/>
        <v/>
      </c>
      <c r="HK336" t="str">
        <f t="shared" si="786"/>
        <v/>
      </c>
      <c r="HL336">
        <f t="shared" si="787"/>
        <v>0</v>
      </c>
      <c r="HM336" t="str">
        <f>IF(HL336=1,"XT"&amp;COUNTIFS(A$3:A336,A336,HL$3:HL336,1),"")</f>
        <v/>
      </c>
      <c r="HN336" t="str">
        <f t="shared" si="788"/>
        <v/>
      </c>
      <c r="HO336" t="str">
        <f t="shared" si="789"/>
        <v/>
      </c>
      <c r="HP336" t="str">
        <f t="shared" si="790"/>
        <v/>
      </c>
      <c r="HQ336" t="str">
        <f t="shared" si="791"/>
        <v>ok</v>
      </c>
      <c r="HR336" t="str">
        <f>IF(OR(HJ336="",HH336=""),"",IF(HJ336+MAX(0,GY336-1)&gt;IFERROR(VLOOKUP(HI336,Модули_спр,3,FALSE),99),"ЛИШНИЙ КАНАЛ",IF(AND(AL336&lt;&gt;"=",GY336&gt;0,COUNTIFS(Линии[_модуль гр.],HH336,Линии[Канал (итог)],HJ336,Линии[Канал],"&lt;&gt;=",Линии[Щит],A336)&gt;1),"ДУБЛЬ КАНАЛА","")))</f>
        <v/>
      </c>
      <c r="HS336" s="6" t="str">
        <f t="shared" si="792"/>
        <v/>
      </c>
      <c r="HT336">
        <f t="shared" si="793"/>
        <v>10</v>
      </c>
      <c r="HU336" t="str">
        <f t="shared" si="794"/>
        <v/>
      </c>
      <c r="HV336">
        <f t="shared" si="795"/>
        <v>0</v>
      </c>
      <c r="HW336">
        <f t="shared" si="796"/>
        <v>0</v>
      </c>
      <c r="HX336">
        <f t="shared" si="797"/>
        <v>0</v>
      </c>
      <c r="HY336">
        <f t="shared" si="798"/>
        <v>0</v>
      </c>
      <c r="HZ336">
        <f t="shared" si="799"/>
        <v>0</v>
      </c>
      <c r="IA336">
        <f t="shared" si="800"/>
        <v>0</v>
      </c>
      <c r="IB336">
        <f t="shared" si="801"/>
        <v>0</v>
      </c>
      <c r="IC336" t="str">
        <f t="shared" si="802"/>
        <v/>
      </c>
      <c r="ID336" t="str" cm="1">
        <f t="array" ref="ID336">IF(IC336="","",_xlfn.LET(_xlpm.tk,_xlfn.TEXTSPLIT(SUBSTITUTE(SUBSTITUTE(IC336,";"," "),"→"," ")," ",,TRUE),_xlpm.w_,_xlfn._xlws.FILTER(_xlpm.tk,ISNUMBER(--LEFT(_xlpm.tk,1))*((ISNUMBER(SEARCH("W",_xlpm.tk))+ISNUMBER(SEARCH("Вт",_xlpm.tk)))&gt;0),""),IFERROR(--SUBSTITUTE(SUBSTITUTE(UPPER(INDEX(_xlpm.w_,1)),"W",""),"ВТ",""),"")))</f>
        <v/>
      </c>
      <c r="IE336" t="str" cm="1">
        <f t="array" ref="IE336">IF(IC336="","",_xlfn.LET(_xlpm.tk,_xlfn.TEXTSPLIT(SUBSTITUTE(SUBSTITUTE(IC336,";"," "),"→"," ")," ",,TRUE),_xlpm.v_,_xlfn._xlws.FILTER(_xlpm.tk,ISNUMBER(--LEFT(_xlpm.tk,1))*((ISNUMBER(SEARCH("V",_xlpm.tk))+(RIGHT(UPPER(_xlpm.tk))="В"))&gt;0),""),IFERROR(--SUBSTITUTE(SUBSTITUTE(UPPER(INDEX(_xlpm.v_,1)),"V",""),"В",""),"")))</f>
        <v/>
      </c>
      <c r="IF336" s="6" t="str">
        <f>IF(OR(BV336=0,HI336="",HJ336=""),"",IFERROR(N(_xlfn.XLOOKUP(HI336,Каталог!$C$4:$C$500,Каталог!$Q$4:$Q$500)),""))</f>
        <v/>
      </c>
      <c r="IG336" s="6" t="str">
        <f>IF(N(IF336)=0,"",SUMIFS(Линии[Iр, А],Линии[Щит],A336,Линии[_модуль гр.],HH336,Линии[Канал (итог)],HJ336))</f>
        <v/>
      </c>
      <c r="IH336" t="str">
        <f>IF(AND(B336="",HO336=""),"",_xlfn.TEXTJOIN("; ",TRUE,IF(AND(B336&lt;&gt;"",FV336=""),"нет фазы",""),IF(AND(B336&lt;&gt;"",N(GL336)=0,FG336&lt;&gt;"Нет"),"нет мощности",""),IF(AND(HN336&lt;&gt;"",COUNTIFS(Линии[Щит],A336,Линии[Клемма (итог)],HN336)&gt;1),"дубль клеммы "&amp;HN336,""),IF(AND(HQ336&lt;&gt;"",HQ336&lt;&gt;"ok"),HQ336,""),IF(HR336&lt;&gt;"",HR336,""),IF(AND(N(CB336)&gt;=4,N(BX336)=1),CB336&amp;" жил на 1 фазе",""),IF(AND(BC336="R",CG336=1,IF(CS336&lt;&gt;"",N(CV336)&gt;30,OR(N(DA336)=0,N(DA336)&gt;30))),"розетка без дифзащиты до 30 мА",""),IF(AND(CG336=1,N(DA336)&gt;0,ISNUMBER(T336)),IF(T336&gt;N(DA336)/3,"ток утечки "&amp;FIXED(T336,1)&amp;" мА &gt; 1/3 уставки ("&amp;DA336&amp;" мА)",""),""),IF(AND(CH336=1,CS336=""),"«узо»: нет строки с УЗО выше (УЗО 2P 40А 30мА в «Аппаратах»)",""),IF(AND(CS336&lt;&gt;"",CS336=BA336),IF(CT336="","впишите номинал УЗО (УЗО 2P 40А 30мА)",IF(N(CT336)&lt;N(DT336),"УЗО "&amp;CT336&amp;" А &lt; автомата "&amp;DT336&amp;" А перед ним",IF(N(CT336)&lt;N(CX336),"УЗО "&amp;CT336&amp;" А &lt; тока блока "&amp;FIXED(CX336,1)&amp;" А",""))),""),IF(AND(CS336&lt;&gt;"",CS336=BA336,ISNUMBER(CY336)),IF(CY336&gt;N(CV336)/3,"ток утечки блока УЗО "&amp;FIXED(CY336,1)&amp;" мА &gt; 1/3 уставки ("&amp;CV336&amp;" мА)",""),""),IF(AND(CG336=1,N(BV336)+N(IB336)&gt;0,IC336=""),"линии до 50 В без БП: впишите в «Аппараты» (БП 24V 480W)",""),IF(AND(CG336=1,ISNUMBER(ID336),ISNUMBER(U336)),IF(U336&gt;ID336,"БП "&amp;ID336&amp;" Вт &lt; нужно "&amp;U336&amp;" Вт (×"&amp;Запас_БП&amp;")",""),""),IF(AND(CG336=1,ISNUMBER(IE336),N(BV336)=1),IF(IE336&lt;&gt;N(BU336),"БП на "&amp;IE336&amp;" В, линия "&amp;BU336&amp;" В",""),""),IF(AND(N(IF336)&gt;0,N(IG336)&gt;N(IF336)),HH336&amp;" канал "&amp;HJ336&amp;": "&amp;FIXED(IG336,1)&amp;" А &gt; "&amp;IF336&amp;" А",""),IFERROR(IF(AND(ISNUMBER(Q336),Q336&gt;EL336),"потери "&amp;FIXED(Q336,1)&amp;" % &gt; "&amp;EL336&amp;" %",""),""),IFERROR(IF(LEFT(HU336,4)="мало","Iкз мало — отключение &gt; 0,4 с",""),""),IF(AND(B336&lt;&gt;"",BM336=""),"не на схеме",""),IF(AND(CG336=0,B336&lt;&gt;"",FV336&lt;&gt;"",IF(BA336=1,"",FW335)&lt;&gt;"",FV336&lt;&gt;IF(BA336=1,"",FW335)),"фаза не как у автомата группы ("&amp;IF(BA336=1,"",FW335)&amp;")","")))</f>
        <v/>
      </c>
      <c r="II336" s="6" t="str">
        <f>IF(OR(CG336=0,DQ336=""),"",_xlfn.LET(_xlpm.t,IFERROR(_xlfn.XLOOKUP(DQ336,Каталог!$U$4:$U$500,Каталог!$G$4:$G$500),""),_xlpm.k,SEARCH("кА",_xlpm.t),IFERROR(--TRIM(RIGHT(SUBSTITUTE(MID(_xlpm.t,MAX(1,_xlpm.k-4),_xlpm.k-MAX(1,_xlpm.k-4))," ",REPT(" ",9)),5)),"")))</f>
        <v/>
      </c>
      <c r="IJ336" t="str">
        <f>IF(OR(II336="",CG336=0),"",IF(_xlfn.XLOOKUP(A336,Щиты[Щит],Щиты[Iкз max на шинах, кА],"")="","",IF(II336&lt;_xlfn.XLOOKUP(A336,Щиты[Щит],Щиты[Iкз max на шинах, кА]),"Icu "&amp;II336&amp;" кА &lt; Iкз max","ok")))</f>
        <v/>
      </c>
      <c r="IK336" t="str">
        <f t="shared" si="803"/>
        <v/>
      </c>
      <c r="IL336" t="str">
        <f t="shared" si="804"/>
        <v/>
      </c>
      <c r="IM336" t="str">
        <f t="shared" si="805"/>
        <v/>
      </c>
      <c r="IN336" t="str" cm="1">
        <f t="array" ref="IN336">IF(IM336="","",_xlfn.LET(_xlpm.nd,_xlfn.TEXTSPLIT(IM336,"|"),IF(COLUMNS(_xlpm.nd)&gt;1,A336&amp;"¦"&amp;INDEX(_xlpm.nd,1)&amp;"¦"&amp;INDEX(_xlpm.nd,2),"")))</f>
        <v/>
      </c>
      <c r="IO336" t="str">
        <f t="shared" si="806"/>
        <v/>
      </c>
      <c r="IP336" t="str" cm="1">
        <f t="array" ref="IP336">IF(IM336="","",_xlfn.LET(_xlpm.nd,_xlfn.TEXTSPLIT(IM336,"|"),IF(COLUMNS(_xlpm.nd)&gt;2,A336&amp;"¦"&amp;INDEX(_xlpm.nd,2)&amp;"¦"&amp;INDEX(_xlpm.nd,3),"")))</f>
        <v/>
      </c>
      <c r="IQ336" t="str">
        <f t="shared" si="807"/>
        <v/>
      </c>
      <c r="IR336" t="str" cm="1">
        <f t="array" ref="IR336">IF(IM336="","",_xlfn.LET(_xlpm.nd,_xlfn.TEXTSPLIT(IM336,"|"),IF(COLUMNS(_xlpm.nd)&gt;3,A336&amp;"¦"&amp;INDEX(_xlpm.nd,3)&amp;"¦"&amp;INDEX(_xlpm.nd,4),"")))</f>
        <v/>
      </c>
      <c r="IS336" t="str">
        <f t="shared" si="808"/>
        <v/>
      </c>
      <c r="IT336" t="str" cm="1">
        <f t="array" ref="IT336">IF(IM336="","",_xlfn.LET(_xlpm.nd,_xlfn.TEXTSPLIT(IM336,"|"),IF(COLUMNS(_xlpm.nd)&gt;4,A336&amp;"¦"&amp;INDEX(_xlpm.nd,4)&amp;"¦"&amp;INDEX(_xlpm.nd,5),"")))</f>
        <v/>
      </c>
      <c r="IU336" t="str">
        <f t="shared" si="809"/>
        <v/>
      </c>
      <c r="IV336" t="str" cm="1">
        <f t="array" ref="IV336">IF(IM336="","",_xlfn.LET(_xlpm.nd,_xlfn.TEXTSPLIT(IM336,"|"),IF(COLUMNS(_xlpm.nd)&gt;5,A336&amp;"¦"&amp;INDEX(_xlpm.nd,5)&amp;"¦"&amp;INDEX(_xlpm.nd,6),"")))</f>
        <v/>
      </c>
      <c r="IW336" t="str">
        <f t="shared" si="810"/>
        <v/>
      </c>
      <c r="IX336" t="str" cm="1">
        <f t="array" ref="IX336">IF(IM336="","",_xlfn.LET(_xlpm.nd,_xlfn.TEXTSPLIT(IM336,"|"),IF(COLUMNS(_xlpm.nd)&gt;6,A336&amp;"¦"&amp;INDEX(_xlpm.nd,6)&amp;"¦"&amp;INDEX(_xlpm.nd,7),"")))</f>
        <v/>
      </c>
      <c r="IY336" t="str">
        <f t="shared" si="811"/>
        <v/>
      </c>
      <c r="IZ336" t="str">
        <f t="shared" si="812"/>
        <v/>
      </c>
      <c r="JA336" t="str">
        <f t="shared" si="813"/>
        <v/>
      </c>
      <c r="JB336">
        <f t="shared" si="814"/>
        <v>0</v>
      </c>
      <c r="JC336">
        <f t="shared" si="815"/>
        <v>0</v>
      </c>
      <c r="JD336" t="str">
        <f t="shared" si="816"/>
        <v/>
      </c>
      <c r="JE336" t="str">
        <f t="shared" si="817"/>
        <v/>
      </c>
      <c r="JF336" t="str">
        <f t="shared" si="818"/>
        <v/>
      </c>
      <c r="JG336" t="str">
        <f t="shared" si="819"/>
        <v/>
      </c>
      <c r="JH336">
        <f>IF(B336="","",IFERROR(_xlfn.XLOOKUP(B336,Коды_код,Коды_уго),IFERROR(_xlfn.XLOOKUP(BC336,Коды_код,Коды_уго),IFERROR(_xlfn.XLOOKUP(LEFT(BC336,2),Коды_код,Коды_уго),""))))</f>
        <v>0</v>
      </c>
      <c r="JI336" t="str">
        <f>IF(B336="","",IF(OR(JH336="",JH336=0),"BOX",IFERROR(IF(VLOOKUP(JH336,УГО_блоки,3,FALSE)&amp;""&lt;&gt;"",VLOOKUP(JH336,УГО_блоки,3,FALSE),VLOOKUP(JH336,УГО_блоки,2,FALSE)),JH336)))</f>
        <v>BOX</v>
      </c>
      <c r="JJ336">
        <f t="shared" si="820"/>
        <v>1</v>
      </c>
      <c r="JK336" t="str">
        <f>IF(DQ336="","",IF(COUNTIF(DQ$3:DQ336,DQ336)=1,MAX(JK$2:JK335)+1,""))</f>
        <v/>
      </c>
      <c r="JL336" t="str">
        <f>IF(DE336="","",IF(COUNTIF(DE$3:DE336,DE336)+COUNTIF(DF$2:DF335,DE336)+COUNTIF(DG$2:DG335,DE336)=1,MAX(JL$2:JN335)+1,""))</f>
        <v/>
      </c>
      <c r="JM336" t="str">
        <f>IF(DF336="","",IF(COUNTIF(DE$3:DE336,DF336)+COUNTIF(DF$3:DF336,DF336)+COUNTIF(DG$2:DG335,DF336)=1,MAX(JL$2:JN335,JL336)+1,""))</f>
        <v/>
      </c>
      <c r="JN336" t="str">
        <f>IF(DG336="","",IF(COUNTIF(DE$3:DE336,DG336)+COUNTIF(DF$3:DF336,DG336)+COUNTIF(DG$3:DG336,DG336)=1,MAX(JL$2:JN335,JL336,JM336)+1,""))</f>
        <v/>
      </c>
      <c r="JO336" t="str">
        <f t="shared" si="821"/>
        <v/>
      </c>
      <c r="JP336" t="str">
        <f>IF(JO336="","",IF(COUNTIF(JO$3:JO336,JO336)=1,MAX(JP$2:JP335)+1,""))</f>
        <v/>
      </c>
      <c r="JQ336" t="str">
        <f>IF(HG336="","",COUNTIF(HG$3:HG336,"?*"))</f>
        <v/>
      </c>
      <c r="JR336" t="str">
        <f>IF(OR(HG336="",HI336=""),"",IF(COUNTIFS(HG$3:HG336,"?*",HI$3:HI336,HI336)=1,MAX(JR$2:JR335)+1,""))</f>
        <v/>
      </c>
      <c r="JS336">
        <f t="shared" si="822"/>
        <v>0</v>
      </c>
      <c r="JT336">
        <f>IF(B336="","",COUNTIF(B$3:B336,"?*"))</f>
        <v>334</v>
      </c>
      <c r="JU336">
        <f>IF(HL336&lt;&gt;1,0,_xlfn.LET(_xlpm.k,MAX(IFERROR(--_xlfn.XLOOKUP(B336,Коды_код,Коды_3L),0),IFERROR(--_xlfn.XLOOKUP(BC336,Коды_код,Коды_3L),0),IFERROR(--_xlfn.XLOOKUP(LEFT(BC336,2),Коды_код,Коды_3L),0)),IF(_xlpm.k&gt;0,_xlpm.k,IF(IFERROR(--LEFT(SUBSTITUTE(JO336,"x","х"),FIND("х",SUBSTITUTE(JO336,"x","х"))-1),3)&gt;3,Каталог!$S$9,1))))</f>
        <v>0</v>
      </c>
      <c r="JV336">
        <f t="shared" si="823"/>
        <v>0</v>
      </c>
      <c r="JW336" t="str">
        <f t="shared" si="824"/>
        <v>авто</v>
      </c>
      <c r="JX336" t="str">
        <f t="shared" si="825"/>
        <v/>
      </c>
      <c r="JY336">
        <f t="shared" si="826"/>
        <v>0</v>
      </c>
      <c r="JZ336">
        <f t="shared" si="827"/>
        <v>1</v>
      </c>
    </row>
    <row r="337" spans="1:286" x14ac:dyDescent="0.3">
      <c r="A337" t="s">
        <v>1110</v>
      </c>
      <c r="B337" t="s">
        <v>1636</v>
      </c>
      <c r="C337" t="s">
        <v>1733</v>
      </c>
      <c r="D337">
        <v>1</v>
      </c>
      <c r="E337">
        <v>0.4</v>
      </c>
      <c r="G337">
        <v>16</v>
      </c>
      <c r="H337" t="str">
        <f>Линии[[#This Row],[_авто управление]]</f>
        <v/>
      </c>
      <c r="I337" t="str">
        <f>Линии[[#This Row],[_авто аппараты]]</f>
        <v/>
      </c>
      <c r="J337">
        <v>2.5</v>
      </c>
      <c r="K337">
        <v>46</v>
      </c>
      <c r="L337" t="str">
        <f>Линии[[#This Row],[_авто фаза]]</f>
        <v>L1</v>
      </c>
      <c r="M337" t="str">
        <f>Линии[[#This Row],[_авто клемма]]</f>
        <v>XT1</v>
      </c>
      <c r="N337" t="str">
        <f t="shared" si="690"/>
        <v/>
      </c>
      <c r="O337" s="6" cm="1">
        <f t="array" ref="O337">IF(B337="","",IF(BH337&lt;&gt;"",IFERROR(_xlfn.XLOOKUP(BH337,Щиты[Щит],Щиты[Iр, А]),""),IF(BP337=1,IF(OR(N(_xlfn.XLOOKUP(A337,Щиты[Щит],Щиты[Вводов],1))&lt;=1,LOWER(TRIM(_xlfn.XLOOKUP(A337,Щиты[Щит],Щиты[АВР],"")&amp;""))="да"),IFERROR(_xlfn.XLOOKUP(A337,Щиты[Щит],Щиты[Iр, А]),""),IFERROR(N(BS337)*_xlfn.XLOOKUP(A337,Щиты[Щит],Щиты[Кс итог])/(SQRT(3)*Uн_лин*_xlfn.XLOOKUP(A337,Щиты[Щит],Щиты[cos φ])),"")),IF(BV337=1,IFERROR(BS337*1000/BU337,""),IFERROR(_xlfn.IFS(BX337=1,BS337/((Uн_лин/SQRT(3))*CE337),BX337=3,BS337/(SQRT(3)*Uн_лин*CE337)),"")))))</f>
        <v>1.823211376388292</v>
      </c>
      <c r="P337" s="7">
        <f>IF(B337="","",IFERROR(IF(VLOOKUP(BC337,Потребители_обозначение,4,FALSE)=1,VLOOKUP(BC337,Потребители_обозначение,3,FALSE)*(MAX(1,N(D337))*2-1)+EI337+VLOOKUP(BE337,Этаж_обозначение,3,FALSE)+VLOOKUP(BE337,Этаж_обозначение,4,FALSE),VLOOKUP(BC337,Потребители_обозначение,3,FALSE)*(MAX(1,N(D337))*2-1)+EI337),EI337))</f>
        <v>46</v>
      </c>
      <c r="Q337" s="6">
        <f t="shared" si="691"/>
        <v>1.04</v>
      </c>
      <c r="R337" t="str">
        <f t="shared" si="692"/>
        <v>ВВГнг(А)-FRLS (3х2,5)</v>
      </c>
      <c r="S337" t="str">
        <f>IF(BM337="","",IF(BN337="вводной узел","узел ","")&amp;"л."&amp;(INT((BM337-1)/Столбцов_на_лист)+1)&amp;" / "&amp;(MOD(BM337-1,Столбцов_на_лист)+1))</f>
        <v>л.1 / 13</v>
      </c>
      <c r="T337" s="119">
        <f t="shared" si="693"/>
        <v>1.2</v>
      </c>
      <c r="U337" s="7" t="str">
        <f>IF(OR(CG337=0,N(BV337)+N(IB337)=0),"",ROUNDUP(Запас_БП*(N(HY337)+N(HZ337)),0))</f>
        <v/>
      </c>
      <c r="V337" s="119" t="str">
        <f t="shared" si="694"/>
        <v/>
      </c>
      <c r="W337" s="7" t="str">
        <f>IFERROR(IF(OR(B337="",BP337=1,BV337=1,NOT(ISNUMBER(EN337)),N(DT337)=0),"",MAX(0,ROUNDDOWN((c_min*(Uн_лин*1000/SQRT(3))/(HT337*N(DT337))-_xlfn.XLOOKUP(A337,Щиты[Щит],Щиты[Zпетли на шинах, Ом]))*EN337/(2*ρкз_Cu),0))),"")</f>
        <v/>
      </c>
      <c r="Y337" t="str">
        <f>Линии[[#This Row],[_авто утечка]]</f>
        <v/>
      </c>
      <c r="Z337">
        <v>1</v>
      </c>
      <c r="AA337">
        <v>230</v>
      </c>
      <c r="AB337" t="s">
        <v>573</v>
      </c>
      <c r="AG337" t="s">
        <v>850</v>
      </c>
      <c r="AH337" t="s">
        <v>488</v>
      </c>
      <c r="AI337" t="s">
        <v>591</v>
      </c>
      <c r="AK337" t="str">
        <f>Линии[[#This Row],[_авто модуль]]</f>
        <v/>
      </c>
      <c r="AM337">
        <v>13</v>
      </c>
      <c r="AN337" t="s">
        <v>13</v>
      </c>
      <c r="AO337">
        <v>3</v>
      </c>
      <c r="AQ337">
        <v>21</v>
      </c>
      <c r="AR337">
        <v>17</v>
      </c>
      <c r="AT337">
        <v>1</v>
      </c>
      <c r="BA337" cm="1">
        <f t="array" ref="BA337">ROW()-ROW(Линии[#Headers])</f>
        <v>335</v>
      </c>
      <c r="BC337" s="6" t="str">
        <f t="shared" si="695"/>
        <v>FCP1-2</v>
      </c>
      <c r="BD337" t="str">
        <f t="shared" si="696"/>
        <v/>
      </c>
      <c r="BE337" t="str">
        <f t="shared" si="697"/>
        <v/>
      </c>
      <c r="BF337" t="str">
        <f t="shared" si="698"/>
        <v/>
      </c>
      <c r="BG337" t="str">
        <f t="shared" si="699"/>
        <v/>
      </c>
      <c r="BH337" t="str">
        <f>IF(X337&lt;&gt;"",X337,IF(AND(B337&lt;&gt;"",B337&lt;&gt;A337,ISNUMBER(_xlfn.XMATCH(B337,Щиты[Щит]))),B337,""))</f>
        <v/>
      </c>
      <c r="BI337" t="str" cm="1">
        <f t="array" ref="BI337">IF(B337="","",IF(BH337&lt;&gt;"","Щит "&amp;BH337,_xlfn.LET(_xlpm.nm,IFERROR(_xlfn.XLOOKUP(BC337,Коды_код,Коды_имя)&amp;"",""),_xlpm.md,IFERROR(N(_xlfn.XLOOKUP(BC337,Коды_код,Коды_режим)),1),_xlpm.ex,IF(Имя_режим="по экспликации",IFERROR(_xlfn.XLOOKUP(BE337&amp;"|"&amp;BG337,Экспликация[Этаж]&amp;"|"&amp;Экспликация[Помещение],Экспликация[Название])&amp;"",""),""),_xlpm.rm,IF(BG337="","",IF(_xlpm.ex&lt;&gt;"",". "&amp;_xlpm.ex&amp;IF(Имя_пом="нет"," ("&amp;BG337&amp;")"," (пом. "&amp;BG337&amp;")"),IF(Имя_пом="нет"," ",", пом. ")&amp;BG337)),IF(_xlpm.nm="","",IF(_xlpm.md=2,_xlpm.nm&amp;" шлейф "&amp;BE337,_xlpm.nm&amp;_xlpm.rm)))))</f>
        <v/>
      </c>
      <c r="BJ337" t="str">
        <f t="shared" si="700"/>
        <v>шкаф пожарной сигнализации  Подвальный этаж Пом. №007Т</v>
      </c>
      <c r="BK337">
        <f>IFERROR(_xlfn.XMATCH(A337,Щиты[Щит]),0)</f>
        <v>16</v>
      </c>
      <c r="BL337">
        <f>_xlfn.LET(_xlpm.k,IFERROR(_xlfn.XLOOKUP(A337,Щиты[Щит],Щиты[Мест под вводной узел]),""),IF(_xlpm.k="",Столбцов_на_лист,N(_xlpm.k)))</f>
        <v>12</v>
      </c>
      <c r="BM337">
        <f t="shared" si="701"/>
        <v>13</v>
      </c>
      <c r="BN337" t="str">
        <f t="shared" si="702"/>
        <v>линии</v>
      </c>
      <c r="BO337" s="6">
        <f>IFERROR(N(_xlfn.XLOOKUP(BC337,Коды_код,Коды_квт)),0)</f>
        <v>0</v>
      </c>
      <c r="BP337">
        <f t="shared" si="703"/>
        <v>0</v>
      </c>
      <c r="BQ337" t="str">
        <f>IF(B337="","",IF(BH337&lt;&gt;"",IFERROR(_xlfn.XLOOKUP(BH337,Щиты[Щит],Щиты[Руст, кВт]),0),IF(BP337=1,IF(OR(N(_xlfn.XLOOKUP(A337,Щиты[Щит],Щиты[Вводов],1))&lt;=1,LOWER(TRIM(_xlfn.XLOOKUP(A337,Щиты[Щит],Щиты[АВР],"")&amp;""))="да"),IFERROR(_xlfn.XLOOKUP(A337,Щиты[Щит],Щиты[Руст, кВт]),0),SUMIFS(Линии[_Р для вводов],Линии[Щит],A337,Линии[Источник для режимов],GF337)),IF(BO337&gt;0,ROUND(BO337*MAX(1,N(D337)),3),""))))</f>
        <v/>
      </c>
      <c r="BR337">
        <f t="shared" si="704"/>
        <v>0.4</v>
      </c>
      <c r="BS337" s="6">
        <f>IF(B337="","",IF(BH337&lt;&gt;"",IFERROR(_xlfn.XLOOKUP(BH337,Щиты[Щит],Щиты[Руст, кВт]),0),N(BR337)))</f>
        <v>0.4</v>
      </c>
      <c r="BT337" t="str">
        <f>IF(B337="","",IFERROR(IF(VLOOKUP(BC337,Потребители_обозначение,8,FALSE)=0,"",VLOOKUP(BC337,Потребители_обозначение,8,FALSE)),""))</f>
        <v/>
      </c>
      <c r="BU337">
        <f t="shared" si="705"/>
        <v>230</v>
      </c>
      <c r="BV337">
        <f t="shared" si="706"/>
        <v>0</v>
      </c>
      <c r="BW337">
        <f>IF(B337="","",IF(BH337&lt;&gt;"",3,IFERROR(IF(N(VLOOKUP(BC337,Потребители_обозначение,9,FALSE))=0,1,VLOOKUP(BC337,Потребители_обозначение,9,FALSE)),1)))</f>
        <v>1</v>
      </c>
      <c r="BX337">
        <f t="shared" si="707"/>
        <v>1</v>
      </c>
      <c r="BY337" t="str">
        <f>IF(B337="","",_xlfn.LET(_xlpm.bc,IFERROR(IF(VLOOKUP(BC337,Потребители_обозначение,6,FALSE)=0,"",VLOOKUP(BC337,Потребители_обозначение,6,FALSE)&amp;""),""),IF(AND(GA337="да",OR(_xlpm.bc="",_xlpm.bc="мс")),Марка_пож,IF(AND(_xlpm.bc="",BH337&lt;&gt;""),"мс",_xlpm.bc))))</f>
        <v>мфр</v>
      </c>
      <c r="BZ337" t="str">
        <f t="shared" si="708"/>
        <v>мфр</v>
      </c>
      <c r="CA337">
        <f>IF(B337="","",_xlfn.LET(_xlpm.cc,IFERROR(N(VLOOKUP(BC337,Потребители_обозначение,7,FALSE)),0),IF(_xlpm.cc&gt;0,_xlpm.cc,IF(BZ337="","",IF(BV337=1,2,IF(N(BX337)=3,5,3))))))</f>
        <v>3</v>
      </c>
      <c r="CB337">
        <f t="shared" si="709"/>
        <v>3</v>
      </c>
      <c r="CC337">
        <f>IFERROR(N(VLOOKUP(BC337,Потребители_обозначение,10,FALSE)),0)</f>
        <v>0</v>
      </c>
      <c r="CD337">
        <f>IFERROR(VLOOKUP(BC337,Потребители_обозначение,5,FALSE),0)</f>
        <v>0</v>
      </c>
      <c r="CE337" s="6" cm="1">
        <f t="array" ref="CE337">IF(B337="","",IF(BH337&lt;&gt;"",IFERROR(_xlfn.XLOOKUP(BH337,Щиты[Щит],Щиты[cos φ]),0.95),IF(BP337=1,IFERROR(_xlfn.XLOOKUP(A337,Щиты[Щит],Щиты[cos φ]),0.95),IF(ISNUMBER(AD337),AD337,IFERROR(IF(CD337=2,_xlfn.IFS(BX337=3,VLOOKUP(BS337,Справочная_двигатели,8,FALSE),BX337=1,VLOOKUP(BS337,Справочная_двигатели,10,TRUE)),IF(AND(Методика="нормы 2026",FG337="Сил"),0.8,0.95)),0.95)))))</f>
        <v>0.95</v>
      </c>
      <c r="CF337">
        <f t="shared" si="710"/>
        <v>0</v>
      </c>
      <c r="CG337">
        <f t="shared" si="711"/>
        <v>1</v>
      </c>
      <c r="CH337">
        <f t="shared" si="712"/>
        <v>0</v>
      </c>
      <c r="CI337">
        <f>IF(B337="","",IF(BV337=1,IFERROR(BS337/((Uн_лин/SQRT(3))*MAX(0.5,N(CE337))),0),N(O337)))</f>
        <v>1.823211376388292</v>
      </c>
      <c r="CJ337">
        <f t="shared" si="713"/>
        <v>0</v>
      </c>
      <c r="CK337">
        <f t="shared" si="714"/>
        <v>0</v>
      </c>
      <c r="CL337">
        <f t="shared" si="715"/>
        <v>0</v>
      </c>
      <c r="CM337">
        <f t="shared" si="716"/>
        <v>0</v>
      </c>
      <c r="CN337">
        <f t="shared" si="717"/>
        <v>0</v>
      </c>
      <c r="CO337">
        <f>IF(BC337="",0,_xlfn.LET(_xlpm.v,IFERROR(_xlfn.XLOOKUP(B337,Коды_код,Коды_мА),IFERROR(_xlfn.XLOOKUP(BC337,Коды_код,Коды_мА),IFERROR(_xlfn.XLOOKUP(LEFT(BC337,2),Коды_код,Коды_мА),""))),IF(_xlpm.v="да",30,IF(ISNUMBER(_xlpm.v),_xlpm.v,0))))</f>
        <v>0</v>
      </c>
      <c r="CP337" t="str">
        <f t="shared" si="718"/>
        <v/>
      </c>
      <c r="CQ337" t="str">
        <f>_xlfn.LET(_xlpm.k,IFERROR(_xlfn.XLOOKUP(BC337,Коды_код,Коды_утечка)&amp;"",""),IF(_xlpm.k="","дифавтомат",_xlpm.k))</f>
        <v>дифавтомат</v>
      </c>
      <c r="CR337" t="str" cm="1">
        <f t="array" ref="CR337">IF(CG337=0,"",_xlfn.LET(_xlpm.sg,TRIM(_xlfn.TEXTSPLIT(DD337&amp;"",";")),_xlpm.f_,_xlfn._xlws.FILTER(_xlpm.sg,LEFT(_xlpm.sg,3)="УЗО",""),IFERROR(INDEX(_xlpm.f_,1)&amp;"","")))</f>
        <v/>
      </c>
      <c r="CS337" t="str">
        <f t="shared" si="719"/>
        <v/>
      </c>
      <c r="CT337" s="6" t="str" cm="1">
        <f t="array" ref="CT337">IF(CR337="","",_xlfn.LET(_xlpm.tk,_xlfn.TEXTSPLIT(UPPER(CR337)," ",,TRUE),_xlpm.a_,_xlfn._xlws.FILTER(_xlpm.tk,ISNUMBER(--LEFT(_xlpm.tk,1))*((ISNUMBER(SEARCH("А",_xlpm.tk))+ISNUMBER(SEARCH("A",_xlpm.tk)))&gt;0)*NOT(ISNUMBER(SEARCH("МА",_xlpm.tk)))*NOT(ISNUMBER(SEARCH("MA",_xlpm.tk))),""),IFERROR(--SUBSTITUTE(SUBSTITUTE(INDEX(_xlpm.a_,1),"А",""),"A",""),"")))</f>
        <v/>
      </c>
      <c r="CU337" t="str" cm="1">
        <f t="array" ref="CU337">IF(CR337="","",_xlfn.LET(_xlpm.tk,_xlfn.TEXTSPLIT(UPPER(CR337)," ",,TRUE),_xlpm.a_,_xlfn._xlws.FILTER(_xlpm.tk,ISNUMBER(--LEFT(_xlpm.tk,1))*((ISNUMBER(SEARCH("МА",_xlpm.tk))+ISNUMBER(SEARCH("MA",_xlpm.tk)))&gt;0),""),IFERROR(--SUBSTITUTE(SUBSTITUTE(INDEX(_xlpm.a_,1),"МА",""),"MA",""),30)))</f>
        <v/>
      </c>
      <c r="CV337" t="str">
        <f>IF(CS337="","",IFERROR(_xlfn.XLOOKUP(CS337,Линии[_n],Линии[_УЗО, мА]),30))</f>
        <v/>
      </c>
      <c r="CW337">
        <f>IF(CS337="",0,IF(ISNUMBER(SEARCH("4P",IFERROR(_xlfn.XLOOKUP(CS337,Линии[_n],Линии[_УЗО строки])&amp;"",""))),0,1))</f>
        <v>0</v>
      </c>
      <c r="CX337" t="str">
        <f>IF(AND(CS337&lt;&gt;"",CS337=BA337),SUMIFS(Линии[_ток на 230 В],Линии[_блок УЗО],BA337,Линии[Щит],A337),"")</f>
        <v/>
      </c>
      <c r="CY337" t="str">
        <f>IF(AND(CS337&lt;&gt;"",CS337=BA337),SUMIFS(Линии[_ток утечки линии, мА],Линии[_блок УЗО],BA337,Линии[Щит],A337),"")</f>
        <v/>
      </c>
      <c r="CZ337">
        <f t="shared" si="720"/>
        <v>0</v>
      </c>
      <c r="DA337">
        <f t="shared" si="721"/>
        <v>0</v>
      </c>
      <c r="DB337">
        <f>IF(B337="",0,IFERROR(--_xlfn.XLOOKUP(B337,Коды_код,Коды_минавт),IFERROR(--_xlfn.XLOOKUP(BC337,Коды_код,Коды_минавт),IFERROR(--_xlfn.XLOOKUP(LEFT(BC337,2),Коды_код,Коды_минавт),0))))</f>
        <v>0</v>
      </c>
      <c r="DC337" t="str">
        <f>IF(B337="","",IFERROR(_xlfn.XLOOKUP(BC337,Коды_код,Коды_апп)&amp;"",""))</f>
        <v/>
      </c>
      <c r="DD337" t="str">
        <f t="shared" si="722"/>
        <v/>
      </c>
      <c r="DE337" t="str" cm="1">
        <f t="array" ref="DE337">IF(TRIM(DD337&amp;"")="","",IFERROR(TRIM(INDEX(_xlfn.TEXTSPLIT(DD337&amp;";;;",";"),1)),""))</f>
        <v/>
      </c>
      <c r="DF337" t="str" cm="1">
        <f t="array" ref="DF337">IF(TRIM(DD337&amp;"")="","",IFERROR(TRIM(INDEX(_xlfn.TEXTSPLIT(DD337&amp;";;;",";"),2)),""))</f>
        <v/>
      </c>
      <c r="DG337" t="str" cm="1">
        <f t="array" ref="DG337">IF(TRIM(DD337&amp;"")="","",IFERROR(TRIM(INDEX(_xlfn.TEXTSPLIT(DD337&amp;";;;",";"),3)),""))</f>
        <v/>
      </c>
      <c r="DH337">
        <f t="shared" si="723"/>
        <v>0</v>
      </c>
      <c r="DI337" t="str">
        <f>IF(B337="","",_xlfn.LET(_xlpm.t,LOWER(AZ337&amp;""),IF(ISNUMBER(SEARCH("dim",_xlpm.t)),"DIM",IF(ISNUMBER(SEARCH("dali",_xlpm.t)),"DALI",IF(OR(ISNUMBER(SEARCH("relay",_xlpm.t)),ISNUMBER(SEARCH("реле",_xlpm.t))),"Relay",IF(ISNUMBER(SEARCH("кнопк",_xlpm.t)),"",IFERROR(_xlfn.XLOOKUP(BC337,Коды_код,Коды_упр)&amp;"","")))))))</f>
        <v/>
      </c>
      <c r="DJ337" t="str">
        <f t="shared" si="724"/>
        <v/>
      </c>
      <c r="DK337">
        <f>IF(B337="","",_xlfn.LET(_xlpm.ig,IF(N(CX337)&gt;0,N(CX337),N(CI337)+IF(AJ337="вручную",0,N(CJ337))),_xlpm.n0,IFERROR(VLOOKUP(_xlpm.ig,Автомат_номиналы,2,TRUE),0),_xlpm.mn,MAX(DB337,IF(AJ337="вручную",0,N(CM337))),MAX(_xlpm.n0,_xlpm.mn,IF(DH337=1,Мин_автомат_БП,0))))</f>
        <v>6</v>
      </c>
      <c r="DL337">
        <f t="shared" si="725"/>
        <v>1</v>
      </c>
      <c r="DM337" t="str">
        <f t="shared" si="726"/>
        <v>1P</v>
      </c>
      <c r="DN337" t="str">
        <f>_xlfn.LET(_xlpm.cc,UPPER(TRIM(IFERROR(_xlfn.XLOOKUP(BC337,Коды_код,Коды_хар)&amp;"",""))),IF(OR(_xlpm.cc="B",_xlpm.cc="В"),"B",IF(_xlpm.cc="D","D","С")))</f>
        <v>С</v>
      </c>
      <c r="DO337" t="str">
        <f t="shared" si="727"/>
        <v>1P С6А</v>
      </c>
      <c r="DP337">
        <f t="shared" si="728"/>
        <v>16</v>
      </c>
      <c r="DQ337" t="str">
        <f t="shared" si="729"/>
        <v>1P С16А</v>
      </c>
      <c r="DR337" cm="1">
        <f t="array" ref="DR337">IF(DQ337="","",_xlfn.LET(_xlpm.t,SUBSTITUTE(SUBSTITUTE(SUBSTITUTE(UPPER(DQ337),"С","C"),"А","A"),"В","B"),_xlpm.tk,_xlfn.TEXTSPLIT(_xlpm.t," "),_xlpm.f,_xlfn._xlws.FILTER(_xlpm.tk,ISNUMBER(--MID(_xlpm.tk,2,1))*ISNUMBER(SEARCH(LEFT(_xlpm.tk,1)&amp;"#","B#C#D#"))*(LEN(_xlpm.tk)&gt;1),""),_xlpm.x,INDEX(_xlpm.f,1),IFERROR(--SUBSTITUTE(MID(_xlpm.x,2,9),"A",""),IFERROR(--SUBSTITUTE(INDEX(_xlfn._xlws.FILTER(_xlpm.tk,ISNUMBER(--SUBSTITUTE(_xlpm.tk,"A","")),""),1),"A",""),""))))</f>
        <v>16</v>
      </c>
      <c r="DS337" t="str">
        <f t="shared" si="730"/>
        <v>ok</v>
      </c>
      <c r="DT337">
        <f t="shared" si="731"/>
        <v>16</v>
      </c>
      <c r="DU337" t="str">
        <f t="shared" si="732"/>
        <v>1P С16А</v>
      </c>
      <c r="DV337">
        <f t="shared" si="733"/>
        <v>0</v>
      </c>
      <c r="DW337">
        <f t="shared" si="734"/>
        <v>0</v>
      </c>
      <c r="DX337">
        <f t="shared" si="735"/>
        <v>0</v>
      </c>
      <c r="DY337">
        <f t="shared" si="736"/>
        <v>1.823211376388292</v>
      </c>
      <c r="DZ337">
        <f t="shared" si="737"/>
        <v>1</v>
      </c>
      <c r="EA337">
        <f>IF(ISNUMBER(AP337),AP337,К_прокл)</f>
        <v>1</v>
      </c>
      <c r="EB337">
        <f t="shared" si="738"/>
        <v>2</v>
      </c>
      <c r="EC337">
        <f>IFERROR(N(VLOOKUP(BZ337,Кабель_обозначение,3,FALSE)),1)</f>
        <v>1</v>
      </c>
      <c r="ED337">
        <f>IFERROR(N(_xlfn.XLOOKUP(A337,Щиты[Щит],Щиты[ΔU до шин, %])),0)</f>
        <v>0.41000000000000003</v>
      </c>
      <c r="EE337" t="str">
        <f>IFERROR(_xlfn.XLOOKUP(A337,Щиты[Щит],Щиты[Zпетли на шинах, Ом]),"")</f>
        <v/>
      </c>
      <c r="EF337">
        <f>IFERROR(N(_xlfn.XLOOKUP(A337,Щиты[Щит],Щиты[ΔU до шин (подбор), %])),0)</f>
        <v>0.68</v>
      </c>
      <c r="EG337" t="str">
        <f>IFERROR(_xlfn.XLOOKUP(A337,Щиты[Щит],Щиты[Zпетли на шинах (подбор), Ом]),"")</f>
        <v/>
      </c>
      <c r="EH337" t="str">
        <f t="shared" si="739"/>
        <v/>
      </c>
      <c r="EI337">
        <f t="shared" si="740"/>
        <v>46</v>
      </c>
      <c r="EJ337">
        <f t="shared" si="741"/>
        <v>2</v>
      </c>
      <c r="EK337">
        <f t="shared" si="742"/>
        <v>0.31</v>
      </c>
      <c r="EL337" s="6">
        <f>IF(B337="","",IF(BV337=1,dU_LED,IF(IFERROR(_xlfn.XLOOKUP(BC337,Коды_код,Коды_уго),"")="Светильник",3,4)+IF(Методика="нормы 2026",MIN(0.5,MAX(0,N(P337)-100)*0.005),0)))</f>
        <v>4</v>
      </c>
      <c r="EM337" cm="1">
        <f t="array" ref="EM337">IF(OR(B337="",BZ337="",EC337&lt;&gt;1),"",_xlfn.LET(_xlpm.sz,Iдоп_S,_xlpm.t_,CHOOSE(EB337,Iдоп_1ж,Iдоп_2ж,Iдоп_3ж)*DZ337*EA337,_xlpm.dcx,BV337=1,_xlpm.inn,IF(_xlpm.dcx,N(O337),N(DT337)),_xlpm.smin,MAX(1.5,CC337),_xlpm.L_,N(P337)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337)/N(BU337)*100,999),IFERROR(N(EJ337)*(_xlpm.rho*_xlpm.L_/_xlpm.sz*N(CE337)+_xlpm.xx*_xlpm.L_*N(EK337)/1000)*N(O337)/((Uн_лин/SQRT(3))*1000)*100,999)),_xlpm.kz,IF(OR(_xlpm.dcx,DW337=1,NOT(ISNUMBER(EG337)),_xlpm.L_=0,_xlpm.inn=0),1,IFERROR(--(c_min*(Uн_лин*1000/SQRT(3))/(EG337+2*ρкз_Cu*_xlpm.L_/_xlpm.sz)&gt;=HT337*_xlpm.inn),0)),_xlpm.ok,IFERROR((_xlpm.sz&gt;=_xlpm.smin)*(_xlpm.t_&gt;=_xlpm.inn)*IF(_xlpm.L_&gt;0,(_xlpm.du_+IF(_xlpm.dcx,0,EF337)&lt;=EL337+0.00001),1)*_xlpm.kz,0),_xlpm.r_,_xlfn._xlws.FILTER(_xlpm.sz,_xlpm.ok,"не подобрано"),INDEX(_xlpm.r_,1)))</f>
        <v>1.5</v>
      </c>
      <c r="EN337">
        <f t="shared" si="743"/>
        <v>2.5</v>
      </c>
      <c r="EO337" cm="1">
        <f t="array" ref="EO337">IF(OR(B337="",BZ337="",EC337&lt;&gt;1),"",_xlfn.LET(_xlpm.sz,Iдоп_S,_xlpm.t_,CHOOSE(EB337,Iдоп_1ж,Iдоп_2ж,Iдоп_3ж)*DZ337*EA337,_xlpm.ok,IFERROR((_xlpm.sz&gt;=MAX(1.5,CC337))*(_xlpm.t_&gt;=N(DT337)),0),_xlpm.r_,_xlfn._xlws.FILTER(_xlpm.sz,_xlpm.ok,""),INDEX(_xlpm.r_,1)))</f>
        <v>1.5</v>
      </c>
      <c r="EP337" s="6" cm="1">
        <f t="array" ref="EP337">IFERROR(ROUNDUP(N(EJ337)*(_xlfn.XLOOKUP(EO337,INDEX(Кабель_сопротивление,0,1),INDEX(Кабель_сопротивление,0,3))*N(P337)/EO337*N(CE337)+_xlfn.XLOOKUP(EO337,INDEX(Кабель_сопротивление,0,1),INDEX(Кабель_сопротивление,0,2))*N(P337)*N(EK337)/1000)*N(O337)/((Uн_лин/SQRT(3))*1000)*100,2),"")</f>
        <v>1.04</v>
      </c>
      <c r="EQ337">
        <f>IFERROR(2*ρкз_Cu*N(P337)/EO337,"")</f>
        <v>1.6130666666666666</v>
      </c>
      <c r="ER337">
        <f>IFERROR(VLOOKUP(EN337,Кабель_сопротивление,3,FALSE),"")</f>
        <v>2.2499999999999999E-2</v>
      </c>
      <c r="ES337">
        <f>IFERROR(VLOOKUP(EN337,Кабель_сопротивление,2,FALSE),"")</f>
        <v>0.1</v>
      </c>
      <c r="ET337">
        <f t="shared" si="744"/>
        <v>17</v>
      </c>
      <c r="EU337">
        <f t="shared" si="745"/>
        <v>0</v>
      </c>
      <c r="EV337">
        <f t="shared" si="746"/>
        <v>1.4393378675124897</v>
      </c>
      <c r="EW337" s="6">
        <f>IFERROR(ROUNDUP(EV337/IF(BV337=1,BU337,(Uн_лин/SQRT(3))*1000)*100,2),"")</f>
        <v>0.63</v>
      </c>
      <c r="EX337" t="str">
        <f>IFERROR(VLOOKUP(BZ337,Кабель_обозначение,2,FALSE),"")</f>
        <v>ВВГнг(А)-FRLS</v>
      </c>
      <c r="EY337" t="str">
        <f t="shared" si="747"/>
        <v>ВВГнг(А)-FRLS (3х2,5)</v>
      </c>
      <c r="EZ337" t="str">
        <f t="shared" si="748"/>
        <v>ВВГнг(А)-FRLS (3х2,5)
L=46-0,63%</v>
      </c>
      <c r="FA337">
        <f>IFERROR(2*ρкз_Cu*P337/EN337,"")</f>
        <v>0.96784000000000003</v>
      </c>
      <c r="FB337">
        <f t="shared" si="749"/>
        <v>0.32200000000000001</v>
      </c>
      <c r="FC337" s="6" t="str">
        <f>IFERROR(IF(OR(B337="",BV337=1,NOT(ISNUMBER(EN337)),N(P337)=0),"",_xlfn.XLOOKUP(A337,Щиты[Щит],Щиты[Zпетли на шинах, Ом])+FA337),"")</f>
        <v/>
      </c>
      <c r="FD337" s="6" t="str">
        <f>IF(ISNUMBER(FC337),c_min*(Uн_лин*1000/SQRT(3))/FC337,"")</f>
        <v/>
      </c>
      <c r="FE337" s="6" t="str">
        <f>IFERROR(IF(OR(B337="",NOT(ISNUMBER(EN337))),"",1.05*(Uн_лин*1000/SQRT(3))/(_xlfn.XLOOKUP(A337,Щиты[Щит],Щиты[Zmax на шинах, Ом])+FB337)/1000),"")</f>
        <v/>
      </c>
      <c r="FF337" s="6" t="str">
        <f>IF(B337="","",IF(ISNUMBER(AC337),"Сил",IF(IFERROR(_xlfn.XLOOKUP(BC337,Коды_код,Коды_группа)&amp;"","")="","Быт",_xlfn.XLOOKUP(BC337,Коды_код,Коды_группа)&amp;"")))</f>
        <v>Быт</v>
      </c>
      <c r="FG337" s="6" t="str">
        <f t="shared" si="750"/>
        <v>Пост</v>
      </c>
      <c r="FH337" s="6">
        <f>IF(FG337="Щит","щит",IF(FG337="","",IF(FG337="Быт",IFERROR(_xlfn.XLOOKUP(A337,Щиты[Щит],Щиты[Кс быт]),1),IF(FG337="Сил",IF(ISNUMBER(AC337),AC337,IF(Методика="нормы 2026",IFERROR(_xlfn.XLOOKUP(A337,Щиты[Щит],Щиты[Кс силовых (табл. 7.5)]),1),1)),IF(OR(FG337="Пост",FG337="Отоп"),1,IF(FG337="ВНГ",0.7,0))))))</f>
        <v>1</v>
      </c>
      <c r="FI337">
        <f>IF(FG337="","",IF(AND(BP337=1,TRIM(AE337&amp;"")=""),IF(COUNTIFS(Линии[Щит],A337,Линии[Секция (1/2/3)],"&gt;=2")&gt;0,MIN(3,MAX(1,IFERROR(--BD337,1))),1),IFERROR(MIN(3,MAX(1,INT(--AE337))),1)))</f>
        <v>1</v>
      </c>
      <c r="FJ337">
        <f t="shared" si="751"/>
        <v>0.4</v>
      </c>
      <c r="FK337">
        <f t="shared" si="752"/>
        <v>0</v>
      </c>
      <c r="FL337">
        <f t="shared" si="753"/>
        <v>0</v>
      </c>
      <c r="FM337">
        <f t="shared" si="754"/>
        <v>0.4</v>
      </c>
      <c r="FN337">
        <f t="shared" si="755"/>
        <v>0</v>
      </c>
      <c r="FO337">
        <f t="shared" si="756"/>
        <v>0</v>
      </c>
      <c r="FP337">
        <f t="shared" si="757"/>
        <v>0.4</v>
      </c>
      <c r="FQ337">
        <f t="shared" si="758"/>
        <v>0.4</v>
      </c>
      <c r="FR337">
        <f t="shared" si="759"/>
        <v>0.38</v>
      </c>
      <c r="FS337">
        <f>IF(CG337=1,IF(AND(CH337=1,CW337=1),0,IF(AND(CS337&lt;&gt;"",CS337=BA337,CW337=1),SUMIFS(Линии[_Р линии, кВт],Линии[_блок УЗО],BA337,Линии[Щит],A337),N(BS337)+IF(AJ337="вручную",0,N(CK337)))),0)</f>
        <v>0.4</v>
      </c>
      <c r="FT337" t="str">
        <f t="shared" si="760"/>
        <v/>
      </c>
      <c r="FU337" t="str">
        <f>IF(B337="","",IF(CG337=0,IF(BA337=1,"",FW336),IF(AND(CH337=1,CW337=1,CS337&lt;&gt;""),IFERROR(_xlfn.XLOOKUP(CS337,Линии[_n],Линии[_фаза итог]),"L1"),IF(OR(N(DL337)&gt;=3,N(BX337)&gt;=3),"L1,L2,L3",IFERROR(_xlfn.TEXTBEFORE(_xlfn.TEXTAFTER(_xlfn.XLOOKUP(A337,Щиты[Щит],Щиты[_фазы авто]),";"&amp;BA337&amp;":"),";"),"L1")))))</f>
        <v>L1</v>
      </c>
      <c r="FV337" t="str">
        <f t="shared" si="761"/>
        <v>L1</v>
      </c>
      <c r="FW337" t="str">
        <f t="shared" si="762"/>
        <v>L1</v>
      </c>
      <c r="FX337" cm="1">
        <f t="array" ref="FX337">IFERROR(IF(CD337=2,_xlfn.IFS(BX337=3,VLOOKUP(BS337,Справочная_двигатели,3,FALSE),BX337=1,VLOOKUP(BS337,Справочная_двигатели,5,TRUE)),0),0)</f>
        <v>0</v>
      </c>
      <c r="FY337">
        <f>IFERROR(IF(CD337=3,VLOOKUP(BS337,Справочная_ЛЭД,2,TRUE),0),0)</f>
        <v>0</v>
      </c>
      <c r="FZ337" s="6">
        <f t="shared" si="763"/>
        <v>0</v>
      </c>
      <c r="GA337" t="str">
        <f>IF(B337="","",IF(TRIM(AH337&amp;"")&lt;&gt;"",IF(LOWER(TRIM(AH337&amp;""))="да","да","нет"),IF(IFERROR(_xlfn.XLOOKUP(BC337,Коды_код,Коды_пожарная),"")="да","да","нет")))</f>
        <v>да</v>
      </c>
      <c r="GB337" t="str">
        <f t="shared" si="764"/>
        <v/>
      </c>
      <c r="GC337" t="str">
        <f t="shared" si="765"/>
        <v>основная</v>
      </c>
      <c r="GD337">
        <f>IF(AND(BP337=1,TRIM(AE337&amp;"")=""),IF(COUNTIFS(Линии[Щит],A337,Линии[Секция (1/2/3)],"&gt;=2")&gt;0,MIN(3,MAX(1,IFERROR(--BD337,1))),1),IFERROR(MIN(3,MAX(1,INT(--AE337))),1))</f>
        <v>1</v>
      </c>
      <c r="GE337" t="str" cm="1">
        <f t="array" ref="GE337">IF(B337="","",_xlfn.LET(_xlpm.t,IFERROR(_xlfn.XLOOKUP(1,(Шины[Шина]=GC337)*(((Шины[Щит]=A337)+(Шины[Щит]=""))&gt;0),Шины[Тип]),"")&amp;"",IF(_xlpm.t&lt;&gt;"",_xlpm.t,IF(ISNUMBER(SEARCH("ИБП",GC337)),"ИБП",IF(ISNUMBER(SEARCH("ДГУ",GC337)),"ДГУ","Ввод "&amp;GD337)))))</f>
        <v>Ввод 1</v>
      </c>
      <c r="GF337" t="str">
        <f t="shared" si="766"/>
        <v>Ввод 1</v>
      </c>
      <c r="GG337" t="str">
        <f>IF(BP337=0,"",IF(TRIM(AG337&amp;"")&lt;&gt;"",TRIM(AG337&amp;""),IF(OR(GE337="ИБП",GE337="ДГУ"),"I особая",_xlfn.XLOOKUP(A337,Щиты[Щит],Щиты[Категория шины «Ввод»],"III"))))</f>
        <v/>
      </c>
      <c r="GH337" t="str">
        <f>IF(A337="","",_xlfn.XLOOKUP(A337,Щиты[Щит],Щиты[Путь],""))</f>
        <v>|ГРЩ-ЖД|ЩСПЗ-ЖД|</v>
      </c>
      <c r="GI337" t="str">
        <f>IF(B337="","",IF(AI337&lt;&gt;"",AI337,IF(IFERROR(_xlfn.XLOOKUP(BC337,Коды_код,Коды_вид)&amp;"","")="","Прочее",_xlfn.XLOOKUP(BC337,Коды_код,Коды_вид)&amp;"")))</f>
        <v>Системы противопожарной защиты</v>
      </c>
      <c r="GJ337">
        <f>IF(BM337="","",INT((BM337-1)/Столбцов_на_лист)+1)</f>
        <v>1</v>
      </c>
      <c r="GK337" t="str">
        <f t="shared" si="767"/>
        <v>ВВГнг(А)-FRLS (3х2,5) L=46-0,63%</v>
      </c>
      <c r="GL337">
        <f t="shared" si="768"/>
        <v>0.4</v>
      </c>
      <c r="GM337">
        <f t="shared" si="769"/>
        <v>1.83</v>
      </c>
      <c r="GN337">
        <f t="shared" si="770"/>
        <v>1</v>
      </c>
      <c r="GO337">
        <f t="shared" si="771"/>
        <v>0</v>
      </c>
      <c r="GP337">
        <f t="shared" si="772"/>
        <v>1</v>
      </c>
      <c r="GQ337">
        <f>IF(BM337="","",IF(AND(CG337=1,GP337=1),COUNTIFS(A$3:A337,A337,CG$3:CG337,1,GP$3:GP337,1),IF(OR(OR(BA337=1,A337&lt;&gt;A336),AJ337="вручную",GP337=0),"",IF(BA337=1,"",GR336))))</f>
        <v>1</v>
      </c>
      <c r="GR337">
        <f t="shared" si="773"/>
        <v>1</v>
      </c>
      <c r="GS337">
        <f>IF(B337="","",IFERROR(LOOKUP(INDEX(CHOOSE(EB337,Iдоп_1ж,Iдоп_2ж,Iдоп_3ж),MATCH(EN337,Iдоп_S,0))*DZ337*EA337,{6,10,16,20,25,32,40,50,63,80,100,125,160,200,250,315,400,500,630}),""))</f>
        <v>25</v>
      </c>
      <c r="GT337" t="str">
        <f t="shared" si="774"/>
        <v>QF1</v>
      </c>
      <c r="GU337" t="str">
        <f t="shared" si="775"/>
        <v>QF1</v>
      </c>
      <c r="GV337" t="str">
        <f t="shared" si="776"/>
        <v/>
      </c>
      <c r="GW337">
        <f t="shared" si="777"/>
        <v>0</v>
      </c>
      <c r="GX337" t="str">
        <f>IF(OR(B337="",DJ337=""),"",IFERROR(_xlfn.XLOOKUP(DJ337,Модули_умолч[Управление],Модули_умолч[Модель])&amp;"",""))</f>
        <v/>
      </c>
      <c r="GY337">
        <f>IF(DJ337="",1,IFERROR(MAX(0,N(_xlfn.XLOOKUP(DJ337,Модули_умолч[Управление],Модули_умолч[Каналов на линию]))),1))</f>
        <v>1</v>
      </c>
      <c r="GZ337" t="str">
        <f t="shared" si="778"/>
        <v/>
      </c>
      <c r="HA337" t="str">
        <f t="shared" si="779"/>
        <v/>
      </c>
      <c r="HB337" t="str">
        <f t="shared" si="780"/>
        <v/>
      </c>
      <c r="HC337">
        <f>IF(HB337="",0,IFERROR(N(VLOOKUP(HB337,Модули_спр,3,FALSE)),0))</f>
        <v>0</v>
      </c>
      <c r="HD337" t="str">
        <f t="shared" si="781"/>
        <v/>
      </c>
      <c r="HE337" t="str">
        <f t="shared" si="782"/>
        <v/>
      </c>
      <c r="HF337" t="str">
        <f>IF(OR(HE337="",HE337="-"),"",IFERROR(VLOOKUP(HE337,Модули_спр,2,FALSE),"R"))</f>
        <v/>
      </c>
      <c r="HG337" t="str">
        <f>IF(HF337="","",HF337&amp;"."&amp;COUNTIFS(A$3:A337,A337,HF$3:HF337,HF337))</f>
        <v/>
      </c>
      <c r="HH337" t="str">
        <f t="shared" si="783"/>
        <v/>
      </c>
      <c r="HI337" t="str">
        <f t="shared" si="784"/>
        <v/>
      </c>
      <c r="HJ337" t="str">
        <f t="shared" si="785"/>
        <v/>
      </c>
      <c r="HK337" t="str">
        <f t="shared" si="786"/>
        <v/>
      </c>
      <c r="HL337">
        <f t="shared" si="787"/>
        <v>1</v>
      </c>
      <c r="HM337" t="str">
        <f>IF(HL337=1,"XT"&amp;COUNTIFS(A$3:A337,A337,HL$3:HL337,1),"")</f>
        <v>XT1</v>
      </c>
      <c r="HN337" t="str">
        <f t="shared" si="788"/>
        <v>XT1</v>
      </c>
      <c r="HO337" t="str">
        <f t="shared" si="789"/>
        <v>QF1</v>
      </c>
      <c r="HP337" t="str">
        <f t="shared" si="790"/>
        <v/>
      </c>
      <c r="HQ337" t="str">
        <f t="shared" si="791"/>
        <v>ok</v>
      </c>
      <c r="HR337" t="str">
        <f>IF(OR(HJ337="",HH337=""),"",IF(HJ337+MAX(0,GY337-1)&gt;IFERROR(VLOOKUP(HI337,Модули_спр,3,FALSE),99),"ЛИШНИЙ КАНАЛ",IF(AND(AL337&lt;&gt;"=",GY337&gt;0,COUNTIFS(Линии[_модуль гр.],HH337,Линии[Канал (итог)],HJ337,Линии[Канал],"&lt;&gt;=",Линии[Щит],A337)&gt;1),"ДУБЛЬ КАНАЛА","")))</f>
        <v/>
      </c>
      <c r="HS337" s="6" t="str">
        <f t="shared" si="792"/>
        <v/>
      </c>
      <c r="HT337">
        <f t="shared" si="793"/>
        <v>10</v>
      </c>
      <c r="HU337" t="str">
        <f t="shared" si="794"/>
        <v/>
      </c>
      <c r="HV337">
        <f t="shared" si="795"/>
        <v>1.1892845505553169</v>
      </c>
      <c r="HW337">
        <f t="shared" si="796"/>
        <v>0</v>
      </c>
      <c r="HX337">
        <f t="shared" si="797"/>
        <v>0</v>
      </c>
      <c r="HY337">
        <f t="shared" si="798"/>
        <v>0</v>
      </c>
      <c r="HZ337">
        <f t="shared" si="799"/>
        <v>0</v>
      </c>
      <c r="IA337">
        <f t="shared" si="800"/>
        <v>0</v>
      </c>
      <c r="IB337">
        <f t="shared" si="801"/>
        <v>0</v>
      </c>
      <c r="IC337" t="str">
        <f t="shared" si="802"/>
        <v/>
      </c>
      <c r="ID337" t="str" cm="1">
        <f t="array" ref="ID337">IF(IC337="","",_xlfn.LET(_xlpm.tk,_xlfn.TEXTSPLIT(SUBSTITUTE(SUBSTITUTE(IC337,";"," "),"→"," ")," ",,TRUE),_xlpm.w_,_xlfn._xlws.FILTER(_xlpm.tk,ISNUMBER(--LEFT(_xlpm.tk,1))*((ISNUMBER(SEARCH("W",_xlpm.tk))+ISNUMBER(SEARCH("Вт",_xlpm.tk)))&gt;0),""),IFERROR(--SUBSTITUTE(SUBSTITUTE(UPPER(INDEX(_xlpm.w_,1)),"W",""),"ВТ",""),"")))</f>
        <v/>
      </c>
      <c r="IE337" t="str" cm="1">
        <f t="array" ref="IE337">IF(IC337="","",_xlfn.LET(_xlpm.tk,_xlfn.TEXTSPLIT(SUBSTITUTE(SUBSTITUTE(IC337,";"," "),"→"," ")," ",,TRUE),_xlpm.v_,_xlfn._xlws.FILTER(_xlpm.tk,ISNUMBER(--LEFT(_xlpm.tk,1))*((ISNUMBER(SEARCH("V",_xlpm.tk))+(RIGHT(UPPER(_xlpm.tk))="В"))&gt;0),""),IFERROR(--SUBSTITUTE(SUBSTITUTE(UPPER(INDEX(_xlpm.v_,1)),"V",""),"В",""),"")))</f>
        <v/>
      </c>
      <c r="IF337" s="6" t="str">
        <f>IF(OR(BV337=0,HI337="",HJ337=""),"",IFERROR(N(_xlfn.XLOOKUP(HI337,Каталог!$C$4:$C$500,Каталог!$Q$4:$Q$500)),""))</f>
        <v/>
      </c>
      <c r="IG337" s="6" t="str">
        <f>IF(N(IF337)=0,"",SUMIFS(Линии[Iр, А],Линии[Щит],A337,Линии[_модуль гр.],HH337,Линии[Канал (итог)],HJ337))</f>
        <v/>
      </c>
      <c r="IH337" t="str">
        <f>IF(AND(B337="",HO337=""),"",_xlfn.TEXTJOIN("; ",TRUE,IF(AND(B337&lt;&gt;"",FV337=""),"нет фазы",""),IF(AND(B337&lt;&gt;"",N(GL337)=0,FG337&lt;&gt;"Нет"),"нет мощности",""),IF(AND(HN337&lt;&gt;"",COUNTIFS(Линии[Щит],A337,Линии[Клемма (итог)],HN337)&gt;1),"дубль клеммы "&amp;HN337,""),IF(AND(HQ337&lt;&gt;"",HQ337&lt;&gt;"ok"),HQ337,""),IF(HR337&lt;&gt;"",HR337,""),IF(AND(N(CB337)&gt;=4,N(BX337)=1),CB337&amp;" жил на 1 фазе",""),IF(AND(BC337="R",CG337=1,IF(CS337&lt;&gt;"",N(CV337)&gt;30,OR(N(DA337)=0,N(DA337)&gt;30))),"розетка без дифзащиты до 30 мА",""),IF(AND(CG337=1,N(DA337)&gt;0,ISNUMBER(T337)),IF(T337&gt;N(DA337)/3,"ток утечки "&amp;FIXED(T337,1)&amp;" мА &gt; 1/3 уставки ("&amp;DA337&amp;" мА)",""),""),IF(AND(CH337=1,CS337=""),"«узо»: нет строки с УЗО выше (УЗО 2P 40А 30мА в «Аппаратах»)",""),IF(AND(CS337&lt;&gt;"",CS337=BA337),IF(CT337="","впишите номинал УЗО (УЗО 2P 40А 30мА)",IF(N(CT337)&lt;N(DT337),"УЗО "&amp;CT337&amp;" А &lt; автомата "&amp;DT337&amp;" А перед ним",IF(N(CT337)&lt;N(CX337),"УЗО "&amp;CT337&amp;" А &lt; тока блока "&amp;FIXED(CX337,1)&amp;" А",""))),""),IF(AND(CS337&lt;&gt;"",CS337=BA337,ISNUMBER(CY337)),IF(CY337&gt;N(CV337)/3,"ток утечки блока УЗО "&amp;FIXED(CY337,1)&amp;" мА &gt; 1/3 уставки ("&amp;CV337&amp;" мА)",""),""),IF(AND(CG337=1,N(BV337)+N(IB337)&gt;0,IC337=""),"линии до 50 В без БП: впишите в «Аппараты» (БП 24V 480W)",""),IF(AND(CG337=1,ISNUMBER(ID337),ISNUMBER(U337)),IF(U337&gt;ID337,"БП "&amp;ID337&amp;" Вт &lt; нужно "&amp;U337&amp;" Вт (×"&amp;Запас_БП&amp;")",""),""),IF(AND(CG337=1,ISNUMBER(IE337),N(BV337)=1),IF(IE337&lt;&gt;N(BU337),"БП на "&amp;IE337&amp;" В, линия "&amp;BU337&amp;" В",""),""),IF(AND(N(IF337)&gt;0,N(IG337)&gt;N(IF337)),HH337&amp;" канал "&amp;HJ337&amp;": "&amp;FIXED(IG337,1)&amp;" А &gt; "&amp;IF337&amp;" А",""),IFERROR(IF(AND(ISNUMBER(Q337),Q337&gt;EL337),"потери "&amp;FIXED(Q337,1)&amp;" % &gt; "&amp;EL337&amp;" %",""),""),IFERROR(IF(LEFT(HU337,4)="мало","Iкз мало — отключение &gt; 0,4 с",""),""),IF(AND(B337&lt;&gt;"",BM337=""),"не на схеме",""),IF(AND(CG337=0,B337&lt;&gt;"",FV337&lt;&gt;"",IF(BA337=1,"",FW336)&lt;&gt;"",FV337&lt;&gt;IF(BA337=1,"",FW336)),"фаза не как у автомата группы ("&amp;IF(BA337=1,"",FW336)&amp;")","")))</f>
        <v/>
      </c>
      <c r="II337" s="6">
        <f>IF(OR(CG337=0,DQ337=""),"",_xlfn.LET(_xlpm.t,IFERROR(_xlfn.XLOOKUP(DQ337,Каталог!$U$4:$U$500,Каталог!$G$4:$G$500),""),_xlpm.k,SEARCH("кА",_xlpm.t),IFERROR(--TRIM(RIGHT(SUBSTITUTE(MID(_xlpm.t,MAX(1,_xlpm.k-4),_xlpm.k-MAX(1,_xlpm.k-4))," ",REPT(" ",9)),5)),"")))</f>
        <v>6</v>
      </c>
      <c r="IJ337" t="str">
        <f>IF(OR(II337="",CG337=0),"",IF(_xlfn.XLOOKUP(A337,Щиты[Щит],Щиты[Iкз max на шинах, кА],"")="","",IF(II337&lt;_xlfn.XLOOKUP(A337,Щиты[Щит],Щиты[Iкз max на шинах, кА]),"Icu "&amp;II337&amp;" кА &lt; Iкз max","ok")))</f>
        <v/>
      </c>
      <c r="IK337" t="str">
        <f t="shared" si="803"/>
        <v/>
      </c>
      <c r="IL337" t="str">
        <f t="shared" si="804"/>
        <v>QF1|XT1</v>
      </c>
      <c r="IM337" t="str">
        <f t="shared" si="805"/>
        <v>QF1|XT1|кабель ВВГнг(А)-FRLS (3х2,5) → шкаф пожарной сигнализации  Подвальный этаж Пом. №007Т</v>
      </c>
      <c r="IN337" t="str" cm="1">
        <f t="array" ref="IN337">IF(IM337="","",_xlfn.LET(_xlpm.nd,_xlfn.TEXTSPLIT(IM337,"|"),IF(COLUMNS(_xlpm.nd)&gt;1,A337&amp;"¦"&amp;INDEX(_xlpm.nd,1)&amp;"¦"&amp;INDEX(_xlpm.nd,2),"")))</f>
        <v>ЩСПЗ-ЖД¦QF1¦XT1</v>
      </c>
      <c r="IO337" t="str">
        <f t="shared" si="806"/>
        <v>FCP1-2¦шкаф пожарной сигнализации  Подвальный этаж Пом. №007Т</v>
      </c>
      <c r="IP337" t="str" cm="1">
        <f t="array" ref="IP337">IF(IM337="","",_xlfn.LET(_xlpm.nd,_xlfn.TEXTSPLIT(IM337,"|"),IF(COLUMNS(_xlpm.nd)&gt;2,A337&amp;"¦"&amp;INDEX(_xlpm.nd,2)&amp;"¦"&amp;INDEX(_xlpm.nd,3),"")))</f>
        <v>ЩСПЗ-ЖД¦XT1¦кабель ВВГнг(А)-FRLS (3х2,5) → шкаф пожарной сигнализации  Подвальный этаж Пом. №007Т</v>
      </c>
      <c r="IQ337" t="str">
        <f t="shared" si="807"/>
        <v>FCP1-2¦шкаф пожарной сигнализации  Подвальный этаж Пом. №007Т</v>
      </c>
      <c r="IR337" t="str" cm="1">
        <f t="array" ref="IR337">IF(IM337="","",_xlfn.LET(_xlpm.nd,_xlfn.TEXTSPLIT(IM337,"|"),IF(COLUMNS(_xlpm.nd)&gt;3,A337&amp;"¦"&amp;INDEX(_xlpm.nd,3)&amp;"¦"&amp;INDEX(_xlpm.nd,4),"")))</f>
        <v/>
      </c>
      <c r="IS337" t="str">
        <f t="shared" si="808"/>
        <v/>
      </c>
      <c r="IT337" t="str" cm="1">
        <f t="array" ref="IT337">IF(IM337="","",_xlfn.LET(_xlpm.nd,_xlfn.TEXTSPLIT(IM337,"|"),IF(COLUMNS(_xlpm.nd)&gt;4,A337&amp;"¦"&amp;INDEX(_xlpm.nd,4)&amp;"¦"&amp;INDEX(_xlpm.nd,5),"")))</f>
        <v/>
      </c>
      <c r="IU337" t="str">
        <f t="shared" si="809"/>
        <v/>
      </c>
      <c r="IV337" t="str" cm="1">
        <f t="array" ref="IV337">IF(IM337="","",_xlfn.LET(_xlpm.nd,_xlfn.TEXTSPLIT(IM337,"|"),IF(COLUMNS(_xlpm.nd)&gt;5,A337&amp;"¦"&amp;INDEX(_xlpm.nd,5)&amp;"¦"&amp;INDEX(_xlpm.nd,6),"")))</f>
        <v/>
      </c>
      <c r="IW337" t="str">
        <f t="shared" si="810"/>
        <v/>
      </c>
      <c r="IX337" t="str" cm="1">
        <f t="array" ref="IX337">IF(IM337="","",_xlfn.LET(_xlpm.nd,_xlfn.TEXTSPLIT(IM337,"|"),IF(COLUMNS(_xlpm.nd)&gt;6,A337&amp;"¦"&amp;INDEX(_xlpm.nd,6)&amp;"¦"&amp;INDEX(_xlpm.nd,7),"")))</f>
        <v/>
      </c>
      <c r="IY337" t="str">
        <f t="shared" si="811"/>
        <v/>
      </c>
      <c r="IZ337" t="str">
        <f t="shared" si="812"/>
        <v/>
      </c>
      <c r="JA337" t="str">
        <f t="shared" si="813"/>
        <v>QF1 → XT1</v>
      </c>
      <c r="JB337">
        <f t="shared" si="814"/>
        <v>0</v>
      </c>
      <c r="JC337">
        <f t="shared" si="815"/>
        <v>0</v>
      </c>
      <c r="JD337" t="str">
        <f t="shared" si="816"/>
        <v/>
      </c>
      <c r="JE337" t="str">
        <f t="shared" si="817"/>
        <v/>
      </c>
      <c r="JF337" t="str">
        <f t="shared" si="818"/>
        <v/>
      </c>
      <c r="JG337" t="str">
        <f t="shared" si="819"/>
        <v/>
      </c>
      <c r="JH337" t="str">
        <f>IF(B337="","",IFERROR(_xlfn.XLOOKUP(B337,Коды_код,Коды_уго),IFERROR(_xlfn.XLOOKUP(BC337,Коды_код,Коды_уго),IFERROR(_xlfn.XLOOKUP(LEFT(BC337,2),Коды_код,Коды_уго),""))))</f>
        <v/>
      </c>
      <c r="JI337" t="str">
        <f>IF(B337="","",IF(OR(JH337="",JH337=0),"BOX",IFERROR(IF(VLOOKUP(JH337,УГО_блоки,3,FALSE)&amp;""&lt;&gt;"",VLOOKUP(JH337,УГО_блоки,3,FALSE),VLOOKUP(JH337,УГО_блоки,2,FALSE)),JH337)))</f>
        <v>BOX</v>
      </c>
      <c r="JJ337">
        <f t="shared" si="820"/>
        <v>1</v>
      </c>
      <c r="JK337" t="str">
        <f>IF(DQ337="","",IF(COUNTIF(DQ$3:DQ337,DQ337)=1,MAX(JK$2:JK336)+1,""))</f>
        <v/>
      </c>
      <c r="JL337" t="str">
        <f>IF(DE337="","",IF(COUNTIF(DE$3:DE337,DE337)+COUNTIF(DF$2:DF336,DE337)+COUNTIF(DG$2:DG336,DE337)=1,MAX(JL$2:JN336)+1,""))</f>
        <v/>
      </c>
      <c r="JM337" t="str">
        <f>IF(DF337="","",IF(COUNTIF(DE$3:DE337,DF337)+COUNTIF(DF$3:DF337,DF337)+COUNTIF(DG$2:DG336,DF337)=1,MAX(JL$2:JN336,JL337)+1,""))</f>
        <v/>
      </c>
      <c r="JN337" t="str">
        <f>IF(DG337="","",IF(COUNTIF(DE$3:DE337,DG337)+COUNTIF(DF$3:DF337,DG337)+COUNTIF(DG$3:DG337,DG337)=1,MAX(JL$2:JN336,JL337,JM337)+1,""))</f>
        <v/>
      </c>
      <c r="JO337" t="str">
        <f t="shared" si="821"/>
        <v>3х2,5</v>
      </c>
      <c r="JP337" t="str">
        <f>IF(JO337="","",IF(COUNTIF(JO$3:JO337,JO337)=1,MAX(JP$2:JP336)+1,""))</f>
        <v/>
      </c>
      <c r="JQ337" t="str">
        <f>IF(HG337="","",COUNTIF(HG$3:HG337,"?*"))</f>
        <v/>
      </c>
      <c r="JR337" t="str">
        <f>IF(OR(HG337="",HI337=""),"",IF(COUNTIFS(HG$3:HG337,"?*",HI$3:HI337,HI337)=1,MAX(JR$2:JR336)+1,""))</f>
        <v/>
      </c>
      <c r="JS337">
        <f t="shared" si="822"/>
        <v>0</v>
      </c>
      <c r="JT337">
        <f>IF(B337="","",COUNTIF(B$3:B337,"?*"))</f>
        <v>335</v>
      </c>
      <c r="JU337">
        <f>IF(HL337&lt;&gt;1,0,_xlfn.LET(_xlpm.k,MAX(IFERROR(--_xlfn.XLOOKUP(B337,Коды_код,Коды_3L),0),IFERROR(--_xlfn.XLOOKUP(BC337,Коды_код,Коды_3L),0),IFERROR(--_xlfn.XLOOKUP(LEFT(BC337,2),Коды_код,Коды_3L),0)),IF(_xlpm.k&gt;0,_xlpm.k,IF(IFERROR(--LEFT(SUBSTITUTE(JO337,"x","х"),FIND("х",SUBSTITUTE(JO337,"x","х"))-1),3)&gt;3,Каталог!$S$9,1))))</f>
        <v>1</v>
      </c>
      <c r="JV337">
        <f t="shared" si="823"/>
        <v>0</v>
      </c>
      <c r="JW337" t="str">
        <f t="shared" si="824"/>
        <v>авто</v>
      </c>
      <c r="JX337" t="str">
        <f t="shared" si="825"/>
        <v/>
      </c>
      <c r="JY337">
        <f t="shared" si="826"/>
        <v>0</v>
      </c>
      <c r="JZ337">
        <f t="shared" si="827"/>
        <v>1</v>
      </c>
    </row>
    <row r="338" spans="1:286" x14ac:dyDescent="0.3">
      <c r="A338" t="s">
        <v>1110</v>
      </c>
      <c r="B338" t="s">
        <v>1637</v>
      </c>
      <c r="C338" t="s">
        <v>1734</v>
      </c>
      <c r="D338">
        <v>1</v>
      </c>
      <c r="E338">
        <v>0.4</v>
      </c>
      <c r="G338">
        <v>16</v>
      </c>
      <c r="H338" t="str">
        <f>Линии[[#This Row],[_авто управление]]</f>
        <v/>
      </c>
      <c r="I338" t="str">
        <f>Линии[[#This Row],[_авто аппараты]]</f>
        <v/>
      </c>
      <c r="J338">
        <v>2.5</v>
      </c>
      <c r="K338">
        <v>31</v>
      </c>
      <c r="L338" t="str">
        <f>Линии[[#This Row],[_авто фаза]]</f>
        <v>L2</v>
      </c>
      <c r="M338" t="str">
        <f>Линии[[#This Row],[_авто клемма]]</f>
        <v>XT2</v>
      </c>
      <c r="N338" t="str">
        <f t="shared" si="690"/>
        <v/>
      </c>
      <c r="O338" s="6" cm="1">
        <f t="array" ref="O338">IF(B338="","",IF(BH338&lt;&gt;"",IFERROR(_xlfn.XLOOKUP(BH338,Щиты[Щит],Щиты[Iр, А]),""),IF(BP338=1,IF(OR(N(_xlfn.XLOOKUP(A338,Щиты[Щит],Щиты[Вводов],1))&lt;=1,LOWER(TRIM(_xlfn.XLOOKUP(A338,Щиты[Щит],Щиты[АВР],"")&amp;""))="да"),IFERROR(_xlfn.XLOOKUP(A338,Щиты[Щит],Щиты[Iр, А]),""),IFERROR(N(BS338)*_xlfn.XLOOKUP(A338,Щиты[Щит],Щиты[Кс итог])/(SQRT(3)*Uн_лин*_xlfn.XLOOKUP(A338,Щиты[Щит],Щиты[cos φ])),"")),IF(BV338=1,IFERROR(BS338*1000/BU338,""),IFERROR(_xlfn.IFS(BX338=1,BS338/((Uн_лин/SQRT(3))*CE338),BX338=3,BS338/(SQRT(3)*Uн_лин*CE338)),"")))))</f>
        <v>1.823211376388292</v>
      </c>
      <c r="P338" s="7">
        <f>IF(B338="","",IFERROR(IF(VLOOKUP(BC338,Потребители_обозначение,4,FALSE)=1,VLOOKUP(BC338,Потребители_обозначение,3,FALSE)*(MAX(1,N(D338))*2-1)+EI338+VLOOKUP(BE338,Этаж_обозначение,3,FALSE)+VLOOKUP(BE338,Этаж_обозначение,4,FALSE),VLOOKUP(BC338,Потребители_обозначение,3,FALSE)*(MAX(1,N(D338))*2-1)+EI338),EI338))</f>
        <v>31</v>
      </c>
      <c r="Q338" s="6">
        <f t="shared" si="691"/>
        <v>0.84000000000000008</v>
      </c>
      <c r="R338" t="str">
        <f t="shared" si="692"/>
        <v>ВВГнг(А)-FRLS (3х2,5)</v>
      </c>
      <c r="S338" t="str">
        <f>IF(BM338="","",IF(BN338="вводной узел","узел ","")&amp;"л."&amp;(INT((BM338-1)/Столбцов_на_лист)+1)&amp;" / "&amp;(MOD(BM338-1,Столбцов_на_лист)+1))</f>
        <v>л.1 / 14</v>
      </c>
      <c r="T338" s="119">
        <f t="shared" si="693"/>
        <v>1</v>
      </c>
      <c r="U338" s="7" t="str">
        <f>IF(OR(CG338=0,N(BV338)+N(IB338)=0),"",ROUNDUP(Запас_БП*(N(HY338)+N(HZ338)),0))</f>
        <v/>
      </c>
      <c r="V338" s="119" t="str">
        <f t="shared" si="694"/>
        <v/>
      </c>
      <c r="W338" s="7" t="str">
        <f>IFERROR(IF(OR(B338="",BP338=1,BV338=1,NOT(ISNUMBER(EN338)),N(DT338)=0),"",MAX(0,ROUNDDOWN((c_min*(Uн_лин*1000/SQRT(3))/(HT338*N(DT338))-_xlfn.XLOOKUP(A338,Щиты[Щит],Щиты[Zпетли на шинах, Ом]))*EN338/(2*ρкз_Cu),0))),"")</f>
        <v/>
      </c>
      <c r="Y338" t="str">
        <f>Линии[[#This Row],[_авто утечка]]</f>
        <v/>
      </c>
      <c r="Z338">
        <v>1</v>
      </c>
      <c r="AA338">
        <v>230</v>
      </c>
      <c r="AB338" t="s">
        <v>573</v>
      </c>
      <c r="AG338" t="s">
        <v>850</v>
      </c>
      <c r="AH338" t="s">
        <v>488</v>
      </c>
      <c r="AI338" t="s">
        <v>591</v>
      </c>
      <c r="AK338" t="str">
        <f>Линии[[#This Row],[_авто модуль]]</f>
        <v/>
      </c>
      <c r="AM338">
        <v>14</v>
      </c>
      <c r="AN338" t="s">
        <v>13</v>
      </c>
      <c r="AO338">
        <v>3</v>
      </c>
      <c r="AQ338">
        <v>11</v>
      </c>
      <c r="AR338">
        <v>12</v>
      </c>
      <c r="AT338">
        <v>1</v>
      </c>
      <c r="BA338" cm="1">
        <f t="array" ref="BA338">ROW()-ROW(Линии[#Headers])</f>
        <v>336</v>
      </c>
      <c r="BC338" s="6" t="str">
        <f t="shared" si="695"/>
        <v>ENC1-11</v>
      </c>
      <c r="BD338" t="str">
        <f t="shared" si="696"/>
        <v/>
      </c>
      <c r="BE338" t="str">
        <f t="shared" si="697"/>
        <v/>
      </c>
      <c r="BF338" t="str">
        <f t="shared" si="698"/>
        <v/>
      </c>
      <c r="BG338" t="str">
        <f t="shared" si="699"/>
        <v/>
      </c>
      <c r="BH338" t="str">
        <f>IF(X338&lt;&gt;"",X338,IF(AND(B338&lt;&gt;"",B338&lt;&gt;A338,ISNUMBER(_xlfn.XMATCH(B338,Щиты[Щит]))),B338,""))</f>
        <v/>
      </c>
      <c r="BI338" t="str" cm="1">
        <f t="array" ref="BI338">IF(B338="","",IF(BH338&lt;&gt;"","Щит "&amp;BH338,_xlfn.LET(_xlpm.nm,IFERROR(_xlfn.XLOOKUP(BC338,Коды_код,Коды_имя)&amp;"",""),_xlpm.md,IFERROR(N(_xlfn.XLOOKUP(BC338,Коды_код,Коды_режим)),1),_xlpm.ex,IF(Имя_режим="по экспликации",IFERROR(_xlfn.XLOOKUP(BE338&amp;"|"&amp;BG338,Экспликация[Этаж]&amp;"|"&amp;Экспликация[Помещение],Экспликация[Название])&amp;"",""),""),_xlpm.rm,IF(BG338="","",IF(_xlpm.ex&lt;&gt;"",". "&amp;_xlpm.ex&amp;IF(Имя_пом="нет"," ("&amp;BG338&amp;")"," (пом. "&amp;BG338&amp;")"),IF(Имя_пом="нет"," ",", пом. ")&amp;BG338)),IF(_xlpm.nm="","",IF(_xlpm.md=2,_xlpm.nm&amp;" шлейф "&amp;BE338,_xlpm.nm&amp;_xlpm.rm)))))</f>
        <v/>
      </c>
      <c r="BJ338" t="str">
        <f t="shared" si="700"/>
        <v>шкаф системы оповещения и управления эвакуацией Цокольный этаж Пом. №002Т</v>
      </c>
      <c r="BK338">
        <f>IFERROR(_xlfn.XMATCH(A338,Щиты[Щит]),0)</f>
        <v>16</v>
      </c>
      <c r="BL338">
        <f>_xlfn.LET(_xlpm.k,IFERROR(_xlfn.XLOOKUP(A338,Щиты[Щит],Щиты[Мест под вводной узел]),""),IF(_xlpm.k="",Столбцов_на_лист,N(_xlpm.k)))</f>
        <v>12</v>
      </c>
      <c r="BM338">
        <f t="shared" si="701"/>
        <v>14</v>
      </c>
      <c r="BN338" t="str">
        <f t="shared" si="702"/>
        <v>линии</v>
      </c>
      <c r="BO338" s="6">
        <f>IFERROR(N(_xlfn.XLOOKUP(BC338,Коды_код,Коды_квт)),0)</f>
        <v>0</v>
      </c>
      <c r="BP338">
        <f t="shared" si="703"/>
        <v>0</v>
      </c>
      <c r="BQ338" t="str">
        <f>IF(B338="","",IF(BH338&lt;&gt;"",IFERROR(_xlfn.XLOOKUP(BH338,Щиты[Щит],Щиты[Руст, кВт]),0),IF(BP338=1,IF(OR(N(_xlfn.XLOOKUP(A338,Щиты[Щит],Щиты[Вводов],1))&lt;=1,LOWER(TRIM(_xlfn.XLOOKUP(A338,Щиты[Щит],Щиты[АВР],"")&amp;""))="да"),IFERROR(_xlfn.XLOOKUP(A338,Щиты[Щит],Щиты[Руст, кВт]),0),SUMIFS(Линии[_Р для вводов],Линии[Щит],A338,Линии[Источник для режимов],GF338)),IF(BO338&gt;0,ROUND(BO338*MAX(1,N(D338)),3),""))))</f>
        <v/>
      </c>
      <c r="BR338">
        <f t="shared" si="704"/>
        <v>0.4</v>
      </c>
      <c r="BS338" s="6">
        <f>IF(B338="","",IF(BH338&lt;&gt;"",IFERROR(_xlfn.XLOOKUP(BH338,Щиты[Щит],Щиты[Руст, кВт]),0),N(BR338)))</f>
        <v>0.4</v>
      </c>
      <c r="BT338" t="str">
        <f>IF(B338="","",IFERROR(IF(VLOOKUP(BC338,Потребители_обозначение,8,FALSE)=0,"",VLOOKUP(BC338,Потребители_обозначение,8,FALSE)),""))</f>
        <v/>
      </c>
      <c r="BU338">
        <f t="shared" si="705"/>
        <v>230</v>
      </c>
      <c r="BV338">
        <f t="shared" si="706"/>
        <v>0</v>
      </c>
      <c r="BW338">
        <f>IF(B338="","",IF(BH338&lt;&gt;"",3,IFERROR(IF(N(VLOOKUP(BC338,Потребители_обозначение,9,FALSE))=0,1,VLOOKUP(BC338,Потребители_обозначение,9,FALSE)),1)))</f>
        <v>1</v>
      </c>
      <c r="BX338">
        <f t="shared" si="707"/>
        <v>1</v>
      </c>
      <c r="BY338" t="str">
        <f>IF(B338="","",_xlfn.LET(_xlpm.bc,IFERROR(IF(VLOOKUP(BC338,Потребители_обозначение,6,FALSE)=0,"",VLOOKUP(BC338,Потребители_обозначение,6,FALSE)&amp;""),""),IF(AND(GA338="да",OR(_xlpm.bc="",_xlpm.bc="мс")),Марка_пож,IF(AND(_xlpm.bc="",BH338&lt;&gt;""),"мс",_xlpm.bc))))</f>
        <v>мфр</v>
      </c>
      <c r="BZ338" t="str">
        <f t="shared" si="708"/>
        <v>мфр</v>
      </c>
      <c r="CA338">
        <f>IF(B338="","",_xlfn.LET(_xlpm.cc,IFERROR(N(VLOOKUP(BC338,Потребители_обозначение,7,FALSE)),0),IF(_xlpm.cc&gt;0,_xlpm.cc,IF(BZ338="","",IF(BV338=1,2,IF(N(BX338)=3,5,3))))))</f>
        <v>3</v>
      </c>
      <c r="CB338">
        <f t="shared" si="709"/>
        <v>3</v>
      </c>
      <c r="CC338">
        <f>IFERROR(N(VLOOKUP(BC338,Потребители_обозначение,10,FALSE)),0)</f>
        <v>0</v>
      </c>
      <c r="CD338">
        <f>IFERROR(VLOOKUP(BC338,Потребители_обозначение,5,FALSE),0)</f>
        <v>0</v>
      </c>
      <c r="CE338" s="6" cm="1">
        <f t="array" ref="CE338">IF(B338="","",IF(BH338&lt;&gt;"",IFERROR(_xlfn.XLOOKUP(BH338,Щиты[Щит],Щиты[cos φ]),0.95),IF(BP338=1,IFERROR(_xlfn.XLOOKUP(A338,Щиты[Щит],Щиты[cos φ]),0.95),IF(ISNUMBER(AD338),AD338,IFERROR(IF(CD338=2,_xlfn.IFS(BX338=3,VLOOKUP(BS338,Справочная_двигатели,8,FALSE),BX338=1,VLOOKUP(BS338,Справочная_двигатели,10,TRUE)),IF(AND(Методика="нормы 2026",FG338="Сил"),0.8,0.95)),0.95)))))</f>
        <v>0.95</v>
      </c>
      <c r="CF338">
        <f t="shared" si="710"/>
        <v>0</v>
      </c>
      <c r="CG338">
        <f t="shared" si="711"/>
        <v>1</v>
      </c>
      <c r="CH338">
        <f t="shared" si="712"/>
        <v>0</v>
      </c>
      <c r="CI338">
        <f>IF(B338="","",IF(BV338=1,IFERROR(BS338/((Uн_лин/SQRT(3))*MAX(0.5,N(CE338))),0),N(O338)))</f>
        <v>1.823211376388292</v>
      </c>
      <c r="CJ338">
        <f t="shared" si="713"/>
        <v>0</v>
      </c>
      <c r="CK338">
        <f t="shared" si="714"/>
        <v>0</v>
      </c>
      <c r="CL338">
        <f t="shared" si="715"/>
        <v>0</v>
      </c>
      <c r="CM338">
        <f t="shared" si="716"/>
        <v>0</v>
      </c>
      <c r="CN338">
        <f t="shared" si="717"/>
        <v>0</v>
      </c>
      <c r="CO338">
        <f>IF(BC338="",0,_xlfn.LET(_xlpm.v,IFERROR(_xlfn.XLOOKUP(B338,Коды_код,Коды_мА),IFERROR(_xlfn.XLOOKUP(BC338,Коды_код,Коды_мА),IFERROR(_xlfn.XLOOKUP(LEFT(BC338,2),Коды_код,Коды_мА),""))),IF(_xlpm.v="да",30,IF(ISNUMBER(_xlpm.v),_xlpm.v,0))))</f>
        <v>0</v>
      </c>
      <c r="CP338" t="str">
        <f t="shared" si="718"/>
        <v/>
      </c>
      <c r="CQ338" t="str">
        <f>_xlfn.LET(_xlpm.k,IFERROR(_xlfn.XLOOKUP(BC338,Коды_код,Коды_утечка)&amp;"",""),IF(_xlpm.k="","дифавтомат",_xlpm.k))</f>
        <v>дифавтомат</v>
      </c>
      <c r="CR338" t="str" cm="1">
        <f t="array" ref="CR338">IF(CG338=0,"",_xlfn.LET(_xlpm.sg,TRIM(_xlfn.TEXTSPLIT(DD338&amp;"",";")),_xlpm.f_,_xlfn._xlws.FILTER(_xlpm.sg,LEFT(_xlpm.sg,3)="УЗО",""),IFERROR(INDEX(_xlpm.f_,1)&amp;"","")))</f>
        <v/>
      </c>
      <c r="CS338" t="str">
        <f t="shared" si="719"/>
        <v/>
      </c>
      <c r="CT338" s="6" t="str" cm="1">
        <f t="array" ref="CT338">IF(CR338="","",_xlfn.LET(_xlpm.tk,_xlfn.TEXTSPLIT(UPPER(CR338)," ",,TRUE),_xlpm.a_,_xlfn._xlws.FILTER(_xlpm.tk,ISNUMBER(--LEFT(_xlpm.tk,1))*((ISNUMBER(SEARCH("А",_xlpm.tk))+ISNUMBER(SEARCH("A",_xlpm.tk)))&gt;0)*NOT(ISNUMBER(SEARCH("МА",_xlpm.tk)))*NOT(ISNUMBER(SEARCH("MA",_xlpm.tk))),""),IFERROR(--SUBSTITUTE(SUBSTITUTE(INDEX(_xlpm.a_,1),"А",""),"A",""),"")))</f>
        <v/>
      </c>
      <c r="CU338" t="str" cm="1">
        <f t="array" ref="CU338">IF(CR338="","",_xlfn.LET(_xlpm.tk,_xlfn.TEXTSPLIT(UPPER(CR338)," ",,TRUE),_xlpm.a_,_xlfn._xlws.FILTER(_xlpm.tk,ISNUMBER(--LEFT(_xlpm.tk,1))*((ISNUMBER(SEARCH("МА",_xlpm.tk))+ISNUMBER(SEARCH("MA",_xlpm.tk)))&gt;0),""),IFERROR(--SUBSTITUTE(SUBSTITUTE(INDEX(_xlpm.a_,1),"МА",""),"MA",""),30)))</f>
        <v/>
      </c>
      <c r="CV338" t="str">
        <f>IF(CS338="","",IFERROR(_xlfn.XLOOKUP(CS338,Линии[_n],Линии[_УЗО, мА]),30))</f>
        <v/>
      </c>
      <c r="CW338">
        <f>IF(CS338="",0,IF(ISNUMBER(SEARCH("4P",IFERROR(_xlfn.XLOOKUP(CS338,Линии[_n],Линии[_УЗО строки])&amp;"",""))),0,1))</f>
        <v>0</v>
      </c>
      <c r="CX338" t="str">
        <f>IF(AND(CS338&lt;&gt;"",CS338=BA338),SUMIFS(Линии[_ток на 230 В],Линии[_блок УЗО],BA338,Линии[Щит],A338),"")</f>
        <v/>
      </c>
      <c r="CY338" t="str">
        <f>IF(AND(CS338&lt;&gt;"",CS338=BA338),SUMIFS(Линии[_ток утечки линии, мА],Линии[_блок УЗО],BA338,Линии[Щит],A338),"")</f>
        <v/>
      </c>
      <c r="CZ338">
        <f t="shared" si="720"/>
        <v>0</v>
      </c>
      <c r="DA338">
        <f t="shared" si="721"/>
        <v>0</v>
      </c>
      <c r="DB338">
        <f>IF(B338="",0,IFERROR(--_xlfn.XLOOKUP(B338,Коды_код,Коды_минавт),IFERROR(--_xlfn.XLOOKUP(BC338,Коды_код,Коды_минавт),IFERROR(--_xlfn.XLOOKUP(LEFT(BC338,2),Коды_код,Коды_минавт),0))))</f>
        <v>0</v>
      </c>
      <c r="DC338" t="str">
        <f>IF(B338="","",IFERROR(_xlfn.XLOOKUP(BC338,Коды_код,Коды_апп)&amp;"",""))</f>
        <v/>
      </c>
      <c r="DD338" t="str">
        <f t="shared" si="722"/>
        <v/>
      </c>
      <c r="DE338" t="str" cm="1">
        <f t="array" ref="DE338">IF(TRIM(DD338&amp;"")="","",IFERROR(TRIM(INDEX(_xlfn.TEXTSPLIT(DD338&amp;";;;",";"),1)),""))</f>
        <v/>
      </c>
      <c r="DF338" t="str" cm="1">
        <f t="array" ref="DF338">IF(TRIM(DD338&amp;"")="","",IFERROR(TRIM(INDEX(_xlfn.TEXTSPLIT(DD338&amp;";;;",";"),2)),""))</f>
        <v/>
      </c>
      <c r="DG338" t="str" cm="1">
        <f t="array" ref="DG338">IF(TRIM(DD338&amp;"")="","",IFERROR(TRIM(INDEX(_xlfn.TEXTSPLIT(DD338&amp;";;;",";"),3)),""))</f>
        <v/>
      </c>
      <c r="DH338">
        <f t="shared" si="723"/>
        <v>0</v>
      </c>
      <c r="DI338" t="str">
        <f>IF(B338="","",_xlfn.LET(_xlpm.t,LOWER(AZ338&amp;""),IF(ISNUMBER(SEARCH("dim",_xlpm.t)),"DIM",IF(ISNUMBER(SEARCH("dali",_xlpm.t)),"DALI",IF(OR(ISNUMBER(SEARCH("relay",_xlpm.t)),ISNUMBER(SEARCH("реле",_xlpm.t))),"Relay",IF(ISNUMBER(SEARCH("кнопк",_xlpm.t)),"",IFERROR(_xlfn.XLOOKUP(BC338,Коды_код,Коды_упр)&amp;"","")))))))</f>
        <v/>
      </c>
      <c r="DJ338" t="str">
        <f t="shared" si="724"/>
        <v/>
      </c>
      <c r="DK338">
        <f>IF(B338="","",_xlfn.LET(_xlpm.ig,IF(N(CX338)&gt;0,N(CX338),N(CI338)+IF(AJ338="вручную",0,N(CJ338))),_xlpm.n0,IFERROR(VLOOKUP(_xlpm.ig,Автомат_номиналы,2,TRUE),0),_xlpm.mn,MAX(DB338,IF(AJ338="вручную",0,N(CM338))),MAX(_xlpm.n0,_xlpm.mn,IF(DH338=1,Мин_автомат_БП,0))))</f>
        <v>6</v>
      </c>
      <c r="DL338">
        <f t="shared" si="725"/>
        <v>1</v>
      </c>
      <c r="DM338" t="str">
        <f t="shared" si="726"/>
        <v>1P</v>
      </c>
      <c r="DN338" t="str">
        <f>_xlfn.LET(_xlpm.cc,UPPER(TRIM(IFERROR(_xlfn.XLOOKUP(BC338,Коды_код,Коды_хар)&amp;"",""))),IF(OR(_xlpm.cc="B",_xlpm.cc="В"),"B",IF(_xlpm.cc="D","D","С")))</f>
        <v>С</v>
      </c>
      <c r="DO338" t="str">
        <f t="shared" si="727"/>
        <v>1P С6А</v>
      </c>
      <c r="DP338">
        <f t="shared" si="728"/>
        <v>16</v>
      </c>
      <c r="DQ338" t="str">
        <f t="shared" si="729"/>
        <v>1P С16А</v>
      </c>
      <c r="DR338" cm="1">
        <f t="array" ref="DR338">IF(DQ338="","",_xlfn.LET(_xlpm.t,SUBSTITUTE(SUBSTITUTE(SUBSTITUTE(UPPER(DQ338),"С","C"),"А","A"),"В","B"),_xlpm.tk,_xlfn.TEXTSPLIT(_xlpm.t," "),_xlpm.f,_xlfn._xlws.FILTER(_xlpm.tk,ISNUMBER(--MID(_xlpm.tk,2,1))*ISNUMBER(SEARCH(LEFT(_xlpm.tk,1)&amp;"#","B#C#D#"))*(LEN(_xlpm.tk)&gt;1),""),_xlpm.x,INDEX(_xlpm.f,1),IFERROR(--SUBSTITUTE(MID(_xlpm.x,2,9),"A",""),IFERROR(--SUBSTITUTE(INDEX(_xlfn._xlws.FILTER(_xlpm.tk,ISNUMBER(--SUBSTITUTE(_xlpm.tk,"A","")),""),1),"A",""),""))))</f>
        <v>16</v>
      </c>
      <c r="DS338" t="str">
        <f t="shared" si="730"/>
        <v>ok</v>
      </c>
      <c r="DT338">
        <f t="shared" si="731"/>
        <v>16</v>
      </c>
      <c r="DU338" t="str">
        <f t="shared" si="732"/>
        <v>1P С16А</v>
      </c>
      <c r="DV338">
        <f t="shared" si="733"/>
        <v>0</v>
      </c>
      <c r="DW338">
        <f t="shared" si="734"/>
        <v>0</v>
      </c>
      <c r="DX338">
        <f t="shared" si="735"/>
        <v>0</v>
      </c>
      <c r="DY338">
        <f t="shared" si="736"/>
        <v>1.823211376388292</v>
      </c>
      <c r="DZ338">
        <f t="shared" si="737"/>
        <v>1</v>
      </c>
      <c r="EA338">
        <f>IF(ISNUMBER(AP338),AP338,К_прокл)</f>
        <v>1</v>
      </c>
      <c r="EB338">
        <f t="shared" si="738"/>
        <v>2</v>
      </c>
      <c r="EC338">
        <f>IFERROR(N(VLOOKUP(BZ338,Кабель_обозначение,3,FALSE)),1)</f>
        <v>1</v>
      </c>
      <c r="ED338">
        <f>IFERROR(N(_xlfn.XLOOKUP(A338,Щиты[Щит],Щиты[ΔU до шин, %])),0)</f>
        <v>0.41000000000000003</v>
      </c>
      <c r="EE338" t="str">
        <f>IFERROR(_xlfn.XLOOKUP(A338,Щиты[Щит],Щиты[Zпетли на шинах, Ом]),"")</f>
        <v/>
      </c>
      <c r="EF338">
        <f>IFERROR(N(_xlfn.XLOOKUP(A338,Щиты[Щит],Щиты[ΔU до шин (подбор), %])),0)</f>
        <v>0.68</v>
      </c>
      <c r="EG338" t="str">
        <f>IFERROR(_xlfn.XLOOKUP(A338,Щиты[Щит],Щиты[Zпетли на шинах (подбор), Ом]),"")</f>
        <v/>
      </c>
      <c r="EH338" t="str">
        <f t="shared" si="739"/>
        <v/>
      </c>
      <c r="EI338">
        <f t="shared" si="740"/>
        <v>31</v>
      </c>
      <c r="EJ338">
        <f t="shared" si="741"/>
        <v>2</v>
      </c>
      <c r="EK338">
        <f t="shared" si="742"/>
        <v>0.31</v>
      </c>
      <c r="EL338" s="6">
        <f>IF(B338="","",IF(BV338=1,dU_LED,IF(IFERROR(_xlfn.XLOOKUP(BC338,Коды_код,Коды_уго),"")="Светильник",3,4)+IF(Методика="нормы 2026",MIN(0.5,MAX(0,N(P338)-100)*0.005),0)))</f>
        <v>4</v>
      </c>
      <c r="EM338" cm="1">
        <f t="array" ref="EM338">IF(OR(B338="",BZ338="",EC338&lt;&gt;1),"",_xlfn.LET(_xlpm.sz,Iдоп_S,_xlpm.t_,CHOOSE(EB338,Iдоп_1ж,Iдоп_2ж,Iдоп_3ж)*DZ338*EA338,_xlpm.dcx,BV338=1,_xlpm.inn,IF(_xlpm.dcx,N(O338),N(DT338)),_xlpm.smin,MAX(1.5,CC338),_xlpm.L_,N(P338)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338)/N(BU338)*100,999),IFERROR(N(EJ338)*(_xlpm.rho*_xlpm.L_/_xlpm.sz*N(CE338)+_xlpm.xx*_xlpm.L_*N(EK338)/1000)*N(O338)/((Uн_лин/SQRT(3))*1000)*100,999)),_xlpm.kz,IF(OR(_xlpm.dcx,DW338=1,NOT(ISNUMBER(EG338)),_xlpm.L_=0,_xlpm.inn=0),1,IFERROR(--(c_min*(Uн_лин*1000/SQRT(3))/(EG338+2*ρкз_Cu*_xlpm.L_/_xlpm.sz)&gt;=HT338*_xlpm.inn),0)),_xlpm.ok,IFERROR((_xlpm.sz&gt;=_xlpm.smin)*(_xlpm.t_&gt;=_xlpm.inn)*IF(_xlpm.L_&gt;0,(_xlpm.du_+IF(_xlpm.dcx,0,EF338)&lt;=EL338+0.00001),1)*_xlpm.kz,0),_xlpm.r_,_xlfn._xlws.FILTER(_xlpm.sz,_xlpm.ok,"не подобрано"),INDEX(_xlpm.r_,1)))</f>
        <v>1.5</v>
      </c>
      <c r="EN338">
        <f t="shared" si="743"/>
        <v>2.5</v>
      </c>
      <c r="EO338" cm="1">
        <f t="array" ref="EO338">IF(OR(B338="",BZ338="",EC338&lt;&gt;1),"",_xlfn.LET(_xlpm.sz,Iдоп_S,_xlpm.t_,CHOOSE(EB338,Iдоп_1ж,Iдоп_2ж,Iдоп_3ж)*DZ338*EA338,_xlpm.ok,IFERROR((_xlpm.sz&gt;=MAX(1.5,CC338))*(_xlpm.t_&gt;=N(DT338)),0),_xlpm.r_,_xlfn._xlws.FILTER(_xlpm.sz,_xlpm.ok,""),INDEX(_xlpm.r_,1)))</f>
        <v>1.5</v>
      </c>
      <c r="EP338" s="6" cm="1">
        <f t="array" ref="EP338">IFERROR(ROUNDUP(N(EJ338)*(_xlfn.XLOOKUP(EO338,INDEX(Кабель_сопротивление,0,1),INDEX(Кабель_сопротивление,0,3))*N(P338)/EO338*N(CE338)+_xlfn.XLOOKUP(EO338,INDEX(Кабель_сопротивление,0,1),INDEX(Кабель_сопротивление,0,2))*N(P338)*N(EK338)/1000)*N(O338)/((Uн_лин/SQRT(3))*1000)*100,2),"")</f>
        <v>0.7</v>
      </c>
      <c r="EQ338">
        <f>IFERROR(2*ρкз_Cu*N(P338)/EO338,"")</f>
        <v>1.0870666666666666</v>
      </c>
      <c r="ER338">
        <f>IFERROR(VLOOKUP(EN338,Кабель_сопротивление,3,FALSE),"")</f>
        <v>2.2499999999999999E-2</v>
      </c>
      <c r="ES338">
        <f>IFERROR(VLOOKUP(EN338,Кабель_сопротивление,2,FALSE),"")</f>
        <v>0.1</v>
      </c>
      <c r="ET338">
        <f t="shared" si="744"/>
        <v>12</v>
      </c>
      <c r="EU338">
        <f t="shared" si="745"/>
        <v>0</v>
      </c>
      <c r="EV338">
        <f t="shared" si="746"/>
        <v>0.96998856288885182</v>
      </c>
      <c r="EW338" s="6">
        <f>IFERROR(ROUNDUP(EV338/IF(BV338=1,BU338,(Uн_лин/SQRT(3))*1000)*100,2),"")</f>
        <v>0.43</v>
      </c>
      <c r="EX338" t="str">
        <f>IFERROR(VLOOKUP(BZ338,Кабель_обозначение,2,FALSE),"")</f>
        <v>ВВГнг(А)-FRLS</v>
      </c>
      <c r="EY338" t="str">
        <f t="shared" si="747"/>
        <v>ВВГнг(А)-FRLS (3х2,5)</v>
      </c>
      <c r="EZ338" t="str">
        <f t="shared" si="748"/>
        <v>ВВГнг(А)-FRLS (3х2,5)
L=31-0,43%</v>
      </c>
      <c r="FA338">
        <f>IFERROR(2*ρкз_Cu*P338/EN338,"")</f>
        <v>0.65224000000000004</v>
      </c>
      <c r="FB338">
        <f t="shared" si="749"/>
        <v>0.21700000000000003</v>
      </c>
      <c r="FC338" s="6" t="str">
        <f>IFERROR(IF(OR(B338="",BV338=1,NOT(ISNUMBER(EN338)),N(P338)=0),"",_xlfn.XLOOKUP(A338,Щиты[Щит],Щиты[Zпетли на шинах, Ом])+FA338),"")</f>
        <v/>
      </c>
      <c r="FD338" s="6" t="str">
        <f>IF(ISNUMBER(FC338),c_min*(Uн_лин*1000/SQRT(3))/FC338,"")</f>
        <v/>
      </c>
      <c r="FE338" s="6" t="str">
        <f>IFERROR(IF(OR(B338="",NOT(ISNUMBER(EN338))),"",1.05*(Uн_лин*1000/SQRT(3))/(_xlfn.XLOOKUP(A338,Щиты[Щит],Щиты[Zmax на шинах, Ом])+FB338)/1000),"")</f>
        <v/>
      </c>
      <c r="FF338" s="6" t="str">
        <f>IF(B338="","",IF(ISNUMBER(AC338),"Сил",IF(IFERROR(_xlfn.XLOOKUP(BC338,Коды_код,Коды_группа)&amp;"","")="","Быт",_xlfn.XLOOKUP(BC338,Коды_код,Коды_группа)&amp;"")))</f>
        <v>Быт</v>
      </c>
      <c r="FG338" s="6" t="str">
        <f t="shared" si="750"/>
        <v>Пост</v>
      </c>
      <c r="FH338" s="6">
        <f>IF(FG338="Щит","щит",IF(FG338="","",IF(FG338="Быт",IFERROR(_xlfn.XLOOKUP(A338,Щиты[Щит],Щиты[Кс быт]),1),IF(FG338="Сил",IF(ISNUMBER(AC338),AC338,IF(Методика="нормы 2026",IFERROR(_xlfn.XLOOKUP(A338,Щиты[Щит],Щиты[Кс силовых (табл. 7.5)]),1),1)),IF(OR(FG338="Пост",FG338="Отоп"),1,IF(FG338="ВНГ",0.7,0))))))</f>
        <v>1</v>
      </c>
      <c r="FI338">
        <f>IF(FG338="","",IF(AND(BP338=1,TRIM(AE338&amp;"")=""),IF(COUNTIFS(Линии[Щит],A338,Линии[Секция (1/2/3)],"&gt;=2")&gt;0,MIN(3,MAX(1,IFERROR(--BD338,1))),1),IFERROR(MIN(3,MAX(1,INT(--AE338))),1)))</f>
        <v>1</v>
      </c>
      <c r="FJ338">
        <f t="shared" si="751"/>
        <v>0.4</v>
      </c>
      <c r="FK338">
        <f t="shared" si="752"/>
        <v>0</v>
      </c>
      <c r="FL338">
        <f t="shared" si="753"/>
        <v>0</v>
      </c>
      <c r="FM338">
        <f t="shared" si="754"/>
        <v>0.4</v>
      </c>
      <c r="FN338">
        <f t="shared" si="755"/>
        <v>0</v>
      </c>
      <c r="FO338">
        <f t="shared" si="756"/>
        <v>0</v>
      </c>
      <c r="FP338">
        <f t="shared" si="757"/>
        <v>0.4</v>
      </c>
      <c r="FQ338">
        <f t="shared" si="758"/>
        <v>0.4</v>
      </c>
      <c r="FR338">
        <f t="shared" si="759"/>
        <v>0.38</v>
      </c>
      <c r="FS338">
        <f>IF(CG338=1,IF(AND(CH338=1,CW338=1),0,IF(AND(CS338&lt;&gt;"",CS338=BA338,CW338=1),SUMIFS(Линии[_Р линии, кВт],Линии[_блок УЗО],BA338,Линии[Щит],A338),N(BS338)+IF(AJ338="вручную",0,N(CK338)))),0)</f>
        <v>0.4</v>
      </c>
      <c r="FT338" t="str">
        <f t="shared" si="760"/>
        <v/>
      </c>
      <c r="FU338" t="str">
        <f>IF(B338="","",IF(CG338=0,IF(BA338=1,"",FW337),IF(AND(CH338=1,CW338=1,CS338&lt;&gt;""),IFERROR(_xlfn.XLOOKUP(CS338,Линии[_n],Линии[_фаза итог]),"L1"),IF(OR(N(DL338)&gt;=3,N(BX338)&gt;=3),"L1,L2,L3",IFERROR(_xlfn.TEXTBEFORE(_xlfn.TEXTAFTER(_xlfn.XLOOKUP(A338,Щиты[Щит],Щиты[_фазы авто]),";"&amp;BA338&amp;":"),";"),"L1")))))</f>
        <v>L2</v>
      </c>
      <c r="FV338" t="str">
        <f t="shared" si="761"/>
        <v>L2</v>
      </c>
      <c r="FW338" t="str">
        <f t="shared" si="762"/>
        <v>L2</v>
      </c>
      <c r="FX338" cm="1">
        <f t="array" ref="FX338">IFERROR(IF(CD338=2,_xlfn.IFS(BX338=3,VLOOKUP(BS338,Справочная_двигатели,3,FALSE),BX338=1,VLOOKUP(BS338,Справочная_двигатели,5,TRUE)),0),0)</f>
        <v>0</v>
      </c>
      <c r="FY338">
        <f>IFERROR(IF(CD338=3,VLOOKUP(BS338,Справочная_ЛЭД,2,TRUE),0),0)</f>
        <v>0</v>
      </c>
      <c r="FZ338" s="6">
        <f t="shared" si="763"/>
        <v>0</v>
      </c>
      <c r="GA338" t="str">
        <f>IF(B338="","",IF(TRIM(AH338&amp;"")&lt;&gt;"",IF(LOWER(TRIM(AH338&amp;""))="да","да","нет"),IF(IFERROR(_xlfn.XLOOKUP(BC338,Коды_код,Коды_пожарная),"")="да","да","нет")))</f>
        <v>да</v>
      </c>
      <c r="GB338" t="str">
        <f t="shared" si="764"/>
        <v/>
      </c>
      <c r="GC338" t="str">
        <f t="shared" si="765"/>
        <v>основная</v>
      </c>
      <c r="GD338">
        <f>IF(AND(BP338=1,TRIM(AE338&amp;"")=""),IF(COUNTIFS(Линии[Щит],A338,Линии[Секция (1/2/3)],"&gt;=2")&gt;0,MIN(3,MAX(1,IFERROR(--BD338,1))),1),IFERROR(MIN(3,MAX(1,INT(--AE338))),1))</f>
        <v>1</v>
      </c>
      <c r="GE338" t="str" cm="1">
        <f t="array" ref="GE338">IF(B338="","",_xlfn.LET(_xlpm.t,IFERROR(_xlfn.XLOOKUP(1,(Шины[Шина]=GC338)*(((Шины[Щит]=A338)+(Шины[Щит]=""))&gt;0),Шины[Тип]),"")&amp;"",IF(_xlpm.t&lt;&gt;"",_xlpm.t,IF(ISNUMBER(SEARCH("ИБП",GC338)),"ИБП",IF(ISNUMBER(SEARCH("ДГУ",GC338)),"ДГУ","Ввод "&amp;GD338)))))</f>
        <v>Ввод 1</v>
      </c>
      <c r="GF338" t="str">
        <f t="shared" si="766"/>
        <v>Ввод 1</v>
      </c>
      <c r="GG338" t="str">
        <f>IF(BP338=0,"",IF(TRIM(AG338&amp;"")&lt;&gt;"",TRIM(AG338&amp;""),IF(OR(GE338="ИБП",GE338="ДГУ"),"I особая",_xlfn.XLOOKUP(A338,Щиты[Щит],Щиты[Категория шины «Ввод»],"III"))))</f>
        <v/>
      </c>
      <c r="GH338" t="str">
        <f>IF(A338="","",_xlfn.XLOOKUP(A338,Щиты[Щит],Щиты[Путь],""))</f>
        <v>|ГРЩ-ЖД|ЩСПЗ-ЖД|</v>
      </c>
      <c r="GI338" t="str">
        <f>IF(B338="","",IF(AI338&lt;&gt;"",AI338,IF(IFERROR(_xlfn.XLOOKUP(BC338,Коды_код,Коды_вид)&amp;"","")="","Прочее",_xlfn.XLOOKUP(BC338,Коды_код,Коды_вид)&amp;"")))</f>
        <v>Системы противопожарной защиты</v>
      </c>
      <c r="GJ338">
        <f>IF(BM338="","",INT((BM338-1)/Столбцов_на_лист)+1)</f>
        <v>1</v>
      </c>
      <c r="GK338" t="str">
        <f t="shared" si="767"/>
        <v>ВВГнг(А)-FRLS (3х2,5) L=31-0,43%</v>
      </c>
      <c r="GL338">
        <f t="shared" si="768"/>
        <v>0.4</v>
      </c>
      <c r="GM338">
        <f t="shared" si="769"/>
        <v>1.83</v>
      </c>
      <c r="GN338">
        <f t="shared" si="770"/>
        <v>1</v>
      </c>
      <c r="GO338">
        <f t="shared" si="771"/>
        <v>0</v>
      </c>
      <c r="GP338">
        <f t="shared" si="772"/>
        <v>1</v>
      </c>
      <c r="GQ338">
        <f>IF(BM338="","",IF(AND(CG338=1,GP338=1),COUNTIFS(A$3:A338,A338,CG$3:CG338,1,GP$3:GP338,1),IF(OR(OR(BA338=1,A338&lt;&gt;A337),AJ338="вручную",GP338=0),"",IF(BA338=1,"",GR337))))</f>
        <v>2</v>
      </c>
      <c r="GR338">
        <f t="shared" si="773"/>
        <v>2</v>
      </c>
      <c r="GS338">
        <f>IF(B338="","",IFERROR(LOOKUP(INDEX(CHOOSE(EB338,Iдоп_1ж,Iдоп_2ж,Iдоп_3ж),MATCH(EN338,Iдоп_S,0))*DZ338*EA338,{6,10,16,20,25,32,40,50,63,80,100,125,160,200,250,315,400,500,630}),""))</f>
        <v>25</v>
      </c>
      <c r="GT338" t="str">
        <f t="shared" si="774"/>
        <v>QF2</v>
      </c>
      <c r="GU338" t="str">
        <f t="shared" si="775"/>
        <v>QF2</v>
      </c>
      <c r="GV338" t="str">
        <f t="shared" si="776"/>
        <v/>
      </c>
      <c r="GW338">
        <f t="shared" si="777"/>
        <v>0</v>
      </c>
      <c r="GX338" t="str">
        <f>IF(OR(B338="",DJ338=""),"",IFERROR(_xlfn.XLOOKUP(DJ338,Модули_умолч[Управление],Модули_умолч[Модель])&amp;"",""))</f>
        <v/>
      </c>
      <c r="GY338">
        <f>IF(DJ338="",1,IFERROR(MAX(0,N(_xlfn.XLOOKUP(DJ338,Модули_умолч[Управление],Модули_умолч[Каналов на линию]))),1))</f>
        <v>1</v>
      </c>
      <c r="GZ338" t="str">
        <f t="shared" si="778"/>
        <v/>
      </c>
      <c r="HA338" t="str">
        <f t="shared" si="779"/>
        <v/>
      </c>
      <c r="HB338" t="str">
        <f t="shared" si="780"/>
        <v/>
      </c>
      <c r="HC338">
        <f>IF(HB338="",0,IFERROR(N(VLOOKUP(HB338,Модули_спр,3,FALSE)),0))</f>
        <v>0</v>
      </c>
      <c r="HD338" t="str">
        <f t="shared" si="781"/>
        <v/>
      </c>
      <c r="HE338" t="str">
        <f t="shared" si="782"/>
        <v/>
      </c>
      <c r="HF338" t="str">
        <f>IF(OR(HE338="",HE338="-"),"",IFERROR(VLOOKUP(HE338,Модули_спр,2,FALSE),"R"))</f>
        <v/>
      </c>
      <c r="HG338" t="str">
        <f>IF(HF338="","",HF338&amp;"."&amp;COUNTIFS(A$3:A338,A338,HF$3:HF338,HF338))</f>
        <v/>
      </c>
      <c r="HH338" t="str">
        <f t="shared" si="783"/>
        <v/>
      </c>
      <c r="HI338" t="str">
        <f t="shared" si="784"/>
        <v/>
      </c>
      <c r="HJ338" t="str">
        <f t="shared" si="785"/>
        <v/>
      </c>
      <c r="HK338" t="str">
        <f t="shared" si="786"/>
        <v/>
      </c>
      <c r="HL338">
        <f t="shared" si="787"/>
        <v>1</v>
      </c>
      <c r="HM338" t="str">
        <f>IF(HL338=1,"XT"&amp;COUNTIFS(A$3:A338,A338,HL$3:HL338,1),"")</f>
        <v>XT2</v>
      </c>
      <c r="HN338" t="str">
        <f t="shared" si="788"/>
        <v>XT2</v>
      </c>
      <c r="HO338" t="str">
        <f t="shared" si="789"/>
        <v>QF2</v>
      </c>
      <c r="HP338" t="str">
        <f t="shared" si="790"/>
        <v/>
      </c>
      <c r="HQ338" t="str">
        <f t="shared" si="791"/>
        <v>ok</v>
      </c>
      <c r="HR338" t="str">
        <f>IF(OR(HJ338="",HH338=""),"",IF(HJ338+MAX(0,GY338-1)&gt;IFERROR(VLOOKUP(HI338,Модули_спр,3,FALSE),99),"ЛИШНИЙ КАНАЛ",IF(AND(AL338&lt;&gt;"=",GY338&gt;0,COUNTIFS(Линии[_модуль гр.],HH338,Линии[Канал (итог)],HJ338,Линии[Канал],"&lt;&gt;=",Линии[Щит],A338)&gt;1),"ДУБЛЬ КАНАЛА","")))</f>
        <v/>
      </c>
      <c r="HS338" s="6" t="str">
        <f t="shared" si="792"/>
        <v/>
      </c>
      <c r="HT338">
        <f t="shared" si="793"/>
        <v>10</v>
      </c>
      <c r="HU338" t="str">
        <f t="shared" si="794"/>
        <v/>
      </c>
      <c r="HV338">
        <f t="shared" si="795"/>
        <v>1.0392845505553168</v>
      </c>
      <c r="HW338">
        <f t="shared" si="796"/>
        <v>0</v>
      </c>
      <c r="HX338">
        <f t="shared" si="797"/>
        <v>0</v>
      </c>
      <c r="HY338">
        <f t="shared" si="798"/>
        <v>0</v>
      </c>
      <c r="HZ338">
        <f t="shared" si="799"/>
        <v>0</v>
      </c>
      <c r="IA338">
        <f t="shared" si="800"/>
        <v>0</v>
      </c>
      <c r="IB338">
        <f t="shared" si="801"/>
        <v>0</v>
      </c>
      <c r="IC338" t="str">
        <f t="shared" si="802"/>
        <v/>
      </c>
      <c r="ID338" t="str" cm="1">
        <f t="array" ref="ID338">IF(IC338="","",_xlfn.LET(_xlpm.tk,_xlfn.TEXTSPLIT(SUBSTITUTE(SUBSTITUTE(IC338,";"," "),"→"," ")," ",,TRUE),_xlpm.w_,_xlfn._xlws.FILTER(_xlpm.tk,ISNUMBER(--LEFT(_xlpm.tk,1))*((ISNUMBER(SEARCH("W",_xlpm.tk))+ISNUMBER(SEARCH("Вт",_xlpm.tk)))&gt;0),""),IFERROR(--SUBSTITUTE(SUBSTITUTE(UPPER(INDEX(_xlpm.w_,1)),"W",""),"ВТ",""),"")))</f>
        <v/>
      </c>
      <c r="IE338" t="str" cm="1">
        <f t="array" ref="IE338">IF(IC338="","",_xlfn.LET(_xlpm.tk,_xlfn.TEXTSPLIT(SUBSTITUTE(SUBSTITUTE(IC338,";"," "),"→"," ")," ",,TRUE),_xlpm.v_,_xlfn._xlws.FILTER(_xlpm.tk,ISNUMBER(--LEFT(_xlpm.tk,1))*((ISNUMBER(SEARCH("V",_xlpm.tk))+(RIGHT(UPPER(_xlpm.tk))="В"))&gt;0),""),IFERROR(--SUBSTITUTE(SUBSTITUTE(UPPER(INDEX(_xlpm.v_,1)),"V",""),"В",""),"")))</f>
        <v/>
      </c>
      <c r="IF338" s="6" t="str">
        <f>IF(OR(BV338=0,HI338="",HJ338=""),"",IFERROR(N(_xlfn.XLOOKUP(HI338,Каталог!$C$4:$C$500,Каталог!$Q$4:$Q$500)),""))</f>
        <v/>
      </c>
      <c r="IG338" s="6" t="str">
        <f>IF(N(IF338)=0,"",SUMIFS(Линии[Iр, А],Линии[Щит],A338,Линии[_модуль гр.],HH338,Линии[Канал (итог)],HJ338))</f>
        <v/>
      </c>
      <c r="IH338" t="str">
        <f>IF(AND(B338="",HO338=""),"",_xlfn.TEXTJOIN("; ",TRUE,IF(AND(B338&lt;&gt;"",FV338=""),"нет фазы",""),IF(AND(B338&lt;&gt;"",N(GL338)=0,FG338&lt;&gt;"Нет"),"нет мощности",""),IF(AND(HN338&lt;&gt;"",COUNTIFS(Линии[Щит],A338,Линии[Клемма (итог)],HN338)&gt;1),"дубль клеммы "&amp;HN338,""),IF(AND(HQ338&lt;&gt;"",HQ338&lt;&gt;"ok"),HQ338,""),IF(HR338&lt;&gt;"",HR338,""),IF(AND(N(CB338)&gt;=4,N(BX338)=1),CB338&amp;" жил на 1 фазе",""),IF(AND(BC338="R",CG338=1,IF(CS338&lt;&gt;"",N(CV338)&gt;30,OR(N(DA338)=0,N(DA338)&gt;30))),"розетка без дифзащиты до 30 мА",""),IF(AND(CG338=1,N(DA338)&gt;0,ISNUMBER(T338)),IF(T338&gt;N(DA338)/3,"ток утечки "&amp;FIXED(T338,1)&amp;" мА &gt; 1/3 уставки ("&amp;DA338&amp;" мА)",""),""),IF(AND(CH338=1,CS338=""),"«узо»: нет строки с УЗО выше (УЗО 2P 40А 30мА в «Аппаратах»)",""),IF(AND(CS338&lt;&gt;"",CS338=BA338),IF(CT338="","впишите номинал УЗО (УЗО 2P 40А 30мА)",IF(N(CT338)&lt;N(DT338),"УЗО "&amp;CT338&amp;" А &lt; автомата "&amp;DT338&amp;" А перед ним",IF(N(CT338)&lt;N(CX338),"УЗО "&amp;CT338&amp;" А &lt; тока блока "&amp;FIXED(CX338,1)&amp;" А",""))),""),IF(AND(CS338&lt;&gt;"",CS338=BA338,ISNUMBER(CY338)),IF(CY338&gt;N(CV338)/3,"ток утечки блока УЗО "&amp;FIXED(CY338,1)&amp;" мА &gt; 1/3 уставки ("&amp;CV338&amp;" мА)",""),""),IF(AND(CG338=1,N(BV338)+N(IB338)&gt;0,IC338=""),"линии до 50 В без БП: впишите в «Аппараты» (БП 24V 480W)",""),IF(AND(CG338=1,ISNUMBER(ID338),ISNUMBER(U338)),IF(U338&gt;ID338,"БП "&amp;ID338&amp;" Вт &lt; нужно "&amp;U338&amp;" Вт (×"&amp;Запас_БП&amp;")",""),""),IF(AND(CG338=1,ISNUMBER(IE338),N(BV338)=1),IF(IE338&lt;&gt;N(BU338),"БП на "&amp;IE338&amp;" В, линия "&amp;BU338&amp;" В",""),""),IF(AND(N(IF338)&gt;0,N(IG338)&gt;N(IF338)),HH338&amp;" канал "&amp;HJ338&amp;": "&amp;FIXED(IG338,1)&amp;" А &gt; "&amp;IF338&amp;" А",""),IFERROR(IF(AND(ISNUMBER(Q338),Q338&gt;EL338),"потери "&amp;FIXED(Q338,1)&amp;" % &gt; "&amp;EL338&amp;" %",""),""),IFERROR(IF(LEFT(HU338,4)="мало","Iкз мало — отключение &gt; 0,4 с",""),""),IF(AND(B338&lt;&gt;"",BM338=""),"не на схеме",""),IF(AND(CG338=0,B338&lt;&gt;"",FV338&lt;&gt;"",IF(BA338=1,"",FW337)&lt;&gt;"",FV338&lt;&gt;IF(BA338=1,"",FW337)),"фаза не как у автомата группы ("&amp;IF(BA338=1,"",FW337)&amp;")","")))</f>
        <v/>
      </c>
      <c r="II338" s="6">
        <f>IF(OR(CG338=0,DQ338=""),"",_xlfn.LET(_xlpm.t,IFERROR(_xlfn.XLOOKUP(DQ338,Каталог!$U$4:$U$500,Каталог!$G$4:$G$500),""),_xlpm.k,SEARCH("кА",_xlpm.t),IFERROR(--TRIM(RIGHT(SUBSTITUTE(MID(_xlpm.t,MAX(1,_xlpm.k-4),_xlpm.k-MAX(1,_xlpm.k-4))," ",REPT(" ",9)),5)),"")))</f>
        <v>6</v>
      </c>
      <c r="IJ338" t="str">
        <f>IF(OR(II338="",CG338=0),"",IF(_xlfn.XLOOKUP(A338,Щиты[Щит],Щиты[Iкз max на шинах, кА],"")="","",IF(II338&lt;_xlfn.XLOOKUP(A338,Щиты[Щит],Щиты[Iкз max на шинах, кА]),"Icu "&amp;II338&amp;" кА &lt; Iкз max","ok")))</f>
        <v/>
      </c>
      <c r="IK338" t="str">
        <f t="shared" si="803"/>
        <v/>
      </c>
      <c r="IL338" t="str">
        <f t="shared" si="804"/>
        <v>QF2|XT2</v>
      </c>
      <c r="IM338" t="str">
        <f t="shared" si="805"/>
        <v>QF2|XT2|кабель ВВГнг(А)-FRLS (3х2,5) → шкаф системы оповещения и управления эвакуацией Цокольный этаж Пом. №002Т</v>
      </c>
      <c r="IN338" t="str" cm="1">
        <f t="array" ref="IN338">IF(IM338="","",_xlfn.LET(_xlpm.nd,_xlfn.TEXTSPLIT(IM338,"|"),IF(COLUMNS(_xlpm.nd)&gt;1,A338&amp;"¦"&amp;INDEX(_xlpm.nd,1)&amp;"¦"&amp;INDEX(_xlpm.nd,2),"")))</f>
        <v>ЩСПЗ-ЖД¦QF2¦XT2</v>
      </c>
      <c r="IO338" t="str">
        <f t="shared" si="806"/>
        <v>ENC1-11¦шкаф системы оповещения и управления эвакуацией Цокольный этаж Пом. №002Т</v>
      </c>
      <c r="IP338" t="str" cm="1">
        <f t="array" ref="IP338">IF(IM338="","",_xlfn.LET(_xlpm.nd,_xlfn.TEXTSPLIT(IM338,"|"),IF(COLUMNS(_xlpm.nd)&gt;2,A338&amp;"¦"&amp;INDEX(_xlpm.nd,2)&amp;"¦"&amp;INDEX(_xlpm.nd,3),"")))</f>
        <v>ЩСПЗ-ЖД¦XT2¦кабель ВВГнг(А)-FRLS (3х2,5) → шкаф системы оповещения и управления эвакуацией Цокольный этаж Пом. №002Т</v>
      </c>
      <c r="IQ338" t="str">
        <f t="shared" si="807"/>
        <v>ENC1-11¦шкаф системы оповещения и управления эвакуацией Цокольный этаж Пом. №002Т</v>
      </c>
      <c r="IR338" t="str" cm="1">
        <f t="array" ref="IR338">IF(IM338="","",_xlfn.LET(_xlpm.nd,_xlfn.TEXTSPLIT(IM338,"|"),IF(COLUMNS(_xlpm.nd)&gt;3,A338&amp;"¦"&amp;INDEX(_xlpm.nd,3)&amp;"¦"&amp;INDEX(_xlpm.nd,4),"")))</f>
        <v/>
      </c>
      <c r="IS338" t="str">
        <f t="shared" si="808"/>
        <v/>
      </c>
      <c r="IT338" t="str" cm="1">
        <f t="array" ref="IT338">IF(IM338="","",_xlfn.LET(_xlpm.nd,_xlfn.TEXTSPLIT(IM338,"|"),IF(COLUMNS(_xlpm.nd)&gt;4,A338&amp;"¦"&amp;INDEX(_xlpm.nd,4)&amp;"¦"&amp;INDEX(_xlpm.nd,5),"")))</f>
        <v/>
      </c>
      <c r="IU338" t="str">
        <f t="shared" si="809"/>
        <v/>
      </c>
      <c r="IV338" t="str" cm="1">
        <f t="array" ref="IV338">IF(IM338="","",_xlfn.LET(_xlpm.nd,_xlfn.TEXTSPLIT(IM338,"|"),IF(COLUMNS(_xlpm.nd)&gt;5,A338&amp;"¦"&amp;INDEX(_xlpm.nd,5)&amp;"¦"&amp;INDEX(_xlpm.nd,6),"")))</f>
        <v/>
      </c>
      <c r="IW338" t="str">
        <f t="shared" si="810"/>
        <v/>
      </c>
      <c r="IX338" t="str" cm="1">
        <f t="array" ref="IX338">IF(IM338="","",_xlfn.LET(_xlpm.nd,_xlfn.TEXTSPLIT(IM338,"|"),IF(COLUMNS(_xlpm.nd)&gt;6,A338&amp;"¦"&amp;INDEX(_xlpm.nd,6)&amp;"¦"&amp;INDEX(_xlpm.nd,7),"")))</f>
        <v/>
      </c>
      <c r="IY338" t="str">
        <f t="shared" si="811"/>
        <v/>
      </c>
      <c r="IZ338" t="str">
        <f t="shared" si="812"/>
        <v/>
      </c>
      <c r="JA338" t="str">
        <f t="shared" si="813"/>
        <v>QF2 → XT2</v>
      </c>
      <c r="JB338">
        <f t="shared" si="814"/>
        <v>0</v>
      </c>
      <c r="JC338">
        <f t="shared" si="815"/>
        <v>0</v>
      </c>
      <c r="JD338" t="str">
        <f t="shared" si="816"/>
        <v/>
      </c>
      <c r="JE338" t="str">
        <f t="shared" si="817"/>
        <v/>
      </c>
      <c r="JF338" t="str">
        <f t="shared" si="818"/>
        <v/>
      </c>
      <c r="JG338" t="str">
        <f t="shared" si="819"/>
        <v/>
      </c>
      <c r="JH338" t="str">
        <f>IF(B338="","",IFERROR(_xlfn.XLOOKUP(B338,Коды_код,Коды_уго),IFERROR(_xlfn.XLOOKUP(BC338,Коды_код,Коды_уго),IFERROR(_xlfn.XLOOKUP(LEFT(BC338,2),Коды_код,Коды_уго),""))))</f>
        <v/>
      </c>
      <c r="JI338" t="str">
        <f>IF(B338="","",IF(OR(JH338="",JH338=0),"BOX",IFERROR(IF(VLOOKUP(JH338,УГО_блоки,3,FALSE)&amp;""&lt;&gt;"",VLOOKUP(JH338,УГО_блоки,3,FALSE),VLOOKUP(JH338,УГО_блоки,2,FALSE)),JH338)))</f>
        <v>BOX</v>
      </c>
      <c r="JJ338">
        <f t="shared" si="820"/>
        <v>1</v>
      </c>
      <c r="JK338" t="str">
        <f>IF(DQ338="","",IF(COUNTIF(DQ$3:DQ338,DQ338)=1,MAX(JK$2:JK337)+1,""))</f>
        <v/>
      </c>
      <c r="JL338" t="str">
        <f>IF(DE338="","",IF(COUNTIF(DE$3:DE338,DE338)+COUNTIF(DF$2:DF337,DE338)+COUNTIF(DG$2:DG337,DE338)=1,MAX(JL$2:JN337)+1,""))</f>
        <v/>
      </c>
      <c r="JM338" t="str">
        <f>IF(DF338="","",IF(COUNTIF(DE$3:DE338,DF338)+COUNTIF(DF$3:DF338,DF338)+COUNTIF(DG$2:DG337,DF338)=1,MAX(JL$2:JN337,JL338)+1,""))</f>
        <v/>
      </c>
      <c r="JN338" t="str">
        <f>IF(DG338="","",IF(COUNTIF(DE$3:DE338,DG338)+COUNTIF(DF$3:DF338,DG338)+COUNTIF(DG$3:DG338,DG338)=1,MAX(JL$2:JN337,JL338,JM338)+1,""))</f>
        <v/>
      </c>
      <c r="JO338" t="str">
        <f t="shared" si="821"/>
        <v>3х2,5</v>
      </c>
      <c r="JP338" t="str">
        <f>IF(JO338="","",IF(COUNTIF(JO$3:JO338,JO338)=1,MAX(JP$2:JP337)+1,""))</f>
        <v/>
      </c>
      <c r="JQ338" t="str">
        <f>IF(HG338="","",COUNTIF(HG$3:HG338,"?*"))</f>
        <v/>
      </c>
      <c r="JR338" t="str">
        <f>IF(OR(HG338="",HI338=""),"",IF(COUNTIFS(HG$3:HG338,"?*",HI$3:HI338,HI338)=1,MAX(JR$2:JR337)+1,""))</f>
        <v/>
      </c>
      <c r="JS338">
        <f t="shared" si="822"/>
        <v>0</v>
      </c>
      <c r="JT338">
        <f>IF(B338="","",COUNTIF(B$3:B338,"?*"))</f>
        <v>336</v>
      </c>
      <c r="JU338">
        <f>IF(HL338&lt;&gt;1,0,_xlfn.LET(_xlpm.k,MAX(IFERROR(--_xlfn.XLOOKUP(B338,Коды_код,Коды_3L),0),IFERROR(--_xlfn.XLOOKUP(BC338,Коды_код,Коды_3L),0),IFERROR(--_xlfn.XLOOKUP(LEFT(BC338,2),Коды_код,Коды_3L),0)),IF(_xlpm.k&gt;0,_xlpm.k,IF(IFERROR(--LEFT(SUBSTITUTE(JO338,"x","х"),FIND("х",SUBSTITUTE(JO338,"x","х"))-1),3)&gt;3,Каталог!$S$9,1))))</f>
        <v>1</v>
      </c>
      <c r="JV338">
        <f t="shared" si="823"/>
        <v>0</v>
      </c>
      <c r="JW338" t="str">
        <f t="shared" si="824"/>
        <v>авто</v>
      </c>
      <c r="JX338" t="str">
        <f t="shared" si="825"/>
        <v/>
      </c>
      <c r="JY338">
        <f t="shared" si="826"/>
        <v>0</v>
      </c>
      <c r="JZ338">
        <f t="shared" si="827"/>
        <v>1</v>
      </c>
    </row>
    <row r="339" spans="1:286" x14ac:dyDescent="0.3">
      <c r="A339" t="s">
        <v>1110</v>
      </c>
      <c r="B339" t="s">
        <v>1638</v>
      </c>
      <c r="C339" t="s">
        <v>1735</v>
      </c>
      <c r="D339">
        <v>1</v>
      </c>
      <c r="E339">
        <v>0.4</v>
      </c>
      <c r="G339">
        <v>16</v>
      </c>
      <c r="H339" t="str">
        <f>Линии[[#This Row],[_авто управление]]</f>
        <v/>
      </c>
      <c r="I339" t="str">
        <f>Линии[[#This Row],[_авто аппараты]]</f>
        <v/>
      </c>
      <c r="J339">
        <v>2.5</v>
      </c>
      <c r="K339">
        <v>31</v>
      </c>
      <c r="L339" t="str">
        <f>Линии[[#This Row],[_авто фаза]]</f>
        <v>L3</v>
      </c>
      <c r="M339" t="str">
        <f>Линии[[#This Row],[_авто клемма]]</f>
        <v>XT3</v>
      </c>
      <c r="N339" t="str">
        <f t="shared" si="690"/>
        <v/>
      </c>
      <c r="O339" s="6" cm="1">
        <f t="array" ref="O339">IF(B339="","",IF(BH339&lt;&gt;"",IFERROR(_xlfn.XLOOKUP(BH339,Щиты[Щит],Щиты[Iр, А]),""),IF(BP339=1,IF(OR(N(_xlfn.XLOOKUP(A339,Щиты[Щит],Щиты[Вводов],1))&lt;=1,LOWER(TRIM(_xlfn.XLOOKUP(A339,Щиты[Щит],Щиты[АВР],"")&amp;""))="да"),IFERROR(_xlfn.XLOOKUP(A339,Щиты[Щит],Щиты[Iр, А]),""),IFERROR(N(BS339)*_xlfn.XLOOKUP(A339,Щиты[Щит],Щиты[Кс итог])/(SQRT(3)*Uн_лин*_xlfn.XLOOKUP(A339,Щиты[Щит],Щиты[cos φ])),"")),IF(BV339=1,IFERROR(BS339*1000/BU339,""),IFERROR(_xlfn.IFS(BX339=1,BS339/((Uн_лин/SQRT(3))*CE339),BX339=3,BS339/(SQRT(3)*Uн_лин*CE339)),"")))))</f>
        <v>1.823211376388292</v>
      </c>
      <c r="P339" s="7">
        <f>IF(B339="","",IFERROR(IF(VLOOKUP(BC339,Потребители_обозначение,4,FALSE)=1,VLOOKUP(BC339,Потребители_обозначение,3,FALSE)*(MAX(1,N(D339))*2-1)+EI339+VLOOKUP(BE339,Этаж_обозначение,3,FALSE)+VLOOKUP(BE339,Этаж_обозначение,4,FALSE),VLOOKUP(BC339,Потребители_обозначение,3,FALSE)*(MAX(1,N(D339))*2-1)+EI339),EI339))</f>
        <v>31</v>
      </c>
      <c r="Q339" s="6">
        <f t="shared" si="691"/>
        <v>0.84000000000000008</v>
      </c>
      <c r="R339" t="str">
        <f t="shared" si="692"/>
        <v>ВВГнг(А)-FRLS (3х2,5)</v>
      </c>
      <c r="S339" t="str">
        <f>IF(BM339="","",IF(BN339="вводной узел","узел ","")&amp;"л."&amp;(INT((BM339-1)/Столбцов_на_лист)+1)&amp;" / "&amp;(MOD(BM339-1,Столбцов_на_лист)+1))</f>
        <v>л.1 / 15</v>
      </c>
      <c r="T339" s="119">
        <f t="shared" si="693"/>
        <v>1</v>
      </c>
      <c r="U339" s="7" t="str">
        <f>IF(OR(CG339=0,N(BV339)+N(IB339)=0),"",ROUNDUP(Запас_БП*(N(HY339)+N(HZ339)),0))</f>
        <v/>
      </c>
      <c r="V339" s="119" t="str">
        <f t="shared" si="694"/>
        <v/>
      </c>
      <c r="W339" s="7" t="str">
        <f>IFERROR(IF(OR(B339="",BP339=1,BV339=1,NOT(ISNUMBER(EN339)),N(DT339)=0),"",MAX(0,ROUNDDOWN((c_min*(Uн_лин*1000/SQRT(3))/(HT339*N(DT339))-_xlfn.XLOOKUP(A339,Щиты[Щит],Щиты[Zпетли на шинах, Ом]))*EN339/(2*ρкз_Cu),0))),"")</f>
        <v/>
      </c>
      <c r="Y339" t="str">
        <f>Линии[[#This Row],[_авто утечка]]</f>
        <v/>
      </c>
      <c r="Z339">
        <v>1</v>
      </c>
      <c r="AA339">
        <v>230</v>
      </c>
      <c r="AB339" t="s">
        <v>573</v>
      </c>
      <c r="AG339" t="s">
        <v>850</v>
      </c>
      <c r="AH339" t="s">
        <v>488</v>
      </c>
      <c r="AI339" t="s">
        <v>591</v>
      </c>
      <c r="AK339" t="str">
        <f>Линии[[#This Row],[_авто модуль]]</f>
        <v/>
      </c>
      <c r="AM339">
        <v>15</v>
      </c>
      <c r="AN339" t="s">
        <v>13</v>
      </c>
      <c r="AO339">
        <v>3</v>
      </c>
      <c r="AQ339">
        <v>11</v>
      </c>
      <c r="AR339">
        <v>12</v>
      </c>
      <c r="AT339">
        <v>1</v>
      </c>
      <c r="BA339" cm="1">
        <f t="array" ref="BA339">ROW()-ROW(Линии[#Headers])</f>
        <v>337</v>
      </c>
      <c r="BC339" s="6" t="str">
        <f t="shared" si="695"/>
        <v>FCP1-1</v>
      </c>
      <c r="BD339" t="str">
        <f t="shared" si="696"/>
        <v/>
      </c>
      <c r="BE339" t="str">
        <f t="shared" si="697"/>
        <v/>
      </c>
      <c r="BF339" t="str">
        <f t="shared" si="698"/>
        <v/>
      </c>
      <c r="BG339" t="str">
        <f t="shared" si="699"/>
        <v/>
      </c>
      <c r="BH339" t="str">
        <f>IF(X339&lt;&gt;"",X339,IF(AND(B339&lt;&gt;"",B339&lt;&gt;A339,ISNUMBER(_xlfn.XMATCH(B339,Щиты[Щит]))),B339,""))</f>
        <v/>
      </c>
      <c r="BI339" t="str" cm="1">
        <f t="array" ref="BI339">IF(B339="","",IF(BH339&lt;&gt;"","Щит "&amp;BH339,_xlfn.LET(_xlpm.nm,IFERROR(_xlfn.XLOOKUP(BC339,Коды_код,Коды_имя)&amp;"",""),_xlpm.md,IFERROR(N(_xlfn.XLOOKUP(BC339,Коды_код,Коды_режим)),1),_xlpm.ex,IF(Имя_режим="по экспликации",IFERROR(_xlfn.XLOOKUP(BE339&amp;"|"&amp;BG339,Экспликация[Этаж]&amp;"|"&amp;Экспликация[Помещение],Экспликация[Название])&amp;"",""),""),_xlpm.rm,IF(BG339="","",IF(_xlpm.ex&lt;&gt;"",". "&amp;_xlpm.ex&amp;IF(Имя_пом="нет"," ("&amp;BG339&amp;")"," (пом. "&amp;BG339&amp;")"),IF(Имя_пом="нет"," ",", пом. ")&amp;BG339)),IF(_xlpm.nm="","",IF(_xlpm.md=2,_xlpm.nm&amp;" шлейф "&amp;BE339,_xlpm.nm&amp;_xlpm.rm)))))</f>
        <v/>
      </c>
      <c r="BJ339" t="str">
        <f t="shared" si="700"/>
        <v>шкаф пожарной сигнализации Цокольный этаж Пом. №002Т</v>
      </c>
      <c r="BK339">
        <f>IFERROR(_xlfn.XMATCH(A339,Щиты[Щит]),0)</f>
        <v>16</v>
      </c>
      <c r="BL339">
        <f>_xlfn.LET(_xlpm.k,IFERROR(_xlfn.XLOOKUP(A339,Щиты[Щит],Щиты[Мест под вводной узел]),""),IF(_xlpm.k="",Столбцов_на_лист,N(_xlpm.k)))</f>
        <v>12</v>
      </c>
      <c r="BM339">
        <f t="shared" si="701"/>
        <v>15</v>
      </c>
      <c r="BN339" t="str">
        <f t="shared" si="702"/>
        <v>линии</v>
      </c>
      <c r="BO339" s="6">
        <f>IFERROR(N(_xlfn.XLOOKUP(BC339,Коды_код,Коды_квт)),0)</f>
        <v>0</v>
      </c>
      <c r="BP339">
        <f t="shared" si="703"/>
        <v>0</v>
      </c>
      <c r="BQ339" t="str">
        <f>IF(B339="","",IF(BH339&lt;&gt;"",IFERROR(_xlfn.XLOOKUP(BH339,Щиты[Щит],Щиты[Руст, кВт]),0),IF(BP339=1,IF(OR(N(_xlfn.XLOOKUP(A339,Щиты[Щит],Щиты[Вводов],1))&lt;=1,LOWER(TRIM(_xlfn.XLOOKUP(A339,Щиты[Щит],Щиты[АВР],"")&amp;""))="да"),IFERROR(_xlfn.XLOOKUP(A339,Щиты[Щит],Щиты[Руст, кВт]),0),SUMIFS(Линии[_Р для вводов],Линии[Щит],A339,Линии[Источник для режимов],GF339)),IF(BO339&gt;0,ROUND(BO339*MAX(1,N(D339)),3),""))))</f>
        <v/>
      </c>
      <c r="BR339">
        <f t="shared" si="704"/>
        <v>0.4</v>
      </c>
      <c r="BS339" s="6">
        <f>IF(B339="","",IF(BH339&lt;&gt;"",IFERROR(_xlfn.XLOOKUP(BH339,Щиты[Щит],Щиты[Руст, кВт]),0),N(BR339)))</f>
        <v>0.4</v>
      </c>
      <c r="BT339" t="str">
        <f>IF(B339="","",IFERROR(IF(VLOOKUP(BC339,Потребители_обозначение,8,FALSE)=0,"",VLOOKUP(BC339,Потребители_обозначение,8,FALSE)),""))</f>
        <v/>
      </c>
      <c r="BU339">
        <f t="shared" si="705"/>
        <v>230</v>
      </c>
      <c r="BV339">
        <f t="shared" si="706"/>
        <v>0</v>
      </c>
      <c r="BW339">
        <f>IF(B339="","",IF(BH339&lt;&gt;"",3,IFERROR(IF(N(VLOOKUP(BC339,Потребители_обозначение,9,FALSE))=0,1,VLOOKUP(BC339,Потребители_обозначение,9,FALSE)),1)))</f>
        <v>1</v>
      </c>
      <c r="BX339">
        <f t="shared" si="707"/>
        <v>1</v>
      </c>
      <c r="BY339" t="str">
        <f>IF(B339="","",_xlfn.LET(_xlpm.bc,IFERROR(IF(VLOOKUP(BC339,Потребители_обозначение,6,FALSE)=0,"",VLOOKUP(BC339,Потребители_обозначение,6,FALSE)&amp;""),""),IF(AND(GA339="да",OR(_xlpm.bc="",_xlpm.bc="мс")),Марка_пож,IF(AND(_xlpm.bc="",BH339&lt;&gt;""),"мс",_xlpm.bc))))</f>
        <v>мфр</v>
      </c>
      <c r="BZ339" t="str">
        <f t="shared" si="708"/>
        <v>мфр</v>
      </c>
      <c r="CA339">
        <f>IF(B339="","",_xlfn.LET(_xlpm.cc,IFERROR(N(VLOOKUP(BC339,Потребители_обозначение,7,FALSE)),0),IF(_xlpm.cc&gt;0,_xlpm.cc,IF(BZ339="","",IF(BV339=1,2,IF(N(BX339)=3,5,3))))))</f>
        <v>3</v>
      </c>
      <c r="CB339">
        <f t="shared" si="709"/>
        <v>3</v>
      </c>
      <c r="CC339">
        <f>IFERROR(N(VLOOKUP(BC339,Потребители_обозначение,10,FALSE)),0)</f>
        <v>0</v>
      </c>
      <c r="CD339">
        <f>IFERROR(VLOOKUP(BC339,Потребители_обозначение,5,FALSE),0)</f>
        <v>0</v>
      </c>
      <c r="CE339" s="6" cm="1">
        <f t="array" ref="CE339">IF(B339="","",IF(BH339&lt;&gt;"",IFERROR(_xlfn.XLOOKUP(BH339,Щиты[Щит],Щиты[cos φ]),0.95),IF(BP339=1,IFERROR(_xlfn.XLOOKUP(A339,Щиты[Щит],Щиты[cos φ]),0.95),IF(ISNUMBER(AD339),AD339,IFERROR(IF(CD339=2,_xlfn.IFS(BX339=3,VLOOKUP(BS339,Справочная_двигатели,8,FALSE),BX339=1,VLOOKUP(BS339,Справочная_двигатели,10,TRUE)),IF(AND(Методика="нормы 2026",FG339="Сил"),0.8,0.95)),0.95)))))</f>
        <v>0.95</v>
      </c>
      <c r="CF339">
        <f t="shared" si="710"/>
        <v>0</v>
      </c>
      <c r="CG339">
        <f t="shared" si="711"/>
        <v>1</v>
      </c>
      <c r="CH339">
        <f t="shared" si="712"/>
        <v>0</v>
      </c>
      <c r="CI339">
        <f>IF(B339="","",IF(BV339=1,IFERROR(BS339/((Uн_лин/SQRT(3))*MAX(0.5,N(CE339))),0),N(O339)))</f>
        <v>1.823211376388292</v>
      </c>
      <c r="CJ339">
        <f t="shared" si="713"/>
        <v>0</v>
      </c>
      <c r="CK339">
        <f t="shared" si="714"/>
        <v>0</v>
      </c>
      <c r="CL339">
        <f t="shared" si="715"/>
        <v>0</v>
      </c>
      <c r="CM339">
        <f t="shared" si="716"/>
        <v>0</v>
      </c>
      <c r="CN339">
        <f t="shared" si="717"/>
        <v>0</v>
      </c>
      <c r="CO339">
        <f>IF(BC339="",0,_xlfn.LET(_xlpm.v,IFERROR(_xlfn.XLOOKUP(B339,Коды_код,Коды_мА),IFERROR(_xlfn.XLOOKUP(BC339,Коды_код,Коды_мА),IFERROR(_xlfn.XLOOKUP(LEFT(BC339,2),Коды_код,Коды_мА),""))),IF(_xlpm.v="да",30,IF(ISNUMBER(_xlpm.v),_xlpm.v,0))))</f>
        <v>0</v>
      </c>
      <c r="CP339" t="str">
        <f t="shared" si="718"/>
        <v/>
      </c>
      <c r="CQ339" t="str">
        <f>_xlfn.LET(_xlpm.k,IFERROR(_xlfn.XLOOKUP(BC339,Коды_код,Коды_утечка)&amp;"",""),IF(_xlpm.k="","дифавтомат",_xlpm.k))</f>
        <v>дифавтомат</v>
      </c>
      <c r="CR339" t="str" cm="1">
        <f t="array" ref="CR339">IF(CG339=0,"",_xlfn.LET(_xlpm.sg,TRIM(_xlfn.TEXTSPLIT(DD339&amp;"",";")),_xlpm.f_,_xlfn._xlws.FILTER(_xlpm.sg,LEFT(_xlpm.sg,3)="УЗО",""),IFERROR(INDEX(_xlpm.f_,1)&amp;"","")))</f>
        <v/>
      </c>
      <c r="CS339" t="str">
        <f t="shared" si="719"/>
        <v/>
      </c>
      <c r="CT339" s="6" t="str" cm="1">
        <f t="array" ref="CT339">IF(CR339="","",_xlfn.LET(_xlpm.tk,_xlfn.TEXTSPLIT(UPPER(CR339)," ",,TRUE),_xlpm.a_,_xlfn._xlws.FILTER(_xlpm.tk,ISNUMBER(--LEFT(_xlpm.tk,1))*((ISNUMBER(SEARCH("А",_xlpm.tk))+ISNUMBER(SEARCH("A",_xlpm.tk)))&gt;0)*NOT(ISNUMBER(SEARCH("МА",_xlpm.tk)))*NOT(ISNUMBER(SEARCH("MA",_xlpm.tk))),""),IFERROR(--SUBSTITUTE(SUBSTITUTE(INDEX(_xlpm.a_,1),"А",""),"A",""),"")))</f>
        <v/>
      </c>
      <c r="CU339" t="str" cm="1">
        <f t="array" ref="CU339">IF(CR339="","",_xlfn.LET(_xlpm.tk,_xlfn.TEXTSPLIT(UPPER(CR339)," ",,TRUE),_xlpm.a_,_xlfn._xlws.FILTER(_xlpm.tk,ISNUMBER(--LEFT(_xlpm.tk,1))*((ISNUMBER(SEARCH("МА",_xlpm.tk))+ISNUMBER(SEARCH("MA",_xlpm.tk)))&gt;0),""),IFERROR(--SUBSTITUTE(SUBSTITUTE(INDEX(_xlpm.a_,1),"МА",""),"MA",""),30)))</f>
        <v/>
      </c>
      <c r="CV339" t="str">
        <f>IF(CS339="","",IFERROR(_xlfn.XLOOKUP(CS339,Линии[_n],Линии[_УЗО, мА]),30))</f>
        <v/>
      </c>
      <c r="CW339">
        <f>IF(CS339="",0,IF(ISNUMBER(SEARCH("4P",IFERROR(_xlfn.XLOOKUP(CS339,Линии[_n],Линии[_УЗО строки])&amp;"",""))),0,1))</f>
        <v>0</v>
      </c>
      <c r="CX339" t="str">
        <f>IF(AND(CS339&lt;&gt;"",CS339=BA339),SUMIFS(Линии[_ток на 230 В],Линии[_блок УЗО],BA339,Линии[Щит],A339),"")</f>
        <v/>
      </c>
      <c r="CY339" t="str">
        <f>IF(AND(CS339&lt;&gt;"",CS339=BA339),SUMIFS(Линии[_ток утечки линии, мА],Линии[_блок УЗО],BA339,Линии[Щит],A339),"")</f>
        <v/>
      </c>
      <c r="CZ339">
        <f t="shared" si="720"/>
        <v>0</v>
      </c>
      <c r="DA339">
        <f t="shared" si="721"/>
        <v>0</v>
      </c>
      <c r="DB339">
        <f>IF(B339="",0,IFERROR(--_xlfn.XLOOKUP(B339,Коды_код,Коды_минавт),IFERROR(--_xlfn.XLOOKUP(BC339,Коды_код,Коды_минавт),IFERROR(--_xlfn.XLOOKUP(LEFT(BC339,2),Коды_код,Коды_минавт),0))))</f>
        <v>0</v>
      </c>
      <c r="DC339" t="str">
        <f>IF(B339="","",IFERROR(_xlfn.XLOOKUP(BC339,Коды_код,Коды_апп)&amp;"",""))</f>
        <v/>
      </c>
      <c r="DD339" t="str">
        <f t="shared" si="722"/>
        <v/>
      </c>
      <c r="DE339" t="str" cm="1">
        <f t="array" ref="DE339">IF(TRIM(DD339&amp;"")="","",IFERROR(TRIM(INDEX(_xlfn.TEXTSPLIT(DD339&amp;";;;",";"),1)),""))</f>
        <v/>
      </c>
      <c r="DF339" t="str" cm="1">
        <f t="array" ref="DF339">IF(TRIM(DD339&amp;"")="","",IFERROR(TRIM(INDEX(_xlfn.TEXTSPLIT(DD339&amp;";;;",";"),2)),""))</f>
        <v/>
      </c>
      <c r="DG339" t="str" cm="1">
        <f t="array" ref="DG339">IF(TRIM(DD339&amp;"")="","",IFERROR(TRIM(INDEX(_xlfn.TEXTSPLIT(DD339&amp;";;;",";"),3)),""))</f>
        <v/>
      </c>
      <c r="DH339">
        <f t="shared" si="723"/>
        <v>0</v>
      </c>
      <c r="DI339" t="str">
        <f>IF(B339="","",_xlfn.LET(_xlpm.t,LOWER(AZ339&amp;""),IF(ISNUMBER(SEARCH("dim",_xlpm.t)),"DIM",IF(ISNUMBER(SEARCH("dali",_xlpm.t)),"DALI",IF(OR(ISNUMBER(SEARCH("relay",_xlpm.t)),ISNUMBER(SEARCH("реле",_xlpm.t))),"Relay",IF(ISNUMBER(SEARCH("кнопк",_xlpm.t)),"",IFERROR(_xlfn.XLOOKUP(BC339,Коды_код,Коды_упр)&amp;"","")))))))</f>
        <v/>
      </c>
      <c r="DJ339" t="str">
        <f t="shared" si="724"/>
        <v/>
      </c>
      <c r="DK339">
        <f>IF(B339="","",_xlfn.LET(_xlpm.ig,IF(N(CX339)&gt;0,N(CX339),N(CI339)+IF(AJ339="вручную",0,N(CJ339))),_xlpm.n0,IFERROR(VLOOKUP(_xlpm.ig,Автомат_номиналы,2,TRUE),0),_xlpm.mn,MAX(DB339,IF(AJ339="вручную",0,N(CM339))),MAX(_xlpm.n0,_xlpm.mn,IF(DH339=1,Мин_автомат_БП,0))))</f>
        <v>6</v>
      </c>
      <c r="DL339">
        <f t="shared" si="725"/>
        <v>1</v>
      </c>
      <c r="DM339" t="str">
        <f t="shared" si="726"/>
        <v>1P</v>
      </c>
      <c r="DN339" t="str">
        <f>_xlfn.LET(_xlpm.cc,UPPER(TRIM(IFERROR(_xlfn.XLOOKUP(BC339,Коды_код,Коды_хар)&amp;"",""))),IF(OR(_xlpm.cc="B",_xlpm.cc="В"),"B",IF(_xlpm.cc="D","D","С")))</f>
        <v>С</v>
      </c>
      <c r="DO339" t="str">
        <f t="shared" si="727"/>
        <v>1P С6А</v>
      </c>
      <c r="DP339">
        <f t="shared" si="728"/>
        <v>16</v>
      </c>
      <c r="DQ339" t="str">
        <f t="shared" si="729"/>
        <v>1P С16А</v>
      </c>
      <c r="DR339" cm="1">
        <f t="array" ref="DR339">IF(DQ339="","",_xlfn.LET(_xlpm.t,SUBSTITUTE(SUBSTITUTE(SUBSTITUTE(UPPER(DQ339),"С","C"),"А","A"),"В","B"),_xlpm.tk,_xlfn.TEXTSPLIT(_xlpm.t," "),_xlpm.f,_xlfn._xlws.FILTER(_xlpm.tk,ISNUMBER(--MID(_xlpm.tk,2,1))*ISNUMBER(SEARCH(LEFT(_xlpm.tk,1)&amp;"#","B#C#D#"))*(LEN(_xlpm.tk)&gt;1),""),_xlpm.x,INDEX(_xlpm.f,1),IFERROR(--SUBSTITUTE(MID(_xlpm.x,2,9),"A",""),IFERROR(--SUBSTITUTE(INDEX(_xlfn._xlws.FILTER(_xlpm.tk,ISNUMBER(--SUBSTITUTE(_xlpm.tk,"A","")),""),1),"A",""),""))))</f>
        <v>16</v>
      </c>
      <c r="DS339" t="str">
        <f t="shared" si="730"/>
        <v>ok</v>
      </c>
      <c r="DT339">
        <f t="shared" si="731"/>
        <v>16</v>
      </c>
      <c r="DU339" t="str">
        <f t="shared" si="732"/>
        <v>1P С16А</v>
      </c>
      <c r="DV339">
        <f t="shared" si="733"/>
        <v>0</v>
      </c>
      <c r="DW339">
        <f t="shared" si="734"/>
        <v>0</v>
      </c>
      <c r="DX339">
        <f t="shared" si="735"/>
        <v>0</v>
      </c>
      <c r="DY339">
        <f t="shared" si="736"/>
        <v>1.823211376388292</v>
      </c>
      <c r="DZ339">
        <f t="shared" si="737"/>
        <v>1</v>
      </c>
      <c r="EA339">
        <f>IF(ISNUMBER(AP339),AP339,К_прокл)</f>
        <v>1</v>
      </c>
      <c r="EB339">
        <f t="shared" si="738"/>
        <v>2</v>
      </c>
      <c r="EC339">
        <f>IFERROR(N(VLOOKUP(BZ339,Кабель_обозначение,3,FALSE)),1)</f>
        <v>1</v>
      </c>
      <c r="ED339">
        <f>IFERROR(N(_xlfn.XLOOKUP(A339,Щиты[Щит],Щиты[ΔU до шин, %])),0)</f>
        <v>0.41000000000000003</v>
      </c>
      <c r="EE339" t="str">
        <f>IFERROR(_xlfn.XLOOKUP(A339,Щиты[Щит],Щиты[Zпетли на шинах, Ом]),"")</f>
        <v/>
      </c>
      <c r="EF339">
        <f>IFERROR(N(_xlfn.XLOOKUP(A339,Щиты[Щит],Щиты[ΔU до шин (подбор), %])),0)</f>
        <v>0.68</v>
      </c>
      <c r="EG339" t="str">
        <f>IFERROR(_xlfn.XLOOKUP(A339,Щиты[Щит],Щиты[Zпетли на шинах (подбор), Ом]),"")</f>
        <v/>
      </c>
      <c r="EH339" t="str">
        <f t="shared" si="739"/>
        <v/>
      </c>
      <c r="EI339">
        <f t="shared" si="740"/>
        <v>31</v>
      </c>
      <c r="EJ339">
        <f t="shared" si="741"/>
        <v>2</v>
      </c>
      <c r="EK339">
        <f t="shared" si="742"/>
        <v>0.31</v>
      </c>
      <c r="EL339" s="6">
        <f>IF(B339="","",IF(BV339=1,dU_LED,IF(IFERROR(_xlfn.XLOOKUP(BC339,Коды_код,Коды_уго),"")="Светильник",3,4)+IF(Методика="нормы 2026",MIN(0.5,MAX(0,N(P339)-100)*0.005),0)))</f>
        <v>4</v>
      </c>
      <c r="EM339" cm="1">
        <f t="array" ref="EM339">IF(OR(B339="",BZ339="",EC339&lt;&gt;1),"",_xlfn.LET(_xlpm.sz,Iдоп_S,_xlpm.t_,CHOOSE(EB339,Iдоп_1ж,Iдоп_2ж,Iдоп_3ж)*DZ339*EA339,_xlpm.dcx,BV339=1,_xlpm.inn,IF(_xlpm.dcx,N(O339),N(DT339)),_xlpm.smin,MAX(1.5,CC339),_xlpm.L_,N(P339)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339)/N(BU339)*100,999),IFERROR(N(EJ339)*(_xlpm.rho*_xlpm.L_/_xlpm.sz*N(CE339)+_xlpm.xx*_xlpm.L_*N(EK339)/1000)*N(O339)/((Uн_лин/SQRT(3))*1000)*100,999)),_xlpm.kz,IF(OR(_xlpm.dcx,DW339=1,NOT(ISNUMBER(EG339)),_xlpm.L_=0,_xlpm.inn=0),1,IFERROR(--(c_min*(Uн_лин*1000/SQRT(3))/(EG339+2*ρкз_Cu*_xlpm.L_/_xlpm.sz)&gt;=HT339*_xlpm.inn),0)),_xlpm.ok,IFERROR((_xlpm.sz&gt;=_xlpm.smin)*(_xlpm.t_&gt;=_xlpm.inn)*IF(_xlpm.L_&gt;0,(_xlpm.du_+IF(_xlpm.dcx,0,EF339)&lt;=EL339+0.00001),1)*_xlpm.kz,0),_xlpm.r_,_xlfn._xlws.FILTER(_xlpm.sz,_xlpm.ok,"не подобрано"),INDEX(_xlpm.r_,1)))</f>
        <v>1.5</v>
      </c>
      <c r="EN339">
        <f t="shared" si="743"/>
        <v>2.5</v>
      </c>
      <c r="EO339" cm="1">
        <f t="array" ref="EO339">IF(OR(B339="",BZ339="",EC339&lt;&gt;1),"",_xlfn.LET(_xlpm.sz,Iдоп_S,_xlpm.t_,CHOOSE(EB339,Iдоп_1ж,Iдоп_2ж,Iдоп_3ж)*DZ339*EA339,_xlpm.ok,IFERROR((_xlpm.sz&gt;=MAX(1.5,CC339))*(_xlpm.t_&gt;=N(DT339)),0),_xlpm.r_,_xlfn._xlws.FILTER(_xlpm.sz,_xlpm.ok,""),INDEX(_xlpm.r_,1)))</f>
        <v>1.5</v>
      </c>
      <c r="EP339" s="6" cm="1">
        <f t="array" ref="EP339">IFERROR(ROUNDUP(N(EJ339)*(_xlfn.XLOOKUP(EO339,INDEX(Кабель_сопротивление,0,1),INDEX(Кабель_сопротивление,0,3))*N(P339)/EO339*N(CE339)+_xlfn.XLOOKUP(EO339,INDEX(Кабель_сопротивление,0,1),INDEX(Кабель_сопротивление,0,2))*N(P339)*N(EK339)/1000)*N(O339)/((Uн_лин/SQRT(3))*1000)*100,2),"")</f>
        <v>0.7</v>
      </c>
      <c r="EQ339">
        <f>IFERROR(2*ρкз_Cu*N(P339)/EO339,"")</f>
        <v>1.0870666666666666</v>
      </c>
      <c r="ER339">
        <f>IFERROR(VLOOKUP(EN339,Кабель_сопротивление,3,FALSE),"")</f>
        <v>2.2499999999999999E-2</v>
      </c>
      <c r="ES339">
        <f>IFERROR(VLOOKUP(EN339,Кабель_сопротивление,2,FALSE),"")</f>
        <v>0.1</v>
      </c>
      <c r="ET339">
        <f t="shared" si="744"/>
        <v>12</v>
      </c>
      <c r="EU339">
        <f t="shared" si="745"/>
        <v>0</v>
      </c>
      <c r="EV339">
        <f t="shared" si="746"/>
        <v>0.96998856288885182</v>
      </c>
      <c r="EW339" s="6">
        <f>IFERROR(ROUNDUP(EV339/IF(BV339=1,BU339,(Uн_лин/SQRT(3))*1000)*100,2),"")</f>
        <v>0.43</v>
      </c>
      <c r="EX339" t="str">
        <f>IFERROR(VLOOKUP(BZ339,Кабель_обозначение,2,FALSE),"")</f>
        <v>ВВГнг(А)-FRLS</v>
      </c>
      <c r="EY339" t="str">
        <f t="shared" si="747"/>
        <v>ВВГнг(А)-FRLS (3х2,5)</v>
      </c>
      <c r="EZ339" t="str">
        <f t="shared" si="748"/>
        <v>ВВГнг(А)-FRLS (3х2,5)
L=31-0,43%</v>
      </c>
      <c r="FA339">
        <f>IFERROR(2*ρкз_Cu*P339/EN339,"")</f>
        <v>0.65224000000000004</v>
      </c>
      <c r="FB339">
        <f t="shared" si="749"/>
        <v>0.21700000000000003</v>
      </c>
      <c r="FC339" s="6" t="str">
        <f>IFERROR(IF(OR(B339="",BV339=1,NOT(ISNUMBER(EN339)),N(P339)=0),"",_xlfn.XLOOKUP(A339,Щиты[Щит],Щиты[Zпетли на шинах, Ом])+FA339),"")</f>
        <v/>
      </c>
      <c r="FD339" s="6" t="str">
        <f>IF(ISNUMBER(FC339),c_min*(Uн_лин*1000/SQRT(3))/FC339,"")</f>
        <v/>
      </c>
      <c r="FE339" s="6" t="str">
        <f>IFERROR(IF(OR(B339="",NOT(ISNUMBER(EN339))),"",1.05*(Uн_лин*1000/SQRT(3))/(_xlfn.XLOOKUP(A339,Щиты[Щит],Щиты[Zmax на шинах, Ом])+FB339)/1000),"")</f>
        <v/>
      </c>
      <c r="FF339" s="6" t="str">
        <f>IF(B339="","",IF(ISNUMBER(AC339),"Сил",IF(IFERROR(_xlfn.XLOOKUP(BC339,Коды_код,Коды_группа)&amp;"","")="","Быт",_xlfn.XLOOKUP(BC339,Коды_код,Коды_группа)&amp;"")))</f>
        <v>Быт</v>
      </c>
      <c r="FG339" s="6" t="str">
        <f t="shared" si="750"/>
        <v>Пост</v>
      </c>
      <c r="FH339" s="6">
        <f>IF(FG339="Щит","щит",IF(FG339="","",IF(FG339="Быт",IFERROR(_xlfn.XLOOKUP(A339,Щиты[Щит],Щиты[Кс быт]),1),IF(FG339="Сил",IF(ISNUMBER(AC339),AC339,IF(Методика="нормы 2026",IFERROR(_xlfn.XLOOKUP(A339,Щиты[Щит],Щиты[Кс силовых (табл. 7.5)]),1),1)),IF(OR(FG339="Пост",FG339="Отоп"),1,IF(FG339="ВНГ",0.7,0))))))</f>
        <v>1</v>
      </c>
      <c r="FI339">
        <f>IF(FG339="","",IF(AND(BP339=1,TRIM(AE339&amp;"")=""),IF(COUNTIFS(Линии[Щит],A339,Линии[Секция (1/2/3)],"&gt;=2")&gt;0,MIN(3,MAX(1,IFERROR(--BD339,1))),1),IFERROR(MIN(3,MAX(1,INT(--AE339))),1)))</f>
        <v>1</v>
      </c>
      <c r="FJ339">
        <f t="shared" si="751"/>
        <v>0.4</v>
      </c>
      <c r="FK339">
        <f t="shared" si="752"/>
        <v>0</v>
      </c>
      <c r="FL339">
        <f t="shared" si="753"/>
        <v>0</v>
      </c>
      <c r="FM339">
        <f t="shared" si="754"/>
        <v>0.4</v>
      </c>
      <c r="FN339">
        <f t="shared" si="755"/>
        <v>0</v>
      </c>
      <c r="FO339">
        <f t="shared" si="756"/>
        <v>0</v>
      </c>
      <c r="FP339">
        <f t="shared" si="757"/>
        <v>0.4</v>
      </c>
      <c r="FQ339">
        <f t="shared" si="758"/>
        <v>0.4</v>
      </c>
      <c r="FR339">
        <f t="shared" si="759"/>
        <v>0.38</v>
      </c>
      <c r="FS339">
        <f>IF(CG339=1,IF(AND(CH339=1,CW339=1),0,IF(AND(CS339&lt;&gt;"",CS339=BA339,CW339=1),SUMIFS(Линии[_Р линии, кВт],Линии[_блок УЗО],BA339,Линии[Щит],A339),N(BS339)+IF(AJ339="вручную",0,N(CK339)))),0)</f>
        <v>0.4</v>
      </c>
      <c r="FT339" t="str">
        <f t="shared" si="760"/>
        <v/>
      </c>
      <c r="FU339" t="str">
        <f>IF(B339="","",IF(CG339=0,IF(BA339=1,"",FW338),IF(AND(CH339=1,CW339=1,CS339&lt;&gt;""),IFERROR(_xlfn.XLOOKUP(CS339,Линии[_n],Линии[_фаза итог]),"L1"),IF(OR(N(DL339)&gt;=3,N(BX339)&gt;=3),"L1,L2,L3",IFERROR(_xlfn.TEXTBEFORE(_xlfn.TEXTAFTER(_xlfn.XLOOKUP(A339,Щиты[Щит],Щиты[_фазы авто]),";"&amp;BA339&amp;":"),";"),"L1")))))</f>
        <v>L3</v>
      </c>
      <c r="FV339" t="str">
        <f t="shared" si="761"/>
        <v>L3</v>
      </c>
      <c r="FW339" t="str">
        <f t="shared" si="762"/>
        <v>L3</v>
      </c>
      <c r="FX339" cm="1">
        <f t="array" ref="FX339">IFERROR(IF(CD339=2,_xlfn.IFS(BX339=3,VLOOKUP(BS339,Справочная_двигатели,3,FALSE),BX339=1,VLOOKUP(BS339,Справочная_двигатели,5,TRUE)),0),0)</f>
        <v>0</v>
      </c>
      <c r="FY339">
        <f>IFERROR(IF(CD339=3,VLOOKUP(BS339,Справочная_ЛЭД,2,TRUE),0),0)</f>
        <v>0</v>
      </c>
      <c r="FZ339" s="6">
        <f t="shared" si="763"/>
        <v>0</v>
      </c>
      <c r="GA339" t="str">
        <f>IF(B339="","",IF(TRIM(AH339&amp;"")&lt;&gt;"",IF(LOWER(TRIM(AH339&amp;""))="да","да","нет"),IF(IFERROR(_xlfn.XLOOKUP(BC339,Коды_код,Коды_пожарная),"")="да","да","нет")))</f>
        <v>да</v>
      </c>
      <c r="GB339" t="str">
        <f t="shared" si="764"/>
        <v/>
      </c>
      <c r="GC339" t="str">
        <f t="shared" si="765"/>
        <v>основная</v>
      </c>
      <c r="GD339">
        <f>IF(AND(BP339=1,TRIM(AE339&amp;"")=""),IF(COUNTIFS(Линии[Щит],A339,Линии[Секция (1/2/3)],"&gt;=2")&gt;0,MIN(3,MAX(1,IFERROR(--BD339,1))),1),IFERROR(MIN(3,MAX(1,INT(--AE339))),1))</f>
        <v>1</v>
      </c>
      <c r="GE339" t="str" cm="1">
        <f t="array" ref="GE339">IF(B339="","",_xlfn.LET(_xlpm.t,IFERROR(_xlfn.XLOOKUP(1,(Шины[Шина]=GC339)*(((Шины[Щит]=A339)+(Шины[Щит]=""))&gt;0),Шины[Тип]),"")&amp;"",IF(_xlpm.t&lt;&gt;"",_xlpm.t,IF(ISNUMBER(SEARCH("ИБП",GC339)),"ИБП",IF(ISNUMBER(SEARCH("ДГУ",GC339)),"ДГУ","Ввод "&amp;GD339)))))</f>
        <v>Ввод 1</v>
      </c>
      <c r="GF339" t="str">
        <f t="shared" si="766"/>
        <v>Ввод 1</v>
      </c>
      <c r="GG339" t="str">
        <f>IF(BP339=0,"",IF(TRIM(AG339&amp;"")&lt;&gt;"",TRIM(AG339&amp;""),IF(OR(GE339="ИБП",GE339="ДГУ"),"I особая",_xlfn.XLOOKUP(A339,Щиты[Щит],Щиты[Категория шины «Ввод»],"III"))))</f>
        <v/>
      </c>
      <c r="GH339" t="str">
        <f>IF(A339="","",_xlfn.XLOOKUP(A339,Щиты[Щит],Щиты[Путь],""))</f>
        <v>|ГРЩ-ЖД|ЩСПЗ-ЖД|</v>
      </c>
      <c r="GI339" t="str">
        <f>IF(B339="","",IF(AI339&lt;&gt;"",AI339,IF(IFERROR(_xlfn.XLOOKUP(BC339,Коды_код,Коды_вид)&amp;"","")="","Прочее",_xlfn.XLOOKUP(BC339,Коды_код,Коды_вид)&amp;"")))</f>
        <v>Системы противопожарной защиты</v>
      </c>
      <c r="GJ339">
        <f>IF(BM339="","",INT((BM339-1)/Столбцов_на_лист)+1)</f>
        <v>1</v>
      </c>
      <c r="GK339" t="str">
        <f t="shared" si="767"/>
        <v>ВВГнг(А)-FRLS (3х2,5) L=31-0,43%</v>
      </c>
      <c r="GL339">
        <f t="shared" si="768"/>
        <v>0.4</v>
      </c>
      <c r="GM339">
        <f t="shared" si="769"/>
        <v>1.83</v>
      </c>
      <c r="GN339">
        <f t="shared" si="770"/>
        <v>1</v>
      </c>
      <c r="GO339">
        <f t="shared" si="771"/>
        <v>0</v>
      </c>
      <c r="GP339">
        <f t="shared" si="772"/>
        <v>1</v>
      </c>
      <c r="GQ339">
        <f>IF(BM339="","",IF(AND(CG339=1,GP339=1),COUNTIFS(A$3:A339,A339,CG$3:CG339,1,GP$3:GP339,1),IF(OR(OR(BA339=1,A339&lt;&gt;A338),AJ339="вручную",GP339=0),"",IF(BA339=1,"",GR338))))</f>
        <v>3</v>
      </c>
      <c r="GR339">
        <f t="shared" si="773"/>
        <v>3</v>
      </c>
      <c r="GS339">
        <f>IF(B339="","",IFERROR(LOOKUP(INDEX(CHOOSE(EB339,Iдоп_1ж,Iдоп_2ж,Iдоп_3ж),MATCH(EN339,Iдоп_S,0))*DZ339*EA339,{6,10,16,20,25,32,40,50,63,80,100,125,160,200,250,315,400,500,630}),""))</f>
        <v>25</v>
      </c>
      <c r="GT339" t="str">
        <f t="shared" si="774"/>
        <v>QF3</v>
      </c>
      <c r="GU339" t="str">
        <f t="shared" si="775"/>
        <v>QF3</v>
      </c>
      <c r="GV339" t="str">
        <f t="shared" si="776"/>
        <v/>
      </c>
      <c r="GW339">
        <f t="shared" si="777"/>
        <v>0</v>
      </c>
      <c r="GX339" t="str">
        <f>IF(OR(B339="",DJ339=""),"",IFERROR(_xlfn.XLOOKUP(DJ339,Модули_умолч[Управление],Модули_умолч[Модель])&amp;"",""))</f>
        <v/>
      </c>
      <c r="GY339">
        <f>IF(DJ339="",1,IFERROR(MAX(0,N(_xlfn.XLOOKUP(DJ339,Модули_умолч[Управление],Модули_умолч[Каналов на линию]))),1))</f>
        <v>1</v>
      </c>
      <c r="GZ339" t="str">
        <f t="shared" si="778"/>
        <v/>
      </c>
      <c r="HA339" t="str">
        <f t="shared" si="779"/>
        <v/>
      </c>
      <c r="HB339" t="str">
        <f t="shared" si="780"/>
        <v/>
      </c>
      <c r="HC339">
        <f>IF(HB339="",0,IFERROR(N(VLOOKUP(HB339,Модули_спр,3,FALSE)),0))</f>
        <v>0</v>
      </c>
      <c r="HD339" t="str">
        <f t="shared" si="781"/>
        <v/>
      </c>
      <c r="HE339" t="str">
        <f t="shared" si="782"/>
        <v/>
      </c>
      <c r="HF339" t="str">
        <f>IF(OR(HE339="",HE339="-"),"",IFERROR(VLOOKUP(HE339,Модули_спр,2,FALSE),"R"))</f>
        <v/>
      </c>
      <c r="HG339" t="str">
        <f>IF(HF339="","",HF339&amp;"."&amp;COUNTIFS(A$3:A339,A339,HF$3:HF339,HF339))</f>
        <v/>
      </c>
      <c r="HH339" t="str">
        <f t="shared" si="783"/>
        <v/>
      </c>
      <c r="HI339" t="str">
        <f t="shared" si="784"/>
        <v/>
      </c>
      <c r="HJ339" t="str">
        <f t="shared" si="785"/>
        <v/>
      </c>
      <c r="HK339" t="str">
        <f t="shared" si="786"/>
        <v/>
      </c>
      <c r="HL339">
        <f t="shared" si="787"/>
        <v>1</v>
      </c>
      <c r="HM339" t="str">
        <f>IF(HL339=1,"XT"&amp;COUNTIFS(A$3:A339,A339,HL$3:HL339,1),"")</f>
        <v>XT3</v>
      </c>
      <c r="HN339" t="str">
        <f t="shared" si="788"/>
        <v>XT3</v>
      </c>
      <c r="HO339" t="str">
        <f t="shared" si="789"/>
        <v>QF3</v>
      </c>
      <c r="HP339" t="str">
        <f t="shared" si="790"/>
        <v/>
      </c>
      <c r="HQ339" t="str">
        <f t="shared" si="791"/>
        <v>ok</v>
      </c>
      <c r="HR339" t="str">
        <f>IF(OR(HJ339="",HH339=""),"",IF(HJ339+MAX(0,GY339-1)&gt;IFERROR(VLOOKUP(HI339,Модули_спр,3,FALSE),99),"ЛИШНИЙ КАНАЛ",IF(AND(AL339&lt;&gt;"=",GY339&gt;0,COUNTIFS(Линии[_модуль гр.],HH339,Линии[Канал (итог)],HJ339,Линии[Канал],"&lt;&gt;=",Линии[Щит],A339)&gt;1),"ДУБЛЬ КАНАЛА","")))</f>
        <v/>
      </c>
      <c r="HS339" s="6" t="str">
        <f t="shared" si="792"/>
        <v/>
      </c>
      <c r="HT339">
        <f t="shared" si="793"/>
        <v>10</v>
      </c>
      <c r="HU339" t="str">
        <f t="shared" si="794"/>
        <v/>
      </c>
      <c r="HV339">
        <f t="shared" si="795"/>
        <v>1.0392845505553168</v>
      </c>
      <c r="HW339">
        <f t="shared" si="796"/>
        <v>0</v>
      </c>
      <c r="HX339">
        <f t="shared" si="797"/>
        <v>0</v>
      </c>
      <c r="HY339">
        <f t="shared" si="798"/>
        <v>0</v>
      </c>
      <c r="HZ339">
        <f t="shared" si="799"/>
        <v>0</v>
      </c>
      <c r="IA339">
        <f t="shared" si="800"/>
        <v>0</v>
      </c>
      <c r="IB339">
        <f t="shared" si="801"/>
        <v>0</v>
      </c>
      <c r="IC339" t="str">
        <f t="shared" si="802"/>
        <v/>
      </c>
      <c r="ID339" t="str" cm="1">
        <f t="array" ref="ID339">IF(IC339="","",_xlfn.LET(_xlpm.tk,_xlfn.TEXTSPLIT(SUBSTITUTE(SUBSTITUTE(IC339,";"," "),"→"," ")," ",,TRUE),_xlpm.w_,_xlfn._xlws.FILTER(_xlpm.tk,ISNUMBER(--LEFT(_xlpm.tk,1))*((ISNUMBER(SEARCH("W",_xlpm.tk))+ISNUMBER(SEARCH("Вт",_xlpm.tk)))&gt;0),""),IFERROR(--SUBSTITUTE(SUBSTITUTE(UPPER(INDEX(_xlpm.w_,1)),"W",""),"ВТ",""),"")))</f>
        <v/>
      </c>
      <c r="IE339" t="str" cm="1">
        <f t="array" ref="IE339">IF(IC339="","",_xlfn.LET(_xlpm.tk,_xlfn.TEXTSPLIT(SUBSTITUTE(SUBSTITUTE(IC339,";"," "),"→"," ")," ",,TRUE),_xlpm.v_,_xlfn._xlws.FILTER(_xlpm.tk,ISNUMBER(--LEFT(_xlpm.tk,1))*((ISNUMBER(SEARCH("V",_xlpm.tk))+(RIGHT(UPPER(_xlpm.tk))="В"))&gt;0),""),IFERROR(--SUBSTITUTE(SUBSTITUTE(UPPER(INDEX(_xlpm.v_,1)),"V",""),"В",""),"")))</f>
        <v/>
      </c>
      <c r="IF339" s="6" t="str">
        <f>IF(OR(BV339=0,HI339="",HJ339=""),"",IFERROR(N(_xlfn.XLOOKUP(HI339,Каталог!$C$4:$C$500,Каталог!$Q$4:$Q$500)),""))</f>
        <v/>
      </c>
      <c r="IG339" s="6" t="str">
        <f>IF(N(IF339)=0,"",SUMIFS(Линии[Iр, А],Линии[Щит],A339,Линии[_модуль гр.],HH339,Линии[Канал (итог)],HJ339))</f>
        <v/>
      </c>
      <c r="IH339" t="str">
        <f>IF(AND(B339="",HO339=""),"",_xlfn.TEXTJOIN("; ",TRUE,IF(AND(B339&lt;&gt;"",FV339=""),"нет фазы",""),IF(AND(B339&lt;&gt;"",N(GL339)=0,FG339&lt;&gt;"Нет"),"нет мощности",""),IF(AND(HN339&lt;&gt;"",COUNTIFS(Линии[Щит],A339,Линии[Клемма (итог)],HN339)&gt;1),"дубль клеммы "&amp;HN339,""),IF(AND(HQ339&lt;&gt;"",HQ339&lt;&gt;"ok"),HQ339,""),IF(HR339&lt;&gt;"",HR339,""),IF(AND(N(CB339)&gt;=4,N(BX339)=1),CB339&amp;" жил на 1 фазе",""),IF(AND(BC339="R",CG339=1,IF(CS339&lt;&gt;"",N(CV339)&gt;30,OR(N(DA339)=0,N(DA339)&gt;30))),"розетка без дифзащиты до 30 мА",""),IF(AND(CG339=1,N(DA339)&gt;0,ISNUMBER(T339)),IF(T339&gt;N(DA339)/3,"ток утечки "&amp;FIXED(T339,1)&amp;" мА &gt; 1/3 уставки ("&amp;DA339&amp;" мА)",""),""),IF(AND(CH339=1,CS339=""),"«узо»: нет строки с УЗО выше (УЗО 2P 40А 30мА в «Аппаратах»)",""),IF(AND(CS339&lt;&gt;"",CS339=BA339),IF(CT339="","впишите номинал УЗО (УЗО 2P 40А 30мА)",IF(N(CT339)&lt;N(DT339),"УЗО "&amp;CT339&amp;" А &lt; автомата "&amp;DT339&amp;" А перед ним",IF(N(CT339)&lt;N(CX339),"УЗО "&amp;CT339&amp;" А &lt; тока блока "&amp;FIXED(CX339,1)&amp;" А",""))),""),IF(AND(CS339&lt;&gt;"",CS339=BA339,ISNUMBER(CY339)),IF(CY339&gt;N(CV339)/3,"ток утечки блока УЗО "&amp;FIXED(CY339,1)&amp;" мА &gt; 1/3 уставки ("&amp;CV339&amp;" мА)",""),""),IF(AND(CG339=1,N(BV339)+N(IB339)&gt;0,IC339=""),"линии до 50 В без БП: впишите в «Аппараты» (БП 24V 480W)",""),IF(AND(CG339=1,ISNUMBER(ID339),ISNUMBER(U339)),IF(U339&gt;ID339,"БП "&amp;ID339&amp;" Вт &lt; нужно "&amp;U339&amp;" Вт (×"&amp;Запас_БП&amp;")",""),""),IF(AND(CG339=1,ISNUMBER(IE339),N(BV339)=1),IF(IE339&lt;&gt;N(BU339),"БП на "&amp;IE339&amp;" В, линия "&amp;BU339&amp;" В",""),""),IF(AND(N(IF339)&gt;0,N(IG339)&gt;N(IF339)),HH339&amp;" канал "&amp;HJ339&amp;": "&amp;FIXED(IG339,1)&amp;" А &gt; "&amp;IF339&amp;" А",""),IFERROR(IF(AND(ISNUMBER(Q339),Q339&gt;EL339),"потери "&amp;FIXED(Q339,1)&amp;" % &gt; "&amp;EL339&amp;" %",""),""),IFERROR(IF(LEFT(HU339,4)="мало","Iкз мало — отключение &gt; 0,4 с",""),""),IF(AND(B339&lt;&gt;"",BM339=""),"не на схеме",""),IF(AND(CG339=0,B339&lt;&gt;"",FV339&lt;&gt;"",IF(BA339=1,"",FW338)&lt;&gt;"",FV339&lt;&gt;IF(BA339=1,"",FW338)),"фаза не как у автомата группы ("&amp;IF(BA339=1,"",FW338)&amp;")","")))</f>
        <v/>
      </c>
      <c r="II339" s="6">
        <f>IF(OR(CG339=0,DQ339=""),"",_xlfn.LET(_xlpm.t,IFERROR(_xlfn.XLOOKUP(DQ339,Каталог!$U$4:$U$500,Каталог!$G$4:$G$500),""),_xlpm.k,SEARCH("кА",_xlpm.t),IFERROR(--TRIM(RIGHT(SUBSTITUTE(MID(_xlpm.t,MAX(1,_xlpm.k-4),_xlpm.k-MAX(1,_xlpm.k-4))," ",REPT(" ",9)),5)),"")))</f>
        <v>6</v>
      </c>
      <c r="IJ339" t="str">
        <f>IF(OR(II339="",CG339=0),"",IF(_xlfn.XLOOKUP(A339,Щиты[Щит],Щиты[Iкз max на шинах, кА],"")="","",IF(II339&lt;_xlfn.XLOOKUP(A339,Щиты[Щит],Щиты[Iкз max на шинах, кА]),"Icu "&amp;II339&amp;" кА &lt; Iкз max","ok")))</f>
        <v/>
      </c>
      <c r="IK339" t="str">
        <f t="shared" si="803"/>
        <v/>
      </c>
      <c r="IL339" t="str">
        <f t="shared" si="804"/>
        <v>QF3|XT3</v>
      </c>
      <c r="IM339" t="str">
        <f t="shared" si="805"/>
        <v>QF3|XT3|кабель ВВГнг(А)-FRLS (3х2,5) → шкаф пожарной сигнализации Цокольный этаж Пом. №002Т</v>
      </c>
      <c r="IN339" t="str" cm="1">
        <f t="array" ref="IN339">IF(IM339="","",_xlfn.LET(_xlpm.nd,_xlfn.TEXTSPLIT(IM339,"|"),IF(COLUMNS(_xlpm.nd)&gt;1,A339&amp;"¦"&amp;INDEX(_xlpm.nd,1)&amp;"¦"&amp;INDEX(_xlpm.nd,2),"")))</f>
        <v>ЩСПЗ-ЖД¦QF3¦XT3</v>
      </c>
      <c r="IO339" t="str">
        <f t="shared" si="806"/>
        <v>FCP1-1¦шкаф пожарной сигнализации Цокольный этаж Пом. №002Т</v>
      </c>
      <c r="IP339" t="str" cm="1">
        <f t="array" ref="IP339">IF(IM339="","",_xlfn.LET(_xlpm.nd,_xlfn.TEXTSPLIT(IM339,"|"),IF(COLUMNS(_xlpm.nd)&gt;2,A339&amp;"¦"&amp;INDEX(_xlpm.nd,2)&amp;"¦"&amp;INDEX(_xlpm.nd,3),"")))</f>
        <v>ЩСПЗ-ЖД¦XT3¦кабель ВВГнг(А)-FRLS (3х2,5) → шкаф пожарной сигнализации Цокольный этаж Пом. №002Т</v>
      </c>
      <c r="IQ339" t="str">
        <f t="shared" si="807"/>
        <v>FCP1-1¦шкаф пожарной сигнализации Цокольный этаж Пом. №002Т</v>
      </c>
      <c r="IR339" t="str" cm="1">
        <f t="array" ref="IR339">IF(IM339="","",_xlfn.LET(_xlpm.nd,_xlfn.TEXTSPLIT(IM339,"|"),IF(COLUMNS(_xlpm.nd)&gt;3,A339&amp;"¦"&amp;INDEX(_xlpm.nd,3)&amp;"¦"&amp;INDEX(_xlpm.nd,4),"")))</f>
        <v/>
      </c>
      <c r="IS339" t="str">
        <f t="shared" si="808"/>
        <v/>
      </c>
      <c r="IT339" t="str" cm="1">
        <f t="array" ref="IT339">IF(IM339="","",_xlfn.LET(_xlpm.nd,_xlfn.TEXTSPLIT(IM339,"|"),IF(COLUMNS(_xlpm.nd)&gt;4,A339&amp;"¦"&amp;INDEX(_xlpm.nd,4)&amp;"¦"&amp;INDEX(_xlpm.nd,5),"")))</f>
        <v/>
      </c>
      <c r="IU339" t="str">
        <f t="shared" si="809"/>
        <v/>
      </c>
      <c r="IV339" t="str" cm="1">
        <f t="array" ref="IV339">IF(IM339="","",_xlfn.LET(_xlpm.nd,_xlfn.TEXTSPLIT(IM339,"|"),IF(COLUMNS(_xlpm.nd)&gt;5,A339&amp;"¦"&amp;INDEX(_xlpm.nd,5)&amp;"¦"&amp;INDEX(_xlpm.nd,6),"")))</f>
        <v/>
      </c>
      <c r="IW339" t="str">
        <f t="shared" si="810"/>
        <v/>
      </c>
      <c r="IX339" t="str" cm="1">
        <f t="array" ref="IX339">IF(IM339="","",_xlfn.LET(_xlpm.nd,_xlfn.TEXTSPLIT(IM339,"|"),IF(COLUMNS(_xlpm.nd)&gt;6,A339&amp;"¦"&amp;INDEX(_xlpm.nd,6)&amp;"¦"&amp;INDEX(_xlpm.nd,7),"")))</f>
        <v/>
      </c>
      <c r="IY339" t="str">
        <f t="shared" si="811"/>
        <v/>
      </c>
      <c r="IZ339" t="str">
        <f t="shared" si="812"/>
        <v/>
      </c>
      <c r="JA339" t="str">
        <f t="shared" si="813"/>
        <v>QF3 → XT3</v>
      </c>
      <c r="JB339">
        <f t="shared" si="814"/>
        <v>0</v>
      </c>
      <c r="JC339">
        <f t="shared" si="815"/>
        <v>0</v>
      </c>
      <c r="JD339" t="str">
        <f t="shared" si="816"/>
        <v/>
      </c>
      <c r="JE339" t="str">
        <f t="shared" si="817"/>
        <v/>
      </c>
      <c r="JF339" t="str">
        <f t="shared" si="818"/>
        <v/>
      </c>
      <c r="JG339" t="str">
        <f t="shared" si="819"/>
        <v/>
      </c>
      <c r="JH339" t="str">
        <f>IF(B339="","",IFERROR(_xlfn.XLOOKUP(B339,Коды_код,Коды_уго),IFERROR(_xlfn.XLOOKUP(BC339,Коды_код,Коды_уго),IFERROR(_xlfn.XLOOKUP(LEFT(BC339,2),Коды_код,Коды_уго),""))))</f>
        <v/>
      </c>
      <c r="JI339" t="str">
        <f>IF(B339="","",IF(OR(JH339="",JH339=0),"BOX",IFERROR(IF(VLOOKUP(JH339,УГО_блоки,3,FALSE)&amp;""&lt;&gt;"",VLOOKUP(JH339,УГО_блоки,3,FALSE),VLOOKUP(JH339,УГО_блоки,2,FALSE)),JH339)))</f>
        <v>BOX</v>
      </c>
      <c r="JJ339">
        <f t="shared" si="820"/>
        <v>1</v>
      </c>
      <c r="JK339" t="str">
        <f>IF(DQ339="","",IF(COUNTIF(DQ$3:DQ339,DQ339)=1,MAX(JK$2:JK338)+1,""))</f>
        <v/>
      </c>
      <c r="JL339" t="str">
        <f>IF(DE339="","",IF(COUNTIF(DE$3:DE339,DE339)+COUNTIF(DF$2:DF338,DE339)+COUNTIF(DG$2:DG338,DE339)=1,MAX(JL$2:JN338)+1,""))</f>
        <v/>
      </c>
      <c r="JM339" t="str">
        <f>IF(DF339="","",IF(COUNTIF(DE$3:DE339,DF339)+COUNTIF(DF$3:DF339,DF339)+COUNTIF(DG$2:DG338,DF339)=1,MAX(JL$2:JN338,JL339)+1,""))</f>
        <v/>
      </c>
      <c r="JN339" t="str">
        <f>IF(DG339="","",IF(COUNTIF(DE$3:DE339,DG339)+COUNTIF(DF$3:DF339,DG339)+COUNTIF(DG$3:DG339,DG339)=1,MAX(JL$2:JN338,JL339,JM339)+1,""))</f>
        <v/>
      </c>
      <c r="JO339" t="str">
        <f t="shared" si="821"/>
        <v>3х2,5</v>
      </c>
      <c r="JP339" t="str">
        <f>IF(JO339="","",IF(COUNTIF(JO$3:JO339,JO339)=1,MAX(JP$2:JP338)+1,""))</f>
        <v/>
      </c>
      <c r="JQ339" t="str">
        <f>IF(HG339="","",COUNTIF(HG$3:HG339,"?*"))</f>
        <v/>
      </c>
      <c r="JR339" t="str">
        <f>IF(OR(HG339="",HI339=""),"",IF(COUNTIFS(HG$3:HG339,"?*",HI$3:HI339,HI339)=1,MAX(JR$2:JR338)+1,""))</f>
        <v/>
      </c>
      <c r="JS339">
        <f t="shared" si="822"/>
        <v>0</v>
      </c>
      <c r="JT339">
        <f>IF(B339="","",COUNTIF(B$3:B339,"?*"))</f>
        <v>337</v>
      </c>
      <c r="JU339">
        <f>IF(HL339&lt;&gt;1,0,_xlfn.LET(_xlpm.k,MAX(IFERROR(--_xlfn.XLOOKUP(B339,Коды_код,Коды_3L),0),IFERROR(--_xlfn.XLOOKUP(BC339,Коды_код,Коды_3L),0),IFERROR(--_xlfn.XLOOKUP(LEFT(BC339,2),Коды_код,Коды_3L),0)),IF(_xlpm.k&gt;0,_xlpm.k,IF(IFERROR(--LEFT(SUBSTITUTE(JO339,"x","х"),FIND("х",SUBSTITUTE(JO339,"x","х"))-1),3)&gt;3,Каталог!$S$9,1))))</f>
        <v>1</v>
      </c>
      <c r="JV339">
        <f t="shared" si="823"/>
        <v>0</v>
      </c>
      <c r="JW339" t="str">
        <f t="shared" si="824"/>
        <v>авто</v>
      </c>
      <c r="JX339" t="str">
        <f t="shared" si="825"/>
        <v/>
      </c>
      <c r="JY339">
        <f t="shared" si="826"/>
        <v>0</v>
      </c>
      <c r="JZ339">
        <f t="shared" si="827"/>
        <v>1</v>
      </c>
    </row>
    <row r="340" spans="1:286" x14ac:dyDescent="0.3">
      <c r="A340" t="s">
        <v>1110</v>
      </c>
      <c r="B340" t="s">
        <v>1639</v>
      </c>
      <c r="C340" t="s">
        <v>1736</v>
      </c>
      <c r="D340">
        <v>1</v>
      </c>
      <c r="E340">
        <v>0.4</v>
      </c>
      <c r="G340">
        <v>16</v>
      </c>
      <c r="H340" t="str">
        <f>Линии[[#This Row],[_авто управление]]</f>
        <v/>
      </c>
      <c r="I340" t="str">
        <f>Линии[[#This Row],[_авто аппараты]]</f>
        <v/>
      </c>
      <c r="J340">
        <v>2.5</v>
      </c>
      <c r="K340">
        <v>80</v>
      </c>
      <c r="L340" t="str">
        <f>Линии[[#This Row],[_авто фаза]]</f>
        <v>L1</v>
      </c>
      <c r="M340" t="str">
        <f>Линии[[#This Row],[_авто клемма]]</f>
        <v>XT4</v>
      </c>
      <c r="N340" t="str">
        <f t="shared" si="690"/>
        <v/>
      </c>
      <c r="O340" s="6" cm="1">
        <f t="array" ref="O340">IF(B340="","",IF(BH340&lt;&gt;"",IFERROR(_xlfn.XLOOKUP(BH340,Щиты[Щит],Щиты[Iр, А]),""),IF(BP340=1,IF(OR(N(_xlfn.XLOOKUP(A340,Щиты[Щит],Щиты[Вводов],1))&lt;=1,LOWER(TRIM(_xlfn.XLOOKUP(A340,Щиты[Щит],Щиты[АВР],"")&amp;""))="да"),IFERROR(_xlfn.XLOOKUP(A340,Щиты[Щит],Щиты[Iр, А]),""),IFERROR(N(BS340)*_xlfn.XLOOKUP(A340,Щиты[Щит],Щиты[Кс итог])/(SQRT(3)*Uн_лин*_xlfn.XLOOKUP(A340,Щиты[Щит],Щиты[cos φ])),"")),IF(BV340=1,IFERROR(BS340*1000/BU340,""),IFERROR(_xlfn.IFS(BX340=1,BS340/((Uн_лин/SQRT(3))*CE340),BX340=3,BS340/(SQRT(3)*Uн_лин*CE340)),"")))))</f>
        <v>1.823211376388292</v>
      </c>
      <c r="P340" s="7">
        <f>IF(B340="","",IFERROR(IF(VLOOKUP(BC340,Потребители_обозначение,4,FALSE)=1,VLOOKUP(BC340,Потребители_обозначение,3,FALSE)*(MAX(1,N(D340))*2-1)+EI340+VLOOKUP(BE340,Этаж_обозначение,3,FALSE)+VLOOKUP(BE340,Этаж_обозначение,4,FALSE),VLOOKUP(BC340,Потребители_обозначение,3,FALSE)*(MAX(1,N(D340))*2-1)+EI340),EI340))</f>
        <v>80</v>
      </c>
      <c r="Q340" s="6">
        <f t="shared" si="691"/>
        <v>1.5</v>
      </c>
      <c r="R340" t="str">
        <f t="shared" si="692"/>
        <v>ВВГнг(А)-FRLS (3х2,5)</v>
      </c>
      <c r="S340" t="str">
        <f>IF(BM340="","",IF(BN340="вводной узел","узел ","")&amp;"л."&amp;(INT((BM340-1)/Столбцов_на_лист)+1)&amp;" / "&amp;(MOD(BM340-1,Столбцов_на_лист)+1))</f>
        <v>л.1 / 16</v>
      </c>
      <c r="T340" s="119">
        <f t="shared" si="693"/>
        <v>1.5</v>
      </c>
      <c r="U340" s="7" t="str">
        <f>IF(OR(CG340=0,N(BV340)+N(IB340)=0),"",ROUNDUP(Запас_БП*(N(HY340)+N(HZ340)),0))</f>
        <v/>
      </c>
      <c r="V340" s="119" t="str">
        <f t="shared" si="694"/>
        <v/>
      </c>
      <c r="W340" s="7" t="str">
        <f>IFERROR(IF(OR(B340="",BP340=1,BV340=1,NOT(ISNUMBER(EN340)),N(DT340)=0),"",MAX(0,ROUNDDOWN((c_min*(Uн_лин*1000/SQRT(3))/(HT340*N(DT340))-_xlfn.XLOOKUP(A340,Щиты[Щит],Щиты[Zпетли на шинах, Ом]))*EN340/(2*ρкз_Cu),0))),"")</f>
        <v/>
      </c>
      <c r="Y340" t="str">
        <f>Линии[[#This Row],[_авто утечка]]</f>
        <v/>
      </c>
      <c r="Z340">
        <v>1</v>
      </c>
      <c r="AA340">
        <v>230</v>
      </c>
      <c r="AB340" t="s">
        <v>573</v>
      </c>
      <c r="AG340" t="s">
        <v>850</v>
      </c>
      <c r="AH340" t="s">
        <v>488</v>
      </c>
      <c r="AI340" t="s">
        <v>591</v>
      </c>
      <c r="AK340" t="str">
        <f>Линии[[#This Row],[_авто модуль]]</f>
        <v/>
      </c>
      <c r="AM340">
        <v>16</v>
      </c>
      <c r="AN340" t="s">
        <v>13</v>
      </c>
      <c r="AO340">
        <v>3</v>
      </c>
      <c r="AQ340">
        <v>42</v>
      </c>
      <c r="AR340">
        <v>30</v>
      </c>
      <c r="AT340">
        <v>1</v>
      </c>
      <c r="BA340" cm="1">
        <f t="array" ref="BA340">ROW()-ROW(Линии[#Headers])</f>
        <v>338</v>
      </c>
      <c r="BC340" s="6" t="str">
        <f t="shared" si="695"/>
        <v>FCP13</v>
      </c>
      <c r="BD340" t="str">
        <f t="shared" si="696"/>
        <v/>
      </c>
      <c r="BE340" t="str">
        <f t="shared" si="697"/>
        <v/>
      </c>
      <c r="BF340" t="str">
        <f t="shared" si="698"/>
        <v/>
      </c>
      <c r="BG340" t="str">
        <f t="shared" si="699"/>
        <v/>
      </c>
      <c r="BH340" t="str">
        <f>IF(X340&lt;&gt;"",X340,IF(AND(B340&lt;&gt;"",B340&lt;&gt;A340,ISNUMBER(_xlfn.XMATCH(B340,Щиты[Щит]))),B340,""))</f>
        <v/>
      </c>
      <c r="BI340" t="str" cm="1">
        <f t="array" ref="BI340">IF(B340="","",IF(BH340&lt;&gt;"","Щит "&amp;BH340,_xlfn.LET(_xlpm.nm,IFERROR(_xlfn.XLOOKUP(BC340,Коды_код,Коды_имя)&amp;"",""),_xlpm.md,IFERROR(N(_xlfn.XLOOKUP(BC340,Коды_код,Коды_режим)),1),_xlpm.ex,IF(Имя_режим="по экспликации",IFERROR(_xlfn.XLOOKUP(BE340&amp;"|"&amp;BG340,Экспликация[Этаж]&amp;"|"&amp;Экспликация[Помещение],Экспликация[Название])&amp;"",""),""),_xlpm.rm,IF(BG340="","",IF(_xlpm.ex&lt;&gt;"",". "&amp;_xlpm.ex&amp;IF(Имя_пом="нет"," ("&amp;BG340&amp;")"," (пом. "&amp;BG340&amp;")"),IF(Имя_пом="нет"," ",", пом. ")&amp;BG340)),IF(_xlpm.nm="","",IF(_xlpm.md=2,_xlpm.nm&amp;" шлейф "&amp;BE340,_xlpm.nm&amp;_xlpm.rm)))))</f>
        <v/>
      </c>
      <c r="BJ340" t="str">
        <f t="shared" si="700"/>
        <v>шкаф пожарной сигнализации Тех. этаж Пом. №004Т</v>
      </c>
      <c r="BK340">
        <f>IFERROR(_xlfn.XMATCH(A340,Щиты[Щит]),0)</f>
        <v>16</v>
      </c>
      <c r="BL340">
        <f>_xlfn.LET(_xlpm.k,IFERROR(_xlfn.XLOOKUP(A340,Щиты[Щит],Щиты[Мест под вводной узел]),""),IF(_xlpm.k="",Столбцов_на_лист,N(_xlpm.k)))</f>
        <v>12</v>
      </c>
      <c r="BM340">
        <f t="shared" si="701"/>
        <v>16</v>
      </c>
      <c r="BN340" t="str">
        <f t="shared" si="702"/>
        <v>линии</v>
      </c>
      <c r="BO340" s="6">
        <f>IFERROR(N(_xlfn.XLOOKUP(BC340,Коды_код,Коды_квт)),0)</f>
        <v>0</v>
      </c>
      <c r="BP340">
        <f t="shared" si="703"/>
        <v>0</v>
      </c>
      <c r="BQ340" t="str">
        <f>IF(B340="","",IF(BH340&lt;&gt;"",IFERROR(_xlfn.XLOOKUP(BH340,Щиты[Щит],Щиты[Руст, кВт]),0),IF(BP340=1,IF(OR(N(_xlfn.XLOOKUP(A340,Щиты[Щит],Щиты[Вводов],1))&lt;=1,LOWER(TRIM(_xlfn.XLOOKUP(A340,Щиты[Щит],Щиты[АВР],"")&amp;""))="да"),IFERROR(_xlfn.XLOOKUP(A340,Щиты[Щит],Щиты[Руст, кВт]),0),SUMIFS(Линии[_Р для вводов],Линии[Щит],A340,Линии[Источник для режимов],GF340)),IF(BO340&gt;0,ROUND(BO340*MAX(1,N(D340)),3),""))))</f>
        <v/>
      </c>
      <c r="BR340">
        <f t="shared" si="704"/>
        <v>0.4</v>
      </c>
      <c r="BS340" s="6">
        <f>IF(B340="","",IF(BH340&lt;&gt;"",IFERROR(_xlfn.XLOOKUP(BH340,Щиты[Щит],Щиты[Руст, кВт]),0),N(BR340)))</f>
        <v>0.4</v>
      </c>
      <c r="BT340" t="str">
        <f>IF(B340="","",IFERROR(IF(VLOOKUP(BC340,Потребители_обозначение,8,FALSE)=0,"",VLOOKUP(BC340,Потребители_обозначение,8,FALSE)),""))</f>
        <v/>
      </c>
      <c r="BU340">
        <f t="shared" si="705"/>
        <v>230</v>
      </c>
      <c r="BV340">
        <f t="shared" si="706"/>
        <v>0</v>
      </c>
      <c r="BW340">
        <f>IF(B340="","",IF(BH340&lt;&gt;"",3,IFERROR(IF(N(VLOOKUP(BC340,Потребители_обозначение,9,FALSE))=0,1,VLOOKUP(BC340,Потребители_обозначение,9,FALSE)),1)))</f>
        <v>1</v>
      </c>
      <c r="BX340">
        <f t="shared" si="707"/>
        <v>1</v>
      </c>
      <c r="BY340" t="str">
        <f>IF(B340="","",_xlfn.LET(_xlpm.bc,IFERROR(IF(VLOOKUP(BC340,Потребители_обозначение,6,FALSE)=0,"",VLOOKUP(BC340,Потребители_обозначение,6,FALSE)&amp;""),""),IF(AND(GA340="да",OR(_xlpm.bc="",_xlpm.bc="мс")),Марка_пож,IF(AND(_xlpm.bc="",BH340&lt;&gt;""),"мс",_xlpm.bc))))</f>
        <v>мфр</v>
      </c>
      <c r="BZ340" t="str">
        <f t="shared" si="708"/>
        <v>мфр</v>
      </c>
      <c r="CA340">
        <f>IF(B340="","",_xlfn.LET(_xlpm.cc,IFERROR(N(VLOOKUP(BC340,Потребители_обозначение,7,FALSE)),0),IF(_xlpm.cc&gt;0,_xlpm.cc,IF(BZ340="","",IF(BV340=1,2,IF(N(BX340)=3,5,3))))))</f>
        <v>3</v>
      </c>
      <c r="CB340">
        <f t="shared" si="709"/>
        <v>3</v>
      </c>
      <c r="CC340">
        <f>IFERROR(N(VLOOKUP(BC340,Потребители_обозначение,10,FALSE)),0)</f>
        <v>0</v>
      </c>
      <c r="CD340">
        <f>IFERROR(VLOOKUP(BC340,Потребители_обозначение,5,FALSE),0)</f>
        <v>0</v>
      </c>
      <c r="CE340" s="6" cm="1">
        <f t="array" ref="CE340">IF(B340="","",IF(BH340&lt;&gt;"",IFERROR(_xlfn.XLOOKUP(BH340,Щиты[Щит],Щиты[cos φ]),0.95),IF(BP340=1,IFERROR(_xlfn.XLOOKUP(A340,Щиты[Щит],Щиты[cos φ]),0.95),IF(ISNUMBER(AD340),AD340,IFERROR(IF(CD340=2,_xlfn.IFS(BX340=3,VLOOKUP(BS340,Справочная_двигатели,8,FALSE),BX340=1,VLOOKUP(BS340,Справочная_двигатели,10,TRUE)),IF(AND(Методика="нормы 2026",FG340="Сил"),0.8,0.95)),0.95)))))</f>
        <v>0.95</v>
      </c>
      <c r="CF340">
        <f t="shared" si="710"/>
        <v>0</v>
      </c>
      <c r="CG340">
        <f t="shared" si="711"/>
        <v>1</v>
      </c>
      <c r="CH340">
        <f t="shared" si="712"/>
        <v>0</v>
      </c>
      <c r="CI340">
        <f>IF(B340="","",IF(BV340=1,IFERROR(BS340/((Uн_лин/SQRT(3))*MAX(0.5,N(CE340))),0),N(O340)))</f>
        <v>1.823211376388292</v>
      </c>
      <c r="CJ340">
        <f t="shared" si="713"/>
        <v>0</v>
      </c>
      <c r="CK340">
        <f t="shared" si="714"/>
        <v>0</v>
      </c>
      <c r="CL340">
        <f t="shared" si="715"/>
        <v>0</v>
      </c>
      <c r="CM340">
        <f t="shared" si="716"/>
        <v>0</v>
      </c>
      <c r="CN340">
        <f t="shared" si="717"/>
        <v>0</v>
      </c>
      <c r="CO340">
        <f>IF(BC340="",0,_xlfn.LET(_xlpm.v,IFERROR(_xlfn.XLOOKUP(B340,Коды_код,Коды_мА),IFERROR(_xlfn.XLOOKUP(BC340,Коды_код,Коды_мА),IFERROR(_xlfn.XLOOKUP(LEFT(BC340,2),Коды_код,Коды_мА),""))),IF(_xlpm.v="да",30,IF(ISNUMBER(_xlpm.v),_xlpm.v,0))))</f>
        <v>0</v>
      </c>
      <c r="CP340" t="str">
        <f t="shared" si="718"/>
        <v/>
      </c>
      <c r="CQ340" t="str">
        <f>_xlfn.LET(_xlpm.k,IFERROR(_xlfn.XLOOKUP(BC340,Коды_код,Коды_утечка)&amp;"",""),IF(_xlpm.k="","дифавтомат",_xlpm.k))</f>
        <v>дифавтомат</v>
      </c>
      <c r="CR340" t="str" cm="1">
        <f t="array" ref="CR340">IF(CG340=0,"",_xlfn.LET(_xlpm.sg,TRIM(_xlfn.TEXTSPLIT(DD340&amp;"",";")),_xlpm.f_,_xlfn._xlws.FILTER(_xlpm.sg,LEFT(_xlpm.sg,3)="УЗО",""),IFERROR(INDEX(_xlpm.f_,1)&amp;"","")))</f>
        <v/>
      </c>
      <c r="CS340" t="str">
        <f t="shared" si="719"/>
        <v/>
      </c>
      <c r="CT340" s="6" t="str" cm="1">
        <f t="array" ref="CT340">IF(CR340="","",_xlfn.LET(_xlpm.tk,_xlfn.TEXTSPLIT(UPPER(CR340)," ",,TRUE),_xlpm.a_,_xlfn._xlws.FILTER(_xlpm.tk,ISNUMBER(--LEFT(_xlpm.tk,1))*((ISNUMBER(SEARCH("А",_xlpm.tk))+ISNUMBER(SEARCH("A",_xlpm.tk)))&gt;0)*NOT(ISNUMBER(SEARCH("МА",_xlpm.tk)))*NOT(ISNUMBER(SEARCH("MA",_xlpm.tk))),""),IFERROR(--SUBSTITUTE(SUBSTITUTE(INDEX(_xlpm.a_,1),"А",""),"A",""),"")))</f>
        <v/>
      </c>
      <c r="CU340" t="str" cm="1">
        <f t="array" ref="CU340">IF(CR340="","",_xlfn.LET(_xlpm.tk,_xlfn.TEXTSPLIT(UPPER(CR340)," ",,TRUE),_xlpm.a_,_xlfn._xlws.FILTER(_xlpm.tk,ISNUMBER(--LEFT(_xlpm.tk,1))*((ISNUMBER(SEARCH("МА",_xlpm.tk))+ISNUMBER(SEARCH("MA",_xlpm.tk)))&gt;0),""),IFERROR(--SUBSTITUTE(SUBSTITUTE(INDEX(_xlpm.a_,1),"МА",""),"MA",""),30)))</f>
        <v/>
      </c>
      <c r="CV340" t="str">
        <f>IF(CS340="","",IFERROR(_xlfn.XLOOKUP(CS340,Линии[_n],Линии[_УЗО, мА]),30))</f>
        <v/>
      </c>
      <c r="CW340">
        <f>IF(CS340="",0,IF(ISNUMBER(SEARCH("4P",IFERROR(_xlfn.XLOOKUP(CS340,Линии[_n],Линии[_УЗО строки])&amp;"",""))),0,1))</f>
        <v>0</v>
      </c>
      <c r="CX340" t="str">
        <f>IF(AND(CS340&lt;&gt;"",CS340=BA340),SUMIFS(Линии[_ток на 230 В],Линии[_блок УЗО],BA340,Линии[Щит],A340),"")</f>
        <v/>
      </c>
      <c r="CY340" t="str">
        <f>IF(AND(CS340&lt;&gt;"",CS340=BA340),SUMIFS(Линии[_ток утечки линии, мА],Линии[_блок УЗО],BA340,Линии[Щит],A340),"")</f>
        <v/>
      </c>
      <c r="CZ340">
        <f t="shared" si="720"/>
        <v>0</v>
      </c>
      <c r="DA340">
        <f t="shared" si="721"/>
        <v>0</v>
      </c>
      <c r="DB340">
        <f>IF(B340="",0,IFERROR(--_xlfn.XLOOKUP(B340,Коды_код,Коды_минавт),IFERROR(--_xlfn.XLOOKUP(BC340,Коды_код,Коды_минавт),IFERROR(--_xlfn.XLOOKUP(LEFT(BC340,2),Коды_код,Коды_минавт),0))))</f>
        <v>0</v>
      </c>
      <c r="DC340" t="str">
        <f>IF(B340="","",IFERROR(_xlfn.XLOOKUP(BC340,Коды_код,Коды_апп)&amp;"",""))</f>
        <v/>
      </c>
      <c r="DD340" t="str">
        <f t="shared" si="722"/>
        <v/>
      </c>
      <c r="DE340" t="str" cm="1">
        <f t="array" ref="DE340">IF(TRIM(DD340&amp;"")="","",IFERROR(TRIM(INDEX(_xlfn.TEXTSPLIT(DD340&amp;";;;",";"),1)),""))</f>
        <v/>
      </c>
      <c r="DF340" t="str" cm="1">
        <f t="array" ref="DF340">IF(TRIM(DD340&amp;"")="","",IFERROR(TRIM(INDEX(_xlfn.TEXTSPLIT(DD340&amp;";;;",";"),2)),""))</f>
        <v/>
      </c>
      <c r="DG340" t="str" cm="1">
        <f t="array" ref="DG340">IF(TRIM(DD340&amp;"")="","",IFERROR(TRIM(INDEX(_xlfn.TEXTSPLIT(DD340&amp;";;;",";"),3)),""))</f>
        <v/>
      </c>
      <c r="DH340">
        <f t="shared" si="723"/>
        <v>0</v>
      </c>
      <c r="DI340" t="str">
        <f>IF(B340="","",_xlfn.LET(_xlpm.t,LOWER(AZ340&amp;""),IF(ISNUMBER(SEARCH("dim",_xlpm.t)),"DIM",IF(ISNUMBER(SEARCH("dali",_xlpm.t)),"DALI",IF(OR(ISNUMBER(SEARCH("relay",_xlpm.t)),ISNUMBER(SEARCH("реле",_xlpm.t))),"Relay",IF(ISNUMBER(SEARCH("кнопк",_xlpm.t)),"",IFERROR(_xlfn.XLOOKUP(BC340,Коды_код,Коды_упр)&amp;"","")))))))</f>
        <v/>
      </c>
      <c r="DJ340" t="str">
        <f t="shared" si="724"/>
        <v/>
      </c>
      <c r="DK340">
        <f>IF(B340="","",_xlfn.LET(_xlpm.ig,IF(N(CX340)&gt;0,N(CX340),N(CI340)+IF(AJ340="вручную",0,N(CJ340))),_xlpm.n0,IFERROR(VLOOKUP(_xlpm.ig,Автомат_номиналы,2,TRUE),0),_xlpm.mn,MAX(DB340,IF(AJ340="вручную",0,N(CM340))),MAX(_xlpm.n0,_xlpm.mn,IF(DH340=1,Мин_автомат_БП,0))))</f>
        <v>6</v>
      </c>
      <c r="DL340">
        <f t="shared" si="725"/>
        <v>1</v>
      </c>
      <c r="DM340" t="str">
        <f t="shared" si="726"/>
        <v>1P</v>
      </c>
      <c r="DN340" t="str">
        <f>_xlfn.LET(_xlpm.cc,UPPER(TRIM(IFERROR(_xlfn.XLOOKUP(BC340,Коды_код,Коды_хар)&amp;"",""))),IF(OR(_xlpm.cc="B",_xlpm.cc="В"),"B",IF(_xlpm.cc="D","D","С")))</f>
        <v>С</v>
      </c>
      <c r="DO340" t="str">
        <f t="shared" si="727"/>
        <v>1P С6А</v>
      </c>
      <c r="DP340">
        <f t="shared" si="728"/>
        <v>16</v>
      </c>
      <c r="DQ340" t="str">
        <f t="shared" si="729"/>
        <v>1P С16А</v>
      </c>
      <c r="DR340" cm="1">
        <f t="array" ref="DR340">IF(DQ340="","",_xlfn.LET(_xlpm.t,SUBSTITUTE(SUBSTITUTE(SUBSTITUTE(UPPER(DQ340),"С","C"),"А","A"),"В","B"),_xlpm.tk,_xlfn.TEXTSPLIT(_xlpm.t," "),_xlpm.f,_xlfn._xlws.FILTER(_xlpm.tk,ISNUMBER(--MID(_xlpm.tk,2,1))*ISNUMBER(SEARCH(LEFT(_xlpm.tk,1)&amp;"#","B#C#D#"))*(LEN(_xlpm.tk)&gt;1),""),_xlpm.x,INDEX(_xlpm.f,1),IFERROR(--SUBSTITUTE(MID(_xlpm.x,2,9),"A",""),IFERROR(--SUBSTITUTE(INDEX(_xlfn._xlws.FILTER(_xlpm.tk,ISNUMBER(--SUBSTITUTE(_xlpm.tk,"A","")),""),1),"A",""),""))))</f>
        <v>16</v>
      </c>
      <c r="DS340" t="str">
        <f t="shared" si="730"/>
        <v>ok</v>
      </c>
      <c r="DT340">
        <f t="shared" si="731"/>
        <v>16</v>
      </c>
      <c r="DU340" t="str">
        <f t="shared" si="732"/>
        <v>1P С16А</v>
      </c>
      <c r="DV340">
        <f t="shared" si="733"/>
        <v>0</v>
      </c>
      <c r="DW340">
        <f t="shared" si="734"/>
        <v>0</v>
      </c>
      <c r="DX340">
        <f t="shared" si="735"/>
        <v>0</v>
      </c>
      <c r="DY340">
        <f t="shared" si="736"/>
        <v>1.823211376388292</v>
      </c>
      <c r="DZ340">
        <f t="shared" si="737"/>
        <v>1</v>
      </c>
      <c r="EA340">
        <f>IF(ISNUMBER(AP340),AP340,К_прокл)</f>
        <v>1</v>
      </c>
      <c r="EB340">
        <f t="shared" si="738"/>
        <v>2</v>
      </c>
      <c r="EC340">
        <f>IFERROR(N(VLOOKUP(BZ340,Кабель_обозначение,3,FALSE)),1)</f>
        <v>1</v>
      </c>
      <c r="ED340">
        <f>IFERROR(N(_xlfn.XLOOKUP(A340,Щиты[Щит],Щиты[ΔU до шин, %])),0)</f>
        <v>0.41000000000000003</v>
      </c>
      <c r="EE340" t="str">
        <f>IFERROR(_xlfn.XLOOKUP(A340,Щиты[Щит],Щиты[Zпетли на шинах, Ом]),"")</f>
        <v/>
      </c>
      <c r="EF340">
        <f>IFERROR(N(_xlfn.XLOOKUP(A340,Щиты[Щит],Щиты[ΔU до шин (подбор), %])),0)</f>
        <v>0.68</v>
      </c>
      <c r="EG340" t="str">
        <f>IFERROR(_xlfn.XLOOKUP(A340,Щиты[Щит],Щиты[Zпетли на шинах (подбор), Ом]),"")</f>
        <v/>
      </c>
      <c r="EH340" t="str">
        <f t="shared" si="739"/>
        <v/>
      </c>
      <c r="EI340">
        <f t="shared" si="740"/>
        <v>80</v>
      </c>
      <c r="EJ340">
        <f t="shared" si="741"/>
        <v>2</v>
      </c>
      <c r="EK340">
        <f t="shared" si="742"/>
        <v>0.31</v>
      </c>
      <c r="EL340" s="6">
        <f>IF(B340="","",IF(BV340=1,dU_LED,IF(IFERROR(_xlfn.XLOOKUP(BC340,Коды_код,Коды_уго),"")="Светильник",3,4)+IF(Методика="нормы 2026",MIN(0.5,MAX(0,N(P340)-100)*0.005),0)))</f>
        <v>4</v>
      </c>
      <c r="EM340" cm="1">
        <f t="array" ref="EM340">IF(OR(B340="",BZ340="",EC340&lt;&gt;1),"",_xlfn.LET(_xlpm.sz,Iдоп_S,_xlpm.t_,CHOOSE(EB340,Iдоп_1ж,Iдоп_2ж,Iдоп_3ж)*DZ340*EA340,_xlpm.dcx,BV340=1,_xlpm.inn,IF(_xlpm.dcx,N(O340),N(DT340)),_xlpm.smin,MAX(1.5,CC340),_xlpm.L_,N(P340)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340)/N(BU340)*100,999),IFERROR(N(EJ340)*(_xlpm.rho*_xlpm.L_/_xlpm.sz*N(CE340)+_xlpm.xx*_xlpm.L_*N(EK340)/1000)*N(O340)/((Uн_лин/SQRT(3))*1000)*100,999)),_xlpm.kz,IF(OR(_xlpm.dcx,DW340=1,NOT(ISNUMBER(EG340)),_xlpm.L_=0,_xlpm.inn=0),1,IFERROR(--(c_min*(Uн_лин*1000/SQRT(3))/(EG340+2*ρкз_Cu*_xlpm.L_/_xlpm.sz)&gt;=HT340*_xlpm.inn),0)),_xlpm.ok,IFERROR((_xlpm.sz&gt;=_xlpm.smin)*(_xlpm.t_&gt;=_xlpm.inn)*IF(_xlpm.L_&gt;0,(_xlpm.du_+IF(_xlpm.dcx,0,EF340)&lt;=EL340+0.00001),1)*_xlpm.kz,0),_xlpm.r_,_xlfn._xlws.FILTER(_xlpm.sz,_xlpm.ok,"не подобрано"),INDEX(_xlpm.r_,1)))</f>
        <v>1.5</v>
      </c>
      <c r="EN340">
        <f t="shared" si="743"/>
        <v>2.5</v>
      </c>
      <c r="EO340" cm="1">
        <f t="array" ref="EO340">IF(OR(B340="",BZ340="",EC340&lt;&gt;1),"",_xlfn.LET(_xlpm.sz,Iдоп_S,_xlpm.t_,CHOOSE(EB340,Iдоп_1ж,Iдоп_2ж,Iдоп_3ж)*DZ340*EA340,_xlpm.ok,IFERROR((_xlpm.sz&gt;=MAX(1.5,CC340))*(_xlpm.t_&gt;=N(DT340)),0),_xlpm.r_,_xlfn._xlws.FILTER(_xlpm.sz,_xlpm.ok,""),INDEX(_xlpm.r_,1)))</f>
        <v>1.5</v>
      </c>
      <c r="EP340" s="6" cm="1">
        <f t="array" ref="EP340">IFERROR(ROUNDUP(N(EJ340)*(_xlfn.XLOOKUP(EO340,INDEX(Кабель_сопротивление,0,1),INDEX(Кабель_сопротивление,0,3))*N(P340)/EO340*N(CE340)+_xlfn.XLOOKUP(EO340,INDEX(Кабель_сопротивление,0,1),INDEX(Кабель_сопротивление,0,2))*N(P340)*N(EK340)/1000)*N(O340)/((Uн_лин/SQRT(3))*1000)*100,2),"")</f>
        <v>1.81</v>
      </c>
      <c r="EQ340">
        <f>IFERROR(2*ρкз_Cu*N(P340)/EO340,"")</f>
        <v>2.8053333333333335</v>
      </c>
      <c r="ER340">
        <f>IFERROR(VLOOKUP(EN340,Кабель_сопротивление,3,FALSE),"")</f>
        <v>2.2499999999999999E-2</v>
      </c>
      <c r="ES340">
        <f>IFERROR(VLOOKUP(EN340,Кабель_сопротивление,2,FALSE),"")</f>
        <v>0.1</v>
      </c>
      <c r="ET340">
        <f t="shared" si="744"/>
        <v>30</v>
      </c>
      <c r="EU340">
        <f t="shared" si="745"/>
        <v>0</v>
      </c>
      <c r="EV340">
        <f t="shared" si="746"/>
        <v>2.5031962913260695</v>
      </c>
      <c r="EW340" s="6">
        <f>IFERROR(ROUNDUP(EV340/IF(BV340=1,BU340,(Uн_лин/SQRT(3))*1000)*100,2),"")</f>
        <v>1.0900000000000001</v>
      </c>
      <c r="EX340" t="str">
        <f>IFERROR(VLOOKUP(BZ340,Кабель_обозначение,2,FALSE),"")</f>
        <v>ВВГнг(А)-FRLS</v>
      </c>
      <c r="EY340" t="str">
        <f t="shared" si="747"/>
        <v>ВВГнг(А)-FRLS (3х2,5)</v>
      </c>
      <c r="EZ340" t="str">
        <f t="shared" si="748"/>
        <v>ВВГнг(А)-FRLS (3х2,5)
L=80-1,09%</v>
      </c>
      <c r="FA340">
        <f>IFERROR(2*ρкз_Cu*P340/EN340,"")</f>
        <v>1.6832</v>
      </c>
      <c r="FB340">
        <f t="shared" si="749"/>
        <v>0.56000000000000005</v>
      </c>
      <c r="FC340" s="6" t="str">
        <f>IFERROR(IF(OR(B340="",BV340=1,NOT(ISNUMBER(EN340)),N(P340)=0),"",_xlfn.XLOOKUP(A340,Щиты[Щит],Щиты[Zпетли на шинах, Ом])+FA340),"")</f>
        <v/>
      </c>
      <c r="FD340" s="6" t="str">
        <f>IF(ISNUMBER(FC340),c_min*(Uн_лин*1000/SQRT(3))/FC340,"")</f>
        <v/>
      </c>
      <c r="FE340" s="6" t="str">
        <f>IFERROR(IF(OR(B340="",NOT(ISNUMBER(EN340))),"",1.05*(Uн_лин*1000/SQRT(3))/(_xlfn.XLOOKUP(A340,Щиты[Щит],Щиты[Zmax на шинах, Ом])+FB340)/1000),"")</f>
        <v/>
      </c>
      <c r="FF340" s="6" t="str">
        <f>IF(B340="","",IF(ISNUMBER(AC340),"Сил",IF(IFERROR(_xlfn.XLOOKUP(BC340,Коды_код,Коды_группа)&amp;"","")="","Быт",_xlfn.XLOOKUP(BC340,Коды_код,Коды_группа)&amp;"")))</f>
        <v>Быт</v>
      </c>
      <c r="FG340" s="6" t="str">
        <f t="shared" si="750"/>
        <v>Пост</v>
      </c>
      <c r="FH340" s="6">
        <f>IF(FG340="Щит","щит",IF(FG340="","",IF(FG340="Быт",IFERROR(_xlfn.XLOOKUP(A340,Щиты[Щит],Щиты[Кс быт]),1),IF(FG340="Сил",IF(ISNUMBER(AC340),AC340,IF(Методика="нормы 2026",IFERROR(_xlfn.XLOOKUP(A340,Щиты[Щит],Щиты[Кс силовых (табл. 7.5)]),1),1)),IF(OR(FG340="Пост",FG340="Отоп"),1,IF(FG340="ВНГ",0.7,0))))))</f>
        <v>1</v>
      </c>
      <c r="FI340">
        <f>IF(FG340="","",IF(AND(BP340=1,TRIM(AE340&amp;"")=""),IF(COUNTIFS(Линии[Щит],A340,Линии[Секция (1/2/3)],"&gt;=2")&gt;0,MIN(3,MAX(1,IFERROR(--BD340,1))),1),IFERROR(MIN(3,MAX(1,INT(--AE340))),1)))</f>
        <v>1</v>
      </c>
      <c r="FJ340">
        <f t="shared" si="751"/>
        <v>0.4</v>
      </c>
      <c r="FK340">
        <f t="shared" si="752"/>
        <v>0</v>
      </c>
      <c r="FL340">
        <f t="shared" si="753"/>
        <v>0</v>
      </c>
      <c r="FM340">
        <f t="shared" si="754"/>
        <v>0.4</v>
      </c>
      <c r="FN340">
        <f t="shared" si="755"/>
        <v>0</v>
      </c>
      <c r="FO340">
        <f t="shared" si="756"/>
        <v>0</v>
      </c>
      <c r="FP340">
        <f t="shared" si="757"/>
        <v>0.4</v>
      </c>
      <c r="FQ340">
        <f t="shared" si="758"/>
        <v>0.4</v>
      </c>
      <c r="FR340">
        <f t="shared" si="759"/>
        <v>0.38</v>
      </c>
      <c r="FS340">
        <f>IF(CG340=1,IF(AND(CH340=1,CW340=1),0,IF(AND(CS340&lt;&gt;"",CS340=BA340,CW340=1),SUMIFS(Линии[_Р линии, кВт],Линии[_блок УЗО],BA340,Линии[Щит],A340),N(BS340)+IF(AJ340="вручную",0,N(CK340)))),0)</f>
        <v>0.4</v>
      </c>
      <c r="FT340" t="str">
        <f t="shared" si="760"/>
        <v/>
      </c>
      <c r="FU340" t="str">
        <f>IF(B340="","",IF(CG340=0,IF(BA340=1,"",FW339),IF(AND(CH340=1,CW340=1,CS340&lt;&gt;""),IFERROR(_xlfn.XLOOKUP(CS340,Линии[_n],Линии[_фаза итог]),"L1"),IF(OR(N(DL340)&gt;=3,N(BX340)&gt;=3),"L1,L2,L3",IFERROR(_xlfn.TEXTBEFORE(_xlfn.TEXTAFTER(_xlfn.XLOOKUP(A340,Щиты[Щит],Щиты[_фазы авто]),";"&amp;BA340&amp;":"),";"),"L1")))))</f>
        <v>L1</v>
      </c>
      <c r="FV340" t="str">
        <f t="shared" si="761"/>
        <v>L1</v>
      </c>
      <c r="FW340" t="str">
        <f t="shared" si="762"/>
        <v>L1</v>
      </c>
      <c r="FX340" cm="1">
        <f t="array" ref="FX340">IFERROR(IF(CD340=2,_xlfn.IFS(BX340=3,VLOOKUP(BS340,Справочная_двигатели,3,FALSE),BX340=1,VLOOKUP(BS340,Справочная_двигатели,5,TRUE)),0),0)</f>
        <v>0</v>
      </c>
      <c r="FY340">
        <f>IFERROR(IF(CD340=3,VLOOKUP(BS340,Справочная_ЛЭД,2,TRUE),0),0)</f>
        <v>0</v>
      </c>
      <c r="FZ340" s="6">
        <f t="shared" si="763"/>
        <v>0</v>
      </c>
      <c r="GA340" t="str">
        <f>IF(B340="","",IF(TRIM(AH340&amp;"")&lt;&gt;"",IF(LOWER(TRIM(AH340&amp;""))="да","да","нет"),IF(IFERROR(_xlfn.XLOOKUP(BC340,Коды_код,Коды_пожарная),"")="да","да","нет")))</f>
        <v>да</v>
      </c>
      <c r="GB340" t="str">
        <f t="shared" si="764"/>
        <v/>
      </c>
      <c r="GC340" t="str">
        <f t="shared" si="765"/>
        <v>основная</v>
      </c>
      <c r="GD340">
        <f>IF(AND(BP340=1,TRIM(AE340&amp;"")=""),IF(COUNTIFS(Линии[Щит],A340,Линии[Секция (1/2/3)],"&gt;=2")&gt;0,MIN(3,MAX(1,IFERROR(--BD340,1))),1),IFERROR(MIN(3,MAX(1,INT(--AE340))),1))</f>
        <v>1</v>
      </c>
      <c r="GE340" t="str" cm="1">
        <f t="array" ref="GE340">IF(B340="","",_xlfn.LET(_xlpm.t,IFERROR(_xlfn.XLOOKUP(1,(Шины[Шина]=GC340)*(((Шины[Щит]=A340)+(Шины[Щит]=""))&gt;0),Шины[Тип]),"")&amp;"",IF(_xlpm.t&lt;&gt;"",_xlpm.t,IF(ISNUMBER(SEARCH("ИБП",GC340)),"ИБП",IF(ISNUMBER(SEARCH("ДГУ",GC340)),"ДГУ","Ввод "&amp;GD340)))))</f>
        <v>Ввод 1</v>
      </c>
      <c r="GF340" t="str">
        <f t="shared" si="766"/>
        <v>Ввод 1</v>
      </c>
      <c r="GG340" t="str">
        <f>IF(BP340=0,"",IF(TRIM(AG340&amp;"")&lt;&gt;"",TRIM(AG340&amp;""),IF(OR(GE340="ИБП",GE340="ДГУ"),"I особая",_xlfn.XLOOKUP(A340,Щиты[Щит],Щиты[Категория шины «Ввод»],"III"))))</f>
        <v/>
      </c>
      <c r="GH340" t="str">
        <f>IF(A340="","",_xlfn.XLOOKUP(A340,Щиты[Щит],Щиты[Путь],""))</f>
        <v>|ГРЩ-ЖД|ЩСПЗ-ЖД|</v>
      </c>
      <c r="GI340" t="str">
        <f>IF(B340="","",IF(AI340&lt;&gt;"",AI340,IF(IFERROR(_xlfn.XLOOKUP(BC340,Коды_код,Коды_вид)&amp;"","")="","Прочее",_xlfn.XLOOKUP(BC340,Коды_код,Коды_вид)&amp;"")))</f>
        <v>Системы противопожарной защиты</v>
      </c>
      <c r="GJ340">
        <f>IF(BM340="","",INT((BM340-1)/Столбцов_на_лист)+1)</f>
        <v>1</v>
      </c>
      <c r="GK340" t="str">
        <f t="shared" si="767"/>
        <v>ВВГнг(А)-FRLS (3х2,5) L=80-1,09%</v>
      </c>
      <c r="GL340">
        <f t="shared" si="768"/>
        <v>0.4</v>
      </c>
      <c r="GM340">
        <f t="shared" si="769"/>
        <v>1.83</v>
      </c>
      <c r="GN340">
        <f t="shared" si="770"/>
        <v>1</v>
      </c>
      <c r="GO340">
        <f t="shared" si="771"/>
        <v>0</v>
      </c>
      <c r="GP340">
        <f t="shared" si="772"/>
        <v>1</v>
      </c>
      <c r="GQ340">
        <f>IF(BM340="","",IF(AND(CG340=1,GP340=1),COUNTIFS(A$3:A340,A340,CG$3:CG340,1,GP$3:GP340,1),IF(OR(OR(BA340=1,A340&lt;&gt;A339),AJ340="вручную",GP340=0),"",IF(BA340=1,"",GR339))))</f>
        <v>4</v>
      </c>
      <c r="GR340">
        <f t="shared" si="773"/>
        <v>4</v>
      </c>
      <c r="GS340">
        <f>IF(B340="","",IFERROR(LOOKUP(INDEX(CHOOSE(EB340,Iдоп_1ж,Iдоп_2ж,Iдоп_3ж),MATCH(EN340,Iдоп_S,0))*DZ340*EA340,{6,10,16,20,25,32,40,50,63,80,100,125,160,200,250,315,400,500,630}),""))</f>
        <v>25</v>
      </c>
      <c r="GT340" t="str">
        <f t="shared" si="774"/>
        <v>QF4</v>
      </c>
      <c r="GU340" t="str">
        <f t="shared" si="775"/>
        <v>QF4</v>
      </c>
      <c r="GV340" t="str">
        <f t="shared" si="776"/>
        <v/>
      </c>
      <c r="GW340">
        <f t="shared" si="777"/>
        <v>0</v>
      </c>
      <c r="GX340" t="str">
        <f>IF(OR(B340="",DJ340=""),"",IFERROR(_xlfn.XLOOKUP(DJ340,Модули_умолч[Управление],Модули_умолч[Модель])&amp;"",""))</f>
        <v/>
      </c>
      <c r="GY340">
        <f>IF(DJ340="",1,IFERROR(MAX(0,N(_xlfn.XLOOKUP(DJ340,Модули_умолч[Управление],Модули_умолч[Каналов на линию]))),1))</f>
        <v>1</v>
      </c>
      <c r="GZ340" t="str">
        <f t="shared" si="778"/>
        <v/>
      </c>
      <c r="HA340" t="str">
        <f t="shared" si="779"/>
        <v/>
      </c>
      <c r="HB340" t="str">
        <f t="shared" si="780"/>
        <v/>
      </c>
      <c r="HC340">
        <f>IF(HB340="",0,IFERROR(N(VLOOKUP(HB340,Модули_спр,3,FALSE)),0))</f>
        <v>0</v>
      </c>
      <c r="HD340" t="str">
        <f t="shared" si="781"/>
        <v/>
      </c>
      <c r="HE340" t="str">
        <f t="shared" si="782"/>
        <v/>
      </c>
      <c r="HF340" t="str">
        <f>IF(OR(HE340="",HE340="-"),"",IFERROR(VLOOKUP(HE340,Модули_спр,2,FALSE),"R"))</f>
        <v/>
      </c>
      <c r="HG340" t="str">
        <f>IF(HF340="","",HF340&amp;"."&amp;COUNTIFS(A$3:A340,A340,HF$3:HF340,HF340))</f>
        <v/>
      </c>
      <c r="HH340" t="str">
        <f t="shared" si="783"/>
        <v/>
      </c>
      <c r="HI340" t="str">
        <f t="shared" si="784"/>
        <v/>
      </c>
      <c r="HJ340" t="str">
        <f t="shared" si="785"/>
        <v/>
      </c>
      <c r="HK340" t="str">
        <f t="shared" si="786"/>
        <v/>
      </c>
      <c r="HL340">
        <f t="shared" si="787"/>
        <v>1</v>
      </c>
      <c r="HM340" t="str">
        <f>IF(HL340=1,"XT"&amp;COUNTIFS(A$3:A340,A340,HL$3:HL340,1),"")</f>
        <v>XT4</v>
      </c>
      <c r="HN340" t="str">
        <f t="shared" si="788"/>
        <v>XT4</v>
      </c>
      <c r="HO340" t="str">
        <f t="shared" si="789"/>
        <v>QF4</v>
      </c>
      <c r="HP340" t="str">
        <f t="shared" si="790"/>
        <v/>
      </c>
      <c r="HQ340" t="str">
        <f t="shared" si="791"/>
        <v>ok</v>
      </c>
      <c r="HR340" t="str">
        <f>IF(OR(HJ340="",HH340=""),"",IF(HJ340+MAX(0,GY340-1)&gt;IFERROR(VLOOKUP(HI340,Модули_спр,3,FALSE),99),"ЛИШНИЙ КАНАЛ",IF(AND(AL340&lt;&gt;"=",GY340&gt;0,COUNTIFS(Линии[_модуль гр.],HH340,Линии[Канал (итог)],HJ340,Линии[Канал],"&lt;&gt;=",Линии[Щит],A340)&gt;1),"ДУБЛЬ КАНАЛА","")))</f>
        <v/>
      </c>
      <c r="HS340" s="6" t="str">
        <f t="shared" si="792"/>
        <v/>
      </c>
      <c r="HT340">
        <f t="shared" si="793"/>
        <v>10</v>
      </c>
      <c r="HU340" t="str">
        <f t="shared" si="794"/>
        <v/>
      </c>
      <c r="HV340">
        <f t="shared" si="795"/>
        <v>1.529284550555317</v>
      </c>
      <c r="HW340">
        <f t="shared" si="796"/>
        <v>0</v>
      </c>
      <c r="HX340">
        <f t="shared" si="797"/>
        <v>0</v>
      </c>
      <c r="HY340">
        <f t="shared" si="798"/>
        <v>0</v>
      </c>
      <c r="HZ340">
        <f t="shared" si="799"/>
        <v>0</v>
      </c>
      <c r="IA340">
        <f t="shared" si="800"/>
        <v>0</v>
      </c>
      <c r="IB340">
        <f t="shared" si="801"/>
        <v>0</v>
      </c>
      <c r="IC340" t="str">
        <f t="shared" si="802"/>
        <v/>
      </c>
      <c r="ID340" t="str" cm="1">
        <f t="array" ref="ID340">IF(IC340="","",_xlfn.LET(_xlpm.tk,_xlfn.TEXTSPLIT(SUBSTITUTE(SUBSTITUTE(IC340,";"," "),"→"," ")," ",,TRUE),_xlpm.w_,_xlfn._xlws.FILTER(_xlpm.tk,ISNUMBER(--LEFT(_xlpm.tk,1))*((ISNUMBER(SEARCH("W",_xlpm.tk))+ISNUMBER(SEARCH("Вт",_xlpm.tk)))&gt;0),""),IFERROR(--SUBSTITUTE(SUBSTITUTE(UPPER(INDEX(_xlpm.w_,1)),"W",""),"ВТ",""),"")))</f>
        <v/>
      </c>
      <c r="IE340" t="str" cm="1">
        <f t="array" ref="IE340">IF(IC340="","",_xlfn.LET(_xlpm.tk,_xlfn.TEXTSPLIT(SUBSTITUTE(SUBSTITUTE(IC340,";"," "),"→"," ")," ",,TRUE),_xlpm.v_,_xlfn._xlws.FILTER(_xlpm.tk,ISNUMBER(--LEFT(_xlpm.tk,1))*((ISNUMBER(SEARCH("V",_xlpm.tk))+(RIGHT(UPPER(_xlpm.tk))="В"))&gt;0),""),IFERROR(--SUBSTITUTE(SUBSTITUTE(UPPER(INDEX(_xlpm.v_,1)),"V",""),"В",""),"")))</f>
        <v/>
      </c>
      <c r="IF340" s="6" t="str">
        <f>IF(OR(BV340=0,HI340="",HJ340=""),"",IFERROR(N(_xlfn.XLOOKUP(HI340,Каталог!$C$4:$C$500,Каталог!$Q$4:$Q$500)),""))</f>
        <v/>
      </c>
      <c r="IG340" s="6" t="str">
        <f>IF(N(IF340)=0,"",SUMIFS(Линии[Iр, А],Линии[Щит],A340,Линии[_модуль гр.],HH340,Линии[Канал (итог)],HJ340))</f>
        <v/>
      </c>
      <c r="IH340" t="str">
        <f>IF(AND(B340="",HO340=""),"",_xlfn.TEXTJOIN("; ",TRUE,IF(AND(B340&lt;&gt;"",FV340=""),"нет фазы",""),IF(AND(B340&lt;&gt;"",N(GL340)=0,FG340&lt;&gt;"Нет"),"нет мощности",""),IF(AND(HN340&lt;&gt;"",COUNTIFS(Линии[Щит],A340,Линии[Клемма (итог)],HN340)&gt;1),"дубль клеммы "&amp;HN340,""),IF(AND(HQ340&lt;&gt;"",HQ340&lt;&gt;"ok"),HQ340,""),IF(HR340&lt;&gt;"",HR340,""),IF(AND(N(CB340)&gt;=4,N(BX340)=1),CB340&amp;" жил на 1 фазе",""),IF(AND(BC340="R",CG340=1,IF(CS340&lt;&gt;"",N(CV340)&gt;30,OR(N(DA340)=0,N(DA340)&gt;30))),"розетка без дифзащиты до 30 мА",""),IF(AND(CG340=1,N(DA340)&gt;0,ISNUMBER(T340)),IF(T340&gt;N(DA340)/3,"ток утечки "&amp;FIXED(T340,1)&amp;" мА &gt; 1/3 уставки ("&amp;DA340&amp;" мА)",""),""),IF(AND(CH340=1,CS340=""),"«узо»: нет строки с УЗО выше (УЗО 2P 40А 30мА в «Аппаратах»)",""),IF(AND(CS340&lt;&gt;"",CS340=BA340),IF(CT340="","впишите номинал УЗО (УЗО 2P 40А 30мА)",IF(N(CT340)&lt;N(DT340),"УЗО "&amp;CT340&amp;" А &lt; автомата "&amp;DT340&amp;" А перед ним",IF(N(CT340)&lt;N(CX340),"УЗО "&amp;CT340&amp;" А &lt; тока блока "&amp;FIXED(CX340,1)&amp;" А",""))),""),IF(AND(CS340&lt;&gt;"",CS340=BA340,ISNUMBER(CY340)),IF(CY340&gt;N(CV340)/3,"ток утечки блока УЗО "&amp;FIXED(CY340,1)&amp;" мА &gt; 1/3 уставки ("&amp;CV340&amp;" мА)",""),""),IF(AND(CG340=1,N(BV340)+N(IB340)&gt;0,IC340=""),"линии до 50 В без БП: впишите в «Аппараты» (БП 24V 480W)",""),IF(AND(CG340=1,ISNUMBER(ID340),ISNUMBER(U340)),IF(U340&gt;ID340,"БП "&amp;ID340&amp;" Вт &lt; нужно "&amp;U340&amp;" Вт (×"&amp;Запас_БП&amp;")",""),""),IF(AND(CG340=1,ISNUMBER(IE340),N(BV340)=1),IF(IE340&lt;&gt;N(BU340),"БП на "&amp;IE340&amp;" В, линия "&amp;BU340&amp;" В",""),""),IF(AND(N(IF340)&gt;0,N(IG340)&gt;N(IF340)),HH340&amp;" канал "&amp;HJ340&amp;": "&amp;FIXED(IG340,1)&amp;" А &gt; "&amp;IF340&amp;" А",""),IFERROR(IF(AND(ISNUMBER(Q340),Q340&gt;EL340),"потери "&amp;FIXED(Q340,1)&amp;" % &gt; "&amp;EL340&amp;" %",""),""),IFERROR(IF(LEFT(HU340,4)="мало","Iкз мало — отключение &gt; 0,4 с",""),""),IF(AND(B340&lt;&gt;"",BM340=""),"не на схеме",""),IF(AND(CG340=0,B340&lt;&gt;"",FV340&lt;&gt;"",IF(BA340=1,"",FW339)&lt;&gt;"",FV340&lt;&gt;IF(BA340=1,"",FW339)),"фаза не как у автомата группы ("&amp;IF(BA340=1,"",FW339)&amp;")","")))</f>
        <v/>
      </c>
      <c r="II340" s="6">
        <f>IF(OR(CG340=0,DQ340=""),"",_xlfn.LET(_xlpm.t,IFERROR(_xlfn.XLOOKUP(DQ340,Каталог!$U$4:$U$500,Каталог!$G$4:$G$500),""),_xlpm.k,SEARCH("кА",_xlpm.t),IFERROR(--TRIM(RIGHT(SUBSTITUTE(MID(_xlpm.t,MAX(1,_xlpm.k-4),_xlpm.k-MAX(1,_xlpm.k-4))," ",REPT(" ",9)),5)),"")))</f>
        <v>6</v>
      </c>
      <c r="IJ340" t="str">
        <f>IF(OR(II340="",CG340=0),"",IF(_xlfn.XLOOKUP(A340,Щиты[Щит],Щиты[Iкз max на шинах, кА],"")="","",IF(II340&lt;_xlfn.XLOOKUP(A340,Щиты[Щит],Щиты[Iкз max на шинах, кА]),"Icu "&amp;II340&amp;" кА &lt; Iкз max","ok")))</f>
        <v/>
      </c>
      <c r="IK340" t="str">
        <f t="shared" si="803"/>
        <v/>
      </c>
      <c r="IL340" t="str">
        <f t="shared" si="804"/>
        <v>QF4|XT4</v>
      </c>
      <c r="IM340" t="str">
        <f t="shared" si="805"/>
        <v>QF4|XT4|кабель ВВГнг(А)-FRLS (3х2,5) → шкаф пожарной сигнализации Тех. этаж Пом. №004Т</v>
      </c>
      <c r="IN340" t="str" cm="1">
        <f t="array" ref="IN340">IF(IM340="","",_xlfn.LET(_xlpm.nd,_xlfn.TEXTSPLIT(IM340,"|"),IF(COLUMNS(_xlpm.nd)&gt;1,A340&amp;"¦"&amp;INDEX(_xlpm.nd,1)&amp;"¦"&amp;INDEX(_xlpm.nd,2),"")))</f>
        <v>ЩСПЗ-ЖД¦QF4¦XT4</v>
      </c>
      <c r="IO340" t="str">
        <f t="shared" si="806"/>
        <v>FCP13¦шкаф пожарной сигнализации Тех. этаж Пом. №004Т</v>
      </c>
      <c r="IP340" t="str" cm="1">
        <f t="array" ref="IP340">IF(IM340="","",_xlfn.LET(_xlpm.nd,_xlfn.TEXTSPLIT(IM340,"|"),IF(COLUMNS(_xlpm.nd)&gt;2,A340&amp;"¦"&amp;INDEX(_xlpm.nd,2)&amp;"¦"&amp;INDEX(_xlpm.nd,3),"")))</f>
        <v>ЩСПЗ-ЖД¦XT4¦кабель ВВГнг(А)-FRLS (3х2,5) → шкаф пожарной сигнализации Тех. этаж Пом. №004Т</v>
      </c>
      <c r="IQ340" t="str">
        <f t="shared" si="807"/>
        <v>FCP13¦шкаф пожарной сигнализации Тех. этаж Пом. №004Т</v>
      </c>
      <c r="IR340" t="str" cm="1">
        <f t="array" ref="IR340">IF(IM340="","",_xlfn.LET(_xlpm.nd,_xlfn.TEXTSPLIT(IM340,"|"),IF(COLUMNS(_xlpm.nd)&gt;3,A340&amp;"¦"&amp;INDEX(_xlpm.nd,3)&amp;"¦"&amp;INDEX(_xlpm.nd,4),"")))</f>
        <v/>
      </c>
      <c r="IS340" t="str">
        <f t="shared" si="808"/>
        <v/>
      </c>
      <c r="IT340" t="str" cm="1">
        <f t="array" ref="IT340">IF(IM340="","",_xlfn.LET(_xlpm.nd,_xlfn.TEXTSPLIT(IM340,"|"),IF(COLUMNS(_xlpm.nd)&gt;4,A340&amp;"¦"&amp;INDEX(_xlpm.nd,4)&amp;"¦"&amp;INDEX(_xlpm.nd,5),"")))</f>
        <v/>
      </c>
      <c r="IU340" t="str">
        <f t="shared" si="809"/>
        <v/>
      </c>
      <c r="IV340" t="str" cm="1">
        <f t="array" ref="IV340">IF(IM340="","",_xlfn.LET(_xlpm.nd,_xlfn.TEXTSPLIT(IM340,"|"),IF(COLUMNS(_xlpm.nd)&gt;5,A340&amp;"¦"&amp;INDEX(_xlpm.nd,5)&amp;"¦"&amp;INDEX(_xlpm.nd,6),"")))</f>
        <v/>
      </c>
      <c r="IW340" t="str">
        <f t="shared" si="810"/>
        <v/>
      </c>
      <c r="IX340" t="str" cm="1">
        <f t="array" ref="IX340">IF(IM340="","",_xlfn.LET(_xlpm.nd,_xlfn.TEXTSPLIT(IM340,"|"),IF(COLUMNS(_xlpm.nd)&gt;6,A340&amp;"¦"&amp;INDEX(_xlpm.nd,6)&amp;"¦"&amp;INDEX(_xlpm.nd,7),"")))</f>
        <v/>
      </c>
      <c r="IY340" t="str">
        <f t="shared" si="811"/>
        <v/>
      </c>
      <c r="IZ340" t="str">
        <f t="shared" si="812"/>
        <v/>
      </c>
      <c r="JA340" t="str">
        <f t="shared" si="813"/>
        <v>QF4 → XT4</v>
      </c>
      <c r="JB340">
        <f t="shared" si="814"/>
        <v>0</v>
      </c>
      <c r="JC340">
        <f t="shared" si="815"/>
        <v>0</v>
      </c>
      <c r="JD340" t="str">
        <f t="shared" si="816"/>
        <v/>
      </c>
      <c r="JE340" t="str">
        <f t="shared" si="817"/>
        <v/>
      </c>
      <c r="JF340" t="str">
        <f t="shared" si="818"/>
        <v/>
      </c>
      <c r="JG340" t="str">
        <f t="shared" si="819"/>
        <v/>
      </c>
      <c r="JH340" t="str">
        <f>IF(B340="","",IFERROR(_xlfn.XLOOKUP(B340,Коды_код,Коды_уго),IFERROR(_xlfn.XLOOKUP(BC340,Коды_код,Коды_уго),IFERROR(_xlfn.XLOOKUP(LEFT(BC340,2),Коды_код,Коды_уго),""))))</f>
        <v/>
      </c>
      <c r="JI340" t="str">
        <f>IF(B340="","",IF(OR(JH340="",JH340=0),"BOX",IFERROR(IF(VLOOKUP(JH340,УГО_блоки,3,FALSE)&amp;""&lt;&gt;"",VLOOKUP(JH340,УГО_блоки,3,FALSE),VLOOKUP(JH340,УГО_блоки,2,FALSE)),JH340)))</f>
        <v>BOX</v>
      </c>
      <c r="JJ340">
        <f t="shared" si="820"/>
        <v>1</v>
      </c>
      <c r="JK340" t="str">
        <f>IF(DQ340="","",IF(COUNTIF(DQ$3:DQ340,DQ340)=1,MAX(JK$2:JK339)+1,""))</f>
        <v/>
      </c>
      <c r="JL340" t="str">
        <f>IF(DE340="","",IF(COUNTIF(DE$3:DE340,DE340)+COUNTIF(DF$2:DF339,DE340)+COUNTIF(DG$2:DG339,DE340)=1,MAX(JL$2:JN339)+1,""))</f>
        <v/>
      </c>
      <c r="JM340" t="str">
        <f>IF(DF340="","",IF(COUNTIF(DE$3:DE340,DF340)+COUNTIF(DF$3:DF340,DF340)+COUNTIF(DG$2:DG339,DF340)=1,MAX(JL$2:JN339,JL340)+1,""))</f>
        <v/>
      </c>
      <c r="JN340" t="str">
        <f>IF(DG340="","",IF(COUNTIF(DE$3:DE340,DG340)+COUNTIF(DF$3:DF340,DG340)+COUNTIF(DG$3:DG340,DG340)=1,MAX(JL$2:JN339,JL340,JM340)+1,""))</f>
        <v/>
      </c>
      <c r="JO340" t="str">
        <f t="shared" si="821"/>
        <v>3х2,5</v>
      </c>
      <c r="JP340" t="str">
        <f>IF(JO340="","",IF(COUNTIF(JO$3:JO340,JO340)=1,MAX(JP$2:JP339)+1,""))</f>
        <v/>
      </c>
      <c r="JQ340" t="str">
        <f>IF(HG340="","",COUNTIF(HG$3:HG340,"?*"))</f>
        <v/>
      </c>
      <c r="JR340" t="str">
        <f>IF(OR(HG340="",HI340=""),"",IF(COUNTIFS(HG$3:HG340,"?*",HI$3:HI340,HI340)=1,MAX(JR$2:JR339)+1,""))</f>
        <v/>
      </c>
      <c r="JS340">
        <f t="shared" si="822"/>
        <v>0</v>
      </c>
      <c r="JT340">
        <f>IF(B340="","",COUNTIF(B$3:B340,"?*"))</f>
        <v>338</v>
      </c>
      <c r="JU340">
        <f>IF(HL340&lt;&gt;1,0,_xlfn.LET(_xlpm.k,MAX(IFERROR(--_xlfn.XLOOKUP(B340,Коды_код,Коды_3L),0),IFERROR(--_xlfn.XLOOKUP(BC340,Коды_код,Коды_3L),0),IFERROR(--_xlfn.XLOOKUP(LEFT(BC340,2),Коды_код,Коды_3L),0)),IF(_xlpm.k&gt;0,_xlpm.k,IF(IFERROR(--LEFT(SUBSTITUTE(JO340,"x","х"),FIND("х",SUBSTITUTE(JO340,"x","х"))-1),3)&gt;3,Каталог!$S$9,1))))</f>
        <v>1</v>
      </c>
      <c r="JV340">
        <f t="shared" si="823"/>
        <v>0</v>
      </c>
      <c r="JW340" t="str">
        <f t="shared" si="824"/>
        <v>авто</v>
      </c>
      <c r="JX340" t="str">
        <f t="shared" si="825"/>
        <v/>
      </c>
      <c r="JY340">
        <f t="shared" si="826"/>
        <v>0</v>
      </c>
      <c r="JZ340">
        <f t="shared" si="827"/>
        <v>1</v>
      </c>
    </row>
    <row r="341" spans="1:286" x14ac:dyDescent="0.3">
      <c r="A341" t="s">
        <v>769</v>
      </c>
      <c r="B341" t="s">
        <v>741</v>
      </c>
      <c r="C341" t="str">
        <f>Линии[[#This Row],[_авто наименование]]</f>
        <v>Вводной кабель шлейф 1</v>
      </c>
      <c r="D341">
        <v>1</v>
      </c>
      <c r="E341">
        <f>Линии[[#This Row],[_авто Р]]</f>
        <v>16.439999999999998</v>
      </c>
      <c r="G341">
        <v>32</v>
      </c>
      <c r="H341" t="str">
        <f>Линии[[#This Row],[_авто управление]]</f>
        <v/>
      </c>
      <c r="I341" t="str">
        <f>Линии[[#This Row],[_авто аппараты]]</f>
        <v/>
      </c>
      <c r="J341">
        <v>6</v>
      </c>
      <c r="K341">
        <v>50</v>
      </c>
      <c r="L341" t="str">
        <f>Линии[[#This Row],[_авто фаза]]</f>
        <v>L1,L2,L3</v>
      </c>
      <c r="M341" t="str">
        <f>Линии[[#This Row],[_авто клемма]]</f>
        <v/>
      </c>
      <c r="N341" t="str">
        <f t="shared" si="690"/>
        <v>потери 4,9 % &gt; 4 %</v>
      </c>
      <c r="O341" s="6" cm="1">
        <f t="array" ref="O341">IF(B341="","",IF(BH341&lt;&gt;"",IFERROR(_xlfn.XLOOKUP(BH341,Щиты[Щит],Щиты[Iр, А]),""),IF(BP341=1,IF(OR(N(_xlfn.XLOOKUP(A341,Щиты[Щит],Щиты[Вводов],1))&lt;=1,LOWER(TRIM(_xlfn.XLOOKUP(A341,Щиты[Щит],Щиты[АВР],"")&amp;""))="да"),IFERROR(_xlfn.XLOOKUP(A341,Щиты[Щит],Щиты[Iр, А]),""),IFERROR(N(BS341)*_xlfn.XLOOKUP(A341,Щиты[Щит],Щиты[Кс итог])/(SQRT(3)*Uн_лин*_xlfn.XLOOKUP(A341,Щиты[Щит],Щиты[cos φ])),"")),IF(BV341=1,IFERROR(BS341*1000/BU341,""),IFERROR(_xlfn.IFS(BX341=1,BS341/((Uн_лин/SQRT(3))*CE341),BX341=3,BS341/(SQRT(3)*Uн_лин*CE341)),"")))))</f>
        <v>30.766691976552419</v>
      </c>
      <c r="P341" s="7">
        <f>IF(B341="","",IFERROR(IF(VLOOKUP(BC341,Потребители_обозначение,4,FALSE)=1,VLOOKUP(BC341,Потребители_обозначение,3,FALSE)*(MAX(1,N(D341))*2-1)+EI341+VLOOKUP(BE341,Этаж_обозначение,3,FALSE)+VLOOKUP(BE341,Этаж_обозначение,4,FALSE),VLOOKUP(BC341,Потребители_обозначение,3,FALSE)*(MAX(1,N(D341))*2-1)+EI341),EI341))</f>
        <v>50</v>
      </c>
      <c r="Q341" s="6">
        <f t="shared" si="691"/>
        <v>4.8899999999999997</v>
      </c>
      <c r="R341" t="str">
        <f t="shared" si="692"/>
        <v>ВВГнг(А)-LS (5х6)</v>
      </c>
      <c r="S341" t="str">
        <f>IF(BM341="","",IF(BN341="вводной узел","узел ","")&amp;"л."&amp;(INT((BM341-1)/Столбцов_на_лист)+1)&amp;" / "&amp;(MOD(BM341-1,Столбцов_на_лист)+1))</f>
        <v>узел л.1 / 2</v>
      </c>
      <c r="T341" s="119" t="str">
        <f t="shared" si="693"/>
        <v/>
      </c>
      <c r="U341" s="7" t="str">
        <f>IF(OR(CG341=0,N(BV341)+N(IB341)=0),"",ROUNDUP(Запас_БП*(N(HY341)+N(HZ341)),0))</f>
        <v/>
      </c>
      <c r="V341" s="119" t="str">
        <f t="shared" si="694"/>
        <v/>
      </c>
      <c r="W341" s="7" t="str">
        <f>IFERROR(IF(OR(B341="",BP341=1,BV341=1,NOT(ISNUMBER(EN341)),N(DT341)=0),"",MAX(0,ROUNDDOWN((c_min*(Uн_лин*1000/SQRT(3))/(HT341*N(DT341))-_xlfn.XLOOKUP(A341,Щиты[Щит],Щиты[Zпетли на шинах, Ом]))*EN341/(2*ρкз_Cu),0))),"")</f>
        <v/>
      </c>
      <c r="Y341" t="str">
        <f>Линии[[#This Row],[_авто утечка]]</f>
        <v/>
      </c>
      <c r="Z341">
        <v>3</v>
      </c>
      <c r="AA341">
        <v>400</v>
      </c>
      <c r="AB341" t="s">
        <v>547</v>
      </c>
      <c r="AJ341" t="s">
        <v>1344</v>
      </c>
      <c r="AK341" t="str">
        <f>Линии[[#This Row],[_авто модуль]]</f>
        <v/>
      </c>
      <c r="AM341">
        <v>2</v>
      </c>
      <c r="AN341" t="s">
        <v>11</v>
      </c>
      <c r="AO341">
        <v>5</v>
      </c>
      <c r="AQ341">
        <v>34</v>
      </c>
      <c r="AR341">
        <v>11</v>
      </c>
      <c r="BA341" cm="1">
        <f t="array" ref="BA341">ROW()-ROW(Линии[#Headers])</f>
        <v>339</v>
      </c>
      <c r="BC341" s="6" t="str">
        <f t="shared" si="695"/>
        <v>Ввод</v>
      </c>
      <c r="BD341" t="str">
        <f t="shared" si="696"/>
        <v>1</v>
      </c>
      <c r="BE341" t="str">
        <f t="shared" si="697"/>
        <v>1</v>
      </c>
      <c r="BF341" t="str">
        <f t="shared" si="698"/>
        <v/>
      </c>
      <c r="BG341" t="str">
        <f t="shared" si="699"/>
        <v/>
      </c>
      <c r="BH341" t="str">
        <f>IF(X341&lt;&gt;"",X341,IF(AND(B341&lt;&gt;"",B341&lt;&gt;A341,ISNUMBER(_xlfn.XMATCH(B341,Щиты[Щит]))),B341,""))</f>
        <v/>
      </c>
      <c r="BI341" t="str" cm="1">
        <f t="array" ref="BI341">IF(B341="","",IF(BH341&lt;&gt;"","Щит "&amp;BH341,_xlfn.LET(_xlpm.nm,IFERROR(_xlfn.XLOOKUP(BC341,Коды_код,Коды_имя)&amp;"",""),_xlpm.md,IFERROR(N(_xlfn.XLOOKUP(BC341,Коды_код,Коды_режим)),1),_xlpm.ex,IF(Имя_режим="по экспликации",IFERROR(_xlfn.XLOOKUP(BE341&amp;"|"&amp;BG341,Экспликация[Этаж]&amp;"|"&amp;Экспликация[Помещение],Экспликация[Название])&amp;"",""),""),_xlpm.rm,IF(BG341="","",IF(_xlpm.ex&lt;&gt;"",". "&amp;_xlpm.ex&amp;IF(Имя_пом="нет"," ("&amp;BG341&amp;")"," (пом. "&amp;BG341&amp;")"),IF(Имя_пом="нет"," ",", пом. ")&amp;BG341)),IF(_xlpm.nm="","",IF(_xlpm.md=2,_xlpm.nm&amp;" шлейф "&amp;BE341,_xlpm.nm&amp;_xlpm.rm)))))</f>
        <v>Вводной кабель шлейф 1</v>
      </c>
      <c r="BJ341" t="str">
        <f t="shared" si="700"/>
        <v>Вводной кабель шлейф 1</v>
      </c>
      <c r="BK341">
        <f>IFERROR(_xlfn.XMATCH(A341,Щиты[Щит]),0)</f>
        <v>17</v>
      </c>
      <c r="BL341">
        <f>_xlfn.LET(_xlpm.k,IFERROR(_xlfn.XLOOKUP(A341,Щиты[Щит],Щиты[Мест под вводной узел]),""),IF(_xlpm.k="",Столбцов_на_лист,N(_xlpm.k)))</f>
        <v>10</v>
      </c>
      <c r="BM341">
        <f t="shared" si="701"/>
        <v>2</v>
      </c>
      <c r="BN341" t="str">
        <f t="shared" si="702"/>
        <v>вводной узел</v>
      </c>
      <c r="BO341" s="6">
        <f>IFERROR(N(_xlfn.XLOOKUP(BC341,Коды_код,Коды_квт)),0)</f>
        <v>0</v>
      </c>
      <c r="BP341">
        <f t="shared" si="703"/>
        <v>1</v>
      </c>
      <c r="BQ341">
        <f>IF(B341="","",IF(BH341&lt;&gt;"",IFERROR(_xlfn.XLOOKUP(BH341,Щиты[Щит],Щиты[Руст, кВт]),0),IF(BP341=1,IF(OR(N(_xlfn.XLOOKUP(A341,Щиты[Щит],Щиты[Вводов],1))&lt;=1,LOWER(TRIM(_xlfn.XLOOKUP(A341,Щиты[Щит],Щиты[АВР],"")&amp;""))="да"),IFERROR(_xlfn.XLOOKUP(A341,Щиты[Щит],Щиты[Руст, кВт]),0),SUMIFS(Линии[_Р для вводов],Линии[Щит],A341,Линии[Источник для режимов],GF341)),IF(BO341&gt;0,ROUND(BO341*MAX(1,N(D341)),3),""))))</f>
        <v>16.439999999999998</v>
      </c>
      <c r="BR341">
        <f t="shared" si="704"/>
        <v>16.439999999999998</v>
      </c>
      <c r="BS341" s="6">
        <f>IF(B341="","",IF(BH341&lt;&gt;"",IFERROR(_xlfn.XLOOKUP(BH341,Щиты[Щит],Щиты[Руст, кВт]),0),N(BR341)))</f>
        <v>16.439999999999998</v>
      </c>
      <c r="BT341" t="str">
        <f>IF(B341="","",IFERROR(IF(VLOOKUP(BC341,Потребители_обозначение,8,FALSE)=0,"",VLOOKUP(BC341,Потребители_обозначение,8,FALSE)),""))</f>
        <v/>
      </c>
      <c r="BU341">
        <f t="shared" si="705"/>
        <v>400</v>
      </c>
      <c r="BV341">
        <f t="shared" si="706"/>
        <v>0</v>
      </c>
      <c r="BW341">
        <f>IF(B341="","",IF(BH341&lt;&gt;"",3,IFERROR(IF(N(VLOOKUP(BC341,Потребители_обозначение,9,FALSE))=0,1,VLOOKUP(BC341,Потребители_обозначение,9,FALSE)),1)))</f>
        <v>1</v>
      </c>
      <c r="BX341">
        <f t="shared" si="707"/>
        <v>3</v>
      </c>
      <c r="BY341" t="str">
        <f>IF(B341="","",_xlfn.LET(_xlpm.bc,IFERROR(IF(VLOOKUP(BC341,Потребители_обозначение,6,FALSE)=0,"",VLOOKUP(BC341,Потребители_обозначение,6,FALSE)&amp;""),""),IF(AND(GA341="да",OR(_xlpm.bc="",_xlpm.bc="мс")),Марка_пож,IF(AND(_xlpm.bc="",BH341&lt;&gt;""),"мс",_xlpm.bc))))</f>
        <v/>
      </c>
      <c r="BZ341" t="str">
        <f t="shared" si="708"/>
        <v>мс</v>
      </c>
      <c r="CA341">
        <f>IF(B341="","",_xlfn.LET(_xlpm.cc,IFERROR(N(VLOOKUP(BC341,Потребители_обозначение,7,FALSE)),0),IF(_xlpm.cc&gt;0,_xlpm.cc,IF(BZ341="","",IF(BV341=1,2,IF(N(BX341)=3,5,3))))))</f>
        <v>5</v>
      </c>
      <c r="CB341">
        <f t="shared" si="709"/>
        <v>5</v>
      </c>
      <c r="CC341">
        <f>IFERROR(N(VLOOKUP(BC341,Потребители_обозначение,10,FALSE)),0)</f>
        <v>0</v>
      </c>
      <c r="CD341">
        <f>IFERROR(VLOOKUP(BC341,Потребители_обозначение,5,FALSE),0)</f>
        <v>1</v>
      </c>
      <c r="CE341" s="6" cm="1">
        <f t="array" ref="CE341">IF(B341="","",IF(BH341&lt;&gt;"",IFERROR(_xlfn.XLOOKUP(BH341,Щиты[Щит],Щиты[cos φ]),0.95),IF(BP341=1,IFERROR(_xlfn.XLOOKUP(A341,Щиты[Щит],Щиты[cos φ]),0.95),IF(ISNUMBER(AD341),AD341,IFERROR(IF(CD341=2,_xlfn.IFS(BX341=3,VLOOKUP(BS341,Справочная_двигатели,8,FALSE),BX341=1,VLOOKUP(BS341,Справочная_двигатели,10,TRUE)),IF(AND(Методика="нормы 2026",FG341="Сил"),0.8,0.95)),0.95)))))</f>
        <v>0.95000000000000007</v>
      </c>
      <c r="CF341">
        <f t="shared" si="710"/>
        <v>0</v>
      </c>
      <c r="CG341">
        <f t="shared" si="711"/>
        <v>1</v>
      </c>
      <c r="CH341">
        <f t="shared" si="712"/>
        <v>0</v>
      </c>
      <c r="CI341">
        <f>IF(B341="","",IF(BV341=1,IFERROR(BS341/((Uн_лин/SQRT(3))*MAX(0.5,N(CE341))),0),N(O341)))</f>
        <v>30.766691976552419</v>
      </c>
      <c r="CJ341">
        <f t="shared" si="713"/>
        <v>0</v>
      </c>
      <c r="CK341">
        <f t="shared" si="714"/>
        <v>0</v>
      </c>
      <c r="CL341">
        <f t="shared" si="715"/>
        <v>0</v>
      </c>
      <c r="CM341">
        <f t="shared" si="716"/>
        <v>0</v>
      </c>
      <c r="CN341">
        <f t="shared" si="717"/>
        <v>0</v>
      </c>
      <c r="CO341">
        <f>IF(BC341="",0,_xlfn.LET(_xlpm.v,IFERROR(_xlfn.XLOOKUP(B341,Коды_код,Коды_мА),IFERROR(_xlfn.XLOOKUP(BC341,Коды_код,Коды_мА),IFERROR(_xlfn.XLOOKUP(LEFT(BC341,2),Коды_код,Коды_мА),""))),IF(_xlpm.v="да",30,IF(ISNUMBER(_xlpm.v),_xlpm.v,0))))</f>
        <v>0</v>
      </c>
      <c r="CP341" t="str">
        <f t="shared" si="718"/>
        <v/>
      </c>
      <c r="CQ341" t="str">
        <f>_xlfn.LET(_xlpm.k,IFERROR(_xlfn.XLOOKUP(BC341,Коды_код,Коды_утечка)&amp;"",""),IF(_xlpm.k="","дифавтомат",_xlpm.k))</f>
        <v>дифавтомат</v>
      </c>
      <c r="CR341" t="str" cm="1">
        <f t="array" ref="CR341">IF(CG341=0,"",_xlfn.LET(_xlpm.sg,TRIM(_xlfn.TEXTSPLIT(DD341&amp;"",";")),_xlpm.f_,_xlfn._xlws.FILTER(_xlpm.sg,LEFT(_xlpm.sg,3)="УЗО",""),IFERROR(INDEX(_xlpm.f_,1)&amp;"","")))</f>
        <v/>
      </c>
      <c r="CS341" t="str">
        <f t="shared" si="719"/>
        <v/>
      </c>
      <c r="CT341" s="6" t="str" cm="1">
        <f t="array" ref="CT341">IF(CR341="","",_xlfn.LET(_xlpm.tk,_xlfn.TEXTSPLIT(UPPER(CR341)," ",,TRUE),_xlpm.a_,_xlfn._xlws.FILTER(_xlpm.tk,ISNUMBER(--LEFT(_xlpm.tk,1))*((ISNUMBER(SEARCH("А",_xlpm.tk))+ISNUMBER(SEARCH("A",_xlpm.tk)))&gt;0)*NOT(ISNUMBER(SEARCH("МА",_xlpm.tk)))*NOT(ISNUMBER(SEARCH("MA",_xlpm.tk))),""),IFERROR(--SUBSTITUTE(SUBSTITUTE(INDEX(_xlpm.a_,1),"А",""),"A",""),"")))</f>
        <v/>
      </c>
      <c r="CU341" t="str" cm="1">
        <f t="array" ref="CU341">IF(CR341="","",_xlfn.LET(_xlpm.tk,_xlfn.TEXTSPLIT(UPPER(CR341)," ",,TRUE),_xlpm.a_,_xlfn._xlws.FILTER(_xlpm.tk,ISNUMBER(--LEFT(_xlpm.tk,1))*((ISNUMBER(SEARCH("МА",_xlpm.tk))+ISNUMBER(SEARCH("MA",_xlpm.tk)))&gt;0),""),IFERROR(--SUBSTITUTE(SUBSTITUTE(INDEX(_xlpm.a_,1),"МА",""),"MA",""),30)))</f>
        <v/>
      </c>
      <c r="CV341" t="str">
        <f>IF(CS341="","",IFERROR(_xlfn.XLOOKUP(CS341,Линии[_n],Линии[_УЗО, мА]),30))</f>
        <v/>
      </c>
      <c r="CW341">
        <f>IF(CS341="",0,IF(ISNUMBER(SEARCH("4P",IFERROR(_xlfn.XLOOKUP(CS341,Линии[_n],Линии[_УЗО строки])&amp;"",""))),0,1))</f>
        <v>0</v>
      </c>
      <c r="CX341" t="str">
        <f>IF(AND(CS341&lt;&gt;"",CS341=BA341),SUMIFS(Линии[_ток на 230 В],Линии[_блок УЗО],BA341,Линии[Щит],A341),"")</f>
        <v/>
      </c>
      <c r="CY341" t="str">
        <f>IF(AND(CS341&lt;&gt;"",CS341=BA341),SUMIFS(Линии[_ток утечки линии, мА],Линии[_блок УЗО],BA341,Линии[Щит],A341),"")</f>
        <v/>
      </c>
      <c r="CZ341">
        <f t="shared" si="720"/>
        <v>0</v>
      </c>
      <c r="DA341">
        <f t="shared" si="721"/>
        <v>0</v>
      </c>
      <c r="DB341">
        <f>IF(B341="",0,IFERROR(--_xlfn.XLOOKUP(B341,Коды_код,Коды_минавт),IFERROR(--_xlfn.XLOOKUP(BC341,Коды_код,Коды_минавт),IFERROR(--_xlfn.XLOOKUP(LEFT(BC341,2),Коды_код,Коды_минавт),0))))</f>
        <v>0</v>
      </c>
      <c r="DC341" t="str">
        <f>IF(B341="","",IFERROR(_xlfn.XLOOKUP(BC341,Коды_код,Коды_апп)&amp;"",""))</f>
        <v/>
      </c>
      <c r="DD341" t="str">
        <f t="shared" si="722"/>
        <v/>
      </c>
      <c r="DE341" t="str" cm="1">
        <f t="array" ref="DE341">IF(TRIM(DD341&amp;"")="","",IFERROR(TRIM(INDEX(_xlfn.TEXTSPLIT(DD341&amp;";;;",";"),1)),""))</f>
        <v/>
      </c>
      <c r="DF341" t="str" cm="1">
        <f t="array" ref="DF341">IF(TRIM(DD341&amp;"")="","",IFERROR(TRIM(INDEX(_xlfn.TEXTSPLIT(DD341&amp;";;;",";"),2)),""))</f>
        <v/>
      </c>
      <c r="DG341" t="str" cm="1">
        <f t="array" ref="DG341">IF(TRIM(DD341&amp;"")="","",IFERROR(TRIM(INDEX(_xlfn.TEXTSPLIT(DD341&amp;";;;",";"),3)),""))</f>
        <v/>
      </c>
      <c r="DH341">
        <f t="shared" si="723"/>
        <v>0</v>
      </c>
      <c r="DI341" t="str">
        <f>IF(B341="","",_xlfn.LET(_xlpm.t,LOWER(AZ341&amp;""),IF(ISNUMBER(SEARCH("dim",_xlpm.t)),"DIM",IF(ISNUMBER(SEARCH("dali",_xlpm.t)),"DALI",IF(OR(ISNUMBER(SEARCH("relay",_xlpm.t)),ISNUMBER(SEARCH("реле",_xlpm.t))),"Relay",IF(ISNUMBER(SEARCH("кнопк",_xlpm.t)),"",IFERROR(_xlfn.XLOOKUP(BC341,Коды_код,Коды_упр)&amp;"","")))))))</f>
        <v/>
      </c>
      <c r="DJ341" t="str">
        <f t="shared" si="724"/>
        <v/>
      </c>
      <c r="DK341">
        <f>IF(B341="","",_xlfn.LET(_xlpm.ig,IF(N(CX341)&gt;0,N(CX341),N(CI341)+IF(AJ341="вручную",0,N(CJ341))),_xlpm.n0,IFERROR(VLOOKUP(_xlpm.ig,Автомат_номиналы,2,TRUE),0),_xlpm.mn,MAX(DB341,IF(AJ341="вручную",0,N(CM341))),MAX(_xlpm.n0,_xlpm.mn,IF(DH341=1,Мин_автомат_БП,0))))</f>
        <v>40</v>
      </c>
      <c r="DL341">
        <f t="shared" si="725"/>
        <v>3</v>
      </c>
      <c r="DM341" t="str">
        <f t="shared" si="726"/>
        <v>3P</v>
      </c>
      <c r="DN341" t="str">
        <f>_xlfn.LET(_xlpm.cc,UPPER(TRIM(IFERROR(_xlfn.XLOOKUP(BC341,Коды_код,Коды_хар)&amp;"",""))),IF(OR(_xlpm.cc="B",_xlpm.cc="В"),"B",IF(_xlpm.cc="D","D","С")))</f>
        <v>С</v>
      </c>
      <c r="DO341" t="str">
        <f t="shared" si="727"/>
        <v>3P С40А</v>
      </c>
      <c r="DP341">
        <f t="shared" si="728"/>
        <v>32</v>
      </c>
      <c r="DQ341" t="str">
        <f t="shared" si="729"/>
        <v>3P С32А</v>
      </c>
      <c r="DR341" cm="1">
        <f t="array" ref="DR341">IF(DQ341="","",_xlfn.LET(_xlpm.t,SUBSTITUTE(SUBSTITUTE(SUBSTITUTE(UPPER(DQ341),"С","C"),"А","A"),"В","B"),_xlpm.tk,_xlfn.TEXTSPLIT(_xlpm.t," "),_xlpm.f,_xlfn._xlws.FILTER(_xlpm.tk,ISNUMBER(--MID(_xlpm.tk,2,1))*ISNUMBER(SEARCH(LEFT(_xlpm.tk,1)&amp;"#","B#C#D#"))*(LEN(_xlpm.tk)&gt;1),""),_xlpm.x,INDEX(_xlpm.f,1),IFERROR(--SUBSTITUTE(MID(_xlpm.x,2,9),"A",""),IFERROR(--SUBSTITUTE(INDEX(_xlfn._xlws.FILTER(_xlpm.tk,ISNUMBER(--SUBSTITUTE(_xlpm.tk,"A","")),""),1),"A",""),""))))</f>
        <v>32</v>
      </c>
      <c r="DS341" t="str">
        <f t="shared" si="730"/>
        <v>узел</v>
      </c>
      <c r="DT341">
        <f t="shared" si="731"/>
        <v>32</v>
      </c>
      <c r="DU341" t="str">
        <f t="shared" si="732"/>
        <v>3P С32А</v>
      </c>
      <c r="DV341">
        <f t="shared" si="733"/>
        <v>0</v>
      </c>
      <c r="DW341">
        <f t="shared" si="734"/>
        <v>0</v>
      </c>
      <c r="DX341">
        <f t="shared" si="735"/>
        <v>0</v>
      </c>
      <c r="DY341">
        <f t="shared" si="736"/>
        <v>30.766691976552419</v>
      </c>
      <c r="DZ341">
        <f t="shared" si="737"/>
        <v>0.92</v>
      </c>
      <c r="EA341">
        <f>IF(ISNUMBER(AP341),AP341,К_прокл)</f>
        <v>1</v>
      </c>
      <c r="EB341">
        <f t="shared" si="738"/>
        <v>3</v>
      </c>
      <c r="EC341">
        <f>IFERROR(N(VLOOKUP(BZ341,Кабель_обозначение,3,FALSE)),1)</f>
        <v>1</v>
      </c>
      <c r="ED341">
        <f>IFERROR(N(_xlfn.XLOOKUP(A341,Щиты[Щит],Щиты[ΔU до шин, %])),0)</f>
        <v>2.4899999999999998</v>
      </c>
      <c r="EE341" t="str">
        <f>IFERROR(_xlfn.XLOOKUP(A341,Щиты[Щит],Щиты[Zпетли на шинах, Ом]),"")</f>
        <v/>
      </c>
      <c r="EF341">
        <f>IFERROR(N(_xlfn.XLOOKUP(A341,Щиты[Щит],Щиты[ΔU до шин (подбор), %])),0)</f>
        <v>3.73</v>
      </c>
      <c r="EG341" t="str">
        <f>IFERROR(_xlfn.XLOOKUP(A341,Щиты[Щит],Щиты[Zпетли на шинах (подбор), Ом]),"")</f>
        <v/>
      </c>
      <c r="EH341" t="str">
        <f t="shared" si="739"/>
        <v/>
      </c>
      <c r="EI341">
        <f t="shared" si="740"/>
        <v>50</v>
      </c>
      <c r="EJ341">
        <f t="shared" si="741"/>
        <v>1</v>
      </c>
      <c r="EK341">
        <f t="shared" si="742"/>
        <v>0.31</v>
      </c>
      <c r="EL341" s="6">
        <f>IF(B341="","",IF(BV341=1,dU_LED,IF(IFERROR(_xlfn.XLOOKUP(BC341,Коды_код,Коды_уго),"")="Светильник",3,4)+IF(Методика="нормы 2026",MIN(0.5,MAX(0,N(P341)-100)*0.005),0)))</f>
        <v>4</v>
      </c>
      <c r="EM341" cm="1">
        <f t="array" ref="EM341">IF(OR(B341="",BZ341="",EC341&lt;&gt;1),"",_xlfn.LET(_xlpm.sz,Iдоп_S,_xlpm.t_,CHOOSE(EB341,Iдоп_1ж,Iдоп_2ж,Iдоп_3ж)*DZ341*EA341,_xlpm.dcx,BV341=1,_xlpm.inn,IF(_xlpm.dcx,N(O341),N(DT341)),_xlpm.smin,MAX(1.5,CC341),_xlpm.L_,N(P341)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341)/N(BU341)*100,999),IFERROR(N(EJ341)*(_xlpm.rho*_xlpm.L_/_xlpm.sz*N(CE341)+_xlpm.xx*_xlpm.L_*N(EK341)/1000)*N(O341)/((Uн_лин/SQRT(3))*1000)*100,999)),_xlpm.kz,IF(OR(_xlpm.dcx,DW341=1,NOT(ISNUMBER(EG341)),_xlpm.L_=0,_xlpm.inn=0),1,IFERROR(--(c_min*(Uн_лин*1000/SQRT(3))/(EG341+2*ρкз_Cu*_xlpm.L_/_xlpm.sz)&gt;=HT341*_xlpm.inn),0)),_xlpm.ok,IFERROR((_xlpm.sz&gt;=_xlpm.smin)*(_xlpm.t_&gt;=_xlpm.inn)*IF(_xlpm.L_&gt;0,(_xlpm.du_+IF(_xlpm.dcx,0,EF341)&lt;=EL341+0.00001),1)*_xlpm.kz,0),_xlpm.r_,_xlfn._xlws.FILTER(_xlpm.sz,_xlpm.ok,"не подобрано"),INDEX(_xlpm.r_,1)))</f>
        <v>70</v>
      </c>
      <c r="EN341">
        <f t="shared" si="743"/>
        <v>6</v>
      </c>
      <c r="EO341" cm="1">
        <f t="array" ref="EO341">IF(OR(B341="",BZ341="",EC341&lt;&gt;1),"",_xlfn.LET(_xlpm.sz,Iдоп_S,_xlpm.t_,CHOOSE(EB341,Iдоп_1ж,Iдоп_2ж,Iдоп_3ж)*DZ341*EA341,_xlpm.ok,IFERROR((_xlpm.sz&gt;=MAX(1.5,CC341))*(_xlpm.t_&gt;=N(DT341)),0),_xlpm.r_,_xlfn._xlws.FILTER(_xlpm.sz,_xlpm.ok,""),INDEX(_xlpm.r_,1)))</f>
        <v>4</v>
      </c>
      <c r="EP341" s="6" cm="1">
        <f t="array" ref="EP341">IFERROR(ROUNDUP(N(EJ341)*(_xlfn.XLOOKUP(EO341,INDEX(Кабель_сопротивление,0,1),INDEX(Кабель_сопротивление,0,3))*N(P341)/EO341*N(CE341)+_xlfn.XLOOKUP(EO341,INDEX(Кабель_сопротивление,0,1),INDEX(Кабель_сопротивление,0,2))*N(P341)*N(EK341)/1000)*N(O341)/((Uн_лин/SQRT(3))*1000)*100,2),"")</f>
        <v>3.5799999999999996</v>
      </c>
      <c r="EQ341">
        <f>IFERROR(2*ρкз_Cu*N(P341)/EO341,"")</f>
        <v>0.65749999999999997</v>
      </c>
      <c r="ER341">
        <f>IFERROR(VLOOKUP(EN341,Кабель_сопротивление,3,FALSE),"")</f>
        <v>2.2499999999999999E-2</v>
      </c>
      <c r="ES341">
        <f>IFERROR(VLOOKUP(EN341,Кабель_сопротивление,2,FALSE),"")</f>
        <v>0.09</v>
      </c>
      <c r="ET341">
        <f t="shared" si="744"/>
        <v>11</v>
      </c>
      <c r="EU341" t="str">
        <f t="shared" si="745"/>
        <v/>
      </c>
      <c r="EV341">
        <f t="shared" si="746"/>
        <v>5.5232365436306905</v>
      </c>
      <c r="EW341" s="6">
        <f>IFERROR(ROUNDUP(EV341/IF(BV341=1,BU341,(Uн_лин/SQRT(3))*1000)*100,2),"")</f>
        <v>2.4</v>
      </c>
      <c r="EX341" t="str">
        <f>IFERROR(VLOOKUP(BZ341,Кабель_обозначение,2,FALSE),"")</f>
        <v>ВВГнг(А)-LS</v>
      </c>
      <c r="EY341" t="str">
        <f t="shared" si="747"/>
        <v>ВВГнг(А)-LS (5х6)</v>
      </c>
      <c r="EZ341" t="str">
        <f t="shared" si="748"/>
        <v>ВВГнг(А)-LS (5х6)
L=50-2,4%</v>
      </c>
      <c r="FA341">
        <f>IFERROR(2*ρкз_Cu*P341/EN341,"")</f>
        <v>0.4383333333333333</v>
      </c>
      <c r="FB341">
        <f t="shared" si="749"/>
        <v>0.14583333333333334</v>
      </c>
      <c r="FC341" s="6" t="str">
        <f>IFERROR(IF(OR(B341="",BV341=1,NOT(ISNUMBER(EN341)),N(P341)=0),"",_xlfn.XLOOKUP(A341,Щиты[Щит],Щиты[Zпетли на шинах, Ом])+FA341),"")</f>
        <v/>
      </c>
      <c r="FD341" s="6" t="str">
        <f>IF(ISNUMBER(FC341),c_min*(Uн_лин*1000/SQRT(3))/FC341,"")</f>
        <v/>
      </c>
      <c r="FE341" s="6" t="str">
        <f>IFERROR(IF(OR(B341="",NOT(ISNUMBER(EN341))),"",1.05*(Uн_лин*1000/SQRT(3))/(_xlfn.XLOOKUP(A341,Щиты[Щит],Щиты[Zmax на шинах, Ом])+FB341)/1000),"")</f>
        <v/>
      </c>
      <c r="FF341" s="6" t="str">
        <f>IF(B341="","",IF(ISNUMBER(AC341),"Сил",IF(IFERROR(_xlfn.XLOOKUP(BC341,Коды_код,Коды_группа)&amp;"","")="","Быт",_xlfn.XLOOKUP(BC341,Коды_код,Коды_группа)&amp;"")))</f>
        <v>Быт</v>
      </c>
      <c r="FG341" s="6" t="str">
        <f t="shared" si="750"/>
        <v>Нет</v>
      </c>
      <c r="FH341" s="6">
        <f>IF(FG341="Щит","щит",IF(FG341="","",IF(FG341="Быт",IFERROR(_xlfn.XLOOKUP(A341,Щиты[Щит],Щиты[Кс быт]),1),IF(FG341="Сил",IF(ISNUMBER(AC341),AC341,IF(Методика="нормы 2026",IFERROR(_xlfn.XLOOKUP(A341,Щиты[Щит],Щиты[Кс силовых (табл. 7.5)]),1),1)),IF(OR(FG341="Пост",FG341="Отоп"),1,IF(FG341="ВНГ",0.7,0))))))</f>
        <v>0</v>
      </c>
      <c r="FI341">
        <f>IF(FG341="","",IF(AND(BP341=1,TRIM(AE341&amp;"")=""),IF(COUNTIFS(Линии[Щит],A341,Линии[Секция (1/2/3)],"&gt;=2")&gt;0,MIN(3,MAX(1,IFERROR(--BD341,1))),1),IFERROR(MIN(3,MAX(1,INT(--AE341))),1)))</f>
        <v>1</v>
      </c>
      <c r="FJ341">
        <f t="shared" si="751"/>
        <v>0</v>
      </c>
      <c r="FK341">
        <f t="shared" si="752"/>
        <v>0</v>
      </c>
      <c r="FL341">
        <f t="shared" si="753"/>
        <v>0</v>
      </c>
      <c r="FM341">
        <f t="shared" si="754"/>
        <v>0</v>
      </c>
      <c r="FN341">
        <f t="shared" si="755"/>
        <v>0</v>
      </c>
      <c r="FO341">
        <f t="shared" si="756"/>
        <v>0</v>
      </c>
      <c r="FP341">
        <f t="shared" si="757"/>
        <v>0</v>
      </c>
      <c r="FQ341">
        <f t="shared" si="758"/>
        <v>0</v>
      </c>
      <c r="FR341">
        <f t="shared" si="759"/>
        <v>0</v>
      </c>
      <c r="FS341">
        <f>IF(CG341=1,IF(AND(CH341=1,CW341=1),0,IF(AND(CS341&lt;&gt;"",CS341=BA341,CW341=1),SUMIFS(Линии[_Р линии, кВт],Линии[_блок УЗО],BA341,Линии[Щит],A341),N(BS341)+IF(AJ341="вручную",0,N(CK341)))),0)</f>
        <v>16.439999999999998</v>
      </c>
      <c r="FT341" t="str">
        <f t="shared" si="760"/>
        <v/>
      </c>
      <c r="FU341" t="str">
        <f>IF(B341="","",IF(CG341=0,IF(BA341=1,"",FW340),IF(AND(CH341=1,CW341=1,CS341&lt;&gt;""),IFERROR(_xlfn.XLOOKUP(CS341,Линии[_n],Линии[_фаза итог]),"L1"),IF(OR(N(DL341)&gt;=3,N(BX341)&gt;=3),"L1,L2,L3",IFERROR(_xlfn.TEXTBEFORE(_xlfn.TEXTAFTER(_xlfn.XLOOKUP(A341,Щиты[Щит],Щиты[_фазы авто]),";"&amp;BA341&amp;":"),";"),"L1")))))</f>
        <v>L1,L2,L3</v>
      </c>
      <c r="FV341" t="str">
        <f t="shared" si="761"/>
        <v>L1,L2,L3</v>
      </c>
      <c r="FW341" t="str">
        <f t="shared" si="762"/>
        <v>L1,L2,L3</v>
      </c>
      <c r="FX341" cm="1">
        <f t="array" ref="FX341">IFERROR(IF(CD341=2,_xlfn.IFS(BX341=3,VLOOKUP(BS341,Справочная_двигатели,3,FALSE),BX341=1,VLOOKUP(BS341,Справочная_двигатели,5,TRUE)),0),0)</f>
        <v>0</v>
      </c>
      <c r="FY341">
        <f>IFERROR(IF(CD341=3,VLOOKUP(BS341,Справочная_ЛЭД,2,TRUE),0),0)</f>
        <v>0</v>
      </c>
      <c r="FZ341" s="6">
        <f t="shared" si="763"/>
        <v>0</v>
      </c>
      <c r="GA341" t="str">
        <f>IF(B341="","",IF(TRIM(AH341&amp;"")&lt;&gt;"",IF(LOWER(TRIM(AH341&amp;""))="да","да","нет"),IF(IFERROR(_xlfn.XLOOKUP(BC341,Коды_код,Коды_пожарная),"")="да","да","нет")))</f>
        <v>нет</v>
      </c>
      <c r="GB341" t="str">
        <f t="shared" si="764"/>
        <v/>
      </c>
      <c r="GC341" t="str">
        <f t="shared" si="765"/>
        <v>основная</v>
      </c>
      <c r="GD341">
        <f>IF(AND(BP341=1,TRIM(AE341&amp;"")=""),IF(COUNTIFS(Линии[Щит],A341,Линии[Секция (1/2/3)],"&gt;=2")&gt;0,MIN(3,MAX(1,IFERROR(--BD341,1))),1),IFERROR(MIN(3,MAX(1,INT(--AE341))),1))</f>
        <v>1</v>
      </c>
      <c r="GE341" t="str" cm="1">
        <f t="array" ref="GE341">IF(B341="","",_xlfn.LET(_xlpm.t,IFERROR(_xlfn.XLOOKUP(1,(Шины[Шина]=GC341)*(((Шины[Щит]=A341)+(Шины[Щит]=""))&gt;0),Шины[Тип]),"")&amp;"",IF(_xlpm.t&lt;&gt;"",_xlpm.t,IF(ISNUMBER(SEARCH("ИБП",GC341)),"ИБП",IF(ISNUMBER(SEARCH("ДГУ",GC341)),"ДГУ","Ввод "&amp;GD341)))))</f>
        <v>Ввод 1</v>
      </c>
      <c r="GF341" t="str">
        <f t="shared" si="766"/>
        <v>Ввод 1</v>
      </c>
      <c r="GG341" t="str">
        <f>IF(BP341=0,"",IF(TRIM(AG341&amp;"")&lt;&gt;"",TRIM(AG341&amp;""),IF(OR(GE341="ИБП",GE341="ДГУ"),"I особая",_xlfn.XLOOKUP(A341,Щиты[Щит],Щиты[Категория шины «Ввод»],"III"))))</f>
        <v>II</v>
      </c>
      <c r="GH341" t="str">
        <f>IF(A341="","",_xlfn.XLOOKUP(A341,Щиты[Щит],Щиты[Путь],""))</f>
        <v>|ГРЩ-ЖД|ЩУОВ|</v>
      </c>
      <c r="GI341" t="str">
        <f>IF(B341="","",IF(AI341&lt;&gt;"",AI341,IF(IFERROR(_xlfn.XLOOKUP(BC341,Коды_код,Коды_вид)&amp;"","")="","Прочее",_xlfn.XLOOKUP(BC341,Коды_код,Коды_вид)&amp;"")))</f>
        <v>Прочее</v>
      </c>
      <c r="GJ341">
        <f>IF(BM341="","",INT((BM341-1)/Столбцов_на_лист)+1)</f>
        <v>1</v>
      </c>
      <c r="GK341" t="str">
        <f t="shared" si="767"/>
        <v>ВВГнг(А)-LS (5х6) L=50-2,4%</v>
      </c>
      <c r="GL341">
        <f t="shared" si="768"/>
        <v>16.439999999999998</v>
      </c>
      <c r="GM341">
        <f t="shared" si="769"/>
        <v>30.770000000000003</v>
      </c>
      <c r="GN341">
        <f t="shared" si="770"/>
        <v>3</v>
      </c>
      <c r="GO341">
        <f t="shared" si="771"/>
        <v>0</v>
      </c>
      <c r="GP341">
        <f t="shared" si="772"/>
        <v>0</v>
      </c>
      <c r="GQ341" t="str">
        <f>IF(BM341="","",IF(AND(CG341=1,GP341=1),COUNTIFS(A$3:A341,A341,CG$3:CG341,1,GP$3:GP341,1),IF(OR(OR(BA341=1,A341&lt;&gt;A340),AJ341="вручную",GP341=0),"",IF(BA341=1,"",GR340))))</f>
        <v/>
      </c>
      <c r="GR341" t="str">
        <f t="shared" si="773"/>
        <v/>
      </c>
      <c r="GS341">
        <f>IF(B341="","",IFERROR(LOOKUP(INDEX(CHOOSE(EB341,Iдоп_1ж,Iдоп_2ж,Iдоп_3ж),MATCH(EN341,Iдоп_S,0))*DZ341*EA341,{6,10,16,20,25,32,40,50,63,80,100,125,160,200,250,315,400,500,630}),""))</f>
        <v>32</v>
      </c>
      <c r="GT341" t="str">
        <f t="shared" si="774"/>
        <v/>
      </c>
      <c r="GU341" t="str">
        <f t="shared" si="775"/>
        <v/>
      </c>
      <c r="GV341" t="str">
        <f t="shared" si="776"/>
        <v/>
      </c>
      <c r="GW341">
        <f t="shared" si="777"/>
        <v>0</v>
      </c>
      <c r="GX341" t="str">
        <f>IF(OR(B341="",DJ341=""),"",IFERROR(_xlfn.XLOOKUP(DJ341,Модули_умолч[Управление],Модули_умолч[Модель])&amp;"",""))</f>
        <v/>
      </c>
      <c r="GY341">
        <f>IF(DJ341="",1,IFERROR(MAX(0,N(_xlfn.XLOOKUP(DJ341,Модули_умолч[Управление],Модули_умолч[Каналов на линию]))),1))</f>
        <v>1</v>
      </c>
      <c r="GZ341" t="str">
        <f t="shared" si="778"/>
        <v/>
      </c>
      <c r="HA341" t="str">
        <f t="shared" si="779"/>
        <v/>
      </c>
      <c r="HB341" t="str">
        <f t="shared" si="780"/>
        <v/>
      </c>
      <c r="HC341">
        <f>IF(HB341="",0,IFERROR(N(VLOOKUP(HB341,Модули_спр,3,FALSE)),0))</f>
        <v>0</v>
      </c>
      <c r="HD341" t="str">
        <f t="shared" si="781"/>
        <v/>
      </c>
      <c r="HE341" t="str">
        <f t="shared" si="782"/>
        <v/>
      </c>
      <c r="HF341" t="str">
        <f>IF(OR(HE341="",HE341="-"),"",IFERROR(VLOOKUP(HE341,Модули_спр,2,FALSE),"R"))</f>
        <v/>
      </c>
      <c r="HG341" t="str">
        <f>IF(HF341="","",HF341&amp;"."&amp;COUNTIFS(A$3:A341,A341,HF$3:HF341,HF341))</f>
        <v/>
      </c>
      <c r="HH341" t="str">
        <f t="shared" si="783"/>
        <v/>
      </c>
      <c r="HI341" t="str">
        <f t="shared" si="784"/>
        <v/>
      </c>
      <c r="HJ341" t="str">
        <f t="shared" si="785"/>
        <v/>
      </c>
      <c r="HK341" t="str">
        <f t="shared" si="786"/>
        <v/>
      </c>
      <c r="HL341">
        <f t="shared" si="787"/>
        <v>0</v>
      </c>
      <c r="HM341" t="str">
        <f>IF(HL341=1,"XT"&amp;COUNTIFS(A$3:A341,A341,HL$3:HL341,1),"")</f>
        <v/>
      </c>
      <c r="HN341" t="str">
        <f t="shared" si="788"/>
        <v/>
      </c>
      <c r="HO341" t="str">
        <f t="shared" si="789"/>
        <v/>
      </c>
      <c r="HP341" t="str">
        <f t="shared" si="790"/>
        <v/>
      </c>
      <c r="HQ341" t="str">
        <f t="shared" si="791"/>
        <v>ok</v>
      </c>
      <c r="HR341" t="str">
        <f>IF(OR(HJ341="",HH341=""),"",IF(HJ341+MAX(0,GY341-1)&gt;IFERROR(VLOOKUP(HI341,Модули_спр,3,FALSE),99),"ЛИШНИЙ КАНАЛ",IF(AND(AL341&lt;&gt;"=",GY341&gt;0,COUNTIFS(Линии[_модуль гр.],HH341,Линии[Канал (итог)],HJ341,Линии[Канал],"&lt;&gt;=",Линии[Щит],A341)&gt;1),"ДУБЛЬ КАНАЛА","")))</f>
        <v/>
      </c>
      <c r="HS341" s="6" t="str">
        <f t="shared" si="792"/>
        <v/>
      </c>
      <c r="HT341">
        <f t="shared" si="793"/>
        <v>10</v>
      </c>
      <c r="HU341" t="str">
        <f t="shared" si="794"/>
        <v/>
      </c>
      <c r="HV341">
        <f t="shared" si="795"/>
        <v>0</v>
      </c>
      <c r="HW341">
        <f t="shared" si="796"/>
        <v>0</v>
      </c>
      <c r="HX341">
        <f t="shared" si="797"/>
        <v>0</v>
      </c>
      <c r="HY341">
        <f t="shared" si="798"/>
        <v>0</v>
      </c>
      <c r="HZ341">
        <f t="shared" si="799"/>
        <v>0</v>
      </c>
      <c r="IA341">
        <f t="shared" si="800"/>
        <v>0</v>
      </c>
      <c r="IB341">
        <f t="shared" si="801"/>
        <v>0</v>
      </c>
      <c r="IC341" t="str">
        <f t="shared" si="802"/>
        <v/>
      </c>
      <c r="ID341" t="str" cm="1">
        <f t="array" ref="ID341">IF(IC341="","",_xlfn.LET(_xlpm.tk,_xlfn.TEXTSPLIT(SUBSTITUTE(SUBSTITUTE(IC341,";"," "),"→"," ")," ",,TRUE),_xlpm.w_,_xlfn._xlws.FILTER(_xlpm.tk,ISNUMBER(--LEFT(_xlpm.tk,1))*((ISNUMBER(SEARCH("W",_xlpm.tk))+ISNUMBER(SEARCH("Вт",_xlpm.tk)))&gt;0),""),IFERROR(--SUBSTITUTE(SUBSTITUTE(UPPER(INDEX(_xlpm.w_,1)),"W",""),"ВТ",""),"")))</f>
        <v/>
      </c>
      <c r="IE341" t="str" cm="1">
        <f t="array" ref="IE341">IF(IC341="","",_xlfn.LET(_xlpm.tk,_xlfn.TEXTSPLIT(SUBSTITUTE(SUBSTITUTE(IC341,";"," "),"→"," ")," ",,TRUE),_xlpm.v_,_xlfn._xlws.FILTER(_xlpm.tk,ISNUMBER(--LEFT(_xlpm.tk,1))*((ISNUMBER(SEARCH("V",_xlpm.tk))+(RIGHT(UPPER(_xlpm.tk))="В"))&gt;0),""),IFERROR(--SUBSTITUTE(SUBSTITUTE(UPPER(INDEX(_xlpm.v_,1)),"V",""),"В",""),"")))</f>
        <v/>
      </c>
      <c r="IF341" s="6" t="str">
        <f>IF(OR(BV341=0,HI341="",HJ341=""),"",IFERROR(N(_xlfn.XLOOKUP(HI341,Каталог!$C$4:$C$500,Каталог!$Q$4:$Q$500)),""))</f>
        <v/>
      </c>
      <c r="IG341" s="6" t="str">
        <f>IF(N(IF341)=0,"",SUMIFS(Линии[Iр, А],Линии[Щит],A341,Линии[_модуль гр.],HH341,Линии[Канал (итог)],HJ341))</f>
        <v/>
      </c>
      <c r="IH341" t="str">
        <f>IF(AND(B341="",HO341=""),"",_xlfn.TEXTJOIN("; ",TRUE,IF(AND(B341&lt;&gt;"",FV341=""),"нет фазы",""),IF(AND(B341&lt;&gt;"",N(GL341)=0,FG341&lt;&gt;"Нет"),"нет мощности",""),IF(AND(HN341&lt;&gt;"",COUNTIFS(Линии[Щит],A341,Линии[Клемма (итог)],HN341)&gt;1),"дубль клеммы "&amp;HN341,""),IF(AND(HQ341&lt;&gt;"",HQ341&lt;&gt;"ok"),HQ341,""),IF(HR341&lt;&gt;"",HR341,""),IF(AND(N(CB341)&gt;=4,N(BX341)=1),CB341&amp;" жил на 1 фазе",""),IF(AND(BC341="R",CG341=1,IF(CS341&lt;&gt;"",N(CV341)&gt;30,OR(N(DA341)=0,N(DA341)&gt;30))),"розетка без дифзащиты до 30 мА",""),IF(AND(CG341=1,N(DA341)&gt;0,ISNUMBER(T341)),IF(T341&gt;N(DA341)/3,"ток утечки "&amp;FIXED(T341,1)&amp;" мА &gt; 1/3 уставки ("&amp;DA341&amp;" мА)",""),""),IF(AND(CH341=1,CS341=""),"«узо»: нет строки с УЗО выше (УЗО 2P 40А 30мА в «Аппаратах»)",""),IF(AND(CS341&lt;&gt;"",CS341=BA341),IF(CT341="","впишите номинал УЗО (УЗО 2P 40А 30мА)",IF(N(CT341)&lt;N(DT341),"УЗО "&amp;CT341&amp;" А &lt; автомата "&amp;DT341&amp;" А перед ним",IF(N(CT341)&lt;N(CX341),"УЗО "&amp;CT341&amp;" А &lt; тока блока "&amp;FIXED(CX341,1)&amp;" А",""))),""),IF(AND(CS341&lt;&gt;"",CS341=BA341,ISNUMBER(CY341)),IF(CY341&gt;N(CV341)/3,"ток утечки блока УЗО "&amp;FIXED(CY341,1)&amp;" мА &gt; 1/3 уставки ("&amp;CV341&amp;" мА)",""),""),IF(AND(CG341=1,N(BV341)+N(IB341)&gt;0,IC341=""),"линии до 50 В без БП: впишите в «Аппараты» (БП 24V 480W)",""),IF(AND(CG341=1,ISNUMBER(ID341),ISNUMBER(U341)),IF(U341&gt;ID341,"БП "&amp;ID341&amp;" Вт &lt; нужно "&amp;U341&amp;" Вт (×"&amp;Запас_БП&amp;")",""),""),IF(AND(CG341=1,ISNUMBER(IE341),N(BV341)=1),IF(IE341&lt;&gt;N(BU341),"БП на "&amp;IE341&amp;" В, линия "&amp;BU341&amp;" В",""),""),IF(AND(N(IF341)&gt;0,N(IG341)&gt;N(IF341)),HH341&amp;" канал "&amp;HJ341&amp;": "&amp;FIXED(IG341,1)&amp;" А &gt; "&amp;IF341&amp;" А",""),IFERROR(IF(AND(ISNUMBER(Q341),Q341&gt;EL341),"потери "&amp;FIXED(Q341,1)&amp;" % &gt; "&amp;EL341&amp;" %",""),""),IFERROR(IF(LEFT(HU341,4)="мало","Iкз мало — отключение &gt; 0,4 с",""),""),IF(AND(B341&lt;&gt;"",BM341=""),"не на схеме",""),IF(AND(CG341=0,B341&lt;&gt;"",FV341&lt;&gt;"",IF(BA341=1,"",FW340)&lt;&gt;"",FV341&lt;&gt;IF(BA341=1,"",FW340)),"фаза не как у автомата группы ("&amp;IF(BA341=1,"",FW340)&amp;")","")))</f>
        <v>потери 4,9 % &gt; 4 %</v>
      </c>
      <c r="II341" s="6" t="str">
        <f>IF(OR(CG341=0,DQ341=""),"",_xlfn.LET(_xlpm.t,IFERROR(_xlfn.XLOOKUP(DQ341,Каталог!$U$4:$U$500,Каталог!$G$4:$G$500),""),_xlpm.k,SEARCH("кА",_xlpm.t),IFERROR(--TRIM(RIGHT(SUBSTITUTE(MID(_xlpm.t,MAX(1,_xlpm.k-4),_xlpm.k-MAX(1,_xlpm.k-4))," ",REPT(" ",9)),5)),"")))</f>
        <v/>
      </c>
      <c r="IJ341" t="str">
        <f>IF(OR(II341="",CG341=0),"",IF(_xlfn.XLOOKUP(A341,Щиты[Щит],Щиты[Iкз max на шинах, кА],"")="","",IF(II341&lt;_xlfn.XLOOKUP(A341,Щиты[Щит],Щиты[Iкз max на шинах, кА]),"Icu "&amp;II341&amp;" кА &lt; Iкз max","ok")))</f>
        <v/>
      </c>
      <c r="IK341" t="str">
        <f t="shared" si="803"/>
        <v/>
      </c>
      <c r="IL341" t="str">
        <f t="shared" si="804"/>
        <v/>
      </c>
      <c r="IM341" t="str">
        <f t="shared" si="805"/>
        <v/>
      </c>
      <c r="IN341" t="str" cm="1">
        <f t="array" ref="IN341">IF(IM341="","",_xlfn.LET(_xlpm.nd,_xlfn.TEXTSPLIT(IM341,"|"),IF(COLUMNS(_xlpm.nd)&gt;1,A341&amp;"¦"&amp;INDEX(_xlpm.nd,1)&amp;"¦"&amp;INDEX(_xlpm.nd,2),"")))</f>
        <v/>
      </c>
      <c r="IO341" t="str">
        <f t="shared" si="806"/>
        <v/>
      </c>
      <c r="IP341" t="str" cm="1">
        <f t="array" ref="IP341">IF(IM341="","",_xlfn.LET(_xlpm.nd,_xlfn.TEXTSPLIT(IM341,"|"),IF(COLUMNS(_xlpm.nd)&gt;2,A341&amp;"¦"&amp;INDEX(_xlpm.nd,2)&amp;"¦"&amp;INDEX(_xlpm.nd,3),"")))</f>
        <v/>
      </c>
      <c r="IQ341" t="str">
        <f t="shared" si="807"/>
        <v/>
      </c>
      <c r="IR341" t="str" cm="1">
        <f t="array" ref="IR341">IF(IM341="","",_xlfn.LET(_xlpm.nd,_xlfn.TEXTSPLIT(IM341,"|"),IF(COLUMNS(_xlpm.nd)&gt;3,A341&amp;"¦"&amp;INDEX(_xlpm.nd,3)&amp;"¦"&amp;INDEX(_xlpm.nd,4),"")))</f>
        <v/>
      </c>
      <c r="IS341" t="str">
        <f t="shared" si="808"/>
        <v/>
      </c>
      <c r="IT341" t="str" cm="1">
        <f t="array" ref="IT341">IF(IM341="","",_xlfn.LET(_xlpm.nd,_xlfn.TEXTSPLIT(IM341,"|"),IF(COLUMNS(_xlpm.nd)&gt;4,A341&amp;"¦"&amp;INDEX(_xlpm.nd,4)&amp;"¦"&amp;INDEX(_xlpm.nd,5),"")))</f>
        <v/>
      </c>
      <c r="IU341" t="str">
        <f t="shared" si="809"/>
        <v/>
      </c>
      <c r="IV341" t="str" cm="1">
        <f t="array" ref="IV341">IF(IM341="","",_xlfn.LET(_xlpm.nd,_xlfn.TEXTSPLIT(IM341,"|"),IF(COLUMNS(_xlpm.nd)&gt;5,A341&amp;"¦"&amp;INDEX(_xlpm.nd,5)&amp;"¦"&amp;INDEX(_xlpm.nd,6),"")))</f>
        <v/>
      </c>
      <c r="IW341" t="str">
        <f t="shared" si="810"/>
        <v/>
      </c>
      <c r="IX341" t="str" cm="1">
        <f t="array" ref="IX341">IF(IM341="","",_xlfn.LET(_xlpm.nd,_xlfn.TEXTSPLIT(IM341,"|"),IF(COLUMNS(_xlpm.nd)&gt;6,A341&amp;"¦"&amp;INDEX(_xlpm.nd,6)&amp;"¦"&amp;INDEX(_xlpm.nd,7),"")))</f>
        <v/>
      </c>
      <c r="IY341" t="str">
        <f t="shared" si="811"/>
        <v/>
      </c>
      <c r="IZ341" t="str">
        <f t="shared" si="812"/>
        <v/>
      </c>
      <c r="JA341" t="str">
        <f t="shared" si="813"/>
        <v/>
      </c>
      <c r="JB341">
        <f t="shared" si="814"/>
        <v>0</v>
      </c>
      <c r="JC341">
        <f t="shared" si="815"/>
        <v>0</v>
      </c>
      <c r="JD341" t="str">
        <f t="shared" si="816"/>
        <v/>
      </c>
      <c r="JE341" t="str">
        <f t="shared" si="817"/>
        <v/>
      </c>
      <c r="JF341" t="str">
        <f t="shared" si="818"/>
        <v/>
      </c>
      <c r="JG341" t="str">
        <f t="shared" si="819"/>
        <v/>
      </c>
      <c r="JH341">
        <f>IF(B341="","",IFERROR(_xlfn.XLOOKUP(B341,Коды_код,Коды_уго),IFERROR(_xlfn.XLOOKUP(BC341,Коды_код,Коды_уго),IFERROR(_xlfn.XLOOKUP(LEFT(BC341,2),Коды_код,Коды_уго),""))))</f>
        <v>0</v>
      </c>
      <c r="JI341" t="str">
        <f>IF(B341="","",IF(OR(JH341="",JH341=0),"BOX",IFERROR(IF(VLOOKUP(JH341,УГО_блоки,3,FALSE)&amp;""&lt;&gt;"",VLOOKUP(JH341,УГО_блоки,3,FALSE),VLOOKUP(JH341,УГО_блоки,2,FALSE)),JH341)))</f>
        <v>BOX</v>
      </c>
      <c r="JJ341">
        <f t="shared" si="820"/>
        <v>1</v>
      </c>
      <c r="JK341" t="str">
        <f>IF(DQ341="","",IF(COUNTIF(DQ$3:DQ341,DQ341)=1,MAX(JK$2:JK340)+1,""))</f>
        <v/>
      </c>
      <c r="JL341" t="str">
        <f>IF(DE341="","",IF(COUNTIF(DE$3:DE341,DE341)+COUNTIF(DF$2:DF340,DE341)+COUNTIF(DG$2:DG340,DE341)=1,MAX(JL$2:JN340)+1,""))</f>
        <v/>
      </c>
      <c r="JM341" t="str">
        <f>IF(DF341="","",IF(COUNTIF(DE$3:DE341,DF341)+COUNTIF(DF$3:DF341,DF341)+COUNTIF(DG$2:DG340,DF341)=1,MAX(JL$2:JN340,JL341)+1,""))</f>
        <v/>
      </c>
      <c r="JN341" t="str">
        <f>IF(DG341="","",IF(COUNTIF(DE$3:DE341,DG341)+COUNTIF(DF$3:DF341,DG341)+COUNTIF(DG$3:DG341,DG341)=1,MAX(JL$2:JN340,JL341,JM341)+1,""))</f>
        <v/>
      </c>
      <c r="JO341" t="str">
        <f t="shared" si="821"/>
        <v/>
      </c>
      <c r="JP341" t="str">
        <f>IF(JO341="","",IF(COUNTIF(JO$3:JO341,JO341)=1,MAX(JP$2:JP340)+1,""))</f>
        <v/>
      </c>
      <c r="JQ341" t="str">
        <f>IF(HG341="","",COUNTIF(HG$3:HG341,"?*"))</f>
        <v/>
      </c>
      <c r="JR341" t="str">
        <f>IF(OR(HG341="",HI341=""),"",IF(COUNTIFS(HG$3:HG341,"?*",HI$3:HI341,HI341)=1,MAX(JR$2:JR340)+1,""))</f>
        <v/>
      </c>
      <c r="JS341">
        <f t="shared" si="822"/>
        <v>1</v>
      </c>
      <c r="JT341">
        <f>IF(B341="","",COUNTIF(B$3:B341,"?*"))</f>
        <v>339</v>
      </c>
      <c r="JU341">
        <f>IF(HL341&lt;&gt;1,0,_xlfn.LET(_xlpm.k,MAX(IFERROR(--_xlfn.XLOOKUP(B341,Коды_код,Коды_3L),0),IFERROR(--_xlfn.XLOOKUP(BC341,Коды_код,Коды_3L),0),IFERROR(--_xlfn.XLOOKUP(LEFT(BC341,2),Коды_код,Коды_3L),0)),IF(_xlpm.k&gt;0,_xlpm.k,IF(IFERROR(--LEFT(SUBSTITUTE(JO341,"x","х"),FIND("х",SUBSTITUTE(JO341,"x","х"))-1),3)&gt;3,Каталог!$S$9,1))))</f>
        <v>0</v>
      </c>
      <c r="JV341">
        <f t="shared" si="823"/>
        <v>0</v>
      </c>
      <c r="JW341" t="str">
        <f t="shared" si="824"/>
        <v>авто</v>
      </c>
      <c r="JX341" t="str">
        <f t="shared" si="825"/>
        <v/>
      </c>
      <c r="JY341">
        <f t="shared" si="826"/>
        <v>0</v>
      </c>
      <c r="JZ341">
        <f t="shared" si="827"/>
        <v>1</v>
      </c>
    </row>
    <row r="342" spans="1:286" x14ac:dyDescent="0.3">
      <c r="A342" t="s">
        <v>769</v>
      </c>
      <c r="B342" t="s">
        <v>1640</v>
      </c>
      <c r="C342" t="str">
        <f>Линии[[#This Row],[_авто наименование]]</f>
        <v/>
      </c>
      <c r="D342">
        <v>1</v>
      </c>
      <c r="E342">
        <v>0</v>
      </c>
      <c r="G342" t="str">
        <f>Линии[[#This Row],[_авто автомат]]</f>
        <v>1P С6А</v>
      </c>
      <c r="H342" t="str">
        <f>Линии[[#This Row],[_авто управление]]</f>
        <v/>
      </c>
      <c r="I342" t="str">
        <f>Линии[[#This Row],[_авто аппараты]]</f>
        <v/>
      </c>
      <c r="J342">
        <v>0.75</v>
      </c>
      <c r="K342">
        <v>24</v>
      </c>
      <c r="L342">
        <v>2</v>
      </c>
      <c r="M342" t="str">
        <f>Линии[[#This Row],[_авто клемма]]</f>
        <v>XT1</v>
      </c>
      <c r="N342" t="str">
        <f t="shared" si="690"/>
        <v>нет мощности</v>
      </c>
      <c r="O342" s="6" cm="1">
        <f t="array" ref="O342">IF(B342="","",IF(BH342&lt;&gt;"",IFERROR(_xlfn.XLOOKUP(BH342,Щиты[Щит],Щиты[Iр, А]),""),IF(BP342=1,IF(OR(N(_xlfn.XLOOKUP(A342,Щиты[Щит],Щиты[Вводов],1))&lt;=1,LOWER(TRIM(_xlfn.XLOOKUP(A342,Щиты[Щит],Щиты[АВР],"")&amp;""))="да"),IFERROR(_xlfn.XLOOKUP(A342,Щиты[Щит],Щиты[Iр, А]),""),IFERROR(N(BS342)*_xlfn.XLOOKUP(A342,Щиты[Щит],Щиты[Кс итог])/(SQRT(3)*Uн_лин*_xlfn.XLOOKUP(A342,Щиты[Щит],Щиты[cos φ])),"")),IF(BV342=1,IFERROR(BS342*1000/BU342,""),IFERROR(_xlfn.IFS(BX342=1,BS342/((Uн_лин/SQRT(3))*CE342),BX342=3,BS342/(SQRT(3)*Uн_лин*CE342)),"")))))</f>
        <v>0</v>
      </c>
      <c r="P342" s="7">
        <f>IF(B342="","",IFERROR(IF(VLOOKUP(BC342,Потребители_обозначение,4,FALSE)=1,VLOOKUP(BC342,Потребители_обозначение,3,FALSE)*(MAX(1,N(D342))*2-1)+EI342+VLOOKUP(BE342,Этаж_обозначение,3,FALSE)+VLOOKUP(BE342,Этаж_обозначение,4,FALSE),VLOOKUP(BC342,Потребители_обозначение,3,FALSE)*(MAX(1,N(D342))*2-1)+EI342),EI342))</f>
        <v>24</v>
      </c>
      <c r="Q342" s="6">
        <f t="shared" si="691"/>
        <v>2.4899999999999998</v>
      </c>
      <c r="R342" t="str">
        <f t="shared" si="692"/>
        <v>МКЭШнг(A)-LS (2х0,75)</v>
      </c>
      <c r="S342" t="str">
        <f>IF(BM342="","",IF(BN342="вводной узел","узел ","")&amp;"л."&amp;(INT((BM342-1)/Столбцов_на_лист)+1)&amp;" / "&amp;(MOD(BM342-1,Столбцов_на_лист)+1))</f>
        <v>л.1 / 11</v>
      </c>
      <c r="T342" s="119">
        <f t="shared" si="693"/>
        <v>0.2</v>
      </c>
      <c r="U342" s="7" t="str">
        <f>IF(OR(CG342=0,N(BV342)+N(IB342)=0),"",ROUNDUP(Запас_БП*(N(HY342)+N(HZ342)),0))</f>
        <v/>
      </c>
      <c r="V342" s="119" t="str">
        <f t="shared" si="694"/>
        <v/>
      </c>
      <c r="W342" s="7" t="str">
        <f>IFERROR(IF(OR(B342="",BP342=1,BV342=1,NOT(ISNUMBER(EN342)),N(DT342)=0),"",MAX(0,ROUNDDOWN((c_min*(Uн_лин*1000/SQRT(3))/(HT342*N(DT342))-_xlfn.XLOOKUP(A342,Щиты[Щит],Щиты[Zпетли на шинах, Ом]))*EN342/(2*ρкз_Cu),0))),"")</f>
        <v/>
      </c>
      <c r="Y342" t="str">
        <f>Линии[[#This Row],[_авто утечка]]</f>
        <v/>
      </c>
      <c r="Z342">
        <v>1</v>
      </c>
      <c r="AA342">
        <v>0</v>
      </c>
      <c r="AB342" t="s">
        <v>573</v>
      </c>
      <c r="AG342" t="s">
        <v>810</v>
      </c>
      <c r="AI342" t="s">
        <v>609</v>
      </c>
      <c r="AK342" t="str">
        <f>Линии[[#This Row],[_авто модуль]]</f>
        <v/>
      </c>
      <c r="AM342">
        <v>11</v>
      </c>
      <c r="AN342" t="s">
        <v>601</v>
      </c>
      <c r="AO342">
        <v>2</v>
      </c>
      <c r="AR342">
        <v>19</v>
      </c>
      <c r="AS342">
        <v>5</v>
      </c>
      <c r="BA342" cm="1">
        <f t="array" ref="BA342">ROW()-ROW(Линии[#Headers])</f>
        <v>340</v>
      </c>
      <c r="BC342" s="6" t="str">
        <f t="shared" si="695"/>
        <v>DW</v>
      </c>
      <c r="BD342" t="str">
        <f t="shared" si="696"/>
        <v>1</v>
      </c>
      <c r="BE342" t="str">
        <f t="shared" si="697"/>
        <v>1</v>
      </c>
      <c r="BF342" t="str">
        <f t="shared" si="698"/>
        <v/>
      </c>
      <c r="BG342" t="str">
        <f t="shared" si="699"/>
        <v/>
      </c>
      <c r="BH342" t="str">
        <f>IF(X342&lt;&gt;"",X342,IF(AND(B342&lt;&gt;"",B342&lt;&gt;A342,ISNUMBER(_xlfn.XMATCH(B342,Щиты[Щит]))),B342,""))</f>
        <v/>
      </c>
      <c r="BI342" t="str" cm="1">
        <f t="array" ref="BI342">IF(B342="","",IF(BH342&lt;&gt;"","Щит "&amp;BH342,_xlfn.LET(_xlpm.nm,IFERROR(_xlfn.XLOOKUP(BC342,Коды_код,Коды_имя)&amp;"",""),_xlpm.md,IFERROR(N(_xlfn.XLOOKUP(BC342,Коды_код,Коды_режим)),1),_xlpm.ex,IF(Имя_режим="по экспликации",IFERROR(_xlfn.XLOOKUP(BE342&amp;"|"&amp;BG342,Экспликация[Этаж]&amp;"|"&amp;Экспликация[Помещение],Экспликация[Название])&amp;"",""),""),_xlpm.rm,IF(BG342="","",IF(_xlpm.ex&lt;&gt;"",". "&amp;_xlpm.ex&amp;IF(Имя_пом="нет"," ("&amp;BG342&amp;")"," (пом. "&amp;BG342&amp;")"),IF(Имя_пом="нет"," ",", пом. ")&amp;BG342)),IF(_xlpm.nm="","",IF(_xlpm.md=2,_xlpm.nm&amp;" шлейф "&amp;BE342,_xlpm.nm&amp;_xlpm.rm)))))</f>
        <v/>
      </c>
      <c r="BJ342" t="str">
        <f t="shared" si="700"/>
        <v/>
      </c>
      <c r="BK342">
        <f>IFERROR(_xlfn.XMATCH(A342,Щиты[Щит]),0)</f>
        <v>17</v>
      </c>
      <c r="BL342">
        <f>_xlfn.LET(_xlpm.k,IFERROR(_xlfn.XLOOKUP(A342,Щиты[Щит],Щиты[Мест под вводной узел]),""),IF(_xlpm.k="",Столбцов_на_лист,N(_xlpm.k)))</f>
        <v>10</v>
      </c>
      <c r="BM342">
        <f t="shared" si="701"/>
        <v>11</v>
      </c>
      <c r="BN342" t="str">
        <f t="shared" si="702"/>
        <v>линии</v>
      </c>
      <c r="BO342" s="6">
        <f>IFERROR(N(_xlfn.XLOOKUP(BC342,Коды_код,Коды_квт)),0)</f>
        <v>0</v>
      </c>
      <c r="BP342">
        <f t="shared" si="703"/>
        <v>0</v>
      </c>
      <c r="BQ342" t="str">
        <f>IF(B342="","",IF(BH342&lt;&gt;"",IFERROR(_xlfn.XLOOKUP(BH342,Щиты[Щит],Щиты[Руст, кВт]),0),IF(BP342=1,IF(OR(N(_xlfn.XLOOKUP(A342,Щиты[Щит],Щиты[Вводов],1))&lt;=1,LOWER(TRIM(_xlfn.XLOOKUP(A342,Щиты[Щит],Щиты[АВР],"")&amp;""))="да"),IFERROR(_xlfn.XLOOKUP(A342,Щиты[Щит],Щиты[Руст, кВт]),0),SUMIFS(Линии[_Р для вводов],Линии[Щит],A342,Линии[Источник для режимов],GF342)),IF(BO342&gt;0,ROUND(BO342*MAX(1,N(D342)),3),""))))</f>
        <v/>
      </c>
      <c r="BR342">
        <f t="shared" si="704"/>
        <v>0</v>
      </c>
      <c r="BS342" s="6">
        <f>IF(B342="","",IF(BH342&lt;&gt;"",IFERROR(_xlfn.XLOOKUP(BH342,Щиты[Щит],Щиты[Руст, кВт]),0),N(BR342)))</f>
        <v>0</v>
      </c>
      <c r="BT342" t="str">
        <f>IF(B342="","",IFERROR(IF(VLOOKUP(BC342,Потребители_обозначение,8,FALSE)=0,"",VLOOKUP(BC342,Потребители_обозначение,8,FALSE)),""))</f>
        <v/>
      </c>
      <c r="BU342">
        <f t="shared" si="705"/>
        <v>0</v>
      </c>
      <c r="BV342">
        <f t="shared" si="706"/>
        <v>0</v>
      </c>
      <c r="BW342">
        <f>IF(B342="","",IF(BH342&lt;&gt;"",3,IFERROR(IF(N(VLOOKUP(BC342,Потребители_обозначение,9,FALSE))=0,1,VLOOKUP(BC342,Потребители_обозначение,9,FALSE)),1)))</f>
        <v>1</v>
      </c>
      <c r="BX342">
        <f t="shared" si="707"/>
        <v>1</v>
      </c>
      <c r="BY342" t="str">
        <f>IF(B342="","",_xlfn.LET(_xlpm.bc,IFERROR(IF(VLOOKUP(BC342,Потребители_обозначение,6,FALSE)=0,"",VLOOKUP(BC342,Потребители_обозначение,6,FALSE)&amp;""),""),IF(AND(GA342="да",OR(_xlpm.bc="",_xlpm.bc="мс")),Марка_пож,IF(AND(_xlpm.bc="",BH342&lt;&gt;""),"мс",_xlpm.bc))))</f>
        <v/>
      </c>
      <c r="BZ342" t="str">
        <f t="shared" si="708"/>
        <v>эк</v>
      </c>
      <c r="CA342">
        <f>IF(B342="","",_xlfn.LET(_xlpm.cc,IFERROR(N(VLOOKUP(BC342,Потребители_обозначение,7,FALSE)),0),IF(_xlpm.cc&gt;0,_xlpm.cc,IF(BZ342="","",IF(BV342=1,2,IF(N(BX342)=3,5,3))))))</f>
        <v>3</v>
      </c>
      <c r="CB342">
        <f t="shared" si="709"/>
        <v>2</v>
      </c>
      <c r="CC342">
        <f>IFERROR(N(VLOOKUP(BC342,Потребители_обозначение,10,FALSE)),0)</f>
        <v>0</v>
      </c>
      <c r="CD342">
        <f>IFERROR(VLOOKUP(BC342,Потребители_обозначение,5,FALSE),0)</f>
        <v>0</v>
      </c>
      <c r="CE342" s="6" cm="1">
        <f t="array" ref="CE342">IF(B342="","",IF(BH342&lt;&gt;"",IFERROR(_xlfn.XLOOKUP(BH342,Щиты[Щит],Щиты[cos φ]),0.95),IF(BP342=1,IFERROR(_xlfn.XLOOKUP(A342,Щиты[Щит],Щиты[cos φ]),0.95),IF(ISNUMBER(AD342),AD342,IFERROR(IF(CD342=2,_xlfn.IFS(BX342=3,VLOOKUP(BS342,Справочная_двигатели,8,FALSE),BX342=1,VLOOKUP(BS342,Справочная_двигатели,10,TRUE)),IF(AND(Методика="нормы 2026",FG342="Сил"),0.8,0.95)),0.95)))))</f>
        <v>0.95</v>
      </c>
      <c r="CF342">
        <f t="shared" si="710"/>
        <v>0</v>
      </c>
      <c r="CG342">
        <f t="shared" si="711"/>
        <v>1</v>
      </c>
      <c r="CH342">
        <f t="shared" si="712"/>
        <v>0</v>
      </c>
      <c r="CI342">
        <f>IF(B342="","",IF(BV342=1,IFERROR(BS342/((Uн_лин/SQRT(3))*MAX(0.5,N(CE342))),0),N(O342)))</f>
        <v>0</v>
      </c>
      <c r="CJ342">
        <f t="shared" si="713"/>
        <v>0</v>
      </c>
      <c r="CK342">
        <f t="shared" si="714"/>
        <v>0</v>
      </c>
      <c r="CL342">
        <f t="shared" si="715"/>
        <v>0</v>
      </c>
      <c r="CM342">
        <f t="shared" si="716"/>
        <v>0</v>
      </c>
      <c r="CN342">
        <f t="shared" si="717"/>
        <v>0</v>
      </c>
      <c r="CO342">
        <f>IF(BC342="",0,_xlfn.LET(_xlpm.v,IFERROR(_xlfn.XLOOKUP(B342,Коды_код,Коды_мА),IFERROR(_xlfn.XLOOKUP(BC342,Коды_код,Коды_мА),IFERROR(_xlfn.XLOOKUP(LEFT(BC342,2),Коды_код,Коды_мА),""))),IF(_xlpm.v="да",30,IF(ISNUMBER(_xlpm.v),_xlpm.v,0))))</f>
        <v>0</v>
      </c>
      <c r="CP342" t="str">
        <f t="shared" si="718"/>
        <v/>
      </c>
      <c r="CQ342" t="str">
        <f>_xlfn.LET(_xlpm.k,IFERROR(_xlfn.XLOOKUP(BC342,Коды_код,Коды_утечка)&amp;"",""),IF(_xlpm.k="","дифавтомат",_xlpm.k))</f>
        <v>дифавтомат</v>
      </c>
      <c r="CR342" t="str" cm="1">
        <f t="array" ref="CR342">IF(CG342=0,"",_xlfn.LET(_xlpm.sg,TRIM(_xlfn.TEXTSPLIT(DD342&amp;"",";")),_xlpm.f_,_xlfn._xlws.FILTER(_xlpm.sg,LEFT(_xlpm.sg,3)="УЗО",""),IFERROR(INDEX(_xlpm.f_,1)&amp;"","")))</f>
        <v/>
      </c>
      <c r="CS342" t="str">
        <f t="shared" si="719"/>
        <v/>
      </c>
      <c r="CT342" s="6" t="str" cm="1">
        <f t="array" ref="CT342">IF(CR342="","",_xlfn.LET(_xlpm.tk,_xlfn.TEXTSPLIT(UPPER(CR342)," ",,TRUE),_xlpm.a_,_xlfn._xlws.FILTER(_xlpm.tk,ISNUMBER(--LEFT(_xlpm.tk,1))*((ISNUMBER(SEARCH("А",_xlpm.tk))+ISNUMBER(SEARCH("A",_xlpm.tk)))&gt;0)*NOT(ISNUMBER(SEARCH("МА",_xlpm.tk)))*NOT(ISNUMBER(SEARCH("MA",_xlpm.tk))),""),IFERROR(--SUBSTITUTE(SUBSTITUTE(INDEX(_xlpm.a_,1),"А",""),"A",""),"")))</f>
        <v/>
      </c>
      <c r="CU342" t="str" cm="1">
        <f t="array" ref="CU342">IF(CR342="","",_xlfn.LET(_xlpm.tk,_xlfn.TEXTSPLIT(UPPER(CR342)," ",,TRUE),_xlpm.a_,_xlfn._xlws.FILTER(_xlpm.tk,ISNUMBER(--LEFT(_xlpm.tk,1))*((ISNUMBER(SEARCH("МА",_xlpm.tk))+ISNUMBER(SEARCH("MA",_xlpm.tk)))&gt;0),""),IFERROR(--SUBSTITUTE(SUBSTITUTE(INDEX(_xlpm.a_,1),"МА",""),"MA",""),30)))</f>
        <v/>
      </c>
      <c r="CV342" t="str">
        <f>IF(CS342="","",IFERROR(_xlfn.XLOOKUP(CS342,Линии[_n],Линии[_УЗО, мА]),30))</f>
        <v/>
      </c>
      <c r="CW342">
        <f>IF(CS342="",0,IF(ISNUMBER(SEARCH("4P",IFERROR(_xlfn.XLOOKUP(CS342,Линии[_n],Линии[_УЗО строки])&amp;"",""))),0,1))</f>
        <v>0</v>
      </c>
      <c r="CX342" t="str">
        <f>IF(AND(CS342&lt;&gt;"",CS342=BA342),SUMIFS(Линии[_ток на 230 В],Линии[_блок УЗО],BA342,Линии[Щит],A342),"")</f>
        <v/>
      </c>
      <c r="CY342" t="str">
        <f>IF(AND(CS342&lt;&gt;"",CS342=BA342),SUMIFS(Линии[_ток утечки линии, мА],Линии[_блок УЗО],BA342,Линии[Щит],A342),"")</f>
        <v/>
      </c>
      <c r="CZ342">
        <f t="shared" si="720"/>
        <v>0</v>
      </c>
      <c r="DA342">
        <f t="shared" si="721"/>
        <v>0</v>
      </c>
      <c r="DB342">
        <f>IF(B342="",0,IFERROR(--_xlfn.XLOOKUP(B342,Коды_код,Коды_минавт),IFERROR(--_xlfn.XLOOKUP(BC342,Коды_код,Коды_минавт),IFERROR(--_xlfn.XLOOKUP(LEFT(BC342,2),Коды_код,Коды_минавт),0))))</f>
        <v>0</v>
      </c>
      <c r="DC342" t="str">
        <f>IF(B342="","",IFERROR(_xlfn.XLOOKUP(BC342,Коды_код,Коды_апп)&amp;"",""))</f>
        <v/>
      </c>
      <c r="DD342" t="str">
        <f t="shared" si="722"/>
        <v/>
      </c>
      <c r="DE342" t="str" cm="1">
        <f t="array" ref="DE342">IF(TRIM(DD342&amp;"")="","",IFERROR(TRIM(INDEX(_xlfn.TEXTSPLIT(DD342&amp;";;;",";"),1)),""))</f>
        <v/>
      </c>
      <c r="DF342" t="str" cm="1">
        <f t="array" ref="DF342">IF(TRIM(DD342&amp;"")="","",IFERROR(TRIM(INDEX(_xlfn.TEXTSPLIT(DD342&amp;";;;",";"),2)),""))</f>
        <v/>
      </c>
      <c r="DG342" t="str" cm="1">
        <f t="array" ref="DG342">IF(TRIM(DD342&amp;"")="","",IFERROR(TRIM(INDEX(_xlfn.TEXTSPLIT(DD342&amp;";;;",";"),3)),""))</f>
        <v/>
      </c>
      <c r="DH342">
        <f t="shared" si="723"/>
        <v>0</v>
      </c>
      <c r="DI342" t="str">
        <f>IF(B342="","",_xlfn.LET(_xlpm.t,LOWER(AZ342&amp;""),IF(ISNUMBER(SEARCH("dim",_xlpm.t)),"DIM",IF(ISNUMBER(SEARCH("dali",_xlpm.t)),"DALI",IF(OR(ISNUMBER(SEARCH("relay",_xlpm.t)),ISNUMBER(SEARCH("реле",_xlpm.t))),"Relay",IF(ISNUMBER(SEARCH("кнопк",_xlpm.t)),"",IFERROR(_xlfn.XLOOKUP(BC342,Коды_код,Коды_упр)&amp;"","")))))))</f>
        <v/>
      </c>
      <c r="DJ342" t="str">
        <f t="shared" si="724"/>
        <v/>
      </c>
      <c r="DK342">
        <f>IF(B342="","",_xlfn.LET(_xlpm.ig,IF(N(CX342)&gt;0,N(CX342),N(CI342)+IF(AJ342="вручную",0,N(CJ342))),_xlpm.n0,IFERROR(VLOOKUP(_xlpm.ig,Автомат_номиналы,2,TRUE),0),_xlpm.mn,MAX(DB342,IF(AJ342="вручную",0,N(CM342))),MAX(_xlpm.n0,_xlpm.mn,IF(DH342=1,Мин_автомат_БП,0))))</f>
        <v>6</v>
      </c>
      <c r="DL342">
        <f t="shared" si="725"/>
        <v>1</v>
      </c>
      <c r="DM342" t="str">
        <f t="shared" si="726"/>
        <v>1P</v>
      </c>
      <c r="DN342" t="str">
        <f>_xlfn.LET(_xlpm.cc,UPPER(TRIM(IFERROR(_xlfn.XLOOKUP(BC342,Коды_код,Коды_хар)&amp;"",""))),IF(OR(_xlpm.cc="B",_xlpm.cc="В"),"B",IF(_xlpm.cc="D","D","С")))</f>
        <v>С</v>
      </c>
      <c r="DO342" t="str">
        <f t="shared" si="727"/>
        <v>1P С6А</v>
      </c>
      <c r="DP342" t="str">
        <f t="shared" si="728"/>
        <v>1P С6А</v>
      </c>
      <c r="DQ342" t="str">
        <f t="shared" si="729"/>
        <v>1P С6А</v>
      </c>
      <c r="DR342" cm="1">
        <f t="array" ref="DR342">IF(DQ342="","",_xlfn.LET(_xlpm.t,SUBSTITUTE(SUBSTITUTE(SUBSTITUTE(UPPER(DQ342),"С","C"),"А","A"),"В","B"),_xlpm.tk,_xlfn.TEXTSPLIT(_xlpm.t," "),_xlpm.f,_xlfn._xlws.FILTER(_xlpm.tk,ISNUMBER(--MID(_xlpm.tk,2,1))*ISNUMBER(SEARCH(LEFT(_xlpm.tk,1)&amp;"#","B#C#D#"))*(LEN(_xlpm.tk)&gt;1),""),_xlpm.x,INDEX(_xlpm.f,1),IFERROR(--SUBSTITUTE(MID(_xlpm.x,2,9),"A",""),IFERROR(--SUBSTITUTE(INDEX(_xlfn._xlws.FILTER(_xlpm.tk,ISNUMBER(--SUBSTITUTE(_xlpm.tk,"A","")),""),1),"A",""),""))))</f>
        <v>6</v>
      </c>
      <c r="DS342" t="str">
        <f t="shared" si="730"/>
        <v>ok</v>
      </c>
      <c r="DT342">
        <f t="shared" si="731"/>
        <v>6</v>
      </c>
      <c r="DU342" t="str">
        <f t="shared" si="732"/>
        <v>1P С6А</v>
      </c>
      <c r="DV342">
        <f t="shared" si="733"/>
        <v>0</v>
      </c>
      <c r="DW342">
        <f t="shared" si="734"/>
        <v>0</v>
      </c>
      <c r="DX342">
        <f t="shared" si="735"/>
        <v>0</v>
      </c>
      <c r="DY342">
        <f t="shared" si="736"/>
        <v>0</v>
      </c>
      <c r="DZ342">
        <f t="shared" si="737"/>
        <v>1</v>
      </c>
      <c r="EA342">
        <f>IF(ISNUMBER(AP342),AP342,К_прокл)</f>
        <v>1</v>
      </c>
      <c r="EB342">
        <f t="shared" si="738"/>
        <v>2</v>
      </c>
      <c r="EC342">
        <f>IFERROR(N(VLOOKUP(BZ342,Кабель_обозначение,3,FALSE)),1)</f>
        <v>1</v>
      </c>
      <c r="ED342">
        <f>IFERROR(N(_xlfn.XLOOKUP(A342,Щиты[Щит],Щиты[ΔU до шин, %])),0)</f>
        <v>2.4899999999999998</v>
      </c>
      <c r="EE342" t="str">
        <f>IFERROR(_xlfn.XLOOKUP(A342,Щиты[Щит],Щиты[Zпетли на шинах, Ом]),"")</f>
        <v/>
      </c>
      <c r="EF342">
        <f>IFERROR(N(_xlfn.XLOOKUP(A342,Щиты[Щит],Щиты[ΔU до шин (подбор), %])),0)</f>
        <v>3.73</v>
      </c>
      <c r="EG342" t="str">
        <f>IFERROR(_xlfn.XLOOKUP(A342,Щиты[Щит],Щиты[Zпетли на шинах (подбор), Ом]),"")</f>
        <v/>
      </c>
      <c r="EH342" t="str">
        <f t="shared" si="739"/>
        <v/>
      </c>
      <c r="EI342">
        <f t="shared" si="740"/>
        <v>24</v>
      </c>
      <c r="EJ342">
        <f t="shared" si="741"/>
        <v>2</v>
      </c>
      <c r="EK342">
        <f t="shared" si="742"/>
        <v>0.31</v>
      </c>
      <c r="EL342" s="6">
        <f>IF(B342="","",IF(BV342=1,dU_LED,IF(IFERROR(_xlfn.XLOOKUP(BC342,Коды_код,Коды_уго),"")="Светильник",3,4)+IF(Методика="нормы 2026",MIN(0.5,MAX(0,N(P342)-100)*0.005),0)))</f>
        <v>4</v>
      </c>
      <c r="EM342" cm="1">
        <f t="array" ref="EM342">IF(OR(B342="",BZ342="",EC342&lt;&gt;1),"",_xlfn.LET(_xlpm.sz,Iдоп_S,_xlpm.t_,CHOOSE(EB342,Iдоп_1ж,Iдоп_2ж,Iдоп_3ж)*DZ342*EA342,_xlpm.dcx,BV342=1,_xlpm.inn,IF(_xlpm.dcx,N(O342),N(DT342)),_xlpm.smin,MAX(1.5,CC342),_xlpm.L_,N(P342)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342)/N(BU342)*100,999),IFERROR(N(EJ342)*(_xlpm.rho*_xlpm.L_/_xlpm.sz*N(CE342)+_xlpm.xx*_xlpm.L_*N(EK342)/1000)*N(O342)/((Uн_лин/SQRT(3))*1000)*100,999)),_xlpm.kz,IF(OR(_xlpm.dcx,DW342=1,NOT(ISNUMBER(EG342)),_xlpm.L_=0,_xlpm.inn=0),1,IFERROR(--(c_min*(Uн_лин*1000/SQRT(3))/(EG342+2*ρкз_Cu*_xlpm.L_/_xlpm.sz)&gt;=HT342*_xlpm.inn),0)),_xlpm.ok,IFERROR((_xlpm.sz&gt;=_xlpm.smin)*(_xlpm.t_&gt;=_xlpm.inn)*IF(_xlpm.L_&gt;0,(_xlpm.du_+IF(_xlpm.dcx,0,EF342)&lt;=EL342+0.00001),1)*_xlpm.kz,0),_xlpm.r_,_xlfn._xlws.FILTER(_xlpm.sz,_xlpm.ok,"не подобрано"),INDEX(_xlpm.r_,1)))</f>
        <v>1.5</v>
      </c>
      <c r="EN342">
        <f t="shared" si="743"/>
        <v>0.75</v>
      </c>
      <c r="EO342" cm="1">
        <f t="array" ref="EO342">IF(OR(B342="",BZ342="",EC342&lt;&gt;1),"",_xlfn.LET(_xlpm.sz,Iдоп_S,_xlpm.t_,CHOOSE(EB342,Iдоп_1ж,Iдоп_2ж,Iдоп_3ж)*DZ342*EA342,_xlpm.ok,IFERROR((_xlpm.sz&gt;=MAX(1.5,CC342))*(_xlpm.t_&gt;=N(DT342)),0),_xlpm.r_,_xlfn._xlws.FILTER(_xlpm.sz,_xlpm.ok,""),INDEX(_xlpm.r_,1)))</f>
        <v>1.5</v>
      </c>
      <c r="EP342" s="6" cm="1">
        <f t="array" ref="EP342">IFERROR(ROUNDUP(N(EJ342)*(_xlfn.XLOOKUP(EO342,INDEX(Кабель_сопротивление,0,1),INDEX(Кабель_сопротивление,0,3))*N(P342)/EO342*N(CE342)+_xlfn.XLOOKUP(EO342,INDEX(Кабель_сопротивление,0,1),INDEX(Кабель_сопротивление,0,2))*N(P342)*N(EK342)/1000)*N(O342)/((Uн_лин/SQRT(3))*1000)*100,2),"")</f>
        <v>0</v>
      </c>
      <c r="EQ342">
        <f>IFERROR(2*ρкз_Cu*N(P342)/EO342,"")</f>
        <v>0.84160000000000001</v>
      </c>
      <c r="ER342">
        <f>IFERROR(VLOOKUP(EN342,Кабель_сопротивление,3,FALSE),"")</f>
        <v>2.2499999999999999E-2</v>
      </c>
      <c r="ES342">
        <f>IFERROR(VLOOKUP(EN342,Кабель_сопротивление,2,FALSE),"")</f>
        <v>0.13</v>
      </c>
      <c r="ET342">
        <f t="shared" si="744"/>
        <v>19</v>
      </c>
      <c r="EU342">
        <f t="shared" si="745"/>
        <v>5</v>
      </c>
      <c r="EV342">
        <f t="shared" si="746"/>
        <v>0</v>
      </c>
      <c r="EW342" s="6">
        <f>IFERROR(ROUNDUP(EV342/IF(BV342=1,BU342,(Uн_лин/SQRT(3))*1000)*100,2),"")</f>
        <v>0</v>
      </c>
      <c r="EX342" t="str">
        <f>IFERROR(VLOOKUP(BZ342,Кабель_обозначение,2,FALSE),"")</f>
        <v>МКЭШнг(A)-LS</v>
      </c>
      <c r="EY342" t="str">
        <f t="shared" si="747"/>
        <v>МКЭШнг(A)-LS (2х0,75)</v>
      </c>
      <c r="EZ342" t="str">
        <f t="shared" si="748"/>
        <v>МКЭШнг(A)-LS (2х0,75)
L=24-0%</v>
      </c>
      <c r="FA342">
        <f>IFERROR(2*ρкз_Cu*P342/EN342,"")</f>
        <v>1.6832</v>
      </c>
      <c r="FB342">
        <f t="shared" si="749"/>
        <v>0.56000000000000005</v>
      </c>
      <c r="FC342" s="6" t="str">
        <f>IFERROR(IF(OR(B342="",BV342=1,NOT(ISNUMBER(EN342)),N(P342)=0),"",_xlfn.XLOOKUP(A342,Щиты[Щит],Щиты[Zпетли на шинах, Ом])+FA342),"")</f>
        <v/>
      </c>
      <c r="FD342" s="6" t="str">
        <f>IF(ISNUMBER(FC342),c_min*(Uн_лин*1000/SQRT(3))/FC342,"")</f>
        <v/>
      </c>
      <c r="FE342" s="6" t="str">
        <f>IFERROR(IF(OR(B342="",NOT(ISNUMBER(EN342))),"",1.05*(Uн_лин*1000/SQRT(3))/(_xlfn.XLOOKUP(A342,Щиты[Щит],Щиты[Zmax на шинах, Ом])+FB342)/1000),"")</f>
        <v/>
      </c>
      <c r="FF342" s="6" t="str">
        <f>IF(B342="","",IF(ISNUMBER(AC342),"Сил",IF(IFERROR(_xlfn.XLOOKUP(BC342,Коды_код,Коды_группа)&amp;"","")="","Быт",_xlfn.XLOOKUP(BC342,Коды_код,Коды_группа)&amp;"")))</f>
        <v>Быт</v>
      </c>
      <c r="FG342" s="6" t="str">
        <f t="shared" si="750"/>
        <v>Пост</v>
      </c>
      <c r="FH342" s="6">
        <f>IF(FG342="Щит","щит",IF(FG342="","",IF(FG342="Быт",IFERROR(_xlfn.XLOOKUP(A342,Щиты[Щит],Щиты[Кс быт]),1),IF(FG342="Сил",IF(ISNUMBER(AC342),AC342,IF(Методика="нормы 2026",IFERROR(_xlfn.XLOOKUP(A342,Щиты[Щит],Щиты[Кс силовых (табл. 7.5)]),1),1)),IF(OR(FG342="Пост",FG342="Отоп"),1,IF(FG342="ВНГ",0.7,0))))))</f>
        <v>1</v>
      </c>
      <c r="FI342">
        <f>IF(FG342="","",IF(AND(BP342=1,TRIM(AE342&amp;"")=""),IF(COUNTIFS(Линии[Щит],A342,Линии[Секция (1/2/3)],"&gt;=2")&gt;0,MIN(3,MAX(1,IFERROR(--BD342,1))),1),IFERROR(MIN(3,MAX(1,INT(--AE342))),1)))</f>
        <v>1</v>
      </c>
      <c r="FJ342">
        <f t="shared" si="751"/>
        <v>0</v>
      </c>
      <c r="FK342">
        <f t="shared" si="752"/>
        <v>0</v>
      </c>
      <c r="FL342">
        <f t="shared" si="753"/>
        <v>0</v>
      </c>
      <c r="FM342">
        <f t="shared" si="754"/>
        <v>0</v>
      </c>
      <c r="FN342">
        <f t="shared" si="755"/>
        <v>0</v>
      </c>
      <c r="FO342">
        <f t="shared" si="756"/>
        <v>0</v>
      </c>
      <c r="FP342">
        <f t="shared" si="757"/>
        <v>0</v>
      </c>
      <c r="FQ342">
        <f t="shared" si="758"/>
        <v>0</v>
      </c>
      <c r="FR342">
        <f t="shared" si="759"/>
        <v>0</v>
      </c>
      <c r="FS342">
        <f>IF(CG342=1,IF(AND(CH342=1,CW342=1),0,IF(AND(CS342&lt;&gt;"",CS342=BA342,CW342=1),SUMIFS(Линии[_Р линии, кВт],Линии[_блок УЗО],BA342,Линии[Щит],A342),N(BS342)+IF(AJ342="вручную",0,N(CK342)))),0)</f>
        <v>0</v>
      </c>
      <c r="FT342" t="str">
        <f t="shared" si="760"/>
        <v>L2</v>
      </c>
      <c r="FU342" t="str">
        <f>IF(B342="","",IF(CG342=0,IF(BA342=1,"",FW341),IF(AND(CH342=1,CW342=1,CS342&lt;&gt;""),IFERROR(_xlfn.XLOOKUP(CS342,Линии[_n],Линии[_фаза итог]),"L1"),IF(OR(N(DL342)&gt;=3,N(BX342)&gt;=3),"L1,L2,L3",IFERROR(_xlfn.TEXTBEFORE(_xlfn.TEXTAFTER(_xlfn.XLOOKUP(A342,Щиты[Щит],Щиты[_фазы авто]),";"&amp;BA342&amp;":"),";"),"L1")))))</f>
        <v>L1</v>
      </c>
      <c r="FV342" t="str">
        <f t="shared" si="761"/>
        <v>L2</v>
      </c>
      <c r="FW342" t="str">
        <f t="shared" si="762"/>
        <v>L2</v>
      </c>
      <c r="FX342" cm="1">
        <f t="array" ref="FX342">IFERROR(IF(CD342=2,_xlfn.IFS(BX342=3,VLOOKUP(BS342,Справочная_двигатели,3,FALSE),BX342=1,VLOOKUP(BS342,Справочная_двигатели,5,TRUE)),0),0)</f>
        <v>0</v>
      </c>
      <c r="FY342">
        <f>IFERROR(IF(CD342=3,VLOOKUP(BS342,Справочная_ЛЭД,2,TRUE),0),0)</f>
        <v>0</v>
      </c>
      <c r="FZ342" s="6">
        <f t="shared" si="763"/>
        <v>0</v>
      </c>
      <c r="GA342" t="str">
        <f>IF(B342="","",IF(TRIM(AH342&amp;"")&lt;&gt;"",IF(LOWER(TRIM(AH342&amp;""))="да","да","нет"),IF(IFERROR(_xlfn.XLOOKUP(BC342,Коды_код,Коды_пожарная),"")="да","да","нет")))</f>
        <v>нет</v>
      </c>
      <c r="GB342" t="str">
        <f t="shared" si="764"/>
        <v/>
      </c>
      <c r="GC342" t="str">
        <f t="shared" si="765"/>
        <v>основная</v>
      </c>
      <c r="GD342">
        <f>IF(AND(BP342=1,TRIM(AE342&amp;"")=""),IF(COUNTIFS(Линии[Щит],A342,Линии[Секция (1/2/3)],"&gt;=2")&gt;0,MIN(3,MAX(1,IFERROR(--BD342,1))),1),IFERROR(MIN(3,MAX(1,INT(--AE342))),1))</f>
        <v>1</v>
      </c>
      <c r="GE342" t="str" cm="1">
        <f t="array" ref="GE342">IF(B342="","",_xlfn.LET(_xlpm.t,IFERROR(_xlfn.XLOOKUP(1,(Шины[Шина]=GC342)*(((Шины[Щит]=A342)+(Шины[Щит]=""))&gt;0),Шины[Тип]),"")&amp;"",IF(_xlpm.t&lt;&gt;"",_xlpm.t,IF(ISNUMBER(SEARCH("ИБП",GC342)),"ИБП",IF(ISNUMBER(SEARCH("ДГУ",GC342)),"ДГУ","Ввод "&amp;GD342)))))</f>
        <v>Ввод 1</v>
      </c>
      <c r="GF342" t="str">
        <f t="shared" si="766"/>
        <v>Ввод 1</v>
      </c>
      <c r="GG342" t="str">
        <f>IF(BP342=0,"",IF(TRIM(AG342&amp;"")&lt;&gt;"",TRIM(AG342&amp;""),IF(OR(GE342="ИБП",GE342="ДГУ"),"I особая",_xlfn.XLOOKUP(A342,Щиты[Щит],Щиты[Категория шины «Ввод»],"III"))))</f>
        <v/>
      </c>
      <c r="GH342" t="str">
        <f>IF(A342="","",_xlfn.XLOOKUP(A342,Щиты[Щит],Щиты[Путь],""))</f>
        <v>|ГРЩ-ЖД|ЩУОВ|</v>
      </c>
      <c r="GI342" t="str">
        <f>IF(B342="","",IF(AI342&lt;&gt;"",AI342,IF(IFERROR(_xlfn.XLOOKUP(BC342,Коды_код,Коды_вид)&amp;"","")="","Прочее",_xlfn.XLOOKUP(BC342,Коды_код,Коды_вид)&amp;"")))</f>
        <v>Обогрев водостоков и кровли</v>
      </c>
      <c r="GJ342">
        <f>IF(BM342="","",INT((BM342-1)/Столбцов_на_лист)+1)</f>
        <v>1</v>
      </c>
      <c r="GK342" t="str">
        <f t="shared" si="767"/>
        <v>МКЭШнг(A)-LS (2х0,75) L=24-0%</v>
      </c>
      <c r="GL342">
        <f t="shared" si="768"/>
        <v>0</v>
      </c>
      <c r="GM342">
        <f t="shared" si="769"/>
        <v>0</v>
      </c>
      <c r="GN342">
        <f t="shared" si="770"/>
        <v>1</v>
      </c>
      <c r="GO342">
        <f t="shared" si="771"/>
        <v>0</v>
      </c>
      <c r="GP342">
        <f t="shared" si="772"/>
        <v>1</v>
      </c>
      <c r="GQ342">
        <f>IF(BM342="","",IF(AND(CG342=1,GP342=1),COUNTIFS(A$3:A342,A342,CG$3:CG342,1,GP$3:GP342,1),IF(OR(OR(BA342=1,A342&lt;&gt;A341),AJ342="вручную",GP342=0),"",IF(BA342=1,"",GR341))))</f>
        <v>1</v>
      </c>
      <c r="GR342">
        <f t="shared" si="773"/>
        <v>1</v>
      </c>
      <c r="GS342" t="str">
        <f>IF(B342="","",IFERROR(LOOKUP(INDEX(CHOOSE(EB342,Iдоп_1ж,Iдоп_2ж,Iдоп_3ж),MATCH(EN342,Iдоп_S,0))*DZ342*EA342,{6,10,16,20,25,32,40,50,63,80,100,125,160,200,250,315,400,500,630}),""))</f>
        <v/>
      </c>
      <c r="GT342" t="str">
        <f t="shared" si="774"/>
        <v>QF1</v>
      </c>
      <c r="GU342" t="str">
        <f t="shared" si="775"/>
        <v>QF1</v>
      </c>
      <c r="GV342" t="str">
        <f t="shared" si="776"/>
        <v/>
      </c>
      <c r="GW342">
        <f t="shared" si="777"/>
        <v>0</v>
      </c>
      <c r="GX342" t="str">
        <f>IF(OR(B342="",DJ342=""),"",IFERROR(_xlfn.XLOOKUP(DJ342,Модули_умолч[Управление],Модули_умолч[Модель])&amp;"",""))</f>
        <v/>
      </c>
      <c r="GY342">
        <f>IF(DJ342="",1,IFERROR(MAX(0,N(_xlfn.XLOOKUP(DJ342,Модули_умолч[Управление],Модули_умолч[Каналов на линию]))),1))</f>
        <v>1</v>
      </c>
      <c r="GZ342" t="str">
        <f t="shared" si="778"/>
        <v/>
      </c>
      <c r="HA342" t="str">
        <f t="shared" si="779"/>
        <v/>
      </c>
      <c r="HB342" t="str">
        <f t="shared" si="780"/>
        <v/>
      </c>
      <c r="HC342">
        <f>IF(HB342="",0,IFERROR(N(VLOOKUP(HB342,Модули_спр,3,FALSE)),0))</f>
        <v>0</v>
      </c>
      <c r="HD342" t="str">
        <f t="shared" si="781"/>
        <v/>
      </c>
      <c r="HE342" t="str">
        <f t="shared" si="782"/>
        <v/>
      </c>
      <c r="HF342" t="str">
        <f>IF(OR(HE342="",HE342="-"),"",IFERROR(VLOOKUP(HE342,Модули_спр,2,FALSE),"R"))</f>
        <v/>
      </c>
      <c r="HG342" t="str">
        <f>IF(HF342="","",HF342&amp;"."&amp;COUNTIFS(A$3:A342,A342,HF$3:HF342,HF342))</f>
        <v/>
      </c>
      <c r="HH342" t="str">
        <f t="shared" si="783"/>
        <v/>
      </c>
      <c r="HI342" t="str">
        <f t="shared" si="784"/>
        <v/>
      </c>
      <c r="HJ342" t="str">
        <f t="shared" si="785"/>
        <v/>
      </c>
      <c r="HK342" t="str">
        <f t="shared" si="786"/>
        <v/>
      </c>
      <c r="HL342">
        <f t="shared" si="787"/>
        <v>1</v>
      </c>
      <c r="HM342" t="str">
        <f>IF(HL342=1,"XT"&amp;COUNTIFS(A$3:A342,A342,HL$3:HL342,1),"")</f>
        <v>XT1</v>
      </c>
      <c r="HN342" t="str">
        <f t="shared" si="788"/>
        <v>XT1</v>
      </c>
      <c r="HO342" t="str">
        <f t="shared" si="789"/>
        <v>QF1</v>
      </c>
      <c r="HP342" t="str">
        <f t="shared" si="790"/>
        <v/>
      </c>
      <c r="HQ342" t="str">
        <f t="shared" si="791"/>
        <v>ok</v>
      </c>
      <c r="HR342" t="str">
        <f>IF(OR(HJ342="",HH342=""),"",IF(HJ342+MAX(0,GY342-1)&gt;IFERROR(VLOOKUP(HI342,Модули_спр,3,FALSE),99),"ЛИШНИЙ КАНАЛ",IF(AND(AL342&lt;&gt;"=",GY342&gt;0,COUNTIFS(Линии[_модуль гр.],HH342,Линии[Канал (итог)],HJ342,Линии[Канал],"&lt;&gt;=",Линии[Щит],A342)&gt;1),"ДУБЛЬ КАНАЛА","")))</f>
        <v/>
      </c>
      <c r="HS342" s="6" t="str">
        <f t="shared" si="792"/>
        <v/>
      </c>
      <c r="HT342">
        <f t="shared" si="793"/>
        <v>10</v>
      </c>
      <c r="HU342" t="str">
        <f t="shared" si="794"/>
        <v/>
      </c>
      <c r="HV342">
        <f t="shared" si="795"/>
        <v>0.24</v>
      </c>
      <c r="HW342">
        <f t="shared" si="796"/>
        <v>0</v>
      </c>
      <c r="HX342">
        <f t="shared" si="797"/>
        <v>0</v>
      </c>
      <c r="HY342">
        <f t="shared" si="798"/>
        <v>0</v>
      </c>
      <c r="HZ342">
        <f t="shared" si="799"/>
        <v>0</v>
      </c>
      <c r="IA342">
        <f t="shared" si="800"/>
        <v>0</v>
      </c>
      <c r="IB342">
        <f t="shared" si="801"/>
        <v>0</v>
      </c>
      <c r="IC342" t="str">
        <f t="shared" si="802"/>
        <v/>
      </c>
      <c r="ID342" t="str" cm="1">
        <f t="array" ref="ID342">IF(IC342="","",_xlfn.LET(_xlpm.tk,_xlfn.TEXTSPLIT(SUBSTITUTE(SUBSTITUTE(IC342,";"," "),"→"," ")," ",,TRUE),_xlpm.w_,_xlfn._xlws.FILTER(_xlpm.tk,ISNUMBER(--LEFT(_xlpm.tk,1))*((ISNUMBER(SEARCH("W",_xlpm.tk))+ISNUMBER(SEARCH("Вт",_xlpm.tk)))&gt;0),""),IFERROR(--SUBSTITUTE(SUBSTITUTE(UPPER(INDEX(_xlpm.w_,1)),"W",""),"ВТ",""),"")))</f>
        <v/>
      </c>
      <c r="IE342" t="str" cm="1">
        <f t="array" ref="IE342">IF(IC342="","",_xlfn.LET(_xlpm.tk,_xlfn.TEXTSPLIT(SUBSTITUTE(SUBSTITUTE(IC342,";"," "),"→"," ")," ",,TRUE),_xlpm.v_,_xlfn._xlws.FILTER(_xlpm.tk,ISNUMBER(--LEFT(_xlpm.tk,1))*((ISNUMBER(SEARCH("V",_xlpm.tk))+(RIGHT(UPPER(_xlpm.tk))="В"))&gt;0),""),IFERROR(--SUBSTITUTE(SUBSTITUTE(UPPER(INDEX(_xlpm.v_,1)),"V",""),"В",""),"")))</f>
        <v/>
      </c>
      <c r="IF342" s="6" t="str">
        <f>IF(OR(BV342=0,HI342="",HJ342=""),"",IFERROR(N(_xlfn.XLOOKUP(HI342,Каталог!$C$4:$C$500,Каталог!$Q$4:$Q$500)),""))</f>
        <v/>
      </c>
      <c r="IG342" s="6" t="str">
        <f>IF(N(IF342)=0,"",SUMIFS(Линии[Iр, А],Линии[Щит],A342,Линии[_модуль гр.],HH342,Линии[Канал (итог)],HJ342))</f>
        <v/>
      </c>
      <c r="IH342" t="str">
        <f>IF(AND(B342="",HO342=""),"",_xlfn.TEXTJOIN("; ",TRUE,IF(AND(B342&lt;&gt;"",FV342=""),"нет фазы",""),IF(AND(B342&lt;&gt;"",N(GL342)=0,FG342&lt;&gt;"Нет"),"нет мощности",""),IF(AND(HN342&lt;&gt;"",COUNTIFS(Линии[Щит],A342,Линии[Клемма (итог)],HN342)&gt;1),"дубль клеммы "&amp;HN342,""),IF(AND(HQ342&lt;&gt;"",HQ342&lt;&gt;"ok"),HQ342,""),IF(HR342&lt;&gt;"",HR342,""),IF(AND(N(CB342)&gt;=4,N(BX342)=1),CB342&amp;" жил на 1 фазе",""),IF(AND(BC342="R",CG342=1,IF(CS342&lt;&gt;"",N(CV342)&gt;30,OR(N(DA342)=0,N(DA342)&gt;30))),"розетка без дифзащиты до 30 мА",""),IF(AND(CG342=1,N(DA342)&gt;0,ISNUMBER(T342)),IF(T342&gt;N(DA342)/3,"ток утечки "&amp;FIXED(T342,1)&amp;" мА &gt; 1/3 уставки ("&amp;DA342&amp;" мА)",""),""),IF(AND(CH342=1,CS342=""),"«узо»: нет строки с УЗО выше (УЗО 2P 40А 30мА в «Аппаратах»)",""),IF(AND(CS342&lt;&gt;"",CS342=BA342),IF(CT342="","впишите номинал УЗО (УЗО 2P 40А 30мА)",IF(N(CT342)&lt;N(DT342),"УЗО "&amp;CT342&amp;" А &lt; автомата "&amp;DT342&amp;" А перед ним",IF(N(CT342)&lt;N(CX342),"УЗО "&amp;CT342&amp;" А &lt; тока блока "&amp;FIXED(CX342,1)&amp;" А",""))),""),IF(AND(CS342&lt;&gt;"",CS342=BA342,ISNUMBER(CY342)),IF(CY342&gt;N(CV342)/3,"ток утечки блока УЗО "&amp;FIXED(CY342,1)&amp;" мА &gt; 1/3 уставки ("&amp;CV342&amp;" мА)",""),""),IF(AND(CG342=1,N(BV342)+N(IB342)&gt;0,IC342=""),"линии до 50 В без БП: впишите в «Аппараты» (БП 24V 480W)",""),IF(AND(CG342=1,ISNUMBER(ID342),ISNUMBER(U342)),IF(U342&gt;ID342,"БП "&amp;ID342&amp;" Вт &lt; нужно "&amp;U342&amp;" Вт (×"&amp;Запас_БП&amp;")",""),""),IF(AND(CG342=1,ISNUMBER(IE342),N(BV342)=1),IF(IE342&lt;&gt;N(BU342),"БП на "&amp;IE342&amp;" В, линия "&amp;BU342&amp;" В",""),""),IF(AND(N(IF342)&gt;0,N(IG342)&gt;N(IF342)),HH342&amp;" канал "&amp;HJ342&amp;": "&amp;FIXED(IG342,1)&amp;" А &gt; "&amp;IF342&amp;" А",""),IFERROR(IF(AND(ISNUMBER(Q342),Q342&gt;EL342),"потери "&amp;FIXED(Q342,1)&amp;" % &gt; "&amp;EL342&amp;" %",""),""),IFERROR(IF(LEFT(HU342,4)="мало","Iкз мало — отключение &gt; 0,4 с",""),""),IF(AND(B342&lt;&gt;"",BM342=""),"не на схеме",""),IF(AND(CG342=0,B342&lt;&gt;"",FV342&lt;&gt;"",IF(BA342=1,"",FW341)&lt;&gt;"",FV342&lt;&gt;IF(BA342=1,"",FW341)),"фаза не как у автомата группы ("&amp;IF(BA342=1,"",FW341)&amp;")","")))</f>
        <v>нет мощности</v>
      </c>
      <c r="II342" s="6" t="str">
        <f>IF(OR(CG342=0,DQ342=""),"",_xlfn.LET(_xlpm.t,IFERROR(_xlfn.XLOOKUP(DQ342,Каталог!$U$4:$U$500,Каталог!$G$4:$G$500),""),_xlpm.k,SEARCH("кА",_xlpm.t),IFERROR(--TRIM(RIGHT(SUBSTITUTE(MID(_xlpm.t,MAX(1,_xlpm.k-4),_xlpm.k-MAX(1,_xlpm.k-4))," ",REPT(" ",9)),5)),"")))</f>
        <v/>
      </c>
      <c r="IJ342" t="str">
        <f>IF(OR(II342="",CG342=0),"",IF(_xlfn.XLOOKUP(A342,Щиты[Щит],Щиты[Iкз max на шинах, кА],"")="","",IF(II342&lt;_xlfn.XLOOKUP(A342,Щиты[Щит],Щиты[Iкз max на шинах, кА]),"Icu "&amp;II342&amp;" кА &lt; Iкз max","ok")))</f>
        <v/>
      </c>
      <c r="IK342" t="str">
        <f t="shared" si="803"/>
        <v/>
      </c>
      <c r="IL342" t="str">
        <f t="shared" si="804"/>
        <v>QF1|XT1</v>
      </c>
      <c r="IM342" t="str">
        <f t="shared" si="805"/>
        <v xml:space="preserve">QF1|XT1|кабель МКЭШнг(A)-LS (2х0,75) → </v>
      </c>
      <c r="IN342" t="str" cm="1">
        <f t="array" ref="IN342">IF(IM342="","",_xlfn.LET(_xlpm.nd,_xlfn.TEXTSPLIT(IM342,"|"),IF(COLUMNS(_xlpm.nd)&gt;1,A342&amp;"¦"&amp;INDEX(_xlpm.nd,1)&amp;"¦"&amp;INDEX(_xlpm.nd,2),"")))</f>
        <v>ЩУОВ¦QF1¦XT1</v>
      </c>
      <c r="IO342" t="str">
        <f t="shared" si="806"/>
        <v>DW.1¦</v>
      </c>
      <c r="IP342" t="str" cm="1">
        <f t="array" ref="IP342">IF(IM342="","",_xlfn.LET(_xlpm.nd,_xlfn.TEXTSPLIT(IM342,"|"),IF(COLUMNS(_xlpm.nd)&gt;2,A342&amp;"¦"&amp;INDEX(_xlpm.nd,2)&amp;"¦"&amp;INDEX(_xlpm.nd,3),"")))</f>
        <v xml:space="preserve">ЩУОВ¦XT1¦кабель МКЭШнг(A)-LS (2х0,75) → </v>
      </c>
      <c r="IQ342" t="str">
        <f t="shared" si="807"/>
        <v>DW.1¦</v>
      </c>
      <c r="IR342" t="str" cm="1">
        <f t="array" ref="IR342">IF(IM342="","",_xlfn.LET(_xlpm.nd,_xlfn.TEXTSPLIT(IM342,"|"),IF(COLUMNS(_xlpm.nd)&gt;3,A342&amp;"¦"&amp;INDEX(_xlpm.nd,3)&amp;"¦"&amp;INDEX(_xlpm.nd,4),"")))</f>
        <v/>
      </c>
      <c r="IS342" t="str">
        <f t="shared" si="808"/>
        <v/>
      </c>
      <c r="IT342" t="str" cm="1">
        <f t="array" ref="IT342">IF(IM342="","",_xlfn.LET(_xlpm.nd,_xlfn.TEXTSPLIT(IM342,"|"),IF(COLUMNS(_xlpm.nd)&gt;4,A342&amp;"¦"&amp;INDEX(_xlpm.nd,4)&amp;"¦"&amp;INDEX(_xlpm.nd,5),"")))</f>
        <v/>
      </c>
      <c r="IU342" t="str">
        <f t="shared" si="809"/>
        <v/>
      </c>
      <c r="IV342" t="str" cm="1">
        <f t="array" ref="IV342">IF(IM342="","",_xlfn.LET(_xlpm.nd,_xlfn.TEXTSPLIT(IM342,"|"),IF(COLUMNS(_xlpm.nd)&gt;5,A342&amp;"¦"&amp;INDEX(_xlpm.nd,5)&amp;"¦"&amp;INDEX(_xlpm.nd,6),"")))</f>
        <v/>
      </c>
      <c r="IW342" t="str">
        <f t="shared" si="810"/>
        <v/>
      </c>
      <c r="IX342" t="str" cm="1">
        <f t="array" ref="IX342">IF(IM342="","",_xlfn.LET(_xlpm.nd,_xlfn.TEXTSPLIT(IM342,"|"),IF(COLUMNS(_xlpm.nd)&gt;6,A342&amp;"¦"&amp;INDEX(_xlpm.nd,6)&amp;"¦"&amp;INDEX(_xlpm.nd,7),"")))</f>
        <v/>
      </c>
      <c r="IY342" t="str">
        <f t="shared" si="811"/>
        <v/>
      </c>
      <c r="IZ342" t="str">
        <f t="shared" si="812"/>
        <v/>
      </c>
      <c r="JA342" t="str">
        <f t="shared" si="813"/>
        <v>QF1 → XT1</v>
      </c>
      <c r="JB342">
        <f t="shared" si="814"/>
        <v>0</v>
      </c>
      <c r="JC342">
        <f t="shared" si="815"/>
        <v>0</v>
      </c>
      <c r="JD342" t="str">
        <f t="shared" si="816"/>
        <v/>
      </c>
      <c r="JE342" t="str">
        <f t="shared" si="817"/>
        <v/>
      </c>
      <c r="JF342" t="str">
        <f t="shared" si="818"/>
        <v/>
      </c>
      <c r="JG342" t="str">
        <f t="shared" si="819"/>
        <v/>
      </c>
      <c r="JH342" t="str">
        <f>IF(B342="","",IFERROR(_xlfn.XLOOKUP(B342,Коды_код,Коды_уго),IFERROR(_xlfn.XLOOKUP(BC342,Коды_код,Коды_уго),IFERROR(_xlfn.XLOOKUP(LEFT(BC342,2),Коды_код,Коды_уго),""))))</f>
        <v/>
      </c>
      <c r="JI342" t="str">
        <f>IF(B342="","",IF(OR(JH342="",JH342=0),"BOX",IFERROR(IF(VLOOKUP(JH342,УГО_блоки,3,FALSE)&amp;""&lt;&gt;"",VLOOKUP(JH342,УГО_блоки,3,FALSE),VLOOKUP(JH342,УГО_блоки,2,FALSE)),JH342)))</f>
        <v>BOX</v>
      </c>
      <c r="JJ342">
        <f t="shared" si="820"/>
        <v>1</v>
      </c>
      <c r="JK342" t="str">
        <f>IF(DQ342="","",IF(COUNTIF(DQ$3:DQ342,DQ342)=1,MAX(JK$2:JK341)+1,""))</f>
        <v/>
      </c>
      <c r="JL342" t="str">
        <f>IF(DE342="","",IF(COUNTIF(DE$3:DE342,DE342)+COUNTIF(DF$2:DF341,DE342)+COUNTIF(DG$2:DG341,DE342)=1,MAX(JL$2:JN341)+1,""))</f>
        <v/>
      </c>
      <c r="JM342" t="str">
        <f>IF(DF342="","",IF(COUNTIF(DE$3:DE342,DF342)+COUNTIF(DF$3:DF342,DF342)+COUNTIF(DG$2:DG341,DF342)=1,MAX(JL$2:JN341,JL342)+1,""))</f>
        <v/>
      </c>
      <c r="JN342" t="str">
        <f>IF(DG342="","",IF(COUNTIF(DE$3:DE342,DG342)+COUNTIF(DF$3:DF342,DG342)+COUNTIF(DG$3:DG342,DG342)=1,MAX(JL$2:JN341,JL342,JM342)+1,""))</f>
        <v/>
      </c>
      <c r="JO342" t="str">
        <f t="shared" si="821"/>
        <v>2х0,75</v>
      </c>
      <c r="JP342">
        <f>IF(JO342="","",IF(COUNTIF(JO$3:JO342,JO342)=1,MAX(JP$2:JP341)+1,""))</f>
        <v>14</v>
      </c>
      <c r="JQ342" t="str">
        <f>IF(HG342="","",COUNTIF(HG$3:HG342,"?*"))</f>
        <v/>
      </c>
      <c r="JR342" t="str">
        <f>IF(OR(HG342="",HI342=""),"",IF(COUNTIFS(HG$3:HG342,"?*",HI$3:HI342,HI342)=1,MAX(JR$2:JR341)+1,""))</f>
        <v/>
      </c>
      <c r="JS342">
        <f t="shared" si="822"/>
        <v>1</v>
      </c>
      <c r="JT342">
        <f>IF(B342="","",COUNTIF(B$3:B342,"?*"))</f>
        <v>340</v>
      </c>
      <c r="JU342">
        <f>IF(HL342&lt;&gt;1,0,_xlfn.LET(_xlpm.k,MAX(IFERROR(--_xlfn.XLOOKUP(B342,Коды_код,Коды_3L),0),IFERROR(--_xlfn.XLOOKUP(BC342,Коды_код,Коды_3L),0),IFERROR(--_xlfn.XLOOKUP(LEFT(BC342,2),Коды_код,Коды_3L),0)),IF(_xlpm.k&gt;0,_xlpm.k,IF(IFERROR(--LEFT(SUBSTITUTE(JO342,"x","х"),FIND("х",SUBSTITUTE(JO342,"x","х"))-1),3)&gt;3,Каталог!$S$9,1))))</f>
        <v>1</v>
      </c>
      <c r="JV342">
        <f t="shared" si="823"/>
        <v>0</v>
      </c>
      <c r="JW342" t="str">
        <f t="shared" si="824"/>
        <v>авто</v>
      </c>
      <c r="JX342" t="str">
        <f t="shared" si="825"/>
        <v/>
      </c>
      <c r="JY342">
        <f t="shared" si="826"/>
        <v>0</v>
      </c>
      <c r="JZ342">
        <f t="shared" si="827"/>
        <v>1</v>
      </c>
    </row>
    <row r="343" spans="1:286" x14ac:dyDescent="0.3">
      <c r="A343" t="s">
        <v>769</v>
      </c>
      <c r="B343" t="s">
        <v>1641</v>
      </c>
      <c r="C343" t="str">
        <f>Линии[[#This Row],[_авто наименование]]</f>
        <v/>
      </c>
      <c r="D343">
        <v>1</v>
      </c>
      <c r="E343">
        <v>0</v>
      </c>
      <c r="G343" t="str">
        <f>Линии[[#This Row],[_авто автомат]]</f>
        <v>1P С6А</v>
      </c>
      <c r="H343" t="str">
        <f>Линии[[#This Row],[_авто управление]]</f>
        <v/>
      </c>
      <c r="I343" t="str">
        <f>Линии[[#This Row],[_авто аппараты]]</f>
        <v/>
      </c>
      <c r="J343">
        <v>0.75</v>
      </c>
      <c r="K343">
        <v>19</v>
      </c>
      <c r="L343">
        <v>2</v>
      </c>
      <c r="M343" t="str">
        <f>Линии[[#This Row],[_авто клемма]]</f>
        <v>XT2</v>
      </c>
      <c r="N343" t="str">
        <f t="shared" si="690"/>
        <v>нет мощности</v>
      </c>
      <c r="O343" s="6" cm="1">
        <f t="array" ref="O343">IF(B343="","",IF(BH343&lt;&gt;"",IFERROR(_xlfn.XLOOKUP(BH343,Щиты[Щит],Щиты[Iр, А]),""),IF(BP343=1,IF(OR(N(_xlfn.XLOOKUP(A343,Щиты[Щит],Щиты[Вводов],1))&lt;=1,LOWER(TRIM(_xlfn.XLOOKUP(A343,Щиты[Щит],Щиты[АВР],"")&amp;""))="да"),IFERROR(_xlfn.XLOOKUP(A343,Щиты[Щит],Щиты[Iр, А]),""),IFERROR(N(BS343)*_xlfn.XLOOKUP(A343,Щиты[Щит],Щиты[Кс итог])/(SQRT(3)*Uн_лин*_xlfn.XLOOKUP(A343,Щиты[Щит],Щиты[cos φ])),"")),IF(BV343=1,IFERROR(BS343*1000/BU343,""),IFERROR(_xlfn.IFS(BX343=1,BS343/((Uн_лин/SQRT(3))*CE343),BX343=3,BS343/(SQRT(3)*Uн_лин*CE343)),"")))))</f>
        <v>0</v>
      </c>
      <c r="P343" s="7">
        <f>IF(B343="","",IFERROR(IF(VLOOKUP(BC343,Потребители_обозначение,4,FALSE)=1,VLOOKUP(BC343,Потребители_обозначение,3,FALSE)*(MAX(1,N(D343))*2-1)+EI343+VLOOKUP(BE343,Этаж_обозначение,3,FALSE)+VLOOKUP(BE343,Этаж_обозначение,4,FALSE),VLOOKUP(BC343,Потребители_обозначение,3,FALSE)*(MAX(1,N(D343))*2-1)+EI343),EI343))</f>
        <v>19</v>
      </c>
      <c r="Q343" s="6">
        <f t="shared" si="691"/>
        <v>2.4899999999999998</v>
      </c>
      <c r="R343" t="str">
        <f t="shared" si="692"/>
        <v>МКЭШнг(A)-LS (2х0,75)</v>
      </c>
      <c r="S343" t="str">
        <f>IF(BM343="","",IF(BN343="вводной узел","узел ","")&amp;"л."&amp;(INT((BM343-1)/Столбцов_на_лист)+1)&amp;" / "&amp;(MOD(BM343-1,Столбцов_на_лист)+1))</f>
        <v>л.1 / 12</v>
      </c>
      <c r="T343" s="119">
        <f t="shared" si="693"/>
        <v>0.2</v>
      </c>
      <c r="U343" s="7" t="str">
        <f>IF(OR(CG343=0,N(BV343)+N(IB343)=0),"",ROUNDUP(Запас_БП*(N(HY343)+N(HZ343)),0))</f>
        <v/>
      </c>
      <c r="V343" s="119" t="str">
        <f t="shared" si="694"/>
        <v/>
      </c>
      <c r="W343" s="7" t="str">
        <f>IFERROR(IF(OR(B343="",BP343=1,BV343=1,NOT(ISNUMBER(EN343)),N(DT343)=0),"",MAX(0,ROUNDDOWN((c_min*(Uн_лин*1000/SQRT(3))/(HT343*N(DT343))-_xlfn.XLOOKUP(A343,Щиты[Щит],Щиты[Zпетли на шинах, Ом]))*EN343/(2*ρкз_Cu),0))),"")</f>
        <v/>
      </c>
      <c r="Y343" t="str">
        <f>Линии[[#This Row],[_авто утечка]]</f>
        <v/>
      </c>
      <c r="Z343">
        <v>1</v>
      </c>
      <c r="AA343">
        <v>0</v>
      </c>
      <c r="AB343" t="s">
        <v>573</v>
      </c>
      <c r="AG343" t="s">
        <v>810</v>
      </c>
      <c r="AI343" t="s">
        <v>609</v>
      </c>
      <c r="AK343" t="str">
        <f>Линии[[#This Row],[_авто модуль]]</f>
        <v/>
      </c>
      <c r="AM343">
        <v>12</v>
      </c>
      <c r="AN343" t="s">
        <v>601</v>
      </c>
      <c r="AO343">
        <v>2</v>
      </c>
      <c r="AR343">
        <v>9</v>
      </c>
      <c r="AS343">
        <v>10</v>
      </c>
      <c r="BA343" cm="1">
        <f t="array" ref="BA343">ROW()-ROW(Линии[#Headers])</f>
        <v>341</v>
      </c>
      <c r="BC343" s="6" t="str">
        <f t="shared" si="695"/>
        <v>DT</v>
      </c>
      <c r="BD343" t="str">
        <f t="shared" si="696"/>
        <v>1</v>
      </c>
      <c r="BE343" t="str">
        <f t="shared" si="697"/>
        <v>1</v>
      </c>
      <c r="BF343" t="str">
        <f t="shared" si="698"/>
        <v/>
      </c>
      <c r="BG343" t="str">
        <f t="shared" si="699"/>
        <v/>
      </c>
      <c r="BH343" t="str">
        <f>IF(X343&lt;&gt;"",X343,IF(AND(B343&lt;&gt;"",B343&lt;&gt;A343,ISNUMBER(_xlfn.XMATCH(B343,Щиты[Щит]))),B343,""))</f>
        <v/>
      </c>
      <c r="BI343" t="str" cm="1">
        <f t="array" ref="BI343">IF(B343="","",IF(BH343&lt;&gt;"","Щит "&amp;BH343,_xlfn.LET(_xlpm.nm,IFERROR(_xlfn.XLOOKUP(BC343,Коды_код,Коды_имя)&amp;"",""),_xlpm.md,IFERROR(N(_xlfn.XLOOKUP(BC343,Коды_код,Коды_режим)),1),_xlpm.ex,IF(Имя_режим="по экспликации",IFERROR(_xlfn.XLOOKUP(BE343&amp;"|"&amp;BG343,Экспликация[Этаж]&amp;"|"&amp;Экспликация[Помещение],Экспликация[Название])&amp;"",""),""),_xlpm.rm,IF(BG343="","",IF(_xlpm.ex&lt;&gt;"",". "&amp;_xlpm.ex&amp;IF(Имя_пом="нет"," ("&amp;BG343&amp;")"," (пом. "&amp;BG343&amp;")"),IF(Имя_пом="нет"," ",", пом. ")&amp;BG343)),IF(_xlpm.nm="","",IF(_xlpm.md=2,_xlpm.nm&amp;" шлейф "&amp;BE343,_xlpm.nm&amp;_xlpm.rm)))))</f>
        <v/>
      </c>
      <c r="BJ343" t="str">
        <f t="shared" si="700"/>
        <v/>
      </c>
      <c r="BK343">
        <f>IFERROR(_xlfn.XMATCH(A343,Щиты[Щит]),0)</f>
        <v>17</v>
      </c>
      <c r="BL343">
        <f>_xlfn.LET(_xlpm.k,IFERROR(_xlfn.XLOOKUP(A343,Щиты[Щит],Щиты[Мест под вводной узел]),""),IF(_xlpm.k="",Столбцов_на_лист,N(_xlpm.k)))</f>
        <v>10</v>
      </c>
      <c r="BM343">
        <f t="shared" si="701"/>
        <v>12</v>
      </c>
      <c r="BN343" t="str">
        <f t="shared" si="702"/>
        <v>линии</v>
      </c>
      <c r="BO343" s="6">
        <f>IFERROR(N(_xlfn.XLOOKUP(BC343,Коды_код,Коды_квт)),0)</f>
        <v>0</v>
      </c>
      <c r="BP343">
        <f t="shared" si="703"/>
        <v>0</v>
      </c>
      <c r="BQ343" t="str">
        <f>IF(B343="","",IF(BH343&lt;&gt;"",IFERROR(_xlfn.XLOOKUP(BH343,Щиты[Щит],Щиты[Руст, кВт]),0),IF(BP343=1,IF(OR(N(_xlfn.XLOOKUP(A343,Щиты[Щит],Щиты[Вводов],1))&lt;=1,LOWER(TRIM(_xlfn.XLOOKUP(A343,Щиты[Щит],Щиты[АВР],"")&amp;""))="да"),IFERROR(_xlfn.XLOOKUP(A343,Щиты[Щит],Щиты[Руст, кВт]),0),SUMIFS(Линии[_Р для вводов],Линии[Щит],A343,Линии[Источник для режимов],GF343)),IF(BO343&gt;0,ROUND(BO343*MAX(1,N(D343)),3),""))))</f>
        <v/>
      </c>
      <c r="BR343">
        <f t="shared" si="704"/>
        <v>0</v>
      </c>
      <c r="BS343" s="6">
        <f>IF(B343="","",IF(BH343&lt;&gt;"",IFERROR(_xlfn.XLOOKUP(BH343,Щиты[Щит],Щиты[Руст, кВт]),0),N(BR343)))</f>
        <v>0</v>
      </c>
      <c r="BT343" t="str">
        <f>IF(B343="","",IFERROR(IF(VLOOKUP(BC343,Потребители_обозначение,8,FALSE)=0,"",VLOOKUP(BC343,Потребители_обозначение,8,FALSE)),""))</f>
        <v/>
      </c>
      <c r="BU343">
        <f t="shared" si="705"/>
        <v>0</v>
      </c>
      <c r="BV343">
        <f t="shared" si="706"/>
        <v>0</v>
      </c>
      <c r="BW343">
        <f>IF(B343="","",IF(BH343&lt;&gt;"",3,IFERROR(IF(N(VLOOKUP(BC343,Потребители_обозначение,9,FALSE))=0,1,VLOOKUP(BC343,Потребители_обозначение,9,FALSE)),1)))</f>
        <v>1</v>
      </c>
      <c r="BX343">
        <f t="shared" si="707"/>
        <v>1</v>
      </c>
      <c r="BY343" t="str">
        <f>IF(B343="","",_xlfn.LET(_xlpm.bc,IFERROR(IF(VLOOKUP(BC343,Потребители_обозначение,6,FALSE)=0,"",VLOOKUP(BC343,Потребители_обозначение,6,FALSE)&amp;""),""),IF(AND(GA343="да",OR(_xlpm.bc="",_xlpm.bc="мс")),Марка_пож,IF(AND(_xlpm.bc="",BH343&lt;&gt;""),"мс",_xlpm.bc))))</f>
        <v/>
      </c>
      <c r="BZ343" t="str">
        <f t="shared" si="708"/>
        <v>эк</v>
      </c>
      <c r="CA343">
        <f>IF(B343="","",_xlfn.LET(_xlpm.cc,IFERROR(N(VLOOKUP(BC343,Потребители_обозначение,7,FALSE)),0),IF(_xlpm.cc&gt;0,_xlpm.cc,IF(BZ343="","",IF(BV343=1,2,IF(N(BX343)=3,5,3))))))</f>
        <v>3</v>
      </c>
      <c r="CB343">
        <f t="shared" si="709"/>
        <v>2</v>
      </c>
      <c r="CC343">
        <f>IFERROR(N(VLOOKUP(BC343,Потребители_обозначение,10,FALSE)),0)</f>
        <v>0</v>
      </c>
      <c r="CD343">
        <f>IFERROR(VLOOKUP(BC343,Потребители_обозначение,5,FALSE),0)</f>
        <v>0</v>
      </c>
      <c r="CE343" s="6" cm="1">
        <f t="array" ref="CE343">IF(B343="","",IF(BH343&lt;&gt;"",IFERROR(_xlfn.XLOOKUP(BH343,Щиты[Щит],Щиты[cos φ]),0.95),IF(BP343=1,IFERROR(_xlfn.XLOOKUP(A343,Щиты[Щит],Щиты[cos φ]),0.95),IF(ISNUMBER(AD343),AD343,IFERROR(IF(CD343=2,_xlfn.IFS(BX343=3,VLOOKUP(BS343,Справочная_двигатели,8,FALSE),BX343=1,VLOOKUP(BS343,Справочная_двигатели,10,TRUE)),IF(AND(Методика="нормы 2026",FG343="Сил"),0.8,0.95)),0.95)))))</f>
        <v>0.95</v>
      </c>
      <c r="CF343">
        <f t="shared" si="710"/>
        <v>0</v>
      </c>
      <c r="CG343">
        <f t="shared" si="711"/>
        <v>1</v>
      </c>
      <c r="CH343">
        <f t="shared" si="712"/>
        <v>0</v>
      </c>
      <c r="CI343">
        <f>IF(B343="","",IF(BV343=1,IFERROR(BS343/((Uн_лин/SQRT(3))*MAX(0.5,N(CE343))),0),N(O343)))</f>
        <v>0</v>
      </c>
      <c r="CJ343">
        <f t="shared" si="713"/>
        <v>0</v>
      </c>
      <c r="CK343">
        <f t="shared" si="714"/>
        <v>0</v>
      </c>
      <c r="CL343">
        <f t="shared" si="715"/>
        <v>0</v>
      </c>
      <c r="CM343">
        <f t="shared" si="716"/>
        <v>0</v>
      </c>
      <c r="CN343">
        <f t="shared" si="717"/>
        <v>0</v>
      </c>
      <c r="CO343">
        <f>IF(BC343="",0,_xlfn.LET(_xlpm.v,IFERROR(_xlfn.XLOOKUP(B343,Коды_код,Коды_мА),IFERROR(_xlfn.XLOOKUP(BC343,Коды_код,Коды_мА),IFERROR(_xlfn.XLOOKUP(LEFT(BC343,2),Коды_код,Коды_мА),""))),IF(_xlpm.v="да",30,IF(ISNUMBER(_xlpm.v),_xlpm.v,0))))</f>
        <v>0</v>
      </c>
      <c r="CP343" t="str">
        <f t="shared" si="718"/>
        <v/>
      </c>
      <c r="CQ343" t="str">
        <f>_xlfn.LET(_xlpm.k,IFERROR(_xlfn.XLOOKUP(BC343,Коды_код,Коды_утечка)&amp;"",""),IF(_xlpm.k="","дифавтомат",_xlpm.k))</f>
        <v>дифавтомат</v>
      </c>
      <c r="CR343" t="str" cm="1">
        <f t="array" ref="CR343">IF(CG343=0,"",_xlfn.LET(_xlpm.sg,TRIM(_xlfn.TEXTSPLIT(DD343&amp;"",";")),_xlpm.f_,_xlfn._xlws.FILTER(_xlpm.sg,LEFT(_xlpm.sg,3)="УЗО",""),IFERROR(INDEX(_xlpm.f_,1)&amp;"","")))</f>
        <v/>
      </c>
      <c r="CS343" t="str">
        <f t="shared" si="719"/>
        <v/>
      </c>
      <c r="CT343" s="6" t="str" cm="1">
        <f t="array" ref="CT343">IF(CR343="","",_xlfn.LET(_xlpm.tk,_xlfn.TEXTSPLIT(UPPER(CR343)," ",,TRUE),_xlpm.a_,_xlfn._xlws.FILTER(_xlpm.tk,ISNUMBER(--LEFT(_xlpm.tk,1))*((ISNUMBER(SEARCH("А",_xlpm.tk))+ISNUMBER(SEARCH("A",_xlpm.tk)))&gt;0)*NOT(ISNUMBER(SEARCH("МА",_xlpm.tk)))*NOT(ISNUMBER(SEARCH("MA",_xlpm.tk))),""),IFERROR(--SUBSTITUTE(SUBSTITUTE(INDEX(_xlpm.a_,1),"А",""),"A",""),"")))</f>
        <v/>
      </c>
      <c r="CU343" t="str" cm="1">
        <f t="array" ref="CU343">IF(CR343="","",_xlfn.LET(_xlpm.tk,_xlfn.TEXTSPLIT(UPPER(CR343)," ",,TRUE),_xlpm.a_,_xlfn._xlws.FILTER(_xlpm.tk,ISNUMBER(--LEFT(_xlpm.tk,1))*((ISNUMBER(SEARCH("МА",_xlpm.tk))+ISNUMBER(SEARCH("MA",_xlpm.tk)))&gt;0),""),IFERROR(--SUBSTITUTE(SUBSTITUTE(INDEX(_xlpm.a_,1),"МА",""),"MA",""),30)))</f>
        <v/>
      </c>
      <c r="CV343" t="str">
        <f>IF(CS343="","",IFERROR(_xlfn.XLOOKUP(CS343,Линии[_n],Линии[_УЗО, мА]),30))</f>
        <v/>
      </c>
      <c r="CW343">
        <f>IF(CS343="",0,IF(ISNUMBER(SEARCH("4P",IFERROR(_xlfn.XLOOKUP(CS343,Линии[_n],Линии[_УЗО строки])&amp;"",""))),0,1))</f>
        <v>0</v>
      </c>
      <c r="CX343" t="str">
        <f>IF(AND(CS343&lt;&gt;"",CS343=BA343),SUMIFS(Линии[_ток на 230 В],Линии[_блок УЗО],BA343,Линии[Щит],A343),"")</f>
        <v/>
      </c>
      <c r="CY343" t="str">
        <f>IF(AND(CS343&lt;&gt;"",CS343=BA343),SUMIFS(Линии[_ток утечки линии, мА],Линии[_блок УЗО],BA343,Линии[Щит],A343),"")</f>
        <v/>
      </c>
      <c r="CZ343">
        <f t="shared" si="720"/>
        <v>0</v>
      </c>
      <c r="DA343">
        <f t="shared" si="721"/>
        <v>0</v>
      </c>
      <c r="DB343">
        <f>IF(B343="",0,IFERROR(--_xlfn.XLOOKUP(B343,Коды_код,Коды_минавт),IFERROR(--_xlfn.XLOOKUP(BC343,Коды_код,Коды_минавт),IFERROR(--_xlfn.XLOOKUP(LEFT(BC343,2),Коды_код,Коды_минавт),0))))</f>
        <v>0</v>
      </c>
      <c r="DC343" t="str">
        <f>IF(B343="","",IFERROR(_xlfn.XLOOKUP(BC343,Коды_код,Коды_апп)&amp;"",""))</f>
        <v/>
      </c>
      <c r="DD343" t="str">
        <f t="shared" si="722"/>
        <v/>
      </c>
      <c r="DE343" t="str" cm="1">
        <f t="array" ref="DE343">IF(TRIM(DD343&amp;"")="","",IFERROR(TRIM(INDEX(_xlfn.TEXTSPLIT(DD343&amp;";;;",";"),1)),""))</f>
        <v/>
      </c>
      <c r="DF343" t="str" cm="1">
        <f t="array" ref="DF343">IF(TRIM(DD343&amp;"")="","",IFERROR(TRIM(INDEX(_xlfn.TEXTSPLIT(DD343&amp;";;;",";"),2)),""))</f>
        <v/>
      </c>
      <c r="DG343" t="str" cm="1">
        <f t="array" ref="DG343">IF(TRIM(DD343&amp;"")="","",IFERROR(TRIM(INDEX(_xlfn.TEXTSPLIT(DD343&amp;";;;",";"),3)),""))</f>
        <v/>
      </c>
      <c r="DH343">
        <f t="shared" si="723"/>
        <v>0</v>
      </c>
      <c r="DI343" t="str">
        <f>IF(B343="","",_xlfn.LET(_xlpm.t,LOWER(AZ343&amp;""),IF(ISNUMBER(SEARCH("dim",_xlpm.t)),"DIM",IF(ISNUMBER(SEARCH("dali",_xlpm.t)),"DALI",IF(OR(ISNUMBER(SEARCH("relay",_xlpm.t)),ISNUMBER(SEARCH("реле",_xlpm.t))),"Relay",IF(ISNUMBER(SEARCH("кнопк",_xlpm.t)),"",IFERROR(_xlfn.XLOOKUP(BC343,Коды_код,Коды_упр)&amp;"","")))))))</f>
        <v/>
      </c>
      <c r="DJ343" t="str">
        <f t="shared" si="724"/>
        <v/>
      </c>
      <c r="DK343">
        <f>IF(B343="","",_xlfn.LET(_xlpm.ig,IF(N(CX343)&gt;0,N(CX343),N(CI343)+IF(AJ343="вручную",0,N(CJ343))),_xlpm.n0,IFERROR(VLOOKUP(_xlpm.ig,Автомат_номиналы,2,TRUE),0),_xlpm.mn,MAX(DB343,IF(AJ343="вручную",0,N(CM343))),MAX(_xlpm.n0,_xlpm.mn,IF(DH343=1,Мин_автомат_БП,0))))</f>
        <v>6</v>
      </c>
      <c r="DL343">
        <f t="shared" si="725"/>
        <v>1</v>
      </c>
      <c r="DM343" t="str">
        <f t="shared" si="726"/>
        <v>1P</v>
      </c>
      <c r="DN343" t="str">
        <f>_xlfn.LET(_xlpm.cc,UPPER(TRIM(IFERROR(_xlfn.XLOOKUP(BC343,Коды_код,Коды_хар)&amp;"",""))),IF(OR(_xlpm.cc="B",_xlpm.cc="В"),"B",IF(_xlpm.cc="D","D","С")))</f>
        <v>С</v>
      </c>
      <c r="DO343" t="str">
        <f t="shared" si="727"/>
        <v>1P С6А</v>
      </c>
      <c r="DP343" t="str">
        <f t="shared" si="728"/>
        <v>1P С6А</v>
      </c>
      <c r="DQ343" t="str">
        <f t="shared" si="729"/>
        <v>1P С6А</v>
      </c>
      <c r="DR343" cm="1">
        <f t="array" ref="DR343">IF(DQ343="","",_xlfn.LET(_xlpm.t,SUBSTITUTE(SUBSTITUTE(SUBSTITUTE(UPPER(DQ343),"С","C"),"А","A"),"В","B"),_xlpm.tk,_xlfn.TEXTSPLIT(_xlpm.t," "),_xlpm.f,_xlfn._xlws.FILTER(_xlpm.tk,ISNUMBER(--MID(_xlpm.tk,2,1))*ISNUMBER(SEARCH(LEFT(_xlpm.tk,1)&amp;"#","B#C#D#"))*(LEN(_xlpm.tk)&gt;1),""),_xlpm.x,INDEX(_xlpm.f,1),IFERROR(--SUBSTITUTE(MID(_xlpm.x,2,9),"A",""),IFERROR(--SUBSTITUTE(INDEX(_xlfn._xlws.FILTER(_xlpm.tk,ISNUMBER(--SUBSTITUTE(_xlpm.tk,"A","")),""),1),"A",""),""))))</f>
        <v>6</v>
      </c>
      <c r="DS343" t="str">
        <f t="shared" si="730"/>
        <v>ok</v>
      </c>
      <c r="DT343">
        <f t="shared" si="731"/>
        <v>6</v>
      </c>
      <c r="DU343" t="str">
        <f t="shared" si="732"/>
        <v>1P С6А</v>
      </c>
      <c r="DV343">
        <f t="shared" si="733"/>
        <v>0</v>
      </c>
      <c r="DW343">
        <f t="shared" si="734"/>
        <v>0</v>
      </c>
      <c r="DX343">
        <f t="shared" si="735"/>
        <v>0</v>
      </c>
      <c r="DY343">
        <f t="shared" si="736"/>
        <v>0</v>
      </c>
      <c r="DZ343">
        <f t="shared" si="737"/>
        <v>1</v>
      </c>
      <c r="EA343">
        <f>IF(ISNUMBER(AP343),AP343,К_прокл)</f>
        <v>1</v>
      </c>
      <c r="EB343">
        <f t="shared" si="738"/>
        <v>2</v>
      </c>
      <c r="EC343">
        <f>IFERROR(N(VLOOKUP(BZ343,Кабель_обозначение,3,FALSE)),1)</f>
        <v>1</v>
      </c>
      <c r="ED343">
        <f>IFERROR(N(_xlfn.XLOOKUP(A343,Щиты[Щит],Щиты[ΔU до шин, %])),0)</f>
        <v>2.4899999999999998</v>
      </c>
      <c r="EE343" t="str">
        <f>IFERROR(_xlfn.XLOOKUP(A343,Щиты[Щит],Щиты[Zпетли на шинах, Ом]),"")</f>
        <v/>
      </c>
      <c r="EF343">
        <f>IFERROR(N(_xlfn.XLOOKUP(A343,Щиты[Щит],Щиты[ΔU до шин (подбор), %])),0)</f>
        <v>3.73</v>
      </c>
      <c r="EG343" t="str">
        <f>IFERROR(_xlfn.XLOOKUP(A343,Щиты[Щит],Щиты[Zпетли на шинах (подбор), Ом]),"")</f>
        <v/>
      </c>
      <c r="EH343" t="str">
        <f t="shared" si="739"/>
        <v/>
      </c>
      <c r="EI343">
        <f t="shared" si="740"/>
        <v>19</v>
      </c>
      <c r="EJ343">
        <f t="shared" si="741"/>
        <v>2</v>
      </c>
      <c r="EK343">
        <f t="shared" si="742"/>
        <v>0.31</v>
      </c>
      <c r="EL343" s="6">
        <f>IF(B343="","",IF(BV343=1,dU_LED,IF(IFERROR(_xlfn.XLOOKUP(BC343,Коды_код,Коды_уго),"")="Светильник",3,4)+IF(Методика="нормы 2026",MIN(0.5,MAX(0,N(P343)-100)*0.005),0)))</f>
        <v>4</v>
      </c>
      <c r="EM343" cm="1">
        <f t="array" ref="EM343">IF(OR(B343="",BZ343="",EC343&lt;&gt;1),"",_xlfn.LET(_xlpm.sz,Iдоп_S,_xlpm.t_,CHOOSE(EB343,Iдоп_1ж,Iдоп_2ж,Iдоп_3ж)*DZ343*EA343,_xlpm.dcx,BV343=1,_xlpm.inn,IF(_xlpm.dcx,N(O343),N(DT343)),_xlpm.smin,MAX(1.5,CC343),_xlpm.L_,N(P343)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343)/N(BU343)*100,999),IFERROR(N(EJ343)*(_xlpm.rho*_xlpm.L_/_xlpm.sz*N(CE343)+_xlpm.xx*_xlpm.L_*N(EK343)/1000)*N(O343)/((Uн_лин/SQRT(3))*1000)*100,999)),_xlpm.kz,IF(OR(_xlpm.dcx,DW343=1,NOT(ISNUMBER(EG343)),_xlpm.L_=0,_xlpm.inn=0),1,IFERROR(--(c_min*(Uн_лин*1000/SQRT(3))/(EG343+2*ρкз_Cu*_xlpm.L_/_xlpm.sz)&gt;=HT343*_xlpm.inn),0)),_xlpm.ok,IFERROR((_xlpm.sz&gt;=_xlpm.smin)*(_xlpm.t_&gt;=_xlpm.inn)*IF(_xlpm.L_&gt;0,(_xlpm.du_+IF(_xlpm.dcx,0,EF343)&lt;=EL343+0.00001),1)*_xlpm.kz,0),_xlpm.r_,_xlfn._xlws.FILTER(_xlpm.sz,_xlpm.ok,"не подобрано"),INDEX(_xlpm.r_,1)))</f>
        <v>1.5</v>
      </c>
      <c r="EN343">
        <f t="shared" si="743"/>
        <v>0.75</v>
      </c>
      <c r="EO343" cm="1">
        <f t="array" ref="EO343">IF(OR(B343="",BZ343="",EC343&lt;&gt;1),"",_xlfn.LET(_xlpm.sz,Iдоп_S,_xlpm.t_,CHOOSE(EB343,Iдоп_1ж,Iдоп_2ж,Iдоп_3ж)*DZ343*EA343,_xlpm.ok,IFERROR((_xlpm.sz&gt;=MAX(1.5,CC343))*(_xlpm.t_&gt;=N(DT343)),0),_xlpm.r_,_xlfn._xlws.FILTER(_xlpm.sz,_xlpm.ok,""),INDEX(_xlpm.r_,1)))</f>
        <v>1.5</v>
      </c>
      <c r="EP343" s="6" cm="1">
        <f t="array" ref="EP343">IFERROR(ROUNDUP(N(EJ343)*(_xlfn.XLOOKUP(EO343,INDEX(Кабель_сопротивление,0,1),INDEX(Кабель_сопротивление,0,3))*N(P343)/EO343*N(CE343)+_xlfn.XLOOKUP(EO343,INDEX(Кабель_сопротивление,0,1),INDEX(Кабель_сопротивление,0,2))*N(P343)*N(EK343)/1000)*N(O343)/((Uн_лин/SQRT(3))*1000)*100,2),"")</f>
        <v>0</v>
      </c>
      <c r="EQ343">
        <f>IFERROR(2*ρкз_Cu*N(P343)/EO343,"")</f>
        <v>0.66626666666666667</v>
      </c>
      <c r="ER343">
        <f>IFERROR(VLOOKUP(EN343,Кабель_сопротивление,3,FALSE),"")</f>
        <v>2.2499999999999999E-2</v>
      </c>
      <c r="ES343">
        <f>IFERROR(VLOOKUP(EN343,Кабель_сопротивление,2,FALSE),"")</f>
        <v>0.13</v>
      </c>
      <c r="ET343">
        <f t="shared" si="744"/>
        <v>9</v>
      </c>
      <c r="EU343">
        <f t="shared" si="745"/>
        <v>10</v>
      </c>
      <c r="EV343">
        <f t="shared" si="746"/>
        <v>0</v>
      </c>
      <c r="EW343" s="6">
        <f>IFERROR(ROUNDUP(EV343/IF(BV343=1,BU343,(Uн_лин/SQRT(3))*1000)*100,2),"")</f>
        <v>0</v>
      </c>
      <c r="EX343" t="str">
        <f>IFERROR(VLOOKUP(BZ343,Кабель_обозначение,2,FALSE),"")</f>
        <v>МКЭШнг(A)-LS</v>
      </c>
      <c r="EY343" t="str">
        <f t="shared" si="747"/>
        <v>МКЭШнг(A)-LS (2х0,75)</v>
      </c>
      <c r="EZ343" t="str">
        <f t="shared" si="748"/>
        <v>МКЭШнг(A)-LS (2х0,75)
L=19-0%</v>
      </c>
      <c r="FA343">
        <f>IFERROR(2*ρкз_Cu*P343/EN343,"")</f>
        <v>1.3325333333333333</v>
      </c>
      <c r="FB343">
        <f t="shared" si="749"/>
        <v>0.44333333333333336</v>
      </c>
      <c r="FC343" s="6" t="str">
        <f>IFERROR(IF(OR(B343="",BV343=1,NOT(ISNUMBER(EN343)),N(P343)=0),"",_xlfn.XLOOKUP(A343,Щиты[Щит],Щиты[Zпетли на шинах, Ом])+FA343),"")</f>
        <v/>
      </c>
      <c r="FD343" s="6" t="str">
        <f>IF(ISNUMBER(FC343),c_min*(Uн_лин*1000/SQRT(3))/FC343,"")</f>
        <v/>
      </c>
      <c r="FE343" s="6" t="str">
        <f>IFERROR(IF(OR(B343="",NOT(ISNUMBER(EN343))),"",1.05*(Uн_лин*1000/SQRT(3))/(_xlfn.XLOOKUP(A343,Щиты[Щит],Щиты[Zmax на шинах, Ом])+FB343)/1000),"")</f>
        <v/>
      </c>
      <c r="FF343" s="6" t="str">
        <f>IF(B343="","",IF(ISNUMBER(AC343),"Сил",IF(IFERROR(_xlfn.XLOOKUP(BC343,Коды_код,Коды_группа)&amp;"","")="","Быт",_xlfn.XLOOKUP(BC343,Коды_код,Коды_группа)&amp;"")))</f>
        <v>Быт</v>
      </c>
      <c r="FG343" s="6" t="str">
        <f t="shared" si="750"/>
        <v>Пост</v>
      </c>
      <c r="FH343" s="6">
        <f>IF(FG343="Щит","щит",IF(FG343="","",IF(FG343="Быт",IFERROR(_xlfn.XLOOKUP(A343,Щиты[Щит],Щиты[Кс быт]),1),IF(FG343="Сил",IF(ISNUMBER(AC343),AC343,IF(Методика="нормы 2026",IFERROR(_xlfn.XLOOKUP(A343,Щиты[Щит],Щиты[Кс силовых (табл. 7.5)]),1),1)),IF(OR(FG343="Пост",FG343="Отоп"),1,IF(FG343="ВНГ",0.7,0))))))</f>
        <v>1</v>
      </c>
      <c r="FI343">
        <f>IF(FG343="","",IF(AND(BP343=1,TRIM(AE343&amp;"")=""),IF(COUNTIFS(Линии[Щит],A343,Линии[Секция (1/2/3)],"&gt;=2")&gt;0,MIN(3,MAX(1,IFERROR(--BD343,1))),1),IFERROR(MIN(3,MAX(1,INT(--AE343))),1)))</f>
        <v>1</v>
      </c>
      <c r="FJ343">
        <f t="shared" si="751"/>
        <v>0</v>
      </c>
      <c r="FK343">
        <f t="shared" si="752"/>
        <v>0</v>
      </c>
      <c r="FL343">
        <f t="shared" si="753"/>
        <v>0</v>
      </c>
      <c r="FM343">
        <f t="shared" si="754"/>
        <v>0</v>
      </c>
      <c r="FN343">
        <f t="shared" si="755"/>
        <v>0</v>
      </c>
      <c r="FO343">
        <f t="shared" si="756"/>
        <v>0</v>
      </c>
      <c r="FP343">
        <f t="shared" si="757"/>
        <v>0</v>
      </c>
      <c r="FQ343">
        <f t="shared" si="758"/>
        <v>0</v>
      </c>
      <c r="FR343">
        <f t="shared" si="759"/>
        <v>0</v>
      </c>
      <c r="FS343">
        <f>IF(CG343=1,IF(AND(CH343=1,CW343=1),0,IF(AND(CS343&lt;&gt;"",CS343=BA343,CW343=1),SUMIFS(Линии[_Р линии, кВт],Линии[_блок УЗО],BA343,Линии[Щит],A343),N(BS343)+IF(AJ343="вручную",0,N(CK343)))),0)</f>
        <v>0</v>
      </c>
      <c r="FT343" t="str">
        <f t="shared" si="760"/>
        <v>L2</v>
      </c>
      <c r="FU343" t="str">
        <f>IF(B343="","",IF(CG343=0,IF(BA343=1,"",FW342),IF(AND(CH343=1,CW343=1,CS343&lt;&gt;""),IFERROR(_xlfn.XLOOKUP(CS343,Линии[_n],Линии[_фаза итог]),"L1"),IF(OR(N(DL343)&gt;=3,N(BX343)&gt;=3),"L1,L2,L3",IFERROR(_xlfn.TEXTBEFORE(_xlfn.TEXTAFTER(_xlfn.XLOOKUP(A343,Щиты[Щит],Щиты[_фазы авто]),";"&amp;BA343&amp;":"),";"),"L1")))))</f>
        <v>L1</v>
      </c>
      <c r="FV343" t="str">
        <f t="shared" si="761"/>
        <v>L2</v>
      </c>
      <c r="FW343" t="str">
        <f t="shared" si="762"/>
        <v>L2</v>
      </c>
      <c r="FX343" cm="1">
        <f t="array" ref="FX343">IFERROR(IF(CD343=2,_xlfn.IFS(BX343=3,VLOOKUP(BS343,Справочная_двигатели,3,FALSE),BX343=1,VLOOKUP(BS343,Справочная_двигатели,5,TRUE)),0),0)</f>
        <v>0</v>
      </c>
      <c r="FY343">
        <f>IFERROR(IF(CD343=3,VLOOKUP(BS343,Справочная_ЛЭД,2,TRUE),0),0)</f>
        <v>0</v>
      </c>
      <c r="FZ343" s="6">
        <f t="shared" si="763"/>
        <v>0</v>
      </c>
      <c r="GA343" t="str">
        <f>IF(B343="","",IF(TRIM(AH343&amp;"")&lt;&gt;"",IF(LOWER(TRIM(AH343&amp;""))="да","да","нет"),IF(IFERROR(_xlfn.XLOOKUP(BC343,Коды_код,Коды_пожарная),"")="да","да","нет")))</f>
        <v>нет</v>
      </c>
      <c r="GB343" t="str">
        <f t="shared" si="764"/>
        <v/>
      </c>
      <c r="GC343" t="str">
        <f t="shared" si="765"/>
        <v>основная</v>
      </c>
      <c r="GD343">
        <f>IF(AND(BP343=1,TRIM(AE343&amp;"")=""),IF(COUNTIFS(Линии[Щит],A343,Линии[Секция (1/2/3)],"&gt;=2")&gt;0,MIN(3,MAX(1,IFERROR(--BD343,1))),1),IFERROR(MIN(3,MAX(1,INT(--AE343))),1))</f>
        <v>1</v>
      </c>
      <c r="GE343" t="str" cm="1">
        <f t="array" ref="GE343">IF(B343="","",_xlfn.LET(_xlpm.t,IFERROR(_xlfn.XLOOKUP(1,(Шины[Шина]=GC343)*(((Шины[Щит]=A343)+(Шины[Щит]=""))&gt;0),Шины[Тип]),"")&amp;"",IF(_xlpm.t&lt;&gt;"",_xlpm.t,IF(ISNUMBER(SEARCH("ИБП",GC343)),"ИБП",IF(ISNUMBER(SEARCH("ДГУ",GC343)),"ДГУ","Ввод "&amp;GD343)))))</f>
        <v>Ввод 1</v>
      </c>
      <c r="GF343" t="str">
        <f t="shared" si="766"/>
        <v>Ввод 1</v>
      </c>
      <c r="GG343" t="str">
        <f>IF(BP343=0,"",IF(TRIM(AG343&amp;"")&lt;&gt;"",TRIM(AG343&amp;""),IF(OR(GE343="ИБП",GE343="ДГУ"),"I особая",_xlfn.XLOOKUP(A343,Щиты[Щит],Щиты[Категория шины «Ввод»],"III"))))</f>
        <v/>
      </c>
      <c r="GH343" t="str">
        <f>IF(A343="","",_xlfn.XLOOKUP(A343,Щиты[Щит],Щиты[Путь],""))</f>
        <v>|ГРЩ-ЖД|ЩУОВ|</v>
      </c>
      <c r="GI343" t="str">
        <f>IF(B343="","",IF(AI343&lt;&gt;"",AI343,IF(IFERROR(_xlfn.XLOOKUP(BC343,Коды_код,Коды_вид)&amp;"","")="","Прочее",_xlfn.XLOOKUP(BC343,Коды_код,Коды_вид)&amp;"")))</f>
        <v>Обогрев водостоков и кровли</v>
      </c>
      <c r="GJ343">
        <f>IF(BM343="","",INT((BM343-1)/Столбцов_на_лист)+1)</f>
        <v>1</v>
      </c>
      <c r="GK343" t="str">
        <f t="shared" si="767"/>
        <v>МКЭШнг(A)-LS (2х0,75) L=19-0%</v>
      </c>
      <c r="GL343">
        <f t="shared" si="768"/>
        <v>0</v>
      </c>
      <c r="GM343">
        <f t="shared" si="769"/>
        <v>0</v>
      </c>
      <c r="GN343">
        <f t="shared" si="770"/>
        <v>1</v>
      </c>
      <c r="GO343">
        <f t="shared" si="771"/>
        <v>0</v>
      </c>
      <c r="GP343">
        <f t="shared" si="772"/>
        <v>1</v>
      </c>
      <c r="GQ343">
        <f>IF(BM343="","",IF(AND(CG343=1,GP343=1),COUNTIFS(A$3:A343,A343,CG$3:CG343,1,GP$3:GP343,1),IF(OR(OR(BA343=1,A343&lt;&gt;A342),AJ343="вручную",GP343=0),"",IF(BA343=1,"",GR342))))</f>
        <v>2</v>
      </c>
      <c r="GR343">
        <f t="shared" si="773"/>
        <v>2</v>
      </c>
      <c r="GS343" t="str">
        <f>IF(B343="","",IFERROR(LOOKUP(INDEX(CHOOSE(EB343,Iдоп_1ж,Iдоп_2ж,Iдоп_3ж),MATCH(EN343,Iдоп_S,0))*DZ343*EA343,{6,10,16,20,25,32,40,50,63,80,100,125,160,200,250,315,400,500,630}),""))</f>
        <v/>
      </c>
      <c r="GT343" t="str">
        <f t="shared" si="774"/>
        <v>QF2</v>
      </c>
      <c r="GU343" t="str">
        <f t="shared" si="775"/>
        <v>QF2</v>
      </c>
      <c r="GV343" t="str">
        <f t="shared" si="776"/>
        <v/>
      </c>
      <c r="GW343">
        <f t="shared" si="777"/>
        <v>0</v>
      </c>
      <c r="GX343" t="str">
        <f>IF(OR(B343="",DJ343=""),"",IFERROR(_xlfn.XLOOKUP(DJ343,Модули_умолч[Управление],Модули_умолч[Модель])&amp;"",""))</f>
        <v/>
      </c>
      <c r="GY343">
        <f>IF(DJ343="",1,IFERROR(MAX(0,N(_xlfn.XLOOKUP(DJ343,Модули_умолч[Управление],Модули_умолч[Каналов на линию]))),1))</f>
        <v>1</v>
      </c>
      <c r="GZ343" t="str">
        <f t="shared" si="778"/>
        <v/>
      </c>
      <c r="HA343" t="str">
        <f t="shared" si="779"/>
        <v/>
      </c>
      <c r="HB343" t="str">
        <f t="shared" si="780"/>
        <v/>
      </c>
      <c r="HC343">
        <f>IF(HB343="",0,IFERROR(N(VLOOKUP(HB343,Модули_спр,3,FALSE)),0))</f>
        <v>0</v>
      </c>
      <c r="HD343" t="str">
        <f t="shared" si="781"/>
        <v/>
      </c>
      <c r="HE343" t="str">
        <f t="shared" si="782"/>
        <v/>
      </c>
      <c r="HF343" t="str">
        <f>IF(OR(HE343="",HE343="-"),"",IFERROR(VLOOKUP(HE343,Модули_спр,2,FALSE),"R"))</f>
        <v/>
      </c>
      <c r="HG343" t="str">
        <f>IF(HF343="","",HF343&amp;"."&amp;COUNTIFS(A$3:A343,A343,HF$3:HF343,HF343))</f>
        <v/>
      </c>
      <c r="HH343" t="str">
        <f t="shared" si="783"/>
        <v/>
      </c>
      <c r="HI343" t="str">
        <f t="shared" si="784"/>
        <v/>
      </c>
      <c r="HJ343" t="str">
        <f t="shared" si="785"/>
        <v/>
      </c>
      <c r="HK343" t="str">
        <f t="shared" si="786"/>
        <v/>
      </c>
      <c r="HL343">
        <f t="shared" si="787"/>
        <v>1</v>
      </c>
      <c r="HM343" t="str">
        <f>IF(HL343=1,"XT"&amp;COUNTIFS(A$3:A343,A343,HL$3:HL343,1),"")</f>
        <v>XT2</v>
      </c>
      <c r="HN343" t="str">
        <f t="shared" si="788"/>
        <v>XT2</v>
      </c>
      <c r="HO343" t="str">
        <f t="shared" si="789"/>
        <v>QF2</v>
      </c>
      <c r="HP343" t="str">
        <f t="shared" si="790"/>
        <v/>
      </c>
      <c r="HQ343" t="str">
        <f t="shared" si="791"/>
        <v>ok</v>
      </c>
      <c r="HR343" t="str">
        <f>IF(OR(HJ343="",HH343=""),"",IF(HJ343+MAX(0,GY343-1)&gt;IFERROR(VLOOKUP(HI343,Модули_спр,3,FALSE),99),"ЛИШНИЙ КАНАЛ",IF(AND(AL343&lt;&gt;"=",GY343&gt;0,COUNTIFS(Линии[_модуль гр.],HH343,Линии[Канал (итог)],HJ343,Линии[Канал],"&lt;&gt;=",Линии[Щит],A343)&gt;1),"ДУБЛЬ КАНАЛА","")))</f>
        <v/>
      </c>
      <c r="HS343" s="6" t="str">
        <f t="shared" si="792"/>
        <v/>
      </c>
      <c r="HT343">
        <f t="shared" si="793"/>
        <v>10</v>
      </c>
      <c r="HU343" t="str">
        <f t="shared" si="794"/>
        <v/>
      </c>
      <c r="HV343">
        <f t="shared" si="795"/>
        <v>0.19</v>
      </c>
      <c r="HW343">
        <f t="shared" si="796"/>
        <v>0</v>
      </c>
      <c r="HX343">
        <f t="shared" si="797"/>
        <v>0</v>
      </c>
      <c r="HY343">
        <f t="shared" si="798"/>
        <v>0</v>
      </c>
      <c r="HZ343">
        <f t="shared" si="799"/>
        <v>0</v>
      </c>
      <c r="IA343">
        <f t="shared" si="800"/>
        <v>0</v>
      </c>
      <c r="IB343">
        <f t="shared" si="801"/>
        <v>0</v>
      </c>
      <c r="IC343" t="str">
        <f t="shared" si="802"/>
        <v/>
      </c>
      <c r="ID343" t="str" cm="1">
        <f t="array" ref="ID343">IF(IC343="","",_xlfn.LET(_xlpm.tk,_xlfn.TEXTSPLIT(SUBSTITUTE(SUBSTITUTE(IC343,";"," "),"→"," ")," ",,TRUE),_xlpm.w_,_xlfn._xlws.FILTER(_xlpm.tk,ISNUMBER(--LEFT(_xlpm.tk,1))*((ISNUMBER(SEARCH("W",_xlpm.tk))+ISNUMBER(SEARCH("Вт",_xlpm.tk)))&gt;0),""),IFERROR(--SUBSTITUTE(SUBSTITUTE(UPPER(INDEX(_xlpm.w_,1)),"W",""),"ВТ",""),"")))</f>
        <v/>
      </c>
      <c r="IE343" t="str" cm="1">
        <f t="array" ref="IE343">IF(IC343="","",_xlfn.LET(_xlpm.tk,_xlfn.TEXTSPLIT(SUBSTITUTE(SUBSTITUTE(IC343,";"," "),"→"," ")," ",,TRUE),_xlpm.v_,_xlfn._xlws.FILTER(_xlpm.tk,ISNUMBER(--LEFT(_xlpm.tk,1))*((ISNUMBER(SEARCH("V",_xlpm.tk))+(RIGHT(UPPER(_xlpm.tk))="В"))&gt;0),""),IFERROR(--SUBSTITUTE(SUBSTITUTE(UPPER(INDEX(_xlpm.v_,1)),"V",""),"В",""),"")))</f>
        <v/>
      </c>
      <c r="IF343" s="6" t="str">
        <f>IF(OR(BV343=0,HI343="",HJ343=""),"",IFERROR(N(_xlfn.XLOOKUP(HI343,Каталог!$C$4:$C$500,Каталог!$Q$4:$Q$500)),""))</f>
        <v/>
      </c>
      <c r="IG343" s="6" t="str">
        <f>IF(N(IF343)=0,"",SUMIFS(Линии[Iр, А],Линии[Щит],A343,Линии[_модуль гр.],HH343,Линии[Канал (итог)],HJ343))</f>
        <v/>
      </c>
      <c r="IH343" t="str">
        <f>IF(AND(B343="",HO343=""),"",_xlfn.TEXTJOIN("; ",TRUE,IF(AND(B343&lt;&gt;"",FV343=""),"нет фазы",""),IF(AND(B343&lt;&gt;"",N(GL343)=0,FG343&lt;&gt;"Нет"),"нет мощности",""),IF(AND(HN343&lt;&gt;"",COUNTIFS(Линии[Щит],A343,Линии[Клемма (итог)],HN343)&gt;1),"дубль клеммы "&amp;HN343,""),IF(AND(HQ343&lt;&gt;"",HQ343&lt;&gt;"ok"),HQ343,""),IF(HR343&lt;&gt;"",HR343,""),IF(AND(N(CB343)&gt;=4,N(BX343)=1),CB343&amp;" жил на 1 фазе",""),IF(AND(BC343="R",CG343=1,IF(CS343&lt;&gt;"",N(CV343)&gt;30,OR(N(DA343)=0,N(DA343)&gt;30))),"розетка без дифзащиты до 30 мА",""),IF(AND(CG343=1,N(DA343)&gt;0,ISNUMBER(T343)),IF(T343&gt;N(DA343)/3,"ток утечки "&amp;FIXED(T343,1)&amp;" мА &gt; 1/3 уставки ("&amp;DA343&amp;" мА)",""),""),IF(AND(CH343=1,CS343=""),"«узо»: нет строки с УЗО выше (УЗО 2P 40А 30мА в «Аппаратах»)",""),IF(AND(CS343&lt;&gt;"",CS343=BA343),IF(CT343="","впишите номинал УЗО (УЗО 2P 40А 30мА)",IF(N(CT343)&lt;N(DT343),"УЗО "&amp;CT343&amp;" А &lt; автомата "&amp;DT343&amp;" А перед ним",IF(N(CT343)&lt;N(CX343),"УЗО "&amp;CT343&amp;" А &lt; тока блока "&amp;FIXED(CX343,1)&amp;" А",""))),""),IF(AND(CS343&lt;&gt;"",CS343=BA343,ISNUMBER(CY343)),IF(CY343&gt;N(CV343)/3,"ток утечки блока УЗО "&amp;FIXED(CY343,1)&amp;" мА &gt; 1/3 уставки ("&amp;CV343&amp;" мА)",""),""),IF(AND(CG343=1,N(BV343)+N(IB343)&gt;0,IC343=""),"линии до 50 В без БП: впишите в «Аппараты» (БП 24V 480W)",""),IF(AND(CG343=1,ISNUMBER(ID343),ISNUMBER(U343)),IF(U343&gt;ID343,"БП "&amp;ID343&amp;" Вт &lt; нужно "&amp;U343&amp;" Вт (×"&amp;Запас_БП&amp;")",""),""),IF(AND(CG343=1,ISNUMBER(IE343),N(BV343)=1),IF(IE343&lt;&gt;N(BU343),"БП на "&amp;IE343&amp;" В, линия "&amp;BU343&amp;" В",""),""),IF(AND(N(IF343)&gt;0,N(IG343)&gt;N(IF343)),HH343&amp;" канал "&amp;HJ343&amp;": "&amp;FIXED(IG343,1)&amp;" А &gt; "&amp;IF343&amp;" А",""),IFERROR(IF(AND(ISNUMBER(Q343),Q343&gt;EL343),"потери "&amp;FIXED(Q343,1)&amp;" % &gt; "&amp;EL343&amp;" %",""),""),IFERROR(IF(LEFT(HU343,4)="мало","Iкз мало — отключение &gt; 0,4 с",""),""),IF(AND(B343&lt;&gt;"",BM343=""),"не на схеме",""),IF(AND(CG343=0,B343&lt;&gt;"",FV343&lt;&gt;"",IF(BA343=1,"",FW342)&lt;&gt;"",FV343&lt;&gt;IF(BA343=1,"",FW342)),"фаза не как у автомата группы ("&amp;IF(BA343=1,"",FW342)&amp;")","")))</f>
        <v>нет мощности</v>
      </c>
      <c r="II343" s="6" t="str">
        <f>IF(OR(CG343=0,DQ343=""),"",_xlfn.LET(_xlpm.t,IFERROR(_xlfn.XLOOKUP(DQ343,Каталог!$U$4:$U$500,Каталог!$G$4:$G$500),""),_xlpm.k,SEARCH("кА",_xlpm.t),IFERROR(--TRIM(RIGHT(SUBSTITUTE(MID(_xlpm.t,MAX(1,_xlpm.k-4),_xlpm.k-MAX(1,_xlpm.k-4))," ",REPT(" ",9)),5)),"")))</f>
        <v/>
      </c>
      <c r="IJ343" t="str">
        <f>IF(OR(II343="",CG343=0),"",IF(_xlfn.XLOOKUP(A343,Щиты[Щит],Щиты[Iкз max на шинах, кА],"")="","",IF(II343&lt;_xlfn.XLOOKUP(A343,Щиты[Щит],Щиты[Iкз max на шинах, кА]),"Icu "&amp;II343&amp;" кА &lt; Iкз max","ok")))</f>
        <v/>
      </c>
      <c r="IK343" t="str">
        <f t="shared" si="803"/>
        <v/>
      </c>
      <c r="IL343" t="str">
        <f t="shared" si="804"/>
        <v>QF2|XT2</v>
      </c>
      <c r="IM343" t="str">
        <f t="shared" si="805"/>
        <v xml:space="preserve">QF2|XT2|кабель МКЭШнг(A)-LS (2х0,75) → </v>
      </c>
      <c r="IN343" t="str" cm="1">
        <f t="array" ref="IN343">IF(IM343="","",_xlfn.LET(_xlpm.nd,_xlfn.TEXTSPLIT(IM343,"|"),IF(COLUMNS(_xlpm.nd)&gt;1,A343&amp;"¦"&amp;INDEX(_xlpm.nd,1)&amp;"¦"&amp;INDEX(_xlpm.nd,2),"")))</f>
        <v>ЩУОВ¦QF2¦XT2</v>
      </c>
      <c r="IO343" t="str">
        <f t="shared" si="806"/>
        <v>DT.1¦</v>
      </c>
      <c r="IP343" t="str" cm="1">
        <f t="array" ref="IP343">IF(IM343="","",_xlfn.LET(_xlpm.nd,_xlfn.TEXTSPLIT(IM343,"|"),IF(COLUMNS(_xlpm.nd)&gt;2,A343&amp;"¦"&amp;INDEX(_xlpm.nd,2)&amp;"¦"&amp;INDEX(_xlpm.nd,3),"")))</f>
        <v xml:space="preserve">ЩУОВ¦XT2¦кабель МКЭШнг(A)-LS (2х0,75) → </v>
      </c>
      <c r="IQ343" t="str">
        <f t="shared" si="807"/>
        <v>DT.1¦</v>
      </c>
      <c r="IR343" t="str" cm="1">
        <f t="array" ref="IR343">IF(IM343="","",_xlfn.LET(_xlpm.nd,_xlfn.TEXTSPLIT(IM343,"|"),IF(COLUMNS(_xlpm.nd)&gt;3,A343&amp;"¦"&amp;INDEX(_xlpm.nd,3)&amp;"¦"&amp;INDEX(_xlpm.nd,4),"")))</f>
        <v/>
      </c>
      <c r="IS343" t="str">
        <f t="shared" si="808"/>
        <v/>
      </c>
      <c r="IT343" t="str" cm="1">
        <f t="array" ref="IT343">IF(IM343="","",_xlfn.LET(_xlpm.nd,_xlfn.TEXTSPLIT(IM343,"|"),IF(COLUMNS(_xlpm.nd)&gt;4,A343&amp;"¦"&amp;INDEX(_xlpm.nd,4)&amp;"¦"&amp;INDEX(_xlpm.nd,5),"")))</f>
        <v/>
      </c>
      <c r="IU343" t="str">
        <f t="shared" si="809"/>
        <v/>
      </c>
      <c r="IV343" t="str" cm="1">
        <f t="array" ref="IV343">IF(IM343="","",_xlfn.LET(_xlpm.nd,_xlfn.TEXTSPLIT(IM343,"|"),IF(COLUMNS(_xlpm.nd)&gt;5,A343&amp;"¦"&amp;INDEX(_xlpm.nd,5)&amp;"¦"&amp;INDEX(_xlpm.nd,6),"")))</f>
        <v/>
      </c>
      <c r="IW343" t="str">
        <f t="shared" si="810"/>
        <v/>
      </c>
      <c r="IX343" t="str" cm="1">
        <f t="array" ref="IX343">IF(IM343="","",_xlfn.LET(_xlpm.nd,_xlfn.TEXTSPLIT(IM343,"|"),IF(COLUMNS(_xlpm.nd)&gt;6,A343&amp;"¦"&amp;INDEX(_xlpm.nd,6)&amp;"¦"&amp;INDEX(_xlpm.nd,7),"")))</f>
        <v/>
      </c>
      <c r="IY343" t="str">
        <f t="shared" si="811"/>
        <v/>
      </c>
      <c r="IZ343" t="str">
        <f t="shared" si="812"/>
        <v/>
      </c>
      <c r="JA343" t="str">
        <f t="shared" si="813"/>
        <v>QF2 → XT2</v>
      </c>
      <c r="JB343">
        <f t="shared" si="814"/>
        <v>0</v>
      </c>
      <c r="JC343">
        <f t="shared" si="815"/>
        <v>0</v>
      </c>
      <c r="JD343" t="str">
        <f t="shared" si="816"/>
        <v/>
      </c>
      <c r="JE343" t="str">
        <f t="shared" si="817"/>
        <v/>
      </c>
      <c r="JF343" t="str">
        <f t="shared" si="818"/>
        <v/>
      </c>
      <c r="JG343" t="str">
        <f t="shared" si="819"/>
        <v/>
      </c>
      <c r="JH343" t="str">
        <f>IF(B343="","",IFERROR(_xlfn.XLOOKUP(B343,Коды_код,Коды_уго),IFERROR(_xlfn.XLOOKUP(BC343,Коды_код,Коды_уго),IFERROR(_xlfn.XLOOKUP(LEFT(BC343,2),Коды_код,Коды_уго),""))))</f>
        <v/>
      </c>
      <c r="JI343" t="str">
        <f>IF(B343="","",IF(OR(JH343="",JH343=0),"BOX",IFERROR(IF(VLOOKUP(JH343,УГО_блоки,3,FALSE)&amp;""&lt;&gt;"",VLOOKUP(JH343,УГО_блоки,3,FALSE),VLOOKUP(JH343,УГО_блоки,2,FALSE)),JH343)))</f>
        <v>BOX</v>
      </c>
      <c r="JJ343">
        <f t="shared" si="820"/>
        <v>1</v>
      </c>
      <c r="JK343" t="str">
        <f>IF(DQ343="","",IF(COUNTIF(DQ$3:DQ343,DQ343)=1,MAX(JK$2:JK342)+1,""))</f>
        <v/>
      </c>
      <c r="JL343" t="str">
        <f>IF(DE343="","",IF(COUNTIF(DE$3:DE343,DE343)+COUNTIF(DF$2:DF342,DE343)+COUNTIF(DG$2:DG342,DE343)=1,MAX(JL$2:JN342)+1,""))</f>
        <v/>
      </c>
      <c r="JM343" t="str">
        <f>IF(DF343="","",IF(COUNTIF(DE$3:DE343,DF343)+COUNTIF(DF$3:DF343,DF343)+COUNTIF(DG$2:DG342,DF343)=1,MAX(JL$2:JN342,JL343)+1,""))</f>
        <v/>
      </c>
      <c r="JN343" t="str">
        <f>IF(DG343="","",IF(COUNTIF(DE$3:DE343,DG343)+COUNTIF(DF$3:DF343,DG343)+COUNTIF(DG$3:DG343,DG343)=1,MAX(JL$2:JN342,JL343,JM343)+1,""))</f>
        <v/>
      </c>
      <c r="JO343" t="str">
        <f t="shared" si="821"/>
        <v>2х0,75</v>
      </c>
      <c r="JP343" t="str">
        <f>IF(JO343="","",IF(COUNTIF(JO$3:JO343,JO343)=1,MAX(JP$2:JP342)+1,""))</f>
        <v/>
      </c>
      <c r="JQ343" t="str">
        <f>IF(HG343="","",COUNTIF(HG$3:HG343,"?*"))</f>
        <v/>
      </c>
      <c r="JR343" t="str">
        <f>IF(OR(HG343="",HI343=""),"",IF(COUNTIFS(HG$3:HG343,"?*",HI$3:HI343,HI343)=1,MAX(JR$2:JR342)+1,""))</f>
        <v/>
      </c>
      <c r="JS343">
        <f t="shared" si="822"/>
        <v>1</v>
      </c>
      <c r="JT343">
        <f>IF(B343="","",COUNTIF(B$3:B343,"?*"))</f>
        <v>341</v>
      </c>
      <c r="JU343">
        <f>IF(HL343&lt;&gt;1,0,_xlfn.LET(_xlpm.k,MAX(IFERROR(--_xlfn.XLOOKUP(B343,Коды_код,Коды_3L),0),IFERROR(--_xlfn.XLOOKUP(BC343,Коды_код,Коды_3L),0),IFERROR(--_xlfn.XLOOKUP(LEFT(BC343,2),Коды_код,Коды_3L),0)),IF(_xlpm.k&gt;0,_xlpm.k,IF(IFERROR(--LEFT(SUBSTITUTE(JO343,"x","х"),FIND("х",SUBSTITUTE(JO343,"x","х"))-1),3)&gt;3,Каталог!$S$9,1))))</f>
        <v>1</v>
      </c>
      <c r="JV343">
        <f t="shared" si="823"/>
        <v>0</v>
      </c>
      <c r="JW343" t="str">
        <f t="shared" si="824"/>
        <v>авто</v>
      </c>
      <c r="JX343" t="str">
        <f t="shared" si="825"/>
        <v/>
      </c>
      <c r="JY343">
        <f t="shared" si="826"/>
        <v>0</v>
      </c>
      <c r="JZ343">
        <f t="shared" si="827"/>
        <v>1</v>
      </c>
    </row>
    <row r="344" spans="1:286" x14ac:dyDescent="0.3">
      <c r="A344" t="s">
        <v>769</v>
      </c>
      <c r="B344" t="s">
        <v>1642</v>
      </c>
      <c r="C344" t="str">
        <f>Линии[[#This Row],[_авто наименование]]</f>
        <v/>
      </c>
      <c r="D344">
        <v>5</v>
      </c>
      <c r="E344">
        <v>2.37</v>
      </c>
      <c r="G344">
        <v>16</v>
      </c>
      <c r="H344" t="str">
        <f>Линии[[#This Row],[_авто управление]]</f>
        <v/>
      </c>
      <c r="I344" t="str">
        <f>Линии[[#This Row],[_авто аппараты]]</f>
        <v/>
      </c>
      <c r="J344">
        <v>4</v>
      </c>
      <c r="K344">
        <v>95</v>
      </c>
      <c r="L344">
        <v>1</v>
      </c>
      <c r="M344" t="s">
        <v>484</v>
      </c>
      <c r="N344" t="str">
        <f t="shared" si="690"/>
        <v>потери 7,3 % &gt; 4 %</v>
      </c>
      <c r="O344" s="6" cm="1">
        <f t="array" ref="O344">IF(B344="","",IF(BH344&lt;&gt;"",IFERROR(_xlfn.XLOOKUP(BH344,Щиты[Щит],Щиты[Iр, А]),""),IF(BP344=1,IF(OR(N(_xlfn.XLOOKUP(A344,Щиты[Щит],Щиты[Вводов],1))&lt;=1,LOWER(TRIM(_xlfn.XLOOKUP(A344,Щиты[Щит],Щиты[АВР],"")&amp;""))="да"),IFERROR(_xlfn.XLOOKUP(A344,Щиты[Щит],Щиты[Iр, А]),""),IFERROR(N(BS344)*_xlfn.XLOOKUP(A344,Щиты[Щит],Щиты[Кс итог])/(SQRT(3)*Uн_лин*_xlfn.XLOOKUP(A344,Щиты[Щит],Щиты[cos φ])),"")),IF(BV344=1,IFERROR(BS344*1000/BU344,""),IFERROR(_xlfn.IFS(BX344=1,BS344/((Uн_лин/SQRT(3))*CE344),BX344=3,BS344/(SQRT(3)*Uн_лин*CE344)),"")))))</f>
        <v>10.80252740510063</v>
      </c>
      <c r="P344" s="7">
        <f>IF(B344="","",IFERROR(IF(VLOOKUP(BC344,Потребители_обозначение,4,FALSE)=1,VLOOKUP(BC344,Потребители_обозначение,3,FALSE)*(MAX(1,N(D344))*2-1)+EI344+VLOOKUP(BE344,Этаж_обозначение,3,FALSE)+VLOOKUP(BE344,Этаж_обозначение,4,FALSE),VLOOKUP(BC344,Потребители_обозначение,3,FALSE)*(MAX(1,N(D344))*2-1)+EI344),EI344))</f>
        <v>95</v>
      </c>
      <c r="Q344" s="6">
        <f t="shared" si="691"/>
        <v>7.27</v>
      </c>
      <c r="R344" t="str">
        <f t="shared" si="692"/>
        <v>ВВГнг(А)-LS (3х4)</v>
      </c>
      <c r="S344" t="str">
        <f>IF(BM344="","",IF(BN344="вводной узел","узел ","")&amp;"л."&amp;(INT((BM344-1)/Столбцов_на_лист)+1)&amp;" / "&amp;(MOD(BM344-1,Столбцов_на_лист)+1))</f>
        <v>л.2 / 2</v>
      </c>
      <c r="T344" s="119">
        <f t="shared" si="693"/>
        <v>5.3</v>
      </c>
      <c r="U344" s="7" t="str">
        <f>IF(OR(CG344=0,N(BV344)+N(IB344)=0),"",ROUNDUP(Запас_БП*(N(HY344)+N(HZ344)),0))</f>
        <v/>
      </c>
      <c r="V344" s="119" t="str">
        <f t="shared" si="694"/>
        <v/>
      </c>
      <c r="W344" s="7" t="str">
        <f>IFERROR(IF(OR(B344="",BP344=1,BV344=1,NOT(ISNUMBER(EN344)),N(DT344)=0),"",MAX(0,ROUNDDOWN((c_min*(Uн_лин*1000/SQRT(3))/(HT344*N(DT344))-_xlfn.XLOOKUP(A344,Щиты[Щит],Щиты[Zпетли на шинах, Ом]))*EN344/(2*ρкз_Cu),0))),"")</f>
        <v/>
      </c>
      <c r="Y344" t="str">
        <f>Линии[[#This Row],[_авто утечка]]</f>
        <v/>
      </c>
      <c r="Z344">
        <v>1</v>
      </c>
      <c r="AA344">
        <v>230</v>
      </c>
      <c r="AB344" t="s">
        <v>573</v>
      </c>
      <c r="AG344" t="s">
        <v>810</v>
      </c>
      <c r="AI344" t="s">
        <v>609</v>
      </c>
      <c r="AK344" t="str">
        <f>Линии[[#This Row],[_авто модуль]]</f>
        <v/>
      </c>
      <c r="AM344">
        <v>19</v>
      </c>
      <c r="AN344" t="s">
        <v>11</v>
      </c>
      <c r="AO344">
        <v>3</v>
      </c>
      <c r="AQ344">
        <v>7</v>
      </c>
      <c r="AR344">
        <v>38</v>
      </c>
      <c r="AS344">
        <v>50</v>
      </c>
      <c r="AT344">
        <v>1</v>
      </c>
      <c r="BA344" cm="1">
        <f t="array" ref="BA344">ROW()-ROW(Линии[#Headers])</f>
        <v>342</v>
      </c>
      <c r="BC344" s="6" t="str">
        <f t="shared" si="695"/>
        <v>OV</v>
      </c>
      <c r="BD344" t="str">
        <f t="shared" si="696"/>
        <v>2.002Г.1</v>
      </c>
      <c r="BE344" t="str">
        <f t="shared" si="697"/>
        <v>2</v>
      </c>
      <c r="BF344" t="str">
        <f t="shared" si="698"/>
        <v>002Г.1</v>
      </c>
      <c r="BG344" t="str">
        <f t="shared" si="699"/>
        <v>002Г</v>
      </c>
      <c r="BH344" t="str">
        <f>IF(X344&lt;&gt;"",X344,IF(AND(B344&lt;&gt;"",B344&lt;&gt;A344,ISNUMBER(_xlfn.XMATCH(B344,Щиты[Щит]))),B344,""))</f>
        <v/>
      </c>
      <c r="BI344" t="str" cm="1">
        <f t="array" ref="BI344">IF(B344="","",IF(BH344&lt;&gt;"","Щит "&amp;BH344,_xlfn.LET(_xlpm.nm,IFERROR(_xlfn.XLOOKUP(BC344,Коды_код,Коды_имя)&amp;"",""),_xlpm.md,IFERROR(N(_xlfn.XLOOKUP(BC344,Коды_код,Коды_режим)),1),_xlpm.ex,IF(Имя_режим="по экспликации",IFERROR(_xlfn.XLOOKUP(BE344&amp;"|"&amp;BG344,Экспликация[Этаж]&amp;"|"&amp;Экспликация[Помещение],Экспликация[Название])&amp;"",""),""),_xlpm.rm,IF(BG344="","",IF(_xlpm.ex&lt;&gt;"",". "&amp;_xlpm.ex&amp;IF(Имя_пом="нет"," ("&amp;BG344&amp;")"," (пом. "&amp;BG344&amp;")"),IF(Имя_пом="нет"," ",", пом. ")&amp;BG344)),IF(_xlpm.nm="","",IF(_xlpm.md=2,_xlpm.nm&amp;" шлейф "&amp;BE344,_xlpm.nm&amp;_xlpm.rm)))))</f>
        <v/>
      </c>
      <c r="BJ344" t="str">
        <f t="shared" si="700"/>
        <v/>
      </c>
      <c r="BK344">
        <f>IFERROR(_xlfn.XMATCH(A344,Щиты[Щит]),0)</f>
        <v>17</v>
      </c>
      <c r="BL344">
        <f>_xlfn.LET(_xlpm.k,IFERROR(_xlfn.XLOOKUP(A344,Щиты[Щит],Щиты[Мест под вводной узел]),""),IF(_xlpm.k="",Столбцов_на_лист,N(_xlpm.k)))</f>
        <v>10</v>
      </c>
      <c r="BM344">
        <f t="shared" si="701"/>
        <v>19</v>
      </c>
      <c r="BN344" t="str">
        <f t="shared" si="702"/>
        <v>линии</v>
      </c>
      <c r="BO344" s="6">
        <f>IFERROR(N(_xlfn.XLOOKUP(BC344,Коды_код,Коды_квт)),0)</f>
        <v>0</v>
      </c>
      <c r="BP344">
        <f t="shared" si="703"/>
        <v>0</v>
      </c>
      <c r="BQ344" t="str">
        <f>IF(B344="","",IF(BH344&lt;&gt;"",IFERROR(_xlfn.XLOOKUP(BH344,Щиты[Щит],Щиты[Руст, кВт]),0),IF(BP344=1,IF(OR(N(_xlfn.XLOOKUP(A344,Щиты[Щит],Щиты[Вводов],1))&lt;=1,LOWER(TRIM(_xlfn.XLOOKUP(A344,Щиты[Щит],Щиты[АВР],"")&amp;""))="да"),IFERROR(_xlfn.XLOOKUP(A344,Щиты[Щит],Щиты[Руст, кВт]),0),SUMIFS(Линии[_Р для вводов],Линии[Щит],A344,Линии[Источник для режимов],GF344)),IF(BO344&gt;0,ROUND(BO344*MAX(1,N(D344)),3),""))))</f>
        <v/>
      </c>
      <c r="BR344">
        <f t="shared" si="704"/>
        <v>2.37</v>
      </c>
      <c r="BS344" s="6">
        <f>IF(B344="","",IF(BH344&lt;&gt;"",IFERROR(_xlfn.XLOOKUP(BH344,Щиты[Щит],Щиты[Руст, кВт]),0),N(BR344)))</f>
        <v>2.37</v>
      </c>
      <c r="BT344" t="str">
        <f>IF(B344="","",IFERROR(IF(VLOOKUP(BC344,Потребители_обозначение,8,FALSE)=0,"",VLOOKUP(BC344,Потребители_обозначение,8,FALSE)),""))</f>
        <v/>
      </c>
      <c r="BU344">
        <f t="shared" si="705"/>
        <v>230</v>
      </c>
      <c r="BV344">
        <f t="shared" si="706"/>
        <v>0</v>
      </c>
      <c r="BW344">
        <f>IF(B344="","",IF(BH344&lt;&gt;"",3,IFERROR(IF(N(VLOOKUP(BC344,Потребители_обозначение,9,FALSE))=0,1,VLOOKUP(BC344,Потребители_обозначение,9,FALSE)),1)))</f>
        <v>1</v>
      </c>
      <c r="BX344">
        <f t="shared" si="707"/>
        <v>1</v>
      </c>
      <c r="BY344" t="str">
        <f>IF(B344="","",_xlfn.LET(_xlpm.bc,IFERROR(IF(VLOOKUP(BC344,Потребители_обозначение,6,FALSE)=0,"",VLOOKUP(BC344,Потребители_обозначение,6,FALSE)&amp;""),""),IF(AND(GA344="да",OR(_xlpm.bc="",_xlpm.bc="мс")),Марка_пож,IF(AND(_xlpm.bc="",BH344&lt;&gt;""),"мс",_xlpm.bc))))</f>
        <v/>
      </c>
      <c r="BZ344" t="str">
        <f t="shared" si="708"/>
        <v>мс</v>
      </c>
      <c r="CA344">
        <f>IF(B344="","",_xlfn.LET(_xlpm.cc,IFERROR(N(VLOOKUP(BC344,Потребители_обозначение,7,FALSE)),0),IF(_xlpm.cc&gt;0,_xlpm.cc,IF(BZ344="","",IF(BV344=1,2,IF(N(BX344)=3,5,3))))))</f>
        <v>3</v>
      </c>
      <c r="CB344">
        <f t="shared" si="709"/>
        <v>3</v>
      </c>
      <c r="CC344">
        <f>IFERROR(N(VLOOKUP(BC344,Потребители_обозначение,10,FALSE)),0)</f>
        <v>0</v>
      </c>
      <c r="CD344">
        <f>IFERROR(VLOOKUP(BC344,Потребители_обозначение,5,FALSE),0)</f>
        <v>0</v>
      </c>
      <c r="CE344" s="6" cm="1">
        <f t="array" ref="CE344">IF(B344="","",IF(BH344&lt;&gt;"",IFERROR(_xlfn.XLOOKUP(BH344,Щиты[Щит],Щиты[cos φ]),0.95),IF(BP344=1,IFERROR(_xlfn.XLOOKUP(A344,Щиты[Щит],Щиты[cos φ]),0.95),IF(ISNUMBER(AD344),AD344,IFERROR(IF(CD344=2,_xlfn.IFS(BX344=3,VLOOKUP(BS344,Справочная_двигатели,8,FALSE),BX344=1,VLOOKUP(BS344,Справочная_двигатели,10,TRUE)),IF(AND(Методика="нормы 2026",FG344="Сил"),0.8,0.95)),0.95)))))</f>
        <v>0.95</v>
      </c>
      <c r="CF344">
        <f t="shared" si="710"/>
        <v>0</v>
      </c>
      <c r="CG344">
        <f t="shared" si="711"/>
        <v>1</v>
      </c>
      <c r="CH344">
        <f t="shared" si="712"/>
        <v>0</v>
      </c>
      <c r="CI344">
        <f>IF(B344="","",IF(BV344=1,IFERROR(BS344/((Uн_лин/SQRT(3))*MAX(0.5,N(CE344))),0),N(O344)))</f>
        <v>10.80252740510063</v>
      </c>
      <c r="CJ344">
        <f t="shared" si="713"/>
        <v>0</v>
      </c>
      <c r="CK344">
        <f t="shared" si="714"/>
        <v>0</v>
      </c>
      <c r="CL344">
        <f t="shared" si="715"/>
        <v>0</v>
      </c>
      <c r="CM344">
        <f t="shared" si="716"/>
        <v>0</v>
      </c>
      <c r="CN344">
        <f t="shared" si="717"/>
        <v>0</v>
      </c>
      <c r="CO344">
        <f>IF(BC344="",0,_xlfn.LET(_xlpm.v,IFERROR(_xlfn.XLOOKUP(B344,Коды_код,Коды_мА),IFERROR(_xlfn.XLOOKUP(BC344,Коды_код,Коды_мА),IFERROR(_xlfn.XLOOKUP(LEFT(BC344,2),Коды_код,Коды_мА),""))),IF(_xlpm.v="да",30,IF(ISNUMBER(_xlpm.v),_xlpm.v,0))))</f>
        <v>0</v>
      </c>
      <c r="CP344" t="str">
        <f t="shared" si="718"/>
        <v/>
      </c>
      <c r="CQ344" t="str">
        <f>_xlfn.LET(_xlpm.k,IFERROR(_xlfn.XLOOKUP(BC344,Коды_код,Коды_утечка)&amp;"",""),IF(_xlpm.k="","дифавтомат",_xlpm.k))</f>
        <v>дифавтомат</v>
      </c>
      <c r="CR344" t="str" cm="1">
        <f t="array" ref="CR344">IF(CG344=0,"",_xlfn.LET(_xlpm.sg,TRIM(_xlfn.TEXTSPLIT(DD344&amp;"",";")),_xlpm.f_,_xlfn._xlws.FILTER(_xlpm.sg,LEFT(_xlpm.sg,3)="УЗО",""),IFERROR(INDEX(_xlpm.f_,1)&amp;"","")))</f>
        <v/>
      </c>
      <c r="CS344" t="str">
        <f t="shared" si="719"/>
        <v/>
      </c>
      <c r="CT344" s="6" t="str" cm="1">
        <f t="array" ref="CT344">IF(CR344="","",_xlfn.LET(_xlpm.tk,_xlfn.TEXTSPLIT(UPPER(CR344)," ",,TRUE),_xlpm.a_,_xlfn._xlws.FILTER(_xlpm.tk,ISNUMBER(--LEFT(_xlpm.tk,1))*((ISNUMBER(SEARCH("А",_xlpm.tk))+ISNUMBER(SEARCH("A",_xlpm.tk)))&gt;0)*NOT(ISNUMBER(SEARCH("МА",_xlpm.tk)))*NOT(ISNUMBER(SEARCH("MA",_xlpm.tk))),""),IFERROR(--SUBSTITUTE(SUBSTITUTE(INDEX(_xlpm.a_,1),"А",""),"A",""),"")))</f>
        <v/>
      </c>
      <c r="CU344" t="str" cm="1">
        <f t="array" ref="CU344">IF(CR344="","",_xlfn.LET(_xlpm.tk,_xlfn.TEXTSPLIT(UPPER(CR344)," ",,TRUE),_xlpm.a_,_xlfn._xlws.FILTER(_xlpm.tk,ISNUMBER(--LEFT(_xlpm.tk,1))*((ISNUMBER(SEARCH("МА",_xlpm.tk))+ISNUMBER(SEARCH("MA",_xlpm.tk)))&gt;0),""),IFERROR(--SUBSTITUTE(SUBSTITUTE(INDEX(_xlpm.a_,1),"МА",""),"MA",""),30)))</f>
        <v/>
      </c>
      <c r="CV344" t="str">
        <f>IF(CS344="","",IFERROR(_xlfn.XLOOKUP(CS344,Линии[_n],Линии[_УЗО, мА]),30))</f>
        <v/>
      </c>
      <c r="CW344">
        <f>IF(CS344="",0,IF(ISNUMBER(SEARCH("4P",IFERROR(_xlfn.XLOOKUP(CS344,Линии[_n],Линии[_УЗО строки])&amp;"",""))),0,1))</f>
        <v>0</v>
      </c>
      <c r="CX344" t="str">
        <f>IF(AND(CS344&lt;&gt;"",CS344=BA344),SUMIFS(Линии[_ток на 230 В],Линии[_блок УЗО],BA344,Линии[Щит],A344),"")</f>
        <v/>
      </c>
      <c r="CY344" t="str">
        <f>IF(AND(CS344&lt;&gt;"",CS344=BA344),SUMIFS(Линии[_ток утечки линии, мА],Линии[_блок УЗО],BA344,Линии[Щит],A344),"")</f>
        <v/>
      </c>
      <c r="CZ344">
        <f t="shared" si="720"/>
        <v>0</v>
      </c>
      <c r="DA344">
        <f t="shared" si="721"/>
        <v>0</v>
      </c>
      <c r="DB344">
        <f>IF(B344="",0,IFERROR(--_xlfn.XLOOKUP(B344,Коды_код,Коды_минавт),IFERROR(--_xlfn.XLOOKUP(BC344,Коды_код,Коды_минавт),IFERROR(--_xlfn.XLOOKUP(LEFT(BC344,2),Коды_код,Коды_минавт),0))))</f>
        <v>0</v>
      </c>
      <c r="DC344" t="str">
        <f>IF(B344="","",IFERROR(_xlfn.XLOOKUP(BC344,Коды_код,Коды_апп)&amp;"",""))</f>
        <v/>
      </c>
      <c r="DD344" t="str">
        <f t="shared" si="722"/>
        <v/>
      </c>
      <c r="DE344" t="str" cm="1">
        <f t="array" ref="DE344">IF(TRIM(DD344&amp;"")="","",IFERROR(TRIM(INDEX(_xlfn.TEXTSPLIT(DD344&amp;";;;",";"),1)),""))</f>
        <v/>
      </c>
      <c r="DF344" t="str" cm="1">
        <f t="array" ref="DF344">IF(TRIM(DD344&amp;"")="","",IFERROR(TRIM(INDEX(_xlfn.TEXTSPLIT(DD344&amp;";;;",";"),2)),""))</f>
        <v/>
      </c>
      <c r="DG344" t="str" cm="1">
        <f t="array" ref="DG344">IF(TRIM(DD344&amp;"")="","",IFERROR(TRIM(INDEX(_xlfn.TEXTSPLIT(DD344&amp;";;;",";"),3)),""))</f>
        <v/>
      </c>
      <c r="DH344">
        <f t="shared" si="723"/>
        <v>0</v>
      </c>
      <c r="DI344" t="str">
        <f>IF(B344="","",_xlfn.LET(_xlpm.t,LOWER(AZ344&amp;""),IF(ISNUMBER(SEARCH("dim",_xlpm.t)),"DIM",IF(ISNUMBER(SEARCH("dali",_xlpm.t)),"DALI",IF(OR(ISNUMBER(SEARCH("relay",_xlpm.t)),ISNUMBER(SEARCH("реле",_xlpm.t))),"Relay",IF(ISNUMBER(SEARCH("кнопк",_xlpm.t)),"",IFERROR(_xlfn.XLOOKUP(BC344,Коды_код,Коды_упр)&amp;"","")))))))</f>
        <v/>
      </c>
      <c r="DJ344" t="str">
        <f t="shared" si="724"/>
        <v/>
      </c>
      <c r="DK344">
        <f>IF(B344="","",_xlfn.LET(_xlpm.ig,IF(N(CX344)&gt;0,N(CX344),N(CI344)+IF(AJ344="вручную",0,N(CJ344))),_xlpm.n0,IFERROR(VLOOKUP(_xlpm.ig,Автомат_номиналы,2,TRUE),0),_xlpm.mn,MAX(DB344,IF(AJ344="вручную",0,N(CM344))),MAX(_xlpm.n0,_xlpm.mn,IF(DH344=1,Мин_автомат_БП,0))))</f>
        <v>16</v>
      </c>
      <c r="DL344">
        <f t="shared" si="725"/>
        <v>1</v>
      </c>
      <c r="DM344" t="str">
        <f t="shared" si="726"/>
        <v>1P</v>
      </c>
      <c r="DN344" t="str">
        <f>_xlfn.LET(_xlpm.cc,UPPER(TRIM(IFERROR(_xlfn.XLOOKUP(BC344,Коды_код,Коды_хар)&amp;"",""))),IF(OR(_xlpm.cc="B",_xlpm.cc="В"),"B",IF(_xlpm.cc="D","D","С")))</f>
        <v>С</v>
      </c>
      <c r="DO344" t="str">
        <f t="shared" si="727"/>
        <v>1P С16А</v>
      </c>
      <c r="DP344">
        <f t="shared" si="728"/>
        <v>16</v>
      </c>
      <c r="DQ344" t="str">
        <f t="shared" si="729"/>
        <v>1P С16А</v>
      </c>
      <c r="DR344" cm="1">
        <f t="array" ref="DR344">IF(DQ344="","",_xlfn.LET(_xlpm.t,SUBSTITUTE(SUBSTITUTE(SUBSTITUTE(UPPER(DQ344),"С","C"),"А","A"),"В","B"),_xlpm.tk,_xlfn.TEXTSPLIT(_xlpm.t," "),_xlpm.f,_xlfn._xlws.FILTER(_xlpm.tk,ISNUMBER(--MID(_xlpm.tk,2,1))*ISNUMBER(SEARCH(LEFT(_xlpm.tk,1)&amp;"#","B#C#D#"))*(LEN(_xlpm.tk)&gt;1),""),_xlpm.x,INDEX(_xlpm.f,1),IFERROR(--SUBSTITUTE(MID(_xlpm.x,2,9),"A",""),IFERROR(--SUBSTITUTE(INDEX(_xlfn._xlws.FILTER(_xlpm.tk,ISNUMBER(--SUBSTITUTE(_xlpm.tk,"A","")),""),1),"A",""),""))))</f>
        <v>16</v>
      </c>
      <c r="DS344" t="str">
        <f t="shared" si="730"/>
        <v>ok</v>
      </c>
      <c r="DT344">
        <f t="shared" si="731"/>
        <v>16</v>
      </c>
      <c r="DU344" t="str">
        <f t="shared" si="732"/>
        <v>1P С16А</v>
      </c>
      <c r="DV344">
        <f t="shared" si="733"/>
        <v>0</v>
      </c>
      <c r="DW344">
        <f t="shared" si="734"/>
        <v>0</v>
      </c>
      <c r="DX344">
        <f t="shared" si="735"/>
        <v>0</v>
      </c>
      <c r="DY344">
        <f t="shared" si="736"/>
        <v>10.80252740510063</v>
      </c>
      <c r="DZ344">
        <f t="shared" si="737"/>
        <v>1</v>
      </c>
      <c r="EA344">
        <f>IF(ISNUMBER(AP344),AP344,К_прокл)</f>
        <v>1</v>
      </c>
      <c r="EB344">
        <f t="shared" si="738"/>
        <v>2</v>
      </c>
      <c r="EC344">
        <f>IFERROR(N(VLOOKUP(BZ344,Кабель_обозначение,3,FALSE)),1)</f>
        <v>1</v>
      </c>
      <c r="ED344">
        <f>IFERROR(N(_xlfn.XLOOKUP(A344,Щиты[Щит],Щиты[ΔU до шин, %])),0)</f>
        <v>2.4899999999999998</v>
      </c>
      <c r="EE344" t="str">
        <f>IFERROR(_xlfn.XLOOKUP(A344,Щиты[Щит],Щиты[Zпетли на шинах, Ом]),"")</f>
        <v/>
      </c>
      <c r="EF344">
        <f>IFERROR(N(_xlfn.XLOOKUP(A344,Щиты[Щит],Щиты[ΔU до шин (подбор), %])),0)</f>
        <v>3.73</v>
      </c>
      <c r="EG344" t="str">
        <f>IFERROR(_xlfn.XLOOKUP(A344,Щиты[Щит],Щиты[Zпетли на шинах (подбор), Ом]),"")</f>
        <v/>
      </c>
      <c r="EH344" t="str">
        <f t="shared" si="739"/>
        <v/>
      </c>
      <c r="EI344">
        <f t="shared" si="740"/>
        <v>95</v>
      </c>
      <c r="EJ344">
        <f t="shared" si="741"/>
        <v>2</v>
      </c>
      <c r="EK344">
        <f t="shared" si="742"/>
        <v>0.31</v>
      </c>
      <c r="EL344" s="6">
        <f>IF(B344="","",IF(BV344=1,dU_LED,IF(IFERROR(_xlfn.XLOOKUP(BC344,Коды_код,Коды_уго),"")="Светильник",3,4)+IF(Методика="нормы 2026",MIN(0.5,MAX(0,N(P344)-100)*0.005),0)))</f>
        <v>4</v>
      </c>
      <c r="EM344" cm="1">
        <f t="array" ref="EM344">IF(OR(B344="",BZ344="",EC344&lt;&gt;1),"",_xlfn.LET(_xlpm.sz,Iдоп_S,_xlpm.t_,CHOOSE(EB344,Iдоп_1ж,Iдоп_2ж,Iдоп_3ж)*DZ344*EA344,_xlpm.dcx,BV344=1,_xlpm.inn,IF(_xlpm.dcx,N(O344),N(DT344)),_xlpm.smin,MAX(1.5,CC344),_xlpm.L_,N(P344)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344)/N(BU344)*100,999),IFERROR(N(EJ344)*(_xlpm.rho*_xlpm.L_/_xlpm.sz*N(CE344)+_xlpm.xx*_xlpm.L_*N(EK344)/1000)*N(O344)/((Uн_лин/SQRT(3))*1000)*100,999)),_xlpm.kz,IF(OR(_xlpm.dcx,DW344=1,NOT(ISNUMBER(EG344)),_xlpm.L_=0,_xlpm.inn=0),1,IFERROR(--(c_min*(Uн_лин*1000/SQRT(3))/(EG344+2*ρкз_Cu*_xlpm.L_/_xlpm.sz)&gt;=HT344*_xlpm.inn),0)),_xlpm.ok,IFERROR((_xlpm.sz&gt;=_xlpm.smin)*(_xlpm.t_&gt;=_xlpm.inn)*IF(_xlpm.L_&gt;0,(_xlpm.du_+IF(_xlpm.dcx,0,EF344)&lt;=EL344+0.00001),1)*_xlpm.kz,0),_xlpm.r_,_xlfn._xlws.FILTER(_xlpm.sz,_xlpm.ok,"не подобрано"),INDEX(_xlpm.r_,1)))</f>
        <v>95</v>
      </c>
      <c r="EN344">
        <f t="shared" si="743"/>
        <v>4</v>
      </c>
      <c r="EO344" cm="1">
        <f t="array" ref="EO344">IF(OR(B344="",BZ344="",EC344&lt;&gt;1),"",_xlfn.LET(_xlpm.sz,Iдоп_S,_xlpm.t_,CHOOSE(EB344,Iдоп_1ж,Iдоп_2ж,Iдоп_3ж)*DZ344*EA344,_xlpm.ok,IFERROR((_xlpm.sz&gt;=MAX(1.5,CC344))*(_xlpm.t_&gt;=N(DT344)),0),_xlpm.r_,_xlfn._xlws.FILTER(_xlpm.sz,_xlpm.ok,""),INDEX(_xlpm.r_,1)))</f>
        <v>1.5</v>
      </c>
      <c r="EP344" s="6" cm="1">
        <f t="array" ref="EP344">IFERROR(ROUNDUP(N(EJ344)*(_xlfn.XLOOKUP(EO344,INDEX(Кабель_сопротивление,0,1),INDEX(Кабель_сопротивление,0,3))*N(P344)/EO344*N(CE344)+_xlfn.XLOOKUP(EO344,INDEX(Кабель_сопротивление,0,1),INDEX(Кабель_сопротивление,0,2))*N(P344)*N(EK344)/1000)*N(O344)/((Uн_лин/SQRT(3))*1000)*100,2),"")</f>
        <v>12.7</v>
      </c>
      <c r="EQ344">
        <f>IFERROR(2*ρкз_Cu*N(P344)/EO344,"")</f>
        <v>3.3313333333333333</v>
      </c>
      <c r="ER344">
        <f>IFERROR(VLOOKUP(EN344,Кабель_сопротивление,3,FALSE),"")</f>
        <v>2.2499999999999999E-2</v>
      </c>
      <c r="ES344">
        <f>IFERROR(VLOOKUP(EN344,Кабель_сопротивление,2,FALSE),"")</f>
        <v>9.5000000000000001E-2</v>
      </c>
      <c r="ET344">
        <f t="shared" si="744"/>
        <v>38</v>
      </c>
      <c r="EU344">
        <f t="shared" si="745"/>
        <v>50</v>
      </c>
      <c r="EV344">
        <f t="shared" si="746"/>
        <v>11.028386648086473</v>
      </c>
      <c r="EW344" s="6">
        <f>IFERROR(ROUNDUP(EV344/IF(BV344=1,BU344,(Uн_лин/SQRT(3))*1000)*100,2),"")</f>
        <v>4.7799999999999994</v>
      </c>
      <c r="EX344" t="str">
        <f>IFERROR(VLOOKUP(BZ344,Кабель_обозначение,2,FALSE),"")</f>
        <v>ВВГнг(А)-LS</v>
      </c>
      <c r="EY344" t="str">
        <f t="shared" si="747"/>
        <v>ВВГнг(А)-LS (3х4)</v>
      </c>
      <c r="EZ344" t="str">
        <f t="shared" si="748"/>
        <v>ВВГнг(А)-LS (3х4)
L=95-4,78%</v>
      </c>
      <c r="FA344">
        <f>IFERROR(2*ρкз_Cu*P344/EN344,"")</f>
        <v>1.24925</v>
      </c>
      <c r="FB344">
        <f t="shared" si="749"/>
        <v>0.41562500000000002</v>
      </c>
      <c r="FC344" s="6" t="str">
        <f>IFERROR(IF(OR(B344="",BV344=1,NOT(ISNUMBER(EN344)),N(P344)=0),"",_xlfn.XLOOKUP(A344,Щиты[Щит],Щиты[Zпетли на шинах, Ом])+FA344),"")</f>
        <v/>
      </c>
      <c r="FD344" s="6" t="str">
        <f>IF(ISNUMBER(FC344),c_min*(Uн_лин*1000/SQRT(3))/FC344,"")</f>
        <v/>
      </c>
      <c r="FE344" s="6" t="str">
        <f>IFERROR(IF(OR(B344="",NOT(ISNUMBER(EN344))),"",1.05*(Uн_лин*1000/SQRT(3))/(_xlfn.XLOOKUP(A344,Щиты[Щит],Щиты[Zmax на шинах, Ом])+FB344)/1000),"")</f>
        <v/>
      </c>
      <c r="FF344" s="6" t="str">
        <f>IF(B344="","",IF(ISNUMBER(AC344),"Сил",IF(IFERROR(_xlfn.XLOOKUP(BC344,Коды_код,Коды_группа)&amp;"","")="","Быт",_xlfn.XLOOKUP(BC344,Коды_код,Коды_группа)&amp;"")))</f>
        <v>Быт</v>
      </c>
      <c r="FG344" s="6" t="str">
        <f t="shared" si="750"/>
        <v>Пост</v>
      </c>
      <c r="FH344" s="6">
        <f>IF(FG344="Щит","щит",IF(FG344="","",IF(FG344="Быт",IFERROR(_xlfn.XLOOKUP(A344,Щиты[Щит],Щиты[Кс быт]),1),IF(FG344="Сил",IF(ISNUMBER(AC344),AC344,IF(Методика="нормы 2026",IFERROR(_xlfn.XLOOKUP(A344,Щиты[Щит],Щиты[Кс силовых (табл. 7.5)]),1),1)),IF(OR(FG344="Пост",FG344="Отоп"),1,IF(FG344="ВНГ",0.7,0))))))</f>
        <v>1</v>
      </c>
      <c r="FI344">
        <f>IF(FG344="","",IF(AND(BP344=1,TRIM(AE344&amp;"")=""),IF(COUNTIFS(Линии[Щит],A344,Линии[Секция (1/2/3)],"&gt;=2")&gt;0,MIN(3,MAX(1,IFERROR(--BD344,1))),1),IFERROR(MIN(3,MAX(1,INT(--AE344))),1)))</f>
        <v>1</v>
      </c>
      <c r="FJ344">
        <f t="shared" si="751"/>
        <v>2.37</v>
      </c>
      <c r="FK344">
        <f t="shared" si="752"/>
        <v>0</v>
      </c>
      <c r="FL344">
        <f t="shared" si="753"/>
        <v>0</v>
      </c>
      <c r="FM344">
        <f t="shared" si="754"/>
        <v>2.37</v>
      </c>
      <c r="FN344">
        <f t="shared" si="755"/>
        <v>0</v>
      </c>
      <c r="FO344">
        <f t="shared" si="756"/>
        <v>0</v>
      </c>
      <c r="FP344">
        <f t="shared" si="757"/>
        <v>2.37</v>
      </c>
      <c r="FQ344">
        <f t="shared" si="758"/>
        <v>2.37</v>
      </c>
      <c r="FR344">
        <f t="shared" si="759"/>
        <v>2.2515000000000001</v>
      </c>
      <c r="FS344">
        <f>IF(CG344=1,IF(AND(CH344=1,CW344=1),0,IF(AND(CS344&lt;&gt;"",CS344=BA344,CW344=1),SUMIFS(Линии[_Р линии, кВт],Линии[_блок УЗО],BA344,Линии[Щит],A344),N(BS344)+IF(AJ344="вручную",0,N(CK344)))),0)</f>
        <v>2.37</v>
      </c>
      <c r="FT344" t="str">
        <f t="shared" si="760"/>
        <v>L1</v>
      </c>
      <c r="FU344" t="str">
        <f>IF(B344="","",IF(CG344=0,IF(BA344=1,"",FW343),IF(AND(CH344=1,CW344=1,CS344&lt;&gt;""),IFERROR(_xlfn.XLOOKUP(CS344,Линии[_n],Линии[_фаза итог]),"L1"),IF(OR(N(DL344)&gt;=3,N(BX344)&gt;=3),"L1,L2,L3",IFERROR(_xlfn.TEXTBEFORE(_xlfn.TEXTAFTER(_xlfn.XLOOKUP(A344,Щиты[Щит],Щиты[_фазы авто]),";"&amp;BA344&amp;":"),";"),"L1")))))</f>
        <v>L1</v>
      </c>
      <c r="FV344" t="str">
        <f t="shared" si="761"/>
        <v>L1</v>
      </c>
      <c r="FW344" t="str">
        <f t="shared" si="762"/>
        <v>L1</v>
      </c>
      <c r="FX344" cm="1">
        <f t="array" ref="FX344">IFERROR(IF(CD344=2,_xlfn.IFS(BX344=3,VLOOKUP(BS344,Справочная_двигатели,3,FALSE),BX344=1,VLOOKUP(BS344,Справочная_двигатели,5,TRUE)),0),0)</f>
        <v>0</v>
      </c>
      <c r="FY344">
        <f>IFERROR(IF(CD344=3,VLOOKUP(BS344,Справочная_ЛЭД,2,TRUE),0),0)</f>
        <v>0</v>
      </c>
      <c r="FZ344" s="6">
        <f t="shared" si="763"/>
        <v>0</v>
      </c>
      <c r="GA344" t="str">
        <f>IF(B344="","",IF(TRIM(AH344&amp;"")&lt;&gt;"",IF(LOWER(TRIM(AH344&amp;""))="да","да","нет"),IF(IFERROR(_xlfn.XLOOKUP(BC344,Коды_код,Коды_пожарная),"")="да","да","нет")))</f>
        <v>нет</v>
      </c>
      <c r="GB344" t="str">
        <f t="shared" si="764"/>
        <v/>
      </c>
      <c r="GC344" t="str">
        <f t="shared" si="765"/>
        <v>основная</v>
      </c>
      <c r="GD344">
        <f>IF(AND(BP344=1,TRIM(AE344&amp;"")=""),IF(COUNTIFS(Линии[Щит],A344,Линии[Секция (1/2/3)],"&gt;=2")&gt;0,MIN(3,MAX(1,IFERROR(--BD344,1))),1),IFERROR(MIN(3,MAX(1,INT(--AE344))),1))</f>
        <v>1</v>
      </c>
      <c r="GE344" t="str" cm="1">
        <f t="array" ref="GE344">IF(B344="","",_xlfn.LET(_xlpm.t,IFERROR(_xlfn.XLOOKUP(1,(Шины[Шина]=GC344)*(((Шины[Щит]=A344)+(Шины[Щит]=""))&gt;0),Шины[Тип]),"")&amp;"",IF(_xlpm.t&lt;&gt;"",_xlpm.t,IF(ISNUMBER(SEARCH("ИБП",GC344)),"ИБП",IF(ISNUMBER(SEARCH("ДГУ",GC344)),"ДГУ","Ввод "&amp;GD344)))))</f>
        <v>Ввод 1</v>
      </c>
      <c r="GF344" t="str">
        <f t="shared" si="766"/>
        <v>Ввод 1</v>
      </c>
      <c r="GG344" t="str">
        <f>IF(BP344=0,"",IF(TRIM(AG344&amp;"")&lt;&gt;"",TRIM(AG344&amp;""),IF(OR(GE344="ИБП",GE344="ДГУ"),"I особая",_xlfn.XLOOKUP(A344,Щиты[Щит],Щиты[Категория шины «Ввод»],"III"))))</f>
        <v/>
      </c>
      <c r="GH344" t="str">
        <f>IF(A344="","",_xlfn.XLOOKUP(A344,Щиты[Щит],Щиты[Путь],""))</f>
        <v>|ГРЩ-ЖД|ЩУОВ|</v>
      </c>
      <c r="GI344" t="str">
        <f>IF(B344="","",IF(AI344&lt;&gt;"",AI344,IF(IFERROR(_xlfn.XLOOKUP(BC344,Коды_код,Коды_вид)&amp;"","")="","Прочее",_xlfn.XLOOKUP(BC344,Коды_код,Коды_вид)&amp;"")))</f>
        <v>Обогрев водостоков и кровли</v>
      </c>
      <c r="GJ344">
        <f>IF(BM344="","",INT((BM344-1)/Столбцов_на_лист)+1)</f>
        <v>2</v>
      </c>
      <c r="GK344" t="str">
        <f t="shared" si="767"/>
        <v>ВВГнг(А)-LS (3х4) L=95-4,78%</v>
      </c>
      <c r="GL344">
        <f t="shared" si="768"/>
        <v>2.37</v>
      </c>
      <c r="GM344">
        <f t="shared" si="769"/>
        <v>10.81</v>
      </c>
      <c r="GN344">
        <f t="shared" si="770"/>
        <v>1</v>
      </c>
      <c r="GO344">
        <f t="shared" si="771"/>
        <v>0</v>
      </c>
      <c r="GP344">
        <f t="shared" si="772"/>
        <v>1</v>
      </c>
      <c r="GQ344">
        <f>IF(BM344="","",IF(AND(CG344=1,GP344=1),COUNTIFS(A$3:A344,A344,CG$3:CG344,1,GP$3:GP344,1),IF(OR(OR(BA344=1,A344&lt;&gt;A343),AJ344="вручную",GP344=0),"",IF(BA344=1,"",GR343))))</f>
        <v>3</v>
      </c>
      <c r="GR344">
        <f t="shared" si="773"/>
        <v>3</v>
      </c>
      <c r="GS344">
        <f>IF(B344="","",IFERROR(LOOKUP(INDEX(CHOOSE(EB344,Iдоп_1ж,Iдоп_2ж,Iдоп_3ж),MATCH(EN344,Iдоп_S,0))*DZ344*EA344,{6,10,16,20,25,32,40,50,63,80,100,125,160,200,250,315,400,500,630}),""))</f>
        <v>32</v>
      </c>
      <c r="GT344" t="str">
        <f t="shared" si="774"/>
        <v>QF3</v>
      </c>
      <c r="GU344" t="str">
        <f t="shared" si="775"/>
        <v>QF3</v>
      </c>
      <c r="GV344" t="str">
        <f t="shared" si="776"/>
        <v/>
      </c>
      <c r="GW344">
        <f t="shared" si="777"/>
        <v>0</v>
      </c>
      <c r="GX344" t="str">
        <f>IF(OR(B344="",DJ344=""),"",IFERROR(_xlfn.XLOOKUP(DJ344,Модули_умолч[Управление],Модули_умолч[Модель])&amp;"",""))</f>
        <v/>
      </c>
      <c r="GY344">
        <f>IF(DJ344="",1,IFERROR(MAX(0,N(_xlfn.XLOOKUP(DJ344,Модули_умолч[Управление],Модули_умолч[Каналов на линию]))),1))</f>
        <v>1</v>
      </c>
      <c r="GZ344" t="str">
        <f t="shared" si="778"/>
        <v/>
      </c>
      <c r="HA344" t="str">
        <f t="shared" si="779"/>
        <v/>
      </c>
      <c r="HB344" t="str">
        <f t="shared" si="780"/>
        <v/>
      </c>
      <c r="HC344">
        <f>IF(HB344="",0,IFERROR(N(VLOOKUP(HB344,Модули_спр,3,FALSE)),0))</f>
        <v>0</v>
      </c>
      <c r="HD344" t="str">
        <f t="shared" si="781"/>
        <v/>
      </c>
      <c r="HE344" t="str">
        <f t="shared" si="782"/>
        <v/>
      </c>
      <c r="HF344" t="str">
        <f>IF(OR(HE344="",HE344="-"),"",IFERROR(VLOOKUP(HE344,Модули_спр,2,FALSE),"R"))</f>
        <v/>
      </c>
      <c r="HG344" t="str">
        <f>IF(HF344="","",HF344&amp;"."&amp;COUNTIFS(A$3:A344,A344,HF$3:HF344,HF344))</f>
        <v/>
      </c>
      <c r="HH344" t="str">
        <f t="shared" si="783"/>
        <v/>
      </c>
      <c r="HI344" t="str">
        <f t="shared" si="784"/>
        <v/>
      </c>
      <c r="HJ344" t="str">
        <f t="shared" si="785"/>
        <v/>
      </c>
      <c r="HK344" t="str">
        <f t="shared" si="786"/>
        <v/>
      </c>
      <c r="HL344">
        <f t="shared" si="787"/>
        <v>1</v>
      </c>
      <c r="HM344" t="str">
        <f>IF(HL344=1,"XT"&amp;COUNTIFS(A$3:A344,A344,HL$3:HL344,1),"")</f>
        <v>XT3</v>
      </c>
      <c r="HN344" t="str">
        <f t="shared" si="788"/>
        <v/>
      </c>
      <c r="HO344" t="str">
        <f t="shared" si="789"/>
        <v>QF3</v>
      </c>
      <c r="HP344" t="str">
        <f t="shared" si="790"/>
        <v/>
      </c>
      <c r="HQ344" t="str">
        <f t="shared" si="791"/>
        <v>ok</v>
      </c>
      <c r="HR344" t="str">
        <f>IF(OR(HJ344="",HH344=""),"",IF(HJ344+MAX(0,GY344-1)&gt;IFERROR(VLOOKUP(HI344,Модули_спр,3,FALSE),99),"ЛИШНИЙ КАНАЛ",IF(AND(AL344&lt;&gt;"=",GY344&gt;0,COUNTIFS(Линии[_модуль гр.],HH344,Линии[Канал (итог)],HJ344,Линии[Канал],"&lt;&gt;=",Линии[Щит],A344)&gt;1),"ДУБЛЬ КАНАЛА","")))</f>
        <v/>
      </c>
      <c r="HS344" s="6" t="str">
        <f t="shared" si="792"/>
        <v/>
      </c>
      <c r="HT344">
        <f t="shared" si="793"/>
        <v>10</v>
      </c>
      <c r="HU344" t="str">
        <f t="shared" si="794"/>
        <v/>
      </c>
      <c r="HV344">
        <f t="shared" si="795"/>
        <v>5.2710109620402523</v>
      </c>
      <c r="HW344">
        <f t="shared" si="796"/>
        <v>0</v>
      </c>
      <c r="HX344">
        <f t="shared" si="797"/>
        <v>0</v>
      </c>
      <c r="HY344">
        <f t="shared" si="798"/>
        <v>0</v>
      </c>
      <c r="HZ344">
        <f t="shared" si="799"/>
        <v>0</v>
      </c>
      <c r="IA344">
        <f t="shared" si="800"/>
        <v>0</v>
      </c>
      <c r="IB344">
        <f t="shared" si="801"/>
        <v>0</v>
      </c>
      <c r="IC344" t="str">
        <f t="shared" si="802"/>
        <v/>
      </c>
      <c r="ID344" t="str" cm="1">
        <f t="array" ref="ID344">IF(IC344="","",_xlfn.LET(_xlpm.tk,_xlfn.TEXTSPLIT(SUBSTITUTE(SUBSTITUTE(IC344,";"," "),"→"," ")," ",,TRUE),_xlpm.w_,_xlfn._xlws.FILTER(_xlpm.tk,ISNUMBER(--LEFT(_xlpm.tk,1))*((ISNUMBER(SEARCH("W",_xlpm.tk))+ISNUMBER(SEARCH("Вт",_xlpm.tk)))&gt;0),""),IFERROR(--SUBSTITUTE(SUBSTITUTE(UPPER(INDEX(_xlpm.w_,1)),"W",""),"ВТ",""),"")))</f>
        <v/>
      </c>
      <c r="IE344" t="str" cm="1">
        <f t="array" ref="IE344">IF(IC344="","",_xlfn.LET(_xlpm.tk,_xlfn.TEXTSPLIT(SUBSTITUTE(SUBSTITUTE(IC344,";"," "),"→"," ")," ",,TRUE),_xlpm.v_,_xlfn._xlws.FILTER(_xlpm.tk,ISNUMBER(--LEFT(_xlpm.tk,1))*((ISNUMBER(SEARCH("V",_xlpm.tk))+(RIGHT(UPPER(_xlpm.tk))="В"))&gt;0),""),IFERROR(--SUBSTITUTE(SUBSTITUTE(UPPER(INDEX(_xlpm.v_,1)),"V",""),"В",""),"")))</f>
        <v/>
      </c>
      <c r="IF344" s="6" t="str">
        <f>IF(OR(BV344=0,HI344="",HJ344=""),"",IFERROR(N(_xlfn.XLOOKUP(HI344,Каталог!$C$4:$C$500,Каталог!$Q$4:$Q$500)),""))</f>
        <v/>
      </c>
      <c r="IG344" s="6" t="str">
        <f>IF(N(IF344)=0,"",SUMIFS(Линии[Iр, А],Линии[Щит],A344,Линии[_модуль гр.],HH344,Линии[Канал (итог)],HJ344))</f>
        <v/>
      </c>
      <c r="IH344" t="str">
        <f>IF(AND(B344="",HO344=""),"",_xlfn.TEXTJOIN("; ",TRUE,IF(AND(B344&lt;&gt;"",FV344=""),"нет фазы",""),IF(AND(B344&lt;&gt;"",N(GL344)=0,FG344&lt;&gt;"Нет"),"нет мощности",""),IF(AND(HN344&lt;&gt;"",COUNTIFS(Линии[Щит],A344,Линии[Клемма (итог)],HN344)&gt;1),"дубль клеммы "&amp;HN344,""),IF(AND(HQ344&lt;&gt;"",HQ344&lt;&gt;"ok"),HQ344,""),IF(HR344&lt;&gt;"",HR344,""),IF(AND(N(CB344)&gt;=4,N(BX344)=1),CB344&amp;" жил на 1 фазе",""),IF(AND(BC344="R",CG344=1,IF(CS344&lt;&gt;"",N(CV344)&gt;30,OR(N(DA344)=0,N(DA344)&gt;30))),"розетка без дифзащиты до 30 мА",""),IF(AND(CG344=1,N(DA344)&gt;0,ISNUMBER(T344)),IF(T344&gt;N(DA344)/3,"ток утечки "&amp;FIXED(T344,1)&amp;" мА &gt; 1/3 уставки ("&amp;DA344&amp;" мА)",""),""),IF(AND(CH344=1,CS344=""),"«узо»: нет строки с УЗО выше (УЗО 2P 40А 30мА в «Аппаратах»)",""),IF(AND(CS344&lt;&gt;"",CS344=BA344),IF(CT344="","впишите номинал УЗО (УЗО 2P 40А 30мА)",IF(N(CT344)&lt;N(DT344),"УЗО "&amp;CT344&amp;" А &lt; автомата "&amp;DT344&amp;" А перед ним",IF(N(CT344)&lt;N(CX344),"УЗО "&amp;CT344&amp;" А &lt; тока блока "&amp;FIXED(CX344,1)&amp;" А",""))),""),IF(AND(CS344&lt;&gt;"",CS344=BA344,ISNUMBER(CY344)),IF(CY344&gt;N(CV344)/3,"ток утечки блока УЗО "&amp;FIXED(CY344,1)&amp;" мА &gt; 1/3 уставки ("&amp;CV344&amp;" мА)",""),""),IF(AND(CG344=1,N(BV344)+N(IB344)&gt;0,IC344=""),"линии до 50 В без БП: впишите в «Аппараты» (БП 24V 480W)",""),IF(AND(CG344=1,ISNUMBER(ID344),ISNUMBER(U344)),IF(U344&gt;ID344,"БП "&amp;ID344&amp;" Вт &lt; нужно "&amp;U344&amp;" Вт (×"&amp;Запас_БП&amp;")",""),""),IF(AND(CG344=1,ISNUMBER(IE344),N(BV344)=1),IF(IE344&lt;&gt;N(BU344),"БП на "&amp;IE344&amp;" В, линия "&amp;BU344&amp;" В",""),""),IF(AND(N(IF344)&gt;0,N(IG344)&gt;N(IF344)),HH344&amp;" канал "&amp;HJ344&amp;": "&amp;FIXED(IG344,1)&amp;" А &gt; "&amp;IF344&amp;" А",""),IFERROR(IF(AND(ISNUMBER(Q344),Q344&gt;EL344),"потери "&amp;FIXED(Q344,1)&amp;" % &gt; "&amp;EL344&amp;" %",""),""),IFERROR(IF(LEFT(HU344,4)="мало","Iкз мало — отключение &gt; 0,4 с",""),""),IF(AND(B344&lt;&gt;"",BM344=""),"не на схеме",""),IF(AND(CG344=0,B344&lt;&gt;"",FV344&lt;&gt;"",IF(BA344=1,"",FW343)&lt;&gt;"",FV344&lt;&gt;IF(BA344=1,"",FW343)),"фаза не как у автомата группы ("&amp;IF(BA344=1,"",FW343)&amp;")","")))</f>
        <v>потери 7,3 % &gt; 4 %</v>
      </c>
      <c r="II344" s="6">
        <f>IF(OR(CG344=0,DQ344=""),"",_xlfn.LET(_xlpm.t,IFERROR(_xlfn.XLOOKUP(DQ344,Каталог!$U$4:$U$500,Каталог!$G$4:$G$500),""),_xlpm.k,SEARCH("кА",_xlpm.t),IFERROR(--TRIM(RIGHT(SUBSTITUTE(MID(_xlpm.t,MAX(1,_xlpm.k-4),_xlpm.k-MAX(1,_xlpm.k-4))," ",REPT(" ",9)),5)),"")))</f>
        <v>6</v>
      </c>
      <c r="IJ344" t="str">
        <f>IF(OR(II344="",CG344=0),"",IF(_xlfn.XLOOKUP(A344,Щиты[Щит],Щиты[Iкз max на шинах, кА],"")="","",IF(II344&lt;_xlfn.XLOOKUP(A344,Щиты[Щит],Щиты[Iкз max на шинах, кА]),"Icu "&amp;II344&amp;" кА &lt; Iкз max","ok")))</f>
        <v/>
      </c>
      <c r="IK344" t="str">
        <f t="shared" si="803"/>
        <v/>
      </c>
      <c r="IL344" t="str">
        <f t="shared" si="804"/>
        <v>QF3</v>
      </c>
      <c r="IM344" t="str">
        <f t="shared" si="805"/>
        <v xml:space="preserve">QF3|кабель ВВГнг(А)-LS (3х4) → </v>
      </c>
      <c r="IN344" t="str" cm="1">
        <f t="array" ref="IN344">IF(IM344="","",_xlfn.LET(_xlpm.nd,_xlfn.TEXTSPLIT(IM344,"|"),IF(COLUMNS(_xlpm.nd)&gt;1,A344&amp;"¦"&amp;INDEX(_xlpm.nd,1)&amp;"¦"&amp;INDEX(_xlpm.nd,2),"")))</f>
        <v xml:space="preserve">ЩУОВ¦QF3¦кабель ВВГнг(А)-LS (3х4) → </v>
      </c>
      <c r="IO344" t="str">
        <f t="shared" si="806"/>
        <v>OV.2.002Г.1¦</v>
      </c>
      <c r="IP344" t="str" cm="1">
        <f t="array" ref="IP344">IF(IM344="","",_xlfn.LET(_xlpm.nd,_xlfn.TEXTSPLIT(IM344,"|"),IF(COLUMNS(_xlpm.nd)&gt;2,A344&amp;"¦"&amp;INDEX(_xlpm.nd,2)&amp;"¦"&amp;INDEX(_xlpm.nd,3),"")))</f>
        <v/>
      </c>
      <c r="IQ344" t="str">
        <f t="shared" si="807"/>
        <v/>
      </c>
      <c r="IR344" t="str" cm="1">
        <f t="array" ref="IR344">IF(IM344="","",_xlfn.LET(_xlpm.nd,_xlfn.TEXTSPLIT(IM344,"|"),IF(COLUMNS(_xlpm.nd)&gt;3,A344&amp;"¦"&amp;INDEX(_xlpm.nd,3)&amp;"¦"&amp;INDEX(_xlpm.nd,4),"")))</f>
        <v/>
      </c>
      <c r="IS344" t="str">
        <f t="shared" si="808"/>
        <v/>
      </c>
      <c r="IT344" t="str" cm="1">
        <f t="array" ref="IT344">IF(IM344="","",_xlfn.LET(_xlpm.nd,_xlfn.TEXTSPLIT(IM344,"|"),IF(COLUMNS(_xlpm.nd)&gt;4,A344&amp;"¦"&amp;INDEX(_xlpm.nd,4)&amp;"¦"&amp;INDEX(_xlpm.nd,5),"")))</f>
        <v/>
      </c>
      <c r="IU344" t="str">
        <f t="shared" si="809"/>
        <v/>
      </c>
      <c r="IV344" t="str" cm="1">
        <f t="array" ref="IV344">IF(IM344="","",_xlfn.LET(_xlpm.nd,_xlfn.TEXTSPLIT(IM344,"|"),IF(COLUMNS(_xlpm.nd)&gt;5,A344&amp;"¦"&amp;INDEX(_xlpm.nd,5)&amp;"¦"&amp;INDEX(_xlpm.nd,6),"")))</f>
        <v/>
      </c>
      <c r="IW344" t="str">
        <f t="shared" si="810"/>
        <v/>
      </c>
      <c r="IX344" t="str" cm="1">
        <f t="array" ref="IX344">IF(IM344="","",_xlfn.LET(_xlpm.nd,_xlfn.TEXTSPLIT(IM344,"|"),IF(COLUMNS(_xlpm.nd)&gt;6,A344&amp;"¦"&amp;INDEX(_xlpm.nd,6)&amp;"¦"&amp;INDEX(_xlpm.nd,7),"")))</f>
        <v/>
      </c>
      <c r="IY344" t="str">
        <f t="shared" si="811"/>
        <v/>
      </c>
      <c r="IZ344" t="str">
        <f t="shared" si="812"/>
        <v/>
      </c>
      <c r="JA344" t="str">
        <f t="shared" si="813"/>
        <v>QF3</v>
      </c>
      <c r="JB344">
        <f t="shared" si="814"/>
        <v>0</v>
      </c>
      <c r="JC344">
        <f t="shared" si="815"/>
        <v>0</v>
      </c>
      <c r="JD344" t="str">
        <f t="shared" si="816"/>
        <v/>
      </c>
      <c r="JE344" t="str">
        <f t="shared" si="817"/>
        <v/>
      </c>
      <c r="JF344" t="str">
        <f t="shared" si="818"/>
        <v/>
      </c>
      <c r="JG344" t="str">
        <f t="shared" si="819"/>
        <v/>
      </c>
      <c r="JH344" t="str">
        <f>IF(B344="","",IFERROR(_xlfn.XLOOKUP(B344,Коды_код,Коды_уго),IFERROR(_xlfn.XLOOKUP(BC344,Коды_код,Коды_уго),IFERROR(_xlfn.XLOOKUP(LEFT(BC344,2),Коды_код,Коды_уго),""))))</f>
        <v/>
      </c>
      <c r="JI344" t="str">
        <f>IF(B344="","",IF(OR(JH344="",JH344=0),"BOX",IFERROR(IF(VLOOKUP(JH344,УГО_блоки,3,FALSE)&amp;""&lt;&gt;"",VLOOKUP(JH344,УГО_блоки,3,FALSE),VLOOKUP(JH344,УГО_блоки,2,FALSE)),JH344)))</f>
        <v>BOX</v>
      </c>
      <c r="JJ344">
        <f t="shared" si="820"/>
        <v>1</v>
      </c>
      <c r="JK344" t="str">
        <f>IF(DQ344="","",IF(COUNTIF(DQ$3:DQ344,DQ344)=1,MAX(JK$2:JK343)+1,""))</f>
        <v/>
      </c>
      <c r="JL344" t="str">
        <f>IF(DE344="","",IF(COUNTIF(DE$3:DE344,DE344)+COUNTIF(DF$2:DF343,DE344)+COUNTIF(DG$2:DG343,DE344)=1,MAX(JL$2:JN343)+1,""))</f>
        <v/>
      </c>
      <c r="JM344" t="str">
        <f>IF(DF344="","",IF(COUNTIF(DE$3:DE344,DF344)+COUNTIF(DF$3:DF344,DF344)+COUNTIF(DG$2:DG343,DF344)=1,MAX(JL$2:JN343,JL344)+1,""))</f>
        <v/>
      </c>
      <c r="JN344" t="str">
        <f>IF(DG344="","",IF(COUNTIF(DE$3:DE344,DG344)+COUNTIF(DF$3:DF344,DG344)+COUNTIF(DG$3:DG344,DG344)=1,MAX(JL$2:JN343,JL344,JM344)+1,""))</f>
        <v/>
      </c>
      <c r="JO344" t="str">
        <f t="shared" si="821"/>
        <v>3х4</v>
      </c>
      <c r="JP344" t="str">
        <f>IF(JO344="","",IF(COUNTIF(JO$3:JO344,JO344)=1,MAX(JP$2:JP343)+1,""))</f>
        <v/>
      </c>
      <c r="JQ344" t="str">
        <f>IF(HG344="","",COUNTIF(HG$3:HG344,"?*"))</f>
        <v/>
      </c>
      <c r="JR344" t="str">
        <f>IF(OR(HG344="",HI344=""),"",IF(COUNTIFS(HG$3:HG344,"?*",HI$3:HI344,HI344)=1,MAX(JR$2:JR343)+1,""))</f>
        <v/>
      </c>
      <c r="JS344">
        <f t="shared" si="822"/>
        <v>1</v>
      </c>
      <c r="JT344">
        <f>IF(B344="","",COUNTIF(B$3:B344,"?*"))</f>
        <v>342</v>
      </c>
      <c r="JU344">
        <f>IF(HL344&lt;&gt;1,0,_xlfn.LET(_xlpm.k,MAX(IFERROR(--_xlfn.XLOOKUP(B344,Коды_код,Коды_3L),0),IFERROR(--_xlfn.XLOOKUP(BC344,Коды_код,Коды_3L),0),IFERROR(--_xlfn.XLOOKUP(LEFT(BC344,2),Коды_код,Коды_3L),0)),IF(_xlpm.k&gt;0,_xlpm.k,IF(IFERROR(--LEFT(SUBSTITUTE(JO344,"x","х"),FIND("х",SUBSTITUTE(JO344,"x","х"))-1),3)&gt;3,Каталог!$S$9,1))))</f>
        <v>1</v>
      </c>
      <c r="JV344">
        <f t="shared" si="823"/>
        <v>0</v>
      </c>
      <c r="JW344" t="str">
        <f t="shared" si="824"/>
        <v>авто</v>
      </c>
      <c r="JX344" t="str">
        <f t="shared" si="825"/>
        <v/>
      </c>
      <c r="JY344">
        <f t="shared" si="826"/>
        <v>0</v>
      </c>
      <c r="JZ344">
        <f t="shared" si="827"/>
        <v>1</v>
      </c>
    </row>
    <row r="345" spans="1:286" x14ac:dyDescent="0.3">
      <c r="A345" t="s">
        <v>769</v>
      </c>
      <c r="B345" t="s">
        <v>1643</v>
      </c>
      <c r="C345" t="str">
        <f>Линии[[#This Row],[_авто наименование]]</f>
        <v/>
      </c>
      <c r="D345">
        <v>2</v>
      </c>
      <c r="E345">
        <v>0.96</v>
      </c>
      <c r="G345">
        <v>16</v>
      </c>
      <c r="H345" t="str">
        <f>Линии[[#This Row],[_авто управление]]</f>
        <v/>
      </c>
      <c r="I345" t="str">
        <f>Линии[[#This Row],[_авто аппараты]]</f>
        <v/>
      </c>
      <c r="J345">
        <v>2.5</v>
      </c>
      <c r="K345">
        <v>44</v>
      </c>
      <c r="L345">
        <v>2</v>
      </c>
      <c r="M345" t="str">
        <f>Линии[[#This Row],[_авто клемма]]</f>
        <v>XT4</v>
      </c>
      <c r="N345" t="str">
        <f t="shared" si="690"/>
        <v/>
      </c>
      <c r="O345" s="6" cm="1">
        <f t="array" ref="O345">IF(B345="","",IF(BH345&lt;&gt;"",IFERROR(_xlfn.XLOOKUP(BH345,Щиты[Щит],Щиты[Iр, А]),""),IF(BP345=1,IF(OR(N(_xlfn.XLOOKUP(A345,Щиты[Щит],Щиты[Вводов],1))&lt;=1,LOWER(TRIM(_xlfn.XLOOKUP(A345,Щиты[Щит],Щиты[АВР],"")&amp;""))="да"),IFERROR(_xlfn.XLOOKUP(A345,Щиты[Щит],Щиты[Iр, А]),""),IFERROR(N(BS345)*_xlfn.XLOOKUP(A345,Щиты[Щит],Щиты[Кс итог])/(SQRT(3)*Uн_лин*_xlfn.XLOOKUP(A345,Щиты[Щит],Щиты[cos φ])),"")),IF(BV345=1,IFERROR(BS345*1000/BU345,""),IFERROR(_xlfn.IFS(BX345=1,BS345/((Uн_лин/SQRT(3))*CE345),BX345=3,BS345/(SQRT(3)*Uн_лин*CE345)),"")))))</f>
        <v>4.3757073033319003</v>
      </c>
      <c r="P345" s="7">
        <f>IF(B345="","",IFERROR(IF(VLOOKUP(BC345,Потребители_обозначение,4,FALSE)=1,VLOOKUP(BC345,Потребители_обозначение,3,FALSE)*(MAX(1,N(D345))*2-1)+EI345+VLOOKUP(BE345,Этаж_обозначение,3,FALSE)+VLOOKUP(BE345,Этаж_обозначение,4,FALSE),VLOOKUP(BC345,Потребители_обозначение,3,FALSE)*(MAX(1,N(D345))*2-1)+EI345),EI345))</f>
        <v>44</v>
      </c>
      <c r="Q345" s="6">
        <f t="shared" si="691"/>
        <v>3.9299999999999997</v>
      </c>
      <c r="R345" t="str">
        <f t="shared" si="692"/>
        <v>ВВГнг(А)-LS (3х2,5)</v>
      </c>
      <c r="S345" t="str">
        <f>IF(BM345="","",IF(BN345="вводной узел","узел ","")&amp;"л."&amp;(INT((BM345-1)/Столбцов_на_лист)+1)&amp;" / "&amp;(MOD(BM345-1,Столбцов_на_лист)+1))</f>
        <v>л.2 / 3</v>
      </c>
      <c r="T345" s="119">
        <f t="shared" si="693"/>
        <v>2.2000000000000002</v>
      </c>
      <c r="U345" s="7" t="str">
        <f>IF(OR(CG345=0,N(BV345)+N(IB345)=0),"",ROUNDUP(Запас_БП*(N(HY345)+N(HZ345)),0))</f>
        <v/>
      </c>
      <c r="V345" s="119" t="str">
        <f t="shared" si="694"/>
        <v/>
      </c>
      <c r="W345" s="7" t="str">
        <f>IFERROR(IF(OR(B345="",BP345=1,BV345=1,NOT(ISNUMBER(EN345)),N(DT345)=0),"",MAX(0,ROUNDDOWN((c_min*(Uн_лин*1000/SQRT(3))/(HT345*N(DT345))-_xlfn.XLOOKUP(A345,Щиты[Щит],Щиты[Zпетли на шинах, Ом]))*EN345/(2*ρкз_Cu),0))),"")</f>
        <v/>
      </c>
      <c r="Y345" t="str">
        <f>Линии[[#This Row],[_авто утечка]]</f>
        <v/>
      </c>
      <c r="Z345">
        <v>1</v>
      </c>
      <c r="AA345">
        <v>230</v>
      </c>
      <c r="AB345" t="s">
        <v>573</v>
      </c>
      <c r="AG345" t="s">
        <v>810</v>
      </c>
      <c r="AI345" t="s">
        <v>609</v>
      </c>
      <c r="AK345" t="str">
        <f>Линии[[#This Row],[_авто модуль]]</f>
        <v/>
      </c>
      <c r="AM345">
        <v>20</v>
      </c>
      <c r="AN345" t="s">
        <v>11</v>
      </c>
      <c r="AO345">
        <v>3</v>
      </c>
      <c r="AQ345">
        <v>7</v>
      </c>
      <c r="AR345">
        <v>17</v>
      </c>
      <c r="AS345">
        <v>20</v>
      </c>
      <c r="AT345">
        <v>1</v>
      </c>
      <c r="BA345" cm="1">
        <f t="array" ref="BA345">ROW()-ROW(Линии[#Headers])</f>
        <v>343</v>
      </c>
      <c r="BC345" s="6" t="str">
        <f t="shared" si="695"/>
        <v>OV</v>
      </c>
      <c r="BD345" t="str">
        <f t="shared" si="696"/>
        <v>2.003Г.1</v>
      </c>
      <c r="BE345" t="str">
        <f t="shared" si="697"/>
        <v>2</v>
      </c>
      <c r="BF345" t="str">
        <f t="shared" si="698"/>
        <v>003Г.1</v>
      </c>
      <c r="BG345" t="str">
        <f t="shared" si="699"/>
        <v>003Г</v>
      </c>
      <c r="BH345" t="str">
        <f>IF(X345&lt;&gt;"",X345,IF(AND(B345&lt;&gt;"",B345&lt;&gt;A345,ISNUMBER(_xlfn.XMATCH(B345,Щиты[Щит]))),B345,""))</f>
        <v/>
      </c>
      <c r="BI345" t="str" cm="1">
        <f t="array" ref="BI345">IF(B345="","",IF(BH345&lt;&gt;"","Щит "&amp;BH345,_xlfn.LET(_xlpm.nm,IFERROR(_xlfn.XLOOKUP(BC345,Коды_код,Коды_имя)&amp;"",""),_xlpm.md,IFERROR(N(_xlfn.XLOOKUP(BC345,Коды_код,Коды_режим)),1),_xlpm.ex,IF(Имя_режим="по экспликации",IFERROR(_xlfn.XLOOKUP(BE345&amp;"|"&amp;BG345,Экспликация[Этаж]&amp;"|"&amp;Экспликация[Помещение],Экспликация[Название])&amp;"",""),""),_xlpm.rm,IF(BG345="","",IF(_xlpm.ex&lt;&gt;"",". "&amp;_xlpm.ex&amp;IF(Имя_пом="нет"," ("&amp;BG345&amp;")"," (пом. "&amp;BG345&amp;")"),IF(Имя_пом="нет"," ",", пом. ")&amp;BG345)),IF(_xlpm.nm="","",IF(_xlpm.md=2,_xlpm.nm&amp;" шлейф "&amp;BE345,_xlpm.nm&amp;_xlpm.rm)))))</f>
        <v/>
      </c>
      <c r="BJ345" t="str">
        <f t="shared" si="700"/>
        <v/>
      </c>
      <c r="BK345">
        <f>IFERROR(_xlfn.XMATCH(A345,Щиты[Щит]),0)</f>
        <v>17</v>
      </c>
      <c r="BL345">
        <f>_xlfn.LET(_xlpm.k,IFERROR(_xlfn.XLOOKUP(A345,Щиты[Щит],Щиты[Мест под вводной узел]),""),IF(_xlpm.k="",Столбцов_на_лист,N(_xlpm.k)))</f>
        <v>10</v>
      </c>
      <c r="BM345">
        <f t="shared" si="701"/>
        <v>20</v>
      </c>
      <c r="BN345" t="str">
        <f t="shared" si="702"/>
        <v>линии</v>
      </c>
      <c r="BO345" s="6">
        <f>IFERROR(N(_xlfn.XLOOKUP(BC345,Коды_код,Коды_квт)),0)</f>
        <v>0</v>
      </c>
      <c r="BP345">
        <f t="shared" si="703"/>
        <v>0</v>
      </c>
      <c r="BQ345" t="str">
        <f>IF(B345="","",IF(BH345&lt;&gt;"",IFERROR(_xlfn.XLOOKUP(BH345,Щиты[Щит],Щиты[Руст, кВт]),0),IF(BP345=1,IF(OR(N(_xlfn.XLOOKUP(A345,Щиты[Щит],Щиты[Вводов],1))&lt;=1,LOWER(TRIM(_xlfn.XLOOKUP(A345,Щиты[Щит],Щиты[АВР],"")&amp;""))="да"),IFERROR(_xlfn.XLOOKUP(A345,Щиты[Щит],Щиты[Руст, кВт]),0),SUMIFS(Линии[_Р для вводов],Линии[Щит],A345,Линии[Источник для режимов],GF345)),IF(BO345&gt;0,ROUND(BO345*MAX(1,N(D345)),3),""))))</f>
        <v/>
      </c>
      <c r="BR345">
        <f t="shared" si="704"/>
        <v>0.96</v>
      </c>
      <c r="BS345" s="6">
        <f>IF(B345="","",IF(BH345&lt;&gt;"",IFERROR(_xlfn.XLOOKUP(BH345,Щиты[Щит],Щиты[Руст, кВт]),0),N(BR345)))</f>
        <v>0.96</v>
      </c>
      <c r="BT345" t="str">
        <f>IF(B345="","",IFERROR(IF(VLOOKUP(BC345,Потребители_обозначение,8,FALSE)=0,"",VLOOKUP(BC345,Потребители_обозначение,8,FALSE)),""))</f>
        <v/>
      </c>
      <c r="BU345">
        <f t="shared" si="705"/>
        <v>230</v>
      </c>
      <c r="BV345">
        <f t="shared" si="706"/>
        <v>0</v>
      </c>
      <c r="BW345">
        <f>IF(B345="","",IF(BH345&lt;&gt;"",3,IFERROR(IF(N(VLOOKUP(BC345,Потребители_обозначение,9,FALSE))=0,1,VLOOKUP(BC345,Потребители_обозначение,9,FALSE)),1)))</f>
        <v>1</v>
      </c>
      <c r="BX345">
        <f t="shared" si="707"/>
        <v>1</v>
      </c>
      <c r="BY345" t="str">
        <f>IF(B345="","",_xlfn.LET(_xlpm.bc,IFERROR(IF(VLOOKUP(BC345,Потребители_обозначение,6,FALSE)=0,"",VLOOKUP(BC345,Потребители_обозначение,6,FALSE)&amp;""),""),IF(AND(GA345="да",OR(_xlpm.bc="",_xlpm.bc="мс")),Марка_пож,IF(AND(_xlpm.bc="",BH345&lt;&gt;""),"мс",_xlpm.bc))))</f>
        <v/>
      </c>
      <c r="BZ345" t="str">
        <f t="shared" si="708"/>
        <v>мс</v>
      </c>
      <c r="CA345">
        <f>IF(B345="","",_xlfn.LET(_xlpm.cc,IFERROR(N(VLOOKUP(BC345,Потребители_обозначение,7,FALSE)),0),IF(_xlpm.cc&gt;0,_xlpm.cc,IF(BZ345="","",IF(BV345=1,2,IF(N(BX345)=3,5,3))))))</f>
        <v>3</v>
      </c>
      <c r="CB345">
        <f t="shared" si="709"/>
        <v>3</v>
      </c>
      <c r="CC345">
        <f>IFERROR(N(VLOOKUP(BC345,Потребители_обозначение,10,FALSE)),0)</f>
        <v>0</v>
      </c>
      <c r="CD345">
        <f>IFERROR(VLOOKUP(BC345,Потребители_обозначение,5,FALSE),0)</f>
        <v>0</v>
      </c>
      <c r="CE345" s="6" cm="1">
        <f t="array" ref="CE345">IF(B345="","",IF(BH345&lt;&gt;"",IFERROR(_xlfn.XLOOKUP(BH345,Щиты[Щит],Щиты[cos φ]),0.95),IF(BP345=1,IFERROR(_xlfn.XLOOKUP(A345,Щиты[Щит],Щиты[cos φ]),0.95),IF(ISNUMBER(AD345),AD345,IFERROR(IF(CD345=2,_xlfn.IFS(BX345=3,VLOOKUP(BS345,Справочная_двигатели,8,FALSE),BX345=1,VLOOKUP(BS345,Справочная_двигатели,10,TRUE)),IF(AND(Методика="нормы 2026",FG345="Сил"),0.8,0.95)),0.95)))))</f>
        <v>0.95</v>
      </c>
      <c r="CF345">
        <f t="shared" si="710"/>
        <v>0</v>
      </c>
      <c r="CG345">
        <f t="shared" si="711"/>
        <v>1</v>
      </c>
      <c r="CH345">
        <f t="shared" si="712"/>
        <v>0</v>
      </c>
      <c r="CI345">
        <f>IF(B345="","",IF(BV345=1,IFERROR(BS345/((Uн_лин/SQRT(3))*MAX(0.5,N(CE345))),0),N(O345)))</f>
        <v>4.3757073033319003</v>
      </c>
      <c r="CJ345">
        <f t="shared" si="713"/>
        <v>0</v>
      </c>
      <c r="CK345">
        <f t="shared" si="714"/>
        <v>0</v>
      </c>
      <c r="CL345">
        <f t="shared" si="715"/>
        <v>0</v>
      </c>
      <c r="CM345">
        <f t="shared" si="716"/>
        <v>0</v>
      </c>
      <c r="CN345">
        <f t="shared" si="717"/>
        <v>0</v>
      </c>
      <c r="CO345">
        <f>IF(BC345="",0,_xlfn.LET(_xlpm.v,IFERROR(_xlfn.XLOOKUP(B345,Коды_код,Коды_мА),IFERROR(_xlfn.XLOOKUP(BC345,Коды_код,Коды_мА),IFERROR(_xlfn.XLOOKUP(LEFT(BC345,2),Коды_код,Коды_мА),""))),IF(_xlpm.v="да",30,IF(ISNUMBER(_xlpm.v),_xlpm.v,0))))</f>
        <v>0</v>
      </c>
      <c r="CP345" t="str">
        <f t="shared" si="718"/>
        <v/>
      </c>
      <c r="CQ345" t="str">
        <f>_xlfn.LET(_xlpm.k,IFERROR(_xlfn.XLOOKUP(BC345,Коды_код,Коды_утечка)&amp;"",""),IF(_xlpm.k="","дифавтомат",_xlpm.k))</f>
        <v>дифавтомат</v>
      </c>
      <c r="CR345" t="str" cm="1">
        <f t="array" ref="CR345">IF(CG345=0,"",_xlfn.LET(_xlpm.sg,TRIM(_xlfn.TEXTSPLIT(DD345&amp;"",";")),_xlpm.f_,_xlfn._xlws.FILTER(_xlpm.sg,LEFT(_xlpm.sg,3)="УЗО",""),IFERROR(INDEX(_xlpm.f_,1)&amp;"","")))</f>
        <v/>
      </c>
      <c r="CS345" t="str">
        <f t="shared" si="719"/>
        <v/>
      </c>
      <c r="CT345" s="6" t="str" cm="1">
        <f t="array" ref="CT345">IF(CR345="","",_xlfn.LET(_xlpm.tk,_xlfn.TEXTSPLIT(UPPER(CR345)," ",,TRUE),_xlpm.a_,_xlfn._xlws.FILTER(_xlpm.tk,ISNUMBER(--LEFT(_xlpm.tk,1))*((ISNUMBER(SEARCH("А",_xlpm.tk))+ISNUMBER(SEARCH("A",_xlpm.tk)))&gt;0)*NOT(ISNUMBER(SEARCH("МА",_xlpm.tk)))*NOT(ISNUMBER(SEARCH("MA",_xlpm.tk))),""),IFERROR(--SUBSTITUTE(SUBSTITUTE(INDEX(_xlpm.a_,1),"А",""),"A",""),"")))</f>
        <v/>
      </c>
      <c r="CU345" t="str" cm="1">
        <f t="array" ref="CU345">IF(CR345="","",_xlfn.LET(_xlpm.tk,_xlfn.TEXTSPLIT(UPPER(CR345)," ",,TRUE),_xlpm.a_,_xlfn._xlws.FILTER(_xlpm.tk,ISNUMBER(--LEFT(_xlpm.tk,1))*((ISNUMBER(SEARCH("МА",_xlpm.tk))+ISNUMBER(SEARCH("MA",_xlpm.tk)))&gt;0),""),IFERROR(--SUBSTITUTE(SUBSTITUTE(INDEX(_xlpm.a_,1),"МА",""),"MA",""),30)))</f>
        <v/>
      </c>
      <c r="CV345" t="str">
        <f>IF(CS345="","",IFERROR(_xlfn.XLOOKUP(CS345,Линии[_n],Линии[_УЗО, мА]),30))</f>
        <v/>
      </c>
      <c r="CW345">
        <f>IF(CS345="",0,IF(ISNUMBER(SEARCH("4P",IFERROR(_xlfn.XLOOKUP(CS345,Линии[_n],Линии[_УЗО строки])&amp;"",""))),0,1))</f>
        <v>0</v>
      </c>
      <c r="CX345" t="str">
        <f>IF(AND(CS345&lt;&gt;"",CS345=BA345),SUMIFS(Линии[_ток на 230 В],Линии[_блок УЗО],BA345,Линии[Щит],A345),"")</f>
        <v/>
      </c>
      <c r="CY345" t="str">
        <f>IF(AND(CS345&lt;&gt;"",CS345=BA345),SUMIFS(Линии[_ток утечки линии, мА],Линии[_блок УЗО],BA345,Линии[Щит],A345),"")</f>
        <v/>
      </c>
      <c r="CZ345">
        <f t="shared" si="720"/>
        <v>0</v>
      </c>
      <c r="DA345">
        <f t="shared" si="721"/>
        <v>0</v>
      </c>
      <c r="DB345">
        <f>IF(B345="",0,IFERROR(--_xlfn.XLOOKUP(B345,Коды_код,Коды_минавт),IFERROR(--_xlfn.XLOOKUP(BC345,Коды_код,Коды_минавт),IFERROR(--_xlfn.XLOOKUP(LEFT(BC345,2),Коды_код,Коды_минавт),0))))</f>
        <v>0</v>
      </c>
      <c r="DC345" t="str">
        <f>IF(B345="","",IFERROR(_xlfn.XLOOKUP(BC345,Коды_код,Коды_апп)&amp;"",""))</f>
        <v/>
      </c>
      <c r="DD345" t="str">
        <f t="shared" si="722"/>
        <v/>
      </c>
      <c r="DE345" t="str" cm="1">
        <f t="array" ref="DE345">IF(TRIM(DD345&amp;"")="","",IFERROR(TRIM(INDEX(_xlfn.TEXTSPLIT(DD345&amp;";;;",";"),1)),""))</f>
        <v/>
      </c>
      <c r="DF345" t="str" cm="1">
        <f t="array" ref="DF345">IF(TRIM(DD345&amp;"")="","",IFERROR(TRIM(INDEX(_xlfn.TEXTSPLIT(DD345&amp;";;;",";"),2)),""))</f>
        <v/>
      </c>
      <c r="DG345" t="str" cm="1">
        <f t="array" ref="DG345">IF(TRIM(DD345&amp;"")="","",IFERROR(TRIM(INDEX(_xlfn.TEXTSPLIT(DD345&amp;";;;",";"),3)),""))</f>
        <v/>
      </c>
      <c r="DH345">
        <f t="shared" si="723"/>
        <v>0</v>
      </c>
      <c r="DI345" t="str">
        <f>IF(B345="","",_xlfn.LET(_xlpm.t,LOWER(AZ345&amp;""),IF(ISNUMBER(SEARCH("dim",_xlpm.t)),"DIM",IF(ISNUMBER(SEARCH("dali",_xlpm.t)),"DALI",IF(OR(ISNUMBER(SEARCH("relay",_xlpm.t)),ISNUMBER(SEARCH("реле",_xlpm.t))),"Relay",IF(ISNUMBER(SEARCH("кнопк",_xlpm.t)),"",IFERROR(_xlfn.XLOOKUP(BC345,Коды_код,Коды_упр)&amp;"","")))))))</f>
        <v/>
      </c>
      <c r="DJ345" t="str">
        <f t="shared" si="724"/>
        <v/>
      </c>
      <c r="DK345">
        <f>IF(B345="","",_xlfn.LET(_xlpm.ig,IF(N(CX345)&gt;0,N(CX345),N(CI345)+IF(AJ345="вручную",0,N(CJ345))),_xlpm.n0,IFERROR(VLOOKUP(_xlpm.ig,Автомат_номиналы,2,TRUE),0),_xlpm.mn,MAX(DB345,IF(AJ345="вручную",0,N(CM345))),MAX(_xlpm.n0,_xlpm.mn,IF(DH345=1,Мин_автомат_БП,0))))</f>
        <v>6</v>
      </c>
      <c r="DL345">
        <f t="shared" si="725"/>
        <v>1</v>
      </c>
      <c r="DM345" t="str">
        <f t="shared" si="726"/>
        <v>1P</v>
      </c>
      <c r="DN345" t="str">
        <f>_xlfn.LET(_xlpm.cc,UPPER(TRIM(IFERROR(_xlfn.XLOOKUP(BC345,Коды_код,Коды_хар)&amp;"",""))),IF(OR(_xlpm.cc="B",_xlpm.cc="В"),"B",IF(_xlpm.cc="D","D","С")))</f>
        <v>С</v>
      </c>
      <c r="DO345" t="str">
        <f t="shared" si="727"/>
        <v>1P С6А</v>
      </c>
      <c r="DP345">
        <f t="shared" si="728"/>
        <v>16</v>
      </c>
      <c r="DQ345" t="str">
        <f t="shared" si="729"/>
        <v>1P С16А</v>
      </c>
      <c r="DR345" cm="1">
        <f t="array" ref="DR345">IF(DQ345="","",_xlfn.LET(_xlpm.t,SUBSTITUTE(SUBSTITUTE(SUBSTITUTE(UPPER(DQ345),"С","C"),"А","A"),"В","B"),_xlpm.tk,_xlfn.TEXTSPLIT(_xlpm.t," "),_xlpm.f,_xlfn._xlws.FILTER(_xlpm.tk,ISNUMBER(--MID(_xlpm.tk,2,1))*ISNUMBER(SEARCH(LEFT(_xlpm.tk,1)&amp;"#","B#C#D#"))*(LEN(_xlpm.tk)&gt;1),""),_xlpm.x,INDEX(_xlpm.f,1),IFERROR(--SUBSTITUTE(MID(_xlpm.x,2,9),"A",""),IFERROR(--SUBSTITUTE(INDEX(_xlfn._xlws.FILTER(_xlpm.tk,ISNUMBER(--SUBSTITUTE(_xlpm.tk,"A","")),""),1),"A",""),""))))</f>
        <v>16</v>
      </c>
      <c r="DS345" t="str">
        <f t="shared" si="730"/>
        <v>ok</v>
      </c>
      <c r="DT345">
        <f t="shared" si="731"/>
        <v>16</v>
      </c>
      <c r="DU345" t="str">
        <f t="shared" si="732"/>
        <v>1P С16А</v>
      </c>
      <c r="DV345">
        <f t="shared" si="733"/>
        <v>0</v>
      </c>
      <c r="DW345">
        <f t="shared" si="734"/>
        <v>0</v>
      </c>
      <c r="DX345">
        <f t="shared" si="735"/>
        <v>0</v>
      </c>
      <c r="DY345">
        <f t="shared" si="736"/>
        <v>4.3757073033319003</v>
      </c>
      <c r="DZ345">
        <f t="shared" si="737"/>
        <v>1</v>
      </c>
      <c r="EA345">
        <f>IF(ISNUMBER(AP345),AP345,К_прокл)</f>
        <v>1</v>
      </c>
      <c r="EB345">
        <f t="shared" si="738"/>
        <v>2</v>
      </c>
      <c r="EC345">
        <f>IFERROR(N(VLOOKUP(BZ345,Кабель_обозначение,3,FALSE)),1)</f>
        <v>1</v>
      </c>
      <c r="ED345">
        <f>IFERROR(N(_xlfn.XLOOKUP(A345,Щиты[Щит],Щиты[ΔU до шин, %])),0)</f>
        <v>2.4899999999999998</v>
      </c>
      <c r="EE345" t="str">
        <f>IFERROR(_xlfn.XLOOKUP(A345,Щиты[Щит],Щиты[Zпетли на шинах, Ом]),"")</f>
        <v/>
      </c>
      <c r="EF345">
        <f>IFERROR(N(_xlfn.XLOOKUP(A345,Щиты[Щит],Щиты[ΔU до шин (подбор), %])),0)</f>
        <v>3.73</v>
      </c>
      <c r="EG345" t="str">
        <f>IFERROR(_xlfn.XLOOKUP(A345,Щиты[Щит],Щиты[Zпетли на шинах (подбор), Ом]),"")</f>
        <v/>
      </c>
      <c r="EH345" t="str">
        <f t="shared" si="739"/>
        <v/>
      </c>
      <c r="EI345">
        <f t="shared" si="740"/>
        <v>44</v>
      </c>
      <c r="EJ345">
        <f t="shared" si="741"/>
        <v>2</v>
      </c>
      <c r="EK345">
        <f t="shared" si="742"/>
        <v>0.31</v>
      </c>
      <c r="EL345" s="6">
        <f>IF(B345="","",IF(BV345=1,dU_LED,IF(IFERROR(_xlfn.XLOOKUP(BC345,Коды_код,Коды_уго),"")="Светильник",3,4)+IF(Методика="нормы 2026",MIN(0.5,MAX(0,N(P345)-100)*0.005),0)))</f>
        <v>4</v>
      </c>
      <c r="EM345" cm="1">
        <f t="array" ref="EM345">IF(OR(B345="",BZ345="",EC345&lt;&gt;1),"",_xlfn.LET(_xlpm.sz,Iдоп_S,_xlpm.t_,CHOOSE(EB345,Iдоп_1ж,Iдоп_2ж,Iдоп_3ж)*DZ345*EA345,_xlpm.dcx,BV345=1,_xlpm.inn,IF(_xlpm.dcx,N(O345),N(DT345)),_xlpm.smin,MAX(1.5,CC345),_xlpm.L_,N(P345)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345)/N(BU345)*100,999),IFERROR(N(EJ345)*(_xlpm.rho*_xlpm.L_/_xlpm.sz*N(CE345)+_xlpm.xx*_xlpm.L_*N(EK345)/1000)*N(O345)/((Uн_лин/SQRT(3))*1000)*100,999)),_xlpm.kz,IF(OR(_xlpm.dcx,DW345=1,NOT(ISNUMBER(EG345)),_xlpm.L_=0,_xlpm.inn=0),1,IFERROR(--(c_min*(Uн_лин*1000/SQRT(3))/(EG345+2*ρкз_Cu*_xlpm.L_/_xlpm.sz)&gt;=HT345*_xlpm.inn),0)),_xlpm.ok,IFERROR((_xlpm.sz&gt;=_xlpm.smin)*(_xlpm.t_&gt;=_xlpm.inn)*IF(_xlpm.L_&gt;0,(_xlpm.du_+IF(_xlpm.dcx,0,EF345)&lt;=EL345+0.00001),1)*_xlpm.kz,0),_xlpm.r_,_xlfn._xlws.FILTER(_xlpm.sz,_xlpm.ok,"не подобрано"),INDEX(_xlpm.r_,1)))</f>
        <v>16</v>
      </c>
      <c r="EN345">
        <f t="shared" si="743"/>
        <v>2.5</v>
      </c>
      <c r="EO345" cm="1">
        <f t="array" ref="EO345">IF(OR(B345="",BZ345="",EC345&lt;&gt;1),"",_xlfn.LET(_xlpm.sz,Iдоп_S,_xlpm.t_,CHOOSE(EB345,Iдоп_1ж,Iдоп_2ж,Iдоп_3ж)*DZ345*EA345,_xlpm.ok,IFERROR((_xlpm.sz&gt;=MAX(1.5,CC345))*(_xlpm.t_&gt;=N(DT345)),0),_xlpm.r_,_xlfn._xlws.FILTER(_xlpm.sz,_xlpm.ok,""),INDEX(_xlpm.r_,1)))</f>
        <v>1.5</v>
      </c>
      <c r="EP345" s="6" cm="1">
        <f t="array" ref="EP345">IFERROR(ROUNDUP(N(EJ345)*(_xlfn.XLOOKUP(EO345,INDEX(Кабель_сопротивление,0,1),INDEX(Кабель_сопротивление,0,3))*N(P345)/EO345*N(CE345)+_xlfn.XLOOKUP(EO345,INDEX(Кабель_сопротивление,0,1),INDEX(Кабель_сопротивление,0,2))*N(P345)*N(EK345)/1000)*N(O345)/((Uн_лин/SQRT(3))*1000)*100,2),"")</f>
        <v>2.3899999999999997</v>
      </c>
      <c r="EQ345">
        <f>IFERROR(2*ρкз_Cu*N(P345)/EO345,"")</f>
        <v>1.5429333333333333</v>
      </c>
      <c r="ER345">
        <f>IFERROR(VLOOKUP(EN345,Кабель_сопротивление,3,FALSE),"")</f>
        <v>2.2499999999999999E-2</v>
      </c>
      <c r="ES345">
        <f>IFERROR(VLOOKUP(EN345,Кабель_сопротивление,2,FALSE),"")</f>
        <v>0.1</v>
      </c>
      <c r="ET345">
        <f t="shared" si="744"/>
        <v>17</v>
      </c>
      <c r="EU345">
        <f t="shared" si="745"/>
        <v>20</v>
      </c>
      <c r="EV345">
        <f t="shared" si="746"/>
        <v>3.3042191045504108</v>
      </c>
      <c r="EW345" s="6">
        <f>IFERROR(ROUNDUP(EV345/IF(BV345=1,BU345,(Uн_лин/SQRT(3))*1000)*100,2),"")</f>
        <v>1.44</v>
      </c>
      <c r="EX345" t="str">
        <f>IFERROR(VLOOKUP(BZ345,Кабель_обозначение,2,FALSE),"")</f>
        <v>ВВГнг(А)-LS</v>
      </c>
      <c r="EY345" t="str">
        <f t="shared" si="747"/>
        <v>ВВГнг(А)-LS (3х2,5)</v>
      </c>
      <c r="EZ345" t="str">
        <f t="shared" si="748"/>
        <v>ВВГнг(А)-LS (3х2,5)
L=44-1,44%</v>
      </c>
      <c r="FA345">
        <f>IFERROR(2*ρкз_Cu*P345/EN345,"")</f>
        <v>0.92576000000000003</v>
      </c>
      <c r="FB345">
        <f t="shared" si="749"/>
        <v>0.308</v>
      </c>
      <c r="FC345" s="6" t="str">
        <f>IFERROR(IF(OR(B345="",BV345=1,NOT(ISNUMBER(EN345)),N(P345)=0),"",_xlfn.XLOOKUP(A345,Щиты[Щит],Щиты[Zпетли на шинах, Ом])+FA345),"")</f>
        <v/>
      </c>
      <c r="FD345" s="6" t="str">
        <f>IF(ISNUMBER(FC345),c_min*(Uн_лин*1000/SQRT(3))/FC345,"")</f>
        <v/>
      </c>
      <c r="FE345" s="6" t="str">
        <f>IFERROR(IF(OR(B345="",NOT(ISNUMBER(EN345))),"",1.05*(Uн_лин*1000/SQRT(3))/(_xlfn.XLOOKUP(A345,Щиты[Щит],Щиты[Zmax на шинах, Ом])+FB345)/1000),"")</f>
        <v/>
      </c>
      <c r="FF345" s="6" t="str">
        <f>IF(B345="","",IF(ISNUMBER(AC345),"Сил",IF(IFERROR(_xlfn.XLOOKUP(BC345,Коды_код,Коды_группа)&amp;"","")="","Быт",_xlfn.XLOOKUP(BC345,Коды_код,Коды_группа)&amp;"")))</f>
        <v>Быт</v>
      </c>
      <c r="FG345" s="6" t="str">
        <f t="shared" si="750"/>
        <v>Пост</v>
      </c>
      <c r="FH345" s="6">
        <f>IF(FG345="Щит","щит",IF(FG345="","",IF(FG345="Быт",IFERROR(_xlfn.XLOOKUP(A345,Щиты[Щит],Щиты[Кс быт]),1),IF(FG345="Сил",IF(ISNUMBER(AC345),AC345,IF(Методика="нормы 2026",IFERROR(_xlfn.XLOOKUP(A345,Щиты[Щит],Щиты[Кс силовых (табл. 7.5)]),1),1)),IF(OR(FG345="Пост",FG345="Отоп"),1,IF(FG345="ВНГ",0.7,0))))))</f>
        <v>1</v>
      </c>
      <c r="FI345">
        <f>IF(FG345="","",IF(AND(BP345=1,TRIM(AE345&amp;"")=""),IF(COUNTIFS(Линии[Щит],A345,Линии[Секция (1/2/3)],"&gt;=2")&gt;0,MIN(3,MAX(1,IFERROR(--BD345,1))),1),IFERROR(MIN(3,MAX(1,INT(--AE345))),1)))</f>
        <v>1</v>
      </c>
      <c r="FJ345">
        <f t="shared" si="751"/>
        <v>0.96</v>
      </c>
      <c r="FK345">
        <f t="shared" si="752"/>
        <v>0</v>
      </c>
      <c r="FL345">
        <f t="shared" si="753"/>
        <v>0</v>
      </c>
      <c r="FM345">
        <f t="shared" si="754"/>
        <v>0.96</v>
      </c>
      <c r="FN345">
        <f t="shared" si="755"/>
        <v>0</v>
      </c>
      <c r="FO345">
        <f t="shared" si="756"/>
        <v>0</v>
      </c>
      <c r="FP345">
        <f t="shared" si="757"/>
        <v>0.96</v>
      </c>
      <c r="FQ345">
        <f t="shared" si="758"/>
        <v>0.96</v>
      </c>
      <c r="FR345">
        <f t="shared" si="759"/>
        <v>0.91199999999999992</v>
      </c>
      <c r="FS345">
        <f>IF(CG345=1,IF(AND(CH345=1,CW345=1),0,IF(AND(CS345&lt;&gt;"",CS345=BA345,CW345=1),SUMIFS(Линии[_Р линии, кВт],Линии[_блок УЗО],BA345,Линии[Щит],A345),N(BS345)+IF(AJ345="вручную",0,N(CK345)))),0)</f>
        <v>0.96</v>
      </c>
      <c r="FT345" t="str">
        <f t="shared" si="760"/>
        <v>L2</v>
      </c>
      <c r="FU345" t="str">
        <f>IF(B345="","",IF(CG345=0,IF(BA345=1,"",FW344),IF(AND(CH345=1,CW345=1,CS345&lt;&gt;""),IFERROR(_xlfn.XLOOKUP(CS345,Линии[_n],Линии[_фаза итог]),"L1"),IF(OR(N(DL345)&gt;=3,N(BX345)&gt;=3),"L1,L2,L3",IFERROR(_xlfn.TEXTBEFORE(_xlfn.TEXTAFTER(_xlfn.XLOOKUP(A345,Щиты[Щит],Щиты[_фазы авто]),";"&amp;BA345&amp;":"),";"),"L1")))))</f>
        <v>L1</v>
      </c>
      <c r="FV345" t="str">
        <f t="shared" si="761"/>
        <v>L2</v>
      </c>
      <c r="FW345" t="str">
        <f t="shared" si="762"/>
        <v>L2</v>
      </c>
      <c r="FX345" cm="1">
        <f t="array" ref="FX345">IFERROR(IF(CD345=2,_xlfn.IFS(BX345=3,VLOOKUP(BS345,Справочная_двигатели,3,FALSE),BX345=1,VLOOKUP(BS345,Справочная_двигатели,5,TRUE)),0),0)</f>
        <v>0</v>
      </c>
      <c r="FY345">
        <f>IFERROR(IF(CD345=3,VLOOKUP(BS345,Справочная_ЛЭД,2,TRUE),0),0)</f>
        <v>0</v>
      </c>
      <c r="FZ345" s="6">
        <f t="shared" si="763"/>
        <v>0</v>
      </c>
      <c r="GA345" t="str">
        <f>IF(B345="","",IF(TRIM(AH345&amp;"")&lt;&gt;"",IF(LOWER(TRIM(AH345&amp;""))="да","да","нет"),IF(IFERROR(_xlfn.XLOOKUP(BC345,Коды_код,Коды_пожарная),"")="да","да","нет")))</f>
        <v>нет</v>
      </c>
      <c r="GB345" t="str">
        <f t="shared" si="764"/>
        <v/>
      </c>
      <c r="GC345" t="str">
        <f t="shared" si="765"/>
        <v>основная</v>
      </c>
      <c r="GD345">
        <f>IF(AND(BP345=1,TRIM(AE345&amp;"")=""),IF(COUNTIFS(Линии[Щит],A345,Линии[Секция (1/2/3)],"&gt;=2")&gt;0,MIN(3,MAX(1,IFERROR(--BD345,1))),1),IFERROR(MIN(3,MAX(1,INT(--AE345))),1))</f>
        <v>1</v>
      </c>
      <c r="GE345" t="str" cm="1">
        <f t="array" ref="GE345">IF(B345="","",_xlfn.LET(_xlpm.t,IFERROR(_xlfn.XLOOKUP(1,(Шины[Шина]=GC345)*(((Шины[Щит]=A345)+(Шины[Щит]=""))&gt;0),Шины[Тип]),"")&amp;"",IF(_xlpm.t&lt;&gt;"",_xlpm.t,IF(ISNUMBER(SEARCH("ИБП",GC345)),"ИБП",IF(ISNUMBER(SEARCH("ДГУ",GC345)),"ДГУ","Ввод "&amp;GD345)))))</f>
        <v>Ввод 1</v>
      </c>
      <c r="GF345" t="str">
        <f t="shared" si="766"/>
        <v>Ввод 1</v>
      </c>
      <c r="GG345" t="str">
        <f>IF(BP345=0,"",IF(TRIM(AG345&amp;"")&lt;&gt;"",TRIM(AG345&amp;""),IF(OR(GE345="ИБП",GE345="ДГУ"),"I особая",_xlfn.XLOOKUP(A345,Щиты[Щит],Щиты[Категория шины «Ввод»],"III"))))</f>
        <v/>
      </c>
      <c r="GH345" t="str">
        <f>IF(A345="","",_xlfn.XLOOKUP(A345,Щиты[Щит],Щиты[Путь],""))</f>
        <v>|ГРЩ-ЖД|ЩУОВ|</v>
      </c>
      <c r="GI345" t="str">
        <f>IF(B345="","",IF(AI345&lt;&gt;"",AI345,IF(IFERROR(_xlfn.XLOOKUP(BC345,Коды_код,Коды_вид)&amp;"","")="","Прочее",_xlfn.XLOOKUP(BC345,Коды_код,Коды_вид)&amp;"")))</f>
        <v>Обогрев водостоков и кровли</v>
      </c>
      <c r="GJ345">
        <f>IF(BM345="","",INT((BM345-1)/Столбцов_на_лист)+1)</f>
        <v>2</v>
      </c>
      <c r="GK345" t="str">
        <f t="shared" si="767"/>
        <v>ВВГнг(А)-LS (3х2,5) L=44-1,44%</v>
      </c>
      <c r="GL345">
        <f t="shared" si="768"/>
        <v>0.96</v>
      </c>
      <c r="GM345">
        <f t="shared" si="769"/>
        <v>4.38</v>
      </c>
      <c r="GN345">
        <f t="shared" si="770"/>
        <v>1</v>
      </c>
      <c r="GO345">
        <f t="shared" si="771"/>
        <v>0</v>
      </c>
      <c r="GP345">
        <f t="shared" si="772"/>
        <v>1</v>
      </c>
      <c r="GQ345">
        <f>IF(BM345="","",IF(AND(CG345=1,GP345=1),COUNTIFS(A$3:A345,A345,CG$3:CG345,1,GP$3:GP345,1),IF(OR(OR(BA345=1,A345&lt;&gt;A344),AJ345="вручную",GP345=0),"",IF(BA345=1,"",GR344))))</f>
        <v>4</v>
      </c>
      <c r="GR345">
        <f t="shared" si="773"/>
        <v>4</v>
      </c>
      <c r="GS345">
        <f>IF(B345="","",IFERROR(LOOKUP(INDEX(CHOOSE(EB345,Iдоп_1ж,Iдоп_2ж,Iдоп_3ж),MATCH(EN345,Iдоп_S,0))*DZ345*EA345,{6,10,16,20,25,32,40,50,63,80,100,125,160,200,250,315,400,500,630}),""))</f>
        <v>25</v>
      </c>
      <c r="GT345" t="str">
        <f t="shared" si="774"/>
        <v>QF4</v>
      </c>
      <c r="GU345" t="str">
        <f t="shared" si="775"/>
        <v>QF4</v>
      </c>
      <c r="GV345" t="str">
        <f t="shared" si="776"/>
        <v/>
      </c>
      <c r="GW345">
        <f t="shared" si="777"/>
        <v>0</v>
      </c>
      <c r="GX345" t="str">
        <f>IF(OR(B345="",DJ345=""),"",IFERROR(_xlfn.XLOOKUP(DJ345,Модули_умолч[Управление],Модули_умолч[Модель])&amp;"",""))</f>
        <v/>
      </c>
      <c r="GY345">
        <f>IF(DJ345="",1,IFERROR(MAX(0,N(_xlfn.XLOOKUP(DJ345,Модули_умолч[Управление],Модули_умолч[Каналов на линию]))),1))</f>
        <v>1</v>
      </c>
      <c r="GZ345" t="str">
        <f t="shared" si="778"/>
        <v/>
      </c>
      <c r="HA345" t="str">
        <f t="shared" si="779"/>
        <v/>
      </c>
      <c r="HB345" t="str">
        <f t="shared" si="780"/>
        <v/>
      </c>
      <c r="HC345">
        <f>IF(HB345="",0,IFERROR(N(VLOOKUP(HB345,Модули_спр,3,FALSE)),0))</f>
        <v>0</v>
      </c>
      <c r="HD345" t="str">
        <f t="shared" si="781"/>
        <v/>
      </c>
      <c r="HE345" t="str">
        <f t="shared" si="782"/>
        <v/>
      </c>
      <c r="HF345" t="str">
        <f>IF(OR(HE345="",HE345="-"),"",IFERROR(VLOOKUP(HE345,Модули_спр,2,FALSE),"R"))</f>
        <v/>
      </c>
      <c r="HG345" t="str">
        <f>IF(HF345="","",HF345&amp;"."&amp;COUNTIFS(A$3:A345,A345,HF$3:HF345,HF345))</f>
        <v/>
      </c>
      <c r="HH345" t="str">
        <f t="shared" si="783"/>
        <v/>
      </c>
      <c r="HI345" t="str">
        <f t="shared" si="784"/>
        <v/>
      </c>
      <c r="HJ345" t="str">
        <f t="shared" si="785"/>
        <v/>
      </c>
      <c r="HK345" t="str">
        <f t="shared" si="786"/>
        <v/>
      </c>
      <c r="HL345">
        <f t="shared" si="787"/>
        <v>1</v>
      </c>
      <c r="HM345" t="str">
        <f>IF(HL345=1,"XT"&amp;COUNTIFS(A$3:A345,A345,HL$3:HL345,1),"")</f>
        <v>XT4</v>
      </c>
      <c r="HN345" t="str">
        <f t="shared" si="788"/>
        <v>XT4</v>
      </c>
      <c r="HO345" t="str">
        <f t="shared" si="789"/>
        <v>QF4</v>
      </c>
      <c r="HP345" t="str">
        <f t="shared" si="790"/>
        <v/>
      </c>
      <c r="HQ345" t="str">
        <f t="shared" si="791"/>
        <v>ok</v>
      </c>
      <c r="HR345" t="str">
        <f>IF(OR(HJ345="",HH345=""),"",IF(HJ345+MAX(0,GY345-1)&gt;IFERROR(VLOOKUP(HI345,Модули_спр,3,FALSE),99),"ЛИШНИЙ КАНАЛ",IF(AND(AL345&lt;&gt;"=",GY345&gt;0,COUNTIFS(Линии[_модуль гр.],HH345,Линии[Канал (итог)],HJ345,Линии[Канал],"&lt;&gt;=",Линии[Щит],A345)&gt;1),"ДУБЛЬ КАНАЛА","")))</f>
        <v/>
      </c>
      <c r="HS345" s="6" t="str">
        <f t="shared" si="792"/>
        <v/>
      </c>
      <c r="HT345">
        <f t="shared" si="793"/>
        <v>10</v>
      </c>
      <c r="HU345" t="str">
        <f t="shared" si="794"/>
        <v/>
      </c>
      <c r="HV345">
        <f t="shared" si="795"/>
        <v>2.1902829213327601</v>
      </c>
      <c r="HW345">
        <f t="shared" si="796"/>
        <v>0</v>
      </c>
      <c r="HX345">
        <f t="shared" si="797"/>
        <v>0</v>
      </c>
      <c r="HY345">
        <f t="shared" si="798"/>
        <v>0</v>
      </c>
      <c r="HZ345">
        <f t="shared" si="799"/>
        <v>0</v>
      </c>
      <c r="IA345">
        <f t="shared" si="800"/>
        <v>0</v>
      </c>
      <c r="IB345">
        <f t="shared" si="801"/>
        <v>0</v>
      </c>
      <c r="IC345" t="str">
        <f t="shared" si="802"/>
        <v/>
      </c>
      <c r="ID345" t="str" cm="1">
        <f t="array" ref="ID345">IF(IC345="","",_xlfn.LET(_xlpm.tk,_xlfn.TEXTSPLIT(SUBSTITUTE(SUBSTITUTE(IC345,";"," "),"→"," ")," ",,TRUE),_xlpm.w_,_xlfn._xlws.FILTER(_xlpm.tk,ISNUMBER(--LEFT(_xlpm.tk,1))*((ISNUMBER(SEARCH("W",_xlpm.tk))+ISNUMBER(SEARCH("Вт",_xlpm.tk)))&gt;0),""),IFERROR(--SUBSTITUTE(SUBSTITUTE(UPPER(INDEX(_xlpm.w_,1)),"W",""),"ВТ",""),"")))</f>
        <v/>
      </c>
      <c r="IE345" t="str" cm="1">
        <f t="array" ref="IE345">IF(IC345="","",_xlfn.LET(_xlpm.tk,_xlfn.TEXTSPLIT(SUBSTITUTE(SUBSTITUTE(IC345,";"," "),"→"," ")," ",,TRUE),_xlpm.v_,_xlfn._xlws.FILTER(_xlpm.tk,ISNUMBER(--LEFT(_xlpm.tk,1))*((ISNUMBER(SEARCH("V",_xlpm.tk))+(RIGHT(UPPER(_xlpm.tk))="В"))&gt;0),""),IFERROR(--SUBSTITUTE(SUBSTITUTE(UPPER(INDEX(_xlpm.v_,1)),"V",""),"В",""),"")))</f>
        <v/>
      </c>
      <c r="IF345" s="6" t="str">
        <f>IF(OR(BV345=0,HI345="",HJ345=""),"",IFERROR(N(_xlfn.XLOOKUP(HI345,Каталог!$C$4:$C$500,Каталог!$Q$4:$Q$500)),""))</f>
        <v/>
      </c>
      <c r="IG345" s="6" t="str">
        <f>IF(N(IF345)=0,"",SUMIFS(Линии[Iр, А],Линии[Щит],A345,Линии[_модуль гр.],HH345,Линии[Канал (итог)],HJ345))</f>
        <v/>
      </c>
      <c r="IH345" t="str">
        <f>IF(AND(B345="",HO345=""),"",_xlfn.TEXTJOIN("; ",TRUE,IF(AND(B345&lt;&gt;"",FV345=""),"нет фазы",""),IF(AND(B345&lt;&gt;"",N(GL345)=0,FG345&lt;&gt;"Нет"),"нет мощности",""),IF(AND(HN345&lt;&gt;"",COUNTIFS(Линии[Щит],A345,Линии[Клемма (итог)],HN345)&gt;1),"дубль клеммы "&amp;HN345,""),IF(AND(HQ345&lt;&gt;"",HQ345&lt;&gt;"ok"),HQ345,""),IF(HR345&lt;&gt;"",HR345,""),IF(AND(N(CB345)&gt;=4,N(BX345)=1),CB345&amp;" жил на 1 фазе",""),IF(AND(BC345="R",CG345=1,IF(CS345&lt;&gt;"",N(CV345)&gt;30,OR(N(DA345)=0,N(DA345)&gt;30))),"розетка без дифзащиты до 30 мА",""),IF(AND(CG345=1,N(DA345)&gt;0,ISNUMBER(T345)),IF(T345&gt;N(DA345)/3,"ток утечки "&amp;FIXED(T345,1)&amp;" мА &gt; 1/3 уставки ("&amp;DA345&amp;" мА)",""),""),IF(AND(CH345=1,CS345=""),"«узо»: нет строки с УЗО выше (УЗО 2P 40А 30мА в «Аппаратах»)",""),IF(AND(CS345&lt;&gt;"",CS345=BA345),IF(CT345="","впишите номинал УЗО (УЗО 2P 40А 30мА)",IF(N(CT345)&lt;N(DT345),"УЗО "&amp;CT345&amp;" А &lt; автомата "&amp;DT345&amp;" А перед ним",IF(N(CT345)&lt;N(CX345),"УЗО "&amp;CT345&amp;" А &lt; тока блока "&amp;FIXED(CX345,1)&amp;" А",""))),""),IF(AND(CS345&lt;&gt;"",CS345=BA345,ISNUMBER(CY345)),IF(CY345&gt;N(CV345)/3,"ток утечки блока УЗО "&amp;FIXED(CY345,1)&amp;" мА &gt; 1/3 уставки ("&amp;CV345&amp;" мА)",""),""),IF(AND(CG345=1,N(BV345)+N(IB345)&gt;0,IC345=""),"линии до 50 В без БП: впишите в «Аппараты» (БП 24V 480W)",""),IF(AND(CG345=1,ISNUMBER(ID345),ISNUMBER(U345)),IF(U345&gt;ID345,"БП "&amp;ID345&amp;" Вт &lt; нужно "&amp;U345&amp;" Вт (×"&amp;Запас_БП&amp;")",""),""),IF(AND(CG345=1,ISNUMBER(IE345),N(BV345)=1),IF(IE345&lt;&gt;N(BU345),"БП на "&amp;IE345&amp;" В, линия "&amp;BU345&amp;" В",""),""),IF(AND(N(IF345)&gt;0,N(IG345)&gt;N(IF345)),HH345&amp;" канал "&amp;HJ345&amp;": "&amp;FIXED(IG345,1)&amp;" А &gt; "&amp;IF345&amp;" А",""),IFERROR(IF(AND(ISNUMBER(Q345),Q345&gt;EL345),"потери "&amp;FIXED(Q345,1)&amp;" % &gt; "&amp;EL345&amp;" %",""),""),IFERROR(IF(LEFT(HU345,4)="мало","Iкз мало — отключение &gt; 0,4 с",""),""),IF(AND(B345&lt;&gt;"",BM345=""),"не на схеме",""),IF(AND(CG345=0,B345&lt;&gt;"",FV345&lt;&gt;"",IF(BA345=1,"",FW344)&lt;&gt;"",FV345&lt;&gt;IF(BA345=1,"",FW344)),"фаза не как у автомата группы ("&amp;IF(BA345=1,"",FW344)&amp;")","")))</f>
        <v/>
      </c>
      <c r="II345" s="6">
        <f>IF(OR(CG345=0,DQ345=""),"",_xlfn.LET(_xlpm.t,IFERROR(_xlfn.XLOOKUP(DQ345,Каталог!$U$4:$U$500,Каталог!$G$4:$G$500),""),_xlpm.k,SEARCH("кА",_xlpm.t),IFERROR(--TRIM(RIGHT(SUBSTITUTE(MID(_xlpm.t,MAX(1,_xlpm.k-4),_xlpm.k-MAX(1,_xlpm.k-4))," ",REPT(" ",9)),5)),"")))</f>
        <v>6</v>
      </c>
      <c r="IJ345" t="str">
        <f>IF(OR(II345="",CG345=0),"",IF(_xlfn.XLOOKUP(A345,Щиты[Щит],Щиты[Iкз max на шинах, кА],"")="","",IF(II345&lt;_xlfn.XLOOKUP(A345,Щиты[Щит],Щиты[Iкз max на шинах, кА]),"Icu "&amp;II345&amp;" кА &lt; Iкз max","ok")))</f>
        <v/>
      </c>
      <c r="IK345" t="str">
        <f t="shared" si="803"/>
        <v/>
      </c>
      <c r="IL345" t="str">
        <f t="shared" si="804"/>
        <v>QF4|XT4</v>
      </c>
      <c r="IM345" t="str">
        <f t="shared" si="805"/>
        <v xml:space="preserve">QF4|XT4|кабель ВВГнг(А)-LS (3х2,5) → </v>
      </c>
      <c r="IN345" t="str" cm="1">
        <f t="array" ref="IN345">IF(IM345="","",_xlfn.LET(_xlpm.nd,_xlfn.TEXTSPLIT(IM345,"|"),IF(COLUMNS(_xlpm.nd)&gt;1,A345&amp;"¦"&amp;INDEX(_xlpm.nd,1)&amp;"¦"&amp;INDEX(_xlpm.nd,2),"")))</f>
        <v>ЩУОВ¦QF4¦XT4</v>
      </c>
      <c r="IO345" t="str">
        <f t="shared" si="806"/>
        <v>OV.2.003Г.1¦</v>
      </c>
      <c r="IP345" t="str" cm="1">
        <f t="array" ref="IP345">IF(IM345="","",_xlfn.LET(_xlpm.nd,_xlfn.TEXTSPLIT(IM345,"|"),IF(COLUMNS(_xlpm.nd)&gt;2,A345&amp;"¦"&amp;INDEX(_xlpm.nd,2)&amp;"¦"&amp;INDEX(_xlpm.nd,3),"")))</f>
        <v xml:space="preserve">ЩУОВ¦XT4¦кабель ВВГнг(А)-LS (3х2,5) → </v>
      </c>
      <c r="IQ345" t="str">
        <f t="shared" si="807"/>
        <v>OV.2.003Г.1¦</v>
      </c>
      <c r="IR345" t="str" cm="1">
        <f t="array" ref="IR345">IF(IM345="","",_xlfn.LET(_xlpm.nd,_xlfn.TEXTSPLIT(IM345,"|"),IF(COLUMNS(_xlpm.nd)&gt;3,A345&amp;"¦"&amp;INDEX(_xlpm.nd,3)&amp;"¦"&amp;INDEX(_xlpm.nd,4),"")))</f>
        <v/>
      </c>
      <c r="IS345" t="str">
        <f t="shared" si="808"/>
        <v/>
      </c>
      <c r="IT345" t="str" cm="1">
        <f t="array" ref="IT345">IF(IM345="","",_xlfn.LET(_xlpm.nd,_xlfn.TEXTSPLIT(IM345,"|"),IF(COLUMNS(_xlpm.nd)&gt;4,A345&amp;"¦"&amp;INDEX(_xlpm.nd,4)&amp;"¦"&amp;INDEX(_xlpm.nd,5),"")))</f>
        <v/>
      </c>
      <c r="IU345" t="str">
        <f t="shared" si="809"/>
        <v/>
      </c>
      <c r="IV345" t="str" cm="1">
        <f t="array" ref="IV345">IF(IM345="","",_xlfn.LET(_xlpm.nd,_xlfn.TEXTSPLIT(IM345,"|"),IF(COLUMNS(_xlpm.nd)&gt;5,A345&amp;"¦"&amp;INDEX(_xlpm.nd,5)&amp;"¦"&amp;INDEX(_xlpm.nd,6),"")))</f>
        <v/>
      </c>
      <c r="IW345" t="str">
        <f t="shared" si="810"/>
        <v/>
      </c>
      <c r="IX345" t="str" cm="1">
        <f t="array" ref="IX345">IF(IM345="","",_xlfn.LET(_xlpm.nd,_xlfn.TEXTSPLIT(IM345,"|"),IF(COLUMNS(_xlpm.nd)&gt;6,A345&amp;"¦"&amp;INDEX(_xlpm.nd,6)&amp;"¦"&amp;INDEX(_xlpm.nd,7),"")))</f>
        <v/>
      </c>
      <c r="IY345" t="str">
        <f t="shared" si="811"/>
        <v/>
      </c>
      <c r="IZ345" t="str">
        <f t="shared" si="812"/>
        <v/>
      </c>
      <c r="JA345" t="str">
        <f t="shared" si="813"/>
        <v>QF4 → XT4</v>
      </c>
      <c r="JB345">
        <f t="shared" si="814"/>
        <v>0</v>
      </c>
      <c r="JC345">
        <f t="shared" si="815"/>
        <v>0</v>
      </c>
      <c r="JD345" t="str">
        <f t="shared" si="816"/>
        <v/>
      </c>
      <c r="JE345" t="str">
        <f t="shared" si="817"/>
        <v/>
      </c>
      <c r="JF345" t="str">
        <f t="shared" si="818"/>
        <v/>
      </c>
      <c r="JG345" t="str">
        <f t="shared" si="819"/>
        <v/>
      </c>
      <c r="JH345" t="str">
        <f>IF(B345="","",IFERROR(_xlfn.XLOOKUP(B345,Коды_код,Коды_уго),IFERROR(_xlfn.XLOOKUP(BC345,Коды_код,Коды_уго),IFERROR(_xlfn.XLOOKUP(LEFT(BC345,2),Коды_код,Коды_уго),""))))</f>
        <v/>
      </c>
      <c r="JI345" t="str">
        <f>IF(B345="","",IF(OR(JH345="",JH345=0),"BOX",IFERROR(IF(VLOOKUP(JH345,УГО_блоки,3,FALSE)&amp;""&lt;&gt;"",VLOOKUP(JH345,УГО_блоки,3,FALSE),VLOOKUP(JH345,УГО_блоки,2,FALSE)),JH345)))</f>
        <v>BOX</v>
      </c>
      <c r="JJ345">
        <f t="shared" si="820"/>
        <v>1</v>
      </c>
      <c r="JK345" t="str">
        <f>IF(DQ345="","",IF(COUNTIF(DQ$3:DQ345,DQ345)=1,MAX(JK$2:JK344)+1,""))</f>
        <v/>
      </c>
      <c r="JL345" t="str">
        <f>IF(DE345="","",IF(COUNTIF(DE$3:DE345,DE345)+COUNTIF(DF$2:DF344,DE345)+COUNTIF(DG$2:DG344,DE345)=1,MAX(JL$2:JN344)+1,""))</f>
        <v/>
      </c>
      <c r="JM345" t="str">
        <f>IF(DF345="","",IF(COUNTIF(DE$3:DE345,DF345)+COUNTIF(DF$3:DF345,DF345)+COUNTIF(DG$2:DG344,DF345)=1,MAX(JL$2:JN344,JL345)+1,""))</f>
        <v/>
      </c>
      <c r="JN345" t="str">
        <f>IF(DG345="","",IF(COUNTIF(DE$3:DE345,DG345)+COUNTIF(DF$3:DF345,DG345)+COUNTIF(DG$3:DG345,DG345)=1,MAX(JL$2:JN344,JL345,JM345)+1,""))</f>
        <v/>
      </c>
      <c r="JO345" t="str">
        <f t="shared" si="821"/>
        <v>3х2,5</v>
      </c>
      <c r="JP345" t="str">
        <f>IF(JO345="","",IF(COUNTIF(JO$3:JO345,JO345)=1,MAX(JP$2:JP344)+1,""))</f>
        <v/>
      </c>
      <c r="JQ345" t="str">
        <f>IF(HG345="","",COUNTIF(HG$3:HG345,"?*"))</f>
        <v/>
      </c>
      <c r="JR345" t="str">
        <f>IF(OR(HG345="",HI345=""),"",IF(COUNTIFS(HG$3:HG345,"?*",HI$3:HI345,HI345)=1,MAX(JR$2:JR344)+1,""))</f>
        <v/>
      </c>
      <c r="JS345">
        <f t="shared" si="822"/>
        <v>0</v>
      </c>
      <c r="JT345">
        <f>IF(B345="","",COUNTIF(B$3:B345,"?*"))</f>
        <v>343</v>
      </c>
      <c r="JU345">
        <f>IF(HL345&lt;&gt;1,0,_xlfn.LET(_xlpm.k,MAX(IFERROR(--_xlfn.XLOOKUP(B345,Коды_код,Коды_3L),0),IFERROR(--_xlfn.XLOOKUP(BC345,Коды_код,Коды_3L),0),IFERROR(--_xlfn.XLOOKUP(LEFT(BC345,2),Коды_код,Коды_3L),0)),IF(_xlpm.k&gt;0,_xlpm.k,IF(IFERROR(--LEFT(SUBSTITUTE(JO345,"x","х"),FIND("х",SUBSTITUTE(JO345,"x","х"))-1),3)&gt;3,Каталог!$S$9,1))))</f>
        <v>1</v>
      </c>
      <c r="JV345">
        <f t="shared" si="823"/>
        <v>0</v>
      </c>
      <c r="JW345" t="str">
        <f t="shared" si="824"/>
        <v>авто</v>
      </c>
      <c r="JX345" t="str">
        <f t="shared" si="825"/>
        <v/>
      </c>
      <c r="JY345">
        <f t="shared" si="826"/>
        <v>0</v>
      </c>
      <c r="JZ345">
        <f t="shared" si="827"/>
        <v>1</v>
      </c>
    </row>
    <row r="346" spans="1:286" x14ac:dyDescent="0.3">
      <c r="A346" t="s">
        <v>769</v>
      </c>
      <c r="B346" t="s">
        <v>1644</v>
      </c>
      <c r="C346" t="s">
        <v>1737</v>
      </c>
      <c r="D346">
        <v>5</v>
      </c>
      <c r="E346">
        <v>2.5499999999999998</v>
      </c>
      <c r="G346">
        <v>16</v>
      </c>
      <c r="H346" t="str">
        <f>Линии[[#This Row],[_авто управление]]</f>
        <v/>
      </c>
      <c r="I346" t="str">
        <f>Линии[[#This Row],[_авто аппараты]]</f>
        <v/>
      </c>
      <c r="J346">
        <v>6</v>
      </c>
      <c r="K346">
        <v>97</v>
      </c>
      <c r="L346">
        <v>1</v>
      </c>
      <c r="M346" t="s">
        <v>484</v>
      </c>
      <c r="N346" t="str">
        <f t="shared" si="690"/>
        <v>потери 6,0 % &gt; 4 %</v>
      </c>
      <c r="O346" s="6" cm="1">
        <f t="array" ref="O346">IF(B346="","",IF(BH346&lt;&gt;"",IFERROR(_xlfn.XLOOKUP(BH346,Щиты[Щит],Щиты[Iр, А]),""),IF(BP346=1,IF(OR(N(_xlfn.XLOOKUP(A346,Щиты[Щит],Щиты[Вводов],1))&lt;=1,LOWER(TRIM(_xlfn.XLOOKUP(A346,Щиты[Щит],Щиты[АВР],"")&amp;""))="да"),IFERROR(_xlfn.XLOOKUP(A346,Щиты[Щит],Щиты[Iр, А]),""),IFERROR(N(BS346)*_xlfn.XLOOKUP(A346,Щиты[Щит],Щиты[Кс итог])/(SQRT(3)*Uн_лин*_xlfn.XLOOKUP(A346,Щиты[Щит],Щиты[cos φ])),"")),IF(BV346=1,IFERROR(BS346*1000/BU346,""),IFERROR(_xlfn.IFS(BX346=1,BS346/((Uн_лин/SQRT(3))*CE346),BX346=3,BS346/(SQRT(3)*Uн_лин*CE346)),"")))))</f>
        <v>11.62297252447536</v>
      </c>
      <c r="P346" s="7">
        <f>IF(B346="","",IFERROR(IF(VLOOKUP(BC346,Потребители_обозначение,4,FALSE)=1,VLOOKUP(BC346,Потребители_обозначение,3,FALSE)*(MAX(1,N(D346))*2-1)+EI346+VLOOKUP(BE346,Этаж_обозначение,3,FALSE)+VLOOKUP(BE346,Этаж_обозначение,4,FALSE),VLOOKUP(BC346,Потребители_обозначение,3,FALSE)*(MAX(1,N(D346))*2-1)+EI346),EI346))</f>
        <v>97</v>
      </c>
      <c r="Q346" s="6">
        <f t="shared" si="691"/>
        <v>6</v>
      </c>
      <c r="R346" t="str">
        <f t="shared" si="692"/>
        <v>ВВГнг(А)-LS (3х6)</v>
      </c>
      <c r="S346" t="str">
        <f>IF(BM346="","",IF(BN346="вводной узел","узел ","")&amp;"л."&amp;(INT((BM346-1)/Столбцов_на_лист)+1)&amp;" / "&amp;(MOD(BM346-1,Столбцов_на_лист)+1))</f>
        <v>л.2 / 4</v>
      </c>
      <c r="T346" s="119">
        <f t="shared" si="693"/>
        <v>5.6</v>
      </c>
      <c r="U346" s="7" t="str">
        <f>IF(OR(CG346=0,N(BV346)+N(IB346)=0),"",ROUNDUP(Запас_БП*(N(HY346)+N(HZ346)),0))</f>
        <v/>
      </c>
      <c r="V346" s="119" t="str">
        <f t="shared" si="694"/>
        <v/>
      </c>
      <c r="W346" s="7" t="str">
        <f>IFERROR(IF(OR(B346="",BP346=1,BV346=1,NOT(ISNUMBER(EN346)),N(DT346)=0),"",MAX(0,ROUNDDOWN((c_min*(Uн_лин*1000/SQRT(3))/(HT346*N(DT346))-_xlfn.XLOOKUP(A346,Щиты[Щит],Щиты[Zпетли на шинах, Ом]))*EN346/(2*ρкз_Cu),0))),"")</f>
        <v/>
      </c>
      <c r="Y346" t="str">
        <f>Линии[[#This Row],[_авто утечка]]</f>
        <v/>
      </c>
      <c r="Z346">
        <v>1</v>
      </c>
      <c r="AA346">
        <v>230</v>
      </c>
      <c r="AB346" t="s">
        <v>573</v>
      </c>
      <c r="AG346" t="s">
        <v>810</v>
      </c>
      <c r="AI346" t="s">
        <v>609</v>
      </c>
      <c r="AK346" t="str">
        <f>Линии[[#This Row],[_авто модуль]]</f>
        <v/>
      </c>
      <c r="AM346">
        <v>21</v>
      </c>
      <c r="AN346" t="s">
        <v>11</v>
      </c>
      <c r="AO346">
        <v>3</v>
      </c>
      <c r="AQ346">
        <v>4</v>
      </c>
      <c r="AR346">
        <v>90</v>
      </c>
      <c r="AS346">
        <v>0</v>
      </c>
      <c r="AT346">
        <v>1</v>
      </c>
      <c r="BA346" cm="1">
        <f t="array" ref="BA346">ROW()-ROW(Линии[#Headers])</f>
        <v>344</v>
      </c>
      <c r="BC346" s="6" t="str">
        <f t="shared" si="695"/>
        <v>OV</v>
      </c>
      <c r="BD346" t="str">
        <f t="shared" si="696"/>
        <v>2.1.1</v>
      </c>
      <c r="BE346" t="str">
        <f t="shared" si="697"/>
        <v>2</v>
      </c>
      <c r="BF346" t="str">
        <f t="shared" si="698"/>
        <v>1.1</v>
      </c>
      <c r="BG346" t="str">
        <f t="shared" si="699"/>
        <v>1</v>
      </c>
      <c r="BH346" t="str">
        <f>IF(X346&lt;&gt;"",X346,IF(AND(B346&lt;&gt;"",B346&lt;&gt;A346,ISNUMBER(_xlfn.XMATCH(B346,Щиты[Щит]))),B346,""))</f>
        <v/>
      </c>
      <c r="BI346" t="str" cm="1">
        <f t="array" ref="BI346">IF(B346="","",IF(BH346&lt;&gt;"","Щит "&amp;BH346,_xlfn.LET(_xlpm.nm,IFERROR(_xlfn.XLOOKUP(BC346,Коды_код,Коды_имя)&amp;"",""),_xlpm.md,IFERROR(N(_xlfn.XLOOKUP(BC346,Коды_код,Коды_режим)),1),_xlpm.ex,IF(Имя_режим="по экспликации",IFERROR(_xlfn.XLOOKUP(BE346&amp;"|"&amp;BG346,Экспликация[Этаж]&amp;"|"&amp;Экспликация[Помещение],Экспликация[Название])&amp;"",""),""),_xlpm.rm,IF(BG346="","",IF(_xlpm.ex&lt;&gt;"",". "&amp;_xlpm.ex&amp;IF(Имя_пом="нет"," ("&amp;BG346&amp;")"," (пом. "&amp;BG346&amp;")"),IF(Имя_пом="нет"," ",", пом. ")&amp;BG346)),IF(_xlpm.nm="","",IF(_xlpm.md=2,_xlpm.nm&amp;" шлейф "&amp;BE346,_xlpm.nm&amp;_xlpm.rm)))))</f>
        <v/>
      </c>
      <c r="BJ346" t="str">
        <f t="shared" si="700"/>
        <v>Обогревл ливнестоков Кровля бассейна</v>
      </c>
      <c r="BK346">
        <f>IFERROR(_xlfn.XMATCH(A346,Щиты[Щит]),0)</f>
        <v>17</v>
      </c>
      <c r="BL346">
        <f>_xlfn.LET(_xlpm.k,IFERROR(_xlfn.XLOOKUP(A346,Щиты[Щит],Щиты[Мест под вводной узел]),""),IF(_xlpm.k="",Столбцов_на_лист,N(_xlpm.k)))</f>
        <v>10</v>
      </c>
      <c r="BM346">
        <f t="shared" si="701"/>
        <v>21</v>
      </c>
      <c r="BN346" t="str">
        <f t="shared" si="702"/>
        <v>линии</v>
      </c>
      <c r="BO346" s="6">
        <f>IFERROR(N(_xlfn.XLOOKUP(BC346,Коды_код,Коды_квт)),0)</f>
        <v>0</v>
      </c>
      <c r="BP346">
        <f t="shared" si="703"/>
        <v>0</v>
      </c>
      <c r="BQ346" t="str">
        <f>IF(B346="","",IF(BH346&lt;&gt;"",IFERROR(_xlfn.XLOOKUP(BH346,Щиты[Щит],Щиты[Руст, кВт]),0),IF(BP346=1,IF(OR(N(_xlfn.XLOOKUP(A346,Щиты[Щит],Щиты[Вводов],1))&lt;=1,LOWER(TRIM(_xlfn.XLOOKUP(A346,Щиты[Щит],Щиты[АВР],"")&amp;""))="да"),IFERROR(_xlfn.XLOOKUP(A346,Щиты[Щит],Щиты[Руст, кВт]),0),SUMIFS(Линии[_Р для вводов],Линии[Щит],A346,Линии[Источник для режимов],GF346)),IF(BO346&gt;0,ROUND(BO346*MAX(1,N(D346)),3),""))))</f>
        <v/>
      </c>
      <c r="BR346">
        <f t="shared" si="704"/>
        <v>2.5499999999999998</v>
      </c>
      <c r="BS346" s="6">
        <f>IF(B346="","",IF(BH346&lt;&gt;"",IFERROR(_xlfn.XLOOKUP(BH346,Щиты[Щит],Щиты[Руст, кВт]),0),N(BR346)))</f>
        <v>2.5499999999999998</v>
      </c>
      <c r="BT346" t="str">
        <f>IF(B346="","",IFERROR(IF(VLOOKUP(BC346,Потребители_обозначение,8,FALSE)=0,"",VLOOKUP(BC346,Потребители_обозначение,8,FALSE)),""))</f>
        <v/>
      </c>
      <c r="BU346">
        <f t="shared" si="705"/>
        <v>230</v>
      </c>
      <c r="BV346">
        <f t="shared" si="706"/>
        <v>0</v>
      </c>
      <c r="BW346">
        <f>IF(B346="","",IF(BH346&lt;&gt;"",3,IFERROR(IF(N(VLOOKUP(BC346,Потребители_обозначение,9,FALSE))=0,1,VLOOKUP(BC346,Потребители_обозначение,9,FALSE)),1)))</f>
        <v>1</v>
      </c>
      <c r="BX346">
        <f t="shared" si="707"/>
        <v>1</v>
      </c>
      <c r="BY346" t="str">
        <f>IF(B346="","",_xlfn.LET(_xlpm.bc,IFERROR(IF(VLOOKUP(BC346,Потребители_обозначение,6,FALSE)=0,"",VLOOKUP(BC346,Потребители_обозначение,6,FALSE)&amp;""),""),IF(AND(GA346="да",OR(_xlpm.bc="",_xlpm.bc="мс")),Марка_пож,IF(AND(_xlpm.bc="",BH346&lt;&gt;""),"мс",_xlpm.bc))))</f>
        <v/>
      </c>
      <c r="BZ346" t="str">
        <f t="shared" si="708"/>
        <v>мс</v>
      </c>
      <c r="CA346">
        <f>IF(B346="","",_xlfn.LET(_xlpm.cc,IFERROR(N(VLOOKUP(BC346,Потребители_обозначение,7,FALSE)),0),IF(_xlpm.cc&gt;0,_xlpm.cc,IF(BZ346="","",IF(BV346=1,2,IF(N(BX346)=3,5,3))))))</f>
        <v>3</v>
      </c>
      <c r="CB346">
        <f t="shared" si="709"/>
        <v>3</v>
      </c>
      <c r="CC346">
        <f>IFERROR(N(VLOOKUP(BC346,Потребители_обозначение,10,FALSE)),0)</f>
        <v>0</v>
      </c>
      <c r="CD346">
        <f>IFERROR(VLOOKUP(BC346,Потребители_обозначение,5,FALSE),0)</f>
        <v>0</v>
      </c>
      <c r="CE346" s="6" cm="1">
        <f t="array" ref="CE346">IF(B346="","",IF(BH346&lt;&gt;"",IFERROR(_xlfn.XLOOKUP(BH346,Щиты[Щит],Щиты[cos φ]),0.95),IF(BP346=1,IFERROR(_xlfn.XLOOKUP(A346,Щиты[Щит],Щиты[cos φ]),0.95),IF(ISNUMBER(AD346),AD346,IFERROR(IF(CD346=2,_xlfn.IFS(BX346=3,VLOOKUP(BS346,Справочная_двигатели,8,FALSE),BX346=1,VLOOKUP(BS346,Справочная_двигатели,10,TRUE)),IF(AND(Методика="нормы 2026",FG346="Сил"),0.8,0.95)),0.95)))))</f>
        <v>0.95</v>
      </c>
      <c r="CF346">
        <f t="shared" si="710"/>
        <v>0</v>
      </c>
      <c r="CG346">
        <f t="shared" si="711"/>
        <v>1</v>
      </c>
      <c r="CH346">
        <f t="shared" si="712"/>
        <v>0</v>
      </c>
      <c r="CI346">
        <f>IF(B346="","",IF(BV346=1,IFERROR(BS346/((Uн_лин/SQRT(3))*MAX(0.5,N(CE346))),0),N(O346)))</f>
        <v>11.62297252447536</v>
      </c>
      <c r="CJ346">
        <f t="shared" si="713"/>
        <v>0</v>
      </c>
      <c r="CK346">
        <f t="shared" si="714"/>
        <v>0</v>
      </c>
      <c r="CL346">
        <f t="shared" si="715"/>
        <v>0</v>
      </c>
      <c r="CM346">
        <f t="shared" si="716"/>
        <v>0</v>
      </c>
      <c r="CN346">
        <f t="shared" si="717"/>
        <v>0</v>
      </c>
      <c r="CO346">
        <f>IF(BC346="",0,_xlfn.LET(_xlpm.v,IFERROR(_xlfn.XLOOKUP(B346,Коды_код,Коды_мА),IFERROR(_xlfn.XLOOKUP(BC346,Коды_код,Коды_мА),IFERROR(_xlfn.XLOOKUP(LEFT(BC346,2),Коды_код,Коды_мА),""))),IF(_xlpm.v="да",30,IF(ISNUMBER(_xlpm.v),_xlpm.v,0))))</f>
        <v>0</v>
      </c>
      <c r="CP346" t="str">
        <f t="shared" si="718"/>
        <v/>
      </c>
      <c r="CQ346" t="str">
        <f>_xlfn.LET(_xlpm.k,IFERROR(_xlfn.XLOOKUP(BC346,Коды_код,Коды_утечка)&amp;"",""),IF(_xlpm.k="","дифавтомат",_xlpm.k))</f>
        <v>дифавтомат</v>
      </c>
      <c r="CR346" t="str" cm="1">
        <f t="array" ref="CR346">IF(CG346=0,"",_xlfn.LET(_xlpm.sg,TRIM(_xlfn.TEXTSPLIT(DD346&amp;"",";")),_xlpm.f_,_xlfn._xlws.FILTER(_xlpm.sg,LEFT(_xlpm.sg,3)="УЗО",""),IFERROR(INDEX(_xlpm.f_,1)&amp;"","")))</f>
        <v/>
      </c>
      <c r="CS346" t="str">
        <f t="shared" si="719"/>
        <v/>
      </c>
      <c r="CT346" s="6" t="str" cm="1">
        <f t="array" ref="CT346">IF(CR346="","",_xlfn.LET(_xlpm.tk,_xlfn.TEXTSPLIT(UPPER(CR346)," ",,TRUE),_xlpm.a_,_xlfn._xlws.FILTER(_xlpm.tk,ISNUMBER(--LEFT(_xlpm.tk,1))*((ISNUMBER(SEARCH("А",_xlpm.tk))+ISNUMBER(SEARCH("A",_xlpm.tk)))&gt;0)*NOT(ISNUMBER(SEARCH("МА",_xlpm.tk)))*NOT(ISNUMBER(SEARCH("MA",_xlpm.tk))),""),IFERROR(--SUBSTITUTE(SUBSTITUTE(INDEX(_xlpm.a_,1),"А",""),"A",""),"")))</f>
        <v/>
      </c>
      <c r="CU346" t="str" cm="1">
        <f t="array" ref="CU346">IF(CR346="","",_xlfn.LET(_xlpm.tk,_xlfn.TEXTSPLIT(UPPER(CR346)," ",,TRUE),_xlpm.a_,_xlfn._xlws.FILTER(_xlpm.tk,ISNUMBER(--LEFT(_xlpm.tk,1))*((ISNUMBER(SEARCH("МА",_xlpm.tk))+ISNUMBER(SEARCH("MA",_xlpm.tk)))&gt;0),""),IFERROR(--SUBSTITUTE(SUBSTITUTE(INDEX(_xlpm.a_,1),"МА",""),"MA",""),30)))</f>
        <v/>
      </c>
      <c r="CV346" t="str">
        <f>IF(CS346="","",IFERROR(_xlfn.XLOOKUP(CS346,Линии[_n],Линии[_УЗО, мА]),30))</f>
        <v/>
      </c>
      <c r="CW346">
        <f>IF(CS346="",0,IF(ISNUMBER(SEARCH("4P",IFERROR(_xlfn.XLOOKUP(CS346,Линии[_n],Линии[_УЗО строки])&amp;"",""))),0,1))</f>
        <v>0</v>
      </c>
      <c r="CX346" t="str">
        <f>IF(AND(CS346&lt;&gt;"",CS346=BA346),SUMIFS(Линии[_ток на 230 В],Линии[_блок УЗО],BA346,Линии[Щит],A346),"")</f>
        <v/>
      </c>
      <c r="CY346" t="str">
        <f>IF(AND(CS346&lt;&gt;"",CS346=BA346),SUMIFS(Линии[_ток утечки линии, мА],Линии[_блок УЗО],BA346,Линии[Щит],A346),"")</f>
        <v/>
      </c>
      <c r="CZ346">
        <f t="shared" si="720"/>
        <v>0</v>
      </c>
      <c r="DA346">
        <f t="shared" si="721"/>
        <v>0</v>
      </c>
      <c r="DB346">
        <f>IF(B346="",0,IFERROR(--_xlfn.XLOOKUP(B346,Коды_код,Коды_минавт),IFERROR(--_xlfn.XLOOKUP(BC346,Коды_код,Коды_минавт),IFERROR(--_xlfn.XLOOKUP(LEFT(BC346,2),Коды_код,Коды_минавт),0))))</f>
        <v>0</v>
      </c>
      <c r="DC346" t="str">
        <f>IF(B346="","",IFERROR(_xlfn.XLOOKUP(BC346,Коды_код,Коды_апп)&amp;"",""))</f>
        <v/>
      </c>
      <c r="DD346" t="str">
        <f t="shared" si="722"/>
        <v/>
      </c>
      <c r="DE346" t="str" cm="1">
        <f t="array" ref="DE346">IF(TRIM(DD346&amp;"")="","",IFERROR(TRIM(INDEX(_xlfn.TEXTSPLIT(DD346&amp;";;;",";"),1)),""))</f>
        <v/>
      </c>
      <c r="DF346" t="str" cm="1">
        <f t="array" ref="DF346">IF(TRIM(DD346&amp;"")="","",IFERROR(TRIM(INDEX(_xlfn.TEXTSPLIT(DD346&amp;";;;",";"),2)),""))</f>
        <v/>
      </c>
      <c r="DG346" t="str" cm="1">
        <f t="array" ref="DG346">IF(TRIM(DD346&amp;"")="","",IFERROR(TRIM(INDEX(_xlfn.TEXTSPLIT(DD346&amp;";;;",";"),3)),""))</f>
        <v/>
      </c>
      <c r="DH346">
        <f t="shared" si="723"/>
        <v>0</v>
      </c>
      <c r="DI346" t="str">
        <f>IF(B346="","",_xlfn.LET(_xlpm.t,LOWER(AZ346&amp;""),IF(ISNUMBER(SEARCH("dim",_xlpm.t)),"DIM",IF(ISNUMBER(SEARCH("dali",_xlpm.t)),"DALI",IF(OR(ISNUMBER(SEARCH("relay",_xlpm.t)),ISNUMBER(SEARCH("реле",_xlpm.t))),"Relay",IF(ISNUMBER(SEARCH("кнопк",_xlpm.t)),"",IFERROR(_xlfn.XLOOKUP(BC346,Коды_код,Коды_упр)&amp;"","")))))))</f>
        <v/>
      </c>
      <c r="DJ346" t="str">
        <f t="shared" si="724"/>
        <v/>
      </c>
      <c r="DK346">
        <f>IF(B346="","",_xlfn.LET(_xlpm.ig,IF(N(CX346)&gt;0,N(CX346),N(CI346)+IF(AJ346="вручную",0,N(CJ346))),_xlpm.n0,IFERROR(VLOOKUP(_xlpm.ig,Автомат_номиналы,2,TRUE),0),_xlpm.mn,MAX(DB346,IF(AJ346="вручную",0,N(CM346))),MAX(_xlpm.n0,_xlpm.mn,IF(DH346=1,Мин_автомат_БП,0))))</f>
        <v>16</v>
      </c>
      <c r="DL346">
        <f t="shared" si="725"/>
        <v>1</v>
      </c>
      <c r="DM346" t="str">
        <f t="shared" si="726"/>
        <v>1P</v>
      </c>
      <c r="DN346" t="str">
        <f>_xlfn.LET(_xlpm.cc,UPPER(TRIM(IFERROR(_xlfn.XLOOKUP(BC346,Коды_код,Коды_хар)&amp;"",""))),IF(OR(_xlpm.cc="B",_xlpm.cc="В"),"B",IF(_xlpm.cc="D","D","С")))</f>
        <v>С</v>
      </c>
      <c r="DO346" t="str">
        <f t="shared" si="727"/>
        <v>1P С16А</v>
      </c>
      <c r="DP346">
        <f t="shared" si="728"/>
        <v>16</v>
      </c>
      <c r="DQ346" t="str">
        <f t="shared" si="729"/>
        <v>1P С16А</v>
      </c>
      <c r="DR346" cm="1">
        <f t="array" ref="DR346">IF(DQ346="","",_xlfn.LET(_xlpm.t,SUBSTITUTE(SUBSTITUTE(SUBSTITUTE(UPPER(DQ346),"С","C"),"А","A"),"В","B"),_xlpm.tk,_xlfn.TEXTSPLIT(_xlpm.t," "),_xlpm.f,_xlfn._xlws.FILTER(_xlpm.tk,ISNUMBER(--MID(_xlpm.tk,2,1))*ISNUMBER(SEARCH(LEFT(_xlpm.tk,1)&amp;"#","B#C#D#"))*(LEN(_xlpm.tk)&gt;1),""),_xlpm.x,INDEX(_xlpm.f,1),IFERROR(--SUBSTITUTE(MID(_xlpm.x,2,9),"A",""),IFERROR(--SUBSTITUTE(INDEX(_xlfn._xlws.FILTER(_xlpm.tk,ISNUMBER(--SUBSTITUTE(_xlpm.tk,"A","")),""),1),"A",""),""))))</f>
        <v>16</v>
      </c>
      <c r="DS346" t="str">
        <f t="shared" si="730"/>
        <v>ok</v>
      </c>
      <c r="DT346">
        <f t="shared" si="731"/>
        <v>16</v>
      </c>
      <c r="DU346" t="str">
        <f t="shared" si="732"/>
        <v>1P С16А</v>
      </c>
      <c r="DV346">
        <f t="shared" si="733"/>
        <v>0</v>
      </c>
      <c r="DW346">
        <f t="shared" si="734"/>
        <v>0</v>
      </c>
      <c r="DX346">
        <f t="shared" si="735"/>
        <v>0</v>
      </c>
      <c r="DY346">
        <f t="shared" si="736"/>
        <v>11.62297252447536</v>
      </c>
      <c r="DZ346">
        <f t="shared" si="737"/>
        <v>1</v>
      </c>
      <c r="EA346">
        <f>IF(ISNUMBER(AP346),AP346,К_прокл)</f>
        <v>1</v>
      </c>
      <c r="EB346">
        <f t="shared" si="738"/>
        <v>2</v>
      </c>
      <c r="EC346">
        <f>IFERROR(N(VLOOKUP(BZ346,Кабель_обозначение,3,FALSE)),1)</f>
        <v>1</v>
      </c>
      <c r="ED346">
        <f>IFERROR(N(_xlfn.XLOOKUP(A346,Щиты[Щит],Щиты[ΔU до шин, %])),0)</f>
        <v>2.4899999999999998</v>
      </c>
      <c r="EE346" t="str">
        <f>IFERROR(_xlfn.XLOOKUP(A346,Щиты[Щит],Щиты[Zпетли на шинах, Ом]),"")</f>
        <v/>
      </c>
      <c r="EF346">
        <f>IFERROR(N(_xlfn.XLOOKUP(A346,Щиты[Щит],Щиты[ΔU до шин (подбор), %])),0)</f>
        <v>3.73</v>
      </c>
      <c r="EG346" t="str">
        <f>IFERROR(_xlfn.XLOOKUP(A346,Щиты[Щит],Щиты[Zпетли на шинах (подбор), Ом]),"")</f>
        <v/>
      </c>
      <c r="EH346" t="str">
        <f t="shared" si="739"/>
        <v/>
      </c>
      <c r="EI346">
        <f t="shared" si="740"/>
        <v>97</v>
      </c>
      <c r="EJ346">
        <f t="shared" si="741"/>
        <v>2</v>
      </c>
      <c r="EK346">
        <f t="shared" si="742"/>
        <v>0.31</v>
      </c>
      <c r="EL346" s="6">
        <f>IF(B346="","",IF(BV346=1,dU_LED,IF(IFERROR(_xlfn.XLOOKUP(BC346,Коды_код,Коды_уго),"")="Светильник",3,4)+IF(Методика="нормы 2026",MIN(0.5,MAX(0,N(P346)-100)*0.005),0)))</f>
        <v>4</v>
      </c>
      <c r="EM346" cm="1">
        <f t="array" ref="EM346">IF(OR(B346="",BZ346="",EC346&lt;&gt;1),"",_xlfn.LET(_xlpm.sz,Iдоп_S,_xlpm.t_,CHOOSE(EB346,Iдоп_1ж,Iдоп_2ж,Iдоп_3ж)*DZ346*EA346,_xlpm.dcx,BV346=1,_xlpm.inn,IF(_xlpm.dcx,N(O346),N(DT346)),_xlpm.smin,MAX(1.5,CC346),_xlpm.L_,N(P346)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346)/N(BU346)*100,999),IFERROR(N(EJ346)*(_xlpm.rho*_xlpm.L_/_xlpm.sz*N(CE346)+_xlpm.xx*_xlpm.L_*N(EK346)/1000)*N(O346)/((Uн_лин/SQRT(3))*1000)*100,999)),_xlpm.kz,IF(OR(_xlpm.dcx,DW346=1,NOT(ISNUMBER(EG346)),_xlpm.L_=0,_xlpm.inn=0),1,IFERROR(--(c_min*(Uн_лин*1000/SQRT(3))/(EG346+2*ρкз_Cu*_xlpm.L_/_xlpm.sz)&gt;=HT346*_xlpm.inn),0)),_xlpm.ok,IFERROR((_xlpm.sz&gt;=_xlpm.smin)*(_xlpm.t_&gt;=_xlpm.inn)*IF(_xlpm.L_&gt;0,(_xlpm.du_+IF(_xlpm.dcx,0,EF346)&lt;=EL346+0.00001),1)*_xlpm.kz,0),_xlpm.r_,_xlfn._xlws.FILTER(_xlpm.sz,_xlpm.ok,"не подобрано"),INDEX(_xlpm.r_,1)))</f>
        <v>95</v>
      </c>
      <c r="EN346">
        <f t="shared" si="743"/>
        <v>6</v>
      </c>
      <c r="EO346" cm="1">
        <f t="array" ref="EO346">IF(OR(B346="",BZ346="",EC346&lt;&gt;1),"",_xlfn.LET(_xlpm.sz,Iдоп_S,_xlpm.t_,CHOOSE(EB346,Iдоп_1ж,Iдоп_2ж,Iдоп_3ж)*DZ346*EA346,_xlpm.ok,IFERROR((_xlpm.sz&gt;=MAX(1.5,CC346))*(_xlpm.t_&gt;=N(DT346)),0),_xlpm.r_,_xlfn._xlws.FILTER(_xlpm.sz,_xlpm.ok,""),INDEX(_xlpm.r_,1)))</f>
        <v>1.5</v>
      </c>
      <c r="EP346" s="6" cm="1">
        <f t="array" ref="EP346">IFERROR(ROUNDUP(N(EJ346)*(_xlfn.XLOOKUP(EO346,INDEX(Кабель_сопротивление,0,1),INDEX(Кабель_сопротивление,0,3))*N(P346)/EO346*N(CE346)+_xlfn.XLOOKUP(EO346,INDEX(Кабель_сопротивление,0,1),INDEX(Кабель_сопротивление,0,2))*N(P346)*N(EK346)/1000)*N(O346)/((Uн_лин/SQRT(3))*1000)*100,2),"")</f>
        <v>13.95</v>
      </c>
      <c r="EQ346">
        <f>IFERROR(2*ρкз_Cu*N(P346)/EO346,"")</f>
        <v>3.4014666666666664</v>
      </c>
      <c r="ER346">
        <f>IFERROR(VLOOKUP(EN346,Кабель_сопротивление,3,FALSE),"")</f>
        <v>2.2499999999999999E-2</v>
      </c>
      <c r="ES346">
        <f>IFERROR(VLOOKUP(EN346,Кабель_сопротивление,2,FALSE),"")</f>
        <v>0.09</v>
      </c>
      <c r="ET346">
        <f t="shared" si="744"/>
        <v>90</v>
      </c>
      <c r="EU346">
        <f t="shared" si="745"/>
        <v>0</v>
      </c>
      <c r="EV346">
        <f t="shared" si="746"/>
        <v>8.0958373870640088</v>
      </c>
      <c r="EW346" s="6">
        <f>IFERROR(ROUNDUP(EV346/IF(BV346=1,BU346,(Uн_лин/SQRT(3))*1000)*100,2),"")</f>
        <v>3.51</v>
      </c>
      <c r="EX346" t="str">
        <f>IFERROR(VLOOKUP(BZ346,Кабель_обозначение,2,FALSE),"")</f>
        <v>ВВГнг(А)-LS</v>
      </c>
      <c r="EY346" t="str">
        <f t="shared" si="747"/>
        <v>ВВГнг(А)-LS (3х6)</v>
      </c>
      <c r="EZ346" t="str">
        <f t="shared" si="748"/>
        <v>ВВГнг(А)-LS (3х6)
L=97-3,51%</v>
      </c>
      <c r="FA346">
        <f>IFERROR(2*ρкз_Cu*P346/EN346,"")</f>
        <v>0.8503666666666666</v>
      </c>
      <c r="FB346">
        <f t="shared" si="749"/>
        <v>0.28291666666666671</v>
      </c>
      <c r="FC346" s="6" t="str">
        <f>IFERROR(IF(OR(B346="",BV346=1,NOT(ISNUMBER(EN346)),N(P346)=0),"",_xlfn.XLOOKUP(A346,Щиты[Щит],Щиты[Zпетли на шинах, Ом])+FA346),"")</f>
        <v/>
      </c>
      <c r="FD346" s="6" t="str">
        <f>IF(ISNUMBER(FC346),c_min*(Uн_лин*1000/SQRT(3))/FC346,"")</f>
        <v/>
      </c>
      <c r="FE346" s="6" t="str">
        <f>IFERROR(IF(OR(B346="",NOT(ISNUMBER(EN346))),"",1.05*(Uн_лин*1000/SQRT(3))/(_xlfn.XLOOKUP(A346,Щиты[Щит],Щиты[Zmax на шинах, Ом])+FB346)/1000),"")</f>
        <v/>
      </c>
      <c r="FF346" s="6" t="str">
        <f>IF(B346="","",IF(ISNUMBER(AC346),"Сил",IF(IFERROR(_xlfn.XLOOKUP(BC346,Коды_код,Коды_группа)&amp;"","")="","Быт",_xlfn.XLOOKUP(BC346,Коды_код,Коды_группа)&amp;"")))</f>
        <v>Быт</v>
      </c>
      <c r="FG346" s="6" t="str">
        <f t="shared" si="750"/>
        <v>Пост</v>
      </c>
      <c r="FH346" s="6">
        <f>IF(FG346="Щит","щит",IF(FG346="","",IF(FG346="Быт",IFERROR(_xlfn.XLOOKUP(A346,Щиты[Щит],Щиты[Кс быт]),1),IF(FG346="Сил",IF(ISNUMBER(AC346),AC346,IF(Методика="нормы 2026",IFERROR(_xlfn.XLOOKUP(A346,Щиты[Щит],Щиты[Кс силовых (табл. 7.5)]),1),1)),IF(OR(FG346="Пост",FG346="Отоп"),1,IF(FG346="ВНГ",0.7,0))))))</f>
        <v>1</v>
      </c>
      <c r="FI346">
        <f>IF(FG346="","",IF(AND(BP346=1,TRIM(AE346&amp;"")=""),IF(COUNTIFS(Линии[Щит],A346,Линии[Секция (1/2/3)],"&gt;=2")&gt;0,MIN(3,MAX(1,IFERROR(--BD346,1))),1),IFERROR(MIN(3,MAX(1,INT(--AE346))),1)))</f>
        <v>1</v>
      </c>
      <c r="FJ346">
        <f t="shared" si="751"/>
        <v>2.5499999999999998</v>
      </c>
      <c r="FK346">
        <f t="shared" si="752"/>
        <v>0</v>
      </c>
      <c r="FL346">
        <f t="shared" si="753"/>
        <v>0</v>
      </c>
      <c r="FM346">
        <f t="shared" si="754"/>
        <v>2.5499999999999998</v>
      </c>
      <c r="FN346">
        <f t="shared" si="755"/>
        <v>0</v>
      </c>
      <c r="FO346">
        <f t="shared" si="756"/>
        <v>0</v>
      </c>
      <c r="FP346">
        <f t="shared" si="757"/>
        <v>2.5499999999999998</v>
      </c>
      <c r="FQ346">
        <f t="shared" si="758"/>
        <v>2.5499999999999998</v>
      </c>
      <c r="FR346">
        <f t="shared" si="759"/>
        <v>2.4224999999999999</v>
      </c>
      <c r="FS346">
        <f>IF(CG346=1,IF(AND(CH346=1,CW346=1),0,IF(AND(CS346&lt;&gt;"",CS346=BA346,CW346=1),SUMIFS(Линии[_Р линии, кВт],Линии[_блок УЗО],BA346,Линии[Щит],A346),N(BS346)+IF(AJ346="вручную",0,N(CK346)))),0)</f>
        <v>2.5499999999999998</v>
      </c>
      <c r="FT346" t="str">
        <f t="shared" si="760"/>
        <v>L1</v>
      </c>
      <c r="FU346" t="str">
        <f>IF(B346="","",IF(CG346=0,IF(BA346=1,"",FW345),IF(AND(CH346=1,CW346=1,CS346&lt;&gt;""),IFERROR(_xlfn.XLOOKUP(CS346,Линии[_n],Линии[_фаза итог]),"L1"),IF(OR(N(DL346)&gt;=3,N(BX346)&gt;=3),"L1,L2,L3",IFERROR(_xlfn.TEXTBEFORE(_xlfn.TEXTAFTER(_xlfn.XLOOKUP(A346,Щиты[Щит],Щиты[_фазы авто]),";"&amp;BA346&amp;":"),";"),"L1")))))</f>
        <v>L1</v>
      </c>
      <c r="FV346" t="str">
        <f t="shared" si="761"/>
        <v>L1</v>
      </c>
      <c r="FW346" t="str">
        <f t="shared" si="762"/>
        <v>L1</v>
      </c>
      <c r="FX346" cm="1">
        <f t="array" ref="FX346">IFERROR(IF(CD346=2,_xlfn.IFS(BX346=3,VLOOKUP(BS346,Справочная_двигатели,3,FALSE),BX346=1,VLOOKUP(BS346,Справочная_двигатели,5,TRUE)),0),0)</f>
        <v>0</v>
      </c>
      <c r="FY346">
        <f>IFERROR(IF(CD346=3,VLOOKUP(BS346,Справочная_ЛЭД,2,TRUE),0),0)</f>
        <v>0</v>
      </c>
      <c r="FZ346" s="6">
        <f t="shared" si="763"/>
        <v>0</v>
      </c>
      <c r="GA346" t="str">
        <f>IF(B346="","",IF(TRIM(AH346&amp;"")&lt;&gt;"",IF(LOWER(TRIM(AH346&amp;""))="да","да","нет"),IF(IFERROR(_xlfn.XLOOKUP(BC346,Коды_код,Коды_пожарная),"")="да","да","нет")))</f>
        <v>нет</v>
      </c>
      <c r="GB346" t="str">
        <f t="shared" si="764"/>
        <v/>
      </c>
      <c r="GC346" t="str">
        <f t="shared" si="765"/>
        <v>основная</v>
      </c>
      <c r="GD346">
        <f>IF(AND(BP346=1,TRIM(AE346&amp;"")=""),IF(COUNTIFS(Линии[Щит],A346,Линии[Секция (1/2/3)],"&gt;=2")&gt;0,MIN(3,MAX(1,IFERROR(--BD346,1))),1),IFERROR(MIN(3,MAX(1,INT(--AE346))),1))</f>
        <v>1</v>
      </c>
      <c r="GE346" t="str" cm="1">
        <f t="array" ref="GE346">IF(B346="","",_xlfn.LET(_xlpm.t,IFERROR(_xlfn.XLOOKUP(1,(Шины[Шина]=GC346)*(((Шины[Щит]=A346)+(Шины[Щит]=""))&gt;0),Шины[Тип]),"")&amp;"",IF(_xlpm.t&lt;&gt;"",_xlpm.t,IF(ISNUMBER(SEARCH("ИБП",GC346)),"ИБП",IF(ISNUMBER(SEARCH("ДГУ",GC346)),"ДГУ","Ввод "&amp;GD346)))))</f>
        <v>Ввод 1</v>
      </c>
      <c r="GF346" t="str">
        <f t="shared" si="766"/>
        <v>Ввод 1</v>
      </c>
      <c r="GG346" t="str">
        <f>IF(BP346=0,"",IF(TRIM(AG346&amp;"")&lt;&gt;"",TRIM(AG346&amp;""),IF(OR(GE346="ИБП",GE346="ДГУ"),"I особая",_xlfn.XLOOKUP(A346,Щиты[Щит],Щиты[Категория шины «Ввод»],"III"))))</f>
        <v/>
      </c>
      <c r="GH346" t="str">
        <f>IF(A346="","",_xlfn.XLOOKUP(A346,Щиты[Щит],Щиты[Путь],""))</f>
        <v>|ГРЩ-ЖД|ЩУОВ|</v>
      </c>
      <c r="GI346" t="str">
        <f>IF(B346="","",IF(AI346&lt;&gt;"",AI346,IF(IFERROR(_xlfn.XLOOKUP(BC346,Коды_код,Коды_вид)&amp;"","")="","Прочее",_xlfn.XLOOKUP(BC346,Коды_код,Коды_вид)&amp;"")))</f>
        <v>Обогрев водостоков и кровли</v>
      </c>
      <c r="GJ346">
        <f>IF(BM346="","",INT((BM346-1)/Столбцов_на_лист)+1)</f>
        <v>2</v>
      </c>
      <c r="GK346" t="str">
        <f t="shared" si="767"/>
        <v>ВВГнг(А)-LS (3х6) L=97-3,51%</v>
      </c>
      <c r="GL346">
        <f t="shared" si="768"/>
        <v>2.5499999999999998</v>
      </c>
      <c r="GM346">
        <f t="shared" si="769"/>
        <v>11.629999999999999</v>
      </c>
      <c r="GN346">
        <f t="shared" si="770"/>
        <v>1</v>
      </c>
      <c r="GO346">
        <f t="shared" si="771"/>
        <v>0</v>
      </c>
      <c r="GP346">
        <f t="shared" si="772"/>
        <v>1</v>
      </c>
      <c r="GQ346">
        <f>IF(BM346="","",IF(AND(CG346=1,GP346=1),COUNTIFS(A$3:A346,A346,CG$3:CG346,1,GP$3:GP346,1),IF(OR(OR(BA346=1,A346&lt;&gt;A345),AJ346="вручную",GP346=0),"",IF(BA346=1,"",GR345))))</f>
        <v>5</v>
      </c>
      <c r="GR346">
        <f t="shared" si="773"/>
        <v>5</v>
      </c>
      <c r="GS346">
        <f>IF(B346="","",IFERROR(LOOKUP(INDEX(CHOOSE(EB346,Iдоп_1ж,Iдоп_2ж,Iдоп_3ж),MATCH(EN346,Iдоп_S,0))*DZ346*EA346,{6,10,16,20,25,32,40,50,63,80,100,125,160,200,250,315,400,500,630}),""))</f>
        <v>50</v>
      </c>
      <c r="GT346" t="str">
        <f t="shared" si="774"/>
        <v>QF5</v>
      </c>
      <c r="GU346" t="str">
        <f t="shared" si="775"/>
        <v>QF5</v>
      </c>
      <c r="GV346" t="str">
        <f t="shared" si="776"/>
        <v/>
      </c>
      <c r="GW346">
        <f t="shared" si="777"/>
        <v>0</v>
      </c>
      <c r="GX346" t="str">
        <f>IF(OR(B346="",DJ346=""),"",IFERROR(_xlfn.XLOOKUP(DJ346,Модули_умолч[Управление],Модули_умолч[Модель])&amp;"",""))</f>
        <v/>
      </c>
      <c r="GY346">
        <f>IF(DJ346="",1,IFERROR(MAX(0,N(_xlfn.XLOOKUP(DJ346,Модули_умолч[Управление],Модули_умолч[Каналов на линию]))),1))</f>
        <v>1</v>
      </c>
      <c r="GZ346" t="str">
        <f t="shared" si="778"/>
        <v/>
      </c>
      <c r="HA346" t="str">
        <f t="shared" si="779"/>
        <v/>
      </c>
      <c r="HB346" t="str">
        <f t="shared" si="780"/>
        <v/>
      </c>
      <c r="HC346">
        <f>IF(HB346="",0,IFERROR(N(VLOOKUP(HB346,Модули_спр,3,FALSE)),0))</f>
        <v>0</v>
      </c>
      <c r="HD346" t="str">
        <f t="shared" si="781"/>
        <v/>
      </c>
      <c r="HE346" t="str">
        <f t="shared" si="782"/>
        <v/>
      </c>
      <c r="HF346" t="str">
        <f>IF(OR(HE346="",HE346="-"),"",IFERROR(VLOOKUP(HE346,Модули_спр,2,FALSE),"R"))</f>
        <v/>
      </c>
      <c r="HG346" t="str">
        <f>IF(HF346="","",HF346&amp;"."&amp;COUNTIFS(A$3:A346,A346,HF$3:HF346,HF346))</f>
        <v/>
      </c>
      <c r="HH346" t="str">
        <f t="shared" si="783"/>
        <v/>
      </c>
      <c r="HI346" t="str">
        <f t="shared" si="784"/>
        <v/>
      </c>
      <c r="HJ346" t="str">
        <f t="shared" si="785"/>
        <v/>
      </c>
      <c r="HK346" t="str">
        <f t="shared" si="786"/>
        <v/>
      </c>
      <c r="HL346">
        <f t="shared" si="787"/>
        <v>1</v>
      </c>
      <c r="HM346" t="str">
        <f>IF(HL346=1,"XT"&amp;COUNTIFS(A$3:A346,A346,HL$3:HL346,1),"")</f>
        <v>XT5</v>
      </c>
      <c r="HN346" t="str">
        <f t="shared" si="788"/>
        <v/>
      </c>
      <c r="HO346" t="str">
        <f t="shared" si="789"/>
        <v>QF5</v>
      </c>
      <c r="HP346" t="str">
        <f t="shared" si="790"/>
        <v/>
      </c>
      <c r="HQ346" t="str">
        <f t="shared" si="791"/>
        <v>ok</v>
      </c>
      <c r="HR346" t="str">
        <f>IF(OR(HJ346="",HH346=""),"",IF(HJ346+MAX(0,GY346-1)&gt;IFERROR(VLOOKUP(HI346,Модули_спр,3,FALSE),99),"ЛИШНИЙ КАНАЛ",IF(AND(AL346&lt;&gt;"=",GY346&gt;0,COUNTIFS(Линии[_модуль гр.],HH346,Линии[Канал (итог)],HJ346,Линии[Канал],"&lt;&gt;=",Линии[Щит],A346)&gt;1),"ДУБЛЬ КАНАЛА","")))</f>
        <v/>
      </c>
      <c r="HS346" s="6" t="str">
        <f t="shared" si="792"/>
        <v/>
      </c>
      <c r="HT346">
        <f t="shared" si="793"/>
        <v>10</v>
      </c>
      <c r="HU346" t="str">
        <f t="shared" si="794"/>
        <v/>
      </c>
      <c r="HV346">
        <f t="shared" si="795"/>
        <v>5.6191890097901442</v>
      </c>
      <c r="HW346">
        <f t="shared" si="796"/>
        <v>0</v>
      </c>
      <c r="HX346">
        <f t="shared" si="797"/>
        <v>0</v>
      </c>
      <c r="HY346">
        <f t="shared" si="798"/>
        <v>0</v>
      </c>
      <c r="HZ346">
        <f t="shared" si="799"/>
        <v>0</v>
      </c>
      <c r="IA346">
        <f t="shared" si="800"/>
        <v>0</v>
      </c>
      <c r="IB346">
        <f t="shared" si="801"/>
        <v>0</v>
      </c>
      <c r="IC346" t="str">
        <f t="shared" si="802"/>
        <v/>
      </c>
      <c r="ID346" t="str" cm="1">
        <f t="array" ref="ID346">IF(IC346="","",_xlfn.LET(_xlpm.tk,_xlfn.TEXTSPLIT(SUBSTITUTE(SUBSTITUTE(IC346,";"," "),"→"," ")," ",,TRUE),_xlpm.w_,_xlfn._xlws.FILTER(_xlpm.tk,ISNUMBER(--LEFT(_xlpm.tk,1))*((ISNUMBER(SEARCH("W",_xlpm.tk))+ISNUMBER(SEARCH("Вт",_xlpm.tk)))&gt;0),""),IFERROR(--SUBSTITUTE(SUBSTITUTE(UPPER(INDEX(_xlpm.w_,1)),"W",""),"ВТ",""),"")))</f>
        <v/>
      </c>
      <c r="IE346" t="str" cm="1">
        <f t="array" ref="IE346">IF(IC346="","",_xlfn.LET(_xlpm.tk,_xlfn.TEXTSPLIT(SUBSTITUTE(SUBSTITUTE(IC346,";"," "),"→"," ")," ",,TRUE),_xlpm.v_,_xlfn._xlws.FILTER(_xlpm.tk,ISNUMBER(--LEFT(_xlpm.tk,1))*((ISNUMBER(SEARCH("V",_xlpm.tk))+(RIGHT(UPPER(_xlpm.tk))="В"))&gt;0),""),IFERROR(--SUBSTITUTE(SUBSTITUTE(UPPER(INDEX(_xlpm.v_,1)),"V",""),"В",""),"")))</f>
        <v/>
      </c>
      <c r="IF346" s="6" t="str">
        <f>IF(OR(BV346=0,HI346="",HJ346=""),"",IFERROR(N(_xlfn.XLOOKUP(HI346,Каталог!$C$4:$C$500,Каталог!$Q$4:$Q$500)),""))</f>
        <v/>
      </c>
      <c r="IG346" s="6" t="str">
        <f>IF(N(IF346)=0,"",SUMIFS(Линии[Iр, А],Линии[Щит],A346,Линии[_модуль гр.],HH346,Линии[Канал (итог)],HJ346))</f>
        <v/>
      </c>
      <c r="IH346" t="str">
        <f>IF(AND(B346="",HO346=""),"",_xlfn.TEXTJOIN("; ",TRUE,IF(AND(B346&lt;&gt;"",FV346=""),"нет фазы",""),IF(AND(B346&lt;&gt;"",N(GL346)=0,FG346&lt;&gt;"Нет"),"нет мощности",""),IF(AND(HN346&lt;&gt;"",COUNTIFS(Линии[Щит],A346,Линии[Клемма (итог)],HN346)&gt;1),"дубль клеммы "&amp;HN346,""),IF(AND(HQ346&lt;&gt;"",HQ346&lt;&gt;"ok"),HQ346,""),IF(HR346&lt;&gt;"",HR346,""),IF(AND(N(CB346)&gt;=4,N(BX346)=1),CB346&amp;" жил на 1 фазе",""),IF(AND(BC346="R",CG346=1,IF(CS346&lt;&gt;"",N(CV346)&gt;30,OR(N(DA346)=0,N(DA346)&gt;30))),"розетка без дифзащиты до 30 мА",""),IF(AND(CG346=1,N(DA346)&gt;0,ISNUMBER(T346)),IF(T346&gt;N(DA346)/3,"ток утечки "&amp;FIXED(T346,1)&amp;" мА &gt; 1/3 уставки ("&amp;DA346&amp;" мА)",""),""),IF(AND(CH346=1,CS346=""),"«узо»: нет строки с УЗО выше (УЗО 2P 40А 30мА в «Аппаратах»)",""),IF(AND(CS346&lt;&gt;"",CS346=BA346),IF(CT346="","впишите номинал УЗО (УЗО 2P 40А 30мА)",IF(N(CT346)&lt;N(DT346),"УЗО "&amp;CT346&amp;" А &lt; автомата "&amp;DT346&amp;" А перед ним",IF(N(CT346)&lt;N(CX346),"УЗО "&amp;CT346&amp;" А &lt; тока блока "&amp;FIXED(CX346,1)&amp;" А",""))),""),IF(AND(CS346&lt;&gt;"",CS346=BA346,ISNUMBER(CY346)),IF(CY346&gt;N(CV346)/3,"ток утечки блока УЗО "&amp;FIXED(CY346,1)&amp;" мА &gt; 1/3 уставки ("&amp;CV346&amp;" мА)",""),""),IF(AND(CG346=1,N(BV346)+N(IB346)&gt;0,IC346=""),"линии до 50 В без БП: впишите в «Аппараты» (БП 24V 480W)",""),IF(AND(CG346=1,ISNUMBER(ID346),ISNUMBER(U346)),IF(U346&gt;ID346,"БП "&amp;ID346&amp;" Вт &lt; нужно "&amp;U346&amp;" Вт (×"&amp;Запас_БП&amp;")",""),""),IF(AND(CG346=1,ISNUMBER(IE346),N(BV346)=1),IF(IE346&lt;&gt;N(BU346),"БП на "&amp;IE346&amp;" В, линия "&amp;BU346&amp;" В",""),""),IF(AND(N(IF346)&gt;0,N(IG346)&gt;N(IF346)),HH346&amp;" канал "&amp;HJ346&amp;": "&amp;FIXED(IG346,1)&amp;" А &gt; "&amp;IF346&amp;" А",""),IFERROR(IF(AND(ISNUMBER(Q346),Q346&gt;EL346),"потери "&amp;FIXED(Q346,1)&amp;" % &gt; "&amp;EL346&amp;" %",""),""),IFERROR(IF(LEFT(HU346,4)="мало","Iкз мало — отключение &gt; 0,4 с",""),""),IF(AND(B346&lt;&gt;"",BM346=""),"не на схеме",""),IF(AND(CG346=0,B346&lt;&gt;"",FV346&lt;&gt;"",IF(BA346=1,"",FW345)&lt;&gt;"",FV346&lt;&gt;IF(BA346=1,"",FW345)),"фаза не как у автомата группы ("&amp;IF(BA346=1,"",FW345)&amp;")","")))</f>
        <v>потери 6,0 % &gt; 4 %</v>
      </c>
      <c r="II346" s="6">
        <f>IF(OR(CG346=0,DQ346=""),"",_xlfn.LET(_xlpm.t,IFERROR(_xlfn.XLOOKUP(DQ346,Каталог!$U$4:$U$500,Каталог!$G$4:$G$500),""),_xlpm.k,SEARCH("кА",_xlpm.t),IFERROR(--TRIM(RIGHT(SUBSTITUTE(MID(_xlpm.t,MAX(1,_xlpm.k-4),_xlpm.k-MAX(1,_xlpm.k-4))," ",REPT(" ",9)),5)),"")))</f>
        <v>6</v>
      </c>
      <c r="IJ346" t="str">
        <f>IF(OR(II346="",CG346=0),"",IF(_xlfn.XLOOKUP(A346,Щиты[Щит],Щиты[Iкз max на шинах, кА],"")="","",IF(II346&lt;_xlfn.XLOOKUP(A346,Щиты[Щит],Щиты[Iкз max на шинах, кА]),"Icu "&amp;II346&amp;" кА &lt; Iкз max","ok")))</f>
        <v/>
      </c>
      <c r="IK346" t="str">
        <f t="shared" si="803"/>
        <v/>
      </c>
      <c r="IL346" t="str">
        <f t="shared" si="804"/>
        <v>QF5</v>
      </c>
      <c r="IM346" t="str">
        <f t="shared" si="805"/>
        <v>QF5|кабель ВВГнг(А)-LS (3х6) → Обогревл ливнестоков Кровля бассейна</v>
      </c>
      <c r="IN346" t="str" cm="1">
        <f t="array" ref="IN346">IF(IM346="","",_xlfn.LET(_xlpm.nd,_xlfn.TEXTSPLIT(IM346,"|"),IF(COLUMNS(_xlpm.nd)&gt;1,A346&amp;"¦"&amp;INDEX(_xlpm.nd,1)&amp;"¦"&amp;INDEX(_xlpm.nd,2),"")))</f>
        <v>ЩУОВ¦QF5¦кабель ВВГнг(А)-LS (3х6) → Обогревл ливнестоков Кровля бассейна</v>
      </c>
      <c r="IO346" t="str">
        <f t="shared" si="806"/>
        <v>OV.2.1.1¦Обогревл ливнестоков Кровля бассейна</v>
      </c>
      <c r="IP346" t="str" cm="1">
        <f t="array" ref="IP346">IF(IM346="","",_xlfn.LET(_xlpm.nd,_xlfn.TEXTSPLIT(IM346,"|"),IF(COLUMNS(_xlpm.nd)&gt;2,A346&amp;"¦"&amp;INDEX(_xlpm.nd,2)&amp;"¦"&amp;INDEX(_xlpm.nd,3),"")))</f>
        <v/>
      </c>
      <c r="IQ346" t="str">
        <f t="shared" si="807"/>
        <v/>
      </c>
      <c r="IR346" t="str" cm="1">
        <f t="array" ref="IR346">IF(IM346="","",_xlfn.LET(_xlpm.nd,_xlfn.TEXTSPLIT(IM346,"|"),IF(COLUMNS(_xlpm.nd)&gt;3,A346&amp;"¦"&amp;INDEX(_xlpm.nd,3)&amp;"¦"&amp;INDEX(_xlpm.nd,4),"")))</f>
        <v/>
      </c>
      <c r="IS346" t="str">
        <f t="shared" si="808"/>
        <v/>
      </c>
      <c r="IT346" t="str" cm="1">
        <f t="array" ref="IT346">IF(IM346="","",_xlfn.LET(_xlpm.nd,_xlfn.TEXTSPLIT(IM346,"|"),IF(COLUMNS(_xlpm.nd)&gt;4,A346&amp;"¦"&amp;INDEX(_xlpm.nd,4)&amp;"¦"&amp;INDEX(_xlpm.nd,5),"")))</f>
        <v/>
      </c>
      <c r="IU346" t="str">
        <f t="shared" si="809"/>
        <v/>
      </c>
      <c r="IV346" t="str" cm="1">
        <f t="array" ref="IV346">IF(IM346="","",_xlfn.LET(_xlpm.nd,_xlfn.TEXTSPLIT(IM346,"|"),IF(COLUMNS(_xlpm.nd)&gt;5,A346&amp;"¦"&amp;INDEX(_xlpm.nd,5)&amp;"¦"&amp;INDEX(_xlpm.nd,6),"")))</f>
        <v/>
      </c>
      <c r="IW346" t="str">
        <f t="shared" si="810"/>
        <v/>
      </c>
      <c r="IX346" t="str" cm="1">
        <f t="array" ref="IX346">IF(IM346="","",_xlfn.LET(_xlpm.nd,_xlfn.TEXTSPLIT(IM346,"|"),IF(COLUMNS(_xlpm.nd)&gt;6,A346&amp;"¦"&amp;INDEX(_xlpm.nd,6)&amp;"¦"&amp;INDEX(_xlpm.nd,7),"")))</f>
        <v/>
      </c>
      <c r="IY346" t="str">
        <f t="shared" si="811"/>
        <v/>
      </c>
      <c r="IZ346" t="str">
        <f t="shared" si="812"/>
        <v/>
      </c>
      <c r="JA346" t="str">
        <f t="shared" si="813"/>
        <v>QF5</v>
      </c>
      <c r="JB346">
        <f t="shared" si="814"/>
        <v>0</v>
      </c>
      <c r="JC346">
        <f t="shared" si="815"/>
        <v>0</v>
      </c>
      <c r="JD346" t="str">
        <f t="shared" si="816"/>
        <v/>
      </c>
      <c r="JE346" t="str">
        <f t="shared" si="817"/>
        <v/>
      </c>
      <c r="JF346" t="str">
        <f t="shared" si="818"/>
        <v/>
      </c>
      <c r="JG346" t="str">
        <f t="shared" si="819"/>
        <v/>
      </c>
      <c r="JH346" t="str">
        <f>IF(B346="","",IFERROR(_xlfn.XLOOKUP(B346,Коды_код,Коды_уго),IFERROR(_xlfn.XLOOKUP(BC346,Коды_код,Коды_уго),IFERROR(_xlfn.XLOOKUP(LEFT(BC346,2),Коды_код,Коды_уго),""))))</f>
        <v/>
      </c>
      <c r="JI346" t="str">
        <f>IF(B346="","",IF(OR(JH346="",JH346=0),"BOX",IFERROR(IF(VLOOKUP(JH346,УГО_блоки,3,FALSE)&amp;""&lt;&gt;"",VLOOKUP(JH346,УГО_блоки,3,FALSE),VLOOKUP(JH346,УГО_блоки,2,FALSE)),JH346)))</f>
        <v>BOX</v>
      </c>
      <c r="JJ346">
        <f t="shared" si="820"/>
        <v>1</v>
      </c>
      <c r="JK346" t="str">
        <f>IF(DQ346="","",IF(COUNTIF(DQ$3:DQ346,DQ346)=1,MAX(JK$2:JK345)+1,""))</f>
        <v/>
      </c>
      <c r="JL346" t="str">
        <f>IF(DE346="","",IF(COUNTIF(DE$3:DE346,DE346)+COUNTIF(DF$2:DF345,DE346)+COUNTIF(DG$2:DG345,DE346)=1,MAX(JL$2:JN345)+1,""))</f>
        <v/>
      </c>
      <c r="JM346" t="str">
        <f>IF(DF346="","",IF(COUNTIF(DE$3:DE346,DF346)+COUNTIF(DF$3:DF346,DF346)+COUNTIF(DG$2:DG345,DF346)=1,MAX(JL$2:JN345,JL346)+1,""))</f>
        <v/>
      </c>
      <c r="JN346" t="str">
        <f>IF(DG346="","",IF(COUNTIF(DE$3:DE346,DG346)+COUNTIF(DF$3:DF346,DG346)+COUNTIF(DG$3:DG346,DG346)=1,MAX(JL$2:JN345,JL346,JM346)+1,""))</f>
        <v/>
      </c>
      <c r="JO346" t="str">
        <f t="shared" si="821"/>
        <v>3х6</v>
      </c>
      <c r="JP346" t="str">
        <f>IF(JO346="","",IF(COUNTIF(JO$3:JO346,JO346)=1,MAX(JP$2:JP345)+1,""))</f>
        <v/>
      </c>
      <c r="JQ346" t="str">
        <f>IF(HG346="","",COUNTIF(HG$3:HG346,"?*"))</f>
        <v/>
      </c>
      <c r="JR346" t="str">
        <f>IF(OR(HG346="",HI346=""),"",IF(COUNTIFS(HG$3:HG346,"?*",HI$3:HI346,HI346)=1,MAX(JR$2:JR345)+1,""))</f>
        <v/>
      </c>
      <c r="JS346">
        <f t="shared" si="822"/>
        <v>1</v>
      </c>
      <c r="JT346">
        <f>IF(B346="","",COUNTIF(B$3:B346,"?*"))</f>
        <v>344</v>
      </c>
      <c r="JU346">
        <f>IF(HL346&lt;&gt;1,0,_xlfn.LET(_xlpm.k,MAX(IFERROR(--_xlfn.XLOOKUP(B346,Коды_код,Коды_3L),0),IFERROR(--_xlfn.XLOOKUP(BC346,Коды_код,Коды_3L),0),IFERROR(--_xlfn.XLOOKUP(LEFT(BC346,2),Коды_код,Коды_3L),0)),IF(_xlpm.k&gt;0,_xlpm.k,IF(IFERROR(--LEFT(SUBSTITUTE(JO346,"x","х"),FIND("х",SUBSTITUTE(JO346,"x","х"))-1),3)&gt;3,Каталог!$S$9,1))))</f>
        <v>1</v>
      </c>
      <c r="JV346">
        <f t="shared" si="823"/>
        <v>0</v>
      </c>
      <c r="JW346" t="str">
        <f t="shared" si="824"/>
        <v>авто</v>
      </c>
      <c r="JX346" t="str">
        <f t="shared" si="825"/>
        <v/>
      </c>
      <c r="JY346">
        <f t="shared" si="826"/>
        <v>0</v>
      </c>
      <c r="JZ346">
        <f t="shared" si="827"/>
        <v>1</v>
      </c>
    </row>
    <row r="347" spans="1:286" x14ac:dyDescent="0.3">
      <c r="A347" t="s">
        <v>769</v>
      </c>
      <c r="B347" t="s">
        <v>1645</v>
      </c>
      <c r="C347" t="s">
        <v>1738</v>
      </c>
      <c r="D347">
        <v>4</v>
      </c>
      <c r="E347">
        <v>2.04</v>
      </c>
      <c r="G347">
        <v>16</v>
      </c>
      <c r="H347" t="str">
        <f>Линии[[#This Row],[_авто управление]]</f>
        <v/>
      </c>
      <c r="I347" t="str">
        <f>Линии[[#This Row],[_авто аппараты]]</f>
        <v/>
      </c>
      <c r="J347">
        <v>4</v>
      </c>
      <c r="K347">
        <v>84</v>
      </c>
      <c r="L347">
        <v>3</v>
      </c>
      <c r="M347" t="s">
        <v>484</v>
      </c>
      <c r="N347" t="str">
        <f t="shared" si="690"/>
        <v>потери 6,1 % &gt; 4 %</v>
      </c>
      <c r="O347" s="6" cm="1">
        <f t="array" ref="O347">IF(B347="","",IF(BH347&lt;&gt;"",IFERROR(_xlfn.XLOOKUP(BH347,Щиты[Щит],Щиты[Iр, А]),""),IF(BP347=1,IF(OR(N(_xlfn.XLOOKUP(A347,Щиты[Щит],Щиты[Вводов],1))&lt;=1,LOWER(TRIM(_xlfn.XLOOKUP(A347,Щиты[Щит],Щиты[АВР],"")&amp;""))="да"),IFERROR(_xlfn.XLOOKUP(A347,Щиты[Щит],Щиты[Iр, А]),""),IFERROR(N(BS347)*_xlfn.XLOOKUP(A347,Щиты[Щит],Щиты[Кс итог])/(SQRT(3)*Uн_лин*_xlfn.XLOOKUP(A347,Щиты[Щит],Щиты[cos φ])),"")),IF(BV347=1,IFERROR(BS347*1000/BU347,""),IFERROR(_xlfn.IFS(BX347=1,BS347/((Uн_лин/SQRT(3))*CE347),BX347=3,BS347/(SQRT(3)*Uн_лин*CE347)),"")))))</f>
        <v>9.298378019580289</v>
      </c>
      <c r="P347" s="7">
        <f>IF(B347="","",IFERROR(IF(VLOOKUP(BC347,Потребители_обозначение,4,FALSE)=1,VLOOKUP(BC347,Потребители_обозначение,3,FALSE)*(MAX(1,N(D347))*2-1)+EI347+VLOOKUP(BE347,Этаж_обозначение,3,FALSE)+VLOOKUP(BE347,Этаж_обозначение,4,FALSE),VLOOKUP(BC347,Потребители_обозначение,3,FALSE)*(MAX(1,N(D347))*2-1)+EI347),EI347))</f>
        <v>84</v>
      </c>
      <c r="Q347" s="6">
        <f t="shared" si="691"/>
        <v>6.129999999999999</v>
      </c>
      <c r="R347" t="str">
        <f t="shared" si="692"/>
        <v>ВВГнг(А)-LS (3х4)</v>
      </c>
      <c r="S347" t="str">
        <f>IF(BM347="","",IF(BN347="вводной узел","узел ","")&amp;"л."&amp;(INT((BM347-1)/Столбцов_на_лист)+1)&amp;" / "&amp;(MOD(BM347-1,Столбцов_на_лист)+1))</f>
        <v>л.2 / 5</v>
      </c>
      <c r="T347" s="119">
        <f t="shared" si="693"/>
        <v>4.5999999999999996</v>
      </c>
      <c r="U347" s="7" t="str">
        <f>IF(OR(CG347=0,N(BV347)+N(IB347)=0),"",ROUNDUP(Запас_БП*(N(HY347)+N(HZ347)),0))</f>
        <v/>
      </c>
      <c r="V347" s="119" t="str">
        <f t="shared" si="694"/>
        <v/>
      </c>
      <c r="W347" s="7" t="str">
        <f>IFERROR(IF(OR(B347="",BP347=1,BV347=1,NOT(ISNUMBER(EN347)),N(DT347)=0),"",MAX(0,ROUNDDOWN((c_min*(Uн_лин*1000/SQRT(3))/(HT347*N(DT347))-_xlfn.XLOOKUP(A347,Щиты[Щит],Щиты[Zпетли на шинах, Ом]))*EN347/(2*ρкз_Cu),0))),"")</f>
        <v/>
      </c>
      <c r="Y347" t="str">
        <f>Линии[[#This Row],[_авто утечка]]</f>
        <v/>
      </c>
      <c r="Z347">
        <v>1</v>
      </c>
      <c r="AA347">
        <v>230</v>
      </c>
      <c r="AB347" t="s">
        <v>573</v>
      </c>
      <c r="AG347" t="s">
        <v>810</v>
      </c>
      <c r="AI347" t="s">
        <v>609</v>
      </c>
      <c r="AK347" t="str">
        <f>Линии[[#This Row],[_авто модуль]]</f>
        <v/>
      </c>
      <c r="AM347">
        <v>22</v>
      </c>
      <c r="AN347" t="s">
        <v>11</v>
      </c>
      <c r="AO347">
        <v>3</v>
      </c>
      <c r="AQ347">
        <v>7</v>
      </c>
      <c r="AR347">
        <v>42</v>
      </c>
      <c r="AS347">
        <v>35</v>
      </c>
      <c r="AT347">
        <v>1</v>
      </c>
      <c r="BA347" cm="1">
        <f t="array" ref="BA347">ROW()-ROW(Линии[#Headers])</f>
        <v>345</v>
      </c>
      <c r="BC347" s="6" t="str">
        <f t="shared" si="695"/>
        <v>OV</v>
      </c>
      <c r="BD347" t="str">
        <f t="shared" si="696"/>
        <v>2.1.2</v>
      </c>
      <c r="BE347" t="str">
        <f t="shared" si="697"/>
        <v>2</v>
      </c>
      <c r="BF347" t="str">
        <f t="shared" si="698"/>
        <v>1.2</v>
      </c>
      <c r="BG347" t="str">
        <f t="shared" si="699"/>
        <v>1</v>
      </c>
      <c r="BH347" t="str">
        <f>IF(X347&lt;&gt;"",X347,IF(AND(B347&lt;&gt;"",B347&lt;&gt;A347,ISNUMBER(_xlfn.XMATCH(B347,Щиты[Щит]))),B347,""))</f>
        <v/>
      </c>
      <c r="BI347" t="str" cm="1">
        <f t="array" ref="BI347">IF(B347="","",IF(BH347&lt;&gt;"","Щит "&amp;BH347,_xlfn.LET(_xlpm.nm,IFERROR(_xlfn.XLOOKUP(BC347,Коды_код,Коды_имя)&amp;"",""),_xlpm.md,IFERROR(N(_xlfn.XLOOKUP(BC347,Коды_код,Коды_режим)),1),_xlpm.ex,IF(Имя_режим="по экспликации",IFERROR(_xlfn.XLOOKUP(BE347&amp;"|"&amp;BG347,Экспликация[Этаж]&amp;"|"&amp;Экспликация[Помещение],Экспликация[Название])&amp;"",""),""),_xlpm.rm,IF(BG347="","",IF(_xlpm.ex&lt;&gt;"",". "&amp;_xlpm.ex&amp;IF(Имя_пом="нет"," ("&amp;BG347&amp;")"," (пом. "&amp;BG347&amp;")"),IF(Имя_пом="нет"," ",", пом. ")&amp;BG347)),IF(_xlpm.nm="","",IF(_xlpm.md=2,_xlpm.nm&amp;" шлейф "&amp;BE347,_xlpm.nm&amp;_xlpm.rm)))))</f>
        <v/>
      </c>
      <c r="BJ347" t="str">
        <f t="shared" si="700"/>
        <v>Обогревл ливнестоков Второй этаж</v>
      </c>
      <c r="BK347">
        <f>IFERROR(_xlfn.XMATCH(A347,Щиты[Щит]),0)</f>
        <v>17</v>
      </c>
      <c r="BL347">
        <f>_xlfn.LET(_xlpm.k,IFERROR(_xlfn.XLOOKUP(A347,Щиты[Щит],Щиты[Мест под вводной узел]),""),IF(_xlpm.k="",Столбцов_на_лист,N(_xlpm.k)))</f>
        <v>10</v>
      </c>
      <c r="BM347">
        <f t="shared" si="701"/>
        <v>22</v>
      </c>
      <c r="BN347" t="str">
        <f t="shared" si="702"/>
        <v>линии</v>
      </c>
      <c r="BO347" s="6">
        <f>IFERROR(N(_xlfn.XLOOKUP(BC347,Коды_код,Коды_квт)),0)</f>
        <v>0</v>
      </c>
      <c r="BP347">
        <f t="shared" si="703"/>
        <v>0</v>
      </c>
      <c r="BQ347" t="str">
        <f>IF(B347="","",IF(BH347&lt;&gt;"",IFERROR(_xlfn.XLOOKUP(BH347,Щиты[Щит],Щиты[Руст, кВт]),0),IF(BP347=1,IF(OR(N(_xlfn.XLOOKUP(A347,Щиты[Щит],Щиты[Вводов],1))&lt;=1,LOWER(TRIM(_xlfn.XLOOKUP(A347,Щиты[Щит],Щиты[АВР],"")&amp;""))="да"),IFERROR(_xlfn.XLOOKUP(A347,Щиты[Щит],Щиты[Руст, кВт]),0),SUMIFS(Линии[_Р для вводов],Линии[Щит],A347,Линии[Источник для режимов],GF347)),IF(BO347&gt;0,ROUND(BO347*MAX(1,N(D347)),3),""))))</f>
        <v/>
      </c>
      <c r="BR347">
        <f t="shared" si="704"/>
        <v>2.04</v>
      </c>
      <c r="BS347" s="6">
        <f>IF(B347="","",IF(BH347&lt;&gt;"",IFERROR(_xlfn.XLOOKUP(BH347,Щиты[Щит],Щиты[Руст, кВт]),0),N(BR347)))</f>
        <v>2.04</v>
      </c>
      <c r="BT347" t="str">
        <f>IF(B347="","",IFERROR(IF(VLOOKUP(BC347,Потребители_обозначение,8,FALSE)=0,"",VLOOKUP(BC347,Потребители_обозначение,8,FALSE)),""))</f>
        <v/>
      </c>
      <c r="BU347">
        <f t="shared" si="705"/>
        <v>230</v>
      </c>
      <c r="BV347">
        <f t="shared" si="706"/>
        <v>0</v>
      </c>
      <c r="BW347">
        <f>IF(B347="","",IF(BH347&lt;&gt;"",3,IFERROR(IF(N(VLOOKUP(BC347,Потребители_обозначение,9,FALSE))=0,1,VLOOKUP(BC347,Потребители_обозначение,9,FALSE)),1)))</f>
        <v>1</v>
      </c>
      <c r="BX347">
        <f t="shared" si="707"/>
        <v>1</v>
      </c>
      <c r="BY347" t="str">
        <f>IF(B347="","",_xlfn.LET(_xlpm.bc,IFERROR(IF(VLOOKUP(BC347,Потребители_обозначение,6,FALSE)=0,"",VLOOKUP(BC347,Потребители_обозначение,6,FALSE)&amp;""),""),IF(AND(GA347="да",OR(_xlpm.bc="",_xlpm.bc="мс")),Марка_пож,IF(AND(_xlpm.bc="",BH347&lt;&gt;""),"мс",_xlpm.bc))))</f>
        <v/>
      </c>
      <c r="BZ347" t="str">
        <f t="shared" si="708"/>
        <v>мс</v>
      </c>
      <c r="CA347">
        <f>IF(B347="","",_xlfn.LET(_xlpm.cc,IFERROR(N(VLOOKUP(BC347,Потребители_обозначение,7,FALSE)),0),IF(_xlpm.cc&gt;0,_xlpm.cc,IF(BZ347="","",IF(BV347=1,2,IF(N(BX347)=3,5,3))))))</f>
        <v>3</v>
      </c>
      <c r="CB347">
        <f t="shared" si="709"/>
        <v>3</v>
      </c>
      <c r="CC347">
        <f>IFERROR(N(VLOOKUP(BC347,Потребители_обозначение,10,FALSE)),0)</f>
        <v>0</v>
      </c>
      <c r="CD347">
        <f>IFERROR(VLOOKUP(BC347,Потребители_обозначение,5,FALSE),0)</f>
        <v>0</v>
      </c>
      <c r="CE347" s="6" cm="1">
        <f t="array" ref="CE347">IF(B347="","",IF(BH347&lt;&gt;"",IFERROR(_xlfn.XLOOKUP(BH347,Щиты[Щит],Щиты[cos φ]),0.95),IF(BP347=1,IFERROR(_xlfn.XLOOKUP(A347,Щиты[Щит],Щиты[cos φ]),0.95),IF(ISNUMBER(AD347),AD347,IFERROR(IF(CD347=2,_xlfn.IFS(BX347=3,VLOOKUP(BS347,Справочная_двигатели,8,FALSE),BX347=1,VLOOKUP(BS347,Справочная_двигатели,10,TRUE)),IF(AND(Методика="нормы 2026",FG347="Сил"),0.8,0.95)),0.95)))))</f>
        <v>0.95</v>
      </c>
      <c r="CF347">
        <f t="shared" si="710"/>
        <v>0</v>
      </c>
      <c r="CG347">
        <f t="shared" si="711"/>
        <v>1</v>
      </c>
      <c r="CH347">
        <f t="shared" si="712"/>
        <v>0</v>
      </c>
      <c r="CI347">
        <f>IF(B347="","",IF(BV347=1,IFERROR(BS347/((Uн_лин/SQRT(3))*MAX(0.5,N(CE347))),0),N(O347)))</f>
        <v>9.298378019580289</v>
      </c>
      <c r="CJ347">
        <f t="shared" si="713"/>
        <v>0</v>
      </c>
      <c r="CK347">
        <f t="shared" si="714"/>
        <v>0</v>
      </c>
      <c r="CL347">
        <f t="shared" si="715"/>
        <v>0</v>
      </c>
      <c r="CM347">
        <f t="shared" si="716"/>
        <v>0</v>
      </c>
      <c r="CN347">
        <f t="shared" si="717"/>
        <v>0</v>
      </c>
      <c r="CO347">
        <f>IF(BC347="",0,_xlfn.LET(_xlpm.v,IFERROR(_xlfn.XLOOKUP(B347,Коды_код,Коды_мА),IFERROR(_xlfn.XLOOKUP(BC347,Коды_код,Коды_мА),IFERROR(_xlfn.XLOOKUP(LEFT(BC347,2),Коды_код,Коды_мА),""))),IF(_xlpm.v="да",30,IF(ISNUMBER(_xlpm.v),_xlpm.v,0))))</f>
        <v>0</v>
      </c>
      <c r="CP347" t="str">
        <f t="shared" si="718"/>
        <v/>
      </c>
      <c r="CQ347" t="str">
        <f>_xlfn.LET(_xlpm.k,IFERROR(_xlfn.XLOOKUP(BC347,Коды_код,Коды_утечка)&amp;"",""),IF(_xlpm.k="","дифавтомат",_xlpm.k))</f>
        <v>дифавтомат</v>
      </c>
      <c r="CR347" t="str" cm="1">
        <f t="array" ref="CR347">IF(CG347=0,"",_xlfn.LET(_xlpm.sg,TRIM(_xlfn.TEXTSPLIT(DD347&amp;"",";")),_xlpm.f_,_xlfn._xlws.FILTER(_xlpm.sg,LEFT(_xlpm.sg,3)="УЗО",""),IFERROR(INDEX(_xlpm.f_,1)&amp;"","")))</f>
        <v/>
      </c>
      <c r="CS347" t="str">
        <f t="shared" si="719"/>
        <v/>
      </c>
      <c r="CT347" s="6" t="str" cm="1">
        <f t="array" ref="CT347">IF(CR347="","",_xlfn.LET(_xlpm.tk,_xlfn.TEXTSPLIT(UPPER(CR347)," ",,TRUE),_xlpm.a_,_xlfn._xlws.FILTER(_xlpm.tk,ISNUMBER(--LEFT(_xlpm.tk,1))*((ISNUMBER(SEARCH("А",_xlpm.tk))+ISNUMBER(SEARCH("A",_xlpm.tk)))&gt;0)*NOT(ISNUMBER(SEARCH("МА",_xlpm.tk)))*NOT(ISNUMBER(SEARCH("MA",_xlpm.tk))),""),IFERROR(--SUBSTITUTE(SUBSTITUTE(INDEX(_xlpm.a_,1),"А",""),"A",""),"")))</f>
        <v/>
      </c>
      <c r="CU347" t="str" cm="1">
        <f t="array" ref="CU347">IF(CR347="","",_xlfn.LET(_xlpm.tk,_xlfn.TEXTSPLIT(UPPER(CR347)," ",,TRUE),_xlpm.a_,_xlfn._xlws.FILTER(_xlpm.tk,ISNUMBER(--LEFT(_xlpm.tk,1))*((ISNUMBER(SEARCH("МА",_xlpm.tk))+ISNUMBER(SEARCH("MA",_xlpm.tk)))&gt;0),""),IFERROR(--SUBSTITUTE(SUBSTITUTE(INDEX(_xlpm.a_,1),"МА",""),"MA",""),30)))</f>
        <v/>
      </c>
      <c r="CV347" t="str">
        <f>IF(CS347="","",IFERROR(_xlfn.XLOOKUP(CS347,Линии[_n],Линии[_УЗО, мА]),30))</f>
        <v/>
      </c>
      <c r="CW347">
        <f>IF(CS347="",0,IF(ISNUMBER(SEARCH("4P",IFERROR(_xlfn.XLOOKUP(CS347,Линии[_n],Линии[_УЗО строки])&amp;"",""))),0,1))</f>
        <v>0</v>
      </c>
      <c r="CX347" t="str">
        <f>IF(AND(CS347&lt;&gt;"",CS347=BA347),SUMIFS(Линии[_ток на 230 В],Линии[_блок УЗО],BA347,Линии[Щит],A347),"")</f>
        <v/>
      </c>
      <c r="CY347" t="str">
        <f>IF(AND(CS347&lt;&gt;"",CS347=BA347),SUMIFS(Линии[_ток утечки линии, мА],Линии[_блок УЗО],BA347,Линии[Щит],A347),"")</f>
        <v/>
      </c>
      <c r="CZ347">
        <f t="shared" si="720"/>
        <v>0</v>
      </c>
      <c r="DA347">
        <f t="shared" si="721"/>
        <v>0</v>
      </c>
      <c r="DB347">
        <f>IF(B347="",0,IFERROR(--_xlfn.XLOOKUP(B347,Коды_код,Коды_минавт),IFERROR(--_xlfn.XLOOKUP(BC347,Коды_код,Коды_минавт),IFERROR(--_xlfn.XLOOKUP(LEFT(BC347,2),Коды_код,Коды_минавт),0))))</f>
        <v>0</v>
      </c>
      <c r="DC347" t="str">
        <f>IF(B347="","",IFERROR(_xlfn.XLOOKUP(BC347,Коды_код,Коды_апп)&amp;"",""))</f>
        <v/>
      </c>
      <c r="DD347" t="str">
        <f t="shared" si="722"/>
        <v/>
      </c>
      <c r="DE347" t="str" cm="1">
        <f t="array" ref="DE347">IF(TRIM(DD347&amp;"")="","",IFERROR(TRIM(INDEX(_xlfn.TEXTSPLIT(DD347&amp;";;;",";"),1)),""))</f>
        <v/>
      </c>
      <c r="DF347" t="str" cm="1">
        <f t="array" ref="DF347">IF(TRIM(DD347&amp;"")="","",IFERROR(TRIM(INDEX(_xlfn.TEXTSPLIT(DD347&amp;";;;",";"),2)),""))</f>
        <v/>
      </c>
      <c r="DG347" t="str" cm="1">
        <f t="array" ref="DG347">IF(TRIM(DD347&amp;"")="","",IFERROR(TRIM(INDEX(_xlfn.TEXTSPLIT(DD347&amp;";;;",";"),3)),""))</f>
        <v/>
      </c>
      <c r="DH347">
        <f t="shared" si="723"/>
        <v>0</v>
      </c>
      <c r="DI347" t="str">
        <f>IF(B347="","",_xlfn.LET(_xlpm.t,LOWER(AZ347&amp;""),IF(ISNUMBER(SEARCH("dim",_xlpm.t)),"DIM",IF(ISNUMBER(SEARCH("dali",_xlpm.t)),"DALI",IF(OR(ISNUMBER(SEARCH("relay",_xlpm.t)),ISNUMBER(SEARCH("реле",_xlpm.t))),"Relay",IF(ISNUMBER(SEARCH("кнопк",_xlpm.t)),"",IFERROR(_xlfn.XLOOKUP(BC347,Коды_код,Коды_упр)&amp;"","")))))))</f>
        <v/>
      </c>
      <c r="DJ347" t="str">
        <f t="shared" si="724"/>
        <v/>
      </c>
      <c r="DK347">
        <f>IF(B347="","",_xlfn.LET(_xlpm.ig,IF(N(CX347)&gt;0,N(CX347),N(CI347)+IF(AJ347="вручную",0,N(CJ347))),_xlpm.n0,IFERROR(VLOOKUP(_xlpm.ig,Автомат_номиналы,2,TRUE),0),_xlpm.mn,MAX(DB347,IF(AJ347="вручную",0,N(CM347))),MAX(_xlpm.n0,_xlpm.mn,IF(DH347=1,Мин_автомат_БП,0))))</f>
        <v>16</v>
      </c>
      <c r="DL347">
        <f t="shared" si="725"/>
        <v>1</v>
      </c>
      <c r="DM347" t="str">
        <f t="shared" si="726"/>
        <v>1P</v>
      </c>
      <c r="DN347" t="str">
        <f>_xlfn.LET(_xlpm.cc,UPPER(TRIM(IFERROR(_xlfn.XLOOKUP(BC347,Коды_код,Коды_хар)&amp;"",""))),IF(OR(_xlpm.cc="B",_xlpm.cc="В"),"B",IF(_xlpm.cc="D","D","С")))</f>
        <v>С</v>
      </c>
      <c r="DO347" t="str">
        <f t="shared" si="727"/>
        <v>1P С16А</v>
      </c>
      <c r="DP347">
        <f t="shared" si="728"/>
        <v>16</v>
      </c>
      <c r="DQ347" t="str">
        <f t="shared" si="729"/>
        <v>1P С16А</v>
      </c>
      <c r="DR347" cm="1">
        <f t="array" ref="DR347">IF(DQ347="","",_xlfn.LET(_xlpm.t,SUBSTITUTE(SUBSTITUTE(SUBSTITUTE(UPPER(DQ347),"С","C"),"А","A"),"В","B"),_xlpm.tk,_xlfn.TEXTSPLIT(_xlpm.t," "),_xlpm.f,_xlfn._xlws.FILTER(_xlpm.tk,ISNUMBER(--MID(_xlpm.tk,2,1))*ISNUMBER(SEARCH(LEFT(_xlpm.tk,1)&amp;"#","B#C#D#"))*(LEN(_xlpm.tk)&gt;1),""),_xlpm.x,INDEX(_xlpm.f,1),IFERROR(--SUBSTITUTE(MID(_xlpm.x,2,9),"A",""),IFERROR(--SUBSTITUTE(INDEX(_xlfn._xlws.FILTER(_xlpm.tk,ISNUMBER(--SUBSTITUTE(_xlpm.tk,"A","")),""),1),"A",""),""))))</f>
        <v>16</v>
      </c>
      <c r="DS347" t="str">
        <f t="shared" si="730"/>
        <v>ok</v>
      </c>
      <c r="DT347">
        <f t="shared" si="731"/>
        <v>16</v>
      </c>
      <c r="DU347" t="str">
        <f t="shared" si="732"/>
        <v>1P С16А</v>
      </c>
      <c r="DV347">
        <f t="shared" si="733"/>
        <v>0</v>
      </c>
      <c r="DW347">
        <f t="shared" si="734"/>
        <v>0</v>
      </c>
      <c r="DX347">
        <f t="shared" si="735"/>
        <v>0</v>
      </c>
      <c r="DY347">
        <f t="shared" si="736"/>
        <v>9.298378019580289</v>
      </c>
      <c r="DZ347">
        <f t="shared" si="737"/>
        <v>1</v>
      </c>
      <c r="EA347">
        <f>IF(ISNUMBER(AP347),AP347,К_прокл)</f>
        <v>1</v>
      </c>
      <c r="EB347">
        <f t="shared" si="738"/>
        <v>2</v>
      </c>
      <c r="EC347">
        <f>IFERROR(N(VLOOKUP(BZ347,Кабель_обозначение,3,FALSE)),1)</f>
        <v>1</v>
      </c>
      <c r="ED347">
        <f>IFERROR(N(_xlfn.XLOOKUP(A347,Щиты[Щит],Щиты[ΔU до шин, %])),0)</f>
        <v>2.4899999999999998</v>
      </c>
      <c r="EE347" t="str">
        <f>IFERROR(_xlfn.XLOOKUP(A347,Щиты[Щит],Щиты[Zпетли на шинах, Ом]),"")</f>
        <v/>
      </c>
      <c r="EF347">
        <f>IFERROR(N(_xlfn.XLOOKUP(A347,Щиты[Щит],Щиты[ΔU до шин (подбор), %])),0)</f>
        <v>3.73</v>
      </c>
      <c r="EG347" t="str">
        <f>IFERROR(_xlfn.XLOOKUP(A347,Щиты[Щит],Щиты[Zпетли на шинах (подбор), Ом]),"")</f>
        <v/>
      </c>
      <c r="EH347" t="str">
        <f t="shared" si="739"/>
        <v/>
      </c>
      <c r="EI347">
        <f t="shared" si="740"/>
        <v>84</v>
      </c>
      <c r="EJ347">
        <f t="shared" si="741"/>
        <v>2</v>
      </c>
      <c r="EK347">
        <f t="shared" si="742"/>
        <v>0.31</v>
      </c>
      <c r="EL347" s="6">
        <f>IF(B347="","",IF(BV347=1,dU_LED,IF(IFERROR(_xlfn.XLOOKUP(BC347,Коды_код,Коды_уго),"")="Светильник",3,4)+IF(Методика="нормы 2026",MIN(0.5,MAX(0,N(P347)-100)*0.005),0)))</f>
        <v>4</v>
      </c>
      <c r="EM347" cm="1">
        <f t="array" ref="EM347">IF(OR(B347="",BZ347="",EC347&lt;&gt;1),"",_xlfn.LET(_xlpm.sz,Iдоп_S,_xlpm.t_,CHOOSE(EB347,Iдоп_1ж,Iдоп_2ж,Iдоп_3ж)*DZ347*EA347,_xlpm.dcx,BV347=1,_xlpm.inn,IF(_xlpm.dcx,N(O347),N(DT347)),_xlpm.smin,MAX(1.5,CC347),_xlpm.L_,N(P347)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347)/N(BU347)*100,999),IFERROR(N(EJ347)*(_xlpm.rho*_xlpm.L_/_xlpm.sz*N(CE347)+_xlpm.xx*_xlpm.L_*N(EK347)/1000)*N(O347)/((Uн_лин/SQRT(3))*1000)*100,999)),_xlpm.kz,IF(OR(_xlpm.dcx,DW347=1,NOT(ISNUMBER(EG347)),_xlpm.L_=0,_xlpm.inn=0),1,IFERROR(--(c_min*(Uн_лин*1000/SQRT(3))/(EG347+2*ρкз_Cu*_xlpm.L_/_xlpm.sz)&gt;=HT347*_xlpm.inn),0)),_xlpm.ok,IFERROR((_xlpm.sz&gt;=_xlpm.smin)*(_xlpm.t_&gt;=_xlpm.inn)*IF(_xlpm.L_&gt;0,(_xlpm.du_+IF(_xlpm.dcx,0,EF347)&lt;=EL347+0.00001),1)*_xlpm.kz,0),_xlpm.r_,_xlfn._xlws.FILTER(_xlpm.sz,_xlpm.ok,"не подобрано"),INDEX(_xlpm.r_,1)))</f>
        <v>70</v>
      </c>
      <c r="EN347">
        <f t="shared" si="743"/>
        <v>4</v>
      </c>
      <c r="EO347" cm="1">
        <f t="array" ref="EO347">IF(OR(B347="",BZ347="",EC347&lt;&gt;1),"",_xlfn.LET(_xlpm.sz,Iдоп_S,_xlpm.t_,CHOOSE(EB347,Iдоп_1ж,Iдоп_2ж,Iдоп_3ж)*DZ347*EA347,_xlpm.ok,IFERROR((_xlpm.sz&gt;=MAX(1.5,CC347))*(_xlpm.t_&gt;=N(DT347)),0),_xlpm.r_,_xlfn._xlws.FILTER(_xlpm.sz,_xlpm.ok,""),INDEX(_xlpm.r_,1)))</f>
        <v>1.5</v>
      </c>
      <c r="EP347" s="6" cm="1">
        <f t="array" ref="EP347">IFERROR(ROUNDUP(N(EJ347)*(_xlfn.XLOOKUP(EO347,INDEX(Кабель_сопротивление,0,1),INDEX(Кабель_сопротивление,0,3))*N(P347)/EO347*N(CE347)+_xlfn.XLOOKUP(EO347,INDEX(Кабель_сопротивление,0,1),INDEX(Кабель_сопротивление,0,2))*N(P347)*N(EK347)/1000)*N(O347)/((Uн_лин/SQRT(3))*1000)*100,2),"")</f>
        <v>9.67</v>
      </c>
      <c r="EQ347">
        <f>IFERROR(2*ρкз_Cu*N(P347)/EO347,"")</f>
        <v>2.9456000000000002</v>
      </c>
      <c r="ER347">
        <f>IFERROR(VLOOKUP(EN347,Кабель_сопротивление,3,FALSE),"")</f>
        <v>2.2499999999999999E-2</v>
      </c>
      <c r="ES347">
        <f>IFERROR(VLOOKUP(EN347,Кабель_сопротивление,2,FALSE),"")</f>
        <v>9.5000000000000001E-2</v>
      </c>
      <c r="ET347">
        <f t="shared" si="744"/>
        <v>42</v>
      </c>
      <c r="EU347">
        <f t="shared" si="745"/>
        <v>35</v>
      </c>
      <c r="EV347">
        <f t="shared" si="746"/>
        <v>8.3936235221678803</v>
      </c>
      <c r="EW347" s="6">
        <f>IFERROR(ROUNDUP(EV347/IF(BV347=1,BU347,(Uн_лин/SQRT(3))*1000)*100,2),"")</f>
        <v>3.6399999999999997</v>
      </c>
      <c r="EX347" t="str">
        <f>IFERROR(VLOOKUP(BZ347,Кабель_обозначение,2,FALSE),"")</f>
        <v>ВВГнг(А)-LS</v>
      </c>
      <c r="EY347" t="str">
        <f t="shared" si="747"/>
        <v>ВВГнг(А)-LS (3х4)</v>
      </c>
      <c r="EZ347" t="str">
        <f t="shared" si="748"/>
        <v>ВВГнг(А)-LS (3х4)
L=84-3,64%</v>
      </c>
      <c r="FA347">
        <f>IFERROR(2*ρкз_Cu*P347/EN347,"")</f>
        <v>1.1046</v>
      </c>
      <c r="FB347">
        <f t="shared" si="749"/>
        <v>0.36750000000000005</v>
      </c>
      <c r="FC347" s="6" t="str">
        <f>IFERROR(IF(OR(B347="",BV347=1,NOT(ISNUMBER(EN347)),N(P347)=0),"",_xlfn.XLOOKUP(A347,Щиты[Щит],Щиты[Zпетли на шинах, Ом])+FA347),"")</f>
        <v/>
      </c>
      <c r="FD347" s="6" t="str">
        <f>IF(ISNUMBER(FC347),c_min*(Uн_лин*1000/SQRT(3))/FC347,"")</f>
        <v/>
      </c>
      <c r="FE347" s="6" t="str">
        <f>IFERROR(IF(OR(B347="",NOT(ISNUMBER(EN347))),"",1.05*(Uн_лин*1000/SQRT(3))/(_xlfn.XLOOKUP(A347,Щиты[Щит],Щиты[Zmax на шинах, Ом])+FB347)/1000),"")</f>
        <v/>
      </c>
      <c r="FF347" s="6" t="str">
        <f>IF(B347="","",IF(ISNUMBER(AC347),"Сил",IF(IFERROR(_xlfn.XLOOKUP(BC347,Коды_код,Коды_группа)&amp;"","")="","Быт",_xlfn.XLOOKUP(BC347,Коды_код,Коды_группа)&amp;"")))</f>
        <v>Быт</v>
      </c>
      <c r="FG347" s="6" t="str">
        <f t="shared" si="750"/>
        <v>Пост</v>
      </c>
      <c r="FH347" s="6">
        <f>IF(FG347="Щит","щит",IF(FG347="","",IF(FG347="Быт",IFERROR(_xlfn.XLOOKUP(A347,Щиты[Щит],Щиты[Кс быт]),1),IF(FG347="Сил",IF(ISNUMBER(AC347),AC347,IF(Методика="нормы 2026",IFERROR(_xlfn.XLOOKUP(A347,Щиты[Щит],Щиты[Кс силовых (табл. 7.5)]),1),1)),IF(OR(FG347="Пост",FG347="Отоп"),1,IF(FG347="ВНГ",0.7,0))))))</f>
        <v>1</v>
      </c>
      <c r="FI347">
        <f>IF(FG347="","",IF(AND(BP347=1,TRIM(AE347&amp;"")=""),IF(COUNTIFS(Линии[Щит],A347,Линии[Секция (1/2/3)],"&gt;=2")&gt;0,MIN(3,MAX(1,IFERROR(--BD347,1))),1),IFERROR(MIN(3,MAX(1,INT(--AE347))),1)))</f>
        <v>1</v>
      </c>
      <c r="FJ347">
        <f t="shared" si="751"/>
        <v>2.04</v>
      </c>
      <c r="FK347">
        <f t="shared" si="752"/>
        <v>0</v>
      </c>
      <c r="FL347">
        <f t="shared" si="753"/>
        <v>0</v>
      </c>
      <c r="FM347">
        <f t="shared" si="754"/>
        <v>2.04</v>
      </c>
      <c r="FN347">
        <f t="shared" si="755"/>
        <v>0</v>
      </c>
      <c r="FO347">
        <f t="shared" si="756"/>
        <v>0</v>
      </c>
      <c r="FP347">
        <f t="shared" si="757"/>
        <v>2.04</v>
      </c>
      <c r="FQ347">
        <f t="shared" si="758"/>
        <v>2.04</v>
      </c>
      <c r="FR347">
        <f t="shared" si="759"/>
        <v>1.9379999999999999</v>
      </c>
      <c r="FS347">
        <f>IF(CG347=1,IF(AND(CH347=1,CW347=1),0,IF(AND(CS347&lt;&gt;"",CS347=BA347,CW347=1),SUMIFS(Линии[_Р линии, кВт],Линии[_блок УЗО],BA347,Линии[Щит],A347),N(BS347)+IF(AJ347="вручную",0,N(CK347)))),0)</f>
        <v>2.04</v>
      </c>
      <c r="FT347" t="str">
        <f t="shared" si="760"/>
        <v>L3</v>
      </c>
      <c r="FU347" t="str">
        <f>IF(B347="","",IF(CG347=0,IF(BA347=1,"",FW346),IF(AND(CH347=1,CW347=1,CS347&lt;&gt;""),IFERROR(_xlfn.XLOOKUP(CS347,Линии[_n],Линии[_фаза итог]),"L1"),IF(OR(N(DL347)&gt;=3,N(BX347)&gt;=3),"L1,L2,L3",IFERROR(_xlfn.TEXTBEFORE(_xlfn.TEXTAFTER(_xlfn.XLOOKUP(A347,Щиты[Щит],Щиты[_фазы авто]),";"&amp;BA347&amp;":"),";"),"L1")))))</f>
        <v>L1</v>
      </c>
      <c r="FV347" t="str">
        <f t="shared" si="761"/>
        <v>L3</v>
      </c>
      <c r="FW347" t="str">
        <f t="shared" si="762"/>
        <v>L3</v>
      </c>
      <c r="FX347" cm="1">
        <f t="array" ref="FX347">IFERROR(IF(CD347=2,_xlfn.IFS(BX347=3,VLOOKUP(BS347,Справочная_двигатели,3,FALSE),BX347=1,VLOOKUP(BS347,Справочная_двигатели,5,TRUE)),0),0)</f>
        <v>0</v>
      </c>
      <c r="FY347">
        <f>IFERROR(IF(CD347=3,VLOOKUP(BS347,Справочная_ЛЭД,2,TRUE),0),0)</f>
        <v>0</v>
      </c>
      <c r="FZ347" s="6">
        <f t="shared" si="763"/>
        <v>0</v>
      </c>
      <c r="GA347" t="str">
        <f>IF(B347="","",IF(TRIM(AH347&amp;"")&lt;&gt;"",IF(LOWER(TRIM(AH347&amp;""))="да","да","нет"),IF(IFERROR(_xlfn.XLOOKUP(BC347,Коды_код,Коды_пожарная),"")="да","да","нет")))</f>
        <v>нет</v>
      </c>
      <c r="GB347" t="str">
        <f t="shared" si="764"/>
        <v/>
      </c>
      <c r="GC347" t="str">
        <f t="shared" si="765"/>
        <v>основная</v>
      </c>
      <c r="GD347">
        <f>IF(AND(BP347=1,TRIM(AE347&amp;"")=""),IF(COUNTIFS(Линии[Щит],A347,Линии[Секция (1/2/3)],"&gt;=2")&gt;0,MIN(3,MAX(1,IFERROR(--BD347,1))),1),IFERROR(MIN(3,MAX(1,INT(--AE347))),1))</f>
        <v>1</v>
      </c>
      <c r="GE347" t="str" cm="1">
        <f t="array" ref="GE347">IF(B347="","",_xlfn.LET(_xlpm.t,IFERROR(_xlfn.XLOOKUP(1,(Шины[Шина]=GC347)*(((Шины[Щит]=A347)+(Шины[Щит]=""))&gt;0),Шины[Тип]),"")&amp;"",IF(_xlpm.t&lt;&gt;"",_xlpm.t,IF(ISNUMBER(SEARCH("ИБП",GC347)),"ИБП",IF(ISNUMBER(SEARCH("ДГУ",GC347)),"ДГУ","Ввод "&amp;GD347)))))</f>
        <v>Ввод 1</v>
      </c>
      <c r="GF347" t="str">
        <f t="shared" si="766"/>
        <v>Ввод 1</v>
      </c>
      <c r="GG347" t="str">
        <f>IF(BP347=0,"",IF(TRIM(AG347&amp;"")&lt;&gt;"",TRIM(AG347&amp;""),IF(OR(GE347="ИБП",GE347="ДГУ"),"I особая",_xlfn.XLOOKUP(A347,Щиты[Щит],Щиты[Категория шины «Ввод»],"III"))))</f>
        <v/>
      </c>
      <c r="GH347" t="str">
        <f>IF(A347="","",_xlfn.XLOOKUP(A347,Щиты[Щит],Щиты[Путь],""))</f>
        <v>|ГРЩ-ЖД|ЩУОВ|</v>
      </c>
      <c r="GI347" t="str">
        <f>IF(B347="","",IF(AI347&lt;&gt;"",AI347,IF(IFERROR(_xlfn.XLOOKUP(BC347,Коды_код,Коды_вид)&amp;"","")="","Прочее",_xlfn.XLOOKUP(BC347,Коды_код,Коды_вид)&amp;"")))</f>
        <v>Обогрев водостоков и кровли</v>
      </c>
      <c r="GJ347">
        <f>IF(BM347="","",INT((BM347-1)/Столбцов_на_лист)+1)</f>
        <v>2</v>
      </c>
      <c r="GK347" t="str">
        <f t="shared" si="767"/>
        <v>ВВГнг(А)-LS (3х4) L=84-3,64%</v>
      </c>
      <c r="GL347">
        <f t="shared" si="768"/>
        <v>2.04</v>
      </c>
      <c r="GM347">
        <f t="shared" si="769"/>
        <v>9.2999999999999989</v>
      </c>
      <c r="GN347">
        <f t="shared" si="770"/>
        <v>1</v>
      </c>
      <c r="GO347">
        <f t="shared" si="771"/>
        <v>0</v>
      </c>
      <c r="GP347">
        <f t="shared" si="772"/>
        <v>1</v>
      </c>
      <c r="GQ347">
        <f>IF(BM347="","",IF(AND(CG347=1,GP347=1),COUNTIFS(A$3:A347,A347,CG$3:CG347,1,GP$3:GP347,1),IF(OR(OR(BA347=1,A347&lt;&gt;A346),AJ347="вручную",GP347=0),"",IF(BA347=1,"",GR346))))</f>
        <v>6</v>
      </c>
      <c r="GR347">
        <f t="shared" si="773"/>
        <v>6</v>
      </c>
      <c r="GS347">
        <f>IF(B347="","",IFERROR(LOOKUP(INDEX(CHOOSE(EB347,Iдоп_1ж,Iдоп_2ж,Iдоп_3ж),MATCH(EN347,Iдоп_S,0))*DZ347*EA347,{6,10,16,20,25,32,40,50,63,80,100,125,160,200,250,315,400,500,630}),""))</f>
        <v>32</v>
      </c>
      <c r="GT347" t="str">
        <f t="shared" si="774"/>
        <v>QF6</v>
      </c>
      <c r="GU347" t="str">
        <f t="shared" si="775"/>
        <v>QF6</v>
      </c>
      <c r="GV347" t="str">
        <f t="shared" si="776"/>
        <v/>
      </c>
      <c r="GW347">
        <f t="shared" si="777"/>
        <v>0</v>
      </c>
      <c r="GX347" t="str">
        <f>IF(OR(B347="",DJ347=""),"",IFERROR(_xlfn.XLOOKUP(DJ347,Модули_умолч[Управление],Модули_умолч[Модель])&amp;"",""))</f>
        <v/>
      </c>
      <c r="GY347">
        <f>IF(DJ347="",1,IFERROR(MAX(0,N(_xlfn.XLOOKUP(DJ347,Модули_умолч[Управление],Модули_умолч[Каналов на линию]))),1))</f>
        <v>1</v>
      </c>
      <c r="GZ347" t="str">
        <f t="shared" si="778"/>
        <v/>
      </c>
      <c r="HA347" t="str">
        <f t="shared" si="779"/>
        <v/>
      </c>
      <c r="HB347" t="str">
        <f t="shared" si="780"/>
        <v/>
      </c>
      <c r="HC347">
        <f>IF(HB347="",0,IFERROR(N(VLOOKUP(HB347,Модули_спр,3,FALSE)),0))</f>
        <v>0</v>
      </c>
      <c r="HD347" t="str">
        <f t="shared" si="781"/>
        <v/>
      </c>
      <c r="HE347" t="str">
        <f t="shared" si="782"/>
        <v/>
      </c>
      <c r="HF347" t="str">
        <f>IF(OR(HE347="",HE347="-"),"",IFERROR(VLOOKUP(HE347,Модули_спр,2,FALSE),"R"))</f>
        <v/>
      </c>
      <c r="HG347" t="str">
        <f>IF(HF347="","",HF347&amp;"."&amp;COUNTIFS(A$3:A347,A347,HF$3:HF347,HF347))</f>
        <v/>
      </c>
      <c r="HH347" t="str">
        <f t="shared" si="783"/>
        <v/>
      </c>
      <c r="HI347" t="str">
        <f t="shared" si="784"/>
        <v/>
      </c>
      <c r="HJ347" t="str">
        <f t="shared" si="785"/>
        <v/>
      </c>
      <c r="HK347" t="str">
        <f t="shared" si="786"/>
        <v/>
      </c>
      <c r="HL347">
        <f t="shared" si="787"/>
        <v>1</v>
      </c>
      <c r="HM347" t="str">
        <f>IF(HL347=1,"XT"&amp;COUNTIFS(A$3:A347,A347,HL$3:HL347,1),"")</f>
        <v>XT6</v>
      </c>
      <c r="HN347" t="str">
        <f t="shared" si="788"/>
        <v/>
      </c>
      <c r="HO347" t="str">
        <f t="shared" si="789"/>
        <v>QF6</v>
      </c>
      <c r="HP347" t="str">
        <f t="shared" si="790"/>
        <v/>
      </c>
      <c r="HQ347" t="str">
        <f t="shared" si="791"/>
        <v>ok</v>
      </c>
      <c r="HR347" t="str">
        <f>IF(OR(HJ347="",HH347=""),"",IF(HJ347+MAX(0,GY347-1)&gt;IFERROR(VLOOKUP(HI347,Модули_спр,3,FALSE),99),"ЛИШНИЙ КАНАЛ",IF(AND(AL347&lt;&gt;"=",GY347&gt;0,COUNTIFS(Линии[_модуль гр.],HH347,Линии[Канал (итог)],HJ347,Линии[Канал],"&lt;&gt;=",Линии[Щит],A347)&gt;1),"ДУБЛЬ КАНАЛА","")))</f>
        <v/>
      </c>
      <c r="HS347" s="6" t="str">
        <f t="shared" si="792"/>
        <v/>
      </c>
      <c r="HT347">
        <f t="shared" si="793"/>
        <v>10</v>
      </c>
      <c r="HU347" t="str">
        <f t="shared" si="794"/>
        <v/>
      </c>
      <c r="HV347">
        <f t="shared" si="795"/>
        <v>4.5593512078321154</v>
      </c>
      <c r="HW347">
        <f t="shared" si="796"/>
        <v>0</v>
      </c>
      <c r="HX347">
        <f t="shared" si="797"/>
        <v>0</v>
      </c>
      <c r="HY347">
        <f t="shared" si="798"/>
        <v>0</v>
      </c>
      <c r="HZ347">
        <f t="shared" si="799"/>
        <v>0</v>
      </c>
      <c r="IA347">
        <f t="shared" si="800"/>
        <v>0</v>
      </c>
      <c r="IB347">
        <f t="shared" si="801"/>
        <v>0</v>
      </c>
      <c r="IC347" t="str">
        <f t="shared" si="802"/>
        <v/>
      </c>
      <c r="ID347" t="str" cm="1">
        <f t="array" ref="ID347">IF(IC347="","",_xlfn.LET(_xlpm.tk,_xlfn.TEXTSPLIT(SUBSTITUTE(SUBSTITUTE(IC347,";"," "),"→"," ")," ",,TRUE),_xlpm.w_,_xlfn._xlws.FILTER(_xlpm.tk,ISNUMBER(--LEFT(_xlpm.tk,1))*((ISNUMBER(SEARCH("W",_xlpm.tk))+ISNUMBER(SEARCH("Вт",_xlpm.tk)))&gt;0),""),IFERROR(--SUBSTITUTE(SUBSTITUTE(UPPER(INDEX(_xlpm.w_,1)),"W",""),"ВТ",""),"")))</f>
        <v/>
      </c>
      <c r="IE347" t="str" cm="1">
        <f t="array" ref="IE347">IF(IC347="","",_xlfn.LET(_xlpm.tk,_xlfn.TEXTSPLIT(SUBSTITUTE(SUBSTITUTE(IC347,";"," "),"→"," ")," ",,TRUE),_xlpm.v_,_xlfn._xlws.FILTER(_xlpm.tk,ISNUMBER(--LEFT(_xlpm.tk,1))*((ISNUMBER(SEARCH("V",_xlpm.tk))+(RIGHT(UPPER(_xlpm.tk))="В"))&gt;0),""),IFERROR(--SUBSTITUTE(SUBSTITUTE(UPPER(INDEX(_xlpm.v_,1)),"V",""),"В",""),"")))</f>
        <v/>
      </c>
      <c r="IF347" s="6" t="str">
        <f>IF(OR(BV347=0,HI347="",HJ347=""),"",IFERROR(N(_xlfn.XLOOKUP(HI347,Каталог!$C$4:$C$500,Каталог!$Q$4:$Q$500)),""))</f>
        <v/>
      </c>
      <c r="IG347" s="6" t="str">
        <f>IF(N(IF347)=0,"",SUMIFS(Линии[Iр, А],Линии[Щит],A347,Линии[_модуль гр.],HH347,Линии[Канал (итог)],HJ347))</f>
        <v/>
      </c>
      <c r="IH347" t="str">
        <f>IF(AND(B347="",HO347=""),"",_xlfn.TEXTJOIN("; ",TRUE,IF(AND(B347&lt;&gt;"",FV347=""),"нет фазы",""),IF(AND(B347&lt;&gt;"",N(GL347)=0,FG347&lt;&gt;"Нет"),"нет мощности",""),IF(AND(HN347&lt;&gt;"",COUNTIFS(Линии[Щит],A347,Линии[Клемма (итог)],HN347)&gt;1),"дубль клеммы "&amp;HN347,""),IF(AND(HQ347&lt;&gt;"",HQ347&lt;&gt;"ok"),HQ347,""),IF(HR347&lt;&gt;"",HR347,""),IF(AND(N(CB347)&gt;=4,N(BX347)=1),CB347&amp;" жил на 1 фазе",""),IF(AND(BC347="R",CG347=1,IF(CS347&lt;&gt;"",N(CV347)&gt;30,OR(N(DA347)=0,N(DA347)&gt;30))),"розетка без дифзащиты до 30 мА",""),IF(AND(CG347=1,N(DA347)&gt;0,ISNUMBER(T347)),IF(T347&gt;N(DA347)/3,"ток утечки "&amp;FIXED(T347,1)&amp;" мА &gt; 1/3 уставки ("&amp;DA347&amp;" мА)",""),""),IF(AND(CH347=1,CS347=""),"«узо»: нет строки с УЗО выше (УЗО 2P 40А 30мА в «Аппаратах»)",""),IF(AND(CS347&lt;&gt;"",CS347=BA347),IF(CT347="","впишите номинал УЗО (УЗО 2P 40А 30мА)",IF(N(CT347)&lt;N(DT347),"УЗО "&amp;CT347&amp;" А &lt; автомата "&amp;DT347&amp;" А перед ним",IF(N(CT347)&lt;N(CX347),"УЗО "&amp;CT347&amp;" А &lt; тока блока "&amp;FIXED(CX347,1)&amp;" А",""))),""),IF(AND(CS347&lt;&gt;"",CS347=BA347,ISNUMBER(CY347)),IF(CY347&gt;N(CV347)/3,"ток утечки блока УЗО "&amp;FIXED(CY347,1)&amp;" мА &gt; 1/3 уставки ("&amp;CV347&amp;" мА)",""),""),IF(AND(CG347=1,N(BV347)+N(IB347)&gt;0,IC347=""),"линии до 50 В без БП: впишите в «Аппараты» (БП 24V 480W)",""),IF(AND(CG347=1,ISNUMBER(ID347),ISNUMBER(U347)),IF(U347&gt;ID347,"БП "&amp;ID347&amp;" Вт &lt; нужно "&amp;U347&amp;" Вт (×"&amp;Запас_БП&amp;")",""),""),IF(AND(CG347=1,ISNUMBER(IE347),N(BV347)=1),IF(IE347&lt;&gt;N(BU347),"БП на "&amp;IE347&amp;" В, линия "&amp;BU347&amp;" В",""),""),IF(AND(N(IF347)&gt;0,N(IG347)&gt;N(IF347)),HH347&amp;" канал "&amp;HJ347&amp;": "&amp;FIXED(IG347,1)&amp;" А &gt; "&amp;IF347&amp;" А",""),IFERROR(IF(AND(ISNUMBER(Q347),Q347&gt;EL347),"потери "&amp;FIXED(Q347,1)&amp;" % &gt; "&amp;EL347&amp;" %",""),""),IFERROR(IF(LEFT(HU347,4)="мало","Iкз мало — отключение &gt; 0,4 с",""),""),IF(AND(B347&lt;&gt;"",BM347=""),"не на схеме",""),IF(AND(CG347=0,B347&lt;&gt;"",FV347&lt;&gt;"",IF(BA347=1,"",FW346)&lt;&gt;"",FV347&lt;&gt;IF(BA347=1,"",FW346)),"фаза не как у автомата группы ("&amp;IF(BA347=1,"",FW346)&amp;")","")))</f>
        <v>потери 6,1 % &gt; 4 %</v>
      </c>
      <c r="II347" s="6">
        <f>IF(OR(CG347=0,DQ347=""),"",_xlfn.LET(_xlpm.t,IFERROR(_xlfn.XLOOKUP(DQ347,Каталог!$U$4:$U$500,Каталог!$G$4:$G$500),""),_xlpm.k,SEARCH("кА",_xlpm.t),IFERROR(--TRIM(RIGHT(SUBSTITUTE(MID(_xlpm.t,MAX(1,_xlpm.k-4),_xlpm.k-MAX(1,_xlpm.k-4))," ",REPT(" ",9)),5)),"")))</f>
        <v>6</v>
      </c>
      <c r="IJ347" t="str">
        <f>IF(OR(II347="",CG347=0),"",IF(_xlfn.XLOOKUP(A347,Щиты[Щит],Щиты[Iкз max на шинах, кА],"")="","",IF(II347&lt;_xlfn.XLOOKUP(A347,Щиты[Щит],Щиты[Iкз max на шинах, кА]),"Icu "&amp;II347&amp;" кА &lt; Iкз max","ok")))</f>
        <v/>
      </c>
      <c r="IK347" t="str">
        <f t="shared" si="803"/>
        <v/>
      </c>
      <c r="IL347" t="str">
        <f t="shared" si="804"/>
        <v>QF6</v>
      </c>
      <c r="IM347" t="str">
        <f t="shared" si="805"/>
        <v>QF6|кабель ВВГнг(А)-LS (3х4) → Обогревл ливнестоков Второй этаж</v>
      </c>
      <c r="IN347" t="str" cm="1">
        <f t="array" ref="IN347">IF(IM347="","",_xlfn.LET(_xlpm.nd,_xlfn.TEXTSPLIT(IM347,"|"),IF(COLUMNS(_xlpm.nd)&gt;1,A347&amp;"¦"&amp;INDEX(_xlpm.nd,1)&amp;"¦"&amp;INDEX(_xlpm.nd,2),"")))</f>
        <v>ЩУОВ¦QF6¦кабель ВВГнг(А)-LS (3х4) → Обогревл ливнестоков Второй этаж</v>
      </c>
      <c r="IO347" t="str">
        <f t="shared" si="806"/>
        <v>OV.2.1.2¦Обогревл ливнестоков Второй этаж</v>
      </c>
      <c r="IP347" t="str" cm="1">
        <f t="array" ref="IP347">IF(IM347="","",_xlfn.LET(_xlpm.nd,_xlfn.TEXTSPLIT(IM347,"|"),IF(COLUMNS(_xlpm.nd)&gt;2,A347&amp;"¦"&amp;INDEX(_xlpm.nd,2)&amp;"¦"&amp;INDEX(_xlpm.nd,3),"")))</f>
        <v/>
      </c>
      <c r="IQ347" t="str">
        <f t="shared" si="807"/>
        <v/>
      </c>
      <c r="IR347" t="str" cm="1">
        <f t="array" ref="IR347">IF(IM347="","",_xlfn.LET(_xlpm.nd,_xlfn.TEXTSPLIT(IM347,"|"),IF(COLUMNS(_xlpm.nd)&gt;3,A347&amp;"¦"&amp;INDEX(_xlpm.nd,3)&amp;"¦"&amp;INDEX(_xlpm.nd,4),"")))</f>
        <v/>
      </c>
      <c r="IS347" t="str">
        <f t="shared" si="808"/>
        <v/>
      </c>
      <c r="IT347" t="str" cm="1">
        <f t="array" ref="IT347">IF(IM347="","",_xlfn.LET(_xlpm.nd,_xlfn.TEXTSPLIT(IM347,"|"),IF(COLUMNS(_xlpm.nd)&gt;4,A347&amp;"¦"&amp;INDEX(_xlpm.nd,4)&amp;"¦"&amp;INDEX(_xlpm.nd,5),"")))</f>
        <v/>
      </c>
      <c r="IU347" t="str">
        <f t="shared" si="809"/>
        <v/>
      </c>
      <c r="IV347" t="str" cm="1">
        <f t="array" ref="IV347">IF(IM347="","",_xlfn.LET(_xlpm.nd,_xlfn.TEXTSPLIT(IM347,"|"),IF(COLUMNS(_xlpm.nd)&gt;5,A347&amp;"¦"&amp;INDEX(_xlpm.nd,5)&amp;"¦"&amp;INDEX(_xlpm.nd,6),"")))</f>
        <v/>
      </c>
      <c r="IW347" t="str">
        <f t="shared" si="810"/>
        <v/>
      </c>
      <c r="IX347" t="str" cm="1">
        <f t="array" ref="IX347">IF(IM347="","",_xlfn.LET(_xlpm.nd,_xlfn.TEXTSPLIT(IM347,"|"),IF(COLUMNS(_xlpm.nd)&gt;6,A347&amp;"¦"&amp;INDEX(_xlpm.nd,6)&amp;"¦"&amp;INDEX(_xlpm.nd,7),"")))</f>
        <v/>
      </c>
      <c r="IY347" t="str">
        <f t="shared" si="811"/>
        <v/>
      </c>
      <c r="IZ347" t="str">
        <f t="shared" si="812"/>
        <v/>
      </c>
      <c r="JA347" t="str">
        <f t="shared" si="813"/>
        <v>QF6</v>
      </c>
      <c r="JB347">
        <f t="shared" si="814"/>
        <v>0</v>
      </c>
      <c r="JC347">
        <f t="shared" si="815"/>
        <v>0</v>
      </c>
      <c r="JD347" t="str">
        <f t="shared" si="816"/>
        <v/>
      </c>
      <c r="JE347" t="str">
        <f t="shared" si="817"/>
        <v/>
      </c>
      <c r="JF347" t="str">
        <f t="shared" si="818"/>
        <v/>
      </c>
      <c r="JG347" t="str">
        <f t="shared" si="819"/>
        <v/>
      </c>
      <c r="JH347" t="str">
        <f>IF(B347="","",IFERROR(_xlfn.XLOOKUP(B347,Коды_код,Коды_уго),IFERROR(_xlfn.XLOOKUP(BC347,Коды_код,Коды_уго),IFERROR(_xlfn.XLOOKUP(LEFT(BC347,2),Коды_код,Коды_уго),""))))</f>
        <v/>
      </c>
      <c r="JI347" t="str">
        <f>IF(B347="","",IF(OR(JH347="",JH347=0),"BOX",IFERROR(IF(VLOOKUP(JH347,УГО_блоки,3,FALSE)&amp;""&lt;&gt;"",VLOOKUP(JH347,УГО_блоки,3,FALSE),VLOOKUP(JH347,УГО_блоки,2,FALSE)),JH347)))</f>
        <v>BOX</v>
      </c>
      <c r="JJ347">
        <f t="shared" si="820"/>
        <v>1</v>
      </c>
      <c r="JK347" t="str">
        <f>IF(DQ347="","",IF(COUNTIF(DQ$3:DQ347,DQ347)=1,MAX(JK$2:JK346)+1,""))</f>
        <v/>
      </c>
      <c r="JL347" t="str">
        <f>IF(DE347="","",IF(COUNTIF(DE$3:DE347,DE347)+COUNTIF(DF$2:DF346,DE347)+COUNTIF(DG$2:DG346,DE347)=1,MAX(JL$2:JN346)+1,""))</f>
        <v/>
      </c>
      <c r="JM347" t="str">
        <f>IF(DF347="","",IF(COUNTIF(DE$3:DE347,DF347)+COUNTIF(DF$3:DF347,DF347)+COUNTIF(DG$2:DG346,DF347)=1,MAX(JL$2:JN346,JL347)+1,""))</f>
        <v/>
      </c>
      <c r="JN347" t="str">
        <f>IF(DG347="","",IF(COUNTIF(DE$3:DE347,DG347)+COUNTIF(DF$3:DF347,DG347)+COUNTIF(DG$3:DG347,DG347)=1,MAX(JL$2:JN346,JL347,JM347)+1,""))</f>
        <v/>
      </c>
      <c r="JO347" t="str">
        <f t="shared" si="821"/>
        <v>3х4</v>
      </c>
      <c r="JP347" t="str">
        <f>IF(JO347="","",IF(COUNTIF(JO$3:JO347,JO347)=1,MAX(JP$2:JP346)+1,""))</f>
        <v/>
      </c>
      <c r="JQ347" t="str">
        <f>IF(HG347="","",COUNTIF(HG$3:HG347,"?*"))</f>
        <v/>
      </c>
      <c r="JR347" t="str">
        <f>IF(OR(HG347="",HI347=""),"",IF(COUNTIFS(HG$3:HG347,"?*",HI$3:HI347,HI347)=1,MAX(JR$2:JR346)+1,""))</f>
        <v/>
      </c>
      <c r="JS347">
        <f t="shared" si="822"/>
        <v>1</v>
      </c>
      <c r="JT347">
        <f>IF(B347="","",COUNTIF(B$3:B347,"?*"))</f>
        <v>345</v>
      </c>
      <c r="JU347">
        <f>IF(HL347&lt;&gt;1,0,_xlfn.LET(_xlpm.k,MAX(IFERROR(--_xlfn.XLOOKUP(B347,Коды_код,Коды_3L),0),IFERROR(--_xlfn.XLOOKUP(BC347,Коды_код,Коды_3L),0),IFERROR(--_xlfn.XLOOKUP(LEFT(BC347,2),Коды_код,Коды_3L),0)),IF(_xlpm.k&gt;0,_xlpm.k,IF(IFERROR(--LEFT(SUBSTITUTE(JO347,"x","х"),FIND("х",SUBSTITUTE(JO347,"x","х"))-1),3)&gt;3,Каталог!$S$9,1))))</f>
        <v>1</v>
      </c>
      <c r="JV347">
        <f t="shared" si="823"/>
        <v>0</v>
      </c>
      <c r="JW347" t="str">
        <f t="shared" si="824"/>
        <v>авто</v>
      </c>
      <c r="JX347" t="str">
        <f t="shared" si="825"/>
        <v/>
      </c>
      <c r="JY347">
        <f t="shared" si="826"/>
        <v>0</v>
      </c>
      <c r="JZ347">
        <f t="shared" si="827"/>
        <v>1</v>
      </c>
    </row>
    <row r="348" spans="1:286" x14ac:dyDescent="0.3">
      <c r="A348" t="s">
        <v>769</v>
      </c>
      <c r="B348" t="s">
        <v>1646</v>
      </c>
      <c r="C348" t="s">
        <v>1738</v>
      </c>
      <c r="D348">
        <v>2</v>
      </c>
      <c r="E348">
        <v>0.66</v>
      </c>
      <c r="G348">
        <v>16</v>
      </c>
      <c r="H348" t="str">
        <f>Линии[[#This Row],[_авто управление]]</f>
        <v/>
      </c>
      <c r="I348" t="str">
        <f>Линии[[#This Row],[_авто аппараты]]</f>
        <v/>
      </c>
      <c r="J348">
        <v>2.5</v>
      </c>
      <c r="K348">
        <v>44</v>
      </c>
      <c r="L348">
        <v>3</v>
      </c>
      <c r="M348" t="s">
        <v>484</v>
      </c>
      <c r="N348" t="str">
        <f t="shared" si="690"/>
        <v/>
      </c>
      <c r="O348" s="6" cm="1">
        <f t="array" ref="O348">IF(B348="","",IF(BH348&lt;&gt;"",IFERROR(_xlfn.XLOOKUP(BH348,Щиты[Щит],Щиты[Iр, А]),""),IF(BP348=1,IF(OR(N(_xlfn.XLOOKUP(A348,Щиты[Щит],Щиты[Вводов],1))&lt;=1,LOWER(TRIM(_xlfn.XLOOKUP(A348,Щиты[Щит],Щиты[АВР],"")&amp;""))="да"),IFERROR(_xlfn.XLOOKUP(A348,Щиты[Щит],Щиты[Iр, А]),""),IFERROR(N(BS348)*_xlfn.XLOOKUP(A348,Щиты[Щит],Щиты[Кс итог])/(SQRT(3)*Uн_лин*_xlfn.XLOOKUP(A348,Щиты[Щит],Щиты[cos φ])),"")),IF(BV348=1,IFERROR(BS348*1000/BU348,""),IFERROR(_xlfn.IFS(BX348=1,BS348/((Uн_лин/SQRT(3))*CE348),BX348=3,BS348/(SQRT(3)*Uн_лин*CE348)),"")))))</f>
        <v>3.0082987710406814</v>
      </c>
      <c r="P348" s="7">
        <f>IF(B348="","",IFERROR(IF(VLOOKUP(BC348,Потребители_обозначение,4,FALSE)=1,VLOOKUP(BC348,Потребители_обозначение,3,FALSE)*(MAX(1,N(D348))*2-1)+EI348+VLOOKUP(BE348,Этаж_обозначение,3,FALSE)+VLOOKUP(BE348,Этаж_обозначение,4,FALSE),VLOOKUP(BC348,Потребители_обозначение,3,FALSE)*(MAX(1,N(D348))*2-1)+EI348),EI348))</f>
        <v>44</v>
      </c>
      <c r="Q348" s="6">
        <f t="shared" si="691"/>
        <v>3.4799999999999995</v>
      </c>
      <c r="R348" t="str">
        <f t="shared" si="692"/>
        <v>ВВГнг(А)-LS (3х2,5)</v>
      </c>
      <c r="S348" t="str">
        <f>IF(BM348="","",IF(BN348="вводной узел","узел ","")&amp;"л."&amp;(INT((BM348-1)/Столбцов_на_лист)+1)&amp;" / "&amp;(MOD(BM348-1,Столбцов_на_лист)+1))</f>
        <v>л.2 / 6</v>
      </c>
      <c r="T348" s="119">
        <f t="shared" si="693"/>
        <v>1.6</v>
      </c>
      <c r="U348" s="7" t="str">
        <f>IF(OR(CG348=0,N(BV348)+N(IB348)=0),"",ROUNDUP(Запас_БП*(N(HY348)+N(HZ348)),0))</f>
        <v/>
      </c>
      <c r="V348" s="119" t="str">
        <f t="shared" si="694"/>
        <v/>
      </c>
      <c r="W348" s="7" t="str">
        <f>IFERROR(IF(OR(B348="",BP348=1,BV348=1,NOT(ISNUMBER(EN348)),N(DT348)=0),"",MAX(0,ROUNDDOWN((c_min*(Uн_лин*1000/SQRT(3))/(HT348*N(DT348))-_xlfn.XLOOKUP(A348,Щиты[Щит],Щиты[Zпетли на шинах, Ом]))*EN348/(2*ρкз_Cu),0))),"")</f>
        <v/>
      </c>
      <c r="Y348" t="str">
        <f>Линии[[#This Row],[_авто утечка]]</f>
        <v/>
      </c>
      <c r="Z348">
        <v>1</v>
      </c>
      <c r="AA348">
        <v>230</v>
      </c>
      <c r="AB348" t="s">
        <v>573</v>
      </c>
      <c r="AG348" t="s">
        <v>810</v>
      </c>
      <c r="AI348" t="s">
        <v>609</v>
      </c>
      <c r="AK348" t="str">
        <f>Линии[[#This Row],[_авто модуль]]</f>
        <v/>
      </c>
      <c r="AM348">
        <v>23</v>
      </c>
      <c r="AN348" t="s">
        <v>11</v>
      </c>
      <c r="AO348">
        <v>3</v>
      </c>
      <c r="AQ348">
        <v>7</v>
      </c>
      <c r="AR348">
        <v>24</v>
      </c>
      <c r="AS348">
        <v>13</v>
      </c>
      <c r="AT348">
        <v>1</v>
      </c>
      <c r="BA348" cm="1">
        <f t="array" ref="BA348">ROW()-ROW(Линии[#Headers])</f>
        <v>346</v>
      </c>
      <c r="BC348" s="6" t="str">
        <f t="shared" si="695"/>
        <v>OV</v>
      </c>
      <c r="BD348" t="str">
        <f t="shared" si="696"/>
        <v>2.1.3</v>
      </c>
      <c r="BE348" t="str">
        <f t="shared" si="697"/>
        <v>2</v>
      </c>
      <c r="BF348" t="str">
        <f t="shared" si="698"/>
        <v>1.3</v>
      </c>
      <c r="BG348" t="str">
        <f t="shared" si="699"/>
        <v>1</v>
      </c>
      <c r="BH348" t="str">
        <f>IF(X348&lt;&gt;"",X348,IF(AND(B348&lt;&gt;"",B348&lt;&gt;A348,ISNUMBER(_xlfn.XMATCH(B348,Щиты[Щит]))),B348,""))</f>
        <v/>
      </c>
      <c r="BI348" t="str" cm="1">
        <f t="array" ref="BI348">IF(B348="","",IF(BH348&lt;&gt;"","Щит "&amp;BH348,_xlfn.LET(_xlpm.nm,IFERROR(_xlfn.XLOOKUP(BC348,Коды_код,Коды_имя)&amp;"",""),_xlpm.md,IFERROR(N(_xlfn.XLOOKUP(BC348,Коды_код,Коды_режим)),1),_xlpm.ex,IF(Имя_режим="по экспликации",IFERROR(_xlfn.XLOOKUP(BE348&amp;"|"&amp;BG348,Экспликация[Этаж]&amp;"|"&amp;Экспликация[Помещение],Экспликация[Название])&amp;"",""),""),_xlpm.rm,IF(BG348="","",IF(_xlpm.ex&lt;&gt;"",". "&amp;_xlpm.ex&amp;IF(Имя_пом="нет"," ("&amp;BG348&amp;")"," (пом. "&amp;BG348&amp;")"),IF(Имя_пом="нет"," ",", пом. ")&amp;BG348)),IF(_xlpm.nm="","",IF(_xlpm.md=2,_xlpm.nm&amp;" шлейф "&amp;BE348,_xlpm.nm&amp;_xlpm.rm)))))</f>
        <v/>
      </c>
      <c r="BJ348" t="str">
        <f t="shared" si="700"/>
        <v>Обогревл ливнестоков Второй этаж</v>
      </c>
      <c r="BK348">
        <f>IFERROR(_xlfn.XMATCH(A348,Щиты[Щит]),0)</f>
        <v>17</v>
      </c>
      <c r="BL348">
        <f>_xlfn.LET(_xlpm.k,IFERROR(_xlfn.XLOOKUP(A348,Щиты[Щит],Щиты[Мест под вводной узел]),""),IF(_xlpm.k="",Столбцов_на_лист,N(_xlpm.k)))</f>
        <v>10</v>
      </c>
      <c r="BM348">
        <f t="shared" si="701"/>
        <v>23</v>
      </c>
      <c r="BN348" t="str">
        <f t="shared" si="702"/>
        <v>линии</v>
      </c>
      <c r="BO348" s="6">
        <f>IFERROR(N(_xlfn.XLOOKUP(BC348,Коды_код,Коды_квт)),0)</f>
        <v>0</v>
      </c>
      <c r="BP348">
        <f t="shared" si="703"/>
        <v>0</v>
      </c>
      <c r="BQ348" t="str">
        <f>IF(B348="","",IF(BH348&lt;&gt;"",IFERROR(_xlfn.XLOOKUP(BH348,Щиты[Щит],Щиты[Руст, кВт]),0),IF(BP348=1,IF(OR(N(_xlfn.XLOOKUP(A348,Щиты[Щит],Щиты[Вводов],1))&lt;=1,LOWER(TRIM(_xlfn.XLOOKUP(A348,Щиты[Щит],Щиты[АВР],"")&amp;""))="да"),IFERROR(_xlfn.XLOOKUP(A348,Щиты[Щит],Щиты[Руст, кВт]),0),SUMIFS(Линии[_Р для вводов],Линии[Щит],A348,Линии[Источник для режимов],GF348)),IF(BO348&gt;0,ROUND(BO348*MAX(1,N(D348)),3),""))))</f>
        <v/>
      </c>
      <c r="BR348">
        <f t="shared" si="704"/>
        <v>0.66</v>
      </c>
      <c r="BS348" s="6">
        <f>IF(B348="","",IF(BH348&lt;&gt;"",IFERROR(_xlfn.XLOOKUP(BH348,Щиты[Щит],Щиты[Руст, кВт]),0),N(BR348)))</f>
        <v>0.66</v>
      </c>
      <c r="BT348" t="str">
        <f>IF(B348="","",IFERROR(IF(VLOOKUP(BC348,Потребители_обозначение,8,FALSE)=0,"",VLOOKUP(BC348,Потребители_обозначение,8,FALSE)),""))</f>
        <v/>
      </c>
      <c r="BU348">
        <f t="shared" si="705"/>
        <v>230</v>
      </c>
      <c r="BV348">
        <f t="shared" si="706"/>
        <v>0</v>
      </c>
      <c r="BW348">
        <f>IF(B348="","",IF(BH348&lt;&gt;"",3,IFERROR(IF(N(VLOOKUP(BC348,Потребители_обозначение,9,FALSE))=0,1,VLOOKUP(BC348,Потребители_обозначение,9,FALSE)),1)))</f>
        <v>1</v>
      </c>
      <c r="BX348">
        <f t="shared" si="707"/>
        <v>1</v>
      </c>
      <c r="BY348" t="str">
        <f>IF(B348="","",_xlfn.LET(_xlpm.bc,IFERROR(IF(VLOOKUP(BC348,Потребители_обозначение,6,FALSE)=0,"",VLOOKUP(BC348,Потребители_обозначение,6,FALSE)&amp;""),""),IF(AND(GA348="да",OR(_xlpm.bc="",_xlpm.bc="мс")),Марка_пож,IF(AND(_xlpm.bc="",BH348&lt;&gt;""),"мс",_xlpm.bc))))</f>
        <v/>
      </c>
      <c r="BZ348" t="str">
        <f t="shared" si="708"/>
        <v>мс</v>
      </c>
      <c r="CA348">
        <f>IF(B348="","",_xlfn.LET(_xlpm.cc,IFERROR(N(VLOOKUP(BC348,Потребители_обозначение,7,FALSE)),0),IF(_xlpm.cc&gt;0,_xlpm.cc,IF(BZ348="","",IF(BV348=1,2,IF(N(BX348)=3,5,3))))))</f>
        <v>3</v>
      </c>
      <c r="CB348">
        <f t="shared" si="709"/>
        <v>3</v>
      </c>
      <c r="CC348">
        <f>IFERROR(N(VLOOKUP(BC348,Потребители_обозначение,10,FALSE)),0)</f>
        <v>0</v>
      </c>
      <c r="CD348">
        <f>IFERROR(VLOOKUP(BC348,Потребители_обозначение,5,FALSE),0)</f>
        <v>0</v>
      </c>
      <c r="CE348" s="6" cm="1">
        <f t="array" ref="CE348">IF(B348="","",IF(BH348&lt;&gt;"",IFERROR(_xlfn.XLOOKUP(BH348,Щиты[Щит],Щиты[cos φ]),0.95),IF(BP348=1,IFERROR(_xlfn.XLOOKUP(A348,Щиты[Щит],Щиты[cos φ]),0.95),IF(ISNUMBER(AD348),AD348,IFERROR(IF(CD348=2,_xlfn.IFS(BX348=3,VLOOKUP(BS348,Справочная_двигатели,8,FALSE),BX348=1,VLOOKUP(BS348,Справочная_двигатели,10,TRUE)),IF(AND(Методика="нормы 2026",FG348="Сил"),0.8,0.95)),0.95)))))</f>
        <v>0.95</v>
      </c>
      <c r="CF348">
        <f t="shared" si="710"/>
        <v>0</v>
      </c>
      <c r="CG348">
        <f t="shared" si="711"/>
        <v>1</v>
      </c>
      <c r="CH348">
        <f t="shared" si="712"/>
        <v>0</v>
      </c>
      <c r="CI348">
        <f>IF(B348="","",IF(BV348=1,IFERROR(BS348/((Uн_лин/SQRT(3))*MAX(0.5,N(CE348))),0),N(O348)))</f>
        <v>3.0082987710406814</v>
      </c>
      <c r="CJ348">
        <f t="shared" si="713"/>
        <v>0</v>
      </c>
      <c r="CK348">
        <f t="shared" si="714"/>
        <v>0</v>
      </c>
      <c r="CL348">
        <f t="shared" si="715"/>
        <v>0</v>
      </c>
      <c r="CM348">
        <f t="shared" si="716"/>
        <v>0</v>
      </c>
      <c r="CN348">
        <f t="shared" si="717"/>
        <v>0</v>
      </c>
      <c r="CO348">
        <f>IF(BC348="",0,_xlfn.LET(_xlpm.v,IFERROR(_xlfn.XLOOKUP(B348,Коды_код,Коды_мА),IFERROR(_xlfn.XLOOKUP(BC348,Коды_код,Коды_мА),IFERROR(_xlfn.XLOOKUP(LEFT(BC348,2),Коды_код,Коды_мА),""))),IF(_xlpm.v="да",30,IF(ISNUMBER(_xlpm.v),_xlpm.v,0))))</f>
        <v>0</v>
      </c>
      <c r="CP348" t="str">
        <f t="shared" si="718"/>
        <v/>
      </c>
      <c r="CQ348" t="str">
        <f>_xlfn.LET(_xlpm.k,IFERROR(_xlfn.XLOOKUP(BC348,Коды_код,Коды_утечка)&amp;"",""),IF(_xlpm.k="","дифавтомат",_xlpm.k))</f>
        <v>дифавтомат</v>
      </c>
      <c r="CR348" t="str" cm="1">
        <f t="array" ref="CR348">IF(CG348=0,"",_xlfn.LET(_xlpm.sg,TRIM(_xlfn.TEXTSPLIT(DD348&amp;"",";")),_xlpm.f_,_xlfn._xlws.FILTER(_xlpm.sg,LEFT(_xlpm.sg,3)="УЗО",""),IFERROR(INDEX(_xlpm.f_,1)&amp;"","")))</f>
        <v/>
      </c>
      <c r="CS348" t="str">
        <f t="shared" si="719"/>
        <v/>
      </c>
      <c r="CT348" s="6" t="str" cm="1">
        <f t="array" ref="CT348">IF(CR348="","",_xlfn.LET(_xlpm.tk,_xlfn.TEXTSPLIT(UPPER(CR348)," ",,TRUE),_xlpm.a_,_xlfn._xlws.FILTER(_xlpm.tk,ISNUMBER(--LEFT(_xlpm.tk,1))*((ISNUMBER(SEARCH("А",_xlpm.tk))+ISNUMBER(SEARCH("A",_xlpm.tk)))&gt;0)*NOT(ISNUMBER(SEARCH("МА",_xlpm.tk)))*NOT(ISNUMBER(SEARCH("MA",_xlpm.tk))),""),IFERROR(--SUBSTITUTE(SUBSTITUTE(INDEX(_xlpm.a_,1),"А",""),"A",""),"")))</f>
        <v/>
      </c>
      <c r="CU348" t="str" cm="1">
        <f t="array" ref="CU348">IF(CR348="","",_xlfn.LET(_xlpm.tk,_xlfn.TEXTSPLIT(UPPER(CR348)," ",,TRUE),_xlpm.a_,_xlfn._xlws.FILTER(_xlpm.tk,ISNUMBER(--LEFT(_xlpm.tk,1))*((ISNUMBER(SEARCH("МА",_xlpm.tk))+ISNUMBER(SEARCH("MA",_xlpm.tk)))&gt;0),""),IFERROR(--SUBSTITUTE(SUBSTITUTE(INDEX(_xlpm.a_,1),"МА",""),"MA",""),30)))</f>
        <v/>
      </c>
      <c r="CV348" t="str">
        <f>IF(CS348="","",IFERROR(_xlfn.XLOOKUP(CS348,Линии[_n],Линии[_УЗО, мА]),30))</f>
        <v/>
      </c>
      <c r="CW348">
        <f>IF(CS348="",0,IF(ISNUMBER(SEARCH("4P",IFERROR(_xlfn.XLOOKUP(CS348,Линии[_n],Линии[_УЗО строки])&amp;"",""))),0,1))</f>
        <v>0</v>
      </c>
      <c r="CX348" t="str">
        <f>IF(AND(CS348&lt;&gt;"",CS348=BA348),SUMIFS(Линии[_ток на 230 В],Линии[_блок УЗО],BA348,Линии[Щит],A348),"")</f>
        <v/>
      </c>
      <c r="CY348" t="str">
        <f>IF(AND(CS348&lt;&gt;"",CS348=BA348),SUMIFS(Линии[_ток утечки линии, мА],Линии[_блок УЗО],BA348,Линии[Щит],A348),"")</f>
        <v/>
      </c>
      <c r="CZ348">
        <f t="shared" si="720"/>
        <v>0</v>
      </c>
      <c r="DA348">
        <f t="shared" si="721"/>
        <v>0</v>
      </c>
      <c r="DB348">
        <f>IF(B348="",0,IFERROR(--_xlfn.XLOOKUP(B348,Коды_код,Коды_минавт),IFERROR(--_xlfn.XLOOKUP(BC348,Коды_код,Коды_минавт),IFERROR(--_xlfn.XLOOKUP(LEFT(BC348,2),Коды_код,Коды_минавт),0))))</f>
        <v>0</v>
      </c>
      <c r="DC348" t="str">
        <f>IF(B348="","",IFERROR(_xlfn.XLOOKUP(BC348,Коды_код,Коды_апп)&amp;"",""))</f>
        <v/>
      </c>
      <c r="DD348" t="str">
        <f t="shared" si="722"/>
        <v/>
      </c>
      <c r="DE348" t="str" cm="1">
        <f t="array" ref="DE348">IF(TRIM(DD348&amp;"")="","",IFERROR(TRIM(INDEX(_xlfn.TEXTSPLIT(DD348&amp;";;;",";"),1)),""))</f>
        <v/>
      </c>
      <c r="DF348" t="str" cm="1">
        <f t="array" ref="DF348">IF(TRIM(DD348&amp;"")="","",IFERROR(TRIM(INDEX(_xlfn.TEXTSPLIT(DD348&amp;";;;",";"),2)),""))</f>
        <v/>
      </c>
      <c r="DG348" t="str" cm="1">
        <f t="array" ref="DG348">IF(TRIM(DD348&amp;"")="","",IFERROR(TRIM(INDEX(_xlfn.TEXTSPLIT(DD348&amp;";;;",";"),3)),""))</f>
        <v/>
      </c>
      <c r="DH348">
        <f t="shared" si="723"/>
        <v>0</v>
      </c>
      <c r="DI348" t="str">
        <f>IF(B348="","",_xlfn.LET(_xlpm.t,LOWER(AZ348&amp;""),IF(ISNUMBER(SEARCH("dim",_xlpm.t)),"DIM",IF(ISNUMBER(SEARCH("dali",_xlpm.t)),"DALI",IF(OR(ISNUMBER(SEARCH("relay",_xlpm.t)),ISNUMBER(SEARCH("реле",_xlpm.t))),"Relay",IF(ISNUMBER(SEARCH("кнопк",_xlpm.t)),"",IFERROR(_xlfn.XLOOKUP(BC348,Коды_код,Коды_упр)&amp;"","")))))))</f>
        <v/>
      </c>
      <c r="DJ348" t="str">
        <f t="shared" si="724"/>
        <v/>
      </c>
      <c r="DK348">
        <f>IF(B348="","",_xlfn.LET(_xlpm.ig,IF(N(CX348)&gt;0,N(CX348),N(CI348)+IF(AJ348="вручную",0,N(CJ348))),_xlpm.n0,IFERROR(VLOOKUP(_xlpm.ig,Автомат_номиналы,2,TRUE),0),_xlpm.mn,MAX(DB348,IF(AJ348="вручную",0,N(CM348))),MAX(_xlpm.n0,_xlpm.mn,IF(DH348=1,Мин_автомат_БП,0))))</f>
        <v>6</v>
      </c>
      <c r="DL348">
        <f t="shared" si="725"/>
        <v>1</v>
      </c>
      <c r="DM348" t="str">
        <f t="shared" si="726"/>
        <v>1P</v>
      </c>
      <c r="DN348" t="str">
        <f>_xlfn.LET(_xlpm.cc,UPPER(TRIM(IFERROR(_xlfn.XLOOKUP(BC348,Коды_код,Коды_хар)&amp;"",""))),IF(OR(_xlpm.cc="B",_xlpm.cc="В"),"B",IF(_xlpm.cc="D","D","С")))</f>
        <v>С</v>
      </c>
      <c r="DO348" t="str">
        <f t="shared" si="727"/>
        <v>1P С6А</v>
      </c>
      <c r="DP348">
        <f t="shared" si="728"/>
        <v>16</v>
      </c>
      <c r="DQ348" t="str">
        <f t="shared" si="729"/>
        <v>1P С16А</v>
      </c>
      <c r="DR348" cm="1">
        <f t="array" ref="DR348">IF(DQ348="","",_xlfn.LET(_xlpm.t,SUBSTITUTE(SUBSTITUTE(SUBSTITUTE(UPPER(DQ348),"С","C"),"А","A"),"В","B"),_xlpm.tk,_xlfn.TEXTSPLIT(_xlpm.t," "),_xlpm.f,_xlfn._xlws.FILTER(_xlpm.tk,ISNUMBER(--MID(_xlpm.tk,2,1))*ISNUMBER(SEARCH(LEFT(_xlpm.tk,1)&amp;"#","B#C#D#"))*(LEN(_xlpm.tk)&gt;1),""),_xlpm.x,INDEX(_xlpm.f,1),IFERROR(--SUBSTITUTE(MID(_xlpm.x,2,9),"A",""),IFERROR(--SUBSTITUTE(INDEX(_xlfn._xlws.FILTER(_xlpm.tk,ISNUMBER(--SUBSTITUTE(_xlpm.tk,"A","")),""),1),"A",""),""))))</f>
        <v>16</v>
      </c>
      <c r="DS348" t="str">
        <f t="shared" si="730"/>
        <v>ok</v>
      </c>
      <c r="DT348">
        <f t="shared" si="731"/>
        <v>16</v>
      </c>
      <c r="DU348" t="str">
        <f t="shared" si="732"/>
        <v>1P С16А</v>
      </c>
      <c r="DV348">
        <f t="shared" si="733"/>
        <v>0</v>
      </c>
      <c r="DW348">
        <f t="shared" si="734"/>
        <v>0</v>
      </c>
      <c r="DX348">
        <f t="shared" si="735"/>
        <v>0</v>
      </c>
      <c r="DY348">
        <f t="shared" si="736"/>
        <v>3.0082987710406814</v>
      </c>
      <c r="DZ348">
        <f t="shared" si="737"/>
        <v>1</v>
      </c>
      <c r="EA348">
        <f>IF(ISNUMBER(AP348),AP348,К_прокл)</f>
        <v>1</v>
      </c>
      <c r="EB348">
        <f t="shared" si="738"/>
        <v>2</v>
      </c>
      <c r="EC348">
        <f>IFERROR(N(VLOOKUP(BZ348,Кабель_обозначение,3,FALSE)),1)</f>
        <v>1</v>
      </c>
      <c r="ED348">
        <f>IFERROR(N(_xlfn.XLOOKUP(A348,Щиты[Щит],Щиты[ΔU до шин, %])),0)</f>
        <v>2.4899999999999998</v>
      </c>
      <c r="EE348" t="str">
        <f>IFERROR(_xlfn.XLOOKUP(A348,Щиты[Щит],Щиты[Zпетли на шинах, Ом]),"")</f>
        <v/>
      </c>
      <c r="EF348">
        <f>IFERROR(N(_xlfn.XLOOKUP(A348,Щиты[Щит],Щиты[ΔU до шин (подбор), %])),0)</f>
        <v>3.73</v>
      </c>
      <c r="EG348" t="str">
        <f>IFERROR(_xlfn.XLOOKUP(A348,Щиты[Щит],Щиты[Zпетли на шинах (подбор), Ом]),"")</f>
        <v/>
      </c>
      <c r="EH348" t="str">
        <f t="shared" si="739"/>
        <v/>
      </c>
      <c r="EI348">
        <f t="shared" si="740"/>
        <v>44</v>
      </c>
      <c r="EJ348">
        <f t="shared" si="741"/>
        <v>2</v>
      </c>
      <c r="EK348">
        <f t="shared" si="742"/>
        <v>0.31</v>
      </c>
      <c r="EL348" s="6">
        <f>IF(B348="","",IF(BV348=1,dU_LED,IF(IFERROR(_xlfn.XLOOKUP(BC348,Коды_код,Коды_уго),"")="Светильник",3,4)+IF(Методика="нормы 2026",MIN(0.5,MAX(0,N(P348)-100)*0.005),0)))</f>
        <v>4</v>
      </c>
      <c r="EM348" cm="1">
        <f t="array" ref="EM348">IF(OR(B348="",BZ348="",EC348&lt;&gt;1),"",_xlfn.LET(_xlpm.sz,Iдоп_S,_xlpm.t_,CHOOSE(EB348,Iдоп_1ж,Iдоп_2ж,Iдоп_3ж)*DZ348*EA348,_xlpm.dcx,BV348=1,_xlpm.inn,IF(_xlpm.dcx,N(O348),N(DT348)),_xlpm.smin,MAX(1.5,CC348),_xlpm.L_,N(P348)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348)/N(BU348)*100,999),IFERROR(N(EJ348)*(_xlpm.rho*_xlpm.L_/_xlpm.sz*N(CE348)+_xlpm.xx*_xlpm.L_*N(EK348)/1000)*N(O348)/((Uн_лин/SQRT(3))*1000)*100,999)),_xlpm.kz,IF(OR(_xlpm.dcx,DW348=1,NOT(ISNUMBER(EG348)),_xlpm.L_=0,_xlpm.inn=0),1,IFERROR(--(c_min*(Uн_лин*1000/SQRT(3))/(EG348+2*ρкз_Cu*_xlpm.L_/_xlpm.sz)&gt;=HT348*_xlpm.inn),0)),_xlpm.ok,IFERROR((_xlpm.sz&gt;=_xlpm.smin)*(_xlpm.t_&gt;=_xlpm.inn)*IF(_xlpm.L_&gt;0,(_xlpm.du_+IF(_xlpm.dcx,0,EF348)&lt;=EL348+0.00001),1)*_xlpm.kz,0),_xlpm.r_,_xlfn._xlws.FILTER(_xlpm.sz,_xlpm.ok,"не подобрано"),INDEX(_xlpm.r_,1)))</f>
        <v>10</v>
      </c>
      <c r="EN348">
        <f t="shared" si="743"/>
        <v>2.5</v>
      </c>
      <c r="EO348" cm="1">
        <f t="array" ref="EO348">IF(OR(B348="",BZ348="",EC348&lt;&gt;1),"",_xlfn.LET(_xlpm.sz,Iдоп_S,_xlpm.t_,CHOOSE(EB348,Iдоп_1ж,Iдоп_2ж,Iдоп_3ж)*DZ348*EA348,_xlpm.ok,IFERROR((_xlpm.sz&gt;=MAX(1.5,CC348))*(_xlpm.t_&gt;=N(DT348)),0),_xlpm.r_,_xlfn._xlws.FILTER(_xlpm.sz,_xlpm.ok,""),INDEX(_xlpm.r_,1)))</f>
        <v>1.5</v>
      </c>
      <c r="EP348" s="6" cm="1">
        <f t="array" ref="EP348">IFERROR(ROUNDUP(N(EJ348)*(_xlfn.XLOOKUP(EO348,INDEX(Кабель_сопротивление,0,1),INDEX(Кабель_сопротивление,0,3))*N(P348)/EO348*N(CE348)+_xlfn.XLOOKUP(EO348,INDEX(Кабель_сопротивление,0,1),INDEX(Кабель_сопротивление,0,2))*N(P348)*N(EK348)/1000)*N(O348)/((Uн_лин/SQRT(3))*1000)*100,2),"")</f>
        <v>1.64</v>
      </c>
      <c r="EQ348">
        <f>IFERROR(2*ρкз_Cu*N(P348)/EO348,"")</f>
        <v>1.5429333333333333</v>
      </c>
      <c r="ER348">
        <f>IFERROR(VLOOKUP(EN348,Кабель_сопротивление,3,FALSE),"")</f>
        <v>2.2499999999999999E-2</v>
      </c>
      <c r="ES348">
        <f>IFERROR(VLOOKUP(EN348,Кабель_сопротивление,2,FALSE),"")</f>
        <v>0.1</v>
      </c>
      <c r="ET348">
        <f t="shared" si="744"/>
        <v>24</v>
      </c>
      <c r="EU348">
        <f t="shared" si="745"/>
        <v>13</v>
      </c>
      <c r="EV348">
        <f t="shared" si="746"/>
        <v>2.2716506343784073</v>
      </c>
      <c r="EW348" s="6">
        <f>IFERROR(ROUNDUP(EV348/IF(BV348=1,BU348,(Uн_лин/SQRT(3))*1000)*100,2),"")</f>
        <v>0.99</v>
      </c>
      <c r="EX348" t="str">
        <f>IFERROR(VLOOKUP(BZ348,Кабель_обозначение,2,FALSE),"")</f>
        <v>ВВГнг(А)-LS</v>
      </c>
      <c r="EY348" t="str">
        <f t="shared" si="747"/>
        <v>ВВГнг(А)-LS (3х2,5)</v>
      </c>
      <c r="EZ348" t="str">
        <f t="shared" si="748"/>
        <v>ВВГнг(А)-LS (3х2,5)
L=44-0,99%</v>
      </c>
      <c r="FA348">
        <f>IFERROR(2*ρкз_Cu*P348/EN348,"")</f>
        <v>0.92576000000000003</v>
      </c>
      <c r="FB348">
        <f t="shared" si="749"/>
        <v>0.308</v>
      </c>
      <c r="FC348" s="6" t="str">
        <f>IFERROR(IF(OR(B348="",BV348=1,NOT(ISNUMBER(EN348)),N(P348)=0),"",_xlfn.XLOOKUP(A348,Щиты[Щит],Щиты[Zпетли на шинах, Ом])+FA348),"")</f>
        <v/>
      </c>
      <c r="FD348" s="6" t="str">
        <f>IF(ISNUMBER(FC348),c_min*(Uн_лин*1000/SQRT(3))/FC348,"")</f>
        <v/>
      </c>
      <c r="FE348" s="6" t="str">
        <f>IFERROR(IF(OR(B348="",NOT(ISNUMBER(EN348))),"",1.05*(Uн_лин*1000/SQRT(3))/(_xlfn.XLOOKUP(A348,Щиты[Щит],Щиты[Zmax на шинах, Ом])+FB348)/1000),"")</f>
        <v/>
      </c>
      <c r="FF348" s="6" t="str">
        <f>IF(B348="","",IF(ISNUMBER(AC348),"Сил",IF(IFERROR(_xlfn.XLOOKUP(BC348,Коды_код,Коды_группа)&amp;"","")="","Быт",_xlfn.XLOOKUP(BC348,Коды_код,Коды_группа)&amp;"")))</f>
        <v>Быт</v>
      </c>
      <c r="FG348" s="6" t="str">
        <f t="shared" si="750"/>
        <v>Пост</v>
      </c>
      <c r="FH348" s="6">
        <f>IF(FG348="Щит","щит",IF(FG348="","",IF(FG348="Быт",IFERROR(_xlfn.XLOOKUP(A348,Щиты[Щит],Щиты[Кс быт]),1),IF(FG348="Сил",IF(ISNUMBER(AC348),AC348,IF(Методика="нормы 2026",IFERROR(_xlfn.XLOOKUP(A348,Щиты[Щит],Щиты[Кс силовых (табл. 7.5)]),1),1)),IF(OR(FG348="Пост",FG348="Отоп"),1,IF(FG348="ВНГ",0.7,0))))))</f>
        <v>1</v>
      </c>
      <c r="FI348">
        <f>IF(FG348="","",IF(AND(BP348=1,TRIM(AE348&amp;"")=""),IF(COUNTIFS(Линии[Щит],A348,Линии[Секция (1/2/3)],"&gt;=2")&gt;0,MIN(3,MAX(1,IFERROR(--BD348,1))),1),IFERROR(MIN(3,MAX(1,INT(--AE348))),1)))</f>
        <v>1</v>
      </c>
      <c r="FJ348">
        <f t="shared" si="751"/>
        <v>0.66</v>
      </c>
      <c r="FK348">
        <f t="shared" si="752"/>
        <v>0</v>
      </c>
      <c r="FL348">
        <f t="shared" si="753"/>
        <v>0</v>
      </c>
      <c r="FM348">
        <f t="shared" si="754"/>
        <v>0.66</v>
      </c>
      <c r="FN348">
        <f t="shared" si="755"/>
        <v>0</v>
      </c>
      <c r="FO348">
        <f t="shared" si="756"/>
        <v>0</v>
      </c>
      <c r="FP348">
        <f t="shared" si="757"/>
        <v>0.66</v>
      </c>
      <c r="FQ348">
        <f t="shared" si="758"/>
        <v>0.66</v>
      </c>
      <c r="FR348">
        <f t="shared" si="759"/>
        <v>0.627</v>
      </c>
      <c r="FS348">
        <f>IF(CG348=1,IF(AND(CH348=1,CW348=1),0,IF(AND(CS348&lt;&gt;"",CS348=BA348,CW348=1),SUMIFS(Линии[_Р линии, кВт],Линии[_блок УЗО],BA348,Линии[Щит],A348),N(BS348)+IF(AJ348="вручную",0,N(CK348)))),0)</f>
        <v>0.66</v>
      </c>
      <c r="FT348" t="str">
        <f t="shared" si="760"/>
        <v>L3</v>
      </c>
      <c r="FU348" t="str">
        <f>IF(B348="","",IF(CG348=0,IF(BA348=1,"",FW347),IF(AND(CH348=1,CW348=1,CS348&lt;&gt;""),IFERROR(_xlfn.XLOOKUP(CS348,Линии[_n],Линии[_фаза итог]),"L1"),IF(OR(N(DL348)&gt;=3,N(BX348)&gt;=3),"L1,L2,L3",IFERROR(_xlfn.TEXTBEFORE(_xlfn.TEXTAFTER(_xlfn.XLOOKUP(A348,Щиты[Щит],Щиты[_фазы авто]),";"&amp;BA348&amp;":"),";"),"L1")))))</f>
        <v>L1</v>
      </c>
      <c r="FV348" t="str">
        <f t="shared" si="761"/>
        <v>L3</v>
      </c>
      <c r="FW348" t="str">
        <f t="shared" si="762"/>
        <v>L3</v>
      </c>
      <c r="FX348" cm="1">
        <f t="array" ref="FX348">IFERROR(IF(CD348=2,_xlfn.IFS(BX348=3,VLOOKUP(BS348,Справочная_двигатели,3,FALSE),BX348=1,VLOOKUP(BS348,Справочная_двигатели,5,TRUE)),0),0)</f>
        <v>0</v>
      </c>
      <c r="FY348">
        <f>IFERROR(IF(CD348=3,VLOOKUP(BS348,Справочная_ЛЭД,2,TRUE),0),0)</f>
        <v>0</v>
      </c>
      <c r="FZ348" s="6">
        <f t="shared" si="763"/>
        <v>0</v>
      </c>
      <c r="GA348" t="str">
        <f>IF(B348="","",IF(TRIM(AH348&amp;"")&lt;&gt;"",IF(LOWER(TRIM(AH348&amp;""))="да","да","нет"),IF(IFERROR(_xlfn.XLOOKUP(BC348,Коды_код,Коды_пожарная),"")="да","да","нет")))</f>
        <v>нет</v>
      </c>
      <c r="GB348" t="str">
        <f t="shared" si="764"/>
        <v/>
      </c>
      <c r="GC348" t="str">
        <f t="shared" si="765"/>
        <v>основная</v>
      </c>
      <c r="GD348">
        <f>IF(AND(BP348=1,TRIM(AE348&amp;"")=""),IF(COUNTIFS(Линии[Щит],A348,Линии[Секция (1/2/3)],"&gt;=2")&gt;0,MIN(3,MAX(1,IFERROR(--BD348,1))),1),IFERROR(MIN(3,MAX(1,INT(--AE348))),1))</f>
        <v>1</v>
      </c>
      <c r="GE348" t="str" cm="1">
        <f t="array" ref="GE348">IF(B348="","",_xlfn.LET(_xlpm.t,IFERROR(_xlfn.XLOOKUP(1,(Шины[Шина]=GC348)*(((Шины[Щит]=A348)+(Шины[Щит]=""))&gt;0),Шины[Тип]),"")&amp;"",IF(_xlpm.t&lt;&gt;"",_xlpm.t,IF(ISNUMBER(SEARCH("ИБП",GC348)),"ИБП",IF(ISNUMBER(SEARCH("ДГУ",GC348)),"ДГУ","Ввод "&amp;GD348)))))</f>
        <v>Ввод 1</v>
      </c>
      <c r="GF348" t="str">
        <f t="shared" si="766"/>
        <v>Ввод 1</v>
      </c>
      <c r="GG348" t="str">
        <f>IF(BP348=0,"",IF(TRIM(AG348&amp;"")&lt;&gt;"",TRIM(AG348&amp;""),IF(OR(GE348="ИБП",GE348="ДГУ"),"I особая",_xlfn.XLOOKUP(A348,Щиты[Щит],Щиты[Категория шины «Ввод»],"III"))))</f>
        <v/>
      </c>
      <c r="GH348" t="str">
        <f>IF(A348="","",_xlfn.XLOOKUP(A348,Щиты[Щит],Щиты[Путь],""))</f>
        <v>|ГРЩ-ЖД|ЩУОВ|</v>
      </c>
      <c r="GI348" t="str">
        <f>IF(B348="","",IF(AI348&lt;&gt;"",AI348,IF(IFERROR(_xlfn.XLOOKUP(BC348,Коды_код,Коды_вид)&amp;"","")="","Прочее",_xlfn.XLOOKUP(BC348,Коды_код,Коды_вид)&amp;"")))</f>
        <v>Обогрев водостоков и кровли</v>
      </c>
      <c r="GJ348">
        <f>IF(BM348="","",INT((BM348-1)/Столбцов_на_лист)+1)</f>
        <v>2</v>
      </c>
      <c r="GK348" t="str">
        <f t="shared" si="767"/>
        <v>ВВГнг(А)-LS (3х2,5) L=44-0,99%</v>
      </c>
      <c r="GL348">
        <f t="shared" si="768"/>
        <v>0.66</v>
      </c>
      <c r="GM348">
        <f t="shared" si="769"/>
        <v>3.01</v>
      </c>
      <c r="GN348">
        <f t="shared" si="770"/>
        <v>1</v>
      </c>
      <c r="GO348">
        <f t="shared" si="771"/>
        <v>0</v>
      </c>
      <c r="GP348">
        <f t="shared" si="772"/>
        <v>1</v>
      </c>
      <c r="GQ348">
        <f>IF(BM348="","",IF(AND(CG348=1,GP348=1),COUNTIFS(A$3:A348,A348,CG$3:CG348,1,GP$3:GP348,1),IF(OR(OR(BA348=1,A348&lt;&gt;A347),AJ348="вручную",GP348=0),"",IF(BA348=1,"",GR347))))</f>
        <v>7</v>
      </c>
      <c r="GR348">
        <f t="shared" si="773"/>
        <v>7</v>
      </c>
      <c r="GS348">
        <f>IF(B348="","",IFERROR(LOOKUP(INDEX(CHOOSE(EB348,Iдоп_1ж,Iдоп_2ж,Iдоп_3ж),MATCH(EN348,Iдоп_S,0))*DZ348*EA348,{6,10,16,20,25,32,40,50,63,80,100,125,160,200,250,315,400,500,630}),""))</f>
        <v>25</v>
      </c>
      <c r="GT348" t="str">
        <f t="shared" si="774"/>
        <v>QF7</v>
      </c>
      <c r="GU348" t="str">
        <f t="shared" si="775"/>
        <v>QF7</v>
      </c>
      <c r="GV348" t="str">
        <f t="shared" si="776"/>
        <v/>
      </c>
      <c r="GW348">
        <f t="shared" si="777"/>
        <v>0</v>
      </c>
      <c r="GX348" t="str">
        <f>IF(OR(B348="",DJ348=""),"",IFERROR(_xlfn.XLOOKUP(DJ348,Модули_умолч[Управление],Модули_умолч[Модель])&amp;"",""))</f>
        <v/>
      </c>
      <c r="GY348">
        <f>IF(DJ348="",1,IFERROR(MAX(0,N(_xlfn.XLOOKUP(DJ348,Модули_умолч[Управление],Модули_умолч[Каналов на линию]))),1))</f>
        <v>1</v>
      </c>
      <c r="GZ348" t="str">
        <f t="shared" si="778"/>
        <v/>
      </c>
      <c r="HA348" t="str">
        <f t="shared" si="779"/>
        <v/>
      </c>
      <c r="HB348" t="str">
        <f t="shared" si="780"/>
        <v/>
      </c>
      <c r="HC348">
        <f>IF(HB348="",0,IFERROR(N(VLOOKUP(HB348,Модули_спр,3,FALSE)),0))</f>
        <v>0</v>
      </c>
      <c r="HD348" t="str">
        <f t="shared" si="781"/>
        <v/>
      </c>
      <c r="HE348" t="str">
        <f t="shared" si="782"/>
        <v/>
      </c>
      <c r="HF348" t="str">
        <f>IF(OR(HE348="",HE348="-"),"",IFERROR(VLOOKUP(HE348,Модули_спр,2,FALSE),"R"))</f>
        <v/>
      </c>
      <c r="HG348" t="str">
        <f>IF(HF348="","",HF348&amp;"."&amp;COUNTIFS(A$3:A348,A348,HF$3:HF348,HF348))</f>
        <v/>
      </c>
      <c r="HH348" t="str">
        <f t="shared" si="783"/>
        <v/>
      </c>
      <c r="HI348" t="str">
        <f t="shared" si="784"/>
        <v/>
      </c>
      <c r="HJ348" t="str">
        <f t="shared" si="785"/>
        <v/>
      </c>
      <c r="HK348" t="str">
        <f t="shared" si="786"/>
        <v/>
      </c>
      <c r="HL348">
        <f t="shared" si="787"/>
        <v>1</v>
      </c>
      <c r="HM348" t="str">
        <f>IF(HL348=1,"XT"&amp;COUNTIFS(A$3:A348,A348,HL$3:HL348,1),"")</f>
        <v>XT7</v>
      </c>
      <c r="HN348" t="str">
        <f t="shared" si="788"/>
        <v/>
      </c>
      <c r="HO348" t="str">
        <f t="shared" si="789"/>
        <v>QF7</v>
      </c>
      <c r="HP348" t="str">
        <f t="shared" si="790"/>
        <v/>
      </c>
      <c r="HQ348" t="str">
        <f t="shared" si="791"/>
        <v>ok</v>
      </c>
      <c r="HR348" t="str">
        <f>IF(OR(HJ348="",HH348=""),"",IF(HJ348+MAX(0,GY348-1)&gt;IFERROR(VLOOKUP(HI348,Модули_спр,3,FALSE),99),"ЛИШНИЙ КАНАЛ",IF(AND(AL348&lt;&gt;"=",GY348&gt;0,COUNTIFS(Линии[_модуль гр.],HH348,Линии[Канал (итог)],HJ348,Линии[Канал],"&lt;&gt;=",Линии[Щит],A348)&gt;1),"ДУБЛЬ КАНАЛА","")))</f>
        <v/>
      </c>
      <c r="HS348" s="6" t="str">
        <f t="shared" si="792"/>
        <v/>
      </c>
      <c r="HT348">
        <f t="shared" si="793"/>
        <v>10</v>
      </c>
      <c r="HU348" t="str">
        <f t="shared" si="794"/>
        <v/>
      </c>
      <c r="HV348">
        <f t="shared" si="795"/>
        <v>1.6433195084162726</v>
      </c>
      <c r="HW348">
        <f t="shared" si="796"/>
        <v>0</v>
      </c>
      <c r="HX348">
        <f t="shared" si="797"/>
        <v>0</v>
      </c>
      <c r="HY348">
        <f t="shared" si="798"/>
        <v>0</v>
      </c>
      <c r="HZ348">
        <f t="shared" si="799"/>
        <v>0</v>
      </c>
      <c r="IA348">
        <f t="shared" si="800"/>
        <v>0</v>
      </c>
      <c r="IB348">
        <f t="shared" si="801"/>
        <v>0</v>
      </c>
      <c r="IC348" t="str">
        <f t="shared" si="802"/>
        <v/>
      </c>
      <c r="ID348" t="str" cm="1">
        <f t="array" ref="ID348">IF(IC348="","",_xlfn.LET(_xlpm.tk,_xlfn.TEXTSPLIT(SUBSTITUTE(SUBSTITUTE(IC348,";"," "),"→"," ")," ",,TRUE),_xlpm.w_,_xlfn._xlws.FILTER(_xlpm.tk,ISNUMBER(--LEFT(_xlpm.tk,1))*((ISNUMBER(SEARCH("W",_xlpm.tk))+ISNUMBER(SEARCH("Вт",_xlpm.tk)))&gt;0),""),IFERROR(--SUBSTITUTE(SUBSTITUTE(UPPER(INDEX(_xlpm.w_,1)),"W",""),"ВТ",""),"")))</f>
        <v/>
      </c>
      <c r="IE348" t="str" cm="1">
        <f t="array" ref="IE348">IF(IC348="","",_xlfn.LET(_xlpm.tk,_xlfn.TEXTSPLIT(SUBSTITUTE(SUBSTITUTE(IC348,";"," "),"→"," ")," ",,TRUE),_xlpm.v_,_xlfn._xlws.FILTER(_xlpm.tk,ISNUMBER(--LEFT(_xlpm.tk,1))*((ISNUMBER(SEARCH("V",_xlpm.tk))+(RIGHT(UPPER(_xlpm.tk))="В"))&gt;0),""),IFERROR(--SUBSTITUTE(SUBSTITUTE(UPPER(INDEX(_xlpm.v_,1)),"V",""),"В",""),"")))</f>
        <v/>
      </c>
      <c r="IF348" s="6" t="str">
        <f>IF(OR(BV348=0,HI348="",HJ348=""),"",IFERROR(N(_xlfn.XLOOKUP(HI348,Каталог!$C$4:$C$500,Каталог!$Q$4:$Q$500)),""))</f>
        <v/>
      </c>
      <c r="IG348" s="6" t="str">
        <f>IF(N(IF348)=0,"",SUMIFS(Линии[Iр, А],Линии[Щит],A348,Линии[_модуль гр.],HH348,Линии[Канал (итог)],HJ348))</f>
        <v/>
      </c>
      <c r="IH348" t="str">
        <f>IF(AND(B348="",HO348=""),"",_xlfn.TEXTJOIN("; ",TRUE,IF(AND(B348&lt;&gt;"",FV348=""),"нет фазы",""),IF(AND(B348&lt;&gt;"",N(GL348)=0,FG348&lt;&gt;"Нет"),"нет мощности",""),IF(AND(HN348&lt;&gt;"",COUNTIFS(Линии[Щит],A348,Линии[Клемма (итог)],HN348)&gt;1),"дубль клеммы "&amp;HN348,""),IF(AND(HQ348&lt;&gt;"",HQ348&lt;&gt;"ok"),HQ348,""),IF(HR348&lt;&gt;"",HR348,""),IF(AND(N(CB348)&gt;=4,N(BX348)=1),CB348&amp;" жил на 1 фазе",""),IF(AND(BC348="R",CG348=1,IF(CS348&lt;&gt;"",N(CV348)&gt;30,OR(N(DA348)=0,N(DA348)&gt;30))),"розетка без дифзащиты до 30 мА",""),IF(AND(CG348=1,N(DA348)&gt;0,ISNUMBER(T348)),IF(T348&gt;N(DA348)/3,"ток утечки "&amp;FIXED(T348,1)&amp;" мА &gt; 1/3 уставки ("&amp;DA348&amp;" мА)",""),""),IF(AND(CH348=1,CS348=""),"«узо»: нет строки с УЗО выше (УЗО 2P 40А 30мА в «Аппаратах»)",""),IF(AND(CS348&lt;&gt;"",CS348=BA348),IF(CT348="","впишите номинал УЗО (УЗО 2P 40А 30мА)",IF(N(CT348)&lt;N(DT348),"УЗО "&amp;CT348&amp;" А &lt; автомата "&amp;DT348&amp;" А перед ним",IF(N(CT348)&lt;N(CX348),"УЗО "&amp;CT348&amp;" А &lt; тока блока "&amp;FIXED(CX348,1)&amp;" А",""))),""),IF(AND(CS348&lt;&gt;"",CS348=BA348,ISNUMBER(CY348)),IF(CY348&gt;N(CV348)/3,"ток утечки блока УЗО "&amp;FIXED(CY348,1)&amp;" мА &gt; 1/3 уставки ("&amp;CV348&amp;" мА)",""),""),IF(AND(CG348=1,N(BV348)+N(IB348)&gt;0,IC348=""),"линии до 50 В без БП: впишите в «Аппараты» (БП 24V 480W)",""),IF(AND(CG348=1,ISNUMBER(ID348),ISNUMBER(U348)),IF(U348&gt;ID348,"БП "&amp;ID348&amp;" Вт &lt; нужно "&amp;U348&amp;" Вт (×"&amp;Запас_БП&amp;")",""),""),IF(AND(CG348=1,ISNUMBER(IE348),N(BV348)=1),IF(IE348&lt;&gt;N(BU348),"БП на "&amp;IE348&amp;" В, линия "&amp;BU348&amp;" В",""),""),IF(AND(N(IF348)&gt;0,N(IG348)&gt;N(IF348)),HH348&amp;" канал "&amp;HJ348&amp;": "&amp;FIXED(IG348,1)&amp;" А &gt; "&amp;IF348&amp;" А",""),IFERROR(IF(AND(ISNUMBER(Q348),Q348&gt;EL348),"потери "&amp;FIXED(Q348,1)&amp;" % &gt; "&amp;EL348&amp;" %",""),""),IFERROR(IF(LEFT(HU348,4)="мало","Iкз мало — отключение &gt; 0,4 с",""),""),IF(AND(B348&lt;&gt;"",BM348=""),"не на схеме",""),IF(AND(CG348=0,B348&lt;&gt;"",FV348&lt;&gt;"",IF(BA348=1,"",FW347)&lt;&gt;"",FV348&lt;&gt;IF(BA348=1,"",FW347)),"фаза не как у автомата группы ("&amp;IF(BA348=1,"",FW347)&amp;")","")))</f>
        <v/>
      </c>
      <c r="II348" s="6">
        <f>IF(OR(CG348=0,DQ348=""),"",_xlfn.LET(_xlpm.t,IFERROR(_xlfn.XLOOKUP(DQ348,Каталог!$U$4:$U$500,Каталог!$G$4:$G$500),""),_xlpm.k,SEARCH("кА",_xlpm.t),IFERROR(--TRIM(RIGHT(SUBSTITUTE(MID(_xlpm.t,MAX(1,_xlpm.k-4),_xlpm.k-MAX(1,_xlpm.k-4))," ",REPT(" ",9)),5)),"")))</f>
        <v>6</v>
      </c>
      <c r="IJ348" t="str">
        <f>IF(OR(II348="",CG348=0),"",IF(_xlfn.XLOOKUP(A348,Щиты[Щит],Щиты[Iкз max на шинах, кА],"")="","",IF(II348&lt;_xlfn.XLOOKUP(A348,Щиты[Щит],Щиты[Iкз max на шинах, кА]),"Icu "&amp;II348&amp;" кА &lt; Iкз max","ok")))</f>
        <v/>
      </c>
      <c r="IK348" t="str">
        <f t="shared" si="803"/>
        <v/>
      </c>
      <c r="IL348" t="str">
        <f t="shared" si="804"/>
        <v>QF7</v>
      </c>
      <c r="IM348" t="str">
        <f t="shared" si="805"/>
        <v>QF7|кабель ВВГнг(А)-LS (3х2,5) → Обогревл ливнестоков Второй этаж</v>
      </c>
      <c r="IN348" t="str" cm="1">
        <f t="array" ref="IN348">IF(IM348="","",_xlfn.LET(_xlpm.nd,_xlfn.TEXTSPLIT(IM348,"|"),IF(COLUMNS(_xlpm.nd)&gt;1,A348&amp;"¦"&amp;INDEX(_xlpm.nd,1)&amp;"¦"&amp;INDEX(_xlpm.nd,2),"")))</f>
        <v>ЩУОВ¦QF7¦кабель ВВГнг(А)-LS (3х2,5) → Обогревл ливнестоков Второй этаж</v>
      </c>
      <c r="IO348" t="str">
        <f t="shared" si="806"/>
        <v>OV.2.1.3¦Обогревл ливнестоков Второй этаж</v>
      </c>
      <c r="IP348" t="str" cm="1">
        <f t="array" ref="IP348">IF(IM348="","",_xlfn.LET(_xlpm.nd,_xlfn.TEXTSPLIT(IM348,"|"),IF(COLUMNS(_xlpm.nd)&gt;2,A348&amp;"¦"&amp;INDEX(_xlpm.nd,2)&amp;"¦"&amp;INDEX(_xlpm.nd,3),"")))</f>
        <v/>
      </c>
      <c r="IQ348" t="str">
        <f t="shared" si="807"/>
        <v/>
      </c>
      <c r="IR348" t="str" cm="1">
        <f t="array" ref="IR348">IF(IM348="","",_xlfn.LET(_xlpm.nd,_xlfn.TEXTSPLIT(IM348,"|"),IF(COLUMNS(_xlpm.nd)&gt;3,A348&amp;"¦"&amp;INDEX(_xlpm.nd,3)&amp;"¦"&amp;INDEX(_xlpm.nd,4),"")))</f>
        <v/>
      </c>
      <c r="IS348" t="str">
        <f t="shared" si="808"/>
        <v/>
      </c>
      <c r="IT348" t="str" cm="1">
        <f t="array" ref="IT348">IF(IM348="","",_xlfn.LET(_xlpm.nd,_xlfn.TEXTSPLIT(IM348,"|"),IF(COLUMNS(_xlpm.nd)&gt;4,A348&amp;"¦"&amp;INDEX(_xlpm.nd,4)&amp;"¦"&amp;INDEX(_xlpm.nd,5),"")))</f>
        <v/>
      </c>
      <c r="IU348" t="str">
        <f t="shared" si="809"/>
        <v/>
      </c>
      <c r="IV348" t="str" cm="1">
        <f t="array" ref="IV348">IF(IM348="","",_xlfn.LET(_xlpm.nd,_xlfn.TEXTSPLIT(IM348,"|"),IF(COLUMNS(_xlpm.nd)&gt;5,A348&amp;"¦"&amp;INDEX(_xlpm.nd,5)&amp;"¦"&amp;INDEX(_xlpm.nd,6),"")))</f>
        <v/>
      </c>
      <c r="IW348" t="str">
        <f t="shared" si="810"/>
        <v/>
      </c>
      <c r="IX348" t="str" cm="1">
        <f t="array" ref="IX348">IF(IM348="","",_xlfn.LET(_xlpm.nd,_xlfn.TEXTSPLIT(IM348,"|"),IF(COLUMNS(_xlpm.nd)&gt;6,A348&amp;"¦"&amp;INDEX(_xlpm.nd,6)&amp;"¦"&amp;INDEX(_xlpm.nd,7),"")))</f>
        <v/>
      </c>
      <c r="IY348" t="str">
        <f t="shared" si="811"/>
        <v/>
      </c>
      <c r="IZ348" t="str">
        <f t="shared" si="812"/>
        <v/>
      </c>
      <c r="JA348" t="str">
        <f t="shared" si="813"/>
        <v>QF7</v>
      </c>
      <c r="JB348">
        <f t="shared" si="814"/>
        <v>0</v>
      </c>
      <c r="JC348">
        <f t="shared" si="815"/>
        <v>0</v>
      </c>
      <c r="JD348" t="str">
        <f t="shared" si="816"/>
        <v/>
      </c>
      <c r="JE348" t="str">
        <f t="shared" si="817"/>
        <v/>
      </c>
      <c r="JF348" t="str">
        <f t="shared" si="818"/>
        <v/>
      </c>
      <c r="JG348" t="str">
        <f t="shared" si="819"/>
        <v/>
      </c>
      <c r="JH348" t="str">
        <f>IF(B348="","",IFERROR(_xlfn.XLOOKUP(B348,Коды_код,Коды_уго),IFERROR(_xlfn.XLOOKUP(BC348,Коды_код,Коды_уго),IFERROR(_xlfn.XLOOKUP(LEFT(BC348,2),Коды_код,Коды_уго),""))))</f>
        <v/>
      </c>
      <c r="JI348" t="str">
        <f>IF(B348="","",IF(OR(JH348="",JH348=0),"BOX",IFERROR(IF(VLOOKUP(JH348,УГО_блоки,3,FALSE)&amp;""&lt;&gt;"",VLOOKUP(JH348,УГО_блоки,3,FALSE),VLOOKUP(JH348,УГО_блоки,2,FALSE)),JH348)))</f>
        <v>BOX</v>
      </c>
      <c r="JJ348">
        <f t="shared" si="820"/>
        <v>1</v>
      </c>
      <c r="JK348" t="str">
        <f>IF(DQ348="","",IF(COUNTIF(DQ$3:DQ348,DQ348)=1,MAX(JK$2:JK347)+1,""))</f>
        <v/>
      </c>
      <c r="JL348" t="str">
        <f>IF(DE348="","",IF(COUNTIF(DE$3:DE348,DE348)+COUNTIF(DF$2:DF347,DE348)+COUNTIF(DG$2:DG347,DE348)=1,MAX(JL$2:JN347)+1,""))</f>
        <v/>
      </c>
      <c r="JM348" t="str">
        <f>IF(DF348="","",IF(COUNTIF(DE$3:DE348,DF348)+COUNTIF(DF$3:DF348,DF348)+COUNTIF(DG$2:DG347,DF348)=1,MAX(JL$2:JN347,JL348)+1,""))</f>
        <v/>
      </c>
      <c r="JN348" t="str">
        <f>IF(DG348="","",IF(COUNTIF(DE$3:DE348,DG348)+COUNTIF(DF$3:DF348,DG348)+COUNTIF(DG$3:DG348,DG348)=1,MAX(JL$2:JN347,JL348,JM348)+1,""))</f>
        <v/>
      </c>
      <c r="JO348" t="str">
        <f t="shared" si="821"/>
        <v>3х2,5</v>
      </c>
      <c r="JP348" t="str">
        <f>IF(JO348="","",IF(COUNTIF(JO$3:JO348,JO348)=1,MAX(JP$2:JP347)+1,""))</f>
        <v/>
      </c>
      <c r="JQ348" t="str">
        <f>IF(HG348="","",COUNTIF(HG$3:HG348,"?*"))</f>
        <v/>
      </c>
      <c r="JR348" t="str">
        <f>IF(OR(HG348="",HI348=""),"",IF(COUNTIFS(HG$3:HG348,"?*",HI$3:HI348,HI348)=1,MAX(JR$2:JR347)+1,""))</f>
        <v/>
      </c>
      <c r="JS348">
        <f t="shared" si="822"/>
        <v>0</v>
      </c>
      <c r="JT348">
        <f>IF(B348="","",COUNTIF(B$3:B348,"?*"))</f>
        <v>346</v>
      </c>
      <c r="JU348">
        <f>IF(HL348&lt;&gt;1,0,_xlfn.LET(_xlpm.k,MAX(IFERROR(--_xlfn.XLOOKUP(B348,Коды_код,Коды_3L),0),IFERROR(--_xlfn.XLOOKUP(BC348,Коды_код,Коды_3L),0),IFERROR(--_xlfn.XLOOKUP(LEFT(BC348,2),Коды_код,Коды_3L),0)),IF(_xlpm.k&gt;0,_xlpm.k,IF(IFERROR(--LEFT(SUBSTITUTE(JO348,"x","х"),FIND("х",SUBSTITUTE(JO348,"x","х"))-1),3)&gt;3,Каталог!$S$9,1))))</f>
        <v>1</v>
      </c>
      <c r="JV348">
        <f t="shared" si="823"/>
        <v>0</v>
      </c>
      <c r="JW348" t="str">
        <f t="shared" si="824"/>
        <v>авто</v>
      </c>
      <c r="JX348" t="str">
        <f t="shared" si="825"/>
        <v/>
      </c>
      <c r="JY348">
        <f t="shared" si="826"/>
        <v>0</v>
      </c>
      <c r="JZ348">
        <f t="shared" si="827"/>
        <v>1</v>
      </c>
    </row>
    <row r="349" spans="1:286" x14ac:dyDescent="0.3">
      <c r="A349" t="s">
        <v>769</v>
      </c>
      <c r="B349" t="s">
        <v>1647</v>
      </c>
      <c r="C349" t="s">
        <v>1739</v>
      </c>
      <c r="D349">
        <v>3</v>
      </c>
      <c r="E349">
        <v>1.92</v>
      </c>
      <c r="G349">
        <v>16</v>
      </c>
      <c r="H349" t="str">
        <f>Линии[[#This Row],[_авто управление]]</f>
        <v/>
      </c>
      <c r="I349" t="str">
        <f>Линии[[#This Row],[_авто аппараты]]</f>
        <v/>
      </c>
      <c r="J349">
        <v>2.5</v>
      </c>
      <c r="K349">
        <v>40</v>
      </c>
      <c r="L349">
        <v>3</v>
      </c>
      <c r="M349" t="s">
        <v>484</v>
      </c>
      <c r="N349" t="str">
        <f t="shared" si="690"/>
        <v>потери 5,1 % &gt; 4 %</v>
      </c>
      <c r="O349" s="6" cm="1">
        <f t="array" ref="O349">IF(B349="","",IF(BH349&lt;&gt;"",IFERROR(_xlfn.XLOOKUP(BH349,Щиты[Щит],Щиты[Iр, А]),""),IF(BP349=1,IF(OR(N(_xlfn.XLOOKUP(A349,Щиты[Щит],Щиты[Вводов],1))&lt;=1,LOWER(TRIM(_xlfn.XLOOKUP(A349,Щиты[Щит],Щиты[АВР],"")&amp;""))="да"),IFERROR(_xlfn.XLOOKUP(A349,Щиты[Щит],Щиты[Iр, А]),""),IFERROR(N(BS349)*_xlfn.XLOOKUP(A349,Щиты[Щит],Щиты[Кс итог])/(SQRT(3)*Uн_лин*_xlfn.XLOOKUP(A349,Щиты[Щит],Щиты[cos φ])),"")),IF(BV349=1,IFERROR(BS349*1000/BU349,""),IFERROR(_xlfn.IFS(BX349=1,BS349/((Uн_лин/SQRT(3))*CE349),BX349=3,BS349/(SQRT(3)*Uн_лин*CE349)),"")))))</f>
        <v>8.7514146066638006</v>
      </c>
      <c r="P349" s="7">
        <f>IF(B349="","",IFERROR(IF(VLOOKUP(BC349,Потребители_обозначение,4,FALSE)=1,VLOOKUP(BC349,Потребители_обозначение,3,FALSE)*(MAX(1,N(D349))*2-1)+EI349+VLOOKUP(BE349,Этаж_обозначение,3,FALSE)+VLOOKUP(BE349,Этаж_обозначение,4,FALSE),VLOOKUP(BC349,Потребители_обозначение,3,FALSE)*(MAX(1,N(D349))*2-1)+EI349),EI349))</f>
        <v>40</v>
      </c>
      <c r="Q349" s="6">
        <f t="shared" si="691"/>
        <v>5.0999999999999996</v>
      </c>
      <c r="R349" t="str">
        <f t="shared" si="692"/>
        <v>ВВГнг(А)-LS (3х2,5)</v>
      </c>
      <c r="S349" t="str">
        <f>IF(BM349="","",IF(BN349="вводной узел","узел ","")&amp;"л."&amp;(INT((BM349-1)/Столбцов_на_лист)+1)&amp;" / "&amp;(MOD(BM349-1,Столбцов_на_лист)+1))</f>
        <v>л.2 / 7</v>
      </c>
      <c r="T349" s="119">
        <f t="shared" si="693"/>
        <v>3.9</v>
      </c>
      <c r="U349" s="7" t="str">
        <f>IF(OR(CG349=0,N(BV349)+N(IB349)=0),"",ROUNDUP(Запас_БП*(N(HY349)+N(HZ349)),0))</f>
        <v/>
      </c>
      <c r="V349" s="119" t="str">
        <f t="shared" si="694"/>
        <v/>
      </c>
      <c r="W349" s="7" t="str">
        <f>IFERROR(IF(OR(B349="",BP349=1,BV349=1,NOT(ISNUMBER(EN349)),N(DT349)=0),"",MAX(0,ROUNDDOWN((c_min*(Uн_лин*1000/SQRT(3))/(HT349*N(DT349))-_xlfn.XLOOKUP(A349,Щиты[Щит],Щиты[Zпетли на шинах, Ом]))*EN349/(2*ρкз_Cu),0))),"")</f>
        <v/>
      </c>
      <c r="Y349" t="str">
        <f>Линии[[#This Row],[_авто утечка]]</f>
        <v/>
      </c>
      <c r="Z349">
        <v>1</v>
      </c>
      <c r="AA349">
        <v>230</v>
      </c>
      <c r="AB349" t="s">
        <v>573</v>
      </c>
      <c r="AG349" t="s">
        <v>810</v>
      </c>
      <c r="AI349" t="s">
        <v>609</v>
      </c>
      <c r="AK349" t="str">
        <f>Линии[[#This Row],[_авто модуль]]</f>
        <v/>
      </c>
      <c r="AM349">
        <v>24</v>
      </c>
      <c r="AN349" t="s">
        <v>11</v>
      </c>
      <c r="AO349">
        <v>3</v>
      </c>
      <c r="AQ349">
        <v>12</v>
      </c>
      <c r="AR349">
        <v>12</v>
      </c>
      <c r="AS349">
        <v>22</v>
      </c>
      <c r="AT349">
        <v>1</v>
      </c>
      <c r="BA349" cm="1">
        <f t="array" ref="BA349">ROW()-ROW(Линии[#Headers])</f>
        <v>347</v>
      </c>
      <c r="BC349" s="6" t="str">
        <f t="shared" si="695"/>
        <v>OV</v>
      </c>
      <c r="BD349" t="str">
        <f t="shared" si="696"/>
        <v>4.1.1</v>
      </c>
      <c r="BE349" t="str">
        <f t="shared" si="697"/>
        <v>4</v>
      </c>
      <c r="BF349" t="str">
        <f t="shared" si="698"/>
        <v>1.1</v>
      </c>
      <c r="BG349" t="str">
        <f t="shared" si="699"/>
        <v>1</v>
      </c>
      <c r="BH349" t="str">
        <f>IF(X349&lt;&gt;"",X349,IF(AND(B349&lt;&gt;"",B349&lt;&gt;A349,ISNUMBER(_xlfn.XMATCH(B349,Щиты[Щит]))),B349,""))</f>
        <v/>
      </c>
      <c r="BI349" t="str" cm="1">
        <f t="array" ref="BI349">IF(B349="","",IF(BH349&lt;&gt;"","Щит "&amp;BH349,_xlfn.LET(_xlpm.nm,IFERROR(_xlfn.XLOOKUP(BC349,Коды_код,Коды_имя)&amp;"",""),_xlpm.md,IFERROR(N(_xlfn.XLOOKUP(BC349,Коды_код,Коды_режим)),1),_xlpm.ex,IF(Имя_режим="по экспликации",IFERROR(_xlfn.XLOOKUP(BE349&amp;"|"&amp;BG349,Экспликация[Этаж]&amp;"|"&amp;Экспликация[Помещение],Экспликация[Название])&amp;"",""),""),_xlpm.rm,IF(BG349="","",IF(_xlpm.ex&lt;&gt;"",". "&amp;_xlpm.ex&amp;IF(Имя_пом="нет"," ("&amp;BG349&amp;")"," (пом. "&amp;BG349&amp;")"),IF(Имя_пом="нет"," ",", пом. ")&amp;BG349)),IF(_xlpm.nm="","",IF(_xlpm.md=2,_xlpm.nm&amp;" шлейф "&amp;BE349,_xlpm.nm&amp;_xlpm.rm)))))</f>
        <v/>
      </c>
      <c r="BJ349" t="str">
        <f t="shared" si="700"/>
        <v>Обогревл ливнестоков Кровля</v>
      </c>
      <c r="BK349">
        <f>IFERROR(_xlfn.XMATCH(A349,Щиты[Щит]),0)</f>
        <v>17</v>
      </c>
      <c r="BL349">
        <f>_xlfn.LET(_xlpm.k,IFERROR(_xlfn.XLOOKUP(A349,Щиты[Щит],Щиты[Мест под вводной узел]),""),IF(_xlpm.k="",Столбцов_на_лист,N(_xlpm.k)))</f>
        <v>10</v>
      </c>
      <c r="BM349">
        <f t="shared" si="701"/>
        <v>24</v>
      </c>
      <c r="BN349" t="str">
        <f t="shared" si="702"/>
        <v>линии</v>
      </c>
      <c r="BO349" s="6">
        <f>IFERROR(N(_xlfn.XLOOKUP(BC349,Коды_код,Коды_квт)),0)</f>
        <v>0</v>
      </c>
      <c r="BP349">
        <f t="shared" si="703"/>
        <v>0</v>
      </c>
      <c r="BQ349" t="str">
        <f>IF(B349="","",IF(BH349&lt;&gt;"",IFERROR(_xlfn.XLOOKUP(BH349,Щиты[Щит],Щиты[Руст, кВт]),0),IF(BP349=1,IF(OR(N(_xlfn.XLOOKUP(A349,Щиты[Щит],Щиты[Вводов],1))&lt;=1,LOWER(TRIM(_xlfn.XLOOKUP(A349,Щиты[Щит],Щиты[АВР],"")&amp;""))="да"),IFERROR(_xlfn.XLOOKUP(A349,Щиты[Щит],Щиты[Руст, кВт]),0),SUMIFS(Линии[_Р для вводов],Линии[Щит],A349,Линии[Источник для режимов],GF349)),IF(BO349&gt;0,ROUND(BO349*MAX(1,N(D349)),3),""))))</f>
        <v/>
      </c>
      <c r="BR349">
        <f t="shared" si="704"/>
        <v>1.92</v>
      </c>
      <c r="BS349" s="6">
        <f>IF(B349="","",IF(BH349&lt;&gt;"",IFERROR(_xlfn.XLOOKUP(BH349,Щиты[Щит],Щиты[Руст, кВт]),0),N(BR349)))</f>
        <v>1.92</v>
      </c>
      <c r="BT349" t="str">
        <f>IF(B349="","",IFERROR(IF(VLOOKUP(BC349,Потребители_обозначение,8,FALSE)=0,"",VLOOKUP(BC349,Потребители_обозначение,8,FALSE)),""))</f>
        <v/>
      </c>
      <c r="BU349">
        <f t="shared" si="705"/>
        <v>230</v>
      </c>
      <c r="BV349">
        <f t="shared" si="706"/>
        <v>0</v>
      </c>
      <c r="BW349">
        <f>IF(B349="","",IF(BH349&lt;&gt;"",3,IFERROR(IF(N(VLOOKUP(BC349,Потребители_обозначение,9,FALSE))=0,1,VLOOKUP(BC349,Потребители_обозначение,9,FALSE)),1)))</f>
        <v>1</v>
      </c>
      <c r="BX349">
        <f t="shared" si="707"/>
        <v>1</v>
      </c>
      <c r="BY349" t="str">
        <f>IF(B349="","",_xlfn.LET(_xlpm.bc,IFERROR(IF(VLOOKUP(BC349,Потребители_обозначение,6,FALSE)=0,"",VLOOKUP(BC349,Потребители_обозначение,6,FALSE)&amp;""),""),IF(AND(GA349="да",OR(_xlpm.bc="",_xlpm.bc="мс")),Марка_пож,IF(AND(_xlpm.bc="",BH349&lt;&gt;""),"мс",_xlpm.bc))))</f>
        <v/>
      </c>
      <c r="BZ349" t="str">
        <f t="shared" si="708"/>
        <v>мс</v>
      </c>
      <c r="CA349">
        <f>IF(B349="","",_xlfn.LET(_xlpm.cc,IFERROR(N(VLOOKUP(BC349,Потребители_обозначение,7,FALSE)),0),IF(_xlpm.cc&gt;0,_xlpm.cc,IF(BZ349="","",IF(BV349=1,2,IF(N(BX349)=3,5,3))))))</f>
        <v>3</v>
      </c>
      <c r="CB349">
        <f t="shared" si="709"/>
        <v>3</v>
      </c>
      <c r="CC349">
        <f>IFERROR(N(VLOOKUP(BC349,Потребители_обозначение,10,FALSE)),0)</f>
        <v>0</v>
      </c>
      <c r="CD349">
        <f>IFERROR(VLOOKUP(BC349,Потребители_обозначение,5,FALSE),0)</f>
        <v>0</v>
      </c>
      <c r="CE349" s="6" cm="1">
        <f t="array" ref="CE349">IF(B349="","",IF(BH349&lt;&gt;"",IFERROR(_xlfn.XLOOKUP(BH349,Щиты[Щит],Щиты[cos φ]),0.95),IF(BP349=1,IFERROR(_xlfn.XLOOKUP(A349,Щиты[Щит],Щиты[cos φ]),0.95),IF(ISNUMBER(AD349),AD349,IFERROR(IF(CD349=2,_xlfn.IFS(BX349=3,VLOOKUP(BS349,Справочная_двигатели,8,FALSE),BX349=1,VLOOKUP(BS349,Справочная_двигатели,10,TRUE)),IF(AND(Методика="нормы 2026",FG349="Сил"),0.8,0.95)),0.95)))))</f>
        <v>0.95</v>
      </c>
      <c r="CF349">
        <f t="shared" si="710"/>
        <v>0</v>
      </c>
      <c r="CG349">
        <f t="shared" si="711"/>
        <v>1</v>
      </c>
      <c r="CH349">
        <f t="shared" si="712"/>
        <v>0</v>
      </c>
      <c r="CI349">
        <f>IF(B349="","",IF(BV349=1,IFERROR(BS349/((Uн_лин/SQRT(3))*MAX(0.5,N(CE349))),0),N(O349)))</f>
        <v>8.7514146066638006</v>
      </c>
      <c r="CJ349">
        <f t="shared" si="713"/>
        <v>0</v>
      </c>
      <c r="CK349">
        <f t="shared" si="714"/>
        <v>0</v>
      </c>
      <c r="CL349">
        <f t="shared" si="715"/>
        <v>0</v>
      </c>
      <c r="CM349">
        <f t="shared" si="716"/>
        <v>0</v>
      </c>
      <c r="CN349">
        <f t="shared" si="717"/>
        <v>0</v>
      </c>
      <c r="CO349">
        <f>IF(BC349="",0,_xlfn.LET(_xlpm.v,IFERROR(_xlfn.XLOOKUP(B349,Коды_код,Коды_мА),IFERROR(_xlfn.XLOOKUP(BC349,Коды_код,Коды_мА),IFERROR(_xlfn.XLOOKUP(LEFT(BC349,2),Коды_код,Коды_мА),""))),IF(_xlpm.v="да",30,IF(ISNUMBER(_xlpm.v),_xlpm.v,0))))</f>
        <v>0</v>
      </c>
      <c r="CP349" t="str">
        <f t="shared" si="718"/>
        <v/>
      </c>
      <c r="CQ349" t="str">
        <f>_xlfn.LET(_xlpm.k,IFERROR(_xlfn.XLOOKUP(BC349,Коды_код,Коды_утечка)&amp;"",""),IF(_xlpm.k="","дифавтомат",_xlpm.k))</f>
        <v>дифавтомат</v>
      </c>
      <c r="CR349" t="str" cm="1">
        <f t="array" ref="CR349">IF(CG349=0,"",_xlfn.LET(_xlpm.sg,TRIM(_xlfn.TEXTSPLIT(DD349&amp;"",";")),_xlpm.f_,_xlfn._xlws.FILTER(_xlpm.sg,LEFT(_xlpm.sg,3)="УЗО",""),IFERROR(INDEX(_xlpm.f_,1)&amp;"","")))</f>
        <v/>
      </c>
      <c r="CS349" t="str">
        <f t="shared" si="719"/>
        <v/>
      </c>
      <c r="CT349" s="6" t="str" cm="1">
        <f t="array" ref="CT349">IF(CR349="","",_xlfn.LET(_xlpm.tk,_xlfn.TEXTSPLIT(UPPER(CR349)," ",,TRUE),_xlpm.a_,_xlfn._xlws.FILTER(_xlpm.tk,ISNUMBER(--LEFT(_xlpm.tk,1))*((ISNUMBER(SEARCH("А",_xlpm.tk))+ISNUMBER(SEARCH("A",_xlpm.tk)))&gt;0)*NOT(ISNUMBER(SEARCH("МА",_xlpm.tk)))*NOT(ISNUMBER(SEARCH("MA",_xlpm.tk))),""),IFERROR(--SUBSTITUTE(SUBSTITUTE(INDEX(_xlpm.a_,1),"А",""),"A",""),"")))</f>
        <v/>
      </c>
      <c r="CU349" t="str" cm="1">
        <f t="array" ref="CU349">IF(CR349="","",_xlfn.LET(_xlpm.tk,_xlfn.TEXTSPLIT(UPPER(CR349)," ",,TRUE),_xlpm.a_,_xlfn._xlws.FILTER(_xlpm.tk,ISNUMBER(--LEFT(_xlpm.tk,1))*((ISNUMBER(SEARCH("МА",_xlpm.tk))+ISNUMBER(SEARCH("MA",_xlpm.tk)))&gt;0),""),IFERROR(--SUBSTITUTE(SUBSTITUTE(INDEX(_xlpm.a_,1),"МА",""),"MA",""),30)))</f>
        <v/>
      </c>
      <c r="CV349" t="str">
        <f>IF(CS349="","",IFERROR(_xlfn.XLOOKUP(CS349,Линии[_n],Линии[_УЗО, мА]),30))</f>
        <v/>
      </c>
      <c r="CW349">
        <f>IF(CS349="",0,IF(ISNUMBER(SEARCH("4P",IFERROR(_xlfn.XLOOKUP(CS349,Линии[_n],Линии[_УЗО строки])&amp;"",""))),0,1))</f>
        <v>0</v>
      </c>
      <c r="CX349" t="str">
        <f>IF(AND(CS349&lt;&gt;"",CS349=BA349),SUMIFS(Линии[_ток на 230 В],Линии[_блок УЗО],BA349,Линии[Щит],A349),"")</f>
        <v/>
      </c>
      <c r="CY349" t="str">
        <f>IF(AND(CS349&lt;&gt;"",CS349=BA349),SUMIFS(Линии[_ток утечки линии, мА],Линии[_блок УЗО],BA349,Линии[Щит],A349),"")</f>
        <v/>
      </c>
      <c r="CZ349">
        <f t="shared" si="720"/>
        <v>0</v>
      </c>
      <c r="DA349">
        <f t="shared" si="721"/>
        <v>0</v>
      </c>
      <c r="DB349">
        <f>IF(B349="",0,IFERROR(--_xlfn.XLOOKUP(B349,Коды_код,Коды_минавт),IFERROR(--_xlfn.XLOOKUP(BC349,Коды_код,Коды_минавт),IFERROR(--_xlfn.XLOOKUP(LEFT(BC349,2),Коды_код,Коды_минавт),0))))</f>
        <v>0</v>
      </c>
      <c r="DC349" t="str">
        <f>IF(B349="","",IFERROR(_xlfn.XLOOKUP(BC349,Коды_код,Коды_апп)&amp;"",""))</f>
        <v/>
      </c>
      <c r="DD349" t="str">
        <f t="shared" si="722"/>
        <v/>
      </c>
      <c r="DE349" t="str" cm="1">
        <f t="array" ref="DE349">IF(TRIM(DD349&amp;"")="","",IFERROR(TRIM(INDEX(_xlfn.TEXTSPLIT(DD349&amp;";;;",";"),1)),""))</f>
        <v/>
      </c>
      <c r="DF349" t="str" cm="1">
        <f t="array" ref="DF349">IF(TRIM(DD349&amp;"")="","",IFERROR(TRIM(INDEX(_xlfn.TEXTSPLIT(DD349&amp;";;;",";"),2)),""))</f>
        <v/>
      </c>
      <c r="DG349" t="str" cm="1">
        <f t="array" ref="DG349">IF(TRIM(DD349&amp;"")="","",IFERROR(TRIM(INDEX(_xlfn.TEXTSPLIT(DD349&amp;";;;",";"),3)),""))</f>
        <v/>
      </c>
      <c r="DH349">
        <f t="shared" si="723"/>
        <v>0</v>
      </c>
      <c r="DI349" t="str">
        <f>IF(B349="","",_xlfn.LET(_xlpm.t,LOWER(AZ349&amp;""),IF(ISNUMBER(SEARCH("dim",_xlpm.t)),"DIM",IF(ISNUMBER(SEARCH("dali",_xlpm.t)),"DALI",IF(OR(ISNUMBER(SEARCH("relay",_xlpm.t)),ISNUMBER(SEARCH("реле",_xlpm.t))),"Relay",IF(ISNUMBER(SEARCH("кнопк",_xlpm.t)),"",IFERROR(_xlfn.XLOOKUP(BC349,Коды_код,Коды_упр)&amp;"","")))))))</f>
        <v/>
      </c>
      <c r="DJ349" t="str">
        <f t="shared" si="724"/>
        <v/>
      </c>
      <c r="DK349">
        <f>IF(B349="","",_xlfn.LET(_xlpm.ig,IF(N(CX349)&gt;0,N(CX349),N(CI349)+IF(AJ349="вручную",0,N(CJ349))),_xlpm.n0,IFERROR(VLOOKUP(_xlpm.ig,Автомат_номиналы,2,TRUE),0),_xlpm.mn,MAX(DB349,IF(AJ349="вручную",0,N(CM349))),MAX(_xlpm.n0,_xlpm.mn,IF(DH349=1,Мин_автомат_БП,0))))</f>
        <v>10</v>
      </c>
      <c r="DL349">
        <f t="shared" si="725"/>
        <v>1</v>
      </c>
      <c r="DM349" t="str">
        <f t="shared" si="726"/>
        <v>1P</v>
      </c>
      <c r="DN349" t="str">
        <f>_xlfn.LET(_xlpm.cc,UPPER(TRIM(IFERROR(_xlfn.XLOOKUP(BC349,Коды_код,Коды_хар)&amp;"",""))),IF(OR(_xlpm.cc="B",_xlpm.cc="В"),"B",IF(_xlpm.cc="D","D","С")))</f>
        <v>С</v>
      </c>
      <c r="DO349" t="str">
        <f t="shared" si="727"/>
        <v>1P С10А</v>
      </c>
      <c r="DP349">
        <f t="shared" si="728"/>
        <v>16</v>
      </c>
      <c r="DQ349" t="str">
        <f t="shared" si="729"/>
        <v>1P С16А</v>
      </c>
      <c r="DR349" cm="1">
        <f t="array" ref="DR349">IF(DQ349="","",_xlfn.LET(_xlpm.t,SUBSTITUTE(SUBSTITUTE(SUBSTITUTE(UPPER(DQ349),"С","C"),"А","A"),"В","B"),_xlpm.tk,_xlfn.TEXTSPLIT(_xlpm.t," "),_xlpm.f,_xlfn._xlws.FILTER(_xlpm.tk,ISNUMBER(--MID(_xlpm.tk,2,1))*ISNUMBER(SEARCH(LEFT(_xlpm.tk,1)&amp;"#","B#C#D#"))*(LEN(_xlpm.tk)&gt;1),""),_xlpm.x,INDEX(_xlpm.f,1),IFERROR(--SUBSTITUTE(MID(_xlpm.x,2,9),"A",""),IFERROR(--SUBSTITUTE(INDEX(_xlfn._xlws.FILTER(_xlpm.tk,ISNUMBER(--SUBSTITUTE(_xlpm.tk,"A","")),""),1),"A",""),""))))</f>
        <v>16</v>
      </c>
      <c r="DS349" t="str">
        <f t="shared" si="730"/>
        <v>ok</v>
      </c>
      <c r="DT349">
        <f t="shared" si="731"/>
        <v>16</v>
      </c>
      <c r="DU349" t="str">
        <f t="shared" si="732"/>
        <v>1P С16А</v>
      </c>
      <c r="DV349">
        <f t="shared" si="733"/>
        <v>0</v>
      </c>
      <c r="DW349">
        <f t="shared" si="734"/>
        <v>0</v>
      </c>
      <c r="DX349">
        <f t="shared" si="735"/>
        <v>0</v>
      </c>
      <c r="DY349">
        <f t="shared" si="736"/>
        <v>8.7514146066638006</v>
      </c>
      <c r="DZ349">
        <f t="shared" si="737"/>
        <v>1</v>
      </c>
      <c r="EA349">
        <f>IF(ISNUMBER(AP349),AP349,К_прокл)</f>
        <v>1</v>
      </c>
      <c r="EB349">
        <f t="shared" si="738"/>
        <v>2</v>
      </c>
      <c r="EC349">
        <f>IFERROR(N(VLOOKUP(BZ349,Кабель_обозначение,3,FALSE)),1)</f>
        <v>1</v>
      </c>
      <c r="ED349">
        <f>IFERROR(N(_xlfn.XLOOKUP(A349,Щиты[Щит],Щиты[ΔU до шин, %])),0)</f>
        <v>2.4899999999999998</v>
      </c>
      <c r="EE349" t="str">
        <f>IFERROR(_xlfn.XLOOKUP(A349,Щиты[Щит],Щиты[Zпетли на шинах, Ом]),"")</f>
        <v/>
      </c>
      <c r="EF349">
        <f>IFERROR(N(_xlfn.XLOOKUP(A349,Щиты[Щит],Щиты[ΔU до шин (подбор), %])),0)</f>
        <v>3.73</v>
      </c>
      <c r="EG349" t="str">
        <f>IFERROR(_xlfn.XLOOKUP(A349,Щиты[Щит],Щиты[Zпетли на шинах (подбор), Ом]),"")</f>
        <v/>
      </c>
      <c r="EH349" t="str">
        <f t="shared" si="739"/>
        <v/>
      </c>
      <c r="EI349">
        <f t="shared" si="740"/>
        <v>40</v>
      </c>
      <c r="EJ349">
        <f t="shared" si="741"/>
        <v>2</v>
      </c>
      <c r="EK349">
        <f t="shared" si="742"/>
        <v>0.31</v>
      </c>
      <c r="EL349" s="6">
        <f>IF(B349="","",IF(BV349=1,dU_LED,IF(IFERROR(_xlfn.XLOOKUP(BC349,Коды_код,Коды_уго),"")="Светильник",3,4)+IF(Методика="нормы 2026",MIN(0.5,MAX(0,N(P349)-100)*0.005),0)))</f>
        <v>4</v>
      </c>
      <c r="EM349" cm="1">
        <f t="array" ref="EM349">IF(OR(B349="",BZ349="",EC349&lt;&gt;1),"",_xlfn.LET(_xlpm.sz,Iдоп_S,_xlpm.t_,CHOOSE(EB349,Iдоп_1ж,Iдоп_2ж,Iдоп_3ж)*DZ349*EA349,_xlpm.dcx,BV349=1,_xlpm.inn,IF(_xlpm.dcx,N(O349),N(DT349)),_xlpm.smin,MAX(1.5,CC349),_xlpm.L_,N(P349)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349)/N(BU349)*100,999),IFERROR(N(EJ349)*(_xlpm.rho*_xlpm.L_/_xlpm.sz*N(CE349)+_xlpm.xx*_xlpm.L_*N(EK349)/1000)*N(O349)/((Uн_лин/SQRT(3))*1000)*100,999)),_xlpm.kz,IF(OR(_xlpm.dcx,DW349=1,NOT(ISNUMBER(EG349)),_xlpm.L_=0,_xlpm.inn=0),1,IFERROR(--(c_min*(Uн_лин*1000/SQRT(3))/(EG349+2*ρкз_Cu*_xlpm.L_/_xlpm.sz)&gt;=HT349*_xlpm.inn),0)),_xlpm.ok,IFERROR((_xlpm.sz&gt;=_xlpm.smin)*(_xlpm.t_&gt;=_xlpm.inn)*IF(_xlpm.L_&gt;0,(_xlpm.du_+IF(_xlpm.dcx,0,EF349)&lt;=EL349+0.00001),1)*_xlpm.kz,0),_xlpm.r_,_xlfn._xlws.FILTER(_xlpm.sz,_xlpm.ok,"не подобрано"),INDEX(_xlpm.r_,1)))</f>
        <v>25</v>
      </c>
      <c r="EN349">
        <f t="shared" si="743"/>
        <v>2.5</v>
      </c>
      <c r="EO349" cm="1">
        <f t="array" ref="EO349">IF(OR(B349="",BZ349="",EC349&lt;&gt;1),"",_xlfn.LET(_xlpm.sz,Iдоп_S,_xlpm.t_,CHOOSE(EB349,Iдоп_1ж,Iдоп_2ж,Iдоп_3ж)*DZ349*EA349,_xlpm.ok,IFERROR((_xlpm.sz&gt;=MAX(1.5,CC349))*(_xlpm.t_&gt;=N(DT349)),0),_xlpm.r_,_xlfn._xlws.FILTER(_xlpm.sz,_xlpm.ok,""),INDEX(_xlpm.r_,1)))</f>
        <v>1.5</v>
      </c>
      <c r="EP349" s="6" cm="1">
        <f t="array" ref="EP349">IFERROR(ROUNDUP(N(EJ349)*(_xlfn.XLOOKUP(EO349,INDEX(Кабель_сопротивление,0,1),INDEX(Кабель_сопротивление,0,3))*N(P349)/EO349*N(CE349)+_xlfn.XLOOKUP(EO349,INDEX(Кабель_сопротивление,0,1),INDEX(Кабель_сопротивление,0,2))*N(P349)*N(EK349)/1000)*N(O349)/((Uн_лин/SQRT(3))*1000)*100,2),"")</f>
        <v>4.34</v>
      </c>
      <c r="EQ349">
        <f>IFERROR(2*ρкз_Cu*N(P349)/EO349,"")</f>
        <v>1.4026666666666667</v>
      </c>
      <c r="ER349">
        <f>IFERROR(VLOOKUP(EN349,Кабель_сопротивление,3,FALSE),"")</f>
        <v>2.2499999999999999E-2</v>
      </c>
      <c r="ES349">
        <f>IFERROR(VLOOKUP(EN349,Кабель_сопротивление,2,FALSE),"")</f>
        <v>0.1</v>
      </c>
      <c r="ET349">
        <f t="shared" si="744"/>
        <v>12</v>
      </c>
      <c r="EU349">
        <f t="shared" si="745"/>
        <v>22</v>
      </c>
      <c r="EV349">
        <f t="shared" si="746"/>
        <v>6.0076710991825655</v>
      </c>
      <c r="EW349" s="6">
        <f>IFERROR(ROUNDUP(EV349/IF(BV349=1,BU349,(Uн_лин/SQRT(3))*1000)*100,2),"")</f>
        <v>2.61</v>
      </c>
      <c r="EX349" t="str">
        <f>IFERROR(VLOOKUP(BZ349,Кабель_обозначение,2,FALSE),"")</f>
        <v>ВВГнг(А)-LS</v>
      </c>
      <c r="EY349" t="str">
        <f t="shared" si="747"/>
        <v>ВВГнг(А)-LS (3х2,5)</v>
      </c>
      <c r="EZ349" t="str">
        <f t="shared" si="748"/>
        <v>ВВГнг(А)-LS (3х2,5)
L=40-2,61%</v>
      </c>
      <c r="FA349">
        <f>IFERROR(2*ρкз_Cu*P349/EN349,"")</f>
        <v>0.84160000000000001</v>
      </c>
      <c r="FB349">
        <f t="shared" si="749"/>
        <v>0.28000000000000003</v>
      </c>
      <c r="FC349" s="6" t="str">
        <f>IFERROR(IF(OR(B349="",BV349=1,NOT(ISNUMBER(EN349)),N(P349)=0),"",_xlfn.XLOOKUP(A349,Щиты[Щит],Щиты[Zпетли на шинах, Ом])+FA349),"")</f>
        <v/>
      </c>
      <c r="FD349" s="6" t="str">
        <f>IF(ISNUMBER(FC349),c_min*(Uн_лин*1000/SQRT(3))/FC349,"")</f>
        <v/>
      </c>
      <c r="FE349" s="6" t="str">
        <f>IFERROR(IF(OR(B349="",NOT(ISNUMBER(EN349))),"",1.05*(Uн_лин*1000/SQRT(3))/(_xlfn.XLOOKUP(A349,Щиты[Щит],Щиты[Zmax на шинах, Ом])+FB349)/1000),"")</f>
        <v/>
      </c>
      <c r="FF349" s="6" t="str">
        <f>IF(B349="","",IF(ISNUMBER(AC349),"Сил",IF(IFERROR(_xlfn.XLOOKUP(BC349,Коды_код,Коды_группа)&amp;"","")="","Быт",_xlfn.XLOOKUP(BC349,Коды_код,Коды_группа)&amp;"")))</f>
        <v>Быт</v>
      </c>
      <c r="FG349" s="6" t="str">
        <f t="shared" si="750"/>
        <v>Пост</v>
      </c>
      <c r="FH349" s="6">
        <f>IF(FG349="Щит","щит",IF(FG349="","",IF(FG349="Быт",IFERROR(_xlfn.XLOOKUP(A349,Щиты[Щит],Щиты[Кс быт]),1),IF(FG349="Сил",IF(ISNUMBER(AC349),AC349,IF(Методика="нормы 2026",IFERROR(_xlfn.XLOOKUP(A349,Щиты[Щит],Щиты[Кс силовых (табл. 7.5)]),1),1)),IF(OR(FG349="Пост",FG349="Отоп"),1,IF(FG349="ВНГ",0.7,0))))))</f>
        <v>1</v>
      </c>
      <c r="FI349">
        <f>IF(FG349="","",IF(AND(BP349=1,TRIM(AE349&amp;"")=""),IF(COUNTIFS(Линии[Щит],A349,Линии[Секция (1/2/3)],"&gt;=2")&gt;0,MIN(3,MAX(1,IFERROR(--BD349,1))),1),IFERROR(MIN(3,MAX(1,INT(--AE349))),1)))</f>
        <v>1</v>
      </c>
      <c r="FJ349">
        <f t="shared" si="751"/>
        <v>1.92</v>
      </c>
      <c r="FK349">
        <f t="shared" si="752"/>
        <v>0</v>
      </c>
      <c r="FL349">
        <f t="shared" si="753"/>
        <v>0</v>
      </c>
      <c r="FM349">
        <f t="shared" si="754"/>
        <v>1.92</v>
      </c>
      <c r="FN349">
        <f t="shared" si="755"/>
        <v>0</v>
      </c>
      <c r="FO349">
        <f t="shared" si="756"/>
        <v>0</v>
      </c>
      <c r="FP349">
        <f t="shared" si="757"/>
        <v>1.92</v>
      </c>
      <c r="FQ349">
        <f t="shared" si="758"/>
        <v>1.92</v>
      </c>
      <c r="FR349">
        <f t="shared" si="759"/>
        <v>1.8239999999999998</v>
      </c>
      <c r="FS349">
        <f>IF(CG349=1,IF(AND(CH349=1,CW349=1),0,IF(AND(CS349&lt;&gt;"",CS349=BA349,CW349=1),SUMIFS(Линии[_Р линии, кВт],Линии[_блок УЗО],BA349,Линии[Щит],A349),N(BS349)+IF(AJ349="вручную",0,N(CK349)))),0)</f>
        <v>1.92</v>
      </c>
      <c r="FT349" t="str">
        <f t="shared" si="760"/>
        <v>L3</v>
      </c>
      <c r="FU349" t="str">
        <f>IF(B349="","",IF(CG349=0,IF(BA349=1,"",FW348),IF(AND(CH349=1,CW349=1,CS349&lt;&gt;""),IFERROR(_xlfn.XLOOKUP(CS349,Линии[_n],Линии[_фаза итог]),"L1"),IF(OR(N(DL349)&gt;=3,N(BX349)&gt;=3),"L1,L2,L3",IFERROR(_xlfn.TEXTBEFORE(_xlfn.TEXTAFTER(_xlfn.XLOOKUP(A349,Щиты[Щит],Щиты[_фазы авто]),";"&amp;BA349&amp;":"),";"),"L1")))))</f>
        <v>L1</v>
      </c>
      <c r="FV349" t="str">
        <f t="shared" si="761"/>
        <v>L3</v>
      </c>
      <c r="FW349" t="str">
        <f t="shared" si="762"/>
        <v>L3</v>
      </c>
      <c r="FX349" cm="1">
        <f t="array" ref="FX349">IFERROR(IF(CD349=2,_xlfn.IFS(BX349=3,VLOOKUP(BS349,Справочная_двигатели,3,FALSE),BX349=1,VLOOKUP(BS349,Справочная_двигатели,5,TRUE)),0),0)</f>
        <v>0</v>
      </c>
      <c r="FY349">
        <f>IFERROR(IF(CD349=3,VLOOKUP(BS349,Справочная_ЛЭД,2,TRUE),0),0)</f>
        <v>0</v>
      </c>
      <c r="FZ349" s="6">
        <f t="shared" si="763"/>
        <v>0</v>
      </c>
      <c r="GA349" t="str">
        <f>IF(B349="","",IF(TRIM(AH349&amp;"")&lt;&gt;"",IF(LOWER(TRIM(AH349&amp;""))="да","да","нет"),IF(IFERROR(_xlfn.XLOOKUP(BC349,Коды_код,Коды_пожарная),"")="да","да","нет")))</f>
        <v>нет</v>
      </c>
      <c r="GB349" t="str">
        <f t="shared" si="764"/>
        <v/>
      </c>
      <c r="GC349" t="str">
        <f t="shared" si="765"/>
        <v>основная</v>
      </c>
      <c r="GD349">
        <f>IF(AND(BP349=1,TRIM(AE349&amp;"")=""),IF(COUNTIFS(Линии[Щит],A349,Линии[Секция (1/2/3)],"&gt;=2")&gt;0,MIN(3,MAX(1,IFERROR(--BD349,1))),1),IFERROR(MIN(3,MAX(1,INT(--AE349))),1))</f>
        <v>1</v>
      </c>
      <c r="GE349" t="str" cm="1">
        <f t="array" ref="GE349">IF(B349="","",_xlfn.LET(_xlpm.t,IFERROR(_xlfn.XLOOKUP(1,(Шины[Шина]=GC349)*(((Шины[Щит]=A349)+(Шины[Щит]=""))&gt;0),Шины[Тип]),"")&amp;"",IF(_xlpm.t&lt;&gt;"",_xlpm.t,IF(ISNUMBER(SEARCH("ИБП",GC349)),"ИБП",IF(ISNUMBER(SEARCH("ДГУ",GC349)),"ДГУ","Ввод "&amp;GD349)))))</f>
        <v>Ввод 1</v>
      </c>
      <c r="GF349" t="str">
        <f t="shared" si="766"/>
        <v>Ввод 1</v>
      </c>
      <c r="GG349" t="str">
        <f>IF(BP349=0,"",IF(TRIM(AG349&amp;"")&lt;&gt;"",TRIM(AG349&amp;""),IF(OR(GE349="ИБП",GE349="ДГУ"),"I особая",_xlfn.XLOOKUP(A349,Щиты[Щит],Щиты[Категория шины «Ввод»],"III"))))</f>
        <v/>
      </c>
      <c r="GH349" t="str">
        <f>IF(A349="","",_xlfn.XLOOKUP(A349,Щиты[Щит],Щиты[Путь],""))</f>
        <v>|ГРЩ-ЖД|ЩУОВ|</v>
      </c>
      <c r="GI349" t="str">
        <f>IF(B349="","",IF(AI349&lt;&gt;"",AI349,IF(IFERROR(_xlfn.XLOOKUP(BC349,Коды_код,Коды_вид)&amp;"","")="","Прочее",_xlfn.XLOOKUP(BC349,Коды_код,Коды_вид)&amp;"")))</f>
        <v>Обогрев водостоков и кровли</v>
      </c>
      <c r="GJ349">
        <f>IF(BM349="","",INT((BM349-1)/Столбцов_на_лист)+1)</f>
        <v>2</v>
      </c>
      <c r="GK349" t="str">
        <f t="shared" si="767"/>
        <v>ВВГнг(А)-LS (3х2,5) L=40-2,61%</v>
      </c>
      <c r="GL349">
        <f t="shared" si="768"/>
        <v>1.92</v>
      </c>
      <c r="GM349">
        <f t="shared" si="769"/>
        <v>8.76</v>
      </c>
      <c r="GN349">
        <f t="shared" si="770"/>
        <v>1</v>
      </c>
      <c r="GO349">
        <f t="shared" si="771"/>
        <v>0</v>
      </c>
      <c r="GP349">
        <f t="shared" si="772"/>
        <v>1</v>
      </c>
      <c r="GQ349">
        <f>IF(BM349="","",IF(AND(CG349=1,GP349=1),COUNTIFS(A$3:A349,A349,CG$3:CG349,1,GP$3:GP349,1),IF(OR(OR(BA349=1,A349&lt;&gt;A348),AJ349="вручную",GP349=0),"",IF(BA349=1,"",GR348))))</f>
        <v>8</v>
      </c>
      <c r="GR349">
        <f t="shared" si="773"/>
        <v>8</v>
      </c>
      <c r="GS349">
        <f>IF(B349="","",IFERROR(LOOKUP(INDEX(CHOOSE(EB349,Iдоп_1ж,Iдоп_2ж,Iдоп_3ж),MATCH(EN349,Iдоп_S,0))*DZ349*EA349,{6,10,16,20,25,32,40,50,63,80,100,125,160,200,250,315,400,500,630}),""))</f>
        <v>25</v>
      </c>
      <c r="GT349" t="str">
        <f t="shared" si="774"/>
        <v>QF8</v>
      </c>
      <c r="GU349" t="str">
        <f t="shared" si="775"/>
        <v>QF8</v>
      </c>
      <c r="GV349" t="str">
        <f t="shared" si="776"/>
        <v/>
      </c>
      <c r="GW349">
        <f t="shared" si="777"/>
        <v>0</v>
      </c>
      <c r="GX349" t="str">
        <f>IF(OR(B349="",DJ349=""),"",IFERROR(_xlfn.XLOOKUP(DJ349,Модули_умолч[Управление],Модули_умолч[Модель])&amp;"",""))</f>
        <v/>
      </c>
      <c r="GY349">
        <f>IF(DJ349="",1,IFERROR(MAX(0,N(_xlfn.XLOOKUP(DJ349,Модули_умолч[Управление],Модули_умолч[Каналов на линию]))),1))</f>
        <v>1</v>
      </c>
      <c r="GZ349" t="str">
        <f t="shared" si="778"/>
        <v/>
      </c>
      <c r="HA349" t="str">
        <f t="shared" si="779"/>
        <v/>
      </c>
      <c r="HB349" t="str">
        <f t="shared" si="780"/>
        <v/>
      </c>
      <c r="HC349">
        <f>IF(HB349="",0,IFERROR(N(VLOOKUP(HB349,Модули_спр,3,FALSE)),0))</f>
        <v>0</v>
      </c>
      <c r="HD349" t="str">
        <f t="shared" si="781"/>
        <v/>
      </c>
      <c r="HE349" t="str">
        <f t="shared" si="782"/>
        <v/>
      </c>
      <c r="HF349" t="str">
        <f>IF(OR(HE349="",HE349="-"),"",IFERROR(VLOOKUP(HE349,Модули_спр,2,FALSE),"R"))</f>
        <v/>
      </c>
      <c r="HG349" t="str">
        <f>IF(HF349="","",HF349&amp;"."&amp;COUNTIFS(A$3:A349,A349,HF$3:HF349,HF349))</f>
        <v/>
      </c>
      <c r="HH349" t="str">
        <f t="shared" si="783"/>
        <v/>
      </c>
      <c r="HI349" t="str">
        <f t="shared" si="784"/>
        <v/>
      </c>
      <c r="HJ349" t="str">
        <f t="shared" si="785"/>
        <v/>
      </c>
      <c r="HK349" t="str">
        <f t="shared" si="786"/>
        <v/>
      </c>
      <c r="HL349">
        <f t="shared" si="787"/>
        <v>1</v>
      </c>
      <c r="HM349" t="str">
        <f>IF(HL349=1,"XT"&amp;COUNTIFS(A$3:A349,A349,HL$3:HL349,1),"")</f>
        <v>XT8</v>
      </c>
      <c r="HN349" t="str">
        <f t="shared" si="788"/>
        <v/>
      </c>
      <c r="HO349" t="str">
        <f t="shared" si="789"/>
        <v>QF8</v>
      </c>
      <c r="HP349" t="str">
        <f t="shared" si="790"/>
        <v/>
      </c>
      <c r="HQ349" t="str">
        <f t="shared" si="791"/>
        <v>ok</v>
      </c>
      <c r="HR349" t="str">
        <f>IF(OR(HJ349="",HH349=""),"",IF(HJ349+MAX(0,GY349-1)&gt;IFERROR(VLOOKUP(HI349,Модули_спр,3,FALSE),99),"ЛИШНИЙ КАНАЛ",IF(AND(AL349&lt;&gt;"=",GY349&gt;0,COUNTIFS(Линии[_модуль гр.],HH349,Линии[Канал (итог)],HJ349,Линии[Канал],"&lt;&gt;=",Линии[Щит],A349)&gt;1),"ДУБЛЬ КАНАЛА","")))</f>
        <v/>
      </c>
      <c r="HS349" s="6" t="str">
        <f t="shared" si="792"/>
        <v/>
      </c>
      <c r="HT349">
        <f t="shared" si="793"/>
        <v>10</v>
      </c>
      <c r="HU349" t="str">
        <f t="shared" si="794"/>
        <v/>
      </c>
      <c r="HV349">
        <f t="shared" si="795"/>
        <v>3.9005658426655203</v>
      </c>
      <c r="HW349">
        <f t="shared" si="796"/>
        <v>0</v>
      </c>
      <c r="HX349">
        <f t="shared" si="797"/>
        <v>0</v>
      </c>
      <c r="HY349">
        <f t="shared" si="798"/>
        <v>0</v>
      </c>
      <c r="HZ349">
        <f t="shared" si="799"/>
        <v>0</v>
      </c>
      <c r="IA349">
        <f t="shared" si="800"/>
        <v>0</v>
      </c>
      <c r="IB349">
        <f t="shared" si="801"/>
        <v>0</v>
      </c>
      <c r="IC349" t="str">
        <f t="shared" si="802"/>
        <v/>
      </c>
      <c r="ID349" t="str" cm="1">
        <f t="array" ref="ID349">IF(IC349="","",_xlfn.LET(_xlpm.tk,_xlfn.TEXTSPLIT(SUBSTITUTE(SUBSTITUTE(IC349,";"," "),"→"," ")," ",,TRUE),_xlpm.w_,_xlfn._xlws.FILTER(_xlpm.tk,ISNUMBER(--LEFT(_xlpm.tk,1))*((ISNUMBER(SEARCH("W",_xlpm.tk))+ISNUMBER(SEARCH("Вт",_xlpm.tk)))&gt;0),""),IFERROR(--SUBSTITUTE(SUBSTITUTE(UPPER(INDEX(_xlpm.w_,1)),"W",""),"ВТ",""),"")))</f>
        <v/>
      </c>
      <c r="IE349" t="str" cm="1">
        <f t="array" ref="IE349">IF(IC349="","",_xlfn.LET(_xlpm.tk,_xlfn.TEXTSPLIT(SUBSTITUTE(SUBSTITUTE(IC349,";"," "),"→"," ")," ",,TRUE),_xlpm.v_,_xlfn._xlws.FILTER(_xlpm.tk,ISNUMBER(--LEFT(_xlpm.tk,1))*((ISNUMBER(SEARCH("V",_xlpm.tk))+(RIGHT(UPPER(_xlpm.tk))="В"))&gt;0),""),IFERROR(--SUBSTITUTE(SUBSTITUTE(UPPER(INDEX(_xlpm.v_,1)),"V",""),"В",""),"")))</f>
        <v/>
      </c>
      <c r="IF349" s="6" t="str">
        <f>IF(OR(BV349=0,HI349="",HJ349=""),"",IFERROR(N(_xlfn.XLOOKUP(HI349,Каталог!$C$4:$C$500,Каталог!$Q$4:$Q$500)),""))</f>
        <v/>
      </c>
      <c r="IG349" s="6" t="str">
        <f>IF(N(IF349)=0,"",SUMIFS(Линии[Iр, А],Линии[Щит],A349,Линии[_модуль гр.],HH349,Линии[Канал (итог)],HJ349))</f>
        <v/>
      </c>
      <c r="IH349" t="str">
        <f>IF(AND(B349="",HO349=""),"",_xlfn.TEXTJOIN("; ",TRUE,IF(AND(B349&lt;&gt;"",FV349=""),"нет фазы",""),IF(AND(B349&lt;&gt;"",N(GL349)=0,FG349&lt;&gt;"Нет"),"нет мощности",""),IF(AND(HN349&lt;&gt;"",COUNTIFS(Линии[Щит],A349,Линии[Клемма (итог)],HN349)&gt;1),"дубль клеммы "&amp;HN349,""),IF(AND(HQ349&lt;&gt;"",HQ349&lt;&gt;"ok"),HQ349,""),IF(HR349&lt;&gt;"",HR349,""),IF(AND(N(CB349)&gt;=4,N(BX349)=1),CB349&amp;" жил на 1 фазе",""),IF(AND(BC349="R",CG349=1,IF(CS349&lt;&gt;"",N(CV349)&gt;30,OR(N(DA349)=0,N(DA349)&gt;30))),"розетка без дифзащиты до 30 мА",""),IF(AND(CG349=1,N(DA349)&gt;0,ISNUMBER(T349)),IF(T349&gt;N(DA349)/3,"ток утечки "&amp;FIXED(T349,1)&amp;" мА &gt; 1/3 уставки ("&amp;DA349&amp;" мА)",""),""),IF(AND(CH349=1,CS349=""),"«узо»: нет строки с УЗО выше (УЗО 2P 40А 30мА в «Аппаратах»)",""),IF(AND(CS349&lt;&gt;"",CS349=BA349),IF(CT349="","впишите номинал УЗО (УЗО 2P 40А 30мА)",IF(N(CT349)&lt;N(DT349),"УЗО "&amp;CT349&amp;" А &lt; автомата "&amp;DT349&amp;" А перед ним",IF(N(CT349)&lt;N(CX349),"УЗО "&amp;CT349&amp;" А &lt; тока блока "&amp;FIXED(CX349,1)&amp;" А",""))),""),IF(AND(CS349&lt;&gt;"",CS349=BA349,ISNUMBER(CY349)),IF(CY349&gt;N(CV349)/3,"ток утечки блока УЗО "&amp;FIXED(CY349,1)&amp;" мА &gt; 1/3 уставки ("&amp;CV349&amp;" мА)",""),""),IF(AND(CG349=1,N(BV349)+N(IB349)&gt;0,IC349=""),"линии до 50 В без БП: впишите в «Аппараты» (БП 24V 480W)",""),IF(AND(CG349=1,ISNUMBER(ID349),ISNUMBER(U349)),IF(U349&gt;ID349,"БП "&amp;ID349&amp;" Вт &lt; нужно "&amp;U349&amp;" Вт (×"&amp;Запас_БП&amp;")",""),""),IF(AND(CG349=1,ISNUMBER(IE349),N(BV349)=1),IF(IE349&lt;&gt;N(BU349),"БП на "&amp;IE349&amp;" В, линия "&amp;BU349&amp;" В",""),""),IF(AND(N(IF349)&gt;0,N(IG349)&gt;N(IF349)),HH349&amp;" канал "&amp;HJ349&amp;": "&amp;FIXED(IG349,1)&amp;" А &gt; "&amp;IF349&amp;" А",""),IFERROR(IF(AND(ISNUMBER(Q349),Q349&gt;EL349),"потери "&amp;FIXED(Q349,1)&amp;" % &gt; "&amp;EL349&amp;" %",""),""),IFERROR(IF(LEFT(HU349,4)="мало","Iкз мало — отключение &gt; 0,4 с",""),""),IF(AND(B349&lt;&gt;"",BM349=""),"не на схеме",""),IF(AND(CG349=0,B349&lt;&gt;"",FV349&lt;&gt;"",IF(BA349=1,"",FW348)&lt;&gt;"",FV349&lt;&gt;IF(BA349=1,"",FW348)),"фаза не как у автомата группы ("&amp;IF(BA349=1,"",FW348)&amp;")","")))</f>
        <v>потери 5,1 % &gt; 4 %</v>
      </c>
      <c r="II349" s="6">
        <f>IF(OR(CG349=0,DQ349=""),"",_xlfn.LET(_xlpm.t,IFERROR(_xlfn.XLOOKUP(DQ349,Каталог!$U$4:$U$500,Каталог!$G$4:$G$500),""),_xlpm.k,SEARCH("кА",_xlpm.t),IFERROR(--TRIM(RIGHT(SUBSTITUTE(MID(_xlpm.t,MAX(1,_xlpm.k-4),_xlpm.k-MAX(1,_xlpm.k-4))," ",REPT(" ",9)),5)),"")))</f>
        <v>6</v>
      </c>
      <c r="IJ349" t="str">
        <f>IF(OR(II349="",CG349=0),"",IF(_xlfn.XLOOKUP(A349,Щиты[Щит],Щиты[Iкз max на шинах, кА],"")="","",IF(II349&lt;_xlfn.XLOOKUP(A349,Щиты[Щит],Щиты[Iкз max на шинах, кА]),"Icu "&amp;II349&amp;" кА &lt; Iкз max","ok")))</f>
        <v/>
      </c>
      <c r="IK349" t="str">
        <f t="shared" si="803"/>
        <v/>
      </c>
      <c r="IL349" t="str">
        <f t="shared" si="804"/>
        <v>QF8</v>
      </c>
      <c r="IM349" t="str">
        <f t="shared" si="805"/>
        <v>QF8|кабель ВВГнг(А)-LS (3х2,5) → Обогревл ливнестоков Кровля</v>
      </c>
      <c r="IN349" t="str" cm="1">
        <f t="array" ref="IN349">IF(IM349="","",_xlfn.LET(_xlpm.nd,_xlfn.TEXTSPLIT(IM349,"|"),IF(COLUMNS(_xlpm.nd)&gt;1,A349&amp;"¦"&amp;INDEX(_xlpm.nd,1)&amp;"¦"&amp;INDEX(_xlpm.nd,2),"")))</f>
        <v>ЩУОВ¦QF8¦кабель ВВГнг(А)-LS (3х2,5) → Обогревл ливнестоков Кровля</v>
      </c>
      <c r="IO349" t="str">
        <f t="shared" si="806"/>
        <v>OV.4.1.1¦Обогревл ливнестоков Кровля</v>
      </c>
      <c r="IP349" t="str" cm="1">
        <f t="array" ref="IP349">IF(IM349="","",_xlfn.LET(_xlpm.nd,_xlfn.TEXTSPLIT(IM349,"|"),IF(COLUMNS(_xlpm.nd)&gt;2,A349&amp;"¦"&amp;INDEX(_xlpm.nd,2)&amp;"¦"&amp;INDEX(_xlpm.nd,3),"")))</f>
        <v/>
      </c>
      <c r="IQ349" t="str">
        <f t="shared" si="807"/>
        <v/>
      </c>
      <c r="IR349" t="str" cm="1">
        <f t="array" ref="IR349">IF(IM349="","",_xlfn.LET(_xlpm.nd,_xlfn.TEXTSPLIT(IM349,"|"),IF(COLUMNS(_xlpm.nd)&gt;3,A349&amp;"¦"&amp;INDEX(_xlpm.nd,3)&amp;"¦"&amp;INDEX(_xlpm.nd,4),"")))</f>
        <v/>
      </c>
      <c r="IS349" t="str">
        <f t="shared" si="808"/>
        <v/>
      </c>
      <c r="IT349" t="str" cm="1">
        <f t="array" ref="IT349">IF(IM349="","",_xlfn.LET(_xlpm.nd,_xlfn.TEXTSPLIT(IM349,"|"),IF(COLUMNS(_xlpm.nd)&gt;4,A349&amp;"¦"&amp;INDEX(_xlpm.nd,4)&amp;"¦"&amp;INDEX(_xlpm.nd,5),"")))</f>
        <v/>
      </c>
      <c r="IU349" t="str">
        <f t="shared" si="809"/>
        <v/>
      </c>
      <c r="IV349" t="str" cm="1">
        <f t="array" ref="IV349">IF(IM349="","",_xlfn.LET(_xlpm.nd,_xlfn.TEXTSPLIT(IM349,"|"),IF(COLUMNS(_xlpm.nd)&gt;5,A349&amp;"¦"&amp;INDEX(_xlpm.nd,5)&amp;"¦"&amp;INDEX(_xlpm.nd,6),"")))</f>
        <v/>
      </c>
      <c r="IW349" t="str">
        <f t="shared" si="810"/>
        <v/>
      </c>
      <c r="IX349" t="str" cm="1">
        <f t="array" ref="IX349">IF(IM349="","",_xlfn.LET(_xlpm.nd,_xlfn.TEXTSPLIT(IM349,"|"),IF(COLUMNS(_xlpm.nd)&gt;6,A349&amp;"¦"&amp;INDEX(_xlpm.nd,6)&amp;"¦"&amp;INDEX(_xlpm.nd,7),"")))</f>
        <v/>
      </c>
      <c r="IY349" t="str">
        <f t="shared" si="811"/>
        <v/>
      </c>
      <c r="IZ349" t="str">
        <f t="shared" si="812"/>
        <v/>
      </c>
      <c r="JA349" t="str">
        <f t="shared" si="813"/>
        <v>QF8</v>
      </c>
      <c r="JB349">
        <f t="shared" si="814"/>
        <v>0</v>
      </c>
      <c r="JC349">
        <f t="shared" si="815"/>
        <v>0</v>
      </c>
      <c r="JD349" t="str">
        <f t="shared" si="816"/>
        <v/>
      </c>
      <c r="JE349" t="str">
        <f t="shared" si="817"/>
        <v/>
      </c>
      <c r="JF349" t="str">
        <f t="shared" si="818"/>
        <v/>
      </c>
      <c r="JG349" t="str">
        <f t="shared" si="819"/>
        <v/>
      </c>
      <c r="JH349" t="str">
        <f>IF(B349="","",IFERROR(_xlfn.XLOOKUP(B349,Коды_код,Коды_уго),IFERROR(_xlfn.XLOOKUP(BC349,Коды_код,Коды_уго),IFERROR(_xlfn.XLOOKUP(LEFT(BC349,2),Коды_код,Коды_уго),""))))</f>
        <v/>
      </c>
      <c r="JI349" t="str">
        <f>IF(B349="","",IF(OR(JH349="",JH349=0),"BOX",IFERROR(IF(VLOOKUP(JH349,УГО_блоки,3,FALSE)&amp;""&lt;&gt;"",VLOOKUP(JH349,УГО_блоки,3,FALSE),VLOOKUP(JH349,УГО_блоки,2,FALSE)),JH349)))</f>
        <v>BOX</v>
      </c>
      <c r="JJ349">
        <f t="shared" si="820"/>
        <v>1</v>
      </c>
      <c r="JK349" t="str">
        <f>IF(DQ349="","",IF(COUNTIF(DQ$3:DQ349,DQ349)=1,MAX(JK$2:JK348)+1,""))</f>
        <v/>
      </c>
      <c r="JL349" t="str">
        <f>IF(DE349="","",IF(COUNTIF(DE$3:DE349,DE349)+COUNTIF(DF$2:DF348,DE349)+COUNTIF(DG$2:DG348,DE349)=1,MAX(JL$2:JN348)+1,""))</f>
        <v/>
      </c>
      <c r="JM349" t="str">
        <f>IF(DF349="","",IF(COUNTIF(DE$3:DE349,DF349)+COUNTIF(DF$3:DF349,DF349)+COUNTIF(DG$2:DG348,DF349)=1,MAX(JL$2:JN348,JL349)+1,""))</f>
        <v/>
      </c>
      <c r="JN349" t="str">
        <f>IF(DG349="","",IF(COUNTIF(DE$3:DE349,DG349)+COUNTIF(DF$3:DF349,DG349)+COUNTIF(DG$3:DG349,DG349)=1,MAX(JL$2:JN348,JL349,JM349)+1,""))</f>
        <v/>
      </c>
      <c r="JO349" t="str">
        <f t="shared" si="821"/>
        <v>3х2,5</v>
      </c>
      <c r="JP349" t="str">
        <f>IF(JO349="","",IF(COUNTIF(JO$3:JO349,JO349)=1,MAX(JP$2:JP348)+1,""))</f>
        <v/>
      </c>
      <c r="JQ349" t="str">
        <f>IF(HG349="","",COUNTIF(HG$3:HG349,"?*"))</f>
        <v/>
      </c>
      <c r="JR349" t="str">
        <f>IF(OR(HG349="",HI349=""),"",IF(COUNTIFS(HG$3:HG349,"?*",HI$3:HI349,HI349)=1,MAX(JR$2:JR348)+1,""))</f>
        <v/>
      </c>
      <c r="JS349">
        <f t="shared" si="822"/>
        <v>1</v>
      </c>
      <c r="JT349">
        <f>IF(B349="","",COUNTIF(B$3:B349,"?*"))</f>
        <v>347</v>
      </c>
      <c r="JU349">
        <f>IF(HL349&lt;&gt;1,0,_xlfn.LET(_xlpm.k,MAX(IFERROR(--_xlfn.XLOOKUP(B349,Коды_код,Коды_3L),0),IFERROR(--_xlfn.XLOOKUP(BC349,Коды_код,Коды_3L),0),IFERROR(--_xlfn.XLOOKUP(LEFT(BC349,2),Коды_код,Коды_3L),0)),IF(_xlpm.k&gt;0,_xlpm.k,IF(IFERROR(--LEFT(SUBSTITUTE(JO349,"x","х"),FIND("х",SUBSTITUTE(JO349,"x","х"))-1),3)&gt;3,Каталог!$S$9,1))))</f>
        <v>1</v>
      </c>
      <c r="JV349">
        <f t="shared" si="823"/>
        <v>0</v>
      </c>
      <c r="JW349" t="str">
        <f t="shared" si="824"/>
        <v>авто</v>
      </c>
      <c r="JX349" t="str">
        <f t="shared" si="825"/>
        <v/>
      </c>
      <c r="JY349">
        <f t="shared" si="826"/>
        <v>0</v>
      </c>
      <c r="JZ349">
        <f t="shared" si="827"/>
        <v>1</v>
      </c>
    </row>
    <row r="350" spans="1:286" x14ac:dyDescent="0.3">
      <c r="A350" t="s">
        <v>769</v>
      </c>
      <c r="B350" t="s">
        <v>1648</v>
      </c>
      <c r="C350" t="s">
        <v>1739</v>
      </c>
      <c r="D350">
        <v>3</v>
      </c>
      <c r="E350">
        <v>1.83</v>
      </c>
      <c r="G350">
        <v>16</v>
      </c>
      <c r="H350" t="str">
        <f>Линии[[#This Row],[_авто управление]]</f>
        <v/>
      </c>
      <c r="I350" t="str">
        <f>Линии[[#This Row],[_авто аппараты]]</f>
        <v/>
      </c>
      <c r="J350">
        <v>2.5</v>
      </c>
      <c r="K350">
        <v>50</v>
      </c>
      <c r="L350">
        <v>1</v>
      </c>
      <c r="M350" t="s">
        <v>484</v>
      </c>
      <c r="N350" t="str">
        <f t="shared" si="690"/>
        <v>потери 5,6 % &gt; 4 %</v>
      </c>
      <c r="O350" s="6" cm="1">
        <f t="array" ref="O350">IF(B350="","",IF(BH350&lt;&gt;"",IFERROR(_xlfn.XLOOKUP(BH350,Щиты[Щит],Щиты[Iр, А]),""),IF(BP350=1,IF(OR(N(_xlfn.XLOOKUP(A350,Щиты[Щит],Щиты[Вводов],1))&lt;=1,LOWER(TRIM(_xlfn.XLOOKUP(A350,Щиты[Щит],Щиты[АВР],"")&amp;""))="да"),IFERROR(_xlfn.XLOOKUP(A350,Щиты[Щит],Щиты[Iр, А]),""),IFERROR(N(BS350)*_xlfn.XLOOKUP(A350,Щиты[Щит],Щиты[Кс итог])/(SQRT(3)*Uн_лин*_xlfn.XLOOKUP(A350,Щиты[Щит],Щиты[cos φ])),"")),IF(BV350=1,IFERROR(BS350*1000/BU350,""),IFERROR(_xlfn.IFS(BX350=1,BS350/((Uн_лин/SQRT(3))*CE350),BX350=3,BS350/(SQRT(3)*Uн_лин*CE350)),"")))))</f>
        <v>8.3411920469764347</v>
      </c>
      <c r="P350" s="7">
        <f>IF(B350="","",IFERROR(IF(VLOOKUP(BC350,Потребители_обозначение,4,FALSE)=1,VLOOKUP(BC350,Потребители_обозначение,3,FALSE)*(MAX(1,N(D350))*2-1)+EI350+VLOOKUP(BE350,Этаж_обозначение,3,FALSE)+VLOOKUP(BE350,Этаж_обозначение,4,FALSE),VLOOKUP(BC350,Потребители_обозначение,3,FALSE)*(MAX(1,N(D350))*2-1)+EI350),EI350))</f>
        <v>50</v>
      </c>
      <c r="Q350" s="6">
        <f t="shared" si="691"/>
        <v>5.59</v>
      </c>
      <c r="R350" t="str">
        <f t="shared" si="692"/>
        <v>ВВГнг(А)-LS (3х2,5)</v>
      </c>
      <c r="S350" t="str">
        <f>IF(BM350="","",IF(BN350="вводной узел","узел ","")&amp;"л."&amp;(INT((BM350-1)/Столбцов_на_лист)+1)&amp;" / "&amp;(MOD(BM350-1,Столбцов_на_лист)+1))</f>
        <v>л.2 / 8</v>
      </c>
      <c r="T350" s="119">
        <f t="shared" si="693"/>
        <v>3.8</v>
      </c>
      <c r="U350" s="7" t="str">
        <f>IF(OR(CG350=0,N(BV350)+N(IB350)=0),"",ROUNDUP(Запас_БП*(N(HY350)+N(HZ350)),0))</f>
        <v/>
      </c>
      <c r="V350" s="119" t="str">
        <f t="shared" si="694"/>
        <v/>
      </c>
      <c r="W350" s="7" t="str">
        <f>IFERROR(IF(OR(B350="",BP350=1,BV350=1,NOT(ISNUMBER(EN350)),N(DT350)=0),"",MAX(0,ROUNDDOWN((c_min*(Uн_лин*1000/SQRT(3))/(HT350*N(DT350))-_xlfn.XLOOKUP(A350,Щиты[Щит],Щиты[Zпетли на шинах, Ом]))*EN350/(2*ρкз_Cu),0))),"")</f>
        <v/>
      </c>
      <c r="Y350" t="str">
        <f>Линии[[#This Row],[_авто утечка]]</f>
        <v/>
      </c>
      <c r="Z350">
        <v>1</v>
      </c>
      <c r="AA350">
        <v>230</v>
      </c>
      <c r="AB350" t="s">
        <v>573</v>
      </c>
      <c r="AG350" t="s">
        <v>810</v>
      </c>
      <c r="AI350" t="s">
        <v>609</v>
      </c>
      <c r="AK350" t="str">
        <f>Линии[[#This Row],[_авто модуль]]</f>
        <v/>
      </c>
      <c r="AM350">
        <v>25</v>
      </c>
      <c r="AN350" t="s">
        <v>11</v>
      </c>
      <c r="AO350">
        <v>3</v>
      </c>
      <c r="AQ350">
        <v>12</v>
      </c>
      <c r="AR350">
        <v>12</v>
      </c>
      <c r="AS350">
        <v>39</v>
      </c>
      <c r="AT350">
        <v>1</v>
      </c>
      <c r="BA350" cm="1">
        <f t="array" ref="BA350">ROW()-ROW(Линии[#Headers])</f>
        <v>348</v>
      </c>
      <c r="BC350" s="6" t="str">
        <f t="shared" si="695"/>
        <v>OV</v>
      </c>
      <c r="BD350" t="str">
        <f t="shared" si="696"/>
        <v>4.1.2</v>
      </c>
      <c r="BE350" t="str">
        <f t="shared" si="697"/>
        <v>4</v>
      </c>
      <c r="BF350" t="str">
        <f t="shared" si="698"/>
        <v>1.2</v>
      </c>
      <c r="BG350" t="str">
        <f t="shared" si="699"/>
        <v>1</v>
      </c>
      <c r="BH350" t="str">
        <f>IF(X350&lt;&gt;"",X350,IF(AND(B350&lt;&gt;"",B350&lt;&gt;A350,ISNUMBER(_xlfn.XMATCH(B350,Щиты[Щит]))),B350,""))</f>
        <v/>
      </c>
      <c r="BI350" t="str" cm="1">
        <f t="array" ref="BI350">IF(B350="","",IF(BH350&lt;&gt;"","Щит "&amp;BH350,_xlfn.LET(_xlpm.nm,IFERROR(_xlfn.XLOOKUP(BC350,Коды_код,Коды_имя)&amp;"",""),_xlpm.md,IFERROR(N(_xlfn.XLOOKUP(BC350,Коды_код,Коды_режим)),1),_xlpm.ex,IF(Имя_режим="по экспликации",IFERROR(_xlfn.XLOOKUP(BE350&amp;"|"&amp;BG350,Экспликация[Этаж]&amp;"|"&amp;Экспликация[Помещение],Экспликация[Название])&amp;"",""),""),_xlpm.rm,IF(BG350="","",IF(_xlpm.ex&lt;&gt;"",". "&amp;_xlpm.ex&amp;IF(Имя_пом="нет"," ("&amp;BG350&amp;")"," (пом. "&amp;BG350&amp;")"),IF(Имя_пом="нет"," ",", пом. ")&amp;BG350)),IF(_xlpm.nm="","",IF(_xlpm.md=2,_xlpm.nm&amp;" шлейф "&amp;BE350,_xlpm.nm&amp;_xlpm.rm)))))</f>
        <v/>
      </c>
      <c r="BJ350" t="str">
        <f t="shared" si="700"/>
        <v>Обогревл ливнестоков Кровля</v>
      </c>
      <c r="BK350">
        <f>IFERROR(_xlfn.XMATCH(A350,Щиты[Щит]),0)</f>
        <v>17</v>
      </c>
      <c r="BL350">
        <f>_xlfn.LET(_xlpm.k,IFERROR(_xlfn.XLOOKUP(A350,Щиты[Щит],Щиты[Мест под вводной узел]),""),IF(_xlpm.k="",Столбцов_на_лист,N(_xlpm.k)))</f>
        <v>10</v>
      </c>
      <c r="BM350">
        <f t="shared" si="701"/>
        <v>25</v>
      </c>
      <c r="BN350" t="str">
        <f t="shared" si="702"/>
        <v>линии</v>
      </c>
      <c r="BO350" s="6">
        <f>IFERROR(N(_xlfn.XLOOKUP(BC350,Коды_код,Коды_квт)),0)</f>
        <v>0</v>
      </c>
      <c r="BP350">
        <f t="shared" si="703"/>
        <v>0</v>
      </c>
      <c r="BQ350" t="str">
        <f>IF(B350="","",IF(BH350&lt;&gt;"",IFERROR(_xlfn.XLOOKUP(BH350,Щиты[Щит],Щиты[Руст, кВт]),0),IF(BP350=1,IF(OR(N(_xlfn.XLOOKUP(A350,Щиты[Щит],Щиты[Вводов],1))&lt;=1,LOWER(TRIM(_xlfn.XLOOKUP(A350,Щиты[Щит],Щиты[АВР],"")&amp;""))="да"),IFERROR(_xlfn.XLOOKUP(A350,Щиты[Щит],Щиты[Руст, кВт]),0),SUMIFS(Линии[_Р для вводов],Линии[Щит],A350,Линии[Источник для режимов],GF350)),IF(BO350&gt;0,ROUND(BO350*MAX(1,N(D350)),3),""))))</f>
        <v/>
      </c>
      <c r="BR350">
        <f t="shared" si="704"/>
        <v>1.83</v>
      </c>
      <c r="BS350" s="6">
        <f>IF(B350="","",IF(BH350&lt;&gt;"",IFERROR(_xlfn.XLOOKUP(BH350,Щиты[Щит],Щиты[Руст, кВт]),0),N(BR350)))</f>
        <v>1.83</v>
      </c>
      <c r="BT350" t="str">
        <f>IF(B350="","",IFERROR(IF(VLOOKUP(BC350,Потребители_обозначение,8,FALSE)=0,"",VLOOKUP(BC350,Потребители_обозначение,8,FALSE)),""))</f>
        <v/>
      </c>
      <c r="BU350">
        <f t="shared" si="705"/>
        <v>230</v>
      </c>
      <c r="BV350">
        <f t="shared" si="706"/>
        <v>0</v>
      </c>
      <c r="BW350">
        <f>IF(B350="","",IF(BH350&lt;&gt;"",3,IFERROR(IF(N(VLOOKUP(BC350,Потребители_обозначение,9,FALSE))=0,1,VLOOKUP(BC350,Потребители_обозначение,9,FALSE)),1)))</f>
        <v>1</v>
      </c>
      <c r="BX350">
        <f t="shared" si="707"/>
        <v>1</v>
      </c>
      <c r="BY350" t="str">
        <f>IF(B350="","",_xlfn.LET(_xlpm.bc,IFERROR(IF(VLOOKUP(BC350,Потребители_обозначение,6,FALSE)=0,"",VLOOKUP(BC350,Потребители_обозначение,6,FALSE)&amp;""),""),IF(AND(GA350="да",OR(_xlpm.bc="",_xlpm.bc="мс")),Марка_пож,IF(AND(_xlpm.bc="",BH350&lt;&gt;""),"мс",_xlpm.bc))))</f>
        <v/>
      </c>
      <c r="BZ350" t="str">
        <f t="shared" si="708"/>
        <v>мс</v>
      </c>
      <c r="CA350">
        <f>IF(B350="","",_xlfn.LET(_xlpm.cc,IFERROR(N(VLOOKUP(BC350,Потребители_обозначение,7,FALSE)),0),IF(_xlpm.cc&gt;0,_xlpm.cc,IF(BZ350="","",IF(BV350=1,2,IF(N(BX350)=3,5,3))))))</f>
        <v>3</v>
      </c>
      <c r="CB350">
        <f t="shared" si="709"/>
        <v>3</v>
      </c>
      <c r="CC350">
        <f>IFERROR(N(VLOOKUP(BC350,Потребители_обозначение,10,FALSE)),0)</f>
        <v>0</v>
      </c>
      <c r="CD350">
        <f>IFERROR(VLOOKUP(BC350,Потребители_обозначение,5,FALSE),0)</f>
        <v>0</v>
      </c>
      <c r="CE350" s="6" cm="1">
        <f t="array" ref="CE350">IF(B350="","",IF(BH350&lt;&gt;"",IFERROR(_xlfn.XLOOKUP(BH350,Щиты[Щит],Щиты[cos φ]),0.95),IF(BP350=1,IFERROR(_xlfn.XLOOKUP(A350,Щиты[Щит],Щиты[cos φ]),0.95),IF(ISNUMBER(AD350),AD350,IFERROR(IF(CD350=2,_xlfn.IFS(BX350=3,VLOOKUP(BS350,Справочная_двигатели,8,FALSE),BX350=1,VLOOKUP(BS350,Справочная_двигатели,10,TRUE)),IF(AND(Методика="нормы 2026",FG350="Сил"),0.8,0.95)),0.95)))))</f>
        <v>0.95</v>
      </c>
      <c r="CF350">
        <f t="shared" si="710"/>
        <v>0</v>
      </c>
      <c r="CG350">
        <f t="shared" si="711"/>
        <v>1</v>
      </c>
      <c r="CH350">
        <f t="shared" si="712"/>
        <v>0</v>
      </c>
      <c r="CI350">
        <f>IF(B350="","",IF(BV350=1,IFERROR(BS350/((Uн_лин/SQRT(3))*MAX(0.5,N(CE350))),0),N(O350)))</f>
        <v>8.3411920469764347</v>
      </c>
      <c r="CJ350">
        <f t="shared" si="713"/>
        <v>0</v>
      </c>
      <c r="CK350">
        <f t="shared" si="714"/>
        <v>0</v>
      </c>
      <c r="CL350">
        <f t="shared" si="715"/>
        <v>0</v>
      </c>
      <c r="CM350">
        <f t="shared" si="716"/>
        <v>0</v>
      </c>
      <c r="CN350">
        <f t="shared" si="717"/>
        <v>0</v>
      </c>
      <c r="CO350">
        <f>IF(BC350="",0,_xlfn.LET(_xlpm.v,IFERROR(_xlfn.XLOOKUP(B350,Коды_код,Коды_мА),IFERROR(_xlfn.XLOOKUP(BC350,Коды_код,Коды_мА),IFERROR(_xlfn.XLOOKUP(LEFT(BC350,2),Коды_код,Коды_мА),""))),IF(_xlpm.v="да",30,IF(ISNUMBER(_xlpm.v),_xlpm.v,0))))</f>
        <v>0</v>
      </c>
      <c r="CP350" t="str">
        <f t="shared" si="718"/>
        <v/>
      </c>
      <c r="CQ350" t="str">
        <f>_xlfn.LET(_xlpm.k,IFERROR(_xlfn.XLOOKUP(BC350,Коды_код,Коды_утечка)&amp;"",""),IF(_xlpm.k="","дифавтомат",_xlpm.k))</f>
        <v>дифавтомат</v>
      </c>
      <c r="CR350" t="str" cm="1">
        <f t="array" ref="CR350">IF(CG350=0,"",_xlfn.LET(_xlpm.sg,TRIM(_xlfn.TEXTSPLIT(DD350&amp;"",";")),_xlpm.f_,_xlfn._xlws.FILTER(_xlpm.sg,LEFT(_xlpm.sg,3)="УЗО",""),IFERROR(INDEX(_xlpm.f_,1)&amp;"","")))</f>
        <v/>
      </c>
      <c r="CS350" t="str">
        <f t="shared" si="719"/>
        <v/>
      </c>
      <c r="CT350" s="6" t="str" cm="1">
        <f t="array" ref="CT350">IF(CR350="","",_xlfn.LET(_xlpm.tk,_xlfn.TEXTSPLIT(UPPER(CR350)," ",,TRUE),_xlpm.a_,_xlfn._xlws.FILTER(_xlpm.tk,ISNUMBER(--LEFT(_xlpm.tk,1))*((ISNUMBER(SEARCH("А",_xlpm.tk))+ISNUMBER(SEARCH("A",_xlpm.tk)))&gt;0)*NOT(ISNUMBER(SEARCH("МА",_xlpm.tk)))*NOT(ISNUMBER(SEARCH("MA",_xlpm.tk))),""),IFERROR(--SUBSTITUTE(SUBSTITUTE(INDEX(_xlpm.a_,1),"А",""),"A",""),"")))</f>
        <v/>
      </c>
      <c r="CU350" t="str" cm="1">
        <f t="array" ref="CU350">IF(CR350="","",_xlfn.LET(_xlpm.tk,_xlfn.TEXTSPLIT(UPPER(CR350)," ",,TRUE),_xlpm.a_,_xlfn._xlws.FILTER(_xlpm.tk,ISNUMBER(--LEFT(_xlpm.tk,1))*((ISNUMBER(SEARCH("МА",_xlpm.tk))+ISNUMBER(SEARCH("MA",_xlpm.tk)))&gt;0),""),IFERROR(--SUBSTITUTE(SUBSTITUTE(INDEX(_xlpm.a_,1),"МА",""),"MA",""),30)))</f>
        <v/>
      </c>
      <c r="CV350" t="str">
        <f>IF(CS350="","",IFERROR(_xlfn.XLOOKUP(CS350,Линии[_n],Линии[_УЗО, мА]),30))</f>
        <v/>
      </c>
      <c r="CW350">
        <f>IF(CS350="",0,IF(ISNUMBER(SEARCH("4P",IFERROR(_xlfn.XLOOKUP(CS350,Линии[_n],Линии[_УЗО строки])&amp;"",""))),0,1))</f>
        <v>0</v>
      </c>
      <c r="CX350" t="str">
        <f>IF(AND(CS350&lt;&gt;"",CS350=BA350),SUMIFS(Линии[_ток на 230 В],Линии[_блок УЗО],BA350,Линии[Щит],A350),"")</f>
        <v/>
      </c>
      <c r="CY350" t="str">
        <f>IF(AND(CS350&lt;&gt;"",CS350=BA350),SUMIFS(Линии[_ток утечки линии, мА],Линии[_блок УЗО],BA350,Линии[Щит],A350),"")</f>
        <v/>
      </c>
      <c r="CZ350">
        <f t="shared" si="720"/>
        <v>0</v>
      </c>
      <c r="DA350">
        <f t="shared" si="721"/>
        <v>0</v>
      </c>
      <c r="DB350">
        <f>IF(B350="",0,IFERROR(--_xlfn.XLOOKUP(B350,Коды_код,Коды_минавт),IFERROR(--_xlfn.XLOOKUP(BC350,Коды_код,Коды_минавт),IFERROR(--_xlfn.XLOOKUP(LEFT(BC350,2),Коды_код,Коды_минавт),0))))</f>
        <v>0</v>
      </c>
      <c r="DC350" t="str">
        <f>IF(B350="","",IFERROR(_xlfn.XLOOKUP(BC350,Коды_код,Коды_апп)&amp;"",""))</f>
        <v/>
      </c>
      <c r="DD350" t="str">
        <f t="shared" si="722"/>
        <v/>
      </c>
      <c r="DE350" t="str" cm="1">
        <f t="array" ref="DE350">IF(TRIM(DD350&amp;"")="","",IFERROR(TRIM(INDEX(_xlfn.TEXTSPLIT(DD350&amp;";;;",";"),1)),""))</f>
        <v/>
      </c>
      <c r="DF350" t="str" cm="1">
        <f t="array" ref="DF350">IF(TRIM(DD350&amp;"")="","",IFERROR(TRIM(INDEX(_xlfn.TEXTSPLIT(DD350&amp;";;;",";"),2)),""))</f>
        <v/>
      </c>
      <c r="DG350" t="str" cm="1">
        <f t="array" ref="DG350">IF(TRIM(DD350&amp;"")="","",IFERROR(TRIM(INDEX(_xlfn.TEXTSPLIT(DD350&amp;";;;",";"),3)),""))</f>
        <v/>
      </c>
      <c r="DH350">
        <f t="shared" si="723"/>
        <v>0</v>
      </c>
      <c r="DI350" t="str">
        <f>IF(B350="","",_xlfn.LET(_xlpm.t,LOWER(AZ350&amp;""),IF(ISNUMBER(SEARCH("dim",_xlpm.t)),"DIM",IF(ISNUMBER(SEARCH("dali",_xlpm.t)),"DALI",IF(OR(ISNUMBER(SEARCH("relay",_xlpm.t)),ISNUMBER(SEARCH("реле",_xlpm.t))),"Relay",IF(ISNUMBER(SEARCH("кнопк",_xlpm.t)),"",IFERROR(_xlfn.XLOOKUP(BC350,Коды_код,Коды_упр)&amp;"","")))))))</f>
        <v/>
      </c>
      <c r="DJ350" t="str">
        <f t="shared" si="724"/>
        <v/>
      </c>
      <c r="DK350">
        <f>IF(B350="","",_xlfn.LET(_xlpm.ig,IF(N(CX350)&gt;0,N(CX350),N(CI350)+IF(AJ350="вручную",0,N(CJ350))),_xlpm.n0,IFERROR(VLOOKUP(_xlpm.ig,Автомат_номиналы,2,TRUE),0),_xlpm.mn,MAX(DB350,IF(AJ350="вручную",0,N(CM350))),MAX(_xlpm.n0,_xlpm.mn,IF(DH350=1,Мин_автомат_БП,0))))</f>
        <v>10</v>
      </c>
      <c r="DL350">
        <f t="shared" si="725"/>
        <v>1</v>
      </c>
      <c r="DM350" t="str">
        <f t="shared" si="726"/>
        <v>1P</v>
      </c>
      <c r="DN350" t="str">
        <f>_xlfn.LET(_xlpm.cc,UPPER(TRIM(IFERROR(_xlfn.XLOOKUP(BC350,Коды_код,Коды_хар)&amp;"",""))),IF(OR(_xlpm.cc="B",_xlpm.cc="В"),"B",IF(_xlpm.cc="D","D","С")))</f>
        <v>С</v>
      </c>
      <c r="DO350" t="str">
        <f t="shared" si="727"/>
        <v>1P С10А</v>
      </c>
      <c r="DP350">
        <f t="shared" si="728"/>
        <v>16</v>
      </c>
      <c r="DQ350" t="str">
        <f t="shared" si="729"/>
        <v>1P С16А</v>
      </c>
      <c r="DR350" cm="1">
        <f t="array" ref="DR350">IF(DQ350="","",_xlfn.LET(_xlpm.t,SUBSTITUTE(SUBSTITUTE(SUBSTITUTE(UPPER(DQ350),"С","C"),"А","A"),"В","B"),_xlpm.tk,_xlfn.TEXTSPLIT(_xlpm.t," "),_xlpm.f,_xlfn._xlws.FILTER(_xlpm.tk,ISNUMBER(--MID(_xlpm.tk,2,1))*ISNUMBER(SEARCH(LEFT(_xlpm.tk,1)&amp;"#","B#C#D#"))*(LEN(_xlpm.tk)&gt;1),""),_xlpm.x,INDEX(_xlpm.f,1),IFERROR(--SUBSTITUTE(MID(_xlpm.x,2,9),"A",""),IFERROR(--SUBSTITUTE(INDEX(_xlfn._xlws.FILTER(_xlpm.tk,ISNUMBER(--SUBSTITUTE(_xlpm.tk,"A","")),""),1),"A",""),""))))</f>
        <v>16</v>
      </c>
      <c r="DS350" t="str">
        <f t="shared" si="730"/>
        <v>ok</v>
      </c>
      <c r="DT350">
        <f t="shared" si="731"/>
        <v>16</v>
      </c>
      <c r="DU350" t="str">
        <f t="shared" si="732"/>
        <v>1P С16А</v>
      </c>
      <c r="DV350">
        <f t="shared" si="733"/>
        <v>0</v>
      </c>
      <c r="DW350">
        <f t="shared" si="734"/>
        <v>0</v>
      </c>
      <c r="DX350">
        <f t="shared" si="735"/>
        <v>0</v>
      </c>
      <c r="DY350">
        <f t="shared" si="736"/>
        <v>8.3411920469764347</v>
      </c>
      <c r="DZ350">
        <f t="shared" si="737"/>
        <v>1</v>
      </c>
      <c r="EA350">
        <f>IF(ISNUMBER(AP350),AP350,К_прокл)</f>
        <v>1</v>
      </c>
      <c r="EB350">
        <f t="shared" si="738"/>
        <v>2</v>
      </c>
      <c r="EC350">
        <f>IFERROR(N(VLOOKUP(BZ350,Кабель_обозначение,3,FALSE)),1)</f>
        <v>1</v>
      </c>
      <c r="ED350">
        <f>IFERROR(N(_xlfn.XLOOKUP(A350,Щиты[Щит],Щиты[ΔU до шин, %])),0)</f>
        <v>2.4899999999999998</v>
      </c>
      <c r="EE350" t="str">
        <f>IFERROR(_xlfn.XLOOKUP(A350,Щиты[Щит],Щиты[Zпетли на шинах, Ом]),"")</f>
        <v/>
      </c>
      <c r="EF350">
        <f>IFERROR(N(_xlfn.XLOOKUP(A350,Щиты[Щит],Щиты[ΔU до шин (подбор), %])),0)</f>
        <v>3.73</v>
      </c>
      <c r="EG350" t="str">
        <f>IFERROR(_xlfn.XLOOKUP(A350,Щиты[Щит],Щиты[Zпетли на шинах (подбор), Ом]),"")</f>
        <v/>
      </c>
      <c r="EH350" t="str">
        <f t="shared" si="739"/>
        <v/>
      </c>
      <c r="EI350">
        <f t="shared" si="740"/>
        <v>50</v>
      </c>
      <c r="EJ350">
        <f t="shared" si="741"/>
        <v>2</v>
      </c>
      <c r="EK350">
        <f t="shared" si="742"/>
        <v>0.31</v>
      </c>
      <c r="EL350" s="6">
        <f>IF(B350="","",IF(BV350=1,dU_LED,IF(IFERROR(_xlfn.XLOOKUP(BC350,Коды_код,Коды_уго),"")="Светильник",3,4)+IF(Методика="нормы 2026",MIN(0.5,MAX(0,N(P350)-100)*0.005),0)))</f>
        <v>4</v>
      </c>
      <c r="EM350" cm="1">
        <f t="array" ref="EM350">IF(OR(B350="",BZ350="",EC350&lt;&gt;1),"",_xlfn.LET(_xlpm.sz,Iдоп_S,_xlpm.t_,CHOOSE(EB350,Iдоп_1ж,Iдоп_2ж,Iдоп_3ж)*DZ350*EA350,_xlpm.dcx,BV350=1,_xlpm.inn,IF(_xlpm.dcx,N(O350),N(DT350)),_xlpm.smin,MAX(1.5,CC350),_xlpm.L_,N(P350)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350)/N(BU350)*100,999),IFERROR(N(EJ350)*(_xlpm.rho*_xlpm.L_/_xlpm.sz*N(CE350)+_xlpm.xx*_xlpm.L_*N(EK350)/1000)*N(O350)/((Uн_лин/SQRT(3))*1000)*100,999)),_xlpm.kz,IF(OR(_xlpm.dcx,DW350=1,NOT(ISNUMBER(EG350)),_xlpm.L_=0,_xlpm.inn=0),1,IFERROR(--(c_min*(Uн_лин*1000/SQRT(3))/(EG350+2*ρкз_Cu*_xlpm.L_/_xlpm.sz)&gt;=HT350*_xlpm.inn),0)),_xlpm.ok,IFERROR((_xlpm.sz&gt;=_xlpm.smin)*(_xlpm.t_&gt;=_xlpm.inn)*IF(_xlpm.L_&gt;0,(_xlpm.du_+IF(_xlpm.dcx,0,EF350)&lt;=EL350+0.00001),1)*_xlpm.kz,0),_xlpm.r_,_xlfn._xlws.FILTER(_xlpm.sz,_xlpm.ok,"не подобрано"),INDEX(_xlpm.r_,1)))</f>
        <v>35</v>
      </c>
      <c r="EN350">
        <f t="shared" si="743"/>
        <v>2.5</v>
      </c>
      <c r="EO350" cm="1">
        <f t="array" ref="EO350">IF(OR(B350="",BZ350="",EC350&lt;&gt;1),"",_xlfn.LET(_xlpm.sz,Iдоп_S,_xlpm.t_,CHOOSE(EB350,Iдоп_1ж,Iдоп_2ж,Iдоп_3ж)*DZ350*EA350,_xlpm.ok,IFERROR((_xlpm.sz&gt;=MAX(1.5,CC350))*(_xlpm.t_&gt;=N(DT350)),0),_xlpm.r_,_xlfn._xlws.FILTER(_xlpm.sz,_xlpm.ok,""),INDEX(_xlpm.r_,1)))</f>
        <v>1.5</v>
      </c>
      <c r="EP350" s="6" cm="1">
        <f t="array" ref="EP350">IFERROR(ROUNDUP(N(EJ350)*(_xlfn.XLOOKUP(EO350,INDEX(Кабель_сопротивление,0,1),INDEX(Кабель_сопротивление,0,3))*N(P350)/EO350*N(CE350)+_xlfn.XLOOKUP(EO350,INDEX(Кабель_сопротивление,0,1),INDEX(Кабель_сопротивление,0,2))*N(P350)*N(EK350)/1000)*N(O350)/((Uн_лин/SQRT(3))*1000)*100,2),"")</f>
        <v>5.16</v>
      </c>
      <c r="EQ350">
        <f>IFERROR(2*ρкз_Cu*N(P350)/EO350,"")</f>
        <v>1.7533333333333332</v>
      </c>
      <c r="ER350">
        <f>IFERROR(VLOOKUP(EN350,Кабель_сопротивление,3,FALSE),"")</f>
        <v>2.2499999999999999E-2</v>
      </c>
      <c r="ES350">
        <f>IFERROR(VLOOKUP(EN350,Кабель_сопротивление,2,FALSE),"")</f>
        <v>0.1</v>
      </c>
      <c r="ET350">
        <f t="shared" si="744"/>
        <v>12</v>
      </c>
      <c r="EU350">
        <f t="shared" si="745"/>
        <v>39</v>
      </c>
      <c r="EV350">
        <f t="shared" si="746"/>
        <v>7.1575768955104788</v>
      </c>
      <c r="EW350" s="6">
        <f>IFERROR(ROUNDUP(EV350/IF(BV350=1,BU350,(Uн_лин/SQRT(3))*1000)*100,2),"")</f>
        <v>3.0999999999999996</v>
      </c>
      <c r="EX350" t="str">
        <f>IFERROR(VLOOKUP(BZ350,Кабель_обозначение,2,FALSE),"")</f>
        <v>ВВГнг(А)-LS</v>
      </c>
      <c r="EY350" t="str">
        <f t="shared" si="747"/>
        <v>ВВГнг(А)-LS (3х2,5)</v>
      </c>
      <c r="EZ350" t="str">
        <f t="shared" si="748"/>
        <v>ВВГнг(А)-LS (3х2,5)
L=50-3,1%</v>
      </c>
      <c r="FA350">
        <f>IFERROR(2*ρкз_Cu*P350/EN350,"")</f>
        <v>1.052</v>
      </c>
      <c r="FB350">
        <f t="shared" si="749"/>
        <v>0.35000000000000003</v>
      </c>
      <c r="FC350" s="6" t="str">
        <f>IFERROR(IF(OR(B350="",BV350=1,NOT(ISNUMBER(EN350)),N(P350)=0),"",_xlfn.XLOOKUP(A350,Щиты[Щит],Щиты[Zпетли на шинах, Ом])+FA350),"")</f>
        <v/>
      </c>
      <c r="FD350" s="6" t="str">
        <f>IF(ISNUMBER(FC350),c_min*(Uн_лин*1000/SQRT(3))/FC350,"")</f>
        <v/>
      </c>
      <c r="FE350" s="6" t="str">
        <f>IFERROR(IF(OR(B350="",NOT(ISNUMBER(EN350))),"",1.05*(Uн_лин*1000/SQRT(3))/(_xlfn.XLOOKUP(A350,Щиты[Щит],Щиты[Zmax на шинах, Ом])+FB350)/1000),"")</f>
        <v/>
      </c>
      <c r="FF350" s="6" t="str">
        <f>IF(B350="","",IF(ISNUMBER(AC350),"Сил",IF(IFERROR(_xlfn.XLOOKUP(BC350,Коды_код,Коды_группа)&amp;"","")="","Быт",_xlfn.XLOOKUP(BC350,Коды_код,Коды_группа)&amp;"")))</f>
        <v>Быт</v>
      </c>
      <c r="FG350" s="6" t="str">
        <f t="shared" si="750"/>
        <v>Пост</v>
      </c>
      <c r="FH350" s="6">
        <f>IF(FG350="Щит","щит",IF(FG350="","",IF(FG350="Быт",IFERROR(_xlfn.XLOOKUP(A350,Щиты[Щит],Щиты[Кс быт]),1),IF(FG350="Сил",IF(ISNUMBER(AC350),AC350,IF(Методика="нормы 2026",IFERROR(_xlfn.XLOOKUP(A350,Щиты[Щит],Щиты[Кс силовых (табл. 7.5)]),1),1)),IF(OR(FG350="Пост",FG350="Отоп"),1,IF(FG350="ВНГ",0.7,0))))))</f>
        <v>1</v>
      </c>
      <c r="FI350">
        <f>IF(FG350="","",IF(AND(BP350=1,TRIM(AE350&amp;"")=""),IF(COUNTIFS(Линии[Щит],A350,Линии[Секция (1/2/3)],"&gt;=2")&gt;0,MIN(3,MAX(1,IFERROR(--BD350,1))),1),IFERROR(MIN(3,MAX(1,INT(--AE350))),1)))</f>
        <v>1</v>
      </c>
      <c r="FJ350">
        <f t="shared" si="751"/>
        <v>1.83</v>
      </c>
      <c r="FK350">
        <f t="shared" si="752"/>
        <v>0</v>
      </c>
      <c r="FL350">
        <f t="shared" si="753"/>
        <v>0</v>
      </c>
      <c r="FM350">
        <f t="shared" si="754"/>
        <v>1.83</v>
      </c>
      <c r="FN350">
        <f t="shared" si="755"/>
        <v>0</v>
      </c>
      <c r="FO350">
        <f t="shared" si="756"/>
        <v>0</v>
      </c>
      <c r="FP350">
        <f t="shared" si="757"/>
        <v>1.83</v>
      </c>
      <c r="FQ350">
        <f t="shared" si="758"/>
        <v>1.83</v>
      </c>
      <c r="FR350">
        <f t="shared" si="759"/>
        <v>1.7384999999999999</v>
      </c>
      <c r="FS350">
        <f>IF(CG350=1,IF(AND(CH350=1,CW350=1),0,IF(AND(CS350&lt;&gt;"",CS350=BA350,CW350=1),SUMIFS(Линии[_Р линии, кВт],Линии[_блок УЗО],BA350,Линии[Щит],A350),N(BS350)+IF(AJ350="вручную",0,N(CK350)))),0)</f>
        <v>1.83</v>
      </c>
      <c r="FT350" t="str">
        <f t="shared" si="760"/>
        <v>L1</v>
      </c>
      <c r="FU350" t="str">
        <f>IF(B350="","",IF(CG350=0,IF(BA350=1,"",FW349),IF(AND(CH350=1,CW350=1,CS350&lt;&gt;""),IFERROR(_xlfn.XLOOKUP(CS350,Линии[_n],Линии[_фаза итог]),"L1"),IF(OR(N(DL350)&gt;=3,N(BX350)&gt;=3),"L1,L2,L3",IFERROR(_xlfn.TEXTBEFORE(_xlfn.TEXTAFTER(_xlfn.XLOOKUP(A350,Щиты[Щит],Щиты[_фазы авто]),";"&amp;BA350&amp;":"),";"),"L1")))))</f>
        <v>L1</v>
      </c>
      <c r="FV350" t="str">
        <f t="shared" si="761"/>
        <v>L1</v>
      </c>
      <c r="FW350" t="str">
        <f t="shared" si="762"/>
        <v>L1</v>
      </c>
      <c r="FX350" cm="1">
        <f t="array" ref="FX350">IFERROR(IF(CD350=2,_xlfn.IFS(BX350=3,VLOOKUP(BS350,Справочная_двигатели,3,FALSE),BX350=1,VLOOKUP(BS350,Справочная_двигатели,5,TRUE)),0),0)</f>
        <v>0</v>
      </c>
      <c r="FY350">
        <f>IFERROR(IF(CD350=3,VLOOKUP(BS350,Справочная_ЛЭД,2,TRUE),0),0)</f>
        <v>0</v>
      </c>
      <c r="FZ350" s="6">
        <f t="shared" si="763"/>
        <v>0</v>
      </c>
      <c r="GA350" t="str">
        <f>IF(B350="","",IF(TRIM(AH350&amp;"")&lt;&gt;"",IF(LOWER(TRIM(AH350&amp;""))="да","да","нет"),IF(IFERROR(_xlfn.XLOOKUP(BC350,Коды_код,Коды_пожарная),"")="да","да","нет")))</f>
        <v>нет</v>
      </c>
      <c r="GB350" t="str">
        <f t="shared" si="764"/>
        <v/>
      </c>
      <c r="GC350" t="str">
        <f t="shared" si="765"/>
        <v>основная</v>
      </c>
      <c r="GD350">
        <f>IF(AND(BP350=1,TRIM(AE350&amp;"")=""),IF(COUNTIFS(Линии[Щит],A350,Линии[Секция (1/2/3)],"&gt;=2")&gt;0,MIN(3,MAX(1,IFERROR(--BD350,1))),1),IFERROR(MIN(3,MAX(1,INT(--AE350))),1))</f>
        <v>1</v>
      </c>
      <c r="GE350" t="str" cm="1">
        <f t="array" ref="GE350">IF(B350="","",_xlfn.LET(_xlpm.t,IFERROR(_xlfn.XLOOKUP(1,(Шины[Шина]=GC350)*(((Шины[Щит]=A350)+(Шины[Щит]=""))&gt;0),Шины[Тип]),"")&amp;"",IF(_xlpm.t&lt;&gt;"",_xlpm.t,IF(ISNUMBER(SEARCH("ИБП",GC350)),"ИБП",IF(ISNUMBER(SEARCH("ДГУ",GC350)),"ДГУ","Ввод "&amp;GD350)))))</f>
        <v>Ввод 1</v>
      </c>
      <c r="GF350" t="str">
        <f t="shared" si="766"/>
        <v>Ввод 1</v>
      </c>
      <c r="GG350" t="str">
        <f>IF(BP350=0,"",IF(TRIM(AG350&amp;"")&lt;&gt;"",TRIM(AG350&amp;""),IF(OR(GE350="ИБП",GE350="ДГУ"),"I особая",_xlfn.XLOOKUP(A350,Щиты[Щит],Щиты[Категория шины «Ввод»],"III"))))</f>
        <v/>
      </c>
      <c r="GH350" t="str">
        <f>IF(A350="","",_xlfn.XLOOKUP(A350,Щиты[Щит],Щиты[Путь],""))</f>
        <v>|ГРЩ-ЖД|ЩУОВ|</v>
      </c>
      <c r="GI350" t="str">
        <f>IF(B350="","",IF(AI350&lt;&gt;"",AI350,IF(IFERROR(_xlfn.XLOOKUP(BC350,Коды_код,Коды_вид)&amp;"","")="","Прочее",_xlfn.XLOOKUP(BC350,Коды_код,Коды_вид)&amp;"")))</f>
        <v>Обогрев водостоков и кровли</v>
      </c>
      <c r="GJ350">
        <f>IF(BM350="","",INT((BM350-1)/Столбцов_на_лист)+1)</f>
        <v>2</v>
      </c>
      <c r="GK350" t="str">
        <f t="shared" si="767"/>
        <v>ВВГнг(А)-LS (3х2,5) L=50-3,1%</v>
      </c>
      <c r="GL350">
        <f t="shared" si="768"/>
        <v>1.83</v>
      </c>
      <c r="GM350">
        <f t="shared" si="769"/>
        <v>8.35</v>
      </c>
      <c r="GN350">
        <f t="shared" si="770"/>
        <v>1</v>
      </c>
      <c r="GO350">
        <f t="shared" si="771"/>
        <v>0</v>
      </c>
      <c r="GP350">
        <f t="shared" si="772"/>
        <v>1</v>
      </c>
      <c r="GQ350">
        <f>IF(BM350="","",IF(AND(CG350=1,GP350=1),COUNTIFS(A$3:A350,A350,CG$3:CG350,1,GP$3:GP350,1),IF(OR(OR(BA350=1,A350&lt;&gt;A349),AJ350="вручную",GP350=0),"",IF(BA350=1,"",GR349))))</f>
        <v>9</v>
      </c>
      <c r="GR350">
        <f t="shared" si="773"/>
        <v>9</v>
      </c>
      <c r="GS350">
        <f>IF(B350="","",IFERROR(LOOKUP(INDEX(CHOOSE(EB350,Iдоп_1ж,Iдоп_2ж,Iдоп_3ж),MATCH(EN350,Iдоп_S,0))*DZ350*EA350,{6,10,16,20,25,32,40,50,63,80,100,125,160,200,250,315,400,500,630}),""))</f>
        <v>25</v>
      </c>
      <c r="GT350" t="str">
        <f t="shared" si="774"/>
        <v>QF9</v>
      </c>
      <c r="GU350" t="str">
        <f t="shared" si="775"/>
        <v>QF9</v>
      </c>
      <c r="GV350" t="str">
        <f t="shared" si="776"/>
        <v/>
      </c>
      <c r="GW350">
        <f t="shared" si="777"/>
        <v>0</v>
      </c>
      <c r="GX350" t="str">
        <f>IF(OR(B350="",DJ350=""),"",IFERROR(_xlfn.XLOOKUP(DJ350,Модули_умолч[Управление],Модули_умолч[Модель])&amp;"",""))</f>
        <v/>
      </c>
      <c r="GY350">
        <f>IF(DJ350="",1,IFERROR(MAX(0,N(_xlfn.XLOOKUP(DJ350,Модули_умолч[Управление],Модули_умолч[Каналов на линию]))),1))</f>
        <v>1</v>
      </c>
      <c r="GZ350" t="str">
        <f t="shared" si="778"/>
        <v/>
      </c>
      <c r="HA350" t="str">
        <f t="shared" si="779"/>
        <v/>
      </c>
      <c r="HB350" t="str">
        <f t="shared" si="780"/>
        <v/>
      </c>
      <c r="HC350">
        <f>IF(HB350="",0,IFERROR(N(VLOOKUP(HB350,Модули_спр,3,FALSE)),0))</f>
        <v>0</v>
      </c>
      <c r="HD350" t="str">
        <f t="shared" si="781"/>
        <v/>
      </c>
      <c r="HE350" t="str">
        <f t="shared" si="782"/>
        <v/>
      </c>
      <c r="HF350" t="str">
        <f>IF(OR(HE350="",HE350="-"),"",IFERROR(VLOOKUP(HE350,Модули_спр,2,FALSE),"R"))</f>
        <v/>
      </c>
      <c r="HG350" t="str">
        <f>IF(HF350="","",HF350&amp;"."&amp;COUNTIFS(A$3:A350,A350,HF$3:HF350,HF350))</f>
        <v/>
      </c>
      <c r="HH350" t="str">
        <f t="shared" si="783"/>
        <v/>
      </c>
      <c r="HI350" t="str">
        <f t="shared" si="784"/>
        <v/>
      </c>
      <c r="HJ350" t="str">
        <f t="shared" si="785"/>
        <v/>
      </c>
      <c r="HK350" t="str">
        <f t="shared" si="786"/>
        <v/>
      </c>
      <c r="HL350">
        <f t="shared" si="787"/>
        <v>1</v>
      </c>
      <c r="HM350" t="str">
        <f>IF(HL350=1,"XT"&amp;COUNTIFS(A$3:A350,A350,HL$3:HL350,1),"")</f>
        <v>XT9</v>
      </c>
      <c r="HN350" t="str">
        <f t="shared" si="788"/>
        <v/>
      </c>
      <c r="HO350" t="str">
        <f t="shared" si="789"/>
        <v>QF9</v>
      </c>
      <c r="HP350" t="str">
        <f t="shared" si="790"/>
        <v/>
      </c>
      <c r="HQ350" t="str">
        <f t="shared" si="791"/>
        <v>ok</v>
      </c>
      <c r="HR350" t="str">
        <f>IF(OR(HJ350="",HH350=""),"",IF(HJ350+MAX(0,GY350-1)&gt;IFERROR(VLOOKUP(HI350,Модули_спр,3,FALSE),99),"ЛИШНИЙ КАНАЛ",IF(AND(AL350&lt;&gt;"=",GY350&gt;0,COUNTIFS(Линии[_модуль гр.],HH350,Линии[Канал (итог)],HJ350,Линии[Канал],"&lt;&gt;=",Линии[Щит],A350)&gt;1),"ДУБЛЬ КАНАЛА","")))</f>
        <v/>
      </c>
      <c r="HS350" s="6" t="str">
        <f t="shared" si="792"/>
        <v/>
      </c>
      <c r="HT350">
        <f t="shared" si="793"/>
        <v>10</v>
      </c>
      <c r="HU350" t="str">
        <f t="shared" si="794"/>
        <v/>
      </c>
      <c r="HV350">
        <f t="shared" si="795"/>
        <v>3.8364768187905742</v>
      </c>
      <c r="HW350">
        <f t="shared" si="796"/>
        <v>0</v>
      </c>
      <c r="HX350">
        <f t="shared" si="797"/>
        <v>0</v>
      </c>
      <c r="HY350">
        <f t="shared" si="798"/>
        <v>0</v>
      </c>
      <c r="HZ350">
        <f t="shared" si="799"/>
        <v>0</v>
      </c>
      <c r="IA350">
        <f t="shared" si="800"/>
        <v>0</v>
      </c>
      <c r="IB350">
        <f t="shared" si="801"/>
        <v>0</v>
      </c>
      <c r="IC350" t="str">
        <f t="shared" si="802"/>
        <v/>
      </c>
      <c r="ID350" t="str" cm="1">
        <f t="array" ref="ID350">IF(IC350="","",_xlfn.LET(_xlpm.tk,_xlfn.TEXTSPLIT(SUBSTITUTE(SUBSTITUTE(IC350,";"," "),"→"," ")," ",,TRUE),_xlpm.w_,_xlfn._xlws.FILTER(_xlpm.tk,ISNUMBER(--LEFT(_xlpm.tk,1))*((ISNUMBER(SEARCH("W",_xlpm.tk))+ISNUMBER(SEARCH("Вт",_xlpm.tk)))&gt;0),""),IFERROR(--SUBSTITUTE(SUBSTITUTE(UPPER(INDEX(_xlpm.w_,1)),"W",""),"ВТ",""),"")))</f>
        <v/>
      </c>
      <c r="IE350" t="str" cm="1">
        <f t="array" ref="IE350">IF(IC350="","",_xlfn.LET(_xlpm.tk,_xlfn.TEXTSPLIT(SUBSTITUTE(SUBSTITUTE(IC350,";"," "),"→"," ")," ",,TRUE),_xlpm.v_,_xlfn._xlws.FILTER(_xlpm.tk,ISNUMBER(--LEFT(_xlpm.tk,1))*((ISNUMBER(SEARCH("V",_xlpm.tk))+(RIGHT(UPPER(_xlpm.tk))="В"))&gt;0),""),IFERROR(--SUBSTITUTE(SUBSTITUTE(UPPER(INDEX(_xlpm.v_,1)),"V",""),"В",""),"")))</f>
        <v/>
      </c>
      <c r="IF350" s="6" t="str">
        <f>IF(OR(BV350=0,HI350="",HJ350=""),"",IFERROR(N(_xlfn.XLOOKUP(HI350,Каталог!$C$4:$C$500,Каталог!$Q$4:$Q$500)),""))</f>
        <v/>
      </c>
      <c r="IG350" s="6" t="str">
        <f>IF(N(IF350)=0,"",SUMIFS(Линии[Iр, А],Линии[Щит],A350,Линии[_модуль гр.],HH350,Линии[Канал (итог)],HJ350))</f>
        <v/>
      </c>
      <c r="IH350" t="str">
        <f>IF(AND(B350="",HO350=""),"",_xlfn.TEXTJOIN("; ",TRUE,IF(AND(B350&lt;&gt;"",FV350=""),"нет фазы",""),IF(AND(B350&lt;&gt;"",N(GL350)=0,FG350&lt;&gt;"Нет"),"нет мощности",""),IF(AND(HN350&lt;&gt;"",COUNTIFS(Линии[Щит],A350,Линии[Клемма (итог)],HN350)&gt;1),"дубль клеммы "&amp;HN350,""),IF(AND(HQ350&lt;&gt;"",HQ350&lt;&gt;"ok"),HQ350,""),IF(HR350&lt;&gt;"",HR350,""),IF(AND(N(CB350)&gt;=4,N(BX350)=1),CB350&amp;" жил на 1 фазе",""),IF(AND(BC350="R",CG350=1,IF(CS350&lt;&gt;"",N(CV350)&gt;30,OR(N(DA350)=0,N(DA350)&gt;30))),"розетка без дифзащиты до 30 мА",""),IF(AND(CG350=1,N(DA350)&gt;0,ISNUMBER(T350)),IF(T350&gt;N(DA350)/3,"ток утечки "&amp;FIXED(T350,1)&amp;" мА &gt; 1/3 уставки ("&amp;DA350&amp;" мА)",""),""),IF(AND(CH350=1,CS350=""),"«узо»: нет строки с УЗО выше (УЗО 2P 40А 30мА в «Аппаратах»)",""),IF(AND(CS350&lt;&gt;"",CS350=BA350),IF(CT350="","впишите номинал УЗО (УЗО 2P 40А 30мА)",IF(N(CT350)&lt;N(DT350),"УЗО "&amp;CT350&amp;" А &lt; автомата "&amp;DT350&amp;" А перед ним",IF(N(CT350)&lt;N(CX350),"УЗО "&amp;CT350&amp;" А &lt; тока блока "&amp;FIXED(CX350,1)&amp;" А",""))),""),IF(AND(CS350&lt;&gt;"",CS350=BA350,ISNUMBER(CY350)),IF(CY350&gt;N(CV350)/3,"ток утечки блока УЗО "&amp;FIXED(CY350,1)&amp;" мА &gt; 1/3 уставки ("&amp;CV350&amp;" мА)",""),""),IF(AND(CG350=1,N(BV350)+N(IB350)&gt;0,IC350=""),"линии до 50 В без БП: впишите в «Аппараты» (БП 24V 480W)",""),IF(AND(CG350=1,ISNUMBER(ID350),ISNUMBER(U350)),IF(U350&gt;ID350,"БП "&amp;ID350&amp;" Вт &lt; нужно "&amp;U350&amp;" Вт (×"&amp;Запас_БП&amp;")",""),""),IF(AND(CG350=1,ISNUMBER(IE350),N(BV350)=1),IF(IE350&lt;&gt;N(BU350),"БП на "&amp;IE350&amp;" В, линия "&amp;BU350&amp;" В",""),""),IF(AND(N(IF350)&gt;0,N(IG350)&gt;N(IF350)),HH350&amp;" канал "&amp;HJ350&amp;": "&amp;FIXED(IG350,1)&amp;" А &gt; "&amp;IF350&amp;" А",""),IFERROR(IF(AND(ISNUMBER(Q350),Q350&gt;EL350),"потери "&amp;FIXED(Q350,1)&amp;" % &gt; "&amp;EL350&amp;" %",""),""),IFERROR(IF(LEFT(HU350,4)="мало","Iкз мало — отключение &gt; 0,4 с",""),""),IF(AND(B350&lt;&gt;"",BM350=""),"не на схеме",""),IF(AND(CG350=0,B350&lt;&gt;"",FV350&lt;&gt;"",IF(BA350=1,"",FW349)&lt;&gt;"",FV350&lt;&gt;IF(BA350=1,"",FW349)),"фаза не как у автомата группы ("&amp;IF(BA350=1,"",FW349)&amp;")","")))</f>
        <v>потери 5,6 % &gt; 4 %</v>
      </c>
      <c r="II350" s="6">
        <f>IF(OR(CG350=0,DQ350=""),"",_xlfn.LET(_xlpm.t,IFERROR(_xlfn.XLOOKUP(DQ350,Каталог!$U$4:$U$500,Каталог!$G$4:$G$500),""),_xlpm.k,SEARCH("кА",_xlpm.t),IFERROR(--TRIM(RIGHT(SUBSTITUTE(MID(_xlpm.t,MAX(1,_xlpm.k-4),_xlpm.k-MAX(1,_xlpm.k-4))," ",REPT(" ",9)),5)),"")))</f>
        <v>6</v>
      </c>
      <c r="IJ350" t="str">
        <f>IF(OR(II350="",CG350=0),"",IF(_xlfn.XLOOKUP(A350,Щиты[Щит],Щиты[Iкз max на шинах, кА],"")="","",IF(II350&lt;_xlfn.XLOOKUP(A350,Щиты[Щит],Щиты[Iкз max на шинах, кА]),"Icu "&amp;II350&amp;" кА &lt; Iкз max","ok")))</f>
        <v/>
      </c>
      <c r="IK350" t="str">
        <f t="shared" si="803"/>
        <v/>
      </c>
      <c r="IL350" t="str">
        <f t="shared" si="804"/>
        <v>QF9</v>
      </c>
      <c r="IM350" t="str">
        <f t="shared" si="805"/>
        <v>QF9|кабель ВВГнг(А)-LS (3х2,5) → Обогревл ливнестоков Кровля</v>
      </c>
      <c r="IN350" t="str" cm="1">
        <f t="array" ref="IN350">IF(IM350="","",_xlfn.LET(_xlpm.nd,_xlfn.TEXTSPLIT(IM350,"|"),IF(COLUMNS(_xlpm.nd)&gt;1,A350&amp;"¦"&amp;INDEX(_xlpm.nd,1)&amp;"¦"&amp;INDEX(_xlpm.nd,2),"")))</f>
        <v>ЩУОВ¦QF9¦кабель ВВГнг(А)-LS (3х2,5) → Обогревл ливнестоков Кровля</v>
      </c>
      <c r="IO350" t="str">
        <f t="shared" si="806"/>
        <v>OV.4.1.2¦Обогревл ливнестоков Кровля</v>
      </c>
      <c r="IP350" t="str" cm="1">
        <f t="array" ref="IP350">IF(IM350="","",_xlfn.LET(_xlpm.nd,_xlfn.TEXTSPLIT(IM350,"|"),IF(COLUMNS(_xlpm.nd)&gt;2,A350&amp;"¦"&amp;INDEX(_xlpm.nd,2)&amp;"¦"&amp;INDEX(_xlpm.nd,3),"")))</f>
        <v/>
      </c>
      <c r="IQ350" t="str">
        <f t="shared" si="807"/>
        <v/>
      </c>
      <c r="IR350" t="str" cm="1">
        <f t="array" ref="IR350">IF(IM350="","",_xlfn.LET(_xlpm.nd,_xlfn.TEXTSPLIT(IM350,"|"),IF(COLUMNS(_xlpm.nd)&gt;3,A350&amp;"¦"&amp;INDEX(_xlpm.nd,3)&amp;"¦"&amp;INDEX(_xlpm.nd,4),"")))</f>
        <v/>
      </c>
      <c r="IS350" t="str">
        <f t="shared" si="808"/>
        <v/>
      </c>
      <c r="IT350" t="str" cm="1">
        <f t="array" ref="IT350">IF(IM350="","",_xlfn.LET(_xlpm.nd,_xlfn.TEXTSPLIT(IM350,"|"),IF(COLUMNS(_xlpm.nd)&gt;4,A350&amp;"¦"&amp;INDEX(_xlpm.nd,4)&amp;"¦"&amp;INDEX(_xlpm.nd,5),"")))</f>
        <v/>
      </c>
      <c r="IU350" t="str">
        <f t="shared" si="809"/>
        <v/>
      </c>
      <c r="IV350" t="str" cm="1">
        <f t="array" ref="IV350">IF(IM350="","",_xlfn.LET(_xlpm.nd,_xlfn.TEXTSPLIT(IM350,"|"),IF(COLUMNS(_xlpm.nd)&gt;5,A350&amp;"¦"&amp;INDEX(_xlpm.nd,5)&amp;"¦"&amp;INDEX(_xlpm.nd,6),"")))</f>
        <v/>
      </c>
      <c r="IW350" t="str">
        <f t="shared" si="810"/>
        <v/>
      </c>
      <c r="IX350" t="str" cm="1">
        <f t="array" ref="IX350">IF(IM350="","",_xlfn.LET(_xlpm.nd,_xlfn.TEXTSPLIT(IM350,"|"),IF(COLUMNS(_xlpm.nd)&gt;6,A350&amp;"¦"&amp;INDEX(_xlpm.nd,6)&amp;"¦"&amp;INDEX(_xlpm.nd,7),"")))</f>
        <v/>
      </c>
      <c r="IY350" t="str">
        <f t="shared" si="811"/>
        <v/>
      </c>
      <c r="IZ350" t="str">
        <f t="shared" si="812"/>
        <v/>
      </c>
      <c r="JA350" t="str">
        <f t="shared" si="813"/>
        <v>QF9</v>
      </c>
      <c r="JB350">
        <f t="shared" si="814"/>
        <v>0</v>
      </c>
      <c r="JC350">
        <f t="shared" si="815"/>
        <v>0</v>
      </c>
      <c r="JD350" t="str">
        <f t="shared" si="816"/>
        <v/>
      </c>
      <c r="JE350" t="str">
        <f t="shared" si="817"/>
        <v/>
      </c>
      <c r="JF350" t="str">
        <f t="shared" si="818"/>
        <v/>
      </c>
      <c r="JG350" t="str">
        <f t="shared" si="819"/>
        <v/>
      </c>
      <c r="JH350" t="str">
        <f>IF(B350="","",IFERROR(_xlfn.XLOOKUP(B350,Коды_код,Коды_уго),IFERROR(_xlfn.XLOOKUP(BC350,Коды_код,Коды_уго),IFERROR(_xlfn.XLOOKUP(LEFT(BC350,2),Коды_код,Коды_уго),""))))</f>
        <v/>
      </c>
      <c r="JI350" t="str">
        <f>IF(B350="","",IF(OR(JH350="",JH350=0),"BOX",IFERROR(IF(VLOOKUP(JH350,УГО_блоки,3,FALSE)&amp;""&lt;&gt;"",VLOOKUP(JH350,УГО_блоки,3,FALSE),VLOOKUP(JH350,УГО_блоки,2,FALSE)),JH350)))</f>
        <v>BOX</v>
      </c>
      <c r="JJ350">
        <f t="shared" si="820"/>
        <v>1</v>
      </c>
      <c r="JK350" t="str">
        <f>IF(DQ350="","",IF(COUNTIF(DQ$3:DQ350,DQ350)=1,MAX(JK$2:JK349)+1,""))</f>
        <v/>
      </c>
      <c r="JL350" t="str">
        <f>IF(DE350="","",IF(COUNTIF(DE$3:DE350,DE350)+COUNTIF(DF$2:DF349,DE350)+COUNTIF(DG$2:DG349,DE350)=1,MAX(JL$2:JN349)+1,""))</f>
        <v/>
      </c>
      <c r="JM350" t="str">
        <f>IF(DF350="","",IF(COUNTIF(DE$3:DE350,DF350)+COUNTIF(DF$3:DF350,DF350)+COUNTIF(DG$2:DG349,DF350)=1,MAX(JL$2:JN349,JL350)+1,""))</f>
        <v/>
      </c>
      <c r="JN350" t="str">
        <f>IF(DG350="","",IF(COUNTIF(DE$3:DE350,DG350)+COUNTIF(DF$3:DF350,DG350)+COUNTIF(DG$3:DG350,DG350)=1,MAX(JL$2:JN349,JL350,JM350)+1,""))</f>
        <v/>
      </c>
      <c r="JO350" t="str">
        <f t="shared" si="821"/>
        <v>3х2,5</v>
      </c>
      <c r="JP350" t="str">
        <f>IF(JO350="","",IF(COUNTIF(JO$3:JO350,JO350)=1,MAX(JP$2:JP349)+1,""))</f>
        <v/>
      </c>
      <c r="JQ350" t="str">
        <f>IF(HG350="","",COUNTIF(HG$3:HG350,"?*"))</f>
        <v/>
      </c>
      <c r="JR350" t="str">
        <f>IF(OR(HG350="",HI350=""),"",IF(COUNTIFS(HG$3:HG350,"?*",HI$3:HI350,HI350)=1,MAX(JR$2:JR349)+1,""))</f>
        <v/>
      </c>
      <c r="JS350">
        <f t="shared" si="822"/>
        <v>1</v>
      </c>
      <c r="JT350">
        <f>IF(B350="","",COUNTIF(B$3:B350,"?*"))</f>
        <v>348</v>
      </c>
      <c r="JU350">
        <f>IF(HL350&lt;&gt;1,0,_xlfn.LET(_xlpm.k,MAX(IFERROR(--_xlfn.XLOOKUP(B350,Коды_код,Коды_3L),0),IFERROR(--_xlfn.XLOOKUP(BC350,Коды_код,Коды_3L),0),IFERROR(--_xlfn.XLOOKUP(LEFT(BC350,2),Коды_код,Коды_3L),0)),IF(_xlpm.k&gt;0,_xlpm.k,IF(IFERROR(--LEFT(SUBSTITUTE(JO350,"x","х"),FIND("х",SUBSTITUTE(JO350,"x","х"))-1),3)&gt;3,Каталог!$S$9,1))))</f>
        <v>1</v>
      </c>
      <c r="JV350">
        <f t="shared" si="823"/>
        <v>0</v>
      </c>
      <c r="JW350" t="str">
        <f t="shared" si="824"/>
        <v>авто</v>
      </c>
      <c r="JX350" t="str">
        <f t="shared" si="825"/>
        <v/>
      </c>
      <c r="JY350">
        <f t="shared" si="826"/>
        <v>0</v>
      </c>
      <c r="JZ350">
        <f t="shared" si="827"/>
        <v>1</v>
      </c>
    </row>
    <row r="351" spans="1:286" x14ac:dyDescent="0.3">
      <c r="A351" t="s">
        <v>769</v>
      </c>
      <c r="B351" t="s">
        <v>1649</v>
      </c>
      <c r="C351" t="s">
        <v>1739</v>
      </c>
      <c r="D351">
        <v>3</v>
      </c>
      <c r="E351">
        <v>1.95</v>
      </c>
      <c r="G351">
        <v>16</v>
      </c>
      <c r="H351" t="str">
        <f>Линии[[#This Row],[_авто управление]]</f>
        <v/>
      </c>
      <c r="I351" t="str">
        <f>Линии[[#This Row],[_авто аппараты]]</f>
        <v/>
      </c>
      <c r="J351">
        <v>4</v>
      </c>
      <c r="K351">
        <v>83</v>
      </c>
      <c r="L351" t="str">
        <f>Линии[[#This Row],[_авто фаза]]</f>
        <v>L2</v>
      </c>
      <c r="M351" t="s">
        <v>484</v>
      </c>
      <c r="N351" t="str">
        <f t="shared" si="690"/>
        <v>потери 5,9 % &gt; 4 %</v>
      </c>
      <c r="O351" s="6" cm="1">
        <f t="array" ref="O351">IF(B351="","",IF(BH351&lt;&gt;"",IFERROR(_xlfn.XLOOKUP(BH351,Щиты[Щит],Щиты[Iр, А]),""),IF(BP351=1,IF(OR(N(_xlfn.XLOOKUP(A351,Щиты[Щит],Щиты[Вводов],1))&lt;=1,LOWER(TRIM(_xlfn.XLOOKUP(A351,Щиты[Щит],Щиты[АВР],"")&amp;""))="да"),IFERROR(_xlfn.XLOOKUP(A351,Щиты[Щит],Щиты[Iр, А]),""),IFERROR(N(BS351)*_xlfn.XLOOKUP(A351,Щиты[Щит],Щиты[Кс итог])/(SQRT(3)*Uн_лин*_xlfn.XLOOKUP(A351,Щиты[Щит],Щиты[cos φ])),"")),IF(BV351=1,IFERROR(BS351*1000/BU351,""),IFERROR(_xlfn.IFS(BX351=1,BS351/((Uн_лин/SQRT(3))*CE351),BX351=3,BS351/(SQRT(3)*Uн_лин*CE351)),"")))))</f>
        <v>8.8881554598929231</v>
      </c>
      <c r="P351" s="7">
        <f>IF(B351="","",IFERROR(IF(VLOOKUP(BC351,Потребители_обозначение,4,FALSE)=1,VLOOKUP(BC351,Потребители_обозначение,3,FALSE)*(MAX(1,N(D351))*2-1)+EI351+VLOOKUP(BE351,Этаж_обозначение,3,FALSE)+VLOOKUP(BE351,Этаж_обозначение,4,FALSE),VLOOKUP(BC351,Потребители_обозначение,3,FALSE)*(MAX(1,N(D351))*2-1)+EI351),EI351))</f>
        <v>83</v>
      </c>
      <c r="Q351" s="6">
        <f t="shared" si="691"/>
        <v>5.93</v>
      </c>
      <c r="R351" t="str">
        <f t="shared" si="692"/>
        <v>ВВГнг(А)-LS (3х4)</v>
      </c>
      <c r="S351" t="str">
        <f>IF(BM351="","",IF(BN351="вводной узел","узел ","")&amp;"л."&amp;(INT((BM351-1)/Столбцов_на_лист)+1)&amp;" / "&amp;(MOD(BM351-1,Столбцов_на_лист)+1))</f>
        <v>л.2 / 9</v>
      </c>
      <c r="T351" s="119">
        <f t="shared" si="693"/>
        <v>4.4000000000000004</v>
      </c>
      <c r="U351" s="7" t="str">
        <f>IF(OR(CG351=0,N(BV351)+N(IB351)=0),"",ROUNDUP(Запас_БП*(N(HY351)+N(HZ351)),0))</f>
        <v/>
      </c>
      <c r="V351" s="119" t="str">
        <f t="shared" si="694"/>
        <v/>
      </c>
      <c r="W351" s="7" t="str">
        <f>IFERROR(IF(OR(B351="",BP351=1,BV351=1,NOT(ISNUMBER(EN351)),N(DT351)=0),"",MAX(0,ROUNDDOWN((c_min*(Uн_лин*1000/SQRT(3))/(HT351*N(DT351))-_xlfn.XLOOKUP(A351,Щиты[Щит],Щиты[Zпетли на шинах, Ом]))*EN351/(2*ρкз_Cu),0))),"")</f>
        <v/>
      </c>
      <c r="Y351" t="str">
        <f>Линии[[#This Row],[_авто утечка]]</f>
        <v/>
      </c>
      <c r="Z351">
        <v>1</v>
      </c>
      <c r="AA351">
        <v>230</v>
      </c>
      <c r="AB351" t="s">
        <v>573</v>
      </c>
      <c r="AG351" t="s">
        <v>810</v>
      </c>
      <c r="AI351" t="s">
        <v>609</v>
      </c>
      <c r="AK351" t="str">
        <f>Линии[[#This Row],[_авто модуль]]</f>
        <v/>
      </c>
      <c r="AM351">
        <v>26</v>
      </c>
      <c r="AN351" t="s">
        <v>11</v>
      </c>
      <c r="AO351">
        <v>3</v>
      </c>
      <c r="AQ351">
        <v>12</v>
      </c>
      <c r="AR351">
        <v>12</v>
      </c>
      <c r="AS351">
        <v>72</v>
      </c>
      <c r="AT351">
        <v>1</v>
      </c>
      <c r="BA351" cm="1">
        <f t="array" ref="BA351">ROW()-ROW(Линии[#Headers])</f>
        <v>349</v>
      </c>
      <c r="BC351" s="6" t="str">
        <f t="shared" si="695"/>
        <v>OV</v>
      </c>
      <c r="BD351" t="str">
        <f t="shared" si="696"/>
        <v>4.1.3</v>
      </c>
      <c r="BE351" t="str">
        <f t="shared" si="697"/>
        <v>4</v>
      </c>
      <c r="BF351" t="str">
        <f t="shared" si="698"/>
        <v>1.3</v>
      </c>
      <c r="BG351" t="str">
        <f t="shared" si="699"/>
        <v>1</v>
      </c>
      <c r="BH351" t="str">
        <f>IF(X351&lt;&gt;"",X351,IF(AND(B351&lt;&gt;"",B351&lt;&gt;A351,ISNUMBER(_xlfn.XMATCH(B351,Щиты[Щит]))),B351,""))</f>
        <v/>
      </c>
      <c r="BI351" t="str" cm="1">
        <f t="array" ref="BI351">IF(B351="","",IF(BH351&lt;&gt;"","Щит "&amp;BH351,_xlfn.LET(_xlpm.nm,IFERROR(_xlfn.XLOOKUP(BC351,Коды_код,Коды_имя)&amp;"",""),_xlpm.md,IFERROR(N(_xlfn.XLOOKUP(BC351,Коды_код,Коды_режим)),1),_xlpm.ex,IF(Имя_режим="по экспликации",IFERROR(_xlfn.XLOOKUP(BE351&amp;"|"&amp;BG351,Экспликация[Этаж]&amp;"|"&amp;Экспликация[Помещение],Экспликация[Название])&amp;"",""),""),_xlpm.rm,IF(BG351="","",IF(_xlpm.ex&lt;&gt;"",". "&amp;_xlpm.ex&amp;IF(Имя_пом="нет"," ("&amp;BG351&amp;")"," (пом. "&amp;BG351&amp;")"),IF(Имя_пом="нет"," ",", пом. ")&amp;BG351)),IF(_xlpm.nm="","",IF(_xlpm.md=2,_xlpm.nm&amp;" шлейф "&amp;BE351,_xlpm.nm&amp;_xlpm.rm)))))</f>
        <v/>
      </c>
      <c r="BJ351" t="str">
        <f t="shared" si="700"/>
        <v>Обогревл ливнестоков Кровля</v>
      </c>
      <c r="BK351">
        <f>IFERROR(_xlfn.XMATCH(A351,Щиты[Щит]),0)</f>
        <v>17</v>
      </c>
      <c r="BL351">
        <f>_xlfn.LET(_xlpm.k,IFERROR(_xlfn.XLOOKUP(A351,Щиты[Щит],Щиты[Мест под вводной узел]),""),IF(_xlpm.k="",Столбцов_на_лист,N(_xlpm.k)))</f>
        <v>10</v>
      </c>
      <c r="BM351">
        <f t="shared" si="701"/>
        <v>26</v>
      </c>
      <c r="BN351" t="str">
        <f t="shared" si="702"/>
        <v>линии</v>
      </c>
      <c r="BO351" s="6">
        <f>IFERROR(N(_xlfn.XLOOKUP(BC351,Коды_код,Коды_квт)),0)</f>
        <v>0</v>
      </c>
      <c r="BP351">
        <f t="shared" si="703"/>
        <v>0</v>
      </c>
      <c r="BQ351" t="str">
        <f>IF(B351="","",IF(BH351&lt;&gt;"",IFERROR(_xlfn.XLOOKUP(BH351,Щиты[Щит],Щиты[Руст, кВт]),0),IF(BP351=1,IF(OR(N(_xlfn.XLOOKUP(A351,Щиты[Щит],Щиты[Вводов],1))&lt;=1,LOWER(TRIM(_xlfn.XLOOKUP(A351,Щиты[Щит],Щиты[АВР],"")&amp;""))="да"),IFERROR(_xlfn.XLOOKUP(A351,Щиты[Щит],Щиты[Руст, кВт]),0),SUMIFS(Линии[_Р для вводов],Линии[Щит],A351,Линии[Источник для режимов],GF351)),IF(BO351&gt;0,ROUND(BO351*MAX(1,N(D351)),3),""))))</f>
        <v/>
      </c>
      <c r="BR351">
        <f t="shared" si="704"/>
        <v>1.95</v>
      </c>
      <c r="BS351" s="6">
        <f>IF(B351="","",IF(BH351&lt;&gt;"",IFERROR(_xlfn.XLOOKUP(BH351,Щиты[Щит],Щиты[Руст, кВт]),0),N(BR351)))</f>
        <v>1.95</v>
      </c>
      <c r="BT351" t="str">
        <f>IF(B351="","",IFERROR(IF(VLOOKUP(BC351,Потребители_обозначение,8,FALSE)=0,"",VLOOKUP(BC351,Потребители_обозначение,8,FALSE)),""))</f>
        <v/>
      </c>
      <c r="BU351">
        <f t="shared" si="705"/>
        <v>230</v>
      </c>
      <c r="BV351">
        <f t="shared" si="706"/>
        <v>0</v>
      </c>
      <c r="BW351">
        <f>IF(B351="","",IF(BH351&lt;&gt;"",3,IFERROR(IF(N(VLOOKUP(BC351,Потребители_обозначение,9,FALSE))=0,1,VLOOKUP(BC351,Потребители_обозначение,9,FALSE)),1)))</f>
        <v>1</v>
      </c>
      <c r="BX351">
        <f t="shared" si="707"/>
        <v>1</v>
      </c>
      <c r="BY351" t="str">
        <f>IF(B351="","",_xlfn.LET(_xlpm.bc,IFERROR(IF(VLOOKUP(BC351,Потребители_обозначение,6,FALSE)=0,"",VLOOKUP(BC351,Потребители_обозначение,6,FALSE)&amp;""),""),IF(AND(GA351="да",OR(_xlpm.bc="",_xlpm.bc="мс")),Марка_пож,IF(AND(_xlpm.bc="",BH351&lt;&gt;""),"мс",_xlpm.bc))))</f>
        <v/>
      </c>
      <c r="BZ351" t="str">
        <f t="shared" si="708"/>
        <v>мс</v>
      </c>
      <c r="CA351">
        <f>IF(B351="","",_xlfn.LET(_xlpm.cc,IFERROR(N(VLOOKUP(BC351,Потребители_обозначение,7,FALSE)),0),IF(_xlpm.cc&gt;0,_xlpm.cc,IF(BZ351="","",IF(BV351=1,2,IF(N(BX351)=3,5,3))))))</f>
        <v>3</v>
      </c>
      <c r="CB351">
        <f t="shared" si="709"/>
        <v>3</v>
      </c>
      <c r="CC351">
        <f>IFERROR(N(VLOOKUP(BC351,Потребители_обозначение,10,FALSE)),0)</f>
        <v>0</v>
      </c>
      <c r="CD351">
        <f>IFERROR(VLOOKUP(BC351,Потребители_обозначение,5,FALSE),0)</f>
        <v>0</v>
      </c>
      <c r="CE351" s="6" cm="1">
        <f t="array" ref="CE351">IF(B351="","",IF(BH351&lt;&gt;"",IFERROR(_xlfn.XLOOKUP(BH351,Щиты[Щит],Щиты[cos φ]),0.95),IF(BP351=1,IFERROR(_xlfn.XLOOKUP(A351,Щиты[Щит],Щиты[cos φ]),0.95),IF(ISNUMBER(AD351),AD351,IFERROR(IF(CD351=2,_xlfn.IFS(BX351=3,VLOOKUP(BS351,Справочная_двигатели,8,FALSE),BX351=1,VLOOKUP(BS351,Справочная_двигатели,10,TRUE)),IF(AND(Методика="нормы 2026",FG351="Сил"),0.8,0.95)),0.95)))))</f>
        <v>0.95</v>
      </c>
      <c r="CF351">
        <f t="shared" si="710"/>
        <v>0</v>
      </c>
      <c r="CG351">
        <f t="shared" si="711"/>
        <v>1</v>
      </c>
      <c r="CH351">
        <f t="shared" si="712"/>
        <v>0</v>
      </c>
      <c r="CI351">
        <f>IF(B351="","",IF(BV351=1,IFERROR(BS351/((Uн_лин/SQRT(3))*MAX(0.5,N(CE351))),0),N(O351)))</f>
        <v>8.8881554598929231</v>
      </c>
      <c r="CJ351">
        <f t="shared" si="713"/>
        <v>0</v>
      </c>
      <c r="CK351">
        <f t="shared" si="714"/>
        <v>0</v>
      </c>
      <c r="CL351">
        <f t="shared" si="715"/>
        <v>0</v>
      </c>
      <c r="CM351">
        <f t="shared" si="716"/>
        <v>0</v>
      </c>
      <c r="CN351">
        <f t="shared" si="717"/>
        <v>0</v>
      </c>
      <c r="CO351">
        <f>IF(BC351="",0,_xlfn.LET(_xlpm.v,IFERROR(_xlfn.XLOOKUP(B351,Коды_код,Коды_мА),IFERROR(_xlfn.XLOOKUP(BC351,Коды_код,Коды_мА),IFERROR(_xlfn.XLOOKUP(LEFT(BC351,2),Коды_код,Коды_мА),""))),IF(_xlpm.v="да",30,IF(ISNUMBER(_xlpm.v),_xlpm.v,0))))</f>
        <v>0</v>
      </c>
      <c r="CP351" t="str">
        <f t="shared" si="718"/>
        <v/>
      </c>
      <c r="CQ351" t="str">
        <f>_xlfn.LET(_xlpm.k,IFERROR(_xlfn.XLOOKUP(BC351,Коды_код,Коды_утечка)&amp;"",""),IF(_xlpm.k="","дифавтомат",_xlpm.k))</f>
        <v>дифавтомат</v>
      </c>
      <c r="CR351" t="str" cm="1">
        <f t="array" ref="CR351">IF(CG351=0,"",_xlfn.LET(_xlpm.sg,TRIM(_xlfn.TEXTSPLIT(DD351&amp;"",";")),_xlpm.f_,_xlfn._xlws.FILTER(_xlpm.sg,LEFT(_xlpm.sg,3)="УЗО",""),IFERROR(INDEX(_xlpm.f_,1)&amp;"","")))</f>
        <v/>
      </c>
      <c r="CS351" t="str">
        <f t="shared" si="719"/>
        <v/>
      </c>
      <c r="CT351" s="6" t="str" cm="1">
        <f t="array" ref="CT351">IF(CR351="","",_xlfn.LET(_xlpm.tk,_xlfn.TEXTSPLIT(UPPER(CR351)," ",,TRUE),_xlpm.a_,_xlfn._xlws.FILTER(_xlpm.tk,ISNUMBER(--LEFT(_xlpm.tk,1))*((ISNUMBER(SEARCH("А",_xlpm.tk))+ISNUMBER(SEARCH("A",_xlpm.tk)))&gt;0)*NOT(ISNUMBER(SEARCH("МА",_xlpm.tk)))*NOT(ISNUMBER(SEARCH("MA",_xlpm.tk))),""),IFERROR(--SUBSTITUTE(SUBSTITUTE(INDEX(_xlpm.a_,1),"А",""),"A",""),"")))</f>
        <v/>
      </c>
      <c r="CU351" t="str" cm="1">
        <f t="array" ref="CU351">IF(CR351="","",_xlfn.LET(_xlpm.tk,_xlfn.TEXTSPLIT(UPPER(CR351)," ",,TRUE),_xlpm.a_,_xlfn._xlws.FILTER(_xlpm.tk,ISNUMBER(--LEFT(_xlpm.tk,1))*((ISNUMBER(SEARCH("МА",_xlpm.tk))+ISNUMBER(SEARCH("MA",_xlpm.tk)))&gt;0),""),IFERROR(--SUBSTITUTE(SUBSTITUTE(INDEX(_xlpm.a_,1),"МА",""),"MA",""),30)))</f>
        <v/>
      </c>
      <c r="CV351" t="str">
        <f>IF(CS351="","",IFERROR(_xlfn.XLOOKUP(CS351,Линии[_n],Линии[_УЗО, мА]),30))</f>
        <v/>
      </c>
      <c r="CW351">
        <f>IF(CS351="",0,IF(ISNUMBER(SEARCH("4P",IFERROR(_xlfn.XLOOKUP(CS351,Линии[_n],Линии[_УЗО строки])&amp;"",""))),0,1))</f>
        <v>0</v>
      </c>
      <c r="CX351" t="str">
        <f>IF(AND(CS351&lt;&gt;"",CS351=BA351),SUMIFS(Линии[_ток на 230 В],Линии[_блок УЗО],BA351,Линии[Щит],A351),"")</f>
        <v/>
      </c>
      <c r="CY351" t="str">
        <f>IF(AND(CS351&lt;&gt;"",CS351=BA351),SUMIFS(Линии[_ток утечки линии, мА],Линии[_блок УЗО],BA351,Линии[Щит],A351),"")</f>
        <v/>
      </c>
      <c r="CZ351">
        <f t="shared" si="720"/>
        <v>0</v>
      </c>
      <c r="DA351">
        <f t="shared" si="721"/>
        <v>0</v>
      </c>
      <c r="DB351">
        <f>IF(B351="",0,IFERROR(--_xlfn.XLOOKUP(B351,Коды_код,Коды_минавт),IFERROR(--_xlfn.XLOOKUP(BC351,Коды_код,Коды_минавт),IFERROR(--_xlfn.XLOOKUP(LEFT(BC351,2),Коды_код,Коды_минавт),0))))</f>
        <v>0</v>
      </c>
      <c r="DC351" t="str">
        <f>IF(B351="","",IFERROR(_xlfn.XLOOKUP(BC351,Коды_код,Коды_апп)&amp;"",""))</f>
        <v/>
      </c>
      <c r="DD351" t="str">
        <f t="shared" si="722"/>
        <v/>
      </c>
      <c r="DE351" t="str" cm="1">
        <f t="array" ref="DE351">IF(TRIM(DD351&amp;"")="","",IFERROR(TRIM(INDEX(_xlfn.TEXTSPLIT(DD351&amp;";;;",";"),1)),""))</f>
        <v/>
      </c>
      <c r="DF351" t="str" cm="1">
        <f t="array" ref="DF351">IF(TRIM(DD351&amp;"")="","",IFERROR(TRIM(INDEX(_xlfn.TEXTSPLIT(DD351&amp;";;;",";"),2)),""))</f>
        <v/>
      </c>
      <c r="DG351" t="str" cm="1">
        <f t="array" ref="DG351">IF(TRIM(DD351&amp;"")="","",IFERROR(TRIM(INDEX(_xlfn.TEXTSPLIT(DD351&amp;";;;",";"),3)),""))</f>
        <v/>
      </c>
      <c r="DH351">
        <f t="shared" si="723"/>
        <v>0</v>
      </c>
      <c r="DI351" t="str">
        <f>IF(B351="","",_xlfn.LET(_xlpm.t,LOWER(AZ351&amp;""),IF(ISNUMBER(SEARCH("dim",_xlpm.t)),"DIM",IF(ISNUMBER(SEARCH("dali",_xlpm.t)),"DALI",IF(OR(ISNUMBER(SEARCH("relay",_xlpm.t)),ISNUMBER(SEARCH("реле",_xlpm.t))),"Relay",IF(ISNUMBER(SEARCH("кнопк",_xlpm.t)),"",IFERROR(_xlfn.XLOOKUP(BC351,Коды_код,Коды_упр)&amp;"","")))))))</f>
        <v/>
      </c>
      <c r="DJ351" t="str">
        <f t="shared" si="724"/>
        <v/>
      </c>
      <c r="DK351">
        <f>IF(B351="","",_xlfn.LET(_xlpm.ig,IF(N(CX351)&gt;0,N(CX351),N(CI351)+IF(AJ351="вручную",0,N(CJ351))),_xlpm.n0,IFERROR(VLOOKUP(_xlpm.ig,Автомат_номиналы,2,TRUE),0),_xlpm.mn,MAX(DB351,IF(AJ351="вручную",0,N(CM351))),MAX(_xlpm.n0,_xlpm.mn,IF(DH351=1,Мин_автомат_БП,0))))</f>
        <v>10</v>
      </c>
      <c r="DL351">
        <f t="shared" si="725"/>
        <v>1</v>
      </c>
      <c r="DM351" t="str">
        <f t="shared" si="726"/>
        <v>1P</v>
      </c>
      <c r="DN351" t="str">
        <f>_xlfn.LET(_xlpm.cc,UPPER(TRIM(IFERROR(_xlfn.XLOOKUP(BC351,Коды_код,Коды_хар)&amp;"",""))),IF(OR(_xlpm.cc="B",_xlpm.cc="В"),"B",IF(_xlpm.cc="D","D","С")))</f>
        <v>С</v>
      </c>
      <c r="DO351" t="str">
        <f t="shared" si="727"/>
        <v>1P С10А</v>
      </c>
      <c r="DP351">
        <f t="shared" si="728"/>
        <v>16</v>
      </c>
      <c r="DQ351" t="str">
        <f t="shared" si="729"/>
        <v>1P С16А</v>
      </c>
      <c r="DR351" cm="1">
        <f t="array" ref="DR351">IF(DQ351="","",_xlfn.LET(_xlpm.t,SUBSTITUTE(SUBSTITUTE(SUBSTITUTE(UPPER(DQ351),"С","C"),"А","A"),"В","B"),_xlpm.tk,_xlfn.TEXTSPLIT(_xlpm.t," "),_xlpm.f,_xlfn._xlws.FILTER(_xlpm.tk,ISNUMBER(--MID(_xlpm.tk,2,1))*ISNUMBER(SEARCH(LEFT(_xlpm.tk,1)&amp;"#","B#C#D#"))*(LEN(_xlpm.tk)&gt;1),""),_xlpm.x,INDEX(_xlpm.f,1),IFERROR(--SUBSTITUTE(MID(_xlpm.x,2,9),"A",""),IFERROR(--SUBSTITUTE(INDEX(_xlfn._xlws.FILTER(_xlpm.tk,ISNUMBER(--SUBSTITUTE(_xlpm.tk,"A","")),""),1),"A",""),""))))</f>
        <v>16</v>
      </c>
      <c r="DS351" t="str">
        <f t="shared" si="730"/>
        <v>ok</v>
      </c>
      <c r="DT351">
        <f t="shared" si="731"/>
        <v>16</v>
      </c>
      <c r="DU351" t="str">
        <f t="shared" si="732"/>
        <v>1P С16А</v>
      </c>
      <c r="DV351">
        <f t="shared" si="733"/>
        <v>0</v>
      </c>
      <c r="DW351">
        <f t="shared" si="734"/>
        <v>0</v>
      </c>
      <c r="DX351">
        <f t="shared" si="735"/>
        <v>0</v>
      </c>
      <c r="DY351">
        <f t="shared" si="736"/>
        <v>8.8881554598929231</v>
      </c>
      <c r="DZ351">
        <f t="shared" si="737"/>
        <v>1</v>
      </c>
      <c r="EA351">
        <f>IF(ISNUMBER(AP351),AP351,К_прокл)</f>
        <v>1</v>
      </c>
      <c r="EB351">
        <f t="shared" si="738"/>
        <v>2</v>
      </c>
      <c r="EC351">
        <f>IFERROR(N(VLOOKUP(BZ351,Кабель_обозначение,3,FALSE)),1)</f>
        <v>1</v>
      </c>
      <c r="ED351">
        <f>IFERROR(N(_xlfn.XLOOKUP(A351,Щиты[Щит],Щиты[ΔU до шин, %])),0)</f>
        <v>2.4899999999999998</v>
      </c>
      <c r="EE351" t="str">
        <f>IFERROR(_xlfn.XLOOKUP(A351,Щиты[Щит],Щиты[Zпетли на шинах, Ом]),"")</f>
        <v/>
      </c>
      <c r="EF351">
        <f>IFERROR(N(_xlfn.XLOOKUP(A351,Щиты[Щит],Щиты[ΔU до шин (подбор), %])),0)</f>
        <v>3.73</v>
      </c>
      <c r="EG351" t="str">
        <f>IFERROR(_xlfn.XLOOKUP(A351,Щиты[Щит],Щиты[Zпетли на шинах (подбор), Ом]),"")</f>
        <v/>
      </c>
      <c r="EH351" t="str">
        <f t="shared" si="739"/>
        <v/>
      </c>
      <c r="EI351">
        <f t="shared" si="740"/>
        <v>83</v>
      </c>
      <c r="EJ351">
        <f t="shared" si="741"/>
        <v>2</v>
      </c>
      <c r="EK351">
        <f t="shared" si="742"/>
        <v>0.31</v>
      </c>
      <c r="EL351" s="6">
        <f>IF(B351="","",IF(BV351=1,dU_LED,IF(IFERROR(_xlfn.XLOOKUP(BC351,Коды_код,Коды_уго),"")="Светильник",3,4)+IF(Методика="нормы 2026",MIN(0.5,MAX(0,N(P351)-100)*0.005),0)))</f>
        <v>4</v>
      </c>
      <c r="EM351" cm="1">
        <f t="array" ref="EM351">IF(OR(B351="",BZ351="",EC351&lt;&gt;1),"",_xlfn.LET(_xlpm.sz,Iдоп_S,_xlpm.t_,CHOOSE(EB351,Iдоп_1ж,Iдоп_2ж,Iдоп_3ж)*DZ351*EA351,_xlpm.dcx,BV351=1,_xlpm.inn,IF(_xlpm.dcx,N(O351),N(DT351)),_xlpm.smin,MAX(1.5,CC351),_xlpm.L_,N(P351)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351)/N(BU351)*100,999),IFERROR(N(EJ351)*(_xlpm.rho*_xlpm.L_/_xlpm.sz*N(CE351)+_xlpm.xx*_xlpm.L_*N(EK351)/1000)*N(O351)/((Uн_лин/SQRT(3))*1000)*100,999)),_xlpm.kz,IF(OR(_xlpm.dcx,DW351=1,NOT(ISNUMBER(EG351)),_xlpm.L_=0,_xlpm.inn=0),1,IFERROR(--(c_min*(Uн_лин*1000/SQRT(3))/(EG351+2*ρкз_Cu*_xlpm.L_/_xlpm.sz)&gt;=HT351*_xlpm.inn),0)),_xlpm.ok,IFERROR((_xlpm.sz&gt;=_xlpm.smin)*(_xlpm.t_&gt;=_xlpm.inn)*IF(_xlpm.L_&gt;0,(_xlpm.du_+IF(_xlpm.dcx,0,EF351)&lt;=EL351+0.00001),1)*_xlpm.kz,0),_xlpm.r_,_xlfn._xlws.FILTER(_xlpm.sz,_xlpm.ok,"не подобрано"),INDEX(_xlpm.r_,1)))</f>
        <v>70</v>
      </c>
      <c r="EN351">
        <f t="shared" si="743"/>
        <v>4</v>
      </c>
      <c r="EO351" cm="1">
        <f t="array" ref="EO351">IF(OR(B351="",BZ351="",EC351&lt;&gt;1),"",_xlfn.LET(_xlpm.sz,Iдоп_S,_xlpm.t_,CHOOSE(EB351,Iдоп_1ж,Iдоп_2ж,Iдоп_3ж)*DZ351*EA351,_xlpm.ok,IFERROR((_xlpm.sz&gt;=MAX(1.5,CC351))*(_xlpm.t_&gt;=N(DT351)),0),_xlpm.r_,_xlfn._xlws.FILTER(_xlpm.sz,_xlpm.ok,""),INDEX(_xlpm.r_,1)))</f>
        <v>1.5</v>
      </c>
      <c r="EP351" s="6" cm="1">
        <f t="array" ref="EP351">IFERROR(ROUNDUP(N(EJ351)*(_xlfn.XLOOKUP(EO351,INDEX(Кабель_сопротивление,0,1),INDEX(Кабель_сопротивление,0,3))*N(P351)/EO351*N(CE351)+_xlfn.XLOOKUP(EO351,INDEX(Кабель_сопротивление,0,1),INDEX(Кабель_сопротивление,0,2))*N(P351)*N(EK351)/1000)*N(O351)/((Uн_лин/SQRT(3))*1000)*100,2),"")</f>
        <v>9.129999999999999</v>
      </c>
      <c r="EQ351">
        <f>IFERROR(2*ρкз_Cu*N(P351)/EO351,"")</f>
        <v>2.9105333333333334</v>
      </c>
      <c r="ER351">
        <f>IFERROR(VLOOKUP(EN351,Кабель_сопротивление,3,FALSE),"")</f>
        <v>2.2499999999999999E-2</v>
      </c>
      <c r="ES351">
        <f>IFERROR(VLOOKUP(EN351,Кабель_сопротивление,2,FALSE),"")</f>
        <v>9.5000000000000001E-2</v>
      </c>
      <c r="ET351">
        <f t="shared" si="744"/>
        <v>12</v>
      </c>
      <c r="EU351">
        <f t="shared" si="745"/>
        <v>72</v>
      </c>
      <c r="EV351">
        <f t="shared" si="746"/>
        <v>7.9278009282380442</v>
      </c>
      <c r="EW351" s="6">
        <f>IFERROR(ROUNDUP(EV351/IF(BV351=1,BU351,(Uн_лин/SQRT(3))*1000)*100,2),"")</f>
        <v>3.44</v>
      </c>
      <c r="EX351" t="str">
        <f>IFERROR(VLOOKUP(BZ351,Кабель_обозначение,2,FALSE),"")</f>
        <v>ВВГнг(А)-LS</v>
      </c>
      <c r="EY351" t="str">
        <f t="shared" si="747"/>
        <v>ВВГнг(А)-LS (3х4)</v>
      </c>
      <c r="EZ351" t="str">
        <f t="shared" si="748"/>
        <v>ВВГнг(А)-LS (3х4)
L=83-3,44%</v>
      </c>
      <c r="FA351">
        <f>IFERROR(2*ρкз_Cu*P351/EN351,"")</f>
        <v>1.09145</v>
      </c>
      <c r="FB351">
        <f t="shared" si="749"/>
        <v>0.36312500000000003</v>
      </c>
      <c r="FC351" s="6" t="str">
        <f>IFERROR(IF(OR(B351="",BV351=1,NOT(ISNUMBER(EN351)),N(P351)=0),"",_xlfn.XLOOKUP(A351,Щиты[Щит],Щиты[Zпетли на шинах, Ом])+FA351),"")</f>
        <v/>
      </c>
      <c r="FD351" s="6" t="str">
        <f>IF(ISNUMBER(FC351),c_min*(Uн_лин*1000/SQRT(3))/FC351,"")</f>
        <v/>
      </c>
      <c r="FE351" s="6" t="str">
        <f>IFERROR(IF(OR(B351="",NOT(ISNUMBER(EN351))),"",1.05*(Uн_лин*1000/SQRT(3))/(_xlfn.XLOOKUP(A351,Щиты[Щит],Щиты[Zmax на шинах, Ом])+FB351)/1000),"")</f>
        <v/>
      </c>
      <c r="FF351" s="6" t="str">
        <f>IF(B351="","",IF(ISNUMBER(AC351),"Сил",IF(IFERROR(_xlfn.XLOOKUP(BC351,Коды_код,Коды_группа)&amp;"","")="","Быт",_xlfn.XLOOKUP(BC351,Коды_код,Коды_группа)&amp;"")))</f>
        <v>Быт</v>
      </c>
      <c r="FG351" s="6" t="str">
        <f t="shared" si="750"/>
        <v>Пост</v>
      </c>
      <c r="FH351" s="6">
        <f>IF(FG351="Щит","щит",IF(FG351="","",IF(FG351="Быт",IFERROR(_xlfn.XLOOKUP(A351,Щиты[Щит],Щиты[Кс быт]),1),IF(FG351="Сил",IF(ISNUMBER(AC351),AC351,IF(Методика="нормы 2026",IFERROR(_xlfn.XLOOKUP(A351,Щиты[Щит],Щиты[Кс силовых (табл. 7.5)]),1),1)),IF(OR(FG351="Пост",FG351="Отоп"),1,IF(FG351="ВНГ",0.7,0))))))</f>
        <v>1</v>
      </c>
      <c r="FI351">
        <f>IF(FG351="","",IF(AND(BP351=1,TRIM(AE351&amp;"")=""),IF(COUNTIFS(Линии[Щит],A351,Линии[Секция (1/2/3)],"&gt;=2")&gt;0,MIN(3,MAX(1,IFERROR(--BD351,1))),1),IFERROR(MIN(3,MAX(1,INT(--AE351))),1)))</f>
        <v>1</v>
      </c>
      <c r="FJ351">
        <f t="shared" si="751"/>
        <v>1.95</v>
      </c>
      <c r="FK351">
        <f t="shared" si="752"/>
        <v>0</v>
      </c>
      <c r="FL351">
        <f t="shared" si="753"/>
        <v>0</v>
      </c>
      <c r="FM351">
        <f t="shared" si="754"/>
        <v>1.95</v>
      </c>
      <c r="FN351">
        <f t="shared" si="755"/>
        <v>0</v>
      </c>
      <c r="FO351">
        <f t="shared" si="756"/>
        <v>0</v>
      </c>
      <c r="FP351">
        <f t="shared" si="757"/>
        <v>1.95</v>
      </c>
      <c r="FQ351">
        <f t="shared" si="758"/>
        <v>1.95</v>
      </c>
      <c r="FR351">
        <f t="shared" si="759"/>
        <v>1.8524999999999998</v>
      </c>
      <c r="FS351">
        <f>IF(CG351=1,IF(AND(CH351=1,CW351=1),0,IF(AND(CS351&lt;&gt;"",CS351=BA351,CW351=1),SUMIFS(Линии[_Р линии, кВт],Линии[_блок УЗО],BA351,Линии[Щит],A351),N(BS351)+IF(AJ351="вручную",0,N(CK351)))),0)</f>
        <v>1.95</v>
      </c>
      <c r="FT351" t="str">
        <f t="shared" si="760"/>
        <v/>
      </c>
      <c r="FU351" t="str">
        <f>IF(B351="","",IF(CG351=0,IF(BA351=1,"",FW350),IF(AND(CH351=1,CW351=1,CS351&lt;&gt;""),IFERROR(_xlfn.XLOOKUP(CS351,Линии[_n],Линии[_фаза итог]),"L1"),IF(OR(N(DL351)&gt;=3,N(BX351)&gt;=3),"L1,L2,L3",IFERROR(_xlfn.TEXTBEFORE(_xlfn.TEXTAFTER(_xlfn.XLOOKUP(A351,Щиты[Щит],Щиты[_фазы авто]),";"&amp;BA351&amp;":"),";"),"L1")))))</f>
        <v>L2</v>
      </c>
      <c r="FV351" t="str">
        <f t="shared" si="761"/>
        <v>L2</v>
      </c>
      <c r="FW351" t="str">
        <f t="shared" si="762"/>
        <v>L2</v>
      </c>
      <c r="FX351" cm="1">
        <f t="array" ref="FX351">IFERROR(IF(CD351=2,_xlfn.IFS(BX351=3,VLOOKUP(BS351,Справочная_двигатели,3,FALSE),BX351=1,VLOOKUP(BS351,Справочная_двигатели,5,TRUE)),0),0)</f>
        <v>0</v>
      </c>
      <c r="FY351">
        <f>IFERROR(IF(CD351=3,VLOOKUP(BS351,Справочная_ЛЭД,2,TRUE),0),0)</f>
        <v>0</v>
      </c>
      <c r="FZ351" s="6">
        <f t="shared" si="763"/>
        <v>0</v>
      </c>
      <c r="GA351" t="str">
        <f>IF(B351="","",IF(TRIM(AH351&amp;"")&lt;&gt;"",IF(LOWER(TRIM(AH351&amp;""))="да","да","нет"),IF(IFERROR(_xlfn.XLOOKUP(BC351,Коды_код,Коды_пожарная),"")="да","да","нет")))</f>
        <v>нет</v>
      </c>
      <c r="GB351" t="str">
        <f t="shared" si="764"/>
        <v/>
      </c>
      <c r="GC351" t="str">
        <f t="shared" si="765"/>
        <v>основная</v>
      </c>
      <c r="GD351">
        <f>IF(AND(BP351=1,TRIM(AE351&amp;"")=""),IF(COUNTIFS(Линии[Щит],A351,Линии[Секция (1/2/3)],"&gt;=2")&gt;0,MIN(3,MAX(1,IFERROR(--BD351,1))),1),IFERROR(MIN(3,MAX(1,INT(--AE351))),1))</f>
        <v>1</v>
      </c>
      <c r="GE351" t="str" cm="1">
        <f t="array" ref="GE351">IF(B351="","",_xlfn.LET(_xlpm.t,IFERROR(_xlfn.XLOOKUP(1,(Шины[Шина]=GC351)*(((Шины[Щит]=A351)+(Шины[Щит]=""))&gt;0),Шины[Тип]),"")&amp;"",IF(_xlpm.t&lt;&gt;"",_xlpm.t,IF(ISNUMBER(SEARCH("ИБП",GC351)),"ИБП",IF(ISNUMBER(SEARCH("ДГУ",GC351)),"ДГУ","Ввод "&amp;GD351)))))</f>
        <v>Ввод 1</v>
      </c>
      <c r="GF351" t="str">
        <f t="shared" si="766"/>
        <v>Ввод 1</v>
      </c>
      <c r="GG351" t="str">
        <f>IF(BP351=0,"",IF(TRIM(AG351&amp;"")&lt;&gt;"",TRIM(AG351&amp;""),IF(OR(GE351="ИБП",GE351="ДГУ"),"I особая",_xlfn.XLOOKUP(A351,Щиты[Щит],Щиты[Категория шины «Ввод»],"III"))))</f>
        <v/>
      </c>
      <c r="GH351" t="str">
        <f>IF(A351="","",_xlfn.XLOOKUP(A351,Щиты[Щит],Щиты[Путь],""))</f>
        <v>|ГРЩ-ЖД|ЩУОВ|</v>
      </c>
      <c r="GI351" t="str">
        <f>IF(B351="","",IF(AI351&lt;&gt;"",AI351,IF(IFERROR(_xlfn.XLOOKUP(BC351,Коды_код,Коды_вид)&amp;"","")="","Прочее",_xlfn.XLOOKUP(BC351,Коды_код,Коды_вид)&amp;"")))</f>
        <v>Обогрев водостоков и кровли</v>
      </c>
      <c r="GJ351">
        <f>IF(BM351="","",INT((BM351-1)/Столбцов_на_лист)+1)</f>
        <v>2</v>
      </c>
      <c r="GK351" t="str">
        <f t="shared" si="767"/>
        <v>ВВГнг(А)-LS (3х4) L=83-3,44%</v>
      </c>
      <c r="GL351">
        <f t="shared" si="768"/>
        <v>1.95</v>
      </c>
      <c r="GM351">
        <f t="shared" si="769"/>
        <v>8.89</v>
      </c>
      <c r="GN351">
        <f t="shared" si="770"/>
        <v>1</v>
      </c>
      <c r="GO351">
        <f t="shared" si="771"/>
        <v>0</v>
      </c>
      <c r="GP351">
        <f t="shared" si="772"/>
        <v>1</v>
      </c>
      <c r="GQ351">
        <f>IF(BM351="","",IF(AND(CG351=1,GP351=1),COUNTIFS(A$3:A351,A351,CG$3:CG351,1,GP$3:GP351,1),IF(OR(OR(BA351=1,A351&lt;&gt;A350),AJ351="вручную",GP351=0),"",IF(BA351=1,"",GR350))))</f>
        <v>10</v>
      </c>
      <c r="GR351">
        <f t="shared" si="773"/>
        <v>10</v>
      </c>
      <c r="GS351">
        <f>IF(B351="","",IFERROR(LOOKUP(INDEX(CHOOSE(EB351,Iдоп_1ж,Iдоп_2ж,Iдоп_3ж),MATCH(EN351,Iдоп_S,0))*DZ351*EA351,{6,10,16,20,25,32,40,50,63,80,100,125,160,200,250,315,400,500,630}),""))</f>
        <v>32</v>
      </c>
      <c r="GT351" t="str">
        <f t="shared" si="774"/>
        <v>QF10</v>
      </c>
      <c r="GU351" t="str">
        <f t="shared" si="775"/>
        <v>QF10</v>
      </c>
      <c r="GV351" t="str">
        <f t="shared" si="776"/>
        <v/>
      </c>
      <c r="GW351">
        <f t="shared" si="777"/>
        <v>0</v>
      </c>
      <c r="GX351" t="str">
        <f>IF(OR(B351="",DJ351=""),"",IFERROR(_xlfn.XLOOKUP(DJ351,Модули_умолч[Управление],Модули_умолч[Модель])&amp;"",""))</f>
        <v/>
      </c>
      <c r="GY351">
        <f>IF(DJ351="",1,IFERROR(MAX(0,N(_xlfn.XLOOKUP(DJ351,Модули_умолч[Управление],Модули_умолч[Каналов на линию]))),1))</f>
        <v>1</v>
      </c>
      <c r="GZ351" t="str">
        <f t="shared" si="778"/>
        <v/>
      </c>
      <c r="HA351" t="str">
        <f t="shared" si="779"/>
        <v/>
      </c>
      <c r="HB351" t="str">
        <f t="shared" si="780"/>
        <v/>
      </c>
      <c r="HC351">
        <f>IF(HB351="",0,IFERROR(N(VLOOKUP(HB351,Модули_спр,3,FALSE)),0))</f>
        <v>0</v>
      </c>
      <c r="HD351" t="str">
        <f t="shared" si="781"/>
        <v/>
      </c>
      <c r="HE351" t="str">
        <f t="shared" si="782"/>
        <v/>
      </c>
      <c r="HF351" t="str">
        <f>IF(OR(HE351="",HE351="-"),"",IFERROR(VLOOKUP(HE351,Модули_спр,2,FALSE),"R"))</f>
        <v/>
      </c>
      <c r="HG351" t="str">
        <f>IF(HF351="","",HF351&amp;"."&amp;COUNTIFS(A$3:A351,A351,HF$3:HF351,HF351))</f>
        <v/>
      </c>
      <c r="HH351" t="str">
        <f t="shared" si="783"/>
        <v/>
      </c>
      <c r="HI351" t="str">
        <f t="shared" si="784"/>
        <v/>
      </c>
      <c r="HJ351" t="str">
        <f t="shared" si="785"/>
        <v/>
      </c>
      <c r="HK351" t="str">
        <f t="shared" si="786"/>
        <v/>
      </c>
      <c r="HL351">
        <f t="shared" si="787"/>
        <v>1</v>
      </c>
      <c r="HM351" t="str">
        <f>IF(HL351=1,"XT"&amp;COUNTIFS(A$3:A351,A351,HL$3:HL351,1),"")</f>
        <v>XT10</v>
      </c>
      <c r="HN351" t="str">
        <f t="shared" si="788"/>
        <v/>
      </c>
      <c r="HO351" t="str">
        <f t="shared" si="789"/>
        <v>QF10</v>
      </c>
      <c r="HP351" t="str">
        <f t="shared" si="790"/>
        <v/>
      </c>
      <c r="HQ351" t="str">
        <f t="shared" si="791"/>
        <v>ok</v>
      </c>
      <c r="HR351" t="str">
        <f>IF(OR(HJ351="",HH351=""),"",IF(HJ351+MAX(0,GY351-1)&gt;IFERROR(VLOOKUP(HI351,Модули_спр,3,FALSE),99),"ЛИШНИЙ КАНАЛ",IF(AND(AL351&lt;&gt;"=",GY351&gt;0,COUNTIFS(Линии[_модуль гр.],HH351,Линии[Канал (итог)],HJ351,Линии[Канал],"&lt;&gt;=",Линии[Щит],A351)&gt;1),"ДУБЛЬ КАНАЛА","")))</f>
        <v/>
      </c>
      <c r="HS351" s="6" t="str">
        <f t="shared" si="792"/>
        <v/>
      </c>
      <c r="HT351">
        <f t="shared" si="793"/>
        <v>10</v>
      </c>
      <c r="HU351" t="str">
        <f t="shared" si="794"/>
        <v/>
      </c>
      <c r="HV351">
        <f t="shared" si="795"/>
        <v>4.3852621839571695</v>
      </c>
      <c r="HW351">
        <f t="shared" si="796"/>
        <v>0</v>
      </c>
      <c r="HX351">
        <f t="shared" si="797"/>
        <v>0</v>
      </c>
      <c r="HY351">
        <f t="shared" si="798"/>
        <v>0</v>
      </c>
      <c r="HZ351">
        <f t="shared" si="799"/>
        <v>0</v>
      </c>
      <c r="IA351">
        <f t="shared" si="800"/>
        <v>0</v>
      </c>
      <c r="IB351">
        <f t="shared" si="801"/>
        <v>0</v>
      </c>
      <c r="IC351" t="str">
        <f t="shared" si="802"/>
        <v/>
      </c>
      <c r="ID351" t="str" cm="1">
        <f t="array" ref="ID351">IF(IC351="","",_xlfn.LET(_xlpm.tk,_xlfn.TEXTSPLIT(SUBSTITUTE(SUBSTITUTE(IC351,";"," "),"→"," ")," ",,TRUE),_xlpm.w_,_xlfn._xlws.FILTER(_xlpm.tk,ISNUMBER(--LEFT(_xlpm.tk,1))*((ISNUMBER(SEARCH("W",_xlpm.tk))+ISNUMBER(SEARCH("Вт",_xlpm.tk)))&gt;0),""),IFERROR(--SUBSTITUTE(SUBSTITUTE(UPPER(INDEX(_xlpm.w_,1)),"W",""),"ВТ",""),"")))</f>
        <v/>
      </c>
      <c r="IE351" t="str" cm="1">
        <f t="array" ref="IE351">IF(IC351="","",_xlfn.LET(_xlpm.tk,_xlfn.TEXTSPLIT(SUBSTITUTE(SUBSTITUTE(IC351,";"," "),"→"," ")," ",,TRUE),_xlpm.v_,_xlfn._xlws.FILTER(_xlpm.tk,ISNUMBER(--LEFT(_xlpm.tk,1))*((ISNUMBER(SEARCH("V",_xlpm.tk))+(RIGHT(UPPER(_xlpm.tk))="В"))&gt;0),""),IFERROR(--SUBSTITUTE(SUBSTITUTE(UPPER(INDEX(_xlpm.v_,1)),"V",""),"В",""),"")))</f>
        <v/>
      </c>
      <c r="IF351" s="6" t="str">
        <f>IF(OR(BV351=0,HI351="",HJ351=""),"",IFERROR(N(_xlfn.XLOOKUP(HI351,Каталог!$C$4:$C$500,Каталог!$Q$4:$Q$500)),""))</f>
        <v/>
      </c>
      <c r="IG351" s="6" t="str">
        <f>IF(N(IF351)=0,"",SUMIFS(Линии[Iр, А],Линии[Щит],A351,Линии[_модуль гр.],HH351,Линии[Канал (итог)],HJ351))</f>
        <v/>
      </c>
      <c r="IH351" t="str">
        <f>IF(AND(B351="",HO351=""),"",_xlfn.TEXTJOIN("; ",TRUE,IF(AND(B351&lt;&gt;"",FV351=""),"нет фазы",""),IF(AND(B351&lt;&gt;"",N(GL351)=0,FG351&lt;&gt;"Нет"),"нет мощности",""),IF(AND(HN351&lt;&gt;"",COUNTIFS(Линии[Щит],A351,Линии[Клемма (итог)],HN351)&gt;1),"дубль клеммы "&amp;HN351,""),IF(AND(HQ351&lt;&gt;"",HQ351&lt;&gt;"ok"),HQ351,""),IF(HR351&lt;&gt;"",HR351,""),IF(AND(N(CB351)&gt;=4,N(BX351)=1),CB351&amp;" жил на 1 фазе",""),IF(AND(BC351="R",CG351=1,IF(CS351&lt;&gt;"",N(CV351)&gt;30,OR(N(DA351)=0,N(DA351)&gt;30))),"розетка без дифзащиты до 30 мА",""),IF(AND(CG351=1,N(DA351)&gt;0,ISNUMBER(T351)),IF(T351&gt;N(DA351)/3,"ток утечки "&amp;FIXED(T351,1)&amp;" мА &gt; 1/3 уставки ("&amp;DA351&amp;" мА)",""),""),IF(AND(CH351=1,CS351=""),"«узо»: нет строки с УЗО выше (УЗО 2P 40А 30мА в «Аппаратах»)",""),IF(AND(CS351&lt;&gt;"",CS351=BA351),IF(CT351="","впишите номинал УЗО (УЗО 2P 40А 30мА)",IF(N(CT351)&lt;N(DT351),"УЗО "&amp;CT351&amp;" А &lt; автомата "&amp;DT351&amp;" А перед ним",IF(N(CT351)&lt;N(CX351),"УЗО "&amp;CT351&amp;" А &lt; тока блока "&amp;FIXED(CX351,1)&amp;" А",""))),""),IF(AND(CS351&lt;&gt;"",CS351=BA351,ISNUMBER(CY351)),IF(CY351&gt;N(CV351)/3,"ток утечки блока УЗО "&amp;FIXED(CY351,1)&amp;" мА &gt; 1/3 уставки ("&amp;CV351&amp;" мА)",""),""),IF(AND(CG351=1,N(BV351)+N(IB351)&gt;0,IC351=""),"линии до 50 В без БП: впишите в «Аппараты» (БП 24V 480W)",""),IF(AND(CG351=1,ISNUMBER(ID351),ISNUMBER(U351)),IF(U351&gt;ID351,"БП "&amp;ID351&amp;" Вт &lt; нужно "&amp;U351&amp;" Вт (×"&amp;Запас_БП&amp;")",""),""),IF(AND(CG351=1,ISNUMBER(IE351),N(BV351)=1),IF(IE351&lt;&gt;N(BU351),"БП на "&amp;IE351&amp;" В, линия "&amp;BU351&amp;" В",""),""),IF(AND(N(IF351)&gt;0,N(IG351)&gt;N(IF351)),HH351&amp;" канал "&amp;HJ351&amp;": "&amp;FIXED(IG351,1)&amp;" А &gt; "&amp;IF351&amp;" А",""),IFERROR(IF(AND(ISNUMBER(Q351),Q351&gt;EL351),"потери "&amp;FIXED(Q351,1)&amp;" % &gt; "&amp;EL351&amp;" %",""),""),IFERROR(IF(LEFT(HU351,4)="мало","Iкз мало — отключение &gt; 0,4 с",""),""),IF(AND(B351&lt;&gt;"",BM351=""),"не на схеме",""),IF(AND(CG351=0,B351&lt;&gt;"",FV351&lt;&gt;"",IF(BA351=1,"",FW350)&lt;&gt;"",FV351&lt;&gt;IF(BA351=1,"",FW350)),"фаза не как у автомата группы ("&amp;IF(BA351=1,"",FW350)&amp;")","")))</f>
        <v>потери 5,9 % &gt; 4 %</v>
      </c>
      <c r="II351" s="6">
        <f>IF(OR(CG351=0,DQ351=""),"",_xlfn.LET(_xlpm.t,IFERROR(_xlfn.XLOOKUP(DQ351,Каталог!$U$4:$U$500,Каталог!$G$4:$G$500),""),_xlpm.k,SEARCH("кА",_xlpm.t),IFERROR(--TRIM(RIGHT(SUBSTITUTE(MID(_xlpm.t,MAX(1,_xlpm.k-4),_xlpm.k-MAX(1,_xlpm.k-4))," ",REPT(" ",9)),5)),"")))</f>
        <v>6</v>
      </c>
      <c r="IJ351" t="str">
        <f>IF(OR(II351="",CG351=0),"",IF(_xlfn.XLOOKUP(A351,Щиты[Щит],Щиты[Iкз max на шинах, кА],"")="","",IF(II351&lt;_xlfn.XLOOKUP(A351,Щиты[Щит],Щиты[Iкз max на шинах, кА]),"Icu "&amp;II351&amp;" кА &lt; Iкз max","ok")))</f>
        <v/>
      </c>
      <c r="IK351" t="str">
        <f t="shared" si="803"/>
        <v/>
      </c>
      <c r="IL351" t="str">
        <f t="shared" si="804"/>
        <v>QF10</v>
      </c>
      <c r="IM351" t="str">
        <f t="shared" si="805"/>
        <v>QF10|кабель ВВГнг(А)-LS (3х4) → Обогревл ливнестоков Кровля</v>
      </c>
      <c r="IN351" t="str" cm="1">
        <f t="array" ref="IN351">IF(IM351="","",_xlfn.LET(_xlpm.nd,_xlfn.TEXTSPLIT(IM351,"|"),IF(COLUMNS(_xlpm.nd)&gt;1,A351&amp;"¦"&amp;INDEX(_xlpm.nd,1)&amp;"¦"&amp;INDEX(_xlpm.nd,2),"")))</f>
        <v>ЩУОВ¦QF10¦кабель ВВГнг(А)-LS (3х4) → Обогревл ливнестоков Кровля</v>
      </c>
      <c r="IO351" t="str">
        <f t="shared" si="806"/>
        <v>OV.4.1.3¦Обогревл ливнестоков Кровля</v>
      </c>
      <c r="IP351" t="str" cm="1">
        <f t="array" ref="IP351">IF(IM351="","",_xlfn.LET(_xlpm.nd,_xlfn.TEXTSPLIT(IM351,"|"),IF(COLUMNS(_xlpm.nd)&gt;2,A351&amp;"¦"&amp;INDEX(_xlpm.nd,2)&amp;"¦"&amp;INDEX(_xlpm.nd,3),"")))</f>
        <v/>
      </c>
      <c r="IQ351" t="str">
        <f t="shared" si="807"/>
        <v/>
      </c>
      <c r="IR351" t="str" cm="1">
        <f t="array" ref="IR351">IF(IM351="","",_xlfn.LET(_xlpm.nd,_xlfn.TEXTSPLIT(IM351,"|"),IF(COLUMNS(_xlpm.nd)&gt;3,A351&amp;"¦"&amp;INDEX(_xlpm.nd,3)&amp;"¦"&amp;INDEX(_xlpm.nd,4),"")))</f>
        <v/>
      </c>
      <c r="IS351" t="str">
        <f t="shared" si="808"/>
        <v/>
      </c>
      <c r="IT351" t="str" cm="1">
        <f t="array" ref="IT351">IF(IM351="","",_xlfn.LET(_xlpm.nd,_xlfn.TEXTSPLIT(IM351,"|"),IF(COLUMNS(_xlpm.nd)&gt;4,A351&amp;"¦"&amp;INDEX(_xlpm.nd,4)&amp;"¦"&amp;INDEX(_xlpm.nd,5),"")))</f>
        <v/>
      </c>
      <c r="IU351" t="str">
        <f t="shared" si="809"/>
        <v/>
      </c>
      <c r="IV351" t="str" cm="1">
        <f t="array" ref="IV351">IF(IM351="","",_xlfn.LET(_xlpm.nd,_xlfn.TEXTSPLIT(IM351,"|"),IF(COLUMNS(_xlpm.nd)&gt;5,A351&amp;"¦"&amp;INDEX(_xlpm.nd,5)&amp;"¦"&amp;INDEX(_xlpm.nd,6),"")))</f>
        <v/>
      </c>
      <c r="IW351" t="str">
        <f t="shared" si="810"/>
        <v/>
      </c>
      <c r="IX351" t="str" cm="1">
        <f t="array" ref="IX351">IF(IM351="","",_xlfn.LET(_xlpm.nd,_xlfn.TEXTSPLIT(IM351,"|"),IF(COLUMNS(_xlpm.nd)&gt;6,A351&amp;"¦"&amp;INDEX(_xlpm.nd,6)&amp;"¦"&amp;INDEX(_xlpm.nd,7),"")))</f>
        <v/>
      </c>
      <c r="IY351" t="str">
        <f t="shared" si="811"/>
        <v/>
      </c>
      <c r="IZ351" t="str">
        <f t="shared" si="812"/>
        <v/>
      </c>
      <c r="JA351" t="str">
        <f t="shared" si="813"/>
        <v>QF10</v>
      </c>
      <c r="JB351">
        <f t="shared" si="814"/>
        <v>0</v>
      </c>
      <c r="JC351">
        <f t="shared" si="815"/>
        <v>0</v>
      </c>
      <c r="JD351" t="str">
        <f t="shared" si="816"/>
        <v/>
      </c>
      <c r="JE351" t="str">
        <f t="shared" si="817"/>
        <v/>
      </c>
      <c r="JF351" t="str">
        <f t="shared" si="818"/>
        <v/>
      </c>
      <c r="JG351" t="str">
        <f t="shared" si="819"/>
        <v/>
      </c>
      <c r="JH351" t="str">
        <f>IF(B351="","",IFERROR(_xlfn.XLOOKUP(B351,Коды_код,Коды_уго),IFERROR(_xlfn.XLOOKUP(BC351,Коды_код,Коды_уго),IFERROR(_xlfn.XLOOKUP(LEFT(BC351,2),Коды_код,Коды_уго),""))))</f>
        <v/>
      </c>
      <c r="JI351" t="str">
        <f>IF(B351="","",IF(OR(JH351="",JH351=0),"BOX",IFERROR(IF(VLOOKUP(JH351,УГО_блоки,3,FALSE)&amp;""&lt;&gt;"",VLOOKUP(JH351,УГО_блоки,3,FALSE),VLOOKUP(JH351,УГО_блоки,2,FALSE)),JH351)))</f>
        <v>BOX</v>
      </c>
      <c r="JJ351">
        <f t="shared" si="820"/>
        <v>1</v>
      </c>
      <c r="JK351" t="str">
        <f>IF(DQ351="","",IF(COUNTIF(DQ$3:DQ351,DQ351)=1,MAX(JK$2:JK350)+1,""))</f>
        <v/>
      </c>
      <c r="JL351" t="str">
        <f>IF(DE351="","",IF(COUNTIF(DE$3:DE351,DE351)+COUNTIF(DF$2:DF350,DE351)+COUNTIF(DG$2:DG350,DE351)=1,MAX(JL$2:JN350)+1,""))</f>
        <v/>
      </c>
      <c r="JM351" t="str">
        <f>IF(DF351="","",IF(COUNTIF(DE$3:DE351,DF351)+COUNTIF(DF$3:DF351,DF351)+COUNTIF(DG$2:DG350,DF351)=1,MAX(JL$2:JN350,JL351)+1,""))</f>
        <v/>
      </c>
      <c r="JN351" t="str">
        <f>IF(DG351="","",IF(COUNTIF(DE$3:DE351,DG351)+COUNTIF(DF$3:DF351,DG351)+COUNTIF(DG$3:DG351,DG351)=1,MAX(JL$2:JN350,JL351,JM351)+1,""))</f>
        <v/>
      </c>
      <c r="JO351" t="str">
        <f t="shared" si="821"/>
        <v>3х4</v>
      </c>
      <c r="JP351" t="str">
        <f>IF(JO351="","",IF(COUNTIF(JO$3:JO351,JO351)=1,MAX(JP$2:JP350)+1,""))</f>
        <v/>
      </c>
      <c r="JQ351" t="str">
        <f>IF(HG351="","",COUNTIF(HG$3:HG351,"?*"))</f>
        <v/>
      </c>
      <c r="JR351" t="str">
        <f>IF(OR(HG351="",HI351=""),"",IF(COUNTIFS(HG$3:HG351,"?*",HI$3:HI351,HI351)=1,MAX(JR$2:JR350)+1,""))</f>
        <v/>
      </c>
      <c r="JS351">
        <f t="shared" si="822"/>
        <v>1</v>
      </c>
      <c r="JT351">
        <f>IF(B351="","",COUNTIF(B$3:B351,"?*"))</f>
        <v>349</v>
      </c>
      <c r="JU351">
        <f>IF(HL351&lt;&gt;1,0,_xlfn.LET(_xlpm.k,MAX(IFERROR(--_xlfn.XLOOKUP(B351,Коды_код,Коды_3L),0),IFERROR(--_xlfn.XLOOKUP(BC351,Коды_код,Коды_3L),0),IFERROR(--_xlfn.XLOOKUP(LEFT(BC351,2),Коды_код,Коды_3L),0)),IF(_xlpm.k&gt;0,_xlpm.k,IF(IFERROR(--LEFT(SUBSTITUTE(JO351,"x","х"),FIND("х",SUBSTITUTE(JO351,"x","х"))-1),3)&gt;3,Каталог!$S$9,1))))</f>
        <v>1</v>
      </c>
      <c r="JV351">
        <f t="shared" si="823"/>
        <v>0</v>
      </c>
      <c r="JW351" t="str">
        <f t="shared" si="824"/>
        <v>авто</v>
      </c>
      <c r="JX351" t="str">
        <f t="shared" si="825"/>
        <v/>
      </c>
      <c r="JY351">
        <f t="shared" si="826"/>
        <v>0</v>
      </c>
      <c r="JZ351">
        <f t="shared" si="827"/>
        <v>1</v>
      </c>
    </row>
    <row r="352" spans="1:286" x14ac:dyDescent="0.3">
      <c r="A352" t="s">
        <v>769</v>
      </c>
      <c r="B352" t="s">
        <v>1650</v>
      </c>
      <c r="C352" t="s">
        <v>1739</v>
      </c>
      <c r="D352">
        <v>3</v>
      </c>
      <c r="E352">
        <v>2.16</v>
      </c>
      <c r="G352">
        <v>16</v>
      </c>
      <c r="H352" t="str">
        <f>Линии[[#This Row],[_авто управление]]</f>
        <v/>
      </c>
      <c r="I352" t="str">
        <f>Линии[[#This Row],[_авто аппараты]]</f>
        <v/>
      </c>
      <c r="J352">
        <v>2.5</v>
      </c>
      <c r="K352">
        <v>66</v>
      </c>
      <c r="L352" t="str">
        <f>Линии[[#This Row],[_авто фаза]]</f>
        <v>L2</v>
      </c>
      <c r="M352" t="s">
        <v>484</v>
      </c>
      <c r="N352" t="str">
        <f t="shared" si="690"/>
        <v>потери 7,3 % &gt; 4 %</v>
      </c>
      <c r="O352" s="6" cm="1">
        <f t="array" ref="O352">IF(B352="","",IF(BH352&lt;&gt;"",IFERROR(_xlfn.XLOOKUP(BH352,Щиты[Щит],Щиты[Iр, А]),""),IF(BP352=1,IF(OR(N(_xlfn.XLOOKUP(A352,Щиты[Щит],Щиты[Вводов],1))&lt;=1,LOWER(TRIM(_xlfn.XLOOKUP(A352,Щиты[Щит],Щиты[АВР],"")&amp;""))="да"),IFERROR(_xlfn.XLOOKUP(A352,Щиты[Щит],Щиты[Iр, А]),""),IFERROR(N(BS352)*_xlfn.XLOOKUP(A352,Щиты[Щит],Щиты[Кс итог])/(SQRT(3)*Uн_лин*_xlfn.XLOOKUP(A352,Щиты[Щит],Щиты[cos φ])),"")),IF(BV352=1,IFERROR(BS352*1000/BU352,""),IFERROR(_xlfn.IFS(BX352=1,BS352/((Uн_лин/SQRT(3))*CE352),BX352=3,BS352/(SQRT(3)*Uн_лин*CE352)),"")))))</f>
        <v>9.8453414324967756</v>
      </c>
      <c r="P352" s="7">
        <f>IF(B352="","",IFERROR(IF(VLOOKUP(BC352,Потребители_обозначение,4,FALSE)=1,VLOOKUP(BC352,Потребители_обозначение,3,FALSE)*(MAX(1,N(D352))*2-1)+EI352+VLOOKUP(BE352,Этаж_обозначение,3,FALSE)+VLOOKUP(BE352,Этаж_обозначение,4,FALSE),VLOOKUP(BC352,Потребители_обозначение,3,FALSE)*(MAX(1,N(D352))*2-1)+EI352),EI352))</f>
        <v>66</v>
      </c>
      <c r="Q352" s="6">
        <f t="shared" si="691"/>
        <v>7.32</v>
      </c>
      <c r="R352" t="str">
        <f t="shared" si="692"/>
        <v>ВВГнг(А)-LS (3х2,5)</v>
      </c>
      <c r="S352" t="str">
        <f>IF(BM352="","",IF(BN352="вводной узел","узел ","")&amp;"л."&amp;(INT((BM352-1)/Столбцов_на_лист)+1)&amp;" / "&amp;(MOD(BM352-1,Столбцов_на_лист)+1))</f>
        <v>л.2 / 10</v>
      </c>
      <c r="T352" s="119">
        <f t="shared" si="693"/>
        <v>4.5999999999999996</v>
      </c>
      <c r="U352" s="7" t="str">
        <f>IF(OR(CG352=0,N(BV352)+N(IB352)=0),"",ROUNDUP(Запас_БП*(N(HY352)+N(HZ352)),0))</f>
        <v/>
      </c>
      <c r="V352" s="119" t="str">
        <f t="shared" si="694"/>
        <v/>
      </c>
      <c r="W352" s="7" t="str">
        <f>IFERROR(IF(OR(B352="",BP352=1,BV352=1,NOT(ISNUMBER(EN352)),N(DT352)=0),"",MAX(0,ROUNDDOWN((c_min*(Uн_лин*1000/SQRT(3))/(HT352*N(DT352))-_xlfn.XLOOKUP(A352,Щиты[Щит],Щиты[Zпетли на шинах, Ом]))*EN352/(2*ρкз_Cu),0))),"")</f>
        <v/>
      </c>
      <c r="Y352" t="str">
        <f>Линии[[#This Row],[_авто утечка]]</f>
        <v/>
      </c>
      <c r="Z352">
        <v>1</v>
      </c>
      <c r="AA352">
        <v>230</v>
      </c>
      <c r="AB352" t="s">
        <v>573</v>
      </c>
      <c r="AG352" t="s">
        <v>810</v>
      </c>
      <c r="AI352" t="s">
        <v>609</v>
      </c>
      <c r="AK352" t="str">
        <f>Линии[[#This Row],[_авто модуль]]</f>
        <v/>
      </c>
      <c r="AM352">
        <v>27</v>
      </c>
      <c r="AN352" t="s">
        <v>11</v>
      </c>
      <c r="AO352">
        <v>3</v>
      </c>
      <c r="AQ352">
        <v>12</v>
      </c>
      <c r="AR352">
        <v>12</v>
      </c>
      <c r="AS352">
        <v>55</v>
      </c>
      <c r="AT352">
        <v>1</v>
      </c>
      <c r="BA352" cm="1">
        <f t="array" ref="BA352">ROW()-ROW(Линии[#Headers])</f>
        <v>350</v>
      </c>
      <c r="BC352" s="6" t="str">
        <f t="shared" si="695"/>
        <v>OV</v>
      </c>
      <c r="BD352" t="str">
        <f t="shared" si="696"/>
        <v>4.1.4</v>
      </c>
      <c r="BE352" t="str">
        <f t="shared" si="697"/>
        <v>4</v>
      </c>
      <c r="BF352" t="str">
        <f t="shared" si="698"/>
        <v>1.4</v>
      </c>
      <c r="BG352" t="str">
        <f t="shared" si="699"/>
        <v>1</v>
      </c>
      <c r="BH352" t="str">
        <f>IF(X352&lt;&gt;"",X352,IF(AND(B352&lt;&gt;"",B352&lt;&gt;A352,ISNUMBER(_xlfn.XMATCH(B352,Щиты[Щит]))),B352,""))</f>
        <v/>
      </c>
      <c r="BI352" t="str" cm="1">
        <f t="array" ref="BI352">IF(B352="","",IF(BH352&lt;&gt;"","Щит "&amp;BH352,_xlfn.LET(_xlpm.nm,IFERROR(_xlfn.XLOOKUP(BC352,Коды_код,Коды_имя)&amp;"",""),_xlpm.md,IFERROR(N(_xlfn.XLOOKUP(BC352,Коды_код,Коды_режим)),1),_xlpm.ex,IF(Имя_режим="по экспликации",IFERROR(_xlfn.XLOOKUP(BE352&amp;"|"&amp;BG352,Экспликация[Этаж]&amp;"|"&amp;Экспликация[Помещение],Экспликация[Название])&amp;"",""),""),_xlpm.rm,IF(BG352="","",IF(_xlpm.ex&lt;&gt;"",". "&amp;_xlpm.ex&amp;IF(Имя_пом="нет"," ("&amp;BG352&amp;")"," (пом. "&amp;BG352&amp;")"),IF(Имя_пом="нет"," ",", пом. ")&amp;BG352)),IF(_xlpm.nm="","",IF(_xlpm.md=2,_xlpm.nm&amp;" шлейф "&amp;BE352,_xlpm.nm&amp;_xlpm.rm)))))</f>
        <v/>
      </c>
      <c r="BJ352" t="str">
        <f t="shared" si="700"/>
        <v>Обогревл ливнестоков Кровля</v>
      </c>
      <c r="BK352">
        <f>IFERROR(_xlfn.XMATCH(A352,Щиты[Щит]),0)</f>
        <v>17</v>
      </c>
      <c r="BL352">
        <f>_xlfn.LET(_xlpm.k,IFERROR(_xlfn.XLOOKUP(A352,Щиты[Щит],Щиты[Мест под вводной узел]),""),IF(_xlpm.k="",Столбцов_на_лист,N(_xlpm.k)))</f>
        <v>10</v>
      </c>
      <c r="BM352">
        <f t="shared" si="701"/>
        <v>27</v>
      </c>
      <c r="BN352" t="str">
        <f t="shared" si="702"/>
        <v>линии</v>
      </c>
      <c r="BO352" s="6">
        <f>IFERROR(N(_xlfn.XLOOKUP(BC352,Коды_код,Коды_квт)),0)</f>
        <v>0</v>
      </c>
      <c r="BP352">
        <f t="shared" si="703"/>
        <v>0</v>
      </c>
      <c r="BQ352" t="str">
        <f>IF(B352="","",IF(BH352&lt;&gt;"",IFERROR(_xlfn.XLOOKUP(BH352,Щиты[Щит],Щиты[Руст, кВт]),0),IF(BP352=1,IF(OR(N(_xlfn.XLOOKUP(A352,Щиты[Щит],Щиты[Вводов],1))&lt;=1,LOWER(TRIM(_xlfn.XLOOKUP(A352,Щиты[Щит],Щиты[АВР],"")&amp;""))="да"),IFERROR(_xlfn.XLOOKUP(A352,Щиты[Щит],Щиты[Руст, кВт]),0),SUMIFS(Линии[_Р для вводов],Линии[Щит],A352,Линии[Источник для режимов],GF352)),IF(BO352&gt;0,ROUND(BO352*MAX(1,N(D352)),3),""))))</f>
        <v/>
      </c>
      <c r="BR352">
        <f t="shared" si="704"/>
        <v>2.16</v>
      </c>
      <c r="BS352" s="6">
        <f>IF(B352="","",IF(BH352&lt;&gt;"",IFERROR(_xlfn.XLOOKUP(BH352,Щиты[Щит],Щиты[Руст, кВт]),0),N(BR352)))</f>
        <v>2.16</v>
      </c>
      <c r="BT352" t="str">
        <f>IF(B352="","",IFERROR(IF(VLOOKUP(BC352,Потребители_обозначение,8,FALSE)=0,"",VLOOKUP(BC352,Потребители_обозначение,8,FALSE)),""))</f>
        <v/>
      </c>
      <c r="BU352">
        <f t="shared" si="705"/>
        <v>230</v>
      </c>
      <c r="BV352">
        <f t="shared" si="706"/>
        <v>0</v>
      </c>
      <c r="BW352">
        <f>IF(B352="","",IF(BH352&lt;&gt;"",3,IFERROR(IF(N(VLOOKUP(BC352,Потребители_обозначение,9,FALSE))=0,1,VLOOKUP(BC352,Потребители_обозначение,9,FALSE)),1)))</f>
        <v>1</v>
      </c>
      <c r="BX352">
        <f t="shared" si="707"/>
        <v>1</v>
      </c>
      <c r="BY352" t="str">
        <f>IF(B352="","",_xlfn.LET(_xlpm.bc,IFERROR(IF(VLOOKUP(BC352,Потребители_обозначение,6,FALSE)=0,"",VLOOKUP(BC352,Потребители_обозначение,6,FALSE)&amp;""),""),IF(AND(GA352="да",OR(_xlpm.bc="",_xlpm.bc="мс")),Марка_пож,IF(AND(_xlpm.bc="",BH352&lt;&gt;""),"мс",_xlpm.bc))))</f>
        <v/>
      </c>
      <c r="BZ352" t="str">
        <f t="shared" si="708"/>
        <v>мс</v>
      </c>
      <c r="CA352">
        <f>IF(B352="","",_xlfn.LET(_xlpm.cc,IFERROR(N(VLOOKUP(BC352,Потребители_обозначение,7,FALSE)),0),IF(_xlpm.cc&gt;0,_xlpm.cc,IF(BZ352="","",IF(BV352=1,2,IF(N(BX352)=3,5,3))))))</f>
        <v>3</v>
      </c>
      <c r="CB352">
        <f t="shared" si="709"/>
        <v>3</v>
      </c>
      <c r="CC352">
        <f>IFERROR(N(VLOOKUP(BC352,Потребители_обозначение,10,FALSE)),0)</f>
        <v>0</v>
      </c>
      <c r="CD352">
        <f>IFERROR(VLOOKUP(BC352,Потребители_обозначение,5,FALSE),0)</f>
        <v>0</v>
      </c>
      <c r="CE352" s="6" cm="1">
        <f t="array" ref="CE352">IF(B352="","",IF(BH352&lt;&gt;"",IFERROR(_xlfn.XLOOKUP(BH352,Щиты[Щит],Щиты[cos φ]),0.95),IF(BP352=1,IFERROR(_xlfn.XLOOKUP(A352,Щиты[Щит],Щиты[cos φ]),0.95),IF(ISNUMBER(AD352),AD352,IFERROR(IF(CD352=2,_xlfn.IFS(BX352=3,VLOOKUP(BS352,Справочная_двигатели,8,FALSE),BX352=1,VLOOKUP(BS352,Справочная_двигатели,10,TRUE)),IF(AND(Методика="нормы 2026",FG352="Сил"),0.8,0.95)),0.95)))))</f>
        <v>0.95</v>
      </c>
      <c r="CF352">
        <f t="shared" si="710"/>
        <v>0</v>
      </c>
      <c r="CG352">
        <f t="shared" si="711"/>
        <v>1</v>
      </c>
      <c r="CH352">
        <f t="shared" si="712"/>
        <v>0</v>
      </c>
      <c r="CI352">
        <f>IF(B352="","",IF(BV352=1,IFERROR(BS352/((Uн_лин/SQRT(3))*MAX(0.5,N(CE352))),0),N(O352)))</f>
        <v>9.8453414324967756</v>
      </c>
      <c r="CJ352">
        <f t="shared" si="713"/>
        <v>0</v>
      </c>
      <c r="CK352">
        <f t="shared" si="714"/>
        <v>0</v>
      </c>
      <c r="CL352">
        <f t="shared" si="715"/>
        <v>0</v>
      </c>
      <c r="CM352">
        <f t="shared" si="716"/>
        <v>0</v>
      </c>
      <c r="CN352">
        <f t="shared" si="717"/>
        <v>0</v>
      </c>
      <c r="CO352">
        <f>IF(BC352="",0,_xlfn.LET(_xlpm.v,IFERROR(_xlfn.XLOOKUP(B352,Коды_код,Коды_мА),IFERROR(_xlfn.XLOOKUP(BC352,Коды_код,Коды_мА),IFERROR(_xlfn.XLOOKUP(LEFT(BC352,2),Коды_код,Коды_мА),""))),IF(_xlpm.v="да",30,IF(ISNUMBER(_xlpm.v),_xlpm.v,0))))</f>
        <v>0</v>
      </c>
      <c r="CP352" t="str">
        <f t="shared" si="718"/>
        <v/>
      </c>
      <c r="CQ352" t="str">
        <f>_xlfn.LET(_xlpm.k,IFERROR(_xlfn.XLOOKUP(BC352,Коды_код,Коды_утечка)&amp;"",""),IF(_xlpm.k="","дифавтомат",_xlpm.k))</f>
        <v>дифавтомат</v>
      </c>
      <c r="CR352" t="str" cm="1">
        <f t="array" ref="CR352">IF(CG352=0,"",_xlfn.LET(_xlpm.sg,TRIM(_xlfn.TEXTSPLIT(DD352&amp;"",";")),_xlpm.f_,_xlfn._xlws.FILTER(_xlpm.sg,LEFT(_xlpm.sg,3)="УЗО",""),IFERROR(INDEX(_xlpm.f_,1)&amp;"","")))</f>
        <v/>
      </c>
      <c r="CS352" t="str">
        <f t="shared" si="719"/>
        <v/>
      </c>
      <c r="CT352" s="6" t="str" cm="1">
        <f t="array" ref="CT352">IF(CR352="","",_xlfn.LET(_xlpm.tk,_xlfn.TEXTSPLIT(UPPER(CR352)," ",,TRUE),_xlpm.a_,_xlfn._xlws.FILTER(_xlpm.tk,ISNUMBER(--LEFT(_xlpm.tk,1))*((ISNUMBER(SEARCH("А",_xlpm.tk))+ISNUMBER(SEARCH("A",_xlpm.tk)))&gt;0)*NOT(ISNUMBER(SEARCH("МА",_xlpm.tk)))*NOT(ISNUMBER(SEARCH("MA",_xlpm.tk))),""),IFERROR(--SUBSTITUTE(SUBSTITUTE(INDEX(_xlpm.a_,1),"А",""),"A",""),"")))</f>
        <v/>
      </c>
      <c r="CU352" t="str" cm="1">
        <f t="array" ref="CU352">IF(CR352="","",_xlfn.LET(_xlpm.tk,_xlfn.TEXTSPLIT(UPPER(CR352)," ",,TRUE),_xlpm.a_,_xlfn._xlws.FILTER(_xlpm.tk,ISNUMBER(--LEFT(_xlpm.tk,1))*((ISNUMBER(SEARCH("МА",_xlpm.tk))+ISNUMBER(SEARCH("MA",_xlpm.tk)))&gt;0),""),IFERROR(--SUBSTITUTE(SUBSTITUTE(INDEX(_xlpm.a_,1),"МА",""),"MA",""),30)))</f>
        <v/>
      </c>
      <c r="CV352" t="str">
        <f>IF(CS352="","",IFERROR(_xlfn.XLOOKUP(CS352,Линии[_n],Линии[_УЗО, мА]),30))</f>
        <v/>
      </c>
      <c r="CW352">
        <f>IF(CS352="",0,IF(ISNUMBER(SEARCH("4P",IFERROR(_xlfn.XLOOKUP(CS352,Линии[_n],Линии[_УЗО строки])&amp;"",""))),0,1))</f>
        <v>0</v>
      </c>
      <c r="CX352" t="str">
        <f>IF(AND(CS352&lt;&gt;"",CS352=BA352),SUMIFS(Линии[_ток на 230 В],Линии[_блок УЗО],BA352,Линии[Щит],A352),"")</f>
        <v/>
      </c>
      <c r="CY352" t="str">
        <f>IF(AND(CS352&lt;&gt;"",CS352=BA352),SUMIFS(Линии[_ток утечки линии, мА],Линии[_блок УЗО],BA352,Линии[Щит],A352),"")</f>
        <v/>
      </c>
      <c r="CZ352">
        <f t="shared" si="720"/>
        <v>0</v>
      </c>
      <c r="DA352">
        <f t="shared" si="721"/>
        <v>0</v>
      </c>
      <c r="DB352">
        <f>IF(B352="",0,IFERROR(--_xlfn.XLOOKUP(B352,Коды_код,Коды_минавт),IFERROR(--_xlfn.XLOOKUP(BC352,Коды_код,Коды_минавт),IFERROR(--_xlfn.XLOOKUP(LEFT(BC352,2),Коды_код,Коды_минавт),0))))</f>
        <v>0</v>
      </c>
      <c r="DC352" t="str">
        <f>IF(B352="","",IFERROR(_xlfn.XLOOKUP(BC352,Коды_код,Коды_апп)&amp;"",""))</f>
        <v/>
      </c>
      <c r="DD352" t="str">
        <f t="shared" si="722"/>
        <v/>
      </c>
      <c r="DE352" t="str" cm="1">
        <f t="array" ref="DE352">IF(TRIM(DD352&amp;"")="","",IFERROR(TRIM(INDEX(_xlfn.TEXTSPLIT(DD352&amp;";;;",";"),1)),""))</f>
        <v/>
      </c>
      <c r="DF352" t="str" cm="1">
        <f t="array" ref="DF352">IF(TRIM(DD352&amp;"")="","",IFERROR(TRIM(INDEX(_xlfn.TEXTSPLIT(DD352&amp;";;;",";"),2)),""))</f>
        <v/>
      </c>
      <c r="DG352" t="str" cm="1">
        <f t="array" ref="DG352">IF(TRIM(DD352&amp;"")="","",IFERROR(TRIM(INDEX(_xlfn.TEXTSPLIT(DD352&amp;";;;",";"),3)),""))</f>
        <v/>
      </c>
      <c r="DH352">
        <f t="shared" si="723"/>
        <v>0</v>
      </c>
      <c r="DI352" t="str">
        <f>IF(B352="","",_xlfn.LET(_xlpm.t,LOWER(AZ352&amp;""),IF(ISNUMBER(SEARCH("dim",_xlpm.t)),"DIM",IF(ISNUMBER(SEARCH("dali",_xlpm.t)),"DALI",IF(OR(ISNUMBER(SEARCH("relay",_xlpm.t)),ISNUMBER(SEARCH("реле",_xlpm.t))),"Relay",IF(ISNUMBER(SEARCH("кнопк",_xlpm.t)),"",IFERROR(_xlfn.XLOOKUP(BC352,Коды_код,Коды_упр)&amp;"","")))))))</f>
        <v/>
      </c>
      <c r="DJ352" t="str">
        <f t="shared" si="724"/>
        <v/>
      </c>
      <c r="DK352">
        <f>IF(B352="","",_xlfn.LET(_xlpm.ig,IF(N(CX352)&gt;0,N(CX352),N(CI352)+IF(AJ352="вручную",0,N(CJ352))),_xlpm.n0,IFERROR(VLOOKUP(_xlpm.ig,Автомат_номиналы,2,TRUE),0),_xlpm.mn,MAX(DB352,IF(AJ352="вручную",0,N(CM352))),MAX(_xlpm.n0,_xlpm.mn,IF(DH352=1,Мин_автомат_БП,0))))</f>
        <v>16</v>
      </c>
      <c r="DL352">
        <f t="shared" si="725"/>
        <v>1</v>
      </c>
      <c r="DM352" t="str">
        <f t="shared" si="726"/>
        <v>1P</v>
      </c>
      <c r="DN352" t="str">
        <f>_xlfn.LET(_xlpm.cc,UPPER(TRIM(IFERROR(_xlfn.XLOOKUP(BC352,Коды_код,Коды_хар)&amp;"",""))),IF(OR(_xlpm.cc="B",_xlpm.cc="В"),"B",IF(_xlpm.cc="D","D","С")))</f>
        <v>С</v>
      </c>
      <c r="DO352" t="str">
        <f t="shared" si="727"/>
        <v>1P С16А</v>
      </c>
      <c r="DP352">
        <f t="shared" si="728"/>
        <v>16</v>
      </c>
      <c r="DQ352" t="str">
        <f t="shared" si="729"/>
        <v>1P С16А</v>
      </c>
      <c r="DR352" cm="1">
        <f t="array" ref="DR352">IF(DQ352="","",_xlfn.LET(_xlpm.t,SUBSTITUTE(SUBSTITUTE(SUBSTITUTE(UPPER(DQ352),"С","C"),"А","A"),"В","B"),_xlpm.tk,_xlfn.TEXTSPLIT(_xlpm.t," "),_xlpm.f,_xlfn._xlws.FILTER(_xlpm.tk,ISNUMBER(--MID(_xlpm.tk,2,1))*ISNUMBER(SEARCH(LEFT(_xlpm.tk,1)&amp;"#","B#C#D#"))*(LEN(_xlpm.tk)&gt;1),""),_xlpm.x,INDEX(_xlpm.f,1),IFERROR(--SUBSTITUTE(MID(_xlpm.x,2,9),"A",""),IFERROR(--SUBSTITUTE(INDEX(_xlfn._xlws.FILTER(_xlpm.tk,ISNUMBER(--SUBSTITUTE(_xlpm.tk,"A","")),""),1),"A",""),""))))</f>
        <v>16</v>
      </c>
      <c r="DS352" t="str">
        <f t="shared" si="730"/>
        <v>ok</v>
      </c>
      <c r="DT352">
        <f t="shared" si="731"/>
        <v>16</v>
      </c>
      <c r="DU352" t="str">
        <f t="shared" si="732"/>
        <v>1P С16А</v>
      </c>
      <c r="DV352">
        <f t="shared" si="733"/>
        <v>0</v>
      </c>
      <c r="DW352">
        <f t="shared" si="734"/>
        <v>0</v>
      </c>
      <c r="DX352">
        <f t="shared" si="735"/>
        <v>0</v>
      </c>
      <c r="DY352">
        <f t="shared" si="736"/>
        <v>9.8453414324967756</v>
      </c>
      <c r="DZ352">
        <f t="shared" si="737"/>
        <v>1</v>
      </c>
      <c r="EA352">
        <f>IF(ISNUMBER(AP352),AP352,К_прокл)</f>
        <v>1</v>
      </c>
      <c r="EB352">
        <f t="shared" si="738"/>
        <v>2</v>
      </c>
      <c r="EC352">
        <f>IFERROR(N(VLOOKUP(BZ352,Кабель_обозначение,3,FALSE)),1)</f>
        <v>1</v>
      </c>
      <c r="ED352">
        <f>IFERROR(N(_xlfn.XLOOKUP(A352,Щиты[Щит],Щиты[ΔU до шин, %])),0)</f>
        <v>2.4899999999999998</v>
      </c>
      <c r="EE352" t="str">
        <f>IFERROR(_xlfn.XLOOKUP(A352,Щиты[Щит],Щиты[Zпетли на шинах, Ом]),"")</f>
        <v/>
      </c>
      <c r="EF352">
        <f>IFERROR(N(_xlfn.XLOOKUP(A352,Щиты[Щит],Щиты[ΔU до шин (подбор), %])),0)</f>
        <v>3.73</v>
      </c>
      <c r="EG352" t="str">
        <f>IFERROR(_xlfn.XLOOKUP(A352,Щиты[Щит],Щиты[Zпетли на шинах (подбор), Ом]),"")</f>
        <v/>
      </c>
      <c r="EH352" t="str">
        <f t="shared" si="739"/>
        <v/>
      </c>
      <c r="EI352">
        <f t="shared" si="740"/>
        <v>66</v>
      </c>
      <c r="EJ352">
        <f t="shared" si="741"/>
        <v>2</v>
      </c>
      <c r="EK352">
        <f t="shared" si="742"/>
        <v>0.31</v>
      </c>
      <c r="EL352" s="6">
        <f>IF(B352="","",IF(BV352=1,dU_LED,IF(IFERROR(_xlfn.XLOOKUP(BC352,Коды_код,Коды_уго),"")="Светильник",3,4)+IF(Методика="нормы 2026",MIN(0.5,MAX(0,N(P352)-100)*0.005),0)))</f>
        <v>4</v>
      </c>
      <c r="EM352" cm="1">
        <f t="array" ref="EM352">IF(OR(B352="",BZ352="",EC352&lt;&gt;1),"",_xlfn.LET(_xlpm.sz,Iдоп_S,_xlpm.t_,CHOOSE(EB352,Iдоп_1ж,Iдоп_2ж,Iдоп_3ж)*DZ352*EA352,_xlpm.dcx,BV352=1,_xlpm.inn,IF(_xlpm.dcx,N(O352),N(DT352)),_xlpm.smin,MAX(1.5,CC352),_xlpm.L_,N(P352)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352)/N(BU352)*100,999),IFERROR(N(EJ352)*(_xlpm.rho*_xlpm.L_/_xlpm.sz*N(CE352)+_xlpm.xx*_xlpm.L_*N(EK352)/1000)*N(O352)/((Uн_лин/SQRT(3))*1000)*100,999)),_xlpm.kz,IF(OR(_xlpm.dcx,DW352=1,NOT(ISNUMBER(EG352)),_xlpm.L_=0,_xlpm.inn=0),1,IFERROR(--(c_min*(Uн_лин*1000/SQRT(3))/(EG352+2*ρкз_Cu*_xlpm.L_/_xlpm.sz)&gt;=HT352*_xlpm.inn),0)),_xlpm.ok,IFERROR((_xlpm.sz&gt;=_xlpm.smin)*(_xlpm.t_&gt;=_xlpm.inn)*IF(_xlpm.L_&gt;0,(_xlpm.du_+IF(_xlpm.dcx,0,EF352)&lt;=EL352+0.00001),1)*_xlpm.kz,0),_xlpm.r_,_xlfn._xlws.FILTER(_xlpm.sz,_xlpm.ok,"не подобрано"),INDEX(_xlpm.r_,1)))</f>
        <v>50</v>
      </c>
      <c r="EN352">
        <f t="shared" si="743"/>
        <v>2.5</v>
      </c>
      <c r="EO352" cm="1">
        <f t="array" ref="EO352">IF(OR(B352="",BZ352="",EC352&lt;&gt;1),"",_xlfn.LET(_xlpm.sz,Iдоп_S,_xlpm.t_,CHOOSE(EB352,Iдоп_1ж,Iдоп_2ж,Iдоп_3ж)*DZ352*EA352,_xlpm.ok,IFERROR((_xlpm.sz&gt;=MAX(1.5,CC352))*(_xlpm.t_&gt;=N(DT352)),0),_xlpm.r_,_xlfn._xlws.FILTER(_xlpm.sz,_xlpm.ok,""),INDEX(_xlpm.r_,1)))</f>
        <v>1.5</v>
      </c>
      <c r="EP352" s="6" cm="1">
        <f t="array" ref="EP352">IFERROR(ROUNDUP(N(EJ352)*(_xlfn.XLOOKUP(EO352,INDEX(Кабель_сопротивление,0,1),INDEX(Кабель_сопротивление,0,3))*N(P352)/EO352*N(CE352)+_xlfn.XLOOKUP(EO352,INDEX(Кабель_сопротивление,0,1),INDEX(Кабель_сопротивление,0,2))*N(P352)*N(EK352)/1000)*N(O352)/((Uн_лин/SQRT(3))*1000)*100,2),"")</f>
        <v>8.0399999999999991</v>
      </c>
      <c r="EQ352">
        <f>IFERROR(2*ρкз_Cu*N(P352)/EO352,"")</f>
        <v>2.3144</v>
      </c>
      <c r="ER352">
        <f>IFERROR(VLOOKUP(EN352,Кабель_сопротивление,3,FALSE),"")</f>
        <v>2.2499999999999999E-2</v>
      </c>
      <c r="ES352">
        <f>IFERROR(VLOOKUP(EN352,Кабель_сопротивление,2,FALSE),"")</f>
        <v>0.1</v>
      </c>
      <c r="ET352">
        <f t="shared" si="744"/>
        <v>12</v>
      </c>
      <c r="EU352">
        <f t="shared" si="745"/>
        <v>55</v>
      </c>
      <c r="EV352">
        <f t="shared" si="746"/>
        <v>11.151739477857635</v>
      </c>
      <c r="EW352" s="6">
        <f>IFERROR(ROUNDUP(EV352/IF(BV352=1,BU352,(Uн_лин/SQRT(3))*1000)*100,2),"")</f>
        <v>4.83</v>
      </c>
      <c r="EX352" t="str">
        <f>IFERROR(VLOOKUP(BZ352,Кабель_обозначение,2,FALSE),"")</f>
        <v>ВВГнг(А)-LS</v>
      </c>
      <c r="EY352" t="str">
        <f t="shared" si="747"/>
        <v>ВВГнг(А)-LS (3х2,5)</v>
      </c>
      <c r="EZ352" t="str">
        <f t="shared" si="748"/>
        <v>ВВГнг(А)-LS (3х2,5)
L=66-4,83%</v>
      </c>
      <c r="FA352">
        <f>IFERROR(2*ρкз_Cu*P352/EN352,"")</f>
        <v>1.3886400000000001</v>
      </c>
      <c r="FB352">
        <f t="shared" si="749"/>
        <v>0.46200000000000002</v>
      </c>
      <c r="FC352" s="6" t="str">
        <f>IFERROR(IF(OR(B352="",BV352=1,NOT(ISNUMBER(EN352)),N(P352)=0),"",_xlfn.XLOOKUP(A352,Щиты[Щит],Щиты[Zпетли на шинах, Ом])+FA352),"")</f>
        <v/>
      </c>
      <c r="FD352" s="6" t="str">
        <f>IF(ISNUMBER(FC352),c_min*(Uн_лин*1000/SQRT(3))/FC352,"")</f>
        <v/>
      </c>
      <c r="FE352" s="6" t="str">
        <f>IFERROR(IF(OR(B352="",NOT(ISNUMBER(EN352))),"",1.05*(Uн_лин*1000/SQRT(3))/(_xlfn.XLOOKUP(A352,Щиты[Щит],Щиты[Zmax на шинах, Ом])+FB352)/1000),"")</f>
        <v/>
      </c>
      <c r="FF352" s="6" t="str">
        <f>IF(B352="","",IF(ISNUMBER(AC352),"Сил",IF(IFERROR(_xlfn.XLOOKUP(BC352,Коды_код,Коды_группа)&amp;"","")="","Быт",_xlfn.XLOOKUP(BC352,Коды_код,Коды_группа)&amp;"")))</f>
        <v>Быт</v>
      </c>
      <c r="FG352" s="6" t="str">
        <f t="shared" si="750"/>
        <v>Пост</v>
      </c>
      <c r="FH352" s="6">
        <f>IF(FG352="Щит","щит",IF(FG352="","",IF(FG352="Быт",IFERROR(_xlfn.XLOOKUP(A352,Щиты[Щит],Щиты[Кс быт]),1),IF(FG352="Сил",IF(ISNUMBER(AC352),AC352,IF(Методика="нормы 2026",IFERROR(_xlfn.XLOOKUP(A352,Щиты[Щит],Щиты[Кс силовых (табл. 7.5)]),1),1)),IF(OR(FG352="Пост",FG352="Отоп"),1,IF(FG352="ВНГ",0.7,0))))))</f>
        <v>1</v>
      </c>
      <c r="FI352">
        <f>IF(FG352="","",IF(AND(BP352=1,TRIM(AE352&amp;"")=""),IF(COUNTIFS(Линии[Щит],A352,Линии[Секция (1/2/3)],"&gt;=2")&gt;0,MIN(3,MAX(1,IFERROR(--BD352,1))),1),IFERROR(MIN(3,MAX(1,INT(--AE352))),1)))</f>
        <v>1</v>
      </c>
      <c r="FJ352">
        <f t="shared" si="751"/>
        <v>2.16</v>
      </c>
      <c r="FK352">
        <f t="shared" si="752"/>
        <v>0</v>
      </c>
      <c r="FL352">
        <f t="shared" si="753"/>
        <v>0</v>
      </c>
      <c r="FM352">
        <f t="shared" si="754"/>
        <v>2.16</v>
      </c>
      <c r="FN352">
        <f t="shared" si="755"/>
        <v>0</v>
      </c>
      <c r="FO352">
        <f t="shared" si="756"/>
        <v>0</v>
      </c>
      <c r="FP352">
        <f t="shared" si="757"/>
        <v>2.16</v>
      </c>
      <c r="FQ352">
        <f t="shared" si="758"/>
        <v>2.16</v>
      </c>
      <c r="FR352">
        <f t="shared" si="759"/>
        <v>2.052</v>
      </c>
      <c r="FS352">
        <f>IF(CG352=1,IF(AND(CH352=1,CW352=1),0,IF(AND(CS352&lt;&gt;"",CS352=BA352,CW352=1),SUMIFS(Линии[_Р линии, кВт],Линии[_блок УЗО],BA352,Линии[Щит],A352),N(BS352)+IF(AJ352="вручную",0,N(CK352)))),0)</f>
        <v>2.16</v>
      </c>
      <c r="FT352" t="str">
        <f t="shared" si="760"/>
        <v/>
      </c>
      <c r="FU352" t="str">
        <f>IF(B352="","",IF(CG352=0,IF(BA352=1,"",FW351),IF(AND(CH352=1,CW352=1,CS352&lt;&gt;""),IFERROR(_xlfn.XLOOKUP(CS352,Линии[_n],Линии[_фаза итог]),"L1"),IF(OR(N(DL352)&gt;=3,N(BX352)&gt;=3),"L1,L2,L3",IFERROR(_xlfn.TEXTBEFORE(_xlfn.TEXTAFTER(_xlfn.XLOOKUP(A352,Щиты[Щит],Щиты[_фазы авто]),";"&amp;BA352&amp;":"),";"),"L1")))))</f>
        <v>L2</v>
      </c>
      <c r="FV352" t="str">
        <f t="shared" si="761"/>
        <v>L2</v>
      </c>
      <c r="FW352" t="str">
        <f t="shared" si="762"/>
        <v>L2</v>
      </c>
      <c r="FX352" cm="1">
        <f t="array" ref="FX352">IFERROR(IF(CD352=2,_xlfn.IFS(BX352=3,VLOOKUP(BS352,Справочная_двигатели,3,FALSE),BX352=1,VLOOKUP(BS352,Справочная_двигатели,5,TRUE)),0),0)</f>
        <v>0</v>
      </c>
      <c r="FY352">
        <f>IFERROR(IF(CD352=3,VLOOKUP(BS352,Справочная_ЛЭД,2,TRUE),0),0)</f>
        <v>0</v>
      </c>
      <c r="FZ352" s="6">
        <f t="shared" si="763"/>
        <v>0</v>
      </c>
      <c r="GA352" t="str">
        <f>IF(B352="","",IF(TRIM(AH352&amp;"")&lt;&gt;"",IF(LOWER(TRIM(AH352&amp;""))="да","да","нет"),IF(IFERROR(_xlfn.XLOOKUP(BC352,Коды_код,Коды_пожарная),"")="да","да","нет")))</f>
        <v>нет</v>
      </c>
      <c r="GB352" t="str">
        <f t="shared" si="764"/>
        <v/>
      </c>
      <c r="GC352" t="str">
        <f t="shared" si="765"/>
        <v>основная</v>
      </c>
      <c r="GD352">
        <f>IF(AND(BP352=1,TRIM(AE352&amp;"")=""),IF(COUNTIFS(Линии[Щит],A352,Линии[Секция (1/2/3)],"&gt;=2")&gt;0,MIN(3,MAX(1,IFERROR(--BD352,1))),1),IFERROR(MIN(3,MAX(1,INT(--AE352))),1))</f>
        <v>1</v>
      </c>
      <c r="GE352" t="str" cm="1">
        <f t="array" ref="GE352">IF(B352="","",_xlfn.LET(_xlpm.t,IFERROR(_xlfn.XLOOKUP(1,(Шины[Шина]=GC352)*(((Шины[Щит]=A352)+(Шины[Щит]=""))&gt;0),Шины[Тип]),"")&amp;"",IF(_xlpm.t&lt;&gt;"",_xlpm.t,IF(ISNUMBER(SEARCH("ИБП",GC352)),"ИБП",IF(ISNUMBER(SEARCH("ДГУ",GC352)),"ДГУ","Ввод "&amp;GD352)))))</f>
        <v>Ввод 1</v>
      </c>
      <c r="GF352" t="str">
        <f t="shared" si="766"/>
        <v>Ввод 1</v>
      </c>
      <c r="GG352" t="str">
        <f>IF(BP352=0,"",IF(TRIM(AG352&amp;"")&lt;&gt;"",TRIM(AG352&amp;""),IF(OR(GE352="ИБП",GE352="ДГУ"),"I особая",_xlfn.XLOOKUP(A352,Щиты[Щит],Щиты[Категория шины «Ввод»],"III"))))</f>
        <v/>
      </c>
      <c r="GH352" t="str">
        <f>IF(A352="","",_xlfn.XLOOKUP(A352,Щиты[Щит],Щиты[Путь],""))</f>
        <v>|ГРЩ-ЖД|ЩУОВ|</v>
      </c>
      <c r="GI352" t="str">
        <f>IF(B352="","",IF(AI352&lt;&gt;"",AI352,IF(IFERROR(_xlfn.XLOOKUP(BC352,Коды_код,Коды_вид)&amp;"","")="","Прочее",_xlfn.XLOOKUP(BC352,Коды_код,Коды_вид)&amp;"")))</f>
        <v>Обогрев водостоков и кровли</v>
      </c>
      <c r="GJ352">
        <f>IF(BM352="","",INT((BM352-1)/Столбцов_на_лист)+1)</f>
        <v>2</v>
      </c>
      <c r="GK352" t="str">
        <f t="shared" si="767"/>
        <v>ВВГнг(А)-LS (3х2,5) L=66-4,83%</v>
      </c>
      <c r="GL352">
        <f t="shared" si="768"/>
        <v>2.16</v>
      </c>
      <c r="GM352">
        <f t="shared" si="769"/>
        <v>9.85</v>
      </c>
      <c r="GN352">
        <f t="shared" si="770"/>
        <v>1</v>
      </c>
      <c r="GO352">
        <f t="shared" si="771"/>
        <v>0</v>
      </c>
      <c r="GP352">
        <f t="shared" si="772"/>
        <v>1</v>
      </c>
      <c r="GQ352">
        <f>IF(BM352="","",IF(AND(CG352=1,GP352=1),COUNTIFS(A$3:A352,A352,CG$3:CG352,1,GP$3:GP352,1),IF(OR(OR(BA352=1,A352&lt;&gt;A351),AJ352="вручную",GP352=0),"",IF(BA352=1,"",GR351))))</f>
        <v>11</v>
      </c>
      <c r="GR352">
        <f t="shared" si="773"/>
        <v>11</v>
      </c>
      <c r="GS352">
        <f>IF(B352="","",IFERROR(LOOKUP(INDEX(CHOOSE(EB352,Iдоп_1ж,Iдоп_2ж,Iдоп_3ж),MATCH(EN352,Iдоп_S,0))*DZ352*EA352,{6,10,16,20,25,32,40,50,63,80,100,125,160,200,250,315,400,500,630}),""))</f>
        <v>25</v>
      </c>
      <c r="GT352" t="str">
        <f t="shared" si="774"/>
        <v>QF11</v>
      </c>
      <c r="GU352" t="str">
        <f t="shared" si="775"/>
        <v>QF11</v>
      </c>
      <c r="GV352" t="str">
        <f t="shared" si="776"/>
        <v/>
      </c>
      <c r="GW352">
        <f t="shared" si="777"/>
        <v>0</v>
      </c>
      <c r="GX352" t="str">
        <f>IF(OR(B352="",DJ352=""),"",IFERROR(_xlfn.XLOOKUP(DJ352,Модули_умолч[Управление],Модули_умолч[Модель])&amp;"",""))</f>
        <v/>
      </c>
      <c r="GY352">
        <f>IF(DJ352="",1,IFERROR(MAX(0,N(_xlfn.XLOOKUP(DJ352,Модули_умолч[Управление],Модули_умолч[Каналов на линию]))),1))</f>
        <v>1</v>
      </c>
      <c r="GZ352" t="str">
        <f t="shared" si="778"/>
        <v/>
      </c>
      <c r="HA352" t="str">
        <f t="shared" si="779"/>
        <v/>
      </c>
      <c r="HB352" t="str">
        <f t="shared" si="780"/>
        <v/>
      </c>
      <c r="HC352">
        <f>IF(HB352="",0,IFERROR(N(VLOOKUP(HB352,Модули_спр,3,FALSE)),0))</f>
        <v>0</v>
      </c>
      <c r="HD352" t="str">
        <f t="shared" si="781"/>
        <v/>
      </c>
      <c r="HE352" t="str">
        <f t="shared" si="782"/>
        <v/>
      </c>
      <c r="HF352" t="str">
        <f>IF(OR(HE352="",HE352="-"),"",IFERROR(VLOOKUP(HE352,Модули_спр,2,FALSE),"R"))</f>
        <v/>
      </c>
      <c r="HG352" t="str">
        <f>IF(HF352="","",HF352&amp;"."&amp;COUNTIFS(A$3:A352,A352,HF$3:HF352,HF352))</f>
        <v/>
      </c>
      <c r="HH352" t="str">
        <f t="shared" si="783"/>
        <v/>
      </c>
      <c r="HI352" t="str">
        <f t="shared" si="784"/>
        <v/>
      </c>
      <c r="HJ352" t="str">
        <f t="shared" si="785"/>
        <v/>
      </c>
      <c r="HK352" t="str">
        <f t="shared" si="786"/>
        <v/>
      </c>
      <c r="HL352">
        <f t="shared" si="787"/>
        <v>1</v>
      </c>
      <c r="HM352" t="str">
        <f>IF(HL352=1,"XT"&amp;COUNTIFS(A$3:A352,A352,HL$3:HL352,1),"")</f>
        <v>XT11</v>
      </c>
      <c r="HN352" t="str">
        <f t="shared" si="788"/>
        <v/>
      </c>
      <c r="HO352" t="str">
        <f t="shared" si="789"/>
        <v>QF11</v>
      </c>
      <c r="HP352" t="str">
        <f t="shared" si="790"/>
        <v/>
      </c>
      <c r="HQ352" t="str">
        <f t="shared" si="791"/>
        <v>ok</v>
      </c>
      <c r="HR352" t="str">
        <f>IF(OR(HJ352="",HH352=""),"",IF(HJ352+MAX(0,GY352-1)&gt;IFERROR(VLOOKUP(HI352,Модули_спр,3,FALSE),99),"ЛИШНИЙ КАНАЛ",IF(AND(AL352&lt;&gt;"=",GY352&gt;0,COUNTIFS(Линии[_модуль гр.],HH352,Линии[Канал (итог)],HJ352,Линии[Канал],"&lt;&gt;=",Линии[Щит],A352)&gt;1),"ДУБЛЬ КАНАЛА","")))</f>
        <v/>
      </c>
      <c r="HS352" s="6" t="str">
        <f t="shared" si="792"/>
        <v/>
      </c>
      <c r="HT352">
        <f t="shared" si="793"/>
        <v>10</v>
      </c>
      <c r="HU352" t="str">
        <f t="shared" si="794"/>
        <v/>
      </c>
      <c r="HV352">
        <f t="shared" si="795"/>
        <v>4.59813657299871</v>
      </c>
      <c r="HW352">
        <f t="shared" si="796"/>
        <v>0</v>
      </c>
      <c r="HX352">
        <f t="shared" si="797"/>
        <v>0</v>
      </c>
      <c r="HY352">
        <f t="shared" si="798"/>
        <v>0</v>
      </c>
      <c r="HZ352">
        <f t="shared" si="799"/>
        <v>0</v>
      </c>
      <c r="IA352">
        <f t="shared" si="800"/>
        <v>0</v>
      </c>
      <c r="IB352">
        <f t="shared" si="801"/>
        <v>0</v>
      </c>
      <c r="IC352" t="str">
        <f t="shared" si="802"/>
        <v/>
      </c>
      <c r="ID352" t="str" cm="1">
        <f t="array" ref="ID352">IF(IC352="","",_xlfn.LET(_xlpm.tk,_xlfn.TEXTSPLIT(SUBSTITUTE(SUBSTITUTE(IC352,";"," "),"→"," ")," ",,TRUE),_xlpm.w_,_xlfn._xlws.FILTER(_xlpm.tk,ISNUMBER(--LEFT(_xlpm.tk,1))*((ISNUMBER(SEARCH("W",_xlpm.tk))+ISNUMBER(SEARCH("Вт",_xlpm.tk)))&gt;0),""),IFERROR(--SUBSTITUTE(SUBSTITUTE(UPPER(INDEX(_xlpm.w_,1)),"W",""),"ВТ",""),"")))</f>
        <v/>
      </c>
      <c r="IE352" t="str" cm="1">
        <f t="array" ref="IE352">IF(IC352="","",_xlfn.LET(_xlpm.tk,_xlfn.TEXTSPLIT(SUBSTITUTE(SUBSTITUTE(IC352,";"," "),"→"," ")," ",,TRUE),_xlpm.v_,_xlfn._xlws.FILTER(_xlpm.tk,ISNUMBER(--LEFT(_xlpm.tk,1))*((ISNUMBER(SEARCH("V",_xlpm.tk))+(RIGHT(UPPER(_xlpm.tk))="В"))&gt;0),""),IFERROR(--SUBSTITUTE(SUBSTITUTE(UPPER(INDEX(_xlpm.v_,1)),"V",""),"В",""),"")))</f>
        <v/>
      </c>
      <c r="IF352" s="6" t="str">
        <f>IF(OR(BV352=0,HI352="",HJ352=""),"",IFERROR(N(_xlfn.XLOOKUP(HI352,Каталог!$C$4:$C$500,Каталог!$Q$4:$Q$500)),""))</f>
        <v/>
      </c>
      <c r="IG352" s="6" t="str">
        <f>IF(N(IF352)=0,"",SUMIFS(Линии[Iр, А],Линии[Щит],A352,Линии[_модуль гр.],HH352,Линии[Канал (итог)],HJ352))</f>
        <v/>
      </c>
      <c r="IH352" t="str">
        <f>IF(AND(B352="",HO352=""),"",_xlfn.TEXTJOIN("; ",TRUE,IF(AND(B352&lt;&gt;"",FV352=""),"нет фазы",""),IF(AND(B352&lt;&gt;"",N(GL352)=0,FG352&lt;&gt;"Нет"),"нет мощности",""),IF(AND(HN352&lt;&gt;"",COUNTIFS(Линии[Щит],A352,Линии[Клемма (итог)],HN352)&gt;1),"дубль клеммы "&amp;HN352,""),IF(AND(HQ352&lt;&gt;"",HQ352&lt;&gt;"ok"),HQ352,""),IF(HR352&lt;&gt;"",HR352,""),IF(AND(N(CB352)&gt;=4,N(BX352)=1),CB352&amp;" жил на 1 фазе",""),IF(AND(BC352="R",CG352=1,IF(CS352&lt;&gt;"",N(CV352)&gt;30,OR(N(DA352)=0,N(DA352)&gt;30))),"розетка без дифзащиты до 30 мА",""),IF(AND(CG352=1,N(DA352)&gt;0,ISNUMBER(T352)),IF(T352&gt;N(DA352)/3,"ток утечки "&amp;FIXED(T352,1)&amp;" мА &gt; 1/3 уставки ("&amp;DA352&amp;" мА)",""),""),IF(AND(CH352=1,CS352=""),"«узо»: нет строки с УЗО выше (УЗО 2P 40А 30мА в «Аппаратах»)",""),IF(AND(CS352&lt;&gt;"",CS352=BA352),IF(CT352="","впишите номинал УЗО (УЗО 2P 40А 30мА)",IF(N(CT352)&lt;N(DT352),"УЗО "&amp;CT352&amp;" А &lt; автомата "&amp;DT352&amp;" А перед ним",IF(N(CT352)&lt;N(CX352),"УЗО "&amp;CT352&amp;" А &lt; тока блока "&amp;FIXED(CX352,1)&amp;" А",""))),""),IF(AND(CS352&lt;&gt;"",CS352=BA352,ISNUMBER(CY352)),IF(CY352&gt;N(CV352)/3,"ток утечки блока УЗО "&amp;FIXED(CY352,1)&amp;" мА &gt; 1/3 уставки ("&amp;CV352&amp;" мА)",""),""),IF(AND(CG352=1,N(BV352)+N(IB352)&gt;0,IC352=""),"линии до 50 В без БП: впишите в «Аппараты» (БП 24V 480W)",""),IF(AND(CG352=1,ISNUMBER(ID352),ISNUMBER(U352)),IF(U352&gt;ID352,"БП "&amp;ID352&amp;" Вт &lt; нужно "&amp;U352&amp;" Вт (×"&amp;Запас_БП&amp;")",""),""),IF(AND(CG352=1,ISNUMBER(IE352),N(BV352)=1),IF(IE352&lt;&gt;N(BU352),"БП на "&amp;IE352&amp;" В, линия "&amp;BU352&amp;" В",""),""),IF(AND(N(IF352)&gt;0,N(IG352)&gt;N(IF352)),HH352&amp;" канал "&amp;HJ352&amp;": "&amp;FIXED(IG352,1)&amp;" А &gt; "&amp;IF352&amp;" А",""),IFERROR(IF(AND(ISNUMBER(Q352),Q352&gt;EL352),"потери "&amp;FIXED(Q352,1)&amp;" % &gt; "&amp;EL352&amp;" %",""),""),IFERROR(IF(LEFT(HU352,4)="мало","Iкз мало — отключение &gt; 0,4 с",""),""),IF(AND(B352&lt;&gt;"",BM352=""),"не на схеме",""),IF(AND(CG352=0,B352&lt;&gt;"",FV352&lt;&gt;"",IF(BA352=1,"",FW351)&lt;&gt;"",FV352&lt;&gt;IF(BA352=1,"",FW351)),"фаза не как у автомата группы ("&amp;IF(BA352=1,"",FW351)&amp;")","")))</f>
        <v>потери 7,3 % &gt; 4 %</v>
      </c>
      <c r="II352" s="6">
        <f>IF(OR(CG352=0,DQ352=""),"",_xlfn.LET(_xlpm.t,IFERROR(_xlfn.XLOOKUP(DQ352,Каталог!$U$4:$U$500,Каталог!$G$4:$G$500),""),_xlpm.k,SEARCH("кА",_xlpm.t),IFERROR(--TRIM(RIGHT(SUBSTITUTE(MID(_xlpm.t,MAX(1,_xlpm.k-4),_xlpm.k-MAX(1,_xlpm.k-4))," ",REPT(" ",9)),5)),"")))</f>
        <v>6</v>
      </c>
      <c r="IJ352" t="str">
        <f>IF(OR(II352="",CG352=0),"",IF(_xlfn.XLOOKUP(A352,Щиты[Щит],Щиты[Iкз max на шинах, кА],"")="","",IF(II352&lt;_xlfn.XLOOKUP(A352,Щиты[Щит],Щиты[Iкз max на шинах, кА]),"Icu "&amp;II352&amp;" кА &lt; Iкз max","ok")))</f>
        <v/>
      </c>
      <c r="IK352" t="str">
        <f t="shared" si="803"/>
        <v/>
      </c>
      <c r="IL352" t="str">
        <f t="shared" si="804"/>
        <v>QF11</v>
      </c>
      <c r="IM352" t="str">
        <f t="shared" si="805"/>
        <v>QF11|кабель ВВГнг(А)-LS (3х2,5) → Обогревл ливнестоков Кровля</v>
      </c>
      <c r="IN352" t="str" cm="1">
        <f t="array" ref="IN352">IF(IM352="","",_xlfn.LET(_xlpm.nd,_xlfn.TEXTSPLIT(IM352,"|"),IF(COLUMNS(_xlpm.nd)&gt;1,A352&amp;"¦"&amp;INDEX(_xlpm.nd,1)&amp;"¦"&amp;INDEX(_xlpm.nd,2),"")))</f>
        <v>ЩУОВ¦QF11¦кабель ВВГнг(А)-LS (3х2,5) → Обогревл ливнестоков Кровля</v>
      </c>
      <c r="IO352" t="str">
        <f t="shared" si="806"/>
        <v>OV.4.1.4¦Обогревл ливнестоков Кровля</v>
      </c>
      <c r="IP352" t="str" cm="1">
        <f t="array" ref="IP352">IF(IM352="","",_xlfn.LET(_xlpm.nd,_xlfn.TEXTSPLIT(IM352,"|"),IF(COLUMNS(_xlpm.nd)&gt;2,A352&amp;"¦"&amp;INDEX(_xlpm.nd,2)&amp;"¦"&amp;INDEX(_xlpm.nd,3),"")))</f>
        <v/>
      </c>
      <c r="IQ352" t="str">
        <f t="shared" si="807"/>
        <v/>
      </c>
      <c r="IR352" t="str" cm="1">
        <f t="array" ref="IR352">IF(IM352="","",_xlfn.LET(_xlpm.nd,_xlfn.TEXTSPLIT(IM352,"|"),IF(COLUMNS(_xlpm.nd)&gt;3,A352&amp;"¦"&amp;INDEX(_xlpm.nd,3)&amp;"¦"&amp;INDEX(_xlpm.nd,4),"")))</f>
        <v/>
      </c>
      <c r="IS352" t="str">
        <f t="shared" si="808"/>
        <v/>
      </c>
      <c r="IT352" t="str" cm="1">
        <f t="array" ref="IT352">IF(IM352="","",_xlfn.LET(_xlpm.nd,_xlfn.TEXTSPLIT(IM352,"|"),IF(COLUMNS(_xlpm.nd)&gt;4,A352&amp;"¦"&amp;INDEX(_xlpm.nd,4)&amp;"¦"&amp;INDEX(_xlpm.nd,5),"")))</f>
        <v/>
      </c>
      <c r="IU352" t="str">
        <f t="shared" si="809"/>
        <v/>
      </c>
      <c r="IV352" t="str" cm="1">
        <f t="array" ref="IV352">IF(IM352="","",_xlfn.LET(_xlpm.nd,_xlfn.TEXTSPLIT(IM352,"|"),IF(COLUMNS(_xlpm.nd)&gt;5,A352&amp;"¦"&amp;INDEX(_xlpm.nd,5)&amp;"¦"&amp;INDEX(_xlpm.nd,6),"")))</f>
        <v/>
      </c>
      <c r="IW352" t="str">
        <f t="shared" si="810"/>
        <v/>
      </c>
      <c r="IX352" t="str" cm="1">
        <f t="array" ref="IX352">IF(IM352="","",_xlfn.LET(_xlpm.nd,_xlfn.TEXTSPLIT(IM352,"|"),IF(COLUMNS(_xlpm.nd)&gt;6,A352&amp;"¦"&amp;INDEX(_xlpm.nd,6)&amp;"¦"&amp;INDEX(_xlpm.nd,7),"")))</f>
        <v/>
      </c>
      <c r="IY352" t="str">
        <f t="shared" si="811"/>
        <v/>
      </c>
      <c r="IZ352" t="str">
        <f t="shared" si="812"/>
        <v/>
      </c>
      <c r="JA352" t="str">
        <f t="shared" si="813"/>
        <v>QF11</v>
      </c>
      <c r="JB352">
        <f t="shared" si="814"/>
        <v>0</v>
      </c>
      <c r="JC352">
        <f t="shared" si="815"/>
        <v>0</v>
      </c>
      <c r="JD352" t="str">
        <f t="shared" si="816"/>
        <v/>
      </c>
      <c r="JE352" t="str">
        <f t="shared" si="817"/>
        <v/>
      </c>
      <c r="JF352" t="str">
        <f t="shared" si="818"/>
        <v/>
      </c>
      <c r="JG352" t="str">
        <f t="shared" si="819"/>
        <v/>
      </c>
      <c r="JH352" t="str">
        <f>IF(B352="","",IFERROR(_xlfn.XLOOKUP(B352,Коды_код,Коды_уго),IFERROR(_xlfn.XLOOKUP(BC352,Коды_код,Коды_уго),IFERROR(_xlfn.XLOOKUP(LEFT(BC352,2),Коды_код,Коды_уго),""))))</f>
        <v/>
      </c>
      <c r="JI352" t="str">
        <f>IF(B352="","",IF(OR(JH352="",JH352=0),"BOX",IFERROR(IF(VLOOKUP(JH352,УГО_блоки,3,FALSE)&amp;""&lt;&gt;"",VLOOKUP(JH352,УГО_блоки,3,FALSE),VLOOKUP(JH352,УГО_блоки,2,FALSE)),JH352)))</f>
        <v>BOX</v>
      </c>
      <c r="JJ352">
        <f t="shared" si="820"/>
        <v>1</v>
      </c>
      <c r="JK352" t="str">
        <f>IF(DQ352="","",IF(COUNTIF(DQ$3:DQ352,DQ352)=1,MAX(JK$2:JK351)+1,""))</f>
        <v/>
      </c>
      <c r="JL352" t="str">
        <f>IF(DE352="","",IF(COUNTIF(DE$3:DE352,DE352)+COUNTIF(DF$2:DF351,DE352)+COUNTIF(DG$2:DG351,DE352)=1,MAX(JL$2:JN351)+1,""))</f>
        <v/>
      </c>
      <c r="JM352" t="str">
        <f>IF(DF352="","",IF(COUNTIF(DE$3:DE352,DF352)+COUNTIF(DF$3:DF352,DF352)+COUNTIF(DG$2:DG351,DF352)=1,MAX(JL$2:JN351,JL352)+1,""))</f>
        <v/>
      </c>
      <c r="JN352" t="str">
        <f>IF(DG352="","",IF(COUNTIF(DE$3:DE352,DG352)+COUNTIF(DF$3:DF352,DG352)+COUNTIF(DG$3:DG352,DG352)=1,MAX(JL$2:JN351,JL352,JM352)+1,""))</f>
        <v/>
      </c>
      <c r="JO352" t="str">
        <f t="shared" si="821"/>
        <v>3х2,5</v>
      </c>
      <c r="JP352" t="str">
        <f>IF(JO352="","",IF(COUNTIF(JO$3:JO352,JO352)=1,MAX(JP$2:JP351)+1,""))</f>
        <v/>
      </c>
      <c r="JQ352" t="str">
        <f>IF(HG352="","",COUNTIF(HG$3:HG352,"?*"))</f>
        <v/>
      </c>
      <c r="JR352" t="str">
        <f>IF(OR(HG352="",HI352=""),"",IF(COUNTIFS(HG$3:HG352,"?*",HI$3:HI352,HI352)=1,MAX(JR$2:JR351)+1,""))</f>
        <v/>
      </c>
      <c r="JS352">
        <f t="shared" si="822"/>
        <v>1</v>
      </c>
      <c r="JT352">
        <f>IF(B352="","",COUNTIF(B$3:B352,"?*"))</f>
        <v>350</v>
      </c>
      <c r="JU352">
        <f>IF(HL352&lt;&gt;1,0,_xlfn.LET(_xlpm.k,MAX(IFERROR(--_xlfn.XLOOKUP(B352,Коды_код,Коды_3L),0),IFERROR(--_xlfn.XLOOKUP(BC352,Коды_код,Коды_3L),0),IFERROR(--_xlfn.XLOOKUP(LEFT(BC352,2),Коды_код,Коды_3L),0)),IF(_xlpm.k&gt;0,_xlpm.k,IF(IFERROR(--LEFT(SUBSTITUTE(JO352,"x","х"),FIND("х",SUBSTITUTE(JO352,"x","х"))-1),3)&gt;3,Каталог!$S$9,1))))</f>
        <v>1</v>
      </c>
      <c r="JV352">
        <f t="shared" si="823"/>
        <v>0</v>
      </c>
      <c r="JW352" t="str">
        <f t="shared" si="824"/>
        <v>авто</v>
      </c>
      <c r="JX352" t="str">
        <f t="shared" si="825"/>
        <v/>
      </c>
      <c r="JY352">
        <f t="shared" si="826"/>
        <v>0</v>
      </c>
      <c r="JZ352">
        <f t="shared" si="827"/>
        <v>1</v>
      </c>
    </row>
  </sheetData>
  <mergeCells count="1">
    <mergeCell ref="A1:C1"/>
  </mergeCells>
  <conditionalFormatting sqref="A3:JZ653">
    <cfRule type="expression" dxfId="92" priority="11" stopIfTrue="1">
      <formula>$BN3="вводной узел"</formula>
    </cfRule>
    <cfRule type="expression" dxfId="91" priority="12" stopIfTrue="1">
      <formula>ODD($BK3)</formula>
    </cfRule>
    <cfRule type="expression" dxfId="90" priority="13" stopIfTrue="1">
      <formula>AND($BA3&gt;1,$A3&lt;&gt;$A2)</formula>
    </cfRule>
    <cfRule type="expression" dxfId="89" priority="14" stopIfTrue="1">
      <formula>AND($A3=$A2,$GJ3&lt;&gt;$GJ2,$GJ3&lt;&gt;"")</formula>
    </cfRule>
  </conditionalFormatting>
  <conditionalFormatting sqref="C3:C653">
    <cfRule type="expression" dxfId="88" priority="10" stopIfTrue="1">
      <formula>AND(Выдача_n&gt;0,$B3&lt;&gt;"",IFERROR(INDEX(Выдача_3,MATCH($A3&amp;"|"&amp;$B3,Выдача_ключ,0))&amp;""&lt;&gt;C3&amp;"",FALSE))</formula>
    </cfRule>
    <cfRule type="expression" dxfId="87" priority="15" stopIfTrue="1">
      <formula>_xlfn.ISFORMULA(C3)</formula>
    </cfRule>
    <cfRule type="expression" dxfId="86" priority="16" stopIfTrue="1">
      <formula>AND(NOT(_xlfn.ISFORMULA(C3)),C3&lt;&gt;"")</formula>
    </cfRule>
  </conditionalFormatting>
  <conditionalFormatting sqref="E3:E653">
    <cfRule type="expression" dxfId="85" priority="9" stopIfTrue="1">
      <formula>AND(Выдача_n&gt;0,$B3&lt;&gt;"",IFERROR(ROUND(N(INDEX(Выдача_4,MATCH($A3&amp;"|"&amp;$B3,Выдача_ключ,0))),3)&lt;&gt;ROUND(N(E3),3),FALSE))</formula>
    </cfRule>
    <cfRule type="expression" dxfId="84" priority="17" stopIfTrue="1">
      <formula>_xlfn.ISFORMULA(E3)</formula>
    </cfRule>
    <cfRule type="expression" dxfId="83" priority="18" stopIfTrue="1">
      <formula>AND(NOT(_xlfn.ISFORMULA(E3)),E3&lt;&gt;"")</formula>
    </cfRule>
  </conditionalFormatting>
  <conditionalFormatting sqref="F3:F653">
    <cfRule type="expression" dxfId="82" priority="19" stopIfTrue="1">
      <formula>F3&lt;&gt;""</formula>
    </cfRule>
  </conditionalFormatting>
  <conditionalFormatting sqref="G3:G653">
    <cfRule type="expression" dxfId="81" priority="8" stopIfTrue="1">
      <formula>AND(Выдача_n&gt;0,$B3&lt;&gt;"",IFERROR(INDEX(Выдача_5,MATCH($A3&amp;"|"&amp;$B3,Выдача_ключ,0))&amp;""&lt;&gt;G3&amp;"",FALSE))</formula>
    </cfRule>
    <cfRule type="expression" dxfId="80" priority="20" stopIfTrue="1">
      <formula>_xlfn.ISFORMULA(G3)</formula>
    </cfRule>
    <cfRule type="expression" dxfId="79" priority="21" stopIfTrue="1">
      <formula>AND(NOT(_xlfn.ISFORMULA(G3)),G3&lt;&gt;"")</formula>
    </cfRule>
  </conditionalFormatting>
  <conditionalFormatting sqref="H3:H653">
    <cfRule type="expression" dxfId="78" priority="22" stopIfTrue="1">
      <formula>_xlfn.ISFORMULA(H3)</formula>
    </cfRule>
    <cfRule type="expression" dxfId="77" priority="23" stopIfTrue="1">
      <formula>AND(NOT(_xlfn.ISFORMULA(H3)),H3&lt;&gt;"")</formula>
    </cfRule>
  </conditionalFormatting>
  <conditionalFormatting sqref="I3:I653">
    <cfRule type="expression" dxfId="76" priority="24" stopIfTrue="1">
      <formula>_xlfn.ISFORMULA(I3)</formula>
    </cfRule>
    <cfRule type="expression" dxfId="75" priority="25" stopIfTrue="1">
      <formula>AND(NOT(_xlfn.ISFORMULA(I3)),I3&lt;&gt;"")</formula>
    </cfRule>
  </conditionalFormatting>
  <conditionalFormatting sqref="J3:J653">
    <cfRule type="expression" dxfId="74" priority="7" stopIfTrue="1">
      <formula>AND(Выдача_n&gt;0,$B3&lt;&gt;"",IFERROR(INDEX(Выдача_6,MATCH($A3&amp;"|"&amp;$B3,Выдача_ключ,0))&amp;""&lt;&gt;J3&amp;"",FALSE))</formula>
    </cfRule>
    <cfRule type="expression" dxfId="73" priority="26" stopIfTrue="1">
      <formula>_xlfn.ISFORMULA(J3)</formula>
    </cfRule>
    <cfRule type="expression" dxfId="72" priority="27" stopIfTrue="1">
      <formula>AND(NOT(_xlfn.ISFORMULA(J3)),J3&lt;&gt;"")</formula>
    </cfRule>
  </conditionalFormatting>
  <conditionalFormatting sqref="K3:K653">
    <cfRule type="expression" dxfId="71" priority="28" stopIfTrue="1">
      <formula>_xlfn.ISFORMULA(K3)</formula>
    </cfRule>
    <cfRule type="expression" dxfId="70" priority="29" stopIfTrue="1">
      <formula>AND(NOT(_xlfn.ISFORMULA(K3)),K3&lt;&gt;"")</formula>
    </cfRule>
  </conditionalFormatting>
  <conditionalFormatting sqref="L3:L653">
    <cfRule type="expression" dxfId="69" priority="5" stopIfTrue="1">
      <formula>AND(Выдача_n&gt;0,$B3&lt;&gt;"",IFERROR(INDEX(Выдача_8,MATCH($A3&amp;"|"&amp;$B3,Выдача_ключ,0))&amp;""&lt;&gt;L3&amp;"",FALSE))</formula>
    </cfRule>
    <cfRule type="expression" dxfId="68" priority="30" stopIfTrue="1">
      <formula>_xlfn.ISFORMULA(L3)</formula>
    </cfRule>
    <cfRule type="expression" dxfId="67" priority="31" stopIfTrue="1">
      <formula>AND(NOT(_xlfn.ISFORMULA(L3)),L3&lt;&gt;"")</formula>
    </cfRule>
  </conditionalFormatting>
  <conditionalFormatting sqref="M3:M653">
    <cfRule type="expression" dxfId="66" priority="32" stopIfTrue="1">
      <formula>_xlfn.ISFORMULA(M3)</formula>
    </cfRule>
    <cfRule type="expression" dxfId="65" priority="33" stopIfTrue="1">
      <formula>AND(NOT(_xlfn.ISFORMULA(M3)),M3&lt;&gt;"")</formula>
    </cfRule>
  </conditionalFormatting>
  <conditionalFormatting sqref="N3:N653">
    <cfRule type="expression" dxfId="64" priority="34" stopIfTrue="1">
      <formula>N3&lt;&gt;""</formula>
    </cfRule>
  </conditionalFormatting>
  <conditionalFormatting sqref="Y3:Y653">
    <cfRule type="expression" dxfId="63" priority="35" stopIfTrue="1">
      <formula>_xlfn.ISFORMULA(Y3)</formula>
    </cfRule>
    <cfRule type="expression" dxfId="62" priority="36" stopIfTrue="1">
      <formula>AND(NOT(_xlfn.ISFORMULA(Y3)),Y3&lt;&gt;"")</formula>
    </cfRule>
  </conditionalFormatting>
  <conditionalFormatting sqref="Z3:Z653">
    <cfRule type="expression" dxfId="61" priority="37" stopIfTrue="1">
      <formula>_xlfn.ISFORMULA(Z3)</formula>
    </cfRule>
  </conditionalFormatting>
  <conditionalFormatting sqref="Z3:Z653">
    <cfRule type="expression" dxfId="60" priority="38" stopIfTrue="1">
      <formula>AND(NOT(_xlfn.ISFORMULA(Z3)),Z3&lt;&gt;"")</formula>
    </cfRule>
  </conditionalFormatting>
  <conditionalFormatting sqref="AA3:AA653">
    <cfRule type="expression" dxfId="59" priority="39" stopIfTrue="1">
      <formula>_xlfn.ISFORMULA(AA3)</formula>
    </cfRule>
  </conditionalFormatting>
  <conditionalFormatting sqref="AA3:AA653">
    <cfRule type="expression" dxfId="58" priority="40" stopIfTrue="1">
      <formula>AND(NOT(_xlfn.ISFORMULA(AA3)),AA3&lt;&gt;"")</formula>
    </cfRule>
  </conditionalFormatting>
  <conditionalFormatting sqref="AB3:AB653">
    <cfRule type="expression" dxfId="57" priority="41" stopIfTrue="1">
      <formula>_xlfn.ISFORMULA(AB3)</formula>
    </cfRule>
  </conditionalFormatting>
  <conditionalFormatting sqref="AB3:AB653">
    <cfRule type="expression" dxfId="56" priority="42" stopIfTrue="1">
      <formula>AND(NOT(_xlfn.ISFORMULA(AB3)),AB3&lt;&gt;"")</formula>
    </cfRule>
  </conditionalFormatting>
  <conditionalFormatting sqref="AK3:AK653">
    <cfRule type="expression" dxfId="55" priority="43" stopIfTrue="1">
      <formula>_xlfn.ISFORMULA(AK3)</formula>
    </cfRule>
  </conditionalFormatting>
  <conditionalFormatting sqref="AK3:AK653">
    <cfRule type="expression" dxfId="54" priority="44" stopIfTrue="1">
      <formula>AND(NOT(_xlfn.ISFORMULA(AK3)),AK3&lt;&gt;"")</formula>
    </cfRule>
  </conditionalFormatting>
  <conditionalFormatting sqref="AN3:AN653">
    <cfRule type="expression" dxfId="53" priority="45" stopIfTrue="1">
      <formula>_xlfn.ISFORMULA(AN3)</formula>
    </cfRule>
  </conditionalFormatting>
  <conditionalFormatting sqref="AN3:AN653">
    <cfRule type="expression" dxfId="52" priority="46" stopIfTrue="1">
      <formula>AND(NOT(_xlfn.ISFORMULA(AN3)),AN3&lt;&gt;"")</formula>
    </cfRule>
  </conditionalFormatting>
  <conditionalFormatting sqref="AO3:AO653">
    <cfRule type="expression" dxfId="51" priority="47" stopIfTrue="1">
      <formula>_xlfn.ISFORMULA(AO3)</formula>
    </cfRule>
  </conditionalFormatting>
  <conditionalFormatting sqref="AO3:AO653">
    <cfRule type="expression" dxfId="50" priority="48" stopIfTrue="1">
      <formula>AND(NOT(_xlfn.ISFORMULA(AO3)),AO3&lt;&gt;"")</formula>
    </cfRule>
  </conditionalFormatting>
  <conditionalFormatting sqref="P3:P653">
    <cfRule type="expression" dxfId="49" priority="6" stopIfTrue="1">
      <formula>AND(Выдача_n&gt;0,$B3&lt;&gt;"",IFERROR(ROUND(N(INDEX(Выдача_7,MATCH($A3&amp;"|"&amp;$B3,Выдача_ключ,0))),3)&lt;&gt;ROUND(N(P3),3),FALSE))</formula>
    </cfRule>
  </conditionalFormatting>
  <conditionalFormatting sqref="R3:R653">
    <cfRule type="expression" dxfId="48" priority="4" stopIfTrue="1">
      <formula>AND(Выдача_n&gt;0,$B3&lt;&gt;"",IFERROR(INDEX(Выдача_9,MATCH($A3&amp;"|"&amp;$B3,Выдача_ключ,0))&amp;""&lt;&gt;R3&amp;"",FALSE))</formula>
    </cfRule>
  </conditionalFormatting>
  <conditionalFormatting sqref="M3:M653">
    <cfRule type="expression" dxfId="47" priority="3" stopIfTrue="1">
      <formula>AND(Выдача_n&gt;0,$B3&lt;&gt;"",IFERROR(INDEX(Выдача_12,MATCH($A3&amp;"|"&amp;$B3,Выдача_ключ,0))&amp;""&lt;&gt;M3&amp;"",FALSE))</formula>
    </cfRule>
  </conditionalFormatting>
  <conditionalFormatting sqref="S3:S653">
    <cfRule type="expression" dxfId="46" priority="2" stopIfTrue="1">
      <formula>AND(Выдача_n&gt;0,$B3&lt;&gt;"",IFERROR(INDEX(Выдача_13,MATCH($A3&amp;"|"&amp;$B3,Выдача_ключ,0))&amp;""&lt;&gt;S3&amp;"",FALSE))</formula>
    </cfRule>
  </conditionalFormatting>
  <conditionalFormatting sqref="B3:B653">
    <cfRule type="expression" dxfId="45" priority="1" stopIfTrue="1">
      <formula>AND(Выдача_n&gt;0,$B3&lt;&gt;"",ISNA(MATCH($A3&amp;"|"&amp;$B3,Выдача_ключ,0)))</formula>
    </cfRule>
  </conditionalFormatting>
  <dataValidations count="6">
    <dataValidation type="list" allowBlank="1" showInputMessage="1" sqref="A3:A352" xr:uid="{6871D98F-3609-4C2A-B17B-8228366DA152}">
      <formula1>Список_щитов</formula1>
    </dataValidation>
    <dataValidation type="list" allowBlank="1" showInputMessage="1" sqref="F3:F352" xr:uid="{E3386998-8354-4A7E-992C-0EC685E57A5D}">
      <formula1>"гр,узо"</formula1>
    </dataValidation>
    <dataValidation type="list" allowBlank="1" showInputMessage="1" sqref="Y3:Y352" xr:uid="{96F73594-A61B-466B-B2FB-C4558359DF2C}">
      <formula1>"10,30,100,300,нет"</formula1>
    </dataValidation>
    <dataValidation type="list" allowBlank="1" showInputMessage="1" sqref="H3:H352" xr:uid="{5B20AB0F-3D11-449B-B7FF-DEC686C71A23}">
      <formula1>"Relay,DIM,DALI,шторы,клапан"</formula1>
    </dataValidation>
    <dataValidation type="list" allowBlank="1" showInputMessage="1" sqref="AJ3:AJ352" xr:uid="{AFD5DD42-B3C1-4653-9EE6-0F1BDCC60BAA}">
      <formula1>"вручную,рисовать"</formula1>
    </dataValidation>
    <dataValidation type="list" allowBlank="1" showInputMessage="1" sqref="AN3:AN352" xr:uid="{77E4C4EA-0685-4AFD-BE4C-EA96A0AEE56D}">
      <formula1>Список_марок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41" r:id="rId3" name="Button 45">
              <controlPr defaultSize="0" print="0" autoFill="0" autoPict="0" macro="SX_RepairFormulas">
                <anchor>
                  <from>
                    <xdr:col>16</xdr:col>
                    <xdr:colOff>243840</xdr:colOff>
                    <xdr:row>0</xdr:row>
                    <xdr:rowOff>45720</xdr:rowOff>
                  </from>
                  <to>
                    <xdr:col>17</xdr:col>
                    <xdr:colOff>1165860</xdr:colOff>
                    <xdr:row>0</xdr:row>
                    <xdr:rowOff>327660</xdr:rowOff>
                  </to>
                </anchor>
              </controlPr>
            </control>
          </mc:Choice>
        </mc:AlternateContent>
        <mc:AlternateContent xmlns:mc="http://schemas.openxmlformats.org/markup-compatibility/2006">
          <mc:Choice Requires="x14">
            <control shapeId="4142" r:id="rId4" name="Button 46">
              <controlPr defaultSize="0" print="0" autoFill="0" autoPict="0" macro="SX_SortBoard">
                <anchor>
                  <from>
                    <xdr:col>17</xdr:col>
                    <xdr:colOff>1226820</xdr:colOff>
                    <xdr:row>0</xdr:row>
                    <xdr:rowOff>45720</xdr:rowOff>
                  </from>
                  <to>
                    <xdr:col>286</xdr:col>
                    <xdr:colOff>449580</xdr:colOff>
                    <xdr:row>0</xdr:row>
                    <xdr:rowOff>327660</xdr:rowOff>
                  </to>
                </anchor>
              </controlPr>
            </control>
          </mc:Choice>
        </mc:AlternateContent>
        <mc:AlternateContent xmlns:mc="http://schemas.openxmlformats.org/markup-compatibility/2006">
          <mc:Choice Requires="x14">
            <control shapeId="4143" r:id="rId5" name="Button 47">
              <controlPr defaultSize="0" print="0" autoFill="0" autoPict="0" macro="SX_FreezePhases">
                <anchor>
                  <from>
                    <xdr:col>286</xdr:col>
                    <xdr:colOff>518160</xdr:colOff>
                    <xdr:row>0</xdr:row>
                    <xdr:rowOff>45720</xdr:rowOff>
                  </from>
                  <to>
                    <xdr:col>288</xdr:col>
                    <xdr:colOff>495300</xdr:colOff>
                    <xdr:row>0</xdr:row>
                    <xdr:rowOff>327660</xdr:rowOff>
                  </to>
                </anchor>
              </controlPr>
            </control>
          </mc:Choice>
        </mc:AlternateContent>
        <mc:AlternateContent xmlns:mc="http://schemas.openxmlformats.org/markup-compatibility/2006">
          <mc:Choice Requires="x14">
            <control shapeId="4144" r:id="rId6" name="Button 48">
              <controlPr defaultSize="0" print="0" autoFill="0" autoPict="0" macro="SX_Snapshot">
                <anchor>
                  <from>
                    <xdr:col>288</xdr:col>
                    <xdr:colOff>563880</xdr:colOff>
                    <xdr:row>0</xdr:row>
                    <xdr:rowOff>45720</xdr:rowOff>
                  </from>
                  <to>
                    <xdr:col>291</xdr:col>
                    <xdr:colOff>251460</xdr:colOff>
                    <xdr:row>0</xdr:row>
                    <xdr:rowOff>327660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4A758-8BF5-4A5A-B982-3FFBC45DF9E8}">
  <sheetPr codeName="Лист6">
    <tabColor rgb="FFFFF2CC"/>
  </sheetPr>
  <dimension ref="A1:AJ96"/>
  <sheetViews>
    <sheetView workbookViewId="0"/>
  </sheetViews>
  <sheetFormatPr defaultColWidth="11.77734375" defaultRowHeight="14.4" x14ac:dyDescent="0.3"/>
  <cols>
    <col min="2" max="2" width="28.77734375" customWidth="1"/>
  </cols>
  <sheetData>
    <row r="1" spans="1:36" x14ac:dyDescent="0.3">
      <c r="A1" s="36" t="s">
        <v>905</v>
      </c>
    </row>
    <row r="3" spans="1:36" ht="45" customHeight="1" x14ac:dyDescent="0.3">
      <c r="A3" s="4" t="s">
        <v>906</v>
      </c>
      <c r="B3" s="4" t="s">
        <v>6</v>
      </c>
      <c r="C3" s="4" t="s">
        <v>907</v>
      </c>
      <c r="D3" s="4" t="s">
        <v>37</v>
      </c>
      <c r="E3" s="4" t="s">
        <v>908</v>
      </c>
      <c r="F3" s="4" t="s">
        <v>516</v>
      </c>
      <c r="G3" s="4" t="s">
        <v>909</v>
      </c>
      <c r="H3" s="4" t="s">
        <v>186</v>
      </c>
      <c r="I3" s="4" t="s">
        <v>910</v>
      </c>
      <c r="J3" s="4" t="s">
        <v>3</v>
      </c>
      <c r="K3" s="4" t="s">
        <v>911</v>
      </c>
      <c r="L3" s="4" t="s">
        <v>535</v>
      </c>
      <c r="M3" s="4" t="s">
        <v>839</v>
      </c>
      <c r="N3" s="4" t="s">
        <v>912</v>
      </c>
      <c r="O3" s="4" t="s">
        <v>913</v>
      </c>
      <c r="P3" s="4" t="s">
        <v>914</v>
      </c>
      <c r="Q3" s="4" t="s">
        <v>898</v>
      </c>
      <c r="R3" s="4" t="s">
        <v>915</v>
      </c>
      <c r="S3" s="4" t="s">
        <v>482</v>
      </c>
      <c r="T3" s="4" t="s">
        <v>916</v>
      </c>
      <c r="U3" s="4" t="s">
        <v>519</v>
      </c>
      <c r="V3" s="4" t="s">
        <v>917</v>
      </c>
      <c r="Y3" s="4" t="s">
        <v>30</v>
      </c>
      <c r="Z3" s="4" t="s">
        <v>1032</v>
      </c>
      <c r="AA3" s="4" t="s">
        <v>1033</v>
      </c>
      <c r="AB3" s="4" t="s">
        <v>1034</v>
      </c>
      <c r="AD3" s="4" t="s">
        <v>1040</v>
      </c>
      <c r="AE3" s="4" t="s">
        <v>9</v>
      </c>
      <c r="AF3" s="4" t="s">
        <v>1041</v>
      </c>
      <c r="AH3" s="4" t="s">
        <v>30</v>
      </c>
      <c r="AI3" s="4" t="s">
        <v>50</v>
      </c>
      <c r="AJ3" s="4" t="s">
        <v>1043</v>
      </c>
    </row>
    <row r="4" spans="1:36" x14ac:dyDescent="0.3">
      <c r="A4" t="s">
        <v>52</v>
      </c>
      <c r="B4" t="s">
        <v>918</v>
      </c>
      <c r="C4">
        <v>0</v>
      </c>
      <c r="D4">
        <v>2</v>
      </c>
      <c r="E4">
        <v>1</v>
      </c>
      <c r="M4" t="s">
        <v>484</v>
      </c>
      <c r="Y4" s="114" t="s">
        <v>33</v>
      </c>
      <c r="Z4" t="s">
        <v>32</v>
      </c>
      <c r="AD4" t="s">
        <v>11</v>
      </c>
      <c r="AE4" t="s">
        <v>12</v>
      </c>
      <c r="AF4">
        <v>1</v>
      </c>
    </row>
    <row r="5" spans="1:36" x14ac:dyDescent="0.3">
      <c r="A5" t="s">
        <v>207</v>
      </c>
      <c r="B5" t="s">
        <v>209</v>
      </c>
      <c r="C5">
        <v>5</v>
      </c>
      <c r="D5">
        <v>1</v>
      </c>
      <c r="E5">
        <v>1</v>
      </c>
      <c r="L5" t="s">
        <v>547</v>
      </c>
      <c r="M5" t="s">
        <v>484</v>
      </c>
      <c r="Y5" s="114" t="s">
        <v>34</v>
      </c>
      <c r="Z5" t="s">
        <v>1035</v>
      </c>
      <c r="AD5" t="s">
        <v>13</v>
      </c>
      <c r="AE5" t="s">
        <v>145</v>
      </c>
      <c r="AF5">
        <v>1</v>
      </c>
    </row>
    <row r="6" spans="1:36" x14ac:dyDescent="0.3">
      <c r="A6" t="s">
        <v>208</v>
      </c>
      <c r="B6" t="s">
        <v>210</v>
      </c>
      <c r="C6">
        <v>5</v>
      </c>
      <c r="D6">
        <v>1</v>
      </c>
      <c r="E6">
        <v>1</v>
      </c>
      <c r="L6" t="s">
        <v>547</v>
      </c>
      <c r="M6" t="s">
        <v>484</v>
      </c>
      <c r="Y6" s="114" t="s">
        <v>35</v>
      </c>
      <c r="Z6" t="s">
        <v>1036</v>
      </c>
      <c r="AD6" t="s">
        <v>39</v>
      </c>
      <c r="AE6" t="s">
        <v>222</v>
      </c>
      <c r="AF6">
        <v>2</v>
      </c>
    </row>
    <row r="7" spans="1:36" x14ac:dyDescent="0.3">
      <c r="A7" t="s">
        <v>27</v>
      </c>
      <c r="B7" t="s">
        <v>28</v>
      </c>
      <c r="C7">
        <v>3</v>
      </c>
      <c r="D7">
        <v>1</v>
      </c>
      <c r="E7">
        <v>1</v>
      </c>
      <c r="K7" t="s">
        <v>561</v>
      </c>
      <c r="M7" t="s">
        <v>484</v>
      </c>
      <c r="S7" t="s">
        <v>548</v>
      </c>
      <c r="T7" t="s">
        <v>488</v>
      </c>
      <c r="U7">
        <v>16</v>
      </c>
      <c r="Y7" s="114" t="s">
        <v>36</v>
      </c>
      <c r="Z7" t="s">
        <v>31</v>
      </c>
      <c r="AD7" t="s">
        <v>54</v>
      </c>
      <c r="AE7" t="s">
        <v>170</v>
      </c>
      <c r="AF7">
        <v>1</v>
      </c>
    </row>
    <row r="8" spans="1:36" x14ac:dyDescent="0.3">
      <c r="A8" t="s">
        <v>29</v>
      </c>
      <c r="B8" t="s">
        <v>919</v>
      </c>
      <c r="C8">
        <v>1</v>
      </c>
      <c r="D8">
        <v>1</v>
      </c>
      <c r="E8">
        <v>3</v>
      </c>
      <c r="K8" t="s">
        <v>555</v>
      </c>
      <c r="M8" t="s">
        <v>484</v>
      </c>
      <c r="S8" t="s">
        <v>556</v>
      </c>
      <c r="T8" t="s">
        <v>484</v>
      </c>
      <c r="U8">
        <v>10</v>
      </c>
      <c r="Y8" s="114" t="s">
        <v>1037</v>
      </c>
      <c r="Z8" t="s">
        <v>1038</v>
      </c>
      <c r="AD8" t="s">
        <v>132</v>
      </c>
      <c r="AE8" t="s">
        <v>133</v>
      </c>
      <c r="AF8">
        <v>1</v>
      </c>
    </row>
    <row r="9" spans="1:36" x14ac:dyDescent="0.3">
      <c r="A9" t="s">
        <v>211</v>
      </c>
      <c r="B9" t="s">
        <v>212</v>
      </c>
      <c r="C9">
        <v>1</v>
      </c>
      <c r="D9">
        <v>1</v>
      </c>
      <c r="E9">
        <v>1</v>
      </c>
      <c r="K9" t="s">
        <v>555</v>
      </c>
      <c r="L9" t="s">
        <v>562</v>
      </c>
      <c r="M9" t="s">
        <v>484</v>
      </c>
      <c r="S9" t="s">
        <v>556</v>
      </c>
      <c r="T9" t="s">
        <v>484</v>
      </c>
      <c r="U9">
        <v>10</v>
      </c>
      <c r="Y9" s="114" t="s">
        <v>859</v>
      </c>
      <c r="Z9" t="s">
        <v>1039</v>
      </c>
      <c r="AD9" t="s">
        <v>137</v>
      </c>
      <c r="AE9" t="s">
        <v>135</v>
      </c>
      <c r="AF9">
        <v>1</v>
      </c>
    </row>
    <row r="10" spans="1:36" x14ac:dyDescent="0.3">
      <c r="A10" t="s">
        <v>213</v>
      </c>
      <c r="B10" t="s">
        <v>214</v>
      </c>
      <c r="C10">
        <v>2</v>
      </c>
      <c r="D10">
        <v>1</v>
      </c>
      <c r="E10">
        <v>1</v>
      </c>
      <c r="K10" t="s">
        <v>572</v>
      </c>
      <c r="L10" t="s">
        <v>573</v>
      </c>
      <c r="M10" t="s">
        <v>484</v>
      </c>
      <c r="S10" t="s">
        <v>548</v>
      </c>
      <c r="T10" t="s">
        <v>484</v>
      </c>
      <c r="U10">
        <v>16</v>
      </c>
      <c r="AD10" t="s">
        <v>136</v>
      </c>
      <c r="AE10" t="s">
        <v>138</v>
      </c>
      <c r="AF10">
        <v>2</v>
      </c>
    </row>
    <row r="11" spans="1:36" x14ac:dyDescent="0.3">
      <c r="A11" t="s">
        <v>215</v>
      </c>
      <c r="B11" t="s">
        <v>216</v>
      </c>
      <c r="C11">
        <v>2</v>
      </c>
      <c r="D11">
        <v>1</v>
      </c>
      <c r="E11">
        <v>1</v>
      </c>
      <c r="K11" t="s">
        <v>577</v>
      </c>
      <c r="L11" t="s">
        <v>573</v>
      </c>
      <c r="M11" t="s">
        <v>484</v>
      </c>
      <c r="S11" t="s">
        <v>548</v>
      </c>
      <c r="T11" t="s">
        <v>484</v>
      </c>
      <c r="U11">
        <v>16</v>
      </c>
      <c r="AD11" t="s">
        <v>140</v>
      </c>
      <c r="AE11" t="s">
        <v>141</v>
      </c>
      <c r="AF11">
        <v>1</v>
      </c>
    </row>
    <row r="12" spans="1:36" x14ac:dyDescent="0.3">
      <c r="A12" t="s">
        <v>200</v>
      </c>
      <c r="B12" t="s">
        <v>217</v>
      </c>
      <c r="C12">
        <v>1</v>
      </c>
      <c r="D12">
        <v>1</v>
      </c>
      <c r="E12">
        <v>1</v>
      </c>
      <c r="K12" t="s">
        <v>572</v>
      </c>
      <c r="L12" t="s">
        <v>573</v>
      </c>
      <c r="M12" t="s">
        <v>484</v>
      </c>
      <c r="S12" t="s">
        <v>574</v>
      </c>
      <c r="T12" t="s">
        <v>484</v>
      </c>
      <c r="AD12" t="s">
        <v>201</v>
      </c>
      <c r="AE12" t="s">
        <v>203</v>
      </c>
      <c r="AF12">
        <v>2</v>
      </c>
    </row>
    <row r="13" spans="1:36" x14ac:dyDescent="0.3">
      <c r="A13" t="s">
        <v>218</v>
      </c>
      <c r="B13" t="s">
        <v>219</v>
      </c>
      <c r="C13">
        <v>1</v>
      </c>
      <c r="D13">
        <v>1</v>
      </c>
      <c r="E13">
        <v>1</v>
      </c>
      <c r="K13" t="s">
        <v>572</v>
      </c>
      <c r="L13" t="s">
        <v>573</v>
      </c>
      <c r="M13" t="s">
        <v>484</v>
      </c>
      <c r="AD13" t="s">
        <v>204</v>
      </c>
      <c r="AE13" t="s">
        <v>205</v>
      </c>
      <c r="AF13">
        <v>2</v>
      </c>
    </row>
    <row r="14" spans="1:36" x14ac:dyDescent="0.3">
      <c r="A14" t="s">
        <v>151</v>
      </c>
      <c r="B14" t="s">
        <v>920</v>
      </c>
      <c r="C14">
        <v>4</v>
      </c>
      <c r="D14">
        <v>2</v>
      </c>
      <c r="E14">
        <v>1</v>
      </c>
      <c r="K14" t="s">
        <v>580</v>
      </c>
      <c r="M14" t="s">
        <v>484</v>
      </c>
      <c r="S14" t="s">
        <v>566</v>
      </c>
      <c r="T14" t="s">
        <v>484</v>
      </c>
      <c r="AD14" t="s">
        <v>206</v>
      </c>
      <c r="AE14" t="s">
        <v>191</v>
      </c>
      <c r="AF14">
        <v>2</v>
      </c>
    </row>
    <row r="15" spans="1:36" x14ac:dyDescent="0.3">
      <c r="A15" t="s">
        <v>148</v>
      </c>
      <c r="B15" t="s">
        <v>242</v>
      </c>
      <c r="C15">
        <v>2</v>
      </c>
      <c r="D15">
        <v>1</v>
      </c>
      <c r="E15">
        <v>1</v>
      </c>
      <c r="K15" t="s">
        <v>568</v>
      </c>
      <c r="L15" t="s">
        <v>562</v>
      </c>
      <c r="M15" t="s">
        <v>484</v>
      </c>
      <c r="S15" t="s">
        <v>569</v>
      </c>
      <c r="T15" t="s">
        <v>488</v>
      </c>
      <c r="AD15" t="s">
        <v>224</v>
      </c>
      <c r="AE15" t="s">
        <v>223</v>
      </c>
    </row>
    <row r="16" spans="1:36" x14ac:dyDescent="0.3">
      <c r="A16" t="s">
        <v>246</v>
      </c>
      <c r="B16" t="s">
        <v>220</v>
      </c>
      <c r="C16">
        <v>1</v>
      </c>
      <c r="D16">
        <v>1</v>
      </c>
      <c r="E16">
        <v>1</v>
      </c>
      <c r="K16" t="s">
        <v>584</v>
      </c>
      <c r="L16" t="s">
        <v>573</v>
      </c>
      <c r="M16" t="s">
        <v>484</v>
      </c>
      <c r="S16" t="s">
        <v>563</v>
      </c>
      <c r="T16" t="s">
        <v>484</v>
      </c>
      <c r="AD16" t="s">
        <v>592</v>
      </c>
      <c r="AE16" t="s">
        <v>170</v>
      </c>
      <c r="AF16">
        <v>1</v>
      </c>
    </row>
    <row r="17" spans="1:32" x14ac:dyDescent="0.3">
      <c r="A17" t="s">
        <v>245</v>
      </c>
      <c r="B17" t="s">
        <v>221</v>
      </c>
      <c r="C17">
        <v>1</v>
      </c>
      <c r="D17">
        <v>1</v>
      </c>
      <c r="E17">
        <v>1</v>
      </c>
      <c r="K17" t="s">
        <v>572</v>
      </c>
      <c r="L17" t="s">
        <v>573</v>
      </c>
      <c r="M17" t="s">
        <v>484</v>
      </c>
      <c r="AD17" t="s">
        <v>595</v>
      </c>
      <c r="AE17" t="s">
        <v>596</v>
      </c>
      <c r="AF17">
        <v>2</v>
      </c>
    </row>
    <row r="18" spans="1:32" x14ac:dyDescent="0.3">
      <c r="A18" t="s">
        <v>202</v>
      </c>
      <c r="B18" t="s">
        <v>921</v>
      </c>
      <c r="C18">
        <v>2</v>
      </c>
      <c r="D18">
        <v>1</v>
      </c>
      <c r="E18">
        <v>1</v>
      </c>
      <c r="M18" t="s">
        <v>484</v>
      </c>
      <c r="S18" t="s">
        <v>566</v>
      </c>
      <c r="T18" t="s">
        <v>484</v>
      </c>
      <c r="V18">
        <v>2</v>
      </c>
      <c r="AD18" t="s">
        <v>601</v>
      </c>
      <c r="AE18" t="s">
        <v>602</v>
      </c>
      <c r="AF18">
        <v>1</v>
      </c>
    </row>
    <row r="19" spans="1:32" x14ac:dyDescent="0.3">
      <c r="A19" t="s">
        <v>225</v>
      </c>
      <c r="B19" t="s">
        <v>226</v>
      </c>
      <c r="C19">
        <v>1</v>
      </c>
      <c r="D19">
        <v>2</v>
      </c>
      <c r="E19">
        <v>1</v>
      </c>
      <c r="K19" t="s">
        <v>555</v>
      </c>
      <c r="L19" t="s">
        <v>562</v>
      </c>
      <c r="M19" t="s">
        <v>484</v>
      </c>
      <c r="S19" t="s">
        <v>556</v>
      </c>
      <c r="T19" t="s">
        <v>484</v>
      </c>
      <c r="U19">
        <v>10</v>
      </c>
      <c r="AD19" t="s">
        <v>605</v>
      </c>
      <c r="AE19" t="s">
        <v>606</v>
      </c>
      <c r="AF19">
        <v>1</v>
      </c>
    </row>
    <row r="20" spans="1:32" x14ac:dyDescent="0.3">
      <c r="A20" t="s">
        <v>227</v>
      </c>
      <c r="B20" t="s">
        <v>228</v>
      </c>
      <c r="C20">
        <v>1</v>
      </c>
      <c r="D20">
        <v>1</v>
      </c>
      <c r="E20">
        <v>1</v>
      </c>
      <c r="K20" t="s">
        <v>577</v>
      </c>
      <c r="L20" t="s">
        <v>573</v>
      </c>
      <c r="M20" t="s">
        <v>484</v>
      </c>
      <c r="AD20" t="s">
        <v>611</v>
      </c>
      <c r="AE20" t="s">
        <v>1042</v>
      </c>
      <c r="AF20">
        <v>1</v>
      </c>
    </row>
    <row r="21" spans="1:32" x14ac:dyDescent="0.3">
      <c r="A21" t="s">
        <v>247</v>
      </c>
      <c r="B21" t="s">
        <v>922</v>
      </c>
      <c r="C21">
        <v>2</v>
      </c>
      <c r="D21">
        <v>1</v>
      </c>
      <c r="E21">
        <v>1</v>
      </c>
      <c r="K21" t="s">
        <v>576</v>
      </c>
      <c r="M21" t="s">
        <v>484</v>
      </c>
      <c r="AD21" t="s">
        <v>614</v>
      </c>
      <c r="AE21" t="s">
        <v>612</v>
      </c>
      <c r="AF21">
        <v>1</v>
      </c>
    </row>
    <row r="22" spans="1:32" x14ac:dyDescent="0.3">
      <c r="A22" t="s">
        <v>229</v>
      </c>
      <c r="B22" t="s">
        <v>230</v>
      </c>
      <c r="C22">
        <v>4</v>
      </c>
      <c r="D22">
        <v>2</v>
      </c>
      <c r="E22">
        <v>1</v>
      </c>
      <c r="K22" t="s">
        <v>580</v>
      </c>
      <c r="M22" t="s">
        <v>484</v>
      </c>
      <c r="S22" t="s">
        <v>566</v>
      </c>
      <c r="T22" t="s">
        <v>484</v>
      </c>
    </row>
    <row r="23" spans="1:32" x14ac:dyDescent="0.3">
      <c r="A23" t="s">
        <v>231</v>
      </c>
      <c r="B23" t="s">
        <v>232</v>
      </c>
      <c r="C23">
        <v>1</v>
      </c>
      <c r="D23">
        <v>1</v>
      </c>
      <c r="E23">
        <v>1</v>
      </c>
      <c r="K23" t="s">
        <v>576</v>
      </c>
      <c r="L23" t="s">
        <v>562</v>
      </c>
      <c r="M23" t="s">
        <v>484</v>
      </c>
      <c r="S23" t="s">
        <v>566</v>
      </c>
      <c r="T23" t="s">
        <v>484</v>
      </c>
    </row>
    <row r="24" spans="1:32" x14ac:dyDescent="0.3">
      <c r="A24" t="s">
        <v>233</v>
      </c>
      <c r="B24" t="s">
        <v>234</v>
      </c>
      <c r="C24">
        <v>1</v>
      </c>
      <c r="D24">
        <v>1</v>
      </c>
      <c r="E24">
        <v>1</v>
      </c>
      <c r="K24" t="s">
        <v>582</v>
      </c>
      <c r="L24" t="s">
        <v>562</v>
      </c>
      <c r="M24" t="s">
        <v>484</v>
      </c>
      <c r="S24" t="s">
        <v>569</v>
      </c>
      <c r="T24" t="s">
        <v>488</v>
      </c>
    </row>
    <row r="25" spans="1:32" x14ac:dyDescent="0.3">
      <c r="A25" t="s">
        <v>235</v>
      </c>
      <c r="B25" t="s">
        <v>236</v>
      </c>
      <c r="C25">
        <v>1</v>
      </c>
      <c r="D25">
        <v>1</v>
      </c>
      <c r="E25">
        <v>1</v>
      </c>
      <c r="M25" t="s">
        <v>484</v>
      </c>
    </row>
    <row r="26" spans="1:32" x14ac:dyDescent="0.3">
      <c r="A26" t="s">
        <v>237</v>
      </c>
      <c r="B26" t="s">
        <v>923</v>
      </c>
      <c r="C26">
        <v>2</v>
      </c>
      <c r="D26">
        <v>1</v>
      </c>
      <c r="E26">
        <v>1</v>
      </c>
      <c r="M26" t="s">
        <v>484</v>
      </c>
    </row>
    <row r="27" spans="1:32" x14ac:dyDescent="0.3">
      <c r="A27" t="s">
        <v>238</v>
      </c>
      <c r="B27" t="s">
        <v>239</v>
      </c>
      <c r="C27">
        <v>5</v>
      </c>
      <c r="D27">
        <v>1</v>
      </c>
      <c r="E27">
        <v>1</v>
      </c>
      <c r="M27" t="s">
        <v>484</v>
      </c>
    </row>
    <row r="28" spans="1:32" x14ac:dyDescent="0.3">
      <c r="A28" t="s">
        <v>250</v>
      </c>
      <c r="B28" t="s">
        <v>924</v>
      </c>
      <c r="C28">
        <v>4</v>
      </c>
      <c r="D28">
        <v>1</v>
      </c>
      <c r="E28">
        <v>1</v>
      </c>
      <c r="M28" t="s">
        <v>484</v>
      </c>
    </row>
    <row r="29" spans="1:32" x14ac:dyDescent="0.3">
      <c r="A29" t="s">
        <v>240</v>
      </c>
      <c r="B29" t="s">
        <v>241</v>
      </c>
      <c r="C29">
        <v>1</v>
      </c>
      <c r="D29">
        <v>1</v>
      </c>
      <c r="E29">
        <v>1</v>
      </c>
      <c r="K29" t="s">
        <v>577</v>
      </c>
      <c r="L29" t="s">
        <v>573</v>
      </c>
      <c r="M29" t="s">
        <v>484</v>
      </c>
      <c r="S29" t="s">
        <v>548</v>
      </c>
      <c r="T29" t="s">
        <v>484</v>
      </c>
      <c r="U29">
        <v>16</v>
      </c>
    </row>
    <row r="30" spans="1:32" x14ac:dyDescent="0.3">
      <c r="A30" t="s">
        <v>244</v>
      </c>
      <c r="B30" t="s">
        <v>243</v>
      </c>
      <c r="C30">
        <v>1</v>
      </c>
      <c r="D30">
        <v>1</v>
      </c>
      <c r="E30">
        <v>1</v>
      </c>
      <c r="K30" t="s">
        <v>572</v>
      </c>
      <c r="L30" t="s">
        <v>573</v>
      </c>
      <c r="M30" t="s">
        <v>484</v>
      </c>
    </row>
    <row r="31" spans="1:32" x14ac:dyDescent="0.3">
      <c r="A31" t="s">
        <v>248</v>
      </c>
      <c r="B31" t="s">
        <v>249</v>
      </c>
      <c r="C31">
        <v>1</v>
      </c>
      <c r="D31">
        <v>1</v>
      </c>
      <c r="E31">
        <v>1</v>
      </c>
      <c r="K31" t="s">
        <v>580</v>
      </c>
      <c r="L31" t="s">
        <v>598</v>
      </c>
      <c r="M31" t="s">
        <v>484</v>
      </c>
      <c r="S31" t="s">
        <v>566</v>
      </c>
      <c r="T31" t="s">
        <v>484</v>
      </c>
    </row>
    <row r="32" spans="1:32" x14ac:dyDescent="0.3">
      <c r="A32" t="s">
        <v>364</v>
      </c>
      <c r="B32" t="s">
        <v>925</v>
      </c>
      <c r="C32">
        <v>3</v>
      </c>
      <c r="D32">
        <v>1</v>
      </c>
      <c r="E32">
        <v>3</v>
      </c>
      <c r="K32" t="s">
        <v>555</v>
      </c>
      <c r="M32" t="s">
        <v>484</v>
      </c>
      <c r="S32" t="s">
        <v>556</v>
      </c>
      <c r="T32" t="s">
        <v>484</v>
      </c>
      <c r="U32">
        <v>10</v>
      </c>
    </row>
    <row r="33" spans="1:21" x14ac:dyDescent="0.3">
      <c r="A33" t="s">
        <v>409</v>
      </c>
      <c r="B33" t="s">
        <v>410</v>
      </c>
      <c r="C33">
        <v>1</v>
      </c>
      <c r="D33">
        <v>1</v>
      </c>
      <c r="E33">
        <v>1</v>
      </c>
      <c r="K33" t="s">
        <v>571</v>
      </c>
      <c r="L33" t="s">
        <v>562</v>
      </c>
      <c r="M33" t="s">
        <v>484</v>
      </c>
      <c r="S33" t="s">
        <v>569</v>
      </c>
      <c r="T33" t="s">
        <v>484</v>
      </c>
    </row>
    <row r="34" spans="1:21" x14ac:dyDescent="0.3">
      <c r="A34" t="s">
        <v>926</v>
      </c>
      <c r="B34" t="s">
        <v>927</v>
      </c>
      <c r="C34">
        <v>7</v>
      </c>
      <c r="D34">
        <v>2</v>
      </c>
      <c r="E34">
        <v>1</v>
      </c>
      <c r="K34" t="s">
        <v>561</v>
      </c>
      <c r="M34" t="s">
        <v>484</v>
      </c>
      <c r="S34" t="s">
        <v>548</v>
      </c>
      <c r="T34" t="s">
        <v>488</v>
      </c>
      <c r="U34">
        <v>16</v>
      </c>
    </row>
    <row r="35" spans="1:21" x14ac:dyDescent="0.3">
      <c r="A35" t="s">
        <v>928</v>
      </c>
      <c r="B35" t="s">
        <v>929</v>
      </c>
      <c r="C35">
        <v>4</v>
      </c>
      <c r="D35">
        <v>2</v>
      </c>
      <c r="E35">
        <v>3</v>
      </c>
      <c r="K35" t="s">
        <v>560</v>
      </c>
      <c r="M35" t="s">
        <v>484</v>
      </c>
      <c r="S35" t="s">
        <v>556</v>
      </c>
      <c r="T35" t="s">
        <v>484</v>
      </c>
      <c r="U35">
        <v>10</v>
      </c>
    </row>
    <row r="36" spans="1:21" x14ac:dyDescent="0.3">
      <c r="A36" t="s">
        <v>930</v>
      </c>
      <c r="B36" t="s">
        <v>931</v>
      </c>
      <c r="C36">
        <v>2</v>
      </c>
      <c r="D36">
        <v>1</v>
      </c>
      <c r="E36">
        <v>3</v>
      </c>
      <c r="K36" t="s">
        <v>555</v>
      </c>
      <c r="M36" t="s">
        <v>484</v>
      </c>
      <c r="S36" t="s">
        <v>556</v>
      </c>
      <c r="T36" t="s">
        <v>484</v>
      </c>
      <c r="U36">
        <v>10</v>
      </c>
    </row>
    <row r="37" spans="1:21" x14ac:dyDescent="0.3">
      <c r="A37" t="s">
        <v>496</v>
      </c>
      <c r="B37" t="s">
        <v>932</v>
      </c>
      <c r="C37">
        <v>2</v>
      </c>
      <c r="D37">
        <v>2</v>
      </c>
      <c r="E37">
        <v>1</v>
      </c>
      <c r="K37" t="s">
        <v>555</v>
      </c>
      <c r="M37" t="s">
        <v>484</v>
      </c>
      <c r="S37" t="s">
        <v>556</v>
      </c>
      <c r="T37" t="s">
        <v>484</v>
      </c>
      <c r="U37">
        <v>10</v>
      </c>
    </row>
    <row r="38" spans="1:21" x14ac:dyDescent="0.3">
      <c r="A38" t="s">
        <v>933</v>
      </c>
      <c r="B38" t="s">
        <v>934</v>
      </c>
      <c r="C38">
        <v>2</v>
      </c>
      <c r="D38">
        <v>2</v>
      </c>
      <c r="E38">
        <v>1</v>
      </c>
      <c r="K38" t="s">
        <v>609</v>
      </c>
      <c r="M38" t="s">
        <v>484</v>
      </c>
      <c r="S38" t="s">
        <v>569</v>
      </c>
      <c r="T38" t="s">
        <v>484</v>
      </c>
    </row>
    <row r="39" spans="1:21" x14ac:dyDescent="0.3">
      <c r="A39" t="s">
        <v>935</v>
      </c>
      <c r="B39" t="s">
        <v>53</v>
      </c>
      <c r="C39">
        <v>2</v>
      </c>
      <c r="D39">
        <v>1</v>
      </c>
      <c r="E39">
        <v>1</v>
      </c>
      <c r="K39" t="s">
        <v>580</v>
      </c>
      <c r="M39" t="s">
        <v>484</v>
      </c>
      <c r="S39" t="s">
        <v>566</v>
      </c>
      <c r="T39" t="s">
        <v>484</v>
      </c>
    </row>
    <row r="40" spans="1:21" x14ac:dyDescent="0.3">
      <c r="A40" t="s">
        <v>936</v>
      </c>
      <c r="B40" t="s">
        <v>249</v>
      </c>
      <c r="C40">
        <v>4</v>
      </c>
      <c r="D40">
        <v>2</v>
      </c>
      <c r="E40">
        <v>1</v>
      </c>
      <c r="K40" t="s">
        <v>580</v>
      </c>
      <c r="M40" t="s">
        <v>484</v>
      </c>
      <c r="S40" t="s">
        <v>566</v>
      </c>
      <c r="T40" t="s">
        <v>484</v>
      </c>
    </row>
    <row r="41" spans="1:21" x14ac:dyDescent="0.3">
      <c r="A41" t="s">
        <v>937</v>
      </c>
      <c r="B41" t="s">
        <v>938</v>
      </c>
      <c r="C41">
        <v>4</v>
      </c>
      <c r="D41">
        <v>2</v>
      </c>
      <c r="E41">
        <v>1</v>
      </c>
      <c r="K41" t="s">
        <v>576</v>
      </c>
      <c r="M41" t="s">
        <v>484</v>
      </c>
      <c r="S41" t="s">
        <v>566</v>
      </c>
      <c r="T41" t="s">
        <v>484</v>
      </c>
    </row>
    <row r="42" spans="1:21" x14ac:dyDescent="0.3">
      <c r="A42" t="s">
        <v>939</v>
      </c>
      <c r="B42" t="s">
        <v>232</v>
      </c>
      <c r="C42">
        <v>3</v>
      </c>
      <c r="D42">
        <v>2</v>
      </c>
      <c r="E42">
        <v>1</v>
      </c>
      <c r="K42" t="s">
        <v>576</v>
      </c>
      <c r="M42" t="s">
        <v>484</v>
      </c>
      <c r="S42" t="s">
        <v>566</v>
      </c>
      <c r="T42" t="s">
        <v>484</v>
      </c>
    </row>
    <row r="43" spans="1:21" x14ac:dyDescent="0.3">
      <c r="A43" t="s">
        <v>940</v>
      </c>
      <c r="B43" t="s">
        <v>941</v>
      </c>
      <c r="C43">
        <v>3</v>
      </c>
      <c r="D43">
        <v>2</v>
      </c>
      <c r="E43">
        <v>1</v>
      </c>
      <c r="M43" t="s">
        <v>484</v>
      </c>
      <c r="S43" t="s">
        <v>563</v>
      </c>
      <c r="T43" t="s">
        <v>484</v>
      </c>
    </row>
    <row r="44" spans="1:21" x14ac:dyDescent="0.3">
      <c r="A44" t="s">
        <v>942</v>
      </c>
      <c r="B44" t="s">
        <v>943</v>
      </c>
      <c r="C44">
        <v>4</v>
      </c>
      <c r="D44">
        <v>2</v>
      </c>
      <c r="E44">
        <v>3</v>
      </c>
      <c r="K44" t="s">
        <v>560</v>
      </c>
      <c r="M44" t="s">
        <v>484</v>
      </c>
      <c r="S44" t="s">
        <v>556</v>
      </c>
      <c r="T44" t="s">
        <v>484</v>
      </c>
      <c r="U44">
        <v>10</v>
      </c>
    </row>
    <row r="45" spans="1:21" x14ac:dyDescent="0.3">
      <c r="A45" t="s">
        <v>149</v>
      </c>
      <c r="B45" t="s">
        <v>944</v>
      </c>
      <c r="C45">
        <v>0</v>
      </c>
      <c r="D45">
        <v>2</v>
      </c>
      <c r="E45">
        <v>1</v>
      </c>
      <c r="M45" t="s">
        <v>484</v>
      </c>
    </row>
    <row r="46" spans="1:21" x14ac:dyDescent="0.3">
      <c r="A46" t="s">
        <v>945</v>
      </c>
      <c r="B46" t="s">
        <v>946</v>
      </c>
      <c r="C46">
        <v>2</v>
      </c>
      <c r="D46">
        <v>1</v>
      </c>
      <c r="E46">
        <v>1</v>
      </c>
      <c r="M46" t="s">
        <v>484</v>
      </c>
    </row>
    <row r="47" spans="1:21" x14ac:dyDescent="0.3">
      <c r="A47" t="s">
        <v>947</v>
      </c>
      <c r="B47" t="s">
        <v>948</v>
      </c>
      <c r="C47">
        <v>2</v>
      </c>
      <c r="D47">
        <v>1</v>
      </c>
      <c r="E47">
        <v>1</v>
      </c>
      <c r="M47" t="s">
        <v>484</v>
      </c>
    </row>
    <row r="48" spans="1:21" x14ac:dyDescent="0.3">
      <c r="A48" t="s">
        <v>504</v>
      </c>
      <c r="B48" t="s">
        <v>949</v>
      </c>
      <c r="C48">
        <v>2</v>
      </c>
      <c r="D48">
        <v>1</v>
      </c>
      <c r="E48">
        <v>1</v>
      </c>
      <c r="M48" t="s">
        <v>484</v>
      </c>
      <c r="S48" t="s">
        <v>563</v>
      </c>
      <c r="T48" t="s">
        <v>484</v>
      </c>
    </row>
    <row r="49" spans="1:21" x14ac:dyDescent="0.3">
      <c r="A49" t="s">
        <v>950</v>
      </c>
      <c r="B49" t="s">
        <v>951</v>
      </c>
      <c r="C49">
        <v>2</v>
      </c>
      <c r="D49">
        <v>2</v>
      </c>
      <c r="E49">
        <v>1</v>
      </c>
      <c r="K49" t="s">
        <v>600</v>
      </c>
      <c r="M49" t="s">
        <v>484</v>
      </c>
    </row>
    <row r="50" spans="1:21" x14ac:dyDescent="0.3">
      <c r="A50" t="s">
        <v>952</v>
      </c>
      <c r="B50" t="s">
        <v>953</v>
      </c>
      <c r="C50">
        <v>2</v>
      </c>
      <c r="D50">
        <v>2</v>
      </c>
      <c r="E50">
        <v>1</v>
      </c>
      <c r="K50" t="s">
        <v>600</v>
      </c>
      <c r="M50" t="s">
        <v>484</v>
      </c>
    </row>
    <row r="51" spans="1:21" x14ac:dyDescent="0.3">
      <c r="A51" t="s">
        <v>954</v>
      </c>
      <c r="B51" t="s">
        <v>955</v>
      </c>
      <c r="C51">
        <v>2</v>
      </c>
      <c r="D51">
        <v>2</v>
      </c>
      <c r="E51">
        <v>1</v>
      </c>
      <c r="K51" t="s">
        <v>600</v>
      </c>
      <c r="M51" t="s">
        <v>484</v>
      </c>
    </row>
    <row r="52" spans="1:21" x14ac:dyDescent="0.3">
      <c r="A52" t="s">
        <v>956</v>
      </c>
      <c r="B52" t="s">
        <v>957</v>
      </c>
      <c r="C52">
        <v>2</v>
      </c>
      <c r="D52">
        <v>2</v>
      </c>
      <c r="E52">
        <v>1</v>
      </c>
      <c r="K52" t="s">
        <v>600</v>
      </c>
      <c r="M52" t="s">
        <v>484</v>
      </c>
    </row>
    <row r="53" spans="1:21" x14ac:dyDescent="0.3">
      <c r="A53" t="s">
        <v>958</v>
      </c>
      <c r="B53" t="s">
        <v>959</v>
      </c>
      <c r="C53">
        <v>2</v>
      </c>
      <c r="D53">
        <v>2</v>
      </c>
      <c r="E53">
        <v>1</v>
      </c>
      <c r="K53" t="s">
        <v>600</v>
      </c>
      <c r="M53" t="s">
        <v>484</v>
      </c>
    </row>
    <row r="54" spans="1:21" x14ac:dyDescent="0.3">
      <c r="A54" t="s">
        <v>960</v>
      </c>
      <c r="B54" t="s">
        <v>961</v>
      </c>
      <c r="C54">
        <v>2</v>
      </c>
      <c r="D54">
        <v>2</v>
      </c>
      <c r="E54">
        <v>1</v>
      </c>
      <c r="K54" t="s">
        <v>600</v>
      </c>
      <c r="M54" t="s">
        <v>484</v>
      </c>
    </row>
    <row r="55" spans="1:21" x14ac:dyDescent="0.3">
      <c r="A55" t="s">
        <v>962</v>
      </c>
      <c r="B55" t="s">
        <v>963</v>
      </c>
      <c r="C55">
        <v>2</v>
      </c>
      <c r="D55">
        <v>2</v>
      </c>
      <c r="E55">
        <v>1</v>
      </c>
      <c r="K55" t="s">
        <v>600</v>
      </c>
      <c r="M55" t="s">
        <v>484</v>
      </c>
    </row>
    <row r="56" spans="1:21" x14ac:dyDescent="0.3">
      <c r="A56" t="s">
        <v>964</v>
      </c>
      <c r="B56" t="s">
        <v>965</v>
      </c>
      <c r="C56">
        <v>0</v>
      </c>
      <c r="D56">
        <v>2</v>
      </c>
      <c r="E56">
        <v>1</v>
      </c>
      <c r="M56" t="s">
        <v>484</v>
      </c>
    </row>
    <row r="57" spans="1:21" x14ac:dyDescent="0.3">
      <c r="A57" t="s">
        <v>966</v>
      </c>
      <c r="B57" t="s">
        <v>967</v>
      </c>
      <c r="C57">
        <v>2</v>
      </c>
      <c r="D57">
        <v>1</v>
      </c>
      <c r="E57">
        <v>1</v>
      </c>
      <c r="K57" t="s">
        <v>572</v>
      </c>
      <c r="M57" t="s">
        <v>484</v>
      </c>
    </row>
    <row r="58" spans="1:21" x14ac:dyDescent="0.3">
      <c r="A58" t="s">
        <v>968</v>
      </c>
      <c r="B58" t="s">
        <v>969</v>
      </c>
      <c r="C58">
        <v>3</v>
      </c>
      <c r="D58">
        <v>1</v>
      </c>
      <c r="E58">
        <v>1</v>
      </c>
      <c r="M58" t="s">
        <v>484</v>
      </c>
    </row>
    <row r="59" spans="1:21" x14ac:dyDescent="0.3">
      <c r="A59" t="s">
        <v>970</v>
      </c>
      <c r="B59" t="s">
        <v>971</v>
      </c>
      <c r="C59">
        <v>3</v>
      </c>
      <c r="D59">
        <v>2</v>
      </c>
      <c r="E59">
        <v>1</v>
      </c>
      <c r="K59" t="s">
        <v>604</v>
      </c>
      <c r="M59" t="s">
        <v>484</v>
      </c>
      <c r="S59" t="s">
        <v>566</v>
      </c>
      <c r="T59" t="s">
        <v>484</v>
      </c>
    </row>
    <row r="60" spans="1:21" x14ac:dyDescent="0.3">
      <c r="A60" t="s">
        <v>972</v>
      </c>
      <c r="B60" t="s">
        <v>973</v>
      </c>
      <c r="C60">
        <v>3</v>
      </c>
      <c r="D60">
        <v>2</v>
      </c>
      <c r="E60">
        <v>1</v>
      </c>
      <c r="K60" t="s">
        <v>604</v>
      </c>
      <c r="M60" t="s">
        <v>484</v>
      </c>
      <c r="S60" t="s">
        <v>566</v>
      </c>
      <c r="T60" t="s">
        <v>484</v>
      </c>
    </row>
    <row r="61" spans="1:21" x14ac:dyDescent="0.3">
      <c r="A61" t="s">
        <v>974</v>
      </c>
      <c r="B61" t="s">
        <v>975</v>
      </c>
      <c r="C61">
        <v>3</v>
      </c>
      <c r="D61">
        <v>1</v>
      </c>
      <c r="E61">
        <v>1</v>
      </c>
      <c r="K61" t="s">
        <v>561</v>
      </c>
      <c r="M61" t="s">
        <v>484</v>
      </c>
      <c r="S61" t="s">
        <v>548</v>
      </c>
      <c r="T61" t="s">
        <v>488</v>
      </c>
      <c r="U61">
        <v>16</v>
      </c>
    </row>
    <row r="62" spans="1:21" x14ac:dyDescent="0.3">
      <c r="A62" t="s">
        <v>976</v>
      </c>
      <c r="B62" t="s">
        <v>977</v>
      </c>
      <c r="C62">
        <v>3</v>
      </c>
      <c r="D62">
        <v>2</v>
      </c>
      <c r="E62">
        <v>1</v>
      </c>
      <c r="K62" t="s">
        <v>572</v>
      </c>
      <c r="M62" t="s">
        <v>484</v>
      </c>
    </row>
    <row r="63" spans="1:21" x14ac:dyDescent="0.3">
      <c r="A63" t="s">
        <v>978</v>
      </c>
      <c r="B63" t="s">
        <v>979</v>
      </c>
      <c r="C63">
        <v>3</v>
      </c>
      <c r="D63">
        <v>2</v>
      </c>
      <c r="E63">
        <v>1</v>
      </c>
      <c r="K63" t="s">
        <v>572</v>
      </c>
      <c r="M63" t="s">
        <v>484</v>
      </c>
    </row>
    <row r="64" spans="1:21" x14ac:dyDescent="0.3">
      <c r="A64" t="s">
        <v>980</v>
      </c>
      <c r="B64" t="s">
        <v>981</v>
      </c>
      <c r="C64">
        <v>3</v>
      </c>
      <c r="D64">
        <v>2</v>
      </c>
      <c r="E64">
        <v>1</v>
      </c>
      <c r="K64" t="s">
        <v>572</v>
      </c>
      <c r="M64" t="s">
        <v>484</v>
      </c>
    </row>
    <row r="65" spans="1:20" x14ac:dyDescent="0.3">
      <c r="A65" t="s">
        <v>982</v>
      </c>
      <c r="B65" t="s">
        <v>983</v>
      </c>
      <c r="C65">
        <v>3</v>
      </c>
      <c r="D65">
        <v>2</v>
      </c>
      <c r="E65">
        <v>1</v>
      </c>
      <c r="K65" t="s">
        <v>577</v>
      </c>
      <c r="M65" t="s">
        <v>484</v>
      </c>
    </row>
    <row r="66" spans="1:20" x14ac:dyDescent="0.3">
      <c r="A66" t="s">
        <v>984</v>
      </c>
      <c r="B66" t="s">
        <v>985</v>
      </c>
      <c r="C66">
        <v>3</v>
      </c>
      <c r="D66">
        <v>2</v>
      </c>
      <c r="E66">
        <v>1</v>
      </c>
      <c r="K66" t="s">
        <v>600</v>
      </c>
      <c r="M66" t="s">
        <v>484</v>
      </c>
    </row>
    <row r="67" spans="1:20" x14ac:dyDescent="0.3">
      <c r="A67" t="s">
        <v>986</v>
      </c>
      <c r="B67" t="s">
        <v>987</v>
      </c>
      <c r="C67">
        <v>3</v>
      </c>
      <c r="D67">
        <v>1</v>
      </c>
      <c r="E67">
        <v>1</v>
      </c>
      <c r="K67" t="s">
        <v>577</v>
      </c>
      <c r="M67" t="s">
        <v>484</v>
      </c>
    </row>
    <row r="68" spans="1:20" x14ac:dyDescent="0.3">
      <c r="A68" t="s">
        <v>988</v>
      </c>
      <c r="B68" t="s">
        <v>989</v>
      </c>
      <c r="C68">
        <v>3</v>
      </c>
      <c r="D68">
        <v>1</v>
      </c>
      <c r="E68">
        <v>1</v>
      </c>
      <c r="K68" t="s">
        <v>604</v>
      </c>
      <c r="M68" t="s">
        <v>484</v>
      </c>
    </row>
    <row r="69" spans="1:20" x14ac:dyDescent="0.3">
      <c r="A69" t="s">
        <v>990</v>
      </c>
      <c r="B69" t="s">
        <v>991</v>
      </c>
      <c r="C69">
        <v>3</v>
      </c>
      <c r="D69">
        <v>1</v>
      </c>
      <c r="E69">
        <v>1</v>
      </c>
      <c r="K69" t="s">
        <v>600</v>
      </c>
      <c r="M69" t="s">
        <v>484</v>
      </c>
    </row>
    <row r="70" spans="1:20" x14ac:dyDescent="0.3">
      <c r="A70" t="s">
        <v>992</v>
      </c>
      <c r="B70" t="s">
        <v>924</v>
      </c>
      <c r="C70">
        <v>4</v>
      </c>
      <c r="D70">
        <v>1</v>
      </c>
      <c r="E70">
        <v>1</v>
      </c>
      <c r="M70" t="s">
        <v>484</v>
      </c>
    </row>
    <row r="71" spans="1:20" x14ac:dyDescent="0.3">
      <c r="A71" t="s">
        <v>500</v>
      </c>
      <c r="B71" t="s">
        <v>922</v>
      </c>
      <c r="C71">
        <v>2</v>
      </c>
      <c r="D71">
        <v>1</v>
      </c>
      <c r="E71">
        <v>1</v>
      </c>
      <c r="K71" t="s">
        <v>576</v>
      </c>
      <c r="M71" t="s">
        <v>484</v>
      </c>
      <c r="S71" t="s">
        <v>566</v>
      </c>
      <c r="T71" t="s">
        <v>484</v>
      </c>
    </row>
    <row r="72" spans="1:20" x14ac:dyDescent="0.3">
      <c r="A72" t="s">
        <v>993</v>
      </c>
      <c r="B72" t="s">
        <v>994</v>
      </c>
      <c r="C72">
        <v>2</v>
      </c>
      <c r="D72">
        <v>2</v>
      </c>
      <c r="E72">
        <v>1</v>
      </c>
      <c r="K72" t="s">
        <v>600</v>
      </c>
      <c r="M72" t="s">
        <v>484</v>
      </c>
    </row>
    <row r="73" spans="1:20" x14ac:dyDescent="0.3">
      <c r="A73" t="s">
        <v>995</v>
      </c>
      <c r="B73" t="s">
        <v>996</v>
      </c>
      <c r="C73">
        <v>2</v>
      </c>
      <c r="D73">
        <v>2</v>
      </c>
      <c r="E73">
        <v>1</v>
      </c>
      <c r="K73" t="s">
        <v>600</v>
      </c>
      <c r="M73" t="s">
        <v>484</v>
      </c>
    </row>
    <row r="74" spans="1:20" x14ac:dyDescent="0.3">
      <c r="A74" t="s">
        <v>997</v>
      </c>
      <c r="B74" t="s">
        <v>998</v>
      </c>
      <c r="C74">
        <v>2</v>
      </c>
      <c r="D74">
        <v>2</v>
      </c>
      <c r="E74">
        <v>1</v>
      </c>
      <c r="K74" t="s">
        <v>600</v>
      </c>
      <c r="M74" t="s">
        <v>484</v>
      </c>
    </row>
    <row r="75" spans="1:20" x14ac:dyDescent="0.3">
      <c r="A75" t="s">
        <v>761</v>
      </c>
      <c r="B75" t="s">
        <v>999</v>
      </c>
      <c r="C75">
        <v>2</v>
      </c>
      <c r="D75">
        <v>2</v>
      </c>
      <c r="E75">
        <v>1</v>
      </c>
      <c r="K75" t="s">
        <v>600</v>
      </c>
      <c r="M75" t="s">
        <v>484</v>
      </c>
    </row>
    <row r="76" spans="1:20" x14ac:dyDescent="0.3">
      <c r="A76" t="s">
        <v>1000</v>
      </c>
      <c r="B76" t="s">
        <v>983</v>
      </c>
      <c r="C76">
        <v>3</v>
      </c>
      <c r="D76">
        <v>2</v>
      </c>
      <c r="E76">
        <v>1</v>
      </c>
      <c r="K76" t="s">
        <v>577</v>
      </c>
      <c r="M76" t="s">
        <v>484</v>
      </c>
    </row>
    <row r="77" spans="1:20" x14ac:dyDescent="0.3">
      <c r="A77" t="s">
        <v>1001</v>
      </c>
      <c r="B77" t="s">
        <v>1002</v>
      </c>
      <c r="M77" t="s">
        <v>484</v>
      </c>
    </row>
    <row r="78" spans="1:20" x14ac:dyDescent="0.3">
      <c r="A78" t="s">
        <v>1003</v>
      </c>
      <c r="B78" t="s">
        <v>1004</v>
      </c>
      <c r="C78">
        <v>2</v>
      </c>
      <c r="D78">
        <v>2</v>
      </c>
      <c r="E78">
        <v>1</v>
      </c>
      <c r="M78" t="s">
        <v>484</v>
      </c>
    </row>
    <row r="79" spans="1:20" x14ac:dyDescent="0.3">
      <c r="A79" t="s">
        <v>1005</v>
      </c>
      <c r="B79" t="s">
        <v>1006</v>
      </c>
      <c r="C79">
        <v>3</v>
      </c>
      <c r="D79">
        <v>1</v>
      </c>
      <c r="E79">
        <v>1</v>
      </c>
      <c r="K79" t="s">
        <v>604</v>
      </c>
      <c r="M79" t="s">
        <v>484</v>
      </c>
    </row>
    <row r="80" spans="1:20" x14ac:dyDescent="0.3">
      <c r="A80" t="s">
        <v>1007</v>
      </c>
      <c r="B80" t="s">
        <v>1008</v>
      </c>
      <c r="C80">
        <v>0</v>
      </c>
      <c r="D80">
        <v>2</v>
      </c>
      <c r="E80">
        <v>1</v>
      </c>
      <c r="M80" t="s">
        <v>484</v>
      </c>
    </row>
    <row r="81" spans="1:20" x14ac:dyDescent="0.3">
      <c r="A81" t="s">
        <v>1009</v>
      </c>
      <c r="B81" t="s">
        <v>1010</v>
      </c>
      <c r="C81">
        <v>0</v>
      </c>
      <c r="D81">
        <v>2</v>
      </c>
      <c r="E81">
        <v>1</v>
      </c>
      <c r="M81" t="s">
        <v>484</v>
      </c>
    </row>
    <row r="82" spans="1:20" x14ac:dyDescent="0.3">
      <c r="A82" t="s">
        <v>1011</v>
      </c>
      <c r="B82" t="s">
        <v>1012</v>
      </c>
      <c r="C82">
        <v>0</v>
      </c>
      <c r="D82">
        <v>2</v>
      </c>
      <c r="E82">
        <v>1</v>
      </c>
      <c r="K82" t="s">
        <v>572</v>
      </c>
      <c r="M82" t="s">
        <v>484</v>
      </c>
    </row>
    <row r="83" spans="1:20" x14ac:dyDescent="0.3">
      <c r="A83" t="s">
        <v>1013</v>
      </c>
      <c r="B83" t="s">
        <v>1014</v>
      </c>
      <c r="C83">
        <v>0</v>
      </c>
      <c r="D83">
        <v>2</v>
      </c>
      <c r="E83">
        <v>1</v>
      </c>
      <c r="M83" t="s">
        <v>484</v>
      </c>
    </row>
    <row r="84" spans="1:20" x14ac:dyDescent="0.3">
      <c r="A84" t="s">
        <v>1015</v>
      </c>
      <c r="B84" t="s">
        <v>1016</v>
      </c>
      <c r="C84">
        <v>0</v>
      </c>
      <c r="D84">
        <v>2</v>
      </c>
      <c r="E84">
        <v>1</v>
      </c>
      <c r="M84" t="s">
        <v>484</v>
      </c>
    </row>
    <row r="85" spans="1:20" x14ac:dyDescent="0.3">
      <c r="A85" t="s">
        <v>1017</v>
      </c>
      <c r="B85" t="s">
        <v>1018</v>
      </c>
      <c r="C85">
        <v>2</v>
      </c>
      <c r="D85">
        <v>1</v>
      </c>
      <c r="E85">
        <v>1</v>
      </c>
      <c r="K85" t="s">
        <v>580</v>
      </c>
      <c r="M85" t="s">
        <v>484</v>
      </c>
    </row>
    <row r="86" spans="1:20" x14ac:dyDescent="0.3">
      <c r="A86" t="s">
        <v>1019</v>
      </c>
      <c r="B86" t="s">
        <v>1020</v>
      </c>
      <c r="C86">
        <v>3</v>
      </c>
      <c r="D86">
        <v>1</v>
      </c>
      <c r="E86">
        <v>1</v>
      </c>
      <c r="K86" t="s">
        <v>580</v>
      </c>
      <c r="M86" t="s">
        <v>484</v>
      </c>
    </row>
    <row r="87" spans="1:20" x14ac:dyDescent="0.3">
      <c r="A87" t="s">
        <v>1021</v>
      </c>
      <c r="B87" t="s">
        <v>1020</v>
      </c>
      <c r="C87">
        <v>3</v>
      </c>
      <c r="D87">
        <v>1</v>
      </c>
      <c r="E87">
        <v>1</v>
      </c>
      <c r="K87" t="s">
        <v>580</v>
      </c>
      <c r="M87" t="s">
        <v>484</v>
      </c>
    </row>
    <row r="88" spans="1:20" x14ac:dyDescent="0.3">
      <c r="A88" t="s">
        <v>1022</v>
      </c>
      <c r="B88" t="s">
        <v>1020</v>
      </c>
      <c r="C88">
        <v>3</v>
      </c>
      <c r="D88">
        <v>1</v>
      </c>
      <c r="E88">
        <v>1</v>
      </c>
      <c r="K88" t="s">
        <v>580</v>
      </c>
      <c r="M88" t="s">
        <v>484</v>
      </c>
    </row>
    <row r="89" spans="1:20" x14ac:dyDescent="0.3">
      <c r="A89" t="s">
        <v>1023</v>
      </c>
      <c r="B89" t="s">
        <v>1024</v>
      </c>
      <c r="K89" t="s">
        <v>591</v>
      </c>
      <c r="M89" t="s">
        <v>488</v>
      </c>
    </row>
    <row r="90" spans="1:20" x14ac:dyDescent="0.3">
      <c r="A90" t="s">
        <v>1025</v>
      </c>
      <c r="B90" t="s">
        <v>1026</v>
      </c>
      <c r="K90" t="s">
        <v>591</v>
      </c>
      <c r="M90" t="s">
        <v>488</v>
      </c>
    </row>
    <row r="91" spans="1:20" x14ac:dyDescent="0.3">
      <c r="A91" t="s">
        <v>743</v>
      </c>
      <c r="B91" t="s">
        <v>1027</v>
      </c>
      <c r="C91">
        <v>0</v>
      </c>
      <c r="D91">
        <v>1</v>
      </c>
      <c r="E91">
        <v>1</v>
      </c>
      <c r="M91" t="s">
        <v>484</v>
      </c>
    </row>
    <row r="92" spans="1:20" x14ac:dyDescent="0.3">
      <c r="A92" t="s">
        <v>741</v>
      </c>
      <c r="B92" t="s">
        <v>1028</v>
      </c>
      <c r="C92">
        <v>0</v>
      </c>
      <c r="D92">
        <v>1</v>
      </c>
      <c r="E92">
        <v>1</v>
      </c>
      <c r="M92" t="s">
        <v>484</v>
      </c>
    </row>
    <row r="93" spans="1:20" x14ac:dyDescent="0.3">
      <c r="A93" t="s">
        <v>1029</v>
      </c>
      <c r="B93" t="s">
        <v>1030</v>
      </c>
      <c r="C93">
        <v>0</v>
      </c>
      <c r="E93">
        <v>1</v>
      </c>
      <c r="H93">
        <v>230</v>
      </c>
      <c r="I93">
        <v>1</v>
      </c>
      <c r="L93" t="s">
        <v>547</v>
      </c>
      <c r="M93" t="s">
        <v>484</v>
      </c>
      <c r="R93" t="s">
        <v>1031</v>
      </c>
    </row>
    <row r="94" spans="1:20" x14ac:dyDescent="0.3">
      <c r="A94" t="s">
        <v>635</v>
      </c>
    </row>
    <row r="95" spans="1:20" x14ac:dyDescent="0.3">
      <c r="A95" t="s">
        <v>505</v>
      </c>
      <c r="S95" t="s">
        <v>558</v>
      </c>
      <c r="T95" t="s">
        <v>484</v>
      </c>
    </row>
    <row r="96" spans="1:20" x14ac:dyDescent="0.3">
      <c r="A96" t="s">
        <v>507</v>
      </c>
      <c r="S96" t="s">
        <v>558</v>
      </c>
      <c r="T96" t="s">
        <v>484</v>
      </c>
    </row>
  </sheetData>
  <dataValidations count="3">
    <dataValidation type="list" allowBlank="1" showInputMessage="1" sqref="O4:O96" xr:uid="{5B048935-C787-418D-BC5A-51FFBEC06CBE}">
      <formula1>"B,C,D"</formula1>
    </dataValidation>
    <dataValidation type="list" allowBlank="1" showInputMessage="1" sqref="P4:P96" xr:uid="{A40D1A4D-7298-418E-BF9A-68303AD42EFC}">
      <formula1>"дифавтомат,УЗО на группу,нет"</formula1>
    </dataValidation>
    <dataValidation type="list" allowBlank="1" showInputMessage="1" sqref="Q4:Q96" xr:uid="{E84A186A-19C0-4801-9FA6-3866019D7158}">
      <formula1>"Relay,DIM,DALI,шторы,клапан"</formula1>
    </dataValidation>
  </dataValidations>
  <pageMargins left="0.7" right="0.7" top="0.75" bottom="0.75" header="0.3" footer="0.3"/>
  <legacyDrawing r:id="rId1"/>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69DFF-9FEA-48F5-9581-85BB0D508E1C}">
  <sheetPr codeName="Лист7">
    <tabColor rgb="FF4F81BD"/>
  </sheetPr>
  <dimension ref="B1:AC400"/>
  <sheetViews>
    <sheetView workbookViewId="0"/>
  </sheetViews>
  <sheetFormatPr defaultRowHeight="14.4" x14ac:dyDescent="0.3"/>
  <cols>
    <col min="1" max="1" width="2.77734375" customWidth="1"/>
    <col min="2" max="2" width="7.77734375" customWidth="1"/>
    <col min="3" max="3" width="5.77734375" customWidth="1"/>
    <col min="4" max="4" width="15.77734375" customWidth="1"/>
    <col min="5" max="5" width="10.77734375" customWidth="1"/>
    <col min="6" max="7" width="8.77734375" customWidth="1"/>
    <col min="8" max="8" width="44.77734375" customWidth="1"/>
    <col min="9" max="9" width="34.77734375" customWidth="1"/>
    <col min="10" max="10" width="18.77734375" customWidth="1"/>
    <col min="11" max="11" width="3.77734375" customWidth="1"/>
    <col min="12" max="12" width="14.77734375" customWidth="1"/>
    <col min="13" max="20" width="15.77734375" customWidth="1"/>
    <col min="27" max="29" width="0" hidden="1" customWidth="1"/>
  </cols>
  <sheetData>
    <row r="1" spans="2:29" ht="18" x14ac:dyDescent="0.35">
      <c r="B1" s="112" t="s">
        <v>1843</v>
      </c>
    </row>
    <row r="2" spans="2:29" x14ac:dyDescent="0.3">
      <c r="AA2" t="s">
        <v>1751</v>
      </c>
      <c r="AB2" t="s">
        <v>1752</v>
      </c>
      <c r="AC2" t="s">
        <v>1844</v>
      </c>
    </row>
    <row r="3" spans="2:29" x14ac:dyDescent="0.3">
      <c r="B3" s="36" t="s">
        <v>1750</v>
      </c>
      <c r="C3" s="128" t="s">
        <v>783</v>
      </c>
      <c r="E3" s="120" t="str" cm="1">
        <f t="array" ref="E3">_xlfn.LET(_xlpm.щ,$C$3,_xlpm.X,_xlfn.LAMBDA(_xlpm.h,_xlfn.XLOOKUP(_xlpm.щ,Щиты[Щит],_xlpm.h,"")),"Питается от: "&amp;IF(_xlpm.X(Щиты[Питается от (итог)])="","—",_xlpm.X(Щиты[Питается от (итог)]))&amp;"   ·   вводов: "&amp;_xlpm.X(Щиты[Вводов])&amp;"   ·   АВР: "&amp;_xlpm.X(Щиты[АВР])&amp;"   ·   мест под вводной узел: "&amp;IF(_xlpm.X(Щиты[Мест под вводной узел])="",Столбцов_на_лист,_xlpm.X(Щиты[Мест под вводной узел]))&amp;"   ·   замечаний: "&amp;COUNTIFS(Линии[Щит],_xlpm.щ,Линии[Замечания],"?*"))</f>
        <v>Питается от: —   ·   вводов: 2   ·   АВР: да   ·   мест под вводной узел: 6   ·   замечаний: 5</v>
      </c>
      <c r="AA3" cm="1">
        <f t="array" ref="AA3:AA352">--(ISNUMBER(SEARCH("|"&amp;$C$3&amp;"|",Линии[_путь щита]))*(Линии[Номер линии]&lt;&gt;""))</f>
        <v>1</v>
      </c>
      <c r="AB3" t="str" cm="1">
        <f t="array" ref="AB3:AB352">IFERROR(_xlfn.TEXTBEFORE(_xlfn.TEXTAFTER(Линии[_путь щита],"|"&amp;$C$3&amp;"|"),"|"),"")</f>
        <v/>
      </c>
      <c r="AC3" t="str" cm="1">
        <f t="array" ref="AC3:AC352">IF(_xlfn.ANCHORARRAY(AB3)="",Линии[Источник для режимов],_xlfn.XLOOKUP(_xlfn.ANCHORARRAY(AB3),Щиты[Щит],Щиты[Источник фидера],"Ввод 1"))</f>
        <v>Ввод 1</v>
      </c>
    </row>
    <row r="4" spans="2:29" x14ac:dyDescent="0.3">
      <c r="AA4">
        <v>1</v>
      </c>
      <c r="AB4" t="str">
        <v/>
      </c>
      <c r="AC4" t="str">
        <v>Ввод 2</v>
      </c>
    </row>
    <row r="5" spans="2:29" x14ac:dyDescent="0.3">
      <c r="B5" s="36" t="s">
        <v>1845</v>
      </c>
      <c r="L5" s="36" t="s">
        <v>1850</v>
      </c>
      <c r="AA5">
        <v>1</v>
      </c>
      <c r="AB5" t="str">
        <v/>
      </c>
      <c r="AC5" t="str">
        <v>Ввод 1</v>
      </c>
    </row>
    <row r="6" spans="2:29" ht="72" x14ac:dyDescent="0.3">
      <c r="B6" s="123" t="s">
        <v>857</v>
      </c>
      <c r="C6" s="123" t="s">
        <v>869</v>
      </c>
      <c r="D6" s="123" t="s">
        <v>1846</v>
      </c>
      <c r="E6" s="123" t="s">
        <v>439</v>
      </c>
      <c r="F6" s="123" t="s">
        <v>1847</v>
      </c>
      <c r="G6" s="123" t="s">
        <v>1848</v>
      </c>
      <c r="H6" s="123" t="s">
        <v>1849</v>
      </c>
      <c r="I6" s="123" t="s">
        <v>9</v>
      </c>
      <c r="J6" s="123" t="s">
        <v>7</v>
      </c>
      <c r="L6" s="121" t="s">
        <v>52</v>
      </c>
      <c r="M6" s="36" t="str" cm="1">
        <f t="array" ref="M6:N15">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щ,$C$3,_xlpm.inp,(Линии[Щит]=_xlpm.щ)*(Линии[_ввод щита]=1),_xlpm.k_,SUM(_xlpm.inp),_xlpm.nm,IF(_xlpm.k_=0,"Щит "&amp;_xlpm.щ,_xlfn._xlws.FILTER(Линии[Номер линии],_xlpm.inp,"")),_xlpm.srcs,IF(_xlpm.k_=0,"*",_xlfn._xlws.FILTER(Линии[Источник для режимов],_xlpm.inp,"")),_xlpm.cats,IF(_xlpm.k_=0,_xlfn.XLOOKUP(_xlpm.щ,Щиты[Щит],Щиты[Категория шины «Ввод»],""),_xlfn._xlws.FILTER(Линии[Категория ввода (итог)],_xlpm.inp,"")),_xlpm.own,(Линии[Щит]=_xlpm.щ)*(Линии[Группа Кс (итог)]&lt;&gt;"Нет")*(Линии[Номер линии]&lt;&gt;""),_xlpm.ph,Линии[_фаза итог],_xlpm.pw,IFERROR(--Линии[_Р линии, кВт],0),_xlpm.ибп,IF(SUM(_xlpm.inp*(Линии[Источник для режимов]="ИБП"))&gt;0,"",_xlfn.LET(_xlpm.u_,_xlfn.XLOOKUP(_xlpm.щ,Щиты[Щит],Щиты[ИБП от],"")&amp;"",IF(_xlpm.u_="","Ввод 1",_xlpm.u_))),_xlpm.col,_xlfn.LAMBDA(_xlpm.j,_xlfn.LET(_xlpm.s,INDEX(_xlpm.srcs,_xlpm.j),_xlpm.m,_xlfn.ANCHORARRAY(AA3)*IF(_xlpm.s="*",1,((_xlfn.ANCHORARRAY(AC3)=_xlpm.s)+(_xlfn.ANCHORARRAY(AC3)="ИБП")*(_xlpm.ибп=_xlpm.s))&gt;0),_xlpm.x,_xlpm.РАСЧЁТ(_xlpm.m,0,0),_xlpm.o,_xlpm.own*IF(_xlpm.s="*",1,((Линии[Источник для режимов]=_xlpm.s)+(Линии[Источник для режимов]="ИБП")*(_xlpm.ибп=_xlpm.s))&gt;0),_xlpm.ф1,SUM(_xlpm.o*_xlpm.pw*((_xlpm.ph="L1,L2,L3")/3+(_xlpm.ph="L1"))),_xlpm.ф2,SUM(_xlpm.o*_xlpm.pw*((_xlpm.ph="L1,L2,L3")/3+(_xlpm.ph="L2"))),_xlpm.ф3,SUM(_xlpm.o*_xlpm.pw*((_xlpm.ph="L1,L2,L3")/3+(_xlpm.ph="L3"))),_xlpm.фс,_xlpm.ф1+_xlpm.ф2+_xlpm.ф3,_xlpm.рр,INDEX(_xlpm.x,5),_xlpm.кт,INDEX(_xlpm.cats,_xlpm.j),_xlfn.VSTACK(INDEX(_xlpm.nm,_xlpm.j),IF(_xlpm.кт="I особая","I особой категории",IF(_xlpm.кт="","",_xlpm.кт&amp;" категории")),INDEX(_xlpm.x,1),_xlpm.рр,INDEX(_xlpm.x,8),INDEX(_xlpm.x,3),INDEX(_xlpm.x,2),IF(_xlpm.фс=0,0,_xlpm.рр*_xlpm.ф1/_xlpm.фс),IF(_xlpm.фс=0,0,_xlpm.рр*_xlpm.ф2/_xlpm.фс),IF(_xlpm.фс=0,0,_xlpm.рр*_xlpm.ф3/_xlpm.фс)))),IF(ROWS(_xlpm.srcs)=1,_xlpm.col(1),_xlfn.REDUCE(_xlpm.col(1),_xlfn.SEQUENCE(ROWS(_xlpm.srcs)-1,1,2),_xlfn.LAMBDA(_xlpm.acc,_xlpm.j,_xlfn.HSTACK(_xlpm.acc,_xlpm.col(_xlpm.j))))))</f>
        <v>Ввод.1</v>
      </c>
      <c r="N6" s="36" t="str">
        <v>Ввод.2</v>
      </c>
      <c r="O6" s="36"/>
      <c r="P6" s="36"/>
      <c r="Q6" s="36"/>
      <c r="R6" s="36"/>
      <c r="S6" s="36"/>
      <c r="T6" s="36"/>
      <c r="AA6">
        <v>1</v>
      </c>
      <c r="AB6" t="str">
        <v/>
      </c>
      <c r="AC6" t="str">
        <v>Ввод 2</v>
      </c>
    </row>
    <row r="7" spans="2:29" x14ac:dyDescent="0.3">
      <c r="B7" cm="1">
        <f t="array" ref="B7:J44">_xlfn.LET(_xlpm.щ,$C$3,_xlpm.m,(Линии[Щит]=_xlpm.щ)*ISNUMBER(Линии[_№ места (итог)]),IF(SUM(_xlpm.m)=0,"в щите нет строк на схеме",_xlfn.LET(_xlpm.pos,_xlfn._xlws.FILTER(Линии[_№ места (итог)],_xlpm.m),_xlpm.n,MAX(_xlpm.pos),_xlpm.k,_xlfn.SEQUENCE(_xlpm.n),_xlpm.f,_xlfn.LAMBDA(_xlpm.c_,_xlfn.LET(_xlpm.v,_xlfn.XLOOKUP(_xlpm.k,_xlpm.pos,_xlfn._xlws.FILTER(_xlpm.c_,_xlpm.m),""),IF(_xlpm.v="","",_xlpm.v))),_xlfn.HSTACK(_xlpm.k,INT((_xlpm.k-1)/Столбцов_на_лист)+1,_xlpm.f(Линии[Номер линии]),_xlpm.f(Линии[_фаза итог]),_xlpm.f(Линии[_Р схемы]),_xlpm.f(Линии[_Ток схемы]),_xlpm.f(Линии[Наименование (итог)]),_xlpm.f(Линии[Кабель (строкой)]),_xlpm.f(Линии[_автомат гр.])))))</f>
        <v>1</v>
      </c>
      <c r="C7">
        <v>1</v>
      </c>
      <c r="D7" t="str">
        <v/>
      </c>
      <c r="E7" t="str">
        <v/>
      </c>
      <c r="F7" s="6" t="str">
        <v/>
      </c>
      <c r="G7" s="6" t="str">
        <v/>
      </c>
      <c r="H7" t="str">
        <v/>
      </c>
      <c r="I7" t="str">
        <v/>
      </c>
      <c r="J7" t="str">
        <v/>
      </c>
      <c r="L7" s="121" t="s">
        <v>813</v>
      </c>
      <c r="M7" s="36" t="str">
        <v>I категории</v>
      </c>
      <c r="N7" s="36" t="str">
        <v>I категории</v>
      </c>
      <c r="O7" s="36"/>
      <c r="P7" s="36"/>
      <c r="Q7" s="36"/>
      <c r="R7" s="36"/>
      <c r="S7" s="36"/>
      <c r="T7" s="36"/>
      <c r="AA7">
        <v>1</v>
      </c>
      <c r="AB7" t="str">
        <v/>
      </c>
      <c r="AC7" t="str">
        <v>Ввод 1</v>
      </c>
    </row>
    <row r="8" spans="2:29" x14ac:dyDescent="0.3">
      <c r="B8">
        <v>2</v>
      </c>
      <c r="C8">
        <v>1</v>
      </c>
      <c r="D8" t="str">
        <v>Ввод.1</v>
      </c>
      <c r="E8" t="str">
        <v>L1,L2,L3</v>
      </c>
      <c r="F8" s="6">
        <v>526.28100000000018</v>
      </c>
      <c r="G8" s="6">
        <v>482.46999999999997</v>
      </c>
      <c r="H8" t="str">
        <v>Основной ввод в дом №1</v>
      </c>
      <c r="I8" t="str">
        <v/>
      </c>
      <c r="J8" t="str">
        <v>3P С630А</v>
      </c>
      <c r="L8" s="121" t="s">
        <v>803</v>
      </c>
      <c r="M8" s="6">
        <v>264.38100000000054</v>
      </c>
      <c r="N8" s="6">
        <v>261.90000000000026</v>
      </c>
      <c r="O8" s="6"/>
      <c r="P8" s="6"/>
      <c r="Q8" s="6"/>
      <c r="R8" s="6"/>
      <c r="S8" s="6"/>
      <c r="T8" s="6"/>
      <c r="AA8">
        <v>1</v>
      </c>
      <c r="AB8" t="str">
        <v/>
      </c>
      <c r="AC8" t="str">
        <v>Ввод 2</v>
      </c>
    </row>
    <row r="9" spans="2:29" x14ac:dyDescent="0.3">
      <c r="B9">
        <v>3</v>
      </c>
      <c r="C9">
        <v>1</v>
      </c>
      <c r="D9" t="str">
        <v/>
      </c>
      <c r="E9" t="str">
        <v/>
      </c>
      <c r="F9" s="6" t="str">
        <v/>
      </c>
      <c r="G9" s="6" t="str">
        <v/>
      </c>
      <c r="H9" t="str">
        <v/>
      </c>
      <c r="I9" t="str">
        <v/>
      </c>
      <c r="J9" t="str">
        <v/>
      </c>
      <c r="L9" s="121" t="s">
        <v>841</v>
      </c>
      <c r="M9" s="6">
        <v>160.25879800000013</v>
      </c>
      <c r="N9" s="6">
        <v>123.46402199999999</v>
      </c>
      <c r="O9" s="6"/>
      <c r="P9" s="6"/>
      <c r="Q9" s="6"/>
      <c r="R9" s="6"/>
      <c r="S9" s="6"/>
      <c r="T9" s="6"/>
      <c r="AA9">
        <v>1</v>
      </c>
      <c r="AB9" t="str">
        <v/>
      </c>
      <c r="AC9" t="str">
        <v>Ввод 1</v>
      </c>
    </row>
    <row r="10" spans="2:29" x14ac:dyDescent="0.3">
      <c r="B10">
        <v>4</v>
      </c>
      <c r="C10">
        <v>1</v>
      </c>
      <c r="D10" t="str">
        <v>Ввод.2</v>
      </c>
      <c r="E10" t="str">
        <v>L1,L2,L3</v>
      </c>
      <c r="F10" s="6">
        <v>526.28100000000018</v>
      </c>
      <c r="G10" s="6">
        <v>482.46999999999997</v>
      </c>
      <c r="H10" t="str">
        <v>Основной ввод в дом №2</v>
      </c>
      <c r="I10" t="str">
        <v/>
      </c>
      <c r="J10" t="str">
        <v>3P С630А</v>
      </c>
      <c r="L10" s="121" t="s">
        <v>805</v>
      </c>
      <c r="M10" s="6">
        <v>276.17861154518368</v>
      </c>
      <c r="N10" s="6">
        <v>217.28974004547453</v>
      </c>
      <c r="O10" s="6"/>
      <c r="P10" s="6"/>
      <c r="Q10" s="6"/>
      <c r="R10" s="6"/>
      <c r="S10" s="6"/>
      <c r="T10" s="6"/>
      <c r="AA10">
        <v>1</v>
      </c>
      <c r="AB10" t="str">
        <v/>
      </c>
      <c r="AC10" t="str">
        <v>Ввод 1</v>
      </c>
    </row>
    <row r="11" spans="2:29" x14ac:dyDescent="0.3">
      <c r="B11">
        <v>5</v>
      </c>
      <c r="C11">
        <v>1</v>
      </c>
      <c r="D11" t="str">
        <v/>
      </c>
      <c r="E11" t="str">
        <v/>
      </c>
      <c r="F11" s="6" t="str">
        <v/>
      </c>
      <c r="G11" s="6" t="str">
        <v/>
      </c>
      <c r="H11" t="str">
        <v/>
      </c>
      <c r="I11" t="str">
        <v/>
      </c>
      <c r="J11" t="str">
        <v/>
      </c>
      <c r="L11" s="121" t="s">
        <v>801</v>
      </c>
      <c r="M11" s="6">
        <v>0.83755092083016436</v>
      </c>
      <c r="N11" s="6">
        <v>0.82012600229094945</v>
      </c>
      <c r="O11" s="6"/>
      <c r="P11" s="6"/>
      <c r="Q11" s="6"/>
      <c r="R11" s="6"/>
      <c r="S11" s="6"/>
      <c r="T11" s="6"/>
      <c r="AA11">
        <v>1</v>
      </c>
      <c r="AB11" t="str">
        <v/>
      </c>
      <c r="AC11" t="str">
        <v>Ввод 2</v>
      </c>
    </row>
    <row r="12" spans="2:29" x14ac:dyDescent="0.3">
      <c r="B12">
        <v>6</v>
      </c>
      <c r="C12">
        <v>1</v>
      </c>
      <c r="D12" t="str">
        <v/>
      </c>
      <c r="E12" t="str">
        <v/>
      </c>
      <c r="F12" s="6" t="str">
        <v/>
      </c>
      <c r="G12" s="6" t="str">
        <v/>
      </c>
      <c r="H12" t="str">
        <v/>
      </c>
      <c r="I12" t="str">
        <v/>
      </c>
      <c r="J12" t="str">
        <v/>
      </c>
      <c r="L12" s="121" t="s">
        <v>529</v>
      </c>
      <c r="M12" s="6">
        <v>0.6061660936300256</v>
      </c>
      <c r="N12" s="6">
        <v>0.47141665521191239</v>
      </c>
      <c r="O12" s="6"/>
      <c r="P12" s="6"/>
      <c r="Q12" s="6"/>
      <c r="R12" s="6"/>
      <c r="S12" s="6"/>
      <c r="T12" s="6"/>
      <c r="AA12">
        <v>1</v>
      </c>
      <c r="AB12" t="str">
        <v/>
      </c>
      <c r="AC12" t="str">
        <v>Ввод 1</v>
      </c>
    </row>
    <row r="13" spans="2:29" x14ac:dyDescent="0.3">
      <c r="B13">
        <v>7</v>
      </c>
      <c r="C13">
        <v>1</v>
      </c>
      <c r="D13" t="str">
        <v>ЩСПЗ-ЖД.1</v>
      </c>
      <c r="E13" t="str">
        <v>L2</v>
      </c>
      <c r="F13" s="6">
        <v>1.6</v>
      </c>
      <c r="G13" s="6">
        <v>3.65</v>
      </c>
      <c r="H13" t="str">
        <v>Щит системы противопожарной защиты Цокольный этаж этаж Пом. №001Т Ввод.1</v>
      </c>
      <c r="I13" t="str">
        <v>ВВГнг(А)-FRLS (3х2,5) L=15-0,41%</v>
      </c>
      <c r="J13" t="str">
        <v>1P С10А</v>
      </c>
      <c r="L13" s="121" t="s">
        <v>1851</v>
      </c>
      <c r="M13" s="6">
        <v>53.096310750064028</v>
      </c>
      <c r="N13" s="6">
        <v>41.164102333104232</v>
      </c>
      <c r="O13" s="6"/>
      <c r="P13" s="6"/>
      <c r="Q13" s="6"/>
      <c r="R13" s="6"/>
      <c r="S13" s="6"/>
      <c r="T13" s="6"/>
      <c r="AA13">
        <v>1</v>
      </c>
      <c r="AB13" t="str">
        <v/>
      </c>
      <c r="AC13" t="str">
        <v>Ввод 1</v>
      </c>
    </row>
    <row r="14" spans="2:29" x14ac:dyDescent="0.3">
      <c r="B14">
        <v>8</v>
      </c>
      <c r="C14">
        <v>1</v>
      </c>
      <c r="D14" t="str">
        <v>ЩСПЗ-ЖД.2</v>
      </c>
      <c r="E14" t="str">
        <v>L1</v>
      </c>
      <c r="F14" s="6">
        <v>0</v>
      </c>
      <c r="G14" s="6">
        <v>0</v>
      </c>
      <c r="H14" t="str">
        <v>Щит системы противопожарной защиты Цокольный этаж этаж Пом. №001Т Ввод.2</v>
      </c>
      <c r="I14" t="str">
        <v>ВВГнг(А)-FRLS (3х2,5) L=15-0%</v>
      </c>
      <c r="J14" t="str">
        <v>1P С10А</v>
      </c>
      <c r="L14" s="121" t="s">
        <v>1852</v>
      </c>
      <c r="M14" s="6">
        <v>54.066176499872064</v>
      </c>
      <c r="N14" s="6">
        <v>40.711542344100799</v>
      </c>
      <c r="O14" s="6"/>
      <c r="P14" s="6"/>
      <c r="Q14" s="6"/>
      <c r="R14" s="6"/>
      <c r="S14" s="6"/>
      <c r="T14" s="6"/>
      <c r="AA14">
        <v>1</v>
      </c>
      <c r="AB14" t="str">
        <v/>
      </c>
      <c r="AC14" t="str">
        <v>Ввод 2</v>
      </c>
    </row>
    <row r="15" spans="2:29" x14ac:dyDescent="0.3">
      <c r="B15">
        <v>9</v>
      </c>
      <c r="C15">
        <v>1</v>
      </c>
      <c r="D15" t="str">
        <v/>
      </c>
      <c r="E15" t="str">
        <v/>
      </c>
      <c r="F15" s="6" t="str">
        <v/>
      </c>
      <c r="G15" s="6" t="str">
        <v/>
      </c>
      <c r="H15" t="str">
        <v/>
      </c>
      <c r="I15" t="str">
        <v/>
      </c>
      <c r="J15" t="str">
        <v/>
      </c>
      <c r="L15" s="121" t="s">
        <v>1853</v>
      </c>
      <c r="M15" s="6">
        <v>53.096310750064028</v>
      </c>
      <c r="N15" s="6">
        <v>41.588377322794962</v>
      </c>
      <c r="O15" s="6"/>
      <c r="P15" s="6"/>
      <c r="Q15" s="6"/>
      <c r="R15" s="6"/>
      <c r="S15" s="6"/>
      <c r="T15" s="6"/>
      <c r="AA15">
        <v>1</v>
      </c>
      <c r="AB15" t="str">
        <v/>
      </c>
      <c r="AC15" t="str">
        <v>Ввод 1</v>
      </c>
    </row>
    <row r="16" spans="2:29" x14ac:dyDescent="0.3">
      <c r="B16">
        <v>10</v>
      </c>
      <c r="C16">
        <v>1</v>
      </c>
      <c r="D16" t="str">
        <v/>
      </c>
      <c r="E16" t="str">
        <v/>
      </c>
      <c r="F16" s="6" t="str">
        <v/>
      </c>
      <c r="G16" s="6" t="str">
        <v/>
      </c>
      <c r="H16" t="str">
        <v/>
      </c>
      <c r="I16" t="str">
        <v/>
      </c>
      <c r="J16" t="str">
        <v/>
      </c>
      <c r="AA16">
        <v>1</v>
      </c>
      <c r="AB16" t="str">
        <v/>
      </c>
      <c r="AC16" t="str">
        <v>Ввод 1</v>
      </c>
    </row>
    <row r="17" spans="2:29" x14ac:dyDescent="0.3">
      <c r="B17">
        <v>11</v>
      </c>
      <c r="C17">
        <v>1</v>
      </c>
      <c r="D17" t="str">
        <v/>
      </c>
      <c r="E17" t="str">
        <v/>
      </c>
      <c r="F17" s="6" t="str">
        <v/>
      </c>
      <c r="G17" s="6" t="str">
        <v/>
      </c>
      <c r="H17" t="str">
        <v/>
      </c>
      <c r="I17" t="str">
        <v/>
      </c>
      <c r="J17" t="str">
        <v/>
      </c>
      <c r="L17" s="139" t="s">
        <v>1854</v>
      </c>
      <c r="M17" s="138"/>
      <c r="N17" s="138"/>
      <c r="O17" s="138"/>
      <c r="P17" s="138"/>
      <c r="AA17">
        <v>1</v>
      </c>
      <c r="AB17" t="str">
        <v/>
      </c>
      <c r="AC17" t="str">
        <v>Ввод 2</v>
      </c>
    </row>
    <row r="18" spans="2:29" x14ac:dyDescent="0.3">
      <c r="B18">
        <v>12</v>
      </c>
      <c r="C18">
        <v>1</v>
      </c>
      <c r="D18" t="str">
        <v/>
      </c>
      <c r="E18" t="str">
        <v/>
      </c>
      <c r="F18" s="6" t="str">
        <v/>
      </c>
      <c r="G18" s="6" t="str">
        <v/>
      </c>
      <c r="H18" t="str">
        <v/>
      </c>
      <c r="I18" t="str">
        <v/>
      </c>
      <c r="J18" t="str">
        <v/>
      </c>
      <c r="L18" s="138"/>
      <c r="M18" s="138"/>
      <c r="N18" s="138"/>
      <c r="O18" s="138"/>
      <c r="P18" s="138"/>
      <c r="AA18">
        <v>1</v>
      </c>
      <c r="AB18" t="str">
        <v/>
      </c>
      <c r="AC18" t="str">
        <v>Ввод 2</v>
      </c>
    </row>
    <row r="19" spans="2:29" x14ac:dyDescent="0.3">
      <c r="B19">
        <v>13</v>
      </c>
      <c r="C19">
        <v>1</v>
      </c>
      <c r="D19" t="str">
        <v/>
      </c>
      <c r="E19" t="str">
        <v/>
      </c>
      <c r="F19" s="6" t="str">
        <v/>
      </c>
      <c r="G19" s="6" t="str">
        <v/>
      </c>
      <c r="H19" t="str">
        <v/>
      </c>
      <c r="I19" t="str">
        <v/>
      </c>
      <c r="J19" t="str">
        <v/>
      </c>
      <c r="L19" s="138"/>
      <c r="M19" s="138"/>
      <c r="N19" s="138"/>
      <c r="O19" s="138"/>
      <c r="P19" s="138"/>
      <c r="AA19">
        <v>1</v>
      </c>
      <c r="AB19" t="str">
        <v/>
      </c>
      <c r="AC19" t="str">
        <v>Ввод 2</v>
      </c>
    </row>
    <row r="20" spans="2:29" x14ac:dyDescent="0.3">
      <c r="B20">
        <v>14</v>
      </c>
      <c r="C20">
        <v>1</v>
      </c>
      <c r="D20" t="str">
        <v/>
      </c>
      <c r="E20" t="str">
        <v/>
      </c>
      <c r="F20" s="6" t="str">
        <v/>
      </c>
      <c r="G20" s="6" t="str">
        <v/>
      </c>
      <c r="H20" t="str">
        <v/>
      </c>
      <c r="I20" t="str">
        <v/>
      </c>
      <c r="J20" t="str">
        <v/>
      </c>
      <c r="L20" s="138"/>
      <c r="M20" s="138"/>
      <c r="N20" s="138"/>
      <c r="O20" s="138"/>
      <c r="P20" s="138"/>
      <c r="AA20">
        <v>1</v>
      </c>
      <c r="AB20" t="str">
        <v/>
      </c>
      <c r="AC20" t="str">
        <v>Ввод 1</v>
      </c>
    </row>
    <row r="21" spans="2:29" x14ac:dyDescent="0.3">
      <c r="B21">
        <v>15</v>
      </c>
      <c r="C21">
        <v>1</v>
      </c>
      <c r="D21" t="str">
        <v/>
      </c>
      <c r="E21" t="str">
        <v/>
      </c>
      <c r="F21" s="6" t="str">
        <v/>
      </c>
      <c r="G21" s="6" t="str">
        <v/>
      </c>
      <c r="H21" t="str">
        <v/>
      </c>
      <c r="I21" t="str">
        <v/>
      </c>
      <c r="J21" t="str">
        <v/>
      </c>
      <c r="L21" s="138"/>
      <c r="M21" s="138"/>
      <c r="N21" s="138"/>
      <c r="O21" s="138"/>
      <c r="P21" s="138"/>
      <c r="AA21">
        <v>1</v>
      </c>
      <c r="AB21" t="str">
        <v/>
      </c>
      <c r="AC21" t="str">
        <v>Ввод 1</v>
      </c>
    </row>
    <row r="22" spans="2:29" x14ac:dyDescent="0.3">
      <c r="B22">
        <v>16</v>
      </c>
      <c r="C22">
        <v>1</v>
      </c>
      <c r="D22" t="str">
        <v/>
      </c>
      <c r="E22" t="str">
        <v/>
      </c>
      <c r="F22" s="6" t="str">
        <v/>
      </c>
      <c r="G22" s="6" t="str">
        <v/>
      </c>
      <c r="H22" t="str">
        <v/>
      </c>
      <c r="I22" t="str">
        <v/>
      </c>
      <c r="J22" t="str">
        <v/>
      </c>
      <c r="L22" s="138"/>
      <c r="M22" s="138"/>
      <c r="N22" s="138"/>
      <c r="O22" s="138"/>
      <c r="P22" s="138"/>
      <c r="AA22">
        <v>1</v>
      </c>
      <c r="AB22" t="str">
        <v/>
      </c>
      <c r="AC22" t="str">
        <v>Ввод 1</v>
      </c>
    </row>
    <row r="23" spans="2:29" x14ac:dyDescent="0.3">
      <c r="B23">
        <v>17</v>
      </c>
      <c r="C23">
        <v>1</v>
      </c>
      <c r="D23" t="str">
        <v/>
      </c>
      <c r="E23" t="str">
        <v/>
      </c>
      <c r="F23" s="6" t="str">
        <v/>
      </c>
      <c r="G23" s="6" t="str">
        <v/>
      </c>
      <c r="H23" t="str">
        <v/>
      </c>
      <c r="I23" t="str">
        <v/>
      </c>
      <c r="J23" t="str">
        <v/>
      </c>
      <c r="AA23">
        <v>1</v>
      </c>
      <c r="AB23" t="str">
        <v/>
      </c>
      <c r="AC23" t="str">
        <v>Ввод 2</v>
      </c>
    </row>
    <row r="24" spans="2:29" x14ac:dyDescent="0.3">
      <c r="B24">
        <v>18</v>
      </c>
      <c r="C24">
        <v>2</v>
      </c>
      <c r="D24" t="str">
        <v/>
      </c>
      <c r="E24" t="str">
        <v/>
      </c>
      <c r="F24" s="6" t="str">
        <v/>
      </c>
      <c r="G24" s="6" t="str">
        <v/>
      </c>
      <c r="H24" t="str">
        <v/>
      </c>
      <c r="I24" t="str">
        <v/>
      </c>
      <c r="J24" t="str">
        <v/>
      </c>
      <c r="AA24">
        <v>1</v>
      </c>
      <c r="AB24" t="str">
        <v/>
      </c>
      <c r="AC24" t="str">
        <v>Ввод 2</v>
      </c>
    </row>
    <row r="25" spans="2:29" x14ac:dyDescent="0.3">
      <c r="B25">
        <v>19</v>
      </c>
      <c r="C25">
        <v>2</v>
      </c>
      <c r="D25" t="str">
        <v>ЩОВ-01</v>
      </c>
      <c r="E25" t="str">
        <v>L1,L2,L3</v>
      </c>
      <c r="F25" s="6">
        <v>13.172999999999996</v>
      </c>
      <c r="G25" s="6">
        <v>11.93</v>
      </c>
      <c r="H25" t="str">
        <v>Щит вентиляции ЩОВ-01 Цокольный этаж этаж Пом. №0.001Тб</v>
      </c>
      <c r="I25" t="str">
        <v>ВВГнг(А)-LS (5х6) L=15-0,24%</v>
      </c>
      <c r="J25" t="str">
        <v>3P С25А</v>
      </c>
      <c r="AA25">
        <v>1</v>
      </c>
      <c r="AB25" t="str">
        <v/>
      </c>
      <c r="AC25" t="str">
        <v>Ввод 1</v>
      </c>
    </row>
    <row r="26" spans="2:29" x14ac:dyDescent="0.3">
      <c r="B26">
        <v>20</v>
      </c>
      <c r="C26">
        <v>2</v>
      </c>
      <c r="D26" t="str">
        <v>ЩОВ-001</v>
      </c>
      <c r="E26" t="str">
        <v>L1,L2,L3</v>
      </c>
      <c r="F26" s="6">
        <v>211.22</v>
      </c>
      <c r="G26" s="6">
        <v>190.6</v>
      </c>
      <c r="H26" t="str">
        <v>Щит вентиляции ЩОВ-001 Подвальный этаж этаж Пом. №00.006Т</v>
      </c>
      <c r="I26" t="str">
        <v>5хВВГнг(А)-LS  (1х185) L=58-0,64%</v>
      </c>
      <c r="J26" t="str">
        <v>3P С400А</v>
      </c>
      <c r="AA26">
        <v>1</v>
      </c>
      <c r="AB26" t="str">
        <v>ЩГП</v>
      </c>
      <c r="AC26" t="str">
        <v>Ввод 1</v>
      </c>
    </row>
    <row r="27" spans="2:29" x14ac:dyDescent="0.3">
      <c r="B27">
        <v>21</v>
      </c>
      <c r="C27">
        <v>2</v>
      </c>
      <c r="D27" t="str">
        <v>ЩОВ-002</v>
      </c>
      <c r="E27" t="str">
        <v>L1,L2,L3</v>
      </c>
      <c r="F27" s="6">
        <v>6.99</v>
      </c>
      <c r="G27" s="6">
        <v>8.1199999999999992</v>
      </c>
      <c r="H27" t="str">
        <v>Щит вентиляции ЩОВ-002 Подвальный этаж этаж Пом. №00.003Т</v>
      </c>
      <c r="I27" t="str">
        <v>ВВГнг(А)-LS (5х4) L=46-0,74%</v>
      </c>
      <c r="J27" t="str">
        <v>3P С16А</v>
      </c>
      <c r="AA27">
        <v>1</v>
      </c>
      <c r="AB27" t="str">
        <v>ЩГП</v>
      </c>
      <c r="AC27" t="str">
        <v>Ввод 1</v>
      </c>
    </row>
    <row r="28" spans="2:29" x14ac:dyDescent="0.3">
      <c r="B28">
        <v>22</v>
      </c>
      <c r="C28">
        <v>2</v>
      </c>
      <c r="D28" t="str">
        <v>ЩОВ-2</v>
      </c>
      <c r="E28" t="str">
        <v>L1,L2,L3</v>
      </c>
      <c r="F28" s="6">
        <v>11.093000000000002</v>
      </c>
      <c r="G28" s="6">
        <v>10.29</v>
      </c>
      <c r="H28" t="str">
        <v>Щит вентиляции ЩОВ-2 Техэтаж этаж Пом. №3.001Т</v>
      </c>
      <c r="I28" t="str">
        <v>ВВГнг(А)-LS (5х4) L=56-1,14%</v>
      </c>
      <c r="J28" t="str">
        <v>3P С20А</v>
      </c>
      <c r="AA28">
        <v>1</v>
      </c>
      <c r="AB28" t="str">
        <v>ЩГП</v>
      </c>
      <c r="AC28" t="str">
        <v>Ввод 1</v>
      </c>
    </row>
    <row r="29" spans="2:29" x14ac:dyDescent="0.3">
      <c r="B29">
        <v>23</v>
      </c>
      <c r="C29">
        <v>2</v>
      </c>
      <c r="D29" t="str">
        <v>ЩО-2</v>
      </c>
      <c r="E29" t="str">
        <v>L1,L2,L3</v>
      </c>
      <c r="F29" s="6">
        <v>0</v>
      </c>
      <c r="G29" s="6">
        <v>0</v>
      </c>
      <c r="H29" t="str">
        <v>Щит освещения ЩО-2 Тех. этаж этаж Пом. №3.001</v>
      </c>
      <c r="I29" t="str">
        <v/>
      </c>
      <c r="J29" t="str">
        <v>3P С6А</v>
      </c>
      <c r="AA29">
        <v>1</v>
      </c>
      <c r="AB29" t="str">
        <v>ЩГП</v>
      </c>
      <c r="AC29" t="str">
        <v>Ввод 1</v>
      </c>
    </row>
    <row r="30" spans="2:29" x14ac:dyDescent="0.3">
      <c r="B30">
        <v>24</v>
      </c>
      <c r="C30">
        <v>2</v>
      </c>
      <c r="D30" t="str">
        <v>ЩР-001</v>
      </c>
      <c r="E30" t="str">
        <v>L1,L2,L3</v>
      </c>
      <c r="F30" s="6">
        <v>11.860000000000001</v>
      </c>
      <c r="G30" s="6">
        <v>16.380000000000003</v>
      </c>
      <c r="H30" t="str">
        <v>Щит распределительный ЩР-001 Подвальный этаж этаж Пом. №00.004Т</v>
      </c>
      <c r="I30" t="str">
        <v>ВВГнг(А)-LS (5х4) L=41-1,57%</v>
      </c>
      <c r="J30" t="str">
        <v>3P С20А</v>
      </c>
      <c r="AA30">
        <v>1</v>
      </c>
      <c r="AB30" t="str">
        <v>ЩГП</v>
      </c>
      <c r="AC30" t="str">
        <v>Ввод 1</v>
      </c>
    </row>
    <row r="31" spans="2:29" x14ac:dyDescent="0.3">
      <c r="B31">
        <v>25</v>
      </c>
      <c r="C31">
        <v>2</v>
      </c>
      <c r="D31" t="str">
        <v>ЩР-01</v>
      </c>
      <c r="E31" t="str">
        <v>L1,L2,L3</v>
      </c>
      <c r="F31" s="6">
        <v>24.405000000000005</v>
      </c>
      <c r="G31" s="6">
        <v>32.799999999999997</v>
      </c>
      <c r="H31" t="str">
        <v>Щит распределительный ЩР-01 Цокольный этаж этаж Пом. №0.001Т</v>
      </c>
      <c r="I31" t="str">
        <v>ВВГнг(А)-LS (5х10) L=14-0,43%</v>
      </c>
      <c r="J31" t="str">
        <v>3P С40А</v>
      </c>
      <c r="AA31">
        <v>1</v>
      </c>
      <c r="AB31" t="str">
        <v>ЩГП</v>
      </c>
      <c r="AC31" t="str">
        <v>Ввод 1</v>
      </c>
    </row>
    <row r="32" spans="2:29" x14ac:dyDescent="0.3">
      <c r="B32">
        <v>26</v>
      </c>
      <c r="C32">
        <v>2</v>
      </c>
      <c r="D32" t="str">
        <v>ЩР-1</v>
      </c>
      <c r="E32" t="str">
        <v>L1,L2,L3</v>
      </c>
      <c r="F32" s="6">
        <v>34.840000000000003</v>
      </c>
      <c r="G32" s="6">
        <v>30.96</v>
      </c>
      <c r="H32" t="str">
        <v>Щит распределительный ЩР-1 Первый этаж этаж Пом. №1.003Б</v>
      </c>
      <c r="I32" t="str">
        <v>ВВГнг(А)-LS (5х16) L=65-1,19%</v>
      </c>
      <c r="J32" t="str">
        <v>3P С63А</v>
      </c>
      <c r="AA32">
        <v>1</v>
      </c>
      <c r="AB32" t="str">
        <v>ЩГП</v>
      </c>
      <c r="AC32" t="str">
        <v>Ввод 1</v>
      </c>
    </row>
    <row r="33" spans="2:29" x14ac:dyDescent="0.3">
      <c r="B33">
        <v>27</v>
      </c>
      <c r="C33">
        <v>2</v>
      </c>
      <c r="D33" t="str">
        <v>ЩР-2</v>
      </c>
      <c r="E33" t="str">
        <v>L1,L2,L3</v>
      </c>
      <c r="F33" s="6">
        <v>9.98</v>
      </c>
      <c r="G33" s="6">
        <v>13.7</v>
      </c>
      <c r="H33" t="str">
        <v>Щит распределительный ЩР-2 Техэтаж этаж Пом. №3.001Т</v>
      </c>
      <c r="I33" t="str">
        <v>ВВГнг(А)-LS (5х4) L=56-1,79%</v>
      </c>
      <c r="J33" t="str">
        <v>3P С16А</v>
      </c>
      <c r="AA33">
        <v>1</v>
      </c>
      <c r="AB33" t="str">
        <v>ЩГП</v>
      </c>
      <c r="AC33" t="str">
        <v>Ввод 1</v>
      </c>
    </row>
    <row r="34" spans="2:29" x14ac:dyDescent="0.3">
      <c r="B34">
        <v>28</v>
      </c>
      <c r="C34">
        <v>2</v>
      </c>
      <c r="D34" t="str">
        <v>ЩС-Б</v>
      </c>
      <c r="E34" t="str">
        <v>L1,L2,L3</v>
      </c>
      <c r="F34" s="6">
        <v>24.990000000000002</v>
      </c>
      <c r="G34" s="6">
        <v>22.55</v>
      </c>
      <c r="H34" t="str">
        <v>Щит бассейна ЩС-Б Подвальный этаж этаж Пом. №00.002Тб</v>
      </c>
      <c r="I34" t="str">
        <v>ВВГнг(А)-LS (5х10) L=53-0,96%</v>
      </c>
      <c r="J34" t="str">
        <v>3P С40А</v>
      </c>
      <c r="AA34">
        <v>1</v>
      </c>
      <c r="AB34" t="str">
        <v>ЩГП</v>
      </c>
      <c r="AC34" t="str">
        <v>Ввод 1</v>
      </c>
    </row>
    <row r="35" spans="2:29" x14ac:dyDescent="0.3">
      <c r="B35">
        <v>29</v>
      </c>
      <c r="C35">
        <v>2</v>
      </c>
      <c r="D35" t="str">
        <v>ЩС-ВК.001</v>
      </c>
      <c r="E35" t="str">
        <v>L3</v>
      </c>
      <c r="F35" s="6">
        <v>3.8000000000000003</v>
      </c>
      <c r="G35" s="6">
        <v>10.29</v>
      </c>
      <c r="H35" t="str">
        <v>Щит дренажных насосов ЩС-ВК.001 Подвальный этаж этаж Пом. 00.002Т</v>
      </c>
      <c r="I35" t="str">
        <v>ВВГнг(А)-LS (3х4) L=52-2,12%</v>
      </c>
      <c r="J35" t="str">
        <v>1P С20А</v>
      </c>
      <c r="AA35">
        <v>1</v>
      </c>
      <c r="AB35" t="str">
        <v>ЩГП</v>
      </c>
      <c r="AC35" t="str">
        <v>Ввод 1</v>
      </c>
    </row>
    <row r="36" spans="2:29" x14ac:dyDescent="0.3">
      <c r="B36">
        <v>30</v>
      </c>
      <c r="C36">
        <v>2</v>
      </c>
      <c r="D36" t="str">
        <v>ЩС-ВК.002</v>
      </c>
      <c r="E36" t="str">
        <v>L3</v>
      </c>
      <c r="F36" s="6">
        <v>2.4</v>
      </c>
      <c r="G36" s="6">
        <v>9.1</v>
      </c>
      <c r="H36" t="str">
        <v>Щит насосов ЩС-ВК.002 Подвальный этаж этаж Пом. №00.002Тб</v>
      </c>
      <c r="I36" t="str">
        <v>ВВГнг(А)-LS (3х4) L=51-1,84%</v>
      </c>
      <c r="J36" t="str">
        <v>1P С16А</v>
      </c>
      <c r="AA36">
        <v>1</v>
      </c>
      <c r="AB36" t="str">
        <v>ЩГП</v>
      </c>
      <c r="AC36" t="str">
        <v>Ввод 1</v>
      </c>
    </row>
    <row r="37" spans="2:29" x14ac:dyDescent="0.3">
      <c r="B37">
        <v>31</v>
      </c>
      <c r="C37">
        <v>2</v>
      </c>
      <c r="D37" t="str">
        <v>ЩС-ВК.003</v>
      </c>
      <c r="E37" t="str">
        <v>L2</v>
      </c>
      <c r="F37" s="6">
        <v>4.34</v>
      </c>
      <c r="G37" s="6">
        <v>16.450000000000003</v>
      </c>
      <c r="H37" t="str">
        <v>Щит насосов ЩС-ВК.003 Подвальный этаж этаж Пом. №00.006Т</v>
      </c>
      <c r="I37" t="str">
        <v>ВВГнг(А)-LS (3х4) L=53-3,44%</v>
      </c>
      <c r="J37" t="str">
        <v>1P С20А</v>
      </c>
      <c r="AA37">
        <v>1</v>
      </c>
      <c r="AB37" t="str">
        <v>ЩГП</v>
      </c>
      <c r="AC37" t="str">
        <v>Ввод 1</v>
      </c>
    </row>
    <row r="38" spans="2:29" x14ac:dyDescent="0.3">
      <c r="B38">
        <v>32</v>
      </c>
      <c r="C38">
        <v>2</v>
      </c>
      <c r="D38" t="str">
        <v>ЩУОВ</v>
      </c>
      <c r="E38" t="str">
        <v>L1,L2,L3</v>
      </c>
      <c r="F38" s="6">
        <v>16.439999999999998</v>
      </c>
      <c r="G38" s="6">
        <v>30.770000000000003</v>
      </c>
      <c r="H38" t="str">
        <v>Щит управления обогрева воронок ЩУОВ Тех. этаж этаж Пом. №3.001</v>
      </c>
      <c r="I38" t="str">
        <v>ВВГнг(А)-LS (5х6) L=52-2,49%</v>
      </c>
      <c r="J38" t="str">
        <v>3P С32А</v>
      </c>
      <c r="AA38">
        <v>1</v>
      </c>
      <c r="AB38" t="str">
        <v>ЩГП</v>
      </c>
      <c r="AC38" t="str">
        <v>Ввод 1</v>
      </c>
    </row>
    <row r="39" spans="2:29" x14ac:dyDescent="0.3">
      <c r="B39">
        <v>33</v>
      </c>
      <c r="C39">
        <v>2</v>
      </c>
      <c r="D39" t="str">
        <v>ЩР-ПК</v>
      </c>
      <c r="E39" t="str">
        <v>L1,L2,L3</v>
      </c>
      <c r="F39" s="6">
        <v>103.95</v>
      </c>
      <c r="G39" s="6">
        <v>187.54999999999998</v>
      </c>
      <c r="H39" t="str">
        <v>Щит профкухни ЩС-ПК Цокольный этаж этаж Пом. №0.0014Б</v>
      </c>
      <c r="I39" t="str">
        <v>5хВВГнг(А)-LS  (1х95) L=53-0,98%</v>
      </c>
      <c r="J39" t="str">
        <v>3P С200А</v>
      </c>
      <c r="AA39">
        <v>1</v>
      </c>
      <c r="AB39" t="str">
        <v>ЩГП</v>
      </c>
      <c r="AC39" t="str">
        <v>Ввод 1</v>
      </c>
    </row>
    <row r="40" spans="2:29" x14ac:dyDescent="0.3">
      <c r="B40">
        <v>34</v>
      </c>
      <c r="C40">
        <v>2</v>
      </c>
      <c r="D40" t="str">
        <v/>
      </c>
      <c r="E40" t="str">
        <v/>
      </c>
      <c r="F40" s="6" t="str">
        <v/>
      </c>
      <c r="G40" s="6" t="str">
        <v/>
      </c>
      <c r="H40" t="str">
        <v/>
      </c>
      <c r="I40" t="str">
        <v/>
      </c>
      <c r="J40" t="str">
        <v/>
      </c>
      <c r="AA40">
        <v>1</v>
      </c>
      <c r="AB40" t="str">
        <v>ЩГП</v>
      </c>
      <c r="AC40" t="str">
        <v>Ввод 1</v>
      </c>
    </row>
    <row r="41" spans="2:29" x14ac:dyDescent="0.3">
      <c r="B41">
        <v>35</v>
      </c>
      <c r="C41">
        <v>3</v>
      </c>
      <c r="D41" t="str">
        <v/>
      </c>
      <c r="E41" t="str">
        <v/>
      </c>
      <c r="F41" s="6" t="str">
        <v/>
      </c>
      <c r="G41" s="6" t="str">
        <v/>
      </c>
      <c r="H41" t="str">
        <v/>
      </c>
      <c r="I41" t="str">
        <v/>
      </c>
      <c r="J41" t="str">
        <v/>
      </c>
      <c r="AA41">
        <v>1</v>
      </c>
      <c r="AB41" t="str">
        <v>ЩГП</v>
      </c>
      <c r="AC41" t="str">
        <v>Ввод 1</v>
      </c>
    </row>
    <row r="42" spans="2:29" x14ac:dyDescent="0.3">
      <c r="B42">
        <v>36</v>
      </c>
      <c r="C42">
        <v>3</v>
      </c>
      <c r="D42" t="str">
        <v>РЩ-1</v>
      </c>
      <c r="E42" t="str">
        <v>L1,L2,L3</v>
      </c>
      <c r="F42" s="6">
        <v>38</v>
      </c>
      <c r="G42" s="6">
        <v>68.570000000000007</v>
      </c>
      <c r="H42" t="str">
        <v>Щит Хаммам РЩ-1  Подвальный этаж этаж Пом. №00.001Тб</v>
      </c>
      <c r="I42" t="str">
        <v>ВВГнг(А)-LS (5х16) L=59-2,05%</v>
      </c>
      <c r="J42" t="str">
        <v>3P С63А</v>
      </c>
      <c r="AA42">
        <v>1</v>
      </c>
      <c r="AB42" t="str">
        <v>ЩГП</v>
      </c>
      <c r="AC42" t="str">
        <v>Ввод 1</v>
      </c>
    </row>
    <row r="43" spans="2:29" x14ac:dyDescent="0.3">
      <c r="B43">
        <v>37</v>
      </c>
      <c r="C43">
        <v>3</v>
      </c>
      <c r="D43" t="str">
        <v>Э.4</v>
      </c>
      <c r="E43" t="str">
        <v>L1</v>
      </c>
      <c r="F43" s="6">
        <v>5</v>
      </c>
      <c r="G43" s="6">
        <v>27.07</v>
      </c>
      <c r="H43" t="str">
        <v>Флоатинг. Цокольный этаж этаж Пом. №023A</v>
      </c>
      <c r="I43" t="str">
        <v>ВВГнг(А)-LS (3х6) L=63-4,51%</v>
      </c>
      <c r="J43" t="str">
        <v>1P С25А</v>
      </c>
      <c r="AA43">
        <v>1</v>
      </c>
      <c r="AB43" t="str">
        <v>ЩГП</v>
      </c>
      <c r="AC43" t="str">
        <v>Ввод 1</v>
      </c>
    </row>
    <row r="44" spans="2:29" x14ac:dyDescent="0.3">
      <c r="B44">
        <v>38</v>
      </c>
      <c r="C44">
        <v>3</v>
      </c>
      <c r="D44" t="str">
        <v>SEC1-21</v>
      </c>
      <c r="E44" t="str">
        <v>L1</v>
      </c>
      <c r="F44" s="6">
        <v>0.3</v>
      </c>
      <c r="G44" s="6">
        <v>1.37</v>
      </c>
      <c r="H44" t="str">
        <v>Щит охранной сигнализации Подвальный этаж этаж Пом. №007Т</v>
      </c>
      <c r="I44" t="str">
        <v>ВВГнг(А)-LS (3х2,5) L=44-0,45%</v>
      </c>
      <c r="J44" t="str">
        <v>1P С6А</v>
      </c>
      <c r="AA44">
        <v>1</v>
      </c>
      <c r="AB44" t="str">
        <v>ЩГП</v>
      </c>
      <c r="AC44" t="str">
        <v>Ввод 1</v>
      </c>
    </row>
    <row r="45" spans="2:29" x14ac:dyDescent="0.3">
      <c r="F45" s="6"/>
      <c r="G45" s="6"/>
      <c r="AA45">
        <v>1</v>
      </c>
      <c r="AB45" t="str">
        <v>ЩГП</v>
      </c>
      <c r="AC45" t="str">
        <v>Ввод 1</v>
      </c>
    </row>
    <row r="46" spans="2:29" x14ac:dyDescent="0.3">
      <c r="F46" s="6"/>
      <c r="G46" s="6"/>
      <c r="AA46">
        <v>1</v>
      </c>
      <c r="AB46" t="str">
        <v>ЩГП</v>
      </c>
      <c r="AC46" t="str">
        <v>Ввод 1</v>
      </c>
    </row>
    <row r="47" spans="2:29" x14ac:dyDescent="0.3">
      <c r="F47" s="6"/>
      <c r="G47" s="6"/>
      <c r="AA47">
        <v>1</v>
      </c>
      <c r="AB47" t="str">
        <v>ЩГП</v>
      </c>
      <c r="AC47" t="str">
        <v>Ввод 1</v>
      </c>
    </row>
    <row r="48" spans="2:29" x14ac:dyDescent="0.3">
      <c r="F48" s="6"/>
      <c r="G48" s="6"/>
      <c r="AA48">
        <v>1</v>
      </c>
      <c r="AB48" t="str">
        <v>ЩГП</v>
      </c>
      <c r="AC48" t="str">
        <v>Ввод 1</v>
      </c>
    </row>
    <row r="49" spans="6:29" x14ac:dyDescent="0.3">
      <c r="F49" s="6"/>
      <c r="G49" s="6"/>
      <c r="AA49">
        <v>1</v>
      </c>
      <c r="AB49" t="str">
        <v>ЩГП</v>
      </c>
      <c r="AC49" t="str">
        <v>Ввод 1</v>
      </c>
    </row>
    <row r="50" spans="6:29" x14ac:dyDescent="0.3">
      <c r="F50" s="6"/>
      <c r="G50" s="6"/>
      <c r="AA50">
        <v>1</v>
      </c>
      <c r="AB50" t="str">
        <v>ЩГП</v>
      </c>
      <c r="AC50" t="str">
        <v>Ввод 1</v>
      </c>
    </row>
    <row r="51" spans="6:29" x14ac:dyDescent="0.3">
      <c r="F51" s="6"/>
      <c r="G51" s="6"/>
      <c r="AA51">
        <v>1</v>
      </c>
      <c r="AB51" t="str">
        <v>ЩГП</v>
      </c>
      <c r="AC51" t="str">
        <v>Ввод 1</v>
      </c>
    </row>
    <row r="52" spans="6:29" x14ac:dyDescent="0.3">
      <c r="F52" s="6"/>
      <c r="G52" s="6"/>
      <c r="AA52">
        <v>1</v>
      </c>
      <c r="AB52" t="str">
        <v>ЩГП</v>
      </c>
      <c r="AC52" t="str">
        <v>Ввод 1</v>
      </c>
    </row>
    <row r="53" spans="6:29" x14ac:dyDescent="0.3">
      <c r="F53" s="6"/>
      <c r="G53" s="6"/>
      <c r="AA53">
        <v>1</v>
      </c>
      <c r="AB53" t="str">
        <v>ЩОВ-001</v>
      </c>
      <c r="AC53" t="str">
        <v>Ввод 2</v>
      </c>
    </row>
    <row r="54" spans="6:29" x14ac:dyDescent="0.3">
      <c r="F54" s="6"/>
      <c r="G54" s="6"/>
      <c r="AA54">
        <v>1</v>
      </c>
      <c r="AB54" t="str">
        <v>ЩОВ-001</v>
      </c>
      <c r="AC54" t="str">
        <v>Ввод 2</v>
      </c>
    </row>
    <row r="55" spans="6:29" x14ac:dyDescent="0.3">
      <c r="F55" s="6"/>
      <c r="G55" s="6"/>
      <c r="AA55">
        <v>1</v>
      </c>
      <c r="AB55" t="str">
        <v>ЩОВ-001</v>
      </c>
      <c r="AC55" t="str">
        <v>Ввод 2</v>
      </c>
    </row>
    <row r="56" spans="6:29" x14ac:dyDescent="0.3">
      <c r="F56" s="6"/>
      <c r="G56" s="6"/>
      <c r="AA56">
        <v>1</v>
      </c>
      <c r="AB56" t="str">
        <v>ЩОВ-001</v>
      </c>
      <c r="AC56" t="str">
        <v>Ввод 2</v>
      </c>
    </row>
    <row r="57" spans="6:29" x14ac:dyDescent="0.3">
      <c r="F57" s="6"/>
      <c r="G57" s="6"/>
      <c r="AA57">
        <v>1</v>
      </c>
      <c r="AB57" t="str">
        <v>ЩОВ-001</v>
      </c>
      <c r="AC57" t="str">
        <v>Ввод 2</v>
      </c>
    </row>
    <row r="58" spans="6:29" x14ac:dyDescent="0.3">
      <c r="F58" s="6"/>
      <c r="G58" s="6"/>
      <c r="AA58">
        <v>1</v>
      </c>
      <c r="AB58" t="str">
        <v>ЩОВ-001</v>
      </c>
      <c r="AC58" t="str">
        <v>Ввод 2</v>
      </c>
    </row>
    <row r="59" spans="6:29" x14ac:dyDescent="0.3">
      <c r="F59" s="6"/>
      <c r="G59" s="6"/>
      <c r="AA59">
        <v>1</v>
      </c>
      <c r="AB59" t="str">
        <v>ЩОВ-001</v>
      </c>
      <c r="AC59" t="str">
        <v>Ввод 2</v>
      </c>
    </row>
    <row r="60" spans="6:29" x14ac:dyDescent="0.3">
      <c r="F60" s="6"/>
      <c r="G60" s="6"/>
      <c r="AA60">
        <v>1</v>
      </c>
      <c r="AB60" t="str">
        <v>ЩОВ-001</v>
      </c>
      <c r="AC60" t="str">
        <v>Ввод 2</v>
      </c>
    </row>
    <row r="61" spans="6:29" x14ac:dyDescent="0.3">
      <c r="F61" s="6"/>
      <c r="G61" s="6"/>
      <c r="AA61">
        <v>1</v>
      </c>
      <c r="AB61" t="str">
        <v>ЩОВ-001</v>
      </c>
      <c r="AC61" t="str">
        <v>Ввод 2</v>
      </c>
    </row>
    <row r="62" spans="6:29" x14ac:dyDescent="0.3">
      <c r="F62" s="6"/>
      <c r="G62" s="6"/>
      <c r="AA62">
        <v>1</v>
      </c>
      <c r="AB62" t="str">
        <v>ЩОВ-001</v>
      </c>
      <c r="AC62" t="str">
        <v>Ввод 2</v>
      </c>
    </row>
    <row r="63" spans="6:29" x14ac:dyDescent="0.3">
      <c r="F63" s="6"/>
      <c r="G63" s="6"/>
      <c r="AA63">
        <v>1</v>
      </c>
      <c r="AB63" t="str">
        <v>ЩОВ-001</v>
      </c>
      <c r="AC63" t="str">
        <v>Ввод 2</v>
      </c>
    </row>
    <row r="64" spans="6:29" x14ac:dyDescent="0.3">
      <c r="F64" s="6"/>
      <c r="G64" s="6"/>
      <c r="AA64">
        <v>1</v>
      </c>
      <c r="AB64" t="str">
        <v>ЩОВ-001</v>
      </c>
      <c r="AC64" t="str">
        <v>Ввод 2</v>
      </c>
    </row>
    <row r="65" spans="6:29" x14ac:dyDescent="0.3">
      <c r="F65" s="6"/>
      <c r="G65" s="6"/>
      <c r="AA65">
        <v>1</v>
      </c>
      <c r="AB65" t="str">
        <v>ЩОВ-001</v>
      </c>
      <c r="AC65" t="str">
        <v>Ввод 2</v>
      </c>
    </row>
    <row r="66" spans="6:29" x14ac:dyDescent="0.3">
      <c r="F66" s="6"/>
      <c r="G66" s="6"/>
      <c r="AA66">
        <v>1</v>
      </c>
      <c r="AB66" t="str">
        <v>ЩОВ-001</v>
      </c>
      <c r="AC66" t="str">
        <v>Ввод 2</v>
      </c>
    </row>
    <row r="67" spans="6:29" x14ac:dyDescent="0.3">
      <c r="F67" s="6"/>
      <c r="G67" s="6"/>
      <c r="AA67">
        <v>1</v>
      </c>
      <c r="AB67" t="str">
        <v>ЩОВ-001</v>
      </c>
      <c r="AC67" t="str">
        <v>Ввод 2</v>
      </c>
    </row>
    <row r="68" spans="6:29" x14ac:dyDescent="0.3">
      <c r="F68" s="6"/>
      <c r="G68" s="6"/>
      <c r="AA68">
        <v>1</v>
      </c>
      <c r="AB68" t="str">
        <v>ЩОВ-001</v>
      </c>
      <c r="AC68" t="str">
        <v>Ввод 2</v>
      </c>
    </row>
    <row r="69" spans="6:29" x14ac:dyDescent="0.3">
      <c r="F69" s="6"/>
      <c r="G69" s="6"/>
      <c r="AA69">
        <v>1</v>
      </c>
      <c r="AB69" t="str">
        <v>ЩОВ-001</v>
      </c>
      <c r="AC69" t="str">
        <v>Ввод 2</v>
      </c>
    </row>
    <row r="70" spans="6:29" x14ac:dyDescent="0.3">
      <c r="F70" s="6"/>
      <c r="G70" s="6"/>
      <c r="AA70">
        <v>1</v>
      </c>
      <c r="AB70" t="str">
        <v>ЩОВ-001</v>
      </c>
      <c r="AC70" t="str">
        <v>Ввод 2</v>
      </c>
    </row>
    <row r="71" spans="6:29" x14ac:dyDescent="0.3">
      <c r="F71" s="6"/>
      <c r="G71" s="6"/>
      <c r="AA71">
        <v>1</v>
      </c>
      <c r="AB71" t="str">
        <v>ЩОВ-001</v>
      </c>
      <c r="AC71" t="str">
        <v>Ввод 2</v>
      </c>
    </row>
    <row r="72" spans="6:29" x14ac:dyDescent="0.3">
      <c r="F72" s="6"/>
      <c r="G72" s="6"/>
      <c r="AA72">
        <v>1</v>
      </c>
      <c r="AB72" t="str">
        <v>ЩОВ-001</v>
      </c>
      <c r="AC72" t="str">
        <v>Ввод 2</v>
      </c>
    </row>
    <row r="73" spans="6:29" x14ac:dyDescent="0.3">
      <c r="F73" s="6"/>
      <c r="G73" s="6"/>
      <c r="AA73">
        <v>1</v>
      </c>
      <c r="AB73" t="str">
        <v>ЩОВ-001</v>
      </c>
      <c r="AC73" t="str">
        <v>Ввод 2</v>
      </c>
    </row>
    <row r="74" spans="6:29" x14ac:dyDescent="0.3">
      <c r="F74" s="6"/>
      <c r="G74" s="6"/>
      <c r="AA74">
        <v>1</v>
      </c>
      <c r="AB74" t="str">
        <v>ЩОВ-001</v>
      </c>
      <c r="AC74" t="str">
        <v>Ввод 2</v>
      </c>
    </row>
    <row r="75" spans="6:29" x14ac:dyDescent="0.3">
      <c r="F75" s="6"/>
      <c r="G75" s="6"/>
      <c r="AA75">
        <v>1</v>
      </c>
      <c r="AB75" t="str">
        <v>ЩОВ-001</v>
      </c>
      <c r="AC75" t="str">
        <v>Ввод 2</v>
      </c>
    </row>
    <row r="76" spans="6:29" x14ac:dyDescent="0.3">
      <c r="F76" s="6"/>
      <c r="G76" s="6"/>
      <c r="AA76">
        <v>1</v>
      </c>
      <c r="AB76" t="str">
        <v>ЩОВ-001</v>
      </c>
      <c r="AC76" t="str">
        <v>Ввод 2</v>
      </c>
    </row>
    <row r="77" spans="6:29" x14ac:dyDescent="0.3">
      <c r="F77" s="6"/>
      <c r="G77" s="6"/>
      <c r="AA77">
        <v>1</v>
      </c>
      <c r="AB77" t="str">
        <v>ЩОВ-001</v>
      </c>
      <c r="AC77" t="str">
        <v>Ввод 2</v>
      </c>
    </row>
    <row r="78" spans="6:29" x14ac:dyDescent="0.3">
      <c r="F78" s="6"/>
      <c r="G78" s="6"/>
      <c r="AA78">
        <v>1</v>
      </c>
      <c r="AB78" t="str">
        <v>ЩОВ-001</v>
      </c>
      <c r="AC78" t="str">
        <v>Ввод 2</v>
      </c>
    </row>
    <row r="79" spans="6:29" x14ac:dyDescent="0.3">
      <c r="F79" s="6"/>
      <c r="G79" s="6"/>
      <c r="AA79">
        <v>1</v>
      </c>
      <c r="AB79" t="str">
        <v>ЩОВ-001</v>
      </c>
      <c r="AC79" t="str">
        <v>Ввод 2</v>
      </c>
    </row>
    <row r="80" spans="6:29" x14ac:dyDescent="0.3">
      <c r="F80" s="6"/>
      <c r="G80" s="6"/>
      <c r="AA80">
        <v>1</v>
      </c>
      <c r="AB80" t="str">
        <v>ЩОВ-001</v>
      </c>
      <c r="AC80" t="str">
        <v>Ввод 2</v>
      </c>
    </row>
    <row r="81" spans="6:29" x14ac:dyDescent="0.3">
      <c r="F81" s="6"/>
      <c r="G81" s="6"/>
      <c r="AA81">
        <v>1</v>
      </c>
      <c r="AB81" t="str">
        <v>ЩОВ-001</v>
      </c>
      <c r="AC81" t="str">
        <v>Ввод 2</v>
      </c>
    </row>
    <row r="82" spans="6:29" x14ac:dyDescent="0.3">
      <c r="F82" s="6"/>
      <c r="G82" s="6"/>
      <c r="AA82">
        <v>1</v>
      </c>
      <c r="AB82" t="str">
        <v>ЩОВ-001</v>
      </c>
      <c r="AC82" t="str">
        <v>Ввод 2</v>
      </c>
    </row>
    <row r="83" spans="6:29" x14ac:dyDescent="0.3">
      <c r="F83" s="6"/>
      <c r="G83" s="6"/>
      <c r="AA83">
        <v>1</v>
      </c>
      <c r="AB83" t="str">
        <v>ЩОВ-001</v>
      </c>
      <c r="AC83" t="str">
        <v>Ввод 2</v>
      </c>
    </row>
    <row r="84" spans="6:29" x14ac:dyDescent="0.3">
      <c r="F84" s="6"/>
      <c r="G84" s="6"/>
      <c r="AA84">
        <v>1</v>
      </c>
      <c r="AB84" t="str">
        <v>ЩОВ-001</v>
      </c>
      <c r="AC84" t="str">
        <v>Ввод 2</v>
      </c>
    </row>
    <row r="85" spans="6:29" x14ac:dyDescent="0.3">
      <c r="F85" s="6"/>
      <c r="G85" s="6"/>
      <c r="AA85">
        <v>1</v>
      </c>
      <c r="AB85" t="str">
        <v>ЩОВ-001</v>
      </c>
      <c r="AC85" t="str">
        <v>Ввод 2</v>
      </c>
    </row>
    <row r="86" spans="6:29" x14ac:dyDescent="0.3">
      <c r="F86" s="6"/>
      <c r="G86" s="6"/>
      <c r="AA86">
        <v>1</v>
      </c>
      <c r="AB86" t="str">
        <v>ЩОВ-001</v>
      </c>
      <c r="AC86" t="str">
        <v>Ввод 2</v>
      </c>
    </row>
    <row r="87" spans="6:29" x14ac:dyDescent="0.3">
      <c r="F87" s="6"/>
      <c r="G87" s="6"/>
      <c r="AA87">
        <v>1</v>
      </c>
      <c r="AB87" t="str">
        <v>ЩОВ-001</v>
      </c>
      <c r="AC87" t="str">
        <v>Ввод 2</v>
      </c>
    </row>
    <row r="88" spans="6:29" x14ac:dyDescent="0.3">
      <c r="F88" s="6"/>
      <c r="G88" s="6"/>
      <c r="AA88">
        <v>1</v>
      </c>
      <c r="AB88" t="str">
        <v>ЩОВ-002</v>
      </c>
      <c r="AC88" t="str">
        <v>Ввод 1</v>
      </c>
    </row>
    <row r="89" spans="6:29" x14ac:dyDescent="0.3">
      <c r="F89" s="6"/>
      <c r="G89" s="6"/>
      <c r="AA89">
        <v>1</v>
      </c>
      <c r="AB89" t="str">
        <v>ЩОВ-002</v>
      </c>
      <c r="AC89" t="str">
        <v>Ввод 1</v>
      </c>
    </row>
    <row r="90" spans="6:29" x14ac:dyDescent="0.3">
      <c r="F90" s="6"/>
      <c r="G90" s="6"/>
      <c r="AA90">
        <v>1</v>
      </c>
      <c r="AB90" t="str">
        <v>ЩОВ-002</v>
      </c>
      <c r="AC90" t="str">
        <v>Ввод 1</v>
      </c>
    </row>
    <row r="91" spans="6:29" x14ac:dyDescent="0.3">
      <c r="F91" s="6"/>
      <c r="G91" s="6"/>
      <c r="AA91">
        <v>1</v>
      </c>
      <c r="AB91" t="str">
        <v>ЩОВ-002</v>
      </c>
      <c r="AC91" t="str">
        <v>Ввод 1</v>
      </c>
    </row>
    <row r="92" spans="6:29" x14ac:dyDescent="0.3">
      <c r="F92" s="6"/>
      <c r="G92" s="6"/>
      <c r="AA92">
        <v>1</v>
      </c>
      <c r="AB92" t="str">
        <v>ЩОВ-002</v>
      </c>
      <c r="AC92" t="str">
        <v>Ввод 1</v>
      </c>
    </row>
    <row r="93" spans="6:29" x14ac:dyDescent="0.3">
      <c r="F93" s="6"/>
      <c r="G93" s="6"/>
      <c r="AA93">
        <v>1</v>
      </c>
      <c r="AB93" t="str">
        <v>ЩОВ-002</v>
      </c>
      <c r="AC93" t="str">
        <v>Ввод 1</v>
      </c>
    </row>
    <row r="94" spans="6:29" x14ac:dyDescent="0.3">
      <c r="F94" s="6"/>
      <c r="G94" s="6"/>
      <c r="AA94">
        <v>1</v>
      </c>
      <c r="AB94" t="str">
        <v>ЩОВ-002</v>
      </c>
      <c r="AC94" t="str">
        <v>Ввод 1</v>
      </c>
    </row>
    <row r="95" spans="6:29" x14ac:dyDescent="0.3">
      <c r="F95" s="6"/>
      <c r="G95" s="6"/>
      <c r="AA95">
        <v>1</v>
      </c>
      <c r="AB95" t="str">
        <v>ЩОВ-002</v>
      </c>
      <c r="AC95" t="str">
        <v>Ввод 1</v>
      </c>
    </row>
    <row r="96" spans="6:29" x14ac:dyDescent="0.3">
      <c r="F96" s="6"/>
      <c r="G96" s="6"/>
      <c r="AA96">
        <v>1</v>
      </c>
      <c r="AB96" t="str">
        <v>ЩОВ-002</v>
      </c>
      <c r="AC96" t="str">
        <v>Ввод 1</v>
      </c>
    </row>
    <row r="97" spans="6:29" x14ac:dyDescent="0.3">
      <c r="F97" s="6"/>
      <c r="G97" s="6"/>
      <c r="AA97">
        <v>1</v>
      </c>
      <c r="AB97" t="str">
        <v>ЩОВ-002</v>
      </c>
      <c r="AC97" t="str">
        <v>Ввод 1</v>
      </c>
    </row>
    <row r="98" spans="6:29" x14ac:dyDescent="0.3">
      <c r="F98" s="6"/>
      <c r="G98" s="6"/>
      <c r="AA98">
        <v>1</v>
      </c>
      <c r="AB98" t="str">
        <v>ЩОВ-002</v>
      </c>
      <c r="AC98" t="str">
        <v>Ввод 1</v>
      </c>
    </row>
    <row r="99" spans="6:29" x14ac:dyDescent="0.3">
      <c r="F99" s="6"/>
      <c r="G99" s="6"/>
      <c r="AA99">
        <v>1</v>
      </c>
      <c r="AB99" t="str">
        <v>ЩОВ-002</v>
      </c>
      <c r="AC99" t="str">
        <v>Ввод 1</v>
      </c>
    </row>
    <row r="100" spans="6:29" x14ac:dyDescent="0.3">
      <c r="F100" s="6"/>
      <c r="G100" s="6"/>
      <c r="AA100">
        <v>1</v>
      </c>
      <c r="AB100" t="str">
        <v>ЩОВ-002</v>
      </c>
      <c r="AC100" t="str">
        <v>Ввод 1</v>
      </c>
    </row>
    <row r="101" spans="6:29" x14ac:dyDescent="0.3">
      <c r="F101" s="6"/>
      <c r="G101" s="6"/>
      <c r="AA101">
        <v>1</v>
      </c>
      <c r="AB101" t="str">
        <v>ЩОВ-002</v>
      </c>
      <c r="AC101" t="str">
        <v>Ввод 1</v>
      </c>
    </row>
    <row r="102" spans="6:29" x14ac:dyDescent="0.3">
      <c r="F102" s="6"/>
      <c r="G102" s="6"/>
      <c r="AA102">
        <v>1</v>
      </c>
      <c r="AB102" t="str">
        <v>ЩОВ-01</v>
      </c>
      <c r="AC102" t="str">
        <v>Ввод 1</v>
      </c>
    </row>
    <row r="103" spans="6:29" x14ac:dyDescent="0.3">
      <c r="F103" s="6"/>
      <c r="G103" s="6"/>
      <c r="AA103">
        <v>1</v>
      </c>
      <c r="AB103" t="str">
        <v>ЩОВ-01</v>
      </c>
      <c r="AC103" t="str">
        <v>Ввод 1</v>
      </c>
    </row>
    <row r="104" spans="6:29" x14ac:dyDescent="0.3">
      <c r="F104" s="6"/>
      <c r="G104" s="6"/>
      <c r="AA104">
        <v>1</v>
      </c>
      <c r="AB104" t="str">
        <v>ЩОВ-01</v>
      </c>
      <c r="AC104" t="str">
        <v>Ввод 1</v>
      </c>
    </row>
    <row r="105" spans="6:29" x14ac:dyDescent="0.3">
      <c r="F105" s="6"/>
      <c r="G105" s="6"/>
      <c r="AA105">
        <v>1</v>
      </c>
      <c r="AB105" t="str">
        <v>ЩОВ-01</v>
      </c>
      <c r="AC105" t="str">
        <v>Ввод 1</v>
      </c>
    </row>
    <row r="106" spans="6:29" x14ac:dyDescent="0.3">
      <c r="F106" s="6"/>
      <c r="G106" s="6"/>
      <c r="AA106">
        <v>1</v>
      </c>
      <c r="AB106" t="str">
        <v>ЩОВ-01</v>
      </c>
      <c r="AC106" t="str">
        <v>Ввод 1</v>
      </c>
    </row>
    <row r="107" spans="6:29" x14ac:dyDescent="0.3">
      <c r="F107" s="6"/>
      <c r="G107" s="6"/>
      <c r="AA107">
        <v>1</v>
      </c>
      <c r="AB107" t="str">
        <v>ЩОВ-01</v>
      </c>
      <c r="AC107" t="str">
        <v>Ввод 1</v>
      </c>
    </row>
    <row r="108" spans="6:29" x14ac:dyDescent="0.3">
      <c r="F108" s="6"/>
      <c r="G108" s="6"/>
      <c r="AA108">
        <v>1</v>
      </c>
      <c r="AB108" t="str">
        <v>ЩОВ-01</v>
      </c>
      <c r="AC108" t="str">
        <v>Ввод 1</v>
      </c>
    </row>
    <row r="109" spans="6:29" x14ac:dyDescent="0.3">
      <c r="F109" s="6"/>
      <c r="G109" s="6"/>
      <c r="AA109">
        <v>1</v>
      </c>
      <c r="AB109" t="str">
        <v>ЩОВ-01</v>
      </c>
      <c r="AC109" t="str">
        <v>Ввод 1</v>
      </c>
    </row>
    <row r="110" spans="6:29" x14ac:dyDescent="0.3">
      <c r="F110" s="6"/>
      <c r="G110" s="6"/>
      <c r="AA110">
        <v>1</v>
      </c>
      <c r="AB110" t="str">
        <v>ЩОВ-01</v>
      </c>
      <c r="AC110" t="str">
        <v>Ввод 1</v>
      </c>
    </row>
    <row r="111" spans="6:29" x14ac:dyDescent="0.3">
      <c r="F111" s="6"/>
      <c r="G111" s="6"/>
      <c r="AA111">
        <v>1</v>
      </c>
      <c r="AB111" t="str">
        <v>ЩОВ-01</v>
      </c>
      <c r="AC111" t="str">
        <v>Ввод 1</v>
      </c>
    </row>
    <row r="112" spans="6:29" x14ac:dyDescent="0.3">
      <c r="F112" s="6"/>
      <c r="G112" s="6"/>
      <c r="AA112">
        <v>1</v>
      </c>
      <c r="AB112" t="str">
        <v>ЩОВ-01</v>
      </c>
      <c r="AC112" t="str">
        <v>Ввод 1</v>
      </c>
    </row>
    <row r="113" spans="6:29" x14ac:dyDescent="0.3">
      <c r="F113" s="6"/>
      <c r="G113" s="6"/>
      <c r="AA113">
        <v>1</v>
      </c>
      <c r="AB113" t="str">
        <v>ЩОВ-01</v>
      </c>
      <c r="AC113" t="str">
        <v>Ввод 1</v>
      </c>
    </row>
    <row r="114" spans="6:29" x14ac:dyDescent="0.3">
      <c r="F114" s="6"/>
      <c r="G114" s="6"/>
      <c r="AA114">
        <v>1</v>
      </c>
      <c r="AB114" t="str">
        <v>ЩОВ-01</v>
      </c>
      <c r="AC114" t="str">
        <v>Ввод 1</v>
      </c>
    </row>
    <row r="115" spans="6:29" x14ac:dyDescent="0.3">
      <c r="F115" s="6"/>
      <c r="G115" s="6"/>
      <c r="AA115">
        <v>1</v>
      </c>
      <c r="AB115" t="str">
        <v>ЩОВ-01</v>
      </c>
      <c r="AC115" t="str">
        <v>Ввод 1</v>
      </c>
    </row>
    <row r="116" spans="6:29" x14ac:dyDescent="0.3">
      <c r="F116" s="6"/>
      <c r="G116" s="6"/>
      <c r="AA116">
        <v>1</v>
      </c>
      <c r="AB116" t="str">
        <v>ЩОВ-01</v>
      </c>
      <c r="AC116" t="str">
        <v>Ввод 1</v>
      </c>
    </row>
    <row r="117" spans="6:29" x14ac:dyDescent="0.3">
      <c r="F117" s="6"/>
      <c r="G117" s="6"/>
      <c r="AA117">
        <v>1</v>
      </c>
      <c r="AB117" t="str">
        <v>ЩОВ-01</v>
      </c>
      <c r="AC117" t="str">
        <v>Ввод 1</v>
      </c>
    </row>
    <row r="118" spans="6:29" x14ac:dyDescent="0.3">
      <c r="F118" s="6"/>
      <c r="G118" s="6"/>
      <c r="AA118">
        <v>1</v>
      </c>
      <c r="AB118" t="str">
        <v>ЩОВ-01</v>
      </c>
      <c r="AC118" t="str">
        <v>Ввод 1</v>
      </c>
    </row>
    <row r="119" spans="6:29" x14ac:dyDescent="0.3">
      <c r="F119" s="6"/>
      <c r="G119" s="6"/>
      <c r="AA119">
        <v>1</v>
      </c>
      <c r="AB119" t="str">
        <v>ЩОВ-01</v>
      </c>
      <c r="AC119" t="str">
        <v>Ввод 1</v>
      </c>
    </row>
    <row r="120" spans="6:29" x14ac:dyDescent="0.3">
      <c r="F120" s="6"/>
      <c r="G120" s="6"/>
      <c r="AA120">
        <v>1</v>
      </c>
      <c r="AB120" t="str">
        <v>ЩОВ-01</v>
      </c>
      <c r="AC120" t="str">
        <v>Ввод 1</v>
      </c>
    </row>
    <row r="121" spans="6:29" x14ac:dyDescent="0.3">
      <c r="F121" s="6"/>
      <c r="G121" s="6"/>
      <c r="AA121">
        <v>1</v>
      </c>
      <c r="AB121" t="str">
        <v>ЩОВ-01</v>
      </c>
      <c r="AC121" t="str">
        <v>Ввод 1</v>
      </c>
    </row>
    <row r="122" spans="6:29" x14ac:dyDescent="0.3">
      <c r="F122" s="6"/>
      <c r="G122" s="6"/>
      <c r="AA122">
        <v>1</v>
      </c>
      <c r="AB122" t="str">
        <v>ЩОВ-01</v>
      </c>
      <c r="AC122" t="str">
        <v>Ввод 1</v>
      </c>
    </row>
    <row r="123" spans="6:29" x14ac:dyDescent="0.3">
      <c r="F123" s="6"/>
      <c r="G123" s="6"/>
      <c r="AA123">
        <v>1</v>
      </c>
      <c r="AB123" t="str">
        <v>ЩОВ-01</v>
      </c>
      <c r="AC123" t="str">
        <v>Ввод 1</v>
      </c>
    </row>
    <row r="124" spans="6:29" x14ac:dyDescent="0.3">
      <c r="F124" s="6"/>
      <c r="G124" s="6"/>
      <c r="AA124">
        <v>1</v>
      </c>
      <c r="AB124" t="str">
        <v>ЩОВ-01</v>
      </c>
      <c r="AC124" t="str">
        <v>Ввод 1</v>
      </c>
    </row>
    <row r="125" spans="6:29" x14ac:dyDescent="0.3">
      <c r="F125" s="6"/>
      <c r="G125" s="6"/>
      <c r="AA125">
        <v>1</v>
      </c>
      <c r="AB125" t="str">
        <v>ЩОВ-01</v>
      </c>
      <c r="AC125" t="str">
        <v>Ввод 1</v>
      </c>
    </row>
    <row r="126" spans="6:29" x14ac:dyDescent="0.3">
      <c r="F126" s="6"/>
      <c r="G126" s="6"/>
      <c r="AA126">
        <v>1</v>
      </c>
      <c r="AB126" t="str">
        <v>ЩОВ-01</v>
      </c>
      <c r="AC126" t="str">
        <v>Ввод 1</v>
      </c>
    </row>
    <row r="127" spans="6:29" x14ac:dyDescent="0.3">
      <c r="F127" s="6"/>
      <c r="G127" s="6"/>
      <c r="AA127">
        <v>1</v>
      </c>
      <c r="AB127" t="str">
        <v>ЩОВ-01</v>
      </c>
      <c r="AC127" t="str">
        <v>Ввод 1</v>
      </c>
    </row>
    <row r="128" spans="6:29" x14ac:dyDescent="0.3">
      <c r="F128" s="6"/>
      <c r="G128" s="6"/>
      <c r="AA128">
        <v>1</v>
      </c>
      <c r="AB128" t="str">
        <v>ЩОВ-01</v>
      </c>
      <c r="AC128" t="str">
        <v>Ввод 1</v>
      </c>
    </row>
    <row r="129" spans="6:29" x14ac:dyDescent="0.3">
      <c r="F129" s="6"/>
      <c r="G129" s="6"/>
      <c r="AA129">
        <v>1</v>
      </c>
      <c r="AB129" t="str">
        <v>ЩОВ-01</v>
      </c>
      <c r="AC129" t="str">
        <v>Ввод 1</v>
      </c>
    </row>
    <row r="130" spans="6:29" x14ac:dyDescent="0.3">
      <c r="F130" s="6"/>
      <c r="G130" s="6"/>
      <c r="AA130">
        <v>1</v>
      </c>
      <c r="AB130" t="str">
        <v>ЩОВ-2</v>
      </c>
      <c r="AC130" t="str">
        <v>Ввод 1</v>
      </c>
    </row>
    <row r="131" spans="6:29" x14ac:dyDescent="0.3">
      <c r="F131" s="6"/>
      <c r="G131" s="6"/>
      <c r="AA131">
        <v>1</v>
      </c>
      <c r="AB131" t="str">
        <v>ЩОВ-2</v>
      </c>
      <c r="AC131" t="str">
        <v>Ввод 1</v>
      </c>
    </row>
    <row r="132" spans="6:29" x14ac:dyDescent="0.3">
      <c r="F132" s="6"/>
      <c r="G132" s="6"/>
      <c r="AA132">
        <v>1</v>
      </c>
      <c r="AB132" t="str">
        <v>ЩОВ-2</v>
      </c>
      <c r="AC132" t="str">
        <v>Ввод 1</v>
      </c>
    </row>
    <row r="133" spans="6:29" x14ac:dyDescent="0.3">
      <c r="F133" s="6"/>
      <c r="G133" s="6"/>
      <c r="AA133">
        <v>1</v>
      </c>
      <c r="AB133" t="str">
        <v>ЩОВ-2</v>
      </c>
      <c r="AC133" t="str">
        <v>Ввод 1</v>
      </c>
    </row>
    <row r="134" spans="6:29" x14ac:dyDescent="0.3">
      <c r="F134" s="6"/>
      <c r="G134" s="6"/>
      <c r="AA134">
        <v>1</v>
      </c>
      <c r="AB134" t="str">
        <v>ЩОВ-2</v>
      </c>
      <c r="AC134" t="str">
        <v>Ввод 1</v>
      </c>
    </row>
    <row r="135" spans="6:29" x14ac:dyDescent="0.3">
      <c r="F135" s="6"/>
      <c r="G135" s="6"/>
      <c r="AA135">
        <v>1</v>
      </c>
      <c r="AB135" t="str">
        <v>ЩОВ-2</v>
      </c>
      <c r="AC135" t="str">
        <v>Ввод 1</v>
      </c>
    </row>
    <row r="136" spans="6:29" x14ac:dyDescent="0.3">
      <c r="F136" s="6"/>
      <c r="G136" s="6"/>
      <c r="AA136">
        <v>1</v>
      </c>
      <c r="AB136" t="str">
        <v>ЩОВ-2</v>
      </c>
      <c r="AC136" t="str">
        <v>Ввод 1</v>
      </c>
    </row>
    <row r="137" spans="6:29" x14ac:dyDescent="0.3">
      <c r="F137" s="6"/>
      <c r="G137" s="6"/>
      <c r="AA137">
        <v>1</v>
      </c>
      <c r="AB137" t="str">
        <v>ЩОВ-2</v>
      </c>
      <c r="AC137" t="str">
        <v>Ввод 1</v>
      </c>
    </row>
    <row r="138" spans="6:29" x14ac:dyDescent="0.3">
      <c r="F138" s="6"/>
      <c r="G138" s="6"/>
      <c r="AA138">
        <v>1</v>
      </c>
      <c r="AB138" t="str">
        <v>ЩОВ-2</v>
      </c>
      <c r="AC138" t="str">
        <v>Ввод 1</v>
      </c>
    </row>
    <row r="139" spans="6:29" x14ac:dyDescent="0.3">
      <c r="F139" s="6"/>
      <c r="G139" s="6"/>
      <c r="AA139">
        <v>1</v>
      </c>
      <c r="AB139" t="str">
        <v>ЩОВ-2</v>
      </c>
      <c r="AC139" t="str">
        <v>Ввод 1</v>
      </c>
    </row>
    <row r="140" spans="6:29" x14ac:dyDescent="0.3">
      <c r="F140" s="6"/>
      <c r="G140" s="6"/>
      <c r="AA140">
        <v>1</v>
      </c>
      <c r="AB140" t="str">
        <v>ЩОВ-2</v>
      </c>
      <c r="AC140" t="str">
        <v>Ввод 1</v>
      </c>
    </row>
    <row r="141" spans="6:29" x14ac:dyDescent="0.3">
      <c r="F141" s="6"/>
      <c r="G141" s="6"/>
      <c r="AA141">
        <v>1</v>
      </c>
      <c r="AB141" t="str">
        <v>ЩОВ-2</v>
      </c>
      <c r="AC141" t="str">
        <v>Ввод 1</v>
      </c>
    </row>
    <row r="142" spans="6:29" x14ac:dyDescent="0.3">
      <c r="F142" s="6"/>
      <c r="G142" s="6"/>
      <c r="AA142">
        <v>1</v>
      </c>
      <c r="AB142" t="str">
        <v>ЩОВ-2</v>
      </c>
      <c r="AC142" t="str">
        <v>Ввод 1</v>
      </c>
    </row>
    <row r="143" spans="6:29" x14ac:dyDescent="0.3">
      <c r="F143" s="6"/>
      <c r="G143" s="6"/>
      <c r="AA143">
        <v>1</v>
      </c>
      <c r="AB143" t="str">
        <v>ЩОВ-2</v>
      </c>
      <c r="AC143" t="str">
        <v>Ввод 1</v>
      </c>
    </row>
    <row r="144" spans="6:29" x14ac:dyDescent="0.3">
      <c r="F144" s="6"/>
      <c r="G144" s="6"/>
      <c r="AA144">
        <v>1</v>
      </c>
      <c r="AB144" t="str">
        <v>ЩОВ-2</v>
      </c>
      <c r="AC144" t="str">
        <v>Ввод 1</v>
      </c>
    </row>
    <row r="145" spans="6:29" x14ac:dyDescent="0.3">
      <c r="F145" s="6"/>
      <c r="G145" s="6"/>
      <c r="AA145">
        <v>1</v>
      </c>
      <c r="AB145" t="str">
        <v>ЩОВ-2</v>
      </c>
      <c r="AC145" t="str">
        <v>Ввод 1</v>
      </c>
    </row>
    <row r="146" spans="6:29" x14ac:dyDescent="0.3">
      <c r="F146" s="6"/>
      <c r="G146" s="6"/>
      <c r="AA146">
        <v>1</v>
      </c>
      <c r="AB146" t="str">
        <v>ЩОВ-2</v>
      </c>
      <c r="AC146" t="str">
        <v>Ввод 1</v>
      </c>
    </row>
    <row r="147" spans="6:29" x14ac:dyDescent="0.3">
      <c r="F147" s="6"/>
      <c r="G147" s="6"/>
      <c r="AA147">
        <v>1</v>
      </c>
      <c r="AB147" t="str">
        <v>ЩОВ-2</v>
      </c>
      <c r="AC147" t="str">
        <v>Ввод 1</v>
      </c>
    </row>
    <row r="148" spans="6:29" x14ac:dyDescent="0.3">
      <c r="F148" s="6"/>
      <c r="G148" s="6"/>
      <c r="AA148">
        <v>1</v>
      </c>
      <c r="AB148" t="str">
        <v>ЩОВ-2</v>
      </c>
      <c r="AC148" t="str">
        <v>Ввод 1</v>
      </c>
    </row>
    <row r="149" spans="6:29" x14ac:dyDescent="0.3">
      <c r="F149" s="6"/>
      <c r="G149" s="6"/>
      <c r="AA149">
        <v>1</v>
      </c>
      <c r="AB149" t="str">
        <v>ЩОВ-2</v>
      </c>
      <c r="AC149" t="str">
        <v>Ввод 1</v>
      </c>
    </row>
    <row r="150" spans="6:29" x14ac:dyDescent="0.3">
      <c r="F150" s="6"/>
      <c r="G150" s="6"/>
      <c r="AA150">
        <v>1</v>
      </c>
      <c r="AB150" t="str">
        <v>ЩОВ-2</v>
      </c>
      <c r="AC150" t="str">
        <v>Ввод 1</v>
      </c>
    </row>
    <row r="151" spans="6:29" x14ac:dyDescent="0.3">
      <c r="F151" s="6"/>
      <c r="G151" s="6"/>
      <c r="AA151">
        <v>1</v>
      </c>
      <c r="AB151" t="str">
        <v>ЩОВ-2</v>
      </c>
      <c r="AC151" t="str">
        <v>Ввод 1</v>
      </c>
    </row>
    <row r="152" spans="6:29" x14ac:dyDescent="0.3">
      <c r="F152" s="6"/>
      <c r="G152" s="6"/>
      <c r="AA152">
        <v>1</v>
      </c>
      <c r="AB152" t="str">
        <v>ЩОВ-2</v>
      </c>
      <c r="AC152" t="str">
        <v>Ввод 1</v>
      </c>
    </row>
    <row r="153" spans="6:29" x14ac:dyDescent="0.3">
      <c r="F153" s="6"/>
      <c r="G153" s="6"/>
      <c r="AA153">
        <v>1</v>
      </c>
      <c r="AB153" t="str">
        <v>ЩОВ-2</v>
      </c>
      <c r="AC153" t="str">
        <v>Ввод 1</v>
      </c>
    </row>
    <row r="154" spans="6:29" x14ac:dyDescent="0.3">
      <c r="F154" s="6"/>
      <c r="G154" s="6"/>
      <c r="AA154">
        <v>1</v>
      </c>
      <c r="AB154" t="str">
        <v>ЩР-001</v>
      </c>
      <c r="AC154" t="str">
        <v>Ввод 1</v>
      </c>
    </row>
    <row r="155" spans="6:29" x14ac:dyDescent="0.3">
      <c r="F155" s="6"/>
      <c r="G155" s="6"/>
      <c r="AA155">
        <v>1</v>
      </c>
      <c r="AB155" t="str">
        <v>ЩР-001</v>
      </c>
      <c r="AC155" t="str">
        <v>Ввод 1</v>
      </c>
    </row>
    <row r="156" spans="6:29" x14ac:dyDescent="0.3">
      <c r="F156" s="6"/>
      <c r="G156" s="6"/>
      <c r="AA156">
        <v>1</v>
      </c>
      <c r="AB156" t="str">
        <v>ЩР-001</v>
      </c>
      <c r="AC156" t="str">
        <v>Ввод 1</v>
      </c>
    </row>
    <row r="157" spans="6:29" x14ac:dyDescent="0.3">
      <c r="F157" s="6"/>
      <c r="G157" s="6"/>
      <c r="AA157">
        <v>1</v>
      </c>
      <c r="AB157" t="str">
        <v>ЩР-001</v>
      </c>
      <c r="AC157" t="str">
        <v>Ввод 1</v>
      </c>
    </row>
    <row r="158" spans="6:29" x14ac:dyDescent="0.3">
      <c r="F158" s="6"/>
      <c r="G158" s="6"/>
      <c r="AA158">
        <v>1</v>
      </c>
      <c r="AB158" t="str">
        <v>ЩР-001</v>
      </c>
      <c r="AC158" t="str">
        <v>Ввод 1</v>
      </c>
    </row>
    <row r="159" spans="6:29" x14ac:dyDescent="0.3">
      <c r="F159" s="6"/>
      <c r="G159" s="6"/>
      <c r="AA159">
        <v>1</v>
      </c>
      <c r="AB159" t="str">
        <v>ЩР-001</v>
      </c>
      <c r="AC159" t="str">
        <v>Ввод 1</v>
      </c>
    </row>
    <row r="160" spans="6:29" x14ac:dyDescent="0.3">
      <c r="F160" s="6"/>
      <c r="G160" s="6"/>
      <c r="AA160">
        <v>1</v>
      </c>
      <c r="AB160" t="str">
        <v>ЩР-001</v>
      </c>
      <c r="AC160" t="str">
        <v>Ввод 1</v>
      </c>
    </row>
    <row r="161" spans="6:29" x14ac:dyDescent="0.3">
      <c r="F161" s="6"/>
      <c r="G161" s="6"/>
      <c r="AA161">
        <v>1</v>
      </c>
      <c r="AB161" t="str">
        <v>ЩР-001</v>
      </c>
      <c r="AC161" t="str">
        <v>Ввод 1</v>
      </c>
    </row>
    <row r="162" spans="6:29" x14ac:dyDescent="0.3">
      <c r="F162" s="6"/>
      <c r="G162" s="6"/>
      <c r="AA162">
        <v>1</v>
      </c>
      <c r="AB162" t="str">
        <v>ЩР-001</v>
      </c>
      <c r="AC162" t="str">
        <v>Ввод 1</v>
      </c>
    </row>
    <row r="163" spans="6:29" x14ac:dyDescent="0.3">
      <c r="F163" s="6"/>
      <c r="G163" s="6"/>
      <c r="AA163">
        <v>1</v>
      </c>
      <c r="AB163" t="str">
        <v>ЩР-001</v>
      </c>
      <c r="AC163" t="str">
        <v>Ввод 1</v>
      </c>
    </row>
    <row r="164" spans="6:29" x14ac:dyDescent="0.3">
      <c r="F164" s="6"/>
      <c r="G164" s="6"/>
      <c r="AA164">
        <v>1</v>
      </c>
      <c r="AB164" t="str">
        <v>ЩР-001</v>
      </c>
      <c r="AC164" t="str">
        <v>Ввод 1</v>
      </c>
    </row>
    <row r="165" spans="6:29" x14ac:dyDescent="0.3">
      <c r="F165" s="6"/>
      <c r="G165" s="6"/>
      <c r="AA165">
        <v>1</v>
      </c>
      <c r="AB165" t="str">
        <v>ЩР-001</v>
      </c>
      <c r="AC165" t="str">
        <v>Ввод 1</v>
      </c>
    </row>
    <row r="166" spans="6:29" x14ac:dyDescent="0.3">
      <c r="F166" s="6"/>
      <c r="G166" s="6"/>
      <c r="AA166">
        <v>1</v>
      </c>
      <c r="AB166" t="str">
        <v>ЩР-001</v>
      </c>
      <c r="AC166" t="str">
        <v>Ввод 1</v>
      </c>
    </row>
    <row r="167" spans="6:29" x14ac:dyDescent="0.3">
      <c r="F167" s="6"/>
      <c r="G167" s="6"/>
      <c r="AA167">
        <v>1</v>
      </c>
      <c r="AB167" t="str">
        <v>ЩР-001</v>
      </c>
      <c r="AC167" t="str">
        <v>Ввод 1</v>
      </c>
    </row>
    <row r="168" spans="6:29" x14ac:dyDescent="0.3">
      <c r="F168" s="6"/>
      <c r="G168" s="6"/>
      <c r="AA168">
        <v>1</v>
      </c>
      <c r="AB168" t="str">
        <v>ЩР-001</v>
      </c>
      <c r="AC168" t="str">
        <v>Ввод 1</v>
      </c>
    </row>
    <row r="169" spans="6:29" x14ac:dyDescent="0.3">
      <c r="F169" s="6"/>
      <c r="G169" s="6"/>
      <c r="AA169">
        <v>1</v>
      </c>
      <c r="AB169" t="str">
        <v>ЩР-001</v>
      </c>
      <c r="AC169" t="str">
        <v>Ввод 1</v>
      </c>
    </row>
    <row r="170" spans="6:29" x14ac:dyDescent="0.3">
      <c r="F170" s="6"/>
      <c r="G170" s="6"/>
      <c r="AA170">
        <v>1</v>
      </c>
      <c r="AB170" t="str">
        <v>ЩР-001</v>
      </c>
      <c r="AC170" t="str">
        <v>Ввод 1</v>
      </c>
    </row>
    <row r="171" spans="6:29" x14ac:dyDescent="0.3">
      <c r="F171" s="6"/>
      <c r="G171" s="6"/>
      <c r="AA171">
        <v>1</v>
      </c>
      <c r="AB171" t="str">
        <v>ЩР-001</v>
      </c>
      <c r="AC171" t="str">
        <v>Ввод 1</v>
      </c>
    </row>
    <row r="172" spans="6:29" x14ac:dyDescent="0.3">
      <c r="F172" s="6"/>
      <c r="G172" s="6"/>
      <c r="AA172">
        <v>1</v>
      </c>
      <c r="AB172" t="str">
        <v>ЩР-001</v>
      </c>
      <c r="AC172" t="str">
        <v>Ввод 1</v>
      </c>
    </row>
    <row r="173" spans="6:29" x14ac:dyDescent="0.3">
      <c r="F173" s="6"/>
      <c r="G173" s="6"/>
      <c r="AA173">
        <v>1</v>
      </c>
      <c r="AB173" t="str">
        <v>ЩР-001</v>
      </c>
      <c r="AC173" t="str">
        <v>Ввод 1</v>
      </c>
    </row>
    <row r="174" spans="6:29" x14ac:dyDescent="0.3">
      <c r="F174" s="6"/>
      <c r="G174" s="6"/>
      <c r="AA174">
        <v>1</v>
      </c>
      <c r="AB174" t="str">
        <v>ЩР-001</v>
      </c>
      <c r="AC174" t="str">
        <v>Ввод 1</v>
      </c>
    </row>
    <row r="175" spans="6:29" x14ac:dyDescent="0.3">
      <c r="F175" s="6"/>
      <c r="G175" s="6"/>
      <c r="AA175">
        <v>1</v>
      </c>
      <c r="AB175" t="str">
        <v>ЩР-001</v>
      </c>
      <c r="AC175" t="str">
        <v>Ввод 1</v>
      </c>
    </row>
    <row r="176" spans="6:29" x14ac:dyDescent="0.3">
      <c r="F176" s="6"/>
      <c r="G176" s="6"/>
      <c r="AA176">
        <v>1</v>
      </c>
      <c r="AB176" t="str">
        <v>ЩР-001</v>
      </c>
      <c r="AC176" t="str">
        <v>Ввод 1</v>
      </c>
    </row>
    <row r="177" spans="6:29" x14ac:dyDescent="0.3">
      <c r="F177" s="6"/>
      <c r="G177" s="6"/>
      <c r="AA177">
        <v>1</v>
      </c>
      <c r="AB177" t="str">
        <v>ЩР-001</v>
      </c>
      <c r="AC177" t="str">
        <v>Ввод 1</v>
      </c>
    </row>
    <row r="178" spans="6:29" x14ac:dyDescent="0.3">
      <c r="F178" s="6"/>
      <c r="G178" s="6"/>
      <c r="AA178">
        <v>1</v>
      </c>
      <c r="AB178" t="str">
        <v>ЩР-001</v>
      </c>
      <c r="AC178" t="str">
        <v>Ввод 1</v>
      </c>
    </row>
    <row r="179" spans="6:29" x14ac:dyDescent="0.3">
      <c r="F179" s="6"/>
      <c r="G179" s="6"/>
      <c r="AA179">
        <v>1</v>
      </c>
      <c r="AB179" t="str">
        <v>ЩР-001</v>
      </c>
      <c r="AC179" t="str">
        <v>Ввод 1</v>
      </c>
    </row>
    <row r="180" spans="6:29" x14ac:dyDescent="0.3">
      <c r="F180" s="6"/>
      <c r="G180" s="6"/>
      <c r="AA180">
        <v>1</v>
      </c>
      <c r="AB180" t="str">
        <v>ЩР-001</v>
      </c>
      <c r="AC180" t="str">
        <v>Ввод 1</v>
      </c>
    </row>
    <row r="181" spans="6:29" x14ac:dyDescent="0.3">
      <c r="F181" s="6"/>
      <c r="G181" s="6"/>
      <c r="AA181">
        <v>1</v>
      </c>
      <c r="AB181" t="str">
        <v>ЩР-001</v>
      </c>
      <c r="AC181" t="str">
        <v>Ввод 1</v>
      </c>
    </row>
    <row r="182" spans="6:29" x14ac:dyDescent="0.3">
      <c r="F182" s="6"/>
      <c r="G182" s="6"/>
      <c r="AA182">
        <v>1</v>
      </c>
      <c r="AB182" t="str">
        <v>ЩР-001</v>
      </c>
      <c r="AC182" t="str">
        <v>Ввод 1</v>
      </c>
    </row>
    <row r="183" spans="6:29" x14ac:dyDescent="0.3">
      <c r="F183" s="6"/>
      <c r="G183" s="6"/>
      <c r="AA183">
        <v>1</v>
      </c>
      <c r="AB183" t="str">
        <v>ЩР-001</v>
      </c>
      <c r="AC183" t="str">
        <v>Ввод 1</v>
      </c>
    </row>
    <row r="184" spans="6:29" x14ac:dyDescent="0.3">
      <c r="F184" s="6"/>
      <c r="G184" s="6"/>
      <c r="AA184">
        <v>1</v>
      </c>
      <c r="AB184" t="str">
        <v>ЩР-01</v>
      </c>
      <c r="AC184" t="str">
        <v>Ввод 1</v>
      </c>
    </row>
    <row r="185" spans="6:29" x14ac:dyDescent="0.3">
      <c r="F185" s="6"/>
      <c r="G185" s="6"/>
      <c r="AA185">
        <v>1</v>
      </c>
      <c r="AB185" t="str">
        <v>ЩР-01</v>
      </c>
      <c r="AC185" t="str">
        <v>Ввод 1</v>
      </c>
    </row>
    <row r="186" spans="6:29" x14ac:dyDescent="0.3">
      <c r="F186" s="6"/>
      <c r="G186" s="6"/>
      <c r="AA186">
        <v>1</v>
      </c>
      <c r="AB186" t="str">
        <v>ЩР-01</v>
      </c>
      <c r="AC186" t="str">
        <v>Ввод 1</v>
      </c>
    </row>
    <row r="187" spans="6:29" x14ac:dyDescent="0.3">
      <c r="F187" s="6"/>
      <c r="G187" s="6"/>
      <c r="AA187">
        <v>1</v>
      </c>
      <c r="AB187" t="str">
        <v>ЩР-01</v>
      </c>
      <c r="AC187" t="str">
        <v>Ввод 1</v>
      </c>
    </row>
    <row r="188" spans="6:29" x14ac:dyDescent="0.3">
      <c r="F188" s="6"/>
      <c r="G188" s="6"/>
      <c r="AA188">
        <v>1</v>
      </c>
      <c r="AB188" t="str">
        <v>ЩР-01</v>
      </c>
      <c r="AC188" t="str">
        <v>Ввод 1</v>
      </c>
    </row>
    <row r="189" spans="6:29" x14ac:dyDescent="0.3">
      <c r="F189" s="6"/>
      <c r="G189" s="6"/>
      <c r="AA189">
        <v>1</v>
      </c>
      <c r="AB189" t="str">
        <v>ЩР-01</v>
      </c>
      <c r="AC189" t="str">
        <v>Ввод 1</v>
      </c>
    </row>
    <row r="190" spans="6:29" x14ac:dyDescent="0.3">
      <c r="F190" s="6"/>
      <c r="G190" s="6"/>
      <c r="AA190">
        <v>1</v>
      </c>
      <c r="AB190" t="str">
        <v>ЩР-01</v>
      </c>
      <c r="AC190" t="str">
        <v>Ввод 1</v>
      </c>
    </row>
    <row r="191" spans="6:29" x14ac:dyDescent="0.3">
      <c r="F191" s="6"/>
      <c r="G191" s="6"/>
      <c r="AA191">
        <v>1</v>
      </c>
      <c r="AB191" t="str">
        <v>ЩР-01</v>
      </c>
      <c r="AC191" t="str">
        <v>Ввод 1</v>
      </c>
    </row>
    <row r="192" spans="6:29" x14ac:dyDescent="0.3">
      <c r="F192" s="6"/>
      <c r="G192" s="6"/>
      <c r="AA192">
        <v>1</v>
      </c>
      <c r="AB192" t="str">
        <v>ЩР-01</v>
      </c>
      <c r="AC192" t="str">
        <v>Ввод 1</v>
      </c>
    </row>
    <row r="193" spans="6:29" x14ac:dyDescent="0.3">
      <c r="F193" s="6"/>
      <c r="G193" s="6"/>
      <c r="AA193">
        <v>1</v>
      </c>
      <c r="AB193" t="str">
        <v>ЩР-01</v>
      </c>
      <c r="AC193" t="str">
        <v>Ввод 1</v>
      </c>
    </row>
    <row r="194" spans="6:29" x14ac:dyDescent="0.3">
      <c r="F194" s="6"/>
      <c r="G194" s="6"/>
      <c r="AA194">
        <v>1</v>
      </c>
      <c r="AB194" t="str">
        <v>ЩР-01</v>
      </c>
      <c r="AC194" t="str">
        <v>Ввод 1</v>
      </c>
    </row>
    <row r="195" spans="6:29" x14ac:dyDescent="0.3">
      <c r="F195" s="6"/>
      <c r="G195" s="6"/>
      <c r="AA195">
        <v>1</v>
      </c>
      <c r="AB195" t="str">
        <v>ЩР-01</v>
      </c>
      <c r="AC195" t="str">
        <v>Ввод 1</v>
      </c>
    </row>
    <row r="196" spans="6:29" x14ac:dyDescent="0.3">
      <c r="F196" s="6"/>
      <c r="G196" s="6"/>
      <c r="AA196">
        <v>1</v>
      </c>
      <c r="AB196" t="str">
        <v>ЩР-01</v>
      </c>
      <c r="AC196" t="str">
        <v>Ввод 1</v>
      </c>
    </row>
    <row r="197" spans="6:29" x14ac:dyDescent="0.3">
      <c r="F197" s="6"/>
      <c r="G197" s="6"/>
      <c r="AA197">
        <v>1</v>
      </c>
      <c r="AB197" t="str">
        <v>ЩР-01</v>
      </c>
      <c r="AC197" t="str">
        <v>Ввод 1</v>
      </c>
    </row>
    <row r="198" spans="6:29" x14ac:dyDescent="0.3">
      <c r="F198" s="6"/>
      <c r="G198" s="6"/>
      <c r="AA198">
        <v>1</v>
      </c>
      <c r="AB198" t="str">
        <v>ЩР-01</v>
      </c>
      <c r="AC198" t="str">
        <v>Ввод 1</v>
      </c>
    </row>
    <row r="199" spans="6:29" x14ac:dyDescent="0.3">
      <c r="F199" s="6"/>
      <c r="G199" s="6"/>
      <c r="AA199">
        <v>1</v>
      </c>
      <c r="AB199" t="str">
        <v>ЩР-01</v>
      </c>
      <c r="AC199" t="str">
        <v>Ввод 1</v>
      </c>
    </row>
    <row r="200" spans="6:29" x14ac:dyDescent="0.3">
      <c r="F200" s="6"/>
      <c r="G200" s="6"/>
      <c r="AA200">
        <v>1</v>
      </c>
      <c r="AB200" t="str">
        <v>ЩР-01</v>
      </c>
      <c r="AC200" t="str">
        <v>Ввод 1</v>
      </c>
    </row>
    <row r="201" spans="6:29" x14ac:dyDescent="0.3">
      <c r="F201" s="6"/>
      <c r="G201" s="6"/>
      <c r="AA201">
        <v>1</v>
      </c>
      <c r="AB201" t="str">
        <v>ЩР-01</v>
      </c>
      <c r="AC201" t="str">
        <v>Ввод 1</v>
      </c>
    </row>
    <row r="202" spans="6:29" x14ac:dyDescent="0.3">
      <c r="F202" s="6"/>
      <c r="G202" s="6"/>
      <c r="AA202">
        <v>1</v>
      </c>
      <c r="AB202" t="str">
        <v>ЩР-01</v>
      </c>
      <c r="AC202" t="str">
        <v>Ввод 1</v>
      </c>
    </row>
    <row r="203" spans="6:29" x14ac:dyDescent="0.3">
      <c r="F203" s="6"/>
      <c r="G203" s="6"/>
      <c r="AA203">
        <v>1</v>
      </c>
      <c r="AB203" t="str">
        <v>ЩР-01</v>
      </c>
      <c r="AC203" t="str">
        <v>Ввод 1</v>
      </c>
    </row>
    <row r="204" spans="6:29" x14ac:dyDescent="0.3">
      <c r="F204" s="6"/>
      <c r="G204" s="6"/>
      <c r="AA204">
        <v>1</v>
      </c>
      <c r="AB204" t="str">
        <v>ЩР-01</v>
      </c>
      <c r="AC204" t="str">
        <v>Ввод 1</v>
      </c>
    </row>
    <row r="205" spans="6:29" x14ac:dyDescent="0.3">
      <c r="F205" s="6"/>
      <c r="G205" s="6"/>
      <c r="AA205">
        <v>1</v>
      </c>
      <c r="AB205" t="str">
        <v>ЩР-01</v>
      </c>
      <c r="AC205" t="str">
        <v>Ввод 1</v>
      </c>
    </row>
    <row r="206" spans="6:29" x14ac:dyDescent="0.3">
      <c r="F206" s="6"/>
      <c r="G206" s="6"/>
      <c r="AA206">
        <v>1</v>
      </c>
      <c r="AB206" t="str">
        <v>ЩР-01</v>
      </c>
      <c r="AC206" t="str">
        <v>Ввод 1</v>
      </c>
    </row>
    <row r="207" spans="6:29" x14ac:dyDescent="0.3">
      <c r="F207" s="6"/>
      <c r="G207" s="6"/>
      <c r="AA207">
        <v>1</v>
      </c>
      <c r="AB207" t="str">
        <v>ЩР-01</v>
      </c>
      <c r="AC207" t="str">
        <v>Ввод 1</v>
      </c>
    </row>
    <row r="208" spans="6:29" x14ac:dyDescent="0.3">
      <c r="F208" s="6"/>
      <c r="G208" s="6"/>
      <c r="AA208">
        <v>1</v>
      </c>
      <c r="AB208" t="str">
        <v>ЩР-01</v>
      </c>
      <c r="AC208" t="str">
        <v>Ввод 1</v>
      </c>
    </row>
    <row r="209" spans="6:29" x14ac:dyDescent="0.3">
      <c r="F209" s="6"/>
      <c r="G209" s="6"/>
      <c r="AA209">
        <v>1</v>
      </c>
      <c r="AB209" t="str">
        <v>ЩР-01</v>
      </c>
      <c r="AC209" t="str">
        <v>Ввод 1</v>
      </c>
    </row>
    <row r="210" spans="6:29" x14ac:dyDescent="0.3">
      <c r="F210" s="6"/>
      <c r="G210" s="6"/>
      <c r="AA210">
        <v>1</v>
      </c>
      <c r="AB210" t="str">
        <v>ЩР-01</v>
      </c>
      <c r="AC210" t="str">
        <v>Ввод 1</v>
      </c>
    </row>
    <row r="211" spans="6:29" x14ac:dyDescent="0.3">
      <c r="F211" s="6"/>
      <c r="G211" s="6"/>
      <c r="AA211">
        <v>1</v>
      </c>
      <c r="AB211" t="str">
        <v>ЩР-01</v>
      </c>
      <c r="AC211" t="str">
        <v>Ввод 1</v>
      </c>
    </row>
    <row r="212" spans="6:29" x14ac:dyDescent="0.3">
      <c r="F212" s="6"/>
      <c r="G212" s="6"/>
      <c r="AA212">
        <v>1</v>
      </c>
      <c r="AB212" t="str">
        <v>ЩР-01</v>
      </c>
      <c r="AC212" t="str">
        <v>Ввод 1</v>
      </c>
    </row>
    <row r="213" spans="6:29" x14ac:dyDescent="0.3">
      <c r="F213" s="6"/>
      <c r="G213" s="6"/>
      <c r="AA213">
        <v>1</v>
      </c>
      <c r="AB213" t="str">
        <v>ЩР-01</v>
      </c>
      <c r="AC213" t="str">
        <v>Ввод 1</v>
      </c>
    </row>
    <row r="214" spans="6:29" x14ac:dyDescent="0.3">
      <c r="F214" s="6"/>
      <c r="G214" s="6"/>
      <c r="AA214">
        <v>1</v>
      </c>
      <c r="AB214" t="str">
        <v>ЩР-01</v>
      </c>
      <c r="AC214" t="str">
        <v>Ввод 1</v>
      </c>
    </row>
    <row r="215" spans="6:29" x14ac:dyDescent="0.3">
      <c r="F215" s="6"/>
      <c r="G215" s="6"/>
      <c r="AA215">
        <v>1</v>
      </c>
      <c r="AB215" t="str">
        <v>ЩР-01</v>
      </c>
      <c r="AC215" t="str">
        <v>Ввод 1</v>
      </c>
    </row>
    <row r="216" spans="6:29" x14ac:dyDescent="0.3">
      <c r="F216" s="6"/>
      <c r="G216" s="6"/>
      <c r="AA216">
        <v>1</v>
      </c>
      <c r="AB216" t="str">
        <v>ЩР-01</v>
      </c>
      <c r="AC216" t="str">
        <v>Ввод 1</v>
      </c>
    </row>
    <row r="217" spans="6:29" x14ac:dyDescent="0.3">
      <c r="F217" s="6"/>
      <c r="G217" s="6"/>
      <c r="AA217">
        <v>1</v>
      </c>
      <c r="AB217" t="str">
        <v>ЩР-01</v>
      </c>
      <c r="AC217" t="str">
        <v>Ввод 1</v>
      </c>
    </row>
    <row r="218" spans="6:29" x14ac:dyDescent="0.3">
      <c r="F218" s="6"/>
      <c r="G218" s="6"/>
      <c r="AA218">
        <v>1</v>
      </c>
      <c r="AB218" t="str">
        <v>ЩР-01</v>
      </c>
      <c r="AC218" t="str">
        <v>Ввод 1</v>
      </c>
    </row>
    <row r="219" spans="6:29" x14ac:dyDescent="0.3">
      <c r="F219" s="6"/>
      <c r="G219" s="6"/>
      <c r="AA219">
        <v>1</v>
      </c>
      <c r="AB219" t="str">
        <v>ЩР-01</v>
      </c>
      <c r="AC219" t="str">
        <v>Ввод 1</v>
      </c>
    </row>
    <row r="220" spans="6:29" x14ac:dyDescent="0.3">
      <c r="F220" s="6"/>
      <c r="G220" s="6"/>
      <c r="AA220">
        <v>1</v>
      </c>
      <c r="AB220" t="str">
        <v>ЩР-01</v>
      </c>
      <c r="AC220" t="str">
        <v>Ввод 1</v>
      </c>
    </row>
    <row r="221" spans="6:29" x14ac:dyDescent="0.3">
      <c r="F221" s="6"/>
      <c r="G221" s="6"/>
      <c r="AA221">
        <v>1</v>
      </c>
      <c r="AB221" t="str">
        <v>ЩР-01</v>
      </c>
      <c r="AC221" t="str">
        <v>Ввод 1</v>
      </c>
    </row>
    <row r="222" spans="6:29" x14ac:dyDescent="0.3">
      <c r="F222" s="6"/>
      <c r="G222" s="6"/>
      <c r="AA222">
        <v>1</v>
      </c>
      <c r="AB222" t="str">
        <v>ЩР-01</v>
      </c>
      <c r="AC222" t="str">
        <v>Ввод 1</v>
      </c>
    </row>
    <row r="223" spans="6:29" x14ac:dyDescent="0.3">
      <c r="F223" s="6"/>
      <c r="G223" s="6"/>
      <c r="AA223">
        <v>1</v>
      </c>
      <c r="AB223" t="str">
        <v>ЩР-01</v>
      </c>
      <c r="AC223" t="str">
        <v>Ввод 1</v>
      </c>
    </row>
    <row r="224" spans="6:29" x14ac:dyDescent="0.3">
      <c r="F224" s="6"/>
      <c r="G224" s="6"/>
      <c r="AA224">
        <v>1</v>
      </c>
      <c r="AB224" t="str">
        <v>ЩР-1</v>
      </c>
      <c r="AC224" t="str">
        <v>Ввод 2</v>
      </c>
    </row>
    <row r="225" spans="6:29" x14ac:dyDescent="0.3">
      <c r="F225" s="6"/>
      <c r="G225" s="6"/>
      <c r="AA225">
        <v>1</v>
      </c>
      <c r="AB225" t="str">
        <v>ЩР-1</v>
      </c>
      <c r="AC225" t="str">
        <v>Ввод 2</v>
      </c>
    </row>
    <row r="226" spans="6:29" x14ac:dyDescent="0.3">
      <c r="F226" s="6"/>
      <c r="G226" s="6"/>
      <c r="AA226">
        <v>1</v>
      </c>
      <c r="AB226" t="str">
        <v>ЩР-1</v>
      </c>
      <c r="AC226" t="str">
        <v>Ввод 2</v>
      </c>
    </row>
    <row r="227" spans="6:29" x14ac:dyDescent="0.3">
      <c r="F227" s="6"/>
      <c r="G227" s="6"/>
      <c r="AA227">
        <v>1</v>
      </c>
      <c r="AB227" t="str">
        <v>ЩР-1</v>
      </c>
      <c r="AC227" t="str">
        <v>Ввод 2</v>
      </c>
    </row>
    <row r="228" spans="6:29" x14ac:dyDescent="0.3">
      <c r="F228" s="6"/>
      <c r="G228" s="6"/>
      <c r="AA228">
        <v>1</v>
      </c>
      <c r="AB228" t="str">
        <v>ЩР-1</v>
      </c>
      <c r="AC228" t="str">
        <v>Ввод 2</v>
      </c>
    </row>
    <row r="229" spans="6:29" x14ac:dyDescent="0.3">
      <c r="F229" s="6"/>
      <c r="G229" s="6"/>
      <c r="AA229">
        <v>1</v>
      </c>
      <c r="AB229" t="str">
        <v>ЩР-1</v>
      </c>
      <c r="AC229" t="str">
        <v>Ввод 2</v>
      </c>
    </row>
    <row r="230" spans="6:29" x14ac:dyDescent="0.3">
      <c r="F230" s="6"/>
      <c r="G230" s="6"/>
      <c r="AA230">
        <v>1</v>
      </c>
      <c r="AB230" t="str">
        <v>ЩР-1</v>
      </c>
      <c r="AC230" t="str">
        <v>Ввод 2</v>
      </c>
    </row>
    <row r="231" spans="6:29" x14ac:dyDescent="0.3">
      <c r="F231" s="6"/>
      <c r="G231" s="6"/>
      <c r="AA231">
        <v>1</v>
      </c>
      <c r="AB231" t="str">
        <v>ЩР-1</v>
      </c>
      <c r="AC231" t="str">
        <v>Ввод 2</v>
      </c>
    </row>
    <row r="232" spans="6:29" x14ac:dyDescent="0.3">
      <c r="F232" s="6"/>
      <c r="G232" s="6"/>
      <c r="AA232">
        <v>1</v>
      </c>
      <c r="AB232" t="str">
        <v>ЩР-1</v>
      </c>
      <c r="AC232" t="str">
        <v>Ввод 2</v>
      </c>
    </row>
    <row r="233" spans="6:29" x14ac:dyDescent="0.3">
      <c r="F233" s="6"/>
      <c r="G233" s="6"/>
      <c r="AA233">
        <v>1</v>
      </c>
      <c r="AB233" t="str">
        <v>ЩР-1</v>
      </c>
      <c r="AC233" t="str">
        <v>Ввод 2</v>
      </c>
    </row>
    <row r="234" spans="6:29" x14ac:dyDescent="0.3">
      <c r="F234" s="6"/>
      <c r="G234" s="6"/>
      <c r="AA234">
        <v>1</v>
      </c>
      <c r="AB234" t="str">
        <v>ЩР-1</v>
      </c>
      <c r="AC234" t="str">
        <v>Ввод 2</v>
      </c>
    </row>
    <row r="235" spans="6:29" x14ac:dyDescent="0.3">
      <c r="F235" s="6"/>
      <c r="G235" s="6"/>
      <c r="AA235">
        <v>1</v>
      </c>
      <c r="AB235" t="str">
        <v>ЩР-1</v>
      </c>
      <c r="AC235" t="str">
        <v>Ввод 2</v>
      </c>
    </row>
    <row r="236" spans="6:29" x14ac:dyDescent="0.3">
      <c r="F236" s="6"/>
      <c r="G236" s="6"/>
      <c r="AA236">
        <v>1</v>
      </c>
      <c r="AB236" t="str">
        <v>ЩР-1</v>
      </c>
      <c r="AC236" t="str">
        <v>Ввод 2</v>
      </c>
    </row>
    <row r="237" spans="6:29" x14ac:dyDescent="0.3">
      <c r="F237" s="6"/>
      <c r="G237" s="6"/>
      <c r="AA237">
        <v>1</v>
      </c>
      <c r="AB237" t="str">
        <v>ЩР-1</v>
      </c>
      <c r="AC237" t="str">
        <v>Ввод 2</v>
      </c>
    </row>
    <row r="238" spans="6:29" x14ac:dyDescent="0.3">
      <c r="F238" s="6"/>
      <c r="G238" s="6"/>
      <c r="AA238">
        <v>1</v>
      </c>
      <c r="AB238" t="str">
        <v>ЩР-1</v>
      </c>
      <c r="AC238" t="str">
        <v>Ввод 2</v>
      </c>
    </row>
    <row r="239" spans="6:29" x14ac:dyDescent="0.3">
      <c r="F239" s="6"/>
      <c r="G239" s="6"/>
      <c r="AA239">
        <v>1</v>
      </c>
      <c r="AB239" t="str">
        <v>ЩР-1</v>
      </c>
      <c r="AC239" t="str">
        <v>Ввод 2</v>
      </c>
    </row>
    <row r="240" spans="6:29" x14ac:dyDescent="0.3">
      <c r="F240" s="6"/>
      <c r="G240" s="6"/>
      <c r="AA240">
        <v>1</v>
      </c>
      <c r="AB240" t="str">
        <v>ЩР-1</v>
      </c>
      <c r="AC240" t="str">
        <v>Ввод 2</v>
      </c>
    </row>
    <row r="241" spans="6:29" x14ac:dyDescent="0.3">
      <c r="F241" s="6"/>
      <c r="G241" s="6"/>
      <c r="AA241">
        <v>1</v>
      </c>
      <c r="AB241" t="str">
        <v>ЩР-1</v>
      </c>
      <c r="AC241" t="str">
        <v>Ввод 2</v>
      </c>
    </row>
    <row r="242" spans="6:29" x14ac:dyDescent="0.3">
      <c r="F242" s="6"/>
      <c r="G242" s="6"/>
      <c r="AA242">
        <v>1</v>
      </c>
      <c r="AB242" t="str">
        <v>ЩР-1</v>
      </c>
      <c r="AC242" t="str">
        <v>Ввод 2</v>
      </c>
    </row>
    <row r="243" spans="6:29" x14ac:dyDescent="0.3">
      <c r="F243" s="6"/>
      <c r="G243" s="6"/>
      <c r="AA243">
        <v>1</v>
      </c>
      <c r="AB243" t="str">
        <v>ЩР-1</v>
      </c>
      <c r="AC243" t="str">
        <v>Ввод 2</v>
      </c>
    </row>
    <row r="244" spans="6:29" x14ac:dyDescent="0.3">
      <c r="F244" s="6"/>
      <c r="G244" s="6"/>
      <c r="AA244">
        <v>1</v>
      </c>
      <c r="AB244" t="str">
        <v>ЩР-1</v>
      </c>
      <c r="AC244" t="str">
        <v>Ввод 2</v>
      </c>
    </row>
    <row r="245" spans="6:29" x14ac:dyDescent="0.3">
      <c r="F245" s="6"/>
      <c r="G245" s="6"/>
      <c r="AA245">
        <v>1</v>
      </c>
      <c r="AB245" t="str">
        <v>ЩР-1</v>
      </c>
      <c r="AC245" t="str">
        <v>Ввод 2</v>
      </c>
    </row>
    <row r="246" spans="6:29" x14ac:dyDescent="0.3">
      <c r="F246" s="6"/>
      <c r="G246" s="6"/>
      <c r="AA246">
        <v>1</v>
      </c>
      <c r="AB246" t="str">
        <v>ЩР-1</v>
      </c>
      <c r="AC246" t="str">
        <v>Ввод 2</v>
      </c>
    </row>
    <row r="247" spans="6:29" x14ac:dyDescent="0.3">
      <c r="F247" s="6"/>
      <c r="G247" s="6"/>
      <c r="AA247">
        <v>1</v>
      </c>
      <c r="AB247" t="str">
        <v>ЩР-1</v>
      </c>
      <c r="AC247" t="str">
        <v>Ввод 2</v>
      </c>
    </row>
    <row r="248" spans="6:29" x14ac:dyDescent="0.3">
      <c r="F248" s="6"/>
      <c r="G248" s="6"/>
      <c r="AA248">
        <v>1</v>
      </c>
      <c r="AB248" t="str">
        <v>ЩР-1</v>
      </c>
      <c r="AC248" t="str">
        <v>Ввод 2</v>
      </c>
    </row>
    <row r="249" spans="6:29" x14ac:dyDescent="0.3">
      <c r="F249" s="6"/>
      <c r="G249" s="6"/>
      <c r="AA249">
        <v>1</v>
      </c>
      <c r="AB249" t="str">
        <v>ЩР-1</v>
      </c>
      <c r="AC249" t="str">
        <v>Ввод 2</v>
      </c>
    </row>
    <row r="250" spans="6:29" x14ac:dyDescent="0.3">
      <c r="F250" s="6"/>
      <c r="G250" s="6"/>
      <c r="AA250">
        <v>1</v>
      </c>
      <c r="AB250" t="str">
        <v>ЩР-1</v>
      </c>
      <c r="AC250" t="str">
        <v>Ввод 2</v>
      </c>
    </row>
    <row r="251" spans="6:29" x14ac:dyDescent="0.3">
      <c r="F251" s="6"/>
      <c r="G251" s="6"/>
      <c r="AA251">
        <v>1</v>
      </c>
      <c r="AB251" t="str">
        <v>ЩР-1</v>
      </c>
      <c r="AC251" t="str">
        <v>Ввод 2</v>
      </c>
    </row>
    <row r="252" spans="6:29" x14ac:dyDescent="0.3">
      <c r="F252" s="6"/>
      <c r="G252" s="6"/>
      <c r="AA252">
        <v>1</v>
      </c>
      <c r="AB252" t="str">
        <v>ЩР-1</v>
      </c>
      <c r="AC252" t="str">
        <v>Ввод 2</v>
      </c>
    </row>
    <row r="253" spans="6:29" x14ac:dyDescent="0.3">
      <c r="F253" s="6"/>
      <c r="G253" s="6"/>
      <c r="AA253">
        <v>1</v>
      </c>
      <c r="AB253" t="str">
        <v>ЩР-1</v>
      </c>
      <c r="AC253" t="str">
        <v>Ввод 2</v>
      </c>
    </row>
    <row r="254" spans="6:29" x14ac:dyDescent="0.3">
      <c r="F254" s="6"/>
      <c r="G254" s="6"/>
      <c r="AA254">
        <v>1</v>
      </c>
      <c r="AB254" t="str">
        <v>ЩР-1</v>
      </c>
      <c r="AC254" t="str">
        <v>Ввод 2</v>
      </c>
    </row>
    <row r="255" spans="6:29" x14ac:dyDescent="0.3">
      <c r="F255" s="6"/>
      <c r="G255" s="6"/>
      <c r="AA255">
        <v>1</v>
      </c>
      <c r="AB255" t="str">
        <v>ЩР-1</v>
      </c>
      <c r="AC255" t="str">
        <v>Ввод 2</v>
      </c>
    </row>
    <row r="256" spans="6:29" x14ac:dyDescent="0.3">
      <c r="F256" s="6"/>
      <c r="G256" s="6"/>
      <c r="AA256">
        <v>1</v>
      </c>
      <c r="AB256" t="str">
        <v>ЩР-1</v>
      </c>
      <c r="AC256" t="str">
        <v>Ввод 2</v>
      </c>
    </row>
    <row r="257" spans="6:29" x14ac:dyDescent="0.3">
      <c r="F257" s="6"/>
      <c r="G257" s="6"/>
      <c r="AA257">
        <v>1</v>
      </c>
      <c r="AB257" t="str">
        <v>ЩР-1</v>
      </c>
      <c r="AC257" t="str">
        <v>Ввод 2</v>
      </c>
    </row>
    <row r="258" spans="6:29" x14ac:dyDescent="0.3">
      <c r="F258" s="6"/>
      <c r="G258" s="6"/>
      <c r="AA258">
        <v>1</v>
      </c>
      <c r="AB258" t="str">
        <v>ЩР-1</v>
      </c>
      <c r="AC258" t="str">
        <v>Ввод 2</v>
      </c>
    </row>
    <row r="259" spans="6:29" x14ac:dyDescent="0.3">
      <c r="F259" s="6"/>
      <c r="G259" s="6"/>
      <c r="AA259">
        <v>1</v>
      </c>
      <c r="AB259" t="str">
        <v>ЩР-1</v>
      </c>
      <c r="AC259" t="str">
        <v>Ввод 2</v>
      </c>
    </row>
    <row r="260" spans="6:29" x14ac:dyDescent="0.3">
      <c r="F260" s="6"/>
      <c r="G260" s="6"/>
      <c r="AA260">
        <v>1</v>
      </c>
      <c r="AB260" t="str">
        <v>ЩР-1</v>
      </c>
      <c r="AC260" t="str">
        <v>Ввод 2</v>
      </c>
    </row>
    <row r="261" spans="6:29" x14ac:dyDescent="0.3">
      <c r="F261" s="6"/>
      <c r="G261" s="6"/>
      <c r="AA261">
        <v>1</v>
      </c>
      <c r="AB261" t="str">
        <v>ЩР-1</v>
      </c>
      <c r="AC261" t="str">
        <v>Ввод 2</v>
      </c>
    </row>
    <row r="262" spans="6:29" x14ac:dyDescent="0.3">
      <c r="F262" s="6"/>
      <c r="G262" s="6"/>
      <c r="AA262">
        <v>1</v>
      </c>
      <c r="AB262" t="str">
        <v>ЩР-1</v>
      </c>
      <c r="AC262" t="str">
        <v>Ввод 2</v>
      </c>
    </row>
    <row r="263" spans="6:29" x14ac:dyDescent="0.3">
      <c r="F263" s="6"/>
      <c r="G263" s="6"/>
      <c r="AA263">
        <v>1</v>
      </c>
      <c r="AB263" t="str">
        <v>ЩР-1</v>
      </c>
      <c r="AC263" t="str">
        <v>Ввод 2</v>
      </c>
    </row>
    <row r="264" spans="6:29" x14ac:dyDescent="0.3">
      <c r="F264" s="6"/>
      <c r="G264" s="6"/>
      <c r="AA264">
        <v>1</v>
      </c>
      <c r="AB264" t="str">
        <v>ЩР-1</v>
      </c>
      <c r="AC264" t="str">
        <v>Ввод 2</v>
      </c>
    </row>
    <row r="265" spans="6:29" x14ac:dyDescent="0.3">
      <c r="F265" s="6"/>
      <c r="G265" s="6"/>
      <c r="AA265">
        <v>1</v>
      </c>
      <c r="AB265" t="str">
        <v>ЩР-1</v>
      </c>
      <c r="AC265" t="str">
        <v>Ввод 2</v>
      </c>
    </row>
    <row r="266" spans="6:29" x14ac:dyDescent="0.3">
      <c r="F266" s="6"/>
      <c r="G266" s="6"/>
      <c r="AA266">
        <v>1</v>
      </c>
      <c r="AB266" t="str">
        <v>ЩР-1</v>
      </c>
      <c r="AC266" t="str">
        <v>Ввод 2</v>
      </c>
    </row>
    <row r="267" spans="6:29" x14ac:dyDescent="0.3">
      <c r="F267" s="6"/>
      <c r="G267" s="6"/>
      <c r="AA267">
        <v>1</v>
      </c>
      <c r="AB267" t="str">
        <v>ЩР-1</v>
      </c>
      <c r="AC267" t="str">
        <v>Ввод 2</v>
      </c>
    </row>
    <row r="268" spans="6:29" x14ac:dyDescent="0.3">
      <c r="F268" s="6"/>
      <c r="G268" s="6"/>
      <c r="AA268">
        <v>1</v>
      </c>
      <c r="AB268" t="str">
        <v>ЩР-1</v>
      </c>
      <c r="AC268" t="str">
        <v>Ввод 2</v>
      </c>
    </row>
    <row r="269" spans="6:29" x14ac:dyDescent="0.3">
      <c r="F269" s="6"/>
      <c r="G269" s="6"/>
      <c r="AA269">
        <v>1</v>
      </c>
      <c r="AB269" t="str">
        <v>ЩР-1</v>
      </c>
      <c r="AC269" t="str">
        <v>Ввод 2</v>
      </c>
    </row>
    <row r="270" spans="6:29" x14ac:dyDescent="0.3">
      <c r="F270" s="6"/>
      <c r="G270" s="6"/>
      <c r="AA270">
        <v>1</v>
      </c>
      <c r="AB270" t="str">
        <v>ЩР-1</v>
      </c>
      <c r="AC270" t="str">
        <v>Ввод 2</v>
      </c>
    </row>
    <row r="271" spans="6:29" x14ac:dyDescent="0.3">
      <c r="F271" s="6"/>
      <c r="G271" s="6"/>
      <c r="AA271">
        <v>1</v>
      </c>
      <c r="AB271" t="str">
        <v>ЩР-1</v>
      </c>
      <c r="AC271" t="str">
        <v>Ввод 2</v>
      </c>
    </row>
    <row r="272" spans="6:29" x14ac:dyDescent="0.3">
      <c r="F272" s="6"/>
      <c r="G272" s="6"/>
      <c r="AA272">
        <v>1</v>
      </c>
      <c r="AB272" t="str">
        <v>ЩР-1</v>
      </c>
      <c r="AC272" t="str">
        <v>Ввод 2</v>
      </c>
    </row>
    <row r="273" spans="6:29" x14ac:dyDescent="0.3">
      <c r="F273" s="6"/>
      <c r="G273" s="6"/>
      <c r="AA273">
        <v>1</v>
      </c>
      <c r="AB273" t="str">
        <v>ЩР-1</v>
      </c>
      <c r="AC273" t="str">
        <v>Ввод 2</v>
      </c>
    </row>
    <row r="274" spans="6:29" x14ac:dyDescent="0.3">
      <c r="F274" s="6"/>
      <c r="G274" s="6"/>
      <c r="AA274">
        <v>1</v>
      </c>
      <c r="AB274" t="str">
        <v>ЩР-1</v>
      </c>
      <c r="AC274" t="str">
        <v>Ввод 2</v>
      </c>
    </row>
    <row r="275" spans="6:29" x14ac:dyDescent="0.3">
      <c r="F275" s="6"/>
      <c r="G275" s="6"/>
      <c r="AA275">
        <v>1</v>
      </c>
      <c r="AB275" t="str">
        <v>ЩР-1</v>
      </c>
      <c r="AC275" t="str">
        <v>Ввод 2</v>
      </c>
    </row>
    <row r="276" spans="6:29" x14ac:dyDescent="0.3">
      <c r="F276" s="6"/>
      <c r="G276" s="6"/>
      <c r="AA276">
        <v>1</v>
      </c>
      <c r="AB276" t="str">
        <v>ЩР-1</v>
      </c>
      <c r="AC276" t="str">
        <v>Ввод 2</v>
      </c>
    </row>
    <row r="277" spans="6:29" x14ac:dyDescent="0.3">
      <c r="F277" s="6"/>
      <c r="G277" s="6"/>
      <c r="AA277">
        <v>1</v>
      </c>
      <c r="AB277" t="str">
        <v>ЩР-1</v>
      </c>
      <c r="AC277" t="str">
        <v>Ввод 2</v>
      </c>
    </row>
    <row r="278" spans="6:29" x14ac:dyDescent="0.3">
      <c r="F278" s="6"/>
      <c r="G278" s="6"/>
      <c r="AA278">
        <v>1</v>
      </c>
      <c r="AB278" t="str">
        <v>ЩР-1</v>
      </c>
      <c r="AC278" t="str">
        <v>Ввод 2</v>
      </c>
    </row>
    <row r="279" spans="6:29" x14ac:dyDescent="0.3">
      <c r="F279" s="6"/>
      <c r="G279" s="6"/>
      <c r="AA279">
        <v>1</v>
      </c>
      <c r="AB279" t="str">
        <v>ЩР-1</v>
      </c>
      <c r="AC279" t="str">
        <v>Ввод 2</v>
      </c>
    </row>
    <row r="280" spans="6:29" x14ac:dyDescent="0.3">
      <c r="F280" s="6"/>
      <c r="G280" s="6"/>
      <c r="AA280">
        <v>1</v>
      </c>
      <c r="AB280" t="str">
        <v>ЩР-1</v>
      </c>
      <c r="AC280" t="str">
        <v>Ввод 2</v>
      </c>
    </row>
    <row r="281" spans="6:29" x14ac:dyDescent="0.3">
      <c r="F281" s="6"/>
      <c r="G281" s="6"/>
      <c r="AA281">
        <v>1</v>
      </c>
      <c r="AB281" t="str">
        <v>ЩР-1</v>
      </c>
      <c r="AC281" t="str">
        <v>Ввод 2</v>
      </c>
    </row>
    <row r="282" spans="6:29" x14ac:dyDescent="0.3">
      <c r="F282" s="6"/>
      <c r="G282" s="6"/>
      <c r="AA282">
        <v>1</v>
      </c>
      <c r="AB282" t="str">
        <v>ЩР-1</v>
      </c>
      <c r="AC282" t="str">
        <v>Ввод 2</v>
      </c>
    </row>
    <row r="283" spans="6:29" x14ac:dyDescent="0.3">
      <c r="F283" s="6"/>
      <c r="G283" s="6"/>
      <c r="AA283">
        <v>1</v>
      </c>
      <c r="AB283" t="str">
        <v>ЩР-2</v>
      </c>
      <c r="AC283" t="str">
        <v>Ввод 1</v>
      </c>
    </row>
    <row r="284" spans="6:29" x14ac:dyDescent="0.3">
      <c r="F284" s="6"/>
      <c r="G284" s="6"/>
      <c r="AA284">
        <v>1</v>
      </c>
      <c r="AB284" t="str">
        <v>ЩР-2</v>
      </c>
      <c r="AC284" t="str">
        <v>Ввод 1</v>
      </c>
    </row>
    <row r="285" spans="6:29" x14ac:dyDescent="0.3">
      <c r="F285" s="6"/>
      <c r="G285" s="6"/>
      <c r="AA285">
        <v>1</v>
      </c>
      <c r="AB285" t="str">
        <v>ЩР-2</v>
      </c>
      <c r="AC285" t="str">
        <v>Ввод 1</v>
      </c>
    </row>
    <row r="286" spans="6:29" x14ac:dyDescent="0.3">
      <c r="F286" s="6"/>
      <c r="G286" s="6"/>
      <c r="AA286">
        <v>1</v>
      </c>
      <c r="AB286" t="str">
        <v>ЩР-2</v>
      </c>
      <c r="AC286" t="str">
        <v>Ввод 1</v>
      </c>
    </row>
    <row r="287" spans="6:29" x14ac:dyDescent="0.3">
      <c r="F287" s="6"/>
      <c r="G287" s="6"/>
      <c r="AA287">
        <v>1</v>
      </c>
      <c r="AB287" t="str">
        <v>ЩР-2</v>
      </c>
      <c r="AC287" t="str">
        <v>Ввод 1</v>
      </c>
    </row>
    <row r="288" spans="6:29" x14ac:dyDescent="0.3">
      <c r="F288" s="6"/>
      <c r="G288" s="6"/>
      <c r="AA288">
        <v>1</v>
      </c>
      <c r="AB288" t="str">
        <v>ЩР-2</v>
      </c>
      <c r="AC288" t="str">
        <v>Ввод 1</v>
      </c>
    </row>
    <row r="289" spans="6:29" x14ac:dyDescent="0.3">
      <c r="F289" s="6"/>
      <c r="G289" s="6"/>
      <c r="AA289">
        <v>1</v>
      </c>
      <c r="AB289" t="str">
        <v>ЩР-2</v>
      </c>
      <c r="AC289" t="str">
        <v>Ввод 1</v>
      </c>
    </row>
    <row r="290" spans="6:29" x14ac:dyDescent="0.3">
      <c r="F290" s="6"/>
      <c r="G290" s="6"/>
      <c r="AA290">
        <v>1</v>
      </c>
      <c r="AB290" t="str">
        <v>ЩР-2</v>
      </c>
      <c r="AC290" t="str">
        <v>Ввод 1</v>
      </c>
    </row>
    <row r="291" spans="6:29" x14ac:dyDescent="0.3">
      <c r="F291" s="6"/>
      <c r="G291" s="6"/>
      <c r="AA291">
        <v>1</v>
      </c>
      <c r="AB291" t="str">
        <v>ЩР-2</v>
      </c>
      <c r="AC291" t="str">
        <v>Ввод 1</v>
      </c>
    </row>
    <row r="292" spans="6:29" x14ac:dyDescent="0.3">
      <c r="F292" s="6"/>
      <c r="G292" s="6"/>
      <c r="AA292">
        <v>1</v>
      </c>
      <c r="AB292" t="str">
        <v>ЩР-2</v>
      </c>
      <c r="AC292" t="str">
        <v>Ввод 1</v>
      </c>
    </row>
    <row r="293" spans="6:29" x14ac:dyDescent="0.3">
      <c r="F293" s="6"/>
      <c r="G293" s="6"/>
      <c r="AA293">
        <v>1</v>
      </c>
      <c r="AB293" t="str">
        <v>ЩР-2</v>
      </c>
      <c r="AC293" t="str">
        <v>Ввод 1</v>
      </c>
    </row>
    <row r="294" spans="6:29" x14ac:dyDescent="0.3">
      <c r="F294" s="6"/>
      <c r="G294" s="6"/>
      <c r="AA294">
        <v>1</v>
      </c>
      <c r="AB294" t="str">
        <v>ЩР-2</v>
      </c>
      <c r="AC294" t="str">
        <v>Ввод 1</v>
      </c>
    </row>
    <row r="295" spans="6:29" x14ac:dyDescent="0.3">
      <c r="F295" s="6"/>
      <c r="G295" s="6"/>
      <c r="AA295">
        <v>1</v>
      </c>
      <c r="AB295" t="str">
        <v>ЩР-2</v>
      </c>
      <c r="AC295" t="str">
        <v>Ввод 1</v>
      </c>
    </row>
    <row r="296" spans="6:29" x14ac:dyDescent="0.3">
      <c r="F296" s="6"/>
      <c r="G296" s="6"/>
      <c r="AA296">
        <v>1</v>
      </c>
      <c r="AB296" t="str">
        <v>ЩР-2</v>
      </c>
      <c r="AC296" t="str">
        <v>Ввод 1</v>
      </c>
    </row>
    <row r="297" spans="6:29" x14ac:dyDescent="0.3">
      <c r="F297" s="6"/>
      <c r="G297" s="6"/>
      <c r="AA297">
        <v>1</v>
      </c>
      <c r="AB297" t="str">
        <v>ЩР-2</v>
      </c>
      <c r="AC297" t="str">
        <v>Ввод 1</v>
      </c>
    </row>
    <row r="298" spans="6:29" x14ac:dyDescent="0.3">
      <c r="F298" s="6"/>
      <c r="G298" s="6"/>
      <c r="AA298">
        <v>1</v>
      </c>
      <c r="AB298" t="str">
        <v>ЩР-2</v>
      </c>
      <c r="AC298" t="str">
        <v>Ввод 1</v>
      </c>
    </row>
    <row r="299" spans="6:29" x14ac:dyDescent="0.3">
      <c r="F299" s="6"/>
      <c r="G299" s="6"/>
      <c r="AA299">
        <v>1</v>
      </c>
      <c r="AB299" t="str">
        <v>ЩР-2</v>
      </c>
      <c r="AC299" t="str">
        <v>Ввод 1</v>
      </c>
    </row>
    <row r="300" spans="6:29" x14ac:dyDescent="0.3">
      <c r="F300" s="6"/>
      <c r="G300" s="6"/>
      <c r="AA300">
        <v>1</v>
      </c>
      <c r="AB300" t="str">
        <v>ЩР-2</v>
      </c>
      <c r="AC300" t="str">
        <v>Ввод 1</v>
      </c>
    </row>
    <row r="301" spans="6:29" x14ac:dyDescent="0.3">
      <c r="F301" s="6"/>
      <c r="G301" s="6"/>
      <c r="AA301">
        <v>1</v>
      </c>
      <c r="AB301" t="str">
        <v>ЩР-2</v>
      </c>
      <c r="AC301" t="str">
        <v>Ввод 1</v>
      </c>
    </row>
    <row r="302" spans="6:29" x14ac:dyDescent="0.3">
      <c r="F302" s="6"/>
      <c r="G302" s="6"/>
      <c r="AA302">
        <v>1</v>
      </c>
      <c r="AB302" t="str">
        <v>ЩР-2</v>
      </c>
      <c r="AC302" t="str">
        <v>Ввод 1</v>
      </c>
    </row>
    <row r="303" spans="6:29" x14ac:dyDescent="0.3">
      <c r="F303" s="6"/>
      <c r="G303" s="6"/>
      <c r="AA303">
        <v>1</v>
      </c>
      <c r="AB303" t="str">
        <v>ЩР-2</v>
      </c>
      <c r="AC303" t="str">
        <v>Ввод 1</v>
      </c>
    </row>
    <row r="304" spans="6:29" x14ac:dyDescent="0.3">
      <c r="F304" s="6"/>
      <c r="G304" s="6"/>
      <c r="AA304">
        <v>1</v>
      </c>
      <c r="AB304" t="str">
        <v>ЩР-2</v>
      </c>
      <c r="AC304" t="str">
        <v>Ввод 1</v>
      </c>
    </row>
    <row r="305" spans="6:29" x14ac:dyDescent="0.3">
      <c r="F305" s="6"/>
      <c r="G305" s="6"/>
      <c r="AA305">
        <v>1</v>
      </c>
      <c r="AB305" t="str">
        <v>ЩР-2</v>
      </c>
      <c r="AC305" t="str">
        <v>Ввод 1</v>
      </c>
    </row>
    <row r="306" spans="6:29" x14ac:dyDescent="0.3">
      <c r="F306" s="6"/>
      <c r="G306" s="6"/>
      <c r="AA306">
        <v>1</v>
      </c>
      <c r="AB306" t="str">
        <v>ЩР-2</v>
      </c>
      <c r="AC306" t="str">
        <v>Ввод 1</v>
      </c>
    </row>
    <row r="307" spans="6:29" x14ac:dyDescent="0.3">
      <c r="F307" s="6"/>
      <c r="G307" s="6"/>
      <c r="AA307">
        <v>1</v>
      </c>
      <c r="AB307" t="str">
        <v>ЩР-2</v>
      </c>
      <c r="AC307" t="str">
        <v>Ввод 1</v>
      </c>
    </row>
    <row r="308" spans="6:29" x14ac:dyDescent="0.3">
      <c r="F308" s="6"/>
      <c r="G308" s="6"/>
      <c r="AA308">
        <v>1</v>
      </c>
      <c r="AB308" t="str">
        <v>ЩР-2</v>
      </c>
      <c r="AC308" t="str">
        <v>Ввод 1</v>
      </c>
    </row>
    <row r="309" spans="6:29" x14ac:dyDescent="0.3">
      <c r="F309" s="6"/>
      <c r="G309" s="6"/>
      <c r="AA309">
        <v>1</v>
      </c>
      <c r="AB309" t="str">
        <v>ЩР-2</v>
      </c>
      <c r="AC309" t="str">
        <v>Ввод 1</v>
      </c>
    </row>
    <row r="310" spans="6:29" x14ac:dyDescent="0.3">
      <c r="F310" s="6"/>
      <c r="G310" s="6"/>
      <c r="AA310">
        <v>1</v>
      </c>
      <c r="AB310" t="str">
        <v>ЩР-2</v>
      </c>
      <c r="AC310" t="str">
        <v>Ввод 1</v>
      </c>
    </row>
    <row r="311" spans="6:29" x14ac:dyDescent="0.3">
      <c r="F311" s="6"/>
      <c r="G311" s="6"/>
      <c r="AA311">
        <v>1</v>
      </c>
      <c r="AB311" t="str">
        <v>ЩР-2</v>
      </c>
      <c r="AC311" t="str">
        <v>Ввод 1</v>
      </c>
    </row>
    <row r="312" spans="6:29" x14ac:dyDescent="0.3">
      <c r="F312" s="6"/>
      <c r="G312" s="6"/>
      <c r="AA312">
        <v>1</v>
      </c>
      <c r="AB312" t="str">
        <v>ЩР-2</v>
      </c>
      <c r="AC312" t="str">
        <v>Ввод 1</v>
      </c>
    </row>
    <row r="313" spans="6:29" x14ac:dyDescent="0.3">
      <c r="F313" s="6"/>
      <c r="G313" s="6"/>
      <c r="AA313">
        <v>1</v>
      </c>
      <c r="AB313" t="str">
        <v>ЩС-Б</v>
      </c>
      <c r="AC313" t="str">
        <v>Ввод 1</v>
      </c>
    </row>
    <row r="314" spans="6:29" x14ac:dyDescent="0.3">
      <c r="F314" s="6"/>
      <c r="G314" s="6"/>
      <c r="AA314">
        <v>1</v>
      </c>
      <c r="AB314" t="str">
        <v>ЩС-Б</v>
      </c>
      <c r="AC314" t="str">
        <v>Ввод 1</v>
      </c>
    </row>
    <row r="315" spans="6:29" x14ac:dyDescent="0.3">
      <c r="F315" s="6"/>
      <c r="G315" s="6"/>
      <c r="AA315">
        <v>1</v>
      </c>
      <c r="AB315" t="str">
        <v>ЩС-Б</v>
      </c>
      <c r="AC315" t="str">
        <v>Ввод 1</v>
      </c>
    </row>
    <row r="316" spans="6:29" x14ac:dyDescent="0.3">
      <c r="F316" s="6"/>
      <c r="G316" s="6"/>
      <c r="AA316">
        <v>1</v>
      </c>
      <c r="AB316" t="str">
        <v>ЩС-Б</v>
      </c>
      <c r="AC316" t="str">
        <v>Ввод 1</v>
      </c>
    </row>
    <row r="317" spans="6:29" x14ac:dyDescent="0.3">
      <c r="F317" s="6"/>
      <c r="G317" s="6"/>
      <c r="AA317">
        <v>1</v>
      </c>
      <c r="AB317" t="str">
        <v>ЩС-ВК.001</v>
      </c>
      <c r="AC317" t="str">
        <v>Ввод 2</v>
      </c>
    </row>
    <row r="318" spans="6:29" x14ac:dyDescent="0.3">
      <c r="F318" s="6"/>
      <c r="G318" s="6"/>
      <c r="AA318">
        <v>1</v>
      </c>
      <c r="AB318" t="str">
        <v>ЩС-ВК.001</v>
      </c>
      <c r="AC318" t="str">
        <v>Ввод 2</v>
      </c>
    </row>
    <row r="319" spans="6:29" x14ac:dyDescent="0.3">
      <c r="F319" s="6"/>
      <c r="G319" s="6"/>
      <c r="AA319">
        <v>1</v>
      </c>
      <c r="AB319" t="str">
        <v>ЩС-ВК.001</v>
      </c>
      <c r="AC319" t="str">
        <v>Ввод 2</v>
      </c>
    </row>
    <row r="320" spans="6:29" x14ac:dyDescent="0.3">
      <c r="F320" s="6"/>
      <c r="G320" s="6"/>
      <c r="AA320">
        <v>1</v>
      </c>
      <c r="AB320" t="str">
        <v>ЩС-ВК.001</v>
      </c>
      <c r="AC320" t="str">
        <v>Ввод 2</v>
      </c>
    </row>
    <row r="321" spans="6:29" x14ac:dyDescent="0.3">
      <c r="F321" s="6"/>
      <c r="G321" s="6"/>
      <c r="AA321">
        <v>1</v>
      </c>
      <c r="AB321" t="str">
        <v>ЩС-ВК.001</v>
      </c>
      <c r="AC321" t="str">
        <v>Ввод 2</v>
      </c>
    </row>
    <row r="322" spans="6:29" x14ac:dyDescent="0.3">
      <c r="F322" s="6"/>
      <c r="G322" s="6"/>
      <c r="AA322">
        <v>1</v>
      </c>
      <c r="AB322" t="str">
        <v>ЩС-ВК.001</v>
      </c>
      <c r="AC322" t="str">
        <v>Ввод 2</v>
      </c>
    </row>
    <row r="323" spans="6:29" x14ac:dyDescent="0.3">
      <c r="F323" s="6"/>
      <c r="G323" s="6"/>
      <c r="AA323">
        <v>1</v>
      </c>
      <c r="AB323" t="str">
        <v>ЩС-ВК.001</v>
      </c>
      <c r="AC323" t="str">
        <v>Ввод 2</v>
      </c>
    </row>
    <row r="324" spans="6:29" x14ac:dyDescent="0.3">
      <c r="F324" s="6"/>
      <c r="G324" s="6"/>
      <c r="AA324">
        <v>1</v>
      </c>
      <c r="AB324" t="str">
        <v>ЩС-ВК.001</v>
      </c>
      <c r="AC324" t="str">
        <v>Ввод 2</v>
      </c>
    </row>
    <row r="325" spans="6:29" x14ac:dyDescent="0.3">
      <c r="F325" s="6"/>
      <c r="G325" s="6"/>
      <c r="AA325">
        <v>1</v>
      </c>
      <c r="AB325" t="str">
        <v>ЩС-ВК.002</v>
      </c>
      <c r="AC325" t="str">
        <v>Ввод 2</v>
      </c>
    </row>
    <row r="326" spans="6:29" x14ac:dyDescent="0.3">
      <c r="F326" s="6"/>
      <c r="G326" s="6"/>
      <c r="AA326">
        <v>1</v>
      </c>
      <c r="AB326" t="str">
        <v>ЩС-ВК.002</v>
      </c>
      <c r="AC326" t="str">
        <v>Ввод 2</v>
      </c>
    </row>
    <row r="327" spans="6:29" x14ac:dyDescent="0.3">
      <c r="F327" s="6"/>
      <c r="G327" s="6"/>
      <c r="AA327">
        <v>1</v>
      </c>
      <c r="AB327" t="str">
        <v>ЩС-ВК.002</v>
      </c>
      <c r="AC327" t="str">
        <v>Ввод 2</v>
      </c>
    </row>
    <row r="328" spans="6:29" x14ac:dyDescent="0.3">
      <c r="F328" s="6"/>
      <c r="G328" s="6"/>
      <c r="AA328">
        <v>1</v>
      </c>
      <c r="AB328" t="str">
        <v>ЩС-ВК.002</v>
      </c>
      <c r="AC328" t="str">
        <v>Ввод 2</v>
      </c>
    </row>
    <row r="329" spans="6:29" x14ac:dyDescent="0.3">
      <c r="F329" s="6"/>
      <c r="G329" s="6"/>
      <c r="AA329">
        <v>1</v>
      </c>
      <c r="AB329" t="str">
        <v>ЩС-ВК.002</v>
      </c>
      <c r="AC329" t="str">
        <v>Ввод 2</v>
      </c>
    </row>
    <row r="330" spans="6:29" x14ac:dyDescent="0.3">
      <c r="F330" s="6"/>
      <c r="G330" s="6"/>
      <c r="AA330">
        <v>1</v>
      </c>
      <c r="AB330" t="str">
        <v>ЩС-ВК.003</v>
      </c>
      <c r="AC330" t="str">
        <v>Ввод 2</v>
      </c>
    </row>
    <row r="331" spans="6:29" x14ac:dyDescent="0.3">
      <c r="F331" s="6"/>
      <c r="G331" s="6"/>
      <c r="AA331">
        <v>1</v>
      </c>
      <c r="AB331" t="str">
        <v>ЩС-ВК.003</v>
      </c>
      <c r="AC331" t="str">
        <v>Ввод 2</v>
      </c>
    </row>
    <row r="332" spans="6:29" x14ac:dyDescent="0.3">
      <c r="F332" s="6"/>
      <c r="G332" s="6"/>
      <c r="AA332">
        <v>1</v>
      </c>
      <c r="AB332" t="str">
        <v>ЩС-ВК.003</v>
      </c>
      <c r="AC332" t="str">
        <v>Ввод 2</v>
      </c>
    </row>
    <row r="333" spans="6:29" x14ac:dyDescent="0.3">
      <c r="F333" s="6"/>
      <c r="G333" s="6"/>
      <c r="AA333">
        <v>1</v>
      </c>
      <c r="AB333" t="str">
        <v>ЩС-ВК.003</v>
      </c>
      <c r="AC333" t="str">
        <v>Ввод 2</v>
      </c>
    </row>
    <row r="334" spans="6:29" x14ac:dyDescent="0.3">
      <c r="F334" s="6"/>
      <c r="G334" s="6"/>
      <c r="AA334">
        <v>1</v>
      </c>
      <c r="AB334" t="str">
        <v>ЩС-ВК.003</v>
      </c>
      <c r="AC334" t="str">
        <v>Ввод 2</v>
      </c>
    </row>
    <row r="335" spans="6:29" x14ac:dyDescent="0.3">
      <c r="F335" s="6"/>
      <c r="G335" s="6"/>
      <c r="AA335">
        <v>1</v>
      </c>
      <c r="AB335" t="str">
        <v>ЩСПЗ-ЖД</v>
      </c>
      <c r="AC335" t="str">
        <v>Ввод 1</v>
      </c>
    </row>
    <row r="336" spans="6:29" x14ac:dyDescent="0.3">
      <c r="F336" s="6"/>
      <c r="G336" s="6"/>
      <c r="AA336">
        <v>1</v>
      </c>
      <c r="AB336" t="str">
        <v>ЩСПЗ-ЖД</v>
      </c>
      <c r="AC336" t="str">
        <v>Ввод 1</v>
      </c>
    </row>
    <row r="337" spans="6:29" x14ac:dyDescent="0.3">
      <c r="F337" s="6"/>
      <c r="G337" s="6"/>
      <c r="AA337">
        <v>1</v>
      </c>
      <c r="AB337" t="str">
        <v>ЩСПЗ-ЖД</v>
      </c>
      <c r="AC337" t="str">
        <v>Ввод 1</v>
      </c>
    </row>
    <row r="338" spans="6:29" x14ac:dyDescent="0.3">
      <c r="F338" s="6"/>
      <c r="G338" s="6"/>
      <c r="AA338">
        <v>1</v>
      </c>
      <c r="AB338" t="str">
        <v>ЩСПЗ-ЖД</v>
      </c>
      <c r="AC338" t="str">
        <v>Ввод 1</v>
      </c>
    </row>
    <row r="339" spans="6:29" x14ac:dyDescent="0.3">
      <c r="F339" s="6"/>
      <c r="G339" s="6"/>
      <c r="AA339">
        <v>1</v>
      </c>
      <c r="AB339" t="str">
        <v>ЩСПЗ-ЖД</v>
      </c>
      <c r="AC339" t="str">
        <v>Ввод 1</v>
      </c>
    </row>
    <row r="340" spans="6:29" x14ac:dyDescent="0.3">
      <c r="F340" s="6"/>
      <c r="G340" s="6"/>
      <c r="AA340">
        <v>1</v>
      </c>
      <c r="AB340" t="str">
        <v>ЩСПЗ-ЖД</v>
      </c>
      <c r="AC340" t="str">
        <v>Ввод 1</v>
      </c>
    </row>
    <row r="341" spans="6:29" x14ac:dyDescent="0.3">
      <c r="F341" s="6"/>
      <c r="G341" s="6"/>
      <c r="AA341">
        <v>1</v>
      </c>
      <c r="AB341" t="str">
        <v>ЩУОВ</v>
      </c>
      <c r="AC341" t="str">
        <v>Ввод 1</v>
      </c>
    </row>
    <row r="342" spans="6:29" x14ac:dyDescent="0.3">
      <c r="F342" s="6"/>
      <c r="G342" s="6"/>
      <c r="AA342">
        <v>1</v>
      </c>
      <c r="AB342" t="str">
        <v>ЩУОВ</v>
      </c>
      <c r="AC342" t="str">
        <v>Ввод 1</v>
      </c>
    </row>
    <row r="343" spans="6:29" x14ac:dyDescent="0.3">
      <c r="F343" s="6"/>
      <c r="G343" s="6"/>
      <c r="AA343">
        <v>1</v>
      </c>
      <c r="AB343" t="str">
        <v>ЩУОВ</v>
      </c>
      <c r="AC343" t="str">
        <v>Ввод 1</v>
      </c>
    </row>
    <row r="344" spans="6:29" x14ac:dyDescent="0.3">
      <c r="F344" s="6"/>
      <c r="G344" s="6"/>
      <c r="AA344">
        <v>1</v>
      </c>
      <c r="AB344" t="str">
        <v>ЩУОВ</v>
      </c>
      <c r="AC344" t="str">
        <v>Ввод 1</v>
      </c>
    </row>
    <row r="345" spans="6:29" x14ac:dyDescent="0.3">
      <c r="F345" s="6"/>
      <c r="G345" s="6"/>
      <c r="AA345">
        <v>1</v>
      </c>
      <c r="AB345" t="str">
        <v>ЩУОВ</v>
      </c>
      <c r="AC345" t="str">
        <v>Ввод 1</v>
      </c>
    </row>
    <row r="346" spans="6:29" x14ac:dyDescent="0.3">
      <c r="F346" s="6"/>
      <c r="G346" s="6"/>
      <c r="AA346">
        <v>1</v>
      </c>
      <c r="AB346" t="str">
        <v>ЩУОВ</v>
      </c>
      <c r="AC346" t="str">
        <v>Ввод 1</v>
      </c>
    </row>
    <row r="347" spans="6:29" x14ac:dyDescent="0.3">
      <c r="F347" s="6"/>
      <c r="G347" s="6"/>
      <c r="AA347">
        <v>1</v>
      </c>
      <c r="AB347" t="str">
        <v>ЩУОВ</v>
      </c>
      <c r="AC347" t="str">
        <v>Ввод 1</v>
      </c>
    </row>
    <row r="348" spans="6:29" x14ac:dyDescent="0.3">
      <c r="F348" s="6"/>
      <c r="G348" s="6"/>
      <c r="AA348">
        <v>1</v>
      </c>
      <c r="AB348" t="str">
        <v>ЩУОВ</v>
      </c>
      <c r="AC348" t="str">
        <v>Ввод 1</v>
      </c>
    </row>
    <row r="349" spans="6:29" x14ac:dyDescent="0.3">
      <c r="F349" s="6"/>
      <c r="G349" s="6"/>
      <c r="AA349">
        <v>1</v>
      </c>
      <c r="AB349" t="str">
        <v>ЩУОВ</v>
      </c>
      <c r="AC349" t="str">
        <v>Ввод 1</v>
      </c>
    </row>
    <row r="350" spans="6:29" x14ac:dyDescent="0.3">
      <c r="F350" s="6"/>
      <c r="G350" s="6"/>
      <c r="AA350">
        <v>1</v>
      </c>
      <c r="AB350" t="str">
        <v>ЩУОВ</v>
      </c>
      <c r="AC350" t="str">
        <v>Ввод 1</v>
      </c>
    </row>
    <row r="351" spans="6:29" x14ac:dyDescent="0.3">
      <c r="F351" s="6"/>
      <c r="G351" s="6"/>
      <c r="AA351">
        <v>1</v>
      </c>
      <c r="AB351" t="str">
        <v>ЩУОВ</v>
      </c>
      <c r="AC351" t="str">
        <v>Ввод 1</v>
      </c>
    </row>
    <row r="352" spans="6:29" x14ac:dyDescent="0.3">
      <c r="F352" s="6"/>
      <c r="G352" s="6"/>
      <c r="AA352">
        <v>1</v>
      </c>
      <c r="AB352" t="str">
        <v>ЩУОВ</v>
      </c>
      <c r="AC352" t="str">
        <v>Ввод 1</v>
      </c>
    </row>
    <row r="353" spans="6:7" x14ac:dyDescent="0.3">
      <c r="F353" s="6"/>
      <c r="G353" s="6"/>
    </row>
    <row r="354" spans="6:7" x14ac:dyDescent="0.3">
      <c r="F354" s="6"/>
      <c r="G354" s="6"/>
    </row>
    <row r="355" spans="6:7" x14ac:dyDescent="0.3">
      <c r="F355" s="6"/>
      <c r="G355" s="6"/>
    </row>
    <row r="356" spans="6:7" x14ac:dyDescent="0.3">
      <c r="F356" s="6"/>
      <c r="G356" s="6"/>
    </row>
    <row r="357" spans="6:7" x14ac:dyDescent="0.3">
      <c r="F357" s="6"/>
      <c r="G357" s="6"/>
    </row>
    <row r="358" spans="6:7" x14ac:dyDescent="0.3">
      <c r="F358" s="6"/>
      <c r="G358" s="6"/>
    </row>
    <row r="359" spans="6:7" x14ac:dyDescent="0.3">
      <c r="F359" s="6"/>
      <c r="G359" s="6"/>
    </row>
    <row r="360" spans="6:7" x14ac:dyDescent="0.3">
      <c r="F360" s="6"/>
      <c r="G360" s="6"/>
    </row>
    <row r="361" spans="6:7" x14ac:dyDescent="0.3">
      <c r="F361" s="6"/>
      <c r="G361" s="6"/>
    </row>
    <row r="362" spans="6:7" x14ac:dyDescent="0.3">
      <c r="F362" s="6"/>
      <c r="G362" s="6"/>
    </row>
    <row r="363" spans="6:7" x14ac:dyDescent="0.3">
      <c r="F363" s="6"/>
      <c r="G363" s="6"/>
    </row>
    <row r="364" spans="6:7" x14ac:dyDescent="0.3">
      <c r="F364" s="6"/>
      <c r="G364" s="6"/>
    </row>
    <row r="365" spans="6:7" x14ac:dyDescent="0.3">
      <c r="F365" s="6"/>
      <c r="G365" s="6"/>
    </row>
    <row r="366" spans="6:7" x14ac:dyDescent="0.3">
      <c r="F366" s="6"/>
      <c r="G366" s="6"/>
    </row>
    <row r="367" spans="6:7" x14ac:dyDescent="0.3">
      <c r="F367" s="6"/>
      <c r="G367" s="6"/>
    </row>
    <row r="368" spans="6:7" x14ac:dyDescent="0.3">
      <c r="F368" s="6"/>
      <c r="G368" s="6"/>
    </row>
    <row r="369" spans="6:7" x14ac:dyDescent="0.3">
      <c r="F369" s="6"/>
      <c r="G369" s="6"/>
    </row>
    <row r="370" spans="6:7" x14ac:dyDescent="0.3">
      <c r="F370" s="6"/>
      <c r="G370" s="6"/>
    </row>
    <row r="371" spans="6:7" x14ac:dyDescent="0.3">
      <c r="F371" s="6"/>
      <c r="G371" s="6"/>
    </row>
    <row r="372" spans="6:7" x14ac:dyDescent="0.3">
      <c r="F372" s="6"/>
      <c r="G372" s="6"/>
    </row>
    <row r="373" spans="6:7" x14ac:dyDescent="0.3">
      <c r="F373" s="6"/>
      <c r="G373" s="6"/>
    </row>
    <row r="374" spans="6:7" x14ac:dyDescent="0.3">
      <c r="F374" s="6"/>
      <c r="G374" s="6"/>
    </row>
    <row r="375" spans="6:7" x14ac:dyDescent="0.3">
      <c r="F375" s="6"/>
      <c r="G375" s="6"/>
    </row>
    <row r="376" spans="6:7" x14ac:dyDescent="0.3">
      <c r="F376" s="6"/>
      <c r="G376" s="6"/>
    </row>
    <row r="377" spans="6:7" x14ac:dyDescent="0.3">
      <c r="F377" s="6"/>
      <c r="G377" s="6"/>
    </row>
    <row r="378" spans="6:7" x14ac:dyDescent="0.3">
      <c r="F378" s="6"/>
      <c r="G378" s="6"/>
    </row>
    <row r="379" spans="6:7" x14ac:dyDescent="0.3">
      <c r="F379" s="6"/>
      <c r="G379" s="6"/>
    </row>
    <row r="380" spans="6:7" x14ac:dyDescent="0.3">
      <c r="F380" s="6"/>
      <c r="G380" s="6"/>
    </row>
    <row r="381" spans="6:7" x14ac:dyDescent="0.3">
      <c r="F381" s="6"/>
      <c r="G381" s="6"/>
    </row>
    <row r="382" spans="6:7" x14ac:dyDescent="0.3">
      <c r="F382" s="6"/>
      <c r="G382" s="6"/>
    </row>
    <row r="383" spans="6:7" x14ac:dyDescent="0.3">
      <c r="F383" s="6"/>
      <c r="G383" s="6"/>
    </row>
    <row r="384" spans="6:7" x14ac:dyDescent="0.3">
      <c r="F384" s="6"/>
      <c r="G384" s="6"/>
    </row>
    <row r="385" spans="6:7" x14ac:dyDescent="0.3">
      <c r="F385" s="6"/>
      <c r="G385" s="6"/>
    </row>
    <row r="386" spans="6:7" x14ac:dyDescent="0.3">
      <c r="F386" s="6"/>
      <c r="G386" s="6"/>
    </row>
    <row r="387" spans="6:7" x14ac:dyDescent="0.3">
      <c r="F387" s="6"/>
      <c r="G387" s="6"/>
    </row>
    <row r="388" spans="6:7" x14ac:dyDescent="0.3">
      <c r="F388" s="6"/>
      <c r="G388" s="6"/>
    </row>
    <row r="389" spans="6:7" x14ac:dyDescent="0.3">
      <c r="F389" s="6"/>
      <c r="G389" s="6"/>
    </row>
    <row r="390" spans="6:7" x14ac:dyDescent="0.3">
      <c r="F390" s="6"/>
      <c r="G390" s="6"/>
    </row>
    <row r="391" spans="6:7" x14ac:dyDescent="0.3">
      <c r="F391" s="6"/>
      <c r="G391" s="6"/>
    </row>
    <row r="392" spans="6:7" x14ac:dyDescent="0.3">
      <c r="F392" s="6"/>
      <c r="G392" s="6"/>
    </row>
    <row r="393" spans="6:7" x14ac:dyDescent="0.3">
      <c r="F393" s="6"/>
      <c r="G393" s="6"/>
    </row>
    <row r="394" spans="6:7" x14ac:dyDescent="0.3">
      <c r="F394" s="6"/>
      <c r="G394" s="6"/>
    </row>
    <row r="395" spans="6:7" x14ac:dyDescent="0.3">
      <c r="F395" s="6"/>
      <c r="G395" s="6"/>
    </row>
    <row r="396" spans="6:7" x14ac:dyDescent="0.3">
      <c r="F396" s="6"/>
      <c r="G396" s="6"/>
    </row>
    <row r="397" spans="6:7" x14ac:dyDescent="0.3">
      <c r="F397" s="6"/>
      <c r="G397" s="6"/>
    </row>
    <row r="398" spans="6:7" x14ac:dyDescent="0.3">
      <c r="F398" s="6"/>
      <c r="G398" s="6"/>
    </row>
    <row r="399" spans="6:7" x14ac:dyDescent="0.3">
      <c r="F399" s="6"/>
      <c r="G399" s="6"/>
    </row>
    <row r="400" spans="6:7" x14ac:dyDescent="0.3">
      <c r="F400" s="6"/>
      <c r="G400" s="6"/>
    </row>
  </sheetData>
  <mergeCells count="1">
    <mergeCell ref="L17:P22"/>
  </mergeCells>
  <dataValidations count="1">
    <dataValidation type="list" allowBlank="1" showInputMessage="1" sqref="C3" xr:uid="{6DF88D8A-620A-407D-B611-7D849B14F91C}">
      <formula1>Список_щитов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SX_ExportAutoCAD">
                <anchor>
                  <from>
                    <xdr:col>10</xdr:col>
                    <xdr:colOff>243840</xdr:colOff>
                    <xdr:row>0</xdr:row>
                    <xdr:rowOff>45720</xdr:rowOff>
                  </from>
                  <to>
                    <xdr:col>13</xdr:col>
                    <xdr:colOff>304800</xdr:colOff>
                    <xdr:row>1</xdr:row>
                    <xdr:rowOff>121920</xdr:rowOff>
                  </to>
                </anchor>
              </controlPr>
            </control>
          </mc:Choice>
        </mc:AlternateContent>
        <mc:AlternateContent xmlns:mc="http://schemas.openxmlformats.org/markup-compatibility/2006">
          <mc:Choice Requires="x14">
            <control shapeId="9218" r:id="rId4" name="Button 2">
              <controlPr defaultSize="0" print="0" autoFill="0" autoPict="0" macro="SX_Labels">
                <anchor>
                  <from>
                    <xdr:col>13</xdr:col>
                    <xdr:colOff>434340</xdr:colOff>
                    <xdr:row>0</xdr:row>
                    <xdr:rowOff>45720</xdr:rowOff>
                  </from>
                  <to>
                    <xdr:col>14</xdr:col>
                    <xdr:colOff>876300</xdr:colOff>
                    <xdr:row>1</xdr:row>
                    <xdr:rowOff>121920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2454F-74F4-4015-91C2-DB821564932F}">
  <sheetPr codeName="Лист8">
    <tabColor rgb="FF4F81BD"/>
  </sheetPr>
  <dimension ref="A1:AN331"/>
  <sheetViews>
    <sheetView workbookViewId="0">
      <selection activeCell="A5" sqref="A5"/>
    </sheetView>
  </sheetViews>
  <sheetFormatPr defaultRowHeight="14.4" x14ac:dyDescent="0.3"/>
  <cols>
    <col min="1" max="1" width="16.77734375" customWidth="1"/>
    <col min="2" max="2" width="12.77734375" customWidth="1"/>
    <col min="3" max="3" width="40.77734375" customWidth="1"/>
    <col min="4" max="4" width="26.77734375" customWidth="1"/>
    <col min="5" max="5" width="9.77734375" customWidth="1"/>
    <col min="6" max="7" width="14.77734375" customWidth="1"/>
    <col min="8" max="8" width="9.77734375" customWidth="1"/>
    <col min="9" max="9" width="12.77734375" customWidth="1"/>
    <col min="10" max="10" width="14.77734375" customWidth="1"/>
    <col min="11" max="11" width="9.77734375" customWidth="1"/>
    <col min="12" max="13" width="11.77734375" customWidth="1"/>
    <col min="14" max="14" width="2.77734375" customWidth="1"/>
    <col min="15" max="15" width="8.77734375" customWidth="1"/>
    <col min="16" max="20" width="7.77734375" customWidth="1"/>
    <col min="21" max="21" width="2.77734375" customWidth="1"/>
    <col min="22" max="22" width="30.77734375" customWidth="1"/>
    <col min="23" max="24" width="11.77734375" customWidth="1"/>
    <col min="25" max="25" width="14.77734375" customWidth="1"/>
    <col min="26" max="26" width="2.77734375" customWidth="1"/>
    <col min="27" max="27" width="8.77734375" customWidth="1"/>
    <col min="28" max="28" width="7.77734375" customWidth="1"/>
    <col min="29" max="30" width="10.77734375" customWidth="1"/>
    <col min="31" max="31" width="14.77734375" customWidth="1"/>
    <col min="32" max="32" width="2.77734375" customWidth="1"/>
    <col min="33" max="33" width="9.77734375" customWidth="1"/>
    <col min="34" max="34" width="10.77734375" customWidth="1"/>
    <col min="35" max="35" width="2.77734375" customWidth="1"/>
    <col min="36" max="36" width="30.77734375" customWidth="1"/>
    <col min="37" max="37" width="10.77734375" customWidth="1"/>
    <col min="38" max="38" width="14.77734375" customWidth="1"/>
    <col min="39" max="40" width="10.77734375" customWidth="1"/>
  </cols>
  <sheetData>
    <row r="1" spans="1:40" ht="18" x14ac:dyDescent="0.35">
      <c r="A1" s="112" t="s">
        <v>1783</v>
      </c>
      <c r="D1" s="127" t="s">
        <v>1750</v>
      </c>
      <c r="E1" s="128" t="s">
        <v>1784</v>
      </c>
      <c r="F1" s="120" t="s">
        <v>1785</v>
      </c>
      <c r="K1" s="129" t="s">
        <v>1786</v>
      </c>
      <c r="L1" s="130">
        <v>0.2</v>
      </c>
    </row>
    <row r="2" spans="1:40" x14ac:dyDescent="0.3">
      <c r="A2" s="132" t="s">
        <v>16</v>
      </c>
      <c r="B2" s="132" t="s">
        <v>17</v>
      </c>
      <c r="C2" s="132"/>
      <c r="D2" s="132" t="s">
        <v>9</v>
      </c>
      <c r="E2" s="132"/>
      <c r="F2" s="132"/>
      <c r="G2" s="132"/>
      <c r="H2" s="132"/>
      <c r="I2" s="132" t="s">
        <v>9</v>
      </c>
      <c r="J2" s="132"/>
      <c r="K2" s="132"/>
      <c r="L2" s="132" t="s">
        <v>18</v>
      </c>
      <c r="M2" s="132" t="s">
        <v>26</v>
      </c>
      <c r="N2" s="131"/>
      <c r="O2" s="134" t="s">
        <v>1787</v>
      </c>
      <c r="P2" s="134"/>
      <c r="Q2" s="134"/>
      <c r="R2" s="134"/>
      <c r="S2" s="134"/>
      <c r="T2" s="134"/>
      <c r="V2" s="36" t="s">
        <v>1792</v>
      </c>
    </row>
    <row r="3" spans="1:40" ht="28.8" x14ac:dyDescent="0.3">
      <c r="A3" s="132"/>
      <c r="B3" s="132" t="s">
        <v>19</v>
      </c>
      <c r="C3" s="132" t="s">
        <v>20</v>
      </c>
      <c r="D3" s="132" t="s">
        <v>21</v>
      </c>
      <c r="E3" s="132"/>
      <c r="F3" s="132"/>
      <c r="G3" s="132"/>
      <c r="H3" s="132"/>
      <c r="I3" s="132" t="s">
        <v>22</v>
      </c>
      <c r="J3" s="132"/>
      <c r="K3" s="132"/>
      <c r="L3" s="132"/>
      <c r="M3" s="132"/>
      <c r="N3" s="131"/>
      <c r="O3" s="135" t="s">
        <v>1789</v>
      </c>
      <c r="P3" s="135" t="s">
        <v>196</v>
      </c>
      <c r="Q3" s="135"/>
      <c r="R3" s="135" t="s">
        <v>195</v>
      </c>
      <c r="S3" s="135"/>
      <c r="T3" s="135" t="s">
        <v>188</v>
      </c>
      <c r="AA3" s="36" t="s">
        <v>1799</v>
      </c>
      <c r="AJ3" s="36" t="s">
        <v>1800</v>
      </c>
    </row>
    <row r="4" spans="1:40" ht="45" customHeight="1" x14ac:dyDescent="0.3">
      <c r="A4" s="132"/>
      <c r="B4" s="132"/>
      <c r="C4" s="132"/>
      <c r="D4" s="133" t="s">
        <v>1788</v>
      </c>
      <c r="E4" s="133" t="s">
        <v>188</v>
      </c>
      <c r="F4" s="133" t="s">
        <v>183</v>
      </c>
      <c r="G4" s="133" t="s">
        <v>185</v>
      </c>
      <c r="H4" s="133" t="s">
        <v>23</v>
      </c>
      <c r="I4" s="133" t="s">
        <v>24</v>
      </c>
      <c r="J4" s="133" t="s">
        <v>1788</v>
      </c>
      <c r="K4" s="133" t="s">
        <v>25</v>
      </c>
      <c r="L4" s="132"/>
      <c r="M4" s="132"/>
      <c r="N4" s="131"/>
      <c r="O4" s="136" t="s">
        <v>1790</v>
      </c>
      <c r="P4" s="135" t="s">
        <v>1791</v>
      </c>
      <c r="Q4" s="135" t="s">
        <v>799</v>
      </c>
      <c r="R4" s="135" t="s">
        <v>1791</v>
      </c>
      <c r="S4" s="135" t="s">
        <v>799</v>
      </c>
      <c r="T4" s="135" t="s">
        <v>799</v>
      </c>
      <c r="V4" s="123" t="s">
        <v>1793</v>
      </c>
      <c r="W4" s="123" t="s">
        <v>23</v>
      </c>
      <c r="X4" s="123" t="s">
        <v>1794</v>
      </c>
      <c r="Y4" s="123" t="s">
        <v>1795</v>
      </c>
      <c r="AA4" s="123" t="s">
        <v>1796</v>
      </c>
      <c r="AB4" s="123" t="s">
        <v>1791</v>
      </c>
      <c r="AC4" s="123" t="s">
        <v>25</v>
      </c>
      <c r="AD4" s="123" t="s">
        <v>1794</v>
      </c>
      <c r="AE4" s="123" t="s">
        <v>1797</v>
      </c>
      <c r="AG4" s="123" t="s">
        <v>1798</v>
      </c>
      <c r="AH4" s="123" t="s">
        <v>1794</v>
      </c>
      <c r="AJ4" s="123" t="s">
        <v>9</v>
      </c>
      <c r="AK4" s="123" t="s">
        <v>1789</v>
      </c>
      <c r="AL4" s="123" t="s">
        <v>142</v>
      </c>
      <c r="AM4" s="123" t="s">
        <v>25</v>
      </c>
      <c r="AN4" s="123" t="s">
        <v>1794</v>
      </c>
    </row>
    <row r="5" spans="1:40" x14ac:dyDescent="0.3">
      <c r="A5" t="str" cm="1">
        <f t="array" ref="A5:T331">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фидера]),"")&lt;&gt;""))*IF(_xlpm.all,1,Линии[Щит]=_xlpm.sel),_xlpm.n,SUM(_xlpm.m),IF(_xlpm.n=0,"нет линий с кабелем",_xlfn.LET(_xlpm.cs,_xlfn._xlws.FILTER(Линии[_кабель с сечением],_xlpm.m),_xlpm.tr,_xlfn._xlws.FILTER(IFERROR(--Линии[Лоток],0),_xlpm.m),_xlpm.pv,_xlfn._xlws.FILTER(IFERROR(--Линии[_гофра ПВХ],0),_xlpm.m),_xlpm.pn,_xlfn._xlws.FILTER(IFERROR(--Линии[_гофра ПНД],0),_xlpm.m),_xlpm.fl,_xlfn._xlws.FILTER(Линии[Потолок - 1/Пол - 2]&amp;"",_xlpm.m),_xlpm.dpv,IFERROR(VLOOKUP(_xlpm.cs,Кабель_диаметр,4,FALSE),"Ø?"),_xlpm.dpn,IFERROR(VLOOKUP(_xlpm.cs,Кабель_диаметр,5,FALSE),"Ø?"),_xlfn.HSTACK(_xlfn._xlws.FILTER(Линии[Номер линии],_xlpm.m),_xlfn._xlws.FILTER(Линии[Щит],_xlpm.m),_xlfn._xlws.FILTER(Линии[Наименование (итог)],_xlpm.m),_xlpm.cs,IF(_xlpm.tr=0,"","L="&amp;_xlpm.tr),IF(_xlpm.pv=0,"",_xlpm.dpv&amp;" L="&amp;_xlpm.pv),IF(_xlpm.pn=0,"",_xlpm.dpn&amp;" L="&amp;_xlpm.pn),_xlfn._xlws.FILTER(Линии[Длина, м],_xlpm.m),_xlfn.EXPAND({""},_xlpm.n,6,""),_xlpm.fl,IF(_xlpm.pv=0,"",_xlpm.dpv),IF(_xlpm.pv=0,"",_xlpm.pv),IF(_xlpm.pn=0,"",_xlpm.dpn),IF(_xlpm.pn=0,"",_xlpm.pn),IF(_xlpm.tr=0,"",_xlpm.tr)))))</f>
        <v>ЩСПЗ-ЖД.1</v>
      </c>
      <c r="B5" t="str">
        <v>ГРЩ-ЖД</v>
      </c>
      <c r="C5" t="str">
        <v>Щит системы противопожарной защиты Цокольный этаж этаж Пом. №001Т Ввод.1</v>
      </c>
      <c r="D5" t="str">
        <v>ВВГнг(А)-FRLS (3х2,5)</v>
      </c>
      <c r="E5" t="str">
        <v/>
      </c>
      <c r="F5" t="str">
        <v>Ø25 L=15</v>
      </c>
      <c r="G5" t="str">
        <v/>
      </c>
      <c r="H5">
        <v>15</v>
      </c>
      <c r="I5" t="str">
        <v/>
      </c>
      <c r="J5" t="str">
        <v/>
      </c>
      <c r="K5" t="str">
        <v/>
      </c>
      <c r="L5" t="str">
        <v/>
      </c>
      <c r="M5" t="str">
        <v/>
      </c>
      <c r="N5" t="str">
        <v/>
      </c>
      <c r="O5" t="str">
        <v/>
      </c>
      <c r="P5" t="str">
        <v>Ø25</v>
      </c>
      <c r="Q5">
        <v>15</v>
      </c>
      <c r="R5" t="str">
        <v/>
      </c>
      <c r="S5" t="str">
        <v/>
      </c>
      <c r="T5" t="str">
        <v/>
      </c>
      <c r="V5" t="str" cm="1">
        <f t="array" ref="V5:Y18">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фидера]),"")&lt;&gt;""))*IF(_xlpm.all,1,Линии[Щит]=_xlpm.sel),_xlpm.k,Линии[_кабель с сечением],_xlpm.ln,IFERROR(--Линии[Длина, м],0),_xlpm.uu,_xlfn.UNIQUE(_xlfn._xlws.FILTER(_xlpm.k,_xlpm.m,"")),IF(INDEX(_xlpm.uu,1)="","—",_xlfn.LET(_xlpm.lsum,_xlfn.MAP(_xlpm.uu,_xlfn.LAMBDA(_xlpm.x,SUM(_xlpm.m*(_xlpm.k=_xlpm.x)*_xlpm.ln))),_xlpm.u,_xlfn._xlws.FILTER(_xlpm.uu,_xlpm.lsum&gt;0,""),IF(INDEX(_xlpm.u,1)="","— (длины не заданы)",_xlfn.LET(_xlpm.l,_xlfn._xlws.FILTER(_xlpm.lsum,_xlpm.lsum&gt;0),_xlpm.br,IFERROR(_xlfn.TEXTBEFORE(_xlpm.u," ("),_xlpm.u),_xlpm.co,IFERROR(--_xlfn.TEXTBEFORE(_xlfn.TEXTAFTER(_xlpm.u,"(",-1),"х"),0),_xlpm.se,IFERROR(--_xlfn.TEXTBEFORE(_xlfn.TEXTAFTER(_xlpm.u,"х",-1),")"),0),_xlfn.SORTBY(_xlfn.HSTACK(_xlpm.u,_xlpm.l,ROUNDUP(_xlpm.l*(1+Запас_кабеля),0),_xlfn.CEILING.MATH(_xlpm.l*(1+Запас_кабеля),10)),_xlpm.br,1,_xlpm.co,-1,_xlpm.se,-1))))))</f>
        <v>5хВВГнг(А)-LS  (1х185)</v>
      </c>
      <c r="W5">
        <v>58</v>
      </c>
      <c r="X5">
        <v>70</v>
      </c>
      <c r="Y5">
        <v>70</v>
      </c>
      <c r="AA5" t="str" cm="1">
        <f t="array" ref="AA5:AE11">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фидера]),"")&lt;&gt;""))*IF(_xlpm.all,1,Линии[Щит]=_xlpm.sel),_xlpm.cs,Линии[_кабель с сечением],_xlpm.pv,IFERROR(--Линии[_гофра ПВХ],0)*_xlpm.m,_xlpm.pn,IFERROR(--Линии[_гофра ПНД],0)*_xlpm.m,_xlpm.dpv,IFERROR(VLOOKUP(_xlpm.cs,Кабель_диаметр,4,FALSE),"Ø?"),_xlpm.dpn,IFERROR(VLOOKUP(_xlpm.cs,Кабель_диаметр,5,FALSE),"Ø?"),_xlpm.tp,_xlfn.VSTACK(IF(_xlpm.pv&gt;0,"ПВХ|"&amp;_xlpm.dpv,""),IF(_xlpm.pn&gt;0,"ПНД|"&amp;_xlpm.dpn,"")),_xlpm.ln,_xlfn.VSTACK(_xlpm.pv,_xlpm.pn),_xlpm.u,_xlfn.UNIQUE(_xlfn._xlws.FILTER(_xlpm.tp,_xlpm.tp&lt;&gt;"","")),IF(INDEX(_xlpm.u,1)="","—",_xlfn.LET(_xlpm.t,_xlfn.TEXTBEFORE(_xlpm.u,"|"),_xlpm.d,_xlfn.TEXTAFTER(_xlpm.u,"|"),_xlpm.dn,IFERROR(--SUBSTITUTE(_xlpm.d,"Ø",""),999),_xlpm.s,_xlfn.MAP(_xlpm.u,_xlfn.LAMBDA(_xlpm.x,SUM((_xlpm.tp=_xlpm.x)*_xlpm.ln))),_xlpm.bh,IFERROR(_xlfn.XLOOKUP(_xlpm.t&amp;"|"&amp;_xlpm.dn,Гофра_изделия[Тип]&amp;"|"&amp;Гофра_изделия[Ø],Гофра_изделия[Бухта, м]),10),_xlfn.SORTBY(_xlfn.HSTACK(_xlpm.t,_xlpm.d,_xlpm.s,ROUNDUP(_xlpm.s*(1+Запас_кабеля),0),_xlfn.CEILING.MATH(_xlpm.s*(1+Запас_кабеля),_xlpm.bh)),_xlpm.t,1,_xlpm.dn,1))))</f>
        <v>ПВХ</v>
      </c>
      <c r="AB5" t="str">
        <v>Ø20</v>
      </c>
      <c r="AC5">
        <v>6035</v>
      </c>
      <c r="AD5">
        <v>7242</v>
      </c>
      <c r="AE5">
        <v>7300</v>
      </c>
      <c r="AG5" cm="1">
        <f t="array" ref="AG5:AH5">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фидера]),"")&lt;&gt;""))*IF(_xlpm.all,1,Линии[Щит]=_xlpm.sel),_xlpm.l,SUM(_xlpm.m*IFERROR(--Линии[Лоток],0)),_xlfn.HSTACK(_xlpm.l,ROUNDUP(_xlpm.l*(1+Запас_кабеля),0)))</f>
        <v>4850</v>
      </c>
      <c r="AH5">
        <v>5820</v>
      </c>
      <c r="AJ5" t="str" cm="1">
        <f t="array" ref="AJ5:AN14">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фидера]),"")&lt;&gt;""))*IF(_xlpm.all,1,Линии[Щит]=_xlpm.sel),_xlpm.cs,Линии[_кабель с сечением],_xlpm.fl,Линии[Потолок - 1/Пол - 2]&amp;"",_xlpm.ln,IFERROR(--Линии[Длина, м],0),_xlpm.key,_xlpm.cs&amp;" "&amp;_xlpm.fl,_xlpm.u,_xlfn.UNIQUE(_xlfn._xlws.FILTER(_xlpm.key,_xlpm.m*(_xlpm.fl&lt;&gt;""),"")),IF(INDEX(_xlpm.u,1)="","— (нет линий с «Потолок / пол»)",_xlfn.LET(_xlpm.c,_xlfn.TEXTBEFORE(_xlpm.u," ",-1),_xlpm.f,_xlfn.TEXTAFTER(_xlpm.u," ",-1),_xlpm.l,_xlfn.MAP(_xlpm.u,_xlfn.LAMBDA(_xlpm.x,SUM(_xlpm.m*(_xlpm.key=_xlpm.x)*_xlpm.ln))),_xlpm.a,IFERROR(_xlfn.XLOOKUP(_xlpm.u,INDEX(Справочная_ПТО,0,1),INDEX(Справочная_ПТО,0,2)),"нет в справочнике"),_xlfn.HSTACK(_xlpm.c,IF(_xlpm.f="1","потолок",IF(_xlpm.f="2","пол",_xlpm.f)),_xlpm.a,_xlpm.l,ROUNDUP(_xlpm.l*(1+Запас_кабеля),0)))))</f>
        <v>ВВГнг(А)-LS (3х1,5)</v>
      </c>
      <c r="AK5" t="str">
        <v>потолок</v>
      </c>
      <c r="AL5" t="str">
        <v>МСК005</v>
      </c>
      <c r="AM5">
        <v>2219</v>
      </c>
      <c r="AN5">
        <v>2663</v>
      </c>
    </row>
    <row r="6" spans="1:40" x14ac:dyDescent="0.3">
      <c r="A6" t="str">
        <v>ЩСПЗ-ЖД.2</v>
      </c>
      <c r="B6" t="str">
        <v>ГРЩ-ЖД</v>
      </c>
      <c r="C6" t="str">
        <v>Щит системы противопожарной защиты Цокольный этаж этаж Пом. №001Т Ввод.2</v>
      </c>
      <c r="D6" t="str">
        <v>ВВГнг(А)-FRLS (3х2,5)</v>
      </c>
      <c r="E6" t="str">
        <v/>
      </c>
      <c r="F6" t="str">
        <v>Ø25 L=15</v>
      </c>
      <c r="G6" t="str">
        <v/>
      </c>
      <c r="H6">
        <v>15</v>
      </c>
      <c r="I6" t="str">
        <v/>
      </c>
      <c r="J6" t="str">
        <v/>
      </c>
      <c r="K6" t="str">
        <v/>
      </c>
      <c r="L6" t="str">
        <v/>
      </c>
      <c r="M6" t="str">
        <v/>
      </c>
      <c r="N6" t="str">
        <v/>
      </c>
      <c r="O6" t="str">
        <v/>
      </c>
      <c r="P6" t="str">
        <v>Ø25</v>
      </c>
      <c r="Q6">
        <v>15</v>
      </c>
      <c r="R6" t="str">
        <v/>
      </c>
      <c r="S6" t="str">
        <v/>
      </c>
      <c r="T6" t="str">
        <v/>
      </c>
      <c r="V6" t="str">
        <v>5хВВГнг(А)-LS  (1х95)</v>
      </c>
      <c r="W6">
        <v>53</v>
      </c>
      <c r="X6">
        <v>64</v>
      </c>
      <c r="Y6">
        <v>70</v>
      </c>
      <c r="AA6" t="str">
        <v>ПВХ</v>
      </c>
      <c r="AB6" t="str">
        <v>Ø25</v>
      </c>
      <c r="AC6">
        <v>423</v>
      </c>
      <c r="AD6">
        <v>508</v>
      </c>
      <c r="AE6">
        <v>550</v>
      </c>
      <c r="AJ6" t="str">
        <v>ВВГнг(А)-LS (3х2,5)</v>
      </c>
      <c r="AK6" t="str">
        <v>потолок</v>
      </c>
      <c r="AL6" t="str">
        <v>МСК007</v>
      </c>
      <c r="AM6">
        <v>1198</v>
      </c>
      <c r="AN6">
        <v>1438</v>
      </c>
    </row>
    <row r="7" spans="1:40" x14ac:dyDescent="0.3">
      <c r="A7" t="str">
        <v>ЩОВ-01</v>
      </c>
      <c r="B7" t="str">
        <v>ГРЩ-ЖД</v>
      </c>
      <c r="C7" t="str">
        <v>Щит вентиляции ЩОВ-01 Цокольный этаж этаж Пом. №0.001Тб</v>
      </c>
      <c r="D7" t="str">
        <v>ВВГнг(А)-LS (5х6)</v>
      </c>
      <c r="E7" t="str">
        <v/>
      </c>
      <c r="F7" t="str">
        <v>Ø25 L=15</v>
      </c>
      <c r="G7" t="str">
        <v/>
      </c>
      <c r="H7">
        <v>15</v>
      </c>
      <c r="I7" t="str">
        <v/>
      </c>
      <c r="J7" t="str">
        <v/>
      </c>
      <c r="K7" t="str">
        <v/>
      </c>
      <c r="L7" t="str">
        <v/>
      </c>
      <c r="M7" t="str">
        <v/>
      </c>
      <c r="N7" t="str">
        <v/>
      </c>
      <c r="O7" t="str">
        <v/>
      </c>
      <c r="P7" t="str">
        <v>Ø25</v>
      </c>
      <c r="Q7">
        <v>15</v>
      </c>
      <c r="R7" t="str">
        <v/>
      </c>
      <c r="S7" t="str">
        <v/>
      </c>
      <c r="T7" t="str">
        <v/>
      </c>
      <c r="V7" t="str">
        <v>ВВГнг(А)-FRLS (3х2,5)</v>
      </c>
      <c r="W7">
        <v>218</v>
      </c>
      <c r="X7">
        <v>262</v>
      </c>
      <c r="Y7">
        <v>270</v>
      </c>
      <c r="AA7" t="str">
        <v>ПВХ</v>
      </c>
      <c r="AB7" t="str">
        <v>Ø32</v>
      </c>
      <c r="AC7">
        <v>25</v>
      </c>
      <c r="AD7">
        <v>30</v>
      </c>
      <c r="AE7">
        <v>50</v>
      </c>
      <c r="AJ7" t="str">
        <v>ВВГнг(А)-LS (5х25)</v>
      </c>
      <c r="AK7" t="str">
        <v>потолок</v>
      </c>
      <c r="AL7" t="str">
        <v>МСК025</v>
      </c>
      <c r="AM7">
        <v>242</v>
      </c>
      <c r="AN7">
        <v>291</v>
      </c>
    </row>
    <row r="8" spans="1:40" x14ac:dyDescent="0.3">
      <c r="A8" t="str">
        <v>ЩОВ-001</v>
      </c>
      <c r="B8" t="str">
        <v>ГРЩ-ЖД</v>
      </c>
      <c r="C8" t="str">
        <v>Щит вентиляции ЩОВ-001 Подвальный этаж этаж Пом. №00.006Т</v>
      </c>
      <c r="D8" t="str">
        <v>5хВВГнг(А)-LS  (1х185)</v>
      </c>
      <c r="E8" t="str">
        <v>L=39</v>
      </c>
      <c r="F8" t="str">
        <v>Ø? L=11</v>
      </c>
      <c r="G8" t="str">
        <v/>
      </c>
      <c r="H8">
        <v>58</v>
      </c>
      <c r="I8" t="str">
        <v/>
      </c>
      <c r="J8" t="str">
        <v/>
      </c>
      <c r="K8" t="str">
        <v/>
      </c>
      <c r="L8" t="str">
        <v/>
      </c>
      <c r="M8" t="str">
        <v/>
      </c>
      <c r="N8" t="str">
        <v/>
      </c>
      <c r="O8" t="str">
        <v/>
      </c>
      <c r="P8" t="str">
        <v>Ø?</v>
      </c>
      <c r="Q8">
        <v>11</v>
      </c>
      <c r="R8" t="str">
        <v/>
      </c>
      <c r="S8" t="str">
        <v/>
      </c>
      <c r="T8">
        <v>39</v>
      </c>
      <c r="V8" t="str">
        <v>ВВГнг(А)-LS (5х25)</v>
      </c>
      <c r="W8">
        <v>242</v>
      </c>
      <c r="X8">
        <v>291</v>
      </c>
      <c r="Y8">
        <v>300</v>
      </c>
      <c r="AA8" t="str">
        <v>ПВХ</v>
      </c>
      <c r="AB8" t="str">
        <v>Ø40</v>
      </c>
      <c r="AC8">
        <v>248</v>
      </c>
      <c r="AD8">
        <v>298</v>
      </c>
      <c r="AE8">
        <v>300</v>
      </c>
      <c r="AJ8" t="str">
        <v>ВВГнг(А)-LS (5х6)</v>
      </c>
      <c r="AK8" t="str">
        <v>потолок</v>
      </c>
      <c r="AL8" t="str">
        <v>МСК019</v>
      </c>
      <c r="AM8">
        <v>47</v>
      </c>
      <c r="AN8">
        <v>57</v>
      </c>
    </row>
    <row r="9" spans="1:40" x14ac:dyDescent="0.3">
      <c r="A9" t="str">
        <v>ЩОВ-002</v>
      </c>
      <c r="B9" t="str">
        <v>ГРЩ-ЖД</v>
      </c>
      <c r="C9" t="str">
        <v>Щит вентиляции ЩОВ-002 Подвальный этаж этаж Пом. №00.003Т</v>
      </c>
      <c r="D9" t="str">
        <v>ВВГнг(А)-LS (5х4)</v>
      </c>
      <c r="E9" t="str">
        <v>L=29</v>
      </c>
      <c r="F9" t="str">
        <v>Ø25 L=12</v>
      </c>
      <c r="G9" t="str">
        <v/>
      </c>
      <c r="H9">
        <v>46</v>
      </c>
      <c r="I9" t="str">
        <v/>
      </c>
      <c r="J9" t="str">
        <v/>
      </c>
      <c r="K9" t="str">
        <v/>
      </c>
      <c r="L9" t="str">
        <v/>
      </c>
      <c r="M9" t="str">
        <v/>
      </c>
      <c r="N9" t="str">
        <v/>
      </c>
      <c r="O9" t="str">
        <v/>
      </c>
      <c r="P9" t="str">
        <v>Ø25</v>
      </c>
      <c r="Q9">
        <v>12</v>
      </c>
      <c r="R9" t="str">
        <v/>
      </c>
      <c r="S9" t="str">
        <v/>
      </c>
      <c r="T9">
        <v>29</v>
      </c>
      <c r="V9" t="str">
        <v>ВВГнг(А)-LS (5х16)</v>
      </c>
      <c r="W9">
        <v>124</v>
      </c>
      <c r="X9">
        <v>149</v>
      </c>
      <c r="Y9">
        <v>150</v>
      </c>
      <c r="AA9" t="str">
        <v>ПВХ</v>
      </c>
      <c r="AB9" t="str">
        <v>Ø?</v>
      </c>
      <c r="AC9">
        <v>21</v>
      </c>
      <c r="AD9">
        <v>26</v>
      </c>
      <c r="AE9">
        <v>30</v>
      </c>
      <c r="AJ9" t="str">
        <v>ВВГнг(А)-LS (5х4)</v>
      </c>
      <c r="AK9" t="str">
        <v>потолок</v>
      </c>
      <c r="AL9" t="str">
        <v>МСК017</v>
      </c>
      <c r="AM9">
        <v>66</v>
      </c>
      <c r="AN9">
        <v>80</v>
      </c>
    </row>
    <row r="10" spans="1:40" x14ac:dyDescent="0.3">
      <c r="A10" t="str">
        <v>ЩОВ-2</v>
      </c>
      <c r="B10" t="str">
        <v>ГРЩ-ЖД</v>
      </c>
      <c r="C10" t="str">
        <v>Щит вентиляции ЩОВ-2 Техэтаж этаж Пом. №3.001Т</v>
      </c>
      <c r="D10" t="str">
        <v>ВВГнг(А)-LS (5х4)</v>
      </c>
      <c r="E10" t="str">
        <v>L=40</v>
      </c>
      <c r="F10" t="str">
        <v>Ø25 L=11</v>
      </c>
      <c r="G10" t="str">
        <v/>
      </c>
      <c r="H10">
        <v>56</v>
      </c>
      <c r="I10" t="str">
        <v/>
      </c>
      <c r="J10" t="str">
        <v/>
      </c>
      <c r="K10" t="str">
        <v/>
      </c>
      <c r="L10" t="str">
        <v/>
      </c>
      <c r="M10" t="str">
        <v/>
      </c>
      <c r="N10" t="str">
        <v/>
      </c>
      <c r="O10" t="str">
        <v/>
      </c>
      <c r="P10" t="str">
        <v>Ø25</v>
      </c>
      <c r="Q10">
        <v>11</v>
      </c>
      <c r="R10" t="str">
        <v/>
      </c>
      <c r="S10" t="str">
        <v/>
      </c>
      <c r="T10">
        <v>40</v>
      </c>
      <c r="V10" t="str">
        <v>ВВГнг(А)-LS (5х10)</v>
      </c>
      <c r="W10">
        <v>67</v>
      </c>
      <c r="X10">
        <v>81</v>
      </c>
      <c r="Y10">
        <v>90</v>
      </c>
      <c r="AA10" t="str">
        <v>ПНД</v>
      </c>
      <c r="AB10" t="str">
        <v>Ø20</v>
      </c>
      <c r="AC10">
        <v>2671</v>
      </c>
      <c r="AD10">
        <v>3206</v>
      </c>
      <c r="AE10">
        <v>3300</v>
      </c>
      <c r="AJ10" t="str">
        <v>ВВГнг(А)-LS (3х4)</v>
      </c>
      <c r="AK10" t="str">
        <v>потолок</v>
      </c>
      <c r="AL10" t="str">
        <v>МСК009</v>
      </c>
      <c r="AM10">
        <v>329</v>
      </c>
      <c r="AN10">
        <v>395</v>
      </c>
    </row>
    <row r="11" spans="1:40" x14ac:dyDescent="0.3">
      <c r="A11" t="str">
        <v>ЩР-001</v>
      </c>
      <c r="B11" t="str">
        <v>ГРЩ-ЖД</v>
      </c>
      <c r="C11" t="str">
        <v>Щит распределительный ЩР-001 Подвальный этаж этаж Пом. №00.004Т</v>
      </c>
      <c r="D11" t="str">
        <v>ВВГнг(А)-LS (5х4)</v>
      </c>
      <c r="E11" t="str">
        <v>L=25</v>
      </c>
      <c r="F11" t="str">
        <v>Ø25 L=11</v>
      </c>
      <c r="G11" t="str">
        <v/>
      </c>
      <c r="H11">
        <v>41</v>
      </c>
      <c r="I11" t="str">
        <v/>
      </c>
      <c r="J11" t="str">
        <v/>
      </c>
      <c r="K11" t="str">
        <v/>
      </c>
      <c r="L11" t="str">
        <v/>
      </c>
      <c r="M11" t="str">
        <v/>
      </c>
      <c r="N11" t="str">
        <v/>
      </c>
      <c r="O11" t="str">
        <v/>
      </c>
      <c r="P11" t="str">
        <v>Ø25</v>
      </c>
      <c r="Q11">
        <v>11</v>
      </c>
      <c r="R11" t="str">
        <v/>
      </c>
      <c r="S11" t="str">
        <v/>
      </c>
      <c r="T11">
        <v>25</v>
      </c>
      <c r="V11" t="str">
        <v>ВВГнг(А)-LS (5х6)</v>
      </c>
      <c r="W11">
        <v>170</v>
      </c>
      <c r="X11">
        <v>204</v>
      </c>
      <c r="Y11">
        <v>210</v>
      </c>
      <c r="AA11" t="str">
        <v>ПНД</v>
      </c>
      <c r="AB11" t="str">
        <v>Ø25</v>
      </c>
      <c r="AC11">
        <v>157</v>
      </c>
      <c r="AD11">
        <v>189</v>
      </c>
      <c r="AE11">
        <v>200</v>
      </c>
      <c r="AJ11" t="str">
        <v>ВВГнг(А)-LS (5х2,5)</v>
      </c>
      <c r="AK11" t="str">
        <v>потолок</v>
      </c>
      <c r="AL11" t="str">
        <v>МСК015</v>
      </c>
      <c r="AM11">
        <v>112</v>
      </c>
      <c r="AN11">
        <v>135</v>
      </c>
    </row>
    <row r="12" spans="1:40" x14ac:dyDescent="0.3">
      <c r="A12" t="str">
        <v>ЩР-01</v>
      </c>
      <c r="B12" t="str">
        <v>ГРЩ-ЖД</v>
      </c>
      <c r="C12" t="str">
        <v>Щит распределительный ЩР-01 Цокольный этаж этаж Пом. №0.001Т</v>
      </c>
      <c r="D12" t="str">
        <v>ВВГнг(А)-LS (5х10)</v>
      </c>
      <c r="E12" t="str">
        <v/>
      </c>
      <c r="F12" t="str">
        <v>Ø32 L=14</v>
      </c>
      <c r="G12" t="str">
        <v/>
      </c>
      <c r="H12">
        <v>14</v>
      </c>
      <c r="I12" t="str">
        <v/>
      </c>
      <c r="J12" t="str">
        <v/>
      </c>
      <c r="K12" t="str">
        <v/>
      </c>
      <c r="L12" t="str">
        <v/>
      </c>
      <c r="M12" t="str">
        <v/>
      </c>
      <c r="N12" t="str">
        <v/>
      </c>
      <c r="O12" t="str">
        <v/>
      </c>
      <c r="P12" t="str">
        <v>Ø32</v>
      </c>
      <c r="Q12">
        <v>14</v>
      </c>
      <c r="R12" t="str">
        <v/>
      </c>
      <c r="S12" t="str">
        <v/>
      </c>
      <c r="T12" t="str">
        <v/>
      </c>
      <c r="V12" t="str">
        <v>ВВГнг(А)-LS (5х4)</v>
      </c>
      <c r="W12">
        <v>307</v>
      </c>
      <c r="X12">
        <v>369</v>
      </c>
      <c r="Y12">
        <v>370</v>
      </c>
      <c r="AJ12" t="str">
        <v>ВВГнг(А)-LS (3х2,5)</v>
      </c>
      <c r="AK12" t="str">
        <v>пол</v>
      </c>
      <c r="AL12" t="str">
        <v>МСК008</v>
      </c>
      <c r="AM12">
        <v>1199</v>
      </c>
      <c r="AN12">
        <v>1439</v>
      </c>
    </row>
    <row r="13" spans="1:40" x14ac:dyDescent="0.3">
      <c r="A13" t="str">
        <v>ЩР-1</v>
      </c>
      <c r="B13" t="str">
        <v>ГРЩ-ЖД</v>
      </c>
      <c r="C13" t="str">
        <v>Щит распределительный ЩР-1 Первый этаж этаж Пом. №1.003Б</v>
      </c>
      <c r="D13" t="str">
        <v>ВВГнг(А)-LS (5х16)</v>
      </c>
      <c r="E13" t="str">
        <v>L=51</v>
      </c>
      <c r="F13" t="str">
        <v>Ø40 L=9</v>
      </c>
      <c r="G13" t="str">
        <v/>
      </c>
      <c r="H13">
        <v>65</v>
      </c>
      <c r="I13" t="str">
        <v/>
      </c>
      <c r="J13" t="str">
        <v/>
      </c>
      <c r="K13" t="str">
        <v/>
      </c>
      <c r="L13" t="str">
        <v/>
      </c>
      <c r="M13" t="str">
        <v/>
      </c>
      <c r="N13" t="str">
        <v/>
      </c>
      <c r="O13" t="str">
        <v/>
      </c>
      <c r="P13" t="str">
        <v>Ø40</v>
      </c>
      <c r="Q13">
        <v>9</v>
      </c>
      <c r="R13" t="str">
        <v/>
      </c>
      <c r="S13" t="str">
        <v/>
      </c>
      <c r="T13">
        <v>51</v>
      </c>
      <c r="V13" t="str">
        <v>ВВГнг(А)-LS (5х2,5)</v>
      </c>
      <c r="W13">
        <v>112</v>
      </c>
      <c r="X13">
        <v>135</v>
      </c>
      <c r="Y13">
        <v>140</v>
      </c>
      <c r="AJ13" t="str">
        <v>ВВГнг(А)-FRLS (3х2,5)</v>
      </c>
      <c r="AK13" t="str">
        <v>потолок</v>
      </c>
      <c r="AL13" t="str">
        <v>МСК007</v>
      </c>
      <c r="AM13">
        <v>188</v>
      </c>
      <c r="AN13">
        <v>226</v>
      </c>
    </row>
    <row r="14" spans="1:40" x14ac:dyDescent="0.3">
      <c r="A14" t="str">
        <v>ЩР-2</v>
      </c>
      <c r="B14" t="str">
        <v>ГРЩ-ЖД</v>
      </c>
      <c r="C14" t="str">
        <v>Щит распределительный ЩР-2 Техэтаж этаж Пом. №3.001Т</v>
      </c>
      <c r="D14" t="str">
        <v>ВВГнг(А)-LS (5х4)</v>
      </c>
      <c r="E14" t="str">
        <v>L=40</v>
      </c>
      <c r="F14" t="str">
        <v>Ø25 L=11</v>
      </c>
      <c r="G14" t="str">
        <v/>
      </c>
      <c r="H14">
        <v>56</v>
      </c>
      <c r="I14" t="str">
        <v/>
      </c>
      <c r="J14" t="str">
        <v/>
      </c>
      <c r="K14" t="str">
        <v/>
      </c>
      <c r="L14" t="str">
        <v/>
      </c>
      <c r="M14" t="str">
        <v/>
      </c>
      <c r="N14" t="str">
        <v/>
      </c>
      <c r="O14" t="str">
        <v/>
      </c>
      <c r="P14" t="str">
        <v>Ø25</v>
      </c>
      <c r="Q14">
        <v>11</v>
      </c>
      <c r="R14" t="str">
        <v/>
      </c>
      <c r="S14" t="str">
        <v/>
      </c>
      <c r="T14">
        <v>40</v>
      </c>
      <c r="V14" t="str">
        <v>ВВГнг(А)-LS (3х6)</v>
      </c>
      <c r="W14">
        <v>182</v>
      </c>
      <c r="X14">
        <v>219</v>
      </c>
      <c r="Y14">
        <v>220</v>
      </c>
      <c r="AJ14" t="str">
        <v>ВВГнг(А)-LS (3х6)</v>
      </c>
      <c r="AK14" t="str">
        <v>потолок</v>
      </c>
      <c r="AL14" t="str">
        <v>МСК011</v>
      </c>
      <c r="AM14">
        <v>97</v>
      </c>
      <c r="AN14">
        <v>117</v>
      </c>
    </row>
    <row r="15" spans="1:40" x14ac:dyDescent="0.3">
      <c r="A15" t="str">
        <v>ЩС-Б</v>
      </c>
      <c r="B15" t="str">
        <v>ГРЩ-ЖД</v>
      </c>
      <c r="C15" t="str">
        <v>Щит бассейна ЩС-Б Подвальный этаж этаж Пом. №00.002Тб</v>
      </c>
      <c r="D15" t="str">
        <v>ВВГнг(А)-LS (5х10)</v>
      </c>
      <c r="E15" t="str">
        <v>L=35</v>
      </c>
      <c r="F15" t="str">
        <v>Ø32 L=11</v>
      </c>
      <c r="G15" t="str">
        <v/>
      </c>
      <c r="H15">
        <v>53</v>
      </c>
      <c r="I15" t="str">
        <v/>
      </c>
      <c r="J15" t="str">
        <v/>
      </c>
      <c r="K15" t="str">
        <v/>
      </c>
      <c r="L15" t="str">
        <v/>
      </c>
      <c r="M15" t="str">
        <v/>
      </c>
      <c r="N15" t="str">
        <v/>
      </c>
      <c r="O15" t="str">
        <v/>
      </c>
      <c r="P15" t="str">
        <v>Ø32</v>
      </c>
      <c r="Q15">
        <v>11</v>
      </c>
      <c r="R15" t="str">
        <v/>
      </c>
      <c r="S15" t="str">
        <v/>
      </c>
      <c r="T15">
        <v>35</v>
      </c>
      <c r="V15" t="str">
        <v>ВВГнг(А)-LS (3х4)</v>
      </c>
      <c r="W15">
        <v>568</v>
      </c>
      <c r="X15">
        <v>682</v>
      </c>
      <c r="Y15">
        <v>690</v>
      </c>
    </row>
    <row r="16" spans="1:40" x14ac:dyDescent="0.3">
      <c r="A16" t="str">
        <v>ЩС-ВК.001</v>
      </c>
      <c r="B16" t="str">
        <v>ГРЩ-ЖД</v>
      </c>
      <c r="C16" t="str">
        <v>Щит дренажных насосов ЩС-ВК.001 Подвальный этаж этаж Пом. 00.002Т</v>
      </c>
      <c r="D16" t="str">
        <v>ВВГнг(А)-LS (3х4)</v>
      </c>
      <c r="E16" t="str">
        <v>L=35</v>
      </c>
      <c r="F16" t="str">
        <v>Ø20 L=12</v>
      </c>
      <c r="G16" t="str">
        <v/>
      </c>
      <c r="H16">
        <v>52</v>
      </c>
      <c r="I16" t="str">
        <v/>
      </c>
      <c r="J16" t="str">
        <v/>
      </c>
      <c r="K16" t="str">
        <v/>
      </c>
      <c r="L16" t="str">
        <v/>
      </c>
      <c r="M16" t="str">
        <v/>
      </c>
      <c r="N16" t="str">
        <v/>
      </c>
      <c r="O16" t="str">
        <v/>
      </c>
      <c r="P16" t="str">
        <v>Ø20</v>
      </c>
      <c r="Q16">
        <v>12</v>
      </c>
      <c r="R16" t="str">
        <v/>
      </c>
      <c r="S16" t="str">
        <v/>
      </c>
      <c r="T16">
        <v>35</v>
      </c>
      <c r="V16" t="str">
        <v>ВВГнг(А)-LS (3х2,5)</v>
      </c>
      <c r="W16">
        <v>8649</v>
      </c>
      <c r="X16">
        <v>10379</v>
      </c>
      <c r="Y16">
        <v>10380</v>
      </c>
    </row>
    <row r="17" spans="1:25" x14ac:dyDescent="0.3">
      <c r="A17" t="str">
        <v>ЩС-ВК.002</v>
      </c>
      <c r="B17" t="str">
        <v>ГРЩ-ЖД</v>
      </c>
      <c r="C17" t="str">
        <v>Щит насосов ЩС-ВК.002 Подвальный этаж этаж Пом. №00.002Тб</v>
      </c>
      <c r="D17" t="str">
        <v>ВВГнг(А)-LS (3х4)</v>
      </c>
      <c r="E17" t="str">
        <v>L=34</v>
      </c>
      <c r="F17" t="str">
        <v>Ø20 L=12</v>
      </c>
      <c r="G17" t="str">
        <v/>
      </c>
      <c r="H17">
        <v>51</v>
      </c>
      <c r="I17" t="str">
        <v/>
      </c>
      <c r="J17" t="str">
        <v/>
      </c>
      <c r="K17" t="str">
        <v/>
      </c>
      <c r="L17" t="str">
        <v/>
      </c>
      <c r="M17" t="str">
        <v/>
      </c>
      <c r="N17" t="str">
        <v/>
      </c>
      <c r="O17" t="str">
        <v/>
      </c>
      <c r="P17" t="str">
        <v>Ø20</v>
      </c>
      <c r="Q17">
        <v>12</v>
      </c>
      <c r="R17" t="str">
        <v/>
      </c>
      <c r="S17" t="str">
        <v/>
      </c>
      <c r="T17">
        <v>34</v>
      </c>
      <c r="V17" t="str">
        <v>ВВГнг(А)-LS (3х1,5)</v>
      </c>
      <c r="W17">
        <v>3581</v>
      </c>
      <c r="X17">
        <v>4298</v>
      </c>
      <c r="Y17">
        <v>4300</v>
      </c>
    </row>
    <row r="18" spans="1:25" x14ac:dyDescent="0.3">
      <c r="A18" t="str">
        <v>ЩС-ВК.003</v>
      </c>
      <c r="B18" t="str">
        <v>ГРЩ-ЖД</v>
      </c>
      <c r="C18" t="str">
        <v>Щит насосов ЩС-ВК.003 Подвальный этаж этаж Пом. №00.006Т</v>
      </c>
      <c r="D18" t="str">
        <v>ВВГнг(А)-LS (3х4)</v>
      </c>
      <c r="E18" t="str">
        <v>L=48</v>
      </c>
      <c r="F18" t="str">
        <v>Ø20 L=5</v>
      </c>
      <c r="G18" t="str">
        <v/>
      </c>
      <c r="H18">
        <v>53</v>
      </c>
      <c r="I18" t="str">
        <v/>
      </c>
      <c r="J18" t="str">
        <v/>
      </c>
      <c r="K18" t="str">
        <v/>
      </c>
      <c r="L18" t="str">
        <v/>
      </c>
      <c r="M18" t="str">
        <v/>
      </c>
      <c r="N18" t="str">
        <v/>
      </c>
      <c r="O18" t="str">
        <v/>
      </c>
      <c r="P18" t="str">
        <v>Ø20</v>
      </c>
      <c r="Q18">
        <v>5</v>
      </c>
      <c r="R18" t="str">
        <v/>
      </c>
      <c r="S18" t="str">
        <v/>
      </c>
      <c r="T18">
        <v>48</v>
      </c>
      <c r="V18" t="str">
        <v>МКЭШнг(A)-LS (2х0,75)</v>
      </c>
      <c r="W18">
        <v>43</v>
      </c>
      <c r="X18">
        <v>52</v>
      </c>
      <c r="Y18">
        <v>60</v>
      </c>
    </row>
    <row r="19" spans="1:25" x14ac:dyDescent="0.3">
      <c r="A19" t="str">
        <v>ЩУОВ</v>
      </c>
      <c r="B19" t="str">
        <v>ГРЩ-ЖД</v>
      </c>
      <c r="C19" t="str">
        <v>Щит управления обогрева воронок ЩУОВ Тех. этаж этаж Пом. №3.001</v>
      </c>
      <c r="D19" t="str">
        <v>ВВГнг(А)-LS (5х6)</v>
      </c>
      <c r="E19" t="str">
        <v>L=39</v>
      </c>
      <c r="F19" t="str">
        <v>Ø25 L=8</v>
      </c>
      <c r="G19" t="str">
        <v/>
      </c>
      <c r="H19">
        <v>52</v>
      </c>
      <c r="I19" t="str">
        <v/>
      </c>
      <c r="J19" t="str">
        <v/>
      </c>
      <c r="K19" t="str">
        <v/>
      </c>
      <c r="L19" t="str">
        <v/>
      </c>
      <c r="M19" t="str">
        <v/>
      </c>
      <c r="N19" t="str">
        <v/>
      </c>
      <c r="O19" t="str">
        <v/>
      </c>
      <c r="P19" t="str">
        <v>Ø25</v>
      </c>
      <c r="Q19">
        <v>8</v>
      </c>
      <c r="R19" t="str">
        <v/>
      </c>
      <c r="S19" t="str">
        <v/>
      </c>
      <c r="T19">
        <v>39</v>
      </c>
    </row>
    <row r="20" spans="1:25" x14ac:dyDescent="0.3">
      <c r="A20" t="str">
        <v>ЩР-ПК</v>
      </c>
      <c r="B20" t="str">
        <v>ГРЩ-ЖД</v>
      </c>
      <c r="C20" t="str">
        <v>Щит профкухни ЩС-ПК Цокольный этаж этаж Пом. №0.0014Б</v>
      </c>
      <c r="D20" t="str">
        <v>5хВВГнг(А)-LS  (1х95)</v>
      </c>
      <c r="E20" t="str">
        <v>L=38</v>
      </c>
      <c r="F20" t="str">
        <v>Ø? L=10</v>
      </c>
      <c r="G20" t="str">
        <v/>
      </c>
      <c r="H20">
        <v>53</v>
      </c>
      <c r="I20" t="str">
        <v/>
      </c>
      <c r="J20" t="str">
        <v/>
      </c>
      <c r="K20" t="str">
        <v/>
      </c>
      <c r="L20" t="str">
        <v/>
      </c>
      <c r="M20" t="str">
        <v/>
      </c>
      <c r="N20" t="str">
        <v/>
      </c>
      <c r="O20" t="str">
        <v/>
      </c>
      <c r="P20" t="str">
        <v>Ø?</v>
      </c>
      <c r="Q20">
        <v>10</v>
      </c>
      <c r="R20" t="str">
        <v/>
      </c>
      <c r="S20" t="str">
        <v/>
      </c>
      <c r="T20">
        <v>38</v>
      </c>
    </row>
    <row r="21" spans="1:25" x14ac:dyDescent="0.3">
      <c r="A21" t="str">
        <v>РЩ-1</v>
      </c>
      <c r="B21" t="str">
        <v>ГРЩ-ЖД</v>
      </c>
      <c r="C21" t="str">
        <v>Щит Хаммам РЩ-1  Подвальный этаж этаж Пом. №00.001Тб</v>
      </c>
      <c r="D21" t="str">
        <v>ВВГнг(А)-LS (5х16)</v>
      </c>
      <c r="E21" t="str">
        <v>L=33</v>
      </c>
      <c r="F21" t="str">
        <v>Ø40 L=21</v>
      </c>
      <c r="G21" t="str">
        <v/>
      </c>
      <c r="H21">
        <v>59</v>
      </c>
      <c r="I21" t="str">
        <v/>
      </c>
      <c r="J21" t="str">
        <v/>
      </c>
      <c r="K21" t="str">
        <v/>
      </c>
      <c r="L21" t="str">
        <v/>
      </c>
      <c r="M21" t="str">
        <v/>
      </c>
      <c r="N21" t="str">
        <v/>
      </c>
      <c r="O21" t="str">
        <v/>
      </c>
      <c r="P21" t="str">
        <v>Ø40</v>
      </c>
      <c r="Q21">
        <v>21</v>
      </c>
      <c r="R21" t="str">
        <v/>
      </c>
      <c r="S21" t="str">
        <v/>
      </c>
      <c r="T21">
        <v>33</v>
      </c>
    </row>
    <row r="22" spans="1:25" x14ac:dyDescent="0.3">
      <c r="A22" t="str">
        <v>Э.4</v>
      </c>
      <c r="B22" t="str">
        <v>ГРЩ-ЖД</v>
      </c>
      <c r="C22" t="str">
        <v>Флоатинг. Цокольный этаж этаж Пом. №023A</v>
      </c>
      <c r="D22" t="str">
        <v>ВВГнг(А)-LS (3х6)</v>
      </c>
      <c r="E22" t="str">
        <v>L=43</v>
      </c>
      <c r="F22" t="str">
        <v>Ø25 L=9</v>
      </c>
      <c r="G22" t="str">
        <v/>
      </c>
      <c r="H22">
        <v>63</v>
      </c>
      <c r="I22" t="str">
        <v/>
      </c>
      <c r="J22" t="str">
        <v/>
      </c>
      <c r="K22" t="str">
        <v/>
      </c>
      <c r="L22" t="str">
        <v/>
      </c>
      <c r="M22" t="str">
        <v/>
      </c>
      <c r="N22" t="str">
        <v/>
      </c>
      <c r="O22" t="str">
        <v/>
      </c>
      <c r="P22" t="str">
        <v>Ø25</v>
      </c>
      <c r="Q22">
        <v>9</v>
      </c>
      <c r="R22" t="str">
        <v/>
      </c>
      <c r="S22" t="str">
        <v/>
      </c>
      <c r="T22">
        <v>43</v>
      </c>
    </row>
    <row r="23" spans="1:25" x14ac:dyDescent="0.3">
      <c r="A23" t="str">
        <v>SEC1-21</v>
      </c>
      <c r="B23" t="str">
        <v>ГРЩ-ЖД</v>
      </c>
      <c r="C23" t="str">
        <v>Щит охранной сигнализации Подвальный этаж этаж Пом. №007Т</v>
      </c>
      <c r="D23" t="str">
        <v>ВВГнг(А)-LS (3х2,5)</v>
      </c>
      <c r="E23" t="str">
        <v>L=21</v>
      </c>
      <c r="F23" t="str">
        <v>Ø20 L=15</v>
      </c>
      <c r="G23" t="str">
        <v/>
      </c>
      <c r="H23">
        <v>44</v>
      </c>
      <c r="I23" t="str">
        <v/>
      </c>
      <c r="J23" t="str">
        <v/>
      </c>
      <c r="K23" t="str">
        <v/>
      </c>
      <c r="L23" t="str">
        <v/>
      </c>
      <c r="M23" t="str">
        <v/>
      </c>
      <c r="N23" t="str">
        <v/>
      </c>
      <c r="O23" t="str">
        <v/>
      </c>
      <c r="P23" t="str">
        <v>Ø20</v>
      </c>
      <c r="Q23">
        <v>15</v>
      </c>
      <c r="R23" t="str">
        <v/>
      </c>
      <c r="S23" t="str">
        <v/>
      </c>
      <c r="T23">
        <v>21</v>
      </c>
    </row>
    <row r="24" spans="1:25" x14ac:dyDescent="0.3">
      <c r="A24" t="str">
        <v>ЩГП</v>
      </c>
      <c r="B24" t="str">
        <v>ГРЩ-ЖД</v>
      </c>
      <c r="C24" t="str">
        <v>Щит ЩГП</v>
      </c>
      <c r="D24" t="str">
        <v>ВВГнг(А)-LS (5х1,5)</v>
      </c>
      <c r="E24" t="str">
        <v/>
      </c>
      <c r="F24" t="str">
        <v/>
      </c>
      <c r="G24" t="str">
        <v/>
      </c>
      <c r="H24" t="str">
        <v/>
      </c>
      <c r="I24" t="str">
        <v/>
      </c>
      <c r="J24" t="str">
        <v/>
      </c>
      <c r="K24" t="str">
        <v/>
      </c>
      <c r="L24" t="str">
        <v/>
      </c>
      <c r="M24" t="str">
        <v/>
      </c>
      <c r="N24" t="str">
        <v/>
      </c>
      <c r="O24" t="str">
        <v/>
      </c>
      <c r="P24" t="str">
        <v/>
      </c>
      <c r="Q24" t="str">
        <v/>
      </c>
      <c r="R24" t="str">
        <v/>
      </c>
      <c r="S24" t="str">
        <v/>
      </c>
      <c r="T24" t="str">
        <v/>
      </c>
    </row>
    <row r="25" spans="1:25" x14ac:dyDescent="0.3">
      <c r="A25" t="str">
        <v>ЩО-001</v>
      </c>
      <c r="B25" t="str">
        <v>ЩГП</v>
      </c>
      <c r="C25" t="str">
        <v>Щит освещения ЩО-2 Подвальный этаж этаж Пом. №3.001</v>
      </c>
      <c r="D25" t="str">
        <v>ВВГнг(А)-LS (5х6)</v>
      </c>
      <c r="E25" t="str">
        <v>L=25</v>
      </c>
      <c r="F25" t="str">
        <v>Ø25 L=11</v>
      </c>
      <c r="G25" t="str">
        <v/>
      </c>
      <c r="H25">
        <v>41</v>
      </c>
      <c r="I25" t="str">
        <v/>
      </c>
      <c r="J25" t="str">
        <v/>
      </c>
      <c r="K25" t="str">
        <v/>
      </c>
      <c r="L25" t="str">
        <v/>
      </c>
      <c r="M25" t="str">
        <v/>
      </c>
      <c r="N25" t="str">
        <v/>
      </c>
      <c r="O25" t="str">
        <v/>
      </c>
      <c r="P25" t="str">
        <v>Ø25</v>
      </c>
      <c r="Q25">
        <v>11</v>
      </c>
      <c r="R25" t="str">
        <v/>
      </c>
      <c r="S25" t="str">
        <v/>
      </c>
      <c r="T25">
        <v>25</v>
      </c>
    </row>
    <row r="26" spans="1:25" x14ac:dyDescent="0.3">
      <c r="A26" t="str">
        <v>ЩО-01</v>
      </c>
      <c r="B26" t="str">
        <v>ЩГП</v>
      </c>
      <c r="C26" t="str">
        <v>Щит освещения ЩО-2 Цокольный этаж этаж Пом. №001Т</v>
      </c>
      <c r="D26" t="str">
        <v>ВВГнг(А)-LS (5х6)</v>
      </c>
      <c r="E26" t="str">
        <v/>
      </c>
      <c r="F26" t="str">
        <v>Ø25 L=15</v>
      </c>
      <c r="G26" t="str">
        <v/>
      </c>
      <c r="H26">
        <v>15</v>
      </c>
      <c r="I26" t="str">
        <v/>
      </c>
      <c r="J26" t="str">
        <v/>
      </c>
      <c r="K26" t="str">
        <v/>
      </c>
      <c r="L26" t="str">
        <v/>
      </c>
      <c r="M26" t="str">
        <v/>
      </c>
      <c r="N26" t="str">
        <v/>
      </c>
      <c r="O26" t="str">
        <v/>
      </c>
      <c r="P26" t="str">
        <v>Ø25</v>
      </c>
      <c r="Q26">
        <v>15</v>
      </c>
      <c r="R26" t="str">
        <v/>
      </c>
      <c r="S26" t="str">
        <v/>
      </c>
      <c r="T26" t="str">
        <v/>
      </c>
    </row>
    <row r="27" spans="1:25" x14ac:dyDescent="0.3">
      <c r="A27" t="str">
        <v>L.00.001T.1</v>
      </c>
      <c r="B27" t="str">
        <v>ЩО-001</v>
      </c>
      <c r="C27" t="str">
        <v>Осветительная группа, пом. 001T</v>
      </c>
      <c r="D27" t="str">
        <v>ВВГнг(А)-LS (3х1,5)</v>
      </c>
      <c r="E27" t="str">
        <v>L=9</v>
      </c>
      <c r="F27" t="str">
        <v/>
      </c>
      <c r="G27" t="str">
        <v>Ø20 L=34</v>
      </c>
      <c r="H27">
        <v>27</v>
      </c>
      <c r="I27" t="str">
        <v/>
      </c>
      <c r="J27" t="str">
        <v/>
      </c>
      <c r="K27" t="str">
        <v/>
      </c>
      <c r="L27" t="str">
        <v/>
      </c>
      <c r="M27" t="str">
        <v/>
      </c>
      <c r="N27" t="str">
        <v/>
      </c>
      <c r="O27" t="str">
        <v/>
      </c>
      <c r="P27" t="str">
        <v/>
      </c>
      <c r="Q27" t="str">
        <v/>
      </c>
      <c r="R27" t="str">
        <v>Ø20</v>
      </c>
      <c r="S27">
        <v>34</v>
      </c>
      <c r="T27">
        <v>9</v>
      </c>
    </row>
    <row r="28" spans="1:25" x14ac:dyDescent="0.3">
      <c r="A28" t="str">
        <v>L.00.001Б.2</v>
      </c>
      <c r="B28" t="str">
        <v>ЩО-001</v>
      </c>
      <c r="C28" t="str">
        <v>Осветительная группа, пом. 001Б</v>
      </c>
      <c r="D28" t="str">
        <v>ВВГнг(А)-LS (3х1,5)</v>
      </c>
      <c r="E28" t="str">
        <v>L=51</v>
      </c>
      <c r="F28" t="str">
        <v/>
      </c>
      <c r="G28" t="str">
        <v>Ø20 L=143</v>
      </c>
      <c r="H28">
        <v>163</v>
      </c>
      <c r="I28" t="str">
        <v/>
      </c>
      <c r="J28" t="str">
        <v/>
      </c>
      <c r="K28" t="str">
        <v/>
      </c>
      <c r="L28" t="str">
        <v/>
      </c>
      <c r="M28" t="str">
        <v/>
      </c>
      <c r="N28" t="str">
        <v/>
      </c>
      <c r="O28" t="str">
        <v/>
      </c>
      <c r="P28" t="str">
        <v/>
      </c>
      <c r="Q28" t="str">
        <v/>
      </c>
      <c r="R28" t="str">
        <v>Ø20</v>
      </c>
      <c r="S28">
        <v>143</v>
      </c>
      <c r="T28">
        <v>51</v>
      </c>
    </row>
    <row r="29" spans="1:25" x14ac:dyDescent="0.3">
      <c r="A29" t="str">
        <v>L.00.001Б.3</v>
      </c>
      <c r="B29" t="str">
        <v>ЩО-001</v>
      </c>
      <c r="C29" t="str">
        <v>Осветительная группа, пом. 001Б</v>
      </c>
      <c r="D29" t="str">
        <v>ВВГнг(А)-LS (3х1,5)</v>
      </c>
      <c r="E29" t="str">
        <v>L=33</v>
      </c>
      <c r="F29" t="str">
        <v/>
      </c>
      <c r="G29" t="str">
        <v>Ø20 L=118</v>
      </c>
      <c r="H29">
        <v>126</v>
      </c>
      <c r="I29" t="str">
        <v/>
      </c>
      <c r="J29" t="str">
        <v/>
      </c>
      <c r="K29" t="str">
        <v/>
      </c>
      <c r="L29" t="str">
        <v/>
      </c>
      <c r="M29" t="str">
        <v/>
      </c>
      <c r="N29" t="str">
        <v/>
      </c>
      <c r="O29" t="str">
        <v/>
      </c>
      <c r="P29" t="str">
        <v/>
      </c>
      <c r="Q29" t="str">
        <v/>
      </c>
      <c r="R29" t="str">
        <v>Ø20</v>
      </c>
      <c r="S29">
        <v>118</v>
      </c>
      <c r="T29">
        <v>33</v>
      </c>
    </row>
    <row r="30" spans="1:25" x14ac:dyDescent="0.3">
      <c r="A30" t="str">
        <v>L.00.001Т.1</v>
      </c>
      <c r="B30" t="str">
        <v>ЩО-001</v>
      </c>
      <c r="C30" t="str">
        <v>Осветительная группа, пом. 001Т</v>
      </c>
      <c r="D30" t="str">
        <v>ВВГнг(А)-LS (3х1,5)</v>
      </c>
      <c r="E30" t="str">
        <v>L=3</v>
      </c>
      <c r="F30" t="str">
        <v/>
      </c>
      <c r="G30" t="str">
        <v>Ø20 L=27</v>
      </c>
      <c r="H30">
        <v>26</v>
      </c>
      <c r="I30" t="str">
        <v/>
      </c>
      <c r="J30" t="str">
        <v/>
      </c>
      <c r="K30" t="str">
        <v/>
      </c>
      <c r="L30" t="str">
        <v/>
      </c>
      <c r="M30" t="str">
        <v/>
      </c>
      <c r="N30" t="str">
        <v/>
      </c>
      <c r="O30" t="str">
        <v/>
      </c>
      <c r="P30" t="str">
        <v/>
      </c>
      <c r="Q30" t="str">
        <v/>
      </c>
      <c r="R30" t="str">
        <v>Ø20</v>
      </c>
      <c r="S30">
        <v>27</v>
      </c>
      <c r="T30">
        <v>3</v>
      </c>
    </row>
    <row r="31" spans="1:25" x14ac:dyDescent="0.3">
      <c r="A31" t="str">
        <v>L.00.002Б.1</v>
      </c>
      <c r="B31" t="str">
        <v>ЩО-001</v>
      </c>
      <c r="C31" t="str">
        <v>Осветительная группа, пом. 002Б</v>
      </c>
      <c r="D31" t="str">
        <v>ВВГнг(А)-LS (3х1,5)</v>
      </c>
      <c r="E31" t="str">
        <v>L=3</v>
      </c>
      <c r="F31" t="str">
        <v/>
      </c>
      <c r="G31" t="str">
        <v>Ø20 L=39</v>
      </c>
      <c r="H31">
        <v>41</v>
      </c>
      <c r="I31" t="str">
        <v/>
      </c>
      <c r="J31" t="str">
        <v/>
      </c>
      <c r="K31" t="str">
        <v/>
      </c>
      <c r="L31" t="str">
        <v/>
      </c>
      <c r="M31" t="str">
        <v/>
      </c>
      <c r="N31" t="str">
        <v/>
      </c>
      <c r="O31" t="str">
        <v/>
      </c>
      <c r="P31" t="str">
        <v/>
      </c>
      <c r="Q31" t="str">
        <v/>
      </c>
      <c r="R31" t="str">
        <v>Ø20</v>
      </c>
      <c r="S31">
        <v>39</v>
      </c>
      <c r="T31">
        <v>3</v>
      </c>
    </row>
    <row r="32" spans="1:25" x14ac:dyDescent="0.3">
      <c r="A32" t="str">
        <v>L.00.002Т.1</v>
      </c>
      <c r="B32" t="str">
        <v>ЩО-001</v>
      </c>
      <c r="C32" t="str">
        <v>Осветительная группа, пом. 002Т</v>
      </c>
      <c r="D32" t="str">
        <v>ВВГнг(А)-LS (3х1,5)</v>
      </c>
      <c r="E32" t="str">
        <v>L=15</v>
      </c>
      <c r="F32" t="str">
        <v>Ø20 L=40</v>
      </c>
      <c r="G32" t="str">
        <v/>
      </c>
      <c r="H32">
        <v>63</v>
      </c>
      <c r="I32" t="str">
        <v/>
      </c>
      <c r="J32" t="str">
        <v/>
      </c>
      <c r="K32" t="str">
        <v/>
      </c>
      <c r="L32" t="str">
        <v/>
      </c>
      <c r="M32" t="str">
        <v/>
      </c>
      <c r="N32" t="str">
        <v/>
      </c>
      <c r="O32" t="str">
        <v/>
      </c>
      <c r="P32" t="str">
        <v>Ø20</v>
      </c>
      <c r="Q32">
        <v>40</v>
      </c>
      <c r="R32" t="str">
        <v/>
      </c>
      <c r="S32" t="str">
        <v/>
      </c>
      <c r="T32">
        <v>15</v>
      </c>
    </row>
    <row r="33" spans="1:20" x14ac:dyDescent="0.3">
      <c r="A33" t="str">
        <v>L.00.003Б.1</v>
      </c>
      <c r="B33" t="str">
        <v>ЩО-001</v>
      </c>
      <c r="C33" t="str">
        <v>Осветительная группа, пом. 003Б</v>
      </c>
      <c r="D33" t="str">
        <v>ВВГнг(А)-LS (3х1,5)</v>
      </c>
      <c r="E33" t="str">
        <v>L=38</v>
      </c>
      <c r="F33" t="str">
        <v/>
      </c>
      <c r="G33" t="str">
        <v>Ø20 L=85</v>
      </c>
      <c r="H33">
        <v>91</v>
      </c>
      <c r="I33" t="str">
        <v/>
      </c>
      <c r="J33" t="str">
        <v/>
      </c>
      <c r="K33" t="str">
        <v/>
      </c>
      <c r="L33" t="str">
        <v/>
      </c>
      <c r="M33" t="str">
        <v/>
      </c>
      <c r="N33" t="str">
        <v/>
      </c>
      <c r="O33" t="str">
        <v/>
      </c>
      <c r="P33" t="str">
        <v/>
      </c>
      <c r="Q33" t="str">
        <v/>
      </c>
      <c r="R33" t="str">
        <v>Ø20</v>
      </c>
      <c r="S33">
        <v>85</v>
      </c>
      <c r="T33">
        <v>38</v>
      </c>
    </row>
    <row r="34" spans="1:20" x14ac:dyDescent="0.3">
      <c r="A34" t="str">
        <v>L.00.003Tб.1</v>
      </c>
      <c r="B34" t="str">
        <v>ЩО-001</v>
      </c>
      <c r="C34" t="str">
        <v>Осветительная группа, пом. 003Tб</v>
      </c>
      <c r="D34" t="str">
        <v>ВВГнг(А)-LS (3х1,5)</v>
      </c>
      <c r="E34" t="str">
        <v>L=13</v>
      </c>
      <c r="F34" t="str">
        <v/>
      </c>
      <c r="G34" t="str">
        <v>Ø20 L=42</v>
      </c>
      <c r="H34">
        <v>37</v>
      </c>
      <c r="I34" t="str">
        <v/>
      </c>
      <c r="J34" t="str">
        <v/>
      </c>
      <c r="K34" t="str">
        <v/>
      </c>
      <c r="L34" t="str">
        <v/>
      </c>
      <c r="M34" t="str">
        <v/>
      </c>
      <c r="N34" t="str">
        <v/>
      </c>
      <c r="O34" t="str">
        <v/>
      </c>
      <c r="P34" t="str">
        <v/>
      </c>
      <c r="Q34" t="str">
        <v/>
      </c>
      <c r="R34" t="str">
        <v>Ø20</v>
      </c>
      <c r="S34">
        <v>42</v>
      </c>
      <c r="T34">
        <v>13</v>
      </c>
    </row>
    <row r="35" spans="1:20" x14ac:dyDescent="0.3">
      <c r="A35" t="str">
        <v>L.00.004Б.1</v>
      </c>
      <c r="B35" t="str">
        <v>ЩО-001</v>
      </c>
      <c r="C35" t="str">
        <v>Осветительная группа, пом. 004Б</v>
      </c>
      <c r="D35" t="str">
        <v>ВВГнг(А)-LS (3х1,5)</v>
      </c>
      <c r="E35" t="str">
        <v>L=17</v>
      </c>
      <c r="F35" t="str">
        <v/>
      </c>
      <c r="G35" t="str">
        <v>Ø20 L=60</v>
      </c>
      <c r="H35">
        <v>66</v>
      </c>
      <c r="I35" t="str">
        <v/>
      </c>
      <c r="J35" t="str">
        <v/>
      </c>
      <c r="K35" t="str">
        <v/>
      </c>
      <c r="L35" t="str">
        <v/>
      </c>
      <c r="M35" t="str">
        <v/>
      </c>
      <c r="N35" t="str">
        <v/>
      </c>
      <c r="O35" t="str">
        <v/>
      </c>
      <c r="P35" t="str">
        <v/>
      </c>
      <c r="Q35" t="str">
        <v/>
      </c>
      <c r="R35" t="str">
        <v>Ø20</v>
      </c>
      <c r="S35">
        <v>60</v>
      </c>
      <c r="T35">
        <v>17</v>
      </c>
    </row>
    <row r="36" spans="1:20" x14ac:dyDescent="0.3">
      <c r="A36" t="str">
        <v>L.00.004Т.1</v>
      </c>
      <c r="B36" t="str">
        <v>ЩО-001</v>
      </c>
      <c r="C36" t="str">
        <v>Осветительная группа, пом. 004Т</v>
      </c>
      <c r="D36" t="str">
        <v>ВВГнг(А)-LS (3х1,5)</v>
      </c>
      <c r="E36" t="str">
        <v>L=10</v>
      </c>
      <c r="F36" t="str">
        <v/>
      </c>
      <c r="G36" t="str">
        <v>Ø20 L=15</v>
      </c>
      <c r="H36">
        <v>19</v>
      </c>
      <c r="I36" t="str">
        <v/>
      </c>
      <c r="J36" t="str">
        <v/>
      </c>
      <c r="K36" t="str">
        <v/>
      </c>
      <c r="L36" t="str">
        <v/>
      </c>
      <c r="M36" t="str">
        <v/>
      </c>
      <c r="N36" t="str">
        <v/>
      </c>
      <c r="O36" t="str">
        <v/>
      </c>
      <c r="P36" t="str">
        <v/>
      </c>
      <c r="Q36" t="str">
        <v/>
      </c>
      <c r="R36" t="str">
        <v>Ø20</v>
      </c>
      <c r="S36">
        <v>15</v>
      </c>
      <c r="T36">
        <v>10</v>
      </c>
    </row>
    <row r="37" spans="1:20" x14ac:dyDescent="0.3">
      <c r="A37" t="str">
        <v>L.00.005Б.1</v>
      </c>
      <c r="B37" t="str">
        <v>ЩО-001</v>
      </c>
      <c r="C37" t="str">
        <v>Осветительная группа, пом. 005Б</v>
      </c>
      <c r="D37" t="str">
        <v>ВВГнг(А)-LS (3х1,5)</v>
      </c>
      <c r="E37" t="str">
        <v>L=17</v>
      </c>
      <c r="F37" t="str">
        <v/>
      </c>
      <c r="G37" t="str">
        <v>Ø20 L=56</v>
      </c>
      <c r="H37">
        <v>62</v>
      </c>
      <c r="I37" t="str">
        <v/>
      </c>
      <c r="J37" t="str">
        <v/>
      </c>
      <c r="K37" t="str">
        <v/>
      </c>
      <c r="L37" t="str">
        <v/>
      </c>
      <c r="M37" t="str">
        <v/>
      </c>
      <c r="N37" t="str">
        <v/>
      </c>
      <c r="O37" t="str">
        <v/>
      </c>
      <c r="P37" t="str">
        <v/>
      </c>
      <c r="Q37" t="str">
        <v/>
      </c>
      <c r="R37" t="str">
        <v>Ø20</v>
      </c>
      <c r="S37">
        <v>56</v>
      </c>
      <c r="T37">
        <v>17</v>
      </c>
    </row>
    <row r="38" spans="1:20" x14ac:dyDescent="0.3">
      <c r="A38" t="str">
        <v>L.00.005Т.1</v>
      </c>
      <c r="B38" t="str">
        <v>ЩО-001</v>
      </c>
      <c r="C38" t="str">
        <v>Осветительная группа, пом. 005Т</v>
      </c>
      <c r="D38" t="str">
        <v>ВВГнг(А)-LS (3х1,5)</v>
      </c>
      <c r="E38" t="str">
        <v>L=19</v>
      </c>
      <c r="F38" t="str">
        <v>Ø20 L=53</v>
      </c>
      <c r="G38" t="str">
        <v/>
      </c>
      <c r="H38">
        <v>80</v>
      </c>
      <c r="I38" t="str">
        <v/>
      </c>
      <c r="J38" t="str">
        <v/>
      </c>
      <c r="K38" t="str">
        <v/>
      </c>
      <c r="L38" t="str">
        <v/>
      </c>
      <c r="M38" t="str">
        <v/>
      </c>
      <c r="N38" t="str">
        <v/>
      </c>
      <c r="O38" t="str">
        <v/>
      </c>
      <c r="P38" t="str">
        <v>Ø20</v>
      </c>
      <c r="Q38">
        <v>53</v>
      </c>
      <c r="R38" t="str">
        <v/>
      </c>
      <c r="S38" t="str">
        <v/>
      </c>
      <c r="T38">
        <v>19</v>
      </c>
    </row>
    <row r="39" spans="1:20" x14ac:dyDescent="0.3">
      <c r="A39" t="str">
        <v>L.00.006Б.1</v>
      </c>
      <c r="B39" t="str">
        <v>ЩО-001</v>
      </c>
      <c r="C39" t="str">
        <v>Осветительная группа, пом. 006Б</v>
      </c>
      <c r="D39" t="str">
        <v>ВВГнг(А)-LS (3х1,5)</v>
      </c>
      <c r="E39" t="str">
        <v>L=7</v>
      </c>
      <c r="F39" t="str">
        <v/>
      </c>
      <c r="G39" t="str">
        <v>Ø20 L=28</v>
      </c>
      <c r="H39">
        <v>32</v>
      </c>
      <c r="I39" t="str">
        <v/>
      </c>
      <c r="J39" t="str">
        <v/>
      </c>
      <c r="K39" t="str">
        <v/>
      </c>
      <c r="L39" t="str">
        <v/>
      </c>
      <c r="M39" t="str">
        <v/>
      </c>
      <c r="N39" t="str">
        <v/>
      </c>
      <c r="O39" t="str">
        <v/>
      </c>
      <c r="P39" t="str">
        <v/>
      </c>
      <c r="Q39" t="str">
        <v/>
      </c>
      <c r="R39" t="str">
        <v>Ø20</v>
      </c>
      <c r="S39">
        <v>28</v>
      </c>
      <c r="T39">
        <v>7</v>
      </c>
    </row>
    <row r="40" spans="1:20" x14ac:dyDescent="0.3">
      <c r="A40" t="str">
        <v>L.00.006Т.1</v>
      </c>
      <c r="B40" t="str">
        <v>ЩО-001</v>
      </c>
      <c r="C40" t="str">
        <v>Осветительная группа, пом. 006Т</v>
      </c>
      <c r="D40" t="str">
        <v>ВВГнг(А)-LS (3х1,5)</v>
      </c>
      <c r="E40" t="str">
        <v>L=33</v>
      </c>
      <c r="F40" t="str">
        <v>Ø20 L=89</v>
      </c>
      <c r="G40" t="str">
        <v/>
      </c>
      <c r="H40">
        <v>127</v>
      </c>
      <c r="I40" t="str">
        <v/>
      </c>
      <c r="J40" t="str">
        <v/>
      </c>
      <c r="K40" t="str">
        <v/>
      </c>
      <c r="L40" t="str">
        <v/>
      </c>
      <c r="M40" t="str">
        <v/>
      </c>
      <c r="N40" t="str">
        <v/>
      </c>
      <c r="O40" t="str">
        <v/>
      </c>
      <c r="P40" t="str">
        <v>Ø20</v>
      </c>
      <c r="Q40">
        <v>89</v>
      </c>
      <c r="R40" t="str">
        <v/>
      </c>
      <c r="S40" t="str">
        <v/>
      </c>
      <c r="T40">
        <v>33</v>
      </c>
    </row>
    <row r="41" spans="1:20" x14ac:dyDescent="0.3">
      <c r="A41" t="str">
        <v>L.00.007Б.1</v>
      </c>
      <c r="B41" t="str">
        <v>ЩО-001</v>
      </c>
      <c r="C41" t="str">
        <v>Осветительная группа, пом. 007Б</v>
      </c>
      <c r="D41" t="str">
        <v>ВВГнг(А)-LS (3х1,5)</v>
      </c>
      <c r="E41" t="str">
        <v>L=33</v>
      </c>
      <c r="F41" t="str">
        <v>Ø20 L=57</v>
      </c>
      <c r="G41" t="str">
        <v/>
      </c>
      <c r="H41">
        <v>95</v>
      </c>
      <c r="I41" t="str">
        <v/>
      </c>
      <c r="J41" t="str">
        <v/>
      </c>
      <c r="K41" t="str">
        <v/>
      </c>
      <c r="L41" t="str">
        <v/>
      </c>
      <c r="M41" t="str">
        <v/>
      </c>
      <c r="N41" t="str">
        <v/>
      </c>
      <c r="O41" t="str">
        <v/>
      </c>
      <c r="P41" t="str">
        <v>Ø20</v>
      </c>
      <c r="Q41">
        <v>57</v>
      </c>
      <c r="R41" t="str">
        <v/>
      </c>
      <c r="S41" t="str">
        <v/>
      </c>
      <c r="T41">
        <v>33</v>
      </c>
    </row>
    <row r="42" spans="1:20" x14ac:dyDescent="0.3">
      <c r="A42" t="str">
        <v>L.00.007Т.1</v>
      </c>
      <c r="B42" t="str">
        <v>ЩО-001</v>
      </c>
      <c r="C42" t="str">
        <v>Осветительная группа, пом. 007Т</v>
      </c>
      <c r="D42" t="str">
        <v>ВВГнг(А)-LS (3х1,5)</v>
      </c>
      <c r="E42" t="str">
        <v>L=7</v>
      </c>
      <c r="F42" t="str">
        <v/>
      </c>
      <c r="G42" t="str">
        <v>Ø20 L=42</v>
      </c>
      <c r="H42">
        <v>46</v>
      </c>
      <c r="I42" t="str">
        <v/>
      </c>
      <c r="J42" t="str">
        <v/>
      </c>
      <c r="K42" t="str">
        <v/>
      </c>
      <c r="L42" t="str">
        <v/>
      </c>
      <c r="M42" t="str">
        <v/>
      </c>
      <c r="N42" t="str">
        <v/>
      </c>
      <c r="O42" t="str">
        <v/>
      </c>
      <c r="P42" t="str">
        <v/>
      </c>
      <c r="Q42" t="str">
        <v/>
      </c>
      <c r="R42" t="str">
        <v>Ø20</v>
      </c>
      <c r="S42">
        <v>42</v>
      </c>
      <c r="T42">
        <v>7</v>
      </c>
    </row>
    <row r="43" spans="1:20" x14ac:dyDescent="0.3">
      <c r="A43" t="str">
        <v>L.00.008T.1</v>
      </c>
      <c r="B43" t="str">
        <v>ЩО-001</v>
      </c>
      <c r="C43" t="str">
        <v>Осветительная группа, пом. 008T</v>
      </c>
      <c r="D43" t="str">
        <v>ВВГнг(А)-LS (3х1,5)</v>
      </c>
      <c r="E43" t="str">
        <v>L=14</v>
      </c>
      <c r="F43" t="str">
        <v/>
      </c>
      <c r="G43" t="str">
        <v>Ø20 L=69</v>
      </c>
      <c r="H43">
        <v>63</v>
      </c>
      <c r="I43" t="str">
        <v/>
      </c>
      <c r="J43" t="str">
        <v/>
      </c>
      <c r="K43" t="str">
        <v/>
      </c>
      <c r="L43" t="str">
        <v/>
      </c>
      <c r="M43" t="str">
        <v/>
      </c>
      <c r="N43" t="str">
        <v/>
      </c>
      <c r="O43" t="str">
        <v/>
      </c>
      <c r="P43" t="str">
        <v/>
      </c>
      <c r="Q43" t="str">
        <v/>
      </c>
      <c r="R43" t="str">
        <v>Ø20</v>
      </c>
      <c r="S43">
        <v>69</v>
      </c>
      <c r="T43">
        <v>14</v>
      </c>
    </row>
    <row r="44" spans="1:20" x14ac:dyDescent="0.3">
      <c r="A44" t="str">
        <v>L.00.009Б.1</v>
      </c>
      <c r="B44" t="str">
        <v>ЩО-001</v>
      </c>
      <c r="C44" t="str">
        <v>Осветительная группа, пом. 009Б</v>
      </c>
      <c r="D44" t="str">
        <v>ВВГнг(А)-LS (3х1,5)</v>
      </c>
      <c r="E44" t="str">
        <v>L=6</v>
      </c>
      <c r="F44" t="str">
        <v/>
      </c>
      <c r="G44" t="str">
        <v>Ø20 L=31</v>
      </c>
      <c r="H44">
        <v>33</v>
      </c>
      <c r="I44" t="str">
        <v/>
      </c>
      <c r="J44" t="str">
        <v/>
      </c>
      <c r="K44" t="str">
        <v/>
      </c>
      <c r="L44" t="str">
        <v/>
      </c>
      <c r="M44" t="str">
        <v/>
      </c>
      <c r="N44" t="str">
        <v/>
      </c>
      <c r="O44" t="str">
        <v/>
      </c>
      <c r="P44" t="str">
        <v/>
      </c>
      <c r="Q44" t="str">
        <v/>
      </c>
      <c r="R44" t="str">
        <v>Ø20</v>
      </c>
      <c r="S44">
        <v>31</v>
      </c>
      <c r="T44">
        <v>6</v>
      </c>
    </row>
    <row r="45" spans="1:20" x14ac:dyDescent="0.3">
      <c r="A45" t="str">
        <v>L.00.010Б.1</v>
      </c>
      <c r="B45" t="str">
        <v>ЩО-001</v>
      </c>
      <c r="C45" t="str">
        <v>Осветительная группа, пом. 010Б</v>
      </c>
      <c r="D45" t="str">
        <v>ВВГнг(А)-LS (3х1,5)</v>
      </c>
      <c r="E45" t="str">
        <v/>
      </c>
      <c r="F45" t="str">
        <v>Ø20 L=70</v>
      </c>
      <c r="G45" t="str">
        <v/>
      </c>
      <c r="H45">
        <v>78</v>
      </c>
      <c r="I45" t="str">
        <v/>
      </c>
      <c r="J45" t="str">
        <v/>
      </c>
      <c r="K45" t="str">
        <v/>
      </c>
      <c r="L45" t="str">
        <v/>
      </c>
      <c r="M45" t="str">
        <v/>
      </c>
      <c r="N45" t="str">
        <v/>
      </c>
      <c r="O45" t="str">
        <v/>
      </c>
      <c r="P45" t="str">
        <v>Ø20</v>
      </c>
      <c r="Q45">
        <v>70</v>
      </c>
      <c r="R45" t="str">
        <v/>
      </c>
      <c r="S45" t="str">
        <v/>
      </c>
      <c r="T45" t="str">
        <v/>
      </c>
    </row>
    <row r="46" spans="1:20" x14ac:dyDescent="0.3">
      <c r="A46" t="str">
        <v>L.00.003T.1</v>
      </c>
      <c r="B46" t="str">
        <v>ЩО-001</v>
      </c>
      <c r="C46" t="str">
        <v>Осветительная группа, пом. 003T</v>
      </c>
      <c r="D46" t="str">
        <v>ВВГнг(А)-LS (3х1,5)</v>
      </c>
      <c r="E46" t="str">
        <v>L=8</v>
      </c>
      <c r="F46" t="str">
        <v>Ø20 L=71</v>
      </c>
      <c r="G46" t="str">
        <v/>
      </c>
      <c r="H46">
        <v>87</v>
      </c>
      <c r="I46" t="str">
        <v/>
      </c>
      <c r="J46" t="str">
        <v/>
      </c>
      <c r="K46" t="str">
        <v/>
      </c>
      <c r="L46" t="str">
        <v/>
      </c>
      <c r="M46" t="str">
        <v/>
      </c>
      <c r="N46" t="str">
        <v/>
      </c>
      <c r="O46" t="str">
        <v/>
      </c>
      <c r="P46" t="str">
        <v>Ø20</v>
      </c>
      <c r="Q46">
        <v>71</v>
      </c>
      <c r="R46" t="str">
        <v/>
      </c>
      <c r="S46" t="str">
        <v/>
      </c>
      <c r="T46">
        <v>8</v>
      </c>
    </row>
    <row r="47" spans="1:20" x14ac:dyDescent="0.3">
      <c r="A47" t="str">
        <v>В.3</v>
      </c>
      <c r="B47" t="str">
        <v>ЩОВ-001</v>
      </c>
      <c r="C47" t="str">
        <v>Вытяжная установка Пом №006T</v>
      </c>
      <c r="D47" t="str">
        <v>ВВГнг(А)-LS (3х1,5)</v>
      </c>
      <c r="E47" t="str">
        <v/>
      </c>
      <c r="F47" t="str">
        <v>Ø20 L=21</v>
      </c>
      <c r="G47" t="str">
        <v/>
      </c>
      <c r="H47">
        <v>21</v>
      </c>
      <c r="I47" t="str">
        <v/>
      </c>
      <c r="J47" t="str">
        <v/>
      </c>
      <c r="K47" t="str">
        <v/>
      </c>
      <c r="L47" t="str">
        <v/>
      </c>
      <c r="M47" t="str">
        <v/>
      </c>
      <c r="N47" t="str">
        <v/>
      </c>
      <c r="O47" t="str">
        <v>1</v>
      </c>
      <c r="P47" t="str">
        <v>Ø20</v>
      </c>
      <c r="Q47">
        <v>21</v>
      </c>
      <c r="R47" t="str">
        <v/>
      </c>
      <c r="S47" t="str">
        <v/>
      </c>
      <c r="T47" t="str">
        <v/>
      </c>
    </row>
    <row r="48" spans="1:20" x14ac:dyDescent="0.3">
      <c r="A48" t="str">
        <v>В.9</v>
      </c>
      <c r="B48" t="str">
        <v>ЩОВ-001</v>
      </c>
      <c r="C48" t="str">
        <v>Вытяжная установка Пом №006T</v>
      </c>
      <c r="D48" t="str">
        <v>ВВГнг(А)-LS (3х1,5)</v>
      </c>
      <c r="E48" t="str">
        <v/>
      </c>
      <c r="F48" t="str">
        <v>Ø20 L=17</v>
      </c>
      <c r="G48" t="str">
        <v/>
      </c>
      <c r="H48">
        <v>17</v>
      </c>
      <c r="I48" t="str">
        <v/>
      </c>
      <c r="J48" t="str">
        <v/>
      </c>
      <c r="K48" t="str">
        <v/>
      </c>
      <c r="L48" t="str">
        <v/>
      </c>
      <c r="M48" t="str">
        <v/>
      </c>
      <c r="N48" t="str">
        <v/>
      </c>
      <c r="O48" t="str">
        <v>1</v>
      </c>
      <c r="P48" t="str">
        <v>Ø20</v>
      </c>
      <c r="Q48">
        <v>17</v>
      </c>
      <c r="R48" t="str">
        <v/>
      </c>
      <c r="S48" t="str">
        <v/>
      </c>
      <c r="T48" t="str">
        <v/>
      </c>
    </row>
    <row r="49" spans="1:20" x14ac:dyDescent="0.3">
      <c r="A49" t="str">
        <v>В.11</v>
      </c>
      <c r="B49" t="str">
        <v>ЩОВ-001</v>
      </c>
      <c r="C49" t="str">
        <v>Вытяжная установка Подвальный этаж Пом №006T</v>
      </c>
      <c r="D49" t="str">
        <v>ВВГнг(А)-LS (3х1,5)</v>
      </c>
      <c r="E49" t="str">
        <v/>
      </c>
      <c r="F49" t="str">
        <v>Ø20 L=18</v>
      </c>
      <c r="G49" t="str">
        <v/>
      </c>
      <c r="H49">
        <v>18</v>
      </c>
      <c r="I49" t="str">
        <v/>
      </c>
      <c r="J49" t="str">
        <v/>
      </c>
      <c r="K49" t="str">
        <v/>
      </c>
      <c r="L49" t="str">
        <v/>
      </c>
      <c r="M49" t="str">
        <v/>
      </c>
      <c r="N49" t="str">
        <v/>
      </c>
      <c r="O49" t="str">
        <v>1</v>
      </c>
      <c r="P49" t="str">
        <v>Ø20</v>
      </c>
      <c r="Q49">
        <v>18</v>
      </c>
      <c r="R49" t="str">
        <v/>
      </c>
      <c r="S49" t="str">
        <v/>
      </c>
      <c r="T49" t="str">
        <v/>
      </c>
    </row>
    <row r="50" spans="1:20" x14ac:dyDescent="0.3">
      <c r="A50" t="str">
        <v>В.12</v>
      </c>
      <c r="B50" t="str">
        <v>ЩОВ-001</v>
      </c>
      <c r="C50" t="str">
        <v>Вытяжная установка Подвальный этаж Пом №006T</v>
      </c>
      <c r="D50" t="str">
        <v>ВВГнг(А)-LS (3х1,5)</v>
      </c>
      <c r="E50" t="str">
        <v/>
      </c>
      <c r="F50" t="str">
        <v>Ø20 L=15</v>
      </c>
      <c r="G50" t="str">
        <v/>
      </c>
      <c r="H50">
        <v>15</v>
      </c>
      <c r="I50" t="str">
        <v/>
      </c>
      <c r="J50" t="str">
        <v/>
      </c>
      <c r="K50" t="str">
        <v/>
      </c>
      <c r="L50" t="str">
        <v/>
      </c>
      <c r="M50" t="str">
        <v/>
      </c>
      <c r="N50" t="str">
        <v/>
      </c>
      <c r="O50" t="str">
        <v>1</v>
      </c>
      <c r="P50" t="str">
        <v>Ø20</v>
      </c>
      <c r="Q50">
        <v>15</v>
      </c>
      <c r="R50" t="str">
        <v/>
      </c>
      <c r="S50" t="str">
        <v/>
      </c>
      <c r="T50" t="str">
        <v/>
      </c>
    </row>
    <row r="51" spans="1:20" x14ac:dyDescent="0.3">
      <c r="A51" t="str">
        <v>В.13</v>
      </c>
      <c r="B51" t="str">
        <v>ЩОВ-001</v>
      </c>
      <c r="C51" t="str">
        <v>Вытяжная установка Подвальный этаж Пом №006T</v>
      </c>
      <c r="D51" t="str">
        <v>ВВГнг(А)-LS (3х1,5)</v>
      </c>
      <c r="E51" t="str">
        <v/>
      </c>
      <c r="F51" t="str">
        <v>Ø20 L=16</v>
      </c>
      <c r="G51" t="str">
        <v/>
      </c>
      <c r="H51">
        <v>16</v>
      </c>
      <c r="I51" t="str">
        <v/>
      </c>
      <c r="J51" t="str">
        <v/>
      </c>
      <c r="K51" t="str">
        <v/>
      </c>
      <c r="L51" t="str">
        <v/>
      </c>
      <c r="M51" t="str">
        <v/>
      </c>
      <c r="N51" t="str">
        <v/>
      </c>
      <c r="O51" t="str">
        <v>1</v>
      </c>
      <c r="P51" t="str">
        <v>Ø20</v>
      </c>
      <c r="Q51">
        <v>16</v>
      </c>
      <c r="R51" t="str">
        <v/>
      </c>
      <c r="S51" t="str">
        <v/>
      </c>
      <c r="T51" t="str">
        <v/>
      </c>
    </row>
    <row r="52" spans="1:20" x14ac:dyDescent="0.3">
      <c r="A52" t="str">
        <v>В.17</v>
      </c>
      <c r="B52" t="str">
        <v>ЩОВ-001</v>
      </c>
      <c r="C52" t="str">
        <v>Вытяжная установка Подвальный этаж Пом №006T</v>
      </c>
      <c r="D52" t="str">
        <v>ВВГнг(А)-LS (3х1,5)</v>
      </c>
      <c r="E52" t="str">
        <v/>
      </c>
      <c r="F52" t="str">
        <v>Ø20 L=20</v>
      </c>
      <c r="G52" t="str">
        <v/>
      </c>
      <c r="H52">
        <v>20</v>
      </c>
      <c r="I52" t="str">
        <v/>
      </c>
      <c r="J52" t="str">
        <v/>
      </c>
      <c r="K52" t="str">
        <v/>
      </c>
      <c r="L52" t="str">
        <v/>
      </c>
      <c r="M52" t="str">
        <v/>
      </c>
      <c r="N52" t="str">
        <v/>
      </c>
      <c r="O52" t="str">
        <v>1</v>
      </c>
      <c r="P52" t="str">
        <v>Ø20</v>
      </c>
      <c r="Q52">
        <v>20</v>
      </c>
      <c r="R52" t="str">
        <v/>
      </c>
      <c r="S52" t="str">
        <v/>
      </c>
      <c r="T52" t="str">
        <v/>
      </c>
    </row>
    <row r="53" spans="1:20" x14ac:dyDescent="0.3">
      <c r="A53" t="str">
        <v>В.18</v>
      </c>
      <c r="B53" t="str">
        <v>ЩОВ-001</v>
      </c>
      <c r="C53" t="str">
        <v>Вытяжная установка Подвальный этаж Пом №006T</v>
      </c>
      <c r="D53" t="str">
        <v>ВВГнг(А)-LS (3х1,5)</v>
      </c>
      <c r="E53" t="str">
        <v/>
      </c>
      <c r="F53" t="str">
        <v>Ø20 L=23</v>
      </c>
      <c r="G53" t="str">
        <v/>
      </c>
      <c r="H53">
        <v>23</v>
      </c>
      <c r="I53" t="str">
        <v/>
      </c>
      <c r="J53" t="str">
        <v/>
      </c>
      <c r="K53" t="str">
        <v/>
      </c>
      <c r="L53" t="str">
        <v/>
      </c>
      <c r="M53" t="str">
        <v/>
      </c>
      <c r="N53" t="str">
        <v/>
      </c>
      <c r="O53" t="str">
        <v>1</v>
      </c>
      <c r="P53" t="str">
        <v>Ø20</v>
      </c>
      <c r="Q53">
        <v>23</v>
      </c>
      <c r="R53" t="str">
        <v/>
      </c>
      <c r="S53" t="str">
        <v/>
      </c>
      <c r="T53" t="str">
        <v/>
      </c>
    </row>
    <row r="54" spans="1:20" x14ac:dyDescent="0.3">
      <c r="A54" t="str">
        <v>П.1</v>
      </c>
      <c r="B54" t="str">
        <v>ЩОВ-001</v>
      </c>
      <c r="C54" t="str">
        <v>Приточная установка Пом №006Т</v>
      </c>
      <c r="D54" t="str">
        <v>ВВГнг(А)-LS (3х1,5)</v>
      </c>
      <c r="E54" t="str">
        <v/>
      </c>
      <c r="F54" t="str">
        <v>Ø20 L=15</v>
      </c>
      <c r="G54" t="str">
        <v/>
      </c>
      <c r="H54">
        <v>15</v>
      </c>
      <c r="I54" t="str">
        <v/>
      </c>
      <c r="J54" t="str">
        <v/>
      </c>
      <c r="K54" t="str">
        <v/>
      </c>
      <c r="L54" t="str">
        <v/>
      </c>
      <c r="M54" t="str">
        <v/>
      </c>
      <c r="N54" t="str">
        <v/>
      </c>
      <c r="O54" t="str">
        <v>1</v>
      </c>
      <c r="P54" t="str">
        <v>Ø20</v>
      </c>
      <c r="Q54">
        <v>15</v>
      </c>
      <c r="R54" t="str">
        <v/>
      </c>
      <c r="S54" t="str">
        <v/>
      </c>
      <c r="T54" t="str">
        <v/>
      </c>
    </row>
    <row r="55" spans="1:20" x14ac:dyDescent="0.3">
      <c r="A55" t="str">
        <v>П.2</v>
      </c>
      <c r="B55" t="str">
        <v>ЩОВ-001</v>
      </c>
      <c r="C55" t="str">
        <v>Приточная установка Пом №006Т</v>
      </c>
      <c r="D55" t="str">
        <v>ВВГнг(А)-LS (3х1,5)</v>
      </c>
      <c r="E55" t="str">
        <v/>
      </c>
      <c r="F55" t="str">
        <v>Ø20 L=26</v>
      </c>
      <c r="G55" t="str">
        <v/>
      </c>
      <c r="H55">
        <v>26</v>
      </c>
      <c r="I55" t="str">
        <v/>
      </c>
      <c r="J55" t="str">
        <v/>
      </c>
      <c r="K55" t="str">
        <v/>
      </c>
      <c r="L55" t="str">
        <v/>
      </c>
      <c r="M55" t="str">
        <v/>
      </c>
      <c r="N55" t="str">
        <v/>
      </c>
      <c r="O55" t="str">
        <v>1</v>
      </c>
      <c r="P55" t="str">
        <v>Ø20</v>
      </c>
      <c r="Q55">
        <v>26</v>
      </c>
      <c r="R55" t="str">
        <v/>
      </c>
      <c r="S55" t="str">
        <v/>
      </c>
      <c r="T55" t="str">
        <v/>
      </c>
    </row>
    <row r="56" spans="1:20" x14ac:dyDescent="0.3">
      <c r="A56" t="str">
        <v>П.4</v>
      </c>
      <c r="B56" t="str">
        <v>ЩОВ-001</v>
      </c>
      <c r="C56" t="str">
        <v>Приточная установка Пом №006Т</v>
      </c>
      <c r="D56" t="str">
        <v>ВВГнг(А)-LS (3х1,5)</v>
      </c>
      <c r="E56" t="str">
        <v/>
      </c>
      <c r="F56" t="str">
        <v>Ø20 L=23</v>
      </c>
      <c r="G56" t="str">
        <v/>
      </c>
      <c r="H56">
        <v>23</v>
      </c>
      <c r="I56" t="str">
        <v/>
      </c>
      <c r="J56" t="str">
        <v/>
      </c>
      <c r="K56" t="str">
        <v/>
      </c>
      <c r="L56" t="str">
        <v/>
      </c>
      <c r="M56" t="str">
        <v/>
      </c>
      <c r="N56" t="str">
        <v/>
      </c>
      <c r="O56" t="str">
        <v>1</v>
      </c>
      <c r="P56" t="str">
        <v>Ø20</v>
      </c>
      <c r="Q56">
        <v>23</v>
      </c>
      <c r="R56" t="str">
        <v/>
      </c>
      <c r="S56" t="str">
        <v/>
      </c>
      <c r="T56" t="str">
        <v/>
      </c>
    </row>
    <row r="57" spans="1:20" x14ac:dyDescent="0.3">
      <c r="A57" t="str">
        <v>ПВ.2</v>
      </c>
      <c r="B57" t="str">
        <v>ЩОВ-001</v>
      </c>
      <c r="C57" t="str">
        <v>Приточно-вытяжная установка Подвальный этаж Пом. №006Т</v>
      </c>
      <c r="D57" t="str">
        <v>ВВГнг(А)-LS (3х2,5)</v>
      </c>
      <c r="E57" t="str">
        <v/>
      </c>
      <c r="F57" t="str">
        <v>Ø20 L=27</v>
      </c>
      <c r="G57" t="str">
        <v/>
      </c>
      <c r="H57">
        <v>27</v>
      </c>
      <c r="I57" t="str">
        <v/>
      </c>
      <c r="J57" t="str">
        <v/>
      </c>
      <c r="K57" t="str">
        <v/>
      </c>
      <c r="L57" t="str">
        <v/>
      </c>
      <c r="M57" t="str">
        <v/>
      </c>
      <c r="N57" t="str">
        <v/>
      </c>
      <c r="O57" t="str">
        <v>1</v>
      </c>
      <c r="P57" t="str">
        <v>Ø20</v>
      </c>
      <c r="Q57">
        <v>27</v>
      </c>
      <c r="R57" t="str">
        <v/>
      </c>
      <c r="S57" t="str">
        <v/>
      </c>
      <c r="T57" t="str">
        <v/>
      </c>
    </row>
    <row r="58" spans="1:20" x14ac:dyDescent="0.3">
      <c r="A58" t="str">
        <v>ПВ.3</v>
      </c>
      <c r="B58" t="str">
        <v>ЩОВ-001</v>
      </c>
      <c r="C58" t="str">
        <v>Приточно-вытяжная установка Подвальный этаж Пом. №006Т</v>
      </c>
      <c r="D58" t="str">
        <v>ВВГнг(А)-LS (3х1,5)</v>
      </c>
      <c r="E58" t="str">
        <v/>
      </c>
      <c r="F58" t="str">
        <v>Ø20 L=28</v>
      </c>
      <c r="G58" t="str">
        <v/>
      </c>
      <c r="H58">
        <v>28</v>
      </c>
      <c r="I58" t="str">
        <v/>
      </c>
      <c r="J58" t="str">
        <v/>
      </c>
      <c r="K58" t="str">
        <v/>
      </c>
      <c r="L58" t="str">
        <v/>
      </c>
      <c r="M58" t="str">
        <v/>
      </c>
      <c r="N58" t="str">
        <v/>
      </c>
      <c r="O58" t="str">
        <v>1</v>
      </c>
      <c r="P58" t="str">
        <v>Ø20</v>
      </c>
      <c r="Q58">
        <v>28</v>
      </c>
      <c r="R58" t="str">
        <v/>
      </c>
      <c r="S58" t="str">
        <v/>
      </c>
      <c r="T58" t="str">
        <v/>
      </c>
    </row>
    <row r="59" spans="1:20" x14ac:dyDescent="0.3">
      <c r="A59" t="str">
        <v>ПВ.4</v>
      </c>
      <c r="B59" t="str">
        <v>ЩОВ-001</v>
      </c>
      <c r="C59" t="str">
        <v>Приточно-вытяжная установка Подвальный этаж Пом. №006Т</v>
      </c>
      <c r="D59" t="str">
        <v>ВВГнг(А)-LS (3х1,5)</v>
      </c>
      <c r="E59" t="str">
        <v/>
      </c>
      <c r="F59" t="str">
        <v>Ø20 L=27</v>
      </c>
      <c r="G59" t="str">
        <v/>
      </c>
      <c r="H59">
        <v>27</v>
      </c>
      <c r="I59" t="str">
        <v/>
      </c>
      <c r="J59" t="str">
        <v/>
      </c>
      <c r="K59" t="str">
        <v/>
      </c>
      <c r="L59" t="str">
        <v/>
      </c>
      <c r="M59" t="str">
        <v/>
      </c>
      <c r="N59" t="str">
        <v/>
      </c>
      <c r="O59" t="str">
        <v>1</v>
      </c>
      <c r="P59" t="str">
        <v>Ø20</v>
      </c>
      <c r="Q59">
        <v>27</v>
      </c>
      <c r="R59" t="str">
        <v/>
      </c>
      <c r="S59" t="str">
        <v/>
      </c>
      <c r="T59" t="str">
        <v/>
      </c>
    </row>
    <row r="60" spans="1:20" x14ac:dyDescent="0.3">
      <c r="A60" t="str">
        <v>К.1.017А.1</v>
      </c>
      <c r="B60" t="str">
        <v>ЩОВ-001</v>
      </c>
      <c r="C60" t="str">
        <v>Внутренний блок кондиционера Подвальный этаж Пом. №006Т</v>
      </c>
      <c r="D60" t="str">
        <v>ВВГнг(А)-LS (3х1,5)</v>
      </c>
      <c r="E60" t="str">
        <v/>
      </c>
      <c r="F60" t="str">
        <v>Ø20 L=16</v>
      </c>
      <c r="G60" t="str">
        <v/>
      </c>
      <c r="H60">
        <v>16</v>
      </c>
      <c r="I60" t="str">
        <v/>
      </c>
      <c r="J60" t="str">
        <v/>
      </c>
      <c r="K60" t="str">
        <v/>
      </c>
      <c r="L60" t="str">
        <v/>
      </c>
      <c r="M60" t="str">
        <v/>
      </c>
      <c r="N60" t="str">
        <v/>
      </c>
      <c r="O60" t="str">
        <v>1</v>
      </c>
      <c r="P60" t="str">
        <v>Ø20</v>
      </c>
      <c r="Q60">
        <v>16</v>
      </c>
      <c r="R60" t="str">
        <v/>
      </c>
      <c r="S60" t="str">
        <v/>
      </c>
      <c r="T60" t="str">
        <v/>
      </c>
    </row>
    <row r="61" spans="1:20" x14ac:dyDescent="0.3">
      <c r="A61" t="str">
        <v>К.1.021А.1</v>
      </c>
      <c r="B61" t="str">
        <v>ЩОВ-001</v>
      </c>
      <c r="C61" t="str">
        <v>Внутренний блок кондиционера Подвальный этаж Пом. №006Т</v>
      </c>
      <c r="D61" t="str">
        <v>ВВГнг(А)-LS (3х1,5)</v>
      </c>
      <c r="E61" t="str">
        <v/>
      </c>
      <c r="F61" t="str">
        <v>Ø20 L=16</v>
      </c>
      <c r="G61" t="str">
        <v/>
      </c>
      <c r="H61">
        <v>16</v>
      </c>
      <c r="I61" t="str">
        <v/>
      </c>
      <c r="J61" t="str">
        <v/>
      </c>
      <c r="K61" t="str">
        <v/>
      </c>
      <c r="L61" t="str">
        <v/>
      </c>
      <c r="M61" t="str">
        <v/>
      </c>
      <c r="N61" t="str">
        <v/>
      </c>
      <c r="O61" t="str">
        <v>1</v>
      </c>
      <c r="P61" t="str">
        <v>Ø20</v>
      </c>
      <c r="Q61">
        <v>16</v>
      </c>
      <c r="R61" t="str">
        <v/>
      </c>
      <c r="S61" t="str">
        <v/>
      </c>
      <c r="T61" t="str">
        <v/>
      </c>
    </row>
    <row r="62" spans="1:20" x14ac:dyDescent="0.3">
      <c r="A62" t="str">
        <v>K.1</v>
      </c>
      <c r="B62" t="str">
        <v>ЩОВ-001</v>
      </c>
      <c r="C62" t="str">
        <v>Внешний блок кондиционирования Пом. Венткиосок</v>
      </c>
      <c r="D62" t="str">
        <v>ВВГнг(А)-LS (3х2,5)</v>
      </c>
      <c r="E62" t="str">
        <v/>
      </c>
      <c r="F62" t="str">
        <v>Ø20 L=35</v>
      </c>
      <c r="G62" t="str">
        <v/>
      </c>
      <c r="H62">
        <v>38</v>
      </c>
      <c r="I62" t="str">
        <v/>
      </c>
      <c r="J62" t="str">
        <v/>
      </c>
      <c r="K62" t="str">
        <v/>
      </c>
      <c r="L62" t="str">
        <v/>
      </c>
      <c r="M62" t="str">
        <v/>
      </c>
      <c r="N62" t="str">
        <v/>
      </c>
      <c r="O62" t="str">
        <v>1</v>
      </c>
      <c r="P62" t="str">
        <v>Ø20</v>
      </c>
      <c r="Q62">
        <v>35</v>
      </c>
      <c r="R62" t="str">
        <v/>
      </c>
      <c r="S62" t="str">
        <v/>
      </c>
      <c r="T62" t="str">
        <v/>
      </c>
    </row>
    <row r="63" spans="1:20" x14ac:dyDescent="0.3">
      <c r="A63" t="str">
        <v>K.2</v>
      </c>
      <c r="B63" t="str">
        <v>ЩОВ-001</v>
      </c>
      <c r="C63" t="str">
        <v>Внешний блок кондиционирования Пом. Венткиосок</v>
      </c>
      <c r="D63" t="str">
        <v>ВВГнг(А)-LS (3х2,5)</v>
      </c>
      <c r="E63" t="str">
        <v/>
      </c>
      <c r="F63" t="str">
        <v>Ø20 L=35</v>
      </c>
      <c r="G63" t="str">
        <v/>
      </c>
      <c r="H63">
        <v>38</v>
      </c>
      <c r="I63" t="str">
        <v/>
      </c>
      <c r="J63" t="str">
        <v/>
      </c>
      <c r="K63" t="str">
        <v/>
      </c>
      <c r="L63" t="str">
        <v/>
      </c>
      <c r="M63" t="str">
        <v/>
      </c>
      <c r="N63" t="str">
        <v/>
      </c>
      <c r="O63" t="str">
        <v>1</v>
      </c>
      <c r="P63" t="str">
        <v>Ø20</v>
      </c>
      <c r="Q63">
        <v>35</v>
      </c>
      <c r="R63" t="str">
        <v/>
      </c>
      <c r="S63" t="str">
        <v/>
      </c>
      <c r="T63" t="str">
        <v/>
      </c>
    </row>
    <row r="64" spans="1:20" x14ac:dyDescent="0.3">
      <c r="A64" t="str">
        <v>K.3</v>
      </c>
      <c r="B64" t="str">
        <v>ЩОВ-001</v>
      </c>
      <c r="C64" t="str">
        <v>Внешний блок кондиционирования Пом. Венткиосок</v>
      </c>
      <c r="D64" t="str">
        <v>ВВГнг(А)-LS (3х2,5)</v>
      </c>
      <c r="E64" t="str">
        <v/>
      </c>
      <c r="F64" t="str">
        <v>Ø20 L=35</v>
      </c>
      <c r="G64" t="str">
        <v/>
      </c>
      <c r="H64">
        <v>38</v>
      </c>
      <c r="I64" t="str">
        <v/>
      </c>
      <c r="J64" t="str">
        <v/>
      </c>
      <c r="K64" t="str">
        <v/>
      </c>
      <c r="L64" t="str">
        <v/>
      </c>
      <c r="M64" t="str">
        <v/>
      </c>
      <c r="N64" t="str">
        <v/>
      </c>
      <c r="O64" t="str">
        <v>1</v>
      </c>
      <c r="P64" t="str">
        <v>Ø20</v>
      </c>
      <c r="Q64">
        <v>35</v>
      </c>
      <c r="R64" t="str">
        <v/>
      </c>
      <c r="S64" t="str">
        <v/>
      </c>
      <c r="T64" t="str">
        <v/>
      </c>
    </row>
    <row r="65" spans="1:20" x14ac:dyDescent="0.3">
      <c r="A65" t="str">
        <v>K.4</v>
      </c>
      <c r="B65" t="str">
        <v>ЩОВ-001</v>
      </c>
      <c r="C65" t="str">
        <v>Внешний блок кондиционирования Пом. Венткиосок</v>
      </c>
      <c r="D65" t="str">
        <v>ВВГнг(А)-LS (3х2,5)</v>
      </c>
      <c r="E65" t="str">
        <v/>
      </c>
      <c r="F65" t="str">
        <v>Ø20 L=35</v>
      </c>
      <c r="G65" t="str">
        <v/>
      </c>
      <c r="H65">
        <v>38</v>
      </c>
      <c r="I65" t="str">
        <v/>
      </c>
      <c r="J65" t="str">
        <v/>
      </c>
      <c r="K65" t="str">
        <v/>
      </c>
      <c r="L65" t="str">
        <v/>
      </c>
      <c r="M65" t="str">
        <v/>
      </c>
      <c r="N65" t="str">
        <v/>
      </c>
      <c r="O65" t="str">
        <v>1</v>
      </c>
      <c r="P65" t="str">
        <v>Ø20</v>
      </c>
      <c r="Q65">
        <v>35</v>
      </c>
      <c r="R65" t="str">
        <v/>
      </c>
      <c r="S65" t="str">
        <v/>
      </c>
      <c r="T65" t="str">
        <v/>
      </c>
    </row>
    <row r="66" spans="1:20" x14ac:dyDescent="0.3">
      <c r="A66" t="str">
        <v>K.5</v>
      </c>
      <c r="B66" t="str">
        <v>ЩОВ-001</v>
      </c>
      <c r="C66" t="str">
        <v>Внешний блок кондиционирования Пом. Венткиосок</v>
      </c>
      <c r="D66" t="str">
        <v>ВВГнг(А)-LS (3х2,5)</v>
      </c>
      <c r="E66" t="str">
        <v/>
      </c>
      <c r="F66" t="str">
        <v>Ø20 L=31</v>
      </c>
      <c r="G66" t="str">
        <v/>
      </c>
      <c r="H66">
        <v>35</v>
      </c>
      <c r="I66" t="str">
        <v/>
      </c>
      <c r="J66" t="str">
        <v/>
      </c>
      <c r="K66" t="str">
        <v/>
      </c>
      <c r="L66" t="str">
        <v/>
      </c>
      <c r="M66" t="str">
        <v/>
      </c>
      <c r="N66" t="str">
        <v/>
      </c>
      <c r="O66" t="str">
        <v>1</v>
      </c>
      <c r="P66" t="str">
        <v>Ø20</v>
      </c>
      <c r="Q66">
        <v>31</v>
      </c>
      <c r="R66" t="str">
        <v/>
      </c>
      <c r="S66" t="str">
        <v/>
      </c>
      <c r="T66" t="str">
        <v/>
      </c>
    </row>
    <row r="67" spans="1:20" x14ac:dyDescent="0.3">
      <c r="A67" t="str">
        <v>K.6</v>
      </c>
      <c r="B67" t="str">
        <v>ЩОВ-001</v>
      </c>
      <c r="C67" t="str">
        <v>Внешний блок кондиционирования Пом. Венткиосок</v>
      </c>
      <c r="D67" t="str">
        <v>ВВГнг(А)-LS (3х2,5)</v>
      </c>
      <c r="E67" t="str">
        <v/>
      </c>
      <c r="F67" t="str">
        <v>Ø20 L=31</v>
      </c>
      <c r="G67" t="str">
        <v/>
      </c>
      <c r="H67">
        <v>35</v>
      </c>
      <c r="I67" t="str">
        <v/>
      </c>
      <c r="J67" t="str">
        <v/>
      </c>
      <c r="K67" t="str">
        <v/>
      </c>
      <c r="L67" t="str">
        <v/>
      </c>
      <c r="M67" t="str">
        <v/>
      </c>
      <c r="N67" t="str">
        <v/>
      </c>
      <c r="O67" t="str">
        <v>1</v>
      </c>
      <c r="P67" t="str">
        <v>Ø20</v>
      </c>
      <c r="Q67">
        <v>31</v>
      </c>
      <c r="R67" t="str">
        <v/>
      </c>
      <c r="S67" t="str">
        <v/>
      </c>
      <c r="T67" t="str">
        <v/>
      </c>
    </row>
    <row r="68" spans="1:20" x14ac:dyDescent="0.3">
      <c r="A68" t="str">
        <v>K.7</v>
      </c>
      <c r="B68" t="str">
        <v>ЩОВ-001</v>
      </c>
      <c r="C68" t="str">
        <v>Внешний блок кондиционирования Пом. Венткиосок</v>
      </c>
      <c r="D68" t="str">
        <v>ВВГнг(А)-LS (3х2,5)</v>
      </c>
      <c r="E68" t="str">
        <v/>
      </c>
      <c r="F68" t="str">
        <v>Ø20 L=31</v>
      </c>
      <c r="G68" t="str">
        <v/>
      </c>
      <c r="H68">
        <v>35</v>
      </c>
      <c r="I68" t="str">
        <v/>
      </c>
      <c r="J68" t="str">
        <v/>
      </c>
      <c r="K68" t="str">
        <v/>
      </c>
      <c r="L68" t="str">
        <v/>
      </c>
      <c r="M68" t="str">
        <v/>
      </c>
      <c r="N68" t="str">
        <v/>
      </c>
      <c r="O68" t="str">
        <v>1</v>
      </c>
      <c r="P68" t="str">
        <v>Ø20</v>
      </c>
      <c r="Q68">
        <v>31</v>
      </c>
      <c r="R68" t="str">
        <v/>
      </c>
      <c r="S68" t="str">
        <v/>
      </c>
      <c r="T68" t="str">
        <v/>
      </c>
    </row>
    <row r="69" spans="1:20" x14ac:dyDescent="0.3">
      <c r="A69" t="str">
        <v>K.8</v>
      </c>
      <c r="B69" t="str">
        <v>ЩОВ-001</v>
      </c>
      <c r="C69" t="str">
        <v>Внешний блок кондиционирования Пом. Венткиосок</v>
      </c>
      <c r="D69" t="str">
        <v>ВВГнг(А)-LS (3х2,5)</v>
      </c>
      <c r="E69" t="str">
        <v/>
      </c>
      <c r="F69" t="str">
        <v>Ø20 L=31</v>
      </c>
      <c r="G69" t="str">
        <v/>
      </c>
      <c r="H69">
        <v>35</v>
      </c>
      <c r="I69" t="str">
        <v/>
      </c>
      <c r="J69" t="str">
        <v/>
      </c>
      <c r="K69" t="str">
        <v/>
      </c>
      <c r="L69" t="str">
        <v/>
      </c>
      <c r="M69" t="str">
        <v/>
      </c>
      <c r="N69" t="str">
        <v/>
      </c>
      <c r="O69" t="str">
        <v>1</v>
      </c>
      <c r="P69" t="str">
        <v>Ø20</v>
      </c>
      <c r="Q69">
        <v>31</v>
      </c>
      <c r="R69" t="str">
        <v/>
      </c>
      <c r="S69" t="str">
        <v/>
      </c>
      <c r="T69" t="str">
        <v/>
      </c>
    </row>
    <row r="70" spans="1:20" x14ac:dyDescent="0.3">
      <c r="A70" t="str">
        <v>K.9</v>
      </c>
      <c r="B70" t="str">
        <v>ЩОВ-001</v>
      </c>
      <c r="C70" t="str">
        <v>Внешний блок кондиционирования Пом. Венткиосок</v>
      </c>
      <c r="D70" t="str">
        <v>ВВГнг(А)-LS (3х2,5)</v>
      </c>
      <c r="E70" t="str">
        <v/>
      </c>
      <c r="F70" t="str">
        <v>Ø20 L=28</v>
      </c>
      <c r="G70" t="str">
        <v/>
      </c>
      <c r="H70">
        <v>32</v>
      </c>
      <c r="I70" t="str">
        <v/>
      </c>
      <c r="J70" t="str">
        <v/>
      </c>
      <c r="K70" t="str">
        <v/>
      </c>
      <c r="L70" t="str">
        <v/>
      </c>
      <c r="M70" t="str">
        <v/>
      </c>
      <c r="N70" t="str">
        <v/>
      </c>
      <c r="O70" t="str">
        <v>1</v>
      </c>
      <c r="P70" t="str">
        <v>Ø20</v>
      </c>
      <c r="Q70">
        <v>28</v>
      </c>
      <c r="R70" t="str">
        <v/>
      </c>
      <c r="S70" t="str">
        <v/>
      </c>
      <c r="T70" t="str">
        <v/>
      </c>
    </row>
    <row r="71" spans="1:20" x14ac:dyDescent="0.3">
      <c r="A71" t="str">
        <v>K.10</v>
      </c>
      <c r="B71" t="str">
        <v>ЩОВ-001</v>
      </c>
      <c r="C71" t="str">
        <v>Внешний блок кондиционирования Пом. Венткиосок</v>
      </c>
      <c r="D71" t="str">
        <v>ВВГнг(А)-LS (3х2,5)</v>
      </c>
      <c r="E71" t="str">
        <v/>
      </c>
      <c r="F71" t="str">
        <v>Ø20 L=28</v>
      </c>
      <c r="G71" t="str">
        <v/>
      </c>
      <c r="H71">
        <v>32</v>
      </c>
      <c r="I71" t="str">
        <v/>
      </c>
      <c r="J71" t="str">
        <v/>
      </c>
      <c r="K71" t="str">
        <v/>
      </c>
      <c r="L71" t="str">
        <v/>
      </c>
      <c r="M71" t="str">
        <v/>
      </c>
      <c r="N71" t="str">
        <v/>
      </c>
      <c r="O71" t="str">
        <v>1</v>
      </c>
      <c r="P71" t="str">
        <v>Ø20</v>
      </c>
      <c r="Q71">
        <v>28</v>
      </c>
      <c r="R71" t="str">
        <v/>
      </c>
      <c r="S71" t="str">
        <v/>
      </c>
      <c r="T71" t="str">
        <v/>
      </c>
    </row>
    <row r="72" spans="1:20" x14ac:dyDescent="0.3">
      <c r="A72" t="str">
        <v>K.11</v>
      </c>
      <c r="B72" t="str">
        <v>ЩОВ-001</v>
      </c>
      <c r="C72" t="str">
        <v>Внешний блок кондиционирования Пом. Венткиосок</v>
      </c>
      <c r="D72" t="str">
        <v>ВВГнг(А)-LS (3х2,5)</v>
      </c>
      <c r="E72" t="str">
        <v/>
      </c>
      <c r="F72" t="str">
        <v>Ø20 L=28</v>
      </c>
      <c r="G72" t="str">
        <v/>
      </c>
      <c r="H72">
        <v>32</v>
      </c>
      <c r="I72" t="str">
        <v/>
      </c>
      <c r="J72" t="str">
        <v/>
      </c>
      <c r="K72" t="str">
        <v/>
      </c>
      <c r="L72" t="str">
        <v/>
      </c>
      <c r="M72" t="str">
        <v/>
      </c>
      <c r="N72" t="str">
        <v/>
      </c>
      <c r="O72" t="str">
        <v>1</v>
      </c>
      <c r="P72" t="str">
        <v>Ø20</v>
      </c>
      <c r="Q72">
        <v>28</v>
      </c>
      <c r="R72" t="str">
        <v/>
      </c>
      <c r="S72" t="str">
        <v/>
      </c>
      <c r="T72" t="str">
        <v/>
      </c>
    </row>
    <row r="73" spans="1:20" x14ac:dyDescent="0.3">
      <c r="A73" t="str">
        <v>ККБ-1</v>
      </c>
      <c r="B73" t="str">
        <v>ЩОВ-001</v>
      </c>
      <c r="C73" t="str">
        <v>Внешний блок кондиционирования Пом. Венткиосок</v>
      </c>
      <c r="D73" t="str">
        <v>ВВГнг(А)-LS (5х25)</v>
      </c>
      <c r="E73" t="str">
        <v/>
      </c>
      <c r="F73" t="str">
        <v>Ø40 L=30</v>
      </c>
      <c r="G73" t="str">
        <v/>
      </c>
      <c r="H73">
        <v>34</v>
      </c>
      <c r="I73" t="str">
        <v/>
      </c>
      <c r="J73" t="str">
        <v/>
      </c>
      <c r="K73" t="str">
        <v/>
      </c>
      <c r="L73" t="str">
        <v/>
      </c>
      <c r="M73" t="str">
        <v/>
      </c>
      <c r="N73" t="str">
        <v/>
      </c>
      <c r="O73" t="str">
        <v>1</v>
      </c>
      <c r="P73" t="str">
        <v>Ø40</v>
      </c>
      <c r="Q73">
        <v>30</v>
      </c>
      <c r="R73" t="str">
        <v/>
      </c>
      <c r="S73" t="str">
        <v/>
      </c>
      <c r="T73" t="str">
        <v/>
      </c>
    </row>
    <row r="74" spans="1:20" x14ac:dyDescent="0.3">
      <c r="A74" t="str">
        <v>ККБ-2</v>
      </c>
      <c r="B74" t="str">
        <v>ЩОВ-001</v>
      </c>
      <c r="C74" t="str">
        <v>Внешний блок кондиционирования Пом. Венткиосок</v>
      </c>
      <c r="D74" t="str">
        <v>ВВГнг(А)-LS (5х25)</v>
      </c>
      <c r="E74" t="str">
        <v/>
      </c>
      <c r="F74" t="str">
        <v>Ø40 L=33</v>
      </c>
      <c r="G74" t="str">
        <v/>
      </c>
      <c r="H74">
        <v>37</v>
      </c>
      <c r="I74" t="str">
        <v/>
      </c>
      <c r="J74" t="str">
        <v/>
      </c>
      <c r="K74" t="str">
        <v/>
      </c>
      <c r="L74" t="str">
        <v/>
      </c>
      <c r="M74" t="str">
        <v/>
      </c>
      <c r="N74" t="str">
        <v/>
      </c>
      <c r="O74" t="str">
        <v>1</v>
      </c>
      <c r="P74" t="str">
        <v>Ø40</v>
      </c>
      <c r="Q74">
        <v>33</v>
      </c>
      <c r="R74" t="str">
        <v/>
      </c>
      <c r="S74" t="str">
        <v/>
      </c>
      <c r="T74" t="str">
        <v/>
      </c>
    </row>
    <row r="75" spans="1:20" x14ac:dyDescent="0.3">
      <c r="A75" t="str">
        <v>НБ-1</v>
      </c>
      <c r="B75" t="str">
        <v>ЩОВ-001</v>
      </c>
      <c r="C75" t="str">
        <v>Внешний блок кондиционирования Пом. Венткиосок</v>
      </c>
      <c r="D75" t="str">
        <v>ВВГнг(А)-LS (5х25)</v>
      </c>
      <c r="E75" t="str">
        <v/>
      </c>
      <c r="F75" t="str">
        <v>Ø40 L=47</v>
      </c>
      <c r="G75" t="str">
        <v/>
      </c>
      <c r="H75">
        <v>51</v>
      </c>
      <c r="I75" t="str">
        <v/>
      </c>
      <c r="J75" t="str">
        <v/>
      </c>
      <c r="K75" t="str">
        <v/>
      </c>
      <c r="L75" t="str">
        <v/>
      </c>
      <c r="M75" t="str">
        <v/>
      </c>
      <c r="N75" t="str">
        <v/>
      </c>
      <c r="O75" t="str">
        <v>1</v>
      </c>
      <c r="P75" t="str">
        <v>Ø40</v>
      </c>
      <c r="Q75">
        <v>47</v>
      </c>
      <c r="R75" t="str">
        <v/>
      </c>
      <c r="S75" t="str">
        <v/>
      </c>
      <c r="T75" t="str">
        <v/>
      </c>
    </row>
    <row r="76" spans="1:20" x14ac:dyDescent="0.3">
      <c r="A76" t="str">
        <v>ККБ-3</v>
      </c>
      <c r="B76" t="str">
        <v>ЩОВ-001</v>
      </c>
      <c r="C76" t="str">
        <v>Внешний блок кондиционирования Пом. Венткиосок</v>
      </c>
      <c r="D76" t="str">
        <v>ВВГнг(А)-LS (5х25)</v>
      </c>
      <c r="E76" t="str">
        <v/>
      </c>
      <c r="F76" t="str">
        <v>Ø40 L=32</v>
      </c>
      <c r="G76" t="str">
        <v/>
      </c>
      <c r="H76">
        <v>36</v>
      </c>
      <c r="I76" t="str">
        <v/>
      </c>
      <c r="J76" t="str">
        <v/>
      </c>
      <c r="K76" t="str">
        <v/>
      </c>
      <c r="L76" t="str">
        <v/>
      </c>
      <c r="M76" t="str">
        <v/>
      </c>
      <c r="N76" t="str">
        <v/>
      </c>
      <c r="O76" t="str">
        <v>1</v>
      </c>
      <c r="P76" t="str">
        <v>Ø40</v>
      </c>
      <c r="Q76">
        <v>32</v>
      </c>
      <c r="R76" t="str">
        <v/>
      </c>
      <c r="S76" t="str">
        <v/>
      </c>
      <c r="T76" t="str">
        <v/>
      </c>
    </row>
    <row r="77" spans="1:20" x14ac:dyDescent="0.3">
      <c r="A77" t="str">
        <v>ККБ-4</v>
      </c>
      <c r="B77" t="str">
        <v>ЩОВ-001</v>
      </c>
      <c r="C77" t="str">
        <v>Внешний блок кондиционирования Пом. Венткиосок</v>
      </c>
      <c r="D77" t="str">
        <v>ВВГнг(А)-LS (5х25)</v>
      </c>
      <c r="E77" t="str">
        <v/>
      </c>
      <c r="F77" t="str">
        <v>Ø40 L=36</v>
      </c>
      <c r="G77" t="str">
        <v/>
      </c>
      <c r="H77">
        <v>40</v>
      </c>
      <c r="I77" t="str">
        <v/>
      </c>
      <c r="J77" t="str">
        <v/>
      </c>
      <c r="K77" t="str">
        <v/>
      </c>
      <c r="L77" t="str">
        <v/>
      </c>
      <c r="M77" t="str">
        <v/>
      </c>
      <c r="N77" t="str">
        <v/>
      </c>
      <c r="O77" t="str">
        <v>1</v>
      </c>
      <c r="P77" t="str">
        <v>Ø40</v>
      </c>
      <c r="Q77">
        <v>36</v>
      </c>
      <c r="R77" t="str">
        <v/>
      </c>
      <c r="S77" t="str">
        <v/>
      </c>
      <c r="T77" t="str">
        <v/>
      </c>
    </row>
    <row r="78" spans="1:20" x14ac:dyDescent="0.3">
      <c r="A78" t="str">
        <v>НБ-2</v>
      </c>
      <c r="B78" t="str">
        <v>ЩОВ-001</v>
      </c>
      <c r="C78" t="str">
        <v>Внешний блок кондиционирования Пом. Венткиосок</v>
      </c>
      <c r="D78" t="str">
        <v>ВВГнг(А)-LS (5х25)</v>
      </c>
      <c r="E78" t="str">
        <v/>
      </c>
      <c r="F78" t="str">
        <v>Ø40 L=40</v>
      </c>
      <c r="G78" t="str">
        <v/>
      </c>
      <c r="H78">
        <v>44</v>
      </c>
      <c r="I78" t="str">
        <v/>
      </c>
      <c r="J78" t="str">
        <v/>
      </c>
      <c r="K78" t="str">
        <v/>
      </c>
      <c r="L78" t="str">
        <v/>
      </c>
      <c r="M78" t="str">
        <v/>
      </c>
      <c r="N78" t="str">
        <v/>
      </c>
      <c r="O78" t="str">
        <v>1</v>
      </c>
      <c r="P78" t="str">
        <v>Ø40</v>
      </c>
      <c r="Q78">
        <v>40</v>
      </c>
      <c r="R78" t="str">
        <v/>
      </c>
      <c r="S78" t="str">
        <v/>
      </c>
      <c r="T78" t="str">
        <v/>
      </c>
    </row>
    <row r="79" spans="1:20" x14ac:dyDescent="0.3">
      <c r="A79" t="str">
        <v>НБ-3</v>
      </c>
      <c r="B79" t="str">
        <v>ЩОВ-001</v>
      </c>
      <c r="C79" t="str">
        <v>Внешний блок кондиционирования Пом. Венткиосок</v>
      </c>
      <c r="D79" t="str">
        <v>ВВГнг(А)-LS (5х6)</v>
      </c>
      <c r="E79" t="str">
        <v/>
      </c>
      <c r="F79" t="str">
        <v>Ø25 L=43</v>
      </c>
      <c r="G79" t="str">
        <v/>
      </c>
      <c r="H79">
        <v>47</v>
      </c>
      <c r="I79" t="str">
        <v/>
      </c>
      <c r="J79" t="str">
        <v/>
      </c>
      <c r="K79" t="str">
        <v/>
      </c>
      <c r="L79" t="str">
        <v/>
      </c>
      <c r="M79" t="str">
        <v/>
      </c>
      <c r="N79" t="str">
        <v/>
      </c>
      <c r="O79" t="str">
        <v>1</v>
      </c>
      <c r="P79" t="str">
        <v>Ø25</v>
      </c>
      <c r="Q79">
        <v>43</v>
      </c>
      <c r="R79" t="str">
        <v/>
      </c>
      <c r="S79" t="str">
        <v/>
      </c>
      <c r="T79" t="str">
        <v/>
      </c>
    </row>
    <row r="80" spans="1:20" x14ac:dyDescent="0.3">
      <c r="A80" t="str">
        <v>НБ-4</v>
      </c>
      <c r="B80" t="str">
        <v>ЩОВ-001</v>
      </c>
      <c r="C80" t="str">
        <v>Внешний блок кондиционирования Пом. Венткиосок</v>
      </c>
      <c r="D80" t="str">
        <v>ВВГнг(А)-LS (5х4)</v>
      </c>
      <c r="E80" t="str">
        <v/>
      </c>
      <c r="F80" t="str">
        <v>Ø25 L=41</v>
      </c>
      <c r="G80" t="str">
        <v/>
      </c>
      <c r="H80">
        <v>45</v>
      </c>
      <c r="I80" t="str">
        <v/>
      </c>
      <c r="J80" t="str">
        <v/>
      </c>
      <c r="K80" t="str">
        <v/>
      </c>
      <c r="L80" t="str">
        <v/>
      </c>
      <c r="M80" t="str">
        <v/>
      </c>
      <c r="N80" t="str">
        <v/>
      </c>
      <c r="O80" t="str">
        <v>1</v>
      </c>
      <c r="P80" t="str">
        <v>Ø25</v>
      </c>
      <c r="Q80">
        <v>41</v>
      </c>
      <c r="R80" t="str">
        <v/>
      </c>
      <c r="S80" t="str">
        <v/>
      </c>
      <c r="T80" t="str">
        <v/>
      </c>
    </row>
    <row r="81" spans="1:20" x14ac:dyDescent="0.3">
      <c r="A81" t="str">
        <v>В.7</v>
      </c>
      <c r="B81" t="str">
        <v>ЩОВ-002</v>
      </c>
      <c r="C81" t="str">
        <v>Вытяжная установка Шлейф Подвальный этаж Пом. №003Т</v>
      </c>
      <c r="D81" t="str">
        <v>ВВГнг(А)-LS (3х1,5)</v>
      </c>
      <c r="E81" t="str">
        <v/>
      </c>
      <c r="F81" t="str">
        <v>Ø20 L=23</v>
      </c>
      <c r="G81" t="str">
        <v/>
      </c>
      <c r="H81">
        <v>23</v>
      </c>
      <c r="I81" t="str">
        <v/>
      </c>
      <c r="J81" t="str">
        <v/>
      </c>
      <c r="K81" t="str">
        <v/>
      </c>
      <c r="L81" t="str">
        <v/>
      </c>
      <c r="M81" t="str">
        <v/>
      </c>
      <c r="N81" t="str">
        <v/>
      </c>
      <c r="O81" t="str">
        <v>1</v>
      </c>
      <c r="P81" t="str">
        <v>Ø20</v>
      </c>
      <c r="Q81">
        <v>23</v>
      </c>
      <c r="R81" t="str">
        <v/>
      </c>
      <c r="S81" t="str">
        <v/>
      </c>
      <c r="T81" t="str">
        <v/>
      </c>
    </row>
    <row r="82" spans="1:20" x14ac:dyDescent="0.3">
      <c r="A82" t="str">
        <v>ПВ.1</v>
      </c>
      <c r="B82" t="str">
        <v>ЩОВ-002</v>
      </c>
      <c r="C82" t="str">
        <v>Приточно-вытяжная установка Подвальный этаж Пом. №003Т</v>
      </c>
      <c r="D82" t="str">
        <v>ВВГнг(А)-LS (3х2,5)</v>
      </c>
      <c r="E82" t="str">
        <v/>
      </c>
      <c r="F82" t="str">
        <v>Ø20 L=19</v>
      </c>
      <c r="G82" t="str">
        <v/>
      </c>
      <c r="H82">
        <v>19</v>
      </c>
      <c r="I82" t="str">
        <v/>
      </c>
      <c r="J82" t="str">
        <v/>
      </c>
      <c r="K82" t="str">
        <v/>
      </c>
      <c r="L82" t="str">
        <v/>
      </c>
      <c r="M82" t="str">
        <v/>
      </c>
      <c r="N82" t="str">
        <v/>
      </c>
      <c r="O82" t="str">
        <v>1</v>
      </c>
      <c r="P82" t="str">
        <v>Ø20</v>
      </c>
      <c r="Q82">
        <v>19</v>
      </c>
      <c r="R82" t="str">
        <v/>
      </c>
      <c r="S82" t="str">
        <v/>
      </c>
      <c r="T82" t="str">
        <v/>
      </c>
    </row>
    <row r="83" spans="1:20" x14ac:dyDescent="0.3">
      <c r="A83" t="str">
        <v>ПВ.К</v>
      </c>
      <c r="B83" t="str">
        <v>ЩОВ-002</v>
      </c>
      <c r="C83" t="str">
        <v>Приточно-вытяжная установка Подвальный этаж Пом. №003Т</v>
      </c>
      <c r="D83" t="str">
        <v>ВВГнг(А)-LS (3х1,5)</v>
      </c>
      <c r="E83" t="str">
        <v/>
      </c>
      <c r="F83" t="str">
        <v>Ø20 L=16</v>
      </c>
      <c r="G83" t="str">
        <v/>
      </c>
      <c r="H83">
        <v>16</v>
      </c>
      <c r="I83" t="str">
        <v/>
      </c>
      <c r="J83" t="str">
        <v/>
      </c>
      <c r="K83" t="str">
        <v/>
      </c>
      <c r="L83" t="str">
        <v/>
      </c>
      <c r="M83" t="str">
        <v/>
      </c>
      <c r="N83" t="str">
        <v/>
      </c>
      <c r="O83" t="str">
        <v>1</v>
      </c>
      <c r="P83" t="str">
        <v>Ø20</v>
      </c>
      <c r="Q83">
        <v>16</v>
      </c>
      <c r="R83" t="str">
        <v/>
      </c>
      <c r="S83" t="str">
        <v/>
      </c>
      <c r="T83" t="str">
        <v/>
      </c>
    </row>
    <row r="84" spans="1:20" x14ac:dyDescent="0.3">
      <c r="A84" t="str">
        <v>ПВ.10</v>
      </c>
      <c r="B84" t="str">
        <v>ЩОВ-002</v>
      </c>
      <c r="C84" t="str">
        <v>Приточно-вытяжная установка Подвальный этаж Пом. №005Т</v>
      </c>
      <c r="D84" t="str">
        <v>ВВГнг(А)-LS (3х4)</v>
      </c>
      <c r="E84" t="str">
        <v>L=11</v>
      </c>
      <c r="F84" t="str">
        <v>Ø20 L=22</v>
      </c>
      <c r="G84" t="str">
        <v/>
      </c>
      <c r="H84">
        <v>33</v>
      </c>
      <c r="I84" t="str">
        <v/>
      </c>
      <c r="J84" t="str">
        <v/>
      </c>
      <c r="K84" t="str">
        <v/>
      </c>
      <c r="L84" t="str">
        <v/>
      </c>
      <c r="M84" t="str">
        <v/>
      </c>
      <c r="N84" t="str">
        <v/>
      </c>
      <c r="O84" t="str">
        <v>1</v>
      </c>
      <c r="P84" t="str">
        <v>Ø20</v>
      </c>
      <c r="Q84">
        <v>22</v>
      </c>
      <c r="R84" t="str">
        <v/>
      </c>
      <c r="S84" t="str">
        <v/>
      </c>
      <c r="T84">
        <v>11</v>
      </c>
    </row>
    <row r="85" spans="1:20" x14ac:dyDescent="0.3">
      <c r="A85" t="str">
        <v>K.0.002A</v>
      </c>
      <c r="B85" t="str">
        <v>ЩОВ-002</v>
      </c>
      <c r="C85" t="str">
        <v>Внутренний блок кондиционирования Подвальный этаж Пом. №005Т</v>
      </c>
      <c r="D85" t="str">
        <v>ВВГнг(А)-LS (3х1,5)</v>
      </c>
      <c r="E85" t="str">
        <v>L=11</v>
      </c>
      <c r="F85" t="str">
        <v>Ø20 L=11</v>
      </c>
      <c r="G85" t="str">
        <v/>
      </c>
      <c r="H85">
        <v>22</v>
      </c>
      <c r="I85" t="str">
        <v/>
      </c>
      <c r="J85" t="str">
        <v/>
      </c>
      <c r="K85" t="str">
        <v/>
      </c>
      <c r="L85" t="str">
        <v/>
      </c>
      <c r="M85" t="str">
        <v/>
      </c>
      <c r="N85" t="str">
        <v/>
      </c>
      <c r="O85" t="str">
        <v>1</v>
      </c>
      <c r="P85" t="str">
        <v>Ø20</v>
      </c>
      <c r="Q85">
        <v>11</v>
      </c>
      <c r="R85" t="str">
        <v/>
      </c>
      <c r="S85" t="str">
        <v/>
      </c>
      <c r="T85">
        <v>11</v>
      </c>
    </row>
    <row r="86" spans="1:20" x14ac:dyDescent="0.3">
      <c r="A86" t="str">
        <v>K.0.006A</v>
      </c>
      <c r="B86" t="str">
        <v>ЩОВ-002</v>
      </c>
      <c r="C86" t="str">
        <v>Внутренний блок кондиционирования Подвальный этаж Пом. №005Т</v>
      </c>
      <c r="D86" t="str">
        <v>ВВГнг(А)-LS (3х1,5)</v>
      </c>
      <c r="E86" t="str">
        <v>L=11</v>
      </c>
      <c r="F86" t="str">
        <v>Ø20 L=15</v>
      </c>
      <c r="G86" t="str">
        <v/>
      </c>
      <c r="H86">
        <v>26</v>
      </c>
      <c r="I86" t="str">
        <v/>
      </c>
      <c r="J86" t="str">
        <v/>
      </c>
      <c r="K86" t="str">
        <v/>
      </c>
      <c r="L86" t="str">
        <v/>
      </c>
      <c r="M86" t="str">
        <v/>
      </c>
      <c r="N86" t="str">
        <v/>
      </c>
      <c r="O86" t="str">
        <v>1</v>
      </c>
      <c r="P86" t="str">
        <v>Ø20</v>
      </c>
      <c r="Q86">
        <v>15</v>
      </c>
      <c r="R86" t="str">
        <v/>
      </c>
      <c r="S86" t="str">
        <v/>
      </c>
      <c r="T86">
        <v>11</v>
      </c>
    </row>
    <row r="87" spans="1:20" x14ac:dyDescent="0.3">
      <c r="A87" t="str">
        <v>K.00.001A</v>
      </c>
      <c r="B87" t="str">
        <v>ЩОВ-002</v>
      </c>
      <c r="C87" t="str">
        <v>Внутренний блок кондиционирования Подвальный этаж Пом. №005Т</v>
      </c>
      <c r="D87" t="str">
        <v>ВВГнг(А)-LS (3х1,5)</v>
      </c>
      <c r="E87" t="str">
        <v>L=11</v>
      </c>
      <c r="F87" t="str">
        <v>Ø20 L=16</v>
      </c>
      <c r="G87" t="str">
        <v/>
      </c>
      <c r="H87">
        <v>27</v>
      </c>
      <c r="I87" t="str">
        <v/>
      </c>
      <c r="J87" t="str">
        <v/>
      </c>
      <c r="K87" t="str">
        <v/>
      </c>
      <c r="L87" t="str">
        <v/>
      </c>
      <c r="M87" t="str">
        <v/>
      </c>
      <c r="N87" t="str">
        <v/>
      </c>
      <c r="O87" t="str">
        <v>1</v>
      </c>
      <c r="P87" t="str">
        <v>Ø20</v>
      </c>
      <c r="Q87">
        <v>16</v>
      </c>
      <c r="R87" t="str">
        <v/>
      </c>
      <c r="S87" t="str">
        <v/>
      </c>
      <c r="T87">
        <v>11</v>
      </c>
    </row>
    <row r="88" spans="1:20" x14ac:dyDescent="0.3">
      <c r="A88" t="str">
        <v>K.00.004A</v>
      </c>
      <c r="B88" t="str">
        <v>ЩОВ-002</v>
      </c>
      <c r="C88" t="str">
        <v>Внутренний блок кондиционирования Подвальный этаж Пом. №002Б</v>
      </c>
      <c r="D88" t="str">
        <v>ВВГнг(А)-LS (3х1,5)</v>
      </c>
      <c r="E88" t="str">
        <v>L=14</v>
      </c>
      <c r="F88" t="str">
        <v>Ø20 L=18</v>
      </c>
      <c r="G88" t="str">
        <v/>
      </c>
      <c r="H88">
        <v>32</v>
      </c>
      <c r="I88" t="str">
        <v/>
      </c>
      <c r="J88" t="str">
        <v/>
      </c>
      <c r="K88" t="str">
        <v/>
      </c>
      <c r="L88" t="str">
        <v/>
      </c>
      <c r="M88" t="str">
        <v/>
      </c>
      <c r="N88" t="str">
        <v/>
      </c>
      <c r="O88" t="str">
        <v>1</v>
      </c>
      <c r="P88" t="str">
        <v>Ø20</v>
      </c>
      <c r="Q88">
        <v>18</v>
      </c>
      <c r="R88" t="str">
        <v/>
      </c>
      <c r="S88" t="str">
        <v/>
      </c>
      <c r="T88">
        <v>14</v>
      </c>
    </row>
    <row r="89" spans="1:20" x14ac:dyDescent="0.3">
      <c r="A89" t="str">
        <v>K.00.004T.1</v>
      </c>
      <c r="B89" t="str">
        <v>ЩОВ-002</v>
      </c>
      <c r="C89" t="str">
        <v>Внутренний блок кондиционирования Подвальный этаж Пом. №004Т</v>
      </c>
      <c r="D89" t="str">
        <v>ВВГнг(А)-LS (3х1,5)</v>
      </c>
      <c r="E89" t="str">
        <v>L=4</v>
      </c>
      <c r="F89" t="str">
        <v>Ø20 L=12</v>
      </c>
      <c r="G89" t="str">
        <v/>
      </c>
      <c r="H89">
        <v>16</v>
      </c>
      <c r="I89" t="str">
        <v/>
      </c>
      <c r="J89" t="str">
        <v/>
      </c>
      <c r="K89" t="str">
        <v/>
      </c>
      <c r="L89" t="str">
        <v/>
      </c>
      <c r="M89" t="str">
        <v/>
      </c>
      <c r="N89" t="str">
        <v/>
      </c>
      <c r="O89" t="str">
        <v>1</v>
      </c>
      <c r="P89" t="str">
        <v>Ø20</v>
      </c>
      <c r="Q89">
        <v>12</v>
      </c>
      <c r="R89" t="str">
        <v/>
      </c>
      <c r="S89" t="str">
        <v/>
      </c>
      <c r="T89">
        <v>4</v>
      </c>
    </row>
    <row r="90" spans="1:20" x14ac:dyDescent="0.3">
      <c r="A90" t="str">
        <v>K.00.004T.2</v>
      </c>
      <c r="B90" t="str">
        <v>ЩОВ-002</v>
      </c>
      <c r="C90" t="str">
        <v>Внутренний блок кондиционирования Подвальный этаж Пом. №004Т</v>
      </c>
      <c r="D90" t="str">
        <v>ВВГнг(А)-LS (3х1,5)</v>
      </c>
      <c r="E90" t="str">
        <v>L=6</v>
      </c>
      <c r="F90" t="str">
        <v>Ø20 L=12</v>
      </c>
      <c r="G90" t="str">
        <v/>
      </c>
      <c r="H90">
        <v>18</v>
      </c>
      <c r="I90" t="str">
        <v/>
      </c>
      <c r="J90" t="str">
        <v/>
      </c>
      <c r="K90" t="str">
        <v/>
      </c>
      <c r="L90" t="str">
        <v/>
      </c>
      <c r="M90" t="str">
        <v/>
      </c>
      <c r="N90" t="str">
        <v/>
      </c>
      <c r="O90" t="str">
        <v>1</v>
      </c>
      <c r="P90" t="str">
        <v>Ø20</v>
      </c>
      <c r="Q90">
        <v>12</v>
      </c>
      <c r="R90" t="str">
        <v/>
      </c>
      <c r="S90" t="str">
        <v/>
      </c>
      <c r="T90">
        <v>6</v>
      </c>
    </row>
    <row r="91" spans="1:20" x14ac:dyDescent="0.3">
      <c r="A91" t="str">
        <v>K.00.007A</v>
      </c>
      <c r="B91" t="str">
        <v>ЩОВ-002</v>
      </c>
      <c r="C91" t="str">
        <v>Внутренний блок кондиционирования Подвальный этаж Пом. №002Б</v>
      </c>
      <c r="D91" t="str">
        <v>ВВГнг(А)-LS (3х1,5)</v>
      </c>
      <c r="E91" t="str">
        <v>L=14</v>
      </c>
      <c r="F91" t="str">
        <v>Ø20 L=19</v>
      </c>
      <c r="G91" t="str">
        <v/>
      </c>
      <c r="H91">
        <v>33</v>
      </c>
      <c r="I91" t="str">
        <v/>
      </c>
      <c r="J91" t="str">
        <v/>
      </c>
      <c r="K91" t="str">
        <v/>
      </c>
      <c r="L91" t="str">
        <v/>
      </c>
      <c r="M91" t="str">
        <v/>
      </c>
      <c r="N91" t="str">
        <v/>
      </c>
      <c r="O91" t="str">
        <v>1</v>
      </c>
      <c r="P91" t="str">
        <v>Ø20</v>
      </c>
      <c r="Q91">
        <v>19</v>
      </c>
      <c r="R91" t="str">
        <v/>
      </c>
      <c r="S91" t="str">
        <v/>
      </c>
      <c r="T91">
        <v>14</v>
      </c>
    </row>
    <row r="92" spans="1:20" x14ac:dyDescent="0.3">
      <c r="A92" t="str">
        <v>K.00.007T.1</v>
      </c>
      <c r="B92" t="str">
        <v>ЩОВ-002</v>
      </c>
      <c r="C92" t="str">
        <v>Внутренний блок кондиционирования Подвальный этаж Пом. №007Т</v>
      </c>
      <c r="D92" t="str">
        <v>ВВГнг(А)-LS (3х1,5)</v>
      </c>
      <c r="E92" t="str">
        <v>L=6</v>
      </c>
      <c r="F92" t="str">
        <v>Ø20 L=22</v>
      </c>
      <c r="G92" t="str">
        <v/>
      </c>
      <c r="H92">
        <v>28</v>
      </c>
      <c r="I92" t="str">
        <v/>
      </c>
      <c r="J92" t="str">
        <v/>
      </c>
      <c r="K92" t="str">
        <v/>
      </c>
      <c r="L92" t="str">
        <v/>
      </c>
      <c r="M92" t="str">
        <v/>
      </c>
      <c r="N92" t="str">
        <v/>
      </c>
      <c r="O92" t="str">
        <v>1</v>
      </c>
      <c r="P92" t="str">
        <v>Ø20</v>
      </c>
      <c r="Q92">
        <v>22</v>
      </c>
      <c r="R92" t="str">
        <v/>
      </c>
      <c r="S92" t="str">
        <v/>
      </c>
      <c r="T92">
        <v>6</v>
      </c>
    </row>
    <row r="93" spans="1:20" x14ac:dyDescent="0.3">
      <c r="A93" t="str">
        <v>K.00.007T.2</v>
      </c>
      <c r="B93" t="str">
        <v>ЩОВ-002</v>
      </c>
      <c r="C93" t="str">
        <v>Внутренний блок кондиционирования Подвальный этаж Пом. №007Т</v>
      </c>
      <c r="D93" t="str">
        <v>ВВГнг(А)-LS (3х1,5)</v>
      </c>
      <c r="E93" t="str">
        <v>L=6</v>
      </c>
      <c r="F93" t="str">
        <v>Ø20 L=21</v>
      </c>
      <c r="G93" t="str">
        <v/>
      </c>
      <c r="H93">
        <v>27</v>
      </c>
      <c r="I93" t="str">
        <v/>
      </c>
      <c r="J93" t="str">
        <v/>
      </c>
      <c r="K93" t="str">
        <v/>
      </c>
      <c r="L93" t="str">
        <v/>
      </c>
      <c r="M93" t="str">
        <v/>
      </c>
      <c r="N93" t="str">
        <v/>
      </c>
      <c r="O93" t="str">
        <v>1</v>
      </c>
      <c r="P93" t="str">
        <v>Ø20</v>
      </c>
      <c r="Q93">
        <v>21</v>
      </c>
      <c r="R93" t="str">
        <v/>
      </c>
      <c r="S93" t="str">
        <v/>
      </c>
      <c r="T93">
        <v>6</v>
      </c>
    </row>
    <row r="94" spans="1:20" x14ac:dyDescent="0.3">
      <c r="A94" t="str">
        <v>П.6</v>
      </c>
      <c r="B94" t="str">
        <v>ЩОВ-01</v>
      </c>
      <c r="C94" t="str">
        <v>Приточная установка Цокольный этаж Пом №001Тб</v>
      </c>
      <c r="D94" t="str">
        <v>ВВГнг(А)-LS (3х1,5)</v>
      </c>
      <c r="E94" t="str">
        <v>L=20</v>
      </c>
      <c r="F94" t="str">
        <v>Ø20 L=16</v>
      </c>
      <c r="G94" t="str">
        <v/>
      </c>
      <c r="H94">
        <v>36</v>
      </c>
      <c r="I94" t="str">
        <v/>
      </c>
      <c r="J94" t="str">
        <v/>
      </c>
      <c r="K94" t="str">
        <v/>
      </c>
      <c r="L94" t="str">
        <v/>
      </c>
      <c r="M94" t="str">
        <v/>
      </c>
      <c r="N94" t="str">
        <v/>
      </c>
      <c r="O94" t="str">
        <v>1</v>
      </c>
      <c r="P94" t="str">
        <v>Ø20</v>
      </c>
      <c r="Q94">
        <v>16</v>
      </c>
      <c r="R94" t="str">
        <v/>
      </c>
      <c r="S94" t="str">
        <v/>
      </c>
      <c r="T94">
        <v>20</v>
      </c>
    </row>
    <row r="95" spans="1:20" x14ac:dyDescent="0.3">
      <c r="A95" t="str">
        <v>ПВ.6</v>
      </c>
      <c r="B95" t="str">
        <v>ЩОВ-01</v>
      </c>
      <c r="C95" t="str">
        <v>Приточно-вытяжная установка цокольный этаж Пом №001Тб</v>
      </c>
      <c r="D95" t="str">
        <v>ВВГнг(А)-LS (5х2,5)</v>
      </c>
      <c r="E95" t="str">
        <v>L=20</v>
      </c>
      <c r="F95" t="str">
        <v>Ø20 L=22</v>
      </c>
      <c r="G95" t="str">
        <v/>
      </c>
      <c r="H95">
        <v>42</v>
      </c>
      <c r="I95" t="str">
        <v/>
      </c>
      <c r="J95" t="str">
        <v/>
      </c>
      <c r="K95" t="str">
        <v/>
      </c>
      <c r="L95" t="str">
        <v/>
      </c>
      <c r="M95" t="str">
        <v/>
      </c>
      <c r="N95" t="str">
        <v/>
      </c>
      <c r="O95" t="str">
        <v>1</v>
      </c>
      <c r="P95" t="str">
        <v>Ø20</v>
      </c>
      <c r="Q95">
        <v>22</v>
      </c>
      <c r="R95" t="str">
        <v/>
      </c>
      <c r="S95" t="str">
        <v/>
      </c>
      <c r="T95">
        <v>20</v>
      </c>
    </row>
    <row r="96" spans="1:20" x14ac:dyDescent="0.3">
      <c r="A96" t="str">
        <v>ПВ.9</v>
      </c>
      <c r="B96" t="str">
        <v>ЩОВ-01</v>
      </c>
      <c r="C96" t="str">
        <v>Приточно-вытяжная установка цокольный этаж Пом №001Тб</v>
      </c>
      <c r="D96" t="str">
        <v>ВВГнг(А)-LS (3х1,5)</v>
      </c>
      <c r="E96" t="str">
        <v>L=20</v>
      </c>
      <c r="F96" t="str">
        <v>Ø20 L=24</v>
      </c>
      <c r="G96" t="str">
        <v/>
      </c>
      <c r="H96">
        <v>44</v>
      </c>
      <c r="I96" t="str">
        <v/>
      </c>
      <c r="J96" t="str">
        <v/>
      </c>
      <c r="K96" t="str">
        <v/>
      </c>
      <c r="L96" t="str">
        <v/>
      </c>
      <c r="M96" t="str">
        <v/>
      </c>
      <c r="N96" t="str">
        <v/>
      </c>
      <c r="O96" t="str">
        <v>1</v>
      </c>
      <c r="P96" t="str">
        <v>Ø20</v>
      </c>
      <c r="Q96">
        <v>24</v>
      </c>
      <c r="R96" t="str">
        <v/>
      </c>
      <c r="S96" t="str">
        <v/>
      </c>
      <c r="T96">
        <v>20</v>
      </c>
    </row>
    <row r="97" spans="1:20" x14ac:dyDescent="0.3">
      <c r="A97" t="str">
        <v>В.2</v>
      </c>
      <c r="B97" t="str">
        <v>ЩОВ-01</v>
      </c>
      <c r="C97" t="str">
        <v>Вытяжная установка Пом. №003Б</v>
      </c>
      <c r="D97" t="str">
        <v>ВВГнг(А)-LS (3х1,5)</v>
      </c>
      <c r="E97" t="str">
        <v>L=32</v>
      </c>
      <c r="F97" t="str">
        <v>Ø20 L=10</v>
      </c>
      <c r="G97" t="str">
        <v/>
      </c>
      <c r="H97">
        <v>42</v>
      </c>
      <c r="I97" t="str">
        <v/>
      </c>
      <c r="J97" t="str">
        <v/>
      </c>
      <c r="K97" t="str">
        <v/>
      </c>
      <c r="L97" t="str">
        <v/>
      </c>
      <c r="M97" t="str">
        <v/>
      </c>
      <c r="N97" t="str">
        <v/>
      </c>
      <c r="O97" t="str">
        <v>1</v>
      </c>
      <c r="P97" t="str">
        <v>Ø20</v>
      </c>
      <c r="Q97">
        <v>10</v>
      </c>
      <c r="R97" t="str">
        <v/>
      </c>
      <c r="S97" t="str">
        <v/>
      </c>
      <c r="T97">
        <v>32</v>
      </c>
    </row>
    <row r="98" spans="1:20" x14ac:dyDescent="0.3">
      <c r="A98" t="str">
        <v>В.10</v>
      </c>
      <c r="B98" t="str">
        <v>ЩОВ-01</v>
      </c>
      <c r="C98" t="str">
        <v>Вытяжная установка Пом. №019Б</v>
      </c>
      <c r="D98" t="str">
        <v>ВВГнг(А)-LS (3х1,5)</v>
      </c>
      <c r="E98" t="str">
        <v>L=29</v>
      </c>
      <c r="F98" t="str">
        <v>Ø20 L=9</v>
      </c>
      <c r="G98" t="str">
        <v/>
      </c>
      <c r="H98">
        <v>38</v>
      </c>
      <c r="I98" t="str">
        <v/>
      </c>
      <c r="J98" t="str">
        <v/>
      </c>
      <c r="K98" t="str">
        <v/>
      </c>
      <c r="L98" t="str">
        <v/>
      </c>
      <c r="M98" t="str">
        <v/>
      </c>
      <c r="N98" t="str">
        <v/>
      </c>
      <c r="O98" t="str">
        <v>1</v>
      </c>
      <c r="P98" t="str">
        <v>Ø20</v>
      </c>
      <c r="Q98">
        <v>9</v>
      </c>
      <c r="R98" t="str">
        <v/>
      </c>
      <c r="S98" t="str">
        <v/>
      </c>
      <c r="T98">
        <v>29</v>
      </c>
    </row>
    <row r="99" spans="1:20" x14ac:dyDescent="0.3">
      <c r="A99" t="str">
        <v>В.24</v>
      </c>
      <c r="B99" t="str">
        <v>ЩОВ-01</v>
      </c>
      <c r="C99" t="str">
        <v>Внутренний блок кондиционирования подвальный этаж Пом. №0001Тб</v>
      </c>
      <c r="D99" t="str">
        <v>ВВГнг(А)-LS (3х1,5)</v>
      </c>
      <c r="E99" t="str">
        <v>L=20</v>
      </c>
      <c r="F99" t="str">
        <v>Ø20 L=14</v>
      </c>
      <c r="G99" t="str">
        <v/>
      </c>
      <c r="H99">
        <v>34</v>
      </c>
      <c r="I99" t="str">
        <v/>
      </c>
      <c r="J99" t="str">
        <v/>
      </c>
      <c r="K99" t="str">
        <v/>
      </c>
      <c r="L99" t="str">
        <v/>
      </c>
      <c r="M99" t="str">
        <v/>
      </c>
      <c r="N99" t="str">
        <v/>
      </c>
      <c r="O99" t="str">
        <v>1</v>
      </c>
      <c r="P99" t="str">
        <v>Ø20</v>
      </c>
      <c r="Q99">
        <v>14</v>
      </c>
      <c r="R99" t="str">
        <v/>
      </c>
      <c r="S99" t="str">
        <v/>
      </c>
      <c r="T99">
        <v>20</v>
      </c>
    </row>
    <row r="100" spans="1:20" x14ac:dyDescent="0.3">
      <c r="A100" t="str">
        <v>В.25</v>
      </c>
      <c r="B100" t="str">
        <v>ЩОВ-01</v>
      </c>
      <c r="C100" t="str">
        <v>Внутренний блок кондиционирования подвальный этаж Пом. №01Тб</v>
      </c>
      <c r="D100" t="str">
        <v>ВВГнг(А)-LS (3х1,5)</v>
      </c>
      <c r="E100" t="str">
        <v>L=20</v>
      </c>
      <c r="F100" t="str">
        <v>Ø20 L=14</v>
      </c>
      <c r="G100" t="str">
        <v/>
      </c>
      <c r="H100">
        <v>34</v>
      </c>
      <c r="I100" t="str">
        <v/>
      </c>
      <c r="J100" t="str">
        <v/>
      </c>
      <c r="K100" t="str">
        <v/>
      </c>
      <c r="L100" t="str">
        <v/>
      </c>
      <c r="M100" t="str">
        <v/>
      </c>
      <c r="N100" t="str">
        <v/>
      </c>
      <c r="O100" t="str">
        <v>1</v>
      </c>
      <c r="P100" t="str">
        <v>Ø20</v>
      </c>
      <c r="Q100">
        <v>14</v>
      </c>
      <c r="R100" t="str">
        <v/>
      </c>
      <c r="S100" t="str">
        <v/>
      </c>
      <c r="T100">
        <v>20</v>
      </c>
    </row>
    <row r="101" spans="1:20" x14ac:dyDescent="0.3">
      <c r="A101" t="str">
        <v>K.0.001T.1</v>
      </c>
      <c r="B101" t="str">
        <v>ЩОВ-01</v>
      </c>
      <c r="C101" t="str">
        <v>Внутренний блок кондиционирования цокольный этаж Пом. №001Т</v>
      </c>
      <c r="D101" t="str">
        <v>ВВГнг(А)-LS (3х1,5)</v>
      </c>
      <c r="E101" t="str">
        <v>L=2</v>
      </c>
      <c r="F101" t="str">
        <v>Ø20 L=9</v>
      </c>
      <c r="G101" t="str">
        <v/>
      </c>
      <c r="H101">
        <v>11</v>
      </c>
      <c r="I101" t="str">
        <v/>
      </c>
      <c r="J101" t="str">
        <v/>
      </c>
      <c r="K101" t="str">
        <v/>
      </c>
      <c r="L101" t="str">
        <v/>
      </c>
      <c r="M101" t="str">
        <v/>
      </c>
      <c r="N101" t="str">
        <v/>
      </c>
      <c r="O101" t="str">
        <v>1</v>
      </c>
      <c r="P101" t="str">
        <v>Ø20</v>
      </c>
      <c r="Q101">
        <v>9</v>
      </c>
      <c r="R101" t="str">
        <v/>
      </c>
      <c r="S101" t="str">
        <v/>
      </c>
      <c r="T101">
        <v>2</v>
      </c>
    </row>
    <row r="102" spans="1:20" x14ac:dyDescent="0.3">
      <c r="A102" t="str">
        <v>K.0.001T.2</v>
      </c>
      <c r="B102" t="str">
        <v>ЩОВ-01</v>
      </c>
      <c r="C102" t="str">
        <v>Внутренний блок кондиционирования цокольный этаж Пом. №001Т</v>
      </c>
      <c r="D102" t="str">
        <v>ВВГнг(А)-LS (3х1,5)</v>
      </c>
      <c r="E102" t="str">
        <v>L=3</v>
      </c>
      <c r="F102" t="str">
        <v>Ø20 L=9</v>
      </c>
      <c r="G102" t="str">
        <v/>
      </c>
      <c r="H102">
        <v>12</v>
      </c>
      <c r="I102" t="str">
        <v/>
      </c>
      <c r="J102" t="str">
        <v/>
      </c>
      <c r="K102" t="str">
        <v/>
      </c>
      <c r="L102" t="str">
        <v/>
      </c>
      <c r="M102" t="str">
        <v/>
      </c>
      <c r="N102" t="str">
        <v/>
      </c>
      <c r="O102" t="str">
        <v>1</v>
      </c>
      <c r="P102" t="str">
        <v>Ø20</v>
      </c>
      <c r="Q102">
        <v>9</v>
      </c>
      <c r="R102" t="str">
        <v/>
      </c>
      <c r="S102" t="str">
        <v/>
      </c>
      <c r="T102">
        <v>3</v>
      </c>
    </row>
    <row r="103" spans="1:20" x14ac:dyDescent="0.3">
      <c r="A103" t="str">
        <v>K.0.002T.1</v>
      </c>
      <c r="B103" t="str">
        <v>ЩОВ-01</v>
      </c>
      <c r="C103" t="str">
        <v>Внутренний блок кондиционирования цокольный этаж Пом. №002Т</v>
      </c>
      <c r="D103" t="str">
        <v>ВВГнг(А)-LS (3х1,5)</v>
      </c>
      <c r="E103" t="str">
        <v>L=17</v>
      </c>
      <c r="F103" t="str">
        <v>Ø20 L=10</v>
      </c>
      <c r="G103" t="str">
        <v/>
      </c>
      <c r="H103">
        <v>27</v>
      </c>
      <c r="I103" t="str">
        <v/>
      </c>
      <c r="J103" t="str">
        <v/>
      </c>
      <c r="K103" t="str">
        <v/>
      </c>
      <c r="L103" t="str">
        <v/>
      </c>
      <c r="M103" t="str">
        <v/>
      </c>
      <c r="N103" t="str">
        <v/>
      </c>
      <c r="O103" t="str">
        <v>1</v>
      </c>
      <c r="P103" t="str">
        <v>Ø20</v>
      </c>
      <c r="Q103">
        <v>10</v>
      </c>
      <c r="R103" t="str">
        <v/>
      </c>
      <c r="S103" t="str">
        <v/>
      </c>
      <c r="T103">
        <v>17</v>
      </c>
    </row>
    <row r="104" spans="1:20" x14ac:dyDescent="0.3">
      <c r="A104" t="str">
        <v>K.0.002T.2</v>
      </c>
      <c r="B104" t="str">
        <v>ЩОВ-01</v>
      </c>
      <c r="C104" t="str">
        <v>Внутренний блок кондиционирования цокольный этаж Пом. №002Т</v>
      </c>
      <c r="D104" t="str">
        <v>ВВГнг(А)-LS (3х1,5)</v>
      </c>
      <c r="E104" t="str">
        <v>L=15</v>
      </c>
      <c r="F104" t="str">
        <v>Ø20 L=10</v>
      </c>
      <c r="G104" t="str">
        <v/>
      </c>
      <c r="H104">
        <v>25</v>
      </c>
      <c r="I104" t="str">
        <v/>
      </c>
      <c r="J104" t="str">
        <v/>
      </c>
      <c r="K104" t="str">
        <v/>
      </c>
      <c r="L104" t="str">
        <v/>
      </c>
      <c r="M104" t="str">
        <v/>
      </c>
      <c r="N104" t="str">
        <v/>
      </c>
      <c r="O104" t="str">
        <v>1</v>
      </c>
      <c r="P104" t="str">
        <v>Ø20</v>
      </c>
      <c r="Q104">
        <v>10</v>
      </c>
      <c r="R104" t="str">
        <v/>
      </c>
      <c r="S104" t="str">
        <v/>
      </c>
      <c r="T104">
        <v>15</v>
      </c>
    </row>
    <row r="105" spans="1:20" x14ac:dyDescent="0.3">
      <c r="A105" t="str">
        <v>K.0.004A-K.0.005A</v>
      </c>
      <c r="B105" t="str">
        <v>ЩОВ-01</v>
      </c>
      <c r="C105" t="str">
        <v>Внутренний блок кондиционирования цокольный этаж Пом. №013.1Б</v>
      </c>
      <c r="D105" t="str">
        <v>ВВГнг(А)-LS (3х1,5)</v>
      </c>
      <c r="E105" t="str">
        <v>L=36</v>
      </c>
      <c r="F105" t="str">
        <v>Ø20 L=18</v>
      </c>
      <c r="G105" t="str">
        <v/>
      </c>
      <c r="H105">
        <v>54</v>
      </c>
      <c r="I105" t="str">
        <v/>
      </c>
      <c r="J105" t="str">
        <v/>
      </c>
      <c r="K105" t="str">
        <v/>
      </c>
      <c r="L105" t="str">
        <v/>
      </c>
      <c r="M105" t="str">
        <v/>
      </c>
      <c r="N105" t="str">
        <v/>
      </c>
      <c r="O105" t="str">
        <v>1</v>
      </c>
      <c r="P105" t="str">
        <v>Ø20</v>
      </c>
      <c r="Q105">
        <v>18</v>
      </c>
      <c r="R105" t="str">
        <v/>
      </c>
      <c r="S105" t="str">
        <v/>
      </c>
      <c r="T105">
        <v>36</v>
      </c>
    </row>
    <row r="106" spans="1:20" x14ac:dyDescent="0.3">
      <c r="A106" t="str">
        <v>K.0.005Б.1</v>
      </c>
      <c r="B106" t="str">
        <v>ЩОВ-01</v>
      </c>
      <c r="C106" t="str">
        <v>Внутренний блок кондиционирования цокольный этаж Пом. №005Б</v>
      </c>
      <c r="D106" t="str">
        <v>ВВГнг(А)-LS (3х1,5)</v>
      </c>
      <c r="E106" t="str">
        <v>L=21</v>
      </c>
      <c r="F106" t="str">
        <v>Ø20 L=21</v>
      </c>
      <c r="G106" t="str">
        <v/>
      </c>
      <c r="H106">
        <v>42</v>
      </c>
      <c r="I106" t="str">
        <v/>
      </c>
      <c r="J106" t="str">
        <v/>
      </c>
      <c r="K106" t="str">
        <v/>
      </c>
      <c r="L106" t="str">
        <v/>
      </c>
      <c r="M106" t="str">
        <v/>
      </c>
      <c r="N106" t="str">
        <v/>
      </c>
      <c r="O106" t="str">
        <v>1</v>
      </c>
      <c r="P106" t="str">
        <v>Ø20</v>
      </c>
      <c r="Q106">
        <v>21</v>
      </c>
      <c r="R106" t="str">
        <v/>
      </c>
      <c r="S106" t="str">
        <v/>
      </c>
      <c r="T106">
        <v>21</v>
      </c>
    </row>
    <row r="107" spans="1:20" x14ac:dyDescent="0.3">
      <c r="A107" t="str">
        <v>K.0.005Б.2</v>
      </c>
      <c r="B107" t="str">
        <v>ЩОВ-01</v>
      </c>
      <c r="C107" t="str">
        <v>Внутренний блок кондиционирования цокольный этаж Пом. №005Б</v>
      </c>
      <c r="D107" t="str">
        <v>ВВГнг(А)-LS (3х1,5)</v>
      </c>
      <c r="E107" t="str">
        <v>L=21</v>
      </c>
      <c r="F107" t="str">
        <v>Ø20 L=29</v>
      </c>
      <c r="G107" t="str">
        <v/>
      </c>
      <c r="H107">
        <v>50</v>
      </c>
      <c r="I107" t="str">
        <v/>
      </c>
      <c r="J107" t="str">
        <v/>
      </c>
      <c r="K107" t="str">
        <v/>
      </c>
      <c r="L107" t="str">
        <v/>
      </c>
      <c r="M107" t="str">
        <v/>
      </c>
      <c r="N107" t="str">
        <v/>
      </c>
      <c r="O107" t="str">
        <v>1</v>
      </c>
      <c r="P107" t="str">
        <v>Ø20</v>
      </c>
      <c r="Q107">
        <v>29</v>
      </c>
      <c r="R107" t="str">
        <v/>
      </c>
      <c r="S107" t="str">
        <v/>
      </c>
      <c r="T107">
        <v>21</v>
      </c>
    </row>
    <row r="108" spans="1:20" x14ac:dyDescent="0.3">
      <c r="A108" t="str">
        <v>K.0.006A</v>
      </c>
      <c r="B108" t="str">
        <v>ЩОВ-01</v>
      </c>
      <c r="C108" t="str">
        <v>Внутренний блок кондиционирования цокольный этаж Пом. №014Б</v>
      </c>
      <c r="D108" t="str">
        <v>ВВГнг(А)-LS (3х1,5)</v>
      </c>
      <c r="E108" t="str">
        <v>L=36</v>
      </c>
      <c r="F108" t="str">
        <v>Ø20 L=16</v>
      </c>
      <c r="G108" t="str">
        <v/>
      </c>
      <c r="H108">
        <v>52</v>
      </c>
      <c r="I108" t="str">
        <v/>
      </c>
      <c r="J108" t="str">
        <v/>
      </c>
      <c r="K108" t="str">
        <v/>
      </c>
      <c r="L108" t="str">
        <v/>
      </c>
      <c r="M108" t="str">
        <v/>
      </c>
      <c r="N108" t="str">
        <v/>
      </c>
      <c r="O108" t="str">
        <v>1</v>
      </c>
      <c r="P108" t="str">
        <v>Ø20</v>
      </c>
      <c r="Q108">
        <v>16</v>
      </c>
      <c r="R108" t="str">
        <v/>
      </c>
      <c r="S108" t="str">
        <v/>
      </c>
      <c r="T108">
        <v>36</v>
      </c>
    </row>
    <row r="109" spans="1:20" x14ac:dyDescent="0.3">
      <c r="A109" t="str">
        <v>K.0.008A</v>
      </c>
      <c r="B109" t="str">
        <v>ЩОВ-01</v>
      </c>
      <c r="C109" t="str">
        <v>Внутренний блок кондиционирования цокольный этаж Пом. №014Б</v>
      </c>
      <c r="D109" t="str">
        <v>ВВГнг(А)-LS (3х1,5)</v>
      </c>
      <c r="E109" t="str">
        <v>L=36</v>
      </c>
      <c r="F109" t="str">
        <v>Ø20 L=19</v>
      </c>
      <c r="G109" t="str">
        <v/>
      </c>
      <c r="H109">
        <v>55</v>
      </c>
      <c r="I109" t="str">
        <v/>
      </c>
      <c r="J109" t="str">
        <v/>
      </c>
      <c r="K109" t="str">
        <v/>
      </c>
      <c r="L109" t="str">
        <v/>
      </c>
      <c r="M109" t="str">
        <v/>
      </c>
      <c r="N109" t="str">
        <v/>
      </c>
      <c r="O109" t="str">
        <v>1</v>
      </c>
      <c r="P109" t="str">
        <v>Ø20</v>
      </c>
      <c r="Q109">
        <v>19</v>
      </c>
      <c r="R109" t="str">
        <v/>
      </c>
      <c r="S109" t="str">
        <v/>
      </c>
      <c r="T109">
        <v>36</v>
      </c>
    </row>
    <row r="110" spans="1:20" x14ac:dyDescent="0.3">
      <c r="A110" t="str">
        <v>K.0.012Б</v>
      </c>
      <c r="B110" t="str">
        <v>ЩОВ-01</v>
      </c>
      <c r="C110" t="str">
        <v>Внутренний блок кондиционирования цокольный этаж Пом. №012Б</v>
      </c>
      <c r="D110" t="str">
        <v>ВВГнг(А)-LS (3х1,5)</v>
      </c>
      <c r="E110" t="str">
        <v>L=26</v>
      </c>
      <c r="F110" t="str">
        <v>Ø20 L=12</v>
      </c>
      <c r="G110" t="str">
        <v/>
      </c>
      <c r="H110">
        <v>38</v>
      </c>
      <c r="I110" t="str">
        <v/>
      </c>
      <c r="J110" t="str">
        <v/>
      </c>
      <c r="K110" t="str">
        <v/>
      </c>
      <c r="L110" t="str">
        <v/>
      </c>
      <c r="M110" t="str">
        <v/>
      </c>
      <c r="N110" t="str">
        <v/>
      </c>
      <c r="O110" t="str">
        <v>1</v>
      </c>
      <c r="P110" t="str">
        <v>Ø20</v>
      </c>
      <c r="Q110">
        <v>12</v>
      </c>
      <c r="R110" t="str">
        <v/>
      </c>
      <c r="S110" t="str">
        <v/>
      </c>
      <c r="T110">
        <v>26</v>
      </c>
    </row>
    <row r="111" spans="1:20" x14ac:dyDescent="0.3">
      <c r="A111" t="str">
        <v>K.1.002AБ.1</v>
      </c>
      <c r="B111" t="str">
        <v>ЩОВ-01</v>
      </c>
      <c r="C111" t="str">
        <v>Внутренний блок кондиционирования подвальный этаж Пом. №001Т</v>
      </c>
      <c r="D111" t="str">
        <v>ВВГнг(А)-LS (3х1,5)</v>
      </c>
      <c r="E111" t="str">
        <v>L=19</v>
      </c>
      <c r="F111" t="str">
        <v>Ø20 L=23</v>
      </c>
      <c r="G111" t="str">
        <v/>
      </c>
      <c r="H111">
        <v>42</v>
      </c>
      <c r="I111" t="str">
        <v/>
      </c>
      <c r="J111" t="str">
        <v/>
      </c>
      <c r="K111" t="str">
        <v/>
      </c>
      <c r="L111" t="str">
        <v/>
      </c>
      <c r="M111" t="str">
        <v/>
      </c>
      <c r="N111" t="str">
        <v/>
      </c>
      <c r="O111" t="str">
        <v>1</v>
      </c>
      <c r="P111" t="str">
        <v>Ø20</v>
      </c>
      <c r="Q111">
        <v>23</v>
      </c>
      <c r="R111" t="str">
        <v/>
      </c>
      <c r="S111" t="str">
        <v/>
      </c>
      <c r="T111">
        <v>19</v>
      </c>
    </row>
    <row r="112" spans="1:20" x14ac:dyDescent="0.3">
      <c r="A112" t="str">
        <v>K.1.002AБ.2</v>
      </c>
      <c r="B112" t="str">
        <v>ЩОВ-01</v>
      </c>
      <c r="C112" t="str">
        <v>Внутренний блок кондиционирования подвальный этаж Пом. №001Т</v>
      </c>
      <c r="D112" t="str">
        <v>ВВГнг(А)-LS (3х1,5)</v>
      </c>
      <c r="E112" t="str">
        <v>L=19</v>
      </c>
      <c r="F112" t="str">
        <v>Ø20 L=23</v>
      </c>
      <c r="G112" t="str">
        <v/>
      </c>
      <c r="H112">
        <v>42</v>
      </c>
      <c r="I112" t="str">
        <v/>
      </c>
      <c r="J112" t="str">
        <v/>
      </c>
      <c r="K112" t="str">
        <v/>
      </c>
      <c r="L112" t="str">
        <v/>
      </c>
      <c r="M112" t="str">
        <v/>
      </c>
      <c r="N112" t="str">
        <v/>
      </c>
      <c r="O112" t="str">
        <v>1</v>
      </c>
      <c r="P112" t="str">
        <v>Ø20</v>
      </c>
      <c r="Q112">
        <v>23</v>
      </c>
      <c r="R112" t="str">
        <v/>
      </c>
      <c r="S112" t="str">
        <v/>
      </c>
      <c r="T112">
        <v>19</v>
      </c>
    </row>
    <row r="113" spans="1:20" x14ac:dyDescent="0.3">
      <c r="A113" t="str">
        <v>K.1.006A</v>
      </c>
      <c r="B113" t="str">
        <v>ЩОВ-01</v>
      </c>
      <c r="C113" t="str">
        <v>Внутренний блок кондиционирования подвальный этаж Пом. №001Т</v>
      </c>
      <c r="D113" t="str">
        <v>ВВГнг(А)-LS (3х1,5)</v>
      </c>
      <c r="E113" t="str">
        <v>L=19</v>
      </c>
      <c r="F113" t="str">
        <v>Ø20 L=22</v>
      </c>
      <c r="G113" t="str">
        <v/>
      </c>
      <c r="H113">
        <v>41</v>
      </c>
      <c r="I113" t="str">
        <v/>
      </c>
      <c r="J113" t="str">
        <v/>
      </c>
      <c r="K113" t="str">
        <v/>
      </c>
      <c r="L113" t="str">
        <v/>
      </c>
      <c r="M113" t="str">
        <v/>
      </c>
      <c r="N113" t="str">
        <v/>
      </c>
      <c r="O113" t="str">
        <v>1</v>
      </c>
      <c r="P113" t="str">
        <v>Ø20</v>
      </c>
      <c r="Q113">
        <v>22</v>
      </c>
      <c r="R113" t="str">
        <v/>
      </c>
      <c r="S113" t="str">
        <v/>
      </c>
      <c r="T113">
        <v>19</v>
      </c>
    </row>
    <row r="114" spans="1:20" x14ac:dyDescent="0.3">
      <c r="A114" t="str">
        <v>K.1.002Б</v>
      </c>
      <c r="B114" t="str">
        <v>ЩОВ-01</v>
      </c>
      <c r="C114" t="str">
        <v>Внутренний блок кондиционирования первый этаж Пом. №002Б</v>
      </c>
      <c r="D114" t="str">
        <v>ВВГнг(А)-LS (3х1,5)</v>
      </c>
      <c r="E114" t="str">
        <v>L=60</v>
      </c>
      <c r="F114" t="str">
        <v>Ø20 L=14</v>
      </c>
      <c r="G114" t="str">
        <v/>
      </c>
      <c r="H114">
        <v>74</v>
      </c>
      <c r="I114" t="str">
        <v/>
      </c>
      <c r="J114" t="str">
        <v/>
      </c>
      <c r="K114" t="str">
        <v/>
      </c>
      <c r="L114" t="str">
        <v/>
      </c>
      <c r="M114" t="str">
        <v/>
      </c>
      <c r="N114" t="str">
        <v/>
      </c>
      <c r="O114" t="str">
        <v>1</v>
      </c>
      <c r="P114" t="str">
        <v>Ø20</v>
      </c>
      <c r="Q114">
        <v>14</v>
      </c>
      <c r="R114" t="str">
        <v/>
      </c>
      <c r="S114" t="str">
        <v/>
      </c>
      <c r="T114">
        <v>60</v>
      </c>
    </row>
    <row r="115" spans="1:20" x14ac:dyDescent="0.3">
      <c r="A115" t="str">
        <v>K.1.007A</v>
      </c>
      <c r="B115" t="str">
        <v>ЩОВ-01</v>
      </c>
      <c r="C115" t="str">
        <v>Внутренний блок кондиционирования первый этаж Пом. №003Б</v>
      </c>
      <c r="D115" t="str">
        <v>ВВГнг(А)-LS (3х1,5)</v>
      </c>
      <c r="E115" t="str">
        <v>L=60</v>
      </c>
      <c r="F115" t="str">
        <v>Ø20 L=14</v>
      </c>
      <c r="G115" t="str">
        <v/>
      </c>
      <c r="H115">
        <v>74</v>
      </c>
      <c r="I115" t="str">
        <v/>
      </c>
      <c r="J115" t="str">
        <v/>
      </c>
      <c r="K115" t="str">
        <v/>
      </c>
      <c r="L115" t="str">
        <v/>
      </c>
      <c r="M115" t="str">
        <v/>
      </c>
      <c r="N115" t="str">
        <v/>
      </c>
      <c r="O115" t="str">
        <v>1</v>
      </c>
      <c r="P115" t="str">
        <v>Ø20</v>
      </c>
      <c r="Q115">
        <v>14</v>
      </c>
      <c r="R115" t="str">
        <v/>
      </c>
      <c r="S115" t="str">
        <v/>
      </c>
      <c r="T115">
        <v>60</v>
      </c>
    </row>
    <row r="116" spans="1:20" x14ac:dyDescent="0.3">
      <c r="A116" t="str">
        <v>K.1.010A</v>
      </c>
      <c r="B116" t="str">
        <v>ЩОВ-01</v>
      </c>
      <c r="C116" t="str">
        <v>Внутренний блок кондиционирования первый этаж Пом. №003Б</v>
      </c>
      <c r="D116" t="str">
        <v>ВВГнг(А)-LS (3х1,5)</v>
      </c>
      <c r="E116" t="str">
        <v>L=60</v>
      </c>
      <c r="F116" t="str">
        <v>Ø20 L=16</v>
      </c>
      <c r="G116" t="str">
        <v/>
      </c>
      <c r="H116">
        <v>76</v>
      </c>
      <c r="I116" t="str">
        <v/>
      </c>
      <c r="J116" t="str">
        <v/>
      </c>
      <c r="K116" t="str">
        <v/>
      </c>
      <c r="L116" t="str">
        <v/>
      </c>
      <c r="M116" t="str">
        <v/>
      </c>
      <c r="N116" t="str">
        <v/>
      </c>
      <c r="O116" t="str">
        <v>1</v>
      </c>
      <c r="P116" t="str">
        <v>Ø20</v>
      </c>
      <c r="Q116">
        <v>16</v>
      </c>
      <c r="R116" t="str">
        <v/>
      </c>
      <c r="S116" t="str">
        <v/>
      </c>
      <c r="T116">
        <v>60</v>
      </c>
    </row>
    <row r="117" spans="1:20" x14ac:dyDescent="0.3">
      <c r="A117" t="str">
        <v>K.1.011A</v>
      </c>
      <c r="B117" t="str">
        <v>ЩОВ-01</v>
      </c>
      <c r="C117" t="str">
        <v>Внутренний блок кондиционирования первый этаж Пом. №002Б</v>
      </c>
      <c r="D117" t="str">
        <v>ВВГнг(А)-LS (3х1,5)</v>
      </c>
      <c r="E117" t="str">
        <v>L=58</v>
      </c>
      <c r="F117" t="str">
        <v>Ø20 L=14</v>
      </c>
      <c r="G117" t="str">
        <v/>
      </c>
      <c r="H117">
        <v>72</v>
      </c>
      <c r="I117" t="str">
        <v/>
      </c>
      <c r="J117" t="str">
        <v/>
      </c>
      <c r="K117" t="str">
        <v/>
      </c>
      <c r="L117" t="str">
        <v/>
      </c>
      <c r="M117" t="str">
        <v/>
      </c>
      <c r="N117" t="str">
        <v/>
      </c>
      <c r="O117" t="str">
        <v>1</v>
      </c>
      <c r="P117" t="str">
        <v>Ø20</v>
      </c>
      <c r="Q117">
        <v>14</v>
      </c>
      <c r="R117" t="str">
        <v/>
      </c>
      <c r="S117" t="str">
        <v/>
      </c>
      <c r="T117">
        <v>58</v>
      </c>
    </row>
    <row r="118" spans="1:20" x14ac:dyDescent="0.3">
      <c r="A118" t="str">
        <v>K.1.014A</v>
      </c>
      <c r="B118" t="str">
        <v>ЩОВ-01</v>
      </c>
      <c r="C118" t="str">
        <v>Внутренний блок кондиционирования первый этаж Пом. №002Б</v>
      </c>
      <c r="D118" t="str">
        <v>ВВГнг(А)-LS (3х1,5)</v>
      </c>
      <c r="E118" t="str">
        <v>L=58</v>
      </c>
      <c r="F118" t="str">
        <v>Ø20 L=12</v>
      </c>
      <c r="G118" t="str">
        <v/>
      </c>
      <c r="H118">
        <v>70</v>
      </c>
      <c r="I118" t="str">
        <v/>
      </c>
      <c r="J118" t="str">
        <v/>
      </c>
      <c r="K118" t="str">
        <v/>
      </c>
      <c r="L118" t="str">
        <v/>
      </c>
      <c r="M118" t="str">
        <v/>
      </c>
      <c r="N118" t="str">
        <v/>
      </c>
      <c r="O118" t="str">
        <v>1</v>
      </c>
      <c r="P118" t="str">
        <v>Ø20</v>
      </c>
      <c r="Q118">
        <v>12</v>
      </c>
      <c r="R118" t="str">
        <v/>
      </c>
      <c r="S118" t="str">
        <v/>
      </c>
      <c r="T118">
        <v>58</v>
      </c>
    </row>
    <row r="119" spans="1:20" x14ac:dyDescent="0.3">
      <c r="A119" t="str">
        <v>K.1.015A</v>
      </c>
      <c r="B119" t="str">
        <v>ЩОВ-01</v>
      </c>
      <c r="C119" t="str">
        <v>Внутренний блок кондиционирования первый этаж Пом. №002Б</v>
      </c>
      <c r="D119" t="str">
        <v>ВВГнг(А)-LS (3х1,5)</v>
      </c>
      <c r="E119" t="str">
        <v>L=58</v>
      </c>
      <c r="F119" t="str">
        <v>Ø20 L=17</v>
      </c>
      <c r="G119" t="str">
        <v/>
      </c>
      <c r="H119">
        <v>75</v>
      </c>
      <c r="I119" t="str">
        <v/>
      </c>
      <c r="J119" t="str">
        <v/>
      </c>
      <c r="K119" t="str">
        <v/>
      </c>
      <c r="L119" t="str">
        <v/>
      </c>
      <c r="M119" t="str">
        <v/>
      </c>
      <c r="N119" t="str">
        <v/>
      </c>
      <c r="O119" t="str">
        <v>1</v>
      </c>
      <c r="P119" t="str">
        <v>Ø20</v>
      </c>
      <c r="Q119">
        <v>17</v>
      </c>
      <c r="R119" t="str">
        <v/>
      </c>
      <c r="S119" t="str">
        <v/>
      </c>
      <c r="T119">
        <v>58</v>
      </c>
    </row>
    <row r="120" spans="1:20" x14ac:dyDescent="0.3">
      <c r="A120" t="str">
        <v>K.0.009А.1</v>
      </c>
      <c r="B120" t="str">
        <v>ЩОВ-01</v>
      </c>
      <c r="C120" t="str">
        <v>Внутренний блок кондиционирования цокольный этаж Пом. №0.002Т</v>
      </c>
      <c r="D120" t="str">
        <v>ВВГнг(А)-LS (3х1,5)</v>
      </c>
      <c r="E120" t="str">
        <v>L=15</v>
      </c>
      <c r="F120" t="str">
        <v>Ø20 L=10</v>
      </c>
      <c r="G120" t="str">
        <v/>
      </c>
      <c r="H120">
        <v>25</v>
      </c>
      <c r="I120" t="str">
        <v/>
      </c>
      <c r="J120" t="str">
        <v/>
      </c>
      <c r="K120" t="str">
        <v/>
      </c>
      <c r="L120" t="str">
        <v/>
      </c>
      <c r="M120" t="str">
        <v/>
      </c>
      <c r="N120" t="str">
        <v/>
      </c>
      <c r="O120" t="str">
        <v>1</v>
      </c>
      <c r="P120" t="str">
        <v>Ø20</v>
      </c>
      <c r="Q120">
        <v>10</v>
      </c>
      <c r="R120" t="str">
        <v/>
      </c>
      <c r="S120" t="str">
        <v/>
      </c>
      <c r="T120">
        <v>15</v>
      </c>
    </row>
    <row r="121" spans="1:20" x14ac:dyDescent="0.3">
      <c r="A121" t="str">
        <v>K.1.001A.1</v>
      </c>
      <c r="B121" t="str">
        <v>ЩОВ-2</v>
      </c>
      <c r="C121" t="str">
        <v>Внутренний блок кондиционирования Технический этаж Пом. №001Т</v>
      </c>
      <c r="D121" t="str">
        <v>ВВГнг(А)-LS (3х1,5)</v>
      </c>
      <c r="E121" t="str">
        <v>L=6</v>
      </c>
      <c r="F121" t="str">
        <v>Ø20 L=24</v>
      </c>
      <c r="G121" t="str">
        <v/>
      </c>
      <c r="H121">
        <v>30</v>
      </c>
      <c r="I121" t="str">
        <v/>
      </c>
      <c r="J121" t="str">
        <v/>
      </c>
      <c r="K121" t="str">
        <v/>
      </c>
      <c r="L121" t="str">
        <v/>
      </c>
      <c r="M121" t="str">
        <v/>
      </c>
      <c r="N121" t="str">
        <v/>
      </c>
      <c r="O121" t="str">
        <v>1</v>
      </c>
      <c r="P121" t="str">
        <v>Ø20</v>
      </c>
      <c r="Q121">
        <v>24</v>
      </c>
      <c r="R121" t="str">
        <v/>
      </c>
      <c r="S121" t="str">
        <v/>
      </c>
      <c r="T121">
        <v>6</v>
      </c>
    </row>
    <row r="122" spans="1:20" x14ac:dyDescent="0.3">
      <c r="A122" t="str">
        <v>K.1.001A.2</v>
      </c>
      <c r="B122" t="str">
        <v>ЩОВ-2</v>
      </c>
      <c r="C122" t="str">
        <v>Внутренний блок кондиционирования Технический этаж Пом. №001Т</v>
      </c>
      <c r="D122" t="str">
        <v>ВВГнг(А)-LS (3х1,5)</v>
      </c>
      <c r="E122" t="str">
        <v>L=4</v>
      </c>
      <c r="F122" t="str">
        <v>Ø20 L=18</v>
      </c>
      <c r="G122" t="str">
        <v/>
      </c>
      <c r="H122">
        <v>22</v>
      </c>
      <c r="I122" t="str">
        <v/>
      </c>
      <c r="J122" t="str">
        <v/>
      </c>
      <c r="K122" t="str">
        <v/>
      </c>
      <c r="L122" t="str">
        <v/>
      </c>
      <c r="M122" t="str">
        <v/>
      </c>
      <c r="N122" t="str">
        <v/>
      </c>
      <c r="O122" t="str">
        <v>1</v>
      </c>
      <c r="P122" t="str">
        <v>Ø20</v>
      </c>
      <c r="Q122">
        <v>18</v>
      </c>
      <c r="R122" t="str">
        <v/>
      </c>
      <c r="S122" t="str">
        <v/>
      </c>
      <c r="T122">
        <v>4</v>
      </c>
    </row>
    <row r="123" spans="1:20" x14ac:dyDescent="0.3">
      <c r="A123" t="str">
        <v>K.1.003A</v>
      </c>
      <c r="B123" t="str">
        <v>ЩОВ-2</v>
      </c>
      <c r="C123" t="str">
        <v>Внутренний блок кондиционирования Технический этаж Пом. №002Т</v>
      </c>
      <c r="D123" t="str">
        <v>ВВГнг(А)-LS (3х1,5)</v>
      </c>
      <c r="E123" t="str">
        <v>L=12</v>
      </c>
      <c r="F123" t="str">
        <v>Ø20 L=14</v>
      </c>
      <c r="G123" t="str">
        <v/>
      </c>
      <c r="H123">
        <v>26</v>
      </c>
      <c r="I123" t="str">
        <v/>
      </c>
      <c r="J123" t="str">
        <v/>
      </c>
      <c r="K123" t="str">
        <v/>
      </c>
      <c r="L123" t="str">
        <v/>
      </c>
      <c r="M123" t="str">
        <v/>
      </c>
      <c r="N123" t="str">
        <v/>
      </c>
      <c r="O123" t="str">
        <v>1</v>
      </c>
      <c r="P123" t="str">
        <v>Ø20</v>
      </c>
      <c r="Q123">
        <v>14</v>
      </c>
      <c r="R123" t="str">
        <v/>
      </c>
      <c r="S123" t="str">
        <v/>
      </c>
      <c r="T123">
        <v>12</v>
      </c>
    </row>
    <row r="124" spans="1:20" x14ac:dyDescent="0.3">
      <c r="A124" t="str">
        <v>K.1.005A</v>
      </c>
      <c r="B124" t="str">
        <v>ЩОВ-2</v>
      </c>
      <c r="C124" t="str">
        <v>Внутренний блок кондиционирования Технический этаж Пом. №001Т</v>
      </c>
      <c r="D124" t="str">
        <v>ВВГнг(А)-LS (3х1,5)</v>
      </c>
      <c r="E124" t="str">
        <v>L=12</v>
      </c>
      <c r="F124" t="str">
        <v>Ø20 L=14</v>
      </c>
      <c r="G124" t="str">
        <v/>
      </c>
      <c r="H124">
        <v>26</v>
      </c>
      <c r="I124" t="str">
        <v/>
      </c>
      <c r="J124" t="str">
        <v/>
      </c>
      <c r="K124" t="str">
        <v/>
      </c>
      <c r="L124" t="str">
        <v/>
      </c>
      <c r="M124" t="str">
        <v/>
      </c>
      <c r="N124" t="str">
        <v/>
      </c>
      <c r="O124" t="str">
        <v>1</v>
      </c>
      <c r="P124" t="str">
        <v>Ø20</v>
      </c>
      <c r="Q124">
        <v>14</v>
      </c>
      <c r="R124" t="str">
        <v/>
      </c>
      <c r="S124" t="str">
        <v/>
      </c>
      <c r="T124">
        <v>12</v>
      </c>
    </row>
    <row r="125" spans="1:20" x14ac:dyDescent="0.3">
      <c r="A125" t="str">
        <v>K.2.004A</v>
      </c>
      <c r="B125" t="str">
        <v>ЩОВ-2</v>
      </c>
      <c r="C125" t="str">
        <v>Внутренний блок кондиционирования Технический этаж Пом. №002Т</v>
      </c>
      <c r="D125" t="str">
        <v>ВВГнг(А)-LS (3х1,5)</v>
      </c>
      <c r="E125" t="str">
        <v>L=12</v>
      </c>
      <c r="F125" t="str">
        <v>Ø20 L=22</v>
      </c>
      <c r="G125" t="str">
        <v/>
      </c>
      <c r="H125">
        <v>34</v>
      </c>
      <c r="I125" t="str">
        <v/>
      </c>
      <c r="J125" t="str">
        <v/>
      </c>
      <c r="K125" t="str">
        <v/>
      </c>
      <c r="L125" t="str">
        <v/>
      </c>
      <c r="M125" t="str">
        <v/>
      </c>
      <c r="N125" t="str">
        <v/>
      </c>
      <c r="O125" t="str">
        <v>1</v>
      </c>
      <c r="P125" t="str">
        <v>Ø20</v>
      </c>
      <c r="Q125">
        <v>22</v>
      </c>
      <c r="R125" t="str">
        <v/>
      </c>
      <c r="S125" t="str">
        <v/>
      </c>
      <c r="T125">
        <v>12</v>
      </c>
    </row>
    <row r="126" spans="1:20" x14ac:dyDescent="0.3">
      <c r="A126" t="str">
        <v>K.2.005A</v>
      </c>
      <c r="B126" t="str">
        <v>ЩОВ-2</v>
      </c>
      <c r="C126" t="str">
        <v>Внутренний блок кондиционирования Технический этаж Пом. №002Т</v>
      </c>
      <c r="D126" t="str">
        <v>ВВГнг(А)-LS (3х1,5)</v>
      </c>
      <c r="E126" t="str">
        <v>L=12</v>
      </c>
      <c r="F126" t="str">
        <v>Ø20 L=22</v>
      </c>
      <c r="G126" t="str">
        <v/>
      </c>
      <c r="H126">
        <v>34</v>
      </c>
      <c r="I126" t="str">
        <v/>
      </c>
      <c r="J126" t="str">
        <v/>
      </c>
      <c r="K126" t="str">
        <v/>
      </c>
      <c r="L126" t="str">
        <v/>
      </c>
      <c r="M126" t="str">
        <v/>
      </c>
      <c r="N126" t="str">
        <v/>
      </c>
      <c r="O126" t="str">
        <v>1</v>
      </c>
      <c r="P126" t="str">
        <v>Ø20</v>
      </c>
      <c r="Q126">
        <v>22</v>
      </c>
      <c r="R126" t="str">
        <v/>
      </c>
      <c r="S126" t="str">
        <v/>
      </c>
      <c r="T126">
        <v>12</v>
      </c>
    </row>
    <row r="127" spans="1:20" x14ac:dyDescent="0.3">
      <c r="A127" t="str">
        <v>K.2.008A</v>
      </c>
      <c r="B127" t="str">
        <v>ЩОВ-2</v>
      </c>
      <c r="C127" t="str">
        <v>Внутренний блок кондиционирования Технический этаж Пом. №002Т</v>
      </c>
      <c r="D127" t="str">
        <v>ВВГнг(А)-LS (3х1,5)</v>
      </c>
      <c r="E127" t="str">
        <v>L=10</v>
      </c>
      <c r="F127" t="str">
        <v>Ø20 L=13</v>
      </c>
      <c r="G127" t="str">
        <v/>
      </c>
      <c r="H127">
        <v>23</v>
      </c>
      <c r="I127" t="str">
        <v/>
      </c>
      <c r="J127" t="str">
        <v/>
      </c>
      <c r="K127" t="str">
        <v/>
      </c>
      <c r="L127" t="str">
        <v/>
      </c>
      <c r="M127" t="str">
        <v/>
      </c>
      <c r="N127" t="str">
        <v/>
      </c>
      <c r="O127" t="str">
        <v>1</v>
      </c>
      <c r="P127" t="str">
        <v>Ø20</v>
      </c>
      <c r="Q127">
        <v>13</v>
      </c>
      <c r="R127" t="str">
        <v/>
      </c>
      <c r="S127" t="str">
        <v/>
      </c>
      <c r="T127">
        <v>10</v>
      </c>
    </row>
    <row r="128" spans="1:20" x14ac:dyDescent="0.3">
      <c r="A128" t="str">
        <v>K.2.009A</v>
      </c>
      <c r="B128" t="str">
        <v>ЩОВ-2</v>
      </c>
      <c r="C128" t="str">
        <v>Внутренний блок кондиционирования Технический этаж Пом. №002Т</v>
      </c>
      <c r="D128" t="str">
        <v>ВВГнг(А)-LS (3х1,5)</v>
      </c>
      <c r="E128" t="str">
        <v>L=10</v>
      </c>
      <c r="F128" t="str">
        <v>Ø20 L=12</v>
      </c>
      <c r="G128" t="str">
        <v/>
      </c>
      <c r="H128">
        <v>22</v>
      </c>
      <c r="I128" t="str">
        <v/>
      </c>
      <c r="J128" t="str">
        <v/>
      </c>
      <c r="K128" t="str">
        <v/>
      </c>
      <c r="L128" t="str">
        <v/>
      </c>
      <c r="M128" t="str">
        <v/>
      </c>
      <c r="N128" t="str">
        <v/>
      </c>
      <c r="O128" t="str">
        <v>1</v>
      </c>
      <c r="P128" t="str">
        <v>Ø20</v>
      </c>
      <c r="Q128">
        <v>12</v>
      </c>
      <c r="R128" t="str">
        <v/>
      </c>
      <c r="S128" t="str">
        <v/>
      </c>
      <c r="T128">
        <v>10</v>
      </c>
    </row>
    <row r="129" spans="1:20" x14ac:dyDescent="0.3">
      <c r="A129" t="str">
        <v>K.2.014A</v>
      </c>
      <c r="B129" t="str">
        <v>ЩОВ-2</v>
      </c>
      <c r="C129" t="str">
        <v>Внутренний блок кондиционирования Технический этаж Пом. №002Т</v>
      </c>
      <c r="D129" t="str">
        <v>ВВГнг(А)-LS (3х1,5)</v>
      </c>
      <c r="E129" t="str">
        <v>L=10</v>
      </c>
      <c r="F129" t="str">
        <v>Ø20 L=9</v>
      </c>
      <c r="G129" t="str">
        <v/>
      </c>
      <c r="H129">
        <v>19</v>
      </c>
      <c r="I129" t="str">
        <v/>
      </c>
      <c r="J129" t="str">
        <v/>
      </c>
      <c r="K129" t="str">
        <v/>
      </c>
      <c r="L129" t="str">
        <v/>
      </c>
      <c r="M129" t="str">
        <v/>
      </c>
      <c r="N129" t="str">
        <v/>
      </c>
      <c r="O129" t="str">
        <v>1</v>
      </c>
      <c r="P129" t="str">
        <v>Ø20</v>
      </c>
      <c r="Q129">
        <v>9</v>
      </c>
      <c r="R129" t="str">
        <v/>
      </c>
      <c r="S129" t="str">
        <v/>
      </c>
      <c r="T129">
        <v>10</v>
      </c>
    </row>
    <row r="130" spans="1:20" x14ac:dyDescent="0.3">
      <c r="A130" t="str">
        <v>K.2.016A</v>
      </c>
      <c r="B130" t="str">
        <v>ЩОВ-2</v>
      </c>
      <c r="C130" t="str">
        <v>Внутренний блок кондиционирования Технический этаж Пом. №001Б</v>
      </c>
      <c r="D130" t="str">
        <v>ВВГнг(А)-LS (3х1,5)</v>
      </c>
      <c r="E130" t="str">
        <v>L=4</v>
      </c>
      <c r="F130" t="str">
        <v>Ø20 L=31</v>
      </c>
      <c r="G130" t="str">
        <v/>
      </c>
      <c r="H130">
        <v>35</v>
      </c>
      <c r="I130" t="str">
        <v/>
      </c>
      <c r="J130" t="str">
        <v/>
      </c>
      <c r="K130" t="str">
        <v/>
      </c>
      <c r="L130" t="str">
        <v/>
      </c>
      <c r="M130" t="str">
        <v/>
      </c>
      <c r="N130" t="str">
        <v/>
      </c>
      <c r="O130" t="str">
        <v>1</v>
      </c>
      <c r="P130" t="str">
        <v>Ø20</v>
      </c>
      <c r="Q130">
        <v>31</v>
      </c>
      <c r="R130" t="str">
        <v/>
      </c>
      <c r="S130" t="str">
        <v/>
      </c>
      <c r="T130">
        <v>4</v>
      </c>
    </row>
    <row r="131" spans="1:20" x14ac:dyDescent="0.3">
      <c r="A131" t="str">
        <v>K.2.019A</v>
      </c>
      <c r="B131" t="str">
        <v>ЩОВ-2</v>
      </c>
      <c r="C131" t="str">
        <v>Внутренний блок кондиционирования Технический этаж Пом. №003Т</v>
      </c>
      <c r="D131" t="str">
        <v>ВВГнг(А)-LS (3х1,5)</v>
      </c>
      <c r="E131" t="str">
        <v>L=4</v>
      </c>
      <c r="F131" t="str">
        <v>Ø20 L=28</v>
      </c>
      <c r="G131" t="str">
        <v/>
      </c>
      <c r="H131">
        <v>32</v>
      </c>
      <c r="I131" t="str">
        <v/>
      </c>
      <c r="J131" t="str">
        <v/>
      </c>
      <c r="K131" t="str">
        <v/>
      </c>
      <c r="L131" t="str">
        <v/>
      </c>
      <c r="M131" t="str">
        <v/>
      </c>
      <c r="N131" t="str">
        <v/>
      </c>
      <c r="O131" t="str">
        <v>1</v>
      </c>
      <c r="P131" t="str">
        <v>Ø20</v>
      </c>
      <c r="Q131">
        <v>28</v>
      </c>
      <c r="R131" t="str">
        <v/>
      </c>
      <c r="S131" t="str">
        <v/>
      </c>
      <c r="T131">
        <v>4</v>
      </c>
    </row>
    <row r="132" spans="1:20" x14ac:dyDescent="0.3">
      <c r="A132" t="str">
        <v>K.3.002Б</v>
      </c>
      <c r="B132" t="str">
        <v>ЩОВ-2</v>
      </c>
      <c r="C132" t="str">
        <v>Внутренний блок кондиционирования Технический этаж Пом. №003Т</v>
      </c>
      <c r="D132" t="str">
        <v>ВВГнг(А)-LS (3х1,5)</v>
      </c>
      <c r="E132" t="str">
        <v>L=4</v>
      </c>
      <c r="F132" t="str">
        <v>Ø20 L=31</v>
      </c>
      <c r="G132" t="str">
        <v/>
      </c>
      <c r="H132">
        <v>35</v>
      </c>
      <c r="I132" t="str">
        <v/>
      </c>
      <c r="J132" t="str">
        <v/>
      </c>
      <c r="K132" t="str">
        <v/>
      </c>
      <c r="L132" t="str">
        <v/>
      </c>
      <c r="M132" t="str">
        <v/>
      </c>
      <c r="N132" t="str">
        <v/>
      </c>
      <c r="O132" t="str">
        <v>1</v>
      </c>
      <c r="P132" t="str">
        <v>Ø20</v>
      </c>
      <c r="Q132">
        <v>31</v>
      </c>
      <c r="R132" t="str">
        <v/>
      </c>
      <c r="S132" t="str">
        <v/>
      </c>
      <c r="T132">
        <v>4</v>
      </c>
    </row>
    <row r="133" spans="1:20" x14ac:dyDescent="0.3">
      <c r="A133" t="str">
        <v>K.3.004T.1</v>
      </c>
      <c r="B133" t="str">
        <v>ЩОВ-2</v>
      </c>
      <c r="C133" t="str">
        <v>Внутренний блок кондиционирования Технический этаж Пом. №004Т</v>
      </c>
      <c r="D133" t="str">
        <v>ВВГнг(А)-LS (3х1,5)</v>
      </c>
      <c r="E133" t="str">
        <v>L=4</v>
      </c>
      <c r="F133" t="str">
        <v>Ø20 L=26</v>
      </c>
      <c r="G133" t="str">
        <v/>
      </c>
      <c r="H133">
        <v>30</v>
      </c>
      <c r="I133" t="str">
        <v/>
      </c>
      <c r="J133" t="str">
        <v/>
      </c>
      <c r="K133" t="str">
        <v/>
      </c>
      <c r="L133" t="str">
        <v/>
      </c>
      <c r="M133" t="str">
        <v/>
      </c>
      <c r="N133" t="str">
        <v/>
      </c>
      <c r="O133" t="str">
        <v>1</v>
      </c>
      <c r="P133" t="str">
        <v>Ø20</v>
      </c>
      <c r="Q133">
        <v>26</v>
      </c>
      <c r="R133" t="str">
        <v/>
      </c>
      <c r="S133" t="str">
        <v/>
      </c>
      <c r="T133">
        <v>4</v>
      </c>
    </row>
    <row r="134" spans="1:20" x14ac:dyDescent="0.3">
      <c r="A134" t="str">
        <v>K.3.004T.2</v>
      </c>
      <c r="B134" t="str">
        <v>ЩОВ-2</v>
      </c>
      <c r="C134" t="str">
        <v>Внутренний блок кондиционирования Технический этаж Пом. №004Т</v>
      </c>
      <c r="D134" t="str">
        <v>ВВГнг(А)-LS (3х1,5)</v>
      </c>
      <c r="E134" t="str">
        <v>L=4</v>
      </c>
      <c r="F134" t="str">
        <v>Ø20 L=25</v>
      </c>
      <c r="G134" t="str">
        <v/>
      </c>
      <c r="H134">
        <v>29</v>
      </c>
      <c r="I134" t="str">
        <v/>
      </c>
      <c r="J134" t="str">
        <v/>
      </c>
      <c r="K134" t="str">
        <v/>
      </c>
      <c r="L134" t="str">
        <v/>
      </c>
      <c r="M134" t="str">
        <v/>
      </c>
      <c r="N134" t="str">
        <v/>
      </c>
      <c r="O134" t="str">
        <v>1</v>
      </c>
      <c r="P134" t="str">
        <v>Ø20</v>
      </c>
      <c r="Q134">
        <v>25</v>
      </c>
      <c r="R134" t="str">
        <v/>
      </c>
      <c r="S134" t="str">
        <v/>
      </c>
      <c r="T134">
        <v>4</v>
      </c>
    </row>
    <row r="135" spans="1:20" x14ac:dyDescent="0.3">
      <c r="A135" t="str">
        <v>В.1</v>
      </c>
      <c r="B135" t="str">
        <v>ЩОВ-2</v>
      </c>
      <c r="C135" t="str">
        <v>Вытяжная установка Технический этаж Пом. №001Т</v>
      </c>
      <c r="D135" t="str">
        <v>ВВГнг(А)-LS (3х1,5)</v>
      </c>
      <c r="E135" t="str">
        <v>L=4</v>
      </c>
      <c r="F135" t="str">
        <v>Ø20 L=13</v>
      </c>
      <c r="G135" t="str">
        <v/>
      </c>
      <c r="H135">
        <v>17</v>
      </c>
      <c r="I135" t="str">
        <v/>
      </c>
      <c r="J135" t="str">
        <v/>
      </c>
      <c r="K135" t="str">
        <v/>
      </c>
      <c r="L135" t="str">
        <v/>
      </c>
      <c r="M135" t="str">
        <v/>
      </c>
      <c r="N135" t="str">
        <v/>
      </c>
      <c r="O135" t="str">
        <v>1</v>
      </c>
      <c r="P135" t="str">
        <v>Ø20</v>
      </c>
      <c r="Q135">
        <v>13</v>
      </c>
      <c r="R135" t="str">
        <v/>
      </c>
      <c r="S135" t="str">
        <v/>
      </c>
      <c r="T135">
        <v>4</v>
      </c>
    </row>
    <row r="136" spans="1:20" x14ac:dyDescent="0.3">
      <c r="A136" t="str">
        <v>В.22</v>
      </c>
      <c r="B136" t="str">
        <v>ЩОВ-2</v>
      </c>
      <c r="C136" t="str">
        <v>Вытяжная установка Технический этаж Пом. №001Т</v>
      </c>
      <c r="D136" t="str">
        <v>ВВГнг(А)-LS (3х1,5)</v>
      </c>
      <c r="E136" t="str">
        <v>L=4</v>
      </c>
      <c r="F136" t="str">
        <v>Ø20 L=16</v>
      </c>
      <c r="G136" t="str">
        <v/>
      </c>
      <c r="H136">
        <v>20</v>
      </c>
      <c r="I136" t="str">
        <v/>
      </c>
      <c r="J136" t="str">
        <v/>
      </c>
      <c r="K136" t="str">
        <v/>
      </c>
      <c r="L136" t="str">
        <v/>
      </c>
      <c r="M136" t="str">
        <v/>
      </c>
      <c r="N136" t="str">
        <v/>
      </c>
      <c r="O136" t="str">
        <v>1</v>
      </c>
      <c r="P136" t="str">
        <v>Ø20</v>
      </c>
      <c r="Q136">
        <v>16</v>
      </c>
      <c r="R136" t="str">
        <v/>
      </c>
      <c r="S136" t="str">
        <v/>
      </c>
      <c r="T136">
        <v>4</v>
      </c>
    </row>
    <row r="137" spans="1:20" x14ac:dyDescent="0.3">
      <c r="A137" t="str">
        <v>В.23</v>
      </c>
      <c r="B137" t="str">
        <v>ЩОВ-2</v>
      </c>
      <c r="C137" t="str">
        <v>Вытяжная установка Технический этаж Пом. №001Т</v>
      </c>
      <c r="D137" t="str">
        <v>ВВГнг(А)-LS (3х1,5)</v>
      </c>
      <c r="E137" t="str">
        <v>L=4</v>
      </c>
      <c r="F137" t="str">
        <v>Ø20 L=30</v>
      </c>
      <c r="G137" t="str">
        <v/>
      </c>
      <c r="H137">
        <v>34</v>
      </c>
      <c r="I137" t="str">
        <v/>
      </c>
      <c r="J137" t="str">
        <v/>
      </c>
      <c r="K137" t="str">
        <v/>
      </c>
      <c r="L137" t="str">
        <v/>
      </c>
      <c r="M137" t="str">
        <v/>
      </c>
      <c r="N137" t="str">
        <v/>
      </c>
      <c r="O137" t="str">
        <v>1</v>
      </c>
      <c r="P137" t="str">
        <v>Ø20</v>
      </c>
      <c r="Q137">
        <v>30</v>
      </c>
      <c r="R137" t="str">
        <v/>
      </c>
      <c r="S137" t="str">
        <v/>
      </c>
      <c r="T137">
        <v>4</v>
      </c>
    </row>
    <row r="138" spans="1:20" x14ac:dyDescent="0.3">
      <c r="A138" t="str">
        <v>В.8</v>
      </c>
      <c r="B138" t="str">
        <v>ЩОВ-2</v>
      </c>
      <c r="C138" t="str">
        <v>Вытяжная установка Технический этаж Пом. №001Т</v>
      </c>
      <c r="D138" t="str">
        <v>ВВГнг(А)-LS (3х1,5)</v>
      </c>
      <c r="E138" t="str">
        <v>L=4</v>
      </c>
      <c r="F138" t="str">
        <v>Ø20 L=13</v>
      </c>
      <c r="G138" t="str">
        <v/>
      </c>
      <c r="H138">
        <v>17</v>
      </c>
      <c r="I138" t="str">
        <v/>
      </c>
      <c r="J138" t="str">
        <v/>
      </c>
      <c r="K138" t="str">
        <v/>
      </c>
      <c r="L138" t="str">
        <v/>
      </c>
      <c r="M138" t="str">
        <v/>
      </c>
      <c r="N138" t="str">
        <v/>
      </c>
      <c r="O138" t="str">
        <v>1</v>
      </c>
      <c r="P138" t="str">
        <v>Ø20</v>
      </c>
      <c r="Q138">
        <v>13</v>
      </c>
      <c r="R138" t="str">
        <v/>
      </c>
      <c r="S138" t="str">
        <v/>
      </c>
      <c r="T138">
        <v>4</v>
      </c>
    </row>
    <row r="139" spans="1:20" x14ac:dyDescent="0.3">
      <c r="A139" t="str">
        <v>П.3</v>
      </c>
      <c r="B139" t="str">
        <v>ЩОВ-2</v>
      </c>
      <c r="C139" t="str">
        <v>Приточная установка Технический этаж Пом. №001Т</v>
      </c>
      <c r="D139" t="str">
        <v>ВВГнг(А)-LS (3х2,5)</v>
      </c>
      <c r="E139" t="str">
        <v>L=6</v>
      </c>
      <c r="F139" t="str">
        <v>Ø20 L=17</v>
      </c>
      <c r="G139" t="str">
        <v/>
      </c>
      <c r="H139">
        <v>23</v>
      </c>
      <c r="I139" t="str">
        <v/>
      </c>
      <c r="J139" t="str">
        <v/>
      </c>
      <c r="K139" t="str">
        <v/>
      </c>
      <c r="L139" t="str">
        <v/>
      </c>
      <c r="M139" t="str">
        <v/>
      </c>
      <c r="N139" t="str">
        <v/>
      </c>
      <c r="O139" t="str">
        <v>1</v>
      </c>
      <c r="P139" t="str">
        <v>Ø20</v>
      </c>
      <c r="Q139">
        <v>17</v>
      </c>
      <c r="R139" t="str">
        <v/>
      </c>
      <c r="S139" t="str">
        <v/>
      </c>
      <c r="T139">
        <v>6</v>
      </c>
    </row>
    <row r="140" spans="1:20" x14ac:dyDescent="0.3">
      <c r="A140" t="str">
        <v>П.5</v>
      </c>
      <c r="B140" t="str">
        <v>ЩОВ-2</v>
      </c>
      <c r="C140" t="str">
        <v>Приточная установка Технический этаж Пом. №001Т</v>
      </c>
      <c r="D140" t="str">
        <v>ВВГнг(А)-LS (3х2,5)</v>
      </c>
      <c r="E140" t="str">
        <v>L=4</v>
      </c>
      <c r="F140" t="str">
        <v>Ø20 L=31</v>
      </c>
      <c r="G140" t="str">
        <v/>
      </c>
      <c r="H140">
        <v>35</v>
      </c>
      <c r="I140" t="str">
        <v/>
      </c>
      <c r="J140" t="str">
        <v/>
      </c>
      <c r="K140" t="str">
        <v/>
      </c>
      <c r="L140" t="str">
        <v/>
      </c>
      <c r="M140" t="str">
        <v/>
      </c>
      <c r="N140" t="str">
        <v/>
      </c>
      <c r="O140" t="str">
        <v>1</v>
      </c>
      <c r="P140" t="str">
        <v>Ø20</v>
      </c>
      <c r="Q140">
        <v>31</v>
      </c>
      <c r="R140" t="str">
        <v/>
      </c>
      <c r="S140" t="str">
        <v/>
      </c>
      <c r="T140">
        <v>4</v>
      </c>
    </row>
    <row r="141" spans="1:20" x14ac:dyDescent="0.3">
      <c r="A141" t="str">
        <v>ПВ.5</v>
      </c>
      <c r="B141" t="str">
        <v>ЩОВ-2</v>
      </c>
      <c r="C141" t="str">
        <v>Приточно-вытяжная установка Технический этаж Пом. №001Т</v>
      </c>
      <c r="D141" t="str">
        <v>ВВГнг(А)-LS (3х4)</v>
      </c>
      <c r="E141" t="str">
        <v>L=4</v>
      </c>
      <c r="F141" t="str">
        <v>Ø20 L=30</v>
      </c>
      <c r="G141" t="str">
        <v/>
      </c>
      <c r="H141">
        <v>34</v>
      </c>
      <c r="I141" t="str">
        <v/>
      </c>
      <c r="J141" t="str">
        <v/>
      </c>
      <c r="K141" t="str">
        <v/>
      </c>
      <c r="L141" t="str">
        <v/>
      </c>
      <c r="M141" t="str">
        <v/>
      </c>
      <c r="N141" t="str">
        <v/>
      </c>
      <c r="O141" t="str">
        <v>1</v>
      </c>
      <c r="P141" t="str">
        <v>Ø20</v>
      </c>
      <c r="Q141">
        <v>30</v>
      </c>
      <c r="R141" t="str">
        <v/>
      </c>
      <c r="S141" t="str">
        <v/>
      </c>
      <c r="T141">
        <v>4</v>
      </c>
    </row>
    <row r="142" spans="1:20" x14ac:dyDescent="0.3">
      <c r="A142" t="str">
        <v>ПВ.7</v>
      </c>
      <c r="B142" t="str">
        <v>ЩОВ-2</v>
      </c>
      <c r="C142" t="str">
        <v>Приточно-вытяжная установка Технический этаж Пом. №001Т</v>
      </c>
      <c r="D142" t="str">
        <v>ВВГнг(А)-LS (3х2,5)</v>
      </c>
      <c r="E142" t="str">
        <v>L=6</v>
      </c>
      <c r="F142" t="str">
        <v>Ø20 L=24</v>
      </c>
      <c r="G142" t="str">
        <v/>
      </c>
      <c r="H142">
        <v>30</v>
      </c>
      <c r="I142" t="str">
        <v/>
      </c>
      <c r="J142" t="str">
        <v/>
      </c>
      <c r="K142" t="str">
        <v/>
      </c>
      <c r="L142" t="str">
        <v/>
      </c>
      <c r="M142" t="str">
        <v/>
      </c>
      <c r="N142" t="str">
        <v/>
      </c>
      <c r="O142" t="str">
        <v>1</v>
      </c>
      <c r="P142" t="str">
        <v>Ø20</v>
      </c>
      <c r="Q142">
        <v>24</v>
      </c>
      <c r="R142" t="str">
        <v/>
      </c>
      <c r="S142" t="str">
        <v/>
      </c>
      <c r="T142">
        <v>6</v>
      </c>
    </row>
    <row r="143" spans="1:20" x14ac:dyDescent="0.3">
      <c r="A143" t="str">
        <v>ПВ.8</v>
      </c>
      <c r="B143" t="str">
        <v>ЩОВ-2</v>
      </c>
      <c r="C143" t="str">
        <v>Приточно-вытяжная установка Технический этаж Пом. №001Т</v>
      </c>
      <c r="D143" t="str">
        <v>ВВГнг(А)-LS (3х2,5)</v>
      </c>
      <c r="E143" t="str">
        <v>L=5</v>
      </c>
      <c r="F143" t="str">
        <v>Ø20 L=10</v>
      </c>
      <c r="G143" t="str">
        <v/>
      </c>
      <c r="H143">
        <v>15</v>
      </c>
      <c r="I143" t="str">
        <v/>
      </c>
      <c r="J143" t="str">
        <v/>
      </c>
      <c r="K143" t="str">
        <v/>
      </c>
      <c r="L143" t="str">
        <v/>
      </c>
      <c r="M143" t="str">
        <v/>
      </c>
      <c r="N143" t="str">
        <v/>
      </c>
      <c r="O143" t="str">
        <v>1</v>
      </c>
      <c r="P143" t="str">
        <v>Ø20</v>
      </c>
      <c r="Q143">
        <v>10</v>
      </c>
      <c r="R143" t="str">
        <v/>
      </c>
      <c r="S143" t="str">
        <v/>
      </c>
      <c r="T143">
        <v>5</v>
      </c>
    </row>
    <row r="144" spans="1:20" x14ac:dyDescent="0.3">
      <c r="A144" t="str">
        <v>R.00.001Б.1</v>
      </c>
      <c r="B144" t="str">
        <v>ЩР-001</v>
      </c>
      <c r="C144" t="str">
        <v>Розеточная группа, пом. 001Б</v>
      </c>
      <c r="D144" t="str">
        <v>ВВГнг(А)-LS (3х2,5)</v>
      </c>
      <c r="E144" t="str">
        <v/>
      </c>
      <c r="F144" t="str">
        <v/>
      </c>
      <c r="G144" t="str">
        <v>Ø20 L=126</v>
      </c>
      <c r="H144">
        <v>126</v>
      </c>
      <c r="I144" t="str">
        <v/>
      </c>
      <c r="J144" t="str">
        <v/>
      </c>
      <c r="K144" t="str">
        <v/>
      </c>
      <c r="L144" t="str">
        <v/>
      </c>
      <c r="M144" t="str">
        <v/>
      </c>
      <c r="N144" t="str">
        <v/>
      </c>
      <c r="O144" t="str">
        <v/>
      </c>
      <c r="P144" t="str">
        <v/>
      </c>
      <c r="Q144" t="str">
        <v/>
      </c>
      <c r="R144" t="str">
        <v>Ø20</v>
      </c>
      <c r="S144">
        <v>126</v>
      </c>
      <c r="T144" t="str">
        <v/>
      </c>
    </row>
    <row r="145" spans="1:20" x14ac:dyDescent="0.3">
      <c r="A145" t="str">
        <v>R.00.003Т.1</v>
      </c>
      <c r="B145" t="str">
        <v>ЩР-001</v>
      </c>
      <c r="C145" t="str">
        <v>Розеточная группа, пом. 003Т</v>
      </c>
      <c r="D145" t="str">
        <v>ВВГнг(А)-LS (3х2,5)</v>
      </c>
      <c r="E145" t="str">
        <v>L=7</v>
      </c>
      <c r="F145" t="str">
        <v>Ø20 L=14</v>
      </c>
      <c r="G145" t="str">
        <v/>
      </c>
      <c r="H145">
        <v>39</v>
      </c>
      <c r="I145" t="str">
        <v/>
      </c>
      <c r="J145" t="str">
        <v/>
      </c>
      <c r="K145" t="str">
        <v/>
      </c>
      <c r="L145" t="str">
        <v/>
      </c>
      <c r="M145" t="str">
        <v/>
      </c>
      <c r="N145" t="str">
        <v/>
      </c>
      <c r="O145" t="str">
        <v/>
      </c>
      <c r="P145" t="str">
        <v>Ø20</v>
      </c>
      <c r="Q145">
        <v>14</v>
      </c>
      <c r="R145" t="str">
        <v/>
      </c>
      <c r="S145" t="str">
        <v/>
      </c>
      <c r="T145">
        <v>7</v>
      </c>
    </row>
    <row r="146" spans="1:20" x14ac:dyDescent="0.3">
      <c r="A146" t="str">
        <v>R.00.004Т.1</v>
      </c>
      <c r="B146" t="str">
        <v>ЩР-001</v>
      </c>
      <c r="C146" t="str">
        <v>Розеточная группа, пом. 004Т</v>
      </c>
      <c r="D146" t="str">
        <v>ВВГнг(А)-LS (3х2,5)</v>
      </c>
      <c r="E146" t="str">
        <v/>
      </c>
      <c r="F146" t="str">
        <v/>
      </c>
      <c r="G146" t="str">
        <v>Ø20 L=5</v>
      </c>
      <c r="H146">
        <v>8</v>
      </c>
      <c r="I146" t="str">
        <v/>
      </c>
      <c r="J146" t="str">
        <v/>
      </c>
      <c r="K146" t="str">
        <v/>
      </c>
      <c r="L146" t="str">
        <v/>
      </c>
      <c r="M146" t="str">
        <v/>
      </c>
      <c r="N146" t="str">
        <v/>
      </c>
      <c r="O146" t="str">
        <v/>
      </c>
      <c r="P146" t="str">
        <v/>
      </c>
      <c r="Q146" t="str">
        <v/>
      </c>
      <c r="R146" t="str">
        <v>Ø20</v>
      </c>
      <c r="S146">
        <v>5</v>
      </c>
      <c r="T146" t="str">
        <v/>
      </c>
    </row>
    <row r="147" spans="1:20" x14ac:dyDescent="0.3">
      <c r="A147" t="str">
        <v>R.00.001Тб.1</v>
      </c>
      <c r="B147" t="str">
        <v>ЩР-001</v>
      </c>
      <c r="C147" t="str">
        <v>Розеточная группа, пом. 001Тб</v>
      </c>
      <c r="D147" t="str">
        <v>ВВГнг(А)-LS (3х2,5)</v>
      </c>
      <c r="E147" t="str">
        <v/>
      </c>
      <c r="F147" t="str">
        <v/>
      </c>
      <c r="G147" t="str">
        <v>Ø20 L=27</v>
      </c>
      <c r="H147">
        <v>27</v>
      </c>
      <c r="I147" t="str">
        <v/>
      </c>
      <c r="J147" t="str">
        <v/>
      </c>
      <c r="K147" t="str">
        <v/>
      </c>
      <c r="L147" t="str">
        <v/>
      </c>
      <c r="M147" t="str">
        <v/>
      </c>
      <c r="N147" t="str">
        <v/>
      </c>
      <c r="O147" t="str">
        <v/>
      </c>
      <c r="P147" t="str">
        <v/>
      </c>
      <c r="Q147" t="str">
        <v/>
      </c>
      <c r="R147" t="str">
        <v>Ø20</v>
      </c>
      <c r="S147">
        <v>27</v>
      </c>
      <c r="T147" t="str">
        <v/>
      </c>
    </row>
    <row r="148" spans="1:20" x14ac:dyDescent="0.3">
      <c r="A148" t="str">
        <v>R.00.001Б.2</v>
      </c>
      <c r="B148" t="str">
        <v>ЩР-001</v>
      </c>
      <c r="C148" t="str">
        <v>Розеточная группа, пом. 001Б</v>
      </c>
      <c r="D148" t="str">
        <v>ВВГнг(А)-LS (3х2,5)</v>
      </c>
      <c r="E148" t="str">
        <v/>
      </c>
      <c r="F148" t="str">
        <v/>
      </c>
      <c r="G148" t="str">
        <v>Ø20 L=48</v>
      </c>
      <c r="H148">
        <v>63</v>
      </c>
      <c r="I148" t="str">
        <v/>
      </c>
      <c r="J148" t="str">
        <v/>
      </c>
      <c r="K148" t="str">
        <v/>
      </c>
      <c r="L148" t="str">
        <v/>
      </c>
      <c r="M148" t="str">
        <v/>
      </c>
      <c r="N148" t="str">
        <v/>
      </c>
      <c r="O148" t="str">
        <v/>
      </c>
      <c r="P148" t="str">
        <v/>
      </c>
      <c r="Q148" t="str">
        <v/>
      </c>
      <c r="R148" t="str">
        <v>Ø20</v>
      </c>
      <c r="S148">
        <v>48</v>
      </c>
      <c r="T148" t="str">
        <v/>
      </c>
    </row>
    <row r="149" spans="1:20" x14ac:dyDescent="0.3">
      <c r="A149" t="str">
        <v>R.00.005Т.1</v>
      </c>
      <c r="B149" t="str">
        <v>ЩР-001</v>
      </c>
      <c r="C149" t="str">
        <v>Розеточная группа, пом. 005Т</v>
      </c>
      <c r="D149" t="str">
        <v>ВВГнг(А)-LS (3х2,5)</v>
      </c>
      <c r="E149" t="str">
        <v>L=16</v>
      </c>
      <c r="F149" t="str">
        <v>Ø20 L=31</v>
      </c>
      <c r="G149" t="str">
        <v>Ø20 L=15</v>
      </c>
      <c r="H149">
        <v>62</v>
      </c>
      <c r="I149" t="str">
        <v/>
      </c>
      <c r="J149" t="str">
        <v/>
      </c>
      <c r="K149" t="str">
        <v/>
      </c>
      <c r="L149" t="str">
        <v/>
      </c>
      <c r="M149" t="str">
        <v/>
      </c>
      <c r="N149" t="str">
        <v/>
      </c>
      <c r="O149" t="str">
        <v/>
      </c>
      <c r="P149" t="str">
        <v>Ø20</v>
      </c>
      <c r="Q149">
        <v>31</v>
      </c>
      <c r="R149" t="str">
        <v>Ø20</v>
      </c>
      <c r="S149">
        <v>15</v>
      </c>
      <c r="T149">
        <v>16</v>
      </c>
    </row>
    <row r="150" spans="1:20" x14ac:dyDescent="0.3">
      <c r="A150" t="str">
        <v>R.00.002Т.1</v>
      </c>
      <c r="B150" t="str">
        <v>ЩР-001</v>
      </c>
      <c r="C150" t="str">
        <v>Розеточная группа, пом. 002Т</v>
      </c>
      <c r="D150" t="str">
        <v>ВВГнг(А)-LS (3х2,5)</v>
      </c>
      <c r="E150" t="str">
        <v>L=14</v>
      </c>
      <c r="F150" t="str">
        <v>Ø20 L=17</v>
      </c>
      <c r="G150" t="str">
        <v/>
      </c>
      <c r="H150">
        <v>31</v>
      </c>
      <c r="I150" t="str">
        <v/>
      </c>
      <c r="J150" t="str">
        <v/>
      </c>
      <c r="K150" t="str">
        <v/>
      </c>
      <c r="L150" t="str">
        <v/>
      </c>
      <c r="M150" t="str">
        <v/>
      </c>
      <c r="N150" t="str">
        <v/>
      </c>
      <c r="O150" t="str">
        <v/>
      </c>
      <c r="P150" t="str">
        <v>Ø20</v>
      </c>
      <c r="Q150">
        <v>17</v>
      </c>
      <c r="R150" t="str">
        <v/>
      </c>
      <c r="S150" t="str">
        <v/>
      </c>
      <c r="T150">
        <v>14</v>
      </c>
    </row>
    <row r="151" spans="1:20" x14ac:dyDescent="0.3">
      <c r="A151" t="str">
        <v>R.00.001А.1</v>
      </c>
      <c r="B151" t="str">
        <v>ЩР-001</v>
      </c>
      <c r="C151" t="str">
        <v>Розеточная группа, пом. 001А</v>
      </c>
      <c r="D151" t="str">
        <v>ВВГнг(А)-LS (3х2,5)</v>
      </c>
      <c r="E151" t="str">
        <v>L=46</v>
      </c>
      <c r="F151" t="str">
        <v>Ø20 L=49</v>
      </c>
      <c r="G151" t="str">
        <v/>
      </c>
      <c r="H151">
        <v>95</v>
      </c>
      <c r="I151" t="str">
        <v/>
      </c>
      <c r="J151" t="str">
        <v/>
      </c>
      <c r="K151" t="str">
        <v/>
      </c>
      <c r="L151" t="str">
        <v/>
      </c>
      <c r="M151" t="str">
        <v/>
      </c>
      <c r="N151" t="str">
        <v/>
      </c>
      <c r="O151" t="str">
        <v/>
      </c>
      <c r="P151" t="str">
        <v>Ø20</v>
      </c>
      <c r="Q151">
        <v>49</v>
      </c>
      <c r="R151" t="str">
        <v/>
      </c>
      <c r="S151" t="str">
        <v/>
      </c>
      <c r="T151">
        <v>46</v>
      </c>
    </row>
    <row r="152" spans="1:20" x14ac:dyDescent="0.3">
      <c r="A152" t="str">
        <v>R.00.005А.1</v>
      </c>
      <c r="B152" t="str">
        <v>ЩР-001</v>
      </c>
      <c r="C152" t="str">
        <v>Розеточная группа, пом. 005А</v>
      </c>
      <c r="D152" t="str">
        <v>ВВГнг(А)-LS (3х2,5)</v>
      </c>
      <c r="E152" t="str">
        <v>L=35</v>
      </c>
      <c r="F152" t="str">
        <v>Ø20 L=13</v>
      </c>
      <c r="G152" t="str">
        <v/>
      </c>
      <c r="H152">
        <v>48</v>
      </c>
      <c r="I152" t="str">
        <v/>
      </c>
      <c r="J152" t="str">
        <v/>
      </c>
      <c r="K152" t="str">
        <v/>
      </c>
      <c r="L152" t="str">
        <v/>
      </c>
      <c r="M152" t="str">
        <v/>
      </c>
      <c r="N152" t="str">
        <v/>
      </c>
      <c r="O152" t="str">
        <v/>
      </c>
      <c r="P152" t="str">
        <v>Ø20</v>
      </c>
      <c r="Q152">
        <v>13</v>
      </c>
      <c r="R152" t="str">
        <v/>
      </c>
      <c r="S152" t="str">
        <v/>
      </c>
      <c r="T152">
        <v>35</v>
      </c>
    </row>
    <row r="153" spans="1:20" x14ac:dyDescent="0.3">
      <c r="A153" t="str">
        <v>R.00.004А.1</v>
      </c>
      <c r="B153" t="str">
        <v>ЩР-001</v>
      </c>
      <c r="C153" t="str">
        <v>Розеточная группа, пом. 004А</v>
      </c>
      <c r="D153" t="str">
        <v>ВВГнг(А)-LS (3х2,5)</v>
      </c>
      <c r="E153" t="str">
        <v>L=35</v>
      </c>
      <c r="F153" t="str">
        <v>Ø20 L=48</v>
      </c>
      <c r="G153" t="str">
        <v/>
      </c>
      <c r="H153">
        <v>83</v>
      </c>
      <c r="I153" t="str">
        <v/>
      </c>
      <c r="J153" t="str">
        <v/>
      </c>
      <c r="K153" t="str">
        <v/>
      </c>
      <c r="L153" t="str">
        <v/>
      </c>
      <c r="M153" t="str">
        <v/>
      </c>
      <c r="N153" t="str">
        <v/>
      </c>
      <c r="O153" t="str">
        <v/>
      </c>
      <c r="P153" t="str">
        <v>Ø20</v>
      </c>
      <c r="Q153">
        <v>48</v>
      </c>
      <c r="R153" t="str">
        <v/>
      </c>
      <c r="S153" t="str">
        <v/>
      </c>
      <c r="T153">
        <v>35</v>
      </c>
    </row>
    <row r="154" spans="1:20" x14ac:dyDescent="0.3">
      <c r="A154" t="str">
        <v>R.00.001А.2</v>
      </c>
      <c r="B154" t="str">
        <v>ЩР-001</v>
      </c>
      <c r="C154" t="str">
        <v>Розеточная группа, пом. 001А</v>
      </c>
      <c r="D154" t="str">
        <v>ВВГнг(А)-LS (3х2,5)</v>
      </c>
      <c r="E154" t="str">
        <v>L=29</v>
      </c>
      <c r="F154" t="str">
        <v>Ø20 L=9</v>
      </c>
      <c r="G154" t="str">
        <v/>
      </c>
      <c r="H154">
        <v>38</v>
      </c>
      <c r="I154" t="str">
        <v/>
      </c>
      <c r="J154" t="str">
        <v/>
      </c>
      <c r="K154" t="str">
        <v/>
      </c>
      <c r="L154" t="str">
        <v/>
      </c>
      <c r="M154" t="str">
        <v/>
      </c>
      <c r="N154" t="str">
        <v/>
      </c>
      <c r="O154" t="str">
        <v/>
      </c>
      <c r="P154" t="str">
        <v>Ø20</v>
      </c>
      <c r="Q154">
        <v>9</v>
      </c>
      <c r="R154" t="str">
        <v/>
      </c>
      <c r="S154" t="str">
        <v/>
      </c>
      <c r="T154">
        <v>29</v>
      </c>
    </row>
    <row r="155" spans="1:20" x14ac:dyDescent="0.3">
      <c r="A155" t="str">
        <v>R.00.002.1А.1</v>
      </c>
      <c r="B155" t="str">
        <v>ЩР-001</v>
      </c>
      <c r="C155" t="str">
        <v>Розеточная группа, пом. 002</v>
      </c>
      <c r="D155" t="str">
        <v>ВВГнг(А)-LS (3х2,5)</v>
      </c>
      <c r="E155" t="str">
        <v>L=29</v>
      </c>
      <c r="F155" t="str">
        <v>Ø20 L=24</v>
      </c>
      <c r="G155" t="str">
        <v/>
      </c>
      <c r="H155">
        <v>53</v>
      </c>
      <c r="I155" t="str">
        <v/>
      </c>
      <c r="J155" t="str">
        <v/>
      </c>
      <c r="K155" t="str">
        <v/>
      </c>
      <c r="L155" t="str">
        <v/>
      </c>
      <c r="M155" t="str">
        <v/>
      </c>
      <c r="N155" t="str">
        <v/>
      </c>
      <c r="O155" t="str">
        <v/>
      </c>
      <c r="P155" t="str">
        <v>Ø20</v>
      </c>
      <c r="Q155">
        <v>24</v>
      </c>
      <c r="R155" t="str">
        <v/>
      </c>
      <c r="S155" t="str">
        <v/>
      </c>
      <c r="T155">
        <v>29</v>
      </c>
    </row>
    <row r="156" spans="1:20" x14ac:dyDescent="0.3">
      <c r="A156" t="str">
        <v>R.00.006T.1</v>
      </c>
      <c r="B156" t="str">
        <v>ЩР-001</v>
      </c>
      <c r="C156" t="str">
        <v>Розеточная группа, пом. 006T</v>
      </c>
      <c r="D156" t="str">
        <v>ВВГнг(А)-LS (3х2,5)</v>
      </c>
      <c r="E156" t="str">
        <v>L=33</v>
      </c>
      <c r="F156" t="str">
        <v>Ø20 L=36</v>
      </c>
      <c r="G156" t="str">
        <v>Ø20 L=18</v>
      </c>
      <c r="H156">
        <v>69</v>
      </c>
      <c r="I156" t="str">
        <v/>
      </c>
      <c r="J156" t="str">
        <v/>
      </c>
      <c r="K156" t="str">
        <v/>
      </c>
      <c r="L156" t="str">
        <v/>
      </c>
      <c r="M156" t="str">
        <v/>
      </c>
      <c r="N156" t="str">
        <v/>
      </c>
      <c r="O156" t="str">
        <v/>
      </c>
      <c r="P156" t="str">
        <v>Ø20</v>
      </c>
      <c r="Q156">
        <v>36</v>
      </c>
      <c r="R156" t="str">
        <v>Ø20</v>
      </c>
      <c r="S156">
        <v>18</v>
      </c>
      <c r="T156">
        <v>33</v>
      </c>
    </row>
    <row r="157" spans="1:20" x14ac:dyDescent="0.3">
      <c r="A157" t="str">
        <v>R.00.007Т.1</v>
      </c>
      <c r="B157" t="str">
        <v>ЩР-001</v>
      </c>
      <c r="C157" t="str">
        <v>Розеточная группа, пом. 007Т</v>
      </c>
      <c r="D157" t="str">
        <v>ВВГнг(А)-LS (3х2,5)</v>
      </c>
      <c r="E157" t="str">
        <v>L=15</v>
      </c>
      <c r="F157" t="str">
        <v>Ø20 L=11</v>
      </c>
      <c r="G157" t="str">
        <v/>
      </c>
      <c r="H157">
        <v>26</v>
      </c>
      <c r="I157" t="str">
        <v/>
      </c>
      <c r="J157" t="str">
        <v/>
      </c>
      <c r="K157" t="str">
        <v/>
      </c>
      <c r="L157" t="str">
        <v/>
      </c>
      <c r="M157" t="str">
        <v/>
      </c>
      <c r="N157" t="str">
        <v/>
      </c>
      <c r="O157" t="str">
        <v/>
      </c>
      <c r="P157" t="str">
        <v>Ø20</v>
      </c>
      <c r="Q157">
        <v>11</v>
      </c>
      <c r="R157" t="str">
        <v/>
      </c>
      <c r="S157" t="str">
        <v/>
      </c>
      <c r="T157">
        <v>15</v>
      </c>
    </row>
    <row r="158" spans="1:20" x14ac:dyDescent="0.3">
      <c r="A158" t="str">
        <v>R.00.008T.1</v>
      </c>
      <c r="B158" t="str">
        <v>ЩР-001</v>
      </c>
      <c r="C158" t="str">
        <v>Розеточная группа, пом. 008T</v>
      </c>
      <c r="D158" t="str">
        <v>ВВГнг(А)-LS (3х2,5)</v>
      </c>
      <c r="E158" t="str">
        <v/>
      </c>
      <c r="F158" t="str">
        <v/>
      </c>
      <c r="G158" t="str">
        <v>Ø20 L=35</v>
      </c>
      <c r="H158">
        <v>35</v>
      </c>
      <c r="I158" t="str">
        <v/>
      </c>
      <c r="J158" t="str">
        <v/>
      </c>
      <c r="K158" t="str">
        <v/>
      </c>
      <c r="L158" t="str">
        <v/>
      </c>
      <c r="M158" t="str">
        <v/>
      </c>
      <c r="N158" t="str">
        <v/>
      </c>
      <c r="O158" t="str">
        <v/>
      </c>
      <c r="P158" t="str">
        <v/>
      </c>
      <c r="Q158" t="str">
        <v/>
      </c>
      <c r="R158" t="str">
        <v>Ø20</v>
      </c>
      <c r="S158">
        <v>35</v>
      </c>
      <c r="T158" t="str">
        <v/>
      </c>
    </row>
    <row r="159" spans="1:20" x14ac:dyDescent="0.3">
      <c r="A159" t="str">
        <v>R.00.002Tб.1</v>
      </c>
      <c r="B159" t="str">
        <v>ЩР-001</v>
      </c>
      <c r="C159" t="str">
        <v>Розеточная группа, пом. 002Tб</v>
      </c>
      <c r="D159" t="str">
        <v>ВВГнг(А)-LS (3х2,5)</v>
      </c>
      <c r="E159" t="str">
        <v/>
      </c>
      <c r="F159" t="str">
        <v/>
      </c>
      <c r="G159" t="str">
        <v>Ø20 L=28</v>
      </c>
      <c r="H159">
        <v>31</v>
      </c>
      <c r="I159" t="str">
        <v/>
      </c>
      <c r="J159" t="str">
        <v/>
      </c>
      <c r="K159" t="str">
        <v/>
      </c>
      <c r="L159" t="str">
        <v/>
      </c>
      <c r="M159" t="str">
        <v/>
      </c>
      <c r="N159" t="str">
        <v/>
      </c>
      <c r="O159" t="str">
        <v/>
      </c>
      <c r="P159" t="str">
        <v/>
      </c>
      <c r="Q159" t="str">
        <v/>
      </c>
      <c r="R159" t="str">
        <v>Ø20</v>
      </c>
      <c r="S159">
        <v>28</v>
      </c>
      <c r="T159" t="str">
        <v/>
      </c>
    </row>
    <row r="160" spans="1:20" x14ac:dyDescent="0.3">
      <c r="A160" t="str">
        <v>R.00.007Б.1</v>
      </c>
      <c r="B160" t="str">
        <v>ЩР-001</v>
      </c>
      <c r="C160" t="str">
        <v>Розеточная группа, пом. 007Б</v>
      </c>
      <c r="D160" t="str">
        <v>ВВГнг(А)-LS (3х2,5)</v>
      </c>
      <c r="E160" t="str">
        <v>L=32</v>
      </c>
      <c r="F160" t="str">
        <v>Ø20 L=21</v>
      </c>
      <c r="G160" t="str">
        <v>Ø20 L=30</v>
      </c>
      <c r="H160">
        <v>83</v>
      </c>
      <c r="I160" t="str">
        <v/>
      </c>
      <c r="J160" t="str">
        <v/>
      </c>
      <c r="K160" t="str">
        <v/>
      </c>
      <c r="L160" t="str">
        <v/>
      </c>
      <c r="M160" t="str">
        <v/>
      </c>
      <c r="N160" t="str">
        <v/>
      </c>
      <c r="O160" t="str">
        <v/>
      </c>
      <c r="P160" t="str">
        <v>Ø20</v>
      </c>
      <c r="Q160">
        <v>21</v>
      </c>
      <c r="R160" t="str">
        <v>Ø20</v>
      </c>
      <c r="S160">
        <v>30</v>
      </c>
      <c r="T160">
        <v>32</v>
      </c>
    </row>
    <row r="161" spans="1:20" x14ac:dyDescent="0.3">
      <c r="A161" t="str">
        <v>R.00.004Б.1</v>
      </c>
      <c r="B161" t="str">
        <v>ЩР-001</v>
      </c>
      <c r="C161" t="str">
        <v>Розеточная группа, пом. 004Б</v>
      </c>
      <c r="D161" t="str">
        <v>ВВГнг(А)-LS (3х2,5)</v>
      </c>
      <c r="E161" t="str">
        <v>L=32</v>
      </c>
      <c r="F161" t="str">
        <v/>
      </c>
      <c r="G161" t="str">
        <v>Ø20 L=21</v>
      </c>
      <c r="H161">
        <v>76</v>
      </c>
      <c r="I161" t="str">
        <v/>
      </c>
      <c r="J161" t="str">
        <v/>
      </c>
      <c r="K161" t="str">
        <v/>
      </c>
      <c r="L161" t="str">
        <v/>
      </c>
      <c r="M161" t="str">
        <v/>
      </c>
      <c r="N161" t="str">
        <v/>
      </c>
      <c r="O161" t="str">
        <v/>
      </c>
      <c r="P161" t="str">
        <v/>
      </c>
      <c r="Q161" t="str">
        <v/>
      </c>
      <c r="R161" t="str">
        <v>Ø20</v>
      </c>
      <c r="S161">
        <v>21</v>
      </c>
      <c r="T161">
        <v>32</v>
      </c>
    </row>
    <row r="162" spans="1:20" x14ac:dyDescent="0.3">
      <c r="A162" t="str">
        <v>R.00.005Б.1</v>
      </c>
      <c r="B162" t="str">
        <v>ЩР-001</v>
      </c>
      <c r="C162" t="str">
        <v>Розеточная группа, пом. 005Б</v>
      </c>
      <c r="D162" t="str">
        <v>ВВГнг(А)-LS (3х2,5)</v>
      </c>
      <c r="E162" t="str">
        <v>L=26</v>
      </c>
      <c r="F162" t="str">
        <v/>
      </c>
      <c r="G162" t="str">
        <v>Ø20 L=14</v>
      </c>
      <c r="H162">
        <v>71</v>
      </c>
      <c r="I162" t="str">
        <v/>
      </c>
      <c r="J162" t="str">
        <v/>
      </c>
      <c r="K162" t="str">
        <v/>
      </c>
      <c r="L162" t="str">
        <v/>
      </c>
      <c r="M162" t="str">
        <v/>
      </c>
      <c r="N162" t="str">
        <v/>
      </c>
      <c r="O162" t="str">
        <v/>
      </c>
      <c r="P162" t="str">
        <v/>
      </c>
      <c r="Q162" t="str">
        <v/>
      </c>
      <c r="R162" t="str">
        <v>Ø20</v>
      </c>
      <c r="S162">
        <v>14</v>
      </c>
      <c r="T162">
        <v>26</v>
      </c>
    </row>
    <row r="163" spans="1:20" x14ac:dyDescent="0.3">
      <c r="A163" t="str">
        <v>R.00.009Б.1</v>
      </c>
      <c r="B163" t="str">
        <v>ЩР-001</v>
      </c>
      <c r="C163" t="str">
        <v>Розеточная группа, пом. 009Б</v>
      </c>
      <c r="D163" t="str">
        <v>ВВГнг(А)-LS (3х2,5)</v>
      </c>
      <c r="E163" t="str">
        <v>L=11</v>
      </c>
      <c r="F163" t="str">
        <v>Ø20 L=14</v>
      </c>
      <c r="G163" t="str">
        <v>Ø20 L=4</v>
      </c>
      <c r="H163">
        <v>29</v>
      </c>
      <c r="I163" t="str">
        <v/>
      </c>
      <c r="J163" t="str">
        <v/>
      </c>
      <c r="K163" t="str">
        <v/>
      </c>
      <c r="L163" t="str">
        <v/>
      </c>
      <c r="M163" t="str">
        <v/>
      </c>
      <c r="N163" t="str">
        <v/>
      </c>
      <c r="O163" t="str">
        <v/>
      </c>
      <c r="P163" t="str">
        <v>Ø20</v>
      </c>
      <c r="Q163">
        <v>14</v>
      </c>
      <c r="R163" t="str">
        <v>Ø20</v>
      </c>
      <c r="S163">
        <v>4</v>
      </c>
      <c r="T163">
        <v>11</v>
      </c>
    </row>
    <row r="164" spans="1:20" x14ac:dyDescent="0.3">
      <c r="A164" t="str">
        <v>R.00.006Б.1</v>
      </c>
      <c r="B164" t="str">
        <v>ЩР-001</v>
      </c>
      <c r="C164" t="str">
        <v>Розеточная группа, пом. 006Б</v>
      </c>
      <c r="D164" t="str">
        <v>ВВГнг(А)-LS (3х2,5)</v>
      </c>
      <c r="E164" t="str">
        <v>L=11</v>
      </c>
      <c r="F164" t="str">
        <v>Ø20 L=14</v>
      </c>
      <c r="G164" t="str">
        <v>Ø20 L=5</v>
      </c>
      <c r="H164">
        <v>30</v>
      </c>
      <c r="I164" t="str">
        <v/>
      </c>
      <c r="J164" t="str">
        <v/>
      </c>
      <c r="K164" t="str">
        <v/>
      </c>
      <c r="L164" t="str">
        <v/>
      </c>
      <c r="M164" t="str">
        <v/>
      </c>
      <c r="N164" t="str">
        <v/>
      </c>
      <c r="O164" t="str">
        <v/>
      </c>
      <c r="P164" t="str">
        <v>Ø20</v>
      </c>
      <c r="Q164">
        <v>14</v>
      </c>
      <c r="R164" t="str">
        <v>Ø20</v>
      </c>
      <c r="S164">
        <v>5</v>
      </c>
      <c r="T164">
        <v>11</v>
      </c>
    </row>
    <row r="165" spans="1:20" x14ac:dyDescent="0.3">
      <c r="A165" t="str">
        <v>R.00.007А.1</v>
      </c>
      <c r="B165" t="str">
        <v>ЩР-001</v>
      </c>
      <c r="C165" t="str">
        <v>Розеточная группа, пом. 007А</v>
      </c>
      <c r="D165" t="str">
        <v>ВВГнг(А)-LS (3х2,5)</v>
      </c>
      <c r="E165" t="str">
        <v>L=41</v>
      </c>
      <c r="F165" t="str">
        <v>Ø20 L=23</v>
      </c>
      <c r="G165" t="str">
        <v>Ø20 L=16</v>
      </c>
      <c r="H165">
        <v>80</v>
      </c>
      <c r="I165" t="str">
        <v/>
      </c>
      <c r="J165" t="str">
        <v/>
      </c>
      <c r="K165" t="str">
        <v/>
      </c>
      <c r="L165" t="str">
        <v/>
      </c>
      <c r="M165" t="str">
        <v/>
      </c>
      <c r="N165" t="str">
        <v/>
      </c>
      <c r="O165" t="str">
        <v/>
      </c>
      <c r="P165" t="str">
        <v>Ø20</v>
      </c>
      <c r="Q165">
        <v>23</v>
      </c>
      <c r="R165" t="str">
        <v>Ø20</v>
      </c>
      <c r="S165">
        <v>16</v>
      </c>
      <c r="T165">
        <v>41</v>
      </c>
    </row>
    <row r="166" spans="1:20" x14ac:dyDescent="0.3">
      <c r="A166" t="str">
        <v>R.00.008А.1</v>
      </c>
      <c r="B166" t="str">
        <v>ЩР-001</v>
      </c>
      <c r="C166" t="str">
        <v>Розеточная группа, пом. 008А</v>
      </c>
      <c r="D166" t="str">
        <v>ВВГнг(А)-LS (3х2,5)</v>
      </c>
      <c r="E166" t="str">
        <v>L=41</v>
      </c>
      <c r="F166" t="str">
        <v>Ø20 L=6</v>
      </c>
      <c r="G166" t="str">
        <v/>
      </c>
      <c r="H166">
        <v>47</v>
      </c>
      <c r="I166" t="str">
        <v/>
      </c>
      <c r="J166" t="str">
        <v/>
      </c>
      <c r="K166" t="str">
        <v/>
      </c>
      <c r="L166" t="str">
        <v/>
      </c>
      <c r="M166" t="str">
        <v/>
      </c>
      <c r="N166" t="str">
        <v/>
      </c>
      <c r="O166" t="str">
        <v/>
      </c>
      <c r="P166" t="str">
        <v>Ø20</v>
      </c>
      <c r="Q166">
        <v>6</v>
      </c>
      <c r="R166" t="str">
        <v/>
      </c>
      <c r="S166" t="str">
        <v/>
      </c>
      <c r="T166">
        <v>41</v>
      </c>
    </row>
    <row r="167" spans="1:20" x14ac:dyDescent="0.3">
      <c r="A167" t="str">
        <v>R.00.002Б.1</v>
      </c>
      <c r="B167" t="str">
        <v>ЩР-001</v>
      </c>
      <c r="C167" t="str">
        <v>Розеточная группа, пом. 002Б</v>
      </c>
      <c r="D167" t="str">
        <v>ВВГнг(А)-LS (3х2,5)</v>
      </c>
      <c r="E167" t="str">
        <v>L=24</v>
      </c>
      <c r="F167" t="str">
        <v>Ø20 L=7</v>
      </c>
      <c r="G167" t="str">
        <v/>
      </c>
      <c r="H167">
        <v>31</v>
      </c>
      <c r="I167" t="str">
        <v/>
      </c>
      <c r="J167" t="str">
        <v/>
      </c>
      <c r="K167" t="str">
        <v/>
      </c>
      <c r="L167" t="str">
        <v/>
      </c>
      <c r="M167" t="str">
        <v/>
      </c>
      <c r="N167" t="str">
        <v/>
      </c>
      <c r="O167" t="str">
        <v/>
      </c>
      <c r="P167" t="str">
        <v>Ø20</v>
      </c>
      <c r="Q167">
        <v>7</v>
      </c>
      <c r="R167" t="str">
        <v/>
      </c>
      <c r="S167" t="str">
        <v/>
      </c>
      <c r="T167">
        <v>24</v>
      </c>
    </row>
    <row r="168" spans="1:20" x14ac:dyDescent="0.3">
      <c r="A168" t="str">
        <v>ШТК-0</v>
      </c>
      <c r="B168" t="str">
        <v>ЩР-001</v>
      </c>
      <c r="C168" t="str">
        <v>Шкаф телекоммуникационный ШТК-0 Подвальный этаж Пом. №007Т</v>
      </c>
      <c r="D168" t="str">
        <v>ВВГнг(А)-LS (3х2,5)</v>
      </c>
      <c r="E168" t="str">
        <v>L=17</v>
      </c>
      <c r="F168" t="str">
        <v>Ø20 L=11</v>
      </c>
      <c r="G168" t="str">
        <v/>
      </c>
      <c r="H168">
        <v>36</v>
      </c>
      <c r="I168" t="str">
        <v/>
      </c>
      <c r="J168" t="str">
        <v/>
      </c>
      <c r="K168" t="str">
        <v/>
      </c>
      <c r="L168" t="str">
        <v/>
      </c>
      <c r="M168" t="str">
        <v/>
      </c>
      <c r="N168" t="str">
        <v/>
      </c>
      <c r="O168" t="str">
        <v/>
      </c>
      <c r="P168" t="str">
        <v>Ø20</v>
      </c>
      <c r="Q168">
        <v>11</v>
      </c>
      <c r="R168" t="str">
        <v/>
      </c>
      <c r="S168" t="str">
        <v/>
      </c>
      <c r="T168">
        <v>17</v>
      </c>
    </row>
    <row r="169" spans="1:20" x14ac:dyDescent="0.3">
      <c r="A169" t="str">
        <v>ШТК-ЛВС.00</v>
      </c>
      <c r="B169" t="str">
        <v>ЩР-001</v>
      </c>
      <c r="C169" t="str">
        <v>Шкаф телекоммуникационный ШТК-ЛВС.00  Подвальный этаж Пом. №007Т</v>
      </c>
      <c r="D169" t="str">
        <v>ВВГнг(А)-LS (3х2,5)</v>
      </c>
      <c r="E169" t="str">
        <v>L=17</v>
      </c>
      <c r="F169" t="str">
        <v>Ø20 L=13</v>
      </c>
      <c r="G169" t="str">
        <v/>
      </c>
      <c r="H169">
        <v>38</v>
      </c>
      <c r="I169" t="str">
        <v/>
      </c>
      <c r="J169" t="str">
        <v/>
      </c>
      <c r="K169" t="str">
        <v/>
      </c>
      <c r="L169" t="str">
        <v/>
      </c>
      <c r="M169" t="str">
        <v/>
      </c>
      <c r="N169" t="str">
        <v/>
      </c>
      <c r="O169" t="str">
        <v/>
      </c>
      <c r="P169" t="str">
        <v>Ø20</v>
      </c>
      <c r="Q169">
        <v>13</v>
      </c>
      <c r="R169" t="str">
        <v/>
      </c>
      <c r="S169" t="str">
        <v/>
      </c>
      <c r="T169">
        <v>17</v>
      </c>
    </row>
    <row r="170" spans="1:20" x14ac:dyDescent="0.3">
      <c r="A170" t="str">
        <v>ШТК-СОТ.00</v>
      </c>
      <c r="B170" t="str">
        <v>ЩР-001</v>
      </c>
      <c r="C170" t="str">
        <v>Шкаф телекоммуникационный ШТК-СОТ.00  Подвальный этаж Пом. №007Т</v>
      </c>
      <c r="D170" t="str">
        <v>ВВГнг(А)-LS (3х2,5)</v>
      </c>
      <c r="E170" t="str">
        <v>L=17</v>
      </c>
      <c r="F170" t="str">
        <v>Ø20 L=14</v>
      </c>
      <c r="G170" t="str">
        <v/>
      </c>
      <c r="H170">
        <v>39</v>
      </c>
      <c r="I170" t="str">
        <v/>
      </c>
      <c r="J170" t="str">
        <v/>
      </c>
      <c r="K170" t="str">
        <v/>
      </c>
      <c r="L170" t="str">
        <v/>
      </c>
      <c r="M170" t="str">
        <v/>
      </c>
      <c r="N170" t="str">
        <v/>
      </c>
      <c r="O170" t="str">
        <v/>
      </c>
      <c r="P170" t="str">
        <v>Ø20</v>
      </c>
      <c r="Q170">
        <v>14</v>
      </c>
      <c r="R170" t="str">
        <v/>
      </c>
      <c r="S170" t="str">
        <v/>
      </c>
      <c r="T170">
        <v>17</v>
      </c>
    </row>
    <row r="171" spans="1:20" x14ac:dyDescent="0.3">
      <c r="A171" t="str">
        <v>ЩКД-6</v>
      </c>
      <c r="B171" t="str">
        <v>ЩР-001</v>
      </c>
      <c r="C171" t="str">
        <v>Щит контроля доступа ШДК-06. Пом. Венткиосок</v>
      </c>
      <c r="D171" t="str">
        <v>ВВГнг(А)-LS (3х2,5)</v>
      </c>
      <c r="E171" t="str">
        <v>L=32</v>
      </c>
      <c r="F171" t="str">
        <v>Ø20 L=56</v>
      </c>
      <c r="G171" t="str">
        <v/>
      </c>
      <c r="H171">
        <v>98</v>
      </c>
      <c r="I171" t="str">
        <v/>
      </c>
      <c r="J171" t="str">
        <v/>
      </c>
      <c r="K171" t="str">
        <v/>
      </c>
      <c r="L171" t="str">
        <v/>
      </c>
      <c r="M171" t="str">
        <v/>
      </c>
      <c r="N171" t="str">
        <v/>
      </c>
      <c r="O171" t="str">
        <v/>
      </c>
      <c r="P171" t="str">
        <v>Ø20</v>
      </c>
      <c r="Q171">
        <v>56</v>
      </c>
      <c r="R171" t="str">
        <v/>
      </c>
      <c r="S171" t="str">
        <v/>
      </c>
      <c r="T171">
        <v>32</v>
      </c>
    </row>
    <row r="172" spans="1:20" x14ac:dyDescent="0.3">
      <c r="A172" t="str">
        <v>ЩКД-001</v>
      </c>
      <c r="B172" t="str">
        <v>ЩР-001</v>
      </c>
      <c r="C172" t="str">
        <v>Щит контроля доступа ШДК-001 Подвальный этаж Пом. №004Т</v>
      </c>
      <c r="D172" t="str">
        <v>ВВГнг(А)-LS (3х2,5)</v>
      </c>
      <c r="E172" t="str">
        <v/>
      </c>
      <c r="F172" t="str">
        <v>Ø20 L=12</v>
      </c>
      <c r="G172" t="str">
        <v/>
      </c>
      <c r="H172">
        <v>12</v>
      </c>
      <c r="I172" t="str">
        <v/>
      </c>
      <c r="J172" t="str">
        <v/>
      </c>
      <c r="K172" t="str">
        <v/>
      </c>
      <c r="L172" t="str">
        <v/>
      </c>
      <c r="M172" t="str">
        <v/>
      </c>
      <c r="N172" t="str">
        <v/>
      </c>
      <c r="O172" t="str">
        <v/>
      </c>
      <c r="P172" t="str">
        <v>Ø20</v>
      </c>
      <c r="Q172">
        <v>12</v>
      </c>
      <c r="R172" t="str">
        <v/>
      </c>
      <c r="S172" t="str">
        <v/>
      </c>
      <c r="T172" t="str">
        <v/>
      </c>
    </row>
    <row r="173" spans="1:20" x14ac:dyDescent="0.3">
      <c r="A173" t="str">
        <v>R.0.002A.1</v>
      </c>
      <c r="B173" t="str">
        <v>ЩР-01</v>
      </c>
      <c r="C173" t="str">
        <v>Розеточная группа, пом. 002A</v>
      </c>
      <c r="D173" t="str">
        <v>ВВГнг(А)-LS (3х2,5)</v>
      </c>
      <c r="E173" t="str">
        <v>L=8</v>
      </c>
      <c r="F173" t="str">
        <v>Ø20 L=30</v>
      </c>
      <c r="G173" t="str">
        <v/>
      </c>
      <c r="H173">
        <v>38</v>
      </c>
      <c r="I173" t="str">
        <v/>
      </c>
      <c r="J173" t="str">
        <v/>
      </c>
      <c r="K173" t="str">
        <v/>
      </c>
      <c r="L173" t="str">
        <v/>
      </c>
      <c r="M173" t="str">
        <v/>
      </c>
      <c r="N173" t="str">
        <v/>
      </c>
      <c r="O173" t="str">
        <v/>
      </c>
      <c r="P173" t="str">
        <v>Ø20</v>
      </c>
      <c r="Q173">
        <v>30</v>
      </c>
      <c r="R173" t="str">
        <v/>
      </c>
      <c r="S173" t="str">
        <v/>
      </c>
      <c r="T173">
        <v>8</v>
      </c>
    </row>
    <row r="174" spans="1:20" x14ac:dyDescent="0.3">
      <c r="A174" t="str">
        <v>R.0.002A.2</v>
      </c>
      <c r="B174" t="str">
        <v>ЩР-01</v>
      </c>
      <c r="C174" t="str">
        <v>Розеточная группа, пом. 002A</v>
      </c>
      <c r="D174" t="str">
        <v>ВВГнг(А)-LS (3х2,5)</v>
      </c>
      <c r="E174" t="str">
        <v>L=19</v>
      </c>
      <c r="F174" t="str">
        <v>Ø20 L=60</v>
      </c>
      <c r="G174" t="str">
        <v/>
      </c>
      <c r="H174">
        <v>79</v>
      </c>
      <c r="I174" t="str">
        <v/>
      </c>
      <c r="J174" t="str">
        <v/>
      </c>
      <c r="K174" t="str">
        <v/>
      </c>
      <c r="L174" t="str">
        <v/>
      </c>
      <c r="M174" t="str">
        <v/>
      </c>
      <c r="N174" t="str">
        <v/>
      </c>
      <c r="O174" t="str">
        <v/>
      </c>
      <c r="P174" t="str">
        <v>Ø20</v>
      </c>
      <c r="Q174">
        <v>60</v>
      </c>
      <c r="R174" t="str">
        <v/>
      </c>
      <c r="S174" t="str">
        <v/>
      </c>
      <c r="T174">
        <v>19</v>
      </c>
    </row>
    <row r="175" spans="1:20" x14ac:dyDescent="0.3">
      <c r="A175" t="str">
        <v>R.0.002A.3</v>
      </c>
      <c r="B175" t="str">
        <v>ЩР-01</v>
      </c>
      <c r="C175" t="str">
        <v>Розеточная группа, пом. 002A</v>
      </c>
      <c r="D175" t="str">
        <v>ВВГнг(А)-LS (3х2,5)</v>
      </c>
      <c r="E175" t="str">
        <v>L=17</v>
      </c>
      <c r="F175" t="str">
        <v>Ø20 L=30</v>
      </c>
      <c r="G175" t="str">
        <v/>
      </c>
      <c r="H175">
        <v>47</v>
      </c>
      <c r="I175" t="str">
        <v/>
      </c>
      <c r="J175" t="str">
        <v/>
      </c>
      <c r="K175" t="str">
        <v/>
      </c>
      <c r="L175" t="str">
        <v/>
      </c>
      <c r="M175" t="str">
        <v/>
      </c>
      <c r="N175" t="str">
        <v/>
      </c>
      <c r="O175" t="str">
        <v/>
      </c>
      <c r="P175" t="str">
        <v>Ø20</v>
      </c>
      <c r="Q175">
        <v>30</v>
      </c>
      <c r="R175" t="str">
        <v/>
      </c>
      <c r="S175" t="str">
        <v/>
      </c>
      <c r="T175">
        <v>17</v>
      </c>
    </row>
    <row r="176" spans="1:20" x14ac:dyDescent="0.3">
      <c r="A176" t="str">
        <v>R.0.002T.1</v>
      </c>
      <c r="B176" t="str">
        <v>ЩР-01</v>
      </c>
      <c r="C176" t="str">
        <v>Розеточная группа, пом. 002T</v>
      </c>
      <c r="D176" t="str">
        <v>ВВГнг(А)-LS (3х2,5)</v>
      </c>
      <c r="E176" t="str">
        <v>L=8</v>
      </c>
      <c r="F176" t="str">
        <v/>
      </c>
      <c r="G176" t="str">
        <v>Ø20 L=19</v>
      </c>
      <c r="H176">
        <v>32</v>
      </c>
      <c r="I176" t="str">
        <v/>
      </c>
      <c r="J176" t="str">
        <v/>
      </c>
      <c r="K176" t="str">
        <v/>
      </c>
      <c r="L176" t="str">
        <v/>
      </c>
      <c r="M176" t="str">
        <v/>
      </c>
      <c r="N176" t="str">
        <v/>
      </c>
      <c r="O176" t="str">
        <v/>
      </c>
      <c r="P176" t="str">
        <v/>
      </c>
      <c r="Q176" t="str">
        <v/>
      </c>
      <c r="R176" t="str">
        <v>Ø20</v>
      </c>
      <c r="S176">
        <v>19</v>
      </c>
      <c r="T176">
        <v>8</v>
      </c>
    </row>
    <row r="177" spans="1:20" x14ac:dyDescent="0.3">
      <c r="A177" t="str">
        <v>R.0.002Б.1</v>
      </c>
      <c r="B177" t="str">
        <v>ЩР-01</v>
      </c>
      <c r="C177" t="str">
        <v>Розеточная группа, пом. 002Б</v>
      </c>
      <c r="D177" t="str">
        <v>ВВГнг(А)-LS (3х2,5)</v>
      </c>
      <c r="E177" t="str">
        <v/>
      </c>
      <c r="F177" t="str">
        <v/>
      </c>
      <c r="G177" t="str">
        <v>Ø20 L=24</v>
      </c>
      <c r="H177">
        <v>45</v>
      </c>
      <c r="I177" t="str">
        <v/>
      </c>
      <c r="J177" t="str">
        <v/>
      </c>
      <c r="K177" t="str">
        <v/>
      </c>
      <c r="L177" t="str">
        <v/>
      </c>
      <c r="M177" t="str">
        <v/>
      </c>
      <c r="N177" t="str">
        <v/>
      </c>
      <c r="O177" t="str">
        <v/>
      </c>
      <c r="P177" t="str">
        <v/>
      </c>
      <c r="Q177" t="str">
        <v/>
      </c>
      <c r="R177" t="str">
        <v>Ø20</v>
      </c>
      <c r="S177">
        <v>24</v>
      </c>
      <c r="T177" t="str">
        <v/>
      </c>
    </row>
    <row r="178" spans="1:20" x14ac:dyDescent="0.3">
      <c r="A178" t="str">
        <v>R.0.002Б.2</v>
      </c>
      <c r="B178" t="str">
        <v>ЩР-01</v>
      </c>
      <c r="C178" t="str">
        <v>Розеточная группа, пом. 002Б</v>
      </c>
      <c r="D178" t="str">
        <v>ВВГнг(А)-LS (3х2,5)</v>
      </c>
      <c r="E178" t="str">
        <v/>
      </c>
      <c r="F178" t="str">
        <v/>
      </c>
      <c r="G178" t="str">
        <v>Ø20 L=70</v>
      </c>
      <c r="H178">
        <v>121</v>
      </c>
      <c r="I178" t="str">
        <v/>
      </c>
      <c r="J178" t="str">
        <v/>
      </c>
      <c r="K178" t="str">
        <v/>
      </c>
      <c r="L178" t="str">
        <v/>
      </c>
      <c r="M178" t="str">
        <v/>
      </c>
      <c r="N178" t="str">
        <v/>
      </c>
      <c r="O178" t="str">
        <v/>
      </c>
      <c r="P178" t="str">
        <v/>
      </c>
      <c r="Q178" t="str">
        <v/>
      </c>
      <c r="R178" t="str">
        <v>Ø20</v>
      </c>
      <c r="S178">
        <v>70</v>
      </c>
      <c r="T178" t="str">
        <v/>
      </c>
    </row>
    <row r="179" spans="1:20" x14ac:dyDescent="0.3">
      <c r="A179" t="str">
        <v>R.0.003A.1</v>
      </c>
      <c r="B179" t="str">
        <v>ЩР-01</v>
      </c>
      <c r="C179" t="str">
        <v>Розеточная группа, пом. 003A</v>
      </c>
      <c r="D179" t="str">
        <v>ВВГнг(А)-LS (3х2,5)</v>
      </c>
      <c r="E179" t="str">
        <v>L=55</v>
      </c>
      <c r="F179" t="str">
        <v>Ø20 L=22</v>
      </c>
      <c r="G179" t="str">
        <v>Ø20 L=50</v>
      </c>
      <c r="H179">
        <v>77</v>
      </c>
      <c r="I179" t="str">
        <v/>
      </c>
      <c r="J179" t="str">
        <v/>
      </c>
      <c r="K179" t="str">
        <v/>
      </c>
      <c r="L179" t="str">
        <v/>
      </c>
      <c r="M179" t="str">
        <v/>
      </c>
      <c r="N179" t="str">
        <v/>
      </c>
      <c r="O179" t="str">
        <v/>
      </c>
      <c r="P179" t="str">
        <v>Ø20</v>
      </c>
      <c r="Q179">
        <v>22</v>
      </c>
      <c r="R179" t="str">
        <v>Ø20</v>
      </c>
      <c r="S179">
        <v>50</v>
      </c>
      <c r="T179">
        <v>55</v>
      </c>
    </row>
    <row r="180" spans="1:20" x14ac:dyDescent="0.3">
      <c r="A180" t="str">
        <v>R.0.003A.3</v>
      </c>
      <c r="B180" t="str">
        <v>ЩР-01</v>
      </c>
      <c r="C180" t="str">
        <v>Розеточная группа, пом. 003A</v>
      </c>
      <c r="D180" t="str">
        <v>ВВГнг(А)-LS (3х2,5)</v>
      </c>
      <c r="E180" t="str">
        <v>L=10</v>
      </c>
      <c r="F180" t="str">
        <v>Ø20 L=59</v>
      </c>
      <c r="G180" t="str">
        <v/>
      </c>
      <c r="H180">
        <v>69</v>
      </c>
      <c r="I180" t="str">
        <v/>
      </c>
      <c r="J180" t="str">
        <v/>
      </c>
      <c r="K180" t="str">
        <v/>
      </c>
      <c r="L180" t="str">
        <v/>
      </c>
      <c r="M180" t="str">
        <v/>
      </c>
      <c r="N180" t="str">
        <v/>
      </c>
      <c r="O180" t="str">
        <v/>
      </c>
      <c r="P180" t="str">
        <v>Ø20</v>
      </c>
      <c r="Q180">
        <v>59</v>
      </c>
      <c r="R180" t="str">
        <v/>
      </c>
      <c r="S180" t="str">
        <v/>
      </c>
      <c r="T180">
        <v>10</v>
      </c>
    </row>
    <row r="181" spans="1:20" x14ac:dyDescent="0.3">
      <c r="A181" t="str">
        <v>R.0.003Б.1</v>
      </c>
      <c r="B181" t="str">
        <v>ЩР-01</v>
      </c>
      <c r="C181" t="str">
        <v>Розеточная группа, пом. 003Б</v>
      </c>
      <c r="D181" t="str">
        <v>ВВГнг(А)-LS (3х2,5)</v>
      </c>
      <c r="E181" t="str">
        <v>L=8</v>
      </c>
      <c r="F181" t="str">
        <v>Ø20 L=39</v>
      </c>
      <c r="G181" t="str">
        <v/>
      </c>
      <c r="H181">
        <v>47</v>
      </c>
      <c r="I181" t="str">
        <v/>
      </c>
      <c r="J181" t="str">
        <v/>
      </c>
      <c r="K181" t="str">
        <v/>
      </c>
      <c r="L181" t="str">
        <v/>
      </c>
      <c r="M181" t="str">
        <v/>
      </c>
      <c r="N181" t="str">
        <v/>
      </c>
      <c r="O181" t="str">
        <v/>
      </c>
      <c r="P181" t="str">
        <v>Ø20</v>
      </c>
      <c r="Q181">
        <v>39</v>
      </c>
      <c r="R181" t="str">
        <v/>
      </c>
      <c r="S181" t="str">
        <v/>
      </c>
      <c r="T181">
        <v>8</v>
      </c>
    </row>
    <row r="182" spans="1:20" x14ac:dyDescent="0.3">
      <c r="A182" t="str">
        <v>R.0.004Б.1</v>
      </c>
      <c r="B182" t="str">
        <v>ЩР-01</v>
      </c>
      <c r="C182" t="str">
        <v>Розеточная группа, пом. 004Б</v>
      </c>
      <c r="D182" t="str">
        <v>ВВГнг(А)-LS (3х2,5)</v>
      </c>
      <c r="E182" t="str">
        <v>L=12</v>
      </c>
      <c r="F182" t="str">
        <v>Ø20 L=23</v>
      </c>
      <c r="G182" t="str">
        <v/>
      </c>
      <c r="H182">
        <v>35</v>
      </c>
      <c r="I182" t="str">
        <v/>
      </c>
      <c r="J182" t="str">
        <v/>
      </c>
      <c r="K182" t="str">
        <v/>
      </c>
      <c r="L182" t="str">
        <v/>
      </c>
      <c r="M182" t="str">
        <v/>
      </c>
      <c r="N182" t="str">
        <v/>
      </c>
      <c r="O182" t="str">
        <v/>
      </c>
      <c r="P182" t="str">
        <v>Ø20</v>
      </c>
      <c r="Q182">
        <v>23</v>
      </c>
      <c r="R182" t="str">
        <v/>
      </c>
      <c r="S182" t="str">
        <v/>
      </c>
      <c r="T182">
        <v>12</v>
      </c>
    </row>
    <row r="183" spans="1:20" x14ac:dyDescent="0.3">
      <c r="A183" t="str">
        <v>R.0.004Б.2</v>
      </c>
      <c r="B183" t="str">
        <v>ЩР-01</v>
      </c>
      <c r="C183" t="str">
        <v>Розеточная группа Цокольный этаж Пом. №004Б Сушильная машина</v>
      </c>
      <c r="D183" t="str">
        <v>ВВГнг(А)-LS (3х2,5)</v>
      </c>
      <c r="E183" t="str">
        <v>L=12</v>
      </c>
      <c r="F183" t="str">
        <v>Ø20 L=7</v>
      </c>
      <c r="G183" t="str">
        <v/>
      </c>
      <c r="H183">
        <v>19</v>
      </c>
      <c r="I183" t="str">
        <v/>
      </c>
      <c r="J183" t="str">
        <v/>
      </c>
      <c r="K183" t="str">
        <v/>
      </c>
      <c r="L183" t="str">
        <v/>
      </c>
      <c r="M183" t="str">
        <v/>
      </c>
      <c r="N183" t="str">
        <v/>
      </c>
      <c r="O183" t="str">
        <v/>
      </c>
      <c r="P183" t="str">
        <v>Ø20</v>
      </c>
      <c r="Q183">
        <v>7</v>
      </c>
      <c r="R183" t="str">
        <v/>
      </c>
      <c r="S183" t="str">
        <v/>
      </c>
      <c r="T183">
        <v>12</v>
      </c>
    </row>
    <row r="184" spans="1:20" x14ac:dyDescent="0.3">
      <c r="A184" t="str">
        <v>R.0.004Б.3</v>
      </c>
      <c r="B184" t="str">
        <v>ЩР-01</v>
      </c>
      <c r="C184" t="str">
        <v>Розеточная группа Цокольный этаж Пом. №004Б Стиральная машина</v>
      </c>
      <c r="D184" t="str">
        <v>ВВГнг(А)-LS (3х2,5)</v>
      </c>
      <c r="E184" t="str">
        <v>L=12</v>
      </c>
      <c r="F184" t="str">
        <v>Ø20 L=17</v>
      </c>
      <c r="G184" t="str">
        <v/>
      </c>
      <c r="H184">
        <v>29</v>
      </c>
      <c r="I184" t="str">
        <v/>
      </c>
      <c r="J184" t="str">
        <v/>
      </c>
      <c r="K184" t="str">
        <v/>
      </c>
      <c r="L184" t="str">
        <v/>
      </c>
      <c r="M184" t="str">
        <v/>
      </c>
      <c r="N184" t="str">
        <v/>
      </c>
      <c r="O184" t="str">
        <v/>
      </c>
      <c r="P184" t="str">
        <v>Ø20</v>
      </c>
      <c r="Q184">
        <v>17</v>
      </c>
      <c r="R184" t="str">
        <v/>
      </c>
      <c r="S184" t="str">
        <v/>
      </c>
      <c r="T184">
        <v>12</v>
      </c>
    </row>
    <row r="185" spans="1:20" x14ac:dyDescent="0.3">
      <c r="A185" t="str">
        <v>R.0.006A.1</v>
      </c>
      <c r="B185" t="str">
        <v>ЩР-01</v>
      </c>
      <c r="C185" t="str">
        <v>Розеточная группа, пом. 006A</v>
      </c>
      <c r="D185" t="str">
        <v>ВВГнг(А)-LS (3х2,5)</v>
      </c>
      <c r="E185" t="str">
        <v>L=15</v>
      </c>
      <c r="F185" t="str">
        <v>Ø20 L=39</v>
      </c>
      <c r="G185" t="str">
        <v>Ø20 L=7</v>
      </c>
      <c r="H185">
        <v>61</v>
      </c>
      <c r="I185" t="str">
        <v/>
      </c>
      <c r="J185" t="str">
        <v/>
      </c>
      <c r="K185" t="str">
        <v/>
      </c>
      <c r="L185" t="str">
        <v/>
      </c>
      <c r="M185" t="str">
        <v/>
      </c>
      <c r="N185" t="str">
        <v/>
      </c>
      <c r="O185" t="str">
        <v/>
      </c>
      <c r="P185" t="str">
        <v>Ø20</v>
      </c>
      <c r="Q185">
        <v>39</v>
      </c>
      <c r="R185" t="str">
        <v>Ø20</v>
      </c>
      <c r="S185">
        <v>7</v>
      </c>
      <c r="T185">
        <v>15</v>
      </c>
    </row>
    <row r="186" spans="1:20" x14ac:dyDescent="0.3">
      <c r="A186" t="str">
        <v>R.0.007A.1</v>
      </c>
      <c r="B186" t="str">
        <v>ЩР-01</v>
      </c>
      <c r="C186" t="str">
        <v>Розеточная группа, пом. 007A</v>
      </c>
      <c r="D186" t="str">
        <v>ВВГнг(А)-LS (3х2,5)</v>
      </c>
      <c r="E186" t="str">
        <v>L=7</v>
      </c>
      <c r="F186" t="str">
        <v>Ø20 L=22</v>
      </c>
      <c r="G186" t="str">
        <v/>
      </c>
      <c r="H186">
        <v>29</v>
      </c>
      <c r="I186" t="str">
        <v/>
      </c>
      <c r="J186" t="str">
        <v/>
      </c>
      <c r="K186" t="str">
        <v/>
      </c>
      <c r="L186" t="str">
        <v/>
      </c>
      <c r="M186" t="str">
        <v/>
      </c>
      <c r="N186" t="str">
        <v/>
      </c>
      <c r="O186" t="str">
        <v/>
      </c>
      <c r="P186" t="str">
        <v>Ø20</v>
      </c>
      <c r="Q186">
        <v>22</v>
      </c>
      <c r="R186" t="str">
        <v/>
      </c>
      <c r="S186" t="str">
        <v/>
      </c>
      <c r="T186">
        <v>7</v>
      </c>
    </row>
    <row r="187" spans="1:20" x14ac:dyDescent="0.3">
      <c r="A187" t="str">
        <v>R.0.008A.1</v>
      </c>
      <c r="B187" t="str">
        <v>ЩР-01</v>
      </c>
      <c r="C187" t="str">
        <v>Розеточная группа, пом. 008A</v>
      </c>
      <c r="D187" t="str">
        <v>ВВГнг(А)-LS (3х2,5)</v>
      </c>
      <c r="E187" t="str">
        <v>L=47</v>
      </c>
      <c r="F187" t="str">
        <v>Ø20 L=10</v>
      </c>
      <c r="G187" t="str">
        <v>Ø20 L=5</v>
      </c>
      <c r="H187">
        <v>62</v>
      </c>
      <c r="I187" t="str">
        <v/>
      </c>
      <c r="J187" t="str">
        <v/>
      </c>
      <c r="K187" t="str">
        <v/>
      </c>
      <c r="L187" t="str">
        <v/>
      </c>
      <c r="M187" t="str">
        <v/>
      </c>
      <c r="N187" t="str">
        <v/>
      </c>
      <c r="O187" t="str">
        <v/>
      </c>
      <c r="P187" t="str">
        <v>Ø20</v>
      </c>
      <c r="Q187">
        <v>10</v>
      </c>
      <c r="R187" t="str">
        <v>Ø20</v>
      </c>
      <c r="S187">
        <v>5</v>
      </c>
      <c r="T187">
        <v>47</v>
      </c>
    </row>
    <row r="188" spans="1:20" x14ac:dyDescent="0.3">
      <c r="A188" t="str">
        <v>R.0.008A.2</v>
      </c>
      <c r="B188" t="str">
        <v>ЩР-01</v>
      </c>
      <c r="C188" t="str">
        <v>Розеточная группа Цокольный этаж Пом. №008A Душ виши</v>
      </c>
      <c r="D188" t="str">
        <v>ВВГнг(А)-LS (3х2,5)</v>
      </c>
      <c r="E188" t="str">
        <v>L=49</v>
      </c>
      <c r="F188" t="str">
        <v>Ø20 L=15</v>
      </c>
      <c r="G188" t="str">
        <v/>
      </c>
      <c r="H188">
        <v>64</v>
      </c>
      <c r="I188" t="str">
        <v/>
      </c>
      <c r="J188" t="str">
        <v/>
      </c>
      <c r="K188" t="str">
        <v/>
      </c>
      <c r="L188" t="str">
        <v/>
      </c>
      <c r="M188" t="str">
        <v/>
      </c>
      <c r="N188" t="str">
        <v/>
      </c>
      <c r="O188" t="str">
        <v/>
      </c>
      <c r="P188" t="str">
        <v>Ø20</v>
      </c>
      <c r="Q188">
        <v>15</v>
      </c>
      <c r="R188" t="str">
        <v/>
      </c>
      <c r="S188" t="str">
        <v/>
      </c>
      <c r="T188">
        <v>49</v>
      </c>
    </row>
    <row r="189" spans="1:20" x14ac:dyDescent="0.3">
      <c r="A189" t="str">
        <v>R.0.009A.1</v>
      </c>
      <c r="B189" t="str">
        <v>ЩР-01</v>
      </c>
      <c r="C189" t="str">
        <v>Розеточная группа, пом. 009A</v>
      </c>
      <c r="D189" t="str">
        <v>ВВГнг(А)-LS (3х2,5)</v>
      </c>
      <c r="E189" t="str">
        <v>L=12</v>
      </c>
      <c r="F189" t="str">
        <v>Ø20 L=40</v>
      </c>
      <c r="G189" t="str">
        <v/>
      </c>
      <c r="H189">
        <v>52</v>
      </c>
      <c r="I189" t="str">
        <v/>
      </c>
      <c r="J189" t="str">
        <v/>
      </c>
      <c r="K189" t="str">
        <v/>
      </c>
      <c r="L189" t="str">
        <v/>
      </c>
      <c r="M189" t="str">
        <v/>
      </c>
      <c r="N189" t="str">
        <v/>
      </c>
      <c r="O189" t="str">
        <v/>
      </c>
      <c r="P189" t="str">
        <v>Ø20</v>
      </c>
      <c r="Q189">
        <v>40</v>
      </c>
      <c r="R189" t="str">
        <v/>
      </c>
      <c r="S189" t="str">
        <v/>
      </c>
      <c r="T189">
        <v>12</v>
      </c>
    </row>
    <row r="190" spans="1:20" x14ac:dyDescent="0.3">
      <c r="A190" t="str">
        <v>R.0.009A.2</v>
      </c>
      <c r="B190" t="str">
        <v>ЩР-01</v>
      </c>
      <c r="C190" t="str">
        <v>Розеточная группа, пом. 009A</v>
      </c>
      <c r="D190" t="str">
        <v>ВВГнг(А)-LS (3х2,5)</v>
      </c>
      <c r="E190" t="str">
        <v>L=14</v>
      </c>
      <c r="F190" t="str">
        <v>Ø20 L=45</v>
      </c>
      <c r="G190" t="str">
        <v/>
      </c>
      <c r="H190">
        <v>59</v>
      </c>
      <c r="I190" t="str">
        <v/>
      </c>
      <c r="J190" t="str">
        <v/>
      </c>
      <c r="K190" t="str">
        <v/>
      </c>
      <c r="L190" t="str">
        <v/>
      </c>
      <c r="M190" t="str">
        <v/>
      </c>
      <c r="N190" t="str">
        <v/>
      </c>
      <c r="O190" t="str">
        <v/>
      </c>
      <c r="P190" t="str">
        <v>Ø20</v>
      </c>
      <c r="Q190">
        <v>45</v>
      </c>
      <c r="R190" t="str">
        <v/>
      </c>
      <c r="S190" t="str">
        <v/>
      </c>
      <c r="T190">
        <v>14</v>
      </c>
    </row>
    <row r="191" spans="1:20" x14ac:dyDescent="0.3">
      <c r="A191" t="str">
        <v>R.0.010A.1</v>
      </c>
      <c r="B191" t="str">
        <v>ЩР-01</v>
      </c>
      <c r="C191" t="str">
        <v>Розеточная группа, пом. 010A</v>
      </c>
      <c r="D191" t="str">
        <v>ВВГнг(А)-LS (3х2,5)</v>
      </c>
      <c r="E191" t="str">
        <v>L=13</v>
      </c>
      <c r="F191" t="str">
        <v>Ø20 L=17</v>
      </c>
      <c r="G191" t="str">
        <v/>
      </c>
      <c r="H191">
        <v>30</v>
      </c>
      <c r="I191" t="str">
        <v/>
      </c>
      <c r="J191" t="str">
        <v/>
      </c>
      <c r="K191" t="str">
        <v/>
      </c>
      <c r="L191" t="str">
        <v/>
      </c>
      <c r="M191" t="str">
        <v/>
      </c>
      <c r="N191" t="str">
        <v/>
      </c>
      <c r="O191" t="str">
        <v/>
      </c>
      <c r="P191" t="str">
        <v>Ø20</v>
      </c>
      <c r="Q191">
        <v>17</v>
      </c>
      <c r="R191" t="str">
        <v/>
      </c>
      <c r="S191" t="str">
        <v/>
      </c>
      <c r="T191">
        <v>13</v>
      </c>
    </row>
    <row r="192" spans="1:20" x14ac:dyDescent="0.3">
      <c r="A192" t="str">
        <v>R.0.011.1A</v>
      </c>
      <c r="B192" t="str">
        <v>ЩР-01</v>
      </c>
      <c r="C192" t="str">
        <v>Розеточная группа, пом. 011</v>
      </c>
      <c r="D192" t="str">
        <v>ВВГнг(А)-LS (3х2,5)</v>
      </c>
      <c r="E192" t="str">
        <v>L=8</v>
      </c>
      <c r="F192" t="str">
        <v>Ø20 L=17</v>
      </c>
      <c r="G192" t="str">
        <v/>
      </c>
      <c r="H192">
        <v>25</v>
      </c>
      <c r="I192" t="str">
        <v/>
      </c>
      <c r="J192" t="str">
        <v/>
      </c>
      <c r="K192" t="str">
        <v/>
      </c>
      <c r="L192" t="str">
        <v/>
      </c>
      <c r="M192" t="str">
        <v/>
      </c>
      <c r="N192" t="str">
        <v/>
      </c>
      <c r="O192" t="str">
        <v/>
      </c>
      <c r="P192" t="str">
        <v>Ø20</v>
      </c>
      <c r="Q192">
        <v>17</v>
      </c>
      <c r="R192" t="str">
        <v/>
      </c>
      <c r="S192" t="str">
        <v/>
      </c>
      <c r="T192">
        <v>8</v>
      </c>
    </row>
    <row r="193" spans="1:20" x14ac:dyDescent="0.3">
      <c r="A193" t="str">
        <v>R.0.011Б.1</v>
      </c>
      <c r="B193" t="str">
        <v>ЩР-01</v>
      </c>
      <c r="C193" t="str">
        <v>Розеточная группа, пом. 011Б</v>
      </c>
      <c r="D193" t="str">
        <v>ВВГнг(А)-LS (3х2,5)</v>
      </c>
      <c r="E193" t="str">
        <v>L=17</v>
      </c>
      <c r="F193" t="str">
        <v>Ø20 L=14</v>
      </c>
      <c r="G193" t="str">
        <v/>
      </c>
      <c r="H193">
        <v>31</v>
      </c>
      <c r="I193" t="str">
        <v/>
      </c>
      <c r="J193" t="str">
        <v/>
      </c>
      <c r="K193" t="str">
        <v/>
      </c>
      <c r="L193" t="str">
        <v/>
      </c>
      <c r="M193" t="str">
        <v/>
      </c>
      <c r="N193" t="str">
        <v/>
      </c>
      <c r="O193" t="str">
        <v/>
      </c>
      <c r="P193" t="str">
        <v>Ø20</v>
      </c>
      <c r="Q193">
        <v>14</v>
      </c>
      <c r="R193" t="str">
        <v/>
      </c>
      <c r="S193" t="str">
        <v/>
      </c>
      <c r="T193">
        <v>17</v>
      </c>
    </row>
    <row r="194" spans="1:20" x14ac:dyDescent="0.3">
      <c r="A194" t="str">
        <v>R.0.012A.1</v>
      </c>
      <c r="B194" t="str">
        <v>ЩР-01</v>
      </c>
      <c r="C194" t="str">
        <v>Розеточная группа, пом. 012A</v>
      </c>
      <c r="D194" t="str">
        <v>ВВГнг(А)-LS (3х2,5)</v>
      </c>
      <c r="E194" t="str">
        <v>L=48</v>
      </c>
      <c r="F194" t="str">
        <v>Ø20 L=31</v>
      </c>
      <c r="G194" t="str">
        <v/>
      </c>
      <c r="H194">
        <v>79</v>
      </c>
      <c r="I194" t="str">
        <v/>
      </c>
      <c r="J194" t="str">
        <v/>
      </c>
      <c r="K194" t="str">
        <v/>
      </c>
      <c r="L194" t="str">
        <v/>
      </c>
      <c r="M194" t="str">
        <v/>
      </c>
      <c r="N194" t="str">
        <v/>
      </c>
      <c r="O194" t="str">
        <v/>
      </c>
      <c r="P194" t="str">
        <v>Ø20</v>
      </c>
      <c r="Q194">
        <v>31</v>
      </c>
      <c r="R194" t="str">
        <v/>
      </c>
      <c r="S194" t="str">
        <v/>
      </c>
      <c r="T194">
        <v>48</v>
      </c>
    </row>
    <row r="195" spans="1:20" x14ac:dyDescent="0.3">
      <c r="A195" t="str">
        <v>R.0.013A.1</v>
      </c>
      <c r="B195" t="str">
        <v>ЩР-01</v>
      </c>
      <c r="C195" t="str">
        <v>Розеточная группа, пом. 013A</v>
      </c>
      <c r="D195" t="str">
        <v>ВВГнг(А)-LS (3х2,5)</v>
      </c>
      <c r="E195" t="str">
        <v>L=40</v>
      </c>
      <c r="F195" t="str">
        <v>Ø20 L=23</v>
      </c>
      <c r="G195" t="str">
        <v>Ø20 L=8</v>
      </c>
      <c r="H195">
        <v>63</v>
      </c>
      <c r="I195" t="str">
        <v/>
      </c>
      <c r="J195" t="str">
        <v/>
      </c>
      <c r="K195" t="str">
        <v/>
      </c>
      <c r="L195" t="str">
        <v/>
      </c>
      <c r="M195" t="str">
        <v/>
      </c>
      <c r="N195" t="str">
        <v/>
      </c>
      <c r="O195" t="str">
        <v/>
      </c>
      <c r="P195" t="str">
        <v>Ø20</v>
      </c>
      <c r="Q195">
        <v>23</v>
      </c>
      <c r="R195" t="str">
        <v>Ø20</v>
      </c>
      <c r="S195">
        <v>8</v>
      </c>
      <c r="T195">
        <v>40</v>
      </c>
    </row>
    <row r="196" spans="1:20" x14ac:dyDescent="0.3">
      <c r="A196" t="str">
        <v>R.0.013Б.1</v>
      </c>
      <c r="B196" t="str">
        <v>ЩР-01</v>
      </c>
      <c r="C196" t="str">
        <v>Розеточная группа, пом. 013Б</v>
      </c>
      <c r="D196" t="str">
        <v>ВВГнг(А)-LS (3х2,5)</v>
      </c>
      <c r="E196" t="str">
        <v>L=40</v>
      </c>
      <c r="F196" t="str">
        <v>Ø20 L=13</v>
      </c>
      <c r="G196" t="str">
        <v>Ø20 L=4</v>
      </c>
      <c r="H196">
        <v>57</v>
      </c>
      <c r="I196" t="str">
        <v/>
      </c>
      <c r="J196" t="str">
        <v/>
      </c>
      <c r="K196" t="str">
        <v/>
      </c>
      <c r="L196" t="str">
        <v/>
      </c>
      <c r="M196" t="str">
        <v/>
      </c>
      <c r="N196" t="str">
        <v/>
      </c>
      <c r="O196" t="str">
        <v/>
      </c>
      <c r="P196" t="str">
        <v>Ø20</v>
      </c>
      <c r="Q196">
        <v>13</v>
      </c>
      <c r="R196" t="str">
        <v>Ø20</v>
      </c>
      <c r="S196">
        <v>4</v>
      </c>
      <c r="T196">
        <v>40</v>
      </c>
    </row>
    <row r="197" spans="1:20" x14ac:dyDescent="0.3">
      <c r="A197" t="str">
        <v>R.0.013Б.2</v>
      </c>
      <c r="B197" t="str">
        <v>ЩР-01</v>
      </c>
      <c r="C197" t="str">
        <v>Розеточная группа, пом. 013Б</v>
      </c>
      <c r="D197" t="str">
        <v>ВВГнг(А)-LS (3х2,5)</v>
      </c>
      <c r="E197" t="str">
        <v>L=33</v>
      </c>
      <c r="F197" t="str">
        <v>Ø20 L=18</v>
      </c>
      <c r="G197" t="str">
        <v/>
      </c>
      <c r="H197">
        <v>51</v>
      </c>
      <c r="I197" t="str">
        <v/>
      </c>
      <c r="J197" t="str">
        <v/>
      </c>
      <c r="K197" t="str">
        <v/>
      </c>
      <c r="L197" t="str">
        <v/>
      </c>
      <c r="M197" t="str">
        <v/>
      </c>
      <c r="N197" t="str">
        <v/>
      </c>
      <c r="O197" t="str">
        <v/>
      </c>
      <c r="P197" t="str">
        <v>Ø20</v>
      </c>
      <c r="Q197">
        <v>18</v>
      </c>
      <c r="R197" t="str">
        <v/>
      </c>
      <c r="S197" t="str">
        <v/>
      </c>
      <c r="T197">
        <v>33</v>
      </c>
    </row>
    <row r="198" spans="1:20" x14ac:dyDescent="0.3">
      <c r="A198" t="str">
        <v>R.0.013Б.3</v>
      </c>
      <c r="B198" t="str">
        <v>ЩР-01</v>
      </c>
      <c r="C198" t="str">
        <v>Розеточная группа Цокольный этаж Пом. №013Б Полотенцесушитель</v>
      </c>
      <c r="D198" t="str">
        <v>ВВГнг(А)-LS (3х2,5)</v>
      </c>
      <c r="E198" t="str">
        <v>L=36</v>
      </c>
      <c r="F198" t="str">
        <v>Ø20 L=15</v>
      </c>
      <c r="G198" t="str">
        <v/>
      </c>
      <c r="H198">
        <v>51</v>
      </c>
      <c r="I198" t="str">
        <v/>
      </c>
      <c r="J198" t="str">
        <v/>
      </c>
      <c r="K198" t="str">
        <v/>
      </c>
      <c r="L198" t="str">
        <v/>
      </c>
      <c r="M198" t="str">
        <v/>
      </c>
      <c r="N198" t="str">
        <v/>
      </c>
      <c r="O198" t="str">
        <v/>
      </c>
      <c r="P198" t="str">
        <v>Ø20</v>
      </c>
      <c r="Q198">
        <v>15</v>
      </c>
      <c r="R198" t="str">
        <v/>
      </c>
      <c r="S198" t="str">
        <v/>
      </c>
      <c r="T198">
        <v>36</v>
      </c>
    </row>
    <row r="199" spans="1:20" x14ac:dyDescent="0.3">
      <c r="A199" t="str">
        <v>R.0.013Б.4</v>
      </c>
      <c r="B199" t="str">
        <v>ЩР-01</v>
      </c>
      <c r="C199" t="str">
        <v>Розеточная группа Цокольный этаж Пом. №013Б Сушильная машина</v>
      </c>
      <c r="D199" t="str">
        <v>ВВГнг(А)-LS (3х2,5)</v>
      </c>
      <c r="E199" t="str">
        <v>L=44</v>
      </c>
      <c r="F199" t="str">
        <v>Ø20 L=14</v>
      </c>
      <c r="G199" t="str">
        <v/>
      </c>
      <c r="H199">
        <v>58</v>
      </c>
      <c r="I199" t="str">
        <v/>
      </c>
      <c r="J199" t="str">
        <v/>
      </c>
      <c r="K199" t="str">
        <v/>
      </c>
      <c r="L199" t="str">
        <v/>
      </c>
      <c r="M199" t="str">
        <v/>
      </c>
      <c r="N199" t="str">
        <v/>
      </c>
      <c r="O199" t="str">
        <v/>
      </c>
      <c r="P199" t="str">
        <v>Ø20</v>
      </c>
      <c r="Q199">
        <v>14</v>
      </c>
      <c r="R199" t="str">
        <v/>
      </c>
      <c r="S199" t="str">
        <v/>
      </c>
      <c r="T199">
        <v>44</v>
      </c>
    </row>
    <row r="200" spans="1:20" x14ac:dyDescent="0.3">
      <c r="A200" t="str">
        <v>R.0.015A.1</v>
      </c>
      <c r="B200" t="str">
        <v>ЩР-01</v>
      </c>
      <c r="C200" t="str">
        <v>Розеточная группа, пом. 015A</v>
      </c>
      <c r="D200" t="str">
        <v>ВВГнг(А)-LS (3х2,5)</v>
      </c>
      <c r="E200" t="str">
        <v>L=50</v>
      </c>
      <c r="F200" t="str">
        <v>Ø20 L=17</v>
      </c>
      <c r="G200" t="str">
        <v>Ø20 L=5</v>
      </c>
      <c r="H200">
        <v>72</v>
      </c>
      <c r="I200" t="str">
        <v/>
      </c>
      <c r="J200" t="str">
        <v/>
      </c>
      <c r="K200" t="str">
        <v/>
      </c>
      <c r="L200" t="str">
        <v/>
      </c>
      <c r="M200" t="str">
        <v/>
      </c>
      <c r="N200" t="str">
        <v/>
      </c>
      <c r="O200" t="str">
        <v/>
      </c>
      <c r="P200" t="str">
        <v>Ø20</v>
      </c>
      <c r="Q200">
        <v>17</v>
      </c>
      <c r="R200" t="str">
        <v>Ø20</v>
      </c>
      <c r="S200">
        <v>5</v>
      </c>
      <c r="T200">
        <v>50</v>
      </c>
    </row>
    <row r="201" spans="1:20" x14ac:dyDescent="0.3">
      <c r="A201" t="str">
        <v>R.0.017A.1</v>
      </c>
      <c r="B201" t="str">
        <v>ЩР-01</v>
      </c>
      <c r="C201" t="str">
        <v>Розеточная группа, пом. 017A</v>
      </c>
      <c r="D201" t="str">
        <v>ВВГнг(А)-LS (3х2,5)</v>
      </c>
      <c r="E201" t="str">
        <v>L=45</v>
      </c>
      <c r="F201" t="str">
        <v>Ø20 L=30</v>
      </c>
      <c r="G201" t="str">
        <v>Ø20 L=9</v>
      </c>
      <c r="H201">
        <v>84</v>
      </c>
      <c r="I201" t="str">
        <v/>
      </c>
      <c r="J201" t="str">
        <v/>
      </c>
      <c r="K201" t="str">
        <v/>
      </c>
      <c r="L201" t="str">
        <v/>
      </c>
      <c r="M201" t="str">
        <v/>
      </c>
      <c r="N201" t="str">
        <v/>
      </c>
      <c r="O201" t="str">
        <v/>
      </c>
      <c r="P201" t="str">
        <v>Ø20</v>
      </c>
      <c r="Q201">
        <v>30</v>
      </c>
      <c r="R201" t="str">
        <v>Ø20</v>
      </c>
      <c r="S201">
        <v>9</v>
      </c>
      <c r="T201">
        <v>45</v>
      </c>
    </row>
    <row r="202" spans="1:20" x14ac:dyDescent="0.3">
      <c r="A202" t="str">
        <v>R.0.018A.1</v>
      </c>
      <c r="B202" t="str">
        <v>ЩР-01</v>
      </c>
      <c r="C202" t="str">
        <v>Розеточная группа, пом. 018A</v>
      </c>
      <c r="D202" t="str">
        <v>ВВГнг(А)-LS (3х2,5)</v>
      </c>
      <c r="E202" t="str">
        <v>L=43</v>
      </c>
      <c r="F202" t="str">
        <v>Ø20 L=13</v>
      </c>
      <c r="G202" t="str">
        <v/>
      </c>
      <c r="H202">
        <v>56</v>
      </c>
      <c r="I202" t="str">
        <v/>
      </c>
      <c r="J202" t="str">
        <v/>
      </c>
      <c r="K202" t="str">
        <v/>
      </c>
      <c r="L202" t="str">
        <v/>
      </c>
      <c r="M202" t="str">
        <v/>
      </c>
      <c r="N202" t="str">
        <v/>
      </c>
      <c r="O202" t="str">
        <v/>
      </c>
      <c r="P202" t="str">
        <v>Ø20</v>
      </c>
      <c r="Q202">
        <v>13</v>
      </c>
      <c r="R202" t="str">
        <v/>
      </c>
      <c r="S202" t="str">
        <v/>
      </c>
      <c r="T202">
        <v>43</v>
      </c>
    </row>
    <row r="203" spans="1:20" x14ac:dyDescent="0.3">
      <c r="A203" t="str">
        <v>R.0.018Б.1</v>
      </c>
      <c r="B203" t="str">
        <v>ЩР-01</v>
      </c>
      <c r="C203" t="str">
        <v>Розеточная группа, пом. 018Б</v>
      </c>
      <c r="D203" t="str">
        <v>ВВГнг(А)-LS (3х2,5)</v>
      </c>
      <c r="E203" t="str">
        <v>L=24</v>
      </c>
      <c r="F203" t="str">
        <v>Ø20 L=9</v>
      </c>
      <c r="G203" t="str">
        <v/>
      </c>
      <c r="H203">
        <v>33</v>
      </c>
      <c r="I203" t="str">
        <v/>
      </c>
      <c r="J203" t="str">
        <v/>
      </c>
      <c r="K203" t="str">
        <v/>
      </c>
      <c r="L203" t="str">
        <v/>
      </c>
      <c r="M203" t="str">
        <v/>
      </c>
      <c r="N203" t="str">
        <v/>
      </c>
      <c r="O203" t="str">
        <v/>
      </c>
      <c r="P203" t="str">
        <v>Ø20</v>
      </c>
      <c r="Q203">
        <v>9</v>
      </c>
      <c r="R203" t="str">
        <v/>
      </c>
      <c r="S203" t="str">
        <v/>
      </c>
      <c r="T203">
        <v>24</v>
      </c>
    </row>
    <row r="204" spans="1:20" x14ac:dyDescent="0.3">
      <c r="A204" t="str">
        <v>R.0.021A.1</v>
      </c>
      <c r="B204" t="str">
        <v>ЩР-01</v>
      </c>
      <c r="C204" t="str">
        <v>Розеточная группа, пом. 021A</v>
      </c>
      <c r="D204" t="str">
        <v>ВВГнг(А)-LS (3х2,5)</v>
      </c>
      <c r="E204" t="str">
        <v>L=49</v>
      </c>
      <c r="F204" t="str">
        <v>Ø20 L=14</v>
      </c>
      <c r="G204" t="str">
        <v>Ø20 L=9</v>
      </c>
      <c r="H204">
        <v>72</v>
      </c>
      <c r="I204" t="str">
        <v/>
      </c>
      <c r="J204" t="str">
        <v/>
      </c>
      <c r="K204" t="str">
        <v/>
      </c>
      <c r="L204" t="str">
        <v/>
      </c>
      <c r="M204" t="str">
        <v/>
      </c>
      <c r="N204" t="str">
        <v/>
      </c>
      <c r="O204" t="str">
        <v/>
      </c>
      <c r="P204" t="str">
        <v>Ø20</v>
      </c>
      <c r="Q204">
        <v>14</v>
      </c>
      <c r="R204" t="str">
        <v>Ø20</v>
      </c>
      <c r="S204">
        <v>9</v>
      </c>
      <c r="T204">
        <v>49</v>
      </c>
    </row>
    <row r="205" spans="1:20" x14ac:dyDescent="0.3">
      <c r="A205" t="str">
        <v>R.0.022.1</v>
      </c>
      <c r="B205" t="str">
        <v>ЩР-01</v>
      </c>
      <c r="C205" t="str">
        <v>Розеточная группа, пом. 022</v>
      </c>
      <c r="D205" t="str">
        <v>ВВГнг(А)-LS (3х2,5)</v>
      </c>
      <c r="E205" t="str">
        <v>L=44</v>
      </c>
      <c r="F205" t="str">
        <v>Ø20 L=7</v>
      </c>
      <c r="G205" t="str">
        <v/>
      </c>
      <c r="H205">
        <v>54</v>
      </c>
      <c r="I205" t="str">
        <v/>
      </c>
      <c r="J205" t="str">
        <v/>
      </c>
      <c r="K205" t="str">
        <v/>
      </c>
      <c r="L205" t="str">
        <v/>
      </c>
      <c r="M205" t="str">
        <v/>
      </c>
      <c r="N205" t="str">
        <v/>
      </c>
      <c r="O205" t="str">
        <v/>
      </c>
      <c r="P205" t="str">
        <v>Ø20</v>
      </c>
      <c r="Q205">
        <v>7</v>
      </c>
      <c r="R205" t="str">
        <v/>
      </c>
      <c r="S205" t="str">
        <v/>
      </c>
      <c r="T205">
        <v>44</v>
      </c>
    </row>
    <row r="206" spans="1:20" x14ac:dyDescent="0.3">
      <c r="A206" t="str">
        <v>R.0.012A.2</v>
      </c>
      <c r="B206" t="str">
        <v>ЩР-01</v>
      </c>
      <c r="C206" t="str">
        <v>Розеточная группа, пом. 012A</v>
      </c>
      <c r="D206" t="str">
        <v>ВВГнг(А)-LS (3х2,5)</v>
      </c>
      <c r="E206" t="str">
        <v>L=9</v>
      </c>
      <c r="F206" t="str">
        <v>Ø20 L=54</v>
      </c>
      <c r="G206" t="str">
        <v/>
      </c>
      <c r="H206">
        <v>63</v>
      </c>
      <c r="I206" t="str">
        <v/>
      </c>
      <c r="J206" t="str">
        <v/>
      </c>
      <c r="K206" t="str">
        <v/>
      </c>
      <c r="L206" t="str">
        <v/>
      </c>
      <c r="M206" t="str">
        <v/>
      </c>
      <c r="N206" t="str">
        <v/>
      </c>
      <c r="O206" t="str">
        <v/>
      </c>
      <c r="P206" t="str">
        <v>Ø20</v>
      </c>
      <c r="Q206">
        <v>54</v>
      </c>
      <c r="R206" t="str">
        <v/>
      </c>
      <c r="S206" t="str">
        <v/>
      </c>
      <c r="T206">
        <v>9</v>
      </c>
    </row>
    <row r="207" spans="1:20" x14ac:dyDescent="0.3">
      <c r="A207" t="str">
        <v>R.0.020A.1</v>
      </c>
      <c r="B207" t="str">
        <v>ЩР-01</v>
      </c>
      <c r="C207" t="str">
        <v>Розеточная группа, пом. 020A</v>
      </c>
      <c r="D207" t="str">
        <v>ВВГнг(А)-LS (3х2,5)</v>
      </c>
      <c r="E207" t="str">
        <v>L=44</v>
      </c>
      <c r="F207" t="str">
        <v>Ø20 L=7</v>
      </c>
      <c r="G207" t="str">
        <v/>
      </c>
      <c r="H207">
        <v>51</v>
      </c>
      <c r="I207" t="str">
        <v/>
      </c>
      <c r="J207" t="str">
        <v/>
      </c>
      <c r="K207" t="str">
        <v/>
      </c>
      <c r="L207" t="str">
        <v/>
      </c>
      <c r="M207" t="str">
        <v/>
      </c>
      <c r="N207" t="str">
        <v/>
      </c>
      <c r="O207" t="str">
        <v/>
      </c>
      <c r="P207" t="str">
        <v>Ø20</v>
      </c>
      <c r="Q207">
        <v>7</v>
      </c>
      <c r="R207" t="str">
        <v/>
      </c>
      <c r="S207" t="str">
        <v/>
      </c>
      <c r="T207">
        <v>44</v>
      </c>
    </row>
    <row r="208" spans="1:20" x14ac:dyDescent="0.3">
      <c r="A208" t="str">
        <v>ШТК-1</v>
      </c>
      <c r="B208" t="str">
        <v>ЩР-01</v>
      </c>
      <c r="C208" t="str">
        <v>Шкаф телекоммуникационный ШТК-2 Цокольный этаж Пом. №002Т</v>
      </c>
      <c r="D208" t="str">
        <v>ВВГнг(А)-LS (3х6)</v>
      </c>
      <c r="E208" t="str">
        <v>L=6</v>
      </c>
      <c r="F208" t="str">
        <v>Ø25 L=8</v>
      </c>
      <c r="G208" t="str">
        <v/>
      </c>
      <c r="H208">
        <v>22</v>
      </c>
      <c r="I208" t="str">
        <v/>
      </c>
      <c r="J208" t="str">
        <v/>
      </c>
      <c r="K208" t="str">
        <v/>
      </c>
      <c r="L208" t="str">
        <v/>
      </c>
      <c r="M208" t="str">
        <v/>
      </c>
      <c r="N208" t="str">
        <v/>
      </c>
      <c r="O208" t="str">
        <v/>
      </c>
      <c r="P208" t="str">
        <v>Ø25</v>
      </c>
      <c r="Q208">
        <v>8</v>
      </c>
      <c r="R208" t="str">
        <v/>
      </c>
      <c r="S208" t="str">
        <v/>
      </c>
      <c r="T208">
        <v>6</v>
      </c>
    </row>
    <row r="209" spans="1:20" x14ac:dyDescent="0.3">
      <c r="A209" t="str">
        <v>ШТК-СОТ.0</v>
      </c>
      <c r="B209" t="str">
        <v>ЩР-01</v>
      </c>
      <c r="C209" t="str">
        <v>Шкаф телекоммуникационный ШТК-СОТ.0 Цокольный этаж Пом. №002Т</v>
      </c>
      <c r="D209" t="str">
        <v>ВВГнг(А)-LS (3х2,5)</v>
      </c>
      <c r="E209" t="str">
        <v>L=6</v>
      </c>
      <c r="F209" t="str">
        <v>Ø20 L=8</v>
      </c>
      <c r="G209" t="str">
        <v/>
      </c>
      <c r="H209">
        <v>25</v>
      </c>
      <c r="I209" t="str">
        <v/>
      </c>
      <c r="J209" t="str">
        <v/>
      </c>
      <c r="K209" t="str">
        <v/>
      </c>
      <c r="L209" t="str">
        <v/>
      </c>
      <c r="M209" t="str">
        <v/>
      </c>
      <c r="N209" t="str">
        <v/>
      </c>
      <c r="O209" t="str">
        <v/>
      </c>
      <c r="P209" t="str">
        <v>Ø20</v>
      </c>
      <c r="Q209">
        <v>8</v>
      </c>
      <c r="R209" t="str">
        <v/>
      </c>
      <c r="S209" t="str">
        <v/>
      </c>
      <c r="T209">
        <v>6</v>
      </c>
    </row>
    <row r="210" spans="1:20" x14ac:dyDescent="0.3">
      <c r="A210" t="str">
        <v>ШТК-ЛВС.0</v>
      </c>
      <c r="B210" t="str">
        <v>ЩР-01</v>
      </c>
      <c r="C210" t="str">
        <v>Шкаф телекоммуникационный ШТК-ЛВС.0 Цокольный этаж Пом. №002Т</v>
      </c>
      <c r="D210" t="str">
        <v>ВВГнг(А)-LS (3х2,5)</v>
      </c>
      <c r="E210" t="str">
        <v>L=8</v>
      </c>
      <c r="F210" t="str">
        <v>Ø20 L=11</v>
      </c>
      <c r="G210" t="str">
        <v/>
      </c>
      <c r="H210">
        <v>27</v>
      </c>
      <c r="I210" t="str">
        <v/>
      </c>
      <c r="J210" t="str">
        <v/>
      </c>
      <c r="K210" t="str">
        <v/>
      </c>
      <c r="L210" t="str">
        <v/>
      </c>
      <c r="M210" t="str">
        <v/>
      </c>
      <c r="N210" t="str">
        <v/>
      </c>
      <c r="O210" t="str">
        <v/>
      </c>
      <c r="P210" t="str">
        <v>Ø20</v>
      </c>
      <c r="Q210">
        <v>11</v>
      </c>
      <c r="R210" t="str">
        <v/>
      </c>
      <c r="S210" t="str">
        <v/>
      </c>
      <c r="T210">
        <v>8</v>
      </c>
    </row>
    <row r="211" spans="1:20" x14ac:dyDescent="0.3">
      <c r="A211" t="str">
        <v>ЩДК-01</v>
      </c>
      <c r="B211" t="str">
        <v>ЩР-01</v>
      </c>
      <c r="C211" t="str">
        <v>Щит контроля доступа ШДК-01 Цокольный этаж Пом. №001Т</v>
      </c>
      <c r="D211" t="str">
        <v>ВВГнг(А)-LS (3х2,5)</v>
      </c>
      <c r="E211" t="str">
        <v/>
      </c>
      <c r="F211" t="str">
        <v>Ø20 L=12</v>
      </c>
      <c r="G211" t="str">
        <v/>
      </c>
      <c r="H211">
        <v>12</v>
      </c>
      <c r="I211" t="str">
        <v/>
      </c>
      <c r="J211" t="str">
        <v/>
      </c>
      <c r="K211" t="str">
        <v/>
      </c>
      <c r="L211" t="str">
        <v/>
      </c>
      <c r="M211" t="str">
        <v/>
      </c>
      <c r="N211" t="str">
        <v/>
      </c>
      <c r="O211" t="str">
        <v/>
      </c>
      <c r="P211" t="str">
        <v>Ø20</v>
      </c>
      <c r="Q211">
        <v>12</v>
      </c>
      <c r="R211" t="str">
        <v/>
      </c>
      <c r="S211" t="str">
        <v/>
      </c>
      <c r="T211" t="str">
        <v/>
      </c>
    </row>
    <row r="212" spans="1:20" x14ac:dyDescent="0.3">
      <c r="A212" t="str">
        <v>R.1.001A.1</v>
      </c>
      <c r="B212" t="str">
        <v>ЩР-1</v>
      </c>
      <c r="C212" t="str">
        <v>Розеточная группа, пом. 001A</v>
      </c>
      <c r="D212" t="str">
        <v>ВВГнг(А)-LS (3х2,5)</v>
      </c>
      <c r="E212" t="str">
        <v/>
      </c>
      <c r="F212" t="str">
        <v/>
      </c>
      <c r="G212" t="str">
        <v>Ø20 L=48</v>
      </c>
      <c r="H212">
        <v>81</v>
      </c>
      <c r="I212" t="str">
        <v/>
      </c>
      <c r="J212" t="str">
        <v/>
      </c>
      <c r="K212" t="str">
        <v/>
      </c>
      <c r="L212" t="str">
        <v/>
      </c>
      <c r="M212" t="str">
        <v/>
      </c>
      <c r="N212" t="str">
        <v/>
      </c>
      <c r="O212" t="str">
        <v/>
      </c>
      <c r="P212" t="str">
        <v/>
      </c>
      <c r="Q212" t="str">
        <v/>
      </c>
      <c r="R212" t="str">
        <v>Ø20</v>
      </c>
      <c r="S212">
        <v>48</v>
      </c>
      <c r="T212" t="str">
        <v/>
      </c>
    </row>
    <row r="213" spans="1:20" x14ac:dyDescent="0.3">
      <c r="A213" t="str">
        <v>R.1.001Aб.1</v>
      </c>
      <c r="B213" t="str">
        <v>ЩР-1</v>
      </c>
      <c r="C213" t="str">
        <v>Розеточная группа Первый этаж Пом. №001Aб, 002Аб</v>
      </c>
      <c r="D213" t="str">
        <v>ВВГнг(А)-LS (3х2,5)</v>
      </c>
      <c r="E213" t="str">
        <v>L=28</v>
      </c>
      <c r="F213" t="str">
        <v>Ø20 L=1</v>
      </c>
      <c r="G213" t="str">
        <v/>
      </c>
      <c r="H213">
        <v>73</v>
      </c>
      <c r="I213" t="str">
        <v/>
      </c>
      <c r="J213" t="str">
        <v/>
      </c>
      <c r="K213" t="str">
        <v/>
      </c>
      <c r="L213" t="str">
        <v/>
      </c>
      <c r="M213" t="str">
        <v/>
      </c>
      <c r="N213" t="str">
        <v/>
      </c>
      <c r="O213" t="str">
        <v/>
      </c>
      <c r="P213" t="str">
        <v>Ø20</v>
      </c>
      <c r="Q213">
        <v>1</v>
      </c>
      <c r="R213" t="str">
        <v/>
      </c>
      <c r="S213" t="str">
        <v/>
      </c>
      <c r="T213">
        <v>28</v>
      </c>
    </row>
    <row r="214" spans="1:20" x14ac:dyDescent="0.3">
      <c r="A214" t="str">
        <v>R.1.001Г.1</v>
      </c>
      <c r="B214" t="str">
        <v>ЩР-1</v>
      </c>
      <c r="C214" t="str">
        <v>Розеточная группа, пом. 001Г</v>
      </c>
      <c r="D214" t="str">
        <v>ВВГнг(А)-LS (3х2,5)</v>
      </c>
      <c r="E214" t="str">
        <v>L=12</v>
      </c>
      <c r="F214" t="str">
        <v>Ø20 L=15</v>
      </c>
      <c r="G214" t="str">
        <v>Ø20 L=32</v>
      </c>
      <c r="H214">
        <v>59</v>
      </c>
      <c r="I214" t="str">
        <v/>
      </c>
      <c r="J214" t="str">
        <v/>
      </c>
      <c r="K214" t="str">
        <v/>
      </c>
      <c r="L214" t="str">
        <v/>
      </c>
      <c r="M214" t="str">
        <v/>
      </c>
      <c r="N214" t="str">
        <v/>
      </c>
      <c r="O214" t="str">
        <v/>
      </c>
      <c r="P214" t="str">
        <v>Ø20</v>
      </c>
      <c r="Q214">
        <v>15</v>
      </c>
      <c r="R214" t="str">
        <v>Ø20</v>
      </c>
      <c r="S214">
        <v>32</v>
      </c>
      <c r="T214">
        <v>12</v>
      </c>
    </row>
    <row r="215" spans="1:20" x14ac:dyDescent="0.3">
      <c r="A215" t="str">
        <v>R.1.002A.1</v>
      </c>
      <c r="B215" t="str">
        <v>ЩР-1</v>
      </c>
      <c r="C215" t="str">
        <v>Розеточная группа Первый этаж Пом. №002A, 023А</v>
      </c>
      <c r="D215" t="str">
        <v>ВВГнг(А)-LS (3х2,5)</v>
      </c>
      <c r="E215" t="str">
        <v>L=28</v>
      </c>
      <c r="F215" t="str">
        <v>Ø20 L=38</v>
      </c>
      <c r="G215" t="str">
        <v/>
      </c>
      <c r="H215">
        <v>66</v>
      </c>
      <c r="I215" t="str">
        <v/>
      </c>
      <c r="J215" t="str">
        <v/>
      </c>
      <c r="K215" t="str">
        <v/>
      </c>
      <c r="L215" t="str">
        <v/>
      </c>
      <c r="M215" t="str">
        <v/>
      </c>
      <c r="N215" t="str">
        <v/>
      </c>
      <c r="O215" t="str">
        <v/>
      </c>
      <c r="P215" t="str">
        <v>Ø20</v>
      </c>
      <c r="Q215">
        <v>38</v>
      </c>
      <c r="R215" t="str">
        <v/>
      </c>
      <c r="S215" t="str">
        <v/>
      </c>
      <c r="T215">
        <v>28</v>
      </c>
    </row>
    <row r="216" spans="1:20" x14ac:dyDescent="0.3">
      <c r="A216" t="str">
        <v>R.1.002Aб.1</v>
      </c>
      <c r="B216" t="str">
        <v>ЩР-1</v>
      </c>
      <c r="C216" t="str">
        <v>Розеточная группа, пом. 002Aб</v>
      </c>
      <c r="D216" t="str">
        <v>ВВГнг(А)-LS (3х2,5)</v>
      </c>
      <c r="E216" t="str">
        <v>L=28</v>
      </c>
      <c r="F216" t="str">
        <v>Ø20 L=52</v>
      </c>
      <c r="G216" t="str">
        <v/>
      </c>
      <c r="H216">
        <v>80</v>
      </c>
      <c r="I216" t="str">
        <v/>
      </c>
      <c r="J216" t="str">
        <v/>
      </c>
      <c r="K216" t="str">
        <v/>
      </c>
      <c r="L216" t="str">
        <v/>
      </c>
      <c r="M216" t="str">
        <v/>
      </c>
      <c r="N216" t="str">
        <v/>
      </c>
      <c r="O216" t="str">
        <v/>
      </c>
      <c r="P216" t="str">
        <v>Ø20</v>
      </c>
      <c r="Q216">
        <v>52</v>
      </c>
      <c r="R216" t="str">
        <v/>
      </c>
      <c r="S216" t="str">
        <v/>
      </c>
      <c r="T216">
        <v>28</v>
      </c>
    </row>
    <row r="217" spans="1:20" x14ac:dyDescent="0.3">
      <c r="A217" t="str">
        <v>R.1.002Б.1</v>
      </c>
      <c r="B217" t="str">
        <v>ЩР-1</v>
      </c>
      <c r="C217" t="str">
        <v>Розеточная группа Первый этаж Пом. №002Б Ледогенератор</v>
      </c>
      <c r="D217" t="str">
        <v>ВВГнг(А)-LS (3х2,5)</v>
      </c>
      <c r="E217" t="str">
        <v/>
      </c>
      <c r="F217" t="str">
        <v>Ø20 L=15</v>
      </c>
      <c r="G217" t="str">
        <v/>
      </c>
      <c r="H217">
        <v>30</v>
      </c>
      <c r="I217" t="str">
        <v/>
      </c>
      <c r="J217" t="str">
        <v/>
      </c>
      <c r="K217" t="str">
        <v/>
      </c>
      <c r="L217" t="str">
        <v/>
      </c>
      <c r="M217" t="str">
        <v/>
      </c>
      <c r="N217" t="str">
        <v/>
      </c>
      <c r="O217" t="str">
        <v/>
      </c>
      <c r="P217" t="str">
        <v>Ø20</v>
      </c>
      <c r="Q217">
        <v>15</v>
      </c>
      <c r="R217" t="str">
        <v/>
      </c>
      <c r="S217" t="str">
        <v/>
      </c>
      <c r="T217" t="str">
        <v/>
      </c>
    </row>
    <row r="218" spans="1:20" x14ac:dyDescent="0.3">
      <c r="A218" t="str">
        <v>R.1.002Б.2</v>
      </c>
      <c r="B218" t="str">
        <v>ЩР-1</v>
      </c>
      <c r="C218" t="str">
        <v>Розеточная группа, пом. 002Б</v>
      </c>
      <c r="D218" t="str">
        <v>ВВГнг(А)-LS (3х2,5)</v>
      </c>
      <c r="E218" t="str">
        <v/>
      </c>
      <c r="F218" t="str">
        <v>Ø20 L=14</v>
      </c>
      <c r="G218" t="str">
        <v/>
      </c>
      <c r="H218">
        <v>29</v>
      </c>
      <c r="I218" t="str">
        <v/>
      </c>
      <c r="J218" t="str">
        <v/>
      </c>
      <c r="K218" t="str">
        <v/>
      </c>
      <c r="L218" t="str">
        <v/>
      </c>
      <c r="M218" t="str">
        <v/>
      </c>
      <c r="N218" t="str">
        <v/>
      </c>
      <c r="O218" t="str">
        <v/>
      </c>
      <c r="P218" t="str">
        <v>Ø20</v>
      </c>
      <c r="Q218">
        <v>14</v>
      </c>
      <c r="R218" t="str">
        <v/>
      </c>
      <c r="S218" t="str">
        <v/>
      </c>
      <c r="T218" t="str">
        <v/>
      </c>
    </row>
    <row r="219" spans="1:20" x14ac:dyDescent="0.3">
      <c r="A219" t="str">
        <v>R.1.002Б.3</v>
      </c>
      <c r="B219" t="str">
        <v>ЩР-1</v>
      </c>
      <c r="C219" t="str">
        <v>Розеточная группа Первый этаж Пом. №002Б Ледогенератор</v>
      </c>
      <c r="D219" t="str">
        <v>ВВГнг(А)-LS (3х2,5)</v>
      </c>
      <c r="E219" t="str">
        <v/>
      </c>
      <c r="F219" t="str">
        <v>Ø20 L=14</v>
      </c>
      <c r="G219" t="str">
        <v/>
      </c>
      <c r="H219">
        <v>29</v>
      </c>
      <c r="I219" t="str">
        <v/>
      </c>
      <c r="J219" t="str">
        <v/>
      </c>
      <c r="K219" t="str">
        <v/>
      </c>
      <c r="L219" t="str">
        <v/>
      </c>
      <c r="M219" t="str">
        <v/>
      </c>
      <c r="N219" t="str">
        <v/>
      </c>
      <c r="O219" t="str">
        <v/>
      </c>
      <c r="P219" t="str">
        <v>Ø20</v>
      </c>
      <c r="Q219">
        <v>14</v>
      </c>
      <c r="R219" t="str">
        <v/>
      </c>
      <c r="S219" t="str">
        <v/>
      </c>
      <c r="T219" t="str">
        <v/>
      </c>
    </row>
    <row r="220" spans="1:20" x14ac:dyDescent="0.3">
      <c r="A220" t="str">
        <v>R.1.002Б.4</v>
      </c>
      <c r="B220" t="str">
        <v>ЩР-1</v>
      </c>
      <c r="C220" t="str">
        <v>Розеточная группа Первый этаж Пом. №002Б Фартук</v>
      </c>
      <c r="D220" t="str">
        <v>ВВГнг(А)-LS (3х2,5)</v>
      </c>
      <c r="E220" t="str">
        <v/>
      </c>
      <c r="F220" t="str">
        <v>Ø20 L=14</v>
      </c>
      <c r="G220" t="str">
        <v/>
      </c>
      <c r="H220">
        <v>17</v>
      </c>
      <c r="I220" t="str">
        <v/>
      </c>
      <c r="J220" t="str">
        <v/>
      </c>
      <c r="K220" t="str">
        <v/>
      </c>
      <c r="L220" t="str">
        <v/>
      </c>
      <c r="M220" t="str">
        <v/>
      </c>
      <c r="N220" t="str">
        <v/>
      </c>
      <c r="O220" t="str">
        <v/>
      </c>
      <c r="P220" t="str">
        <v>Ø20</v>
      </c>
      <c r="Q220">
        <v>14</v>
      </c>
      <c r="R220" t="str">
        <v/>
      </c>
      <c r="S220" t="str">
        <v/>
      </c>
      <c r="T220" t="str">
        <v/>
      </c>
    </row>
    <row r="221" spans="1:20" x14ac:dyDescent="0.3">
      <c r="A221" t="str">
        <v>R.1.002Б.5</v>
      </c>
      <c r="B221" t="str">
        <v>ЩР-1</v>
      </c>
      <c r="C221" t="str">
        <v>Розеточная группа Первый этаж Пом. №002Б ПММ</v>
      </c>
      <c r="D221" t="str">
        <v>ВВГнг(А)-LS (3х4)</v>
      </c>
      <c r="E221" t="str">
        <v/>
      </c>
      <c r="F221" t="str">
        <v>Ø20 L=22</v>
      </c>
      <c r="G221" t="str">
        <v/>
      </c>
      <c r="H221">
        <v>22</v>
      </c>
      <c r="I221" t="str">
        <v/>
      </c>
      <c r="J221" t="str">
        <v/>
      </c>
      <c r="K221" t="str">
        <v/>
      </c>
      <c r="L221" t="str">
        <v/>
      </c>
      <c r="M221" t="str">
        <v/>
      </c>
      <c r="N221" t="str">
        <v/>
      </c>
      <c r="O221" t="str">
        <v/>
      </c>
      <c r="P221" t="str">
        <v>Ø20</v>
      </c>
      <c r="Q221">
        <v>22</v>
      </c>
      <c r="R221" t="str">
        <v/>
      </c>
      <c r="S221" t="str">
        <v/>
      </c>
      <c r="T221" t="str">
        <v/>
      </c>
    </row>
    <row r="222" spans="1:20" x14ac:dyDescent="0.3">
      <c r="A222" t="str">
        <v>R.1.002Б.6</v>
      </c>
      <c r="B222" t="str">
        <v>ЩР-1</v>
      </c>
      <c r="C222" t="str">
        <v>Розеточная группа Первый этаж Пом. №002Б Стаканомоечная машина</v>
      </c>
      <c r="D222" t="str">
        <v>ВВГнг(А)-LS (3х4)</v>
      </c>
      <c r="E222" t="str">
        <v/>
      </c>
      <c r="F222" t="str">
        <v>Ø20 L=22</v>
      </c>
      <c r="G222" t="str">
        <v/>
      </c>
      <c r="H222">
        <v>22</v>
      </c>
      <c r="I222" t="str">
        <v/>
      </c>
      <c r="J222" t="str">
        <v/>
      </c>
      <c r="K222" t="str">
        <v/>
      </c>
      <c r="L222" t="str">
        <v/>
      </c>
      <c r="M222" t="str">
        <v/>
      </c>
      <c r="N222" t="str">
        <v/>
      </c>
      <c r="O222" t="str">
        <v/>
      </c>
      <c r="P222" t="str">
        <v>Ø20</v>
      </c>
      <c r="Q222">
        <v>22</v>
      </c>
      <c r="R222" t="str">
        <v/>
      </c>
      <c r="S222" t="str">
        <v/>
      </c>
      <c r="T222" t="str">
        <v/>
      </c>
    </row>
    <row r="223" spans="1:20" x14ac:dyDescent="0.3">
      <c r="A223" t="str">
        <v>R.1.002Б.7</v>
      </c>
      <c r="B223" t="str">
        <v>ЩР-1</v>
      </c>
      <c r="C223" t="str">
        <v>Розеточная группа, пом. 002Б</v>
      </c>
      <c r="D223" t="str">
        <v>ВВГнг(А)-LS (3х2,5)</v>
      </c>
      <c r="E223" t="str">
        <v/>
      </c>
      <c r="F223" t="str">
        <v>Ø20 L=22</v>
      </c>
      <c r="G223" t="str">
        <v/>
      </c>
      <c r="H223">
        <v>22</v>
      </c>
      <c r="I223" t="str">
        <v/>
      </c>
      <c r="J223" t="str">
        <v/>
      </c>
      <c r="K223" t="str">
        <v/>
      </c>
      <c r="L223" t="str">
        <v/>
      </c>
      <c r="M223" t="str">
        <v/>
      </c>
      <c r="N223" t="str">
        <v/>
      </c>
      <c r="O223" t="str">
        <v/>
      </c>
      <c r="P223" t="str">
        <v>Ø20</v>
      </c>
      <c r="Q223">
        <v>22</v>
      </c>
      <c r="R223" t="str">
        <v/>
      </c>
      <c r="S223" t="str">
        <v/>
      </c>
      <c r="T223" t="str">
        <v/>
      </c>
    </row>
    <row r="224" spans="1:20" x14ac:dyDescent="0.3">
      <c r="A224" t="str">
        <v>R.1.002Б.8</v>
      </c>
      <c r="B224" t="str">
        <v>ЩР-1</v>
      </c>
      <c r="C224" t="str">
        <v>Розеточная группа, пом. 002Б</v>
      </c>
      <c r="D224" t="str">
        <v>ВВГнг(А)-LS (3х2,5)</v>
      </c>
      <c r="E224" t="str">
        <v>L=2</v>
      </c>
      <c r="F224" t="str">
        <v>Ø20 L=6</v>
      </c>
      <c r="G224" t="str">
        <v>Ø20 L=19</v>
      </c>
      <c r="H224">
        <v>27</v>
      </c>
      <c r="I224" t="str">
        <v/>
      </c>
      <c r="J224" t="str">
        <v/>
      </c>
      <c r="K224" t="str">
        <v/>
      </c>
      <c r="L224" t="str">
        <v/>
      </c>
      <c r="M224" t="str">
        <v/>
      </c>
      <c r="N224" t="str">
        <v/>
      </c>
      <c r="O224" t="str">
        <v/>
      </c>
      <c r="P224" t="str">
        <v>Ø20</v>
      </c>
      <c r="Q224">
        <v>6</v>
      </c>
      <c r="R224" t="str">
        <v>Ø20</v>
      </c>
      <c r="S224">
        <v>19</v>
      </c>
      <c r="T224">
        <v>2</v>
      </c>
    </row>
    <row r="225" spans="1:20" x14ac:dyDescent="0.3">
      <c r="A225" t="str">
        <v>R.1.002Г.1</v>
      </c>
      <c r="B225" t="str">
        <v>ЩР-1</v>
      </c>
      <c r="C225" t="str">
        <v>Розеточная группа, пом. 002Г</v>
      </c>
      <c r="D225" t="str">
        <v>ВВГнг(А)-LS (3х2,5)</v>
      </c>
      <c r="E225" t="str">
        <v>L=28</v>
      </c>
      <c r="F225" t="str">
        <v>Ø20 L=49</v>
      </c>
      <c r="G225" t="str">
        <v>Ø20 L=36</v>
      </c>
      <c r="H225">
        <v>113</v>
      </c>
      <c r="I225" t="str">
        <v/>
      </c>
      <c r="J225" t="str">
        <v/>
      </c>
      <c r="K225" t="str">
        <v/>
      </c>
      <c r="L225" t="str">
        <v/>
      </c>
      <c r="M225" t="str">
        <v/>
      </c>
      <c r="N225" t="str">
        <v/>
      </c>
      <c r="O225" t="str">
        <v/>
      </c>
      <c r="P225" t="str">
        <v>Ø20</v>
      </c>
      <c r="Q225">
        <v>49</v>
      </c>
      <c r="R225" t="str">
        <v>Ø20</v>
      </c>
      <c r="S225">
        <v>36</v>
      </c>
      <c r="T225">
        <v>28</v>
      </c>
    </row>
    <row r="226" spans="1:20" x14ac:dyDescent="0.3">
      <c r="A226" t="str">
        <v>R.1.003A.1</v>
      </c>
      <c r="B226" t="str">
        <v>ЩР-1</v>
      </c>
      <c r="C226" t="str">
        <v>Розеточная группа, пом. 003A</v>
      </c>
      <c r="D226" t="str">
        <v>ВВГнг(А)-LS (3х2,5)</v>
      </c>
      <c r="E226" t="str">
        <v>L=28</v>
      </c>
      <c r="F226" t="str">
        <v>Ø20 L=25</v>
      </c>
      <c r="G226" t="str">
        <v>Ø20 L=7</v>
      </c>
      <c r="H226">
        <v>60</v>
      </c>
      <c r="I226" t="str">
        <v/>
      </c>
      <c r="J226" t="str">
        <v/>
      </c>
      <c r="K226" t="str">
        <v/>
      </c>
      <c r="L226" t="str">
        <v/>
      </c>
      <c r="M226" t="str">
        <v/>
      </c>
      <c r="N226" t="str">
        <v/>
      </c>
      <c r="O226" t="str">
        <v/>
      </c>
      <c r="P226" t="str">
        <v>Ø20</v>
      </c>
      <c r="Q226">
        <v>25</v>
      </c>
      <c r="R226" t="str">
        <v>Ø20</v>
      </c>
      <c r="S226">
        <v>7</v>
      </c>
      <c r="T226">
        <v>28</v>
      </c>
    </row>
    <row r="227" spans="1:20" x14ac:dyDescent="0.3">
      <c r="A227" t="str">
        <v>R.1.003A.2</v>
      </c>
      <c r="B227" t="str">
        <v>ЩР-1</v>
      </c>
      <c r="C227" t="str">
        <v>Розеточная группа, пом. 003A</v>
      </c>
      <c r="D227" t="str">
        <v>ВВГнг(А)-LS (3х2,5)</v>
      </c>
      <c r="E227" t="str">
        <v>L=28</v>
      </c>
      <c r="F227" t="str">
        <v>Ø20 L=42</v>
      </c>
      <c r="G227" t="str">
        <v>Ø20 L=5</v>
      </c>
      <c r="H227">
        <v>75</v>
      </c>
      <c r="I227" t="str">
        <v/>
      </c>
      <c r="J227" t="str">
        <v/>
      </c>
      <c r="K227" t="str">
        <v/>
      </c>
      <c r="L227" t="str">
        <v/>
      </c>
      <c r="M227" t="str">
        <v/>
      </c>
      <c r="N227" t="str">
        <v/>
      </c>
      <c r="O227" t="str">
        <v/>
      </c>
      <c r="P227" t="str">
        <v>Ø20</v>
      </c>
      <c r="Q227">
        <v>42</v>
      </c>
      <c r="R227" t="str">
        <v>Ø20</v>
      </c>
      <c r="S227">
        <v>5</v>
      </c>
      <c r="T227">
        <v>28</v>
      </c>
    </row>
    <row r="228" spans="1:20" x14ac:dyDescent="0.3">
      <c r="A228" t="str">
        <v>R.1.003A.3</v>
      </c>
      <c r="B228" t="str">
        <v>ЩР-1</v>
      </c>
      <c r="C228" t="str">
        <v>Розеточная группа, пом. 003A</v>
      </c>
      <c r="D228" t="str">
        <v>ВВГнг(А)-LS (3х2,5)</v>
      </c>
      <c r="E228" t="str">
        <v>L=28</v>
      </c>
      <c r="F228" t="str">
        <v>Ø20 L=72</v>
      </c>
      <c r="G228" t="str">
        <v>Ø20 L=7</v>
      </c>
      <c r="H228">
        <v>107</v>
      </c>
      <c r="I228" t="str">
        <v/>
      </c>
      <c r="J228" t="str">
        <v/>
      </c>
      <c r="K228" t="str">
        <v/>
      </c>
      <c r="L228" t="str">
        <v/>
      </c>
      <c r="M228" t="str">
        <v/>
      </c>
      <c r="N228" t="str">
        <v/>
      </c>
      <c r="O228" t="str">
        <v/>
      </c>
      <c r="P228" t="str">
        <v>Ø20</v>
      </c>
      <c r="Q228">
        <v>72</v>
      </c>
      <c r="R228" t="str">
        <v>Ø20</v>
      </c>
      <c r="S228">
        <v>7</v>
      </c>
      <c r="T228">
        <v>28</v>
      </c>
    </row>
    <row r="229" spans="1:20" x14ac:dyDescent="0.3">
      <c r="A229" t="str">
        <v>R.1.003A2</v>
      </c>
      <c r="B229" t="str">
        <v>ЩР-1</v>
      </c>
      <c r="C229" t="str">
        <v>Розеточная группа, пом. 003A2</v>
      </c>
      <c r="D229" t="str">
        <v>ВВГнг(А)-LS (3х2,5)</v>
      </c>
      <c r="E229" t="str">
        <v>L=28</v>
      </c>
      <c r="F229" t="str">
        <v>Ø20 L=35</v>
      </c>
      <c r="G229" t="str">
        <v>Ø20 L=6</v>
      </c>
      <c r="H229">
        <v>69</v>
      </c>
      <c r="I229" t="str">
        <v/>
      </c>
      <c r="J229" t="str">
        <v/>
      </c>
      <c r="K229" t="str">
        <v/>
      </c>
      <c r="L229" t="str">
        <v/>
      </c>
      <c r="M229" t="str">
        <v/>
      </c>
      <c r="N229" t="str">
        <v/>
      </c>
      <c r="O229" t="str">
        <v/>
      </c>
      <c r="P229" t="str">
        <v>Ø20</v>
      </c>
      <c r="Q229">
        <v>35</v>
      </c>
      <c r="R229" t="str">
        <v>Ø20</v>
      </c>
      <c r="S229">
        <v>6</v>
      </c>
      <c r="T229">
        <v>28</v>
      </c>
    </row>
    <row r="230" spans="1:20" x14ac:dyDescent="0.3">
      <c r="A230" t="str">
        <v>R.1.003Aб.1</v>
      </c>
      <c r="B230" t="str">
        <v>ЩР-1</v>
      </c>
      <c r="C230" t="str">
        <v>Розеточная группа, пом. 003Aб</v>
      </c>
      <c r="D230" t="str">
        <v>ВВГнг(А)-LS (3х2,5)</v>
      </c>
      <c r="E230" t="str">
        <v>L=28</v>
      </c>
      <c r="F230" t="str">
        <v>Ø20 L=53</v>
      </c>
      <c r="G230" t="str">
        <v/>
      </c>
      <c r="H230">
        <v>81</v>
      </c>
      <c r="I230" t="str">
        <v/>
      </c>
      <c r="J230" t="str">
        <v/>
      </c>
      <c r="K230" t="str">
        <v/>
      </c>
      <c r="L230" t="str">
        <v/>
      </c>
      <c r="M230" t="str">
        <v/>
      </c>
      <c r="N230" t="str">
        <v/>
      </c>
      <c r="O230" t="str">
        <v/>
      </c>
      <c r="P230" t="str">
        <v>Ø20</v>
      </c>
      <c r="Q230">
        <v>53</v>
      </c>
      <c r="R230" t="str">
        <v/>
      </c>
      <c r="S230" t="str">
        <v/>
      </c>
      <c r="T230">
        <v>28</v>
      </c>
    </row>
    <row r="231" spans="1:20" x14ac:dyDescent="0.3">
      <c r="A231" t="str">
        <v>R.1.003Б.1</v>
      </c>
      <c r="B231" t="str">
        <v>ЩР-1</v>
      </c>
      <c r="C231" t="str">
        <v>Розеточная группа, пом. 003Б</v>
      </c>
      <c r="D231" t="str">
        <v>ВВГнг(А)-LS (3х2,5)</v>
      </c>
      <c r="E231" t="str">
        <v/>
      </c>
      <c r="F231" t="str">
        <v/>
      </c>
      <c r="G231" t="str">
        <v>Ø20 L=23</v>
      </c>
      <c r="H231">
        <v>28</v>
      </c>
      <c r="I231" t="str">
        <v/>
      </c>
      <c r="J231" t="str">
        <v/>
      </c>
      <c r="K231" t="str">
        <v/>
      </c>
      <c r="L231" t="str">
        <v/>
      </c>
      <c r="M231" t="str">
        <v/>
      </c>
      <c r="N231" t="str">
        <v/>
      </c>
      <c r="O231" t="str">
        <v/>
      </c>
      <c r="P231" t="str">
        <v/>
      </c>
      <c r="Q231" t="str">
        <v/>
      </c>
      <c r="R231" t="str">
        <v>Ø20</v>
      </c>
      <c r="S231">
        <v>23</v>
      </c>
      <c r="T231" t="str">
        <v/>
      </c>
    </row>
    <row r="232" spans="1:20" x14ac:dyDescent="0.3">
      <c r="A232" t="str">
        <v>R.1.003Б.2</v>
      </c>
      <c r="B232" t="str">
        <v>ЩР-1</v>
      </c>
      <c r="C232" t="str">
        <v>Розеточная группа, пом. 003Б</v>
      </c>
      <c r="D232" t="str">
        <v>ВВГнг(А)-LS (3х2,5)</v>
      </c>
      <c r="E232" t="str">
        <v/>
      </c>
      <c r="F232" t="str">
        <v/>
      </c>
      <c r="G232" t="str">
        <v>Ø20 L=8</v>
      </c>
      <c r="H232">
        <v>13</v>
      </c>
      <c r="I232" t="str">
        <v/>
      </c>
      <c r="J232" t="str">
        <v/>
      </c>
      <c r="K232" t="str">
        <v/>
      </c>
      <c r="L232" t="str">
        <v/>
      </c>
      <c r="M232" t="str">
        <v/>
      </c>
      <c r="N232" t="str">
        <v/>
      </c>
      <c r="O232" t="str">
        <v/>
      </c>
      <c r="P232" t="str">
        <v/>
      </c>
      <c r="Q232" t="str">
        <v/>
      </c>
      <c r="R232" t="str">
        <v>Ø20</v>
      </c>
      <c r="S232">
        <v>8</v>
      </c>
      <c r="T232" t="str">
        <v/>
      </c>
    </row>
    <row r="233" spans="1:20" x14ac:dyDescent="0.3">
      <c r="A233" t="str">
        <v>R.1.003Г.1</v>
      </c>
      <c r="B233" t="str">
        <v>ЩР-1</v>
      </c>
      <c r="C233" t="str">
        <v>Розеточная группа, пом. 003Г</v>
      </c>
      <c r="D233" t="str">
        <v>ВВГнг(А)-LS (3х2,5)</v>
      </c>
      <c r="E233" t="str">
        <v>L=6</v>
      </c>
      <c r="F233" t="str">
        <v>Ø20 L=26</v>
      </c>
      <c r="G233" t="str">
        <v/>
      </c>
      <c r="H233">
        <v>32</v>
      </c>
      <c r="I233" t="str">
        <v/>
      </c>
      <c r="J233" t="str">
        <v/>
      </c>
      <c r="K233" t="str">
        <v/>
      </c>
      <c r="L233" t="str">
        <v/>
      </c>
      <c r="M233" t="str">
        <v/>
      </c>
      <c r="N233" t="str">
        <v/>
      </c>
      <c r="O233" t="str">
        <v/>
      </c>
      <c r="P233" t="str">
        <v>Ø20</v>
      </c>
      <c r="Q233">
        <v>26</v>
      </c>
      <c r="R233" t="str">
        <v/>
      </c>
      <c r="S233" t="str">
        <v/>
      </c>
      <c r="T233">
        <v>6</v>
      </c>
    </row>
    <row r="234" spans="1:20" x14ac:dyDescent="0.3">
      <c r="A234" t="str">
        <v>R.1.004Aб.1</v>
      </c>
      <c r="B234" t="str">
        <v>ЩР-1</v>
      </c>
      <c r="C234" t="str">
        <v>Розеточная группа, пом. 004Aб</v>
      </c>
      <c r="D234" t="str">
        <v>ВВГнг(А)-LS (3х2,5)</v>
      </c>
      <c r="E234" t="str">
        <v>L=28</v>
      </c>
      <c r="F234" t="str">
        <v>Ø20 L=47</v>
      </c>
      <c r="G234" t="str">
        <v/>
      </c>
      <c r="H234">
        <v>75</v>
      </c>
      <c r="I234" t="str">
        <v/>
      </c>
      <c r="J234" t="str">
        <v/>
      </c>
      <c r="K234" t="str">
        <v/>
      </c>
      <c r="L234" t="str">
        <v/>
      </c>
      <c r="M234" t="str">
        <v/>
      </c>
      <c r="N234" t="str">
        <v/>
      </c>
      <c r="O234" t="str">
        <v/>
      </c>
      <c r="P234" t="str">
        <v>Ø20</v>
      </c>
      <c r="Q234">
        <v>47</v>
      </c>
      <c r="R234" t="str">
        <v/>
      </c>
      <c r="S234" t="str">
        <v/>
      </c>
      <c r="T234">
        <v>28</v>
      </c>
    </row>
    <row r="235" spans="1:20" x14ac:dyDescent="0.3">
      <c r="A235" t="str">
        <v>R.1.005A.1</v>
      </c>
      <c r="B235" t="str">
        <v>ЩР-1</v>
      </c>
      <c r="C235" t="str">
        <v>Розеточная группа, пом. 005A</v>
      </c>
      <c r="D235" t="str">
        <v>ВВГнг(А)-LS (3х2,5)</v>
      </c>
      <c r="E235" t="str">
        <v>L=12</v>
      </c>
      <c r="F235" t="str">
        <v>Ø20 L=19</v>
      </c>
      <c r="G235" t="str">
        <v/>
      </c>
      <c r="H235">
        <v>31</v>
      </c>
      <c r="I235" t="str">
        <v/>
      </c>
      <c r="J235" t="str">
        <v/>
      </c>
      <c r="K235" t="str">
        <v/>
      </c>
      <c r="L235" t="str">
        <v/>
      </c>
      <c r="M235" t="str">
        <v/>
      </c>
      <c r="N235" t="str">
        <v/>
      </c>
      <c r="O235" t="str">
        <v/>
      </c>
      <c r="P235" t="str">
        <v>Ø20</v>
      </c>
      <c r="Q235">
        <v>19</v>
      </c>
      <c r="R235" t="str">
        <v/>
      </c>
      <c r="S235" t="str">
        <v/>
      </c>
      <c r="T235">
        <v>12</v>
      </c>
    </row>
    <row r="236" spans="1:20" x14ac:dyDescent="0.3">
      <c r="A236" t="str">
        <v>R.1.006A.1</v>
      </c>
      <c r="B236" t="str">
        <v>ЩР-1</v>
      </c>
      <c r="C236" t="str">
        <v>Розеточная группа, пом. 006A</v>
      </c>
      <c r="D236" t="str">
        <v>ВВГнг(А)-LS (3х2,5)</v>
      </c>
      <c r="E236" t="str">
        <v>L=28</v>
      </c>
      <c r="F236" t="str">
        <v>Ø20 L=20</v>
      </c>
      <c r="G236" t="str">
        <v>Ø20 L=6</v>
      </c>
      <c r="H236">
        <v>54</v>
      </c>
      <c r="I236" t="str">
        <v/>
      </c>
      <c r="J236" t="str">
        <v/>
      </c>
      <c r="K236" t="str">
        <v/>
      </c>
      <c r="L236" t="str">
        <v/>
      </c>
      <c r="M236" t="str">
        <v/>
      </c>
      <c r="N236" t="str">
        <v/>
      </c>
      <c r="O236" t="str">
        <v/>
      </c>
      <c r="P236" t="str">
        <v>Ø20</v>
      </c>
      <c r="Q236">
        <v>20</v>
      </c>
      <c r="R236" t="str">
        <v>Ø20</v>
      </c>
      <c r="S236">
        <v>6</v>
      </c>
      <c r="T236">
        <v>28</v>
      </c>
    </row>
    <row r="237" spans="1:20" x14ac:dyDescent="0.3">
      <c r="A237" t="str">
        <v>R.1.006Aб.1</v>
      </c>
      <c r="B237" t="str">
        <v>ЩР-1</v>
      </c>
      <c r="C237" t="str">
        <v>Розеточная группа, пом. 006Aб</v>
      </c>
      <c r="D237" t="str">
        <v>ВВГнг(А)-LS (3х2,5)</v>
      </c>
      <c r="E237" t="str">
        <v>L=28</v>
      </c>
      <c r="F237" t="str">
        <v>Ø20 L=78</v>
      </c>
      <c r="G237" t="str">
        <v/>
      </c>
      <c r="H237">
        <v>106</v>
      </c>
      <c r="I237" t="str">
        <v/>
      </c>
      <c r="J237" t="str">
        <v/>
      </c>
      <c r="K237" t="str">
        <v/>
      </c>
      <c r="L237" t="str">
        <v/>
      </c>
      <c r="M237" t="str">
        <v/>
      </c>
      <c r="N237" t="str">
        <v/>
      </c>
      <c r="O237" t="str">
        <v/>
      </c>
      <c r="P237" t="str">
        <v>Ø20</v>
      </c>
      <c r="Q237">
        <v>78</v>
      </c>
      <c r="R237" t="str">
        <v/>
      </c>
      <c r="S237" t="str">
        <v/>
      </c>
      <c r="T237">
        <v>28</v>
      </c>
    </row>
    <row r="238" spans="1:20" x14ac:dyDescent="0.3">
      <c r="A238" t="str">
        <v>R.1.006Aб.2</v>
      </c>
      <c r="B238" t="str">
        <v>ЩР-1</v>
      </c>
      <c r="C238" t="str">
        <v>Розеточная группа, пом. 006Aб</v>
      </c>
      <c r="D238" t="str">
        <v>ВВГнг(А)-LS (3х2,5)</v>
      </c>
      <c r="E238" t="str">
        <v>L=28</v>
      </c>
      <c r="F238" t="str">
        <v>Ø20 L=96</v>
      </c>
      <c r="G238" t="str">
        <v/>
      </c>
      <c r="H238">
        <v>124</v>
      </c>
      <c r="I238" t="str">
        <v/>
      </c>
      <c r="J238" t="str">
        <v/>
      </c>
      <c r="K238" t="str">
        <v/>
      </c>
      <c r="L238" t="str">
        <v/>
      </c>
      <c r="M238" t="str">
        <v/>
      </c>
      <c r="N238" t="str">
        <v/>
      </c>
      <c r="O238" t="str">
        <v/>
      </c>
      <c r="P238" t="str">
        <v>Ø20</v>
      </c>
      <c r="Q238">
        <v>96</v>
      </c>
      <c r="R238" t="str">
        <v/>
      </c>
      <c r="S238" t="str">
        <v/>
      </c>
      <c r="T238">
        <v>28</v>
      </c>
    </row>
    <row r="239" spans="1:20" x14ac:dyDescent="0.3">
      <c r="A239" t="str">
        <v>R.1.007A.1</v>
      </c>
      <c r="B239" t="str">
        <v>ЩР-1</v>
      </c>
      <c r="C239" t="str">
        <v>Розеточная группа, пом. 007A</v>
      </c>
      <c r="D239" t="str">
        <v>ВВГнг(А)-LS (3х2,5)</v>
      </c>
      <c r="E239" t="str">
        <v>L=7</v>
      </c>
      <c r="F239" t="str">
        <v>Ø20 L=38</v>
      </c>
      <c r="G239" t="str">
        <v/>
      </c>
      <c r="H239">
        <v>45</v>
      </c>
      <c r="I239" t="str">
        <v/>
      </c>
      <c r="J239" t="str">
        <v/>
      </c>
      <c r="K239" t="str">
        <v/>
      </c>
      <c r="L239" t="str">
        <v/>
      </c>
      <c r="M239" t="str">
        <v/>
      </c>
      <c r="N239" t="str">
        <v/>
      </c>
      <c r="O239" t="str">
        <v/>
      </c>
      <c r="P239" t="str">
        <v>Ø20</v>
      </c>
      <c r="Q239">
        <v>38</v>
      </c>
      <c r="R239" t="str">
        <v/>
      </c>
      <c r="S239" t="str">
        <v/>
      </c>
      <c r="T239">
        <v>7</v>
      </c>
    </row>
    <row r="240" spans="1:20" x14ac:dyDescent="0.3">
      <c r="A240" t="str">
        <v>R.1.008A.1</v>
      </c>
      <c r="B240" t="str">
        <v>ЩР-1</v>
      </c>
      <c r="C240" t="str">
        <v>Розеточная группа, пом. 008A</v>
      </c>
      <c r="D240" t="str">
        <v>ВВГнг(А)-LS (3х2,5)</v>
      </c>
      <c r="E240" t="str">
        <v>L=20</v>
      </c>
      <c r="F240" t="str">
        <v>Ø20 L=26</v>
      </c>
      <c r="G240" t="str">
        <v>Ø20 L=5</v>
      </c>
      <c r="H240">
        <v>51</v>
      </c>
      <c r="I240" t="str">
        <v/>
      </c>
      <c r="J240" t="str">
        <v/>
      </c>
      <c r="K240" t="str">
        <v/>
      </c>
      <c r="L240" t="str">
        <v/>
      </c>
      <c r="M240" t="str">
        <v/>
      </c>
      <c r="N240" t="str">
        <v/>
      </c>
      <c r="O240" t="str">
        <v/>
      </c>
      <c r="P240" t="str">
        <v>Ø20</v>
      </c>
      <c r="Q240">
        <v>26</v>
      </c>
      <c r="R240" t="str">
        <v>Ø20</v>
      </c>
      <c r="S240">
        <v>5</v>
      </c>
      <c r="T240">
        <v>20</v>
      </c>
    </row>
    <row r="241" spans="1:20" x14ac:dyDescent="0.3">
      <c r="A241" t="str">
        <v>R.1.009A.1</v>
      </c>
      <c r="B241" t="str">
        <v>ЩР-1</v>
      </c>
      <c r="C241" t="str">
        <v>Розеточная группа, пом. 009A</v>
      </c>
      <c r="D241" t="str">
        <v>ВВГнг(А)-LS (3х2,5)</v>
      </c>
      <c r="E241" t="str">
        <v/>
      </c>
      <c r="F241" t="str">
        <v/>
      </c>
      <c r="G241" t="str">
        <v>Ø20 L=22</v>
      </c>
      <c r="H241">
        <v>27</v>
      </c>
      <c r="I241" t="str">
        <v/>
      </c>
      <c r="J241" t="str">
        <v/>
      </c>
      <c r="K241" t="str">
        <v/>
      </c>
      <c r="L241" t="str">
        <v/>
      </c>
      <c r="M241" t="str">
        <v/>
      </c>
      <c r="N241" t="str">
        <v/>
      </c>
      <c r="O241" t="str">
        <v/>
      </c>
      <c r="P241" t="str">
        <v/>
      </c>
      <c r="Q241" t="str">
        <v/>
      </c>
      <c r="R241" t="str">
        <v>Ø20</v>
      </c>
      <c r="S241">
        <v>22</v>
      </c>
      <c r="T241" t="str">
        <v/>
      </c>
    </row>
    <row r="242" spans="1:20" x14ac:dyDescent="0.3">
      <c r="A242" t="str">
        <v>R.1.010A.1</v>
      </c>
      <c r="B242" t="str">
        <v>ЩР-1</v>
      </c>
      <c r="C242" t="str">
        <v>Розеточная группа, пом. 010A</v>
      </c>
      <c r="D242" t="str">
        <v>ВВГнг(А)-LS (3х2,5)</v>
      </c>
      <c r="E242" t="str">
        <v/>
      </c>
      <c r="F242" t="str">
        <v/>
      </c>
      <c r="G242" t="str">
        <v>Ø20 L=40</v>
      </c>
      <c r="H242">
        <v>45</v>
      </c>
      <c r="I242" t="str">
        <v/>
      </c>
      <c r="J242" t="str">
        <v/>
      </c>
      <c r="K242" t="str">
        <v/>
      </c>
      <c r="L242" t="str">
        <v/>
      </c>
      <c r="M242" t="str">
        <v/>
      </c>
      <c r="N242" t="str">
        <v/>
      </c>
      <c r="O242" t="str">
        <v/>
      </c>
      <c r="P242" t="str">
        <v/>
      </c>
      <c r="Q242" t="str">
        <v/>
      </c>
      <c r="R242" t="str">
        <v>Ø20</v>
      </c>
      <c r="S242">
        <v>40</v>
      </c>
      <c r="T242" t="str">
        <v/>
      </c>
    </row>
    <row r="243" spans="1:20" x14ac:dyDescent="0.3">
      <c r="A243" t="str">
        <v>R.1.011A.1</v>
      </c>
      <c r="B243" t="str">
        <v>ЩР-1</v>
      </c>
      <c r="C243" t="str">
        <v>Розеточная группа, пом. 011A</v>
      </c>
      <c r="D243" t="str">
        <v>ВВГнг(А)-LS (3х2,5)</v>
      </c>
      <c r="E243" t="str">
        <v>L=11</v>
      </c>
      <c r="F243" t="str">
        <v>Ø20 L=31</v>
      </c>
      <c r="G243" t="str">
        <v>Ø20 L=36</v>
      </c>
      <c r="H243">
        <v>73</v>
      </c>
      <c r="I243" t="str">
        <v/>
      </c>
      <c r="J243" t="str">
        <v/>
      </c>
      <c r="K243" t="str">
        <v/>
      </c>
      <c r="L243" t="str">
        <v/>
      </c>
      <c r="M243" t="str">
        <v/>
      </c>
      <c r="N243" t="str">
        <v/>
      </c>
      <c r="O243" t="str">
        <v/>
      </c>
      <c r="P243" t="str">
        <v>Ø20</v>
      </c>
      <c r="Q243">
        <v>31</v>
      </c>
      <c r="R243" t="str">
        <v>Ø20</v>
      </c>
      <c r="S243">
        <v>36</v>
      </c>
      <c r="T243">
        <v>11</v>
      </c>
    </row>
    <row r="244" spans="1:20" x14ac:dyDescent="0.3">
      <c r="A244" t="str">
        <v>R.1.012.1A.1</v>
      </c>
      <c r="B244" t="str">
        <v>ЩР-1</v>
      </c>
      <c r="C244" t="str">
        <v>Розеточная группа, пом. 012</v>
      </c>
      <c r="D244" t="str">
        <v>ВВГнг(А)-LS (3х2,5)</v>
      </c>
      <c r="E244" t="str">
        <v>L=18</v>
      </c>
      <c r="F244" t="str">
        <v>Ø20 L=14</v>
      </c>
      <c r="G244" t="str">
        <v/>
      </c>
      <c r="H244">
        <v>32</v>
      </c>
      <c r="I244" t="str">
        <v/>
      </c>
      <c r="J244" t="str">
        <v/>
      </c>
      <c r="K244" t="str">
        <v/>
      </c>
      <c r="L244" t="str">
        <v/>
      </c>
      <c r="M244" t="str">
        <v/>
      </c>
      <c r="N244" t="str">
        <v/>
      </c>
      <c r="O244" t="str">
        <v/>
      </c>
      <c r="P244" t="str">
        <v>Ø20</v>
      </c>
      <c r="Q244">
        <v>14</v>
      </c>
      <c r="R244" t="str">
        <v/>
      </c>
      <c r="S244" t="str">
        <v/>
      </c>
      <c r="T244">
        <v>18</v>
      </c>
    </row>
    <row r="245" spans="1:20" x14ac:dyDescent="0.3">
      <c r="A245" t="str">
        <v>R.1.013A.1</v>
      </c>
      <c r="B245" t="str">
        <v>ЩР-1</v>
      </c>
      <c r="C245" t="str">
        <v>Розеточная группа, пом. 013A</v>
      </c>
      <c r="D245" t="str">
        <v>ВВГнг(А)-LS (3х2,5)</v>
      </c>
      <c r="E245" t="str">
        <v>L=20</v>
      </c>
      <c r="F245" t="str">
        <v>Ø20 L=18</v>
      </c>
      <c r="G245" t="str">
        <v/>
      </c>
      <c r="H245">
        <v>38</v>
      </c>
      <c r="I245" t="str">
        <v/>
      </c>
      <c r="J245" t="str">
        <v/>
      </c>
      <c r="K245" t="str">
        <v/>
      </c>
      <c r="L245" t="str">
        <v/>
      </c>
      <c r="M245" t="str">
        <v/>
      </c>
      <c r="N245" t="str">
        <v/>
      </c>
      <c r="O245" t="str">
        <v/>
      </c>
      <c r="P245" t="str">
        <v>Ø20</v>
      </c>
      <c r="Q245">
        <v>18</v>
      </c>
      <c r="R245" t="str">
        <v/>
      </c>
      <c r="S245" t="str">
        <v/>
      </c>
      <c r="T245">
        <v>20</v>
      </c>
    </row>
    <row r="246" spans="1:20" x14ac:dyDescent="0.3">
      <c r="A246" t="str">
        <v>R.1.014A.1</v>
      </c>
      <c r="B246" t="str">
        <v>ЩР-1</v>
      </c>
      <c r="C246" t="str">
        <v>Розеточная группа, пом. 014A</v>
      </c>
      <c r="D246" t="str">
        <v>ВВГнг(А)-LS (3х2,5)</v>
      </c>
      <c r="E246" t="str">
        <v>L=3</v>
      </c>
      <c r="F246" t="str">
        <v>Ø20 L=19</v>
      </c>
      <c r="G246" t="str">
        <v/>
      </c>
      <c r="H246">
        <v>22</v>
      </c>
      <c r="I246" t="str">
        <v/>
      </c>
      <c r="J246" t="str">
        <v/>
      </c>
      <c r="K246" t="str">
        <v/>
      </c>
      <c r="L246" t="str">
        <v/>
      </c>
      <c r="M246" t="str">
        <v/>
      </c>
      <c r="N246" t="str">
        <v/>
      </c>
      <c r="O246" t="str">
        <v/>
      </c>
      <c r="P246" t="str">
        <v>Ø20</v>
      </c>
      <c r="Q246">
        <v>19</v>
      </c>
      <c r="R246" t="str">
        <v/>
      </c>
      <c r="S246" t="str">
        <v/>
      </c>
      <c r="T246">
        <v>3</v>
      </c>
    </row>
    <row r="247" spans="1:20" x14ac:dyDescent="0.3">
      <c r="A247" t="str">
        <v>R.1.015A.1</v>
      </c>
      <c r="B247" t="str">
        <v>ЩР-1</v>
      </c>
      <c r="C247" t="str">
        <v>Розеточная группа, пом. 015A</v>
      </c>
      <c r="D247" t="str">
        <v>ВВГнг(А)-LS (3х2,5)</v>
      </c>
      <c r="E247" t="str">
        <v>L=6</v>
      </c>
      <c r="F247" t="str">
        <v>Ø20 L=36</v>
      </c>
      <c r="G247" t="str">
        <v/>
      </c>
      <c r="H247">
        <v>42</v>
      </c>
      <c r="I247" t="str">
        <v/>
      </c>
      <c r="J247" t="str">
        <v/>
      </c>
      <c r="K247" t="str">
        <v/>
      </c>
      <c r="L247" t="str">
        <v/>
      </c>
      <c r="M247" t="str">
        <v/>
      </c>
      <c r="N247" t="str">
        <v/>
      </c>
      <c r="O247" t="str">
        <v/>
      </c>
      <c r="P247" t="str">
        <v>Ø20</v>
      </c>
      <c r="Q247">
        <v>36</v>
      </c>
      <c r="R247" t="str">
        <v/>
      </c>
      <c r="S247" t="str">
        <v/>
      </c>
      <c r="T247">
        <v>6</v>
      </c>
    </row>
    <row r="248" spans="1:20" x14ac:dyDescent="0.3">
      <c r="A248" t="str">
        <v>R.1.016A.1</v>
      </c>
      <c r="B248" t="str">
        <v>ЩР-1</v>
      </c>
      <c r="C248" t="str">
        <v>Розеточная группа, пом. 016A</v>
      </c>
      <c r="D248" t="str">
        <v>ВВГнг(А)-LS (3х2,5)</v>
      </c>
      <c r="E248" t="str">
        <v>L=20</v>
      </c>
      <c r="F248" t="str">
        <v>Ø20 L=25</v>
      </c>
      <c r="G248" t="str">
        <v>Ø20 L=18</v>
      </c>
      <c r="H248">
        <v>63</v>
      </c>
      <c r="I248" t="str">
        <v/>
      </c>
      <c r="J248" t="str">
        <v/>
      </c>
      <c r="K248" t="str">
        <v/>
      </c>
      <c r="L248" t="str">
        <v/>
      </c>
      <c r="M248" t="str">
        <v/>
      </c>
      <c r="N248" t="str">
        <v/>
      </c>
      <c r="O248" t="str">
        <v/>
      </c>
      <c r="P248" t="str">
        <v>Ø20</v>
      </c>
      <c r="Q248">
        <v>25</v>
      </c>
      <c r="R248" t="str">
        <v>Ø20</v>
      </c>
      <c r="S248">
        <v>18</v>
      </c>
      <c r="T248">
        <v>20</v>
      </c>
    </row>
    <row r="249" spans="1:20" x14ac:dyDescent="0.3">
      <c r="A249" t="str">
        <v>R.1.017A.1</v>
      </c>
      <c r="B249" t="str">
        <v>ЩР-1</v>
      </c>
      <c r="C249" t="str">
        <v>Розеточная группа, пом. 017A</v>
      </c>
      <c r="D249" t="str">
        <v>ВВГнг(А)-LS (3х2,5)</v>
      </c>
      <c r="E249" t="str">
        <v>L=20</v>
      </c>
      <c r="F249" t="str">
        <v>Ø20 L=31</v>
      </c>
      <c r="G249" t="str">
        <v>Ø20 L=8</v>
      </c>
      <c r="H249">
        <v>59</v>
      </c>
      <c r="I249" t="str">
        <v/>
      </c>
      <c r="J249" t="str">
        <v/>
      </c>
      <c r="K249" t="str">
        <v/>
      </c>
      <c r="L249" t="str">
        <v/>
      </c>
      <c r="M249" t="str">
        <v/>
      </c>
      <c r="N249" t="str">
        <v/>
      </c>
      <c r="O249" t="str">
        <v/>
      </c>
      <c r="P249" t="str">
        <v>Ø20</v>
      </c>
      <c r="Q249">
        <v>31</v>
      </c>
      <c r="R249" t="str">
        <v>Ø20</v>
      </c>
      <c r="S249">
        <v>8</v>
      </c>
      <c r="T249">
        <v>20</v>
      </c>
    </row>
    <row r="250" spans="1:20" x14ac:dyDescent="0.3">
      <c r="A250" t="str">
        <v>R.1.017A.2</v>
      </c>
      <c r="B250" t="str">
        <v>ЩР-1</v>
      </c>
      <c r="C250" t="str">
        <v>Розеточная группа, пом. 017A</v>
      </c>
      <c r="D250" t="str">
        <v>ВВГнг(А)-LS (3х2,5)</v>
      </c>
      <c r="E250" t="str">
        <v>L=20</v>
      </c>
      <c r="F250" t="str">
        <v>Ø20 L=23</v>
      </c>
      <c r="G250" t="str">
        <v>Ø20 L=14</v>
      </c>
      <c r="H250">
        <v>57</v>
      </c>
      <c r="I250" t="str">
        <v/>
      </c>
      <c r="J250" t="str">
        <v/>
      </c>
      <c r="K250" t="str">
        <v/>
      </c>
      <c r="L250" t="str">
        <v/>
      </c>
      <c r="M250" t="str">
        <v/>
      </c>
      <c r="N250" t="str">
        <v/>
      </c>
      <c r="O250" t="str">
        <v/>
      </c>
      <c r="P250" t="str">
        <v>Ø20</v>
      </c>
      <c r="Q250">
        <v>23</v>
      </c>
      <c r="R250" t="str">
        <v>Ø20</v>
      </c>
      <c r="S250">
        <v>14</v>
      </c>
      <c r="T250">
        <v>20</v>
      </c>
    </row>
    <row r="251" spans="1:20" x14ac:dyDescent="0.3">
      <c r="A251" t="str">
        <v>R.1.018A.1</v>
      </c>
      <c r="B251" t="str">
        <v>ЩР-1</v>
      </c>
      <c r="C251" t="str">
        <v>Розеточная группа, пом. 018A</v>
      </c>
      <c r="D251" t="str">
        <v>ВВГнг(А)-LS (3х2,5)</v>
      </c>
      <c r="E251" t="str">
        <v>L=20</v>
      </c>
      <c r="F251" t="str">
        <v>Ø20 L=18</v>
      </c>
      <c r="G251" t="str">
        <v>Ø20 L=4</v>
      </c>
      <c r="H251">
        <v>42</v>
      </c>
      <c r="I251" t="str">
        <v/>
      </c>
      <c r="J251" t="str">
        <v/>
      </c>
      <c r="K251" t="str">
        <v/>
      </c>
      <c r="L251" t="str">
        <v/>
      </c>
      <c r="M251" t="str">
        <v/>
      </c>
      <c r="N251" t="str">
        <v/>
      </c>
      <c r="O251" t="str">
        <v/>
      </c>
      <c r="P251" t="str">
        <v>Ø20</v>
      </c>
      <c r="Q251">
        <v>18</v>
      </c>
      <c r="R251" t="str">
        <v>Ø20</v>
      </c>
      <c r="S251">
        <v>4</v>
      </c>
      <c r="T251">
        <v>20</v>
      </c>
    </row>
    <row r="252" spans="1:20" x14ac:dyDescent="0.3">
      <c r="A252" t="str">
        <v>R.1.019A.1</v>
      </c>
      <c r="B252" t="str">
        <v>ЩР-1</v>
      </c>
      <c r="C252" t="str">
        <v>Розеточная группа Первый этаж Пом. №019A Полотенцесушитель</v>
      </c>
      <c r="D252" t="str">
        <v>ВВГнг(А)-LS (3х2,5)</v>
      </c>
      <c r="E252" t="str">
        <v>L=20</v>
      </c>
      <c r="F252" t="str">
        <v/>
      </c>
      <c r="G252" t="str">
        <v/>
      </c>
      <c r="H252">
        <v>40</v>
      </c>
      <c r="I252" t="str">
        <v/>
      </c>
      <c r="J252" t="str">
        <v/>
      </c>
      <c r="K252" t="str">
        <v/>
      </c>
      <c r="L252" t="str">
        <v/>
      </c>
      <c r="M252" t="str">
        <v/>
      </c>
      <c r="N252" t="str">
        <v/>
      </c>
      <c r="O252" t="str">
        <v/>
      </c>
      <c r="P252" t="str">
        <v/>
      </c>
      <c r="Q252" t="str">
        <v/>
      </c>
      <c r="R252" t="str">
        <v/>
      </c>
      <c r="S252" t="str">
        <v/>
      </c>
      <c r="T252">
        <v>20</v>
      </c>
    </row>
    <row r="253" spans="1:20" x14ac:dyDescent="0.3">
      <c r="A253" t="str">
        <v>R.1.020A.2</v>
      </c>
      <c r="B253" t="str">
        <v>ЩР-1</v>
      </c>
      <c r="C253" t="str">
        <v>Розеточная группа, пом. 020A</v>
      </c>
      <c r="D253" t="str">
        <v>ВВГнг(А)-LS (3х2,5)</v>
      </c>
      <c r="E253" t="str">
        <v>L=20</v>
      </c>
      <c r="F253" t="str">
        <v>Ø20 L=34</v>
      </c>
      <c r="G253" t="str">
        <v/>
      </c>
      <c r="H253">
        <v>54</v>
      </c>
      <c r="I253" t="str">
        <v/>
      </c>
      <c r="J253" t="str">
        <v/>
      </c>
      <c r="K253" t="str">
        <v/>
      </c>
      <c r="L253" t="str">
        <v/>
      </c>
      <c r="M253" t="str">
        <v/>
      </c>
      <c r="N253" t="str">
        <v/>
      </c>
      <c r="O253" t="str">
        <v/>
      </c>
      <c r="P253" t="str">
        <v>Ø20</v>
      </c>
      <c r="Q253">
        <v>34</v>
      </c>
      <c r="R253" t="str">
        <v/>
      </c>
      <c r="S253" t="str">
        <v/>
      </c>
      <c r="T253">
        <v>20</v>
      </c>
    </row>
    <row r="254" spans="1:20" x14ac:dyDescent="0.3">
      <c r="A254" t="str">
        <v>R.1.021A.1</v>
      </c>
      <c r="B254" t="str">
        <v>ЩР-1</v>
      </c>
      <c r="C254" t="str">
        <v>Розеточная группа Первый этаж Пом. №021A Кофемашина</v>
      </c>
      <c r="D254" t="str">
        <v>ВВГнг(А)-LS (3х2,5)</v>
      </c>
      <c r="E254" t="str">
        <v>L=20</v>
      </c>
      <c r="F254" t="str">
        <v>Ø20 L=19</v>
      </c>
      <c r="G254" t="str">
        <v/>
      </c>
      <c r="H254">
        <v>39</v>
      </c>
      <c r="I254" t="str">
        <v/>
      </c>
      <c r="J254" t="str">
        <v/>
      </c>
      <c r="K254" t="str">
        <v/>
      </c>
      <c r="L254" t="str">
        <v/>
      </c>
      <c r="M254" t="str">
        <v/>
      </c>
      <c r="N254" t="str">
        <v/>
      </c>
      <c r="O254" t="str">
        <v/>
      </c>
      <c r="P254" t="str">
        <v>Ø20</v>
      </c>
      <c r="Q254">
        <v>19</v>
      </c>
      <c r="R254" t="str">
        <v/>
      </c>
      <c r="S254" t="str">
        <v/>
      </c>
      <c r="T254">
        <v>20</v>
      </c>
    </row>
    <row r="255" spans="1:20" x14ac:dyDescent="0.3">
      <c r="A255" t="str">
        <v>R.1.021A.10</v>
      </c>
      <c r="B255" t="str">
        <v>ЩР-1</v>
      </c>
      <c r="C255" t="str">
        <v>Розеточная группа Первый этаж Пом. №021A ПММ</v>
      </c>
      <c r="D255" t="str">
        <v>ВВГнг(А)-LS (3х2,5)</v>
      </c>
      <c r="E255" t="str">
        <v>L=20</v>
      </c>
      <c r="F255" t="str">
        <v>Ø20 L=22</v>
      </c>
      <c r="G255" t="str">
        <v/>
      </c>
      <c r="H255">
        <v>42</v>
      </c>
      <c r="I255" t="str">
        <v/>
      </c>
      <c r="J255" t="str">
        <v/>
      </c>
      <c r="K255" t="str">
        <v/>
      </c>
      <c r="L255" t="str">
        <v/>
      </c>
      <c r="M255" t="str">
        <v/>
      </c>
      <c r="N255" t="str">
        <v/>
      </c>
      <c r="O255" t="str">
        <v/>
      </c>
      <c r="P255" t="str">
        <v>Ø20</v>
      </c>
      <c r="Q255">
        <v>22</v>
      </c>
      <c r="R255" t="str">
        <v/>
      </c>
      <c r="S255" t="str">
        <v/>
      </c>
      <c r="T255">
        <v>20</v>
      </c>
    </row>
    <row r="256" spans="1:20" x14ac:dyDescent="0.3">
      <c r="A256" t="str">
        <v>R.1.021A.11</v>
      </c>
      <c r="B256" t="str">
        <v>ЩР-1</v>
      </c>
      <c r="C256" t="str">
        <v>Розеточная группа, пом. 021A</v>
      </c>
      <c r="D256" t="str">
        <v>ВВГнг(А)-LS (3х2,5)</v>
      </c>
      <c r="E256" t="str">
        <v/>
      </c>
      <c r="F256" t="str">
        <v>Ø20 L=3</v>
      </c>
      <c r="G256" t="str">
        <v/>
      </c>
      <c r="H256">
        <v>6</v>
      </c>
      <c r="I256" t="str">
        <v/>
      </c>
      <c r="J256" t="str">
        <v/>
      </c>
      <c r="K256" t="str">
        <v/>
      </c>
      <c r="L256" t="str">
        <v/>
      </c>
      <c r="M256" t="str">
        <v/>
      </c>
      <c r="N256" t="str">
        <v/>
      </c>
      <c r="O256" t="str">
        <v/>
      </c>
      <c r="P256" t="str">
        <v>Ø20</v>
      </c>
      <c r="Q256">
        <v>3</v>
      </c>
      <c r="R256" t="str">
        <v/>
      </c>
      <c r="S256" t="str">
        <v/>
      </c>
      <c r="T256" t="str">
        <v/>
      </c>
    </row>
    <row r="257" spans="1:20" x14ac:dyDescent="0.3">
      <c r="A257" t="str">
        <v>R.1.021A.2</v>
      </c>
      <c r="B257" t="str">
        <v>ЩР-1</v>
      </c>
      <c r="C257" t="str">
        <v>Розеточная группа Первый этаж Пом. №021A Духовой шкаф</v>
      </c>
      <c r="D257" t="str">
        <v>ВВГнг(А)-LS (3х4)</v>
      </c>
      <c r="E257" t="str">
        <v>L=20</v>
      </c>
      <c r="F257" t="str">
        <v>Ø20 L=19</v>
      </c>
      <c r="G257" t="str">
        <v/>
      </c>
      <c r="H257">
        <v>39</v>
      </c>
      <c r="I257" t="str">
        <v/>
      </c>
      <c r="J257" t="str">
        <v/>
      </c>
      <c r="K257" t="str">
        <v/>
      </c>
      <c r="L257" t="str">
        <v/>
      </c>
      <c r="M257" t="str">
        <v/>
      </c>
      <c r="N257" t="str">
        <v/>
      </c>
      <c r="O257" t="str">
        <v/>
      </c>
      <c r="P257" t="str">
        <v>Ø20</v>
      </c>
      <c r="Q257">
        <v>19</v>
      </c>
      <c r="R257" t="str">
        <v/>
      </c>
      <c r="S257" t="str">
        <v/>
      </c>
      <c r="T257">
        <v>20</v>
      </c>
    </row>
    <row r="258" spans="1:20" x14ac:dyDescent="0.3">
      <c r="A258" t="str">
        <v>R.1.021A.3</v>
      </c>
      <c r="B258" t="str">
        <v>ЩР-1</v>
      </c>
      <c r="C258" t="str">
        <v>Розеточная группа Первый этаж Пом. №021A Микроволновая печь</v>
      </c>
      <c r="D258" t="str">
        <v>ВВГнг(А)-LS (3х2,5)</v>
      </c>
      <c r="E258" t="str">
        <v>L=20</v>
      </c>
      <c r="F258" t="str">
        <v>Ø20 L=19</v>
      </c>
      <c r="G258" t="str">
        <v/>
      </c>
      <c r="H258">
        <v>39</v>
      </c>
      <c r="I258" t="str">
        <v/>
      </c>
      <c r="J258" t="str">
        <v/>
      </c>
      <c r="K258" t="str">
        <v/>
      </c>
      <c r="L258" t="str">
        <v/>
      </c>
      <c r="M258" t="str">
        <v/>
      </c>
      <c r="N258" t="str">
        <v/>
      </c>
      <c r="O258" t="str">
        <v/>
      </c>
      <c r="P258" t="str">
        <v>Ø20</v>
      </c>
      <c r="Q258">
        <v>19</v>
      </c>
      <c r="R258" t="str">
        <v/>
      </c>
      <c r="S258" t="str">
        <v/>
      </c>
      <c r="T258">
        <v>20</v>
      </c>
    </row>
    <row r="259" spans="1:20" x14ac:dyDescent="0.3">
      <c r="A259" t="str">
        <v>R.1.021A.4</v>
      </c>
      <c r="B259" t="str">
        <v>ЩР-1</v>
      </c>
      <c r="C259" t="str">
        <v>Розеточная группа Первый этаж Пом. №021A Холодильник, морозильная камера</v>
      </c>
      <c r="D259" t="str">
        <v>ВВГнг(А)-LS (3х2,5)</v>
      </c>
      <c r="E259" t="str">
        <v>L=20</v>
      </c>
      <c r="F259" t="str">
        <v>Ø20 L=22</v>
      </c>
      <c r="G259" t="str">
        <v/>
      </c>
      <c r="H259">
        <v>42</v>
      </c>
      <c r="I259" t="str">
        <v/>
      </c>
      <c r="J259" t="str">
        <v/>
      </c>
      <c r="K259" t="str">
        <v/>
      </c>
      <c r="L259" t="str">
        <v/>
      </c>
      <c r="M259" t="str">
        <v/>
      </c>
      <c r="N259" t="str">
        <v/>
      </c>
      <c r="O259" t="str">
        <v/>
      </c>
      <c r="P259" t="str">
        <v>Ø20</v>
      </c>
      <c r="Q259">
        <v>22</v>
      </c>
      <c r="R259" t="str">
        <v/>
      </c>
      <c r="S259" t="str">
        <v/>
      </c>
      <c r="T259">
        <v>20</v>
      </c>
    </row>
    <row r="260" spans="1:20" x14ac:dyDescent="0.3">
      <c r="A260" t="str">
        <v>R.1.021A.6</v>
      </c>
      <c r="B260" t="str">
        <v>ЩР-1</v>
      </c>
      <c r="C260" t="str">
        <v>Розеточная группа Первый этаж Пом. №021A Вывод для вытяжки</v>
      </c>
      <c r="D260" t="str">
        <v>ВВГнг(А)-LS (3х2,5)</v>
      </c>
      <c r="E260" t="str">
        <v>L=20</v>
      </c>
      <c r="F260" t="str">
        <v>Ø20 L=22</v>
      </c>
      <c r="G260" t="str">
        <v/>
      </c>
      <c r="H260">
        <v>42</v>
      </c>
      <c r="I260" t="str">
        <v/>
      </c>
      <c r="J260" t="str">
        <v/>
      </c>
      <c r="K260" t="str">
        <v/>
      </c>
      <c r="L260" t="str">
        <v/>
      </c>
      <c r="M260" t="str">
        <v/>
      </c>
      <c r="N260" t="str">
        <v/>
      </c>
      <c r="O260" t="str">
        <v/>
      </c>
      <c r="P260" t="str">
        <v>Ø20</v>
      </c>
      <c r="Q260">
        <v>22</v>
      </c>
      <c r="R260" t="str">
        <v/>
      </c>
      <c r="S260" t="str">
        <v/>
      </c>
      <c r="T260">
        <v>20</v>
      </c>
    </row>
    <row r="261" spans="1:20" x14ac:dyDescent="0.3">
      <c r="A261" t="str">
        <v>R.1.021A.7</v>
      </c>
      <c r="B261" t="str">
        <v>ЩР-1</v>
      </c>
      <c r="C261" t="str">
        <v>Розеточная группа Первый этаж Пом. №021A Вывод на варочную панель</v>
      </c>
      <c r="D261" t="str">
        <v>ВВГнг(А)-LS (5х4)</v>
      </c>
      <c r="E261" t="str">
        <v>L=20</v>
      </c>
      <c r="F261" t="str">
        <v>Ø25 L=22</v>
      </c>
      <c r="G261" t="str">
        <v/>
      </c>
      <c r="H261">
        <v>42</v>
      </c>
      <c r="I261" t="str">
        <v/>
      </c>
      <c r="J261" t="str">
        <v/>
      </c>
      <c r="K261" t="str">
        <v/>
      </c>
      <c r="L261" t="str">
        <v/>
      </c>
      <c r="M261" t="str">
        <v/>
      </c>
      <c r="N261" t="str">
        <v/>
      </c>
      <c r="O261" t="str">
        <v/>
      </c>
      <c r="P261" t="str">
        <v>Ø25</v>
      </c>
      <c r="Q261">
        <v>22</v>
      </c>
      <c r="R261" t="str">
        <v/>
      </c>
      <c r="S261" t="str">
        <v/>
      </c>
      <c r="T261">
        <v>20</v>
      </c>
    </row>
    <row r="262" spans="1:20" x14ac:dyDescent="0.3">
      <c r="A262" t="str">
        <v>R.1.021A.8</v>
      </c>
      <c r="B262" t="str">
        <v>ЩР-1</v>
      </c>
      <c r="C262" t="str">
        <v>Розеточная группа, пом. 021A</v>
      </c>
      <c r="D262" t="str">
        <v>ВВГнг(А)-LS (3х2,5)</v>
      </c>
      <c r="E262" t="str">
        <v>L=20</v>
      </c>
      <c r="F262" t="str">
        <v>Ø20 L=29</v>
      </c>
      <c r="G262" t="str">
        <v>Ø20 L=14</v>
      </c>
      <c r="H262">
        <v>63</v>
      </c>
      <c r="I262" t="str">
        <v/>
      </c>
      <c r="J262" t="str">
        <v/>
      </c>
      <c r="K262" t="str">
        <v/>
      </c>
      <c r="L262" t="str">
        <v/>
      </c>
      <c r="M262" t="str">
        <v/>
      </c>
      <c r="N262" t="str">
        <v/>
      </c>
      <c r="O262" t="str">
        <v/>
      </c>
      <c r="P262" t="str">
        <v>Ø20</v>
      </c>
      <c r="Q262">
        <v>29</v>
      </c>
      <c r="R262" t="str">
        <v>Ø20</v>
      </c>
      <c r="S262">
        <v>14</v>
      </c>
      <c r="T262">
        <v>20</v>
      </c>
    </row>
    <row r="263" spans="1:20" x14ac:dyDescent="0.3">
      <c r="A263" t="str">
        <v>R.1.021A.9</v>
      </c>
      <c r="B263" t="str">
        <v>ЩР-1</v>
      </c>
      <c r="C263" t="str">
        <v>Розеточная группа Первый этаж Пом. №021A Подогреватель пищи и посуды</v>
      </c>
      <c r="D263" t="str">
        <v>ВВГнг(А)-LS (3х2,5)</v>
      </c>
      <c r="E263" t="str">
        <v>L=20</v>
      </c>
      <c r="F263" t="str">
        <v>Ø20 L=20</v>
      </c>
      <c r="G263" t="str">
        <v/>
      </c>
      <c r="H263">
        <v>40</v>
      </c>
      <c r="I263" t="str">
        <v/>
      </c>
      <c r="J263" t="str">
        <v/>
      </c>
      <c r="K263" t="str">
        <v/>
      </c>
      <c r="L263" t="str">
        <v/>
      </c>
      <c r="M263" t="str">
        <v/>
      </c>
      <c r="N263" t="str">
        <v/>
      </c>
      <c r="O263" t="str">
        <v/>
      </c>
      <c r="P263" t="str">
        <v>Ø20</v>
      </c>
      <c r="Q263">
        <v>20</v>
      </c>
      <c r="R263" t="str">
        <v/>
      </c>
      <c r="S263" t="str">
        <v/>
      </c>
      <c r="T263">
        <v>20</v>
      </c>
    </row>
    <row r="264" spans="1:20" x14ac:dyDescent="0.3">
      <c r="A264" t="str">
        <v>R.1.002Б.9</v>
      </c>
      <c r="B264" t="str">
        <v>ЩР-1</v>
      </c>
      <c r="C264" t="str">
        <v>Розеточная группа Первый этаж Пом. №002Б Холодильник</v>
      </c>
      <c r="D264" t="str">
        <v>ВВГнг(А)-LS (3х2,5)</v>
      </c>
      <c r="E264" t="str">
        <v/>
      </c>
      <c r="F264" t="str">
        <v/>
      </c>
      <c r="G264" t="str">
        <v>Ø20 L=6</v>
      </c>
      <c r="H264">
        <v>9</v>
      </c>
      <c r="I264" t="str">
        <v/>
      </c>
      <c r="J264" t="str">
        <v/>
      </c>
      <c r="K264" t="str">
        <v/>
      </c>
      <c r="L264" t="str">
        <v/>
      </c>
      <c r="M264" t="str">
        <v/>
      </c>
      <c r="N264" t="str">
        <v/>
      </c>
      <c r="O264" t="str">
        <v/>
      </c>
      <c r="P264" t="str">
        <v/>
      </c>
      <c r="Q264" t="str">
        <v/>
      </c>
      <c r="R264" t="str">
        <v>Ø20</v>
      </c>
      <c r="S264">
        <v>6</v>
      </c>
      <c r="T264" t="str">
        <v/>
      </c>
    </row>
    <row r="265" spans="1:20" x14ac:dyDescent="0.3">
      <c r="A265" t="str">
        <v>R.1.002Б.10</v>
      </c>
      <c r="B265" t="str">
        <v>ЩР-1</v>
      </c>
      <c r="C265" t="str">
        <v>Розеточная группа, пом. 002Б</v>
      </c>
      <c r="D265" t="str">
        <v>ВВГнг(А)-LS (3х2,5)</v>
      </c>
      <c r="E265" t="str">
        <v/>
      </c>
      <c r="F265" t="str">
        <v/>
      </c>
      <c r="G265" t="str">
        <v>Ø20 L=6</v>
      </c>
      <c r="H265">
        <v>9</v>
      </c>
      <c r="I265" t="str">
        <v/>
      </c>
      <c r="J265" t="str">
        <v/>
      </c>
      <c r="K265" t="str">
        <v/>
      </c>
      <c r="L265" t="str">
        <v/>
      </c>
      <c r="M265" t="str">
        <v/>
      </c>
      <c r="N265" t="str">
        <v/>
      </c>
      <c r="O265" t="str">
        <v/>
      </c>
      <c r="P265" t="str">
        <v/>
      </c>
      <c r="Q265" t="str">
        <v/>
      </c>
      <c r="R265" t="str">
        <v>Ø20</v>
      </c>
      <c r="S265">
        <v>6</v>
      </c>
      <c r="T265" t="str">
        <v/>
      </c>
    </row>
    <row r="266" spans="1:20" x14ac:dyDescent="0.3">
      <c r="A266" t="str">
        <v>R.1.021A.5</v>
      </c>
      <c r="B266" t="str">
        <v>ЩР-1</v>
      </c>
      <c r="C266" t="str">
        <v>Розеточная группа, пом. 021A</v>
      </c>
      <c r="D266" t="str">
        <v>ВВГнг(А)-LS (3х2,5)</v>
      </c>
      <c r="E266" t="str">
        <v>L=20</v>
      </c>
      <c r="F266" t="str">
        <v>Ø20 L=22</v>
      </c>
      <c r="G266" t="str">
        <v/>
      </c>
      <c r="H266">
        <v>42</v>
      </c>
      <c r="I266" t="str">
        <v/>
      </c>
      <c r="J266" t="str">
        <v/>
      </c>
      <c r="K266" t="str">
        <v/>
      </c>
      <c r="L266" t="str">
        <v/>
      </c>
      <c r="M266" t="str">
        <v/>
      </c>
      <c r="N266" t="str">
        <v/>
      </c>
      <c r="O266" t="str">
        <v/>
      </c>
      <c r="P266" t="str">
        <v>Ø20</v>
      </c>
      <c r="Q266">
        <v>22</v>
      </c>
      <c r="R266" t="str">
        <v/>
      </c>
      <c r="S266" t="str">
        <v/>
      </c>
      <c r="T266">
        <v>20</v>
      </c>
    </row>
    <row r="267" spans="1:20" x14ac:dyDescent="0.3">
      <c r="A267" t="str">
        <v>R.1.020A.1</v>
      </c>
      <c r="B267" t="str">
        <v>ЩР-1</v>
      </c>
      <c r="C267" t="str">
        <v>Розеточная группа Первый этаж Пом. №020A Холодильник, морозильная камера</v>
      </c>
      <c r="D267" t="str">
        <v>ВВГнг(А)-LS (3х2,5)</v>
      </c>
      <c r="E267" t="str">
        <v>L=20</v>
      </c>
      <c r="F267" t="str">
        <v>Ø20 L=30</v>
      </c>
      <c r="G267" t="str">
        <v/>
      </c>
      <c r="H267">
        <v>50</v>
      </c>
      <c r="I267" t="str">
        <v/>
      </c>
      <c r="J267" t="str">
        <v/>
      </c>
      <c r="K267" t="str">
        <v/>
      </c>
      <c r="L267" t="str">
        <v/>
      </c>
      <c r="M267" t="str">
        <v/>
      </c>
      <c r="N267" t="str">
        <v/>
      </c>
      <c r="O267" t="str">
        <v/>
      </c>
      <c r="P267" t="str">
        <v>Ø20</v>
      </c>
      <c r="Q267">
        <v>30</v>
      </c>
      <c r="R267" t="str">
        <v/>
      </c>
      <c r="S267" t="str">
        <v/>
      </c>
      <c r="T267">
        <v>20</v>
      </c>
    </row>
    <row r="268" spans="1:20" x14ac:dyDescent="0.3">
      <c r="A268" t="str">
        <v>R.1.022A.1</v>
      </c>
      <c r="B268" t="str">
        <v>ЩР-1</v>
      </c>
      <c r="C268" t="str">
        <v>Розеточная группа, пом. 022A</v>
      </c>
      <c r="D268" t="str">
        <v>ВВГнг(А)-LS (3х2,5)</v>
      </c>
      <c r="E268" t="str">
        <v>L=20</v>
      </c>
      <c r="F268" t="str">
        <v>Ø20 L=46</v>
      </c>
      <c r="G268" t="str">
        <v/>
      </c>
      <c r="H268">
        <v>66</v>
      </c>
      <c r="I268" t="str">
        <v/>
      </c>
      <c r="J268" t="str">
        <v/>
      </c>
      <c r="K268" t="str">
        <v/>
      </c>
      <c r="L268" t="str">
        <v/>
      </c>
      <c r="M268" t="str">
        <v/>
      </c>
      <c r="N268" t="str">
        <v/>
      </c>
      <c r="O268" t="str">
        <v/>
      </c>
      <c r="P268" t="str">
        <v>Ø20</v>
      </c>
      <c r="Q268">
        <v>46</v>
      </c>
      <c r="R268" t="str">
        <v/>
      </c>
      <c r="S268" t="str">
        <v/>
      </c>
      <c r="T268">
        <v>20</v>
      </c>
    </row>
    <row r="269" spans="1:20" x14ac:dyDescent="0.3">
      <c r="A269" t="str">
        <v>ЩКД.1</v>
      </c>
      <c r="B269" t="str">
        <v>ЩР-1</v>
      </c>
      <c r="C269" t="str">
        <v>Щит контроля доступа ЩКД-1 Первый этаж Пом. №002Б</v>
      </c>
      <c r="D269" t="str">
        <v>ВВГнг(А)-LS (3х2,5)</v>
      </c>
      <c r="E269" t="str">
        <v/>
      </c>
      <c r="F269" t="str">
        <v>Ø20 L=8</v>
      </c>
      <c r="G269" t="str">
        <v/>
      </c>
      <c r="H269">
        <v>11</v>
      </c>
      <c r="I269" t="str">
        <v/>
      </c>
      <c r="J269" t="str">
        <v/>
      </c>
      <c r="K269" t="str">
        <v/>
      </c>
      <c r="L269" t="str">
        <v/>
      </c>
      <c r="M269" t="str">
        <v/>
      </c>
      <c r="N269" t="str">
        <v/>
      </c>
      <c r="O269" t="str">
        <v/>
      </c>
      <c r="P269" t="str">
        <v>Ø20</v>
      </c>
      <c r="Q269">
        <v>8</v>
      </c>
      <c r="R269" t="str">
        <v/>
      </c>
      <c r="S269" t="str">
        <v/>
      </c>
      <c r="T269" t="str">
        <v/>
      </c>
    </row>
    <row r="270" spans="1:20" x14ac:dyDescent="0.3">
      <c r="A270" t="str">
        <v>R.2.002А.1</v>
      </c>
      <c r="B270" t="str">
        <v>ЩР-2</v>
      </c>
      <c r="C270" t="str">
        <v>Розеточная группа, пом. 002А</v>
      </c>
      <c r="D270" t="str">
        <v>ВВГнг(А)-LS (3х2,5)</v>
      </c>
      <c r="E270" t="str">
        <v>L=12</v>
      </c>
      <c r="F270" t="str">
        <v>Ø20 L=26</v>
      </c>
      <c r="G270" t="str">
        <v>Ø20 L=10</v>
      </c>
      <c r="H270">
        <v>54</v>
      </c>
      <c r="I270" t="str">
        <v/>
      </c>
      <c r="J270" t="str">
        <v/>
      </c>
      <c r="K270" t="str">
        <v/>
      </c>
      <c r="L270" t="str">
        <v/>
      </c>
      <c r="M270" t="str">
        <v/>
      </c>
      <c r="N270" t="str">
        <v/>
      </c>
      <c r="O270" t="str">
        <v>2</v>
      </c>
      <c r="P270" t="str">
        <v>Ø20</v>
      </c>
      <c r="Q270">
        <v>26</v>
      </c>
      <c r="R270" t="str">
        <v>Ø20</v>
      </c>
      <c r="S270">
        <v>10</v>
      </c>
      <c r="T270">
        <v>12</v>
      </c>
    </row>
    <row r="271" spans="1:20" x14ac:dyDescent="0.3">
      <c r="A271" t="str">
        <v>R.2.003А.1</v>
      </c>
      <c r="B271" t="str">
        <v>ЩР-2</v>
      </c>
      <c r="C271" t="str">
        <v>Розеточная группа, пом. 003А</v>
      </c>
      <c r="D271" t="str">
        <v>ВВГнг(А)-LS (3х2,5)</v>
      </c>
      <c r="E271" t="str">
        <v>L=12</v>
      </c>
      <c r="F271" t="str">
        <v>Ø20 L=44</v>
      </c>
      <c r="G271" t="str">
        <v>Ø20 L=58</v>
      </c>
      <c r="H271">
        <v>62</v>
      </c>
      <c r="I271" t="str">
        <v/>
      </c>
      <c r="J271" t="str">
        <v/>
      </c>
      <c r="K271" t="str">
        <v/>
      </c>
      <c r="L271" t="str">
        <v/>
      </c>
      <c r="M271" t="str">
        <v/>
      </c>
      <c r="N271" t="str">
        <v/>
      </c>
      <c r="O271" t="str">
        <v>2</v>
      </c>
      <c r="P271" t="str">
        <v>Ø20</v>
      </c>
      <c r="Q271">
        <v>44</v>
      </c>
      <c r="R271" t="str">
        <v>Ø20</v>
      </c>
      <c r="S271">
        <v>58</v>
      </c>
      <c r="T271">
        <v>12</v>
      </c>
    </row>
    <row r="272" spans="1:20" x14ac:dyDescent="0.3">
      <c r="A272" t="str">
        <v>R.2.005А.1</v>
      </c>
      <c r="B272" t="str">
        <v>ЩР-2</v>
      </c>
      <c r="C272" t="str">
        <v>Розеточная группа, пом. 005А</v>
      </c>
      <c r="D272" t="str">
        <v>ВВГнг(А)-LS (3х2,5)</v>
      </c>
      <c r="E272" t="str">
        <v>L=12</v>
      </c>
      <c r="F272" t="str">
        <v>Ø20 L=39</v>
      </c>
      <c r="G272" t="str">
        <v>Ø20 L=53</v>
      </c>
      <c r="H272">
        <v>57</v>
      </c>
      <c r="I272" t="str">
        <v/>
      </c>
      <c r="J272" t="str">
        <v/>
      </c>
      <c r="K272" t="str">
        <v/>
      </c>
      <c r="L272" t="str">
        <v/>
      </c>
      <c r="M272" t="str">
        <v/>
      </c>
      <c r="N272" t="str">
        <v/>
      </c>
      <c r="O272" t="str">
        <v>2</v>
      </c>
      <c r="P272" t="str">
        <v>Ø20</v>
      </c>
      <c r="Q272">
        <v>39</v>
      </c>
      <c r="R272" t="str">
        <v>Ø20</v>
      </c>
      <c r="S272">
        <v>53</v>
      </c>
      <c r="T272">
        <v>12</v>
      </c>
    </row>
    <row r="273" spans="1:20" x14ac:dyDescent="0.3">
      <c r="A273" t="str">
        <v>R.2.005А.2</v>
      </c>
      <c r="B273" t="str">
        <v>ЩР-2</v>
      </c>
      <c r="C273" t="str">
        <v>Розеточная группа, пом. 005А</v>
      </c>
      <c r="D273" t="str">
        <v>ВВГнг(А)-LS (3х2,5)</v>
      </c>
      <c r="E273" t="str">
        <v>L=12</v>
      </c>
      <c r="F273" t="str">
        <v>Ø20 L=25</v>
      </c>
      <c r="G273" t="str">
        <v>Ø20 L=39</v>
      </c>
      <c r="H273">
        <v>43</v>
      </c>
      <c r="I273" t="str">
        <v/>
      </c>
      <c r="J273" t="str">
        <v/>
      </c>
      <c r="K273" t="str">
        <v/>
      </c>
      <c r="L273" t="str">
        <v/>
      </c>
      <c r="M273" t="str">
        <v/>
      </c>
      <c r="N273" t="str">
        <v/>
      </c>
      <c r="O273" t="str">
        <v>2</v>
      </c>
      <c r="P273" t="str">
        <v>Ø20</v>
      </c>
      <c r="Q273">
        <v>25</v>
      </c>
      <c r="R273" t="str">
        <v>Ø20</v>
      </c>
      <c r="S273">
        <v>39</v>
      </c>
      <c r="T273">
        <v>12</v>
      </c>
    </row>
    <row r="274" spans="1:20" x14ac:dyDescent="0.3">
      <c r="A274" t="str">
        <v>R.2.006А.1</v>
      </c>
      <c r="B274" t="str">
        <v>ЩР-2</v>
      </c>
      <c r="C274" t="str">
        <v>Розеточная группа, пом. 006А</v>
      </c>
      <c r="D274" t="str">
        <v>ВВГнг(А)-LS (3х2,5)</v>
      </c>
      <c r="E274" t="str">
        <v>L=12</v>
      </c>
      <c r="F274" t="str">
        <v>Ø20 L=31</v>
      </c>
      <c r="G274" t="str">
        <v>Ø20 L=30</v>
      </c>
      <c r="H274">
        <v>49</v>
      </c>
      <c r="I274" t="str">
        <v/>
      </c>
      <c r="J274" t="str">
        <v/>
      </c>
      <c r="K274" t="str">
        <v/>
      </c>
      <c r="L274" t="str">
        <v/>
      </c>
      <c r="M274" t="str">
        <v/>
      </c>
      <c r="N274" t="str">
        <v/>
      </c>
      <c r="O274" t="str">
        <v>2</v>
      </c>
      <c r="P274" t="str">
        <v>Ø20</v>
      </c>
      <c r="Q274">
        <v>31</v>
      </c>
      <c r="R274" t="str">
        <v>Ø20</v>
      </c>
      <c r="S274">
        <v>30</v>
      </c>
      <c r="T274">
        <v>12</v>
      </c>
    </row>
    <row r="275" spans="1:20" x14ac:dyDescent="0.3">
      <c r="A275" t="str">
        <v>R.2.009А.1</v>
      </c>
      <c r="B275" t="str">
        <v>ЩР-2</v>
      </c>
      <c r="C275" t="str">
        <v>Розеточная группа, пом. 009А</v>
      </c>
      <c r="D275" t="str">
        <v>ВВГнг(А)-LS (3х2,5)</v>
      </c>
      <c r="E275" t="str">
        <v>L=12</v>
      </c>
      <c r="F275" t="str">
        <v>Ø20 L=40</v>
      </c>
      <c r="G275" t="str">
        <v>Ø20 L=10</v>
      </c>
      <c r="H275">
        <v>58</v>
      </c>
      <c r="I275" t="str">
        <v/>
      </c>
      <c r="J275" t="str">
        <v/>
      </c>
      <c r="K275" t="str">
        <v/>
      </c>
      <c r="L275" t="str">
        <v/>
      </c>
      <c r="M275" t="str">
        <v/>
      </c>
      <c r="N275" t="str">
        <v/>
      </c>
      <c r="O275" t="str">
        <v>1</v>
      </c>
      <c r="P275" t="str">
        <v>Ø20</v>
      </c>
      <c r="Q275">
        <v>40</v>
      </c>
      <c r="R275" t="str">
        <v>Ø20</v>
      </c>
      <c r="S275">
        <v>10</v>
      </c>
      <c r="T275">
        <v>12</v>
      </c>
    </row>
    <row r="276" spans="1:20" x14ac:dyDescent="0.3">
      <c r="A276" t="str">
        <v>R.2.009А.2</v>
      </c>
      <c r="B276" t="str">
        <v>ЩР-2</v>
      </c>
      <c r="C276" t="str">
        <v>Розеточная группа, пом. 009А</v>
      </c>
      <c r="D276" t="str">
        <v>ВВГнг(А)-LS (3х2,5)</v>
      </c>
      <c r="E276" t="str">
        <v>L=12</v>
      </c>
      <c r="F276" t="str">
        <v>Ø20 L=20</v>
      </c>
      <c r="G276" t="str">
        <v>Ø20 L=34</v>
      </c>
      <c r="H276">
        <v>38</v>
      </c>
      <c r="I276" t="str">
        <v/>
      </c>
      <c r="J276" t="str">
        <v/>
      </c>
      <c r="K276" t="str">
        <v/>
      </c>
      <c r="L276" t="str">
        <v/>
      </c>
      <c r="M276" t="str">
        <v/>
      </c>
      <c r="N276" t="str">
        <v/>
      </c>
      <c r="O276" t="str">
        <v>2</v>
      </c>
      <c r="P276" t="str">
        <v>Ø20</v>
      </c>
      <c r="Q276">
        <v>20</v>
      </c>
      <c r="R276" t="str">
        <v>Ø20</v>
      </c>
      <c r="S276">
        <v>34</v>
      </c>
      <c r="T276">
        <v>12</v>
      </c>
    </row>
    <row r="277" spans="1:20" x14ac:dyDescent="0.3">
      <c r="A277" t="str">
        <v>R.2.010А.1</v>
      </c>
      <c r="B277" t="str">
        <v>ЩР-2</v>
      </c>
      <c r="C277" t="str">
        <v>Розеточная группа, пом. 010А</v>
      </c>
      <c r="D277" t="str">
        <v>ВВГнг(А)-LS (3х2,5)</v>
      </c>
      <c r="E277" t="str">
        <v>L=12</v>
      </c>
      <c r="F277" t="str">
        <v>Ø20 L=17</v>
      </c>
      <c r="G277" t="str">
        <v/>
      </c>
      <c r="H277">
        <v>35</v>
      </c>
      <c r="I277" t="str">
        <v/>
      </c>
      <c r="J277" t="str">
        <v/>
      </c>
      <c r="K277" t="str">
        <v/>
      </c>
      <c r="L277" t="str">
        <v/>
      </c>
      <c r="M277" t="str">
        <v/>
      </c>
      <c r="N277" t="str">
        <v/>
      </c>
      <c r="O277" t="str">
        <v>2</v>
      </c>
      <c r="P277" t="str">
        <v>Ø20</v>
      </c>
      <c r="Q277">
        <v>17</v>
      </c>
      <c r="R277" t="str">
        <v/>
      </c>
      <c r="S277" t="str">
        <v/>
      </c>
      <c r="T277">
        <v>12</v>
      </c>
    </row>
    <row r="278" spans="1:20" x14ac:dyDescent="0.3">
      <c r="A278" t="str">
        <v>R.2.002Г.1</v>
      </c>
      <c r="B278" t="str">
        <v>ЩР-2</v>
      </c>
      <c r="C278" t="str">
        <v>Розеточная группа, пом. 002Г</v>
      </c>
      <c r="D278" t="str">
        <v>ВВГнг(А)-LS (3х2,5)</v>
      </c>
      <c r="E278" t="str">
        <v>L=12</v>
      </c>
      <c r="F278" t="str">
        <v>Ø20 L=21</v>
      </c>
      <c r="G278" t="str">
        <v/>
      </c>
      <c r="H278">
        <v>39</v>
      </c>
      <c r="I278" t="str">
        <v/>
      </c>
      <c r="J278" t="str">
        <v/>
      </c>
      <c r="K278" t="str">
        <v/>
      </c>
      <c r="L278" t="str">
        <v/>
      </c>
      <c r="M278" t="str">
        <v/>
      </c>
      <c r="N278" t="str">
        <v/>
      </c>
      <c r="O278" t="str">
        <v>1</v>
      </c>
      <c r="P278" t="str">
        <v>Ø20</v>
      </c>
      <c r="Q278">
        <v>21</v>
      </c>
      <c r="R278" t="str">
        <v/>
      </c>
      <c r="S278" t="str">
        <v/>
      </c>
      <c r="T278">
        <v>12</v>
      </c>
    </row>
    <row r="279" spans="1:20" x14ac:dyDescent="0.3">
      <c r="A279" t="str">
        <v>R.2.013А.1</v>
      </c>
      <c r="B279" t="str">
        <v>ЩР-2</v>
      </c>
      <c r="C279" t="str">
        <v>Розеточная группа, пом. 013А</v>
      </c>
      <c r="D279" t="str">
        <v>ВВГнг(А)-LS (3х2,5)</v>
      </c>
      <c r="E279" t="str">
        <v>L=12</v>
      </c>
      <c r="F279" t="str">
        <v>Ø20 L=20</v>
      </c>
      <c r="G279" t="str">
        <v>Ø20 L=34</v>
      </c>
      <c r="H279">
        <v>38</v>
      </c>
      <c r="I279" t="str">
        <v/>
      </c>
      <c r="J279" t="str">
        <v/>
      </c>
      <c r="K279" t="str">
        <v/>
      </c>
      <c r="L279" t="str">
        <v/>
      </c>
      <c r="M279" t="str">
        <v/>
      </c>
      <c r="N279" t="str">
        <v/>
      </c>
      <c r="O279" t="str">
        <v>2</v>
      </c>
      <c r="P279" t="str">
        <v>Ø20</v>
      </c>
      <c r="Q279">
        <v>20</v>
      </c>
      <c r="R279" t="str">
        <v>Ø20</v>
      </c>
      <c r="S279">
        <v>34</v>
      </c>
      <c r="T279">
        <v>12</v>
      </c>
    </row>
    <row r="280" spans="1:20" x14ac:dyDescent="0.3">
      <c r="A280" t="str">
        <v>R.2.014А.1</v>
      </c>
      <c r="B280" t="str">
        <v>ЩР-2</v>
      </c>
      <c r="C280" t="str">
        <v>Розеточная группа Второй этаж Пом. №013А, 012А</v>
      </c>
      <c r="D280" t="str">
        <v>ВВГнг(А)-LS (3х2,5)</v>
      </c>
      <c r="E280" t="str">
        <v>L=12</v>
      </c>
      <c r="F280" t="str">
        <v>Ø20 L=17</v>
      </c>
      <c r="G280" t="str">
        <v>Ø20 L=30</v>
      </c>
      <c r="H280">
        <v>65</v>
      </c>
      <c r="I280" t="str">
        <v/>
      </c>
      <c r="J280" t="str">
        <v/>
      </c>
      <c r="K280" t="str">
        <v/>
      </c>
      <c r="L280" t="str">
        <v/>
      </c>
      <c r="M280" t="str">
        <v/>
      </c>
      <c r="N280" t="str">
        <v/>
      </c>
      <c r="O280" t="str">
        <v>2</v>
      </c>
      <c r="P280" t="str">
        <v>Ø20</v>
      </c>
      <c r="Q280">
        <v>17</v>
      </c>
      <c r="R280" t="str">
        <v>Ø20</v>
      </c>
      <c r="S280">
        <v>30</v>
      </c>
      <c r="T280">
        <v>12</v>
      </c>
    </row>
    <row r="281" spans="1:20" x14ac:dyDescent="0.3">
      <c r="A281" t="str">
        <v>R.2.014А.2</v>
      </c>
      <c r="B281" t="str">
        <v>ЩР-2</v>
      </c>
      <c r="C281" t="str">
        <v>Розеточная группа, пом. 014А</v>
      </c>
      <c r="D281" t="str">
        <v>ВВГнг(А)-LS (3х2,5)</v>
      </c>
      <c r="E281" t="str">
        <v>L=12</v>
      </c>
      <c r="F281" t="str">
        <v>Ø20 L=24</v>
      </c>
      <c r="G281" t="str">
        <v>Ø20 L=8</v>
      </c>
      <c r="H281">
        <v>50</v>
      </c>
      <c r="I281" t="str">
        <v/>
      </c>
      <c r="J281" t="str">
        <v/>
      </c>
      <c r="K281" t="str">
        <v/>
      </c>
      <c r="L281" t="str">
        <v/>
      </c>
      <c r="M281" t="str">
        <v/>
      </c>
      <c r="N281" t="str">
        <v/>
      </c>
      <c r="O281" t="str">
        <v>2</v>
      </c>
      <c r="P281" t="str">
        <v>Ø20</v>
      </c>
      <c r="Q281">
        <v>24</v>
      </c>
      <c r="R281" t="str">
        <v>Ø20</v>
      </c>
      <c r="S281">
        <v>8</v>
      </c>
      <c r="T281">
        <v>12</v>
      </c>
    </row>
    <row r="282" spans="1:20" x14ac:dyDescent="0.3">
      <c r="A282" t="str">
        <v>R.2.015А.1</v>
      </c>
      <c r="B282" t="str">
        <v>ЩР-2</v>
      </c>
      <c r="C282" t="str">
        <v>Розеточная группа, пом. 015А</v>
      </c>
      <c r="D282" t="str">
        <v>ВВГнг(А)-LS (3х2,5)</v>
      </c>
      <c r="E282" t="str">
        <v>L=12</v>
      </c>
      <c r="F282" t="str">
        <v>Ø20 L=16</v>
      </c>
      <c r="G282" t="str">
        <v>Ø20 L=5</v>
      </c>
      <c r="H282">
        <v>39</v>
      </c>
      <c r="I282" t="str">
        <v/>
      </c>
      <c r="J282" t="str">
        <v/>
      </c>
      <c r="K282" t="str">
        <v/>
      </c>
      <c r="L282" t="str">
        <v/>
      </c>
      <c r="M282" t="str">
        <v/>
      </c>
      <c r="N282" t="str">
        <v/>
      </c>
      <c r="O282" t="str">
        <v>2</v>
      </c>
      <c r="P282" t="str">
        <v>Ø20</v>
      </c>
      <c r="Q282">
        <v>16</v>
      </c>
      <c r="R282" t="str">
        <v>Ø20</v>
      </c>
      <c r="S282">
        <v>5</v>
      </c>
      <c r="T282">
        <v>12</v>
      </c>
    </row>
    <row r="283" spans="1:20" x14ac:dyDescent="0.3">
      <c r="A283" t="str">
        <v>R.2.016А.1</v>
      </c>
      <c r="B283" t="str">
        <v>ЩР-2</v>
      </c>
      <c r="C283" t="str">
        <v>Розеточная группа, пом. 016А</v>
      </c>
      <c r="D283" t="str">
        <v>ВВГнг(А)-LS (3х2,5)</v>
      </c>
      <c r="E283" t="str">
        <v>L=12</v>
      </c>
      <c r="F283" t="str">
        <v>Ø20 L=16</v>
      </c>
      <c r="G283" t="str">
        <v/>
      </c>
      <c r="H283">
        <v>34</v>
      </c>
      <c r="I283" t="str">
        <v/>
      </c>
      <c r="J283" t="str">
        <v/>
      </c>
      <c r="K283" t="str">
        <v/>
      </c>
      <c r="L283" t="str">
        <v/>
      </c>
      <c r="M283" t="str">
        <v/>
      </c>
      <c r="N283" t="str">
        <v/>
      </c>
      <c r="O283" t="str">
        <v>2</v>
      </c>
      <c r="P283" t="str">
        <v>Ø20</v>
      </c>
      <c r="Q283">
        <v>16</v>
      </c>
      <c r="R283" t="str">
        <v/>
      </c>
      <c r="S283" t="str">
        <v/>
      </c>
      <c r="T283">
        <v>12</v>
      </c>
    </row>
    <row r="284" spans="1:20" x14ac:dyDescent="0.3">
      <c r="A284" t="str">
        <v>R.2.017А.1</v>
      </c>
      <c r="B284" t="str">
        <v>ЩР-2</v>
      </c>
      <c r="C284" t="str">
        <v>Розеточная группа, пом. 017А</v>
      </c>
      <c r="D284" t="str">
        <v>ВВГнг(А)-LS (3х2,5)</v>
      </c>
      <c r="E284" t="str">
        <v>L=12</v>
      </c>
      <c r="F284" t="str">
        <v>Ø20 L=28</v>
      </c>
      <c r="G284" t="str">
        <v>Ø20 L=8</v>
      </c>
      <c r="H284">
        <v>54</v>
      </c>
      <c r="I284" t="str">
        <v/>
      </c>
      <c r="J284" t="str">
        <v/>
      </c>
      <c r="K284" t="str">
        <v/>
      </c>
      <c r="L284" t="str">
        <v/>
      </c>
      <c r="M284" t="str">
        <v/>
      </c>
      <c r="N284" t="str">
        <v/>
      </c>
      <c r="O284" t="str">
        <v>2</v>
      </c>
      <c r="P284" t="str">
        <v>Ø20</v>
      </c>
      <c r="Q284">
        <v>28</v>
      </c>
      <c r="R284" t="str">
        <v>Ø20</v>
      </c>
      <c r="S284">
        <v>8</v>
      </c>
      <c r="T284">
        <v>12</v>
      </c>
    </row>
    <row r="285" spans="1:20" x14ac:dyDescent="0.3">
      <c r="A285" t="str">
        <v>R.2.019А.1</v>
      </c>
      <c r="B285" t="str">
        <v>ЩР-2</v>
      </c>
      <c r="C285" t="str">
        <v>Розеточная группа, пом. 019А</v>
      </c>
      <c r="D285" t="str">
        <v>ВВГнг(А)-LS (3х2,5)</v>
      </c>
      <c r="E285" t="str">
        <v>L=12</v>
      </c>
      <c r="F285" t="str">
        <v>Ø20 L=11</v>
      </c>
      <c r="G285" t="str">
        <v>Ø20 L=26</v>
      </c>
      <c r="H285">
        <v>55</v>
      </c>
      <c r="I285" t="str">
        <v/>
      </c>
      <c r="J285" t="str">
        <v/>
      </c>
      <c r="K285" t="str">
        <v/>
      </c>
      <c r="L285" t="str">
        <v/>
      </c>
      <c r="M285" t="str">
        <v/>
      </c>
      <c r="N285" t="str">
        <v/>
      </c>
      <c r="O285" t="str">
        <v>2</v>
      </c>
      <c r="P285" t="str">
        <v>Ø20</v>
      </c>
      <c r="Q285">
        <v>11</v>
      </c>
      <c r="R285" t="str">
        <v>Ø20</v>
      </c>
      <c r="S285">
        <v>26</v>
      </c>
      <c r="T285">
        <v>12</v>
      </c>
    </row>
    <row r="286" spans="1:20" x14ac:dyDescent="0.3">
      <c r="A286" t="str">
        <v>R.2.019А.2</v>
      </c>
      <c r="B286" t="str">
        <v>ЩР-2</v>
      </c>
      <c r="C286" t="str">
        <v>Розеточная группа, пом. 019А</v>
      </c>
      <c r="D286" t="str">
        <v>ВВГнг(А)-LS (3х2,5)</v>
      </c>
      <c r="E286" t="str">
        <v>L=12</v>
      </c>
      <c r="F286" t="str">
        <v>Ø20 L=70</v>
      </c>
      <c r="G286" t="str">
        <v>Ø20 L=84</v>
      </c>
      <c r="H286">
        <v>88</v>
      </c>
      <c r="I286" t="str">
        <v/>
      </c>
      <c r="J286" t="str">
        <v/>
      </c>
      <c r="K286" t="str">
        <v/>
      </c>
      <c r="L286" t="str">
        <v/>
      </c>
      <c r="M286" t="str">
        <v/>
      </c>
      <c r="N286" t="str">
        <v/>
      </c>
      <c r="O286" t="str">
        <v>2</v>
      </c>
      <c r="P286" t="str">
        <v>Ø20</v>
      </c>
      <c r="Q286">
        <v>70</v>
      </c>
      <c r="R286" t="str">
        <v>Ø20</v>
      </c>
      <c r="S286">
        <v>84</v>
      </c>
      <c r="T286">
        <v>12</v>
      </c>
    </row>
    <row r="287" spans="1:20" x14ac:dyDescent="0.3">
      <c r="A287" t="str">
        <v>R.2.020А.1</v>
      </c>
      <c r="B287" t="str">
        <v>ЩР-2</v>
      </c>
      <c r="C287" t="str">
        <v>Розеточная группа, пом. 020А</v>
      </c>
      <c r="D287" t="str">
        <v>ВВГнг(А)-LS (3х2,5)</v>
      </c>
      <c r="E287" t="str">
        <v>L=12</v>
      </c>
      <c r="F287" t="str">
        <v>Ø20 L=45</v>
      </c>
      <c r="G287" t="str">
        <v>Ø20 L=59</v>
      </c>
      <c r="H287">
        <v>63</v>
      </c>
      <c r="I287" t="str">
        <v/>
      </c>
      <c r="J287" t="str">
        <v/>
      </c>
      <c r="K287" t="str">
        <v/>
      </c>
      <c r="L287" t="str">
        <v/>
      </c>
      <c r="M287" t="str">
        <v/>
      </c>
      <c r="N287" t="str">
        <v/>
      </c>
      <c r="O287" t="str">
        <v>2</v>
      </c>
      <c r="P287" t="str">
        <v>Ø20</v>
      </c>
      <c r="Q287">
        <v>45</v>
      </c>
      <c r="R287" t="str">
        <v>Ø20</v>
      </c>
      <c r="S287">
        <v>59</v>
      </c>
      <c r="T287">
        <v>12</v>
      </c>
    </row>
    <row r="288" spans="1:20" x14ac:dyDescent="0.3">
      <c r="A288" t="str">
        <v>R.2.022Б.1</v>
      </c>
      <c r="B288" t="str">
        <v>ЩР-2</v>
      </c>
      <c r="C288" t="str">
        <v>Розеточная группа, пом. 022Б</v>
      </c>
      <c r="D288" t="str">
        <v>ВВГнг(А)-LS (3х2,5)</v>
      </c>
      <c r="E288" t="str">
        <v>L=12</v>
      </c>
      <c r="F288" t="str">
        <v>Ø20 L=26</v>
      </c>
      <c r="G288" t="str">
        <v>Ø20 L=40</v>
      </c>
      <c r="H288">
        <v>44</v>
      </c>
      <c r="I288" t="str">
        <v/>
      </c>
      <c r="J288" t="str">
        <v/>
      </c>
      <c r="K288" t="str">
        <v/>
      </c>
      <c r="L288" t="str">
        <v/>
      </c>
      <c r="M288" t="str">
        <v/>
      </c>
      <c r="N288" t="str">
        <v/>
      </c>
      <c r="O288" t="str">
        <v>2</v>
      </c>
      <c r="P288" t="str">
        <v>Ø20</v>
      </c>
      <c r="Q288">
        <v>26</v>
      </c>
      <c r="R288" t="str">
        <v>Ø20</v>
      </c>
      <c r="S288">
        <v>40</v>
      </c>
      <c r="T288">
        <v>12</v>
      </c>
    </row>
    <row r="289" spans="1:20" x14ac:dyDescent="0.3">
      <c r="A289" t="str">
        <v>R.2.001.1</v>
      </c>
      <c r="B289" t="str">
        <v>ЩР-2</v>
      </c>
      <c r="C289" t="str">
        <v>Розеточная группа, пом. 001</v>
      </c>
      <c r="D289" t="str">
        <v>ВВГнг(А)-LS (3х2,5)</v>
      </c>
      <c r="E289" t="str">
        <v>L=12</v>
      </c>
      <c r="F289" t="str">
        <v>Ø20 L=36</v>
      </c>
      <c r="G289" t="str">
        <v>Ø20 L=33</v>
      </c>
      <c r="H289">
        <v>87</v>
      </c>
      <c r="I289" t="str">
        <v/>
      </c>
      <c r="J289" t="str">
        <v/>
      </c>
      <c r="K289" t="str">
        <v/>
      </c>
      <c r="L289" t="str">
        <v/>
      </c>
      <c r="M289" t="str">
        <v/>
      </c>
      <c r="N289" t="str">
        <v/>
      </c>
      <c r="O289" t="str">
        <v>2</v>
      </c>
      <c r="P289" t="str">
        <v>Ø20</v>
      </c>
      <c r="Q289">
        <v>36</v>
      </c>
      <c r="R289" t="str">
        <v>Ø20</v>
      </c>
      <c r="S289">
        <v>33</v>
      </c>
      <c r="T289">
        <v>12</v>
      </c>
    </row>
    <row r="290" spans="1:20" x14ac:dyDescent="0.3">
      <c r="A290" t="str">
        <v>R.2.003Г.1</v>
      </c>
      <c r="B290" t="str">
        <v>ЩР-2</v>
      </c>
      <c r="C290" t="str">
        <v>Розеточная группа, пом. 003Г</v>
      </c>
      <c r="D290" t="str">
        <v>ВВГнг(А)-LS (3х2,5)</v>
      </c>
      <c r="E290" t="str">
        <v>L=12</v>
      </c>
      <c r="F290" t="str">
        <v>Ø20 L=27</v>
      </c>
      <c r="G290" t="str">
        <v>Ø20 L=8</v>
      </c>
      <c r="H290">
        <v>47</v>
      </c>
      <c r="I290" t="str">
        <v/>
      </c>
      <c r="J290" t="str">
        <v/>
      </c>
      <c r="K290" t="str">
        <v/>
      </c>
      <c r="L290" t="str">
        <v/>
      </c>
      <c r="M290" t="str">
        <v/>
      </c>
      <c r="N290" t="str">
        <v/>
      </c>
      <c r="O290" t="str">
        <v>2</v>
      </c>
      <c r="P290" t="str">
        <v>Ø20</v>
      </c>
      <c r="Q290">
        <v>27</v>
      </c>
      <c r="R290" t="str">
        <v>Ø20</v>
      </c>
      <c r="S290">
        <v>8</v>
      </c>
      <c r="T290">
        <v>12</v>
      </c>
    </row>
    <row r="291" spans="1:20" x14ac:dyDescent="0.3">
      <c r="A291" t="str">
        <v>R.2.005А.3</v>
      </c>
      <c r="B291" t="str">
        <v>ЩР-2</v>
      </c>
      <c r="C291" t="str">
        <v>Розеточная группа, пом. 005А</v>
      </c>
      <c r="D291" t="str">
        <v>ВВГнг(А)-LS (3х2,5)</v>
      </c>
      <c r="E291" t="str">
        <v>L=12</v>
      </c>
      <c r="F291" t="str">
        <v>Ø20 L=28</v>
      </c>
      <c r="G291" t="str">
        <v>Ø20 L=36</v>
      </c>
      <c r="H291">
        <v>40</v>
      </c>
      <c r="I291" t="str">
        <v/>
      </c>
      <c r="J291" t="str">
        <v/>
      </c>
      <c r="K291" t="str">
        <v/>
      </c>
      <c r="L291" t="str">
        <v/>
      </c>
      <c r="M291" t="str">
        <v/>
      </c>
      <c r="N291" t="str">
        <v/>
      </c>
      <c r="O291" t="str">
        <v>2</v>
      </c>
      <c r="P291" t="str">
        <v>Ø20</v>
      </c>
      <c r="Q291">
        <v>28</v>
      </c>
      <c r="R291" t="str">
        <v>Ø20</v>
      </c>
      <c r="S291">
        <v>36</v>
      </c>
      <c r="T291">
        <v>12</v>
      </c>
    </row>
    <row r="292" spans="1:20" x14ac:dyDescent="0.3">
      <c r="A292" t="str">
        <v>R.2.009А.3</v>
      </c>
      <c r="B292" t="str">
        <v>ЩР-2</v>
      </c>
      <c r="C292" t="str">
        <v>Розеточная группа, пом. 009А</v>
      </c>
      <c r="D292" t="str">
        <v>ВВГнг(А)-LS (3х2,5)</v>
      </c>
      <c r="E292" t="str">
        <v>L=12</v>
      </c>
      <c r="F292" t="str">
        <v>Ø20 L=17</v>
      </c>
      <c r="G292" t="str">
        <v>Ø20 L=31</v>
      </c>
      <c r="H292">
        <v>35</v>
      </c>
      <c r="I292" t="str">
        <v/>
      </c>
      <c r="J292" t="str">
        <v/>
      </c>
      <c r="K292" t="str">
        <v/>
      </c>
      <c r="L292" t="str">
        <v/>
      </c>
      <c r="M292" t="str">
        <v/>
      </c>
      <c r="N292" t="str">
        <v/>
      </c>
      <c r="O292" t="str">
        <v>2</v>
      </c>
      <c r="P292" t="str">
        <v>Ø20</v>
      </c>
      <c r="Q292">
        <v>17</v>
      </c>
      <c r="R292" t="str">
        <v>Ø20</v>
      </c>
      <c r="S292">
        <v>31</v>
      </c>
      <c r="T292">
        <v>12</v>
      </c>
    </row>
    <row r="293" spans="1:20" x14ac:dyDescent="0.3">
      <c r="A293" t="str">
        <v>R.2.020А.2</v>
      </c>
      <c r="B293" t="str">
        <v>ЩР-2</v>
      </c>
      <c r="C293" t="str">
        <v>Розеточная группа, пом. 020А</v>
      </c>
      <c r="D293" t="str">
        <v>ВВГнг(А)-LS (3х2,5)</v>
      </c>
      <c r="E293" t="str">
        <v>L=12</v>
      </c>
      <c r="F293" t="str">
        <v>Ø20 L=41</v>
      </c>
      <c r="G293" t="str">
        <v>Ø20 L=55</v>
      </c>
      <c r="H293">
        <v>59</v>
      </c>
      <c r="I293" t="str">
        <v/>
      </c>
      <c r="J293" t="str">
        <v/>
      </c>
      <c r="K293" t="str">
        <v/>
      </c>
      <c r="L293" t="str">
        <v/>
      </c>
      <c r="M293" t="str">
        <v/>
      </c>
      <c r="N293" t="str">
        <v/>
      </c>
      <c r="O293" t="str">
        <v>2</v>
      </c>
      <c r="P293" t="str">
        <v>Ø20</v>
      </c>
      <c r="Q293">
        <v>41</v>
      </c>
      <c r="R293" t="str">
        <v>Ø20</v>
      </c>
      <c r="S293">
        <v>55</v>
      </c>
      <c r="T293">
        <v>12</v>
      </c>
    </row>
    <row r="294" spans="1:20" x14ac:dyDescent="0.3">
      <c r="A294" t="str">
        <v>R.3.001T.1</v>
      </c>
      <c r="B294" t="str">
        <v>ЩР-2</v>
      </c>
      <c r="C294" t="str">
        <v>Розеточная группа, пом. 001T</v>
      </c>
      <c r="D294" t="str">
        <v>ВВГнг(А)-LS (3х2,5)</v>
      </c>
      <c r="E294" t="str">
        <v/>
      </c>
      <c r="F294" t="str">
        <v>Ø20 L=16</v>
      </c>
      <c r="G294" t="str">
        <v>Ø20 L=18</v>
      </c>
      <c r="H294">
        <v>22</v>
      </c>
      <c r="I294" t="str">
        <v/>
      </c>
      <c r="J294" t="str">
        <v/>
      </c>
      <c r="K294" t="str">
        <v/>
      </c>
      <c r="L294" t="str">
        <v/>
      </c>
      <c r="M294" t="str">
        <v/>
      </c>
      <c r="N294" t="str">
        <v/>
      </c>
      <c r="O294" t="str">
        <v>2</v>
      </c>
      <c r="P294" t="str">
        <v>Ø20</v>
      </c>
      <c r="Q294">
        <v>16</v>
      </c>
      <c r="R294" t="str">
        <v>Ø20</v>
      </c>
      <c r="S294">
        <v>18</v>
      </c>
      <c r="T294" t="str">
        <v/>
      </c>
    </row>
    <row r="295" spans="1:20" x14ac:dyDescent="0.3">
      <c r="A295" t="str">
        <v>R.3.001Б.1</v>
      </c>
      <c r="B295" t="str">
        <v>ЩР-2</v>
      </c>
      <c r="C295" t="str">
        <v>Розеточная группа, пом. 001Б</v>
      </c>
      <c r="D295" t="str">
        <v>ВВГнг(А)-LS (3х2,5)</v>
      </c>
      <c r="E295" t="str">
        <v/>
      </c>
      <c r="F295" t="str">
        <v>Ø20 L=35</v>
      </c>
      <c r="G295" t="str">
        <v>Ø20 L=37</v>
      </c>
      <c r="H295">
        <v>41</v>
      </c>
      <c r="I295" t="str">
        <v/>
      </c>
      <c r="J295" t="str">
        <v/>
      </c>
      <c r="K295" t="str">
        <v/>
      </c>
      <c r="L295" t="str">
        <v/>
      </c>
      <c r="M295" t="str">
        <v/>
      </c>
      <c r="N295" t="str">
        <v/>
      </c>
      <c r="O295" t="str">
        <v>2</v>
      </c>
      <c r="P295" t="str">
        <v>Ø20</v>
      </c>
      <c r="Q295">
        <v>35</v>
      </c>
      <c r="R295" t="str">
        <v>Ø20</v>
      </c>
      <c r="S295">
        <v>37</v>
      </c>
      <c r="T295" t="str">
        <v/>
      </c>
    </row>
    <row r="296" spans="1:20" x14ac:dyDescent="0.3">
      <c r="A296" t="str">
        <v>ШТК-2</v>
      </c>
      <c r="B296" t="str">
        <v>ЩР-2</v>
      </c>
      <c r="C296" t="str">
        <v>Шкаф телекоммуникационный ШТК-2  Тех. Этаж Пом №004T</v>
      </c>
      <c r="D296" t="str">
        <v>ВВГнг(А)-LS (3х2,5)</v>
      </c>
      <c r="E296" t="str">
        <v/>
      </c>
      <c r="F296" t="str">
        <v>Ø20 L=32</v>
      </c>
      <c r="G296" t="str">
        <v/>
      </c>
      <c r="H296">
        <v>38</v>
      </c>
      <c r="I296" t="str">
        <v/>
      </c>
      <c r="J296" t="str">
        <v/>
      </c>
      <c r="K296" t="str">
        <v/>
      </c>
      <c r="L296" t="str">
        <v/>
      </c>
      <c r="M296" t="str">
        <v/>
      </c>
      <c r="N296" t="str">
        <v/>
      </c>
      <c r="O296" t="str">
        <v>1</v>
      </c>
      <c r="P296" t="str">
        <v>Ø20</v>
      </c>
      <c r="Q296">
        <v>32</v>
      </c>
      <c r="R296" t="str">
        <v/>
      </c>
      <c r="S296" t="str">
        <v/>
      </c>
      <c r="T296" t="str">
        <v/>
      </c>
    </row>
    <row r="297" spans="1:20" x14ac:dyDescent="0.3">
      <c r="A297" t="str">
        <v>ШТК-ЛВС.3</v>
      </c>
      <c r="B297" t="str">
        <v>ЩР-2</v>
      </c>
      <c r="C297" t="str">
        <v>Шкаф телекоммуникационный ШТК-2  Тех. Этаж Пом №004T</v>
      </c>
      <c r="D297" t="str">
        <v>ВВГнг(А)-LS (3х2,5)</v>
      </c>
      <c r="E297" t="str">
        <v/>
      </c>
      <c r="F297" t="str">
        <v>Ø20 L=33</v>
      </c>
      <c r="G297" t="str">
        <v/>
      </c>
      <c r="H297">
        <v>39</v>
      </c>
      <c r="I297" t="str">
        <v/>
      </c>
      <c r="J297" t="str">
        <v/>
      </c>
      <c r="K297" t="str">
        <v/>
      </c>
      <c r="L297" t="str">
        <v/>
      </c>
      <c r="M297" t="str">
        <v/>
      </c>
      <c r="N297" t="str">
        <v/>
      </c>
      <c r="O297" t="str">
        <v>1</v>
      </c>
      <c r="P297" t="str">
        <v>Ø20</v>
      </c>
      <c r="Q297">
        <v>33</v>
      </c>
      <c r="R297" t="str">
        <v/>
      </c>
      <c r="S297" t="str">
        <v/>
      </c>
      <c r="T297" t="str">
        <v/>
      </c>
    </row>
    <row r="298" spans="1:20" x14ac:dyDescent="0.3">
      <c r="A298" t="str">
        <v>ШКД.3</v>
      </c>
      <c r="B298" t="str">
        <v>ЩР-2</v>
      </c>
      <c r="C298" t="str">
        <v>Щит контроля доступа ЩКД-2  Тех. Этаж Пом №001T</v>
      </c>
      <c r="D298" t="str">
        <v>ВВГнг(А)-LS (3х2,5)</v>
      </c>
      <c r="E298" t="str">
        <v/>
      </c>
      <c r="F298" t="str">
        <v>Ø20 L=8</v>
      </c>
      <c r="G298" t="str">
        <v/>
      </c>
      <c r="H298">
        <v>8</v>
      </c>
      <c r="I298" t="str">
        <v/>
      </c>
      <c r="J298" t="str">
        <v/>
      </c>
      <c r="K298" t="str">
        <v/>
      </c>
      <c r="L298" t="str">
        <v/>
      </c>
      <c r="M298" t="str">
        <v/>
      </c>
      <c r="N298" t="str">
        <v/>
      </c>
      <c r="O298" t="str">
        <v>1</v>
      </c>
      <c r="P298" t="str">
        <v>Ø20</v>
      </c>
      <c r="Q298">
        <v>8</v>
      </c>
      <c r="R298" t="str">
        <v/>
      </c>
      <c r="S298" t="str">
        <v/>
      </c>
      <c r="T298" t="str">
        <v/>
      </c>
    </row>
    <row r="299" spans="1:20" x14ac:dyDescent="0.3">
      <c r="A299" t="str">
        <v>Э.1</v>
      </c>
      <c r="B299" t="str">
        <v>ЩС-Б</v>
      </c>
      <c r="C299" t="str">
        <v>Управляющий электрощит бассейна Подвальный этаж Пом. 002Тб</v>
      </c>
      <c r="D299" t="str">
        <v>ВВГнг(А)-LS (5х4)</v>
      </c>
      <c r="E299" t="str">
        <v>L=3</v>
      </c>
      <c r="F299" t="str">
        <v>Ø25 L=15</v>
      </c>
      <c r="G299" t="str">
        <v/>
      </c>
      <c r="H299">
        <v>21</v>
      </c>
      <c r="I299" t="str">
        <v/>
      </c>
      <c r="J299" t="str">
        <v/>
      </c>
      <c r="K299" t="str">
        <v/>
      </c>
      <c r="L299" t="str">
        <v/>
      </c>
      <c r="M299" t="str">
        <v/>
      </c>
      <c r="N299" t="str">
        <v/>
      </c>
      <c r="O299" t="str">
        <v>1</v>
      </c>
      <c r="P299" t="str">
        <v>Ø25</v>
      </c>
      <c r="Q299">
        <v>15</v>
      </c>
      <c r="R299" t="str">
        <v/>
      </c>
      <c r="S299" t="str">
        <v/>
      </c>
      <c r="T299">
        <v>3</v>
      </c>
    </row>
    <row r="300" spans="1:20" x14ac:dyDescent="0.3">
      <c r="A300" t="str">
        <v>Э.2</v>
      </c>
      <c r="B300" t="str">
        <v>ЩС-Б</v>
      </c>
      <c r="C300" t="str">
        <v>Горячая купель Подвальный этаж Пом. 002Тб</v>
      </c>
      <c r="D300" t="str">
        <v>ВВГнг(А)-LS (5х2,5)</v>
      </c>
      <c r="E300" t="str">
        <v>L=25</v>
      </c>
      <c r="F300" t="str">
        <v>Ø20 L=12</v>
      </c>
      <c r="G300" t="str">
        <v/>
      </c>
      <c r="H300">
        <v>40</v>
      </c>
      <c r="I300" t="str">
        <v/>
      </c>
      <c r="J300" t="str">
        <v/>
      </c>
      <c r="K300" t="str">
        <v/>
      </c>
      <c r="L300" t="str">
        <v/>
      </c>
      <c r="M300" t="str">
        <v/>
      </c>
      <c r="N300" t="str">
        <v/>
      </c>
      <c r="O300" t="str">
        <v>1</v>
      </c>
      <c r="P300" t="str">
        <v>Ø20</v>
      </c>
      <c r="Q300">
        <v>12</v>
      </c>
      <c r="R300" t="str">
        <v/>
      </c>
      <c r="S300" t="str">
        <v/>
      </c>
      <c r="T300">
        <v>25</v>
      </c>
    </row>
    <row r="301" spans="1:20" x14ac:dyDescent="0.3">
      <c r="A301" t="str">
        <v>Э.3</v>
      </c>
      <c r="B301" t="str">
        <v>ЩС-Б</v>
      </c>
      <c r="C301" t="str">
        <v>Холодная купель Подвальный этаж Пом. 002Тб</v>
      </c>
      <c r="D301" t="str">
        <v>ВВГнг(А)-LS (5х2,5)</v>
      </c>
      <c r="E301" t="str">
        <v>L=17</v>
      </c>
      <c r="F301" t="str">
        <v>Ø20 L=10</v>
      </c>
      <c r="G301" t="str">
        <v/>
      </c>
      <c r="H301">
        <v>30</v>
      </c>
      <c r="I301" t="str">
        <v/>
      </c>
      <c r="J301" t="str">
        <v/>
      </c>
      <c r="K301" t="str">
        <v/>
      </c>
      <c r="L301" t="str">
        <v/>
      </c>
      <c r="M301" t="str">
        <v/>
      </c>
      <c r="N301" t="str">
        <v/>
      </c>
      <c r="O301" t="str">
        <v>1</v>
      </c>
      <c r="P301" t="str">
        <v>Ø20</v>
      </c>
      <c r="Q301">
        <v>10</v>
      </c>
      <c r="R301" t="str">
        <v/>
      </c>
      <c r="S301" t="str">
        <v/>
      </c>
      <c r="T301">
        <v>17</v>
      </c>
    </row>
    <row r="302" spans="1:20" x14ac:dyDescent="0.3">
      <c r="A302" t="str">
        <v>НВК.00.003Т.2</v>
      </c>
      <c r="B302" t="str">
        <v>ЩС-ВК.001</v>
      </c>
      <c r="C302" t="str">
        <v>Насос дренажный, пом. 003Т</v>
      </c>
      <c r="D302" t="str">
        <v>ВВГнг(А)-LS (3х2,5)</v>
      </c>
      <c r="E302" t="str">
        <v>L=9</v>
      </c>
      <c r="F302" t="str">
        <v>Ø20 L=9</v>
      </c>
      <c r="G302" t="str">
        <v/>
      </c>
      <c r="H302">
        <v>21</v>
      </c>
      <c r="I302" t="str">
        <v/>
      </c>
      <c r="J302" t="str">
        <v/>
      </c>
      <c r="K302" t="str">
        <v/>
      </c>
      <c r="L302" t="str">
        <v/>
      </c>
      <c r="M302" t="str">
        <v/>
      </c>
      <c r="N302" t="str">
        <v/>
      </c>
      <c r="O302" t="str">
        <v>1</v>
      </c>
      <c r="P302" t="str">
        <v>Ø20</v>
      </c>
      <c r="Q302">
        <v>9</v>
      </c>
      <c r="R302" t="str">
        <v/>
      </c>
      <c r="S302" t="str">
        <v/>
      </c>
      <c r="T302">
        <v>9</v>
      </c>
    </row>
    <row r="303" spans="1:20" x14ac:dyDescent="0.3">
      <c r="A303" t="str">
        <v>НВК.00.003Т.1</v>
      </c>
      <c r="B303" t="str">
        <v>ЩС-ВК.001</v>
      </c>
      <c r="C303" t="str">
        <v>Насос дренажный, пом. 003Т</v>
      </c>
      <c r="D303" t="str">
        <v>ВВГнг(А)-LS (3х2,5)</v>
      </c>
      <c r="E303" t="str">
        <v>L=9</v>
      </c>
      <c r="F303" t="str">
        <v>Ø20 L=9</v>
      </c>
      <c r="G303" t="str">
        <v/>
      </c>
      <c r="H303">
        <v>21</v>
      </c>
      <c r="I303" t="str">
        <v/>
      </c>
      <c r="J303" t="str">
        <v/>
      </c>
      <c r="K303" t="str">
        <v/>
      </c>
      <c r="L303" t="str">
        <v/>
      </c>
      <c r="M303" t="str">
        <v/>
      </c>
      <c r="N303" t="str">
        <v/>
      </c>
      <c r="O303" t="str">
        <v>1</v>
      </c>
      <c r="P303" t="str">
        <v>Ø20</v>
      </c>
      <c r="Q303">
        <v>9</v>
      </c>
      <c r="R303" t="str">
        <v/>
      </c>
      <c r="S303" t="str">
        <v/>
      </c>
      <c r="T303">
        <v>9</v>
      </c>
    </row>
    <row r="304" spans="1:20" x14ac:dyDescent="0.3">
      <c r="A304" t="str">
        <v>НВК.00.005Т.4</v>
      </c>
      <c r="B304" t="str">
        <v>ЩС-ВК.001</v>
      </c>
      <c r="C304" t="str">
        <v>Насос дренажный, пом. 005Т</v>
      </c>
      <c r="D304" t="str">
        <v>ВВГнг(А)-LS (3х2,5)</v>
      </c>
      <c r="E304" t="str">
        <v>L=1</v>
      </c>
      <c r="F304" t="str">
        <v>Ø20 L=18</v>
      </c>
      <c r="G304" t="str">
        <v/>
      </c>
      <c r="H304">
        <v>22</v>
      </c>
      <c r="I304" t="str">
        <v/>
      </c>
      <c r="J304" t="str">
        <v/>
      </c>
      <c r="K304" t="str">
        <v/>
      </c>
      <c r="L304" t="str">
        <v/>
      </c>
      <c r="M304" t="str">
        <v/>
      </c>
      <c r="N304" t="str">
        <v/>
      </c>
      <c r="O304" t="str">
        <v>1</v>
      </c>
      <c r="P304" t="str">
        <v>Ø20</v>
      </c>
      <c r="Q304">
        <v>18</v>
      </c>
      <c r="R304" t="str">
        <v/>
      </c>
      <c r="S304" t="str">
        <v/>
      </c>
      <c r="T304">
        <v>1</v>
      </c>
    </row>
    <row r="305" spans="1:20" x14ac:dyDescent="0.3">
      <c r="A305" t="str">
        <v>НВК.00.005Т.3</v>
      </c>
      <c r="B305" t="str">
        <v>ЩС-ВК.001</v>
      </c>
      <c r="C305" t="str">
        <v>Насос дренажный, пом. 005Т</v>
      </c>
      <c r="D305" t="str">
        <v>ВВГнг(А)-LS (3х2,5)</v>
      </c>
      <c r="E305" t="str">
        <v>L=1</v>
      </c>
      <c r="F305" t="str">
        <v>Ø20 L=18</v>
      </c>
      <c r="G305" t="str">
        <v/>
      </c>
      <c r="H305">
        <v>22</v>
      </c>
      <c r="I305" t="str">
        <v/>
      </c>
      <c r="J305" t="str">
        <v/>
      </c>
      <c r="K305" t="str">
        <v/>
      </c>
      <c r="L305" t="str">
        <v/>
      </c>
      <c r="M305" t="str">
        <v/>
      </c>
      <c r="N305" t="str">
        <v/>
      </c>
      <c r="O305" t="str">
        <v>1</v>
      </c>
      <c r="P305" t="str">
        <v>Ø20</v>
      </c>
      <c r="Q305">
        <v>18</v>
      </c>
      <c r="R305" t="str">
        <v/>
      </c>
      <c r="S305" t="str">
        <v/>
      </c>
      <c r="T305">
        <v>1</v>
      </c>
    </row>
    <row r="306" spans="1:20" x14ac:dyDescent="0.3">
      <c r="A306" t="str">
        <v>НВК.00.005Т.1</v>
      </c>
      <c r="B306" t="str">
        <v>ЩС-ВК.001</v>
      </c>
      <c r="C306" t="str">
        <v>Насос дренажный, пом. 005Т</v>
      </c>
      <c r="D306" t="str">
        <v>ВВГнг(А)-LS (3х2,5)</v>
      </c>
      <c r="E306" t="str">
        <v>L=1</v>
      </c>
      <c r="F306" t="str">
        <v>Ø20 L=10</v>
      </c>
      <c r="G306" t="str">
        <v/>
      </c>
      <c r="H306">
        <v>14</v>
      </c>
      <c r="I306" t="str">
        <v/>
      </c>
      <c r="J306" t="str">
        <v/>
      </c>
      <c r="K306" t="str">
        <v/>
      </c>
      <c r="L306" t="str">
        <v/>
      </c>
      <c r="M306" t="str">
        <v/>
      </c>
      <c r="N306" t="str">
        <v/>
      </c>
      <c r="O306" t="str">
        <v>1</v>
      </c>
      <c r="P306" t="str">
        <v>Ø20</v>
      </c>
      <c r="Q306">
        <v>10</v>
      </c>
      <c r="R306" t="str">
        <v/>
      </c>
      <c r="S306" t="str">
        <v/>
      </c>
      <c r="T306">
        <v>1</v>
      </c>
    </row>
    <row r="307" spans="1:20" x14ac:dyDescent="0.3">
      <c r="A307" t="str">
        <v>НВК.00.005Т.2</v>
      </c>
      <c r="B307" t="str">
        <v>ЩС-ВК.001</v>
      </c>
      <c r="C307" t="str">
        <v>Насос дренажный, пом. 005Т</v>
      </c>
      <c r="D307" t="str">
        <v>ВВГнг(А)-LS (3х2,5)</v>
      </c>
      <c r="E307" t="str">
        <v>L=1</v>
      </c>
      <c r="F307" t="str">
        <v>Ø20 L=10</v>
      </c>
      <c r="G307" t="str">
        <v/>
      </c>
      <c r="H307">
        <v>14</v>
      </c>
      <c r="I307" t="str">
        <v/>
      </c>
      <c r="J307" t="str">
        <v/>
      </c>
      <c r="K307" t="str">
        <v/>
      </c>
      <c r="L307" t="str">
        <v/>
      </c>
      <c r="M307" t="str">
        <v/>
      </c>
      <c r="N307" t="str">
        <v/>
      </c>
      <c r="O307" t="str">
        <v>1</v>
      </c>
      <c r="P307" t="str">
        <v>Ø20</v>
      </c>
      <c r="Q307">
        <v>10</v>
      </c>
      <c r="R307" t="str">
        <v/>
      </c>
      <c r="S307" t="str">
        <v/>
      </c>
      <c r="T307">
        <v>1</v>
      </c>
    </row>
    <row r="308" spans="1:20" x14ac:dyDescent="0.3">
      <c r="A308" t="str">
        <v>НВК.00.002Т.1</v>
      </c>
      <c r="B308" t="str">
        <v>ЩС-ВК.001</v>
      </c>
      <c r="C308" t="str">
        <v>циркуляционный насос Подвальный этаж Пом. №002Т</v>
      </c>
      <c r="D308" t="str">
        <v>ВВГнг(А)-LS (3х2,5)</v>
      </c>
      <c r="E308" t="str">
        <v>L=4</v>
      </c>
      <c r="F308" t="str">
        <v>Ø20 L=15</v>
      </c>
      <c r="G308" t="str">
        <v/>
      </c>
      <c r="H308">
        <v>22</v>
      </c>
      <c r="I308" t="str">
        <v/>
      </c>
      <c r="J308" t="str">
        <v/>
      </c>
      <c r="K308" t="str">
        <v/>
      </c>
      <c r="L308" t="str">
        <v/>
      </c>
      <c r="M308" t="str">
        <v/>
      </c>
      <c r="N308" t="str">
        <v/>
      </c>
      <c r="O308" t="str">
        <v>1</v>
      </c>
      <c r="P308" t="str">
        <v>Ø20</v>
      </c>
      <c r="Q308">
        <v>15</v>
      </c>
      <c r="R308" t="str">
        <v/>
      </c>
      <c r="S308" t="str">
        <v/>
      </c>
      <c r="T308">
        <v>4</v>
      </c>
    </row>
    <row r="309" spans="1:20" x14ac:dyDescent="0.3">
      <c r="A309" t="str">
        <v>НВК.00.002Тб.3</v>
      </c>
      <c r="B309" t="str">
        <v>ЩС-ВК.002</v>
      </c>
      <c r="C309" t="str">
        <v>Насос дренажный, пом. 002Тб</v>
      </c>
      <c r="D309" t="str">
        <v>ВВГнг(А)-LS (3х2,5)</v>
      </c>
      <c r="E309" t="str">
        <v>L=23</v>
      </c>
      <c r="F309" t="str">
        <v>Ø20 L=5</v>
      </c>
      <c r="G309" t="str">
        <v/>
      </c>
      <c r="H309">
        <v>37</v>
      </c>
      <c r="I309" t="str">
        <v/>
      </c>
      <c r="J309" t="str">
        <v/>
      </c>
      <c r="K309" t="str">
        <v/>
      </c>
      <c r="L309" t="str">
        <v/>
      </c>
      <c r="M309" t="str">
        <v/>
      </c>
      <c r="N309" t="str">
        <v/>
      </c>
      <c r="O309" t="str">
        <v>1</v>
      </c>
      <c r="P309" t="str">
        <v>Ø20</v>
      </c>
      <c r="Q309">
        <v>5</v>
      </c>
      <c r="R309" t="str">
        <v/>
      </c>
      <c r="S309" t="str">
        <v/>
      </c>
      <c r="T309">
        <v>23</v>
      </c>
    </row>
    <row r="310" spans="1:20" x14ac:dyDescent="0.3">
      <c r="A310" t="str">
        <v>НВК.00.002Тб.4</v>
      </c>
      <c r="B310" t="str">
        <v>ЩС-ВК.002</v>
      </c>
      <c r="C310" t="str">
        <v>Насос дренажный, пом. 002Тб</v>
      </c>
      <c r="D310" t="str">
        <v>ВВГнг(А)-LS (3х2,5)</v>
      </c>
      <c r="E310" t="str">
        <v>L=23</v>
      </c>
      <c r="F310" t="str">
        <v>Ø20 L=4</v>
      </c>
      <c r="G310" t="str">
        <v/>
      </c>
      <c r="H310">
        <v>36</v>
      </c>
      <c r="I310" t="str">
        <v/>
      </c>
      <c r="J310" t="str">
        <v/>
      </c>
      <c r="K310" t="str">
        <v/>
      </c>
      <c r="L310" t="str">
        <v/>
      </c>
      <c r="M310" t="str">
        <v/>
      </c>
      <c r="N310" t="str">
        <v/>
      </c>
      <c r="O310" t="str">
        <v>1</v>
      </c>
      <c r="P310" t="str">
        <v>Ø20</v>
      </c>
      <c r="Q310">
        <v>4</v>
      </c>
      <c r="R310" t="str">
        <v/>
      </c>
      <c r="S310" t="str">
        <v/>
      </c>
      <c r="T310">
        <v>23</v>
      </c>
    </row>
    <row r="311" spans="1:20" x14ac:dyDescent="0.3">
      <c r="A311" t="str">
        <v>НВК.00.002Тб.2</v>
      </c>
      <c r="B311" t="str">
        <v>ЩС-ВК.002</v>
      </c>
      <c r="C311" t="str">
        <v>Насос дренажный, пом. 002Тб</v>
      </c>
      <c r="D311" t="str">
        <v>ВВГнг(А)-LS (3х2,5)</v>
      </c>
      <c r="E311" t="str">
        <v/>
      </c>
      <c r="F311" t="str">
        <v>Ø20 L=10</v>
      </c>
      <c r="G311" t="str">
        <v/>
      </c>
      <c r="H311">
        <v>13</v>
      </c>
      <c r="I311" t="str">
        <v/>
      </c>
      <c r="J311" t="str">
        <v/>
      </c>
      <c r="K311" t="str">
        <v/>
      </c>
      <c r="L311" t="str">
        <v/>
      </c>
      <c r="M311" t="str">
        <v/>
      </c>
      <c r="N311" t="str">
        <v/>
      </c>
      <c r="O311" t="str">
        <v>1</v>
      </c>
      <c r="P311" t="str">
        <v>Ø20</v>
      </c>
      <c r="Q311">
        <v>10</v>
      </c>
      <c r="R311" t="str">
        <v/>
      </c>
      <c r="S311" t="str">
        <v/>
      </c>
      <c r="T311" t="str">
        <v/>
      </c>
    </row>
    <row r="312" spans="1:20" x14ac:dyDescent="0.3">
      <c r="A312" t="str">
        <v>НВК.00.002Тб.1</v>
      </c>
      <c r="B312" t="str">
        <v>ЩС-ВК.002</v>
      </c>
      <c r="C312" t="str">
        <v>Насос дренажный, пом. 002Тб</v>
      </c>
      <c r="D312" t="str">
        <v>ВВГнг(А)-LS (3х2,5)</v>
      </c>
      <c r="E312" t="str">
        <v/>
      </c>
      <c r="F312" t="str">
        <v>Ø20 L=10</v>
      </c>
      <c r="G312" t="str">
        <v/>
      </c>
      <c r="H312">
        <v>13</v>
      </c>
      <c r="I312" t="str">
        <v/>
      </c>
      <c r="J312" t="str">
        <v/>
      </c>
      <c r="K312" t="str">
        <v/>
      </c>
      <c r="L312" t="str">
        <v/>
      </c>
      <c r="M312" t="str">
        <v/>
      </c>
      <c r="N312" t="str">
        <v/>
      </c>
      <c r="O312" t="str">
        <v>1</v>
      </c>
      <c r="P312" t="str">
        <v>Ø20</v>
      </c>
      <c r="Q312">
        <v>10</v>
      </c>
      <c r="R312" t="str">
        <v/>
      </c>
      <c r="S312" t="str">
        <v/>
      </c>
      <c r="T312" t="str">
        <v/>
      </c>
    </row>
    <row r="313" spans="1:20" x14ac:dyDescent="0.3">
      <c r="A313" t="str">
        <v>НВК.00.006Т.2</v>
      </c>
      <c r="B313" t="str">
        <v>ЩС-ВК.003</v>
      </c>
      <c r="C313" t="str">
        <v>Насос дренажный, пом. 006Т</v>
      </c>
      <c r="D313" t="str">
        <v>ВВГнг(А)-LS (3х2,5)</v>
      </c>
      <c r="E313" t="str">
        <v/>
      </c>
      <c r="F313" t="str">
        <v>Ø20 L=12</v>
      </c>
      <c r="G313" t="str">
        <v/>
      </c>
      <c r="H313">
        <v>16</v>
      </c>
      <c r="I313" t="str">
        <v/>
      </c>
      <c r="J313" t="str">
        <v/>
      </c>
      <c r="K313" t="str">
        <v/>
      </c>
      <c r="L313" t="str">
        <v/>
      </c>
      <c r="M313" t="str">
        <v/>
      </c>
      <c r="N313" t="str">
        <v/>
      </c>
      <c r="O313" t="str">
        <v/>
      </c>
      <c r="P313" t="str">
        <v>Ø20</v>
      </c>
      <c r="Q313">
        <v>12</v>
      </c>
      <c r="R313" t="str">
        <v/>
      </c>
      <c r="S313" t="str">
        <v/>
      </c>
      <c r="T313" t="str">
        <v/>
      </c>
    </row>
    <row r="314" spans="1:20" x14ac:dyDescent="0.3">
      <c r="A314" t="str">
        <v>НВК.00.006Т.1</v>
      </c>
      <c r="B314" t="str">
        <v>ЩС-ВК.003</v>
      </c>
      <c r="C314" t="str">
        <v>Насос дренажный, пом. 006Т</v>
      </c>
      <c r="D314" t="str">
        <v>ВВГнг(А)-LS (3х2,5)</v>
      </c>
      <c r="E314" t="str">
        <v/>
      </c>
      <c r="F314" t="str">
        <v>Ø20 L=11</v>
      </c>
      <c r="G314" t="str">
        <v/>
      </c>
      <c r="H314">
        <v>15</v>
      </c>
      <c r="I314" t="str">
        <v/>
      </c>
      <c r="J314" t="str">
        <v/>
      </c>
      <c r="K314" t="str">
        <v/>
      </c>
      <c r="L314" t="str">
        <v/>
      </c>
      <c r="M314" t="str">
        <v/>
      </c>
      <c r="N314" t="str">
        <v/>
      </c>
      <c r="O314" t="str">
        <v/>
      </c>
      <c r="P314" t="str">
        <v>Ø20</v>
      </c>
      <c r="Q314">
        <v>11</v>
      </c>
      <c r="R314" t="str">
        <v/>
      </c>
      <c r="S314" t="str">
        <v/>
      </c>
      <c r="T314" t="str">
        <v/>
      </c>
    </row>
    <row r="315" spans="1:20" x14ac:dyDescent="0.3">
      <c r="A315" t="str">
        <v>ЖУ.1</v>
      </c>
      <c r="B315" t="str">
        <v>ЩС-ВК.003</v>
      </c>
      <c r="C315" t="str">
        <v>Жироулавливатель Подвальный этаж Пом. №006Т</v>
      </c>
      <c r="D315" t="str">
        <v>ВВГнг(А)-LS (3х2,5)</v>
      </c>
      <c r="E315" t="str">
        <v/>
      </c>
      <c r="F315" t="str">
        <v>Ø20 L=9</v>
      </c>
      <c r="G315" t="str">
        <v/>
      </c>
      <c r="H315">
        <v>12</v>
      </c>
      <c r="I315" t="str">
        <v/>
      </c>
      <c r="J315" t="str">
        <v/>
      </c>
      <c r="K315" t="str">
        <v/>
      </c>
      <c r="L315" t="str">
        <v/>
      </c>
      <c r="M315" t="str">
        <v/>
      </c>
      <c r="N315" t="str">
        <v/>
      </c>
      <c r="O315" t="str">
        <v/>
      </c>
      <c r="P315" t="str">
        <v>Ø20</v>
      </c>
      <c r="Q315">
        <v>9</v>
      </c>
      <c r="R315" t="str">
        <v/>
      </c>
      <c r="S315" t="str">
        <v/>
      </c>
      <c r="T315" t="str">
        <v/>
      </c>
    </row>
    <row r="316" spans="1:20" x14ac:dyDescent="0.3">
      <c r="A316" t="str">
        <v>R.00.002Б.3</v>
      </c>
      <c r="B316" t="str">
        <v>ЩС-ВК.003</v>
      </c>
      <c r="C316" t="str">
        <v>Сололифт Подвальный этаж Пом. №002Б</v>
      </c>
      <c r="D316" t="str">
        <v>ВВГнг(А)-LS (3х2,5)</v>
      </c>
      <c r="E316" t="str">
        <v>L=13</v>
      </c>
      <c r="F316" t="str">
        <v>Ø20 L=15</v>
      </c>
      <c r="G316" t="str">
        <v/>
      </c>
      <c r="H316">
        <v>31</v>
      </c>
      <c r="I316" t="str">
        <v/>
      </c>
      <c r="J316" t="str">
        <v/>
      </c>
      <c r="K316" t="str">
        <v/>
      </c>
      <c r="L316" t="str">
        <v/>
      </c>
      <c r="M316" t="str">
        <v/>
      </c>
      <c r="N316" t="str">
        <v/>
      </c>
      <c r="O316" t="str">
        <v/>
      </c>
      <c r="P316" t="str">
        <v>Ø20</v>
      </c>
      <c r="Q316">
        <v>15</v>
      </c>
      <c r="R316" t="str">
        <v/>
      </c>
      <c r="S316" t="str">
        <v/>
      </c>
      <c r="T316">
        <v>13</v>
      </c>
    </row>
    <row r="317" spans="1:20" x14ac:dyDescent="0.3">
      <c r="A317" t="str">
        <v>FCP1-2</v>
      </c>
      <c r="B317" t="str">
        <v>ЩСПЗ-ЖД</v>
      </c>
      <c r="C317" t="str">
        <v>шкаф пожарной сигнализации  Подвальный этаж Пом. №007Т</v>
      </c>
      <c r="D317" t="str">
        <v>ВВГнг(А)-FRLS (3х2,5)</v>
      </c>
      <c r="E317" t="str">
        <v>L=21</v>
      </c>
      <c r="F317" t="str">
        <v>Ø25 L=17</v>
      </c>
      <c r="G317" t="str">
        <v/>
      </c>
      <c r="H317">
        <v>46</v>
      </c>
      <c r="I317" t="str">
        <v/>
      </c>
      <c r="J317" t="str">
        <v/>
      </c>
      <c r="K317" t="str">
        <v/>
      </c>
      <c r="L317" t="str">
        <v/>
      </c>
      <c r="M317" t="str">
        <v/>
      </c>
      <c r="N317" t="str">
        <v/>
      </c>
      <c r="O317" t="str">
        <v>1</v>
      </c>
      <c r="P317" t="str">
        <v>Ø25</v>
      </c>
      <c r="Q317">
        <v>17</v>
      </c>
      <c r="R317" t="str">
        <v/>
      </c>
      <c r="S317" t="str">
        <v/>
      </c>
      <c r="T317">
        <v>21</v>
      </c>
    </row>
    <row r="318" spans="1:20" x14ac:dyDescent="0.3">
      <c r="A318" t="str">
        <v>ENC1-11</v>
      </c>
      <c r="B318" t="str">
        <v>ЩСПЗ-ЖД</v>
      </c>
      <c r="C318" t="str">
        <v>шкаф системы оповещения и управления эвакуацией Цокольный этаж Пом. №002Т</v>
      </c>
      <c r="D318" t="str">
        <v>ВВГнг(А)-FRLS (3х2,5)</v>
      </c>
      <c r="E318" t="str">
        <v>L=11</v>
      </c>
      <c r="F318" t="str">
        <v>Ø25 L=12</v>
      </c>
      <c r="G318" t="str">
        <v/>
      </c>
      <c r="H318">
        <v>31</v>
      </c>
      <c r="I318" t="str">
        <v/>
      </c>
      <c r="J318" t="str">
        <v/>
      </c>
      <c r="K318" t="str">
        <v/>
      </c>
      <c r="L318" t="str">
        <v/>
      </c>
      <c r="M318" t="str">
        <v/>
      </c>
      <c r="N318" t="str">
        <v/>
      </c>
      <c r="O318" t="str">
        <v>1</v>
      </c>
      <c r="P318" t="str">
        <v>Ø25</v>
      </c>
      <c r="Q318">
        <v>12</v>
      </c>
      <c r="R318" t="str">
        <v/>
      </c>
      <c r="S318" t="str">
        <v/>
      </c>
      <c r="T318">
        <v>11</v>
      </c>
    </row>
    <row r="319" spans="1:20" x14ac:dyDescent="0.3">
      <c r="A319" t="str">
        <v>FCP1-1</v>
      </c>
      <c r="B319" t="str">
        <v>ЩСПЗ-ЖД</v>
      </c>
      <c r="C319" t="str">
        <v>шкаф пожарной сигнализации Цокольный этаж Пом. №002Т</v>
      </c>
      <c r="D319" t="str">
        <v>ВВГнг(А)-FRLS (3х2,5)</v>
      </c>
      <c r="E319" t="str">
        <v>L=11</v>
      </c>
      <c r="F319" t="str">
        <v>Ø25 L=12</v>
      </c>
      <c r="G319" t="str">
        <v/>
      </c>
      <c r="H319">
        <v>31</v>
      </c>
      <c r="I319" t="str">
        <v/>
      </c>
      <c r="J319" t="str">
        <v/>
      </c>
      <c r="K319" t="str">
        <v/>
      </c>
      <c r="L319" t="str">
        <v/>
      </c>
      <c r="M319" t="str">
        <v/>
      </c>
      <c r="N319" t="str">
        <v/>
      </c>
      <c r="O319" t="str">
        <v>1</v>
      </c>
      <c r="P319" t="str">
        <v>Ø25</v>
      </c>
      <c r="Q319">
        <v>12</v>
      </c>
      <c r="R319" t="str">
        <v/>
      </c>
      <c r="S319" t="str">
        <v/>
      </c>
      <c r="T319">
        <v>11</v>
      </c>
    </row>
    <row r="320" spans="1:20" x14ac:dyDescent="0.3">
      <c r="A320" t="str">
        <v>FCP13</v>
      </c>
      <c r="B320" t="str">
        <v>ЩСПЗ-ЖД</v>
      </c>
      <c r="C320" t="str">
        <v>шкаф пожарной сигнализации Тех. этаж Пом. №004Т</v>
      </c>
      <c r="D320" t="str">
        <v>ВВГнг(А)-FRLS (3х2,5)</v>
      </c>
      <c r="E320" t="str">
        <v>L=42</v>
      </c>
      <c r="F320" t="str">
        <v>Ø25 L=30</v>
      </c>
      <c r="G320" t="str">
        <v/>
      </c>
      <c r="H320">
        <v>80</v>
      </c>
      <c r="I320" t="str">
        <v/>
      </c>
      <c r="J320" t="str">
        <v/>
      </c>
      <c r="K320" t="str">
        <v/>
      </c>
      <c r="L320" t="str">
        <v/>
      </c>
      <c r="M320" t="str">
        <v/>
      </c>
      <c r="N320" t="str">
        <v/>
      </c>
      <c r="O320" t="str">
        <v>1</v>
      </c>
      <c r="P320" t="str">
        <v>Ø25</v>
      </c>
      <c r="Q320">
        <v>30</v>
      </c>
      <c r="R320" t="str">
        <v/>
      </c>
      <c r="S320" t="str">
        <v/>
      </c>
      <c r="T320">
        <v>42</v>
      </c>
    </row>
    <row r="321" spans="1:20" x14ac:dyDescent="0.3">
      <c r="A321" t="str">
        <v>DW.1</v>
      </c>
      <c r="B321" t="str">
        <v>ЩУОВ</v>
      </c>
      <c r="C321" t="str">
        <v/>
      </c>
      <c r="D321" t="str">
        <v>МКЭШнг(A)-LS (2х0,75)</v>
      </c>
      <c r="E321" t="str">
        <v/>
      </c>
      <c r="F321" t="str">
        <v>Ø20 L=19</v>
      </c>
      <c r="G321" t="str">
        <v>Ø20 L=5</v>
      </c>
      <c r="H321">
        <v>24</v>
      </c>
      <c r="I321" t="str">
        <v/>
      </c>
      <c r="J321" t="str">
        <v/>
      </c>
      <c r="K321" t="str">
        <v/>
      </c>
      <c r="L321" t="str">
        <v/>
      </c>
      <c r="M321" t="str">
        <v/>
      </c>
      <c r="N321" t="str">
        <v/>
      </c>
      <c r="O321" t="str">
        <v/>
      </c>
      <c r="P321" t="str">
        <v>Ø20</v>
      </c>
      <c r="Q321">
        <v>19</v>
      </c>
      <c r="R321" t="str">
        <v>Ø20</v>
      </c>
      <c r="S321">
        <v>5</v>
      </c>
      <c r="T321" t="str">
        <v/>
      </c>
    </row>
    <row r="322" spans="1:20" x14ac:dyDescent="0.3">
      <c r="A322" t="str">
        <v>DT.1</v>
      </c>
      <c r="B322" t="str">
        <v>ЩУОВ</v>
      </c>
      <c r="C322" t="str">
        <v/>
      </c>
      <c r="D322" t="str">
        <v>МКЭШнг(A)-LS (2х0,75)</v>
      </c>
      <c r="E322" t="str">
        <v/>
      </c>
      <c r="F322" t="str">
        <v>Ø20 L=9</v>
      </c>
      <c r="G322" t="str">
        <v>Ø20 L=10</v>
      </c>
      <c r="H322">
        <v>19</v>
      </c>
      <c r="I322" t="str">
        <v/>
      </c>
      <c r="J322" t="str">
        <v/>
      </c>
      <c r="K322" t="str">
        <v/>
      </c>
      <c r="L322" t="str">
        <v/>
      </c>
      <c r="M322" t="str">
        <v/>
      </c>
      <c r="N322" t="str">
        <v/>
      </c>
      <c r="O322" t="str">
        <v/>
      </c>
      <c r="P322" t="str">
        <v>Ø20</v>
      </c>
      <c r="Q322">
        <v>9</v>
      </c>
      <c r="R322" t="str">
        <v>Ø20</v>
      </c>
      <c r="S322">
        <v>10</v>
      </c>
      <c r="T322" t="str">
        <v/>
      </c>
    </row>
    <row r="323" spans="1:20" x14ac:dyDescent="0.3">
      <c r="A323" t="str">
        <v>OV.2.002Г.1</v>
      </c>
      <c r="B323" t="str">
        <v>ЩУОВ</v>
      </c>
      <c r="C323" t="str">
        <v/>
      </c>
      <c r="D323" t="str">
        <v>ВВГнг(А)-LS (3х4)</v>
      </c>
      <c r="E323" t="str">
        <v>L=7</v>
      </c>
      <c r="F323" t="str">
        <v>Ø20 L=38</v>
      </c>
      <c r="G323" t="str">
        <v>Ø25 L=50</v>
      </c>
      <c r="H323">
        <v>95</v>
      </c>
      <c r="I323" t="str">
        <v/>
      </c>
      <c r="J323" t="str">
        <v/>
      </c>
      <c r="K323" t="str">
        <v/>
      </c>
      <c r="L323" t="str">
        <v/>
      </c>
      <c r="M323" t="str">
        <v/>
      </c>
      <c r="N323" t="str">
        <v/>
      </c>
      <c r="O323" t="str">
        <v>1</v>
      </c>
      <c r="P323" t="str">
        <v>Ø20</v>
      </c>
      <c r="Q323">
        <v>38</v>
      </c>
      <c r="R323" t="str">
        <v>Ø25</v>
      </c>
      <c r="S323">
        <v>50</v>
      </c>
      <c r="T323">
        <v>7</v>
      </c>
    </row>
    <row r="324" spans="1:20" x14ac:dyDescent="0.3">
      <c r="A324" t="str">
        <v>OV.2.003Г.1</v>
      </c>
      <c r="B324" t="str">
        <v>ЩУОВ</v>
      </c>
      <c r="C324" t="str">
        <v/>
      </c>
      <c r="D324" t="str">
        <v>ВВГнг(А)-LS (3х2,5)</v>
      </c>
      <c r="E324" t="str">
        <v>L=7</v>
      </c>
      <c r="F324" t="str">
        <v>Ø20 L=17</v>
      </c>
      <c r="G324" t="str">
        <v>Ø20 L=20</v>
      </c>
      <c r="H324">
        <v>44</v>
      </c>
      <c r="I324" t="str">
        <v/>
      </c>
      <c r="J324" t="str">
        <v/>
      </c>
      <c r="K324" t="str">
        <v/>
      </c>
      <c r="L324" t="str">
        <v/>
      </c>
      <c r="M324" t="str">
        <v/>
      </c>
      <c r="N324" t="str">
        <v/>
      </c>
      <c r="O324" t="str">
        <v>1</v>
      </c>
      <c r="P324" t="str">
        <v>Ø20</v>
      </c>
      <c r="Q324">
        <v>17</v>
      </c>
      <c r="R324" t="str">
        <v>Ø20</v>
      </c>
      <c r="S324">
        <v>20</v>
      </c>
      <c r="T324">
        <v>7</v>
      </c>
    </row>
    <row r="325" spans="1:20" x14ac:dyDescent="0.3">
      <c r="A325" t="str">
        <v>OV.2.1.1</v>
      </c>
      <c r="B325" t="str">
        <v>ЩУОВ</v>
      </c>
      <c r="C325" t="str">
        <v>Обогревл ливнестоков Кровля бассейна</v>
      </c>
      <c r="D325" t="str">
        <v>ВВГнг(А)-LS (3х6)</v>
      </c>
      <c r="E325" t="str">
        <v>L=4</v>
      </c>
      <c r="F325" t="str">
        <v>Ø25 L=90</v>
      </c>
      <c r="G325" t="str">
        <v/>
      </c>
      <c r="H325">
        <v>97</v>
      </c>
      <c r="I325" t="str">
        <v/>
      </c>
      <c r="J325" t="str">
        <v/>
      </c>
      <c r="K325" t="str">
        <v/>
      </c>
      <c r="L325" t="str">
        <v/>
      </c>
      <c r="M325" t="str">
        <v/>
      </c>
      <c r="N325" t="str">
        <v/>
      </c>
      <c r="O325" t="str">
        <v>1</v>
      </c>
      <c r="P325" t="str">
        <v>Ø25</v>
      </c>
      <c r="Q325">
        <v>90</v>
      </c>
      <c r="R325" t="str">
        <v/>
      </c>
      <c r="S325" t="str">
        <v/>
      </c>
      <c r="T325">
        <v>4</v>
      </c>
    </row>
    <row r="326" spans="1:20" x14ac:dyDescent="0.3">
      <c r="A326" t="str">
        <v>OV.2.1.2</v>
      </c>
      <c r="B326" t="str">
        <v>ЩУОВ</v>
      </c>
      <c r="C326" t="str">
        <v>Обогревл ливнестоков Второй этаж</v>
      </c>
      <c r="D326" t="str">
        <v>ВВГнг(А)-LS (3х4)</v>
      </c>
      <c r="E326" t="str">
        <v>L=7</v>
      </c>
      <c r="F326" t="str">
        <v>Ø20 L=42</v>
      </c>
      <c r="G326" t="str">
        <v>Ø25 L=35</v>
      </c>
      <c r="H326">
        <v>84</v>
      </c>
      <c r="I326" t="str">
        <v/>
      </c>
      <c r="J326" t="str">
        <v/>
      </c>
      <c r="K326" t="str">
        <v/>
      </c>
      <c r="L326" t="str">
        <v/>
      </c>
      <c r="M326" t="str">
        <v/>
      </c>
      <c r="N326" t="str">
        <v/>
      </c>
      <c r="O326" t="str">
        <v>1</v>
      </c>
      <c r="P326" t="str">
        <v>Ø20</v>
      </c>
      <c r="Q326">
        <v>42</v>
      </c>
      <c r="R326" t="str">
        <v>Ø25</v>
      </c>
      <c r="S326">
        <v>35</v>
      </c>
      <c r="T326">
        <v>7</v>
      </c>
    </row>
    <row r="327" spans="1:20" x14ac:dyDescent="0.3">
      <c r="A327" t="str">
        <v>OV.2.1.3</v>
      </c>
      <c r="B327" t="str">
        <v>ЩУОВ</v>
      </c>
      <c r="C327" t="str">
        <v>Обогревл ливнестоков Второй этаж</v>
      </c>
      <c r="D327" t="str">
        <v>ВВГнг(А)-LS (3х2,5)</v>
      </c>
      <c r="E327" t="str">
        <v>L=7</v>
      </c>
      <c r="F327" t="str">
        <v>Ø20 L=24</v>
      </c>
      <c r="G327" t="str">
        <v>Ø20 L=13</v>
      </c>
      <c r="H327">
        <v>44</v>
      </c>
      <c r="I327" t="str">
        <v/>
      </c>
      <c r="J327" t="str">
        <v/>
      </c>
      <c r="K327" t="str">
        <v/>
      </c>
      <c r="L327" t="str">
        <v/>
      </c>
      <c r="M327" t="str">
        <v/>
      </c>
      <c r="N327" t="str">
        <v/>
      </c>
      <c r="O327" t="str">
        <v>1</v>
      </c>
      <c r="P327" t="str">
        <v>Ø20</v>
      </c>
      <c r="Q327">
        <v>24</v>
      </c>
      <c r="R327" t="str">
        <v>Ø20</v>
      </c>
      <c r="S327">
        <v>13</v>
      </c>
      <c r="T327">
        <v>7</v>
      </c>
    </row>
    <row r="328" spans="1:20" x14ac:dyDescent="0.3">
      <c r="A328" t="str">
        <v>OV.4.1.1</v>
      </c>
      <c r="B328" t="str">
        <v>ЩУОВ</v>
      </c>
      <c r="C328" t="str">
        <v>Обогревл ливнестоков Кровля</v>
      </c>
      <c r="D328" t="str">
        <v>ВВГнг(А)-LS (3х2,5)</v>
      </c>
      <c r="E328" t="str">
        <v>L=12</v>
      </c>
      <c r="F328" t="str">
        <v>Ø20 L=12</v>
      </c>
      <c r="G328" t="str">
        <v>Ø20 L=22</v>
      </c>
      <c r="H328">
        <v>40</v>
      </c>
      <c r="I328" t="str">
        <v/>
      </c>
      <c r="J328" t="str">
        <v/>
      </c>
      <c r="K328" t="str">
        <v/>
      </c>
      <c r="L328" t="str">
        <v/>
      </c>
      <c r="M328" t="str">
        <v/>
      </c>
      <c r="N328" t="str">
        <v/>
      </c>
      <c r="O328" t="str">
        <v>1</v>
      </c>
      <c r="P328" t="str">
        <v>Ø20</v>
      </c>
      <c r="Q328">
        <v>12</v>
      </c>
      <c r="R328" t="str">
        <v>Ø20</v>
      </c>
      <c r="S328">
        <v>22</v>
      </c>
      <c r="T328">
        <v>12</v>
      </c>
    </row>
    <row r="329" spans="1:20" x14ac:dyDescent="0.3">
      <c r="A329" t="str">
        <v>OV.4.1.2</v>
      </c>
      <c r="B329" t="str">
        <v>ЩУОВ</v>
      </c>
      <c r="C329" t="str">
        <v>Обогревл ливнестоков Кровля</v>
      </c>
      <c r="D329" t="str">
        <v>ВВГнг(А)-LS (3х2,5)</v>
      </c>
      <c r="E329" t="str">
        <v>L=12</v>
      </c>
      <c r="F329" t="str">
        <v>Ø20 L=12</v>
      </c>
      <c r="G329" t="str">
        <v>Ø20 L=39</v>
      </c>
      <c r="H329">
        <v>50</v>
      </c>
      <c r="I329" t="str">
        <v/>
      </c>
      <c r="J329" t="str">
        <v/>
      </c>
      <c r="K329" t="str">
        <v/>
      </c>
      <c r="L329" t="str">
        <v/>
      </c>
      <c r="M329" t="str">
        <v/>
      </c>
      <c r="N329" t="str">
        <v/>
      </c>
      <c r="O329" t="str">
        <v>1</v>
      </c>
      <c r="P329" t="str">
        <v>Ø20</v>
      </c>
      <c r="Q329">
        <v>12</v>
      </c>
      <c r="R329" t="str">
        <v>Ø20</v>
      </c>
      <c r="S329">
        <v>39</v>
      </c>
      <c r="T329">
        <v>12</v>
      </c>
    </row>
    <row r="330" spans="1:20" x14ac:dyDescent="0.3">
      <c r="A330" t="str">
        <v>OV.4.1.3</v>
      </c>
      <c r="B330" t="str">
        <v>ЩУОВ</v>
      </c>
      <c r="C330" t="str">
        <v>Обогревл ливнестоков Кровля</v>
      </c>
      <c r="D330" t="str">
        <v>ВВГнг(А)-LS (3х4)</v>
      </c>
      <c r="E330" t="str">
        <v>L=12</v>
      </c>
      <c r="F330" t="str">
        <v>Ø20 L=12</v>
      </c>
      <c r="G330" t="str">
        <v>Ø25 L=72</v>
      </c>
      <c r="H330">
        <v>83</v>
      </c>
      <c r="I330" t="str">
        <v/>
      </c>
      <c r="J330" t="str">
        <v/>
      </c>
      <c r="K330" t="str">
        <v/>
      </c>
      <c r="L330" t="str">
        <v/>
      </c>
      <c r="M330" t="str">
        <v/>
      </c>
      <c r="N330" t="str">
        <v/>
      </c>
      <c r="O330" t="str">
        <v>1</v>
      </c>
      <c r="P330" t="str">
        <v>Ø20</v>
      </c>
      <c r="Q330">
        <v>12</v>
      </c>
      <c r="R330" t="str">
        <v>Ø25</v>
      </c>
      <c r="S330">
        <v>72</v>
      </c>
      <c r="T330">
        <v>12</v>
      </c>
    </row>
    <row r="331" spans="1:20" x14ac:dyDescent="0.3">
      <c r="A331" t="str">
        <v>OV.4.1.4</v>
      </c>
      <c r="B331" t="str">
        <v>ЩУОВ</v>
      </c>
      <c r="C331" t="str">
        <v>Обогревл ливнестоков Кровля</v>
      </c>
      <c r="D331" t="str">
        <v>ВВГнг(А)-LS (3х2,5)</v>
      </c>
      <c r="E331" t="str">
        <v>L=12</v>
      </c>
      <c r="F331" t="str">
        <v>Ø20 L=12</v>
      </c>
      <c r="G331" t="str">
        <v>Ø20 L=55</v>
      </c>
      <c r="H331">
        <v>66</v>
      </c>
      <c r="I331" t="str">
        <v/>
      </c>
      <c r="J331" t="str">
        <v/>
      </c>
      <c r="K331" t="str">
        <v/>
      </c>
      <c r="L331" t="str">
        <v/>
      </c>
      <c r="M331" t="str">
        <v/>
      </c>
      <c r="N331" t="str">
        <v/>
      </c>
      <c r="O331" t="str">
        <v>1</v>
      </c>
      <c r="P331" t="str">
        <v>Ø20</v>
      </c>
      <c r="Q331">
        <v>12</v>
      </c>
      <c r="R331" t="str">
        <v>Ø20</v>
      </c>
      <c r="S331">
        <v>55</v>
      </c>
      <c r="T331">
        <v>12</v>
      </c>
    </row>
  </sheetData>
  <mergeCells count="11">
    <mergeCell ref="I3:K3"/>
    <mergeCell ref="I2:K2"/>
    <mergeCell ref="L2:L4"/>
    <mergeCell ref="M2:M4"/>
    <mergeCell ref="O2:T2"/>
    <mergeCell ref="A2:A4"/>
    <mergeCell ref="B2:C2"/>
    <mergeCell ref="B3:B4"/>
    <mergeCell ref="C3:C4"/>
    <mergeCell ref="D2:H2"/>
    <mergeCell ref="D3:H3"/>
  </mergeCells>
  <dataValidations count="1">
    <dataValidation type="list" allowBlank="1" showInputMessage="1" sqref="E1" xr:uid="{3A0731F8-0510-478D-8008-3EAE526A5C67}">
      <formula1>Список_щитов</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9">
    <tabColor rgb="FF4F81BD"/>
  </sheetPr>
  <dimension ref="B1:AK52"/>
  <sheetViews>
    <sheetView topLeftCell="A52" workbookViewId="0">
      <selection activeCell="C11" sqref="C11"/>
    </sheetView>
  </sheetViews>
  <sheetFormatPr defaultRowHeight="14.4" x14ac:dyDescent="0.3"/>
  <cols>
    <col min="1" max="1" width="2.77734375" customWidth="1"/>
    <col min="2" max="2" width="7.77734375" customWidth="1"/>
    <col min="3" max="3" width="60.77734375" customWidth="1"/>
    <col min="4" max="4" width="22.77734375" customWidth="1"/>
    <col min="5" max="5" width="14.77734375" customWidth="1"/>
    <col min="6" max="6" width="12.77734375" customWidth="1"/>
    <col min="7" max="7" width="7.77734375" customWidth="1"/>
    <col min="8" max="8" width="8.77734375" customWidth="1"/>
    <col min="9" max="9" width="7.77734375" customWidth="1"/>
    <col min="10" max="10" width="26.77734375" customWidth="1"/>
    <col min="11" max="12" width="2.77734375" customWidth="1"/>
    <col min="13" max="13" width="10.77734375" customWidth="1"/>
    <col min="14" max="14" width="8.77734375" customWidth="1"/>
    <col min="15" max="15" width="48.77734375" customWidth="1"/>
    <col min="16" max="16" width="14.77734375" customWidth="1"/>
    <col min="17" max="17" width="12.77734375" customWidth="1"/>
    <col min="18" max="18" width="10.77734375" customWidth="1"/>
    <col min="19" max="19" width="7.77734375" customWidth="1"/>
    <col min="20" max="20" width="8.77734375" customWidth="1"/>
    <col min="21" max="21" width="18.77734375" customWidth="1"/>
    <col min="23" max="23" width="44.77734375" customWidth="1"/>
    <col min="24" max="25" width="12.77734375" customWidth="1"/>
    <col min="26" max="26" width="10.77734375" customWidth="1"/>
    <col min="27" max="27" width="7.77734375" customWidth="1"/>
    <col min="28" max="28" width="12.77734375" customWidth="1"/>
    <col min="29" max="29" width="8.77734375" customWidth="1"/>
    <col min="30" max="30" width="9.77734375" customWidth="1"/>
    <col min="32" max="32" width="6.77734375" customWidth="1"/>
    <col min="33" max="33" width="5.77734375" customWidth="1"/>
    <col min="34" max="34" width="52.77734375" customWidth="1"/>
    <col min="35" max="35" width="10.77734375" customWidth="1"/>
    <col min="36" max="37" width="8.77734375" customWidth="1"/>
  </cols>
  <sheetData>
    <row r="1" spans="2:37" ht="15" thickBot="1" x14ac:dyDescent="0.35">
      <c r="C1" s="127" t="s">
        <v>1801</v>
      </c>
      <c r="D1" s="128" t="s">
        <v>1784</v>
      </c>
      <c r="E1" s="120" t="s">
        <v>1803</v>
      </c>
      <c r="L1" s="137" t="str">
        <f>IF(D1="все","*",D1)</f>
        <v>*</v>
      </c>
      <c r="M1" s="36" t="s">
        <v>1804</v>
      </c>
      <c r="W1" s="36" t="s">
        <v>1808</v>
      </c>
      <c r="AF1" s="36" t="s">
        <v>1828</v>
      </c>
    </row>
    <row r="2" spans="2:37" ht="43.8" thickBot="1" x14ac:dyDescent="0.35">
      <c r="B2" s="9" t="s">
        <v>40</v>
      </c>
      <c r="C2" s="1" t="s">
        <v>41</v>
      </c>
      <c r="D2" s="1" t="s">
        <v>42</v>
      </c>
      <c r="E2" s="1" t="s">
        <v>43</v>
      </c>
      <c r="F2" s="1" t="s">
        <v>44</v>
      </c>
      <c r="G2" s="1" t="s">
        <v>48</v>
      </c>
      <c r="H2" s="1" t="s">
        <v>45</v>
      </c>
      <c r="I2" s="1" t="s">
        <v>46</v>
      </c>
      <c r="J2" s="10" t="s">
        <v>47</v>
      </c>
      <c r="M2" s="4" t="s">
        <v>4</v>
      </c>
      <c r="N2" s="4" t="s">
        <v>1805</v>
      </c>
      <c r="O2" s="4" t="s">
        <v>41</v>
      </c>
      <c r="P2" s="4" t="s">
        <v>1806</v>
      </c>
      <c r="Q2" s="4" t="s">
        <v>906</v>
      </c>
      <c r="R2" s="4" t="s">
        <v>1807</v>
      </c>
      <c r="S2" s="4" t="s">
        <v>650</v>
      </c>
      <c r="T2" s="4" t="s">
        <v>45</v>
      </c>
      <c r="U2" s="4" t="s">
        <v>47</v>
      </c>
      <c r="W2" s="4" t="s">
        <v>41</v>
      </c>
      <c r="X2" s="4" t="s">
        <v>1806</v>
      </c>
      <c r="Y2" s="4" t="s">
        <v>906</v>
      </c>
      <c r="Z2" s="4" t="s">
        <v>1807</v>
      </c>
      <c r="AA2" s="4" t="s">
        <v>650</v>
      </c>
      <c r="AB2" s="4" t="s">
        <v>1809</v>
      </c>
      <c r="AC2" s="4" t="s">
        <v>1810</v>
      </c>
      <c r="AD2" s="4" t="s">
        <v>1811</v>
      </c>
      <c r="AF2" s="4" t="s">
        <v>1112</v>
      </c>
      <c r="AG2" s="4" t="s">
        <v>1791</v>
      </c>
      <c r="AH2" s="4" t="s">
        <v>6</v>
      </c>
      <c r="AI2" s="4" t="s">
        <v>906</v>
      </c>
      <c r="AJ2" s="4" t="s">
        <v>1807</v>
      </c>
      <c r="AK2" s="4" t="s">
        <v>1829</v>
      </c>
    </row>
    <row r="3" spans="2:37" x14ac:dyDescent="0.3">
      <c r="B3" t="str" cm="1">
        <f t="array" ref="B3:J52">_xlfn.LET(_xlpm.sel,Щит_спец,_xlpm.all,_xlpm.sel="*",_xlpm.bn,IF(_xlpm.all,"(весь объект)",_xlpm.sel),_xlpm.TX,_xlfn.LAMBDA(_xlpm.x,IF(_xlpm.x="","",_xlpm.x)),_xlpm.mt,Спец_вручную[Наименование и техническая характеристика],_xlpm.mr,IF(Спец_вручную[Раздел (1/2)]&amp;""="2",2,1),_xlpm.mok,(_xlpm.mt&lt;&gt;"")*IF(_xlpm.all,1,Спец_вручную[Щит]=_xlpm.sel),_xlpm.mv,_xlfn.HSTACK(_xlpm.TX(_xlpm.mt),_xlpm.TX(Спец_вручную[Тип, марка]),_xlpm.TX(Спец_вручную[Код]),_xlpm.TX(Спец_вручную[Завод]),_xlpm.TX(Спец_вручную[Ед.]),_xlpm.TX(Спец_вручную[Кол-во]),_xlfn.EXPAND({""},ROWS(_xlpm.mt),1,""),_xlpm.TX(Спец_вручную[Примечание])),_xlpm.mv_a,_xlfn._xlws.FILTER(_xlpm.mv,_xlpm.mok*(_xlpm.mr=1),""),_xlpm.mv_b,_xlfn._xlws.FILTER(_xlpm.mv,_xlpm.mok*(_xlpm.mr=2),""),_xlpm.sa,Спецификация_авто!$C$4:$J$160,_xlpm.ap,_xlfn._xlws.FILTER(_xlpm.TX(_xlpm.sa),INDEX(_xlpm.sa,0,1)&lt;&gt;"",""),_xlpm.mask,IF(_xlpm.all,1,--(Однолинейка!$A$3:$A$3000=_xlpm.sel)),_xlpm.hb,_xlfn.TOCOL(IF(_xlpm.mask,Однолинейка!$H$3:$H$3000,"")),_xlpm.hx,_xlfn._xlws.FILTER(_xlpm.hb,(_xlpm.hb&lt;&gt;"")*(COUNTIF(Каталог!$X$4:$X$500,_xlpm.hb)=0),""),_xlpm.hu,_xlfn.UNIQUE(_xlpm.hx),_xlpm.hn,_xlfn.MAP(_xlpm.hu,_xlfn.LAMBDA(_xlpm.x,SUM(--(_xlpm.hb=_xlpm.x)))),_xlpm.nb,IF(INDEX(_xlpm.hu,1)="","",_xlfn.HSTACK(IF(ISNUMBER(SEARCH("мА",_xlpm.hu)),"Автоматический выключатель дифференциального тока ","Автоматический выключатель ")&amp;_xlpm.hu,_xlpm.hu,_xlfn.EXPAND({""},ROWS(_xlpm.hu),2,""),_xlfn.EXPAND({"шт."},ROWS(_xlpm.hu),1,"шт."),_xlpm.hn,_xlfn.EXPAND({""},ROWS(_xlpm.hu),1,""),_xlfn.EXPAND({"нет в «Каталоге» — впишите артикул"},ROWS(_xlpm.hu),1,"нет в «Каталоге» — впишите артикул"))),_xlpm.ha,_xlfn.TOCOL(IF(_xlpm.mask,Однолинейка!$I$3:$K$3000,"")),_xlpm.ax,_xlfn._xlws.FILTER(_xlpm.ha,(_xlpm.ha&lt;&gt;"")*(COUNTIF(Каталог!$Z$4:$Z$500,_xlpm.ha)=0),""),_xlpm.au,_xlfn.UNIQUE(_xlpm.ax),_xlpm.an,_xlfn.MAP(_xlpm.au,_xlfn.LAMBDA(_xlpm.x,SUM(--(_xlpm.ha=_xlpm.x)))),_xlpm.na,IF(INDEX(_xlpm.au,1)="","",_xlfn.HSTACK(_xlpm.au,_xlpm.au,_xlfn.EXPAND({""},ROWS(_xlpm.au),2,""),_xlfn.EXPAND({"шт."},ROWS(_xlpm.au),1,"шт."),_xlpm.an,_xlfn.EXPAND({""},ROWS(_xlpm.au),1,""),_xlfn.EXPAND({"нет в «Каталоге» — впишите артикул"},ROWS(_xlpm.au),1,"нет в «Каталоге» — впишите артикул"))),_xlpm.m,(Линии[Номер линии]&lt;&gt;"")*(Линии[_кабель]&lt;&gt;"")*(1-(Линии[_ввод щита]=1)*(IFERROR(_xlfn.XLOOKUP(Линии[Щит],Щиты[Щит],Щиты[_строка фидера]),"")&lt;&gt;""))*IF(_xlpm.all,1,Линии[Щит]=_xlpm.sel),_xlpm.k,Линии[_кабель с сечением],_xlpm.dg_,ISNUMBER(--LEFT(_xlpm.k,1)),_xlpm.nl_,IFERROR(--_xlfn.TEXTBEFORE(_xlpm.k,"х"),""),_xlpm.nn,IF(_xlpm.dg_,IF(ISNUMBER(_xlpm.nl_),_xlpm.nl_,IFERROR(--LEFT(_xlpm.k,1),1)),1),_xlpm.bk,IF(_xlpm.dg_,IF(ISNUMBER(_xlpm.nl_),TRIM(_xlfn.TEXTAFTER(_xlpm.k,"х")),TRIM(MID(_xlpm.k,2,999))),_xlpm.k),_xlpm.lc,IFERROR(--Линии[Длина, м],0)*_xlpm.nn,_xlpm.cuu,_xlfn.UNIQUE(_xlfn._xlws.FILTER(_xlpm.bk,_xlpm.m,"")),_xlpm.lsum,IF(INDEX(_xlpm.cuu,1)="",0,_xlfn.MAP(_xlpm.cuu,_xlfn.LAMBDA(_xlpm.x,SUM(_xlpm.m*(_xlpm.bk=_xlpm.x)*_xlpm.lc)))),_xlpm.cu,_xlfn._xlws.FILTER(_xlpm.cuu,_xlpm.lsum&gt;0,""),_xlpm.cq,IF(INDEX(_xlpm.cu,1)="",0,_xlfn.CEILING.MATH(_xlfn._xlws.FILTER(_xlpm.lsum,_xlpm.lsum&gt;0,0)*(1+Запас_кабеля),10)),_xlpm.cbr,IFERROR(_xlfn.TEXTBEFORE(_xlpm.cu," ("),_xlpm.cu),_xlpm.cco,IFERROR(--_xlfn.TEXTBEFORE(_xlfn.TEXTAFTER(_xlpm.cu,"(",-1),"х"),0),_xlpm.cse,IFERROR(--_xlfn.TEXTBEFORE(_xlfn.TEXTAFTER(_xlpm.cu,"х",-1),")"),0),_xlpm.cb,IF(INDEX(_xlpm.cu,1)="","",_xlfn.SORTBY(_xlfn.HSTACK(IF(LEFT(_xlpm.cu,4)="ПуГВ","Провод ","Кабель ")&amp;_xlpm.cu,_xlpm.cu,_xlfn.EXPAND({""},ROWS(_xlpm.cu),2,""),_xlfn.EXPAND({"м"},ROWS(_xlpm.cu),1,"м"),_xlpm.cq,_xlfn.EXPAND({""},ROWS(_xlpm.cu),2,"")),_xlpm.cbr,1,_xlpm.cco,-1,_xlpm.cse,-1)),_xlpm.cs,Линии[_кабель с сечением],_xlpm.pv,IFERROR(--Линии[_гофра ПВХ],0)*_xlpm.m,_xlpm.pn,IFERROR(--Линии[_гофра ПНД],0)*_xlpm.m,_xlpm.dpv,IFERROR(VLOOKUP(_xlpm.cs,Кабель_диаметр,4,FALSE),"Ø?"),_xlpm.dpn,IFERROR(VLOOKUP(_xlpm.cs,Кабель_диаметр,5,FALSE),"Ø?"),_xlpm.tp,_xlfn.VSTACK(IF(_xlpm.pv&gt;0,"ПВХ|"&amp;_xlpm.dpv,""),IF(_xlpm.pn&gt;0,"ПНД|"&amp;_xlpm.dpn,"")),_xlpm.ln,_xlfn.VSTACK(_xlpm.pv,_xlpm.pn),_xlpm.u,_xlfn.UNIQUE(_xlfn._xlws.FILTER(_xlpm.tp,_xlpm.tp&lt;&gt;"","")),_xlpm.gt,IF(INDEX(_xlpm.u,1)="","",_xlfn.TEXTBEFORE(_xlpm.u,"|")),_xlpm.gd,IF(INDEX(_xlpm.u,1)="","",_xlfn.TEXTAFTER(_xlpm.u,"|")),_xlpm.gdn,IFERROR(--SUBSTITUTE(_xlpm.gd,"Ø",""),999),_xlpm.gs,IF(INDEX(_xlpm.u,1)="",0,_xlfn.MAP(_xlpm.u,_xlfn.LAMBDA(_xlpm.x,SUM((_xlpm.tp=_xlpm.x)*_xlpm.ln)))),_xlpm.gk,_xlpm.gt&amp;"|"&amp;_xlpm.gdn,_xlpm.tk,Гофра_изделия[Тип]&amp;"|"&amp;Гофра_изделия[Ø],_xlpm.gq,IF(INDEX(_xlpm.u,1)="",0,_xlfn.CEILING.MATH(_xlpm.gs*(1+Запас_кабеля),IFERROR(_xlfn.XLOOKUP(_xlpm.gk,_xlpm.tk,Гофра_изделия[Бухта, м]),10))),_xlpm.gn,IFERROR(_xlfn.XLOOKUP(_xlpm.gk,_xlpm.tk,Гофра_изделия[Наименование]),"Труба гофрированная "&amp;_xlpm.gt&amp;" "&amp;_xlpm.gd),_xlpm.gf,IF(INDEX(_xlpm.u,1)="","",_xlfn.SORTBY(_xlfn.HSTACK(_xlpm.gn,_xlpm.gt&amp;" "&amp;_xlpm.gd,IFERROR(_xlfn.XLOOKUP(_xlpm.gk,_xlpm.tk,Гофра_изделия[Код])&amp;"",""),IFERROR(_xlfn.XLOOKUP(_xlpm.gk,_xlpm.tk,Гофра_изделия[Завод])&amp;"",""),_xlfn.EXPAND({"м"},ROWS(_xlpm.u),1,"м"),_xlpm.gq,_xlfn.EXPAND({""},ROWS(_xlpm.u),2,"")),_xlpm.gt,1,_xlpm.gdn,1)),_xlpm.nq,_xlfn.MAP(Нормы_расхода[База],Нормы_расхода[На 1 м],Нормы_расхода[Кратность],_xlfn.LAMBDA(_xlpm.b,_xlpm.kk,_xlpm.rr,_xlfn.LET(_xlpm.v,IF(_xlpm.b="ПВХ все",SUM(_xlpm.gq*(_xlpm.gt="ПВХ")),IF(_xlpm.b="ПНД все",SUM(_xlpm.gq*(_xlpm.gt="ПНД")),IF(_xlpm.b="Кабель все",SUM(_xlpm.cq),SUM(_xlpm.gq*(_xlpm.gt&amp;" "&amp;_xlpm.gd=_xlpm.b))))),IF(OR(N(_xlpm.v)=0,N(_xlpm.kk)=0),0,_xlfn.CEILING.MATH(_xlpm.v*_xlpm.kk,IF(N(_xlpm.rr)&gt;0,_xlpm.rr,1)))))),_xlpm.nf,_xlfn._xlws.FILTER(_xlfn.HSTACK(_xlpm.TX(Нормы_расхода[Наименование и техническая характеристика]),_xlpm.TX(Нормы_расхода[Тип, марка]),_xlpm.TX(Нормы_расхода[Код]),_xlpm.TX(Нормы_расхода[Завод]),_xlpm.TX(Нормы_расхода[Ед.]),_xlpm.nq,_xlfn.EXPAND({""},ROWS(_xlpm.nq),2,"")),(_xlpm.nq&gt;0)*(Нормы_расхода[Наименование и техническая характеристика]&lt;&gt;""),""),_xlpm.CL,_xlfn.LAMBDA(_xlpm.a,_xlfn.LET(_xlpm.v,IFERROR(_xlpm.a,""),_xlfn._xlws.FILTER(_xlpm.v,INDEX(_xlpm.v,0,1)&lt;&gt;"",""))),_xlpm.sec_a,_xlpm.CL(_xlfn.VSTACK(_xlpm.mv_a,_xlpm.ap,_xlpm.nb,_xlpm.na)),_xlpm.sec_b,_xlpm.CL(_xlfn.VSTACK(_xlpm.cb,_xlpm.gf,_xlpm.nf,_xlpm.mv_b)),_xlpm.n_1,IF(INDEX(_xlpm.sec_a,1,1)="",0,ROWS(_xlpm.sec_a)),_xlpm.n_2,IF(INDEX(_xlpm.sec_b,1,1)="",0,ROWS(_xlpm.sec_b)),_xlpm.hd_a,_xlfn.HSTACK("1","Вводно-распределительное оборудование "&amp;_xlpm.bn,_xlfn.EXPAND({""},1,7,"")),_xlpm.hd_b,_xlfn.HSTACK("2","Кабельные изделия (кабель, провод, гофра, крепёж)",_xlfn.EXPAND({""},1,7,"")),_xlpm.rw_a,IF(_xlpm.n_1=0,_xlpm.hd_a,_xlfn.VSTACK(_xlpm.hd_a,_xlfn.HSTACK("1."&amp;_xlfn.SEQUENCE(_xlpm.n_1),_xlpm.sec_a))),_xlpm.rw_b,IF(_xlpm.n_2=0,_xlpm.hd_b,_xlfn.VSTACK(_xlpm.hd_b,_xlfn.HSTACK("2."&amp;_xlfn.SEQUENCE(_xlpm.n_2),_xlpm.sec_b))),IFERROR(_xlfn.VSTACK(_xlpm.rw_a,_xlpm.rw_b),""))</f>
        <v>1</v>
      </c>
      <c r="C3" t="str">
        <v>Вводно-распределительное оборудование (весь объект)</v>
      </c>
      <c r="D3" t="str">
        <v/>
      </c>
      <c r="E3" t="str">
        <v/>
      </c>
      <c r="F3" t="str">
        <v/>
      </c>
      <c r="G3" t="str">
        <v/>
      </c>
      <c r="H3" t="str">
        <v/>
      </c>
      <c r="I3" t="str">
        <v/>
      </c>
      <c r="J3" t="str">
        <v/>
      </c>
      <c r="W3" t="s">
        <v>1812</v>
      </c>
      <c r="Y3" t="s">
        <v>1813</v>
      </c>
      <c r="Z3" t="s">
        <v>277</v>
      </c>
      <c r="AA3" t="s">
        <v>280</v>
      </c>
      <c r="AB3" t="s">
        <v>1814</v>
      </c>
      <c r="AC3">
        <v>2</v>
      </c>
      <c r="AD3">
        <v>1</v>
      </c>
      <c r="AF3" t="s">
        <v>197</v>
      </c>
      <c r="AG3">
        <v>16</v>
      </c>
      <c r="AH3" t="s">
        <v>1830</v>
      </c>
      <c r="AJ3" t="s">
        <v>277</v>
      </c>
      <c r="AK3">
        <v>100</v>
      </c>
    </row>
    <row r="4" spans="2:37" x14ac:dyDescent="0.3">
      <c r="B4" t="str">
        <v>1.1</v>
      </c>
      <c r="C4" t="str">
        <v>Автоматический выключатель NB1-63 1P 10А 6кА х-ка C (DB)</v>
      </c>
      <c r="D4" t="str">
        <v/>
      </c>
      <c r="E4" t="str">
        <v>179614</v>
      </c>
      <c r="F4" t="str">
        <v>Chint</v>
      </c>
      <c r="G4" t="str">
        <v>шт.</v>
      </c>
      <c r="H4">
        <v>53</v>
      </c>
      <c r="I4" t="str">
        <v/>
      </c>
      <c r="J4" t="str">
        <v/>
      </c>
      <c r="W4" t="s">
        <v>1815</v>
      </c>
      <c r="Y4">
        <v>51025</v>
      </c>
      <c r="Z4" t="s">
        <v>277</v>
      </c>
      <c r="AA4" t="s">
        <v>280</v>
      </c>
      <c r="AB4" t="s">
        <v>1816</v>
      </c>
      <c r="AC4">
        <v>2</v>
      </c>
      <c r="AD4">
        <v>1</v>
      </c>
      <c r="AF4" t="s">
        <v>197</v>
      </c>
      <c r="AG4">
        <v>20</v>
      </c>
      <c r="AH4" t="s">
        <v>1831</v>
      </c>
      <c r="AI4">
        <v>91520</v>
      </c>
      <c r="AJ4" t="s">
        <v>277</v>
      </c>
      <c r="AK4">
        <v>100</v>
      </c>
    </row>
    <row r="5" spans="2:37" x14ac:dyDescent="0.3">
      <c r="B5" t="str">
        <v>1.2</v>
      </c>
      <c r="C5" t="str">
        <v>Автоматический выключатель NB1-63 1P 16А 6кА х-ка C (DB)</v>
      </c>
      <c r="D5" t="str">
        <v/>
      </c>
      <c r="E5" t="str">
        <v>179616</v>
      </c>
      <c r="F5" t="str">
        <v>Chint</v>
      </c>
      <c r="G5" t="str">
        <v>шт.</v>
      </c>
      <c r="H5">
        <v>54</v>
      </c>
      <c r="I5" t="str">
        <v/>
      </c>
      <c r="J5" t="str">
        <v/>
      </c>
      <c r="W5" t="s">
        <v>1817</v>
      </c>
      <c r="Z5" t="s">
        <v>277</v>
      </c>
      <c r="AA5" t="s">
        <v>280</v>
      </c>
      <c r="AB5" t="s">
        <v>1818</v>
      </c>
      <c r="AC5">
        <v>2</v>
      </c>
      <c r="AD5">
        <v>1</v>
      </c>
      <c r="AF5" t="s">
        <v>197</v>
      </c>
      <c r="AG5">
        <v>25</v>
      </c>
      <c r="AH5" t="s">
        <v>1832</v>
      </c>
      <c r="AI5">
        <v>91525</v>
      </c>
      <c r="AJ5" t="s">
        <v>277</v>
      </c>
      <c r="AK5">
        <v>50</v>
      </c>
    </row>
    <row r="6" spans="2:37" x14ac:dyDescent="0.3">
      <c r="B6" t="str">
        <v>1.3</v>
      </c>
      <c r="C6" t="str">
        <v>Автоматический выключатель NB1-63 3P 20А 6кА х-ка C (DB)</v>
      </c>
      <c r="D6" t="str">
        <v/>
      </c>
      <c r="E6" t="str">
        <v>179702</v>
      </c>
      <c r="F6" t="str">
        <v>Chint</v>
      </c>
      <c r="G6" t="str">
        <v>шт.</v>
      </c>
      <c r="H6">
        <v>6</v>
      </c>
      <c r="I6" t="str">
        <v/>
      </c>
      <c r="J6" t="str">
        <v/>
      </c>
      <c r="W6" t="s">
        <v>1819</v>
      </c>
      <c r="Y6" t="s">
        <v>1820</v>
      </c>
      <c r="Z6" t="s">
        <v>1821</v>
      </c>
      <c r="AA6" t="s">
        <v>342</v>
      </c>
      <c r="AB6" t="s">
        <v>1822</v>
      </c>
      <c r="AC6">
        <v>2E-3</v>
      </c>
      <c r="AD6">
        <v>1</v>
      </c>
      <c r="AF6" t="s">
        <v>197</v>
      </c>
      <c r="AG6">
        <v>32</v>
      </c>
      <c r="AH6" t="s">
        <v>1833</v>
      </c>
      <c r="AJ6" t="s">
        <v>277</v>
      </c>
      <c r="AK6">
        <v>25</v>
      </c>
    </row>
    <row r="7" spans="2:37" x14ac:dyDescent="0.3">
      <c r="B7" t="str">
        <v>1.4</v>
      </c>
      <c r="C7" t="str">
        <v>Дифавтомат (АВДТ) NB1L 1P+N C16 30мА тип A 6кА</v>
      </c>
      <c r="D7" t="str">
        <v/>
      </c>
      <c r="E7" t="str">
        <v>203019</v>
      </c>
      <c r="F7" t="str">
        <v>Chint</v>
      </c>
      <c r="G7" t="str">
        <v>шт.</v>
      </c>
      <c r="H7">
        <v>139</v>
      </c>
      <c r="I7" t="str">
        <v/>
      </c>
      <c r="J7" t="str">
        <v/>
      </c>
      <c r="W7" t="s">
        <v>1823</v>
      </c>
      <c r="Y7" t="s">
        <v>1824</v>
      </c>
      <c r="Z7" t="s">
        <v>1821</v>
      </c>
      <c r="AA7" t="s">
        <v>280</v>
      </c>
      <c r="AB7" t="s">
        <v>1822</v>
      </c>
      <c r="AC7">
        <v>2E-3</v>
      </c>
      <c r="AD7">
        <v>1</v>
      </c>
      <c r="AF7" t="s">
        <v>197</v>
      </c>
      <c r="AG7">
        <v>40</v>
      </c>
      <c r="AH7" t="s">
        <v>1834</v>
      </c>
      <c r="AJ7" t="s">
        <v>277</v>
      </c>
      <c r="AK7">
        <v>15</v>
      </c>
    </row>
    <row r="8" spans="2:37" x14ac:dyDescent="0.3">
      <c r="B8" t="str">
        <v>1.5</v>
      </c>
      <c r="C8" t="str">
        <v>Дифавтомат (АВДТ) NB1L 1P+N C20 30мА тип A 6кА</v>
      </c>
      <c r="D8" t="str">
        <v/>
      </c>
      <c r="E8" t="str">
        <v>203296</v>
      </c>
      <c r="F8" t="str">
        <v>Chint</v>
      </c>
      <c r="G8" t="str">
        <v>шт.</v>
      </c>
      <c r="H8">
        <v>3</v>
      </c>
      <c r="I8" t="str">
        <v/>
      </c>
      <c r="J8" t="str">
        <v/>
      </c>
      <c r="W8" t="s">
        <v>1825</v>
      </c>
      <c r="Y8" t="s">
        <v>1826</v>
      </c>
      <c r="Z8" t="s">
        <v>277</v>
      </c>
      <c r="AA8" t="s">
        <v>280</v>
      </c>
      <c r="AB8" t="s">
        <v>1827</v>
      </c>
      <c r="AC8">
        <v>3.0000000000000001E-3</v>
      </c>
      <c r="AD8">
        <v>1</v>
      </c>
      <c r="AF8" t="s">
        <v>197</v>
      </c>
      <c r="AG8">
        <v>50</v>
      </c>
      <c r="AH8" t="s">
        <v>1835</v>
      </c>
      <c r="AJ8" t="s">
        <v>277</v>
      </c>
      <c r="AK8">
        <v>15</v>
      </c>
    </row>
    <row r="9" spans="2:37" x14ac:dyDescent="0.3">
      <c r="B9" t="str">
        <v>1.6</v>
      </c>
      <c r="C9" t="str">
        <v>Клемма трёхуровневая push-in, 6 точек, 2.5 кв.мм</v>
      </c>
      <c r="D9" t="str">
        <v/>
      </c>
      <c r="E9" t="str">
        <v>VPR-2.5-3L-GY</v>
      </c>
      <c r="F9" t="str">
        <v>DKC</v>
      </c>
      <c r="G9" t="str">
        <v>шт.</v>
      </c>
      <c r="H9">
        <v>305</v>
      </c>
      <c r="I9" t="str">
        <v/>
      </c>
      <c r="J9" t="str">
        <v/>
      </c>
      <c r="AF9" t="s">
        <v>198</v>
      </c>
      <c r="AG9">
        <v>16</v>
      </c>
      <c r="AH9" t="s">
        <v>1836</v>
      </c>
      <c r="AJ9" t="s">
        <v>277</v>
      </c>
      <c r="AK9">
        <v>100</v>
      </c>
    </row>
    <row r="10" spans="2:37" x14ac:dyDescent="0.3">
      <c r="B10" t="str">
        <v>1.7</v>
      </c>
      <c r="C10" t="str">
        <v>Клемма проходная push-in, 4 точки, 2.5 кв.мм, серая</v>
      </c>
      <c r="D10" t="str">
        <v/>
      </c>
      <c r="E10" t="str">
        <v>VPR-2.5-QUATTRO-GY</v>
      </c>
      <c r="F10" t="str">
        <v>DKC</v>
      </c>
      <c r="G10" t="str">
        <v>шт.</v>
      </c>
      <c r="H10">
        <v>50</v>
      </c>
      <c r="I10" t="str">
        <v/>
      </c>
      <c r="J10" t="str">
        <v/>
      </c>
      <c r="AF10" t="s">
        <v>198</v>
      </c>
      <c r="AG10">
        <v>20</v>
      </c>
      <c r="AH10" t="s">
        <v>1837</v>
      </c>
      <c r="AI10">
        <v>71520</v>
      </c>
      <c r="AJ10" t="s">
        <v>277</v>
      </c>
      <c r="AK10">
        <v>100</v>
      </c>
    </row>
    <row r="11" spans="2:37" x14ac:dyDescent="0.3">
      <c r="B11" t="str">
        <v>1.8</v>
      </c>
      <c r="C11" t="str">
        <v>Автоматический выключатель 3P С630А</v>
      </c>
      <c r="D11" t="str">
        <v>3P С630А</v>
      </c>
      <c r="E11" t="str">
        <v/>
      </c>
      <c r="F11" t="str">
        <v/>
      </c>
      <c r="G11" t="str">
        <v>шт.</v>
      </c>
      <c r="H11">
        <v>2</v>
      </c>
      <c r="I11" t="str">
        <v/>
      </c>
      <c r="J11" t="str">
        <v>нет в «Каталоге» — впишите артикул</v>
      </c>
      <c r="AF11" t="s">
        <v>198</v>
      </c>
      <c r="AG11">
        <v>25</v>
      </c>
      <c r="AH11" t="s">
        <v>1838</v>
      </c>
      <c r="AI11">
        <v>71525</v>
      </c>
      <c r="AJ11" t="s">
        <v>277</v>
      </c>
      <c r="AK11">
        <v>50</v>
      </c>
    </row>
    <row r="12" spans="2:37" x14ac:dyDescent="0.3">
      <c r="B12" t="str">
        <v>1.9</v>
      </c>
      <c r="C12" t="str">
        <v>Автоматический выключатель 3P С25А</v>
      </c>
      <c r="D12" t="str">
        <v>3P С25А</v>
      </c>
      <c r="E12" t="str">
        <v/>
      </c>
      <c r="F12" t="str">
        <v/>
      </c>
      <c r="G12" t="str">
        <v>шт.</v>
      </c>
      <c r="H12">
        <v>3</v>
      </c>
      <c r="I12" t="str">
        <v/>
      </c>
      <c r="J12" t="str">
        <v>нет в «Каталоге» — впишите артикул</v>
      </c>
      <c r="AF12" t="s">
        <v>198</v>
      </c>
      <c r="AG12">
        <v>32</v>
      </c>
      <c r="AH12" t="s">
        <v>1839</v>
      </c>
      <c r="AI12">
        <v>71532</v>
      </c>
      <c r="AJ12" t="s">
        <v>277</v>
      </c>
      <c r="AK12">
        <v>25</v>
      </c>
    </row>
    <row r="13" spans="2:37" x14ac:dyDescent="0.3">
      <c r="B13" t="str">
        <v>1.10</v>
      </c>
      <c r="C13" t="str">
        <v>Автоматический выключатель 3P С400А</v>
      </c>
      <c r="D13" t="str">
        <v>3P С400А</v>
      </c>
      <c r="E13" t="str">
        <v/>
      </c>
      <c r="F13" t="str">
        <v/>
      </c>
      <c r="G13" t="str">
        <v>шт.</v>
      </c>
      <c r="H13">
        <v>1</v>
      </c>
      <c r="I13" t="str">
        <v/>
      </c>
      <c r="J13" t="str">
        <v>нет в «Каталоге» — впишите артикул</v>
      </c>
      <c r="AF13" t="s">
        <v>198</v>
      </c>
      <c r="AG13">
        <v>40</v>
      </c>
      <c r="AH13" t="s">
        <v>1840</v>
      </c>
      <c r="AJ13" t="s">
        <v>277</v>
      </c>
      <c r="AK13">
        <v>15</v>
      </c>
    </row>
    <row r="14" spans="2:37" x14ac:dyDescent="0.3">
      <c r="B14" t="str">
        <v>1.11</v>
      </c>
      <c r="C14" t="str">
        <v>Автоматический выключатель 3P С16А</v>
      </c>
      <c r="D14" t="str">
        <v>3P С16А</v>
      </c>
      <c r="E14" t="str">
        <v/>
      </c>
      <c r="F14" t="str">
        <v/>
      </c>
      <c r="G14" t="str">
        <v>шт.</v>
      </c>
      <c r="H14">
        <v>10</v>
      </c>
      <c r="I14" t="str">
        <v/>
      </c>
      <c r="J14" t="str">
        <v>нет в «Каталоге» — впишите артикул</v>
      </c>
      <c r="AF14" t="s">
        <v>198</v>
      </c>
      <c r="AG14">
        <v>50</v>
      </c>
      <c r="AH14" t="s">
        <v>1841</v>
      </c>
      <c r="AJ14" t="s">
        <v>277</v>
      </c>
      <c r="AK14">
        <v>15</v>
      </c>
    </row>
    <row r="15" spans="2:37" x14ac:dyDescent="0.3">
      <c r="B15" t="str">
        <v>1.12</v>
      </c>
      <c r="C15" t="str">
        <v>Автоматический выключатель 3P С6А</v>
      </c>
      <c r="D15" t="str">
        <v>3P С6А</v>
      </c>
      <c r="E15" t="str">
        <v/>
      </c>
      <c r="F15" t="str">
        <v/>
      </c>
      <c r="G15" t="str">
        <v>шт.</v>
      </c>
      <c r="H15">
        <v>3</v>
      </c>
      <c r="I15" t="str">
        <v/>
      </c>
      <c r="J15" t="str">
        <v>нет в «Каталоге» — впишите артикул</v>
      </c>
    </row>
    <row r="16" spans="2:37" ht="18" customHeight="1" x14ac:dyDescent="0.3">
      <c r="B16" t="str">
        <v>1.13</v>
      </c>
      <c r="C16" t="str">
        <v>Автоматический выключатель 3P С40А</v>
      </c>
      <c r="D16" t="str">
        <v>3P С40А</v>
      </c>
      <c r="E16" t="str">
        <v/>
      </c>
      <c r="F16" t="str">
        <v/>
      </c>
      <c r="G16" t="str">
        <v>шт.</v>
      </c>
      <c r="H16">
        <v>6</v>
      </c>
      <c r="I16" t="str">
        <v/>
      </c>
      <c r="J16" t="str">
        <v>нет в «Каталоге» — впишите артикул</v>
      </c>
    </row>
    <row r="17" spans="2:10" x14ac:dyDescent="0.3">
      <c r="B17" t="str">
        <v>1.14</v>
      </c>
      <c r="C17" t="str">
        <v>Автоматический выключатель 3P С63А</v>
      </c>
      <c r="D17" t="str">
        <v>3P С63А</v>
      </c>
      <c r="E17" t="str">
        <v/>
      </c>
      <c r="F17" t="str">
        <v/>
      </c>
      <c r="G17" t="str">
        <v>шт.</v>
      </c>
      <c r="H17">
        <v>9</v>
      </c>
      <c r="I17" t="str">
        <v/>
      </c>
      <c r="J17" t="str">
        <v>нет в «Каталоге» — впишите артикул</v>
      </c>
    </row>
    <row r="18" spans="2:10" x14ac:dyDescent="0.3">
      <c r="B18" t="str">
        <v>1.15</v>
      </c>
      <c r="C18" t="str">
        <v>Автоматический выключатель 1P С20А</v>
      </c>
      <c r="D18" t="str">
        <v>1P С20А</v>
      </c>
      <c r="E18" t="str">
        <v/>
      </c>
      <c r="F18" t="str">
        <v/>
      </c>
      <c r="G18" t="str">
        <v>шт.</v>
      </c>
      <c r="H18">
        <v>4</v>
      </c>
      <c r="I18" t="str">
        <v/>
      </c>
      <c r="J18" t="str">
        <v>нет в «Каталоге» — впишите артикул</v>
      </c>
    </row>
    <row r="19" spans="2:10" x14ac:dyDescent="0.3">
      <c r="B19" t="str">
        <v>1.16</v>
      </c>
      <c r="C19" t="str">
        <v>Автоматический выключатель 3P С32А</v>
      </c>
      <c r="D19" t="str">
        <v>3P С32А</v>
      </c>
      <c r="E19" t="str">
        <v/>
      </c>
      <c r="F19" t="str">
        <v/>
      </c>
      <c r="G19" t="str">
        <v>шт.</v>
      </c>
      <c r="H19">
        <v>2</v>
      </c>
      <c r="I19" t="str">
        <v/>
      </c>
      <c r="J19" t="str">
        <v>нет в «Каталоге» — впишите артикул</v>
      </c>
    </row>
    <row r="20" spans="2:10" x14ac:dyDescent="0.3">
      <c r="B20" t="str">
        <v>1.17</v>
      </c>
      <c r="C20" t="str">
        <v>Автоматический выключатель 3P С200А</v>
      </c>
      <c r="D20" t="str">
        <v>3P С200А</v>
      </c>
      <c r="E20" t="str">
        <v/>
      </c>
      <c r="F20" t="str">
        <v/>
      </c>
      <c r="G20" t="str">
        <v>шт.</v>
      </c>
      <c r="H20">
        <v>1</v>
      </c>
      <c r="I20" t="str">
        <v/>
      </c>
      <c r="J20" t="str">
        <v>нет в «Каталоге» — впишите артикул</v>
      </c>
    </row>
    <row r="21" spans="2:10" x14ac:dyDescent="0.3">
      <c r="B21" t="str">
        <v>1.18</v>
      </c>
      <c r="C21" t="str">
        <v>Автоматический выключатель 1P С25А</v>
      </c>
      <c r="D21" t="str">
        <v>1P С25А</v>
      </c>
      <c r="E21" t="str">
        <v/>
      </c>
      <c r="F21" t="str">
        <v/>
      </c>
      <c r="G21" t="str">
        <v>шт.</v>
      </c>
      <c r="H21">
        <v>3</v>
      </c>
      <c r="I21" t="str">
        <v/>
      </c>
      <c r="J21" t="str">
        <v>нет в «Каталоге» — впишите артикул</v>
      </c>
    </row>
    <row r="22" spans="2:10" x14ac:dyDescent="0.3">
      <c r="B22" t="str">
        <v>1.19</v>
      </c>
      <c r="C22" t="str">
        <v>Автоматический выключатель 1P С6А</v>
      </c>
      <c r="D22" t="str">
        <v>1P С6А</v>
      </c>
      <c r="E22" t="str">
        <v/>
      </c>
      <c r="F22" t="str">
        <v/>
      </c>
      <c r="G22" t="str">
        <v>шт.</v>
      </c>
      <c r="H22">
        <v>26</v>
      </c>
      <c r="I22" t="str">
        <v/>
      </c>
      <c r="J22" t="str">
        <v>нет в «Каталоге» — впишите артикул</v>
      </c>
    </row>
    <row r="23" spans="2:10" x14ac:dyDescent="0.3">
      <c r="B23" t="str">
        <v>1.20</v>
      </c>
      <c r="C23" t="str">
        <v>Автоматический выключатель 3P С320А</v>
      </c>
      <c r="D23" t="str">
        <v>3P С320А</v>
      </c>
      <c r="E23" t="str">
        <v/>
      </c>
      <c r="F23" t="str">
        <v/>
      </c>
      <c r="G23" t="str">
        <v>шт.</v>
      </c>
      <c r="H23">
        <v>1</v>
      </c>
      <c r="I23" t="str">
        <v/>
      </c>
      <c r="J23" t="str">
        <v>нет в «Каталоге» — впишите артикул</v>
      </c>
    </row>
    <row r="24" spans="2:10" x14ac:dyDescent="0.3">
      <c r="B24" t="str">
        <v>1.21</v>
      </c>
      <c r="C24" t="str">
        <v>Автоматический выключатель дифференциального тока 4P С16А 30мА</v>
      </c>
      <c r="D24" t="str">
        <v>4P С16А 30мА</v>
      </c>
      <c r="E24" t="str">
        <v/>
      </c>
      <c r="F24" t="str">
        <v/>
      </c>
      <c r="G24" t="str">
        <v>шт.</v>
      </c>
      <c r="H24">
        <v>1</v>
      </c>
      <c r="I24" t="str">
        <v/>
      </c>
      <c r="J24" t="str">
        <v>нет в «Каталоге» — впишите артикул</v>
      </c>
    </row>
    <row r="25" spans="2:10" x14ac:dyDescent="0.3">
      <c r="B25" t="str">
        <v>2</v>
      </c>
      <c r="C25" t="str">
        <v>Кабельные изделия (кабель, провод, гофра, крепёж)</v>
      </c>
      <c r="D25" t="str">
        <v/>
      </c>
      <c r="E25" t="str">
        <v/>
      </c>
      <c r="F25" t="str">
        <v/>
      </c>
      <c r="G25" t="str">
        <v/>
      </c>
      <c r="H25" t="str">
        <v/>
      </c>
      <c r="I25" t="str">
        <v/>
      </c>
      <c r="J25" t="str">
        <v/>
      </c>
    </row>
    <row r="26" spans="2:10" x14ac:dyDescent="0.3">
      <c r="B26" t="str">
        <v>2.1</v>
      </c>
      <c r="C26" t="str">
        <v>Кабель ВВГнг(А)-FRLS (3х2,5)</v>
      </c>
      <c r="D26" t="str">
        <v>ВВГнг(А)-FRLS (3х2,5)</v>
      </c>
      <c r="E26" t="str">
        <v/>
      </c>
      <c r="F26" t="str">
        <v/>
      </c>
      <c r="G26" t="str">
        <v>м</v>
      </c>
      <c r="H26">
        <v>270</v>
      </c>
      <c r="I26" t="str">
        <v/>
      </c>
      <c r="J26" t="str">
        <v/>
      </c>
    </row>
    <row r="27" spans="2:10" x14ac:dyDescent="0.3">
      <c r="B27" t="str">
        <v>2.2</v>
      </c>
      <c r="C27" t="str">
        <v>Кабель ВВГнг(А)-LS (5х25)</v>
      </c>
      <c r="D27" t="str">
        <v>ВВГнг(А)-LS (5х25)</v>
      </c>
      <c r="E27" t="str">
        <v/>
      </c>
      <c r="F27" t="str">
        <v/>
      </c>
      <c r="G27" t="str">
        <v>м</v>
      </c>
      <c r="H27">
        <v>300</v>
      </c>
      <c r="I27" t="str">
        <v/>
      </c>
      <c r="J27" t="str">
        <v/>
      </c>
    </row>
    <row r="28" spans="2:10" x14ac:dyDescent="0.3">
      <c r="B28" t="str">
        <v>2.3</v>
      </c>
      <c r="C28" t="str">
        <v>Кабель ВВГнг(А)-LS (5х16)</v>
      </c>
      <c r="D28" t="str">
        <v>ВВГнг(А)-LS (5х16)</v>
      </c>
      <c r="E28" t="str">
        <v/>
      </c>
      <c r="F28" t="str">
        <v/>
      </c>
      <c r="G28" t="str">
        <v>м</v>
      </c>
      <c r="H28">
        <v>150</v>
      </c>
      <c r="I28" t="str">
        <v/>
      </c>
      <c r="J28" t="str">
        <v/>
      </c>
    </row>
    <row r="29" spans="2:10" x14ac:dyDescent="0.3">
      <c r="B29" t="str">
        <v>2.4</v>
      </c>
      <c r="C29" t="str">
        <v>Кабель ВВГнг(А)-LS (5х10)</v>
      </c>
      <c r="D29" t="str">
        <v>ВВГнг(А)-LS (5х10)</v>
      </c>
      <c r="E29" t="str">
        <v/>
      </c>
      <c r="F29" t="str">
        <v/>
      </c>
      <c r="G29" t="str">
        <v>м</v>
      </c>
      <c r="H29">
        <v>90</v>
      </c>
      <c r="I29" t="str">
        <v/>
      </c>
      <c r="J29" t="str">
        <v/>
      </c>
    </row>
    <row r="30" spans="2:10" x14ac:dyDescent="0.3">
      <c r="B30" t="str">
        <v>2.5</v>
      </c>
      <c r="C30" t="str">
        <v>Кабель ВВГнг(А)-LS (5х6)</v>
      </c>
      <c r="D30" t="str">
        <v>ВВГнг(А)-LS (5х6)</v>
      </c>
      <c r="E30" t="str">
        <v/>
      </c>
      <c r="F30" t="str">
        <v/>
      </c>
      <c r="G30" t="str">
        <v>м</v>
      </c>
      <c r="H30">
        <v>210</v>
      </c>
      <c r="I30" t="str">
        <v/>
      </c>
      <c r="J30" t="str">
        <v/>
      </c>
    </row>
    <row r="31" spans="2:10" x14ac:dyDescent="0.3">
      <c r="B31" t="str">
        <v>2.6</v>
      </c>
      <c r="C31" t="str">
        <v>Кабель ВВГнг(А)-LS (5х4)</v>
      </c>
      <c r="D31" t="str">
        <v>ВВГнг(А)-LS (5х4)</v>
      </c>
      <c r="E31" t="str">
        <v/>
      </c>
      <c r="F31" t="str">
        <v/>
      </c>
      <c r="G31" t="str">
        <v>м</v>
      </c>
      <c r="H31">
        <v>370</v>
      </c>
      <c r="I31" t="str">
        <v/>
      </c>
      <c r="J31" t="str">
        <v/>
      </c>
    </row>
    <row r="32" spans="2:10" x14ac:dyDescent="0.3">
      <c r="B32" t="str">
        <v>2.7</v>
      </c>
      <c r="C32" t="str">
        <v>Кабель ВВГнг(А)-LS (5х2,5)</v>
      </c>
      <c r="D32" t="str">
        <v>ВВГнг(А)-LS (5х2,5)</v>
      </c>
      <c r="E32" t="str">
        <v/>
      </c>
      <c r="F32" t="str">
        <v/>
      </c>
      <c r="G32" t="str">
        <v>м</v>
      </c>
      <c r="H32">
        <v>140</v>
      </c>
      <c r="I32" t="str">
        <v/>
      </c>
      <c r="J32" t="str">
        <v/>
      </c>
    </row>
    <row r="33" spans="2:10" x14ac:dyDescent="0.3">
      <c r="B33" t="str">
        <v>2.8</v>
      </c>
      <c r="C33" t="str">
        <v>Кабель ВВГнг(А)-LS (3х6)</v>
      </c>
      <c r="D33" t="str">
        <v>ВВГнг(А)-LS (3х6)</v>
      </c>
      <c r="E33" t="str">
        <v/>
      </c>
      <c r="F33" t="str">
        <v/>
      </c>
      <c r="G33" t="str">
        <v>м</v>
      </c>
      <c r="H33">
        <v>220</v>
      </c>
      <c r="I33" t="str">
        <v/>
      </c>
      <c r="J33" t="str">
        <v/>
      </c>
    </row>
    <row r="34" spans="2:10" x14ac:dyDescent="0.3">
      <c r="B34" t="str">
        <v>2.9</v>
      </c>
      <c r="C34" t="str">
        <v>Кабель ВВГнг(А)-LS (3х4)</v>
      </c>
      <c r="D34" t="str">
        <v>ВВГнг(А)-LS (3х4)</v>
      </c>
      <c r="E34" t="str">
        <v/>
      </c>
      <c r="F34" t="str">
        <v/>
      </c>
      <c r="G34" t="str">
        <v>м</v>
      </c>
      <c r="H34">
        <v>690</v>
      </c>
      <c r="I34" t="str">
        <v/>
      </c>
      <c r="J34" t="str">
        <v/>
      </c>
    </row>
    <row r="35" spans="2:10" x14ac:dyDescent="0.3">
      <c r="B35" t="str">
        <v>2.10</v>
      </c>
      <c r="C35" t="str">
        <v>Кабель ВВГнг(А)-LS (3х2,5)</v>
      </c>
      <c r="D35" t="str">
        <v>ВВГнг(А)-LS (3х2,5)</v>
      </c>
      <c r="E35" t="str">
        <v/>
      </c>
      <c r="F35" t="str">
        <v/>
      </c>
      <c r="G35" t="str">
        <v>м</v>
      </c>
      <c r="H35">
        <v>10380</v>
      </c>
      <c r="I35" t="str">
        <v/>
      </c>
      <c r="J35" t="str">
        <v/>
      </c>
    </row>
    <row r="36" spans="2:10" x14ac:dyDescent="0.3">
      <c r="B36" t="str">
        <v>2.11</v>
      </c>
      <c r="C36" t="str">
        <v>Кабель ВВГнг(А)-LS (3х1,5)</v>
      </c>
      <c r="D36" t="str">
        <v>ВВГнг(А)-LS (3х1,5)</v>
      </c>
      <c r="E36" t="str">
        <v/>
      </c>
      <c r="F36" t="str">
        <v/>
      </c>
      <c r="G36" t="str">
        <v>м</v>
      </c>
      <c r="H36">
        <v>4300</v>
      </c>
      <c r="I36" t="str">
        <v/>
      </c>
      <c r="J36" t="str">
        <v/>
      </c>
    </row>
    <row r="37" spans="2:10" x14ac:dyDescent="0.3">
      <c r="B37" t="str">
        <v>2.12</v>
      </c>
      <c r="C37" t="str">
        <v>Кабель ВВГнг(А)-LS (1х185)</v>
      </c>
      <c r="D37" t="str">
        <v>ВВГнг(А)-LS (1х185)</v>
      </c>
      <c r="E37" t="str">
        <v/>
      </c>
      <c r="F37" t="str">
        <v/>
      </c>
      <c r="G37" t="str">
        <v>м</v>
      </c>
      <c r="H37">
        <v>350</v>
      </c>
      <c r="I37" t="str">
        <v/>
      </c>
      <c r="J37" t="str">
        <v/>
      </c>
    </row>
    <row r="38" spans="2:10" x14ac:dyDescent="0.3">
      <c r="B38" t="str">
        <v>2.13</v>
      </c>
      <c r="C38" t="str">
        <v>Кабель ВВГнг(А)-LS (1х95)</v>
      </c>
      <c r="D38" t="str">
        <v>ВВГнг(А)-LS (1х95)</v>
      </c>
      <c r="E38" t="str">
        <v/>
      </c>
      <c r="F38" t="str">
        <v/>
      </c>
      <c r="G38" t="str">
        <v>м</v>
      </c>
      <c r="H38">
        <v>320</v>
      </c>
      <c r="I38" t="str">
        <v/>
      </c>
      <c r="J38" t="str">
        <v/>
      </c>
    </row>
    <row r="39" spans="2:10" x14ac:dyDescent="0.3">
      <c r="B39" t="str">
        <v>2.14</v>
      </c>
      <c r="C39" t="str">
        <v>Кабель МКЭШнг(A)-LS (2х0,75)</v>
      </c>
      <c r="D39" t="str">
        <v>МКЭШнг(A)-LS (2х0,75)</v>
      </c>
      <c r="E39" t="str">
        <v/>
      </c>
      <c r="F39" t="str">
        <v/>
      </c>
      <c r="G39" t="str">
        <v>м</v>
      </c>
      <c r="H39">
        <v>60</v>
      </c>
      <c r="I39" t="str">
        <v/>
      </c>
      <c r="J39" t="str">
        <v/>
      </c>
    </row>
    <row r="40" spans="2:10" x14ac:dyDescent="0.3">
      <c r="B40" t="str">
        <v>2.15</v>
      </c>
      <c r="C40" t="str">
        <v>Труба ПВХ гибкая гофр. д.20мм, тяжёлая с протяжкой, 100м, цвет серый</v>
      </c>
      <c r="D40" t="str">
        <v>ПВХ Ø20</v>
      </c>
      <c r="E40" t="str">
        <v>91520</v>
      </c>
      <c r="F40" t="str">
        <v>DKC</v>
      </c>
      <c r="G40" t="str">
        <v>м</v>
      </c>
      <c r="H40">
        <v>7300</v>
      </c>
      <c r="I40" t="str">
        <v/>
      </c>
      <c r="J40" t="str">
        <v/>
      </c>
    </row>
    <row r="41" spans="2:10" x14ac:dyDescent="0.3">
      <c r="B41" t="str">
        <v>2.16</v>
      </c>
      <c r="C41" t="str">
        <v>Труба ПВХ гибкая гофр. д.25мм, тяжёлая с протяжкой, 50м, цвет серый</v>
      </c>
      <c r="D41" t="str">
        <v>ПВХ Ø25</v>
      </c>
      <c r="E41" t="str">
        <v>91525</v>
      </c>
      <c r="F41" t="str">
        <v>DKC</v>
      </c>
      <c r="G41" t="str">
        <v>м</v>
      </c>
      <c r="H41">
        <v>550</v>
      </c>
      <c r="I41" t="str">
        <v/>
      </c>
      <c r="J41" t="str">
        <v/>
      </c>
    </row>
    <row r="42" spans="2:10" x14ac:dyDescent="0.3">
      <c r="B42" t="str">
        <v>2.17</v>
      </c>
      <c r="C42" t="str">
        <v>Труба ПВХ гибкая гофр. д.32мм, тяжёлая с протяжкой, 25м, цвет серый</v>
      </c>
      <c r="D42" t="str">
        <v>ПВХ Ø32</v>
      </c>
      <c r="E42" t="str">
        <v/>
      </c>
      <c r="F42" t="str">
        <v>DKC</v>
      </c>
      <c r="G42" t="str">
        <v>м</v>
      </c>
      <c r="H42">
        <v>50</v>
      </c>
      <c r="I42" t="str">
        <v/>
      </c>
      <c r="J42" t="str">
        <v/>
      </c>
    </row>
    <row r="43" spans="2:10" x14ac:dyDescent="0.3">
      <c r="B43" t="str">
        <v>2.18</v>
      </c>
      <c r="C43" t="str">
        <v>Труба ПВХ гибкая гофр. д.40мм, тяжёлая с протяжкой, 15м, цвет серый</v>
      </c>
      <c r="D43" t="str">
        <v>ПВХ Ø40</v>
      </c>
      <c r="E43" t="str">
        <v/>
      </c>
      <c r="F43" t="str">
        <v>DKC</v>
      </c>
      <c r="G43" t="str">
        <v>м</v>
      </c>
      <c r="H43">
        <v>300</v>
      </c>
      <c r="I43" t="str">
        <v/>
      </c>
      <c r="J43" t="str">
        <v/>
      </c>
    </row>
    <row r="44" spans="2:10" x14ac:dyDescent="0.3">
      <c r="B44" t="str">
        <v>2.19</v>
      </c>
      <c r="C44" t="str">
        <v>Труба гофрированная ПВХ Ø?</v>
      </c>
      <c r="D44" t="str">
        <v>ПВХ Ø?</v>
      </c>
      <c r="E44" t="str">
        <v/>
      </c>
      <c r="F44" t="str">
        <v/>
      </c>
      <c r="G44" t="str">
        <v>м</v>
      </c>
      <c r="H44">
        <v>30</v>
      </c>
      <c r="I44" t="str">
        <v/>
      </c>
      <c r="J44" t="str">
        <v/>
      </c>
    </row>
    <row r="45" spans="2:10" x14ac:dyDescent="0.3">
      <c r="B45" t="str">
        <v>2.20</v>
      </c>
      <c r="C45" t="str">
        <v>Труба ПНД гибкая гофр. д.20мм, тяжёлая с протяжкой, 100м, цвет оранжевый</v>
      </c>
      <c r="D45" t="str">
        <v>ПНД Ø20</v>
      </c>
      <c r="E45" t="str">
        <v>71520</v>
      </c>
      <c r="F45" t="str">
        <v>DKC</v>
      </c>
      <c r="G45" t="str">
        <v>м</v>
      </c>
      <c r="H45">
        <v>3300</v>
      </c>
      <c r="I45" t="str">
        <v/>
      </c>
      <c r="J45" t="str">
        <v/>
      </c>
    </row>
    <row r="46" spans="2:10" x14ac:dyDescent="0.3">
      <c r="B46" t="str">
        <v>2.21</v>
      </c>
      <c r="C46" t="str">
        <v>Труба ПНД гибкая гофр. д.25мм, тяжёлая с протяжкой, 50м, цвет оранжевый</v>
      </c>
      <c r="D46" t="str">
        <v>ПНД Ø25</v>
      </c>
      <c r="E46" t="str">
        <v>71525</v>
      </c>
      <c r="F46" t="str">
        <v>DKC</v>
      </c>
      <c r="G46" t="str">
        <v>м</v>
      </c>
      <c r="H46">
        <v>200</v>
      </c>
      <c r="I46" t="str">
        <v/>
      </c>
      <c r="J46" t="str">
        <v/>
      </c>
    </row>
    <row r="47" spans="2:10" x14ac:dyDescent="0.3">
      <c r="B47" t="str">
        <v>2.22</v>
      </c>
      <c r="C47" t="str">
        <v>Держатель-клипса для монтажного пистолета, д.20мм, серый</v>
      </c>
      <c r="D47" t="str">
        <v/>
      </c>
      <c r="E47" t="str">
        <v>51020M</v>
      </c>
      <c r="F47" t="str">
        <v>DKC</v>
      </c>
      <c r="G47" t="str">
        <v>шт.</v>
      </c>
      <c r="H47">
        <v>14600</v>
      </c>
      <c r="I47" t="str">
        <v/>
      </c>
      <c r="J47" t="str">
        <v/>
      </c>
    </row>
    <row r="48" spans="2:10" x14ac:dyDescent="0.3">
      <c r="B48" t="str">
        <v>2.23</v>
      </c>
      <c r="C48" t="str">
        <v>Держатель с защелкой, д.25мм</v>
      </c>
      <c r="D48" t="str">
        <v/>
      </c>
      <c r="E48">
        <v>51025</v>
      </c>
      <c r="F48" t="str">
        <v>DKC</v>
      </c>
      <c r="G48" t="str">
        <v>шт.</v>
      </c>
      <c r="H48">
        <v>1100</v>
      </c>
      <c r="I48" t="str">
        <v/>
      </c>
      <c r="J48" t="str">
        <v/>
      </c>
    </row>
    <row r="49" spans="2:10" x14ac:dyDescent="0.3">
      <c r="B49" t="str">
        <v>2.24</v>
      </c>
      <c r="C49" t="str">
        <v>Держатель с защелкой, д.32мм</v>
      </c>
      <c r="D49" t="str">
        <v/>
      </c>
      <c r="E49" t="str">
        <v/>
      </c>
      <c r="F49" t="str">
        <v>DKC</v>
      </c>
      <c r="G49" t="str">
        <v>шт.</v>
      </c>
      <c r="H49">
        <v>100</v>
      </c>
      <c r="I49" t="str">
        <v/>
      </c>
      <c r="J49" t="str">
        <v/>
      </c>
    </row>
    <row r="50" spans="2:10" x14ac:dyDescent="0.3">
      <c r="B50" t="str">
        <v>2.25</v>
      </c>
      <c r="C50" t="str">
        <v>Гвозди кассетные для гвоздезабивного пистолета 3,05х32 мм, упак. 1000 шт.</v>
      </c>
      <c r="D50" t="str">
        <v/>
      </c>
      <c r="E50" t="str">
        <v>30532stepEG</v>
      </c>
      <c r="F50" t="str">
        <v>TOUA</v>
      </c>
      <c r="G50" t="str">
        <v>упак.</v>
      </c>
      <c r="H50">
        <v>17</v>
      </c>
      <c r="I50" t="str">
        <v/>
      </c>
      <c r="J50" t="str">
        <v/>
      </c>
    </row>
    <row r="51" spans="2:10" x14ac:dyDescent="0.3">
      <c r="B51" t="str">
        <v>2.26</v>
      </c>
      <c r="C51" t="str">
        <v>Баллон газовый на 1000 гвоздей</v>
      </c>
      <c r="D51" t="str">
        <v/>
      </c>
      <c r="E51" t="str">
        <v>toua-fcg</v>
      </c>
      <c r="F51" t="str">
        <v>TOUA</v>
      </c>
      <c r="G51" t="str">
        <v>шт.</v>
      </c>
      <c r="H51">
        <v>17</v>
      </c>
      <c r="I51" t="str">
        <v/>
      </c>
      <c r="J51" t="str">
        <v/>
      </c>
    </row>
    <row r="52" spans="2:10" x14ac:dyDescent="0.3">
      <c r="B52" t="str">
        <v>2.27</v>
      </c>
      <c r="C52" t="str">
        <v>Лента монтажная перфорированная, 25х0,8</v>
      </c>
      <c r="D52" t="str">
        <v/>
      </c>
      <c r="E52" t="str">
        <v>CM610050</v>
      </c>
      <c r="F52" t="str">
        <v>DKC</v>
      </c>
      <c r="G52" t="str">
        <v>шт.</v>
      </c>
      <c r="H52">
        <v>11</v>
      </c>
      <c r="I52" t="str">
        <v/>
      </c>
      <c r="J52" t="str">
        <v/>
      </c>
    </row>
  </sheetData>
  <phoneticPr fontId="3" type="noConversion"/>
  <dataValidations count="4">
    <dataValidation type="list" allowBlank="1" showInputMessage="1" sqref="D1" xr:uid="{0A575D1B-815B-4427-B8BE-2BC4AC2F6DF6}">
      <formula1>Список_щитов</formula1>
    </dataValidation>
    <dataValidation type="list" allowBlank="1" showInputMessage="1" sqref="M3" xr:uid="{79BE87DC-95F5-4502-B2AE-1E695AD92BBC}">
      <formula1>Список_щитов</formula1>
    </dataValidation>
    <dataValidation type="list" allowBlank="1" showInputMessage="1" sqref="N3" xr:uid="{122361DC-E5E1-4CF8-A289-E608A5334544}">
      <formula1>"1,2"</formula1>
    </dataValidation>
    <dataValidation type="list" allowBlank="1" showInputMessage="1" sqref="AB3:AB8" xr:uid="{246B2AB7-3CEC-42FB-BC30-2B0FDD41BDA0}">
      <formula1>"ПВХ все,ПНД все,Кабель все,ПВХ Ø16,ПВХ Ø20,ПВХ Ø25,ПВХ Ø32,ПВХ Ø40,ПВХ Ø50,ПНД Ø16,ПНД Ø20,ПНД Ø25,ПНД Ø32,ПНД Ø40,ПНД Ø50"</formula1>
    </dataValidation>
  </dataValidations>
  <pageMargins left="0.7" right="0.7" top="0.75" bottom="0.75" header="0.3" footer="0.3"/>
  <pageSetup paperSize="9" orientation="portrait"/>
  <tableParts count="3">
    <tablePart r:id="rId1"/>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10">
    <tabColor rgb="FF4F81BD"/>
  </sheetPr>
  <dimension ref="A1:F442"/>
  <sheetViews>
    <sheetView workbookViewId="0">
      <pane ySplit="2" topLeftCell="A3" activePane="bottomLeft" state="frozen"/>
      <selection pane="bottomLeft"/>
    </sheetView>
  </sheetViews>
  <sheetFormatPr defaultRowHeight="14.4" x14ac:dyDescent="0.3"/>
  <cols>
    <col min="1" max="1" width="5.77734375" customWidth="1"/>
    <col min="2" max="2" width="12.77734375" customWidth="1"/>
    <col min="3" max="3" width="16.77734375" customWidth="1"/>
    <col min="4" max="4" width="46.77734375" customWidth="1"/>
    <col min="5" max="5" width="16.77734375" customWidth="1"/>
    <col min="6" max="6" width="50.77734375" customWidth="1"/>
  </cols>
  <sheetData>
    <row r="1" spans="1:6" x14ac:dyDescent="0.3">
      <c r="A1" s="36" t="s">
        <v>1855</v>
      </c>
    </row>
    <row r="3" spans="1:6" x14ac:dyDescent="0.3">
      <c r="A3" s="121" t="s">
        <v>664</v>
      </c>
      <c r="B3" s="121" t="s">
        <v>4</v>
      </c>
      <c r="C3" s="121" t="s">
        <v>1856</v>
      </c>
      <c r="D3" s="121" t="s">
        <v>1857</v>
      </c>
      <c r="E3" s="121" t="s">
        <v>436</v>
      </c>
      <c r="F3" s="121" t="s">
        <v>6</v>
      </c>
    </row>
    <row r="4" spans="1:6" x14ac:dyDescent="0.3">
      <c r="A4" cm="1">
        <f t="array" ref="A4:F442">_xlfn.LET(_xlpm.kk,_xlfn.TOCOL(_xlfn.HSTACK(Линии[_бирка 1],Линии[_бирка 2],Линии[_бирка 3],Линии[_бирка 4],Линии[_бирка 5],Линии[_бирка 6]),1),_xlpm.ii,_xlfn.TOCOL(_xlfn.HSTACK(Линии[_бирка 1 линия],Линии[_бирка 2 линия],Линии[_бирка 3 линия],Линии[_бирка 4 линия],Линии[_бирка 5 линия],Линии[_бирка 6 линия]),1),IF(ROWS(_xlpm.kk)=0,"нет",_xlfn.LET(_xlpm.u,_xlfn.UNIQUE(_xlpm.kk),_xlpm.inf,_xlfn.XLOOKUP(_xlpm.u,_xlpm.kk,_xlpm.ii),_xlfn.HSTACK(_xlfn.SEQUENCE(ROWS(_xlpm.u)),_xlfn.TEXTBEFORE(_xlpm.u,"¦"),_xlfn.TEXTBEFORE(_xlfn.TEXTAFTER(_xlpm.u,"¦"),"¦"),_xlfn.TEXTAFTER(_xlpm.u,"¦",2),_xlfn.TEXTBEFORE(_xlpm.inf,"¦"),_xlfn.TEXTAFTER(_xlpm.inf,"¦")))))</f>
        <v>1</v>
      </c>
      <c r="B4" t="e">
        <v>#N/A</v>
      </c>
      <c r="C4" t="e">
        <v>#N/A</v>
      </c>
      <c r="D4" t="e">
        <v>#VALUE!</v>
      </c>
      <c r="E4" t="e">
        <v>#N/A</v>
      </c>
      <c r="F4" t="e">
        <v>#N/A</v>
      </c>
    </row>
    <row r="5" spans="1:6" x14ac:dyDescent="0.3">
      <c r="A5">
        <v>2</v>
      </c>
      <c r="B5" t="str">
        <v>ГРЩ-ЖД</v>
      </c>
      <c r="C5" t="str">
        <v>QF1</v>
      </c>
      <c r="D5" t="str">
        <v>XT1</v>
      </c>
      <c r="E5" t="str">
        <v>ЩСПЗ-ЖД.1</v>
      </c>
      <c r="F5" t="str">
        <v>Щит системы противопожарной защиты Цокольный этаж этаж Пом. №001Т Ввод.1</v>
      </c>
    </row>
    <row r="6" spans="1:6" x14ac:dyDescent="0.3">
      <c r="A6">
        <v>3</v>
      </c>
      <c r="B6" t="str">
        <v>ГРЩ-ЖД</v>
      </c>
      <c r="C6" t="str">
        <v>XT1</v>
      </c>
      <c r="D6" t="str">
        <v>кабель ВВГнг(А)-FRLS (3х2,5) → Щит системы противопожарной защиты Цокольный этаж этаж Пом. №001Т Ввод.1</v>
      </c>
      <c r="E6" t="str">
        <v>ЩСПЗ-ЖД.1</v>
      </c>
      <c r="F6" t="str">
        <v>Щит системы противопожарной защиты Цокольный этаж этаж Пом. №001Т Ввод.1</v>
      </c>
    </row>
    <row r="7" spans="1:6" x14ac:dyDescent="0.3">
      <c r="A7">
        <v>4</v>
      </c>
      <c r="B7" t="str">
        <v>ГРЩ-ЖД</v>
      </c>
      <c r="C7" t="str">
        <v>QF2</v>
      </c>
      <c r="D7" t="str">
        <v>XT2</v>
      </c>
      <c r="E7" t="str">
        <v>ЩСПЗ-ЖД.2</v>
      </c>
      <c r="F7" t="str">
        <v>Щит системы противопожарной защиты Цокольный этаж этаж Пом. №001Т Ввод.2</v>
      </c>
    </row>
    <row r="8" spans="1:6" x14ac:dyDescent="0.3">
      <c r="A8">
        <v>5</v>
      </c>
      <c r="B8" t="str">
        <v>ГРЩ-ЖД</v>
      </c>
      <c r="C8" t="str">
        <v>XT2</v>
      </c>
      <c r="D8" t="str">
        <v>кабель ВВГнг(А)-FRLS (3х2,5) → Щит системы противопожарной защиты Цокольный этаж этаж Пом. №001Т Ввод.2</v>
      </c>
      <c r="E8" t="str">
        <v>ЩСПЗ-ЖД.2</v>
      </c>
      <c r="F8" t="str">
        <v>Щит системы противопожарной защиты Цокольный этаж этаж Пом. №001Т Ввод.2</v>
      </c>
    </row>
    <row r="9" spans="1:6" x14ac:dyDescent="0.3">
      <c r="A9">
        <v>6</v>
      </c>
      <c r="B9" t="str">
        <v>ГРЩ-ЖД</v>
      </c>
      <c r="C9" t="str">
        <v>QF3</v>
      </c>
      <c r="D9" t="str">
        <v>кабель ВВГнг(А)-LS (5х6) → Щит вентиляции ЩОВ-01 Цокольный этаж этаж Пом. №0.001Тб</v>
      </c>
      <c r="E9" t="str">
        <v>ЩОВ-01</v>
      </c>
      <c r="F9" t="str">
        <v>Щит вентиляции ЩОВ-01 Цокольный этаж этаж Пом. №0.001Тб</v>
      </c>
    </row>
    <row r="10" spans="1:6" x14ac:dyDescent="0.3">
      <c r="A10">
        <v>7</v>
      </c>
      <c r="B10" t="str">
        <v>ГРЩ-ЖД</v>
      </c>
      <c r="C10" t="str">
        <v>QF4</v>
      </c>
      <c r="D10" t="str">
        <v>XT4</v>
      </c>
      <c r="E10" t="str">
        <v>ЩОВ-001</v>
      </c>
      <c r="F10" t="str">
        <v>Щит вентиляции ЩОВ-001 Подвальный этаж этаж Пом. №00.006Т</v>
      </c>
    </row>
    <row r="11" spans="1:6" x14ac:dyDescent="0.3">
      <c r="A11">
        <v>8</v>
      </c>
      <c r="B11" t="str">
        <v>ГРЩ-ЖД</v>
      </c>
      <c r="C11" t="str">
        <v>XT4</v>
      </c>
      <c r="D11" t="str">
        <v>кабель 5хВВГнг(А)-LS  (1х185) → Щит вентиляции ЩОВ-001 Подвальный этаж этаж Пом. №00.006Т</v>
      </c>
      <c r="E11" t="str">
        <v>ЩОВ-001</v>
      </c>
      <c r="F11" t="str">
        <v>Щит вентиляции ЩОВ-001 Подвальный этаж этаж Пом. №00.006Т</v>
      </c>
    </row>
    <row r="12" spans="1:6" x14ac:dyDescent="0.3">
      <c r="A12">
        <v>9</v>
      </c>
      <c r="B12" t="str">
        <v>ГРЩ-ЖД</v>
      </c>
      <c r="C12" t="str">
        <v>QF5</v>
      </c>
      <c r="D12" t="str">
        <v>кабель ВВГнг(А)-LS (5х4) → Щит вентиляции ЩОВ-002 Подвальный этаж этаж Пом. №00.003Т</v>
      </c>
      <c r="E12" t="str">
        <v>ЩОВ-002</v>
      </c>
      <c r="F12" t="str">
        <v>Щит вентиляции ЩОВ-002 Подвальный этаж этаж Пом. №00.003Т</v>
      </c>
    </row>
    <row r="13" spans="1:6" x14ac:dyDescent="0.3">
      <c r="A13">
        <v>10</v>
      </c>
      <c r="B13" t="str">
        <v>ГРЩ-ЖД</v>
      </c>
      <c r="C13" t="str">
        <v>QF6</v>
      </c>
      <c r="D13" t="str">
        <v>кабель ВВГнг(А)-LS (5х4) → Щит вентиляции ЩОВ-2 Техэтаж этаж Пом. №3.001Т</v>
      </c>
      <c r="E13" t="str">
        <v>ЩОВ-2</v>
      </c>
      <c r="F13" t="str">
        <v>Щит вентиляции ЩОВ-2 Техэтаж этаж Пом. №3.001Т</v>
      </c>
    </row>
    <row r="14" spans="1:6" x14ac:dyDescent="0.3">
      <c r="A14">
        <v>11</v>
      </c>
      <c r="B14" t="str">
        <v>ГРЩ-ЖД</v>
      </c>
      <c r="C14" t="str">
        <v>QF7</v>
      </c>
      <c r="D14" t="str">
        <v>кабель  → Щит освещения ЩО-2 Тех. этаж этаж Пом. №3.001</v>
      </c>
      <c r="E14" t="str">
        <v>ЩО-2</v>
      </c>
      <c r="F14" t="str">
        <v>Щит освещения ЩО-2 Тех. этаж этаж Пом. №3.001</v>
      </c>
    </row>
    <row r="15" spans="1:6" x14ac:dyDescent="0.3">
      <c r="A15">
        <v>12</v>
      </c>
      <c r="B15" t="str">
        <v>ГРЩ-ЖД</v>
      </c>
      <c r="C15" t="str">
        <v>QF8</v>
      </c>
      <c r="D15" t="str">
        <v>кабель ВВГнг(А)-LS (5х4) → Щит распределительный ЩР-001 Подвальный этаж этаж Пом. №00.004Т</v>
      </c>
      <c r="E15" t="str">
        <v>ЩР-001</v>
      </c>
      <c r="F15" t="str">
        <v>Щит распределительный ЩР-001 Подвальный этаж этаж Пом. №00.004Т</v>
      </c>
    </row>
    <row r="16" spans="1:6" x14ac:dyDescent="0.3">
      <c r="A16">
        <v>13</v>
      </c>
      <c r="B16" t="str">
        <v>ГРЩ-ЖД</v>
      </c>
      <c r="C16" t="str">
        <v>QF9</v>
      </c>
      <c r="D16" t="str">
        <v>кабель ВВГнг(А)-LS (5х10) → Щит распределительный ЩР-01 Цокольный этаж этаж Пом. №0.001Т</v>
      </c>
      <c r="E16" t="str">
        <v>ЩР-01</v>
      </c>
      <c r="F16" t="str">
        <v>Щит распределительный ЩР-01 Цокольный этаж этаж Пом. №0.001Т</v>
      </c>
    </row>
    <row r="17" spans="1:6" x14ac:dyDescent="0.3">
      <c r="A17">
        <v>14</v>
      </c>
      <c r="B17" t="str">
        <v>ГРЩ-ЖД</v>
      </c>
      <c r="C17" t="str">
        <v>QF10</v>
      </c>
      <c r="D17" t="str">
        <v>кабель ВВГнг(А)-LS (5х16) → Щит распределительный ЩР-1 Первый этаж этаж Пом. №1.003Б</v>
      </c>
      <c r="E17" t="str">
        <v>ЩР-1</v>
      </c>
      <c r="F17" t="str">
        <v>Щит распределительный ЩР-1 Первый этаж этаж Пом. №1.003Б</v>
      </c>
    </row>
    <row r="18" spans="1:6" x14ac:dyDescent="0.3">
      <c r="A18">
        <v>15</v>
      </c>
      <c r="B18" t="str">
        <v>ГРЩ-ЖД</v>
      </c>
      <c r="C18" t="str">
        <v>QF11</v>
      </c>
      <c r="D18" t="str">
        <v>кабель ВВГнг(А)-LS (5х4) → Щит распределительный ЩР-2 Техэтаж этаж Пом. №3.001Т</v>
      </c>
      <c r="E18" t="str">
        <v>ЩР-2</v>
      </c>
      <c r="F18" t="str">
        <v>Щит распределительный ЩР-2 Техэтаж этаж Пом. №3.001Т</v>
      </c>
    </row>
    <row r="19" spans="1:6" x14ac:dyDescent="0.3">
      <c r="A19">
        <v>16</v>
      </c>
      <c r="B19" t="str">
        <v>ГРЩ-ЖД</v>
      </c>
      <c r="C19" t="str">
        <v>QF12</v>
      </c>
      <c r="D19" t="str">
        <v>кабель ВВГнг(А)-LS (5х10) → Щит бассейна ЩС-Б Подвальный этаж этаж Пом. №00.002Тб</v>
      </c>
      <c r="E19" t="str">
        <v>ЩС-Б</v>
      </c>
      <c r="F19" t="str">
        <v>Щит бассейна ЩС-Б Подвальный этаж этаж Пом. №00.002Тб</v>
      </c>
    </row>
    <row r="20" spans="1:6" x14ac:dyDescent="0.3">
      <c r="A20">
        <v>17</v>
      </c>
      <c r="B20" t="str">
        <v>ГРЩ-ЖД</v>
      </c>
      <c r="C20" t="str">
        <v>QF13</v>
      </c>
      <c r="D20" t="str">
        <v>кабель ВВГнг(А)-LS (3х4) → Щит дренажных насосов ЩС-ВК.001 Подвальный этаж этаж Пом. 00.002Т</v>
      </c>
      <c r="E20" t="str">
        <v>ЩС-ВК.001</v>
      </c>
      <c r="F20" t="str">
        <v>Щит дренажных насосов ЩС-ВК.001 Подвальный этаж этаж Пом. 00.002Т</v>
      </c>
    </row>
    <row r="21" spans="1:6" x14ac:dyDescent="0.3">
      <c r="A21">
        <v>18</v>
      </c>
      <c r="B21" t="str">
        <v>ГРЩ-ЖД</v>
      </c>
      <c r="C21" t="str">
        <v>QF14</v>
      </c>
      <c r="D21" t="str">
        <v>кабель ВВГнг(А)-LS (3х4) → Щит насосов ЩС-ВК.002 Подвальный этаж этаж Пом. №00.002Тб</v>
      </c>
      <c r="E21" t="str">
        <v>ЩС-ВК.002</v>
      </c>
      <c r="F21" t="str">
        <v>Щит насосов ЩС-ВК.002 Подвальный этаж этаж Пом. №00.002Тб</v>
      </c>
    </row>
    <row r="22" spans="1:6" x14ac:dyDescent="0.3">
      <c r="A22">
        <v>19</v>
      </c>
      <c r="B22" t="str">
        <v>ГРЩ-ЖД</v>
      </c>
      <c r="C22" t="str">
        <v>QF15</v>
      </c>
      <c r="D22" t="str">
        <v>кабель ВВГнг(А)-LS (3х4) → Щит насосов ЩС-ВК.003 Подвальный этаж этаж Пом. №00.006Т</v>
      </c>
      <c r="E22" t="str">
        <v>ЩС-ВК.003</v>
      </c>
      <c r="F22" t="str">
        <v>Щит насосов ЩС-ВК.003 Подвальный этаж этаж Пом. №00.006Т</v>
      </c>
    </row>
    <row r="23" spans="1:6" x14ac:dyDescent="0.3">
      <c r="A23">
        <v>20</v>
      </c>
      <c r="B23" t="str">
        <v>ГРЩ-ЖД</v>
      </c>
      <c r="C23" t="str">
        <v>QF16</v>
      </c>
      <c r="D23" t="str">
        <v>кабель ВВГнг(А)-LS (5х6) → Щит управления обогрева воронок ЩУОВ Тех. этаж этаж Пом. №3.001</v>
      </c>
      <c r="E23" t="str">
        <v>ЩУОВ</v>
      </c>
      <c r="F23" t="str">
        <v>Щит управления обогрева воронок ЩУОВ Тех. этаж этаж Пом. №3.001</v>
      </c>
    </row>
    <row r="24" spans="1:6" x14ac:dyDescent="0.3">
      <c r="A24">
        <v>21</v>
      </c>
      <c r="B24" t="str">
        <v>ГРЩ-ЖД</v>
      </c>
      <c r="C24" t="str">
        <v>QF17</v>
      </c>
      <c r="D24" t="str">
        <v>кабель 5хВВГнг(А)-LS  (1х95) → Щит профкухни ЩС-ПК Цокольный этаж этаж Пом. №0.0014Б</v>
      </c>
      <c r="E24" t="str">
        <v>ЩР-ПК</v>
      </c>
      <c r="F24" t="str">
        <v>Щит профкухни ЩС-ПК Цокольный этаж этаж Пом. №0.0014Б</v>
      </c>
    </row>
    <row r="25" spans="1:6" x14ac:dyDescent="0.3">
      <c r="A25">
        <v>22</v>
      </c>
      <c r="B25" t="str">
        <v>ГРЩ-ЖД</v>
      </c>
      <c r="C25" t="str">
        <v>QF18</v>
      </c>
      <c r="D25" t="str">
        <v>XT17</v>
      </c>
      <c r="E25" t="str">
        <v>РЩ-1</v>
      </c>
      <c r="F25" t="str">
        <v>Щит Хаммам РЩ-1  Подвальный этаж этаж Пом. №00.001Тб</v>
      </c>
    </row>
    <row r="26" spans="1:6" x14ac:dyDescent="0.3">
      <c r="A26">
        <v>23</v>
      </c>
      <c r="B26" t="str">
        <v>ГРЩ-ЖД</v>
      </c>
      <c r="C26" t="str">
        <v>XT17</v>
      </c>
      <c r="D26" t="str">
        <v>кабель ВВГнг(А)-LS (5х16) → Щит Хаммам РЩ-1  Подвальный этаж этаж Пом. №00.001Тб</v>
      </c>
      <c r="E26" t="str">
        <v>РЩ-1</v>
      </c>
      <c r="F26" t="str">
        <v>Щит Хаммам РЩ-1  Подвальный этаж этаж Пом. №00.001Тб</v>
      </c>
    </row>
    <row r="27" spans="1:6" x14ac:dyDescent="0.3">
      <c r="A27">
        <v>24</v>
      </c>
      <c r="B27" t="str">
        <v>ГРЩ-ЖД</v>
      </c>
      <c r="C27" t="str">
        <v>QF19</v>
      </c>
      <c r="D27" t="str">
        <v>XT18</v>
      </c>
      <c r="E27" t="str">
        <v>Э.4</v>
      </c>
      <c r="F27" t="str">
        <v>Флоатинг. Цокольный этаж этаж Пом. №023A</v>
      </c>
    </row>
    <row r="28" spans="1:6" x14ac:dyDescent="0.3">
      <c r="A28">
        <v>25</v>
      </c>
      <c r="B28" t="str">
        <v>ГРЩ-ЖД</v>
      </c>
      <c r="C28" t="str">
        <v>XT18</v>
      </c>
      <c r="D28" t="str">
        <v>кабель ВВГнг(А)-LS (3х6) → Флоатинг. Цокольный этаж этаж Пом. №023A</v>
      </c>
      <c r="E28" t="str">
        <v>Э.4</v>
      </c>
      <c r="F28" t="str">
        <v>Флоатинг. Цокольный этаж этаж Пом. №023A</v>
      </c>
    </row>
    <row r="29" spans="1:6" x14ac:dyDescent="0.3">
      <c r="A29">
        <v>26</v>
      </c>
      <c r="B29" t="str">
        <v>ГРЩ-ЖД</v>
      </c>
      <c r="C29" t="str">
        <v>QF20</v>
      </c>
      <c r="D29" t="str">
        <v>кабель ВВГнг(А)-LS (3х2,5) → Щит охранной сигнализации Подвальный этаж этаж Пом. №007Т</v>
      </c>
      <c r="E29" t="str">
        <v>SEC1-21</v>
      </c>
      <c r="F29" t="str">
        <v>Щит охранной сигнализации Подвальный этаж этаж Пом. №007Т</v>
      </c>
    </row>
    <row r="30" spans="1:6" x14ac:dyDescent="0.3">
      <c r="A30">
        <v>27</v>
      </c>
      <c r="B30" t="str">
        <v>ЩГП</v>
      </c>
      <c r="C30" t="str">
        <v>QF1</v>
      </c>
      <c r="D30" t="str">
        <v>XT1</v>
      </c>
      <c r="E30" t="str">
        <v>ЩО-001</v>
      </c>
      <c r="F30" t="str">
        <v>Щит освещения ЩО-2 Подвальный этаж этаж Пом. №3.001</v>
      </c>
    </row>
    <row r="31" spans="1:6" x14ac:dyDescent="0.3">
      <c r="A31">
        <v>28</v>
      </c>
      <c r="B31" t="str">
        <v>ЩГП</v>
      </c>
      <c r="C31" t="str">
        <v>XT1</v>
      </c>
      <c r="D31" t="str">
        <v>кабель ВВГнг(А)-LS (5х6) → Щит освещения ЩО-2 Подвальный этаж этаж Пом. №3.001</v>
      </c>
      <c r="E31" t="str">
        <v>ЩО-001</v>
      </c>
      <c r="F31" t="str">
        <v>Щит освещения ЩО-2 Подвальный этаж этаж Пом. №3.001</v>
      </c>
    </row>
    <row r="32" spans="1:6" x14ac:dyDescent="0.3">
      <c r="A32">
        <v>29</v>
      </c>
      <c r="B32" t="str">
        <v>ЩГП</v>
      </c>
      <c r="C32" t="str">
        <v>QF2</v>
      </c>
      <c r="D32" t="str">
        <v>XT2</v>
      </c>
      <c r="E32" t="str">
        <v>ЩО-01</v>
      </c>
      <c r="F32" t="str">
        <v>Щит освещения ЩО-2 Цокольный этаж этаж Пом. №001Т</v>
      </c>
    </row>
    <row r="33" spans="1:6" x14ac:dyDescent="0.3">
      <c r="A33">
        <v>30</v>
      </c>
      <c r="B33" t="str">
        <v>ЩГП</v>
      </c>
      <c r="C33" t="str">
        <v>XT2</v>
      </c>
      <c r="D33" t="str">
        <v>кабель ВВГнг(А)-LS (5х6) → Щит освещения ЩО-2 Цокольный этаж этаж Пом. №001Т</v>
      </c>
      <c r="E33" t="str">
        <v>ЩО-01</v>
      </c>
      <c r="F33" t="str">
        <v>Щит освещения ЩО-2 Цокольный этаж этаж Пом. №001Т</v>
      </c>
    </row>
    <row r="34" spans="1:6" x14ac:dyDescent="0.3">
      <c r="A34">
        <v>31</v>
      </c>
      <c r="B34" t="str">
        <v>ЩОВ-001</v>
      </c>
      <c r="C34" t="str">
        <v>QF1</v>
      </c>
      <c r="D34" t="str">
        <v>XT1</v>
      </c>
      <c r="E34" t="str">
        <v>В.3</v>
      </c>
      <c r="F34" t="str">
        <v>Вытяжная установка Пом №006T</v>
      </c>
    </row>
    <row r="35" spans="1:6" x14ac:dyDescent="0.3">
      <c r="A35">
        <v>32</v>
      </c>
      <c r="B35" t="str">
        <v>ЩОВ-001</v>
      </c>
      <c r="C35" t="str">
        <v>XT1</v>
      </c>
      <c r="D35" t="str">
        <v>кабель ВВГнг(А)-LS (3х1,5) → Вытяжная установка Пом №006T</v>
      </c>
      <c r="E35" t="str">
        <v>В.3</v>
      </c>
      <c r="F35" t="str">
        <v>Вытяжная установка Пом №006T</v>
      </c>
    </row>
    <row r="36" spans="1:6" x14ac:dyDescent="0.3">
      <c r="A36">
        <v>33</v>
      </c>
      <c r="B36" t="str">
        <v>ЩОВ-001</v>
      </c>
      <c r="C36" t="str">
        <v>QF2</v>
      </c>
      <c r="D36" t="str">
        <v>XT2</v>
      </c>
      <c r="E36" t="str">
        <v>В.9</v>
      </c>
      <c r="F36" t="str">
        <v>Вытяжная установка Пом №006T</v>
      </c>
    </row>
    <row r="37" spans="1:6" x14ac:dyDescent="0.3">
      <c r="A37">
        <v>34</v>
      </c>
      <c r="B37" t="str">
        <v>ЩОВ-001</v>
      </c>
      <c r="C37" t="str">
        <v>XT2</v>
      </c>
      <c r="D37" t="str">
        <v>кабель ВВГнг(А)-LS (3х1,5) → Вытяжная установка Пом №006T</v>
      </c>
      <c r="E37" t="str">
        <v>В.9</v>
      </c>
      <c r="F37" t="str">
        <v>Вытяжная установка Пом №006T</v>
      </c>
    </row>
    <row r="38" spans="1:6" x14ac:dyDescent="0.3">
      <c r="A38">
        <v>35</v>
      </c>
      <c r="B38" t="str">
        <v>ЩОВ-001</v>
      </c>
      <c r="C38" t="str">
        <v>QF3</v>
      </c>
      <c r="D38" t="str">
        <v>XT3</v>
      </c>
      <c r="E38" t="str">
        <v>В.11</v>
      </c>
      <c r="F38" t="str">
        <v>Вытяжная установка Подвальный этаж Пом №006T</v>
      </c>
    </row>
    <row r="39" spans="1:6" x14ac:dyDescent="0.3">
      <c r="A39">
        <v>36</v>
      </c>
      <c r="B39" t="str">
        <v>ЩОВ-001</v>
      </c>
      <c r="C39" t="str">
        <v>XT3</v>
      </c>
      <c r="D39" t="str">
        <v>кабель ВВГнг(А)-LS (3х1,5) → Вытяжная установка Подвальный этаж Пом №006T</v>
      </c>
      <c r="E39" t="str">
        <v>В.11</v>
      </c>
      <c r="F39" t="str">
        <v>Вытяжная установка Подвальный этаж Пом №006T</v>
      </c>
    </row>
    <row r="40" spans="1:6" x14ac:dyDescent="0.3">
      <c r="A40">
        <v>37</v>
      </c>
      <c r="B40" t="str">
        <v>ЩОВ-001</v>
      </c>
      <c r="C40" t="str">
        <v>QF4</v>
      </c>
      <c r="D40" t="str">
        <v>кабель ВВГнг(А)-LS (3х1,5) → Вытяжная установка Подвальный этаж Пом №006T</v>
      </c>
      <c r="E40" t="str">
        <v>В.12</v>
      </c>
      <c r="F40" t="str">
        <v>Вытяжная установка Подвальный этаж Пом №006T</v>
      </c>
    </row>
    <row r="41" spans="1:6" x14ac:dyDescent="0.3">
      <c r="A41">
        <v>38</v>
      </c>
      <c r="B41" t="str">
        <v>ЩОВ-001</v>
      </c>
      <c r="C41" t="str">
        <v>QF5</v>
      </c>
      <c r="D41" t="str">
        <v>XT5</v>
      </c>
      <c r="E41" t="str">
        <v>В.13</v>
      </c>
      <c r="F41" t="str">
        <v>Вытяжная установка Подвальный этаж Пом №006T</v>
      </c>
    </row>
    <row r="42" spans="1:6" x14ac:dyDescent="0.3">
      <c r="A42">
        <v>39</v>
      </c>
      <c r="B42" t="str">
        <v>ЩОВ-001</v>
      </c>
      <c r="C42" t="str">
        <v>XT5</v>
      </c>
      <c r="D42" t="str">
        <v>кабель ВВГнг(А)-LS (3х1,5) → Вытяжная установка Подвальный этаж Пом №006T</v>
      </c>
      <c r="E42" t="str">
        <v>В.13</v>
      </c>
      <c r="F42" t="str">
        <v>Вытяжная установка Подвальный этаж Пом №006T</v>
      </c>
    </row>
    <row r="43" spans="1:6" x14ac:dyDescent="0.3">
      <c r="A43">
        <v>40</v>
      </c>
      <c r="B43" t="str">
        <v>ЩОВ-001</v>
      </c>
      <c r="C43" t="str">
        <v>QF6</v>
      </c>
      <c r="D43" t="str">
        <v>кабель ВВГнг(А)-LS (3х1,5) → Вытяжная установка Подвальный этаж Пом №006T</v>
      </c>
      <c r="E43" t="str">
        <v>В.17</v>
      </c>
      <c r="F43" t="str">
        <v>Вытяжная установка Подвальный этаж Пом №006T</v>
      </c>
    </row>
    <row r="44" spans="1:6" x14ac:dyDescent="0.3">
      <c r="A44">
        <v>41</v>
      </c>
      <c r="B44" t="str">
        <v>ЩОВ-001</v>
      </c>
      <c r="C44" t="str">
        <v>QF7</v>
      </c>
      <c r="D44" t="str">
        <v>кабель ВВГнг(А)-LS (3х1,5) → Вытяжная установка Подвальный этаж Пом №006T</v>
      </c>
      <c r="E44" t="str">
        <v>В.18</v>
      </c>
      <c r="F44" t="str">
        <v>Вытяжная установка Подвальный этаж Пом №006T</v>
      </c>
    </row>
    <row r="45" spans="1:6" x14ac:dyDescent="0.3">
      <c r="A45">
        <v>42</v>
      </c>
      <c r="B45" t="str">
        <v>ЩОВ-001</v>
      </c>
      <c r="C45" t="str">
        <v>QF8</v>
      </c>
      <c r="D45" t="str">
        <v>кабель ВВГнг(А)-LS (3х1,5) → Приточная установка Пом №006Т</v>
      </c>
      <c r="E45" t="str">
        <v>П.1</v>
      </c>
      <c r="F45" t="str">
        <v>Приточная установка Пом №006Т</v>
      </c>
    </row>
    <row r="46" spans="1:6" x14ac:dyDescent="0.3">
      <c r="A46">
        <v>43</v>
      </c>
      <c r="B46" t="str">
        <v>ЩОВ-001</v>
      </c>
      <c r="C46" t="str">
        <v>QF9</v>
      </c>
      <c r="D46" t="str">
        <v>кабель ВВГнг(А)-LS (3х1,5) → Приточная установка Пом №006Т</v>
      </c>
      <c r="E46" t="str">
        <v>П.2</v>
      </c>
      <c r="F46" t="str">
        <v>Приточная установка Пом №006Т</v>
      </c>
    </row>
    <row r="47" spans="1:6" x14ac:dyDescent="0.3">
      <c r="A47">
        <v>44</v>
      </c>
      <c r="B47" t="str">
        <v>ЩОВ-001</v>
      </c>
      <c r="C47" t="str">
        <v>QF10</v>
      </c>
      <c r="D47" t="str">
        <v>кабель ВВГнг(А)-LS (3х1,5) → Приточная установка Пом №006Т</v>
      </c>
      <c r="E47" t="str">
        <v>П.4</v>
      </c>
      <c r="F47" t="str">
        <v>Приточная установка Пом №006Т</v>
      </c>
    </row>
    <row r="48" spans="1:6" x14ac:dyDescent="0.3">
      <c r="A48">
        <v>45</v>
      </c>
      <c r="B48" t="str">
        <v>ЩОВ-001</v>
      </c>
      <c r="C48" t="str">
        <v>QF11</v>
      </c>
      <c r="D48" t="str">
        <v>кабель ВВГнг(А)-LS (3х2,5) → Приточно-вытяжная установка Подвальный этаж Пом. №006Т</v>
      </c>
      <c r="E48" t="str">
        <v>ПВ.2</v>
      </c>
      <c r="F48" t="str">
        <v>Приточно-вытяжная установка Подвальный этаж Пом. №006Т</v>
      </c>
    </row>
    <row r="49" spans="1:6" x14ac:dyDescent="0.3">
      <c r="A49">
        <v>46</v>
      </c>
      <c r="B49" t="str">
        <v>ЩОВ-001</v>
      </c>
      <c r="C49" t="str">
        <v>QF12</v>
      </c>
      <c r="D49" t="str">
        <v>кабель ВВГнг(А)-LS (3х1,5) → Приточно-вытяжная установка Подвальный этаж Пом. №006Т</v>
      </c>
      <c r="E49" t="str">
        <v>ПВ.3</v>
      </c>
      <c r="F49" t="str">
        <v>Приточно-вытяжная установка Подвальный этаж Пом. №006Т</v>
      </c>
    </row>
    <row r="50" spans="1:6" x14ac:dyDescent="0.3">
      <c r="A50">
        <v>47</v>
      </c>
      <c r="B50" t="str">
        <v>ЩОВ-001</v>
      </c>
      <c r="C50" t="str">
        <v>QF13</v>
      </c>
      <c r="D50" t="str">
        <v>кабель ВВГнг(А)-LS (3х1,5) → Приточно-вытяжная установка Подвальный этаж Пом. №006Т</v>
      </c>
      <c r="E50" t="str">
        <v>ПВ.4</v>
      </c>
      <c r="F50" t="str">
        <v>Приточно-вытяжная установка Подвальный этаж Пом. №006Т</v>
      </c>
    </row>
    <row r="51" spans="1:6" x14ac:dyDescent="0.3">
      <c r="A51">
        <v>48</v>
      </c>
      <c r="B51" t="str">
        <v>ЩОВ-001</v>
      </c>
      <c r="C51" t="str">
        <v>QF14</v>
      </c>
      <c r="D51" t="str">
        <v>кабель ВВГнг(А)-LS (3х1,5) → Внутренний блок кондиционера Подвальный этаж Пом. №006Т</v>
      </c>
      <c r="E51" t="str">
        <v>К.1.017А.1</v>
      </c>
      <c r="F51" t="str">
        <v>Внутренний блок кондиционера Подвальный этаж Пом. №006Т</v>
      </c>
    </row>
    <row r="52" spans="1:6" x14ac:dyDescent="0.3">
      <c r="A52">
        <v>49</v>
      </c>
      <c r="B52" t="str">
        <v>ЩОВ-001</v>
      </c>
      <c r="C52" t="str">
        <v>QF15</v>
      </c>
      <c r="D52" t="str">
        <v>кабель ВВГнг(А)-LS (3х1,5) → Внутренний блок кондиционера Подвальный этаж Пом. №006Т</v>
      </c>
      <c r="E52" t="str">
        <v>К.1.021А.1</v>
      </c>
      <c r="F52" t="str">
        <v>Внутренний блок кондиционера Подвальный этаж Пом. №006Т</v>
      </c>
    </row>
    <row r="53" spans="1:6" x14ac:dyDescent="0.3">
      <c r="A53">
        <v>50</v>
      </c>
      <c r="B53" t="str">
        <v>ЩОВ-001</v>
      </c>
      <c r="C53" t="str">
        <v>QF16</v>
      </c>
      <c r="D53" t="str">
        <v>кабель ВВГнг(А)-LS (3х2,5) → Внешний блок кондиционирования Пом. Венткиосок</v>
      </c>
      <c r="E53" t="str">
        <v>K.1</v>
      </c>
      <c r="F53" t="str">
        <v>Внешний блок кондиционирования Пом. Венткиосок</v>
      </c>
    </row>
    <row r="54" spans="1:6" x14ac:dyDescent="0.3">
      <c r="A54">
        <v>51</v>
      </c>
      <c r="B54" t="str">
        <v>ЩОВ-001</v>
      </c>
      <c r="C54" t="str">
        <v>QF17</v>
      </c>
      <c r="D54" t="str">
        <v>кабель ВВГнг(А)-LS (3х2,5) → Внешний блок кондиционирования Пом. Венткиосок</v>
      </c>
      <c r="E54" t="str">
        <v>K.2</v>
      </c>
      <c r="F54" t="str">
        <v>Внешний блок кондиционирования Пом. Венткиосок</v>
      </c>
    </row>
    <row r="55" spans="1:6" x14ac:dyDescent="0.3">
      <c r="A55">
        <v>52</v>
      </c>
      <c r="B55" t="str">
        <v>ЩОВ-001</v>
      </c>
      <c r="C55" t="str">
        <v>QF18</v>
      </c>
      <c r="D55" t="str">
        <v>кабель ВВГнг(А)-LS (3х2,5) → Внешний блок кондиционирования Пом. Венткиосок</v>
      </c>
      <c r="E55" t="str">
        <v>K.3</v>
      </c>
      <c r="F55" t="str">
        <v>Внешний блок кондиционирования Пом. Венткиосок</v>
      </c>
    </row>
    <row r="56" spans="1:6" x14ac:dyDescent="0.3">
      <c r="A56">
        <v>53</v>
      </c>
      <c r="B56" t="str">
        <v>ЩОВ-001</v>
      </c>
      <c r="C56" t="str">
        <v>QF19</v>
      </c>
      <c r="D56" t="str">
        <v>XT19</v>
      </c>
      <c r="E56" t="str">
        <v>K.4</v>
      </c>
      <c r="F56" t="str">
        <v>Внешний блок кондиционирования Пом. Венткиосок</v>
      </c>
    </row>
    <row r="57" spans="1:6" x14ac:dyDescent="0.3">
      <c r="A57">
        <v>54</v>
      </c>
      <c r="B57" t="str">
        <v>ЩОВ-001</v>
      </c>
      <c r="C57" t="str">
        <v>XT19</v>
      </c>
      <c r="D57" t="str">
        <v>кабель ВВГнг(А)-LS (3х2,5) → Внешний блок кондиционирования Пом. Венткиосок</v>
      </c>
      <c r="E57" t="str">
        <v>K.4</v>
      </c>
      <c r="F57" t="str">
        <v>Внешний блок кондиционирования Пом. Венткиосок</v>
      </c>
    </row>
    <row r="58" spans="1:6" x14ac:dyDescent="0.3">
      <c r="A58">
        <v>55</v>
      </c>
      <c r="B58" t="str">
        <v>ЩОВ-001</v>
      </c>
      <c r="C58" t="str">
        <v>QF20</v>
      </c>
      <c r="D58" t="str">
        <v>XT20</v>
      </c>
      <c r="E58" t="str">
        <v>K.5</v>
      </c>
      <c r="F58" t="str">
        <v>Внешний блок кондиционирования Пом. Венткиосок</v>
      </c>
    </row>
    <row r="59" spans="1:6" x14ac:dyDescent="0.3">
      <c r="A59">
        <v>56</v>
      </c>
      <c r="B59" t="str">
        <v>ЩОВ-001</v>
      </c>
      <c r="C59" t="str">
        <v>XT20</v>
      </c>
      <c r="D59" t="str">
        <v>кабель ВВГнг(А)-LS (3х2,5) → Внешний блок кондиционирования Пом. Венткиосок</v>
      </c>
      <c r="E59" t="str">
        <v>K.5</v>
      </c>
      <c r="F59" t="str">
        <v>Внешний блок кондиционирования Пом. Венткиосок</v>
      </c>
    </row>
    <row r="60" spans="1:6" x14ac:dyDescent="0.3">
      <c r="A60">
        <v>57</v>
      </c>
      <c r="B60" t="str">
        <v>ЩОВ-001</v>
      </c>
      <c r="C60" t="str">
        <v>QF21</v>
      </c>
      <c r="D60" t="str">
        <v>кабель ВВГнг(А)-LS (3х2,5) → Внешний блок кондиционирования Пом. Венткиосок</v>
      </c>
      <c r="E60" t="str">
        <v>K.6</v>
      </c>
      <c r="F60" t="str">
        <v>Внешний блок кондиционирования Пом. Венткиосок</v>
      </c>
    </row>
    <row r="61" spans="1:6" x14ac:dyDescent="0.3">
      <c r="A61">
        <v>58</v>
      </c>
      <c r="B61" t="str">
        <v>ЩОВ-001</v>
      </c>
      <c r="C61" t="str">
        <v>QF22</v>
      </c>
      <c r="D61" t="str">
        <v>кабель ВВГнг(А)-LS (3х2,5) → Внешний блок кондиционирования Пом. Венткиосок</v>
      </c>
      <c r="E61" t="str">
        <v>K.7</v>
      </c>
      <c r="F61" t="str">
        <v>Внешний блок кондиционирования Пом. Венткиосок</v>
      </c>
    </row>
    <row r="62" spans="1:6" x14ac:dyDescent="0.3">
      <c r="A62">
        <v>59</v>
      </c>
      <c r="B62" t="str">
        <v>ЩОВ-001</v>
      </c>
      <c r="C62" t="str">
        <v>QF23</v>
      </c>
      <c r="D62" t="str">
        <v>кабель ВВГнг(А)-LS (3х2,5) → Внешний блок кондиционирования Пом. Венткиосок</v>
      </c>
      <c r="E62" t="str">
        <v>K.8</v>
      </c>
      <c r="F62" t="str">
        <v>Внешний блок кондиционирования Пом. Венткиосок</v>
      </c>
    </row>
    <row r="63" spans="1:6" x14ac:dyDescent="0.3">
      <c r="A63">
        <v>60</v>
      </c>
      <c r="B63" t="str">
        <v>ЩОВ-001</v>
      </c>
      <c r="C63" t="str">
        <v>QF24</v>
      </c>
      <c r="D63" t="str">
        <v>кабель ВВГнг(А)-LS (3х2,5) → Внешний блок кондиционирования Пом. Венткиосок</v>
      </c>
      <c r="E63" t="str">
        <v>K.9</v>
      </c>
      <c r="F63" t="str">
        <v>Внешний блок кондиционирования Пом. Венткиосок</v>
      </c>
    </row>
    <row r="64" spans="1:6" x14ac:dyDescent="0.3">
      <c r="A64">
        <v>61</v>
      </c>
      <c r="B64" t="str">
        <v>ЩОВ-001</v>
      </c>
      <c r="C64" t="str">
        <v>QF25</v>
      </c>
      <c r="D64" t="str">
        <v>кабель ВВГнг(А)-LS (3х2,5) → Внешний блок кондиционирования Пом. Венткиосок</v>
      </c>
      <c r="E64" t="str">
        <v>K.10</v>
      </c>
      <c r="F64" t="str">
        <v>Внешний блок кондиционирования Пом. Венткиосок</v>
      </c>
    </row>
    <row r="65" spans="1:6" x14ac:dyDescent="0.3">
      <c r="A65">
        <v>62</v>
      </c>
      <c r="B65" t="str">
        <v>ЩОВ-001</v>
      </c>
      <c r="C65" t="str">
        <v>QF26</v>
      </c>
      <c r="D65" t="str">
        <v>кабель ВВГнг(А)-LS (3х2,5) → Внешний блок кондиционирования Пом. Венткиосок</v>
      </c>
      <c r="E65" t="str">
        <v>K.11</v>
      </c>
      <c r="F65" t="str">
        <v>Внешний блок кондиционирования Пом. Венткиосок</v>
      </c>
    </row>
    <row r="66" spans="1:6" x14ac:dyDescent="0.3">
      <c r="A66">
        <v>63</v>
      </c>
      <c r="B66" t="str">
        <v>ЩОВ-001</v>
      </c>
      <c r="C66" t="str">
        <v>QF27</v>
      </c>
      <c r="D66" t="str">
        <v>кабель ВВГнг(А)-LS (5х25) → Внешний блок кондиционирования Пом. Венткиосок</v>
      </c>
      <c r="E66" t="str">
        <v>ККБ-1</v>
      </c>
      <c r="F66" t="str">
        <v>Внешний блок кондиционирования Пом. Венткиосок</v>
      </c>
    </row>
    <row r="67" spans="1:6" x14ac:dyDescent="0.3">
      <c r="A67">
        <v>64</v>
      </c>
      <c r="B67" t="str">
        <v>ЩОВ-001</v>
      </c>
      <c r="C67" t="str">
        <v>QF28</v>
      </c>
      <c r="D67" t="str">
        <v>XT28</v>
      </c>
      <c r="E67" t="str">
        <v>ККБ-2</v>
      </c>
      <c r="F67" t="str">
        <v>Внешний блок кондиционирования Пом. Венткиосок</v>
      </c>
    </row>
    <row r="68" spans="1:6" x14ac:dyDescent="0.3">
      <c r="A68">
        <v>65</v>
      </c>
      <c r="B68" t="str">
        <v>ЩОВ-001</v>
      </c>
      <c r="C68" t="str">
        <v>XT28</v>
      </c>
      <c r="D68" t="str">
        <v>кабель ВВГнг(А)-LS (5х25) → Внешний блок кондиционирования Пом. Венткиосок</v>
      </c>
      <c r="E68" t="str">
        <v>ККБ-2</v>
      </c>
      <c r="F68" t="str">
        <v>Внешний блок кондиционирования Пом. Венткиосок</v>
      </c>
    </row>
    <row r="69" spans="1:6" x14ac:dyDescent="0.3">
      <c r="A69">
        <v>66</v>
      </c>
      <c r="B69" t="str">
        <v>ЩОВ-001</v>
      </c>
      <c r="C69" t="str">
        <v>QF29</v>
      </c>
      <c r="D69" t="str">
        <v>XT29</v>
      </c>
      <c r="E69" t="str">
        <v>НБ-1</v>
      </c>
      <c r="F69" t="str">
        <v>Внешний блок кондиционирования Пом. Венткиосок</v>
      </c>
    </row>
    <row r="70" spans="1:6" x14ac:dyDescent="0.3">
      <c r="A70">
        <v>67</v>
      </c>
      <c r="B70" t="str">
        <v>ЩОВ-001</v>
      </c>
      <c r="C70" t="str">
        <v>XT29</v>
      </c>
      <c r="D70" t="str">
        <v>кабель ВВГнг(А)-LS (5х25) → Внешний блок кондиционирования Пом. Венткиосок</v>
      </c>
      <c r="E70" t="str">
        <v>НБ-1</v>
      </c>
      <c r="F70" t="str">
        <v>Внешний блок кондиционирования Пом. Венткиосок</v>
      </c>
    </row>
    <row r="71" spans="1:6" x14ac:dyDescent="0.3">
      <c r="A71">
        <v>68</v>
      </c>
      <c r="B71" t="str">
        <v>ЩОВ-001</v>
      </c>
      <c r="C71" t="str">
        <v>QF30</v>
      </c>
      <c r="D71" t="str">
        <v>XT30</v>
      </c>
      <c r="E71" t="str">
        <v>ККБ-3</v>
      </c>
      <c r="F71" t="str">
        <v>Внешний блок кондиционирования Пом. Венткиосок</v>
      </c>
    </row>
    <row r="72" spans="1:6" x14ac:dyDescent="0.3">
      <c r="A72">
        <v>69</v>
      </c>
      <c r="B72" t="str">
        <v>ЩОВ-001</v>
      </c>
      <c r="C72" t="str">
        <v>XT30</v>
      </c>
      <c r="D72" t="str">
        <v>кабель ВВГнг(А)-LS (5х25) → Внешний блок кондиционирования Пом. Венткиосок</v>
      </c>
      <c r="E72" t="str">
        <v>ККБ-3</v>
      </c>
      <c r="F72" t="str">
        <v>Внешний блок кондиционирования Пом. Венткиосок</v>
      </c>
    </row>
    <row r="73" spans="1:6" x14ac:dyDescent="0.3">
      <c r="A73">
        <v>70</v>
      </c>
      <c r="B73" t="str">
        <v>ЩОВ-001</v>
      </c>
      <c r="C73" t="str">
        <v>QF31</v>
      </c>
      <c r="D73" t="str">
        <v>XT31</v>
      </c>
      <c r="E73" t="str">
        <v>ККБ-4</v>
      </c>
      <c r="F73" t="str">
        <v>Внешний блок кондиционирования Пом. Венткиосок</v>
      </c>
    </row>
    <row r="74" spans="1:6" x14ac:dyDescent="0.3">
      <c r="A74">
        <v>71</v>
      </c>
      <c r="B74" t="str">
        <v>ЩОВ-001</v>
      </c>
      <c r="C74" t="str">
        <v>XT31</v>
      </c>
      <c r="D74" t="str">
        <v>кабель ВВГнг(А)-LS (5х25) → Внешний блок кондиционирования Пом. Венткиосок</v>
      </c>
      <c r="E74" t="str">
        <v>ККБ-4</v>
      </c>
      <c r="F74" t="str">
        <v>Внешний блок кондиционирования Пом. Венткиосок</v>
      </c>
    </row>
    <row r="75" spans="1:6" x14ac:dyDescent="0.3">
      <c r="A75">
        <v>72</v>
      </c>
      <c r="B75" t="str">
        <v>ЩОВ-001</v>
      </c>
      <c r="C75" t="str">
        <v>QF32</v>
      </c>
      <c r="D75" t="str">
        <v>XT32</v>
      </c>
      <c r="E75" t="str">
        <v>НБ-2</v>
      </c>
      <c r="F75" t="str">
        <v>Внешний блок кондиционирования Пом. Венткиосок</v>
      </c>
    </row>
    <row r="76" spans="1:6" x14ac:dyDescent="0.3">
      <c r="A76">
        <v>73</v>
      </c>
      <c r="B76" t="str">
        <v>ЩОВ-001</v>
      </c>
      <c r="C76" t="str">
        <v>XT32</v>
      </c>
      <c r="D76" t="str">
        <v>кабель ВВГнг(А)-LS (5х25) → Внешний блок кондиционирования Пом. Венткиосок</v>
      </c>
      <c r="E76" t="str">
        <v>НБ-2</v>
      </c>
      <c r="F76" t="str">
        <v>Внешний блок кондиционирования Пом. Венткиосок</v>
      </c>
    </row>
    <row r="77" spans="1:6" x14ac:dyDescent="0.3">
      <c r="A77">
        <v>74</v>
      </c>
      <c r="B77" t="str">
        <v>ЩОВ-001</v>
      </c>
      <c r="C77" t="str">
        <v>QF33</v>
      </c>
      <c r="D77" t="str">
        <v>XT33</v>
      </c>
      <c r="E77" t="str">
        <v>НБ-3</v>
      </c>
      <c r="F77" t="str">
        <v>Внешний блок кондиционирования Пом. Венткиосок</v>
      </c>
    </row>
    <row r="78" spans="1:6" x14ac:dyDescent="0.3">
      <c r="A78">
        <v>75</v>
      </c>
      <c r="B78" t="str">
        <v>ЩОВ-001</v>
      </c>
      <c r="C78" t="str">
        <v>XT33</v>
      </c>
      <c r="D78" t="str">
        <v>кабель ВВГнг(А)-LS (5х6) → Внешний блок кондиционирования Пом. Венткиосок</v>
      </c>
      <c r="E78" t="str">
        <v>НБ-3</v>
      </c>
      <c r="F78" t="str">
        <v>Внешний блок кондиционирования Пом. Венткиосок</v>
      </c>
    </row>
    <row r="79" spans="1:6" x14ac:dyDescent="0.3">
      <c r="A79">
        <v>76</v>
      </c>
      <c r="B79" t="str">
        <v>ЩОВ-001</v>
      </c>
      <c r="C79" t="str">
        <v>QF34</v>
      </c>
      <c r="D79" t="str">
        <v>XT34</v>
      </c>
      <c r="E79" t="str">
        <v>НБ-4</v>
      </c>
      <c r="F79" t="str">
        <v>Внешний блок кондиционирования Пом. Венткиосок</v>
      </c>
    </row>
    <row r="80" spans="1:6" x14ac:dyDescent="0.3">
      <c r="A80">
        <v>77</v>
      </c>
      <c r="B80" t="str">
        <v>ЩОВ-001</v>
      </c>
      <c r="C80" t="str">
        <v>XT34</v>
      </c>
      <c r="D80" t="str">
        <v>кабель ВВГнг(А)-LS (5х4) → Внешний блок кондиционирования Пом. Венткиосок</v>
      </c>
      <c r="E80" t="str">
        <v>НБ-4</v>
      </c>
      <c r="F80" t="str">
        <v>Внешний блок кондиционирования Пом. Венткиосок</v>
      </c>
    </row>
    <row r="81" spans="1:6" x14ac:dyDescent="0.3">
      <c r="A81">
        <v>78</v>
      </c>
      <c r="B81" t="str">
        <v>ЩОВ-002</v>
      </c>
      <c r="C81" t="str">
        <v>QF1</v>
      </c>
      <c r="D81" t="str">
        <v>кабель ВВГнг(А)-LS (3х1,5) → Вытяжная установка Шлейф Подвальный этаж Пом. №003Т</v>
      </c>
      <c r="E81" t="str">
        <v>В.7</v>
      </c>
      <c r="F81" t="str">
        <v>Вытяжная установка Шлейф Подвальный этаж Пом. №003Т</v>
      </c>
    </row>
    <row r="82" spans="1:6" x14ac:dyDescent="0.3">
      <c r="A82">
        <v>79</v>
      </c>
      <c r="B82" t="str">
        <v>ЩОВ-002</v>
      </c>
      <c r="C82" t="str">
        <v>QF2</v>
      </c>
      <c r="D82" t="str">
        <v>XT2</v>
      </c>
      <c r="E82" t="str">
        <v>ПВ.1</v>
      </c>
      <c r="F82" t="str">
        <v>Приточно-вытяжная установка Подвальный этаж Пом. №003Т</v>
      </c>
    </row>
    <row r="83" spans="1:6" x14ac:dyDescent="0.3">
      <c r="A83">
        <v>80</v>
      </c>
      <c r="B83" t="str">
        <v>ЩОВ-002</v>
      </c>
      <c r="C83" t="str">
        <v>XT2</v>
      </c>
      <c r="D83" t="str">
        <v>кабель ВВГнг(А)-LS (3х2,5) → Приточно-вытяжная установка Подвальный этаж Пом. №003Т</v>
      </c>
      <c r="E83" t="str">
        <v>ПВ.1</v>
      </c>
      <c r="F83" t="str">
        <v>Приточно-вытяжная установка Подвальный этаж Пом. №003Т</v>
      </c>
    </row>
    <row r="84" spans="1:6" x14ac:dyDescent="0.3">
      <c r="A84">
        <v>81</v>
      </c>
      <c r="B84" t="str">
        <v>ЩОВ-002</v>
      </c>
      <c r="C84" t="str">
        <v>QF3</v>
      </c>
      <c r="D84" t="str">
        <v>кабель ВВГнг(А)-LS (3х1,5) → Приточно-вытяжная установка Подвальный этаж Пом. №003Т</v>
      </c>
      <c r="E84" t="str">
        <v>ПВ.К</v>
      </c>
      <c r="F84" t="str">
        <v>Приточно-вытяжная установка Подвальный этаж Пом. №003Т</v>
      </c>
    </row>
    <row r="85" spans="1:6" x14ac:dyDescent="0.3">
      <c r="A85">
        <v>82</v>
      </c>
      <c r="B85" t="str">
        <v>ЩОВ-002</v>
      </c>
      <c r="C85" t="str">
        <v>QF4</v>
      </c>
      <c r="D85" t="str">
        <v>кабель ВВГнг(А)-LS (3х4) → Приточно-вытяжная установка Подвальный этаж Пом. №005Т</v>
      </c>
      <c r="E85" t="str">
        <v>ПВ.10</v>
      </c>
      <c r="F85" t="str">
        <v>Приточно-вытяжная установка Подвальный этаж Пом. №005Т</v>
      </c>
    </row>
    <row r="86" spans="1:6" x14ac:dyDescent="0.3">
      <c r="A86">
        <v>83</v>
      </c>
      <c r="B86" t="str">
        <v>ЩОВ-002</v>
      </c>
      <c r="C86" t="str">
        <v>QF5</v>
      </c>
      <c r="D86" t="str">
        <v>кабель ВВГнг(А)-LS (3х1,5) → Внутренний блок кондиционирования Подвальный этаж Пом. №005Т</v>
      </c>
      <c r="E86" t="str">
        <v>K.0.002A</v>
      </c>
      <c r="F86" t="str">
        <v>Внутренний блок кондиционирования Подвальный этаж Пом. №005Т</v>
      </c>
    </row>
    <row r="87" spans="1:6" x14ac:dyDescent="0.3">
      <c r="A87">
        <v>84</v>
      </c>
      <c r="B87" t="str">
        <v>ЩОВ-002</v>
      </c>
      <c r="C87" t="str">
        <v>QF6</v>
      </c>
      <c r="D87" t="str">
        <v>кабель ВВГнг(А)-LS (3х1,5) → Внутренний блок кондиционирования Подвальный этаж Пом. №005Т</v>
      </c>
      <c r="E87" t="str">
        <v>K.0.006A</v>
      </c>
      <c r="F87" t="str">
        <v>Внутренний блок кондиционирования Подвальный этаж Пом. №005Т</v>
      </c>
    </row>
    <row r="88" spans="1:6" x14ac:dyDescent="0.3">
      <c r="A88">
        <v>85</v>
      </c>
      <c r="B88" t="str">
        <v>ЩОВ-002</v>
      </c>
      <c r="C88" t="str">
        <v>QF7</v>
      </c>
      <c r="D88" t="str">
        <v>кабель ВВГнг(А)-LS (3х1,5) → Внутренний блок кондиционирования Подвальный этаж Пом. №005Т</v>
      </c>
      <c r="E88" t="str">
        <v>K.00.001A</v>
      </c>
      <c r="F88" t="str">
        <v>Внутренний блок кондиционирования Подвальный этаж Пом. №005Т</v>
      </c>
    </row>
    <row r="89" spans="1:6" x14ac:dyDescent="0.3">
      <c r="A89">
        <v>86</v>
      </c>
      <c r="B89" t="str">
        <v>ЩОВ-002</v>
      </c>
      <c r="C89" t="str">
        <v>QF8</v>
      </c>
      <c r="D89" t="str">
        <v>кабель ВВГнг(А)-LS (3х1,5) → Внутренний блок кондиционирования Подвальный этаж Пом. №002Б</v>
      </c>
      <c r="E89" t="str">
        <v>K.00.004A</v>
      </c>
      <c r="F89" t="str">
        <v>Внутренний блок кондиционирования Подвальный этаж Пом. №002Б</v>
      </c>
    </row>
    <row r="90" spans="1:6" x14ac:dyDescent="0.3">
      <c r="A90">
        <v>87</v>
      </c>
      <c r="B90" t="str">
        <v>ЩОВ-002</v>
      </c>
      <c r="C90" t="str">
        <v>QF9</v>
      </c>
      <c r="D90" t="str">
        <v>кабель ВВГнг(А)-LS (3х1,5) → Внутренний блок кондиционирования Подвальный этаж Пом. №004Т</v>
      </c>
      <c r="E90" t="str">
        <v>K.00.004T.1</v>
      </c>
      <c r="F90" t="str">
        <v>Внутренний блок кондиционирования Подвальный этаж Пом. №004Т</v>
      </c>
    </row>
    <row r="91" spans="1:6" x14ac:dyDescent="0.3">
      <c r="A91">
        <v>88</v>
      </c>
      <c r="B91" t="str">
        <v>ЩОВ-002</v>
      </c>
      <c r="C91" t="str">
        <v>QF10</v>
      </c>
      <c r="D91" t="str">
        <v>кабель ВВГнг(А)-LS (3х1,5) → Внутренний блок кондиционирования Подвальный этаж Пом. №004Т</v>
      </c>
      <c r="E91" t="str">
        <v>K.00.004T.2</v>
      </c>
      <c r="F91" t="str">
        <v>Внутренний блок кондиционирования Подвальный этаж Пом. №004Т</v>
      </c>
    </row>
    <row r="92" spans="1:6" x14ac:dyDescent="0.3">
      <c r="A92">
        <v>89</v>
      </c>
      <c r="B92" t="str">
        <v>ЩОВ-002</v>
      </c>
      <c r="C92" t="str">
        <v>QF11</v>
      </c>
      <c r="D92" t="str">
        <v>кабель ВВГнг(А)-LS (3х1,5) → Внутренний блок кондиционирования Подвальный этаж Пом. №002Б</v>
      </c>
      <c r="E92" t="str">
        <v>K.00.007A</v>
      </c>
      <c r="F92" t="str">
        <v>Внутренний блок кондиционирования Подвальный этаж Пом. №002Б</v>
      </c>
    </row>
    <row r="93" spans="1:6" x14ac:dyDescent="0.3">
      <c r="A93">
        <v>90</v>
      </c>
      <c r="B93" t="str">
        <v>ЩОВ-002</v>
      </c>
      <c r="C93" t="str">
        <v>QF12</v>
      </c>
      <c r="D93" t="str">
        <v>кабель ВВГнг(А)-LS (3х1,5) → Внутренний блок кондиционирования Подвальный этаж Пом. №007Т</v>
      </c>
      <c r="E93" t="str">
        <v>K.00.007T.1</v>
      </c>
      <c r="F93" t="str">
        <v>Внутренний блок кондиционирования Подвальный этаж Пом. №007Т</v>
      </c>
    </row>
    <row r="94" spans="1:6" x14ac:dyDescent="0.3">
      <c r="A94">
        <v>91</v>
      </c>
      <c r="B94" t="str">
        <v>ЩОВ-002</v>
      </c>
      <c r="C94" t="str">
        <v>QF13</v>
      </c>
      <c r="D94" t="str">
        <v>кабель ВВГнг(А)-LS (3х1,5) → Внутренний блок кондиционирования Подвальный этаж Пом. №007Т</v>
      </c>
      <c r="E94" t="str">
        <v>K.00.007T.2</v>
      </c>
      <c r="F94" t="str">
        <v>Внутренний блок кондиционирования Подвальный этаж Пом. №007Т</v>
      </c>
    </row>
    <row r="95" spans="1:6" x14ac:dyDescent="0.3">
      <c r="A95">
        <v>92</v>
      </c>
      <c r="B95" t="str">
        <v>ЩОВ-01</v>
      </c>
      <c r="C95" t="str">
        <v>QF1</v>
      </c>
      <c r="D95" t="str">
        <v>XT1</v>
      </c>
      <c r="E95" t="str">
        <v>П.6</v>
      </c>
      <c r="F95" t="str">
        <v>Приточная установка Цокольный этаж Пом №001Тб</v>
      </c>
    </row>
    <row r="96" spans="1:6" x14ac:dyDescent="0.3">
      <c r="A96">
        <v>93</v>
      </c>
      <c r="B96" t="str">
        <v>ЩОВ-01</v>
      </c>
      <c r="C96" t="str">
        <v>XT1</v>
      </c>
      <c r="D96" t="str">
        <v>кабель ВВГнг(А)-LS (3х1,5) → Приточная установка Цокольный этаж Пом №001Тб</v>
      </c>
      <c r="E96" t="str">
        <v>П.6</v>
      </c>
      <c r="F96" t="str">
        <v>Приточная установка Цокольный этаж Пом №001Тб</v>
      </c>
    </row>
    <row r="97" spans="1:6" x14ac:dyDescent="0.3">
      <c r="A97">
        <v>94</v>
      </c>
      <c r="B97" t="str">
        <v>ЩОВ-01</v>
      </c>
      <c r="C97" t="str">
        <v>QF2</v>
      </c>
      <c r="D97" t="str">
        <v>XT2</v>
      </c>
      <c r="E97" t="str">
        <v>ПВ.6</v>
      </c>
      <c r="F97" t="str">
        <v>Приточно-вытяжная установка цокольный этаж Пом №001Тб</v>
      </c>
    </row>
    <row r="98" spans="1:6" x14ac:dyDescent="0.3">
      <c r="A98">
        <v>95</v>
      </c>
      <c r="B98" t="str">
        <v>ЩОВ-01</v>
      </c>
      <c r="C98" t="str">
        <v>XT2</v>
      </c>
      <c r="D98" t="str">
        <v>кабель ВВГнг(А)-LS (5х2,5) → Приточно-вытяжная установка цокольный этаж Пом №001Тб</v>
      </c>
      <c r="E98" t="str">
        <v>ПВ.6</v>
      </c>
      <c r="F98" t="str">
        <v>Приточно-вытяжная установка цокольный этаж Пом №001Тб</v>
      </c>
    </row>
    <row r="99" spans="1:6" x14ac:dyDescent="0.3">
      <c r="A99">
        <v>96</v>
      </c>
      <c r="B99" t="str">
        <v>ЩОВ-01</v>
      </c>
      <c r="C99" t="str">
        <v>QF3</v>
      </c>
      <c r="D99" t="str">
        <v>XT3</v>
      </c>
      <c r="E99" t="str">
        <v>ПВ.9</v>
      </c>
      <c r="F99" t="str">
        <v>Приточно-вытяжная установка цокольный этаж Пом №001Тб</v>
      </c>
    </row>
    <row r="100" spans="1:6" x14ac:dyDescent="0.3">
      <c r="A100">
        <v>97</v>
      </c>
      <c r="B100" t="str">
        <v>ЩОВ-01</v>
      </c>
      <c r="C100" t="str">
        <v>XT3</v>
      </c>
      <c r="D100" t="str">
        <v>кабель ВВГнг(А)-LS (3х1,5) → Приточно-вытяжная установка цокольный этаж Пом №001Тб</v>
      </c>
      <c r="E100" t="str">
        <v>ПВ.9</v>
      </c>
      <c r="F100" t="str">
        <v>Приточно-вытяжная установка цокольный этаж Пом №001Тб</v>
      </c>
    </row>
    <row r="101" spans="1:6" x14ac:dyDescent="0.3">
      <c r="A101">
        <v>98</v>
      </c>
      <c r="B101" t="str">
        <v>ЩОВ-01</v>
      </c>
      <c r="C101" t="str">
        <v>QF4</v>
      </c>
      <c r="D101" t="str">
        <v>XT4</v>
      </c>
      <c r="E101" t="str">
        <v>В.2</v>
      </c>
      <c r="F101" t="str">
        <v>Вытяжная установка Пом. №003Б</v>
      </c>
    </row>
    <row r="102" spans="1:6" x14ac:dyDescent="0.3">
      <c r="A102">
        <v>99</v>
      </c>
      <c r="B102" t="str">
        <v>ЩОВ-01</v>
      </c>
      <c r="C102" t="str">
        <v>XT4</v>
      </c>
      <c r="D102" t="str">
        <v>кабель ВВГнг(А)-LS (3х1,5) → Вытяжная установка Пом. №003Б</v>
      </c>
      <c r="E102" t="str">
        <v>В.2</v>
      </c>
      <c r="F102" t="str">
        <v>Вытяжная установка Пом. №003Б</v>
      </c>
    </row>
    <row r="103" spans="1:6" x14ac:dyDescent="0.3">
      <c r="A103">
        <v>100</v>
      </c>
      <c r="B103" t="str">
        <v>ЩОВ-01</v>
      </c>
      <c r="C103" t="str">
        <v>QF5</v>
      </c>
      <c r="D103" t="str">
        <v>кабель ВВГнг(А)-LS (3х1,5) → Вытяжная установка Пом. №019Б</v>
      </c>
      <c r="E103" t="str">
        <v>В.10</v>
      </c>
      <c r="F103" t="str">
        <v>Вытяжная установка Пом. №019Б</v>
      </c>
    </row>
    <row r="104" spans="1:6" x14ac:dyDescent="0.3">
      <c r="A104">
        <v>101</v>
      </c>
      <c r="B104" t="str">
        <v>ЩОВ-01</v>
      </c>
      <c r="C104" t="str">
        <v>QF6</v>
      </c>
      <c r="D104" t="str">
        <v>XT6</v>
      </c>
      <c r="E104" t="str">
        <v>В.24</v>
      </c>
      <c r="F104" t="str">
        <v>Внутренний блок кондиционирования подвальный этаж Пом. №0001Тб</v>
      </c>
    </row>
    <row r="105" spans="1:6" x14ac:dyDescent="0.3">
      <c r="A105">
        <v>102</v>
      </c>
      <c r="B105" t="str">
        <v>ЩОВ-01</v>
      </c>
      <c r="C105" t="str">
        <v>XT6</v>
      </c>
      <c r="D105" t="str">
        <v>кабель ВВГнг(А)-LS (3х1,5) → Внутренний блок кондиционирования подвальный этаж Пом. №0001Тб</v>
      </c>
      <c r="E105" t="str">
        <v>В.24</v>
      </c>
      <c r="F105" t="str">
        <v>Внутренний блок кондиционирования подвальный этаж Пом. №0001Тб</v>
      </c>
    </row>
    <row r="106" spans="1:6" x14ac:dyDescent="0.3">
      <c r="A106">
        <v>103</v>
      </c>
      <c r="B106" t="str">
        <v>ЩОВ-01</v>
      </c>
      <c r="C106" t="str">
        <v>QF7</v>
      </c>
      <c r="D106" t="str">
        <v>кабель ВВГнг(А)-LS (3х1,5) → Внутренний блок кондиционирования подвальный этаж Пом. №01Тб</v>
      </c>
      <c r="E106" t="str">
        <v>В.25</v>
      </c>
      <c r="F106" t="str">
        <v>Внутренний блок кондиционирования подвальный этаж Пом. №01Тб</v>
      </c>
    </row>
    <row r="107" spans="1:6" x14ac:dyDescent="0.3">
      <c r="A107">
        <v>104</v>
      </c>
      <c r="B107" t="str">
        <v>ЩОВ-01</v>
      </c>
      <c r="C107" t="str">
        <v>QF8</v>
      </c>
      <c r="D107" t="str">
        <v>кабель ВВГнг(А)-LS (3х1,5) → Внутренний блок кондиционирования цокольный этаж Пом. №001Т</v>
      </c>
      <c r="E107" t="str">
        <v>K.0.001T.1</v>
      </c>
      <c r="F107" t="str">
        <v>Внутренний блок кондиционирования цокольный этаж Пом. №001Т</v>
      </c>
    </row>
    <row r="108" spans="1:6" x14ac:dyDescent="0.3">
      <c r="A108">
        <v>105</v>
      </c>
      <c r="B108" t="str">
        <v>ЩОВ-01</v>
      </c>
      <c r="C108" t="str">
        <v>QF9</v>
      </c>
      <c r="D108" t="str">
        <v>кабель ВВГнг(А)-LS (3х1,5) → Внутренний блок кондиционирования цокольный этаж Пом. №001Т</v>
      </c>
      <c r="E108" t="str">
        <v>K.0.001T.2</v>
      </c>
      <c r="F108" t="str">
        <v>Внутренний блок кондиционирования цокольный этаж Пом. №001Т</v>
      </c>
    </row>
    <row r="109" spans="1:6" x14ac:dyDescent="0.3">
      <c r="A109">
        <v>106</v>
      </c>
      <c r="B109" t="str">
        <v>ЩОВ-01</v>
      </c>
      <c r="C109" t="str">
        <v>QF10</v>
      </c>
      <c r="D109" t="str">
        <v>кабель ВВГнг(А)-LS (3х1,5) → Внутренний блок кондиционирования цокольный этаж Пом. №002Т</v>
      </c>
      <c r="E109" t="str">
        <v>K.0.002T.1</v>
      </c>
      <c r="F109" t="str">
        <v>Внутренний блок кондиционирования цокольный этаж Пом. №002Т</v>
      </c>
    </row>
    <row r="110" spans="1:6" x14ac:dyDescent="0.3">
      <c r="A110">
        <v>107</v>
      </c>
      <c r="B110" t="str">
        <v>ЩОВ-01</v>
      </c>
      <c r="C110" t="str">
        <v>QF11</v>
      </c>
      <c r="D110" t="str">
        <v>кабель ВВГнг(А)-LS (3х1,5) → Внутренний блок кондиционирования цокольный этаж Пом. №002Т</v>
      </c>
      <c r="E110" t="str">
        <v>K.0.002T.2</v>
      </c>
      <c r="F110" t="str">
        <v>Внутренний блок кондиционирования цокольный этаж Пом. №002Т</v>
      </c>
    </row>
    <row r="111" spans="1:6" x14ac:dyDescent="0.3">
      <c r="A111">
        <v>108</v>
      </c>
      <c r="B111" t="str">
        <v>ЩОВ-01</v>
      </c>
      <c r="C111" t="str">
        <v>QF12</v>
      </c>
      <c r="D111" t="str">
        <v>кабель ВВГнг(А)-LS (3х1,5) → Внутренний блок кондиционирования цокольный этаж Пом. №013.1Б</v>
      </c>
      <c r="E111" t="str">
        <v>K.0.004A-K.0.005A</v>
      </c>
      <c r="F111" t="str">
        <v>Внутренний блок кондиционирования цокольный этаж Пом. №013.1Б</v>
      </c>
    </row>
    <row r="112" spans="1:6" x14ac:dyDescent="0.3">
      <c r="A112">
        <v>109</v>
      </c>
      <c r="B112" t="str">
        <v>ЩОВ-01</v>
      </c>
      <c r="C112" t="str">
        <v>QF13</v>
      </c>
      <c r="D112" t="str">
        <v>кабель ВВГнг(А)-LS (3х1,5) → Внутренний блок кондиционирования цокольный этаж Пом. №005Б</v>
      </c>
      <c r="E112" t="str">
        <v>K.0.005Б.1</v>
      </c>
      <c r="F112" t="str">
        <v>Внутренний блок кондиционирования цокольный этаж Пом. №005Б</v>
      </c>
    </row>
    <row r="113" spans="1:6" x14ac:dyDescent="0.3">
      <c r="A113">
        <v>110</v>
      </c>
      <c r="B113" t="str">
        <v>ЩОВ-01</v>
      </c>
      <c r="C113" t="str">
        <v>QF14</v>
      </c>
      <c r="D113" t="str">
        <v>кабель ВВГнг(А)-LS (3х1,5) → Внутренний блок кондиционирования цокольный этаж Пом. №005Б</v>
      </c>
      <c r="E113" t="str">
        <v>K.0.005Б.2</v>
      </c>
      <c r="F113" t="str">
        <v>Внутренний блок кондиционирования цокольный этаж Пом. №005Б</v>
      </c>
    </row>
    <row r="114" spans="1:6" x14ac:dyDescent="0.3">
      <c r="A114">
        <v>111</v>
      </c>
      <c r="B114" t="str">
        <v>ЩОВ-01</v>
      </c>
      <c r="C114" t="str">
        <v>QF15</v>
      </c>
      <c r="D114" t="str">
        <v>кабель ВВГнг(А)-LS (3х1,5) → Внутренний блок кондиционирования цокольный этаж Пом. №014Б</v>
      </c>
      <c r="E114" t="str">
        <v>K.0.006A</v>
      </c>
      <c r="F114" t="str">
        <v>Внутренний блок кондиционирования цокольный этаж Пом. №014Б</v>
      </c>
    </row>
    <row r="115" spans="1:6" x14ac:dyDescent="0.3">
      <c r="A115">
        <v>112</v>
      </c>
      <c r="B115" t="str">
        <v>ЩОВ-01</v>
      </c>
      <c r="C115" t="str">
        <v>QF16</v>
      </c>
      <c r="D115" t="str">
        <v>кабель ВВГнг(А)-LS (3х1,5) → Внутренний блок кондиционирования цокольный этаж Пом. №014Б</v>
      </c>
      <c r="E115" t="str">
        <v>K.0.008A</v>
      </c>
      <c r="F115" t="str">
        <v>Внутренний блок кондиционирования цокольный этаж Пом. №014Б</v>
      </c>
    </row>
    <row r="116" spans="1:6" x14ac:dyDescent="0.3">
      <c r="A116">
        <v>113</v>
      </c>
      <c r="B116" t="str">
        <v>ЩОВ-01</v>
      </c>
      <c r="C116" t="str">
        <v>QF17</v>
      </c>
      <c r="D116" t="str">
        <v>кабель ВВГнг(А)-LS (3х1,5) → Внутренний блок кондиционирования цокольный этаж Пом. №012Б</v>
      </c>
      <c r="E116" t="str">
        <v>K.0.012Б</v>
      </c>
      <c r="F116" t="str">
        <v>Внутренний блок кондиционирования цокольный этаж Пом. №012Б</v>
      </c>
    </row>
    <row r="117" spans="1:6" x14ac:dyDescent="0.3">
      <c r="A117">
        <v>114</v>
      </c>
      <c r="B117" t="str">
        <v>ЩОВ-01</v>
      </c>
      <c r="C117" t="str">
        <v>QF18</v>
      </c>
      <c r="D117" t="str">
        <v>кабель ВВГнг(А)-LS (3х1,5) → Внутренний блок кондиционирования подвальный этаж Пом. №001Т</v>
      </c>
      <c r="E117" t="str">
        <v>K.1.002AБ.1</v>
      </c>
      <c r="F117" t="str">
        <v>Внутренний блок кондиционирования подвальный этаж Пом. №001Т</v>
      </c>
    </row>
    <row r="118" spans="1:6" x14ac:dyDescent="0.3">
      <c r="A118">
        <v>115</v>
      </c>
      <c r="B118" t="str">
        <v>ЩОВ-01</v>
      </c>
      <c r="C118" t="str">
        <v>QF19</v>
      </c>
      <c r="D118" t="str">
        <v>кабель ВВГнг(А)-LS (3х1,5) → Внутренний блок кондиционирования подвальный этаж Пом. №001Т</v>
      </c>
      <c r="E118" t="str">
        <v>K.1.002AБ.2</v>
      </c>
      <c r="F118" t="str">
        <v>Внутренний блок кондиционирования подвальный этаж Пом. №001Т</v>
      </c>
    </row>
    <row r="119" spans="1:6" x14ac:dyDescent="0.3">
      <c r="A119">
        <v>116</v>
      </c>
      <c r="B119" t="str">
        <v>ЩОВ-01</v>
      </c>
      <c r="C119" t="str">
        <v>QF20</v>
      </c>
      <c r="D119" t="str">
        <v>XT20</v>
      </c>
      <c r="E119" t="str">
        <v>K.1.006A</v>
      </c>
      <c r="F119" t="str">
        <v>Внутренний блок кондиционирования подвальный этаж Пом. №001Т</v>
      </c>
    </row>
    <row r="120" spans="1:6" x14ac:dyDescent="0.3">
      <c r="A120">
        <v>117</v>
      </c>
      <c r="B120" t="str">
        <v>ЩОВ-01</v>
      </c>
      <c r="C120" t="str">
        <v>XT20</v>
      </c>
      <c r="D120" t="str">
        <v>кабель ВВГнг(А)-LS (3х1,5) → Внутренний блок кондиционирования подвальный этаж Пом. №001Т</v>
      </c>
      <c r="E120" t="str">
        <v>K.1.006A</v>
      </c>
      <c r="F120" t="str">
        <v>Внутренний блок кондиционирования подвальный этаж Пом. №001Т</v>
      </c>
    </row>
    <row r="121" spans="1:6" x14ac:dyDescent="0.3">
      <c r="A121">
        <v>118</v>
      </c>
      <c r="B121" t="str">
        <v>ЩОВ-01</v>
      </c>
      <c r="C121" t="str">
        <v>QF21</v>
      </c>
      <c r="D121" t="str">
        <v>XT21</v>
      </c>
      <c r="E121" t="str">
        <v>K.1.002Б</v>
      </c>
      <c r="F121" t="str">
        <v>Внутренний блок кондиционирования первый этаж Пом. №002Б</v>
      </c>
    </row>
    <row r="122" spans="1:6" x14ac:dyDescent="0.3">
      <c r="A122">
        <v>119</v>
      </c>
      <c r="B122" t="str">
        <v>ЩОВ-01</v>
      </c>
      <c r="C122" t="str">
        <v>XT21</v>
      </c>
      <c r="D122" t="str">
        <v>кабель ВВГнг(А)-LS (3х1,5) → Внутренний блок кондиционирования первый этаж Пом. №002Б</v>
      </c>
      <c r="E122" t="str">
        <v>K.1.002Б</v>
      </c>
      <c r="F122" t="str">
        <v>Внутренний блок кондиционирования первый этаж Пом. №002Б</v>
      </c>
    </row>
    <row r="123" spans="1:6" x14ac:dyDescent="0.3">
      <c r="A123">
        <v>120</v>
      </c>
      <c r="B123" t="str">
        <v>ЩОВ-01</v>
      </c>
      <c r="C123" t="str">
        <v>QF22</v>
      </c>
      <c r="D123" t="str">
        <v>кабель ВВГнг(А)-LS (3х1,5) → Внутренний блок кондиционирования первый этаж Пом. №003Б</v>
      </c>
      <c r="E123" t="str">
        <v>K.1.007A</v>
      </c>
      <c r="F123" t="str">
        <v>Внутренний блок кондиционирования первый этаж Пом. №003Б</v>
      </c>
    </row>
    <row r="124" spans="1:6" x14ac:dyDescent="0.3">
      <c r="A124">
        <v>121</v>
      </c>
      <c r="B124" t="str">
        <v>ЩОВ-01</v>
      </c>
      <c r="C124" t="str">
        <v>QF23</v>
      </c>
      <c r="D124" t="str">
        <v>кабель ВВГнг(А)-LS (3х1,5) → Внутренний блок кондиционирования первый этаж Пом. №003Б</v>
      </c>
      <c r="E124" t="str">
        <v>K.1.010A</v>
      </c>
      <c r="F124" t="str">
        <v>Внутренний блок кондиционирования первый этаж Пом. №003Б</v>
      </c>
    </row>
    <row r="125" spans="1:6" x14ac:dyDescent="0.3">
      <c r="A125">
        <v>122</v>
      </c>
      <c r="B125" t="str">
        <v>ЩОВ-01</v>
      </c>
      <c r="C125" t="str">
        <v>QF24</v>
      </c>
      <c r="D125" t="str">
        <v>кабель ВВГнг(А)-LS (3х1,5) → Внутренний блок кондиционирования первый этаж Пом. №002Б</v>
      </c>
      <c r="E125" t="str">
        <v>K.1.011A</v>
      </c>
      <c r="F125" t="str">
        <v>Внутренний блок кондиционирования первый этаж Пом. №002Б</v>
      </c>
    </row>
    <row r="126" spans="1:6" x14ac:dyDescent="0.3">
      <c r="A126">
        <v>123</v>
      </c>
      <c r="B126" t="str">
        <v>ЩОВ-01</v>
      </c>
      <c r="C126" t="str">
        <v>QF25</v>
      </c>
      <c r="D126" t="str">
        <v>кабель ВВГнг(А)-LS (3х1,5) → Внутренний блок кондиционирования первый этаж Пом. №002Б</v>
      </c>
      <c r="E126" t="str">
        <v>K.1.014A</v>
      </c>
      <c r="F126" t="str">
        <v>Внутренний блок кондиционирования первый этаж Пом. №002Б</v>
      </c>
    </row>
    <row r="127" spans="1:6" x14ac:dyDescent="0.3">
      <c r="A127">
        <v>124</v>
      </c>
      <c r="B127" t="str">
        <v>ЩОВ-01</v>
      </c>
      <c r="C127" t="str">
        <v>QF26</v>
      </c>
      <c r="D127" t="str">
        <v>кабель ВВГнг(А)-LS (3х1,5) → Внутренний блок кондиционирования первый этаж Пом. №002Б</v>
      </c>
      <c r="E127" t="str">
        <v>K.1.015A</v>
      </c>
      <c r="F127" t="str">
        <v>Внутренний блок кондиционирования первый этаж Пом. №002Б</v>
      </c>
    </row>
    <row r="128" spans="1:6" x14ac:dyDescent="0.3">
      <c r="A128">
        <v>125</v>
      </c>
      <c r="B128" t="str">
        <v>ЩОВ-2</v>
      </c>
      <c r="C128" t="str">
        <v>QF1</v>
      </c>
      <c r="D128" t="str">
        <v>XT1</v>
      </c>
      <c r="E128" t="str">
        <v>K.1.001A.1</v>
      </c>
      <c r="F128" t="str">
        <v>Внутренний блок кондиционирования Технический этаж Пом. №001Т</v>
      </c>
    </row>
    <row r="129" spans="1:6" x14ac:dyDescent="0.3">
      <c r="A129">
        <v>126</v>
      </c>
      <c r="B129" t="str">
        <v>ЩОВ-2</v>
      </c>
      <c r="C129" t="str">
        <v>XT1</v>
      </c>
      <c r="D129" t="str">
        <v>кабель ВВГнг(А)-LS (3х1,5) → Внутренний блок кондиционирования Технический этаж Пом. №001Т</v>
      </c>
      <c r="E129" t="str">
        <v>K.1.001A.1</v>
      </c>
      <c r="F129" t="str">
        <v>Внутренний блок кондиционирования Технический этаж Пом. №001Т</v>
      </c>
    </row>
    <row r="130" spans="1:6" x14ac:dyDescent="0.3">
      <c r="A130">
        <v>127</v>
      </c>
      <c r="B130" t="str">
        <v>ЩОВ-2</v>
      </c>
      <c r="C130" t="str">
        <v>QF2</v>
      </c>
      <c r="D130" t="str">
        <v>XT2</v>
      </c>
      <c r="E130" t="str">
        <v>K.1.001A.2</v>
      </c>
      <c r="F130" t="str">
        <v>Внутренний блок кондиционирования Технический этаж Пом. №001Т</v>
      </c>
    </row>
    <row r="131" spans="1:6" x14ac:dyDescent="0.3">
      <c r="A131">
        <v>128</v>
      </c>
      <c r="B131" t="str">
        <v>ЩОВ-2</v>
      </c>
      <c r="C131" t="str">
        <v>XT2</v>
      </c>
      <c r="D131" t="str">
        <v>кабель ВВГнг(А)-LS (3х1,5) → Внутренний блок кондиционирования Технический этаж Пом. №001Т</v>
      </c>
      <c r="E131" t="str">
        <v>K.1.001A.2</v>
      </c>
      <c r="F131" t="str">
        <v>Внутренний блок кондиционирования Технический этаж Пом. №001Т</v>
      </c>
    </row>
    <row r="132" spans="1:6" x14ac:dyDescent="0.3">
      <c r="A132">
        <v>129</v>
      </c>
      <c r="B132" t="str">
        <v>ЩОВ-2</v>
      </c>
      <c r="C132" t="str">
        <v>QF3</v>
      </c>
      <c r="D132" t="str">
        <v>XT3</v>
      </c>
      <c r="E132" t="str">
        <v>K.1.003A</v>
      </c>
      <c r="F132" t="str">
        <v>Внутренний блок кондиционирования Технический этаж Пом. №002Т</v>
      </c>
    </row>
    <row r="133" spans="1:6" x14ac:dyDescent="0.3">
      <c r="A133">
        <v>130</v>
      </c>
      <c r="B133" t="str">
        <v>ЩОВ-2</v>
      </c>
      <c r="C133" t="str">
        <v>XT3</v>
      </c>
      <c r="D133" t="str">
        <v>кабель ВВГнг(А)-LS (3х1,5) → Внутренний блок кондиционирования Технический этаж Пом. №002Т</v>
      </c>
      <c r="E133" t="str">
        <v>K.1.003A</v>
      </c>
      <c r="F133" t="str">
        <v>Внутренний блок кондиционирования Технический этаж Пом. №002Т</v>
      </c>
    </row>
    <row r="134" spans="1:6" x14ac:dyDescent="0.3">
      <c r="A134">
        <v>131</v>
      </c>
      <c r="B134" t="str">
        <v>ЩОВ-2</v>
      </c>
      <c r="C134" t="str">
        <v>QF4</v>
      </c>
      <c r="D134" t="str">
        <v>XT4</v>
      </c>
      <c r="E134" t="str">
        <v>K.1.005A</v>
      </c>
      <c r="F134" t="str">
        <v>Внутренний блок кондиционирования Технический этаж Пом. №001Т</v>
      </c>
    </row>
    <row r="135" spans="1:6" x14ac:dyDescent="0.3">
      <c r="A135">
        <v>132</v>
      </c>
      <c r="B135" t="str">
        <v>ЩОВ-2</v>
      </c>
      <c r="C135" t="str">
        <v>XT4</v>
      </c>
      <c r="D135" t="str">
        <v>кабель ВВГнг(А)-LS (3х1,5) → Внутренний блок кондиционирования Технический этаж Пом. №001Т</v>
      </c>
      <c r="E135" t="str">
        <v>K.1.005A</v>
      </c>
      <c r="F135" t="str">
        <v>Внутренний блок кондиционирования Технический этаж Пом. №001Т</v>
      </c>
    </row>
    <row r="136" spans="1:6" x14ac:dyDescent="0.3">
      <c r="A136">
        <v>133</v>
      </c>
      <c r="B136" t="str">
        <v>ЩОВ-2</v>
      </c>
      <c r="C136" t="str">
        <v>QF5</v>
      </c>
      <c r="D136" t="str">
        <v>кабель ВВГнг(А)-LS (3х1,5) → Внутренний блок кондиционирования Технический этаж Пом. №002Т</v>
      </c>
      <c r="E136" t="str">
        <v>K.2.004A</v>
      </c>
      <c r="F136" t="str">
        <v>Внутренний блок кондиционирования Технический этаж Пом. №002Т</v>
      </c>
    </row>
    <row r="137" spans="1:6" x14ac:dyDescent="0.3">
      <c r="A137">
        <v>134</v>
      </c>
      <c r="B137" t="str">
        <v>ЩОВ-2</v>
      </c>
      <c r="C137" t="str">
        <v>QF6</v>
      </c>
      <c r="D137" t="str">
        <v>XT6</v>
      </c>
      <c r="E137" t="str">
        <v>K.2.005A</v>
      </c>
      <c r="F137" t="str">
        <v>Внутренний блок кондиционирования Технический этаж Пом. №002Т</v>
      </c>
    </row>
    <row r="138" spans="1:6" x14ac:dyDescent="0.3">
      <c r="A138">
        <v>135</v>
      </c>
      <c r="B138" t="str">
        <v>ЩОВ-2</v>
      </c>
      <c r="C138" t="str">
        <v>XT6</v>
      </c>
      <c r="D138" t="str">
        <v>кабель ВВГнг(А)-LS (3х1,5) → Внутренний блок кондиционирования Технический этаж Пом. №002Т</v>
      </c>
      <c r="E138" t="str">
        <v>K.2.005A</v>
      </c>
      <c r="F138" t="str">
        <v>Внутренний блок кондиционирования Технический этаж Пом. №002Т</v>
      </c>
    </row>
    <row r="139" spans="1:6" x14ac:dyDescent="0.3">
      <c r="A139">
        <v>136</v>
      </c>
      <c r="B139" t="str">
        <v>ЩОВ-2</v>
      </c>
      <c r="C139" t="str">
        <v>QF7</v>
      </c>
      <c r="D139" t="str">
        <v>кабель ВВГнг(А)-LS (3х1,5) → Внутренний блок кондиционирования Технический этаж Пом. №002Т</v>
      </c>
      <c r="E139" t="str">
        <v>K.2.008A</v>
      </c>
      <c r="F139" t="str">
        <v>Внутренний блок кондиционирования Технический этаж Пом. №002Т</v>
      </c>
    </row>
    <row r="140" spans="1:6" x14ac:dyDescent="0.3">
      <c r="A140">
        <v>137</v>
      </c>
      <c r="B140" t="str">
        <v>ЩОВ-2</v>
      </c>
      <c r="C140" t="str">
        <v>QF8</v>
      </c>
      <c r="D140" t="str">
        <v>кабель ВВГнг(А)-LS (3х1,5) → Внутренний блок кондиционирования Технический этаж Пом. №002Т</v>
      </c>
      <c r="E140" t="str">
        <v>K.2.009A</v>
      </c>
      <c r="F140" t="str">
        <v>Внутренний блок кондиционирования Технический этаж Пом. №002Т</v>
      </c>
    </row>
    <row r="141" spans="1:6" x14ac:dyDescent="0.3">
      <c r="A141">
        <v>138</v>
      </c>
      <c r="B141" t="str">
        <v>ЩОВ-2</v>
      </c>
      <c r="C141" t="str">
        <v>QF9</v>
      </c>
      <c r="D141" t="str">
        <v>кабель ВВГнг(А)-LS (3х1,5) → Внутренний блок кондиционирования Технический этаж Пом. №002Т</v>
      </c>
      <c r="E141" t="str">
        <v>K.2.014A</v>
      </c>
      <c r="F141" t="str">
        <v>Внутренний блок кондиционирования Технический этаж Пом. №002Т</v>
      </c>
    </row>
    <row r="142" spans="1:6" x14ac:dyDescent="0.3">
      <c r="A142">
        <v>139</v>
      </c>
      <c r="B142" t="str">
        <v>ЩОВ-2</v>
      </c>
      <c r="C142" t="str">
        <v>QF10</v>
      </c>
      <c r="D142" t="str">
        <v>кабель ВВГнг(А)-LS (3х1,5) → Внутренний блок кондиционирования Технический этаж Пом. №001Б</v>
      </c>
      <c r="E142" t="str">
        <v>K.2.016A</v>
      </c>
      <c r="F142" t="str">
        <v>Внутренний блок кондиционирования Технический этаж Пом. №001Б</v>
      </c>
    </row>
    <row r="143" spans="1:6" x14ac:dyDescent="0.3">
      <c r="A143">
        <v>140</v>
      </c>
      <c r="B143" t="str">
        <v>ЩОВ-2</v>
      </c>
      <c r="C143" t="str">
        <v>QF11</v>
      </c>
      <c r="D143" t="str">
        <v>кабель ВВГнг(А)-LS (3х1,5) → Внутренний блок кондиционирования Технический этаж Пом. №003Т</v>
      </c>
      <c r="E143" t="str">
        <v>K.2.019A</v>
      </c>
      <c r="F143" t="str">
        <v>Внутренний блок кондиционирования Технический этаж Пом. №003Т</v>
      </c>
    </row>
    <row r="144" spans="1:6" x14ac:dyDescent="0.3">
      <c r="A144">
        <v>141</v>
      </c>
      <c r="B144" t="str">
        <v>ЩОВ-2</v>
      </c>
      <c r="C144" t="str">
        <v>QF12</v>
      </c>
      <c r="D144" t="str">
        <v>кабель ВВГнг(А)-LS (3х1,5) → Внутренний блок кондиционирования Технический этаж Пом. №003Т</v>
      </c>
      <c r="E144" t="str">
        <v>K.3.002Б</v>
      </c>
      <c r="F144" t="str">
        <v>Внутренний блок кондиционирования Технический этаж Пом. №003Т</v>
      </c>
    </row>
    <row r="145" spans="1:6" x14ac:dyDescent="0.3">
      <c r="A145">
        <v>142</v>
      </c>
      <c r="B145" t="str">
        <v>ЩОВ-2</v>
      </c>
      <c r="C145" t="str">
        <v>QF13</v>
      </c>
      <c r="D145" t="str">
        <v>кабель ВВГнг(А)-LS (3х1,5) → Внутренний блок кондиционирования Технический этаж Пом. №004Т</v>
      </c>
      <c r="E145" t="str">
        <v>K.3.004T.1</v>
      </c>
      <c r="F145" t="str">
        <v>Внутренний блок кондиционирования Технический этаж Пом. №004Т</v>
      </c>
    </row>
    <row r="146" spans="1:6" x14ac:dyDescent="0.3">
      <c r="A146">
        <v>143</v>
      </c>
      <c r="B146" t="str">
        <v>ЩОВ-2</v>
      </c>
      <c r="C146" t="str">
        <v>QF14</v>
      </c>
      <c r="D146" t="str">
        <v>кабель ВВГнг(А)-LS (3х1,5) → Внутренний блок кондиционирования Технический этаж Пом. №004Т</v>
      </c>
      <c r="E146" t="str">
        <v>K.3.004T.2</v>
      </c>
      <c r="F146" t="str">
        <v>Внутренний блок кондиционирования Технический этаж Пом. №004Т</v>
      </c>
    </row>
    <row r="147" spans="1:6" x14ac:dyDescent="0.3">
      <c r="A147">
        <v>144</v>
      </c>
      <c r="B147" t="str">
        <v>ЩОВ-2</v>
      </c>
      <c r="C147" t="str">
        <v>QF15</v>
      </c>
      <c r="D147" t="str">
        <v>кабель ВВГнг(А)-LS (3х1,5) → Вытяжная установка Технический этаж Пом. №001Т</v>
      </c>
      <c r="E147" t="str">
        <v>В.1</v>
      </c>
      <c r="F147" t="str">
        <v>Вытяжная установка Технический этаж Пом. №001Т</v>
      </c>
    </row>
    <row r="148" spans="1:6" x14ac:dyDescent="0.3">
      <c r="A148">
        <v>145</v>
      </c>
      <c r="B148" t="str">
        <v>ЩОВ-2</v>
      </c>
      <c r="C148" t="str">
        <v>QF16</v>
      </c>
      <c r="D148" t="str">
        <v>кабель ВВГнг(А)-LS (3х1,5) → Вытяжная установка Технический этаж Пом. №001Т</v>
      </c>
      <c r="E148" t="str">
        <v>В.22</v>
      </c>
      <c r="F148" t="str">
        <v>Вытяжная установка Технический этаж Пом. №001Т</v>
      </c>
    </row>
    <row r="149" spans="1:6" x14ac:dyDescent="0.3">
      <c r="A149">
        <v>146</v>
      </c>
      <c r="B149" t="str">
        <v>ЩОВ-2</v>
      </c>
      <c r="C149" t="str">
        <v>QF17</v>
      </c>
      <c r="D149" t="str">
        <v>кабель ВВГнг(А)-LS (3х1,5) → Вытяжная установка Технический этаж Пом. №001Т</v>
      </c>
      <c r="E149" t="str">
        <v>В.23</v>
      </c>
      <c r="F149" t="str">
        <v>Вытяжная установка Технический этаж Пом. №001Т</v>
      </c>
    </row>
    <row r="150" spans="1:6" x14ac:dyDescent="0.3">
      <c r="A150">
        <v>147</v>
      </c>
      <c r="B150" t="str">
        <v>ЩОВ-2</v>
      </c>
      <c r="C150" t="str">
        <v>QF18</v>
      </c>
      <c r="D150" t="str">
        <v>кабель ВВГнг(А)-LS (3х1,5) → Вытяжная установка Технический этаж Пом. №001Т</v>
      </c>
      <c r="E150" t="str">
        <v>В.8</v>
      </c>
      <c r="F150" t="str">
        <v>Вытяжная установка Технический этаж Пом. №001Т</v>
      </c>
    </row>
    <row r="151" spans="1:6" x14ac:dyDescent="0.3">
      <c r="A151">
        <v>148</v>
      </c>
      <c r="B151" t="str">
        <v>ЩОВ-2</v>
      </c>
      <c r="C151" t="str">
        <v>QF19</v>
      </c>
      <c r="D151" t="str">
        <v>кабель ВВГнг(А)-LS (3х2,5) → Приточная установка Технический этаж Пом. №001Т</v>
      </c>
      <c r="E151" t="str">
        <v>П.3</v>
      </c>
      <c r="F151" t="str">
        <v>Приточная установка Технический этаж Пом. №001Т</v>
      </c>
    </row>
    <row r="152" spans="1:6" x14ac:dyDescent="0.3">
      <c r="A152">
        <v>149</v>
      </c>
      <c r="B152" t="str">
        <v>ЩОВ-2</v>
      </c>
      <c r="C152" t="str">
        <v>QF20</v>
      </c>
      <c r="D152" t="str">
        <v>XT20</v>
      </c>
      <c r="E152" t="str">
        <v>П.5</v>
      </c>
      <c r="F152" t="str">
        <v>Приточная установка Технический этаж Пом. №001Т</v>
      </c>
    </row>
    <row r="153" spans="1:6" x14ac:dyDescent="0.3">
      <c r="A153">
        <v>150</v>
      </c>
      <c r="B153" t="str">
        <v>ЩОВ-2</v>
      </c>
      <c r="C153" t="str">
        <v>XT20</v>
      </c>
      <c r="D153" t="str">
        <v>кабель ВВГнг(А)-LS (3х2,5) → Приточная установка Технический этаж Пом. №001Т</v>
      </c>
      <c r="E153" t="str">
        <v>П.5</v>
      </c>
      <c r="F153" t="str">
        <v>Приточная установка Технический этаж Пом. №001Т</v>
      </c>
    </row>
    <row r="154" spans="1:6" x14ac:dyDescent="0.3">
      <c r="A154">
        <v>151</v>
      </c>
      <c r="B154" t="str">
        <v>ЩОВ-2</v>
      </c>
      <c r="C154" t="str">
        <v>QF21</v>
      </c>
      <c r="D154" t="str">
        <v>XT21</v>
      </c>
      <c r="E154" t="str">
        <v>ПВ.5</v>
      </c>
      <c r="F154" t="str">
        <v>Приточно-вытяжная установка Технический этаж Пом. №001Т</v>
      </c>
    </row>
    <row r="155" spans="1:6" x14ac:dyDescent="0.3">
      <c r="A155">
        <v>152</v>
      </c>
      <c r="B155" t="str">
        <v>ЩОВ-2</v>
      </c>
      <c r="C155" t="str">
        <v>XT21</v>
      </c>
      <c r="D155" t="str">
        <v>кабель ВВГнг(А)-LS (3х4) → Приточно-вытяжная установка Технический этаж Пом. №001Т</v>
      </c>
      <c r="E155" t="str">
        <v>ПВ.5</v>
      </c>
      <c r="F155" t="str">
        <v>Приточно-вытяжная установка Технический этаж Пом. №001Т</v>
      </c>
    </row>
    <row r="156" spans="1:6" x14ac:dyDescent="0.3">
      <c r="A156">
        <v>153</v>
      </c>
      <c r="B156" t="str">
        <v>ЩОВ-2</v>
      </c>
      <c r="C156" t="str">
        <v>QF22</v>
      </c>
      <c r="D156" t="str">
        <v>кабель ВВГнг(А)-LS (3х2,5) → Приточно-вытяжная установка Технический этаж Пом. №001Т</v>
      </c>
      <c r="E156" t="str">
        <v>ПВ.7</v>
      </c>
      <c r="F156" t="str">
        <v>Приточно-вытяжная установка Технический этаж Пом. №001Т</v>
      </c>
    </row>
    <row r="157" spans="1:6" x14ac:dyDescent="0.3">
      <c r="A157">
        <v>154</v>
      </c>
      <c r="B157" t="str">
        <v>ЩОВ-2</v>
      </c>
      <c r="C157" t="str">
        <v>QF23</v>
      </c>
      <c r="D157" t="str">
        <v>кабель ВВГнг(А)-LS (3х2,5) → Приточно-вытяжная установка Технический этаж Пом. №001Т</v>
      </c>
      <c r="E157" t="str">
        <v>ПВ.8</v>
      </c>
      <c r="F157" t="str">
        <v>Приточно-вытяжная установка Технический этаж Пом. №001Т</v>
      </c>
    </row>
    <row r="158" spans="1:6" x14ac:dyDescent="0.3">
      <c r="A158">
        <v>155</v>
      </c>
      <c r="B158" t="str">
        <v>ЩР-001</v>
      </c>
      <c r="C158" t="str">
        <v>QFD1</v>
      </c>
      <c r="D158" t="str">
        <v>XT1</v>
      </c>
      <c r="E158" t="str">
        <v>R.00.001Б.1</v>
      </c>
      <c r="F158" t="str">
        <v>Розеточная группа, пом. 001Б</v>
      </c>
    </row>
    <row r="159" spans="1:6" x14ac:dyDescent="0.3">
      <c r="A159">
        <v>156</v>
      </c>
      <c r="B159" t="str">
        <v>ЩР-001</v>
      </c>
      <c r="C159" t="str">
        <v>XT1</v>
      </c>
      <c r="D159" t="str">
        <v>кабель ВВГнг(А)-LS (3х2,5) → Розеточная группа, пом. 001Б</v>
      </c>
      <c r="E159" t="str">
        <v>R.00.001Б.1</v>
      </c>
      <c r="F159" t="str">
        <v>Розеточная группа, пом. 001Б</v>
      </c>
    </row>
    <row r="160" spans="1:6" x14ac:dyDescent="0.3">
      <c r="A160">
        <v>157</v>
      </c>
      <c r="B160" t="str">
        <v>ЩР-001</v>
      </c>
      <c r="C160" t="str">
        <v>QFD2</v>
      </c>
      <c r="D160" t="str">
        <v>XT2</v>
      </c>
      <c r="E160" t="str">
        <v>R.00.003Т.1</v>
      </c>
      <c r="F160" t="str">
        <v>Розеточная группа, пом. 003Т</v>
      </c>
    </row>
    <row r="161" spans="1:6" x14ac:dyDescent="0.3">
      <c r="A161">
        <v>158</v>
      </c>
      <c r="B161" t="str">
        <v>ЩР-001</v>
      </c>
      <c r="C161" t="str">
        <v>XT2</v>
      </c>
      <c r="D161" t="str">
        <v>кабель ВВГнг(А)-LS (3х2,5) → Розеточная группа, пом. 003Т</v>
      </c>
      <c r="E161" t="str">
        <v>R.00.003Т.1</v>
      </c>
      <c r="F161" t="str">
        <v>Розеточная группа, пом. 003Т</v>
      </c>
    </row>
    <row r="162" spans="1:6" x14ac:dyDescent="0.3">
      <c r="A162">
        <v>159</v>
      </c>
      <c r="B162" t="str">
        <v>ЩР-001</v>
      </c>
      <c r="C162" t="str">
        <v>QFD3</v>
      </c>
      <c r="D162" t="str">
        <v>XT3</v>
      </c>
      <c r="E162" t="str">
        <v>R.00.004Т.1</v>
      </c>
      <c r="F162" t="str">
        <v>Розеточная группа, пом. 004Т</v>
      </c>
    </row>
    <row r="163" spans="1:6" x14ac:dyDescent="0.3">
      <c r="A163">
        <v>160</v>
      </c>
      <c r="B163" t="str">
        <v>ЩР-001</v>
      </c>
      <c r="C163" t="str">
        <v>XT3</v>
      </c>
      <c r="D163" t="str">
        <v>кабель ВВГнг(А)-LS (3х2,5) → Розеточная группа, пом. 004Т</v>
      </c>
      <c r="E163" t="str">
        <v>R.00.004Т.1</v>
      </c>
      <c r="F163" t="str">
        <v>Розеточная группа, пом. 004Т</v>
      </c>
    </row>
    <row r="164" spans="1:6" x14ac:dyDescent="0.3">
      <c r="A164">
        <v>161</v>
      </c>
      <c r="B164" t="str">
        <v>ЩР-001</v>
      </c>
      <c r="C164" t="str">
        <v>QFD4</v>
      </c>
      <c r="D164" t="str">
        <v>XT4</v>
      </c>
      <c r="E164" t="str">
        <v>R.00.001Тб.1</v>
      </c>
      <c r="F164" t="str">
        <v>Розеточная группа, пом. 001Тб</v>
      </c>
    </row>
    <row r="165" spans="1:6" x14ac:dyDescent="0.3">
      <c r="A165">
        <v>162</v>
      </c>
      <c r="B165" t="str">
        <v>ЩР-001</v>
      </c>
      <c r="C165" t="str">
        <v>XT4</v>
      </c>
      <c r="D165" t="str">
        <v>кабель ВВГнг(А)-LS (3х2,5) → Розеточная группа, пом. 001Тб</v>
      </c>
      <c r="E165" t="str">
        <v>R.00.001Тб.1</v>
      </c>
      <c r="F165" t="str">
        <v>Розеточная группа, пом. 001Тб</v>
      </c>
    </row>
    <row r="166" spans="1:6" x14ac:dyDescent="0.3">
      <c r="A166">
        <v>163</v>
      </c>
      <c r="B166" t="str">
        <v>ЩР-001</v>
      </c>
      <c r="C166" t="str">
        <v>QFD5</v>
      </c>
      <c r="D166" t="str">
        <v>XT5</v>
      </c>
      <c r="E166" t="str">
        <v>R.00.001Б.2</v>
      </c>
      <c r="F166" t="str">
        <v>Розеточная группа, пом. 001Б</v>
      </c>
    </row>
    <row r="167" spans="1:6" x14ac:dyDescent="0.3">
      <c r="A167">
        <v>164</v>
      </c>
      <c r="B167" t="str">
        <v>ЩР-001</v>
      </c>
      <c r="C167" t="str">
        <v>XT5</v>
      </c>
      <c r="D167" t="str">
        <v>кабель ВВГнг(А)-LS (3х2,5) → Розеточная группа, пом. 001Б</v>
      </c>
      <c r="E167" t="str">
        <v>R.00.001Б.2</v>
      </c>
      <c r="F167" t="str">
        <v>Розеточная группа, пом. 001Б</v>
      </c>
    </row>
    <row r="168" spans="1:6" x14ac:dyDescent="0.3">
      <c r="A168">
        <v>165</v>
      </c>
      <c r="B168" t="str">
        <v>ЩР-001</v>
      </c>
      <c r="C168" t="str">
        <v>QFD6</v>
      </c>
      <c r="D168" t="str">
        <v>XT6</v>
      </c>
      <c r="E168" t="str">
        <v>R.00.005Т.1</v>
      </c>
      <c r="F168" t="str">
        <v>Розеточная группа, пом. 005Т</v>
      </c>
    </row>
    <row r="169" spans="1:6" x14ac:dyDescent="0.3">
      <c r="A169">
        <v>166</v>
      </c>
      <c r="B169" t="str">
        <v>ЩР-001</v>
      </c>
      <c r="C169" t="str">
        <v>XT6</v>
      </c>
      <c r="D169" t="str">
        <v>кабель ВВГнг(А)-LS (3х2,5) → Розеточная группа, пом. 005Т</v>
      </c>
      <c r="E169" t="str">
        <v>R.00.005Т.1</v>
      </c>
      <c r="F169" t="str">
        <v>Розеточная группа, пом. 005Т</v>
      </c>
    </row>
    <row r="170" spans="1:6" x14ac:dyDescent="0.3">
      <c r="A170">
        <v>167</v>
      </c>
      <c r="B170" t="str">
        <v>ЩР-001</v>
      </c>
      <c r="C170" t="str">
        <v>QFD7</v>
      </c>
      <c r="D170" t="str">
        <v>XT7</v>
      </c>
      <c r="E170" t="str">
        <v>R.00.002Т.1</v>
      </c>
      <c r="F170" t="str">
        <v>Розеточная группа, пом. 002Т</v>
      </c>
    </row>
    <row r="171" spans="1:6" x14ac:dyDescent="0.3">
      <c r="A171">
        <v>168</v>
      </c>
      <c r="B171" t="str">
        <v>ЩР-001</v>
      </c>
      <c r="C171" t="str">
        <v>XT7</v>
      </c>
      <c r="D171" t="str">
        <v>кабель ВВГнг(А)-LS (3х2,5) → Розеточная группа, пом. 002Т</v>
      </c>
      <c r="E171" t="str">
        <v>R.00.002Т.1</v>
      </c>
      <c r="F171" t="str">
        <v>Розеточная группа, пом. 002Т</v>
      </c>
    </row>
    <row r="172" spans="1:6" x14ac:dyDescent="0.3">
      <c r="A172">
        <v>169</v>
      </c>
      <c r="B172" t="str">
        <v>ЩР-001</v>
      </c>
      <c r="C172" t="str">
        <v>QFD8</v>
      </c>
      <c r="D172" t="str">
        <v>XT8</v>
      </c>
      <c r="E172" t="str">
        <v>R.00.001А.1</v>
      </c>
      <c r="F172" t="str">
        <v>Розеточная группа, пом. 001А</v>
      </c>
    </row>
    <row r="173" spans="1:6" x14ac:dyDescent="0.3">
      <c r="A173">
        <v>170</v>
      </c>
      <c r="B173" t="str">
        <v>ЩР-001</v>
      </c>
      <c r="C173" t="str">
        <v>XT8</v>
      </c>
      <c r="D173" t="str">
        <v>кабель ВВГнг(А)-LS (3х2,5) → Розеточная группа, пом. 001А</v>
      </c>
      <c r="E173" t="str">
        <v>R.00.001А.1</v>
      </c>
      <c r="F173" t="str">
        <v>Розеточная группа, пом. 001А</v>
      </c>
    </row>
    <row r="174" spans="1:6" x14ac:dyDescent="0.3">
      <c r="A174">
        <v>171</v>
      </c>
      <c r="B174" t="str">
        <v>ЩР-001</v>
      </c>
      <c r="C174" t="str">
        <v>QFD9</v>
      </c>
      <c r="D174" t="str">
        <v>XT9</v>
      </c>
      <c r="E174" t="str">
        <v>R.00.005А.1</v>
      </c>
      <c r="F174" t="str">
        <v>Розеточная группа, пом. 005А</v>
      </c>
    </row>
    <row r="175" spans="1:6" x14ac:dyDescent="0.3">
      <c r="A175">
        <v>172</v>
      </c>
      <c r="B175" t="str">
        <v>ЩР-001</v>
      </c>
      <c r="C175" t="str">
        <v>XT9</v>
      </c>
      <c r="D175" t="str">
        <v>кабель ВВГнг(А)-LS (3х2,5) → Розеточная группа, пом. 005А</v>
      </c>
      <c r="E175" t="str">
        <v>R.00.005А.1</v>
      </c>
      <c r="F175" t="str">
        <v>Розеточная группа, пом. 005А</v>
      </c>
    </row>
    <row r="176" spans="1:6" x14ac:dyDescent="0.3">
      <c r="A176">
        <v>173</v>
      </c>
      <c r="B176" t="str">
        <v>ЩР-001</v>
      </c>
      <c r="C176" t="str">
        <v>QFD10</v>
      </c>
      <c r="D176" t="str">
        <v>кабель ВВГнг(А)-LS (3х2,5) → Розеточная группа, пом. 004А</v>
      </c>
      <c r="E176" t="str">
        <v>R.00.004А.1</v>
      </c>
      <c r="F176" t="str">
        <v>Розеточная группа, пом. 004А</v>
      </c>
    </row>
    <row r="177" spans="1:6" x14ac:dyDescent="0.3">
      <c r="A177">
        <v>174</v>
      </c>
      <c r="B177" t="str">
        <v>ЩР-001</v>
      </c>
      <c r="C177" t="str">
        <v>QFD11</v>
      </c>
      <c r="D177" t="str">
        <v>XT11</v>
      </c>
      <c r="E177" t="str">
        <v>R.00.001А.2</v>
      </c>
      <c r="F177" t="str">
        <v>Розеточная группа, пом. 001А</v>
      </c>
    </row>
    <row r="178" spans="1:6" x14ac:dyDescent="0.3">
      <c r="A178">
        <v>175</v>
      </c>
      <c r="B178" t="str">
        <v>ЩР-001</v>
      </c>
      <c r="C178" t="str">
        <v>XT11</v>
      </c>
      <c r="D178" t="str">
        <v>кабель ВВГнг(А)-LS (3х2,5) → Розеточная группа, пом. 001А</v>
      </c>
      <c r="E178" t="str">
        <v>R.00.001А.2</v>
      </c>
      <c r="F178" t="str">
        <v>Розеточная группа, пом. 001А</v>
      </c>
    </row>
    <row r="179" spans="1:6" x14ac:dyDescent="0.3">
      <c r="A179">
        <v>176</v>
      </c>
      <c r="B179" t="str">
        <v>ЩР-001</v>
      </c>
      <c r="C179" t="str">
        <v>QFD12</v>
      </c>
      <c r="D179" t="str">
        <v>кабель ВВГнг(А)-LS (3х2,5) → Розеточная группа, пом. 002</v>
      </c>
      <c r="E179" t="str">
        <v>R.00.002.1А.1</v>
      </c>
      <c r="F179" t="str">
        <v>Розеточная группа, пом. 002</v>
      </c>
    </row>
    <row r="180" spans="1:6" x14ac:dyDescent="0.3">
      <c r="A180">
        <v>177</v>
      </c>
      <c r="B180" t="str">
        <v>ЩР-001</v>
      </c>
      <c r="C180" t="str">
        <v>QFD13</v>
      </c>
      <c r="D180" t="str">
        <v>кабель ВВГнг(А)-LS (3х2,5) → Розеточная группа, пом. 006T</v>
      </c>
      <c r="E180" t="str">
        <v>R.00.006T.1</v>
      </c>
      <c r="F180" t="str">
        <v>Розеточная группа, пом. 006T</v>
      </c>
    </row>
    <row r="181" spans="1:6" x14ac:dyDescent="0.3">
      <c r="A181">
        <v>178</v>
      </c>
      <c r="B181" t="str">
        <v>ЩР-001</v>
      </c>
      <c r="C181" t="str">
        <v>QFD14</v>
      </c>
      <c r="D181" t="str">
        <v>кабель ВВГнг(А)-LS (3х2,5) → Розеточная группа, пом. 007Т</v>
      </c>
      <c r="E181" t="str">
        <v>R.00.007Т.1</v>
      </c>
      <c r="F181" t="str">
        <v>Розеточная группа, пом. 007Т</v>
      </c>
    </row>
    <row r="182" spans="1:6" x14ac:dyDescent="0.3">
      <c r="A182">
        <v>179</v>
      </c>
      <c r="B182" t="str">
        <v>ЩР-001</v>
      </c>
      <c r="C182" t="str">
        <v>QFD15</v>
      </c>
      <c r="D182" t="str">
        <v>кабель ВВГнг(А)-LS (3х2,5) → Розеточная группа, пом. 008T</v>
      </c>
      <c r="E182" t="str">
        <v>R.00.008T.1</v>
      </c>
      <c r="F182" t="str">
        <v>Розеточная группа, пом. 008T</v>
      </c>
    </row>
    <row r="183" spans="1:6" x14ac:dyDescent="0.3">
      <c r="A183">
        <v>180</v>
      </c>
      <c r="B183" t="str">
        <v>ЩР-001</v>
      </c>
      <c r="C183" t="str">
        <v>QFD16</v>
      </c>
      <c r="D183" t="str">
        <v>кабель ВВГнг(А)-LS (3х2,5) → Розеточная группа, пом. 002Tб</v>
      </c>
      <c r="E183" t="str">
        <v>R.00.002Tб.1</v>
      </c>
      <c r="F183" t="str">
        <v>Розеточная группа, пом. 002Tб</v>
      </c>
    </row>
    <row r="184" spans="1:6" x14ac:dyDescent="0.3">
      <c r="A184">
        <v>181</v>
      </c>
      <c r="B184" t="str">
        <v>ЩР-001</v>
      </c>
      <c r="C184" t="str">
        <v>QFD17</v>
      </c>
      <c r="D184" t="str">
        <v>кабель ВВГнг(А)-LS (3х2,5) → Розеточная группа, пом. 007Б</v>
      </c>
      <c r="E184" t="str">
        <v>R.00.007Б.1</v>
      </c>
      <c r="F184" t="str">
        <v>Розеточная группа, пом. 007Б</v>
      </c>
    </row>
    <row r="185" spans="1:6" x14ac:dyDescent="0.3">
      <c r="A185">
        <v>182</v>
      </c>
      <c r="B185" t="str">
        <v>ЩР-001</v>
      </c>
      <c r="C185" t="str">
        <v>QFD18</v>
      </c>
      <c r="D185" t="str">
        <v>кабель ВВГнг(А)-LS (3х2,5) → Розеточная группа, пом. 004Б</v>
      </c>
      <c r="E185" t="str">
        <v>R.00.004Б.1</v>
      </c>
      <c r="F185" t="str">
        <v>Розеточная группа, пом. 004Б</v>
      </c>
    </row>
    <row r="186" spans="1:6" x14ac:dyDescent="0.3">
      <c r="A186">
        <v>183</v>
      </c>
      <c r="B186" t="str">
        <v>ЩР-001</v>
      </c>
      <c r="C186" t="str">
        <v>QFD19</v>
      </c>
      <c r="D186" t="str">
        <v>кабель ВВГнг(А)-LS (3х2,5) → Розеточная группа, пом. 005Б</v>
      </c>
      <c r="E186" t="str">
        <v>R.00.005Б.1</v>
      </c>
      <c r="F186" t="str">
        <v>Розеточная группа, пом. 005Б</v>
      </c>
    </row>
    <row r="187" spans="1:6" x14ac:dyDescent="0.3">
      <c r="A187">
        <v>184</v>
      </c>
      <c r="B187" t="str">
        <v>ЩР-001</v>
      </c>
      <c r="C187" t="str">
        <v>QFD20</v>
      </c>
      <c r="D187" t="str">
        <v>кабель ВВГнг(А)-LS (3х2,5) → Розеточная группа, пом. 009Б</v>
      </c>
      <c r="E187" t="str">
        <v>R.00.009Б.1</v>
      </c>
      <c r="F187" t="str">
        <v>Розеточная группа, пом. 009Б</v>
      </c>
    </row>
    <row r="188" spans="1:6" x14ac:dyDescent="0.3">
      <c r="A188">
        <v>185</v>
      </c>
      <c r="B188" t="str">
        <v>ЩР-001</v>
      </c>
      <c r="C188" t="str">
        <v>QFD21</v>
      </c>
      <c r="D188" t="str">
        <v>кабель ВВГнг(А)-LS (3х2,5) → Розеточная группа, пом. 006Б</v>
      </c>
      <c r="E188" t="str">
        <v>R.00.006Б.1</v>
      </c>
      <c r="F188" t="str">
        <v>Розеточная группа, пом. 006Б</v>
      </c>
    </row>
    <row r="189" spans="1:6" x14ac:dyDescent="0.3">
      <c r="A189">
        <v>186</v>
      </c>
      <c r="B189" t="str">
        <v>ЩР-001</v>
      </c>
      <c r="C189" t="str">
        <v>QFD22</v>
      </c>
      <c r="D189" t="str">
        <v>кабель ВВГнг(А)-LS (3х2,5) → Розеточная группа, пом. 007А</v>
      </c>
      <c r="E189" t="str">
        <v>R.00.007А.1</v>
      </c>
      <c r="F189" t="str">
        <v>Розеточная группа, пом. 007А</v>
      </c>
    </row>
    <row r="190" spans="1:6" x14ac:dyDescent="0.3">
      <c r="A190">
        <v>187</v>
      </c>
      <c r="B190" t="str">
        <v>ЩР-001</v>
      </c>
      <c r="C190" t="str">
        <v>QFD23</v>
      </c>
      <c r="D190" t="str">
        <v>кабель ВВГнг(А)-LS (3х2,5) → Розеточная группа, пом. 008А</v>
      </c>
      <c r="E190" t="str">
        <v>R.00.008А.1</v>
      </c>
      <c r="F190" t="str">
        <v>Розеточная группа, пом. 008А</v>
      </c>
    </row>
    <row r="191" spans="1:6" x14ac:dyDescent="0.3">
      <c r="A191">
        <v>188</v>
      </c>
      <c r="B191" t="str">
        <v>ЩР-001</v>
      </c>
      <c r="C191" t="str">
        <v>QFD24</v>
      </c>
      <c r="D191" t="str">
        <v>кабель ВВГнг(А)-LS (3х2,5) → Розеточная группа, пом. 002Б</v>
      </c>
      <c r="E191" t="str">
        <v>R.00.002Б.1</v>
      </c>
      <c r="F191" t="str">
        <v>Розеточная группа, пом. 002Б</v>
      </c>
    </row>
    <row r="192" spans="1:6" x14ac:dyDescent="0.3">
      <c r="A192">
        <v>189</v>
      </c>
      <c r="B192" t="str">
        <v>ЩР-001</v>
      </c>
      <c r="C192" t="str">
        <v>QF25</v>
      </c>
      <c r="D192" t="str">
        <v>XT25</v>
      </c>
      <c r="E192" t="str">
        <v>ШТК-0</v>
      </c>
      <c r="F192" t="str">
        <v>Шкаф телекоммуникационный ШТК-0 Подвальный этаж Пом. №007Т</v>
      </c>
    </row>
    <row r="193" spans="1:6" x14ac:dyDescent="0.3">
      <c r="A193">
        <v>190</v>
      </c>
      <c r="B193" t="str">
        <v>ЩР-001</v>
      </c>
      <c r="C193" t="str">
        <v>XT25</v>
      </c>
      <c r="D193" t="str">
        <v>кабель ВВГнг(А)-LS (3х2,5) → Шкаф телекоммуникационный ШТК-0 Подвальный этаж Пом. №007Т</v>
      </c>
      <c r="E193" t="str">
        <v>ШТК-0</v>
      </c>
      <c r="F193" t="str">
        <v>Шкаф телекоммуникационный ШТК-0 Подвальный этаж Пом. №007Т</v>
      </c>
    </row>
    <row r="194" spans="1:6" x14ac:dyDescent="0.3">
      <c r="A194">
        <v>191</v>
      </c>
      <c r="B194" t="str">
        <v>ЩР-001</v>
      </c>
      <c r="C194" t="str">
        <v>QF26</v>
      </c>
      <c r="D194" t="str">
        <v>XT26</v>
      </c>
      <c r="E194" t="str">
        <v>ШТК-ЛВС.00</v>
      </c>
      <c r="F194" t="str">
        <v>Шкаф телекоммуникационный ШТК-ЛВС.00  Подвальный этаж Пом. №007Т</v>
      </c>
    </row>
    <row r="195" spans="1:6" x14ac:dyDescent="0.3">
      <c r="A195">
        <v>192</v>
      </c>
      <c r="B195" t="str">
        <v>ЩР-001</v>
      </c>
      <c r="C195" t="str">
        <v>XT26</v>
      </c>
      <c r="D195" t="str">
        <v>кабель ВВГнг(А)-LS (3х2,5) → Шкаф телекоммуникационный ШТК-ЛВС.00  Подвальный этаж Пом. №007Т</v>
      </c>
      <c r="E195" t="str">
        <v>ШТК-ЛВС.00</v>
      </c>
      <c r="F195" t="str">
        <v>Шкаф телекоммуникационный ШТК-ЛВС.00  Подвальный этаж Пом. №007Т</v>
      </c>
    </row>
    <row r="196" spans="1:6" x14ac:dyDescent="0.3">
      <c r="A196">
        <v>193</v>
      </c>
      <c r="B196" t="str">
        <v>ЩР-001</v>
      </c>
      <c r="C196" t="str">
        <v>QF27</v>
      </c>
      <c r="D196" t="str">
        <v>кабель ВВГнг(А)-LS (3х2,5) → Шкаф телекоммуникационный ШТК-СОТ.00  Подвальный этаж Пом. №007Т</v>
      </c>
      <c r="E196" t="str">
        <v>ШТК-СОТ.00</v>
      </c>
      <c r="F196" t="str">
        <v>Шкаф телекоммуникационный ШТК-СОТ.00  Подвальный этаж Пом. №007Т</v>
      </c>
    </row>
    <row r="197" spans="1:6" x14ac:dyDescent="0.3">
      <c r="A197">
        <v>194</v>
      </c>
      <c r="B197" t="str">
        <v>ЩР-001</v>
      </c>
      <c r="C197" t="str">
        <v>QF28</v>
      </c>
      <c r="D197" t="str">
        <v>кабель ВВГнг(А)-LS (3х2,5) → Щит контроля доступа ШДК-06. Пом. Венткиосок</v>
      </c>
      <c r="E197" t="str">
        <v>ЩКД-6</v>
      </c>
      <c r="F197" t="str">
        <v>Щит контроля доступа ШДК-06. Пом. Венткиосок</v>
      </c>
    </row>
    <row r="198" spans="1:6" x14ac:dyDescent="0.3">
      <c r="A198">
        <v>195</v>
      </c>
      <c r="B198" t="str">
        <v>ЩР-001</v>
      </c>
      <c r="C198" t="str">
        <v>QF29</v>
      </c>
      <c r="D198" t="str">
        <v>кабель ВВГнг(А)-LS (3х2,5) → Щит контроля доступа ШДК-001 Подвальный этаж Пом. №004Т</v>
      </c>
      <c r="E198" t="str">
        <v>ЩКД-001</v>
      </c>
      <c r="F198" t="str">
        <v>Щит контроля доступа ШДК-001 Подвальный этаж Пом. №004Т</v>
      </c>
    </row>
    <row r="199" spans="1:6" x14ac:dyDescent="0.3">
      <c r="A199">
        <v>196</v>
      </c>
      <c r="B199" t="str">
        <v>ЩР-01</v>
      </c>
      <c r="C199" t="str">
        <v>QFD1</v>
      </c>
      <c r="D199" t="str">
        <v>XT1</v>
      </c>
      <c r="E199" t="str">
        <v>R.0.002A.1</v>
      </c>
      <c r="F199" t="str">
        <v>Розеточная группа, пом. 002A</v>
      </c>
    </row>
    <row r="200" spans="1:6" x14ac:dyDescent="0.3">
      <c r="A200">
        <v>197</v>
      </c>
      <c r="B200" t="str">
        <v>ЩР-01</v>
      </c>
      <c r="C200" t="str">
        <v>XT1</v>
      </c>
      <c r="D200" t="str">
        <v>кабель ВВГнг(А)-LS (3х2,5) → Розеточная группа, пом. 002A</v>
      </c>
      <c r="E200" t="str">
        <v>R.0.002A.1</v>
      </c>
      <c r="F200" t="str">
        <v>Розеточная группа, пом. 002A</v>
      </c>
    </row>
    <row r="201" spans="1:6" x14ac:dyDescent="0.3">
      <c r="A201">
        <v>198</v>
      </c>
      <c r="B201" t="str">
        <v>ЩР-01</v>
      </c>
      <c r="C201" t="str">
        <v>QFD2</v>
      </c>
      <c r="D201" t="str">
        <v>XT2</v>
      </c>
      <c r="E201" t="str">
        <v>R.0.002A.2</v>
      </c>
      <c r="F201" t="str">
        <v>Розеточная группа, пом. 002A</v>
      </c>
    </row>
    <row r="202" spans="1:6" x14ac:dyDescent="0.3">
      <c r="A202">
        <v>199</v>
      </c>
      <c r="B202" t="str">
        <v>ЩР-01</v>
      </c>
      <c r="C202" t="str">
        <v>XT2</v>
      </c>
      <c r="D202" t="str">
        <v>кабель ВВГнг(А)-LS (3х2,5) → Розеточная группа, пом. 002A</v>
      </c>
      <c r="E202" t="str">
        <v>R.0.002A.2</v>
      </c>
      <c r="F202" t="str">
        <v>Розеточная группа, пом. 002A</v>
      </c>
    </row>
    <row r="203" spans="1:6" x14ac:dyDescent="0.3">
      <c r="A203">
        <v>200</v>
      </c>
      <c r="B203" t="str">
        <v>ЩР-01</v>
      </c>
      <c r="C203" t="str">
        <v>QFD3</v>
      </c>
      <c r="D203" t="str">
        <v>XT3</v>
      </c>
      <c r="E203" t="str">
        <v>R.0.002A.3</v>
      </c>
      <c r="F203" t="str">
        <v>Розеточная группа, пом. 002A</v>
      </c>
    </row>
    <row r="204" spans="1:6" x14ac:dyDescent="0.3">
      <c r="A204">
        <v>201</v>
      </c>
      <c r="B204" t="str">
        <v>ЩР-01</v>
      </c>
      <c r="C204" t="str">
        <v>XT3</v>
      </c>
      <c r="D204" t="str">
        <v>кабель ВВГнг(А)-LS (3х2,5) → Розеточная группа, пом. 002A</v>
      </c>
      <c r="E204" t="str">
        <v>R.0.002A.3</v>
      </c>
      <c r="F204" t="str">
        <v>Розеточная группа, пом. 002A</v>
      </c>
    </row>
    <row r="205" spans="1:6" x14ac:dyDescent="0.3">
      <c r="A205">
        <v>202</v>
      </c>
      <c r="B205" t="str">
        <v>ЩР-01</v>
      </c>
      <c r="C205" t="str">
        <v>QFD4</v>
      </c>
      <c r="D205" t="str">
        <v>XT4</v>
      </c>
      <c r="E205" t="str">
        <v>R.0.002T.1</v>
      </c>
      <c r="F205" t="str">
        <v>Розеточная группа, пом. 002T</v>
      </c>
    </row>
    <row r="206" spans="1:6" x14ac:dyDescent="0.3">
      <c r="A206">
        <v>203</v>
      </c>
      <c r="B206" t="str">
        <v>ЩР-01</v>
      </c>
      <c r="C206" t="str">
        <v>XT4</v>
      </c>
      <c r="D206" t="str">
        <v>кабель ВВГнг(А)-LS (3х2,5) → Розеточная группа, пом. 002T</v>
      </c>
      <c r="E206" t="str">
        <v>R.0.002T.1</v>
      </c>
      <c r="F206" t="str">
        <v>Розеточная группа, пом. 002T</v>
      </c>
    </row>
    <row r="207" spans="1:6" x14ac:dyDescent="0.3">
      <c r="A207">
        <v>204</v>
      </c>
      <c r="B207" t="str">
        <v>ЩР-01</v>
      </c>
      <c r="C207" t="str">
        <v>QFD5</v>
      </c>
      <c r="D207" t="str">
        <v>XT5</v>
      </c>
      <c r="E207" t="str">
        <v>R.0.002Б.1</v>
      </c>
      <c r="F207" t="str">
        <v>Розеточная группа, пом. 002Б</v>
      </c>
    </row>
    <row r="208" spans="1:6" x14ac:dyDescent="0.3">
      <c r="A208">
        <v>205</v>
      </c>
      <c r="B208" t="str">
        <v>ЩР-01</v>
      </c>
      <c r="C208" t="str">
        <v>XT5</v>
      </c>
      <c r="D208" t="str">
        <v>кабель ВВГнг(А)-LS (3х2,5) → Розеточная группа, пом. 002Б</v>
      </c>
      <c r="E208" t="str">
        <v>R.0.002Б.1</v>
      </c>
      <c r="F208" t="str">
        <v>Розеточная группа, пом. 002Б</v>
      </c>
    </row>
    <row r="209" spans="1:6" x14ac:dyDescent="0.3">
      <c r="A209">
        <v>206</v>
      </c>
      <c r="B209" t="str">
        <v>ЩР-01</v>
      </c>
      <c r="C209" t="str">
        <v>QFD6</v>
      </c>
      <c r="D209" t="str">
        <v>XT6</v>
      </c>
      <c r="E209" t="str">
        <v>R.0.002Б.2</v>
      </c>
      <c r="F209" t="str">
        <v>Розеточная группа, пом. 002Б</v>
      </c>
    </row>
    <row r="210" spans="1:6" x14ac:dyDescent="0.3">
      <c r="A210">
        <v>207</v>
      </c>
      <c r="B210" t="str">
        <v>ЩР-01</v>
      </c>
      <c r="C210" t="str">
        <v>XT6</v>
      </c>
      <c r="D210" t="str">
        <v>кабель ВВГнг(А)-LS (3х2,5) → Розеточная группа, пом. 002Б</v>
      </c>
      <c r="E210" t="str">
        <v>R.0.002Б.2</v>
      </c>
      <c r="F210" t="str">
        <v>Розеточная группа, пом. 002Б</v>
      </c>
    </row>
    <row r="211" spans="1:6" x14ac:dyDescent="0.3">
      <c r="A211">
        <v>208</v>
      </c>
      <c r="B211" t="str">
        <v>ЩР-01</v>
      </c>
      <c r="C211" t="str">
        <v>QFD7</v>
      </c>
      <c r="D211" t="str">
        <v>XT7</v>
      </c>
      <c r="E211" t="str">
        <v>R.0.003A.1</v>
      </c>
      <c r="F211" t="str">
        <v>Розеточная группа, пом. 003A</v>
      </c>
    </row>
    <row r="212" spans="1:6" x14ac:dyDescent="0.3">
      <c r="A212">
        <v>209</v>
      </c>
      <c r="B212" t="str">
        <v>ЩР-01</v>
      </c>
      <c r="C212" t="str">
        <v>XT7</v>
      </c>
      <c r="D212" t="str">
        <v>кабель ВВГнг(А)-LS (3х2,5) → Розеточная группа, пом. 003A</v>
      </c>
      <c r="E212" t="str">
        <v>R.0.003A.1</v>
      </c>
      <c r="F212" t="str">
        <v>Розеточная группа, пом. 003A</v>
      </c>
    </row>
    <row r="213" spans="1:6" x14ac:dyDescent="0.3">
      <c r="A213">
        <v>210</v>
      </c>
      <c r="B213" t="str">
        <v>ЩР-01</v>
      </c>
      <c r="C213" t="str">
        <v>QFD8</v>
      </c>
      <c r="D213" t="str">
        <v>XT8</v>
      </c>
      <c r="E213" t="str">
        <v>R.0.003A.3</v>
      </c>
      <c r="F213" t="str">
        <v>Розеточная группа, пом. 003A</v>
      </c>
    </row>
    <row r="214" spans="1:6" x14ac:dyDescent="0.3">
      <c r="A214">
        <v>211</v>
      </c>
      <c r="B214" t="str">
        <v>ЩР-01</v>
      </c>
      <c r="C214" t="str">
        <v>XT8</v>
      </c>
      <c r="D214" t="str">
        <v>кабель ВВГнг(А)-LS (3х2,5) → Розеточная группа, пом. 003A</v>
      </c>
      <c r="E214" t="str">
        <v>R.0.003A.3</v>
      </c>
      <c r="F214" t="str">
        <v>Розеточная группа, пом. 003A</v>
      </c>
    </row>
    <row r="215" spans="1:6" x14ac:dyDescent="0.3">
      <c r="A215">
        <v>212</v>
      </c>
      <c r="B215" t="str">
        <v>ЩР-01</v>
      </c>
      <c r="C215" t="str">
        <v>QFD9</v>
      </c>
      <c r="D215" t="str">
        <v>кабель ВВГнг(А)-LS (3х2,5) → Розеточная группа, пом. 003Б</v>
      </c>
      <c r="E215" t="str">
        <v>R.0.003Б.1</v>
      </c>
      <c r="F215" t="str">
        <v>Розеточная группа, пом. 003Б</v>
      </c>
    </row>
    <row r="216" spans="1:6" x14ac:dyDescent="0.3">
      <c r="A216">
        <v>213</v>
      </c>
      <c r="B216" t="str">
        <v>ЩР-01</v>
      </c>
      <c r="C216" t="str">
        <v>QFD10</v>
      </c>
      <c r="D216" t="str">
        <v>XT10</v>
      </c>
      <c r="E216" t="str">
        <v>R.0.004Б.1</v>
      </c>
      <c r="F216" t="str">
        <v>Розеточная группа, пом. 004Б</v>
      </c>
    </row>
    <row r="217" spans="1:6" x14ac:dyDescent="0.3">
      <c r="A217">
        <v>214</v>
      </c>
      <c r="B217" t="str">
        <v>ЩР-01</v>
      </c>
      <c r="C217" t="str">
        <v>XT10</v>
      </c>
      <c r="D217" t="str">
        <v>кабель ВВГнг(А)-LS (3х2,5) → Розеточная группа, пом. 004Б</v>
      </c>
      <c r="E217" t="str">
        <v>R.0.004Б.1</v>
      </c>
      <c r="F217" t="str">
        <v>Розеточная группа, пом. 004Б</v>
      </c>
    </row>
    <row r="218" spans="1:6" x14ac:dyDescent="0.3">
      <c r="A218">
        <v>215</v>
      </c>
      <c r="B218" t="str">
        <v>ЩР-01</v>
      </c>
      <c r="C218" t="str">
        <v>QFD11</v>
      </c>
      <c r="D218" t="str">
        <v>кабель ВВГнг(А)-LS (3х2,5) → Розеточная группа Цокольный этаж Пом. №004Б Сушильная машина</v>
      </c>
      <c r="E218" t="str">
        <v>R.0.004Б.2</v>
      </c>
      <c r="F218" t="str">
        <v>Розеточная группа Цокольный этаж Пом. №004Б Сушильная машина</v>
      </c>
    </row>
    <row r="219" spans="1:6" x14ac:dyDescent="0.3">
      <c r="A219">
        <v>216</v>
      </c>
      <c r="B219" t="str">
        <v>ЩР-01</v>
      </c>
      <c r="C219" t="str">
        <v>QFD12</v>
      </c>
      <c r="D219" t="str">
        <v>кабель ВВГнг(А)-LS (3х2,5) → Розеточная группа Цокольный этаж Пом. №004Б Стиральная машина</v>
      </c>
      <c r="E219" t="str">
        <v>R.0.004Б.3</v>
      </c>
      <c r="F219" t="str">
        <v>Розеточная группа Цокольный этаж Пом. №004Б Стиральная машина</v>
      </c>
    </row>
    <row r="220" spans="1:6" x14ac:dyDescent="0.3">
      <c r="A220">
        <v>217</v>
      </c>
      <c r="B220" t="str">
        <v>ЩР-01</v>
      </c>
      <c r="C220" t="str">
        <v>QFD13</v>
      </c>
      <c r="D220" t="str">
        <v>кабель ВВГнг(А)-LS (3х2,5) → Розеточная группа, пом. 006A</v>
      </c>
      <c r="E220" t="str">
        <v>R.0.006A.1</v>
      </c>
      <c r="F220" t="str">
        <v>Розеточная группа, пом. 006A</v>
      </c>
    </row>
    <row r="221" spans="1:6" x14ac:dyDescent="0.3">
      <c r="A221">
        <v>218</v>
      </c>
      <c r="B221" t="str">
        <v>ЩР-01</v>
      </c>
      <c r="C221" t="str">
        <v>QFD14</v>
      </c>
      <c r="D221" t="str">
        <v>кабель ВВГнг(А)-LS (3х2,5) → Розеточная группа, пом. 007A</v>
      </c>
      <c r="E221" t="str">
        <v>R.0.007A.1</v>
      </c>
      <c r="F221" t="str">
        <v>Розеточная группа, пом. 007A</v>
      </c>
    </row>
    <row r="222" spans="1:6" x14ac:dyDescent="0.3">
      <c r="A222">
        <v>219</v>
      </c>
      <c r="B222" t="str">
        <v>ЩР-01</v>
      </c>
      <c r="C222" t="str">
        <v>QFD15</v>
      </c>
      <c r="D222" t="str">
        <v>кабель ВВГнг(А)-LS (3х2,5) → Розеточная группа, пом. 008A</v>
      </c>
      <c r="E222" t="str">
        <v>R.0.008A.1</v>
      </c>
      <c r="F222" t="str">
        <v>Розеточная группа, пом. 008A</v>
      </c>
    </row>
    <row r="223" spans="1:6" x14ac:dyDescent="0.3">
      <c r="A223">
        <v>220</v>
      </c>
      <c r="B223" t="str">
        <v>ЩР-01</v>
      </c>
      <c r="C223" t="str">
        <v>QFD16</v>
      </c>
      <c r="D223" t="str">
        <v>кабель ВВГнг(А)-LS (3х2,5) → Розеточная группа Цокольный этаж Пом. №008A Душ виши</v>
      </c>
      <c r="E223" t="str">
        <v>R.0.008A.2</v>
      </c>
      <c r="F223" t="str">
        <v>Розеточная группа Цокольный этаж Пом. №008A Душ виши</v>
      </c>
    </row>
    <row r="224" spans="1:6" x14ac:dyDescent="0.3">
      <c r="A224">
        <v>221</v>
      </c>
      <c r="B224" t="str">
        <v>ЩР-01</v>
      </c>
      <c r="C224" t="str">
        <v>QFD17</v>
      </c>
      <c r="D224" t="str">
        <v>кабель ВВГнг(А)-LS (3х2,5) → Розеточная группа, пом. 009A</v>
      </c>
      <c r="E224" t="str">
        <v>R.0.009A.1</v>
      </c>
      <c r="F224" t="str">
        <v>Розеточная группа, пом. 009A</v>
      </c>
    </row>
    <row r="225" spans="1:6" x14ac:dyDescent="0.3">
      <c r="A225">
        <v>222</v>
      </c>
      <c r="B225" t="str">
        <v>ЩР-01</v>
      </c>
      <c r="C225" t="str">
        <v>QFD18</v>
      </c>
      <c r="D225" t="str">
        <v>кабель ВВГнг(А)-LS (3х2,5) → Розеточная группа, пом. 009A</v>
      </c>
      <c r="E225" t="str">
        <v>R.0.009A.2</v>
      </c>
      <c r="F225" t="str">
        <v>Розеточная группа, пом. 009A</v>
      </c>
    </row>
    <row r="226" spans="1:6" x14ac:dyDescent="0.3">
      <c r="A226">
        <v>223</v>
      </c>
      <c r="B226" t="str">
        <v>ЩР-01</v>
      </c>
      <c r="C226" t="str">
        <v>QFD19</v>
      </c>
      <c r="D226" t="str">
        <v>кабель ВВГнг(А)-LS (3х2,5) → Розеточная группа, пом. 010A</v>
      </c>
      <c r="E226" t="str">
        <v>R.0.010A.1</v>
      </c>
      <c r="F226" t="str">
        <v>Розеточная группа, пом. 010A</v>
      </c>
    </row>
    <row r="227" spans="1:6" x14ac:dyDescent="0.3">
      <c r="A227">
        <v>224</v>
      </c>
      <c r="B227" t="str">
        <v>ЩР-01</v>
      </c>
      <c r="C227" t="str">
        <v>QFD20</v>
      </c>
      <c r="D227" t="str">
        <v>кабель ВВГнг(А)-LS (3х2,5) → Розеточная группа, пом. 011</v>
      </c>
      <c r="E227" t="str">
        <v>R.0.011.1A</v>
      </c>
      <c r="F227" t="str">
        <v>Розеточная группа, пом. 011</v>
      </c>
    </row>
    <row r="228" spans="1:6" x14ac:dyDescent="0.3">
      <c r="A228">
        <v>225</v>
      </c>
      <c r="B228" t="str">
        <v>ЩР-01</v>
      </c>
      <c r="C228" t="str">
        <v>QFD21</v>
      </c>
      <c r="D228" t="str">
        <v>кабель ВВГнг(А)-LS (3х2,5) → Розеточная группа, пом. 011Б</v>
      </c>
      <c r="E228" t="str">
        <v>R.0.011Б.1</v>
      </c>
      <c r="F228" t="str">
        <v>Розеточная группа, пом. 011Б</v>
      </c>
    </row>
    <row r="229" spans="1:6" x14ac:dyDescent="0.3">
      <c r="A229">
        <v>226</v>
      </c>
      <c r="B229" t="str">
        <v>ЩР-01</v>
      </c>
      <c r="C229" t="str">
        <v>QFD22</v>
      </c>
      <c r="D229" t="str">
        <v>кабель ВВГнг(А)-LS (3х2,5) → Розеточная группа, пом. 012A</v>
      </c>
      <c r="E229" t="str">
        <v>R.0.012A.1</v>
      </c>
      <c r="F229" t="str">
        <v>Розеточная группа, пом. 012A</v>
      </c>
    </row>
    <row r="230" spans="1:6" x14ac:dyDescent="0.3">
      <c r="A230">
        <v>227</v>
      </c>
      <c r="B230" t="str">
        <v>ЩР-01</v>
      </c>
      <c r="C230" t="str">
        <v>QFD23</v>
      </c>
      <c r="D230" t="str">
        <v>кабель ВВГнг(А)-LS (3х2,5) → Розеточная группа, пом. 013A</v>
      </c>
      <c r="E230" t="str">
        <v>R.0.013A.1</v>
      </c>
      <c r="F230" t="str">
        <v>Розеточная группа, пом. 013A</v>
      </c>
    </row>
    <row r="231" spans="1:6" x14ac:dyDescent="0.3">
      <c r="A231">
        <v>228</v>
      </c>
      <c r="B231" t="str">
        <v>ЩР-01</v>
      </c>
      <c r="C231" t="str">
        <v>QFD24</v>
      </c>
      <c r="D231" t="str">
        <v>XT24</v>
      </c>
      <c r="E231" t="str">
        <v>R.0.013Б.1</v>
      </c>
      <c r="F231" t="str">
        <v>Розеточная группа, пом. 013Б</v>
      </c>
    </row>
    <row r="232" spans="1:6" x14ac:dyDescent="0.3">
      <c r="A232">
        <v>229</v>
      </c>
      <c r="B232" t="str">
        <v>ЩР-01</v>
      </c>
      <c r="C232" t="str">
        <v>XT24</v>
      </c>
      <c r="D232" t="str">
        <v>кабель ВВГнг(А)-LS (3х2,5) → Розеточная группа, пом. 013Б</v>
      </c>
      <c r="E232" t="str">
        <v>R.0.013Б.1</v>
      </c>
      <c r="F232" t="str">
        <v>Розеточная группа, пом. 013Б</v>
      </c>
    </row>
    <row r="233" spans="1:6" x14ac:dyDescent="0.3">
      <c r="A233">
        <v>230</v>
      </c>
      <c r="B233" t="str">
        <v>ЩР-01</v>
      </c>
      <c r="C233" t="str">
        <v>QFD25</v>
      </c>
      <c r="D233" t="str">
        <v>XT25</v>
      </c>
      <c r="E233" t="str">
        <v>R.0.013Б.2</v>
      </c>
      <c r="F233" t="str">
        <v>Розеточная группа, пом. 013Б</v>
      </c>
    </row>
    <row r="234" spans="1:6" x14ac:dyDescent="0.3">
      <c r="A234">
        <v>231</v>
      </c>
      <c r="B234" t="str">
        <v>ЩР-01</v>
      </c>
      <c r="C234" t="str">
        <v>XT25</v>
      </c>
      <c r="D234" t="str">
        <v>кабель ВВГнг(А)-LS (3х2,5) → Розеточная группа, пом. 013Б</v>
      </c>
      <c r="E234" t="str">
        <v>R.0.013Б.2</v>
      </c>
      <c r="F234" t="str">
        <v>Розеточная группа, пом. 013Б</v>
      </c>
    </row>
    <row r="235" spans="1:6" x14ac:dyDescent="0.3">
      <c r="A235">
        <v>232</v>
      </c>
      <c r="B235" t="str">
        <v>ЩР-01</v>
      </c>
      <c r="C235" t="str">
        <v>QFD26</v>
      </c>
      <c r="D235" t="str">
        <v>кабель ВВГнг(А)-LS (3х2,5) → Розеточная группа Цокольный этаж Пом. №013Б Полотенцесушитель</v>
      </c>
      <c r="E235" t="str">
        <v>R.0.013Б.3</v>
      </c>
      <c r="F235" t="str">
        <v>Розеточная группа Цокольный этаж Пом. №013Б Полотенцесушитель</v>
      </c>
    </row>
    <row r="236" spans="1:6" x14ac:dyDescent="0.3">
      <c r="A236">
        <v>233</v>
      </c>
      <c r="B236" t="str">
        <v>ЩР-01</v>
      </c>
      <c r="C236" t="str">
        <v>QFD27</v>
      </c>
      <c r="D236" t="str">
        <v>кабель ВВГнг(А)-LS (3х2,5) → Розеточная группа Цокольный этаж Пом. №013Б Сушильная машина</v>
      </c>
      <c r="E236" t="str">
        <v>R.0.013Б.4</v>
      </c>
      <c r="F236" t="str">
        <v>Розеточная группа Цокольный этаж Пом. №013Б Сушильная машина</v>
      </c>
    </row>
    <row r="237" spans="1:6" x14ac:dyDescent="0.3">
      <c r="A237">
        <v>234</v>
      </c>
      <c r="B237" t="str">
        <v>ЩР-01</v>
      </c>
      <c r="C237" t="str">
        <v>QFD28</v>
      </c>
      <c r="D237" t="str">
        <v>кабель ВВГнг(А)-LS (3х2,5) → Розеточная группа, пом. 015A</v>
      </c>
      <c r="E237" t="str">
        <v>R.0.015A.1</v>
      </c>
      <c r="F237" t="str">
        <v>Розеточная группа, пом. 015A</v>
      </c>
    </row>
    <row r="238" spans="1:6" x14ac:dyDescent="0.3">
      <c r="A238">
        <v>235</v>
      </c>
      <c r="B238" t="str">
        <v>ЩР-01</v>
      </c>
      <c r="C238" t="str">
        <v>QFD29</v>
      </c>
      <c r="D238" t="str">
        <v>кабель ВВГнг(А)-LS (3х2,5) → Розеточная группа, пом. 017A</v>
      </c>
      <c r="E238" t="str">
        <v>R.0.017A.1</v>
      </c>
      <c r="F238" t="str">
        <v>Розеточная группа, пом. 017A</v>
      </c>
    </row>
    <row r="239" spans="1:6" x14ac:dyDescent="0.3">
      <c r="A239">
        <v>236</v>
      </c>
      <c r="B239" t="str">
        <v>ЩР-01</v>
      </c>
      <c r="C239" t="str">
        <v>QFD30</v>
      </c>
      <c r="D239" t="str">
        <v>кабель ВВГнг(А)-LS (3х2,5) → Розеточная группа, пом. 018A</v>
      </c>
      <c r="E239" t="str">
        <v>R.0.018A.1</v>
      </c>
      <c r="F239" t="str">
        <v>Розеточная группа, пом. 018A</v>
      </c>
    </row>
    <row r="240" spans="1:6" x14ac:dyDescent="0.3">
      <c r="A240">
        <v>237</v>
      </c>
      <c r="B240" t="str">
        <v>ЩР-01</v>
      </c>
      <c r="C240" t="str">
        <v>QFD31</v>
      </c>
      <c r="D240" t="str">
        <v>кабель ВВГнг(А)-LS (3х2,5) → Розеточная группа, пом. 018Б</v>
      </c>
      <c r="E240" t="str">
        <v>R.0.018Б.1</v>
      </c>
      <c r="F240" t="str">
        <v>Розеточная группа, пом. 018Б</v>
      </c>
    </row>
    <row r="241" spans="1:6" x14ac:dyDescent="0.3">
      <c r="A241">
        <v>238</v>
      </c>
      <c r="B241" t="str">
        <v>ЩР-01</v>
      </c>
      <c r="C241" t="str">
        <v>QFD32</v>
      </c>
      <c r="D241" t="str">
        <v>кабель ВВГнг(А)-LS (3х2,5) → Розеточная группа, пом. 021A</v>
      </c>
      <c r="E241" t="str">
        <v>R.0.021A.1</v>
      </c>
      <c r="F241" t="str">
        <v>Розеточная группа, пом. 021A</v>
      </c>
    </row>
    <row r="242" spans="1:6" x14ac:dyDescent="0.3">
      <c r="A242">
        <v>239</v>
      </c>
      <c r="B242" t="str">
        <v>ЩР-01</v>
      </c>
      <c r="C242" t="str">
        <v>QFD33</v>
      </c>
      <c r="D242" t="str">
        <v>кабель ВВГнг(А)-LS (3х2,5) → Розеточная группа, пом. 022</v>
      </c>
      <c r="E242" t="str">
        <v>R.0.022.1</v>
      </c>
      <c r="F242" t="str">
        <v>Розеточная группа, пом. 022</v>
      </c>
    </row>
    <row r="243" spans="1:6" x14ac:dyDescent="0.3">
      <c r="A243">
        <v>240</v>
      </c>
      <c r="B243" t="str">
        <v>ЩР-01</v>
      </c>
      <c r="C243" t="str">
        <v>QFD34</v>
      </c>
      <c r="D243" t="str">
        <v>кабель ВВГнг(А)-LS (3х2,5) → Розеточная группа, пом. 012A</v>
      </c>
      <c r="E243" t="str">
        <v>R.0.012A.2</v>
      </c>
      <c r="F243" t="str">
        <v>Розеточная группа, пом. 012A</v>
      </c>
    </row>
    <row r="244" spans="1:6" x14ac:dyDescent="0.3">
      <c r="A244">
        <v>241</v>
      </c>
      <c r="B244" t="str">
        <v>ЩР-01</v>
      </c>
      <c r="C244" t="str">
        <v>QFD35</v>
      </c>
      <c r="D244" t="str">
        <v>кабель ВВГнг(А)-LS (3х2,5) → Розеточная группа, пом. 020A</v>
      </c>
      <c r="E244" t="str">
        <v>R.0.020A.1</v>
      </c>
      <c r="F244" t="str">
        <v>Розеточная группа, пом. 020A</v>
      </c>
    </row>
    <row r="245" spans="1:6" x14ac:dyDescent="0.3">
      <c r="A245">
        <v>242</v>
      </c>
      <c r="B245" t="str">
        <v>ЩР-01</v>
      </c>
      <c r="C245" t="str">
        <v>QF36</v>
      </c>
      <c r="D245" t="str">
        <v>XT36</v>
      </c>
      <c r="E245" t="str">
        <v>ШТК-1</v>
      </c>
      <c r="F245" t="str">
        <v>Шкаф телекоммуникационный ШТК-2 Цокольный этаж Пом. №002Т</v>
      </c>
    </row>
    <row r="246" spans="1:6" x14ac:dyDescent="0.3">
      <c r="A246">
        <v>243</v>
      </c>
      <c r="B246" t="str">
        <v>ЩР-01</v>
      </c>
      <c r="C246" t="str">
        <v>XT36</v>
      </c>
      <c r="D246" t="str">
        <v>кабель ВВГнг(А)-LS (3х6) → Шкаф телекоммуникационный ШТК-2 Цокольный этаж Пом. №002Т</v>
      </c>
      <c r="E246" t="str">
        <v>ШТК-1</v>
      </c>
      <c r="F246" t="str">
        <v>Шкаф телекоммуникационный ШТК-2 Цокольный этаж Пом. №002Т</v>
      </c>
    </row>
    <row r="247" spans="1:6" x14ac:dyDescent="0.3">
      <c r="A247">
        <v>244</v>
      </c>
      <c r="B247" t="str">
        <v>ЩР-01</v>
      </c>
      <c r="C247" t="str">
        <v>QF37</v>
      </c>
      <c r="D247" t="str">
        <v>XT37</v>
      </c>
      <c r="E247" t="str">
        <v>ШТК-СОТ.0</v>
      </c>
      <c r="F247" t="str">
        <v>Шкаф телекоммуникационный ШТК-СОТ.0 Цокольный этаж Пом. №002Т</v>
      </c>
    </row>
    <row r="248" spans="1:6" x14ac:dyDescent="0.3">
      <c r="A248">
        <v>245</v>
      </c>
      <c r="B248" t="str">
        <v>ЩР-01</v>
      </c>
      <c r="C248" t="str">
        <v>XT37</v>
      </c>
      <c r="D248" t="str">
        <v>кабель ВВГнг(А)-LS (3х2,5) → Шкаф телекоммуникационный ШТК-СОТ.0 Цокольный этаж Пом. №002Т</v>
      </c>
      <c r="E248" t="str">
        <v>ШТК-СОТ.0</v>
      </c>
      <c r="F248" t="str">
        <v>Шкаф телекоммуникационный ШТК-СОТ.0 Цокольный этаж Пом. №002Т</v>
      </c>
    </row>
    <row r="249" spans="1:6" x14ac:dyDescent="0.3">
      <c r="A249">
        <v>246</v>
      </c>
      <c r="B249" t="str">
        <v>ЩР-01</v>
      </c>
      <c r="C249" t="str">
        <v>QF38</v>
      </c>
      <c r="D249" t="str">
        <v>XT38</v>
      </c>
      <c r="E249" t="str">
        <v>ШТК-ЛВС.0</v>
      </c>
      <c r="F249" t="str">
        <v>Шкаф телекоммуникационный ШТК-ЛВС.0 Цокольный этаж Пом. №002Т</v>
      </c>
    </row>
    <row r="250" spans="1:6" x14ac:dyDescent="0.3">
      <c r="A250">
        <v>247</v>
      </c>
      <c r="B250" t="str">
        <v>ЩР-01</v>
      </c>
      <c r="C250" t="str">
        <v>XT38</v>
      </c>
      <c r="D250" t="str">
        <v>кабель ВВГнг(А)-LS (3х2,5) → Шкаф телекоммуникационный ШТК-ЛВС.0 Цокольный этаж Пом. №002Т</v>
      </c>
      <c r="E250" t="str">
        <v>ШТК-ЛВС.0</v>
      </c>
      <c r="F250" t="str">
        <v>Шкаф телекоммуникационный ШТК-ЛВС.0 Цокольный этаж Пом. №002Т</v>
      </c>
    </row>
    <row r="251" spans="1:6" x14ac:dyDescent="0.3">
      <c r="A251">
        <v>248</v>
      </c>
      <c r="B251" t="str">
        <v>ЩР-01</v>
      </c>
      <c r="C251" t="str">
        <v>QF39</v>
      </c>
      <c r="D251" t="str">
        <v>XT39</v>
      </c>
      <c r="E251" t="str">
        <v>ЩДК-01</v>
      </c>
      <c r="F251" t="str">
        <v>Щит контроля доступа ШДК-01 Цокольный этаж Пом. №001Т</v>
      </c>
    </row>
    <row r="252" spans="1:6" x14ac:dyDescent="0.3">
      <c r="A252">
        <v>249</v>
      </c>
      <c r="B252" t="str">
        <v>ЩР-01</v>
      </c>
      <c r="C252" t="str">
        <v>XT39</v>
      </c>
      <c r="D252" t="str">
        <v>кабель ВВГнг(А)-LS (3х2,5) → Щит контроля доступа ШДК-01 Цокольный этаж Пом. №001Т</v>
      </c>
      <c r="E252" t="str">
        <v>ЩДК-01</v>
      </c>
      <c r="F252" t="str">
        <v>Щит контроля доступа ШДК-01 Цокольный этаж Пом. №001Т</v>
      </c>
    </row>
    <row r="253" spans="1:6" x14ac:dyDescent="0.3">
      <c r="A253">
        <v>250</v>
      </c>
      <c r="B253" t="str">
        <v>ЩР-1</v>
      </c>
      <c r="C253" t="str">
        <v>QFD1</v>
      </c>
      <c r="D253" t="str">
        <v>XT1</v>
      </c>
      <c r="E253" t="str">
        <v>R.1.001A.1</v>
      </c>
      <c r="F253" t="str">
        <v>Розеточная группа, пом. 001A</v>
      </c>
    </row>
    <row r="254" spans="1:6" x14ac:dyDescent="0.3">
      <c r="A254">
        <v>251</v>
      </c>
      <c r="B254" t="str">
        <v>ЩР-1</v>
      </c>
      <c r="C254" t="str">
        <v>XT1</v>
      </c>
      <c r="D254" t="str">
        <v>кабель ВВГнг(А)-LS (3х2,5) → Розеточная группа, пом. 001A</v>
      </c>
      <c r="E254" t="str">
        <v>R.1.001A.1</v>
      </c>
      <c r="F254" t="str">
        <v>Розеточная группа, пом. 001A</v>
      </c>
    </row>
    <row r="255" spans="1:6" x14ac:dyDescent="0.3">
      <c r="A255">
        <v>252</v>
      </c>
      <c r="B255" t="str">
        <v>ЩР-1</v>
      </c>
      <c r="C255" t="str">
        <v>QFD2</v>
      </c>
      <c r="D255" t="str">
        <v>XT2</v>
      </c>
      <c r="E255" t="str">
        <v>R.1.001Aб.1</v>
      </c>
      <c r="F255" t="str">
        <v>Розеточная группа Первый этаж Пом. №001Aб, 002Аб</v>
      </c>
    </row>
    <row r="256" spans="1:6" x14ac:dyDescent="0.3">
      <c r="A256">
        <v>253</v>
      </c>
      <c r="B256" t="str">
        <v>ЩР-1</v>
      </c>
      <c r="C256" t="str">
        <v>XT2</v>
      </c>
      <c r="D256" t="str">
        <v>кабель ВВГнг(А)-LS (3х2,5) → Розеточная группа Первый этаж Пом. №001Aб, 002Аб</v>
      </c>
      <c r="E256" t="str">
        <v>R.1.001Aб.1</v>
      </c>
      <c r="F256" t="str">
        <v>Розеточная группа Первый этаж Пом. №001Aб, 002Аб</v>
      </c>
    </row>
    <row r="257" spans="1:6" x14ac:dyDescent="0.3">
      <c r="A257">
        <v>254</v>
      </c>
      <c r="B257" t="str">
        <v>ЩР-1</v>
      </c>
      <c r="C257" t="str">
        <v>QFD3</v>
      </c>
      <c r="D257" t="str">
        <v>XT3</v>
      </c>
      <c r="E257" t="str">
        <v>R.1.001Г.1</v>
      </c>
      <c r="F257" t="str">
        <v>Розеточная группа, пом. 001Г</v>
      </c>
    </row>
    <row r="258" spans="1:6" x14ac:dyDescent="0.3">
      <c r="A258">
        <v>255</v>
      </c>
      <c r="B258" t="str">
        <v>ЩР-1</v>
      </c>
      <c r="C258" t="str">
        <v>XT3</v>
      </c>
      <c r="D258" t="str">
        <v>кабель ВВГнг(А)-LS (3х2,5) → Розеточная группа, пом. 001Г</v>
      </c>
      <c r="E258" t="str">
        <v>R.1.001Г.1</v>
      </c>
      <c r="F258" t="str">
        <v>Розеточная группа, пом. 001Г</v>
      </c>
    </row>
    <row r="259" spans="1:6" x14ac:dyDescent="0.3">
      <c r="A259">
        <v>256</v>
      </c>
      <c r="B259" t="str">
        <v>ЩР-1</v>
      </c>
      <c r="C259" t="str">
        <v>QFD4</v>
      </c>
      <c r="D259" t="str">
        <v>XT4</v>
      </c>
      <c r="E259" t="str">
        <v>R.1.002A.1</v>
      </c>
      <c r="F259" t="str">
        <v>Розеточная группа Первый этаж Пом. №002A, 023А</v>
      </c>
    </row>
    <row r="260" spans="1:6" x14ac:dyDescent="0.3">
      <c r="A260">
        <v>257</v>
      </c>
      <c r="B260" t="str">
        <v>ЩР-1</v>
      </c>
      <c r="C260" t="str">
        <v>XT4</v>
      </c>
      <c r="D260" t="str">
        <v>кабель ВВГнг(А)-LS (3х2,5) → Розеточная группа Первый этаж Пом. №002A, 023А</v>
      </c>
      <c r="E260" t="str">
        <v>R.1.002A.1</v>
      </c>
      <c r="F260" t="str">
        <v>Розеточная группа Первый этаж Пом. №002A, 023А</v>
      </c>
    </row>
    <row r="261" spans="1:6" x14ac:dyDescent="0.3">
      <c r="A261">
        <v>258</v>
      </c>
      <c r="B261" t="str">
        <v>ЩР-1</v>
      </c>
      <c r="C261" t="str">
        <v>QFD5</v>
      </c>
      <c r="D261" t="str">
        <v>XT5</v>
      </c>
      <c r="E261" t="str">
        <v>R.1.002Aб.1</v>
      </c>
      <c r="F261" t="str">
        <v>Розеточная группа, пом. 002Aб</v>
      </c>
    </row>
    <row r="262" spans="1:6" x14ac:dyDescent="0.3">
      <c r="A262">
        <v>259</v>
      </c>
      <c r="B262" t="str">
        <v>ЩР-1</v>
      </c>
      <c r="C262" t="str">
        <v>XT5</v>
      </c>
      <c r="D262" t="str">
        <v>кабель ВВГнг(А)-LS (3х2,5) → Розеточная группа, пом. 002Aб</v>
      </c>
      <c r="E262" t="str">
        <v>R.1.002Aб.1</v>
      </c>
      <c r="F262" t="str">
        <v>Розеточная группа, пом. 002Aб</v>
      </c>
    </row>
    <row r="263" spans="1:6" x14ac:dyDescent="0.3">
      <c r="A263">
        <v>260</v>
      </c>
      <c r="B263" t="str">
        <v>ЩР-1</v>
      </c>
      <c r="C263" t="str">
        <v>QFD6</v>
      </c>
      <c r="D263" t="str">
        <v>XT6</v>
      </c>
      <c r="E263" t="str">
        <v>R.1.002Б.1</v>
      </c>
      <c r="F263" t="str">
        <v>Розеточная группа Первый этаж Пом. №002Б Ледогенератор</v>
      </c>
    </row>
    <row r="264" spans="1:6" x14ac:dyDescent="0.3">
      <c r="A264">
        <v>261</v>
      </c>
      <c r="B264" t="str">
        <v>ЩР-1</v>
      </c>
      <c r="C264" t="str">
        <v>XT6</v>
      </c>
      <c r="D264" t="str">
        <v>кабель ВВГнг(А)-LS (3х2,5) → Розеточная группа Первый этаж Пом. №002Б Ледогенератор</v>
      </c>
      <c r="E264" t="str">
        <v>R.1.002Б.1</v>
      </c>
      <c r="F264" t="str">
        <v>Розеточная группа Первый этаж Пом. №002Б Ледогенератор</v>
      </c>
    </row>
    <row r="265" spans="1:6" x14ac:dyDescent="0.3">
      <c r="A265">
        <v>262</v>
      </c>
      <c r="B265" t="str">
        <v>ЩР-1</v>
      </c>
      <c r="C265" t="str">
        <v>QFD7</v>
      </c>
      <c r="D265" t="str">
        <v>XT7</v>
      </c>
      <c r="E265" t="str">
        <v>R.1.002Б.2</v>
      </c>
      <c r="F265" t="str">
        <v>Розеточная группа, пом. 002Б</v>
      </c>
    </row>
    <row r="266" spans="1:6" x14ac:dyDescent="0.3">
      <c r="A266">
        <v>263</v>
      </c>
      <c r="B266" t="str">
        <v>ЩР-1</v>
      </c>
      <c r="C266" t="str">
        <v>XT7</v>
      </c>
      <c r="D266" t="str">
        <v>кабель ВВГнг(А)-LS (3х2,5) → Розеточная группа, пом. 002Б</v>
      </c>
      <c r="E266" t="str">
        <v>R.1.002Б.2</v>
      </c>
      <c r="F266" t="str">
        <v>Розеточная группа, пом. 002Б</v>
      </c>
    </row>
    <row r="267" spans="1:6" x14ac:dyDescent="0.3">
      <c r="A267">
        <v>264</v>
      </c>
      <c r="B267" t="str">
        <v>ЩР-1</v>
      </c>
      <c r="C267" t="str">
        <v>QFD8</v>
      </c>
      <c r="D267" t="str">
        <v>XT8</v>
      </c>
      <c r="E267" t="str">
        <v>R.1.002Б.3</v>
      </c>
      <c r="F267" t="str">
        <v>Розеточная группа Первый этаж Пом. №002Б Ледогенератор</v>
      </c>
    </row>
    <row r="268" spans="1:6" x14ac:dyDescent="0.3">
      <c r="A268">
        <v>265</v>
      </c>
      <c r="B268" t="str">
        <v>ЩР-1</v>
      </c>
      <c r="C268" t="str">
        <v>XT8</v>
      </c>
      <c r="D268" t="str">
        <v>кабель ВВГнг(А)-LS (3х2,5) → Розеточная группа Первый этаж Пом. №002Б Ледогенератор</v>
      </c>
      <c r="E268" t="str">
        <v>R.1.002Б.3</v>
      </c>
      <c r="F268" t="str">
        <v>Розеточная группа Первый этаж Пом. №002Б Ледогенератор</v>
      </c>
    </row>
    <row r="269" spans="1:6" x14ac:dyDescent="0.3">
      <c r="A269">
        <v>266</v>
      </c>
      <c r="B269" t="str">
        <v>ЩР-1</v>
      </c>
      <c r="C269" t="str">
        <v>QFD9</v>
      </c>
      <c r="D269" t="str">
        <v>кабель ВВГнг(А)-LS (3х2,5) → Розеточная группа Первый этаж Пом. №002Б Фартук</v>
      </c>
      <c r="E269" t="str">
        <v>R.1.002Б.4</v>
      </c>
      <c r="F269" t="str">
        <v>Розеточная группа Первый этаж Пом. №002Б Фартук</v>
      </c>
    </row>
    <row r="270" spans="1:6" x14ac:dyDescent="0.3">
      <c r="A270">
        <v>267</v>
      </c>
      <c r="B270" t="str">
        <v>ЩР-1</v>
      </c>
      <c r="C270" t="str">
        <v>QFD10</v>
      </c>
      <c r="D270" t="str">
        <v>XT10</v>
      </c>
      <c r="E270" t="str">
        <v>R.1.002Б.5</v>
      </c>
      <c r="F270" t="str">
        <v>Розеточная группа Первый этаж Пом. №002Б ПММ</v>
      </c>
    </row>
    <row r="271" spans="1:6" x14ac:dyDescent="0.3">
      <c r="A271">
        <v>268</v>
      </c>
      <c r="B271" t="str">
        <v>ЩР-1</v>
      </c>
      <c r="C271" t="str">
        <v>XT10</v>
      </c>
      <c r="D271" t="str">
        <v>кабель ВВГнг(А)-LS (3х4) → Розеточная группа Первый этаж Пом. №002Б ПММ</v>
      </c>
      <c r="E271" t="str">
        <v>R.1.002Б.5</v>
      </c>
      <c r="F271" t="str">
        <v>Розеточная группа Первый этаж Пом. №002Б ПММ</v>
      </c>
    </row>
    <row r="272" spans="1:6" x14ac:dyDescent="0.3">
      <c r="A272">
        <v>269</v>
      </c>
      <c r="B272" t="str">
        <v>ЩР-1</v>
      </c>
      <c r="C272" t="str">
        <v>QFD11</v>
      </c>
      <c r="D272" t="str">
        <v>кабель ВВГнг(А)-LS (3х4) → Розеточная группа Первый этаж Пом. №002Б Стаканомоечная машина</v>
      </c>
      <c r="E272" t="str">
        <v>R.1.002Б.6</v>
      </c>
      <c r="F272" t="str">
        <v>Розеточная группа Первый этаж Пом. №002Б Стаканомоечная машина</v>
      </c>
    </row>
    <row r="273" spans="1:6" x14ac:dyDescent="0.3">
      <c r="A273">
        <v>270</v>
      </c>
      <c r="B273" t="str">
        <v>ЩР-1</v>
      </c>
      <c r="C273" t="str">
        <v>QFD12</v>
      </c>
      <c r="D273" t="str">
        <v>кабель ВВГнг(А)-LS (3х2,5) → Розеточная группа, пом. 002Б</v>
      </c>
      <c r="E273" t="str">
        <v>R.1.002Б.7</v>
      </c>
      <c r="F273" t="str">
        <v>Розеточная группа, пом. 002Б</v>
      </c>
    </row>
    <row r="274" spans="1:6" x14ac:dyDescent="0.3">
      <c r="A274">
        <v>271</v>
      </c>
      <c r="B274" t="str">
        <v>ЩР-1</v>
      </c>
      <c r="C274" t="str">
        <v>QFD13</v>
      </c>
      <c r="D274" t="str">
        <v>кабель ВВГнг(А)-LS (3х2,5) → Розеточная группа, пом. 002Б</v>
      </c>
      <c r="E274" t="str">
        <v>R.1.002Б.8</v>
      </c>
      <c r="F274" t="str">
        <v>Розеточная группа, пом. 002Б</v>
      </c>
    </row>
    <row r="275" spans="1:6" x14ac:dyDescent="0.3">
      <c r="A275">
        <v>272</v>
      </c>
      <c r="B275" t="str">
        <v>ЩР-1</v>
      </c>
      <c r="C275" t="str">
        <v>QFD14</v>
      </c>
      <c r="D275" t="str">
        <v>кабель ВВГнг(А)-LS (3х2,5) → Розеточная группа, пом. 002Г</v>
      </c>
      <c r="E275" t="str">
        <v>R.1.002Г.1</v>
      </c>
      <c r="F275" t="str">
        <v>Розеточная группа, пом. 002Г</v>
      </c>
    </row>
    <row r="276" spans="1:6" x14ac:dyDescent="0.3">
      <c r="A276">
        <v>273</v>
      </c>
      <c r="B276" t="str">
        <v>ЩР-1</v>
      </c>
      <c r="C276" t="str">
        <v>QFD15</v>
      </c>
      <c r="D276" t="str">
        <v>кабель ВВГнг(А)-LS (3х2,5) → Розеточная группа, пом. 003A</v>
      </c>
      <c r="E276" t="str">
        <v>R.1.003A.1</v>
      </c>
      <c r="F276" t="str">
        <v>Розеточная группа, пом. 003A</v>
      </c>
    </row>
    <row r="277" spans="1:6" x14ac:dyDescent="0.3">
      <c r="A277">
        <v>274</v>
      </c>
      <c r="B277" t="str">
        <v>ЩР-1</v>
      </c>
      <c r="C277" t="str">
        <v>QFD16</v>
      </c>
      <c r="D277" t="str">
        <v>кабель ВВГнг(А)-LS (3х2,5) → Розеточная группа, пом. 003A</v>
      </c>
      <c r="E277" t="str">
        <v>R.1.003A.2</v>
      </c>
      <c r="F277" t="str">
        <v>Розеточная группа, пом. 003A</v>
      </c>
    </row>
    <row r="278" spans="1:6" x14ac:dyDescent="0.3">
      <c r="A278">
        <v>275</v>
      </c>
      <c r="B278" t="str">
        <v>ЩР-1</v>
      </c>
      <c r="C278" t="str">
        <v>QFD17</v>
      </c>
      <c r="D278" t="str">
        <v>кабель ВВГнг(А)-LS (3х2,5) → Розеточная группа, пом. 003A</v>
      </c>
      <c r="E278" t="str">
        <v>R.1.003A.3</v>
      </c>
      <c r="F278" t="str">
        <v>Розеточная группа, пом. 003A</v>
      </c>
    </row>
    <row r="279" spans="1:6" x14ac:dyDescent="0.3">
      <c r="A279">
        <v>276</v>
      </c>
      <c r="B279" t="str">
        <v>ЩР-1</v>
      </c>
      <c r="C279" t="str">
        <v>QFD18</v>
      </c>
      <c r="D279" t="str">
        <v>кабель ВВГнг(А)-LS (3х2,5) → Розеточная группа, пом. 003A2</v>
      </c>
      <c r="E279" t="str">
        <v>R.1.003A2</v>
      </c>
      <c r="F279" t="str">
        <v>Розеточная группа, пом. 003A2</v>
      </c>
    </row>
    <row r="280" spans="1:6" x14ac:dyDescent="0.3">
      <c r="A280">
        <v>277</v>
      </c>
      <c r="B280" t="str">
        <v>ЩР-1</v>
      </c>
      <c r="C280" t="str">
        <v>QFD19</v>
      </c>
      <c r="D280" t="str">
        <v>кабель ВВГнг(А)-LS (3х2,5) → Розеточная группа, пом. 003Aб</v>
      </c>
      <c r="E280" t="str">
        <v>R.1.003Aб.1</v>
      </c>
      <c r="F280" t="str">
        <v>Розеточная группа, пом. 003Aб</v>
      </c>
    </row>
    <row r="281" spans="1:6" x14ac:dyDescent="0.3">
      <c r="A281">
        <v>278</v>
      </c>
      <c r="B281" t="str">
        <v>ЩР-1</v>
      </c>
      <c r="C281" t="str">
        <v>QFD20</v>
      </c>
      <c r="D281" t="str">
        <v>кабель ВВГнг(А)-LS (3х2,5) → Розеточная группа, пом. 003Б</v>
      </c>
      <c r="E281" t="str">
        <v>R.1.003Б.1</v>
      </c>
      <c r="F281" t="str">
        <v>Розеточная группа, пом. 003Б</v>
      </c>
    </row>
    <row r="282" spans="1:6" x14ac:dyDescent="0.3">
      <c r="A282">
        <v>279</v>
      </c>
      <c r="B282" t="str">
        <v>ЩР-1</v>
      </c>
      <c r="C282" t="str">
        <v>QFD21</v>
      </c>
      <c r="D282" t="str">
        <v>кабель ВВГнг(А)-LS (3х2,5) → Розеточная группа, пом. 003Б</v>
      </c>
      <c r="E282" t="str">
        <v>R.1.003Б.2</v>
      </c>
      <c r="F282" t="str">
        <v>Розеточная группа, пом. 003Б</v>
      </c>
    </row>
    <row r="283" spans="1:6" x14ac:dyDescent="0.3">
      <c r="A283">
        <v>280</v>
      </c>
      <c r="B283" t="str">
        <v>ЩР-1</v>
      </c>
      <c r="C283" t="str">
        <v>QFD22</v>
      </c>
      <c r="D283" t="str">
        <v>кабель ВВГнг(А)-LS (3х2,5) → Розеточная группа, пом. 003Г</v>
      </c>
      <c r="E283" t="str">
        <v>R.1.003Г.1</v>
      </c>
      <c r="F283" t="str">
        <v>Розеточная группа, пом. 003Г</v>
      </c>
    </row>
    <row r="284" spans="1:6" x14ac:dyDescent="0.3">
      <c r="A284">
        <v>281</v>
      </c>
      <c r="B284" t="str">
        <v>ЩР-1</v>
      </c>
      <c r="C284" t="str">
        <v>QFD23</v>
      </c>
      <c r="D284" t="str">
        <v>кабель ВВГнг(А)-LS (3х2,5) → Розеточная группа, пом. 004Aб</v>
      </c>
      <c r="E284" t="str">
        <v>R.1.004Aб.1</v>
      </c>
      <c r="F284" t="str">
        <v>Розеточная группа, пом. 004Aб</v>
      </c>
    </row>
    <row r="285" spans="1:6" x14ac:dyDescent="0.3">
      <c r="A285">
        <v>282</v>
      </c>
      <c r="B285" t="str">
        <v>ЩР-1</v>
      </c>
      <c r="C285" t="str">
        <v>QFD24</v>
      </c>
      <c r="D285" t="str">
        <v>XT24</v>
      </c>
      <c r="E285" t="str">
        <v>R.1.005A.1</v>
      </c>
      <c r="F285" t="str">
        <v>Розеточная группа, пом. 005A</v>
      </c>
    </row>
    <row r="286" spans="1:6" x14ac:dyDescent="0.3">
      <c r="A286">
        <v>283</v>
      </c>
      <c r="B286" t="str">
        <v>ЩР-1</v>
      </c>
      <c r="C286" t="str">
        <v>XT24</v>
      </c>
      <c r="D286" t="str">
        <v>кабель ВВГнг(А)-LS (3х2,5) → Розеточная группа, пом. 005A</v>
      </c>
      <c r="E286" t="str">
        <v>R.1.005A.1</v>
      </c>
      <c r="F286" t="str">
        <v>Розеточная группа, пом. 005A</v>
      </c>
    </row>
    <row r="287" spans="1:6" x14ac:dyDescent="0.3">
      <c r="A287">
        <v>284</v>
      </c>
      <c r="B287" t="str">
        <v>ЩР-1</v>
      </c>
      <c r="C287" t="str">
        <v>QFD25</v>
      </c>
      <c r="D287" t="str">
        <v>XT25</v>
      </c>
      <c r="E287" t="str">
        <v>R.1.006A.1</v>
      </c>
      <c r="F287" t="str">
        <v>Розеточная группа, пом. 006A</v>
      </c>
    </row>
    <row r="288" spans="1:6" x14ac:dyDescent="0.3">
      <c r="A288">
        <v>285</v>
      </c>
      <c r="B288" t="str">
        <v>ЩР-1</v>
      </c>
      <c r="C288" t="str">
        <v>XT25</v>
      </c>
      <c r="D288" t="str">
        <v>кабель ВВГнг(А)-LS (3х2,5) → Розеточная группа, пом. 006A</v>
      </c>
      <c r="E288" t="str">
        <v>R.1.006A.1</v>
      </c>
      <c r="F288" t="str">
        <v>Розеточная группа, пом. 006A</v>
      </c>
    </row>
    <row r="289" spans="1:6" x14ac:dyDescent="0.3">
      <c r="A289">
        <v>286</v>
      </c>
      <c r="B289" t="str">
        <v>ЩР-1</v>
      </c>
      <c r="C289" t="str">
        <v>QFD26</v>
      </c>
      <c r="D289" t="str">
        <v>кабель ВВГнг(А)-LS (3х2,5) → Розеточная группа, пом. 006Aб</v>
      </c>
      <c r="E289" t="str">
        <v>R.1.006Aб.1</v>
      </c>
      <c r="F289" t="str">
        <v>Розеточная группа, пом. 006Aб</v>
      </c>
    </row>
    <row r="290" spans="1:6" x14ac:dyDescent="0.3">
      <c r="A290">
        <v>287</v>
      </c>
      <c r="B290" t="str">
        <v>ЩР-1</v>
      </c>
      <c r="C290" t="str">
        <v>QFD27</v>
      </c>
      <c r="D290" t="str">
        <v>кабель ВВГнг(А)-LS (3х2,5) → Розеточная группа, пом. 006Aб</v>
      </c>
      <c r="E290" t="str">
        <v>R.1.006Aб.2</v>
      </c>
      <c r="F290" t="str">
        <v>Розеточная группа, пом. 006Aб</v>
      </c>
    </row>
    <row r="291" spans="1:6" x14ac:dyDescent="0.3">
      <c r="A291">
        <v>288</v>
      </c>
      <c r="B291" t="str">
        <v>ЩР-1</v>
      </c>
      <c r="C291" t="str">
        <v>QFD28</v>
      </c>
      <c r="D291" t="str">
        <v>кабель ВВГнг(А)-LS (3х2,5) → Розеточная группа, пом. 007A</v>
      </c>
      <c r="E291" t="str">
        <v>R.1.007A.1</v>
      </c>
      <c r="F291" t="str">
        <v>Розеточная группа, пом. 007A</v>
      </c>
    </row>
    <row r="292" spans="1:6" x14ac:dyDescent="0.3">
      <c r="A292">
        <v>289</v>
      </c>
      <c r="B292" t="str">
        <v>ЩР-1</v>
      </c>
      <c r="C292" t="str">
        <v>QFD29</v>
      </c>
      <c r="D292" t="str">
        <v>кабель ВВГнг(А)-LS (3х2,5) → Розеточная группа, пом. 008A</v>
      </c>
      <c r="E292" t="str">
        <v>R.1.008A.1</v>
      </c>
      <c r="F292" t="str">
        <v>Розеточная группа, пом. 008A</v>
      </c>
    </row>
    <row r="293" spans="1:6" x14ac:dyDescent="0.3">
      <c r="A293">
        <v>290</v>
      </c>
      <c r="B293" t="str">
        <v>ЩР-1</v>
      </c>
      <c r="C293" t="str">
        <v>QFD30</v>
      </c>
      <c r="D293" t="str">
        <v>кабель ВВГнг(А)-LS (3х2,5) → Розеточная группа, пом. 009A</v>
      </c>
      <c r="E293" t="str">
        <v>R.1.009A.1</v>
      </c>
      <c r="F293" t="str">
        <v>Розеточная группа, пом. 009A</v>
      </c>
    </row>
    <row r="294" spans="1:6" x14ac:dyDescent="0.3">
      <c r="A294">
        <v>291</v>
      </c>
      <c r="B294" t="str">
        <v>ЩР-1</v>
      </c>
      <c r="C294" t="str">
        <v>QFD31</v>
      </c>
      <c r="D294" t="str">
        <v>кабель ВВГнг(А)-LS (3х2,5) → Розеточная группа, пом. 010A</v>
      </c>
      <c r="E294" t="str">
        <v>R.1.010A.1</v>
      </c>
      <c r="F294" t="str">
        <v>Розеточная группа, пом. 010A</v>
      </c>
    </row>
    <row r="295" spans="1:6" x14ac:dyDescent="0.3">
      <c r="A295">
        <v>292</v>
      </c>
      <c r="B295" t="str">
        <v>ЩР-1</v>
      </c>
      <c r="C295" t="str">
        <v>QFD32</v>
      </c>
      <c r="D295" t="str">
        <v>кабель ВВГнг(А)-LS (3х2,5) → Розеточная группа, пом. 011A</v>
      </c>
      <c r="E295" t="str">
        <v>R.1.011A.1</v>
      </c>
      <c r="F295" t="str">
        <v>Розеточная группа, пом. 011A</v>
      </c>
    </row>
    <row r="296" spans="1:6" x14ac:dyDescent="0.3">
      <c r="A296">
        <v>293</v>
      </c>
      <c r="B296" t="str">
        <v>ЩР-1</v>
      </c>
      <c r="C296" t="str">
        <v>QFD33</v>
      </c>
      <c r="D296" t="str">
        <v>кабель ВВГнг(А)-LS (3х2,5) → Розеточная группа, пом. 012</v>
      </c>
      <c r="E296" t="str">
        <v>R.1.012.1A.1</v>
      </c>
      <c r="F296" t="str">
        <v>Розеточная группа, пом. 012</v>
      </c>
    </row>
    <row r="297" spans="1:6" x14ac:dyDescent="0.3">
      <c r="A297">
        <v>294</v>
      </c>
      <c r="B297" t="str">
        <v>ЩР-1</v>
      </c>
      <c r="C297" t="str">
        <v>QFD34</v>
      </c>
      <c r="D297" t="str">
        <v>кабель ВВГнг(А)-LS (3х2,5) → Розеточная группа, пом. 013A</v>
      </c>
      <c r="E297" t="str">
        <v>R.1.013A.1</v>
      </c>
      <c r="F297" t="str">
        <v>Розеточная группа, пом. 013A</v>
      </c>
    </row>
    <row r="298" spans="1:6" x14ac:dyDescent="0.3">
      <c r="A298">
        <v>295</v>
      </c>
      <c r="B298" t="str">
        <v>ЩР-1</v>
      </c>
      <c r="C298" t="str">
        <v>QFD35</v>
      </c>
      <c r="D298" t="str">
        <v>кабель ВВГнг(А)-LS (3х2,5) → Розеточная группа, пом. 014A</v>
      </c>
      <c r="E298" t="str">
        <v>R.1.014A.1</v>
      </c>
      <c r="F298" t="str">
        <v>Розеточная группа, пом. 014A</v>
      </c>
    </row>
    <row r="299" spans="1:6" x14ac:dyDescent="0.3">
      <c r="A299">
        <v>296</v>
      </c>
      <c r="B299" t="str">
        <v>ЩР-1</v>
      </c>
      <c r="C299" t="str">
        <v>QFD36</v>
      </c>
      <c r="D299" t="str">
        <v>XT36</v>
      </c>
      <c r="E299" t="str">
        <v>R.1.015A.1</v>
      </c>
      <c r="F299" t="str">
        <v>Розеточная группа, пом. 015A</v>
      </c>
    </row>
    <row r="300" spans="1:6" x14ac:dyDescent="0.3">
      <c r="A300">
        <v>297</v>
      </c>
      <c r="B300" t="str">
        <v>ЩР-1</v>
      </c>
      <c r="C300" t="str">
        <v>XT36</v>
      </c>
      <c r="D300" t="str">
        <v>кабель ВВГнг(А)-LS (3х2,5) → Розеточная группа, пом. 015A</v>
      </c>
      <c r="E300" t="str">
        <v>R.1.015A.1</v>
      </c>
      <c r="F300" t="str">
        <v>Розеточная группа, пом. 015A</v>
      </c>
    </row>
    <row r="301" spans="1:6" x14ac:dyDescent="0.3">
      <c r="A301">
        <v>298</v>
      </c>
      <c r="B301" t="str">
        <v>ЩР-1</v>
      </c>
      <c r="C301" t="str">
        <v>QFD37</v>
      </c>
      <c r="D301" t="str">
        <v>XT37</v>
      </c>
      <c r="E301" t="str">
        <v>R.1.016A.1</v>
      </c>
      <c r="F301" t="str">
        <v>Розеточная группа, пом. 016A</v>
      </c>
    </row>
    <row r="302" spans="1:6" x14ac:dyDescent="0.3">
      <c r="A302">
        <v>299</v>
      </c>
      <c r="B302" t="str">
        <v>ЩР-1</v>
      </c>
      <c r="C302" t="str">
        <v>XT37</v>
      </c>
      <c r="D302" t="str">
        <v>кабель ВВГнг(А)-LS (3х2,5) → Розеточная группа, пом. 016A</v>
      </c>
      <c r="E302" t="str">
        <v>R.1.016A.1</v>
      </c>
      <c r="F302" t="str">
        <v>Розеточная группа, пом. 016A</v>
      </c>
    </row>
    <row r="303" spans="1:6" x14ac:dyDescent="0.3">
      <c r="A303">
        <v>300</v>
      </c>
      <c r="B303" t="str">
        <v>ЩР-1</v>
      </c>
      <c r="C303" t="str">
        <v>QFD38</v>
      </c>
      <c r="D303" t="str">
        <v>XT38</v>
      </c>
      <c r="E303" t="str">
        <v>R.1.017A.1</v>
      </c>
      <c r="F303" t="str">
        <v>Розеточная группа, пом. 017A</v>
      </c>
    </row>
    <row r="304" spans="1:6" x14ac:dyDescent="0.3">
      <c r="A304">
        <v>301</v>
      </c>
      <c r="B304" t="str">
        <v>ЩР-1</v>
      </c>
      <c r="C304" t="str">
        <v>XT38</v>
      </c>
      <c r="D304" t="str">
        <v>кабель ВВГнг(А)-LS (3х2,5) → Розеточная группа, пом. 017A</v>
      </c>
      <c r="E304" t="str">
        <v>R.1.017A.1</v>
      </c>
      <c r="F304" t="str">
        <v>Розеточная группа, пом. 017A</v>
      </c>
    </row>
    <row r="305" spans="1:6" x14ac:dyDescent="0.3">
      <c r="A305">
        <v>302</v>
      </c>
      <c r="B305" t="str">
        <v>ЩР-1</v>
      </c>
      <c r="C305" t="str">
        <v>QFD39</v>
      </c>
      <c r="D305" t="str">
        <v>XT39</v>
      </c>
      <c r="E305" t="str">
        <v>R.1.017A.2</v>
      </c>
      <c r="F305" t="str">
        <v>Розеточная группа, пом. 017A</v>
      </c>
    </row>
    <row r="306" spans="1:6" x14ac:dyDescent="0.3">
      <c r="A306">
        <v>303</v>
      </c>
      <c r="B306" t="str">
        <v>ЩР-1</v>
      </c>
      <c r="C306" t="str">
        <v>XT39</v>
      </c>
      <c r="D306" t="str">
        <v>кабель ВВГнг(А)-LS (3х2,5) → Розеточная группа, пом. 017A</v>
      </c>
      <c r="E306" t="str">
        <v>R.1.017A.2</v>
      </c>
      <c r="F306" t="str">
        <v>Розеточная группа, пом. 017A</v>
      </c>
    </row>
    <row r="307" spans="1:6" x14ac:dyDescent="0.3">
      <c r="A307">
        <v>304</v>
      </c>
      <c r="B307" t="str">
        <v>ЩР-1</v>
      </c>
      <c r="C307" t="str">
        <v>QFD40</v>
      </c>
      <c r="D307" t="str">
        <v>XT40</v>
      </c>
      <c r="E307" t="str">
        <v>R.1.018A.1</v>
      </c>
      <c r="F307" t="str">
        <v>Розеточная группа, пом. 018A</v>
      </c>
    </row>
    <row r="308" spans="1:6" x14ac:dyDescent="0.3">
      <c r="A308">
        <v>305</v>
      </c>
      <c r="B308" t="str">
        <v>ЩР-1</v>
      </c>
      <c r="C308" t="str">
        <v>XT40</v>
      </c>
      <c r="D308" t="str">
        <v>кабель ВВГнг(А)-LS (3х2,5) → Розеточная группа, пом. 018A</v>
      </c>
      <c r="E308" t="str">
        <v>R.1.018A.1</v>
      </c>
      <c r="F308" t="str">
        <v>Розеточная группа, пом. 018A</v>
      </c>
    </row>
    <row r="309" spans="1:6" x14ac:dyDescent="0.3">
      <c r="A309">
        <v>306</v>
      </c>
      <c r="B309" t="str">
        <v>ЩР-1</v>
      </c>
      <c r="C309" t="str">
        <v>QFD41</v>
      </c>
      <c r="D309" t="str">
        <v>XT41</v>
      </c>
      <c r="E309" t="str">
        <v>R.1.019A.1</v>
      </c>
      <c r="F309" t="str">
        <v>Розеточная группа Первый этаж Пом. №019A Полотенцесушитель</v>
      </c>
    </row>
    <row r="310" spans="1:6" x14ac:dyDescent="0.3">
      <c r="A310">
        <v>307</v>
      </c>
      <c r="B310" t="str">
        <v>ЩР-1</v>
      </c>
      <c r="C310" t="str">
        <v>XT41</v>
      </c>
      <c r="D310" t="str">
        <v>кабель ВВГнг(А)-LS (3х2,5) → Розеточная группа Первый этаж Пом. №019A Полотенцесушитель</v>
      </c>
      <c r="E310" t="str">
        <v>R.1.019A.1</v>
      </c>
      <c r="F310" t="str">
        <v>Розеточная группа Первый этаж Пом. №019A Полотенцесушитель</v>
      </c>
    </row>
    <row r="311" spans="1:6" x14ac:dyDescent="0.3">
      <c r="A311">
        <v>308</v>
      </c>
      <c r="B311" t="str">
        <v>ЩР-1</v>
      </c>
      <c r="C311" t="str">
        <v>QFD42</v>
      </c>
      <c r="D311" t="str">
        <v>XT42</v>
      </c>
      <c r="E311" t="str">
        <v>R.1.020A.2</v>
      </c>
      <c r="F311" t="str">
        <v>Розеточная группа, пом. 020A</v>
      </c>
    </row>
    <row r="312" spans="1:6" x14ac:dyDescent="0.3">
      <c r="A312">
        <v>309</v>
      </c>
      <c r="B312" t="str">
        <v>ЩР-1</v>
      </c>
      <c r="C312" t="str">
        <v>XT42</v>
      </c>
      <c r="D312" t="str">
        <v>кабель ВВГнг(А)-LS (3х2,5) → Розеточная группа, пом. 020A</v>
      </c>
      <c r="E312" t="str">
        <v>R.1.020A.2</v>
      </c>
      <c r="F312" t="str">
        <v>Розеточная группа, пом. 020A</v>
      </c>
    </row>
    <row r="313" spans="1:6" x14ac:dyDescent="0.3">
      <c r="A313">
        <v>310</v>
      </c>
      <c r="B313" t="str">
        <v>ЩР-1</v>
      </c>
      <c r="C313" t="str">
        <v>QFD43</v>
      </c>
      <c r="D313" t="str">
        <v>XT43</v>
      </c>
      <c r="E313" t="str">
        <v>R.1.021A.1</v>
      </c>
      <c r="F313" t="str">
        <v>Розеточная группа Первый этаж Пом. №021A Кофемашина</v>
      </c>
    </row>
    <row r="314" spans="1:6" x14ac:dyDescent="0.3">
      <c r="A314">
        <v>311</v>
      </c>
      <c r="B314" t="str">
        <v>ЩР-1</v>
      </c>
      <c r="C314" t="str">
        <v>XT43</v>
      </c>
      <c r="D314" t="str">
        <v>кабель ВВГнг(А)-LS (3х2,5) → Розеточная группа Первый этаж Пом. №021A Кофемашина</v>
      </c>
      <c r="E314" t="str">
        <v>R.1.021A.1</v>
      </c>
      <c r="F314" t="str">
        <v>Розеточная группа Первый этаж Пом. №021A Кофемашина</v>
      </c>
    </row>
    <row r="315" spans="1:6" x14ac:dyDescent="0.3">
      <c r="A315">
        <v>312</v>
      </c>
      <c r="B315" t="str">
        <v>ЩР-1</v>
      </c>
      <c r="C315" t="str">
        <v>QFD44</v>
      </c>
      <c r="D315" t="str">
        <v>XT44</v>
      </c>
      <c r="E315" t="str">
        <v>R.1.021A.10</v>
      </c>
      <c r="F315" t="str">
        <v>Розеточная группа Первый этаж Пом. №021A ПММ</v>
      </c>
    </row>
    <row r="316" spans="1:6" x14ac:dyDescent="0.3">
      <c r="A316">
        <v>313</v>
      </c>
      <c r="B316" t="str">
        <v>ЩР-1</v>
      </c>
      <c r="C316" t="str">
        <v>XT44</v>
      </c>
      <c r="D316" t="str">
        <v>кабель ВВГнг(А)-LS (3х2,5) → Розеточная группа Первый этаж Пом. №021A ПММ</v>
      </c>
      <c r="E316" t="str">
        <v>R.1.021A.10</v>
      </c>
      <c r="F316" t="str">
        <v>Розеточная группа Первый этаж Пом. №021A ПММ</v>
      </c>
    </row>
    <row r="317" spans="1:6" x14ac:dyDescent="0.3">
      <c r="A317">
        <v>314</v>
      </c>
      <c r="B317" t="str">
        <v>ЩР-1</v>
      </c>
      <c r="C317" t="str">
        <v>QFD45</v>
      </c>
      <c r="D317" t="str">
        <v>XT45</v>
      </c>
      <c r="E317" t="str">
        <v>R.1.021A.11</v>
      </c>
      <c r="F317" t="str">
        <v>Розеточная группа, пом. 021A</v>
      </c>
    </row>
    <row r="318" spans="1:6" x14ac:dyDescent="0.3">
      <c r="A318">
        <v>315</v>
      </c>
      <c r="B318" t="str">
        <v>ЩР-1</v>
      </c>
      <c r="C318" t="str">
        <v>XT45</v>
      </c>
      <c r="D318" t="str">
        <v>кабель ВВГнг(А)-LS (3х2,5) → Розеточная группа, пом. 021A</v>
      </c>
      <c r="E318" t="str">
        <v>R.1.021A.11</v>
      </c>
      <c r="F318" t="str">
        <v>Розеточная группа, пом. 021A</v>
      </c>
    </row>
    <row r="319" spans="1:6" x14ac:dyDescent="0.3">
      <c r="A319">
        <v>316</v>
      </c>
      <c r="B319" t="str">
        <v>ЩР-1</v>
      </c>
      <c r="C319" t="str">
        <v>QFD46</v>
      </c>
      <c r="D319" t="str">
        <v>XT46</v>
      </c>
      <c r="E319" t="str">
        <v>R.1.021A.2</v>
      </c>
      <c r="F319" t="str">
        <v>Розеточная группа Первый этаж Пом. №021A Духовой шкаф</v>
      </c>
    </row>
    <row r="320" spans="1:6" x14ac:dyDescent="0.3">
      <c r="A320">
        <v>317</v>
      </c>
      <c r="B320" t="str">
        <v>ЩР-1</v>
      </c>
      <c r="C320" t="str">
        <v>XT46</v>
      </c>
      <c r="D320" t="str">
        <v>кабель ВВГнг(А)-LS (3х4) → Розеточная группа Первый этаж Пом. №021A Духовой шкаф</v>
      </c>
      <c r="E320" t="str">
        <v>R.1.021A.2</v>
      </c>
      <c r="F320" t="str">
        <v>Розеточная группа Первый этаж Пом. №021A Духовой шкаф</v>
      </c>
    </row>
    <row r="321" spans="1:6" x14ac:dyDescent="0.3">
      <c r="A321">
        <v>318</v>
      </c>
      <c r="B321" t="str">
        <v>ЩР-1</v>
      </c>
      <c r="C321" t="str">
        <v>QFD47</v>
      </c>
      <c r="D321" t="str">
        <v>XT47</v>
      </c>
      <c r="E321" t="str">
        <v>R.1.021A.3</v>
      </c>
      <c r="F321" t="str">
        <v>Розеточная группа Первый этаж Пом. №021A Микроволновая печь</v>
      </c>
    </row>
    <row r="322" spans="1:6" x14ac:dyDescent="0.3">
      <c r="A322">
        <v>319</v>
      </c>
      <c r="B322" t="str">
        <v>ЩР-1</v>
      </c>
      <c r="C322" t="str">
        <v>XT47</v>
      </c>
      <c r="D322" t="str">
        <v>кабель ВВГнг(А)-LS (3х2,5) → Розеточная группа Первый этаж Пом. №021A Микроволновая печь</v>
      </c>
      <c r="E322" t="str">
        <v>R.1.021A.3</v>
      </c>
      <c r="F322" t="str">
        <v>Розеточная группа Первый этаж Пом. №021A Микроволновая печь</v>
      </c>
    </row>
    <row r="323" spans="1:6" x14ac:dyDescent="0.3">
      <c r="A323">
        <v>320</v>
      </c>
      <c r="B323" t="str">
        <v>ЩР-1</v>
      </c>
      <c r="C323" t="str">
        <v>QFD48</v>
      </c>
      <c r="D323" t="str">
        <v>XT48</v>
      </c>
      <c r="E323" t="str">
        <v>R.1.021A.4</v>
      </c>
      <c r="F323" t="str">
        <v>Розеточная группа Первый этаж Пом. №021A Холодильник, морозильная камера</v>
      </c>
    </row>
    <row r="324" spans="1:6" x14ac:dyDescent="0.3">
      <c r="A324">
        <v>321</v>
      </c>
      <c r="B324" t="str">
        <v>ЩР-1</v>
      </c>
      <c r="C324" t="str">
        <v>XT48</v>
      </c>
      <c r="D324" t="str">
        <v>кабель ВВГнг(А)-LS (3х2,5) → Розеточная группа Первый этаж Пом. №021A Холодильник, морозильная камера</v>
      </c>
      <c r="E324" t="str">
        <v>R.1.021A.4</v>
      </c>
      <c r="F324" t="str">
        <v>Розеточная группа Первый этаж Пом. №021A Холодильник, морозильная камера</v>
      </c>
    </row>
    <row r="325" spans="1:6" x14ac:dyDescent="0.3">
      <c r="A325">
        <v>322</v>
      </c>
      <c r="B325" t="str">
        <v>ЩР-1</v>
      </c>
      <c r="C325" t="str">
        <v>QFD49</v>
      </c>
      <c r="D325" t="str">
        <v>XT49</v>
      </c>
      <c r="E325" t="str">
        <v>R.1.021A.6</v>
      </c>
      <c r="F325" t="str">
        <v>Розеточная группа Первый этаж Пом. №021A Вывод для вытяжки</v>
      </c>
    </row>
    <row r="326" spans="1:6" x14ac:dyDescent="0.3">
      <c r="A326">
        <v>323</v>
      </c>
      <c r="B326" t="str">
        <v>ЩР-1</v>
      </c>
      <c r="C326" t="str">
        <v>XT49</v>
      </c>
      <c r="D326" t="str">
        <v>кабель ВВГнг(А)-LS (3х2,5) → Розеточная группа Первый этаж Пом. №021A Вывод для вытяжки</v>
      </c>
      <c r="E326" t="str">
        <v>R.1.021A.6</v>
      </c>
      <c r="F326" t="str">
        <v>Розеточная группа Первый этаж Пом. №021A Вывод для вытяжки</v>
      </c>
    </row>
    <row r="327" spans="1:6" x14ac:dyDescent="0.3">
      <c r="A327">
        <v>324</v>
      </c>
      <c r="B327" t="str">
        <v>ЩР-1</v>
      </c>
      <c r="C327" t="str">
        <v>QFD50</v>
      </c>
      <c r="D327" t="str">
        <v>XT50</v>
      </c>
      <c r="E327" t="str">
        <v>R.1.021A.7</v>
      </c>
      <c r="F327" t="str">
        <v>Розеточная группа Первый этаж Пом. №021A Вывод на варочную панель</v>
      </c>
    </row>
    <row r="328" spans="1:6" x14ac:dyDescent="0.3">
      <c r="A328">
        <v>325</v>
      </c>
      <c r="B328" t="str">
        <v>ЩР-1</v>
      </c>
      <c r="C328" t="str">
        <v>XT50</v>
      </c>
      <c r="D328" t="str">
        <v>кабель ВВГнг(А)-LS (5х4) → Розеточная группа Первый этаж Пом. №021A Вывод на варочную панель</v>
      </c>
      <c r="E328" t="str">
        <v>R.1.021A.7</v>
      </c>
      <c r="F328" t="str">
        <v>Розеточная группа Первый этаж Пом. №021A Вывод на варочную панель</v>
      </c>
    </row>
    <row r="329" spans="1:6" x14ac:dyDescent="0.3">
      <c r="A329">
        <v>326</v>
      </c>
      <c r="B329" t="str">
        <v>ЩР-1</v>
      </c>
      <c r="C329" t="str">
        <v>QFD51</v>
      </c>
      <c r="D329" t="str">
        <v>XT51</v>
      </c>
      <c r="E329" t="str">
        <v>R.1.021A.8</v>
      </c>
      <c r="F329" t="str">
        <v>Розеточная группа, пом. 021A</v>
      </c>
    </row>
    <row r="330" spans="1:6" x14ac:dyDescent="0.3">
      <c r="A330">
        <v>327</v>
      </c>
      <c r="B330" t="str">
        <v>ЩР-1</v>
      </c>
      <c r="C330" t="str">
        <v>XT51</v>
      </c>
      <c r="D330" t="str">
        <v>кабель ВВГнг(А)-LS (3х2,5) → Розеточная группа, пом. 021A</v>
      </c>
      <c r="E330" t="str">
        <v>R.1.021A.8</v>
      </c>
      <c r="F330" t="str">
        <v>Розеточная группа, пом. 021A</v>
      </c>
    </row>
    <row r="331" spans="1:6" x14ac:dyDescent="0.3">
      <c r="A331">
        <v>328</v>
      </c>
      <c r="B331" t="str">
        <v>ЩР-1</v>
      </c>
      <c r="C331" t="str">
        <v>QFD52</v>
      </c>
      <c r="D331" t="str">
        <v>XT52</v>
      </c>
      <c r="E331" t="str">
        <v>R.1.021A.9</v>
      </c>
      <c r="F331" t="str">
        <v>Розеточная группа Первый этаж Пом. №021A Подогреватель пищи и посуды</v>
      </c>
    </row>
    <row r="332" spans="1:6" x14ac:dyDescent="0.3">
      <c r="A332">
        <v>329</v>
      </c>
      <c r="B332" t="str">
        <v>ЩР-1</v>
      </c>
      <c r="C332" t="str">
        <v>XT52</v>
      </c>
      <c r="D332" t="str">
        <v>кабель ВВГнг(А)-LS (3х2,5) → Розеточная группа Первый этаж Пом. №021A Подогреватель пищи и посуды</v>
      </c>
      <c r="E332" t="str">
        <v>R.1.021A.9</v>
      </c>
      <c r="F332" t="str">
        <v>Розеточная группа Первый этаж Пом. №021A Подогреватель пищи и посуды</v>
      </c>
    </row>
    <row r="333" spans="1:6" x14ac:dyDescent="0.3">
      <c r="A333">
        <v>330</v>
      </c>
      <c r="B333" t="str">
        <v>ЩР-1</v>
      </c>
      <c r="C333" t="str">
        <v>QFD53</v>
      </c>
      <c r="D333" t="str">
        <v>XT53</v>
      </c>
      <c r="E333" t="str">
        <v>R.1.002Б.9</v>
      </c>
      <c r="F333" t="str">
        <v>Розеточная группа Первый этаж Пом. №002Б Холодильник</v>
      </c>
    </row>
    <row r="334" spans="1:6" x14ac:dyDescent="0.3">
      <c r="A334">
        <v>331</v>
      </c>
      <c r="B334" t="str">
        <v>ЩР-1</v>
      </c>
      <c r="C334" t="str">
        <v>XT53</v>
      </c>
      <c r="D334" t="str">
        <v>кабель ВВГнг(А)-LS (3х2,5) → Розеточная группа Первый этаж Пом. №002Б Холодильник</v>
      </c>
      <c r="E334" t="str">
        <v>R.1.002Б.9</v>
      </c>
      <c r="F334" t="str">
        <v>Розеточная группа Первый этаж Пом. №002Б Холодильник</v>
      </c>
    </row>
    <row r="335" spans="1:6" x14ac:dyDescent="0.3">
      <c r="A335">
        <v>332</v>
      </c>
      <c r="B335" t="str">
        <v>ЩР-1</v>
      </c>
      <c r="C335" t="str">
        <v>QFD54</v>
      </c>
      <c r="D335" t="str">
        <v>XT54</v>
      </c>
      <c r="E335" t="str">
        <v>R.1.002Б.10</v>
      </c>
      <c r="F335" t="str">
        <v>Розеточная группа, пом. 002Б</v>
      </c>
    </row>
    <row r="336" spans="1:6" x14ac:dyDescent="0.3">
      <c r="A336">
        <v>333</v>
      </c>
      <c r="B336" t="str">
        <v>ЩР-1</v>
      </c>
      <c r="C336" t="str">
        <v>XT54</v>
      </c>
      <c r="D336" t="str">
        <v>кабель ВВГнг(А)-LS (3х2,5) → Розеточная группа, пом. 002Б</v>
      </c>
      <c r="E336" t="str">
        <v>R.1.002Б.10</v>
      </c>
      <c r="F336" t="str">
        <v>Розеточная группа, пом. 002Б</v>
      </c>
    </row>
    <row r="337" spans="1:6" x14ac:dyDescent="0.3">
      <c r="A337">
        <v>334</v>
      </c>
      <c r="B337" t="str">
        <v>ЩР-1</v>
      </c>
      <c r="C337" t="str">
        <v>QFD55</v>
      </c>
      <c r="D337" t="str">
        <v>XT55</v>
      </c>
      <c r="E337" t="str">
        <v>R.1.021A.5</v>
      </c>
      <c r="F337" t="str">
        <v>Розеточная группа, пом. 021A</v>
      </c>
    </row>
    <row r="338" spans="1:6" x14ac:dyDescent="0.3">
      <c r="A338">
        <v>335</v>
      </c>
      <c r="B338" t="str">
        <v>ЩР-1</v>
      </c>
      <c r="C338" t="str">
        <v>XT55</v>
      </c>
      <c r="D338" t="str">
        <v>кабель ВВГнг(А)-LS (3х2,5) → Розеточная группа, пом. 021A</v>
      </c>
      <c r="E338" t="str">
        <v>R.1.021A.5</v>
      </c>
      <c r="F338" t="str">
        <v>Розеточная группа, пом. 021A</v>
      </c>
    </row>
    <row r="339" spans="1:6" x14ac:dyDescent="0.3">
      <c r="A339">
        <v>336</v>
      </c>
      <c r="B339" t="str">
        <v>ЩР-1</v>
      </c>
      <c r="C339" t="str">
        <v>QFD56</v>
      </c>
      <c r="D339" t="str">
        <v>XT56</v>
      </c>
      <c r="E339" t="str">
        <v>R.1.020A.1</v>
      </c>
      <c r="F339" t="str">
        <v>Розеточная группа Первый этаж Пом. №020A Холодильник, морозильная камера</v>
      </c>
    </row>
    <row r="340" spans="1:6" x14ac:dyDescent="0.3">
      <c r="A340">
        <v>337</v>
      </c>
      <c r="B340" t="str">
        <v>ЩР-1</v>
      </c>
      <c r="C340" t="str">
        <v>XT56</v>
      </c>
      <c r="D340" t="str">
        <v>кабель ВВГнг(А)-LS (3х2,5) → Розеточная группа Первый этаж Пом. №020A Холодильник, морозильная камера</v>
      </c>
      <c r="E340" t="str">
        <v>R.1.020A.1</v>
      </c>
      <c r="F340" t="str">
        <v>Розеточная группа Первый этаж Пом. №020A Холодильник, морозильная камера</v>
      </c>
    </row>
    <row r="341" spans="1:6" x14ac:dyDescent="0.3">
      <c r="A341">
        <v>338</v>
      </c>
      <c r="B341" t="str">
        <v>ЩР-1</v>
      </c>
      <c r="C341" t="str">
        <v>QFD57</v>
      </c>
      <c r="D341" t="str">
        <v>XT57</v>
      </c>
      <c r="E341" t="str">
        <v>R.1.022A.1</v>
      </c>
      <c r="F341" t="str">
        <v>Розеточная группа, пом. 022A</v>
      </c>
    </row>
    <row r="342" spans="1:6" x14ac:dyDescent="0.3">
      <c r="A342">
        <v>339</v>
      </c>
      <c r="B342" t="str">
        <v>ЩР-1</v>
      </c>
      <c r="C342" t="str">
        <v>XT57</v>
      </c>
      <c r="D342" t="str">
        <v>кабель ВВГнг(А)-LS (3х2,5) → Розеточная группа, пом. 022A</v>
      </c>
      <c r="E342" t="str">
        <v>R.1.022A.1</v>
      </c>
      <c r="F342" t="str">
        <v>Розеточная группа, пом. 022A</v>
      </c>
    </row>
    <row r="343" spans="1:6" x14ac:dyDescent="0.3">
      <c r="A343">
        <v>340</v>
      </c>
      <c r="B343" t="str">
        <v>ЩР-1</v>
      </c>
      <c r="C343" t="str">
        <v>QF58</v>
      </c>
      <c r="D343" t="str">
        <v>XT58</v>
      </c>
      <c r="E343" t="str">
        <v>ЩКД.1</v>
      </c>
      <c r="F343" t="str">
        <v>Щит контроля доступа ЩКД-1 Первый этаж Пом. №002Б</v>
      </c>
    </row>
    <row r="344" spans="1:6" x14ac:dyDescent="0.3">
      <c r="A344">
        <v>341</v>
      </c>
      <c r="B344" t="str">
        <v>ЩР-1</v>
      </c>
      <c r="C344" t="str">
        <v>XT58</v>
      </c>
      <c r="D344" t="str">
        <v>кабель ВВГнг(А)-LS (3х2,5) → Щит контроля доступа ЩКД-1 Первый этаж Пом. №002Б</v>
      </c>
      <c r="E344" t="str">
        <v>ЩКД.1</v>
      </c>
      <c r="F344" t="str">
        <v>Щит контроля доступа ЩКД-1 Первый этаж Пом. №002Б</v>
      </c>
    </row>
    <row r="345" spans="1:6" x14ac:dyDescent="0.3">
      <c r="A345">
        <v>342</v>
      </c>
      <c r="B345" t="str">
        <v>ЩР-2</v>
      </c>
      <c r="C345" t="str">
        <v>QFD1</v>
      </c>
      <c r="D345" t="str">
        <v>XT1</v>
      </c>
      <c r="E345" t="str">
        <v>R.2.002А.1</v>
      </c>
      <c r="F345" t="str">
        <v>Розеточная группа, пом. 002А</v>
      </c>
    </row>
    <row r="346" spans="1:6" x14ac:dyDescent="0.3">
      <c r="A346">
        <v>343</v>
      </c>
      <c r="B346" t="str">
        <v>ЩР-2</v>
      </c>
      <c r="C346" t="str">
        <v>XT1</v>
      </c>
      <c r="D346" t="str">
        <v>кабель ВВГнг(А)-LS (3х2,5) → Розеточная группа, пом. 002А</v>
      </c>
      <c r="E346" t="str">
        <v>R.2.002А.1</v>
      </c>
      <c r="F346" t="str">
        <v>Розеточная группа, пом. 002А</v>
      </c>
    </row>
    <row r="347" spans="1:6" x14ac:dyDescent="0.3">
      <c r="A347">
        <v>344</v>
      </c>
      <c r="B347" t="str">
        <v>ЩР-2</v>
      </c>
      <c r="C347" t="str">
        <v>QFD2</v>
      </c>
      <c r="D347" t="str">
        <v>XT2</v>
      </c>
      <c r="E347" t="str">
        <v>R.2.003А.1</v>
      </c>
      <c r="F347" t="str">
        <v>Розеточная группа, пом. 003А</v>
      </c>
    </row>
    <row r="348" spans="1:6" x14ac:dyDescent="0.3">
      <c r="A348">
        <v>345</v>
      </c>
      <c r="B348" t="str">
        <v>ЩР-2</v>
      </c>
      <c r="C348" t="str">
        <v>XT2</v>
      </c>
      <c r="D348" t="str">
        <v>кабель ВВГнг(А)-LS (3х2,5) → Розеточная группа, пом. 003А</v>
      </c>
      <c r="E348" t="str">
        <v>R.2.003А.1</v>
      </c>
      <c r="F348" t="str">
        <v>Розеточная группа, пом. 003А</v>
      </c>
    </row>
    <row r="349" spans="1:6" x14ac:dyDescent="0.3">
      <c r="A349">
        <v>346</v>
      </c>
      <c r="B349" t="str">
        <v>ЩР-2</v>
      </c>
      <c r="C349" t="str">
        <v>QFD3</v>
      </c>
      <c r="D349" t="str">
        <v>XT3</v>
      </c>
      <c r="E349" t="str">
        <v>R.2.005А.1</v>
      </c>
      <c r="F349" t="str">
        <v>Розеточная группа, пом. 005А</v>
      </c>
    </row>
    <row r="350" spans="1:6" x14ac:dyDescent="0.3">
      <c r="A350">
        <v>347</v>
      </c>
      <c r="B350" t="str">
        <v>ЩР-2</v>
      </c>
      <c r="C350" t="str">
        <v>XT3</v>
      </c>
      <c r="D350" t="str">
        <v>кабель ВВГнг(А)-LS (3х2,5) → Розеточная группа, пом. 005А</v>
      </c>
      <c r="E350" t="str">
        <v>R.2.005А.1</v>
      </c>
      <c r="F350" t="str">
        <v>Розеточная группа, пом. 005А</v>
      </c>
    </row>
    <row r="351" spans="1:6" x14ac:dyDescent="0.3">
      <c r="A351">
        <v>348</v>
      </c>
      <c r="B351" t="str">
        <v>ЩР-2</v>
      </c>
      <c r="C351" t="str">
        <v>QFD4</v>
      </c>
      <c r="D351" t="str">
        <v>XT4</v>
      </c>
      <c r="E351" t="str">
        <v>R.2.005А.2</v>
      </c>
      <c r="F351" t="str">
        <v>Розеточная группа, пом. 005А</v>
      </c>
    </row>
    <row r="352" spans="1:6" x14ac:dyDescent="0.3">
      <c r="A352">
        <v>349</v>
      </c>
      <c r="B352" t="str">
        <v>ЩР-2</v>
      </c>
      <c r="C352" t="str">
        <v>XT4</v>
      </c>
      <c r="D352" t="str">
        <v>кабель ВВГнг(А)-LS (3х2,5) → Розеточная группа, пом. 005А</v>
      </c>
      <c r="E352" t="str">
        <v>R.2.005А.2</v>
      </c>
      <c r="F352" t="str">
        <v>Розеточная группа, пом. 005А</v>
      </c>
    </row>
    <row r="353" spans="1:6" x14ac:dyDescent="0.3">
      <c r="A353">
        <v>350</v>
      </c>
      <c r="B353" t="str">
        <v>ЩР-2</v>
      </c>
      <c r="C353" t="str">
        <v>QFD5</v>
      </c>
      <c r="D353" t="str">
        <v>XT5</v>
      </c>
      <c r="E353" t="str">
        <v>R.2.006А.1</v>
      </c>
      <c r="F353" t="str">
        <v>Розеточная группа, пом. 006А</v>
      </c>
    </row>
    <row r="354" spans="1:6" x14ac:dyDescent="0.3">
      <c r="A354">
        <v>351</v>
      </c>
      <c r="B354" t="str">
        <v>ЩР-2</v>
      </c>
      <c r="C354" t="str">
        <v>XT5</v>
      </c>
      <c r="D354" t="str">
        <v>кабель ВВГнг(А)-LS (3х2,5) → Розеточная группа, пом. 006А</v>
      </c>
      <c r="E354" t="str">
        <v>R.2.006А.1</v>
      </c>
      <c r="F354" t="str">
        <v>Розеточная группа, пом. 006А</v>
      </c>
    </row>
    <row r="355" spans="1:6" x14ac:dyDescent="0.3">
      <c r="A355">
        <v>352</v>
      </c>
      <c r="B355" t="str">
        <v>ЩР-2</v>
      </c>
      <c r="C355" t="str">
        <v>QFD6</v>
      </c>
      <c r="D355" t="str">
        <v>XT6</v>
      </c>
      <c r="E355" t="str">
        <v>R.2.009А.1</v>
      </c>
      <c r="F355" t="str">
        <v>Розеточная группа, пом. 009А</v>
      </c>
    </row>
    <row r="356" spans="1:6" x14ac:dyDescent="0.3">
      <c r="A356">
        <v>353</v>
      </c>
      <c r="B356" t="str">
        <v>ЩР-2</v>
      </c>
      <c r="C356" t="str">
        <v>XT6</v>
      </c>
      <c r="D356" t="str">
        <v>кабель ВВГнг(А)-LS (3х2,5) → Розеточная группа, пом. 009А</v>
      </c>
      <c r="E356" t="str">
        <v>R.2.009А.1</v>
      </c>
      <c r="F356" t="str">
        <v>Розеточная группа, пом. 009А</v>
      </c>
    </row>
    <row r="357" spans="1:6" x14ac:dyDescent="0.3">
      <c r="A357">
        <v>354</v>
      </c>
      <c r="B357" t="str">
        <v>ЩР-2</v>
      </c>
      <c r="C357" t="str">
        <v>QFD7</v>
      </c>
      <c r="D357" t="str">
        <v>XT7</v>
      </c>
      <c r="E357" t="str">
        <v>R.2.009А.2</v>
      </c>
      <c r="F357" t="str">
        <v>Розеточная группа, пом. 009А</v>
      </c>
    </row>
    <row r="358" spans="1:6" x14ac:dyDescent="0.3">
      <c r="A358">
        <v>355</v>
      </c>
      <c r="B358" t="str">
        <v>ЩР-2</v>
      </c>
      <c r="C358" t="str">
        <v>XT7</v>
      </c>
      <c r="D358" t="str">
        <v>кабель ВВГнг(А)-LS (3х2,5) → Розеточная группа, пом. 009А</v>
      </c>
      <c r="E358" t="str">
        <v>R.2.009А.2</v>
      </c>
      <c r="F358" t="str">
        <v>Розеточная группа, пом. 009А</v>
      </c>
    </row>
    <row r="359" spans="1:6" x14ac:dyDescent="0.3">
      <c r="A359">
        <v>356</v>
      </c>
      <c r="B359" t="str">
        <v>ЩР-2</v>
      </c>
      <c r="C359" t="str">
        <v>QFD8</v>
      </c>
      <c r="D359" t="str">
        <v>XT8</v>
      </c>
      <c r="E359" t="str">
        <v>R.2.010А.1</v>
      </c>
      <c r="F359" t="str">
        <v>Розеточная группа, пом. 010А</v>
      </c>
    </row>
    <row r="360" spans="1:6" x14ac:dyDescent="0.3">
      <c r="A360">
        <v>357</v>
      </c>
      <c r="B360" t="str">
        <v>ЩР-2</v>
      </c>
      <c r="C360" t="str">
        <v>XT8</v>
      </c>
      <c r="D360" t="str">
        <v>кабель ВВГнг(А)-LS (3х2,5) → Розеточная группа, пом. 010А</v>
      </c>
      <c r="E360" t="str">
        <v>R.2.010А.1</v>
      </c>
      <c r="F360" t="str">
        <v>Розеточная группа, пом. 010А</v>
      </c>
    </row>
    <row r="361" spans="1:6" x14ac:dyDescent="0.3">
      <c r="A361">
        <v>358</v>
      </c>
      <c r="B361" t="str">
        <v>ЩР-2</v>
      </c>
      <c r="C361" t="str">
        <v>QFD9</v>
      </c>
      <c r="D361" t="str">
        <v>кабель ВВГнг(А)-LS (3х2,5) → Розеточная группа, пом. 002Г</v>
      </c>
      <c r="E361" t="str">
        <v>R.2.002Г.1</v>
      </c>
      <c r="F361" t="str">
        <v>Розеточная группа, пом. 002Г</v>
      </c>
    </row>
    <row r="362" spans="1:6" x14ac:dyDescent="0.3">
      <c r="A362">
        <v>359</v>
      </c>
      <c r="B362" t="str">
        <v>ЩР-2</v>
      </c>
      <c r="C362" t="str">
        <v>QFD10</v>
      </c>
      <c r="D362" t="str">
        <v>XT10</v>
      </c>
      <c r="E362" t="str">
        <v>R.2.013А.1</v>
      </c>
      <c r="F362" t="str">
        <v>Розеточная группа, пом. 013А</v>
      </c>
    </row>
    <row r="363" spans="1:6" x14ac:dyDescent="0.3">
      <c r="A363">
        <v>360</v>
      </c>
      <c r="B363" t="str">
        <v>ЩР-2</v>
      </c>
      <c r="C363" t="str">
        <v>XT10</v>
      </c>
      <c r="D363" t="str">
        <v>кабель ВВГнг(А)-LS (3х2,5) → Розеточная группа, пом. 013А</v>
      </c>
      <c r="E363" t="str">
        <v>R.2.013А.1</v>
      </c>
      <c r="F363" t="str">
        <v>Розеточная группа, пом. 013А</v>
      </c>
    </row>
    <row r="364" spans="1:6" x14ac:dyDescent="0.3">
      <c r="A364">
        <v>361</v>
      </c>
      <c r="B364" t="str">
        <v>ЩР-2</v>
      </c>
      <c r="C364" t="str">
        <v>QFD11</v>
      </c>
      <c r="D364" t="str">
        <v>кабель ВВГнг(А)-LS (3х2,5) → Розеточная группа Второй этаж Пом. №013А, 012А</v>
      </c>
      <c r="E364" t="str">
        <v>R.2.014А.1</v>
      </c>
      <c r="F364" t="str">
        <v>Розеточная группа Второй этаж Пом. №013А, 012А</v>
      </c>
    </row>
    <row r="365" spans="1:6" x14ac:dyDescent="0.3">
      <c r="A365">
        <v>362</v>
      </c>
      <c r="B365" t="str">
        <v>ЩР-2</v>
      </c>
      <c r="C365" t="str">
        <v>QFD12</v>
      </c>
      <c r="D365" t="str">
        <v>кабель ВВГнг(А)-LS (3х2,5) → Розеточная группа, пом. 014А</v>
      </c>
      <c r="E365" t="str">
        <v>R.2.014А.2</v>
      </c>
      <c r="F365" t="str">
        <v>Розеточная группа, пом. 014А</v>
      </c>
    </row>
    <row r="366" spans="1:6" x14ac:dyDescent="0.3">
      <c r="A366">
        <v>363</v>
      </c>
      <c r="B366" t="str">
        <v>ЩР-2</v>
      </c>
      <c r="C366" t="str">
        <v>QFD13</v>
      </c>
      <c r="D366" t="str">
        <v>кабель ВВГнг(А)-LS (3х2,5) → Розеточная группа, пом. 015А</v>
      </c>
      <c r="E366" t="str">
        <v>R.2.015А.1</v>
      </c>
      <c r="F366" t="str">
        <v>Розеточная группа, пом. 015А</v>
      </c>
    </row>
    <row r="367" spans="1:6" x14ac:dyDescent="0.3">
      <c r="A367">
        <v>364</v>
      </c>
      <c r="B367" t="str">
        <v>ЩР-2</v>
      </c>
      <c r="C367" t="str">
        <v>QFD14</v>
      </c>
      <c r="D367" t="str">
        <v>кабель ВВГнг(А)-LS (3х2,5) → Розеточная группа, пом. 016А</v>
      </c>
      <c r="E367" t="str">
        <v>R.2.016А.1</v>
      </c>
      <c r="F367" t="str">
        <v>Розеточная группа, пом. 016А</v>
      </c>
    </row>
    <row r="368" spans="1:6" x14ac:dyDescent="0.3">
      <c r="A368">
        <v>365</v>
      </c>
      <c r="B368" t="str">
        <v>ЩР-2</v>
      </c>
      <c r="C368" t="str">
        <v>QFD15</v>
      </c>
      <c r="D368" t="str">
        <v>кабель ВВГнг(А)-LS (3х2,5) → Розеточная группа, пом. 017А</v>
      </c>
      <c r="E368" t="str">
        <v>R.2.017А.1</v>
      </c>
      <c r="F368" t="str">
        <v>Розеточная группа, пом. 017А</v>
      </c>
    </row>
    <row r="369" spans="1:6" x14ac:dyDescent="0.3">
      <c r="A369">
        <v>366</v>
      </c>
      <c r="B369" t="str">
        <v>ЩР-2</v>
      </c>
      <c r="C369" t="str">
        <v>QFD16</v>
      </c>
      <c r="D369" t="str">
        <v>кабель ВВГнг(А)-LS (3х2,5) → Розеточная группа, пом. 019А</v>
      </c>
      <c r="E369" t="str">
        <v>R.2.019А.1</v>
      </c>
      <c r="F369" t="str">
        <v>Розеточная группа, пом. 019А</v>
      </c>
    </row>
    <row r="370" spans="1:6" x14ac:dyDescent="0.3">
      <c r="A370">
        <v>367</v>
      </c>
      <c r="B370" t="str">
        <v>ЩР-2</v>
      </c>
      <c r="C370" t="str">
        <v>QFD17</v>
      </c>
      <c r="D370" t="str">
        <v>кабель ВВГнг(А)-LS (3х2,5) → Розеточная группа, пом. 019А</v>
      </c>
      <c r="E370" t="str">
        <v>R.2.019А.2</v>
      </c>
      <c r="F370" t="str">
        <v>Розеточная группа, пом. 019А</v>
      </c>
    </row>
    <row r="371" spans="1:6" x14ac:dyDescent="0.3">
      <c r="A371">
        <v>368</v>
      </c>
      <c r="B371" t="str">
        <v>ЩР-2</v>
      </c>
      <c r="C371" t="str">
        <v>QFD18</v>
      </c>
      <c r="D371" t="str">
        <v>кабель ВВГнг(А)-LS (3х2,5) → Розеточная группа, пом. 020А</v>
      </c>
      <c r="E371" t="str">
        <v>R.2.020А.1</v>
      </c>
      <c r="F371" t="str">
        <v>Розеточная группа, пом. 020А</v>
      </c>
    </row>
    <row r="372" spans="1:6" x14ac:dyDescent="0.3">
      <c r="A372">
        <v>369</v>
      </c>
      <c r="B372" t="str">
        <v>ЩР-2</v>
      </c>
      <c r="C372" t="str">
        <v>QFD19</v>
      </c>
      <c r="D372" t="str">
        <v>кабель ВВГнг(А)-LS (3х2,5) → Розеточная группа, пом. 022Б</v>
      </c>
      <c r="E372" t="str">
        <v>R.2.022Б.1</v>
      </c>
      <c r="F372" t="str">
        <v>Розеточная группа, пом. 022Б</v>
      </c>
    </row>
    <row r="373" spans="1:6" x14ac:dyDescent="0.3">
      <c r="A373">
        <v>370</v>
      </c>
      <c r="B373" t="str">
        <v>ЩР-2</v>
      </c>
      <c r="C373" t="str">
        <v>QFD20</v>
      </c>
      <c r="D373" t="str">
        <v>кабель ВВГнг(А)-LS (3х2,5) → Розеточная группа, пом. 001</v>
      </c>
      <c r="E373" t="str">
        <v>R.2.001.1</v>
      </c>
      <c r="F373" t="str">
        <v>Розеточная группа, пом. 001</v>
      </c>
    </row>
    <row r="374" spans="1:6" x14ac:dyDescent="0.3">
      <c r="A374">
        <v>371</v>
      </c>
      <c r="B374" t="str">
        <v>ЩР-2</v>
      </c>
      <c r="C374" t="str">
        <v>QFD21</v>
      </c>
      <c r="D374" t="str">
        <v>кабель ВВГнг(А)-LS (3х2,5) → Розеточная группа, пом. 003Г</v>
      </c>
      <c r="E374" t="str">
        <v>R.2.003Г.1</v>
      </c>
      <c r="F374" t="str">
        <v>Розеточная группа, пом. 003Г</v>
      </c>
    </row>
    <row r="375" spans="1:6" x14ac:dyDescent="0.3">
      <c r="A375">
        <v>372</v>
      </c>
      <c r="B375" t="str">
        <v>ЩР-2</v>
      </c>
      <c r="C375" t="str">
        <v>QFD22</v>
      </c>
      <c r="D375" t="str">
        <v>кабель ВВГнг(А)-LS (3х2,5) → Розеточная группа, пом. 005А</v>
      </c>
      <c r="E375" t="str">
        <v>R.2.005А.3</v>
      </c>
      <c r="F375" t="str">
        <v>Розеточная группа, пом. 005А</v>
      </c>
    </row>
    <row r="376" spans="1:6" x14ac:dyDescent="0.3">
      <c r="A376">
        <v>373</v>
      </c>
      <c r="B376" t="str">
        <v>ЩР-2</v>
      </c>
      <c r="C376" t="str">
        <v>QFD23</v>
      </c>
      <c r="D376" t="str">
        <v>кабель ВВГнг(А)-LS (3х2,5) → Розеточная группа, пом. 009А</v>
      </c>
      <c r="E376" t="str">
        <v>R.2.009А.3</v>
      </c>
      <c r="F376" t="str">
        <v>Розеточная группа, пом. 009А</v>
      </c>
    </row>
    <row r="377" spans="1:6" x14ac:dyDescent="0.3">
      <c r="A377">
        <v>374</v>
      </c>
      <c r="B377" t="str">
        <v>ЩР-2</v>
      </c>
      <c r="C377" t="str">
        <v>QFD24</v>
      </c>
      <c r="D377" t="str">
        <v>XT24</v>
      </c>
      <c r="E377" t="str">
        <v>R.2.020А.2</v>
      </c>
      <c r="F377" t="str">
        <v>Розеточная группа, пом. 020А</v>
      </c>
    </row>
    <row r="378" spans="1:6" x14ac:dyDescent="0.3">
      <c r="A378">
        <v>375</v>
      </c>
      <c r="B378" t="str">
        <v>ЩР-2</v>
      </c>
      <c r="C378" t="str">
        <v>XT24</v>
      </c>
      <c r="D378" t="str">
        <v>кабель ВВГнг(А)-LS (3х2,5) → Розеточная группа, пом. 020А</v>
      </c>
      <c r="E378" t="str">
        <v>R.2.020А.2</v>
      </c>
      <c r="F378" t="str">
        <v>Розеточная группа, пом. 020А</v>
      </c>
    </row>
    <row r="379" spans="1:6" x14ac:dyDescent="0.3">
      <c r="A379">
        <v>376</v>
      </c>
      <c r="B379" t="str">
        <v>ЩР-2</v>
      </c>
      <c r="C379" t="str">
        <v>QFD25</v>
      </c>
      <c r="D379" t="str">
        <v>XT25</v>
      </c>
      <c r="E379" t="str">
        <v>R.3.001T.1</v>
      </c>
      <c r="F379" t="str">
        <v>Розеточная группа, пом. 001T</v>
      </c>
    </row>
    <row r="380" spans="1:6" x14ac:dyDescent="0.3">
      <c r="A380">
        <v>377</v>
      </c>
      <c r="B380" t="str">
        <v>ЩР-2</v>
      </c>
      <c r="C380" t="str">
        <v>XT25</v>
      </c>
      <c r="D380" t="str">
        <v>кабель ВВГнг(А)-LS (3х2,5) → Розеточная группа, пом. 001T</v>
      </c>
      <c r="E380" t="str">
        <v>R.3.001T.1</v>
      </c>
      <c r="F380" t="str">
        <v>Розеточная группа, пом. 001T</v>
      </c>
    </row>
    <row r="381" spans="1:6" x14ac:dyDescent="0.3">
      <c r="A381">
        <v>378</v>
      </c>
      <c r="B381" t="str">
        <v>ЩР-2</v>
      </c>
      <c r="C381" t="str">
        <v>QFD26</v>
      </c>
      <c r="D381" t="str">
        <v>кабель ВВГнг(А)-LS (3х2,5) → Розеточная группа, пом. 001Б</v>
      </c>
      <c r="E381" t="str">
        <v>R.3.001Б.1</v>
      </c>
      <c r="F381" t="str">
        <v>Розеточная группа, пом. 001Б</v>
      </c>
    </row>
    <row r="382" spans="1:6" x14ac:dyDescent="0.3">
      <c r="A382">
        <v>379</v>
      </c>
      <c r="B382" t="str">
        <v>ЩР-2</v>
      </c>
      <c r="C382" t="str">
        <v>QF27</v>
      </c>
      <c r="D382" t="str">
        <v>кабель ВВГнг(А)-LS (3х2,5) → Шкаф телекоммуникационный ШТК-2  Тех. Этаж Пом №004T</v>
      </c>
      <c r="E382" t="str">
        <v>ШТК-2</v>
      </c>
      <c r="F382" t="str">
        <v>Шкаф телекоммуникационный ШТК-2  Тех. Этаж Пом №004T</v>
      </c>
    </row>
    <row r="383" spans="1:6" x14ac:dyDescent="0.3">
      <c r="A383">
        <v>380</v>
      </c>
      <c r="B383" t="str">
        <v>ЩР-2</v>
      </c>
      <c r="C383" t="str">
        <v>QF28</v>
      </c>
      <c r="D383" t="str">
        <v>кабель ВВГнг(А)-LS (3х2,5) → Шкаф телекоммуникационный ШТК-2  Тех. Этаж Пом №004T</v>
      </c>
      <c r="E383" t="str">
        <v>ШТК-ЛВС.3</v>
      </c>
      <c r="F383" t="str">
        <v>Шкаф телекоммуникационный ШТК-2  Тех. Этаж Пом №004T</v>
      </c>
    </row>
    <row r="384" spans="1:6" x14ac:dyDescent="0.3">
      <c r="A384">
        <v>381</v>
      </c>
      <c r="B384" t="str">
        <v>ЩР-2</v>
      </c>
      <c r="C384" t="str">
        <v>QF29</v>
      </c>
      <c r="D384" t="str">
        <v>кабель ВВГнг(А)-LS (3х2,5) → Щит контроля доступа ЩКД-2  Тех. Этаж Пом №001T</v>
      </c>
      <c r="E384" t="str">
        <v>ШКД.3</v>
      </c>
      <c r="F384" t="str">
        <v>Щит контроля доступа ЩКД-2  Тех. Этаж Пом №001T</v>
      </c>
    </row>
    <row r="385" spans="1:6" x14ac:dyDescent="0.3">
      <c r="A385">
        <v>382</v>
      </c>
      <c r="B385" t="str">
        <v>ЩС-Б</v>
      </c>
      <c r="C385" t="str">
        <v>QF1</v>
      </c>
      <c r="D385" t="str">
        <v>XT1</v>
      </c>
      <c r="E385" t="str">
        <v>Э.1</v>
      </c>
      <c r="F385" t="str">
        <v>Управляющий электрощит бассейна Подвальный этаж Пом. 002Тб</v>
      </c>
    </row>
    <row r="386" spans="1:6" x14ac:dyDescent="0.3">
      <c r="A386">
        <v>383</v>
      </c>
      <c r="B386" t="str">
        <v>ЩС-Б</v>
      </c>
      <c r="C386" t="str">
        <v>XT1</v>
      </c>
      <c r="D386" t="str">
        <v>кабель ВВГнг(А)-LS (5х4) → Управляющий электрощит бассейна Подвальный этаж Пом. 002Тб</v>
      </c>
      <c r="E386" t="str">
        <v>Э.1</v>
      </c>
      <c r="F386" t="str">
        <v>Управляющий электрощит бассейна Подвальный этаж Пом. 002Тб</v>
      </c>
    </row>
    <row r="387" spans="1:6" x14ac:dyDescent="0.3">
      <c r="A387">
        <v>384</v>
      </c>
      <c r="B387" t="str">
        <v>ЩС-Б</v>
      </c>
      <c r="C387" t="str">
        <v>QF2</v>
      </c>
      <c r="D387" t="str">
        <v>XT2</v>
      </c>
      <c r="E387" t="str">
        <v>Э.2</v>
      </c>
      <c r="F387" t="str">
        <v>Горячая купель Подвальный этаж Пом. 002Тб</v>
      </c>
    </row>
    <row r="388" spans="1:6" x14ac:dyDescent="0.3">
      <c r="A388">
        <v>385</v>
      </c>
      <c r="B388" t="str">
        <v>ЩС-Б</v>
      </c>
      <c r="C388" t="str">
        <v>XT2</v>
      </c>
      <c r="D388" t="str">
        <v>кабель ВВГнг(А)-LS (5х2,5) → Горячая купель Подвальный этаж Пом. 002Тб</v>
      </c>
      <c r="E388" t="str">
        <v>Э.2</v>
      </c>
      <c r="F388" t="str">
        <v>Горячая купель Подвальный этаж Пом. 002Тб</v>
      </c>
    </row>
    <row r="389" spans="1:6" x14ac:dyDescent="0.3">
      <c r="A389">
        <v>386</v>
      </c>
      <c r="B389" t="str">
        <v>ЩС-Б</v>
      </c>
      <c r="C389" t="str">
        <v>QF3</v>
      </c>
      <c r="D389" t="str">
        <v>XT3</v>
      </c>
      <c r="E389" t="str">
        <v>Э.3</v>
      </c>
      <c r="F389" t="str">
        <v>Холодная купель Подвальный этаж Пом. 002Тб</v>
      </c>
    </row>
    <row r="390" spans="1:6" x14ac:dyDescent="0.3">
      <c r="A390">
        <v>387</v>
      </c>
      <c r="B390" t="str">
        <v>ЩС-Б</v>
      </c>
      <c r="C390" t="str">
        <v>XT3</v>
      </c>
      <c r="D390" t="str">
        <v>кабель ВВГнг(А)-LS (5х2,5) → Холодная купель Подвальный этаж Пом. 002Тб</v>
      </c>
      <c r="E390" t="str">
        <v>Э.3</v>
      </c>
      <c r="F390" t="str">
        <v>Холодная купель Подвальный этаж Пом. 002Тб</v>
      </c>
    </row>
    <row r="391" spans="1:6" x14ac:dyDescent="0.3">
      <c r="A391">
        <v>388</v>
      </c>
      <c r="B391" t="str">
        <v>ЩС-ВК.001</v>
      </c>
      <c r="C391" t="str">
        <v>QF1</v>
      </c>
      <c r="D391" t="str">
        <v>XT1</v>
      </c>
      <c r="E391" t="str">
        <v>НВК.00.003Т.2</v>
      </c>
      <c r="F391" t="str">
        <v>Насос дренажный, пом. 003Т</v>
      </c>
    </row>
    <row r="392" spans="1:6" x14ac:dyDescent="0.3">
      <c r="A392">
        <v>389</v>
      </c>
      <c r="B392" t="str">
        <v>ЩС-ВК.001</v>
      </c>
      <c r="C392" t="str">
        <v>XT1</v>
      </c>
      <c r="D392" t="str">
        <v>кабель ВВГнг(А)-LS (3х2,5) → Насос дренажный, пом. 003Т</v>
      </c>
      <c r="E392" t="str">
        <v>НВК.00.003Т.2</v>
      </c>
      <c r="F392" t="str">
        <v>Насос дренажный, пом. 003Т</v>
      </c>
    </row>
    <row r="393" spans="1:6" x14ac:dyDescent="0.3">
      <c r="A393">
        <v>390</v>
      </c>
      <c r="B393" t="str">
        <v>ЩС-ВК.001</v>
      </c>
      <c r="C393" t="str">
        <v>QF2</v>
      </c>
      <c r="D393" t="str">
        <v>XT2</v>
      </c>
      <c r="E393" t="str">
        <v>НВК.00.003Т.1</v>
      </c>
      <c r="F393" t="str">
        <v>Насос дренажный, пом. 003Т</v>
      </c>
    </row>
    <row r="394" spans="1:6" x14ac:dyDescent="0.3">
      <c r="A394">
        <v>391</v>
      </c>
      <c r="B394" t="str">
        <v>ЩС-ВК.001</v>
      </c>
      <c r="C394" t="str">
        <v>XT2</v>
      </c>
      <c r="D394" t="str">
        <v>кабель ВВГнг(А)-LS (3х2,5) → Насос дренажный, пом. 003Т</v>
      </c>
      <c r="E394" t="str">
        <v>НВК.00.003Т.1</v>
      </c>
      <c r="F394" t="str">
        <v>Насос дренажный, пом. 003Т</v>
      </c>
    </row>
    <row r="395" spans="1:6" x14ac:dyDescent="0.3">
      <c r="A395">
        <v>392</v>
      </c>
      <c r="B395" t="str">
        <v>ЩС-ВК.001</v>
      </c>
      <c r="C395" t="str">
        <v>QF3</v>
      </c>
      <c r="D395" t="str">
        <v>XT3</v>
      </c>
      <c r="E395" t="str">
        <v>НВК.00.005Т.4</v>
      </c>
      <c r="F395" t="str">
        <v>Насос дренажный, пом. 005Т</v>
      </c>
    </row>
    <row r="396" spans="1:6" x14ac:dyDescent="0.3">
      <c r="A396">
        <v>393</v>
      </c>
      <c r="B396" t="str">
        <v>ЩС-ВК.001</v>
      </c>
      <c r="C396" t="str">
        <v>XT3</v>
      </c>
      <c r="D396" t="str">
        <v>кабель ВВГнг(А)-LS (3х2,5) → Насос дренажный, пом. 005Т</v>
      </c>
      <c r="E396" t="str">
        <v>НВК.00.005Т.4</v>
      </c>
      <c r="F396" t="str">
        <v>Насос дренажный, пом. 005Т</v>
      </c>
    </row>
    <row r="397" spans="1:6" x14ac:dyDescent="0.3">
      <c r="A397">
        <v>394</v>
      </c>
      <c r="B397" t="str">
        <v>ЩС-ВК.001</v>
      </c>
      <c r="C397" t="str">
        <v>QF4</v>
      </c>
      <c r="D397" t="str">
        <v>XT4</v>
      </c>
      <c r="E397" t="str">
        <v>НВК.00.005Т.3</v>
      </c>
      <c r="F397" t="str">
        <v>Насос дренажный, пом. 005Т</v>
      </c>
    </row>
    <row r="398" spans="1:6" x14ac:dyDescent="0.3">
      <c r="A398">
        <v>395</v>
      </c>
      <c r="B398" t="str">
        <v>ЩС-ВК.001</v>
      </c>
      <c r="C398" t="str">
        <v>XT4</v>
      </c>
      <c r="D398" t="str">
        <v>кабель ВВГнг(А)-LS (3х2,5) → Насос дренажный, пом. 005Т</v>
      </c>
      <c r="E398" t="str">
        <v>НВК.00.005Т.3</v>
      </c>
      <c r="F398" t="str">
        <v>Насос дренажный, пом. 005Т</v>
      </c>
    </row>
    <row r="399" spans="1:6" x14ac:dyDescent="0.3">
      <c r="A399">
        <v>396</v>
      </c>
      <c r="B399" t="str">
        <v>ЩС-ВК.001</v>
      </c>
      <c r="C399" t="str">
        <v>QF5</v>
      </c>
      <c r="D399" t="str">
        <v>XT5</v>
      </c>
      <c r="E399" t="str">
        <v>НВК.00.005Т.1</v>
      </c>
      <c r="F399" t="str">
        <v>Насос дренажный, пом. 005Т</v>
      </c>
    </row>
    <row r="400" spans="1:6" x14ac:dyDescent="0.3">
      <c r="A400">
        <v>397</v>
      </c>
      <c r="B400" t="str">
        <v>ЩС-ВК.001</v>
      </c>
      <c r="C400" t="str">
        <v>XT5</v>
      </c>
      <c r="D400" t="str">
        <v>кабель ВВГнг(А)-LS (3х2,5) → Насос дренажный, пом. 005Т</v>
      </c>
      <c r="E400" t="str">
        <v>НВК.00.005Т.1</v>
      </c>
      <c r="F400" t="str">
        <v>Насос дренажный, пом. 005Т</v>
      </c>
    </row>
    <row r="401" spans="1:6" x14ac:dyDescent="0.3">
      <c r="A401">
        <v>398</v>
      </c>
      <c r="B401" t="str">
        <v>ЩС-ВК.001</v>
      </c>
      <c r="C401" t="str">
        <v>QF6</v>
      </c>
      <c r="D401" t="str">
        <v>XT6</v>
      </c>
      <c r="E401" t="str">
        <v>НВК.00.005Т.2</v>
      </c>
      <c r="F401" t="str">
        <v>Насос дренажный, пом. 005Т</v>
      </c>
    </row>
    <row r="402" spans="1:6" x14ac:dyDescent="0.3">
      <c r="A402">
        <v>399</v>
      </c>
      <c r="B402" t="str">
        <v>ЩС-ВК.001</v>
      </c>
      <c r="C402" t="str">
        <v>XT6</v>
      </c>
      <c r="D402" t="str">
        <v>кабель ВВГнг(А)-LS (3х2,5) → Насос дренажный, пом. 005Т</v>
      </c>
      <c r="E402" t="str">
        <v>НВК.00.005Т.2</v>
      </c>
      <c r="F402" t="str">
        <v>Насос дренажный, пом. 005Т</v>
      </c>
    </row>
    <row r="403" spans="1:6" x14ac:dyDescent="0.3">
      <c r="A403">
        <v>400</v>
      </c>
      <c r="B403" t="str">
        <v>ЩС-ВК.001</v>
      </c>
      <c r="C403" t="str">
        <v>QF7</v>
      </c>
      <c r="D403" t="str">
        <v>XT7</v>
      </c>
      <c r="E403" t="str">
        <v>НВК.00.002Т.1</v>
      </c>
      <c r="F403" t="str">
        <v>циркуляционный насос Подвальный этаж Пом. №002Т</v>
      </c>
    </row>
    <row r="404" spans="1:6" x14ac:dyDescent="0.3">
      <c r="A404">
        <v>401</v>
      </c>
      <c r="B404" t="str">
        <v>ЩС-ВК.001</v>
      </c>
      <c r="C404" t="str">
        <v>XT7</v>
      </c>
      <c r="D404" t="str">
        <v>кабель ВВГнг(А)-LS (3х2,5) → циркуляционный насос Подвальный этаж Пом. №002Т</v>
      </c>
      <c r="E404" t="str">
        <v>НВК.00.002Т.1</v>
      </c>
      <c r="F404" t="str">
        <v>циркуляционный насос Подвальный этаж Пом. №002Т</v>
      </c>
    </row>
    <row r="405" spans="1:6" x14ac:dyDescent="0.3">
      <c r="A405">
        <v>402</v>
      </c>
      <c r="B405" t="str">
        <v>ЩС-ВК.002</v>
      </c>
      <c r="C405" t="str">
        <v>QF1</v>
      </c>
      <c r="D405" t="str">
        <v>XT1</v>
      </c>
      <c r="E405" t="str">
        <v>НВК.00.002Тб.3</v>
      </c>
      <c r="F405" t="str">
        <v>Насос дренажный, пом. 002Тб</v>
      </c>
    </row>
    <row r="406" spans="1:6" x14ac:dyDescent="0.3">
      <c r="A406">
        <v>403</v>
      </c>
      <c r="B406" t="str">
        <v>ЩС-ВК.002</v>
      </c>
      <c r="C406" t="str">
        <v>XT1</v>
      </c>
      <c r="D406" t="str">
        <v>кабель ВВГнг(А)-LS (3х2,5) → Насос дренажный, пом. 002Тб</v>
      </c>
      <c r="E406" t="str">
        <v>НВК.00.002Тб.3</v>
      </c>
      <c r="F406" t="str">
        <v>Насос дренажный, пом. 002Тб</v>
      </c>
    </row>
    <row r="407" spans="1:6" x14ac:dyDescent="0.3">
      <c r="A407">
        <v>404</v>
      </c>
      <c r="B407" t="str">
        <v>ЩС-ВК.002</v>
      </c>
      <c r="C407" t="str">
        <v>QF2</v>
      </c>
      <c r="D407" t="str">
        <v>XT2</v>
      </c>
      <c r="E407" t="str">
        <v>НВК.00.002Тб.4</v>
      </c>
      <c r="F407" t="str">
        <v>Насос дренажный, пом. 002Тб</v>
      </c>
    </row>
    <row r="408" spans="1:6" x14ac:dyDescent="0.3">
      <c r="A408">
        <v>405</v>
      </c>
      <c r="B408" t="str">
        <v>ЩС-ВК.002</v>
      </c>
      <c r="C408" t="str">
        <v>XT2</v>
      </c>
      <c r="D408" t="str">
        <v>кабель ВВГнг(А)-LS (3х2,5) → Насос дренажный, пом. 002Тб</v>
      </c>
      <c r="E408" t="str">
        <v>НВК.00.002Тб.4</v>
      </c>
      <c r="F408" t="str">
        <v>Насос дренажный, пом. 002Тб</v>
      </c>
    </row>
    <row r="409" spans="1:6" x14ac:dyDescent="0.3">
      <c r="A409">
        <v>406</v>
      </c>
      <c r="B409" t="str">
        <v>ЩС-ВК.002</v>
      </c>
      <c r="C409" t="str">
        <v>QF3</v>
      </c>
      <c r="D409" t="str">
        <v>XT3</v>
      </c>
      <c r="E409" t="str">
        <v>НВК.00.002Тб.2</v>
      </c>
      <c r="F409" t="str">
        <v>Насос дренажный, пом. 002Тб</v>
      </c>
    </row>
    <row r="410" spans="1:6" x14ac:dyDescent="0.3">
      <c r="A410">
        <v>407</v>
      </c>
      <c r="B410" t="str">
        <v>ЩС-ВК.002</v>
      </c>
      <c r="C410" t="str">
        <v>XT3</v>
      </c>
      <c r="D410" t="str">
        <v>кабель ВВГнг(А)-LS (3х2,5) → Насос дренажный, пом. 002Тб</v>
      </c>
      <c r="E410" t="str">
        <v>НВК.00.002Тб.2</v>
      </c>
      <c r="F410" t="str">
        <v>Насос дренажный, пом. 002Тб</v>
      </c>
    </row>
    <row r="411" spans="1:6" x14ac:dyDescent="0.3">
      <c r="A411">
        <v>408</v>
      </c>
      <c r="B411" t="str">
        <v>ЩС-ВК.002</v>
      </c>
      <c r="C411" t="str">
        <v>QF4</v>
      </c>
      <c r="D411" t="str">
        <v>XT4</v>
      </c>
      <c r="E411" t="str">
        <v>НВК.00.002Тб.1</v>
      </c>
      <c r="F411" t="str">
        <v>Насос дренажный, пом. 002Тб</v>
      </c>
    </row>
    <row r="412" spans="1:6" x14ac:dyDescent="0.3">
      <c r="A412">
        <v>409</v>
      </c>
      <c r="B412" t="str">
        <v>ЩС-ВК.002</v>
      </c>
      <c r="C412" t="str">
        <v>XT4</v>
      </c>
      <c r="D412" t="str">
        <v>кабель ВВГнг(А)-LS (3х2,5) → Насос дренажный, пом. 002Тб</v>
      </c>
      <c r="E412" t="str">
        <v>НВК.00.002Тб.1</v>
      </c>
      <c r="F412" t="str">
        <v>Насос дренажный, пом. 002Тб</v>
      </c>
    </row>
    <row r="413" spans="1:6" x14ac:dyDescent="0.3">
      <c r="A413">
        <v>410</v>
      </c>
      <c r="B413" t="str">
        <v>ЩС-ВК.003</v>
      </c>
      <c r="C413" t="str">
        <v>QF1</v>
      </c>
      <c r="D413" t="str">
        <v>XT1</v>
      </c>
      <c r="E413" t="str">
        <v>НВК.00.006Т.2</v>
      </c>
      <c r="F413" t="str">
        <v>Насос дренажный, пом. 006Т</v>
      </c>
    </row>
    <row r="414" spans="1:6" x14ac:dyDescent="0.3">
      <c r="A414">
        <v>411</v>
      </c>
      <c r="B414" t="str">
        <v>ЩС-ВК.003</v>
      </c>
      <c r="C414" t="str">
        <v>XT1</v>
      </c>
      <c r="D414" t="str">
        <v>кабель ВВГнг(А)-LS (3х2,5) → Насос дренажный, пом. 006Т</v>
      </c>
      <c r="E414" t="str">
        <v>НВК.00.006Т.2</v>
      </c>
      <c r="F414" t="str">
        <v>Насос дренажный, пом. 006Т</v>
      </c>
    </row>
    <row r="415" spans="1:6" x14ac:dyDescent="0.3">
      <c r="A415">
        <v>412</v>
      </c>
      <c r="B415" t="str">
        <v>ЩС-ВК.003</v>
      </c>
      <c r="C415" t="str">
        <v>QF2</v>
      </c>
      <c r="D415" t="str">
        <v>XT2</v>
      </c>
      <c r="E415" t="str">
        <v>НВК.00.006Т.1</v>
      </c>
      <c r="F415" t="str">
        <v>Насос дренажный, пом. 006Т</v>
      </c>
    </row>
    <row r="416" spans="1:6" x14ac:dyDescent="0.3">
      <c r="A416">
        <v>413</v>
      </c>
      <c r="B416" t="str">
        <v>ЩС-ВК.003</v>
      </c>
      <c r="C416" t="str">
        <v>XT2</v>
      </c>
      <c r="D416" t="str">
        <v>кабель ВВГнг(А)-LS (3х2,5) → Насос дренажный, пом. 006Т</v>
      </c>
      <c r="E416" t="str">
        <v>НВК.00.006Т.1</v>
      </c>
      <c r="F416" t="str">
        <v>Насос дренажный, пом. 006Т</v>
      </c>
    </row>
    <row r="417" spans="1:6" x14ac:dyDescent="0.3">
      <c r="A417">
        <v>414</v>
      </c>
      <c r="B417" t="str">
        <v>ЩС-ВК.003</v>
      </c>
      <c r="C417" t="str">
        <v>QF3</v>
      </c>
      <c r="D417" t="str">
        <v>XT3</v>
      </c>
      <c r="E417" t="str">
        <v>ЖУ.1</v>
      </c>
      <c r="F417" t="str">
        <v>Жироулавливатель Подвальный этаж Пом. №006Т</v>
      </c>
    </row>
    <row r="418" spans="1:6" x14ac:dyDescent="0.3">
      <c r="A418">
        <v>415</v>
      </c>
      <c r="B418" t="str">
        <v>ЩС-ВК.003</v>
      </c>
      <c r="C418" t="str">
        <v>XT3</v>
      </c>
      <c r="D418" t="str">
        <v>кабель ВВГнг(А)-LS (3х2,5) → Жироулавливатель Подвальный этаж Пом. №006Т</v>
      </c>
      <c r="E418" t="str">
        <v>ЖУ.1</v>
      </c>
      <c r="F418" t="str">
        <v>Жироулавливатель Подвальный этаж Пом. №006Т</v>
      </c>
    </row>
    <row r="419" spans="1:6" x14ac:dyDescent="0.3">
      <c r="A419">
        <v>416</v>
      </c>
      <c r="B419" t="str">
        <v>ЩС-ВК.003</v>
      </c>
      <c r="C419" t="str">
        <v>QFD4</v>
      </c>
      <c r="D419" t="str">
        <v>XT4</v>
      </c>
      <c r="E419" t="str">
        <v>R.00.002Б.3</v>
      </c>
      <c r="F419" t="str">
        <v>Сололифт Подвальный этаж Пом. №002Б</v>
      </c>
    </row>
    <row r="420" spans="1:6" x14ac:dyDescent="0.3">
      <c r="A420">
        <v>417</v>
      </c>
      <c r="B420" t="str">
        <v>ЩС-ВК.003</v>
      </c>
      <c r="C420" t="str">
        <v>XT4</v>
      </c>
      <c r="D420" t="str">
        <v>кабель ВВГнг(А)-LS (3х2,5) → Сололифт Подвальный этаж Пом. №002Б</v>
      </c>
      <c r="E420" t="str">
        <v>R.00.002Б.3</v>
      </c>
      <c r="F420" t="str">
        <v>Сололифт Подвальный этаж Пом. №002Б</v>
      </c>
    </row>
    <row r="421" spans="1:6" x14ac:dyDescent="0.3">
      <c r="A421">
        <v>418</v>
      </c>
      <c r="B421" t="str">
        <v>ЩСПЗ-ЖД</v>
      </c>
      <c r="C421" t="str">
        <v>QF1</v>
      </c>
      <c r="D421" t="str">
        <v>XT1</v>
      </c>
      <c r="E421" t="str">
        <v>FCP1-2</v>
      </c>
      <c r="F421" t="str">
        <v>шкаф пожарной сигнализации  Подвальный этаж Пом. №007Т</v>
      </c>
    </row>
    <row r="422" spans="1:6" x14ac:dyDescent="0.3">
      <c r="A422">
        <v>419</v>
      </c>
      <c r="B422" t="str">
        <v>ЩСПЗ-ЖД</v>
      </c>
      <c r="C422" t="str">
        <v>XT1</v>
      </c>
      <c r="D422" t="str">
        <v>кабель ВВГнг(А)-FRLS (3х2,5) → шкаф пожарной сигнализации  Подвальный этаж Пом. №007Т</v>
      </c>
      <c r="E422" t="str">
        <v>FCP1-2</v>
      </c>
      <c r="F422" t="str">
        <v>шкаф пожарной сигнализации  Подвальный этаж Пом. №007Т</v>
      </c>
    </row>
    <row r="423" spans="1:6" x14ac:dyDescent="0.3">
      <c r="A423">
        <v>420</v>
      </c>
      <c r="B423" t="str">
        <v>ЩСПЗ-ЖД</v>
      </c>
      <c r="C423" t="str">
        <v>QF2</v>
      </c>
      <c r="D423" t="str">
        <v>XT2</v>
      </c>
      <c r="E423" t="str">
        <v>ENC1-11</v>
      </c>
      <c r="F423" t="str">
        <v>шкаф системы оповещения и управления эвакуацией Цокольный этаж Пом. №002Т</v>
      </c>
    </row>
    <row r="424" spans="1:6" x14ac:dyDescent="0.3">
      <c r="A424">
        <v>421</v>
      </c>
      <c r="B424" t="str">
        <v>ЩСПЗ-ЖД</v>
      </c>
      <c r="C424" t="str">
        <v>XT2</v>
      </c>
      <c r="D424" t="str">
        <v>кабель ВВГнг(А)-FRLS (3х2,5) → шкаф системы оповещения и управления эвакуацией Цокольный этаж Пом. №002Т</v>
      </c>
      <c r="E424" t="str">
        <v>ENC1-11</v>
      </c>
      <c r="F424" t="str">
        <v>шкаф системы оповещения и управления эвакуацией Цокольный этаж Пом. №002Т</v>
      </c>
    </row>
    <row r="425" spans="1:6" x14ac:dyDescent="0.3">
      <c r="A425">
        <v>422</v>
      </c>
      <c r="B425" t="str">
        <v>ЩСПЗ-ЖД</v>
      </c>
      <c r="C425" t="str">
        <v>QF3</v>
      </c>
      <c r="D425" t="str">
        <v>XT3</v>
      </c>
      <c r="E425" t="str">
        <v>FCP1-1</v>
      </c>
      <c r="F425" t="str">
        <v>шкаф пожарной сигнализации Цокольный этаж Пом. №002Т</v>
      </c>
    </row>
    <row r="426" spans="1:6" x14ac:dyDescent="0.3">
      <c r="A426">
        <v>423</v>
      </c>
      <c r="B426" t="str">
        <v>ЩСПЗ-ЖД</v>
      </c>
      <c r="C426" t="str">
        <v>XT3</v>
      </c>
      <c r="D426" t="str">
        <v>кабель ВВГнг(А)-FRLS (3х2,5) → шкаф пожарной сигнализации Цокольный этаж Пом. №002Т</v>
      </c>
      <c r="E426" t="str">
        <v>FCP1-1</v>
      </c>
      <c r="F426" t="str">
        <v>шкаф пожарной сигнализации Цокольный этаж Пом. №002Т</v>
      </c>
    </row>
    <row r="427" spans="1:6" x14ac:dyDescent="0.3">
      <c r="A427">
        <v>424</v>
      </c>
      <c r="B427" t="str">
        <v>ЩСПЗ-ЖД</v>
      </c>
      <c r="C427" t="str">
        <v>QF4</v>
      </c>
      <c r="D427" t="str">
        <v>XT4</v>
      </c>
      <c r="E427" t="str">
        <v>FCP13</v>
      </c>
      <c r="F427" t="str">
        <v>шкаф пожарной сигнализации Тех. этаж Пом. №004Т</v>
      </c>
    </row>
    <row r="428" spans="1:6" x14ac:dyDescent="0.3">
      <c r="A428">
        <v>425</v>
      </c>
      <c r="B428" t="str">
        <v>ЩСПЗ-ЖД</v>
      </c>
      <c r="C428" t="str">
        <v>XT4</v>
      </c>
      <c r="D428" t="str">
        <v>кабель ВВГнг(А)-FRLS (3х2,5) → шкаф пожарной сигнализации Тех. этаж Пом. №004Т</v>
      </c>
      <c r="E428" t="str">
        <v>FCP13</v>
      </c>
      <c r="F428" t="str">
        <v>шкаф пожарной сигнализации Тех. этаж Пом. №004Т</v>
      </c>
    </row>
    <row r="429" spans="1:6" x14ac:dyDescent="0.3">
      <c r="A429">
        <v>426</v>
      </c>
      <c r="B429" t="str">
        <v>ЩУОВ</v>
      </c>
      <c r="C429" t="str">
        <v>QF1</v>
      </c>
      <c r="D429" t="str">
        <v>XT1</v>
      </c>
      <c r="E429" t="str">
        <v>DW.1</v>
      </c>
      <c r="F429" t="str">
        <v/>
      </c>
    </row>
    <row r="430" spans="1:6" x14ac:dyDescent="0.3">
      <c r="A430">
        <v>427</v>
      </c>
      <c r="B430" t="str">
        <v>ЩУОВ</v>
      </c>
      <c r="C430" t="str">
        <v>XT1</v>
      </c>
      <c r="D430" t="str">
        <v xml:space="preserve">кабель МКЭШнг(A)-LS (2х0,75) → </v>
      </c>
      <c r="E430" t="str">
        <v>DW.1</v>
      </c>
      <c r="F430" t="str">
        <v/>
      </c>
    </row>
    <row r="431" spans="1:6" x14ac:dyDescent="0.3">
      <c r="A431">
        <v>428</v>
      </c>
      <c r="B431" t="str">
        <v>ЩУОВ</v>
      </c>
      <c r="C431" t="str">
        <v>QF2</v>
      </c>
      <c r="D431" t="str">
        <v>XT2</v>
      </c>
      <c r="E431" t="str">
        <v>DT.1</v>
      </c>
      <c r="F431" t="str">
        <v/>
      </c>
    </row>
    <row r="432" spans="1:6" x14ac:dyDescent="0.3">
      <c r="A432">
        <v>429</v>
      </c>
      <c r="B432" t="str">
        <v>ЩУОВ</v>
      </c>
      <c r="C432" t="str">
        <v>XT2</v>
      </c>
      <c r="D432" t="str">
        <v xml:space="preserve">кабель МКЭШнг(A)-LS (2х0,75) → </v>
      </c>
      <c r="E432" t="str">
        <v>DT.1</v>
      </c>
      <c r="F432" t="str">
        <v/>
      </c>
    </row>
    <row r="433" spans="1:6" x14ac:dyDescent="0.3">
      <c r="A433">
        <v>430</v>
      </c>
      <c r="B433" t="str">
        <v>ЩУОВ</v>
      </c>
      <c r="C433" t="str">
        <v>QF3</v>
      </c>
      <c r="D433" t="str">
        <v xml:space="preserve">кабель ВВГнг(А)-LS (3х4) → </v>
      </c>
      <c r="E433" t="str">
        <v>OV.2.002Г.1</v>
      </c>
      <c r="F433" t="str">
        <v/>
      </c>
    </row>
    <row r="434" spans="1:6" x14ac:dyDescent="0.3">
      <c r="A434">
        <v>431</v>
      </c>
      <c r="B434" t="str">
        <v>ЩУОВ</v>
      </c>
      <c r="C434" t="str">
        <v>QF4</v>
      </c>
      <c r="D434" t="str">
        <v>XT4</v>
      </c>
      <c r="E434" t="str">
        <v>OV.2.003Г.1</v>
      </c>
      <c r="F434" t="str">
        <v/>
      </c>
    </row>
    <row r="435" spans="1:6" x14ac:dyDescent="0.3">
      <c r="A435">
        <v>432</v>
      </c>
      <c r="B435" t="str">
        <v>ЩУОВ</v>
      </c>
      <c r="C435" t="str">
        <v>XT4</v>
      </c>
      <c r="D435" t="str">
        <v xml:space="preserve">кабель ВВГнг(А)-LS (3х2,5) → </v>
      </c>
      <c r="E435" t="str">
        <v>OV.2.003Г.1</v>
      </c>
      <c r="F435" t="str">
        <v/>
      </c>
    </row>
    <row r="436" spans="1:6" x14ac:dyDescent="0.3">
      <c r="A436">
        <v>433</v>
      </c>
      <c r="B436" t="str">
        <v>ЩУОВ</v>
      </c>
      <c r="C436" t="str">
        <v>QF5</v>
      </c>
      <c r="D436" t="str">
        <v>кабель ВВГнг(А)-LS (3х6) → Обогревл ливнестоков Кровля бассейна</v>
      </c>
      <c r="E436" t="str">
        <v>OV.2.1.1</v>
      </c>
      <c r="F436" t="str">
        <v>Обогревл ливнестоков Кровля бассейна</v>
      </c>
    </row>
    <row r="437" spans="1:6" x14ac:dyDescent="0.3">
      <c r="A437">
        <v>434</v>
      </c>
      <c r="B437" t="str">
        <v>ЩУОВ</v>
      </c>
      <c r="C437" t="str">
        <v>QF6</v>
      </c>
      <c r="D437" t="str">
        <v>кабель ВВГнг(А)-LS (3х4) → Обогревл ливнестоков Второй этаж</v>
      </c>
      <c r="E437" t="str">
        <v>OV.2.1.2</v>
      </c>
      <c r="F437" t="str">
        <v>Обогревл ливнестоков Второй этаж</v>
      </c>
    </row>
    <row r="438" spans="1:6" x14ac:dyDescent="0.3">
      <c r="A438">
        <v>435</v>
      </c>
      <c r="B438" t="str">
        <v>ЩУОВ</v>
      </c>
      <c r="C438" t="str">
        <v>QF7</v>
      </c>
      <c r="D438" t="str">
        <v>кабель ВВГнг(А)-LS (3х2,5) → Обогревл ливнестоков Второй этаж</v>
      </c>
      <c r="E438" t="str">
        <v>OV.2.1.3</v>
      </c>
      <c r="F438" t="str">
        <v>Обогревл ливнестоков Второй этаж</v>
      </c>
    </row>
    <row r="439" spans="1:6" x14ac:dyDescent="0.3">
      <c r="A439">
        <v>436</v>
      </c>
      <c r="B439" t="str">
        <v>ЩУОВ</v>
      </c>
      <c r="C439" t="str">
        <v>QF8</v>
      </c>
      <c r="D439" t="str">
        <v>кабель ВВГнг(А)-LS (3х2,5) → Обогревл ливнестоков Кровля</v>
      </c>
      <c r="E439" t="str">
        <v>OV.4.1.1</v>
      </c>
      <c r="F439" t="str">
        <v>Обогревл ливнестоков Кровля</v>
      </c>
    </row>
    <row r="440" spans="1:6" x14ac:dyDescent="0.3">
      <c r="A440">
        <v>437</v>
      </c>
      <c r="B440" t="str">
        <v>ЩУОВ</v>
      </c>
      <c r="C440" t="str">
        <v>QF9</v>
      </c>
      <c r="D440" t="str">
        <v>кабель ВВГнг(А)-LS (3х2,5) → Обогревл ливнестоков Кровля</v>
      </c>
      <c r="E440" t="str">
        <v>OV.4.1.2</v>
      </c>
      <c r="F440" t="str">
        <v>Обогревл ливнестоков Кровля</v>
      </c>
    </row>
    <row r="441" spans="1:6" x14ac:dyDescent="0.3">
      <c r="A441">
        <v>438</v>
      </c>
      <c r="B441" t="str">
        <v>ЩУОВ</v>
      </c>
      <c r="C441" t="str">
        <v>QF10</v>
      </c>
      <c r="D441" t="str">
        <v>кабель ВВГнг(А)-LS (3х4) → Обогревл ливнестоков Кровля</v>
      </c>
      <c r="E441" t="str">
        <v>OV.4.1.3</v>
      </c>
      <c r="F441" t="str">
        <v>Обогревл ливнестоков Кровля</v>
      </c>
    </row>
    <row r="442" spans="1:6" x14ac:dyDescent="0.3">
      <c r="A442">
        <v>439</v>
      </c>
      <c r="B442" t="str">
        <v>ЩУОВ</v>
      </c>
      <c r="C442" t="str">
        <v>QF11</v>
      </c>
      <c r="D442" t="str">
        <v>кабель ВВГнг(А)-LS (3х2,5) → Обогревл ливнестоков Кровля</v>
      </c>
      <c r="E442" t="str">
        <v>OV.4.1.4</v>
      </c>
      <c r="F442" t="str">
        <v>Обогревл ливнестоков Кровля</v>
      </c>
    </row>
  </sheetData>
  <pageMargins left="0.4" right="0.4" top="0.5" bottom="0.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14AD4-4B3F-4EF6-ACA9-8DD17C49CE37}">
  <sheetPr codeName="Лист11">
    <tabColor rgb="FF4F81BD"/>
  </sheetPr>
  <dimension ref="B1:L2000"/>
  <sheetViews>
    <sheetView workbookViewId="0"/>
  </sheetViews>
  <sheetFormatPr defaultRowHeight="14.4" x14ac:dyDescent="0.3"/>
  <cols>
    <col min="1" max="1" width="2.77734375" customWidth="1"/>
    <col min="2" max="2" width="12.77734375" customWidth="1"/>
    <col min="3" max="4" width="16.77734375" customWidth="1"/>
    <col min="5" max="6" width="34.77734375" customWidth="1"/>
    <col min="7" max="7" width="10.77734375" customWidth="1"/>
    <col min="8" max="9" width="2.77734375" customWidth="1"/>
    <col min="10" max="10" width="12.77734375" customWidth="1"/>
    <col min="11" max="11" width="30.77734375" customWidth="1"/>
    <col min="12" max="12" width="11.77734375" customWidth="1"/>
  </cols>
  <sheetData>
    <row r="1" spans="2:12" ht="18" x14ac:dyDescent="0.35">
      <c r="B1" s="112" t="s">
        <v>1864</v>
      </c>
      <c r="G1" s="139" t="s">
        <v>1867</v>
      </c>
      <c r="H1" s="138"/>
      <c r="I1" s="138"/>
      <c r="J1" s="138"/>
      <c r="K1" s="138"/>
      <c r="L1" s="138"/>
    </row>
    <row r="2" spans="2:12" x14ac:dyDescent="0.3">
      <c r="B2" t="s">
        <v>1865</v>
      </c>
      <c r="C2" t="str" cm="1">
        <f t="array" ref="C2">IF(Выдача_n=0,"—",_выдача!$B$1&amp;"")</f>
        <v>—</v>
      </c>
      <c r="D2" t="s">
        <v>1866</v>
      </c>
      <c r="E2" s="140" t="str" cm="1">
        <f t="array" ref="E2">IF(Выдача_n=0,"",_выдача!$B$2)</f>
        <v/>
      </c>
      <c r="G2" s="138"/>
      <c r="H2" s="138"/>
      <c r="I2" s="138"/>
      <c r="J2" s="138"/>
      <c r="K2" s="138"/>
      <c r="L2" s="138"/>
    </row>
    <row r="4" spans="2:12" ht="28.8" x14ac:dyDescent="0.3">
      <c r="B4" s="123" t="s">
        <v>4</v>
      </c>
      <c r="C4" s="123" t="s">
        <v>436</v>
      </c>
      <c r="D4" s="123" t="s">
        <v>1868</v>
      </c>
      <c r="E4" s="123" t="s">
        <v>1869</v>
      </c>
      <c r="F4" s="123" t="s">
        <v>1870</v>
      </c>
      <c r="G4" s="123" t="s">
        <v>1251</v>
      </c>
      <c r="J4" s="123" t="s">
        <v>4</v>
      </c>
      <c r="K4" s="123" t="s">
        <v>1871</v>
      </c>
      <c r="L4" s="123" t="s">
        <v>1872</v>
      </c>
    </row>
    <row r="5" spans="2:12" x14ac:dyDescent="0.3">
      <c r="B5" t="str" cm="1">
        <f t="array" ref="B5">_xlfn.LET(_xlpm.nn,Выдача_n,IF(_xlpm.nn=0,"Выдача не зафиксирована: кнопка «Зафиксировать выдачу» над «Линиями».",_xlfn.LET(_xlpm.ko,Выдача_ключ,_xlpm.mc,(Линии[Номер линии]&lt;&gt;"")*1,_xlpm.kc,Линии[Щит]&amp;"|"&amp;Линии[Номер линии],_xlpm.io,ISNUMBER(_xlfn.XMATCH(_xlpm.kc,_xlpm.ko)),_xlpm.ic,ISNUMBER(_xlfn.XMATCH(_xlpm.ko,_xlfn._xlws.FILTER(_xlpm.kc,_xlpm.mc,""))),_xlpm.TXT,_xlfn.LAMBDA(_xlpm.x,IF(ISNUMBER(_xlpm.x),FIXED(_xlpm.x,2,TRUE),IFERROR(FIXED(--(_xlpm.x&amp;""),2,TRUE),_xlpm.x&amp;""))),_xlpm.SN,_xlfn.LAMBDA(_xlpm.j,CHOOSE(_xlpm.j,Выдача_1,Выдача_2,Выдача_3,Выдача_4,Выдача_5,Выдача_6,Выдача_7,Выдача_8,Выдача_9,Выдача_10,Выдача_11,Выдача_12,Выдача_13,Выдача_14)),_xlpm.CH,_xlfn.LAMBDA(_xlpm.cur,_xlpm.j,_xlpm.nm,_xlfn.LET(_xlpm.old,_xlfn.XLOOKUP(_xlpm.kc,_xlpm.ko,_xlpm.SN(_xlpm.j),""),_xlpm.a,_xlpm.TXT(_xlpm.old),_xlpm.b,_xlpm.TXT(_xlpm.cur),_xlfn._xlws.FILTER(_xlfn.HSTACK(Линии[Щит],Линии[Номер линии],IF(_xlpm.mc,_xlpm.nm,""),_xlpm.a,_xlpm.b,Линии[Лист схемы]),_xlpm.mc*_xlpm.io*(_xlpm.a&lt;&gt;_xlpm.b),""))),_xlpm.ad,_xlfn._xlws.FILTER(_xlfn.HSTACK(Линии[Щит],Линии[Номер линии],IF(_xlpm.mc,"добавлена",""),IF(_xlpm.mc,"",""),Линии[Наименование]&amp;"",Линии[Лист схемы]),_xlpm.mc*NOT(_xlpm.io),""),_xlpm.rm,_xlfn._xlws.FILTER(_xlfn.HSTACK(Выдача_1,Выдача_2,IF(_xlpm.ic,"удалена","удалена"),Выдача_3&amp;"",IF(_xlpm.ic,"",""),Выдача_14),NOT(_xlpm.ic),""),_xlpm.al,IFERROR(_xlfn.VSTACK(_xlpm.ad,_xlpm.rm,_xlpm.CH(Линии[Наименование],3,"наименование"),_xlpm.CH(Линии[Р, кВт],4,"Р, кВт"),_xlpm.CH(Линии[Автомат],5,"автомат"),_xlpm.CH(Линии[Сечение, мм²],6,"сечение"),_xlpm.CH(Линии[Длина, м],7,"длина"),_xlpm.CH(Линии[Фаза],8,"фаза"),_xlpm.CH(Линии[Кабель],9,"кабель"),_xlpm.CH(Линии[_Модуль (схема)],10,"модуль"),_xlpm.CH(Линии[Канал (итог)],11,"канал"),_xlpm.CH(Линии[Клемма],12,"клемма"),_xlpm.CH(Линии[Лист / место],13,"место на схеме")),""),_xlpm.fl,_xlfn._xlws.FILTER(_xlpm.al,INDEX(_xlpm.al,0,1)&lt;&gt;"",""),IF(INDEX(_xlpm.fl,1,1)="","нет изменений после выдачи",_xlfn.SORTBY(_xlpm.fl,IFERROR(_xlfn.XMATCH(INDEX(_xlpm.fl,0,1),Щиты[Щит]),999),1,INDEX(_xlpm.fl,0,2),1)))))</f>
        <v>Выдача не зафиксирована: кнопка «Зафиксировать выдачу» над «Линиями».</v>
      </c>
      <c r="E5" s="4"/>
      <c r="F5" s="4"/>
      <c r="J5" t="str" cm="1">
        <f t="array" ref="J5:L5">IFERROR(_xlfn.LET(_xlpm.d,_xlfn.ANCHORARRAY($B$5),_xlpm.b,INDEX(_xlpm.d,0,1),_xlpm.s,INDEX(_xlpm.d,0,6),_xlpm.u,_xlfn.UNIQUE(_xlpm.b),_xlfn.HSTACK(_xlpm.u,_xlfn.MAP(_xlpm.u,_xlfn.LAMBDA(_xlpm.x,_xlfn.TEXTJOIN(", ",TRUE,_xlfn._xlws.SORT(_xlfn.UNIQUE(_xlfn._xlws.FILTER(_xlpm.s,(_xlpm.b=_xlpm.x)*(_xlpm.s&lt;&gt;""),"")))))),_xlfn.MAP(_xlpm.u,_xlfn.LAMBDA(_xlpm.x,SUM(--(_xlpm.b=_xlpm.x)))))),"—")</f>
        <v>Выдача не зафиксирована: кнопка «Зафиксировать выдачу» над «Линиями».</v>
      </c>
      <c r="K5" t="str">
        <v>—</v>
      </c>
      <c r="L5">
        <v>1</v>
      </c>
    </row>
    <row r="6" spans="2:12" x14ac:dyDescent="0.3">
      <c r="E6" s="4"/>
      <c r="F6" s="4"/>
    </row>
    <row r="7" spans="2:12" x14ac:dyDescent="0.3">
      <c r="E7" s="4"/>
      <c r="F7" s="4"/>
    </row>
    <row r="8" spans="2:12" x14ac:dyDescent="0.3">
      <c r="E8" s="4"/>
      <c r="F8" s="4"/>
    </row>
    <row r="9" spans="2:12" x14ac:dyDescent="0.3">
      <c r="E9" s="4"/>
      <c r="F9" s="4"/>
    </row>
    <row r="10" spans="2:12" x14ac:dyDescent="0.3">
      <c r="E10" s="4"/>
      <c r="F10" s="4"/>
    </row>
    <row r="11" spans="2:12" x14ac:dyDescent="0.3">
      <c r="E11" s="4"/>
      <c r="F11" s="4"/>
    </row>
    <row r="12" spans="2:12" x14ac:dyDescent="0.3">
      <c r="E12" s="4"/>
      <c r="F12" s="4"/>
    </row>
    <row r="13" spans="2:12" x14ac:dyDescent="0.3">
      <c r="E13" s="4"/>
      <c r="F13" s="4"/>
    </row>
    <row r="14" spans="2:12" x14ac:dyDescent="0.3">
      <c r="E14" s="4"/>
      <c r="F14" s="4"/>
    </row>
    <row r="15" spans="2:12" x14ac:dyDescent="0.3">
      <c r="E15" s="4"/>
      <c r="F15" s="4"/>
    </row>
    <row r="16" spans="2:12" x14ac:dyDescent="0.3">
      <c r="E16" s="4"/>
      <c r="F16" s="4"/>
    </row>
    <row r="17" spans="5:6" x14ac:dyDescent="0.3">
      <c r="E17" s="4"/>
      <c r="F17" s="4"/>
    </row>
    <row r="18" spans="5:6" x14ac:dyDescent="0.3">
      <c r="E18" s="4"/>
      <c r="F18" s="4"/>
    </row>
    <row r="19" spans="5:6" x14ac:dyDescent="0.3">
      <c r="E19" s="4"/>
      <c r="F19" s="4"/>
    </row>
    <row r="20" spans="5:6" x14ac:dyDescent="0.3">
      <c r="E20" s="4"/>
      <c r="F20" s="4"/>
    </row>
    <row r="21" spans="5:6" x14ac:dyDescent="0.3">
      <c r="E21" s="4"/>
      <c r="F21" s="4"/>
    </row>
    <row r="22" spans="5:6" x14ac:dyDescent="0.3">
      <c r="E22" s="4"/>
      <c r="F22" s="4"/>
    </row>
    <row r="23" spans="5:6" x14ac:dyDescent="0.3">
      <c r="E23" s="4"/>
      <c r="F23" s="4"/>
    </row>
    <row r="24" spans="5:6" x14ac:dyDescent="0.3">
      <c r="E24" s="4"/>
      <c r="F24" s="4"/>
    </row>
    <row r="25" spans="5:6" x14ac:dyDescent="0.3">
      <c r="E25" s="4"/>
      <c r="F25" s="4"/>
    </row>
    <row r="26" spans="5:6" x14ac:dyDescent="0.3">
      <c r="E26" s="4"/>
      <c r="F26" s="4"/>
    </row>
    <row r="27" spans="5:6" x14ac:dyDescent="0.3">
      <c r="E27" s="4"/>
      <c r="F27" s="4"/>
    </row>
    <row r="28" spans="5:6" x14ac:dyDescent="0.3">
      <c r="E28" s="4"/>
      <c r="F28" s="4"/>
    </row>
    <row r="29" spans="5:6" x14ac:dyDescent="0.3">
      <c r="E29" s="4"/>
      <c r="F29" s="4"/>
    </row>
    <row r="30" spans="5:6" x14ac:dyDescent="0.3">
      <c r="E30" s="4"/>
      <c r="F30" s="4"/>
    </row>
    <row r="31" spans="5:6" x14ac:dyDescent="0.3">
      <c r="E31" s="4"/>
      <c r="F31" s="4"/>
    </row>
    <row r="32" spans="5:6" x14ac:dyDescent="0.3">
      <c r="E32" s="4"/>
      <c r="F32" s="4"/>
    </row>
    <row r="33" spans="5:6" x14ac:dyDescent="0.3">
      <c r="E33" s="4"/>
      <c r="F33" s="4"/>
    </row>
    <row r="34" spans="5:6" x14ac:dyDescent="0.3">
      <c r="E34" s="4"/>
      <c r="F34" s="4"/>
    </row>
    <row r="35" spans="5:6" x14ac:dyDescent="0.3">
      <c r="E35" s="4"/>
      <c r="F35" s="4"/>
    </row>
    <row r="36" spans="5:6" x14ac:dyDescent="0.3">
      <c r="E36" s="4"/>
      <c r="F36" s="4"/>
    </row>
    <row r="37" spans="5:6" x14ac:dyDescent="0.3">
      <c r="E37" s="4"/>
      <c r="F37" s="4"/>
    </row>
    <row r="38" spans="5:6" x14ac:dyDescent="0.3">
      <c r="E38" s="4"/>
      <c r="F38" s="4"/>
    </row>
    <row r="39" spans="5:6" x14ac:dyDescent="0.3">
      <c r="E39" s="4"/>
      <c r="F39" s="4"/>
    </row>
    <row r="40" spans="5:6" x14ac:dyDescent="0.3">
      <c r="E40" s="4"/>
      <c r="F40" s="4"/>
    </row>
    <row r="41" spans="5:6" x14ac:dyDescent="0.3">
      <c r="E41" s="4"/>
      <c r="F41" s="4"/>
    </row>
    <row r="42" spans="5:6" x14ac:dyDescent="0.3">
      <c r="E42" s="4"/>
      <c r="F42" s="4"/>
    </row>
    <row r="43" spans="5:6" x14ac:dyDescent="0.3">
      <c r="E43" s="4"/>
      <c r="F43" s="4"/>
    </row>
    <row r="44" spans="5:6" x14ac:dyDescent="0.3">
      <c r="E44" s="4"/>
      <c r="F44" s="4"/>
    </row>
    <row r="45" spans="5:6" x14ac:dyDescent="0.3">
      <c r="E45" s="4"/>
      <c r="F45" s="4"/>
    </row>
    <row r="46" spans="5:6" x14ac:dyDescent="0.3">
      <c r="E46" s="4"/>
      <c r="F46" s="4"/>
    </row>
    <row r="47" spans="5:6" x14ac:dyDescent="0.3">
      <c r="E47" s="4"/>
      <c r="F47" s="4"/>
    </row>
    <row r="48" spans="5:6" x14ac:dyDescent="0.3">
      <c r="E48" s="4"/>
      <c r="F48" s="4"/>
    </row>
    <row r="49" spans="5:6" x14ac:dyDescent="0.3">
      <c r="E49" s="4"/>
      <c r="F49" s="4"/>
    </row>
    <row r="50" spans="5:6" x14ac:dyDescent="0.3">
      <c r="E50" s="4"/>
      <c r="F50" s="4"/>
    </row>
    <row r="51" spans="5:6" x14ac:dyDescent="0.3">
      <c r="E51" s="4"/>
      <c r="F51" s="4"/>
    </row>
    <row r="52" spans="5:6" x14ac:dyDescent="0.3">
      <c r="E52" s="4"/>
      <c r="F52" s="4"/>
    </row>
    <row r="53" spans="5:6" x14ac:dyDescent="0.3">
      <c r="E53" s="4"/>
      <c r="F53" s="4"/>
    </row>
    <row r="54" spans="5:6" x14ac:dyDescent="0.3">
      <c r="E54" s="4"/>
      <c r="F54" s="4"/>
    </row>
    <row r="55" spans="5:6" x14ac:dyDescent="0.3">
      <c r="E55" s="4"/>
      <c r="F55" s="4"/>
    </row>
    <row r="56" spans="5:6" x14ac:dyDescent="0.3">
      <c r="E56" s="4"/>
      <c r="F56" s="4"/>
    </row>
    <row r="57" spans="5:6" x14ac:dyDescent="0.3">
      <c r="E57" s="4"/>
      <c r="F57" s="4"/>
    </row>
    <row r="58" spans="5:6" x14ac:dyDescent="0.3">
      <c r="E58" s="4"/>
      <c r="F58" s="4"/>
    </row>
    <row r="59" spans="5:6" x14ac:dyDescent="0.3">
      <c r="E59" s="4"/>
      <c r="F59" s="4"/>
    </row>
    <row r="60" spans="5:6" x14ac:dyDescent="0.3">
      <c r="E60" s="4"/>
      <c r="F60" s="4"/>
    </row>
    <row r="61" spans="5:6" x14ac:dyDescent="0.3">
      <c r="E61" s="4"/>
      <c r="F61" s="4"/>
    </row>
    <row r="62" spans="5:6" x14ac:dyDescent="0.3">
      <c r="E62" s="4"/>
      <c r="F62" s="4"/>
    </row>
    <row r="63" spans="5:6" x14ac:dyDescent="0.3">
      <c r="E63" s="4"/>
      <c r="F63" s="4"/>
    </row>
    <row r="64" spans="5:6" x14ac:dyDescent="0.3">
      <c r="E64" s="4"/>
      <c r="F64" s="4"/>
    </row>
    <row r="65" spans="5:6" x14ac:dyDescent="0.3">
      <c r="E65" s="4"/>
      <c r="F65" s="4"/>
    </row>
    <row r="66" spans="5:6" x14ac:dyDescent="0.3">
      <c r="E66" s="4"/>
      <c r="F66" s="4"/>
    </row>
    <row r="67" spans="5:6" x14ac:dyDescent="0.3">
      <c r="E67" s="4"/>
      <c r="F67" s="4"/>
    </row>
    <row r="68" spans="5:6" x14ac:dyDescent="0.3">
      <c r="E68" s="4"/>
      <c r="F68" s="4"/>
    </row>
    <row r="69" spans="5:6" x14ac:dyDescent="0.3">
      <c r="E69" s="4"/>
      <c r="F69" s="4"/>
    </row>
    <row r="70" spans="5:6" x14ac:dyDescent="0.3">
      <c r="E70" s="4"/>
      <c r="F70" s="4"/>
    </row>
    <row r="71" spans="5:6" x14ac:dyDescent="0.3">
      <c r="E71" s="4"/>
      <c r="F71" s="4"/>
    </row>
    <row r="72" spans="5:6" x14ac:dyDescent="0.3">
      <c r="E72" s="4"/>
      <c r="F72" s="4"/>
    </row>
    <row r="73" spans="5:6" x14ac:dyDescent="0.3">
      <c r="E73" s="4"/>
      <c r="F73" s="4"/>
    </row>
    <row r="74" spans="5:6" x14ac:dyDescent="0.3">
      <c r="E74" s="4"/>
      <c r="F74" s="4"/>
    </row>
    <row r="75" spans="5:6" x14ac:dyDescent="0.3">
      <c r="E75" s="4"/>
      <c r="F75" s="4"/>
    </row>
    <row r="76" spans="5:6" x14ac:dyDescent="0.3">
      <c r="E76" s="4"/>
      <c r="F76" s="4"/>
    </row>
    <row r="77" spans="5:6" x14ac:dyDescent="0.3">
      <c r="E77" s="4"/>
      <c r="F77" s="4"/>
    </row>
    <row r="78" spans="5:6" x14ac:dyDescent="0.3">
      <c r="E78" s="4"/>
      <c r="F78" s="4"/>
    </row>
    <row r="79" spans="5:6" x14ac:dyDescent="0.3">
      <c r="E79" s="4"/>
      <c r="F79" s="4"/>
    </row>
    <row r="80" spans="5:6" x14ac:dyDescent="0.3">
      <c r="E80" s="4"/>
      <c r="F80" s="4"/>
    </row>
    <row r="81" spans="5:6" x14ac:dyDescent="0.3">
      <c r="E81" s="4"/>
      <c r="F81" s="4"/>
    </row>
    <row r="82" spans="5:6" x14ac:dyDescent="0.3">
      <c r="E82" s="4"/>
      <c r="F82" s="4"/>
    </row>
    <row r="83" spans="5:6" x14ac:dyDescent="0.3">
      <c r="E83" s="4"/>
      <c r="F83" s="4"/>
    </row>
    <row r="84" spans="5:6" x14ac:dyDescent="0.3">
      <c r="E84" s="4"/>
      <c r="F84" s="4"/>
    </row>
    <row r="85" spans="5:6" x14ac:dyDescent="0.3">
      <c r="E85" s="4"/>
      <c r="F85" s="4"/>
    </row>
    <row r="86" spans="5:6" x14ac:dyDescent="0.3">
      <c r="E86" s="4"/>
      <c r="F86" s="4"/>
    </row>
    <row r="87" spans="5:6" x14ac:dyDescent="0.3">
      <c r="E87" s="4"/>
      <c r="F87" s="4"/>
    </row>
    <row r="88" spans="5:6" x14ac:dyDescent="0.3">
      <c r="E88" s="4"/>
      <c r="F88" s="4"/>
    </row>
    <row r="89" spans="5:6" x14ac:dyDescent="0.3">
      <c r="E89" s="4"/>
      <c r="F89" s="4"/>
    </row>
    <row r="90" spans="5:6" x14ac:dyDescent="0.3">
      <c r="E90" s="4"/>
      <c r="F90" s="4"/>
    </row>
    <row r="91" spans="5:6" x14ac:dyDescent="0.3">
      <c r="E91" s="4"/>
      <c r="F91" s="4"/>
    </row>
    <row r="92" spans="5:6" x14ac:dyDescent="0.3">
      <c r="E92" s="4"/>
      <c r="F92" s="4"/>
    </row>
    <row r="93" spans="5:6" x14ac:dyDescent="0.3">
      <c r="E93" s="4"/>
      <c r="F93" s="4"/>
    </row>
    <row r="94" spans="5:6" x14ac:dyDescent="0.3">
      <c r="E94" s="4"/>
      <c r="F94" s="4"/>
    </row>
    <row r="95" spans="5:6" x14ac:dyDescent="0.3">
      <c r="E95" s="4"/>
      <c r="F95" s="4"/>
    </row>
    <row r="96" spans="5:6" x14ac:dyDescent="0.3">
      <c r="E96" s="4"/>
      <c r="F96" s="4"/>
    </row>
    <row r="97" spans="5:6" x14ac:dyDescent="0.3">
      <c r="E97" s="4"/>
      <c r="F97" s="4"/>
    </row>
    <row r="98" spans="5:6" x14ac:dyDescent="0.3">
      <c r="E98" s="4"/>
      <c r="F98" s="4"/>
    </row>
    <row r="99" spans="5:6" x14ac:dyDescent="0.3">
      <c r="E99" s="4"/>
      <c r="F99" s="4"/>
    </row>
    <row r="100" spans="5:6" x14ac:dyDescent="0.3">
      <c r="E100" s="4"/>
      <c r="F100" s="4"/>
    </row>
    <row r="101" spans="5:6" x14ac:dyDescent="0.3">
      <c r="E101" s="4"/>
      <c r="F101" s="4"/>
    </row>
    <row r="102" spans="5:6" x14ac:dyDescent="0.3">
      <c r="E102" s="4"/>
      <c r="F102" s="4"/>
    </row>
    <row r="103" spans="5:6" x14ac:dyDescent="0.3">
      <c r="E103" s="4"/>
      <c r="F103" s="4"/>
    </row>
    <row r="104" spans="5:6" x14ac:dyDescent="0.3">
      <c r="E104" s="4"/>
      <c r="F104" s="4"/>
    </row>
    <row r="105" spans="5:6" x14ac:dyDescent="0.3">
      <c r="E105" s="4"/>
      <c r="F105" s="4"/>
    </row>
    <row r="106" spans="5:6" x14ac:dyDescent="0.3">
      <c r="E106" s="4"/>
      <c r="F106" s="4"/>
    </row>
    <row r="107" spans="5:6" x14ac:dyDescent="0.3">
      <c r="E107" s="4"/>
      <c r="F107" s="4"/>
    </row>
    <row r="108" spans="5:6" x14ac:dyDescent="0.3">
      <c r="E108" s="4"/>
      <c r="F108" s="4"/>
    </row>
    <row r="109" spans="5:6" x14ac:dyDescent="0.3">
      <c r="E109" s="4"/>
      <c r="F109" s="4"/>
    </row>
    <row r="110" spans="5:6" x14ac:dyDescent="0.3">
      <c r="E110" s="4"/>
      <c r="F110" s="4"/>
    </row>
    <row r="111" spans="5:6" x14ac:dyDescent="0.3">
      <c r="E111" s="4"/>
      <c r="F111" s="4"/>
    </row>
    <row r="112" spans="5:6" x14ac:dyDescent="0.3">
      <c r="E112" s="4"/>
      <c r="F112" s="4"/>
    </row>
    <row r="113" spans="5:6" x14ac:dyDescent="0.3">
      <c r="E113" s="4"/>
      <c r="F113" s="4"/>
    </row>
    <row r="114" spans="5:6" x14ac:dyDescent="0.3">
      <c r="E114" s="4"/>
      <c r="F114" s="4"/>
    </row>
    <row r="115" spans="5:6" x14ac:dyDescent="0.3">
      <c r="E115" s="4"/>
      <c r="F115" s="4"/>
    </row>
    <row r="116" spans="5:6" x14ac:dyDescent="0.3">
      <c r="E116" s="4"/>
      <c r="F116" s="4"/>
    </row>
    <row r="117" spans="5:6" x14ac:dyDescent="0.3">
      <c r="E117" s="4"/>
      <c r="F117" s="4"/>
    </row>
    <row r="118" spans="5:6" x14ac:dyDescent="0.3">
      <c r="E118" s="4"/>
      <c r="F118" s="4"/>
    </row>
    <row r="119" spans="5:6" x14ac:dyDescent="0.3">
      <c r="E119" s="4"/>
      <c r="F119" s="4"/>
    </row>
    <row r="120" spans="5:6" x14ac:dyDescent="0.3">
      <c r="E120" s="4"/>
      <c r="F120" s="4"/>
    </row>
    <row r="121" spans="5:6" x14ac:dyDescent="0.3">
      <c r="E121" s="4"/>
      <c r="F121" s="4"/>
    </row>
    <row r="122" spans="5:6" x14ac:dyDescent="0.3">
      <c r="E122" s="4"/>
      <c r="F122" s="4"/>
    </row>
    <row r="123" spans="5:6" x14ac:dyDescent="0.3">
      <c r="E123" s="4"/>
      <c r="F123" s="4"/>
    </row>
    <row r="124" spans="5:6" x14ac:dyDescent="0.3">
      <c r="E124" s="4"/>
      <c r="F124" s="4"/>
    </row>
    <row r="125" spans="5:6" x14ac:dyDescent="0.3">
      <c r="E125" s="4"/>
      <c r="F125" s="4"/>
    </row>
    <row r="126" spans="5:6" x14ac:dyDescent="0.3">
      <c r="E126" s="4"/>
      <c r="F126" s="4"/>
    </row>
    <row r="127" spans="5:6" x14ac:dyDescent="0.3">
      <c r="E127" s="4"/>
      <c r="F127" s="4"/>
    </row>
    <row r="128" spans="5:6" x14ac:dyDescent="0.3">
      <c r="E128" s="4"/>
      <c r="F128" s="4"/>
    </row>
    <row r="129" spans="5:6" x14ac:dyDescent="0.3">
      <c r="E129" s="4"/>
      <c r="F129" s="4"/>
    </row>
    <row r="130" spans="5:6" x14ac:dyDescent="0.3">
      <c r="E130" s="4"/>
      <c r="F130" s="4"/>
    </row>
    <row r="131" spans="5:6" x14ac:dyDescent="0.3">
      <c r="E131" s="4"/>
      <c r="F131" s="4"/>
    </row>
    <row r="132" spans="5:6" x14ac:dyDescent="0.3">
      <c r="E132" s="4"/>
      <c r="F132" s="4"/>
    </row>
    <row r="133" spans="5:6" x14ac:dyDescent="0.3">
      <c r="E133" s="4"/>
      <c r="F133" s="4"/>
    </row>
    <row r="134" spans="5:6" x14ac:dyDescent="0.3">
      <c r="E134" s="4"/>
      <c r="F134" s="4"/>
    </row>
    <row r="135" spans="5:6" x14ac:dyDescent="0.3">
      <c r="E135" s="4"/>
      <c r="F135" s="4"/>
    </row>
    <row r="136" spans="5:6" x14ac:dyDescent="0.3">
      <c r="E136" s="4"/>
      <c r="F136" s="4"/>
    </row>
    <row r="137" spans="5:6" x14ac:dyDescent="0.3">
      <c r="E137" s="4"/>
      <c r="F137" s="4"/>
    </row>
    <row r="138" spans="5:6" x14ac:dyDescent="0.3">
      <c r="E138" s="4"/>
      <c r="F138" s="4"/>
    </row>
    <row r="139" spans="5:6" x14ac:dyDescent="0.3">
      <c r="E139" s="4"/>
      <c r="F139" s="4"/>
    </row>
    <row r="140" spans="5:6" x14ac:dyDescent="0.3">
      <c r="E140" s="4"/>
      <c r="F140" s="4"/>
    </row>
    <row r="141" spans="5:6" x14ac:dyDescent="0.3">
      <c r="E141" s="4"/>
      <c r="F141" s="4"/>
    </row>
    <row r="142" spans="5:6" x14ac:dyDescent="0.3">
      <c r="E142" s="4"/>
      <c r="F142" s="4"/>
    </row>
    <row r="143" spans="5:6" x14ac:dyDescent="0.3">
      <c r="E143" s="4"/>
      <c r="F143" s="4"/>
    </row>
    <row r="144" spans="5:6" x14ac:dyDescent="0.3">
      <c r="E144" s="4"/>
      <c r="F144" s="4"/>
    </row>
    <row r="145" spans="5:6" x14ac:dyDescent="0.3">
      <c r="E145" s="4"/>
      <c r="F145" s="4"/>
    </row>
    <row r="146" spans="5:6" x14ac:dyDescent="0.3">
      <c r="E146" s="4"/>
      <c r="F146" s="4"/>
    </row>
    <row r="147" spans="5:6" x14ac:dyDescent="0.3">
      <c r="E147" s="4"/>
      <c r="F147" s="4"/>
    </row>
    <row r="148" spans="5:6" x14ac:dyDescent="0.3">
      <c r="E148" s="4"/>
      <c r="F148" s="4"/>
    </row>
    <row r="149" spans="5:6" x14ac:dyDescent="0.3">
      <c r="E149" s="4"/>
      <c r="F149" s="4"/>
    </row>
    <row r="150" spans="5:6" x14ac:dyDescent="0.3">
      <c r="E150" s="4"/>
      <c r="F150" s="4"/>
    </row>
    <row r="151" spans="5:6" x14ac:dyDescent="0.3">
      <c r="E151" s="4"/>
      <c r="F151" s="4"/>
    </row>
    <row r="152" spans="5:6" x14ac:dyDescent="0.3">
      <c r="E152" s="4"/>
      <c r="F152" s="4"/>
    </row>
    <row r="153" spans="5:6" x14ac:dyDescent="0.3">
      <c r="E153" s="4"/>
      <c r="F153" s="4"/>
    </row>
    <row r="154" spans="5:6" x14ac:dyDescent="0.3">
      <c r="E154" s="4"/>
      <c r="F154" s="4"/>
    </row>
    <row r="155" spans="5:6" x14ac:dyDescent="0.3">
      <c r="E155" s="4"/>
      <c r="F155" s="4"/>
    </row>
    <row r="156" spans="5:6" x14ac:dyDescent="0.3">
      <c r="E156" s="4"/>
      <c r="F156" s="4"/>
    </row>
    <row r="157" spans="5:6" x14ac:dyDescent="0.3">
      <c r="E157" s="4"/>
      <c r="F157" s="4"/>
    </row>
    <row r="158" spans="5:6" x14ac:dyDescent="0.3">
      <c r="E158" s="4"/>
      <c r="F158" s="4"/>
    </row>
    <row r="159" spans="5:6" x14ac:dyDescent="0.3">
      <c r="E159" s="4"/>
      <c r="F159" s="4"/>
    </row>
    <row r="160" spans="5:6" x14ac:dyDescent="0.3">
      <c r="E160" s="4"/>
      <c r="F160" s="4"/>
    </row>
    <row r="161" spans="5:6" x14ac:dyDescent="0.3">
      <c r="E161" s="4"/>
      <c r="F161" s="4"/>
    </row>
    <row r="162" spans="5:6" x14ac:dyDescent="0.3">
      <c r="E162" s="4"/>
      <c r="F162" s="4"/>
    </row>
    <row r="163" spans="5:6" x14ac:dyDescent="0.3">
      <c r="E163" s="4"/>
      <c r="F163" s="4"/>
    </row>
    <row r="164" spans="5:6" x14ac:dyDescent="0.3">
      <c r="E164" s="4"/>
      <c r="F164" s="4"/>
    </row>
    <row r="165" spans="5:6" x14ac:dyDescent="0.3">
      <c r="E165" s="4"/>
      <c r="F165" s="4"/>
    </row>
    <row r="166" spans="5:6" x14ac:dyDescent="0.3">
      <c r="E166" s="4"/>
      <c r="F166" s="4"/>
    </row>
    <row r="167" spans="5:6" x14ac:dyDescent="0.3">
      <c r="E167" s="4"/>
      <c r="F167" s="4"/>
    </row>
    <row r="168" spans="5:6" x14ac:dyDescent="0.3">
      <c r="E168" s="4"/>
      <c r="F168" s="4"/>
    </row>
    <row r="169" spans="5:6" x14ac:dyDescent="0.3">
      <c r="E169" s="4"/>
      <c r="F169" s="4"/>
    </row>
    <row r="170" spans="5:6" x14ac:dyDescent="0.3">
      <c r="E170" s="4"/>
      <c r="F170" s="4"/>
    </row>
    <row r="171" spans="5:6" x14ac:dyDescent="0.3">
      <c r="E171" s="4"/>
      <c r="F171" s="4"/>
    </row>
    <row r="172" spans="5:6" x14ac:dyDescent="0.3">
      <c r="E172" s="4"/>
      <c r="F172" s="4"/>
    </row>
    <row r="173" spans="5:6" x14ac:dyDescent="0.3">
      <c r="E173" s="4"/>
      <c r="F173" s="4"/>
    </row>
    <row r="174" spans="5:6" x14ac:dyDescent="0.3">
      <c r="E174" s="4"/>
      <c r="F174" s="4"/>
    </row>
    <row r="175" spans="5:6" x14ac:dyDescent="0.3">
      <c r="E175" s="4"/>
      <c r="F175" s="4"/>
    </row>
    <row r="176" spans="5:6" x14ac:dyDescent="0.3">
      <c r="E176" s="4"/>
      <c r="F176" s="4"/>
    </row>
    <row r="177" spans="5:6" x14ac:dyDescent="0.3">
      <c r="E177" s="4"/>
      <c r="F177" s="4"/>
    </row>
    <row r="178" spans="5:6" x14ac:dyDescent="0.3">
      <c r="E178" s="4"/>
      <c r="F178" s="4"/>
    </row>
    <row r="179" spans="5:6" x14ac:dyDescent="0.3">
      <c r="E179" s="4"/>
      <c r="F179" s="4"/>
    </row>
    <row r="180" spans="5:6" x14ac:dyDescent="0.3">
      <c r="E180" s="4"/>
      <c r="F180" s="4"/>
    </row>
    <row r="181" spans="5:6" x14ac:dyDescent="0.3">
      <c r="E181" s="4"/>
      <c r="F181" s="4"/>
    </row>
    <row r="182" spans="5:6" x14ac:dyDescent="0.3">
      <c r="E182" s="4"/>
      <c r="F182" s="4"/>
    </row>
    <row r="183" spans="5:6" x14ac:dyDescent="0.3">
      <c r="E183" s="4"/>
      <c r="F183" s="4"/>
    </row>
    <row r="184" spans="5:6" x14ac:dyDescent="0.3">
      <c r="E184" s="4"/>
      <c r="F184" s="4"/>
    </row>
    <row r="185" spans="5:6" x14ac:dyDescent="0.3">
      <c r="E185" s="4"/>
      <c r="F185" s="4"/>
    </row>
    <row r="186" spans="5:6" x14ac:dyDescent="0.3">
      <c r="E186" s="4"/>
      <c r="F186" s="4"/>
    </row>
    <row r="187" spans="5:6" x14ac:dyDescent="0.3">
      <c r="E187" s="4"/>
      <c r="F187" s="4"/>
    </row>
    <row r="188" spans="5:6" x14ac:dyDescent="0.3">
      <c r="E188" s="4"/>
      <c r="F188" s="4"/>
    </row>
    <row r="189" spans="5:6" x14ac:dyDescent="0.3">
      <c r="E189" s="4"/>
      <c r="F189" s="4"/>
    </row>
    <row r="190" spans="5:6" x14ac:dyDescent="0.3">
      <c r="E190" s="4"/>
      <c r="F190" s="4"/>
    </row>
    <row r="191" spans="5:6" x14ac:dyDescent="0.3">
      <c r="E191" s="4"/>
      <c r="F191" s="4"/>
    </row>
    <row r="192" spans="5:6" x14ac:dyDescent="0.3">
      <c r="E192" s="4"/>
      <c r="F192" s="4"/>
    </row>
    <row r="193" spans="5:6" x14ac:dyDescent="0.3">
      <c r="E193" s="4"/>
      <c r="F193" s="4"/>
    </row>
    <row r="194" spans="5:6" x14ac:dyDescent="0.3">
      <c r="E194" s="4"/>
      <c r="F194" s="4"/>
    </row>
    <row r="195" spans="5:6" x14ac:dyDescent="0.3">
      <c r="E195" s="4"/>
      <c r="F195" s="4"/>
    </row>
    <row r="196" spans="5:6" x14ac:dyDescent="0.3">
      <c r="E196" s="4"/>
      <c r="F196" s="4"/>
    </row>
    <row r="197" spans="5:6" x14ac:dyDescent="0.3">
      <c r="E197" s="4"/>
      <c r="F197" s="4"/>
    </row>
    <row r="198" spans="5:6" x14ac:dyDescent="0.3">
      <c r="E198" s="4"/>
      <c r="F198" s="4"/>
    </row>
    <row r="199" spans="5:6" x14ac:dyDescent="0.3">
      <c r="E199" s="4"/>
      <c r="F199" s="4"/>
    </row>
    <row r="200" spans="5:6" x14ac:dyDescent="0.3">
      <c r="E200" s="4"/>
      <c r="F200" s="4"/>
    </row>
    <row r="201" spans="5:6" x14ac:dyDescent="0.3">
      <c r="E201" s="4"/>
      <c r="F201" s="4"/>
    </row>
    <row r="202" spans="5:6" x14ac:dyDescent="0.3">
      <c r="E202" s="4"/>
      <c r="F202" s="4"/>
    </row>
    <row r="203" spans="5:6" x14ac:dyDescent="0.3">
      <c r="E203" s="4"/>
      <c r="F203" s="4"/>
    </row>
    <row r="204" spans="5:6" x14ac:dyDescent="0.3">
      <c r="E204" s="4"/>
      <c r="F204" s="4"/>
    </row>
    <row r="205" spans="5:6" x14ac:dyDescent="0.3">
      <c r="E205" s="4"/>
      <c r="F205" s="4"/>
    </row>
    <row r="206" spans="5:6" x14ac:dyDescent="0.3">
      <c r="E206" s="4"/>
      <c r="F206" s="4"/>
    </row>
    <row r="207" spans="5:6" x14ac:dyDescent="0.3">
      <c r="E207" s="4"/>
      <c r="F207" s="4"/>
    </row>
    <row r="208" spans="5:6" x14ac:dyDescent="0.3">
      <c r="E208" s="4"/>
      <c r="F208" s="4"/>
    </row>
    <row r="209" spans="5:6" x14ac:dyDescent="0.3">
      <c r="E209" s="4"/>
      <c r="F209" s="4"/>
    </row>
    <row r="210" spans="5:6" x14ac:dyDescent="0.3">
      <c r="E210" s="4"/>
      <c r="F210" s="4"/>
    </row>
    <row r="211" spans="5:6" x14ac:dyDescent="0.3">
      <c r="E211" s="4"/>
      <c r="F211" s="4"/>
    </row>
    <row r="212" spans="5:6" x14ac:dyDescent="0.3">
      <c r="E212" s="4"/>
      <c r="F212" s="4"/>
    </row>
    <row r="213" spans="5:6" x14ac:dyDescent="0.3">
      <c r="E213" s="4"/>
      <c r="F213" s="4"/>
    </row>
    <row r="214" spans="5:6" x14ac:dyDescent="0.3">
      <c r="E214" s="4"/>
      <c r="F214" s="4"/>
    </row>
    <row r="215" spans="5:6" x14ac:dyDescent="0.3">
      <c r="E215" s="4"/>
      <c r="F215" s="4"/>
    </row>
    <row r="216" spans="5:6" x14ac:dyDescent="0.3">
      <c r="E216" s="4"/>
      <c r="F216" s="4"/>
    </row>
    <row r="217" spans="5:6" x14ac:dyDescent="0.3">
      <c r="E217" s="4"/>
      <c r="F217" s="4"/>
    </row>
    <row r="218" spans="5:6" x14ac:dyDescent="0.3">
      <c r="E218" s="4"/>
      <c r="F218" s="4"/>
    </row>
    <row r="219" spans="5:6" x14ac:dyDescent="0.3">
      <c r="E219" s="4"/>
      <c r="F219" s="4"/>
    </row>
    <row r="220" spans="5:6" x14ac:dyDescent="0.3">
      <c r="E220" s="4"/>
      <c r="F220" s="4"/>
    </row>
    <row r="221" spans="5:6" x14ac:dyDescent="0.3">
      <c r="E221" s="4"/>
      <c r="F221" s="4"/>
    </row>
    <row r="222" spans="5:6" x14ac:dyDescent="0.3">
      <c r="E222" s="4"/>
      <c r="F222" s="4"/>
    </row>
    <row r="223" spans="5:6" x14ac:dyDescent="0.3">
      <c r="E223" s="4"/>
      <c r="F223" s="4"/>
    </row>
    <row r="224" spans="5:6" x14ac:dyDescent="0.3">
      <c r="E224" s="4"/>
      <c r="F224" s="4"/>
    </row>
    <row r="225" spans="5:6" x14ac:dyDescent="0.3">
      <c r="E225" s="4"/>
      <c r="F225" s="4"/>
    </row>
    <row r="226" spans="5:6" x14ac:dyDescent="0.3">
      <c r="E226" s="4"/>
      <c r="F226" s="4"/>
    </row>
    <row r="227" spans="5:6" x14ac:dyDescent="0.3">
      <c r="E227" s="4"/>
      <c r="F227" s="4"/>
    </row>
    <row r="228" spans="5:6" x14ac:dyDescent="0.3">
      <c r="E228" s="4"/>
      <c r="F228" s="4"/>
    </row>
    <row r="229" spans="5:6" x14ac:dyDescent="0.3">
      <c r="E229" s="4"/>
      <c r="F229" s="4"/>
    </row>
    <row r="230" spans="5:6" x14ac:dyDescent="0.3">
      <c r="E230" s="4"/>
      <c r="F230" s="4"/>
    </row>
    <row r="231" spans="5:6" x14ac:dyDescent="0.3">
      <c r="E231" s="4"/>
      <c r="F231" s="4"/>
    </row>
    <row r="232" spans="5:6" x14ac:dyDescent="0.3">
      <c r="E232" s="4"/>
      <c r="F232" s="4"/>
    </row>
    <row r="233" spans="5:6" x14ac:dyDescent="0.3">
      <c r="E233" s="4"/>
      <c r="F233" s="4"/>
    </row>
    <row r="234" spans="5:6" x14ac:dyDescent="0.3">
      <c r="E234" s="4"/>
      <c r="F234" s="4"/>
    </row>
    <row r="235" spans="5:6" x14ac:dyDescent="0.3">
      <c r="E235" s="4"/>
      <c r="F235" s="4"/>
    </row>
    <row r="236" spans="5:6" x14ac:dyDescent="0.3">
      <c r="E236" s="4"/>
      <c r="F236" s="4"/>
    </row>
    <row r="237" spans="5:6" x14ac:dyDescent="0.3">
      <c r="E237" s="4"/>
      <c r="F237" s="4"/>
    </row>
    <row r="238" spans="5:6" x14ac:dyDescent="0.3">
      <c r="E238" s="4"/>
      <c r="F238" s="4"/>
    </row>
    <row r="239" spans="5:6" x14ac:dyDescent="0.3">
      <c r="E239" s="4"/>
      <c r="F239" s="4"/>
    </row>
    <row r="240" spans="5:6" x14ac:dyDescent="0.3">
      <c r="E240" s="4"/>
      <c r="F240" s="4"/>
    </row>
    <row r="241" spans="5:6" x14ac:dyDescent="0.3">
      <c r="E241" s="4"/>
      <c r="F241" s="4"/>
    </row>
    <row r="242" spans="5:6" x14ac:dyDescent="0.3">
      <c r="E242" s="4"/>
      <c r="F242" s="4"/>
    </row>
    <row r="243" spans="5:6" x14ac:dyDescent="0.3">
      <c r="E243" s="4"/>
      <c r="F243" s="4"/>
    </row>
    <row r="244" spans="5:6" x14ac:dyDescent="0.3">
      <c r="E244" s="4"/>
      <c r="F244" s="4"/>
    </row>
    <row r="245" spans="5:6" x14ac:dyDescent="0.3">
      <c r="E245" s="4"/>
      <c r="F245" s="4"/>
    </row>
    <row r="246" spans="5:6" x14ac:dyDescent="0.3">
      <c r="E246" s="4"/>
      <c r="F246" s="4"/>
    </row>
    <row r="247" spans="5:6" x14ac:dyDescent="0.3">
      <c r="E247" s="4"/>
      <c r="F247" s="4"/>
    </row>
    <row r="248" spans="5:6" x14ac:dyDescent="0.3">
      <c r="E248" s="4"/>
      <c r="F248" s="4"/>
    </row>
    <row r="249" spans="5:6" x14ac:dyDescent="0.3">
      <c r="E249" s="4"/>
      <c r="F249" s="4"/>
    </row>
    <row r="250" spans="5:6" x14ac:dyDescent="0.3">
      <c r="E250" s="4"/>
      <c r="F250" s="4"/>
    </row>
    <row r="251" spans="5:6" x14ac:dyDescent="0.3">
      <c r="E251" s="4"/>
      <c r="F251" s="4"/>
    </row>
    <row r="252" spans="5:6" x14ac:dyDescent="0.3">
      <c r="E252" s="4"/>
      <c r="F252" s="4"/>
    </row>
    <row r="253" spans="5:6" x14ac:dyDescent="0.3">
      <c r="E253" s="4"/>
      <c r="F253" s="4"/>
    </row>
    <row r="254" spans="5:6" x14ac:dyDescent="0.3">
      <c r="E254" s="4"/>
      <c r="F254" s="4"/>
    </row>
    <row r="255" spans="5:6" x14ac:dyDescent="0.3">
      <c r="E255" s="4"/>
      <c r="F255" s="4"/>
    </row>
    <row r="256" spans="5:6" x14ac:dyDescent="0.3">
      <c r="E256" s="4"/>
      <c r="F256" s="4"/>
    </row>
    <row r="257" spans="5:6" x14ac:dyDescent="0.3">
      <c r="E257" s="4"/>
      <c r="F257" s="4"/>
    </row>
    <row r="258" spans="5:6" x14ac:dyDescent="0.3">
      <c r="E258" s="4"/>
      <c r="F258" s="4"/>
    </row>
    <row r="259" spans="5:6" x14ac:dyDescent="0.3">
      <c r="E259" s="4"/>
      <c r="F259" s="4"/>
    </row>
    <row r="260" spans="5:6" x14ac:dyDescent="0.3">
      <c r="E260" s="4"/>
      <c r="F260" s="4"/>
    </row>
    <row r="261" spans="5:6" x14ac:dyDescent="0.3">
      <c r="E261" s="4"/>
      <c r="F261" s="4"/>
    </row>
    <row r="262" spans="5:6" x14ac:dyDescent="0.3">
      <c r="E262" s="4"/>
      <c r="F262" s="4"/>
    </row>
    <row r="263" spans="5:6" x14ac:dyDescent="0.3">
      <c r="E263" s="4"/>
      <c r="F263" s="4"/>
    </row>
    <row r="264" spans="5:6" x14ac:dyDescent="0.3">
      <c r="E264" s="4"/>
      <c r="F264" s="4"/>
    </row>
    <row r="265" spans="5:6" x14ac:dyDescent="0.3">
      <c r="E265" s="4"/>
      <c r="F265" s="4"/>
    </row>
    <row r="266" spans="5:6" x14ac:dyDescent="0.3">
      <c r="E266" s="4"/>
      <c r="F266" s="4"/>
    </row>
    <row r="267" spans="5:6" x14ac:dyDescent="0.3">
      <c r="E267" s="4"/>
      <c r="F267" s="4"/>
    </row>
    <row r="268" spans="5:6" x14ac:dyDescent="0.3">
      <c r="E268" s="4"/>
      <c r="F268" s="4"/>
    </row>
    <row r="269" spans="5:6" x14ac:dyDescent="0.3">
      <c r="E269" s="4"/>
      <c r="F269" s="4"/>
    </row>
    <row r="270" spans="5:6" x14ac:dyDescent="0.3">
      <c r="E270" s="4"/>
      <c r="F270" s="4"/>
    </row>
    <row r="271" spans="5:6" x14ac:dyDescent="0.3">
      <c r="E271" s="4"/>
      <c r="F271" s="4"/>
    </row>
    <row r="272" spans="5:6" x14ac:dyDescent="0.3">
      <c r="E272" s="4"/>
      <c r="F272" s="4"/>
    </row>
    <row r="273" spans="5:6" x14ac:dyDescent="0.3">
      <c r="E273" s="4"/>
      <c r="F273" s="4"/>
    </row>
    <row r="274" spans="5:6" x14ac:dyDescent="0.3">
      <c r="E274" s="4"/>
      <c r="F274" s="4"/>
    </row>
    <row r="275" spans="5:6" x14ac:dyDescent="0.3">
      <c r="E275" s="4"/>
      <c r="F275" s="4"/>
    </row>
    <row r="276" spans="5:6" x14ac:dyDescent="0.3">
      <c r="E276" s="4"/>
      <c r="F276" s="4"/>
    </row>
    <row r="277" spans="5:6" x14ac:dyDescent="0.3">
      <c r="E277" s="4"/>
      <c r="F277" s="4"/>
    </row>
    <row r="278" spans="5:6" x14ac:dyDescent="0.3">
      <c r="E278" s="4"/>
      <c r="F278" s="4"/>
    </row>
    <row r="279" spans="5:6" x14ac:dyDescent="0.3">
      <c r="E279" s="4"/>
      <c r="F279" s="4"/>
    </row>
    <row r="280" spans="5:6" x14ac:dyDescent="0.3">
      <c r="E280" s="4"/>
      <c r="F280" s="4"/>
    </row>
    <row r="281" spans="5:6" x14ac:dyDescent="0.3">
      <c r="E281" s="4"/>
      <c r="F281" s="4"/>
    </row>
    <row r="282" spans="5:6" x14ac:dyDescent="0.3">
      <c r="E282" s="4"/>
      <c r="F282" s="4"/>
    </row>
    <row r="283" spans="5:6" x14ac:dyDescent="0.3">
      <c r="E283" s="4"/>
      <c r="F283" s="4"/>
    </row>
    <row r="284" spans="5:6" x14ac:dyDescent="0.3">
      <c r="E284" s="4"/>
      <c r="F284" s="4"/>
    </row>
    <row r="285" spans="5:6" x14ac:dyDescent="0.3">
      <c r="E285" s="4"/>
      <c r="F285" s="4"/>
    </row>
    <row r="286" spans="5:6" x14ac:dyDescent="0.3">
      <c r="E286" s="4"/>
      <c r="F286" s="4"/>
    </row>
    <row r="287" spans="5:6" x14ac:dyDescent="0.3">
      <c r="E287" s="4"/>
      <c r="F287" s="4"/>
    </row>
    <row r="288" spans="5:6" x14ac:dyDescent="0.3">
      <c r="E288" s="4"/>
      <c r="F288" s="4"/>
    </row>
    <row r="289" spans="5:6" x14ac:dyDescent="0.3">
      <c r="E289" s="4"/>
      <c r="F289" s="4"/>
    </row>
    <row r="290" spans="5:6" x14ac:dyDescent="0.3">
      <c r="E290" s="4"/>
      <c r="F290" s="4"/>
    </row>
    <row r="291" spans="5:6" x14ac:dyDescent="0.3">
      <c r="E291" s="4"/>
      <c r="F291" s="4"/>
    </row>
    <row r="292" spans="5:6" x14ac:dyDescent="0.3">
      <c r="E292" s="4"/>
      <c r="F292" s="4"/>
    </row>
    <row r="293" spans="5:6" x14ac:dyDescent="0.3">
      <c r="E293" s="4"/>
      <c r="F293" s="4"/>
    </row>
    <row r="294" spans="5:6" x14ac:dyDescent="0.3">
      <c r="E294" s="4"/>
      <c r="F294" s="4"/>
    </row>
    <row r="295" spans="5:6" x14ac:dyDescent="0.3">
      <c r="E295" s="4"/>
      <c r="F295" s="4"/>
    </row>
    <row r="296" spans="5:6" x14ac:dyDescent="0.3">
      <c r="E296" s="4"/>
      <c r="F296" s="4"/>
    </row>
    <row r="297" spans="5:6" x14ac:dyDescent="0.3">
      <c r="E297" s="4"/>
      <c r="F297" s="4"/>
    </row>
    <row r="298" spans="5:6" x14ac:dyDescent="0.3">
      <c r="E298" s="4"/>
      <c r="F298" s="4"/>
    </row>
    <row r="299" spans="5:6" x14ac:dyDescent="0.3">
      <c r="E299" s="4"/>
      <c r="F299" s="4"/>
    </row>
    <row r="300" spans="5:6" x14ac:dyDescent="0.3">
      <c r="E300" s="4"/>
      <c r="F300" s="4"/>
    </row>
    <row r="301" spans="5:6" x14ac:dyDescent="0.3">
      <c r="E301" s="4"/>
      <c r="F301" s="4"/>
    </row>
    <row r="302" spans="5:6" x14ac:dyDescent="0.3">
      <c r="E302" s="4"/>
      <c r="F302" s="4"/>
    </row>
    <row r="303" spans="5:6" x14ac:dyDescent="0.3">
      <c r="E303" s="4"/>
      <c r="F303" s="4"/>
    </row>
    <row r="304" spans="5:6" x14ac:dyDescent="0.3">
      <c r="E304" s="4"/>
      <c r="F304" s="4"/>
    </row>
    <row r="305" spans="5:6" x14ac:dyDescent="0.3">
      <c r="E305" s="4"/>
      <c r="F305" s="4"/>
    </row>
    <row r="306" spans="5:6" x14ac:dyDescent="0.3">
      <c r="E306" s="4"/>
      <c r="F306" s="4"/>
    </row>
    <row r="307" spans="5:6" x14ac:dyDescent="0.3">
      <c r="E307" s="4"/>
      <c r="F307" s="4"/>
    </row>
    <row r="308" spans="5:6" x14ac:dyDescent="0.3">
      <c r="E308" s="4"/>
      <c r="F308" s="4"/>
    </row>
    <row r="309" spans="5:6" x14ac:dyDescent="0.3">
      <c r="E309" s="4"/>
      <c r="F309" s="4"/>
    </row>
    <row r="310" spans="5:6" x14ac:dyDescent="0.3">
      <c r="E310" s="4"/>
      <c r="F310" s="4"/>
    </row>
    <row r="311" spans="5:6" x14ac:dyDescent="0.3">
      <c r="E311" s="4"/>
      <c r="F311" s="4"/>
    </row>
    <row r="312" spans="5:6" x14ac:dyDescent="0.3">
      <c r="E312" s="4"/>
      <c r="F312" s="4"/>
    </row>
    <row r="313" spans="5:6" x14ac:dyDescent="0.3">
      <c r="E313" s="4"/>
      <c r="F313" s="4"/>
    </row>
    <row r="314" spans="5:6" x14ac:dyDescent="0.3">
      <c r="E314" s="4"/>
      <c r="F314" s="4"/>
    </row>
    <row r="315" spans="5:6" x14ac:dyDescent="0.3">
      <c r="E315" s="4"/>
      <c r="F315" s="4"/>
    </row>
    <row r="316" spans="5:6" x14ac:dyDescent="0.3">
      <c r="E316" s="4"/>
      <c r="F316" s="4"/>
    </row>
    <row r="317" spans="5:6" x14ac:dyDescent="0.3">
      <c r="E317" s="4"/>
      <c r="F317" s="4"/>
    </row>
    <row r="318" spans="5:6" x14ac:dyDescent="0.3">
      <c r="E318" s="4"/>
      <c r="F318" s="4"/>
    </row>
    <row r="319" spans="5:6" x14ac:dyDescent="0.3">
      <c r="E319" s="4"/>
      <c r="F319" s="4"/>
    </row>
    <row r="320" spans="5:6" x14ac:dyDescent="0.3">
      <c r="E320" s="4"/>
      <c r="F320" s="4"/>
    </row>
    <row r="321" spans="5:6" x14ac:dyDescent="0.3">
      <c r="E321" s="4"/>
      <c r="F321" s="4"/>
    </row>
    <row r="322" spans="5:6" x14ac:dyDescent="0.3">
      <c r="E322" s="4"/>
      <c r="F322" s="4"/>
    </row>
    <row r="323" spans="5:6" x14ac:dyDescent="0.3">
      <c r="E323" s="4"/>
      <c r="F323" s="4"/>
    </row>
    <row r="324" spans="5:6" x14ac:dyDescent="0.3">
      <c r="E324" s="4"/>
      <c r="F324" s="4"/>
    </row>
    <row r="325" spans="5:6" x14ac:dyDescent="0.3">
      <c r="E325" s="4"/>
      <c r="F325" s="4"/>
    </row>
    <row r="326" spans="5:6" x14ac:dyDescent="0.3">
      <c r="E326" s="4"/>
      <c r="F326" s="4"/>
    </row>
    <row r="327" spans="5:6" x14ac:dyDescent="0.3">
      <c r="E327" s="4"/>
      <c r="F327" s="4"/>
    </row>
    <row r="328" spans="5:6" x14ac:dyDescent="0.3">
      <c r="E328" s="4"/>
      <c r="F328" s="4"/>
    </row>
    <row r="329" spans="5:6" x14ac:dyDescent="0.3">
      <c r="E329" s="4"/>
      <c r="F329" s="4"/>
    </row>
    <row r="330" spans="5:6" x14ac:dyDescent="0.3">
      <c r="E330" s="4"/>
      <c r="F330" s="4"/>
    </row>
    <row r="331" spans="5:6" x14ac:dyDescent="0.3">
      <c r="E331" s="4"/>
      <c r="F331" s="4"/>
    </row>
    <row r="332" spans="5:6" x14ac:dyDescent="0.3">
      <c r="E332" s="4"/>
      <c r="F332" s="4"/>
    </row>
    <row r="333" spans="5:6" x14ac:dyDescent="0.3">
      <c r="E333" s="4"/>
      <c r="F333" s="4"/>
    </row>
    <row r="334" spans="5:6" x14ac:dyDescent="0.3">
      <c r="E334" s="4"/>
      <c r="F334" s="4"/>
    </row>
    <row r="335" spans="5:6" x14ac:dyDescent="0.3">
      <c r="E335" s="4"/>
      <c r="F335" s="4"/>
    </row>
    <row r="336" spans="5:6" x14ac:dyDescent="0.3">
      <c r="E336" s="4"/>
      <c r="F336" s="4"/>
    </row>
    <row r="337" spans="5:6" x14ac:dyDescent="0.3">
      <c r="E337" s="4"/>
      <c r="F337" s="4"/>
    </row>
    <row r="338" spans="5:6" x14ac:dyDescent="0.3">
      <c r="E338" s="4"/>
      <c r="F338" s="4"/>
    </row>
    <row r="339" spans="5:6" x14ac:dyDescent="0.3">
      <c r="E339" s="4"/>
      <c r="F339" s="4"/>
    </row>
    <row r="340" spans="5:6" x14ac:dyDescent="0.3">
      <c r="E340" s="4"/>
      <c r="F340" s="4"/>
    </row>
    <row r="341" spans="5:6" x14ac:dyDescent="0.3">
      <c r="E341" s="4"/>
      <c r="F341" s="4"/>
    </row>
    <row r="342" spans="5:6" x14ac:dyDescent="0.3">
      <c r="E342" s="4"/>
      <c r="F342" s="4"/>
    </row>
    <row r="343" spans="5:6" x14ac:dyDescent="0.3">
      <c r="E343" s="4"/>
      <c r="F343" s="4"/>
    </row>
    <row r="344" spans="5:6" x14ac:dyDescent="0.3">
      <c r="E344" s="4"/>
      <c r="F344" s="4"/>
    </row>
    <row r="345" spans="5:6" x14ac:dyDescent="0.3">
      <c r="E345" s="4"/>
      <c r="F345" s="4"/>
    </row>
    <row r="346" spans="5:6" x14ac:dyDescent="0.3">
      <c r="E346" s="4"/>
      <c r="F346" s="4"/>
    </row>
    <row r="347" spans="5:6" x14ac:dyDescent="0.3">
      <c r="E347" s="4"/>
      <c r="F347" s="4"/>
    </row>
    <row r="348" spans="5:6" x14ac:dyDescent="0.3">
      <c r="E348" s="4"/>
      <c r="F348" s="4"/>
    </row>
    <row r="349" spans="5:6" x14ac:dyDescent="0.3">
      <c r="E349" s="4"/>
      <c r="F349" s="4"/>
    </row>
    <row r="350" spans="5:6" x14ac:dyDescent="0.3">
      <c r="E350" s="4"/>
      <c r="F350" s="4"/>
    </row>
    <row r="351" spans="5:6" x14ac:dyDescent="0.3">
      <c r="E351" s="4"/>
      <c r="F351" s="4"/>
    </row>
    <row r="352" spans="5:6" x14ac:dyDescent="0.3">
      <c r="E352" s="4"/>
      <c r="F352" s="4"/>
    </row>
    <row r="353" spans="5:6" x14ac:dyDescent="0.3">
      <c r="E353" s="4"/>
      <c r="F353" s="4"/>
    </row>
    <row r="354" spans="5:6" x14ac:dyDescent="0.3">
      <c r="E354" s="4"/>
      <c r="F354" s="4"/>
    </row>
    <row r="355" spans="5:6" x14ac:dyDescent="0.3">
      <c r="E355" s="4"/>
      <c r="F355" s="4"/>
    </row>
    <row r="356" spans="5:6" x14ac:dyDescent="0.3">
      <c r="E356" s="4"/>
      <c r="F356" s="4"/>
    </row>
    <row r="357" spans="5:6" x14ac:dyDescent="0.3">
      <c r="E357" s="4"/>
      <c r="F357" s="4"/>
    </row>
    <row r="358" spans="5:6" x14ac:dyDescent="0.3">
      <c r="E358" s="4"/>
      <c r="F358" s="4"/>
    </row>
    <row r="359" spans="5:6" x14ac:dyDescent="0.3">
      <c r="E359" s="4"/>
      <c r="F359" s="4"/>
    </row>
    <row r="360" spans="5:6" x14ac:dyDescent="0.3">
      <c r="E360" s="4"/>
      <c r="F360" s="4"/>
    </row>
    <row r="361" spans="5:6" x14ac:dyDescent="0.3">
      <c r="E361" s="4"/>
      <c r="F361" s="4"/>
    </row>
    <row r="362" spans="5:6" x14ac:dyDescent="0.3">
      <c r="E362" s="4"/>
      <c r="F362" s="4"/>
    </row>
    <row r="363" spans="5:6" x14ac:dyDescent="0.3">
      <c r="E363" s="4"/>
      <c r="F363" s="4"/>
    </row>
    <row r="364" spans="5:6" x14ac:dyDescent="0.3">
      <c r="E364" s="4"/>
      <c r="F364" s="4"/>
    </row>
    <row r="365" spans="5:6" x14ac:dyDescent="0.3">
      <c r="E365" s="4"/>
      <c r="F365" s="4"/>
    </row>
    <row r="366" spans="5:6" x14ac:dyDescent="0.3">
      <c r="E366" s="4"/>
      <c r="F366" s="4"/>
    </row>
    <row r="367" spans="5:6" x14ac:dyDescent="0.3">
      <c r="E367" s="4"/>
      <c r="F367" s="4"/>
    </row>
    <row r="368" spans="5:6" x14ac:dyDescent="0.3">
      <c r="E368" s="4"/>
      <c r="F368" s="4"/>
    </row>
    <row r="369" spans="5:6" x14ac:dyDescent="0.3">
      <c r="E369" s="4"/>
      <c r="F369" s="4"/>
    </row>
    <row r="370" spans="5:6" x14ac:dyDescent="0.3">
      <c r="E370" s="4"/>
      <c r="F370" s="4"/>
    </row>
    <row r="371" spans="5:6" x14ac:dyDescent="0.3">
      <c r="E371" s="4"/>
      <c r="F371" s="4"/>
    </row>
    <row r="372" spans="5:6" x14ac:dyDescent="0.3">
      <c r="E372" s="4"/>
      <c r="F372" s="4"/>
    </row>
    <row r="373" spans="5:6" x14ac:dyDescent="0.3">
      <c r="E373" s="4"/>
      <c r="F373" s="4"/>
    </row>
    <row r="374" spans="5:6" x14ac:dyDescent="0.3">
      <c r="E374" s="4"/>
      <c r="F374" s="4"/>
    </row>
    <row r="375" spans="5:6" x14ac:dyDescent="0.3">
      <c r="E375" s="4"/>
      <c r="F375" s="4"/>
    </row>
    <row r="376" spans="5:6" x14ac:dyDescent="0.3">
      <c r="E376" s="4"/>
      <c r="F376" s="4"/>
    </row>
    <row r="377" spans="5:6" x14ac:dyDescent="0.3">
      <c r="E377" s="4"/>
      <c r="F377" s="4"/>
    </row>
    <row r="378" spans="5:6" x14ac:dyDescent="0.3">
      <c r="E378" s="4"/>
      <c r="F378" s="4"/>
    </row>
    <row r="379" spans="5:6" x14ac:dyDescent="0.3">
      <c r="E379" s="4"/>
      <c r="F379" s="4"/>
    </row>
    <row r="380" spans="5:6" x14ac:dyDescent="0.3">
      <c r="E380" s="4"/>
      <c r="F380" s="4"/>
    </row>
    <row r="381" spans="5:6" x14ac:dyDescent="0.3">
      <c r="E381" s="4"/>
      <c r="F381" s="4"/>
    </row>
    <row r="382" spans="5:6" x14ac:dyDescent="0.3">
      <c r="E382" s="4"/>
      <c r="F382" s="4"/>
    </row>
    <row r="383" spans="5:6" x14ac:dyDescent="0.3">
      <c r="E383" s="4"/>
      <c r="F383" s="4"/>
    </row>
    <row r="384" spans="5:6" x14ac:dyDescent="0.3">
      <c r="E384" s="4"/>
      <c r="F384" s="4"/>
    </row>
    <row r="385" spans="5:6" x14ac:dyDescent="0.3">
      <c r="E385" s="4"/>
      <c r="F385" s="4"/>
    </row>
    <row r="386" spans="5:6" x14ac:dyDescent="0.3">
      <c r="E386" s="4"/>
      <c r="F386" s="4"/>
    </row>
    <row r="387" spans="5:6" x14ac:dyDescent="0.3">
      <c r="E387" s="4"/>
      <c r="F387" s="4"/>
    </row>
    <row r="388" spans="5:6" x14ac:dyDescent="0.3">
      <c r="E388" s="4"/>
      <c r="F388" s="4"/>
    </row>
    <row r="389" spans="5:6" x14ac:dyDescent="0.3">
      <c r="E389" s="4"/>
      <c r="F389" s="4"/>
    </row>
    <row r="390" spans="5:6" x14ac:dyDescent="0.3">
      <c r="E390" s="4"/>
      <c r="F390" s="4"/>
    </row>
    <row r="391" spans="5:6" x14ac:dyDescent="0.3">
      <c r="E391" s="4"/>
      <c r="F391" s="4"/>
    </row>
    <row r="392" spans="5:6" x14ac:dyDescent="0.3">
      <c r="E392" s="4"/>
      <c r="F392" s="4"/>
    </row>
    <row r="393" spans="5:6" x14ac:dyDescent="0.3">
      <c r="E393" s="4"/>
      <c r="F393" s="4"/>
    </row>
    <row r="394" spans="5:6" x14ac:dyDescent="0.3">
      <c r="E394" s="4"/>
      <c r="F394" s="4"/>
    </row>
    <row r="395" spans="5:6" x14ac:dyDescent="0.3">
      <c r="E395" s="4"/>
      <c r="F395" s="4"/>
    </row>
    <row r="396" spans="5:6" x14ac:dyDescent="0.3">
      <c r="E396" s="4"/>
      <c r="F396" s="4"/>
    </row>
    <row r="397" spans="5:6" x14ac:dyDescent="0.3">
      <c r="E397" s="4"/>
      <c r="F397" s="4"/>
    </row>
    <row r="398" spans="5:6" x14ac:dyDescent="0.3">
      <c r="E398" s="4"/>
      <c r="F398" s="4"/>
    </row>
    <row r="399" spans="5:6" x14ac:dyDescent="0.3">
      <c r="E399" s="4"/>
      <c r="F399" s="4"/>
    </row>
    <row r="400" spans="5:6" x14ac:dyDescent="0.3">
      <c r="E400" s="4"/>
      <c r="F400" s="4"/>
    </row>
    <row r="401" spans="5:6" x14ac:dyDescent="0.3">
      <c r="E401" s="4"/>
      <c r="F401" s="4"/>
    </row>
    <row r="402" spans="5:6" x14ac:dyDescent="0.3">
      <c r="E402" s="4"/>
      <c r="F402" s="4"/>
    </row>
    <row r="403" spans="5:6" x14ac:dyDescent="0.3">
      <c r="E403" s="4"/>
      <c r="F403" s="4"/>
    </row>
    <row r="404" spans="5:6" x14ac:dyDescent="0.3">
      <c r="E404" s="4"/>
      <c r="F404" s="4"/>
    </row>
    <row r="405" spans="5:6" x14ac:dyDescent="0.3">
      <c r="E405" s="4"/>
      <c r="F405" s="4"/>
    </row>
    <row r="406" spans="5:6" x14ac:dyDescent="0.3">
      <c r="E406" s="4"/>
      <c r="F406" s="4"/>
    </row>
    <row r="407" spans="5:6" x14ac:dyDescent="0.3">
      <c r="E407" s="4"/>
      <c r="F407" s="4"/>
    </row>
    <row r="408" spans="5:6" x14ac:dyDescent="0.3">
      <c r="E408" s="4"/>
      <c r="F408" s="4"/>
    </row>
    <row r="409" spans="5:6" x14ac:dyDescent="0.3">
      <c r="E409" s="4"/>
      <c r="F409" s="4"/>
    </row>
    <row r="410" spans="5:6" x14ac:dyDescent="0.3">
      <c r="E410" s="4"/>
      <c r="F410" s="4"/>
    </row>
    <row r="411" spans="5:6" x14ac:dyDescent="0.3">
      <c r="E411" s="4"/>
      <c r="F411" s="4"/>
    </row>
    <row r="412" spans="5:6" x14ac:dyDescent="0.3">
      <c r="E412" s="4"/>
      <c r="F412" s="4"/>
    </row>
    <row r="413" spans="5:6" x14ac:dyDescent="0.3">
      <c r="E413" s="4"/>
      <c r="F413" s="4"/>
    </row>
    <row r="414" spans="5:6" x14ac:dyDescent="0.3">
      <c r="E414" s="4"/>
      <c r="F414" s="4"/>
    </row>
    <row r="415" spans="5:6" x14ac:dyDescent="0.3">
      <c r="E415" s="4"/>
      <c r="F415" s="4"/>
    </row>
    <row r="416" spans="5:6" x14ac:dyDescent="0.3">
      <c r="E416" s="4"/>
      <c r="F416" s="4"/>
    </row>
    <row r="417" spans="5:6" x14ac:dyDescent="0.3">
      <c r="E417" s="4"/>
      <c r="F417" s="4"/>
    </row>
    <row r="418" spans="5:6" x14ac:dyDescent="0.3">
      <c r="E418" s="4"/>
      <c r="F418" s="4"/>
    </row>
    <row r="419" spans="5:6" x14ac:dyDescent="0.3">
      <c r="E419" s="4"/>
      <c r="F419" s="4"/>
    </row>
    <row r="420" spans="5:6" x14ac:dyDescent="0.3">
      <c r="E420" s="4"/>
      <c r="F420" s="4"/>
    </row>
    <row r="421" spans="5:6" x14ac:dyDescent="0.3">
      <c r="E421" s="4"/>
      <c r="F421" s="4"/>
    </row>
    <row r="422" spans="5:6" x14ac:dyDescent="0.3">
      <c r="E422" s="4"/>
      <c r="F422" s="4"/>
    </row>
    <row r="423" spans="5:6" x14ac:dyDescent="0.3">
      <c r="E423" s="4"/>
      <c r="F423" s="4"/>
    </row>
    <row r="424" spans="5:6" x14ac:dyDescent="0.3">
      <c r="E424" s="4"/>
      <c r="F424" s="4"/>
    </row>
    <row r="425" spans="5:6" x14ac:dyDescent="0.3">
      <c r="E425" s="4"/>
      <c r="F425" s="4"/>
    </row>
    <row r="426" spans="5:6" x14ac:dyDescent="0.3">
      <c r="E426" s="4"/>
      <c r="F426" s="4"/>
    </row>
    <row r="427" spans="5:6" x14ac:dyDescent="0.3">
      <c r="E427" s="4"/>
      <c r="F427" s="4"/>
    </row>
    <row r="428" spans="5:6" x14ac:dyDescent="0.3">
      <c r="E428" s="4"/>
      <c r="F428" s="4"/>
    </row>
    <row r="429" spans="5:6" x14ac:dyDescent="0.3">
      <c r="E429" s="4"/>
      <c r="F429" s="4"/>
    </row>
    <row r="430" spans="5:6" x14ac:dyDescent="0.3">
      <c r="E430" s="4"/>
      <c r="F430" s="4"/>
    </row>
    <row r="431" spans="5:6" x14ac:dyDescent="0.3">
      <c r="E431" s="4"/>
      <c r="F431" s="4"/>
    </row>
    <row r="432" spans="5:6" x14ac:dyDescent="0.3">
      <c r="E432" s="4"/>
      <c r="F432" s="4"/>
    </row>
    <row r="433" spans="5:6" x14ac:dyDescent="0.3">
      <c r="E433" s="4"/>
      <c r="F433" s="4"/>
    </row>
    <row r="434" spans="5:6" x14ac:dyDescent="0.3">
      <c r="E434" s="4"/>
      <c r="F434" s="4"/>
    </row>
    <row r="435" spans="5:6" x14ac:dyDescent="0.3">
      <c r="E435" s="4"/>
      <c r="F435" s="4"/>
    </row>
    <row r="436" spans="5:6" x14ac:dyDescent="0.3">
      <c r="E436" s="4"/>
      <c r="F436" s="4"/>
    </row>
    <row r="437" spans="5:6" x14ac:dyDescent="0.3">
      <c r="E437" s="4"/>
      <c r="F437" s="4"/>
    </row>
    <row r="438" spans="5:6" x14ac:dyDescent="0.3">
      <c r="E438" s="4"/>
      <c r="F438" s="4"/>
    </row>
    <row r="439" spans="5:6" x14ac:dyDescent="0.3">
      <c r="E439" s="4"/>
      <c r="F439" s="4"/>
    </row>
    <row r="440" spans="5:6" x14ac:dyDescent="0.3">
      <c r="E440" s="4"/>
      <c r="F440" s="4"/>
    </row>
    <row r="441" spans="5:6" x14ac:dyDescent="0.3">
      <c r="E441" s="4"/>
      <c r="F441" s="4"/>
    </row>
    <row r="442" spans="5:6" x14ac:dyDescent="0.3">
      <c r="E442" s="4"/>
      <c r="F442" s="4"/>
    </row>
    <row r="443" spans="5:6" x14ac:dyDescent="0.3">
      <c r="E443" s="4"/>
      <c r="F443" s="4"/>
    </row>
    <row r="444" spans="5:6" x14ac:dyDescent="0.3">
      <c r="E444" s="4"/>
      <c r="F444" s="4"/>
    </row>
    <row r="445" spans="5:6" x14ac:dyDescent="0.3">
      <c r="E445" s="4"/>
      <c r="F445" s="4"/>
    </row>
    <row r="446" spans="5:6" x14ac:dyDescent="0.3">
      <c r="E446" s="4"/>
      <c r="F446" s="4"/>
    </row>
    <row r="447" spans="5:6" x14ac:dyDescent="0.3">
      <c r="E447" s="4"/>
      <c r="F447" s="4"/>
    </row>
    <row r="448" spans="5:6" x14ac:dyDescent="0.3">
      <c r="E448" s="4"/>
      <c r="F448" s="4"/>
    </row>
    <row r="449" spans="5:6" x14ac:dyDescent="0.3">
      <c r="E449" s="4"/>
      <c r="F449" s="4"/>
    </row>
    <row r="450" spans="5:6" x14ac:dyDescent="0.3">
      <c r="E450" s="4"/>
      <c r="F450" s="4"/>
    </row>
    <row r="451" spans="5:6" x14ac:dyDescent="0.3">
      <c r="E451" s="4"/>
      <c r="F451" s="4"/>
    </row>
    <row r="452" spans="5:6" x14ac:dyDescent="0.3">
      <c r="E452" s="4"/>
      <c r="F452" s="4"/>
    </row>
    <row r="453" spans="5:6" x14ac:dyDescent="0.3">
      <c r="E453" s="4"/>
      <c r="F453" s="4"/>
    </row>
    <row r="454" spans="5:6" x14ac:dyDescent="0.3">
      <c r="E454" s="4"/>
      <c r="F454" s="4"/>
    </row>
    <row r="455" spans="5:6" x14ac:dyDescent="0.3">
      <c r="E455" s="4"/>
      <c r="F455" s="4"/>
    </row>
    <row r="456" spans="5:6" x14ac:dyDescent="0.3">
      <c r="E456" s="4"/>
      <c r="F456" s="4"/>
    </row>
    <row r="457" spans="5:6" x14ac:dyDescent="0.3">
      <c r="E457" s="4"/>
      <c r="F457" s="4"/>
    </row>
    <row r="458" spans="5:6" x14ac:dyDescent="0.3">
      <c r="E458" s="4"/>
      <c r="F458" s="4"/>
    </row>
    <row r="459" spans="5:6" x14ac:dyDescent="0.3">
      <c r="E459" s="4"/>
      <c r="F459" s="4"/>
    </row>
    <row r="460" spans="5:6" x14ac:dyDescent="0.3">
      <c r="E460" s="4"/>
      <c r="F460" s="4"/>
    </row>
    <row r="461" spans="5:6" x14ac:dyDescent="0.3">
      <c r="E461" s="4"/>
      <c r="F461" s="4"/>
    </row>
    <row r="462" spans="5:6" x14ac:dyDescent="0.3">
      <c r="E462" s="4"/>
      <c r="F462" s="4"/>
    </row>
    <row r="463" spans="5:6" x14ac:dyDescent="0.3">
      <c r="E463" s="4"/>
      <c r="F463" s="4"/>
    </row>
    <row r="464" spans="5:6" x14ac:dyDescent="0.3">
      <c r="E464" s="4"/>
      <c r="F464" s="4"/>
    </row>
    <row r="465" spans="5:6" x14ac:dyDescent="0.3">
      <c r="E465" s="4"/>
      <c r="F465" s="4"/>
    </row>
    <row r="466" spans="5:6" x14ac:dyDescent="0.3">
      <c r="E466" s="4"/>
      <c r="F466" s="4"/>
    </row>
    <row r="467" spans="5:6" x14ac:dyDescent="0.3">
      <c r="E467" s="4"/>
      <c r="F467" s="4"/>
    </row>
    <row r="468" spans="5:6" x14ac:dyDescent="0.3">
      <c r="E468" s="4"/>
      <c r="F468" s="4"/>
    </row>
    <row r="469" spans="5:6" x14ac:dyDescent="0.3">
      <c r="E469" s="4"/>
      <c r="F469" s="4"/>
    </row>
    <row r="470" spans="5:6" x14ac:dyDescent="0.3">
      <c r="E470" s="4"/>
      <c r="F470" s="4"/>
    </row>
    <row r="471" spans="5:6" x14ac:dyDescent="0.3">
      <c r="E471" s="4"/>
      <c r="F471" s="4"/>
    </row>
    <row r="472" spans="5:6" x14ac:dyDescent="0.3">
      <c r="E472" s="4"/>
      <c r="F472" s="4"/>
    </row>
    <row r="473" spans="5:6" x14ac:dyDescent="0.3">
      <c r="E473" s="4"/>
      <c r="F473" s="4"/>
    </row>
    <row r="474" spans="5:6" x14ac:dyDescent="0.3">
      <c r="E474" s="4"/>
      <c r="F474" s="4"/>
    </row>
    <row r="475" spans="5:6" x14ac:dyDescent="0.3">
      <c r="E475" s="4"/>
      <c r="F475" s="4"/>
    </row>
    <row r="476" spans="5:6" x14ac:dyDescent="0.3">
      <c r="E476" s="4"/>
      <c r="F476" s="4"/>
    </row>
    <row r="477" spans="5:6" x14ac:dyDescent="0.3">
      <c r="E477" s="4"/>
      <c r="F477" s="4"/>
    </row>
    <row r="478" spans="5:6" x14ac:dyDescent="0.3">
      <c r="E478" s="4"/>
      <c r="F478" s="4"/>
    </row>
    <row r="479" spans="5:6" x14ac:dyDescent="0.3">
      <c r="E479" s="4"/>
      <c r="F479" s="4"/>
    </row>
    <row r="480" spans="5:6" x14ac:dyDescent="0.3">
      <c r="E480" s="4"/>
      <c r="F480" s="4"/>
    </row>
    <row r="481" spans="5:6" x14ac:dyDescent="0.3">
      <c r="E481" s="4"/>
      <c r="F481" s="4"/>
    </row>
    <row r="482" spans="5:6" x14ac:dyDescent="0.3">
      <c r="E482" s="4"/>
      <c r="F482" s="4"/>
    </row>
    <row r="483" spans="5:6" x14ac:dyDescent="0.3">
      <c r="E483" s="4"/>
      <c r="F483" s="4"/>
    </row>
    <row r="484" spans="5:6" x14ac:dyDescent="0.3">
      <c r="E484" s="4"/>
      <c r="F484" s="4"/>
    </row>
    <row r="485" spans="5:6" x14ac:dyDescent="0.3">
      <c r="E485" s="4"/>
      <c r="F485" s="4"/>
    </row>
    <row r="486" spans="5:6" x14ac:dyDescent="0.3">
      <c r="E486" s="4"/>
      <c r="F486" s="4"/>
    </row>
    <row r="487" spans="5:6" x14ac:dyDescent="0.3">
      <c r="E487" s="4"/>
      <c r="F487" s="4"/>
    </row>
    <row r="488" spans="5:6" x14ac:dyDescent="0.3">
      <c r="E488" s="4"/>
      <c r="F488" s="4"/>
    </row>
    <row r="489" spans="5:6" x14ac:dyDescent="0.3">
      <c r="E489" s="4"/>
      <c r="F489" s="4"/>
    </row>
    <row r="490" spans="5:6" x14ac:dyDescent="0.3">
      <c r="E490" s="4"/>
      <c r="F490" s="4"/>
    </row>
    <row r="491" spans="5:6" x14ac:dyDescent="0.3">
      <c r="E491" s="4"/>
      <c r="F491" s="4"/>
    </row>
    <row r="492" spans="5:6" x14ac:dyDescent="0.3">
      <c r="E492" s="4"/>
      <c r="F492" s="4"/>
    </row>
    <row r="493" spans="5:6" x14ac:dyDescent="0.3">
      <c r="E493" s="4"/>
      <c r="F493" s="4"/>
    </row>
    <row r="494" spans="5:6" x14ac:dyDescent="0.3">
      <c r="E494" s="4"/>
      <c r="F494" s="4"/>
    </row>
    <row r="495" spans="5:6" x14ac:dyDescent="0.3">
      <c r="E495" s="4"/>
      <c r="F495" s="4"/>
    </row>
    <row r="496" spans="5:6" x14ac:dyDescent="0.3">
      <c r="E496" s="4"/>
      <c r="F496" s="4"/>
    </row>
    <row r="497" spans="5:6" x14ac:dyDescent="0.3">
      <c r="E497" s="4"/>
      <c r="F497" s="4"/>
    </row>
    <row r="498" spans="5:6" x14ac:dyDescent="0.3">
      <c r="E498" s="4"/>
      <c r="F498" s="4"/>
    </row>
    <row r="499" spans="5:6" x14ac:dyDescent="0.3">
      <c r="E499" s="4"/>
      <c r="F499" s="4"/>
    </row>
    <row r="500" spans="5:6" x14ac:dyDescent="0.3">
      <c r="E500" s="4"/>
      <c r="F500" s="4"/>
    </row>
    <row r="501" spans="5:6" x14ac:dyDescent="0.3">
      <c r="E501" s="4"/>
      <c r="F501" s="4"/>
    </row>
    <row r="502" spans="5:6" x14ac:dyDescent="0.3">
      <c r="E502" s="4"/>
      <c r="F502" s="4"/>
    </row>
    <row r="503" spans="5:6" x14ac:dyDescent="0.3">
      <c r="E503" s="4"/>
      <c r="F503" s="4"/>
    </row>
    <row r="504" spans="5:6" x14ac:dyDescent="0.3">
      <c r="E504" s="4"/>
      <c r="F504" s="4"/>
    </row>
    <row r="505" spans="5:6" x14ac:dyDescent="0.3">
      <c r="E505" s="4"/>
      <c r="F505" s="4"/>
    </row>
    <row r="506" spans="5:6" x14ac:dyDescent="0.3">
      <c r="E506" s="4"/>
      <c r="F506" s="4"/>
    </row>
    <row r="507" spans="5:6" x14ac:dyDescent="0.3">
      <c r="E507" s="4"/>
      <c r="F507" s="4"/>
    </row>
    <row r="508" spans="5:6" x14ac:dyDescent="0.3">
      <c r="E508" s="4"/>
      <c r="F508" s="4"/>
    </row>
    <row r="509" spans="5:6" x14ac:dyDescent="0.3">
      <c r="E509" s="4"/>
      <c r="F509" s="4"/>
    </row>
    <row r="510" spans="5:6" x14ac:dyDescent="0.3">
      <c r="E510" s="4"/>
      <c r="F510" s="4"/>
    </row>
    <row r="511" spans="5:6" x14ac:dyDescent="0.3">
      <c r="E511" s="4"/>
      <c r="F511" s="4"/>
    </row>
    <row r="512" spans="5:6" x14ac:dyDescent="0.3">
      <c r="E512" s="4"/>
      <c r="F512" s="4"/>
    </row>
    <row r="513" spans="5:6" x14ac:dyDescent="0.3">
      <c r="E513" s="4"/>
      <c r="F513" s="4"/>
    </row>
    <row r="514" spans="5:6" x14ac:dyDescent="0.3">
      <c r="E514" s="4"/>
      <c r="F514" s="4"/>
    </row>
    <row r="515" spans="5:6" x14ac:dyDescent="0.3">
      <c r="E515" s="4"/>
      <c r="F515" s="4"/>
    </row>
    <row r="516" spans="5:6" x14ac:dyDescent="0.3">
      <c r="E516" s="4"/>
      <c r="F516" s="4"/>
    </row>
    <row r="517" spans="5:6" x14ac:dyDescent="0.3">
      <c r="E517" s="4"/>
      <c r="F517" s="4"/>
    </row>
    <row r="518" spans="5:6" x14ac:dyDescent="0.3">
      <c r="E518" s="4"/>
      <c r="F518" s="4"/>
    </row>
    <row r="519" spans="5:6" x14ac:dyDescent="0.3">
      <c r="E519" s="4"/>
      <c r="F519" s="4"/>
    </row>
    <row r="520" spans="5:6" x14ac:dyDescent="0.3">
      <c r="E520" s="4"/>
      <c r="F520" s="4"/>
    </row>
    <row r="521" spans="5:6" x14ac:dyDescent="0.3">
      <c r="E521" s="4"/>
      <c r="F521" s="4"/>
    </row>
    <row r="522" spans="5:6" x14ac:dyDescent="0.3">
      <c r="E522" s="4"/>
      <c r="F522" s="4"/>
    </row>
    <row r="523" spans="5:6" x14ac:dyDescent="0.3">
      <c r="E523" s="4"/>
      <c r="F523" s="4"/>
    </row>
    <row r="524" spans="5:6" x14ac:dyDescent="0.3">
      <c r="E524" s="4"/>
      <c r="F524" s="4"/>
    </row>
    <row r="525" spans="5:6" x14ac:dyDescent="0.3">
      <c r="E525" s="4"/>
      <c r="F525" s="4"/>
    </row>
    <row r="526" spans="5:6" x14ac:dyDescent="0.3">
      <c r="E526" s="4"/>
      <c r="F526" s="4"/>
    </row>
    <row r="527" spans="5:6" x14ac:dyDescent="0.3">
      <c r="E527" s="4"/>
      <c r="F527" s="4"/>
    </row>
    <row r="528" spans="5:6" x14ac:dyDescent="0.3">
      <c r="E528" s="4"/>
      <c r="F528" s="4"/>
    </row>
    <row r="529" spans="5:6" x14ac:dyDescent="0.3">
      <c r="E529" s="4"/>
      <c r="F529" s="4"/>
    </row>
    <row r="530" spans="5:6" x14ac:dyDescent="0.3">
      <c r="E530" s="4"/>
      <c r="F530" s="4"/>
    </row>
    <row r="531" spans="5:6" x14ac:dyDescent="0.3">
      <c r="E531" s="4"/>
      <c r="F531" s="4"/>
    </row>
    <row r="532" spans="5:6" x14ac:dyDescent="0.3">
      <c r="E532" s="4"/>
      <c r="F532" s="4"/>
    </row>
    <row r="533" spans="5:6" x14ac:dyDescent="0.3">
      <c r="E533" s="4"/>
      <c r="F533" s="4"/>
    </row>
    <row r="534" spans="5:6" x14ac:dyDescent="0.3">
      <c r="E534" s="4"/>
      <c r="F534" s="4"/>
    </row>
    <row r="535" spans="5:6" x14ac:dyDescent="0.3">
      <c r="E535" s="4"/>
      <c r="F535" s="4"/>
    </row>
    <row r="536" spans="5:6" x14ac:dyDescent="0.3">
      <c r="E536" s="4"/>
      <c r="F536" s="4"/>
    </row>
    <row r="537" spans="5:6" x14ac:dyDescent="0.3">
      <c r="E537" s="4"/>
      <c r="F537" s="4"/>
    </row>
    <row r="538" spans="5:6" x14ac:dyDescent="0.3">
      <c r="E538" s="4"/>
      <c r="F538" s="4"/>
    </row>
    <row r="539" spans="5:6" x14ac:dyDescent="0.3">
      <c r="E539" s="4"/>
      <c r="F539" s="4"/>
    </row>
    <row r="540" spans="5:6" x14ac:dyDescent="0.3">
      <c r="E540" s="4"/>
      <c r="F540" s="4"/>
    </row>
    <row r="541" spans="5:6" x14ac:dyDescent="0.3">
      <c r="E541" s="4"/>
      <c r="F541" s="4"/>
    </row>
    <row r="542" spans="5:6" x14ac:dyDescent="0.3">
      <c r="E542" s="4"/>
      <c r="F542" s="4"/>
    </row>
    <row r="543" spans="5:6" x14ac:dyDescent="0.3">
      <c r="E543" s="4"/>
      <c r="F543" s="4"/>
    </row>
    <row r="544" spans="5:6" x14ac:dyDescent="0.3">
      <c r="E544" s="4"/>
      <c r="F544" s="4"/>
    </row>
    <row r="545" spans="5:6" x14ac:dyDescent="0.3">
      <c r="E545" s="4"/>
      <c r="F545" s="4"/>
    </row>
    <row r="546" spans="5:6" x14ac:dyDescent="0.3">
      <c r="E546" s="4"/>
      <c r="F546" s="4"/>
    </row>
    <row r="547" spans="5:6" x14ac:dyDescent="0.3">
      <c r="E547" s="4"/>
      <c r="F547" s="4"/>
    </row>
    <row r="548" spans="5:6" x14ac:dyDescent="0.3">
      <c r="E548" s="4"/>
      <c r="F548" s="4"/>
    </row>
    <row r="549" spans="5:6" x14ac:dyDescent="0.3">
      <c r="E549" s="4"/>
      <c r="F549" s="4"/>
    </row>
    <row r="550" spans="5:6" x14ac:dyDescent="0.3">
      <c r="E550" s="4"/>
      <c r="F550" s="4"/>
    </row>
    <row r="551" spans="5:6" x14ac:dyDescent="0.3">
      <c r="E551" s="4"/>
      <c r="F551" s="4"/>
    </row>
    <row r="552" spans="5:6" x14ac:dyDescent="0.3">
      <c r="E552" s="4"/>
      <c r="F552" s="4"/>
    </row>
    <row r="553" spans="5:6" x14ac:dyDescent="0.3">
      <c r="E553" s="4"/>
      <c r="F553" s="4"/>
    </row>
    <row r="554" spans="5:6" x14ac:dyDescent="0.3">
      <c r="E554" s="4"/>
      <c r="F554" s="4"/>
    </row>
    <row r="555" spans="5:6" x14ac:dyDescent="0.3">
      <c r="E555" s="4"/>
      <c r="F555" s="4"/>
    </row>
    <row r="556" spans="5:6" x14ac:dyDescent="0.3">
      <c r="E556" s="4"/>
      <c r="F556" s="4"/>
    </row>
    <row r="557" spans="5:6" x14ac:dyDescent="0.3">
      <c r="E557" s="4"/>
      <c r="F557" s="4"/>
    </row>
    <row r="558" spans="5:6" x14ac:dyDescent="0.3">
      <c r="E558" s="4"/>
      <c r="F558" s="4"/>
    </row>
    <row r="559" spans="5:6" x14ac:dyDescent="0.3">
      <c r="E559" s="4"/>
      <c r="F559" s="4"/>
    </row>
    <row r="560" spans="5:6" x14ac:dyDescent="0.3">
      <c r="E560" s="4"/>
      <c r="F560" s="4"/>
    </row>
    <row r="561" spans="5:6" x14ac:dyDescent="0.3">
      <c r="E561" s="4"/>
      <c r="F561" s="4"/>
    </row>
    <row r="562" spans="5:6" x14ac:dyDescent="0.3">
      <c r="E562" s="4"/>
      <c r="F562" s="4"/>
    </row>
    <row r="563" spans="5:6" x14ac:dyDescent="0.3">
      <c r="E563" s="4"/>
      <c r="F563" s="4"/>
    </row>
    <row r="564" spans="5:6" x14ac:dyDescent="0.3">
      <c r="E564" s="4"/>
      <c r="F564" s="4"/>
    </row>
    <row r="565" spans="5:6" x14ac:dyDescent="0.3">
      <c r="E565" s="4"/>
      <c r="F565" s="4"/>
    </row>
    <row r="566" spans="5:6" x14ac:dyDescent="0.3">
      <c r="E566" s="4"/>
      <c r="F566" s="4"/>
    </row>
    <row r="567" spans="5:6" x14ac:dyDescent="0.3">
      <c r="E567" s="4"/>
      <c r="F567" s="4"/>
    </row>
    <row r="568" spans="5:6" x14ac:dyDescent="0.3">
      <c r="E568" s="4"/>
      <c r="F568" s="4"/>
    </row>
    <row r="569" spans="5:6" x14ac:dyDescent="0.3">
      <c r="E569" s="4"/>
      <c r="F569" s="4"/>
    </row>
    <row r="570" spans="5:6" x14ac:dyDescent="0.3">
      <c r="E570" s="4"/>
      <c r="F570" s="4"/>
    </row>
    <row r="571" spans="5:6" x14ac:dyDescent="0.3">
      <c r="E571" s="4"/>
      <c r="F571" s="4"/>
    </row>
    <row r="572" spans="5:6" x14ac:dyDescent="0.3">
      <c r="E572" s="4"/>
      <c r="F572" s="4"/>
    </row>
    <row r="573" spans="5:6" x14ac:dyDescent="0.3">
      <c r="E573" s="4"/>
      <c r="F573" s="4"/>
    </row>
    <row r="574" spans="5:6" x14ac:dyDescent="0.3">
      <c r="E574" s="4"/>
      <c r="F574" s="4"/>
    </row>
    <row r="575" spans="5:6" x14ac:dyDescent="0.3">
      <c r="E575" s="4"/>
      <c r="F575" s="4"/>
    </row>
    <row r="576" spans="5:6" x14ac:dyDescent="0.3">
      <c r="E576" s="4"/>
      <c r="F576" s="4"/>
    </row>
    <row r="577" spans="5:6" x14ac:dyDescent="0.3">
      <c r="E577" s="4"/>
      <c r="F577" s="4"/>
    </row>
    <row r="578" spans="5:6" x14ac:dyDescent="0.3">
      <c r="E578" s="4"/>
      <c r="F578" s="4"/>
    </row>
    <row r="579" spans="5:6" x14ac:dyDescent="0.3">
      <c r="E579" s="4"/>
      <c r="F579" s="4"/>
    </row>
    <row r="580" spans="5:6" x14ac:dyDescent="0.3">
      <c r="E580" s="4"/>
      <c r="F580" s="4"/>
    </row>
    <row r="581" spans="5:6" x14ac:dyDescent="0.3">
      <c r="E581" s="4"/>
      <c r="F581" s="4"/>
    </row>
    <row r="582" spans="5:6" x14ac:dyDescent="0.3">
      <c r="E582" s="4"/>
      <c r="F582" s="4"/>
    </row>
    <row r="583" spans="5:6" x14ac:dyDescent="0.3">
      <c r="E583" s="4"/>
      <c r="F583" s="4"/>
    </row>
    <row r="584" spans="5:6" x14ac:dyDescent="0.3">
      <c r="E584" s="4"/>
      <c r="F584" s="4"/>
    </row>
    <row r="585" spans="5:6" x14ac:dyDescent="0.3">
      <c r="E585" s="4"/>
      <c r="F585" s="4"/>
    </row>
    <row r="586" spans="5:6" x14ac:dyDescent="0.3">
      <c r="E586" s="4"/>
      <c r="F586" s="4"/>
    </row>
    <row r="587" spans="5:6" x14ac:dyDescent="0.3">
      <c r="E587" s="4"/>
      <c r="F587" s="4"/>
    </row>
    <row r="588" spans="5:6" x14ac:dyDescent="0.3">
      <c r="E588" s="4"/>
      <c r="F588" s="4"/>
    </row>
    <row r="589" spans="5:6" x14ac:dyDescent="0.3">
      <c r="E589" s="4"/>
      <c r="F589" s="4"/>
    </row>
    <row r="590" spans="5:6" x14ac:dyDescent="0.3">
      <c r="E590" s="4"/>
      <c r="F590" s="4"/>
    </row>
    <row r="591" spans="5:6" x14ac:dyDescent="0.3">
      <c r="E591" s="4"/>
      <c r="F591" s="4"/>
    </row>
    <row r="592" spans="5:6" x14ac:dyDescent="0.3">
      <c r="E592" s="4"/>
      <c r="F592" s="4"/>
    </row>
    <row r="593" spans="5:6" x14ac:dyDescent="0.3">
      <c r="E593" s="4"/>
      <c r="F593" s="4"/>
    </row>
    <row r="594" spans="5:6" x14ac:dyDescent="0.3">
      <c r="E594" s="4"/>
      <c r="F594" s="4"/>
    </row>
    <row r="595" spans="5:6" x14ac:dyDescent="0.3">
      <c r="E595" s="4"/>
      <c r="F595" s="4"/>
    </row>
    <row r="596" spans="5:6" x14ac:dyDescent="0.3">
      <c r="E596" s="4"/>
      <c r="F596" s="4"/>
    </row>
    <row r="597" spans="5:6" x14ac:dyDescent="0.3">
      <c r="E597" s="4"/>
      <c r="F597" s="4"/>
    </row>
    <row r="598" spans="5:6" x14ac:dyDescent="0.3">
      <c r="E598" s="4"/>
      <c r="F598" s="4"/>
    </row>
    <row r="599" spans="5:6" x14ac:dyDescent="0.3">
      <c r="E599" s="4"/>
      <c r="F599" s="4"/>
    </row>
    <row r="600" spans="5:6" x14ac:dyDescent="0.3">
      <c r="E600" s="4"/>
      <c r="F600" s="4"/>
    </row>
    <row r="601" spans="5:6" x14ac:dyDescent="0.3">
      <c r="E601" s="4"/>
      <c r="F601" s="4"/>
    </row>
    <row r="602" spans="5:6" x14ac:dyDescent="0.3">
      <c r="E602" s="4"/>
      <c r="F602" s="4"/>
    </row>
    <row r="603" spans="5:6" x14ac:dyDescent="0.3">
      <c r="E603" s="4"/>
      <c r="F603" s="4"/>
    </row>
    <row r="604" spans="5:6" x14ac:dyDescent="0.3">
      <c r="E604" s="4"/>
      <c r="F604" s="4"/>
    </row>
    <row r="605" spans="5:6" x14ac:dyDescent="0.3">
      <c r="E605" s="4"/>
      <c r="F605" s="4"/>
    </row>
    <row r="606" spans="5:6" x14ac:dyDescent="0.3">
      <c r="E606" s="4"/>
      <c r="F606" s="4"/>
    </row>
    <row r="607" spans="5:6" x14ac:dyDescent="0.3">
      <c r="E607" s="4"/>
      <c r="F607" s="4"/>
    </row>
    <row r="608" spans="5:6" x14ac:dyDescent="0.3">
      <c r="E608" s="4"/>
      <c r="F608" s="4"/>
    </row>
    <row r="609" spans="5:6" x14ac:dyDescent="0.3">
      <c r="E609" s="4"/>
      <c r="F609" s="4"/>
    </row>
    <row r="610" spans="5:6" x14ac:dyDescent="0.3">
      <c r="E610" s="4"/>
      <c r="F610" s="4"/>
    </row>
    <row r="611" spans="5:6" x14ac:dyDescent="0.3">
      <c r="E611" s="4"/>
      <c r="F611" s="4"/>
    </row>
    <row r="612" spans="5:6" x14ac:dyDescent="0.3">
      <c r="E612" s="4"/>
      <c r="F612" s="4"/>
    </row>
    <row r="613" spans="5:6" x14ac:dyDescent="0.3">
      <c r="E613" s="4"/>
      <c r="F613" s="4"/>
    </row>
    <row r="614" spans="5:6" x14ac:dyDescent="0.3">
      <c r="E614" s="4"/>
      <c r="F614" s="4"/>
    </row>
    <row r="615" spans="5:6" x14ac:dyDescent="0.3">
      <c r="E615" s="4"/>
      <c r="F615" s="4"/>
    </row>
    <row r="616" spans="5:6" x14ac:dyDescent="0.3">
      <c r="E616" s="4"/>
      <c r="F616" s="4"/>
    </row>
    <row r="617" spans="5:6" x14ac:dyDescent="0.3">
      <c r="E617" s="4"/>
      <c r="F617" s="4"/>
    </row>
    <row r="618" spans="5:6" x14ac:dyDescent="0.3">
      <c r="E618" s="4"/>
      <c r="F618" s="4"/>
    </row>
    <row r="619" spans="5:6" x14ac:dyDescent="0.3">
      <c r="E619" s="4"/>
      <c r="F619" s="4"/>
    </row>
    <row r="620" spans="5:6" x14ac:dyDescent="0.3">
      <c r="E620" s="4"/>
      <c r="F620" s="4"/>
    </row>
    <row r="621" spans="5:6" x14ac:dyDescent="0.3">
      <c r="E621" s="4"/>
      <c r="F621" s="4"/>
    </row>
    <row r="622" spans="5:6" x14ac:dyDescent="0.3">
      <c r="E622" s="4"/>
      <c r="F622" s="4"/>
    </row>
    <row r="623" spans="5:6" x14ac:dyDescent="0.3">
      <c r="E623" s="4"/>
      <c r="F623" s="4"/>
    </row>
    <row r="624" spans="5:6" x14ac:dyDescent="0.3">
      <c r="E624" s="4"/>
      <c r="F624" s="4"/>
    </row>
    <row r="625" spans="5:6" x14ac:dyDescent="0.3">
      <c r="E625" s="4"/>
      <c r="F625" s="4"/>
    </row>
    <row r="626" spans="5:6" x14ac:dyDescent="0.3">
      <c r="E626" s="4"/>
      <c r="F626" s="4"/>
    </row>
    <row r="627" spans="5:6" x14ac:dyDescent="0.3">
      <c r="E627" s="4"/>
      <c r="F627" s="4"/>
    </row>
    <row r="628" spans="5:6" x14ac:dyDescent="0.3">
      <c r="E628" s="4"/>
      <c r="F628" s="4"/>
    </row>
    <row r="629" spans="5:6" x14ac:dyDescent="0.3">
      <c r="E629" s="4"/>
      <c r="F629" s="4"/>
    </row>
    <row r="630" spans="5:6" x14ac:dyDescent="0.3">
      <c r="E630" s="4"/>
      <c r="F630" s="4"/>
    </row>
    <row r="631" spans="5:6" x14ac:dyDescent="0.3">
      <c r="E631" s="4"/>
      <c r="F631" s="4"/>
    </row>
    <row r="632" spans="5:6" x14ac:dyDescent="0.3">
      <c r="E632" s="4"/>
      <c r="F632" s="4"/>
    </row>
    <row r="633" spans="5:6" x14ac:dyDescent="0.3">
      <c r="E633" s="4"/>
      <c r="F633" s="4"/>
    </row>
    <row r="634" spans="5:6" x14ac:dyDescent="0.3">
      <c r="E634" s="4"/>
      <c r="F634" s="4"/>
    </row>
    <row r="635" spans="5:6" x14ac:dyDescent="0.3">
      <c r="E635" s="4"/>
      <c r="F635" s="4"/>
    </row>
    <row r="636" spans="5:6" x14ac:dyDescent="0.3">
      <c r="E636" s="4"/>
      <c r="F636" s="4"/>
    </row>
    <row r="637" spans="5:6" x14ac:dyDescent="0.3">
      <c r="E637" s="4"/>
      <c r="F637" s="4"/>
    </row>
    <row r="638" spans="5:6" x14ac:dyDescent="0.3">
      <c r="E638" s="4"/>
      <c r="F638" s="4"/>
    </row>
    <row r="639" spans="5:6" x14ac:dyDescent="0.3">
      <c r="E639" s="4"/>
      <c r="F639" s="4"/>
    </row>
    <row r="640" spans="5:6" x14ac:dyDescent="0.3">
      <c r="E640" s="4"/>
      <c r="F640" s="4"/>
    </row>
    <row r="641" spans="5:6" x14ac:dyDescent="0.3">
      <c r="E641" s="4"/>
      <c r="F641" s="4"/>
    </row>
    <row r="642" spans="5:6" x14ac:dyDescent="0.3">
      <c r="E642" s="4"/>
      <c r="F642" s="4"/>
    </row>
    <row r="643" spans="5:6" x14ac:dyDescent="0.3">
      <c r="E643" s="4"/>
      <c r="F643" s="4"/>
    </row>
    <row r="644" spans="5:6" x14ac:dyDescent="0.3">
      <c r="E644" s="4"/>
      <c r="F644" s="4"/>
    </row>
    <row r="645" spans="5:6" x14ac:dyDescent="0.3">
      <c r="E645" s="4"/>
      <c r="F645" s="4"/>
    </row>
    <row r="646" spans="5:6" x14ac:dyDescent="0.3">
      <c r="E646" s="4"/>
      <c r="F646" s="4"/>
    </row>
    <row r="647" spans="5:6" x14ac:dyDescent="0.3">
      <c r="E647" s="4"/>
      <c r="F647" s="4"/>
    </row>
    <row r="648" spans="5:6" x14ac:dyDescent="0.3">
      <c r="E648" s="4"/>
      <c r="F648" s="4"/>
    </row>
    <row r="649" spans="5:6" x14ac:dyDescent="0.3">
      <c r="E649" s="4"/>
      <c r="F649" s="4"/>
    </row>
    <row r="650" spans="5:6" x14ac:dyDescent="0.3">
      <c r="E650" s="4"/>
      <c r="F650" s="4"/>
    </row>
    <row r="651" spans="5:6" x14ac:dyDescent="0.3">
      <c r="E651" s="4"/>
      <c r="F651" s="4"/>
    </row>
    <row r="652" spans="5:6" x14ac:dyDescent="0.3">
      <c r="E652" s="4"/>
      <c r="F652" s="4"/>
    </row>
    <row r="653" spans="5:6" x14ac:dyDescent="0.3">
      <c r="E653" s="4"/>
      <c r="F653" s="4"/>
    </row>
    <row r="654" spans="5:6" x14ac:dyDescent="0.3">
      <c r="E654" s="4"/>
      <c r="F654" s="4"/>
    </row>
    <row r="655" spans="5:6" x14ac:dyDescent="0.3">
      <c r="E655" s="4"/>
      <c r="F655" s="4"/>
    </row>
    <row r="656" spans="5:6" x14ac:dyDescent="0.3">
      <c r="E656" s="4"/>
      <c r="F656" s="4"/>
    </row>
    <row r="657" spans="5:6" x14ac:dyDescent="0.3">
      <c r="E657" s="4"/>
      <c r="F657" s="4"/>
    </row>
    <row r="658" spans="5:6" x14ac:dyDescent="0.3">
      <c r="E658" s="4"/>
      <c r="F658" s="4"/>
    </row>
    <row r="659" spans="5:6" x14ac:dyDescent="0.3">
      <c r="E659" s="4"/>
      <c r="F659" s="4"/>
    </row>
    <row r="660" spans="5:6" x14ac:dyDescent="0.3">
      <c r="E660" s="4"/>
      <c r="F660" s="4"/>
    </row>
    <row r="661" spans="5:6" x14ac:dyDescent="0.3">
      <c r="E661" s="4"/>
      <c r="F661" s="4"/>
    </row>
    <row r="662" spans="5:6" x14ac:dyDescent="0.3">
      <c r="E662" s="4"/>
      <c r="F662" s="4"/>
    </row>
    <row r="663" spans="5:6" x14ac:dyDescent="0.3">
      <c r="E663" s="4"/>
      <c r="F663" s="4"/>
    </row>
    <row r="664" spans="5:6" x14ac:dyDescent="0.3">
      <c r="E664" s="4"/>
      <c r="F664" s="4"/>
    </row>
    <row r="665" spans="5:6" x14ac:dyDescent="0.3">
      <c r="E665" s="4"/>
      <c r="F665" s="4"/>
    </row>
    <row r="666" spans="5:6" x14ac:dyDescent="0.3">
      <c r="E666" s="4"/>
      <c r="F666" s="4"/>
    </row>
    <row r="667" spans="5:6" x14ac:dyDescent="0.3">
      <c r="E667" s="4"/>
      <c r="F667" s="4"/>
    </row>
    <row r="668" spans="5:6" x14ac:dyDescent="0.3">
      <c r="E668" s="4"/>
      <c r="F668" s="4"/>
    </row>
    <row r="669" spans="5:6" x14ac:dyDescent="0.3">
      <c r="E669" s="4"/>
      <c r="F669" s="4"/>
    </row>
    <row r="670" spans="5:6" x14ac:dyDescent="0.3">
      <c r="E670" s="4"/>
      <c r="F670" s="4"/>
    </row>
    <row r="671" spans="5:6" x14ac:dyDescent="0.3">
      <c r="E671" s="4"/>
      <c r="F671" s="4"/>
    </row>
    <row r="672" spans="5:6" x14ac:dyDescent="0.3">
      <c r="E672" s="4"/>
      <c r="F672" s="4"/>
    </row>
    <row r="673" spans="5:6" x14ac:dyDescent="0.3">
      <c r="E673" s="4"/>
      <c r="F673" s="4"/>
    </row>
    <row r="674" spans="5:6" x14ac:dyDescent="0.3">
      <c r="E674" s="4"/>
      <c r="F674" s="4"/>
    </row>
    <row r="675" spans="5:6" x14ac:dyDescent="0.3">
      <c r="E675" s="4"/>
      <c r="F675" s="4"/>
    </row>
    <row r="676" spans="5:6" x14ac:dyDescent="0.3">
      <c r="E676" s="4"/>
      <c r="F676" s="4"/>
    </row>
    <row r="677" spans="5:6" x14ac:dyDescent="0.3">
      <c r="E677" s="4"/>
      <c r="F677" s="4"/>
    </row>
    <row r="678" spans="5:6" x14ac:dyDescent="0.3">
      <c r="E678" s="4"/>
      <c r="F678" s="4"/>
    </row>
    <row r="679" spans="5:6" x14ac:dyDescent="0.3">
      <c r="E679" s="4"/>
      <c r="F679" s="4"/>
    </row>
    <row r="680" spans="5:6" x14ac:dyDescent="0.3">
      <c r="E680" s="4"/>
      <c r="F680" s="4"/>
    </row>
    <row r="681" spans="5:6" x14ac:dyDescent="0.3">
      <c r="E681" s="4"/>
      <c r="F681" s="4"/>
    </row>
    <row r="682" spans="5:6" x14ac:dyDescent="0.3">
      <c r="E682" s="4"/>
      <c r="F682" s="4"/>
    </row>
    <row r="683" spans="5:6" x14ac:dyDescent="0.3">
      <c r="E683" s="4"/>
      <c r="F683" s="4"/>
    </row>
    <row r="684" spans="5:6" x14ac:dyDescent="0.3">
      <c r="E684" s="4"/>
      <c r="F684" s="4"/>
    </row>
    <row r="685" spans="5:6" x14ac:dyDescent="0.3">
      <c r="E685" s="4"/>
      <c r="F685" s="4"/>
    </row>
    <row r="686" spans="5:6" x14ac:dyDescent="0.3">
      <c r="E686" s="4"/>
      <c r="F686" s="4"/>
    </row>
    <row r="687" spans="5:6" x14ac:dyDescent="0.3">
      <c r="E687" s="4"/>
      <c r="F687" s="4"/>
    </row>
    <row r="688" spans="5:6" x14ac:dyDescent="0.3">
      <c r="E688" s="4"/>
      <c r="F688" s="4"/>
    </row>
    <row r="689" spans="5:6" x14ac:dyDescent="0.3">
      <c r="E689" s="4"/>
      <c r="F689" s="4"/>
    </row>
    <row r="690" spans="5:6" x14ac:dyDescent="0.3">
      <c r="E690" s="4"/>
      <c r="F690" s="4"/>
    </row>
    <row r="691" spans="5:6" x14ac:dyDescent="0.3">
      <c r="E691" s="4"/>
      <c r="F691" s="4"/>
    </row>
    <row r="692" spans="5:6" x14ac:dyDescent="0.3">
      <c r="E692" s="4"/>
      <c r="F692" s="4"/>
    </row>
    <row r="693" spans="5:6" x14ac:dyDescent="0.3">
      <c r="E693" s="4"/>
      <c r="F693" s="4"/>
    </row>
    <row r="694" spans="5:6" x14ac:dyDescent="0.3">
      <c r="E694" s="4"/>
      <c r="F694" s="4"/>
    </row>
    <row r="695" spans="5:6" x14ac:dyDescent="0.3">
      <c r="E695" s="4"/>
      <c r="F695" s="4"/>
    </row>
    <row r="696" spans="5:6" x14ac:dyDescent="0.3">
      <c r="E696" s="4"/>
      <c r="F696" s="4"/>
    </row>
    <row r="697" spans="5:6" x14ac:dyDescent="0.3">
      <c r="E697" s="4"/>
      <c r="F697" s="4"/>
    </row>
    <row r="698" spans="5:6" x14ac:dyDescent="0.3">
      <c r="E698" s="4"/>
      <c r="F698" s="4"/>
    </row>
    <row r="699" spans="5:6" x14ac:dyDescent="0.3">
      <c r="E699" s="4"/>
      <c r="F699" s="4"/>
    </row>
    <row r="700" spans="5:6" x14ac:dyDescent="0.3">
      <c r="E700" s="4"/>
      <c r="F700" s="4"/>
    </row>
    <row r="701" spans="5:6" x14ac:dyDescent="0.3">
      <c r="E701" s="4"/>
      <c r="F701" s="4"/>
    </row>
    <row r="702" spans="5:6" x14ac:dyDescent="0.3">
      <c r="E702" s="4"/>
      <c r="F702" s="4"/>
    </row>
    <row r="703" spans="5:6" x14ac:dyDescent="0.3">
      <c r="E703" s="4"/>
      <c r="F703" s="4"/>
    </row>
    <row r="704" spans="5:6" x14ac:dyDescent="0.3">
      <c r="E704" s="4"/>
      <c r="F704" s="4"/>
    </row>
    <row r="705" spans="5:6" x14ac:dyDescent="0.3">
      <c r="E705" s="4"/>
      <c r="F705" s="4"/>
    </row>
    <row r="706" spans="5:6" x14ac:dyDescent="0.3">
      <c r="E706" s="4"/>
      <c r="F706" s="4"/>
    </row>
    <row r="707" spans="5:6" x14ac:dyDescent="0.3">
      <c r="E707" s="4"/>
      <c r="F707" s="4"/>
    </row>
    <row r="708" spans="5:6" x14ac:dyDescent="0.3">
      <c r="E708" s="4"/>
      <c r="F708" s="4"/>
    </row>
    <row r="709" spans="5:6" x14ac:dyDescent="0.3">
      <c r="E709" s="4"/>
      <c r="F709" s="4"/>
    </row>
    <row r="710" spans="5:6" x14ac:dyDescent="0.3">
      <c r="E710" s="4"/>
      <c r="F710" s="4"/>
    </row>
    <row r="711" spans="5:6" x14ac:dyDescent="0.3">
      <c r="E711" s="4"/>
      <c r="F711" s="4"/>
    </row>
    <row r="712" spans="5:6" x14ac:dyDescent="0.3">
      <c r="E712" s="4"/>
      <c r="F712" s="4"/>
    </row>
    <row r="713" spans="5:6" x14ac:dyDescent="0.3">
      <c r="E713" s="4"/>
      <c r="F713" s="4"/>
    </row>
    <row r="714" spans="5:6" x14ac:dyDescent="0.3">
      <c r="E714" s="4"/>
      <c r="F714" s="4"/>
    </row>
    <row r="715" spans="5:6" x14ac:dyDescent="0.3">
      <c r="E715" s="4"/>
      <c r="F715" s="4"/>
    </row>
    <row r="716" spans="5:6" x14ac:dyDescent="0.3">
      <c r="E716" s="4"/>
      <c r="F716" s="4"/>
    </row>
    <row r="717" spans="5:6" x14ac:dyDescent="0.3">
      <c r="E717" s="4"/>
      <c r="F717" s="4"/>
    </row>
    <row r="718" spans="5:6" x14ac:dyDescent="0.3">
      <c r="E718" s="4"/>
      <c r="F718" s="4"/>
    </row>
    <row r="719" spans="5:6" x14ac:dyDescent="0.3">
      <c r="E719" s="4"/>
      <c r="F719" s="4"/>
    </row>
    <row r="720" spans="5:6" x14ac:dyDescent="0.3">
      <c r="E720" s="4"/>
      <c r="F720" s="4"/>
    </row>
    <row r="721" spans="5:6" x14ac:dyDescent="0.3">
      <c r="E721" s="4"/>
      <c r="F721" s="4"/>
    </row>
    <row r="722" spans="5:6" x14ac:dyDescent="0.3">
      <c r="E722" s="4"/>
      <c r="F722" s="4"/>
    </row>
    <row r="723" spans="5:6" x14ac:dyDescent="0.3">
      <c r="E723" s="4"/>
      <c r="F723" s="4"/>
    </row>
    <row r="724" spans="5:6" x14ac:dyDescent="0.3">
      <c r="E724" s="4"/>
      <c r="F724" s="4"/>
    </row>
    <row r="725" spans="5:6" x14ac:dyDescent="0.3">
      <c r="E725" s="4"/>
      <c r="F725" s="4"/>
    </row>
    <row r="726" spans="5:6" x14ac:dyDescent="0.3">
      <c r="E726" s="4"/>
      <c r="F726" s="4"/>
    </row>
    <row r="727" spans="5:6" x14ac:dyDescent="0.3">
      <c r="E727" s="4"/>
      <c r="F727" s="4"/>
    </row>
    <row r="728" spans="5:6" x14ac:dyDescent="0.3">
      <c r="E728" s="4"/>
      <c r="F728" s="4"/>
    </row>
    <row r="729" spans="5:6" x14ac:dyDescent="0.3">
      <c r="E729" s="4"/>
      <c r="F729" s="4"/>
    </row>
    <row r="730" spans="5:6" x14ac:dyDescent="0.3">
      <c r="E730" s="4"/>
      <c r="F730" s="4"/>
    </row>
    <row r="731" spans="5:6" x14ac:dyDescent="0.3">
      <c r="E731" s="4"/>
      <c r="F731" s="4"/>
    </row>
    <row r="732" spans="5:6" x14ac:dyDescent="0.3">
      <c r="E732" s="4"/>
      <c r="F732" s="4"/>
    </row>
    <row r="733" spans="5:6" x14ac:dyDescent="0.3">
      <c r="E733" s="4"/>
      <c r="F733" s="4"/>
    </row>
    <row r="734" spans="5:6" x14ac:dyDescent="0.3">
      <c r="E734" s="4"/>
      <c r="F734" s="4"/>
    </row>
    <row r="735" spans="5:6" x14ac:dyDescent="0.3">
      <c r="E735" s="4"/>
      <c r="F735" s="4"/>
    </row>
    <row r="736" spans="5:6" x14ac:dyDescent="0.3">
      <c r="E736" s="4"/>
      <c r="F736" s="4"/>
    </row>
    <row r="737" spans="5:6" x14ac:dyDescent="0.3">
      <c r="E737" s="4"/>
      <c r="F737" s="4"/>
    </row>
    <row r="738" spans="5:6" x14ac:dyDescent="0.3">
      <c r="E738" s="4"/>
      <c r="F738" s="4"/>
    </row>
    <row r="739" spans="5:6" x14ac:dyDescent="0.3">
      <c r="E739" s="4"/>
      <c r="F739" s="4"/>
    </row>
    <row r="740" spans="5:6" x14ac:dyDescent="0.3">
      <c r="E740" s="4"/>
      <c r="F740" s="4"/>
    </row>
    <row r="741" spans="5:6" x14ac:dyDescent="0.3">
      <c r="E741" s="4"/>
      <c r="F741" s="4"/>
    </row>
    <row r="742" spans="5:6" x14ac:dyDescent="0.3">
      <c r="E742" s="4"/>
      <c r="F742" s="4"/>
    </row>
    <row r="743" spans="5:6" x14ac:dyDescent="0.3">
      <c r="E743" s="4"/>
      <c r="F743" s="4"/>
    </row>
    <row r="744" spans="5:6" x14ac:dyDescent="0.3">
      <c r="E744" s="4"/>
      <c r="F744" s="4"/>
    </row>
    <row r="745" spans="5:6" x14ac:dyDescent="0.3">
      <c r="E745" s="4"/>
      <c r="F745" s="4"/>
    </row>
    <row r="746" spans="5:6" x14ac:dyDescent="0.3">
      <c r="E746" s="4"/>
      <c r="F746" s="4"/>
    </row>
    <row r="747" spans="5:6" x14ac:dyDescent="0.3">
      <c r="E747" s="4"/>
      <c r="F747" s="4"/>
    </row>
    <row r="748" spans="5:6" x14ac:dyDescent="0.3">
      <c r="E748" s="4"/>
      <c r="F748" s="4"/>
    </row>
    <row r="749" spans="5:6" x14ac:dyDescent="0.3">
      <c r="E749" s="4"/>
      <c r="F749" s="4"/>
    </row>
    <row r="750" spans="5:6" x14ac:dyDescent="0.3">
      <c r="E750" s="4"/>
      <c r="F750" s="4"/>
    </row>
    <row r="751" spans="5:6" x14ac:dyDescent="0.3">
      <c r="E751" s="4"/>
      <c r="F751" s="4"/>
    </row>
    <row r="752" spans="5:6" x14ac:dyDescent="0.3">
      <c r="E752" s="4"/>
      <c r="F752" s="4"/>
    </row>
    <row r="753" spans="5:6" x14ac:dyDescent="0.3">
      <c r="E753" s="4"/>
      <c r="F753" s="4"/>
    </row>
    <row r="754" spans="5:6" x14ac:dyDescent="0.3">
      <c r="E754" s="4"/>
      <c r="F754" s="4"/>
    </row>
    <row r="755" spans="5:6" x14ac:dyDescent="0.3">
      <c r="E755" s="4"/>
      <c r="F755" s="4"/>
    </row>
    <row r="756" spans="5:6" x14ac:dyDescent="0.3">
      <c r="E756" s="4"/>
      <c r="F756" s="4"/>
    </row>
    <row r="757" spans="5:6" x14ac:dyDescent="0.3">
      <c r="E757" s="4"/>
      <c r="F757" s="4"/>
    </row>
    <row r="758" spans="5:6" x14ac:dyDescent="0.3">
      <c r="E758" s="4"/>
      <c r="F758" s="4"/>
    </row>
    <row r="759" spans="5:6" x14ac:dyDescent="0.3">
      <c r="E759" s="4"/>
      <c r="F759" s="4"/>
    </row>
    <row r="760" spans="5:6" x14ac:dyDescent="0.3">
      <c r="E760" s="4"/>
      <c r="F760" s="4"/>
    </row>
    <row r="761" spans="5:6" x14ac:dyDescent="0.3">
      <c r="E761" s="4"/>
      <c r="F761" s="4"/>
    </row>
    <row r="762" spans="5:6" x14ac:dyDescent="0.3">
      <c r="E762" s="4"/>
      <c r="F762" s="4"/>
    </row>
    <row r="763" spans="5:6" x14ac:dyDescent="0.3">
      <c r="E763" s="4"/>
      <c r="F763" s="4"/>
    </row>
    <row r="764" spans="5:6" x14ac:dyDescent="0.3">
      <c r="E764" s="4"/>
      <c r="F764" s="4"/>
    </row>
    <row r="765" spans="5:6" x14ac:dyDescent="0.3">
      <c r="E765" s="4"/>
      <c r="F765" s="4"/>
    </row>
    <row r="766" spans="5:6" x14ac:dyDescent="0.3">
      <c r="E766" s="4"/>
      <c r="F766" s="4"/>
    </row>
    <row r="767" spans="5:6" x14ac:dyDescent="0.3">
      <c r="E767" s="4"/>
      <c r="F767" s="4"/>
    </row>
    <row r="768" spans="5:6" x14ac:dyDescent="0.3">
      <c r="E768" s="4"/>
      <c r="F768" s="4"/>
    </row>
    <row r="769" spans="5:6" x14ac:dyDescent="0.3">
      <c r="E769" s="4"/>
      <c r="F769" s="4"/>
    </row>
    <row r="770" spans="5:6" x14ac:dyDescent="0.3">
      <c r="E770" s="4"/>
      <c r="F770" s="4"/>
    </row>
    <row r="771" spans="5:6" x14ac:dyDescent="0.3">
      <c r="E771" s="4"/>
      <c r="F771" s="4"/>
    </row>
    <row r="772" spans="5:6" x14ac:dyDescent="0.3">
      <c r="E772" s="4"/>
      <c r="F772" s="4"/>
    </row>
    <row r="773" spans="5:6" x14ac:dyDescent="0.3">
      <c r="E773" s="4"/>
      <c r="F773" s="4"/>
    </row>
    <row r="774" spans="5:6" x14ac:dyDescent="0.3">
      <c r="E774" s="4"/>
      <c r="F774" s="4"/>
    </row>
    <row r="775" spans="5:6" x14ac:dyDescent="0.3">
      <c r="E775" s="4"/>
      <c r="F775" s="4"/>
    </row>
    <row r="776" spans="5:6" x14ac:dyDescent="0.3">
      <c r="E776" s="4"/>
      <c r="F776" s="4"/>
    </row>
    <row r="777" spans="5:6" x14ac:dyDescent="0.3">
      <c r="E777" s="4"/>
      <c r="F777" s="4"/>
    </row>
    <row r="778" spans="5:6" x14ac:dyDescent="0.3">
      <c r="E778" s="4"/>
      <c r="F778" s="4"/>
    </row>
    <row r="779" spans="5:6" x14ac:dyDescent="0.3">
      <c r="E779" s="4"/>
      <c r="F779" s="4"/>
    </row>
    <row r="780" spans="5:6" x14ac:dyDescent="0.3">
      <c r="E780" s="4"/>
      <c r="F780" s="4"/>
    </row>
    <row r="781" spans="5:6" x14ac:dyDescent="0.3">
      <c r="E781" s="4"/>
      <c r="F781" s="4"/>
    </row>
    <row r="782" spans="5:6" x14ac:dyDescent="0.3">
      <c r="E782" s="4"/>
      <c r="F782" s="4"/>
    </row>
    <row r="783" spans="5:6" x14ac:dyDescent="0.3">
      <c r="E783" s="4"/>
      <c r="F783" s="4"/>
    </row>
    <row r="784" spans="5:6" x14ac:dyDescent="0.3">
      <c r="E784" s="4"/>
      <c r="F784" s="4"/>
    </row>
    <row r="785" spans="5:6" x14ac:dyDescent="0.3">
      <c r="E785" s="4"/>
      <c r="F785" s="4"/>
    </row>
    <row r="786" spans="5:6" x14ac:dyDescent="0.3">
      <c r="E786" s="4"/>
      <c r="F786" s="4"/>
    </row>
    <row r="787" spans="5:6" x14ac:dyDescent="0.3">
      <c r="E787" s="4"/>
      <c r="F787" s="4"/>
    </row>
    <row r="788" spans="5:6" x14ac:dyDescent="0.3">
      <c r="E788" s="4"/>
      <c r="F788" s="4"/>
    </row>
    <row r="789" spans="5:6" x14ac:dyDescent="0.3">
      <c r="E789" s="4"/>
      <c r="F789" s="4"/>
    </row>
    <row r="790" spans="5:6" x14ac:dyDescent="0.3">
      <c r="E790" s="4"/>
      <c r="F790" s="4"/>
    </row>
    <row r="791" spans="5:6" x14ac:dyDescent="0.3">
      <c r="E791" s="4"/>
      <c r="F791" s="4"/>
    </row>
    <row r="792" spans="5:6" x14ac:dyDescent="0.3">
      <c r="E792" s="4"/>
      <c r="F792" s="4"/>
    </row>
    <row r="793" spans="5:6" x14ac:dyDescent="0.3">
      <c r="E793" s="4"/>
      <c r="F793" s="4"/>
    </row>
    <row r="794" spans="5:6" x14ac:dyDescent="0.3">
      <c r="E794" s="4"/>
      <c r="F794" s="4"/>
    </row>
    <row r="795" spans="5:6" x14ac:dyDescent="0.3">
      <c r="E795" s="4"/>
      <c r="F795" s="4"/>
    </row>
    <row r="796" spans="5:6" x14ac:dyDescent="0.3">
      <c r="E796" s="4"/>
      <c r="F796" s="4"/>
    </row>
    <row r="797" spans="5:6" x14ac:dyDescent="0.3">
      <c r="E797" s="4"/>
      <c r="F797" s="4"/>
    </row>
    <row r="798" spans="5:6" x14ac:dyDescent="0.3">
      <c r="E798" s="4"/>
      <c r="F798" s="4"/>
    </row>
    <row r="799" spans="5:6" x14ac:dyDescent="0.3">
      <c r="E799" s="4"/>
      <c r="F799" s="4"/>
    </row>
    <row r="800" spans="5:6" x14ac:dyDescent="0.3">
      <c r="E800" s="4"/>
      <c r="F800" s="4"/>
    </row>
    <row r="801" spans="5:6" x14ac:dyDescent="0.3">
      <c r="E801" s="4"/>
      <c r="F801" s="4"/>
    </row>
    <row r="802" spans="5:6" x14ac:dyDescent="0.3">
      <c r="E802" s="4"/>
      <c r="F802" s="4"/>
    </row>
    <row r="803" spans="5:6" x14ac:dyDescent="0.3">
      <c r="E803" s="4"/>
      <c r="F803" s="4"/>
    </row>
    <row r="804" spans="5:6" x14ac:dyDescent="0.3">
      <c r="E804" s="4"/>
      <c r="F804" s="4"/>
    </row>
    <row r="805" spans="5:6" x14ac:dyDescent="0.3">
      <c r="E805" s="4"/>
      <c r="F805" s="4"/>
    </row>
    <row r="806" spans="5:6" x14ac:dyDescent="0.3">
      <c r="E806" s="4"/>
      <c r="F806" s="4"/>
    </row>
    <row r="807" spans="5:6" x14ac:dyDescent="0.3">
      <c r="E807" s="4"/>
      <c r="F807" s="4"/>
    </row>
    <row r="808" spans="5:6" x14ac:dyDescent="0.3">
      <c r="E808" s="4"/>
      <c r="F808" s="4"/>
    </row>
    <row r="809" spans="5:6" x14ac:dyDescent="0.3">
      <c r="E809" s="4"/>
      <c r="F809" s="4"/>
    </row>
    <row r="810" spans="5:6" x14ac:dyDescent="0.3">
      <c r="E810" s="4"/>
      <c r="F810" s="4"/>
    </row>
    <row r="811" spans="5:6" x14ac:dyDescent="0.3">
      <c r="E811" s="4"/>
      <c r="F811" s="4"/>
    </row>
    <row r="812" spans="5:6" x14ac:dyDescent="0.3">
      <c r="E812" s="4"/>
      <c r="F812" s="4"/>
    </row>
    <row r="813" spans="5:6" x14ac:dyDescent="0.3">
      <c r="E813" s="4"/>
      <c r="F813" s="4"/>
    </row>
    <row r="814" spans="5:6" x14ac:dyDescent="0.3">
      <c r="E814" s="4"/>
      <c r="F814" s="4"/>
    </row>
    <row r="815" spans="5:6" x14ac:dyDescent="0.3">
      <c r="E815" s="4"/>
      <c r="F815" s="4"/>
    </row>
    <row r="816" spans="5:6" x14ac:dyDescent="0.3">
      <c r="E816" s="4"/>
      <c r="F816" s="4"/>
    </row>
    <row r="817" spans="5:6" x14ac:dyDescent="0.3">
      <c r="E817" s="4"/>
      <c r="F817" s="4"/>
    </row>
    <row r="818" spans="5:6" x14ac:dyDescent="0.3">
      <c r="E818" s="4"/>
      <c r="F818" s="4"/>
    </row>
    <row r="819" spans="5:6" x14ac:dyDescent="0.3">
      <c r="E819" s="4"/>
      <c r="F819" s="4"/>
    </row>
    <row r="820" spans="5:6" x14ac:dyDescent="0.3">
      <c r="E820" s="4"/>
      <c r="F820" s="4"/>
    </row>
    <row r="821" spans="5:6" x14ac:dyDescent="0.3">
      <c r="E821" s="4"/>
      <c r="F821" s="4"/>
    </row>
    <row r="822" spans="5:6" x14ac:dyDescent="0.3">
      <c r="E822" s="4"/>
      <c r="F822" s="4"/>
    </row>
    <row r="823" spans="5:6" x14ac:dyDescent="0.3">
      <c r="E823" s="4"/>
      <c r="F823" s="4"/>
    </row>
    <row r="824" spans="5:6" x14ac:dyDescent="0.3">
      <c r="E824" s="4"/>
      <c r="F824" s="4"/>
    </row>
    <row r="825" spans="5:6" x14ac:dyDescent="0.3">
      <c r="E825" s="4"/>
      <c r="F825" s="4"/>
    </row>
    <row r="826" spans="5:6" x14ac:dyDescent="0.3">
      <c r="E826" s="4"/>
      <c r="F826" s="4"/>
    </row>
    <row r="827" spans="5:6" x14ac:dyDescent="0.3">
      <c r="E827" s="4"/>
      <c r="F827" s="4"/>
    </row>
    <row r="828" spans="5:6" x14ac:dyDescent="0.3">
      <c r="E828" s="4"/>
      <c r="F828" s="4"/>
    </row>
    <row r="829" spans="5:6" x14ac:dyDescent="0.3">
      <c r="E829" s="4"/>
      <c r="F829" s="4"/>
    </row>
    <row r="830" spans="5:6" x14ac:dyDescent="0.3">
      <c r="E830" s="4"/>
      <c r="F830" s="4"/>
    </row>
    <row r="831" spans="5:6" x14ac:dyDescent="0.3">
      <c r="E831" s="4"/>
      <c r="F831" s="4"/>
    </row>
    <row r="832" spans="5:6" x14ac:dyDescent="0.3">
      <c r="E832" s="4"/>
      <c r="F832" s="4"/>
    </row>
    <row r="833" spans="5:6" x14ac:dyDescent="0.3">
      <c r="E833" s="4"/>
      <c r="F833" s="4"/>
    </row>
    <row r="834" spans="5:6" x14ac:dyDescent="0.3">
      <c r="E834" s="4"/>
      <c r="F834" s="4"/>
    </row>
    <row r="835" spans="5:6" x14ac:dyDescent="0.3">
      <c r="E835" s="4"/>
      <c r="F835" s="4"/>
    </row>
    <row r="836" spans="5:6" x14ac:dyDescent="0.3">
      <c r="E836" s="4"/>
      <c r="F836" s="4"/>
    </row>
    <row r="837" spans="5:6" x14ac:dyDescent="0.3">
      <c r="E837" s="4"/>
      <c r="F837" s="4"/>
    </row>
    <row r="838" spans="5:6" x14ac:dyDescent="0.3">
      <c r="E838" s="4"/>
      <c r="F838" s="4"/>
    </row>
    <row r="839" spans="5:6" x14ac:dyDescent="0.3">
      <c r="E839" s="4"/>
      <c r="F839" s="4"/>
    </row>
    <row r="840" spans="5:6" x14ac:dyDescent="0.3">
      <c r="E840" s="4"/>
      <c r="F840" s="4"/>
    </row>
    <row r="841" spans="5:6" x14ac:dyDescent="0.3">
      <c r="E841" s="4"/>
      <c r="F841" s="4"/>
    </row>
    <row r="842" spans="5:6" x14ac:dyDescent="0.3">
      <c r="E842" s="4"/>
      <c r="F842" s="4"/>
    </row>
    <row r="843" spans="5:6" x14ac:dyDescent="0.3">
      <c r="E843" s="4"/>
      <c r="F843" s="4"/>
    </row>
    <row r="844" spans="5:6" x14ac:dyDescent="0.3">
      <c r="E844" s="4"/>
      <c r="F844" s="4"/>
    </row>
    <row r="845" spans="5:6" x14ac:dyDescent="0.3">
      <c r="E845" s="4"/>
      <c r="F845" s="4"/>
    </row>
    <row r="846" spans="5:6" x14ac:dyDescent="0.3">
      <c r="E846" s="4"/>
      <c r="F846" s="4"/>
    </row>
    <row r="847" spans="5:6" x14ac:dyDescent="0.3">
      <c r="E847" s="4"/>
      <c r="F847" s="4"/>
    </row>
    <row r="848" spans="5:6" x14ac:dyDescent="0.3">
      <c r="E848" s="4"/>
      <c r="F848" s="4"/>
    </row>
    <row r="849" spans="5:6" x14ac:dyDescent="0.3">
      <c r="E849" s="4"/>
      <c r="F849" s="4"/>
    </row>
    <row r="850" spans="5:6" x14ac:dyDescent="0.3">
      <c r="E850" s="4"/>
      <c r="F850" s="4"/>
    </row>
    <row r="851" spans="5:6" x14ac:dyDescent="0.3">
      <c r="E851" s="4"/>
      <c r="F851" s="4"/>
    </row>
    <row r="852" spans="5:6" x14ac:dyDescent="0.3">
      <c r="E852" s="4"/>
      <c r="F852" s="4"/>
    </row>
    <row r="853" spans="5:6" x14ac:dyDescent="0.3">
      <c r="E853" s="4"/>
      <c r="F853" s="4"/>
    </row>
    <row r="854" spans="5:6" x14ac:dyDescent="0.3">
      <c r="E854" s="4"/>
      <c r="F854" s="4"/>
    </row>
    <row r="855" spans="5:6" x14ac:dyDescent="0.3">
      <c r="E855" s="4"/>
      <c r="F855" s="4"/>
    </row>
    <row r="856" spans="5:6" x14ac:dyDescent="0.3">
      <c r="E856" s="4"/>
      <c r="F856" s="4"/>
    </row>
    <row r="857" spans="5:6" x14ac:dyDescent="0.3">
      <c r="E857" s="4"/>
      <c r="F857" s="4"/>
    </row>
    <row r="858" spans="5:6" x14ac:dyDescent="0.3">
      <c r="E858" s="4"/>
      <c r="F858" s="4"/>
    </row>
    <row r="859" spans="5:6" x14ac:dyDescent="0.3">
      <c r="E859" s="4"/>
      <c r="F859" s="4"/>
    </row>
    <row r="860" spans="5:6" x14ac:dyDescent="0.3">
      <c r="E860" s="4"/>
      <c r="F860" s="4"/>
    </row>
    <row r="861" spans="5:6" x14ac:dyDescent="0.3">
      <c r="E861" s="4"/>
      <c r="F861" s="4"/>
    </row>
    <row r="862" spans="5:6" x14ac:dyDescent="0.3">
      <c r="E862" s="4"/>
      <c r="F862" s="4"/>
    </row>
    <row r="863" spans="5:6" x14ac:dyDescent="0.3">
      <c r="E863" s="4"/>
      <c r="F863" s="4"/>
    </row>
    <row r="864" spans="5:6" x14ac:dyDescent="0.3">
      <c r="E864" s="4"/>
      <c r="F864" s="4"/>
    </row>
    <row r="865" spans="5:6" x14ac:dyDescent="0.3">
      <c r="E865" s="4"/>
      <c r="F865" s="4"/>
    </row>
    <row r="866" spans="5:6" x14ac:dyDescent="0.3">
      <c r="E866" s="4"/>
      <c r="F866" s="4"/>
    </row>
    <row r="867" spans="5:6" x14ac:dyDescent="0.3">
      <c r="E867" s="4"/>
      <c r="F867" s="4"/>
    </row>
    <row r="868" spans="5:6" x14ac:dyDescent="0.3">
      <c r="E868" s="4"/>
      <c r="F868" s="4"/>
    </row>
    <row r="869" spans="5:6" x14ac:dyDescent="0.3">
      <c r="E869" s="4"/>
      <c r="F869" s="4"/>
    </row>
    <row r="870" spans="5:6" x14ac:dyDescent="0.3">
      <c r="E870" s="4"/>
      <c r="F870" s="4"/>
    </row>
    <row r="871" spans="5:6" x14ac:dyDescent="0.3">
      <c r="E871" s="4"/>
      <c r="F871" s="4"/>
    </row>
    <row r="872" spans="5:6" x14ac:dyDescent="0.3">
      <c r="E872" s="4"/>
      <c r="F872" s="4"/>
    </row>
    <row r="873" spans="5:6" x14ac:dyDescent="0.3">
      <c r="E873" s="4"/>
      <c r="F873" s="4"/>
    </row>
    <row r="874" spans="5:6" x14ac:dyDescent="0.3">
      <c r="E874" s="4"/>
      <c r="F874" s="4"/>
    </row>
    <row r="875" spans="5:6" x14ac:dyDescent="0.3">
      <c r="E875" s="4"/>
      <c r="F875" s="4"/>
    </row>
    <row r="876" spans="5:6" x14ac:dyDescent="0.3">
      <c r="E876" s="4"/>
      <c r="F876" s="4"/>
    </row>
    <row r="877" spans="5:6" x14ac:dyDescent="0.3">
      <c r="E877" s="4"/>
      <c r="F877" s="4"/>
    </row>
    <row r="878" spans="5:6" x14ac:dyDescent="0.3">
      <c r="E878" s="4"/>
      <c r="F878" s="4"/>
    </row>
    <row r="879" spans="5:6" x14ac:dyDescent="0.3">
      <c r="E879" s="4"/>
      <c r="F879" s="4"/>
    </row>
    <row r="880" spans="5:6" x14ac:dyDescent="0.3">
      <c r="E880" s="4"/>
      <c r="F880" s="4"/>
    </row>
    <row r="881" spans="5:6" x14ac:dyDescent="0.3">
      <c r="E881" s="4"/>
      <c r="F881" s="4"/>
    </row>
    <row r="882" spans="5:6" x14ac:dyDescent="0.3">
      <c r="E882" s="4"/>
      <c r="F882" s="4"/>
    </row>
    <row r="883" spans="5:6" x14ac:dyDescent="0.3">
      <c r="E883" s="4"/>
      <c r="F883" s="4"/>
    </row>
    <row r="884" spans="5:6" x14ac:dyDescent="0.3">
      <c r="E884" s="4"/>
      <c r="F884" s="4"/>
    </row>
    <row r="885" spans="5:6" x14ac:dyDescent="0.3">
      <c r="E885" s="4"/>
      <c r="F885" s="4"/>
    </row>
    <row r="886" spans="5:6" x14ac:dyDescent="0.3">
      <c r="E886" s="4"/>
      <c r="F886" s="4"/>
    </row>
    <row r="887" spans="5:6" x14ac:dyDescent="0.3">
      <c r="E887" s="4"/>
      <c r="F887" s="4"/>
    </row>
    <row r="888" spans="5:6" x14ac:dyDescent="0.3">
      <c r="E888" s="4"/>
      <c r="F888" s="4"/>
    </row>
    <row r="889" spans="5:6" x14ac:dyDescent="0.3">
      <c r="E889" s="4"/>
      <c r="F889" s="4"/>
    </row>
    <row r="890" spans="5:6" x14ac:dyDescent="0.3">
      <c r="E890" s="4"/>
      <c r="F890" s="4"/>
    </row>
    <row r="891" spans="5:6" x14ac:dyDescent="0.3">
      <c r="E891" s="4"/>
      <c r="F891" s="4"/>
    </row>
    <row r="892" spans="5:6" x14ac:dyDescent="0.3">
      <c r="E892" s="4"/>
      <c r="F892" s="4"/>
    </row>
    <row r="893" spans="5:6" x14ac:dyDescent="0.3">
      <c r="E893" s="4"/>
      <c r="F893" s="4"/>
    </row>
    <row r="894" spans="5:6" x14ac:dyDescent="0.3">
      <c r="E894" s="4"/>
      <c r="F894" s="4"/>
    </row>
    <row r="895" spans="5:6" x14ac:dyDescent="0.3">
      <c r="E895" s="4"/>
      <c r="F895" s="4"/>
    </row>
    <row r="896" spans="5:6" x14ac:dyDescent="0.3">
      <c r="E896" s="4"/>
      <c r="F896" s="4"/>
    </row>
    <row r="897" spans="5:6" x14ac:dyDescent="0.3">
      <c r="E897" s="4"/>
      <c r="F897" s="4"/>
    </row>
    <row r="898" spans="5:6" x14ac:dyDescent="0.3">
      <c r="E898" s="4"/>
      <c r="F898" s="4"/>
    </row>
    <row r="899" spans="5:6" x14ac:dyDescent="0.3">
      <c r="E899" s="4"/>
      <c r="F899" s="4"/>
    </row>
    <row r="900" spans="5:6" x14ac:dyDescent="0.3">
      <c r="E900" s="4"/>
      <c r="F900" s="4"/>
    </row>
    <row r="901" spans="5:6" x14ac:dyDescent="0.3">
      <c r="E901" s="4"/>
      <c r="F901" s="4"/>
    </row>
    <row r="902" spans="5:6" x14ac:dyDescent="0.3">
      <c r="E902" s="4"/>
      <c r="F902" s="4"/>
    </row>
    <row r="903" spans="5:6" x14ac:dyDescent="0.3">
      <c r="E903" s="4"/>
      <c r="F903" s="4"/>
    </row>
    <row r="904" spans="5:6" x14ac:dyDescent="0.3">
      <c r="E904" s="4"/>
      <c r="F904" s="4"/>
    </row>
    <row r="905" spans="5:6" x14ac:dyDescent="0.3">
      <c r="E905" s="4"/>
      <c r="F905" s="4"/>
    </row>
    <row r="906" spans="5:6" x14ac:dyDescent="0.3">
      <c r="E906" s="4"/>
      <c r="F906" s="4"/>
    </row>
    <row r="907" spans="5:6" x14ac:dyDescent="0.3">
      <c r="E907" s="4"/>
      <c r="F907" s="4"/>
    </row>
    <row r="908" spans="5:6" x14ac:dyDescent="0.3">
      <c r="E908" s="4"/>
      <c r="F908" s="4"/>
    </row>
    <row r="909" spans="5:6" x14ac:dyDescent="0.3">
      <c r="E909" s="4"/>
      <c r="F909" s="4"/>
    </row>
    <row r="910" spans="5:6" x14ac:dyDescent="0.3">
      <c r="E910" s="4"/>
      <c r="F910" s="4"/>
    </row>
    <row r="911" spans="5:6" x14ac:dyDescent="0.3">
      <c r="E911" s="4"/>
      <c r="F911" s="4"/>
    </row>
    <row r="912" spans="5:6" x14ac:dyDescent="0.3">
      <c r="E912" s="4"/>
      <c r="F912" s="4"/>
    </row>
    <row r="913" spans="5:6" x14ac:dyDescent="0.3">
      <c r="E913" s="4"/>
      <c r="F913" s="4"/>
    </row>
    <row r="914" spans="5:6" x14ac:dyDescent="0.3">
      <c r="E914" s="4"/>
      <c r="F914" s="4"/>
    </row>
    <row r="915" spans="5:6" x14ac:dyDescent="0.3">
      <c r="E915" s="4"/>
      <c r="F915" s="4"/>
    </row>
    <row r="916" spans="5:6" x14ac:dyDescent="0.3">
      <c r="E916" s="4"/>
      <c r="F916" s="4"/>
    </row>
    <row r="917" spans="5:6" x14ac:dyDescent="0.3">
      <c r="E917" s="4"/>
      <c r="F917" s="4"/>
    </row>
    <row r="918" spans="5:6" x14ac:dyDescent="0.3">
      <c r="E918" s="4"/>
      <c r="F918" s="4"/>
    </row>
    <row r="919" spans="5:6" x14ac:dyDescent="0.3">
      <c r="E919" s="4"/>
      <c r="F919" s="4"/>
    </row>
    <row r="920" spans="5:6" x14ac:dyDescent="0.3">
      <c r="E920" s="4"/>
      <c r="F920" s="4"/>
    </row>
    <row r="921" spans="5:6" x14ac:dyDescent="0.3">
      <c r="E921" s="4"/>
      <c r="F921" s="4"/>
    </row>
    <row r="922" spans="5:6" x14ac:dyDescent="0.3">
      <c r="E922" s="4"/>
      <c r="F922" s="4"/>
    </row>
    <row r="923" spans="5:6" x14ac:dyDescent="0.3">
      <c r="E923" s="4"/>
      <c r="F923" s="4"/>
    </row>
    <row r="924" spans="5:6" x14ac:dyDescent="0.3">
      <c r="E924" s="4"/>
      <c r="F924" s="4"/>
    </row>
    <row r="925" spans="5:6" x14ac:dyDescent="0.3">
      <c r="E925" s="4"/>
      <c r="F925" s="4"/>
    </row>
    <row r="926" spans="5:6" x14ac:dyDescent="0.3">
      <c r="E926" s="4"/>
      <c r="F926" s="4"/>
    </row>
    <row r="927" spans="5:6" x14ac:dyDescent="0.3">
      <c r="E927" s="4"/>
      <c r="F927" s="4"/>
    </row>
    <row r="928" spans="5:6" x14ac:dyDescent="0.3">
      <c r="E928" s="4"/>
      <c r="F928" s="4"/>
    </row>
    <row r="929" spans="5:6" x14ac:dyDescent="0.3">
      <c r="E929" s="4"/>
      <c r="F929" s="4"/>
    </row>
    <row r="930" spans="5:6" x14ac:dyDescent="0.3">
      <c r="E930" s="4"/>
      <c r="F930" s="4"/>
    </row>
    <row r="931" spans="5:6" x14ac:dyDescent="0.3">
      <c r="E931" s="4"/>
      <c r="F931" s="4"/>
    </row>
    <row r="932" spans="5:6" x14ac:dyDescent="0.3">
      <c r="E932" s="4"/>
      <c r="F932" s="4"/>
    </row>
    <row r="933" spans="5:6" x14ac:dyDescent="0.3">
      <c r="E933" s="4"/>
      <c r="F933" s="4"/>
    </row>
    <row r="934" spans="5:6" x14ac:dyDescent="0.3">
      <c r="E934" s="4"/>
      <c r="F934" s="4"/>
    </row>
    <row r="935" spans="5:6" x14ac:dyDescent="0.3">
      <c r="E935" s="4"/>
      <c r="F935" s="4"/>
    </row>
    <row r="936" spans="5:6" x14ac:dyDescent="0.3">
      <c r="E936" s="4"/>
      <c r="F936" s="4"/>
    </row>
    <row r="937" spans="5:6" x14ac:dyDescent="0.3">
      <c r="E937" s="4"/>
      <c r="F937" s="4"/>
    </row>
    <row r="938" spans="5:6" x14ac:dyDescent="0.3">
      <c r="E938" s="4"/>
      <c r="F938" s="4"/>
    </row>
    <row r="939" spans="5:6" x14ac:dyDescent="0.3">
      <c r="E939" s="4"/>
      <c r="F939" s="4"/>
    </row>
    <row r="940" spans="5:6" x14ac:dyDescent="0.3">
      <c r="E940" s="4"/>
      <c r="F940" s="4"/>
    </row>
    <row r="941" spans="5:6" x14ac:dyDescent="0.3">
      <c r="E941" s="4"/>
      <c r="F941" s="4"/>
    </row>
    <row r="942" spans="5:6" x14ac:dyDescent="0.3">
      <c r="E942" s="4"/>
      <c r="F942" s="4"/>
    </row>
    <row r="943" spans="5:6" x14ac:dyDescent="0.3">
      <c r="E943" s="4"/>
      <c r="F943" s="4"/>
    </row>
    <row r="944" spans="5:6" x14ac:dyDescent="0.3">
      <c r="E944" s="4"/>
      <c r="F944" s="4"/>
    </row>
    <row r="945" spans="5:6" x14ac:dyDescent="0.3">
      <c r="E945" s="4"/>
      <c r="F945" s="4"/>
    </row>
    <row r="946" spans="5:6" x14ac:dyDescent="0.3">
      <c r="E946" s="4"/>
      <c r="F946" s="4"/>
    </row>
    <row r="947" spans="5:6" x14ac:dyDescent="0.3">
      <c r="E947" s="4"/>
      <c r="F947" s="4"/>
    </row>
    <row r="948" spans="5:6" x14ac:dyDescent="0.3">
      <c r="E948" s="4"/>
      <c r="F948" s="4"/>
    </row>
    <row r="949" spans="5:6" x14ac:dyDescent="0.3">
      <c r="E949" s="4"/>
      <c r="F949" s="4"/>
    </row>
    <row r="950" spans="5:6" x14ac:dyDescent="0.3">
      <c r="E950" s="4"/>
      <c r="F950" s="4"/>
    </row>
    <row r="951" spans="5:6" x14ac:dyDescent="0.3">
      <c r="E951" s="4"/>
      <c r="F951" s="4"/>
    </row>
    <row r="952" spans="5:6" x14ac:dyDescent="0.3">
      <c r="E952" s="4"/>
      <c r="F952" s="4"/>
    </row>
    <row r="953" spans="5:6" x14ac:dyDescent="0.3">
      <c r="E953" s="4"/>
      <c r="F953" s="4"/>
    </row>
    <row r="954" spans="5:6" x14ac:dyDescent="0.3">
      <c r="E954" s="4"/>
      <c r="F954" s="4"/>
    </row>
    <row r="955" spans="5:6" x14ac:dyDescent="0.3">
      <c r="E955" s="4"/>
      <c r="F955" s="4"/>
    </row>
    <row r="956" spans="5:6" x14ac:dyDescent="0.3">
      <c r="E956" s="4"/>
      <c r="F956" s="4"/>
    </row>
    <row r="957" spans="5:6" x14ac:dyDescent="0.3">
      <c r="E957" s="4"/>
      <c r="F957" s="4"/>
    </row>
    <row r="958" spans="5:6" x14ac:dyDescent="0.3">
      <c r="E958" s="4"/>
      <c r="F958" s="4"/>
    </row>
    <row r="959" spans="5:6" x14ac:dyDescent="0.3">
      <c r="E959" s="4"/>
      <c r="F959" s="4"/>
    </row>
    <row r="960" spans="5:6" x14ac:dyDescent="0.3">
      <c r="E960" s="4"/>
      <c r="F960" s="4"/>
    </row>
    <row r="961" spans="5:6" x14ac:dyDescent="0.3">
      <c r="E961" s="4"/>
      <c r="F961" s="4"/>
    </row>
    <row r="962" spans="5:6" x14ac:dyDescent="0.3">
      <c r="E962" s="4"/>
      <c r="F962" s="4"/>
    </row>
    <row r="963" spans="5:6" x14ac:dyDescent="0.3">
      <c r="E963" s="4"/>
      <c r="F963" s="4"/>
    </row>
    <row r="964" spans="5:6" x14ac:dyDescent="0.3">
      <c r="E964" s="4"/>
      <c r="F964" s="4"/>
    </row>
    <row r="965" spans="5:6" x14ac:dyDescent="0.3">
      <c r="E965" s="4"/>
      <c r="F965" s="4"/>
    </row>
    <row r="966" spans="5:6" x14ac:dyDescent="0.3">
      <c r="E966" s="4"/>
      <c r="F966" s="4"/>
    </row>
    <row r="967" spans="5:6" x14ac:dyDescent="0.3">
      <c r="E967" s="4"/>
      <c r="F967" s="4"/>
    </row>
    <row r="968" spans="5:6" x14ac:dyDescent="0.3">
      <c r="E968" s="4"/>
      <c r="F968" s="4"/>
    </row>
    <row r="969" spans="5:6" x14ac:dyDescent="0.3">
      <c r="E969" s="4"/>
      <c r="F969" s="4"/>
    </row>
    <row r="970" spans="5:6" x14ac:dyDescent="0.3">
      <c r="E970" s="4"/>
      <c r="F970" s="4"/>
    </row>
    <row r="971" spans="5:6" x14ac:dyDescent="0.3">
      <c r="E971" s="4"/>
      <c r="F971" s="4"/>
    </row>
    <row r="972" spans="5:6" x14ac:dyDescent="0.3">
      <c r="E972" s="4"/>
      <c r="F972" s="4"/>
    </row>
    <row r="973" spans="5:6" x14ac:dyDescent="0.3">
      <c r="E973" s="4"/>
      <c r="F973" s="4"/>
    </row>
    <row r="974" spans="5:6" x14ac:dyDescent="0.3">
      <c r="E974" s="4"/>
      <c r="F974" s="4"/>
    </row>
    <row r="975" spans="5:6" x14ac:dyDescent="0.3">
      <c r="E975" s="4"/>
      <c r="F975" s="4"/>
    </row>
    <row r="976" spans="5:6" x14ac:dyDescent="0.3">
      <c r="E976" s="4"/>
      <c r="F976" s="4"/>
    </row>
    <row r="977" spans="5:6" x14ac:dyDescent="0.3">
      <c r="E977" s="4"/>
      <c r="F977" s="4"/>
    </row>
    <row r="978" spans="5:6" x14ac:dyDescent="0.3">
      <c r="E978" s="4"/>
      <c r="F978" s="4"/>
    </row>
    <row r="979" spans="5:6" x14ac:dyDescent="0.3">
      <c r="E979" s="4"/>
      <c r="F979" s="4"/>
    </row>
    <row r="980" spans="5:6" x14ac:dyDescent="0.3">
      <c r="E980" s="4"/>
      <c r="F980" s="4"/>
    </row>
    <row r="981" spans="5:6" x14ac:dyDescent="0.3">
      <c r="E981" s="4"/>
      <c r="F981" s="4"/>
    </row>
    <row r="982" spans="5:6" x14ac:dyDescent="0.3">
      <c r="E982" s="4"/>
      <c r="F982" s="4"/>
    </row>
    <row r="983" spans="5:6" x14ac:dyDescent="0.3">
      <c r="E983" s="4"/>
      <c r="F983" s="4"/>
    </row>
    <row r="984" spans="5:6" x14ac:dyDescent="0.3">
      <c r="E984" s="4"/>
      <c r="F984" s="4"/>
    </row>
    <row r="985" spans="5:6" x14ac:dyDescent="0.3">
      <c r="E985" s="4"/>
      <c r="F985" s="4"/>
    </row>
    <row r="986" spans="5:6" x14ac:dyDescent="0.3">
      <c r="E986" s="4"/>
      <c r="F986" s="4"/>
    </row>
    <row r="987" spans="5:6" x14ac:dyDescent="0.3">
      <c r="E987" s="4"/>
      <c r="F987" s="4"/>
    </row>
    <row r="988" spans="5:6" x14ac:dyDescent="0.3">
      <c r="E988" s="4"/>
      <c r="F988" s="4"/>
    </row>
    <row r="989" spans="5:6" x14ac:dyDescent="0.3">
      <c r="E989" s="4"/>
      <c r="F989" s="4"/>
    </row>
    <row r="990" spans="5:6" x14ac:dyDescent="0.3">
      <c r="E990" s="4"/>
      <c r="F990" s="4"/>
    </row>
    <row r="991" spans="5:6" x14ac:dyDescent="0.3">
      <c r="E991" s="4"/>
      <c r="F991" s="4"/>
    </row>
    <row r="992" spans="5:6" x14ac:dyDescent="0.3">
      <c r="E992" s="4"/>
      <c r="F992" s="4"/>
    </row>
    <row r="993" spans="5:6" x14ac:dyDescent="0.3">
      <c r="E993" s="4"/>
      <c r="F993" s="4"/>
    </row>
    <row r="994" spans="5:6" x14ac:dyDescent="0.3">
      <c r="E994" s="4"/>
      <c r="F994" s="4"/>
    </row>
    <row r="995" spans="5:6" x14ac:dyDescent="0.3">
      <c r="E995" s="4"/>
      <c r="F995" s="4"/>
    </row>
    <row r="996" spans="5:6" x14ac:dyDescent="0.3">
      <c r="E996" s="4"/>
      <c r="F996" s="4"/>
    </row>
    <row r="997" spans="5:6" x14ac:dyDescent="0.3">
      <c r="E997" s="4"/>
      <c r="F997" s="4"/>
    </row>
    <row r="998" spans="5:6" x14ac:dyDescent="0.3">
      <c r="E998" s="4"/>
      <c r="F998" s="4"/>
    </row>
    <row r="999" spans="5:6" x14ac:dyDescent="0.3">
      <c r="E999" s="4"/>
      <c r="F999" s="4"/>
    </row>
    <row r="1000" spans="5:6" x14ac:dyDescent="0.3">
      <c r="E1000" s="4"/>
      <c r="F1000" s="4"/>
    </row>
    <row r="1001" spans="5:6" x14ac:dyDescent="0.3">
      <c r="E1001" s="4"/>
      <c r="F1001" s="4"/>
    </row>
    <row r="1002" spans="5:6" x14ac:dyDescent="0.3">
      <c r="E1002" s="4"/>
      <c r="F1002" s="4"/>
    </row>
    <row r="1003" spans="5:6" x14ac:dyDescent="0.3">
      <c r="E1003" s="4"/>
      <c r="F1003" s="4"/>
    </row>
    <row r="1004" spans="5:6" x14ac:dyDescent="0.3">
      <c r="E1004" s="4"/>
      <c r="F1004" s="4"/>
    </row>
    <row r="1005" spans="5:6" x14ac:dyDescent="0.3">
      <c r="E1005" s="4"/>
      <c r="F1005" s="4"/>
    </row>
    <row r="1006" spans="5:6" x14ac:dyDescent="0.3">
      <c r="E1006" s="4"/>
      <c r="F1006" s="4"/>
    </row>
    <row r="1007" spans="5:6" x14ac:dyDescent="0.3">
      <c r="E1007" s="4"/>
      <c r="F1007" s="4"/>
    </row>
    <row r="1008" spans="5:6" x14ac:dyDescent="0.3">
      <c r="E1008" s="4"/>
      <c r="F1008" s="4"/>
    </row>
    <row r="1009" spans="5:6" x14ac:dyDescent="0.3">
      <c r="E1009" s="4"/>
      <c r="F1009" s="4"/>
    </row>
    <row r="1010" spans="5:6" x14ac:dyDescent="0.3">
      <c r="E1010" s="4"/>
      <c r="F1010" s="4"/>
    </row>
    <row r="1011" spans="5:6" x14ac:dyDescent="0.3">
      <c r="E1011" s="4"/>
      <c r="F1011" s="4"/>
    </row>
    <row r="1012" spans="5:6" x14ac:dyDescent="0.3">
      <c r="E1012" s="4"/>
      <c r="F1012" s="4"/>
    </row>
    <row r="1013" spans="5:6" x14ac:dyDescent="0.3">
      <c r="E1013" s="4"/>
      <c r="F1013" s="4"/>
    </row>
    <row r="1014" spans="5:6" x14ac:dyDescent="0.3">
      <c r="E1014" s="4"/>
      <c r="F1014" s="4"/>
    </row>
    <row r="1015" spans="5:6" x14ac:dyDescent="0.3">
      <c r="E1015" s="4"/>
      <c r="F1015" s="4"/>
    </row>
    <row r="1016" spans="5:6" x14ac:dyDescent="0.3">
      <c r="E1016" s="4"/>
      <c r="F1016" s="4"/>
    </row>
    <row r="1017" spans="5:6" x14ac:dyDescent="0.3">
      <c r="E1017" s="4"/>
      <c r="F1017" s="4"/>
    </row>
    <row r="1018" spans="5:6" x14ac:dyDescent="0.3">
      <c r="E1018" s="4"/>
      <c r="F1018" s="4"/>
    </row>
    <row r="1019" spans="5:6" x14ac:dyDescent="0.3">
      <c r="E1019" s="4"/>
      <c r="F1019" s="4"/>
    </row>
    <row r="1020" spans="5:6" x14ac:dyDescent="0.3">
      <c r="E1020" s="4"/>
      <c r="F1020" s="4"/>
    </row>
    <row r="1021" spans="5:6" x14ac:dyDescent="0.3">
      <c r="E1021" s="4"/>
      <c r="F1021" s="4"/>
    </row>
    <row r="1022" spans="5:6" x14ac:dyDescent="0.3">
      <c r="E1022" s="4"/>
      <c r="F1022" s="4"/>
    </row>
    <row r="1023" spans="5:6" x14ac:dyDescent="0.3">
      <c r="E1023" s="4"/>
      <c r="F1023" s="4"/>
    </row>
    <row r="1024" spans="5:6" x14ac:dyDescent="0.3">
      <c r="E1024" s="4"/>
      <c r="F1024" s="4"/>
    </row>
    <row r="1025" spans="5:6" x14ac:dyDescent="0.3">
      <c r="E1025" s="4"/>
      <c r="F1025" s="4"/>
    </row>
    <row r="1026" spans="5:6" x14ac:dyDescent="0.3">
      <c r="E1026" s="4"/>
      <c r="F1026" s="4"/>
    </row>
    <row r="1027" spans="5:6" x14ac:dyDescent="0.3">
      <c r="E1027" s="4"/>
      <c r="F1027" s="4"/>
    </row>
    <row r="1028" spans="5:6" x14ac:dyDescent="0.3">
      <c r="E1028" s="4"/>
      <c r="F1028" s="4"/>
    </row>
    <row r="1029" spans="5:6" x14ac:dyDescent="0.3">
      <c r="E1029" s="4"/>
      <c r="F1029" s="4"/>
    </row>
    <row r="1030" spans="5:6" x14ac:dyDescent="0.3">
      <c r="E1030" s="4"/>
      <c r="F1030" s="4"/>
    </row>
    <row r="1031" spans="5:6" x14ac:dyDescent="0.3">
      <c r="E1031" s="4"/>
      <c r="F1031" s="4"/>
    </row>
    <row r="1032" spans="5:6" x14ac:dyDescent="0.3">
      <c r="E1032" s="4"/>
      <c r="F1032" s="4"/>
    </row>
    <row r="1033" spans="5:6" x14ac:dyDescent="0.3">
      <c r="E1033" s="4"/>
      <c r="F1033" s="4"/>
    </row>
    <row r="1034" spans="5:6" x14ac:dyDescent="0.3">
      <c r="E1034" s="4"/>
      <c r="F1034" s="4"/>
    </row>
    <row r="1035" spans="5:6" x14ac:dyDescent="0.3">
      <c r="E1035" s="4"/>
      <c r="F1035" s="4"/>
    </row>
    <row r="1036" spans="5:6" x14ac:dyDescent="0.3">
      <c r="E1036" s="4"/>
      <c r="F1036" s="4"/>
    </row>
    <row r="1037" spans="5:6" x14ac:dyDescent="0.3">
      <c r="E1037" s="4"/>
      <c r="F1037" s="4"/>
    </row>
    <row r="1038" spans="5:6" x14ac:dyDescent="0.3">
      <c r="E1038" s="4"/>
      <c r="F1038" s="4"/>
    </row>
    <row r="1039" spans="5:6" x14ac:dyDescent="0.3">
      <c r="E1039" s="4"/>
      <c r="F1039" s="4"/>
    </row>
    <row r="1040" spans="5:6" x14ac:dyDescent="0.3">
      <c r="E1040" s="4"/>
      <c r="F1040" s="4"/>
    </row>
    <row r="1041" spans="5:6" x14ac:dyDescent="0.3">
      <c r="E1041" s="4"/>
      <c r="F1041" s="4"/>
    </row>
    <row r="1042" spans="5:6" x14ac:dyDescent="0.3">
      <c r="E1042" s="4"/>
      <c r="F1042" s="4"/>
    </row>
    <row r="1043" spans="5:6" x14ac:dyDescent="0.3">
      <c r="E1043" s="4"/>
      <c r="F1043" s="4"/>
    </row>
    <row r="1044" spans="5:6" x14ac:dyDescent="0.3">
      <c r="E1044" s="4"/>
      <c r="F1044" s="4"/>
    </row>
    <row r="1045" spans="5:6" x14ac:dyDescent="0.3">
      <c r="E1045" s="4"/>
      <c r="F1045" s="4"/>
    </row>
    <row r="1046" spans="5:6" x14ac:dyDescent="0.3">
      <c r="E1046" s="4"/>
      <c r="F1046" s="4"/>
    </row>
    <row r="1047" spans="5:6" x14ac:dyDescent="0.3">
      <c r="E1047" s="4"/>
      <c r="F1047" s="4"/>
    </row>
    <row r="1048" spans="5:6" x14ac:dyDescent="0.3">
      <c r="E1048" s="4"/>
      <c r="F1048" s="4"/>
    </row>
    <row r="1049" spans="5:6" x14ac:dyDescent="0.3">
      <c r="E1049" s="4"/>
      <c r="F1049" s="4"/>
    </row>
    <row r="1050" spans="5:6" x14ac:dyDescent="0.3">
      <c r="E1050" s="4"/>
      <c r="F1050" s="4"/>
    </row>
    <row r="1051" spans="5:6" x14ac:dyDescent="0.3">
      <c r="E1051" s="4"/>
      <c r="F1051" s="4"/>
    </row>
    <row r="1052" spans="5:6" x14ac:dyDescent="0.3">
      <c r="E1052" s="4"/>
      <c r="F1052" s="4"/>
    </row>
    <row r="1053" spans="5:6" x14ac:dyDescent="0.3">
      <c r="E1053" s="4"/>
      <c r="F1053" s="4"/>
    </row>
    <row r="1054" spans="5:6" x14ac:dyDescent="0.3">
      <c r="E1054" s="4"/>
      <c r="F1054" s="4"/>
    </row>
    <row r="1055" spans="5:6" x14ac:dyDescent="0.3">
      <c r="E1055" s="4"/>
      <c r="F1055" s="4"/>
    </row>
    <row r="1056" spans="5:6" x14ac:dyDescent="0.3">
      <c r="E1056" s="4"/>
      <c r="F1056" s="4"/>
    </row>
    <row r="1057" spans="5:6" x14ac:dyDescent="0.3">
      <c r="E1057" s="4"/>
      <c r="F1057" s="4"/>
    </row>
    <row r="1058" spans="5:6" x14ac:dyDescent="0.3">
      <c r="E1058" s="4"/>
      <c r="F1058" s="4"/>
    </row>
    <row r="1059" spans="5:6" x14ac:dyDescent="0.3">
      <c r="E1059" s="4"/>
      <c r="F1059" s="4"/>
    </row>
    <row r="1060" spans="5:6" x14ac:dyDescent="0.3">
      <c r="E1060" s="4"/>
      <c r="F1060" s="4"/>
    </row>
    <row r="1061" spans="5:6" x14ac:dyDescent="0.3">
      <c r="E1061" s="4"/>
      <c r="F1061" s="4"/>
    </row>
    <row r="1062" spans="5:6" x14ac:dyDescent="0.3">
      <c r="E1062" s="4"/>
      <c r="F1062" s="4"/>
    </row>
    <row r="1063" spans="5:6" x14ac:dyDescent="0.3">
      <c r="E1063" s="4"/>
      <c r="F1063" s="4"/>
    </row>
    <row r="1064" spans="5:6" x14ac:dyDescent="0.3">
      <c r="E1064" s="4"/>
      <c r="F1064" s="4"/>
    </row>
    <row r="1065" spans="5:6" x14ac:dyDescent="0.3">
      <c r="E1065" s="4"/>
      <c r="F1065" s="4"/>
    </row>
    <row r="1066" spans="5:6" x14ac:dyDescent="0.3">
      <c r="E1066" s="4"/>
      <c r="F1066" s="4"/>
    </row>
    <row r="1067" spans="5:6" x14ac:dyDescent="0.3">
      <c r="E1067" s="4"/>
      <c r="F1067" s="4"/>
    </row>
    <row r="1068" spans="5:6" x14ac:dyDescent="0.3">
      <c r="E1068" s="4"/>
      <c r="F1068" s="4"/>
    </row>
    <row r="1069" spans="5:6" x14ac:dyDescent="0.3">
      <c r="E1069" s="4"/>
      <c r="F1069" s="4"/>
    </row>
    <row r="1070" spans="5:6" x14ac:dyDescent="0.3">
      <c r="E1070" s="4"/>
      <c r="F1070" s="4"/>
    </row>
    <row r="1071" spans="5:6" x14ac:dyDescent="0.3">
      <c r="E1071" s="4"/>
      <c r="F1071" s="4"/>
    </row>
    <row r="1072" spans="5:6" x14ac:dyDescent="0.3">
      <c r="E1072" s="4"/>
      <c r="F1072" s="4"/>
    </row>
    <row r="1073" spans="5:6" x14ac:dyDescent="0.3">
      <c r="E1073" s="4"/>
      <c r="F1073" s="4"/>
    </row>
    <row r="1074" spans="5:6" x14ac:dyDescent="0.3">
      <c r="E1074" s="4"/>
      <c r="F1074" s="4"/>
    </row>
    <row r="1075" spans="5:6" x14ac:dyDescent="0.3">
      <c r="E1075" s="4"/>
      <c r="F1075" s="4"/>
    </row>
    <row r="1076" spans="5:6" x14ac:dyDescent="0.3">
      <c r="E1076" s="4"/>
      <c r="F1076" s="4"/>
    </row>
    <row r="1077" spans="5:6" x14ac:dyDescent="0.3">
      <c r="E1077" s="4"/>
      <c r="F1077" s="4"/>
    </row>
    <row r="1078" spans="5:6" x14ac:dyDescent="0.3">
      <c r="E1078" s="4"/>
      <c r="F1078" s="4"/>
    </row>
    <row r="1079" spans="5:6" x14ac:dyDescent="0.3">
      <c r="E1079" s="4"/>
      <c r="F1079" s="4"/>
    </row>
    <row r="1080" spans="5:6" x14ac:dyDescent="0.3">
      <c r="E1080" s="4"/>
      <c r="F1080" s="4"/>
    </row>
    <row r="1081" spans="5:6" x14ac:dyDescent="0.3">
      <c r="E1081" s="4"/>
      <c r="F1081" s="4"/>
    </row>
    <row r="1082" spans="5:6" x14ac:dyDescent="0.3">
      <c r="E1082" s="4"/>
      <c r="F1082" s="4"/>
    </row>
    <row r="1083" spans="5:6" x14ac:dyDescent="0.3">
      <c r="E1083" s="4"/>
      <c r="F1083" s="4"/>
    </row>
    <row r="1084" spans="5:6" x14ac:dyDescent="0.3">
      <c r="E1084" s="4"/>
      <c r="F1084" s="4"/>
    </row>
    <row r="1085" spans="5:6" x14ac:dyDescent="0.3">
      <c r="E1085" s="4"/>
      <c r="F1085" s="4"/>
    </row>
    <row r="1086" spans="5:6" x14ac:dyDescent="0.3">
      <c r="E1086" s="4"/>
      <c r="F1086" s="4"/>
    </row>
    <row r="1087" spans="5:6" x14ac:dyDescent="0.3">
      <c r="E1087" s="4"/>
      <c r="F1087" s="4"/>
    </row>
    <row r="1088" spans="5:6" x14ac:dyDescent="0.3">
      <c r="E1088" s="4"/>
      <c r="F1088" s="4"/>
    </row>
    <row r="1089" spans="5:6" x14ac:dyDescent="0.3">
      <c r="E1089" s="4"/>
      <c r="F1089" s="4"/>
    </row>
    <row r="1090" spans="5:6" x14ac:dyDescent="0.3">
      <c r="E1090" s="4"/>
      <c r="F1090" s="4"/>
    </row>
    <row r="1091" spans="5:6" x14ac:dyDescent="0.3">
      <c r="E1091" s="4"/>
      <c r="F1091" s="4"/>
    </row>
    <row r="1092" spans="5:6" x14ac:dyDescent="0.3">
      <c r="E1092" s="4"/>
      <c r="F1092" s="4"/>
    </row>
    <row r="1093" spans="5:6" x14ac:dyDescent="0.3">
      <c r="E1093" s="4"/>
      <c r="F1093" s="4"/>
    </row>
    <row r="1094" spans="5:6" x14ac:dyDescent="0.3">
      <c r="E1094" s="4"/>
      <c r="F1094" s="4"/>
    </row>
    <row r="1095" spans="5:6" x14ac:dyDescent="0.3">
      <c r="E1095" s="4"/>
      <c r="F1095" s="4"/>
    </row>
    <row r="1096" spans="5:6" x14ac:dyDescent="0.3">
      <c r="E1096" s="4"/>
      <c r="F1096" s="4"/>
    </row>
    <row r="1097" spans="5:6" x14ac:dyDescent="0.3">
      <c r="E1097" s="4"/>
      <c r="F1097" s="4"/>
    </row>
    <row r="1098" spans="5:6" x14ac:dyDescent="0.3">
      <c r="E1098" s="4"/>
      <c r="F1098" s="4"/>
    </row>
    <row r="1099" spans="5:6" x14ac:dyDescent="0.3">
      <c r="E1099" s="4"/>
      <c r="F1099" s="4"/>
    </row>
    <row r="1100" spans="5:6" x14ac:dyDescent="0.3">
      <c r="E1100" s="4"/>
      <c r="F1100" s="4"/>
    </row>
    <row r="1101" spans="5:6" x14ac:dyDescent="0.3">
      <c r="E1101" s="4"/>
      <c r="F1101" s="4"/>
    </row>
    <row r="1102" spans="5:6" x14ac:dyDescent="0.3">
      <c r="E1102" s="4"/>
      <c r="F1102" s="4"/>
    </row>
    <row r="1103" spans="5:6" x14ac:dyDescent="0.3">
      <c r="E1103" s="4"/>
      <c r="F1103" s="4"/>
    </row>
    <row r="1104" spans="5:6" x14ac:dyDescent="0.3">
      <c r="E1104" s="4"/>
      <c r="F1104" s="4"/>
    </row>
    <row r="1105" spans="5:6" x14ac:dyDescent="0.3">
      <c r="E1105" s="4"/>
      <c r="F1105" s="4"/>
    </row>
    <row r="1106" spans="5:6" x14ac:dyDescent="0.3">
      <c r="E1106" s="4"/>
      <c r="F1106" s="4"/>
    </row>
    <row r="1107" spans="5:6" x14ac:dyDescent="0.3">
      <c r="E1107" s="4"/>
      <c r="F1107" s="4"/>
    </row>
    <row r="1108" spans="5:6" x14ac:dyDescent="0.3">
      <c r="E1108" s="4"/>
      <c r="F1108" s="4"/>
    </row>
    <row r="1109" spans="5:6" x14ac:dyDescent="0.3">
      <c r="E1109" s="4"/>
      <c r="F1109" s="4"/>
    </row>
    <row r="1110" spans="5:6" x14ac:dyDescent="0.3">
      <c r="E1110" s="4"/>
      <c r="F1110" s="4"/>
    </row>
    <row r="1111" spans="5:6" x14ac:dyDescent="0.3">
      <c r="E1111" s="4"/>
      <c r="F1111" s="4"/>
    </row>
    <row r="1112" spans="5:6" x14ac:dyDescent="0.3">
      <c r="E1112" s="4"/>
      <c r="F1112" s="4"/>
    </row>
    <row r="1113" spans="5:6" x14ac:dyDescent="0.3">
      <c r="E1113" s="4"/>
      <c r="F1113" s="4"/>
    </row>
    <row r="1114" spans="5:6" x14ac:dyDescent="0.3">
      <c r="E1114" s="4"/>
      <c r="F1114" s="4"/>
    </row>
    <row r="1115" spans="5:6" x14ac:dyDescent="0.3">
      <c r="E1115" s="4"/>
      <c r="F1115" s="4"/>
    </row>
    <row r="1116" spans="5:6" x14ac:dyDescent="0.3">
      <c r="E1116" s="4"/>
      <c r="F1116" s="4"/>
    </row>
    <row r="1117" spans="5:6" x14ac:dyDescent="0.3">
      <c r="E1117" s="4"/>
      <c r="F1117" s="4"/>
    </row>
    <row r="1118" spans="5:6" x14ac:dyDescent="0.3">
      <c r="E1118" s="4"/>
      <c r="F1118" s="4"/>
    </row>
    <row r="1119" spans="5:6" x14ac:dyDescent="0.3">
      <c r="E1119" s="4"/>
      <c r="F1119" s="4"/>
    </row>
    <row r="1120" spans="5:6" x14ac:dyDescent="0.3">
      <c r="E1120" s="4"/>
      <c r="F1120" s="4"/>
    </row>
    <row r="1121" spans="5:6" x14ac:dyDescent="0.3">
      <c r="E1121" s="4"/>
      <c r="F1121" s="4"/>
    </row>
    <row r="1122" spans="5:6" x14ac:dyDescent="0.3">
      <c r="E1122" s="4"/>
      <c r="F1122" s="4"/>
    </row>
    <row r="1123" spans="5:6" x14ac:dyDescent="0.3">
      <c r="E1123" s="4"/>
      <c r="F1123" s="4"/>
    </row>
    <row r="1124" spans="5:6" x14ac:dyDescent="0.3">
      <c r="E1124" s="4"/>
      <c r="F1124" s="4"/>
    </row>
    <row r="1125" spans="5:6" x14ac:dyDescent="0.3">
      <c r="E1125" s="4"/>
      <c r="F1125" s="4"/>
    </row>
    <row r="1126" spans="5:6" x14ac:dyDescent="0.3">
      <c r="E1126" s="4"/>
      <c r="F1126" s="4"/>
    </row>
    <row r="1127" spans="5:6" x14ac:dyDescent="0.3">
      <c r="E1127" s="4"/>
      <c r="F1127" s="4"/>
    </row>
    <row r="1128" spans="5:6" x14ac:dyDescent="0.3">
      <c r="E1128" s="4"/>
      <c r="F1128" s="4"/>
    </row>
    <row r="1129" spans="5:6" x14ac:dyDescent="0.3">
      <c r="E1129" s="4"/>
      <c r="F1129" s="4"/>
    </row>
    <row r="1130" spans="5:6" x14ac:dyDescent="0.3">
      <c r="E1130" s="4"/>
      <c r="F1130" s="4"/>
    </row>
    <row r="1131" spans="5:6" x14ac:dyDescent="0.3">
      <c r="E1131" s="4"/>
      <c r="F1131" s="4"/>
    </row>
    <row r="1132" spans="5:6" x14ac:dyDescent="0.3">
      <c r="E1132" s="4"/>
      <c r="F1132" s="4"/>
    </row>
    <row r="1133" spans="5:6" x14ac:dyDescent="0.3">
      <c r="E1133" s="4"/>
      <c r="F1133" s="4"/>
    </row>
    <row r="1134" spans="5:6" x14ac:dyDescent="0.3">
      <c r="E1134" s="4"/>
      <c r="F1134" s="4"/>
    </row>
    <row r="1135" spans="5:6" x14ac:dyDescent="0.3">
      <c r="E1135" s="4"/>
      <c r="F1135" s="4"/>
    </row>
    <row r="1136" spans="5:6" x14ac:dyDescent="0.3">
      <c r="E1136" s="4"/>
      <c r="F1136" s="4"/>
    </row>
    <row r="1137" spans="5:6" x14ac:dyDescent="0.3">
      <c r="E1137" s="4"/>
      <c r="F1137" s="4"/>
    </row>
    <row r="1138" spans="5:6" x14ac:dyDescent="0.3">
      <c r="E1138" s="4"/>
      <c r="F1138" s="4"/>
    </row>
    <row r="1139" spans="5:6" x14ac:dyDescent="0.3">
      <c r="E1139" s="4"/>
      <c r="F1139" s="4"/>
    </row>
    <row r="1140" spans="5:6" x14ac:dyDescent="0.3">
      <c r="E1140" s="4"/>
      <c r="F1140" s="4"/>
    </row>
    <row r="1141" spans="5:6" x14ac:dyDescent="0.3">
      <c r="E1141" s="4"/>
      <c r="F1141" s="4"/>
    </row>
    <row r="1142" spans="5:6" x14ac:dyDescent="0.3">
      <c r="E1142" s="4"/>
      <c r="F1142" s="4"/>
    </row>
    <row r="1143" spans="5:6" x14ac:dyDescent="0.3">
      <c r="E1143" s="4"/>
      <c r="F1143" s="4"/>
    </row>
    <row r="1144" spans="5:6" x14ac:dyDescent="0.3">
      <c r="E1144" s="4"/>
      <c r="F1144" s="4"/>
    </row>
    <row r="1145" spans="5:6" x14ac:dyDescent="0.3">
      <c r="E1145" s="4"/>
      <c r="F1145" s="4"/>
    </row>
    <row r="1146" spans="5:6" x14ac:dyDescent="0.3">
      <c r="E1146" s="4"/>
      <c r="F1146" s="4"/>
    </row>
    <row r="1147" spans="5:6" x14ac:dyDescent="0.3">
      <c r="E1147" s="4"/>
      <c r="F1147" s="4"/>
    </row>
    <row r="1148" spans="5:6" x14ac:dyDescent="0.3">
      <c r="E1148" s="4"/>
      <c r="F1148" s="4"/>
    </row>
    <row r="1149" spans="5:6" x14ac:dyDescent="0.3">
      <c r="E1149" s="4"/>
      <c r="F1149" s="4"/>
    </row>
    <row r="1150" spans="5:6" x14ac:dyDescent="0.3">
      <c r="E1150" s="4"/>
      <c r="F1150" s="4"/>
    </row>
    <row r="1151" spans="5:6" x14ac:dyDescent="0.3">
      <c r="E1151" s="4"/>
      <c r="F1151" s="4"/>
    </row>
    <row r="1152" spans="5:6" x14ac:dyDescent="0.3">
      <c r="E1152" s="4"/>
      <c r="F1152" s="4"/>
    </row>
    <row r="1153" spans="5:6" x14ac:dyDescent="0.3">
      <c r="E1153" s="4"/>
      <c r="F1153" s="4"/>
    </row>
    <row r="1154" spans="5:6" x14ac:dyDescent="0.3">
      <c r="E1154" s="4"/>
      <c r="F1154" s="4"/>
    </row>
    <row r="1155" spans="5:6" x14ac:dyDescent="0.3">
      <c r="E1155" s="4"/>
      <c r="F1155" s="4"/>
    </row>
    <row r="1156" spans="5:6" x14ac:dyDescent="0.3">
      <c r="E1156" s="4"/>
      <c r="F1156" s="4"/>
    </row>
    <row r="1157" spans="5:6" x14ac:dyDescent="0.3">
      <c r="E1157" s="4"/>
      <c r="F1157" s="4"/>
    </row>
    <row r="1158" spans="5:6" x14ac:dyDescent="0.3">
      <c r="E1158" s="4"/>
      <c r="F1158" s="4"/>
    </row>
    <row r="1159" spans="5:6" x14ac:dyDescent="0.3">
      <c r="E1159" s="4"/>
      <c r="F1159" s="4"/>
    </row>
    <row r="1160" spans="5:6" x14ac:dyDescent="0.3">
      <c r="E1160" s="4"/>
      <c r="F1160" s="4"/>
    </row>
    <row r="1161" spans="5:6" x14ac:dyDescent="0.3">
      <c r="E1161" s="4"/>
      <c r="F1161" s="4"/>
    </row>
    <row r="1162" spans="5:6" x14ac:dyDescent="0.3">
      <c r="E1162" s="4"/>
      <c r="F1162" s="4"/>
    </row>
    <row r="1163" spans="5:6" x14ac:dyDescent="0.3">
      <c r="E1163" s="4"/>
      <c r="F1163" s="4"/>
    </row>
    <row r="1164" spans="5:6" x14ac:dyDescent="0.3">
      <c r="E1164" s="4"/>
      <c r="F1164" s="4"/>
    </row>
    <row r="1165" spans="5:6" x14ac:dyDescent="0.3">
      <c r="E1165" s="4"/>
      <c r="F1165" s="4"/>
    </row>
    <row r="1166" spans="5:6" x14ac:dyDescent="0.3">
      <c r="E1166" s="4"/>
      <c r="F1166" s="4"/>
    </row>
    <row r="1167" spans="5:6" x14ac:dyDescent="0.3">
      <c r="E1167" s="4"/>
      <c r="F1167" s="4"/>
    </row>
    <row r="1168" spans="5:6" x14ac:dyDescent="0.3">
      <c r="E1168" s="4"/>
      <c r="F1168" s="4"/>
    </row>
    <row r="1169" spans="5:6" x14ac:dyDescent="0.3">
      <c r="E1169" s="4"/>
      <c r="F1169" s="4"/>
    </row>
    <row r="1170" spans="5:6" x14ac:dyDescent="0.3">
      <c r="E1170" s="4"/>
      <c r="F1170" s="4"/>
    </row>
    <row r="1171" spans="5:6" x14ac:dyDescent="0.3">
      <c r="E1171" s="4"/>
      <c r="F1171" s="4"/>
    </row>
    <row r="1172" spans="5:6" x14ac:dyDescent="0.3">
      <c r="E1172" s="4"/>
      <c r="F1172" s="4"/>
    </row>
    <row r="1173" spans="5:6" x14ac:dyDescent="0.3">
      <c r="E1173" s="4"/>
      <c r="F1173" s="4"/>
    </row>
    <row r="1174" spans="5:6" x14ac:dyDescent="0.3">
      <c r="E1174" s="4"/>
      <c r="F1174" s="4"/>
    </row>
    <row r="1175" spans="5:6" x14ac:dyDescent="0.3">
      <c r="E1175" s="4"/>
      <c r="F1175" s="4"/>
    </row>
    <row r="1176" spans="5:6" x14ac:dyDescent="0.3">
      <c r="E1176" s="4"/>
      <c r="F1176" s="4"/>
    </row>
    <row r="1177" spans="5:6" x14ac:dyDescent="0.3">
      <c r="E1177" s="4"/>
      <c r="F1177" s="4"/>
    </row>
    <row r="1178" spans="5:6" x14ac:dyDescent="0.3">
      <c r="E1178" s="4"/>
      <c r="F1178" s="4"/>
    </row>
    <row r="1179" spans="5:6" x14ac:dyDescent="0.3">
      <c r="E1179" s="4"/>
      <c r="F1179" s="4"/>
    </row>
    <row r="1180" spans="5:6" x14ac:dyDescent="0.3">
      <c r="E1180" s="4"/>
      <c r="F1180" s="4"/>
    </row>
    <row r="1181" spans="5:6" x14ac:dyDescent="0.3">
      <c r="E1181" s="4"/>
      <c r="F1181" s="4"/>
    </row>
    <row r="1182" spans="5:6" x14ac:dyDescent="0.3">
      <c r="E1182" s="4"/>
      <c r="F1182" s="4"/>
    </row>
    <row r="1183" spans="5:6" x14ac:dyDescent="0.3">
      <c r="E1183" s="4"/>
      <c r="F1183" s="4"/>
    </row>
    <row r="1184" spans="5:6" x14ac:dyDescent="0.3">
      <c r="E1184" s="4"/>
      <c r="F1184" s="4"/>
    </row>
    <row r="1185" spans="5:6" x14ac:dyDescent="0.3">
      <c r="E1185" s="4"/>
      <c r="F1185" s="4"/>
    </row>
    <row r="1186" spans="5:6" x14ac:dyDescent="0.3">
      <c r="E1186" s="4"/>
      <c r="F1186" s="4"/>
    </row>
    <row r="1187" spans="5:6" x14ac:dyDescent="0.3">
      <c r="E1187" s="4"/>
      <c r="F1187" s="4"/>
    </row>
    <row r="1188" spans="5:6" x14ac:dyDescent="0.3">
      <c r="E1188" s="4"/>
      <c r="F1188" s="4"/>
    </row>
    <row r="1189" spans="5:6" x14ac:dyDescent="0.3">
      <c r="E1189" s="4"/>
      <c r="F1189" s="4"/>
    </row>
    <row r="1190" spans="5:6" x14ac:dyDescent="0.3">
      <c r="E1190" s="4"/>
      <c r="F1190" s="4"/>
    </row>
    <row r="1191" spans="5:6" x14ac:dyDescent="0.3">
      <c r="E1191" s="4"/>
      <c r="F1191" s="4"/>
    </row>
    <row r="1192" spans="5:6" x14ac:dyDescent="0.3">
      <c r="E1192" s="4"/>
      <c r="F1192" s="4"/>
    </row>
    <row r="1193" spans="5:6" x14ac:dyDescent="0.3">
      <c r="E1193" s="4"/>
      <c r="F1193" s="4"/>
    </row>
    <row r="1194" spans="5:6" x14ac:dyDescent="0.3">
      <c r="E1194" s="4"/>
      <c r="F1194" s="4"/>
    </row>
    <row r="1195" spans="5:6" x14ac:dyDescent="0.3">
      <c r="E1195" s="4"/>
      <c r="F1195" s="4"/>
    </row>
    <row r="1196" spans="5:6" x14ac:dyDescent="0.3">
      <c r="E1196" s="4"/>
      <c r="F1196" s="4"/>
    </row>
    <row r="1197" spans="5:6" x14ac:dyDescent="0.3">
      <c r="E1197" s="4"/>
      <c r="F1197" s="4"/>
    </row>
    <row r="1198" spans="5:6" x14ac:dyDescent="0.3">
      <c r="E1198" s="4"/>
      <c r="F1198" s="4"/>
    </row>
    <row r="1199" spans="5:6" x14ac:dyDescent="0.3">
      <c r="E1199" s="4"/>
      <c r="F1199" s="4"/>
    </row>
    <row r="1200" spans="5:6" x14ac:dyDescent="0.3">
      <c r="E1200" s="4"/>
      <c r="F1200" s="4"/>
    </row>
    <row r="1201" spans="5:6" x14ac:dyDescent="0.3">
      <c r="E1201" s="4"/>
      <c r="F1201" s="4"/>
    </row>
    <row r="1202" spans="5:6" x14ac:dyDescent="0.3">
      <c r="E1202" s="4"/>
      <c r="F1202" s="4"/>
    </row>
    <row r="1203" spans="5:6" x14ac:dyDescent="0.3">
      <c r="E1203" s="4"/>
      <c r="F1203" s="4"/>
    </row>
    <row r="1204" spans="5:6" x14ac:dyDescent="0.3">
      <c r="E1204" s="4"/>
      <c r="F1204" s="4"/>
    </row>
    <row r="1205" spans="5:6" x14ac:dyDescent="0.3">
      <c r="E1205" s="4"/>
      <c r="F1205" s="4"/>
    </row>
    <row r="1206" spans="5:6" x14ac:dyDescent="0.3">
      <c r="E1206" s="4"/>
      <c r="F1206" s="4"/>
    </row>
    <row r="1207" spans="5:6" x14ac:dyDescent="0.3">
      <c r="E1207" s="4"/>
      <c r="F1207" s="4"/>
    </row>
    <row r="1208" spans="5:6" x14ac:dyDescent="0.3">
      <c r="E1208" s="4"/>
      <c r="F1208" s="4"/>
    </row>
    <row r="1209" spans="5:6" x14ac:dyDescent="0.3">
      <c r="E1209" s="4"/>
      <c r="F1209" s="4"/>
    </row>
    <row r="1210" spans="5:6" x14ac:dyDescent="0.3">
      <c r="E1210" s="4"/>
      <c r="F1210" s="4"/>
    </row>
    <row r="1211" spans="5:6" x14ac:dyDescent="0.3">
      <c r="E1211" s="4"/>
      <c r="F1211" s="4"/>
    </row>
    <row r="1212" spans="5:6" x14ac:dyDescent="0.3">
      <c r="E1212" s="4"/>
      <c r="F1212" s="4"/>
    </row>
    <row r="1213" spans="5:6" x14ac:dyDescent="0.3">
      <c r="E1213" s="4"/>
      <c r="F1213" s="4"/>
    </row>
    <row r="1214" spans="5:6" x14ac:dyDescent="0.3">
      <c r="E1214" s="4"/>
      <c r="F1214" s="4"/>
    </row>
    <row r="1215" spans="5:6" x14ac:dyDescent="0.3">
      <c r="E1215" s="4"/>
      <c r="F1215" s="4"/>
    </row>
    <row r="1216" spans="5:6" x14ac:dyDescent="0.3">
      <c r="E1216" s="4"/>
      <c r="F1216" s="4"/>
    </row>
    <row r="1217" spans="5:6" x14ac:dyDescent="0.3">
      <c r="E1217" s="4"/>
      <c r="F1217" s="4"/>
    </row>
    <row r="1218" spans="5:6" x14ac:dyDescent="0.3">
      <c r="E1218" s="4"/>
      <c r="F1218" s="4"/>
    </row>
    <row r="1219" spans="5:6" x14ac:dyDescent="0.3">
      <c r="E1219" s="4"/>
      <c r="F1219" s="4"/>
    </row>
    <row r="1220" spans="5:6" x14ac:dyDescent="0.3">
      <c r="E1220" s="4"/>
      <c r="F1220" s="4"/>
    </row>
    <row r="1221" spans="5:6" x14ac:dyDescent="0.3">
      <c r="E1221" s="4"/>
      <c r="F1221" s="4"/>
    </row>
    <row r="1222" spans="5:6" x14ac:dyDescent="0.3">
      <c r="E1222" s="4"/>
      <c r="F1222" s="4"/>
    </row>
    <row r="1223" spans="5:6" x14ac:dyDescent="0.3">
      <c r="E1223" s="4"/>
      <c r="F1223" s="4"/>
    </row>
    <row r="1224" spans="5:6" x14ac:dyDescent="0.3">
      <c r="E1224" s="4"/>
      <c r="F1224" s="4"/>
    </row>
    <row r="1225" spans="5:6" x14ac:dyDescent="0.3">
      <c r="E1225" s="4"/>
      <c r="F1225" s="4"/>
    </row>
    <row r="1226" spans="5:6" x14ac:dyDescent="0.3">
      <c r="E1226" s="4"/>
      <c r="F1226" s="4"/>
    </row>
    <row r="1227" spans="5:6" x14ac:dyDescent="0.3">
      <c r="E1227" s="4"/>
      <c r="F1227" s="4"/>
    </row>
    <row r="1228" spans="5:6" x14ac:dyDescent="0.3">
      <c r="E1228" s="4"/>
      <c r="F1228" s="4"/>
    </row>
    <row r="1229" spans="5:6" x14ac:dyDescent="0.3">
      <c r="E1229" s="4"/>
      <c r="F1229" s="4"/>
    </row>
    <row r="1230" spans="5:6" x14ac:dyDescent="0.3">
      <c r="E1230" s="4"/>
      <c r="F1230" s="4"/>
    </row>
    <row r="1231" spans="5:6" x14ac:dyDescent="0.3">
      <c r="E1231" s="4"/>
      <c r="F1231" s="4"/>
    </row>
    <row r="1232" spans="5:6" x14ac:dyDescent="0.3">
      <c r="E1232" s="4"/>
      <c r="F1232" s="4"/>
    </row>
    <row r="1233" spans="5:6" x14ac:dyDescent="0.3">
      <c r="E1233" s="4"/>
      <c r="F1233" s="4"/>
    </row>
    <row r="1234" spans="5:6" x14ac:dyDescent="0.3">
      <c r="E1234" s="4"/>
      <c r="F1234" s="4"/>
    </row>
    <row r="1235" spans="5:6" x14ac:dyDescent="0.3">
      <c r="E1235" s="4"/>
      <c r="F1235" s="4"/>
    </row>
    <row r="1236" spans="5:6" x14ac:dyDescent="0.3">
      <c r="E1236" s="4"/>
      <c r="F1236" s="4"/>
    </row>
    <row r="1237" spans="5:6" x14ac:dyDescent="0.3">
      <c r="E1237" s="4"/>
      <c r="F1237" s="4"/>
    </row>
    <row r="1238" spans="5:6" x14ac:dyDescent="0.3">
      <c r="E1238" s="4"/>
      <c r="F1238" s="4"/>
    </row>
    <row r="1239" spans="5:6" x14ac:dyDescent="0.3">
      <c r="E1239" s="4"/>
      <c r="F1239" s="4"/>
    </row>
    <row r="1240" spans="5:6" x14ac:dyDescent="0.3">
      <c r="E1240" s="4"/>
      <c r="F1240" s="4"/>
    </row>
    <row r="1241" spans="5:6" x14ac:dyDescent="0.3">
      <c r="E1241" s="4"/>
      <c r="F1241" s="4"/>
    </row>
    <row r="1242" spans="5:6" x14ac:dyDescent="0.3">
      <c r="E1242" s="4"/>
      <c r="F1242" s="4"/>
    </row>
    <row r="1243" spans="5:6" x14ac:dyDescent="0.3">
      <c r="E1243" s="4"/>
      <c r="F1243" s="4"/>
    </row>
    <row r="1244" spans="5:6" x14ac:dyDescent="0.3">
      <c r="E1244" s="4"/>
      <c r="F1244" s="4"/>
    </row>
    <row r="1245" spans="5:6" x14ac:dyDescent="0.3">
      <c r="E1245" s="4"/>
      <c r="F1245" s="4"/>
    </row>
    <row r="1246" spans="5:6" x14ac:dyDescent="0.3">
      <c r="E1246" s="4"/>
      <c r="F1246" s="4"/>
    </row>
    <row r="1247" spans="5:6" x14ac:dyDescent="0.3">
      <c r="E1247" s="4"/>
      <c r="F1247" s="4"/>
    </row>
    <row r="1248" spans="5:6" x14ac:dyDescent="0.3">
      <c r="E1248" s="4"/>
      <c r="F1248" s="4"/>
    </row>
    <row r="1249" spans="5:6" x14ac:dyDescent="0.3">
      <c r="E1249" s="4"/>
      <c r="F1249" s="4"/>
    </row>
    <row r="1250" spans="5:6" x14ac:dyDescent="0.3">
      <c r="E1250" s="4"/>
      <c r="F1250" s="4"/>
    </row>
    <row r="1251" spans="5:6" x14ac:dyDescent="0.3">
      <c r="E1251" s="4"/>
      <c r="F1251" s="4"/>
    </row>
    <row r="1252" spans="5:6" x14ac:dyDescent="0.3">
      <c r="E1252" s="4"/>
      <c r="F1252" s="4"/>
    </row>
    <row r="1253" spans="5:6" x14ac:dyDescent="0.3">
      <c r="E1253" s="4"/>
      <c r="F1253" s="4"/>
    </row>
    <row r="1254" spans="5:6" x14ac:dyDescent="0.3">
      <c r="E1254" s="4"/>
      <c r="F1254" s="4"/>
    </row>
    <row r="1255" spans="5:6" x14ac:dyDescent="0.3">
      <c r="E1255" s="4"/>
      <c r="F1255" s="4"/>
    </row>
    <row r="1256" spans="5:6" x14ac:dyDescent="0.3">
      <c r="E1256" s="4"/>
      <c r="F1256" s="4"/>
    </row>
    <row r="1257" spans="5:6" x14ac:dyDescent="0.3">
      <c r="E1257" s="4"/>
      <c r="F1257" s="4"/>
    </row>
    <row r="1258" spans="5:6" x14ac:dyDescent="0.3">
      <c r="E1258" s="4"/>
      <c r="F1258" s="4"/>
    </row>
    <row r="1259" spans="5:6" x14ac:dyDescent="0.3">
      <c r="E1259" s="4"/>
      <c r="F1259" s="4"/>
    </row>
    <row r="1260" spans="5:6" x14ac:dyDescent="0.3">
      <c r="E1260" s="4"/>
      <c r="F1260" s="4"/>
    </row>
    <row r="1261" spans="5:6" x14ac:dyDescent="0.3">
      <c r="E1261" s="4"/>
      <c r="F1261" s="4"/>
    </row>
    <row r="1262" spans="5:6" x14ac:dyDescent="0.3">
      <c r="E1262" s="4"/>
      <c r="F1262" s="4"/>
    </row>
    <row r="1263" spans="5:6" x14ac:dyDescent="0.3">
      <c r="E1263" s="4"/>
      <c r="F1263" s="4"/>
    </row>
    <row r="1264" spans="5:6" x14ac:dyDescent="0.3">
      <c r="E1264" s="4"/>
      <c r="F1264" s="4"/>
    </row>
    <row r="1265" spans="5:6" x14ac:dyDescent="0.3">
      <c r="E1265" s="4"/>
      <c r="F1265" s="4"/>
    </row>
    <row r="1266" spans="5:6" x14ac:dyDescent="0.3">
      <c r="E1266" s="4"/>
      <c r="F1266" s="4"/>
    </row>
    <row r="1267" spans="5:6" x14ac:dyDescent="0.3">
      <c r="E1267" s="4"/>
      <c r="F1267" s="4"/>
    </row>
    <row r="1268" spans="5:6" x14ac:dyDescent="0.3">
      <c r="E1268" s="4"/>
      <c r="F1268" s="4"/>
    </row>
    <row r="1269" spans="5:6" x14ac:dyDescent="0.3">
      <c r="E1269" s="4"/>
      <c r="F1269" s="4"/>
    </row>
    <row r="1270" spans="5:6" x14ac:dyDescent="0.3">
      <c r="E1270" s="4"/>
      <c r="F1270" s="4"/>
    </row>
    <row r="1271" spans="5:6" x14ac:dyDescent="0.3">
      <c r="E1271" s="4"/>
      <c r="F1271" s="4"/>
    </row>
    <row r="1272" spans="5:6" x14ac:dyDescent="0.3">
      <c r="E1272" s="4"/>
      <c r="F1272" s="4"/>
    </row>
    <row r="1273" spans="5:6" x14ac:dyDescent="0.3">
      <c r="E1273" s="4"/>
      <c r="F1273" s="4"/>
    </row>
    <row r="1274" spans="5:6" x14ac:dyDescent="0.3">
      <c r="E1274" s="4"/>
      <c r="F1274" s="4"/>
    </row>
    <row r="1275" spans="5:6" x14ac:dyDescent="0.3">
      <c r="E1275" s="4"/>
      <c r="F1275" s="4"/>
    </row>
    <row r="1276" spans="5:6" x14ac:dyDescent="0.3">
      <c r="E1276" s="4"/>
      <c r="F1276" s="4"/>
    </row>
    <row r="1277" spans="5:6" x14ac:dyDescent="0.3">
      <c r="E1277" s="4"/>
      <c r="F1277" s="4"/>
    </row>
    <row r="1278" spans="5:6" x14ac:dyDescent="0.3">
      <c r="E1278" s="4"/>
      <c r="F1278" s="4"/>
    </row>
    <row r="1279" spans="5:6" x14ac:dyDescent="0.3">
      <c r="E1279" s="4"/>
      <c r="F1279" s="4"/>
    </row>
    <row r="1280" spans="5:6" x14ac:dyDescent="0.3">
      <c r="E1280" s="4"/>
      <c r="F1280" s="4"/>
    </row>
    <row r="1281" spans="5:6" x14ac:dyDescent="0.3">
      <c r="E1281" s="4"/>
      <c r="F1281" s="4"/>
    </row>
    <row r="1282" spans="5:6" x14ac:dyDescent="0.3">
      <c r="E1282" s="4"/>
      <c r="F1282" s="4"/>
    </row>
    <row r="1283" spans="5:6" x14ac:dyDescent="0.3">
      <c r="E1283" s="4"/>
      <c r="F1283" s="4"/>
    </row>
    <row r="1284" spans="5:6" x14ac:dyDescent="0.3">
      <c r="E1284" s="4"/>
      <c r="F1284" s="4"/>
    </row>
    <row r="1285" spans="5:6" x14ac:dyDescent="0.3">
      <c r="E1285" s="4"/>
      <c r="F1285" s="4"/>
    </row>
    <row r="1286" spans="5:6" x14ac:dyDescent="0.3">
      <c r="E1286" s="4"/>
      <c r="F1286" s="4"/>
    </row>
    <row r="1287" spans="5:6" x14ac:dyDescent="0.3">
      <c r="E1287" s="4"/>
      <c r="F1287" s="4"/>
    </row>
    <row r="1288" spans="5:6" x14ac:dyDescent="0.3">
      <c r="E1288" s="4"/>
      <c r="F1288" s="4"/>
    </row>
    <row r="1289" spans="5:6" x14ac:dyDescent="0.3">
      <c r="E1289" s="4"/>
      <c r="F1289" s="4"/>
    </row>
    <row r="1290" spans="5:6" x14ac:dyDescent="0.3">
      <c r="E1290" s="4"/>
      <c r="F1290" s="4"/>
    </row>
    <row r="1291" spans="5:6" x14ac:dyDescent="0.3">
      <c r="E1291" s="4"/>
      <c r="F1291" s="4"/>
    </row>
    <row r="1292" spans="5:6" x14ac:dyDescent="0.3">
      <c r="E1292" s="4"/>
      <c r="F1292" s="4"/>
    </row>
    <row r="1293" spans="5:6" x14ac:dyDescent="0.3">
      <c r="E1293" s="4"/>
      <c r="F1293" s="4"/>
    </row>
    <row r="1294" spans="5:6" x14ac:dyDescent="0.3">
      <c r="E1294" s="4"/>
      <c r="F1294" s="4"/>
    </row>
    <row r="1295" spans="5:6" x14ac:dyDescent="0.3">
      <c r="E1295" s="4"/>
      <c r="F1295" s="4"/>
    </row>
    <row r="1296" spans="5:6" x14ac:dyDescent="0.3">
      <c r="E1296" s="4"/>
      <c r="F1296" s="4"/>
    </row>
    <row r="1297" spans="5:6" x14ac:dyDescent="0.3">
      <c r="E1297" s="4"/>
      <c r="F1297" s="4"/>
    </row>
    <row r="1298" spans="5:6" x14ac:dyDescent="0.3">
      <c r="E1298" s="4"/>
      <c r="F1298" s="4"/>
    </row>
    <row r="1299" spans="5:6" x14ac:dyDescent="0.3">
      <c r="E1299" s="4"/>
      <c r="F1299" s="4"/>
    </row>
    <row r="1300" spans="5:6" x14ac:dyDescent="0.3">
      <c r="E1300" s="4"/>
      <c r="F1300" s="4"/>
    </row>
    <row r="1301" spans="5:6" x14ac:dyDescent="0.3">
      <c r="E1301" s="4"/>
      <c r="F1301" s="4"/>
    </row>
    <row r="1302" spans="5:6" x14ac:dyDescent="0.3">
      <c r="E1302" s="4"/>
      <c r="F1302" s="4"/>
    </row>
    <row r="1303" spans="5:6" x14ac:dyDescent="0.3">
      <c r="E1303" s="4"/>
      <c r="F1303" s="4"/>
    </row>
    <row r="1304" spans="5:6" x14ac:dyDescent="0.3">
      <c r="E1304" s="4"/>
      <c r="F1304" s="4"/>
    </row>
    <row r="1305" spans="5:6" x14ac:dyDescent="0.3">
      <c r="E1305" s="4"/>
      <c r="F1305" s="4"/>
    </row>
    <row r="1306" spans="5:6" x14ac:dyDescent="0.3">
      <c r="E1306" s="4"/>
      <c r="F1306" s="4"/>
    </row>
    <row r="1307" spans="5:6" x14ac:dyDescent="0.3">
      <c r="E1307" s="4"/>
      <c r="F1307" s="4"/>
    </row>
    <row r="1308" spans="5:6" x14ac:dyDescent="0.3">
      <c r="E1308" s="4"/>
      <c r="F1308" s="4"/>
    </row>
    <row r="1309" spans="5:6" x14ac:dyDescent="0.3">
      <c r="E1309" s="4"/>
      <c r="F1309" s="4"/>
    </row>
    <row r="1310" spans="5:6" x14ac:dyDescent="0.3">
      <c r="E1310" s="4"/>
      <c r="F1310" s="4"/>
    </row>
    <row r="1311" spans="5:6" x14ac:dyDescent="0.3">
      <c r="E1311" s="4"/>
      <c r="F1311" s="4"/>
    </row>
    <row r="1312" spans="5:6" x14ac:dyDescent="0.3">
      <c r="E1312" s="4"/>
      <c r="F1312" s="4"/>
    </row>
    <row r="1313" spans="5:6" x14ac:dyDescent="0.3">
      <c r="E1313" s="4"/>
      <c r="F1313" s="4"/>
    </row>
    <row r="1314" spans="5:6" x14ac:dyDescent="0.3">
      <c r="E1314" s="4"/>
      <c r="F1314" s="4"/>
    </row>
    <row r="1315" spans="5:6" x14ac:dyDescent="0.3">
      <c r="E1315" s="4"/>
      <c r="F1315" s="4"/>
    </row>
    <row r="1316" spans="5:6" x14ac:dyDescent="0.3">
      <c r="E1316" s="4"/>
      <c r="F1316" s="4"/>
    </row>
    <row r="1317" spans="5:6" x14ac:dyDescent="0.3">
      <c r="E1317" s="4"/>
      <c r="F1317" s="4"/>
    </row>
    <row r="1318" spans="5:6" x14ac:dyDescent="0.3">
      <c r="E1318" s="4"/>
      <c r="F1318" s="4"/>
    </row>
    <row r="1319" spans="5:6" x14ac:dyDescent="0.3">
      <c r="E1319" s="4"/>
      <c r="F1319" s="4"/>
    </row>
    <row r="1320" spans="5:6" x14ac:dyDescent="0.3">
      <c r="E1320" s="4"/>
      <c r="F1320" s="4"/>
    </row>
    <row r="1321" spans="5:6" x14ac:dyDescent="0.3">
      <c r="E1321" s="4"/>
      <c r="F1321" s="4"/>
    </row>
    <row r="1322" spans="5:6" x14ac:dyDescent="0.3">
      <c r="E1322" s="4"/>
      <c r="F1322" s="4"/>
    </row>
    <row r="1323" spans="5:6" x14ac:dyDescent="0.3">
      <c r="E1323" s="4"/>
      <c r="F1323" s="4"/>
    </row>
    <row r="1324" spans="5:6" x14ac:dyDescent="0.3">
      <c r="E1324" s="4"/>
      <c r="F1324" s="4"/>
    </row>
    <row r="1325" spans="5:6" x14ac:dyDescent="0.3">
      <c r="E1325" s="4"/>
      <c r="F1325" s="4"/>
    </row>
    <row r="1326" spans="5:6" x14ac:dyDescent="0.3">
      <c r="E1326" s="4"/>
      <c r="F1326" s="4"/>
    </row>
    <row r="1327" spans="5:6" x14ac:dyDescent="0.3">
      <c r="E1327" s="4"/>
      <c r="F1327" s="4"/>
    </row>
    <row r="1328" spans="5:6" x14ac:dyDescent="0.3">
      <c r="E1328" s="4"/>
      <c r="F1328" s="4"/>
    </row>
    <row r="1329" spans="5:6" x14ac:dyDescent="0.3">
      <c r="E1329" s="4"/>
      <c r="F1329" s="4"/>
    </row>
    <row r="1330" spans="5:6" x14ac:dyDescent="0.3">
      <c r="E1330" s="4"/>
      <c r="F1330" s="4"/>
    </row>
    <row r="1331" spans="5:6" x14ac:dyDescent="0.3">
      <c r="E1331" s="4"/>
      <c r="F1331" s="4"/>
    </row>
    <row r="1332" spans="5:6" x14ac:dyDescent="0.3">
      <c r="E1332" s="4"/>
      <c r="F1332" s="4"/>
    </row>
    <row r="1333" spans="5:6" x14ac:dyDescent="0.3">
      <c r="E1333" s="4"/>
      <c r="F1333" s="4"/>
    </row>
    <row r="1334" spans="5:6" x14ac:dyDescent="0.3">
      <c r="E1334" s="4"/>
      <c r="F1334" s="4"/>
    </row>
    <row r="1335" spans="5:6" x14ac:dyDescent="0.3">
      <c r="E1335" s="4"/>
      <c r="F1335" s="4"/>
    </row>
    <row r="1336" spans="5:6" x14ac:dyDescent="0.3">
      <c r="E1336" s="4"/>
      <c r="F1336" s="4"/>
    </row>
    <row r="1337" spans="5:6" x14ac:dyDescent="0.3">
      <c r="E1337" s="4"/>
      <c r="F1337" s="4"/>
    </row>
    <row r="1338" spans="5:6" x14ac:dyDescent="0.3">
      <c r="E1338" s="4"/>
      <c r="F1338" s="4"/>
    </row>
    <row r="1339" spans="5:6" x14ac:dyDescent="0.3">
      <c r="E1339" s="4"/>
      <c r="F1339" s="4"/>
    </row>
    <row r="1340" spans="5:6" x14ac:dyDescent="0.3">
      <c r="E1340" s="4"/>
      <c r="F1340" s="4"/>
    </row>
    <row r="1341" spans="5:6" x14ac:dyDescent="0.3">
      <c r="E1341" s="4"/>
      <c r="F1341" s="4"/>
    </row>
    <row r="1342" spans="5:6" x14ac:dyDescent="0.3">
      <c r="E1342" s="4"/>
      <c r="F1342" s="4"/>
    </row>
    <row r="1343" spans="5:6" x14ac:dyDescent="0.3">
      <c r="E1343" s="4"/>
      <c r="F1343" s="4"/>
    </row>
    <row r="1344" spans="5:6" x14ac:dyDescent="0.3">
      <c r="E1344" s="4"/>
      <c r="F1344" s="4"/>
    </row>
    <row r="1345" spans="5:6" x14ac:dyDescent="0.3">
      <c r="E1345" s="4"/>
      <c r="F1345" s="4"/>
    </row>
    <row r="1346" spans="5:6" x14ac:dyDescent="0.3">
      <c r="E1346" s="4"/>
      <c r="F1346" s="4"/>
    </row>
    <row r="1347" spans="5:6" x14ac:dyDescent="0.3">
      <c r="E1347" s="4"/>
      <c r="F1347" s="4"/>
    </row>
    <row r="1348" spans="5:6" x14ac:dyDescent="0.3">
      <c r="E1348" s="4"/>
      <c r="F1348" s="4"/>
    </row>
    <row r="1349" spans="5:6" x14ac:dyDescent="0.3">
      <c r="E1349" s="4"/>
      <c r="F1349" s="4"/>
    </row>
    <row r="1350" spans="5:6" x14ac:dyDescent="0.3">
      <c r="E1350" s="4"/>
      <c r="F1350" s="4"/>
    </row>
    <row r="1351" spans="5:6" x14ac:dyDescent="0.3">
      <c r="E1351" s="4"/>
      <c r="F1351" s="4"/>
    </row>
    <row r="1352" spans="5:6" x14ac:dyDescent="0.3">
      <c r="E1352" s="4"/>
      <c r="F1352" s="4"/>
    </row>
    <row r="1353" spans="5:6" x14ac:dyDescent="0.3">
      <c r="E1353" s="4"/>
      <c r="F1353" s="4"/>
    </row>
    <row r="1354" spans="5:6" x14ac:dyDescent="0.3">
      <c r="E1354" s="4"/>
      <c r="F1354" s="4"/>
    </row>
    <row r="1355" spans="5:6" x14ac:dyDescent="0.3">
      <c r="E1355" s="4"/>
      <c r="F1355" s="4"/>
    </row>
    <row r="1356" spans="5:6" x14ac:dyDescent="0.3">
      <c r="E1356" s="4"/>
      <c r="F1356" s="4"/>
    </row>
    <row r="1357" spans="5:6" x14ac:dyDescent="0.3">
      <c r="E1357" s="4"/>
      <c r="F1357" s="4"/>
    </row>
    <row r="1358" spans="5:6" x14ac:dyDescent="0.3">
      <c r="E1358" s="4"/>
      <c r="F1358" s="4"/>
    </row>
    <row r="1359" spans="5:6" x14ac:dyDescent="0.3">
      <c r="E1359" s="4"/>
      <c r="F1359" s="4"/>
    </row>
    <row r="1360" spans="5:6" x14ac:dyDescent="0.3">
      <c r="E1360" s="4"/>
      <c r="F1360" s="4"/>
    </row>
    <row r="1361" spans="5:6" x14ac:dyDescent="0.3">
      <c r="E1361" s="4"/>
      <c r="F1361" s="4"/>
    </row>
    <row r="1362" spans="5:6" x14ac:dyDescent="0.3">
      <c r="E1362" s="4"/>
      <c r="F1362" s="4"/>
    </row>
    <row r="1363" spans="5:6" x14ac:dyDescent="0.3">
      <c r="E1363" s="4"/>
      <c r="F1363" s="4"/>
    </row>
    <row r="1364" spans="5:6" x14ac:dyDescent="0.3">
      <c r="E1364" s="4"/>
      <c r="F1364" s="4"/>
    </row>
    <row r="1365" spans="5:6" x14ac:dyDescent="0.3">
      <c r="E1365" s="4"/>
      <c r="F1365" s="4"/>
    </row>
    <row r="1366" spans="5:6" x14ac:dyDescent="0.3">
      <c r="E1366" s="4"/>
      <c r="F1366" s="4"/>
    </row>
    <row r="1367" spans="5:6" x14ac:dyDescent="0.3">
      <c r="E1367" s="4"/>
      <c r="F1367" s="4"/>
    </row>
    <row r="1368" spans="5:6" x14ac:dyDescent="0.3">
      <c r="E1368" s="4"/>
      <c r="F1368" s="4"/>
    </row>
    <row r="1369" spans="5:6" x14ac:dyDescent="0.3">
      <c r="E1369" s="4"/>
      <c r="F1369" s="4"/>
    </row>
    <row r="1370" spans="5:6" x14ac:dyDescent="0.3">
      <c r="E1370" s="4"/>
      <c r="F1370" s="4"/>
    </row>
    <row r="1371" spans="5:6" x14ac:dyDescent="0.3">
      <c r="E1371" s="4"/>
      <c r="F1371" s="4"/>
    </row>
    <row r="1372" spans="5:6" x14ac:dyDescent="0.3">
      <c r="E1372" s="4"/>
      <c r="F1372" s="4"/>
    </row>
    <row r="1373" spans="5:6" x14ac:dyDescent="0.3">
      <c r="E1373" s="4"/>
      <c r="F1373" s="4"/>
    </row>
    <row r="1374" spans="5:6" x14ac:dyDescent="0.3">
      <c r="E1374" s="4"/>
      <c r="F1374" s="4"/>
    </row>
    <row r="1375" spans="5:6" x14ac:dyDescent="0.3">
      <c r="E1375" s="4"/>
      <c r="F1375" s="4"/>
    </row>
    <row r="1376" spans="5:6" x14ac:dyDescent="0.3">
      <c r="E1376" s="4"/>
      <c r="F1376" s="4"/>
    </row>
    <row r="1377" spans="5:6" x14ac:dyDescent="0.3">
      <c r="E1377" s="4"/>
      <c r="F1377" s="4"/>
    </row>
    <row r="1378" spans="5:6" x14ac:dyDescent="0.3">
      <c r="E1378" s="4"/>
      <c r="F1378" s="4"/>
    </row>
    <row r="1379" spans="5:6" x14ac:dyDescent="0.3">
      <c r="E1379" s="4"/>
      <c r="F1379" s="4"/>
    </row>
    <row r="1380" spans="5:6" x14ac:dyDescent="0.3">
      <c r="E1380" s="4"/>
      <c r="F1380" s="4"/>
    </row>
    <row r="1381" spans="5:6" x14ac:dyDescent="0.3">
      <c r="E1381" s="4"/>
      <c r="F1381" s="4"/>
    </row>
    <row r="1382" spans="5:6" x14ac:dyDescent="0.3">
      <c r="E1382" s="4"/>
      <c r="F1382" s="4"/>
    </row>
    <row r="1383" spans="5:6" x14ac:dyDescent="0.3">
      <c r="E1383" s="4"/>
      <c r="F1383" s="4"/>
    </row>
    <row r="1384" spans="5:6" x14ac:dyDescent="0.3">
      <c r="E1384" s="4"/>
      <c r="F1384" s="4"/>
    </row>
    <row r="1385" spans="5:6" x14ac:dyDescent="0.3">
      <c r="E1385" s="4"/>
      <c r="F1385" s="4"/>
    </row>
    <row r="1386" spans="5:6" x14ac:dyDescent="0.3">
      <c r="E1386" s="4"/>
      <c r="F1386" s="4"/>
    </row>
    <row r="1387" spans="5:6" x14ac:dyDescent="0.3">
      <c r="E1387" s="4"/>
      <c r="F1387" s="4"/>
    </row>
    <row r="1388" spans="5:6" x14ac:dyDescent="0.3">
      <c r="E1388" s="4"/>
      <c r="F1388" s="4"/>
    </row>
    <row r="1389" spans="5:6" x14ac:dyDescent="0.3">
      <c r="E1389" s="4"/>
      <c r="F1389" s="4"/>
    </row>
    <row r="1390" spans="5:6" x14ac:dyDescent="0.3">
      <c r="E1390" s="4"/>
      <c r="F1390" s="4"/>
    </row>
    <row r="1391" spans="5:6" x14ac:dyDescent="0.3">
      <c r="E1391" s="4"/>
      <c r="F1391" s="4"/>
    </row>
    <row r="1392" spans="5:6" x14ac:dyDescent="0.3">
      <c r="E1392" s="4"/>
      <c r="F1392" s="4"/>
    </row>
    <row r="1393" spans="5:6" x14ac:dyDescent="0.3">
      <c r="E1393" s="4"/>
      <c r="F1393" s="4"/>
    </row>
    <row r="1394" spans="5:6" x14ac:dyDescent="0.3">
      <c r="E1394" s="4"/>
      <c r="F1394" s="4"/>
    </row>
    <row r="1395" spans="5:6" x14ac:dyDescent="0.3">
      <c r="E1395" s="4"/>
      <c r="F1395" s="4"/>
    </row>
    <row r="1396" spans="5:6" x14ac:dyDescent="0.3">
      <c r="E1396" s="4"/>
      <c r="F1396" s="4"/>
    </row>
    <row r="1397" spans="5:6" x14ac:dyDescent="0.3">
      <c r="E1397" s="4"/>
      <c r="F1397" s="4"/>
    </row>
    <row r="1398" spans="5:6" x14ac:dyDescent="0.3">
      <c r="E1398" s="4"/>
      <c r="F1398" s="4"/>
    </row>
    <row r="1399" spans="5:6" x14ac:dyDescent="0.3">
      <c r="E1399" s="4"/>
      <c r="F1399" s="4"/>
    </row>
    <row r="1400" spans="5:6" x14ac:dyDescent="0.3">
      <c r="E1400" s="4"/>
      <c r="F1400" s="4"/>
    </row>
    <row r="1401" spans="5:6" x14ac:dyDescent="0.3">
      <c r="E1401" s="4"/>
      <c r="F1401" s="4"/>
    </row>
    <row r="1402" spans="5:6" x14ac:dyDescent="0.3">
      <c r="E1402" s="4"/>
      <c r="F1402" s="4"/>
    </row>
    <row r="1403" spans="5:6" x14ac:dyDescent="0.3">
      <c r="E1403" s="4"/>
      <c r="F1403" s="4"/>
    </row>
    <row r="1404" spans="5:6" x14ac:dyDescent="0.3">
      <c r="E1404" s="4"/>
      <c r="F1404" s="4"/>
    </row>
    <row r="1405" spans="5:6" x14ac:dyDescent="0.3">
      <c r="E1405" s="4"/>
      <c r="F1405" s="4"/>
    </row>
    <row r="1406" spans="5:6" x14ac:dyDescent="0.3">
      <c r="E1406" s="4"/>
      <c r="F1406" s="4"/>
    </row>
    <row r="1407" spans="5:6" x14ac:dyDescent="0.3">
      <c r="E1407" s="4"/>
      <c r="F1407" s="4"/>
    </row>
    <row r="1408" spans="5:6" x14ac:dyDescent="0.3">
      <c r="E1408" s="4"/>
      <c r="F1408" s="4"/>
    </row>
    <row r="1409" spans="5:6" x14ac:dyDescent="0.3">
      <c r="E1409" s="4"/>
      <c r="F1409" s="4"/>
    </row>
    <row r="1410" spans="5:6" x14ac:dyDescent="0.3">
      <c r="E1410" s="4"/>
      <c r="F1410" s="4"/>
    </row>
    <row r="1411" spans="5:6" x14ac:dyDescent="0.3">
      <c r="E1411" s="4"/>
      <c r="F1411" s="4"/>
    </row>
    <row r="1412" spans="5:6" x14ac:dyDescent="0.3">
      <c r="E1412" s="4"/>
      <c r="F1412" s="4"/>
    </row>
    <row r="1413" spans="5:6" x14ac:dyDescent="0.3">
      <c r="E1413" s="4"/>
      <c r="F1413" s="4"/>
    </row>
    <row r="1414" spans="5:6" x14ac:dyDescent="0.3">
      <c r="E1414" s="4"/>
      <c r="F1414" s="4"/>
    </row>
    <row r="1415" spans="5:6" x14ac:dyDescent="0.3">
      <c r="E1415" s="4"/>
      <c r="F1415" s="4"/>
    </row>
    <row r="1416" spans="5:6" x14ac:dyDescent="0.3">
      <c r="E1416" s="4"/>
      <c r="F1416" s="4"/>
    </row>
    <row r="1417" spans="5:6" x14ac:dyDescent="0.3">
      <c r="E1417" s="4"/>
      <c r="F1417" s="4"/>
    </row>
    <row r="1418" spans="5:6" x14ac:dyDescent="0.3">
      <c r="E1418" s="4"/>
      <c r="F1418" s="4"/>
    </row>
    <row r="1419" spans="5:6" x14ac:dyDescent="0.3">
      <c r="E1419" s="4"/>
      <c r="F1419" s="4"/>
    </row>
    <row r="1420" spans="5:6" x14ac:dyDescent="0.3">
      <c r="E1420" s="4"/>
      <c r="F1420" s="4"/>
    </row>
    <row r="1421" spans="5:6" x14ac:dyDescent="0.3">
      <c r="E1421" s="4"/>
      <c r="F1421" s="4"/>
    </row>
    <row r="1422" spans="5:6" x14ac:dyDescent="0.3">
      <c r="E1422" s="4"/>
      <c r="F1422" s="4"/>
    </row>
    <row r="1423" spans="5:6" x14ac:dyDescent="0.3">
      <c r="E1423" s="4"/>
      <c r="F1423" s="4"/>
    </row>
    <row r="1424" spans="5:6" x14ac:dyDescent="0.3">
      <c r="E1424" s="4"/>
      <c r="F1424" s="4"/>
    </row>
    <row r="1425" spans="5:6" x14ac:dyDescent="0.3">
      <c r="E1425" s="4"/>
      <c r="F1425" s="4"/>
    </row>
    <row r="1426" spans="5:6" x14ac:dyDescent="0.3">
      <c r="E1426" s="4"/>
      <c r="F1426" s="4"/>
    </row>
    <row r="1427" spans="5:6" x14ac:dyDescent="0.3">
      <c r="E1427" s="4"/>
      <c r="F1427" s="4"/>
    </row>
    <row r="1428" spans="5:6" x14ac:dyDescent="0.3">
      <c r="E1428" s="4"/>
      <c r="F1428" s="4"/>
    </row>
    <row r="1429" spans="5:6" x14ac:dyDescent="0.3">
      <c r="E1429" s="4"/>
      <c r="F1429" s="4"/>
    </row>
    <row r="1430" spans="5:6" x14ac:dyDescent="0.3">
      <c r="E1430" s="4"/>
      <c r="F1430" s="4"/>
    </row>
    <row r="1431" spans="5:6" x14ac:dyDescent="0.3">
      <c r="E1431" s="4"/>
      <c r="F1431" s="4"/>
    </row>
    <row r="1432" spans="5:6" x14ac:dyDescent="0.3">
      <c r="E1432" s="4"/>
      <c r="F1432" s="4"/>
    </row>
    <row r="1433" spans="5:6" x14ac:dyDescent="0.3">
      <c r="E1433" s="4"/>
      <c r="F1433" s="4"/>
    </row>
    <row r="1434" spans="5:6" x14ac:dyDescent="0.3">
      <c r="E1434" s="4"/>
      <c r="F1434" s="4"/>
    </row>
    <row r="1435" spans="5:6" x14ac:dyDescent="0.3">
      <c r="E1435" s="4"/>
      <c r="F1435" s="4"/>
    </row>
    <row r="1436" spans="5:6" x14ac:dyDescent="0.3">
      <c r="E1436" s="4"/>
      <c r="F1436" s="4"/>
    </row>
    <row r="1437" spans="5:6" x14ac:dyDescent="0.3">
      <c r="E1437" s="4"/>
      <c r="F1437" s="4"/>
    </row>
    <row r="1438" spans="5:6" x14ac:dyDescent="0.3">
      <c r="E1438" s="4"/>
      <c r="F1438" s="4"/>
    </row>
    <row r="1439" spans="5:6" x14ac:dyDescent="0.3">
      <c r="E1439" s="4"/>
      <c r="F1439" s="4"/>
    </row>
    <row r="1440" spans="5:6" x14ac:dyDescent="0.3">
      <c r="E1440" s="4"/>
      <c r="F1440" s="4"/>
    </row>
    <row r="1441" spans="5:6" x14ac:dyDescent="0.3">
      <c r="E1441" s="4"/>
      <c r="F1441" s="4"/>
    </row>
    <row r="1442" spans="5:6" x14ac:dyDescent="0.3">
      <c r="E1442" s="4"/>
      <c r="F1442" s="4"/>
    </row>
    <row r="1443" spans="5:6" x14ac:dyDescent="0.3">
      <c r="E1443" s="4"/>
      <c r="F1443" s="4"/>
    </row>
    <row r="1444" spans="5:6" x14ac:dyDescent="0.3">
      <c r="E1444" s="4"/>
      <c r="F1444" s="4"/>
    </row>
    <row r="1445" spans="5:6" x14ac:dyDescent="0.3">
      <c r="E1445" s="4"/>
      <c r="F1445" s="4"/>
    </row>
    <row r="1446" spans="5:6" x14ac:dyDescent="0.3">
      <c r="E1446" s="4"/>
      <c r="F1446" s="4"/>
    </row>
    <row r="1447" spans="5:6" x14ac:dyDescent="0.3">
      <c r="E1447" s="4"/>
      <c r="F1447" s="4"/>
    </row>
    <row r="1448" spans="5:6" x14ac:dyDescent="0.3">
      <c r="E1448" s="4"/>
      <c r="F1448" s="4"/>
    </row>
    <row r="1449" spans="5:6" x14ac:dyDescent="0.3">
      <c r="E1449" s="4"/>
      <c r="F1449" s="4"/>
    </row>
    <row r="1450" spans="5:6" x14ac:dyDescent="0.3">
      <c r="E1450" s="4"/>
      <c r="F1450" s="4"/>
    </row>
    <row r="1451" spans="5:6" x14ac:dyDescent="0.3">
      <c r="E1451" s="4"/>
      <c r="F1451" s="4"/>
    </row>
    <row r="1452" spans="5:6" x14ac:dyDescent="0.3">
      <c r="E1452" s="4"/>
      <c r="F1452" s="4"/>
    </row>
    <row r="1453" spans="5:6" x14ac:dyDescent="0.3">
      <c r="E1453" s="4"/>
      <c r="F1453" s="4"/>
    </row>
    <row r="1454" spans="5:6" x14ac:dyDescent="0.3">
      <c r="E1454" s="4"/>
      <c r="F1454" s="4"/>
    </row>
    <row r="1455" spans="5:6" x14ac:dyDescent="0.3">
      <c r="E1455" s="4"/>
      <c r="F1455" s="4"/>
    </row>
    <row r="1456" spans="5:6" x14ac:dyDescent="0.3">
      <c r="E1456" s="4"/>
      <c r="F1456" s="4"/>
    </row>
    <row r="1457" spans="5:6" x14ac:dyDescent="0.3">
      <c r="E1457" s="4"/>
      <c r="F1457" s="4"/>
    </row>
    <row r="1458" spans="5:6" x14ac:dyDescent="0.3">
      <c r="E1458" s="4"/>
      <c r="F1458" s="4"/>
    </row>
    <row r="1459" spans="5:6" x14ac:dyDescent="0.3">
      <c r="E1459" s="4"/>
      <c r="F1459" s="4"/>
    </row>
    <row r="1460" spans="5:6" x14ac:dyDescent="0.3">
      <c r="E1460" s="4"/>
      <c r="F1460" s="4"/>
    </row>
    <row r="1461" spans="5:6" x14ac:dyDescent="0.3">
      <c r="E1461" s="4"/>
      <c r="F1461" s="4"/>
    </row>
    <row r="1462" spans="5:6" x14ac:dyDescent="0.3">
      <c r="E1462" s="4"/>
      <c r="F1462" s="4"/>
    </row>
    <row r="1463" spans="5:6" x14ac:dyDescent="0.3">
      <c r="E1463" s="4"/>
      <c r="F1463" s="4"/>
    </row>
    <row r="1464" spans="5:6" x14ac:dyDescent="0.3">
      <c r="E1464" s="4"/>
      <c r="F1464" s="4"/>
    </row>
    <row r="1465" spans="5:6" x14ac:dyDescent="0.3">
      <c r="E1465" s="4"/>
      <c r="F1465" s="4"/>
    </row>
    <row r="1466" spans="5:6" x14ac:dyDescent="0.3">
      <c r="E1466" s="4"/>
      <c r="F1466" s="4"/>
    </row>
    <row r="1467" spans="5:6" x14ac:dyDescent="0.3">
      <c r="E1467" s="4"/>
      <c r="F1467" s="4"/>
    </row>
    <row r="1468" spans="5:6" x14ac:dyDescent="0.3">
      <c r="E1468" s="4"/>
      <c r="F1468" s="4"/>
    </row>
    <row r="1469" spans="5:6" x14ac:dyDescent="0.3">
      <c r="E1469" s="4"/>
      <c r="F1469" s="4"/>
    </row>
    <row r="1470" spans="5:6" x14ac:dyDescent="0.3">
      <c r="E1470" s="4"/>
      <c r="F1470" s="4"/>
    </row>
    <row r="1471" spans="5:6" x14ac:dyDescent="0.3">
      <c r="E1471" s="4"/>
      <c r="F1471" s="4"/>
    </row>
    <row r="1472" spans="5:6" x14ac:dyDescent="0.3">
      <c r="E1472" s="4"/>
      <c r="F1472" s="4"/>
    </row>
    <row r="1473" spans="5:6" x14ac:dyDescent="0.3">
      <c r="E1473" s="4"/>
      <c r="F1473" s="4"/>
    </row>
    <row r="1474" spans="5:6" x14ac:dyDescent="0.3">
      <c r="E1474" s="4"/>
      <c r="F1474" s="4"/>
    </row>
    <row r="1475" spans="5:6" x14ac:dyDescent="0.3">
      <c r="E1475" s="4"/>
      <c r="F1475" s="4"/>
    </row>
    <row r="1476" spans="5:6" x14ac:dyDescent="0.3">
      <c r="E1476" s="4"/>
      <c r="F1476" s="4"/>
    </row>
    <row r="1477" spans="5:6" x14ac:dyDescent="0.3">
      <c r="E1477" s="4"/>
      <c r="F1477" s="4"/>
    </row>
    <row r="1478" spans="5:6" x14ac:dyDescent="0.3">
      <c r="E1478" s="4"/>
      <c r="F1478" s="4"/>
    </row>
    <row r="1479" spans="5:6" x14ac:dyDescent="0.3">
      <c r="E1479" s="4"/>
      <c r="F1479" s="4"/>
    </row>
    <row r="1480" spans="5:6" x14ac:dyDescent="0.3">
      <c r="E1480" s="4"/>
      <c r="F1480" s="4"/>
    </row>
    <row r="1481" spans="5:6" x14ac:dyDescent="0.3">
      <c r="E1481" s="4"/>
      <c r="F1481" s="4"/>
    </row>
    <row r="1482" spans="5:6" x14ac:dyDescent="0.3">
      <c r="E1482" s="4"/>
      <c r="F1482" s="4"/>
    </row>
    <row r="1483" spans="5:6" x14ac:dyDescent="0.3">
      <c r="E1483" s="4"/>
      <c r="F1483" s="4"/>
    </row>
    <row r="1484" spans="5:6" x14ac:dyDescent="0.3">
      <c r="E1484" s="4"/>
      <c r="F1484" s="4"/>
    </row>
    <row r="1485" spans="5:6" x14ac:dyDescent="0.3">
      <c r="E1485" s="4"/>
      <c r="F1485" s="4"/>
    </row>
    <row r="1486" spans="5:6" x14ac:dyDescent="0.3">
      <c r="E1486" s="4"/>
      <c r="F1486" s="4"/>
    </row>
    <row r="1487" spans="5:6" x14ac:dyDescent="0.3">
      <c r="E1487" s="4"/>
      <c r="F1487" s="4"/>
    </row>
    <row r="1488" spans="5:6" x14ac:dyDescent="0.3">
      <c r="E1488" s="4"/>
      <c r="F1488" s="4"/>
    </row>
    <row r="1489" spans="5:6" x14ac:dyDescent="0.3">
      <c r="E1489" s="4"/>
      <c r="F1489" s="4"/>
    </row>
    <row r="1490" spans="5:6" x14ac:dyDescent="0.3">
      <c r="E1490" s="4"/>
      <c r="F1490" s="4"/>
    </row>
    <row r="1491" spans="5:6" x14ac:dyDescent="0.3">
      <c r="E1491" s="4"/>
      <c r="F1491" s="4"/>
    </row>
    <row r="1492" spans="5:6" x14ac:dyDescent="0.3">
      <c r="E1492" s="4"/>
      <c r="F1492" s="4"/>
    </row>
    <row r="1493" spans="5:6" x14ac:dyDescent="0.3">
      <c r="E1493" s="4"/>
      <c r="F1493" s="4"/>
    </row>
    <row r="1494" spans="5:6" x14ac:dyDescent="0.3">
      <c r="E1494" s="4"/>
      <c r="F1494" s="4"/>
    </row>
    <row r="1495" spans="5:6" x14ac:dyDescent="0.3">
      <c r="E1495" s="4"/>
      <c r="F1495" s="4"/>
    </row>
    <row r="1496" spans="5:6" x14ac:dyDescent="0.3">
      <c r="E1496" s="4"/>
      <c r="F1496" s="4"/>
    </row>
    <row r="1497" spans="5:6" x14ac:dyDescent="0.3">
      <c r="E1497" s="4"/>
      <c r="F1497" s="4"/>
    </row>
    <row r="1498" spans="5:6" x14ac:dyDescent="0.3">
      <c r="E1498" s="4"/>
      <c r="F1498" s="4"/>
    </row>
    <row r="1499" spans="5:6" x14ac:dyDescent="0.3">
      <c r="E1499" s="4"/>
      <c r="F1499" s="4"/>
    </row>
    <row r="1500" spans="5:6" x14ac:dyDescent="0.3">
      <c r="E1500" s="4"/>
      <c r="F1500" s="4"/>
    </row>
    <row r="1501" spans="5:6" x14ac:dyDescent="0.3">
      <c r="E1501" s="4"/>
      <c r="F1501" s="4"/>
    </row>
    <row r="1502" spans="5:6" x14ac:dyDescent="0.3">
      <c r="E1502" s="4"/>
      <c r="F1502" s="4"/>
    </row>
    <row r="1503" spans="5:6" x14ac:dyDescent="0.3">
      <c r="E1503" s="4"/>
      <c r="F1503" s="4"/>
    </row>
    <row r="1504" spans="5:6" x14ac:dyDescent="0.3">
      <c r="E1504" s="4"/>
      <c r="F1504" s="4"/>
    </row>
    <row r="1505" spans="5:6" x14ac:dyDescent="0.3">
      <c r="E1505" s="4"/>
      <c r="F1505" s="4"/>
    </row>
    <row r="1506" spans="5:6" x14ac:dyDescent="0.3">
      <c r="E1506" s="4"/>
      <c r="F1506" s="4"/>
    </row>
    <row r="1507" spans="5:6" x14ac:dyDescent="0.3">
      <c r="E1507" s="4"/>
      <c r="F1507" s="4"/>
    </row>
    <row r="1508" spans="5:6" x14ac:dyDescent="0.3">
      <c r="E1508" s="4"/>
      <c r="F1508" s="4"/>
    </row>
    <row r="1509" spans="5:6" x14ac:dyDescent="0.3">
      <c r="E1509" s="4"/>
      <c r="F1509" s="4"/>
    </row>
    <row r="1510" spans="5:6" x14ac:dyDescent="0.3">
      <c r="E1510" s="4"/>
      <c r="F1510" s="4"/>
    </row>
    <row r="1511" spans="5:6" x14ac:dyDescent="0.3">
      <c r="E1511" s="4"/>
      <c r="F1511" s="4"/>
    </row>
    <row r="1512" spans="5:6" x14ac:dyDescent="0.3">
      <c r="E1512" s="4"/>
      <c r="F1512" s="4"/>
    </row>
    <row r="1513" spans="5:6" x14ac:dyDescent="0.3">
      <c r="E1513" s="4"/>
      <c r="F1513" s="4"/>
    </row>
    <row r="1514" spans="5:6" x14ac:dyDescent="0.3">
      <c r="E1514" s="4"/>
      <c r="F1514" s="4"/>
    </row>
    <row r="1515" spans="5:6" x14ac:dyDescent="0.3">
      <c r="E1515" s="4"/>
      <c r="F1515" s="4"/>
    </row>
    <row r="1516" spans="5:6" x14ac:dyDescent="0.3">
      <c r="E1516" s="4"/>
      <c r="F1516" s="4"/>
    </row>
    <row r="1517" spans="5:6" x14ac:dyDescent="0.3">
      <c r="E1517" s="4"/>
      <c r="F1517" s="4"/>
    </row>
    <row r="1518" spans="5:6" x14ac:dyDescent="0.3">
      <c r="E1518" s="4"/>
      <c r="F1518" s="4"/>
    </row>
    <row r="1519" spans="5:6" x14ac:dyDescent="0.3">
      <c r="E1519" s="4"/>
      <c r="F1519" s="4"/>
    </row>
    <row r="1520" spans="5:6" x14ac:dyDescent="0.3">
      <c r="E1520" s="4"/>
      <c r="F1520" s="4"/>
    </row>
    <row r="1521" spans="5:6" x14ac:dyDescent="0.3">
      <c r="E1521" s="4"/>
      <c r="F1521" s="4"/>
    </row>
    <row r="1522" spans="5:6" x14ac:dyDescent="0.3">
      <c r="E1522" s="4"/>
      <c r="F1522" s="4"/>
    </row>
    <row r="1523" spans="5:6" x14ac:dyDescent="0.3">
      <c r="E1523" s="4"/>
      <c r="F1523" s="4"/>
    </row>
    <row r="1524" spans="5:6" x14ac:dyDescent="0.3">
      <c r="E1524" s="4"/>
      <c r="F1524" s="4"/>
    </row>
    <row r="1525" spans="5:6" x14ac:dyDescent="0.3">
      <c r="E1525" s="4"/>
      <c r="F1525" s="4"/>
    </row>
    <row r="1526" spans="5:6" x14ac:dyDescent="0.3">
      <c r="E1526" s="4"/>
      <c r="F1526" s="4"/>
    </row>
    <row r="1527" spans="5:6" x14ac:dyDescent="0.3">
      <c r="E1527" s="4"/>
      <c r="F1527" s="4"/>
    </row>
    <row r="1528" spans="5:6" x14ac:dyDescent="0.3">
      <c r="E1528" s="4"/>
      <c r="F1528" s="4"/>
    </row>
    <row r="1529" spans="5:6" x14ac:dyDescent="0.3">
      <c r="E1529" s="4"/>
      <c r="F1529" s="4"/>
    </row>
    <row r="1530" spans="5:6" x14ac:dyDescent="0.3">
      <c r="E1530" s="4"/>
      <c r="F1530" s="4"/>
    </row>
    <row r="1531" spans="5:6" x14ac:dyDescent="0.3">
      <c r="E1531" s="4"/>
      <c r="F1531" s="4"/>
    </row>
    <row r="1532" spans="5:6" x14ac:dyDescent="0.3">
      <c r="E1532" s="4"/>
      <c r="F1532" s="4"/>
    </row>
    <row r="1533" spans="5:6" x14ac:dyDescent="0.3">
      <c r="E1533" s="4"/>
      <c r="F1533" s="4"/>
    </row>
    <row r="1534" spans="5:6" x14ac:dyDescent="0.3">
      <c r="E1534" s="4"/>
      <c r="F1534" s="4"/>
    </row>
    <row r="1535" spans="5:6" x14ac:dyDescent="0.3">
      <c r="E1535" s="4"/>
      <c r="F1535" s="4"/>
    </row>
    <row r="1536" spans="5:6" x14ac:dyDescent="0.3">
      <c r="E1536" s="4"/>
      <c r="F1536" s="4"/>
    </row>
    <row r="1537" spans="5:6" x14ac:dyDescent="0.3">
      <c r="E1537" s="4"/>
      <c r="F1537" s="4"/>
    </row>
    <row r="1538" spans="5:6" x14ac:dyDescent="0.3">
      <c r="E1538" s="4"/>
      <c r="F1538" s="4"/>
    </row>
    <row r="1539" spans="5:6" x14ac:dyDescent="0.3">
      <c r="E1539" s="4"/>
      <c r="F1539" s="4"/>
    </row>
    <row r="1540" spans="5:6" x14ac:dyDescent="0.3">
      <c r="E1540" s="4"/>
      <c r="F1540" s="4"/>
    </row>
    <row r="1541" spans="5:6" x14ac:dyDescent="0.3">
      <c r="E1541" s="4"/>
      <c r="F1541" s="4"/>
    </row>
    <row r="1542" spans="5:6" x14ac:dyDescent="0.3">
      <c r="E1542" s="4"/>
      <c r="F1542" s="4"/>
    </row>
    <row r="1543" spans="5:6" x14ac:dyDescent="0.3">
      <c r="E1543" s="4"/>
      <c r="F1543" s="4"/>
    </row>
    <row r="1544" spans="5:6" x14ac:dyDescent="0.3">
      <c r="E1544" s="4"/>
      <c r="F1544" s="4"/>
    </row>
    <row r="1545" spans="5:6" x14ac:dyDescent="0.3">
      <c r="E1545" s="4"/>
      <c r="F1545" s="4"/>
    </row>
    <row r="1546" spans="5:6" x14ac:dyDescent="0.3">
      <c r="E1546" s="4"/>
      <c r="F1546" s="4"/>
    </row>
    <row r="1547" spans="5:6" x14ac:dyDescent="0.3">
      <c r="E1547" s="4"/>
      <c r="F1547" s="4"/>
    </row>
    <row r="1548" spans="5:6" x14ac:dyDescent="0.3">
      <c r="E1548" s="4"/>
      <c r="F1548" s="4"/>
    </row>
    <row r="1549" spans="5:6" x14ac:dyDescent="0.3">
      <c r="E1549" s="4"/>
      <c r="F1549" s="4"/>
    </row>
    <row r="1550" spans="5:6" x14ac:dyDescent="0.3">
      <c r="E1550" s="4"/>
      <c r="F1550" s="4"/>
    </row>
    <row r="1551" spans="5:6" x14ac:dyDescent="0.3">
      <c r="E1551" s="4"/>
      <c r="F1551" s="4"/>
    </row>
    <row r="1552" spans="5:6" x14ac:dyDescent="0.3">
      <c r="E1552" s="4"/>
      <c r="F1552" s="4"/>
    </row>
    <row r="1553" spans="5:6" x14ac:dyDescent="0.3">
      <c r="E1553" s="4"/>
      <c r="F1553" s="4"/>
    </row>
    <row r="1554" spans="5:6" x14ac:dyDescent="0.3">
      <c r="E1554" s="4"/>
      <c r="F1554" s="4"/>
    </row>
    <row r="1555" spans="5:6" x14ac:dyDescent="0.3">
      <c r="E1555" s="4"/>
      <c r="F1555" s="4"/>
    </row>
    <row r="1556" spans="5:6" x14ac:dyDescent="0.3">
      <c r="E1556" s="4"/>
      <c r="F1556" s="4"/>
    </row>
    <row r="1557" spans="5:6" x14ac:dyDescent="0.3">
      <c r="E1557" s="4"/>
      <c r="F1557" s="4"/>
    </row>
    <row r="1558" spans="5:6" x14ac:dyDescent="0.3">
      <c r="E1558" s="4"/>
      <c r="F1558" s="4"/>
    </row>
    <row r="1559" spans="5:6" x14ac:dyDescent="0.3">
      <c r="E1559" s="4"/>
      <c r="F1559" s="4"/>
    </row>
    <row r="1560" spans="5:6" x14ac:dyDescent="0.3">
      <c r="E1560" s="4"/>
      <c r="F1560" s="4"/>
    </row>
    <row r="1561" spans="5:6" x14ac:dyDescent="0.3">
      <c r="E1561" s="4"/>
      <c r="F1561" s="4"/>
    </row>
    <row r="1562" spans="5:6" x14ac:dyDescent="0.3">
      <c r="E1562" s="4"/>
      <c r="F1562" s="4"/>
    </row>
    <row r="1563" spans="5:6" x14ac:dyDescent="0.3">
      <c r="E1563" s="4"/>
      <c r="F1563" s="4"/>
    </row>
    <row r="1564" spans="5:6" x14ac:dyDescent="0.3">
      <c r="E1564" s="4"/>
      <c r="F1564" s="4"/>
    </row>
    <row r="1565" spans="5:6" x14ac:dyDescent="0.3">
      <c r="E1565" s="4"/>
      <c r="F1565" s="4"/>
    </row>
    <row r="1566" spans="5:6" x14ac:dyDescent="0.3">
      <c r="E1566" s="4"/>
      <c r="F1566" s="4"/>
    </row>
    <row r="1567" spans="5:6" x14ac:dyDescent="0.3">
      <c r="E1567" s="4"/>
      <c r="F1567" s="4"/>
    </row>
    <row r="1568" spans="5:6" x14ac:dyDescent="0.3">
      <c r="E1568" s="4"/>
      <c r="F1568" s="4"/>
    </row>
    <row r="1569" spans="5:6" x14ac:dyDescent="0.3">
      <c r="E1569" s="4"/>
      <c r="F1569" s="4"/>
    </row>
    <row r="1570" spans="5:6" x14ac:dyDescent="0.3">
      <c r="E1570" s="4"/>
      <c r="F1570" s="4"/>
    </row>
    <row r="1571" spans="5:6" x14ac:dyDescent="0.3">
      <c r="E1571" s="4"/>
      <c r="F1571" s="4"/>
    </row>
    <row r="1572" spans="5:6" x14ac:dyDescent="0.3">
      <c r="E1572" s="4"/>
      <c r="F1572" s="4"/>
    </row>
    <row r="1573" spans="5:6" x14ac:dyDescent="0.3">
      <c r="E1573" s="4"/>
      <c r="F1573" s="4"/>
    </row>
    <row r="1574" spans="5:6" x14ac:dyDescent="0.3">
      <c r="E1574" s="4"/>
      <c r="F1574" s="4"/>
    </row>
    <row r="1575" spans="5:6" x14ac:dyDescent="0.3">
      <c r="E1575" s="4"/>
      <c r="F1575" s="4"/>
    </row>
    <row r="1576" spans="5:6" x14ac:dyDescent="0.3">
      <c r="E1576" s="4"/>
      <c r="F1576" s="4"/>
    </row>
    <row r="1577" spans="5:6" x14ac:dyDescent="0.3">
      <c r="E1577" s="4"/>
      <c r="F1577" s="4"/>
    </row>
    <row r="1578" spans="5:6" x14ac:dyDescent="0.3">
      <c r="E1578" s="4"/>
      <c r="F1578" s="4"/>
    </row>
    <row r="1579" spans="5:6" x14ac:dyDescent="0.3">
      <c r="E1579" s="4"/>
      <c r="F1579" s="4"/>
    </row>
    <row r="1580" spans="5:6" x14ac:dyDescent="0.3">
      <c r="E1580" s="4"/>
      <c r="F1580" s="4"/>
    </row>
    <row r="1581" spans="5:6" x14ac:dyDescent="0.3">
      <c r="E1581" s="4"/>
      <c r="F1581" s="4"/>
    </row>
    <row r="1582" spans="5:6" x14ac:dyDescent="0.3">
      <c r="E1582" s="4"/>
      <c r="F1582" s="4"/>
    </row>
    <row r="1583" spans="5:6" x14ac:dyDescent="0.3">
      <c r="E1583" s="4"/>
      <c r="F1583" s="4"/>
    </row>
    <row r="1584" spans="5:6" x14ac:dyDescent="0.3">
      <c r="E1584" s="4"/>
      <c r="F1584" s="4"/>
    </row>
    <row r="1585" spans="5:6" x14ac:dyDescent="0.3">
      <c r="E1585" s="4"/>
      <c r="F1585" s="4"/>
    </row>
    <row r="1586" spans="5:6" x14ac:dyDescent="0.3">
      <c r="E1586" s="4"/>
      <c r="F1586" s="4"/>
    </row>
    <row r="1587" spans="5:6" x14ac:dyDescent="0.3">
      <c r="E1587" s="4"/>
      <c r="F1587" s="4"/>
    </row>
    <row r="1588" spans="5:6" x14ac:dyDescent="0.3">
      <c r="E1588" s="4"/>
      <c r="F1588" s="4"/>
    </row>
    <row r="1589" spans="5:6" x14ac:dyDescent="0.3">
      <c r="E1589" s="4"/>
      <c r="F1589" s="4"/>
    </row>
    <row r="1590" spans="5:6" x14ac:dyDescent="0.3">
      <c r="E1590" s="4"/>
      <c r="F1590" s="4"/>
    </row>
    <row r="1591" spans="5:6" x14ac:dyDescent="0.3">
      <c r="E1591" s="4"/>
      <c r="F1591" s="4"/>
    </row>
    <row r="1592" spans="5:6" x14ac:dyDescent="0.3">
      <c r="E1592" s="4"/>
      <c r="F1592" s="4"/>
    </row>
    <row r="1593" spans="5:6" x14ac:dyDescent="0.3">
      <c r="E1593" s="4"/>
      <c r="F1593" s="4"/>
    </row>
    <row r="1594" spans="5:6" x14ac:dyDescent="0.3">
      <c r="E1594" s="4"/>
      <c r="F1594" s="4"/>
    </row>
    <row r="1595" spans="5:6" x14ac:dyDescent="0.3">
      <c r="E1595" s="4"/>
      <c r="F1595" s="4"/>
    </row>
    <row r="1596" spans="5:6" x14ac:dyDescent="0.3">
      <c r="E1596" s="4"/>
      <c r="F1596" s="4"/>
    </row>
    <row r="1597" spans="5:6" x14ac:dyDescent="0.3">
      <c r="E1597" s="4"/>
      <c r="F1597" s="4"/>
    </row>
    <row r="1598" spans="5:6" x14ac:dyDescent="0.3">
      <c r="E1598" s="4"/>
      <c r="F1598" s="4"/>
    </row>
    <row r="1599" spans="5:6" x14ac:dyDescent="0.3">
      <c r="E1599" s="4"/>
      <c r="F1599" s="4"/>
    </row>
    <row r="1600" spans="5:6" x14ac:dyDescent="0.3">
      <c r="E1600" s="4"/>
      <c r="F1600" s="4"/>
    </row>
    <row r="1601" spans="5:6" x14ac:dyDescent="0.3">
      <c r="E1601" s="4"/>
      <c r="F1601" s="4"/>
    </row>
    <row r="1602" spans="5:6" x14ac:dyDescent="0.3">
      <c r="E1602" s="4"/>
      <c r="F1602" s="4"/>
    </row>
    <row r="1603" spans="5:6" x14ac:dyDescent="0.3">
      <c r="E1603" s="4"/>
      <c r="F1603" s="4"/>
    </row>
    <row r="1604" spans="5:6" x14ac:dyDescent="0.3">
      <c r="E1604" s="4"/>
      <c r="F1604" s="4"/>
    </row>
    <row r="1605" spans="5:6" x14ac:dyDescent="0.3">
      <c r="E1605" s="4"/>
      <c r="F1605" s="4"/>
    </row>
    <row r="1606" spans="5:6" x14ac:dyDescent="0.3">
      <c r="E1606" s="4"/>
      <c r="F1606" s="4"/>
    </row>
    <row r="1607" spans="5:6" x14ac:dyDescent="0.3">
      <c r="E1607" s="4"/>
      <c r="F1607" s="4"/>
    </row>
    <row r="1608" spans="5:6" x14ac:dyDescent="0.3">
      <c r="E1608" s="4"/>
      <c r="F1608" s="4"/>
    </row>
    <row r="1609" spans="5:6" x14ac:dyDescent="0.3">
      <c r="E1609" s="4"/>
      <c r="F1609" s="4"/>
    </row>
    <row r="1610" spans="5:6" x14ac:dyDescent="0.3">
      <c r="E1610" s="4"/>
      <c r="F1610" s="4"/>
    </row>
    <row r="1611" spans="5:6" x14ac:dyDescent="0.3">
      <c r="E1611" s="4"/>
      <c r="F1611" s="4"/>
    </row>
    <row r="1612" spans="5:6" x14ac:dyDescent="0.3">
      <c r="E1612" s="4"/>
      <c r="F1612" s="4"/>
    </row>
    <row r="1613" spans="5:6" x14ac:dyDescent="0.3">
      <c r="E1613" s="4"/>
      <c r="F1613" s="4"/>
    </row>
    <row r="1614" spans="5:6" x14ac:dyDescent="0.3">
      <c r="E1614" s="4"/>
      <c r="F1614" s="4"/>
    </row>
    <row r="1615" spans="5:6" x14ac:dyDescent="0.3">
      <c r="E1615" s="4"/>
      <c r="F1615" s="4"/>
    </row>
    <row r="1616" spans="5:6" x14ac:dyDescent="0.3">
      <c r="E1616" s="4"/>
      <c r="F1616" s="4"/>
    </row>
    <row r="1617" spans="5:6" x14ac:dyDescent="0.3">
      <c r="E1617" s="4"/>
      <c r="F1617" s="4"/>
    </row>
    <row r="1618" spans="5:6" x14ac:dyDescent="0.3">
      <c r="E1618" s="4"/>
      <c r="F1618" s="4"/>
    </row>
    <row r="1619" spans="5:6" x14ac:dyDescent="0.3">
      <c r="E1619" s="4"/>
      <c r="F1619" s="4"/>
    </row>
    <row r="1620" spans="5:6" x14ac:dyDescent="0.3">
      <c r="E1620" s="4"/>
      <c r="F1620" s="4"/>
    </row>
    <row r="1621" spans="5:6" x14ac:dyDescent="0.3">
      <c r="E1621" s="4"/>
      <c r="F1621" s="4"/>
    </row>
    <row r="1622" spans="5:6" x14ac:dyDescent="0.3">
      <c r="E1622" s="4"/>
      <c r="F1622" s="4"/>
    </row>
    <row r="1623" spans="5:6" x14ac:dyDescent="0.3">
      <c r="E1623" s="4"/>
      <c r="F1623" s="4"/>
    </row>
    <row r="1624" spans="5:6" x14ac:dyDescent="0.3">
      <c r="E1624" s="4"/>
      <c r="F1624" s="4"/>
    </row>
    <row r="1625" spans="5:6" x14ac:dyDescent="0.3">
      <c r="E1625" s="4"/>
      <c r="F1625" s="4"/>
    </row>
    <row r="1626" spans="5:6" x14ac:dyDescent="0.3">
      <c r="E1626" s="4"/>
      <c r="F1626" s="4"/>
    </row>
    <row r="1627" spans="5:6" x14ac:dyDescent="0.3">
      <c r="E1627" s="4"/>
      <c r="F1627" s="4"/>
    </row>
    <row r="1628" spans="5:6" x14ac:dyDescent="0.3">
      <c r="E1628" s="4"/>
      <c r="F1628" s="4"/>
    </row>
    <row r="1629" spans="5:6" x14ac:dyDescent="0.3">
      <c r="E1629" s="4"/>
      <c r="F1629" s="4"/>
    </row>
    <row r="1630" spans="5:6" x14ac:dyDescent="0.3">
      <c r="E1630" s="4"/>
      <c r="F1630" s="4"/>
    </row>
    <row r="1631" spans="5:6" x14ac:dyDescent="0.3">
      <c r="E1631" s="4"/>
      <c r="F1631" s="4"/>
    </row>
    <row r="1632" spans="5:6" x14ac:dyDescent="0.3">
      <c r="E1632" s="4"/>
      <c r="F1632" s="4"/>
    </row>
    <row r="1633" spans="5:6" x14ac:dyDescent="0.3">
      <c r="E1633" s="4"/>
      <c r="F1633" s="4"/>
    </row>
    <row r="1634" spans="5:6" x14ac:dyDescent="0.3">
      <c r="E1634" s="4"/>
      <c r="F1634" s="4"/>
    </row>
    <row r="1635" spans="5:6" x14ac:dyDescent="0.3">
      <c r="E1635" s="4"/>
      <c r="F1635" s="4"/>
    </row>
    <row r="1636" spans="5:6" x14ac:dyDescent="0.3">
      <c r="E1636" s="4"/>
      <c r="F1636" s="4"/>
    </row>
    <row r="1637" spans="5:6" x14ac:dyDescent="0.3">
      <c r="E1637" s="4"/>
      <c r="F1637" s="4"/>
    </row>
    <row r="1638" spans="5:6" x14ac:dyDescent="0.3">
      <c r="E1638" s="4"/>
      <c r="F1638" s="4"/>
    </row>
    <row r="1639" spans="5:6" x14ac:dyDescent="0.3">
      <c r="E1639" s="4"/>
      <c r="F1639" s="4"/>
    </row>
    <row r="1640" spans="5:6" x14ac:dyDescent="0.3">
      <c r="E1640" s="4"/>
      <c r="F1640" s="4"/>
    </row>
    <row r="1641" spans="5:6" x14ac:dyDescent="0.3">
      <c r="E1641" s="4"/>
      <c r="F1641" s="4"/>
    </row>
    <row r="1642" spans="5:6" x14ac:dyDescent="0.3">
      <c r="E1642" s="4"/>
      <c r="F1642" s="4"/>
    </row>
    <row r="1643" spans="5:6" x14ac:dyDescent="0.3">
      <c r="E1643" s="4"/>
      <c r="F1643" s="4"/>
    </row>
    <row r="1644" spans="5:6" x14ac:dyDescent="0.3">
      <c r="E1644" s="4"/>
      <c r="F1644" s="4"/>
    </row>
    <row r="1645" spans="5:6" x14ac:dyDescent="0.3">
      <c r="E1645" s="4"/>
      <c r="F1645" s="4"/>
    </row>
    <row r="1646" spans="5:6" x14ac:dyDescent="0.3">
      <c r="E1646" s="4"/>
      <c r="F1646" s="4"/>
    </row>
    <row r="1647" spans="5:6" x14ac:dyDescent="0.3">
      <c r="E1647" s="4"/>
      <c r="F1647" s="4"/>
    </row>
    <row r="1648" spans="5:6" x14ac:dyDescent="0.3">
      <c r="E1648" s="4"/>
      <c r="F1648" s="4"/>
    </row>
    <row r="1649" spans="5:6" x14ac:dyDescent="0.3">
      <c r="E1649" s="4"/>
      <c r="F1649" s="4"/>
    </row>
    <row r="1650" spans="5:6" x14ac:dyDescent="0.3">
      <c r="E1650" s="4"/>
      <c r="F1650" s="4"/>
    </row>
    <row r="1651" spans="5:6" x14ac:dyDescent="0.3">
      <c r="E1651" s="4"/>
      <c r="F1651" s="4"/>
    </row>
    <row r="1652" spans="5:6" x14ac:dyDescent="0.3">
      <c r="E1652" s="4"/>
      <c r="F1652" s="4"/>
    </row>
    <row r="1653" spans="5:6" x14ac:dyDescent="0.3">
      <c r="E1653" s="4"/>
      <c r="F1653" s="4"/>
    </row>
    <row r="1654" spans="5:6" x14ac:dyDescent="0.3">
      <c r="E1654" s="4"/>
      <c r="F1654" s="4"/>
    </row>
    <row r="1655" spans="5:6" x14ac:dyDescent="0.3">
      <c r="E1655" s="4"/>
      <c r="F1655" s="4"/>
    </row>
    <row r="1656" spans="5:6" x14ac:dyDescent="0.3">
      <c r="E1656" s="4"/>
      <c r="F1656" s="4"/>
    </row>
    <row r="1657" spans="5:6" x14ac:dyDescent="0.3">
      <c r="E1657" s="4"/>
      <c r="F1657" s="4"/>
    </row>
    <row r="1658" spans="5:6" x14ac:dyDescent="0.3">
      <c r="E1658" s="4"/>
      <c r="F1658" s="4"/>
    </row>
    <row r="1659" spans="5:6" x14ac:dyDescent="0.3">
      <c r="E1659" s="4"/>
      <c r="F1659" s="4"/>
    </row>
    <row r="1660" spans="5:6" x14ac:dyDescent="0.3">
      <c r="E1660" s="4"/>
      <c r="F1660" s="4"/>
    </row>
    <row r="1661" spans="5:6" x14ac:dyDescent="0.3">
      <c r="E1661" s="4"/>
      <c r="F1661" s="4"/>
    </row>
    <row r="1662" spans="5:6" x14ac:dyDescent="0.3">
      <c r="E1662" s="4"/>
      <c r="F1662" s="4"/>
    </row>
    <row r="1663" spans="5:6" x14ac:dyDescent="0.3">
      <c r="E1663" s="4"/>
      <c r="F1663" s="4"/>
    </row>
    <row r="1664" spans="5:6" x14ac:dyDescent="0.3">
      <c r="E1664" s="4"/>
      <c r="F1664" s="4"/>
    </row>
    <row r="1665" spans="5:6" x14ac:dyDescent="0.3">
      <c r="E1665" s="4"/>
      <c r="F1665" s="4"/>
    </row>
    <row r="1666" spans="5:6" x14ac:dyDescent="0.3">
      <c r="E1666" s="4"/>
      <c r="F1666" s="4"/>
    </row>
    <row r="1667" spans="5:6" x14ac:dyDescent="0.3">
      <c r="E1667" s="4"/>
      <c r="F1667" s="4"/>
    </row>
    <row r="1668" spans="5:6" x14ac:dyDescent="0.3">
      <c r="E1668" s="4"/>
      <c r="F1668" s="4"/>
    </row>
    <row r="1669" spans="5:6" x14ac:dyDescent="0.3">
      <c r="E1669" s="4"/>
      <c r="F1669" s="4"/>
    </row>
    <row r="1670" spans="5:6" x14ac:dyDescent="0.3">
      <c r="E1670" s="4"/>
      <c r="F1670" s="4"/>
    </row>
    <row r="1671" spans="5:6" x14ac:dyDescent="0.3">
      <c r="E1671" s="4"/>
      <c r="F1671" s="4"/>
    </row>
    <row r="1672" spans="5:6" x14ac:dyDescent="0.3">
      <c r="E1672" s="4"/>
      <c r="F1672" s="4"/>
    </row>
    <row r="1673" spans="5:6" x14ac:dyDescent="0.3">
      <c r="E1673" s="4"/>
      <c r="F1673" s="4"/>
    </row>
    <row r="1674" spans="5:6" x14ac:dyDescent="0.3">
      <c r="E1674" s="4"/>
      <c r="F1674" s="4"/>
    </row>
    <row r="1675" spans="5:6" x14ac:dyDescent="0.3">
      <c r="E1675" s="4"/>
      <c r="F1675" s="4"/>
    </row>
    <row r="1676" spans="5:6" x14ac:dyDescent="0.3">
      <c r="E1676" s="4"/>
      <c r="F1676" s="4"/>
    </row>
    <row r="1677" spans="5:6" x14ac:dyDescent="0.3">
      <c r="E1677" s="4"/>
      <c r="F1677" s="4"/>
    </row>
    <row r="1678" spans="5:6" x14ac:dyDescent="0.3">
      <c r="E1678" s="4"/>
      <c r="F1678" s="4"/>
    </row>
    <row r="1679" spans="5:6" x14ac:dyDescent="0.3">
      <c r="E1679" s="4"/>
      <c r="F1679" s="4"/>
    </row>
    <row r="1680" spans="5:6" x14ac:dyDescent="0.3">
      <c r="E1680" s="4"/>
      <c r="F1680" s="4"/>
    </row>
    <row r="1681" spans="5:6" x14ac:dyDescent="0.3">
      <c r="E1681" s="4"/>
      <c r="F1681" s="4"/>
    </row>
    <row r="1682" spans="5:6" x14ac:dyDescent="0.3">
      <c r="E1682" s="4"/>
      <c r="F1682" s="4"/>
    </row>
    <row r="1683" spans="5:6" x14ac:dyDescent="0.3">
      <c r="E1683" s="4"/>
      <c r="F1683" s="4"/>
    </row>
    <row r="1684" spans="5:6" x14ac:dyDescent="0.3">
      <c r="E1684" s="4"/>
      <c r="F1684" s="4"/>
    </row>
    <row r="1685" spans="5:6" x14ac:dyDescent="0.3">
      <c r="E1685" s="4"/>
      <c r="F1685" s="4"/>
    </row>
    <row r="1686" spans="5:6" x14ac:dyDescent="0.3">
      <c r="E1686" s="4"/>
      <c r="F1686" s="4"/>
    </row>
    <row r="1687" spans="5:6" x14ac:dyDescent="0.3">
      <c r="E1687" s="4"/>
      <c r="F1687" s="4"/>
    </row>
    <row r="1688" spans="5:6" x14ac:dyDescent="0.3">
      <c r="E1688" s="4"/>
      <c r="F1688" s="4"/>
    </row>
    <row r="1689" spans="5:6" x14ac:dyDescent="0.3">
      <c r="E1689" s="4"/>
      <c r="F1689" s="4"/>
    </row>
    <row r="1690" spans="5:6" x14ac:dyDescent="0.3">
      <c r="E1690" s="4"/>
      <c r="F1690" s="4"/>
    </row>
    <row r="1691" spans="5:6" x14ac:dyDescent="0.3">
      <c r="E1691" s="4"/>
      <c r="F1691" s="4"/>
    </row>
    <row r="1692" spans="5:6" x14ac:dyDescent="0.3">
      <c r="E1692" s="4"/>
      <c r="F1692" s="4"/>
    </row>
    <row r="1693" spans="5:6" x14ac:dyDescent="0.3">
      <c r="E1693" s="4"/>
      <c r="F1693" s="4"/>
    </row>
    <row r="1694" spans="5:6" x14ac:dyDescent="0.3">
      <c r="E1694" s="4"/>
      <c r="F1694" s="4"/>
    </row>
    <row r="1695" spans="5:6" x14ac:dyDescent="0.3">
      <c r="E1695" s="4"/>
      <c r="F1695" s="4"/>
    </row>
    <row r="1696" spans="5:6" x14ac:dyDescent="0.3">
      <c r="E1696" s="4"/>
      <c r="F1696" s="4"/>
    </row>
    <row r="1697" spans="5:6" x14ac:dyDescent="0.3">
      <c r="E1697" s="4"/>
      <c r="F1697" s="4"/>
    </row>
    <row r="1698" spans="5:6" x14ac:dyDescent="0.3">
      <c r="E1698" s="4"/>
      <c r="F1698" s="4"/>
    </row>
    <row r="1699" spans="5:6" x14ac:dyDescent="0.3">
      <c r="E1699" s="4"/>
      <c r="F1699" s="4"/>
    </row>
    <row r="1700" spans="5:6" x14ac:dyDescent="0.3">
      <c r="E1700" s="4"/>
      <c r="F1700" s="4"/>
    </row>
    <row r="1701" spans="5:6" x14ac:dyDescent="0.3">
      <c r="E1701" s="4"/>
      <c r="F1701" s="4"/>
    </row>
    <row r="1702" spans="5:6" x14ac:dyDescent="0.3">
      <c r="E1702" s="4"/>
      <c r="F1702" s="4"/>
    </row>
    <row r="1703" spans="5:6" x14ac:dyDescent="0.3">
      <c r="E1703" s="4"/>
      <c r="F1703" s="4"/>
    </row>
    <row r="1704" spans="5:6" x14ac:dyDescent="0.3">
      <c r="E1704" s="4"/>
      <c r="F1704" s="4"/>
    </row>
    <row r="1705" spans="5:6" x14ac:dyDescent="0.3">
      <c r="E1705" s="4"/>
      <c r="F1705" s="4"/>
    </row>
    <row r="1706" spans="5:6" x14ac:dyDescent="0.3">
      <c r="E1706" s="4"/>
      <c r="F1706" s="4"/>
    </row>
    <row r="1707" spans="5:6" x14ac:dyDescent="0.3">
      <c r="E1707" s="4"/>
      <c r="F1707" s="4"/>
    </row>
    <row r="1708" spans="5:6" x14ac:dyDescent="0.3">
      <c r="E1708" s="4"/>
      <c r="F1708" s="4"/>
    </row>
    <row r="1709" spans="5:6" x14ac:dyDescent="0.3">
      <c r="E1709" s="4"/>
      <c r="F1709" s="4"/>
    </row>
    <row r="1710" spans="5:6" x14ac:dyDescent="0.3">
      <c r="E1710" s="4"/>
      <c r="F1710" s="4"/>
    </row>
    <row r="1711" spans="5:6" x14ac:dyDescent="0.3">
      <c r="E1711" s="4"/>
      <c r="F1711" s="4"/>
    </row>
    <row r="1712" spans="5:6" x14ac:dyDescent="0.3">
      <c r="E1712" s="4"/>
      <c r="F1712" s="4"/>
    </row>
    <row r="1713" spans="5:6" x14ac:dyDescent="0.3">
      <c r="E1713" s="4"/>
      <c r="F1713" s="4"/>
    </row>
    <row r="1714" spans="5:6" x14ac:dyDescent="0.3">
      <c r="E1714" s="4"/>
      <c r="F1714" s="4"/>
    </row>
    <row r="1715" spans="5:6" x14ac:dyDescent="0.3">
      <c r="E1715" s="4"/>
      <c r="F1715" s="4"/>
    </row>
    <row r="1716" spans="5:6" x14ac:dyDescent="0.3">
      <c r="E1716" s="4"/>
      <c r="F1716" s="4"/>
    </row>
    <row r="1717" spans="5:6" x14ac:dyDescent="0.3">
      <c r="E1717" s="4"/>
      <c r="F1717" s="4"/>
    </row>
    <row r="1718" spans="5:6" x14ac:dyDescent="0.3">
      <c r="E1718" s="4"/>
      <c r="F1718" s="4"/>
    </row>
    <row r="1719" spans="5:6" x14ac:dyDescent="0.3">
      <c r="E1719" s="4"/>
      <c r="F1719" s="4"/>
    </row>
    <row r="1720" spans="5:6" x14ac:dyDescent="0.3">
      <c r="E1720" s="4"/>
      <c r="F1720" s="4"/>
    </row>
    <row r="1721" spans="5:6" x14ac:dyDescent="0.3">
      <c r="E1721" s="4"/>
      <c r="F1721" s="4"/>
    </row>
    <row r="1722" spans="5:6" x14ac:dyDescent="0.3">
      <c r="E1722" s="4"/>
      <c r="F1722" s="4"/>
    </row>
    <row r="1723" spans="5:6" x14ac:dyDescent="0.3">
      <c r="E1723" s="4"/>
      <c r="F1723" s="4"/>
    </row>
    <row r="1724" spans="5:6" x14ac:dyDescent="0.3">
      <c r="E1724" s="4"/>
      <c r="F1724" s="4"/>
    </row>
    <row r="1725" spans="5:6" x14ac:dyDescent="0.3">
      <c r="E1725" s="4"/>
      <c r="F1725" s="4"/>
    </row>
    <row r="1726" spans="5:6" x14ac:dyDescent="0.3">
      <c r="E1726" s="4"/>
      <c r="F1726" s="4"/>
    </row>
    <row r="1727" spans="5:6" x14ac:dyDescent="0.3">
      <c r="E1727" s="4"/>
      <c r="F1727" s="4"/>
    </row>
    <row r="1728" spans="5:6" x14ac:dyDescent="0.3">
      <c r="E1728" s="4"/>
      <c r="F1728" s="4"/>
    </row>
    <row r="1729" spans="5:6" x14ac:dyDescent="0.3">
      <c r="E1729" s="4"/>
      <c r="F1729" s="4"/>
    </row>
    <row r="1730" spans="5:6" x14ac:dyDescent="0.3">
      <c r="E1730" s="4"/>
      <c r="F1730" s="4"/>
    </row>
    <row r="1731" spans="5:6" x14ac:dyDescent="0.3">
      <c r="E1731" s="4"/>
      <c r="F1731" s="4"/>
    </row>
    <row r="1732" spans="5:6" x14ac:dyDescent="0.3">
      <c r="E1732" s="4"/>
      <c r="F1732" s="4"/>
    </row>
    <row r="1733" spans="5:6" x14ac:dyDescent="0.3">
      <c r="E1733" s="4"/>
      <c r="F1733" s="4"/>
    </row>
    <row r="1734" spans="5:6" x14ac:dyDescent="0.3">
      <c r="E1734" s="4"/>
      <c r="F1734" s="4"/>
    </row>
    <row r="1735" spans="5:6" x14ac:dyDescent="0.3">
      <c r="E1735" s="4"/>
      <c r="F1735" s="4"/>
    </row>
    <row r="1736" spans="5:6" x14ac:dyDescent="0.3">
      <c r="E1736" s="4"/>
      <c r="F1736" s="4"/>
    </row>
    <row r="1737" spans="5:6" x14ac:dyDescent="0.3">
      <c r="E1737" s="4"/>
      <c r="F1737" s="4"/>
    </row>
    <row r="1738" spans="5:6" x14ac:dyDescent="0.3">
      <c r="E1738" s="4"/>
      <c r="F1738" s="4"/>
    </row>
    <row r="1739" spans="5:6" x14ac:dyDescent="0.3">
      <c r="E1739" s="4"/>
      <c r="F1739" s="4"/>
    </row>
    <row r="1740" spans="5:6" x14ac:dyDescent="0.3">
      <c r="E1740" s="4"/>
      <c r="F1740" s="4"/>
    </row>
    <row r="1741" spans="5:6" x14ac:dyDescent="0.3">
      <c r="E1741" s="4"/>
      <c r="F1741" s="4"/>
    </row>
    <row r="1742" spans="5:6" x14ac:dyDescent="0.3">
      <c r="E1742" s="4"/>
      <c r="F1742" s="4"/>
    </row>
    <row r="1743" spans="5:6" x14ac:dyDescent="0.3">
      <c r="E1743" s="4"/>
      <c r="F1743" s="4"/>
    </row>
    <row r="1744" spans="5:6" x14ac:dyDescent="0.3">
      <c r="E1744" s="4"/>
      <c r="F1744" s="4"/>
    </row>
    <row r="1745" spans="5:6" x14ac:dyDescent="0.3">
      <c r="E1745" s="4"/>
      <c r="F1745" s="4"/>
    </row>
    <row r="1746" spans="5:6" x14ac:dyDescent="0.3">
      <c r="E1746" s="4"/>
      <c r="F1746" s="4"/>
    </row>
    <row r="1747" spans="5:6" x14ac:dyDescent="0.3">
      <c r="E1747" s="4"/>
      <c r="F1747" s="4"/>
    </row>
    <row r="1748" spans="5:6" x14ac:dyDescent="0.3">
      <c r="E1748" s="4"/>
      <c r="F1748" s="4"/>
    </row>
    <row r="1749" spans="5:6" x14ac:dyDescent="0.3">
      <c r="E1749" s="4"/>
      <c r="F1749" s="4"/>
    </row>
    <row r="1750" spans="5:6" x14ac:dyDescent="0.3">
      <c r="E1750" s="4"/>
      <c r="F1750" s="4"/>
    </row>
    <row r="1751" spans="5:6" x14ac:dyDescent="0.3">
      <c r="E1751" s="4"/>
      <c r="F1751" s="4"/>
    </row>
    <row r="1752" spans="5:6" x14ac:dyDescent="0.3">
      <c r="E1752" s="4"/>
      <c r="F1752" s="4"/>
    </row>
    <row r="1753" spans="5:6" x14ac:dyDescent="0.3">
      <c r="E1753" s="4"/>
      <c r="F1753" s="4"/>
    </row>
    <row r="1754" spans="5:6" x14ac:dyDescent="0.3">
      <c r="E1754" s="4"/>
      <c r="F1754" s="4"/>
    </row>
    <row r="1755" spans="5:6" x14ac:dyDescent="0.3">
      <c r="E1755" s="4"/>
      <c r="F1755" s="4"/>
    </row>
    <row r="1756" spans="5:6" x14ac:dyDescent="0.3">
      <c r="E1756" s="4"/>
      <c r="F1756" s="4"/>
    </row>
    <row r="1757" spans="5:6" x14ac:dyDescent="0.3">
      <c r="E1757" s="4"/>
      <c r="F1757" s="4"/>
    </row>
    <row r="1758" spans="5:6" x14ac:dyDescent="0.3">
      <c r="E1758" s="4"/>
      <c r="F1758" s="4"/>
    </row>
    <row r="1759" spans="5:6" x14ac:dyDescent="0.3">
      <c r="E1759" s="4"/>
      <c r="F1759" s="4"/>
    </row>
    <row r="1760" spans="5:6" x14ac:dyDescent="0.3">
      <c r="E1760" s="4"/>
      <c r="F1760" s="4"/>
    </row>
    <row r="1761" spans="5:6" x14ac:dyDescent="0.3">
      <c r="E1761" s="4"/>
      <c r="F1761" s="4"/>
    </row>
    <row r="1762" spans="5:6" x14ac:dyDescent="0.3">
      <c r="E1762" s="4"/>
      <c r="F1762" s="4"/>
    </row>
    <row r="1763" spans="5:6" x14ac:dyDescent="0.3">
      <c r="E1763" s="4"/>
      <c r="F1763" s="4"/>
    </row>
    <row r="1764" spans="5:6" x14ac:dyDescent="0.3">
      <c r="E1764" s="4"/>
      <c r="F1764" s="4"/>
    </row>
    <row r="1765" spans="5:6" x14ac:dyDescent="0.3">
      <c r="E1765" s="4"/>
      <c r="F1765" s="4"/>
    </row>
    <row r="1766" spans="5:6" x14ac:dyDescent="0.3">
      <c r="E1766" s="4"/>
      <c r="F1766" s="4"/>
    </row>
    <row r="1767" spans="5:6" x14ac:dyDescent="0.3">
      <c r="E1767" s="4"/>
      <c r="F1767" s="4"/>
    </row>
    <row r="1768" spans="5:6" x14ac:dyDescent="0.3">
      <c r="E1768" s="4"/>
      <c r="F1768" s="4"/>
    </row>
    <row r="1769" spans="5:6" x14ac:dyDescent="0.3">
      <c r="E1769" s="4"/>
      <c r="F1769" s="4"/>
    </row>
    <row r="1770" spans="5:6" x14ac:dyDescent="0.3">
      <c r="E1770" s="4"/>
      <c r="F1770" s="4"/>
    </row>
    <row r="1771" spans="5:6" x14ac:dyDescent="0.3">
      <c r="E1771" s="4"/>
      <c r="F1771" s="4"/>
    </row>
    <row r="1772" spans="5:6" x14ac:dyDescent="0.3">
      <c r="E1772" s="4"/>
      <c r="F1772" s="4"/>
    </row>
    <row r="1773" spans="5:6" x14ac:dyDescent="0.3">
      <c r="E1773" s="4"/>
      <c r="F1773" s="4"/>
    </row>
    <row r="1774" spans="5:6" x14ac:dyDescent="0.3">
      <c r="E1774" s="4"/>
      <c r="F1774" s="4"/>
    </row>
    <row r="1775" spans="5:6" x14ac:dyDescent="0.3">
      <c r="E1775" s="4"/>
      <c r="F1775" s="4"/>
    </row>
    <row r="1776" spans="5:6" x14ac:dyDescent="0.3">
      <c r="E1776" s="4"/>
      <c r="F1776" s="4"/>
    </row>
    <row r="1777" spans="5:6" x14ac:dyDescent="0.3">
      <c r="E1777" s="4"/>
      <c r="F1777" s="4"/>
    </row>
    <row r="1778" spans="5:6" x14ac:dyDescent="0.3">
      <c r="E1778" s="4"/>
      <c r="F1778" s="4"/>
    </row>
    <row r="1779" spans="5:6" x14ac:dyDescent="0.3">
      <c r="E1779" s="4"/>
      <c r="F1779" s="4"/>
    </row>
    <row r="1780" spans="5:6" x14ac:dyDescent="0.3">
      <c r="E1780" s="4"/>
      <c r="F1780" s="4"/>
    </row>
    <row r="1781" spans="5:6" x14ac:dyDescent="0.3">
      <c r="E1781" s="4"/>
      <c r="F1781" s="4"/>
    </row>
    <row r="1782" spans="5:6" x14ac:dyDescent="0.3">
      <c r="E1782" s="4"/>
      <c r="F1782" s="4"/>
    </row>
    <row r="1783" spans="5:6" x14ac:dyDescent="0.3">
      <c r="E1783" s="4"/>
      <c r="F1783" s="4"/>
    </row>
    <row r="1784" spans="5:6" x14ac:dyDescent="0.3">
      <c r="E1784" s="4"/>
      <c r="F1784" s="4"/>
    </row>
    <row r="1785" spans="5:6" x14ac:dyDescent="0.3">
      <c r="E1785" s="4"/>
      <c r="F1785" s="4"/>
    </row>
    <row r="1786" spans="5:6" x14ac:dyDescent="0.3">
      <c r="E1786" s="4"/>
      <c r="F1786" s="4"/>
    </row>
    <row r="1787" spans="5:6" x14ac:dyDescent="0.3">
      <c r="E1787" s="4"/>
      <c r="F1787" s="4"/>
    </row>
    <row r="1788" spans="5:6" x14ac:dyDescent="0.3">
      <c r="E1788" s="4"/>
      <c r="F1788" s="4"/>
    </row>
    <row r="1789" spans="5:6" x14ac:dyDescent="0.3">
      <c r="E1789" s="4"/>
      <c r="F1789" s="4"/>
    </row>
    <row r="1790" spans="5:6" x14ac:dyDescent="0.3">
      <c r="E1790" s="4"/>
      <c r="F1790" s="4"/>
    </row>
    <row r="1791" spans="5:6" x14ac:dyDescent="0.3">
      <c r="E1791" s="4"/>
      <c r="F1791" s="4"/>
    </row>
    <row r="1792" spans="5:6" x14ac:dyDescent="0.3">
      <c r="E1792" s="4"/>
      <c r="F1792" s="4"/>
    </row>
    <row r="1793" spans="5:6" x14ac:dyDescent="0.3">
      <c r="E1793" s="4"/>
      <c r="F1793" s="4"/>
    </row>
    <row r="1794" spans="5:6" x14ac:dyDescent="0.3">
      <c r="E1794" s="4"/>
      <c r="F1794" s="4"/>
    </row>
    <row r="1795" spans="5:6" x14ac:dyDescent="0.3">
      <c r="E1795" s="4"/>
      <c r="F1795" s="4"/>
    </row>
    <row r="1796" spans="5:6" x14ac:dyDescent="0.3">
      <c r="E1796" s="4"/>
      <c r="F1796" s="4"/>
    </row>
    <row r="1797" spans="5:6" x14ac:dyDescent="0.3">
      <c r="E1797" s="4"/>
      <c r="F1797" s="4"/>
    </row>
    <row r="1798" spans="5:6" x14ac:dyDescent="0.3">
      <c r="E1798" s="4"/>
      <c r="F1798" s="4"/>
    </row>
    <row r="1799" spans="5:6" x14ac:dyDescent="0.3">
      <c r="E1799" s="4"/>
      <c r="F1799" s="4"/>
    </row>
    <row r="1800" spans="5:6" x14ac:dyDescent="0.3">
      <c r="E1800" s="4"/>
      <c r="F1800" s="4"/>
    </row>
    <row r="1801" spans="5:6" x14ac:dyDescent="0.3">
      <c r="E1801" s="4"/>
      <c r="F1801" s="4"/>
    </row>
    <row r="1802" spans="5:6" x14ac:dyDescent="0.3">
      <c r="E1802" s="4"/>
      <c r="F1802" s="4"/>
    </row>
    <row r="1803" spans="5:6" x14ac:dyDescent="0.3">
      <c r="E1803" s="4"/>
      <c r="F1803" s="4"/>
    </row>
    <row r="1804" spans="5:6" x14ac:dyDescent="0.3">
      <c r="E1804" s="4"/>
      <c r="F1804" s="4"/>
    </row>
    <row r="1805" spans="5:6" x14ac:dyDescent="0.3">
      <c r="E1805" s="4"/>
      <c r="F1805" s="4"/>
    </row>
    <row r="1806" spans="5:6" x14ac:dyDescent="0.3">
      <c r="E1806" s="4"/>
      <c r="F1806" s="4"/>
    </row>
    <row r="1807" spans="5:6" x14ac:dyDescent="0.3">
      <c r="E1807" s="4"/>
      <c r="F1807" s="4"/>
    </row>
    <row r="1808" spans="5:6" x14ac:dyDescent="0.3">
      <c r="E1808" s="4"/>
      <c r="F1808" s="4"/>
    </row>
    <row r="1809" spans="5:6" x14ac:dyDescent="0.3">
      <c r="E1809" s="4"/>
      <c r="F1809" s="4"/>
    </row>
    <row r="1810" spans="5:6" x14ac:dyDescent="0.3">
      <c r="E1810" s="4"/>
      <c r="F1810" s="4"/>
    </row>
    <row r="1811" spans="5:6" x14ac:dyDescent="0.3">
      <c r="E1811" s="4"/>
      <c r="F1811" s="4"/>
    </row>
    <row r="1812" spans="5:6" x14ac:dyDescent="0.3">
      <c r="E1812" s="4"/>
      <c r="F1812" s="4"/>
    </row>
    <row r="1813" spans="5:6" x14ac:dyDescent="0.3">
      <c r="E1813" s="4"/>
      <c r="F1813" s="4"/>
    </row>
    <row r="1814" spans="5:6" x14ac:dyDescent="0.3">
      <c r="E1814" s="4"/>
      <c r="F1814" s="4"/>
    </row>
    <row r="1815" spans="5:6" x14ac:dyDescent="0.3">
      <c r="E1815" s="4"/>
      <c r="F1815" s="4"/>
    </row>
    <row r="1816" spans="5:6" x14ac:dyDescent="0.3">
      <c r="E1816" s="4"/>
      <c r="F1816" s="4"/>
    </row>
    <row r="1817" spans="5:6" x14ac:dyDescent="0.3">
      <c r="E1817" s="4"/>
      <c r="F1817" s="4"/>
    </row>
    <row r="1818" spans="5:6" x14ac:dyDescent="0.3">
      <c r="E1818" s="4"/>
      <c r="F1818" s="4"/>
    </row>
    <row r="1819" spans="5:6" x14ac:dyDescent="0.3">
      <c r="E1819" s="4"/>
      <c r="F1819" s="4"/>
    </row>
    <row r="1820" spans="5:6" x14ac:dyDescent="0.3">
      <c r="E1820" s="4"/>
      <c r="F1820" s="4"/>
    </row>
    <row r="1821" spans="5:6" x14ac:dyDescent="0.3">
      <c r="E1821" s="4"/>
      <c r="F1821" s="4"/>
    </row>
    <row r="1822" spans="5:6" x14ac:dyDescent="0.3">
      <c r="E1822" s="4"/>
      <c r="F1822" s="4"/>
    </row>
    <row r="1823" spans="5:6" x14ac:dyDescent="0.3">
      <c r="E1823" s="4"/>
      <c r="F1823" s="4"/>
    </row>
    <row r="1824" spans="5:6" x14ac:dyDescent="0.3">
      <c r="E1824" s="4"/>
      <c r="F1824" s="4"/>
    </row>
    <row r="1825" spans="5:6" x14ac:dyDescent="0.3">
      <c r="E1825" s="4"/>
      <c r="F1825" s="4"/>
    </row>
    <row r="1826" spans="5:6" x14ac:dyDescent="0.3">
      <c r="E1826" s="4"/>
      <c r="F1826" s="4"/>
    </row>
    <row r="1827" spans="5:6" x14ac:dyDescent="0.3">
      <c r="E1827" s="4"/>
      <c r="F1827" s="4"/>
    </row>
    <row r="1828" spans="5:6" x14ac:dyDescent="0.3">
      <c r="E1828" s="4"/>
      <c r="F1828" s="4"/>
    </row>
    <row r="1829" spans="5:6" x14ac:dyDescent="0.3">
      <c r="E1829" s="4"/>
      <c r="F1829" s="4"/>
    </row>
    <row r="1830" spans="5:6" x14ac:dyDescent="0.3">
      <c r="E1830" s="4"/>
      <c r="F1830" s="4"/>
    </row>
    <row r="1831" spans="5:6" x14ac:dyDescent="0.3">
      <c r="E1831" s="4"/>
      <c r="F1831" s="4"/>
    </row>
    <row r="1832" spans="5:6" x14ac:dyDescent="0.3">
      <c r="E1832" s="4"/>
      <c r="F1832" s="4"/>
    </row>
    <row r="1833" spans="5:6" x14ac:dyDescent="0.3">
      <c r="E1833" s="4"/>
      <c r="F1833" s="4"/>
    </row>
    <row r="1834" spans="5:6" x14ac:dyDescent="0.3">
      <c r="E1834" s="4"/>
      <c r="F1834" s="4"/>
    </row>
    <row r="1835" spans="5:6" x14ac:dyDescent="0.3">
      <c r="E1835" s="4"/>
      <c r="F1835" s="4"/>
    </row>
    <row r="1836" spans="5:6" x14ac:dyDescent="0.3">
      <c r="E1836" s="4"/>
      <c r="F1836" s="4"/>
    </row>
    <row r="1837" spans="5:6" x14ac:dyDescent="0.3">
      <c r="E1837" s="4"/>
      <c r="F1837" s="4"/>
    </row>
    <row r="1838" spans="5:6" x14ac:dyDescent="0.3">
      <c r="E1838" s="4"/>
      <c r="F1838" s="4"/>
    </row>
    <row r="1839" spans="5:6" x14ac:dyDescent="0.3">
      <c r="E1839" s="4"/>
      <c r="F1839" s="4"/>
    </row>
    <row r="1840" spans="5:6" x14ac:dyDescent="0.3">
      <c r="E1840" s="4"/>
      <c r="F1840" s="4"/>
    </row>
    <row r="1841" spans="5:6" x14ac:dyDescent="0.3">
      <c r="E1841" s="4"/>
      <c r="F1841" s="4"/>
    </row>
    <row r="1842" spans="5:6" x14ac:dyDescent="0.3">
      <c r="E1842" s="4"/>
      <c r="F1842" s="4"/>
    </row>
    <row r="1843" spans="5:6" x14ac:dyDescent="0.3">
      <c r="E1843" s="4"/>
      <c r="F1843" s="4"/>
    </row>
    <row r="1844" spans="5:6" x14ac:dyDescent="0.3">
      <c r="E1844" s="4"/>
      <c r="F1844" s="4"/>
    </row>
    <row r="1845" spans="5:6" x14ac:dyDescent="0.3">
      <c r="E1845" s="4"/>
      <c r="F1845" s="4"/>
    </row>
    <row r="1846" spans="5:6" x14ac:dyDescent="0.3">
      <c r="E1846" s="4"/>
      <c r="F1846" s="4"/>
    </row>
    <row r="1847" spans="5:6" x14ac:dyDescent="0.3">
      <c r="E1847" s="4"/>
      <c r="F1847" s="4"/>
    </row>
    <row r="1848" spans="5:6" x14ac:dyDescent="0.3">
      <c r="E1848" s="4"/>
      <c r="F1848" s="4"/>
    </row>
    <row r="1849" spans="5:6" x14ac:dyDescent="0.3">
      <c r="E1849" s="4"/>
      <c r="F1849" s="4"/>
    </row>
    <row r="1850" spans="5:6" x14ac:dyDescent="0.3">
      <c r="E1850" s="4"/>
      <c r="F1850" s="4"/>
    </row>
    <row r="1851" spans="5:6" x14ac:dyDescent="0.3">
      <c r="E1851" s="4"/>
      <c r="F1851" s="4"/>
    </row>
    <row r="1852" spans="5:6" x14ac:dyDescent="0.3">
      <c r="E1852" s="4"/>
      <c r="F1852" s="4"/>
    </row>
    <row r="1853" spans="5:6" x14ac:dyDescent="0.3">
      <c r="E1853" s="4"/>
      <c r="F1853" s="4"/>
    </row>
    <row r="1854" spans="5:6" x14ac:dyDescent="0.3">
      <c r="E1854" s="4"/>
      <c r="F1854" s="4"/>
    </row>
    <row r="1855" spans="5:6" x14ac:dyDescent="0.3">
      <c r="E1855" s="4"/>
      <c r="F1855" s="4"/>
    </row>
    <row r="1856" spans="5:6" x14ac:dyDescent="0.3">
      <c r="E1856" s="4"/>
      <c r="F1856" s="4"/>
    </row>
    <row r="1857" spans="5:6" x14ac:dyDescent="0.3">
      <c r="E1857" s="4"/>
      <c r="F1857" s="4"/>
    </row>
    <row r="1858" spans="5:6" x14ac:dyDescent="0.3">
      <c r="E1858" s="4"/>
      <c r="F1858" s="4"/>
    </row>
    <row r="1859" spans="5:6" x14ac:dyDescent="0.3">
      <c r="E1859" s="4"/>
      <c r="F1859" s="4"/>
    </row>
    <row r="1860" spans="5:6" x14ac:dyDescent="0.3">
      <c r="E1860" s="4"/>
      <c r="F1860" s="4"/>
    </row>
    <row r="1861" spans="5:6" x14ac:dyDescent="0.3">
      <c r="E1861" s="4"/>
      <c r="F1861" s="4"/>
    </row>
    <row r="1862" spans="5:6" x14ac:dyDescent="0.3">
      <c r="E1862" s="4"/>
      <c r="F1862" s="4"/>
    </row>
    <row r="1863" spans="5:6" x14ac:dyDescent="0.3">
      <c r="E1863" s="4"/>
      <c r="F1863" s="4"/>
    </row>
    <row r="1864" spans="5:6" x14ac:dyDescent="0.3">
      <c r="E1864" s="4"/>
      <c r="F1864" s="4"/>
    </row>
    <row r="1865" spans="5:6" x14ac:dyDescent="0.3">
      <c r="E1865" s="4"/>
      <c r="F1865" s="4"/>
    </row>
    <row r="1866" spans="5:6" x14ac:dyDescent="0.3">
      <c r="E1866" s="4"/>
      <c r="F1866" s="4"/>
    </row>
    <row r="1867" spans="5:6" x14ac:dyDescent="0.3">
      <c r="E1867" s="4"/>
      <c r="F1867" s="4"/>
    </row>
    <row r="1868" spans="5:6" x14ac:dyDescent="0.3">
      <c r="E1868" s="4"/>
      <c r="F1868" s="4"/>
    </row>
    <row r="1869" spans="5:6" x14ac:dyDescent="0.3">
      <c r="E1869" s="4"/>
      <c r="F1869" s="4"/>
    </row>
    <row r="1870" spans="5:6" x14ac:dyDescent="0.3">
      <c r="E1870" s="4"/>
      <c r="F1870" s="4"/>
    </row>
    <row r="1871" spans="5:6" x14ac:dyDescent="0.3">
      <c r="E1871" s="4"/>
      <c r="F1871" s="4"/>
    </row>
    <row r="1872" spans="5:6" x14ac:dyDescent="0.3">
      <c r="E1872" s="4"/>
      <c r="F1872" s="4"/>
    </row>
    <row r="1873" spans="5:6" x14ac:dyDescent="0.3">
      <c r="E1873" s="4"/>
      <c r="F1873" s="4"/>
    </row>
    <row r="1874" spans="5:6" x14ac:dyDescent="0.3">
      <c r="E1874" s="4"/>
      <c r="F1874" s="4"/>
    </row>
    <row r="1875" spans="5:6" x14ac:dyDescent="0.3">
      <c r="E1875" s="4"/>
      <c r="F1875" s="4"/>
    </row>
    <row r="1876" spans="5:6" x14ac:dyDescent="0.3">
      <c r="E1876" s="4"/>
      <c r="F1876" s="4"/>
    </row>
    <row r="1877" spans="5:6" x14ac:dyDescent="0.3">
      <c r="E1877" s="4"/>
      <c r="F1877" s="4"/>
    </row>
    <row r="1878" spans="5:6" x14ac:dyDescent="0.3">
      <c r="E1878" s="4"/>
      <c r="F1878" s="4"/>
    </row>
    <row r="1879" spans="5:6" x14ac:dyDescent="0.3">
      <c r="E1879" s="4"/>
      <c r="F1879" s="4"/>
    </row>
    <row r="1880" spans="5:6" x14ac:dyDescent="0.3">
      <c r="E1880" s="4"/>
      <c r="F1880" s="4"/>
    </row>
    <row r="1881" spans="5:6" x14ac:dyDescent="0.3">
      <c r="E1881" s="4"/>
      <c r="F1881" s="4"/>
    </row>
    <row r="1882" spans="5:6" x14ac:dyDescent="0.3">
      <c r="E1882" s="4"/>
      <c r="F1882" s="4"/>
    </row>
    <row r="1883" spans="5:6" x14ac:dyDescent="0.3">
      <c r="E1883" s="4"/>
      <c r="F1883" s="4"/>
    </row>
    <row r="1884" spans="5:6" x14ac:dyDescent="0.3">
      <c r="E1884" s="4"/>
      <c r="F1884" s="4"/>
    </row>
    <row r="1885" spans="5:6" x14ac:dyDescent="0.3">
      <c r="E1885" s="4"/>
      <c r="F1885" s="4"/>
    </row>
    <row r="1886" spans="5:6" x14ac:dyDescent="0.3">
      <c r="E1886" s="4"/>
      <c r="F1886" s="4"/>
    </row>
    <row r="1887" spans="5:6" x14ac:dyDescent="0.3">
      <c r="E1887" s="4"/>
      <c r="F1887" s="4"/>
    </row>
    <row r="1888" spans="5:6" x14ac:dyDescent="0.3">
      <c r="E1888" s="4"/>
      <c r="F1888" s="4"/>
    </row>
    <row r="1889" spans="5:6" x14ac:dyDescent="0.3">
      <c r="E1889" s="4"/>
      <c r="F1889" s="4"/>
    </row>
    <row r="1890" spans="5:6" x14ac:dyDescent="0.3">
      <c r="E1890" s="4"/>
      <c r="F1890" s="4"/>
    </row>
    <row r="1891" spans="5:6" x14ac:dyDescent="0.3">
      <c r="E1891" s="4"/>
      <c r="F1891" s="4"/>
    </row>
    <row r="1892" spans="5:6" x14ac:dyDescent="0.3">
      <c r="E1892" s="4"/>
      <c r="F1892" s="4"/>
    </row>
    <row r="1893" spans="5:6" x14ac:dyDescent="0.3">
      <c r="E1893" s="4"/>
      <c r="F1893" s="4"/>
    </row>
    <row r="1894" spans="5:6" x14ac:dyDescent="0.3">
      <c r="E1894" s="4"/>
      <c r="F1894" s="4"/>
    </row>
    <row r="1895" spans="5:6" x14ac:dyDescent="0.3">
      <c r="E1895" s="4"/>
      <c r="F1895" s="4"/>
    </row>
    <row r="1896" spans="5:6" x14ac:dyDescent="0.3">
      <c r="E1896" s="4"/>
      <c r="F1896" s="4"/>
    </row>
    <row r="1897" spans="5:6" x14ac:dyDescent="0.3">
      <c r="E1897" s="4"/>
      <c r="F1897" s="4"/>
    </row>
    <row r="1898" spans="5:6" x14ac:dyDescent="0.3">
      <c r="E1898" s="4"/>
      <c r="F1898" s="4"/>
    </row>
    <row r="1899" spans="5:6" x14ac:dyDescent="0.3">
      <c r="E1899" s="4"/>
      <c r="F1899" s="4"/>
    </row>
    <row r="1900" spans="5:6" x14ac:dyDescent="0.3">
      <c r="E1900" s="4"/>
      <c r="F1900" s="4"/>
    </row>
    <row r="1901" spans="5:6" x14ac:dyDescent="0.3">
      <c r="E1901" s="4"/>
      <c r="F1901" s="4"/>
    </row>
    <row r="1902" spans="5:6" x14ac:dyDescent="0.3">
      <c r="E1902" s="4"/>
      <c r="F1902" s="4"/>
    </row>
    <row r="1903" spans="5:6" x14ac:dyDescent="0.3">
      <c r="E1903" s="4"/>
      <c r="F1903" s="4"/>
    </row>
    <row r="1904" spans="5:6" x14ac:dyDescent="0.3">
      <c r="E1904" s="4"/>
      <c r="F1904" s="4"/>
    </row>
    <row r="1905" spans="5:6" x14ac:dyDescent="0.3">
      <c r="E1905" s="4"/>
      <c r="F1905" s="4"/>
    </row>
    <row r="1906" spans="5:6" x14ac:dyDescent="0.3">
      <c r="E1906" s="4"/>
      <c r="F1906" s="4"/>
    </row>
    <row r="1907" spans="5:6" x14ac:dyDescent="0.3">
      <c r="E1907" s="4"/>
      <c r="F1907" s="4"/>
    </row>
    <row r="1908" spans="5:6" x14ac:dyDescent="0.3">
      <c r="E1908" s="4"/>
      <c r="F1908" s="4"/>
    </row>
    <row r="1909" spans="5:6" x14ac:dyDescent="0.3">
      <c r="E1909" s="4"/>
      <c r="F1909" s="4"/>
    </row>
    <row r="1910" spans="5:6" x14ac:dyDescent="0.3">
      <c r="E1910" s="4"/>
      <c r="F1910" s="4"/>
    </row>
    <row r="1911" spans="5:6" x14ac:dyDescent="0.3">
      <c r="E1911" s="4"/>
      <c r="F1911" s="4"/>
    </row>
    <row r="1912" spans="5:6" x14ac:dyDescent="0.3">
      <c r="E1912" s="4"/>
      <c r="F1912" s="4"/>
    </row>
    <row r="1913" spans="5:6" x14ac:dyDescent="0.3">
      <c r="E1913" s="4"/>
      <c r="F1913" s="4"/>
    </row>
    <row r="1914" spans="5:6" x14ac:dyDescent="0.3">
      <c r="E1914" s="4"/>
      <c r="F1914" s="4"/>
    </row>
    <row r="1915" spans="5:6" x14ac:dyDescent="0.3">
      <c r="E1915" s="4"/>
      <c r="F1915" s="4"/>
    </row>
    <row r="1916" spans="5:6" x14ac:dyDescent="0.3">
      <c r="E1916" s="4"/>
      <c r="F1916" s="4"/>
    </row>
    <row r="1917" spans="5:6" x14ac:dyDescent="0.3">
      <c r="E1917" s="4"/>
      <c r="F1917" s="4"/>
    </row>
    <row r="1918" spans="5:6" x14ac:dyDescent="0.3">
      <c r="E1918" s="4"/>
      <c r="F1918" s="4"/>
    </row>
    <row r="1919" spans="5:6" x14ac:dyDescent="0.3">
      <c r="E1919" s="4"/>
      <c r="F1919" s="4"/>
    </row>
    <row r="1920" spans="5:6" x14ac:dyDescent="0.3">
      <c r="E1920" s="4"/>
      <c r="F1920" s="4"/>
    </row>
    <row r="1921" spans="5:6" x14ac:dyDescent="0.3">
      <c r="E1921" s="4"/>
      <c r="F1921" s="4"/>
    </row>
    <row r="1922" spans="5:6" x14ac:dyDescent="0.3">
      <c r="E1922" s="4"/>
      <c r="F1922" s="4"/>
    </row>
    <row r="1923" spans="5:6" x14ac:dyDescent="0.3">
      <c r="E1923" s="4"/>
      <c r="F1923" s="4"/>
    </row>
    <row r="1924" spans="5:6" x14ac:dyDescent="0.3">
      <c r="E1924" s="4"/>
      <c r="F1924" s="4"/>
    </row>
    <row r="1925" spans="5:6" x14ac:dyDescent="0.3">
      <c r="E1925" s="4"/>
      <c r="F1925" s="4"/>
    </row>
    <row r="1926" spans="5:6" x14ac:dyDescent="0.3">
      <c r="E1926" s="4"/>
      <c r="F1926" s="4"/>
    </row>
    <row r="1927" spans="5:6" x14ac:dyDescent="0.3">
      <c r="E1927" s="4"/>
      <c r="F1927" s="4"/>
    </row>
    <row r="1928" spans="5:6" x14ac:dyDescent="0.3">
      <c r="E1928" s="4"/>
      <c r="F1928" s="4"/>
    </row>
    <row r="1929" spans="5:6" x14ac:dyDescent="0.3">
      <c r="E1929" s="4"/>
      <c r="F1929" s="4"/>
    </row>
    <row r="1930" spans="5:6" x14ac:dyDescent="0.3">
      <c r="E1930" s="4"/>
      <c r="F1930" s="4"/>
    </row>
    <row r="1931" spans="5:6" x14ac:dyDescent="0.3">
      <c r="E1931" s="4"/>
      <c r="F1931" s="4"/>
    </row>
    <row r="1932" spans="5:6" x14ac:dyDescent="0.3">
      <c r="E1932" s="4"/>
      <c r="F1932" s="4"/>
    </row>
    <row r="1933" spans="5:6" x14ac:dyDescent="0.3">
      <c r="E1933" s="4"/>
      <c r="F1933" s="4"/>
    </row>
    <row r="1934" spans="5:6" x14ac:dyDescent="0.3">
      <c r="E1934" s="4"/>
      <c r="F1934" s="4"/>
    </row>
    <row r="1935" spans="5:6" x14ac:dyDescent="0.3">
      <c r="E1935" s="4"/>
      <c r="F1935" s="4"/>
    </row>
    <row r="1936" spans="5:6" x14ac:dyDescent="0.3">
      <c r="E1936" s="4"/>
      <c r="F1936" s="4"/>
    </row>
    <row r="1937" spans="5:6" x14ac:dyDescent="0.3">
      <c r="E1937" s="4"/>
      <c r="F1937" s="4"/>
    </row>
    <row r="1938" spans="5:6" x14ac:dyDescent="0.3">
      <c r="E1938" s="4"/>
      <c r="F1938" s="4"/>
    </row>
    <row r="1939" spans="5:6" x14ac:dyDescent="0.3">
      <c r="E1939" s="4"/>
      <c r="F1939" s="4"/>
    </row>
    <row r="1940" spans="5:6" x14ac:dyDescent="0.3">
      <c r="E1940" s="4"/>
      <c r="F1940" s="4"/>
    </row>
    <row r="1941" spans="5:6" x14ac:dyDescent="0.3">
      <c r="E1941" s="4"/>
      <c r="F1941" s="4"/>
    </row>
    <row r="1942" spans="5:6" x14ac:dyDescent="0.3">
      <c r="E1942" s="4"/>
      <c r="F1942" s="4"/>
    </row>
    <row r="1943" spans="5:6" x14ac:dyDescent="0.3">
      <c r="E1943" s="4"/>
      <c r="F1943" s="4"/>
    </row>
    <row r="1944" spans="5:6" x14ac:dyDescent="0.3">
      <c r="E1944" s="4"/>
      <c r="F1944" s="4"/>
    </row>
    <row r="1945" spans="5:6" x14ac:dyDescent="0.3">
      <c r="E1945" s="4"/>
      <c r="F1945" s="4"/>
    </row>
    <row r="1946" spans="5:6" x14ac:dyDescent="0.3">
      <c r="E1946" s="4"/>
      <c r="F1946" s="4"/>
    </row>
    <row r="1947" spans="5:6" x14ac:dyDescent="0.3">
      <c r="E1947" s="4"/>
      <c r="F1947" s="4"/>
    </row>
    <row r="1948" spans="5:6" x14ac:dyDescent="0.3">
      <c r="E1948" s="4"/>
      <c r="F1948" s="4"/>
    </row>
    <row r="1949" spans="5:6" x14ac:dyDescent="0.3">
      <c r="E1949" s="4"/>
      <c r="F1949" s="4"/>
    </row>
    <row r="1950" spans="5:6" x14ac:dyDescent="0.3">
      <c r="E1950" s="4"/>
      <c r="F1950" s="4"/>
    </row>
    <row r="1951" spans="5:6" x14ac:dyDescent="0.3">
      <c r="E1951" s="4"/>
      <c r="F1951" s="4"/>
    </row>
    <row r="1952" spans="5:6" x14ac:dyDescent="0.3">
      <c r="E1952" s="4"/>
      <c r="F1952" s="4"/>
    </row>
    <row r="1953" spans="5:6" x14ac:dyDescent="0.3">
      <c r="E1953" s="4"/>
      <c r="F1953" s="4"/>
    </row>
    <row r="1954" spans="5:6" x14ac:dyDescent="0.3">
      <c r="E1954" s="4"/>
      <c r="F1954" s="4"/>
    </row>
    <row r="1955" spans="5:6" x14ac:dyDescent="0.3">
      <c r="E1955" s="4"/>
      <c r="F1955" s="4"/>
    </row>
    <row r="1956" spans="5:6" x14ac:dyDescent="0.3">
      <c r="E1956" s="4"/>
      <c r="F1956" s="4"/>
    </row>
    <row r="1957" spans="5:6" x14ac:dyDescent="0.3">
      <c r="E1957" s="4"/>
      <c r="F1957" s="4"/>
    </row>
    <row r="1958" spans="5:6" x14ac:dyDescent="0.3">
      <c r="E1958" s="4"/>
      <c r="F1958" s="4"/>
    </row>
    <row r="1959" spans="5:6" x14ac:dyDescent="0.3">
      <c r="E1959" s="4"/>
      <c r="F1959" s="4"/>
    </row>
    <row r="1960" spans="5:6" x14ac:dyDescent="0.3">
      <c r="E1960" s="4"/>
      <c r="F1960" s="4"/>
    </row>
    <row r="1961" spans="5:6" x14ac:dyDescent="0.3">
      <c r="E1961" s="4"/>
      <c r="F1961" s="4"/>
    </row>
    <row r="1962" spans="5:6" x14ac:dyDescent="0.3">
      <c r="E1962" s="4"/>
      <c r="F1962" s="4"/>
    </row>
    <row r="1963" spans="5:6" x14ac:dyDescent="0.3">
      <c r="E1963" s="4"/>
      <c r="F1963" s="4"/>
    </row>
    <row r="1964" spans="5:6" x14ac:dyDescent="0.3">
      <c r="E1964" s="4"/>
      <c r="F1964" s="4"/>
    </row>
    <row r="1965" spans="5:6" x14ac:dyDescent="0.3">
      <c r="E1965" s="4"/>
      <c r="F1965" s="4"/>
    </row>
    <row r="1966" spans="5:6" x14ac:dyDescent="0.3">
      <c r="E1966" s="4"/>
      <c r="F1966" s="4"/>
    </row>
    <row r="1967" spans="5:6" x14ac:dyDescent="0.3">
      <c r="E1967" s="4"/>
      <c r="F1967" s="4"/>
    </row>
    <row r="1968" spans="5:6" x14ac:dyDescent="0.3">
      <c r="E1968" s="4"/>
      <c r="F1968" s="4"/>
    </row>
    <row r="1969" spans="5:6" x14ac:dyDescent="0.3">
      <c r="E1969" s="4"/>
      <c r="F1969" s="4"/>
    </row>
    <row r="1970" spans="5:6" x14ac:dyDescent="0.3">
      <c r="E1970" s="4"/>
      <c r="F1970" s="4"/>
    </row>
    <row r="1971" spans="5:6" x14ac:dyDescent="0.3">
      <c r="E1971" s="4"/>
      <c r="F1971" s="4"/>
    </row>
    <row r="1972" spans="5:6" x14ac:dyDescent="0.3">
      <c r="E1972" s="4"/>
      <c r="F1972" s="4"/>
    </row>
    <row r="1973" spans="5:6" x14ac:dyDescent="0.3">
      <c r="E1973" s="4"/>
      <c r="F1973" s="4"/>
    </row>
    <row r="1974" spans="5:6" x14ac:dyDescent="0.3">
      <c r="E1974" s="4"/>
      <c r="F1974" s="4"/>
    </row>
    <row r="1975" spans="5:6" x14ac:dyDescent="0.3">
      <c r="E1975" s="4"/>
      <c r="F1975" s="4"/>
    </row>
    <row r="1976" spans="5:6" x14ac:dyDescent="0.3">
      <c r="E1976" s="4"/>
      <c r="F1976" s="4"/>
    </row>
    <row r="1977" spans="5:6" x14ac:dyDescent="0.3">
      <c r="E1977" s="4"/>
      <c r="F1977" s="4"/>
    </row>
    <row r="1978" spans="5:6" x14ac:dyDescent="0.3">
      <c r="E1978" s="4"/>
      <c r="F1978" s="4"/>
    </row>
    <row r="1979" spans="5:6" x14ac:dyDescent="0.3">
      <c r="E1979" s="4"/>
      <c r="F1979" s="4"/>
    </row>
    <row r="1980" spans="5:6" x14ac:dyDescent="0.3">
      <c r="E1980" s="4"/>
      <c r="F1980" s="4"/>
    </row>
    <row r="1981" spans="5:6" x14ac:dyDescent="0.3">
      <c r="E1981" s="4"/>
      <c r="F1981" s="4"/>
    </row>
    <row r="1982" spans="5:6" x14ac:dyDescent="0.3">
      <c r="E1982" s="4"/>
      <c r="F1982" s="4"/>
    </row>
    <row r="1983" spans="5:6" x14ac:dyDescent="0.3">
      <c r="E1983" s="4"/>
      <c r="F1983" s="4"/>
    </row>
    <row r="1984" spans="5:6" x14ac:dyDescent="0.3">
      <c r="E1984" s="4"/>
      <c r="F1984" s="4"/>
    </row>
    <row r="1985" spans="5:6" x14ac:dyDescent="0.3">
      <c r="E1985" s="4"/>
      <c r="F1985" s="4"/>
    </row>
    <row r="1986" spans="5:6" x14ac:dyDescent="0.3">
      <c r="E1986" s="4"/>
      <c r="F1986" s="4"/>
    </row>
    <row r="1987" spans="5:6" x14ac:dyDescent="0.3">
      <c r="E1987" s="4"/>
      <c r="F1987" s="4"/>
    </row>
    <row r="1988" spans="5:6" x14ac:dyDescent="0.3">
      <c r="E1988" s="4"/>
      <c r="F1988" s="4"/>
    </row>
    <row r="1989" spans="5:6" x14ac:dyDescent="0.3">
      <c r="E1989" s="4"/>
      <c r="F1989" s="4"/>
    </row>
    <row r="1990" spans="5:6" x14ac:dyDescent="0.3">
      <c r="E1990" s="4"/>
      <c r="F1990" s="4"/>
    </row>
    <row r="1991" spans="5:6" x14ac:dyDescent="0.3">
      <c r="E1991" s="4"/>
      <c r="F1991" s="4"/>
    </row>
    <row r="1992" spans="5:6" x14ac:dyDescent="0.3">
      <c r="E1992" s="4"/>
      <c r="F1992" s="4"/>
    </row>
    <row r="1993" spans="5:6" x14ac:dyDescent="0.3">
      <c r="E1993" s="4"/>
      <c r="F1993" s="4"/>
    </row>
    <row r="1994" spans="5:6" x14ac:dyDescent="0.3">
      <c r="E1994" s="4"/>
      <c r="F1994" s="4"/>
    </row>
    <row r="1995" spans="5:6" x14ac:dyDescent="0.3">
      <c r="E1995" s="4"/>
      <c r="F1995" s="4"/>
    </row>
    <row r="1996" spans="5:6" x14ac:dyDescent="0.3">
      <c r="E1996" s="4"/>
      <c r="F1996" s="4"/>
    </row>
    <row r="1997" spans="5:6" x14ac:dyDescent="0.3">
      <c r="E1997" s="4"/>
      <c r="F1997" s="4"/>
    </row>
    <row r="1998" spans="5:6" x14ac:dyDescent="0.3">
      <c r="E1998" s="4"/>
      <c r="F1998" s="4"/>
    </row>
    <row r="1999" spans="5:6" x14ac:dyDescent="0.3">
      <c r="E1999" s="4"/>
      <c r="F1999" s="4"/>
    </row>
    <row r="2000" spans="5:6" x14ac:dyDescent="0.3">
      <c r="E2000" s="4"/>
      <c r="F2000" s="4"/>
    </row>
  </sheetData>
  <mergeCells count="1">
    <mergeCell ref="G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SX_Snapshot">
                <anchor>
                  <from>
                    <xdr:col>9</xdr:col>
                    <xdr:colOff>0</xdr:colOff>
                    <xdr:row>0</xdr:row>
                    <xdr:rowOff>45720</xdr:rowOff>
                  </from>
                  <to>
                    <xdr:col>10</xdr:col>
                    <xdr:colOff>1028700</xdr:colOff>
                    <xdr:row>1</xdr:row>
                    <xdr:rowOff>99060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FC2B1-2239-4A15-8FD3-3CDE5596F4C0}">
  <sheetPr codeName="Лист12">
    <tabColor rgb="FF4F81BD"/>
  </sheetPr>
  <dimension ref="A1:O2"/>
  <sheetViews>
    <sheetView workbookViewId="0"/>
  </sheetViews>
  <sheetFormatPr defaultRowHeight="14.4" x14ac:dyDescent="0.3"/>
  <sheetData>
    <row r="1" spans="1:15" x14ac:dyDescent="0.3">
      <c r="A1" s="36" t="s">
        <v>1873</v>
      </c>
    </row>
    <row r="2" spans="1:15" ht="25.95" customHeight="1" x14ac:dyDescent="0.3">
      <c r="A2" s="141" t="s">
        <v>1874</v>
      </c>
      <c r="B2" s="141"/>
      <c r="C2" s="113">
        <v>24</v>
      </c>
      <c r="D2" s="143" t="s">
        <v>1875</v>
      </c>
      <c r="E2" s="142"/>
      <c r="F2" s="142"/>
      <c r="G2" s="142"/>
      <c r="H2" s="142"/>
      <c r="I2" s="142"/>
      <c r="J2" s="142"/>
      <c r="K2" s="142"/>
      <c r="L2" s="142"/>
      <c r="M2" s="142"/>
      <c r="N2" s="142"/>
      <c r="O2" s="142"/>
    </row>
  </sheetData>
  <mergeCells count="2">
    <mergeCell ref="A2:B2"/>
    <mergeCell ref="D2:O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3">
    <tabColor rgb="FFA6A6A6"/>
  </sheetPr>
  <dimension ref="A1:AH500"/>
  <sheetViews>
    <sheetView workbookViewId="0">
      <pane xSplit="3" ySplit="3" topLeftCell="D4" activePane="bottomRight" state="frozen"/>
      <selection pane="topRight"/>
      <selection pane="bottomLeft"/>
      <selection pane="bottomRight" activeCell="D4" sqref="D4"/>
    </sheetView>
  </sheetViews>
  <sheetFormatPr defaultRowHeight="14.4" outlineLevelCol="1" x14ac:dyDescent="0.3"/>
  <cols>
    <col min="1" max="1" width="13" customWidth="1"/>
    <col min="2" max="2" width="12" customWidth="1"/>
    <col min="3" max="3" width="24" customWidth="1"/>
    <col min="4" max="5" width="8" customWidth="1"/>
    <col min="6" max="6" width="11" customWidth="1"/>
    <col min="7" max="7" width="56" customWidth="1"/>
    <col min="8" max="8" width="18" customWidth="1"/>
    <col min="9" max="9" width="7" customWidth="1"/>
    <col min="10" max="10" width="8" customWidth="1"/>
    <col min="11" max="11" width="6" customWidth="1"/>
    <col min="12" max="12" width="8" customWidth="1"/>
    <col min="13" max="13" width="7" customWidth="1"/>
    <col min="14" max="16" width="11" customWidth="1"/>
    <col min="17" max="17" width="12.77734375" customWidth="1"/>
    <col min="18" max="18" width="46" customWidth="1"/>
    <col min="19" max="19" width="22" customWidth="1"/>
    <col min="20" max="20" width="2" customWidth="1"/>
    <col min="21" max="34" width="10" hidden="1" customWidth="1" outlineLevel="1"/>
  </cols>
  <sheetData>
    <row r="1" spans="1:34" x14ac:dyDescent="0.3">
      <c r="A1" s="36" t="s">
        <v>636</v>
      </c>
    </row>
    <row r="2" spans="1:34" ht="27.6" x14ac:dyDescent="0.3">
      <c r="X2" s="35" t="s">
        <v>637</v>
      </c>
      <c r="Z2" s="35" t="s">
        <v>638</v>
      </c>
      <c r="AB2" s="35" t="s">
        <v>639</v>
      </c>
      <c r="AD2" s="35" t="s">
        <v>640</v>
      </c>
    </row>
    <row r="3" spans="1:34" ht="409.6" x14ac:dyDescent="0.3">
      <c r="A3" s="35" t="s">
        <v>641</v>
      </c>
      <c r="B3" s="35" t="s">
        <v>642</v>
      </c>
      <c r="C3" s="35" t="s">
        <v>643</v>
      </c>
      <c r="D3" s="35" t="s">
        <v>644</v>
      </c>
      <c r="E3" s="35" t="s">
        <v>481</v>
      </c>
      <c r="F3" s="35" t="s">
        <v>645</v>
      </c>
      <c r="G3" s="35" t="s">
        <v>646</v>
      </c>
      <c r="H3" s="35" t="s">
        <v>58</v>
      </c>
      <c r="I3" s="35" t="s">
        <v>647</v>
      </c>
      <c r="J3" s="35" t="s">
        <v>648</v>
      </c>
      <c r="K3" s="35" t="s">
        <v>916</v>
      </c>
      <c r="L3" s="35" t="s">
        <v>649</v>
      </c>
      <c r="M3" s="35" t="s">
        <v>650</v>
      </c>
      <c r="N3" s="35" t="s">
        <v>1802</v>
      </c>
      <c r="O3" s="35" t="s">
        <v>651</v>
      </c>
      <c r="P3" s="35" t="s">
        <v>652</v>
      </c>
      <c r="Q3" s="123" t="s">
        <v>1842</v>
      </c>
      <c r="R3" s="35" t="s">
        <v>583</v>
      </c>
      <c r="S3" s="35" t="s">
        <v>653</v>
      </c>
      <c r="U3" s="35" t="s">
        <v>654</v>
      </c>
      <c r="V3" s="35" t="s">
        <v>655</v>
      </c>
      <c r="W3" s="35" t="s">
        <v>656</v>
      </c>
      <c r="X3" s="38" t="s">
        <v>513</v>
      </c>
      <c r="Y3" s="35" t="s">
        <v>657</v>
      </c>
      <c r="Z3" s="35" t="s">
        <v>638</v>
      </c>
      <c r="AA3" s="35" t="s">
        <v>658</v>
      </c>
      <c r="AB3" s="38" t="s">
        <v>527</v>
      </c>
      <c r="AC3" s="35" t="s">
        <v>659</v>
      </c>
      <c r="AD3" s="38" t="s">
        <v>660</v>
      </c>
      <c r="AE3" s="35" t="s">
        <v>661</v>
      </c>
      <c r="AF3" s="35" t="s">
        <v>662</v>
      </c>
      <c r="AG3" s="35" t="s">
        <v>663</v>
      </c>
      <c r="AH3" s="35" t="s">
        <v>664</v>
      </c>
    </row>
    <row r="4" spans="1:34" x14ac:dyDescent="0.3">
      <c r="A4" s="74" t="s">
        <v>7</v>
      </c>
      <c r="B4" s="74" t="s">
        <v>284</v>
      </c>
      <c r="C4" s="74" t="s">
        <v>665</v>
      </c>
      <c r="D4" s="74"/>
      <c r="E4" s="74"/>
      <c r="F4" s="74"/>
      <c r="G4" s="74" t="s">
        <v>666</v>
      </c>
      <c r="H4" s="74" t="s">
        <v>289</v>
      </c>
      <c r="I4" s="74" t="s">
        <v>667</v>
      </c>
      <c r="J4" s="74">
        <v>10</v>
      </c>
      <c r="K4" s="74" t="s">
        <v>484</v>
      </c>
      <c r="L4" s="74">
        <v>1</v>
      </c>
      <c r="M4" s="74" t="s">
        <v>280</v>
      </c>
      <c r="N4" s="38">
        <f>IF(OR(A4="Автомат",A4="Дифавтомат"),IF(W4="","",COUNTIFS(Однолинейка!$H$3:$H$3000,U4,Однолинейка!$A$3:$A$3000,Щит_спец)),IF(A4="Аппарат",IF(C4="","",COUNTIFS(Однолинейка!$I$3:$I$3000,C4,Однолинейка!$A$3:$A$3000,Щит_спец)+COUNTIFS(Однолинейка!$J$3:$J$3000,C4,Однолинейка!$A$3:$A$3000,Щит_спец)+COUNTIFS(Однолинейка!$K$3:$K$3000,C4,Однолинейка!$A$3:$A$3000,Щит_спец)),IF(A4="Модуль",IF(C4="","",COUNTIFS(Однолинейка!$AW$3:$AW$3000,"?*",Однолинейка!$AI$3:$AI$3000,C4,Однолинейка!$A$3:$A$3000,Щит_спец)),IF(A4="Клемма",IF(C4="","",IF(C4=$S$7,SUMIFS(Однолинейка!$BW$3:$BW$3000,Однолинейка!$A$3:$A$3000,Щит_спец),IF(C4=$S$8,SUMIFS(Однолинейка!$BX$3:$BX$3000,Однолинейка!$A$3:$A$3000,Щит_спец),""))),""))))</f>
        <v>53</v>
      </c>
      <c r="O4" s="74"/>
      <c r="P4" s="38">
        <f t="shared" ref="P4:P67" si="0">IF(COUNT(N4,O4)=0,"",SUM(N4,O4))</f>
        <v>53</v>
      </c>
      <c r="R4" s="38" t="s">
        <v>668</v>
      </c>
      <c r="S4" s="74" t="s">
        <v>284</v>
      </c>
      <c r="U4" s="38" t="str">
        <f t="shared" ref="U4:U67" si="1">IF(OR(A4="Автомат",A4="Дифавтомат"),I4&amp;" С"&amp;J4&amp;"А"&amp;IF(K4="да"," 30мА",IF(ISNUMBER(K4)," "&amp;K4&amp;"мА","")),"")</f>
        <v>1P С10А</v>
      </c>
      <c r="V4" s="38" t="str">
        <f t="shared" ref="V4:V67" si="2">IF(U4="","",B4&amp;"|"&amp;U4)</f>
        <v>Chint|1P С10А</v>
      </c>
      <c r="W4" s="38">
        <f>IF(AND(U4&lt;&gt;"",OR($S$4="(все)",B4=$S$4),IF($S$4="(все)",COUNTIF($U$4:U4,U4),COUNTIFS($U$4:U4,U4,$B$4:B4,B4))=1),MAX($W$3:W3)+1,"")</f>
        <v>1</v>
      </c>
      <c r="X4" s="38" t="str">
        <f t="shared" ref="X4:X67" si="3">IFERROR(INDEX($U$4:$U$500,MATCH(ROW()-3,$W$4:$W$500,0)),"")</f>
        <v>1P С10А</v>
      </c>
      <c r="Y4" s="38" t="str">
        <f>IF(AND(A4="Аппарат",C4&lt;&gt;"",OR($S$5="(все)",B4=$S$5)),MAX($Y$3:Y3)+1,"")</f>
        <v/>
      </c>
      <c r="Z4" s="38" t="str">
        <f t="shared" ref="Z4:Z67" si="4">IFERROR(INDEX($C$4:$C$500,MATCH(ROW()-3,$Y$4:$Y$500,0)),"")</f>
        <v>МК-5-1</v>
      </c>
      <c r="AA4" s="38" t="str">
        <f>IF(AND(A4="Модуль",C4&lt;&gt;"",OR($S$6="(все)",B4=$S$6)),MAX($AA$3:AA3)+1,"")</f>
        <v/>
      </c>
      <c r="AB4" s="38" t="str">
        <f t="shared" ref="AB4:AB67" si="5">IFERROR(INDEX($C$4:$C$500,MATCH(ROW()-3,$AA$4:$AA$500,0)),"")</f>
        <v>ZIOMB24V2</v>
      </c>
      <c r="AC4" s="38">
        <f>IF(OR(B4="",COUNTIF($B$4:B4,B4)&gt;1),"",MAX($AC$3:AC3)+1)</f>
        <v>1</v>
      </c>
      <c r="AD4" s="38" t="str">
        <f t="shared" ref="AD4:AD67" si="6">IFERROR(INDEX($B$4:$B$500,MATCH(ROW()-3,$AC$4:$AC$500,0)),"")</f>
        <v>Chint</v>
      </c>
      <c r="AE4" s="38">
        <f t="shared" ref="AE4:AE67" si="7">IF(AND(A4&lt;&gt;"",N(P4)&gt;0),IFERROR(MATCH(A4,$R$12:$R$25,0),99)*1000+ROW(),"")</f>
        <v>2004</v>
      </c>
      <c r="AF4" s="38">
        <f t="shared" ref="AF4:AF67" si="8">IF(AE4="","",COUNTIF($AE$4:$AE$500,"&lt;="&amp;AE4))</f>
        <v>1</v>
      </c>
      <c r="AG4" s="38" t="str">
        <f>IF(Спецификация_авто!$L$4="","",IF(IF($S$4="(все)",COUNTIF($U$4:$U$500,Спецификация_авто!$L$4),COUNTIF($V$4:$V$500,$S$4&amp;"|"&amp;Спецификация_авто!$L$4))=0,Спецификация_авто!$L$4,""))</f>
        <v>3P С630А</v>
      </c>
      <c r="AH4" s="38">
        <f>IF(AG4="","",COUNTIF($AG$4:AG4,"?*"))</f>
        <v>1</v>
      </c>
    </row>
    <row r="5" spans="1:34" x14ac:dyDescent="0.3">
      <c r="A5" s="74" t="s">
        <v>7</v>
      </c>
      <c r="B5" s="74" t="s">
        <v>284</v>
      </c>
      <c r="C5" s="74" t="s">
        <v>669</v>
      </c>
      <c r="D5" s="74"/>
      <c r="E5" s="74"/>
      <c r="F5" s="74"/>
      <c r="G5" s="74" t="s">
        <v>670</v>
      </c>
      <c r="H5" s="74" t="s">
        <v>288</v>
      </c>
      <c r="I5" s="74" t="s">
        <v>667</v>
      </c>
      <c r="J5" s="74">
        <v>16</v>
      </c>
      <c r="K5" s="74" t="s">
        <v>484</v>
      </c>
      <c r="L5" s="74">
        <v>1</v>
      </c>
      <c r="M5" s="74" t="s">
        <v>280</v>
      </c>
      <c r="N5" s="38">
        <f>IF(OR(A5="Автомат",A5="Дифавтомат"),IF(W5="","",COUNTIFS(Однолинейка!$H$3:$H$3000,U5,Однолинейка!$A$3:$A$3000,Щит_спец)),IF(A5="Аппарат",IF(C5="","",COUNTIFS(Однолинейка!$I$3:$I$3000,C5,Однолинейка!$A$3:$A$3000,Щит_спец)+COUNTIFS(Однолинейка!$J$3:$J$3000,C5,Однолинейка!$A$3:$A$3000,Щит_спец)+COUNTIFS(Однолинейка!$K$3:$K$3000,C5,Однолинейка!$A$3:$A$3000,Щит_спец)),IF(A5="Модуль",IF(C5="","",COUNTIFS(Однолинейка!$AW$3:$AW$3000,"?*",Однолинейка!$AI$3:$AI$3000,C5,Однолинейка!$A$3:$A$3000,Щит_спец)),IF(A5="Клемма",IF(C5="","",IF(C5=$S$7,SUMIFS(Однолинейка!$BW$3:$BW$3000,Однолинейка!$A$3:$A$3000,Щит_спец),IF(C5=$S$8,SUMIFS(Однолинейка!$BX$3:$BX$3000,Однолинейка!$A$3:$A$3000,Щит_спец),""))),""))))</f>
        <v>54</v>
      </c>
      <c r="O5" s="74"/>
      <c r="P5" s="38">
        <f t="shared" si="0"/>
        <v>54</v>
      </c>
      <c r="R5" s="38" t="s">
        <v>671</v>
      </c>
      <c r="S5" s="74" t="s">
        <v>660</v>
      </c>
      <c r="U5" s="38" t="str">
        <f t="shared" si="1"/>
        <v>1P С16А</v>
      </c>
      <c r="V5" s="38" t="str">
        <f t="shared" si="2"/>
        <v>Chint|1P С16А</v>
      </c>
      <c r="W5" s="38">
        <f>IF(AND(U5&lt;&gt;"",OR($S$4="(все)",B5=$S$4),IF($S$4="(все)",COUNTIF($U$4:U5,U5),COUNTIFS($U$4:U5,U5,$B$4:B5,B5))=1),MAX($W$3:W4)+1,"")</f>
        <v>2</v>
      </c>
      <c r="X5" s="38" t="str">
        <f t="shared" si="3"/>
        <v>1P С16А</v>
      </c>
      <c r="Y5" s="38" t="str">
        <f>IF(AND(A5="Аппарат",C5&lt;&gt;"",OR($S$5="(все)",B5=$S$5)),MAX($Y$3:Y4)+1,"")</f>
        <v/>
      </c>
      <c r="Z5" s="38" t="str">
        <f t="shared" si="4"/>
        <v>КМ NCH8-63/40</v>
      </c>
      <c r="AA5" s="38" t="str">
        <f>IF(AND(A5="Модуль",C5&lt;&gt;"",OR($S$6="(все)",B5=$S$6)),MAX($AA$3:AA4)+1,"")</f>
        <v/>
      </c>
      <c r="AB5" s="38" t="str">
        <f t="shared" si="5"/>
        <v>ZIO-MB24</v>
      </c>
      <c r="AC5" s="38" t="str">
        <f>IF(OR(B5="",COUNTIF($B$4:B5,B5)&gt;1),"",MAX($AC$3:AC4)+1)</f>
        <v/>
      </c>
      <c r="AD5" s="38" t="str">
        <f t="shared" si="6"/>
        <v>Россия</v>
      </c>
      <c r="AE5" s="38">
        <f t="shared" si="7"/>
        <v>2005</v>
      </c>
      <c r="AF5" s="38">
        <f t="shared" si="8"/>
        <v>2</v>
      </c>
      <c r="AG5" s="38" t="str">
        <f>IF(Спецификация_авто!$L$5="","",IF(IF($S$4="(все)",COUNTIF($U$4:$U$500,Спецификация_авто!$L$5),COUNTIF($V$4:$V$500,$S$4&amp;"|"&amp;Спецификация_авто!$L$5))=0,Спецификация_авто!$L$5,""))</f>
        <v/>
      </c>
      <c r="AH5" s="38" t="str">
        <f>IF(AG5="","",COUNTIF($AG$4:AG5,"?*"))</f>
        <v/>
      </c>
    </row>
    <row r="6" spans="1:34" x14ac:dyDescent="0.3">
      <c r="A6" s="74" t="s">
        <v>7</v>
      </c>
      <c r="B6" s="74" t="s">
        <v>284</v>
      </c>
      <c r="C6" s="74" t="s">
        <v>672</v>
      </c>
      <c r="D6" s="74"/>
      <c r="E6" s="74"/>
      <c r="F6" s="74"/>
      <c r="G6" s="74" t="s">
        <v>673</v>
      </c>
      <c r="H6" s="74" t="s">
        <v>674</v>
      </c>
      <c r="I6" s="74" t="s">
        <v>675</v>
      </c>
      <c r="J6" s="74">
        <v>20</v>
      </c>
      <c r="K6" s="74" t="s">
        <v>484</v>
      </c>
      <c r="L6" s="74">
        <v>3</v>
      </c>
      <c r="M6" s="74" t="s">
        <v>280</v>
      </c>
      <c r="N6" s="38">
        <f>IF(OR(A6="Автомат",A6="Дифавтомат"),IF(W6="","",COUNTIFS(Однолинейка!$H$3:$H$3000,U6,Однолинейка!$A$3:$A$3000,Щит_спец)),IF(A6="Аппарат",IF(C6="","",COUNTIFS(Однолинейка!$I$3:$I$3000,C6,Однолинейка!$A$3:$A$3000,Щит_спец)+COUNTIFS(Однолинейка!$J$3:$J$3000,C6,Однолинейка!$A$3:$A$3000,Щит_спец)+COUNTIFS(Однолинейка!$K$3:$K$3000,C6,Однолинейка!$A$3:$A$3000,Щит_спец)),IF(A6="Модуль",IF(C6="","",COUNTIFS(Однолинейка!$AW$3:$AW$3000,"?*",Однолинейка!$AI$3:$AI$3000,C6,Однолинейка!$A$3:$A$3000,Щит_спец)),IF(A6="Клемма",IF(C6="","",IF(C6=$S$7,SUMIFS(Однолинейка!$BW$3:$BW$3000,Однолинейка!$A$3:$A$3000,Щит_спец),IF(C6=$S$8,SUMIFS(Однолинейка!$BX$3:$BX$3000,Однолинейка!$A$3:$A$3000,Щит_спец),""))),""))))</f>
        <v>6</v>
      </c>
      <c r="O6" s="74"/>
      <c r="P6" s="38">
        <f t="shared" si="0"/>
        <v>6</v>
      </c>
      <c r="R6" s="38" t="s">
        <v>676</v>
      </c>
      <c r="S6" s="74" t="s">
        <v>660</v>
      </c>
      <c r="U6" s="38" t="str">
        <f t="shared" si="1"/>
        <v>3P С20А</v>
      </c>
      <c r="V6" s="38" t="str">
        <f t="shared" si="2"/>
        <v>Chint|3P С20А</v>
      </c>
      <c r="W6" s="38">
        <f>IF(AND(U6&lt;&gt;"",OR($S$4="(все)",B6=$S$4),IF($S$4="(все)",COUNTIF($U$4:U6,U6),COUNTIFS($U$4:U6,U6,$B$4:B6,B6))=1),MAX($W$3:W5)+1,"")</f>
        <v>3</v>
      </c>
      <c r="X6" s="38" t="str">
        <f t="shared" si="3"/>
        <v>3P С20А</v>
      </c>
      <c r="Y6" s="38" t="str">
        <f>IF(AND(A6="Аппарат",C6&lt;&gt;"",OR($S$5="(все)",B6=$S$5)),MAX($Y$3:Y5)+1,"")</f>
        <v/>
      </c>
      <c r="Z6" s="38" t="str">
        <f t="shared" si="4"/>
        <v>КМ NCH8-40/40</v>
      </c>
      <c r="AA6" s="38" t="str">
        <f>IF(AND(A6="Модуль",C6&lt;&gt;"",OR($S$6="(все)",B6=$S$6)),MAX($AA$3:AA5)+1,"")</f>
        <v/>
      </c>
      <c r="AB6" s="38" t="str">
        <f t="shared" si="5"/>
        <v>ZIOMB16V3</v>
      </c>
      <c r="AC6" s="38" t="str">
        <f>IF(OR(B6="",COUNTIF($B$4:B6,B6)&gt;1),"",MAX($AC$3:AC5)+1)</f>
        <v/>
      </c>
      <c r="AD6" s="38" t="str">
        <f t="shared" si="6"/>
        <v>Arlight</v>
      </c>
      <c r="AE6" s="38">
        <f t="shared" si="7"/>
        <v>2006</v>
      </c>
      <c r="AF6" s="38">
        <f t="shared" si="8"/>
        <v>3</v>
      </c>
      <c r="AG6" s="38" t="str">
        <f>IF(Спецификация_авто!$L$6="","",IF(IF($S$4="(все)",COUNTIF($U$4:$U$500,Спецификация_авто!$L$6),COUNTIF($V$4:$V$500,$S$4&amp;"|"&amp;Спецификация_авто!$L$6))=0,Спецификация_авто!$L$6,""))</f>
        <v>3P С25А</v>
      </c>
      <c r="AH6" s="38">
        <f>IF(AG6="","",COUNTIF($AG$4:AG6,"?*"))</f>
        <v>2</v>
      </c>
    </row>
    <row r="7" spans="1:34" x14ac:dyDescent="0.3">
      <c r="A7" s="74" t="s">
        <v>7</v>
      </c>
      <c r="B7" s="74" t="s">
        <v>284</v>
      </c>
      <c r="C7" s="74" t="s">
        <v>677</v>
      </c>
      <c r="D7" s="74"/>
      <c r="E7" s="74"/>
      <c r="F7" s="74"/>
      <c r="G7" s="74" t="s">
        <v>678</v>
      </c>
      <c r="H7" s="74" t="s">
        <v>679</v>
      </c>
      <c r="I7" s="74" t="s">
        <v>680</v>
      </c>
      <c r="J7" s="74">
        <v>50</v>
      </c>
      <c r="K7" s="74" t="s">
        <v>484</v>
      </c>
      <c r="L7" s="74">
        <v>4</v>
      </c>
      <c r="M7" s="74" t="s">
        <v>280</v>
      </c>
      <c r="N7" s="38">
        <f>IF(OR(A7="Автомат",A7="Дифавтомат"),IF(W7="","",COUNTIFS(Однолинейка!$H$3:$H$3000,U7,Однолинейка!$A$3:$A$3000,Щит_спец)),IF(A7="Аппарат",IF(C7="","",COUNTIFS(Однолинейка!$I$3:$I$3000,C7,Однолинейка!$A$3:$A$3000,Щит_спец)+COUNTIFS(Однолинейка!$J$3:$J$3000,C7,Однолинейка!$A$3:$A$3000,Щит_спец)+COUNTIFS(Однолинейка!$K$3:$K$3000,C7,Однолинейка!$A$3:$A$3000,Щит_спец)),IF(A7="Модуль",IF(C7="","",COUNTIFS(Однолинейка!$AW$3:$AW$3000,"?*",Однолинейка!$AI$3:$AI$3000,C7,Однолинейка!$A$3:$A$3000,Щит_спец)),IF(A7="Клемма",IF(C7="","",IF(C7=$S$7,SUMIFS(Однолинейка!$BW$3:$BW$3000,Однолинейка!$A$3:$A$3000,Щит_спец),IF(C7=$S$8,SUMIFS(Однолинейка!$BX$3:$BX$3000,Однолинейка!$A$3:$A$3000,Щит_спец),""))),""))))</f>
        <v>0</v>
      </c>
      <c r="O7" s="74"/>
      <c r="P7" s="38">
        <f t="shared" si="0"/>
        <v>0</v>
      </c>
      <c r="R7" s="38" t="s">
        <v>681</v>
      </c>
      <c r="S7" s="74" t="s">
        <v>315</v>
      </c>
      <c r="U7" s="38" t="str">
        <f t="shared" si="1"/>
        <v>4P С50А</v>
      </c>
      <c r="V7" s="38" t="str">
        <f t="shared" si="2"/>
        <v>Chint|4P С50А</v>
      </c>
      <c r="W7" s="38">
        <f>IF(AND(U7&lt;&gt;"",OR($S$4="(все)",B7=$S$4),IF($S$4="(все)",COUNTIF($U$4:U7,U7),COUNTIFS($U$4:U7,U7,$B$4:B7,B7))=1),MAX($W$3:W6)+1,"")</f>
        <v>4</v>
      </c>
      <c r="X7" s="38" t="str">
        <f t="shared" si="3"/>
        <v>4P С50А</v>
      </c>
      <c r="Y7" s="38" t="str">
        <f>IF(AND(A7="Аппарат",C7&lt;&gt;"",OR($S$5="(все)",B7=$S$5)),MAX($Y$3:Y6)+1,"")</f>
        <v/>
      </c>
      <c r="Z7" s="38" t="str">
        <f t="shared" si="4"/>
        <v>NJVA1-100</v>
      </c>
      <c r="AA7" s="38" t="str">
        <f>IF(AND(A7="Модуль",C7&lt;&gt;"",OR($S$6="(все)",B7=$S$6)),MAX($AA$3:AA6)+1,"")</f>
        <v/>
      </c>
      <c r="AB7" s="38" t="str">
        <f t="shared" si="5"/>
        <v>ZIOMB8V3</v>
      </c>
      <c r="AC7" s="38" t="str">
        <f>IF(OR(B7="",COUNTIF($B$4:B7,B7)&gt;1),"",MAX($AC$3:AC6)+1)</f>
        <v/>
      </c>
      <c r="AD7" s="38" t="str">
        <f t="shared" si="6"/>
        <v>Zennio</v>
      </c>
      <c r="AE7" s="38" t="str">
        <f t="shared" si="7"/>
        <v/>
      </c>
      <c r="AF7" s="38" t="str">
        <f t="shared" si="8"/>
        <v/>
      </c>
      <c r="AG7" s="38" t="str">
        <f>IF(Спецификация_авто!$L$7="","",IF(IF($S$4="(все)",COUNTIF($U$4:$U$500,Спецификация_авто!$L$7),COUNTIF($V$4:$V$500,$S$4&amp;"|"&amp;Спецификация_авто!$L$7))=0,Спецификация_авто!$L$7,""))</f>
        <v>3P С400А</v>
      </c>
      <c r="AH7" s="38">
        <f>IF(AG7="","",COUNTIF($AG$4:AG7,"?*"))</f>
        <v>3</v>
      </c>
    </row>
    <row r="8" spans="1:34" x14ac:dyDescent="0.3">
      <c r="A8" s="74" t="s">
        <v>7</v>
      </c>
      <c r="B8" s="74" t="s">
        <v>284</v>
      </c>
      <c r="C8" s="74" t="s">
        <v>682</v>
      </c>
      <c r="D8" s="74"/>
      <c r="E8" s="74"/>
      <c r="F8" s="74"/>
      <c r="G8" s="74" t="s">
        <v>683</v>
      </c>
      <c r="H8" s="74" t="s">
        <v>365</v>
      </c>
      <c r="I8" s="74" t="s">
        <v>675</v>
      </c>
      <c r="J8" s="74">
        <v>80</v>
      </c>
      <c r="K8" s="74" t="s">
        <v>484</v>
      </c>
      <c r="L8" s="74">
        <v>4.5</v>
      </c>
      <c r="M8" s="74" t="s">
        <v>280</v>
      </c>
      <c r="N8" s="38">
        <f>IF(OR(A8="Автомат",A8="Дифавтомат"),IF(W8="","",COUNTIFS(Однолинейка!$H$3:$H$3000,U8,Однолинейка!$A$3:$A$3000,Щит_спец)),IF(A8="Аппарат",IF(C8="","",COUNTIFS(Однолинейка!$I$3:$I$3000,C8,Однолинейка!$A$3:$A$3000,Щит_спец)+COUNTIFS(Однолинейка!$J$3:$J$3000,C8,Однолинейка!$A$3:$A$3000,Щит_спец)+COUNTIFS(Однолинейка!$K$3:$K$3000,C8,Однолинейка!$A$3:$A$3000,Щит_спец)),IF(A8="Модуль",IF(C8="","",COUNTIFS(Однолинейка!$AW$3:$AW$3000,"?*",Однолинейка!$AI$3:$AI$3000,C8,Однолинейка!$A$3:$A$3000,Щит_спец)),IF(A8="Клемма",IF(C8="","",IF(C8=$S$7,SUMIFS(Однолинейка!$BW$3:$BW$3000,Однолинейка!$A$3:$A$3000,Щит_спец),IF(C8=$S$8,SUMIFS(Однолинейка!$BX$3:$BX$3000,Однолинейка!$A$3:$A$3000,Щит_спец),""))),""))))</f>
        <v>0</v>
      </c>
      <c r="O8" s="74"/>
      <c r="P8" s="38">
        <f t="shared" si="0"/>
        <v>0</v>
      </c>
      <c r="R8" s="38" t="s">
        <v>684</v>
      </c>
      <c r="S8" s="74" t="s">
        <v>396</v>
      </c>
      <c r="U8" s="38" t="str">
        <f t="shared" si="1"/>
        <v>3P С80А</v>
      </c>
      <c r="V8" s="38" t="str">
        <f t="shared" si="2"/>
        <v>Chint|3P С80А</v>
      </c>
      <c r="W8" s="38">
        <f>IF(AND(U8&lt;&gt;"",OR($S$4="(все)",B8=$S$4),IF($S$4="(все)",COUNTIF($U$4:U8,U8),COUNTIFS($U$4:U8,U8,$B$4:B8,B8))=1),MAX($W$3:W7)+1,"")</f>
        <v>5</v>
      </c>
      <c r="X8" s="38" t="str">
        <f t="shared" si="3"/>
        <v>3P С80А</v>
      </c>
      <c r="Y8" s="38" t="str">
        <f>IF(AND(A8="Аппарат",C8&lt;&gt;"",OR($S$5="(все)",B8=$S$5)),MAX($Y$3:Y7)+1,"")</f>
        <v/>
      </c>
      <c r="Z8" s="38" t="str">
        <f t="shared" si="4"/>
        <v>NZK1-32 2P</v>
      </c>
      <c r="AA8" s="38" t="str">
        <f>IF(AND(A8="Модуль",C8&lt;&gt;"",OR($S$6="(все)",B8=$S$6)),MAX($AA$3:AA7)+1,"")</f>
        <v/>
      </c>
      <c r="AB8" s="38" t="str">
        <f t="shared" si="5"/>
        <v>ZCL-8HT230</v>
      </c>
      <c r="AC8" s="38" t="str">
        <f>IF(OR(B8="",COUNTIF($B$4:B8,B8)&gt;1),"",MAX($AC$3:AC7)+1)</f>
        <v/>
      </c>
      <c r="AD8" s="38" t="str">
        <f t="shared" si="6"/>
        <v>—</v>
      </c>
      <c r="AE8" s="38" t="str">
        <f t="shared" si="7"/>
        <v/>
      </c>
      <c r="AF8" s="38" t="str">
        <f t="shared" si="8"/>
        <v/>
      </c>
      <c r="AG8" s="38" t="str">
        <f>IF(Спецификация_авто!$L$8="","",IF(IF($S$4="(все)",COUNTIF($U$4:$U$500,Спецификация_авто!$L$8),COUNTIF($V$4:$V$500,$S$4&amp;"|"&amp;Спецификация_авто!$L$8))=0,Спецификация_авто!$L$8,""))</f>
        <v>3P С16А</v>
      </c>
      <c r="AH8" s="38">
        <f>IF(AG8="","",COUNTIF($AG$4:AG8,"?*"))</f>
        <v>4</v>
      </c>
    </row>
    <row r="9" spans="1:34" x14ac:dyDescent="0.3">
      <c r="A9" s="74" t="s">
        <v>685</v>
      </c>
      <c r="B9" s="74" t="s">
        <v>284</v>
      </c>
      <c r="C9" s="74" t="s">
        <v>686</v>
      </c>
      <c r="D9" s="74"/>
      <c r="E9" s="74"/>
      <c r="F9" s="74"/>
      <c r="G9" s="74" t="s">
        <v>687</v>
      </c>
      <c r="H9" s="74" t="s">
        <v>291</v>
      </c>
      <c r="I9" s="74" t="s">
        <v>688</v>
      </c>
      <c r="J9" s="74">
        <v>16</v>
      </c>
      <c r="K9" s="74" t="s">
        <v>488</v>
      </c>
      <c r="L9" s="74">
        <v>2</v>
      </c>
      <c r="M9" s="74" t="s">
        <v>280</v>
      </c>
      <c r="N9" s="38">
        <f>IF(OR(A9="Автомат",A9="Дифавтомат"),IF(W9="","",COUNTIFS(Однолинейка!$H$3:$H$3000,U9,Однолинейка!$A$3:$A$3000,Щит_спец)),IF(A9="Аппарат",IF(C9="","",COUNTIFS(Однолинейка!$I$3:$I$3000,C9,Однолинейка!$A$3:$A$3000,Щит_спец)+COUNTIFS(Однолинейка!$J$3:$J$3000,C9,Однолинейка!$A$3:$A$3000,Щит_спец)+COUNTIFS(Однолинейка!$K$3:$K$3000,C9,Однолинейка!$A$3:$A$3000,Щит_спец)),IF(A9="Модуль",IF(C9="","",COUNTIFS(Однолинейка!$AW$3:$AW$3000,"?*",Однолинейка!$AI$3:$AI$3000,C9,Однолинейка!$A$3:$A$3000,Щит_спец)),IF(A9="Клемма",IF(C9="","",IF(C9=$S$7,SUMIFS(Однолинейка!$BW$3:$BW$3000,Однолинейка!$A$3:$A$3000,Щит_спец),IF(C9=$S$8,SUMIFS(Однолинейка!$BX$3:$BX$3000,Однолинейка!$A$3:$A$3000,Щит_спец),""))),""))))</f>
        <v>139</v>
      </c>
      <c r="O9" s="74"/>
      <c r="P9" s="38">
        <f t="shared" si="0"/>
        <v>139</v>
      </c>
      <c r="R9" s="38" t="s">
        <v>689</v>
      </c>
      <c r="S9" s="74">
        <v>1</v>
      </c>
      <c r="U9" s="38" t="str">
        <f t="shared" si="1"/>
        <v>2P С16А 30мА</v>
      </c>
      <c r="V9" s="38" t="str">
        <f t="shared" si="2"/>
        <v>Chint|2P С16А 30мА</v>
      </c>
      <c r="W9" s="38">
        <f>IF(AND(U9&lt;&gt;"",OR($S$4="(все)",B9=$S$4),IF($S$4="(все)",COUNTIF($U$4:U9,U9),COUNTIFS($U$4:U9,U9,$B$4:B9,B9))=1),MAX($W$3:W8)+1,"")</f>
        <v>6</v>
      </c>
      <c r="X9" s="38" t="str">
        <f t="shared" si="3"/>
        <v>2P С16А 30мА</v>
      </c>
      <c r="Y9" s="38" t="str">
        <f>IF(AND(A9="Аппарат",C9&lt;&gt;"",OR($S$5="(все)",B9=$S$5)),MAX($Y$3:Y8)+1,"")</f>
        <v/>
      </c>
      <c r="Z9" s="38" t="str">
        <f t="shared" si="4"/>
        <v>БП 24V 480W</v>
      </c>
      <c r="AA9" s="38" t="str">
        <f>IF(AND(A9="Модуль",C9&lt;&gt;"",OR($S$6="(все)",B9=$S$6)),MAX($AA$3:AA8)+1,"")</f>
        <v/>
      </c>
      <c r="AB9" s="38" t="str">
        <f t="shared" si="5"/>
        <v>ZDINDX4</v>
      </c>
      <c r="AC9" s="38" t="str">
        <f>IF(OR(B9="",COUNTIF($B$4:B9,B9)&gt;1),"",MAX($AC$3:AC8)+1)</f>
        <v/>
      </c>
      <c r="AD9" s="38" t="str">
        <f t="shared" si="6"/>
        <v>DKC</v>
      </c>
      <c r="AE9" s="38">
        <f t="shared" si="7"/>
        <v>3009</v>
      </c>
      <c r="AF9" s="38">
        <f t="shared" si="8"/>
        <v>4</v>
      </c>
      <c r="AG9" s="38" t="str">
        <f>IF(Спецификация_авто!$L$9="","",IF(IF($S$4="(все)",COUNTIF($U$4:$U$500,Спецификация_авто!$L$9),COUNTIF($V$4:$V$500,$S$4&amp;"|"&amp;Спецификация_авто!$L$9))=0,Спецификация_авто!$L$9,""))</f>
        <v/>
      </c>
      <c r="AH9" s="38" t="str">
        <f>IF(AG9="","",COUNTIF($AG$4:AG9,"?*"))</f>
        <v/>
      </c>
    </row>
    <row r="10" spans="1:34" x14ac:dyDescent="0.3">
      <c r="A10" s="74" t="s">
        <v>685</v>
      </c>
      <c r="B10" s="74" t="s">
        <v>284</v>
      </c>
      <c r="C10" s="74" t="s">
        <v>690</v>
      </c>
      <c r="D10" s="74"/>
      <c r="E10" s="74"/>
      <c r="F10" s="74"/>
      <c r="G10" s="74" t="s">
        <v>691</v>
      </c>
      <c r="H10" s="74" t="s">
        <v>381</v>
      </c>
      <c r="I10" s="74" t="s">
        <v>688</v>
      </c>
      <c r="J10" s="74">
        <v>20</v>
      </c>
      <c r="K10" s="74" t="s">
        <v>488</v>
      </c>
      <c r="L10" s="74">
        <v>2</v>
      </c>
      <c r="M10" s="74" t="s">
        <v>280</v>
      </c>
      <c r="N10" s="38">
        <f>IF(OR(A10="Автомат",A10="Дифавтомат"),IF(W10="","",COUNTIFS(Однолинейка!$H$3:$H$3000,U10,Однолинейка!$A$3:$A$3000,Щит_спец)),IF(A10="Аппарат",IF(C10="","",COUNTIFS(Однолинейка!$I$3:$I$3000,C10,Однолинейка!$A$3:$A$3000,Щит_спец)+COUNTIFS(Однолинейка!$J$3:$J$3000,C10,Однолинейка!$A$3:$A$3000,Щит_спец)+COUNTIFS(Однолинейка!$K$3:$K$3000,C10,Однолинейка!$A$3:$A$3000,Щит_спец)),IF(A10="Модуль",IF(C10="","",COUNTIFS(Однолинейка!$AW$3:$AW$3000,"?*",Однолинейка!$AI$3:$AI$3000,C10,Однолинейка!$A$3:$A$3000,Щит_спец)),IF(A10="Клемма",IF(C10="","",IF(C10=$S$7,SUMIFS(Однолинейка!$BW$3:$BW$3000,Однолинейка!$A$3:$A$3000,Щит_спец),IF(C10=$S$8,SUMIFS(Однолинейка!$BX$3:$BX$3000,Однолинейка!$A$3:$A$3000,Щит_спец),""))),""))))</f>
        <v>3</v>
      </c>
      <c r="O10" s="74"/>
      <c r="P10" s="38">
        <f t="shared" si="0"/>
        <v>3</v>
      </c>
      <c r="U10" s="38" t="str">
        <f t="shared" si="1"/>
        <v>2P С20А 30мА</v>
      </c>
      <c r="V10" s="38" t="str">
        <f t="shared" si="2"/>
        <v>Chint|2P С20А 30мА</v>
      </c>
      <c r="W10" s="38">
        <f>IF(AND(U10&lt;&gt;"",OR($S$4="(все)",B10=$S$4),IF($S$4="(все)",COUNTIF($U$4:U10,U10),COUNTIFS($U$4:U10,U10,$B$4:B10,B10))=1),MAX($W$3:W9)+1,"")</f>
        <v>7</v>
      </c>
      <c r="X10" s="38" t="str">
        <f t="shared" si="3"/>
        <v>2P С20А 30мА</v>
      </c>
      <c r="Y10" s="38" t="str">
        <f>IF(AND(A10="Аппарат",C10&lt;&gt;"",OR($S$5="(все)",B10=$S$5)),MAX($Y$3:Y9)+1,"")</f>
        <v/>
      </c>
      <c r="Z10" s="38" t="str">
        <f t="shared" si="4"/>
        <v>БП 24V 75W</v>
      </c>
      <c r="AA10" s="38" t="str">
        <f>IF(AND(A10="Модуль",C10&lt;&gt;"",OR($S$6="(все)",B10=$S$6)),MAX($AA$3:AA9)+1,"")</f>
        <v/>
      </c>
      <c r="AB10" s="38" t="str">
        <f t="shared" si="5"/>
        <v>ZDID64X2</v>
      </c>
      <c r="AC10" s="38" t="str">
        <f>IF(OR(B10="",COUNTIF($B$4:B10,B10)&gt;1),"",MAX($AC$3:AC9)+1)</f>
        <v/>
      </c>
      <c r="AD10" s="38" t="str">
        <f t="shared" si="6"/>
        <v>EKF</v>
      </c>
      <c r="AE10" s="38">
        <f t="shared" si="7"/>
        <v>3010</v>
      </c>
      <c r="AF10" s="38">
        <f t="shared" si="8"/>
        <v>5</v>
      </c>
      <c r="AG10" s="38" t="str">
        <f>IF(Спецификация_авто!$L$10="","",IF(IF($S$4="(все)",COUNTIF($U$4:$U$500,Спецификация_авто!$L$10),COUNTIF($V$4:$V$500,$S$4&amp;"|"&amp;Спецификация_авто!$L$10))=0,Спецификация_авто!$L$10,""))</f>
        <v>3P С6А</v>
      </c>
      <c r="AH10" s="38">
        <f>IF(AG10="","",COUNTIF($AG$4:AG10,"?*"))</f>
        <v>5</v>
      </c>
    </row>
    <row r="11" spans="1:34" ht="27.6" x14ac:dyDescent="0.3">
      <c r="A11" s="74" t="s">
        <v>685</v>
      </c>
      <c r="B11" s="74" t="s">
        <v>284</v>
      </c>
      <c r="C11" s="74" t="s">
        <v>692</v>
      </c>
      <c r="D11" s="74"/>
      <c r="E11" s="74"/>
      <c r="F11" s="74"/>
      <c r="G11" s="74" t="s">
        <v>693</v>
      </c>
      <c r="H11" s="74" t="s">
        <v>290</v>
      </c>
      <c r="I11" s="74" t="s">
        <v>688</v>
      </c>
      <c r="J11" s="74">
        <v>32</v>
      </c>
      <c r="K11" s="74" t="s">
        <v>488</v>
      </c>
      <c r="L11" s="74">
        <v>2</v>
      </c>
      <c r="M11" s="74" t="s">
        <v>280</v>
      </c>
      <c r="N11" s="38">
        <f>IF(OR(A11="Автомат",A11="Дифавтомат"),IF(W11="","",COUNTIFS(Однолинейка!$H$3:$H$3000,U11,Однолинейка!$A$3:$A$3000,Щит_спец)),IF(A11="Аппарат",IF(C11="","",COUNTIFS(Однолинейка!$I$3:$I$3000,C11,Однолинейка!$A$3:$A$3000,Щит_спец)+COUNTIFS(Однолинейка!$J$3:$J$3000,C11,Однолинейка!$A$3:$A$3000,Щит_спец)+COUNTIFS(Однолинейка!$K$3:$K$3000,C11,Однолинейка!$A$3:$A$3000,Щит_спец)),IF(A11="Модуль",IF(C11="","",COUNTIFS(Однолинейка!$AW$3:$AW$3000,"?*",Однолинейка!$AI$3:$AI$3000,C11,Однолинейка!$A$3:$A$3000,Щит_спец)),IF(A11="Клемма",IF(C11="","",IF(C11=$S$7,SUMIFS(Однолинейка!$BW$3:$BW$3000,Однолинейка!$A$3:$A$3000,Щит_спец),IF(C11=$S$8,SUMIFS(Однолинейка!$BX$3:$BX$3000,Однолинейка!$A$3:$A$3000,Щит_спец),""))),""))))</f>
        <v>0</v>
      </c>
      <c r="O11" s="74"/>
      <c r="P11" s="38">
        <f t="shared" si="0"/>
        <v>0</v>
      </c>
      <c r="R11" s="35" t="s">
        <v>694</v>
      </c>
      <c r="S11" s="35"/>
      <c r="U11" s="38" t="str">
        <f t="shared" si="1"/>
        <v>2P С32А 30мА</v>
      </c>
      <c r="V11" s="38" t="str">
        <f t="shared" si="2"/>
        <v>Chint|2P С32А 30мА</v>
      </c>
      <c r="W11" s="38">
        <f>IF(AND(U11&lt;&gt;"",OR($S$4="(все)",B11=$S$4),IF($S$4="(все)",COUNTIF($U$4:U11,U11),COUNTIFS($U$4:U11,U11,$B$4:B11,B11))=1),MAX($W$3:W10)+1,"")</f>
        <v>8</v>
      </c>
      <c r="X11" s="38" t="str">
        <f t="shared" si="3"/>
        <v>2P С32А 30мА</v>
      </c>
      <c r="Y11" s="38" t="str">
        <f>IF(AND(A11="Аппарат",C11&lt;&gt;"",OR($S$5="(все)",B11=$S$5)),MAX($Y$3:Y10)+1,"")</f>
        <v/>
      </c>
      <c r="Z11" s="38" t="str">
        <f t="shared" si="4"/>
        <v>БП 12V 135W</v>
      </c>
      <c r="AA11" s="38" t="str">
        <f>IF(AND(A11="Модуль",C11&lt;&gt;"",OR($S$6="(все)",B11=$S$6)),MAX($AA$3:AA10)+1,"")</f>
        <v/>
      </c>
      <c r="AB11" s="38" t="str">
        <f t="shared" si="5"/>
        <v>ZIO-RQUAD8</v>
      </c>
      <c r="AC11" s="38" t="str">
        <f>IF(OR(B11="",COUNTIF($B$4:B11,B11)&gt;1),"",MAX($AC$3:AC10)+1)</f>
        <v/>
      </c>
      <c r="AD11" s="38" t="str">
        <f t="shared" si="6"/>
        <v>РЭК</v>
      </c>
      <c r="AE11" s="38" t="str">
        <f t="shared" si="7"/>
        <v/>
      </c>
      <c r="AF11" s="38" t="str">
        <f t="shared" si="8"/>
        <v/>
      </c>
      <c r="AG11" s="38" t="str">
        <f>IF(Спецификация_авто!$L$11="","",IF(IF($S$4="(все)",COUNTIF($U$4:$U$500,Спецификация_авто!$L$11),COUNTIF($V$4:$V$500,$S$4&amp;"|"&amp;Спецификация_авто!$L$11))=0,Спецификация_авто!$L$11,""))</f>
        <v>3P С40А</v>
      </c>
      <c r="AH11" s="38">
        <f>IF(AG11="","",COUNTIF($AG$4:AG11,"?*"))</f>
        <v>6</v>
      </c>
    </row>
    <row r="12" spans="1:34" x14ac:dyDescent="0.3">
      <c r="A12" s="74" t="s">
        <v>695</v>
      </c>
      <c r="B12" s="74" t="s">
        <v>297</v>
      </c>
      <c r="C12" s="74" t="s">
        <v>528</v>
      </c>
      <c r="D12" s="74"/>
      <c r="E12" s="74"/>
      <c r="F12" s="74"/>
      <c r="G12" s="74" t="s">
        <v>295</v>
      </c>
      <c r="H12" s="74" t="s">
        <v>296</v>
      </c>
      <c r="I12" s="74"/>
      <c r="J12" s="74"/>
      <c r="K12" s="74"/>
      <c r="L12" s="74">
        <v>1</v>
      </c>
      <c r="M12" s="74" t="s">
        <v>280</v>
      </c>
      <c r="N12" s="38">
        <f>IF(OR(A12="Автомат",A12="Дифавтомат"),IF(W12="","",COUNTIFS(Однолинейка!$H$3:$H$3000,U12,Однолинейка!$A$3:$A$3000,Щит_спец)),IF(A12="Аппарат",IF(C12="","",COUNTIFS(Однолинейка!$I$3:$I$3000,C12,Однолинейка!$A$3:$A$3000,Щит_спец)+COUNTIFS(Однолинейка!$J$3:$J$3000,C12,Однолинейка!$A$3:$A$3000,Щит_спец)+COUNTIFS(Однолинейка!$K$3:$K$3000,C12,Однолинейка!$A$3:$A$3000,Щит_спец)),IF(A12="Модуль",IF(C12="","",COUNTIFS(Однолинейка!$AW$3:$AW$3000,"?*",Однолинейка!$AI$3:$AI$3000,C12,Однолинейка!$A$3:$A$3000,Щит_спец)),IF(A12="Клемма",IF(C12="","",IF(C12=$S$7,SUMIFS(Однолинейка!$BW$3:$BW$3000,Однолинейка!$A$3:$A$3000,Щит_спец),IF(C12=$S$8,SUMIFS(Однолинейка!$BX$3:$BX$3000,Однолинейка!$A$3:$A$3000,Щит_спец),""))),""))))</f>
        <v>0</v>
      </c>
      <c r="O12" s="74"/>
      <c r="P12" s="38">
        <f t="shared" si="0"/>
        <v>0</v>
      </c>
      <c r="R12" s="74" t="s">
        <v>696</v>
      </c>
      <c r="U12" s="38" t="str">
        <f t="shared" si="1"/>
        <v/>
      </c>
      <c r="V12" s="38" t="str">
        <f t="shared" si="2"/>
        <v/>
      </c>
      <c r="W12" s="38" t="str">
        <f>IF(AND(U12&lt;&gt;"",OR($S$4="(все)",B12=$S$4),IF($S$4="(все)",COUNTIF($U$4:U12,U12),COUNTIFS($U$4:U12,U12,$B$4:B12,B12))=1),MAX($W$3:W11)+1,"")</f>
        <v/>
      </c>
      <c r="X12" s="38" t="str">
        <f t="shared" si="3"/>
        <v/>
      </c>
      <c r="Y12" s="38">
        <f>IF(AND(A12="Аппарат",C12&lt;&gt;"",OR($S$5="(все)",B12=$S$5)),MAX($Y$3:Y11)+1,"")</f>
        <v>1</v>
      </c>
      <c r="Z12" s="38" t="str">
        <f t="shared" si="4"/>
        <v>БП 12V 15W</v>
      </c>
      <c r="AA12" s="38" t="str">
        <f>IF(AND(A12="Модуль",C12&lt;&gt;"",OR($S$6="(все)",B12=$S$6)),MAX($AA$3:AA11)+1,"")</f>
        <v/>
      </c>
      <c r="AB12" s="38" t="str">
        <f t="shared" si="5"/>
        <v>SMART-DALI-104</v>
      </c>
      <c r="AC12" s="38">
        <f>IF(OR(B12="",COUNTIF($B$4:B12,B12)&gt;1),"",MAX($AC$3:AC11)+1)</f>
        <v>2</v>
      </c>
      <c r="AD12" s="38" t="str">
        <f t="shared" si="6"/>
        <v>КВТ</v>
      </c>
      <c r="AE12" s="38" t="str">
        <f t="shared" si="7"/>
        <v/>
      </c>
      <c r="AF12" s="38" t="str">
        <f t="shared" si="8"/>
        <v/>
      </c>
      <c r="AG12" s="38" t="str">
        <f>IF(Спецификация_авто!$L$12="","",IF(IF($S$4="(все)",COUNTIF($U$4:$U$500,Спецификация_авто!$L$12),COUNTIF($V$4:$V$500,$S$4&amp;"|"&amp;Спецификация_авто!$L$12))=0,Спецификация_авто!$L$12,""))</f>
        <v>3P С63А</v>
      </c>
      <c r="AH12" s="38">
        <f>IF(AG12="","",COUNTIF($AG$4:AG12,"?*"))</f>
        <v>7</v>
      </c>
    </row>
    <row r="13" spans="1:34" x14ac:dyDescent="0.3">
      <c r="A13" s="74" t="s">
        <v>695</v>
      </c>
      <c r="B13" s="74" t="s">
        <v>284</v>
      </c>
      <c r="C13" s="74" t="s">
        <v>697</v>
      </c>
      <c r="D13" s="74"/>
      <c r="E13" s="74"/>
      <c r="F13" s="74"/>
      <c r="G13" s="74" t="s">
        <v>698</v>
      </c>
      <c r="H13" s="74" t="s">
        <v>286</v>
      </c>
      <c r="I13" s="74"/>
      <c r="J13" s="74"/>
      <c r="K13" s="74"/>
      <c r="L13" s="74">
        <v>3</v>
      </c>
      <c r="M13" s="74" t="s">
        <v>280</v>
      </c>
      <c r="N13" s="38">
        <f>IF(OR(A13="Автомат",A13="Дифавтомат"),IF(W13="","",COUNTIFS(Однолинейка!$H$3:$H$3000,U13,Однолинейка!$A$3:$A$3000,Щит_спец)),IF(A13="Аппарат",IF(C13="","",COUNTIFS(Однолинейка!$I$3:$I$3000,C13,Однолинейка!$A$3:$A$3000,Щит_спец)+COUNTIFS(Однолинейка!$J$3:$J$3000,C13,Однолинейка!$A$3:$A$3000,Щит_спец)+COUNTIFS(Однолинейка!$K$3:$K$3000,C13,Однолинейка!$A$3:$A$3000,Щит_спец)),IF(A13="Модуль",IF(C13="","",COUNTIFS(Однолинейка!$AW$3:$AW$3000,"?*",Однолинейка!$AI$3:$AI$3000,C13,Однолинейка!$A$3:$A$3000,Щит_спец)),IF(A13="Клемма",IF(C13="","",IF(C13=$S$7,SUMIFS(Однолинейка!$BW$3:$BW$3000,Однолинейка!$A$3:$A$3000,Щит_спец),IF(C13=$S$8,SUMIFS(Однолинейка!$BX$3:$BX$3000,Однолинейка!$A$3:$A$3000,Щит_спец),""))),""))))</f>
        <v>0</v>
      </c>
      <c r="O13" s="74"/>
      <c r="P13" s="38">
        <f t="shared" si="0"/>
        <v>0</v>
      </c>
      <c r="R13" s="74" t="s">
        <v>7</v>
      </c>
      <c r="U13" s="38" t="str">
        <f t="shared" si="1"/>
        <v/>
      </c>
      <c r="V13" s="38" t="str">
        <f t="shared" si="2"/>
        <v/>
      </c>
      <c r="W13" s="38" t="str">
        <f>IF(AND(U13&lt;&gt;"",OR($S$4="(все)",B13=$S$4),IF($S$4="(все)",COUNTIF($U$4:U13,U13),COUNTIFS($U$4:U13,U13,$B$4:B13,B13))=1),MAX($W$3:W12)+1,"")</f>
        <v/>
      </c>
      <c r="X13" s="38" t="str">
        <f t="shared" si="3"/>
        <v/>
      </c>
      <c r="Y13" s="38">
        <f>IF(AND(A13="Аппарат",C13&lt;&gt;"",OR($S$5="(все)",B13=$S$5)),MAX($Y$3:Y12)+1,"")</f>
        <v>2</v>
      </c>
      <c r="Z13" s="38" t="str">
        <f t="shared" si="4"/>
        <v>ZPSU640</v>
      </c>
      <c r="AA13" s="38" t="str">
        <f>IF(AND(A13="Модуль",C13&lt;&gt;"",OR($S$6="(все)",B13=$S$6)),MAX($AA$3:AA12)+1,"")</f>
        <v/>
      </c>
      <c r="AB13" s="38" t="str">
        <f t="shared" si="5"/>
        <v>уточнить-R</v>
      </c>
      <c r="AC13" s="38" t="str">
        <f>IF(OR(B13="",COUNTIF($B$4:B13,B13)&gt;1),"",MAX($AC$3:AC12)+1)</f>
        <v/>
      </c>
      <c r="AD13" s="38" t="str">
        <f t="shared" si="6"/>
        <v/>
      </c>
      <c r="AE13" s="38" t="str">
        <f t="shared" si="7"/>
        <v/>
      </c>
      <c r="AF13" s="38" t="str">
        <f t="shared" si="8"/>
        <v/>
      </c>
      <c r="AG13" s="38" t="str">
        <f>IF(Спецификация_авто!$L$13="","",IF(IF($S$4="(все)",COUNTIF($U$4:$U$500,Спецификация_авто!$L$13),COUNTIF($V$4:$V$500,$S$4&amp;"|"&amp;Спецификация_авто!$L$13))=0,Спецификация_авто!$L$13,""))</f>
        <v>1P С20А</v>
      </c>
      <c r="AH13" s="38">
        <f>IF(AG13="","",COUNTIF($AG$4:AG13,"?*"))</f>
        <v>8</v>
      </c>
    </row>
    <row r="14" spans="1:34" x14ac:dyDescent="0.3">
      <c r="A14" s="74" t="s">
        <v>695</v>
      </c>
      <c r="B14" s="74" t="s">
        <v>284</v>
      </c>
      <c r="C14" s="74" t="s">
        <v>699</v>
      </c>
      <c r="D14" s="74"/>
      <c r="E14" s="74"/>
      <c r="F14" s="74"/>
      <c r="G14" s="74" t="s">
        <v>700</v>
      </c>
      <c r="H14" s="74" t="s">
        <v>292</v>
      </c>
      <c r="I14" s="74"/>
      <c r="J14" s="74"/>
      <c r="K14" s="74"/>
      <c r="L14" s="74">
        <v>3</v>
      </c>
      <c r="M14" s="74" t="s">
        <v>280</v>
      </c>
      <c r="N14" s="38">
        <f>IF(OR(A14="Автомат",A14="Дифавтомат"),IF(W14="","",COUNTIFS(Однолинейка!$H$3:$H$3000,U14,Однолинейка!$A$3:$A$3000,Щит_спец)),IF(A14="Аппарат",IF(C14="","",COUNTIFS(Однолинейка!$I$3:$I$3000,C14,Однолинейка!$A$3:$A$3000,Щит_спец)+COUNTIFS(Однолинейка!$J$3:$J$3000,C14,Однолинейка!$A$3:$A$3000,Щит_спец)+COUNTIFS(Однолинейка!$K$3:$K$3000,C14,Однолинейка!$A$3:$A$3000,Щит_спец)),IF(A14="Модуль",IF(C14="","",COUNTIFS(Однолинейка!$AW$3:$AW$3000,"?*",Однолинейка!$AI$3:$AI$3000,C14,Однолинейка!$A$3:$A$3000,Щит_спец)),IF(A14="Клемма",IF(C14="","",IF(C14=$S$7,SUMIFS(Однолинейка!$BW$3:$BW$3000,Однолинейка!$A$3:$A$3000,Щит_спец),IF(C14=$S$8,SUMIFS(Однолинейка!$BX$3:$BX$3000,Однолинейка!$A$3:$A$3000,Щит_спец),""))),""))))</f>
        <v>0</v>
      </c>
      <c r="O14" s="74"/>
      <c r="P14" s="38">
        <f t="shared" si="0"/>
        <v>0</v>
      </c>
      <c r="R14" s="74" t="s">
        <v>685</v>
      </c>
      <c r="U14" s="38" t="str">
        <f t="shared" si="1"/>
        <v/>
      </c>
      <c r="V14" s="38" t="str">
        <f t="shared" si="2"/>
        <v/>
      </c>
      <c r="W14" s="38" t="str">
        <f>IF(AND(U14&lt;&gt;"",OR($S$4="(все)",B14=$S$4),IF($S$4="(все)",COUNTIF($U$4:U14,U14),COUNTIFS($U$4:U14,U14,$B$4:B14,B14))=1),MAX($W$3:W13)+1,"")</f>
        <v/>
      </c>
      <c r="X14" s="38" t="str">
        <f t="shared" si="3"/>
        <v/>
      </c>
      <c r="Y14" s="38">
        <f>IF(AND(A14="Аппарат",C14&lt;&gt;"",OR($S$5="(все)",B14=$S$5)),MAX($Y$3:Y13)+1,"")</f>
        <v>3</v>
      </c>
      <c r="Z14" s="38" t="str">
        <f t="shared" si="4"/>
        <v/>
      </c>
      <c r="AA14" s="38" t="str">
        <f>IF(AND(A14="Модуль",C14&lt;&gt;"",OR($S$6="(все)",B14=$S$6)),MAX($AA$3:AA13)+1,"")</f>
        <v/>
      </c>
      <c r="AB14" s="38" t="str">
        <f t="shared" si="5"/>
        <v>уточнить-Z</v>
      </c>
      <c r="AC14" s="38" t="str">
        <f>IF(OR(B14="",COUNTIF($B$4:B14,B14)&gt;1),"",MAX($AC$3:AC13)+1)</f>
        <v/>
      </c>
      <c r="AD14" s="38" t="str">
        <f t="shared" si="6"/>
        <v/>
      </c>
      <c r="AE14" s="38" t="str">
        <f t="shared" si="7"/>
        <v/>
      </c>
      <c r="AF14" s="38" t="str">
        <f t="shared" si="8"/>
        <v/>
      </c>
      <c r="AG14" s="38" t="str">
        <f>IF(Спецификация_авто!$L$14="","",IF(IF($S$4="(все)",COUNTIF($U$4:$U$500,Спецификация_авто!$L$14),COUNTIF($V$4:$V$500,$S$4&amp;"|"&amp;Спецификация_авто!$L$14))=0,Спецификация_авто!$L$14,""))</f>
        <v/>
      </c>
      <c r="AH14" s="38" t="str">
        <f>IF(AG14="","",COUNTIF($AG$4:AG14,"?*"))</f>
        <v/>
      </c>
    </row>
    <row r="15" spans="1:34" x14ac:dyDescent="0.3">
      <c r="A15" s="74" t="s">
        <v>695</v>
      </c>
      <c r="B15" s="74" t="s">
        <v>284</v>
      </c>
      <c r="C15" s="74" t="s">
        <v>701</v>
      </c>
      <c r="D15" s="74"/>
      <c r="E15" s="74"/>
      <c r="F15" s="74"/>
      <c r="G15" s="74" t="s">
        <v>362</v>
      </c>
      <c r="H15" s="74" t="s">
        <v>363</v>
      </c>
      <c r="I15" s="74"/>
      <c r="J15" s="74"/>
      <c r="K15" s="74"/>
      <c r="L15" s="74"/>
      <c r="M15" s="74" t="s">
        <v>280</v>
      </c>
      <c r="N15" s="38">
        <f>IF(OR(A15="Автомат",A15="Дифавтомат"),IF(W15="","",COUNTIFS(Однолинейка!$H$3:$H$3000,U15,Однолинейка!$A$3:$A$3000,Щит_спец)),IF(A15="Аппарат",IF(C15="","",COUNTIFS(Однолинейка!$I$3:$I$3000,C15,Однолинейка!$A$3:$A$3000,Щит_спец)+COUNTIFS(Однолинейка!$J$3:$J$3000,C15,Однолинейка!$A$3:$A$3000,Щит_спец)+COUNTIFS(Однолинейка!$K$3:$K$3000,C15,Однолинейка!$A$3:$A$3000,Щит_спец)),IF(A15="Модуль",IF(C15="","",COUNTIFS(Однолинейка!$AW$3:$AW$3000,"?*",Однолинейка!$AI$3:$AI$3000,C15,Однолинейка!$A$3:$A$3000,Щит_спец)),IF(A15="Клемма",IF(C15="","",IF(C15=$S$7,SUMIFS(Однолинейка!$BW$3:$BW$3000,Однолинейка!$A$3:$A$3000,Щит_спец),IF(C15=$S$8,SUMIFS(Однолинейка!$BX$3:$BX$3000,Однолинейка!$A$3:$A$3000,Щит_спец),""))),""))))</f>
        <v>0</v>
      </c>
      <c r="O15" s="74"/>
      <c r="P15" s="38">
        <f t="shared" si="0"/>
        <v>0</v>
      </c>
      <c r="R15" s="74" t="s">
        <v>695</v>
      </c>
      <c r="U15" s="38" t="str">
        <f t="shared" si="1"/>
        <v/>
      </c>
      <c r="V15" s="38" t="str">
        <f t="shared" si="2"/>
        <v/>
      </c>
      <c r="W15" s="38" t="str">
        <f>IF(AND(U15&lt;&gt;"",OR($S$4="(все)",B15=$S$4),IF($S$4="(все)",COUNTIF($U$4:U15,U15),COUNTIFS($U$4:U15,U15,$B$4:B15,B15))=1),MAX($W$3:W14)+1,"")</f>
        <v/>
      </c>
      <c r="X15" s="38" t="str">
        <f t="shared" si="3"/>
        <v/>
      </c>
      <c r="Y15" s="38">
        <f>IF(AND(A15="Аппарат",C15&lt;&gt;"",OR($S$5="(все)",B15=$S$5)),MAX($Y$3:Y14)+1,"")</f>
        <v>4</v>
      </c>
      <c r="Z15" s="38" t="str">
        <f t="shared" si="4"/>
        <v/>
      </c>
      <c r="AA15" s="38" t="str">
        <f>IF(AND(A15="Модуль",C15&lt;&gt;"",OR($S$6="(все)",B15=$S$6)),MAX($AA$3:AA14)+1,"")</f>
        <v/>
      </c>
      <c r="AB15" s="38" t="str">
        <f t="shared" si="5"/>
        <v/>
      </c>
      <c r="AC15" s="38" t="str">
        <f>IF(OR(B15="",COUNTIF($B$4:B15,B15)&gt;1),"",MAX($AC$3:AC14)+1)</f>
        <v/>
      </c>
      <c r="AD15" s="38" t="str">
        <f t="shared" si="6"/>
        <v/>
      </c>
      <c r="AE15" s="38" t="str">
        <f t="shared" si="7"/>
        <v/>
      </c>
      <c r="AF15" s="38" t="str">
        <f t="shared" si="8"/>
        <v/>
      </c>
      <c r="AG15" s="38" t="str">
        <f>IF(Спецификация_авто!$L$15="","",IF(IF($S$4="(все)",COUNTIF($U$4:$U$500,Спецификация_авто!$L$15),COUNTIF($V$4:$V$500,$S$4&amp;"|"&amp;Спецификация_авто!$L$15))=0,Спецификация_авто!$L$15,""))</f>
        <v>3P С32А</v>
      </c>
      <c r="AH15" s="38">
        <f>IF(AG15="","",COUNTIF($AG$4:AG15,"?*"))</f>
        <v>9</v>
      </c>
    </row>
    <row r="16" spans="1:34" x14ac:dyDescent="0.3">
      <c r="A16" s="74" t="s">
        <v>695</v>
      </c>
      <c r="B16" s="74" t="s">
        <v>284</v>
      </c>
      <c r="C16" s="74" t="s">
        <v>702</v>
      </c>
      <c r="D16" s="74"/>
      <c r="E16" s="74"/>
      <c r="F16" s="74"/>
      <c r="G16" s="74" t="s">
        <v>703</v>
      </c>
      <c r="H16" s="74" t="s">
        <v>287</v>
      </c>
      <c r="I16" s="74"/>
      <c r="J16" s="74"/>
      <c r="K16" s="74"/>
      <c r="L16" s="74"/>
      <c r="M16" s="74" t="s">
        <v>280</v>
      </c>
      <c r="N16" s="38">
        <f>IF(OR(A16="Автомат",A16="Дифавтомат"),IF(W16="","",COUNTIFS(Однолинейка!$H$3:$H$3000,U16,Однолинейка!$A$3:$A$3000,Щит_спец)),IF(A16="Аппарат",IF(C16="","",COUNTIFS(Однолинейка!$I$3:$I$3000,C16,Однолинейка!$A$3:$A$3000,Щит_спец)+COUNTIFS(Однолинейка!$J$3:$J$3000,C16,Однолинейка!$A$3:$A$3000,Щит_спец)+COUNTIFS(Однолинейка!$K$3:$K$3000,C16,Однолинейка!$A$3:$A$3000,Щит_спец)),IF(A16="Модуль",IF(C16="","",COUNTIFS(Однолинейка!$AW$3:$AW$3000,"?*",Однолинейка!$AI$3:$AI$3000,C16,Однолинейка!$A$3:$A$3000,Щит_спец)),IF(A16="Клемма",IF(C16="","",IF(C16=$S$7,SUMIFS(Однолинейка!$BW$3:$BW$3000,Однолинейка!$A$3:$A$3000,Щит_спец),IF(C16=$S$8,SUMIFS(Однолинейка!$BX$3:$BX$3000,Однолинейка!$A$3:$A$3000,Щит_спец),""))),""))))</f>
        <v>0</v>
      </c>
      <c r="O16" s="74"/>
      <c r="P16" s="38">
        <f t="shared" si="0"/>
        <v>0</v>
      </c>
      <c r="R16" s="74" t="s">
        <v>432</v>
      </c>
      <c r="U16" s="38" t="str">
        <f t="shared" si="1"/>
        <v/>
      </c>
      <c r="V16" s="38" t="str">
        <f t="shared" si="2"/>
        <v/>
      </c>
      <c r="W16" s="38" t="str">
        <f>IF(AND(U16&lt;&gt;"",OR($S$4="(все)",B16=$S$4),IF($S$4="(все)",COUNTIF($U$4:U16,U16),COUNTIFS($U$4:U16,U16,$B$4:B16,B16))=1),MAX($W$3:W15)+1,"")</f>
        <v/>
      </c>
      <c r="X16" s="38" t="str">
        <f t="shared" si="3"/>
        <v/>
      </c>
      <c r="Y16" s="38">
        <f>IF(AND(A16="Аппарат",C16&lt;&gt;"",OR($S$5="(все)",B16=$S$5)),MAX($Y$3:Y15)+1,"")</f>
        <v>5</v>
      </c>
      <c r="Z16" s="38" t="str">
        <f t="shared" si="4"/>
        <v/>
      </c>
      <c r="AA16" s="38" t="str">
        <f>IF(AND(A16="Модуль",C16&lt;&gt;"",OR($S$6="(все)",B16=$S$6)),MAX($AA$3:AA15)+1,"")</f>
        <v/>
      </c>
      <c r="AB16" s="38" t="str">
        <f t="shared" si="5"/>
        <v/>
      </c>
      <c r="AC16" s="38" t="str">
        <f>IF(OR(B16="",COUNTIF($B$4:B16,B16)&gt;1),"",MAX($AC$3:AC15)+1)</f>
        <v/>
      </c>
      <c r="AD16" s="38" t="str">
        <f t="shared" si="6"/>
        <v/>
      </c>
      <c r="AE16" s="38" t="str">
        <f t="shared" si="7"/>
        <v/>
      </c>
      <c r="AF16" s="38" t="str">
        <f t="shared" si="8"/>
        <v/>
      </c>
      <c r="AG16" s="38" t="str">
        <f>IF(Спецификация_авто!$L$16="","",IF(IF($S$4="(все)",COUNTIF($U$4:$U$500,Спецификация_авто!$L$16),COUNTIF($V$4:$V$500,$S$4&amp;"|"&amp;Спецификация_авто!$L$16))=0,Спецификация_авто!$L$16,""))</f>
        <v>3P С200А</v>
      </c>
      <c r="AH16" s="38">
        <f>IF(AG16="","",COUNTIF($AG$4:AG16,"?*"))</f>
        <v>10</v>
      </c>
    </row>
    <row r="17" spans="1:34" x14ac:dyDescent="0.3">
      <c r="A17" s="74" t="s">
        <v>695</v>
      </c>
      <c r="B17" s="74" t="s">
        <v>293</v>
      </c>
      <c r="C17" s="74" t="s">
        <v>704</v>
      </c>
      <c r="D17" s="74"/>
      <c r="E17" s="74"/>
      <c r="F17" s="74"/>
      <c r="G17" s="74" t="s">
        <v>705</v>
      </c>
      <c r="H17" s="74" t="s">
        <v>361</v>
      </c>
      <c r="I17" s="74"/>
      <c r="J17" s="74"/>
      <c r="K17" s="74"/>
      <c r="L17" s="74"/>
      <c r="M17" s="74" t="s">
        <v>280</v>
      </c>
      <c r="N17" s="38">
        <f>IF(OR(A17="Автомат",A17="Дифавтомат"),IF(W17="","",COUNTIFS(Однолинейка!$H$3:$H$3000,U17,Однолинейка!$A$3:$A$3000,Щит_спец)),IF(A17="Аппарат",IF(C17="","",COUNTIFS(Однолинейка!$I$3:$I$3000,C17,Однолинейка!$A$3:$A$3000,Щит_спец)+COUNTIFS(Однолинейка!$J$3:$J$3000,C17,Однолинейка!$A$3:$A$3000,Щит_спец)+COUNTIFS(Однолинейка!$K$3:$K$3000,C17,Однолинейка!$A$3:$A$3000,Щит_спец)),IF(A17="Модуль",IF(C17="","",COUNTIFS(Однолинейка!$AW$3:$AW$3000,"?*",Однолинейка!$AI$3:$AI$3000,C17,Однолинейка!$A$3:$A$3000,Щит_спец)),IF(A17="Клемма",IF(C17="","",IF(C17=$S$7,SUMIFS(Однолинейка!$BW$3:$BW$3000,Однолинейка!$A$3:$A$3000,Щит_спец),IF(C17=$S$8,SUMIFS(Однолинейка!$BX$3:$BX$3000,Однолинейка!$A$3:$A$3000,Щит_спец),""))),""))))</f>
        <v>0</v>
      </c>
      <c r="O17" s="74"/>
      <c r="P17" s="38">
        <f t="shared" si="0"/>
        <v>0</v>
      </c>
      <c r="R17" s="74" t="s">
        <v>706</v>
      </c>
      <c r="U17" s="38" t="str">
        <f t="shared" si="1"/>
        <v/>
      </c>
      <c r="V17" s="38" t="str">
        <f t="shared" si="2"/>
        <v/>
      </c>
      <c r="W17" s="38" t="str">
        <f>IF(AND(U17&lt;&gt;"",OR($S$4="(все)",B17=$S$4),IF($S$4="(все)",COUNTIF($U$4:U17,U17),COUNTIFS($U$4:U17,U17,$B$4:B17,B17))=1),MAX($W$3:W16)+1,"")</f>
        <v/>
      </c>
      <c r="X17" s="38" t="str">
        <f t="shared" si="3"/>
        <v/>
      </c>
      <c r="Y17" s="38">
        <f>IF(AND(A17="Аппарат",C17&lt;&gt;"",OR($S$5="(все)",B17=$S$5)),MAX($Y$3:Y16)+1,"")</f>
        <v>6</v>
      </c>
      <c r="Z17" s="38" t="str">
        <f t="shared" si="4"/>
        <v/>
      </c>
      <c r="AA17" s="38" t="str">
        <f>IF(AND(A17="Модуль",C17&lt;&gt;"",OR($S$6="(все)",B17=$S$6)),MAX($AA$3:AA16)+1,"")</f>
        <v/>
      </c>
      <c r="AB17" s="38" t="str">
        <f t="shared" si="5"/>
        <v/>
      </c>
      <c r="AC17" s="38">
        <f>IF(OR(B17="",COUNTIF($B$4:B17,B17)&gt;1),"",MAX($AC$3:AC16)+1)</f>
        <v>3</v>
      </c>
      <c r="AD17" s="38" t="str">
        <f t="shared" si="6"/>
        <v/>
      </c>
      <c r="AE17" s="38" t="str">
        <f t="shared" si="7"/>
        <v/>
      </c>
      <c r="AF17" s="38" t="str">
        <f t="shared" si="8"/>
        <v/>
      </c>
      <c r="AG17" s="38" t="str">
        <f>IF(Спецификация_авто!$L$17="","",IF(IF($S$4="(все)",COUNTIF($U$4:$U$500,Спецификация_авто!$L$17),COUNTIF($V$4:$V$500,$S$4&amp;"|"&amp;Спецификация_авто!$L$17))=0,Спецификация_авто!$L$17,""))</f>
        <v>1P С25А</v>
      </c>
      <c r="AH17" s="38">
        <f>IF(AG17="","",COUNTIF($AG$4:AG17,"?*"))</f>
        <v>11</v>
      </c>
    </row>
    <row r="18" spans="1:34" x14ac:dyDescent="0.3">
      <c r="A18" s="74" t="s">
        <v>695</v>
      </c>
      <c r="B18" s="74" t="s">
        <v>293</v>
      </c>
      <c r="C18" s="74" t="s">
        <v>707</v>
      </c>
      <c r="D18" s="74"/>
      <c r="E18" s="74"/>
      <c r="F18" s="74"/>
      <c r="G18" s="74" t="s">
        <v>403</v>
      </c>
      <c r="H18" s="74" t="s">
        <v>404</v>
      </c>
      <c r="I18" s="74"/>
      <c r="J18" s="74"/>
      <c r="K18" s="74"/>
      <c r="L18" s="74"/>
      <c r="M18" s="74" t="s">
        <v>280</v>
      </c>
      <c r="N18" s="38">
        <f>IF(OR(A18="Автомат",A18="Дифавтомат"),IF(W18="","",COUNTIFS(Однолинейка!$H$3:$H$3000,U18,Однолинейка!$A$3:$A$3000,Щит_спец)),IF(A18="Аппарат",IF(C18="","",COUNTIFS(Однолинейка!$I$3:$I$3000,C18,Однолинейка!$A$3:$A$3000,Щит_спец)+COUNTIFS(Однолинейка!$J$3:$J$3000,C18,Однолинейка!$A$3:$A$3000,Щит_спец)+COUNTIFS(Однолинейка!$K$3:$K$3000,C18,Однолинейка!$A$3:$A$3000,Щит_спец)),IF(A18="Модуль",IF(C18="","",COUNTIFS(Однолинейка!$AW$3:$AW$3000,"?*",Однолинейка!$AI$3:$AI$3000,C18,Однолинейка!$A$3:$A$3000,Щит_спец)),IF(A18="Клемма",IF(C18="","",IF(C18=$S$7,SUMIFS(Однолинейка!$BW$3:$BW$3000,Однолинейка!$A$3:$A$3000,Щит_спец),IF(C18=$S$8,SUMIFS(Однолинейка!$BX$3:$BX$3000,Однолинейка!$A$3:$A$3000,Щит_спец),""))),""))))</f>
        <v>0</v>
      </c>
      <c r="O18" s="74"/>
      <c r="P18" s="38">
        <f t="shared" si="0"/>
        <v>0</v>
      </c>
      <c r="R18" s="74" t="s">
        <v>435</v>
      </c>
      <c r="U18" s="38" t="str">
        <f t="shared" si="1"/>
        <v/>
      </c>
      <c r="V18" s="38" t="str">
        <f t="shared" si="2"/>
        <v/>
      </c>
      <c r="W18" s="38" t="str">
        <f>IF(AND(U18&lt;&gt;"",OR($S$4="(все)",B18=$S$4),IF($S$4="(все)",COUNTIF($U$4:U18,U18),COUNTIFS($U$4:U18,U18,$B$4:B18,B18))=1),MAX($W$3:W17)+1,"")</f>
        <v/>
      </c>
      <c r="X18" s="38" t="str">
        <f t="shared" si="3"/>
        <v/>
      </c>
      <c r="Y18" s="38">
        <f>IF(AND(A18="Аппарат",C18&lt;&gt;"",OR($S$5="(все)",B18=$S$5)),MAX($Y$3:Y17)+1,"")</f>
        <v>7</v>
      </c>
      <c r="Z18" s="38" t="str">
        <f t="shared" si="4"/>
        <v/>
      </c>
      <c r="AA18" s="38" t="str">
        <f>IF(AND(A18="Модуль",C18&lt;&gt;"",OR($S$6="(все)",B18=$S$6)),MAX($AA$3:AA17)+1,"")</f>
        <v/>
      </c>
      <c r="AB18" s="38" t="str">
        <f t="shared" si="5"/>
        <v/>
      </c>
      <c r="AC18" s="38" t="str">
        <f>IF(OR(B18="",COUNTIF($B$4:B18,B18)&gt;1),"",MAX($AC$3:AC17)+1)</f>
        <v/>
      </c>
      <c r="AD18" s="38" t="str">
        <f t="shared" si="6"/>
        <v/>
      </c>
      <c r="AE18" s="38" t="str">
        <f t="shared" si="7"/>
        <v/>
      </c>
      <c r="AF18" s="38" t="str">
        <f t="shared" si="8"/>
        <v/>
      </c>
      <c r="AG18" s="38" t="str">
        <f>IF(Спецификация_авто!$L$18="","",IF(IF($S$4="(все)",COUNTIF($U$4:$U$500,Спецификация_авто!$L$18),COUNTIF($V$4:$V$500,$S$4&amp;"|"&amp;Спецификация_авто!$L$18))=0,Спецификация_авто!$L$18,""))</f>
        <v>1P С6А</v>
      </c>
      <c r="AH18" s="38">
        <f>IF(AG18="","",COUNTIF($AG$4:AG18,"?*"))</f>
        <v>12</v>
      </c>
    </row>
    <row r="19" spans="1:34" x14ac:dyDescent="0.3">
      <c r="A19" s="74" t="s">
        <v>695</v>
      </c>
      <c r="B19" s="74" t="s">
        <v>293</v>
      </c>
      <c r="C19" s="74" t="s">
        <v>708</v>
      </c>
      <c r="D19" s="74"/>
      <c r="E19" s="74"/>
      <c r="F19" s="74"/>
      <c r="G19" s="74" t="s">
        <v>405</v>
      </c>
      <c r="H19" s="74" t="s">
        <v>406</v>
      </c>
      <c r="I19" s="74"/>
      <c r="J19" s="74"/>
      <c r="K19" s="74"/>
      <c r="L19" s="74"/>
      <c r="M19" s="74" t="s">
        <v>280</v>
      </c>
      <c r="N19" s="38">
        <f>IF(OR(A19="Автомат",A19="Дифавтомат"),IF(W19="","",COUNTIFS(Однолинейка!$H$3:$H$3000,U19,Однолинейка!$A$3:$A$3000,Щит_спец)),IF(A19="Аппарат",IF(C19="","",COUNTIFS(Однолинейка!$I$3:$I$3000,C19,Однолинейка!$A$3:$A$3000,Щит_спец)+COUNTIFS(Однолинейка!$J$3:$J$3000,C19,Однолинейка!$A$3:$A$3000,Щит_спец)+COUNTIFS(Однолинейка!$K$3:$K$3000,C19,Однолинейка!$A$3:$A$3000,Щит_спец)),IF(A19="Модуль",IF(C19="","",COUNTIFS(Однолинейка!$AW$3:$AW$3000,"?*",Однолинейка!$AI$3:$AI$3000,C19,Однолинейка!$A$3:$A$3000,Щит_спец)),IF(A19="Клемма",IF(C19="","",IF(C19=$S$7,SUMIFS(Однолинейка!$BW$3:$BW$3000,Однолинейка!$A$3:$A$3000,Щит_спец),IF(C19=$S$8,SUMIFS(Однолинейка!$BX$3:$BX$3000,Однолинейка!$A$3:$A$3000,Щит_спец),""))),""))))</f>
        <v>0</v>
      </c>
      <c r="O19" s="74"/>
      <c r="P19" s="38">
        <f t="shared" si="0"/>
        <v>0</v>
      </c>
      <c r="R19" s="74" t="s">
        <v>709</v>
      </c>
      <c r="U19" s="38" t="str">
        <f t="shared" si="1"/>
        <v/>
      </c>
      <c r="V19" s="38" t="str">
        <f t="shared" si="2"/>
        <v/>
      </c>
      <c r="W19" s="38" t="str">
        <f>IF(AND(U19&lt;&gt;"",OR($S$4="(все)",B19=$S$4),IF($S$4="(все)",COUNTIF($U$4:U19,U19),COUNTIFS($U$4:U19,U19,$B$4:B19,B19))=1),MAX($W$3:W18)+1,"")</f>
        <v/>
      </c>
      <c r="X19" s="38" t="str">
        <f t="shared" si="3"/>
        <v/>
      </c>
      <c r="Y19" s="38">
        <f>IF(AND(A19="Аппарат",C19&lt;&gt;"",OR($S$5="(все)",B19=$S$5)),MAX($Y$3:Y18)+1,"")</f>
        <v>8</v>
      </c>
      <c r="Z19" s="38" t="str">
        <f t="shared" si="4"/>
        <v/>
      </c>
      <c r="AA19" s="38" t="str">
        <f>IF(AND(A19="Модуль",C19&lt;&gt;"",OR($S$6="(все)",B19=$S$6)),MAX($AA$3:AA18)+1,"")</f>
        <v/>
      </c>
      <c r="AB19" s="38" t="str">
        <f t="shared" si="5"/>
        <v/>
      </c>
      <c r="AC19" s="38" t="str">
        <f>IF(OR(B19="",COUNTIF($B$4:B19,B19)&gt;1),"",MAX($AC$3:AC18)+1)</f>
        <v/>
      </c>
      <c r="AD19" s="38" t="str">
        <f t="shared" si="6"/>
        <v/>
      </c>
      <c r="AE19" s="38" t="str">
        <f t="shared" si="7"/>
        <v/>
      </c>
      <c r="AF19" s="38" t="str">
        <f t="shared" si="8"/>
        <v/>
      </c>
      <c r="AG19" s="38" t="str">
        <f>IF(Спецификация_авто!$L$19="","",IF(IF($S$4="(все)",COUNTIF($U$4:$U$500,Спецификация_авто!$L$19),COUNTIF($V$4:$V$500,$S$4&amp;"|"&amp;Спецификация_авто!$L$19))=0,Спецификация_авто!$L$19,""))</f>
        <v>3P С320А</v>
      </c>
      <c r="AH19" s="38">
        <f>IF(AG19="","",COUNTIF($AG$4:AG19,"?*"))</f>
        <v>13</v>
      </c>
    </row>
    <row r="20" spans="1:34" x14ac:dyDescent="0.3">
      <c r="A20" s="74" t="s">
        <v>695</v>
      </c>
      <c r="B20" s="74" t="s">
        <v>293</v>
      </c>
      <c r="C20" s="74" t="s">
        <v>710</v>
      </c>
      <c r="D20" s="74"/>
      <c r="E20" s="74"/>
      <c r="F20" s="74"/>
      <c r="G20" s="74" t="s">
        <v>407</v>
      </c>
      <c r="H20" s="74" t="s">
        <v>408</v>
      </c>
      <c r="I20" s="74"/>
      <c r="J20" s="74"/>
      <c r="K20" s="74"/>
      <c r="L20" s="74"/>
      <c r="M20" s="74" t="s">
        <v>280</v>
      </c>
      <c r="N20" s="38">
        <f>IF(OR(A20="Автомат",A20="Дифавтомат"),IF(W20="","",COUNTIFS(Однолинейка!$H$3:$H$3000,U20,Однолинейка!$A$3:$A$3000,Щит_спец)),IF(A20="Аппарат",IF(C20="","",COUNTIFS(Однолинейка!$I$3:$I$3000,C20,Однолинейка!$A$3:$A$3000,Щит_спец)+COUNTIFS(Однолинейка!$J$3:$J$3000,C20,Однолинейка!$A$3:$A$3000,Щит_спец)+COUNTIFS(Однолинейка!$K$3:$K$3000,C20,Однолинейка!$A$3:$A$3000,Щит_спец)),IF(A20="Модуль",IF(C20="","",COUNTIFS(Однолинейка!$AW$3:$AW$3000,"?*",Однолинейка!$AI$3:$AI$3000,C20,Однолинейка!$A$3:$A$3000,Щит_спец)),IF(A20="Клемма",IF(C20="","",IF(C20=$S$7,SUMIFS(Однолинейка!$BW$3:$BW$3000,Однолинейка!$A$3:$A$3000,Щит_спец),IF(C20=$S$8,SUMIFS(Однолинейка!$BX$3:$BX$3000,Однолинейка!$A$3:$A$3000,Щит_спец),""))),""))))</f>
        <v>0</v>
      </c>
      <c r="O20" s="74"/>
      <c r="P20" s="38">
        <f t="shared" si="0"/>
        <v>0</v>
      </c>
      <c r="R20" s="74" t="s">
        <v>620</v>
      </c>
      <c r="U20" s="38" t="str">
        <f t="shared" si="1"/>
        <v/>
      </c>
      <c r="V20" s="38" t="str">
        <f t="shared" si="2"/>
        <v/>
      </c>
      <c r="W20" s="38" t="str">
        <f>IF(AND(U20&lt;&gt;"",OR($S$4="(все)",B20=$S$4),IF($S$4="(все)",COUNTIF($U$4:U20,U20),COUNTIFS($U$4:U20,U20,$B$4:B20,B20))=1),MAX($W$3:W19)+1,"")</f>
        <v/>
      </c>
      <c r="X20" s="38" t="str">
        <f t="shared" si="3"/>
        <v/>
      </c>
      <c r="Y20" s="38">
        <f>IF(AND(A20="Аппарат",C20&lt;&gt;"",OR($S$5="(все)",B20=$S$5)),MAX($Y$3:Y19)+1,"")</f>
        <v>9</v>
      </c>
      <c r="Z20" s="38" t="str">
        <f t="shared" si="4"/>
        <v/>
      </c>
      <c r="AA20" s="38" t="str">
        <f>IF(AND(A20="Модуль",C20&lt;&gt;"",OR($S$6="(все)",B20=$S$6)),MAX($AA$3:AA19)+1,"")</f>
        <v/>
      </c>
      <c r="AB20" s="38" t="str">
        <f t="shared" si="5"/>
        <v/>
      </c>
      <c r="AC20" s="38" t="str">
        <f>IF(OR(B20="",COUNTIF($B$4:B20,B20)&gt;1),"",MAX($AC$3:AC19)+1)</f>
        <v/>
      </c>
      <c r="AD20" s="38" t="str">
        <f t="shared" si="6"/>
        <v/>
      </c>
      <c r="AE20" s="38" t="str">
        <f t="shared" si="7"/>
        <v/>
      </c>
      <c r="AF20" s="38" t="str">
        <f t="shared" si="8"/>
        <v/>
      </c>
      <c r="AG20" s="38" t="str">
        <f>IF(Спецификация_авто!$L$20="","",IF(IF($S$4="(все)",COUNTIF($U$4:$U$500,Спецификация_авто!$L$20),COUNTIF($V$4:$V$500,$S$4&amp;"|"&amp;Спецификация_авто!$L$20))=0,Спецификация_авто!$L$20,""))</f>
        <v/>
      </c>
      <c r="AH20" s="38" t="str">
        <f>IF(AG20="","",COUNTIF($AG$4:AG20,"?*"))</f>
        <v/>
      </c>
    </row>
    <row r="21" spans="1:34" x14ac:dyDescent="0.3">
      <c r="A21" s="74" t="s">
        <v>695</v>
      </c>
      <c r="B21" s="74" t="s">
        <v>300</v>
      </c>
      <c r="C21" s="74" t="s">
        <v>299</v>
      </c>
      <c r="D21" s="74"/>
      <c r="E21" s="74"/>
      <c r="F21" s="74"/>
      <c r="G21" s="74" t="s">
        <v>711</v>
      </c>
      <c r="H21" s="74" t="s">
        <v>299</v>
      </c>
      <c r="I21" s="74"/>
      <c r="J21" s="74"/>
      <c r="K21" s="74"/>
      <c r="L21" s="74"/>
      <c r="M21" s="74" t="s">
        <v>280</v>
      </c>
      <c r="N21" s="38">
        <f>IF(OR(A21="Автомат",A21="Дифавтомат"),IF(W21="","",COUNTIFS(Однолинейка!$H$3:$H$3000,U21,Однолинейка!$A$3:$A$3000,Щит_спец)),IF(A21="Аппарат",IF(C21="","",COUNTIFS(Однолинейка!$I$3:$I$3000,C21,Однолинейка!$A$3:$A$3000,Щит_спец)+COUNTIFS(Однолинейка!$J$3:$J$3000,C21,Однолинейка!$A$3:$A$3000,Щит_спец)+COUNTIFS(Однолинейка!$K$3:$K$3000,C21,Однолинейка!$A$3:$A$3000,Щит_спец)),IF(A21="Модуль",IF(C21="","",COUNTIFS(Однолинейка!$AW$3:$AW$3000,"?*",Однолинейка!$AI$3:$AI$3000,C21,Однолинейка!$A$3:$A$3000,Щит_спец)),IF(A21="Клемма",IF(C21="","",IF(C21=$S$7,SUMIFS(Однолинейка!$BW$3:$BW$3000,Однолинейка!$A$3:$A$3000,Щит_спец),IF(C21=$S$8,SUMIFS(Однолинейка!$BX$3:$BX$3000,Однолинейка!$A$3:$A$3000,Щит_спец),""))),""))))</f>
        <v>0</v>
      </c>
      <c r="O21" s="74"/>
      <c r="P21" s="38">
        <f t="shared" si="0"/>
        <v>0</v>
      </c>
      <c r="R21" s="74"/>
      <c r="U21" s="38" t="str">
        <f t="shared" si="1"/>
        <v/>
      </c>
      <c r="V21" s="38" t="str">
        <f t="shared" si="2"/>
        <v/>
      </c>
      <c r="W21" s="38" t="str">
        <f>IF(AND(U21&lt;&gt;"",OR($S$4="(все)",B21=$S$4),IF($S$4="(все)",COUNTIF($U$4:U21,U21),COUNTIFS($U$4:U21,U21,$B$4:B21,B21))=1),MAX($W$3:W20)+1,"")</f>
        <v/>
      </c>
      <c r="X21" s="38" t="str">
        <f t="shared" si="3"/>
        <v/>
      </c>
      <c r="Y21" s="38">
        <f>IF(AND(A21="Аппарат",C21&lt;&gt;"",OR($S$5="(все)",B21=$S$5)),MAX($Y$3:Y20)+1,"")</f>
        <v>10</v>
      </c>
      <c r="Z21" s="38" t="str">
        <f t="shared" si="4"/>
        <v/>
      </c>
      <c r="AA21" s="38" t="str">
        <f>IF(AND(A21="Модуль",C21&lt;&gt;"",OR($S$6="(все)",B21=$S$6)),MAX($AA$3:AA20)+1,"")</f>
        <v/>
      </c>
      <c r="AB21" s="38" t="str">
        <f t="shared" si="5"/>
        <v/>
      </c>
      <c r="AC21" s="38">
        <f>IF(OR(B21="",COUNTIF($B$4:B21,B21)&gt;1),"",MAX($AC$3:AC20)+1)</f>
        <v>4</v>
      </c>
      <c r="AD21" s="38" t="str">
        <f t="shared" si="6"/>
        <v/>
      </c>
      <c r="AE21" s="38" t="str">
        <f t="shared" si="7"/>
        <v/>
      </c>
      <c r="AF21" s="38" t="str">
        <f t="shared" si="8"/>
        <v/>
      </c>
      <c r="AG21" s="38" t="str">
        <f>IF(Спецификация_авто!$L$21="","",IF(IF($S$4="(все)",COUNTIF($U$4:$U$500,Спецификация_авто!$L$21),COUNTIF($V$4:$V$500,$S$4&amp;"|"&amp;Спецификация_авто!$L$21))=0,Спецификация_авто!$L$21,""))</f>
        <v/>
      </c>
      <c r="AH21" s="38" t="str">
        <f>IF(AG21="","",COUNTIF($AG$4:AG21,"?*"))</f>
        <v/>
      </c>
    </row>
    <row r="22" spans="1:34" x14ac:dyDescent="0.3">
      <c r="A22" s="74" t="s">
        <v>432</v>
      </c>
      <c r="B22" s="74" t="s">
        <v>300</v>
      </c>
      <c r="C22" s="74" t="s">
        <v>302</v>
      </c>
      <c r="D22" s="74" t="s">
        <v>27</v>
      </c>
      <c r="E22" s="74">
        <v>24</v>
      </c>
      <c r="F22" s="74" t="s">
        <v>487</v>
      </c>
      <c r="G22" s="74" t="s">
        <v>301</v>
      </c>
      <c r="H22" s="74" t="s">
        <v>302</v>
      </c>
      <c r="I22" s="74"/>
      <c r="J22" s="74"/>
      <c r="K22" s="74"/>
      <c r="L22" s="74"/>
      <c r="M22" s="74" t="s">
        <v>280</v>
      </c>
      <c r="N22" s="38">
        <f>IF(OR(A22="Автомат",A22="Дифавтомат"),IF(W22="","",COUNTIFS(Однолинейка!$H$3:$H$3000,U22,Однолинейка!$A$3:$A$3000,Щит_спец)),IF(A22="Аппарат",IF(C22="","",COUNTIFS(Однолинейка!$I$3:$I$3000,C22,Однолинейка!$A$3:$A$3000,Щит_спец)+COUNTIFS(Однолинейка!$J$3:$J$3000,C22,Однолинейка!$A$3:$A$3000,Щит_спец)+COUNTIFS(Однолинейка!$K$3:$K$3000,C22,Однолинейка!$A$3:$A$3000,Щит_спец)),IF(A22="Модуль",IF(C22="","",COUNTIFS(Однолинейка!$AW$3:$AW$3000,"?*",Однолинейка!$AI$3:$AI$3000,C22,Однолинейка!$A$3:$A$3000,Щит_спец)),IF(A22="Клемма",IF(C22="","",IF(C22=$S$7,SUMIFS(Однолинейка!$BW$3:$BW$3000,Однолинейка!$A$3:$A$3000,Щит_спец),IF(C22=$S$8,SUMIFS(Однолинейка!$BX$3:$BX$3000,Однолинейка!$A$3:$A$3000,Щит_спец),""))),""))))</f>
        <v>0</v>
      </c>
      <c r="O22" s="74"/>
      <c r="P22" s="38">
        <f t="shared" si="0"/>
        <v>0</v>
      </c>
      <c r="R22" s="74"/>
      <c r="U22" s="38" t="str">
        <f t="shared" si="1"/>
        <v/>
      </c>
      <c r="V22" s="38" t="str">
        <f t="shared" si="2"/>
        <v/>
      </c>
      <c r="W22" s="38" t="str">
        <f>IF(AND(U22&lt;&gt;"",OR($S$4="(все)",B22=$S$4),IF($S$4="(все)",COUNTIF($U$4:U22,U22),COUNTIFS($U$4:U22,U22,$B$4:B22,B22))=1),MAX($W$3:W21)+1,"")</f>
        <v/>
      </c>
      <c r="X22" s="38" t="str">
        <f t="shared" si="3"/>
        <v/>
      </c>
      <c r="Y22" s="38" t="str">
        <f>IF(AND(A22="Аппарат",C22&lt;&gt;"",OR($S$5="(все)",B22=$S$5)),MAX($Y$3:Y21)+1,"")</f>
        <v/>
      </c>
      <c r="Z22" s="38" t="str">
        <f t="shared" si="4"/>
        <v/>
      </c>
      <c r="AA22" s="38">
        <f>IF(AND(A22="Модуль",C22&lt;&gt;"",OR($S$6="(все)",B22=$S$6)),MAX($AA$3:AA21)+1,"")</f>
        <v>1</v>
      </c>
      <c r="AB22" s="38" t="str">
        <f t="shared" si="5"/>
        <v/>
      </c>
      <c r="AC22" s="38" t="str">
        <f>IF(OR(B22="",COUNTIF($B$4:B22,B22)&gt;1),"",MAX($AC$3:AC21)+1)</f>
        <v/>
      </c>
      <c r="AD22" s="38" t="str">
        <f t="shared" si="6"/>
        <v/>
      </c>
      <c r="AE22" s="38" t="str">
        <f t="shared" si="7"/>
        <v/>
      </c>
      <c r="AF22" s="38" t="str">
        <f t="shared" si="8"/>
        <v/>
      </c>
      <c r="AG22" s="38" t="str">
        <f>IF(Спецификация_авто!$L$22="","",IF(IF($S$4="(все)",COUNTIF($U$4:$U$500,Спецификация_авто!$L$22),COUNTIF($V$4:$V$500,$S$4&amp;"|"&amp;Спецификация_авто!$L$22))=0,Спецификация_авто!$L$22,""))</f>
        <v>4P С16А 30мА</v>
      </c>
      <c r="AH22" s="38">
        <f>IF(AG22="","",COUNTIF($AG$4:AG22,"?*"))</f>
        <v>14</v>
      </c>
    </row>
    <row r="23" spans="1:34" x14ac:dyDescent="0.3">
      <c r="A23" s="74" t="s">
        <v>432</v>
      </c>
      <c r="B23" s="74" t="s">
        <v>300</v>
      </c>
      <c r="C23" s="74" t="s">
        <v>476</v>
      </c>
      <c r="D23" s="74" t="s">
        <v>27</v>
      </c>
      <c r="E23" s="74">
        <v>24</v>
      </c>
      <c r="F23" s="74" t="s">
        <v>487</v>
      </c>
      <c r="G23" s="74" t="s">
        <v>301</v>
      </c>
      <c r="H23" s="74" t="s">
        <v>476</v>
      </c>
      <c r="I23" s="74"/>
      <c r="J23" s="74"/>
      <c r="K23" s="74"/>
      <c r="L23" s="74"/>
      <c r="M23" s="74" t="s">
        <v>280</v>
      </c>
      <c r="N23" s="38">
        <f>IF(OR(A23="Автомат",A23="Дифавтомат"),IF(W23="","",COUNTIFS(Однолинейка!$H$3:$H$3000,U23,Однолинейка!$A$3:$A$3000,Щит_спец)),IF(A23="Аппарат",IF(C23="","",COUNTIFS(Однолинейка!$I$3:$I$3000,C23,Однолинейка!$A$3:$A$3000,Щит_спец)+COUNTIFS(Однолинейка!$J$3:$J$3000,C23,Однолинейка!$A$3:$A$3000,Щит_спец)+COUNTIFS(Однолинейка!$K$3:$K$3000,C23,Однолинейка!$A$3:$A$3000,Щит_спец)),IF(A23="Модуль",IF(C23="","",COUNTIFS(Однолинейка!$AW$3:$AW$3000,"?*",Однолинейка!$AI$3:$AI$3000,C23,Однолинейка!$A$3:$A$3000,Щит_спец)),IF(A23="Клемма",IF(C23="","",IF(C23=$S$7,SUMIFS(Однолинейка!$BW$3:$BW$3000,Однолинейка!$A$3:$A$3000,Щит_спец),IF(C23=$S$8,SUMIFS(Однолинейка!$BX$3:$BX$3000,Однолинейка!$A$3:$A$3000,Щит_спец),""))),""))))</f>
        <v>0</v>
      </c>
      <c r="O23" s="74"/>
      <c r="P23" s="38">
        <f t="shared" si="0"/>
        <v>0</v>
      </c>
      <c r="R23" s="74"/>
      <c r="U23" s="38" t="str">
        <f t="shared" si="1"/>
        <v/>
      </c>
      <c r="V23" s="38" t="str">
        <f t="shared" si="2"/>
        <v/>
      </c>
      <c r="W23" s="38" t="str">
        <f>IF(AND(U23&lt;&gt;"",OR($S$4="(все)",B23=$S$4),IF($S$4="(все)",COUNTIF($U$4:U23,U23),COUNTIFS($U$4:U23,U23,$B$4:B23,B23))=1),MAX($W$3:W22)+1,"")</f>
        <v/>
      </c>
      <c r="X23" s="38" t="str">
        <f t="shared" si="3"/>
        <v/>
      </c>
      <c r="Y23" s="38" t="str">
        <f>IF(AND(A23="Аппарат",C23&lt;&gt;"",OR($S$5="(все)",B23=$S$5)),MAX($Y$3:Y22)+1,"")</f>
        <v/>
      </c>
      <c r="Z23" s="38" t="str">
        <f t="shared" si="4"/>
        <v/>
      </c>
      <c r="AA23" s="38">
        <f>IF(AND(A23="Модуль",C23&lt;&gt;"",OR($S$6="(все)",B23=$S$6)),MAX($AA$3:AA22)+1,"")</f>
        <v>2</v>
      </c>
      <c r="AB23" s="38" t="str">
        <f t="shared" si="5"/>
        <v/>
      </c>
      <c r="AC23" s="38" t="str">
        <f>IF(OR(B23="",COUNTIF($B$4:B23,B23)&gt;1),"",MAX($AC$3:AC22)+1)</f>
        <v/>
      </c>
      <c r="AD23" s="38" t="str">
        <f t="shared" si="6"/>
        <v/>
      </c>
      <c r="AE23" s="38" t="str">
        <f t="shared" si="7"/>
        <v/>
      </c>
      <c r="AF23" s="38" t="str">
        <f t="shared" si="8"/>
        <v/>
      </c>
      <c r="AG23" s="38" t="str">
        <f>IF(Спецификация_авто!$L$23="","",IF(IF($S$4="(все)",COUNTIF($U$4:$U$500,Спецификация_авто!$L$23),COUNTIF($V$4:$V$500,$S$4&amp;"|"&amp;Спецификация_авто!$L$23))=0,Спецификация_авто!$L$23,""))</f>
        <v/>
      </c>
      <c r="AH23" s="38" t="str">
        <f>IF(AG23="","",COUNTIF($AG$4:AG23,"?*"))</f>
        <v/>
      </c>
    </row>
    <row r="24" spans="1:34" x14ac:dyDescent="0.3">
      <c r="A24" s="74" t="s">
        <v>432</v>
      </c>
      <c r="B24" s="74" t="s">
        <v>300</v>
      </c>
      <c r="C24" s="74" t="s">
        <v>486</v>
      </c>
      <c r="D24" s="74" t="s">
        <v>27</v>
      </c>
      <c r="E24" s="74">
        <v>16</v>
      </c>
      <c r="F24" s="74" t="s">
        <v>487</v>
      </c>
      <c r="G24" s="74" t="s">
        <v>301</v>
      </c>
      <c r="H24" s="74" t="s">
        <v>486</v>
      </c>
      <c r="I24" s="74"/>
      <c r="J24" s="74"/>
      <c r="K24" s="74"/>
      <c r="L24" s="74"/>
      <c r="M24" s="74" t="s">
        <v>280</v>
      </c>
      <c r="N24" s="38">
        <f>IF(OR(A24="Автомат",A24="Дифавтомат"),IF(W24="","",COUNTIFS(Однолинейка!$H$3:$H$3000,U24,Однолинейка!$A$3:$A$3000,Щит_спец)),IF(A24="Аппарат",IF(C24="","",COUNTIFS(Однолинейка!$I$3:$I$3000,C24,Однолинейка!$A$3:$A$3000,Щит_спец)+COUNTIFS(Однолинейка!$J$3:$J$3000,C24,Однолинейка!$A$3:$A$3000,Щит_спец)+COUNTIFS(Однолинейка!$K$3:$K$3000,C24,Однолинейка!$A$3:$A$3000,Щит_спец)),IF(A24="Модуль",IF(C24="","",COUNTIFS(Однолинейка!$AW$3:$AW$3000,"?*",Однолинейка!$AI$3:$AI$3000,C24,Однолинейка!$A$3:$A$3000,Щит_спец)),IF(A24="Клемма",IF(C24="","",IF(C24=$S$7,SUMIFS(Однолинейка!$BW$3:$BW$3000,Однолинейка!$A$3:$A$3000,Щит_спец),IF(C24=$S$8,SUMIFS(Однолинейка!$BX$3:$BX$3000,Однолинейка!$A$3:$A$3000,Щит_спец),""))),""))))</f>
        <v>0</v>
      </c>
      <c r="O24" s="74"/>
      <c r="P24" s="38">
        <f t="shared" si="0"/>
        <v>0</v>
      </c>
      <c r="R24" s="74"/>
      <c r="U24" s="38" t="str">
        <f t="shared" si="1"/>
        <v/>
      </c>
      <c r="V24" s="38" t="str">
        <f t="shared" si="2"/>
        <v/>
      </c>
      <c r="W24" s="38" t="str">
        <f>IF(AND(U24&lt;&gt;"",OR($S$4="(все)",B24=$S$4),IF($S$4="(все)",COUNTIF($U$4:U24,U24),COUNTIFS($U$4:U24,U24,$B$4:B24,B24))=1),MAX($W$3:W23)+1,"")</f>
        <v/>
      </c>
      <c r="X24" s="38" t="str">
        <f t="shared" si="3"/>
        <v/>
      </c>
      <c r="Y24" s="38" t="str">
        <f>IF(AND(A24="Аппарат",C24&lt;&gt;"",OR($S$5="(все)",B24=$S$5)),MAX($Y$3:Y23)+1,"")</f>
        <v/>
      </c>
      <c r="Z24" s="38" t="str">
        <f t="shared" si="4"/>
        <v/>
      </c>
      <c r="AA24" s="38">
        <f>IF(AND(A24="Модуль",C24&lt;&gt;"",OR($S$6="(все)",B24=$S$6)),MAX($AA$3:AA23)+1,"")</f>
        <v>3</v>
      </c>
      <c r="AB24" s="38" t="str">
        <f t="shared" si="5"/>
        <v/>
      </c>
      <c r="AC24" s="38" t="str">
        <f>IF(OR(B24="",COUNTIF($B$4:B24,B24)&gt;1),"",MAX($AC$3:AC23)+1)</f>
        <v/>
      </c>
      <c r="AD24" s="38" t="str">
        <f t="shared" si="6"/>
        <v/>
      </c>
      <c r="AE24" s="38" t="str">
        <f t="shared" si="7"/>
        <v/>
      </c>
      <c r="AF24" s="38" t="str">
        <f t="shared" si="8"/>
        <v/>
      </c>
      <c r="AG24" s="38" t="str">
        <f>IF(Спецификация_авто!$L$27="","",IF(COUNTIF($C$4:$C$500,Спецификация_авто!$L$27)=0,Спецификация_авто!$L$27,""))</f>
        <v/>
      </c>
      <c r="AH24" s="38" t="str">
        <f>IF(AG24="","",COUNTIF($AG$4:AG24,"?*"))</f>
        <v/>
      </c>
    </row>
    <row r="25" spans="1:34" x14ac:dyDescent="0.3">
      <c r="A25" s="74" t="s">
        <v>432</v>
      </c>
      <c r="B25" s="74" t="s">
        <v>300</v>
      </c>
      <c r="C25" s="74" t="s">
        <v>477</v>
      </c>
      <c r="D25" s="74" t="s">
        <v>27</v>
      </c>
      <c r="E25" s="74">
        <v>8</v>
      </c>
      <c r="F25" s="74" t="s">
        <v>487</v>
      </c>
      <c r="G25" s="74" t="s">
        <v>301</v>
      </c>
      <c r="H25" s="74" t="s">
        <v>477</v>
      </c>
      <c r="I25" s="74"/>
      <c r="J25" s="74"/>
      <c r="K25" s="74"/>
      <c r="L25" s="74"/>
      <c r="M25" s="74" t="s">
        <v>280</v>
      </c>
      <c r="N25" s="38">
        <f>IF(OR(A25="Автомат",A25="Дифавтомат"),IF(W25="","",COUNTIFS(Однолинейка!$H$3:$H$3000,U25,Однолинейка!$A$3:$A$3000,Щит_спец)),IF(A25="Аппарат",IF(C25="","",COUNTIFS(Однолинейка!$I$3:$I$3000,C25,Однолинейка!$A$3:$A$3000,Щит_спец)+COUNTIFS(Однолинейка!$J$3:$J$3000,C25,Однолинейка!$A$3:$A$3000,Щит_спец)+COUNTIFS(Однолинейка!$K$3:$K$3000,C25,Однолинейка!$A$3:$A$3000,Щит_спец)),IF(A25="Модуль",IF(C25="","",COUNTIFS(Однолинейка!$AW$3:$AW$3000,"?*",Однолинейка!$AI$3:$AI$3000,C25,Однолинейка!$A$3:$A$3000,Щит_спец)),IF(A25="Клемма",IF(C25="","",IF(C25=$S$7,SUMIFS(Однолинейка!$BW$3:$BW$3000,Однолинейка!$A$3:$A$3000,Щит_спец),IF(C25=$S$8,SUMIFS(Однолинейка!$BX$3:$BX$3000,Однолинейка!$A$3:$A$3000,Щит_спец),""))),""))))</f>
        <v>0</v>
      </c>
      <c r="O25" s="74"/>
      <c r="P25" s="38">
        <f t="shared" si="0"/>
        <v>0</v>
      </c>
      <c r="R25" s="74"/>
      <c r="U25" s="38" t="str">
        <f t="shared" si="1"/>
        <v/>
      </c>
      <c r="V25" s="38" t="str">
        <f t="shared" si="2"/>
        <v/>
      </c>
      <c r="W25" s="38" t="str">
        <f>IF(AND(U25&lt;&gt;"",OR($S$4="(все)",B25=$S$4),IF($S$4="(все)",COUNTIF($U$4:U25,U25),COUNTIFS($U$4:U25,U25,$B$4:B25,B25))=1),MAX($W$3:W24)+1,"")</f>
        <v/>
      </c>
      <c r="X25" s="38" t="str">
        <f t="shared" si="3"/>
        <v/>
      </c>
      <c r="Y25" s="38" t="str">
        <f>IF(AND(A25="Аппарат",C25&lt;&gt;"",OR($S$5="(все)",B25=$S$5)),MAX($Y$3:Y24)+1,"")</f>
        <v/>
      </c>
      <c r="Z25" s="38" t="str">
        <f t="shared" si="4"/>
        <v/>
      </c>
      <c r="AA25" s="38">
        <f>IF(AND(A25="Модуль",C25&lt;&gt;"",OR($S$6="(все)",B25=$S$6)),MAX($AA$3:AA24)+1,"")</f>
        <v>4</v>
      </c>
      <c r="AB25" s="38" t="str">
        <f t="shared" si="5"/>
        <v/>
      </c>
      <c r="AC25" s="38" t="str">
        <f>IF(OR(B25="",COUNTIF($B$4:B25,B25)&gt;1),"",MAX($AC$3:AC24)+1)</f>
        <v/>
      </c>
      <c r="AD25" s="38" t="str">
        <f t="shared" si="6"/>
        <v/>
      </c>
      <c r="AE25" s="38" t="str">
        <f t="shared" si="7"/>
        <v/>
      </c>
      <c r="AF25" s="38" t="str">
        <f t="shared" si="8"/>
        <v/>
      </c>
      <c r="AG25" s="38" t="str">
        <f>IF(Спецификация_авто!$L$28="","",IF(COUNTIF($C$4:$C$500,Спецификация_авто!$L$28)=0,Спецификация_авто!$L$28,""))</f>
        <v/>
      </c>
      <c r="AH25" s="38" t="str">
        <f>IF(AG25="","",COUNTIF($AG$4:AG25,"?*"))</f>
        <v/>
      </c>
    </row>
    <row r="26" spans="1:34" x14ac:dyDescent="0.3">
      <c r="A26" s="74" t="s">
        <v>432</v>
      </c>
      <c r="B26" s="74" t="s">
        <v>300</v>
      </c>
      <c r="C26" s="74" t="s">
        <v>490</v>
      </c>
      <c r="D26" s="74" t="s">
        <v>27</v>
      </c>
      <c r="E26" s="74">
        <v>8</v>
      </c>
      <c r="F26" s="74" t="s">
        <v>491</v>
      </c>
      <c r="G26" s="74" t="s">
        <v>712</v>
      </c>
      <c r="H26" s="74" t="s">
        <v>490</v>
      </c>
      <c r="I26" s="74"/>
      <c r="J26" s="74"/>
      <c r="K26" s="74"/>
      <c r="L26" s="74"/>
      <c r="M26" s="74" t="s">
        <v>280</v>
      </c>
      <c r="N26" s="38">
        <f>IF(OR(A26="Автомат",A26="Дифавтомат"),IF(W26="","",COUNTIFS(Однолинейка!$H$3:$H$3000,U26,Однолинейка!$A$3:$A$3000,Щит_спец)),IF(A26="Аппарат",IF(C26="","",COUNTIFS(Однолинейка!$I$3:$I$3000,C26,Однолинейка!$A$3:$A$3000,Щит_спец)+COUNTIFS(Однолинейка!$J$3:$J$3000,C26,Однолинейка!$A$3:$A$3000,Щит_спец)+COUNTIFS(Однолинейка!$K$3:$K$3000,C26,Однолинейка!$A$3:$A$3000,Щит_спец)),IF(A26="Модуль",IF(C26="","",COUNTIFS(Однолинейка!$AW$3:$AW$3000,"?*",Однолинейка!$AI$3:$AI$3000,C26,Однолинейка!$A$3:$A$3000,Щит_спец)),IF(A26="Клемма",IF(C26="","",IF(C26=$S$7,SUMIFS(Однолинейка!$BW$3:$BW$3000,Однолинейка!$A$3:$A$3000,Щит_спец),IF(C26=$S$8,SUMIFS(Однолинейка!$BX$3:$BX$3000,Однолинейка!$A$3:$A$3000,Щит_спец),""))),""))))</f>
        <v>0</v>
      </c>
      <c r="O26" s="74"/>
      <c r="P26" s="38">
        <f t="shared" si="0"/>
        <v>0</v>
      </c>
      <c r="U26" s="38" t="str">
        <f t="shared" si="1"/>
        <v/>
      </c>
      <c r="V26" s="38" t="str">
        <f t="shared" si="2"/>
        <v/>
      </c>
      <c r="W26" s="38" t="str">
        <f>IF(AND(U26&lt;&gt;"",OR($S$4="(все)",B26=$S$4),IF($S$4="(все)",COUNTIF($U$4:U26,U26),COUNTIFS($U$4:U26,U26,$B$4:B26,B26))=1),MAX($W$3:W25)+1,"")</f>
        <v/>
      </c>
      <c r="X26" s="38" t="str">
        <f t="shared" si="3"/>
        <v/>
      </c>
      <c r="Y26" s="38" t="str">
        <f>IF(AND(A26="Аппарат",C26&lt;&gt;"",OR($S$5="(все)",B26=$S$5)),MAX($Y$3:Y25)+1,"")</f>
        <v/>
      </c>
      <c r="Z26" s="38" t="str">
        <f t="shared" si="4"/>
        <v/>
      </c>
      <c r="AA26" s="38">
        <f>IF(AND(A26="Модуль",C26&lt;&gt;"",OR($S$6="(все)",B26=$S$6)),MAX($AA$3:AA25)+1,"")</f>
        <v>5</v>
      </c>
      <c r="AB26" s="38" t="str">
        <f t="shared" si="5"/>
        <v/>
      </c>
      <c r="AC26" s="38" t="str">
        <f>IF(OR(B26="",COUNTIF($B$4:B26,B26)&gt;1),"",MAX($AC$3:AC25)+1)</f>
        <v/>
      </c>
      <c r="AD26" s="38" t="str">
        <f t="shared" si="6"/>
        <v/>
      </c>
      <c r="AE26" s="38" t="str">
        <f t="shared" si="7"/>
        <v/>
      </c>
      <c r="AF26" s="38" t="str">
        <f t="shared" si="8"/>
        <v/>
      </c>
      <c r="AG26" s="38" t="str">
        <f>IF(Спецификация_авто!$L$29="","",IF(COUNTIF($C$4:$C$500,Спецификация_авто!$L$29)=0,Спецификация_авто!$L$29,""))</f>
        <v/>
      </c>
      <c r="AH26" s="38" t="str">
        <f>IF(AG26="","",COUNTIF($AG$4:AG26,"?*"))</f>
        <v/>
      </c>
    </row>
    <row r="27" spans="1:34" ht="27.6" x14ac:dyDescent="0.3">
      <c r="A27" s="74" t="s">
        <v>432</v>
      </c>
      <c r="B27" s="74" t="s">
        <v>300</v>
      </c>
      <c r="C27" s="74" t="s">
        <v>303</v>
      </c>
      <c r="D27" s="74" t="s">
        <v>494</v>
      </c>
      <c r="E27" s="74">
        <v>4</v>
      </c>
      <c r="F27" s="74" t="s">
        <v>495</v>
      </c>
      <c r="G27" s="74" t="s">
        <v>713</v>
      </c>
      <c r="H27" s="74" t="s">
        <v>303</v>
      </c>
      <c r="I27" s="74"/>
      <c r="J27" s="74"/>
      <c r="K27" s="74"/>
      <c r="L27" s="74"/>
      <c r="M27" s="74" t="s">
        <v>280</v>
      </c>
      <c r="N27" s="38">
        <f>IF(OR(A27="Автомат",A27="Дифавтомат"),IF(W27="","",COUNTIFS(Однолинейка!$H$3:$H$3000,U27,Однолинейка!$A$3:$A$3000,Щит_спец)),IF(A27="Аппарат",IF(C27="","",COUNTIFS(Однолинейка!$I$3:$I$3000,C27,Однолинейка!$A$3:$A$3000,Щит_спец)+COUNTIFS(Однолинейка!$J$3:$J$3000,C27,Однолинейка!$A$3:$A$3000,Щит_спец)+COUNTIFS(Однолинейка!$K$3:$K$3000,C27,Однолинейка!$A$3:$A$3000,Щит_спец)),IF(A27="Модуль",IF(C27="","",COUNTIFS(Однолинейка!$AW$3:$AW$3000,"?*",Однолинейка!$AI$3:$AI$3000,C27,Однолинейка!$A$3:$A$3000,Щит_спец)),IF(A27="Клемма",IF(C27="","",IF(C27=$S$7,SUMIFS(Однолинейка!$BW$3:$BW$3000,Однолинейка!$A$3:$A$3000,Щит_спец),IF(C27=$S$8,SUMIFS(Однолинейка!$BX$3:$BX$3000,Однолинейка!$A$3:$A$3000,Щит_спец),""))),""))))</f>
        <v>0</v>
      </c>
      <c r="O27" s="74"/>
      <c r="P27" s="38">
        <f t="shared" si="0"/>
        <v>0</v>
      </c>
      <c r="R27" s="35" t="s">
        <v>714</v>
      </c>
      <c r="S27" s="35"/>
      <c r="U27" s="38" t="str">
        <f t="shared" si="1"/>
        <v/>
      </c>
      <c r="V27" s="38" t="str">
        <f t="shared" si="2"/>
        <v/>
      </c>
      <c r="W27" s="38" t="str">
        <f>IF(AND(U27&lt;&gt;"",OR($S$4="(все)",B27=$S$4),IF($S$4="(все)",COUNTIF($U$4:U27,U27),COUNTIFS($U$4:U27,U27,$B$4:B27,B27))=1),MAX($W$3:W26)+1,"")</f>
        <v/>
      </c>
      <c r="X27" s="38" t="str">
        <f t="shared" si="3"/>
        <v/>
      </c>
      <c r="Y27" s="38" t="str">
        <f>IF(AND(A27="Аппарат",C27&lt;&gt;"",OR($S$5="(все)",B27=$S$5)),MAX($Y$3:Y26)+1,"")</f>
        <v/>
      </c>
      <c r="Z27" s="38" t="str">
        <f t="shared" si="4"/>
        <v/>
      </c>
      <c r="AA27" s="38">
        <f>IF(AND(A27="Модуль",C27&lt;&gt;"",OR($S$6="(все)",B27=$S$6)),MAX($AA$3:AA26)+1,"")</f>
        <v>6</v>
      </c>
      <c r="AB27" s="38" t="str">
        <f t="shared" si="5"/>
        <v/>
      </c>
      <c r="AC27" s="38" t="str">
        <f>IF(OR(B27="",COUNTIF($B$4:B27,B27)&gt;1),"",MAX($AC$3:AC26)+1)</f>
        <v/>
      </c>
      <c r="AD27" s="38" t="str">
        <f t="shared" si="6"/>
        <v/>
      </c>
      <c r="AE27" s="38" t="str">
        <f t="shared" si="7"/>
        <v/>
      </c>
      <c r="AF27" s="38" t="str">
        <f t="shared" si="8"/>
        <v/>
      </c>
      <c r="AG27" s="38" t="str">
        <f>IF(Спецификация_авто!$L$30="","",IF(COUNTIF($C$4:$C$500,Спецификация_авто!$L$30)=0,Спецификация_авто!$L$30,""))</f>
        <v/>
      </c>
      <c r="AH27" s="38" t="str">
        <f>IF(AG27="","",COUNTIF($AG$4:AG27,"?*"))</f>
        <v/>
      </c>
    </row>
    <row r="28" spans="1:34" x14ac:dyDescent="0.3">
      <c r="A28" s="74" t="s">
        <v>432</v>
      </c>
      <c r="B28" s="74" t="s">
        <v>300</v>
      </c>
      <c r="C28" s="74" t="s">
        <v>305</v>
      </c>
      <c r="D28" s="74" t="s">
        <v>496</v>
      </c>
      <c r="E28" s="74">
        <v>2</v>
      </c>
      <c r="F28" s="74" t="s">
        <v>225</v>
      </c>
      <c r="G28" s="74" t="s">
        <v>304</v>
      </c>
      <c r="H28" s="74" t="s">
        <v>305</v>
      </c>
      <c r="I28" s="74"/>
      <c r="J28" s="74"/>
      <c r="K28" s="74"/>
      <c r="L28" s="74"/>
      <c r="M28" s="74" t="s">
        <v>280</v>
      </c>
      <c r="N28" s="38">
        <f>IF(OR(A28="Автомат",A28="Дифавтомат"),IF(W28="","",COUNTIFS(Однолинейка!$H$3:$H$3000,U28,Однолинейка!$A$3:$A$3000,Щит_спец)),IF(A28="Аппарат",IF(C28="","",COUNTIFS(Однолинейка!$I$3:$I$3000,C28,Однолинейка!$A$3:$A$3000,Щит_спец)+COUNTIFS(Однолинейка!$J$3:$J$3000,C28,Однолинейка!$A$3:$A$3000,Щит_спец)+COUNTIFS(Однолинейка!$K$3:$K$3000,C28,Однолинейка!$A$3:$A$3000,Щит_спец)),IF(A28="Модуль",IF(C28="","",COUNTIFS(Однолинейка!$AW$3:$AW$3000,"?*",Однолинейка!$AI$3:$AI$3000,C28,Однолинейка!$A$3:$A$3000,Щит_спец)),IF(A28="Клемма",IF(C28="","",IF(C28=$S$7,SUMIFS(Однолинейка!$BW$3:$BW$3000,Однолинейка!$A$3:$A$3000,Щит_спец),IF(C28=$S$8,SUMIFS(Однолинейка!$BX$3:$BX$3000,Однолинейка!$A$3:$A$3000,Щит_спец),""))),""))))</f>
        <v>0</v>
      </c>
      <c r="O28" s="74"/>
      <c r="P28" s="38">
        <f t="shared" si="0"/>
        <v>0</v>
      </c>
      <c r="R28" s="38" t="str">
        <f>IFERROR(INDEX($AG$4:$AG$43,MATCH(1,$AH$4:$AH$43,0)),"")</f>
        <v>3P С630А</v>
      </c>
      <c r="U28" s="38" t="str">
        <f t="shared" si="1"/>
        <v/>
      </c>
      <c r="V28" s="38" t="str">
        <f t="shared" si="2"/>
        <v/>
      </c>
      <c r="W28" s="38" t="str">
        <f>IF(AND(U28&lt;&gt;"",OR($S$4="(все)",B28=$S$4),IF($S$4="(все)",COUNTIF($U$4:U28,U28),COUNTIFS($U$4:U28,U28,$B$4:B28,B28))=1),MAX($W$3:W27)+1,"")</f>
        <v/>
      </c>
      <c r="X28" s="38" t="str">
        <f t="shared" si="3"/>
        <v/>
      </c>
      <c r="Y28" s="38" t="str">
        <f>IF(AND(A28="Аппарат",C28&lt;&gt;"",OR($S$5="(все)",B28=$S$5)),MAX($Y$3:Y27)+1,"")</f>
        <v/>
      </c>
      <c r="Z28" s="38" t="str">
        <f t="shared" si="4"/>
        <v/>
      </c>
      <c r="AA28" s="38">
        <f>IF(AND(A28="Модуль",C28&lt;&gt;"",OR($S$6="(все)",B28=$S$6)),MAX($AA$3:AA27)+1,"")</f>
        <v>7</v>
      </c>
      <c r="AB28" s="38" t="str">
        <f t="shared" si="5"/>
        <v/>
      </c>
      <c r="AC28" s="38" t="str">
        <f>IF(OR(B28="",COUNTIF($B$4:B28,B28)&gt;1),"",MAX($AC$3:AC27)+1)</f>
        <v/>
      </c>
      <c r="AD28" s="38" t="str">
        <f t="shared" si="6"/>
        <v/>
      </c>
      <c r="AE28" s="38" t="str">
        <f t="shared" si="7"/>
        <v/>
      </c>
      <c r="AF28" s="38" t="str">
        <f t="shared" si="8"/>
        <v/>
      </c>
      <c r="AG28" s="38" t="str">
        <f>IF(Спецификация_авто!$L$31="","",IF(COUNTIF($C$4:$C$500,Спецификация_авто!$L$31)=0,Спецификация_авто!$L$31,""))</f>
        <v/>
      </c>
      <c r="AH28" s="38" t="str">
        <f>IF(AG28="","",COUNTIF($AG$4:AG28,"?*"))</f>
        <v/>
      </c>
    </row>
    <row r="29" spans="1:34" x14ac:dyDescent="0.3">
      <c r="A29" s="74" t="s">
        <v>432</v>
      </c>
      <c r="B29" s="74" t="s">
        <v>300</v>
      </c>
      <c r="C29" s="74" t="s">
        <v>307</v>
      </c>
      <c r="D29" s="74" t="s">
        <v>715</v>
      </c>
      <c r="E29" s="74">
        <v>8</v>
      </c>
      <c r="F29" s="74" t="s">
        <v>716</v>
      </c>
      <c r="G29" s="74" t="s">
        <v>306</v>
      </c>
      <c r="H29" s="74" t="s">
        <v>307</v>
      </c>
      <c r="I29" s="74"/>
      <c r="J29" s="74"/>
      <c r="K29" s="74"/>
      <c r="L29" s="74"/>
      <c r="M29" s="74" t="s">
        <v>280</v>
      </c>
      <c r="N29" s="38">
        <f>IF(OR(A29="Автомат",A29="Дифавтомат"),IF(W29="","",COUNTIFS(Однолинейка!$H$3:$H$3000,U29,Однолинейка!$A$3:$A$3000,Щит_спец)),IF(A29="Аппарат",IF(C29="","",COUNTIFS(Однолинейка!$I$3:$I$3000,C29,Однолинейка!$A$3:$A$3000,Щит_спец)+COUNTIFS(Однолинейка!$J$3:$J$3000,C29,Однолинейка!$A$3:$A$3000,Щит_спец)+COUNTIFS(Однолинейка!$K$3:$K$3000,C29,Однолинейка!$A$3:$A$3000,Щит_спец)),IF(A29="Модуль",IF(C29="","",COUNTIFS(Однолинейка!$AW$3:$AW$3000,"?*",Однолинейка!$AI$3:$AI$3000,C29,Однолинейка!$A$3:$A$3000,Щит_спец)),IF(A29="Клемма",IF(C29="","",IF(C29=$S$7,SUMIFS(Однолинейка!$BW$3:$BW$3000,Однолинейка!$A$3:$A$3000,Щит_спец),IF(C29=$S$8,SUMIFS(Однолинейка!$BX$3:$BX$3000,Однолинейка!$A$3:$A$3000,Щит_спец),""))),""))))</f>
        <v>0</v>
      </c>
      <c r="O29" s="74"/>
      <c r="P29" s="38">
        <f t="shared" si="0"/>
        <v>0</v>
      </c>
      <c r="R29" s="38" t="str">
        <f>IFERROR(INDEX($AG$4:$AG$43,MATCH(2,$AH$4:$AH$43,0)),"")</f>
        <v>3P С25А</v>
      </c>
      <c r="U29" s="38" t="str">
        <f t="shared" si="1"/>
        <v/>
      </c>
      <c r="V29" s="38" t="str">
        <f t="shared" si="2"/>
        <v/>
      </c>
      <c r="W29" s="38" t="str">
        <f>IF(AND(U29&lt;&gt;"",OR($S$4="(все)",B29=$S$4),IF($S$4="(все)",COUNTIF($U$4:U29,U29),COUNTIFS($U$4:U29,U29,$B$4:B29,B29))=1),MAX($W$3:W28)+1,"")</f>
        <v/>
      </c>
      <c r="X29" s="38" t="str">
        <f t="shared" si="3"/>
        <v/>
      </c>
      <c r="Y29" s="38" t="str">
        <f>IF(AND(A29="Аппарат",C29&lt;&gt;"",OR($S$5="(все)",B29=$S$5)),MAX($Y$3:Y28)+1,"")</f>
        <v/>
      </c>
      <c r="Z29" s="38" t="str">
        <f t="shared" si="4"/>
        <v/>
      </c>
      <c r="AA29" s="38">
        <f>IF(AND(A29="Модуль",C29&lt;&gt;"",OR($S$6="(все)",B29=$S$6)),MAX($AA$3:AA28)+1,"")</f>
        <v>8</v>
      </c>
      <c r="AB29" s="38" t="str">
        <f t="shared" si="5"/>
        <v/>
      </c>
      <c r="AC29" s="38" t="str">
        <f>IF(OR(B29="",COUNTIF($B$4:B29,B29)&gt;1),"",MAX($AC$3:AC28)+1)</f>
        <v/>
      </c>
      <c r="AD29" s="38" t="str">
        <f t="shared" si="6"/>
        <v/>
      </c>
      <c r="AE29" s="38" t="str">
        <f t="shared" si="7"/>
        <v/>
      </c>
      <c r="AF29" s="38" t="str">
        <f t="shared" si="8"/>
        <v/>
      </c>
      <c r="AG29" s="38" t="str">
        <f>IF(Спецификация_авто!$L$32="","",IF(COUNTIF($C$4:$C$500,Спецификация_авто!$L$32)=0,Спецификация_авто!$L$32,""))</f>
        <v/>
      </c>
      <c r="AH29" s="38" t="str">
        <f>IF(AG29="","",COUNTIF($AG$4:AG29,"?*"))</f>
        <v/>
      </c>
    </row>
    <row r="30" spans="1:34" x14ac:dyDescent="0.3">
      <c r="A30" s="74" t="s">
        <v>432</v>
      </c>
      <c r="B30" s="74" t="s">
        <v>293</v>
      </c>
      <c r="C30" s="74" t="s">
        <v>717</v>
      </c>
      <c r="D30" s="74" t="s">
        <v>494</v>
      </c>
      <c r="E30" s="74">
        <v>4</v>
      </c>
      <c r="F30" s="74" t="s">
        <v>718</v>
      </c>
      <c r="G30" s="74" t="s">
        <v>719</v>
      </c>
      <c r="H30" s="74" t="s">
        <v>294</v>
      </c>
      <c r="I30" s="74"/>
      <c r="J30" s="74"/>
      <c r="K30" s="74"/>
      <c r="L30" s="74"/>
      <c r="M30" s="74" t="s">
        <v>280</v>
      </c>
      <c r="N30" s="38">
        <f>IF(OR(A30="Автомат",A30="Дифавтомат"),IF(W30="","",COUNTIFS(Однолинейка!$H$3:$H$3000,U30,Однолинейка!$A$3:$A$3000,Щит_спец)),IF(A30="Аппарат",IF(C30="","",COUNTIFS(Однолинейка!$I$3:$I$3000,C30,Однолинейка!$A$3:$A$3000,Щит_спец)+COUNTIFS(Однолинейка!$J$3:$J$3000,C30,Однолинейка!$A$3:$A$3000,Щит_спец)+COUNTIFS(Однолинейка!$K$3:$K$3000,C30,Однолинейка!$A$3:$A$3000,Щит_спец)),IF(A30="Модуль",IF(C30="","",COUNTIFS(Однолинейка!$AW$3:$AW$3000,"?*",Однолинейка!$AI$3:$AI$3000,C30,Однолинейка!$A$3:$A$3000,Щит_спец)),IF(A30="Клемма",IF(C30="","",IF(C30=$S$7,SUMIFS(Однолинейка!$BW$3:$BW$3000,Однолинейка!$A$3:$A$3000,Щит_спец),IF(C30=$S$8,SUMIFS(Однолинейка!$BX$3:$BX$3000,Однолинейка!$A$3:$A$3000,Щит_спец),""))),""))))</f>
        <v>0</v>
      </c>
      <c r="O30" s="74"/>
      <c r="P30" s="38">
        <f t="shared" si="0"/>
        <v>0</v>
      </c>
      <c r="Q30">
        <v>5</v>
      </c>
      <c r="R30" s="38" t="str">
        <f>IFERROR(INDEX($AG$4:$AG$43,MATCH(3,$AH$4:$AH$43,0)),"")</f>
        <v>3P С400А</v>
      </c>
      <c r="U30" s="38" t="str">
        <f t="shared" si="1"/>
        <v/>
      </c>
      <c r="V30" s="38" t="str">
        <f t="shared" si="2"/>
        <v/>
      </c>
      <c r="W30" s="38" t="str">
        <f>IF(AND(U30&lt;&gt;"",OR($S$4="(все)",B30=$S$4),IF($S$4="(все)",COUNTIF($U$4:U30,U30),COUNTIFS($U$4:U30,U30,$B$4:B30,B30))=1),MAX($W$3:W29)+1,"")</f>
        <v/>
      </c>
      <c r="X30" s="38" t="str">
        <f t="shared" si="3"/>
        <v/>
      </c>
      <c r="Y30" s="38" t="str">
        <f>IF(AND(A30="Аппарат",C30&lt;&gt;"",OR($S$5="(все)",B30=$S$5)),MAX($Y$3:Y29)+1,"")</f>
        <v/>
      </c>
      <c r="Z30" s="38" t="str">
        <f t="shared" si="4"/>
        <v/>
      </c>
      <c r="AA30" s="38">
        <f>IF(AND(A30="Модуль",C30&lt;&gt;"",OR($S$6="(все)",B30=$S$6)),MAX($AA$3:AA29)+1,"")</f>
        <v>9</v>
      </c>
      <c r="AB30" s="38" t="str">
        <f t="shared" si="5"/>
        <v/>
      </c>
      <c r="AC30" s="38" t="str">
        <f>IF(OR(B30="",COUNTIF($B$4:B30,B30)&gt;1),"",MAX($AC$3:AC29)+1)</f>
        <v/>
      </c>
      <c r="AD30" s="38" t="str">
        <f t="shared" si="6"/>
        <v/>
      </c>
      <c r="AE30" s="38" t="str">
        <f t="shared" si="7"/>
        <v/>
      </c>
      <c r="AF30" s="38" t="str">
        <f t="shared" si="8"/>
        <v/>
      </c>
      <c r="AG30" s="38" t="str">
        <f>IF(Спецификация_авто!$L$33="","",IF(COUNTIF($C$4:$C$500,Спецификация_авто!$L$33)=0,Спецификация_авто!$L$33,""))</f>
        <v/>
      </c>
      <c r="AH30" s="38" t="str">
        <f>IF(AG30="","",COUNTIF($AG$4:AG30,"?*"))</f>
        <v/>
      </c>
    </row>
    <row r="31" spans="1:34" x14ac:dyDescent="0.3">
      <c r="A31" s="74" t="s">
        <v>432</v>
      </c>
      <c r="B31" s="74" t="s">
        <v>720</v>
      </c>
      <c r="C31" s="74" t="s">
        <v>479</v>
      </c>
      <c r="D31" s="74" t="s">
        <v>27</v>
      </c>
      <c r="E31" s="74">
        <v>24</v>
      </c>
      <c r="F31" s="74" t="s">
        <v>487</v>
      </c>
      <c r="G31" s="74" t="s">
        <v>721</v>
      </c>
      <c r="H31" s="74"/>
      <c r="I31" s="74"/>
      <c r="J31" s="74"/>
      <c r="K31" s="74"/>
      <c r="L31" s="74"/>
      <c r="M31" s="74" t="s">
        <v>280</v>
      </c>
      <c r="N31" s="38">
        <f>IF(OR(A31="Автомат",A31="Дифавтомат"),IF(W31="","",COUNTIFS(Однолинейка!$H$3:$H$3000,U31,Однолинейка!$A$3:$A$3000,Щит_спец)),IF(A31="Аппарат",IF(C31="","",COUNTIFS(Однолинейка!$I$3:$I$3000,C31,Однолинейка!$A$3:$A$3000,Щит_спец)+COUNTIFS(Однолинейка!$J$3:$J$3000,C31,Однолинейка!$A$3:$A$3000,Щит_спец)+COUNTIFS(Однолинейка!$K$3:$K$3000,C31,Однолинейка!$A$3:$A$3000,Щит_спец)),IF(A31="Модуль",IF(C31="","",COUNTIFS(Однолинейка!$AW$3:$AW$3000,"?*",Однолинейка!$AI$3:$AI$3000,C31,Однолинейка!$A$3:$A$3000,Щит_спец)),IF(A31="Клемма",IF(C31="","",IF(C31=$S$7,SUMIFS(Однолинейка!$BW$3:$BW$3000,Однолинейка!$A$3:$A$3000,Щит_спец),IF(C31=$S$8,SUMIFS(Однолинейка!$BX$3:$BX$3000,Однолинейка!$A$3:$A$3000,Щит_спец),""))),""))))</f>
        <v>0</v>
      </c>
      <c r="O31" s="74"/>
      <c r="P31" s="38">
        <f t="shared" si="0"/>
        <v>0</v>
      </c>
      <c r="R31" s="38" t="str">
        <f>IFERROR(INDEX($AG$4:$AG$43,MATCH(4,$AH$4:$AH$43,0)),"")</f>
        <v>3P С16А</v>
      </c>
      <c r="U31" s="38" t="str">
        <f t="shared" si="1"/>
        <v/>
      </c>
      <c r="V31" s="38" t="str">
        <f t="shared" si="2"/>
        <v/>
      </c>
      <c r="W31" s="38" t="str">
        <f>IF(AND(U31&lt;&gt;"",OR($S$4="(все)",B31=$S$4),IF($S$4="(все)",COUNTIF($U$4:U31,U31),COUNTIFS($U$4:U31,U31,$B$4:B31,B31))=1),MAX($W$3:W30)+1,"")</f>
        <v/>
      </c>
      <c r="X31" s="38" t="str">
        <f t="shared" si="3"/>
        <v/>
      </c>
      <c r="Y31" s="38" t="str">
        <f>IF(AND(A31="Аппарат",C31&lt;&gt;"",OR($S$5="(все)",B31=$S$5)),MAX($Y$3:Y30)+1,"")</f>
        <v/>
      </c>
      <c r="Z31" s="38" t="str">
        <f t="shared" si="4"/>
        <v/>
      </c>
      <c r="AA31" s="38">
        <f>IF(AND(A31="Модуль",C31&lt;&gt;"",OR($S$6="(все)",B31=$S$6)),MAX($AA$3:AA30)+1,"")</f>
        <v>10</v>
      </c>
      <c r="AB31" s="38" t="str">
        <f t="shared" si="5"/>
        <v/>
      </c>
      <c r="AC31" s="38">
        <f>IF(OR(B31="",COUNTIF($B$4:B31,B31)&gt;1),"",MAX($AC$3:AC30)+1)</f>
        <v>5</v>
      </c>
      <c r="AD31" s="38" t="str">
        <f t="shared" si="6"/>
        <v/>
      </c>
      <c r="AE31" s="38" t="str">
        <f t="shared" si="7"/>
        <v/>
      </c>
      <c r="AF31" s="38" t="str">
        <f t="shared" si="8"/>
        <v/>
      </c>
      <c r="AG31" s="38" t="str">
        <f>IF(Спецификация_авто!$L$34="","",IF(COUNTIF($C$4:$C$500,Спецификация_авто!$L$34)=0,Спецификация_авто!$L$34,""))</f>
        <v/>
      </c>
      <c r="AH31" s="38" t="str">
        <f>IF(AG31="","",COUNTIF($AG$4:AG31,"?*"))</f>
        <v/>
      </c>
    </row>
    <row r="32" spans="1:34" x14ac:dyDescent="0.3">
      <c r="A32" s="74" t="s">
        <v>432</v>
      </c>
      <c r="B32" s="74" t="s">
        <v>720</v>
      </c>
      <c r="C32" s="74" t="s">
        <v>478</v>
      </c>
      <c r="D32" s="74" t="s">
        <v>497</v>
      </c>
      <c r="E32" s="74">
        <v>8</v>
      </c>
      <c r="F32" s="74" t="s">
        <v>722</v>
      </c>
      <c r="G32" s="74" t="s">
        <v>721</v>
      </c>
      <c r="H32" s="74"/>
      <c r="I32" s="74"/>
      <c r="J32" s="74"/>
      <c r="K32" s="74"/>
      <c r="L32" s="74"/>
      <c r="M32" s="74" t="s">
        <v>280</v>
      </c>
      <c r="N32" s="38">
        <f>IF(OR(A32="Автомат",A32="Дифавтомат"),IF(W32="","",COUNTIFS(Однолинейка!$H$3:$H$3000,U32,Однолинейка!$A$3:$A$3000,Щит_спец)),IF(A32="Аппарат",IF(C32="","",COUNTIFS(Однолинейка!$I$3:$I$3000,C32,Однолинейка!$A$3:$A$3000,Щит_спец)+COUNTIFS(Однолинейка!$J$3:$J$3000,C32,Однолинейка!$A$3:$A$3000,Щит_спец)+COUNTIFS(Однолинейка!$K$3:$K$3000,C32,Однолинейка!$A$3:$A$3000,Щит_спец)),IF(A32="Модуль",IF(C32="","",COUNTIFS(Однолинейка!$AW$3:$AW$3000,"?*",Однолинейка!$AI$3:$AI$3000,C32,Однолинейка!$A$3:$A$3000,Щит_спец)),IF(A32="Клемма",IF(C32="","",IF(C32=$S$7,SUMIFS(Однолинейка!$BW$3:$BW$3000,Однолинейка!$A$3:$A$3000,Щит_спец),IF(C32=$S$8,SUMIFS(Однолинейка!$BX$3:$BX$3000,Однолинейка!$A$3:$A$3000,Щит_спец),""))),""))))</f>
        <v>0</v>
      </c>
      <c r="O32" s="74"/>
      <c r="P32" s="38">
        <f t="shared" si="0"/>
        <v>0</v>
      </c>
      <c r="R32" s="38" t="str">
        <f>IFERROR(INDEX($AG$4:$AG$43,MATCH(5,$AH$4:$AH$43,0)),"")</f>
        <v>3P С6А</v>
      </c>
      <c r="U32" s="38" t="str">
        <f t="shared" si="1"/>
        <v/>
      </c>
      <c r="V32" s="38" t="str">
        <f t="shared" si="2"/>
        <v/>
      </c>
      <c r="W32" s="38" t="str">
        <f>IF(AND(U32&lt;&gt;"",OR($S$4="(все)",B32=$S$4),IF($S$4="(все)",COUNTIF($U$4:U32,U32),COUNTIFS($U$4:U32,U32,$B$4:B32,B32))=1),MAX($W$3:W31)+1,"")</f>
        <v/>
      </c>
      <c r="X32" s="38" t="str">
        <f t="shared" si="3"/>
        <v/>
      </c>
      <c r="Y32" s="38" t="str">
        <f>IF(AND(A32="Аппарат",C32&lt;&gt;"",OR($S$5="(все)",B32=$S$5)),MAX($Y$3:Y31)+1,"")</f>
        <v/>
      </c>
      <c r="Z32" s="38" t="str">
        <f t="shared" si="4"/>
        <v/>
      </c>
      <c r="AA32" s="38">
        <f>IF(AND(A32="Модуль",C32&lt;&gt;"",OR($S$6="(все)",B32=$S$6)),MAX($AA$3:AA31)+1,"")</f>
        <v>11</v>
      </c>
      <c r="AB32" s="38" t="str">
        <f t="shared" si="5"/>
        <v/>
      </c>
      <c r="AC32" s="38" t="str">
        <f>IF(OR(B32="",COUNTIF($B$4:B32,B32)&gt;1),"",MAX($AC$3:AC31)+1)</f>
        <v/>
      </c>
      <c r="AD32" s="38" t="str">
        <f t="shared" si="6"/>
        <v/>
      </c>
      <c r="AE32" s="38" t="str">
        <f t="shared" si="7"/>
        <v/>
      </c>
      <c r="AF32" s="38" t="str">
        <f t="shared" si="8"/>
        <v/>
      </c>
      <c r="AG32" s="38" t="str">
        <f>IF(Спецификация_авто!$L$35="","",IF(COUNTIF($C$4:$C$500,Спецификация_авто!$L$35)=0,Спецификация_авто!$L$35,""))</f>
        <v/>
      </c>
      <c r="AH32" s="38" t="str">
        <f>IF(AG32="","",COUNTIF($AG$4:AG32,"?*"))</f>
        <v/>
      </c>
    </row>
    <row r="33" spans="1:34" x14ac:dyDescent="0.3">
      <c r="A33" s="74" t="s">
        <v>435</v>
      </c>
      <c r="B33" s="74" t="s">
        <v>277</v>
      </c>
      <c r="C33" s="74" t="s">
        <v>315</v>
      </c>
      <c r="D33" s="74"/>
      <c r="E33" s="74"/>
      <c r="F33" s="74"/>
      <c r="G33" s="74" t="s">
        <v>723</v>
      </c>
      <c r="H33" s="74" t="s">
        <v>315</v>
      </c>
      <c r="I33" s="74"/>
      <c r="J33" s="74"/>
      <c r="K33" s="74"/>
      <c r="L33" s="74"/>
      <c r="M33" s="74" t="s">
        <v>280</v>
      </c>
      <c r="N33" s="38">
        <f>IF(OR(A33="Автомат",A33="Дифавтомат"),IF(W33="","",COUNTIFS(Однолинейка!$H$3:$H$3000,U33,Однолинейка!$A$3:$A$3000,Щит_спец)),IF(A33="Аппарат",IF(C33="","",COUNTIFS(Однолинейка!$I$3:$I$3000,C33,Однолинейка!$A$3:$A$3000,Щит_спец)+COUNTIFS(Однолинейка!$J$3:$J$3000,C33,Однолинейка!$A$3:$A$3000,Щит_спец)+COUNTIFS(Однолинейка!$K$3:$K$3000,C33,Однолинейка!$A$3:$A$3000,Щит_спец)),IF(A33="Модуль",IF(C33="","",COUNTIFS(Однолинейка!$AW$3:$AW$3000,"?*",Однолинейка!$AI$3:$AI$3000,C33,Однолинейка!$A$3:$A$3000,Щит_спец)),IF(A33="Клемма",IF(C33="","",IF(C33=$S$7,SUMIFS(Однолинейка!$BW$3:$BW$3000,Однолинейка!$A$3:$A$3000,Щит_спец),IF(C33=$S$8,SUMIFS(Однолинейка!$BX$3:$BX$3000,Однолинейка!$A$3:$A$3000,Щит_спец),""))),""))))</f>
        <v>305</v>
      </c>
      <c r="O33" s="74"/>
      <c r="P33" s="38">
        <f t="shared" si="0"/>
        <v>305</v>
      </c>
      <c r="R33" s="38" t="str">
        <f>IFERROR(INDEX($AG$4:$AG$43,MATCH(6,$AH$4:$AH$43,0)),"")</f>
        <v>3P С40А</v>
      </c>
      <c r="U33" s="38" t="str">
        <f t="shared" si="1"/>
        <v/>
      </c>
      <c r="V33" s="38" t="str">
        <f t="shared" si="2"/>
        <v/>
      </c>
      <c r="W33" s="38" t="str">
        <f>IF(AND(U33&lt;&gt;"",OR($S$4="(все)",B33=$S$4),IF($S$4="(все)",COUNTIF($U$4:U33,U33),COUNTIFS($U$4:U33,U33,$B$4:B33,B33))=1),MAX($W$3:W32)+1,"")</f>
        <v/>
      </c>
      <c r="X33" s="38" t="str">
        <f t="shared" si="3"/>
        <v/>
      </c>
      <c r="Y33" s="38" t="str">
        <f>IF(AND(A33="Аппарат",C33&lt;&gt;"",OR($S$5="(все)",B33=$S$5)),MAX($Y$3:Y32)+1,"")</f>
        <v/>
      </c>
      <c r="Z33" s="38" t="str">
        <f t="shared" si="4"/>
        <v/>
      </c>
      <c r="AA33" s="38" t="str">
        <f>IF(AND(A33="Модуль",C33&lt;&gt;"",OR($S$6="(все)",B33=$S$6)),MAX($AA$3:AA32)+1,"")</f>
        <v/>
      </c>
      <c r="AB33" s="38" t="str">
        <f t="shared" si="5"/>
        <v/>
      </c>
      <c r="AC33" s="38">
        <f>IF(OR(B33="",COUNTIF($B$4:B33,B33)&gt;1),"",MAX($AC$3:AC32)+1)</f>
        <v>6</v>
      </c>
      <c r="AD33" s="38" t="str">
        <f t="shared" si="6"/>
        <v/>
      </c>
      <c r="AE33" s="38">
        <f t="shared" si="7"/>
        <v>7033</v>
      </c>
      <c r="AF33" s="38">
        <f t="shared" si="8"/>
        <v>6</v>
      </c>
      <c r="AG33" s="38" t="str">
        <f>IF(Спецификация_авто!$L$36="","",IF(COUNTIF($C$4:$C$500,Спецификация_авто!$L$36)=0,Спецификация_авто!$L$36,""))</f>
        <v/>
      </c>
      <c r="AH33" s="38" t="str">
        <f>IF(AG33="","",COUNTIF($AG$4:AG33,"?*"))</f>
        <v/>
      </c>
    </row>
    <row r="34" spans="1:34" x14ac:dyDescent="0.3">
      <c r="A34" s="74" t="s">
        <v>435</v>
      </c>
      <c r="B34" s="74" t="s">
        <v>277</v>
      </c>
      <c r="C34" s="74" t="s">
        <v>396</v>
      </c>
      <c r="D34" s="74"/>
      <c r="E34" s="74"/>
      <c r="F34" s="74"/>
      <c r="G34" s="74" t="s">
        <v>724</v>
      </c>
      <c r="H34" s="74" t="s">
        <v>396</v>
      </c>
      <c r="I34" s="74"/>
      <c r="J34" s="74"/>
      <c r="K34" s="74"/>
      <c r="L34" s="74"/>
      <c r="M34" s="74" t="s">
        <v>280</v>
      </c>
      <c r="N34" s="38">
        <f>IF(OR(A34="Автомат",A34="Дифавтомат"),IF(W34="","",COUNTIFS(Однолинейка!$H$3:$H$3000,U34,Однолинейка!$A$3:$A$3000,Щит_спец)),IF(A34="Аппарат",IF(C34="","",COUNTIFS(Однолинейка!$I$3:$I$3000,C34,Однолинейка!$A$3:$A$3000,Щит_спец)+COUNTIFS(Однолинейка!$J$3:$J$3000,C34,Однолинейка!$A$3:$A$3000,Щит_спец)+COUNTIFS(Однолинейка!$K$3:$K$3000,C34,Однолинейка!$A$3:$A$3000,Щит_спец)),IF(A34="Модуль",IF(C34="","",COUNTIFS(Однолинейка!$AW$3:$AW$3000,"?*",Однолинейка!$AI$3:$AI$3000,C34,Однолинейка!$A$3:$A$3000,Щит_спец)),IF(A34="Клемма",IF(C34="","",IF(C34=$S$7,SUMIFS(Однолинейка!$BW$3:$BW$3000,Однолинейка!$A$3:$A$3000,Щит_спец),IF(C34=$S$8,SUMIFS(Однолинейка!$BX$3:$BX$3000,Однолинейка!$A$3:$A$3000,Щит_спец),""))),""))))</f>
        <v>50</v>
      </c>
      <c r="O34" s="74"/>
      <c r="P34" s="38">
        <f t="shared" si="0"/>
        <v>50</v>
      </c>
      <c r="R34" s="38" t="str">
        <f>IFERROR(INDEX($AG$4:$AG$43,MATCH(7,$AH$4:$AH$43,0)),"")</f>
        <v>3P С63А</v>
      </c>
      <c r="U34" s="38" t="str">
        <f t="shared" si="1"/>
        <v/>
      </c>
      <c r="V34" s="38" t="str">
        <f t="shared" si="2"/>
        <v/>
      </c>
      <c r="W34" s="38" t="str">
        <f>IF(AND(U34&lt;&gt;"",OR($S$4="(все)",B34=$S$4),IF($S$4="(все)",COUNTIF($U$4:U34,U34),COUNTIFS($U$4:U34,U34,$B$4:B34,B34))=1),MAX($W$3:W33)+1,"")</f>
        <v/>
      </c>
      <c r="X34" s="38" t="str">
        <f t="shared" si="3"/>
        <v/>
      </c>
      <c r="Y34" s="38" t="str">
        <f>IF(AND(A34="Аппарат",C34&lt;&gt;"",OR($S$5="(все)",B34=$S$5)),MAX($Y$3:Y33)+1,"")</f>
        <v/>
      </c>
      <c r="Z34" s="38" t="str">
        <f t="shared" si="4"/>
        <v/>
      </c>
      <c r="AA34" s="38" t="str">
        <f>IF(AND(A34="Модуль",C34&lt;&gt;"",OR($S$6="(все)",B34=$S$6)),MAX($AA$3:AA33)+1,"")</f>
        <v/>
      </c>
      <c r="AB34" s="38" t="str">
        <f t="shared" si="5"/>
        <v/>
      </c>
      <c r="AC34" s="38" t="str">
        <f>IF(OR(B34="",COUNTIF($B$4:B34,B34)&gt;1),"",MAX($AC$3:AC33)+1)</f>
        <v/>
      </c>
      <c r="AD34" s="38" t="str">
        <f t="shared" si="6"/>
        <v/>
      </c>
      <c r="AE34" s="38">
        <f t="shared" si="7"/>
        <v>7034</v>
      </c>
      <c r="AF34" s="38">
        <f t="shared" si="8"/>
        <v>7</v>
      </c>
      <c r="AG34" s="38" t="str">
        <f>IF(Спецификация_авто!$L$39="","",IF(COUNTIF($C$4:$C$500,Спецификация_авто!$L$39)=0,Спецификация_авто!$L$39,""))</f>
        <v/>
      </c>
      <c r="AH34" s="38" t="str">
        <f>IF(AG34="","",COUNTIF($AG$4:AG34,"?*"))</f>
        <v/>
      </c>
    </row>
    <row r="35" spans="1:34" x14ac:dyDescent="0.3">
      <c r="A35" s="74" t="s">
        <v>435</v>
      </c>
      <c r="B35" s="74" t="s">
        <v>277</v>
      </c>
      <c r="C35" s="74" t="s">
        <v>317</v>
      </c>
      <c r="D35" s="74"/>
      <c r="E35" s="74"/>
      <c r="F35" s="74"/>
      <c r="G35" s="74" t="s">
        <v>316</v>
      </c>
      <c r="H35" s="74" t="s">
        <v>317</v>
      </c>
      <c r="I35" s="74"/>
      <c r="J35" s="74"/>
      <c r="K35" s="74"/>
      <c r="L35" s="74"/>
      <c r="M35" s="74" t="s">
        <v>280</v>
      </c>
      <c r="N35" s="38" t="str">
        <f>IF(OR(A35="Автомат",A35="Дифавтомат"),IF(W35="","",COUNTIFS(Однолинейка!$H$3:$H$3000,U35,Однолинейка!$A$3:$A$3000,Щит_спец)),IF(A35="Аппарат",IF(C35="","",COUNTIFS(Однолинейка!$I$3:$I$3000,C35,Однолинейка!$A$3:$A$3000,Щит_спец)+COUNTIFS(Однолинейка!$J$3:$J$3000,C35,Однолинейка!$A$3:$A$3000,Щит_спец)+COUNTIFS(Однолинейка!$K$3:$K$3000,C35,Однолинейка!$A$3:$A$3000,Щит_спец)),IF(A35="Модуль",IF(C35="","",COUNTIFS(Однолинейка!$AW$3:$AW$3000,"?*",Однолинейка!$AI$3:$AI$3000,C35,Однолинейка!$A$3:$A$3000,Щит_спец)),IF(A35="Клемма",IF(C35="","",IF(C35=$S$7,SUMIFS(Однолинейка!$BW$3:$BW$3000,Однолинейка!$A$3:$A$3000,Щит_спец),IF(C35=$S$8,SUMIFS(Однолинейка!$BX$3:$BX$3000,Однолинейка!$A$3:$A$3000,Щит_спец),""))),""))))</f>
        <v/>
      </c>
      <c r="O35" s="74"/>
      <c r="P35" s="38" t="str">
        <f t="shared" si="0"/>
        <v/>
      </c>
      <c r="R35" s="38" t="str">
        <f>IFERROR(INDEX($AG$4:$AG$43,MATCH(8,$AH$4:$AH$43,0)),"")</f>
        <v>1P С20А</v>
      </c>
      <c r="U35" s="38" t="str">
        <f t="shared" si="1"/>
        <v/>
      </c>
      <c r="V35" s="38" t="str">
        <f t="shared" si="2"/>
        <v/>
      </c>
      <c r="W35" s="38" t="str">
        <f>IF(AND(U35&lt;&gt;"",OR($S$4="(все)",B35=$S$4),IF($S$4="(все)",COUNTIF($U$4:U35,U35),COUNTIFS($U$4:U35,U35,$B$4:B35,B35))=1),MAX($W$3:W34)+1,"")</f>
        <v/>
      </c>
      <c r="X35" s="38" t="str">
        <f t="shared" si="3"/>
        <v/>
      </c>
      <c r="Y35" s="38" t="str">
        <f>IF(AND(A35="Аппарат",C35&lt;&gt;"",OR($S$5="(все)",B35=$S$5)),MAX($Y$3:Y34)+1,"")</f>
        <v/>
      </c>
      <c r="Z35" s="38" t="str">
        <f t="shared" si="4"/>
        <v/>
      </c>
      <c r="AA35" s="38" t="str">
        <f>IF(AND(A35="Модуль",C35&lt;&gt;"",OR($S$6="(все)",B35=$S$6)),MAX($AA$3:AA34)+1,"")</f>
        <v/>
      </c>
      <c r="AB35" s="38" t="str">
        <f t="shared" si="5"/>
        <v/>
      </c>
      <c r="AC35" s="38" t="str">
        <f>IF(OR(B35="",COUNTIF($B$4:B35,B35)&gt;1),"",MAX($AC$3:AC34)+1)</f>
        <v/>
      </c>
      <c r="AD35" s="38" t="str">
        <f t="shared" si="6"/>
        <v/>
      </c>
      <c r="AE35" s="38" t="str">
        <f t="shared" si="7"/>
        <v/>
      </c>
      <c r="AF35" s="38" t="str">
        <f t="shared" si="8"/>
        <v/>
      </c>
      <c r="AG35" s="38" t="str">
        <f>IF(Спецификация_авто!$L$40="","",IF(COUNTIF($C$4:$C$500,Спецификация_авто!$L$40)=0,Спецификация_авто!$L$40,""))</f>
        <v/>
      </c>
      <c r="AH35" s="38" t="str">
        <f>IF(AG35="","",COUNTIF($AG$4:AG35,"?*"))</f>
        <v/>
      </c>
    </row>
    <row r="36" spans="1:34" x14ac:dyDescent="0.3">
      <c r="A36" s="74" t="s">
        <v>435</v>
      </c>
      <c r="B36" s="74" t="s">
        <v>277</v>
      </c>
      <c r="C36" s="74" t="s">
        <v>308</v>
      </c>
      <c r="D36" s="74"/>
      <c r="E36" s="74"/>
      <c r="F36" s="74"/>
      <c r="G36" s="74" t="s">
        <v>725</v>
      </c>
      <c r="H36" s="74" t="s">
        <v>308</v>
      </c>
      <c r="I36" s="74"/>
      <c r="J36" s="74"/>
      <c r="K36" s="74"/>
      <c r="L36" s="74"/>
      <c r="M36" s="74" t="s">
        <v>280</v>
      </c>
      <c r="N36" s="38" t="str">
        <f>IF(OR(A36="Автомат",A36="Дифавтомат"),IF(W36="","",COUNTIFS(Однолинейка!$H$3:$H$3000,U36,Однолинейка!$A$3:$A$3000,Щит_спец)),IF(A36="Аппарат",IF(C36="","",COUNTIFS(Однолинейка!$I$3:$I$3000,C36,Однолинейка!$A$3:$A$3000,Щит_спец)+COUNTIFS(Однолинейка!$J$3:$J$3000,C36,Однолинейка!$A$3:$A$3000,Щит_спец)+COUNTIFS(Однолинейка!$K$3:$K$3000,C36,Однолинейка!$A$3:$A$3000,Щит_спец)),IF(A36="Модуль",IF(C36="","",COUNTIFS(Однолинейка!$AW$3:$AW$3000,"?*",Однолинейка!$AI$3:$AI$3000,C36,Однолинейка!$A$3:$A$3000,Щит_спец)),IF(A36="Клемма",IF(C36="","",IF(C36=$S$7,SUMIFS(Однолинейка!$BW$3:$BW$3000,Однолинейка!$A$3:$A$3000,Щит_спец),IF(C36=$S$8,SUMIFS(Однолинейка!$BX$3:$BX$3000,Однолинейка!$A$3:$A$3000,Щит_спец),""))),""))))</f>
        <v/>
      </c>
      <c r="O36" s="74"/>
      <c r="P36" s="38" t="str">
        <f t="shared" si="0"/>
        <v/>
      </c>
      <c r="R36" s="38" t="str">
        <f>IFERROR(INDEX($AG$4:$AG$43,MATCH(9,$AH$4:$AH$43,0)),"")</f>
        <v>3P С32А</v>
      </c>
      <c r="U36" s="38" t="str">
        <f t="shared" si="1"/>
        <v/>
      </c>
      <c r="V36" s="38" t="str">
        <f t="shared" si="2"/>
        <v/>
      </c>
      <c r="W36" s="38" t="str">
        <f>IF(AND(U36&lt;&gt;"",OR($S$4="(все)",B36=$S$4),IF($S$4="(все)",COUNTIF($U$4:U36,U36),COUNTIFS($U$4:U36,U36,$B$4:B36,B36))=1),MAX($W$3:W35)+1,"")</f>
        <v/>
      </c>
      <c r="X36" s="38" t="str">
        <f t="shared" si="3"/>
        <v/>
      </c>
      <c r="Y36" s="38" t="str">
        <f>IF(AND(A36="Аппарат",C36&lt;&gt;"",OR($S$5="(все)",B36=$S$5)),MAX($Y$3:Y35)+1,"")</f>
        <v/>
      </c>
      <c r="Z36" s="38" t="str">
        <f t="shared" si="4"/>
        <v/>
      </c>
      <c r="AA36" s="38" t="str">
        <f>IF(AND(A36="Модуль",C36&lt;&gt;"",OR($S$6="(все)",B36=$S$6)),MAX($AA$3:AA35)+1,"")</f>
        <v/>
      </c>
      <c r="AB36" s="38" t="str">
        <f t="shared" si="5"/>
        <v/>
      </c>
      <c r="AC36" s="38" t="str">
        <f>IF(OR(B36="",COUNTIF($B$4:B36,B36)&gt;1),"",MAX($AC$3:AC35)+1)</f>
        <v/>
      </c>
      <c r="AD36" s="38" t="str">
        <f t="shared" si="6"/>
        <v/>
      </c>
      <c r="AE36" s="38" t="str">
        <f t="shared" si="7"/>
        <v/>
      </c>
      <c r="AF36" s="38" t="str">
        <f t="shared" si="8"/>
        <v/>
      </c>
      <c r="AG36" s="38" t="str">
        <f>IF(Спецификация_авто!$L$41="","",IF(COUNTIF($C$4:$C$500,Спецификация_авто!$L$41)=0,Спецификация_авто!$L$41,""))</f>
        <v/>
      </c>
      <c r="AH36" s="38" t="str">
        <f>IF(AG36="","",COUNTIF($AG$4:AG36,"?*"))</f>
        <v/>
      </c>
    </row>
    <row r="37" spans="1:34" x14ac:dyDescent="0.3">
      <c r="A37" s="74" t="s">
        <v>435</v>
      </c>
      <c r="B37" s="74" t="s">
        <v>277</v>
      </c>
      <c r="C37" s="74" t="s">
        <v>382</v>
      </c>
      <c r="D37" s="74"/>
      <c r="E37" s="74"/>
      <c r="F37" s="74"/>
      <c r="G37" s="74" t="s">
        <v>726</v>
      </c>
      <c r="H37" s="74" t="s">
        <v>382</v>
      </c>
      <c r="I37" s="74"/>
      <c r="J37" s="74"/>
      <c r="K37" s="74"/>
      <c r="L37" s="74"/>
      <c r="M37" s="74" t="s">
        <v>280</v>
      </c>
      <c r="N37" s="38" t="str">
        <f>IF(OR(A37="Автомат",A37="Дифавтомат"),IF(W37="","",COUNTIFS(Однолинейка!$H$3:$H$3000,U37,Однолинейка!$A$3:$A$3000,Щит_спец)),IF(A37="Аппарат",IF(C37="","",COUNTIFS(Однолинейка!$I$3:$I$3000,C37,Однолинейка!$A$3:$A$3000,Щит_спец)+COUNTIFS(Однолинейка!$J$3:$J$3000,C37,Однолинейка!$A$3:$A$3000,Щит_спец)+COUNTIFS(Однолинейка!$K$3:$K$3000,C37,Однолинейка!$A$3:$A$3000,Щит_спец)),IF(A37="Модуль",IF(C37="","",COUNTIFS(Однолинейка!$AW$3:$AW$3000,"?*",Однолинейка!$AI$3:$AI$3000,C37,Однолинейка!$A$3:$A$3000,Щит_спец)),IF(A37="Клемма",IF(C37="","",IF(C37=$S$7,SUMIFS(Однолинейка!$BW$3:$BW$3000,Однолинейка!$A$3:$A$3000,Щит_спец),IF(C37=$S$8,SUMIFS(Однолинейка!$BX$3:$BX$3000,Однолинейка!$A$3:$A$3000,Щит_спец),""))),""))))</f>
        <v/>
      </c>
      <c r="O37" s="74"/>
      <c r="P37" s="38" t="str">
        <f t="shared" si="0"/>
        <v/>
      </c>
      <c r="R37" s="38" t="str">
        <f>IFERROR(INDEX($AG$4:$AG$43,MATCH(10,$AH$4:$AH$43,0)),"")</f>
        <v>3P С200А</v>
      </c>
      <c r="U37" s="38" t="str">
        <f t="shared" si="1"/>
        <v/>
      </c>
      <c r="V37" s="38" t="str">
        <f t="shared" si="2"/>
        <v/>
      </c>
      <c r="W37" s="38" t="str">
        <f>IF(AND(U37&lt;&gt;"",OR($S$4="(все)",B37=$S$4),IF($S$4="(все)",COUNTIF($U$4:U37,U37),COUNTIFS($U$4:U37,U37,$B$4:B37,B37))=1),MAX($W$3:W36)+1,"")</f>
        <v/>
      </c>
      <c r="X37" s="38" t="str">
        <f t="shared" si="3"/>
        <v/>
      </c>
      <c r="Y37" s="38" t="str">
        <f>IF(AND(A37="Аппарат",C37&lt;&gt;"",OR($S$5="(все)",B37=$S$5)),MAX($Y$3:Y36)+1,"")</f>
        <v/>
      </c>
      <c r="Z37" s="38" t="str">
        <f t="shared" si="4"/>
        <v/>
      </c>
      <c r="AA37" s="38" t="str">
        <f>IF(AND(A37="Модуль",C37&lt;&gt;"",OR($S$6="(все)",B37=$S$6)),MAX($AA$3:AA36)+1,"")</f>
        <v/>
      </c>
      <c r="AB37" s="38" t="str">
        <f t="shared" si="5"/>
        <v/>
      </c>
      <c r="AC37" s="38" t="str">
        <f>IF(OR(B37="",COUNTIF($B$4:B37,B37)&gt;1),"",MAX($AC$3:AC36)+1)</f>
        <v/>
      </c>
      <c r="AD37" s="38" t="str">
        <f t="shared" si="6"/>
        <v/>
      </c>
      <c r="AE37" s="38" t="str">
        <f t="shared" si="7"/>
        <v/>
      </c>
      <c r="AF37" s="38" t="str">
        <f t="shared" si="8"/>
        <v/>
      </c>
      <c r="AG37" s="38" t="str">
        <f>IF(Спецификация_авто!$L$42="","",IF(COUNTIF($C$4:$C$500,Спецификация_авто!$L$42)=0,Спецификация_авто!$L$42,""))</f>
        <v/>
      </c>
      <c r="AH37" s="38" t="str">
        <f>IF(AG37="","",COUNTIF($AG$4:AG37,"?*"))</f>
        <v/>
      </c>
    </row>
    <row r="38" spans="1:34" x14ac:dyDescent="0.3">
      <c r="A38" s="74" t="s">
        <v>435</v>
      </c>
      <c r="B38" s="74" t="s">
        <v>277</v>
      </c>
      <c r="C38" s="74" t="s">
        <v>389</v>
      </c>
      <c r="D38" s="74"/>
      <c r="E38" s="74"/>
      <c r="F38" s="74"/>
      <c r="G38" s="74" t="s">
        <v>727</v>
      </c>
      <c r="H38" s="74" t="s">
        <v>389</v>
      </c>
      <c r="I38" s="74"/>
      <c r="J38" s="74"/>
      <c r="K38" s="74"/>
      <c r="L38" s="74"/>
      <c r="M38" s="74" t="s">
        <v>280</v>
      </c>
      <c r="N38" s="38" t="str">
        <f>IF(OR(A38="Автомат",A38="Дифавтомат"),IF(W38="","",COUNTIFS(Однолинейка!$H$3:$H$3000,U38,Однолинейка!$A$3:$A$3000,Щит_спец)),IF(A38="Аппарат",IF(C38="","",COUNTIFS(Однолинейка!$I$3:$I$3000,C38,Однолинейка!$A$3:$A$3000,Щит_спец)+COUNTIFS(Однолинейка!$J$3:$J$3000,C38,Однолинейка!$A$3:$A$3000,Щит_спец)+COUNTIFS(Однолинейка!$K$3:$K$3000,C38,Однолинейка!$A$3:$A$3000,Щит_спец)),IF(A38="Модуль",IF(C38="","",COUNTIFS(Однолинейка!$AW$3:$AW$3000,"?*",Однолинейка!$AI$3:$AI$3000,C38,Однолинейка!$A$3:$A$3000,Щит_спец)),IF(A38="Клемма",IF(C38="","",IF(C38=$S$7,SUMIFS(Однолинейка!$BW$3:$BW$3000,Однолинейка!$A$3:$A$3000,Щит_спец),IF(C38=$S$8,SUMIFS(Однолинейка!$BX$3:$BX$3000,Однолинейка!$A$3:$A$3000,Щит_спец),""))),""))))</f>
        <v/>
      </c>
      <c r="O38" s="74"/>
      <c r="P38" s="38" t="str">
        <f t="shared" si="0"/>
        <v/>
      </c>
      <c r="U38" s="38" t="str">
        <f t="shared" si="1"/>
        <v/>
      </c>
      <c r="V38" s="38" t="str">
        <f t="shared" si="2"/>
        <v/>
      </c>
      <c r="W38" s="38" t="str">
        <f>IF(AND(U38&lt;&gt;"",OR($S$4="(все)",B38=$S$4),IF($S$4="(все)",COUNTIF($U$4:U38,U38),COUNTIFS($U$4:U38,U38,$B$4:B38,B38))=1),MAX($W$3:W37)+1,"")</f>
        <v/>
      </c>
      <c r="X38" s="38" t="str">
        <f t="shared" si="3"/>
        <v/>
      </c>
      <c r="Y38" s="38" t="str">
        <f>IF(AND(A38="Аппарат",C38&lt;&gt;"",OR($S$5="(все)",B38=$S$5)),MAX($Y$3:Y37)+1,"")</f>
        <v/>
      </c>
      <c r="Z38" s="38" t="str">
        <f t="shared" si="4"/>
        <v/>
      </c>
      <c r="AA38" s="38" t="str">
        <f>IF(AND(A38="Модуль",C38&lt;&gt;"",OR($S$6="(все)",B38=$S$6)),MAX($AA$3:AA37)+1,"")</f>
        <v/>
      </c>
      <c r="AB38" s="38" t="str">
        <f t="shared" si="5"/>
        <v/>
      </c>
      <c r="AC38" s="38" t="str">
        <f>IF(OR(B38="",COUNTIF($B$4:B38,B38)&gt;1),"",MAX($AC$3:AC37)+1)</f>
        <v/>
      </c>
      <c r="AD38" s="38" t="str">
        <f t="shared" si="6"/>
        <v/>
      </c>
      <c r="AE38" s="38" t="str">
        <f t="shared" si="7"/>
        <v/>
      </c>
      <c r="AF38" s="38" t="str">
        <f t="shared" si="8"/>
        <v/>
      </c>
      <c r="AG38" s="38" t="str">
        <f>IF(Спецификация_авто!$L$43="","",IF(COUNTIF($C$4:$C$500,Спецификация_авто!$L$43)=0,Спецификация_авто!$L$43,""))</f>
        <v/>
      </c>
      <c r="AH38" s="38" t="str">
        <f>IF(AG38="","",COUNTIF($AG$4:AG38,"?*"))</f>
        <v/>
      </c>
    </row>
    <row r="39" spans="1:34" x14ac:dyDescent="0.3">
      <c r="A39" s="74" t="s">
        <v>696</v>
      </c>
      <c r="B39" s="74" t="s">
        <v>277</v>
      </c>
      <c r="C39" s="74" t="s">
        <v>267</v>
      </c>
      <c r="D39" s="74"/>
      <c r="E39" s="74"/>
      <c r="F39" s="74"/>
      <c r="G39" s="74" t="s">
        <v>252</v>
      </c>
      <c r="H39" s="74" t="s">
        <v>267</v>
      </c>
      <c r="I39" s="74"/>
      <c r="J39" s="74"/>
      <c r="K39" s="74"/>
      <c r="L39" s="74"/>
      <c r="M39" s="74" t="s">
        <v>258</v>
      </c>
      <c r="N39" s="38" t="str">
        <f>IF(OR(A39="Автомат",A39="Дифавтомат"),IF(W39="","",COUNTIFS(Однолинейка!$H$3:$H$3000,U39,Однолинейка!$A$3:$A$3000,Щит_спец)),IF(A39="Аппарат",IF(C39="","",COUNTIFS(Однолинейка!$I$3:$I$3000,C39,Однолинейка!$A$3:$A$3000,Щит_спец)+COUNTIFS(Однолинейка!$J$3:$J$3000,C39,Однолинейка!$A$3:$A$3000,Щит_спец)+COUNTIFS(Однолинейка!$K$3:$K$3000,C39,Однолинейка!$A$3:$A$3000,Щит_спец)),IF(A39="Модуль",IF(C39="","",COUNTIFS(Однолинейка!$AW$3:$AW$3000,"?*",Однолинейка!$AI$3:$AI$3000,C39,Однолинейка!$A$3:$A$3000,Щит_спец)),IF(A39="Клемма",IF(C39="","",IF(C39=$S$7,SUMIFS(Однолинейка!$BW$3:$BW$3000,Однолинейка!$A$3:$A$3000,Щит_спец),IF(C39=$S$8,SUMIFS(Однолинейка!$BX$3:$BX$3000,Однолинейка!$A$3:$A$3000,Щит_спец),""))),""))))</f>
        <v/>
      </c>
      <c r="O39" s="74"/>
      <c r="P39" s="38" t="str">
        <f t="shared" si="0"/>
        <v/>
      </c>
      <c r="U39" s="38" t="str">
        <f t="shared" si="1"/>
        <v/>
      </c>
      <c r="V39" s="38" t="str">
        <f t="shared" si="2"/>
        <v/>
      </c>
      <c r="W39" s="38" t="str">
        <f>IF(AND(U39&lt;&gt;"",OR($S$4="(все)",B39=$S$4),IF($S$4="(все)",COUNTIF($U$4:U39,U39),COUNTIFS($U$4:U39,U39,$B$4:B39,B39))=1),MAX($W$3:W38)+1,"")</f>
        <v/>
      </c>
      <c r="X39" s="38" t="str">
        <f t="shared" si="3"/>
        <v/>
      </c>
      <c r="Y39" s="38" t="str">
        <f>IF(AND(A39="Аппарат",C39&lt;&gt;"",OR($S$5="(все)",B39=$S$5)),MAX($Y$3:Y38)+1,"")</f>
        <v/>
      </c>
      <c r="Z39" s="38" t="str">
        <f t="shared" si="4"/>
        <v/>
      </c>
      <c r="AA39" s="38" t="str">
        <f>IF(AND(A39="Модуль",C39&lt;&gt;"",OR($S$6="(все)",B39=$S$6)),MAX($AA$3:AA38)+1,"")</f>
        <v/>
      </c>
      <c r="AB39" s="38" t="str">
        <f t="shared" si="5"/>
        <v/>
      </c>
      <c r="AC39" s="38" t="str">
        <f>IF(OR(B39="",COUNTIF($B$4:B39,B39)&gt;1),"",MAX($AC$3:AC38)+1)</f>
        <v/>
      </c>
      <c r="AD39" s="38" t="str">
        <f t="shared" si="6"/>
        <v/>
      </c>
      <c r="AE39" s="38" t="str">
        <f t="shared" si="7"/>
        <v/>
      </c>
      <c r="AF39" s="38" t="str">
        <f t="shared" si="8"/>
        <v/>
      </c>
      <c r="AG39" s="38" t="str">
        <f>IF(Спецификация_авто!$L$44="","",IF(COUNTIF($C$4:$C$500,Спецификация_авто!$L$44)=0,Спецификация_авто!$L$44,""))</f>
        <v/>
      </c>
      <c r="AH39" s="38" t="str">
        <f>IF(AG39="","",COUNTIF($AG$4:AG39,"?*"))</f>
        <v/>
      </c>
    </row>
    <row r="40" spans="1:34" x14ac:dyDescent="0.3">
      <c r="A40" s="74" t="s">
        <v>696</v>
      </c>
      <c r="B40" s="74" t="s">
        <v>277</v>
      </c>
      <c r="C40" s="74" t="s">
        <v>268</v>
      </c>
      <c r="D40" s="74"/>
      <c r="E40" s="74"/>
      <c r="F40" s="74"/>
      <c r="G40" s="74" t="s">
        <v>253</v>
      </c>
      <c r="H40" s="74" t="s">
        <v>268</v>
      </c>
      <c r="I40" s="74"/>
      <c r="J40" s="74"/>
      <c r="K40" s="74"/>
      <c r="L40" s="74"/>
      <c r="M40" s="74" t="s">
        <v>258</v>
      </c>
      <c r="N40" s="38" t="str">
        <f>IF(OR(A40="Автомат",A40="Дифавтомат"),IF(W40="","",COUNTIFS(Однолинейка!$H$3:$H$3000,U40,Однолинейка!$A$3:$A$3000,Щит_спец)),IF(A40="Аппарат",IF(C40="","",COUNTIFS(Однолинейка!$I$3:$I$3000,C40,Однолинейка!$A$3:$A$3000,Щит_спец)+COUNTIFS(Однолинейка!$J$3:$J$3000,C40,Однолинейка!$A$3:$A$3000,Щит_спец)+COUNTIFS(Однолинейка!$K$3:$K$3000,C40,Однолинейка!$A$3:$A$3000,Щит_спец)),IF(A40="Модуль",IF(C40="","",COUNTIFS(Однолинейка!$AW$3:$AW$3000,"?*",Однолинейка!$AI$3:$AI$3000,C40,Однолинейка!$A$3:$A$3000,Щит_спец)),IF(A40="Клемма",IF(C40="","",IF(C40=$S$7,SUMIFS(Однолинейка!$BW$3:$BW$3000,Однолинейка!$A$3:$A$3000,Щит_спец),IF(C40=$S$8,SUMIFS(Однолинейка!$BX$3:$BX$3000,Однолинейка!$A$3:$A$3000,Щит_спец),""))),""))))</f>
        <v/>
      </c>
      <c r="O40" s="74"/>
      <c r="P40" s="38" t="str">
        <f t="shared" si="0"/>
        <v/>
      </c>
      <c r="U40" s="38" t="str">
        <f t="shared" si="1"/>
        <v/>
      </c>
      <c r="V40" s="38" t="str">
        <f t="shared" si="2"/>
        <v/>
      </c>
      <c r="W40" s="38" t="str">
        <f>IF(AND(U40&lt;&gt;"",OR($S$4="(все)",B40=$S$4),IF($S$4="(все)",COUNTIF($U$4:U40,U40),COUNTIFS($U$4:U40,U40,$B$4:B40,B40))=1),MAX($W$3:W39)+1,"")</f>
        <v/>
      </c>
      <c r="X40" s="38" t="str">
        <f t="shared" si="3"/>
        <v/>
      </c>
      <c r="Y40" s="38" t="str">
        <f>IF(AND(A40="Аппарат",C40&lt;&gt;"",OR($S$5="(все)",B40=$S$5)),MAX($Y$3:Y39)+1,"")</f>
        <v/>
      </c>
      <c r="Z40" s="38" t="str">
        <f t="shared" si="4"/>
        <v/>
      </c>
      <c r="AA40" s="38" t="str">
        <f>IF(AND(A40="Модуль",C40&lt;&gt;"",OR($S$6="(все)",B40=$S$6)),MAX($AA$3:AA39)+1,"")</f>
        <v/>
      </c>
      <c r="AB40" s="38" t="str">
        <f t="shared" si="5"/>
        <v/>
      </c>
      <c r="AC40" s="38" t="str">
        <f>IF(OR(B40="",COUNTIF($B$4:B40,B40)&gt;1),"",MAX($AC$3:AC39)+1)</f>
        <v/>
      </c>
      <c r="AD40" s="38" t="str">
        <f t="shared" si="6"/>
        <v/>
      </c>
      <c r="AE40" s="38" t="str">
        <f t="shared" si="7"/>
        <v/>
      </c>
      <c r="AF40" s="38" t="str">
        <f t="shared" si="8"/>
        <v/>
      </c>
      <c r="AG40" s="38" t="str">
        <f>IF(Спецификация_авто!$L$45="","",IF(COUNTIF($C$4:$C$500,Спецификация_авто!$L$45)=0,Спецификация_авто!$L$45,""))</f>
        <v/>
      </c>
      <c r="AH40" s="38" t="str">
        <f>IF(AG40="","",COUNTIF($AG$4:AG40,"?*"))</f>
        <v/>
      </c>
    </row>
    <row r="41" spans="1:34" x14ac:dyDescent="0.3">
      <c r="A41" s="74" t="s">
        <v>696</v>
      </c>
      <c r="B41" s="74" t="s">
        <v>277</v>
      </c>
      <c r="C41" s="74" t="s">
        <v>398</v>
      </c>
      <c r="D41" s="74"/>
      <c r="E41" s="74"/>
      <c r="F41" s="74"/>
      <c r="G41" s="74" t="s">
        <v>397</v>
      </c>
      <c r="H41" s="74" t="s">
        <v>398</v>
      </c>
      <c r="I41" s="74"/>
      <c r="J41" s="74"/>
      <c r="K41" s="74"/>
      <c r="L41" s="74"/>
      <c r="M41" s="74" t="s">
        <v>258</v>
      </c>
      <c r="N41" s="38" t="str">
        <f>IF(OR(A41="Автомат",A41="Дифавтомат"),IF(W41="","",COUNTIFS(Однолинейка!$H$3:$H$3000,U41,Однолинейка!$A$3:$A$3000,Щит_спец)),IF(A41="Аппарат",IF(C41="","",COUNTIFS(Однолинейка!$I$3:$I$3000,C41,Однолинейка!$A$3:$A$3000,Щит_спец)+COUNTIFS(Однолинейка!$J$3:$J$3000,C41,Однолинейка!$A$3:$A$3000,Щит_спец)+COUNTIFS(Однолинейка!$K$3:$K$3000,C41,Однолинейка!$A$3:$A$3000,Щит_спец)),IF(A41="Модуль",IF(C41="","",COUNTIFS(Однолинейка!$AW$3:$AW$3000,"?*",Однолинейка!$AI$3:$AI$3000,C41,Однолинейка!$A$3:$A$3000,Щит_спец)),IF(A41="Клемма",IF(C41="","",IF(C41=$S$7,SUMIFS(Однолинейка!$BW$3:$BW$3000,Однолинейка!$A$3:$A$3000,Щит_спец),IF(C41=$S$8,SUMIFS(Однолинейка!$BX$3:$BX$3000,Однолинейка!$A$3:$A$3000,Щит_спец),""))),""))))</f>
        <v/>
      </c>
      <c r="O41" s="74"/>
      <c r="P41" s="38" t="str">
        <f t="shared" si="0"/>
        <v/>
      </c>
      <c r="U41" s="38" t="str">
        <f t="shared" si="1"/>
        <v/>
      </c>
      <c r="V41" s="38" t="str">
        <f t="shared" si="2"/>
        <v/>
      </c>
      <c r="W41" s="38" t="str">
        <f>IF(AND(U41&lt;&gt;"",OR($S$4="(все)",B41=$S$4),IF($S$4="(все)",COUNTIF($U$4:U41,U41),COUNTIFS($U$4:U41,U41,$B$4:B41,B41))=1),MAX($W$3:W40)+1,"")</f>
        <v/>
      </c>
      <c r="X41" s="38" t="str">
        <f t="shared" si="3"/>
        <v/>
      </c>
      <c r="Y41" s="38" t="str">
        <f>IF(AND(A41="Аппарат",C41&lt;&gt;"",OR($S$5="(все)",B41=$S$5)),MAX($Y$3:Y40)+1,"")</f>
        <v/>
      </c>
      <c r="Z41" s="38" t="str">
        <f t="shared" si="4"/>
        <v/>
      </c>
      <c r="AA41" s="38" t="str">
        <f>IF(AND(A41="Модуль",C41&lt;&gt;"",OR($S$6="(все)",B41=$S$6)),MAX($AA$3:AA40)+1,"")</f>
        <v/>
      </c>
      <c r="AB41" s="38" t="str">
        <f t="shared" si="5"/>
        <v/>
      </c>
      <c r="AC41" s="38" t="str">
        <f>IF(OR(B41="",COUNTIF($B$4:B41,B41)&gt;1),"",MAX($AC$3:AC40)+1)</f>
        <v/>
      </c>
      <c r="AD41" s="38" t="str">
        <f t="shared" si="6"/>
        <v/>
      </c>
      <c r="AE41" s="38" t="str">
        <f t="shared" si="7"/>
        <v/>
      </c>
      <c r="AF41" s="38" t="str">
        <f t="shared" si="8"/>
        <v/>
      </c>
      <c r="AG41" s="38" t="str">
        <f>IF(Спецификация_авто!$L$46="","",IF(COUNTIF($C$4:$C$500,Спецификация_авто!$L$46)=0,Спецификация_авто!$L$46,""))</f>
        <v/>
      </c>
      <c r="AH41" s="38" t="str">
        <f>IF(AG41="","",COUNTIF($AG$4:AG41,"?*"))</f>
        <v/>
      </c>
    </row>
    <row r="42" spans="1:34" x14ac:dyDescent="0.3">
      <c r="A42" s="74" t="s">
        <v>696</v>
      </c>
      <c r="B42" s="74" t="s">
        <v>277</v>
      </c>
      <c r="C42" s="74" t="s">
        <v>269</v>
      </c>
      <c r="D42" s="74"/>
      <c r="E42" s="74"/>
      <c r="F42" s="74"/>
      <c r="G42" s="74" t="s">
        <v>254</v>
      </c>
      <c r="H42" s="74" t="s">
        <v>269</v>
      </c>
      <c r="I42" s="74"/>
      <c r="J42" s="74"/>
      <c r="K42" s="74"/>
      <c r="L42" s="74"/>
      <c r="M42" s="74" t="s">
        <v>258</v>
      </c>
      <c r="N42" s="38" t="str">
        <f>IF(OR(A42="Автомат",A42="Дифавтомат"),IF(W42="","",COUNTIFS(Однолинейка!$H$3:$H$3000,U42,Однолинейка!$A$3:$A$3000,Щит_спец)),IF(A42="Аппарат",IF(C42="","",COUNTIFS(Однолинейка!$I$3:$I$3000,C42,Однолинейка!$A$3:$A$3000,Щит_спец)+COUNTIFS(Однолинейка!$J$3:$J$3000,C42,Однолинейка!$A$3:$A$3000,Щит_спец)+COUNTIFS(Однолинейка!$K$3:$K$3000,C42,Однолинейка!$A$3:$A$3000,Щит_спец)),IF(A42="Модуль",IF(C42="","",COUNTIFS(Однолинейка!$AW$3:$AW$3000,"?*",Однолинейка!$AI$3:$AI$3000,C42,Однолинейка!$A$3:$A$3000,Щит_спец)),IF(A42="Клемма",IF(C42="","",IF(C42=$S$7,SUMIFS(Однолинейка!$BW$3:$BW$3000,Однолинейка!$A$3:$A$3000,Щит_спец),IF(C42=$S$8,SUMIFS(Однолинейка!$BX$3:$BX$3000,Однолинейка!$A$3:$A$3000,Щит_спец),""))),""))))</f>
        <v/>
      </c>
      <c r="O42" s="74"/>
      <c r="P42" s="38" t="str">
        <f t="shared" si="0"/>
        <v/>
      </c>
      <c r="U42" s="38" t="str">
        <f t="shared" si="1"/>
        <v/>
      </c>
      <c r="V42" s="38" t="str">
        <f t="shared" si="2"/>
        <v/>
      </c>
      <c r="W42" s="38" t="str">
        <f>IF(AND(U42&lt;&gt;"",OR($S$4="(все)",B42=$S$4),IF($S$4="(все)",COUNTIF($U$4:U42,U42),COUNTIFS($U$4:U42,U42,$B$4:B42,B42))=1),MAX($W$3:W41)+1,"")</f>
        <v/>
      </c>
      <c r="X42" s="38" t="str">
        <f t="shared" si="3"/>
        <v/>
      </c>
      <c r="Y42" s="38" t="str">
        <f>IF(AND(A42="Аппарат",C42&lt;&gt;"",OR($S$5="(все)",B42=$S$5)),MAX($Y$3:Y41)+1,"")</f>
        <v/>
      </c>
      <c r="Z42" s="38" t="str">
        <f t="shared" si="4"/>
        <v/>
      </c>
      <c r="AA42" s="38" t="str">
        <f>IF(AND(A42="Модуль",C42&lt;&gt;"",OR($S$6="(все)",B42=$S$6)),MAX($AA$3:AA41)+1,"")</f>
        <v/>
      </c>
      <c r="AB42" s="38" t="str">
        <f t="shared" si="5"/>
        <v/>
      </c>
      <c r="AC42" s="38" t="str">
        <f>IF(OR(B42="",COUNTIF($B$4:B42,B42)&gt;1),"",MAX($AC$3:AC41)+1)</f>
        <v/>
      </c>
      <c r="AD42" s="38" t="str">
        <f t="shared" si="6"/>
        <v/>
      </c>
      <c r="AE42" s="38" t="str">
        <f t="shared" si="7"/>
        <v/>
      </c>
      <c r="AF42" s="38" t="str">
        <f t="shared" si="8"/>
        <v/>
      </c>
      <c r="AG42" s="38" t="str">
        <f>IF(Спецификация_авто!$L$47="","",IF(COUNTIF($C$4:$C$500,Спецификация_авто!$L$47)=0,Спецификация_авто!$L$47,""))</f>
        <v/>
      </c>
      <c r="AH42" s="38" t="str">
        <f>IF(AG42="","",COUNTIF($AG$4:AG42,"?*"))</f>
        <v/>
      </c>
    </row>
    <row r="43" spans="1:34" x14ac:dyDescent="0.3">
      <c r="A43" s="74" t="s">
        <v>696</v>
      </c>
      <c r="B43" s="74" t="s">
        <v>277</v>
      </c>
      <c r="C43" s="74" t="s">
        <v>270</v>
      </c>
      <c r="D43" s="74"/>
      <c r="E43" s="74"/>
      <c r="F43" s="74"/>
      <c r="G43" s="74" t="s">
        <v>255</v>
      </c>
      <c r="H43" s="74" t="s">
        <v>270</v>
      </c>
      <c r="I43" s="74"/>
      <c r="J43" s="74"/>
      <c r="K43" s="74"/>
      <c r="L43" s="74"/>
      <c r="M43" s="74" t="s">
        <v>258</v>
      </c>
      <c r="N43" s="38" t="str">
        <f>IF(OR(A43="Автомат",A43="Дифавтомат"),IF(W43="","",COUNTIFS(Однолинейка!$H$3:$H$3000,U43,Однолинейка!$A$3:$A$3000,Щит_спец)),IF(A43="Аппарат",IF(C43="","",COUNTIFS(Однолинейка!$I$3:$I$3000,C43,Однолинейка!$A$3:$A$3000,Щит_спец)+COUNTIFS(Однолинейка!$J$3:$J$3000,C43,Однолинейка!$A$3:$A$3000,Щит_спец)+COUNTIFS(Однолинейка!$K$3:$K$3000,C43,Однолинейка!$A$3:$A$3000,Щит_спец)),IF(A43="Модуль",IF(C43="","",COUNTIFS(Однолинейка!$AW$3:$AW$3000,"?*",Однолинейка!$AI$3:$AI$3000,C43,Однолинейка!$A$3:$A$3000,Щит_спец)),IF(A43="Клемма",IF(C43="","",IF(C43=$S$7,SUMIFS(Однолинейка!$BW$3:$BW$3000,Однолинейка!$A$3:$A$3000,Щит_спец),IF(C43=$S$8,SUMIFS(Однолинейка!$BX$3:$BX$3000,Однолинейка!$A$3:$A$3000,Щит_спец),""))),""))))</f>
        <v/>
      </c>
      <c r="O43" s="74"/>
      <c r="P43" s="38" t="str">
        <f t="shared" si="0"/>
        <v/>
      </c>
      <c r="U43" s="38" t="str">
        <f t="shared" si="1"/>
        <v/>
      </c>
      <c r="V43" s="38" t="str">
        <f t="shared" si="2"/>
        <v/>
      </c>
      <c r="W43" s="38" t="str">
        <f>IF(AND(U43&lt;&gt;"",OR($S$4="(все)",B43=$S$4),IF($S$4="(все)",COUNTIF($U$4:U43,U43),COUNTIFS($U$4:U43,U43,$B$4:B43,B43))=1),MAX($W$3:W42)+1,"")</f>
        <v/>
      </c>
      <c r="X43" s="38" t="str">
        <f t="shared" si="3"/>
        <v/>
      </c>
      <c r="Y43" s="38" t="str">
        <f>IF(AND(A43="Аппарат",C43&lt;&gt;"",OR($S$5="(все)",B43=$S$5)),MAX($Y$3:Y42)+1,"")</f>
        <v/>
      </c>
      <c r="Z43" s="38" t="str">
        <f t="shared" si="4"/>
        <v/>
      </c>
      <c r="AA43" s="38" t="str">
        <f>IF(AND(A43="Модуль",C43&lt;&gt;"",OR($S$6="(все)",B43=$S$6)),MAX($AA$3:AA42)+1,"")</f>
        <v/>
      </c>
      <c r="AB43" s="38" t="str">
        <f t="shared" si="5"/>
        <v/>
      </c>
      <c r="AC43" s="38" t="str">
        <f>IF(OR(B43="",COUNTIF($B$4:B43,B43)&gt;1),"",MAX($AC$3:AC42)+1)</f>
        <v/>
      </c>
      <c r="AD43" s="38" t="str">
        <f t="shared" si="6"/>
        <v/>
      </c>
      <c r="AE43" s="38" t="str">
        <f t="shared" si="7"/>
        <v/>
      </c>
      <c r="AF43" s="38" t="str">
        <f t="shared" si="8"/>
        <v/>
      </c>
      <c r="AG43" s="38" t="str">
        <f>IF(Спецификация_авто!$L$48="","",IF(COUNTIF($C$4:$C$500,Спецификация_авто!$L$48)=0,Спецификация_авто!$L$48,""))</f>
        <v/>
      </c>
      <c r="AH43" s="38" t="str">
        <f>IF(AG43="","",COUNTIF($AG$4:AG43,"?*"))</f>
        <v/>
      </c>
    </row>
    <row r="44" spans="1:34" x14ac:dyDescent="0.3">
      <c r="A44" s="74" t="s">
        <v>696</v>
      </c>
      <c r="B44" s="74" t="s">
        <v>277</v>
      </c>
      <c r="C44" s="74" t="s">
        <v>271</v>
      </c>
      <c r="D44" s="74"/>
      <c r="E44" s="74"/>
      <c r="F44" s="74"/>
      <c r="G44" s="74" t="s">
        <v>256</v>
      </c>
      <c r="H44" s="74" t="s">
        <v>271</v>
      </c>
      <c r="I44" s="74"/>
      <c r="J44" s="74"/>
      <c r="K44" s="74"/>
      <c r="L44" s="74"/>
      <c r="M44" s="74" t="s">
        <v>258</v>
      </c>
      <c r="N44" s="38" t="str">
        <f>IF(OR(A44="Автомат",A44="Дифавтомат"),IF(W44="","",COUNTIFS(Однолинейка!$H$3:$H$3000,U44,Однолинейка!$A$3:$A$3000,Щит_спец)),IF(A44="Аппарат",IF(C44="","",COUNTIFS(Однолинейка!$I$3:$I$3000,C44,Однолинейка!$A$3:$A$3000,Щит_спец)+COUNTIFS(Однолинейка!$J$3:$J$3000,C44,Однолинейка!$A$3:$A$3000,Щит_спец)+COUNTIFS(Однолинейка!$K$3:$K$3000,C44,Однолинейка!$A$3:$A$3000,Щит_спец)),IF(A44="Модуль",IF(C44="","",COUNTIFS(Однолинейка!$AW$3:$AW$3000,"?*",Однолинейка!$AI$3:$AI$3000,C44,Однолинейка!$A$3:$A$3000,Щит_спец)),IF(A44="Клемма",IF(C44="","",IF(C44=$S$7,SUMIFS(Однолинейка!$BW$3:$BW$3000,Однолинейка!$A$3:$A$3000,Щит_спец),IF(C44=$S$8,SUMIFS(Однолинейка!$BX$3:$BX$3000,Однолинейка!$A$3:$A$3000,Щит_спец),""))),""))))</f>
        <v/>
      </c>
      <c r="O44" s="74"/>
      <c r="P44" s="38" t="str">
        <f t="shared" si="0"/>
        <v/>
      </c>
      <c r="U44" s="38" t="str">
        <f t="shared" si="1"/>
        <v/>
      </c>
      <c r="V44" s="38" t="str">
        <f t="shared" si="2"/>
        <v/>
      </c>
      <c r="W44" s="38" t="str">
        <f>IF(AND(U44&lt;&gt;"",OR($S$4="(все)",B44=$S$4),IF($S$4="(все)",COUNTIF($U$4:U44,U44),COUNTIFS($U$4:U44,U44,$B$4:B44,B44))=1),MAX($W$3:W43)+1,"")</f>
        <v/>
      </c>
      <c r="X44" s="38" t="str">
        <f t="shared" si="3"/>
        <v/>
      </c>
      <c r="Y44" s="38" t="str">
        <f>IF(AND(A44="Аппарат",C44&lt;&gt;"",OR($S$5="(все)",B44=$S$5)),MAX($Y$3:Y43)+1,"")</f>
        <v/>
      </c>
      <c r="Z44" s="38" t="str">
        <f t="shared" si="4"/>
        <v/>
      </c>
      <c r="AA44" s="38" t="str">
        <f>IF(AND(A44="Модуль",C44&lt;&gt;"",OR($S$6="(все)",B44=$S$6)),MAX($AA$3:AA43)+1,"")</f>
        <v/>
      </c>
      <c r="AB44" s="38" t="str">
        <f t="shared" si="5"/>
        <v/>
      </c>
      <c r="AC44" s="38" t="str">
        <f>IF(OR(B44="",COUNTIF($B$4:B44,B44)&gt;1),"",MAX($AC$3:AC43)+1)</f>
        <v/>
      </c>
      <c r="AD44" s="38" t="str">
        <f t="shared" si="6"/>
        <v/>
      </c>
      <c r="AE44" s="38" t="str">
        <f t="shared" si="7"/>
        <v/>
      </c>
      <c r="AF44" s="38" t="str">
        <f t="shared" si="8"/>
        <v/>
      </c>
    </row>
    <row r="45" spans="1:34" x14ac:dyDescent="0.3">
      <c r="A45" s="74" t="s">
        <v>696</v>
      </c>
      <c r="B45" s="74" t="s">
        <v>277</v>
      </c>
      <c r="C45" s="74" t="s">
        <v>272</v>
      </c>
      <c r="D45" s="74"/>
      <c r="E45" s="74"/>
      <c r="F45" s="74"/>
      <c r="G45" s="74" t="s">
        <v>257</v>
      </c>
      <c r="H45" s="74" t="s">
        <v>272</v>
      </c>
      <c r="I45" s="74"/>
      <c r="J45" s="74"/>
      <c r="K45" s="74"/>
      <c r="L45" s="74"/>
      <c r="M45" s="74" t="s">
        <v>258</v>
      </c>
      <c r="N45" s="38" t="str">
        <f>IF(OR(A45="Автомат",A45="Дифавтомат"),IF(W45="","",COUNTIFS(Однолинейка!$H$3:$H$3000,U45,Однолинейка!$A$3:$A$3000,Щит_спец)),IF(A45="Аппарат",IF(C45="","",COUNTIFS(Однолинейка!$I$3:$I$3000,C45,Однолинейка!$A$3:$A$3000,Щит_спец)+COUNTIFS(Однолинейка!$J$3:$J$3000,C45,Однолинейка!$A$3:$A$3000,Щит_спец)+COUNTIFS(Однолинейка!$K$3:$K$3000,C45,Однолинейка!$A$3:$A$3000,Щит_спец)),IF(A45="Модуль",IF(C45="","",COUNTIFS(Однолинейка!$AW$3:$AW$3000,"?*",Однолинейка!$AI$3:$AI$3000,C45,Однолинейка!$A$3:$A$3000,Щит_спец)),IF(A45="Клемма",IF(C45="","",IF(C45=$S$7,SUMIFS(Однолинейка!$BW$3:$BW$3000,Однолинейка!$A$3:$A$3000,Щит_спец),IF(C45=$S$8,SUMIFS(Однолинейка!$BX$3:$BX$3000,Однолинейка!$A$3:$A$3000,Щит_спец),""))),""))))</f>
        <v/>
      </c>
      <c r="O45" s="74"/>
      <c r="P45" s="38" t="str">
        <f t="shared" si="0"/>
        <v/>
      </c>
      <c r="U45" s="38" t="str">
        <f t="shared" si="1"/>
        <v/>
      </c>
      <c r="V45" s="38" t="str">
        <f t="shared" si="2"/>
        <v/>
      </c>
      <c r="W45" s="38" t="str">
        <f>IF(AND(U45&lt;&gt;"",OR($S$4="(все)",B45=$S$4),IF($S$4="(все)",COUNTIF($U$4:U45,U45),COUNTIFS($U$4:U45,U45,$B$4:B45,B45))=1),MAX($W$3:W44)+1,"")</f>
        <v/>
      </c>
      <c r="X45" s="38" t="str">
        <f t="shared" si="3"/>
        <v/>
      </c>
      <c r="Y45" s="38" t="str">
        <f>IF(AND(A45="Аппарат",C45&lt;&gt;"",OR($S$5="(все)",B45=$S$5)),MAX($Y$3:Y44)+1,"")</f>
        <v/>
      </c>
      <c r="Z45" s="38" t="str">
        <f t="shared" si="4"/>
        <v/>
      </c>
      <c r="AA45" s="38" t="str">
        <f>IF(AND(A45="Модуль",C45&lt;&gt;"",OR($S$6="(все)",B45=$S$6)),MAX($AA$3:AA44)+1,"")</f>
        <v/>
      </c>
      <c r="AB45" s="38" t="str">
        <f t="shared" si="5"/>
        <v/>
      </c>
      <c r="AC45" s="38" t="str">
        <f>IF(OR(B45="",COUNTIF($B$4:B45,B45)&gt;1),"",MAX($AC$3:AC44)+1)</f>
        <v/>
      </c>
      <c r="AD45" s="38" t="str">
        <f t="shared" si="6"/>
        <v/>
      </c>
      <c r="AE45" s="38" t="str">
        <f t="shared" si="7"/>
        <v/>
      </c>
      <c r="AF45" s="38" t="str">
        <f t="shared" si="8"/>
        <v/>
      </c>
    </row>
    <row r="46" spans="1:34" x14ac:dyDescent="0.3">
      <c r="A46" s="74" t="s">
        <v>696</v>
      </c>
      <c r="B46" s="74" t="s">
        <v>277</v>
      </c>
      <c r="C46" s="74" t="s">
        <v>273</v>
      </c>
      <c r="D46" s="74"/>
      <c r="E46" s="74"/>
      <c r="F46" s="74"/>
      <c r="G46" s="74" t="s">
        <v>259</v>
      </c>
      <c r="H46" s="74" t="s">
        <v>273</v>
      </c>
      <c r="I46" s="74"/>
      <c r="J46" s="74"/>
      <c r="K46" s="74"/>
      <c r="L46" s="74"/>
      <c r="M46" s="74" t="s">
        <v>263</v>
      </c>
      <c r="N46" s="38" t="str">
        <f>IF(OR(A46="Автомат",A46="Дифавтомат"),IF(W46="","",COUNTIFS(Однолинейка!$H$3:$H$3000,U46,Однолинейка!$A$3:$A$3000,Щит_спец)),IF(A46="Аппарат",IF(C46="","",COUNTIFS(Однолинейка!$I$3:$I$3000,C46,Однолинейка!$A$3:$A$3000,Щит_спец)+COUNTIFS(Однолинейка!$J$3:$J$3000,C46,Однолинейка!$A$3:$A$3000,Щит_спец)+COUNTIFS(Однолинейка!$K$3:$K$3000,C46,Однолинейка!$A$3:$A$3000,Щит_спец)),IF(A46="Модуль",IF(C46="","",COUNTIFS(Однолинейка!$AW$3:$AW$3000,"?*",Однолинейка!$AI$3:$AI$3000,C46,Однолинейка!$A$3:$A$3000,Щит_спец)),IF(A46="Клемма",IF(C46="","",IF(C46=$S$7,SUMIFS(Однолинейка!$BW$3:$BW$3000,Однолинейка!$A$3:$A$3000,Щит_спец),IF(C46=$S$8,SUMIFS(Однолинейка!$BX$3:$BX$3000,Однолинейка!$A$3:$A$3000,Щит_спец),""))),""))))</f>
        <v/>
      </c>
      <c r="O46" s="74"/>
      <c r="P46" s="38" t="str">
        <f t="shared" si="0"/>
        <v/>
      </c>
      <c r="U46" s="38" t="str">
        <f t="shared" si="1"/>
        <v/>
      </c>
      <c r="V46" s="38" t="str">
        <f t="shared" si="2"/>
        <v/>
      </c>
      <c r="W46" s="38" t="str">
        <f>IF(AND(U46&lt;&gt;"",OR($S$4="(все)",B46=$S$4),IF($S$4="(все)",COUNTIF($U$4:U46,U46),COUNTIFS($U$4:U46,U46,$B$4:B46,B46))=1),MAX($W$3:W45)+1,"")</f>
        <v/>
      </c>
      <c r="X46" s="38" t="str">
        <f t="shared" si="3"/>
        <v/>
      </c>
      <c r="Y46" s="38" t="str">
        <f>IF(AND(A46="Аппарат",C46&lt;&gt;"",OR($S$5="(все)",B46=$S$5)),MAX($Y$3:Y45)+1,"")</f>
        <v/>
      </c>
      <c r="Z46" s="38" t="str">
        <f t="shared" si="4"/>
        <v/>
      </c>
      <c r="AA46" s="38" t="str">
        <f>IF(AND(A46="Модуль",C46&lt;&gt;"",OR($S$6="(все)",B46=$S$6)),MAX($AA$3:AA45)+1,"")</f>
        <v/>
      </c>
      <c r="AB46" s="38" t="str">
        <f t="shared" si="5"/>
        <v/>
      </c>
      <c r="AC46" s="38" t="str">
        <f>IF(OR(B46="",COUNTIF($B$4:B46,B46)&gt;1),"",MAX($AC$3:AC45)+1)</f>
        <v/>
      </c>
      <c r="AD46" s="38" t="str">
        <f t="shared" si="6"/>
        <v/>
      </c>
      <c r="AE46" s="38" t="str">
        <f t="shared" si="7"/>
        <v/>
      </c>
      <c r="AF46" s="38" t="str">
        <f t="shared" si="8"/>
        <v/>
      </c>
    </row>
    <row r="47" spans="1:34" x14ac:dyDescent="0.3">
      <c r="A47" s="74" t="s">
        <v>696</v>
      </c>
      <c r="B47" s="74" t="s">
        <v>277</v>
      </c>
      <c r="C47" s="74" t="s">
        <v>274</v>
      </c>
      <c r="D47" s="74"/>
      <c r="E47" s="74"/>
      <c r="F47" s="74"/>
      <c r="G47" s="74" t="s">
        <v>260</v>
      </c>
      <c r="H47" s="74" t="s">
        <v>274</v>
      </c>
      <c r="I47" s="74"/>
      <c r="J47" s="74"/>
      <c r="K47" s="74"/>
      <c r="L47" s="74"/>
      <c r="M47" s="74" t="s">
        <v>263</v>
      </c>
      <c r="N47" s="38" t="str">
        <f>IF(OR(A47="Автомат",A47="Дифавтомат"),IF(W47="","",COUNTIFS(Однолинейка!$H$3:$H$3000,U47,Однолинейка!$A$3:$A$3000,Щит_спец)),IF(A47="Аппарат",IF(C47="","",COUNTIFS(Однолинейка!$I$3:$I$3000,C47,Однолинейка!$A$3:$A$3000,Щит_спец)+COUNTIFS(Однолинейка!$J$3:$J$3000,C47,Однолинейка!$A$3:$A$3000,Щит_спец)+COUNTIFS(Однолинейка!$K$3:$K$3000,C47,Однолинейка!$A$3:$A$3000,Щит_спец)),IF(A47="Модуль",IF(C47="","",COUNTIFS(Однолинейка!$AW$3:$AW$3000,"?*",Однолинейка!$AI$3:$AI$3000,C47,Однолинейка!$A$3:$A$3000,Щит_спец)),IF(A47="Клемма",IF(C47="","",IF(C47=$S$7,SUMIFS(Однолинейка!$BW$3:$BW$3000,Однолинейка!$A$3:$A$3000,Щит_спец),IF(C47=$S$8,SUMIFS(Однолинейка!$BX$3:$BX$3000,Однолинейка!$A$3:$A$3000,Щит_спец),""))),""))))</f>
        <v/>
      </c>
      <c r="O47" s="74"/>
      <c r="P47" s="38" t="str">
        <f t="shared" si="0"/>
        <v/>
      </c>
      <c r="U47" s="38" t="str">
        <f t="shared" si="1"/>
        <v/>
      </c>
      <c r="V47" s="38" t="str">
        <f t="shared" si="2"/>
        <v/>
      </c>
      <c r="W47" s="38" t="str">
        <f>IF(AND(U47&lt;&gt;"",OR($S$4="(все)",B47=$S$4),IF($S$4="(все)",COUNTIF($U$4:U47,U47),COUNTIFS($U$4:U47,U47,$B$4:B47,B47))=1),MAX($W$3:W46)+1,"")</f>
        <v/>
      </c>
      <c r="X47" s="38" t="str">
        <f t="shared" si="3"/>
        <v/>
      </c>
      <c r="Y47" s="38" t="str">
        <f>IF(AND(A47="Аппарат",C47&lt;&gt;"",OR($S$5="(все)",B47=$S$5)),MAX($Y$3:Y46)+1,"")</f>
        <v/>
      </c>
      <c r="Z47" s="38" t="str">
        <f t="shared" si="4"/>
        <v/>
      </c>
      <c r="AA47" s="38" t="str">
        <f>IF(AND(A47="Модуль",C47&lt;&gt;"",OR($S$6="(все)",B47=$S$6)),MAX($AA$3:AA46)+1,"")</f>
        <v/>
      </c>
      <c r="AB47" s="38" t="str">
        <f t="shared" si="5"/>
        <v/>
      </c>
      <c r="AC47" s="38" t="str">
        <f>IF(OR(B47="",COUNTIF($B$4:B47,B47)&gt;1),"",MAX($AC$3:AC46)+1)</f>
        <v/>
      </c>
      <c r="AD47" s="38" t="str">
        <f t="shared" si="6"/>
        <v/>
      </c>
      <c r="AE47" s="38" t="str">
        <f t="shared" si="7"/>
        <v/>
      </c>
      <c r="AF47" s="38" t="str">
        <f t="shared" si="8"/>
        <v/>
      </c>
    </row>
    <row r="48" spans="1:34" x14ac:dyDescent="0.3">
      <c r="A48" s="74" t="s">
        <v>696</v>
      </c>
      <c r="B48" s="74" t="s">
        <v>277</v>
      </c>
      <c r="C48" s="74" t="s">
        <v>266</v>
      </c>
      <c r="D48" s="74"/>
      <c r="E48" s="74"/>
      <c r="F48" s="74"/>
      <c r="G48" s="74" t="s">
        <v>265</v>
      </c>
      <c r="H48" s="74" t="s">
        <v>266</v>
      </c>
      <c r="I48" s="74"/>
      <c r="J48" s="74"/>
      <c r="K48" s="74"/>
      <c r="L48" s="74"/>
      <c r="M48" s="74" t="s">
        <v>258</v>
      </c>
      <c r="N48" s="38" t="str">
        <f>IF(OR(A48="Автомат",A48="Дифавтомат"),IF(W48="","",COUNTIFS(Однолинейка!$H$3:$H$3000,U48,Однолинейка!$A$3:$A$3000,Щит_спец)),IF(A48="Аппарат",IF(C48="","",COUNTIFS(Однолинейка!$I$3:$I$3000,C48,Однолинейка!$A$3:$A$3000,Щит_спец)+COUNTIFS(Однолинейка!$J$3:$J$3000,C48,Однолинейка!$A$3:$A$3000,Щит_спец)+COUNTIFS(Однолинейка!$K$3:$K$3000,C48,Однолинейка!$A$3:$A$3000,Щит_спец)),IF(A48="Модуль",IF(C48="","",COUNTIFS(Однолинейка!$AW$3:$AW$3000,"?*",Однолинейка!$AI$3:$AI$3000,C48,Однолинейка!$A$3:$A$3000,Щит_спец)),IF(A48="Клемма",IF(C48="","",IF(C48=$S$7,SUMIFS(Однолинейка!$BW$3:$BW$3000,Однолинейка!$A$3:$A$3000,Щит_спец),IF(C48=$S$8,SUMIFS(Однолинейка!$BX$3:$BX$3000,Однолинейка!$A$3:$A$3000,Щит_спец),""))),""))))</f>
        <v/>
      </c>
      <c r="O48" s="74"/>
      <c r="P48" s="38" t="str">
        <f t="shared" si="0"/>
        <v/>
      </c>
      <c r="U48" s="38" t="str">
        <f t="shared" si="1"/>
        <v/>
      </c>
      <c r="V48" s="38" t="str">
        <f t="shared" si="2"/>
        <v/>
      </c>
      <c r="W48" s="38" t="str">
        <f>IF(AND(U48&lt;&gt;"",OR($S$4="(все)",B48=$S$4),IF($S$4="(все)",COUNTIF($U$4:U48,U48),COUNTIFS($U$4:U48,U48,$B$4:B48,B48))=1),MAX($W$3:W47)+1,"")</f>
        <v/>
      </c>
      <c r="X48" s="38" t="str">
        <f t="shared" si="3"/>
        <v/>
      </c>
      <c r="Y48" s="38" t="str">
        <f>IF(AND(A48="Аппарат",C48&lt;&gt;"",OR($S$5="(все)",B48=$S$5)),MAX($Y$3:Y47)+1,"")</f>
        <v/>
      </c>
      <c r="Z48" s="38" t="str">
        <f t="shared" si="4"/>
        <v/>
      </c>
      <c r="AA48" s="38" t="str">
        <f>IF(AND(A48="Модуль",C48&lt;&gt;"",OR($S$6="(все)",B48=$S$6)),MAX($AA$3:AA47)+1,"")</f>
        <v/>
      </c>
      <c r="AB48" s="38" t="str">
        <f t="shared" si="5"/>
        <v/>
      </c>
      <c r="AC48" s="38" t="str">
        <f>IF(OR(B48="",COUNTIF($B$4:B48,B48)&gt;1),"",MAX($AC$3:AC47)+1)</f>
        <v/>
      </c>
      <c r="AD48" s="38" t="str">
        <f t="shared" si="6"/>
        <v/>
      </c>
      <c r="AE48" s="38" t="str">
        <f t="shared" si="7"/>
        <v/>
      </c>
      <c r="AF48" s="38" t="str">
        <f t="shared" si="8"/>
        <v/>
      </c>
    </row>
    <row r="49" spans="1:32" x14ac:dyDescent="0.3">
      <c r="A49" s="74" t="s">
        <v>696</v>
      </c>
      <c r="B49" s="74" t="s">
        <v>277</v>
      </c>
      <c r="C49" s="74" t="s">
        <v>275</v>
      </c>
      <c r="D49" s="74"/>
      <c r="E49" s="74"/>
      <c r="F49" s="74"/>
      <c r="G49" s="74" t="s">
        <v>261</v>
      </c>
      <c r="H49" s="74" t="s">
        <v>275</v>
      </c>
      <c r="I49" s="74"/>
      <c r="J49" s="74"/>
      <c r="K49" s="74"/>
      <c r="L49" s="74"/>
      <c r="M49" s="74" t="s">
        <v>258</v>
      </c>
      <c r="N49" s="38" t="str">
        <f>IF(OR(A49="Автомат",A49="Дифавтомат"),IF(W49="","",COUNTIFS(Однолинейка!$H$3:$H$3000,U49,Однолинейка!$A$3:$A$3000,Щит_спец)),IF(A49="Аппарат",IF(C49="","",COUNTIFS(Однолинейка!$I$3:$I$3000,C49,Однолинейка!$A$3:$A$3000,Щит_спец)+COUNTIFS(Однолинейка!$J$3:$J$3000,C49,Однолинейка!$A$3:$A$3000,Щит_спец)+COUNTIFS(Однолинейка!$K$3:$K$3000,C49,Однолинейка!$A$3:$A$3000,Щит_спец)),IF(A49="Модуль",IF(C49="","",COUNTIFS(Однолинейка!$AW$3:$AW$3000,"?*",Однолинейка!$AI$3:$AI$3000,C49,Однолинейка!$A$3:$A$3000,Щит_спец)),IF(A49="Клемма",IF(C49="","",IF(C49=$S$7,SUMIFS(Однолинейка!$BW$3:$BW$3000,Однолинейка!$A$3:$A$3000,Щит_спец),IF(C49=$S$8,SUMIFS(Однолинейка!$BX$3:$BX$3000,Однолинейка!$A$3:$A$3000,Щит_спец),""))),""))))</f>
        <v/>
      </c>
      <c r="O49" s="74"/>
      <c r="P49" s="38" t="str">
        <f t="shared" si="0"/>
        <v/>
      </c>
      <c r="U49" s="38" t="str">
        <f t="shared" si="1"/>
        <v/>
      </c>
      <c r="V49" s="38" t="str">
        <f t="shared" si="2"/>
        <v/>
      </c>
      <c r="W49" s="38" t="str">
        <f>IF(AND(U49&lt;&gt;"",OR($S$4="(все)",B49=$S$4),IF($S$4="(все)",COUNTIF($U$4:U49,U49),COUNTIFS($U$4:U49,U49,$B$4:B49,B49))=1),MAX($W$3:W48)+1,"")</f>
        <v/>
      </c>
      <c r="X49" s="38" t="str">
        <f t="shared" si="3"/>
        <v/>
      </c>
      <c r="Y49" s="38" t="str">
        <f>IF(AND(A49="Аппарат",C49&lt;&gt;"",OR($S$5="(все)",B49=$S$5)),MAX($Y$3:Y48)+1,"")</f>
        <v/>
      </c>
      <c r="Z49" s="38" t="str">
        <f t="shared" si="4"/>
        <v/>
      </c>
      <c r="AA49" s="38" t="str">
        <f>IF(AND(A49="Модуль",C49&lt;&gt;"",OR($S$6="(все)",B49=$S$6)),MAX($AA$3:AA48)+1,"")</f>
        <v/>
      </c>
      <c r="AB49" s="38" t="str">
        <f t="shared" si="5"/>
        <v/>
      </c>
      <c r="AC49" s="38" t="str">
        <f>IF(OR(B49="",COUNTIF($B$4:B49,B49)&gt;1),"",MAX($AC$3:AC48)+1)</f>
        <v/>
      </c>
      <c r="AD49" s="38" t="str">
        <f t="shared" si="6"/>
        <v/>
      </c>
      <c r="AE49" s="38" t="str">
        <f t="shared" si="7"/>
        <v/>
      </c>
      <c r="AF49" s="38" t="str">
        <f t="shared" si="8"/>
        <v/>
      </c>
    </row>
    <row r="50" spans="1:32" x14ac:dyDescent="0.3">
      <c r="A50" s="74" t="s">
        <v>696</v>
      </c>
      <c r="B50" s="74" t="s">
        <v>277</v>
      </c>
      <c r="C50" s="74" t="s">
        <v>276</v>
      </c>
      <c r="D50" s="74"/>
      <c r="E50" s="74"/>
      <c r="F50" s="74"/>
      <c r="G50" s="74" t="s">
        <v>262</v>
      </c>
      <c r="H50" s="74" t="s">
        <v>276</v>
      </c>
      <c r="I50" s="74"/>
      <c r="J50" s="74"/>
      <c r="K50" s="74"/>
      <c r="L50" s="74"/>
      <c r="M50" s="74" t="s">
        <v>264</v>
      </c>
      <c r="N50" s="38" t="str">
        <f>IF(OR(A50="Автомат",A50="Дифавтомат"),IF(W50="","",COUNTIFS(Однолинейка!$H$3:$H$3000,U50,Однолинейка!$A$3:$A$3000,Щит_спец)),IF(A50="Аппарат",IF(C50="","",COUNTIFS(Однолинейка!$I$3:$I$3000,C50,Однолинейка!$A$3:$A$3000,Щит_спец)+COUNTIFS(Однолинейка!$J$3:$J$3000,C50,Однолинейка!$A$3:$A$3000,Щит_спец)+COUNTIFS(Однолинейка!$K$3:$K$3000,C50,Однолинейка!$A$3:$A$3000,Щит_спец)),IF(A50="Модуль",IF(C50="","",COUNTIFS(Однолинейка!$AW$3:$AW$3000,"?*",Однолинейка!$AI$3:$AI$3000,C50,Однолинейка!$A$3:$A$3000,Щит_спец)),IF(A50="Клемма",IF(C50="","",IF(C50=$S$7,SUMIFS(Однолинейка!$BW$3:$BW$3000,Однолинейка!$A$3:$A$3000,Щит_спец),IF(C50=$S$8,SUMIFS(Однолинейка!$BX$3:$BX$3000,Однолинейка!$A$3:$A$3000,Щит_спец),""))),""))))</f>
        <v/>
      </c>
      <c r="O50" s="74"/>
      <c r="P50" s="38" t="str">
        <f t="shared" si="0"/>
        <v/>
      </c>
      <c r="U50" s="38" t="str">
        <f t="shared" si="1"/>
        <v/>
      </c>
      <c r="V50" s="38" t="str">
        <f t="shared" si="2"/>
        <v/>
      </c>
      <c r="W50" s="38" t="str">
        <f>IF(AND(U50&lt;&gt;"",OR($S$4="(все)",B50=$S$4),IF($S$4="(все)",COUNTIF($U$4:U50,U50),COUNTIFS($U$4:U50,U50,$B$4:B50,B50))=1),MAX($W$3:W49)+1,"")</f>
        <v/>
      </c>
      <c r="X50" s="38" t="str">
        <f t="shared" si="3"/>
        <v/>
      </c>
      <c r="Y50" s="38" t="str">
        <f>IF(AND(A50="Аппарат",C50&lt;&gt;"",OR($S$5="(все)",B50=$S$5)),MAX($Y$3:Y49)+1,"")</f>
        <v/>
      </c>
      <c r="Z50" s="38" t="str">
        <f t="shared" si="4"/>
        <v/>
      </c>
      <c r="AA50" s="38" t="str">
        <f>IF(AND(A50="Модуль",C50&lt;&gt;"",OR($S$6="(все)",B50=$S$6)),MAX($AA$3:AA49)+1,"")</f>
        <v/>
      </c>
      <c r="AB50" s="38" t="str">
        <f t="shared" si="5"/>
        <v/>
      </c>
      <c r="AC50" s="38" t="str">
        <f>IF(OR(B50="",COUNTIF($B$4:B50,B50)&gt;1),"",MAX($AC$3:AC49)+1)</f>
        <v/>
      </c>
      <c r="AD50" s="38" t="str">
        <f t="shared" si="6"/>
        <v/>
      </c>
      <c r="AE50" s="38" t="str">
        <f t="shared" si="7"/>
        <v/>
      </c>
      <c r="AF50" s="38" t="str">
        <f t="shared" si="8"/>
        <v/>
      </c>
    </row>
    <row r="51" spans="1:32" x14ac:dyDescent="0.3">
      <c r="A51" s="74" t="s">
        <v>696</v>
      </c>
      <c r="B51" s="74" t="s">
        <v>277</v>
      </c>
      <c r="C51" s="74" t="s">
        <v>279</v>
      </c>
      <c r="D51" s="74"/>
      <c r="E51" s="74"/>
      <c r="F51" s="74"/>
      <c r="G51" s="74" t="s">
        <v>278</v>
      </c>
      <c r="H51" s="74" t="s">
        <v>279</v>
      </c>
      <c r="I51" s="74"/>
      <c r="J51" s="74"/>
      <c r="K51" s="74"/>
      <c r="L51" s="74"/>
      <c r="M51" s="74" t="s">
        <v>280</v>
      </c>
      <c r="N51" s="38" t="str">
        <f>IF(OR(A51="Автомат",A51="Дифавтомат"),IF(W51="","",COUNTIFS(Однолинейка!$H$3:$H$3000,U51,Однолинейка!$A$3:$A$3000,Щит_спец)),IF(A51="Аппарат",IF(C51="","",COUNTIFS(Однолинейка!$I$3:$I$3000,C51,Однолинейка!$A$3:$A$3000,Щит_спец)+COUNTIFS(Однолинейка!$J$3:$J$3000,C51,Однолинейка!$A$3:$A$3000,Щит_спец)+COUNTIFS(Однолинейка!$K$3:$K$3000,C51,Однолинейка!$A$3:$A$3000,Щит_спец)),IF(A51="Модуль",IF(C51="","",COUNTIFS(Однолинейка!$AW$3:$AW$3000,"?*",Однолинейка!$AI$3:$AI$3000,C51,Однолинейка!$A$3:$A$3000,Щит_спец)),IF(A51="Клемма",IF(C51="","",IF(C51=$S$7,SUMIFS(Однолинейка!$BW$3:$BW$3000,Однолинейка!$A$3:$A$3000,Щит_спец),IF(C51=$S$8,SUMIFS(Однолинейка!$BX$3:$BX$3000,Однолинейка!$A$3:$A$3000,Щит_спец),""))),""))))</f>
        <v/>
      </c>
      <c r="O51" s="74"/>
      <c r="P51" s="38" t="str">
        <f t="shared" si="0"/>
        <v/>
      </c>
      <c r="U51" s="38" t="str">
        <f t="shared" si="1"/>
        <v/>
      </c>
      <c r="V51" s="38" t="str">
        <f t="shared" si="2"/>
        <v/>
      </c>
      <c r="W51" s="38" t="str">
        <f>IF(AND(U51&lt;&gt;"",OR($S$4="(все)",B51=$S$4),IF($S$4="(все)",COUNTIF($U$4:U51,U51),COUNTIFS($U$4:U51,U51,$B$4:B51,B51))=1),MAX($W$3:W50)+1,"")</f>
        <v/>
      </c>
      <c r="X51" s="38" t="str">
        <f t="shared" si="3"/>
        <v/>
      </c>
      <c r="Y51" s="38" t="str">
        <f>IF(AND(A51="Аппарат",C51&lt;&gt;"",OR($S$5="(все)",B51=$S$5)),MAX($Y$3:Y50)+1,"")</f>
        <v/>
      </c>
      <c r="Z51" s="38" t="str">
        <f t="shared" si="4"/>
        <v/>
      </c>
      <c r="AA51" s="38" t="str">
        <f>IF(AND(A51="Модуль",C51&lt;&gt;"",OR($S$6="(все)",B51=$S$6)),MAX($AA$3:AA50)+1,"")</f>
        <v/>
      </c>
      <c r="AB51" s="38" t="str">
        <f t="shared" si="5"/>
        <v/>
      </c>
      <c r="AC51" s="38" t="str">
        <f>IF(OR(B51="",COUNTIF($B$4:B51,B51)&gt;1),"",MAX($AC$3:AC50)+1)</f>
        <v/>
      </c>
      <c r="AD51" s="38" t="str">
        <f t="shared" si="6"/>
        <v/>
      </c>
      <c r="AE51" s="38" t="str">
        <f t="shared" si="7"/>
        <v/>
      </c>
      <c r="AF51" s="38" t="str">
        <f t="shared" si="8"/>
        <v/>
      </c>
    </row>
    <row r="52" spans="1:32" x14ac:dyDescent="0.3">
      <c r="A52" s="74" t="s">
        <v>696</v>
      </c>
      <c r="B52" s="74" t="s">
        <v>283</v>
      </c>
      <c r="C52" s="74" t="s">
        <v>282</v>
      </c>
      <c r="D52" s="74"/>
      <c r="E52" s="74"/>
      <c r="F52" s="74"/>
      <c r="G52" s="74" t="s">
        <v>281</v>
      </c>
      <c r="H52" s="74" t="s">
        <v>282</v>
      </c>
      <c r="I52" s="74"/>
      <c r="J52" s="74"/>
      <c r="K52" s="74"/>
      <c r="L52" s="74"/>
      <c r="M52" s="74" t="s">
        <v>280</v>
      </c>
      <c r="N52" s="38" t="str">
        <f>IF(OR(A52="Автомат",A52="Дифавтомат"),IF(W52="","",COUNTIFS(Однолинейка!$H$3:$H$3000,U52,Однолинейка!$A$3:$A$3000,Щит_спец)),IF(A52="Аппарат",IF(C52="","",COUNTIFS(Однолинейка!$I$3:$I$3000,C52,Однолинейка!$A$3:$A$3000,Щит_спец)+COUNTIFS(Однолинейка!$J$3:$J$3000,C52,Однолинейка!$A$3:$A$3000,Щит_спец)+COUNTIFS(Однолинейка!$K$3:$K$3000,C52,Однолинейка!$A$3:$A$3000,Щит_спец)),IF(A52="Модуль",IF(C52="","",COUNTIFS(Однолинейка!$AW$3:$AW$3000,"?*",Однолинейка!$AI$3:$AI$3000,C52,Однолинейка!$A$3:$A$3000,Щит_спец)),IF(A52="Клемма",IF(C52="","",IF(C52=$S$7,SUMIFS(Однолинейка!$BW$3:$BW$3000,Однолинейка!$A$3:$A$3000,Щит_спец),IF(C52=$S$8,SUMIFS(Однолинейка!$BX$3:$BX$3000,Однолинейка!$A$3:$A$3000,Щит_спец),""))),""))))</f>
        <v/>
      </c>
      <c r="O52" s="74"/>
      <c r="P52" s="38" t="str">
        <f t="shared" si="0"/>
        <v/>
      </c>
      <c r="U52" s="38" t="str">
        <f t="shared" si="1"/>
        <v/>
      </c>
      <c r="V52" s="38" t="str">
        <f t="shared" si="2"/>
        <v/>
      </c>
      <c r="W52" s="38" t="str">
        <f>IF(AND(U52&lt;&gt;"",OR($S$4="(все)",B52=$S$4),IF($S$4="(все)",COUNTIF($U$4:U52,U52),COUNTIFS($U$4:U52,U52,$B$4:B52,B52))=1),MAX($W$3:W51)+1,"")</f>
        <v/>
      </c>
      <c r="X52" s="38" t="str">
        <f t="shared" si="3"/>
        <v/>
      </c>
      <c r="Y52" s="38" t="str">
        <f>IF(AND(A52="Аппарат",C52&lt;&gt;"",OR($S$5="(все)",B52=$S$5)),MAX($Y$3:Y51)+1,"")</f>
        <v/>
      </c>
      <c r="Z52" s="38" t="str">
        <f t="shared" si="4"/>
        <v/>
      </c>
      <c r="AA52" s="38" t="str">
        <f>IF(AND(A52="Модуль",C52&lt;&gt;"",OR($S$6="(все)",B52=$S$6)),MAX($AA$3:AA51)+1,"")</f>
        <v/>
      </c>
      <c r="AB52" s="38" t="str">
        <f t="shared" si="5"/>
        <v/>
      </c>
      <c r="AC52" s="38" t="str">
        <f>IF(OR(B52="",COUNTIF($B$4:B52,B52)&gt;1),"",MAX($AC$3:AC51)+1)</f>
        <v/>
      </c>
      <c r="AD52" s="38" t="str">
        <f t="shared" si="6"/>
        <v/>
      </c>
      <c r="AE52" s="38" t="str">
        <f t="shared" si="7"/>
        <v/>
      </c>
      <c r="AF52" s="38" t="str">
        <f t="shared" si="8"/>
        <v/>
      </c>
    </row>
    <row r="53" spans="1:32" x14ac:dyDescent="0.3">
      <c r="A53" s="74" t="s">
        <v>696</v>
      </c>
      <c r="B53" s="74" t="s">
        <v>283</v>
      </c>
      <c r="C53" s="74" t="s">
        <v>401</v>
      </c>
      <c r="D53" s="74"/>
      <c r="E53" s="74"/>
      <c r="F53" s="74"/>
      <c r="G53" s="74" t="s">
        <v>399</v>
      </c>
      <c r="H53" s="74" t="s">
        <v>401</v>
      </c>
      <c r="I53" s="74"/>
      <c r="J53" s="74"/>
      <c r="K53" s="74"/>
      <c r="L53" s="74"/>
      <c r="M53" s="74" t="s">
        <v>280</v>
      </c>
      <c r="N53" s="38" t="str">
        <f>IF(OR(A53="Автомат",A53="Дифавтомат"),IF(W53="","",COUNTIFS(Однолинейка!$H$3:$H$3000,U53,Однолинейка!$A$3:$A$3000,Щит_спец)),IF(A53="Аппарат",IF(C53="","",COUNTIFS(Однолинейка!$I$3:$I$3000,C53,Однолинейка!$A$3:$A$3000,Щит_спец)+COUNTIFS(Однолинейка!$J$3:$J$3000,C53,Однолинейка!$A$3:$A$3000,Щит_спец)+COUNTIFS(Однолинейка!$K$3:$K$3000,C53,Однолинейка!$A$3:$A$3000,Щит_спец)),IF(A53="Модуль",IF(C53="","",COUNTIFS(Однолинейка!$AW$3:$AW$3000,"?*",Однолинейка!$AI$3:$AI$3000,C53,Однолинейка!$A$3:$A$3000,Щит_спец)),IF(A53="Клемма",IF(C53="","",IF(C53=$S$7,SUMIFS(Однолинейка!$BW$3:$BW$3000,Однолинейка!$A$3:$A$3000,Щит_спец),IF(C53=$S$8,SUMIFS(Однолинейка!$BX$3:$BX$3000,Однолинейка!$A$3:$A$3000,Щит_спец),""))),""))))</f>
        <v/>
      </c>
      <c r="O53" s="74"/>
      <c r="P53" s="38" t="str">
        <f t="shared" si="0"/>
        <v/>
      </c>
      <c r="U53" s="38" t="str">
        <f t="shared" si="1"/>
        <v/>
      </c>
      <c r="V53" s="38" t="str">
        <f t="shared" si="2"/>
        <v/>
      </c>
      <c r="W53" s="38" t="str">
        <f>IF(AND(U53&lt;&gt;"",OR($S$4="(все)",B53=$S$4),IF($S$4="(все)",COUNTIF($U$4:U53,U53),COUNTIFS($U$4:U53,U53,$B$4:B53,B53))=1),MAX($W$3:W52)+1,"")</f>
        <v/>
      </c>
      <c r="X53" s="38" t="str">
        <f t="shared" si="3"/>
        <v/>
      </c>
      <c r="Y53" s="38" t="str">
        <f>IF(AND(A53="Аппарат",C53&lt;&gt;"",OR($S$5="(все)",B53=$S$5)),MAX($Y$3:Y52)+1,"")</f>
        <v/>
      </c>
      <c r="Z53" s="38" t="str">
        <f t="shared" si="4"/>
        <v/>
      </c>
      <c r="AA53" s="38" t="str">
        <f>IF(AND(A53="Модуль",C53&lt;&gt;"",OR($S$6="(все)",B53=$S$6)),MAX($AA$3:AA52)+1,"")</f>
        <v/>
      </c>
      <c r="AB53" s="38" t="str">
        <f t="shared" si="5"/>
        <v/>
      </c>
      <c r="AC53" s="38" t="str">
        <f>IF(OR(B53="",COUNTIF($B$4:B53,B53)&gt;1),"",MAX($AC$3:AC52)+1)</f>
        <v/>
      </c>
      <c r="AD53" s="38" t="str">
        <f t="shared" si="6"/>
        <v/>
      </c>
      <c r="AE53" s="38" t="str">
        <f t="shared" si="7"/>
        <v/>
      </c>
      <c r="AF53" s="38" t="str">
        <f t="shared" si="8"/>
        <v/>
      </c>
    </row>
    <row r="54" spans="1:32" x14ac:dyDescent="0.3">
      <c r="A54" s="74" t="s">
        <v>696</v>
      </c>
      <c r="B54" s="74" t="s">
        <v>283</v>
      </c>
      <c r="C54" s="74" t="s">
        <v>402</v>
      </c>
      <c r="D54" s="74"/>
      <c r="E54" s="74"/>
      <c r="F54" s="74"/>
      <c r="G54" s="74" t="s">
        <v>400</v>
      </c>
      <c r="H54" s="74" t="s">
        <v>402</v>
      </c>
      <c r="I54" s="74"/>
      <c r="J54" s="74"/>
      <c r="K54" s="74"/>
      <c r="L54" s="74"/>
      <c r="M54" s="74" t="s">
        <v>280</v>
      </c>
      <c r="N54" s="38" t="str">
        <f>IF(OR(A54="Автомат",A54="Дифавтомат"),IF(W54="","",COUNTIFS(Однолинейка!$H$3:$H$3000,U54,Однолинейка!$A$3:$A$3000,Щит_спец)),IF(A54="Аппарат",IF(C54="","",COUNTIFS(Однолинейка!$I$3:$I$3000,C54,Однолинейка!$A$3:$A$3000,Щит_спец)+COUNTIFS(Однолинейка!$J$3:$J$3000,C54,Однолинейка!$A$3:$A$3000,Щит_спец)+COUNTIFS(Однолинейка!$K$3:$K$3000,C54,Однолинейка!$A$3:$A$3000,Щит_спец)),IF(A54="Модуль",IF(C54="","",COUNTIFS(Однолинейка!$AW$3:$AW$3000,"?*",Однолинейка!$AI$3:$AI$3000,C54,Однолинейка!$A$3:$A$3000,Щит_спец)),IF(A54="Клемма",IF(C54="","",IF(C54=$S$7,SUMIFS(Однолинейка!$BW$3:$BW$3000,Однолинейка!$A$3:$A$3000,Щит_спец),IF(C54=$S$8,SUMIFS(Однолинейка!$BX$3:$BX$3000,Однолинейка!$A$3:$A$3000,Щит_спец),""))),""))))</f>
        <v/>
      </c>
      <c r="O54" s="74"/>
      <c r="P54" s="38" t="str">
        <f t="shared" si="0"/>
        <v/>
      </c>
      <c r="U54" s="38" t="str">
        <f t="shared" si="1"/>
        <v/>
      </c>
      <c r="V54" s="38" t="str">
        <f t="shared" si="2"/>
        <v/>
      </c>
      <c r="W54" s="38" t="str">
        <f>IF(AND(U54&lt;&gt;"",OR($S$4="(все)",B54=$S$4),IF($S$4="(все)",COUNTIF($U$4:U54,U54),COUNTIFS($U$4:U54,U54,$B$4:B54,B54))=1),MAX($W$3:W53)+1,"")</f>
        <v/>
      </c>
      <c r="X54" s="38" t="str">
        <f t="shared" si="3"/>
        <v/>
      </c>
      <c r="Y54" s="38" t="str">
        <f>IF(AND(A54="Аппарат",C54&lt;&gt;"",OR($S$5="(все)",B54=$S$5)),MAX($Y$3:Y53)+1,"")</f>
        <v/>
      </c>
      <c r="Z54" s="38" t="str">
        <f t="shared" si="4"/>
        <v/>
      </c>
      <c r="AA54" s="38" t="str">
        <f>IF(AND(A54="Модуль",C54&lt;&gt;"",OR($S$6="(все)",B54=$S$6)),MAX($AA$3:AA53)+1,"")</f>
        <v/>
      </c>
      <c r="AB54" s="38" t="str">
        <f t="shared" si="5"/>
        <v/>
      </c>
      <c r="AC54" s="38" t="str">
        <f>IF(OR(B54="",COUNTIF($B$4:B54,B54)&gt;1),"",MAX($AC$3:AC53)+1)</f>
        <v/>
      </c>
      <c r="AD54" s="38" t="str">
        <f t="shared" si="6"/>
        <v/>
      </c>
      <c r="AE54" s="38" t="str">
        <f t="shared" si="7"/>
        <v/>
      </c>
      <c r="AF54" s="38" t="str">
        <f t="shared" si="8"/>
        <v/>
      </c>
    </row>
    <row r="55" spans="1:32" x14ac:dyDescent="0.3">
      <c r="A55" s="74" t="s">
        <v>706</v>
      </c>
      <c r="B55" s="74" t="s">
        <v>285</v>
      </c>
      <c r="C55" s="74" t="s">
        <v>367</v>
      </c>
      <c r="D55" s="74"/>
      <c r="E55" s="74"/>
      <c r="F55" s="74"/>
      <c r="G55" s="74" t="s">
        <v>366</v>
      </c>
      <c r="H55" s="74" t="s">
        <v>367</v>
      </c>
      <c r="I55" s="74"/>
      <c r="J55" s="74"/>
      <c r="K55" s="74"/>
      <c r="L55" s="74"/>
      <c r="M55" s="74" t="s">
        <v>280</v>
      </c>
      <c r="N55" s="38" t="str">
        <f>IF(OR(A55="Автомат",A55="Дифавтомат"),IF(W55="","",COUNTIFS(Однолинейка!$H$3:$H$3000,U55,Однолинейка!$A$3:$A$3000,Щит_спец)),IF(A55="Аппарат",IF(C55="","",COUNTIFS(Однолинейка!$I$3:$I$3000,C55,Однолинейка!$A$3:$A$3000,Щит_спец)+COUNTIFS(Однолинейка!$J$3:$J$3000,C55,Однолинейка!$A$3:$A$3000,Щит_спец)+COUNTIFS(Однолинейка!$K$3:$K$3000,C55,Однолинейка!$A$3:$A$3000,Щит_спец)),IF(A55="Модуль",IF(C55="","",COUNTIFS(Однолинейка!$AW$3:$AW$3000,"?*",Однолинейка!$AI$3:$AI$3000,C55,Однолинейка!$A$3:$A$3000,Щит_спец)),IF(A55="Клемма",IF(C55="","",IF(C55=$S$7,SUMIFS(Однолинейка!$BW$3:$BW$3000,Однолинейка!$A$3:$A$3000,Щит_спец),IF(C55=$S$8,SUMIFS(Однолинейка!$BX$3:$BX$3000,Однолинейка!$A$3:$A$3000,Щит_спец),""))),""))))</f>
        <v/>
      </c>
      <c r="O55" s="74"/>
      <c r="P55" s="38" t="str">
        <f t="shared" si="0"/>
        <v/>
      </c>
      <c r="U55" s="38" t="str">
        <f t="shared" si="1"/>
        <v/>
      </c>
      <c r="V55" s="38" t="str">
        <f t="shared" si="2"/>
        <v/>
      </c>
      <c r="W55" s="38" t="str">
        <f>IF(AND(U55&lt;&gt;"",OR($S$4="(все)",B55=$S$4),IF($S$4="(все)",COUNTIF($U$4:U55,U55),COUNTIFS($U$4:U55,U55,$B$4:B55,B55))=1),MAX($W$3:W54)+1,"")</f>
        <v/>
      </c>
      <c r="X55" s="38" t="str">
        <f t="shared" si="3"/>
        <v/>
      </c>
      <c r="Y55" s="38" t="str">
        <f>IF(AND(A55="Аппарат",C55&lt;&gt;"",OR($S$5="(все)",B55=$S$5)),MAX($Y$3:Y54)+1,"")</f>
        <v/>
      </c>
      <c r="Z55" s="38" t="str">
        <f t="shared" si="4"/>
        <v/>
      </c>
      <c r="AA55" s="38" t="str">
        <f>IF(AND(A55="Модуль",C55&lt;&gt;"",OR($S$6="(все)",B55=$S$6)),MAX($AA$3:AA54)+1,"")</f>
        <v/>
      </c>
      <c r="AB55" s="38" t="str">
        <f t="shared" si="5"/>
        <v/>
      </c>
      <c r="AC55" s="38">
        <f>IF(OR(B55="",COUNTIF($B$4:B55,B55)&gt;1),"",MAX($AC$3:AC54)+1)</f>
        <v>7</v>
      </c>
      <c r="AD55" s="38" t="str">
        <f t="shared" si="6"/>
        <v/>
      </c>
      <c r="AE55" s="38" t="str">
        <f t="shared" si="7"/>
        <v/>
      </c>
      <c r="AF55" s="38" t="str">
        <f t="shared" si="8"/>
        <v/>
      </c>
    </row>
    <row r="56" spans="1:32" x14ac:dyDescent="0.3">
      <c r="A56" s="74" t="s">
        <v>706</v>
      </c>
      <c r="B56" s="74" t="s">
        <v>285</v>
      </c>
      <c r="C56" s="74" t="s">
        <v>369</v>
      </c>
      <c r="D56" s="74"/>
      <c r="E56" s="74"/>
      <c r="F56" s="74"/>
      <c r="G56" s="74" t="s">
        <v>368</v>
      </c>
      <c r="H56" s="74" t="s">
        <v>369</v>
      </c>
      <c r="I56" s="74"/>
      <c r="J56" s="74"/>
      <c r="K56" s="74"/>
      <c r="L56" s="74"/>
      <c r="M56" s="74" t="s">
        <v>280</v>
      </c>
      <c r="N56" s="38" t="str">
        <f>IF(OR(A56="Автомат",A56="Дифавтомат"),IF(W56="","",COUNTIFS(Однолинейка!$H$3:$H$3000,U56,Однолинейка!$A$3:$A$3000,Щит_спец)),IF(A56="Аппарат",IF(C56="","",COUNTIFS(Однолинейка!$I$3:$I$3000,C56,Однолинейка!$A$3:$A$3000,Щит_спец)+COUNTIFS(Однолинейка!$J$3:$J$3000,C56,Однолинейка!$A$3:$A$3000,Щит_спец)+COUNTIFS(Однолинейка!$K$3:$K$3000,C56,Однолинейка!$A$3:$A$3000,Щит_спец)),IF(A56="Модуль",IF(C56="","",COUNTIFS(Однолинейка!$AW$3:$AW$3000,"?*",Однолинейка!$AI$3:$AI$3000,C56,Однолинейка!$A$3:$A$3000,Щит_спец)),IF(A56="Клемма",IF(C56="","",IF(C56=$S$7,SUMIFS(Однолинейка!$BW$3:$BW$3000,Однолинейка!$A$3:$A$3000,Щит_спец),IF(C56=$S$8,SUMIFS(Однолинейка!$BX$3:$BX$3000,Однолинейка!$A$3:$A$3000,Щит_спец),""))),""))))</f>
        <v/>
      </c>
      <c r="O56" s="74"/>
      <c r="P56" s="38" t="str">
        <f t="shared" si="0"/>
        <v/>
      </c>
      <c r="U56" s="38" t="str">
        <f t="shared" si="1"/>
        <v/>
      </c>
      <c r="V56" s="38" t="str">
        <f t="shared" si="2"/>
        <v/>
      </c>
      <c r="W56" s="38" t="str">
        <f>IF(AND(U56&lt;&gt;"",OR($S$4="(все)",B56=$S$4),IF($S$4="(все)",COUNTIF($U$4:U56,U56),COUNTIFS($U$4:U56,U56,$B$4:B56,B56))=1),MAX($W$3:W55)+1,"")</f>
        <v/>
      </c>
      <c r="X56" s="38" t="str">
        <f t="shared" si="3"/>
        <v/>
      </c>
      <c r="Y56" s="38" t="str">
        <f>IF(AND(A56="Аппарат",C56&lt;&gt;"",OR($S$5="(все)",B56=$S$5)),MAX($Y$3:Y55)+1,"")</f>
        <v/>
      </c>
      <c r="Z56" s="38" t="str">
        <f t="shared" si="4"/>
        <v/>
      </c>
      <c r="AA56" s="38" t="str">
        <f>IF(AND(A56="Модуль",C56&lt;&gt;"",OR($S$6="(все)",B56=$S$6)),MAX($AA$3:AA55)+1,"")</f>
        <v/>
      </c>
      <c r="AB56" s="38" t="str">
        <f t="shared" si="5"/>
        <v/>
      </c>
      <c r="AC56" s="38" t="str">
        <f>IF(OR(B56="",COUNTIF($B$4:B56,B56)&gt;1),"",MAX($AC$3:AC55)+1)</f>
        <v/>
      </c>
      <c r="AD56" s="38" t="str">
        <f t="shared" si="6"/>
        <v/>
      </c>
      <c r="AE56" s="38" t="str">
        <f t="shared" si="7"/>
        <v/>
      </c>
      <c r="AF56" s="38" t="str">
        <f t="shared" si="8"/>
        <v/>
      </c>
    </row>
    <row r="57" spans="1:32" x14ac:dyDescent="0.3">
      <c r="A57" s="74" t="s">
        <v>435</v>
      </c>
      <c r="B57" s="74" t="s">
        <v>277</v>
      </c>
      <c r="C57" s="74" t="s">
        <v>310</v>
      </c>
      <c r="D57" s="74"/>
      <c r="E57" s="74"/>
      <c r="F57" s="74"/>
      <c r="G57" s="74" t="s">
        <v>309</v>
      </c>
      <c r="H57" s="74" t="s">
        <v>310</v>
      </c>
      <c r="I57" s="74"/>
      <c r="J57" s="74"/>
      <c r="K57" s="74"/>
      <c r="L57" s="74"/>
      <c r="M57" s="74" t="s">
        <v>280</v>
      </c>
      <c r="N57" s="38" t="str">
        <f>IF(OR(A57="Автомат",A57="Дифавтомат"),IF(W57="","",COUNTIFS(Однолинейка!$H$3:$H$3000,U57,Однолинейка!$A$3:$A$3000,Щит_спец)),IF(A57="Аппарат",IF(C57="","",COUNTIFS(Однолинейка!$I$3:$I$3000,C57,Однолинейка!$A$3:$A$3000,Щит_спец)+COUNTIFS(Однолинейка!$J$3:$J$3000,C57,Однолинейка!$A$3:$A$3000,Щит_спец)+COUNTIFS(Однолинейка!$K$3:$K$3000,C57,Однолинейка!$A$3:$A$3000,Щит_спец)),IF(A57="Модуль",IF(C57="","",COUNTIFS(Однолинейка!$AW$3:$AW$3000,"?*",Однолинейка!$AI$3:$AI$3000,C57,Однолинейка!$A$3:$A$3000,Щит_спец)),IF(A57="Клемма",IF(C57="","",IF(C57=$S$7,SUMIFS(Однолинейка!$BW$3:$BW$3000,Однолинейка!$A$3:$A$3000,Щит_спец),IF(C57=$S$8,SUMIFS(Однолинейка!$BX$3:$BX$3000,Однолинейка!$A$3:$A$3000,Щит_спец),""))),""))))</f>
        <v/>
      </c>
      <c r="O57" s="74"/>
      <c r="P57" s="38" t="str">
        <f t="shared" si="0"/>
        <v/>
      </c>
      <c r="U57" s="38" t="str">
        <f t="shared" si="1"/>
        <v/>
      </c>
      <c r="V57" s="38" t="str">
        <f t="shared" si="2"/>
        <v/>
      </c>
      <c r="W57" s="38" t="str">
        <f>IF(AND(U57&lt;&gt;"",OR($S$4="(все)",B57=$S$4),IF($S$4="(все)",COUNTIF($U$4:U57,U57),COUNTIFS($U$4:U57,U57,$B$4:B57,B57))=1),MAX($W$3:W56)+1,"")</f>
        <v/>
      </c>
      <c r="X57" s="38" t="str">
        <f t="shared" si="3"/>
        <v/>
      </c>
      <c r="Y57" s="38" t="str">
        <f>IF(AND(A57="Аппарат",C57&lt;&gt;"",OR($S$5="(все)",B57=$S$5)),MAX($Y$3:Y56)+1,"")</f>
        <v/>
      </c>
      <c r="Z57" s="38" t="str">
        <f t="shared" si="4"/>
        <v/>
      </c>
      <c r="AA57" s="38" t="str">
        <f>IF(AND(A57="Модуль",C57&lt;&gt;"",OR($S$6="(все)",B57=$S$6)),MAX($AA$3:AA56)+1,"")</f>
        <v/>
      </c>
      <c r="AB57" s="38" t="str">
        <f t="shared" si="5"/>
        <v/>
      </c>
      <c r="AC57" s="38" t="str">
        <f>IF(OR(B57="",COUNTIF($B$4:B57,B57)&gt;1),"",MAX($AC$3:AC56)+1)</f>
        <v/>
      </c>
      <c r="AD57" s="38" t="str">
        <f t="shared" si="6"/>
        <v/>
      </c>
      <c r="AE57" s="38" t="str">
        <f t="shared" si="7"/>
        <v/>
      </c>
      <c r="AF57" s="38" t="str">
        <f t="shared" si="8"/>
        <v/>
      </c>
    </row>
    <row r="58" spans="1:32" x14ac:dyDescent="0.3">
      <c r="A58" s="74" t="s">
        <v>435</v>
      </c>
      <c r="B58" s="74" t="s">
        <v>277</v>
      </c>
      <c r="C58" s="74" t="s">
        <v>312</v>
      </c>
      <c r="D58" s="74"/>
      <c r="E58" s="74"/>
      <c r="F58" s="74"/>
      <c r="G58" s="74" t="s">
        <v>311</v>
      </c>
      <c r="H58" s="74" t="s">
        <v>312</v>
      </c>
      <c r="I58" s="74"/>
      <c r="J58" s="74"/>
      <c r="K58" s="74"/>
      <c r="L58" s="74"/>
      <c r="M58" s="74" t="s">
        <v>280</v>
      </c>
      <c r="N58" s="38" t="str">
        <f>IF(OR(A58="Автомат",A58="Дифавтомат"),IF(W58="","",COUNTIFS(Однолинейка!$H$3:$H$3000,U58,Однолинейка!$A$3:$A$3000,Щит_спец)),IF(A58="Аппарат",IF(C58="","",COUNTIFS(Однолинейка!$I$3:$I$3000,C58,Однолинейка!$A$3:$A$3000,Щит_спец)+COUNTIFS(Однолинейка!$J$3:$J$3000,C58,Однолинейка!$A$3:$A$3000,Щит_спец)+COUNTIFS(Однолинейка!$K$3:$K$3000,C58,Однолинейка!$A$3:$A$3000,Щит_спец)),IF(A58="Модуль",IF(C58="","",COUNTIFS(Однолинейка!$AW$3:$AW$3000,"?*",Однолинейка!$AI$3:$AI$3000,C58,Однолинейка!$A$3:$A$3000,Щит_спец)),IF(A58="Клемма",IF(C58="","",IF(C58=$S$7,SUMIFS(Однолинейка!$BW$3:$BW$3000,Однолинейка!$A$3:$A$3000,Щит_спец),IF(C58=$S$8,SUMIFS(Однолинейка!$BX$3:$BX$3000,Однолинейка!$A$3:$A$3000,Щит_спец),""))),""))))</f>
        <v/>
      </c>
      <c r="O58" s="74"/>
      <c r="P58" s="38" t="str">
        <f t="shared" si="0"/>
        <v/>
      </c>
      <c r="U58" s="38" t="str">
        <f t="shared" si="1"/>
        <v/>
      </c>
      <c r="V58" s="38" t="str">
        <f t="shared" si="2"/>
        <v/>
      </c>
      <c r="W58" s="38" t="str">
        <f>IF(AND(U58&lt;&gt;"",OR($S$4="(все)",B58=$S$4),IF($S$4="(все)",COUNTIF($U$4:U58,U58),COUNTIFS($U$4:U58,U58,$B$4:B58,B58))=1),MAX($W$3:W57)+1,"")</f>
        <v/>
      </c>
      <c r="X58" s="38" t="str">
        <f t="shared" si="3"/>
        <v/>
      </c>
      <c r="Y58" s="38" t="str">
        <f>IF(AND(A58="Аппарат",C58&lt;&gt;"",OR($S$5="(все)",B58=$S$5)),MAX($Y$3:Y57)+1,"")</f>
        <v/>
      </c>
      <c r="Z58" s="38" t="str">
        <f t="shared" si="4"/>
        <v/>
      </c>
      <c r="AA58" s="38" t="str">
        <f>IF(AND(A58="Модуль",C58&lt;&gt;"",OR($S$6="(все)",B58=$S$6)),MAX($AA$3:AA57)+1,"")</f>
        <v/>
      </c>
      <c r="AB58" s="38" t="str">
        <f t="shared" si="5"/>
        <v/>
      </c>
      <c r="AC58" s="38" t="str">
        <f>IF(OR(B58="",COUNTIF($B$4:B58,B58)&gt;1),"",MAX($AC$3:AC57)+1)</f>
        <v/>
      </c>
      <c r="AD58" s="38" t="str">
        <f t="shared" si="6"/>
        <v/>
      </c>
      <c r="AE58" s="38" t="str">
        <f t="shared" si="7"/>
        <v/>
      </c>
      <c r="AF58" s="38" t="str">
        <f t="shared" si="8"/>
        <v/>
      </c>
    </row>
    <row r="59" spans="1:32" x14ac:dyDescent="0.3">
      <c r="A59" s="74" t="s">
        <v>435</v>
      </c>
      <c r="B59" s="74" t="s">
        <v>277</v>
      </c>
      <c r="C59" s="74" t="s">
        <v>314</v>
      </c>
      <c r="D59" s="74"/>
      <c r="E59" s="74"/>
      <c r="F59" s="74"/>
      <c r="G59" s="74" t="s">
        <v>313</v>
      </c>
      <c r="H59" s="74" t="s">
        <v>314</v>
      </c>
      <c r="I59" s="74"/>
      <c r="J59" s="74"/>
      <c r="K59" s="74"/>
      <c r="L59" s="74"/>
      <c r="M59" s="74" t="s">
        <v>280</v>
      </c>
      <c r="N59" s="38" t="str">
        <f>IF(OR(A59="Автомат",A59="Дифавтомат"),IF(W59="","",COUNTIFS(Однолинейка!$H$3:$H$3000,U59,Однолинейка!$A$3:$A$3000,Щит_спец)),IF(A59="Аппарат",IF(C59="","",COUNTIFS(Однолинейка!$I$3:$I$3000,C59,Однолинейка!$A$3:$A$3000,Щит_спец)+COUNTIFS(Однолинейка!$J$3:$J$3000,C59,Однолинейка!$A$3:$A$3000,Щит_спец)+COUNTIFS(Однолинейка!$K$3:$K$3000,C59,Однолинейка!$A$3:$A$3000,Щит_спец)),IF(A59="Модуль",IF(C59="","",COUNTIFS(Однолинейка!$AW$3:$AW$3000,"?*",Однолинейка!$AI$3:$AI$3000,C59,Однолинейка!$A$3:$A$3000,Щит_спец)),IF(A59="Клемма",IF(C59="","",IF(C59=$S$7,SUMIFS(Однолинейка!$BW$3:$BW$3000,Однолинейка!$A$3:$A$3000,Щит_спец),IF(C59=$S$8,SUMIFS(Однолинейка!$BX$3:$BX$3000,Однолинейка!$A$3:$A$3000,Щит_спец),""))),""))))</f>
        <v/>
      </c>
      <c r="O59" s="74"/>
      <c r="P59" s="38" t="str">
        <f t="shared" si="0"/>
        <v/>
      </c>
      <c r="U59" s="38" t="str">
        <f t="shared" si="1"/>
        <v/>
      </c>
      <c r="V59" s="38" t="str">
        <f t="shared" si="2"/>
        <v/>
      </c>
      <c r="W59" s="38" t="str">
        <f>IF(AND(U59&lt;&gt;"",OR($S$4="(все)",B59=$S$4),IF($S$4="(все)",COUNTIF($U$4:U59,U59),COUNTIFS($U$4:U59,U59,$B$4:B59,B59))=1),MAX($W$3:W58)+1,"")</f>
        <v/>
      </c>
      <c r="X59" s="38" t="str">
        <f t="shared" si="3"/>
        <v/>
      </c>
      <c r="Y59" s="38" t="str">
        <f>IF(AND(A59="Аппарат",C59&lt;&gt;"",OR($S$5="(все)",B59=$S$5)),MAX($Y$3:Y58)+1,"")</f>
        <v/>
      </c>
      <c r="Z59" s="38" t="str">
        <f t="shared" si="4"/>
        <v/>
      </c>
      <c r="AA59" s="38" t="str">
        <f>IF(AND(A59="Модуль",C59&lt;&gt;"",OR($S$6="(все)",B59=$S$6)),MAX($AA$3:AA58)+1,"")</f>
        <v/>
      </c>
      <c r="AB59" s="38" t="str">
        <f t="shared" si="5"/>
        <v/>
      </c>
      <c r="AC59" s="38" t="str">
        <f>IF(OR(B59="",COUNTIF($B$4:B59,B59)&gt;1),"",MAX($AC$3:AC58)+1)</f>
        <v/>
      </c>
      <c r="AD59" s="38" t="str">
        <f t="shared" si="6"/>
        <v/>
      </c>
      <c r="AE59" s="38" t="str">
        <f t="shared" si="7"/>
        <v/>
      </c>
      <c r="AF59" s="38" t="str">
        <f t="shared" si="8"/>
        <v/>
      </c>
    </row>
    <row r="60" spans="1:32" x14ac:dyDescent="0.3">
      <c r="A60" s="74" t="s">
        <v>435</v>
      </c>
      <c r="B60" s="74" t="s">
        <v>277</v>
      </c>
      <c r="C60" s="74" t="s">
        <v>384</v>
      </c>
      <c r="D60" s="74"/>
      <c r="E60" s="74"/>
      <c r="F60" s="74"/>
      <c r="G60" s="74" t="s">
        <v>383</v>
      </c>
      <c r="H60" s="74" t="s">
        <v>384</v>
      </c>
      <c r="I60" s="74"/>
      <c r="J60" s="74"/>
      <c r="K60" s="74"/>
      <c r="L60" s="74"/>
      <c r="M60" s="74" t="s">
        <v>280</v>
      </c>
      <c r="N60" s="38" t="str">
        <f>IF(OR(A60="Автомат",A60="Дифавтомат"),IF(W60="","",COUNTIFS(Однолинейка!$H$3:$H$3000,U60,Однолинейка!$A$3:$A$3000,Щит_спец)),IF(A60="Аппарат",IF(C60="","",COUNTIFS(Однолинейка!$I$3:$I$3000,C60,Однолинейка!$A$3:$A$3000,Щит_спец)+COUNTIFS(Однолинейка!$J$3:$J$3000,C60,Однолинейка!$A$3:$A$3000,Щит_спец)+COUNTIFS(Однолинейка!$K$3:$K$3000,C60,Однолинейка!$A$3:$A$3000,Щит_спец)),IF(A60="Модуль",IF(C60="","",COUNTIFS(Однолинейка!$AW$3:$AW$3000,"?*",Однолинейка!$AI$3:$AI$3000,C60,Однолинейка!$A$3:$A$3000,Щит_спец)),IF(A60="Клемма",IF(C60="","",IF(C60=$S$7,SUMIFS(Однолинейка!$BW$3:$BW$3000,Однолинейка!$A$3:$A$3000,Щит_спец),IF(C60=$S$8,SUMIFS(Однолинейка!$BX$3:$BX$3000,Однолинейка!$A$3:$A$3000,Щит_спец),""))),""))))</f>
        <v/>
      </c>
      <c r="O60" s="74"/>
      <c r="P60" s="38" t="str">
        <f t="shared" si="0"/>
        <v/>
      </c>
      <c r="U60" s="38" t="str">
        <f t="shared" si="1"/>
        <v/>
      </c>
      <c r="V60" s="38" t="str">
        <f t="shared" si="2"/>
        <v/>
      </c>
      <c r="W60" s="38" t="str">
        <f>IF(AND(U60&lt;&gt;"",OR($S$4="(все)",B60=$S$4),IF($S$4="(все)",COUNTIF($U$4:U60,U60),COUNTIFS($U$4:U60,U60,$B$4:B60,B60))=1),MAX($W$3:W59)+1,"")</f>
        <v/>
      </c>
      <c r="X60" s="38" t="str">
        <f t="shared" si="3"/>
        <v/>
      </c>
      <c r="Y60" s="38" t="str">
        <f>IF(AND(A60="Аппарат",C60&lt;&gt;"",OR($S$5="(все)",B60=$S$5)),MAX($Y$3:Y59)+1,"")</f>
        <v/>
      </c>
      <c r="Z60" s="38" t="str">
        <f t="shared" si="4"/>
        <v/>
      </c>
      <c r="AA60" s="38" t="str">
        <f>IF(AND(A60="Модуль",C60&lt;&gt;"",OR($S$6="(все)",B60=$S$6)),MAX($AA$3:AA59)+1,"")</f>
        <v/>
      </c>
      <c r="AB60" s="38" t="str">
        <f t="shared" si="5"/>
        <v/>
      </c>
      <c r="AC60" s="38" t="str">
        <f>IF(OR(B60="",COUNTIF($B$4:B60,B60)&gt;1),"",MAX($AC$3:AC59)+1)</f>
        <v/>
      </c>
      <c r="AD60" s="38" t="str">
        <f t="shared" si="6"/>
        <v/>
      </c>
      <c r="AE60" s="38" t="str">
        <f t="shared" si="7"/>
        <v/>
      </c>
      <c r="AF60" s="38" t="str">
        <f t="shared" si="8"/>
        <v/>
      </c>
    </row>
    <row r="61" spans="1:32" x14ac:dyDescent="0.3">
      <c r="A61" s="74" t="s">
        <v>435</v>
      </c>
      <c r="B61" s="74" t="s">
        <v>277</v>
      </c>
      <c r="C61" s="74" t="s">
        <v>386</v>
      </c>
      <c r="D61" s="74"/>
      <c r="E61" s="74"/>
      <c r="F61" s="74"/>
      <c r="G61" s="74" t="s">
        <v>385</v>
      </c>
      <c r="H61" s="74" t="s">
        <v>386</v>
      </c>
      <c r="I61" s="74"/>
      <c r="J61" s="74"/>
      <c r="K61" s="74"/>
      <c r="L61" s="74"/>
      <c r="M61" s="74" t="s">
        <v>280</v>
      </c>
      <c r="N61" s="38" t="str">
        <f>IF(OR(A61="Автомат",A61="Дифавтомат"),IF(W61="","",COUNTIFS(Однолинейка!$H$3:$H$3000,U61,Однолинейка!$A$3:$A$3000,Щит_спец)),IF(A61="Аппарат",IF(C61="","",COUNTIFS(Однолинейка!$I$3:$I$3000,C61,Однолинейка!$A$3:$A$3000,Щит_спец)+COUNTIFS(Однолинейка!$J$3:$J$3000,C61,Однолинейка!$A$3:$A$3000,Щит_спец)+COUNTIFS(Однолинейка!$K$3:$K$3000,C61,Однолинейка!$A$3:$A$3000,Щит_спец)),IF(A61="Модуль",IF(C61="","",COUNTIFS(Однолинейка!$AW$3:$AW$3000,"?*",Однолинейка!$AI$3:$AI$3000,C61,Однолинейка!$A$3:$A$3000,Щит_спец)),IF(A61="Клемма",IF(C61="","",IF(C61=$S$7,SUMIFS(Однолинейка!$BW$3:$BW$3000,Однолинейка!$A$3:$A$3000,Щит_спец),IF(C61=$S$8,SUMIFS(Однолинейка!$BX$3:$BX$3000,Однолинейка!$A$3:$A$3000,Щит_спец),""))),""))))</f>
        <v/>
      </c>
      <c r="O61" s="74"/>
      <c r="P61" s="38" t="str">
        <f t="shared" si="0"/>
        <v/>
      </c>
      <c r="U61" s="38" t="str">
        <f t="shared" si="1"/>
        <v/>
      </c>
      <c r="V61" s="38" t="str">
        <f t="shared" si="2"/>
        <v/>
      </c>
      <c r="W61" s="38" t="str">
        <f>IF(AND(U61&lt;&gt;"",OR($S$4="(все)",B61=$S$4),IF($S$4="(все)",COUNTIF($U$4:U61,U61),COUNTIFS($U$4:U61,U61,$B$4:B61,B61))=1),MAX($W$3:W60)+1,"")</f>
        <v/>
      </c>
      <c r="X61" s="38" t="str">
        <f t="shared" si="3"/>
        <v/>
      </c>
      <c r="Y61" s="38" t="str">
        <f>IF(AND(A61="Аппарат",C61&lt;&gt;"",OR($S$5="(все)",B61=$S$5)),MAX($Y$3:Y60)+1,"")</f>
        <v/>
      </c>
      <c r="Z61" s="38" t="str">
        <f t="shared" si="4"/>
        <v/>
      </c>
      <c r="AA61" s="38" t="str">
        <f>IF(AND(A61="Модуль",C61&lt;&gt;"",OR($S$6="(все)",B61=$S$6)),MAX($AA$3:AA60)+1,"")</f>
        <v/>
      </c>
      <c r="AB61" s="38" t="str">
        <f t="shared" si="5"/>
        <v/>
      </c>
      <c r="AC61" s="38" t="str">
        <f>IF(OR(B61="",COUNTIF($B$4:B61,B61)&gt;1),"",MAX($AC$3:AC60)+1)</f>
        <v/>
      </c>
      <c r="AD61" s="38" t="str">
        <f t="shared" si="6"/>
        <v/>
      </c>
      <c r="AE61" s="38" t="str">
        <f t="shared" si="7"/>
        <v/>
      </c>
      <c r="AF61" s="38" t="str">
        <f t="shared" si="8"/>
        <v/>
      </c>
    </row>
    <row r="62" spans="1:32" x14ac:dyDescent="0.3">
      <c r="A62" s="74" t="s">
        <v>435</v>
      </c>
      <c r="B62" s="74" t="s">
        <v>277</v>
      </c>
      <c r="C62" s="74" t="s">
        <v>388</v>
      </c>
      <c r="D62" s="74"/>
      <c r="E62" s="74"/>
      <c r="F62" s="74"/>
      <c r="G62" s="74" t="s">
        <v>387</v>
      </c>
      <c r="H62" s="74" t="s">
        <v>388</v>
      </c>
      <c r="I62" s="74"/>
      <c r="J62" s="74"/>
      <c r="K62" s="74"/>
      <c r="L62" s="74"/>
      <c r="M62" s="74" t="s">
        <v>280</v>
      </c>
      <c r="N62" s="38" t="str">
        <f>IF(OR(A62="Автомат",A62="Дифавтомат"),IF(W62="","",COUNTIFS(Однолинейка!$H$3:$H$3000,U62,Однолинейка!$A$3:$A$3000,Щит_спец)),IF(A62="Аппарат",IF(C62="","",COUNTIFS(Однолинейка!$I$3:$I$3000,C62,Однолинейка!$A$3:$A$3000,Щит_спец)+COUNTIFS(Однолинейка!$J$3:$J$3000,C62,Однолинейка!$A$3:$A$3000,Щит_спец)+COUNTIFS(Однолинейка!$K$3:$K$3000,C62,Однолинейка!$A$3:$A$3000,Щит_спец)),IF(A62="Модуль",IF(C62="","",COUNTIFS(Однолинейка!$AW$3:$AW$3000,"?*",Однолинейка!$AI$3:$AI$3000,C62,Однолинейка!$A$3:$A$3000,Щит_спец)),IF(A62="Клемма",IF(C62="","",IF(C62=$S$7,SUMIFS(Однолинейка!$BW$3:$BW$3000,Однолинейка!$A$3:$A$3000,Щит_спец),IF(C62=$S$8,SUMIFS(Однолинейка!$BX$3:$BX$3000,Однолинейка!$A$3:$A$3000,Щит_спец),""))),""))))</f>
        <v/>
      </c>
      <c r="O62" s="74"/>
      <c r="P62" s="38" t="str">
        <f t="shared" si="0"/>
        <v/>
      </c>
      <c r="U62" s="38" t="str">
        <f t="shared" si="1"/>
        <v/>
      </c>
      <c r="V62" s="38" t="str">
        <f t="shared" si="2"/>
        <v/>
      </c>
      <c r="W62" s="38" t="str">
        <f>IF(AND(U62&lt;&gt;"",OR($S$4="(все)",B62=$S$4),IF($S$4="(все)",COUNTIF($U$4:U62,U62),COUNTIFS($U$4:U62,U62,$B$4:B62,B62))=1),MAX($W$3:W61)+1,"")</f>
        <v/>
      </c>
      <c r="X62" s="38" t="str">
        <f t="shared" si="3"/>
        <v/>
      </c>
      <c r="Y62" s="38" t="str">
        <f>IF(AND(A62="Аппарат",C62&lt;&gt;"",OR($S$5="(все)",B62=$S$5)),MAX($Y$3:Y61)+1,"")</f>
        <v/>
      </c>
      <c r="Z62" s="38" t="str">
        <f t="shared" si="4"/>
        <v/>
      </c>
      <c r="AA62" s="38" t="str">
        <f>IF(AND(A62="Модуль",C62&lt;&gt;"",OR($S$6="(все)",B62=$S$6)),MAX($AA$3:AA61)+1,"")</f>
        <v/>
      </c>
      <c r="AB62" s="38" t="str">
        <f t="shared" si="5"/>
        <v/>
      </c>
      <c r="AC62" s="38" t="str">
        <f>IF(OR(B62="",COUNTIF($B$4:B62,B62)&gt;1),"",MAX($AC$3:AC61)+1)</f>
        <v/>
      </c>
      <c r="AD62" s="38" t="str">
        <f t="shared" si="6"/>
        <v/>
      </c>
      <c r="AE62" s="38" t="str">
        <f t="shared" si="7"/>
        <v/>
      </c>
      <c r="AF62" s="38" t="str">
        <f t="shared" si="8"/>
        <v/>
      </c>
    </row>
    <row r="63" spans="1:32" x14ac:dyDescent="0.3">
      <c r="A63" s="74" t="s">
        <v>435</v>
      </c>
      <c r="B63" s="74" t="s">
        <v>277</v>
      </c>
      <c r="C63" s="74" t="s">
        <v>391</v>
      </c>
      <c r="D63" s="74"/>
      <c r="E63" s="74"/>
      <c r="F63" s="74"/>
      <c r="G63" s="74" t="s">
        <v>390</v>
      </c>
      <c r="H63" s="74" t="s">
        <v>391</v>
      </c>
      <c r="I63" s="74"/>
      <c r="J63" s="74"/>
      <c r="K63" s="74"/>
      <c r="L63" s="74"/>
      <c r="M63" s="74" t="s">
        <v>280</v>
      </c>
      <c r="N63" s="38" t="str">
        <f>IF(OR(A63="Автомат",A63="Дифавтомат"),IF(W63="","",COUNTIFS(Однолинейка!$H$3:$H$3000,U63,Однолинейка!$A$3:$A$3000,Щит_спец)),IF(A63="Аппарат",IF(C63="","",COUNTIFS(Однолинейка!$I$3:$I$3000,C63,Однолинейка!$A$3:$A$3000,Щит_спец)+COUNTIFS(Однолинейка!$J$3:$J$3000,C63,Однолинейка!$A$3:$A$3000,Щит_спец)+COUNTIFS(Однолинейка!$K$3:$K$3000,C63,Однолинейка!$A$3:$A$3000,Щит_спец)),IF(A63="Модуль",IF(C63="","",COUNTIFS(Однолинейка!$AW$3:$AW$3000,"?*",Однолинейка!$AI$3:$AI$3000,C63,Однолинейка!$A$3:$A$3000,Щит_спец)),IF(A63="Клемма",IF(C63="","",IF(C63=$S$7,SUMIFS(Однолинейка!$BW$3:$BW$3000,Однолинейка!$A$3:$A$3000,Щит_спец),IF(C63=$S$8,SUMIFS(Однолинейка!$BX$3:$BX$3000,Однолинейка!$A$3:$A$3000,Щит_спец),""))),""))))</f>
        <v/>
      </c>
      <c r="O63" s="74"/>
      <c r="P63" s="38" t="str">
        <f t="shared" si="0"/>
        <v/>
      </c>
      <c r="U63" s="38" t="str">
        <f t="shared" si="1"/>
        <v/>
      </c>
      <c r="V63" s="38" t="str">
        <f t="shared" si="2"/>
        <v/>
      </c>
      <c r="W63" s="38" t="str">
        <f>IF(AND(U63&lt;&gt;"",OR($S$4="(все)",B63=$S$4),IF($S$4="(все)",COUNTIF($U$4:U63,U63),COUNTIFS($U$4:U63,U63,$B$4:B63,B63))=1),MAX($W$3:W62)+1,"")</f>
        <v/>
      </c>
      <c r="X63" s="38" t="str">
        <f t="shared" si="3"/>
        <v/>
      </c>
      <c r="Y63" s="38" t="str">
        <f>IF(AND(A63="Аппарат",C63&lt;&gt;"",OR($S$5="(все)",B63=$S$5)),MAX($Y$3:Y62)+1,"")</f>
        <v/>
      </c>
      <c r="Z63" s="38" t="str">
        <f t="shared" si="4"/>
        <v/>
      </c>
      <c r="AA63" s="38" t="str">
        <f>IF(AND(A63="Модуль",C63&lt;&gt;"",OR($S$6="(все)",B63=$S$6)),MAX($AA$3:AA62)+1,"")</f>
        <v/>
      </c>
      <c r="AB63" s="38" t="str">
        <f t="shared" si="5"/>
        <v/>
      </c>
      <c r="AC63" s="38" t="str">
        <f>IF(OR(B63="",COUNTIF($B$4:B63,B63)&gt;1),"",MAX($AC$3:AC62)+1)</f>
        <v/>
      </c>
      <c r="AD63" s="38" t="str">
        <f t="shared" si="6"/>
        <v/>
      </c>
      <c r="AE63" s="38" t="str">
        <f t="shared" si="7"/>
        <v/>
      </c>
      <c r="AF63" s="38" t="str">
        <f t="shared" si="8"/>
        <v/>
      </c>
    </row>
    <row r="64" spans="1:32" x14ac:dyDescent="0.3">
      <c r="A64" s="74" t="s">
        <v>435</v>
      </c>
      <c r="B64" s="74" t="s">
        <v>277</v>
      </c>
      <c r="C64" s="74" t="s">
        <v>393</v>
      </c>
      <c r="D64" s="74"/>
      <c r="E64" s="74"/>
      <c r="F64" s="74"/>
      <c r="G64" s="74" t="s">
        <v>392</v>
      </c>
      <c r="H64" s="74" t="s">
        <v>393</v>
      </c>
      <c r="I64" s="74"/>
      <c r="J64" s="74"/>
      <c r="K64" s="74"/>
      <c r="L64" s="74"/>
      <c r="M64" s="74" t="s">
        <v>280</v>
      </c>
      <c r="N64" s="38" t="str">
        <f>IF(OR(A64="Автомат",A64="Дифавтомат"),IF(W64="","",COUNTIFS(Однолинейка!$H$3:$H$3000,U64,Однолинейка!$A$3:$A$3000,Щит_спец)),IF(A64="Аппарат",IF(C64="","",COUNTIFS(Однолинейка!$I$3:$I$3000,C64,Однолинейка!$A$3:$A$3000,Щит_спец)+COUNTIFS(Однолинейка!$J$3:$J$3000,C64,Однолинейка!$A$3:$A$3000,Щит_спец)+COUNTIFS(Однолинейка!$K$3:$K$3000,C64,Однолинейка!$A$3:$A$3000,Щит_спец)),IF(A64="Модуль",IF(C64="","",COUNTIFS(Однолинейка!$AW$3:$AW$3000,"?*",Однолинейка!$AI$3:$AI$3000,C64,Однолинейка!$A$3:$A$3000,Щит_спец)),IF(A64="Клемма",IF(C64="","",IF(C64=$S$7,SUMIFS(Однолинейка!$BW$3:$BW$3000,Однолинейка!$A$3:$A$3000,Щит_спец),IF(C64=$S$8,SUMIFS(Однолинейка!$BX$3:$BX$3000,Однолинейка!$A$3:$A$3000,Щит_спец),""))),""))))</f>
        <v/>
      </c>
      <c r="O64" s="74"/>
      <c r="P64" s="38" t="str">
        <f t="shared" si="0"/>
        <v/>
      </c>
      <c r="U64" s="38" t="str">
        <f t="shared" si="1"/>
        <v/>
      </c>
      <c r="V64" s="38" t="str">
        <f t="shared" si="2"/>
        <v/>
      </c>
      <c r="W64" s="38" t="str">
        <f>IF(AND(U64&lt;&gt;"",OR($S$4="(все)",B64=$S$4),IF($S$4="(все)",COUNTIF($U$4:U64,U64),COUNTIFS($U$4:U64,U64,$B$4:B64,B64))=1),MAX($W$3:W63)+1,"")</f>
        <v/>
      </c>
      <c r="X64" s="38" t="str">
        <f t="shared" si="3"/>
        <v/>
      </c>
      <c r="Y64" s="38" t="str">
        <f>IF(AND(A64="Аппарат",C64&lt;&gt;"",OR($S$5="(все)",B64=$S$5)),MAX($Y$3:Y63)+1,"")</f>
        <v/>
      </c>
      <c r="Z64" s="38" t="str">
        <f t="shared" si="4"/>
        <v/>
      </c>
      <c r="AA64" s="38" t="str">
        <f>IF(AND(A64="Модуль",C64&lt;&gt;"",OR($S$6="(все)",B64=$S$6)),MAX($AA$3:AA63)+1,"")</f>
        <v/>
      </c>
      <c r="AB64" s="38" t="str">
        <f t="shared" si="5"/>
        <v/>
      </c>
      <c r="AC64" s="38" t="str">
        <f>IF(OR(B64="",COUNTIF($B$4:B64,B64)&gt;1),"",MAX($AC$3:AC63)+1)</f>
        <v/>
      </c>
      <c r="AD64" s="38" t="str">
        <f t="shared" si="6"/>
        <v/>
      </c>
      <c r="AE64" s="38" t="str">
        <f t="shared" si="7"/>
        <v/>
      </c>
      <c r="AF64" s="38" t="str">
        <f t="shared" si="8"/>
        <v/>
      </c>
    </row>
    <row r="65" spans="1:32" x14ac:dyDescent="0.3">
      <c r="A65" s="74" t="s">
        <v>435</v>
      </c>
      <c r="B65" s="74" t="s">
        <v>277</v>
      </c>
      <c r="C65" s="74" t="s">
        <v>395</v>
      </c>
      <c r="D65" s="74"/>
      <c r="E65" s="74"/>
      <c r="F65" s="74"/>
      <c r="G65" s="74" t="s">
        <v>394</v>
      </c>
      <c r="H65" s="74" t="s">
        <v>395</v>
      </c>
      <c r="I65" s="74"/>
      <c r="J65" s="74"/>
      <c r="K65" s="74"/>
      <c r="L65" s="74"/>
      <c r="M65" s="74" t="s">
        <v>280</v>
      </c>
      <c r="N65" s="38" t="str">
        <f>IF(OR(A65="Автомат",A65="Дифавтомат"),IF(W65="","",COUNTIFS(Однолинейка!$H$3:$H$3000,U65,Однолинейка!$A$3:$A$3000,Щит_спец)),IF(A65="Аппарат",IF(C65="","",COUNTIFS(Однолинейка!$I$3:$I$3000,C65,Однолинейка!$A$3:$A$3000,Щит_спец)+COUNTIFS(Однолинейка!$J$3:$J$3000,C65,Однолинейка!$A$3:$A$3000,Щит_спец)+COUNTIFS(Однолинейка!$K$3:$K$3000,C65,Однолинейка!$A$3:$A$3000,Щит_спец)),IF(A65="Модуль",IF(C65="","",COUNTIFS(Однолинейка!$AW$3:$AW$3000,"?*",Однолинейка!$AI$3:$AI$3000,C65,Однолинейка!$A$3:$A$3000,Щит_спец)),IF(A65="Клемма",IF(C65="","",IF(C65=$S$7,SUMIFS(Однолинейка!$BW$3:$BW$3000,Однолинейка!$A$3:$A$3000,Щит_спец),IF(C65=$S$8,SUMIFS(Однолинейка!$BX$3:$BX$3000,Однолинейка!$A$3:$A$3000,Щит_спец),""))),""))))</f>
        <v/>
      </c>
      <c r="O65" s="74"/>
      <c r="P65" s="38" t="str">
        <f t="shared" si="0"/>
        <v/>
      </c>
      <c r="U65" s="38" t="str">
        <f t="shared" si="1"/>
        <v/>
      </c>
      <c r="V65" s="38" t="str">
        <f t="shared" si="2"/>
        <v/>
      </c>
      <c r="W65" s="38" t="str">
        <f>IF(AND(U65&lt;&gt;"",OR($S$4="(все)",B65=$S$4),IF($S$4="(все)",COUNTIF($U$4:U65,U65),COUNTIFS($U$4:U65,U65,$B$4:B65,B65))=1),MAX($W$3:W64)+1,"")</f>
        <v/>
      </c>
      <c r="X65" s="38" t="str">
        <f t="shared" si="3"/>
        <v/>
      </c>
      <c r="Y65" s="38" t="str">
        <f>IF(AND(A65="Аппарат",C65&lt;&gt;"",OR($S$5="(все)",B65=$S$5)),MAX($Y$3:Y64)+1,"")</f>
        <v/>
      </c>
      <c r="Z65" s="38" t="str">
        <f t="shared" si="4"/>
        <v/>
      </c>
      <c r="AA65" s="38" t="str">
        <f>IF(AND(A65="Модуль",C65&lt;&gt;"",OR($S$6="(все)",B65=$S$6)),MAX($AA$3:AA64)+1,"")</f>
        <v/>
      </c>
      <c r="AB65" s="38" t="str">
        <f t="shared" si="5"/>
        <v/>
      </c>
      <c r="AC65" s="38" t="str">
        <f>IF(OR(B65="",COUNTIF($B$4:B65,B65)&gt;1),"",MAX($AC$3:AC64)+1)</f>
        <v/>
      </c>
      <c r="AD65" s="38" t="str">
        <f t="shared" si="6"/>
        <v/>
      </c>
      <c r="AE65" s="38" t="str">
        <f t="shared" si="7"/>
        <v/>
      </c>
      <c r="AF65" s="38" t="str">
        <f t="shared" si="8"/>
        <v/>
      </c>
    </row>
    <row r="66" spans="1:32" x14ac:dyDescent="0.3">
      <c r="A66" s="74" t="s">
        <v>435</v>
      </c>
      <c r="B66" s="74" t="s">
        <v>277</v>
      </c>
      <c r="C66" s="74" t="s">
        <v>319</v>
      </c>
      <c r="D66" s="74"/>
      <c r="E66" s="74"/>
      <c r="F66" s="74"/>
      <c r="G66" s="74" t="s">
        <v>318</v>
      </c>
      <c r="H66" s="74" t="s">
        <v>319</v>
      </c>
      <c r="I66" s="74"/>
      <c r="J66" s="74"/>
      <c r="K66" s="74"/>
      <c r="L66" s="74"/>
      <c r="M66" s="74" t="s">
        <v>280</v>
      </c>
      <c r="N66" s="38" t="str">
        <f>IF(OR(A66="Автомат",A66="Дифавтомат"),IF(W66="","",COUNTIFS(Однолинейка!$H$3:$H$3000,U66,Однолинейка!$A$3:$A$3000,Щит_спец)),IF(A66="Аппарат",IF(C66="","",COUNTIFS(Однолинейка!$I$3:$I$3000,C66,Однолинейка!$A$3:$A$3000,Щит_спец)+COUNTIFS(Однолинейка!$J$3:$J$3000,C66,Однолинейка!$A$3:$A$3000,Щит_спец)+COUNTIFS(Однолинейка!$K$3:$K$3000,C66,Однолинейка!$A$3:$A$3000,Щит_спец)),IF(A66="Модуль",IF(C66="","",COUNTIFS(Однолинейка!$AW$3:$AW$3000,"?*",Однолинейка!$AI$3:$AI$3000,C66,Однолинейка!$A$3:$A$3000,Щит_спец)),IF(A66="Клемма",IF(C66="","",IF(C66=$S$7,SUMIFS(Однолинейка!$BW$3:$BW$3000,Однолинейка!$A$3:$A$3000,Щит_спец),IF(C66=$S$8,SUMIFS(Однолинейка!$BX$3:$BX$3000,Однолинейка!$A$3:$A$3000,Щит_спец),""))),""))))</f>
        <v/>
      </c>
      <c r="O66" s="74"/>
      <c r="P66" s="38" t="str">
        <f t="shared" si="0"/>
        <v/>
      </c>
      <c r="U66" s="38" t="str">
        <f t="shared" si="1"/>
        <v/>
      </c>
      <c r="V66" s="38" t="str">
        <f t="shared" si="2"/>
        <v/>
      </c>
      <c r="W66" s="38" t="str">
        <f>IF(AND(U66&lt;&gt;"",OR($S$4="(все)",B66=$S$4),IF($S$4="(все)",COUNTIF($U$4:U66,U66),COUNTIFS($U$4:U66,U66,$B$4:B66,B66))=1),MAX($W$3:W65)+1,"")</f>
        <v/>
      </c>
      <c r="X66" s="38" t="str">
        <f t="shared" si="3"/>
        <v/>
      </c>
      <c r="Y66" s="38" t="str">
        <f>IF(AND(A66="Аппарат",C66&lt;&gt;"",OR($S$5="(все)",B66=$S$5)),MAX($Y$3:Y65)+1,"")</f>
        <v/>
      </c>
      <c r="Z66" s="38" t="str">
        <f t="shared" si="4"/>
        <v/>
      </c>
      <c r="AA66" s="38" t="str">
        <f>IF(AND(A66="Модуль",C66&lt;&gt;"",OR($S$6="(все)",B66=$S$6)),MAX($AA$3:AA65)+1,"")</f>
        <v/>
      </c>
      <c r="AB66" s="38" t="str">
        <f t="shared" si="5"/>
        <v/>
      </c>
      <c r="AC66" s="38" t="str">
        <f>IF(OR(B66="",COUNTIF($B$4:B66,B66)&gt;1),"",MAX($AC$3:AC65)+1)</f>
        <v/>
      </c>
      <c r="AD66" s="38" t="str">
        <f t="shared" si="6"/>
        <v/>
      </c>
      <c r="AE66" s="38" t="str">
        <f t="shared" si="7"/>
        <v/>
      </c>
      <c r="AF66" s="38" t="str">
        <f t="shared" si="8"/>
        <v/>
      </c>
    </row>
    <row r="67" spans="1:32" x14ac:dyDescent="0.3">
      <c r="A67" s="74" t="s">
        <v>435</v>
      </c>
      <c r="B67" s="74" t="s">
        <v>277</v>
      </c>
      <c r="C67" s="74" t="s">
        <v>321</v>
      </c>
      <c r="D67" s="74"/>
      <c r="E67" s="74"/>
      <c r="F67" s="74"/>
      <c r="G67" s="74" t="s">
        <v>320</v>
      </c>
      <c r="H67" s="74" t="s">
        <v>321</v>
      </c>
      <c r="I67" s="74"/>
      <c r="J67" s="74"/>
      <c r="K67" s="74"/>
      <c r="L67" s="74"/>
      <c r="M67" s="74" t="s">
        <v>280</v>
      </c>
      <c r="N67" s="38" t="str">
        <f>IF(OR(A67="Автомат",A67="Дифавтомат"),IF(W67="","",COUNTIFS(Однолинейка!$H$3:$H$3000,U67,Однолинейка!$A$3:$A$3000,Щит_спец)),IF(A67="Аппарат",IF(C67="","",COUNTIFS(Однолинейка!$I$3:$I$3000,C67,Однолинейка!$A$3:$A$3000,Щит_спец)+COUNTIFS(Однолинейка!$J$3:$J$3000,C67,Однолинейка!$A$3:$A$3000,Щит_спец)+COUNTIFS(Однолинейка!$K$3:$K$3000,C67,Однолинейка!$A$3:$A$3000,Щит_спец)),IF(A67="Модуль",IF(C67="","",COUNTIFS(Однолинейка!$AW$3:$AW$3000,"?*",Однолинейка!$AI$3:$AI$3000,C67,Однолинейка!$A$3:$A$3000,Щит_спец)),IF(A67="Клемма",IF(C67="","",IF(C67=$S$7,SUMIFS(Однолинейка!$BW$3:$BW$3000,Однолинейка!$A$3:$A$3000,Щит_спец),IF(C67=$S$8,SUMIFS(Однолинейка!$BX$3:$BX$3000,Однолинейка!$A$3:$A$3000,Щит_спец),""))),""))))</f>
        <v/>
      </c>
      <c r="O67" s="74"/>
      <c r="P67" s="38" t="str">
        <f t="shared" si="0"/>
        <v/>
      </c>
      <c r="U67" s="38" t="str">
        <f t="shared" si="1"/>
        <v/>
      </c>
      <c r="V67" s="38" t="str">
        <f t="shared" si="2"/>
        <v/>
      </c>
      <c r="W67" s="38" t="str">
        <f>IF(AND(U67&lt;&gt;"",OR($S$4="(все)",B67=$S$4),IF($S$4="(все)",COUNTIF($U$4:U67,U67),COUNTIFS($U$4:U67,U67,$B$4:B67,B67))=1),MAX($W$3:W66)+1,"")</f>
        <v/>
      </c>
      <c r="X67" s="38" t="str">
        <f t="shared" si="3"/>
        <v/>
      </c>
      <c r="Y67" s="38" t="str">
        <f>IF(AND(A67="Аппарат",C67&lt;&gt;"",OR($S$5="(все)",B67=$S$5)),MAX($Y$3:Y66)+1,"")</f>
        <v/>
      </c>
      <c r="Z67" s="38" t="str">
        <f t="shared" si="4"/>
        <v/>
      </c>
      <c r="AA67" s="38" t="str">
        <f>IF(AND(A67="Модуль",C67&lt;&gt;"",OR($S$6="(все)",B67=$S$6)),MAX($AA$3:AA66)+1,"")</f>
        <v/>
      </c>
      <c r="AB67" s="38" t="str">
        <f t="shared" si="5"/>
        <v/>
      </c>
      <c r="AC67" s="38" t="str">
        <f>IF(OR(B67="",COUNTIF($B$4:B67,B67)&gt;1),"",MAX($AC$3:AC66)+1)</f>
        <v/>
      </c>
      <c r="AD67" s="38" t="str">
        <f t="shared" si="6"/>
        <v/>
      </c>
      <c r="AE67" s="38" t="str">
        <f t="shared" si="7"/>
        <v/>
      </c>
      <c r="AF67" s="38" t="str">
        <f t="shared" si="8"/>
        <v/>
      </c>
    </row>
    <row r="68" spans="1:32" x14ac:dyDescent="0.3">
      <c r="A68" s="74" t="s">
        <v>709</v>
      </c>
      <c r="B68" s="74" t="s">
        <v>324</v>
      </c>
      <c r="C68" s="74" t="s">
        <v>323</v>
      </c>
      <c r="D68" s="74"/>
      <c r="E68" s="74"/>
      <c r="F68" s="74"/>
      <c r="G68" s="74" t="s">
        <v>322</v>
      </c>
      <c r="H68" s="74" t="s">
        <v>323</v>
      </c>
      <c r="I68" s="74"/>
      <c r="J68" s="74"/>
      <c r="K68" s="74"/>
      <c r="L68" s="74"/>
      <c r="M68" s="74" t="s">
        <v>325</v>
      </c>
      <c r="N68" s="38" t="str">
        <f>IF(OR(A68="Автомат",A68="Дифавтомат"),IF(W68="","",COUNTIFS(Однолинейка!$H$3:$H$3000,U68,Однолинейка!$A$3:$A$3000,Щит_спец)),IF(A68="Аппарат",IF(C68="","",COUNTIFS(Однолинейка!$I$3:$I$3000,C68,Однолинейка!$A$3:$A$3000,Щит_спец)+COUNTIFS(Однолинейка!$J$3:$J$3000,C68,Однолинейка!$A$3:$A$3000,Щит_спец)+COUNTIFS(Однолинейка!$K$3:$K$3000,C68,Однолинейка!$A$3:$A$3000,Щит_спец)),IF(A68="Модуль",IF(C68="","",COUNTIFS(Однолинейка!$AW$3:$AW$3000,"?*",Однолинейка!$AI$3:$AI$3000,C68,Однолинейка!$A$3:$A$3000,Щит_спец)),IF(A68="Клемма",IF(C68="","",IF(C68=$S$7,SUMIFS(Однолинейка!$BW$3:$BW$3000,Однолинейка!$A$3:$A$3000,Щит_спец),IF(C68=$S$8,SUMIFS(Однолинейка!$BX$3:$BX$3000,Однолинейка!$A$3:$A$3000,Щит_спец),""))),""))))</f>
        <v/>
      </c>
      <c r="O68" s="74"/>
      <c r="P68" s="38" t="str">
        <f t="shared" ref="P68:P131" si="9">IF(COUNT(N68,O68)=0,"",SUM(N68,O68))</f>
        <v/>
      </c>
      <c r="U68" s="38" t="str">
        <f t="shared" ref="U68:U131" si="10">IF(OR(A68="Автомат",A68="Дифавтомат"),I68&amp;" С"&amp;J68&amp;"А"&amp;IF(K68="да"," 30мА",IF(ISNUMBER(K68)," "&amp;K68&amp;"мА","")),"")</f>
        <v/>
      </c>
      <c r="V68" s="38" t="str">
        <f t="shared" ref="V68:V131" si="11">IF(U68="","",B68&amp;"|"&amp;U68)</f>
        <v/>
      </c>
      <c r="W68" s="38" t="str">
        <f>IF(AND(U68&lt;&gt;"",OR($S$4="(все)",B68=$S$4),IF($S$4="(все)",COUNTIF($U$4:U68,U68),COUNTIFS($U$4:U68,U68,$B$4:B68,B68))=1),MAX($W$3:W67)+1,"")</f>
        <v/>
      </c>
      <c r="X68" s="38" t="str">
        <f t="shared" ref="X68:X131" si="12">IFERROR(INDEX($U$4:$U$500,MATCH(ROW()-3,$W$4:$W$500,0)),"")</f>
        <v/>
      </c>
      <c r="Y68" s="38" t="str">
        <f>IF(AND(A68="Аппарат",C68&lt;&gt;"",OR($S$5="(все)",B68=$S$5)),MAX($Y$3:Y67)+1,"")</f>
        <v/>
      </c>
      <c r="Z68" s="38" t="str">
        <f t="shared" ref="Z68:Z131" si="13">IFERROR(INDEX($C$4:$C$500,MATCH(ROW()-3,$Y$4:$Y$500,0)),"")</f>
        <v/>
      </c>
      <c r="AA68" s="38" t="str">
        <f>IF(AND(A68="Модуль",C68&lt;&gt;"",OR($S$6="(все)",B68=$S$6)),MAX($AA$3:AA67)+1,"")</f>
        <v/>
      </c>
      <c r="AB68" s="38" t="str">
        <f t="shared" ref="AB68:AB131" si="14">IFERROR(INDEX($C$4:$C$500,MATCH(ROW()-3,$AA$4:$AA$500,0)),"")</f>
        <v/>
      </c>
      <c r="AC68" s="38">
        <f>IF(OR(B68="",COUNTIF($B$4:B68,B68)&gt;1),"",MAX($AC$3:AC67)+1)</f>
        <v>8</v>
      </c>
      <c r="AD68" s="38" t="str">
        <f t="shared" ref="AD68:AD131" si="15">IFERROR(INDEX($B$4:$B$500,MATCH(ROW()-3,$AC$4:$AC$500,0)),"")</f>
        <v/>
      </c>
      <c r="AE68" s="38" t="str">
        <f t="shared" ref="AE68:AE131" si="16">IF(AND(A68&lt;&gt;"",N(P68)&gt;0),IFERROR(MATCH(A68,$R$12:$R$25,0),99)*1000+ROW(),"")</f>
        <v/>
      </c>
      <c r="AF68" s="38" t="str">
        <f t="shared" ref="AF68:AF131" si="17">IF(AE68="","",COUNTIF($AE$4:$AE$500,"&lt;="&amp;AE68))</f>
        <v/>
      </c>
    </row>
    <row r="69" spans="1:32" x14ac:dyDescent="0.3">
      <c r="A69" s="74" t="s">
        <v>709</v>
      </c>
      <c r="B69" s="74" t="s">
        <v>324</v>
      </c>
      <c r="C69" s="74" t="s">
        <v>323</v>
      </c>
      <c r="D69" s="74"/>
      <c r="E69" s="74"/>
      <c r="F69" s="74"/>
      <c r="G69" s="74" t="s">
        <v>326</v>
      </c>
      <c r="H69" s="74" t="s">
        <v>323</v>
      </c>
      <c r="I69" s="74"/>
      <c r="J69" s="74"/>
      <c r="K69" s="74"/>
      <c r="L69" s="74"/>
      <c r="M69" s="74" t="s">
        <v>325</v>
      </c>
      <c r="N69" s="38" t="str">
        <f>IF(OR(A69="Автомат",A69="Дифавтомат"),IF(W69="","",COUNTIFS(Однолинейка!$H$3:$H$3000,U69,Однолинейка!$A$3:$A$3000,Щит_спец)),IF(A69="Аппарат",IF(C69="","",COUNTIFS(Однолинейка!$I$3:$I$3000,C69,Однолинейка!$A$3:$A$3000,Щит_спец)+COUNTIFS(Однолинейка!$J$3:$J$3000,C69,Однолинейка!$A$3:$A$3000,Щит_спец)+COUNTIFS(Однолинейка!$K$3:$K$3000,C69,Однолинейка!$A$3:$A$3000,Щит_спец)),IF(A69="Модуль",IF(C69="","",COUNTIFS(Однолинейка!$AW$3:$AW$3000,"?*",Однолинейка!$AI$3:$AI$3000,C69,Однолинейка!$A$3:$A$3000,Щит_спец)),IF(A69="Клемма",IF(C69="","",IF(C69=$S$7,SUMIFS(Однолинейка!$BW$3:$BW$3000,Однолинейка!$A$3:$A$3000,Щит_спец),IF(C69=$S$8,SUMIFS(Однолинейка!$BX$3:$BX$3000,Однолинейка!$A$3:$A$3000,Щит_спец),""))),""))))</f>
        <v/>
      </c>
      <c r="O69" s="74"/>
      <c r="P69" s="38" t="str">
        <f t="shared" si="9"/>
        <v/>
      </c>
      <c r="U69" s="38" t="str">
        <f t="shared" si="10"/>
        <v/>
      </c>
      <c r="V69" s="38" t="str">
        <f t="shared" si="11"/>
        <v/>
      </c>
      <c r="W69" s="38" t="str">
        <f>IF(AND(U69&lt;&gt;"",OR($S$4="(все)",B69=$S$4),IF($S$4="(все)",COUNTIF($U$4:U69,U69),COUNTIFS($U$4:U69,U69,$B$4:B69,B69))=1),MAX($W$3:W68)+1,"")</f>
        <v/>
      </c>
      <c r="X69" s="38" t="str">
        <f t="shared" si="12"/>
        <v/>
      </c>
      <c r="Y69" s="38" t="str">
        <f>IF(AND(A69="Аппарат",C69&lt;&gt;"",OR($S$5="(все)",B69=$S$5)),MAX($Y$3:Y68)+1,"")</f>
        <v/>
      </c>
      <c r="Z69" s="38" t="str">
        <f t="shared" si="13"/>
        <v/>
      </c>
      <c r="AA69" s="38" t="str">
        <f>IF(AND(A69="Модуль",C69&lt;&gt;"",OR($S$6="(все)",B69=$S$6)),MAX($AA$3:AA68)+1,"")</f>
        <v/>
      </c>
      <c r="AB69" s="38" t="str">
        <f t="shared" si="14"/>
        <v/>
      </c>
      <c r="AC69" s="38" t="str">
        <f>IF(OR(B69="",COUNTIF($B$4:B69,B69)&gt;1),"",MAX($AC$3:AC68)+1)</f>
        <v/>
      </c>
      <c r="AD69" s="38" t="str">
        <f t="shared" si="15"/>
        <v/>
      </c>
      <c r="AE69" s="38" t="str">
        <f t="shared" si="16"/>
        <v/>
      </c>
      <c r="AF69" s="38" t="str">
        <f t="shared" si="17"/>
        <v/>
      </c>
    </row>
    <row r="70" spans="1:32" x14ac:dyDescent="0.3">
      <c r="A70" s="74" t="s">
        <v>709</v>
      </c>
      <c r="B70" s="74" t="s">
        <v>324</v>
      </c>
      <c r="C70" s="74" t="s">
        <v>323</v>
      </c>
      <c r="D70" s="74"/>
      <c r="E70" s="74"/>
      <c r="F70" s="74"/>
      <c r="G70" s="74" t="s">
        <v>327</v>
      </c>
      <c r="H70" s="74" t="s">
        <v>323</v>
      </c>
      <c r="I70" s="74"/>
      <c r="J70" s="74"/>
      <c r="K70" s="74"/>
      <c r="L70" s="74"/>
      <c r="M70" s="74" t="s">
        <v>325</v>
      </c>
      <c r="N70" s="38" t="str">
        <f>IF(OR(A70="Автомат",A70="Дифавтомат"),IF(W70="","",COUNTIFS(Однолинейка!$H$3:$H$3000,U70,Однолинейка!$A$3:$A$3000,Щит_спец)),IF(A70="Аппарат",IF(C70="","",COUNTIFS(Однолинейка!$I$3:$I$3000,C70,Однолинейка!$A$3:$A$3000,Щит_спец)+COUNTIFS(Однолинейка!$J$3:$J$3000,C70,Однолинейка!$A$3:$A$3000,Щит_спец)+COUNTIFS(Однолинейка!$K$3:$K$3000,C70,Однолинейка!$A$3:$A$3000,Щит_спец)),IF(A70="Модуль",IF(C70="","",COUNTIFS(Однолинейка!$AW$3:$AW$3000,"?*",Однолинейка!$AI$3:$AI$3000,C70,Однолинейка!$A$3:$A$3000,Щит_спец)),IF(A70="Клемма",IF(C70="","",IF(C70=$S$7,SUMIFS(Однолинейка!$BW$3:$BW$3000,Однолинейка!$A$3:$A$3000,Щит_спец),IF(C70=$S$8,SUMIFS(Однолинейка!$BX$3:$BX$3000,Однолинейка!$A$3:$A$3000,Щит_спец),""))),""))))</f>
        <v/>
      </c>
      <c r="O70" s="74"/>
      <c r="P70" s="38" t="str">
        <f t="shared" si="9"/>
        <v/>
      </c>
      <c r="U70" s="38" t="str">
        <f t="shared" si="10"/>
        <v/>
      </c>
      <c r="V70" s="38" t="str">
        <f t="shared" si="11"/>
        <v/>
      </c>
      <c r="W70" s="38" t="str">
        <f>IF(AND(U70&lt;&gt;"",OR($S$4="(все)",B70=$S$4),IF($S$4="(все)",COUNTIF($U$4:U70,U70),COUNTIFS($U$4:U70,U70,$B$4:B70,B70))=1),MAX($W$3:W69)+1,"")</f>
        <v/>
      </c>
      <c r="X70" s="38" t="str">
        <f t="shared" si="12"/>
        <v/>
      </c>
      <c r="Y70" s="38" t="str">
        <f>IF(AND(A70="Аппарат",C70&lt;&gt;"",OR($S$5="(все)",B70=$S$5)),MAX($Y$3:Y69)+1,"")</f>
        <v/>
      </c>
      <c r="Z70" s="38" t="str">
        <f t="shared" si="13"/>
        <v/>
      </c>
      <c r="AA70" s="38" t="str">
        <f>IF(AND(A70="Модуль",C70&lt;&gt;"",OR($S$6="(все)",B70=$S$6)),MAX($AA$3:AA69)+1,"")</f>
        <v/>
      </c>
      <c r="AB70" s="38" t="str">
        <f t="shared" si="14"/>
        <v/>
      </c>
      <c r="AC70" s="38" t="str">
        <f>IF(OR(B70="",COUNTIF($B$4:B70,B70)&gt;1),"",MAX($AC$3:AC69)+1)</f>
        <v/>
      </c>
      <c r="AD70" s="38" t="str">
        <f t="shared" si="15"/>
        <v/>
      </c>
      <c r="AE70" s="38" t="str">
        <f t="shared" si="16"/>
        <v/>
      </c>
      <c r="AF70" s="38" t="str">
        <f t="shared" si="17"/>
        <v/>
      </c>
    </row>
    <row r="71" spans="1:32" x14ac:dyDescent="0.3">
      <c r="A71" s="74" t="s">
        <v>709</v>
      </c>
      <c r="B71" s="74" t="s">
        <v>324</v>
      </c>
      <c r="C71" s="74" t="s">
        <v>323</v>
      </c>
      <c r="D71" s="74"/>
      <c r="E71" s="74"/>
      <c r="F71" s="74"/>
      <c r="G71" s="74" t="s">
        <v>328</v>
      </c>
      <c r="H71" s="74" t="s">
        <v>323</v>
      </c>
      <c r="I71" s="74"/>
      <c r="J71" s="74"/>
      <c r="K71" s="74"/>
      <c r="L71" s="74"/>
      <c r="M71" s="74" t="s">
        <v>325</v>
      </c>
      <c r="N71" s="38" t="str">
        <f>IF(OR(A71="Автомат",A71="Дифавтомат"),IF(W71="","",COUNTIFS(Однолинейка!$H$3:$H$3000,U71,Однолинейка!$A$3:$A$3000,Щит_спец)),IF(A71="Аппарат",IF(C71="","",COUNTIFS(Однолинейка!$I$3:$I$3000,C71,Однолинейка!$A$3:$A$3000,Щит_спец)+COUNTIFS(Однолинейка!$J$3:$J$3000,C71,Однолинейка!$A$3:$A$3000,Щит_спец)+COUNTIFS(Однолинейка!$K$3:$K$3000,C71,Однолинейка!$A$3:$A$3000,Щит_спец)),IF(A71="Модуль",IF(C71="","",COUNTIFS(Однолинейка!$AW$3:$AW$3000,"?*",Однолинейка!$AI$3:$AI$3000,C71,Однолинейка!$A$3:$A$3000,Щит_спец)),IF(A71="Клемма",IF(C71="","",IF(C71=$S$7,SUMIFS(Однолинейка!$BW$3:$BW$3000,Однолинейка!$A$3:$A$3000,Щит_спец),IF(C71=$S$8,SUMIFS(Однолинейка!$BX$3:$BX$3000,Однолинейка!$A$3:$A$3000,Щит_спец),""))),""))))</f>
        <v/>
      </c>
      <c r="O71" s="74"/>
      <c r="P71" s="38" t="str">
        <f t="shared" si="9"/>
        <v/>
      </c>
      <c r="U71" s="38" t="str">
        <f t="shared" si="10"/>
        <v/>
      </c>
      <c r="V71" s="38" t="str">
        <f t="shared" si="11"/>
        <v/>
      </c>
      <c r="W71" s="38" t="str">
        <f>IF(AND(U71&lt;&gt;"",OR($S$4="(все)",B71=$S$4),IF($S$4="(все)",COUNTIF($U$4:U71,U71),COUNTIFS($U$4:U71,U71,$B$4:B71,B71))=1),MAX($W$3:W70)+1,"")</f>
        <v/>
      </c>
      <c r="X71" s="38" t="str">
        <f t="shared" si="12"/>
        <v/>
      </c>
      <c r="Y71" s="38" t="str">
        <f>IF(AND(A71="Аппарат",C71&lt;&gt;"",OR($S$5="(все)",B71=$S$5)),MAX($Y$3:Y70)+1,"")</f>
        <v/>
      </c>
      <c r="Z71" s="38" t="str">
        <f t="shared" si="13"/>
        <v/>
      </c>
      <c r="AA71" s="38" t="str">
        <f>IF(AND(A71="Модуль",C71&lt;&gt;"",OR($S$6="(все)",B71=$S$6)),MAX($AA$3:AA70)+1,"")</f>
        <v/>
      </c>
      <c r="AB71" s="38" t="str">
        <f t="shared" si="14"/>
        <v/>
      </c>
      <c r="AC71" s="38" t="str">
        <f>IF(OR(B71="",COUNTIF($B$4:B71,B71)&gt;1),"",MAX($AC$3:AC70)+1)</f>
        <v/>
      </c>
      <c r="AD71" s="38" t="str">
        <f t="shared" si="15"/>
        <v/>
      </c>
      <c r="AE71" s="38" t="str">
        <f t="shared" si="16"/>
        <v/>
      </c>
      <c r="AF71" s="38" t="str">
        <f t="shared" si="17"/>
        <v/>
      </c>
    </row>
    <row r="72" spans="1:32" x14ac:dyDescent="0.3">
      <c r="A72" s="74" t="s">
        <v>709</v>
      </c>
      <c r="B72" s="74" t="s">
        <v>324</v>
      </c>
      <c r="C72" s="74" t="s">
        <v>323</v>
      </c>
      <c r="D72" s="74"/>
      <c r="E72" s="74"/>
      <c r="F72" s="74"/>
      <c r="G72" s="74" t="s">
        <v>370</v>
      </c>
      <c r="H72" s="74" t="s">
        <v>323</v>
      </c>
      <c r="I72" s="74"/>
      <c r="J72" s="74"/>
      <c r="K72" s="74"/>
      <c r="L72" s="74"/>
      <c r="M72" s="74" t="s">
        <v>325</v>
      </c>
      <c r="N72" s="38" t="str">
        <f>IF(OR(A72="Автомат",A72="Дифавтомат"),IF(W72="","",COUNTIFS(Однолинейка!$H$3:$H$3000,U72,Однолинейка!$A$3:$A$3000,Щит_спец)),IF(A72="Аппарат",IF(C72="","",COUNTIFS(Однолинейка!$I$3:$I$3000,C72,Однолинейка!$A$3:$A$3000,Щит_спец)+COUNTIFS(Однолинейка!$J$3:$J$3000,C72,Однолинейка!$A$3:$A$3000,Щит_спец)+COUNTIFS(Однолинейка!$K$3:$K$3000,C72,Однолинейка!$A$3:$A$3000,Щит_спец)),IF(A72="Модуль",IF(C72="","",COUNTIFS(Однолинейка!$AW$3:$AW$3000,"?*",Однолинейка!$AI$3:$AI$3000,C72,Однолинейка!$A$3:$A$3000,Щит_спец)),IF(A72="Клемма",IF(C72="","",IF(C72=$S$7,SUMIFS(Однолинейка!$BW$3:$BW$3000,Однолинейка!$A$3:$A$3000,Щит_спец),IF(C72=$S$8,SUMIFS(Однолинейка!$BX$3:$BX$3000,Однолинейка!$A$3:$A$3000,Щит_спец),""))),""))))</f>
        <v/>
      </c>
      <c r="O72" s="74"/>
      <c r="P72" s="38" t="str">
        <f t="shared" si="9"/>
        <v/>
      </c>
      <c r="U72" s="38" t="str">
        <f t="shared" si="10"/>
        <v/>
      </c>
      <c r="V72" s="38" t="str">
        <f t="shared" si="11"/>
        <v/>
      </c>
      <c r="W72" s="38" t="str">
        <f>IF(AND(U72&lt;&gt;"",OR($S$4="(все)",B72=$S$4),IF($S$4="(все)",COUNTIF($U$4:U72,U72),COUNTIFS($U$4:U72,U72,$B$4:B72,B72))=1),MAX($W$3:W71)+1,"")</f>
        <v/>
      </c>
      <c r="X72" s="38" t="str">
        <f t="shared" si="12"/>
        <v/>
      </c>
      <c r="Y72" s="38" t="str">
        <f>IF(AND(A72="Аппарат",C72&lt;&gt;"",OR($S$5="(все)",B72=$S$5)),MAX($Y$3:Y71)+1,"")</f>
        <v/>
      </c>
      <c r="Z72" s="38" t="str">
        <f t="shared" si="13"/>
        <v/>
      </c>
      <c r="AA72" s="38" t="str">
        <f>IF(AND(A72="Модуль",C72&lt;&gt;"",OR($S$6="(все)",B72=$S$6)),MAX($AA$3:AA71)+1,"")</f>
        <v/>
      </c>
      <c r="AB72" s="38" t="str">
        <f t="shared" si="14"/>
        <v/>
      </c>
      <c r="AC72" s="38" t="str">
        <f>IF(OR(B72="",COUNTIF($B$4:B72,B72)&gt;1),"",MAX($AC$3:AC71)+1)</f>
        <v/>
      </c>
      <c r="AD72" s="38" t="str">
        <f t="shared" si="15"/>
        <v/>
      </c>
      <c r="AE72" s="38" t="str">
        <f t="shared" si="16"/>
        <v/>
      </c>
      <c r="AF72" s="38" t="str">
        <f t="shared" si="17"/>
        <v/>
      </c>
    </row>
    <row r="73" spans="1:32" x14ac:dyDescent="0.3">
      <c r="A73" s="74" t="s">
        <v>709</v>
      </c>
      <c r="B73" s="74" t="s">
        <v>324</v>
      </c>
      <c r="C73" s="74" t="s">
        <v>330</v>
      </c>
      <c r="D73" s="74"/>
      <c r="E73" s="74"/>
      <c r="F73" s="74"/>
      <c r="G73" s="74" t="s">
        <v>329</v>
      </c>
      <c r="H73" s="74" t="s">
        <v>330</v>
      </c>
      <c r="I73" s="74"/>
      <c r="J73" s="74"/>
      <c r="K73" s="74"/>
      <c r="L73" s="74"/>
      <c r="M73" s="74" t="s">
        <v>325</v>
      </c>
      <c r="N73" s="38" t="str">
        <f>IF(OR(A73="Автомат",A73="Дифавтомат"),IF(W73="","",COUNTIFS(Однолинейка!$H$3:$H$3000,U73,Однолинейка!$A$3:$A$3000,Щит_спец)),IF(A73="Аппарат",IF(C73="","",COUNTIFS(Однолинейка!$I$3:$I$3000,C73,Однолинейка!$A$3:$A$3000,Щит_спец)+COUNTIFS(Однолинейка!$J$3:$J$3000,C73,Однолинейка!$A$3:$A$3000,Щит_спец)+COUNTIFS(Однолинейка!$K$3:$K$3000,C73,Однолинейка!$A$3:$A$3000,Щит_спец)),IF(A73="Модуль",IF(C73="","",COUNTIFS(Однолинейка!$AW$3:$AW$3000,"?*",Однолинейка!$AI$3:$AI$3000,C73,Однолинейка!$A$3:$A$3000,Щит_спец)),IF(A73="Клемма",IF(C73="","",IF(C73=$S$7,SUMIFS(Однолинейка!$BW$3:$BW$3000,Однолинейка!$A$3:$A$3000,Щит_спец),IF(C73=$S$8,SUMIFS(Однолинейка!$BX$3:$BX$3000,Однолинейка!$A$3:$A$3000,Щит_спец),""))),""))))</f>
        <v/>
      </c>
      <c r="O73" s="74"/>
      <c r="P73" s="38" t="str">
        <f t="shared" si="9"/>
        <v/>
      </c>
      <c r="U73" s="38" t="str">
        <f t="shared" si="10"/>
        <v/>
      </c>
      <c r="V73" s="38" t="str">
        <f t="shared" si="11"/>
        <v/>
      </c>
      <c r="W73" s="38" t="str">
        <f>IF(AND(U73&lt;&gt;"",OR($S$4="(все)",B73=$S$4),IF($S$4="(все)",COUNTIF($U$4:U73,U73),COUNTIFS($U$4:U73,U73,$B$4:B73,B73))=1),MAX($W$3:W72)+1,"")</f>
        <v/>
      </c>
      <c r="X73" s="38" t="str">
        <f t="shared" si="12"/>
        <v/>
      </c>
      <c r="Y73" s="38" t="str">
        <f>IF(AND(A73="Аппарат",C73&lt;&gt;"",OR($S$5="(все)",B73=$S$5)),MAX($Y$3:Y72)+1,"")</f>
        <v/>
      </c>
      <c r="Z73" s="38" t="str">
        <f t="shared" si="13"/>
        <v/>
      </c>
      <c r="AA73" s="38" t="str">
        <f>IF(AND(A73="Модуль",C73&lt;&gt;"",OR($S$6="(все)",B73=$S$6)),MAX($AA$3:AA72)+1,"")</f>
        <v/>
      </c>
      <c r="AB73" s="38" t="str">
        <f t="shared" si="14"/>
        <v/>
      </c>
      <c r="AC73" s="38" t="str">
        <f>IF(OR(B73="",COUNTIF($B$4:B73,B73)&gt;1),"",MAX($AC$3:AC72)+1)</f>
        <v/>
      </c>
      <c r="AD73" s="38" t="str">
        <f t="shared" si="15"/>
        <v/>
      </c>
      <c r="AE73" s="38" t="str">
        <f t="shared" si="16"/>
        <v/>
      </c>
      <c r="AF73" s="38" t="str">
        <f t="shared" si="17"/>
        <v/>
      </c>
    </row>
    <row r="74" spans="1:32" x14ac:dyDescent="0.3">
      <c r="A74" s="74" t="s">
        <v>709</v>
      </c>
      <c r="B74" s="74" t="s">
        <v>324</v>
      </c>
      <c r="C74" s="74" t="s">
        <v>330</v>
      </c>
      <c r="D74" s="74"/>
      <c r="E74" s="74"/>
      <c r="F74" s="74"/>
      <c r="G74" s="74" t="s">
        <v>331</v>
      </c>
      <c r="H74" s="74" t="s">
        <v>330</v>
      </c>
      <c r="I74" s="74"/>
      <c r="J74" s="74"/>
      <c r="K74" s="74"/>
      <c r="L74" s="74"/>
      <c r="M74" s="74" t="s">
        <v>325</v>
      </c>
      <c r="N74" s="38" t="str">
        <f>IF(OR(A74="Автомат",A74="Дифавтомат"),IF(W74="","",COUNTIFS(Однолинейка!$H$3:$H$3000,U74,Однолинейка!$A$3:$A$3000,Щит_спец)),IF(A74="Аппарат",IF(C74="","",COUNTIFS(Однолинейка!$I$3:$I$3000,C74,Однолинейка!$A$3:$A$3000,Щит_спец)+COUNTIFS(Однолинейка!$J$3:$J$3000,C74,Однолинейка!$A$3:$A$3000,Щит_спец)+COUNTIFS(Однолинейка!$K$3:$K$3000,C74,Однолинейка!$A$3:$A$3000,Щит_спец)),IF(A74="Модуль",IF(C74="","",COUNTIFS(Однолинейка!$AW$3:$AW$3000,"?*",Однолинейка!$AI$3:$AI$3000,C74,Однолинейка!$A$3:$A$3000,Щит_спец)),IF(A74="Клемма",IF(C74="","",IF(C74=$S$7,SUMIFS(Однолинейка!$BW$3:$BW$3000,Однолинейка!$A$3:$A$3000,Щит_спец),IF(C74=$S$8,SUMIFS(Однолинейка!$BX$3:$BX$3000,Однолинейка!$A$3:$A$3000,Щит_спец),""))),""))))</f>
        <v/>
      </c>
      <c r="O74" s="74"/>
      <c r="P74" s="38" t="str">
        <f t="shared" si="9"/>
        <v/>
      </c>
      <c r="U74" s="38" t="str">
        <f t="shared" si="10"/>
        <v/>
      </c>
      <c r="V74" s="38" t="str">
        <f t="shared" si="11"/>
        <v/>
      </c>
      <c r="W74" s="38" t="str">
        <f>IF(AND(U74&lt;&gt;"",OR($S$4="(все)",B74=$S$4),IF($S$4="(все)",COUNTIF($U$4:U74,U74),COUNTIFS($U$4:U74,U74,$B$4:B74,B74))=1),MAX($W$3:W73)+1,"")</f>
        <v/>
      </c>
      <c r="X74" s="38" t="str">
        <f t="shared" si="12"/>
        <v/>
      </c>
      <c r="Y74" s="38" t="str">
        <f>IF(AND(A74="Аппарат",C74&lt;&gt;"",OR($S$5="(все)",B74=$S$5)),MAX($Y$3:Y73)+1,"")</f>
        <v/>
      </c>
      <c r="Z74" s="38" t="str">
        <f t="shared" si="13"/>
        <v/>
      </c>
      <c r="AA74" s="38" t="str">
        <f>IF(AND(A74="Модуль",C74&lt;&gt;"",OR($S$6="(все)",B74=$S$6)),MAX($AA$3:AA73)+1,"")</f>
        <v/>
      </c>
      <c r="AB74" s="38" t="str">
        <f t="shared" si="14"/>
        <v/>
      </c>
      <c r="AC74" s="38" t="str">
        <f>IF(OR(B74="",COUNTIF($B$4:B74,B74)&gt;1),"",MAX($AC$3:AC73)+1)</f>
        <v/>
      </c>
      <c r="AD74" s="38" t="str">
        <f t="shared" si="15"/>
        <v/>
      </c>
      <c r="AE74" s="38" t="str">
        <f t="shared" si="16"/>
        <v/>
      </c>
      <c r="AF74" s="38" t="str">
        <f t="shared" si="17"/>
        <v/>
      </c>
    </row>
    <row r="75" spans="1:32" x14ac:dyDescent="0.3">
      <c r="A75" s="74" t="s">
        <v>709</v>
      </c>
      <c r="B75" s="74" t="s">
        <v>324</v>
      </c>
      <c r="C75" s="74" t="s">
        <v>330</v>
      </c>
      <c r="D75" s="74"/>
      <c r="E75" s="74"/>
      <c r="F75" s="74"/>
      <c r="G75" s="74" t="s">
        <v>332</v>
      </c>
      <c r="H75" s="74" t="s">
        <v>330</v>
      </c>
      <c r="I75" s="74"/>
      <c r="J75" s="74"/>
      <c r="K75" s="74"/>
      <c r="L75" s="74"/>
      <c r="M75" s="74" t="s">
        <v>325</v>
      </c>
      <c r="N75" s="38" t="str">
        <f>IF(OR(A75="Автомат",A75="Дифавтомат"),IF(W75="","",COUNTIFS(Однолинейка!$H$3:$H$3000,U75,Однолинейка!$A$3:$A$3000,Щит_спец)),IF(A75="Аппарат",IF(C75="","",COUNTIFS(Однолинейка!$I$3:$I$3000,C75,Однолинейка!$A$3:$A$3000,Щит_спец)+COUNTIFS(Однолинейка!$J$3:$J$3000,C75,Однолинейка!$A$3:$A$3000,Щит_спец)+COUNTIFS(Однолинейка!$K$3:$K$3000,C75,Однолинейка!$A$3:$A$3000,Щит_спец)),IF(A75="Модуль",IF(C75="","",COUNTIFS(Однолинейка!$AW$3:$AW$3000,"?*",Однолинейка!$AI$3:$AI$3000,C75,Однолинейка!$A$3:$A$3000,Щит_спец)),IF(A75="Клемма",IF(C75="","",IF(C75=$S$7,SUMIFS(Однолинейка!$BW$3:$BW$3000,Однолинейка!$A$3:$A$3000,Щит_спец),IF(C75=$S$8,SUMIFS(Однолинейка!$BX$3:$BX$3000,Однолинейка!$A$3:$A$3000,Щит_спец),""))),""))))</f>
        <v/>
      </c>
      <c r="O75" s="74"/>
      <c r="P75" s="38" t="str">
        <f t="shared" si="9"/>
        <v/>
      </c>
      <c r="U75" s="38" t="str">
        <f t="shared" si="10"/>
        <v/>
      </c>
      <c r="V75" s="38" t="str">
        <f t="shared" si="11"/>
        <v/>
      </c>
      <c r="W75" s="38" t="str">
        <f>IF(AND(U75&lt;&gt;"",OR($S$4="(все)",B75=$S$4),IF($S$4="(все)",COUNTIF($U$4:U75,U75),COUNTIFS($U$4:U75,U75,$B$4:B75,B75))=1),MAX($W$3:W74)+1,"")</f>
        <v/>
      </c>
      <c r="X75" s="38" t="str">
        <f t="shared" si="12"/>
        <v/>
      </c>
      <c r="Y75" s="38" t="str">
        <f>IF(AND(A75="Аппарат",C75&lt;&gt;"",OR($S$5="(все)",B75=$S$5)),MAX($Y$3:Y74)+1,"")</f>
        <v/>
      </c>
      <c r="Z75" s="38" t="str">
        <f t="shared" si="13"/>
        <v/>
      </c>
      <c r="AA75" s="38" t="str">
        <f>IF(AND(A75="Модуль",C75&lt;&gt;"",OR($S$6="(все)",B75=$S$6)),MAX($AA$3:AA74)+1,"")</f>
        <v/>
      </c>
      <c r="AB75" s="38" t="str">
        <f t="shared" si="14"/>
        <v/>
      </c>
      <c r="AC75" s="38" t="str">
        <f>IF(OR(B75="",COUNTIF($B$4:B75,B75)&gt;1),"",MAX($AC$3:AC74)+1)</f>
        <v/>
      </c>
      <c r="AD75" s="38" t="str">
        <f t="shared" si="15"/>
        <v/>
      </c>
      <c r="AE75" s="38" t="str">
        <f t="shared" si="16"/>
        <v/>
      </c>
      <c r="AF75" s="38" t="str">
        <f t="shared" si="17"/>
        <v/>
      </c>
    </row>
    <row r="76" spans="1:32" x14ac:dyDescent="0.3">
      <c r="A76" s="74" t="s">
        <v>709</v>
      </c>
      <c r="B76" s="74" t="s">
        <v>324</v>
      </c>
      <c r="C76" s="74" t="s">
        <v>330</v>
      </c>
      <c r="D76" s="74"/>
      <c r="E76" s="74"/>
      <c r="F76" s="74"/>
      <c r="G76" s="74" t="s">
        <v>333</v>
      </c>
      <c r="H76" s="74" t="s">
        <v>330</v>
      </c>
      <c r="I76" s="74"/>
      <c r="J76" s="74"/>
      <c r="K76" s="74"/>
      <c r="L76" s="74"/>
      <c r="M76" s="74" t="s">
        <v>325</v>
      </c>
      <c r="N76" s="38" t="str">
        <f>IF(OR(A76="Автомат",A76="Дифавтомат"),IF(W76="","",COUNTIFS(Однолинейка!$H$3:$H$3000,U76,Однолинейка!$A$3:$A$3000,Щит_спец)),IF(A76="Аппарат",IF(C76="","",COUNTIFS(Однолинейка!$I$3:$I$3000,C76,Однолинейка!$A$3:$A$3000,Щит_спец)+COUNTIFS(Однолинейка!$J$3:$J$3000,C76,Однолинейка!$A$3:$A$3000,Щит_спец)+COUNTIFS(Однолинейка!$K$3:$K$3000,C76,Однолинейка!$A$3:$A$3000,Щит_спец)),IF(A76="Модуль",IF(C76="","",COUNTIFS(Однолинейка!$AW$3:$AW$3000,"?*",Однолинейка!$AI$3:$AI$3000,C76,Однолинейка!$A$3:$A$3000,Щит_спец)),IF(A76="Клемма",IF(C76="","",IF(C76=$S$7,SUMIFS(Однолинейка!$BW$3:$BW$3000,Однолинейка!$A$3:$A$3000,Щит_спец),IF(C76=$S$8,SUMIFS(Однолинейка!$BX$3:$BX$3000,Однолинейка!$A$3:$A$3000,Щит_спец),""))),""))))</f>
        <v/>
      </c>
      <c r="O76" s="74"/>
      <c r="P76" s="38" t="str">
        <f t="shared" si="9"/>
        <v/>
      </c>
      <c r="U76" s="38" t="str">
        <f t="shared" si="10"/>
        <v/>
      </c>
      <c r="V76" s="38" t="str">
        <f t="shared" si="11"/>
        <v/>
      </c>
      <c r="W76" s="38" t="str">
        <f>IF(AND(U76&lt;&gt;"",OR($S$4="(все)",B76=$S$4),IF($S$4="(все)",COUNTIF($U$4:U76,U76),COUNTIFS($U$4:U76,U76,$B$4:B76,B76))=1),MAX($W$3:W75)+1,"")</f>
        <v/>
      </c>
      <c r="X76" s="38" t="str">
        <f t="shared" si="12"/>
        <v/>
      </c>
      <c r="Y76" s="38" t="str">
        <f>IF(AND(A76="Аппарат",C76&lt;&gt;"",OR($S$5="(все)",B76=$S$5)),MAX($Y$3:Y75)+1,"")</f>
        <v/>
      </c>
      <c r="Z76" s="38" t="str">
        <f t="shared" si="13"/>
        <v/>
      </c>
      <c r="AA76" s="38" t="str">
        <f>IF(AND(A76="Модуль",C76&lt;&gt;"",OR($S$6="(все)",B76=$S$6)),MAX($AA$3:AA75)+1,"")</f>
        <v/>
      </c>
      <c r="AB76" s="38" t="str">
        <f t="shared" si="14"/>
        <v/>
      </c>
      <c r="AC76" s="38" t="str">
        <f>IF(OR(B76="",COUNTIF($B$4:B76,B76)&gt;1),"",MAX($AC$3:AC75)+1)</f>
        <v/>
      </c>
      <c r="AD76" s="38" t="str">
        <f t="shared" si="15"/>
        <v/>
      </c>
      <c r="AE76" s="38" t="str">
        <f t="shared" si="16"/>
        <v/>
      </c>
      <c r="AF76" s="38" t="str">
        <f t="shared" si="17"/>
        <v/>
      </c>
    </row>
    <row r="77" spans="1:32" x14ac:dyDescent="0.3">
      <c r="A77" s="74" t="s">
        <v>709</v>
      </c>
      <c r="B77" s="74" t="s">
        <v>324</v>
      </c>
      <c r="C77" s="74" t="s">
        <v>330</v>
      </c>
      <c r="D77" s="74"/>
      <c r="E77" s="74"/>
      <c r="F77" s="74"/>
      <c r="G77" s="74" t="s">
        <v>371</v>
      </c>
      <c r="H77" s="74" t="s">
        <v>330</v>
      </c>
      <c r="I77" s="74"/>
      <c r="J77" s="74"/>
      <c r="K77" s="74"/>
      <c r="L77" s="74"/>
      <c r="M77" s="74" t="s">
        <v>325</v>
      </c>
      <c r="N77" s="38" t="str">
        <f>IF(OR(A77="Автомат",A77="Дифавтомат"),IF(W77="","",COUNTIFS(Однолинейка!$H$3:$H$3000,U77,Однолинейка!$A$3:$A$3000,Щит_спец)),IF(A77="Аппарат",IF(C77="","",COUNTIFS(Однолинейка!$I$3:$I$3000,C77,Однолинейка!$A$3:$A$3000,Щит_спец)+COUNTIFS(Однолинейка!$J$3:$J$3000,C77,Однолинейка!$A$3:$A$3000,Щит_спец)+COUNTIFS(Однолинейка!$K$3:$K$3000,C77,Однолинейка!$A$3:$A$3000,Щит_спец)),IF(A77="Модуль",IF(C77="","",COUNTIFS(Однолинейка!$AW$3:$AW$3000,"?*",Однолинейка!$AI$3:$AI$3000,C77,Однолинейка!$A$3:$A$3000,Щит_спец)),IF(A77="Клемма",IF(C77="","",IF(C77=$S$7,SUMIFS(Однолинейка!$BW$3:$BW$3000,Однолинейка!$A$3:$A$3000,Щит_спец),IF(C77=$S$8,SUMIFS(Однолинейка!$BX$3:$BX$3000,Однолинейка!$A$3:$A$3000,Щит_спец),""))),""))))</f>
        <v/>
      </c>
      <c r="O77" s="74"/>
      <c r="P77" s="38" t="str">
        <f t="shared" si="9"/>
        <v/>
      </c>
      <c r="U77" s="38" t="str">
        <f t="shared" si="10"/>
        <v/>
      </c>
      <c r="V77" s="38" t="str">
        <f t="shared" si="11"/>
        <v/>
      </c>
      <c r="W77" s="38" t="str">
        <f>IF(AND(U77&lt;&gt;"",OR($S$4="(все)",B77=$S$4),IF($S$4="(все)",COUNTIF($U$4:U77,U77),COUNTIFS($U$4:U77,U77,$B$4:B77,B77))=1),MAX($W$3:W76)+1,"")</f>
        <v/>
      </c>
      <c r="X77" s="38" t="str">
        <f t="shared" si="12"/>
        <v/>
      </c>
      <c r="Y77" s="38" t="str">
        <f>IF(AND(A77="Аппарат",C77&lt;&gt;"",OR($S$5="(все)",B77=$S$5)),MAX($Y$3:Y76)+1,"")</f>
        <v/>
      </c>
      <c r="Z77" s="38" t="str">
        <f t="shared" si="13"/>
        <v/>
      </c>
      <c r="AA77" s="38" t="str">
        <f>IF(AND(A77="Модуль",C77&lt;&gt;"",OR($S$6="(все)",B77=$S$6)),MAX($AA$3:AA76)+1,"")</f>
        <v/>
      </c>
      <c r="AB77" s="38" t="str">
        <f t="shared" si="14"/>
        <v/>
      </c>
      <c r="AC77" s="38" t="str">
        <f>IF(OR(B77="",COUNTIF($B$4:B77,B77)&gt;1),"",MAX($AC$3:AC76)+1)</f>
        <v/>
      </c>
      <c r="AD77" s="38" t="str">
        <f t="shared" si="15"/>
        <v/>
      </c>
      <c r="AE77" s="38" t="str">
        <f t="shared" si="16"/>
        <v/>
      </c>
      <c r="AF77" s="38" t="str">
        <f t="shared" si="17"/>
        <v/>
      </c>
    </row>
    <row r="78" spans="1:32" x14ac:dyDescent="0.3">
      <c r="A78" s="74" t="s">
        <v>709</v>
      </c>
      <c r="B78" s="74" t="s">
        <v>324</v>
      </c>
      <c r="C78" s="74" t="s">
        <v>335</v>
      </c>
      <c r="D78" s="74"/>
      <c r="E78" s="74"/>
      <c r="F78" s="74"/>
      <c r="G78" s="74" t="s">
        <v>334</v>
      </c>
      <c r="H78" s="74" t="s">
        <v>335</v>
      </c>
      <c r="I78" s="74"/>
      <c r="J78" s="74"/>
      <c r="K78" s="74"/>
      <c r="L78" s="74"/>
      <c r="M78" s="74" t="s">
        <v>325</v>
      </c>
      <c r="N78" s="38" t="str">
        <f>IF(OR(A78="Автомат",A78="Дифавтомат"),IF(W78="","",COUNTIFS(Однолинейка!$H$3:$H$3000,U78,Однолинейка!$A$3:$A$3000,Щит_спец)),IF(A78="Аппарат",IF(C78="","",COUNTIFS(Однолинейка!$I$3:$I$3000,C78,Однолинейка!$A$3:$A$3000,Щит_спец)+COUNTIFS(Однолинейка!$J$3:$J$3000,C78,Однолинейка!$A$3:$A$3000,Щит_спец)+COUNTIFS(Однолинейка!$K$3:$K$3000,C78,Однолинейка!$A$3:$A$3000,Щит_спец)),IF(A78="Модуль",IF(C78="","",COUNTIFS(Однолинейка!$AW$3:$AW$3000,"?*",Однолинейка!$AI$3:$AI$3000,C78,Однолинейка!$A$3:$A$3000,Щит_спец)),IF(A78="Клемма",IF(C78="","",IF(C78=$S$7,SUMIFS(Однолинейка!$BW$3:$BW$3000,Однолинейка!$A$3:$A$3000,Щит_спец),IF(C78=$S$8,SUMIFS(Однолинейка!$BX$3:$BX$3000,Однолинейка!$A$3:$A$3000,Щит_спец),""))),""))))</f>
        <v/>
      </c>
      <c r="O78" s="74"/>
      <c r="P78" s="38" t="str">
        <f t="shared" si="9"/>
        <v/>
      </c>
      <c r="U78" s="38" t="str">
        <f t="shared" si="10"/>
        <v/>
      </c>
      <c r="V78" s="38" t="str">
        <f t="shared" si="11"/>
        <v/>
      </c>
      <c r="W78" s="38" t="str">
        <f>IF(AND(U78&lt;&gt;"",OR($S$4="(все)",B78=$S$4),IF($S$4="(все)",COUNTIF($U$4:U78,U78),COUNTIFS($U$4:U78,U78,$B$4:B78,B78))=1),MAX($W$3:W77)+1,"")</f>
        <v/>
      </c>
      <c r="X78" s="38" t="str">
        <f t="shared" si="12"/>
        <v/>
      </c>
      <c r="Y78" s="38" t="str">
        <f>IF(AND(A78="Аппарат",C78&lt;&gt;"",OR($S$5="(все)",B78=$S$5)),MAX($Y$3:Y77)+1,"")</f>
        <v/>
      </c>
      <c r="Z78" s="38" t="str">
        <f t="shared" si="13"/>
        <v/>
      </c>
      <c r="AA78" s="38" t="str">
        <f>IF(AND(A78="Модуль",C78&lt;&gt;"",OR($S$6="(все)",B78=$S$6)),MAX($AA$3:AA77)+1,"")</f>
        <v/>
      </c>
      <c r="AB78" s="38" t="str">
        <f t="shared" si="14"/>
        <v/>
      </c>
      <c r="AC78" s="38" t="str">
        <f>IF(OR(B78="",COUNTIF($B$4:B78,B78)&gt;1),"",MAX($AC$3:AC77)+1)</f>
        <v/>
      </c>
      <c r="AD78" s="38" t="str">
        <f t="shared" si="15"/>
        <v/>
      </c>
      <c r="AE78" s="38" t="str">
        <f t="shared" si="16"/>
        <v/>
      </c>
      <c r="AF78" s="38" t="str">
        <f t="shared" si="17"/>
        <v/>
      </c>
    </row>
    <row r="79" spans="1:32" x14ac:dyDescent="0.3">
      <c r="A79" s="74" t="s">
        <v>709</v>
      </c>
      <c r="B79" s="74" t="s">
        <v>324</v>
      </c>
      <c r="C79" s="74" t="s">
        <v>335</v>
      </c>
      <c r="D79" s="74"/>
      <c r="E79" s="74"/>
      <c r="F79" s="74"/>
      <c r="G79" s="74" t="s">
        <v>336</v>
      </c>
      <c r="H79" s="74" t="s">
        <v>335</v>
      </c>
      <c r="I79" s="74"/>
      <c r="J79" s="74"/>
      <c r="K79" s="74"/>
      <c r="L79" s="74"/>
      <c r="M79" s="74" t="s">
        <v>325</v>
      </c>
      <c r="N79" s="38" t="str">
        <f>IF(OR(A79="Автомат",A79="Дифавтомат"),IF(W79="","",COUNTIFS(Однолинейка!$H$3:$H$3000,U79,Однолинейка!$A$3:$A$3000,Щит_спец)),IF(A79="Аппарат",IF(C79="","",COUNTIFS(Однолинейка!$I$3:$I$3000,C79,Однолинейка!$A$3:$A$3000,Щит_спец)+COUNTIFS(Однолинейка!$J$3:$J$3000,C79,Однолинейка!$A$3:$A$3000,Щит_спец)+COUNTIFS(Однолинейка!$K$3:$K$3000,C79,Однолинейка!$A$3:$A$3000,Щит_спец)),IF(A79="Модуль",IF(C79="","",COUNTIFS(Однолинейка!$AW$3:$AW$3000,"?*",Однолинейка!$AI$3:$AI$3000,C79,Однолинейка!$A$3:$A$3000,Щит_спец)),IF(A79="Клемма",IF(C79="","",IF(C79=$S$7,SUMIFS(Однолинейка!$BW$3:$BW$3000,Однолинейка!$A$3:$A$3000,Щит_спец),IF(C79=$S$8,SUMIFS(Однолинейка!$BX$3:$BX$3000,Однолинейка!$A$3:$A$3000,Щит_спец),""))),""))))</f>
        <v/>
      </c>
      <c r="O79" s="74"/>
      <c r="P79" s="38" t="str">
        <f t="shared" si="9"/>
        <v/>
      </c>
      <c r="U79" s="38" t="str">
        <f t="shared" si="10"/>
        <v/>
      </c>
      <c r="V79" s="38" t="str">
        <f t="shared" si="11"/>
        <v/>
      </c>
      <c r="W79" s="38" t="str">
        <f>IF(AND(U79&lt;&gt;"",OR($S$4="(все)",B79=$S$4),IF($S$4="(все)",COUNTIF($U$4:U79,U79),COUNTIFS($U$4:U79,U79,$B$4:B79,B79))=1),MAX($W$3:W78)+1,"")</f>
        <v/>
      </c>
      <c r="X79" s="38" t="str">
        <f t="shared" si="12"/>
        <v/>
      </c>
      <c r="Y79" s="38" t="str">
        <f>IF(AND(A79="Аппарат",C79&lt;&gt;"",OR($S$5="(все)",B79=$S$5)),MAX($Y$3:Y78)+1,"")</f>
        <v/>
      </c>
      <c r="Z79" s="38" t="str">
        <f t="shared" si="13"/>
        <v/>
      </c>
      <c r="AA79" s="38" t="str">
        <f>IF(AND(A79="Модуль",C79&lt;&gt;"",OR($S$6="(все)",B79=$S$6)),MAX($AA$3:AA78)+1,"")</f>
        <v/>
      </c>
      <c r="AB79" s="38" t="str">
        <f t="shared" si="14"/>
        <v/>
      </c>
      <c r="AC79" s="38" t="str">
        <f>IF(OR(B79="",COUNTIF($B$4:B79,B79)&gt;1),"",MAX($AC$3:AC78)+1)</f>
        <v/>
      </c>
      <c r="AD79" s="38" t="str">
        <f t="shared" si="15"/>
        <v/>
      </c>
      <c r="AE79" s="38" t="str">
        <f t="shared" si="16"/>
        <v/>
      </c>
      <c r="AF79" s="38" t="str">
        <f t="shared" si="17"/>
        <v/>
      </c>
    </row>
    <row r="80" spans="1:32" x14ac:dyDescent="0.3">
      <c r="A80" s="74" t="s">
        <v>709</v>
      </c>
      <c r="B80" s="74" t="s">
        <v>324</v>
      </c>
      <c r="C80" s="74" t="s">
        <v>335</v>
      </c>
      <c r="D80" s="74"/>
      <c r="E80" s="74"/>
      <c r="F80" s="74"/>
      <c r="G80" s="74" t="s">
        <v>337</v>
      </c>
      <c r="H80" s="74" t="s">
        <v>335</v>
      </c>
      <c r="I80" s="74"/>
      <c r="J80" s="74"/>
      <c r="K80" s="74"/>
      <c r="L80" s="74"/>
      <c r="M80" s="74" t="s">
        <v>325</v>
      </c>
      <c r="N80" s="38" t="str">
        <f>IF(OR(A80="Автомат",A80="Дифавтомат"),IF(W80="","",COUNTIFS(Однолинейка!$H$3:$H$3000,U80,Однолинейка!$A$3:$A$3000,Щит_спец)),IF(A80="Аппарат",IF(C80="","",COUNTIFS(Однолинейка!$I$3:$I$3000,C80,Однолинейка!$A$3:$A$3000,Щит_спец)+COUNTIFS(Однолинейка!$J$3:$J$3000,C80,Однолинейка!$A$3:$A$3000,Щит_спец)+COUNTIFS(Однолинейка!$K$3:$K$3000,C80,Однолинейка!$A$3:$A$3000,Щит_спец)),IF(A80="Модуль",IF(C80="","",COUNTIFS(Однолинейка!$AW$3:$AW$3000,"?*",Однолинейка!$AI$3:$AI$3000,C80,Однолинейка!$A$3:$A$3000,Щит_спец)),IF(A80="Клемма",IF(C80="","",IF(C80=$S$7,SUMIFS(Однолинейка!$BW$3:$BW$3000,Однолинейка!$A$3:$A$3000,Щит_спец),IF(C80=$S$8,SUMIFS(Однолинейка!$BX$3:$BX$3000,Однолинейка!$A$3:$A$3000,Щит_спец),""))),""))))</f>
        <v/>
      </c>
      <c r="O80" s="74"/>
      <c r="P80" s="38" t="str">
        <f t="shared" si="9"/>
        <v/>
      </c>
      <c r="U80" s="38" t="str">
        <f t="shared" si="10"/>
        <v/>
      </c>
      <c r="V80" s="38" t="str">
        <f t="shared" si="11"/>
        <v/>
      </c>
      <c r="W80" s="38" t="str">
        <f>IF(AND(U80&lt;&gt;"",OR($S$4="(все)",B80=$S$4),IF($S$4="(все)",COUNTIF($U$4:U80,U80),COUNTIFS($U$4:U80,U80,$B$4:B80,B80))=1),MAX($W$3:W79)+1,"")</f>
        <v/>
      </c>
      <c r="X80" s="38" t="str">
        <f t="shared" si="12"/>
        <v/>
      </c>
      <c r="Y80" s="38" t="str">
        <f>IF(AND(A80="Аппарат",C80&lt;&gt;"",OR($S$5="(все)",B80=$S$5)),MAX($Y$3:Y79)+1,"")</f>
        <v/>
      </c>
      <c r="Z80" s="38" t="str">
        <f t="shared" si="13"/>
        <v/>
      </c>
      <c r="AA80" s="38" t="str">
        <f>IF(AND(A80="Модуль",C80&lt;&gt;"",OR($S$6="(все)",B80=$S$6)),MAX($AA$3:AA79)+1,"")</f>
        <v/>
      </c>
      <c r="AB80" s="38" t="str">
        <f t="shared" si="14"/>
        <v/>
      </c>
      <c r="AC80" s="38" t="str">
        <f>IF(OR(B80="",COUNTIF($B$4:B80,B80)&gt;1),"",MAX($AC$3:AC79)+1)</f>
        <v/>
      </c>
      <c r="AD80" s="38" t="str">
        <f t="shared" si="15"/>
        <v/>
      </c>
      <c r="AE80" s="38" t="str">
        <f t="shared" si="16"/>
        <v/>
      </c>
      <c r="AF80" s="38" t="str">
        <f t="shared" si="17"/>
        <v/>
      </c>
    </row>
    <row r="81" spans="1:32" x14ac:dyDescent="0.3">
      <c r="A81" s="74" t="s">
        <v>709</v>
      </c>
      <c r="B81" s="74" t="s">
        <v>324</v>
      </c>
      <c r="C81" s="74" t="s">
        <v>335</v>
      </c>
      <c r="D81" s="74"/>
      <c r="E81" s="74"/>
      <c r="F81" s="74"/>
      <c r="G81" s="74" t="s">
        <v>338</v>
      </c>
      <c r="H81" s="74" t="s">
        <v>335</v>
      </c>
      <c r="I81" s="74"/>
      <c r="J81" s="74"/>
      <c r="K81" s="74"/>
      <c r="L81" s="74"/>
      <c r="M81" s="74" t="s">
        <v>325</v>
      </c>
      <c r="N81" s="38" t="str">
        <f>IF(OR(A81="Автомат",A81="Дифавтомат"),IF(W81="","",COUNTIFS(Однолинейка!$H$3:$H$3000,U81,Однолинейка!$A$3:$A$3000,Щит_спец)),IF(A81="Аппарат",IF(C81="","",COUNTIFS(Однолинейка!$I$3:$I$3000,C81,Однолинейка!$A$3:$A$3000,Щит_спец)+COUNTIFS(Однолинейка!$J$3:$J$3000,C81,Однолинейка!$A$3:$A$3000,Щит_спец)+COUNTIFS(Однолинейка!$K$3:$K$3000,C81,Однолинейка!$A$3:$A$3000,Щит_спец)),IF(A81="Модуль",IF(C81="","",COUNTIFS(Однолинейка!$AW$3:$AW$3000,"?*",Однолинейка!$AI$3:$AI$3000,C81,Однолинейка!$A$3:$A$3000,Щит_спец)),IF(A81="Клемма",IF(C81="","",IF(C81=$S$7,SUMIFS(Однолинейка!$BW$3:$BW$3000,Однолинейка!$A$3:$A$3000,Щит_спец),IF(C81=$S$8,SUMIFS(Однолинейка!$BX$3:$BX$3000,Однолинейка!$A$3:$A$3000,Щит_спец),""))),""))))</f>
        <v/>
      </c>
      <c r="O81" s="74"/>
      <c r="P81" s="38" t="str">
        <f t="shared" si="9"/>
        <v/>
      </c>
      <c r="U81" s="38" t="str">
        <f t="shared" si="10"/>
        <v/>
      </c>
      <c r="V81" s="38" t="str">
        <f t="shared" si="11"/>
        <v/>
      </c>
      <c r="W81" s="38" t="str">
        <f>IF(AND(U81&lt;&gt;"",OR($S$4="(все)",B81=$S$4),IF($S$4="(все)",COUNTIF($U$4:U81,U81),COUNTIFS($U$4:U81,U81,$B$4:B81,B81))=1),MAX($W$3:W80)+1,"")</f>
        <v/>
      </c>
      <c r="X81" s="38" t="str">
        <f t="shared" si="12"/>
        <v/>
      </c>
      <c r="Y81" s="38" t="str">
        <f>IF(AND(A81="Аппарат",C81&lt;&gt;"",OR($S$5="(все)",B81=$S$5)),MAX($Y$3:Y80)+1,"")</f>
        <v/>
      </c>
      <c r="Z81" s="38" t="str">
        <f t="shared" si="13"/>
        <v/>
      </c>
      <c r="AA81" s="38" t="str">
        <f>IF(AND(A81="Модуль",C81&lt;&gt;"",OR($S$6="(все)",B81=$S$6)),MAX($AA$3:AA80)+1,"")</f>
        <v/>
      </c>
      <c r="AB81" s="38" t="str">
        <f t="shared" si="14"/>
        <v/>
      </c>
      <c r="AC81" s="38" t="str">
        <f>IF(OR(B81="",COUNTIF($B$4:B81,B81)&gt;1),"",MAX($AC$3:AC80)+1)</f>
        <v/>
      </c>
      <c r="AD81" s="38" t="str">
        <f t="shared" si="15"/>
        <v/>
      </c>
      <c r="AE81" s="38" t="str">
        <f t="shared" si="16"/>
        <v/>
      </c>
      <c r="AF81" s="38" t="str">
        <f t="shared" si="17"/>
        <v/>
      </c>
    </row>
    <row r="82" spans="1:32" x14ac:dyDescent="0.3">
      <c r="A82" s="74" t="s">
        <v>709</v>
      </c>
      <c r="B82" s="74" t="s">
        <v>324</v>
      </c>
      <c r="C82" s="74" t="s">
        <v>335</v>
      </c>
      <c r="D82" s="74"/>
      <c r="E82" s="74"/>
      <c r="F82" s="74"/>
      <c r="G82" s="74" t="s">
        <v>372</v>
      </c>
      <c r="H82" s="74" t="s">
        <v>335</v>
      </c>
      <c r="I82" s="74"/>
      <c r="J82" s="74"/>
      <c r="K82" s="74"/>
      <c r="L82" s="74"/>
      <c r="M82" s="74" t="s">
        <v>325</v>
      </c>
      <c r="N82" s="38" t="str">
        <f>IF(OR(A82="Автомат",A82="Дифавтомат"),IF(W82="","",COUNTIFS(Однолинейка!$H$3:$H$3000,U82,Однолинейка!$A$3:$A$3000,Щит_спец)),IF(A82="Аппарат",IF(C82="","",COUNTIFS(Однолинейка!$I$3:$I$3000,C82,Однолинейка!$A$3:$A$3000,Щит_спец)+COUNTIFS(Однолинейка!$J$3:$J$3000,C82,Однолинейка!$A$3:$A$3000,Щит_спец)+COUNTIFS(Однолинейка!$K$3:$K$3000,C82,Однолинейка!$A$3:$A$3000,Щит_спец)),IF(A82="Модуль",IF(C82="","",COUNTIFS(Однолинейка!$AW$3:$AW$3000,"?*",Однолинейка!$AI$3:$AI$3000,C82,Однолинейка!$A$3:$A$3000,Щит_спец)),IF(A82="Клемма",IF(C82="","",IF(C82=$S$7,SUMIFS(Однолинейка!$BW$3:$BW$3000,Однолинейка!$A$3:$A$3000,Щит_спец),IF(C82=$S$8,SUMIFS(Однолинейка!$BX$3:$BX$3000,Однолинейка!$A$3:$A$3000,Щит_спец),""))),""))))</f>
        <v/>
      </c>
      <c r="O82" s="74"/>
      <c r="P82" s="38" t="str">
        <f t="shared" si="9"/>
        <v/>
      </c>
      <c r="U82" s="38" t="str">
        <f t="shared" si="10"/>
        <v/>
      </c>
      <c r="V82" s="38" t="str">
        <f t="shared" si="11"/>
        <v/>
      </c>
      <c r="W82" s="38" t="str">
        <f>IF(AND(U82&lt;&gt;"",OR($S$4="(все)",B82=$S$4),IF($S$4="(все)",COUNTIF($U$4:U82,U82),COUNTIFS($U$4:U82,U82,$B$4:B82,B82))=1),MAX($W$3:W81)+1,"")</f>
        <v/>
      </c>
      <c r="X82" s="38" t="str">
        <f t="shared" si="12"/>
        <v/>
      </c>
      <c r="Y82" s="38" t="str">
        <f>IF(AND(A82="Аппарат",C82&lt;&gt;"",OR($S$5="(все)",B82=$S$5)),MAX($Y$3:Y81)+1,"")</f>
        <v/>
      </c>
      <c r="Z82" s="38" t="str">
        <f t="shared" si="13"/>
        <v/>
      </c>
      <c r="AA82" s="38" t="str">
        <f>IF(AND(A82="Модуль",C82&lt;&gt;"",OR($S$6="(все)",B82=$S$6)),MAX($AA$3:AA81)+1,"")</f>
        <v/>
      </c>
      <c r="AB82" s="38" t="str">
        <f t="shared" si="14"/>
        <v/>
      </c>
      <c r="AC82" s="38" t="str">
        <f>IF(OR(B82="",COUNTIF($B$4:B82,B82)&gt;1),"",MAX($AC$3:AC81)+1)</f>
        <v/>
      </c>
      <c r="AD82" s="38" t="str">
        <f t="shared" si="15"/>
        <v/>
      </c>
      <c r="AE82" s="38" t="str">
        <f t="shared" si="16"/>
        <v/>
      </c>
      <c r="AF82" s="38" t="str">
        <f t="shared" si="17"/>
        <v/>
      </c>
    </row>
    <row r="83" spans="1:32" x14ac:dyDescent="0.3">
      <c r="A83" s="74" t="s">
        <v>709</v>
      </c>
      <c r="B83" s="74" t="s">
        <v>324</v>
      </c>
      <c r="C83" s="74" t="s">
        <v>378</v>
      </c>
      <c r="D83" s="74"/>
      <c r="E83" s="74"/>
      <c r="F83" s="74"/>
      <c r="G83" s="74" t="s">
        <v>373</v>
      </c>
      <c r="H83" s="74" t="s">
        <v>378</v>
      </c>
      <c r="I83" s="74"/>
      <c r="J83" s="74"/>
      <c r="K83" s="74"/>
      <c r="L83" s="74"/>
      <c r="M83" s="74" t="s">
        <v>325</v>
      </c>
      <c r="N83" s="38" t="str">
        <f>IF(OR(A83="Автомат",A83="Дифавтомат"),IF(W83="","",COUNTIFS(Однолинейка!$H$3:$H$3000,U83,Однолинейка!$A$3:$A$3000,Щит_спец)),IF(A83="Аппарат",IF(C83="","",COUNTIFS(Однолинейка!$I$3:$I$3000,C83,Однолинейка!$A$3:$A$3000,Щит_спец)+COUNTIFS(Однолинейка!$J$3:$J$3000,C83,Однолинейка!$A$3:$A$3000,Щит_спец)+COUNTIFS(Однолинейка!$K$3:$K$3000,C83,Однолинейка!$A$3:$A$3000,Щит_спец)),IF(A83="Модуль",IF(C83="","",COUNTIFS(Однолинейка!$AW$3:$AW$3000,"?*",Однолинейка!$AI$3:$AI$3000,C83,Однолинейка!$A$3:$A$3000,Щит_спец)),IF(A83="Клемма",IF(C83="","",IF(C83=$S$7,SUMIFS(Однолинейка!$BW$3:$BW$3000,Однолинейка!$A$3:$A$3000,Щит_спец),IF(C83=$S$8,SUMIFS(Однолинейка!$BX$3:$BX$3000,Однолинейка!$A$3:$A$3000,Щит_спец),""))),""))))</f>
        <v/>
      </c>
      <c r="O83" s="74"/>
      <c r="P83" s="38" t="str">
        <f t="shared" si="9"/>
        <v/>
      </c>
      <c r="U83" s="38" t="str">
        <f t="shared" si="10"/>
        <v/>
      </c>
      <c r="V83" s="38" t="str">
        <f t="shared" si="11"/>
        <v/>
      </c>
      <c r="W83" s="38" t="str">
        <f>IF(AND(U83&lt;&gt;"",OR($S$4="(все)",B83=$S$4),IF($S$4="(все)",COUNTIF($U$4:U83,U83),COUNTIFS($U$4:U83,U83,$B$4:B83,B83))=1),MAX($W$3:W82)+1,"")</f>
        <v/>
      </c>
      <c r="X83" s="38" t="str">
        <f t="shared" si="12"/>
        <v/>
      </c>
      <c r="Y83" s="38" t="str">
        <f>IF(AND(A83="Аппарат",C83&lt;&gt;"",OR($S$5="(все)",B83=$S$5)),MAX($Y$3:Y82)+1,"")</f>
        <v/>
      </c>
      <c r="Z83" s="38" t="str">
        <f t="shared" si="13"/>
        <v/>
      </c>
      <c r="AA83" s="38" t="str">
        <f>IF(AND(A83="Модуль",C83&lt;&gt;"",OR($S$6="(все)",B83=$S$6)),MAX($AA$3:AA82)+1,"")</f>
        <v/>
      </c>
      <c r="AB83" s="38" t="str">
        <f t="shared" si="14"/>
        <v/>
      </c>
      <c r="AC83" s="38" t="str">
        <f>IF(OR(B83="",COUNTIF($B$4:B83,B83)&gt;1),"",MAX($AC$3:AC82)+1)</f>
        <v/>
      </c>
      <c r="AD83" s="38" t="str">
        <f t="shared" si="15"/>
        <v/>
      </c>
      <c r="AE83" s="38" t="str">
        <f t="shared" si="16"/>
        <v/>
      </c>
      <c r="AF83" s="38" t="str">
        <f t="shared" si="17"/>
        <v/>
      </c>
    </row>
    <row r="84" spans="1:32" x14ac:dyDescent="0.3">
      <c r="A84" s="74" t="s">
        <v>709</v>
      </c>
      <c r="B84" s="74" t="s">
        <v>324</v>
      </c>
      <c r="C84" s="74" t="s">
        <v>378</v>
      </c>
      <c r="D84" s="74"/>
      <c r="E84" s="74"/>
      <c r="F84" s="74"/>
      <c r="G84" s="74" t="s">
        <v>374</v>
      </c>
      <c r="H84" s="74" t="s">
        <v>378</v>
      </c>
      <c r="I84" s="74"/>
      <c r="J84" s="74"/>
      <c r="K84" s="74"/>
      <c r="L84" s="74"/>
      <c r="M84" s="74" t="s">
        <v>325</v>
      </c>
      <c r="N84" s="38" t="str">
        <f>IF(OR(A84="Автомат",A84="Дифавтомат"),IF(W84="","",COUNTIFS(Однолинейка!$H$3:$H$3000,U84,Однолинейка!$A$3:$A$3000,Щит_спец)),IF(A84="Аппарат",IF(C84="","",COUNTIFS(Однолинейка!$I$3:$I$3000,C84,Однолинейка!$A$3:$A$3000,Щит_спец)+COUNTIFS(Однолинейка!$J$3:$J$3000,C84,Однолинейка!$A$3:$A$3000,Щит_спец)+COUNTIFS(Однолинейка!$K$3:$K$3000,C84,Однолинейка!$A$3:$A$3000,Щит_спец)),IF(A84="Модуль",IF(C84="","",COUNTIFS(Однолинейка!$AW$3:$AW$3000,"?*",Однолинейка!$AI$3:$AI$3000,C84,Однолинейка!$A$3:$A$3000,Щит_спец)),IF(A84="Клемма",IF(C84="","",IF(C84=$S$7,SUMIFS(Однолинейка!$BW$3:$BW$3000,Однолинейка!$A$3:$A$3000,Щит_спец),IF(C84=$S$8,SUMIFS(Однолинейка!$BX$3:$BX$3000,Однолинейка!$A$3:$A$3000,Щит_спец),""))),""))))</f>
        <v/>
      </c>
      <c r="O84" s="74"/>
      <c r="P84" s="38" t="str">
        <f t="shared" si="9"/>
        <v/>
      </c>
      <c r="U84" s="38" t="str">
        <f t="shared" si="10"/>
        <v/>
      </c>
      <c r="V84" s="38" t="str">
        <f t="shared" si="11"/>
        <v/>
      </c>
      <c r="W84" s="38" t="str">
        <f>IF(AND(U84&lt;&gt;"",OR($S$4="(все)",B84=$S$4),IF($S$4="(все)",COUNTIF($U$4:U84,U84),COUNTIFS($U$4:U84,U84,$B$4:B84,B84))=1),MAX($W$3:W83)+1,"")</f>
        <v/>
      </c>
      <c r="X84" s="38" t="str">
        <f t="shared" si="12"/>
        <v/>
      </c>
      <c r="Y84" s="38" t="str">
        <f>IF(AND(A84="Аппарат",C84&lt;&gt;"",OR($S$5="(все)",B84=$S$5)),MAX($Y$3:Y83)+1,"")</f>
        <v/>
      </c>
      <c r="Z84" s="38" t="str">
        <f t="shared" si="13"/>
        <v/>
      </c>
      <c r="AA84" s="38" t="str">
        <f>IF(AND(A84="Модуль",C84&lt;&gt;"",OR($S$6="(все)",B84=$S$6)),MAX($AA$3:AA83)+1,"")</f>
        <v/>
      </c>
      <c r="AB84" s="38" t="str">
        <f t="shared" si="14"/>
        <v/>
      </c>
      <c r="AC84" s="38" t="str">
        <f>IF(OR(B84="",COUNTIF($B$4:B84,B84)&gt;1),"",MAX($AC$3:AC83)+1)</f>
        <v/>
      </c>
      <c r="AD84" s="38" t="str">
        <f t="shared" si="15"/>
        <v/>
      </c>
      <c r="AE84" s="38" t="str">
        <f t="shared" si="16"/>
        <v/>
      </c>
      <c r="AF84" s="38" t="str">
        <f t="shared" si="17"/>
        <v/>
      </c>
    </row>
    <row r="85" spans="1:32" x14ac:dyDescent="0.3">
      <c r="A85" s="74" t="s">
        <v>709</v>
      </c>
      <c r="B85" s="74" t="s">
        <v>324</v>
      </c>
      <c r="C85" s="74" t="s">
        <v>378</v>
      </c>
      <c r="D85" s="74"/>
      <c r="E85" s="74"/>
      <c r="F85" s="74"/>
      <c r="G85" s="74" t="s">
        <v>375</v>
      </c>
      <c r="H85" s="74" t="s">
        <v>378</v>
      </c>
      <c r="I85" s="74"/>
      <c r="J85" s="74"/>
      <c r="K85" s="74"/>
      <c r="L85" s="74"/>
      <c r="M85" s="74" t="s">
        <v>325</v>
      </c>
      <c r="N85" s="38" t="str">
        <f>IF(OR(A85="Автомат",A85="Дифавтомат"),IF(W85="","",COUNTIFS(Однолинейка!$H$3:$H$3000,U85,Однолинейка!$A$3:$A$3000,Щит_спец)),IF(A85="Аппарат",IF(C85="","",COUNTIFS(Однолинейка!$I$3:$I$3000,C85,Однолинейка!$A$3:$A$3000,Щит_спец)+COUNTIFS(Однолинейка!$J$3:$J$3000,C85,Однолинейка!$A$3:$A$3000,Щит_спец)+COUNTIFS(Однолинейка!$K$3:$K$3000,C85,Однолинейка!$A$3:$A$3000,Щит_спец)),IF(A85="Модуль",IF(C85="","",COUNTIFS(Однолинейка!$AW$3:$AW$3000,"?*",Однолинейка!$AI$3:$AI$3000,C85,Однолинейка!$A$3:$A$3000,Щит_спец)),IF(A85="Клемма",IF(C85="","",IF(C85=$S$7,SUMIFS(Однолинейка!$BW$3:$BW$3000,Однолинейка!$A$3:$A$3000,Щит_спец),IF(C85=$S$8,SUMIFS(Однолинейка!$BX$3:$BX$3000,Однолинейка!$A$3:$A$3000,Щит_спец),""))),""))))</f>
        <v/>
      </c>
      <c r="O85" s="74"/>
      <c r="P85" s="38" t="str">
        <f t="shared" si="9"/>
        <v/>
      </c>
      <c r="U85" s="38" t="str">
        <f t="shared" si="10"/>
        <v/>
      </c>
      <c r="V85" s="38" t="str">
        <f t="shared" si="11"/>
        <v/>
      </c>
      <c r="W85" s="38" t="str">
        <f>IF(AND(U85&lt;&gt;"",OR($S$4="(все)",B85=$S$4),IF($S$4="(все)",COUNTIF($U$4:U85,U85),COUNTIFS($U$4:U85,U85,$B$4:B85,B85))=1),MAX($W$3:W84)+1,"")</f>
        <v/>
      </c>
      <c r="X85" s="38" t="str">
        <f t="shared" si="12"/>
        <v/>
      </c>
      <c r="Y85" s="38" t="str">
        <f>IF(AND(A85="Аппарат",C85&lt;&gt;"",OR($S$5="(все)",B85=$S$5)),MAX($Y$3:Y84)+1,"")</f>
        <v/>
      </c>
      <c r="Z85" s="38" t="str">
        <f t="shared" si="13"/>
        <v/>
      </c>
      <c r="AA85" s="38" t="str">
        <f>IF(AND(A85="Модуль",C85&lt;&gt;"",OR($S$6="(все)",B85=$S$6)),MAX($AA$3:AA84)+1,"")</f>
        <v/>
      </c>
      <c r="AB85" s="38" t="str">
        <f t="shared" si="14"/>
        <v/>
      </c>
      <c r="AC85" s="38" t="str">
        <f>IF(OR(B85="",COUNTIF($B$4:B85,B85)&gt;1),"",MAX($AC$3:AC84)+1)</f>
        <v/>
      </c>
      <c r="AD85" s="38" t="str">
        <f t="shared" si="15"/>
        <v/>
      </c>
      <c r="AE85" s="38" t="str">
        <f t="shared" si="16"/>
        <v/>
      </c>
      <c r="AF85" s="38" t="str">
        <f t="shared" si="17"/>
        <v/>
      </c>
    </row>
    <row r="86" spans="1:32" x14ac:dyDescent="0.3">
      <c r="A86" s="74" t="s">
        <v>709</v>
      </c>
      <c r="B86" s="74" t="s">
        <v>324</v>
      </c>
      <c r="C86" s="74" t="s">
        <v>378</v>
      </c>
      <c r="D86" s="74"/>
      <c r="E86" s="74"/>
      <c r="F86" s="74"/>
      <c r="G86" s="74" t="s">
        <v>376</v>
      </c>
      <c r="H86" s="74" t="s">
        <v>378</v>
      </c>
      <c r="I86" s="74"/>
      <c r="J86" s="74"/>
      <c r="K86" s="74"/>
      <c r="L86" s="74"/>
      <c r="M86" s="74" t="s">
        <v>325</v>
      </c>
      <c r="N86" s="38" t="str">
        <f>IF(OR(A86="Автомат",A86="Дифавтомат"),IF(W86="","",COUNTIFS(Однолинейка!$H$3:$H$3000,U86,Однолинейка!$A$3:$A$3000,Щит_спец)),IF(A86="Аппарат",IF(C86="","",COUNTIFS(Однолинейка!$I$3:$I$3000,C86,Однолинейка!$A$3:$A$3000,Щит_спец)+COUNTIFS(Однолинейка!$J$3:$J$3000,C86,Однолинейка!$A$3:$A$3000,Щит_спец)+COUNTIFS(Однолинейка!$K$3:$K$3000,C86,Однолинейка!$A$3:$A$3000,Щит_спец)),IF(A86="Модуль",IF(C86="","",COUNTIFS(Однолинейка!$AW$3:$AW$3000,"?*",Однолинейка!$AI$3:$AI$3000,C86,Однолинейка!$A$3:$A$3000,Щит_спец)),IF(A86="Клемма",IF(C86="","",IF(C86=$S$7,SUMIFS(Однолинейка!$BW$3:$BW$3000,Однолинейка!$A$3:$A$3000,Щит_спец),IF(C86=$S$8,SUMIFS(Однолинейка!$BX$3:$BX$3000,Однолинейка!$A$3:$A$3000,Щит_спец),""))),""))))</f>
        <v/>
      </c>
      <c r="O86" s="74"/>
      <c r="P86" s="38" t="str">
        <f t="shared" si="9"/>
        <v/>
      </c>
      <c r="U86" s="38" t="str">
        <f t="shared" si="10"/>
        <v/>
      </c>
      <c r="V86" s="38" t="str">
        <f t="shared" si="11"/>
        <v/>
      </c>
      <c r="W86" s="38" t="str">
        <f>IF(AND(U86&lt;&gt;"",OR($S$4="(все)",B86=$S$4),IF($S$4="(все)",COUNTIF($U$4:U86,U86),COUNTIFS($U$4:U86,U86,$B$4:B86,B86))=1),MAX($W$3:W85)+1,"")</f>
        <v/>
      </c>
      <c r="X86" s="38" t="str">
        <f t="shared" si="12"/>
        <v/>
      </c>
      <c r="Y86" s="38" t="str">
        <f>IF(AND(A86="Аппарат",C86&lt;&gt;"",OR($S$5="(все)",B86=$S$5)),MAX($Y$3:Y85)+1,"")</f>
        <v/>
      </c>
      <c r="Z86" s="38" t="str">
        <f t="shared" si="13"/>
        <v/>
      </c>
      <c r="AA86" s="38" t="str">
        <f>IF(AND(A86="Модуль",C86&lt;&gt;"",OR($S$6="(все)",B86=$S$6)),MAX($AA$3:AA85)+1,"")</f>
        <v/>
      </c>
      <c r="AB86" s="38" t="str">
        <f t="shared" si="14"/>
        <v/>
      </c>
      <c r="AC86" s="38" t="str">
        <f>IF(OR(B86="",COUNTIF($B$4:B86,B86)&gt;1),"",MAX($AC$3:AC85)+1)</f>
        <v/>
      </c>
      <c r="AD86" s="38" t="str">
        <f t="shared" si="15"/>
        <v/>
      </c>
      <c r="AE86" s="38" t="str">
        <f t="shared" si="16"/>
        <v/>
      </c>
      <c r="AF86" s="38" t="str">
        <f t="shared" si="17"/>
        <v/>
      </c>
    </row>
    <row r="87" spans="1:32" x14ac:dyDescent="0.3">
      <c r="A87" s="74" t="s">
        <v>709</v>
      </c>
      <c r="B87" s="74" t="s">
        <v>324</v>
      </c>
      <c r="C87" s="74" t="s">
        <v>378</v>
      </c>
      <c r="D87" s="74"/>
      <c r="E87" s="74"/>
      <c r="F87" s="74"/>
      <c r="G87" s="74" t="s">
        <v>377</v>
      </c>
      <c r="H87" s="74" t="s">
        <v>378</v>
      </c>
      <c r="I87" s="74"/>
      <c r="J87" s="74"/>
      <c r="K87" s="74"/>
      <c r="L87" s="74"/>
      <c r="M87" s="74" t="s">
        <v>325</v>
      </c>
      <c r="N87" s="38" t="str">
        <f>IF(OR(A87="Автомат",A87="Дифавтомат"),IF(W87="","",COUNTIFS(Однолинейка!$H$3:$H$3000,U87,Однолинейка!$A$3:$A$3000,Щит_спец)),IF(A87="Аппарат",IF(C87="","",COUNTIFS(Однолинейка!$I$3:$I$3000,C87,Однолинейка!$A$3:$A$3000,Щит_спец)+COUNTIFS(Однолинейка!$J$3:$J$3000,C87,Однолинейка!$A$3:$A$3000,Щит_спец)+COUNTIFS(Однолинейка!$K$3:$K$3000,C87,Однолинейка!$A$3:$A$3000,Щит_спец)),IF(A87="Модуль",IF(C87="","",COUNTIFS(Однолинейка!$AW$3:$AW$3000,"?*",Однолинейка!$AI$3:$AI$3000,C87,Однолинейка!$A$3:$A$3000,Щит_спец)),IF(A87="Клемма",IF(C87="","",IF(C87=$S$7,SUMIFS(Однолинейка!$BW$3:$BW$3000,Однолинейка!$A$3:$A$3000,Щит_спец),IF(C87=$S$8,SUMIFS(Однолинейка!$BX$3:$BX$3000,Однолинейка!$A$3:$A$3000,Щит_спец),""))),""))))</f>
        <v/>
      </c>
      <c r="O87" s="74"/>
      <c r="P87" s="38" t="str">
        <f t="shared" si="9"/>
        <v/>
      </c>
      <c r="U87" s="38" t="str">
        <f t="shared" si="10"/>
        <v/>
      </c>
      <c r="V87" s="38" t="str">
        <f t="shared" si="11"/>
        <v/>
      </c>
      <c r="W87" s="38" t="str">
        <f>IF(AND(U87&lt;&gt;"",OR($S$4="(все)",B87=$S$4),IF($S$4="(все)",COUNTIF($U$4:U87,U87),COUNTIFS($U$4:U87,U87,$B$4:B87,B87))=1),MAX($W$3:W86)+1,"")</f>
        <v/>
      </c>
      <c r="X87" s="38" t="str">
        <f t="shared" si="12"/>
        <v/>
      </c>
      <c r="Y87" s="38" t="str">
        <f>IF(AND(A87="Аппарат",C87&lt;&gt;"",OR($S$5="(все)",B87=$S$5)),MAX($Y$3:Y86)+1,"")</f>
        <v/>
      </c>
      <c r="Z87" s="38" t="str">
        <f t="shared" si="13"/>
        <v/>
      </c>
      <c r="AA87" s="38" t="str">
        <f>IF(AND(A87="Модуль",C87&lt;&gt;"",OR($S$6="(все)",B87=$S$6)),MAX($AA$3:AA86)+1,"")</f>
        <v/>
      </c>
      <c r="AB87" s="38" t="str">
        <f t="shared" si="14"/>
        <v/>
      </c>
      <c r="AC87" s="38" t="str">
        <f>IF(OR(B87="",COUNTIF($B$4:B87,B87)&gt;1),"",MAX($AC$3:AC86)+1)</f>
        <v/>
      </c>
      <c r="AD87" s="38" t="str">
        <f t="shared" si="15"/>
        <v/>
      </c>
      <c r="AE87" s="38" t="str">
        <f t="shared" si="16"/>
        <v/>
      </c>
      <c r="AF87" s="38" t="str">
        <f t="shared" si="17"/>
        <v/>
      </c>
    </row>
    <row r="88" spans="1:32" x14ac:dyDescent="0.3">
      <c r="A88" s="74" t="s">
        <v>620</v>
      </c>
      <c r="B88" s="74" t="s">
        <v>341</v>
      </c>
      <c r="C88" s="74" t="s">
        <v>340</v>
      </c>
      <c r="D88" s="74"/>
      <c r="E88" s="74"/>
      <c r="F88" s="74"/>
      <c r="G88" s="74" t="s">
        <v>339</v>
      </c>
      <c r="H88" s="74" t="s">
        <v>340</v>
      </c>
      <c r="I88" s="74"/>
      <c r="J88" s="74"/>
      <c r="K88" s="74"/>
      <c r="L88" s="74"/>
      <c r="M88" s="74" t="s">
        <v>342</v>
      </c>
      <c r="N88" s="38" t="str">
        <f>IF(OR(A88="Автомат",A88="Дифавтомат"),IF(W88="","",COUNTIFS(Однолинейка!$H$3:$H$3000,U88,Однолинейка!$A$3:$A$3000,Щит_спец)),IF(A88="Аппарат",IF(C88="","",COUNTIFS(Однолинейка!$I$3:$I$3000,C88,Однолинейка!$A$3:$A$3000,Щит_спец)+COUNTIFS(Однолинейка!$J$3:$J$3000,C88,Однолинейка!$A$3:$A$3000,Щит_спец)+COUNTIFS(Однолинейка!$K$3:$K$3000,C88,Однолинейка!$A$3:$A$3000,Щит_спец)),IF(A88="Модуль",IF(C88="","",COUNTIFS(Однолинейка!$AW$3:$AW$3000,"?*",Однолинейка!$AI$3:$AI$3000,C88,Однолинейка!$A$3:$A$3000,Щит_спец)),IF(A88="Клемма",IF(C88="","",IF(C88=$S$7,SUMIFS(Однолинейка!$BW$3:$BW$3000,Однолинейка!$A$3:$A$3000,Щит_спец),IF(C88=$S$8,SUMIFS(Однолинейка!$BX$3:$BX$3000,Однолинейка!$A$3:$A$3000,Щит_спец),""))),""))))</f>
        <v/>
      </c>
      <c r="O88" s="74"/>
      <c r="P88" s="38" t="str">
        <f t="shared" si="9"/>
        <v/>
      </c>
      <c r="U88" s="38" t="str">
        <f t="shared" si="10"/>
        <v/>
      </c>
      <c r="V88" s="38" t="str">
        <f t="shared" si="11"/>
        <v/>
      </c>
      <c r="W88" s="38" t="str">
        <f>IF(AND(U88&lt;&gt;"",OR($S$4="(все)",B88=$S$4),IF($S$4="(все)",COUNTIF($U$4:U88,U88),COUNTIFS($U$4:U88,U88,$B$4:B88,B88))=1),MAX($W$3:W87)+1,"")</f>
        <v/>
      </c>
      <c r="X88" s="38" t="str">
        <f t="shared" si="12"/>
        <v/>
      </c>
      <c r="Y88" s="38" t="str">
        <f>IF(AND(A88="Аппарат",C88&lt;&gt;"",OR($S$5="(все)",B88=$S$5)),MAX($Y$3:Y87)+1,"")</f>
        <v/>
      </c>
      <c r="Z88" s="38" t="str">
        <f t="shared" si="13"/>
        <v/>
      </c>
      <c r="AA88" s="38" t="str">
        <f>IF(AND(A88="Модуль",C88&lt;&gt;"",OR($S$6="(все)",B88=$S$6)),MAX($AA$3:AA87)+1,"")</f>
        <v/>
      </c>
      <c r="AB88" s="38" t="str">
        <f t="shared" si="14"/>
        <v/>
      </c>
      <c r="AC88" s="38">
        <f>IF(OR(B88="",COUNTIF($B$4:B88,B88)&gt;1),"",MAX($AC$3:AC87)+1)</f>
        <v>9</v>
      </c>
      <c r="AD88" s="38" t="str">
        <f t="shared" si="15"/>
        <v/>
      </c>
      <c r="AE88" s="38" t="str">
        <f t="shared" si="16"/>
        <v/>
      </c>
      <c r="AF88" s="38" t="str">
        <f t="shared" si="17"/>
        <v/>
      </c>
    </row>
    <row r="89" spans="1:32" x14ac:dyDescent="0.3">
      <c r="A89" s="74" t="s">
        <v>620</v>
      </c>
      <c r="B89" s="74" t="s">
        <v>341</v>
      </c>
      <c r="C89" s="74" t="s">
        <v>728</v>
      </c>
      <c r="D89" s="74"/>
      <c r="E89" s="74"/>
      <c r="F89" s="74"/>
      <c r="G89" s="74" t="s">
        <v>343</v>
      </c>
      <c r="H89" s="74" t="s">
        <v>728</v>
      </c>
      <c r="I89" s="74"/>
      <c r="J89" s="74"/>
      <c r="K89" s="74"/>
      <c r="L89" s="74"/>
      <c r="M89" s="74" t="s">
        <v>342</v>
      </c>
      <c r="N89" s="38" t="str">
        <f>IF(OR(A89="Автомат",A89="Дифавтомат"),IF(W89="","",COUNTIFS(Однолинейка!$H$3:$H$3000,U89,Однолинейка!$A$3:$A$3000,Щит_спец)),IF(A89="Аппарат",IF(C89="","",COUNTIFS(Однолинейка!$I$3:$I$3000,C89,Однолинейка!$A$3:$A$3000,Щит_спец)+COUNTIFS(Однолинейка!$J$3:$J$3000,C89,Однолинейка!$A$3:$A$3000,Щит_спец)+COUNTIFS(Однолинейка!$K$3:$K$3000,C89,Однолинейка!$A$3:$A$3000,Щит_спец)),IF(A89="Модуль",IF(C89="","",COUNTIFS(Однолинейка!$AW$3:$AW$3000,"?*",Однолинейка!$AI$3:$AI$3000,C89,Однолинейка!$A$3:$A$3000,Щит_спец)),IF(A89="Клемма",IF(C89="","",IF(C89=$S$7,SUMIFS(Однолинейка!$BW$3:$BW$3000,Однолинейка!$A$3:$A$3000,Щит_спец),IF(C89=$S$8,SUMIFS(Однолинейка!$BX$3:$BX$3000,Однолинейка!$A$3:$A$3000,Щит_спец),""))),""))))</f>
        <v/>
      </c>
      <c r="O89" s="74"/>
      <c r="P89" s="38" t="str">
        <f t="shared" si="9"/>
        <v/>
      </c>
      <c r="U89" s="38" t="str">
        <f t="shared" si="10"/>
        <v/>
      </c>
      <c r="V89" s="38" t="str">
        <f t="shared" si="11"/>
        <v/>
      </c>
      <c r="W89" s="38" t="str">
        <f>IF(AND(U89&lt;&gt;"",OR($S$4="(все)",B89=$S$4),IF($S$4="(все)",COUNTIF($U$4:U89,U89),COUNTIFS($U$4:U89,U89,$B$4:B89,B89))=1),MAX($W$3:W88)+1,"")</f>
        <v/>
      </c>
      <c r="X89" s="38" t="str">
        <f t="shared" si="12"/>
        <v/>
      </c>
      <c r="Y89" s="38" t="str">
        <f>IF(AND(A89="Аппарат",C89&lt;&gt;"",OR($S$5="(все)",B89=$S$5)),MAX($Y$3:Y88)+1,"")</f>
        <v/>
      </c>
      <c r="Z89" s="38" t="str">
        <f t="shared" si="13"/>
        <v/>
      </c>
      <c r="AA89" s="38" t="str">
        <f>IF(AND(A89="Модуль",C89&lt;&gt;"",OR($S$6="(все)",B89=$S$6)),MAX($AA$3:AA88)+1,"")</f>
        <v/>
      </c>
      <c r="AB89" s="38" t="str">
        <f t="shared" si="14"/>
        <v/>
      </c>
      <c r="AC89" s="38" t="str">
        <f>IF(OR(B89="",COUNTIF($B$4:B89,B89)&gt;1),"",MAX($AC$3:AC88)+1)</f>
        <v/>
      </c>
      <c r="AD89" s="38" t="str">
        <f t="shared" si="15"/>
        <v/>
      </c>
      <c r="AE89" s="38" t="str">
        <f t="shared" si="16"/>
        <v/>
      </c>
      <c r="AF89" s="38" t="str">
        <f t="shared" si="17"/>
        <v/>
      </c>
    </row>
    <row r="90" spans="1:32" x14ac:dyDescent="0.3">
      <c r="A90" s="74" t="s">
        <v>620</v>
      </c>
      <c r="B90" s="74" t="s">
        <v>341</v>
      </c>
      <c r="C90" s="74" t="s">
        <v>729</v>
      </c>
      <c r="D90" s="74"/>
      <c r="E90" s="74"/>
      <c r="F90" s="74"/>
      <c r="G90" s="74" t="s">
        <v>344</v>
      </c>
      <c r="H90" s="74" t="s">
        <v>729</v>
      </c>
      <c r="I90" s="74"/>
      <c r="J90" s="74"/>
      <c r="K90" s="74"/>
      <c r="L90" s="74"/>
      <c r="M90" s="74" t="s">
        <v>342</v>
      </c>
      <c r="N90" s="38" t="str">
        <f>IF(OR(A90="Автомат",A90="Дифавтомат"),IF(W90="","",COUNTIFS(Однолинейка!$H$3:$H$3000,U90,Однолинейка!$A$3:$A$3000,Щит_спец)),IF(A90="Аппарат",IF(C90="","",COUNTIFS(Однолинейка!$I$3:$I$3000,C90,Однолинейка!$A$3:$A$3000,Щит_спец)+COUNTIFS(Однолинейка!$J$3:$J$3000,C90,Однолинейка!$A$3:$A$3000,Щит_спец)+COUNTIFS(Однолинейка!$K$3:$K$3000,C90,Однолинейка!$A$3:$A$3000,Щит_спец)),IF(A90="Модуль",IF(C90="","",COUNTIFS(Однолинейка!$AW$3:$AW$3000,"?*",Однолинейка!$AI$3:$AI$3000,C90,Однолинейка!$A$3:$A$3000,Щит_спец)),IF(A90="Клемма",IF(C90="","",IF(C90=$S$7,SUMIFS(Однолинейка!$BW$3:$BW$3000,Однолинейка!$A$3:$A$3000,Щит_спец),IF(C90=$S$8,SUMIFS(Однолинейка!$BX$3:$BX$3000,Однолинейка!$A$3:$A$3000,Щит_спец),""))),""))))</f>
        <v/>
      </c>
      <c r="O90" s="74"/>
      <c r="P90" s="38" t="str">
        <f t="shared" si="9"/>
        <v/>
      </c>
      <c r="U90" s="38" t="str">
        <f t="shared" si="10"/>
        <v/>
      </c>
      <c r="V90" s="38" t="str">
        <f t="shared" si="11"/>
        <v/>
      </c>
      <c r="W90" s="38" t="str">
        <f>IF(AND(U90&lt;&gt;"",OR($S$4="(все)",B90=$S$4),IF($S$4="(все)",COUNTIF($U$4:U90,U90),COUNTIFS($U$4:U90,U90,$B$4:B90,B90))=1),MAX($W$3:W89)+1,"")</f>
        <v/>
      </c>
      <c r="X90" s="38" t="str">
        <f t="shared" si="12"/>
        <v/>
      </c>
      <c r="Y90" s="38" t="str">
        <f>IF(AND(A90="Аппарат",C90&lt;&gt;"",OR($S$5="(все)",B90=$S$5)),MAX($Y$3:Y89)+1,"")</f>
        <v/>
      </c>
      <c r="Z90" s="38" t="str">
        <f t="shared" si="13"/>
        <v/>
      </c>
      <c r="AA90" s="38" t="str">
        <f>IF(AND(A90="Модуль",C90&lt;&gt;"",OR($S$6="(все)",B90=$S$6)),MAX($AA$3:AA89)+1,"")</f>
        <v/>
      </c>
      <c r="AB90" s="38" t="str">
        <f t="shared" si="14"/>
        <v/>
      </c>
      <c r="AC90" s="38" t="str">
        <f>IF(OR(B90="",COUNTIF($B$4:B90,B90)&gt;1),"",MAX($AC$3:AC89)+1)</f>
        <v/>
      </c>
      <c r="AD90" s="38" t="str">
        <f t="shared" si="15"/>
        <v/>
      </c>
      <c r="AE90" s="38" t="str">
        <f t="shared" si="16"/>
        <v/>
      </c>
      <c r="AF90" s="38" t="str">
        <f t="shared" si="17"/>
        <v/>
      </c>
    </row>
    <row r="91" spans="1:32" x14ac:dyDescent="0.3">
      <c r="A91" s="74" t="s">
        <v>620</v>
      </c>
      <c r="B91" s="74" t="s">
        <v>341</v>
      </c>
      <c r="C91" s="74" t="s">
        <v>346</v>
      </c>
      <c r="D91" s="74"/>
      <c r="E91" s="74"/>
      <c r="F91" s="74"/>
      <c r="G91" s="74" t="s">
        <v>345</v>
      </c>
      <c r="H91" s="74" t="s">
        <v>346</v>
      </c>
      <c r="I91" s="74"/>
      <c r="J91" s="74"/>
      <c r="K91" s="74"/>
      <c r="L91" s="74"/>
      <c r="M91" s="74" t="s">
        <v>342</v>
      </c>
      <c r="N91" s="38" t="str">
        <f>IF(OR(A91="Автомат",A91="Дифавтомат"),IF(W91="","",COUNTIFS(Однолинейка!$H$3:$H$3000,U91,Однолинейка!$A$3:$A$3000,Щит_спец)),IF(A91="Аппарат",IF(C91="","",COUNTIFS(Однолинейка!$I$3:$I$3000,C91,Однолинейка!$A$3:$A$3000,Щит_спец)+COUNTIFS(Однолинейка!$J$3:$J$3000,C91,Однолинейка!$A$3:$A$3000,Щит_спец)+COUNTIFS(Однолинейка!$K$3:$K$3000,C91,Однолинейка!$A$3:$A$3000,Щит_спец)),IF(A91="Модуль",IF(C91="","",COUNTIFS(Однолинейка!$AW$3:$AW$3000,"?*",Однолинейка!$AI$3:$AI$3000,C91,Однолинейка!$A$3:$A$3000,Щит_спец)),IF(A91="Клемма",IF(C91="","",IF(C91=$S$7,SUMIFS(Однолинейка!$BW$3:$BW$3000,Однолинейка!$A$3:$A$3000,Щит_спец),IF(C91=$S$8,SUMIFS(Однолинейка!$BX$3:$BX$3000,Однолинейка!$A$3:$A$3000,Щит_спец),""))),""))))</f>
        <v/>
      </c>
      <c r="O91" s="74"/>
      <c r="P91" s="38" t="str">
        <f t="shared" si="9"/>
        <v/>
      </c>
      <c r="U91" s="38" t="str">
        <f t="shared" si="10"/>
        <v/>
      </c>
      <c r="V91" s="38" t="str">
        <f t="shared" si="11"/>
        <v/>
      </c>
      <c r="W91" s="38" t="str">
        <f>IF(AND(U91&lt;&gt;"",OR($S$4="(все)",B91=$S$4),IF($S$4="(все)",COUNTIF($U$4:U91,U91),COUNTIFS($U$4:U91,U91,$B$4:B91,B91))=1),MAX($W$3:W90)+1,"")</f>
        <v/>
      </c>
      <c r="X91" s="38" t="str">
        <f t="shared" si="12"/>
        <v/>
      </c>
      <c r="Y91" s="38" t="str">
        <f>IF(AND(A91="Аппарат",C91&lt;&gt;"",OR($S$5="(все)",B91=$S$5)),MAX($Y$3:Y90)+1,"")</f>
        <v/>
      </c>
      <c r="Z91" s="38" t="str">
        <f t="shared" si="13"/>
        <v/>
      </c>
      <c r="AA91" s="38" t="str">
        <f>IF(AND(A91="Модуль",C91&lt;&gt;"",OR($S$6="(все)",B91=$S$6)),MAX($AA$3:AA90)+1,"")</f>
        <v/>
      </c>
      <c r="AB91" s="38" t="str">
        <f t="shared" si="14"/>
        <v/>
      </c>
      <c r="AC91" s="38" t="str">
        <f>IF(OR(B91="",COUNTIF($B$4:B91,B91)&gt;1),"",MAX($AC$3:AC90)+1)</f>
        <v/>
      </c>
      <c r="AD91" s="38" t="str">
        <f t="shared" si="15"/>
        <v/>
      </c>
      <c r="AE91" s="38" t="str">
        <f t="shared" si="16"/>
        <v/>
      </c>
      <c r="AF91" s="38" t="str">
        <f t="shared" si="17"/>
        <v/>
      </c>
    </row>
    <row r="92" spans="1:32" x14ac:dyDescent="0.3">
      <c r="A92" s="74" t="s">
        <v>620</v>
      </c>
      <c r="B92" s="74" t="s">
        <v>341</v>
      </c>
      <c r="C92" s="74" t="s">
        <v>348</v>
      </c>
      <c r="D92" s="74"/>
      <c r="E92" s="74"/>
      <c r="F92" s="74"/>
      <c r="G92" s="74" t="s">
        <v>347</v>
      </c>
      <c r="H92" s="74" t="s">
        <v>348</v>
      </c>
      <c r="I92" s="74"/>
      <c r="J92" s="74"/>
      <c r="K92" s="74"/>
      <c r="L92" s="74"/>
      <c r="M92" s="74" t="s">
        <v>342</v>
      </c>
      <c r="N92" s="38" t="str">
        <f>IF(OR(A92="Автомат",A92="Дифавтомат"),IF(W92="","",COUNTIFS(Однолинейка!$H$3:$H$3000,U92,Однолинейка!$A$3:$A$3000,Щит_спец)),IF(A92="Аппарат",IF(C92="","",COUNTIFS(Однолинейка!$I$3:$I$3000,C92,Однолинейка!$A$3:$A$3000,Щит_спец)+COUNTIFS(Однолинейка!$J$3:$J$3000,C92,Однолинейка!$A$3:$A$3000,Щит_спец)+COUNTIFS(Однолинейка!$K$3:$K$3000,C92,Однолинейка!$A$3:$A$3000,Щит_спец)),IF(A92="Модуль",IF(C92="","",COUNTIFS(Однолинейка!$AW$3:$AW$3000,"?*",Однолинейка!$AI$3:$AI$3000,C92,Однолинейка!$A$3:$A$3000,Щит_спец)),IF(A92="Клемма",IF(C92="","",IF(C92=$S$7,SUMIFS(Однолинейка!$BW$3:$BW$3000,Однолинейка!$A$3:$A$3000,Щит_спец),IF(C92=$S$8,SUMIFS(Однолинейка!$BX$3:$BX$3000,Однолинейка!$A$3:$A$3000,Щит_спец),""))),""))))</f>
        <v/>
      </c>
      <c r="O92" s="74"/>
      <c r="P92" s="38" t="str">
        <f t="shared" si="9"/>
        <v/>
      </c>
      <c r="U92" s="38" t="str">
        <f t="shared" si="10"/>
        <v/>
      </c>
      <c r="V92" s="38" t="str">
        <f t="shared" si="11"/>
        <v/>
      </c>
      <c r="W92" s="38" t="str">
        <f>IF(AND(U92&lt;&gt;"",OR($S$4="(все)",B92=$S$4),IF($S$4="(все)",COUNTIF($U$4:U92,U92),COUNTIFS($U$4:U92,U92,$B$4:B92,B92))=1),MAX($W$3:W91)+1,"")</f>
        <v/>
      </c>
      <c r="X92" s="38" t="str">
        <f t="shared" si="12"/>
        <v/>
      </c>
      <c r="Y92" s="38" t="str">
        <f>IF(AND(A92="Аппарат",C92&lt;&gt;"",OR($S$5="(все)",B92=$S$5)),MAX($Y$3:Y91)+1,"")</f>
        <v/>
      </c>
      <c r="Z92" s="38" t="str">
        <f t="shared" si="13"/>
        <v/>
      </c>
      <c r="AA92" s="38" t="str">
        <f>IF(AND(A92="Модуль",C92&lt;&gt;"",OR($S$6="(все)",B92=$S$6)),MAX($AA$3:AA91)+1,"")</f>
        <v/>
      </c>
      <c r="AB92" s="38" t="str">
        <f t="shared" si="14"/>
        <v/>
      </c>
      <c r="AC92" s="38" t="str">
        <f>IF(OR(B92="",COUNTIF($B$4:B92,B92)&gt;1),"",MAX($AC$3:AC91)+1)</f>
        <v/>
      </c>
      <c r="AD92" s="38" t="str">
        <f t="shared" si="15"/>
        <v/>
      </c>
      <c r="AE92" s="38" t="str">
        <f t="shared" si="16"/>
        <v/>
      </c>
      <c r="AF92" s="38" t="str">
        <f t="shared" si="17"/>
        <v/>
      </c>
    </row>
    <row r="93" spans="1:32" x14ac:dyDescent="0.3">
      <c r="A93" s="74" t="s">
        <v>620</v>
      </c>
      <c r="B93" s="74" t="s">
        <v>341</v>
      </c>
      <c r="C93" s="74" t="s">
        <v>350</v>
      </c>
      <c r="D93" s="74"/>
      <c r="E93" s="74"/>
      <c r="F93" s="74"/>
      <c r="G93" s="74" t="s">
        <v>349</v>
      </c>
      <c r="H93" s="74" t="s">
        <v>350</v>
      </c>
      <c r="I93" s="74"/>
      <c r="J93" s="74"/>
      <c r="K93" s="74"/>
      <c r="L93" s="74"/>
      <c r="M93" s="74" t="s">
        <v>342</v>
      </c>
      <c r="N93" s="38" t="str">
        <f>IF(OR(A93="Автомат",A93="Дифавтомат"),IF(W93="","",COUNTIFS(Однолинейка!$H$3:$H$3000,U93,Однолинейка!$A$3:$A$3000,Щит_спец)),IF(A93="Аппарат",IF(C93="","",COUNTIFS(Однолинейка!$I$3:$I$3000,C93,Однолинейка!$A$3:$A$3000,Щит_спец)+COUNTIFS(Однолинейка!$J$3:$J$3000,C93,Однолинейка!$A$3:$A$3000,Щит_спец)+COUNTIFS(Однолинейка!$K$3:$K$3000,C93,Однолинейка!$A$3:$A$3000,Щит_спец)),IF(A93="Модуль",IF(C93="","",COUNTIFS(Однолинейка!$AW$3:$AW$3000,"?*",Однолинейка!$AI$3:$AI$3000,C93,Однолинейка!$A$3:$A$3000,Щит_спец)),IF(A93="Клемма",IF(C93="","",IF(C93=$S$7,SUMIFS(Однолинейка!$BW$3:$BW$3000,Однолинейка!$A$3:$A$3000,Щит_спец),IF(C93=$S$8,SUMIFS(Однолинейка!$BX$3:$BX$3000,Однолинейка!$A$3:$A$3000,Щит_спец),""))),""))))</f>
        <v/>
      </c>
      <c r="O93" s="74"/>
      <c r="P93" s="38" t="str">
        <f t="shared" si="9"/>
        <v/>
      </c>
      <c r="U93" s="38" t="str">
        <f t="shared" si="10"/>
        <v/>
      </c>
      <c r="V93" s="38" t="str">
        <f t="shared" si="11"/>
        <v/>
      </c>
      <c r="W93" s="38" t="str">
        <f>IF(AND(U93&lt;&gt;"",OR($S$4="(все)",B93=$S$4),IF($S$4="(все)",COUNTIF($U$4:U93,U93),COUNTIFS($U$4:U93,U93,$B$4:B93,B93))=1),MAX($W$3:W92)+1,"")</f>
        <v/>
      </c>
      <c r="X93" s="38" t="str">
        <f t="shared" si="12"/>
        <v/>
      </c>
      <c r="Y93" s="38" t="str">
        <f>IF(AND(A93="Аппарат",C93&lt;&gt;"",OR($S$5="(все)",B93=$S$5)),MAX($Y$3:Y92)+1,"")</f>
        <v/>
      </c>
      <c r="Z93" s="38" t="str">
        <f t="shared" si="13"/>
        <v/>
      </c>
      <c r="AA93" s="38" t="str">
        <f>IF(AND(A93="Модуль",C93&lt;&gt;"",OR($S$6="(все)",B93=$S$6)),MAX($AA$3:AA92)+1,"")</f>
        <v/>
      </c>
      <c r="AB93" s="38" t="str">
        <f t="shared" si="14"/>
        <v/>
      </c>
      <c r="AC93" s="38" t="str">
        <f>IF(OR(B93="",COUNTIF($B$4:B93,B93)&gt;1),"",MAX($AC$3:AC92)+1)</f>
        <v/>
      </c>
      <c r="AD93" s="38" t="str">
        <f t="shared" si="15"/>
        <v/>
      </c>
      <c r="AE93" s="38" t="str">
        <f t="shared" si="16"/>
        <v/>
      </c>
      <c r="AF93" s="38" t="str">
        <f t="shared" si="17"/>
        <v/>
      </c>
    </row>
    <row r="94" spans="1:32" x14ac:dyDescent="0.3">
      <c r="A94" s="74" t="s">
        <v>620</v>
      </c>
      <c r="B94" s="74" t="s">
        <v>341</v>
      </c>
      <c r="C94" s="74" t="s">
        <v>730</v>
      </c>
      <c r="D94" s="74"/>
      <c r="E94" s="74"/>
      <c r="F94" s="74"/>
      <c r="G94" s="74" t="s">
        <v>379</v>
      </c>
      <c r="H94" s="74" t="s">
        <v>730</v>
      </c>
      <c r="I94" s="74"/>
      <c r="J94" s="74"/>
      <c r="K94" s="74"/>
      <c r="L94" s="74"/>
      <c r="M94" s="74" t="s">
        <v>280</v>
      </c>
      <c r="N94" s="38" t="str">
        <f>IF(OR(A94="Автомат",A94="Дифавтомат"),IF(W94="","",COUNTIFS(Однолинейка!$H$3:$H$3000,U94,Однолинейка!$A$3:$A$3000,Щит_спец)),IF(A94="Аппарат",IF(C94="","",COUNTIFS(Однолинейка!$I$3:$I$3000,C94,Однолинейка!$A$3:$A$3000,Щит_спец)+COUNTIFS(Однолинейка!$J$3:$J$3000,C94,Однолинейка!$A$3:$A$3000,Щит_спец)+COUNTIFS(Однолинейка!$K$3:$K$3000,C94,Однолинейка!$A$3:$A$3000,Щит_спец)),IF(A94="Модуль",IF(C94="","",COUNTIFS(Однолинейка!$AW$3:$AW$3000,"?*",Однолинейка!$AI$3:$AI$3000,C94,Однолинейка!$A$3:$A$3000,Щит_спец)),IF(A94="Клемма",IF(C94="","",IF(C94=$S$7,SUMIFS(Однолинейка!$BW$3:$BW$3000,Однолинейка!$A$3:$A$3000,Щит_спец),IF(C94=$S$8,SUMIFS(Однолинейка!$BX$3:$BX$3000,Однолинейка!$A$3:$A$3000,Щит_спец),""))),""))))</f>
        <v/>
      </c>
      <c r="O94" s="74"/>
      <c r="P94" s="38" t="str">
        <f t="shared" si="9"/>
        <v/>
      </c>
      <c r="U94" s="38" t="str">
        <f t="shared" si="10"/>
        <v/>
      </c>
      <c r="V94" s="38" t="str">
        <f t="shared" si="11"/>
        <v/>
      </c>
      <c r="W94" s="38" t="str">
        <f>IF(AND(U94&lt;&gt;"",OR($S$4="(все)",B94=$S$4),IF($S$4="(все)",COUNTIF($U$4:U94,U94),COUNTIFS($U$4:U94,U94,$B$4:B94,B94))=1),MAX($W$3:W93)+1,"")</f>
        <v/>
      </c>
      <c r="X94" s="38" t="str">
        <f t="shared" si="12"/>
        <v/>
      </c>
      <c r="Y94" s="38" t="str">
        <f>IF(AND(A94="Аппарат",C94&lt;&gt;"",OR($S$5="(все)",B94=$S$5)),MAX($Y$3:Y93)+1,"")</f>
        <v/>
      </c>
      <c r="Z94" s="38" t="str">
        <f t="shared" si="13"/>
        <v/>
      </c>
      <c r="AA94" s="38" t="str">
        <f>IF(AND(A94="Модуль",C94&lt;&gt;"",OR($S$6="(все)",B94=$S$6)),MAX($AA$3:AA93)+1,"")</f>
        <v/>
      </c>
      <c r="AB94" s="38" t="str">
        <f t="shared" si="14"/>
        <v/>
      </c>
      <c r="AC94" s="38" t="str">
        <f>IF(OR(B94="",COUNTIF($B$4:B94,B94)&gt;1),"",MAX($AC$3:AC93)+1)</f>
        <v/>
      </c>
      <c r="AD94" s="38" t="str">
        <f t="shared" si="15"/>
        <v/>
      </c>
      <c r="AE94" s="38" t="str">
        <f t="shared" si="16"/>
        <v/>
      </c>
      <c r="AF94" s="38" t="str">
        <f t="shared" si="17"/>
        <v/>
      </c>
    </row>
    <row r="95" spans="1:32" x14ac:dyDescent="0.3">
      <c r="A95" s="74" t="s">
        <v>620</v>
      </c>
      <c r="B95" s="74" t="s">
        <v>341</v>
      </c>
      <c r="C95" s="74" t="s">
        <v>731</v>
      </c>
      <c r="D95" s="74"/>
      <c r="E95" s="74"/>
      <c r="F95" s="74"/>
      <c r="G95" s="74" t="s">
        <v>380</v>
      </c>
      <c r="H95" s="74" t="s">
        <v>731</v>
      </c>
      <c r="I95" s="74"/>
      <c r="J95" s="74"/>
      <c r="K95" s="74"/>
      <c r="L95" s="74"/>
      <c r="M95" s="74" t="s">
        <v>280</v>
      </c>
      <c r="N95" s="38" t="str">
        <f>IF(OR(A95="Автомат",A95="Дифавтомат"),IF(W95="","",COUNTIFS(Однолинейка!$H$3:$H$3000,U95,Однолинейка!$A$3:$A$3000,Щит_спец)),IF(A95="Аппарат",IF(C95="","",COUNTIFS(Однолинейка!$I$3:$I$3000,C95,Однолинейка!$A$3:$A$3000,Щит_спец)+COUNTIFS(Однолинейка!$J$3:$J$3000,C95,Однолинейка!$A$3:$A$3000,Щит_спец)+COUNTIFS(Однолинейка!$K$3:$K$3000,C95,Однолинейка!$A$3:$A$3000,Щит_спец)),IF(A95="Модуль",IF(C95="","",COUNTIFS(Однолинейка!$AW$3:$AW$3000,"?*",Однолинейка!$AI$3:$AI$3000,C95,Однолинейка!$A$3:$A$3000,Щит_спец)),IF(A95="Клемма",IF(C95="","",IF(C95=$S$7,SUMIFS(Однолинейка!$BW$3:$BW$3000,Однолинейка!$A$3:$A$3000,Щит_спец),IF(C95=$S$8,SUMIFS(Однолинейка!$BX$3:$BX$3000,Однолинейка!$A$3:$A$3000,Щит_спец),""))),""))))</f>
        <v/>
      </c>
      <c r="O95" s="74"/>
      <c r="P95" s="38" t="str">
        <f t="shared" si="9"/>
        <v/>
      </c>
      <c r="U95" s="38" t="str">
        <f t="shared" si="10"/>
        <v/>
      </c>
      <c r="V95" s="38" t="str">
        <f t="shared" si="11"/>
        <v/>
      </c>
      <c r="W95" s="38" t="str">
        <f>IF(AND(U95&lt;&gt;"",OR($S$4="(все)",B95=$S$4),IF($S$4="(все)",COUNTIF($U$4:U95,U95),COUNTIFS($U$4:U95,U95,$B$4:B95,B95))=1),MAX($W$3:W94)+1,"")</f>
        <v/>
      </c>
      <c r="X95" s="38" t="str">
        <f t="shared" si="12"/>
        <v/>
      </c>
      <c r="Y95" s="38" t="str">
        <f>IF(AND(A95="Аппарат",C95&lt;&gt;"",OR($S$5="(все)",B95=$S$5)),MAX($Y$3:Y94)+1,"")</f>
        <v/>
      </c>
      <c r="Z95" s="38" t="str">
        <f t="shared" si="13"/>
        <v/>
      </c>
      <c r="AA95" s="38" t="str">
        <f>IF(AND(A95="Модуль",C95&lt;&gt;"",OR($S$6="(все)",B95=$S$6)),MAX($AA$3:AA94)+1,"")</f>
        <v/>
      </c>
      <c r="AB95" s="38" t="str">
        <f t="shared" si="14"/>
        <v/>
      </c>
      <c r="AC95" s="38" t="str">
        <f>IF(OR(B95="",COUNTIF($B$4:B95,B95)&gt;1),"",MAX($AC$3:AC94)+1)</f>
        <v/>
      </c>
      <c r="AD95" s="38" t="str">
        <f t="shared" si="15"/>
        <v/>
      </c>
      <c r="AE95" s="38" t="str">
        <f t="shared" si="16"/>
        <v/>
      </c>
      <c r="AF95" s="38" t="str">
        <f t="shared" si="17"/>
        <v/>
      </c>
    </row>
    <row r="96" spans="1:32" x14ac:dyDescent="0.3">
      <c r="A96" s="74" t="s">
        <v>620</v>
      </c>
      <c r="B96" s="74" t="s">
        <v>297</v>
      </c>
      <c r="C96" s="74" t="s">
        <v>352</v>
      </c>
      <c r="D96" s="74"/>
      <c r="E96" s="74"/>
      <c r="F96" s="74"/>
      <c r="G96" s="74" t="s">
        <v>351</v>
      </c>
      <c r="H96" s="74" t="s">
        <v>352</v>
      </c>
      <c r="I96" s="74"/>
      <c r="J96" s="74"/>
      <c r="K96" s="74"/>
      <c r="L96" s="74"/>
      <c r="M96" s="74" t="s">
        <v>280</v>
      </c>
      <c r="N96" s="38" t="str">
        <f>IF(OR(A96="Автомат",A96="Дифавтомат"),IF(W96="","",COUNTIFS(Однолинейка!$H$3:$H$3000,U96,Однолинейка!$A$3:$A$3000,Щит_спец)),IF(A96="Аппарат",IF(C96="","",COUNTIFS(Однолинейка!$I$3:$I$3000,C96,Однолинейка!$A$3:$A$3000,Щит_спец)+COUNTIFS(Однолинейка!$J$3:$J$3000,C96,Однолинейка!$A$3:$A$3000,Щит_спец)+COUNTIFS(Однолинейка!$K$3:$K$3000,C96,Однолинейка!$A$3:$A$3000,Щит_спец)),IF(A96="Модуль",IF(C96="","",COUNTIFS(Однолинейка!$AW$3:$AW$3000,"?*",Однолинейка!$AI$3:$AI$3000,C96,Однолинейка!$A$3:$A$3000,Щит_спец)),IF(A96="Клемма",IF(C96="","",IF(C96=$S$7,SUMIFS(Однолинейка!$BW$3:$BW$3000,Однолинейка!$A$3:$A$3000,Щит_спец),IF(C96=$S$8,SUMIFS(Однолинейка!$BX$3:$BX$3000,Однолинейка!$A$3:$A$3000,Щит_спец),""))),""))))</f>
        <v/>
      </c>
      <c r="O96" s="74"/>
      <c r="P96" s="38" t="str">
        <f t="shared" si="9"/>
        <v/>
      </c>
      <c r="U96" s="38" t="str">
        <f t="shared" si="10"/>
        <v/>
      </c>
      <c r="V96" s="38" t="str">
        <f t="shared" si="11"/>
        <v/>
      </c>
      <c r="W96" s="38" t="str">
        <f>IF(AND(U96&lt;&gt;"",OR($S$4="(все)",B96=$S$4),IF($S$4="(все)",COUNTIF($U$4:U96,U96),COUNTIFS($U$4:U96,U96,$B$4:B96,B96))=1),MAX($W$3:W95)+1,"")</f>
        <v/>
      </c>
      <c r="X96" s="38" t="str">
        <f t="shared" si="12"/>
        <v/>
      </c>
      <c r="Y96" s="38" t="str">
        <f>IF(AND(A96="Аппарат",C96&lt;&gt;"",OR($S$5="(все)",B96=$S$5)),MAX($Y$3:Y95)+1,"")</f>
        <v/>
      </c>
      <c r="Z96" s="38" t="str">
        <f t="shared" si="13"/>
        <v/>
      </c>
      <c r="AA96" s="38" t="str">
        <f>IF(AND(A96="Модуль",C96&lt;&gt;"",OR($S$6="(все)",B96=$S$6)),MAX($AA$3:AA95)+1,"")</f>
        <v/>
      </c>
      <c r="AB96" s="38" t="str">
        <f t="shared" si="14"/>
        <v/>
      </c>
      <c r="AC96" s="38" t="str">
        <f>IF(OR(B96="",COUNTIF($B$4:B96,B96)&gt;1),"",MAX($AC$3:AC95)+1)</f>
        <v/>
      </c>
      <c r="AD96" s="38" t="str">
        <f t="shared" si="15"/>
        <v/>
      </c>
      <c r="AE96" s="38" t="str">
        <f t="shared" si="16"/>
        <v/>
      </c>
      <c r="AF96" s="38" t="str">
        <f t="shared" si="17"/>
        <v/>
      </c>
    </row>
    <row r="97" spans="1:32" x14ac:dyDescent="0.3">
      <c r="A97" s="74" t="s">
        <v>620</v>
      </c>
      <c r="B97" s="74" t="s">
        <v>277</v>
      </c>
      <c r="C97" s="74" t="s">
        <v>354</v>
      </c>
      <c r="D97" s="74"/>
      <c r="E97" s="74"/>
      <c r="F97" s="74"/>
      <c r="G97" s="74" t="s">
        <v>353</v>
      </c>
      <c r="H97" s="74" t="s">
        <v>354</v>
      </c>
      <c r="I97" s="74"/>
      <c r="J97" s="74"/>
      <c r="K97" s="74"/>
      <c r="L97" s="74"/>
      <c r="M97" s="74" t="s">
        <v>280</v>
      </c>
      <c r="N97" s="38" t="str">
        <f>IF(OR(A97="Автомат",A97="Дифавтомат"),IF(W97="","",COUNTIFS(Однолинейка!$H$3:$H$3000,U97,Однолинейка!$A$3:$A$3000,Щит_спец)),IF(A97="Аппарат",IF(C97="","",COUNTIFS(Однолинейка!$I$3:$I$3000,C97,Однолинейка!$A$3:$A$3000,Щит_спец)+COUNTIFS(Однолинейка!$J$3:$J$3000,C97,Однолинейка!$A$3:$A$3000,Щит_спец)+COUNTIFS(Однолинейка!$K$3:$K$3000,C97,Однолинейка!$A$3:$A$3000,Щит_спец)),IF(A97="Модуль",IF(C97="","",COUNTIFS(Однолинейка!$AW$3:$AW$3000,"?*",Однолинейка!$AI$3:$AI$3000,C97,Однолинейка!$A$3:$A$3000,Щит_спец)),IF(A97="Клемма",IF(C97="","",IF(C97=$S$7,SUMIFS(Однолинейка!$BW$3:$BW$3000,Однолинейка!$A$3:$A$3000,Щит_спец),IF(C97=$S$8,SUMIFS(Однолинейка!$BX$3:$BX$3000,Однолинейка!$A$3:$A$3000,Щит_спец),""))),""))))</f>
        <v/>
      </c>
      <c r="O97" s="74"/>
      <c r="P97" s="38" t="str">
        <f t="shared" si="9"/>
        <v/>
      </c>
      <c r="U97" s="38" t="str">
        <f t="shared" si="10"/>
        <v/>
      </c>
      <c r="V97" s="38" t="str">
        <f t="shared" si="11"/>
        <v/>
      </c>
      <c r="W97" s="38" t="str">
        <f>IF(AND(U97&lt;&gt;"",OR($S$4="(все)",B97=$S$4),IF($S$4="(все)",COUNTIF($U$4:U97,U97),COUNTIFS($U$4:U97,U97,$B$4:B97,B97))=1),MAX($W$3:W96)+1,"")</f>
        <v/>
      </c>
      <c r="X97" s="38" t="str">
        <f t="shared" si="12"/>
        <v/>
      </c>
      <c r="Y97" s="38" t="str">
        <f>IF(AND(A97="Аппарат",C97&lt;&gt;"",OR($S$5="(все)",B97=$S$5)),MAX($Y$3:Y96)+1,"")</f>
        <v/>
      </c>
      <c r="Z97" s="38" t="str">
        <f t="shared" si="13"/>
        <v/>
      </c>
      <c r="AA97" s="38" t="str">
        <f>IF(AND(A97="Модуль",C97&lt;&gt;"",OR($S$6="(все)",B97=$S$6)),MAX($AA$3:AA96)+1,"")</f>
        <v/>
      </c>
      <c r="AB97" s="38" t="str">
        <f t="shared" si="14"/>
        <v/>
      </c>
      <c r="AC97" s="38" t="str">
        <f>IF(OR(B97="",COUNTIF($B$4:B97,B97)&gt;1),"",MAX($AC$3:AC96)+1)</f>
        <v/>
      </c>
      <c r="AD97" s="38" t="str">
        <f t="shared" si="15"/>
        <v/>
      </c>
      <c r="AE97" s="38" t="str">
        <f t="shared" si="16"/>
        <v/>
      </c>
      <c r="AF97" s="38" t="str">
        <f t="shared" si="17"/>
        <v/>
      </c>
    </row>
    <row r="98" spans="1:32" x14ac:dyDescent="0.3">
      <c r="A98" s="74" t="s">
        <v>620</v>
      </c>
      <c r="B98" s="74" t="s">
        <v>277</v>
      </c>
      <c r="C98" s="74" t="s">
        <v>356</v>
      </c>
      <c r="D98" s="74"/>
      <c r="E98" s="74"/>
      <c r="F98" s="74"/>
      <c r="G98" s="74" t="s">
        <v>355</v>
      </c>
      <c r="H98" s="74" t="s">
        <v>356</v>
      </c>
      <c r="I98" s="74"/>
      <c r="J98" s="74"/>
      <c r="K98" s="74"/>
      <c r="L98" s="74"/>
      <c r="M98" s="74" t="s">
        <v>280</v>
      </c>
      <c r="N98" s="38" t="str">
        <f>IF(OR(A98="Автомат",A98="Дифавтомат"),IF(W98="","",COUNTIFS(Однолинейка!$H$3:$H$3000,U98,Однолинейка!$A$3:$A$3000,Щит_спец)),IF(A98="Аппарат",IF(C98="","",COUNTIFS(Однолинейка!$I$3:$I$3000,C98,Однолинейка!$A$3:$A$3000,Щит_спец)+COUNTIFS(Однолинейка!$J$3:$J$3000,C98,Однолинейка!$A$3:$A$3000,Щит_спец)+COUNTIFS(Однолинейка!$K$3:$K$3000,C98,Однолинейка!$A$3:$A$3000,Щит_спец)),IF(A98="Модуль",IF(C98="","",COUNTIFS(Однолинейка!$AW$3:$AW$3000,"?*",Однолинейка!$AI$3:$AI$3000,C98,Однолинейка!$A$3:$A$3000,Щит_спец)),IF(A98="Клемма",IF(C98="","",IF(C98=$S$7,SUMIFS(Однолинейка!$BW$3:$BW$3000,Однолинейка!$A$3:$A$3000,Щит_спец),IF(C98=$S$8,SUMIFS(Однолинейка!$BX$3:$BX$3000,Однолинейка!$A$3:$A$3000,Щит_спец),""))),""))))</f>
        <v/>
      </c>
      <c r="O98" s="74"/>
      <c r="P98" s="38" t="str">
        <f t="shared" si="9"/>
        <v/>
      </c>
      <c r="U98" s="38" t="str">
        <f t="shared" si="10"/>
        <v/>
      </c>
      <c r="V98" s="38" t="str">
        <f t="shared" si="11"/>
        <v/>
      </c>
      <c r="W98" s="38" t="str">
        <f>IF(AND(U98&lt;&gt;"",OR($S$4="(все)",B98=$S$4),IF($S$4="(все)",COUNTIF($U$4:U98,U98),COUNTIFS($U$4:U98,U98,$B$4:B98,B98))=1),MAX($W$3:W97)+1,"")</f>
        <v/>
      </c>
      <c r="X98" s="38" t="str">
        <f t="shared" si="12"/>
        <v/>
      </c>
      <c r="Y98" s="38" t="str">
        <f>IF(AND(A98="Аппарат",C98&lt;&gt;"",OR($S$5="(все)",B98=$S$5)),MAX($Y$3:Y97)+1,"")</f>
        <v/>
      </c>
      <c r="Z98" s="38" t="str">
        <f t="shared" si="13"/>
        <v/>
      </c>
      <c r="AA98" s="38" t="str">
        <f>IF(AND(A98="Модуль",C98&lt;&gt;"",OR($S$6="(все)",B98=$S$6)),MAX($AA$3:AA97)+1,"")</f>
        <v/>
      </c>
      <c r="AB98" s="38" t="str">
        <f t="shared" si="14"/>
        <v/>
      </c>
      <c r="AC98" s="38" t="str">
        <f>IF(OR(B98="",COUNTIF($B$4:B98,B98)&gt;1),"",MAX($AC$3:AC97)+1)</f>
        <v/>
      </c>
      <c r="AD98" s="38" t="str">
        <f t="shared" si="15"/>
        <v/>
      </c>
      <c r="AE98" s="38" t="str">
        <f t="shared" si="16"/>
        <v/>
      </c>
      <c r="AF98" s="38" t="str">
        <f t="shared" si="17"/>
        <v/>
      </c>
    </row>
    <row r="99" spans="1:32" x14ac:dyDescent="0.3">
      <c r="A99" s="74" t="s">
        <v>620</v>
      </c>
      <c r="B99" s="74" t="s">
        <v>277</v>
      </c>
      <c r="C99" s="74" t="s">
        <v>358</v>
      </c>
      <c r="D99" s="74"/>
      <c r="E99" s="74"/>
      <c r="F99" s="74"/>
      <c r="G99" s="74" t="s">
        <v>357</v>
      </c>
      <c r="H99" s="74" t="s">
        <v>358</v>
      </c>
      <c r="I99" s="74"/>
      <c r="J99" s="74"/>
      <c r="K99" s="74"/>
      <c r="L99" s="74"/>
      <c r="M99" s="74" t="s">
        <v>280</v>
      </c>
      <c r="N99" s="38" t="str">
        <f>IF(OR(A99="Автомат",A99="Дифавтомат"),IF(W99="","",COUNTIFS(Однолинейка!$H$3:$H$3000,U99,Однолинейка!$A$3:$A$3000,Щит_спец)),IF(A99="Аппарат",IF(C99="","",COUNTIFS(Однолинейка!$I$3:$I$3000,C99,Однолинейка!$A$3:$A$3000,Щит_спец)+COUNTIFS(Однолинейка!$J$3:$J$3000,C99,Однолинейка!$A$3:$A$3000,Щит_спец)+COUNTIFS(Однолинейка!$K$3:$K$3000,C99,Однолинейка!$A$3:$A$3000,Щит_спец)),IF(A99="Модуль",IF(C99="","",COUNTIFS(Однолинейка!$AW$3:$AW$3000,"?*",Однолинейка!$AI$3:$AI$3000,C99,Однолинейка!$A$3:$A$3000,Щит_спец)),IF(A99="Клемма",IF(C99="","",IF(C99=$S$7,SUMIFS(Однолинейка!$BW$3:$BW$3000,Однолинейка!$A$3:$A$3000,Щит_спец),IF(C99=$S$8,SUMIFS(Однолинейка!$BX$3:$BX$3000,Однолинейка!$A$3:$A$3000,Щит_спец),""))),""))))</f>
        <v/>
      </c>
      <c r="O99" s="74"/>
      <c r="P99" s="38" t="str">
        <f t="shared" si="9"/>
        <v/>
      </c>
      <c r="U99" s="38" t="str">
        <f t="shared" si="10"/>
        <v/>
      </c>
      <c r="V99" s="38" t="str">
        <f t="shared" si="11"/>
        <v/>
      </c>
      <c r="W99" s="38" t="str">
        <f>IF(AND(U99&lt;&gt;"",OR($S$4="(все)",B99=$S$4),IF($S$4="(все)",COUNTIF($U$4:U99,U99),COUNTIFS($U$4:U99,U99,$B$4:B99,B99))=1),MAX($W$3:W98)+1,"")</f>
        <v/>
      </c>
      <c r="X99" s="38" t="str">
        <f t="shared" si="12"/>
        <v/>
      </c>
      <c r="Y99" s="38" t="str">
        <f>IF(AND(A99="Аппарат",C99&lt;&gt;"",OR($S$5="(все)",B99=$S$5)),MAX($Y$3:Y98)+1,"")</f>
        <v/>
      </c>
      <c r="Z99" s="38" t="str">
        <f t="shared" si="13"/>
        <v/>
      </c>
      <c r="AA99" s="38" t="str">
        <f>IF(AND(A99="Модуль",C99&lt;&gt;"",OR($S$6="(все)",B99=$S$6)),MAX($AA$3:AA98)+1,"")</f>
        <v/>
      </c>
      <c r="AB99" s="38" t="str">
        <f t="shared" si="14"/>
        <v/>
      </c>
      <c r="AC99" s="38" t="str">
        <f>IF(OR(B99="",COUNTIF($B$4:B99,B99)&gt;1),"",MAX($AC$3:AC98)+1)</f>
        <v/>
      </c>
      <c r="AD99" s="38" t="str">
        <f t="shared" si="15"/>
        <v/>
      </c>
      <c r="AE99" s="38" t="str">
        <f t="shared" si="16"/>
        <v/>
      </c>
      <c r="AF99" s="38" t="str">
        <f t="shared" si="17"/>
        <v/>
      </c>
    </row>
    <row r="100" spans="1:32" x14ac:dyDescent="0.3">
      <c r="A100" s="74" t="s">
        <v>620</v>
      </c>
      <c r="B100" s="74"/>
      <c r="C100" s="74" t="s">
        <v>732</v>
      </c>
      <c r="D100" s="74"/>
      <c r="E100" s="74"/>
      <c r="F100" s="74"/>
      <c r="G100" s="74" t="s">
        <v>359</v>
      </c>
      <c r="H100" s="74"/>
      <c r="I100" s="74"/>
      <c r="J100" s="74"/>
      <c r="K100" s="74"/>
      <c r="L100" s="74"/>
      <c r="M100" s="74" t="s">
        <v>360</v>
      </c>
      <c r="N100" s="38" t="str">
        <f>IF(OR(A100="Автомат",A100="Дифавтомат"),IF(W100="","",COUNTIFS(Однолинейка!$H$3:$H$3000,U100,Однолинейка!$A$3:$A$3000,Щит_спец)),IF(A100="Аппарат",IF(C100="","",COUNTIFS(Однолинейка!$I$3:$I$3000,C100,Однолинейка!$A$3:$A$3000,Щит_спец)+COUNTIFS(Однолинейка!$J$3:$J$3000,C100,Однолинейка!$A$3:$A$3000,Щит_спец)+COUNTIFS(Однолинейка!$K$3:$K$3000,C100,Однолинейка!$A$3:$A$3000,Щит_спец)),IF(A100="Модуль",IF(C100="","",COUNTIFS(Однолинейка!$AW$3:$AW$3000,"?*",Однолинейка!$AI$3:$AI$3000,C100,Однолинейка!$A$3:$A$3000,Щит_спец)),IF(A100="Клемма",IF(C100="","",IF(C100=$S$7,SUMIFS(Однолинейка!$BW$3:$BW$3000,Однолинейка!$A$3:$A$3000,Щит_спец),IF(C100=$S$8,SUMIFS(Однолинейка!$BX$3:$BX$3000,Однолинейка!$A$3:$A$3000,Щит_спец),""))),""))))</f>
        <v/>
      </c>
      <c r="O100" s="74"/>
      <c r="P100" s="38" t="str">
        <f t="shared" si="9"/>
        <v/>
      </c>
      <c r="U100" s="38" t="str">
        <f t="shared" si="10"/>
        <v/>
      </c>
      <c r="V100" s="38" t="str">
        <f t="shared" si="11"/>
        <v/>
      </c>
      <c r="W100" s="38" t="str">
        <f>IF(AND(U100&lt;&gt;"",OR($S$4="(все)",B100=$S$4),IF($S$4="(все)",COUNTIF($U$4:U100,U100),COUNTIFS($U$4:U100,U100,$B$4:B100,B100))=1),MAX($W$3:W99)+1,"")</f>
        <v/>
      </c>
      <c r="X100" s="38" t="str">
        <f t="shared" si="12"/>
        <v/>
      </c>
      <c r="Y100" s="38" t="str">
        <f>IF(AND(A100="Аппарат",C100&lt;&gt;"",OR($S$5="(все)",B100=$S$5)),MAX($Y$3:Y99)+1,"")</f>
        <v/>
      </c>
      <c r="Z100" s="38" t="str">
        <f t="shared" si="13"/>
        <v/>
      </c>
      <c r="AA100" s="38" t="str">
        <f>IF(AND(A100="Модуль",C100&lt;&gt;"",OR($S$6="(все)",B100=$S$6)),MAX($AA$3:AA99)+1,"")</f>
        <v/>
      </c>
      <c r="AB100" s="38" t="str">
        <f t="shared" si="14"/>
        <v/>
      </c>
      <c r="AC100" s="38" t="str">
        <f>IF(OR(B100="",COUNTIF($B$4:B100,B100)&gt;1),"",MAX($AC$3:AC99)+1)</f>
        <v/>
      </c>
      <c r="AD100" s="38" t="str">
        <f t="shared" si="15"/>
        <v/>
      </c>
      <c r="AE100" s="38" t="str">
        <f t="shared" si="16"/>
        <v/>
      </c>
      <c r="AF100" s="38" t="str">
        <f t="shared" si="17"/>
        <v/>
      </c>
    </row>
    <row r="101" spans="1:32" x14ac:dyDescent="0.3">
      <c r="A101" s="74"/>
      <c r="B101" s="74"/>
      <c r="C101" s="74"/>
      <c r="D101" s="74"/>
      <c r="E101" s="74"/>
      <c r="F101" s="74"/>
      <c r="G101" s="74"/>
      <c r="H101" s="74"/>
      <c r="I101" s="74"/>
      <c r="J101" s="74"/>
      <c r="K101" s="74"/>
      <c r="L101" s="74"/>
      <c r="M101" s="74"/>
      <c r="N101" s="38" t="str">
        <f>IF(OR(A101="Автомат",A101="Дифавтомат"),IF(W101="","",COUNTIFS(Однолинейка!$H$3:$H$3000,U101,Однолинейка!$A$3:$A$3000,Щит_спец)),IF(A101="Аппарат",IF(C101="","",COUNTIFS(Однолинейка!$I$3:$I$3000,C101,Однолинейка!$A$3:$A$3000,Щит_спец)+COUNTIFS(Однолинейка!$J$3:$J$3000,C101,Однолинейка!$A$3:$A$3000,Щит_спец)+COUNTIFS(Однолинейка!$K$3:$K$3000,C101,Однолинейка!$A$3:$A$3000,Щит_спец)),IF(A101="Модуль",IF(C101="","",COUNTIFS(Однолинейка!$AW$3:$AW$3000,"?*",Однолинейка!$AI$3:$AI$3000,C101,Однолинейка!$A$3:$A$3000,Щит_спец)),IF(A101="Клемма",IF(C101="","",IF(C101=$S$7,SUMIFS(Однолинейка!$BW$3:$BW$3000,Однолинейка!$A$3:$A$3000,Щит_спец),IF(C101=$S$8,SUMIFS(Однолинейка!$BX$3:$BX$3000,Однолинейка!$A$3:$A$3000,Щит_спец),""))),""))))</f>
        <v/>
      </c>
      <c r="O101" s="74"/>
      <c r="P101" s="38" t="str">
        <f t="shared" si="9"/>
        <v/>
      </c>
      <c r="U101" s="38" t="str">
        <f t="shared" si="10"/>
        <v/>
      </c>
      <c r="V101" s="38" t="str">
        <f t="shared" si="11"/>
        <v/>
      </c>
      <c r="W101" s="38" t="str">
        <f>IF(AND(U101&lt;&gt;"",OR($S$4="(все)",B101=$S$4),IF($S$4="(все)",COUNTIF($U$4:U101,U101),COUNTIFS($U$4:U101,U101,$B$4:B101,B101))=1),MAX($W$3:W100)+1,"")</f>
        <v/>
      </c>
      <c r="X101" s="38" t="str">
        <f t="shared" si="12"/>
        <v/>
      </c>
      <c r="Y101" s="38" t="str">
        <f>IF(AND(A101="Аппарат",C101&lt;&gt;"",OR($S$5="(все)",B101=$S$5)),MAX($Y$3:Y100)+1,"")</f>
        <v/>
      </c>
      <c r="Z101" s="38" t="str">
        <f t="shared" si="13"/>
        <v/>
      </c>
      <c r="AA101" s="38" t="str">
        <f>IF(AND(A101="Модуль",C101&lt;&gt;"",OR($S$6="(все)",B101=$S$6)),MAX($AA$3:AA100)+1,"")</f>
        <v/>
      </c>
      <c r="AB101" s="38" t="str">
        <f t="shared" si="14"/>
        <v/>
      </c>
      <c r="AC101" s="38" t="str">
        <f>IF(OR(B101="",COUNTIF($B$4:B101,B101)&gt;1),"",MAX($AC$3:AC100)+1)</f>
        <v/>
      </c>
      <c r="AD101" s="38" t="str">
        <f t="shared" si="15"/>
        <v/>
      </c>
      <c r="AE101" s="38" t="str">
        <f t="shared" si="16"/>
        <v/>
      </c>
      <c r="AF101" s="38" t="str">
        <f t="shared" si="17"/>
        <v/>
      </c>
    </row>
    <row r="102" spans="1:32" x14ac:dyDescent="0.3">
      <c r="A102" s="74"/>
      <c r="B102" s="74"/>
      <c r="C102" s="74"/>
      <c r="D102" s="74"/>
      <c r="E102" s="74"/>
      <c r="F102" s="74"/>
      <c r="G102" s="74"/>
      <c r="H102" s="74"/>
      <c r="I102" s="74"/>
      <c r="J102" s="74"/>
      <c r="K102" s="74"/>
      <c r="L102" s="74"/>
      <c r="M102" s="74"/>
      <c r="N102" s="38" t="str">
        <f>IF(OR(A102="Автомат",A102="Дифавтомат"),IF(W102="","",COUNTIFS(Однолинейка!$H$3:$H$3000,U102,Однолинейка!$A$3:$A$3000,Щит_спец)),IF(A102="Аппарат",IF(C102="","",COUNTIFS(Однолинейка!$I$3:$I$3000,C102,Однолинейка!$A$3:$A$3000,Щит_спец)+COUNTIFS(Однолинейка!$J$3:$J$3000,C102,Однолинейка!$A$3:$A$3000,Щит_спец)+COUNTIFS(Однолинейка!$K$3:$K$3000,C102,Однолинейка!$A$3:$A$3000,Щит_спец)),IF(A102="Модуль",IF(C102="","",COUNTIFS(Однолинейка!$AW$3:$AW$3000,"?*",Однолинейка!$AI$3:$AI$3000,C102,Однолинейка!$A$3:$A$3000,Щит_спец)),IF(A102="Клемма",IF(C102="","",IF(C102=$S$7,SUMIFS(Однолинейка!$BW$3:$BW$3000,Однолинейка!$A$3:$A$3000,Щит_спец),IF(C102=$S$8,SUMIFS(Однолинейка!$BX$3:$BX$3000,Однолинейка!$A$3:$A$3000,Щит_спец),""))),""))))</f>
        <v/>
      </c>
      <c r="O102" s="74"/>
      <c r="P102" s="38" t="str">
        <f t="shared" si="9"/>
        <v/>
      </c>
      <c r="U102" s="38" t="str">
        <f t="shared" si="10"/>
        <v/>
      </c>
      <c r="V102" s="38" t="str">
        <f t="shared" si="11"/>
        <v/>
      </c>
      <c r="W102" s="38" t="str">
        <f>IF(AND(U102&lt;&gt;"",OR($S$4="(все)",B102=$S$4),IF($S$4="(все)",COUNTIF($U$4:U102,U102),COUNTIFS($U$4:U102,U102,$B$4:B102,B102))=1),MAX($W$3:W101)+1,"")</f>
        <v/>
      </c>
      <c r="X102" s="38" t="str">
        <f t="shared" si="12"/>
        <v/>
      </c>
      <c r="Y102" s="38" t="str">
        <f>IF(AND(A102="Аппарат",C102&lt;&gt;"",OR($S$5="(все)",B102=$S$5)),MAX($Y$3:Y101)+1,"")</f>
        <v/>
      </c>
      <c r="Z102" s="38" t="str">
        <f t="shared" si="13"/>
        <v/>
      </c>
      <c r="AA102" s="38" t="str">
        <f>IF(AND(A102="Модуль",C102&lt;&gt;"",OR($S$6="(все)",B102=$S$6)),MAX($AA$3:AA101)+1,"")</f>
        <v/>
      </c>
      <c r="AB102" s="38" t="str">
        <f t="shared" si="14"/>
        <v/>
      </c>
      <c r="AC102" s="38" t="str">
        <f>IF(OR(B102="",COUNTIF($B$4:B102,B102)&gt;1),"",MAX($AC$3:AC101)+1)</f>
        <v/>
      </c>
      <c r="AD102" s="38" t="str">
        <f t="shared" si="15"/>
        <v/>
      </c>
      <c r="AE102" s="38" t="str">
        <f t="shared" si="16"/>
        <v/>
      </c>
      <c r="AF102" s="38" t="str">
        <f t="shared" si="17"/>
        <v/>
      </c>
    </row>
    <row r="103" spans="1:32" x14ac:dyDescent="0.3">
      <c r="A103" s="74"/>
      <c r="B103" s="74"/>
      <c r="C103" s="74"/>
      <c r="D103" s="74"/>
      <c r="E103" s="74"/>
      <c r="F103" s="74"/>
      <c r="G103" s="74"/>
      <c r="H103" s="74"/>
      <c r="I103" s="74"/>
      <c r="J103" s="74"/>
      <c r="K103" s="74"/>
      <c r="L103" s="74"/>
      <c r="M103" s="74"/>
      <c r="N103" s="38" t="str">
        <f>IF(OR(A103="Автомат",A103="Дифавтомат"),IF(W103="","",COUNTIFS(Однолинейка!$H$3:$H$3000,U103,Однолинейка!$A$3:$A$3000,Щит_спец)),IF(A103="Аппарат",IF(C103="","",COUNTIFS(Однолинейка!$I$3:$I$3000,C103,Однолинейка!$A$3:$A$3000,Щит_спец)+COUNTIFS(Однолинейка!$J$3:$J$3000,C103,Однолинейка!$A$3:$A$3000,Щит_спец)+COUNTIFS(Однолинейка!$K$3:$K$3000,C103,Однолинейка!$A$3:$A$3000,Щит_спец)),IF(A103="Модуль",IF(C103="","",COUNTIFS(Однолинейка!$AW$3:$AW$3000,"?*",Однолинейка!$AI$3:$AI$3000,C103,Однолинейка!$A$3:$A$3000,Щит_спец)),IF(A103="Клемма",IF(C103="","",IF(C103=$S$7,SUMIFS(Однолинейка!$BW$3:$BW$3000,Однолинейка!$A$3:$A$3000,Щит_спец),IF(C103=$S$8,SUMIFS(Однолинейка!$BX$3:$BX$3000,Однолинейка!$A$3:$A$3000,Щит_спец),""))),""))))</f>
        <v/>
      </c>
      <c r="O103" s="74"/>
      <c r="P103" s="38" t="str">
        <f t="shared" si="9"/>
        <v/>
      </c>
      <c r="U103" s="38" t="str">
        <f t="shared" si="10"/>
        <v/>
      </c>
      <c r="V103" s="38" t="str">
        <f t="shared" si="11"/>
        <v/>
      </c>
      <c r="W103" s="38" t="str">
        <f>IF(AND(U103&lt;&gt;"",OR($S$4="(все)",B103=$S$4),IF($S$4="(все)",COUNTIF($U$4:U103,U103),COUNTIFS($U$4:U103,U103,$B$4:B103,B103))=1),MAX($W$3:W102)+1,"")</f>
        <v/>
      </c>
      <c r="X103" s="38" t="str">
        <f t="shared" si="12"/>
        <v/>
      </c>
      <c r="Y103" s="38" t="str">
        <f>IF(AND(A103="Аппарат",C103&lt;&gt;"",OR($S$5="(все)",B103=$S$5)),MAX($Y$3:Y102)+1,"")</f>
        <v/>
      </c>
      <c r="Z103" s="38" t="str">
        <f t="shared" si="13"/>
        <v/>
      </c>
      <c r="AA103" s="38" t="str">
        <f>IF(AND(A103="Модуль",C103&lt;&gt;"",OR($S$6="(все)",B103=$S$6)),MAX($AA$3:AA102)+1,"")</f>
        <v/>
      </c>
      <c r="AB103" s="38" t="str">
        <f t="shared" si="14"/>
        <v/>
      </c>
      <c r="AC103" s="38" t="str">
        <f>IF(OR(B103="",COUNTIF($B$4:B103,B103)&gt;1),"",MAX($AC$3:AC102)+1)</f>
        <v/>
      </c>
      <c r="AD103" s="38" t="str">
        <f t="shared" si="15"/>
        <v/>
      </c>
      <c r="AE103" s="38" t="str">
        <f t="shared" si="16"/>
        <v/>
      </c>
      <c r="AF103" s="38" t="str">
        <f t="shared" si="17"/>
        <v/>
      </c>
    </row>
    <row r="104" spans="1:32" x14ac:dyDescent="0.3">
      <c r="A104" s="74"/>
      <c r="B104" s="74"/>
      <c r="C104" s="74"/>
      <c r="D104" s="74"/>
      <c r="E104" s="74"/>
      <c r="F104" s="74"/>
      <c r="G104" s="74"/>
      <c r="H104" s="74"/>
      <c r="I104" s="74"/>
      <c r="J104" s="74"/>
      <c r="K104" s="74"/>
      <c r="L104" s="74"/>
      <c r="M104" s="74"/>
      <c r="N104" s="38" t="str">
        <f>IF(OR(A104="Автомат",A104="Дифавтомат"),IF(W104="","",COUNTIFS(Однолинейка!$H$3:$H$3000,U104,Однолинейка!$A$3:$A$3000,Щит_спец)),IF(A104="Аппарат",IF(C104="","",COUNTIFS(Однолинейка!$I$3:$I$3000,C104,Однолинейка!$A$3:$A$3000,Щит_спец)+COUNTIFS(Однолинейка!$J$3:$J$3000,C104,Однолинейка!$A$3:$A$3000,Щит_спец)+COUNTIFS(Однолинейка!$K$3:$K$3000,C104,Однолинейка!$A$3:$A$3000,Щит_спец)),IF(A104="Модуль",IF(C104="","",COUNTIFS(Однолинейка!$AW$3:$AW$3000,"?*",Однолинейка!$AI$3:$AI$3000,C104,Однолинейка!$A$3:$A$3000,Щит_спец)),IF(A104="Клемма",IF(C104="","",IF(C104=$S$7,SUMIFS(Однолинейка!$BW$3:$BW$3000,Однолинейка!$A$3:$A$3000,Щит_спец),IF(C104=$S$8,SUMIFS(Однолинейка!$BX$3:$BX$3000,Однолинейка!$A$3:$A$3000,Щит_спец),""))),""))))</f>
        <v/>
      </c>
      <c r="O104" s="74"/>
      <c r="P104" s="38" t="str">
        <f t="shared" si="9"/>
        <v/>
      </c>
      <c r="U104" s="38" t="str">
        <f t="shared" si="10"/>
        <v/>
      </c>
      <c r="V104" s="38" t="str">
        <f t="shared" si="11"/>
        <v/>
      </c>
      <c r="W104" s="38" t="str">
        <f>IF(AND(U104&lt;&gt;"",OR($S$4="(все)",B104=$S$4),IF($S$4="(все)",COUNTIF($U$4:U104,U104),COUNTIFS($U$4:U104,U104,$B$4:B104,B104))=1),MAX($W$3:W103)+1,"")</f>
        <v/>
      </c>
      <c r="X104" s="38" t="str">
        <f t="shared" si="12"/>
        <v/>
      </c>
      <c r="Y104" s="38" t="str">
        <f>IF(AND(A104="Аппарат",C104&lt;&gt;"",OR($S$5="(все)",B104=$S$5)),MAX($Y$3:Y103)+1,"")</f>
        <v/>
      </c>
      <c r="Z104" s="38" t="str">
        <f t="shared" si="13"/>
        <v/>
      </c>
      <c r="AA104" s="38" t="str">
        <f>IF(AND(A104="Модуль",C104&lt;&gt;"",OR($S$6="(все)",B104=$S$6)),MAX($AA$3:AA103)+1,"")</f>
        <v/>
      </c>
      <c r="AB104" s="38" t="str">
        <f t="shared" si="14"/>
        <v/>
      </c>
      <c r="AC104" s="38" t="str">
        <f>IF(OR(B104="",COUNTIF($B$4:B104,B104)&gt;1),"",MAX($AC$3:AC103)+1)</f>
        <v/>
      </c>
      <c r="AD104" s="38" t="str">
        <f t="shared" si="15"/>
        <v/>
      </c>
      <c r="AE104" s="38" t="str">
        <f t="shared" si="16"/>
        <v/>
      </c>
      <c r="AF104" s="38" t="str">
        <f t="shared" si="17"/>
        <v/>
      </c>
    </row>
    <row r="105" spans="1:32" x14ac:dyDescent="0.3">
      <c r="A105" s="74"/>
      <c r="B105" s="74"/>
      <c r="C105" s="74"/>
      <c r="D105" s="74"/>
      <c r="E105" s="74"/>
      <c r="F105" s="74"/>
      <c r="G105" s="74"/>
      <c r="H105" s="74"/>
      <c r="I105" s="74"/>
      <c r="J105" s="74"/>
      <c r="K105" s="74"/>
      <c r="L105" s="74"/>
      <c r="M105" s="74"/>
      <c r="N105" s="38" t="str">
        <f>IF(OR(A105="Автомат",A105="Дифавтомат"),IF(W105="","",COUNTIFS(Однолинейка!$H$3:$H$3000,U105,Однолинейка!$A$3:$A$3000,Щит_спец)),IF(A105="Аппарат",IF(C105="","",COUNTIFS(Однолинейка!$I$3:$I$3000,C105,Однолинейка!$A$3:$A$3000,Щит_спец)+COUNTIFS(Однолинейка!$J$3:$J$3000,C105,Однолинейка!$A$3:$A$3000,Щит_спец)+COUNTIFS(Однолинейка!$K$3:$K$3000,C105,Однолинейка!$A$3:$A$3000,Щит_спец)),IF(A105="Модуль",IF(C105="","",COUNTIFS(Однолинейка!$AW$3:$AW$3000,"?*",Однолинейка!$AI$3:$AI$3000,C105,Однолинейка!$A$3:$A$3000,Щит_спец)),IF(A105="Клемма",IF(C105="","",IF(C105=$S$7,SUMIFS(Однолинейка!$BW$3:$BW$3000,Однолинейка!$A$3:$A$3000,Щит_спец),IF(C105=$S$8,SUMIFS(Однолинейка!$BX$3:$BX$3000,Однолинейка!$A$3:$A$3000,Щит_спец),""))),""))))</f>
        <v/>
      </c>
      <c r="O105" s="74"/>
      <c r="P105" s="38" t="str">
        <f t="shared" si="9"/>
        <v/>
      </c>
      <c r="U105" s="38" t="str">
        <f t="shared" si="10"/>
        <v/>
      </c>
      <c r="V105" s="38" t="str">
        <f t="shared" si="11"/>
        <v/>
      </c>
      <c r="W105" s="38" t="str">
        <f>IF(AND(U105&lt;&gt;"",OR($S$4="(все)",B105=$S$4),IF($S$4="(все)",COUNTIF($U$4:U105,U105),COUNTIFS($U$4:U105,U105,$B$4:B105,B105))=1),MAX($W$3:W104)+1,"")</f>
        <v/>
      </c>
      <c r="X105" s="38" t="str">
        <f t="shared" si="12"/>
        <v/>
      </c>
      <c r="Y105" s="38" t="str">
        <f>IF(AND(A105="Аппарат",C105&lt;&gt;"",OR($S$5="(все)",B105=$S$5)),MAX($Y$3:Y104)+1,"")</f>
        <v/>
      </c>
      <c r="Z105" s="38" t="str">
        <f t="shared" si="13"/>
        <v/>
      </c>
      <c r="AA105" s="38" t="str">
        <f>IF(AND(A105="Модуль",C105&lt;&gt;"",OR($S$6="(все)",B105=$S$6)),MAX($AA$3:AA104)+1,"")</f>
        <v/>
      </c>
      <c r="AB105" s="38" t="str">
        <f t="shared" si="14"/>
        <v/>
      </c>
      <c r="AC105" s="38" t="str">
        <f>IF(OR(B105="",COUNTIF($B$4:B105,B105)&gt;1),"",MAX($AC$3:AC104)+1)</f>
        <v/>
      </c>
      <c r="AD105" s="38" t="str">
        <f t="shared" si="15"/>
        <v/>
      </c>
      <c r="AE105" s="38" t="str">
        <f t="shared" si="16"/>
        <v/>
      </c>
      <c r="AF105" s="38" t="str">
        <f t="shared" si="17"/>
        <v/>
      </c>
    </row>
    <row r="106" spans="1:32" x14ac:dyDescent="0.3">
      <c r="A106" s="74"/>
      <c r="B106" s="74"/>
      <c r="C106" s="74"/>
      <c r="D106" s="74"/>
      <c r="E106" s="74"/>
      <c r="F106" s="74"/>
      <c r="G106" s="74"/>
      <c r="H106" s="74"/>
      <c r="I106" s="74"/>
      <c r="J106" s="74"/>
      <c r="K106" s="74"/>
      <c r="L106" s="74"/>
      <c r="M106" s="74"/>
      <c r="N106" s="38" t="str">
        <f>IF(OR(A106="Автомат",A106="Дифавтомат"),IF(W106="","",COUNTIFS(Однолинейка!$H$3:$H$3000,U106,Однолинейка!$A$3:$A$3000,Щит_спец)),IF(A106="Аппарат",IF(C106="","",COUNTIFS(Однолинейка!$I$3:$I$3000,C106,Однолинейка!$A$3:$A$3000,Щит_спец)+COUNTIFS(Однолинейка!$J$3:$J$3000,C106,Однолинейка!$A$3:$A$3000,Щит_спец)+COUNTIFS(Однолинейка!$K$3:$K$3000,C106,Однолинейка!$A$3:$A$3000,Щит_спец)),IF(A106="Модуль",IF(C106="","",COUNTIFS(Однолинейка!$AW$3:$AW$3000,"?*",Однолинейка!$AI$3:$AI$3000,C106,Однолинейка!$A$3:$A$3000,Щит_спец)),IF(A106="Клемма",IF(C106="","",IF(C106=$S$7,SUMIFS(Однолинейка!$BW$3:$BW$3000,Однолинейка!$A$3:$A$3000,Щит_спец),IF(C106=$S$8,SUMIFS(Однолинейка!$BX$3:$BX$3000,Однолинейка!$A$3:$A$3000,Щит_спец),""))),""))))</f>
        <v/>
      </c>
      <c r="O106" s="74"/>
      <c r="P106" s="38" t="str">
        <f t="shared" si="9"/>
        <v/>
      </c>
      <c r="U106" s="38" t="str">
        <f t="shared" si="10"/>
        <v/>
      </c>
      <c r="V106" s="38" t="str">
        <f t="shared" si="11"/>
        <v/>
      </c>
      <c r="W106" s="38" t="str">
        <f>IF(AND(U106&lt;&gt;"",OR($S$4="(все)",B106=$S$4),IF($S$4="(все)",COUNTIF($U$4:U106,U106),COUNTIFS($U$4:U106,U106,$B$4:B106,B106))=1),MAX($W$3:W105)+1,"")</f>
        <v/>
      </c>
      <c r="X106" s="38" t="str">
        <f t="shared" si="12"/>
        <v/>
      </c>
      <c r="Y106" s="38" t="str">
        <f>IF(AND(A106="Аппарат",C106&lt;&gt;"",OR($S$5="(все)",B106=$S$5)),MAX($Y$3:Y105)+1,"")</f>
        <v/>
      </c>
      <c r="Z106" s="38" t="str">
        <f t="shared" si="13"/>
        <v/>
      </c>
      <c r="AA106" s="38" t="str">
        <f>IF(AND(A106="Модуль",C106&lt;&gt;"",OR($S$6="(все)",B106=$S$6)),MAX($AA$3:AA105)+1,"")</f>
        <v/>
      </c>
      <c r="AB106" s="38" t="str">
        <f t="shared" si="14"/>
        <v/>
      </c>
      <c r="AC106" s="38" t="str">
        <f>IF(OR(B106="",COUNTIF($B$4:B106,B106)&gt;1),"",MAX($AC$3:AC105)+1)</f>
        <v/>
      </c>
      <c r="AD106" s="38" t="str">
        <f t="shared" si="15"/>
        <v/>
      </c>
      <c r="AE106" s="38" t="str">
        <f t="shared" si="16"/>
        <v/>
      </c>
      <c r="AF106" s="38" t="str">
        <f t="shared" si="17"/>
        <v/>
      </c>
    </row>
    <row r="107" spans="1:32" x14ac:dyDescent="0.3">
      <c r="A107" s="74"/>
      <c r="B107" s="74"/>
      <c r="C107" s="74"/>
      <c r="D107" s="74"/>
      <c r="E107" s="74"/>
      <c r="F107" s="74"/>
      <c r="G107" s="74"/>
      <c r="H107" s="74"/>
      <c r="I107" s="74"/>
      <c r="J107" s="74"/>
      <c r="K107" s="74"/>
      <c r="L107" s="74"/>
      <c r="M107" s="74"/>
      <c r="N107" s="38" t="str">
        <f>IF(OR(A107="Автомат",A107="Дифавтомат"),IF(W107="","",COUNTIFS(Однолинейка!$H$3:$H$3000,U107,Однолинейка!$A$3:$A$3000,Щит_спец)),IF(A107="Аппарат",IF(C107="","",COUNTIFS(Однолинейка!$I$3:$I$3000,C107,Однолинейка!$A$3:$A$3000,Щит_спец)+COUNTIFS(Однолинейка!$J$3:$J$3000,C107,Однолинейка!$A$3:$A$3000,Щит_спец)+COUNTIFS(Однолинейка!$K$3:$K$3000,C107,Однолинейка!$A$3:$A$3000,Щит_спец)),IF(A107="Модуль",IF(C107="","",COUNTIFS(Однолинейка!$AW$3:$AW$3000,"?*",Однолинейка!$AI$3:$AI$3000,C107,Однолинейка!$A$3:$A$3000,Щит_спец)),IF(A107="Клемма",IF(C107="","",IF(C107=$S$7,SUMIFS(Однолинейка!$BW$3:$BW$3000,Однолинейка!$A$3:$A$3000,Щит_спец),IF(C107=$S$8,SUMIFS(Однолинейка!$BX$3:$BX$3000,Однолинейка!$A$3:$A$3000,Щит_спец),""))),""))))</f>
        <v/>
      </c>
      <c r="O107" s="74"/>
      <c r="P107" s="38" t="str">
        <f t="shared" si="9"/>
        <v/>
      </c>
      <c r="U107" s="38" t="str">
        <f t="shared" si="10"/>
        <v/>
      </c>
      <c r="V107" s="38" t="str">
        <f t="shared" si="11"/>
        <v/>
      </c>
      <c r="W107" s="38" t="str">
        <f>IF(AND(U107&lt;&gt;"",OR($S$4="(все)",B107=$S$4),IF($S$4="(все)",COUNTIF($U$4:U107,U107),COUNTIFS($U$4:U107,U107,$B$4:B107,B107))=1),MAX($W$3:W106)+1,"")</f>
        <v/>
      </c>
      <c r="X107" s="38" t="str">
        <f t="shared" si="12"/>
        <v/>
      </c>
      <c r="Y107" s="38" t="str">
        <f>IF(AND(A107="Аппарат",C107&lt;&gt;"",OR($S$5="(все)",B107=$S$5)),MAX($Y$3:Y106)+1,"")</f>
        <v/>
      </c>
      <c r="Z107" s="38" t="str">
        <f t="shared" si="13"/>
        <v/>
      </c>
      <c r="AA107" s="38" t="str">
        <f>IF(AND(A107="Модуль",C107&lt;&gt;"",OR($S$6="(все)",B107=$S$6)),MAX($AA$3:AA106)+1,"")</f>
        <v/>
      </c>
      <c r="AB107" s="38" t="str">
        <f t="shared" si="14"/>
        <v/>
      </c>
      <c r="AC107" s="38" t="str">
        <f>IF(OR(B107="",COUNTIF($B$4:B107,B107)&gt;1),"",MAX($AC$3:AC106)+1)</f>
        <v/>
      </c>
      <c r="AD107" s="38" t="str">
        <f t="shared" si="15"/>
        <v/>
      </c>
      <c r="AE107" s="38" t="str">
        <f t="shared" si="16"/>
        <v/>
      </c>
      <c r="AF107" s="38" t="str">
        <f t="shared" si="17"/>
        <v/>
      </c>
    </row>
    <row r="108" spans="1:32" x14ac:dyDescent="0.3">
      <c r="A108" s="74"/>
      <c r="B108" s="74"/>
      <c r="C108" s="74"/>
      <c r="D108" s="74"/>
      <c r="E108" s="74"/>
      <c r="F108" s="74"/>
      <c r="G108" s="74"/>
      <c r="H108" s="74"/>
      <c r="I108" s="74"/>
      <c r="J108" s="74"/>
      <c r="K108" s="74"/>
      <c r="L108" s="74"/>
      <c r="M108" s="74"/>
      <c r="N108" s="38" t="str">
        <f>IF(OR(A108="Автомат",A108="Дифавтомат"),IF(W108="","",COUNTIFS(Однолинейка!$H$3:$H$3000,U108,Однолинейка!$A$3:$A$3000,Щит_спец)),IF(A108="Аппарат",IF(C108="","",COUNTIFS(Однолинейка!$I$3:$I$3000,C108,Однолинейка!$A$3:$A$3000,Щит_спец)+COUNTIFS(Однолинейка!$J$3:$J$3000,C108,Однолинейка!$A$3:$A$3000,Щит_спец)+COUNTIFS(Однолинейка!$K$3:$K$3000,C108,Однолинейка!$A$3:$A$3000,Щит_спец)),IF(A108="Модуль",IF(C108="","",COUNTIFS(Однолинейка!$AW$3:$AW$3000,"?*",Однолинейка!$AI$3:$AI$3000,C108,Однолинейка!$A$3:$A$3000,Щит_спец)),IF(A108="Клемма",IF(C108="","",IF(C108=$S$7,SUMIFS(Однолинейка!$BW$3:$BW$3000,Однолинейка!$A$3:$A$3000,Щит_спец),IF(C108=$S$8,SUMIFS(Однолинейка!$BX$3:$BX$3000,Однолинейка!$A$3:$A$3000,Щит_спец),""))),""))))</f>
        <v/>
      </c>
      <c r="O108" s="74"/>
      <c r="P108" s="38" t="str">
        <f t="shared" si="9"/>
        <v/>
      </c>
      <c r="U108" s="38" t="str">
        <f t="shared" si="10"/>
        <v/>
      </c>
      <c r="V108" s="38" t="str">
        <f t="shared" si="11"/>
        <v/>
      </c>
      <c r="W108" s="38" t="str">
        <f>IF(AND(U108&lt;&gt;"",OR($S$4="(все)",B108=$S$4),IF($S$4="(все)",COUNTIF($U$4:U108,U108),COUNTIFS($U$4:U108,U108,$B$4:B108,B108))=1),MAX($W$3:W107)+1,"")</f>
        <v/>
      </c>
      <c r="X108" s="38" t="str">
        <f t="shared" si="12"/>
        <v/>
      </c>
      <c r="Y108" s="38" t="str">
        <f>IF(AND(A108="Аппарат",C108&lt;&gt;"",OR($S$5="(все)",B108=$S$5)),MAX($Y$3:Y107)+1,"")</f>
        <v/>
      </c>
      <c r="Z108" s="38" t="str">
        <f t="shared" si="13"/>
        <v/>
      </c>
      <c r="AA108" s="38" t="str">
        <f>IF(AND(A108="Модуль",C108&lt;&gt;"",OR($S$6="(все)",B108=$S$6)),MAX($AA$3:AA107)+1,"")</f>
        <v/>
      </c>
      <c r="AB108" s="38" t="str">
        <f t="shared" si="14"/>
        <v/>
      </c>
      <c r="AC108" s="38" t="str">
        <f>IF(OR(B108="",COUNTIF($B$4:B108,B108)&gt;1),"",MAX($AC$3:AC107)+1)</f>
        <v/>
      </c>
      <c r="AD108" s="38" t="str">
        <f t="shared" si="15"/>
        <v/>
      </c>
      <c r="AE108" s="38" t="str">
        <f t="shared" si="16"/>
        <v/>
      </c>
      <c r="AF108" s="38" t="str">
        <f t="shared" si="17"/>
        <v/>
      </c>
    </row>
    <row r="109" spans="1:32" x14ac:dyDescent="0.3">
      <c r="A109" s="74"/>
      <c r="B109" s="74"/>
      <c r="C109" s="74"/>
      <c r="D109" s="74"/>
      <c r="E109" s="74"/>
      <c r="F109" s="74"/>
      <c r="G109" s="74"/>
      <c r="H109" s="74"/>
      <c r="I109" s="74"/>
      <c r="J109" s="74"/>
      <c r="K109" s="74"/>
      <c r="L109" s="74"/>
      <c r="M109" s="74"/>
      <c r="N109" s="38" t="str">
        <f>IF(OR(A109="Автомат",A109="Дифавтомат"),IF(W109="","",COUNTIFS(Однолинейка!$H$3:$H$3000,U109,Однолинейка!$A$3:$A$3000,Щит_спец)),IF(A109="Аппарат",IF(C109="","",COUNTIFS(Однолинейка!$I$3:$I$3000,C109,Однолинейка!$A$3:$A$3000,Щит_спец)+COUNTIFS(Однолинейка!$J$3:$J$3000,C109,Однолинейка!$A$3:$A$3000,Щит_спец)+COUNTIFS(Однолинейка!$K$3:$K$3000,C109,Однолинейка!$A$3:$A$3000,Щит_спец)),IF(A109="Модуль",IF(C109="","",COUNTIFS(Однолинейка!$AW$3:$AW$3000,"?*",Однолинейка!$AI$3:$AI$3000,C109,Однолинейка!$A$3:$A$3000,Щит_спец)),IF(A109="Клемма",IF(C109="","",IF(C109=$S$7,SUMIFS(Однолинейка!$BW$3:$BW$3000,Однолинейка!$A$3:$A$3000,Щит_спец),IF(C109=$S$8,SUMIFS(Однолинейка!$BX$3:$BX$3000,Однолинейка!$A$3:$A$3000,Щит_спец),""))),""))))</f>
        <v/>
      </c>
      <c r="O109" s="74"/>
      <c r="P109" s="38" t="str">
        <f t="shared" si="9"/>
        <v/>
      </c>
      <c r="U109" s="38" t="str">
        <f t="shared" si="10"/>
        <v/>
      </c>
      <c r="V109" s="38" t="str">
        <f t="shared" si="11"/>
        <v/>
      </c>
      <c r="W109" s="38" t="str">
        <f>IF(AND(U109&lt;&gt;"",OR($S$4="(все)",B109=$S$4),IF($S$4="(все)",COUNTIF($U$4:U109,U109),COUNTIFS($U$4:U109,U109,$B$4:B109,B109))=1),MAX($W$3:W108)+1,"")</f>
        <v/>
      </c>
      <c r="X109" s="38" t="str">
        <f t="shared" si="12"/>
        <v/>
      </c>
      <c r="Y109" s="38" t="str">
        <f>IF(AND(A109="Аппарат",C109&lt;&gt;"",OR($S$5="(все)",B109=$S$5)),MAX($Y$3:Y108)+1,"")</f>
        <v/>
      </c>
      <c r="Z109" s="38" t="str">
        <f t="shared" si="13"/>
        <v/>
      </c>
      <c r="AA109" s="38" t="str">
        <f>IF(AND(A109="Модуль",C109&lt;&gt;"",OR($S$6="(все)",B109=$S$6)),MAX($AA$3:AA108)+1,"")</f>
        <v/>
      </c>
      <c r="AB109" s="38" t="str">
        <f t="shared" si="14"/>
        <v/>
      </c>
      <c r="AC109" s="38" t="str">
        <f>IF(OR(B109="",COUNTIF($B$4:B109,B109)&gt;1),"",MAX($AC$3:AC108)+1)</f>
        <v/>
      </c>
      <c r="AD109" s="38" t="str">
        <f t="shared" si="15"/>
        <v/>
      </c>
      <c r="AE109" s="38" t="str">
        <f t="shared" si="16"/>
        <v/>
      </c>
      <c r="AF109" s="38" t="str">
        <f t="shared" si="17"/>
        <v/>
      </c>
    </row>
    <row r="110" spans="1:32" x14ac:dyDescent="0.3">
      <c r="A110" s="74"/>
      <c r="B110" s="74"/>
      <c r="C110" s="74"/>
      <c r="D110" s="74"/>
      <c r="E110" s="74"/>
      <c r="F110" s="74"/>
      <c r="G110" s="74"/>
      <c r="H110" s="74"/>
      <c r="I110" s="74"/>
      <c r="J110" s="74"/>
      <c r="K110" s="74"/>
      <c r="L110" s="74"/>
      <c r="M110" s="74"/>
      <c r="N110" s="38" t="str">
        <f>IF(OR(A110="Автомат",A110="Дифавтомат"),IF(W110="","",COUNTIFS(Однолинейка!$H$3:$H$3000,U110,Однолинейка!$A$3:$A$3000,Щит_спец)),IF(A110="Аппарат",IF(C110="","",COUNTIFS(Однолинейка!$I$3:$I$3000,C110,Однолинейка!$A$3:$A$3000,Щит_спец)+COUNTIFS(Однолинейка!$J$3:$J$3000,C110,Однолинейка!$A$3:$A$3000,Щит_спец)+COUNTIFS(Однолинейка!$K$3:$K$3000,C110,Однолинейка!$A$3:$A$3000,Щит_спец)),IF(A110="Модуль",IF(C110="","",COUNTIFS(Однолинейка!$AW$3:$AW$3000,"?*",Однолинейка!$AI$3:$AI$3000,C110,Однолинейка!$A$3:$A$3000,Щит_спец)),IF(A110="Клемма",IF(C110="","",IF(C110=$S$7,SUMIFS(Однолинейка!$BW$3:$BW$3000,Однолинейка!$A$3:$A$3000,Щит_спец),IF(C110=$S$8,SUMIFS(Однолинейка!$BX$3:$BX$3000,Однолинейка!$A$3:$A$3000,Щит_спец),""))),""))))</f>
        <v/>
      </c>
      <c r="O110" s="74"/>
      <c r="P110" s="38" t="str">
        <f t="shared" si="9"/>
        <v/>
      </c>
      <c r="U110" s="38" t="str">
        <f t="shared" si="10"/>
        <v/>
      </c>
      <c r="V110" s="38" t="str">
        <f t="shared" si="11"/>
        <v/>
      </c>
      <c r="W110" s="38" t="str">
        <f>IF(AND(U110&lt;&gt;"",OR($S$4="(все)",B110=$S$4),IF($S$4="(все)",COUNTIF($U$4:U110,U110),COUNTIFS($U$4:U110,U110,$B$4:B110,B110))=1),MAX($W$3:W109)+1,"")</f>
        <v/>
      </c>
      <c r="X110" s="38" t="str">
        <f t="shared" si="12"/>
        <v/>
      </c>
      <c r="Y110" s="38" t="str">
        <f>IF(AND(A110="Аппарат",C110&lt;&gt;"",OR($S$5="(все)",B110=$S$5)),MAX($Y$3:Y109)+1,"")</f>
        <v/>
      </c>
      <c r="Z110" s="38" t="str">
        <f t="shared" si="13"/>
        <v/>
      </c>
      <c r="AA110" s="38" t="str">
        <f>IF(AND(A110="Модуль",C110&lt;&gt;"",OR($S$6="(все)",B110=$S$6)),MAX($AA$3:AA109)+1,"")</f>
        <v/>
      </c>
      <c r="AB110" s="38" t="str">
        <f t="shared" si="14"/>
        <v/>
      </c>
      <c r="AC110" s="38" t="str">
        <f>IF(OR(B110="",COUNTIF($B$4:B110,B110)&gt;1),"",MAX($AC$3:AC109)+1)</f>
        <v/>
      </c>
      <c r="AD110" s="38" t="str">
        <f t="shared" si="15"/>
        <v/>
      </c>
      <c r="AE110" s="38" t="str">
        <f t="shared" si="16"/>
        <v/>
      </c>
      <c r="AF110" s="38" t="str">
        <f t="shared" si="17"/>
        <v/>
      </c>
    </row>
    <row r="111" spans="1:32" x14ac:dyDescent="0.3">
      <c r="A111" s="74"/>
      <c r="B111" s="74"/>
      <c r="C111" s="74"/>
      <c r="D111" s="74"/>
      <c r="E111" s="74"/>
      <c r="F111" s="74"/>
      <c r="G111" s="74"/>
      <c r="H111" s="74"/>
      <c r="I111" s="74"/>
      <c r="J111" s="74"/>
      <c r="K111" s="74"/>
      <c r="L111" s="74"/>
      <c r="M111" s="74"/>
      <c r="N111" s="38" t="str">
        <f>IF(OR(A111="Автомат",A111="Дифавтомат"),IF(W111="","",COUNTIFS(Однолинейка!$H$3:$H$3000,U111,Однолинейка!$A$3:$A$3000,Щит_спец)),IF(A111="Аппарат",IF(C111="","",COUNTIFS(Однолинейка!$I$3:$I$3000,C111,Однолинейка!$A$3:$A$3000,Щит_спец)+COUNTIFS(Однолинейка!$J$3:$J$3000,C111,Однолинейка!$A$3:$A$3000,Щит_спец)+COUNTIFS(Однолинейка!$K$3:$K$3000,C111,Однолинейка!$A$3:$A$3000,Щит_спец)),IF(A111="Модуль",IF(C111="","",COUNTIFS(Однолинейка!$AW$3:$AW$3000,"?*",Однолинейка!$AI$3:$AI$3000,C111,Однолинейка!$A$3:$A$3000,Щит_спец)),IF(A111="Клемма",IF(C111="","",IF(C111=$S$7,SUMIFS(Однолинейка!$BW$3:$BW$3000,Однолинейка!$A$3:$A$3000,Щит_спец),IF(C111=$S$8,SUMIFS(Однолинейка!$BX$3:$BX$3000,Однолинейка!$A$3:$A$3000,Щит_спец),""))),""))))</f>
        <v/>
      </c>
      <c r="O111" s="74"/>
      <c r="P111" s="38" t="str">
        <f t="shared" si="9"/>
        <v/>
      </c>
      <c r="U111" s="38" t="str">
        <f t="shared" si="10"/>
        <v/>
      </c>
      <c r="V111" s="38" t="str">
        <f t="shared" si="11"/>
        <v/>
      </c>
      <c r="W111" s="38" t="str">
        <f>IF(AND(U111&lt;&gt;"",OR($S$4="(все)",B111=$S$4),IF($S$4="(все)",COUNTIF($U$4:U111,U111),COUNTIFS($U$4:U111,U111,$B$4:B111,B111))=1),MAX($W$3:W110)+1,"")</f>
        <v/>
      </c>
      <c r="X111" s="38" t="str">
        <f t="shared" si="12"/>
        <v/>
      </c>
      <c r="Y111" s="38" t="str">
        <f>IF(AND(A111="Аппарат",C111&lt;&gt;"",OR($S$5="(все)",B111=$S$5)),MAX($Y$3:Y110)+1,"")</f>
        <v/>
      </c>
      <c r="Z111" s="38" t="str">
        <f t="shared" si="13"/>
        <v/>
      </c>
      <c r="AA111" s="38" t="str">
        <f>IF(AND(A111="Модуль",C111&lt;&gt;"",OR($S$6="(все)",B111=$S$6)),MAX($AA$3:AA110)+1,"")</f>
        <v/>
      </c>
      <c r="AB111" s="38" t="str">
        <f t="shared" si="14"/>
        <v/>
      </c>
      <c r="AC111" s="38" t="str">
        <f>IF(OR(B111="",COUNTIF($B$4:B111,B111)&gt;1),"",MAX($AC$3:AC110)+1)</f>
        <v/>
      </c>
      <c r="AD111" s="38" t="str">
        <f t="shared" si="15"/>
        <v/>
      </c>
      <c r="AE111" s="38" t="str">
        <f t="shared" si="16"/>
        <v/>
      </c>
      <c r="AF111" s="38" t="str">
        <f t="shared" si="17"/>
        <v/>
      </c>
    </row>
    <row r="112" spans="1:32" x14ac:dyDescent="0.3">
      <c r="A112" s="74"/>
      <c r="B112" s="74"/>
      <c r="C112" s="74"/>
      <c r="D112" s="74"/>
      <c r="E112" s="74"/>
      <c r="F112" s="74"/>
      <c r="G112" s="74"/>
      <c r="H112" s="74"/>
      <c r="I112" s="74"/>
      <c r="J112" s="74"/>
      <c r="K112" s="74"/>
      <c r="L112" s="74"/>
      <c r="M112" s="74"/>
      <c r="N112" s="38" t="str">
        <f>IF(OR(A112="Автомат",A112="Дифавтомат"),IF(W112="","",COUNTIFS(Однолинейка!$H$3:$H$3000,U112,Однолинейка!$A$3:$A$3000,Щит_спец)),IF(A112="Аппарат",IF(C112="","",COUNTIFS(Однолинейка!$I$3:$I$3000,C112,Однолинейка!$A$3:$A$3000,Щит_спец)+COUNTIFS(Однолинейка!$J$3:$J$3000,C112,Однолинейка!$A$3:$A$3000,Щит_спец)+COUNTIFS(Однолинейка!$K$3:$K$3000,C112,Однолинейка!$A$3:$A$3000,Щит_спец)),IF(A112="Модуль",IF(C112="","",COUNTIFS(Однолинейка!$AW$3:$AW$3000,"?*",Однолинейка!$AI$3:$AI$3000,C112,Однолинейка!$A$3:$A$3000,Щит_спец)),IF(A112="Клемма",IF(C112="","",IF(C112=$S$7,SUMIFS(Однолинейка!$BW$3:$BW$3000,Однолинейка!$A$3:$A$3000,Щит_спец),IF(C112=$S$8,SUMIFS(Однолинейка!$BX$3:$BX$3000,Однолинейка!$A$3:$A$3000,Щит_спец),""))),""))))</f>
        <v/>
      </c>
      <c r="O112" s="74"/>
      <c r="P112" s="38" t="str">
        <f t="shared" si="9"/>
        <v/>
      </c>
      <c r="U112" s="38" t="str">
        <f t="shared" si="10"/>
        <v/>
      </c>
      <c r="V112" s="38" t="str">
        <f t="shared" si="11"/>
        <v/>
      </c>
      <c r="W112" s="38" t="str">
        <f>IF(AND(U112&lt;&gt;"",OR($S$4="(все)",B112=$S$4),IF($S$4="(все)",COUNTIF($U$4:U112,U112),COUNTIFS($U$4:U112,U112,$B$4:B112,B112))=1),MAX($W$3:W111)+1,"")</f>
        <v/>
      </c>
      <c r="X112" s="38" t="str">
        <f t="shared" si="12"/>
        <v/>
      </c>
      <c r="Y112" s="38" t="str">
        <f>IF(AND(A112="Аппарат",C112&lt;&gt;"",OR($S$5="(все)",B112=$S$5)),MAX($Y$3:Y111)+1,"")</f>
        <v/>
      </c>
      <c r="Z112" s="38" t="str">
        <f t="shared" si="13"/>
        <v/>
      </c>
      <c r="AA112" s="38" t="str">
        <f>IF(AND(A112="Модуль",C112&lt;&gt;"",OR($S$6="(все)",B112=$S$6)),MAX($AA$3:AA111)+1,"")</f>
        <v/>
      </c>
      <c r="AB112" s="38" t="str">
        <f t="shared" si="14"/>
        <v/>
      </c>
      <c r="AC112" s="38" t="str">
        <f>IF(OR(B112="",COUNTIF($B$4:B112,B112)&gt;1),"",MAX($AC$3:AC111)+1)</f>
        <v/>
      </c>
      <c r="AD112" s="38" t="str">
        <f t="shared" si="15"/>
        <v/>
      </c>
      <c r="AE112" s="38" t="str">
        <f t="shared" si="16"/>
        <v/>
      </c>
      <c r="AF112" s="38" t="str">
        <f t="shared" si="17"/>
        <v/>
      </c>
    </row>
    <row r="113" spans="1:32" x14ac:dyDescent="0.3">
      <c r="A113" s="74"/>
      <c r="B113" s="74"/>
      <c r="C113" s="74"/>
      <c r="D113" s="74"/>
      <c r="E113" s="74"/>
      <c r="F113" s="74"/>
      <c r="G113" s="74"/>
      <c r="H113" s="74"/>
      <c r="I113" s="74"/>
      <c r="J113" s="74"/>
      <c r="K113" s="74"/>
      <c r="L113" s="74"/>
      <c r="M113" s="74"/>
      <c r="N113" s="38" t="str">
        <f>IF(OR(A113="Автомат",A113="Дифавтомат"),IF(W113="","",COUNTIFS(Однолинейка!$H$3:$H$3000,U113,Однолинейка!$A$3:$A$3000,Щит_спец)),IF(A113="Аппарат",IF(C113="","",COUNTIFS(Однолинейка!$I$3:$I$3000,C113,Однолинейка!$A$3:$A$3000,Щит_спец)+COUNTIFS(Однолинейка!$J$3:$J$3000,C113,Однолинейка!$A$3:$A$3000,Щит_спец)+COUNTIFS(Однолинейка!$K$3:$K$3000,C113,Однолинейка!$A$3:$A$3000,Щит_спец)),IF(A113="Модуль",IF(C113="","",COUNTIFS(Однолинейка!$AW$3:$AW$3000,"?*",Однолинейка!$AI$3:$AI$3000,C113,Однолинейка!$A$3:$A$3000,Щит_спец)),IF(A113="Клемма",IF(C113="","",IF(C113=$S$7,SUMIFS(Однолинейка!$BW$3:$BW$3000,Однолинейка!$A$3:$A$3000,Щит_спец),IF(C113=$S$8,SUMIFS(Однолинейка!$BX$3:$BX$3000,Однолинейка!$A$3:$A$3000,Щит_спец),""))),""))))</f>
        <v/>
      </c>
      <c r="O113" s="74"/>
      <c r="P113" s="38" t="str">
        <f t="shared" si="9"/>
        <v/>
      </c>
      <c r="U113" s="38" t="str">
        <f t="shared" si="10"/>
        <v/>
      </c>
      <c r="V113" s="38" t="str">
        <f t="shared" si="11"/>
        <v/>
      </c>
      <c r="W113" s="38" t="str">
        <f>IF(AND(U113&lt;&gt;"",OR($S$4="(все)",B113=$S$4),IF($S$4="(все)",COUNTIF($U$4:U113,U113),COUNTIFS($U$4:U113,U113,$B$4:B113,B113))=1),MAX($W$3:W112)+1,"")</f>
        <v/>
      </c>
      <c r="X113" s="38" t="str">
        <f t="shared" si="12"/>
        <v/>
      </c>
      <c r="Y113" s="38" t="str">
        <f>IF(AND(A113="Аппарат",C113&lt;&gt;"",OR($S$5="(все)",B113=$S$5)),MAX($Y$3:Y112)+1,"")</f>
        <v/>
      </c>
      <c r="Z113" s="38" t="str">
        <f t="shared" si="13"/>
        <v/>
      </c>
      <c r="AA113" s="38" t="str">
        <f>IF(AND(A113="Модуль",C113&lt;&gt;"",OR($S$6="(все)",B113=$S$6)),MAX($AA$3:AA112)+1,"")</f>
        <v/>
      </c>
      <c r="AB113" s="38" t="str">
        <f t="shared" si="14"/>
        <v/>
      </c>
      <c r="AC113" s="38" t="str">
        <f>IF(OR(B113="",COUNTIF($B$4:B113,B113)&gt;1),"",MAX($AC$3:AC112)+1)</f>
        <v/>
      </c>
      <c r="AD113" s="38" t="str">
        <f t="shared" si="15"/>
        <v/>
      </c>
      <c r="AE113" s="38" t="str">
        <f t="shared" si="16"/>
        <v/>
      </c>
      <c r="AF113" s="38" t="str">
        <f t="shared" si="17"/>
        <v/>
      </c>
    </row>
    <row r="114" spans="1:32" x14ac:dyDescent="0.3">
      <c r="A114" s="74"/>
      <c r="B114" s="74"/>
      <c r="C114" s="74"/>
      <c r="D114" s="74"/>
      <c r="E114" s="74"/>
      <c r="F114" s="74"/>
      <c r="G114" s="74"/>
      <c r="H114" s="74"/>
      <c r="I114" s="74"/>
      <c r="J114" s="74"/>
      <c r="K114" s="74"/>
      <c r="L114" s="74"/>
      <c r="M114" s="74"/>
      <c r="N114" s="38" t="str">
        <f>IF(OR(A114="Автомат",A114="Дифавтомат"),IF(W114="","",COUNTIFS(Однолинейка!$H$3:$H$3000,U114,Однолинейка!$A$3:$A$3000,Щит_спец)),IF(A114="Аппарат",IF(C114="","",COUNTIFS(Однолинейка!$I$3:$I$3000,C114,Однолинейка!$A$3:$A$3000,Щит_спец)+COUNTIFS(Однолинейка!$J$3:$J$3000,C114,Однолинейка!$A$3:$A$3000,Щит_спец)+COUNTIFS(Однолинейка!$K$3:$K$3000,C114,Однолинейка!$A$3:$A$3000,Щит_спец)),IF(A114="Модуль",IF(C114="","",COUNTIFS(Однолинейка!$AW$3:$AW$3000,"?*",Однолинейка!$AI$3:$AI$3000,C114,Однолинейка!$A$3:$A$3000,Щит_спец)),IF(A114="Клемма",IF(C114="","",IF(C114=$S$7,SUMIFS(Однолинейка!$BW$3:$BW$3000,Однолинейка!$A$3:$A$3000,Щит_спец),IF(C114=$S$8,SUMIFS(Однолинейка!$BX$3:$BX$3000,Однолинейка!$A$3:$A$3000,Щит_спец),""))),""))))</f>
        <v/>
      </c>
      <c r="O114" s="74"/>
      <c r="P114" s="38" t="str">
        <f t="shared" si="9"/>
        <v/>
      </c>
      <c r="U114" s="38" t="str">
        <f t="shared" si="10"/>
        <v/>
      </c>
      <c r="V114" s="38" t="str">
        <f t="shared" si="11"/>
        <v/>
      </c>
      <c r="W114" s="38" t="str">
        <f>IF(AND(U114&lt;&gt;"",OR($S$4="(все)",B114=$S$4),IF($S$4="(все)",COUNTIF($U$4:U114,U114),COUNTIFS($U$4:U114,U114,$B$4:B114,B114))=1),MAX($W$3:W113)+1,"")</f>
        <v/>
      </c>
      <c r="X114" s="38" t="str">
        <f t="shared" si="12"/>
        <v/>
      </c>
      <c r="Y114" s="38" t="str">
        <f>IF(AND(A114="Аппарат",C114&lt;&gt;"",OR($S$5="(все)",B114=$S$5)),MAX($Y$3:Y113)+1,"")</f>
        <v/>
      </c>
      <c r="Z114" s="38" t="str">
        <f t="shared" si="13"/>
        <v/>
      </c>
      <c r="AA114" s="38" t="str">
        <f>IF(AND(A114="Модуль",C114&lt;&gt;"",OR($S$6="(все)",B114=$S$6)),MAX($AA$3:AA113)+1,"")</f>
        <v/>
      </c>
      <c r="AB114" s="38" t="str">
        <f t="shared" si="14"/>
        <v/>
      </c>
      <c r="AC114" s="38" t="str">
        <f>IF(OR(B114="",COUNTIF($B$4:B114,B114)&gt;1),"",MAX($AC$3:AC113)+1)</f>
        <v/>
      </c>
      <c r="AD114" s="38" t="str">
        <f t="shared" si="15"/>
        <v/>
      </c>
      <c r="AE114" s="38" t="str">
        <f t="shared" si="16"/>
        <v/>
      </c>
      <c r="AF114" s="38" t="str">
        <f t="shared" si="17"/>
        <v/>
      </c>
    </row>
    <row r="115" spans="1:32" x14ac:dyDescent="0.3">
      <c r="A115" s="74"/>
      <c r="B115" s="74"/>
      <c r="C115" s="74"/>
      <c r="D115" s="74"/>
      <c r="E115" s="74"/>
      <c r="F115" s="74"/>
      <c r="G115" s="74"/>
      <c r="H115" s="74"/>
      <c r="I115" s="74"/>
      <c r="J115" s="74"/>
      <c r="K115" s="74"/>
      <c r="L115" s="74"/>
      <c r="M115" s="74"/>
      <c r="N115" s="38" t="str">
        <f>IF(OR(A115="Автомат",A115="Дифавтомат"),IF(W115="","",COUNTIFS(Однолинейка!$H$3:$H$3000,U115,Однолинейка!$A$3:$A$3000,Щит_спец)),IF(A115="Аппарат",IF(C115="","",COUNTIFS(Однолинейка!$I$3:$I$3000,C115,Однолинейка!$A$3:$A$3000,Щит_спец)+COUNTIFS(Однолинейка!$J$3:$J$3000,C115,Однолинейка!$A$3:$A$3000,Щит_спец)+COUNTIFS(Однолинейка!$K$3:$K$3000,C115,Однолинейка!$A$3:$A$3000,Щит_спец)),IF(A115="Модуль",IF(C115="","",COUNTIFS(Однолинейка!$AW$3:$AW$3000,"?*",Однолинейка!$AI$3:$AI$3000,C115,Однолинейка!$A$3:$A$3000,Щит_спец)),IF(A115="Клемма",IF(C115="","",IF(C115=$S$7,SUMIFS(Однолинейка!$BW$3:$BW$3000,Однолинейка!$A$3:$A$3000,Щит_спец),IF(C115=$S$8,SUMIFS(Однолинейка!$BX$3:$BX$3000,Однолинейка!$A$3:$A$3000,Щит_спец),""))),""))))</f>
        <v/>
      </c>
      <c r="O115" s="74"/>
      <c r="P115" s="38" t="str">
        <f t="shared" si="9"/>
        <v/>
      </c>
      <c r="U115" s="38" t="str">
        <f t="shared" si="10"/>
        <v/>
      </c>
      <c r="V115" s="38" t="str">
        <f t="shared" si="11"/>
        <v/>
      </c>
      <c r="W115" s="38" t="str">
        <f>IF(AND(U115&lt;&gt;"",OR($S$4="(все)",B115=$S$4),IF($S$4="(все)",COUNTIF($U$4:U115,U115),COUNTIFS($U$4:U115,U115,$B$4:B115,B115))=1),MAX($W$3:W114)+1,"")</f>
        <v/>
      </c>
      <c r="X115" s="38" t="str">
        <f t="shared" si="12"/>
        <v/>
      </c>
      <c r="Y115" s="38" t="str">
        <f>IF(AND(A115="Аппарат",C115&lt;&gt;"",OR($S$5="(все)",B115=$S$5)),MAX($Y$3:Y114)+1,"")</f>
        <v/>
      </c>
      <c r="Z115" s="38" t="str">
        <f t="shared" si="13"/>
        <v/>
      </c>
      <c r="AA115" s="38" t="str">
        <f>IF(AND(A115="Модуль",C115&lt;&gt;"",OR($S$6="(все)",B115=$S$6)),MAX($AA$3:AA114)+1,"")</f>
        <v/>
      </c>
      <c r="AB115" s="38" t="str">
        <f t="shared" si="14"/>
        <v/>
      </c>
      <c r="AC115" s="38" t="str">
        <f>IF(OR(B115="",COUNTIF($B$4:B115,B115)&gt;1),"",MAX($AC$3:AC114)+1)</f>
        <v/>
      </c>
      <c r="AD115" s="38" t="str">
        <f t="shared" si="15"/>
        <v/>
      </c>
      <c r="AE115" s="38" t="str">
        <f t="shared" si="16"/>
        <v/>
      </c>
      <c r="AF115" s="38" t="str">
        <f t="shared" si="17"/>
        <v/>
      </c>
    </row>
    <row r="116" spans="1:32" x14ac:dyDescent="0.3">
      <c r="A116" s="74"/>
      <c r="B116" s="74"/>
      <c r="C116" s="74"/>
      <c r="D116" s="74"/>
      <c r="E116" s="74"/>
      <c r="F116" s="74"/>
      <c r="G116" s="74"/>
      <c r="H116" s="74"/>
      <c r="I116" s="74"/>
      <c r="J116" s="74"/>
      <c r="K116" s="74"/>
      <c r="L116" s="74"/>
      <c r="M116" s="74"/>
      <c r="N116" s="38" t="str">
        <f>IF(OR(A116="Автомат",A116="Дифавтомат"),IF(W116="","",COUNTIFS(Однолинейка!$H$3:$H$3000,U116,Однолинейка!$A$3:$A$3000,Щит_спец)),IF(A116="Аппарат",IF(C116="","",COUNTIFS(Однолинейка!$I$3:$I$3000,C116,Однолинейка!$A$3:$A$3000,Щит_спец)+COUNTIFS(Однолинейка!$J$3:$J$3000,C116,Однолинейка!$A$3:$A$3000,Щит_спец)+COUNTIFS(Однолинейка!$K$3:$K$3000,C116,Однолинейка!$A$3:$A$3000,Щит_спец)),IF(A116="Модуль",IF(C116="","",COUNTIFS(Однолинейка!$AW$3:$AW$3000,"?*",Однолинейка!$AI$3:$AI$3000,C116,Однолинейка!$A$3:$A$3000,Щит_спец)),IF(A116="Клемма",IF(C116="","",IF(C116=$S$7,SUMIFS(Однолинейка!$BW$3:$BW$3000,Однолинейка!$A$3:$A$3000,Щит_спец),IF(C116=$S$8,SUMIFS(Однолинейка!$BX$3:$BX$3000,Однолинейка!$A$3:$A$3000,Щит_спец),""))),""))))</f>
        <v/>
      </c>
      <c r="O116" s="74"/>
      <c r="P116" s="38" t="str">
        <f t="shared" si="9"/>
        <v/>
      </c>
      <c r="U116" s="38" t="str">
        <f t="shared" si="10"/>
        <v/>
      </c>
      <c r="V116" s="38" t="str">
        <f t="shared" si="11"/>
        <v/>
      </c>
      <c r="W116" s="38" t="str">
        <f>IF(AND(U116&lt;&gt;"",OR($S$4="(все)",B116=$S$4),IF($S$4="(все)",COUNTIF($U$4:U116,U116),COUNTIFS($U$4:U116,U116,$B$4:B116,B116))=1),MAX($W$3:W115)+1,"")</f>
        <v/>
      </c>
      <c r="X116" s="38" t="str">
        <f t="shared" si="12"/>
        <v/>
      </c>
      <c r="Y116" s="38" t="str">
        <f>IF(AND(A116="Аппарат",C116&lt;&gt;"",OR($S$5="(все)",B116=$S$5)),MAX($Y$3:Y115)+1,"")</f>
        <v/>
      </c>
      <c r="Z116" s="38" t="str">
        <f t="shared" si="13"/>
        <v/>
      </c>
      <c r="AA116" s="38" t="str">
        <f>IF(AND(A116="Модуль",C116&lt;&gt;"",OR($S$6="(все)",B116=$S$6)),MAX($AA$3:AA115)+1,"")</f>
        <v/>
      </c>
      <c r="AB116" s="38" t="str">
        <f t="shared" si="14"/>
        <v/>
      </c>
      <c r="AC116" s="38" t="str">
        <f>IF(OR(B116="",COUNTIF($B$4:B116,B116)&gt;1),"",MAX($AC$3:AC115)+1)</f>
        <v/>
      </c>
      <c r="AD116" s="38" t="str">
        <f t="shared" si="15"/>
        <v/>
      </c>
      <c r="AE116" s="38" t="str">
        <f t="shared" si="16"/>
        <v/>
      </c>
      <c r="AF116" s="38" t="str">
        <f t="shared" si="17"/>
        <v/>
      </c>
    </row>
    <row r="117" spans="1:32" x14ac:dyDescent="0.3">
      <c r="A117" s="74"/>
      <c r="B117" s="74"/>
      <c r="C117" s="74"/>
      <c r="D117" s="74"/>
      <c r="E117" s="74"/>
      <c r="F117" s="74"/>
      <c r="G117" s="74"/>
      <c r="H117" s="74"/>
      <c r="I117" s="74"/>
      <c r="J117" s="74"/>
      <c r="K117" s="74"/>
      <c r="L117" s="74"/>
      <c r="M117" s="74"/>
      <c r="N117" s="38" t="str">
        <f>IF(OR(A117="Автомат",A117="Дифавтомат"),IF(W117="","",COUNTIFS(Однолинейка!$H$3:$H$3000,U117,Однолинейка!$A$3:$A$3000,Щит_спец)),IF(A117="Аппарат",IF(C117="","",COUNTIFS(Однолинейка!$I$3:$I$3000,C117,Однолинейка!$A$3:$A$3000,Щит_спец)+COUNTIFS(Однолинейка!$J$3:$J$3000,C117,Однолинейка!$A$3:$A$3000,Щит_спец)+COUNTIFS(Однолинейка!$K$3:$K$3000,C117,Однолинейка!$A$3:$A$3000,Щит_спец)),IF(A117="Модуль",IF(C117="","",COUNTIFS(Однолинейка!$AW$3:$AW$3000,"?*",Однолинейка!$AI$3:$AI$3000,C117,Однолинейка!$A$3:$A$3000,Щит_спец)),IF(A117="Клемма",IF(C117="","",IF(C117=$S$7,SUMIFS(Однолинейка!$BW$3:$BW$3000,Однолинейка!$A$3:$A$3000,Щит_спец),IF(C117=$S$8,SUMIFS(Однолинейка!$BX$3:$BX$3000,Однолинейка!$A$3:$A$3000,Щит_спец),""))),""))))</f>
        <v/>
      </c>
      <c r="O117" s="74"/>
      <c r="P117" s="38" t="str">
        <f t="shared" si="9"/>
        <v/>
      </c>
      <c r="U117" s="38" t="str">
        <f t="shared" si="10"/>
        <v/>
      </c>
      <c r="V117" s="38" t="str">
        <f t="shared" si="11"/>
        <v/>
      </c>
      <c r="W117" s="38" t="str">
        <f>IF(AND(U117&lt;&gt;"",OR($S$4="(все)",B117=$S$4),IF($S$4="(все)",COUNTIF($U$4:U117,U117),COUNTIFS($U$4:U117,U117,$B$4:B117,B117))=1),MAX($W$3:W116)+1,"")</f>
        <v/>
      </c>
      <c r="X117" s="38" t="str">
        <f t="shared" si="12"/>
        <v/>
      </c>
      <c r="Y117" s="38" t="str">
        <f>IF(AND(A117="Аппарат",C117&lt;&gt;"",OR($S$5="(все)",B117=$S$5)),MAX($Y$3:Y116)+1,"")</f>
        <v/>
      </c>
      <c r="Z117" s="38" t="str">
        <f t="shared" si="13"/>
        <v/>
      </c>
      <c r="AA117" s="38" t="str">
        <f>IF(AND(A117="Модуль",C117&lt;&gt;"",OR($S$6="(все)",B117=$S$6)),MAX($AA$3:AA116)+1,"")</f>
        <v/>
      </c>
      <c r="AB117" s="38" t="str">
        <f t="shared" si="14"/>
        <v/>
      </c>
      <c r="AC117" s="38" t="str">
        <f>IF(OR(B117="",COUNTIF($B$4:B117,B117)&gt;1),"",MAX($AC$3:AC116)+1)</f>
        <v/>
      </c>
      <c r="AD117" s="38" t="str">
        <f t="shared" si="15"/>
        <v/>
      </c>
      <c r="AE117" s="38" t="str">
        <f t="shared" si="16"/>
        <v/>
      </c>
      <c r="AF117" s="38" t="str">
        <f t="shared" si="17"/>
        <v/>
      </c>
    </row>
    <row r="118" spans="1:32" x14ac:dyDescent="0.3">
      <c r="A118" s="74"/>
      <c r="B118" s="74"/>
      <c r="C118" s="74"/>
      <c r="D118" s="74"/>
      <c r="E118" s="74"/>
      <c r="F118" s="74"/>
      <c r="G118" s="74"/>
      <c r="H118" s="74"/>
      <c r="I118" s="74"/>
      <c r="J118" s="74"/>
      <c r="K118" s="74"/>
      <c r="L118" s="74"/>
      <c r="M118" s="74"/>
      <c r="N118" s="38" t="str">
        <f>IF(OR(A118="Автомат",A118="Дифавтомат"),IF(W118="","",COUNTIFS(Однолинейка!$H$3:$H$3000,U118,Однолинейка!$A$3:$A$3000,Щит_спец)),IF(A118="Аппарат",IF(C118="","",COUNTIFS(Однолинейка!$I$3:$I$3000,C118,Однолинейка!$A$3:$A$3000,Щит_спец)+COUNTIFS(Однолинейка!$J$3:$J$3000,C118,Однолинейка!$A$3:$A$3000,Щит_спец)+COUNTIFS(Однолинейка!$K$3:$K$3000,C118,Однолинейка!$A$3:$A$3000,Щит_спец)),IF(A118="Модуль",IF(C118="","",COUNTIFS(Однолинейка!$AW$3:$AW$3000,"?*",Однолинейка!$AI$3:$AI$3000,C118,Однолинейка!$A$3:$A$3000,Щит_спец)),IF(A118="Клемма",IF(C118="","",IF(C118=$S$7,SUMIFS(Однолинейка!$BW$3:$BW$3000,Однолинейка!$A$3:$A$3000,Щит_спец),IF(C118=$S$8,SUMIFS(Однолинейка!$BX$3:$BX$3000,Однолинейка!$A$3:$A$3000,Щит_спец),""))),""))))</f>
        <v/>
      </c>
      <c r="O118" s="74"/>
      <c r="P118" s="38" t="str">
        <f t="shared" si="9"/>
        <v/>
      </c>
      <c r="U118" s="38" t="str">
        <f t="shared" si="10"/>
        <v/>
      </c>
      <c r="V118" s="38" t="str">
        <f t="shared" si="11"/>
        <v/>
      </c>
      <c r="W118" s="38" t="str">
        <f>IF(AND(U118&lt;&gt;"",OR($S$4="(все)",B118=$S$4),IF($S$4="(все)",COUNTIF($U$4:U118,U118),COUNTIFS($U$4:U118,U118,$B$4:B118,B118))=1),MAX($W$3:W117)+1,"")</f>
        <v/>
      </c>
      <c r="X118" s="38" t="str">
        <f t="shared" si="12"/>
        <v/>
      </c>
      <c r="Y118" s="38" t="str">
        <f>IF(AND(A118="Аппарат",C118&lt;&gt;"",OR($S$5="(все)",B118=$S$5)),MAX($Y$3:Y117)+1,"")</f>
        <v/>
      </c>
      <c r="Z118" s="38" t="str">
        <f t="shared" si="13"/>
        <v/>
      </c>
      <c r="AA118" s="38" t="str">
        <f>IF(AND(A118="Модуль",C118&lt;&gt;"",OR($S$6="(все)",B118=$S$6)),MAX($AA$3:AA117)+1,"")</f>
        <v/>
      </c>
      <c r="AB118" s="38" t="str">
        <f t="shared" si="14"/>
        <v/>
      </c>
      <c r="AC118" s="38" t="str">
        <f>IF(OR(B118="",COUNTIF($B$4:B118,B118)&gt;1),"",MAX($AC$3:AC117)+1)</f>
        <v/>
      </c>
      <c r="AD118" s="38" t="str">
        <f t="shared" si="15"/>
        <v/>
      </c>
      <c r="AE118" s="38" t="str">
        <f t="shared" si="16"/>
        <v/>
      </c>
      <c r="AF118" s="38" t="str">
        <f t="shared" si="17"/>
        <v/>
      </c>
    </row>
    <row r="119" spans="1:32" x14ac:dyDescent="0.3">
      <c r="A119" s="74"/>
      <c r="B119" s="74"/>
      <c r="C119" s="74"/>
      <c r="D119" s="74"/>
      <c r="E119" s="74"/>
      <c r="F119" s="74"/>
      <c r="G119" s="74"/>
      <c r="H119" s="74"/>
      <c r="I119" s="74"/>
      <c r="J119" s="74"/>
      <c r="K119" s="74"/>
      <c r="L119" s="74"/>
      <c r="M119" s="74"/>
      <c r="N119" s="38" t="str">
        <f>IF(OR(A119="Автомат",A119="Дифавтомат"),IF(W119="","",COUNTIFS(Однолинейка!$H$3:$H$3000,U119,Однолинейка!$A$3:$A$3000,Щит_спец)),IF(A119="Аппарат",IF(C119="","",COUNTIFS(Однолинейка!$I$3:$I$3000,C119,Однолинейка!$A$3:$A$3000,Щит_спец)+COUNTIFS(Однолинейка!$J$3:$J$3000,C119,Однолинейка!$A$3:$A$3000,Щит_спец)+COUNTIFS(Однолинейка!$K$3:$K$3000,C119,Однолинейка!$A$3:$A$3000,Щит_спец)),IF(A119="Модуль",IF(C119="","",COUNTIFS(Однолинейка!$AW$3:$AW$3000,"?*",Однолинейка!$AI$3:$AI$3000,C119,Однолинейка!$A$3:$A$3000,Щит_спец)),IF(A119="Клемма",IF(C119="","",IF(C119=$S$7,SUMIFS(Однолинейка!$BW$3:$BW$3000,Однолинейка!$A$3:$A$3000,Щит_спец),IF(C119=$S$8,SUMIFS(Однолинейка!$BX$3:$BX$3000,Однолинейка!$A$3:$A$3000,Щит_спец),""))),""))))</f>
        <v/>
      </c>
      <c r="O119" s="74"/>
      <c r="P119" s="38" t="str">
        <f t="shared" si="9"/>
        <v/>
      </c>
      <c r="U119" s="38" t="str">
        <f t="shared" si="10"/>
        <v/>
      </c>
      <c r="V119" s="38" t="str">
        <f t="shared" si="11"/>
        <v/>
      </c>
      <c r="W119" s="38" t="str">
        <f>IF(AND(U119&lt;&gt;"",OR($S$4="(все)",B119=$S$4),IF($S$4="(все)",COUNTIF($U$4:U119,U119),COUNTIFS($U$4:U119,U119,$B$4:B119,B119))=1),MAX($W$3:W118)+1,"")</f>
        <v/>
      </c>
      <c r="X119" s="38" t="str">
        <f t="shared" si="12"/>
        <v/>
      </c>
      <c r="Y119" s="38" t="str">
        <f>IF(AND(A119="Аппарат",C119&lt;&gt;"",OR($S$5="(все)",B119=$S$5)),MAX($Y$3:Y118)+1,"")</f>
        <v/>
      </c>
      <c r="Z119" s="38" t="str">
        <f t="shared" si="13"/>
        <v/>
      </c>
      <c r="AA119" s="38" t="str">
        <f>IF(AND(A119="Модуль",C119&lt;&gt;"",OR($S$6="(все)",B119=$S$6)),MAX($AA$3:AA118)+1,"")</f>
        <v/>
      </c>
      <c r="AB119" s="38" t="str">
        <f t="shared" si="14"/>
        <v/>
      </c>
      <c r="AC119" s="38" t="str">
        <f>IF(OR(B119="",COUNTIF($B$4:B119,B119)&gt;1),"",MAX($AC$3:AC118)+1)</f>
        <v/>
      </c>
      <c r="AD119" s="38" t="str">
        <f t="shared" si="15"/>
        <v/>
      </c>
      <c r="AE119" s="38" t="str">
        <f t="shared" si="16"/>
        <v/>
      </c>
      <c r="AF119" s="38" t="str">
        <f t="shared" si="17"/>
        <v/>
      </c>
    </row>
    <row r="120" spans="1:32" x14ac:dyDescent="0.3">
      <c r="A120" s="74"/>
      <c r="B120" s="74"/>
      <c r="C120" s="74"/>
      <c r="D120" s="74"/>
      <c r="E120" s="74"/>
      <c r="F120" s="74"/>
      <c r="G120" s="74"/>
      <c r="H120" s="74"/>
      <c r="I120" s="74"/>
      <c r="J120" s="74"/>
      <c r="K120" s="74"/>
      <c r="L120" s="74"/>
      <c r="M120" s="74"/>
      <c r="N120" s="38" t="str">
        <f>IF(OR(A120="Автомат",A120="Дифавтомат"),IF(W120="","",COUNTIFS(Однолинейка!$H$3:$H$3000,U120,Однолинейка!$A$3:$A$3000,Щит_спец)),IF(A120="Аппарат",IF(C120="","",COUNTIFS(Однолинейка!$I$3:$I$3000,C120,Однолинейка!$A$3:$A$3000,Щит_спец)+COUNTIFS(Однолинейка!$J$3:$J$3000,C120,Однолинейка!$A$3:$A$3000,Щит_спец)+COUNTIFS(Однолинейка!$K$3:$K$3000,C120,Однолинейка!$A$3:$A$3000,Щит_спец)),IF(A120="Модуль",IF(C120="","",COUNTIFS(Однолинейка!$AW$3:$AW$3000,"?*",Однолинейка!$AI$3:$AI$3000,C120,Однолинейка!$A$3:$A$3000,Щит_спец)),IF(A120="Клемма",IF(C120="","",IF(C120=$S$7,SUMIFS(Однолинейка!$BW$3:$BW$3000,Однолинейка!$A$3:$A$3000,Щит_спец),IF(C120=$S$8,SUMIFS(Однолинейка!$BX$3:$BX$3000,Однолинейка!$A$3:$A$3000,Щит_спец),""))),""))))</f>
        <v/>
      </c>
      <c r="O120" s="74"/>
      <c r="P120" s="38" t="str">
        <f t="shared" si="9"/>
        <v/>
      </c>
      <c r="U120" s="38" t="str">
        <f t="shared" si="10"/>
        <v/>
      </c>
      <c r="V120" s="38" t="str">
        <f t="shared" si="11"/>
        <v/>
      </c>
      <c r="W120" s="38" t="str">
        <f>IF(AND(U120&lt;&gt;"",OR($S$4="(все)",B120=$S$4),IF($S$4="(все)",COUNTIF($U$4:U120,U120),COUNTIFS($U$4:U120,U120,$B$4:B120,B120))=1),MAX($W$3:W119)+1,"")</f>
        <v/>
      </c>
      <c r="X120" s="38" t="str">
        <f t="shared" si="12"/>
        <v/>
      </c>
      <c r="Y120" s="38" t="str">
        <f>IF(AND(A120="Аппарат",C120&lt;&gt;"",OR($S$5="(все)",B120=$S$5)),MAX($Y$3:Y119)+1,"")</f>
        <v/>
      </c>
      <c r="Z120" s="38" t="str">
        <f t="shared" si="13"/>
        <v/>
      </c>
      <c r="AA120" s="38" t="str">
        <f>IF(AND(A120="Модуль",C120&lt;&gt;"",OR($S$6="(все)",B120=$S$6)),MAX($AA$3:AA119)+1,"")</f>
        <v/>
      </c>
      <c r="AB120" s="38" t="str">
        <f t="shared" si="14"/>
        <v/>
      </c>
      <c r="AC120" s="38" t="str">
        <f>IF(OR(B120="",COUNTIF($B$4:B120,B120)&gt;1),"",MAX($AC$3:AC119)+1)</f>
        <v/>
      </c>
      <c r="AD120" s="38" t="str">
        <f t="shared" si="15"/>
        <v/>
      </c>
      <c r="AE120" s="38" t="str">
        <f t="shared" si="16"/>
        <v/>
      </c>
      <c r="AF120" s="38" t="str">
        <f t="shared" si="17"/>
        <v/>
      </c>
    </row>
    <row r="121" spans="1:32" x14ac:dyDescent="0.3">
      <c r="A121" s="74"/>
      <c r="B121" s="74"/>
      <c r="C121" s="74"/>
      <c r="D121" s="74"/>
      <c r="E121" s="74"/>
      <c r="F121" s="74"/>
      <c r="G121" s="74"/>
      <c r="H121" s="74"/>
      <c r="I121" s="74"/>
      <c r="J121" s="74"/>
      <c r="K121" s="74"/>
      <c r="L121" s="74"/>
      <c r="M121" s="74"/>
      <c r="N121" s="38" t="str">
        <f>IF(OR(A121="Автомат",A121="Дифавтомат"),IF(W121="","",COUNTIFS(Однолинейка!$H$3:$H$3000,U121,Однолинейка!$A$3:$A$3000,Щит_спец)),IF(A121="Аппарат",IF(C121="","",COUNTIFS(Однолинейка!$I$3:$I$3000,C121,Однолинейка!$A$3:$A$3000,Щит_спец)+COUNTIFS(Однолинейка!$J$3:$J$3000,C121,Однолинейка!$A$3:$A$3000,Щит_спец)+COUNTIFS(Однолинейка!$K$3:$K$3000,C121,Однолинейка!$A$3:$A$3000,Щит_спец)),IF(A121="Модуль",IF(C121="","",COUNTIFS(Однолинейка!$AW$3:$AW$3000,"?*",Однолинейка!$AI$3:$AI$3000,C121,Однолинейка!$A$3:$A$3000,Щит_спец)),IF(A121="Клемма",IF(C121="","",IF(C121=$S$7,SUMIFS(Однолинейка!$BW$3:$BW$3000,Однолинейка!$A$3:$A$3000,Щит_спец),IF(C121=$S$8,SUMIFS(Однолинейка!$BX$3:$BX$3000,Однолинейка!$A$3:$A$3000,Щит_спец),""))),""))))</f>
        <v/>
      </c>
      <c r="O121" s="74"/>
      <c r="P121" s="38" t="str">
        <f t="shared" si="9"/>
        <v/>
      </c>
      <c r="U121" s="38" t="str">
        <f t="shared" si="10"/>
        <v/>
      </c>
      <c r="V121" s="38" t="str">
        <f t="shared" si="11"/>
        <v/>
      </c>
      <c r="W121" s="38" t="str">
        <f>IF(AND(U121&lt;&gt;"",OR($S$4="(все)",B121=$S$4),IF($S$4="(все)",COUNTIF($U$4:U121,U121),COUNTIFS($U$4:U121,U121,$B$4:B121,B121))=1),MAX($W$3:W120)+1,"")</f>
        <v/>
      </c>
      <c r="X121" s="38" t="str">
        <f t="shared" si="12"/>
        <v/>
      </c>
      <c r="Y121" s="38" t="str">
        <f>IF(AND(A121="Аппарат",C121&lt;&gt;"",OR($S$5="(все)",B121=$S$5)),MAX($Y$3:Y120)+1,"")</f>
        <v/>
      </c>
      <c r="Z121" s="38" t="str">
        <f t="shared" si="13"/>
        <v/>
      </c>
      <c r="AA121" s="38" t="str">
        <f>IF(AND(A121="Модуль",C121&lt;&gt;"",OR($S$6="(все)",B121=$S$6)),MAX($AA$3:AA120)+1,"")</f>
        <v/>
      </c>
      <c r="AB121" s="38" t="str">
        <f t="shared" si="14"/>
        <v/>
      </c>
      <c r="AC121" s="38" t="str">
        <f>IF(OR(B121="",COUNTIF($B$4:B121,B121)&gt;1),"",MAX($AC$3:AC120)+1)</f>
        <v/>
      </c>
      <c r="AD121" s="38" t="str">
        <f t="shared" si="15"/>
        <v/>
      </c>
      <c r="AE121" s="38" t="str">
        <f t="shared" si="16"/>
        <v/>
      </c>
      <c r="AF121" s="38" t="str">
        <f t="shared" si="17"/>
        <v/>
      </c>
    </row>
    <row r="122" spans="1:32" x14ac:dyDescent="0.3">
      <c r="A122" s="74"/>
      <c r="B122" s="74"/>
      <c r="C122" s="74"/>
      <c r="D122" s="74"/>
      <c r="E122" s="74"/>
      <c r="F122" s="74"/>
      <c r="G122" s="74"/>
      <c r="H122" s="74"/>
      <c r="I122" s="74"/>
      <c r="J122" s="74"/>
      <c r="K122" s="74"/>
      <c r="L122" s="74"/>
      <c r="M122" s="74"/>
      <c r="N122" s="38" t="str">
        <f>IF(OR(A122="Автомат",A122="Дифавтомат"),IF(W122="","",COUNTIFS(Однолинейка!$H$3:$H$3000,U122,Однолинейка!$A$3:$A$3000,Щит_спец)),IF(A122="Аппарат",IF(C122="","",COUNTIFS(Однолинейка!$I$3:$I$3000,C122,Однолинейка!$A$3:$A$3000,Щит_спец)+COUNTIFS(Однолинейка!$J$3:$J$3000,C122,Однолинейка!$A$3:$A$3000,Щит_спец)+COUNTIFS(Однолинейка!$K$3:$K$3000,C122,Однолинейка!$A$3:$A$3000,Щит_спец)),IF(A122="Модуль",IF(C122="","",COUNTIFS(Однолинейка!$AW$3:$AW$3000,"?*",Однолинейка!$AI$3:$AI$3000,C122,Однолинейка!$A$3:$A$3000,Щит_спец)),IF(A122="Клемма",IF(C122="","",IF(C122=$S$7,SUMIFS(Однолинейка!$BW$3:$BW$3000,Однолинейка!$A$3:$A$3000,Щит_спец),IF(C122=$S$8,SUMIFS(Однолинейка!$BX$3:$BX$3000,Однолинейка!$A$3:$A$3000,Щит_спец),""))),""))))</f>
        <v/>
      </c>
      <c r="O122" s="74"/>
      <c r="P122" s="38" t="str">
        <f t="shared" si="9"/>
        <v/>
      </c>
      <c r="U122" s="38" t="str">
        <f t="shared" si="10"/>
        <v/>
      </c>
      <c r="V122" s="38" t="str">
        <f t="shared" si="11"/>
        <v/>
      </c>
      <c r="W122" s="38" t="str">
        <f>IF(AND(U122&lt;&gt;"",OR($S$4="(все)",B122=$S$4),IF($S$4="(все)",COUNTIF($U$4:U122,U122),COUNTIFS($U$4:U122,U122,$B$4:B122,B122))=1),MAX($W$3:W121)+1,"")</f>
        <v/>
      </c>
      <c r="X122" s="38" t="str">
        <f t="shared" si="12"/>
        <v/>
      </c>
      <c r="Y122" s="38" t="str">
        <f>IF(AND(A122="Аппарат",C122&lt;&gt;"",OR($S$5="(все)",B122=$S$5)),MAX($Y$3:Y121)+1,"")</f>
        <v/>
      </c>
      <c r="Z122" s="38" t="str">
        <f t="shared" si="13"/>
        <v/>
      </c>
      <c r="AA122" s="38" t="str">
        <f>IF(AND(A122="Модуль",C122&lt;&gt;"",OR($S$6="(все)",B122=$S$6)),MAX($AA$3:AA121)+1,"")</f>
        <v/>
      </c>
      <c r="AB122" s="38" t="str">
        <f t="shared" si="14"/>
        <v/>
      </c>
      <c r="AC122" s="38" t="str">
        <f>IF(OR(B122="",COUNTIF($B$4:B122,B122)&gt;1),"",MAX($AC$3:AC121)+1)</f>
        <v/>
      </c>
      <c r="AD122" s="38" t="str">
        <f t="shared" si="15"/>
        <v/>
      </c>
      <c r="AE122" s="38" t="str">
        <f t="shared" si="16"/>
        <v/>
      </c>
      <c r="AF122" s="38" t="str">
        <f t="shared" si="17"/>
        <v/>
      </c>
    </row>
    <row r="123" spans="1:32" x14ac:dyDescent="0.3">
      <c r="A123" s="74"/>
      <c r="B123" s="74"/>
      <c r="C123" s="74"/>
      <c r="D123" s="74"/>
      <c r="E123" s="74"/>
      <c r="F123" s="74"/>
      <c r="G123" s="74"/>
      <c r="H123" s="74"/>
      <c r="I123" s="74"/>
      <c r="J123" s="74"/>
      <c r="K123" s="74"/>
      <c r="L123" s="74"/>
      <c r="M123" s="74"/>
      <c r="N123" s="38" t="str">
        <f>IF(OR(A123="Автомат",A123="Дифавтомат"),IF(W123="","",COUNTIFS(Однолинейка!$H$3:$H$3000,U123,Однолинейка!$A$3:$A$3000,Щит_спец)),IF(A123="Аппарат",IF(C123="","",COUNTIFS(Однолинейка!$I$3:$I$3000,C123,Однолинейка!$A$3:$A$3000,Щит_спец)+COUNTIFS(Однолинейка!$J$3:$J$3000,C123,Однолинейка!$A$3:$A$3000,Щит_спец)+COUNTIFS(Однолинейка!$K$3:$K$3000,C123,Однолинейка!$A$3:$A$3000,Щит_спец)),IF(A123="Модуль",IF(C123="","",COUNTIFS(Однолинейка!$AW$3:$AW$3000,"?*",Однолинейка!$AI$3:$AI$3000,C123,Однолинейка!$A$3:$A$3000,Щит_спец)),IF(A123="Клемма",IF(C123="","",IF(C123=$S$7,SUMIFS(Однолинейка!$BW$3:$BW$3000,Однолинейка!$A$3:$A$3000,Щит_спец),IF(C123=$S$8,SUMIFS(Однолинейка!$BX$3:$BX$3000,Однолинейка!$A$3:$A$3000,Щит_спец),""))),""))))</f>
        <v/>
      </c>
      <c r="O123" s="74"/>
      <c r="P123" s="38" t="str">
        <f t="shared" si="9"/>
        <v/>
      </c>
      <c r="U123" s="38" t="str">
        <f t="shared" si="10"/>
        <v/>
      </c>
      <c r="V123" s="38" t="str">
        <f t="shared" si="11"/>
        <v/>
      </c>
      <c r="W123" s="38" t="str">
        <f>IF(AND(U123&lt;&gt;"",OR($S$4="(все)",B123=$S$4),IF($S$4="(все)",COUNTIF($U$4:U123,U123),COUNTIFS($U$4:U123,U123,$B$4:B123,B123))=1),MAX($W$3:W122)+1,"")</f>
        <v/>
      </c>
      <c r="X123" s="38" t="str">
        <f t="shared" si="12"/>
        <v/>
      </c>
      <c r="Y123" s="38" t="str">
        <f>IF(AND(A123="Аппарат",C123&lt;&gt;"",OR($S$5="(все)",B123=$S$5)),MAX($Y$3:Y122)+1,"")</f>
        <v/>
      </c>
      <c r="Z123" s="38" t="str">
        <f t="shared" si="13"/>
        <v/>
      </c>
      <c r="AA123" s="38" t="str">
        <f>IF(AND(A123="Модуль",C123&lt;&gt;"",OR($S$6="(все)",B123=$S$6)),MAX($AA$3:AA122)+1,"")</f>
        <v/>
      </c>
      <c r="AB123" s="38" t="str">
        <f t="shared" si="14"/>
        <v/>
      </c>
      <c r="AC123" s="38" t="str">
        <f>IF(OR(B123="",COUNTIF($B$4:B123,B123)&gt;1),"",MAX($AC$3:AC122)+1)</f>
        <v/>
      </c>
      <c r="AD123" s="38" t="str">
        <f t="shared" si="15"/>
        <v/>
      </c>
      <c r="AE123" s="38" t="str">
        <f t="shared" si="16"/>
        <v/>
      </c>
      <c r="AF123" s="38" t="str">
        <f t="shared" si="17"/>
        <v/>
      </c>
    </row>
    <row r="124" spans="1:32" x14ac:dyDescent="0.3">
      <c r="A124" s="74"/>
      <c r="B124" s="74"/>
      <c r="C124" s="74"/>
      <c r="D124" s="74"/>
      <c r="E124" s="74"/>
      <c r="F124" s="74"/>
      <c r="G124" s="74"/>
      <c r="H124" s="74"/>
      <c r="I124" s="74"/>
      <c r="J124" s="74"/>
      <c r="K124" s="74"/>
      <c r="L124" s="74"/>
      <c r="M124" s="74"/>
      <c r="N124" s="38" t="str">
        <f>IF(OR(A124="Автомат",A124="Дифавтомат"),IF(W124="","",COUNTIFS(Однолинейка!$H$3:$H$3000,U124,Однолинейка!$A$3:$A$3000,Щит_спец)),IF(A124="Аппарат",IF(C124="","",COUNTIFS(Однолинейка!$I$3:$I$3000,C124,Однолинейка!$A$3:$A$3000,Щит_спец)+COUNTIFS(Однолинейка!$J$3:$J$3000,C124,Однолинейка!$A$3:$A$3000,Щит_спец)+COUNTIFS(Однолинейка!$K$3:$K$3000,C124,Однолинейка!$A$3:$A$3000,Щит_спец)),IF(A124="Модуль",IF(C124="","",COUNTIFS(Однолинейка!$AW$3:$AW$3000,"?*",Однолинейка!$AI$3:$AI$3000,C124,Однолинейка!$A$3:$A$3000,Щит_спец)),IF(A124="Клемма",IF(C124="","",IF(C124=$S$7,SUMIFS(Однолинейка!$BW$3:$BW$3000,Однолинейка!$A$3:$A$3000,Щит_спец),IF(C124=$S$8,SUMIFS(Однолинейка!$BX$3:$BX$3000,Однолинейка!$A$3:$A$3000,Щит_спец),""))),""))))</f>
        <v/>
      </c>
      <c r="O124" s="74"/>
      <c r="P124" s="38" t="str">
        <f t="shared" si="9"/>
        <v/>
      </c>
      <c r="U124" s="38" t="str">
        <f t="shared" si="10"/>
        <v/>
      </c>
      <c r="V124" s="38" t="str">
        <f t="shared" si="11"/>
        <v/>
      </c>
      <c r="W124" s="38" t="str">
        <f>IF(AND(U124&lt;&gt;"",OR($S$4="(все)",B124=$S$4),IF($S$4="(все)",COUNTIF($U$4:U124,U124),COUNTIFS($U$4:U124,U124,$B$4:B124,B124))=1),MAX($W$3:W123)+1,"")</f>
        <v/>
      </c>
      <c r="X124" s="38" t="str">
        <f t="shared" si="12"/>
        <v/>
      </c>
      <c r="Y124" s="38" t="str">
        <f>IF(AND(A124="Аппарат",C124&lt;&gt;"",OR($S$5="(все)",B124=$S$5)),MAX($Y$3:Y123)+1,"")</f>
        <v/>
      </c>
      <c r="Z124" s="38" t="str">
        <f t="shared" si="13"/>
        <v/>
      </c>
      <c r="AA124" s="38" t="str">
        <f>IF(AND(A124="Модуль",C124&lt;&gt;"",OR($S$6="(все)",B124=$S$6)),MAX($AA$3:AA123)+1,"")</f>
        <v/>
      </c>
      <c r="AB124" s="38" t="str">
        <f t="shared" si="14"/>
        <v/>
      </c>
      <c r="AC124" s="38" t="str">
        <f>IF(OR(B124="",COUNTIF($B$4:B124,B124)&gt;1),"",MAX($AC$3:AC123)+1)</f>
        <v/>
      </c>
      <c r="AD124" s="38" t="str">
        <f t="shared" si="15"/>
        <v/>
      </c>
      <c r="AE124" s="38" t="str">
        <f t="shared" si="16"/>
        <v/>
      </c>
      <c r="AF124" s="38" t="str">
        <f t="shared" si="17"/>
        <v/>
      </c>
    </row>
    <row r="125" spans="1:32" x14ac:dyDescent="0.3">
      <c r="A125" s="74"/>
      <c r="B125" s="74"/>
      <c r="C125" s="74"/>
      <c r="D125" s="74"/>
      <c r="E125" s="74"/>
      <c r="F125" s="74"/>
      <c r="G125" s="74"/>
      <c r="H125" s="74"/>
      <c r="I125" s="74"/>
      <c r="J125" s="74"/>
      <c r="K125" s="74"/>
      <c r="L125" s="74"/>
      <c r="M125" s="74"/>
      <c r="N125" s="38" t="str">
        <f>IF(OR(A125="Автомат",A125="Дифавтомат"),IF(W125="","",COUNTIFS(Однолинейка!$H$3:$H$3000,U125,Однолинейка!$A$3:$A$3000,Щит_спец)),IF(A125="Аппарат",IF(C125="","",COUNTIFS(Однолинейка!$I$3:$I$3000,C125,Однолинейка!$A$3:$A$3000,Щит_спец)+COUNTIFS(Однолинейка!$J$3:$J$3000,C125,Однолинейка!$A$3:$A$3000,Щит_спец)+COUNTIFS(Однолинейка!$K$3:$K$3000,C125,Однолинейка!$A$3:$A$3000,Щит_спец)),IF(A125="Модуль",IF(C125="","",COUNTIFS(Однолинейка!$AW$3:$AW$3000,"?*",Однолинейка!$AI$3:$AI$3000,C125,Однолинейка!$A$3:$A$3000,Щит_спец)),IF(A125="Клемма",IF(C125="","",IF(C125=$S$7,SUMIFS(Однолинейка!$BW$3:$BW$3000,Однолинейка!$A$3:$A$3000,Щит_спец),IF(C125=$S$8,SUMIFS(Однолинейка!$BX$3:$BX$3000,Однолинейка!$A$3:$A$3000,Щит_спец),""))),""))))</f>
        <v/>
      </c>
      <c r="O125" s="74"/>
      <c r="P125" s="38" t="str">
        <f t="shared" si="9"/>
        <v/>
      </c>
      <c r="U125" s="38" t="str">
        <f t="shared" si="10"/>
        <v/>
      </c>
      <c r="V125" s="38" t="str">
        <f t="shared" si="11"/>
        <v/>
      </c>
      <c r="W125" s="38" t="str">
        <f>IF(AND(U125&lt;&gt;"",OR($S$4="(все)",B125=$S$4),IF($S$4="(все)",COUNTIF($U$4:U125,U125),COUNTIFS($U$4:U125,U125,$B$4:B125,B125))=1),MAX($W$3:W124)+1,"")</f>
        <v/>
      </c>
      <c r="X125" s="38" t="str">
        <f t="shared" si="12"/>
        <v/>
      </c>
      <c r="Y125" s="38" t="str">
        <f>IF(AND(A125="Аппарат",C125&lt;&gt;"",OR($S$5="(все)",B125=$S$5)),MAX($Y$3:Y124)+1,"")</f>
        <v/>
      </c>
      <c r="Z125" s="38" t="str">
        <f t="shared" si="13"/>
        <v/>
      </c>
      <c r="AA125" s="38" t="str">
        <f>IF(AND(A125="Модуль",C125&lt;&gt;"",OR($S$6="(все)",B125=$S$6)),MAX($AA$3:AA124)+1,"")</f>
        <v/>
      </c>
      <c r="AB125" s="38" t="str">
        <f t="shared" si="14"/>
        <v/>
      </c>
      <c r="AC125" s="38" t="str">
        <f>IF(OR(B125="",COUNTIF($B$4:B125,B125)&gt;1),"",MAX($AC$3:AC124)+1)</f>
        <v/>
      </c>
      <c r="AD125" s="38" t="str">
        <f t="shared" si="15"/>
        <v/>
      </c>
      <c r="AE125" s="38" t="str">
        <f t="shared" si="16"/>
        <v/>
      </c>
      <c r="AF125" s="38" t="str">
        <f t="shared" si="17"/>
        <v/>
      </c>
    </row>
    <row r="126" spans="1:32" x14ac:dyDescent="0.3">
      <c r="A126" s="74"/>
      <c r="B126" s="74"/>
      <c r="C126" s="74"/>
      <c r="D126" s="74"/>
      <c r="E126" s="74"/>
      <c r="F126" s="74"/>
      <c r="G126" s="74"/>
      <c r="H126" s="74"/>
      <c r="I126" s="74"/>
      <c r="J126" s="74"/>
      <c r="K126" s="74"/>
      <c r="L126" s="74"/>
      <c r="M126" s="74"/>
      <c r="N126" s="38" t="str">
        <f>IF(OR(A126="Автомат",A126="Дифавтомат"),IF(W126="","",COUNTIFS(Однолинейка!$H$3:$H$3000,U126,Однолинейка!$A$3:$A$3000,Щит_спец)),IF(A126="Аппарат",IF(C126="","",COUNTIFS(Однолинейка!$I$3:$I$3000,C126,Однолинейка!$A$3:$A$3000,Щит_спец)+COUNTIFS(Однолинейка!$J$3:$J$3000,C126,Однолинейка!$A$3:$A$3000,Щит_спец)+COUNTIFS(Однолинейка!$K$3:$K$3000,C126,Однолинейка!$A$3:$A$3000,Щит_спец)),IF(A126="Модуль",IF(C126="","",COUNTIFS(Однолинейка!$AW$3:$AW$3000,"?*",Однолинейка!$AI$3:$AI$3000,C126,Однолинейка!$A$3:$A$3000,Щит_спец)),IF(A126="Клемма",IF(C126="","",IF(C126=$S$7,SUMIFS(Однолинейка!$BW$3:$BW$3000,Однолинейка!$A$3:$A$3000,Щит_спец),IF(C126=$S$8,SUMIFS(Однолинейка!$BX$3:$BX$3000,Однолинейка!$A$3:$A$3000,Щит_спец),""))),""))))</f>
        <v/>
      </c>
      <c r="O126" s="74"/>
      <c r="P126" s="38" t="str">
        <f t="shared" si="9"/>
        <v/>
      </c>
      <c r="U126" s="38" t="str">
        <f t="shared" si="10"/>
        <v/>
      </c>
      <c r="V126" s="38" t="str">
        <f t="shared" si="11"/>
        <v/>
      </c>
      <c r="W126" s="38" t="str">
        <f>IF(AND(U126&lt;&gt;"",OR($S$4="(все)",B126=$S$4),IF($S$4="(все)",COUNTIF($U$4:U126,U126),COUNTIFS($U$4:U126,U126,$B$4:B126,B126))=1),MAX($W$3:W125)+1,"")</f>
        <v/>
      </c>
      <c r="X126" s="38" t="str">
        <f t="shared" si="12"/>
        <v/>
      </c>
      <c r="Y126" s="38" t="str">
        <f>IF(AND(A126="Аппарат",C126&lt;&gt;"",OR($S$5="(все)",B126=$S$5)),MAX($Y$3:Y125)+1,"")</f>
        <v/>
      </c>
      <c r="Z126" s="38" t="str">
        <f t="shared" si="13"/>
        <v/>
      </c>
      <c r="AA126" s="38" t="str">
        <f>IF(AND(A126="Модуль",C126&lt;&gt;"",OR($S$6="(все)",B126=$S$6)),MAX($AA$3:AA125)+1,"")</f>
        <v/>
      </c>
      <c r="AB126" s="38" t="str">
        <f t="shared" si="14"/>
        <v/>
      </c>
      <c r="AC126" s="38" t="str">
        <f>IF(OR(B126="",COUNTIF($B$4:B126,B126)&gt;1),"",MAX($AC$3:AC125)+1)</f>
        <v/>
      </c>
      <c r="AD126" s="38" t="str">
        <f t="shared" si="15"/>
        <v/>
      </c>
      <c r="AE126" s="38" t="str">
        <f t="shared" si="16"/>
        <v/>
      </c>
      <c r="AF126" s="38" t="str">
        <f t="shared" si="17"/>
        <v/>
      </c>
    </row>
    <row r="127" spans="1:32" x14ac:dyDescent="0.3">
      <c r="A127" s="74"/>
      <c r="B127" s="74"/>
      <c r="C127" s="74"/>
      <c r="D127" s="74"/>
      <c r="E127" s="74"/>
      <c r="F127" s="74"/>
      <c r="G127" s="74"/>
      <c r="H127" s="74"/>
      <c r="I127" s="74"/>
      <c r="J127" s="74"/>
      <c r="K127" s="74"/>
      <c r="L127" s="74"/>
      <c r="M127" s="74"/>
      <c r="N127" s="38" t="str">
        <f>IF(OR(A127="Автомат",A127="Дифавтомат"),IF(W127="","",COUNTIFS(Однолинейка!$H$3:$H$3000,U127,Однолинейка!$A$3:$A$3000,Щит_спец)),IF(A127="Аппарат",IF(C127="","",COUNTIFS(Однолинейка!$I$3:$I$3000,C127,Однолинейка!$A$3:$A$3000,Щит_спец)+COUNTIFS(Однолинейка!$J$3:$J$3000,C127,Однолинейка!$A$3:$A$3000,Щит_спец)+COUNTIFS(Однолинейка!$K$3:$K$3000,C127,Однолинейка!$A$3:$A$3000,Щит_спец)),IF(A127="Модуль",IF(C127="","",COUNTIFS(Однолинейка!$AW$3:$AW$3000,"?*",Однолинейка!$AI$3:$AI$3000,C127,Однолинейка!$A$3:$A$3000,Щит_спец)),IF(A127="Клемма",IF(C127="","",IF(C127=$S$7,SUMIFS(Однолинейка!$BW$3:$BW$3000,Однолинейка!$A$3:$A$3000,Щит_спец),IF(C127=$S$8,SUMIFS(Однолинейка!$BX$3:$BX$3000,Однолинейка!$A$3:$A$3000,Щит_спец),""))),""))))</f>
        <v/>
      </c>
      <c r="O127" s="74"/>
      <c r="P127" s="38" t="str">
        <f t="shared" si="9"/>
        <v/>
      </c>
      <c r="U127" s="38" t="str">
        <f t="shared" si="10"/>
        <v/>
      </c>
      <c r="V127" s="38" t="str">
        <f t="shared" si="11"/>
        <v/>
      </c>
      <c r="W127" s="38" t="str">
        <f>IF(AND(U127&lt;&gt;"",OR($S$4="(все)",B127=$S$4),IF($S$4="(все)",COUNTIF($U$4:U127,U127),COUNTIFS($U$4:U127,U127,$B$4:B127,B127))=1),MAX($W$3:W126)+1,"")</f>
        <v/>
      </c>
      <c r="X127" s="38" t="str">
        <f t="shared" si="12"/>
        <v/>
      </c>
      <c r="Y127" s="38" t="str">
        <f>IF(AND(A127="Аппарат",C127&lt;&gt;"",OR($S$5="(все)",B127=$S$5)),MAX($Y$3:Y126)+1,"")</f>
        <v/>
      </c>
      <c r="Z127" s="38" t="str">
        <f t="shared" si="13"/>
        <v/>
      </c>
      <c r="AA127" s="38" t="str">
        <f>IF(AND(A127="Модуль",C127&lt;&gt;"",OR($S$6="(все)",B127=$S$6)),MAX($AA$3:AA126)+1,"")</f>
        <v/>
      </c>
      <c r="AB127" s="38" t="str">
        <f t="shared" si="14"/>
        <v/>
      </c>
      <c r="AC127" s="38" t="str">
        <f>IF(OR(B127="",COUNTIF($B$4:B127,B127)&gt;1),"",MAX($AC$3:AC126)+1)</f>
        <v/>
      </c>
      <c r="AD127" s="38" t="str">
        <f t="shared" si="15"/>
        <v/>
      </c>
      <c r="AE127" s="38" t="str">
        <f t="shared" si="16"/>
        <v/>
      </c>
      <c r="AF127" s="38" t="str">
        <f t="shared" si="17"/>
        <v/>
      </c>
    </row>
    <row r="128" spans="1:32" x14ac:dyDescent="0.3">
      <c r="A128" s="74"/>
      <c r="B128" s="74"/>
      <c r="C128" s="74"/>
      <c r="D128" s="74"/>
      <c r="E128" s="74"/>
      <c r="F128" s="74"/>
      <c r="G128" s="74"/>
      <c r="H128" s="74"/>
      <c r="I128" s="74"/>
      <c r="J128" s="74"/>
      <c r="K128" s="74"/>
      <c r="L128" s="74"/>
      <c r="M128" s="74"/>
      <c r="N128" s="38" t="str">
        <f>IF(OR(A128="Автомат",A128="Дифавтомат"),IF(W128="","",COUNTIFS(Однолинейка!$H$3:$H$3000,U128,Однолинейка!$A$3:$A$3000,Щит_спец)),IF(A128="Аппарат",IF(C128="","",COUNTIFS(Однолинейка!$I$3:$I$3000,C128,Однолинейка!$A$3:$A$3000,Щит_спец)+COUNTIFS(Однолинейка!$J$3:$J$3000,C128,Однолинейка!$A$3:$A$3000,Щит_спец)+COUNTIFS(Однолинейка!$K$3:$K$3000,C128,Однолинейка!$A$3:$A$3000,Щит_спец)),IF(A128="Модуль",IF(C128="","",COUNTIFS(Однолинейка!$AW$3:$AW$3000,"?*",Однолинейка!$AI$3:$AI$3000,C128,Однолинейка!$A$3:$A$3000,Щит_спец)),IF(A128="Клемма",IF(C128="","",IF(C128=$S$7,SUMIFS(Однолинейка!$BW$3:$BW$3000,Однолинейка!$A$3:$A$3000,Щит_спец),IF(C128=$S$8,SUMIFS(Однолинейка!$BX$3:$BX$3000,Однолинейка!$A$3:$A$3000,Щит_спец),""))),""))))</f>
        <v/>
      </c>
      <c r="O128" s="74"/>
      <c r="P128" s="38" t="str">
        <f t="shared" si="9"/>
        <v/>
      </c>
      <c r="U128" s="38" t="str">
        <f t="shared" si="10"/>
        <v/>
      </c>
      <c r="V128" s="38" t="str">
        <f t="shared" si="11"/>
        <v/>
      </c>
      <c r="W128" s="38" t="str">
        <f>IF(AND(U128&lt;&gt;"",OR($S$4="(все)",B128=$S$4),IF($S$4="(все)",COUNTIF($U$4:U128,U128),COUNTIFS($U$4:U128,U128,$B$4:B128,B128))=1),MAX($W$3:W127)+1,"")</f>
        <v/>
      </c>
      <c r="X128" s="38" t="str">
        <f t="shared" si="12"/>
        <v/>
      </c>
      <c r="Y128" s="38" t="str">
        <f>IF(AND(A128="Аппарат",C128&lt;&gt;"",OR($S$5="(все)",B128=$S$5)),MAX($Y$3:Y127)+1,"")</f>
        <v/>
      </c>
      <c r="Z128" s="38" t="str">
        <f t="shared" si="13"/>
        <v/>
      </c>
      <c r="AA128" s="38" t="str">
        <f>IF(AND(A128="Модуль",C128&lt;&gt;"",OR($S$6="(все)",B128=$S$6)),MAX($AA$3:AA127)+1,"")</f>
        <v/>
      </c>
      <c r="AB128" s="38" t="str">
        <f t="shared" si="14"/>
        <v/>
      </c>
      <c r="AC128" s="38" t="str">
        <f>IF(OR(B128="",COUNTIF($B$4:B128,B128)&gt;1),"",MAX($AC$3:AC127)+1)</f>
        <v/>
      </c>
      <c r="AD128" s="38" t="str">
        <f t="shared" si="15"/>
        <v/>
      </c>
      <c r="AE128" s="38" t="str">
        <f t="shared" si="16"/>
        <v/>
      </c>
      <c r="AF128" s="38" t="str">
        <f t="shared" si="17"/>
        <v/>
      </c>
    </row>
    <row r="129" spans="1:32" x14ac:dyDescent="0.3">
      <c r="A129" s="74"/>
      <c r="B129" s="74"/>
      <c r="C129" s="74"/>
      <c r="D129" s="74"/>
      <c r="E129" s="74"/>
      <c r="F129" s="74"/>
      <c r="G129" s="74"/>
      <c r="H129" s="74"/>
      <c r="I129" s="74"/>
      <c r="J129" s="74"/>
      <c r="K129" s="74"/>
      <c r="L129" s="74"/>
      <c r="M129" s="74"/>
      <c r="N129" s="38" t="str">
        <f>IF(OR(A129="Автомат",A129="Дифавтомат"),IF(W129="","",COUNTIFS(Однолинейка!$H$3:$H$3000,U129,Однолинейка!$A$3:$A$3000,Щит_спец)),IF(A129="Аппарат",IF(C129="","",COUNTIFS(Однолинейка!$I$3:$I$3000,C129,Однолинейка!$A$3:$A$3000,Щит_спец)+COUNTIFS(Однолинейка!$J$3:$J$3000,C129,Однолинейка!$A$3:$A$3000,Щит_спец)+COUNTIFS(Однолинейка!$K$3:$K$3000,C129,Однолинейка!$A$3:$A$3000,Щит_спец)),IF(A129="Модуль",IF(C129="","",COUNTIFS(Однолинейка!$AW$3:$AW$3000,"?*",Однолинейка!$AI$3:$AI$3000,C129,Однолинейка!$A$3:$A$3000,Щит_спец)),IF(A129="Клемма",IF(C129="","",IF(C129=$S$7,SUMIFS(Однолинейка!$BW$3:$BW$3000,Однолинейка!$A$3:$A$3000,Щит_спец),IF(C129=$S$8,SUMIFS(Однолинейка!$BX$3:$BX$3000,Однолинейка!$A$3:$A$3000,Щит_спец),""))),""))))</f>
        <v/>
      </c>
      <c r="O129" s="74"/>
      <c r="P129" s="38" t="str">
        <f t="shared" si="9"/>
        <v/>
      </c>
      <c r="U129" s="38" t="str">
        <f t="shared" si="10"/>
        <v/>
      </c>
      <c r="V129" s="38" t="str">
        <f t="shared" si="11"/>
        <v/>
      </c>
      <c r="W129" s="38" t="str">
        <f>IF(AND(U129&lt;&gt;"",OR($S$4="(все)",B129=$S$4),IF($S$4="(все)",COUNTIF($U$4:U129,U129),COUNTIFS($U$4:U129,U129,$B$4:B129,B129))=1),MAX($W$3:W128)+1,"")</f>
        <v/>
      </c>
      <c r="X129" s="38" t="str">
        <f t="shared" si="12"/>
        <v/>
      </c>
      <c r="Y129" s="38" t="str">
        <f>IF(AND(A129="Аппарат",C129&lt;&gt;"",OR($S$5="(все)",B129=$S$5)),MAX($Y$3:Y128)+1,"")</f>
        <v/>
      </c>
      <c r="Z129" s="38" t="str">
        <f t="shared" si="13"/>
        <v/>
      </c>
      <c r="AA129" s="38" t="str">
        <f>IF(AND(A129="Модуль",C129&lt;&gt;"",OR($S$6="(все)",B129=$S$6)),MAX($AA$3:AA128)+1,"")</f>
        <v/>
      </c>
      <c r="AB129" s="38" t="str">
        <f t="shared" si="14"/>
        <v/>
      </c>
      <c r="AC129" s="38" t="str">
        <f>IF(OR(B129="",COUNTIF($B$4:B129,B129)&gt;1),"",MAX($AC$3:AC128)+1)</f>
        <v/>
      </c>
      <c r="AD129" s="38" t="str">
        <f t="shared" si="15"/>
        <v/>
      </c>
      <c r="AE129" s="38" t="str">
        <f t="shared" si="16"/>
        <v/>
      </c>
      <c r="AF129" s="38" t="str">
        <f t="shared" si="17"/>
        <v/>
      </c>
    </row>
    <row r="130" spans="1:32" x14ac:dyDescent="0.3">
      <c r="A130" s="74"/>
      <c r="B130" s="74"/>
      <c r="C130" s="74"/>
      <c r="D130" s="74"/>
      <c r="E130" s="74"/>
      <c r="F130" s="74"/>
      <c r="G130" s="74"/>
      <c r="H130" s="74"/>
      <c r="I130" s="74"/>
      <c r="J130" s="74"/>
      <c r="K130" s="74"/>
      <c r="L130" s="74"/>
      <c r="M130" s="74"/>
      <c r="N130" s="38" t="str">
        <f>IF(OR(A130="Автомат",A130="Дифавтомат"),IF(W130="","",COUNTIFS(Однолинейка!$H$3:$H$3000,U130,Однолинейка!$A$3:$A$3000,Щит_спец)),IF(A130="Аппарат",IF(C130="","",COUNTIFS(Однолинейка!$I$3:$I$3000,C130,Однолинейка!$A$3:$A$3000,Щит_спец)+COUNTIFS(Однолинейка!$J$3:$J$3000,C130,Однолинейка!$A$3:$A$3000,Щит_спец)+COUNTIFS(Однолинейка!$K$3:$K$3000,C130,Однолинейка!$A$3:$A$3000,Щит_спец)),IF(A130="Модуль",IF(C130="","",COUNTIFS(Однолинейка!$AW$3:$AW$3000,"?*",Однолинейка!$AI$3:$AI$3000,C130,Однолинейка!$A$3:$A$3000,Щит_спец)),IF(A130="Клемма",IF(C130="","",IF(C130=$S$7,SUMIFS(Однолинейка!$BW$3:$BW$3000,Однолинейка!$A$3:$A$3000,Щит_спец),IF(C130=$S$8,SUMIFS(Однолинейка!$BX$3:$BX$3000,Однолинейка!$A$3:$A$3000,Щит_спец),""))),""))))</f>
        <v/>
      </c>
      <c r="O130" s="74"/>
      <c r="P130" s="38" t="str">
        <f t="shared" si="9"/>
        <v/>
      </c>
      <c r="U130" s="38" t="str">
        <f t="shared" si="10"/>
        <v/>
      </c>
      <c r="V130" s="38" t="str">
        <f t="shared" si="11"/>
        <v/>
      </c>
      <c r="W130" s="38" t="str">
        <f>IF(AND(U130&lt;&gt;"",OR($S$4="(все)",B130=$S$4),IF($S$4="(все)",COUNTIF($U$4:U130,U130),COUNTIFS($U$4:U130,U130,$B$4:B130,B130))=1),MAX($W$3:W129)+1,"")</f>
        <v/>
      </c>
      <c r="X130" s="38" t="str">
        <f t="shared" si="12"/>
        <v/>
      </c>
      <c r="Y130" s="38" t="str">
        <f>IF(AND(A130="Аппарат",C130&lt;&gt;"",OR($S$5="(все)",B130=$S$5)),MAX($Y$3:Y129)+1,"")</f>
        <v/>
      </c>
      <c r="Z130" s="38" t="str">
        <f t="shared" si="13"/>
        <v/>
      </c>
      <c r="AA130" s="38" t="str">
        <f>IF(AND(A130="Модуль",C130&lt;&gt;"",OR($S$6="(все)",B130=$S$6)),MAX($AA$3:AA129)+1,"")</f>
        <v/>
      </c>
      <c r="AB130" s="38" t="str">
        <f t="shared" si="14"/>
        <v/>
      </c>
      <c r="AC130" s="38" t="str">
        <f>IF(OR(B130="",COUNTIF($B$4:B130,B130)&gt;1),"",MAX($AC$3:AC129)+1)</f>
        <v/>
      </c>
      <c r="AD130" s="38" t="str">
        <f t="shared" si="15"/>
        <v/>
      </c>
      <c r="AE130" s="38" t="str">
        <f t="shared" si="16"/>
        <v/>
      </c>
      <c r="AF130" s="38" t="str">
        <f t="shared" si="17"/>
        <v/>
      </c>
    </row>
    <row r="131" spans="1:32" x14ac:dyDescent="0.3">
      <c r="A131" s="74"/>
      <c r="B131" s="74"/>
      <c r="C131" s="74"/>
      <c r="D131" s="74"/>
      <c r="E131" s="74"/>
      <c r="F131" s="74"/>
      <c r="G131" s="74"/>
      <c r="H131" s="74"/>
      <c r="I131" s="74"/>
      <c r="J131" s="74"/>
      <c r="K131" s="74"/>
      <c r="L131" s="74"/>
      <c r="M131" s="74"/>
      <c r="N131" s="38" t="str">
        <f>IF(OR(A131="Автомат",A131="Дифавтомат"),IF(W131="","",COUNTIFS(Однолинейка!$H$3:$H$3000,U131,Однолинейка!$A$3:$A$3000,Щит_спец)),IF(A131="Аппарат",IF(C131="","",COUNTIFS(Однолинейка!$I$3:$I$3000,C131,Однолинейка!$A$3:$A$3000,Щит_спец)+COUNTIFS(Однолинейка!$J$3:$J$3000,C131,Однолинейка!$A$3:$A$3000,Щит_спец)+COUNTIFS(Однолинейка!$K$3:$K$3000,C131,Однолинейка!$A$3:$A$3000,Щит_спец)),IF(A131="Модуль",IF(C131="","",COUNTIFS(Однолинейка!$AW$3:$AW$3000,"?*",Однолинейка!$AI$3:$AI$3000,C131,Однолинейка!$A$3:$A$3000,Щит_спец)),IF(A131="Клемма",IF(C131="","",IF(C131=$S$7,SUMIFS(Однолинейка!$BW$3:$BW$3000,Однолинейка!$A$3:$A$3000,Щит_спец),IF(C131=$S$8,SUMIFS(Однолинейка!$BX$3:$BX$3000,Однолинейка!$A$3:$A$3000,Щит_спец),""))),""))))</f>
        <v/>
      </c>
      <c r="O131" s="74"/>
      <c r="P131" s="38" t="str">
        <f t="shared" si="9"/>
        <v/>
      </c>
      <c r="U131" s="38" t="str">
        <f t="shared" si="10"/>
        <v/>
      </c>
      <c r="V131" s="38" t="str">
        <f t="shared" si="11"/>
        <v/>
      </c>
      <c r="W131" s="38" t="str">
        <f>IF(AND(U131&lt;&gt;"",OR($S$4="(все)",B131=$S$4),IF($S$4="(все)",COUNTIF($U$4:U131,U131),COUNTIFS($U$4:U131,U131,$B$4:B131,B131))=1),MAX($W$3:W130)+1,"")</f>
        <v/>
      </c>
      <c r="X131" s="38" t="str">
        <f t="shared" si="12"/>
        <v/>
      </c>
      <c r="Y131" s="38" t="str">
        <f>IF(AND(A131="Аппарат",C131&lt;&gt;"",OR($S$5="(все)",B131=$S$5)),MAX($Y$3:Y130)+1,"")</f>
        <v/>
      </c>
      <c r="Z131" s="38" t="str">
        <f t="shared" si="13"/>
        <v/>
      </c>
      <c r="AA131" s="38" t="str">
        <f>IF(AND(A131="Модуль",C131&lt;&gt;"",OR($S$6="(все)",B131=$S$6)),MAX($AA$3:AA130)+1,"")</f>
        <v/>
      </c>
      <c r="AB131" s="38" t="str">
        <f t="shared" si="14"/>
        <v/>
      </c>
      <c r="AC131" s="38" t="str">
        <f>IF(OR(B131="",COUNTIF($B$4:B131,B131)&gt;1),"",MAX($AC$3:AC130)+1)</f>
        <v/>
      </c>
      <c r="AD131" s="38" t="str">
        <f t="shared" si="15"/>
        <v/>
      </c>
      <c r="AE131" s="38" t="str">
        <f t="shared" si="16"/>
        <v/>
      </c>
      <c r="AF131" s="38" t="str">
        <f t="shared" si="17"/>
        <v/>
      </c>
    </row>
    <row r="132" spans="1:32" x14ac:dyDescent="0.3">
      <c r="A132" s="74"/>
      <c r="B132" s="74"/>
      <c r="C132" s="74"/>
      <c r="D132" s="74"/>
      <c r="E132" s="74"/>
      <c r="F132" s="74"/>
      <c r="G132" s="74"/>
      <c r="H132" s="74"/>
      <c r="I132" s="74"/>
      <c r="J132" s="74"/>
      <c r="K132" s="74"/>
      <c r="L132" s="74"/>
      <c r="M132" s="74"/>
      <c r="N132" s="38" t="str">
        <f>IF(OR(A132="Автомат",A132="Дифавтомат"),IF(W132="","",COUNTIFS(Однолинейка!$H$3:$H$3000,U132,Однолинейка!$A$3:$A$3000,Щит_спец)),IF(A132="Аппарат",IF(C132="","",COUNTIFS(Однолинейка!$I$3:$I$3000,C132,Однолинейка!$A$3:$A$3000,Щит_спец)+COUNTIFS(Однолинейка!$J$3:$J$3000,C132,Однолинейка!$A$3:$A$3000,Щит_спец)+COUNTIFS(Однолинейка!$K$3:$K$3000,C132,Однолинейка!$A$3:$A$3000,Щит_спец)),IF(A132="Модуль",IF(C132="","",COUNTIFS(Однолинейка!$AW$3:$AW$3000,"?*",Однолинейка!$AI$3:$AI$3000,C132,Однолинейка!$A$3:$A$3000,Щит_спец)),IF(A132="Клемма",IF(C132="","",IF(C132=$S$7,SUMIFS(Однолинейка!$BW$3:$BW$3000,Однолинейка!$A$3:$A$3000,Щит_спец),IF(C132=$S$8,SUMIFS(Однолинейка!$BX$3:$BX$3000,Однолинейка!$A$3:$A$3000,Щит_спец),""))),""))))</f>
        <v/>
      </c>
      <c r="O132" s="74"/>
      <c r="P132" s="38" t="str">
        <f t="shared" ref="P132:P195" si="18">IF(COUNT(N132,O132)=0,"",SUM(N132,O132))</f>
        <v/>
      </c>
      <c r="U132" s="38" t="str">
        <f t="shared" ref="U132:U195" si="19">IF(OR(A132="Автомат",A132="Дифавтомат"),I132&amp;" С"&amp;J132&amp;"А"&amp;IF(K132="да"," 30мА",IF(ISNUMBER(K132)," "&amp;K132&amp;"мА","")),"")</f>
        <v/>
      </c>
      <c r="V132" s="38" t="str">
        <f t="shared" ref="V132:V195" si="20">IF(U132="","",B132&amp;"|"&amp;U132)</f>
        <v/>
      </c>
      <c r="W132" s="38" t="str">
        <f>IF(AND(U132&lt;&gt;"",OR($S$4="(все)",B132=$S$4),IF($S$4="(все)",COUNTIF($U$4:U132,U132),COUNTIFS($U$4:U132,U132,$B$4:B132,B132))=1),MAX($W$3:W131)+1,"")</f>
        <v/>
      </c>
      <c r="X132" s="38" t="str">
        <f t="shared" ref="X132:X195" si="21">IFERROR(INDEX($U$4:$U$500,MATCH(ROW()-3,$W$4:$W$500,0)),"")</f>
        <v/>
      </c>
      <c r="Y132" s="38" t="str">
        <f>IF(AND(A132="Аппарат",C132&lt;&gt;"",OR($S$5="(все)",B132=$S$5)),MAX($Y$3:Y131)+1,"")</f>
        <v/>
      </c>
      <c r="Z132" s="38" t="str">
        <f t="shared" ref="Z132:Z195" si="22">IFERROR(INDEX($C$4:$C$500,MATCH(ROW()-3,$Y$4:$Y$500,0)),"")</f>
        <v/>
      </c>
      <c r="AA132" s="38" t="str">
        <f>IF(AND(A132="Модуль",C132&lt;&gt;"",OR($S$6="(все)",B132=$S$6)),MAX($AA$3:AA131)+1,"")</f>
        <v/>
      </c>
      <c r="AB132" s="38" t="str">
        <f t="shared" ref="AB132:AB195" si="23">IFERROR(INDEX($C$4:$C$500,MATCH(ROW()-3,$AA$4:$AA$500,0)),"")</f>
        <v/>
      </c>
      <c r="AC132" s="38" t="str">
        <f>IF(OR(B132="",COUNTIF($B$4:B132,B132)&gt;1),"",MAX($AC$3:AC131)+1)</f>
        <v/>
      </c>
      <c r="AD132" s="38" t="str">
        <f t="shared" ref="AD132:AD195" si="24">IFERROR(INDEX($B$4:$B$500,MATCH(ROW()-3,$AC$4:$AC$500,0)),"")</f>
        <v/>
      </c>
      <c r="AE132" s="38" t="str">
        <f t="shared" ref="AE132:AE195" si="25">IF(AND(A132&lt;&gt;"",N(P132)&gt;0),IFERROR(MATCH(A132,$R$12:$R$25,0),99)*1000+ROW(),"")</f>
        <v/>
      </c>
      <c r="AF132" s="38" t="str">
        <f t="shared" ref="AF132:AF195" si="26">IF(AE132="","",COUNTIF($AE$4:$AE$500,"&lt;="&amp;AE132))</f>
        <v/>
      </c>
    </row>
    <row r="133" spans="1:32" x14ac:dyDescent="0.3">
      <c r="A133" s="74"/>
      <c r="B133" s="74"/>
      <c r="C133" s="74"/>
      <c r="D133" s="74"/>
      <c r="E133" s="74"/>
      <c r="F133" s="74"/>
      <c r="G133" s="74"/>
      <c r="H133" s="74"/>
      <c r="I133" s="74"/>
      <c r="J133" s="74"/>
      <c r="K133" s="74"/>
      <c r="L133" s="74"/>
      <c r="M133" s="74"/>
      <c r="N133" s="38" t="str">
        <f>IF(OR(A133="Автомат",A133="Дифавтомат"),IF(W133="","",COUNTIFS(Однолинейка!$H$3:$H$3000,U133,Однолинейка!$A$3:$A$3000,Щит_спец)),IF(A133="Аппарат",IF(C133="","",COUNTIFS(Однолинейка!$I$3:$I$3000,C133,Однолинейка!$A$3:$A$3000,Щит_спец)+COUNTIFS(Однолинейка!$J$3:$J$3000,C133,Однолинейка!$A$3:$A$3000,Щит_спец)+COUNTIFS(Однолинейка!$K$3:$K$3000,C133,Однолинейка!$A$3:$A$3000,Щит_спец)),IF(A133="Модуль",IF(C133="","",COUNTIFS(Однолинейка!$AW$3:$AW$3000,"?*",Однолинейка!$AI$3:$AI$3000,C133,Однолинейка!$A$3:$A$3000,Щит_спец)),IF(A133="Клемма",IF(C133="","",IF(C133=$S$7,SUMIFS(Однолинейка!$BW$3:$BW$3000,Однолинейка!$A$3:$A$3000,Щит_спец),IF(C133=$S$8,SUMIFS(Однолинейка!$BX$3:$BX$3000,Однолинейка!$A$3:$A$3000,Щит_спец),""))),""))))</f>
        <v/>
      </c>
      <c r="O133" s="74"/>
      <c r="P133" s="38" t="str">
        <f t="shared" si="18"/>
        <v/>
      </c>
      <c r="U133" s="38" t="str">
        <f t="shared" si="19"/>
        <v/>
      </c>
      <c r="V133" s="38" t="str">
        <f t="shared" si="20"/>
        <v/>
      </c>
      <c r="W133" s="38" t="str">
        <f>IF(AND(U133&lt;&gt;"",OR($S$4="(все)",B133=$S$4),IF($S$4="(все)",COUNTIF($U$4:U133,U133),COUNTIFS($U$4:U133,U133,$B$4:B133,B133))=1),MAX($W$3:W132)+1,"")</f>
        <v/>
      </c>
      <c r="X133" s="38" t="str">
        <f t="shared" si="21"/>
        <v/>
      </c>
      <c r="Y133" s="38" t="str">
        <f>IF(AND(A133="Аппарат",C133&lt;&gt;"",OR($S$5="(все)",B133=$S$5)),MAX($Y$3:Y132)+1,"")</f>
        <v/>
      </c>
      <c r="Z133" s="38" t="str">
        <f t="shared" si="22"/>
        <v/>
      </c>
      <c r="AA133" s="38" t="str">
        <f>IF(AND(A133="Модуль",C133&lt;&gt;"",OR($S$6="(все)",B133=$S$6)),MAX($AA$3:AA132)+1,"")</f>
        <v/>
      </c>
      <c r="AB133" s="38" t="str">
        <f t="shared" si="23"/>
        <v/>
      </c>
      <c r="AC133" s="38" t="str">
        <f>IF(OR(B133="",COUNTIF($B$4:B133,B133)&gt;1),"",MAX($AC$3:AC132)+1)</f>
        <v/>
      </c>
      <c r="AD133" s="38" t="str">
        <f t="shared" si="24"/>
        <v/>
      </c>
      <c r="AE133" s="38" t="str">
        <f t="shared" si="25"/>
        <v/>
      </c>
      <c r="AF133" s="38" t="str">
        <f t="shared" si="26"/>
        <v/>
      </c>
    </row>
    <row r="134" spans="1:32" x14ac:dyDescent="0.3">
      <c r="A134" s="74"/>
      <c r="B134" s="74"/>
      <c r="C134" s="74"/>
      <c r="D134" s="74"/>
      <c r="E134" s="74"/>
      <c r="F134" s="74"/>
      <c r="G134" s="74"/>
      <c r="H134" s="74"/>
      <c r="I134" s="74"/>
      <c r="J134" s="74"/>
      <c r="K134" s="74"/>
      <c r="L134" s="74"/>
      <c r="M134" s="74"/>
      <c r="N134" s="38" t="str">
        <f>IF(OR(A134="Автомат",A134="Дифавтомат"),IF(W134="","",COUNTIFS(Однолинейка!$H$3:$H$3000,U134,Однолинейка!$A$3:$A$3000,Щит_спец)),IF(A134="Аппарат",IF(C134="","",COUNTIFS(Однолинейка!$I$3:$I$3000,C134,Однолинейка!$A$3:$A$3000,Щит_спец)+COUNTIFS(Однолинейка!$J$3:$J$3000,C134,Однолинейка!$A$3:$A$3000,Щит_спец)+COUNTIFS(Однолинейка!$K$3:$K$3000,C134,Однолинейка!$A$3:$A$3000,Щит_спец)),IF(A134="Модуль",IF(C134="","",COUNTIFS(Однолинейка!$AW$3:$AW$3000,"?*",Однолинейка!$AI$3:$AI$3000,C134,Однолинейка!$A$3:$A$3000,Щит_спец)),IF(A134="Клемма",IF(C134="","",IF(C134=$S$7,SUMIFS(Однолинейка!$BW$3:$BW$3000,Однолинейка!$A$3:$A$3000,Щит_спец),IF(C134=$S$8,SUMIFS(Однолинейка!$BX$3:$BX$3000,Однолинейка!$A$3:$A$3000,Щит_спец),""))),""))))</f>
        <v/>
      </c>
      <c r="O134" s="74"/>
      <c r="P134" s="38" t="str">
        <f t="shared" si="18"/>
        <v/>
      </c>
      <c r="U134" s="38" t="str">
        <f t="shared" si="19"/>
        <v/>
      </c>
      <c r="V134" s="38" t="str">
        <f t="shared" si="20"/>
        <v/>
      </c>
      <c r="W134" s="38" t="str">
        <f>IF(AND(U134&lt;&gt;"",OR($S$4="(все)",B134=$S$4),IF($S$4="(все)",COUNTIF($U$4:U134,U134),COUNTIFS($U$4:U134,U134,$B$4:B134,B134))=1),MAX($W$3:W133)+1,"")</f>
        <v/>
      </c>
      <c r="X134" s="38" t="str">
        <f t="shared" si="21"/>
        <v/>
      </c>
      <c r="Y134" s="38" t="str">
        <f>IF(AND(A134="Аппарат",C134&lt;&gt;"",OR($S$5="(все)",B134=$S$5)),MAX($Y$3:Y133)+1,"")</f>
        <v/>
      </c>
      <c r="Z134" s="38" t="str">
        <f t="shared" si="22"/>
        <v/>
      </c>
      <c r="AA134" s="38" t="str">
        <f>IF(AND(A134="Модуль",C134&lt;&gt;"",OR($S$6="(все)",B134=$S$6)),MAX($AA$3:AA133)+1,"")</f>
        <v/>
      </c>
      <c r="AB134" s="38" t="str">
        <f t="shared" si="23"/>
        <v/>
      </c>
      <c r="AC134" s="38" t="str">
        <f>IF(OR(B134="",COUNTIF($B$4:B134,B134)&gt;1),"",MAX($AC$3:AC133)+1)</f>
        <v/>
      </c>
      <c r="AD134" s="38" t="str">
        <f t="shared" si="24"/>
        <v/>
      </c>
      <c r="AE134" s="38" t="str">
        <f t="shared" si="25"/>
        <v/>
      </c>
      <c r="AF134" s="38" t="str">
        <f t="shared" si="26"/>
        <v/>
      </c>
    </row>
    <row r="135" spans="1:32" x14ac:dyDescent="0.3">
      <c r="A135" s="74"/>
      <c r="B135" s="74"/>
      <c r="C135" s="74"/>
      <c r="D135" s="74"/>
      <c r="E135" s="74"/>
      <c r="F135" s="74"/>
      <c r="G135" s="74"/>
      <c r="H135" s="74"/>
      <c r="I135" s="74"/>
      <c r="J135" s="74"/>
      <c r="K135" s="74"/>
      <c r="L135" s="74"/>
      <c r="M135" s="74"/>
      <c r="N135" s="38" t="str">
        <f>IF(OR(A135="Автомат",A135="Дифавтомат"),IF(W135="","",COUNTIFS(Однолинейка!$H$3:$H$3000,U135,Однолинейка!$A$3:$A$3000,Щит_спец)),IF(A135="Аппарат",IF(C135="","",COUNTIFS(Однолинейка!$I$3:$I$3000,C135,Однолинейка!$A$3:$A$3000,Щит_спец)+COUNTIFS(Однолинейка!$J$3:$J$3000,C135,Однолинейка!$A$3:$A$3000,Щит_спец)+COUNTIFS(Однолинейка!$K$3:$K$3000,C135,Однолинейка!$A$3:$A$3000,Щит_спец)),IF(A135="Модуль",IF(C135="","",COUNTIFS(Однолинейка!$AW$3:$AW$3000,"?*",Однолинейка!$AI$3:$AI$3000,C135,Однолинейка!$A$3:$A$3000,Щит_спец)),IF(A135="Клемма",IF(C135="","",IF(C135=$S$7,SUMIFS(Однолинейка!$BW$3:$BW$3000,Однолинейка!$A$3:$A$3000,Щит_спец),IF(C135=$S$8,SUMIFS(Однолинейка!$BX$3:$BX$3000,Однолинейка!$A$3:$A$3000,Щит_спец),""))),""))))</f>
        <v/>
      </c>
      <c r="O135" s="74"/>
      <c r="P135" s="38" t="str">
        <f t="shared" si="18"/>
        <v/>
      </c>
      <c r="U135" s="38" t="str">
        <f t="shared" si="19"/>
        <v/>
      </c>
      <c r="V135" s="38" t="str">
        <f t="shared" si="20"/>
        <v/>
      </c>
      <c r="W135" s="38" t="str">
        <f>IF(AND(U135&lt;&gt;"",OR($S$4="(все)",B135=$S$4),IF($S$4="(все)",COUNTIF($U$4:U135,U135),COUNTIFS($U$4:U135,U135,$B$4:B135,B135))=1),MAX($W$3:W134)+1,"")</f>
        <v/>
      </c>
      <c r="X135" s="38" t="str">
        <f t="shared" si="21"/>
        <v/>
      </c>
      <c r="Y135" s="38" t="str">
        <f>IF(AND(A135="Аппарат",C135&lt;&gt;"",OR($S$5="(все)",B135=$S$5)),MAX($Y$3:Y134)+1,"")</f>
        <v/>
      </c>
      <c r="Z135" s="38" t="str">
        <f t="shared" si="22"/>
        <v/>
      </c>
      <c r="AA135" s="38" t="str">
        <f>IF(AND(A135="Модуль",C135&lt;&gt;"",OR($S$6="(все)",B135=$S$6)),MAX($AA$3:AA134)+1,"")</f>
        <v/>
      </c>
      <c r="AB135" s="38" t="str">
        <f t="shared" si="23"/>
        <v/>
      </c>
      <c r="AC135" s="38" t="str">
        <f>IF(OR(B135="",COUNTIF($B$4:B135,B135)&gt;1),"",MAX($AC$3:AC134)+1)</f>
        <v/>
      </c>
      <c r="AD135" s="38" t="str">
        <f t="shared" si="24"/>
        <v/>
      </c>
      <c r="AE135" s="38" t="str">
        <f t="shared" si="25"/>
        <v/>
      </c>
      <c r="AF135" s="38" t="str">
        <f t="shared" si="26"/>
        <v/>
      </c>
    </row>
    <row r="136" spans="1:32" x14ac:dyDescent="0.3">
      <c r="A136" s="74"/>
      <c r="B136" s="74"/>
      <c r="C136" s="74"/>
      <c r="D136" s="74"/>
      <c r="E136" s="74"/>
      <c r="F136" s="74"/>
      <c r="G136" s="74"/>
      <c r="H136" s="74"/>
      <c r="I136" s="74"/>
      <c r="J136" s="74"/>
      <c r="K136" s="74"/>
      <c r="L136" s="74"/>
      <c r="M136" s="74"/>
      <c r="N136" s="38" t="str">
        <f>IF(OR(A136="Автомат",A136="Дифавтомат"),IF(W136="","",COUNTIFS(Однолинейка!$H$3:$H$3000,U136,Однолинейка!$A$3:$A$3000,Щит_спец)),IF(A136="Аппарат",IF(C136="","",COUNTIFS(Однолинейка!$I$3:$I$3000,C136,Однолинейка!$A$3:$A$3000,Щит_спец)+COUNTIFS(Однолинейка!$J$3:$J$3000,C136,Однолинейка!$A$3:$A$3000,Щит_спец)+COUNTIFS(Однолинейка!$K$3:$K$3000,C136,Однолинейка!$A$3:$A$3000,Щит_спец)),IF(A136="Модуль",IF(C136="","",COUNTIFS(Однолинейка!$AW$3:$AW$3000,"?*",Однолинейка!$AI$3:$AI$3000,C136,Однолинейка!$A$3:$A$3000,Щит_спец)),IF(A136="Клемма",IF(C136="","",IF(C136=$S$7,SUMIFS(Однолинейка!$BW$3:$BW$3000,Однолинейка!$A$3:$A$3000,Щит_спец),IF(C136=$S$8,SUMIFS(Однолинейка!$BX$3:$BX$3000,Однолинейка!$A$3:$A$3000,Щит_спец),""))),""))))</f>
        <v/>
      </c>
      <c r="O136" s="74"/>
      <c r="P136" s="38" t="str">
        <f t="shared" si="18"/>
        <v/>
      </c>
      <c r="U136" s="38" t="str">
        <f t="shared" si="19"/>
        <v/>
      </c>
      <c r="V136" s="38" t="str">
        <f t="shared" si="20"/>
        <v/>
      </c>
      <c r="W136" s="38" t="str">
        <f>IF(AND(U136&lt;&gt;"",OR($S$4="(все)",B136=$S$4),IF($S$4="(все)",COUNTIF($U$4:U136,U136),COUNTIFS($U$4:U136,U136,$B$4:B136,B136))=1),MAX($W$3:W135)+1,"")</f>
        <v/>
      </c>
      <c r="X136" s="38" t="str">
        <f t="shared" si="21"/>
        <v/>
      </c>
      <c r="Y136" s="38" t="str">
        <f>IF(AND(A136="Аппарат",C136&lt;&gt;"",OR($S$5="(все)",B136=$S$5)),MAX($Y$3:Y135)+1,"")</f>
        <v/>
      </c>
      <c r="Z136" s="38" t="str">
        <f t="shared" si="22"/>
        <v/>
      </c>
      <c r="AA136" s="38" t="str">
        <f>IF(AND(A136="Модуль",C136&lt;&gt;"",OR($S$6="(все)",B136=$S$6)),MAX($AA$3:AA135)+1,"")</f>
        <v/>
      </c>
      <c r="AB136" s="38" t="str">
        <f t="shared" si="23"/>
        <v/>
      </c>
      <c r="AC136" s="38" t="str">
        <f>IF(OR(B136="",COUNTIF($B$4:B136,B136)&gt;1),"",MAX($AC$3:AC135)+1)</f>
        <v/>
      </c>
      <c r="AD136" s="38" t="str">
        <f t="shared" si="24"/>
        <v/>
      </c>
      <c r="AE136" s="38" t="str">
        <f t="shared" si="25"/>
        <v/>
      </c>
      <c r="AF136" s="38" t="str">
        <f t="shared" si="26"/>
        <v/>
      </c>
    </row>
    <row r="137" spans="1:32" x14ac:dyDescent="0.3">
      <c r="A137" s="74"/>
      <c r="B137" s="74"/>
      <c r="C137" s="74"/>
      <c r="D137" s="74"/>
      <c r="E137" s="74"/>
      <c r="F137" s="74"/>
      <c r="G137" s="74"/>
      <c r="H137" s="74"/>
      <c r="I137" s="74"/>
      <c r="J137" s="74"/>
      <c r="K137" s="74"/>
      <c r="L137" s="74"/>
      <c r="M137" s="74"/>
      <c r="N137" s="38" t="str">
        <f>IF(OR(A137="Автомат",A137="Дифавтомат"),IF(W137="","",COUNTIFS(Однолинейка!$H$3:$H$3000,U137,Однолинейка!$A$3:$A$3000,Щит_спец)),IF(A137="Аппарат",IF(C137="","",COUNTIFS(Однолинейка!$I$3:$I$3000,C137,Однолинейка!$A$3:$A$3000,Щит_спец)+COUNTIFS(Однолинейка!$J$3:$J$3000,C137,Однолинейка!$A$3:$A$3000,Щит_спец)+COUNTIFS(Однолинейка!$K$3:$K$3000,C137,Однолинейка!$A$3:$A$3000,Щит_спец)),IF(A137="Модуль",IF(C137="","",COUNTIFS(Однолинейка!$AW$3:$AW$3000,"?*",Однолинейка!$AI$3:$AI$3000,C137,Однолинейка!$A$3:$A$3000,Щит_спец)),IF(A137="Клемма",IF(C137="","",IF(C137=$S$7,SUMIFS(Однолинейка!$BW$3:$BW$3000,Однолинейка!$A$3:$A$3000,Щит_спец),IF(C137=$S$8,SUMIFS(Однолинейка!$BX$3:$BX$3000,Однолинейка!$A$3:$A$3000,Щит_спец),""))),""))))</f>
        <v/>
      </c>
      <c r="O137" s="74"/>
      <c r="P137" s="38" t="str">
        <f t="shared" si="18"/>
        <v/>
      </c>
      <c r="U137" s="38" t="str">
        <f t="shared" si="19"/>
        <v/>
      </c>
      <c r="V137" s="38" t="str">
        <f t="shared" si="20"/>
        <v/>
      </c>
      <c r="W137" s="38" t="str">
        <f>IF(AND(U137&lt;&gt;"",OR($S$4="(все)",B137=$S$4),IF($S$4="(все)",COUNTIF($U$4:U137,U137),COUNTIFS($U$4:U137,U137,$B$4:B137,B137))=1),MAX($W$3:W136)+1,"")</f>
        <v/>
      </c>
      <c r="X137" s="38" t="str">
        <f t="shared" si="21"/>
        <v/>
      </c>
      <c r="Y137" s="38" t="str">
        <f>IF(AND(A137="Аппарат",C137&lt;&gt;"",OR($S$5="(все)",B137=$S$5)),MAX($Y$3:Y136)+1,"")</f>
        <v/>
      </c>
      <c r="Z137" s="38" t="str">
        <f t="shared" si="22"/>
        <v/>
      </c>
      <c r="AA137" s="38" t="str">
        <f>IF(AND(A137="Модуль",C137&lt;&gt;"",OR($S$6="(все)",B137=$S$6)),MAX($AA$3:AA136)+1,"")</f>
        <v/>
      </c>
      <c r="AB137" s="38" t="str">
        <f t="shared" si="23"/>
        <v/>
      </c>
      <c r="AC137" s="38" t="str">
        <f>IF(OR(B137="",COUNTIF($B$4:B137,B137)&gt;1),"",MAX($AC$3:AC136)+1)</f>
        <v/>
      </c>
      <c r="AD137" s="38" t="str">
        <f t="shared" si="24"/>
        <v/>
      </c>
      <c r="AE137" s="38" t="str">
        <f t="shared" si="25"/>
        <v/>
      </c>
      <c r="AF137" s="38" t="str">
        <f t="shared" si="26"/>
        <v/>
      </c>
    </row>
    <row r="138" spans="1:32" x14ac:dyDescent="0.3">
      <c r="A138" s="74"/>
      <c r="B138" s="74"/>
      <c r="C138" s="74"/>
      <c r="D138" s="74"/>
      <c r="E138" s="74"/>
      <c r="F138" s="74"/>
      <c r="G138" s="74"/>
      <c r="H138" s="74"/>
      <c r="I138" s="74"/>
      <c r="J138" s="74"/>
      <c r="K138" s="74"/>
      <c r="L138" s="74"/>
      <c r="M138" s="74"/>
      <c r="N138" s="38" t="str">
        <f>IF(OR(A138="Автомат",A138="Дифавтомат"),IF(W138="","",COUNTIFS(Однолинейка!$H$3:$H$3000,U138,Однолинейка!$A$3:$A$3000,Щит_спец)),IF(A138="Аппарат",IF(C138="","",COUNTIFS(Однолинейка!$I$3:$I$3000,C138,Однолинейка!$A$3:$A$3000,Щит_спец)+COUNTIFS(Однолинейка!$J$3:$J$3000,C138,Однолинейка!$A$3:$A$3000,Щит_спец)+COUNTIFS(Однолинейка!$K$3:$K$3000,C138,Однолинейка!$A$3:$A$3000,Щит_спец)),IF(A138="Модуль",IF(C138="","",COUNTIFS(Однолинейка!$AW$3:$AW$3000,"?*",Однолинейка!$AI$3:$AI$3000,C138,Однолинейка!$A$3:$A$3000,Щит_спец)),IF(A138="Клемма",IF(C138="","",IF(C138=$S$7,SUMIFS(Однолинейка!$BW$3:$BW$3000,Однолинейка!$A$3:$A$3000,Щит_спец),IF(C138=$S$8,SUMIFS(Однолинейка!$BX$3:$BX$3000,Однолинейка!$A$3:$A$3000,Щит_спец),""))),""))))</f>
        <v/>
      </c>
      <c r="O138" s="74"/>
      <c r="P138" s="38" t="str">
        <f t="shared" si="18"/>
        <v/>
      </c>
      <c r="U138" s="38" t="str">
        <f t="shared" si="19"/>
        <v/>
      </c>
      <c r="V138" s="38" t="str">
        <f t="shared" si="20"/>
        <v/>
      </c>
      <c r="W138" s="38" t="str">
        <f>IF(AND(U138&lt;&gt;"",OR($S$4="(все)",B138=$S$4),IF($S$4="(все)",COUNTIF($U$4:U138,U138),COUNTIFS($U$4:U138,U138,$B$4:B138,B138))=1),MAX($W$3:W137)+1,"")</f>
        <v/>
      </c>
      <c r="X138" s="38" t="str">
        <f t="shared" si="21"/>
        <v/>
      </c>
      <c r="Y138" s="38" t="str">
        <f>IF(AND(A138="Аппарат",C138&lt;&gt;"",OR($S$5="(все)",B138=$S$5)),MAX($Y$3:Y137)+1,"")</f>
        <v/>
      </c>
      <c r="Z138" s="38" t="str">
        <f t="shared" si="22"/>
        <v/>
      </c>
      <c r="AA138" s="38" t="str">
        <f>IF(AND(A138="Модуль",C138&lt;&gt;"",OR($S$6="(все)",B138=$S$6)),MAX($AA$3:AA137)+1,"")</f>
        <v/>
      </c>
      <c r="AB138" s="38" t="str">
        <f t="shared" si="23"/>
        <v/>
      </c>
      <c r="AC138" s="38" t="str">
        <f>IF(OR(B138="",COUNTIF($B$4:B138,B138)&gt;1),"",MAX($AC$3:AC137)+1)</f>
        <v/>
      </c>
      <c r="AD138" s="38" t="str">
        <f t="shared" si="24"/>
        <v/>
      </c>
      <c r="AE138" s="38" t="str">
        <f t="shared" si="25"/>
        <v/>
      </c>
      <c r="AF138" s="38" t="str">
        <f t="shared" si="26"/>
        <v/>
      </c>
    </row>
    <row r="139" spans="1:32" x14ac:dyDescent="0.3">
      <c r="A139" s="74"/>
      <c r="B139" s="74"/>
      <c r="C139" s="74"/>
      <c r="D139" s="74"/>
      <c r="E139" s="74"/>
      <c r="F139" s="74"/>
      <c r="G139" s="74"/>
      <c r="H139" s="74"/>
      <c r="I139" s="74"/>
      <c r="J139" s="74"/>
      <c r="K139" s="74"/>
      <c r="L139" s="74"/>
      <c r="M139" s="74"/>
      <c r="N139" s="38" t="str">
        <f>IF(OR(A139="Автомат",A139="Дифавтомат"),IF(W139="","",COUNTIFS(Однолинейка!$H$3:$H$3000,U139,Однолинейка!$A$3:$A$3000,Щит_спец)),IF(A139="Аппарат",IF(C139="","",COUNTIFS(Однолинейка!$I$3:$I$3000,C139,Однолинейка!$A$3:$A$3000,Щит_спец)+COUNTIFS(Однолинейка!$J$3:$J$3000,C139,Однолинейка!$A$3:$A$3000,Щит_спец)+COUNTIFS(Однолинейка!$K$3:$K$3000,C139,Однолинейка!$A$3:$A$3000,Щит_спец)),IF(A139="Модуль",IF(C139="","",COUNTIFS(Однолинейка!$AW$3:$AW$3000,"?*",Однолинейка!$AI$3:$AI$3000,C139,Однолинейка!$A$3:$A$3000,Щит_спец)),IF(A139="Клемма",IF(C139="","",IF(C139=$S$7,SUMIFS(Однолинейка!$BW$3:$BW$3000,Однолинейка!$A$3:$A$3000,Щит_спец),IF(C139=$S$8,SUMIFS(Однолинейка!$BX$3:$BX$3000,Однолинейка!$A$3:$A$3000,Щит_спец),""))),""))))</f>
        <v/>
      </c>
      <c r="O139" s="74"/>
      <c r="P139" s="38" t="str">
        <f t="shared" si="18"/>
        <v/>
      </c>
      <c r="U139" s="38" t="str">
        <f t="shared" si="19"/>
        <v/>
      </c>
      <c r="V139" s="38" t="str">
        <f t="shared" si="20"/>
        <v/>
      </c>
      <c r="W139" s="38" t="str">
        <f>IF(AND(U139&lt;&gt;"",OR($S$4="(все)",B139=$S$4),IF($S$4="(все)",COUNTIF($U$4:U139,U139),COUNTIFS($U$4:U139,U139,$B$4:B139,B139))=1),MAX($W$3:W138)+1,"")</f>
        <v/>
      </c>
      <c r="X139" s="38" t="str">
        <f t="shared" si="21"/>
        <v/>
      </c>
      <c r="Y139" s="38" t="str">
        <f>IF(AND(A139="Аппарат",C139&lt;&gt;"",OR($S$5="(все)",B139=$S$5)),MAX($Y$3:Y138)+1,"")</f>
        <v/>
      </c>
      <c r="Z139" s="38" t="str">
        <f t="shared" si="22"/>
        <v/>
      </c>
      <c r="AA139" s="38" t="str">
        <f>IF(AND(A139="Модуль",C139&lt;&gt;"",OR($S$6="(все)",B139=$S$6)),MAX($AA$3:AA138)+1,"")</f>
        <v/>
      </c>
      <c r="AB139" s="38" t="str">
        <f t="shared" si="23"/>
        <v/>
      </c>
      <c r="AC139" s="38" t="str">
        <f>IF(OR(B139="",COUNTIF($B$4:B139,B139)&gt;1),"",MAX($AC$3:AC138)+1)</f>
        <v/>
      </c>
      <c r="AD139" s="38" t="str">
        <f t="shared" si="24"/>
        <v/>
      </c>
      <c r="AE139" s="38" t="str">
        <f t="shared" si="25"/>
        <v/>
      </c>
      <c r="AF139" s="38" t="str">
        <f t="shared" si="26"/>
        <v/>
      </c>
    </row>
    <row r="140" spans="1:32" x14ac:dyDescent="0.3">
      <c r="A140" s="74"/>
      <c r="B140" s="74"/>
      <c r="C140" s="74"/>
      <c r="D140" s="74"/>
      <c r="E140" s="74"/>
      <c r="F140" s="74"/>
      <c r="G140" s="74"/>
      <c r="H140" s="74"/>
      <c r="I140" s="74"/>
      <c r="J140" s="74"/>
      <c r="K140" s="74"/>
      <c r="L140" s="74"/>
      <c r="M140" s="74"/>
      <c r="N140" s="38" t="str">
        <f>IF(OR(A140="Автомат",A140="Дифавтомат"),IF(W140="","",COUNTIFS(Однолинейка!$H$3:$H$3000,U140,Однолинейка!$A$3:$A$3000,Щит_спец)),IF(A140="Аппарат",IF(C140="","",COUNTIFS(Однолинейка!$I$3:$I$3000,C140,Однолинейка!$A$3:$A$3000,Щит_спец)+COUNTIFS(Однолинейка!$J$3:$J$3000,C140,Однолинейка!$A$3:$A$3000,Щит_спец)+COUNTIFS(Однолинейка!$K$3:$K$3000,C140,Однолинейка!$A$3:$A$3000,Щит_спец)),IF(A140="Модуль",IF(C140="","",COUNTIFS(Однолинейка!$AW$3:$AW$3000,"?*",Однолинейка!$AI$3:$AI$3000,C140,Однолинейка!$A$3:$A$3000,Щит_спец)),IF(A140="Клемма",IF(C140="","",IF(C140=$S$7,SUMIFS(Однолинейка!$BW$3:$BW$3000,Однолинейка!$A$3:$A$3000,Щит_спец),IF(C140=$S$8,SUMIFS(Однолинейка!$BX$3:$BX$3000,Однолинейка!$A$3:$A$3000,Щит_спец),""))),""))))</f>
        <v/>
      </c>
      <c r="O140" s="74"/>
      <c r="P140" s="38" t="str">
        <f t="shared" si="18"/>
        <v/>
      </c>
      <c r="U140" s="38" t="str">
        <f t="shared" si="19"/>
        <v/>
      </c>
      <c r="V140" s="38" t="str">
        <f t="shared" si="20"/>
        <v/>
      </c>
      <c r="W140" s="38" t="str">
        <f>IF(AND(U140&lt;&gt;"",OR($S$4="(все)",B140=$S$4),IF($S$4="(все)",COUNTIF($U$4:U140,U140),COUNTIFS($U$4:U140,U140,$B$4:B140,B140))=1),MAX($W$3:W139)+1,"")</f>
        <v/>
      </c>
      <c r="X140" s="38" t="str">
        <f t="shared" si="21"/>
        <v/>
      </c>
      <c r="Y140" s="38" t="str">
        <f>IF(AND(A140="Аппарат",C140&lt;&gt;"",OR($S$5="(все)",B140=$S$5)),MAX($Y$3:Y139)+1,"")</f>
        <v/>
      </c>
      <c r="Z140" s="38" t="str">
        <f t="shared" si="22"/>
        <v/>
      </c>
      <c r="AA140" s="38" t="str">
        <f>IF(AND(A140="Модуль",C140&lt;&gt;"",OR($S$6="(все)",B140=$S$6)),MAX($AA$3:AA139)+1,"")</f>
        <v/>
      </c>
      <c r="AB140" s="38" t="str">
        <f t="shared" si="23"/>
        <v/>
      </c>
      <c r="AC140" s="38" t="str">
        <f>IF(OR(B140="",COUNTIF($B$4:B140,B140)&gt;1),"",MAX($AC$3:AC139)+1)</f>
        <v/>
      </c>
      <c r="AD140" s="38" t="str">
        <f t="shared" si="24"/>
        <v/>
      </c>
      <c r="AE140" s="38" t="str">
        <f t="shared" si="25"/>
        <v/>
      </c>
      <c r="AF140" s="38" t="str">
        <f t="shared" si="26"/>
        <v/>
      </c>
    </row>
    <row r="141" spans="1:32" x14ac:dyDescent="0.3">
      <c r="A141" s="74"/>
      <c r="B141" s="74"/>
      <c r="C141" s="74"/>
      <c r="D141" s="74"/>
      <c r="E141" s="74"/>
      <c r="F141" s="74"/>
      <c r="G141" s="74"/>
      <c r="H141" s="74"/>
      <c r="I141" s="74"/>
      <c r="J141" s="74"/>
      <c r="K141" s="74"/>
      <c r="L141" s="74"/>
      <c r="M141" s="74"/>
      <c r="N141" s="38" t="str">
        <f>IF(OR(A141="Автомат",A141="Дифавтомат"),IF(W141="","",COUNTIFS(Однолинейка!$H$3:$H$3000,U141,Однолинейка!$A$3:$A$3000,Щит_спец)),IF(A141="Аппарат",IF(C141="","",COUNTIFS(Однолинейка!$I$3:$I$3000,C141,Однолинейка!$A$3:$A$3000,Щит_спец)+COUNTIFS(Однолинейка!$J$3:$J$3000,C141,Однолинейка!$A$3:$A$3000,Щит_спец)+COUNTIFS(Однолинейка!$K$3:$K$3000,C141,Однолинейка!$A$3:$A$3000,Щит_спец)),IF(A141="Модуль",IF(C141="","",COUNTIFS(Однолинейка!$AW$3:$AW$3000,"?*",Однолинейка!$AI$3:$AI$3000,C141,Однолинейка!$A$3:$A$3000,Щит_спец)),IF(A141="Клемма",IF(C141="","",IF(C141=$S$7,SUMIFS(Однолинейка!$BW$3:$BW$3000,Однолинейка!$A$3:$A$3000,Щит_спец),IF(C141=$S$8,SUMIFS(Однолинейка!$BX$3:$BX$3000,Однолинейка!$A$3:$A$3000,Щит_спец),""))),""))))</f>
        <v/>
      </c>
      <c r="O141" s="74"/>
      <c r="P141" s="38" t="str">
        <f t="shared" si="18"/>
        <v/>
      </c>
      <c r="U141" s="38" t="str">
        <f t="shared" si="19"/>
        <v/>
      </c>
      <c r="V141" s="38" t="str">
        <f t="shared" si="20"/>
        <v/>
      </c>
      <c r="W141" s="38" t="str">
        <f>IF(AND(U141&lt;&gt;"",OR($S$4="(все)",B141=$S$4),IF($S$4="(все)",COUNTIF($U$4:U141,U141),COUNTIFS($U$4:U141,U141,$B$4:B141,B141))=1),MAX($W$3:W140)+1,"")</f>
        <v/>
      </c>
      <c r="X141" s="38" t="str">
        <f t="shared" si="21"/>
        <v/>
      </c>
      <c r="Y141" s="38" t="str">
        <f>IF(AND(A141="Аппарат",C141&lt;&gt;"",OR($S$5="(все)",B141=$S$5)),MAX($Y$3:Y140)+1,"")</f>
        <v/>
      </c>
      <c r="Z141" s="38" t="str">
        <f t="shared" si="22"/>
        <v/>
      </c>
      <c r="AA141" s="38" t="str">
        <f>IF(AND(A141="Модуль",C141&lt;&gt;"",OR($S$6="(все)",B141=$S$6)),MAX($AA$3:AA140)+1,"")</f>
        <v/>
      </c>
      <c r="AB141" s="38" t="str">
        <f t="shared" si="23"/>
        <v/>
      </c>
      <c r="AC141" s="38" t="str">
        <f>IF(OR(B141="",COUNTIF($B$4:B141,B141)&gt;1),"",MAX($AC$3:AC140)+1)</f>
        <v/>
      </c>
      <c r="AD141" s="38" t="str">
        <f t="shared" si="24"/>
        <v/>
      </c>
      <c r="AE141" s="38" t="str">
        <f t="shared" si="25"/>
        <v/>
      </c>
      <c r="AF141" s="38" t="str">
        <f t="shared" si="26"/>
        <v/>
      </c>
    </row>
    <row r="142" spans="1:32" x14ac:dyDescent="0.3">
      <c r="A142" s="74"/>
      <c r="B142" s="74"/>
      <c r="C142" s="74"/>
      <c r="D142" s="74"/>
      <c r="E142" s="74"/>
      <c r="F142" s="74"/>
      <c r="G142" s="74"/>
      <c r="H142" s="74"/>
      <c r="I142" s="74"/>
      <c r="J142" s="74"/>
      <c r="K142" s="74"/>
      <c r="L142" s="74"/>
      <c r="M142" s="74"/>
      <c r="N142" s="38" t="str">
        <f>IF(OR(A142="Автомат",A142="Дифавтомат"),IF(W142="","",COUNTIFS(Однолинейка!$H$3:$H$3000,U142,Однолинейка!$A$3:$A$3000,Щит_спец)),IF(A142="Аппарат",IF(C142="","",COUNTIFS(Однолинейка!$I$3:$I$3000,C142,Однолинейка!$A$3:$A$3000,Щит_спец)+COUNTIFS(Однолинейка!$J$3:$J$3000,C142,Однолинейка!$A$3:$A$3000,Щит_спец)+COUNTIFS(Однолинейка!$K$3:$K$3000,C142,Однолинейка!$A$3:$A$3000,Щит_спец)),IF(A142="Модуль",IF(C142="","",COUNTIFS(Однолинейка!$AW$3:$AW$3000,"?*",Однолинейка!$AI$3:$AI$3000,C142,Однолинейка!$A$3:$A$3000,Щит_спец)),IF(A142="Клемма",IF(C142="","",IF(C142=$S$7,SUMIFS(Однолинейка!$BW$3:$BW$3000,Однолинейка!$A$3:$A$3000,Щит_спец),IF(C142=$S$8,SUMIFS(Однолинейка!$BX$3:$BX$3000,Однолинейка!$A$3:$A$3000,Щит_спец),""))),""))))</f>
        <v/>
      </c>
      <c r="O142" s="74"/>
      <c r="P142" s="38" t="str">
        <f t="shared" si="18"/>
        <v/>
      </c>
      <c r="U142" s="38" t="str">
        <f t="shared" si="19"/>
        <v/>
      </c>
      <c r="V142" s="38" t="str">
        <f t="shared" si="20"/>
        <v/>
      </c>
      <c r="W142" s="38" t="str">
        <f>IF(AND(U142&lt;&gt;"",OR($S$4="(все)",B142=$S$4),IF($S$4="(все)",COUNTIF($U$4:U142,U142),COUNTIFS($U$4:U142,U142,$B$4:B142,B142))=1),MAX($W$3:W141)+1,"")</f>
        <v/>
      </c>
      <c r="X142" s="38" t="str">
        <f t="shared" si="21"/>
        <v/>
      </c>
      <c r="Y142" s="38" t="str">
        <f>IF(AND(A142="Аппарат",C142&lt;&gt;"",OR($S$5="(все)",B142=$S$5)),MAX($Y$3:Y141)+1,"")</f>
        <v/>
      </c>
      <c r="Z142" s="38" t="str">
        <f t="shared" si="22"/>
        <v/>
      </c>
      <c r="AA142" s="38" t="str">
        <f>IF(AND(A142="Модуль",C142&lt;&gt;"",OR($S$6="(все)",B142=$S$6)),MAX($AA$3:AA141)+1,"")</f>
        <v/>
      </c>
      <c r="AB142" s="38" t="str">
        <f t="shared" si="23"/>
        <v/>
      </c>
      <c r="AC142" s="38" t="str">
        <f>IF(OR(B142="",COUNTIF($B$4:B142,B142)&gt;1),"",MAX($AC$3:AC141)+1)</f>
        <v/>
      </c>
      <c r="AD142" s="38" t="str">
        <f t="shared" si="24"/>
        <v/>
      </c>
      <c r="AE142" s="38" t="str">
        <f t="shared" si="25"/>
        <v/>
      </c>
      <c r="AF142" s="38" t="str">
        <f t="shared" si="26"/>
        <v/>
      </c>
    </row>
    <row r="143" spans="1:32" x14ac:dyDescent="0.3">
      <c r="A143" s="74"/>
      <c r="B143" s="74"/>
      <c r="C143" s="74"/>
      <c r="D143" s="74"/>
      <c r="E143" s="74"/>
      <c r="F143" s="74"/>
      <c r="G143" s="74"/>
      <c r="H143" s="74"/>
      <c r="I143" s="74"/>
      <c r="J143" s="74"/>
      <c r="K143" s="74"/>
      <c r="L143" s="74"/>
      <c r="M143" s="74"/>
      <c r="N143" s="38" t="str">
        <f>IF(OR(A143="Автомат",A143="Дифавтомат"),IF(W143="","",COUNTIFS(Однолинейка!$H$3:$H$3000,U143,Однолинейка!$A$3:$A$3000,Щит_спец)),IF(A143="Аппарат",IF(C143="","",COUNTIFS(Однолинейка!$I$3:$I$3000,C143,Однолинейка!$A$3:$A$3000,Щит_спец)+COUNTIFS(Однолинейка!$J$3:$J$3000,C143,Однолинейка!$A$3:$A$3000,Щит_спец)+COUNTIFS(Однолинейка!$K$3:$K$3000,C143,Однолинейка!$A$3:$A$3000,Щит_спец)),IF(A143="Модуль",IF(C143="","",COUNTIFS(Однолинейка!$AW$3:$AW$3000,"?*",Однолинейка!$AI$3:$AI$3000,C143,Однолинейка!$A$3:$A$3000,Щит_спец)),IF(A143="Клемма",IF(C143="","",IF(C143=$S$7,SUMIFS(Однолинейка!$BW$3:$BW$3000,Однолинейка!$A$3:$A$3000,Щит_спец),IF(C143=$S$8,SUMIFS(Однолинейка!$BX$3:$BX$3000,Однолинейка!$A$3:$A$3000,Щит_спец),""))),""))))</f>
        <v/>
      </c>
      <c r="O143" s="74"/>
      <c r="P143" s="38" t="str">
        <f t="shared" si="18"/>
        <v/>
      </c>
      <c r="U143" s="38" t="str">
        <f t="shared" si="19"/>
        <v/>
      </c>
      <c r="V143" s="38" t="str">
        <f t="shared" si="20"/>
        <v/>
      </c>
      <c r="W143" s="38" t="str">
        <f>IF(AND(U143&lt;&gt;"",OR($S$4="(все)",B143=$S$4),IF($S$4="(все)",COUNTIF($U$4:U143,U143),COUNTIFS($U$4:U143,U143,$B$4:B143,B143))=1),MAX($W$3:W142)+1,"")</f>
        <v/>
      </c>
      <c r="X143" s="38" t="str">
        <f t="shared" si="21"/>
        <v/>
      </c>
      <c r="Y143" s="38" t="str">
        <f>IF(AND(A143="Аппарат",C143&lt;&gt;"",OR($S$5="(все)",B143=$S$5)),MAX($Y$3:Y142)+1,"")</f>
        <v/>
      </c>
      <c r="Z143" s="38" t="str">
        <f t="shared" si="22"/>
        <v/>
      </c>
      <c r="AA143" s="38" t="str">
        <f>IF(AND(A143="Модуль",C143&lt;&gt;"",OR($S$6="(все)",B143=$S$6)),MAX($AA$3:AA142)+1,"")</f>
        <v/>
      </c>
      <c r="AB143" s="38" t="str">
        <f t="shared" si="23"/>
        <v/>
      </c>
      <c r="AC143" s="38" t="str">
        <f>IF(OR(B143="",COUNTIF($B$4:B143,B143)&gt;1),"",MAX($AC$3:AC142)+1)</f>
        <v/>
      </c>
      <c r="AD143" s="38" t="str">
        <f t="shared" si="24"/>
        <v/>
      </c>
      <c r="AE143" s="38" t="str">
        <f t="shared" si="25"/>
        <v/>
      </c>
      <c r="AF143" s="38" t="str">
        <f t="shared" si="26"/>
        <v/>
      </c>
    </row>
    <row r="144" spans="1:32" x14ac:dyDescent="0.3">
      <c r="A144" s="74"/>
      <c r="B144" s="74"/>
      <c r="C144" s="74"/>
      <c r="D144" s="74"/>
      <c r="E144" s="74"/>
      <c r="F144" s="74"/>
      <c r="G144" s="74"/>
      <c r="H144" s="74"/>
      <c r="I144" s="74"/>
      <c r="J144" s="74"/>
      <c r="K144" s="74"/>
      <c r="L144" s="74"/>
      <c r="M144" s="74"/>
      <c r="N144" s="38" t="str">
        <f>IF(OR(A144="Автомат",A144="Дифавтомат"),IF(W144="","",COUNTIFS(Однолинейка!$H$3:$H$3000,U144,Однолинейка!$A$3:$A$3000,Щит_спец)),IF(A144="Аппарат",IF(C144="","",COUNTIFS(Однолинейка!$I$3:$I$3000,C144,Однолинейка!$A$3:$A$3000,Щит_спец)+COUNTIFS(Однолинейка!$J$3:$J$3000,C144,Однолинейка!$A$3:$A$3000,Щит_спец)+COUNTIFS(Однолинейка!$K$3:$K$3000,C144,Однолинейка!$A$3:$A$3000,Щит_спец)),IF(A144="Модуль",IF(C144="","",COUNTIFS(Однолинейка!$AW$3:$AW$3000,"?*",Однолинейка!$AI$3:$AI$3000,C144,Однолинейка!$A$3:$A$3000,Щит_спец)),IF(A144="Клемма",IF(C144="","",IF(C144=$S$7,SUMIFS(Однолинейка!$BW$3:$BW$3000,Однолинейка!$A$3:$A$3000,Щит_спец),IF(C144=$S$8,SUMIFS(Однолинейка!$BX$3:$BX$3000,Однолинейка!$A$3:$A$3000,Щит_спец),""))),""))))</f>
        <v/>
      </c>
      <c r="O144" s="74"/>
      <c r="P144" s="38" t="str">
        <f t="shared" si="18"/>
        <v/>
      </c>
      <c r="U144" s="38" t="str">
        <f t="shared" si="19"/>
        <v/>
      </c>
      <c r="V144" s="38" t="str">
        <f t="shared" si="20"/>
        <v/>
      </c>
      <c r="W144" s="38" t="str">
        <f>IF(AND(U144&lt;&gt;"",OR($S$4="(все)",B144=$S$4),IF($S$4="(все)",COUNTIF($U$4:U144,U144),COUNTIFS($U$4:U144,U144,$B$4:B144,B144))=1),MAX($W$3:W143)+1,"")</f>
        <v/>
      </c>
      <c r="X144" s="38" t="str">
        <f t="shared" si="21"/>
        <v/>
      </c>
      <c r="Y144" s="38" t="str">
        <f>IF(AND(A144="Аппарат",C144&lt;&gt;"",OR($S$5="(все)",B144=$S$5)),MAX($Y$3:Y143)+1,"")</f>
        <v/>
      </c>
      <c r="Z144" s="38" t="str">
        <f t="shared" si="22"/>
        <v/>
      </c>
      <c r="AA144" s="38" t="str">
        <f>IF(AND(A144="Модуль",C144&lt;&gt;"",OR($S$6="(все)",B144=$S$6)),MAX($AA$3:AA143)+1,"")</f>
        <v/>
      </c>
      <c r="AB144" s="38" t="str">
        <f t="shared" si="23"/>
        <v/>
      </c>
      <c r="AC144" s="38" t="str">
        <f>IF(OR(B144="",COUNTIF($B$4:B144,B144)&gt;1),"",MAX($AC$3:AC143)+1)</f>
        <v/>
      </c>
      <c r="AD144" s="38" t="str">
        <f t="shared" si="24"/>
        <v/>
      </c>
      <c r="AE144" s="38" t="str">
        <f t="shared" si="25"/>
        <v/>
      </c>
      <c r="AF144" s="38" t="str">
        <f t="shared" si="26"/>
        <v/>
      </c>
    </row>
    <row r="145" spans="1:32" x14ac:dyDescent="0.3">
      <c r="A145" s="74"/>
      <c r="B145" s="74"/>
      <c r="C145" s="74"/>
      <c r="D145" s="74"/>
      <c r="E145" s="74"/>
      <c r="F145" s="74"/>
      <c r="G145" s="74"/>
      <c r="H145" s="74"/>
      <c r="I145" s="74"/>
      <c r="J145" s="74"/>
      <c r="K145" s="74"/>
      <c r="L145" s="74"/>
      <c r="M145" s="74"/>
      <c r="N145" s="38" t="str">
        <f>IF(OR(A145="Автомат",A145="Дифавтомат"),IF(W145="","",COUNTIFS(Однолинейка!$H$3:$H$3000,U145,Однолинейка!$A$3:$A$3000,Щит_спец)),IF(A145="Аппарат",IF(C145="","",COUNTIFS(Однолинейка!$I$3:$I$3000,C145,Однолинейка!$A$3:$A$3000,Щит_спец)+COUNTIFS(Однолинейка!$J$3:$J$3000,C145,Однолинейка!$A$3:$A$3000,Щит_спец)+COUNTIFS(Однолинейка!$K$3:$K$3000,C145,Однолинейка!$A$3:$A$3000,Щит_спец)),IF(A145="Модуль",IF(C145="","",COUNTIFS(Однолинейка!$AW$3:$AW$3000,"?*",Однолинейка!$AI$3:$AI$3000,C145,Однолинейка!$A$3:$A$3000,Щит_спец)),IF(A145="Клемма",IF(C145="","",IF(C145=$S$7,SUMIFS(Однолинейка!$BW$3:$BW$3000,Однолинейка!$A$3:$A$3000,Щит_спец),IF(C145=$S$8,SUMIFS(Однолинейка!$BX$3:$BX$3000,Однолинейка!$A$3:$A$3000,Щит_спец),""))),""))))</f>
        <v/>
      </c>
      <c r="O145" s="74"/>
      <c r="P145" s="38" t="str">
        <f t="shared" si="18"/>
        <v/>
      </c>
      <c r="U145" s="38" t="str">
        <f t="shared" si="19"/>
        <v/>
      </c>
      <c r="V145" s="38" t="str">
        <f t="shared" si="20"/>
        <v/>
      </c>
      <c r="W145" s="38" t="str">
        <f>IF(AND(U145&lt;&gt;"",OR($S$4="(все)",B145=$S$4),IF($S$4="(все)",COUNTIF($U$4:U145,U145),COUNTIFS($U$4:U145,U145,$B$4:B145,B145))=1),MAX($W$3:W144)+1,"")</f>
        <v/>
      </c>
      <c r="X145" s="38" t="str">
        <f t="shared" si="21"/>
        <v/>
      </c>
      <c r="Y145" s="38" t="str">
        <f>IF(AND(A145="Аппарат",C145&lt;&gt;"",OR($S$5="(все)",B145=$S$5)),MAX($Y$3:Y144)+1,"")</f>
        <v/>
      </c>
      <c r="Z145" s="38" t="str">
        <f t="shared" si="22"/>
        <v/>
      </c>
      <c r="AA145" s="38" t="str">
        <f>IF(AND(A145="Модуль",C145&lt;&gt;"",OR($S$6="(все)",B145=$S$6)),MAX($AA$3:AA144)+1,"")</f>
        <v/>
      </c>
      <c r="AB145" s="38" t="str">
        <f t="shared" si="23"/>
        <v/>
      </c>
      <c r="AC145" s="38" t="str">
        <f>IF(OR(B145="",COUNTIF($B$4:B145,B145)&gt;1),"",MAX($AC$3:AC144)+1)</f>
        <v/>
      </c>
      <c r="AD145" s="38" t="str">
        <f t="shared" si="24"/>
        <v/>
      </c>
      <c r="AE145" s="38" t="str">
        <f t="shared" si="25"/>
        <v/>
      </c>
      <c r="AF145" s="38" t="str">
        <f t="shared" si="26"/>
        <v/>
      </c>
    </row>
    <row r="146" spans="1:32" x14ac:dyDescent="0.3">
      <c r="A146" s="74"/>
      <c r="B146" s="74"/>
      <c r="C146" s="74"/>
      <c r="D146" s="74"/>
      <c r="E146" s="74"/>
      <c r="F146" s="74"/>
      <c r="G146" s="74"/>
      <c r="H146" s="74"/>
      <c r="I146" s="74"/>
      <c r="J146" s="74"/>
      <c r="K146" s="74"/>
      <c r="L146" s="74"/>
      <c r="M146" s="74"/>
      <c r="N146" s="38" t="str">
        <f>IF(OR(A146="Автомат",A146="Дифавтомат"),IF(W146="","",COUNTIFS(Однолинейка!$H$3:$H$3000,U146,Однолинейка!$A$3:$A$3000,Щит_спец)),IF(A146="Аппарат",IF(C146="","",COUNTIFS(Однолинейка!$I$3:$I$3000,C146,Однолинейка!$A$3:$A$3000,Щит_спец)+COUNTIFS(Однолинейка!$J$3:$J$3000,C146,Однолинейка!$A$3:$A$3000,Щит_спец)+COUNTIFS(Однолинейка!$K$3:$K$3000,C146,Однолинейка!$A$3:$A$3000,Щит_спец)),IF(A146="Модуль",IF(C146="","",COUNTIFS(Однолинейка!$AW$3:$AW$3000,"?*",Однолинейка!$AI$3:$AI$3000,C146,Однолинейка!$A$3:$A$3000,Щит_спец)),IF(A146="Клемма",IF(C146="","",IF(C146=$S$7,SUMIFS(Однолинейка!$BW$3:$BW$3000,Однолинейка!$A$3:$A$3000,Щит_спец),IF(C146=$S$8,SUMIFS(Однолинейка!$BX$3:$BX$3000,Однолинейка!$A$3:$A$3000,Щит_спец),""))),""))))</f>
        <v/>
      </c>
      <c r="O146" s="74"/>
      <c r="P146" s="38" t="str">
        <f t="shared" si="18"/>
        <v/>
      </c>
      <c r="U146" s="38" t="str">
        <f t="shared" si="19"/>
        <v/>
      </c>
      <c r="V146" s="38" t="str">
        <f t="shared" si="20"/>
        <v/>
      </c>
      <c r="W146" s="38" t="str">
        <f>IF(AND(U146&lt;&gt;"",OR($S$4="(все)",B146=$S$4),IF($S$4="(все)",COUNTIF($U$4:U146,U146),COUNTIFS($U$4:U146,U146,$B$4:B146,B146))=1),MAX($W$3:W145)+1,"")</f>
        <v/>
      </c>
      <c r="X146" s="38" t="str">
        <f t="shared" si="21"/>
        <v/>
      </c>
      <c r="Y146" s="38" t="str">
        <f>IF(AND(A146="Аппарат",C146&lt;&gt;"",OR($S$5="(все)",B146=$S$5)),MAX($Y$3:Y145)+1,"")</f>
        <v/>
      </c>
      <c r="Z146" s="38" t="str">
        <f t="shared" si="22"/>
        <v/>
      </c>
      <c r="AA146" s="38" t="str">
        <f>IF(AND(A146="Модуль",C146&lt;&gt;"",OR($S$6="(все)",B146=$S$6)),MAX($AA$3:AA145)+1,"")</f>
        <v/>
      </c>
      <c r="AB146" s="38" t="str">
        <f t="shared" si="23"/>
        <v/>
      </c>
      <c r="AC146" s="38" t="str">
        <f>IF(OR(B146="",COUNTIF($B$4:B146,B146)&gt;1),"",MAX($AC$3:AC145)+1)</f>
        <v/>
      </c>
      <c r="AD146" s="38" t="str">
        <f t="shared" si="24"/>
        <v/>
      </c>
      <c r="AE146" s="38" t="str">
        <f t="shared" si="25"/>
        <v/>
      </c>
      <c r="AF146" s="38" t="str">
        <f t="shared" si="26"/>
        <v/>
      </c>
    </row>
    <row r="147" spans="1:32" x14ac:dyDescent="0.3">
      <c r="A147" s="74"/>
      <c r="B147" s="74"/>
      <c r="C147" s="74"/>
      <c r="D147" s="74"/>
      <c r="E147" s="74"/>
      <c r="F147" s="74"/>
      <c r="G147" s="74"/>
      <c r="H147" s="74"/>
      <c r="I147" s="74"/>
      <c r="J147" s="74"/>
      <c r="K147" s="74"/>
      <c r="L147" s="74"/>
      <c r="M147" s="74"/>
      <c r="N147" s="38" t="str">
        <f>IF(OR(A147="Автомат",A147="Дифавтомат"),IF(W147="","",COUNTIFS(Однолинейка!$H$3:$H$3000,U147,Однолинейка!$A$3:$A$3000,Щит_спец)),IF(A147="Аппарат",IF(C147="","",COUNTIFS(Однолинейка!$I$3:$I$3000,C147,Однолинейка!$A$3:$A$3000,Щит_спец)+COUNTIFS(Однолинейка!$J$3:$J$3000,C147,Однолинейка!$A$3:$A$3000,Щит_спец)+COUNTIFS(Однолинейка!$K$3:$K$3000,C147,Однолинейка!$A$3:$A$3000,Щит_спец)),IF(A147="Модуль",IF(C147="","",COUNTIFS(Однолинейка!$AW$3:$AW$3000,"?*",Однолинейка!$AI$3:$AI$3000,C147,Однолинейка!$A$3:$A$3000,Щит_спец)),IF(A147="Клемма",IF(C147="","",IF(C147=$S$7,SUMIFS(Однолинейка!$BW$3:$BW$3000,Однолинейка!$A$3:$A$3000,Щит_спец),IF(C147=$S$8,SUMIFS(Однолинейка!$BX$3:$BX$3000,Однолинейка!$A$3:$A$3000,Щит_спец),""))),""))))</f>
        <v/>
      </c>
      <c r="O147" s="74"/>
      <c r="P147" s="38" t="str">
        <f t="shared" si="18"/>
        <v/>
      </c>
      <c r="U147" s="38" t="str">
        <f t="shared" si="19"/>
        <v/>
      </c>
      <c r="V147" s="38" t="str">
        <f t="shared" si="20"/>
        <v/>
      </c>
      <c r="W147" s="38" t="str">
        <f>IF(AND(U147&lt;&gt;"",OR($S$4="(все)",B147=$S$4),IF($S$4="(все)",COUNTIF($U$4:U147,U147),COUNTIFS($U$4:U147,U147,$B$4:B147,B147))=1),MAX($W$3:W146)+1,"")</f>
        <v/>
      </c>
      <c r="X147" s="38" t="str">
        <f t="shared" si="21"/>
        <v/>
      </c>
      <c r="Y147" s="38" t="str">
        <f>IF(AND(A147="Аппарат",C147&lt;&gt;"",OR($S$5="(все)",B147=$S$5)),MAX($Y$3:Y146)+1,"")</f>
        <v/>
      </c>
      <c r="Z147" s="38" t="str">
        <f t="shared" si="22"/>
        <v/>
      </c>
      <c r="AA147" s="38" t="str">
        <f>IF(AND(A147="Модуль",C147&lt;&gt;"",OR($S$6="(все)",B147=$S$6)),MAX($AA$3:AA146)+1,"")</f>
        <v/>
      </c>
      <c r="AB147" s="38" t="str">
        <f t="shared" si="23"/>
        <v/>
      </c>
      <c r="AC147" s="38" t="str">
        <f>IF(OR(B147="",COUNTIF($B$4:B147,B147)&gt;1),"",MAX($AC$3:AC146)+1)</f>
        <v/>
      </c>
      <c r="AD147" s="38" t="str">
        <f t="shared" si="24"/>
        <v/>
      </c>
      <c r="AE147" s="38" t="str">
        <f t="shared" si="25"/>
        <v/>
      </c>
      <c r="AF147" s="38" t="str">
        <f t="shared" si="26"/>
        <v/>
      </c>
    </row>
    <row r="148" spans="1:32" x14ac:dyDescent="0.3">
      <c r="A148" s="74"/>
      <c r="B148" s="74"/>
      <c r="C148" s="74"/>
      <c r="D148" s="74"/>
      <c r="E148" s="74"/>
      <c r="F148" s="74"/>
      <c r="G148" s="74"/>
      <c r="H148" s="74"/>
      <c r="I148" s="74"/>
      <c r="J148" s="74"/>
      <c r="K148" s="74"/>
      <c r="L148" s="74"/>
      <c r="M148" s="74"/>
      <c r="N148" s="38" t="str">
        <f>IF(OR(A148="Автомат",A148="Дифавтомат"),IF(W148="","",COUNTIFS(Однолинейка!$H$3:$H$3000,U148,Однолинейка!$A$3:$A$3000,Щит_спец)),IF(A148="Аппарат",IF(C148="","",COUNTIFS(Однолинейка!$I$3:$I$3000,C148,Однолинейка!$A$3:$A$3000,Щит_спец)+COUNTIFS(Однолинейка!$J$3:$J$3000,C148,Однолинейка!$A$3:$A$3000,Щит_спец)+COUNTIFS(Однолинейка!$K$3:$K$3000,C148,Однолинейка!$A$3:$A$3000,Щит_спец)),IF(A148="Модуль",IF(C148="","",COUNTIFS(Однолинейка!$AW$3:$AW$3000,"?*",Однолинейка!$AI$3:$AI$3000,C148,Однолинейка!$A$3:$A$3000,Щит_спец)),IF(A148="Клемма",IF(C148="","",IF(C148=$S$7,SUMIFS(Однолинейка!$BW$3:$BW$3000,Однолинейка!$A$3:$A$3000,Щит_спец),IF(C148=$S$8,SUMIFS(Однолинейка!$BX$3:$BX$3000,Однолинейка!$A$3:$A$3000,Щит_спец),""))),""))))</f>
        <v/>
      </c>
      <c r="O148" s="74"/>
      <c r="P148" s="38" t="str">
        <f t="shared" si="18"/>
        <v/>
      </c>
      <c r="U148" s="38" t="str">
        <f t="shared" si="19"/>
        <v/>
      </c>
      <c r="V148" s="38" t="str">
        <f t="shared" si="20"/>
        <v/>
      </c>
      <c r="W148" s="38" t="str">
        <f>IF(AND(U148&lt;&gt;"",OR($S$4="(все)",B148=$S$4),IF($S$4="(все)",COUNTIF($U$4:U148,U148),COUNTIFS($U$4:U148,U148,$B$4:B148,B148))=1),MAX($W$3:W147)+1,"")</f>
        <v/>
      </c>
      <c r="X148" s="38" t="str">
        <f t="shared" si="21"/>
        <v/>
      </c>
      <c r="Y148" s="38" t="str">
        <f>IF(AND(A148="Аппарат",C148&lt;&gt;"",OR($S$5="(все)",B148=$S$5)),MAX($Y$3:Y147)+1,"")</f>
        <v/>
      </c>
      <c r="Z148" s="38" t="str">
        <f t="shared" si="22"/>
        <v/>
      </c>
      <c r="AA148" s="38" t="str">
        <f>IF(AND(A148="Модуль",C148&lt;&gt;"",OR($S$6="(все)",B148=$S$6)),MAX($AA$3:AA147)+1,"")</f>
        <v/>
      </c>
      <c r="AB148" s="38" t="str">
        <f t="shared" si="23"/>
        <v/>
      </c>
      <c r="AC148" s="38" t="str">
        <f>IF(OR(B148="",COUNTIF($B$4:B148,B148)&gt;1),"",MAX($AC$3:AC147)+1)</f>
        <v/>
      </c>
      <c r="AD148" s="38" t="str">
        <f t="shared" si="24"/>
        <v/>
      </c>
      <c r="AE148" s="38" t="str">
        <f t="shared" si="25"/>
        <v/>
      </c>
      <c r="AF148" s="38" t="str">
        <f t="shared" si="26"/>
        <v/>
      </c>
    </row>
    <row r="149" spans="1:32" x14ac:dyDescent="0.3">
      <c r="A149" s="74"/>
      <c r="B149" s="74"/>
      <c r="C149" s="74"/>
      <c r="D149" s="74"/>
      <c r="E149" s="74"/>
      <c r="F149" s="74"/>
      <c r="G149" s="74"/>
      <c r="H149" s="74"/>
      <c r="I149" s="74"/>
      <c r="J149" s="74"/>
      <c r="K149" s="74"/>
      <c r="L149" s="74"/>
      <c r="M149" s="74"/>
      <c r="N149" s="38" t="str">
        <f>IF(OR(A149="Автомат",A149="Дифавтомат"),IF(W149="","",COUNTIFS(Однолинейка!$H$3:$H$3000,U149,Однолинейка!$A$3:$A$3000,Щит_спец)),IF(A149="Аппарат",IF(C149="","",COUNTIFS(Однолинейка!$I$3:$I$3000,C149,Однолинейка!$A$3:$A$3000,Щит_спец)+COUNTIFS(Однолинейка!$J$3:$J$3000,C149,Однолинейка!$A$3:$A$3000,Щит_спец)+COUNTIFS(Однолинейка!$K$3:$K$3000,C149,Однолинейка!$A$3:$A$3000,Щит_спец)),IF(A149="Модуль",IF(C149="","",COUNTIFS(Однолинейка!$AW$3:$AW$3000,"?*",Однолинейка!$AI$3:$AI$3000,C149,Однолинейка!$A$3:$A$3000,Щит_спец)),IF(A149="Клемма",IF(C149="","",IF(C149=$S$7,SUMIFS(Однолинейка!$BW$3:$BW$3000,Однолинейка!$A$3:$A$3000,Щит_спец),IF(C149=$S$8,SUMIFS(Однолинейка!$BX$3:$BX$3000,Однолинейка!$A$3:$A$3000,Щит_спец),""))),""))))</f>
        <v/>
      </c>
      <c r="O149" s="74"/>
      <c r="P149" s="38" t="str">
        <f t="shared" si="18"/>
        <v/>
      </c>
      <c r="U149" s="38" t="str">
        <f t="shared" si="19"/>
        <v/>
      </c>
      <c r="V149" s="38" t="str">
        <f t="shared" si="20"/>
        <v/>
      </c>
      <c r="W149" s="38" t="str">
        <f>IF(AND(U149&lt;&gt;"",OR($S$4="(все)",B149=$S$4),IF($S$4="(все)",COUNTIF($U$4:U149,U149),COUNTIFS($U$4:U149,U149,$B$4:B149,B149))=1),MAX($W$3:W148)+1,"")</f>
        <v/>
      </c>
      <c r="X149" s="38" t="str">
        <f t="shared" si="21"/>
        <v/>
      </c>
      <c r="Y149" s="38" t="str">
        <f>IF(AND(A149="Аппарат",C149&lt;&gt;"",OR($S$5="(все)",B149=$S$5)),MAX($Y$3:Y148)+1,"")</f>
        <v/>
      </c>
      <c r="Z149" s="38" t="str">
        <f t="shared" si="22"/>
        <v/>
      </c>
      <c r="AA149" s="38" t="str">
        <f>IF(AND(A149="Модуль",C149&lt;&gt;"",OR($S$6="(все)",B149=$S$6)),MAX($AA$3:AA148)+1,"")</f>
        <v/>
      </c>
      <c r="AB149" s="38" t="str">
        <f t="shared" si="23"/>
        <v/>
      </c>
      <c r="AC149" s="38" t="str">
        <f>IF(OR(B149="",COUNTIF($B$4:B149,B149)&gt;1),"",MAX($AC$3:AC148)+1)</f>
        <v/>
      </c>
      <c r="AD149" s="38" t="str">
        <f t="shared" si="24"/>
        <v/>
      </c>
      <c r="AE149" s="38" t="str">
        <f t="shared" si="25"/>
        <v/>
      </c>
      <c r="AF149" s="38" t="str">
        <f t="shared" si="26"/>
        <v/>
      </c>
    </row>
    <row r="150" spans="1:32" x14ac:dyDescent="0.3">
      <c r="A150" s="74"/>
      <c r="B150" s="74"/>
      <c r="C150" s="74"/>
      <c r="D150" s="74"/>
      <c r="E150" s="74"/>
      <c r="F150" s="74"/>
      <c r="G150" s="74"/>
      <c r="H150" s="74"/>
      <c r="I150" s="74"/>
      <c r="J150" s="74"/>
      <c r="K150" s="74"/>
      <c r="L150" s="74"/>
      <c r="M150" s="74"/>
      <c r="N150" s="38" t="str">
        <f>IF(OR(A150="Автомат",A150="Дифавтомат"),IF(W150="","",COUNTIFS(Однолинейка!$H$3:$H$3000,U150,Однолинейка!$A$3:$A$3000,Щит_спец)),IF(A150="Аппарат",IF(C150="","",COUNTIFS(Однолинейка!$I$3:$I$3000,C150,Однолинейка!$A$3:$A$3000,Щит_спец)+COUNTIFS(Однолинейка!$J$3:$J$3000,C150,Однолинейка!$A$3:$A$3000,Щит_спец)+COUNTIFS(Однолинейка!$K$3:$K$3000,C150,Однолинейка!$A$3:$A$3000,Щит_спец)),IF(A150="Модуль",IF(C150="","",COUNTIFS(Однолинейка!$AW$3:$AW$3000,"?*",Однолинейка!$AI$3:$AI$3000,C150,Однолинейка!$A$3:$A$3000,Щит_спец)),IF(A150="Клемма",IF(C150="","",IF(C150=$S$7,SUMIFS(Однолинейка!$BW$3:$BW$3000,Однолинейка!$A$3:$A$3000,Щит_спец),IF(C150=$S$8,SUMIFS(Однолинейка!$BX$3:$BX$3000,Однолинейка!$A$3:$A$3000,Щит_спец),""))),""))))</f>
        <v/>
      </c>
      <c r="O150" s="74"/>
      <c r="P150" s="38" t="str">
        <f t="shared" si="18"/>
        <v/>
      </c>
      <c r="U150" s="38" t="str">
        <f t="shared" si="19"/>
        <v/>
      </c>
      <c r="V150" s="38" t="str">
        <f t="shared" si="20"/>
        <v/>
      </c>
      <c r="W150" s="38" t="str">
        <f>IF(AND(U150&lt;&gt;"",OR($S$4="(все)",B150=$S$4),IF($S$4="(все)",COUNTIF($U$4:U150,U150),COUNTIFS($U$4:U150,U150,$B$4:B150,B150))=1),MAX($W$3:W149)+1,"")</f>
        <v/>
      </c>
      <c r="X150" s="38" t="str">
        <f t="shared" si="21"/>
        <v/>
      </c>
      <c r="Y150" s="38" t="str">
        <f>IF(AND(A150="Аппарат",C150&lt;&gt;"",OR($S$5="(все)",B150=$S$5)),MAX($Y$3:Y149)+1,"")</f>
        <v/>
      </c>
      <c r="Z150" s="38" t="str">
        <f t="shared" si="22"/>
        <v/>
      </c>
      <c r="AA150" s="38" t="str">
        <f>IF(AND(A150="Модуль",C150&lt;&gt;"",OR($S$6="(все)",B150=$S$6)),MAX($AA$3:AA149)+1,"")</f>
        <v/>
      </c>
      <c r="AB150" s="38" t="str">
        <f t="shared" si="23"/>
        <v/>
      </c>
      <c r="AC150" s="38" t="str">
        <f>IF(OR(B150="",COUNTIF($B$4:B150,B150)&gt;1),"",MAX($AC$3:AC149)+1)</f>
        <v/>
      </c>
      <c r="AD150" s="38" t="str">
        <f t="shared" si="24"/>
        <v/>
      </c>
      <c r="AE150" s="38" t="str">
        <f t="shared" si="25"/>
        <v/>
      </c>
      <c r="AF150" s="38" t="str">
        <f t="shared" si="26"/>
        <v/>
      </c>
    </row>
    <row r="151" spans="1:32" x14ac:dyDescent="0.3">
      <c r="A151" s="74"/>
      <c r="B151" s="74"/>
      <c r="C151" s="74"/>
      <c r="D151" s="74"/>
      <c r="E151" s="74"/>
      <c r="F151" s="74"/>
      <c r="G151" s="74"/>
      <c r="H151" s="74"/>
      <c r="I151" s="74"/>
      <c r="J151" s="74"/>
      <c r="K151" s="74"/>
      <c r="L151" s="74"/>
      <c r="M151" s="74"/>
      <c r="N151" s="38" t="str">
        <f>IF(OR(A151="Автомат",A151="Дифавтомат"),IF(W151="","",COUNTIFS(Однолинейка!$H$3:$H$3000,U151,Однолинейка!$A$3:$A$3000,Щит_спец)),IF(A151="Аппарат",IF(C151="","",COUNTIFS(Однолинейка!$I$3:$I$3000,C151,Однолинейка!$A$3:$A$3000,Щит_спец)+COUNTIFS(Однолинейка!$J$3:$J$3000,C151,Однолинейка!$A$3:$A$3000,Щит_спец)+COUNTIFS(Однолинейка!$K$3:$K$3000,C151,Однолинейка!$A$3:$A$3000,Щит_спец)),IF(A151="Модуль",IF(C151="","",COUNTIFS(Однолинейка!$AW$3:$AW$3000,"?*",Однолинейка!$AI$3:$AI$3000,C151,Однолинейка!$A$3:$A$3000,Щит_спец)),IF(A151="Клемма",IF(C151="","",IF(C151=$S$7,SUMIFS(Однолинейка!$BW$3:$BW$3000,Однолинейка!$A$3:$A$3000,Щит_спец),IF(C151=$S$8,SUMIFS(Однолинейка!$BX$3:$BX$3000,Однолинейка!$A$3:$A$3000,Щит_спец),""))),""))))</f>
        <v/>
      </c>
      <c r="O151" s="74"/>
      <c r="P151" s="38" t="str">
        <f t="shared" si="18"/>
        <v/>
      </c>
      <c r="U151" s="38" t="str">
        <f t="shared" si="19"/>
        <v/>
      </c>
      <c r="V151" s="38" t="str">
        <f t="shared" si="20"/>
        <v/>
      </c>
      <c r="W151" s="38" t="str">
        <f>IF(AND(U151&lt;&gt;"",OR($S$4="(все)",B151=$S$4),IF($S$4="(все)",COUNTIF($U$4:U151,U151),COUNTIFS($U$4:U151,U151,$B$4:B151,B151))=1),MAX($W$3:W150)+1,"")</f>
        <v/>
      </c>
      <c r="X151" s="38" t="str">
        <f t="shared" si="21"/>
        <v/>
      </c>
      <c r="Y151" s="38" t="str">
        <f>IF(AND(A151="Аппарат",C151&lt;&gt;"",OR($S$5="(все)",B151=$S$5)),MAX($Y$3:Y150)+1,"")</f>
        <v/>
      </c>
      <c r="Z151" s="38" t="str">
        <f t="shared" si="22"/>
        <v/>
      </c>
      <c r="AA151" s="38" t="str">
        <f>IF(AND(A151="Модуль",C151&lt;&gt;"",OR($S$6="(все)",B151=$S$6)),MAX($AA$3:AA150)+1,"")</f>
        <v/>
      </c>
      <c r="AB151" s="38" t="str">
        <f t="shared" si="23"/>
        <v/>
      </c>
      <c r="AC151" s="38" t="str">
        <f>IF(OR(B151="",COUNTIF($B$4:B151,B151)&gt;1),"",MAX($AC$3:AC150)+1)</f>
        <v/>
      </c>
      <c r="AD151" s="38" t="str">
        <f t="shared" si="24"/>
        <v/>
      </c>
      <c r="AE151" s="38" t="str">
        <f t="shared" si="25"/>
        <v/>
      </c>
      <c r="AF151" s="38" t="str">
        <f t="shared" si="26"/>
        <v/>
      </c>
    </row>
    <row r="152" spans="1:32" x14ac:dyDescent="0.3">
      <c r="A152" s="74"/>
      <c r="B152" s="74"/>
      <c r="C152" s="74"/>
      <c r="D152" s="74"/>
      <c r="E152" s="74"/>
      <c r="F152" s="74"/>
      <c r="G152" s="74"/>
      <c r="H152" s="74"/>
      <c r="I152" s="74"/>
      <c r="J152" s="74"/>
      <c r="K152" s="74"/>
      <c r="L152" s="74"/>
      <c r="M152" s="74"/>
      <c r="N152" s="38" t="str">
        <f>IF(OR(A152="Автомат",A152="Дифавтомат"),IF(W152="","",COUNTIFS(Однолинейка!$H$3:$H$3000,U152,Однолинейка!$A$3:$A$3000,Щит_спец)),IF(A152="Аппарат",IF(C152="","",COUNTIFS(Однолинейка!$I$3:$I$3000,C152,Однолинейка!$A$3:$A$3000,Щит_спец)+COUNTIFS(Однолинейка!$J$3:$J$3000,C152,Однолинейка!$A$3:$A$3000,Щит_спец)+COUNTIFS(Однолинейка!$K$3:$K$3000,C152,Однолинейка!$A$3:$A$3000,Щит_спец)),IF(A152="Модуль",IF(C152="","",COUNTIFS(Однолинейка!$AW$3:$AW$3000,"?*",Однолинейка!$AI$3:$AI$3000,C152,Однолинейка!$A$3:$A$3000,Щит_спец)),IF(A152="Клемма",IF(C152="","",IF(C152=$S$7,SUMIFS(Однолинейка!$BW$3:$BW$3000,Однолинейка!$A$3:$A$3000,Щит_спец),IF(C152=$S$8,SUMIFS(Однолинейка!$BX$3:$BX$3000,Однолинейка!$A$3:$A$3000,Щит_спец),""))),""))))</f>
        <v/>
      </c>
      <c r="O152" s="74"/>
      <c r="P152" s="38" t="str">
        <f t="shared" si="18"/>
        <v/>
      </c>
      <c r="U152" s="38" t="str">
        <f t="shared" si="19"/>
        <v/>
      </c>
      <c r="V152" s="38" t="str">
        <f t="shared" si="20"/>
        <v/>
      </c>
      <c r="W152" s="38" t="str">
        <f>IF(AND(U152&lt;&gt;"",OR($S$4="(все)",B152=$S$4),IF($S$4="(все)",COUNTIF($U$4:U152,U152),COUNTIFS($U$4:U152,U152,$B$4:B152,B152))=1),MAX($W$3:W151)+1,"")</f>
        <v/>
      </c>
      <c r="X152" s="38" t="str">
        <f t="shared" si="21"/>
        <v/>
      </c>
      <c r="Y152" s="38" t="str">
        <f>IF(AND(A152="Аппарат",C152&lt;&gt;"",OR($S$5="(все)",B152=$S$5)),MAX($Y$3:Y151)+1,"")</f>
        <v/>
      </c>
      <c r="Z152" s="38" t="str">
        <f t="shared" si="22"/>
        <v/>
      </c>
      <c r="AA152" s="38" t="str">
        <f>IF(AND(A152="Модуль",C152&lt;&gt;"",OR($S$6="(все)",B152=$S$6)),MAX($AA$3:AA151)+1,"")</f>
        <v/>
      </c>
      <c r="AB152" s="38" t="str">
        <f t="shared" si="23"/>
        <v/>
      </c>
      <c r="AC152" s="38" t="str">
        <f>IF(OR(B152="",COUNTIF($B$4:B152,B152)&gt;1),"",MAX($AC$3:AC151)+1)</f>
        <v/>
      </c>
      <c r="AD152" s="38" t="str">
        <f t="shared" si="24"/>
        <v/>
      </c>
      <c r="AE152" s="38" t="str">
        <f t="shared" si="25"/>
        <v/>
      </c>
      <c r="AF152" s="38" t="str">
        <f t="shared" si="26"/>
        <v/>
      </c>
    </row>
    <row r="153" spans="1:32" x14ac:dyDescent="0.3">
      <c r="A153" s="74"/>
      <c r="B153" s="74"/>
      <c r="C153" s="74"/>
      <c r="D153" s="74"/>
      <c r="E153" s="74"/>
      <c r="F153" s="74"/>
      <c r="G153" s="74"/>
      <c r="H153" s="74"/>
      <c r="I153" s="74"/>
      <c r="J153" s="74"/>
      <c r="K153" s="74"/>
      <c r="L153" s="74"/>
      <c r="M153" s="74"/>
      <c r="N153" s="38" t="str">
        <f>IF(OR(A153="Автомат",A153="Дифавтомат"),IF(W153="","",COUNTIFS(Однолинейка!$H$3:$H$3000,U153,Однолинейка!$A$3:$A$3000,Щит_спец)),IF(A153="Аппарат",IF(C153="","",COUNTIFS(Однолинейка!$I$3:$I$3000,C153,Однолинейка!$A$3:$A$3000,Щит_спец)+COUNTIFS(Однолинейка!$J$3:$J$3000,C153,Однолинейка!$A$3:$A$3000,Щит_спец)+COUNTIFS(Однолинейка!$K$3:$K$3000,C153,Однолинейка!$A$3:$A$3000,Щит_спец)),IF(A153="Модуль",IF(C153="","",COUNTIFS(Однолинейка!$AW$3:$AW$3000,"?*",Однолинейка!$AI$3:$AI$3000,C153,Однолинейка!$A$3:$A$3000,Щит_спец)),IF(A153="Клемма",IF(C153="","",IF(C153=$S$7,SUMIFS(Однолинейка!$BW$3:$BW$3000,Однолинейка!$A$3:$A$3000,Щит_спец),IF(C153=$S$8,SUMIFS(Однолинейка!$BX$3:$BX$3000,Однолинейка!$A$3:$A$3000,Щит_спец),""))),""))))</f>
        <v/>
      </c>
      <c r="O153" s="74"/>
      <c r="P153" s="38" t="str">
        <f t="shared" si="18"/>
        <v/>
      </c>
      <c r="U153" s="38" t="str">
        <f t="shared" si="19"/>
        <v/>
      </c>
      <c r="V153" s="38" t="str">
        <f t="shared" si="20"/>
        <v/>
      </c>
      <c r="W153" s="38" t="str">
        <f>IF(AND(U153&lt;&gt;"",OR($S$4="(все)",B153=$S$4),IF($S$4="(все)",COUNTIF($U$4:U153,U153),COUNTIFS($U$4:U153,U153,$B$4:B153,B153))=1),MAX($W$3:W152)+1,"")</f>
        <v/>
      </c>
      <c r="X153" s="38" t="str">
        <f t="shared" si="21"/>
        <v/>
      </c>
      <c r="Y153" s="38" t="str">
        <f>IF(AND(A153="Аппарат",C153&lt;&gt;"",OR($S$5="(все)",B153=$S$5)),MAX($Y$3:Y152)+1,"")</f>
        <v/>
      </c>
      <c r="Z153" s="38" t="str">
        <f t="shared" si="22"/>
        <v/>
      </c>
      <c r="AA153" s="38" t="str">
        <f>IF(AND(A153="Модуль",C153&lt;&gt;"",OR($S$6="(все)",B153=$S$6)),MAX($AA$3:AA152)+1,"")</f>
        <v/>
      </c>
      <c r="AB153" s="38" t="str">
        <f t="shared" si="23"/>
        <v/>
      </c>
      <c r="AC153" s="38" t="str">
        <f>IF(OR(B153="",COUNTIF($B$4:B153,B153)&gt;1),"",MAX($AC$3:AC152)+1)</f>
        <v/>
      </c>
      <c r="AD153" s="38" t="str">
        <f t="shared" si="24"/>
        <v/>
      </c>
      <c r="AE153" s="38" t="str">
        <f t="shared" si="25"/>
        <v/>
      </c>
      <c r="AF153" s="38" t="str">
        <f t="shared" si="26"/>
        <v/>
      </c>
    </row>
    <row r="154" spans="1:32" x14ac:dyDescent="0.3">
      <c r="A154" s="74"/>
      <c r="B154" s="74"/>
      <c r="C154" s="74"/>
      <c r="D154" s="74"/>
      <c r="E154" s="74"/>
      <c r="F154" s="74"/>
      <c r="G154" s="74"/>
      <c r="H154" s="74"/>
      <c r="I154" s="74"/>
      <c r="J154" s="74"/>
      <c r="K154" s="74"/>
      <c r="L154" s="74"/>
      <c r="M154" s="74"/>
      <c r="N154" s="38" t="str">
        <f>IF(OR(A154="Автомат",A154="Дифавтомат"),IF(W154="","",COUNTIFS(Однолинейка!$H$3:$H$3000,U154,Однолинейка!$A$3:$A$3000,Щит_спец)),IF(A154="Аппарат",IF(C154="","",COUNTIFS(Однолинейка!$I$3:$I$3000,C154,Однолинейка!$A$3:$A$3000,Щит_спец)+COUNTIFS(Однолинейка!$J$3:$J$3000,C154,Однолинейка!$A$3:$A$3000,Щит_спец)+COUNTIFS(Однолинейка!$K$3:$K$3000,C154,Однолинейка!$A$3:$A$3000,Щит_спец)),IF(A154="Модуль",IF(C154="","",COUNTIFS(Однолинейка!$AW$3:$AW$3000,"?*",Однолинейка!$AI$3:$AI$3000,C154,Однолинейка!$A$3:$A$3000,Щит_спец)),IF(A154="Клемма",IF(C154="","",IF(C154=$S$7,SUMIFS(Однолинейка!$BW$3:$BW$3000,Однолинейка!$A$3:$A$3000,Щит_спец),IF(C154=$S$8,SUMIFS(Однолинейка!$BX$3:$BX$3000,Однолинейка!$A$3:$A$3000,Щит_спец),""))),""))))</f>
        <v/>
      </c>
      <c r="O154" s="74"/>
      <c r="P154" s="38" t="str">
        <f t="shared" si="18"/>
        <v/>
      </c>
      <c r="U154" s="38" t="str">
        <f t="shared" si="19"/>
        <v/>
      </c>
      <c r="V154" s="38" t="str">
        <f t="shared" si="20"/>
        <v/>
      </c>
      <c r="W154" s="38" t="str">
        <f>IF(AND(U154&lt;&gt;"",OR($S$4="(все)",B154=$S$4),IF($S$4="(все)",COUNTIF($U$4:U154,U154),COUNTIFS($U$4:U154,U154,$B$4:B154,B154))=1),MAX($W$3:W153)+1,"")</f>
        <v/>
      </c>
      <c r="X154" s="38" t="str">
        <f t="shared" si="21"/>
        <v/>
      </c>
      <c r="Y154" s="38" t="str">
        <f>IF(AND(A154="Аппарат",C154&lt;&gt;"",OR($S$5="(все)",B154=$S$5)),MAX($Y$3:Y153)+1,"")</f>
        <v/>
      </c>
      <c r="Z154" s="38" t="str">
        <f t="shared" si="22"/>
        <v/>
      </c>
      <c r="AA154" s="38" t="str">
        <f>IF(AND(A154="Модуль",C154&lt;&gt;"",OR($S$6="(все)",B154=$S$6)),MAX($AA$3:AA153)+1,"")</f>
        <v/>
      </c>
      <c r="AB154" s="38" t="str">
        <f t="shared" si="23"/>
        <v/>
      </c>
      <c r="AC154" s="38" t="str">
        <f>IF(OR(B154="",COUNTIF($B$4:B154,B154)&gt;1),"",MAX($AC$3:AC153)+1)</f>
        <v/>
      </c>
      <c r="AD154" s="38" t="str">
        <f t="shared" si="24"/>
        <v/>
      </c>
      <c r="AE154" s="38" t="str">
        <f t="shared" si="25"/>
        <v/>
      </c>
      <c r="AF154" s="38" t="str">
        <f t="shared" si="26"/>
        <v/>
      </c>
    </row>
    <row r="155" spans="1:32" x14ac:dyDescent="0.3">
      <c r="A155" s="74"/>
      <c r="B155" s="74"/>
      <c r="C155" s="74"/>
      <c r="D155" s="74"/>
      <c r="E155" s="74"/>
      <c r="F155" s="74"/>
      <c r="G155" s="74"/>
      <c r="H155" s="74"/>
      <c r="I155" s="74"/>
      <c r="J155" s="74"/>
      <c r="K155" s="74"/>
      <c r="L155" s="74"/>
      <c r="M155" s="74"/>
      <c r="N155" s="38" t="str">
        <f>IF(OR(A155="Автомат",A155="Дифавтомат"),IF(W155="","",COUNTIFS(Однолинейка!$H$3:$H$3000,U155,Однолинейка!$A$3:$A$3000,Щит_спец)),IF(A155="Аппарат",IF(C155="","",COUNTIFS(Однолинейка!$I$3:$I$3000,C155,Однолинейка!$A$3:$A$3000,Щит_спец)+COUNTIFS(Однолинейка!$J$3:$J$3000,C155,Однолинейка!$A$3:$A$3000,Щит_спец)+COUNTIFS(Однолинейка!$K$3:$K$3000,C155,Однолинейка!$A$3:$A$3000,Щит_спец)),IF(A155="Модуль",IF(C155="","",COUNTIFS(Однолинейка!$AW$3:$AW$3000,"?*",Однолинейка!$AI$3:$AI$3000,C155,Однолинейка!$A$3:$A$3000,Щит_спец)),IF(A155="Клемма",IF(C155="","",IF(C155=$S$7,SUMIFS(Однолинейка!$BW$3:$BW$3000,Однолинейка!$A$3:$A$3000,Щит_спец),IF(C155=$S$8,SUMIFS(Однолинейка!$BX$3:$BX$3000,Однолинейка!$A$3:$A$3000,Щит_спец),""))),""))))</f>
        <v/>
      </c>
      <c r="O155" s="74"/>
      <c r="P155" s="38" t="str">
        <f t="shared" si="18"/>
        <v/>
      </c>
      <c r="U155" s="38" t="str">
        <f t="shared" si="19"/>
        <v/>
      </c>
      <c r="V155" s="38" t="str">
        <f t="shared" si="20"/>
        <v/>
      </c>
      <c r="W155" s="38" t="str">
        <f>IF(AND(U155&lt;&gt;"",OR($S$4="(все)",B155=$S$4),IF($S$4="(все)",COUNTIF($U$4:U155,U155),COUNTIFS($U$4:U155,U155,$B$4:B155,B155))=1),MAX($W$3:W154)+1,"")</f>
        <v/>
      </c>
      <c r="X155" s="38" t="str">
        <f t="shared" si="21"/>
        <v/>
      </c>
      <c r="Y155" s="38" t="str">
        <f>IF(AND(A155="Аппарат",C155&lt;&gt;"",OR($S$5="(все)",B155=$S$5)),MAX($Y$3:Y154)+1,"")</f>
        <v/>
      </c>
      <c r="Z155" s="38" t="str">
        <f t="shared" si="22"/>
        <v/>
      </c>
      <c r="AA155" s="38" t="str">
        <f>IF(AND(A155="Модуль",C155&lt;&gt;"",OR($S$6="(все)",B155=$S$6)),MAX($AA$3:AA154)+1,"")</f>
        <v/>
      </c>
      <c r="AB155" s="38" t="str">
        <f t="shared" si="23"/>
        <v/>
      </c>
      <c r="AC155" s="38" t="str">
        <f>IF(OR(B155="",COUNTIF($B$4:B155,B155)&gt;1),"",MAX($AC$3:AC154)+1)</f>
        <v/>
      </c>
      <c r="AD155" s="38" t="str">
        <f t="shared" si="24"/>
        <v/>
      </c>
      <c r="AE155" s="38" t="str">
        <f t="shared" si="25"/>
        <v/>
      </c>
      <c r="AF155" s="38" t="str">
        <f t="shared" si="26"/>
        <v/>
      </c>
    </row>
    <row r="156" spans="1:32" x14ac:dyDescent="0.3">
      <c r="A156" s="74"/>
      <c r="B156" s="74"/>
      <c r="C156" s="74"/>
      <c r="D156" s="74"/>
      <c r="E156" s="74"/>
      <c r="F156" s="74"/>
      <c r="G156" s="74"/>
      <c r="H156" s="74"/>
      <c r="I156" s="74"/>
      <c r="J156" s="74"/>
      <c r="K156" s="74"/>
      <c r="L156" s="74"/>
      <c r="M156" s="74"/>
      <c r="N156" s="38" t="str">
        <f>IF(OR(A156="Автомат",A156="Дифавтомат"),IF(W156="","",COUNTIFS(Однолинейка!$H$3:$H$3000,U156,Однолинейка!$A$3:$A$3000,Щит_спец)),IF(A156="Аппарат",IF(C156="","",COUNTIFS(Однолинейка!$I$3:$I$3000,C156,Однолинейка!$A$3:$A$3000,Щит_спец)+COUNTIFS(Однолинейка!$J$3:$J$3000,C156,Однолинейка!$A$3:$A$3000,Щит_спец)+COUNTIFS(Однолинейка!$K$3:$K$3000,C156,Однолинейка!$A$3:$A$3000,Щит_спец)),IF(A156="Модуль",IF(C156="","",COUNTIFS(Однолинейка!$AW$3:$AW$3000,"?*",Однолинейка!$AI$3:$AI$3000,C156,Однолинейка!$A$3:$A$3000,Щит_спец)),IF(A156="Клемма",IF(C156="","",IF(C156=$S$7,SUMIFS(Однолинейка!$BW$3:$BW$3000,Однолинейка!$A$3:$A$3000,Щит_спец),IF(C156=$S$8,SUMIFS(Однолинейка!$BX$3:$BX$3000,Однолинейка!$A$3:$A$3000,Щит_спец),""))),""))))</f>
        <v/>
      </c>
      <c r="O156" s="74"/>
      <c r="P156" s="38" t="str">
        <f t="shared" si="18"/>
        <v/>
      </c>
      <c r="U156" s="38" t="str">
        <f t="shared" si="19"/>
        <v/>
      </c>
      <c r="V156" s="38" t="str">
        <f t="shared" si="20"/>
        <v/>
      </c>
      <c r="W156" s="38" t="str">
        <f>IF(AND(U156&lt;&gt;"",OR($S$4="(все)",B156=$S$4),IF($S$4="(все)",COUNTIF($U$4:U156,U156),COUNTIFS($U$4:U156,U156,$B$4:B156,B156))=1),MAX($W$3:W155)+1,"")</f>
        <v/>
      </c>
      <c r="X156" s="38" t="str">
        <f t="shared" si="21"/>
        <v/>
      </c>
      <c r="Y156" s="38" t="str">
        <f>IF(AND(A156="Аппарат",C156&lt;&gt;"",OR($S$5="(все)",B156=$S$5)),MAX($Y$3:Y155)+1,"")</f>
        <v/>
      </c>
      <c r="Z156" s="38" t="str">
        <f t="shared" si="22"/>
        <v/>
      </c>
      <c r="AA156" s="38" t="str">
        <f>IF(AND(A156="Модуль",C156&lt;&gt;"",OR($S$6="(все)",B156=$S$6)),MAX($AA$3:AA155)+1,"")</f>
        <v/>
      </c>
      <c r="AB156" s="38" t="str">
        <f t="shared" si="23"/>
        <v/>
      </c>
      <c r="AC156" s="38" t="str">
        <f>IF(OR(B156="",COUNTIF($B$4:B156,B156)&gt;1),"",MAX($AC$3:AC155)+1)</f>
        <v/>
      </c>
      <c r="AD156" s="38" t="str">
        <f t="shared" si="24"/>
        <v/>
      </c>
      <c r="AE156" s="38" t="str">
        <f t="shared" si="25"/>
        <v/>
      </c>
      <c r="AF156" s="38" t="str">
        <f t="shared" si="26"/>
        <v/>
      </c>
    </row>
    <row r="157" spans="1:32" x14ac:dyDescent="0.3">
      <c r="A157" s="74"/>
      <c r="B157" s="74"/>
      <c r="C157" s="74"/>
      <c r="D157" s="74"/>
      <c r="E157" s="74"/>
      <c r="F157" s="74"/>
      <c r="G157" s="74"/>
      <c r="H157" s="74"/>
      <c r="I157" s="74"/>
      <c r="J157" s="74"/>
      <c r="K157" s="74"/>
      <c r="L157" s="74"/>
      <c r="M157" s="74"/>
      <c r="N157" s="38" t="str">
        <f>IF(OR(A157="Автомат",A157="Дифавтомат"),IF(W157="","",COUNTIFS(Однолинейка!$H$3:$H$3000,U157,Однолинейка!$A$3:$A$3000,Щит_спец)),IF(A157="Аппарат",IF(C157="","",COUNTIFS(Однолинейка!$I$3:$I$3000,C157,Однолинейка!$A$3:$A$3000,Щит_спец)+COUNTIFS(Однолинейка!$J$3:$J$3000,C157,Однолинейка!$A$3:$A$3000,Щит_спец)+COUNTIFS(Однолинейка!$K$3:$K$3000,C157,Однолинейка!$A$3:$A$3000,Щит_спец)),IF(A157="Модуль",IF(C157="","",COUNTIFS(Однолинейка!$AW$3:$AW$3000,"?*",Однолинейка!$AI$3:$AI$3000,C157,Однолинейка!$A$3:$A$3000,Щит_спец)),IF(A157="Клемма",IF(C157="","",IF(C157=$S$7,SUMIFS(Однолинейка!$BW$3:$BW$3000,Однолинейка!$A$3:$A$3000,Щит_спец),IF(C157=$S$8,SUMIFS(Однолинейка!$BX$3:$BX$3000,Однолинейка!$A$3:$A$3000,Щит_спец),""))),""))))</f>
        <v/>
      </c>
      <c r="O157" s="74"/>
      <c r="P157" s="38" t="str">
        <f t="shared" si="18"/>
        <v/>
      </c>
      <c r="U157" s="38" t="str">
        <f t="shared" si="19"/>
        <v/>
      </c>
      <c r="V157" s="38" t="str">
        <f t="shared" si="20"/>
        <v/>
      </c>
      <c r="W157" s="38" t="str">
        <f>IF(AND(U157&lt;&gt;"",OR($S$4="(все)",B157=$S$4),IF($S$4="(все)",COUNTIF($U$4:U157,U157),COUNTIFS($U$4:U157,U157,$B$4:B157,B157))=1),MAX($W$3:W156)+1,"")</f>
        <v/>
      </c>
      <c r="X157" s="38" t="str">
        <f t="shared" si="21"/>
        <v/>
      </c>
      <c r="Y157" s="38" t="str">
        <f>IF(AND(A157="Аппарат",C157&lt;&gt;"",OR($S$5="(все)",B157=$S$5)),MAX($Y$3:Y156)+1,"")</f>
        <v/>
      </c>
      <c r="Z157" s="38" t="str">
        <f t="shared" si="22"/>
        <v/>
      </c>
      <c r="AA157" s="38" t="str">
        <f>IF(AND(A157="Модуль",C157&lt;&gt;"",OR($S$6="(все)",B157=$S$6)),MAX($AA$3:AA156)+1,"")</f>
        <v/>
      </c>
      <c r="AB157" s="38" t="str">
        <f t="shared" si="23"/>
        <v/>
      </c>
      <c r="AC157" s="38" t="str">
        <f>IF(OR(B157="",COUNTIF($B$4:B157,B157)&gt;1),"",MAX($AC$3:AC156)+1)</f>
        <v/>
      </c>
      <c r="AD157" s="38" t="str">
        <f t="shared" si="24"/>
        <v/>
      </c>
      <c r="AE157" s="38" t="str">
        <f t="shared" si="25"/>
        <v/>
      </c>
      <c r="AF157" s="38" t="str">
        <f t="shared" si="26"/>
        <v/>
      </c>
    </row>
    <row r="158" spans="1:32" x14ac:dyDescent="0.3">
      <c r="A158" s="74"/>
      <c r="B158" s="74"/>
      <c r="C158" s="74"/>
      <c r="D158" s="74"/>
      <c r="E158" s="74"/>
      <c r="F158" s="74"/>
      <c r="G158" s="74"/>
      <c r="H158" s="74"/>
      <c r="I158" s="74"/>
      <c r="J158" s="74"/>
      <c r="K158" s="74"/>
      <c r="L158" s="74"/>
      <c r="M158" s="74"/>
      <c r="N158" s="38" t="str">
        <f>IF(OR(A158="Автомат",A158="Дифавтомат"),IF(W158="","",COUNTIFS(Однолинейка!$H$3:$H$3000,U158,Однолинейка!$A$3:$A$3000,Щит_спец)),IF(A158="Аппарат",IF(C158="","",COUNTIFS(Однолинейка!$I$3:$I$3000,C158,Однолинейка!$A$3:$A$3000,Щит_спец)+COUNTIFS(Однолинейка!$J$3:$J$3000,C158,Однолинейка!$A$3:$A$3000,Щит_спец)+COUNTIFS(Однолинейка!$K$3:$K$3000,C158,Однолинейка!$A$3:$A$3000,Щит_спец)),IF(A158="Модуль",IF(C158="","",COUNTIFS(Однолинейка!$AW$3:$AW$3000,"?*",Однолинейка!$AI$3:$AI$3000,C158,Однолинейка!$A$3:$A$3000,Щит_спец)),IF(A158="Клемма",IF(C158="","",IF(C158=$S$7,SUMIFS(Однолинейка!$BW$3:$BW$3000,Однолинейка!$A$3:$A$3000,Щит_спец),IF(C158=$S$8,SUMIFS(Однолинейка!$BX$3:$BX$3000,Однолинейка!$A$3:$A$3000,Щит_спец),""))),""))))</f>
        <v/>
      </c>
      <c r="O158" s="74"/>
      <c r="P158" s="38" t="str">
        <f t="shared" si="18"/>
        <v/>
      </c>
      <c r="U158" s="38" t="str">
        <f t="shared" si="19"/>
        <v/>
      </c>
      <c r="V158" s="38" t="str">
        <f t="shared" si="20"/>
        <v/>
      </c>
      <c r="W158" s="38" t="str">
        <f>IF(AND(U158&lt;&gt;"",OR($S$4="(все)",B158=$S$4),IF($S$4="(все)",COUNTIF($U$4:U158,U158),COUNTIFS($U$4:U158,U158,$B$4:B158,B158))=1),MAX($W$3:W157)+1,"")</f>
        <v/>
      </c>
      <c r="X158" s="38" t="str">
        <f t="shared" si="21"/>
        <v/>
      </c>
      <c r="Y158" s="38" t="str">
        <f>IF(AND(A158="Аппарат",C158&lt;&gt;"",OR($S$5="(все)",B158=$S$5)),MAX($Y$3:Y157)+1,"")</f>
        <v/>
      </c>
      <c r="Z158" s="38" t="str">
        <f t="shared" si="22"/>
        <v/>
      </c>
      <c r="AA158" s="38" t="str">
        <f>IF(AND(A158="Модуль",C158&lt;&gt;"",OR($S$6="(все)",B158=$S$6)),MAX($AA$3:AA157)+1,"")</f>
        <v/>
      </c>
      <c r="AB158" s="38" t="str">
        <f t="shared" si="23"/>
        <v/>
      </c>
      <c r="AC158" s="38" t="str">
        <f>IF(OR(B158="",COUNTIF($B$4:B158,B158)&gt;1),"",MAX($AC$3:AC157)+1)</f>
        <v/>
      </c>
      <c r="AD158" s="38" t="str">
        <f t="shared" si="24"/>
        <v/>
      </c>
      <c r="AE158" s="38" t="str">
        <f t="shared" si="25"/>
        <v/>
      </c>
      <c r="AF158" s="38" t="str">
        <f t="shared" si="26"/>
        <v/>
      </c>
    </row>
    <row r="159" spans="1:32" x14ac:dyDescent="0.3">
      <c r="A159" s="74"/>
      <c r="B159" s="74"/>
      <c r="C159" s="74"/>
      <c r="D159" s="74"/>
      <c r="E159" s="74"/>
      <c r="F159" s="74"/>
      <c r="G159" s="74"/>
      <c r="H159" s="74"/>
      <c r="I159" s="74"/>
      <c r="J159" s="74"/>
      <c r="K159" s="74"/>
      <c r="L159" s="74"/>
      <c r="M159" s="74"/>
      <c r="N159" s="38" t="str">
        <f>IF(OR(A159="Автомат",A159="Дифавтомат"),IF(W159="","",COUNTIFS(Однолинейка!$H$3:$H$3000,U159,Однолинейка!$A$3:$A$3000,Щит_спец)),IF(A159="Аппарат",IF(C159="","",COUNTIFS(Однолинейка!$I$3:$I$3000,C159,Однолинейка!$A$3:$A$3000,Щит_спец)+COUNTIFS(Однолинейка!$J$3:$J$3000,C159,Однолинейка!$A$3:$A$3000,Щит_спец)+COUNTIFS(Однолинейка!$K$3:$K$3000,C159,Однолинейка!$A$3:$A$3000,Щит_спец)),IF(A159="Модуль",IF(C159="","",COUNTIFS(Однолинейка!$AW$3:$AW$3000,"?*",Однолинейка!$AI$3:$AI$3000,C159,Однолинейка!$A$3:$A$3000,Щит_спец)),IF(A159="Клемма",IF(C159="","",IF(C159=$S$7,SUMIFS(Однолинейка!$BW$3:$BW$3000,Однолинейка!$A$3:$A$3000,Щит_спец),IF(C159=$S$8,SUMIFS(Однолинейка!$BX$3:$BX$3000,Однолинейка!$A$3:$A$3000,Щит_спец),""))),""))))</f>
        <v/>
      </c>
      <c r="O159" s="74"/>
      <c r="P159" s="38" t="str">
        <f t="shared" si="18"/>
        <v/>
      </c>
      <c r="U159" s="38" t="str">
        <f t="shared" si="19"/>
        <v/>
      </c>
      <c r="V159" s="38" t="str">
        <f t="shared" si="20"/>
        <v/>
      </c>
      <c r="W159" s="38" t="str">
        <f>IF(AND(U159&lt;&gt;"",OR($S$4="(все)",B159=$S$4),IF($S$4="(все)",COUNTIF($U$4:U159,U159),COUNTIFS($U$4:U159,U159,$B$4:B159,B159))=1),MAX($W$3:W158)+1,"")</f>
        <v/>
      </c>
      <c r="X159" s="38" t="str">
        <f t="shared" si="21"/>
        <v/>
      </c>
      <c r="Y159" s="38" t="str">
        <f>IF(AND(A159="Аппарат",C159&lt;&gt;"",OR($S$5="(все)",B159=$S$5)),MAX($Y$3:Y158)+1,"")</f>
        <v/>
      </c>
      <c r="Z159" s="38" t="str">
        <f t="shared" si="22"/>
        <v/>
      </c>
      <c r="AA159" s="38" t="str">
        <f>IF(AND(A159="Модуль",C159&lt;&gt;"",OR($S$6="(все)",B159=$S$6)),MAX($AA$3:AA158)+1,"")</f>
        <v/>
      </c>
      <c r="AB159" s="38" t="str">
        <f t="shared" si="23"/>
        <v/>
      </c>
      <c r="AC159" s="38" t="str">
        <f>IF(OR(B159="",COUNTIF($B$4:B159,B159)&gt;1),"",MAX($AC$3:AC158)+1)</f>
        <v/>
      </c>
      <c r="AD159" s="38" t="str">
        <f t="shared" si="24"/>
        <v/>
      </c>
      <c r="AE159" s="38" t="str">
        <f t="shared" si="25"/>
        <v/>
      </c>
      <c r="AF159" s="38" t="str">
        <f t="shared" si="26"/>
        <v/>
      </c>
    </row>
    <row r="160" spans="1:32" x14ac:dyDescent="0.3">
      <c r="A160" s="74"/>
      <c r="B160" s="74"/>
      <c r="C160" s="74"/>
      <c r="D160" s="74"/>
      <c r="E160" s="74"/>
      <c r="F160" s="74"/>
      <c r="G160" s="74"/>
      <c r="H160" s="74"/>
      <c r="I160" s="74"/>
      <c r="J160" s="74"/>
      <c r="K160" s="74"/>
      <c r="L160" s="74"/>
      <c r="M160" s="74"/>
      <c r="N160" s="38" t="str">
        <f>IF(OR(A160="Автомат",A160="Дифавтомат"),IF(W160="","",COUNTIFS(Однолинейка!$H$3:$H$3000,U160,Однолинейка!$A$3:$A$3000,Щит_спец)),IF(A160="Аппарат",IF(C160="","",COUNTIFS(Однолинейка!$I$3:$I$3000,C160,Однолинейка!$A$3:$A$3000,Щит_спец)+COUNTIFS(Однолинейка!$J$3:$J$3000,C160,Однолинейка!$A$3:$A$3000,Щит_спец)+COUNTIFS(Однолинейка!$K$3:$K$3000,C160,Однолинейка!$A$3:$A$3000,Щит_спец)),IF(A160="Модуль",IF(C160="","",COUNTIFS(Однолинейка!$AW$3:$AW$3000,"?*",Однолинейка!$AI$3:$AI$3000,C160,Однолинейка!$A$3:$A$3000,Щит_спец)),IF(A160="Клемма",IF(C160="","",IF(C160=$S$7,SUMIFS(Однолинейка!$BW$3:$BW$3000,Однолинейка!$A$3:$A$3000,Щит_спец),IF(C160=$S$8,SUMIFS(Однолинейка!$BX$3:$BX$3000,Однолинейка!$A$3:$A$3000,Щит_спец),""))),""))))</f>
        <v/>
      </c>
      <c r="O160" s="74"/>
      <c r="P160" s="38" t="str">
        <f t="shared" si="18"/>
        <v/>
      </c>
      <c r="U160" s="38" t="str">
        <f t="shared" si="19"/>
        <v/>
      </c>
      <c r="V160" s="38" t="str">
        <f t="shared" si="20"/>
        <v/>
      </c>
      <c r="W160" s="38" t="str">
        <f>IF(AND(U160&lt;&gt;"",OR($S$4="(все)",B160=$S$4),IF($S$4="(все)",COUNTIF($U$4:U160,U160),COUNTIFS($U$4:U160,U160,$B$4:B160,B160))=1),MAX($W$3:W159)+1,"")</f>
        <v/>
      </c>
      <c r="X160" s="38" t="str">
        <f t="shared" si="21"/>
        <v/>
      </c>
      <c r="Y160" s="38" t="str">
        <f>IF(AND(A160="Аппарат",C160&lt;&gt;"",OR($S$5="(все)",B160=$S$5)),MAX($Y$3:Y159)+1,"")</f>
        <v/>
      </c>
      <c r="Z160" s="38" t="str">
        <f t="shared" si="22"/>
        <v/>
      </c>
      <c r="AA160" s="38" t="str">
        <f>IF(AND(A160="Модуль",C160&lt;&gt;"",OR($S$6="(все)",B160=$S$6)),MAX($AA$3:AA159)+1,"")</f>
        <v/>
      </c>
      <c r="AB160" s="38" t="str">
        <f t="shared" si="23"/>
        <v/>
      </c>
      <c r="AC160" s="38" t="str">
        <f>IF(OR(B160="",COUNTIF($B$4:B160,B160)&gt;1),"",MAX($AC$3:AC159)+1)</f>
        <v/>
      </c>
      <c r="AD160" s="38" t="str">
        <f t="shared" si="24"/>
        <v/>
      </c>
      <c r="AE160" s="38" t="str">
        <f t="shared" si="25"/>
        <v/>
      </c>
      <c r="AF160" s="38" t="str">
        <f t="shared" si="26"/>
        <v/>
      </c>
    </row>
    <row r="161" spans="1:32" x14ac:dyDescent="0.3">
      <c r="A161" s="74"/>
      <c r="B161" s="74"/>
      <c r="C161" s="74"/>
      <c r="D161" s="74"/>
      <c r="E161" s="74"/>
      <c r="F161" s="74"/>
      <c r="G161" s="74"/>
      <c r="H161" s="74"/>
      <c r="I161" s="74"/>
      <c r="J161" s="74"/>
      <c r="K161" s="74"/>
      <c r="L161" s="74"/>
      <c r="M161" s="74"/>
      <c r="N161" s="38" t="str">
        <f>IF(OR(A161="Автомат",A161="Дифавтомат"),IF(W161="","",COUNTIFS(Однолинейка!$H$3:$H$3000,U161,Однолинейка!$A$3:$A$3000,Щит_спец)),IF(A161="Аппарат",IF(C161="","",COUNTIFS(Однолинейка!$I$3:$I$3000,C161,Однолинейка!$A$3:$A$3000,Щит_спец)+COUNTIFS(Однолинейка!$J$3:$J$3000,C161,Однолинейка!$A$3:$A$3000,Щит_спец)+COUNTIFS(Однолинейка!$K$3:$K$3000,C161,Однолинейка!$A$3:$A$3000,Щит_спец)),IF(A161="Модуль",IF(C161="","",COUNTIFS(Однолинейка!$AW$3:$AW$3000,"?*",Однолинейка!$AI$3:$AI$3000,C161,Однолинейка!$A$3:$A$3000,Щит_спец)),IF(A161="Клемма",IF(C161="","",IF(C161=$S$7,SUMIFS(Однолинейка!$BW$3:$BW$3000,Однолинейка!$A$3:$A$3000,Щит_спец),IF(C161=$S$8,SUMIFS(Однолинейка!$BX$3:$BX$3000,Однолинейка!$A$3:$A$3000,Щит_спец),""))),""))))</f>
        <v/>
      </c>
      <c r="O161" s="74"/>
      <c r="P161" s="38" t="str">
        <f t="shared" si="18"/>
        <v/>
      </c>
      <c r="U161" s="38" t="str">
        <f t="shared" si="19"/>
        <v/>
      </c>
      <c r="V161" s="38" t="str">
        <f t="shared" si="20"/>
        <v/>
      </c>
      <c r="W161" s="38" t="str">
        <f>IF(AND(U161&lt;&gt;"",OR($S$4="(все)",B161=$S$4),IF($S$4="(все)",COUNTIF($U$4:U161,U161),COUNTIFS($U$4:U161,U161,$B$4:B161,B161))=1),MAX($W$3:W160)+1,"")</f>
        <v/>
      </c>
      <c r="X161" s="38" t="str">
        <f t="shared" si="21"/>
        <v/>
      </c>
      <c r="Y161" s="38" t="str">
        <f>IF(AND(A161="Аппарат",C161&lt;&gt;"",OR($S$5="(все)",B161=$S$5)),MAX($Y$3:Y160)+1,"")</f>
        <v/>
      </c>
      <c r="Z161" s="38" t="str">
        <f t="shared" si="22"/>
        <v/>
      </c>
      <c r="AA161" s="38" t="str">
        <f>IF(AND(A161="Модуль",C161&lt;&gt;"",OR($S$6="(все)",B161=$S$6)),MAX($AA$3:AA160)+1,"")</f>
        <v/>
      </c>
      <c r="AB161" s="38" t="str">
        <f t="shared" si="23"/>
        <v/>
      </c>
      <c r="AC161" s="38" t="str">
        <f>IF(OR(B161="",COUNTIF($B$4:B161,B161)&gt;1),"",MAX($AC$3:AC160)+1)</f>
        <v/>
      </c>
      <c r="AD161" s="38" t="str">
        <f t="shared" si="24"/>
        <v/>
      </c>
      <c r="AE161" s="38" t="str">
        <f t="shared" si="25"/>
        <v/>
      </c>
      <c r="AF161" s="38" t="str">
        <f t="shared" si="26"/>
        <v/>
      </c>
    </row>
    <row r="162" spans="1:32" x14ac:dyDescent="0.3">
      <c r="A162" s="74"/>
      <c r="B162" s="74"/>
      <c r="C162" s="74"/>
      <c r="D162" s="74"/>
      <c r="E162" s="74"/>
      <c r="F162" s="74"/>
      <c r="G162" s="74"/>
      <c r="H162" s="74"/>
      <c r="I162" s="74"/>
      <c r="J162" s="74"/>
      <c r="K162" s="74"/>
      <c r="L162" s="74"/>
      <c r="M162" s="74"/>
      <c r="N162" s="38" t="str">
        <f>IF(OR(A162="Автомат",A162="Дифавтомат"),IF(W162="","",COUNTIFS(Однолинейка!$H$3:$H$3000,U162,Однолинейка!$A$3:$A$3000,Щит_спец)),IF(A162="Аппарат",IF(C162="","",COUNTIFS(Однолинейка!$I$3:$I$3000,C162,Однолинейка!$A$3:$A$3000,Щит_спец)+COUNTIFS(Однолинейка!$J$3:$J$3000,C162,Однолинейка!$A$3:$A$3000,Щит_спец)+COUNTIFS(Однолинейка!$K$3:$K$3000,C162,Однолинейка!$A$3:$A$3000,Щит_спец)),IF(A162="Модуль",IF(C162="","",COUNTIFS(Однолинейка!$AW$3:$AW$3000,"?*",Однолинейка!$AI$3:$AI$3000,C162,Однолинейка!$A$3:$A$3000,Щит_спец)),IF(A162="Клемма",IF(C162="","",IF(C162=$S$7,SUMIFS(Однолинейка!$BW$3:$BW$3000,Однолинейка!$A$3:$A$3000,Щит_спец),IF(C162=$S$8,SUMIFS(Однолинейка!$BX$3:$BX$3000,Однолинейка!$A$3:$A$3000,Щит_спец),""))),""))))</f>
        <v/>
      </c>
      <c r="O162" s="74"/>
      <c r="P162" s="38" t="str">
        <f t="shared" si="18"/>
        <v/>
      </c>
      <c r="U162" s="38" t="str">
        <f t="shared" si="19"/>
        <v/>
      </c>
      <c r="V162" s="38" t="str">
        <f t="shared" si="20"/>
        <v/>
      </c>
      <c r="W162" s="38" t="str">
        <f>IF(AND(U162&lt;&gt;"",OR($S$4="(все)",B162=$S$4),IF($S$4="(все)",COUNTIF($U$4:U162,U162),COUNTIFS($U$4:U162,U162,$B$4:B162,B162))=1),MAX($W$3:W161)+1,"")</f>
        <v/>
      </c>
      <c r="X162" s="38" t="str">
        <f t="shared" si="21"/>
        <v/>
      </c>
      <c r="Y162" s="38" t="str">
        <f>IF(AND(A162="Аппарат",C162&lt;&gt;"",OR($S$5="(все)",B162=$S$5)),MAX($Y$3:Y161)+1,"")</f>
        <v/>
      </c>
      <c r="Z162" s="38" t="str">
        <f t="shared" si="22"/>
        <v/>
      </c>
      <c r="AA162" s="38" t="str">
        <f>IF(AND(A162="Модуль",C162&lt;&gt;"",OR($S$6="(все)",B162=$S$6)),MAX($AA$3:AA161)+1,"")</f>
        <v/>
      </c>
      <c r="AB162" s="38" t="str">
        <f t="shared" si="23"/>
        <v/>
      </c>
      <c r="AC162" s="38" t="str">
        <f>IF(OR(B162="",COUNTIF($B$4:B162,B162)&gt;1),"",MAX($AC$3:AC161)+1)</f>
        <v/>
      </c>
      <c r="AD162" s="38" t="str">
        <f t="shared" si="24"/>
        <v/>
      </c>
      <c r="AE162" s="38" t="str">
        <f t="shared" si="25"/>
        <v/>
      </c>
      <c r="AF162" s="38" t="str">
        <f t="shared" si="26"/>
        <v/>
      </c>
    </row>
    <row r="163" spans="1:32" x14ac:dyDescent="0.3">
      <c r="A163" s="74"/>
      <c r="B163" s="74"/>
      <c r="C163" s="74"/>
      <c r="D163" s="74"/>
      <c r="E163" s="74"/>
      <c r="F163" s="74"/>
      <c r="G163" s="74"/>
      <c r="H163" s="74"/>
      <c r="I163" s="74"/>
      <c r="J163" s="74"/>
      <c r="K163" s="74"/>
      <c r="L163" s="74"/>
      <c r="M163" s="74"/>
      <c r="N163" s="38" t="str">
        <f>IF(OR(A163="Автомат",A163="Дифавтомат"),IF(W163="","",COUNTIFS(Однолинейка!$H$3:$H$3000,U163,Однолинейка!$A$3:$A$3000,Щит_спец)),IF(A163="Аппарат",IF(C163="","",COUNTIFS(Однолинейка!$I$3:$I$3000,C163,Однолинейка!$A$3:$A$3000,Щит_спец)+COUNTIFS(Однолинейка!$J$3:$J$3000,C163,Однолинейка!$A$3:$A$3000,Щит_спец)+COUNTIFS(Однолинейка!$K$3:$K$3000,C163,Однолинейка!$A$3:$A$3000,Щит_спец)),IF(A163="Модуль",IF(C163="","",COUNTIFS(Однолинейка!$AW$3:$AW$3000,"?*",Однолинейка!$AI$3:$AI$3000,C163,Однолинейка!$A$3:$A$3000,Щит_спец)),IF(A163="Клемма",IF(C163="","",IF(C163=$S$7,SUMIFS(Однолинейка!$BW$3:$BW$3000,Однолинейка!$A$3:$A$3000,Щит_спец),IF(C163=$S$8,SUMIFS(Однолинейка!$BX$3:$BX$3000,Однолинейка!$A$3:$A$3000,Щит_спец),""))),""))))</f>
        <v/>
      </c>
      <c r="O163" s="74"/>
      <c r="P163" s="38" t="str">
        <f t="shared" si="18"/>
        <v/>
      </c>
      <c r="U163" s="38" t="str">
        <f t="shared" si="19"/>
        <v/>
      </c>
      <c r="V163" s="38" t="str">
        <f t="shared" si="20"/>
        <v/>
      </c>
      <c r="W163" s="38" t="str">
        <f>IF(AND(U163&lt;&gt;"",OR($S$4="(все)",B163=$S$4),IF($S$4="(все)",COUNTIF($U$4:U163,U163),COUNTIFS($U$4:U163,U163,$B$4:B163,B163))=1),MAX($W$3:W162)+1,"")</f>
        <v/>
      </c>
      <c r="X163" s="38" t="str">
        <f t="shared" si="21"/>
        <v/>
      </c>
      <c r="Y163" s="38" t="str">
        <f>IF(AND(A163="Аппарат",C163&lt;&gt;"",OR($S$5="(все)",B163=$S$5)),MAX($Y$3:Y162)+1,"")</f>
        <v/>
      </c>
      <c r="Z163" s="38" t="str">
        <f t="shared" si="22"/>
        <v/>
      </c>
      <c r="AA163" s="38" t="str">
        <f>IF(AND(A163="Модуль",C163&lt;&gt;"",OR($S$6="(все)",B163=$S$6)),MAX($AA$3:AA162)+1,"")</f>
        <v/>
      </c>
      <c r="AB163" s="38" t="str">
        <f t="shared" si="23"/>
        <v/>
      </c>
      <c r="AC163" s="38" t="str">
        <f>IF(OR(B163="",COUNTIF($B$4:B163,B163)&gt;1),"",MAX($AC$3:AC162)+1)</f>
        <v/>
      </c>
      <c r="AD163" s="38" t="str">
        <f t="shared" si="24"/>
        <v/>
      </c>
      <c r="AE163" s="38" t="str">
        <f t="shared" si="25"/>
        <v/>
      </c>
      <c r="AF163" s="38" t="str">
        <f t="shared" si="26"/>
        <v/>
      </c>
    </row>
    <row r="164" spans="1:32" x14ac:dyDescent="0.3">
      <c r="A164" s="74"/>
      <c r="B164" s="74"/>
      <c r="C164" s="74"/>
      <c r="D164" s="74"/>
      <c r="E164" s="74"/>
      <c r="F164" s="74"/>
      <c r="G164" s="74"/>
      <c r="H164" s="74"/>
      <c r="I164" s="74"/>
      <c r="J164" s="74"/>
      <c r="K164" s="74"/>
      <c r="L164" s="74"/>
      <c r="M164" s="74"/>
      <c r="N164" s="38" t="str">
        <f>IF(OR(A164="Автомат",A164="Дифавтомат"),IF(W164="","",COUNTIFS(Однолинейка!$H$3:$H$3000,U164,Однолинейка!$A$3:$A$3000,Щит_спец)),IF(A164="Аппарат",IF(C164="","",COUNTIFS(Однолинейка!$I$3:$I$3000,C164,Однолинейка!$A$3:$A$3000,Щит_спец)+COUNTIFS(Однолинейка!$J$3:$J$3000,C164,Однолинейка!$A$3:$A$3000,Щит_спец)+COUNTIFS(Однолинейка!$K$3:$K$3000,C164,Однолинейка!$A$3:$A$3000,Щит_спец)),IF(A164="Модуль",IF(C164="","",COUNTIFS(Однолинейка!$AW$3:$AW$3000,"?*",Однолинейка!$AI$3:$AI$3000,C164,Однолинейка!$A$3:$A$3000,Щит_спец)),IF(A164="Клемма",IF(C164="","",IF(C164=$S$7,SUMIFS(Однолинейка!$BW$3:$BW$3000,Однолинейка!$A$3:$A$3000,Щит_спец),IF(C164=$S$8,SUMIFS(Однолинейка!$BX$3:$BX$3000,Однолинейка!$A$3:$A$3000,Щит_спец),""))),""))))</f>
        <v/>
      </c>
      <c r="O164" s="74"/>
      <c r="P164" s="38" t="str">
        <f t="shared" si="18"/>
        <v/>
      </c>
      <c r="U164" s="38" t="str">
        <f t="shared" si="19"/>
        <v/>
      </c>
      <c r="V164" s="38" t="str">
        <f t="shared" si="20"/>
        <v/>
      </c>
      <c r="W164" s="38" t="str">
        <f>IF(AND(U164&lt;&gt;"",OR($S$4="(все)",B164=$S$4),IF($S$4="(все)",COUNTIF($U$4:U164,U164),COUNTIFS($U$4:U164,U164,$B$4:B164,B164))=1),MAX($W$3:W163)+1,"")</f>
        <v/>
      </c>
      <c r="X164" s="38" t="str">
        <f t="shared" si="21"/>
        <v/>
      </c>
      <c r="Y164" s="38" t="str">
        <f>IF(AND(A164="Аппарат",C164&lt;&gt;"",OR($S$5="(все)",B164=$S$5)),MAX($Y$3:Y163)+1,"")</f>
        <v/>
      </c>
      <c r="Z164" s="38" t="str">
        <f t="shared" si="22"/>
        <v/>
      </c>
      <c r="AA164" s="38" t="str">
        <f>IF(AND(A164="Модуль",C164&lt;&gt;"",OR($S$6="(все)",B164=$S$6)),MAX($AA$3:AA163)+1,"")</f>
        <v/>
      </c>
      <c r="AB164" s="38" t="str">
        <f t="shared" si="23"/>
        <v/>
      </c>
      <c r="AC164" s="38" t="str">
        <f>IF(OR(B164="",COUNTIF($B$4:B164,B164)&gt;1),"",MAX($AC$3:AC163)+1)</f>
        <v/>
      </c>
      <c r="AD164" s="38" t="str">
        <f t="shared" si="24"/>
        <v/>
      </c>
      <c r="AE164" s="38" t="str">
        <f t="shared" si="25"/>
        <v/>
      </c>
      <c r="AF164" s="38" t="str">
        <f t="shared" si="26"/>
        <v/>
      </c>
    </row>
    <row r="165" spans="1:32" x14ac:dyDescent="0.3">
      <c r="A165" s="74"/>
      <c r="B165" s="74"/>
      <c r="C165" s="74"/>
      <c r="D165" s="74"/>
      <c r="E165" s="74"/>
      <c r="F165" s="74"/>
      <c r="G165" s="74"/>
      <c r="H165" s="74"/>
      <c r="I165" s="74"/>
      <c r="J165" s="74"/>
      <c r="K165" s="74"/>
      <c r="L165" s="74"/>
      <c r="M165" s="74"/>
      <c r="N165" s="38" t="str">
        <f>IF(OR(A165="Автомат",A165="Дифавтомат"),IF(W165="","",COUNTIFS(Однолинейка!$H$3:$H$3000,U165,Однолинейка!$A$3:$A$3000,Щит_спец)),IF(A165="Аппарат",IF(C165="","",COUNTIFS(Однолинейка!$I$3:$I$3000,C165,Однолинейка!$A$3:$A$3000,Щит_спец)+COUNTIFS(Однолинейка!$J$3:$J$3000,C165,Однолинейка!$A$3:$A$3000,Щит_спец)+COUNTIFS(Однолинейка!$K$3:$K$3000,C165,Однолинейка!$A$3:$A$3000,Щит_спец)),IF(A165="Модуль",IF(C165="","",COUNTIFS(Однолинейка!$AW$3:$AW$3000,"?*",Однолинейка!$AI$3:$AI$3000,C165,Однолинейка!$A$3:$A$3000,Щит_спец)),IF(A165="Клемма",IF(C165="","",IF(C165=$S$7,SUMIFS(Однолинейка!$BW$3:$BW$3000,Однолинейка!$A$3:$A$3000,Щит_спец),IF(C165=$S$8,SUMIFS(Однолинейка!$BX$3:$BX$3000,Однолинейка!$A$3:$A$3000,Щит_спец),""))),""))))</f>
        <v/>
      </c>
      <c r="O165" s="74"/>
      <c r="P165" s="38" t="str">
        <f t="shared" si="18"/>
        <v/>
      </c>
      <c r="U165" s="38" t="str">
        <f t="shared" si="19"/>
        <v/>
      </c>
      <c r="V165" s="38" t="str">
        <f t="shared" si="20"/>
        <v/>
      </c>
      <c r="W165" s="38" t="str">
        <f>IF(AND(U165&lt;&gt;"",OR($S$4="(все)",B165=$S$4),IF($S$4="(все)",COUNTIF($U$4:U165,U165),COUNTIFS($U$4:U165,U165,$B$4:B165,B165))=1),MAX($W$3:W164)+1,"")</f>
        <v/>
      </c>
      <c r="X165" s="38" t="str">
        <f t="shared" si="21"/>
        <v/>
      </c>
      <c r="Y165" s="38" t="str">
        <f>IF(AND(A165="Аппарат",C165&lt;&gt;"",OR($S$5="(все)",B165=$S$5)),MAX($Y$3:Y164)+1,"")</f>
        <v/>
      </c>
      <c r="Z165" s="38" t="str">
        <f t="shared" si="22"/>
        <v/>
      </c>
      <c r="AA165" s="38" t="str">
        <f>IF(AND(A165="Модуль",C165&lt;&gt;"",OR($S$6="(все)",B165=$S$6)),MAX($AA$3:AA164)+1,"")</f>
        <v/>
      </c>
      <c r="AB165" s="38" t="str">
        <f t="shared" si="23"/>
        <v/>
      </c>
      <c r="AC165" s="38" t="str">
        <f>IF(OR(B165="",COUNTIF($B$4:B165,B165)&gt;1),"",MAX($AC$3:AC164)+1)</f>
        <v/>
      </c>
      <c r="AD165" s="38" t="str">
        <f t="shared" si="24"/>
        <v/>
      </c>
      <c r="AE165" s="38" t="str">
        <f t="shared" si="25"/>
        <v/>
      </c>
      <c r="AF165" s="38" t="str">
        <f t="shared" si="26"/>
        <v/>
      </c>
    </row>
    <row r="166" spans="1:32" x14ac:dyDescent="0.3">
      <c r="A166" s="74"/>
      <c r="B166" s="74"/>
      <c r="C166" s="74"/>
      <c r="D166" s="74"/>
      <c r="E166" s="74"/>
      <c r="F166" s="74"/>
      <c r="G166" s="74"/>
      <c r="H166" s="74"/>
      <c r="I166" s="74"/>
      <c r="J166" s="74"/>
      <c r="K166" s="74"/>
      <c r="L166" s="74"/>
      <c r="M166" s="74"/>
      <c r="N166" s="38" t="str">
        <f>IF(OR(A166="Автомат",A166="Дифавтомат"),IF(W166="","",COUNTIFS(Однолинейка!$H$3:$H$3000,U166,Однолинейка!$A$3:$A$3000,Щит_спец)),IF(A166="Аппарат",IF(C166="","",COUNTIFS(Однолинейка!$I$3:$I$3000,C166,Однолинейка!$A$3:$A$3000,Щит_спец)+COUNTIFS(Однолинейка!$J$3:$J$3000,C166,Однолинейка!$A$3:$A$3000,Щит_спец)+COUNTIFS(Однолинейка!$K$3:$K$3000,C166,Однолинейка!$A$3:$A$3000,Щит_спец)),IF(A166="Модуль",IF(C166="","",COUNTIFS(Однолинейка!$AW$3:$AW$3000,"?*",Однолинейка!$AI$3:$AI$3000,C166,Однолинейка!$A$3:$A$3000,Щит_спец)),IF(A166="Клемма",IF(C166="","",IF(C166=$S$7,SUMIFS(Однолинейка!$BW$3:$BW$3000,Однолинейка!$A$3:$A$3000,Щит_спец),IF(C166=$S$8,SUMIFS(Однолинейка!$BX$3:$BX$3000,Однолинейка!$A$3:$A$3000,Щит_спец),""))),""))))</f>
        <v/>
      </c>
      <c r="O166" s="74"/>
      <c r="P166" s="38" t="str">
        <f t="shared" si="18"/>
        <v/>
      </c>
      <c r="U166" s="38" t="str">
        <f t="shared" si="19"/>
        <v/>
      </c>
      <c r="V166" s="38" t="str">
        <f t="shared" si="20"/>
        <v/>
      </c>
      <c r="W166" s="38" t="str">
        <f>IF(AND(U166&lt;&gt;"",OR($S$4="(все)",B166=$S$4),IF($S$4="(все)",COUNTIF($U$4:U166,U166),COUNTIFS($U$4:U166,U166,$B$4:B166,B166))=1),MAX($W$3:W165)+1,"")</f>
        <v/>
      </c>
      <c r="X166" s="38" t="str">
        <f t="shared" si="21"/>
        <v/>
      </c>
      <c r="Y166" s="38" t="str">
        <f>IF(AND(A166="Аппарат",C166&lt;&gt;"",OR($S$5="(все)",B166=$S$5)),MAX($Y$3:Y165)+1,"")</f>
        <v/>
      </c>
      <c r="Z166" s="38" t="str">
        <f t="shared" si="22"/>
        <v/>
      </c>
      <c r="AA166" s="38" t="str">
        <f>IF(AND(A166="Модуль",C166&lt;&gt;"",OR($S$6="(все)",B166=$S$6)),MAX($AA$3:AA165)+1,"")</f>
        <v/>
      </c>
      <c r="AB166" s="38" t="str">
        <f t="shared" si="23"/>
        <v/>
      </c>
      <c r="AC166" s="38" t="str">
        <f>IF(OR(B166="",COUNTIF($B$4:B166,B166)&gt;1),"",MAX($AC$3:AC165)+1)</f>
        <v/>
      </c>
      <c r="AD166" s="38" t="str">
        <f t="shared" si="24"/>
        <v/>
      </c>
      <c r="AE166" s="38" t="str">
        <f t="shared" si="25"/>
        <v/>
      </c>
      <c r="AF166" s="38" t="str">
        <f t="shared" si="26"/>
        <v/>
      </c>
    </row>
    <row r="167" spans="1:32" x14ac:dyDescent="0.3">
      <c r="A167" s="74"/>
      <c r="B167" s="74"/>
      <c r="C167" s="74"/>
      <c r="D167" s="74"/>
      <c r="E167" s="74"/>
      <c r="F167" s="74"/>
      <c r="G167" s="74"/>
      <c r="H167" s="74"/>
      <c r="I167" s="74"/>
      <c r="J167" s="74"/>
      <c r="K167" s="74"/>
      <c r="L167" s="74"/>
      <c r="M167" s="74"/>
      <c r="N167" s="38" t="str">
        <f>IF(OR(A167="Автомат",A167="Дифавтомат"),IF(W167="","",COUNTIFS(Однолинейка!$H$3:$H$3000,U167,Однолинейка!$A$3:$A$3000,Щит_спец)),IF(A167="Аппарат",IF(C167="","",COUNTIFS(Однолинейка!$I$3:$I$3000,C167,Однолинейка!$A$3:$A$3000,Щит_спец)+COUNTIFS(Однолинейка!$J$3:$J$3000,C167,Однолинейка!$A$3:$A$3000,Щит_спец)+COUNTIFS(Однолинейка!$K$3:$K$3000,C167,Однолинейка!$A$3:$A$3000,Щит_спец)),IF(A167="Модуль",IF(C167="","",COUNTIFS(Однолинейка!$AW$3:$AW$3000,"?*",Однолинейка!$AI$3:$AI$3000,C167,Однолинейка!$A$3:$A$3000,Щит_спец)),IF(A167="Клемма",IF(C167="","",IF(C167=$S$7,SUMIFS(Однолинейка!$BW$3:$BW$3000,Однолинейка!$A$3:$A$3000,Щит_спец),IF(C167=$S$8,SUMIFS(Однолинейка!$BX$3:$BX$3000,Однолинейка!$A$3:$A$3000,Щит_спец),""))),""))))</f>
        <v/>
      </c>
      <c r="O167" s="74"/>
      <c r="P167" s="38" t="str">
        <f t="shared" si="18"/>
        <v/>
      </c>
      <c r="U167" s="38" t="str">
        <f t="shared" si="19"/>
        <v/>
      </c>
      <c r="V167" s="38" t="str">
        <f t="shared" si="20"/>
        <v/>
      </c>
      <c r="W167" s="38" t="str">
        <f>IF(AND(U167&lt;&gt;"",OR($S$4="(все)",B167=$S$4),IF($S$4="(все)",COUNTIF($U$4:U167,U167),COUNTIFS($U$4:U167,U167,$B$4:B167,B167))=1),MAX($W$3:W166)+1,"")</f>
        <v/>
      </c>
      <c r="X167" s="38" t="str">
        <f t="shared" si="21"/>
        <v/>
      </c>
      <c r="Y167" s="38" t="str">
        <f>IF(AND(A167="Аппарат",C167&lt;&gt;"",OR($S$5="(все)",B167=$S$5)),MAX($Y$3:Y166)+1,"")</f>
        <v/>
      </c>
      <c r="Z167" s="38" t="str">
        <f t="shared" si="22"/>
        <v/>
      </c>
      <c r="AA167" s="38" t="str">
        <f>IF(AND(A167="Модуль",C167&lt;&gt;"",OR($S$6="(все)",B167=$S$6)),MAX($AA$3:AA166)+1,"")</f>
        <v/>
      </c>
      <c r="AB167" s="38" t="str">
        <f t="shared" si="23"/>
        <v/>
      </c>
      <c r="AC167" s="38" t="str">
        <f>IF(OR(B167="",COUNTIF($B$4:B167,B167)&gt;1),"",MAX($AC$3:AC166)+1)</f>
        <v/>
      </c>
      <c r="AD167" s="38" t="str">
        <f t="shared" si="24"/>
        <v/>
      </c>
      <c r="AE167" s="38" t="str">
        <f t="shared" si="25"/>
        <v/>
      </c>
      <c r="AF167" s="38" t="str">
        <f t="shared" si="26"/>
        <v/>
      </c>
    </row>
    <row r="168" spans="1:32" x14ac:dyDescent="0.3">
      <c r="A168" s="74"/>
      <c r="B168" s="74"/>
      <c r="C168" s="74"/>
      <c r="D168" s="74"/>
      <c r="E168" s="74"/>
      <c r="F168" s="74"/>
      <c r="G168" s="74"/>
      <c r="H168" s="74"/>
      <c r="I168" s="74"/>
      <c r="J168" s="74"/>
      <c r="K168" s="74"/>
      <c r="L168" s="74"/>
      <c r="M168" s="74"/>
      <c r="N168" s="38" t="str">
        <f>IF(OR(A168="Автомат",A168="Дифавтомат"),IF(W168="","",COUNTIFS(Однолинейка!$H$3:$H$3000,U168,Однолинейка!$A$3:$A$3000,Щит_спец)),IF(A168="Аппарат",IF(C168="","",COUNTIFS(Однолинейка!$I$3:$I$3000,C168,Однолинейка!$A$3:$A$3000,Щит_спец)+COUNTIFS(Однолинейка!$J$3:$J$3000,C168,Однолинейка!$A$3:$A$3000,Щит_спец)+COUNTIFS(Однолинейка!$K$3:$K$3000,C168,Однолинейка!$A$3:$A$3000,Щит_спец)),IF(A168="Модуль",IF(C168="","",COUNTIFS(Однолинейка!$AW$3:$AW$3000,"?*",Однолинейка!$AI$3:$AI$3000,C168,Однолинейка!$A$3:$A$3000,Щит_спец)),IF(A168="Клемма",IF(C168="","",IF(C168=$S$7,SUMIFS(Однолинейка!$BW$3:$BW$3000,Однолинейка!$A$3:$A$3000,Щит_спец),IF(C168=$S$8,SUMIFS(Однолинейка!$BX$3:$BX$3000,Однолинейка!$A$3:$A$3000,Щит_спец),""))),""))))</f>
        <v/>
      </c>
      <c r="O168" s="74"/>
      <c r="P168" s="38" t="str">
        <f t="shared" si="18"/>
        <v/>
      </c>
      <c r="U168" s="38" t="str">
        <f t="shared" si="19"/>
        <v/>
      </c>
      <c r="V168" s="38" t="str">
        <f t="shared" si="20"/>
        <v/>
      </c>
      <c r="W168" s="38" t="str">
        <f>IF(AND(U168&lt;&gt;"",OR($S$4="(все)",B168=$S$4),IF($S$4="(все)",COUNTIF($U$4:U168,U168),COUNTIFS($U$4:U168,U168,$B$4:B168,B168))=1),MAX($W$3:W167)+1,"")</f>
        <v/>
      </c>
      <c r="X168" s="38" t="str">
        <f t="shared" si="21"/>
        <v/>
      </c>
      <c r="Y168" s="38" t="str">
        <f>IF(AND(A168="Аппарат",C168&lt;&gt;"",OR($S$5="(все)",B168=$S$5)),MAX($Y$3:Y167)+1,"")</f>
        <v/>
      </c>
      <c r="Z168" s="38" t="str">
        <f t="shared" si="22"/>
        <v/>
      </c>
      <c r="AA168" s="38" t="str">
        <f>IF(AND(A168="Модуль",C168&lt;&gt;"",OR($S$6="(все)",B168=$S$6)),MAX($AA$3:AA167)+1,"")</f>
        <v/>
      </c>
      <c r="AB168" s="38" t="str">
        <f t="shared" si="23"/>
        <v/>
      </c>
      <c r="AC168" s="38" t="str">
        <f>IF(OR(B168="",COUNTIF($B$4:B168,B168)&gt;1),"",MAX($AC$3:AC167)+1)</f>
        <v/>
      </c>
      <c r="AD168" s="38" t="str">
        <f t="shared" si="24"/>
        <v/>
      </c>
      <c r="AE168" s="38" t="str">
        <f t="shared" si="25"/>
        <v/>
      </c>
      <c r="AF168" s="38" t="str">
        <f t="shared" si="26"/>
        <v/>
      </c>
    </row>
    <row r="169" spans="1:32" x14ac:dyDescent="0.3">
      <c r="A169" s="74"/>
      <c r="B169" s="74"/>
      <c r="C169" s="74"/>
      <c r="D169" s="74"/>
      <c r="E169" s="74"/>
      <c r="F169" s="74"/>
      <c r="G169" s="74"/>
      <c r="H169" s="74"/>
      <c r="I169" s="74"/>
      <c r="J169" s="74"/>
      <c r="K169" s="74"/>
      <c r="L169" s="74"/>
      <c r="M169" s="74"/>
      <c r="N169" s="38" t="str">
        <f>IF(OR(A169="Автомат",A169="Дифавтомат"),IF(W169="","",COUNTIFS(Однолинейка!$H$3:$H$3000,U169,Однолинейка!$A$3:$A$3000,Щит_спец)),IF(A169="Аппарат",IF(C169="","",COUNTIFS(Однолинейка!$I$3:$I$3000,C169,Однолинейка!$A$3:$A$3000,Щит_спец)+COUNTIFS(Однолинейка!$J$3:$J$3000,C169,Однолинейка!$A$3:$A$3000,Щит_спец)+COUNTIFS(Однолинейка!$K$3:$K$3000,C169,Однолинейка!$A$3:$A$3000,Щит_спец)),IF(A169="Модуль",IF(C169="","",COUNTIFS(Однолинейка!$AW$3:$AW$3000,"?*",Однолинейка!$AI$3:$AI$3000,C169,Однолинейка!$A$3:$A$3000,Щит_спец)),IF(A169="Клемма",IF(C169="","",IF(C169=$S$7,SUMIFS(Однолинейка!$BW$3:$BW$3000,Однолинейка!$A$3:$A$3000,Щит_спец),IF(C169=$S$8,SUMIFS(Однолинейка!$BX$3:$BX$3000,Однолинейка!$A$3:$A$3000,Щит_спец),""))),""))))</f>
        <v/>
      </c>
      <c r="O169" s="74"/>
      <c r="P169" s="38" t="str">
        <f t="shared" si="18"/>
        <v/>
      </c>
      <c r="U169" s="38" t="str">
        <f t="shared" si="19"/>
        <v/>
      </c>
      <c r="V169" s="38" t="str">
        <f t="shared" si="20"/>
        <v/>
      </c>
      <c r="W169" s="38" t="str">
        <f>IF(AND(U169&lt;&gt;"",OR($S$4="(все)",B169=$S$4),IF($S$4="(все)",COUNTIF($U$4:U169,U169),COUNTIFS($U$4:U169,U169,$B$4:B169,B169))=1),MAX($W$3:W168)+1,"")</f>
        <v/>
      </c>
      <c r="X169" s="38" t="str">
        <f t="shared" si="21"/>
        <v/>
      </c>
      <c r="Y169" s="38" t="str">
        <f>IF(AND(A169="Аппарат",C169&lt;&gt;"",OR($S$5="(все)",B169=$S$5)),MAX($Y$3:Y168)+1,"")</f>
        <v/>
      </c>
      <c r="Z169" s="38" t="str">
        <f t="shared" si="22"/>
        <v/>
      </c>
      <c r="AA169" s="38" t="str">
        <f>IF(AND(A169="Модуль",C169&lt;&gt;"",OR($S$6="(все)",B169=$S$6)),MAX($AA$3:AA168)+1,"")</f>
        <v/>
      </c>
      <c r="AB169" s="38" t="str">
        <f t="shared" si="23"/>
        <v/>
      </c>
      <c r="AC169" s="38" t="str">
        <f>IF(OR(B169="",COUNTIF($B$4:B169,B169)&gt;1),"",MAX($AC$3:AC168)+1)</f>
        <v/>
      </c>
      <c r="AD169" s="38" t="str">
        <f t="shared" si="24"/>
        <v/>
      </c>
      <c r="AE169" s="38" t="str">
        <f t="shared" si="25"/>
        <v/>
      </c>
      <c r="AF169" s="38" t="str">
        <f t="shared" si="26"/>
        <v/>
      </c>
    </row>
    <row r="170" spans="1:32" x14ac:dyDescent="0.3">
      <c r="A170" s="74"/>
      <c r="B170" s="74"/>
      <c r="C170" s="74"/>
      <c r="D170" s="74"/>
      <c r="E170" s="74"/>
      <c r="F170" s="74"/>
      <c r="G170" s="74"/>
      <c r="H170" s="74"/>
      <c r="I170" s="74"/>
      <c r="J170" s="74"/>
      <c r="K170" s="74"/>
      <c r="L170" s="74"/>
      <c r="M170" s="74"/>
      <c r="N170" s="38" t="str">
        <f>IF(OR(A170="Автомат",A170="Дифавтомат"),IF(W170="","",COUNTIFS(Однолинейка!$H$3:$H$3000,U170,Однолинейка!$A$3:$A$3000,Щит_спец)),IF(A170="Аппарат",IF(C170="","",COUNTIFS(Однолинейка!$I$3:$I$3000,C170,Однолинейка!$A$3:$A$3000,Щит_спец)+COUNTIFS(Однолинейка!$J$3:$J$3000,C170,Однолинейка!$A$3:$A$3000,Щит_спец)+COUNTIFS(Однолинейка!$K$3:$K$3000,C170,Однолинейка!$A$3:$A$3000,Щит_спец)),IF(A170="Модуль",IF(C170="","",COUNTIFS(Однолинейка!$AW$3:$AW$3000,"?*",Однолинейка!$AI$3:$AI$3000,C170,Однолинейка!$A$3:$A$3000,Щит_спец)),IF(A170="Клемма",IF(C170="","",IF(C170=$S$7,SUMIFS(Однолинейка!$BW$3:$BW$3000,Однолинейка!$A$3:$A$3000,Щит_спец),IF(C170=$S$8,SUMIFS(Однолинейка!$BX$3:$BX$3000,Однолинейка!$A$3:$A$3000,Щит_спец),""))),""))))</f>
        <v/>
      </c>
      <c r="O170" s="74"/>
      <c r="P170" s="38" t="str">
        <f t="shared" si="18"/>
        <v/>
      </c>
      <c r="U170" s="38" t="str">
        <f t="shared" si="19"/>
        <v/>
      </c>
      <c r="V170" s="38" t="str">
        <f t="shared" si="20"/>
        <v/>
      </c>
      <c r="W170" s="38" t="str">
        <f>IF(AND(U170&lt;&gt;"",OR($S$4="(все)",B170=$S$4),IF($S$4="(все)",COUNTIF($U$4:U170,U170),COUNTIFS($U$4:U170,U170,$B$4:B170,B170))=1),MAX($W$3:W169)+1,"")</f>
        <v/>
      </c>
      <c r="X170" s="38" t="str">
        <f t="shared" si="21"/>
        <v/>
      </c>
      <c r="Y170" s="38" t="str">
        <f>IF(AND(A170="Аппарат",C170&lt;&gt;"",OR($S$5="(все)",B170=$S$5)),MAX($Y$3:Y169)+1,"")</f>
        <v/>
      </c>
      <c r="Z170" s="38" t="str">
        <f t="shared" si="22"/>
        <v/>
      </c>
      <c r="AA170" s="38" t="str">
        <f>IF(AND(A170="Модуль",C170&lt;&gt;"",OR($S$6="(все)",B170=$S$6)),MAX($AA$3:AA169)+1,"")</f>
        <v/>
      </c>
      <c r="AB170" s="38" t="str">
        <f t="shared" si="23"/>
        <v/>
      </c>
      <c r="AC170" s="38" t="str">
        <f>IF(OR(B170="",COUNTIF($B$4:B170,B170)&gt;1),"",MAX($AC$3:AC169)+1)</f>
        <v/>
      </c>
      <c r="AD170" s="38" t="str">
        <f t="shared" si="24"/>
        <v/>
      </c>
      <c r="AE170" s="38" t="str">
        <f t="shared" si="25"/>
        <v/>
      </c>
      <c r="AF170" s="38" t="str">
        <f t="shared" si="26"/>
        <v/>
      </c>
    </row>
    <row r="171" spans="1:32" x14ac:dyDescent="0.3">
      <c r="A171" s="74"/>
      <c r="B171" s="74"/>
      <c r="C171" s="74"/>
      <c r="D171" s="74"/>
      <c r="E171" s="74"/>
      <c r="F171" s="74"/>
      <c r="G171" s="74"/>
      <c r="H171" s="74"/>
      <c r="I171" s="74"/>
      <c r="J171" s="74"/>
      <c r="K171" s="74"/>
      <c r="L171" s="74"/>
      <c r="M171" s="74"/>
      <c r="N171" s="38" t="str">
        <f>IF(OR(A171="Автомат",A171="Дифавтомат"),IF(W171="","",COUNTIFS(Однолинейка!$H$3:$H$3000,U171,Однолинейка!$A$3:$A$3000,Щит_спец)),IF(A171="Аппарат",IF(C171="","",COUNTIFS(Однолинейка!$I$3:$I$3000,C171,Однолинейка!$A$3:$A$3000,Щит_спец)+COUNTIFS(Однолинейка!$J$3:$J$3000,C171,Однолинейка!$A$3:$A$3000,Щит_спец)+COUNTIFS(Однолинейка!$K$3:$K$3000,C171,Однолинейка!$A$3:$A$3000,Щит_спец)),IF(A171="Модуль",IF(C171="","",COUNTIFS(Однолинейка!$AW$3:$AW$3000,"?*",Однолинейка!$AI$3:$AI$3000,C171,Однолинейка!$A$3:$A$3000,Щит_спец)),IF(A171="Клемма",IF(C171="","",IF(C171=$S$7,SUMIFS(Однолинейка!$BW$3:$BW$3000,Однолинейка!$A$3:$A$3000,Щит_спец),IF(C171=$S$8,SUMIFS(Однолинейка!$BX$3:$BX$3000,Однолинейка!$A$3:$A$3000,Щит_спец),""))),""))))</f>
        <v/>
      </c>
      <c r="O171" s="74"/>
      <c r="P171" s="38" t="str">
        <f t="shared" si="18"/>
        <v/>
      </c>
      <c r="U171" s="38" t="str">
        <f t="shared" si="19"/>
        <v/>
      </c>
      <c r="V171" s="38" t="str">
        <f t="shared" si="20"/>
        <v/>
      </c>
      <c r="W171" s="38" t="str">
        <f>IF(AND(U171&lt;&gt;"",OR($S$4="(все)",B171=$S$4),IF($S$4="(все)",COUNTIF($U$4:U171,U171),COUNTIFS($U$4:U171,U171,$B$4:B171,B171))=1),MAX($W$3:W170)+1,"")</f>
        <v/>
      </c>
      <c r="X171" s="38" t="str">
        <f t="shared" si="21"/>
        <v/>
      </c>
      <c r="Y171" s="38" t="str">
        <f>IF(AND(A171="Аппарат",C171&lt;&gt;"",OR($S$5="(все)",B171=$S$5)),MAX($Y$3:Y170)+1,"")</f>
        <v/>
      </c>
      <c r="Z171" s="38" t="str">
        <f t="shared" si="22"/>
        <v/>
      </c>
      <c r="AA171" s="38" t="str">
        <f>IF(AND(A171="Модуль",C171&lt;&gt;"",OR($S$6="(все)",B171=$S$6)),MAX($AA$3:AA170)+1,"")</f>
        <v/>
      </c>
      <c r="AB171" s="38" t="str">
        <f t="shared" si="23"/>
        <v/>
      </c>
      <c r="AC171" s="38" t="str">
        <f>IF(OR(B171="",COUNTIF($B$4:B171,B171)&gt;1),"",MAX($AC$3:AC170)+1)</f>
        <v/>
      </c>
      <c r="AD171" s="38" t="str">
        <f t="shared" si="24"/>
        <v/>
      </c>
      <c r="AE171" s="38" t="str">
        <f t="shared" si="25"/>
        <v/>
      </c>
      <c r="AF171" s="38" t="str">
        <f t="shared" si="26"/>
        <v/>
      </c>
    </row>
    <row r="172" spans="1:32" x14ac:dyDescent="0.3">
      <c r="A172" s="74"/>
      <c r="B172" s="74"/>
      <c r="C172" s="74"/>
      <c r="D172" s="74"/>
      <c r="E172" s="74"/>
      <c r="F172" s="74"/>
      <c r="G172" s="74"/>
      <c r="H172" s="74"/>
      <c r="I172" s="74"/>
      <c r="J172" s="74"/>
      <c r="K172" s="74"/>
      <c r="L172" s="74"/>
      <c r="M172" s="74"/>
      <c r="N172" s="38" t="str">
        <f>IF(OR(A172="Автомат",A172="Дифавтомат"),IF(W172="","",COUNTIFS(Однолинейка!$H$3:$H$3000,U172,Однолинейка!$A$3:$A$3000,Щит_спец)),IF(A172="Аппарат",IF(C172="","",COUNTIFS(Однолинейка!$I$3:$I$3000,C172,Однолинейка!$A$3:$A$3000,Щит_спец)+COUNTIFS(Однолинейка!$J$3:$J$3000,C172,Однолинейка!$A$3:$A$3000,Щит_спец)+COUNTIFS(Однолинейка!$K$3:$K$3000,C172,Однолинейка!$A$3:$A$3000,Щит_спец)),IF(A172="Модуль",IF(C172="","",COUNTIFS(Однолинейка!$AW$3:$AW$3000,"?*",Однолинейка!$AI$3:$AI$3000,C172,Однолинейка!$A$3:$A$3000,Щит_спец)),IF(A172="Клемма",IF(C172="","",IF(C172=$S$7,SUMIFS(Однолинейка!$BW$3:$BW$3000,Однолинейка!$A$3:$A$3000,Щит_спец),IF(C172=$S$8,SUMIFS(Однолинейка!$BX$3:$BX$3000,Однолинейка!$A$3:$A$3000,Щит_спец),""))),""))))</f>
        <v/>
      </c>
      <c r="O172" s="74"/>
      <c r="P172" s="38" t="str">
        <f t="shared" si="18"/>
        <v/>
      </c>
      <c r="U172" s="38" t="str">
        <f t="shared" si="19"/>
        <v/>
      </c>
      <c r="V172" s="38" t="str">
        <f t="shared" si="20"/>
        <v/>
      </c>
      <c r="W172" s="38" t="str">
        <f>IF(AND(U172&lt;&gt;"",OR($S$4="(все)",B172=$S$4),IF($S$4="(все)",COUNTIF($U$4:U172,U172),COUNTIFS($U$4:U172,U172,$B$4:B172,B172))=1),MAX($W$3:W171)+1,"")</f>
        <v/>
      </c>
      <c r="X172" s="38" t="str">
        <f t="shared" si="21"/>
        <v/>
      </c>
      <c r="Y172" s="38" t="str">
        <f>IF(AND(A172="Аппарат",C172&lt;&gt;"",OR($S$5="(все)",B172=$S$5)),MAX($Y$3:Y171)+1,"")</f>
        <v/>
      </c>
      <c r="Z172" s="38" t="str">
        <f t="shared" si="22"/>
        <v/>
      </c>
      <c r="AA172" s="38" t="str">
        <f>IF(AND(A172="Модуль",C172&lt;&gt;"",OR($S$6="(все)",B172=$S$6)),MAX($AA$3:AA171)+1,"")</f>
        <v/>
      </c>
      <c r="AB172" s="38" t="str">
        <f t="shared" si="23"/>
        <v/>
      </c>
      <c r="AC172" s="38" t="str">
        <f>IF(OR(B172="",COUNTIF($B$4:B172,B172)&gt;1),"",MAX($AC$3:AC171)+1)</f>
        <v/>
      </c>
      <c r="AD172" s="38" t="str">
        <f t="shared" si="24"/>
        <v/>
      </c>
      <c r="AE172" s="38" t="str">
        <f t="shared" si="25"/>
        <v/>
      </c>
      <c r="AF172" s="38" t="str">
        <f t="shared" si="26"/>
        <v/>
      </c>
    </row>
    <row r="173" spans="1:32" x14ac:dyDescent="0.3">
      <c r="A173" s="74"/>
      <c r="B173" s="74"/>
      <c r="C173" s="74"/>
      <c r="D173" s="74"/>
      <c r="E173" s="74"/>
      <c r="F173" s="74"/>
      <c r="G173" s="74"/>
      <c r="H173" s="74"/>
      <c r="I173" s="74"/>
      <c r="J173" s="74"/>
      <c r="K173" s="74"/>
      <c r="L173" s="74"/>
      <c r="M173" s="74"/>
      <c r="N173" s="38" t="str">
        <f>IF(OR(A173="Автомат",A173="Дифавтомат"),IF(W173="","",COUNTIFS(Однолинейка!$H$3:$H$3000,U173,Однолинейка!$A$3:$A$3000,Щит_спец)),IF(A173="Аппарат",IF(C173="","",COUNTIFS(Однолинейка!$I$3:$I$3000,C173,Однолинейка!$A$3:$A$3000,Щит_спец)+COUNTIFS(Однолинейка!$J$3:$J$3000,C173,Однолинейка!$A$3:$A$3000,Щит_спец)+COUNTIFS(Однолинейка!$K$3:$K$3000,C173,Однолинейка!$A$3:$A$3000,Щит_спец)),IF(A173="Модуль",IF(C173="","",COUNTIFS(Однолинейка!$AW$3:$AW$3000,"?*",Однолинейка!$AI$3:$AI$3000,C173,Однолинейка!$A$3:$A$3000,Щит_спец)),IF(A173="Клемма",IF(C173="","",IF(C173=$S$7,SUMIFS(Однолинейка!$BW$3:$BW$3000,Однолинейка!$A$3:$A$3000,Щит_спец),IF(C173=$S$8,SUMIFS(Однолинейка!$BX$3:$BX$3000,Однолинейка!$A$3:$A$3000,Щит_спец),""))),""))))</f>
        <v/>
      </c>
      <c r="O173" s="74"/>
      <c r="P173" s="38" t="str">
        <f t="shared" si="18"/>
        <v/>
      </c>
      <c r="U173" s="38" t="str">
        <f t="shared" si="19"/>
        <v/>
      </c>
      <c r="V173" s="38" t="str">
        <f t="shared" si="20"/>
        <v/>
      </c>
      <c r="W173" s="38" t="str">
        <f>IF(AND(U173&lt;&gt;"",OR($S$4="(все)",B173=$S$4),IF($S$4="(все)",COUNTIF($U$4:U173,U173),COUNTIFS($U$4:U173,U173,$B$4:B173,B173))=1),MAX($W$3:W172)+1,"")</f>
        <v/>
      </c>
      <c r="X173" s="38" t="str">
        <f t="shared" si="21"/>
        <v/>
      </c>
      <c r="Y173" s="38" t="str">
        <f>IF(AND(A173="Аппарат",C173&lt;&gt;"",OR($S$5="(все)",B173=$S$5)),MAX($Y$3:Y172)+1,"")</f>
        <v/>
      </c>
      <c r="Z173" s="38" t="str">
        <f t="shared" si="22"/>
        <v/>
      </c>
      <c r="AA173" s="38" t="str">
        <f>IF(AND(A173="Модуль",C173&lt;&gt;"",OR($S$6="(все)",B173=$S$6)),MAX($AA$3:AA172)+1,"")</f>
        <v/>
      </c>
      <c r="AB173" s="38" t="str">
        <f t="shared" si="23"/>
        <v/>
      </c>
      <c r="AC173" s="38" t="str">
        <f>IF(OR(B173="",COUNTIF($B$4:B173,B173)&gt;1),"",MAX($AC$3:AC172)+1)</f>
        <v/>
      </c>
      <c r="AD173" s="38" t="str">
        <f t="shared" si="24"/>
        <v/>
      </c>
      <c r="AE173" s="38" t="str">
        <f t="shared" si="25"/>
        <v/>
      </c>
      <c r="AF173" s="38" t="str">
        <f t="shared" si="26"/>
        <v/>
      </c>
    </row>
    <row r="174" spans="1:32" x14ac:dyDescent="0.3">
      <c r="A174" s="74"/>
      <c r="B174" s="74"/>
      <c r="C174" s="74"/>
      <c r="D174" s="74"/>
      <c r="E174" s="74"/>
      <c r="F174" s="74"/>
      <c r="G174" s="74"/>
      <c r="H174" s="74"/>
      <c r="I174" s="74"/>
      <c r="J174" s="74"/>
      <c r="K174" s="74"/>
      <c r="L174" s="74"/>
      <c r="M174" s="74"/>
      <c r="N174" s="38" t="str">
        <f>IF(OR(A174="Автомат",A174="Дифавтомат"),IF(W174="","",COUNTIFS(Однолинейка!$H$3:$H$3000,U174,Однолинейка!$A$3:$A$3000,Щит_спец)),IF(A174="Аппарат",IF(C174="","",COUNTIFS(Однолинейка!$I$3:$I$3000,C174,Однолинейка!$A$3:$A$3000,Щит_спец)+COUNTIFS(Однолинейка!$J$3:$J$3000,C174,Однолинейка!$A$3:$A$3000,Щит_спец)+COUNTIFS(Однолинейка!$K$3:$K$3000,C174,Однолинейка!$A$3:$A$3000,Щит_спец)),IF(A174="Модуль",IF(C174="","",COUNTIFS(Однолинейка!$AW$3:$AW$3000,"?*",Однолинейка!$AI$3:$AI$3000,C174,Однолинейка!$A$3:$A$3000,Щит_спец)),IF(A174="Клемма",IF(C174="","",IF(C174=$S$7,SUMIFS(Однолинейка!$BW$3:$BW$3000,Однолинейка!$A$3:$A$3000,Щит_спец),IF(C174=$S$8,SUMIFS(Однолинейка!$BX$3:$BX$3000,Однолинейка!$A$3:$A$3000,Щит_спец),""))),""))))</f>
        <v/>
      </c>
      <c r="O174" s="74"/>
      <c r="P174" s="38" t="str">
        <f t="shared" si="18"/>
        <v/>
      </c>
      <c r="U174" s="38" t="str">
        <f t="shared" si="19"/>
        <v/>
      </c>
      <c r="V174" s="38" t="str">
        <f t="shared" si="20"/>
        <v/>
      </c>
      <c r="W174" s="38" t="str">
        <f>IF(AND(U174&lt;&gt;"",OR($S$4="(все)",B174=$S$4),IF($S$4="(все)",COUNTIF($U$4:U174,U174),COUNTIFS($U$4:U174,U174,$B$4:B174,B174))=1),MAX($W$3:W173)+1,"")</f>
        <v/>
      </c>
      <c r="X174" s="38" t="str">
        <f t="shared" si="21"/>
        <v/>
      </c>
      <c r="Y174" s="38" t="str">
        <f>IF(AND(A174="Аппарат",C174&lt;&gt;"",OR($S$5="(все)",B174=$S$5)),MAX($Y$3:Y173)+1,"")</f>
        <v/>
      </c>
      <c r="Z174" s="38" t="str">
        <f t="shared" si="22"/>
        <v/>
      </c>
      <c r="AA174" s="38" t="str">
        <f>IF(AND(A174="Модуль",C174&lt;&gt;"",OR($S$6="(все)",B174=$S$6)),MAX($AA$3:AA173)+1,"")</f>
        <v/>
      </c>
      <c r="AB174" s="38" t="str">
        <f t="shared" si="23"/>
        <v/>
      </c>
      <c r="AC174" s="38" t="str">
        <f>IF(OR(B174="",COUNTIF($B$4:B174,B174)&gt;1),"",MAX($AC$3:AC173)+1)</f>
        <v/>
      </c>
      <c r="AD174" s="38" t="str">
        <f t="shared" si="24"/>
        <v/>
      </c>
      <c r="AE174" s="38" t="str">
        <f t="shared" si="25"/>
        <v/>
      </c>
      <c r="AF174" s="38" t="str">
        <f t="shared" si="26"/>
        <v/>
      </c>
    </row>
    <row r="175" spans="1:32" x14ac:dyDescent="0.3">
      <c r="A175" s="74"/>
      <c r="B175" s="74"/>
      <c r="C175" s="74"/>
      <c r="D175" s="74"/>
      <c r="E175" s="74"/>
      <c r="F175" s="74"/>
      <c r="G175" s="74"/>
      <c r="H175" s="74"/>
      <c r="I175" s="74"/>
      <c r="J175" s="74"/>
      <c r="K175" s="74"/>
      <c r="L175" s="74"/>
      <c r="M175" s="74"/>
      <c r="N175" s="38" t="str">
        <f>IF(OR(A175="Автомат",A175="Дифавтомат"),IF(W175="","",COUNTIFS(Однолинейка!$H$3:$H$3000,U175,Однолинейка!$A$3:$A$3000,Щит_спец)),IF(A175="Аппарат",IF(C175="","",COUNTIFS(Однолинейка!$I$3:$I$3000,C175,Однолинейка!$A$3:$A$3000,Щит_спец)+COUNTIFS(Однолинейка!$J$3:$J$3000,C175,Однолинейка!$A$3:$A$3000,Щит_спец)+COUNTIFS(Однолинейка!$K$3:$K$3000,C175,Однолинейка!$A$3:$A$3000,Щит_спец)),IF(A175="Модуль",IF(C175="","",COUNTIFS(Однолинейка!$AW$3:$AW$3000,"?*",Однолинейка!$AI$3:$AI$3000,C175,Однолинейка!$A$3:$A$3000,Щит_спец)),IF(A175="Клемма",IF(C175="","",IF(C175=$S$7,SUMIFS(Однолинейка!$BW$3:$BW$3000,Однолинейка!$A$3:$A$3000,Щит_спец),IF(C175=$S$8,SUMIFS(Однолинейка!$BX$3:$BX$3000,Однолинейка!$A$3:$A$3000,Щит_спец),""))),""))))</f>
        <v/>
      </c>
      <c r="O175" s="74"/>
      <c r="P175" s="38" t="str">
        <f t="shared" si="18"/>
        <v/>
      </c>
      <c r="U175" s="38" t="str">
        <f t="shared" si="19"/>
        <v/>
      </c>
      <c r="V175" s="38" t="str">
        <f t="shared" si="20"/>
        <v/>
      </c>
      <c r="W175" s="38" t="str">
        <f>IF(AND(U175&lt;&gt;"",OR($S$4="(все)",B175=$S$4),IF($S$4="(все)",COUNTIF($U$4:U175,U175),COUNTIFS($U$4:U175,U175,$B$4:B175,B175))=1),MAX($W$3:W174)+1,"")</f>
        <v/>
      </c>
      <c r="X175" s="38" t="str">
        <f t="shared" si="21"/>
        <v/>
      </c>
      <c r="Y175" s="38" t="str">
        <f>IF(AND(A175="Аппарат",C175&lt;&gt;"",OR($S$5="(все)",B175=$S$5)),MAX($Y$3:Y174)+1,"")</f>
        <v/>
      </c>
      <c r="Z175" s="38" t="str">
        <f t="shared" si="22"/>
        <v/>
      </c>
      <c r="AA175" s="38" t="str">
        <f>IF(AND(A175="Модуль",C175&lt;&gt;"",OR($S$6="(все)",B175=$S$6)),MAX($AA$3:AA174)+1,"")</f>
        <v/>
      </c>
      <c r="AB175" s="38" t="str">
        <f t="shared" si="23"/>
        <v/>
      </c>
      <c r="AC175" s="38" t="str">
        <f>IF(OR(B175="",COUNTIF($B$4:B175,B175)&gt;1),"",MAX($AC$3:AC174)+1)</f>
        <v/>
      </c>
      <c r="AD175" s="38" t="str">
        <f t="shared" si="24"/>
        <v/>
      </c>
      <c r="AE175" s="38" t="str">
        <f t="shared" si="25"/>
        <v/>
      </c>
      <c r="AF175" s="38" t="str">
        <f t="shared" si="26"/>
        <v/>
      </c>
    </row>
    <row r="176" spans="1:32" x14ac:dyDescent="0.3">
      <c r="A176" s="74"/>
      <c r="B176" s="74"/>
      <c r="C176" s="74"/>
      <c r="D176" s="74"/>
      <c r="E176" s="74"/>
      <c r="F176" s="74"/>
      <c r="G176" s="74"/>
      <c r="H176" s="74"/>
      <c r="I176" s="74"/>
      <c r="J176" s="74"/>
      <c r="K176" s="74"/>
      <c r="L176" s="74"/>
      <c r="M176" s="74"/>
      <c r="N176" s="38" t="str">
        <f>IF(OR(A176="Автомат",A176="Дифавтомат"),IF(W176="","",COUNTIFS(Однолинейка!$H$3:$H$3000,U176,Однолинейка!$A$3:$A$3000,Щит_спец)),IF(A176="Аппарат",IF(C176="","",COUNTIFS(Однолинейка!$I$3:$I$3000,C176,Однолинейка!$A$3:$A$3000,Щит_спец)+COUNTIFS(Однолинейка!$J$3:$J$3000,C176,Однолинейка!$A$3:$A$3000,Щит_спец)+COUNTIFS(Однолинейка!$K$3:$K$3000,C176,Однолинейка!$A$3:$A$3000,Щит_спец)),IF(A176="Модуль",IF(C176="","",COUNTIFS(Однолинейка!$AW$3:$AW$3000,"?*",Однолинейка!$AI$3:$AI$3000,C176,Однолинейка!$A$3:$A$3000,Щит_спец)),IF(A176="Клемма",IF(C176="","",IF(C176=$S$7,SUMIFS(Однолинейка!$BW$3:$BW$3000,Однолинейка!$A$3:$A$3000,Щит_спец),IF(C176=$S$8,SUMIFS(Однолинейка!$BX$3:$BX$3000,Однолинейка!$A$3:$A$3000,Щит_спец),""))),""))))</f>
        <v/>
      </c>
      <c r="O176" s="74"/>
      <c r="P176" s="38" t="str">
        <f t="shared" si="18"/>
        <v/>
      </c>
      <c r="U176" s="38" t="str">
        <f t="shared" si="19"/>
        <v/>
      </c>
      <c r="V176" s="38" t="str">
        <f t="shared" si="20"/>
        <v/>
      </c>
      <c r="W176" s="38" t="str">
        <f>IF(AND(U176&lt;&gt;"",OR($S$4="(все)",B176=$S$4),IF($S$4="(все)",COUNTIF($U$4:U176,U176),COUNTIFS($U$4:U176,U176,$B$4:B176,B176))=1),MAX($W$3:W175)+1,"")</f>
        <v/>
      </c>
      <c r="X176" s="38" t="str">
        <f t="shared" si="21"/>
        <v/>
      </c>
      <c r="Y176" s="38" t="str">
        <f>IF(AND(A176="Аппарат",C176&lt;&gt;"",OR($S$5="(все)",B176=$S$5)),MAX($Y$3:Y175)+1,"")</f>
        <v/>
      </c>
      <c r="Z176" s="38" t="str">
        <f t="shared" si="22"/>
        <v/>
      </c>
      <c r="AA176" s="38" t="str">
        <f>IF(AND(A176="Модуль",C176&lt;&gt;"",OR($S$6="(все)",B176=$S$6)),MAX($AA$3:AA175)+1,"")</f>
        <v/>
      </c>
      <c r="AB176" s="38" t="str">
        <f t="shared" si="23"/>
        <v/>
      </c>
      <c r="AC176" s="38" t="str">
        <f>IF(OR(B176="",COUNTIF($B$4:B176,B176)&gt;1),"",MAX($AC$3:AC175)+1)</f>
        <v/>
      </c>
      <c r="AD176" s="38" t="str">
        <f t="shared" si="24"/>
        <v/>
      </c>
      <c r="AE176" s="38" t="str">
        <f t="shared" si="25"/>
        <v/>
      </c>
      <c r="AF176" s="38" t="str">
        <f t="shared" si="26"/>
        <v/>
      </c>
    </row>
    <row r="177" spans="1:32" x14ac:dyDescent="0.3">
      <c r="A177" s="74"/>
      <c r="B177" s="74"/>
      <c r="C177" s="74"/>
      <c r="D177" s="74"/>
      <c r="E177" s="74"/>
      <c r="F177" s="74"/>
      <c r="G177" s="74"/>
      <c r="H177" s="74"/>
      <c r="I177" s="74"/>
      <c r="J177" s="74"/>
      <c r="K177" s="74"/>
      <c r="L177" s="74"/>
      <c r="M177" s="74"/>
      <c r="N177" s="38" t="str">
        <f>IF(OR(A177="Автомат",A177="Дифавтомат"),IF(W177="","",COUNTIFS(Однолинейка!$H$3:$H$3000,U177,Однолинейка!$A$3:$A$3000,Щит_спец)),IF(A177="Аппарат",IF(C177="","",COUNTIFS(Однолинейка!$I$3:$I$3000,C177,Однолинейка!$A$3:$A$3000,Щит_спец)+COUNTIFS(Однолинейка!$J$3:$J$3000,C177,Однолинейка!$A$3:$A$3000,Щит_спец)+COUNTIFS(Однолинейка!$K$3:$K$3000,C177,Однолинейка!$A$3:$A$3000,Щит_спец)),IF(A177="Модуль",IF(C177="","",COUNTIFS(Однолинейка!$AW$3:$AW$3000,"?*",Однолинейка!$AI$3:$AI$3000,C177,Однолинейка!$A$3:$A$3000,Щит_спец)),IF(A177="Клемма",IF(C177="","",IF(C177=$S$7,SUMIFS(Однолинейка!$BW$3:$BW$3000,Однолинейка!$A$3:$A$3000,Щит_спец),IF(C177=$S$8,SUMIFS(Однолинейка!$BX$3:$BX$3000,Однолинейка!$A$3:$A$3000,Щит_спец),""))),""))))</f>
        <v/>
      </c>
      <c r="O177" s="74"/>
      <c r="P177" s="38" t="str">
        <f t="shared" si="18"/>
        <v/>
      </c>
      <c r="U177" s="38" t="str">
        <f t="shared" si="19"/>
        <v/>
      </c>
      <c r="V177" s="38" t="str">
        <f t="shared" si="20"/>
        <v/>
      </c>
      <c r="W177" s="38" t="str">
        <f>IF(AND(U177&lt;&gt;"",OR($S$4="(все)",B177=$S$4),IF($S$4="(все)",COUNTIF($U$4:U177,U177),COUNTIFS($U$4:U177,U177,$B$4:B177,B177))=1),MAX($W$3:W176)+1,"")</f>
        <v/>
      </c>
      <c r="X177" s="38" t="str">
        <f t="shared" si="21"/>
        <v/>
      </c>
      <c r="Y177" s="38" t="str">
        <f>IF(AND(A177="Аппарат",C177&lt;&gt;"",OR($S$5="(все)",B177=$S$5)),MAX($Y$3:Y176)+1,"")</f>
        <v/>
      </c>
      <c r="Z177" s="38" t="str">
        <f t="shared" si="22"/>
        <v/>
      </c>
      <c r="AA177" s="38" t="str">
        <f>IF(AND(A177="Модуль",C177&lt;&gt;"",OR($S$6="(все)",B177=$S$6)),MAX($AA$3:AA176)+1,"")</f>
        <v/>
      </c>
      <c r="AB177" s="38" t="str">
        <f t="shared" si="23"/>
        <v/>
      </c>
      <c r="AC177" s="38" t="str">
        <f>IF(OR(B177="",COUNTIF($B$4:B177,B177)&gt;1),"",MAX($AC$3:AC176)+1)</f>
        <v/>
      </c>
      <c r="AD177" s="38" t="str">
        <f t="shared" si="24"/>
        <v/>
      </c>
      <c r="AE177" s="38" t="str">
        <f t="shared" si="25"/>
        <v/>
      </c>
      <c r="AF177" s="38" t="str">
        <f t="shared" si="26"/>
        <v/>
      </c>
    </row>
    <row r="178" spans="1:32" x14ac:dyDescent="0.3">
      <c r="A178" s="74"/>
      <c r="B178" s="74"/>
      <c r="C178" s="74"/>
      <c r="D178" s="74"/>
      <c r="E178" s="74"/>
      <c r="F178" s="74"/>
      <c r="G178" s="74"/>
      <c r="H178" s="74"/>
      <c r="I178" s="74"/>
      <c r="J178" s="74"/>
      <c r="K178" s="74"/>
      <c r="L178" s="74"/>
      <c r="M178" s="74"/>
      <c r="N178" s="38" t="str">
        <f>IF(OR(A178="Автомат",A178="Дифавтомат"),IF(W178="","",COUNTIFS(Однолинейка!$H$3:$H$3000,U178,Однолинейка!$A$3:$A$3000,Щит_спец)),IF(A178="Аппарат",IF(C178="","",COUNTIFS(Однолинейка!$I$3:$I$3000,C178,Однолинейка!$A$3:$A$3000,Щит_спец)+COUNTIFS(Однолинейка!$J$3:$J$3000,C178,Однолинейка!$A$3:$A$3000,Щит_спец)+COUNTIFS(Однолинейка!$K$3:$K$3000,C178,Однолинейка!$A$3:$A$3000,Щит_спец)),IF(A178="Модуль",IF(C178="","",COUNTIFS(Однолинейка!$AW$3:$AW$3000,"?*",Однолинейка!$AI$3:$AI$3000,C178,Однолинейка!$A$3:$A$3000,Щит_спец)),IF(A178="Клемма",IF(C178="","",IF(C178=$S$7,SUMIFS(Однолинейка!$BW$3:$BW$3000,Однолинейка!$A$3:$A$3000,Щит_спец),IF(C178=$S$8,SUMIFS(Однолинейка!$BX$3:$BX$3000,Однолинейка!$A$3:$A$3000,Щит_спец),""))),""))))</f>
        <v/>
      </c>
      <c r="O178" s="74"/>
      <c r="P178" s="38" t="str">
        <f t="shared" si="18"/>
        <v/>
      </c>
      <c r="U178" s="38" t="str">
        <f t="shared" si="19"/>
        <v/>
      </c>
      <c r="V178" s="38" t="str">
        <f t="shared" si="20"/>
        <v/>
      </c>
      <c r="W178" s="38" t="str">
        <f>IF(AND(U178&lt;&gt;"",OR($S$4="(все)",B178=$S$4),IF($S$4="(все)",COUNTIF($U$4:U178,U178),COUNTIFS($U$4:U178,U178,$B$4:B178,B178))=1),MAX($W$3:W177)+1,"")</f>
        <v/>
      </c>
      <c r="X178" s="38" t="str">
        <f t="shared" si="21"/>
        <v/>
      </c>
      <c r="Y178" s="38" t="str">
        <f>IF(AND(A178="Аппарат",C178&lt;&gt;"",OR($S$5="(все)",B178=$S$5)),MAX($Y$3:Y177)+1,"")</f>
        <v/>
      </c>
      <c r="Z178" s="38" t="str">
        <f t="shared" si="22"/>
        <v/>
      </c>
      <c r="AA178" s="38" t="str">
        <f>IF(AND(A178="Модуль",C178&lt;&gt;"",OR($S$6="(все)",B178=$S$6)),MAX($AA$3:AA177)+1,"")</f>
        <v/>
      </c>
      <c r="AB178" s="38" t="str">
        <f t="shared" si="23"/>
        <v/>
      </c>
      <c r="AC178" s="38" t="str">
        <f>IF(OR(B178="",COUNTIF($B$4:B178,B178)&gt;1),"",MAX($AC$3:AC177)+1)</f>
        <v/>
      </c>
      <c r="AD178" s="38" t="str">
        <f t="shared" si="24"/>
        <v/>
      </c>
      <c r="AE178" s="38" t="str">
        <f t="shared" si="25"/>
        <v/>
      </c>
      <c r="AF178" s="38" t="str">
        <f t="shared" si="26"/>
        <v/>
      </c>
    </row>
    <row r="179" spans="1:32" x14ac:dyDescent="0.3">
      <c r="A179" s="74"/>
      <c r="B179" s="74"/>
      <c r="C179" s="74"/>
      <c r="D179" s="74"/>
      <c r="E179" s="74"/>
      <c r="F179" s="74"/>
      <c r="G179" s="74"/>
      <c r="H179" s="74"/>
      <c r="I179" s="74"/>
      <c r="J179" s="74"/>
      <c r="K179" s="74"/>
      <c r="L179" s="74"/>
      <c r="M179" s="74"/>
      <c r="N179" s="38" t="str">
        <f>IF(OR(A179="Автомат",A179="Дифавтомат"),IF(W179="","",COUNTIFS(Однолинейка!$H$3:$H$3000,U179,Однолинейка!$A$3:$A$3000,Щит_спец)),IF(A179="Аппарат",IF(C179="","",COUNTIFS(Однолинейка!$I$3:$I$3000,C179,Однолинейка!$A$3:$A$3000,Щит_спец)+COUNTIFS(Однолинейка!$J$3:$J$3000,C179,Однолинейка!$A$3:$A$3000,Щит_спец)+COUNTIFS(Однолинейка!$K$3:$K$3000,C179,Однолинейка!$A$3:$A$3000,Щит_спец)),IF(A179="Модуль",IF(C179="","",COUNTIFS(Однолинейка!$AW$3:$AW$3000,"?*",Однолинейка!$AI$3:$AI$3000,C179,Однолинейка!$A$3:$A$3000,Щит_спец)),IF(A179="Клемма",IF(C179="","",IF(C179=$S$7,SUMIFS(Однолинейка!$BW$3:$BW$3000,Однолинейка!$A$3:$A$3000,Щит_спец),IF(C179=$S$8,SUMIFS(Однолинейка!$BX$3:$BX$3000,Однолинейка!$A$3:$A$3000,Щит_спец),""))),""))))</f>
        <v/>
      </c>
      <c r="O179" s="74"/>
      <c r="P179" s="38" t="str">
        <f t="shared" si="18"/>
        <v/>
      </c>
      <c r="U179" s="38" t="str">
        <f t="shared" si="19"/>
        <v/>
      </c>
      <c r="V179" s="38" t="str">
        <f t="shared" si="20"/>
        <v/>
      </c>
      <c r="W179" s="38" t="str">
        <f>IF(AND(U179&lt;&gt;"",OR($S$4="(все)",B179=$S$4),IF($S$4="(все)",COUNTIF($U$4:U179,U179),COUNTIFS($U$4:U179,U179,$B$4:B179,B179))=1),MAX($W$3:W178)+1,"")</f>
        <v/>
      </c>
      <c r="X179" s="38" t="str">
        <f t="shared" si="21"/>
        <v/>
      </c>
      <c r="Y179" s="38" t="str">
        <f>IF(AND(A179="Аппарат",C179&lt;&gt;"",OR($S$5="(все)",B179=$S$5)),MAX($Y$3:Y178)+1,"")</f>
        <v/>
      </c>
      <c r="Z179" s="38" t="str">
        <f t="shared" si="22"/>
        <v/>
      </c>
      <c r="AA179" s="38" t="str">
        <f>IF(AND(A179="Модуль",C179&lt;&gt;"",OR($S$6="(все)",B179=$S$6)),MAX($AA$3:AA178)+1,"")</f>
        <v/>
      </c>
      <c r="AB179" s="38" t="str">
        <f t="shared" si="23"/>
        <v/>
      </c>
      <c r="AC179" s="38" t="str">
        <f>IF(OR(B179="",COUNTIF($B$4:B179,B179)&gt;1),"",MAX($AC$3:AC178)+1)</f>
        <v/>
      </c>
      <c r="AD179" s="38" t="str">
        <f t="shared" si="24"/>
        <v/>
      </c>
      <c r="AE179" s="38" t="str">
        <f t="shared" si="25"/>
        <v/>
      </c>
      <c r="AF179" s="38" t="str">
        <f t="shared" si="26"/>
        <v/>
      </c>
    </row>
    <row r="180" spans="1:32" x14ac:dyDescent="0.3">
      <c r="A180" s="74"/>
      <c r="B180" s="74"/>
      <c r="C180" s="74"/>
      <c r="D180" s="74"/>
      <c r="E180" s="74"/>
      <c r="F180" s="74"/>
      <c r="G180" s="74"/>
      <c r="H180" s="74"/>
      <c r="I180" s="74"/>
      <c r="J180" s="74"/>
      <c r="K180" s="74"/>
      <c r="L180" s="74"/>
      <c r="M180" s="74"/>
      <c r="N180" s="38" t="str">
        <f>IF(OR(A180="Автомат",A180="Дифавтомат"),IF(W180="","",COUNTIFS(Однолинейка!$H$3:$H$3000,U180,Однолинейка!$A$3:$A$3000,Щит_спец)),IF(A180="Аппарат",IF(C180="","",COUNTIFS(Однолинейка!$I$3:$I$3000,C180,Однолинейка!$A$3:$A$3000,Щит_спец)+COUNTIFS(Однолинейка!$J$3:$J$3000,C180,Однолинейка!$A$3:$A$3000,Щит_спец)+COUNTIFS(Однолинейка!$K$3:$K$3000,C180,Однолинейка!$A$3:$A$3000,Щит_спец)),IF(A180="Модуль",IF(C180="","",COUNTIFS(Однолинейка!$AW$3:$AW$3000,"?*",Однолинейка!$AI$3:$AI$3000,C180,Однолинейка!$A$3:$A$3000,Щит_спец)),IF(A180="Клемма",IF(C180="","",IF(C180=$S$7,SUMIFS(Однолинейка!$BW$3:$BW$3000,Однолинейка!$A$3:$A$3000,Щит_спец),IF(C180=$S$8,SUMIFS(Однолинейка!$BX$3:$BX$3000,Однолинейка!$A$3:$A$3000,Щит_спец),""))),""))))</f>
        <v/>
      </c>
      <c r="O180" s="74"/>
      <c r="P180" s="38" t="str">
        <f t="shared" si="18"/>
        <v/>
      </c>
      <c r="U180" s="38" t="str">
        <f t="shared" si="19"/>
        <v/>
      </c>
      <c r="V180" s="38" t="str">
        <f t="shared" si="20"/>
        <v/>
      </c>
      <c r="W180" s="38" t="str">
        <f>IF(AND(U180&lt;&gt;"",OR($S$4="(все)",B180=$S$4),IF($S$4="(все)",COUNTIF($U$4:U180,U180),COUNTIFS($U$4:U180,U180,$B$4:B180,B180))=1),MAX($W$3:W179)+1,"")</f>
        <v/>
      </c>
      <c r="X180" s="38" t="str">
        <f t="shared" si="21"/>
        <v/>
      </c>
      <c r="Y180" s="38" t="str">
        <f>IF(AND(A180="Аппарат",C180&lt;&gt;"",OR($S$5="(все)",B180=$S$5)),MAX($Y$3:Y179)+1,"")</f>
        <v/>
      </c>
      <c r="Z180" s="38" t="str">
        <f t="shared" si="22"/>
        <v/>
      </c>
      <c r="AA180" s="38" t="str">
        <f>IF(AND(A180="Модуль",C180&lt;&gt;"",OR($S$6="(все)",B180=$S$6)),MAX($AA$3:AA179)+1,"")</f>
        <v/>
      </c>
      <c r="AB180" s="38" t="str">
        <f t="shared" si="23"/>
        <v/>
      </c>
      <c r="AC180" s="38" t="str">
        <f>IF(OR(B180="",COUNTIF($B$4:B180,B180)&gt;1),"",MAX($AC$3:AC179)+1)</f>
        <v/>
      </c>
      <c r="AD180" s="38" t="str">
        <f t="shared" si="24"/>
        <v/>
      </c>
      <c r="AE180" s="38" t="str">
        <f t="shared" si="25"/>
        <v/>
      </c>
      <c r="AF180" s="38" t="str">
        <f t="shared" si="26"/>
        <v/>
      </c>
    </row>
    <row r="181" spans="1:32" x14ac:dyDescent="0.3">
      <c r="A181" s="74"/>
      <c r="B181" s="74"/>
      <c r="C181" s="74"/>
      <c r="D181" s="74"/>
      <c r="E181" s="74"/>
      <c r="F181" s="74"/>
      <c r="G181" s="74"/>
      <c r="H181" s="74"/>
      <c r="I181" s="74"/>
      <c r="J181" s="74"/>
      <c r="K181" s="74"/>
      <c r="L181" s="74"/>
      <c r="M181" s="74"/>
      <c r="N181" s="38" t="str">
        <f>IF(OR(A181="Автомат",A181="Дифавтомат"),IF(W181="","",COUNTIFS(Однолинейка!$H$3:$H$3000,U181,Однолинейка!$A$3:$A$3000,Щит_спец)),IF(A181="Аппарат",IF(C181="","",COUNTIFS(Однолинейка!$I$3:$I$3000,C181,Однолинейка!$A$3:$A$3000,Щит_спец)+COUNTIFS(Однолинейка!$J$3:$J$3000,C181,Однолинейка!$A$3:$A$3000,Щит_спец)+COUNTIFS(Однолинейка!$K$3:$K$3000,C181,Однолинейка!$A$3:$A$3000,Щит_спец)),IF(A181="Модуль",IF(C181="","",COUNTIFS(Однолинейка!$AW$3:$AW$3000,"?*",Однолинейка!$AI$3:$AI$3000,C181,Однолинейка!$A$3:$A$3000,Щит_спец)),IF(A181="Клемма",IF(C181="","",IF(C181=$S$7,SUMIFS(Однолинейка!$BW$3:$BW$3000,Однолинейка!$A$3:$A$3000,Щит_спец),IF(C181=$S$8,SUMIFS(Однолинейка!$BX$3:$BX$3000,Однолинейка!$A$3:$A$3000,Щит_спец),""))),""))))</f>
        <v/>
      </c>
      <c r="O181" s="74"/>
      <c r="P181" s="38" t="str">
        <f t="shared" si="18"/>
        <v/>
      </c>
      <c r="U181" s="38" t="str">
        <f t="shared" si="19"/>
        <v/>
      </c>
      <c r="V181" s="38" t="str">
        <f t="shared" si="20"/>
        <v/>
      </c>
      <c r="W181" s="38" t="str">
        <f>IF(AND(U181&lt;&gt;"",OR($S$4="(все)",B181=$S$4),IF($S$4="(все)",COUNTIF($U$4:U181,U181),COUNTIFS($U$4:U181,U181,$B$4:B181,B181))=1),MAX($W$3:W180)+1,"")</f>
        <v/>
      </c>
      <c r="X181" s="38" t="str">
        <f t="shared" si="21"/>
        <v/>
      </c>
      <c r="Y181" s="38" t="str">
        <f>IF(AND(A181="Аппарат",C181&lt;&gt;"",OR($S$5="(все)",B181=$S$5)),MAX($Y$3:Y180)+1,"")</f>
        <v/>
      </c>
      <c r="Z181" s="38" t="str">
        <f t="shared" si="22"/>
        <v/>
      </c>
      <c r="AA181" s="38" t="str">
        <f>IF(AND(A181="Модуль",C181&lt;&gt;"",OR($S$6="(все)",B181=$S$6)),MAX($AA$3:AA180)+1,"")</f>
        <v/>
      </c>
      <c r="AB181" s="38" t="str">
        <f t="shared" si="23"/>
        <v/>
      </c>
      <c r="AC181" s="38" t="str">
        <f>IF(OR(B181="",COUNTIF($B$4:B181,B181)&gt;1),"",MAX($AC$3:AC180)+1)</f>
        <v/>
      </c>
      <c r="AD181" s="38" t="str">
        <f t="shared" si="24"/>
        <v/>
      </c>
      <c r="AE181" s="38" t="str">
        <f t="shared" si="25"/>
        <v/>
      </c>
      <c r="AF181" s="38" t="str">
        <f t="shared" si="26"/>
        <v/>
      </c>
    </row>
    <row r="182" spans="1:32" x14ac:dyDescent="0.3">
      <c r="A182" s="74"/>
      <c r="B182" s="74"/>
      <c r="C182" s="74"/>
      <c r="D182" s="74"/>
      <c r="E182" s="74"/>
      <c r="F182" s="74"/>
      <c r="G182" s="74"/>
      <c r="H182" s="74"/>
      <c r="I182" s="74"/>
      <c r="J182" s="74"/>
      <c r="K182" s="74"/>
      <c r="L182" s="74"/>
      <c r="M182" s="74"/>
      <c r="N182" s="38" t="str">
        <f>IF(OR(A182="Автомат",A182="Дифавтомат"),IF(W182="","",COUNTIFS(Однолинейка!$H$3:$H$3000,U182,Однолинейка!$A$3:$A$3000,Щит_спец)),IF(A182="Аппарат",IF(C182="","",COUNTIFS(Однолинейка!$I$3:$I$3000,C182,Однолинейка!$A$3:$A$3000,Щит_спец)+COUNTIFS(Однолинейка!$J$3:$J$3000,C182,Однолинейка!$A$3:$A$3000,Щит_спец)+COUNTIFS(Однолинейка!$K$3:$K$3000,C182,Однолинейка!$A$3:$A$3000,Щит_спец)),IF(A182="Модуль",IF(C182="","",COUNTIFS(Однолинейка!$AW$3:$AW$3000,"?*",Однолинейка!$AI$3:$AI$3000,C182,Однолинейка!$A$3:$A$3000,Щит_спец)),IF(A182="Клемма",IF(C182="","",IF(C182=$S$7,SUMIFS(Однолинейка!$BW$3:$BW$3000,Однолинейка!$A$3:$A$3000,Щит_спец),IF(C182=$S$8,SUMIFS(Однолинейка!$BX$3:$BX$3000,Однолинейка!$A$3:$A$3000,Щит_спец),""))),""))))</f>
        <v/>
      </c>
      <c r="O182" s="74"/>
      <c r="P182" s="38" t="str">
        <f t="shared" si="18"/>
        <v/>
      </c>
      <c r="U182" s="38" t="str">
        <f t="shared" si="19"/>
        <v/>
      </c>
      <c r="V182" s="38" t="str">
        <f t="shared" si="20"/>
        <v/>
      </c>
      <c r="W182" s="38" t="str">
        <f>IF(AND(U182&lt;&gt;"",OR($S$4="(все)",B182=$S$4),IF($S$4="(все)",COUNTIF($U$4:U182,U182),COUNTIFS($U$4:U182,U182,$B$4:B182,B182))=1),MAX($W$3:W181)+1,"")</f>
        <v/>
      </c>
      <c r="X182" s="38" t="str">
        <f t="shared" si="21"/>
        <v/>
      </c>
      <c r="Y182" s="38" t="str">
        <f>IF(AND(A182="Аппарат",C182&lt;&gt;"",OR($S$5="(все)",B182=$S$5)),MAX($Y$3:Y181)+1,"")</f>
        <v/>
      </c>
      <c r="Z182" s="38" t="str">
        <f t="shared" si="22"/>
        <v/>
      </c>
      <c r="AA182" s="38" t="str">
        <f>IF(AND(A182="Модуль",C182&lt;&gt;"",OR($S$6="(все)",B182=$S$6)),MAX($AA$3:AA181)+1,"")</f>
        <v/>
      </c>
      <c r="AB182" s="38" t="str">
        <f t="shared" si="23"/>
        <v/>
      </c>
      <c r="AC182" s="38" t="str">
        <f>IF(OR(B182="",COUNTIF($B$4:B182,B182)&gt;1),"",MAX($AC$3:AC181)+1)</f>
        <v/>
      </c>
      <c r="AD182" s="38" t="str">
        <f t="shared" si="24"/>
        <v/>
      </c>
      <c r="AE182" s="38" t="str">
        <f t="shared" si="25"/>
        <v/>
      </c>
      <c r="AF182" s="38" t="str">
        <f t="shared" si="26"/>
        <v/>
      </c>
    </row>
    <row r="183" spans="1:32" x14ac:dyDescent="0.3">
      <c r="A183" s="74"/>
      <c r="B183" s="74"/>
      <c r="C183" s="74"/>
      <c r="D183" s="74"/>
      <c r="E183" s="74"/>
      <c r="F183" s="74"/>
      <c r="G183" s="74"/>
      <c r="H183" s="74"/>
      <c r="I183" s="74"/>
      <c r="J183" s="74"/>
      <c r="K183" s="74"/>
      <c r="L183" s="74"/>
      <c r="M183" s="74"/>
      <c r="N183" s="38" t="str">
        <f>IF(OR(A183="Автомат",A183="Дифавтомат"),IF(W183="","",COUNTIFS(Однолинейка!$H$3:$H$3000,U183,Однолинейка!$A$3:$A$3000,Щит_спец)),IF(A183="Аппарат",IF(C183="","",COUNTIFS(Однолинейка!$I$3:$I$3000,C183,Однолинейка!$A$3:$A$3000,Щит_спец)+COUNTIFS(Однолинейка!$J$3:$J$3000,C183,Однолинейка!$A$3:$A$3000,Щит_спец)+COUNTIFS(Однолинейка!$K$3:$K$3000,C183,Однолинейка!$A$3:$A$3000,Щит_спец)),IF(A183="Модуль",IF(C183="","",COUNTIFS(Однолинейка!$AW$3:$AW$3000,"?*",Однолинейка!$AI$3:$AI$3000,C183,Однолинейка!$A$3:$A$3000,Щит_спец)),IF(A183="Клемма",IF(C183="","",IF(C183=$S$7,SUMIFS(Однолинейка!$BW$3:$BW$3000,Однолинейка!$A$3:$A$3000,Щит_спец),IF(C183=$S$8,SUMIFS(Однолинейка!$BX$3:$BX$3000,Однолинейка!$A$3:$A$3000,Щит_спец),""))),""))))</f>
        <v/>
      </c>
      <c r="O183" s="74"/>
      <c r="P183" s="38" t="str">
        <f t="shared" si="18"/>
        <v/>
      </c>
      <c r="U183" s="38" t="str">
        <f t="shared" si="19"/>
        <v/>
      </c>
      <c r="V183" s="38" t="str">
        <f t="shared" si="20"/>
        <v/>
      </c>
      <c r="W183" s="38" t="str">
        <f>IF(AND(U183&lt;&gt;"",OR($S$4="(все)",B183=$S$4),IF($S$4="(все)",COUNTIF($U$4:U183,U183),COUNTIFS($U$4:U183,U183,$B$4:B183,B183))=1),MAX($W$3:W182)+1,"")</f>
        <v/>
      </c>
      <c r="X183" s="38" t="str">
        <f t="shared" si="21"/>
        <v/>
      </c>
      <c r="Y183" s="38" t="str">
        <f>IF(AND(A183="Аппарат",C183&lt;&gt;"",OR($S$5="(все)",B183=$S$5)),MAX($Y$3:Y182)+1,"")</f>
        <v/>
      </c>
      <c r="Z183" s="38" t="str">
        <f t="shared" si="22"/>
        <v/>
      </c>
      <c r="AA183" s="38" t="str">
        <f>IF(AND(A183="Модуль",C183&lt;&gt;"",OR($S$6="(все)",B183=$S$6)),MAX($AA$3:AA182)+1,"")</f>
        <v/>
      </c>
      <c r="AB183" s="38" t="str">
        <f t="shared" si="23"/>
        <v/>
      </c>
      <c r="AC183" s="38" t="str">
        <f>IF(OR(B183="",COUNTIF($B$4:B183,B183)&gt;1),"",MAX($AC$3:AC182)+1)</f>
        <v/>
      </c>
      <c r="AD183" s="38" t="str">
        <f t="shared" si="24"/>
        <v/>
      </c>
      <c r="AE183" s="38" t="str">
        <f t="shared" si="25"/>
        <v/>
      </c>
      <c r="AF183" s="38" t="str">
        <f t="shared" si="26"/>
        <v/>
      </c>
    </row>
    <row r="184" spans="1:32" x14ac:dyDescent="0.3">
      <c r="A184" s="74"/>
      <c r="B184" s="74"/>
      <c r="C184" s="74"/>
      <c r="D184" s="74"/>
      <c r="E184" s="74"/>
      <c r="F184" s="74"/>
      <c r="G184" s="74"/>
      <c r="H184" s="74"/>
      <c r="I184" s="74"/>
      <c r="J184" s="74"/>
      <c r="K184" s="74"/>
      <c r="L184" s="74"/>
      <c r="M184" s="74"/>
      <c r="N184" s="38" t="str">
        <f>IF(OR(A184="Автомат",A184="Дифавтомат"),IF(W184="","",COUNTIFS(Однолинейка!$H$3:$H$3000,U184,Однолинейка!$A$3:$A$3000,Щит_спец)),IF(A184="Аппарат",IF(C184="","",COUNTIFS(Однолинейка!$I$3:$I$3000,C184,Однолинейка!$A$3:$A$3000,Щит_спец)+COUNTIFS(Однолинейка!$J$3:$J$3000,C184,Однолинейка!$A$3:$A$3000,Щит_спец)+COUNTIFS(Однолинейка!$K$3:$K$3000,C184,Однолинейка!$A$3:$A$3000,Щит_спец)),IF(A184="Модуль",IF(C184="","",COUNTIFS(Однолинейка!$AW$3:$AW$3000,"?*",Однолинейка!$AI$3:$AI$3000,C184,Однолинейка!$A$3:$A$3000,Щит_спец)),IF(A184="Клемма",IF(C184="","",IF(C184=$S$7,SUMIFS(Однолинейка!$BW$3:$BW$3000,Однолинейка!$A$3:$A$3000,Щит_спец),IF(C184=$S$8,SUMIFS(Однолинейка!$BX$3:$BX$3000,Однолинейка!$A$3:$A$3000,Щит_спец),""))),""))))</f>
        <v/>
      </c>
      <c r="O184" s="74"/>
      <c r="P184" s="38" t="str">
        <f t="shared" si="18"/>
        <v/>
      </c>
      <c r="U184" s="38" t="str">
        <f t="shared" si="19"/>
        <v/>
      </c>
      <c r="V184" s="38" t="str">
        <f t="shared" si="20"/>
        <v/>
      </c>
      <c r="W184" s="38" t="str">
        <f>IF(AND(U184&lt;&gt;"",OR($S$4="(все)",B184=$S$4),IF($S$4="(все)",COUNTIF($U$4:U184,U184),COUNTIFS($U$4:U184,U184,$B$4:B184,B184))=1),MAX($W$3:W183)+1,"")</f>
        <v/>
      </c>
      <c r="X184" s="38" t="str">
        <f t="shared" si="21"/>
        <v/>
      </c>
      <c r="Y184" s="38" t="str">
        <f>IF(AND(A184="Аппарат",C184&lt;&gt;"",OR($S$5="(все)",B184=$S$5)),MAX($Y$3:Y183)+1,"")</f>
        <v/>
      </c>
      <c r="Z184" s="38" t="str">
        <f t="shared" si="22"/>
        <v/>
      </c>
      <c r="AA184" s="38" t="str">
        <f>IF(AND(A184="Модуль",C184&lt;&gt;"",OR($S$6="(все)",B184=$S$6)),MAX($AA$3:AA183)+1,"")</f>
        <v/>
      </c>
      <c r="AB184" s="38" t="str">
        <f t="shared" si="23"/>
        <v/>
      </c>
      <c r="AC184" s="38" t="str">
        <f>IF(OR(B184="",COUNTIF($B$4:B184,B184)&gt;1),"",MAX($AC$3:AC183)+1)</f>
        <v/>
      </c>
      <c r="AD184" s="38" t="str">
        <f t="shared" si="24"/>
        <v/>
      </c>
      <c r="AE184" s="38" t="str">
        <f t="shared" si="25"/>
        <v/>
      </c>
      <c r="AF184" s="38" t="str">
        <f t="shared" si="26"/>
        <v/>
      </c>
    </row>
    <row r="185" spans="1:32" x14ac:dyDescent="0.3">
      <c r="A185" s="74"/>
      <c r="B185" s="74"/>
      <c r="C185" s="74"/>
      <c r="D185" s="74"/>
      <c r="E185" s="74"/>
      <c r="F185" s="74"/>
      <c r="G185" s="74"/>
      <c r="H185" s="74"/>
      <c r="I185" s="74"/>
      <c r="J185" s="74"/>
      <c r="K185" s="74"/>
      <c r="L185" s="74"/>
      <c r="M185" s="74"/>
      <c r="N185" s="38" t="str">
        <f>IF(OR(A185="Автомат",A185="Дифавтомат"),IF(W185="","",COUNTIFS(Однолинейка!$H$3:$H$3000,U185,Однолинейка!$A$3:$A$3000,Щит_спец)),IF(A185="Аппарат",IF(C185="","",COUNTIFS(Однолинейка!$I$3:$I$3000,C185,Однолинейка!$A$3:$A$3000,Щит_спец)+COUNTIFS(Однолинейка!$J$3:$J$3000,C185,Однолинейка!$A$3:$A$3000,Щит_спец)+COUNTIFS(Однолинейка!$K$3:$K$3000,C185,Однолинейка!$A$3:$A$3000,Щит_спец)),IF(A185="Модуль",IF(C185="","",COUNTIFS(Однолинейка!$AW$3:$AW$3000,"?*",Однолинейка!$AI$3:$AI$3000,C185,Однолинейка!$A$3:$A$3000,Щит_спец)),IF(A185="Клемма",IF(C185="","",IF(C185=$S$7,SUMIFS(Однолинейка!$BW$3:$BW$3000,Однолинейка!$A$3:$A$3000,Щит_спец),IF(C185=$S$8,SUMIFS(Однолинейка!$BX$3:$BX$3000,Однолинейка!$A$3:$A$3000,Щит_спец),""))),""))))</f>
        <v/>
      </c>
      <c r="O185" s="74"/>
      <c r="P185" s="38" t="str">
        <f t="shared" si="18"/>
        <v/>
      </c>
      <c r="U185" s="38" t="str">
        <f t="shared" si="19"/>
        <v/>
      </c>
      <c r="V185" s="38" t="str">
        <f t="shared" si="20"/>
        <v/>
      </c>
      <c r="W185" s="38" t="str">
        <f>IF(AND(U185&lt;&gt;"",OR($S$4="(все)",B185=$S$4),IF($S$4="(все)",COUNTIF($U$4:U185,U185),COUNTIFS($U$4:U185,U185,$B$4:B185,B185))=1),MAX($W$3:W184)+1,"")</f>
        <v/>
      </c>
      <c r="X185" s="38" t="str">
        <f t="shared" si="21"/>
        <v/>
      </c>
      <c r="Y185" s="38" t="str">
        <f>IF(AND(A185="Аппарат",C185&lt;&gt;"",OR($S$5="(все)",B185=$S$5)),MAX($Y$3:Y184)+1,"")</f>
        <v/>
      </c>
      <c r="Z185" s="38" t="str">
        <f t="shared" si="22"/>
        <v/>
      </c>
      <c r="AA185" s="38" t="str">
        <f>IF(AND(A185="Модуль",C185&lt;&gt;"",OR($S$6="(все)",B185=$S$6)),MAX($AA$3:AA184)+1,"")</f>
        <v/>
      </c>
      <c r="AB185" s="38" t="str">
        <f t="shared" si="23"/>
        <v/>
      </c>
      <c r="AC185" s="38" t="str">
        <f>IF(OR(B185="",COUNTIF($B$4:B185,B185)&gt;1),"",MAX($AC$3:AC184)+1)</f>
        <v/>
      </c>
      <c r="AD185" s="38" t="str">
        <f t="shared" si="24"/>
        <v/>
      </c>
      <c r="AE185" s="38" t="str">
        <f t="shared" si="25"/>
        <v/>
      </c>
      <c r="AF185" s="38" t="str">
        <f t="shared" si="26"/>
        <v/>
      </c>
    </row>
    <row r="186" spans="1:32" x14ac:dyDescent="0.3">
      <c r="A186" s="74"/>
      <c r="B186" s="74"/>
      <c r="C186" s="74"/>
      <c r="D186" s="74"/>
      <c r="E186" s="74"/>
      <c r="F186" s="74"/>
      <c r="G186" s="74"/>
      <c r="H186" s="74"/>
      <c r="I186" s="74"/>
      <c r="J186" s="74"/>
      <c r="K186" s="74"/>
      <c r="L186" s="74"/>
      <c r="M186" s="74"/>
      <c r="N186" s="38" t="str">
        <f>IF(OR(A186="Автомат",A186="Дифавтомат"),IF(W186="","",COUNTIFS(Однолинейка!$H$3:$H$3000,U186,Однолинейка!$A$3:$A$3000,Щит_спец)),IF(A186="Аппарат",IF(C186="","",COUNTIFS(Однолинейка!$I$3:$I$3000,C186,Однолинейка!$A$3:$A$3000,Щит_спец)+COUNTIFS(Однолинейка!$J$3:$J$3000,C186,Однолинейка!$A$3:$A$3000,Щит_спец)+COUNTIFS(Однолинейка!$K$3:$K$3000,C186,Однолинейка!$A$3:$A$3000,Щит_спец)),IF(A186="Модуль",IF(C186="","",COUNTIFS(Однолинейка!$AW$3:$AW$3000,"?*",Однолинейка!$AI$3:$AI$3000,C186,Однолинейка!$A$3:$A$3000,Щит_спец)),IF(A186="Клемма",IF(C186="","",IF(C186=$S$7,SUMIFS(Однолинейка!$BW$3:$BW$3000,Однолинейка!$A$3:$A$3000,Щит_спец),IF(C186=$S$8,SUMIFS(Однолинейка!$BX$3:$BX$3000,Однолинейка!$A$3:$A$3000,Щит_спец),""))),""))))</f>
        <v/>
      </c>
      <c r="O186" s="74"/>
      <c r="P186" s="38" t="str">
        <f t="shared" si="18"/>
        <v/>
      </c>
      <c r="U186" s="38" t="str">
        <f t="shared" si="19"/>
        <v/>
      </c>
      <c r="V186" s="38" t="str">
        <f t="shared" si="20"/>
        <v/>
      </c>
      <c r="W186" s="38" t="str">
        <f>IF(AND(U186&lt;&gt;"",OR($S$4="(все)",B186=$S$4),IF($S$4="(все)",COUNTIF($U$4:U186,U186),COUNTIFS($U$4:U186,U186,$B$4:B186,B186))=1),MAX($W$3:W185)+1,"")</f>
        <v/>
      </c>
      <c r="X186" s="38" t="str">
        <f t="shared" si="21"/>
        <v/>
      </c>
      <c r="Y186" s="38" t="str">
        <f>IF(AND(A186="Аппарат",C186&lt;&gt;"",OR($S$5="(все)",B186=$S$5)),MAX($Y$3:Y185)+1,"")</f>
        <v/>
      </c>
      <c r="Z186" s="38" t="str">
        <f t="shared" si="22"/>
        <v/>
      </c>
      <c r="AA186" s="38" t="str">
        <f>IF(AND(A186="Модуль",C186&lt;&gt;"",OR($S$6="(все)",B186=$S$6)),MAX($AA$3:AA185)+1,"")</f>
        <v/>
      </c>
      <c r="AB186" s="38" t="str">
        <f t="shared" si="23"/>
        <v/>
      </c>
      <c r="AC186" s="38" t="str">
        <f>IF(OR(B186="",COUNTIF($B$4:B186,B186)&gt;1),"",MAX($AC$3:AC185)+1)</f>
        <v/>
      </c>
      <c r="AD186" s="38" t="str">
        <f t="shared" si="24"/>
        <v/>
      </c>
      <c r="AE186" s="38" t="str">
        <f t="shared" si="25"/>
        <v/>
      </c>
      <c r="AF186" s="38" t="str">
        <f t="shared" si="26"/>
        <v/>
      </c>
    </row>
    <row r="187" spans="1:32" x14ac:dyDescent="0.3">
      <c r="A187" s="74"/>
      <c r="B187" s="74"/>
      <c r="C187" s="74"/>
      <c r="D187" s="74"/>
      <c r="E187" s="74"/>
      <c r="F187" s="74"/>
      <c r="G187" s="74"/>
      <c r="H187" s="74"/>
      <c r="I187" s="74"/>
      <c r="J187" s="74"/>
      <c r="K187" s="74"/>
      <c r="L187" s="74"/>
      <c r="M187" s="74"/>
      <c r="N187" s="38" t="str">
        <f>IF(OR(A187="Автомат",A187="Дифавтомат"),IF(W187="","",COUNTIFS(Однолинейка!$H$3:$H$3000,U187,Однолинейка!$A$3:$A$3000,Щит_спец)),IF(A187="Аппарат",IF(C187="","",COUNTIFS(Однолинейка!$I$3:$I$3000,C187,Однолинейка!$A$3:$A$3000,Щит_спец)+COUNTIFS(Однолинейка!$J$3:$J$3000,C187,Однолинейка!$A$3:$A$3000,Щит_спец)+COUNTIFS(Однолинейка!$K$3:$K$3000,C187,Однолинейка!$A$3:$A$3000,Щит_спец)),IF(A187="Модуль",IF(C187="","",COUNTIFS(Однолинейка!$AW$3:$AW$3000,"?*",Однолинейка!$AI$3:$AI$3000,C187,Однолинейка!$A$3:$A$3000,Щит_спец)),IF(A187="Клемма",IF(C187="","",IF(C187=$S$7,SUMIFS(Однолинейка!$BW$3:$BW$3000,Однолинейка!$A$3:$A$3000,Щит_спец),IF(C187=$S$8,SUMIFS(Однолинейка!$BX$3:$BX$3000,Однолинейка!$A$3:$A$3000,Щит_спец),""))),""))))</f>
        <v/>
      </c>
      <c r="O187" s="74"/>
      <c r="P187" s="38" t="str">
        <f t="shared" si="18"/>
        <v/>
      </c>
      <c r="U187" s="38" t="str">
        <f t="shared" si="19"/>
        <v/>
      </c>
      <c r="V187" s="38" t="str">
        <f t="shared" si="20"/>
        <v/>
      </c>
      <c r="W187" s="38" t="str">
        <f>IF(AND(U187&lt;&gt;"",OR($S$4="(все)",B187=$S$4),IF($S$4="(все)",COUNTIF($U$4:U187,U187),COUNTIFS($U$4:U187,U187,$B$4:B187,B187))=1),MAX($W$3:W186)+1,"")</f>
        <v/>
      </c>
      <c r="X187" s="38" t="str">
        <f t="shared" si="21"/>
        <v/>
      </c>
      <c r="Y187" s="38" t="str">
        <f>IF(AND(A187="Аппарат",C187&lt;&gt;"",OR($S$5="(все)",B187=$S$5)),MAX($Y$3:Y186)+1,"")</f>
        <v/>
      </c>
      <c r="Z187" s="38" t="str">
        <f t="shared" si="22"/>
        <v/>
      </c>
      <c r="AA187" s="38" t="str">
        <f>IF(AND(A187="Модуль",C187&lt;&gt;"",OR($S$6="(все)",B187=$S$6)),MAX($AA$3:AA186)+1,"")</f>
        <v/>
      </c>
      <c r="AB187" s="38" t="str">
        <f t="shared" si="23"/>
        <v/>
      </c>
      <c r="AC187" s="38" t="str">
        <f>IF(OR(B187="",COUNTIF($B$4:B187,B187)&gt;1),"",MAX($AC$3:AC186)+1)</f>
        <v/>
      </c>
      <c r="AD187" s="38" t="str">
        <f t="shared" si="24"/>
        <v/>
      </c>
      <c r="AE187" s="38" t="str">
        <f t="shared" si="25"/>
        <v/>
      </c>
      <c r="AF187" s="38" t="str">
        <f t="shared" si="26"/>
        <v/>
      </c>
    </row>
    <row r="188" spans="1:32" x14ac:dyDescent="0.3">
      <c r="A188" s="74"/>
      <c r="B188" s="74"/>
      <c r="C188" s="74"/>
      <c r="D188" s="74"/>
      <c r="E188" s="74"/>
      <c r="F188" s="74"/>
      <c r="G188" s="74"/>
      <c r="H188" s="74"/>
      <c r="I188" s="74"/>
      <c r="J188" s="74"/>
      <c r="K188" s="74"/>
      <c r="L188" s="74"/>
      <c r="M188" s="74"/>
      <c r="N188" s="38" t="str">
        <f>IF(OR(A188="Автомат",A188="Дифавтомат"),IF(W188="","",COUNTIFS(Однолинейка!$H$3:$H$3000,U188,Однолинейка!$A$3:$A$3000,Щит_спец)),IF(A188="Аппарат",IF(C188="","",COUNTIFS(Однолинейка!$I$3:$I$3000,C188,Однолинейка!$A$3:$A$3000,Щит_спец)+COUNTIFS(Однолинейка!$J$3:$J$3000,C188,Однолинейка!$A$3:$A$3000,Щит_спец)+COUNTIFS(Однолинейка!$K$3:$K$3000,C188,Однолинейка!$A$3:$A$3000,Щит_спец)),IF(A188="Модуль",IF(C188="","",COUNTIFS(Однолинейка!$AW$3:$AW$3000,"?*",Однолинейка!$AI$3:$AI$3000,C188,Однолинейка!$A$3:$A$3000,Щит_спец)),IF(A188="Клемма",IF(C188="","",IF(C188=$S$7,SUMIFS(Однолинейка!$BW$3:$BW$3000,Однолинейка!$A$3:$A$3000,Щит_спец),IF(C188=$S$8,SUMIFS(Однолинейка!$BX$3:$BX$3000,Однолинейка!$A$3:$A$3000,Щит_спец),""))),""))))</f>
        <v/>
      </c>
      <c r="O188" s="74"/>
      <c r="P188" s="38" t="str">
        <f t="shared" si="18"/>
        <v/>
      </c>
      <c r="U188" s="38" t="str">
        <f t="shared" si="19"/>
        <v/>
      </c>
      <c r="V188" s="38" t="str">
        <f t="shared" si="20"/>
        <v/>
      </c>
      <c r="W188" s="38" t="str">
        <f>IF(AND(U188&lt;&gt;"",OR($S$4="(все)",B188=$S$4),IF($S$4="(все)",COUNTIF($U$4:U188,U188),COUNTIFS($U$4:U188,U188,$B$4:B188,B188))=1),MAX($W$3:W187)+1,"")</f>
        <v/>
      </c>
      <c r="X188" s="38" t="str">
        <f t="shared" si="21"/>
        <v/>
      </c>
      <c r="Y188" s="38" t="str">
        <f>IF(AND(A188="Аппарат",C188&lt;&gt;"",OR($S$5="(все)",B188=$S$5)),MAX($Y$3:Y187)+1,"")</f>
        <v/>
      </c>
      <c r="Z188" s="38" t="str">
        <f t="shared" si="22"/>
        <v/>
      </c>
      <c r="AA188" s="38" t="str">
        <f>IF(AND(A188="Модуль",C188&lt;&gt;"",OR($S$6="(все)",B188=$S$6)),MAX($AA$3:AA187)+1,"")</f>
        <v/>
      </c>
      <c r="AB188" s="38" t="str">
        <f t="shared" si="23"/>
        <v/>
      </c>
      <c r="AC188" s="38" t="str">
        <f>IF(OR(B188="",COUNTIF($B$4:B188,B188)&gt;1),"",MAX($AC$3:AC187)+1)</f>
        <v/>
      </c>
      <c r="AD188" s="38" t="str">
        <f t="shared" si="24"/>
        <v/>
      </c>
      <c r="AE188" s="38" t="str">
        <f t="shared" si="25"/>
        <v/>
      </c>
      <c r="AF188" s="38" t="str">
        <f t="shared" si="26"/>
        <v/>
      </c>
    </row>
    <row r="189" spans="1:32" x14ac:dyDescent="0.3">
      <c r="A189" s="74"/>
      <c r="B189" s="74"/>
      <c r="C189" s="74"/>
      <c r="D189" s="74"/>
      <c r="E189" s="74"/>
      <c r="F189" s="74"/>
      <c r="G189" s="74"/>
      <c r="H189" s="74"/>
      <c r="I189" s="74"/>
      <c r="J189" s="74"/>
      <c r="K189" s="74"/>
      <c r="L189" s="74"/>
      <c r="M189" s="74"/>
      <c r="N189" s="38" t="str">
        <f>IF(OR(A189="Автомат",A189="Дифавтомат"),IF(W189="","",COUNTIFS(Однолинейка!$H$3:$H$3000,U189,Однолинейка!$A$3:$A$3000,Щит_спец)),IF(A189="Аппарат",IF(C189="","",COUNTIFS(Однолинейка!$I$3:$I$3000,C189,Однолинейка!$A$3:$A$3000,Щит_спец)+COUNTIFS(Однолинейка!$J$3:$J$3000,C189,Однолинейка!$A$3:$A$3000,Щит_спец)+COUNTIFS(Однолинейка!$K$3:$K$3000,C189,Однолинейка!$A$3:$A$3000,Щит_спец)),IF(A189="Модуль",IF(C189="","",COUNTIFS(Однолинейка!$AW$3:$AW$3000,"?*",Однолинейка!$AI$3:$AI$3000,C189,Однолинейка!$A$3:$A$3000,Щит_спец)),IF(A189="Клемма",IF(C189="","",IF(C189=$S$7,SUMIFS(Однолинейка!$BW$3:$BW$3000,Однолинейка!$A$3:$A$3000,Щит_спец),IF(C189=$S$8,SUMIFS(Однолинейка!$BX$3:$BX$3000,Однолинейка!$A$3:$A$3000,Щит_спец),""))),""))))</f>
        <v/>
      </c>
      <c r="O189" s="74"/>
      <c r="P189" s="38" t="str">
        <f t="shared" si="18"/>
        <v/>
      </c>
      <c r="U189" s="38" t="str">
        <f t="shared" si="19"/>
        <v/>
      </c>
      <c r="V189" s="38" t="str">
        <f t="shared" si="20"/>
        <v/>
      </c>
      <c r="W189" s="38" t="str">
        <f>IF(AND(U189&lt;&gt;"",OR($S$4="(все)",B189=$S$4),IF($S$4="(все)",COUNTIF($U$4:U189,U189),COUNTIFS($U$4:U189,U189,$B$4:B189,B189))=1),MAX($W$3:W188)+1,"")</f>
        <v/>
      </c>
      <c r="X189" s="38" t="str">
        <f t="shared" si="21"/>
        <v/>
      </c>
      <c r="Y189" s="38" t="str">
        <f>IF(AND(A189="Аппарат",C189&lt;&gt;"",OR($S$5="(все)",B189=$S$5)),MAX($Y$3:Y188)+1,"")</f>
        <v/>
      </c>
      <c r="Z189" s="38" t="str">
        <f t="shared" si="22"/>
        <v/>
      </c>
      <c r="AA189" s="38" t="str">
        <f>IF(AND(A189="Модуль",C189&lt;&gt;"",OR($S$6="(все)",B189=$S$6)),MAX($AA$3:AA188)+1,"")</f>
        <v/>
      </c>
      <c r="AB189" s="38" t="str">
        <f t="shared" si="23"/>
        <v/>
      </c>
      <c r="AC189" s="38" t="str">
        <f>IF(OR(B189="",COUNTIF($B$4:B189,B189)&gt;1),"",MAX($AC$3:AC188)+1)</f>
        <v/>
      </c>
      <c r="AD189" s="38" t="str">
        <f t="shared" si="24"/>
        <v/>
      </c>
      <c r="AE189" s="38" t="str">
        <f t="shared" si="25"/>
        <v/>
      </c>
      <c r="AF189" s="38" t="str">
        <f t="shared" si="26"/>
        <v/>
      </c>
    </row>
    <row r="190" spans="1:32" x14ac:dyDescent="0.3">
      <c r="A190" s="74"/>
      <c r="B190" s="74"/>
      <c r="C190" s="74"/>
      <c r="D190" s="74"/>
      <c r="E190" s="74"/>
      <c r="F190" s="74"/>
      <c r="G190" s="74"/>
      <c r="H190" s="74"/>
      <c r="I190" s="74"/>
      <c r="J190" s="74"/>
      <c r="K190" s="74"/>
      <c r="L190" s="74"/>
      <c r="M190" s="74"/>
      <c r="N190" s="38" t="str">
        <f>IF(OR(A190="Автомат",A190="Дифавтомат"),IF(W190="","",COUNTIFS(Однолинейка!$H$3:$H$3000,U190,Однолинейка!$A$3:$A$3000,Щит_спец)),IF(A190="Аппарат",IF(C190="","",COUNTIFS(Однолинейка!$I$3:$I$3000,C190,Однолинейка!$A$3:$A$3000,Щит_спец)+COUNTIFS(Однолинейка!$J$3:$J$3000,C190,Однолинейка!$A$3:$A$3000,Щит_спец)+COUNTIFS(Однолинейка!$K$3:$K$3000,C190,Однолинейка!$A$3:$A$3000,Щит_спец)),IF(A190="Модуль",IF(C190="","",COUNTIFS(Однолинейка!$AW$3:$AW$3000,"?*",Однолинейка!$AI$3:$AI$3000,C190,Однолинейка!$A$3:$A$3000,Щит_спец)),IF(A190="Клемма",IF(C190="","",IF(C190=$S$7,SUMIFS(Однолинейка!$BW$3:$BW$3000,Однолинейка!$A$3:$A$3000,Щит_спец),IF(C190=$S$8,SUMIFS(Однолинейка!$BX$3:$BX$3000,Однолинейка!$A$3:$A$3000,Щит_спец),""))),""))))</f>
        <v/>
      </c>
      <c r="O190" s="74"/>
      <c r="P190" s="38" t="str">
        <f t="shared" si="18"/>
        <v/>
      </c>
      <c r="U190" s="38" t="str">
        <f t="shared" si="19"/>
        <v/>
      </c>
      <c r="V190" s="38" t="str">
        <f t="shared" si="20"/>
        <v/>
      </c>
      <c r="W190" s="38" t="str">
        <f>IF(AND(U190&lt;&gt;"",OR($S$4="(все)",B190=$S$4),IF($S$4="(все)",COUNTIF($U$4:U190,U190),COUNTIFS($U$4:U190,U190,$B$4:B190,B190))=1),MAX($W$3:W189)+1,"")</f>
        <v/>
      </c>
      <c r="X190" s="38" t="str">
        <f t="shared" si="21"/>
        <v/>
      </c>
      <c r="Y190" s="38" t="str">
        <f>IF(AND(A190="Аппарат",C190&lt;&gt;"",OR($S$5="(все)",B190=$S$5)),MAX($Y$3:Y189)+1,"")</f>
        <v/>
      </c>
      <c r="Z190" s="38" t="str">
        <f t="shared" si="22"/>
        <v/>
      </c>
      <c r="AA190" s="38" t="str">
        <f>IF(AND(A190="Модуль",C190&lt;&gt;"",OR($S$6="(все)",B190=$S$6)),MAX($AA$3:AA189)+1,"")</f>
        <v/>
      </c>
      <c r="AB190" s="38" t="str">
        <f t="shared" si="23"/>
        <v/>
      </c>
      <c r="AC190" s="38" t="str">
        <f>IF(OR(B190="",COUNTIF($B$4:B190,B190)&gt;1),"",MAX($AC$3:AC189)+1)</f>
        <v/>
      </c>
      <c r="AD190" s="38" t="str">
        <f t="shared" si="24"/>
        <v/>
      </c>
      <c r="AE190" s="38" t="str">
        <f t="shared" si="25"/>
        <v/>
      </c>
      <c r="AF190" s="38" t="str">
        <f t="shared" si="26"/>
        <v/>
      </c>
    </row>
    <row r="191" spans="1:32" x14ac:dyDescent="0.3">
      <c r="A191" s="74"/>
      <c r="B191" s="74"/>
      <c r="C191" s="74"/>
      <c r="D191" s="74"/>
      <c r="E191" s="74"/>
      <c r="F191" s="74"/>
      <c r="G191" s="74"/>
      <c r="H191" s="74"/>
      <c r="I191" s="74"/>
      <c r="J191" s="74"/>
      <c r="K191" s="74"/>
      <c r="L191" s="74"/>
      <c r="M191" s="74"/>
      <c r="N191" s="38" t="str">
        <f>IF(OR(A191="Автомат",A191="Дифавтомат"),IF(W191="","",COUNTIFS(Однолинейка!$H$3:$H$3000,U191,Однолинейка!$A$3:$A$3000,Щит_спец)),IF(A191="Аппарат",IF(C191="","",COUNTIFS(Однолинейка!$I$3:$I$3000,C191,Однолинейка!$A$3:$A$3000,Щит_спец)+COUNTIFS(Однолинейка!$J$3:$J$3000,C191,Однолинейка!$A$3:$A$3000,Щит_спец)+COUNTIFS(Однолинейка!$K$3:$K$3000,C191,Однолинейка!$A$3:$A$3000,Щит_спец)),IF(A191="Модуль",IF(C191="","",COUNTIFS(Однолинейка!$AW$3:$AW$3000,"?*",Однолинейка!$AI$3:$AI$3000,C191,Однолинейка!$A$3:$A$3000,Щит_спец)),IF(A191="Клемма",IF(C191="","",IF(C191=$S$7,SUMIFS(Однолинейка!$BW$3:$BW$3000,Однолинейка!$A$3:$A$3000,Щит_спец),IF(C191=$S$8,SUMIFS(Однолинейка!$BX$3:$BX$3000,Однолинейка!$A$3:$A$3000,Щит_спец),""))),""))))</f>
        <v/>
      </c>
      <c r="O191" s="74"/>
      <c r="P191" s="38" t="str">
        <f t="shared" si="18"/>
        <v/>
      </c>
      <c r="U191" s="38" t="str">
        <f t="shared" si="19"/>
        <v/>
      </c>
      <c r="V191" s="38" t="str">
        <f t="shared" si="20"/>
        <v/>
      </c>
      <c r="W191" s="38" t="str">
        <f>IF(AND(U191&lt;&gt;"",OR($S$4="(все)",B191=$S$4),IF($S$4="(все)",COUNTIF($U$4:U191,U191),COUNTIFS($U$4:U191,U191,$B$4:B191,B191))=1),MAX($W$3:W190)+1,"")</f>
        <v/>
      </c>
      <c r="X191" s="38" t="str">
        <f t="shared" si="21"/>
        <v/>
      </c>
      <c r="Y191" s="38" t="str">
        <f>IF(AND(A191="Аппарат",C191&lt;&gt;"",OR($S$5="(все)",B191=$S$5)),MAX($Y$3:Y190)+1,"")</f>
        <v/>
      </c>
      <c r="Z191" s="38" t="str">
        <f t="shared" si="22"/>
        <v/>
      </c>
      <c r="AA191" s="38" t="str">
        <f>IF(AND(A191="Модуль",C191&lt;&gt;"",OR($S$6="(все)",B191=$S$6)),MAX($AA$3:AA190)+1,"")</f>
        <v/>
      </c>
      <c r="AB191" s="38" t="str">
        <f t="shared" si="23"/>
        <v/>
      </c>
      <c r="AC191" s="38" t="str">
        <f>IF(OR(B191="",COUNTIF($B$4:B191,B191)&gt;1),"",MAX($AC$3:AC190)+1)</f>
        <v/>
      </c>
      <c r="AD191" s="38" t="str">
        <f t="shared" si="24"/>
        <v/>
      </c>
      <c r="AE191" s="38" t="str">
        <f t="shared" si="25"/>
        <v/>
      </c>
      <c r="AF191" s="38" t="str">
        <f t="shared" si="26"/>
        <v/>
      </c>
    </row>
    <row r="192" spans="1:32" x14ac:dyDescent="0.3">
      <c r="A192" s="74"/>
      <c r="B192" s="74"/>
      <c r="C192" s="74"/>
      <c r="D192" s="74"/>
      <c r="E192" s="74"/>
      <c r="F192" s="74"/>
      <c r="G192" s="74"/>
      <c r="H192" s="74"/>
      <c r="I192" s="74"/>
      <c r="J192" s="74"/>
      <c r="K192" s="74"/>
      <c r="L192" s="74"/>
      <c r="M192" s="74"/>
      <c r="N192" s="38" t="str">
        <f>IF(OR(A192="Автомат",A192="Дифавтомат"),IF(W192="","",COUNTIFS(Однолинейка!$H$3:$H$3000,U192,Однолинейка!$A$3:$A$3000,Щит_спец)),IF(A192="Аппарат",IF(C192="","",COUNTIFS(Однолинейка!$I$3:$I$3000,C192,Однолинейка!$A$3:$A$3000,Щит_спец)+COUNTIFS(Однолинейка!$J$3:$J$3000,C192,Однолинейка!$A$3:$A$3000,Щит_спец)+COUNTIFS(Однолинейка!$K$3:$K$3000,C192,Однолинейка!$A$3:$A$3000,Щит_спец)),IF(A192="Модуль",IF(C192="","",COUNTIFS(Однолинейка!$AW$3:$AW$3000,"?*",Однолинейка!$AI$3:$AI$3000,C192,Однолинейка!$A$3:$A$3000,Щит_спец)),IF(A192="Клемма",IF(C192="","",IF(C192=$S$7,SUMIFS(Однолинейка!$BW$3:$BW$3000,Однолинейка!$A$3:$A$3000,Щит_спец),IF(C192=$S$8,SUMIFS(Однолинейка!$BX$3:$BX$3000,Однолинейка!$A$3:$A$3000,Щит_спец),""))),""))))</f>
        <v/>
      </c>
      <c r="O192" s="74"/>
      <c r="P192" s="38" t="str">
        <f t="shared" si="18"/>
        <v/>
      </c>
      <c r="U192" s="38" t="str">
        <f t="shared" si="19"/>
        <v/>
      </c>
      <c r="V192" s="38" t="str">
        <f t="shared" si="20"/>
        <v/>
      </c>
      <c r="W192" s="38" t="str">
        <f>IF(AND(U192&lt;&gt;"",OR($S$4="(все)",B192=$S$4),IF($S$4="(все)",COUNTIF($U$4:U192,U192),COUNTIFS($U$4:U192,U192,$B$4:B192,B192))=1),MAX($W$3:W191)+1,"")</f>
        <v/>
      </c>
      <c r="X192" s="38" t="str">
        <f t="shared" si="21"/>
        <v/>
      </c>
      <c r="Y192" s="38" t="str">
        <f>IF(AND(A192="Аппарат",C192&lt;&gt;"",OR($S$5="(все)",B192=$S$5)),MAX($Y$3:Y191)+1,"")</f>
        <v/>
      </c>
      <c r="Z192" s="38" t="str">
        <f t="shared" si="22"/>
        <v/>
      </c>
      <c r="AA192" s="38" t="str">
        <f>IF(AND(A192="Модуль",C192&lt;&gt;"",OR($S$6="(все)",B192=$S$6)),MAX($AA$3:AA191)+1,"")</f>
        <v/>
      </c>
      <c r="AB192" s="38" t="str">
        <f t="shared" si="23"/>
        <v/>
      </c>
      <c r="AC192" s="38" t="str">
        <f>IF(OR(B192="",COUNTIF($B$4:B192,B192)&gt;1),"",MAX($AC$3:AC191)+1)</f>
        <v/>
      </c>
      <c r="AD192" s="38" t="str">
        <f t="shared" si="24"/>
        <v/>
      </c>
      <c r="AE192" s="38" t="str">
        <f t="shared" si="25"/>
        <v/>
      </c>
      <c r="AF192" s="38" t="str">
        <f t="shared" si="26"/>
        <v/>
      </c>
    </row>
    <row r="193" spans="1:32" x14ac:dyDescent="0.3">
      <c r="A193" s="74"/>
      <c r="B193" s="74"/>
      <c r="C193" s="74"/>
      <c r="D193" s="74"/>
      <c r="E193" s="74"/>
      <c r="F193" s="74"/>
      <c r="G193" s="74"/>
      <c r="H193" s="74"/>
      <c r="I193" s="74"/>
      <c r="J193" s="74"/>
      <c r="K193" s="74"/>
      <c r="L193" s="74"/>
      <c r="M193" s="74"/>
      <c r="N193" s="38" t="str">
        <f>IF(OR(A193="Автомат",A193="Дифавтомат"),IF(W193="","",COUNTIFS(Однолинейка!$H$3:$H$3000,U193,Однолинейка!$A$3:$A$3000,Щит_спец)),IF(A193="Аппарат",IF(C193="","",COUNTIFS(Однолинейка!$I$3:$I$3000,C193,Однолинейка!$A$3:$A$3000,Щит_спец)+COUNTIFS(Однолинейка!$J$3:$J$3000,C193,Однолинейка!$A$3:$A$3000,Щит_спец)+COUNTIFS(Однолинейка!$K$3:$K$3000,C193,Однолинейка!$A$3:$A$3000,Щит_спец)),IF(A193="Модуль",IF(C193="","",COUNTIFS(Однолинейка!$AW$3:$AW$3000,"?*",Однолинейка!$AI$3:$AI$3000,C193,Однолинейка!$A$3:$A$3000,Щит_спец)),IF(A193="Клемма",IF(C193="","",IF(C193=$S$7,SUMIFS(Однолинейка!$BW$3:$BW$3000,Однолинейка!$A$3:$A$3000,Щит_спец),IF(C193=$S$8,SUMIFS(Однолинейка!$BX$3:$BX$3000,Однолинейка!$A$3:$A$3000,Щит_спец),""))),""))))</f>
        <v/>
      </c>
      <c r="O193" s="74"/>
      <c r="P193" s="38" t="str">
        <f t="shared" si="18"/>
        <v/>
      </c>
      <c r="U193" s="38" t="str">
        <f t="shared" si="19"/>
        <v/>
      </c>
      <c r="V193" s="38" t="str">
        <f t="shared" si="20"/>
        <v/>
      </c>
      <c r="W193" s="38" t="str">
        <f>IF(AND(U193&lt;&gt;"",OR($S$4="(все)",B193=$S$4),IF($S$4="(все)",COUNTIF($U$4:U193,U193),COUNTIFS($U$4:U193,U193,$B$4:B193,B193))=1),MAX($W$3:W192)+1,"")</f>
        <v/>
      </c>
      <c r="X193" s="38" t="str">
        <f t="shared" si="21"/>
        <v/>
      </c>
      <c r="Y193" s="38" t="str">
        <f>IF(AND(A193="Аппарат",C193&lt;&gt;"",OR($S$5="(все)",B193=$S$5)),MAX($Y$3:Y192)+1,"")</f>
        <v/>
      </c>
      <c r="Z193" s="38" t="str">
        <f t="shared" si="22"/>
        <v/>
      </c>
      <c r="AA193" s="38" t="str">
        <f>IF(AND(A193="Модуль",C193&lt;&gt;"",OR($S$6="(все)",B193=$S$6)),MAX($AA$3:AA192)+1,"")</f>
        <v/>
      </c>
      <c r="AB193" s="38" t="str">
        <f t="shared" si="23"/>
        <v/>
      </c>
      <c r="AC193" s="38" t="str">
        <f>IF(OR(B193="",COUNTIF($B$4:B193,B193)&gt;1),"",MAX($AC$3:AC192)+1)</f>
        <v/>
      </c>
      <c r="AD193" s="38" t="str">
        <f t="shared" si="24"/>
        <v/>
      </c>
      <c r="AE193" s="38" t="str">
        <f t="shared" si="25"/>
        <v/>
      </c>
      <c r="AF193" s="38" t="str">
        <f t="shared" si="26"/>
        <v/>
      </c>
    </row>
    <row r="194" spans="1:32" x14ac:dyDescent="0.3">
      <c r="A194" s="74"/>
      <c r="B194" s="74"/>
      <c r="C194" s="74"/>
      <c r="D194" s="74"/>
      <c r="E194" s="74"/>
      <c r="F194" s="74"/>
      <c r="G194" s="74"/>
      <c r="H194" s="74"/>
      <c r="I194" s="74"/>
      <c r="J194" s="74"/>
      <c r="K194" s="74"/>
      <c r="L194" s="74"/>
      <c r="M194" s="74"/>
      <c r="N194" s="38" t="str">
        <f>IF(OR(A194="Автомат",A194="Дифавтомат"),IF(W194="","",COUNTIFS(Однолинейка!$H$3:$H$3000,U194,Однолинейка!$A$3:$A$3000,Щит_спец)),IF(A194="Аппарат",IF(C194="","",COUNTIFS(Однолинейка!$I$3:$I$3000,C194,Однолинейка!$A$3:$A$3000,Щит_спец)+COUNTIFS(Однолинейка!$J$3:$J$3000,C194,Однолинейка!$A$3:$A$3000,Щит_спец)+COUNTIFS(Однолинейка!$K$3:$K$3000,C194,Однолинейка!$A$3:$A$3000,Щит_спец)),IF(A194="Модуль",IF(C194="","",COUNTIFS(Однолинейка!$AW$3:$AW$3000,"?*",Однолинейка!$AI$3:$AI$3000,C194,Однолинейка!$A$3:$A$3000,Щит_спец)),IF(A194="Клемма",IF(C194="","",IF(C194=$S$7,SUMIFS(Однолинейка!$BW$3:$BW$3000,Однолинейка!$A$3:$A$3000,Щит_спец),IF(C194=$S$8,SUMIFS(Однолинейка!$BX$3:$BX$3000,Однолинейка!$A$3:$A$3000,Щит_спец),""))),""))))</f>
        <v/>
      </c>
      <c r="O194" s="74"/>
      <c r="P194" s="38" t="str">
        <f t="shared" si="18"/>
        <v/>
      </c>
      <c r="U194" s="38" t="str">
        <f t="shared" si="19"/>
        <v/>
      </c>
      <c r="V194" s="38" t="str">
        <f t="shared" si="20"/>
        <v/>
      </c>
      <c r="W194" s="38" t="str">
        <f>IF(AND(U194&lt;&gt;"",OR($S$4="(все)",B194=$S$4),IF($S$4="(все)",COUNTIF($U$4:U194,U194),COUNTIFS($U$4:U194,U194,$B$4:B194,B194))=1),MAX($W$3:W193)+1,"")</f>
        <v/>
      </c>
      <c r="X194" s="38" t="str">
        <f t="shared" si="21"/>
        <v/>
      </c>
      <c r="Y194" s="38" t="str">
        <f>IF(AND(A194="Аппарат",C194&lt;&gt;"",OR($S$5="(все)",B194=$S$5)),MAX($Y$3:Y193)+1,"")</f>
        <v/>
      </c>
      <c r="Z194" s="38" t="str">
        <f t="shared" si="22"/>
        <v/>
      </c>
      <c r="AA194" s="38" t="str">
        <f>IF(AND(A194="Модуль",C194&lt;&gt;"",OR($S$6="(все)",B194=$S$6)),MAX($AA$3:AA193)+1,"")</f>
        <v/>
      </c>
      <c r="AB194" s="38" t="str">
        <f t="shared" si="23"/>
        <v/>
      </c>
      <c r="AC194" s="38" t="str">
        <f>IF(OR(B194="",COUNTIF($B$4:B194,B194)&gt;1),"",MAX($AC$3:AC193)+1)</f>
        <v/>
      </c>
      <c r="AD194" s="38" t="str">
        <f t="shared" si="24"/>
        <v/>
      </c>
      <c r="AE194" s="38" t="str">
        <f t="shared" si="25"/>
        <v/>
      </c>
      <c r="AF194" s="38" t="str">
        <f t="shared" si="26"/>
        <v/>
      </c>
    </row>
    <row r="195" spans="1:32" x14ac:dyDescent="0.3">
      <c r="A195" s="74"/>
      <c r="B195" s="74"/>
      <c r="C195" s="74"/>
      <c r="D195" s="74"/>
      <c r="E195" s="74"/>
      <c r="F195" s="74"/>
      <c r="G195" s="74"/>
      <c r="H195" s="74"/>
      <c r="I195" s="74"/>
      <c r="J195" s="74"/>
      <c r="K195" s="74"/>
      <c r="L195" s="74"/>
      <c r="M195" s="74"/>
      <c r="N195" s="38" t="str">
        <f>IF(OR(A195="Автомат",A195="Дифавтомат"),IF(W195="","",COUNTIFS(Однолинейка!$H$3:$H$3000,U195,Однолинейка!$A$3:$A$3000,Щит_спец)),IF(A195="Аппарат",IF(C195="","",COUNTIFS(Однолинейка!$I$3:$I$3000,C195,Однолинейка!$A$3:$A$3000,Щит_спец)+COUNTIFS(Однолинейка!$J$3:$J$3000,C195,Однолинейка!$A$3:$A$3000,Щит_спец)+COUNTIFS(Однолинейка!$K$3:$K$3000,C195,Однолинейка!$A$3:$A$3000,Щит_спец)),IF(A195="Модуль",IF(C195="","",COUNTIFS(Однолинейка!$AW$3:$AW$3000,"?*",Однолинейка!$AI$3:$AI$3000,C195,Однолинейка!$A$3:$A$3000,Щит_спец)),IF(A195="Клемма",IF(C195="","",IF(C195=$S$7,SUMIFS(Однолинейка!$BW$3:$BW$3000,Однолинейка!$A$3:$A$3000,Щит_спец),IF(C195=$S$8,SUMIFS(Однолинейка!$BX$3:$BX$3000,Однолинейка!$A$3:$A$3000,Щит_спец),""))),""))))</f>
        <v/>
      </c>
      <c r="O195" s="74"/>
      <c r="P195" s="38" t="str">
        <f t="shared" si="18"/>
        <v/>
      </c>
      <c r="U195" s="38" t="str">
        <f t="shared" si="19"/>
        <v/>
      </c>
      <c r="V195" s="38" t="str">
        <f t="shared" si="20"/>
        <v/>
      </c>
      <c r="W195" s="38" t="str">
        <f>IF(AND(U195&lt;&gt;"",OR($S$4="(все)",B195=$S$4),IF($S$4="(все)",COUNTIF($U$4:U195,U195),COUNTIFS($U$4:U195,U195,$B$4:B195,B195))=1),MAX($W$3:W194)+1,"")</f>
        <v/>
      </c>
      <c r="X195" s="38" t="str">
        <f t="shared" si="21"/>
        <v/>
      </c>
      <c r="Y195" s="38" t="str">
        <f>IF(AND(A195="Аппарат",C195&lt;&gt;"",OR($S$5="(все)",B195=$S$5)),MAX($Y$3:Y194)+1,"")</f>
        <v/>
      </c>
      <c r="Z195" s="38" t="str">
        <f t="shared" si="22"/>
        <v/>
      </c>
      <c r="AA195" s="38" t="str">
        <f>IF(AND(A195="Модуль",C195&lt;&gt;"",OR($S$6="(все)",B195=$S$6)),MAX($AA$3:AA194)+1,"")</f>
        <v/>
      </c>
      <c r="AB195" s="38" t="str">
        <f t="shared" si="23"/>
        <v/>
      </c>
      <c r="AC195" s="38" t="str">
        <f>IF(OR(B195="",COUNTIF($B$4:B195,B195)&gt;1),"",MAX($AC$3:AC194)+1)</f>
        <v/>
      </c>
      <c r="AD195" s="38" t="str">
        <f t="shared" si="24"/>
        <v/>
      </c>
      <c r="AE195" s="38" t="str">
        <f t="shared" si="25"/>
        <v/>
      </c>
      <c r="AF195" s="38" t="str">
        <f t="shared" si="26"/>
        <v/>
      </c>
    </row>
    <row r="196" spans="1:32" x14ac:dyDescent="0.3">
      <c r="A196" s="74"/>
      <c r="B196" s="74"/>
      <c r="C196" s="74"/>
      <c r="D196" s="74"/>
      <c r="E196" s="74"/>
      <c r="F196" s="74"/>
      <c r="G196" s="74"/>
      <c r="H196" s="74"/>
      <c r="I196" s="74"/>
      <c r="J196" s="74"/>
      <c r="K196" s="74"/>
      <c r="L196" s="74"/>
      <c r="M196" s="74"/>
      <c r="N196" s="38" t="str">
        <f>IF(OR(A196="Автомат",A196="Дифавтомат"),IF(W196="","",COUNTIFS(Однолинейка!$H$3:$H$3000,U196,Однолинейка!$A$3:$A$3000,Щит_спец)),IF(A196="Аппарат",IF(C196="","",COUNTIFS(Однолинейка!$I$3:$I$3000,C196,Однолинейка!$A$3:$A$3000,Щит_спец)+COUNTIFS(Однолинейка!$J$3:$J$3000,C196,Однолинейка!$A$3:$A$3000,Щит_спец)+COUNTIFS(Однолинейка!$K$3:$K$3000,C196,Однолинейка!$A$3:$A$3000,Щит_спец)),IF(A196="Модуль",IF(C196="","",COUNTIFS(Однолинейка!$AW$3:$AW$3000,"?*",Однолинейка!$AI$3:$AI$3000,C196,Однолинейка!$A$3:$A$3000,Щит_спец)),IF(A196="Клемма",IF(C196="","",IF(C196=$S$7,SUMIFS(Однолинейка!$BW$3:$BW$3000,Однолинейка!$A$3:$A$3000,Щит_спец),IF(C196=$S$8,SUMIFS(Однолинейка!$BX$3:$BX$3000,Однолинейка!$A$3:$A$3000,Щит_спец),""))),""))))</f>
        <v/>
      </c>
      <c r="O196" s="74"/>
      <c r="P196" s="38" t="str">
        <f t="shared" ref="P196:P259" si="27">IF(COUNT(N196,O196)=0,"",SUM(N196,O196))</f>
        <v/>
      </c>
      <c r="U196" s="38" t="str">
        <f t="shared" ref="U196:U259" si="28">IF(OR(A196="Автомат",A196="Дифавтомат"),I196&amp;" С"&amp;J196&amp;"А"&amp;IF(K196="да"," 30мА",IF(ISNUMBER(K196)," "&amp;K196&amp;"мА","")),"")</f>
        <v/>
      </c>
      <c r="V196" s="38" t="str">
        <f t="shared" ref="V196:V259" si="29">IF(U196="","",B196&amp;"|"&amp;U196)</f>
        <v/>
      </c>
      <c r="W196" s="38" t="str">
        <f>IF(AND(U196&lt;&gt;"",OR($S$4="(все)",B196=$S$4),IF($S$4="(все)",COUNTIF($U$4:U196,U196),COUNTIFS($U$4:U196,U196,$B$4:B196,B196))=1),MAX($W$3:W195)+1,"")</f>
        <v/>
      </c>
      <c r="X196" s="38" t="str">
        <f t="shared" ref="X196:X259" si="30">IFERROR(INDEX($U$4:$U$500,MATCH(ROW()-3,$W$4:$W$500,0)),"")</f>
        <v/>
      </c>
      <c r="Y196" s="38" t="str">
        <f>IF(AND(A196="Аппарат",C196&lt;&gt;"",OR($S$5="(все)",B196=$S$5)),MAX($Y$3:Y195)+1,"")</f>
        <v/>
      </c>
      <c r="Z196" s="38" t="str">
        <f t="shared" ref="Z196:Z259" si="31">IFERROR(INDEX($C$4:$C$500,MATCH(ROW()-3,$Y$4:$Y$500,0)),"")</f>
        <v/>
      </c>
      <c r="AA196" s="38" t="str">
        <f>IF(AND(A196="Модуль",C196&lt;&gt;"",OR($S$6="(все)",B196=$S$6)),MAX($AA$3:AA195)+1,"")</f>
        <v/>
      </c>
      <c r="AB196" s="38" t="str">
        <f t="shared" ref="AB196:AB259" si="32">IFERROR(INDEX($C$4:$C$500,MATCH(ROW()-3,$AA$4:$AA$500,0)),"")</f>
        <v/>
      </c>
      <c r="AC196" s="38" t="str">
        <f>IF(OR(B196="",COUNTIF($B$4:B196,B196)&gt;1),"",MAX($AC$3:AC195)+1)</f>
        <v/>
      </c>
      <c r="AD196" s="38" t="str">
        <f t="shared" ref="AD196:AD259" si="33">IFERROR(INDEX($B$4:$B$500,MATCH(ROW()-3,$AC$4:$AC$500,0)),"")</f>
        <v/>
      </c>
      <c r="AE196" s="38" t="str">
        <f t="shared" ref="AE196:AE259" si="34">IF(AND(A196&lt;&gt;"",N(P196)&gt;0),IFERROR(MATCH(A196,$R$12:$R$25,0),99)*1000+ROW(),"")</f>
        <v/>
      </c>
      <c r="AF196" s="38" t="str">
        <f t="shared" ref="AF196:AF259" si="35">IF(AE196="","",COUNTIF($AE$4:$AE$500,"&lt;="&amp;AE196))</f>
        <v/>
      </c>
    </row>
    <row r="197" spans="1:32" x14ac:dyDescent="0.3">
      <c r="A197" s="74"/>
      <c r="B197" s="74"/>
      <c r="C197" s="74"/>
      <c r="D197" s="74"/>
      <c r="E197" s="74"/>
      <c r="F197" s="74"/>
      <c r="G197" s="74"/>
      <c r="H197" s="74"/>
      <c r="I197" s="74"/>
      <c r="J197" s="74"/>
      <c r="K197" s="74"/>
      <c r="L197" s="74"/>
      <c r="M197" s="74"/>
      <c r="N197" s="38" t="str">
        <f>IF(OR(A197="Автомат",A197="Дифавтомат"),IF(W197="","",COUNTIFS(Однолинейка!$H$3:$H$3000,U197,Однолинейка!$A$3:$A$3000,Щит_спец)),IF(A197="Аппарат",IF(C197="","",COUNTIFS(Однолинейка!$I$3:$I$3000,C197,Однолинейка!$A$3:$A$3000,Щит_спец)+COUNTIFS(Однолинейка!$J$3:$J$3000,C197,Однолинейка!$A$3:$A$3000,Щит_спец)+COUNTIFS(Однолинейка!$K$3:$K$3000,C197,Однолинейка!$A$3:$A$3000,Щит_спец)),IF(A197="Модуль",IF(C197="","",COUNTIFS(Однолинейка!$AW$3:$AW$3000,"?*",Однолинейка!$AI$3:$AI$3000,C197,Однолинейка!$A$3:$A$3000,Щит_спец)),IF(A197="Клемма",IF(C197="","",IF(C197=$S$7,SUMIFS(Однолинейка!$BW$3:$BW$3000,Однолинейка!$A$3:$A$3000,Щит_спец),IF(C197=$S$8,SUMIFS(Однолинейка!$BX$3:$BX$3000,Однолинейка!$A$3:$A$3000,Щит_спец),""))),""))))</f>
        <v/>
      </c>
      <c r="O197" s="74"/>
      <c r="P197" s="38" t="str">
        <f t="shared" si="27"/>
        <v/>
      </c>
      <c r="U197" s="38" t="str">
        <f t="shared" si="28"/>
        <v/>
      </c>
      <c r="V197" s="38" t="str">
        <f t="shared" si="29"/>
        <v/>
      </c>
      <c r="W197" s="38" t="str">
        <f>IF(AND(U197&lt;&gt;"",OR($S$4="(все)",B197=$S$4),IF($S$4="(все)",COUNTIF($U$4:U197,U197),COUNTIFS($U$4:U197,U197,$B$4:B197,B197))=1),MAX($W$3:W196)+1,"")</f>
        <v/>
      </c>
      <c r="X197" s="38" t="str">
        <f t="shared" si="30"/>
        <v/>
      </c>
      <c r="Y197" s="38" t="str">
        <f>IF(AND(A197="Аппарат",C197&lt;&gt;"",OR($S$5="(все)",B197=$S$5)),MAX($Y$3:Y196)+1,"")</f>
        <v/>
      </c>
      <c r="Z197" s="38" t="str">
        <f t="shared" si="31"/>
        <v/>
      </c>
      <c r="AA197" s="38" t="str">
        <f>IF(AND(A197="Модуль",C197&lt;&gt;"",OR($S$6="(все)",B197=$S$6)),MAX($AA$3:AA196)+1,"")</f>
        <v/>
      </c>
      <c r="AB197" s="38" t="str">
        <f t="shared" si="32"/>
        <v/>
      </c>
      <c r="AC197" s="38" t="str">
        <f>IF(OR(B197="",COUNTIF($B$4:B197,B197)&gt;1),"",MAX($AC$3:AC196)+1)</f>
        <v/>
      </c>
      <c r="AD197" s="38" t="str">
        <f t="shared" si="33"/>
        <v/>
      </c>
      <c r="AE197" s="38" t="str">
        <f t="shared" si="34"/>
        <v/>
      </c>
      <c r="AF197" s="38" t="str">
        <f t="shared" si="35"/>
        <v/>
      </c>
    </row>
    <row r="198" spans="1:32" x14ac:dyDescent="0.3">
      <c r="A198" s="74"/>
      <c r="B198" s="74"/>
      <c r="C198" s="74"/>
      <c r="D198" s="74"/>
      <c r="E198" s="74"/>
      <c r="F198" s="74"/>
      <c r="G198" s="74"/>
      <c r="H198" s="74"/>
      <c r="I198" s="74"/>
      <c r="J198" s="74"/>
      <c r="K198" s="74"/>
      <c r="L198" s="74"/>
      <c r="M198" s="74"/>
      <c r="N198" s="38" t="str">
        <f>IF(OR(A198="Автомат",A198="Дифавтомат"),IF(W198="","",COUNTIFS(Однолинейка!$H$3:$H$3000,U198,Однолинейка!$A$3:$A$3000,Щит_спец)),IF(A198="Аппарат",IF(C198="","",COUNTIFS(Однолинейка!$I$3:$I$3000,C198,Однолинейка!$A$3:$A$3000,Щит_спец)+COUNTIFS(Однолинейка!$J$3:$J$3000,C198,Однолинейка!$A$3:$A$3000,Щит_спец)+COUNTIFS(Однолинейка!$K$3:$K$3000,C198,Однолинейка!$A$3:$A$3000,Щит_спец)),IF(A198="Модуль",IF(C198="","",COUNTIFS(Однолинейка!$AW$3:$AW$3000,"?*",Однолинейка!$AI$3:$AI$3000,C198,Однолинейка!$A$3:$A$3000,Щит_спец)),IF(A198="Клемма",IF(C198="","",IF(C198=$S$7,SUMIFS(Однолинейка!$BW$3:$BW$3000,Однолинейка!$A$3:$A$3000,Щит_спец),IF(C198=$S$8,SUMIFS(Однолинейка!$BX$3:$BX$3000,Однолинейка!$A$3:$A$3000,Щит_спец),""))),""))))</f>
        <v/>
      </c>
      <c r="O198" s="74"/>
      <c r="P198" s="38" t="str">
        <f t="shared" si="27"/>
        <v/>
      </c>
      <c r="U198" s="38" t="str">
        <f t="shared" si="28"/>
        <v/>
      </c>
      <c r="V198" s="38" t="str">
        <f t="shared" si="29"/>
        <v/>
      </c>
      <c r="W198" s="38" t="str">
        <f>IF(AND(U198&lt;&gt;"",OR($S$4="(все)",B198=$S$4),IF($S$4="(все)",COUNTIF($U$4:U198,U198),COUNTIFS($U$4:U198,U198,$B$4:B198,B198))=1),MAX($W$3:W197)+1,"")</f>
        <v/>
      </c>
      <c r="X198" s="38" t="str">
        <f t="shared" si="30"/>
        <v/>
      </c>
      <c r="Y198" s="38" t="str">
        <f>IF(AND(A198="Аппарат",C198&lt;&gt;"",OR($S$5="(все)",B198=$S$5)),MAX($Y$3:Y197)+1,"")</f>
        <v/>
      </c>
      <c r="Z198" s="38" t="str">
        <f t="shared" si="31"/>
        <v/>
      </c>
      <c r="AA198" s="38" t="str">
        <f>IF(AND(A198="Модуль",C198&lt;&gt;"",OR($S$6="(все)",B198=$S$6)),MAX($AA$3:AA197)+1,"")</f>
        <v/>
      </c>
      <c r="AB198" s="38" t="str">
        <f t="shared" si="32"/>
        <v/>
      </c>
      <c r="AC198" s="38" t="str">
        <f>IF(OR(B198="",COUNTIF($B$4:B198,B198)&gt;1),"",MAX($AC$3:AC197)+1)</f>
        <v/>
      </c>
      <c r="AD198" s="38" t="str">
        <f t="shared" si="33"/>
        <v/>
      </c>
      <c r="AE198" s="38" t="str">
        <f t="shared" si="34"/>
        <v/>
      </c>
      <c r="AF198" s="38" t="str">
        <f t="shared" si="35"/>
        <v/>
      </c>
    </row>
    <row r="199" spans="1:32" x14ac:dyDescent="0.3">
      <c r="A199" s="74"/>
      <c r="B199" s="74"/>
      <c r="C199" s="74"/>
      <c r="D199" s="74"/>
      <c r="E199" s="74"/>
      <c r="F199" s="74"/>
      <c r="G199" s="74"/>
      <c r="H199" s="74"/>
      <c r="I199" s="74"/>
      <c r="J199" s="74"/>
      <c r="K199" s="74"/>
      <c r="L199" s="74"/>
      <c r="M199" s="74"/>
      <c r="N199" s="38" t="str">
        <f>IF(OR(A199="Автомат",A199="Дифавтомат"),IF(W199="","",COUNTIFS(Однолинейка!$H$3:$H$3000,U199,Однолинейка!$A$3:$A$3000,Щит_спец)),IF(A199="Аппарат",IF(C199="","",COUNTIFS(Однолинейка!$I$3:$I$3000,C199,Однолинейка!$A$3:$A$3000,Щит_спец)+COUNTIFS(Однолинейка!$J$3:$J$3000,C199,Однолинейка!$A$3:$A$3000,Щит_спец)+COUNTIFS(Однолинейка!$K$3:$K$3000,C199,Однолинейка!$A$3:$A$3000,Щит_спец)),IF(A199="Модуль",IF(C199="","",COUNTIFS(Однолинейка!$AW$3:$AW$3000,"?*",Однолинейка!$AI$3:$AI$3000,C199,Однолинейка!$A$3:$A$3000,Щит_спец)),IF(A199="Клемма",IF(C199="","",IF(C199=$S$7,SUMIFS(Однолинейка!$BW$3:$BW$3000,Однолинейка!$A$3:$A$3000,Щит_спец),IF(C199=$S$8,SUMIFS(Однолинейка!$BX$3:$BX$3000,Однолинейка!$A$3:$A$3000,Щит_спец),""))),""))))</f>
        <v/>
      </c>
      <c r="O199" s="74"/>
      <c r="P199" s="38" t="str">
        <f t="shared" si="27"/>
        <v/>
      </c>
      <c r="U199" s="38" t="str">
        <f t="shared" si="28"/>
        <v/>
      </c>
      <c r="V199" s="38" t="str">
        <f t="shared" si="29"/>
        <v/>
      </c>
      <c r="W199" s="38" t="str">
        <f>IF(AND(U199&lt;&gt;"",OR($S$4="(все)",B199=$S$4),IF($S$4="(все)",COUNTIF($U$4:U199,U199),COUNTIFS($U$4:U199,U199,$B$4:B199,B199))=1),MAX($W$3:W198)+1,"")</f>
        <v/>
      </c>
      <c r="X199" s="38" t="str">
        <f t="shared" si="30"/>
        <v/>
      </c>
      <c r="Y199" s="38" t="str">
        <f>IF(AND(A199="Аппарат",C199&lt;&gt;"",OR($S$5="(все)",B199=$S$5)),MAX($Y$3:Y198)+1,"")</f>
        <v/>
      </c>
      <c r="Z199" s="38" t="str">
        <f t="shared" si="31"/>
        <v/>
      </c>
      <c r="AA199" s="38" t="str">
        <f>IF(AND(A199="Модуль",C199&lt;&gt;"",OR($S$6="(все)",B199=$S$6)),MAX($AA$3:AA198)+1,"")</f>
        <v/>
      </c>
      <c r="AB199" s="38" t="str">
        <f t="shared" si="32"/>
        <v/>
      </c>
      <c r="AC199" s="38" t="str">
        <f>IF(OR(B199="",COUNTIF($B$4:B199,B199)&gt;1),"",MAX($AC$3:AC198)+1)</f>
        <v/>
      </c>
      <c r="AD199" s="38" t="str">
        <f t="shared" si="33"/>
        <v/>
      </c>
      <c r="AE199" s="38" t="str">
        <f t="shared" si="34"/>
        <v/>
      </c>
      <c r="AF199" s="38" t="str">
        <f t="shared" si="35"/>
        <v/>
      </c>
    </row>
    <row r="200" spans="1:32" x14ac:dyDescent="0.3">
      <c r="A200" s="74"/>
      <c r="B200" s="74"/>
      <c r="C200" s="74"/>
      <c r="D200" s="74"/>
      <c r="E200" s="74"/>
      <c r="F200" s="74"/>
      <c r="G200" s="74"/>
      <c r="H200" s="74"/>
      <c r="I200" s="74"/>
      <c r="J200" s="74"/>
      <c r="K200" s="74"/>
      <c r="L200" s="74"/>
      <c r="M200" s="74"/>
      <c r="N200" s="38" t="str">
        <f>IF(OR(A200="Автомат",A200="Дифавтомат"),IF(W200="","",COUNTIFS(Однолинейка!$H$3:$H$3000,U200,Однолинейка!$A$3:$A$3000,Щит_спец)),IF(A200="Аппарат",IF(C200="","",COUNTIFS(Однолинейка!$I$3:$I$3000,C200,Однолинейка!$A$3:$A$3000,Щит_спец)+COUNTIFS(Однолинейка!$J$3:$J$3000,C200,Однолинейка!$A$3:$A$3000,Щит_спец)+COUNTIFS(Однолинейка!$K$3:$K$3000,C200,Однолинейка!$A$3:$A$3000,Щит_спец)),IF(A200="Модуль",IF(C200="","",COUNTIFS(Однолинейка!$AW$3:$AW$3000,"?*",Однолинейка!$AI$3:$AI$3000,C200,Однолинейка!$A$3:$A$3000,Щит_спец)),IF(A200="Клемма",IF(C200="","",IF(C200=$S$7,SUMIFS(Однолинейка!$BW$3:$BW$3000,Однолинейка!$A$3:$A$3000,Щит_спец),IF(C200=$S$8,SUMIFS(Однолинейка!$BX$3:$BX$3000,Однолинейка!$A$3:$A$3000,Щит_спец),""))),""))))</f>
        <v/>
      </c>
      <c r="O200" s="74"/>
      <c r="P200" s="38" t="str">
        <f t="shared" si="27"/>
        <v/>
      </c>
      <c r="U200" s="38" t="str">
        <f t="shared" si="28"/>
        <v/>
      </c>
      <c r="V200" s="38" t="str">
        <f t="shared" si="29"/>
        <v/>
      </c>
      <c r="W200" s="38" t="str">
        <f>IF(AND(U200&lt;&gt;"",OR($S$4="(все)",B200=$S$4),IF($S$4="(все)",COUNTIF($U$4:U200,U200),COUNTIFS($U$4:U200,U200,$B$4:B200,B200))=1),MAX($W$3:W199)+1,"")</f>
        <v/>
      </c>
      <c r="X200" s="38" t="str">
        <f t="shared" si="30"/>
        <v/>
      </c>
      <c r="Y200" s="38" t="str">
        <f>IF(AND(A200="Аппарат",C200&lt;&gt;"",OR($S$5="(все)",B200=$S$5)),MAX($Y$3:Y199)+1,"")</f>
        <v/>
      </c>
      <c r="Z200" s="38" t="str">
        <f t="shared" si="31"/>
        <v/>
      </c>
      <c r="AA200" s="38" t="str">
        <f>IF(AND(A200="Модуль",C200&lt;&gt;"",OR($S$6="(все)",B200=$S$6)),MAX($AA$3:AA199)+1,"")</f>
        <v/>
      </c>
      <c r="AB200" s="38" t="str">
        <f t="shared" si="32"/>
        <v/>
      </c>
      <c r="AC200" s="38" t="str">
        <f>IF(OR(B200="",COUNTIF($B$4:B200,B200)&gt;1),"",MAX($AC$3:AC199)+1)</f>
        <v/>
      </c>
      <c r="AD200" s="38" t="str">
        <f t="shared" si="33"/>
        <v/>
      </c>
      <c r="AE200" s="38" t="str">
        <f t="shared" si="34"/>
        <v/>
      </c>
      <c r="AF200" s="38" t="str">
        <f t="shared" si="35"/>
        <v/>
      </c>
    </row>
    <row r="201" spans="1:32" x14ac:dyDescent="0.3">
      <c r="A201" s="74"/>
      <c r="B201" s="74"/>
      <c r="C201" s="74"/>
      <c r="D201" s="74"/>
      <c r="E201" s="74"/>
      <c r="F201" s="74"/>
      <c r="G201" s="74"/>
      <c r="H201" s="74"/>
      <c r="I201" s="74"/>
      <c r="J201" s="74"/>
      <c r="K201" s="74"/>
      <c r="L201" s="74"/>
      <c r="M201" s="74"/>
      <c r="N201" s="38" t="str">
        <f>IF(OR(A201="Автомат",A201="Дифавтомат"),IF(W201="","",COUNTIFS(Однолинейка!$H$3:$H$3000,U201,Однолинейка!$A$3:$A$3000,Щит_спец)),IF(A201="Аппарат",IF(C201="","",COUNTIFS(Однолинейка!$I$3:$I$3000,C201,Однолинейка!$A$3:$A$3000,Щит_спец)+COUNTIFS(Однолинейка!$J$3:$J$3000,C201,Однолинейка!$A$3:$A$3000,Щит_спец)+COUNTIFS(Однолинейка!$K$3:$K$3000,C201,Однолинейка!$A$3:$A$3000,Щит_спец)),IF(A201="Модуль",IF(C201="","",COUNTIFS(Однолинейка!$AW$3:$AW$3000,"?*",Однолинейка!$AI$3:$AI$3000,C201,Однолинейка!$A$3:$A$3000,Щит_спец)),IF(A201="Клемма",IF(C201="","",IF(C201=$S$7,SUMIFS(Однолинейка!$BW$3:$BW$3000,Однолинейка!$A$3:$A$3000,Щит_спец),IF(C201=$S$8,SUMIFS(Однолинейка!$BX$3:$BX$3000,Однолинейка!$A$3:$A$3000,Щит_спец),""))),""))))</f>
        <v/>
      </c>
      <c r="O201" s="74"/>
      <c r="P201" s="38" t="str">
        <f t="shared" si="27"/>
        <v/>
      </c>
      <c r="U201" s="38" t="str">
        <f t="shared" si="28"/>
        <v/>
      </c>
      <c r="V201" s="38" t="str">
        <f t="shared" si="29"/>
        <v/>
      </c>
      <c r="W201" s="38" t="str">
        <f>IF(AND(U201&lt;&gt;"",OR($S$4="(все)",B201=$S$4),IF($S$4="(все)",COUNTIF($U$4:U201,U201),COUNTIFS($U$4:U201,U201,$B$4:B201,B201))=1),MAX($W$3:W200)+1,"")</f>
        <v/>
      </c>
      <c r="X201" s="38" t="str">
        <f t="shared" si="30"/>
        <v/>
      </c>
      <c r="Y201" s="38" t="str">
        <f>IF(AND(A201="Аппарат",C201&lt;&gt;"",OR($S$5="(все)",B201=$S$5)),MAX($Y$3:Y200)+1,"")</f>
        <v/>
      </c>
      <c r="Z201" s="38" t="str">
        <f t="shared" si="31"/>
        <v/>
      </c>
      <c r="AA201" s="38" t="str">
        <f>IF(AND(A201="Модуль",C201&lt;&gt;"",OR($S$6="(все)",B201=$S$6)),MAX($AA$3:AA200)+1,"")</f>
        <v/>
      </c>
      <c r="AB201" s="38" t="str">
        <f t="shared" si="32"/>
        <v/>
      </c>
      <c r="AC201" s="38" t="str">
        <f>IF(OR(B201="",COUNTIF($B$4:B201,B201)&gt;1),"",MAX($AC$3:AC200)+1)</f>
        <v/>
      </c>
      <c r="AD201" s="38" t="str">
        <f t="shared" si="33"/>
        <v/>
      </c>
      <c r="AE201" s="38" t="str">
        <f t="shared" si="34"/>
        <v/>
      </c>
      <c r="AF201" s="38" t="str">
        <f t="shared" si="35"/>
        <v/>
      </c>
    </row>
    <row r="202" spans="1:32" x14ac:dyDescent="0.3">
      <c r="A202" s="74"/>
      <c r="B202" s="74"/>
      <c r="C202" s="74"/>
      <c r="D202" s="74"/>
      <c r="E202" s="74"/>
      <c r="F202" s="74"/>
      <c r="G202" s="74"/>
      <c r="H202" s="74"/>
      <c r="I202" s="74"/>
      <c r="J202" s="74"/>
      <c r="K202" s="74"/>
      <c r="L202" s="74"/>
      <c r="M202" s="74"/>
      <c r="N202" s="38" t="str">
        <f>IF(OR(A202="Автомат",A202="Дифавтомат"),IF(W202="","",COUNTIFS(Однолинейка!$H$3:$H$3000,U202,Однолинейка!$A$3:$A$3000,Щит_спец)),IF(A202="Аппарат",IF(C202="","",COUNTIFS(Однолинейка!$I$3:$I$3000,C202,Однолинейка!$A$3:$A$3000,Щит_спец)+COUNTIFS(Однолинейка!$J$3:$J$3000,C202,Однолинейка!$A$3:$A$3000,Щит_спец)+COUNTIFS(Однолинейка!$K$3:$K$3000,C202,Однолинейка!$A$3:$A$3000,Щит_спец)),IF(A202="Модуль",IF(C202="","",COUNTIFS(Однолинейка!$AW$3:$AW$3000,"?*",Однолинейка!$AI$3:$AI$3000,C202,Однолинейка!$A$3:$A$3000,Щит_спец)),IF(A202="Клемма",IF(C202="","",IF(C202=$S$7,SUMIFS(Однолинейка!$BW$3:$BW$3000,Однолинейка!$A$3:$A$3000,Щит_спец),IF(C202=$S$8,SUMIFS(Однолинейка!$BX$3:$BX$3000,Однолинейка!$A$3:$A$3000,Щит_спец),""))),""))))</f>
        <v/>
      </c>
      <c r="O202" s="74"/>
      <c r="P202" s="38" t="str">
        <f t="shared" si="27"/>
        <v/>
      </c>
      <c r="U202" s="38" t="str">
        <f t="shared" si="28"/>
        <v/>
      </c>
      <c r="V202" s="38" t="str">
        <f t="shared" si="29"/>
        <v/>
      </c>
      <c r="W202" s="38" t="str">
        <f>IF(AND(U202&lt;&gt;"",OR($S$4="(все)",B202=$S$4),IF($S$4="(все)",COUNTIF($U$4:U202,U202),COUNTIFS($U$4:U202,U202,$B$4:B202,B202))=1),MAX($W$3:W201)+1,"")</f>
        <v/>
      </c>
      <c r="X202" s="38" t="str">
        <f t="shared" si="30"/>
        <v/>
      </c>
      <c r="Y202" s="38" t="str">
        <f>IF(AND(A202="Аппарат",C202&lt;&gt;"",OR($S$5="(все)",B202=$S$5)),MAX($Y$3:Y201)+1,"")</f>
        <v/>
      </c>
      <c r="Z202" s="38" t="str">
        <f t="shared" si="31"/>
        <v/>
      </c>
      <c r="AA202" s="38" t="str">
        <f>IF(AND(A202="Модуль",C202&lt;&gt;"",OR($S$6="(все)",B202=$S$6)),MAX($AA$3:AA201)+1,"")</f>
        <v/>
      </c>
      <c r="AB202" s="38" t="str">
        <f t="shared" si="32"/>
        <v/>
      </c>
      <c r="AC202" s="38" t="str">
        <f>IF(OR(B202="",COUNTIF($B$4:B202,B202)&gt;1),"",MAX($AC$3:AC201)+1)</f>
        <v/>
      </c>
      <c r="AD202" s="38" t="str">
        <f t="shared" si="33"/>
        <v/>
      </c>
      <c r="AE202" s="38" t="str">
        <f t="shared" si="34"/>
        <v/>
      </c>
      <c r="AF202" s="38" t="str">
        <f t="shared" si="35"/>
        <v/>
      </c>
    </row>
    <row r="203" spans="1:32" x14ac:dyDescent="0.3">
      <c r="A203" s="74"/>
      <c r="B203" s="74"/>
      <c r="C203" s="74"/>
      <c r="D203" s="74"/>
      <c r="E203" s="74"/>
      <c r="F203" s="74"/>
      <c r="G203" s="74"/>
      <c r="H203" s="74"/>
      <c r="I203" s="74"/>
      <c r="J203" s="74"/>
      <c r="K203" s="74"/>
      <c r="L203" s="74"/>
      <c r="M203" s="74"/>
      <c r="N203" s="38" t="str">
        <f>IF(OR(A203="Автомат",A203="Дифавтомат"),IF(W203="","",COUNTIFS(Однолинейка!$H$3:$H$3000,U203,Однолинейка!$A$3:$A$3000,Щит_спец)),IF(A203="Аппарат",IF(C203="","",COUNTIFS(Однолинейка!$I$3:$I$3000,C203,Однолинейка!$A$3:$A$3000,Щит_спец)+COUNTIFS(Однолинейка!$J$3:$J$3000,C203,Однолинейка!$A$3:$A$3000,Щит_спец)+COUNTIFS(Однолинейка!$K$3:$K$3000,C203,Однолинейка!$A$3:$A$3000,Щит_спец)),IF(A203="Модуль",IF(C203="","",COUNTIFS(Однолинейка!$AW$3:$AW$3000,"?*",Однолинейка!$AI$3:$AI$3000,C203,Однолинейка!$A$3:$A$3000,Щит_спец)),IF(A203="Клемма",IF(C203="","",IF(C203=$S$7,SUMIFS(Однолинейка!$BW$3:$BW$3000,Однолинейка!$A$3:$A$3000,Щит_спец),IF(C203=$S$8,SUMIFS(Однолинейка!$BX$3:$BX$3000,Однолинейка!$A$3:$A$3000,Щит_спец),""))),""))))</f>
        <v/>
      </c>
      <c r="O203" s="74"/>
      <c r="P203" s="38" t="str">
        <f t="shared" si="27"/>
        <v/>
      </c>
      <c r="U203" s="38" t="str">
        <f t="shared" si="28"/>
        <v/>
      </c>
      <c r="V203" s="38" t="str">
        <f t="shared" si="29"/>
        <v/>
      </c>
      <c r="W203" s="38" t="str">
        <f>IF(AND(U203&lt;&gt;"",OR($S$4="(все)",B203=$S$4),IF($S$4="(все)",COUNTIF($U$4:U203,U203),COUNTIFS($U$4:U203,U203,$B$4:B203,B203))=1),MAX($W$3:W202)+1,"")</f>
        <v/>
      </c>
      <c r="X203" s="38" t="str">
        <f t="shared" si="30"/>
        <v/>
      </c>
      <c r="Y203" s="38" t="str">
        <f>IF(AND(A203="Аппарат",C203&lt;&gt;"",OR($S$5="(все)",B203=$S$5)),MAX($Y$3:Y202)+1,"")</f>
        <v/>
      </c>
      <c r="Z203" s="38" t="str">
        <f t="shared" si="31"/>
        <v/>
      </c>
      <c r="AA203" s="38" t="str">
        <f>IF(AND(A203="Модуль",C203&lt;&gt;"",OR($S$6="(все)",B203=$S$6)),MAX($AA$3:AA202)+1,"")</f>
        <v/>
      </c>
      <c r="AB203" s="38" t="str">
        <f t="shared" si="32"/>
        <v/>
      </c>
      <c r="AC203" s="38" t="str">
        <f>IF(OR(B203="",COUNTIF($B$4:B203,B203)&gt;1),"",MAX($AC$3:AC202)+1)</f>
        <v/>
      </c>
      <c r="AD203" s="38" t="str">
        <f t="shared" si="33"/>
        <v/>
      </c>
      <c r="AE203" s="38" t="str">
        <f t="shared" si="34"/>
        <v/>
      </c>
      <c r="AF203" s="38" t="str">
        <f t="shared" si="35"/>
        <v/>
      </c>
    </row>
    <row r="204" spans="1:32" x14ac:dyDescent="0.3">
      <c r="A204" s="74"/>
      <c r="B204" s="74"/>
      <c r="C204" s="74"/>
      <c r="D204" s="74"/>
      <c r="E204" s="74"/>
      <c r="F204" s="74"/>
      <c r="G204" s="74"/>
      <c r="H204" s="74"/>
      <c r="I204" s="74"/>
      <c r="J204" s="74"/>
      <c r="K204" s="74"/>
      <c r="L204" s="74"/>
      <c r="M204" s="74"/>
      <c r="N204" s="38" t="str">
        <f>IF(OR(A204="Автомат",A204="Дифавтомат"),IF(W204="","",COUNTIFS(Однолинейка!$H$3:$H$3000,U204,Однолинейка!$A$3:$A$3000,Щит_спец)),IF(A204="Аппарат",IF(C204="","",COUNTIFS(Однолинейка!$I$3:$I$3000,C204,Однолинейка!$A$3:$A$3000,Щит_спец)+COUNTIFS(Однолинейка!$J$3:$J$3000,C204,Однолинейка!$A$3:$A$3000,Щит_спец)+COUNTIFS(Однолинейка!$K$3:$K$3000,C204,Однолинейка!$A$3:$A$3000,Щит_спец)),IF(A204="Модуль",IF(C204="","",COUNTIFS(Однолинейка!$AW$3:$AW$3000,"?*",Однолинейка!$AI$3:$AI$3000,C204,Однолинейка!$A$3:$A$3000,Щит_спец)),IF(A204="Клемма",IF(C204="","",IF(C204=$S$7,SUMIFS(Однолинейка!$BW$3:$BW$3000,Однолинейка!$A$3:$A$3000,Щит_спец),IF(C204=$S$8,SUMIFS(Однолинейка!$BX$3:$BX$3000,Однолинейка!$A$3:$A$3000,Щит_спец),""))),""))))</f>
        <v/>
      </c>
      <c r="O204" s="74"/>
      <c r="P204" s="38" t="str">
        <f t="shared" si="27"/>
        <v/>
      </c>
      <c r="U204" s="38" t="str">
        <f t="shared" si="28"/>
        <v/>
      </c>
      <c r="V204" s="38" t="str">
        <f t="shared" si="29"/>
        <v/>
      </c>
      <c r="W204" s="38" t="str">
        <f>IF(AND(U204&lt;&gt;"",OR($S$4="(все)",B204=$S$4),IF($S$4="(все)",COUNTIF($U$4:U204,U204),COUNTIFS($U$4:U204,U204,$B$4:B204,B204))=1),MAX($W$3:W203)+1,"")</f>
        <v/>
      </c>
      <c r="X204" s="38" t="str">
        <f t="shared" si="30"/>
        <v/>
      </c>
      <c r="Y204" s="38" t="str">
        <f>IF(AND(A204="Аппарат",C204&lt;&gt;"",OR($S$5="(все)",B204=$S$5)),MAX($Y$3:Y203)+1,"")</f>
        <v/>
      </c>
      <c r="Z204" s="38" t="str">
        <f t="shared" si="31"/>
        <v/>
      </c>
      <c r="AA204" s="38" t="str">
        <f>IF(AND(A204="Модуль",C204&lt;&gt;"",OR($S$6="(все)",B204=$S$6)),MAX($AA$3:AA203)+1,"")</f>
        <v/>
      </c>
      <c r="AB204" s="38" t="str">
        <f t="shared" si="32"/>
        <v/>
      </c>
      <c r="AC204" s="38" t="str">
        <f>IF(OR(B204="",COUNTIF($B$4:B204,B204)&gt;1),"",MAX($AC$3:AC203)+1)</f>
        <v/>
      </c>
      <c r="AD204" s="38" t="str">
        <f t="shared" si="33"/>
        <v/>
      </c>
      <c r="AE204" s="38" t="str">
        <f t="shared" si="34"/>
        <v/>
      </c>
      <c r="AF204" s="38" t="str">
        <f t="shared" si="35"/>
        <v/>
      </c>
    </row>
    <row r="205" spans="1:32" x14ac:dyDescent="0.3">
      <c r="A205" s="74"/>
      <c r="B205" s="74"/>
      <c r="C205" s="74"/>
      <c r="D205" s="74"/>
      <c r="E205" s="74"/>
      <c r="F205" s="74"/>
      <c r="G205" s="74"/>
      <c r="H205" s="74"/>
      <c r="I205" s="74"/>
      <c r="J205" s="74"/>
      <c r="K205" s="74"/>
      <c r="L205" s="74"/>
      <c r="M205" s="74"/>
      <c r="N205" s="38" t="str">
        <f>IF(OR(A205="Автомат",A205="Дифавтомат"),IF(W205="","",COUNTIFS(Однолинейка!$H$3:$H$3000,U205,Однолинейка!$A$3:$A$3000,Щит_спец)),IF(A205="Аппарат",IF(C205="","",COUNTIFS(Однолинейка!$I$3:$I$3000,C205,Однолинейка!$A$3:$A$3000,Щит_спец)+COUNTIFS(Однолинейка!$J$3:$J$3000,C205,Однолинейка!$A$3:$A$3000,Щит_спец)+COUNTIFS(Однолинейка!$K$3:$K$3000,C205,Однолинейка!$A$3:$A$3000,Щит_спец)),IF(A205="Модуль",IF(C205="","",COUNTIFS(Однолинейка!$AW$3:$AW$3000,"?*",Однолинейка!$AI$3:$AI$3000,C205,Однолинейка!$A$3:$A$3000,Щит_спец)),IF(A205="Клемма",IF(C205="","",IF(C205=$S$7,SUMIFS(Однолинейка!$BW$3:$BW$3000,Однолинейка!$A$3:$A$3000,Щит_спец),IF(C205=$S$8,SUMIFS(Однолинейка!$BX$3:$BX$3000,Однолинейка!$A$3:$A$3000,Щит_спец),""))),""))))</f>
        <v/>
      </c>
      <c r="O205" s="74"/>
      <c r="P205" s="38" t="str">
        <f t="shared" si="27"/>
        <v/>
      </c>
      <c r="U205" s="38" t="str">
        <f t="shared" si="28"/>
        <v/>
      </c>
      <c r="V205" s="38" t="str">
        <f t="shared" si="29"/>
        <v/>
      </c>
      <c r="W205" s="38" t="str">
        <f>IF(AND(U205&lt;&gt;"",OR($S$4="(все)",B205=$S$4),IF($S$4="(все)",COUNTIF($U$4:U205,U205),COUNTIFS($U$4:U205,U205,$B$4:B205,B205))=1),MAX($W$3:W204)+1,"")</f>
        <v/>
      </c>
      <c r="X205" s="38" t="str">
        <f t="shared" si="30"/>
        <v/>
      </c>
      <c r="Y205" s="38" t="str">
        <f>IF(AND(A205="Аппарат",C205&lt;&gt;"",OR($S$5="(все)",B205=$S$5)),MAX($Y$3:Y204)+1,"")</f>
        <v/>
      </c>
      <c r="Z205" s="38" t="str">
        <f t="shared" si="31"/>
        <v/>
      </c>
      <c r="AA205" s="38" t="str">
        <f>IF(AND(A205="Модуль",C205&lt;&gt;"",OR($S$6="(все)",B205=$S$6)),MAX($AA$3:AA204)+1,"")</f>
        <v/>
      </c>
      <c r="AB205" s="38" t="str">
        <f t="shared" si="32"/>
        <v/>
      </c>
      <c r="AC205" s="38" t="str">
        <f>IF(OR(B205="",COUNTIF($B$4:B205,B205)&gt;1),"",MAX($AC$3:AC204)+1)</f>
        <v/>
      </c>
      <c r="AD205" s="38" t="str">
        <f t="shared" si="33"/>
        <v/>
      </c>
      <c r="AE205" s="38" t="str">
        <f t="shared" si="34"/>
        <v/>
      </c>
      <c r="AF205" s="38" t="str">
        <f t="shared" si="35"/>
        <v/>
      </c>
    </row>
    <row r="206" spans="1:32" x14ac:dyDescent="0.3">
      <c r="A206" s="74"/>
      <c r="B206" s="74"/>
      <c r="C206" s="74"/>
      <c r="D206" s="74"/>
      <c r="E206" s="74"/>
      <c r="F206" s="74"/>
      <c r="G206" s="74"/>
      <c r="H206" s="74"/>
      <c r="I206" s="74"/>
      <c r="J206" s="74"/>
      <c r="K206" s="74"/>
      <c r="L206" s="74"/>
      <c r="M206" s="74"/>
      <c r="N206" s="38" t="str">
        <f>IF(OR(A206="Автомат",A206="Дифавтомат"),IF(W206="","",COUNTIFS(Однолинейка!$H$3:$H$3000,U206,Однолинейка!$A$3:$A$3000,Щит_спец)),IF(A206="Аппарат",IF(C206="","",COUNTIFS(Однолинейка!$I$3:$I$3000,C206,Однолинейка!$A$3:$A$3000,Щит_спец)+COUNTIFS(Однолинейка!$J$3:$J$3000,C206,Однолинейка!$A$3:$A$3000,Щит_спец)+COUNTIFS(Однолинейка!$K$3:$K$3000,C206,Однолинейка!$A$3:$A$3000,Щит_спец)),IF(A206="Модуль",IF(C206="","",COUNTIFS(Однолинейка!$AW$3:$AW$3000,"?*",Однолинейка!$AI$3:$AI$3000,C206,Однолинейка!$A$3:$A$3000,Щит_спец)),IF(A206="Клемма",IF(C206="","",IF(C206=$S$7,SUMIFS(Однолинейка!$BW$3:$BW$3000,Однолинейка!$A$3:$A$3000,Щит_спец),IF(C206=$S$8,SUMIFS(Однолинейка!$BX$3:$BX$3000,Однолинейка!$A$3:$A$3000,Щит_спец),""))),""))))</f>
        <v/>
      </c>
      <c r="O206" s="74"/>
      <c r="P206" s="38" t="str">
        <f t="shared" si="27"/>
        <v/>
      </c>
      <c r="U206" s="38" t="str">
        <f t="shared" si="28"/>
        <v/>
      </c>
      <c r="V206" s="38" t="str">
        <f t="shared" si="29"/>
        <v/>
      </c>
      <c r="W206" s="38" t="str">
        <f>IF(AND(U206&lt;&gt;"",OR($S$4="(все)",B206=$S$4),IF($S$4="(все)",COUNTIF($U$4:U206,U206),COUNTIFS($U$4:U206,U206,$B$4:B206,B206))=1),MAX($W$3:W205)+1,"")</f>
        <v/>
      </c>
      <c r="X206" s="38" t="str">
        <f t="shared" si="30"/>
        <v/>
      </c>
      <c r="Y206" s="38" t="str">
        <f>IF(AND(A206="Аппарат",C206&lt;&gt;"",OR($S$5="(все)",B206=$S$5)),MAX($Y$3:Y205)+1,"")</f>
        <v/>
      </c>
      <c r="Z206" s="38" t="str">
        <f t="shared" si="31"/>
        <v/>
      </c>
      <c r="AA206" s="38" t="str">
        <f>IF(AND(A206="Модуль",C206&lt;&gt;"",OR($S$6="(все)",B206=$S$6)),MAX($AA$3:AA205)+1,"")</f>
        <v/>
      </c>
      <c r="AB206" s="38" t="str">
        <f t="shared" si="32"/>
        <v/>
      </c>
      <c r="AC206" s="38" t="str">
        <f>IF(OR(B206="",COUNTIF($B$4:B206,B206)&gt;1),"",MAX($AC$3:AC205)+1)</f>
        <v/>
      </c>
      <c r="AD206" s="38" t="str">
        <f t="shared" si="33"/>
        <v/>
      </c>
      <c r="AE206" s="38" t="str">
        <f t="shared" si="34"/>
        <v/>
      </c>
      <c r="AF206" s="38" t="str">
        <f t="shared" si="35"/>
        <v/>
      </c>
    </row>
    <row r="207" spans="1:32" x14ac:dyDescent="0.3">
      <c r="A207" s="74"/>
      <c r="B207" s="74"/>
      <c r="C207" s="74"/>
      <c r="D207" s="74"/>
      <c r="E207" s="74"/>
      <c r="F207" s="74"/>
      <c r="G207" s="74"/>
      <c r="H207" s="74"/>
      <c r="I207" s="74"/>
      <c r="J207" s="74"/>
      <c r="K207" s="74"/>
      <c r="L207" s="74"/>
      <c r="M207" s="74"/>
      <c r="N207" s="38" t="str">
        <f>IF(OR(A207="Автомат",A207="Дифавтомат"),IF(W207="","",COUNTIFS(Однолинейка!$H$3:$H$3000,U207,Однолинейка!$A$3:$A$3000,Щит_спец)),IF(A207="Аппарат",IF(C207="","",COUNTIFS(Однолинейка!$I$3:$I$3000,C207,Однолинейка!$A$3:$A$3000,Щит_спец)+COUNTIFS(Однолинейка!$J$3:$J$3000,C207,Однолинейка!$A$3:$A$3000,Щит_спец)+COUNTIFS(Однолинейка!$K$3:$K$3000,C207,Однолинейка!$A$3:$A$3000,Щит_спец)),IF(A207="Модуль",IF(C207="","",COUNTIFS(Однолинейка!$AW$3:$AW$3000,"?*",Однолинейка!$AI$3:$AI$3000,C207,Однолинейка!$A$3:$A$3000,Щит_спец)),IF(A207="Клемма",IF(C207="","",IF(C207=$S$7,SUMIFS(Однолинейка!$BW$3:$BW$3000,Однолинейка!$A$3:$A$3000,Щит_спец),IF(C207=$S$8,SUMIFS(Однолинейка!$BX$3:$BX$3000,Однолинейка!$A$3:$A$3000,Щит_спец),""))),""))))</f>
        <v/>
      </c>
      <c r="O207" s="74"/>
      <c r="P207" s="38" t="str">
        <f t="shared" si="27"/>
        <v/>
      </c>
      <c r="U207" s="38" t="str">
        <f t="shared" si="28"/>
        <v/>
      </c>
      <c r="V207" s="38" t="str">
        <f t="shared" si="29"/>
        <v/>
      </c>
      <c r="W207" s="38" t="str">
        <f>IF(AND(U207&lt;&gt;"",OR($S$4="(все)",B207=$S$4),IF($S$4="(все)",COUNTIF($U$4:U207,U207),COUNTIFS($U$4:U207,U207,$B$4:B207,B207))=1),MAX($W$3:W206)+1,"")</f>
        <v/>
      </c>
      <c r="X207" s="38" t="str">
        <f t="shared" si="30"/>
        <v/>
      </c>
      <c r="Y207" s="38" t="str">
        <f>IF(AND(A207="Аппарат",C207&lt;&gt;"",OR($S$5="(все)",B207=$S$5)),MAX($Y$3:Y206)+1,"")</f>
        <v/>
      </c>
      <c r="Z207" s="38" t="str">
        <f t="shared" si="31"/>
        <v/>
      </c>
      <c r="AA207" s="38" t="str">
        <f>IF(AND(A207="Модуль",C207&lt;&gt;"",OR($S$6="(все)",B207=$S$6)),MAX($AA$3:AA206)+1,"")</f>
        <v/>
      </c>
      <c r="AB207" s="38" t="str">
        <f t="shared" si="32"/>
        <v/>
      </c>
      <c r="AC207" s="38" t="str">
        <f>IF(OR(B207="",COUNTIF($B$4:B207,B207)&gt;1),"",MAX($AC$3:AC206)+1)</f>
        <v/>
      </c>
      <c r="AD207" s="38" t="str">
        <f t="shared" si="33"/>
        <v/>
      </c>
      <c r="AE207" s="38" t="str">
        <f t="shared" si="34"/>
        <v/>
      </c>
      <c r="AF207" s="38" t="str">
        <f t="shared" si="35"/>
        <v/>
      </c>
    </row>
    <row r="208" spans="1:32" x14ac:dyDescent="0.3">
      <c r="A208" s="74"/>
      <c r="B208" s="74"/>
      <c r="C208" s="74"/>
      <c r="D208" s="74"/>
      <c r="E208" s="74"/>
      <c r="F208" s="74"/>
      <c r="G208" s="74"/>
      <c r="H208" s="74"/>
      <c r="I208" s="74"/>
      <c r="J208" s="74"/>
      <c r="K208" s="74"/>
      <c r="L208" s="74"/>
      <c r="M208" s="74"/>
      <c r="N208" s="38" t="str">
        <f>IF(OR(A208="Автомат",A208="Дифавтомат"),IF(W208="","",COUNTIFS(Однолинейка!$H$3:$H$3000,U208,Однолинейка!$A$3:$A$3000,Щит_спец)),IF(A208="Аппарат",IF(C208="","",COUNTIFS(Однолинейка!$I$3:$I$3000,C208,Однолинейка!$A$3:$A$3000,Щит_спец)+COUNTIFS(Однолинейка!$J$3:$J$3000,C208,Однолинейка!$A$3:$A$3000,Щит_спец)+COUNTIFS(Однолинейка!$K$3:$K$3000,C208,Однолинейка!$A$3:$A$3000,Щит_спец)),IF(A208="Модуль",IF(C208="","",COUNTIFS(Однолинейка!$AW$3:$AW$3000,"?*",Однолинейка!$AI$3:$AI$3000,C208,Однолинейка!$A$3:$A$3000,Щит_спец)),IF(A208="Клемма",IF(C208="","",IF(C208=$S$7,SUMIFS(Однолинейка!$BW$3:$BW$3000,Однолинейка!$A$3:$A$3000,Щит_спец),IF(C208=$S$8,SUMIFS(Однолинейка!$BX$3:$BX$3000,Однолинейка!$A$3:$A$3000,Щит_спец),""))),""))))</f>
        <v/>
      </c>
      <c r="O208" s="74"/>
      <c r="P208" s="38" t="str">
        <f t="shared" si="27"/>
        <v/>
      </c>
      <c r="U208" s="38" t="str">
        <f t="shared" si="28"/>
        <v/>
      </c>
      <c r="V208" s="38" t="str">
        <f t="shared" si="29"/>
        <v/>
      </c>
      <c r="W208" s="38" t="str">
        <f>IF(AND(U208&lt;&gt;"",OR($S$4="(все)",B208=$S$4),IF($S$4="(все)",COUNTIF($U$4:U208,U208),COUNTIFS($U$4:U208,U208,$B$4:B208,B208))=1),MAX($W$3:W207)+1,"")</f>
        <v/>
      </c>
      <c r="X208" s="38" t="str">
        <f t="shared" si="30"/>
        <v/>
      </c>
      <c r="Y208" s="38" t="str">
        <f>IF(AND(A208="Аппарат",C208&lt;&gt;"",OR($S$5="(все)",B208=$S$5)),MAX($Y$3:Y207)+1,"")</f>
        <v/>
      </c>
      <c r="Z208" s="38" t="str">
        <f t="shared" si="31"/>
        <v/>
      </c>
      <c r="AA208" s="38" t="str">
        <f>IF(AND(A208="Модуль",C208&lt;&gt;"",OR($S$6="(все)",B208=$S$6)),MAX($AA$3:AA207)+1,"")</f>
        <v/>
      </c>
      <c r="AB208" s="38" t="str">
        <f t="shared" si="32"/>
        <v/>
      </c>
      <c r="AC208" s="38" t="str">
        <f>IF(OR(B208="",COUNTIF($B$4:B208,B208)&gt;1),"",MAX($AC$3:AC207)+1)</f>
        <v/>
      </c>
      <c r="AD208" s="38" t="str">
        <f t="shared" si="33"/>
        <v/>
      </c>
      <c r="AE208" s="38" t="str">
        <f t="shared" si="34"/>
        <v/>
      </c>
      <c r="AF208" s="38" t="str">
        <f t="shared" si="35"/>
        <v/>
      </c>
    </row>
    <row r="209" spans="1:32" x14ac:dyDescent="0.3">
      <c r="A209" s="74"/>
      <c r="B209" s="74"/>
      <c r="C209" s="74"/>
      <c r="D209" s="74"/>
      <c r="E209" s="74"/>
      <c r="F209" s="74"/>
      <c r="G209" s="74"/>
      <c r="H209" s="74"/>
      <c r="I209" s="74"/>
      <c r="J209" s="74"/>
      <c r="K209" s="74"/>
      <c r="L209" s="74"/>
      <c r="M209" s="74"/>
      <c r="N209" s="38" t="str">
        <f>IF(OR(A209="Автомат",A209="Дифавтомат"),IF(W209="","",COUNTIFS(Однолинейка!$H$3:$H$3000,U209,Однолинейка!$A$3:$A$3000,Щит_спец)),IF(A209="Аппарат",IF(C209="","",COUNTIFS(Однолинейка!$I$3:$I$3000,C209,Однолинейка!$A$3:$A$3000,Щит_спец)+COUNTIFS(Однолинейка!$J$3:$J$3000,C209,Однолинейка!$A$3:$A$3000,Щит_спец)+COUNTIFS(Однолинейка!$K$3:$K$3000,C209,Однолинейка!$A$3:$A$3000,Щит_спец)),IF(A209="Модуль",IF(C209="","",COUNTIFS(Однолинейка!$AW$3:$AW$3000,"?*",Однолинейка!$AI$3:$AI$3000,C209,Однолинейка!$A$3:$A$3000,Щит_спец)),IF(A209="Клемма",IF(C209="","",IF(C209=$S$7,SUMIFS(Однолинейка!$BW$3:$BW$3000,Однолинейка!$A$3:$A$3000,Щит_спец),IF(C209=$S$8,SUMIFS(Однолинейка!$BX$3:$BX$3000,Однолинейка!$A$3:$A$3000,Щит_спец),""))),""))))</f>
        <v/>
      </c>
      <c r="O209" s="74"/>
      <c r="P209" s="38" t="str">
        <f t="shared" si="27"/>
        <v/>
      </c>
      <c r="U209" s="38" t="str">
        <f t="shared" si="28"/>
        <v/>
      </c>
      <c r="V209" s="38" t="str">
        <f t="shared" si="29"/>
        <v/>
      </c>
      <c r="W209" s="38" t="str">
        <f>IF(AND(U209&lt;&gt;"",OR($S$4="(все)",B209=$S$4),IF($S$4="(все)",COUNTIF($U$4:U209,U209),COUNTIFS($U$4:U209,U209,$B$4:B209,B209))=1),MAX($W$3:W208)+1,"")</f>
        <v/>
      </c>
      <c r="X209" s="38" t="str">
        <f t="shared" si="30"/>
        <v/>
      </c>
      <c r="Y209" s="38" t="str">
        <f>IF(AND(A209="Аппарат",C209&lt;&gt;"",OR($S$5="(все)",B209=$S$5)),MAX($Y$3:Y208)+1,"")</f>
        <v/>
      </c>
      <c r="Z209" s="38" t="str">
        <f t="shared" si="31"/>
        <v/>
      </c>
      <c r="AA209" s="38" t="str">
        <f>IF(AND(A209="Модуль",C209&lt;&gt;"",OR($S$6="(все)",B209=$S$6)),MAX($AA$3:AA208)+1,"")</f>
        <v/>
      </c>
      <c r="AB209" s="38" t="str">
        <f t="shared" si="32"/>
        <v/>
      </c>
      <c r="AC209" s="38" t="str">
        <f>IF(OR(B209="",COUNTIF($B$4:B209,B209)&gt;1),"",MAX($AC$3:AC208)+1)</f>
        <v/>
      </c>
      <c r="AD209" s="38" t="str">
        <f t="shared" si="33"/>
        <v/>
      </c>
      <c r="AE209" s="38" t="str">
        <f t="shared" si="34"/>
        <v/>
      </c>
      <c r="AF209" s="38" t="str">
        <f t="shared" si="35"/>
        <v/>
      </c>
    </row>
    <row r="210" spans="1:32" x14ac:dyDescent="0.3">
      <c r="A210" s="74"/>
      <c r="B210" s="74"/>
      <c r="C210" s="74"/>
      <c r="D210" s="74"/>
      <c r="E210" s="74"/>
      <c r="F210" s="74"/>
      <c r="G210" s="74"/>
      <c r="H210" s="74"/>
      <c r="I210" s="74"/>
      <c r="J210" s="74"/>
      <c r="K210" s="74"/>
      <c r="L210" s="74"/>
      <c r="M210" s="74"/>
      <c r="N210" s="38" t="str">
        <f>IF(OR(A210="Автомат",A210="Дифавтомат"),IF(W210="","",COUNTIFS(Однолинейка!$H$3:$H$3000,U210,Однолинейка!$A$3:$A$3000,Щит_спец)),IF(A210="Аппарат",IF(C210="","",COUNTIFS(Однолинейка!$I$3:$I$3000,C210,Однолинейка!$A$3:$A$3000,Щит_спец)+COUNTIFS(Однолинейка!$J$3:$J$3000,C210,Однолинейка!$A$3:$A$3000,Щит_спец)+COUNTIFS(Однолинейка!$K$3:$K$3000,C210,Однолинейка!$A$3:$A$3000,Щит_спец)),IF(A210="Модуль",IF(C210="","",COUNTIFS(Однолинейка!$AW$3:$AW$3000,"?*",Однолинейка!$AI$3:$AI$3000,C210,Однолинейка!$A$3:$A$3000,Щит_спец)),IF(A210="Клемма",IF(C210="","",IF(C210=$S$7,SUMIFS(Однолинейка!$BW$3:$BW$3000,Однолинейка!$A$3:$A$3000,Щит_спец),IF(C210=$S$8,SUMIFS(Однолинейка!$BX$3:$BX$3000,Однолинейка!$A$3:$A$3000,Щит_спец),""))),""))))</f>
        <v/>
      </c>
      <c r="O210" s="74"/>
      <c r="P210" s="38" t="str">
        <f t="shared" si="27"/>
        <v/>
      </c>
      <c r="U210" s="38" t="str">
        <f t="shared" si="28"/>
        <v/>
      </c>
      <c r="V210" s="38" t="str">
        <f t="shared" si="29"/>
        <v/>
      </c>
      <c r="W210" s="38" t="str">
        <f>IF(AND(U210&lt;&gt;"",OR($S$4="(все)",B210=$S$4),IF($S$4="(все)",COUNTIF($U$4:U210,U210),COUNTIFS($U$4:U210,U210,$B$4:B210,B210))=1),MAX($W$3:W209)+1,"")</f>
        <v/>
      </c>
      <c r="X210" s="38" t="str">
        <f t="shared" si="30"/>
        <v/>
      </c>
      <c r="Y210" s="38" t="str">
        <f>IF(AND(A210="Аппарат",C210&lt;&gt;"",OR($S$5="(все)",B210=$S$5)),MAX($Y$3:Y209)+1,"")</f>
        <v/>
      </c>
      <c r="Z210" s="38" t="str">
        <f t="shared" si="31"/>
        <v/>
      </c>
      <c r="AA210" s="38" t="str">
        <f>IF(AND(A210="Модуль",C210&lt;&gt;"",OR($S$6="(все)",B210=$S$6)),MAX($AA$3:AA209)+1,"")</f>
        <v/>
      </c>
      <c r="AB210" s="38" t="str">
        <f t="shared" si="32"/>
        <v/>
      </c>
      <c r="AC210" s="38" t="str">
        <f>IF(OR(B210="",COUNTIF($B$4:B210,B210)&gt;1),"",MAX($AC$3:AC209)+1)</f>
        <v/>
      </c>
      <c r="AD210" s="38" t="str">
        <f t="shared" si="33"/>
        <v/>
      </c>
      <c r="AE210" s="38" t="str">
        <f t="shared" si="34"/>
        <v/>
      </c>
      <c r="AF210" s="38" t="str">
        <f t="shared" si="35"/>
        <v/>
      </c>
    </row>
    <row r="211" spans="1:32" x14ac:dyDescent="0.3">
      <c r="A211" s="74"/>
      <c r="B211" s="74"/>
      <c r="C211" s="74"/>
      <c r="D211" s="74"/>
      <c r="E211" s="74"/>
      <c r="F211" s="74"/>
      <c r="G211" s="74"/>
      <c r="H211" s="74"/>
      <c r="I211" s="74"/>
      <c r="J211" s="74"/>
      <c r="K211" s="74"/>
      <c r="L211" s="74"/>
      <c r="M211" s="74"/>
      <c r="N211" s="38" t="str">
        <f>IF(OR(A211="Автомат",A211="Дифавтомат"),IF(W211="","",COUNTIFS(Однолинейка!$H$3:$H$3000,U211,Однолинейка!$A$3:$A$3000,Щит_спец)),IF(A211="Аппарат",IF(C211="","",COUNTIFS(Однолинейка!$I$3:$I$3000,C211,Однолинейка!$A$3:$A$3000,Щит_спец)+COUNTIFS(Однолинейка!$J$3:$J$3000,C211,Однолинейка!$A$3:$A$3000,Щит_спец)+COUNTIFS(Однолинейка!$K$3:$K$3000,C211,Однолинейка!$A$3:$A$3000,Щит_спец)),IF(A211="Модуль",IF(C211="","",COUNTIFS(Однолинейка!$AW$3:$AW$3000,"?*",Однолинейка!$AI$3:$AI$3000,C211,Однолинейка!$A$3:$A$3000,Щит_спец)),IF(A211="Клемма",IF(C211="","",IF(C211=$S$7,SUMIFS(Однолинейка!$BW$3:$BW$3000,Однолинейка!$A$3:$A$3000,Щит_спец),IF(C211=$S$8,SUMIFS(Однолинейка!$BX$3:$BX$3000,Однолинейка!$A$3:$A$3000,Щит_спец),""))),""))))</f>
        <v/>
      </c>
      <c r="O211" s="74"/>
      <c r="P211" s="38" t="str">
        <f t="shared" si="27"/>
        <v/>
      </c>
      <c r="U211" s="38" t="str">
        <f t="shared" si="28"/>
        <v/>
      </c>
      <c r="V211" s="38" t="str">
        <f t="shared" si="29"/>
        <v/>
      </c>
      <c r="W211" s="38" t="str">
        <f>IF(AND(U211&lt;&gt;"",OR($S$4="(все)",B211=$S$4),IF($S$4="(все)",COUNTIF($U$4:U211,U211),COUNTIFS($U$4:U211,U211,$B$4:B211,B211))=1),MAX($W$3:W210)+1,"")</f>
        <v/>
      </c>
      <c r="X211" s="38" t="str">
        <f t="shared" si="30"/>
        <v/>
      </c>
      <c r="Y211" s="38" t="str">
        <f>IF(AND(A211="Аппарат",C211&lt;&gt;"",OR($S$5="(все)",B211=$S$5)),MAX($Y$3:Y210)+1,"")</f>
        <v/>
      </c>
      <c r="Z211" s="38" t="str">
        <f t="shared" si="31"/>
        <v/>
      </c>
      <c r="AA211" s="38" t="str">
        <f>IF(AND(A211="Модуль",C211&lt;&gt;"",OR($S$6="(все)",B211=$S$6)),MAX($AA$3:AA210)+1,"")</f>
        <v/>
      </c>
      <c r="AB211" s="38" t="str">
        <f t="shared" si="32"/>
        <v/>
      </c>
      <c r="AC211" s="38" t="str">
        <f>IF(OR(B211="",COUNTIF($B$4:B211,B211)&gt;1),"",MAX($AC$3:AC210)+1)</f>
        <v/>
      </c>
      <c r="AD211" s="38" t="str">
        <f t="shared" si="33"/>
        <v/>
      </c>
      <c r="AE211" s="38" t="str">
        <f t="shared" si="34"/>
        <v/>
      </c>
      <c r="AF211" s="38" t="str">
        <f t="shared" si="35"/>
        <v/>
      </c>
    </row>
    <row r="212" spans="1:32" x14ac:dyDescent="0.3">
      <c r="A212" s="74"/>
      <c r="B212" s="74"/>
      <c r="C212" s="74"/>
      <c r="D212" s="74"/>
      <c r="E212" s="74"/>
      <c r="F212" s="74"/>
      <c r="G212" s="74"/>
      <c r="H212" s="74"/>
      <c r="I212" s="74"/>
      <c r="J212" s="74"/>
      <c r="K212" s="74"/>
      <c r="L212" s="74"/>
      <c r="M212" s="74"/>
      <c r="N212" s="38" t="str">
        <f>IF(OR(A212="Автомат",A212="Дифавтомат"),IF(W212="","",COUNTIFS(Однолинейка!$H$3:$H$3000,U212,Однолинейка!$A$3:$A$3000,Щит_спец)),IF(A212="Аппарат",IF(C212="","",COUNTIFS(Однолинейка!$I$3:$I$3000,C212,Однолинейка!$A$3:$A$3000,Щит_спец)+COUNTIFS(Однолинейка!$J$3:$J$3000,C212,Однолинейка!$A$3:$A$3000,Щит_спец)+COUNTIFS(Однолинейка!$K$3:$K$3000,C212,Однолинейка!$A$3:$A$3000,Щит_спец)),IF(A212="Модуль",IF(C212="","",COUNTIFS(Однолинейка!$AW$3:$AW$3000,"?*",Однолинейка!$AI$3:$AI$3000,C212,Однолинейка!$A$3:$A$3000,Щит_спец)),IF(A212="Клемма",IF(C212="","",IF(C212=$S$7,SUMIFS(Однолинейка!$BW$3:$BW$3000,Однолинейка!$A$3:$A$3000,Щит_спец),IF(C212=$S$8,SUMIFS(Однолинейка!$BX$3:$BX$3000,Однолинейка!$A$3:$A$3000,Щит_спец),""))),""))))</f>
        <v/>
      </c>
      <c r="O212" s="74"/>
      <c r="P212" s="38" t="str">
        <f t="shared" si="27"/>
        <v/>
      </c>
      <c r="U212" s="38" t="str">
        <f t="shared" si="28"/>
        <v/>
      </c>
      <c r="V212" s="38" t="str">
        <f t="shared" si="29"/>
        <v/>
      </c>
      <c r="W212" s="38" t="str">
        <f>IF(AND(U212&lt;&gt;"",OR($S$4="(все)",B212=$S$4),IF($S$4="(все)",COUNTIF($U$4:U212,U212),COUNTIFS($U$4:U212,U212,$B$4:B212,B212))=1),MAX($W$3:W211)+1,"")</f>
        <v/>
      </c>
      <c r="X212" s="38" t="str">
        <f t="shared" si="30"/>
        <v/>
      </c>
      <c r="Y212" s="38" t="str">
        <f>IF(AND(A212="Аппарат",C212&lt;&gt;"",OR($S$5="(все)",B212=$S$5)),MAX($Y$3:Y211)+1,"")</f>
        <v/>
      </c>
      <c r="Z212" s="38" t="str">
        <f t="shared" si="31"/>
        <v/>
      </c>
      <c r="AA212" s="38" t="str">
        <f>IF(AND(A212="Модуль",C212&lt;&gt;"",OR($S$6="(все)",B212=$S$6)),MAX($AA$3:AA211)+1,"")</f>
        <v/>
      </c>
      <c r="AB212" s="38" t="str">
        <f t="shared" si="32"/>
        <v/>
      </c>
      <c r="AC212" s="38" t="str">
        <f>IF(OR(B212="",COUNTIF($B$4:B212,B212)&gt;1),"",MAX($AC$3:AC211)+1)</f>
        <v/>
      </c>
      <c r="AD212" s="38" t="str">
        <f t="shared" si="33"/>
        <v/>
      </c>
      <c r="AE212" s="38" t="str">
        <f t="shared" si="34"/>
        <v/>
      </c>
      <c r="AF212" s="38" t="str">
        <f t="shared" si="35"/>
        <v/>
      </c>
    </row>
    <row r="213" spans="1:32" x14ac:dyDescent="0.3">
      <c r="A213" s="74"/>
      <c r="B213" s="74"/>
      <c r="C213" s="74"/>
      <c r="D213" s="74"/>
      <c r="E213" s="74"/>
      <c r="F213" s="74"/>
      <c r="G213" s="74"/>
      <c r="H213" s="74"/>
      <c r="I213" s="74"/>
      <c r="J213" s="74"/>
      <c r="K213" s="74"/>
      <c r="L213" s="74"/>
      <c r="M213" s="74"/>
      <c r="N213" s="38" t="str">
        <f>IF(OR(A213="Автомат",A213="Дифавтомат"),IF(W213="","",COUNTIFS(Однолинейка!$H$3:$H$3000,U213,Однолинейка!$A$3:$A$3000,Щит_спец)),IF(A213="Аппарат",IF(C213="","",COUNTIFS(Однолинейка!$I$3:$I$3000,C213,Однолинейка!$A$3:$A$3000,Щит_спец)+COUNTIFS(Однолинейка!$J$3:$J$3000,C213,Однолинейка!$A$3:$A$3000,Щит_спец)+COUNTIFS(Однолинейка!$K$3:$K$3000,C213,Однолинейка!$A$3:$A$3000,Щит_спец)),IF(A213="Модуль",IF(C213="","",COUNTIFS(Однолинейка!$AW$3:$AW$3000,"?*",Однолинейка!$AI$3:$AI$3000,C213,Однолинейка!$A$3:$A$3000,Щит_спец)),IF(A213="Клемма",IF(C213="","",IF(C213=$S$7,SUMIFS(Однолинейка!$BW$3:$BW$3000,Однолинейка!$A$3:$A$3000,Щит_спец),IF(C213=$S$8,SUMIFS(Однолинейка!$BX$3:$BX$3000,Однолинейка!$A$3:$A$3000,Щит_спец),""))),""))))</f>
        <v/>
      </c>
      <c r="O213" s="74"/>
      <c r="P213" s="38" t="str">
        <f t="shared" si="27"/>
        <v/>
      </c>
      <c r="U213" s="38" t="str">
        <f t="shared" si="28"/>
        <v/>
      </c>
      <c r="V213" s="38" t="str">
        <f t="shared" si="29"/>
        <v/>
      </c>
      <c r="W213" s="38" t="str">
        <f>IF(AND(U213&lt;&gt;"",OR($S$4="(все)",B213=$S$4),IF($S$4="(все)",COUNTIF($U$4:U213,U213),COUNTIFS($U$4:U213,U213,$B$4:B213,B213))=1),MAX($W$3:W212)+1,"")</f>
        <v/>
      </c>
      <c r="X213" s="38" t="str">
        <f t="shared" si="30"/>
        <v/>
      </c>
      <c r="Y213" s="38" t="str">
        <f>IF(AND(A213="Аппарат",C213&lt;&gt;"",OR($S$5="(все)",B213=$S$5)),MAX($Y$3:Y212)+1,"")</f>
        <v/>
      </c>
      <c r="Z213" s="38" t="str">
        <f t="shared" si="31"/>
        <v/>
      </c>
      <c r="AA213" s="38" t="str">
        <f>IF(AND(A213="Модуль",C213&lt;&gt;"",OR($S$6="(все)",B213=$S$6)),MAX($AA$3:AA212)+1,"")</f>
        <v/>
      </c>
      <c r="AB213" s="38" t="str">
        <f t="shared" si="32"/>
        <v/>
      </c>
      <c r="AC213" s="38" t="str">
        <f>IF(OR(B213="",COUNTIF($B$4:B213,B213)&gt;1),"",MAX($AC$3:AC212)+1)</f>
        <v/>
      </c>
      <c r="AD213" s="38" t="str">
        <f t="shared" si="33"/>
        <v/>
      </c>
      <c r="AE213" s="38" t="str">
        <f t="shared" si="34"/>
        <v/>
      </c>
      <c r="AF213" s="38" t="str">
        <f t="shared" si="35"/>
        <v/>
      </c>
    </row>
    <row r="214" spans="1:32" x14ac:dyDescent="0.3">
      <c r="A214" s="74"/>
      <c r="B214" s="74"/>
      <c r="C214" s="74"/>
      <c r="D214" s="74"/>
      <c r="E214" s="74"/>
      <c r="F214" s="74"/>
      <c r="G214" s="74"/>
      <c r="H214" s="74"/>
      <c r="I214" s="74"/>
      <c r="J214" s="74"/>
      <c r="K214" s="74"/>
      <c r="L214" s="74"/>
      <c r="M214" s="74"/>
      <c r="N214" s="38" t="str">
        <f>IF(OR(A214="Автомат",A214="Дифавтомат"),IF(W214="","",COUNTIFS(Однолинейка!$H$3:$H$3000,U214,Однолинейка!$A$3:$A$3000,Щит_спец)),IF(A214="Аппарат",IF(C214="","",COUNTIFS(Однолинейка!$I$3:$I$3000,C214,Однолинейка!$A$3:$A$3000,Щит_спец)+COUNTIFS(Однолинейка!$J$3:$J$3000,C214,Однолинейка!$A$3:$A$3000,Щит_спец)+COUNTIFS(Однолинейка!$K$3:$K$3000,C214,Однолинейка!$A$3:$A$3000,Щит_спец)),IF(A214="Модуль",IF(C214="","",COUNTIFS(Однолинейка!$AW$3:$AW$3000,"?*",Однолинейка!$AI$3:$AI$3000,C214,Однолинейка!$A$3:$A$3000,Щит_спец)),IF(A214="Клемма",IF(C214="","",IF(C214=$S$7,SUMIFS(Однолинейка!$BW$3:$BW$3000,Однолинейка!$A$3:$A$3000,Щит_спец),IF(C214=$S$8,SUMIFS(Однолинейка!$BX$3:$BX$3000,Однолинейка!$A$3:$A$3000,Щит_спец),""))),""))))</f>
        <v/>
      </c>
      <c r="O214" s="74"/>
      <c r="P214" s="38" t="str">
        <f t="shared" si="27"/>
        <v/>
      </c>
      <c r="U214" s="38" t="str">
        <f t="shared" si="28"/>
        <v/>
      </c>
      <c r="V214" s="38" t="str">
        <f t="shared" si="29"/>
        <v/>
      </c>
      <c r="W214" s="38" t="str">
        <f>IF(AND(U214&lt;&gt;"",OR($S$4="(все)",B214=$S$4),IF($S$4="(все)",COUNTIF($U$4:U214,U214),COUNTIFS($U$4:U214,U214,$B$4:B214,B214))=1),MAX($W$3:W213)+1,"")</f>
        <v/>
      </c>
      <c r="X214" s="38" t="str">
        <f t="shared" si="30"/>
        <v/>
      </c>
      <c r="Y214" s="38" t="str">
        <f>IF(AND(A214="Аппарат",C214&lt;&gt;"",OR($S$5="(все)",B214=$S$5)),MAX($Y$3:Y213)+1,"")</f>
        <v/>
      </c>
      <c r="Z214" s="38" t="str">
        <f t="shared" si="31"/>
        <v/>
      </c>
      <c r="AA214" s="38" t="str">
        <f>IF(AND(A214="Модуль",C214&lt;&gt;"",OR($S$6="(все)",B214=$S$6)),MAX($AA$3:AA213)+1,"")</f>
        <v/>
      </c>
      <c r="AB214" s="38" t="str">
        <f t="shared" si="32"/>
        <v/>
      </c>
      <c r="AC214" s="38" t="str">
        <f>IF(OR(B214="",COUNTIF($B$4:B214,B214)&gt;1),"",MAX($AC$3:AC213)+1)</f>
        <v/>
      </c>
      <c r="AD214" s="38" t="str">
        <f t="shared" si="33"/>
        <v/>
      </c>
      <c r="AE214" s="38" t="str">
        <f t="shared" si="34"/>
        <v/>
      </c>
      <c r="AF214" s="38" t="str">
        <f t="shared" si="35"/>
        <v/>
      </c>
    </row>
    <row r="215" spans="1:32" x14ac:dyDescent="0.3">
      <c r="A215" s="74"/>
      <c r="B215" s="74"/>
      <c r="C215" s="74"/>
      <c r="D215" s="74"/>
      <c r="E215" s="74"/>
      <c r="F215" s="74"/>
      <c r="G215" s="74"/>
      <c r="H215" s="74"/>
      <c r="I215" s="74"/>
      <c r="J215" s="74"/>
      <c r="K215" s="74"/>
      <c r="L215" s="74"/>
      <c r="M215" s="74"/>
      <c r="N215" s="38" t="str">
        <f>IF(OR(A215="Автомат",A215="Дифавтомат"),IF(W215="","",COUNTIFS(Однолинейка!$H$3:$H$3000,U215,Однолинейка!$A$3:$A$3000,Щит_спец)),IF(A215="Аппарат",IF(C215="","",COUNTIFS(Однолинейка!$I$3:$I$3000,C215,Однолинейка!$A$3:$A$3000,Щит_спец)+COUNTIFS(Однолинейка!$J$3:$J$3000,C215,Однолинейка!$A$3:$A$3000,Щит_спец)+COUNTIFS(Однолинейка!$K$3:$K$3000,C215,Однолинейка!$A$3:$A$3000,Щит_спец)),IF(A215="Модуль",IF(C215="","",COUNTIFS(Однолинейка!$AW$3:$AW$3000,"?*",Однолинейка!$AI$3:$AI$3000,C215,Однолинейка!$A$3:$A$3000,Щит_спец)),IF(A215="Клемма",IF(C215="","",IF(C215=$S$7,SUMIFS(Однолинейка!$BW$3:$BW$3000,Однолинейка!$A$3:$A$3000,Щит_спец),IF(C215=$S$8,SUMIFS(Однолинейка!$BX$3:$BX$3000,Однолинейка!$A$3:$A$3000,Щит_спец),""))),""))))</f>
        <v/>
      </c>
      <c r="O215" s="74"/>
      <c r="P215" s="38" t="str">
        <f t="shared" si="27"/>
        <v/>
      </c>
      <c r="U215" s="38" t="str">
        <f t="shared" si="28"/>
        <v/>
      </c>
      <c r="V215" s="38" t="str">
        <f t="shared" si="29"/>
        <v/>
      </c>
      <c r="W215" s="38" t="str">
        <f>IF(AND(U215&lt;&gt;"",OR($S$4="(все)",B215=$S$4),IF($S$4="(все)",COUNTIF($U$4:U215,U215),COUNTIFS($U$4:U215,U215,$B$4:B215,B215))=1),MAX($W$3:W214)+1,"")</f>
        <v/>
      </c>
      <c r="X215" s="38" t="str">
        <f t="shared" si="30"/>
        <v/>
      </c>
      <c r="Y215" s="38" t="str">
        <f>IF(AND(A215="Аппарат",C215&lt;&gt;"",OR($S$5="(все)",B215=$S$5)),MAX($Y$3:Y214)+1,"")</f>
        <v/>
      </c>
      <c r="Z215" s="38" t="str">
        <f t="shared" si="31"/>
        <v/>
      </c>
      <c r="AA215" s="38" t="str">
        <f>IF(AND(A215="Модуль",C215&lt;&gt;"",OR($S$6="(все)",B215=$S$6)),MAX($AA$3:AA214)+1,"")</f>
        <v/>
      </c>
      <c r="AB215" s="38" t="str">
        <f t="shared" si="32"/>
        <v/>
      </c>
      <c r="AC215" s="38" t="str">
        <f>IF(OR(B215="",COUNTIF($B$4:B215,B215)&gt;1),"",MAX($AC$3:AC214)+1)</f>
        <v/>
      </c>
      <c r="AD215" s="38" t="str">
        <f t="shared" si="33"/>
        <v/>
      </c>
      <c r="AE215" s="38" t="str">
        <f t="shared" si="34"/>
        <v/>
      </c>
      <c r="AF215" s="38" t="str">
        <f t="shared" si="35"/>
        <v/>
      </c>
    </row>
    <row r="216" spans="1:32" x14ac:dyDescent="0.3">
      <c r="A216" s="74"/>
      <c r="B216" s="74"/>
      <c r="C216" s="74"/>
      <c r="D216" s="74"/>
      <c r="E216" s="74"/>
      <c r="F216" s="74"/>
      <c r="G216" s="74"/>
      <c r="H216" s="74"/>
      <c r="I216" s="74"/>
      <c r="J216" s="74"/>
      <c r="K216" s="74"/>
      <c r="L216" s="74"/>
      <c r="M216" s="74"/>
      <c r="N216" s="38" t="str">
        <f>IF(OR(A216="Автомат",A216="Дифавтомат"),IF(W216="","",COUNTIFS(Однолинейка!$H$3:$H$3000,U216,Однолинейка!$A$3:$A$3000,Щит_спец)),IF(A216="Аппарат",IF(C216="","",COUNTIFS(Однолинейка!$I$3:$I$3000,C216,Однолинейка!$A$3:$A$3000,Щит_спец)+COUNTIFS(Однолинейка!$J$3:$J$3000,C216,Однолинейка!$A$3:$A$3000,Щит_спец)+COUNTIFS(Однолинейка!$K$3:$K$3000,C216,Однолинейка!$A$3:$A$3000,Щит_спец)),IF(A216="Модуль",IF(C216="","",COUNTIFS(Однолинейка!$AW$3:$AW$3000,"?*",Однолинейка!$AI$3:$AI$3000,C216,Однолинейка!$A$3:$A$3000,Щит_спец)),IF(A216="Клемма",IF(C216="","",IF(C216=$S$7,SUMIFS(Однолинейка!$BW$3:$BW$3000,Однолинейка!$A$3:$A$3000,Щит_спец),IF(C216=$S$8,SUMIFS(Однолинейка!$BX$3:$BX$3000,Однолинейка!$A$3:$A$3000,Щит_спец),""))),""))))</f>
        <v/>
      </c>
      <c r="O216" s="74"/>
      <c r="P216" s="38" t="str">
        <f t="shared" si="27"/>
        <v/>
      </c>
      <c r="U216" s="38" t="str">
        <f t="shared" si="28"/>
        <v/>
      </c>
      <c r="V216" s="38" t="str">
        <f t="shared" si="29"/>
        <v/>
      </c>
      <c r="W216" s="38" t="str">
        <f>IF(AND(U216&lt;&gt;"",OR($S$4="(все)",B216=$S$4),IF($S$4="(все)",COUNTIF($U$4:U216,U216),COUNTIFS($U$4:U216,U216,$B$4:B216,B216))=1),MAX($W$3:W215)+1,"")</f>
        <v/>
      </c>
      <c r="X216" s="38" t="str">
        <f t="shared" si="30"/>
        <v/>
      </c>
      <c r="Y216" s="38" t="str">
        <f>IF(AND(A216="Аппарат",C216&lt;&gt;"",OR($S$5="(все)",B216=$S$5)),MAX($Y$3:Y215)+1,"")</f>
        <v/>
      </c>
      <c r="Z216" s="38" t="str">
        <f t="shared" si="31"/>
        <v/>
      </c>
      <c r="AA216" s="38" t="str">
        <f>IF(AND(A216="Модуль",C216&lt;&gt;"",OR($S$6="(все)",B216=$S$6)),MAX($AA$3:AA215)+1,"")</f>
        <v/>
      </c>
      <c r="AB216" s="38" t="str">
        <f t="shared" si="32"/>
        <v/>
      </c>
      <c r="AC216" s="38" t="str">
        <f>IF(OR(B216="",COUNTIF($B$4:B216,B216)&gt;1),"",MAX($AC$3:AC215)+1)</f>
        <v/>
      </c>
      <c r="AD216" s="38" t="str">
        <f t="shared" si="33"/>
        <v/>
      </c>
      <c r="AE216" s="38" t="str">
        <f t="shared" si="34"/>
        <v/>
      </c>
      <c r="AF216" s="38" t="str">
        <f t="shared" si="35"/>
        <v/>
      </c>
    </row>
    <row r="217" spans="1:32" x14ac:dyDescent="0.3">
      <c r="A217" s="74"/>
      <c r="B217" s="74"/>
      <c r="C217" s="74"/>
      <c r="D217" s="74"/>
      <c r="E217" s="74"/>
      <c r="F217" s="74"/>
      <c r="G217" s="74"/>
      <c r="H217" s="74"/>
      <c r="I217" s="74"/>
      <c r="J217" s="74"/>
      <c r="K217" s="74"/>
      <c r="L217" s="74"/>
      <c r="M217" s="74"/>
      <c r="N217" s="38" t="str">
        <f>IF(OR(A217="Автомат",A217="Дифавтомат"),IF(W217="","",COUNTIFS(Однолинейка!$H$3:$H$3000,U217,Однолинейка!$A$3:$A$3000,Щит_спец)),IF(A217="Аппарат",IF(C217="","",COUNTIFS(Однолинейка!$I$3:$I$3000,C217,Однолинейка!$A$3:$A$3000,Щит_спец)+COUNTIFS(Однолинейка!$J$3:$J$3000,C217,Однолинейка!$A$3:$A$3000,Щит_спец)+COUNTIFS(Однолинейка!$K$3:$K$3000,C217,Однолинейка!$A$3:$A$3000,Щит_спец)),IF(A217="Модуль",IF(C217="","",COUNTIFS(Однолинейка!$AW$3:$AW$3000,"?*",Однолинейка!$AI$3:$AI$3000,C217,Однолинейка!$A$3:$A$3000,Щит_спец)),IF(A217="Клемма",IF(C217="","",IF(C217=$S$7,SUMIFS(Однолинейка!$BW$3:$BW$3000,Однолинейка!$A$3:$A$3000,Щит_спец),IF(C217=$S$8,SUMIFS(Однолинейка!$BX$3:$BX$3000,Однолинейка!$A$3:$A$3000,Щит_спец),""))),""))))</f>
        <v/>
      </c>
      <c r="O217" s="74"/>
      <c r="P217" s="38" t="str">
        <f t="shared" si="27"/>
        <v/>
      </c>
      <c r="U217" s="38" t="str">
        <f t="shared" si="28"/>
        <v/>
      </c>
      <c r="V217" s="38" t="str">
        <f t="shared" si="29"/>
        <v/>
      </c>
      <c r="W217" s="38" t="str">
        <f>IF(AND(U217&lt;&gt;"",OR($S$4="(все)",B217=$S$4),IF($S$4="(все)",COUNTIF($U$4:U217,U217),COUNTIFS($U$4:U217,U217,$B$4:B217,B217))=1),MAX($W$3:W216)+1,"")</f>
        <v/>
      </c>
      <c r="X217" s="38" t="str">
        <f t="shared" si="30"/>
        <v/>
      </c>
      <c r="Y217" s="38" t="str">
        <f>IF(AND(A217="Аппарат",C217&lt;&gt;"",OR($S$5="(все)",B217=$S$5)),MAX($Y$3:Y216)+1,"")</f>
        <v/>
      </c>
      <c r="Z217" s="38" t="str">
        <f t="shared" si="31"/>
        <v/>
      </c>
      <c r="AA217" s="38" t="str">
        <f>IF(AND(A217="Модуль",C217&lt;&gt;"",OR($S$6="(все)",B217=$S$6)),MAX($AA$3:AA216)+1,"")</f>
        <v/>
      </c>
      <c r="AB217" s="38" t="str">
        <f t="shared" si="32"/>
        <v/>
      </c>
      <c r="AC217" s="38" t="str">
        <f>IF(OR(B217="",COUNTIF($B$4:B217,B217)&gt;1),"",MAX($AC$3:AC216)+1)</f>
        <v/>
      </c>
      <c r="AD217" s="38" t="str">
        <f t="shared" si="33"/>
        <v/>
      </c>
      <c r="AE217" s="38" t="str">
        <f t="shared" si="34"/>
        <v/>
      </c>
      <c r="AF217" s="38" t="str">
        <f t="shared" si="35"/>
        <v/>
      </c>
    </row>
    <row r="218" spans="1:32" x14ac:dyDescent="0.3">
      <c r="A218" s="74"/>
      <c r="B218" s="74"/>
      <c r="C218" s="74"/>
      <c r="D218" s="74"/>
      <c r="E218" s="74"/>
      <c r="F218" s="74"/>
      <c r="G218" s="74"/>
      <c r="H218" s="74"/>
      <c r="I218" s="74"/>
      <c r="J218" s="74"/>
      <c r="K218" s="74"/>
      <c r="L218" s="74"/>
      <c r="M218" s="74"/>
      <c r="N218" s="38" t="str">
        <f>IF(OR(A218="Автомат",A218="Дифавтомат"),IF(W218="","",COUNTIFS(Однолинейка!$H$3:$H$3000,U218,Однолинейка!$A$3:$A$3000,Щит_спец)),IF(A218="Аппарат",IF(C218="","",COUNTIFS(Однолинейка!$I$3:$I$3000,C218,Однолинейка!$A$3:$A$3000,Щит_спец)+COUNTIFS(Однолинейка!$J$3:$J$3000,C218,Однолинейка!$A$3:$A$3000,Щит_спец)+COUNTIFS(Однолинейка!$K$3:$K$3000,C218,Однолинейка!$A$3:$A$3000,Щит_спец)),IF(A218="Модуль",IF(C218="","",COUNTIFS(Однолинейка!$AW$3:$AW$3000,"?*",Однолинейка!$AI$3:$AI$3000,C218,Однолинейка!$A$3:$A$3000,Щит_спец)),IF(A218="Клемма",IF(C218="","",IF(C218=$S$7,SUMIFS(Однолинейка!$BW$3:$BW$3000,Однолинейка!$A$3:$A$3000,Щит_спец),IF(C218=$S$8,SUMIFS(Однолинейка!$BX$3:$BX$3000,Однолинейка!$A$3:$A$3000,Щит_спец),""))),""))))</f>
        <v/>
      </c>
      <c r="O218" s="74"/>
      <c r="P218" s="38" t="str">
        <f t="shared" si="27"/>
        <v/>
      </c>
      <c r="U218" s="38" t="str">
        <f t="shared" si="28"/>
        <v/>
      </c>
      <c r="V218" s="38" t="str">
        <f t="shared" si="29"/>
        <v/>
      </c>
      <c r="W218" s="38" t="str">
        <f>IF(AND(U218&lt;&gt;"",OR($S$4="(все)",B218=$S$4),IF($S$4="(все)",COUNTIF($U$4:U218,U218),COUNTIFS($U$4:U218,U218,$B$4:B218,B218))=1),MAX($W$3:W217)+1,"")</f>
        <v/>
      </c>
      <c r="X218" s="38" t="str">
        <f t="shared" si="30"/>
        <v/>
      </c>
      <c r="Y218" s="38" t="str">
        <f>IF(AND(A218="Аппарат",C218&lt;&gt;"",OR($S$5="(все)",B218=$S$5)),MAX($Y$3:Y217)+1,"")</f>
        <v/>
      </c>
      <c r="Z218" s="38" t="str">
        <f t="shared" si="31"/>
        <v/>
      </c>
      <c r="AA218" s="38" t="str">
        <f>IF(AND(A218="Модуль",C218&lt;&gt;"",OR($S$6="(все)",B218=$S$6)),MAX($AA$3:AA217)+1,"")</f>
        <v/>
      </c>
      <c r="AB218" s="38" t="str">
        <f t="shared" si="32"/>
        <v/>
      </c>
      <c r="AC218" s="38" t="str">
        <f>IF(OR(B218="",COUNTIF($B$4:B218,B218)&gt;1),"",MAX($AC$3:AC217)+1)</f>
        <v/>
      </c>
      <c r="AD218" s="38" t="str">
        <f t="shared" si="33"/>
        <v/>
      </c>
      <c r="AE218" s="38" t="str">
        <f t="shared" si="34"/>
        <v/>
      </c>
      <c r="AF218" s="38" t="str">
        <f t="shared" si="35"/>
        <v/>
      </c>
    </row>
    <row r="219" spans="1:32" x14ac:dyDescent="0.3">
      <c r="A219" s="74"/>
      <c r="B219" s="74"/>
      <c r="C219" s="74"/>
      <c r="D219" s="74"/>
      <c r="E219" s="74"/>
      <c r="F219" s="74"/>
      <c r="G219" s="74"/>
      <c r="H219" s="74"/>
      <c r="I219" s="74"/>
      <c r="J219" s="74"/>
      <c r="K219" s="74"/>
      <c r="L219" s="74"/>
      <c r="M219" s="74"/>
      <c r="N219" s="38" t="str">
        <f>IF(OR(A219="Автомат",A219="Дифавтомат"),IF(W219="","",COUNTIFS(Однолинейка!$H$3:$H$3000,U219,Однолинейка!$A$3:$A$3000,Щит_спец)),IF(A219="Аппарат",IF(C219="","",COUNTIFS(Однолинейка!$I$3:$I$3000,C219,Однолинейка!$A$3:$A$3000,Щит_спец)+COUNTIFS(Однолинейка!$J$3:$J$3000,C219,Однолинейка!$A$3:$A$3000,Щит_спец)+COUNTIFS(Однолинейка!$K$3:$K$3000,C219,Однолинейка!$A$3:$A$3000,Щит_спец)),IF(A219="Модуль",IF(C219="","",COUNTIFS(Однолинейка!$AW$3:$AW$3000,"?*",Однолинейка!$AI$3:$AI$3000,C219,Однолинейка!$A$3:$A$3000,Щит_спец)),IF(A219="Клемма",IF(C219="","",IF(C219=$S$7,SUMIFS(Однолинейка!$BW$3:$BW$3000,Однолинейка!$A$3:$A$3000,Щит_спец),IF(C219=$S$8,SUMIFS(Однолинейка!$BX$3:$BX$3000,Однолинейка!$A$3:$A$3000,Щит_спец),""))),""))))</f>
        <v/>
      </c>
      <c r="O219" s="74"/>
      <c r="P219" s="38" t="str">
        <f t="shared" si="27"/>
        <v/>
      </c>
      <c r="U219" s="38" t="str">
        <f t="shared" si="28"/>
        <v/>
      </c>
      <c r="V219" s="38" t="str">
        <f t="shared" si="29"/>
        <v/>
      </c>
      <c r="W219" s="38" t="str">
        <f>IF(AND(U219&lt;&gt;"",OR($S$4="(все)",B219=$S$4),IF($S$4="(все)",COUNTIF($U$4:U219,U219),COUNTIFS($U$4:U219,U219,$B$4:B219,B219))=1),MAX($W$3:W218)+1,"")</f>
        <v/>
      </c>
      <c r="X219" s="38" t="str">
        <f t="shared" si="30"/>
        <v/>
      </c>
      <c r="Y219" s="38" t="str">
        <f>IF(AND(A219="Аппарат",C219&lt;&gt;"",OR($S$5="(все)",B219=$S$5)),MAX($Y$3:Y218)+1,"")</f>
        <v/>
      </c>
      <c r="Z219" s="38" t="str">
        <f t="shared" si="31"/>
        <v/>
      </c>
      <c r="AA219" s="38" t="str">
        <f>IF(AND(A219="Модуль",C219&lt;&gt;"",OR($S$6="(все)",B219=$S$6)),MAX($AA$3:AA218)+1,"")</f>
        <v/>
      </c>
      <c r="AB219" s="38" t="str">
        <f t="shared" si="32"/>
        <v/>
      </c>
      <c r="AC219" s="38" t="str">
        <f>IF(OR(B219="",COUNTIF($B$4:B219,B219)&gt;1),"",MAX($AC$3:AC218)+1)</f>
        <v/>
      </c>
      <c r="AD219" s="38" t="str">
        <f t="shared" si="33"/>
        <v/>
      </c>
      <c r="AE219" s="38" t="str">
        <f t="shared" si="34"/>
        <v/>
      </c>
      <c r="AF219" s="38" t="str">
        <f t="shared" si="35"/>
        <v/>
      </c>
    </row>
    <row r="220" spans="1:32" x14ac:dyDescent="0.3">
      <c r="A220" s="74"/>
      <c r="B220" s="74"/>
      <c r="C220" s="74"/>
      <c r="D220" s="74"/>
      <c r="E220" s="74"/>
      <c r="F220" s="74"/>
      <c r="G220" s="74"/>
      <c r="H220" s="74"/>
      <c r="I220" s="74"/>
      <c r="J220" s="74"/>
      <c r="K220" s="74"/>
      <c r="L220" s="74"/>
      <c r="M220" s="74"/>
      <c r="N220" s="38" t="str">
        <f>IF(OR(A220="Автомат",A220="Дифавтомат"),IF(W220="","",COUNTIFS(Однолинейка!$H$3:$H$3000,U220,Однолинейка!$A$3:$A$3000,Щит_спец)),IF(A220="Аппарат",IF(C220="","",COUNTIFS(Однолинейка!$I$3:$I$3000,C220,Однолинейка!$A$3:$A$3000,Щит_спец)+COUNTIFS(Однолинейка!$J$3:$J$3000,C220,Однолинейка!$A$3:$A$3000,Щит_спец)+COUNTIFS(Однолинейка!$K$3:$K$3000,C220,Однолинейка!$A$3:$A$3000,Щит_спец)),IF(A220="Модуль",IF(C220="","",COUNTIFS(Однолинейка!$AW$3:$AW$3000,"?*",Однолинейка!$AI$3:$AI$3000,C220,Однолинейка!$A$3:$A$3000,Щит_спец)),IF(A220="Клемма",IF(C220="","",IF(C220=$S$7,SUMIFS(Однолинейка!$BW$3:$BW$3000,Однолинейка!$A$3:$A$3000,Щит_спец),IF(C220=$S$8,SUMIFS(Однолинейка!$BX$3:$BX$3000,Однолинейка!$A$3:$A$3000,Щит_спец),""))),""))))</f>
        <v/>
      </c>
      <c r="O220" s="74"/>
      <c r="P220" s="38" t="str">
        <f t="shared" si="27"/>
        <v/>
      </c>
      <c r="U220" s="38" t="str">
        <f t="shared" si="28"/>
        <v/>
      </c>
      <c r="V220" s="38" t="str">
        <f t="shared" si="29"/>
        <v/>
      </c>
      <c r="W220" s="38" t="str">
        <f>IF(AND(U220&lt;&gt;"",OR($S$4="(все)",B220=$S$4),IF($S$4="(все)",COUNTIF($U$4:U220,U220),COUNTIFS($U$4:U220,U220,$B$4:B220,B220))=1),MAX($W$3:W219)+1,"")</f>
        <v/>
      </c>
      <c r="X220" s="38" t="str">
        <f t="shared" si="30"/>
        <v/>
      </c>
      <c r="Y220" s="38" t="str">
        <f>IF(AND(A220="Аппарат",C220&lt;&gt;"",OR($S$5="(все)",B220=$S$5)),MAX($Y$3:Y219)+1,"")</f>
        <v/>
      </c>
      <c r="Z220" s="38" t="str">
        <f t="shared" si="31"/>
        <v/>
      </c>
      <c r="AA220" s="38" t="str">
        <f>IF(AND(A220="Модуль",C220&lt;&gt;"",OR($S$6="(все)",B220=$S$6)),MAX($AA$3:AA219)+1,"")</f>
        <v/>
      </c>
      <c r="AB220" s="38" t="str">
        <f t="shared" si="32"/>
        <v/>
      </c>
      <c r="AC220" s="38" t="str">
        <f>IF(OR(B220="",COUNTIF($B$4:B220,B220)&gt;1),"",MAX($AC$3:AC219)+1)</f>
        <v/>
      </c>
      <c r="AD220" s="38" t="str">
        <f t="shared" si="33"/>
        <v/>
      </c>
      <c r="AE220" s="38" t="str">
        <f t="shared" si="34"/>
        <v/>
      </c>
      <c r="AF220" s="38" t="str">
        <f t="shared" si="35"/>
        <v/>
      </c>
    </row>
    <row r="221" spans="1:32" x14ac:dyDescent="0.3">
      <c r="A221" s="74"/>
      <c r="B221" s="74"/>
      <c r="C221" s="74"/>
      <c r="D221" s="74"/>
      <c r="E221" s="74"/>
      <c r="F221" s="74"/>
      <c r="G221" s="74"/>
      <c r="H221" s="74"/>
      <c r="I221" s="74"/>
      <c r="J221" s="74"/>
      <c r="K221" s="74"/>
      <c r="L221" s="74"/>
      <c r="M221" s="74"/>
      <c r="N221" s="38" t="str">
        <f>IF(OR(A221="Автомат",A221="Дифавтомат"),IF(W221="","",COUNTIFS(Однолинейка!$H$3:$H$3000,U221,Однолинейка!$A$3:$A$3000,Щит_спец)),IF(A221="Аппарат",IF(C221="","",COUNTIFS(Однолинейка!$I$3:$I$3000,C221,Однолинейка!$A$3:$A$3000,Щит_спец)+COUNTIFS(Однолинейка!$J$3:$J$3000,C221,Однолинейка!$A$3:$A$3000,Щит_спец)+COUNTIFS(Однолинейка!$K$3:$K$3000,C221,Однолинейка!$A$3:$A$3000,Щит_спец)),IF(A221="Модуль",IF(C221="","",COUNTIFS(Однолинейка!$AW$3:$AW$3000,"?*",Однолинейка!$AI$3:$AI$3000,C221,Однолинейка!$A$3:$A$3000,Щит_спец)),IF(A221="Клемма",IF(C221="","",IF(C221=$S$7,SUMIFS(Однолинейка!$BW$3:$BW$3000,Однолинейка!$A$3:$A$3000,Щит_спец),IF(C221=$S$8,SUMIFS(Однолинейка!$BX$3:$BX$3000,Однолинейка!$A$3:$A$3000,Щит_спец),""))),""))))</f>
        <v/>
      </c>
      <c r="O221" s="74"/>
      <c r="P221" s="38" t="str">
        <f t="shared" si="27"/>
        <v/>
      </c>
      <c r="U221" s="38" t="str">
        <f t="shared" si="28"/>
        <v/>
      </c>
      <c r="V221" s="38" t="str">
        <f t="shared" si="29"/>
        <v/>
      </c>
      <c r="W221" s="38" t="str">
        <f>IF(AND(U221&lt;&gt;"",OR($S$4="(все)",B221=$S$4),IF($S$4="(все)",COUNTIF($U$4:U221,U221),COUNTIFS($U$4:U221,U221,$B$4:B221,B221))=1),MAX($W$3:W220)+1,"")</f>
        <v/>
      </c>
      <c r="X221" s="38" t="str">
        <f t="shared" si="30"/>
        <v/>
      </c>
      <c r="Y221" s="38" t="str">
        <f>IF(AND(A221="Аппарат",C221&lt;&gt;"",OR($S$5="(все)",B221=$S$5)),MAX($Y$3:Y220)+1,"")</f>
        <v/>
      </c>
      <c r="Z221" s="38" t="str">
        <f t="shared" si="31"/>
        <v/>
      </c>
      <c r="AA221" s="38" t="str">
        <f>IF(AND(A221="Модуль",C221&lt;&gt;"",OR($S$6="(все)",B221=$S$6)),MAX($AA$3:AA220)+1,"")</f>
        <v/>
      </c>
      <c r="AB221" s="38" t="str">
        <f t="shared" si="32"/>
        <v/>
      </c>
      <c r="AC221" s="38" t="str">
        <f>IF(OR(B221="",COUNTIF($B$4:B221,B221)&gt;1),"",MAX($AC$3:AC220)+1)</f>
        <v/>
      </c>
      <c r="AD221" s="38" t="str">
        <f t="shared" si="33"/>
        <v/>
      </c>
      <c r="AE221" s="38" t="str">
        <f t="shared" si="34"/>
        <v/>
      </c>
      <c r="AF221" s="38" t="str">
        <f t="shared" si="35"/>
        <v/>
      </c>
    </row>
    <row r="222" spans="1:32" x14ac:dyDescent="0.3">
      <c r="A222" s="74"/>
      <c r="B222" s="74"/>
      <c r="C222" s="74"/>
      <c r="D222" s="74"/>
      <c r="E222" s="74"/>
      <c r="F222" s="74"/>
      <c r="G222" s="74"/>
      <c r="H222" s="74"/>
      <c r="I222" s="74"/>
      <c r="J222" s="74"/>
      <c r="K222" s="74"/>
      <c r="L222" s="74"/>
      <c r="M222" s="74"/>
      <c r="N222" s="38" t="str">
        <f>IF(OR(A222="Автомат",A222="Дифавтомат"),IF(W222="","",COUNTIFS(Однолинейка!$H$3:$H$3000,U222,Однолинейка!$A$3:$A$3000,Щит_спец)),IF(A222="Аппарат",IF(C222="","",COUNTIFS(Однолинейка!$I$3:$I$3000,C222,Однолинейка!$A$3:$A$3000,Щит_спец)+COUNTIFS(Однолинейка!$J$3:$J$3000,C222,Однолинейка!$A$3:$A$3000,Щит_спец)+COUNTIFS(Однолинейка!$K$3:$K$3000,C222,Однолинейка!$A$3:$A$3000,Щит_спец)),IF(A222="Модуль",IF(C222="","",COUNTIFS(Однолинейка!$AW$3:$AW$3000,"?*",Однолинейка!$AI$3:$AI$3000,C222,Однолинейка!$A$3:$A$3000,Щит_спец)),IF(A222="Клемма",IF(C222="","",IF(C222=$S$7,SUMIFS(Однолинейка!$BW$3:$BW$3000,Однолинейка!$A$3:$A$3000,Щит_спец),IF(C222=$S$8,SUMIFS(Однолинейка!$BX$3:$BX$3000,Однолинейка!$A$3:$A$3000,Щит_спец),""))),""))))</f>
        <v/>
      </c>
      <c r="O222" s="74"/>
      <c r="P222" s="38" t="str">
        <f t="shared" si="27"/>
        <v/>
      </c>
      <c r="U222" s="38" t="str">
        <f t="shared" si="28"/>
        <v/>
      </c>
      <c r="V222" s="38" t="str">
        <f t="shared" si="29"/>
        <v/>
      </c>
      <c r="W222" s="38" t="str">
        <f>IF(AND(U222&lt;&gt;"",OR($S$4="(все)",B222=$S$4),IF($S$4="(все)",COUNTIF($U$4:U222,U222),COUNTIFS($U$4:U222,U222,$B$4:B222,B222))=1),MAX($W$3:W221)+1,"")</f>
        <v/>
      </c>
      <c r="X222" s="38" t="str">
        <f t="shared" si="30"/>
        <v/>
      </c>
      <c r="Y222" s="38" t="str">
        <f>IF(AND(A222="Аппарат",C222&lt;&gt;"",OR($S$5="(все)",B222=$S$5)),MAX($Y$3:Y221)+1,"")</f>
        <v/>
      </c>
      <c r="Z222" s="38" t="str">
        <f t="shared" si="31"/>
        <v/>
      </c>
      <c r="AA222" s="38" t="str">
        <f>IF(AND(A222="Модуль",C222&lt;&gt;"",OR($S$6="(все)",B222=$S$6)),MAX($AA$3:AA221)+1,"")</f>
        <v/>
      </c>
      <c r="AB222" s="38" t="str">
        <f t="shared" si="32"/>
        <v/>
      </c>
      <c r="AC222" s="38" t="str">
        <f>IF(OR(B222="",COUNTIF($B$4:B222,B222)&gt;1),"",MAX($AC$3:AC221)+1)</f>
        <v/>
      </c>
      <c r="AD222" s="38" t="str">
        <f t="shared" si="33"/>
        <v/>
      </c>
      <c r="AE222" s="38" t="str">
        <f t="shared" si="34"/>
        <v/>
      </c>
      <c r="AF222" s="38" t="str">
        <f t="shared" si="35"/>
        <v/>
      </c>
    </row>
    <row r="223" spans="1:32" x14ac:dyDescent="0.3">
      <c r="A223" s="74"/>
      <c r="B223" s="74"/>
      <c r="C223" s="74"/>
      <c r="D223" s="74"/>
      <c r="E223" s="74"/>
      <c r="F223" s="74"/>
      <c r="G223" s="74"/>
      <c r="H223" s="74"/>
      <c r="I223" s="74"/>
      <c r="J223" s="74"/>
      <c r="K223" s="74"/>
      <c r="L223" s="74"/>
      <c r="M223" s="74"/>
      <c r="N223" s="38" t="str">
        <f>IF(OR(A223="Автомат",A223="Дифавтомат"),IF(W223="","",COUNTIFS(Однолинейка!$H$3:$H$3000,U223,Однолинейка!$A$3:$A$3000,Щит_спец)),IF(A223="Аппарат",IF(C223="","",COUNTIFS(Однолинейка!$I$3:$I$3000,C223,Однолинейка!$A$3:$A$3000,Щит_спец)+COUNTIFS(Однолинейка!$J$3:$J$3000,C223,Однолинейка!$A$3:$A$3000,Щит_спец)+COUNTIFS(Однолинейка!$K$3:$K$3000,C223,Однолинейка!$A$3:$A$3000,Щит_спец)),IF(A223="Модуль",IF(C223="","",COUNTIFS(Однолинейка!$AW$3:$AW$3000,"?*",Однолинейка!$AI$3:$AI$3000,C223,Однолинейка!$A$3:$A$3000,Щит_спец)),IF(A223="Клемма",IF(C223="","",IF(C223=$S$7,SUMIFS(Однолинейка!$BW$3:$BW$3000,Однолинейка!$A$3:$A$3000,Щит_спец),IF(C223=$S$8,SUMIFS(Однолинейка!$BX$3:$BX$3000,Однолинейка!$A$3:$A$3000,Щит_спец),""))),""))))</f>
        <v/>
      </c>
      <c r="O223" s="74"/>
      <c r="P223" s="38" t="str">
        <f t="shared" si="27"/>
        <v/>
      </c>
      <c r="U223" s="38" t="str">
        <f t="shared" si="28"/>
        <v/>
      </c>
      <c r="V223" s="38" t="str">
        <f t="shared" si="29"/>
        <v/>
      </c>
      <c r="W223" s="38" t="str">
        <f>IF(AND(U223&lt;&gt;"",OR($S$4="(все)",B223=$S$4),IF($S$4="(все)",COUNTIF($U$4:U223,U223),COUNTIFS($U$4:U223,U223,$B$4:B223,B223))=1),MAX($W$3:W222)+1,"")</f>
        <v/>
      </c>
      <c r="X223" s="38" t="str">
        <f t="shared" si="30"/>
        <v/>
      </c>
      <c r="Y223" s="38" t="str">
        <f>IF(AND(A223="Аппарат",C223&lt;&gt;"",OR($S$5="(все)",B223=$S$5)),MAX($Y$3:Y222)+1,"")</f>
        <v/>
      </c>
      <c r="Z223" s="38" t="str">
        <f t="shared" si="31"/>
        <v/>
      </c>
      <c r="AA223" s="38" t="str">
        <f>IF(AND(A223="Модуль",C223&lt;&gt;"",OR($S$6="(все)",B223=$S$6)),MAX($AA$3:AA222)+1,"")</f>
        <v/>
      </c>
      <c r="AB223" s="38" t="str">
        <f t="shared" si="32"/>
        <v/>
      </c>
      <c r="AC223" s="38" t="str">
        <f>IF(OR(B223="",COUNTIF($B$4:B223,B223)&gt;1),"",MAX($AC$3:AC222)+1)</f>
        <v/>
      </c>
      <c r="AD223" s="38" t="str">
        <f t="shared" si="33"/>
        <v/>
      </c>
      <c r="AE223" s="38" t="str">
        <f t="shared" si="34"/>
        <v/>
      </c>
      <c r="AF223" s="38" t="str">
        <f t="shared" si="35"/>
        <v/>
      </c>
    </row>
    <row r="224" spans="1:32" x14ac:dyDescent="0.3">
      <c r="A224" s="74"/>
      <c r="B224" s="74"/>
      <c r="C224" s="74"/>
      <c r="D224" s="74"/>
      <c r="E224" s="74"/>
      <c r="F224" s="74"/>
      <c r="G224" s="74"/>
      <c r="H224" s="74"/>
      <c r="I224" s="74"/>
      <c r="J224" s="74"/>
      <c r="K224" s="74"/>
      <c r="L224" s="74"/>
      <c r="M224" s="74"/>
      <c r="N224" s="38" t="str">
        <f>IF(OR(A224="Автомат",A224="Дифавтомат"),IF(W224="","",COUNTIFS(Однолинейка!$H$3:$H$3000,U224,Однолинейка!$A$3:$A$3000,Щит_спец)),IF(A224="Аппарат",IF(C224="","",COUNTIFS(Однолинейка!$I$3:$I$3000,C224,Однолинейка!$A$3:$A$3000,Щит_спец)+COUNTIFS(Однолинейка!$J$3:$J$3000,C224,Однолинейка!$A$3:$A$3000,Щит_спец)+COUNTIFS(Однолинейка!$K$3:$K$3000,C224,Однолинейка!$A$3:$A$3000,Щит_спец)),IF(A224="Модуль",IF(C224="","",COUNTIFS(Однолинейка!$AW$3:$AW$3000,"?*",Однолинейка!$AI$3:$AI$3000,C224,Однолинейка!$A$3:$A$3000,Щит_спец)),IF(A224="Клемма",IF(C224="","",IF(C224=$S$7,SUMIFS(Однолинейка!$BW$3:$BW$3000,Однолинейка!$A$3:$A$3000,Щит_спец),IF(C224=$S$8,SUMIFS(Однолинейка!$BX$3:$BX$3000,Однолинейка!$A$3:$A$3000,Щит_спец),""))),""))))</f>
        <v/>
      </c>
      <c r="O224" s="74"/>
      <c r="P224" s="38" t="str">
        <f t="shared" si="27"/>
        <v/>
      </c>
      <c r="U224" s="38" t="str">
        <f t="shared" si="28"/>
        <v/>
      </c>
      <c r="V224" s="38" t="str">
        <f t="shared" si="29"/>
        <v/>
      </c>
      <c r="W224" s="38" t="str">
        <f>IF(AND(U224&lt;&gt;"",OR($S$4="(все)",B224=$S$4),IF($S$4="(все)",COUNTIF($U$4:U224,U224),COUNTIFS($U$4:U224,U224,$B$4:B224,B224))=1),MAX($W$3:W223)+1,"")</f>
        <v/>
      </c>
      <c r="X224" s="38" t="str">
        <f t="shared" si="30"/>
        <v/>
      </c>
      <c r="Y224" s="38" t="str">
        <f>IF(AND(A224="Аппарат",C224&lt;&gt;"",OR($S$5="(все)",B224=$S$5)),MAX($Y$3:Y223)+1,"")</f>
        <v/>
      </c>
      <c r="Z224" s="38" t="str">
        <f t="shared" si="31"/>
        <v/>
      </c>
      <c r="AA224" s="38" t="str">
        <f>IF(AND(A224="Модуль",C224&lt;&gt;"",OR($S$6="(все)",B224=$S$6)),MAX($AA$3:AA223)+1,"")</f>
        <v/>
      </c>
      <c r="AB224" s="38" t="str">
        <f t="shared" si="32"/>
        <v/>
      </c>
      <c r="AC224" s="38" t="str">
        <f>IF(OR(B224="",COUNTIF($B$4:B224,B224)&gt;1),"",MAX($AC$3:AC223)+1)</f>
        <v/>
      </c>
      <c r="AD224" s="38" t="str">
        <f t="shared" si="33"/>
        <v/>
      </c>
      <c r="AE224" s="38" t="str">
        <f t="shared" si="34"/>
        <v/>
      </c>
      <c r="AF224" s="38" t="str">
        <f t="shared" si="35"/>
        <v/>
      </c>
    </row>
    <row r="225" spans="1:32" x14ac:dyDescent="0.3">
      <c r="A225" s="74"/>
      <c r="B225" s="74"/>
      <c r="C225" s="74"/>
      <c r="D225" s="74"/>
      <c r="E225" s="74"/>
      <c r="F225" s="74"/>
      <c r="G225" s="74"/>
      <c r="H225" s="74"/>
      <c r="I225" s="74"/>
      <c r="J225" s="74"/>
      <c r="K225" s="74"/>
      <c r="L225" s="74"/>
      <c r="M225" s="74"/>
      <c r="N225" s="38" t="str">
        <f>IF(OR(A225="Автомат",A225="Дифавтомат"),IF(W225="","",COUNTIFS(Однолинейка!$H$3:$H$3000,U225,Однолинейка!$A$3:$A$3000,Щит_спец)),IF(A225="Аппарат",IF(C225="","",COUNTIFS(Однолинейка!$I$3:$I$3000,C225,Однолинейка!$A$3:$A$3000,Щит_спец)+COUNTIFS(Однолинейка!$J$3:$J$3000,C225,Однолинейка!$A$3:$A$3000,Щит_спец)+COUNTIFS(Однолинейка!$K$3:$K$3000,C225,Однолинейка!$A$3:$A$3000,Щит_спец)),IF(A225="Модуль",IF(C225="","",COUNTIFS(Однолинейка!$AW$3:$AW$3000,"?*",Однолинейка!$AI$3:$AI$3000,C225,Однолинейка!$A$3:$A$3000,Щит_спец)),IF(A225="Клемма",IF(C225="","",IF(C225=$S$7,SUMIFS(Однолинейка!$BW$3:$BW$3000,Однолинейка!$A$3:$A$3000,Щит_спец),IF(C225=$S$8,SUMIFS(Однолинейка!$BX$3:$BX$3000,Однолинейка!$A$3:$A$3000,Щит_спец),""))),""))))</f>
        <v/>
      </c>
      <c r="O225" s="74"/>
      <c r="P225" s="38" t="str">
        <f t="shared" si="27"/>
        <v/>
      </c>
      <c r="U225" s="38" t="str">
        <f t="shared" si="28"/>
        <v/>
      </c>
      <c r="V225" s="38" t="str">
        <f t="shared" si="29"/>
        <v/>
      </c>
      <c r="W225" s="38" t="str">
        <f>IF(AND(U225&lt;&gt;"",OR($S$4="(все)",B225=$S$4),IF($S$4="(все)",COUNTIF($U$4:U225,U225),COUNTIFS($U$4:U225,U225,$B$4:B225,B225))=1),MAX($W$3:W224)+1,"")</f>
        <v/>
      </c>
      <c r="X225" s="38" t="str">
        <f t="shared" si="30"/>
        <v/>
      </c>
      <c r="Y225" s="38" t="str">
        <f>IF(AND(A225="Аппарат",C225&lt;&gt;"",OR($S$5="(все)",B225=$S$5)),MAX($Y$3:Y224)+1,"")</f>
        <v/>
      </c>
      <c r="Z225" s="38" t="str">
        <f t="shared" si="31"/>
        <v/>
      </c>
      <c r="AA225" s="38" t="str">
        <f>IF(AND(A225="Модуль",C225&lt;&gt;"",OR($S$6="(все)",B225=$S$6)),MAX($AA$3:AA224)+1,"")</f>
        <v/>
      </c>
      <c r="AB225" s="38" t="str">
        <f t="shared" si="32"/>
        <v/>
      </c>
      <c r="AC225" s="38" t="str">
        <f>IF(OR(B225="",COUNTIF($B$4:B225,B225)&gt;1),"",MAX($AC$3:AC224)+1)</f>
        <v/>
      </c>
      <c r="AD225" s="38" t="str">
        <f t="shared" si="33"/>
        <v/>
      </c>
      <c r="AE225" s="38" t="str">
        <f t="shared" si="34"/>
        <v/>
      </c>
      <c r="AF225" s="38" t="str">
        <f t="shared" si="35"/>
        <v/>
      </c>
    </row>
    <row r="226" spans="1:32" x14ac:dyDescent="0.3">
      <c r="A226" s="74"/>
      <c r="B226" s="74"/>
      <c r="C226" s="74"/>
      <c r="D226" s="74"/>
      <c r="E226" s="74"/>
      <c r="F226" s="74"/>
      <c r="G226" s="74"/>
      <c r="H226" s="74"/>
      <c r="I226" s="74"/>
      <c r="J226" s="74"/>
      <c r="K226" s="74"/>
      <c r="L226" s="74"/>
      <c r="M226" s="74"/>
      <c r="N226" s="38" t="str">
        <f>IF(OR(A226="Автомат",A226="Дифавтомат"),IF(W226="","",COUNTIFS(Однолинейка!$H$3:$H$3000,U226,Однолинейка!$A$3:$A$3000,Щит_спец)),IF(A226="Аппарат",IF(C226="","",COUNTIFS(Однолинейка!$I$3:$I$3000,C226,Однолинейка!$A$3:$A$3000,Щит_спец)+COUNTIFS(Однолинейка!$J$3:$J$3000,C226,Однолинейка!$A$3:$A$3000,Щит_спец)+COUNTIFS(Однолинейка!$K$3:$K$3000,C226,Однолинейка!$A$3:$A$3000,Щит_спец)),IF(A226="Модуль",IF(C226="","",COUNTIFS(Однолинейка!$AW$3:$AW$3000,"?*",Однолинейка!$AI$3:$AI$3000,C226,Однолинейка!$A$3:$A$3000,Щит_спец)),IF(A226="Клемма",IF(C226="","",IF(C226=$S$7,SUMIFS(Однолинейка!$BW$3:$BW$3000,Однолинейка!$A$3:$A$3000,Щит_спец),IF(C226=$S$8,SUMIFS(Однолинейка!$BX$3:$BX$3000,Однолинейка!$A$3:$A$3000,Щит_спец),""))),""))))</f>
        <v/>
      </c>
      <c r="O226" s="74"/>
      <c r="P226" s="38" t="str">
        <f t="shared" si="27"/>
        <v/>
      </c>
      <c r="U226" s="38" t="str">
        <f t="shared" si="28"/>
        <v/>
      </c>
      <c r="V226" s="38" t="str">
        <f t="shared" si="29"/>
        <v/>
      </c>
      <c r="W226" s="38" t="str">
        <f>IF(AND(U226&lt;&gt;"",OR($S$4="(все)",B226=$S$4),IF($S$4="(все)",COUNTIF($U$4:U226,U226),COUNTIFS($U$4:U226,U226,$B$4:B226,B226))=1),MAX($W$3:W225)+1,"")</f>
        <v/>
      </c>
      <c r="X226" s="38" t="str">
        <f t="shared" si="30"/>
        <v/>
      </c>
      <c r="Y226" s="38" t="str">
        <f>IF(AND(A226="Аппарат",C226&lt;&gt;"",OR($S$5="(все)",B226=$S$5)),MAX($Y$3:Y225)+1,"")</f>
        <v/>
      </c>
      <c r="Z226" s="38" t="str">
        <f t="shared" si="31"/>
        <v/>
      </c>
      <c r="AA226" s="38" t="str">
        <f>IF(AND(A226="Модуль",C226&lt;&gt;"",OR($S$6="(все)",B226=$S$6)),MAX($AA$3:AA225)+1,"")</f>
        <v/>
      </c>
      <c r="AB226" s="38" t="str">
        <f t="shared" si="32"/>
        <v/>
      </c>
      <c r="AC226" s="38" t="str">
        <f>IF(OR(B226="",COUNTIF($B$4:B226,B226)&gt;1),"",MAX($AC$3:AC225)+1)</f>
        <v/>
      </c>
      <c r="AD226" s="38" t="str">
        <f t="shared" si="33"/>
        <v/>
      </c>
      <c r="AE226" s="38" t="str">
        <f t="shared" si="34"/>
        <v/>
      </c>
      <c r="AF226" s="38" t="str">
        <f t="shared" si="35"/>
        <v/>
      </c>
    </row>
    <row r="227" spans="1:32" x14ac:dyDescent="0.3">
      <c r="A227" s="74"/>
      <c r="B227" s="74"/>
      <c r="C227" s="74"/>
      <c r="D227" s="74"/>
      <c r="E227" s="74"/>
      <c r="F227" s="74"/>
      <c r="G227" s="74"/>
      <c r="H227" s="74"/>
      <c r="I227" s="74"/>
      <c r="J227" s="74"/>
      <c r="K227" s="74"/>
      <c r="L227" s="74"/>
      <c r="M227" s="74"/>
      <c r="N227" s="38" t="str">
        <f>IF(OR(A227="Автомат",A227="Дифавтомат"),IF(W227="","",COUNTIFS(Однолинейка!$H$3:$H$3000,U227,Однолинейка!$A$3:$A$3000,Щит_спец)),IF(A227="Аппарат",IF(C227="","",COUNTIFS(Однолинейка!$I$3:$I$3000,C227,Однолинейка!$A$3:$A$3000,Щит_спец)+COUNTIFS(Однолинейка!$J$3:$J$3000,C227,Однолинейка!$A$3:$A$3000,Щит_спец)+COUNTIFS(Однолинейка!$K$3:$K$3000,C227,Однолинейка!$A$3:$A$3000,Щит_спец)),IF(A227="Модуль",IF(C227="","",COUNTIFS(Однолинейка!$AW$3:$AW$3000,"?*",Однолинейка!$AI$3:$AI$3000,C227,Однолинейка!$A$3:$A$3000,Щит_спец)),IF(A227="Клемма",IF(C227="","",IF(C227=$S$7,SUMIFS(Однолинейка!$BW$3:$BW$3000,Однолинейка!$A$3:$A$3000,Щит_спец),IF(C227=$S$8,SUMIFS(Однолинейка!$BX$3:$BX$3000,Однолинейка!$A$3:$A$3000,Щит_спец),""))),""))))</f>
        <v/>
      </c>
      <c r="O227" s="74"/>
      <c r="P227" s="38" t="str">
        <f t="shared" si="27"/>
        <v/>
      </c>
      <c r="U227" s="38" t="str">
        <f t="shared" si="28"/>
        <v/>
      </c>
      <c r="V227" s="38" t="str">
        <f t="shared" si="29"/>
        <v/>
      </c>
      <c r="W227" s="38" t="str">
        <f>IF(AND(U227&lt;&gt;"",OR($S$4="(все)",B227=$S$4),IF($S$4="(все)",COUNTIF($U$4:U227,U227),COUNTIFS($U$4:U227,U227,$B$4:B227,B227))=1),MAX($W$3:W226)+1,"")</f>
        <v/>
      </c>
      <c r="X227" s="38" t="str">
        <f t="shared" si="30"/>
        <v/>
      </c>
      <c r="Y227" s="38" t="str">
        <f>IF(AND(A227="Аппарат",C227&lt;&gt;"",OR($S$5="(все)",B227=$S$5)),MAX($Y$3:Y226)+1,"")</f>
        <v/>
      </c>
      <c r="Z227" s="38" t="str">
        <f t="shared" si="31"/>
        <v/>
      </c>
      <c r="AA227" s="38" t="str">
        <f>IF(AND(A227="Модуль",C227&lt;&gt;"",OR($S$6="(все)",B227=$S$6)),MAX($AA$3:AA226)+1,"")</f>
        <v/>
      </c>
      <c r="AB227" s="38" t="str">
        <f t="shared" si="32"/>
        <v/>
      </c>
      <c r="AC227" s="38" t="str">
        <f>IF(OR(B227="",COUNTIF($B$4:B227,B227)&gt;1),"",MAX($AC$3:AC226)+1)</f>
        <v/>
      </c>
      <c r="AD227" s="38" t="str">
        <f t="shared" si="33"/>
        <v/>
      </c>
      <c r="AE227" s="38" t="str">
        <f t="shared" si="34"/>
        <v/>
      </c>
      <c r="AF227" s="38" t="str">
        <f t="shared" si="35"/>
        <v/>
      </c>
    </row>
    <row r="228" spans="1:32" x14ac:dyDescent="0.3">
      <c r="A228" s="74"/>
      <c r="B228" s="74"/>
      <c r="C228" s="74"/>
      <c r="D228" s="74"/>
      <c r="E228" s="74"/>
      <c r="F228" s="74"/>
      <c r="G228" s="74"/>
      <c r="H228" s="74"/>
      <c r="I228" s="74"/>
      <c r="J228" s="74"/>
      <c r="K228" s="74"/>
      <c r="L228" s="74"/>
      <c r="M228" s="74"/>
      <c r="N228" s="38" t="str">
        <f>IF(OR(A228="Автомат",A228="Дифавтомат"),IF(W228="","",COUNTIFS(Однолинейка!$H$3:$H$3000,U228,Однолинейка!$A$3:$A$3000,Щит_спец)),IF(A228="Аппарат",IF(C228="","",COUNTIFS(Однолинейка!$I$3:$I$3000,C228,Однолинейка!$A$3:$A$3000,Щит_спец)+COUNTIFS(Однолинейка!$J$3:$J$3000,C228,Однолинейка!$A$3:$A$3000,Щит_спец)+COUNTIFS(Однолинейка!$K$3:$K$3000,C228,Однолинейка!$A$3:$A$3000,Щит_спец)),IF(A228="Модуль",IF(C228="","",COUNTIFS(Однолинейка!$AW$3:$AW$3000,"?*",Однолинейка!$AI$3:$AI$3000,C228,Однолинейка!$A$3:$A$3000,Щит_спец)),IF(A228="Клемма",IF(C228="","",IF(C228=$S$7,SUMIFS(Однолинейка!$BW$3:$BW$3000,Однолинейка!$A$3:$A$3000,Щит_спец),IF(C228=$S$8,SUMIFS(Однолинейка!$BX$3:$BX$3000,Однолинейка!$A$3:$A$3000,Щит_спец),""))),""))))</f>
        <v/>
      </c>
      <c r="O228" s="74"/>
      <c r="P228" s="38" t="str">
        <f t="shared" si="27"/>
        <v/>
      </c>
      <c r="U228" s="38" t="str">
        <f t="shared" si="28"/>
        <v/>
      </c>
      <c r="V228" s="38" t="str">
        <f t="shared" si="29"/>
        <v/>
      </c>
      <c r="W228" s="38" t="str">
        <f>IF(AND(U228&lt;&gt;"",OR($S$4="(все)",B228=$S$4),IF($S$4="(все)",COUNTIF($U$4:U228,U228),COUNTIFS($U$4:U228,U228,$B$4:B228,B228))=1),MAX($W$3:W227)+1,"")</f>
        <v/>
      </c>
      <c r="X228" s="38" t="str">
        <f t="shared" si="30"/>
        <v/>
      </c>
      <c r="Y228" s="38" t="str">
        <f>IF(AND(A228="Аппарат",C228&lt;&gt;"",OR($S$5="(все)",B228=$S$5)),MAX($Y$3:Y227)+1,"")</f>
        <v/>
      </c>
      <c r="Z228" s="38" t="str">
        <f t="shared" si="31"/>
        <v/>
      </c>
      <c r="AA228" s="38" t="str">
        <f>IF(AND(A228="Модуль",C228&lt;&gt;"",OR($S$6="(все)",B228=$S$6)),MAX($AA$3:AA227)+1,"")</f>
        <v/>
      </c>
      <c r="AB228" s="38" t="str">
        <f t="shared" si="32"/>
        <v/>
      </c>
      <c r="AC228" s="38" t="str">
        <f>IF(OR(B228="",COUNTIF($B$4:B228,B228)&gt;1),"",MAX($AC$3:AC227)+1)</f>
        <v/>
      </c>
      <c r="AD228" s="38" t="str">
        <f t="shared" si="33"/>
        <v/>
      </c>
      <c r="AE228" s="38" t="str">
        <f t="shared" si="34"/>
        <v/>
      </c>
      <c r="AF228" s="38" t="str">
        <f t="shared" si="35"/>
        <v/>
      </c>
    </row>
    <row r="229" spans="1:32" x14ac:dyDescent="0.3">
      <c r="A229" s="74"/>
      <c r="B229" s="74"/>
      <c r="C229" s="74"/>
      <c r="D229" s="74"/>
      <c r="E229" s="74"/>
      <c r="F229" s="74"/>
      <c r="G229" s="74"/>
      <c r="H229" s="74"/>
      <c r="I229" s="74"/>
      <c r="J229" s="74"/>
      <c r="K229" s="74"/>
      <c r="L229" s="74"/>
      <c r="M229" s="74"/>
      <c r="N229" s="38" t="str">
        <f>IF(OR(A229="Автомат",A229="Дифавтомат"),IF(W229="","",COUNTIFS(Однолинейка!$H$3:$H$3000,U229,Однолинейка!$A$3:$A$3000,Щит_спец)),IF(A229="Аппарат",IF(C229="","",COUNTIFS(Однолинейка!$I$3:$I$3000,C229,Однолинейка!$A$3:$A$3000,Щит_спец)+COUNTIFS(Однолинейка!$J$3:$J$3000,C229,Однолинейка!$A$3:$A$3000,Щит_спец)+COUNTIFS(Однолинейка!$K$3:$K$3000,C229,Однолинейка!$A$3:$A$3000,Щит_спец)),IF(A229="Модуль",IF(C229="","",COUNTIFS(Однолинейка!$AW$3:$AW$3000,"?*",Однолинейка!$AI$3:$AI$3000,C229,Однолинейка!$A$3:$A$3000,Щит_спец)),IF(A229="Клемма",IF(C229="","",IF(C229=$S$7,SUMIFS(Однолинейка!$BW$3:$BW$3000,Однолинейка!$A$3:$A$3000,Щит_спец),IF(C229=$S$8,SUMIFS(Однолинейка!$BX$3:$BX$3000,Однолинейка!$A$3:$A$3000,Щит_спец),""))),""))))</f>
        <v/>
      </c>
      <c r="O229" s="74"/>
      <c r="P229" s="38" t="str">
        <f t="shared" si="27"/>
        <v/>
      </c>
      <c r="U229" s="38" t="str">
        <f t="shared" si="28"/>
        <v/>
      </c>
      <c r="V229" s="38" t="str">
        <f t="shared" si="29"/>
        <v/>
      </c>
      <c r="W229" s="38" t="str">
        <f>IF(AND(U229&lt;&gt;"",OR($S$4="(все)",B229=$S$4),IF($S$4="(все)",COUNTIF($U$4:U229,U229),COUNTIFS($U$4:U229,U229,$B$4:B229,B229))=1),MAX($W$3:W228)+1,"")</f>
        <v/>
      </c>
      <c r="X229" s="38" t="str">
        <f t="shared" si="30"/>
        <v/>
      </c>
      <c r="Y229" s="38" t="str">
        <f>IF(AND(A229="Аппарат",C229&lt;&gt;"",OR($S$5="(все)",B229=$S$5)),MAX($Y$3:Y228)+1,"")</f>
        <v/>
      </c>
      <c r="Z229" s="38" t="str">
        <f t="shared" si="31"/>
        <v/>
      </c>
      <c r="AA229" s="38" t="str">
        <f>IF(AND(A229="Модуль",C229&lt;&gt;"",OR($S$6="(все)",B229=$S$6)),MAX($AA$3:AA228)+1,"")</f>
        <v/>
      </c>
      <c r="AB229" s="38" t="str">
        <f t="shared" si="32"/>
        <v/>
      </c>
      <c r="AC229" s="38" t="str">
        <f>IF(OR(B229="",COUNTIF($B$4:B229,B229)&gt;1),"",MAX($AC$3:AC228)+1)</f>
        <v/>
      </c>
      <c r="AD229" s="38" t="str">
        <f t="shared" si="33"/>
        <v/>
      </c>
      <c r="AE229" s="38" t="str">
        <f t="shared" si="34"/>
        <v/>
      </c>
      <c r="AF229" s="38" t="str">
        <f t="shared" si="35"/>
        <v/>
      </c>
    </row>
    <row r="230" spans="1:32" x14ac:dyDescent="0.3">
      <c r="A230" s="74"/>
      <c r="B230" s="74"/>
      <c r="C230" s="74"/>
      <c r="D230" s="74"/>
      <c r="E230" s="74"/>
      <c r="F230" s="74"/>
      <c r="G230" s="74"/>
      <c r="H230" s="74"/>
      <c r="I230" s="74"/>
      <c r="J230" s="74"/>
      <c r="K230" s="74"/>
      <c r="L230" s="74"/>
      <c r="M230" s="74"/>
      <c r="N230" s="38" t="str">
        <f>IF(OR(A230="Автомат",A230="Дифавтомат"),IF(W230="","",COUNTIFS(Однолинейка!$H$3:$H$3000,U230,Однолинейка!$A$3:$A$3000,Щит_спец)),IF(A230="Аппарат",IF(C230="","",COUNTIFS(Однолинейка!$I$3:$I$3000,C230,Однолинейка!$A$3:$A$3000,Щит_спец)+COUNTIFS(Однолинейка!$J$3:$J$3000,C230,Однолинейка!$A$3:$A$3000,Щит_спец)+COUNTIFS(Однолинейка!$K$3:$K$3000,C230,Однолинейка!$A$3:$A$3000,Щит_спец)),IF(A230="Модуль",IF(C230="","",COUNTIFS(Однолинейка!$AW$3:$AW$3000,"?*",Однолинейка!$AI$3:$AI$3000,C230,Однолинейка!$A$3:$A$3000,Щит_спец)),IF(A230="Клемма",IF(C230="","",IF(C230=$S$7,SUMIFS(Однолинейка!$BW$3:$BW$3000,Однолинейка!$A$3:$A$3000,Щит_спец),IF(C230=$S$8,SUMIFS(Однолинейка!$BX$3:$BX$3000,Однолинейка!$A$3:$A$3000,Щит_спец),""))),""))))</f>
        <v/>
      </c>
      <c r="O230" s="74"/>
      <c r="P230" s="38" t="str">
        <f t="shared" si="27"/>
        <v/>
      </c>
      <c r="U230" s="38" t="str">
        <f t="shared" si="28"/>
        <v/>
      </c>
      <c r="V230" s="38" t="str">
        <f t="shared" si="29"/>
        <v/>
      </c>
      <c r="W230" s="38" t="str">
        <f>IF(AND(U230&lt;&gt;"",OR($S$4="(все)",B230=$S$4),IF($S$4="(все)",COUNTIF($U$4:U230,U230),COUNTIFS($U$4:U230,U230,$B$4:B230,B230))=1),MAX($W$3:W229)+1,"")</f>
        <v/>
      </c>
      <c r="X230" s="38" t="str">
        <f t="shared" si="30"/>
        <v/>
      </c>
      <c r="Y230" s="38" t="str">
        <f>IF(AND(A230="Аппарат",C230&lt;&gt;"",OR($S$5="(все)",B230=$S$5)),MAX($Y$3:Y229)+1,"")</f>
        <v/>
      </c>
      <c r="Z230" s="38" t="str">
        <f t="shared" si="31"/>
        <v/>
      </c>
      <c r="AA230" s="38" t="str">
        <f>IF(AND(A230="Модуль",C230&lt;&gt;"",OR($S$6="(все)",B230=$S$6)),MAX($AA$3:AA229)+1,"")</f>
        <v/>
      </c>
      <c r="AB230" s="38" t="str">
        <f t="shared" si="32"/>
        <v/>
      </c>
      <c r="AC230" s="38" t="str">
        <f>IF(OR(B230="",COUNTIF($B$4:B230,B230)&gt;1),"",MAX($AC$3:AC229)+1)</f>
        <v/>
      </c>
      <c r="AD230" s="38" t="str">
        <f t="shared" si="33"/>
        <v/>
      </c>
      <c r="AE230" s="38" t="str">
        <f t="shared" si="34"/>
        <v/>
      </c>
      <c r="AF230" s="38" t="str">
        <f t="shared" si="35"/>
        <v/>
      </c>
    </row>
    <row r="231" spans="1:32" x14ac:dyDescent="0.3">
      <c r="A231" s="74"/>
      <c r="B231" s="74"/>
      <c r="C231" s="74"/>
      <c r="D231" s="74"/>
      <c r="E231" s="74"/>
      <c r="F231" s="74"/>
      <c r="G231" s="74"/>
      <c r="H231" s="74"/>
      <c r="I231" s="74"/>
      <c r="J231" s="74"/>
      <c r="K231" s="74"/>
      <c r="L231" s="74"/>
      <c r="M231" s="74"/>
      <c r="N231" s="38" t="str">
        <f>IF(OR(A231="Автомат",A231="Дифавтомат"),IF(W231="","",COUNTIFS(Однолинейка!$H$3:$H$3000,U231,Однолинейка!$A$3:$A$3000,Щит_спец)),IF(A231="Аппарат",IF(C231="","",COUNTIFS(Однолинейка!$I$3:$I$3000,C231,Однолинейка!$A$3:$A$3000,Щит_спец)+COUNTIFS(Однолинейка!$J$3:$J$3000,C231,Однолинейка!$A$3:$A$3000,Щит_спец)+COUNTIFS(Однолинейка!$K$3:$K$3000,C231,Однолинейка!$A$3:$A$3000,Щит_спец)),IF(A231="Модуль",IF(C231="","",COUNTIFS(Однолинейка!$AW$3:$AW$3000,"?*",Однолинейка!$AI$3:$AI$3000,C231,Однолинейка!$A$3:$A$3000,Щит_спец)),IF(A231="Клемма",IF(C231="","",IF(C231=$S$7,SUMIFS(Однолинейка!$BW$3:$BW$3000,Однолинейка!$A$3:$A$3000,Щит_спец),IF(C231=$S$8,SUMIFS(Однолинейка!$BX$3:$BX$3000,Однолинейка!$A$3:$A$3000,Щит_спец),""))),""))))</f>
        <v/>
      </c>
      <c r="O231" s="74"/>
      <c r="P231" s="38" t="str">
        <f t="shared" si="27"/>
        <v/>
      </c>
      <c r="U231" s="38" t="str">
        <f t="shared" si="28"/>
        <v/>
      </c>
      <c r="V231" s="38" t="str">
        <f t="shared" si="29"/>
        <v/>
      </c>
      <c r="W231" s="38" t="str">
        <f>IF(AND(U231&lt;&gt;"",OR($S$4="(все)",B231=$S$4),IF($S$4="(все)",COUNTIF($U$4:U231,U231),COUNTIFS($U$4:U231,U231,$B$4:B231,B231))=1),MAX($W$3:W230)+1,"")</f>
        <v/>
      </c>
      <c r="X231" s="38" t="str">
        <f t="shared" si="30"/>
        <v/>
      </c>
      <c r="Y231" s="38" t="str">
        <f>IF(AND(A231="Аппарат",C231&lt;&gt;"",OR($S$5="(все)",B231=$S$5)),MAX($Y$3:Y230)+1,"")</f>
        <v/>
      </c>
      <c r="Z231" s="38" t="str">
        <f t="shared" si="31"/>
        <v/>
      </c>
      <c r="AA231" s="38" t="str">
        <f>IF(AND(A231="Модуль",C231&lt;&gt;"",OR($S$6="(все)",B231=$S$6)),MAX($AA$3:AA230)+1,"")</f>
        <v/>
      </c>
      <c r="AB231" s="38" t="str">
        <f t="shared" si="32"/>
        <v/>
      </c>
      <c r="AC231" s="38" t="str">
        <f>IF(OR(B231="",COUNTIF($B$4:B231,B231)&gt;1),"",MAX($AC$3:AC230)+1)</f>
        <v/>
      </c>
      <c r="AD231" s="38" t="str">
        <f t="shared" si="33"/>
        <v/>
      </c>
      <c r="AE231" s="38" t="str">
        <f t="shared" si="34"/>
        <v/>
      </c>
      <c r="AF231" s="38" t="str">
        <f t="shared" si="35"/>
        <v/>
      </c>
    </row>
    <row r="232" spans="1:32" x14ac:dyDescent="0.3">
      <c r="A232" s="74"/>
      <c r="B232" s="74"/>
      <c r="C232" s="74"/>
      <c r="D232" s="74"/>
      <c r="E232" s="74"/>
      <c r="F232" s="74"/>
      <c r="G232" s="74"/>
      <c r="H232" s="74"/>
      <c r="I232" s="74"/>
      <c r="J232" s="74"/>
      <c r="K232" s="74"/>
      <c r="L232" s="74"/>
      <c r="M232" s="74"/>
      <c r="N232" s="38" t="str">
        <f>IF(OR(A232="Автомат",A232="Дифавтомат"),IF(W232="","",COUNTIFS(Однолинейка!$H$3:$H$3000,U232,Однолинейка!$A$3:$A$3000,Щит_спец)),IF(A232="Аппарат",IF(C232="","",COUNTIFS(Однолинейка!$I$3:$I$3000,C232,Однолинейка!$A$3:$A$3000,Щит_спец)+COUNTIFS(Однолинейка!$J$3:$J$3000,C232,Однолинейка!$A$3:$A$3000,Щит_спец)+COUNTIFS(Однолинейка!$K$3:$K$3000,C232,Однолинейка!$A$3:$A$3000,Щит_спец)),IF(A232="Модуль",IF(C232="","",COUNTIFS(Однолинейка!$AW$3:$AW$3000,"?*",Однолинейка!$AI$3:$AI$3000,C232,Однолинейка!$A$3:$A$3000,Щит_спец)),IF(A232="Клемма",IF(C232="","",IF(C232=$S$7,SUMIFS(Однолинейка!$BW$3:$BW$3000,Однолинейка!$A$3:$A$3000,Щит_спец),IF(C232=$S$8,SUMIFS(Однолинейка!$BX$3:$BX$3000,Однолинейка!$A$3:$A$3000,Щит_спец),""))),""))))</f>
        <v/>
      </c>
      <c r="O232" s="74"/>
      <c r="P232" s="38" t="str">
        <f t="shared" si="27"/>
        <v/>
      </c>
      <c r="U232" s="38" t="str">
        <f t="shared" si="28"/>
        <v/>
      </c>
      <c r="V232" s="38" t="str">
        <f t="shared" si="29"/>
        <v/>
      </c>
      <c r="W232" s="38" t="str">
        <f>IF(AND(U232&lt;&gt;"",OR($S$4="(все)",B232=$S$4),IF($S$4="(все)",COUNTIF($U$4:U232,U232),COUNTIFS($U$4:U232,U232,$B$4:B232,B232))=1),MAX($W$3:W231)+1,"")</f>
        <v/>
      </c>
      <c r="X232" s="38" t="str">
        <f t="shared" si="30"/>
        <v/>
      </c>
      <c r="Y232" s="38" t="str">
        <f>IF(AND(A232="Аппарат",C232&lt;&gt;"",OR($S$5="(все)",B232=$S$5)),MAX($Y$3:Y231)+1,"")</f>
        <v/>
      </c>
      <c r="Z232" s="38" t="str">
        <f t="shared" si="31"/>
        <v/>
      </c>
      <c r="AA232" s="38" t="str">
        <f>IF(AND(A232="Модуль",C232&lt;&gt;"",OR($S$6="(все)",B232=$S$6)),MAX($AA$3:AA231)+1,"")</f>
        <v/>
      </c>
      <c r="AB232" s="38" t="str">
        <f t="shared" si="32"/>
        <v/>
      </c>
      <c r="AC232" s="38" t="str">
        <f>IF(OR(B232="",COUNTIF($B$4:B232,B232)&gt;1),"",MAX($AC$3:AC231)+1)</f>
        <v/>
      </c>
      <c r="AD232" s="38" t="str">
        <f t="shared" si="33"/>
        <v/>
      </c>
      <c r="AE232" s="38" t="str">
        <f t="shared" si="34"/>
        <v/>
      </c>
      <c r="AF232" s="38" t="str">
        <f t="shared" si="35"/>
        <v/>
      </c>
    </row>
    <row r="233" spans="1:32" x14ac:dyDescent="0.3">
      <c r="A233" s="74"/>
      <c r="B233" s="74"/>
      <c r="C233" s="74"/>
      <c r="D233" s="74"/>
      <c r="E233" s="74"/>
      <c r="F233" s="74"/>
      <c r="G233" s="74"/>
      <c r="H233" s="74"/>
      <c r="I233" s="74"/>
      <c r="J233" s="74"/>
      <c r="K233" s="74"/>
      <c r="L233" s="74"/>
      <c r="M233" s="74"/>
      <c r="N233" s="38" t="str">
        <f>IF(OR(A233="Автомат",A233="Дифавтомат"),IF(W233="","",COUNTIFS(Однолинейка!$H$3:$H$3000,U233,Однолинейка!$A$3:$A$3000,Щит_спец)),IF(A233="Аппарат",IF(C233="","",COUNTIFS(Однолинейка!$I$3:$I$3000,C233,Однолинейка!$A$3:$A$3000,Щит_спец)+COUNTIFS(Однолинейка!$J$3:$J$3000,C233,Однолинейка!$A$3:$A$3000,Щит_спец)+COUNTIFS(Однолинейка!$K$3:$K$3000,C233,Однолинейка!$A$3:$A$3000,Щит_спец)),IF(A233="Модуль",IF(C233="","",COUNTIFS(Однолинейка!$AW$3:$AW$3000,"?*",Однолинейка!$AI$3:$AI$3000,C233,Однолинейка!$A$3:$A$3000,Щит_спец)),IF(A233="Клемма",IF(C233="","",IF(C233=$S$7,SUMIFS(Однолинейка!$BW$3:$BW$3000,Однолинейка!$A$3:$A$3000,Щит_спец),IF(C233=$S$8,SUMIFS(Однолинейка!$BX$3:$BX$3000,Однолинейка!$A$3:$A$3000,Щит_спец),""))),""))))</f>
        <v/>
      </c>
      <c r="O233" s="74"/>
      <c r="P233" s="38" t="str">
        <f t="shared" si="27"/>
        <v/>
      </c>
      <c r="U233" s="38" t="str">
        <f t="shared" si="28"/>
        <v/>
      </c>
      <c r="V233" s="38" t="str">
        <f t="shared" si="29"/>
        <v/>
      </c>
      <c r="W233" s="38" t="str">
        <f>IF(AND(U233&lt;&gt;"",OR($S$4="(все)",B233=$S$4),IF($S$4="(все)",COUNTIF($U$4:U233,U233),COUNTIFS($U$4:U233,U233,$B$4:B233,B233))=1),MAX($W$3:W232)+1,"")</f>
        <v/>
      </c>
      <c r="X233" s="38" t="str">
        <f t="shared" si="30"/>
        <v/>
      </c>
      <c r="Y233" s="38" t="str">
        <f>IF(AND(A233="Аппарат",C233&lt;&gt;"",OR($S$5="(все)",B233=$S$5)),MAX($Y$3:Y232)+1,"")</f>
        <v/>
      </c>
      <c r="Z233" s="38" t="str">
        <f t="shared" si="31"/>
        <v/>
      </c>
      <c r="AA233" s="38" t="str">
        <f>IF(AND(A233="Модуль",C233&lt;&gt;"",OR($S$6="(все)",B233=$S$6)),MAX($AA$3:AA232)+1,"")</f>
        <v/>
      </c>
      <c r="AB233" s="38" t="str">
        <f t="shared" si="32"/>
        <v/>
      </c>
      <c r="AC233" s="38" t="str">
        <f>IF(OR(B233="",COUNTIF($B$4:B233,B233)&gt;1),"",MAX($AC$3:AC232)+1)</f>
        <v/>
      </c>
      <c r="AD233" s="38" t="str">
        <f t="shared" si="33"/>
        <v/>
      </c>
      <c r="AE233" s="38" t="str">
        <f t="shared" si="34"/>
        <v/>
      </c>
      <c r="AF233" s="38" t="str">
        <f t="shared" si="35"/>
        <v/>
      </c>
    </row>
    <row r="234" spans="1:32" x14ac:dyDescent="0.3">
      <c r="A234" s="74"/>
      <c r="B234" s="74"/>
      <c r="C234" s="74"/>
      <c r="D234" s="74"/>
      <c r="E234" s="74"/>
      <c r="F234" s="74"/>
      <c r="G234" s="74"/>
      <c r="H234" s="74"/>
      <c r="I234" s="74"/>
      <c r="J234" s="74"/>
      <c r="K234" s="74"/>
      <c r="L234" s="74"/>
      <c r="M234" s="74"/>
      <c r="N234" s="38" t="str">
        <f>IF(OR(A234="Автомат",A234="Дифавтомат"),IF(W234="","",COUNTIFS(Однолинейка!$H$3:$H$3000,U234,Однолинейка!$A$3:$A$3000,Щит_спец)),IF(A234="Аппарат",IF(C234="","",COUNTIFS(Однолинейка!$I$3:$I$3000,C234,Однолинейка!$A$3:$A$3000,Щит_спец)+COUNTIFS(Однолинейка!$J$3:$J$3000,C234,Однолинейка!$A$3:$A$3000,Щит_спец)+COUNTIFS(Однолинейка!$K$3:$K$3000,C234,Однолинейка!$A$3:$A$3000,Щит_спец)),IF(A234="Модуль",IF(C234="","",COUNTIFS(Однолинейка!$AW$3:$AW$3000,"?*",Однолинейка!$AI$3:$AI$3000,C234,Однолинейка!$A$3:$A$3000,Щит_спец)),IF(A234="Клемма",IF(C234="","",IF(C234=$S$7,SUMIFS(Однолинейка!$BW$3:$BW$3000,Однолинейка!$A$3:$A$3000,Щит_спец),IF(C234=$S$8,SUMIFS(Однолинейка!$BX$3:$BX$3000,Однолинейка!$A$3:$A$3000,Щит_спец),""))),""))))</f>
        <v/>
      </c>
      <c r="O234" s="74"/>
      <c r="P234" s="38" t="str">
        <f t="shared" si="27"/>
        <v/>
      </c>
      <c r="U234" s="38" t="str">
        <f t="shared" si="28"/>
        <v/>
      </c>
      <c r="V234" s="38" t="str">
        <f t="shared" si="29"/>
        <v/>
      </c>
      <c r="W234" s="38" t="str">
        <f>IF(AND(U234&lt;&gt;"",OR($S$4="(все)",B234=$S$4),IF($S$4="(все)",COUNTIF($U$4:U234,U234),COUNTIFS($U$4:U234,U234,$B$4:B234,B234))=1),MAX($W$3:W233)+1,"")</f>
        <v/>
      </c>
      <c r="X234" s="38" t="str">
        <f t="shared" si="30"/>
        <v/>
      </c>
      <c r="Y234" s="38" t="str">
        <f>IF(AND(A234="Аппарат",C234&lt;&gt;"",OR($S$5="(все)",B234=$S$5)),MAX($Y$3:Y233)+1,"")</f>
        <v/>
      </c>
      <c r="Z234" s="38" t="str">
        <f t="shared" si="31"/>
        <v/>
      </c>
      <c r="AA234" s="38" t="str">
        <f>IF(AND(A234="Модуль",C234&lt;&gt;"",OR($S$6="(все)",B234=$S$6)),MAX($AA$3:AA233)+1,"")</f>
        <v/>
      </c>
      <c r="AB234" s="38" t="str">
        <f t="shared" si="32"/>
        <v/>
      </c>
      <c r="AC234" s="38" t="str">
        <f>IF(OR(B234="",COUNTIF($B$4:B234,B234)&gt;1),"",MAX($AC$3:AC233)+1)</f>
        <v/>
      </c>
      <c r="AD234" s="38" t="str">
        <f t="shared" si="33"/>
        <v/>
      </c>
      <c r="AE234" s="38" t="str">
        <f t="shared" si="34"/>
        <v/>
      </c>
      <c r="AF234" s="38" t="str">
        <f t="shared" si="35"/>
        <v/>
      </c>
    </row>
    <row r="235" spans="1:32" x14ac:dyDescent="0.3">
      <c r="A235" s="74"/>
      <c r="B235" s="74"/>
      <c r="C235" s="74"/>
      <c r="D235" s="74"/>
      <c r="E235" s="74"/>
      <c r="F235" s="74"/>
      <c r="G235" s="74"/>
      <c r="H235" s="74"/>
      <c r="I235" s="74"/>
      <c r="J235" s="74"/>
      <c r="K235" s="74"/>
      <c r="L235" s="74"/>
      <c r="M235" s="74"/>
      <c r="N235" s="38" t="str">
        <f>IF(OR(A235="Автомат",A235="Дифавтомат"),IF(W235="","",COUNTIFS(Однолинейка!$H$3:$H$3000,U235,Однолинейка!$A$3:$A$3000,Щит_спец)),IF(A235="Аппарат",IF(C235="","",COUNTIFS(Однолинейка!$I$3:$I$3000,C235,Однолинейка!$A$3:$A$3000,Щит_спец)+COUNTIFS(Однолинейка!$J$3:$J$3000,C235,Однолинейка!$A$3:$A$3000,Щит_спец)+COUNTIFS(Однолинейка!$K$3:$K$3000,C235,Однолинейка!$A$3:$A$3000,Щит_спец)),IF(A235="Модуль",IF(C235="","",COUNTIFS(Однолинейка!$AW$3:$AW$3000,"?*",Однолинейка!$AI$3:$AI$3000,C235,Однолинейка!$A$3:$A$3000,Щит_спец)),IF(A235="Клемма",IF(C235="","",IF(C235=$S$7,SUMIFS(Однолинейка!$BW$3:$BW$3000,Однолинейка!$A$3:$A$3000,Щит_спец),IF(C235=$S$8,SUMIFS(Однолинейка!$BX$3:$BX$3000,Однолинейка!$A$3:$A$3000,Щит_спец),""))),""))))</f>
        <v/>
      </c>
      <c r="O235" s="74"/>
      <c r="P235" s="38" t="str">
        <f t="shared" si="27"/>
        <v/>
      </c>
      <c r="U235" s="38" t="str">
        <f t="shared" si="28"/>
        <v/>
      </c>
      <c r="V235" s="38" t="str">
        <f t="shared" si="29"/>
        <v/>
      </c>
      <c r="W235" s="38" t="str">
        <f>IF(AND(U235&lt;&gt;"",OR($S$4="(все)",B235=$S$4),IF($S$4="(все)",COUNTIF($U$4:U235,U235),COUNTIFS($U$4:U235,U235,$B$4:B235,B235))=1),MAX($W$3:W234)+1,"")</f>
        <v/>
      </c>
      <c r="X235" s="38" t="str">
        <f t="shared" si="30"/>
        <v/>
      </c>
      <c r="Y235" s="38" t="str">
        <f>IF(AND(A235="Аппарат",C235&lt;&gt;"",OR($S$5="(все)",B235=$S$5)),MAX($Y$3:Y234)+1,"")</f>
        <v/>
      </c>
      <c r="Z235" s="38" t="str">
        <f t="shared" si="31"/>
        <v/>
      </c>
      <c r="AA235" s="38" t="str">
        <f>IF(AND(A235="Модуль",C235&lt;&gt;"",OR($S$6="(все)",B235=$S$6)),MAX($AA$3:AA234)+1,"")</f>
        <v/>
      </c>
      <c r="AB235" s="38" t="str">
        <f t="shared" si="32"/>
        <v/>
      </c>
      <c r="AC235" s="38" t="str">
        <f>IF(OR(B235="",COUNTIF($B$4:B235,B235)&gt;1),"",MAX($AC$3:AC234)+1)</f>
        <v/>
      </c>
      <c r="AD235" s="38" t="str">
        <f t="shared" si="33"/>
        <v/>
      </c>
      <c r="AE235" s="38" t="str">
        <f t="shared" si="34"/>
        <v/>
      </c>
      <c r="AF235" s="38" t="str">
        <f t="shared" si="35"/>
        <v/>
      </c>
    </row>
    <row r="236" spans="1:32" x14ac:dyDescent="0.3">
      <c r="A236" s="74"/>
      <c r="B236" s="74"/>
      <c r="C236" s="74"/>
      <c r="D236" s="74"/>
      <c r="E236" s="74"/>
      <c r="F236" s="74"/>
      <c r="G236" s="74"/>
      <c r="H236" s="74"/>
      <c r="I236" s="74"/>
      <c r="J236" s="74"/>
      <c r="K236" s="74"/>
      <c r="L236" s="74"/>
      <c r="M236" s="74"/>
      <c r="N236" s="38" t="str">
        <f>IF(OR(A236="Автомат",A236="Дифавтомат"),IF(W236="","",COUNTIFS(Однолинейка!$H$3:$H$3000,U236,Однолинейка!$A$3:$A$3000,Щит_спец)),IF(A236="Аппарат",IF(C236="","",COUNTIFS(Однолинейка!$I$3:$I$3000,C236,Однолинейка!$A$3:$A$3000,Щит_спец)+COUNTIFS(Однолинейка!$J$3:$J$3000,C236,Однолинейка!$A$3:$A$3000,Щит_спец)+COUNTIFS(Однолинейка!$K$3:$K$3000,C236,Однолинейка!$A$3:$A$3000,Щит_спец)),IF(A236="Модуль",IF(C236="","",COUNTIFS(Однолинейка!$AW$3:$AW$3000,"?*",Однолинейка!$AI$3:$AI$3000,C236,Однолинейка!$A$3:$A$3000,Щит_спец)),IF(A236="Клемма",IF(C236="","",IF(C236=$S$7,SUMIFS(Однолинейка!$BW$3:$BW$3000,Однолинейка!$A$3:$A$3000,Щит_спец),IF(C236=$S$8,SUMIFS(Однолинейка!$BX$3:$BX$3000,Однолинейка!$A$3:$A$3000,Щит_спец),""))),""))))</f>
        <v/>
      </c>
      <c r="O236" s="74"/>
      <c r="P236" s="38" t="str">
        <f t="shared" si="27"/>
        <v/>
      </c>
      <c r="U236" s="38" t="str">
        <f t="shared" si="28"/>
        <v/>
      </c>
      <c r="V236" s="38" t="str">
        <f t="shared" si="29"/>
        <v/>
      </c>
      <c r="W236" s="38" t="str">
        <f>IF(AND(U236&lt;&gt;"",OR($S$4="(все)",B236=$S$4),IF($S$4="(все)",COUNTIF($U$4:U236,U236),COUNTIFS($U$4:U236,U236,$B$4:B236,B236))=1),MAX($W$3:W235)+1,"")</f>
        <v/>
      </c>
      <c r="X236" s="38" t="str">
        <f t="shared" si="30"/>
        <v/>
      </c>
      <c r="Y236" s="38" t="str">
        <f>IF(AND(A236="Аппарат",C236&lt;&gt;"",OR($S$5="(все)",B236=$S$5)),MAX($Y$3:Y235)+1,"")</f>
        <v/>
      </c>
      <c r="Z236" s="38" t="str">
        <f t="shared" si="31"/>
        <v/>
      </c>
      <c r="AA236" s="38" t="str">
        <f>IF(AND(A236="Модуль",C236&lt;&gt;"",OR($S$6="(все)",B236=$S$6)),MAX($AA$3:AA235)+1,"")</f>
        <v/>
      </c>
      <c r="AB236" s="38" t="str">
        <f t="shared" si="32"/>
        <v/>
      </c>
      <c r="AC236" s="38" t="str">
        <f>IF(OR(B236="",COUNTIF($B$4:B236,B236)&gt;1),"",MAX($AC$3:AC235)+1)</f>
        <v/>
      </c>
      <c r="AD236" s="38" t="str">
        <f t="shared" si="33"/>
        <v/>
      </c>
      <c r="AE236" s="38" t="str">
        <f t="shared" si="34"/>
        <v/>
      </c>
      <c r="AF236" s="38" t="str">
        <f t="shared" si="35"/>
        <v/>
      </c>
    </row>
    <row r="237" spans="1:32" x14ac:dyDescent="0.3">
      <c r="A237" s="74"/>
      <c r="B237" s="74"/>
      <c r="C237" s="74"/>
      <c r="D237" s="74"/>
      <c r="E237" s="74"/>
      <c r="F237" s="74"/>
      <c r="G237" s="74"/>
      <c r="H237" s="74"/>
      <c r="I237" s="74"/>
      <c r="J237" s="74"/>
      <c r="K237" s="74"/>
      <c r="L237" s="74"/>
      <c r="M237" s="74"/>
      <c r="N237" s="38" t="str">
        <f>IF(OR(A237="Автомат",A237="Дифавтомат"),IF(W237="","",COUNTIFS(Однолинейка!$H$3:$H$3000,U237,Однолинейка!$A$3:$A$3000,Щит_спец)),IF(A237="Аппарат",IF(C237="","",COUNTIFS(Однолинейка!$I$3:$I$3000,C237,Однолинейка!$A$3:$A$3000,Щит_спец)+COUNTIFS(Однолинейка!$J$3:$J$3000,C237,Однолинейка!$A$3:$A$3000,Щит_спец)+COUNTIFS(Однолинейка!$K$3:$K$3000,C237,Однолинейка!$A$3:$A$3000,Щит_спец)),IF(A237="Модуль",IF(C237="","",COUNTIFS(Однолинейка!$AW$3:$AW$3000,"?*",Однолинейка!$AI$3:$AI$3000,C237,Однолинейка!$A$3:$A$3000,Щит_спец)),IF(A237="Клемма",IF(C237="","",IF(C237=$S$7,SUMIFS(Однолинейка!$BW$3:$BW$3000,Однолинейка!$A$3:$A$3000,Щит_спец),IF(C237=$S$8,SUMIFS(Однолинейка!$BX$3:$BX$3000,Однолинейка!$A$3:$A$3000,Щит_спец),""))),""))))</f>
        <v/>
      </c>
      <c r="O237" s="74"/>
      <c r="P237" s="38" t="str">
        <f t="shared" si="27"/>
        <v/>
      </c>
      <c r="U237" s="38" t="str">
        <f t="shared" si="28"/>
        <v/>
      </c>
      <c r="V237" s="38" t="str">
        <f t="shared" si="29"/>
        <v/>
      </c>
      <c r="W237" s="38" t="str">
        <f>IF(AND(U237&lt;&gt;"",OR($S$4="(все)",B237=$S$4),IF($S$4="(все)",COUNTIF($U$4:U237,U237),COUNTIFS($U$4:U237,U237,$B$4:B237,B237))=1),MAX($W$3:W236)+1,"")</f>
        <v/>
      </c>
      <c r="X237" s="38" t="str">
        <f t="shared" si="30"/>
        <v/>
      </c>
      <c r="Y237" s="38" t="str">
        <f>IF(AND(A237="Аппарат",C237&lt;&gt;"",OR($S$5="(все)",B237=$S$5)),MAX($Y$3:Y236)+1,"")</f>
        <v/>
      </c>
      <c r="Z237" s="38" t="str">
        <f t="shared" si="31"/>
        <v/>
      </c>
      <c r="AA237" s="38" t="str">
        <f>IF(AND(A237="Модуль",C237&lt;&gt;"",OR($S$6="(все)",B237=$S$6)),MAX($AA$3:AA236)+1,"")</f>
        <v/>
      </c>
      <c r="AB237" s="38" t="str">
        <f t="shared" si="32"/>
        <v/>
      </c>
      <c r="AC237" s="38" t="str">
        <f>IF(OR(B237="",COUNTIF($B$4:B237,B237)&gt;1),"",MAX($AC$3:AC236)+1)</f>
        <v/>
      </c>
      <c r="AD237" s="38" t="str">
        <f t="shared" si="33"/>
        <v/>
      </c>
      <c r="AE237" s="38" t="str">
        <f t="shared" si="34"/>
        <v/>
      </c>
      <c r="AF237" s="38" t="str">
        <f t="shared" si="35"/>
        <v/>
      </c>
    </row>
    <row r="238" spans="1:32" x14ac:dyDescent="0.3">
      <c r="A238" s="74"/>
      <c r="B238" s="74"/>
      <c r="C238" s="74"/>
      <c r="D238" s="74"/>
      <c r="E238" s="74"/>
      <c r="F238" s="74"/>
      <c r="G238" s="74"/>
      <c r="H238" s="74"/>
      <c r="I238" s="74"/>
      <c r="J238" s="74"/>
      <c r="K238" s="74"/>
      <c r="L238" s="74"/>
      <c r="M238" s="74"/>
      <c r="N238" s="38" t="str">
        <f>IF(OR(A238="Автомат",A238="Дифавтомат"),IF(W238="","",COUNTIFS(Однолинейка!$H$3:$H$3000,U238,Однолинейка!$A$3:$A$3000,Щит_спец)),IF(A238="Аппарат",IF(C238="","",COUNTIFS(Однолинейка!$I$3:$I$3000,C238,Однолинейка!$A$3:$A$3000,Щит_спец)+COUNTIFS(Однолинейка!$J$3:$J$3000,C238,Однолинейка!$A$3:$A$3000,Щит_спец)+COUNTIFS(Однолинейка!$K$3:$K$3000,C238,Однолинейка!$A$3:$A$3000,Щит_спец)),IF(A238="Модуль",IF(C238="","",COUNTIFS(Однолинейка!$AW$3:$AW$3000,"?*",Однолинейка!$AI$3:$AI$3000,C238,Однолинейка!$A$3:$A$3000,Щит_спец)),IF(A238="Клемма",IF(C238="","",IF(C238=$S$7,SUMIFS(Однолинейка!$BW$3:$BW$3000,Однолинейка!$A$3:$A$3000,Щит_спец),IF(C238=$S$8,SUMIFS(Однолинейка!$BX$3:$BX$3000,Однолинейка!$A$3:$A$3000,Щит_спец),""))),""))))</f>
        <v/>
      </c>
      <c r="O238" s="74"/>
      <c r="P238" s="38" t="str">
        <f t="shared" si="27"/>
        <v/>
      </c>
      <c r="U238" s="38" t="str">
        <f t="shared" si="28"/>
        <v/>
      </c>
      <c r="V238" s="38" t="str">
        <f t="shared" si="29"/>
        <v/>
      </c>
      <c r="W238" s="38" t="str">
        <f>IF(AND(U238&lt;&gt;"",OR($S$4="(все)",B238=$S$4),IF($S$4="(все)",COUNTIF($U$4:U238,U238),COUNTIFS($U$4:U238,U238,$B$4:B238,B238))=1),MAX($W$3:W237)+1,"")</f>
        <v/>
      </c>
      <c r="X238" s="38" t="str">
        <f t="shared" si="30"/>
        <v/>
      </c>
      <c r="Y238" s="38" t="str">
        <f>IF(AND(A238="Аппарат",C238&lt;&gt;"",OR($S$5="(все)",B238=$S$5)),MAX($Y$3:Y237)+1,"")</f>
        <v/>
      </c>
      <c r="Z238" s="38" t="str">
        <f t="shared" si="31"/>
        <v/>
      </c>
      <c r="AA238" s="38" t="str">
        <f>IF(AND(A238="Модуль",C238&lt;&gt;"",OR($S$6="(все)",B238=$S$6)),MAX($AA$3:AA237)+1,"")</f>
        <v/>
      </c>
      <c r="AB238" s="38" t="str">
        <f t="shared" si="32"/>
        <v/>
      </c>
      <c r="AC238" s="38" t="str">
        <f>IF(OR(B238="",COUNTIF($B$4:B238,B238)&gt;1),"",MAX($AC$3:AC237)+1)</f>
        <v/>
      </c>
      <c r="AD238" s="38" t="str">
        <f t="shared" si="33"/>
        <v/>
      </c>
      <c r="AE238" s="38" t="str">
        <f t="shared" si="34"/>
        <v/>
      </c>
      <c r="AF238" s="38" t="str">
        <f t="shared" si="35"/>
        <v/>
      </c>
    </row>
    <row r="239" spans="1:32" x14ac:dyDescent="0.3">
      <c r="A239" s="74"/>
      <c r="B239" s="74"/>
      <c r="C239" s="74"/>
      <c r="D239" s="74"/>
      <c r="E239" s="74"/>
      <c r="F239" s="74"/>
      <c r="G239" s="74"/>
      <c r="H239" s="74"/>
      <c r="I239" s="74"/>
      <c r="J239" s="74"/>
      <c r="K239" s="74"/>
      <c r="L239" s="74"/>
      <c r="M239" s="74"/>
      <c r="N239" s="38" t="str">
        <f>IF(OR(A239="Автомат",A239="Дифавтомат"),IF(W239="","",COUNTIFS(Однолинейка!$H$3:$H$3000,U239,Однолинейка!$A$3:$A$3000,Щит_спец)),IF(A239="Аппарат",IF(C239="","",COUNTIFS(Однолинейка!$I$3:$I$3000,C239,Однолинейка!$A$3:$A$3000,Щит_спец)+COUNTIFS(Однолинейка!$J$3:$J$3000,C239,Однолинейка!$A$3:$A$3000,Щит_спец)+COUNTIFS(Однолинейка!$K$3:$K$3000,C239,Однолинейка!$A$3:$A$3000,Щит_спец)),IF(A239="Модуль",IF(C239="","",COUNTIFS(Однолинейка!$AW$3:$AW$3000,"?*",Однолинейка!$AI$3:$AI$3000,C239,Однолинейка!$A$3:$A$3000,Щит_спец)),IF(A239="Клемма",IF(C239="","",IF(C239=$S$7,SUMIFS(Однолинейка!$BW$3:$BW$3000,Однолинейка!$A$3:$A$3000,Щит_спец),IF(C239=$S$8,SUMIFS(Однолинейка!$BX$3:$BX$3000,Однолинейка!$A$3:$A$3000,Щит_спец),""))),""))))</f>
        <v/>
      </c>
      <c r="O239" s="74"/>
      <c r="P239" s="38" t="str">
        <f t="shared" si="27"/>
        <v/>
      </c>
      <c r="U239" s="38" t="str">
        <f t="shared" si="28"/>
        <v/>
      </c>
      <c r="V239" s="38" t="str">
        <f t="shared" si="29"/>
        <v/>
      </c>
      <c r="W239" s="38" t="str">
        <f>IF(AND(U239&lt;&gt;"",OR($S$4="(все)",B239=$S$4),IF($S$4="(все)",COUNTIF($U$4:U239,U239),COUNTIFS($U$4:U239,U239,$B$4:B239,B239))=1),MAX($W$3:W238)+1,"")</f>
        <v/>
      </c>
      <c r="X239" s="38" t="str">
        <f t="shared" si="30"/>
        <v/>
      </c>
      <c r="Y239" s="38" t="str">
        <f>IF(AND(A239="Аппарат",C239&lt;&gt;"",OR($S$5="(все)",B239=$S$5)),MAX($Y$3:Y238)+1,"")</f>
        <v/>
      </c>
      <c r="Z239" s="38" t="str">
        <f t="shared" si="31"/>
        <v/>
      </c>
      <c r="AA239" s="38" t="str">
        <f>IF(AND(A239="Модуль",C239&lt;&gt;"",OR($S$6="(все)",B239=$S$6)),MAX($AA$3:AA238)+1,"")</f>
        <v/>
      </c>
      <c r="AB239" s="38" t="str">
        <f t="shared" si="32"/>
        <v/>
      </c>
      <c r="AC239" s="38" t="str">
        <f>IF(OR(B239="",COUNTIF($B$4:B239,B239)&gt;1),"",MAX($AC$3:AC238)+1)</f>
        <v/>
      </c>
      <c r="AD239" s="38" t="str">
        <f t="shared" si="33"/>
        <v/>
      </c>
      <c r="AE239" s="38" t="str">
        <f t="shared" si="34"/>
        <v/>
      </c>
      <c r="AF239" s="38" t="str">
        <f t="shared" si="35"/>
        <v/>
      </c>
    </row>
    <row r="240" spans="1:32" x14ac:dyDescent="0.3">
      <c r="A240" s="74"/>
      <c r="B240" s="74"/>
      <c r="C240" s="74"/>
      <c r="D240" s="74"/>
      <c r="E240" s="74"/>
      <c r="F240" s="74"/>
      <c r="G240" s="74"/>
      <c r="H240" s="74"/>
      <c r="I240" s="74"/>
      <c r="J240" s="74"/>
      <c r="K240" s="74"/>
      <c r="L240" s="74"/>
      <c r="M240" s="74"/>
      <c r="N240" s="38" t="str">
        <f>IF(OR(A240="Автомат",A240="Дифавтомат"),IF(W240="","",COUNTIFS(Однолинейка!$H$3:$H$3000,U240,Однолинейка!$A$3:$A$3000,Щит_спец)),IF(A240="Аппарат",IF(C240="","",COUNTIFS(Однолинейка!$I$3:$I$3000,C240,Однолинейка!$A$3:$A$3000,Щит_спец)+COUNTIFS(Однолинейка!$J$3:$J$3000,C240,Однолинейка!$A$3:$A$3000,Щит_спец)+COUNTIFS(Однолинейка!$K$3:$K$3000,C240,Однолинейка!$A$3:$A$3000,Щит_спец)),IF(A240="Модуль",IF(C240="","",COUNTIFS(Однолинейка!$AW$3:$AW$3000,"?*",Однолинейка!$AI$3:$AI$3000,C240,Однолинейка!$A$3:$A$3000,Щит_спец)),IF(A240="Клемма",IF(C240="","",IF(C240=$S$7,SUMIFS(Однолинейка!$BW$3:$BW$3000,Однолинейка!$A$3:$A$3000,Щит_спец),IF(C240=$S$8,SUMIFS(Однолинейка!$BX$3:$BX$3000,Однолинейка!$A$3:$A$3000,Щит_спец),""))),""))))</f>
        <v/>
      </c>
      <c r="O240" s="74"/>
      <c r="P240" s="38" t="str">
        <f t="shared" si="27"/>
        <v/>
      </c>
      <c r="U240" s="38" t="str">
        <f t="shared" si="28"/>
        <v/>
      </c>
      <c r="V240" s="38" t="str">
        <f t="shared" si="29"/>
        <v/>
      </c>
      <c r="W240" s="38" t="str">
        <f>IF(AND(U240&lt;&gt;"",OR($S$4="(все)",B240=$S$4),IF($S$4="(все)",COUNTIF($U$4:U240,U240),COUNTIFS($U$4:U240,U240,$B$4:B240,B240))=1),MAX($W$3:W239)+1,"")</f>
        <v/>
      </c>
      <c r="X240" s="38" t="str">
        <f t="shared" si="30"/>
        <v/>
      </c>
      <c r="Y240" s="38" t="str">
        <f>IF(AND(A240="Аппарат",C240&lt;&gt;"",OR($S$5="(все)",B240=$S$5)),MAX($Y$3:Y239)+1,"")</f>
        <v/>
      </c>
      <c r="Z240" s="38" t="str">
        <f t="shared" si="31"/>
        <v/>
      </c>
      <c r="AA240" s="38" t="str">
        <f>IF(AND(A240="Модуль",C240&lt;&gt;"",OR($S$6="(все)",B240=$S$6)),MAX($AA$3:AA239)+1,"")</f>
        <v/>
      </c>
      <c r="AB240" s="38" t="str">
        <f t="shared" si="32"/>
        <v/>
      </c>
      <c r="AC240" s="38" t="str">
        <f>IF(OR(B240="",COUNTIF($B$4:B240,B240)&gt;1),"",MAX($AC$3:AC239)+1)</f>
        <v/>
      </c>
      <c r="AD240" s="38" t="str">
        <f t="shared" si="33"/>
        <v/>
      </c>
      <c r="AE240" s="38" t="str">
        <f t="shared" si="34"/>
        <v/>
      </c>
      <c r="AF240" s="38" t="str">
        <f t="shared" si="35"/>
        <v/>
      </c>
    </row>
    <row r="241" spans="1:32" x14ac:dyDescent="0.3">
      <c r="A241" s="74"/>
      <c r="B241" s="74"/>
      <c r="C241" s="74"/>
      <c r="D241" s="74"/>
      <c r="E241" s="74"/>
      <c r="F241" s="74"/>
      <c r="G241" s="74"/>
      <c r="H241" s="74"/>
      <c r="I241" s="74"/>
      <c r="J241" s="74"/>
      <c r="K241" s="74"/>
      <c r="L241" s="74"/>
      <c r="M241" s="74"/>
      <c r="N241" s="38" t="str">
        <f>IF(OR(A241="Автомат",A241="Дифавтомат"),IF(W241="","",COUNTIFS(Однолинейка!$H$3:$H$3000,U241,Однолинейка!$A$3:$A$3000,Щит_спец)),IF(A241="Аппарат",IF(C241="","",COUNTIFS(Однолинейка!$I$3:$I$3000,C241,Однолинейка!$A$3:$A$3000,Щит_спец)+COUNTIFS(Однолинейка!$J$3:$J$3000,C241,Однолинейка!$A$3:$A$3000,Щит_спец)+COUNTIFS(Однолинейка!$K$3:$K$3000,C241,Однолинейка!$A$3:$A$3000,Щит_спец)),IF(A241="Модуль",IF(C241="","",COUNTIFS(Однолинейка!$AW$3:$AW$3000,"?*",Однолинейка!$AI$3:$AI$3000,C241,Однолинейка!$A$3:$A$3000,Щит_спец)),IF(A241="Клемма",IF(C241="","",IF(C241=$S$7,SUMIFS(Однолинейка!$BW$3:$BW$3000,Однолинейка!$A$3:$A$3000,Щит_спец),IF(C241=$S$8,SUMIFS(Однолинейка!$BX$3:$BX$3000,Однолинейка!$A$3:$A$3000,Щит_спец),""))),""))))</f>
        <v/>
      </c>
      <c r="O241" s="74"/>
      <c r="P241" s="38" t="str">
        <f t="shared" si="27"/>
        <v/>
      </c>
      <c r="U241" s="38" t="str">
        <f t="shared" si="28"/>
        <v/>
      </c>
      <c r="V241" s="38" t="str">
        <f t="shared" si="29"/>
        <v/>
      </c>
      <c r="W241" s="38" t="str">
        <f>IF(AND(U241&lt;&gt;"",OR($S$4="(все)",B241=$S$4),IF($S$4="(все)",COUNTIF($U$4:U241,U241),COUNTIFS($U$4:U241,U241,$B$4:B241,B241))=1),MAX($W$3:W240)+1,"")</f>
        <v/>
      </c>
      <c r="X241" s="38" t="str">
        <f t="shared" si="30"/>
        <v/>
      </c>
      <c r="Y241" s="38" t="str">
        <f>IF(AND(A241="Аппарат",C241&lt;&gt;"",OR($S$5="(все)",B241=$S$5)),MAX($Y$3:Y240)+1,"")</f>
        <v/>
      </c>
      <c r="Z241" s="38" t="str">
        <f t="shared" si="31"/>
        <v/>
      </c>
      <c r="AA241" s="38" t="str">
        <f>IF(AND(A241="Модуль",C241&lt;&gt;"",OR($S$6="(все)",B241=$S$6)),MAX($AA$3:AA240)+1,"")</f>
        <v/>
      </c>
      <c r="AB241" s="38" t="str">
        <f t="shared" si="32"/>
        <v/>
      </c>
      <c r="AC241" s="38" t="str">
        <f>IF(OR(B241="",COUNTIF($B$4:B241,B241)&gt;1),"",MAX($AC$3:AC240)+1)</f>
        <v/>
      </c>
      <c r="AD241" s="38" t="str">
        <f t="shared" si="33"/>
        <v/>
      </c>
      <c r="AE241" s="38" t="str">
        <f t="shared" si="34"/>
        <v/>
      </c>
      <c r="AF241" s="38" t="str">
        <f t="shared" si="35"/>
        <v/>
      </c>
    </row>
    <row r="242" spans="1:32" x14ac:dyDescent="0.3">
      <c r="A242" s="74"/>
      <c r="B242" s="74"/>
      <c r="C242" s="74"/>
      <c r="D242" s="74"/>
      <c r="E242" s="74"/>
      <c r="F242" s="74"/>
      <c r="G242" s="74"/>
      <c r="H242" s="74"/>
      <c r="I242" s="74"/>
      <c r="J242" s="74"/>
      <c r="K242" s="74"/>
      <c r="L242" s="74"/>
      <c r="M242" s="74"/>
      <c r="N242" s="38" t="str">
        <f>IF(OR(A242="Автомат",A242="Дифавтомат"),IF(W242="","",COUNTIFS(Однолинейка!$H$3:$H$3000,U242,Однолинейка!$A$3:$A$3000,Щит_спец)),IF(A242="Аппарат",IF(C242="","",COUNTIFS(Однолинейка!$I$3:$I$3000,C242,Однолинейка!$A$3:$A$3000,Щит_спец)+COUNTIFS(Однолинейка!$J$3:$J$3000,C242,Однолинейка!$A$3:$A$3000,Щит_спец)+COUNTIFS(Однолинейка!$K$3:$K$3000,C242,Однолинейка!$A$3:$A$3000,Щит_спец)),IF(A242="Модуль",IF(C242="","",COUNTIFS(Однолинейка!$AW$3:$AW$3000,"?*",Однолинейка!$AI$3:$AI$3000,C242,Однолинейка!$A$3:$A$3000,Щит_спец)),IF(A242="Клемма",IF(C242="","",IF(C242=$S$7,SUMIFS(Однолинейка!$BW$3:$BW$3000,Однолинейка!$A$3:$A$3000,Щит_спец),IF(C242=$S$8,SUMIFS(Однолинейка!$BX$3:$BX$3000,Однолинейка!$A$3:$A$3000,Щит_спец),""))),""))))</f>
        <v/>
      </c>
      <c r="O242" s="74"/>
      <c r="P242" s="38" t="str">
        <f t="shared" si="27"/>
        <v/>
      </c>
      <c r="U242" s="38" t="str">
        <f t="shared" si="28"/>
        <v/>
      </c>
      <c r="V242" s="38" t="str">
        <f t="shared" si="29"/>
        <v/>
      </c>
      <c r="W242" s="38" t="str">
        <f>IF(AND(U242&lt;&gt;"",OR($S$4="(все)",B242=$S$4),IF($S$4="(все)",COUNTIF($U$4:U242,U242),COUNTIFS($U$4:U242,U242,$B$4:B242,B242))=1),MAX($W$3:W241)+1,"")</f>
        <v/>
      </c>
      <c r="X242" s="38" t="str">
        <f t="shared" si="30"/>
        <v/>
      </c>
      <c r="Y242" s="38" t="str">
        <f>IF(AND(A242="Аппарат",C242&lt;&gt;"",OR($S$5="(все)",B242=$S$5)),MAX($Y$3:Y241)+1,"")</f>
        <v/>
      </c>
      <c r="Z242" s="38" t="str">
        <f t="shared" si="31"/>
        <v/>
      </c>
      <c r="AA242" s="38" t="str">
        <f>IF(AND(A242="Модуль",C242&lt;&gt;"",OR($S$6="(все)",B242=$S$6)),MAX($AA$3:AA241)+1,"")</f>
        <v/>
      </c>
      <c r="AB242" s="38" t="str">
        <f t="shared" si="32"/>
        <v/>
      </c>
      <c r="AC242" s="38" t="str">
        <f>IF(OR(B242="",COUNTIF($B$4:B242,B242)&gt;1),"",MAX($AC$3:AC241)+1)</f>
        <v/>
      </c>
      <c r="AD242" s="38" t="str">
        <f t="shared" si="33"/>
        <v/>
      </c>
      <c r="AE242" s="38" t="str">
        <f t="shared" si="34"/>
        <v/>
      </c>
      <c r="AF242" s="38" t="str">
        <f t="shared" si="35"/>
        <v/>
      </c>
    </row>
    <row r="243" spans="1:32" x14ac:dyDescent="0.3">
      <c r="A243" s="74"/>
      <c r="B243" s="74"/>
      <c r="C243" s="74"/>
      <c r="D243" s="74"/>
      <c r="E243" s="74"/>
      <c r="F243" s="74"/>
      <c r="G243" s="74"/>
      <c r="H243" s="74"/>
      <c r="I243" s="74"/>
      <c r="J243" s="74"/>
      <c r="K243" s="74"/>
      <c r="L243" s="74"/>
      <c r="M243" s="74"/>
      <c r="N243" s="38" t="str">
        <f>IF(OR(A243="Автомат",A243="Дифавтомат"),IF(W243="","",COUNTIFS(Однолинейка!$H$3:$H$3000,U243,Однолинейка!$A$3:$A$3000,Щит_спец)),IF(A243="Аппарат",IF(C243="","",COUNTIFS(Однолинейка!$I$3:$I$3000,C243,Однолинейка!$A$3:$A$3000,Щит_спец)+COUNTIFS(Однолинейка!$J$3:$J$3000,C243,Однолинейка!$A$3:$A$3000,Щит_спец)+COUNTIFS(Однолинейка!$K$3:$K$3000,C243,Однолинейка!$A$3:$A$3000,Щит_спец)),IF(A243="Модуль",IF(C243="","",COUNTIFS(Однолинейка!$AW$3:$AW$3000,"?*",Однолинейка!$AI$3:$AI$3000,C243,Однолинейка!$A$3:$A$3000,Щит_спец)),IF(A243="Клемма",IF(C243="","",IF(C243=$S$7,SUMIFS(Однолинейка!$BW$3:$BW$3000,Однолинейка!$A$3:$A$3000,Щит_спец),IF(C243=$S$8,SUMIFS(Однолинейка!$BX$3:$BX$3000,Однолинейка!$A$3:$A$3000,Щит_спец),""))),""))))</f>
        <v/>
      </c>
      <c r="O243" s="74"/>
      <c r="P243" s="38" t="str">
        <f t="shared" si="27"/>
        <v/>
      </c>
      <c r="U243" s="38" t="str">
        <f t="shared" si="28"/>
        <v/>
      </c>
      <c r="V243" s="38" t="str">
        <f t="shared" si="29"/>
        <v/>
      </c>
      <c r="W243" s="38" t="str">
        <f>IF(AND(U243&lt;&gt;"",OR($S$4="(все)",B243=$S$4),IF($S$4="(все)",COUNTIF($U$4:U243,U243),COUNTIFS($U$4:U243,U243,$B$4:B243,B243))=1),MAX($W$3:W242)+1,"")</f>
        <v/>
      </c>
      <c r="X243" s="38" t="str">
        <f t="shared" si="30"/>
        <v/>
      </c>
      <c r="Y243" s="38" t="str">
        <f>IF(AND(A243="Аппарат",C243&lt;&gt;"",OR($S$5="(все)",B243=$S$5)),MAX($Y$3:Y242)+1,"")</f>
        <v/>
      </c>
      <c r="Z243" s="38" t="str">
        <f t="shared" si="31"/>
        <v/>
      </c>
      <c r="AA243" s="38" t="str">
        <f>IF(AND(A243="Модуль",C243&lt;&gt;"",OR($S$6="(все)",B243=$S$6)),MAX($AA$3:AA242)+1,"")</f>
        <v/>
      </c>
      <c r="AB243" s="38" t="str">
        <f t="shared" si="32"/>
        <v/>
      </c>
      <c r="AC243" s="38" t="str">
        <f>IF(OR(B243="",COUNTIF($B$4:B243,B243)&gt;1),"",MAX($AC$3:AC242)+1)</f>
        <v/>
      </c>
      <c r="AD243" s="38" t="str">
        <f t="shared" si="33"/>
        <v/>
      </c>
      <c r="AE243" s="38" t="str">
        <f t="shared" si="34"/>
        <v/>
      </c>
      <c r="AF243" s="38" t="str">
        <f t="shared" si="35"/>
        <v/>
      </c>
    </row>
    <row r="244" spans="1:32" x14ac:dyDescent="0.3">
      <c r="A244" s="74"/>
      <c r="B244" s="74"/>
      <c r="C244" s="74"/>
      <c r="D244" s="74"/>
      <c r="E244" s="74"/>
      <c r="F244" s="74"/>
      <c r="G244" s="74"/>
      <c r="H244" s="74"/>
      <c r="I244" s="74"/>
      <c r="J244" s="74"/>
      <c r="K244" s="74"/>
      <c r="L244" s="74"/>
      <c r="M244" s="74"/>
      <c r="N244" s="38" t="str">
        <f>IF(OR(A244="Автомат",A244="Дифавтомат"),IF(W244="","",COUNTIFS(Однолинейка!$H$3:$H$3000,U244,Однолинейка!$A$3:$A$3000,Щит_спец)),IF(A244="Аппарат",IF(C244="","",COUNTIFS(Однолинейка!$I$3:$I$3000,C244,Однолинейка!$A$3:$A$3000,Щит_спец)+COUNTIFS(Однолинейка!$J$3:$J$3000,C244,Однолинейка!$A$3:$A$3000,Щит_спец)+COUNTIFS(Однолинейка!$K$3:$K$3000,C244,Однолинейка!$A$3:$A$3000,Щит_спец)),IF(A244="Модуль",IF(C244="","",COUNTIFS(Однолинейка!$AW$3:$AW$3000,"?*",Однолинейка!$AI$3:$AI$3000,C244,Однолинейка!$A$3:$A$3000,Щит_спец)),IF(A244="Клемма",IF(C244="","",IF(C244=$S$7,SUMIFS(Однолинейка!$BW$3:$BW$3000,Однолинейка!$A$3:$A$3000,Щит_спец),IF(C244=$S$8,SUMIFS(Однолинейка!$BX$3:$BX$3000,Однолинейка!$A$3:$A$3000,Щит_спец),""))),""))))</f>
        <v/>
      </c>
      <c r="O244" s="74"/>
      <c r="P244" s="38" t="str">
        <f t="shared" si="27"/>
        <v/>
      </c>
      <c r="U244" s="38" t="str">
        <f t="shared" si="28"/>
        <v/>
      </c>
      <c r="V244" s="38" t="str">
        <f t="shared" si="29"/>
        <v/>
      </c>
      <c r="W244" s="38" t="str">
        <f>IF(AND(U244&lt;&gt;"",OR($S$4="(все)",B244=$S$4),IF($S$4="(все)",COUNTIF($U$4:U244,U244),COUNTIFS($U$4:U244,U244,$B$4:B244,B244))=1),MAX($W$3:W243)+1,"")</f>
        <v/>
      </c>
      <c r="X244" s="38" t="str">
        <f t="shared" si="30"/>
        <v/>
      </c>
      <c r="Y244" s="38" t="str">
        <f>IF(AND(A244="Аппарат",C244&lt;&gt;"",OR($S$5="(все)",B244=$S$5)),MAX($Y$3:Y243)+1,"")</f>
        <v/>
      </c>
      <c r="Z244" s="38" t="str">
        <f t="shared" si="31"/>
        <v/>
      </c>
      <c r="AA244" s="38" t="str">
        <f>IF(AND(A244="Модуль",C244&lt;&gt;"",OR($S$6="(все)",B244=$S$6)),MAX($AA$3:AA243)+1,"")</f>
        <v/>
      </c>
      <c r="AB244" s="38" t="str">
        <f t="shared" si="32"/>
        <v/>
      </c>
      <c r="AC244" s="38" t="str">
        <f>IF(OR(B244="",COUNTIF($B$4:B244,B244)&gt;1),"",MAX($AC$3:AC243)+1)</f>
        <v/>
      </c>
      <c r="AD244" s="38" t="str">
        <f t="shared" si="33"/>
        <v/>
      </c>
      <c r="AE244" s="38" t="str">
        <f t="shared" si="34"/>
        <v/>
      </c>
      <c r="AF244" s="38" t="str">
        <f t="shared" si="35"/>
        <v/>
      </c>
    </row>
    <row r="245" spans="1:32" x14ac:dyDescent="0.3">
      <c r="A245" s="74"/>
      <c r="B245" s="74"/>
      <c r="C245" s="74"/>
      <c r="D245" s="74"/>
      <c r="E245" s="74"/>
      <c r="F245" s="74"/>
      <c r="G245" s="74"/>
      <c r="H245" s="74"/>
      <c r="I245" s="74"/>
      <c r="J245" s="74"/>
      <c r="K245" s="74"/>
      <c r="L245" s="74"/>
      <c r="M245" s="74"/>
      <c r="N245" s="38" t="str">
        <f>IF(OR(A245="Автомат",A245="Дифавтомат"),IF(W245="","",COUNTIFS(Однолинейка!$H$3:$H$3000,U245,Однолинейка!$A$3:$A$3000,Щит_спец)),IF(A245="Аппарат",IF(C245="","",COUNTIFS(Однолинейка!$I$3:$I$3000,C245,Однолинейка!$A$3:$A$3000,Щит_спец)+COUNTIFS(Однолинейка!$J$3:$J$3000,C245,Однолинейка!$A$3:$A$3000,Щит_спец)+COUNTIFS(Однолинейка!$K$3:$K$3000,C245,Однолинейка!$A$3:$A$3000,Щит_спец)),IF(A245="Модуль",IF(C245="","",COUNTIFS(Однолинейка!$AW$3:$AW$3000,"?*",Однолинейка!$AI$3:$AI$3000,C245,Однолинейка!$A$3:$A$3000,Щит_спец)),IF(A245="Клемма",IF(C245="","",IF(C245=$S$7,SUMIFS(Однолинейка!$BW$3:$BW$3000,Однолинейка!$A$3:$A$3000,Щит_спец),IF(C245=$S$8,SUMIFS(Однолинейка!$BX$3:$BX$3000,Однолинейка!$A$3:$A$3000,Щит_спец),""))),""))))</f>
        <v/>
      </c>
      <c r="O245" s="74"/>
      <c r="P245" s="38" t="str">
        <f t="shared" si="27"/>
        <v/>
      </c>
      <c r="U245" s="38" t="str">
        <f t="shared" si="28"/>
        <v/>
      </c>
      <c r="V245" s="38" t="str">
        <f t="shared" si="29"/>
        <v/>
      </c>
      <c r="W245" s="38" t="str">
        <f>IF(AND(U245&lt;&gt;"",OR($S$4="(все)",B245=$S$4),IF($S$4="(все)",COUNTIF($U$4:U245,U245),COUNTIFS($U$4:U245,U245,$B$4:B245,B245))=1),MAX($W$3:W244)+1,"")</f>
        <v/>
      </c>
      <c r="X245" s="38" t="str">
        <f t="shared" si="30"/>
        <v/>
      </c>
      <c r="Y245" s="38" t="str">
        <f>IF(AND(A245="Аппарат",C245&lt;&gt;"",OR($S$5="(все)",B245=$S$5)),MAX($Y$3:Y244)+1,"")</f>
        <v/>
      </c>
      <c r="Z245" s="38" t="str">
        <f t="shared" si="31"/>
        <v/>
      </c>
      <c r="AA245" s="38" t="str">
        <f>IF(AND(A245="Модуль",C245&lt;&gt;"",OR($S$6="(все)",B245=$S$6)),MAX($AA$3:AA244)+1,"")</f>
        <v/>
      </c>
      <c r="AB245" s="38" t="str">
        <f t="shared" si="32"/>
        <v/>
      </c>
      <c r="AC245" s="38" t="str">
        <f>IF(OR(B245="",COUNTIF($B$4:B245,B245)&gt;1),"",MAX($AC$3:AC244)+1)</f>
        <v/>
      </c>
      <c r="AD245" s="38" t="str">
        <f t="shared" si="33"/>
        <v/>
      </c>
      <c r="AE245" s="38" t="str">
        <f t="shared" si="34"/>
        <v/>
      </c>
      <c r="AF245" s="38" t="str">
        <f t="shared" si="35"/>
        <v/>
      </c>
    </row>
    <row r="246" spans="1:32" x14ac:dyDescent="0.3">
      <c r="A246" s="74"/>
      <c r="B246" s="74"/>
      <c r="C246" s="74"/>
      <c r="D246" s="74"/>
      <c r="E246" s="74"/>
      <c r="F246" s="74"/>
      <c r="G246" s="74"/>
      <c r="H246" s="74"/>
      <c r="I246" s="74"/>
      <c r="J246" s="74"/>
      <c r="K246" s="74"/>
      <c r="L246" s="74"/>
      <c r="M246" s="74"/>
      <c r="N246" s="38" t="str">
        <f>IF(OR(A246="Автомат",A246="Дифавтомат"),IF(W246="","",COUNTIFS(Однолинейка!$H$3:$H$3000,U246,Однолинейка!$A$3:$A$3000,Щит_спец)),IF(A246="Аппарат",IF(C246="","",COUNTIFS(Однолинейка!$I$3:$I$3000,C246,Однолинейка!$A$3:$A$3000,Щит_спец)+COUNTIFS(Однолинейка!$J$3:$J$3000,C246,Однолинейка!$A$3:$A$3000,Щит_спец)+COUNTIFS(Однолинейка!$K$3:$K$3000,C246,Однолинейка!$A$3:$A$3000,Щит_спец)),IF(A246="Модуль",IF(C246="","",COUNTIFS(Однолинейка!$AW$3:$AW$3000,"?*",Однолинейка!$AI$3:$AI$3000,C246,Однолинейка!$A$3:$A$3000,Щит_спец)),IF(A246="Клемма",IF(C246="","",IF(C246=$S$7,SUMIFS(Однолинейка!$BW$3:$BW$3000,Однолинейка!$A$3:$A$3000,Щит_спец),IF(C246=$S$8,SUMIFS(Однолинейка!$BX$3:$BX$3000,Однолинейка!$A$3:$A$3000,Щит_спец),""))),""))))</f>
        <v/>
      </c>
      <c r="O246" s="74"/>
      <c r="P246" s="38" t="str">
        <f t="shared" si="27"/>
        <v/>
      </c>
      <c r="U246" s="38" t="str">
        <f t="shared" si="28"/>
        <v/>
      </c>
      <c r="V246" s="38" t="str">
        <f t="shared" si="29"/>
        <v/>
      </c>
      <c r="W246" s="38" t="str">
        <f>IF(AND(U246&lt;&gt;"",OR($S$4="(все)",B246=$S$4),IF($S$4="(все)",COUNTIF($U$4:U246,U246),COUNTIFS($U$4:U246,U246,$B$4:B246,B246))=1),MAX($W$3:W245)+1,"")</f>
        <v/>
      </c>
      <c r="X246" s="38" t="str">
        <f t="shared" si="30"/>
        <v/>
      </c>
      <c r="Y246" s="38" t="str">
        <f>IF(AND(A246="Аппарат",C246&lt;&gt;"",OR($S$5="(все)",B246=$S$5)),MAX($Y$3:Y245)+1,"")</f>
        <v/>
      </c>
      <c r="Z246" s="38" t="str">
        <f t="shared" si="31"/>
        <v/>
      </c>
      <c r="AA246" s="38" t="str">
        <f>IF(AND(A246="Модуль",C246&lt;&gt;"",OR($S$6="(все)",B246=$S$6)),MAX($AA$3:AA245)+1,"")</f>
        <v/>
      </c>
      <c r="AB246" s="38" t="str">
        <f t="shared" si="32"/>
        <v/>
      </c>
      <c r="AC246" s="38" t="str">
        <f>IF(OR(B246="",COUNTIF($B$4:B246,B246)&gt;1),"",MAX($AC$3:AC245)+1)</f>
        <v/>
      </c>
      <c r="AD246" s="38" t="str">
        <f t="shared" si="33"/>
        <v/>
      </c>
      <c r="AE246" s="38" t="str">
        <f t="shared" si="34"/>
        <v/>
      </c>
      <c r="AF246" s="38" t="str">
        <f t="shared" si="35"/>
        <v/>
      </c>
    </row>
    <row r="247" spans="1:32" x14ac:dyDescent="0.3">
      <c r="A247" s="74"/>
      <c r="B247" s="74"/>
      <c r="C247" s="74"/>
      <c r="D247" s="74"/>
      <c r="E247" s="74"/>
      <c r="F247" s="74"/>
      <c r="G247" s="74"/>
      <c r="H247" s="74"/>
      <c r="I247" s="74"/>
      <c r="J247" s="74"/>
      <c r="K247" s="74"/>
      <c r="L247" s="74"/>
      <c r="M247" s="74"/>
      <c r="N247" s="38" t="str">
        <f>IF(OR(A247="Автомат",A247="Дифавтомат"),IF(W247="","",COUNTIFS(Однолинейка!$H$3:$H$3000,U247,Однолинейка!$A$3:$A$3000,Щит_спец)),IF(A247="Аппарат",IF(C247="","",COUNTIFS(Однолинейка!$I$3:$I$3000,C247,Однолинейка!$A$3:$A$3000,Щит_спец)+COUNTIFS(Однолинейка!$J$3:$J$3000,C247,Однолинейка!$A$3:$A$3000,Щит_спец)+COUNTIFS(Однолинейка!$K$3:$K$3000,C247,Однолинейка!$A$3:$A$3000,Щит_спец)),IF(A247="Модуль",IF(C247="","",COUNTIFS(Однолинейка!$AW$3:$AW$3000,"?*",Однолинейка!$AI$3:$AI$3000,C247,Однолинейка!$A$3:$A$3000,Щит_спец)),IF(A247="Клемма",IF(C247="","",IF(C247=$S$7,SUMIFS(Однолинейка!$BW$3:$BW$3000,Однолинейка!$A$3:$A$3000,Щит_спец),IF(C247=$S$8,SUMIFS(Однолинейка!$BX$3:$BX$3000,Однолинейка!$A$3:$A$3000,Щит_спец),""))),""))))</f>
        <v/>
      </c>
      <c r="O247" s="74"/>
      <c r="P247" s="38" t="str">
        <f t="shared" si="27"/>
        <v/>
      </c>
      <c r="U247" s="38" t="str">
        <f t="shared" si="28"/>
        <v/>
      </c>
      <c r="V247" s="38" t="str">
        <f t="shared" si="29"/>
        <v/>
      </c>
      <c r="W247" s="38" t="str">
        <f>IF(AND(U247&lt;&gt;"",OR($S$4="(все)",B247=$S$4),IF($S$4="(все)",COUNTIF($U$4:U247,U247),COUNTIFS($U$4:U247,U247,$B$4:B247,B247))=1),MAX($W$3:W246)+1,"")</f>
        <v/>
      </c>
      <c r="X247" s="38" t="str">
        <f t="shared" si="30"/>
        <v/>
      </c>
      <c r="Y247" s="38" t="str">
        <f>IF(AND(A247="Аппарат",C247&lt;&gt;"",OR($S$5="(все)",B247=$S$5)),MAX($Y$3:Y246)+1,"")</f>
        <v/>
      </c>
      <c r="Z247" s="38" t="str">
        <f t="shared" si="31"/>
        <v/>
      </c>
      <c r="AA247" s="38" t="str">
        <f>IF(AND(A247="Модуль",C247&lt;&gt;"",OR($S$6="(все)",B247=$S$6)),MAX($AA$3:AA246)+1,"")</f>
        <v/>
      </c>
      <c r="AB247" s="38" t="str">
        <f t="shared" si="32"/>
        <v/>
      </c>
      <c r="AC247" s="38" t="str">
        <f>IF(OR(B247="",COUNTIF($B$4:B247,B247)&gt;1),"",MAX($AC$3:AC246)+1)</f>
        <v/>
      </c>
      <c r="AD247" s="38" t="str">
        <f t="shared" si="33"/>
        <v/>
      </c>
      <c r="AE247" s="38" t="str">
        <f t="shared" si="34"/>
        <v/>
      </c>
      <c r="AF247" s="38" t="str">
        <f t="shared" si="35"/>
        <v/>
      </c>
    </row>
    <row r="248" spans="1:32" x14ac:dyDescent="0.3">
      <c r="A248" s="74"/>
      <c r="B248" s="74"/>
      <c r="C248" s="74"/>
      <c r="D248" s="74"/>
      <c r="E248" s="74"/>
      <c r="F248" s="74"/>
      <c r="G248" s="74"/>
      <c r="H248" s="74"/>
      <c r="I248" s="74"/>
      <c r="J248" s="74"/>
      <c r="K248" s="74"/>
      <c r="L248" s="74"/>
      <c r="M248" s="74"/>
      <c r="N248" s="38" t="str">
        <f>IF(OR(A248="Автомат",A248="Дифавтомат"),IF(W248="","",COUNTIFS(Однолинейка!$H$3:$H$3000,U248,Однолинейка!$A$3:$A$3000,Щит_спец)),IF(A248="Аппарат",IF(C248="","",COUNTIFS(Однолинейка!$I$3:$I$3000,C248,Однолинейка!$A$3:$A$3000,Щит_спец)+COUNTIFS(Однолинейка!$J$3:$J$3000,C248,Однолинейка!$A$3:$A$3000,Щит_спец)+COUNTIFS(Однолинейка!$K$3:$K$3000,C248,Однолинейка!$A$3:$A$3000,Щит_спец)),IF(A248="Модуль",IF(C248="","",COUNTIFS(Однолинейка!$AW$3:$AW$3000,"?*",Однолинейка!$AI$3:$AI$3000,C248,Однолинейка!$A$3:$A$3000,Щит_спец)),IF(A248="Клемма",IF(C248="","",IF(C248=$S$7,SUMIFS(Однолинейка!$BW$3:$BW$3000,Однолинейка!$A$3:$A$3000,Щит_спец),IF(C248=$S$8,SUMIFS(Однолинейка!$BX$3:$BX$3000,Однолинейка!$A$3:$A$3000,Щит_спец),""))),""))))</f>
        <v/>
      </c>
      <c r="O248" s="74"/>
      <c r="P248" s="38" t="str">
        <f t="shared" si="27"/>
        <v/>
      </c>
      <c r="U248" s="38" t="str">
        <f t="shared" si="28"/>
        <v/>
      </c>
      <c r="V248" s="38" t="str">
        <f t="shared" si="29"/>
        <v/>
      </c>
      <c r="W248" s="38" t="str">
        <f>IF(AND(U248&lt;&gt;"",OR($S$4="(все)",B248=$S$4),IF($S$4="(все)",COUNTIF($U$4:U248,U248),COUNTIFS($U$4:U248,U248,$B$4:B248,B248))=1),MAX($W$3:W247)+1,"")</f>
        <v/>
      </c>
      <c r="X248" s="38" t="str">
        <f t="shared" si="30"/>
        <v/>
      </c>
      <c r="Y248" s="38" t="str">
        <f>IF(AND(A248="Аппарат",C248&lt;&gt;"",OR($S$5="(все)",B248=$S$5)),MAX($Y$3:Y247)+1,"")</f>
        <v/>
      </c>
      <c r="Z248" s="38" t="str">
        <f t="shared" si="31"/>
        <v/>
      </c>
      <c r="AA248" s="38" t="str">
        <f>IF(AND(A248="Модуль",C248&lt;&gt;"",OR($S$6="(все)",B248=$S$6)),MAX($AA$3:AA247)+1,"")</f>
        <v/>
      </c>
      <c r="AB248" s="38" t="str">
        <f t="shared" si="32"/>
        <v/>
      </c>
      <c r="AC248" s="38" t="str">
        <f>IF(OR(B248="",COUNTIF($B$4:B248,B248)&gt;1),"",MAX($AC$3:AC247)+1)</f>
        <v/>
      </c>
      <c r="AD248" s="38" t="str">
        <f t="shared" si="33"/>
        <v/>
      </c>
      <c r="AE248" s="38" t="str">
        <f t="shared" si="34"/>
        <v/>
      </c>
      <c r="AF248" s="38" t="str">
        <f t="shared" si="35"/>
        <v/>
      </c>
    </row>
    <row r="249" spans="1:32" x14ac:dyDescent="0.3">
      <c r="A249" s="74"/>
      <c r="B249" s="74"/>
      <c r="C249" s="74"/>
      <c r="D249" s="74"/>
      <c r="E249" s="74"/>
      <c r="F249" s="74"/>
      <c r="G249" s="74"/>
      <c r="H249" s="74"/>
      <c r="I249" s="74"/>
      <c r="J249" s="74"/>
      <c r="K249" s="74"/>
      <c r="L249" s="74"/>
      <c r="M249" s="74"/>
      <c r="N249" s="38" t="str">
        <f>IF(OR(A249="Автомат",A249="Дифавтомат"),IF(W249="","",COUNTIFS(Однолинейка!$H$3:$H$3000,U249,Однолинейка!$A$3:$A$3000,Щит_спец)),IF(A249="Аппарат",IF(C249="","",COUNTIFS(Однолинейка!$I$3:$I$3000,C249,Однолинейка!$A$3:$A$3000,Щит_спец)+COUNTIFS(Однолинейка!$J$3:$J$3000,C249,Однолинейка!$A$3:$A$3000,Щит_спец)+COUNTIFS(Однолинейка!$K$3:$K$3000,C249,Однолинейка!$A$3:$A$3000,Щит_спец)),IF(A249="Модуль",IF(C249="","",COUNTIFS(Однолинейка!$AW$3:$AW$3000,"?*",Однолинейка!$AI$3:$AI$3000,C249,Однолинейка!$A$3:$A$3000,Щит_спец)),IF(A249="Клемма",IF(C249="","",IF(C249=$S$7,SUMIFS(Однолинейка!$BW$3:$BW$3000,Однолинейка!$A$3:$A$3000,Щит_спец),IF(C249=$S$8,SUMIFS(Однолинейка!$BX$3:$BX$3000,Однолинейка!$A$3:$A$3000,Щит_спец),""))),""))))</f>
        <v/>
      </c>
      <c r="O249" s="74"/>
      <c r="P249" s="38" t="str">
        <f t="shared" si="27"/>
        <v/>
      </c>
      <c r="U249" s="38" t="str">
        <f t="shared" si="28"/>
        <v/>
      </c>
      <c r="V249" s="38" t="str">
        <f t="shared" si="29"/>
        <v/>
      </c>
      <c r="W249" s="38" t="str">
        <f>IF(AND(U249&lt;&gt;"",OR($S$4="(все)",B249=$S$4),IF($S$4="(все)",COUNTIF($U$4:U249,U249),COUNTIFS($U$4:U249,U249,$B$4:B249,B249))=1),MAX($W$3:W248)+1,"")</f>
        <v/>
      </c>
      <c r="X249" s="38" t="str">
        <f t="shared" si="30"/>
        <v/>
      </c>
      <c r="Y249" s="38" t="str">
        <f>IF(AND(A249="Аппарат",C249&lt;&gt;"",OR($S$5="(все)",B249=$S$5)),MAX($Y$3:Y248)+1,"")</f>
        <v/>
      </c>
      <c r="Z249" s="38" t="str">
        <f t="shared" si="31"/>
        <v/>
      </c>
      <c r="AA249" s="38" t="str">
        <f>IF(AND(A249="Модуль",C249&lt;&gt;"",OR($S$6="(все)",B249=$S$6)),MAX($AA$3:AA248)+1,"")</f>
        <v/>
      </c>
      <c r="AB249" s="38" t="str">
        <f t="shared" si="32"/>
        <v/>
      </c>
      <c r="AC249" s="38" t="str">
        <f>IF(OR(B249="",COUNTIF($B$4:B249,B249)&gt;1),"",MAX($AC$3:AC248)+1)</f>
        <v/>
      </c>
      <c r="AD249" s="38" t="str">
        <f t="shared" si="33"/>
        <v/>
      </c>
      <c r="AE249" s="38" t="str">
        <f t="shared" si="34"/>
        <v/>
      </c>
      <c r="AF249" s="38" t="str">
        <f t="shared" si="35"/>
        <v/>
      </c>
    </row>
    <row r="250" spans="1:32" x14ac:dyDescent="0.3">
      <c r="A250" s="74"/>
      <c r="B250" s="74"/>
      <c r="C250" s="74"/>
      <c r="D250" s="74"/>
      <c r="E250" s="74"/>
      <c r="F250" s="74"/>
      <c r="G250" s="74"/>
      <c r="H250" s="74"/>
      <c r="I250" s="74"/>
      <c r="J250" s="74"/>
      <c r="K250" s="74"/>
      <c r="L250" s="74"/>
      <c r="M250" s="74"/>
      <c r="N250" s="38" t="str">
        <f>IF(OR(A250="Автомат",A250="Дифавтомат"),IF(W250="","",COUNTIFS(Однолинейка!$H$3:$H$3000,U250,Однолинейка!$A$3:$A$3000,Щит_спец)),IF(A250="Аппарат",IF(C250="","",COUNTIFS(Однолинейка!$I$3:$I$3000,C250,Однолинейка!$A$3:$A$3000,Щит_спец)+COUNTIFS(Однолинейка!$J$3:$J$3000,C250,Однолинейка!$A$3:$A$3000,Щит_спец)+COUNTIFS(Однолинейка!$K$3:$K$3000,C250,Однолинейка!$A$3:$A$3000,Щит_спец)),IF(A250="Модуль",IF(C250="","",COUNTIFS(Однолинейка!$AW$3:$AW$3000,"?*",Однолинейка!$AI$3:$AI$3000,C250,Однолинейка!$A$3:$A$3000,Щит_спец)),IF(A250="Клемма",IF(C250="","",IF(C250=$S$7,SUMIFS(Однолинейка!$BW$3:$BW$3000,Однолинейка!$A$3:$A$3000,Щит_спец),IF(C250=$S$8,SUMIFS(Однолинейка!$BX$3:$BX$3000,Однолинейка!$A$3:$A$3000,Щит_спец),""))),""))))</f>
        <v/>
      </c>
      <c r="O250" s="74"/>
      <c r="P250" s="38" t="str">
        <f t="shared" si="27"/>
        <v/>
      </c>
      <c r="U250" s="38" t="str">
        <f t="shared" si="28"/>
        <v/>
      </c>
      <c r="V250" s="38" t="str">
        <f t="shared" si="29"/>
        <v/>
      </c>
      <c r="W250" s="38" t="str">
        <f>IF(AND(U250&lt;&gt;"",OR($S$4="(все)",B250=$S$4),IF($S$4="(все)",COUNTIF($U$4:U250,U250),COUNTIFS($U$4:U250,U250,$B$4:B250,B250))=1),MAX($W$3:W249)+1,"")</f>
        <v/>
      </c>
      <c r="X250" s="38" t="str">
        <f t="shared" si="30"/>
        <v/>
      </c>
      <c r="Y250" s="38" t="str">
        <f>IF(AND(A250="Аппарат",C250&lt;&gt;"",OR($S$5="(все)",B250=$S$5)),MAX($Y$3:Y249)+1,"")</f>
        <v/>
      </c>
      <c r="Z250" s="38" t="str">
        <f t="shared" si="31"/>
        <v/>
      </c>
      <c r="AA250" s="38" t="str">
        <f>IF(AND(A250="Модуль",C250&lt;&gt;"",OR($S$6="(все)",B250=$S$6)),MAX($AA$3:AA249)+1,"")</f>
        <v/>
      </c>
      <c r="AB250" s="38" t="str">
        <f t="shared" si="32"/>
        <v/>
      </c>
      <c r="AC250" s="38" t="str">
        <f>IF(OR(B250="",COUNTIF($B$4:B250,B250)&gt;1),"",MAX($AC$3:AC249)+1)</f>
        <v/>
      </c>
      <c r="AD250" s="38" t="str">
        <f t="shared" si="33"/>
        <v/>
      </c>
      <c r="AE250" s="38" t="str">
        <f t="shared" si="34"/>
        <v/>
      </c>
      <c r="AF250" s="38" t="str">
        <f t="shared" si="35"/>
        <v/>
      </c>
    </row>
    <row r="251" spans="1:32" x14ac:dyDescent="0.3">
      <c r="A251" s="74"/>
      <c r="B251" s="74"/>
      <c r="C251" s="74"/>
      <c r="D251" s="74"/>
      <c r="E251" s="74"/>
      <c r="F251" s="74"/>
      <c r="G251" s="74"/>
      <c r="H251" s="74"/>
      <c r="I251" s="74"/>
      <c r="J251" s="74"/>
      <c r="K251" s="74"/>
      <c r="L251" s="74"/>
      <c r="M251" s="74"/>
      <c r="N251" s="38" t="str">
        <f>IF(OR(A251="Автомат",A251="Дифавтомат"),IF(W251="","",COUNTIFS(Однолинейка!$H$3:$H$3000,U251,Однолинейка!$A$3:$A$3000,Щит_спец)),IF(A251="Аппарат",IF(C251="","",COUNTIFS(Однолинейка!$I$3:$I$3000,C251,Однолинейка!$A$3:$A$3000,Щит_спец)+COUNTIFS(Однолинейка!$J$3:$J$3000,C251,Однолинейка!$A$3:$A$3000,Щит_спец)+COUNTIFS(Однолинейка!$K$3:$K$3000,C251,Однолинейка!$A$3:$A$3000,Щит_спец)),IF(A251="Модуль",IF(C251="","",COUNTIFS(Однолинейка!$AW$3:$AW$3000,"?*",Однолинейка!$AI$3:$AI$3000,C251,Однолинейка!$A$3:$A$3000,Щит_спец)),IF(A251="Клемма",IF(C251="","",IF(C251=$S$7,SUMIFS(Однолинейка!$BW$3:$BW$3000,Однолинейка!$A$3:$A$3000,Щит_спец),IF(C251=$S$8,SUMIFS(Однолинейка!$BX$3:$BX$3000,Однолинейка!$A$3:$A$3000,Щит_спец),""))),""))))</f>
        <v/>
      </c>
      <c r="O251" s="74"/>
      <c r="P251" s="38" t="str">
        <f t="shared" si="27"/>
        <v/>
      </c>
      <c r="U251" s="38" t="str">
        <f t="shared" si="28"/>
        <v/>
      </c>
      <c r="V251" s="38" t="str">
        <f t="shared" si="29"/>
        <v/>
      </c>
      <c r="W251" s="38" t="str">
        <f>IF(AND(U251&lt;&gt;"",OR($S$4="(все)",B251=$S$4),IF($S$4="(все)",COUNTIF($U$4:U251,U251),COUNTIFS($U$4:U251,U251,$B$4:B251,B251))=1),MAX($W$3:W250)+1,"")</f>
        <v/>
      </c>
      <c r="X251" s="38" t="str">
        <f t="shared" si="30"/>
        <v/>
      </c>
      <c r="Y251" s="38" t="str">
        <f>IF(AND(A251="Аппарат",C251&lt;&gt;"",OR($S$5="(все)",B251=$S$5)),MAX($Y$3:Y250)+1,"")</f>
        <v/>
      </c>
      <c r="Z251" s="38" t="str">
        <f t="shared" si="31"/>
        <v/>
      </c>
      <c r="AA251" s="38" t="str">
        <f>IF(AND(A251="Модуль",C251&lt;&gt;"",OR($S$6="(все)",B251=$S$6)),MAX($AA$3:AA250)+1,"")</f>
        <v/>
      </c>
      <c r="AB251" s="38" t="str">
        <f t="shared" si="32"/>
        <v/>
      </c>
      <c r="AC251" s="38" t="str">
        <f>IF(OR(B251="",COUNTIF($B$4:B251,B251)&gt;1),"",MAX($AC$3:AC250)+1)</f>
        <v/>
      </c>
      <c r="AD251" s="38" t="str">
        <f t="shared" si="33"/>
        <v/>
      </c>
      <c r="AE251" s="38" t="str">
        <f t="shared" si="34"/>
        <v/>
      </c>
      <c r="AF251" s="38" t="str">
        <f t="shared" si="35"/>
        <v/>
      </c>
    </row>
    <row r="252" spans="1:32" x14ac:dyDescent="0.3">
      <c r="A252" s="74"/>
      <c r="B252" s="74"/>
      <c r="C252" s="74"/>
      <c r="D252" s="74"/>
      <c r="E252" s="74"/>
      <c r="F252" s="74"/>
      <c r="G252" s="74"/>
      <c r="H252" s="74"/>
      <c r="I252" s="74"/>
      <c r="J252" s="74"/>
      <c r="K252" s="74"/>
      <c r="L252" s="74"/>
      <c r="M252" s="74"/>
      <c r="N252" s="38" t="str">
        <f>IF(OR(A252="Автомат",A252="Дифавтомат"),IF(W252="","",COUNTIFS(Однолинейка!$H$3:$H$3000,U252,Однолинейка!$A$3:$A$3000,Щит_спец)),IF(A252="Аппарат",IF(C252="","",COUNTIFS(Однолинейка!$I$3:$I$3000,C252,Однолинейка!$A$3:$A$3000,Щит_спец)+COUNTIFS(Однолинейка!$J$3:$J$3000,C252,Однолинейка!$A$3:$A$3000,Щит_спец)+COUNTIFS(Однолинейка!$K$3:$K$3000,C252,Однолинейка!$A$3:$A$3000,Щит_спец)),IF(A252="Модуль",IF(C252="","",COUNTIFS(Однолинейка!$AW$3:$AW$3000,"?*",Однолинейка!$AI$3:$AI$3000,C252,Однолинейка!$A$3:$A$3000,Щит_спец)),IF(A252="Клемма",IF(C252="","",IF(C252=$S$7,SUMIFS(Однолинейка!$BW$3:$BW$3000,Однолинейка!$A$3:$A$3000,Щит_спец),IF(C252=$S$8,SUMIFS(Однолинейка!$BX$3:$BX$3000,Однолинейка!$A$3:$A$3000,Щит_спец),""))),""))))</f>
        <v/>
      </c>
      <c r="O252" s="74"/>
      <c r="P252" s="38" t="str">
        <f t="shared" si="27"/>
        <v/>
      </c>
      <c r="U252" s="38" t="str">
        <f t="shared" si="28"/>
        <v/>
      </c>
      <c r="V252" s="38" t="str">
        <f t="shared" si="29"/>
        <v/>
      </c>
      <c r="W252" s="38" t="str">
        <f>IF(AND(U252&lt;&gt;"",OR($S$4="(все)",B252=$S$4),IF($S$4="(все)",COUNTIF($U$4:U252,U252),COUNTIFS($U$4:U252,U252,$B$4:B252,B252))=1),MAX($W$3:W251)+1,"")</f>
        <v/>
      </c>
      <c r="X252" s="38" t="str">
        <f t="shared" si="30"/>
        <v/>
      </c>
      <c r="Y252" s="38" t="str">
        <f>IF(AND(A252="Аппарат",C252&lt;&gt;"",OR($S$5="(все)",B252=$S$5)),MAX($Y$3:Y251)+1,"")</f>
        <v/>
      </c>
      <c r="Z252" s="38" t="str">
        <f t="shared" si="31"/>
        <v/>
      </c>
      <c r="AA252" s="38" t="str">
        <f>IF(AND(A252="Модуль",C252&lt;&gt;"",OR($S$6="(все)",B252=$S$6)),MAX($AA$3:AA251)+1,"")</f>
        <v/>
      </c>
      <c r="AB252" s="38" t="str">
        <f t="shared" si="32"/>
        <v/>
      </c>
      <c r="AC252" s="38" t="str">
        <f>IF(OR(B252="",COUNTIF($B$4:B252,B252)&gt;1),"",MAX($AC$3:AC251)+1)</f>
        <v/>
      </c>
      <c r="AD252" s="38" t="str">
        <f t="shared" si="33"/>
        <v/>
      </c>
      <c r="AE252" s="38" t="str">
        <f t="shared" si="34"/>
        <v/>
      </c>
      <c r="AF252" s="38" t="str">
        <f t="shared" si="35"/>
        <v/>
      </c>
    </row>
    <row r="253" spans="1:32" x14ac:dyDescent="0.3">
      <c r="A253" s="74"/>
      <c r="B253" s="74"/>
      <c r="C253" s="74"/>
      <c r="D253" s="74"/>
      <c r="E253" s="74"/>
      <c r="F253" s="74"/>
      <c r="G253" s="74"/>
      <c r="H253" s="74"/>
      <c r="I253" s="74"/>
      <c r="J253" s="74"/>
      <c r="K253" s="74"/>
      <c r="L253" s="74"/>
      <c r="M253" s="74"/>
      <c r="N253" s="38" t="str">
        <f>IF(OR(A253="Автомат",A253="Дифавтомат"),IF(W253="","",COUNTIFS(Однолинейка!$H$3:$H$3000,U253,Однолинейка!$A$3:$A$3000,Щит_спец)),IF(A253="Аппарат",IF(C253="","",COUNTIFS(Однолинейка!$I$3:$I$3000,C253,Однолинейка!$A$3:$A$3000,Щит_спец)+COUNTIFS(Однолинейка!$J$3:$J$3000,C253,Однолинейка!$A$3:$A$3000,Щит_спец)+COUNTIFS(Однолинейка!$K$3:$K$3000,C253,Однолинейка!$A$3:$A$3000,Щит_спец)),IF(A253="Модуль",IF(C253="","",COUNTIFS(Однолинейка!$AW$3:$AW$3000,"?*",Однолинейка!$AI$3:$AI$3000,C253,Однолинейка!$A$3:$A$3000,Щит_спец)),IF(A253="Клемма",IF(C253="","",IF(C253=$S$7,SUMIFS(Однолинейка!$BW$3:$BW$3000,Однолинейка!$A$3:$A$3000,Щит_спец),IF(C253=$S$8,SUMIFS(Однолинейка!$BX$3:$BX$3000,Однолинейка!$A$3:$A$3000,Щит_спец),""))),""))))</f>
        <v/>
      </c>
      <c r="O253" s="74"/>
      <c r="P253" s="38" t="str">
        <f t="shared" si="27"/>
        <v/>
      </c>
      <c r="U253" s="38" t="str">
        <f t="shared" si="28"/>
        <v/>
      </c>
      <c r="V253" s="38" t="str">
        <f t="shared" si="29"/>
        <v/>
      </c>
      <c r="W253" s="38" t="str">
        <f>IF(AND(U253&lt;&gt;"",OR($S$4="(все)",B253=$S$4),IF($S$4="(все)",COUNTIF($U$4:U253,U253),COUNTIFS($U$4:U253,U253,$B$4:B253,B253))=1),MAX($W$3:W252)+1,"")</f>
        <v/>
      </c>
      <c r="X253" s="38" t="str">
        <f t="shared" si="30"/>
        <v/>
      </c>
      <c r="Y253" s="38" t="str">
        <f>IF(AND(A253="Аппарат",C253&lt;&gt;"",OR($S$5="(все)",B253=$S$5)),MAX($Y$3:Y252)+1,"")</f>
        <v/>
      </c>
      <c r="Z253" s="38" t="str">
        <f t="shared" si="31"/>
        <v/>
      </c>
      <c r="AA253" s="38" t="str">
        <f>IF(AND(A253="Модуль",C253&lt;&gt;"",OR($S$6="(все)",B253=$S$6)),MAX($AA$3:AA252)+1,"")</f>
        <v/>
      </c>
      <c r="AB253" s="38" t="str">
        <f t="shared" si="32"/>
        <v/>
      </c>
      <c r="AC253" s="38" t="str">
        <f>IF(OR(B253="",COUNTIF($B$4:B253,B253)&gt;1),"",MAX($AC$3:AC252)+1)</f>
        <v/>
      </c>
      <c r="AD253" s="38" t="str">
        <f t="shared" si="33"/>
        <v/>
      </c>
      <c r="AE253" s="38" t="str">
        <f t="shared" si="34"/>
        <v/>
      </c>
      <c r="AF253" s="38" t="str">
        <f t="shared" si="35"/>
        <v/>
      </c>
    </row>
    <row r="254" spans="1:32" x14ac:dyDescent="0.3">
      <c r="A254" s="74"/>
      <c r="B254" s="74"/>
      <c r="C254" s="74"/>
      <c r="D254" s="74"/>
      <c r="E254" s="74"/>
      <c r="F254" s="74"/>
      <c r="G254" s="74"/>
      <c r="H254" s="74"/>
      <c r="I254" s="74"/>
      <c r="J254" s="74"/>
      <c r="K254" s="74"/>
      <c r="L254" s="74"/>
      <c r="M254" s="74"/>
      <c r="N254" s="38" t="str">
        <f>IF(OR(A254="Автомат",A254="Дифавтомат"),IF(W254="","",COUNTIFS(Однолинейка!$H$3:$H$3000,U254,Однолинейка!$A$3:$A$3000,Щит_спец)),IF(A254="Аппарат",IF(C254="","",COUNTIFS(Однолинейка!$I$3:$I$3000,C254,Однолинейка!$A$3:$A$3000,Щит_спец)+COUNTIFS(Однолинейка!$J$3:$J$3000,C254,Однолинейка!$A$3:$A$3000,Щит_спец)+COUNTIFS(Однолинейка!$K$3:$K$3000,C254,Однолинейка!$A$3:$A$3000,Щит_спец)),IF(A254="Модуль",IF(C254="","",COUNTIFS(Однолинейка!$AW$3:$AW$3000,"?*",Однолинейка!$AI$3:$AI$3000,C254,Однолинейка!$A$3:$A$3000,Щит_спец)),IF(A254="Клемма",IF(C254="","",IF(C254=$S$7,SUMIFS(Однолинейка!$BW$3:$BW$3000,Однолинейка!$A$3:$A$3000,Щит_спец),IF(C254=$S$8,SUMIFS(Однолинейка!$BX$3:$BX$3000,Однолинейка!$A$3:$A$3000,Щит_спец),""))),""))))</f>
        <v/>
      </c>
      <c r="O254" s="74"/>
      <c r="P254" s="38" t="str">
        <f t="shared" si="27"/>
        <v/>
      </c>
      <c r="U254" s="38" t="str">
        <f t="shared" si="28"/>
        <v/>
      </c>
      <c r="V254" s="38" t="str">
        <f t="shared" si="29"/>
        <v/>
      </c>
      <c r="W254" s="38" t="str">
        <f>IF(AND(U254&lt;&gt;"",OR($S$4="(все)",B254=$S$4),IF($S$4="(все)",COUNTIF($U$4:U254,U254),COUNTIFS($U$4:U254,U254,$B$4:B254,B254))=1),MAX($W$3:W253)+1,"")</f>
        <v/>
      </c>
      <c r="X254" s="38" t="str">
        <f t="shared" si="30"/>
        <v/>
      </c>
      <c r="Y254" s="38" t="str">
        <f>IF(AND(A254="Аппарат",C254&lt;&gt;"",OR($S$5="(все)",B254=$S$5)),MAX($Y$3:Y253)+1,"")</f>
        <v/>
      </c>
      <c r="Z254" s="38" t="str">
        <f t="shared" si="31"/>
        <v/>
      </c>
      <c r="AA254" s="38" t="str">
        <f>IF(AND(A254="Модуль",C254&lt;&gt;"",OR($S$6="(все)",B254=$S$6)),MAX($AA$3:AA253)+1,"")</f>
        <v/>
      </c>
      <c r="AB254" s="38" t="str">
        <f t="shared" si="32"/>
        <v/>
      </c>
      <c r="AC254" s="38" t="str">
        <f>IF(OR(B254="",COUNTIF($B$4:B254,B254)&gt;1),"",MAX($AC$3:AC253)+1)</f>
        <v/>
      </c>
      <c r="AD254" s="38" t="str">
        <f t="shared" si="33"/>
        <v/>
      </c>
      <c r="AE254" s="38" t="str">
        <f t="shared" si="34"/>
        <v/>
      </c>
      <c r="AF254" s="38" t="str">
        <f t="shared" si="35"/>
        <v/>
      </c>
    </row>
    <row r="255" spans="1:32" x14ac:dyDescent="0.3">
      <c r="A255" s="74"/>
      <c r="B255" s="74"/>
      <c r="C255" s="74"/>
      <c r="D255" s="74"/>
      <c r="E255" s="74"/>
      <c r="F255" s="74"/>
      <c r="G255" s="74"/>
      <c r="H255" s="74"/>
      <c r="I255" s="74"/>
      <c r="J255" s="74"/>
      <c r="K255" s="74"/>
      <c r="L255" s="74"/>
      <c r="M255" s="74"/>
      <c r="N255" s="38" t="str">
        <f>IF(OR(A255="Автомат",A255="Дифавтомат"),IF(W255="","",COUNTIFS(Однолинейка!$H$3:$H$3000,U255,Однолинейка!$A$3:$A$3000,Щит_спец)),IF(A255="Аппарат",IF(C255="","",COUNTIFS(Однолинейка!$I$3:$I$3000,C255,Однолинейка!$A$3:$A$3000,Щит_спец)+COUNTIFS(Однолинейка!$J$3:$J$3000,C255,Однолинейка!$A$3:$A$3000,Щит_спец)+COUNTIFS(Однолинейка!$K$3:$K$3000,C255,Однолинейка!$A$3:$A$3000,Щит_спец)),IF(A255="Модуль",IF(C255="","",COUNTIFS(Однолинейка!$AW$3:$AW$3000,"?*",Однолинейка!$AI$3:$AI$3000,C255,Однолинейка!$A$3:$A$3000,Щит_спец)),IF(A255="Клемма",IF(C255="","",IF(C255=$S$7,SUMIFS(Однолинейка!$BW$3:$BW$3000,Однолинейка!$A$3:$A$3000,Щит_спец),IF(C255=$S$8,SUMIFS(Однолинейка!$BX$3:$BX$3000,Однолинейка!$A$3:$A$3000,Щит_спец),""))),""))))</f>
        <v/>
      </c>
      <c r="O255" s="74"/>
      <c r="P255" s="38" t="str">
        <f t="shared" si="27"/>
        <v/>
      </c>
      <c r="U255" s="38" t="str">
        <f t="shared" si="28"/>
        <v/>
      </c>
      <c r="V255" s="38" t="str">
        <f t="shared" si="29"/>
        <v/>
      </c>
      <c r="W255" s="38" t="str">
        <f>IF(AND(U255&lt;&gt;"",OR($S$4="(все)",B255=$S$4),IF($S$4="(все)",COUNTIF($U$4:U255,U255),COUNTIFS($U$4:U255,U255,$B$4:B255,B255))=1),MAX($W$3:W254)+1,"")</f>
        <v/>
      </c>
      <c r="X255" s="38" t="str">
        <f t="shared" si="30"/>
        <v/>
      </c>
      <c r="Y255" s="38" t="str">
        <f>IF(AND(A255="Аппарат",C255&lt;&gt;"",OR($S$5="(все)",B255=$S$5)),MAX($Y$3:Y254)+1,"")</f>
        <v/>
      </c>
      <c r="Z255" s="38" t="str">
        <f t="shared" si="31"/>
        <v/>
      </c>
      <c r="AA255" s="38" t="str">
        <f>IF(AND(A255="Модуль",C255&lt;&gt;"",OR($S$6="(все)",B255=$S$6)),MAX($AA$3:AA254)+1,"")</f>
        <v/>
      </c>
      <c r="AB255" s="38" t="str">
        <f t="shared" si="32"/>
        <v/>
      </c>
      <c r="AC255" s="38" t="str">
        <f>IF(OR(B255="",COUNTIF($B$4:B255,B255)&gt;1),"",MAX($AC$3:AC254)+1)</f>
        <v/>
      </c>
      <c r="AD255" s="38" t="str">
        <f t="shared" si="33"/>
        <v/>
      </c>
      <c r="AE255" s="38" t="str">
        <f t="shared" si="34"/>
        <v/>
      </c>
      <c r="AF255" s="38" t="str">
        <f t="shared" si="35"/>
        <v/>
      </c>
    </row>
    <row r="256" spans="1:32" x14ac:dyDescent="0.3">
      <c r="A256" s="74"/>
      <c r="B256" s="74"/>
      <c r="C256" s="74"/>
      <c r="D256" s="74"/>
      <c r="E256" s="74"/>
      <c r="F256" s="74"/>
      <c r="G256" s="74"/>
      <c r="H256" s="74"/>
      <c r="I256" s="74"/>
      <c r="J256" s="74"/>
      <c r="K256" s="74"/>
      <c r="L256" s="74"/>
      <c r="M256" s="74"/>
      <c r="N256" s="38" t="str">
        <f>IF(OR(A256="Автомат",A256="Дифавтомат"),IF(W256="","",COUNTIFS(Однолинейка!$H$3:$H$3000,U256,Однолинейка!$A$3:$A$3000,Щит_спец)),IF(A256="Аппарат",IF(C256="","",COUNTIFS(Однолинейка!$I$3:$I$3000,C256,Однолинейка!$A$3:$A$3000,Щит_спец)+COUNTIFS(Однолинейка!$J$3:$J$3000,C256,Однолинейка!$A$3:$A$3000,Щит_спец)+COUNTIFS(Однолинейка!$K$3:$K$3000,C256,Однолинейка!$A$3:$A$3000,Щит_спец)),IF(A256="Модуль",IF(C256="","",COUNTIFS(Однолинейка!$AW$3:$AW$3000,"?*",Однолинейка!$AI$3:$AI$3000,C256,Однолинейка!$A$3:$A$3000,Щит_спец)),IF(A256="Клемма",IF(C256="","",IF(C256=$S$7,SUMIFS(Однолинейка!$BW$3:$BW$3000,Однолинейка!$A$3:$A$3000,Щит_спец),IF(C256=$S$8,SUMIFS(Однолинейка!$BX$3:$BX$3000,Однолинейка!$A$3:$A$3000,Щит_спец),""))),""))))</f>
        <v/>
      </c>
      <c r="O256" s="74"/>
      <c r="P256" s="38" t="str">
        <f t="shared" si="27"/>
        <v/>
      </c>
      <c r="U256" s="38" t="str">
        <f t="shared" si="28"/>
        <v/>
      </c>
      <c r="V256" s="38" t="str">
        <f t="shared" si="29"/>
        <v/>
      </c>
      <c r="W256" s="38" t="str">
        <f>IF(AND(U256&lt;&gt;"",OR($S$4="(все)",B256=$S$4),IF($S$4="(все)",COUNTIF($U$4:U256,U256),COUNTIFS($U$4:U256,U256,$B$4:B256,B256))=1),MAX($W$3:W255)+1,"")</f>
        <v/>
      </c>
      <c r="X256" s="38" t="str">
        <f t="shared" si="30"/>
        <v/>
      </c>
      <c r="Y256" s="38" t="str">
        <f>IF(AND(A256="Аппарат",C256&lt;&gt;"",OR($S$5="(все)",B256=$S$5)),MAX($Y$3:Y255)+1,"")</f>
        <v/>
      </c>
      <c r="Z256" s="38" t="str">
        <f t="shared" si="31"/>
        <v/>
      </c>
      <c r="AA256" s="38" t="str">
        <f>IF(AND(A256="Модуль",C256&lt;&gt;"",OR($S$6="(все)",B256=$S$6)),MAX($AA$3:AA255)+1,"")</f>
        <v/>
      </c>
      <c r="AB256" s="38" t="str">
        <f t="shared" si="32"/>
        <v/>
      </c>
      <c r="AC256" s="38" t="str">
        <f>IF(OR(B256="",COUNTIF($B$4:B256,B256)&gt;1),"",MAX($AC$3:AC255)+1)</f>
        <v/>
      </c>
      <c r="AD256" s="38" t="str">
        <f t="shared" si="33"/>
        <v/>
      </c>
      <c r="AE256" s="38" t="str">
        <f t="shared" si="34"/>
        <v/>
      </c>
      <c r="AF256" s="38" t="str">
        <f t="shared" si="35"/>
        <v/>
      </c>
    </row>
    <row r="257" spans="1:32" x14ac:dyDescent="0.3">
      <c r="A257" s="74"/>
      <c r="B257" s="74"/>
      <c r="C257" s="74"/>
      <c r="D257" s="74"/>
      <c r="E257" s="74"/>
      <c r="F257" s="74"/>
      <c r="G257" s="74"/>
      <c r="H257" s="74"/>
      <c r="I257" s="74"/>
      <c r="J257" s="74"/>
      <c r="K257" s="74"/>
      <c r="L257" s="74"/>
      <c r="M257" s="74"/>
      <c r="N257" s="38" t="str">
        <f>IF(OR(A257="Автомат",A257="Дифавтомат"),IF(W257="","",COUNTIFS(Однолинейка!$H$3:$H$3000,U257,Однолинейка!$A$3:$A$3000,Щит_спец)),IF(A257="Аппарат",IF(C257="","",COUNTIFS(Однолинейка!$I$3:$I$3000,C257,Однолинейка!$A$3:$A$3000,Щит_спец)+COUNTIFS(Однолинейка!$J$3:$J$3000,C257,Однолинейка!$A$3:$A$3000,Щит_спец)+COUNTIFS(Однолинейка!$K$3:$K$3000,C257,Однолинейка!$A$3:$A$3000,Щит_спец)),IF(A257="Модуль",IF(C257="","",COUNTIFS(Однолинейка!$AW$3:$AW$3000,"?*",Однолинейка!$AI$3:$AI$3000,C257,Однолинейка!$A$3:$A$3000,Щит_спец)),IF(A257="Клемма",IF(C257="","",IF(C257=$S$7,SUMIFS(Однолинейка!$BW$3:$BW$3000,Однолинейка!$A$3:$A$3000,Щит_спец),IF(C257=$S$8,SUMIFS(Однолинейка!$BX$3:$BX$3000,Однолинейка!$A$3:$A$3000,Щит_спец),""))),""))))</f>
        <v/>
      </c>
      <c r="O257" s="74"/>
      <c r="P257" s="38" t="str">
        <f t="shared" si="27"/>
        <v/>
      </c>
      <c r="U257" s="38" t="str">
        <f t="shared" si="28"/>
        <v/>
      </c>
      <c r="V257" s="38" t="str">
        <f t="shared" si="29"/>
        <v/>
      </c>
      <c r="W257" s="38" t="str">
        <f>IF(AND(U257&lt;&gt;"",OR($S$4="(все)",B257=$S$4),IF($S$4="(все)",COUNTIF($U$4:U257,U257),COUNTIFS($U$4:U257,U257,$B$4:B257,B257))=1),MAX($W$3:W256)+1,"")</f>
        <v/>
      </c>
      <c r="X257" s="38" t="str">
        <f t="shared" si="30"/>
        <v/>
      </c>
      <c r="Y257" s="38" t="str">
        <f>IF(AND(A257="Аппарат",C257&lt;&gt;"",OR($S$5="(все)",B257=$S$5)),MAX($Y$3:Y256)+1,"")</f>
        <v/>
      </c>
      <c r="Z257" s="38" t="str">
        <f t="shared" si="31"/>
        <v/>
      </c>
      <c r="AA257" s="38" t="str">
        <f>IF(AND(A257="Модуль",C257&lt;&gt;"",OR($S$6="(все)",B257=$S$6)),MAX($AA$3:AA256)+1,"")</f>
        <v/>
      </c>
      <c r="AB257" s="38" t="str">
        <f t="shared" si="32"/>
        <v/>
      </c>
      <c r="AC257" s="38" t="str">
        <f>IF(OR(B257="",COUNTIF($B$4:B257,B257)&gt;1),"",MAX($AC$3:AC256)+1)</f>
        <v/>
      </c>
      <c r="AD257" s="38" t="str">
        <f t="shared" si="33"/>
        <v/>
      </c>
      <c r="AE257" s="38" t="str">
        <f t="shared" si="34"/>
        <v/>
      </c>
      <c r="AF257" s="38" t="str">
        <f t="shared" si="35"/>
        <v/>
      </c>
    </row>
    <row r="258" spans="1:32" x14ac:dyDescent="0.3">
      <c r="A258" s="74"/>
      <c r="B258" s="74"/>
      <c r="C258" s="74"/>
      <c r="D258" s="74"/>
      <c r="E258" s="74"/>
      <c r="F258" s="74"/>
      <c r="G258" s="74"/>
      <c r="H258" s="74"/>
      <c r="I258" s="74"/>
      <c r="J258" s="74"/>
      <c r="K258" s="74"/>
      <c r="L258" s="74"/>
      <c r="M258" s="74"/>
      <c r="N258" s="38" t="str">
        <f>IF(OR(A258="Автомат",A258="Дифавтомат"),IF(W258="","",COUNTIFS(Однолинейка!$H$3:$H$3000,U258,Однолинейка!$A$3:$A$3000,Щит_спец)),IF(A258="Аппарат",IF(C258="","",COUNTIFS(Однолинейка!$I$3:$I$3000,C258,Однолинейка!$A$3:$A$3000,Щит_спец)+COUNTIFS(Однолинейка!$J$3:$J$3000,C258,Однолинейка!$A$3:$A$3000,Щит_спец)+COUNTIFS(Однолинейка!$K$3:$K$3000,C258,Однолинейка!$A$3:$A$3000,Щит_спец)),IF(A258="Модуль",IF(C258="","",COUNTIFS(Однолинейка!$AW$3:$AW$3000,"?*",Однолинейка!$AI$3:$AI$3000,C258,Однолинейка!$A$3:$A$3000,Щит_спец)),IF(A258="Клемма",IF(C258="","",IF(C258=$S$7,SUMIFS(Однолинейка!$BW$3:$BW$3000,Однолинейка!$A$3:$A$3000,Щит_спец),IF(C258=$S$8,SUMIFS(Однолинейка!$BX$3:$BX$3000,Однолинейка!$A$3:$A$3000,Щит_спец),""))),""))))</f>
        <v/>
      </c>
      <c r="O258" s="74"/>
      <c r="P258" s="38" t="str">
        <f t="shared" si="27"/>
        <v/>
      </c>
      <c r="U258" s="38" t="str">
        <f t="shared" si="28"/>
        <v/>
      </c>
      <c r="V258" s="38" t="str">
        <f t="shared" si="29"/>
        <v/>
      </c>
      <c r="W258" s="38" t="str">
        <f>IF(AND(U258&lt;&gt;"",OR($S$4="(все)",B258=$S$4),IF($S$4="(все)",COUNTIF($U$4:U258,U258),COUNTIFS($U$4:U258,U258,$B$4:B258,B258))=1),MAX($W$3:W257)+1,"")</f>
        <v/>
      </c>
      <c r="X258" s="38" t="str">
        <f t="shared" si="30"/>
        <v/>
      </c>
      <c r="Y258" s="38" t="str">
        <f>IF(AND(A258="Аппарат",C258&lt;&gt;"",OR($S$5="(все)",B258=$S$5)),MAX($Y$3:Y257)+1,"")</f>
        <v/>
      </c>
      <c r="Z258" s="38" t="str">
        <f t="shared" si="31"/>
        <v/>
      </c>
      <c r="AA258" s="38" t="str">
        <f>IF(AND(A258="Модуль",C258&lt;&gt;"",OR($S$6="(все)",B258=$S$6)),MAX($AA$3:AA257)+1,"")</f>
        <v/>
      </c>
      <c r="AB258" s="38" t="str">
        <f t="shared" si="32"/>
        <v/>
      </c>
      <c r="AC258" s="38" t="str">
        <f>IF(OR(B258="",COUNTIF($B$4:B258,B258)&gt;1),"",MAX($AC$3:AC257)+1)</f>
        <v/>
      </c>
      <c r="AD258" s="38" t="str">
        <f t="shared" si="33"/>
        <v/>
      </c>
      <c r="AE258" s="38" t="str">
        <f t="shared" si="34"/>
        <v/>
      </c>
      <c r="AF258" s="38" t="str">
        <f t="shared" si="35"/>
        <v/>
      </c>
    </row>
    <row r="259" spans="1:32" x14ac:dyDescent="0.3">
      <c r="A259" s="74"/>
      <c r="B259" s="74"/>
      <c r="C259" s="74"/>
      <c r="D259" s="74"/>
      <c r="E259" s="74"/>
      <c r="F259" s="74"/>
      <c r="G259" s="74"/>
      <c r="H259" s="74"/>
      <c r="I259" s="74"/>
      <c r="J259" s="74"/>
      <c r="K259" s="74"/>
      <c r="L259" s="74"/>
      <c r="M259" s="74"/>
      <c r="N259" s="38" t="str">
        <f>IF(OR(A259="Автомат",A259="Дифавтомат"),IF(W259="","",COUNTIFS(Однолинейка!$H$3:$H$3000,U259,Однолинейка!$A$3:$A$3000,Щит_спец)),IF(A259="Аппарат",IF(C259="","",COUNTIFS(Однолинейка!$I$3:$I$3000,C259,Однолинейка!$A$3:$A$3000,Щит_спец)+COUNTIFS(Однолинейка!$J$3:$J$3000,C259,Однолинейка!$A$3:$A$3000,Щит_спец)+COUNTIFS(Однолинейка!$K$3:$K$3000,C259,Однолинейка!$A$3:$A$3000,Щит_спец)),IF(A259="Модуль",IF(C259="","",COUNTIFS(Однолинейка!$AW$3:$AW$3000,"?*",Однолинейка!$AI$3:$AI$3000,C259,Однолинейка!$A$3:$A$3000,Щит_спец)),IF(A259="Клемма",IF(C259="","",IF(C259=$S$7,SUMIFS(Однолинейка!$BW$3:$BW$3000,Однолинейка!$A$3:$A$3000,Щит_спец),IF(C259=$S$8,SUMIFS(Однолинейка!$BX$3:$BX$3000,Однолинейка!$A$3:$A$3000,Щит_спец),""))),""))))</f>
        <v/>
      </c>
      <c r="O259" s="74"/>
      <c r="P259" s="38" t="str">
        <f t="shared" si="27"/>
        <v/>
      </c>
      <c r="U259" s="38" t="str">
        <f t="shared" si="28"/>
        <v/>
      </c>
      <c r="V259" s="38" t="str">
        <f t="shared" si="29"/>
        <v/>
      </c>
      <c r="W259" s="38" t="str">
        <f>IF(AND(U259&lt;&gt;"",OR($S$4="(все)",B259=$S$4),IF($S$4="(все)",COUNTIF($U$4:U259,U259),COUNTIFS($U$4:U259,U259,$B$4:B259,B259))=1),MAX($W$3:W258)+1,"")</f>
        <v/>
      </c>
      <c r="X259" s="38" t="str">
        <f t="shared" si="30"/>
        <v/>
      </c>
      <c r="Y259" s="38" t="str">
        <f>IF(AND(A259="Аппарат",C259&lt;&gt;"",OR($S$5="(все)",B259=$S$5)),MAX($Y$3:Y258)+1,"")</f>
        <v/>
      </c>
      <c r="Z259" s="38" t="str">
        <f t="shared" si="31"/>
        <v/>
      </c>
      <c r="AA259" s="38" t="str">
        <f>IF(AND(A259="Модуль",C259&lt;&gt;"",OR($S$6="(все)",B259=$S$6)),MAX($AA$3:AA258)+1,"")</f>
        <v/>
      </c>
      <c r="AB259" s="38" t="str">
        <f t="shared" si="32"/>
        <v/>
      </c>
      <c r="AC259" s="38" t="str">
        <f>IF(OR(B259="",COUNTIF($B$4:B259,B259)&gt;1),"",MAX($AC$3:AC258)+1)</f>
        <v/>
      </c>
      <c r="AD259" s="38" t="str">
        <f t="shared" si="33"/>
        <v/>
      </c>
      <c r="AE259" s="38" t="str">
        <f t="shared" si="34"/>
        <v/>
      </c>
      <c r="AF259" s="38" t="str">
        <f t="shared" si="35"/>
        <v/>
      </c>
    </row>
    <row r="260" spans="1:32" x14ac:dyDescent="0.3">
      <c r="A260" s="74"/>
      <c r="B260" s="74"/>
      <c r="C260" s="74"/>
      <c r="D260" s="74"/>
      <c r="E260" s="74"/>
      <c r="F260" s="74"/>
      <c r="G260" s="74"/>
      <c r="H260" s="74"/>
      <c r="I260" s="74"/>
      <c r="J260" s="74"/>
      <c r="K260" s="74"/>
      <c r="L260" s="74"/>
      <c r="M260" s="74"/>
      <c r="N260" s="38" t="str">
        <f>IF(OR(A260="Автомат",A260="Дифавтомат"),IF(W260="","",COUNTIFS(Однолинейка!$H$3:$H$3000,U260,Однолинейка!$A$3:$A$3000,Щит_спец)),IF(A260="Аппарат",IF(C260="","",COUNTIFS(Однолинейка!$I$3:$I$3000,C260,Однолинейка!$A$3:$A$3000,Щит_спец)+COUNTIFS(Однолинейка!$J$3:$J$3000,C260,Однолинейка!$A$3:$A$3000,Щит_спец)+COUNTIFS(Однолинейка!$K$3:$K$3000,C260,Однолинейка!$A$3:$A$3000,Щит_спец)),IF(A260="Модуль",IF(C260="","",COUNTIFS(Однолинейка!$AW$3:$AW$3000,"?*",Однолинейка!$AI$3:$AI$3000,C260,Однолинейка!$A$3:$A$3000,Щит_спец)),IF(A260="Клемма",IF(C260="","",IF(C260=$S$7,SUMIFS(Однолинейка!$BW$3:$BW$3000,Однолинейка!$A$3:$A$3000,Щит_спец),IF(C260=$S$8,SUMIFS(Однолинейка!$BX$3:$BX$3000,Однолинейка!$A$3:$A$3000,Щит_спец),""))),""))))</f>
        <v/>
      </c>
      <c r="O260" s="74"/>
      <c r="P260" s="38" t="str">
        <f t="shared" ref="P260:P323" si="36">IF(COUNT(N260,O260)=0,"",SUM(N260,O260))</f>
        <v/>
      </c>
      <c r="U260" s="38" t="str">
        <f t="shared" ref="U260:U323" si="37">IF(OR(A260="Автомат",A260="Дифавтомат"),I260&amp;" С"&amp;J260&amp;"А"&amp;IF(K260="да"," 30мА",IF(ISNUMBER(K260)," "&amp;K260&amp;"мА","")),"")</f>
        <v/>
      </c>
      <c r="V260" s="38" t="str">
        <f t="shared" ref="V260:V323" si="38">IF(U260="","",B260&amp;"|"&amp;U260)</f>
        <v/>
      </c>
      <c r="W260" s="38" t="str">
        <f>IF(AND(U260&lt;&gt;"",OR($S$4="(все)",B260=$S$4),IF($S$4="(все)",COUNTIF($U$4:U260,U260),COUNTIFS($U$4:U260,U260,$B$4:B260,B260))=1),MAX($W$3:W259)+1,"")</f>
        <v/>
      </c>
      <c r="X260" s="38" t="str">
        <f t="shared" ref="X260:X323" si="39">IFERROR(INDEX($U$4:$U$500,MATCH(ROW()-3,$W$4:$W$500,0)),"")</f>
        <v/>
      </c>
      <c r="Y260" s="38" t="str">
        <f>IF(AND(A260="Аппарат",C260&lt;&gt;"",OR($S$5="(все)",B260=$S$5)),MAX($Y$3:Y259)+1,"")</f>
        <v/>
      </c>
      <c r="Z260" s="38" t="str">
        <f t="shared" ref="Z260:Z323" si="40">IFERROR(INDEX($C$4:$C$500,MATCH(ROW()-3,$Y$4:$Y$500,0)),"")</f>
        <v/>
      </c>
      <c r="AA260" s="38" t="str">
        <f>IF(AND(A260="Модуль",C260&lt;&gt;"",OR($S$6="(все)",B260=$S$6)),MAX($AA$3:AA259)+1,"")</f>
        <v/>
      </c>
      <c r="AB260" s="38" t="str">
        <f t="shared" ref="AB260:AB323" si="41">IFERROR(INDEX($C$4:$C$500,MATCH(ROW()-3,$AA$4:$AA$500,0)),"")</f>
        <v/>
      </c>
      <c r="AC260" s="38" t="str">
        <f>IF(OR(B260="",COUNTIF($B$4:B260,B260)&gt;1),"",MAX($AC$3:AC259)+1)</f>
        <v/>
      </c>
      <c r="AD260" s="38" t="str">
        <f t="shared" ref="AD260:AD323" si="42">IFERROR(INDEX($B$4:$B$500,MATCH(ROW()-3,$AC$4:$AC$500,0)),"")</f>
        <v/>
      </c>
      <c r="AE260" s="38" t="str">
        <f t="shared" ref="AE260:AE323" si="43">IF(AND(A260&lt;&gt;"",N(P260)&gt;0),IFERROR(MATCH(A260,$R$12:$R$25,0),99)*1000+ROW(),"")</f>
        <v/>
      </c>
      <c r="AF260" s="38" t="str">
        <f t="shared" ref="AF260:AF323" si="44">IF(AE260="","",COUNTIF($AE$4:$AE$500,"&lt;="&amp;AE260))</f>
        <v/>
      </c>
    </row>
    <row r="261" spans="1:32" x14ac:dyDescent="0.3">
      <c r="A261" s="74"/>
      <c r="B261" s="74"/>
      <c r="C261" s="74"/>
      <c r="D261" s="74"/>
      <c r="E261" s="74"/>
      <c r="F261" s="74"/>
      <c r="G261" s="74"/>
      <c r="H261" s="74"/>
      <c r="I261" s="74"/>
      <c r="J261" s="74"/>
      <c r="K261" s="74"/>
      <c r="L261" s="74"/>
      <c r="M261" s="74"/>
      <c r="N261" s="38" t="str">
        <f>IF(OR(A261="Автомат",A261="Дифавтомат"),IF(W261="","",COUNTIFS(Однолинейка!$H$3:$H$3000,U261,Однолинейка!$A$3:$A$3000,Щит_спец)),IF(A261="Аппарат",IF(C261="","",COUNTIFS(Однолинейка!$I$3:$I$3000,C261,Однолинейка!$A$3:$A$3000,Щит_спец)+COUNTIFS(Однолинейка!$J$3:$J$3000,C261,Однолинейка!$A$3:$A$3000,Щит_спец)+COUNTIFS(Однолинейка!$K$3:$K$3000,C261,Однолинейка!$A$3:$A$3000,Щит_спец)),IF(A261="Модуль",IF(C261="","",COUNTIFS(Однолинейка!$AW$3:$AW$3000,"?*",Однолинейка!$AI$3:$AI$3000,C261,Однолинейка!$A$3:$A$3000,Щит_спец)),IF(A261="Клемма",IF(C261="","",IF(C261=$S$7,SUMIFS(Однолинейка!$BW$3:$BW$3000,Однолинейка!$A$3:$A$3000,Щит_спец),IF(C261=$S$8,SUMIFS(Однолинейка!$BX$3:$BX$3000,Однолинейка!$A$3:$A$3000,Щит_спец),""))),""))))</f>
        <v/>
      </c>
      <c r="O261" s="74"/>
      <c r="P261" s="38" t="str">
        <f t="shared" si="36"/>
        <v/>
      </c>
      <c r="U261" s="38" t="str">
        <f t="shared" si="37"/>
        <v/>
      </c>
      <c r="V261" s="38" t="str">
        <f t="shared" si="38"/>
        <v/>
      </c>
      <c r="W261" s="38" t="str">
        <f>IF(AND(U261&lt;&gt;"",OR($S$4="(все)",B261=$S$4),IF($S$4="(все)",COUNTIF($U$4:U261,U261),COUNTIFS($U$4:U261,U261,$B$4:B261,B261))=1),MAX($W$3:W260)+1,"")</f>
        <v/>
      </c>
      <c r="X261" s="38" t="str">
        <f t="shared" si="39"/>
        <v/>
      </c>
      <c r="Y261" s="38" t="str">
        <f>IF(AND(A261="Аппарат",C261&lt;&gt;"",OR($S$5="(все)",B261=$S$5)),MAX($Y$3:Y260)+1,"")</f>
        <v/>
      </c>
      <c r="Z261" s="38" t="str">
        <f t="shared" si="40"/>
        <v/>
      </c>
      <c r="AA261" s="38" t="str">
        <f>IF(AND(A261="Модуль",C261&lt;&gt;"",OR($S$6="(все)",B261=$S$6)),MAX($AA$3:AA260)+1,"")</f>
        <v/>
      </c>
      <c r="AB261" s="38" t="str">
        <f t="shared" si="41"/>
        <v/>
      </c>
      <c r="AC261" s="38" t="str">
        <f>IF(OR(B261="",COUNTIF($B$4:B261,B261)&gt;1),"",MAX($AC$3:AC260)+1)</f>
        <v/>
      </c>
      <c r="AD261" s="38" t="str">
        <f t="shared" si="42"/>
        <v/>
      </c>
      <c r="AE261" s="38" t="str">
        <f t="shared" si="43"/>
        <v/>
      </c>
      <c r="AF261" s="38" t="str">
        <f t="shared" si="44"/>
        <v/>
      </c>
    </row>
    <row r="262" spans="1:32" x14ac:dyDescent="0.3">
      <c r="A262" s="74"/>
      <c r="B262" s="74"/>
      <c r="C262" s="74"/>
      <c r="D262" s="74"/>
      <c r="E262" s="74"/>
      <c r="F262" s="74"/>
      <c r="G262" s="74"/>
      <c r="H262" s="74"/>
      <c r="I262" s="74"/>
      <c r="J262" s="74"/>
      <c r="K262" s="74"/>
      <c r="L262" s="74"/>
      <c r="M262" s="74"/>
      <c r="N262" s="38" t="str">
        <f>IF(OR(A262="Автомат",A262="Дифавтомат"),IF(W262="","",COUNTIFS(Однолинейка!$H$3:$H$3000,U262,Однолинейка!$A$3:$A$3000,Щит_спец)),IF(A262="Аппарат",IF(C262="","",COUNTIFS(Однолинейка!$I$3:$I$3000,C262,Однолинейка!$A$3:$A$3000,Щит_спец)+COUNTIFS(Однолинейка!$J$3:$J$3000,C262,Однолинейка!$A$3:$A$3000,Щит_спец)+COUNTIFS(Однолинейка!$K$3:$K$3000,C262,Однолинейка!$A$3:$A$3000,Щит_спец)),IF(A262="Модуль",IF(C262="","",COUNTIFS(Однолинейка!$AW$3:$AW$3000,"?*",Однолинейка!$AI$3:$AI$3000,C262,Однолинейка!$A$3:$A$3000,Щит_спец)),IF(A262="Клемма",IF(C262="","",IF(C262=$S$7,SUMIFS(Однолинейка!$BW$3:$BW$3000,Однолинейка!$A$3:$A$3000,Щит_спец),IF(C262=$S$8,SUMIFS(Однолинейка!$BX$3:$BX$3000,Однолинейка!$A$3:$A$3000,Щит_спец),""))),""))))</f>
        <v/>
      </c>
      <c r="O262" s="74"/>
      <c r="P262" s="38" t="str">
        <f t="shared" si="36"/>
        <v/>
      </c>
      <c r="U262" s="38" t="str">
        <f t="shared" si="37"/>
        <v/>
      </c>
      <c r="V262" s="38" t="str">
        <f t="shared" si="38"/>
        <v/>
      </c>
      <c r="W262" s="38" t="str">
        <f>IF(AND(U262&lt;&gt;"",OR($S$4="(все)",B262=$S$4),IF($S$4="(все)",COUNTIF($U$4:U262,U262),COUNTIFS($U$4:U262,U262,$B$4:B262,B262))=1),MAX($W$3:W261)+1,"")</f>
        <v/>
      </c>
      <c r="X262" s="38" t="str">
        <f t="shared" si="39"/>
        <v/>
      </c>
      <c r="Y262" s="38" t="str">
        <f>IF(AND(A262="Аппарат",C262&lt;&gt;"",OR($S$5="(все)",B262=$S$5)),MAX($Y$3:Y261)+1,"")</f>
        <v/>
      </c>
      <c r="Z262" s="38" t="str">
        <f t="shared" si="40"/>
        <v/>
      </c>
      <c r="AA262" s="38" t="str">
        <f>IF(AND(A262="Модуль",C262&lt;&gt;"",OR($S$6="(все)",B262=$S$6)),MAX($AA$3:AA261)+1,"")</f>
        <v/>
      </c>
      <c r="AB262" s="38" t="str">
        <f t="shared" si="41"/>
        <v/>
      </c>
      <c r="AC262" s="38" t="str">
        <f>IF(OR(B262="",COUNTIF($B$4:B262,B262)&gt;1),"",MAX($AC$3:AC261)+1)</f>
        <v/>
      </c>
      <c r="AD262" s="38" t="str">
        <f t="shared" si="42"/>
        <v/>
      </c>
      <c r="AE262" s="38" t="str">
        <f t="shared" si="43"/>
        <v/>
      </c>
      <c r="AF262" s="38" t="str">
        <f t="shared" si="44"/>
        <v/>
      </c>
    </row>
    <row r="263" spans="1:32" x14ac:dyDescent="0.3">
      <c r="A263" s="74"/>
      <c r="B263" s="74"/>
      <c r="C263" s="74"/>
      <c r="D263" s="74"/>
      <c r="E263" s="74"/>
      <c r="F263" s="74"/>
      <c r="G263" s="74"/>
      <c r="H263" s="74"/>
      <c r="I263" s="74"/>
      <c r="J263" s="74"/>
      <c r="K263" s="74"/>
      <c r="L263" s="74"/>
      <c r="M263" s="74"/>
      <c r="N263" s="38" t="str">
        <f>IF(OR(A263="Автомат",A263="Дифавтомат"),IF(W263="","",COUNTIFS(Однолинейка!$H$3:$H$3000,U263,Однолинейка!$A$3:$A$3000,Щит_спец)),IF(A263="Аппарат",IF(C263="","",COUNTIFS(Однолинейка!$I$3:$I$3000,C263,Однолинейка!$A$3:$A$3000,Щит_спец)+COUNTIFS(Однолинейка!$J$3:$J$3000,C263,Однолинейка!$A$3:$A$3000,Щит_спец)+COUNTIFS(Однолинейка!$K$3:$K$3000,C263,Однолинейка!$A$3:$A$3000,Щит_спец)),IF(A263="Модуль",IF(C263="","",COUNTIFS(Однолинейка!$AW$3:$AW$3000,"?*",Однолинейка!$AI$3:$AI$3000,C263,Однолинейка!$A$3:$A$3000,Щит_спец)),IF(A263="Клемма",IF(C263="","",IF(C263=$S$7,SUMIFS(Однолинейка!$BW$3:$BW$3000,Однолинейка!$A$3:$A$3000,Щит_спец),IF(C263=$S$8,SUMIFS(Однолинейка!$BX$3:$BX$3000,Однолинейка!$A$3:$A$3000,Щит_спец),""))),""))))</f>
        <v/>
      </c>
      <c r="O263" s="74"/>
      <c r="P263" s="38" t="str">
        <f t="shared" si="36"/>
        <v/>
      </c>
      <c r="U263" s="38" t="str">
        <f t="shared" si="37"/>
        <v/>
      </c>
      <c r="V263" s="38" t="str">
        <f t="shared" si="38"/>
        <v/>
      </c>
      <c r="W263" s="38" t="str">
        <f>IF(AND(U263&lt;&gt;"",OR($S$4="(все)",B263=$S$4),IF($S$4="(все)",COUNTIF($U$4:U263,U263),COUNTIFS($U$4:U263,U263,$B$4:B263,B263))=1),MAX($W$3:W262)+1,"")</f>
        <v/>
      </c>
      <c r="X263" s="38" t="str">
        <f t="shared" si="39"/>
        <v/>
      </c>
      <c r="Y263" s="38" t="str">
        <f>IF(AND(A263="Аппарат",C263&lt;&gt;"",OR($S$5="(все)",B263=$S$5)),MAX($Y$3:Y262)+1,"")</f>
        <v/>
      </c>
      <c r="Z263" s="38" t="str">
        <f t="shared" si="40"/>
        <v/>
      </c>
      <c r="AA263" s="38" t="str">
        <f>IF(AND(A263="Модуль",C263&lt;&gt;"",OR($S$6="(все)",B263=$S$6)),MAX($AA$3:AA262)+1,"")</f>
        <v/>
      </c>
      <c r="AB263" s="38" t="str">
        <f t="shared" si="41"/>
        <v/>
      </c>
      <c r="AC263" s="38" t="str">
        <f>IF(OR(B263="",COUNTIF($B$4:B263,B263)&gt;1),"",MAX($AC$3:AC262)+1)</f>
        <v/>
      </c>
      <c r="AD263" s="38" t="str">
        <f t="shared" si="42"/>
        <v/>
      </c>
      <c r="AE263" s="38" t="str">
        <f t="shared" si="43"/>
        <v/>
      </c>
      <c r="AF263" s="38" t="str">
        <f t="shared" si="44"/>
        <v/>
      </c>
    </row>
    <row r="264" spans="1:32" x14ac:dyDescent="0.3">
      <c r="A264" s="74"/>
      <c r="B264" s="74"/>
      <c r="C264" s="74"/>
      <c r="D264" s="74"/>
      <c r="E264" s="74"/>
      <c r="F264" s="74"/>
      <c r="G264" s="74"/>
      <c r="H264" s="74"/>
      <c r="I264" s="74"/>
      <c r="J264" s="74"/>
      <c r="K264" s="74"/>
      <c r="L264" s="74"/>
      <c r="M264" s="74"/>
      <c r="N264" s="38" t="str">
        <f>IF(OR(A264="Автомат",A264="Дифавтомат"),IF(W264="","",COUNTIFS(Однолинейка!$H$3:$H$3000,U264,Однолинейка!$A$3:$A$3000,Щит_спец)),IF(A264="Аппарат",IF(C264="","",COUNTIFS(Однолинейка!$I$3:$I$3000,C264,Однолинейка!$A$3:$A$3000,Щит_спец)+COUNTIFS(Однолинейка!$J$3:$J$3000,C264,Однолинейка!$A$3:$A$3000,Щит_спец)+COUNTIFS(Однолинейка!$K$3:$K$3000,C264,Однолинейка!$A$3:$A$3000,Щит_спец)),IF(A264="Модуль",IF(C264="","",COUNTIFS(Однолинейка!$AW$3:$AW$3000,"?*",Однолинейка!$AI$3:$AI$3000,C264,Однолинейка!$A$3:$A$3000,Щит_спец)),IF(A264="Клемма",IF(C264="","",IF(C264=$S$7,SUMIFS(Однолинейка!$BW$3:$BW$3000,Однолинейка!$A$3:$A$3000,Щит_спец),IF(C264=$S$8,SUMIFS(Однолинейка!$BX$3:$BX$3000,Однолинейка!$A$3:$A$3000,Щит_спец),""))),""))))</f>
        <v/>
      </c>
      <c r="O264" s="74"/>
      <c r="P264" s="38" t="str">
        <f t="shared" si="36"/>
        <v/>
      </c>
      <c r="U264" s="38" t="str">
        <f t="shared" si="37"/>
        <v/>
      </c>
      <c r="V264" s="38" t="str">
        <f t="shared" si="38"/>
        <v/>
      </c>
      <c r="W264" s="38" t="str">
        <f>IF(AND(U264&lt;&gt;"",OR($S$4="(все)",B264=$S$4),IF($S$4="(все)",COUNTIF($U$4:U264,U264),COUNTIFS($U$4:U264,U264,$B$4:B264,B264))=1),MAX($W$3:W263)+1,"")</f>
        <v/>
      </c>
      <c r="X264" s="38" t="str">
        <f t="shared" si="39"/>
        <v/>
      </c>
      <c r="Y264" s="38" t="str">
        <f>IF(AND(A264="Аппарат",C264&lt;&gt;"",OR($S$5="(все)",B264=$S$5)),MAX($Y$3:Y263)+1,"")</f>
        <v/>
      </c>
      <c r="Z264" s="38" t="str">
        <f t="shared" si="40"/>
        <v/>
      </c>
      <c r="AA264" s="38" t="str">
        <f>IF(AND(A264="Модуль",C264&lt;&gt;"",OR($S$6="(все)",B264=$S$6)),MAX($AA$3:AA263)+1,"")</f>
        <v/>
      </c>
      <c r="AB264" s="38" t="str">
        <f t="shared" si="41"/>
        <v/>
      </c>
      <c r="AC264" s="38" t="str">
        <f>IF(OR(B264="",COUNTIF($B$4:B264,B264)&gt;1),"",MAX($AC$3:AC263)+1)</f>
        <v/>
      </c>
      <c r="AD264" s="38" t="str">
        <f t="shared" si="42"/>
        <v/>
      </c>
      <c r="AE264" s="38" t="str">
        <f t="shared" si="43"/>
        <v/>
      </c>
      <c r="AF264" s="38" t="str">
        <f t="shared" si="44"/>
        <v/>
      </c>
    </row>
    <row r="265" spans="1:32" x14ac:dyDescent="0.3">
      <c r="A265" s="74"/>
      <c r="B265" s="74"/>
      <c r="C265" s="74"/>
      <c r="D265" s="74"/>
      <c r="E265" s="74"/>
      <c r="F265" s="74"/>
      <c r="G265" s="74"/>
      <c r="H265" s="74"/>
      <c r="I265" s="74"/>
      <c r="J265" s="74"/>
      <c r="K265" s="74"/>
      <c r="L265" s="74"/>
      <c r="M265" s="74"/>
      <c r="N265" s="38" t="str">
        <f>IF(OR(A265="Автомат",A265="Дифавтомат"),IF(W265="","",COUNTIFS(Однолинейка!$H$3:$H$3000,U265,Однолинейка!$A$3:$A$3000,Щит_спец)),IF(A265="Аппарат",IF(C265="","",COUNTIFS(Однолинейка!$I$3:$I$3000,C265,Однолинейка!$A$3:$A$3000,Щит_спец)+COUNTIFS(Однолинейка!$J$3:$J$3000,C265,Однолинейка!$A$3:$A$3000,Щит_спец)+COUNTIFS(Однолинейка!$K$3:$K$3000,C265,Однолинейка!$A$3:$A$3000,Щит_спец)),IF(A265="Модуль",IF(C265="","",COUNTIFS(Однолинейка!$AW$3:$AW$3000,"?*",Однолинейка!$AI$3:$AI$3000,C265,Однолинейка!$A$3:$A$3000,Щит_спец)),IF(A265="Клемма",IF(C265="","",IF(C265=$S$7,SUMIFS(Однолинейка!$BW$3:$BW$3000,Однолинейка!$A$3:$A$3000,Щит_спец),IF(C265=$S$8,SUMIFS(Однолинейка!$BX$3:$BX$3000,Однолинейка!$A$3:$A$3000,Щит_спец),""))),""))))</f>
        <v/>
      </c>
      <c r="O265" s="74"/>
      <c r="P265" s="38" t="str">
        <f t="shared" si="36"/>
        <v/>
      </c>
      <c r="U265" s="38" t="str">
        <f t="shared" si="37"/>
        <v/>
      </c>
      <c r="V265" s="38" t="str">
        <f t="shared" si="38"/>
        <v/>
      </c>
      <c r="W265" s="38" t="str">
        <f>IF(AND(U265&lt;&gt;"",OR($S$4="(все)",B265=$S$4),IF($S$4="(все)",COUNTIF($U$4:U265,U265),COUNTIFS($U$4:U265,U265,$B$4:B265,B265))=1),MAX($W$3:W264)+1,"")</f>
        <v/>
      </c>
      <c r="X265" s="38" t="str">
        <f t="shared" si="39"/>
        <v/>
      </c>
      <c r="Y265" s="38" t="str">
        <f>IF(AND(A265="Аппарат",C265&lt;&gt;"",OR($S$5="(все)",B265=$S$5)),MAX($Y$3:Y264)+1,"")</f>
        <v/>
      </c>
      <c r="Z265" s="38" t="str">
        <f t="shared" si="40"/>
        <v/>
      </c>
      <c r="AA265" s="38" t="str">
        <f>IF(AND(A265="Модуль",C265&lt;&gt;"",OR($S$6="(все)",B265=$S$6)),MAX($AA$3:AA264)+1,"")</f>
        <v/>
      </c>
      <c r="AB265" s="38" t="str">
        <f t="shared" si="41"/>
        <v/>
      </c>
      <c r="AC265" s="38" t="str">
        <f>IF(OR(B265="",COUNTIF($B$4:B265,B265)&gt;1),"",MAX($AC$3:AC264)+1)</f>
        <v/>
      </c>
      <c r="AD265" s="38" t="str">
        <f t="shared" si="42"/>
        <v/>
      </c>
      <c r="AE265" s="38" t="str">
        <f t="shared" si="43"/>
        <v/>
      </c>
      <c r="AF265" s="38" t="str">
        <f t="shared" si="44"/>
        <v/>
      </c>
    </row>
    <row r="266" spans="1:32" x14ac:dyDescent="0.3">
      <c r="A266" s="74"/>
      <c r="B266" s="74"/>
      <c r="C266" s="74"/>
      <c r="D266" s="74"/>
      <c r="E266" s="74"/>
      <c r="F266" s="74"/>
      <c r="G266" s="74"/>
      <c r="H266" s="74"/>
      <c r="I266" s="74"/>
      <c r="J266" s="74"/>
      <c r="K266" s="74"/>
      <c r="L266" s="74"/>
      <c r="M266" s="74"/>
      <c r="N266" s="38" t="str">
        <f>IF(OR(A266="Автомат",A266="Дифавтомат"),IF(W266="","",COUNTIFS(Однолинейка!$H$3:$H$3000,U266,Однолинейка!$A$3:$A$3000,Щит_спец)),IF(A266="Аппарат",IF(C266="","",COUNTIFS(Однолинейка!$I$3:$I$3000,C266,Однолинейка!$A$3:$A$3000,Щит_спец)+COUNTIFS(Однолинейка!$J$3:$J$3000,C266,Однолинейка!$A$3:$A$3000,Щит_спец)+COUNTIFS(Однолинейка!$K$3:$K$3000,C266,Однолинейка!$A$3:$A$3000,Щит_спец)),IF(A266="Модуль",IF(C266="","",COUNTIFS(Однолинейка!$AW$3:$AW$3000,"?*",Однолинейка!$AI$3:$AI$3000,C266,Однолинейка!$A$3:$A$3000,Щит_спец)),IF(A266="Клемма",IF(C266="","",IF(C266=$S$7,SUMIFS(Однолинейка!$BW$3:$BW$3000,Однолинейка!$A$3:$A$3000,Щит_спец),IF(C266=$S$8,SUMIFS(Однолинейка!$BX$3:$BX$3000,Однолинейка!$A$3:$A$3000,Щит_спец),""))),""))))</f>
        <v/>
      </c>
      <c r="O266" s="74"/>
      <c r="P266" s="38" t="str">
        <f t="shared" si="36"/>
        <v/>
      </c>
      <c r="U266" s="38" t="str">
        <f t="shared" si="37"/>
        <v/>
      </c>
      <c r="V266" s="38" t="str">
        <f t="shared" si="38"/>
        <v/>
      </c>
      <c r="W266" s="38" t="str">
        <f>IF(AND(U266&lt;&gt;"",OR($S$4="(все)",B266=$S$4),IF($S$4="(все)",COUNTIF($U$4:U266,U266),COUNTIFS($U$4:U266,U266,$B$4:B266,B266))=1),MAX($W$3:W265)+1,"")</f>
        <v/>
      </c>
      <c r="X266" s="38" t="str">
        <f t="shared" si="39"/>
        <v/>
      </c>
      <c r="Y266" s="38" t="str">
        <f>IF(AND(A266="Аппарат",C266&lt;&gt;"",OR($S$5="(все)",B266=$S$5)),MAX($Y$3:Y265)+1,"")</f>
        <v/>
      </c>
      <c r="Z266" s="38" t="str">
        <f t="shared" si="40"/>
        <v/>
      </c>
      <c r="AA266" s="38" t="str">
        <f>IF(AND(A266="Модуль",C266&lt;&gt;"",OR($S$6="(все)",B266=$S$6)),MAX($AA$3:AA265)+1,"")</f>
        <v/>
      </c>
      <c r="AB266" s="38" t="str">
        <f t="shared" si="41"/>
        <v/>
      </c>
      <c r="AC266" s="38" t="str">
        <f>IF(OR(B266="",COUNTIF($B$4:B266,B266)&gt;1),"",MAX($AC$3:AC265)+1)</f>
        <v/>
      </c>
      <c r="AD266" s="38" t="str">
        <f t="shared" si="42"/>
        <v/>
      </c>
      <c r="AE266" s="38" t="str">
        <f t="shared" si="43"/>
        <v/>
      </c>
      <c r="AF266" s="38" t="str">
        <f t="shared" si="44"/>
        <v/>
      </c>
    </row>
    <row r="267" spans="1:32" x14ac:dyDescent="0.3">
      <c r="A267" s="74"/>
      <c r="B267" s="74"/>
      <c r="C267" s="74"/>
      <c r="D267" s="74"/>
      <c r="E267" s="74"/>
      <c r="F267" s="74"/>
      <c r="G267" s="74"/>
      <c r="H267" s="74"/>
      <c r="I267" s="74"/>
      <c r="J267" s="74"/>
      <c r="K267" s="74"/>
      <c r="L267" s="74"/>
      <c r="M267" s="74"/>
      <c r="N267" s="38" t="str">
        <f>IF(OR(A267="Автомат",A267="Дифавтомат"),IF(W267="","",COUNTIFS(Однолинейка!$H$3:$H$3000,U267,Однолинейка!$A$3:$A$3000,Щит_спец)),IF(A267="Аппарат",IF(C267="","",COUNTIFS(Однолинейка!$I$3:$I$3000,C267,Однолинейка!$A$3:$A$3000,Щит_спец)+COUNTIFS(Однолинейка!$J$3:$J$3000,C267,Однолинейка!$A$3:$A$3000,Щит_спец)+COUNTIFS(Однолинейка!$K$3:$K$3000,C267,Однолинейка!$A$3:$A$3000,Щит_спец)),IF(A267="Модуль",IF(C267="","",COUNTIFS(Однолинейка!$AW$3:$AW$3000,"?*",Однолинейка!$AI$3:$AI$3000,C267,Однолинейка!$A$3:$A$3000,Щит_спец)),IF(A267="Клемма",IF(C267="","",IF(C267=$S$7,SUMIFS(Однолинейка!$BW$3:$BW$3000,Однолинейка!$A$3:$A$3000,Щит_спец),IF(C267=$S$8,SUMIFS(Однолинейка!$BX$3:$BX$3000,Однолинейка!$A$3:$A$3000,Щит_спец),""))),""))))</f>
        <v/>
      </c>
      <c r="O267" s="74"/>
      <c r="P267" s="38" t="str">
        <f t="shared" si="36"/>
        <v/>
      </c>
      <c r="U267" s="38" t="str">
        <f t="shared" si="37"/>
        <v/>
      </c>
      <c r="V267" s="38" t="str">
        <f t="shared" si="38"/>
        <v/>
      </c>
      <c r="W267" s="38" t="str">
        <f>IF(AND(U267&lt;&gt;"",OR($S$4="(все)",B267=$S$4),IF($S$4="(все)",COUNTIF($U$4:U267,U267),COUNTIFS($U$4:U267,U267,$B$4:B267,B267))=1),MAX($W$3:W266)+1,"")</f>
        <v/>
      </c>
      <c r="X267" s="38" t="str">
        <f t="shared" si="39"/>
        <v/>
      </c>
      <c r="Y267" s="38" t="str">
        <f>IF(AND(A267="Аппарат",C267&lt;&gt;"",OR($S$5="(все)",B267=$S$5)),MAX($Y$3:Y266)+1,"")</f>
        <v/>
      </c>
      <c r="Z267" s="38" t="str">
        <f t="shared" si="40"/>
        <v/>
      </c>
      <c r="AA267" s="38" t="str">
        <f>IF(AND(A267="Модуль",C267&lt;&gt;"",OR($S$6="(все)",B267=$S$6)),MAX($AA$3:AA266)+1,"")</f>
        <v/>
      </c>
      <c r="AB267" s="38" t="str">
        <f t="shared" si="41"/>
        <v/>
      </c>
      <c r="AC267" s="38" t="str">
        <f>IF(OR(B267="",COUNTIF($B$4:B267,B267)&gt;1),"",MAX($AC$3:AC266)+1)</f>
        <v/>
      </c>
      <c r="AD267" s="38" t="str">
        <f t="shared" si="42"/>
        <v/>
      </c>
      <c r="AE267" s="38" t="str">
        <f t="shared" si="43"/>
        <v/>
      </c>
      <c r="AF267" s="38" t="str">
        <f t="shared" si="44"/>
        <v/>
      </c>
    </row>
    <row r="268" spans="1:32" x14ac:dyDescent="0.3">
      <c r="A268" s="74"/>
      <c r="B268" s="74"/>
      <c r="C268" s="74"/>
      <c r="D268" s="74"/>
      <c r="E268" s="74"/>
      <c r="F268" s="74"/>
      <c r="G268" s="74"/>
      <c r="H268" s="74"/>
      <c r="I268" s="74"/>
      <c r="J268" s="74"/>
      <c r="K268" s="74"/>
      <c r="L268" s="74"/>
      <c r="M268" s="74"/>
      <c r="N268" s="38" t="str">
        <f>IF(OR(A268="Автомат",A268="Дифавтомат"),IF(W268="","",COUNTIFS(Однолинейка!$H$3:$H$3000,U268,Однолинейка!$A$3:$A$3000,Щит_спец)),IF(A268="Аппарат",IF(C268="","",COUNTIFS(Однолинейка!$I$3:$I$3000,C268,Однолинейка!$A$3:$A$3000,Щит_спец)+COUNTIFS(Однолинейка!$J$3:$J$3000,C268,Однолинейка!$A$3:$A$3000,Щит_спец)+COUNTIFS(Однолинейка!$K$3:$K$3000,C268,Однолинейка!$A$3:$A$3000,Щит_спец)),IF(A268="Модуль",IF(C268="","",COUNTIFS(Однолинейка!$AW$3:$AW$3000,"?*",Однолинейка!$AI$3:$AI$3000,C268,Однолинейка!$A$3:$A$3000,Щит_спец)),IF(A268="Клемма",IF(C268="","",IF(C268=$S$7,SUMIFS(Однолинейка!$BW$3:$BW$3000,Однолинейка!$A$3:$A$3000,Щит_спец),IF(C268=$S$8,SUMIFS(Однолинейка!$BX$3:$BX$3000,Однолинейка!$A$3:$A$3000,Щит_спец),""))),""))))</f>
        <v/>
      </c>
      <c r="O268" s="74"/>
      <c r="P268" s="38" t="str">
        <f t="shared" si="36"/>
        <v/>
      </c>
      <c r="U268" s="38" t="str">
        <f t="shared" si="37"/>
        <v/>
      </c>
      <c r="V268" s="38" t="str">
        <f t="shared" si="38"/>
        <v/>
      </c>
      <c r="W268" s="38" t="str">
        <f>IF(AND(U268&lt;&gt;"",OR($S$4="(все)",B268=$S$4),IF($S$4="(все)",COUNTIF($U$4:U268,U268),COUNTIFS($U$4:U268,U268,$B$4:B268,B268))=1),MAX($W$3:W267)+1,"")</f>
        <v/>
      </c>
      <c r="X268" s="38" t="str">
        <f t="shared" si="39"/>
        <v/>
      </c>
      <c r="Y268" s="38" t="str">
        <f>IF(AND(A268="Аппарат",C268&lt;&gt;"",OR($S$5="(все)",B268=$S$5)),MAX($Y$3:Y267)+1,"")</f>
        <v/>
      </c>
      <c r="Z268" s="38" t="str">
        <f t="shared" si="40"/>
        <v/>
      </c>
      <c r="AA268" s="38" t="str">
        <f>IF(AND(A268="Модуль",C268&lt;&gt;"",OR($S$6="(все)",B268=$S$6)),MAX($AA$3:AA267)+1,"")</f>
        <v/>
      </c>
      <c r="AB268" s="38" t="str">
        <f t="shared" si="41"/>
        <v/>
      </c>
      <c r="AC268" s="38" t="str">
        <f>IF(OR(B268="",COUNTIF($B$4:B268,B268)&gt;1),"",MAX($AC$3:AC267)+1)</f>
        <v/>
      </c>
      <c r="AD268" s="38" t="str">
        <f t="shared" si="42"/>
        <v/>
      </c>
      <c r="AE268" s="38" t="str">
        <f t="shared" si="43"/>
        <v/>
      </c>
      <c r="AF268" s="38" t="str">
        <f t="shared" si="44"/>
        <v/>
      </c>
    </row>
    <row r="269" spans="1:32" x14ac:dyDescent="0.3">
      <c r="A269" s="74"/>
      <c r="B269" s="74"/>
      <c r="C269" s="74"/>
      <c r="D269" s="74"/>
      <c r="E269" s="74"/>
      <c r="F269" s="74"/>
      <c r="G269" s="74"/>
      <c r="H269" s="74"/>
      <c r="I269" s="74"/>
      <c r="J269" s="74"/>
      <c r="K269" s="74"/>
      <c r="L269" s="74"/>
      <c r="M269" s="74"/>
      <c r="N269" s="38" t="str">
        <f>IF(OR(A269="Автомат",A269="Дифавтомат"),IF(W269="","",COUNTIFS(Однолинейка!$H$3:$H$3000,U269,Однолинейка!$A$3:$A$3000,Щит_спец)),IF(A269="Аппарат",IF(C269="","",COUNTIFS(Однолинейка!$I$3:$I$3000,C269,Однолинейка!$A$3:$A$3000,Щит_спец)+COUNTIFS(Однолинейка!$J$3:$J$3000,C269,Однолинейка!$A$3:$A$3000,Щит_спец)+COUNTIFS(Однолинейка!$K$3:$K$3000,C269,Однолинейка!$A$3:$A$3000,Щит_спец)),IF(A269="Модуль",IF(C269="","",COUNTIFS(Однолинейка!$AW$3:$AW$3000,"?*",Однолинейка!$AI$3:$AI$3000,C269,Однолинейка!$A$3:$A$3000,Щит_спец)),IF(A269="Клемма",IF(C269="","",IF(C269=$S$7,SUMIFS(Однолинейка!$BW$3:$BW$3000,Однолинейка!$A$3:$A$3000,Щит_спец),IF(C269=$S$8,SUMIFS(Однолинейка!$BX$3:$BX$3000,Однолинейка!$A$3:$A$3000,Щит_спец),""))),""))))</f>
        <v/>
      </c>
      <c r="O269" s="74"/>
      <c r="P269" s="38" t="str">
        <f t="shared" si="36"/>
        <v/>
      </c>
      <c r="U269" s="38" t="str">
        <f t="shared" si="37"/>
        <v/>
      </c>
      <c r="V269" s="38" t="str">
        <f t="shared" si="38"/>
        <v/>
      </c>
      <c r="W269" s="38" t="str">
        <f>IF(AND(U269&lt;&gt;"",OR($S$4="(все)",B269=$S$4),IF($S$4="(все)",COUNTIF($U$4:U269,U269),COUNTIFS($U$4:U269,U269,$B$4:B269,B269))=1),MAX($W$3:W268)+1,"")</f>
        <v/>
      </c>
      <c r="X269" s="38" t="str">
        <f t="shared" si="39"/>
        <v/>
      </c>
      <c r="Y269" s="38" t="str">
        <f>IF(AND(A269="Аппарат",C269&lt;&gt;"",OR($S$5="(все)",B269=$S$5)),MAX($Y$3:Y268)+1,"")</f>
        <v/>
      </c>
      <c r="Z269" s="38" t="str">
        <f t="shared" si="40"/>
        <v/>
      </c>
      <c r="AA269" s="38" t="str">
        <f>IF(AND(A269="Модуль",C269&lt;&gt;"",OR($S$6="(все)",B269=$S$6)),MAX($AA$3:AA268)+1,"")</f>
        <v/>
      </c>
      <c r="AB269" s="38" t="str">
        <f t="shared" si="41"/>
        <v/>
      </c>
      <c r="AC269" s="38" t="str">
        <f>IF(OR(B269="",COUNTIF($B$4:B269,B269)&gt;1),"",MAX($AC$3:AC268)+1)</f>
        <v/>
      </c>
      <c r="AD269" s="38" t="str">
        <f t="shared" si="42"/>
        <v/>
      </c>
      <c r="AE269" s="38" t="str">
        <f t="shared" si="43"/>
        <v/>
      </c>
      <c r="AF269" s="38" t="str">
        <f t="shared" si="44"/>
        <v/>
      </c>
    </row>
    <row r="270" spans="1:32" x14ac:dyDescent="0.3">
      <c r="A270" s="74"/>
      <c r="B270" s="74"/>
      <c r="C270" s="74"/>
      <c r="D270" s="74"/>
      <c r="E270" s="74"/>
      <c r="F270" s="74"/>
      <c r="G270" s="74"/>
      <c r="H270" s="74"/>
      <c r="I270" s="74"/>
      <c r="J270" s="74"/>
      <c r="K270" s="74"/>
      <c r="L270" s="74"/>
      <c r="M270" s="74"/>
      <c r="N270" s="38" t="str">
        <f>IF(OR(A270="Автомат",A270="Дифавтомат"),IF(W270="","",COUNTIFS(Однолинейка!$H$3:$H$3000,U270,Однолинейка!$A$3:$A$3000,Щит_спец)),IF(A270="Аппарат",IF(C270="","",COUNTIFS(Однолинейка!$I$3:$I$3000,C270,Однолинейка!$A$3:$A$3000,Щит_спец)+COUNTIFS(Однолинейка!$J$3:$J$3000,C270,Однолинейка!$A$3:$A$3000,Щит_спец)+COUNTIFS(Однолинейка!$K$3:$K$3000,C270,Однолинейка!$A$3:$A$3000,Щит_спец)),IF(A270="Модуль",IF(C270="","",COUNTIFS(Однолинейка!$AW$3:$AW$3000,"?*",Однолинейка!$AI$3:$AI$3000,C270,Однолинейка!$A$3:$A$3000,Щит_спец)),IF(A270="Клемма",IF(C270="","",IF(C270=$S$7,SUMIFS(Однолинейка!$BW$3:$BW$3000,Однолинейка!$A$3:$A$3000,Щит_спец),IF(C270=$S$8,SUMIFS(Однолинейка!$BX$3:$BX$3000,Однолинейка!$A$3:$A$3000,Щит_спец),""))),""))))</f>
        <v/>
      </c>
      <c r="O270" s="74"/>
      <c r="P270" s="38" t="str">
        <f t="shared" si="36"/>
        <v/>
      </c>
      <c r="U270" s="38" t="str">
        <f t="shared" si="37"/>
        <v/>
      </c>
      <c r="V270" s="38" t="str">
        <f t="shared" si="38"/>
        <v/>
      </c>
      <c r="W270" s="38" t="str">
        <f>IF(AND(U270&lt;&gt;"",OR($S$4="(все)",B270=$S$4),IF($S$4="(все)",COUNTIF($U$4:U270,U270),COUNTIFS($U$4:U270,U270,$B$4:B270,B270))=1),MAX($W$3:W269)+1,"")</f>
        <v/>
      </c>
      <c r="X270" s="38" t="str">
        <f t="shared" si="39"/>
        <v/>
      </c>
      <c r="Y270" s="38" t="str">
        <f>IF(AND(A270="Аппарат",C270&lt;&gt;"",OR($S$5="(все)",B270=$S$5)),MAX($Y$3:Y269)+1,"")</f>
        <v/>
      </c>
      <c r="Z270" s="38" t="str">
        <f t="shared" si="40"/>
        <v/>
      </c>
      <c r="AA270" s="38" t="str">
        <f>IF(AND(A270="Модуль",C270&lt;&gt;"",OR($S$6="(все)",B270=$S$6)),MAX($AA$3:AA269)+1,"")</f>
        <v/>
      </c>
      <c r="AB270" s="38" t="str">
        <f t="shared" si="41"/>
        <v/>
      </c>
      <c r="AC270" s="38" t="str">
        <f>IF(OR(B270="",COUNTIF($B$4:B270,B270)&gt;1),"",MAX($AC$3:AC269)+1)</f>
        <v/>
      </c>
      <c r="AD270" s="38" t="str">
        <f t="shared" si="42"/>
        <v/>
      </c>
      <c r="AE270" s="38" t="str">
        <f t="shared" si="43"/>
        <v/>
      </c>
      <c r="AF270" s="38" t="str">
        <f t="shared" si="44"/>
        <v/>
      </c>
    </row>
    <row r="271" spans="1:32" x14ac:dyDescent="0.3">
      <c r="A271" s="74"/>
      <c r="B271" s="74"/>
      <c r="C271" s="74"/>
      <c r="D271" s="74"/>
      <c r="E271" s="74"/>
      <c r="F271" s="74"/>
      <c r="G271" s="74"/>
      <c r="H271" s="74"/>
      <c r="I271" s="74"/>
      <c r="J271" s="74"/>
      <c r="K271" s="74"/>
      <c r="L271" s="74"/>
      <c r="M271" s="74"/>
      <c r="N271" s="38" t="str">
        <f>IF(OR(A271="Автомат",A271="Дифавтомат"),IF(W271="","",COUNTIFS(Однолинейка!$H$3:$H$3000,U271,Однолинейка!$A$3:$A$3000,Щит_спец)),IF(A271="Аппарат",IF(C271="","",COUNTIFS(Однолинейка!$I$3:$I$3000,C271,Однолинейка!$A$3:$A$3000,Щит_спец)+COUNTIFS(Однолинейка!$J$3:$J$3000,C271,Однолинейка!$A$3:$A$3000,Щит_спец)+COUNTIFS(Однолинейка!$K$3:$K$3000,C271,Однолинейка!$A$3:$A$3000,Щит_спец)),IF(A271="Модуль",IF(C271="","",COUNTIFS(Однолинейка!$AW$3:$AW$3000,"?*",Однолинейка!$AI$3:$AI$3000,C271,Однолинейка!$A$3:$A$3000,Щит_спец)),IF(A271="Клемма",IF(C271="","",IF(C271=$S$7,SUMIFS(Однолинейка!$BW$3:$BW$3000,Однолинейка!$A$3:$A$3000,Щит_спец),IF(C271=$S$8,SUMIFS(Однолинейка!$BX$3:$BX$3000,Однолинейка!$A$3:$A$3000,Щит_спец),""))),""))))</f>
        <v/>
      </c>
      <c r="O271" s="74"/>
      <c r="P271" s="38" t="str">
        <f t="shared" si="36"/>
        <v/>
      </c>
      <c r="U271" s="38" t="str">
        <f t="shared" si="37"/>
        <v/>
      </c>
      <c r="V271" s="38" t="str">
        <f t="shared" si="38"/>
        <v/>
      </c>
      <c r="W271" s="38" t="str">
        <f>IF(AND(U271&lt;&gt;"",OR($S$4="(все)",B271=$S$4),IF($S$4="(все)",COUNTIF($U$4:U271,U271),COUNTIFS($U$4:U271,U271,$B$4:B271,B271))=1),MAX($W$3:W270)+1,"")</f>
        <v/>
      </c>
      <c r="X271" s="38" t="str">
        <f t="shared" si="39"/>
        <v/>
      </c>
      <c r="Y271" s="38" t="str">
        <f>IF(AND(A271="Аппарат",C271&lt;&gt;"",OR($S$5="(все)",B271=$S$5)),MAX($Y$3:Y270)+1,"")</f>
        <v/>
      </c>
      <c r="Z271" s="38" t="str">
        <f t="shared" si="40"/>
        <v/>
      </c>
      <c r="AA271" s="38" t="str">
        <f>IF(AND(A271="Модуль",C271&lt;&gt;"",OR($S$6="(все)",B271=$S$6)),MAX($AA$3:AA270)+1,"")</f>
        <v/>
      </c>
      <c r="AB271" s="38" t="str">
        <f t="shared" si="41"/>
        <v/>
      </c>
      <c r="AC271" s="38" t="str">
        <f>IF(OR(B271="",COUNTIF($B$4:B271,B271)&gt;1),"",MAX($AC$3:AC270)+1)</f>
        <v/>
      </c>
      <c r="AD271" s="38" t="str">
        <f t="shared" si="42"/>
        <v/>
      </c>
      <c r="AE271" s="38" t="str">
        <f t="shared" si="43"/>
        <v/>
      </c>
      <c r="AF271" s="38" t="str">
        <f t="shared" si="44"/>
        <v/>
      </c>
    </row>
    <row r="272" spans="1:32" x14ac:dyDescent="0.3">
      <c r="A272" s="74"/>
      <c r="B272" s="74"/>
      <c r="C272" s="74"/>
      <c r="D272" s="74"/>
      <c r="E272" s="74"/>
      <c r="F272" s="74"/>
      <c r="G272" s="74"/>
      <c r="H272" s="74"/>
      <c r="I272" s="74"/>
      <c r="J272" s="74"/>
      <c r="K272" s="74"/>
      <c r="L272" s="74"/>
      <c r="M272" s="74"/>
      <c r="N272" s="38" t="str">
        <f>IF(OR(A272="Автомат",A272="Дифавтомат"),IF(W272="","",COUNTIFS(Однолинейка!$H$3:$H$3000,U272,Однолинейка!$A$3:$A$3000,Щит_спец)),IF(A272="Аппарат",IF(C272="","",COUNTIFS(Однолинейка!$I$3:$I$3000,C272,Однолинейка!$A$3:$A$3000,Щит_спец)+COUNTIFS(Однолинейка!$J$3:$J$3000,C272,Однолинейка!$A$3:$A$3000,Щит_спец)+COUNTIFS(Однолинейка!$K$3:$K$3000,C272,Однолинейка!$A$3:$A$3000,Щит_спец)),IF(A272="Модуль",IF(C272="","",COUNTIFS(Однолинейка!$AW$3:$AW$3000,"?*",Однолинейка!$AI$3:$AI$3000,C272,Однолинейка!$A$3:$A$3000,Щит_спец)),IF(A272="Клемма",IF(C272="","",IF(C272=$S$7,SUMIFS(Однолинейка!$BW$3:$BW$3000,Однолинейка!$A$3:$A$3000,Щит_спец),IF(C272=$S$8,SUMIFS(Однолинейка!$BX$3:$BX$3000,Однолинейка!$A$3:$A$3000,Щит_спец),""))),""))))</f>
        <v/>
      </c>
      <c r="O272" s="74"/>
      <c r="P272" s="38" t="str">
        <f t="shared" si="36"/>
        <v/>
      </c>
      <c r="U272" s="38" t="str">
        <f t="shared" si="37"/>
        <v/>
      </c>
      <c r="V272" s="38" t="str">
        <f t="shared" si="38"/>
        <v/>
      </c>
      <c r="W272" s="38" t="str">
        <f>IF(AND(U272&lt;&gt;"",OR($S$4="(все)",B272=$S$4),IF($S$4="(все)",COUNTIF($U$4:U272,U272),COUNTIFS($U$4:U272,U272,$B$4:B272,B272))=1),MAX($W$3:W271)+1,"")</f>
        <v/>
      </c>
      <c r="X272" s="38" t="str">
        <f t="shared" si="39"/>
        <v/>
      </c>
      <c r="Y272" s="38" t="str">
        <f>IF(AND(A272="Аппарат",C272&lt;&gt;"",OR($S$5="(все)",B272=$S$5)),MAX($Y$3:Y271)+1,"")</f>
        <v/>
      </c>
      <c r="Z272" s="38" t="str">
        <f t="shared" si="40"/>
        <v/>
      </c>
      <c r="AA272" s="38" t="str">
        <f>IF(AND(A272="Модуль",C272&lt;&gt;"",OR($S$6="(все)",B272=$S$6)),MAX($AA$3:AA271)+1,"")</f>
        <v/>
      </c>
      <c r="AB272" s="38" t="str">
        <f t="shared" si="41"/>
        <v/>
      </c>
      <c r="AC272" s="38" t="str">
        <f>IF(OR(B272="",COUNTIF($B$4:B272,B272)&gt;1),"",MAX($AC$3:AC271)+1)</f>
        <v/>
      </c>
      <c r="AD272" s="38" t="str">
        <f t="shared" si="42"/>
        <v/>
      </c>
      <c r="AE272" s="38" t="str">
        <f t="shared" si="43"/>
        <v/>
      </c>
      <c r="AF272" s="38" t="str">
        <f t="shared" si="44"/>
        <v/>
      </c>
    </row>
    <row r="273" spans="1:32" x14ac:dyDescent="0.3">
      <c r="A273" s="74"/>
      <c r="B273" s="74"/>
      <c r="C273" s="74"/>
      <c r="D273" s="74"/>
      <c r="E273" s="74"/>
      <c r="F273" s="74"/>
      <c r="G273" s="74"/>
      <c r="H273" s="74"/>
      <c r="I273" s="74"/>
      <c r="J273" s="74"/>
      <c r="K273" s="74"/>
      <c r="L273" s="74"/>
      <c r="M273" s="74"/>
      <c r="N273" s="38" t="str">
        <f>IF(OR(A273="Автомат",A273="Дифавтомат"),IF(W273="","",COUNTIFS(Однолинейка!$H$3:$H$3000,U273,Однолинейка!$A$3:$A$3000,Щит_спец)),IF(A273="Аппарат",IF(C273="","",COUNTIFS(Однолинейка!$I$3:$I$3000,C273,Однолинейка!$A$3:$A$3000,Щит_спец)+COUNTIFS(Однолинейка!$J$3:$J$3000,C273,Однолинейка!$A$3:$A$3000,Щит_спец)+COUNTIFS(Однолинейка!$K$3:$K$3000,C273,Однолинейка!$A$3:$A$3000,Щит_спец)),IF(A273="Модуль",IF(C273="","",COUNTIFS(Однолинейка!$AW$3:$AW$3000,"?*",Однолинейка!$AI$3:$AI$3000,C273,Однолинейка!$A$3:$A$3000,Щит_спец)),IF(A273="Клемма",IF(C273="","",IF(C273=$S$7,SUMIFS(Однолинейка!$BW$3:$BW$3000,Однолинейка!$A$3:$A$3000,Щит_спец),IF(C273=$S$8,SUMIFS(Однолинейка!$BX$3:$BX$3000,Однолинейка!$A$3:$A$3000,Щит_спец),""))),""))))</f>
        <v/>
      </c>
      <c r="O273" s="74"/>
      <c r="P273" s="38" t="str">
        <f t="shared" si="36"/>
        <v/>
      </c>
      <c r="U273" s="38" t="str">
        <f t="shared" si="37"/>
        <v/>
      </c>
      <c r="V273" s="38" t="str">
        <f t="shared" si="38"/>
        <v/>
      </c>
      <c r="W273" s="38" t="str">
        <f>IF(AND(U273&lt;&gt;"",OR($S$4="(все)",B273=$S$4),IF($S$4="(все)",COUNTIF($U$4:U273,U273),COUNTIFS($U$4:U273,U273,$B$4:B273,B273))=1),MAX($W$3:W272)+1,"")</f>
        <v/>
      </c>
      <c r="X273" s="38" t="str">
        <f t="shared" si="39"/>
        <v/>
      </c>
      <c r="Y273" s="38" t="str">
        <f>IF(AND(A273="Аппарат",C273&lt;&gt;"",OR($S$5="(все)",B273=$S$5)),MAX($Y$3:Y272)+1,"")</f>
        <v/>
      </c>
      <c r="Z273" s="38" t="str">
        <f t="shared" si="40"/>
        <v/>
      </c>
      <c r="AA273" s="38" t="str">
        <f>IF(AND(A273="Модуль",C273&lt;&gt;"",OR($S$6="(все)",B273=$S$6)),MAX($AA$3:AA272)+1,"")</f>
        <v/>
      </c>
      <c r="AB273" s="38" t="str">
        <f t="shared" si="41"/>
        <v/>
      </c>
      <c r="AC273" s="38" t="str">
        <f>IF(OR(B273="",COUNTIF($B$4:B273,B273)&gt;1),"",MAX($AC$3:AC272)+1)</f>
        <v/>
      </c>
      <c r="AD273" s="38" t="str">
        <f t="shared" si="42"/>
        <v/>
      </c>
      <c r="AE273" s="38" t="str">
        <f t="shared" si="43"/>
        <v/>
      </c>
      <c r="AF273" s="38" t="str">
        <f t="shared" si="44"/>
        <v/>
      </c>
    </row>
    <row r="274" spans="1:32" x14ac:dyDescent="0.3">
      <c r="A274" s="74"/>
      <c r="B274" s="74"/>
      <c r="C274" s="74"/>
      <c r="D274" s="74"/>
      <c r="E274" s="74"/>
      <c r="F274" s="74"/>
      <c r="G274" s="74"/>
      <c r="H274" s="74"/>
      <c r="I274" s="74"/>
      <c r="J274" s="74"/>
      <c r="K274" s="74"/>
      <c r="L274" s="74"/>
      <c r="M274" s="74"/>
      <c r="N274" s="38" t="str">
        <f>IF(OR(A274="Автомат",A274="Дифавтомат"),IF(W274="","",COUNTIFS(Однолинейка!$H$3:$H$3000,U274,Однолинейка!$A$3:$A$3000,Щит_спец)),IF(A274="Аппарат",IF(C274="","",COUNTIFS(Однолинейка!$I$3:$I$3000,C274,Однолинейка!$A$3:$A$3000,Щит_спец)+COUNTIFS(Однолинейка!$J$3:$J$3000,C274,Однолинейка!$A$3:$A$3000,Щит_спец)+COUNTIFS(Однолинейка!$K$3:$K$3000,C274,Однолинейка!$A$3:$A$3000,Щит_спец)),IF(A274="Модуль",IF(C274="","",COUNTIFS(Однолинейка!$AW$3:$AW$3000,"?*",Однолинейка!$AI$3:$AI$3000,C274,Однолинейка!$A$3:$A$3000,Щит_спец)),IF(A274="Клемма",IF(C274="","",IF(C274=$S$7,SUMIFS(Однолинейка!$BW$3:$BW$3000,Однолинейка!$A$3:$A$3000,Щит_спец),IF(C274=$S$8,SUMIFS(Однолинейка!$BX$3:$BX$3000,Однолинейка!$A$3:$A$3000,Щит_спец),""))),""))))</f>
        <v/>
      </c>
      <c r="O274" s="74"/>
      <c r="P274" s="38" t="str">
        <f t="shared" si="36"/>
        <v/>
      </c>
      <c r="U274" s="38" t="str">
        <f t="shared" si="37"/>
        <v/>
      </c>
      <c r="V274" s="38" t="str">
        <f t="shared" si="38"/>
        <v/>
      </c>
      <c r="W274" s="38" t="str">
        <f>IF(AND(U274&lt;&gt;"",OR($S$4="(все)",B274=$S$4),IF($S$4="(все)",COUNTIF($U$4:U274,U274),COUNTIFS($U$4:U274,U274,$B$4:B274,B274))=1),MAX($W$3:W273)+1,"")</f>
        <v/>
      </c>
      <c r="X274" s="38" t="str">
        <f t="shared" si="39"/>
        <v/>
      </c>
      <c r="Y274" s="38" t="str">
        <f>IF(AND(A274="Аппарат",C274&lt;&gt;"",OR($S$5="(все)",B274=$S$5)),MAX($Y$3:Y273)+1,"")</f>
        <v/>
      </c>
      <c r="Z274" s="38" t="str">
        <f t="shared" si="40"/>
        <v/>
      </c>
      <c r="AA274" s="38" t="str">
        <f>IF(AND(A274="Модуль",C274&lt;&gt;"",OR($S$6="(все)",B274=$S$6)),MAX($AA$3:AA273)+1,"")</f>
        <v/>
      </c>
      <c r="AB274" s="38" t="str">
        <f t="shared" si="41"/>
        <v/>
      </c>
      <c r="AC274" s="38" t="str">
        <f>IF(OR(B274="",COUNTIF($B$4:B274,B274)&gt;1),"",MAX($AC$3:AC273)+1)</f>
        <v/>
      </c>
      <c r="AD274" s="38" t="str">
        <f t="shared" si="42"/>
        <v/>
      </c>
      <c r="AE274" s="38" t="str">
        <f t="shared" si="43"/>
        <v/>
      </c>
      <c r="AF274" s="38" t="str">
        <f t="shared" si="44"/>
        <v/>
      </c>
    </row>
    <row r="275" spans="1:32" x14ac:dyDescent="0.3">
      <c r="A275" s="74"/>
      <c r="B275" s="74"/>
      <c r="C275" s="74"/>
      <c r="D275" s="74"/>
      <c r="E275" s="74"/>
      <c r="F275" s="74"/>
      <c r="G275" s="74"/>
      <c r="H275" s="74"/>
      <c r="I275" s="74"/>
      <c r="J275" s="74"/>
      <c r="K275" s="74"/>
      <c r="L275" s="74"/>
      <c r="M275" s="74"/>
      <c r="N275" s="38" t="str">
        <f>IF(OR(A275="Автомат",A275="Дифавтомат"),IF(W275="","",COUNTIFS(Однолинейка!$H$3:$H$3000,U275,Однолинейка!$A$3:$A$3000,Щит_спец)),IF(A275="Аппарат",IF(C275="","",COUNTIFS(Однолинейка!$I$3:$I$3000,C275,Однолинейка!$A$3:$A$3000,Щит_спец)+COUNTIFS(Однолинейка!$J$3:$J$3000,C275,Однолинейка!$A$3:$A$3000,Щит_спец)+COUNTIFS(Однолинейка!$K$3:$K$3000,C275,Однолинейка!$A$3:$A$3000,Щит_спец)),IF(A275="Модуль",IF(C275="","",COUNTIFS(Однолинейка!$AW$3:$AW$3000,"?*",Однолинейка!$AI$3:$AI$3000,C275,Однолинейка!$A$3:$A$3000,Щит_спец)),IF(A275="Клемма",IF(C275="","",IF(C275=$S$7,SUMIFS(Однолинейка!$BW$3:$BW$3000,Однолинейка!$A$3:$A$3000,Щит_спец),IF(C275=$S$8,SUMIFS(Однолинейка!$BX$3:$BX$3000,Однолинейка!$A$3:$A$3000,Щит_спец),""))),""))))</f>
        <v/>
      </c>
      <c r="O275" s="74"/>
      <c r="P275" s="38" t="str">
        <f t="shared" si="36"/>
        <v/>
      </c>
      <c r="U275" s="38" t="str">
        <f t="shared" si="37"/>
        <v/>
      </c>
      <c r="V275" s="38" t="str">
        <f t="shared" si="38"/>
        <v/>
      </c>
      <c r="W275" s="38" t="str">
        <f>IF(AND(U275&lt;&gt;"",OR($S$4="(все)",B275=$S$4),IF($S$4="(все)",COUNTIF($U$4:U275,U275),COUNTIFS($U$4:U275,U275,$B$4:B275,B275))=1),MAX($W$3:W274)+1,"")</f>
        <v/>
      </c>
      <c r="X275" s="38" t="str">
        <f t="shared" si="39"/>
        <v/>
      </c>
      <c r="Y275" s="38" t="str">
        <f>IF(AND(A275="Аппарат",C275&lt;&gt;"",OR($S$5="(все)",B275=$S$5)),MAX($Y$3:Y274)+1,"")</f>
        <v/>
      </c>
      <c r="Z275" s="38" t="str">
        <f t="shared" si="40"/>
        <v/>
      </c>
      <c r="AA275" s="38" t="str">
        <f>IF(AND(A275="Модуль",C275&lt;&gt;"",OR($S$6="(все)",B275=$S$6)),MAX($AA$3:AA274)+1,"")</f>
        <v/>
      </c>
      <c r="AB275" s="38" t="str">
        <f t="shared" si="41"/>
        <v/>
      </c>
      <c r="AC275" s="38" t="str">
        <f>IF(OR(B275="",COUNTIF($B$4:B275,B275)&gt;1),"",MAX($AC$3:AC274)+1)</f>
        <v/>
      </c>
      <c r="AD275" s="38" t="str">
        <f t="shared" si="42"/>
        <v/>
      </c>
      <c r="AE275" s="38" t="str">
        <f t="shared" si="43"/>
        <v/>
      </c>
      <c r="AF275" s="38" t="str">
        <f t="shared" si="44"/>
        <v/>
      </c>
    </row>
    <row r="276" spans="1:32" x14ac:dyDescent="0.3">
      <c r="A276" s="74"/>
      <c r="B276" s="74"/>
      <c r="C276" s="74"/>
      <c r="D276" s="74"/>
      <c r="E276" s="74"/>
      <c r="F276" s="74"/>
      <c r="G276" s="74"/>
      <c r="H276" s="74"/>
      <c r="I276" s="74"/>
      <c r="J276" s="74"/>
      <c r="K276" s="74"/>
      <c r="L276" s="74"/>
      <c r="M276" s="74"/>
      <c r="N276" s="38" t="str">
        <f>IF(OR(A276="Автомат",A276="Дифавтомат"),IF(W276="","",COUNTIFS(Однолинейка!$H$3:$H$3000,U276,Однолинейка!$A$3:$A$3000,Щит_спец)),IF(A276="Аппарат",IF(C276="","",COUNTIFS(Однолинейка!$I$3:$I$3000,C276,Однолинейка!$A$3:$A$3000,Щит_спец)+COUNTIFS(Однолинейка!$J$3:$J$3000,C276,Однолинейка!$A$3:$A$3000,Щит_спец)+COUNTIFS(Однолинейка!$K$3:$K$3000,C276,Однолинейка!$A$3:$A$3000,Щит_спец)),IF(A276="Модуль",IF(C276="","",COUNTIFS(Однолинейка!$AW$3:$AW$3000,"?*",Однолинейка!$AI$3:$AI$3000,C276,Однолинейка!$A$3:$A$3000,Щит_спец)),IF(A276="Клемма",IF(C276="","",IF(C276=$S$7,SUMIFS(Однолинейка!$BW$3:$BW$3000,Однолинейка!$A$3:$A$3000,Щит_спец),IF(C276=$S$8,SUMIFS(Однолинейка!$BX$3:$BX$3000,Однолинейка!$A$3:$A$3000,Щит_спец),""))),""))))</f>
        <v/>
      </c>
      <c r="O276" s="74"/>
      <c r="P276" s="38" t="str">
        <f t="shared" si="36"/>
        <v/>
      </c>
      <c r="U276" s="38" t="str">
        <f t="shared" si="37"/>
        <v/>
      </c>
      <c r="V276" s="38" t="str">
        <f t="shared" si="38"/>
        <v/>
      </c>
      <c r="W276" s="38" t="str">
        <f>IF(AND(U276&lt;&gt;"",OR($S$4="(все)",B276=$S$4),IF($S$4="(все)",COUNTIF($U$4:U276,U276),COUNTIFS($U$4:U276,U276,$B$4:B276,B276))=1),MAX($W$3:W275)+1,"")</f>
        <v/>
      </c>
      <c r="X276" s="38" t="str">
        <f t="shared" si="39"/>
        <v/>
      </c>
      <c r="Y276" s="38" t="str">
        <f>IF(AND(A276="Аппарат",C276&lt;&gt;"",OR($S$5="(все)",B276=$S$5)),MAX($Y$3:Y275)+1,"")</f>
        <v/>
      </c>
      <c r="Z276" s="38" t="str">
        <f t="shared" si="40"/>
        <v/>
      </c>
      <c r="AA276" s="38" t="str">
        <f>IF(AND(A276="Модуль",C276&lt;&gt;"",OR($S$6="(все)",B276=$S$6)),MAX($AA$3:AA275)+1,"")</f>
        <v/>
      </c>
      <c r="AB276" s="38" t="str">
        <f t="shared" si="41"/>
        <v/>
      </c>
      <c r="AC276" s="38" t="str">
        <f>IF(OR(B276="",COUNTIF($B$4:B276,B276)&gt;1),"",MAX($AC$3:AC275)+1)</f>
        <v/>
      </c>
      <c r="AD276" s="38" t="str">
        <f t="shared" si="42"/>
        <v/>
      </c>
      <c r="AE276" s="38" t="str">
        <f t="shared" si="43"/>
        <v/>
      </c>
      <c r="AF276" s="38" t="str">
        <f t="shared" si="44"/>
        <v/>
      </c>
    </row>
    <row r="277" spans="1:32" x14ac:dyDescent="0.3">
      <c r="A277" s="74"/>
      <c r="B277" s="74"/>
      <c r="C277" s="74"/>
      <c r="D277" s="74"/>
      <c r="E277" s="74"/>
      <c r="F277" s="74"/>
      <c r="G277" s="74"/>
      <c r="H277" s="74"/>
      <c r="I277" s="74"/>
      <c r="J277" s="74"/>
      <c r="K277" s="74"/>
      <c r="L277" s="74"/>
      <c r="M277" s="74"/>
      <c r="N277" s="38" t="str">
        <f>IF(OR(A277="Автомат",A277="Дифавтомат"),IF(W277="","",COUNTIFS(Однолинейка!$H$3:$H$3000,U277,Однолинейка!$A$3:$A$3000,Щит_спец)),IF(A277="Аппарат",IF(C277="","",COUNTIFS(Однолинейка!$I$3:$I$3000,C277,Однолинейка!$A$3:$A$3000,Щит_спец)+COUNTIFS(Однолинейка!$J$3:$J$3000,C277,Однолинейка!$A$3:$A$3000,Щит_спец)+COUNTIFS(Однолинейка!$K$3:$K$3000,C277,Однолинейка!$A$3:$A$3000,Щит_спец)),IF(A277="Модуль",IF(C277="","",COUNTIFS(Однолинейка!$AW$3:$AW$3000,"?*",Однолинейка!$AI$3:$AI$3000,C277,Однолинейка!$A$3:$A$3000,Щит_спец)),IF(A277="Клемма",IF(C277="","",IF(C277=$S$7,SUMIFS(Однолинейка!$BW$3:$BW$3000,Однолинейка!$A$3:$A$3000,Щит_спец),IF(C277=$S$8,SUMIFS(Однолинейка!$BX$3:$BX$3000,Однолинейка!$A$3:$A$3000,Щит_спец),""))),""))))</f>
        <v/>
      </c>
      <c r="O277" s="74"/>
      <c r="P277" s="38" t="str">
        <f t="shared" si="36"/>
        <v/>
      </c>
      <c r="U277" s="38" t="str">
        <f t="shared" si="37"/>
        <v/>
      </c>
      <c r="V277" s="38" t="str">
        <f t="shared" si="38"/>
        <v/>
      </c>
      <c r="W277" s="38" t="str">
        <f>IF(AND(U277&lt;&gt;"",OR($S$4="(все)",B277=$S$4),IF($S$4="(все)",COUNTIF($U$4:U277,U277),COUNTIFS($U$4:U277,U277,$B$4:B277,B277))=1),MAX($W$3:W276)+1,"")</f>
        <v/>
      </c>
      <c r="X277" s="38" t="str">
        <f t="shared" si="39"/>
        <v/>
      </c>
      <c r="Y277" s="38" t="str">
        <f>IF(AND(A277="Аппарат",C277&lt;&gt;"",OR($S$5="(все)",B277=$S$5)),MAX($Y$3:Y276)+1,"")</f>
        <v/>
      </c>
      <c r="Z277" s="38" t="str">
        <f t="shared" si="40"/>
        <v/>
      </c>
      <c r="AA277" s="38" t="str">
        <f>IF(AND(A277="Модуль",C277&lt;&gt;"",OR($S$6="(все)",B277=$S$6)),MAX($AA$3:AA276)+1,"")</f>
        <v/>
      </c>
      <c r="AB277" s="38" t="str">
        <f t="shared" si="41"/>
        <v/>
      </c>
      <c r="AC277" s="38" t="str">
        <f>IF(OR(B277="",COUNTIF($B$4:B277,B277)&gt;1),"",MAX($AC$3:AC276)+1)</f>
        <v/>
      </c>
      <c r="AD277" s="38" t="str">
        <f t="shared" si="42"/>
        <v/>
      </c>
      <c r="AE277" s="38" t="str">
        <f t="shared" si="43"/>
        <v/>
      </c>
      <c r="AF277" s="38" t="str">
        <f t="shared" si="44"/>
        <v/>
      </c>
    </row>
    <row r="278" spans="1:32" x14ac:dyDescent="0.3">
      <c r="A278" s="74"/>
      <c r="B278" s="74"/>
      <c r="C278" s="74"/>
      <c r="D278" s="74"/>
      <c r="E278" s="74"/>
      <c r="F278" s="74"/>
      <c r="G278" s="74"/>
      <c r="H278" s="74"/>
      <c r="I278" s="74"/>
      <c r="J278" s="74"/>
      <c r="K278" s="74"/>
      <c r="L278" s="74"/>
      <c r="M278" s="74"/>
      <c r="N278" s="38" t="str">
        <f>IF(OR(A278="Автомат",A278="Дифавтомат"),IF(W278="","",COUNTIFS(Однолинейка!$H$3:$H$3000,U278,Однолинейка!$A$3:$A$3000,Щит_спец)),IF(A278="Аппарат",IF(C278="","",COUNTIFS(Однолинейка!$I$3:$I$3000,C278,Однолинейка!$A$3:$A$3000,Щит_спец)+COUNTIFS(Однолинейка!$J$3:$J$3000,C278,Однолинейка!$A$3:$A$3000,Щит_спец)+COUNTIFS(Однолинейка!$K$3:$K$3000,C278,Однолинейка!$A$3:$A$3000,Щит_спец)),IF(A278="Модуль",IF(C278="","",COUNTIFS(Однолинейка!$AW$3:$AW$3000,"?*",Однолинейка!$AI$3:$AI$3000,C278,Однолинейка!$A$3:$A$3000,Щит_спец)),IF(A278="Клемма",IF(C278="","",IF(C278=$S$7,SUMIFS(Однолинейка!$BW$3:$BW$3000,Однолинейка!$A$3:$A$3000,Щит_спец),IF(C278=$S$8,SUMIFS(Однолинейка!$BX$3:$BX$3000,Однолинейка!$A$3:$A$3000,Щит_спец),""))),""))))</f>
        <v/>
      </c>
      <c r="O278" s="74"/>
      <c r="P278" s="38" t="str">
        <f t="shared" si="36"/>
        <v/>
      </c>
      <c r="U278" s="38" t="str">
        <f t="shared" si="37"/>
        <v/>
      </c>
      <c r="V278" s="38" t="str">
        <f t="shared" si="38"/>
        <v/>
      </c>
      <c r="W278" s="38" t="str">
        <f>IF(AND(U278&lt;&gt;"",OR($S$4="(все)",B278=$S$4),IF($S$4="(все)",COUNTIF($U$4:U278,U278),COUNTIFS($U$4:U278,U278,$B$4:B278,B278))=1),MAX($W$3:W277)+1,"")</f>
        <v/>
      </c>
      <c r="X278" s="38" t="str">
        <f t="shared" si="39"/>
        <v/>
      </c>
      <c r="Y278" s="38" t="str">
        <f>IF(AND(A278="Аппарат",C278&lt;&gt;"",OR($S$5="(все)",B278=$S$5)),MAX($Y$3:Y277)+1,"")</f>
        <v/>
      </c>
      <c r="Z278" s="38" t="str">
        <f t="shared" si="40"/>
        <v/>
      </c>
      <c r="AA278" s="38" t="str">
        <f>IF(AND(A278="Модуль",C278&lt;&gt;"",OR($S$6="(все)",B278=$S$6)),MAX($AA$3:AA277)+1,"")</f>
        <v/>
      </c>
      <c r="AB278" s="38" t="str">
        <f t="shared" si="41"/>
        <v/>
      </c>
      <c r="AC278" s="38" t="str">
        <f>IF(OR(B278="",COUNTIF($B$4:B278,B278)&gt;1),"",MAX($AC$3:AC277)+1)</f>
        <v/>
      </c>
      <c r="AD278" s="38" t="str">
        <f t="shared" si="42"/>
        <v/>
      </c>
      <c r="AE278" s="38" t="str">
        <f t="shared" si="43"/>
        <v/>
      </c>
      <c r="AF278" s="38" t="str">
        <f t="shared" si="44"/>
        <v/>
      </c>
    </row>
    <row r="279" spans="1:32" x14ac:dyDescent="0.3">
      <c r="A279" s="74"/>
      <c r="B279" s="74"/>
      <c r="C279" s="74"/>
      <c r="D279" s="74"/>
      <c r="E279" s="74"/>
      <c r="F279" s="74"/>
      <c r="G279" s="74"/>
      <c r="H279" s="74"/>
      <c r="I279" s="74"/>
      <c r="J279" s="74"/>
      <c r="K279" s="74"/>
      <c r="L279" s="74"/>
      <c r="M279" s="74"/>
      <c r="N279" s="38" t="str">
        <f>IF(OR(A279="Автомат",A279="Дифавтомат"),IF(W279="","",COUNTIFS(Однолинейка!$H$3:$H$3000,U279,Однолинейка!$A$3:$A$3000,Щит_спец)),IF(A279="Аппарат",IF(C279="","",COUNTIFS(Однолинейка!$I$3:$I$3000,C279,Однолинейка!$A$3:$A$3000,Щит_спец)+COUNTIFS(Однолинейка!$J$3:$J$3000,C279,Однолинейка!$A$3:$A$3000,Щит_спец)+COUNTIFS(Однолинейка!$K$3:$K$3000,C279,Однолинейка!$A$3:$A$3000,Щит_спец)),IF(A279="Модуль",IF(C279="","",COUNTIFS(Однолинейка!$AW$3:$AW$3000,"?*",Однолинейка!$AI$3:$AI$3000,C279,Однолинейка!$A$3:$A$3000,Щит_спец)),IF(A279="Клемма",IF(C279="","",IF(C279=$S$7,SUMIFS(Однолинейка!$BW$3:$BW$3000,Однолинейка!$A$3:$A$3000,Щит_спец),IF(C279=$S$8,SUMIFS(Однолинейка!$BX$3:$BX$3000,Однолинейка!$A$3:$A$3000,Щит_спец),""))),""))))</f>
        <v/>
      </c>
      <c r="O279" s="74"/>
      <c r="P279" s="38" t="str">
        <f t="shared" si="36"/>
        <v/>
      </c>
      <c r="U279" s="38" t="str">
        <f t="shared" si="37"/>
        <v/>
      </c>
      <c r="V279" s="38" t="str">
        <f t="shared" si="38"/>
        <v/>
      </c>
      <c r="W279" s="38" t="str">
        <f>IF(AND(U279&lt;&gt;"",OR($S$4="(все)",B279=$S$4),IF($S$4="(все)",COUNTIF($U$4:U279,U279),COUNTIFS($U$4:U279,U279,$B$4:B279,B279))=1),MAX($W$3:W278)+1,"")</f>
        <v/>
      </c>
      <c r="X279" s="38" t="str">
        <f t="shared" si="39"/>
        <v/>
      </c>
      <c r="Y279" s="38" t="str">
        <f>IF(AND(A279="Аппарат",C279&lt;&gt;"",OR($S$5="(все)",B279=$S$5)),MAX($Y$3:Y278)+1,"")</f>
        <v/>
      </c>
      <c r="Z279" s="38" t="str">
        <f t="shared" si="40"/>
        <v/>
      </c>
      <c r="AA279" s="38" t="str">
        <f>IF(AND(A279="Модуль",C279&lt;&gt;"",OR($S$6="(все)",B279=$S$6)),MAX($AA$3:AA278)+1,"")</f>
        <v/>
      </c>
      <c r="AB279" s="38" t="str">
        <f t="shared" si="41"/>
        <v/>
      </c>
      <c r="AC279" s="38" t="str">
        <f>IF(OR(B279="",COUNTIF($B$4:B279,B279)&gt;1),"",MAX($AC$3:AC278)+1)</f>
        <v/>
      </c>
      <c r="AD279" s="38" t="str">
        <f t="shared" si="42"/>
        <v/>
      </c>
      <c r="AE279" s="38" t="str">
        <f t="shared" si="43"/>
        <v/>
      </c>
      <c r="AF279" s="38" t="str">
        <f t="shared" si="44"/>
        <v/>
      </c>
    </row>
    <row r="280" spans="1:32" x14ac:dyDescent="0.3">
      <c r="A280" s="74"/>
      <c r="B280" s="74"/>
      <c r="C280" s="74"/>
      <c r="D280" s="74"/>
      <c r="E280" s="74"/>
      <c r="F280" s="74"/>
      <c r="G280" s="74"/>
      <c r="H280" s="74"/>
      <c r="I280" s="74"/>
      <c r="J280" s="74"/>
      <c r="K280" s="74"/>
      <c r="L280" s="74"/>
      <c r="M280" s="74"/>
      <c r="N280" s="38" t="str">
        <f>IF(OR(A280="Автомат",A280="Дифавтомат"),IF(W280="","",COUNTIFS(Однолинейка!$H$3:$H$3000,U280,Однолинейка!$A$3:$A$3000,Щит_спец)),IF(A280="Аппарат",IF(C280="","",COUNTIFS(Однолинейка!$I$3:$I$3000,C280,Однолинейка!$A$3:$A$3000,Щит_спец)+COUNTIFS(Однолинейка!$J$3:$J$3000,C280,Однолинейка!$A$3:$A$3000,Щит_спец)+COUNTIFS(Однолинейка!$K$3:$K$3000,C280,Однолинейка!$A$3:$A$3000,Щит_спец)),IF(A280="Модуль",IF(C280="","",COUNTIFS(Однолинейка!$AW$3:$AW$3000,"?*",Однолинейка!$AI$3:$AI$3000,C280,Однолинейка!$A$3:$A$3000,Щит_спец)),IF(A280="Клемма",IF(C280="","",IF(C280=$S$7,SUMIFS(Однолинейка!$BW$3:$BW$3000,Однолинейка!$A$3:$A$3000,Щит_спец),IF(C280=$S$8,SUMIFS(Однолинейка!$BX$3:$BX$3000,Однолинейка!$A$3:$A$3000,Щит_спец),""))),""))))</f>
        <v/>
      </c>
      <c r="O280" s="74"/>
      <c r="P280" s="38" t="str">
        <f t="shared" si="36"/>
        <v/>
      </c>
      <c r="U280" s="38" t="str">
        <f t="shared" si="37"/>
        <v/>
      </c>
      <c r="V280" s="38" t="str">
        <f t="shared" si="38"/>
        <v/>
      </c>
      <c r="W280" s="38" t="str">
        <f>IF(AND(U280&lt;&gt;"",OR($S$4="(все)",B280=$S$4),IF($S$4="(все)",COUNTIF($U$4:U280,U280),COUNTIFS($U$4:U280,U280,$B$4:B280,B280))=1),MAX($W$3:W279)+1,"")</f>
        <v/>
      </c>
      <c r="X280" s="38" t="str">
        <f t="shared" si="39"/>
        <v/>
      </c>
      <c r="Y280" s="38" t="str">
        <f>IF(AND(A280="Аппарат",C280&lt;&gt;"",OR($S$5="(все)",B280=$S$5)),MAX($Y$3:Y279)+1,"")</f>
        <v/>
      </c>
      <c r="Z280" s="38" t="str">
        <f t="shared" si="40"/>
        <v/>
      </c>
      <c r="AA280" s="38" t="str">
        <f>IF(AND(A280="Модуль",C280&lt;&gt;"",OR($S$6="(все)",B280=$S$6)),MAX($AA$3:AA279)+1,"")</f>
        <v/>
      </c>
      <c r="AB280" s="38" t="str">
        <f t="shared" si="41"/>
        <v/>
      </c>
      <c r="AC280" s="38" t="str">
        <f>IF(OR(B280="",COUNTIF($B$4:B280,B280)&gt;1),"",MAX($AC$3:AC279)+1)</f>
        <v/>
      </c>
      <c r="AD280" s="38" t="str">
        <f t="shared" si="42"/>
        <v/>
      </c>
      <c r="AE280" s="38" t="str">
        <f t="shared" si="43"/>
        <v/>
      </c>
      <c r="AF280" s="38" t="str">
        <f t="shared" si="44"/>
        <v/>
      </c>
    </row>
    <row r="281" spans="1:32" x14ac:dyDescent="0.3">
      <c r="A281" s="74"/>
      <c r="B281" s="74"/>
      <c r="C281" s="74"/>
      <c r="D281" s="74"/>
      <c r="E281" s="74"/>
      <c r="F281" s="74"/>
      <c r="G281" s="74"/>
      <c r="H281" s="74"/>
      <c r="I281" s="74"/>
      <c r="J281" s="74"/>
      <c r="K281" s="74"/>
      <c r="L281" s="74"/>
      <c r="M281" s="74"/>
      <c r="N281" s="38" t="str">
        <f>IF(OR(A281="Автомат",A281="Дифавтомат"),IF(W281="","",COUNTIFS(Однолинейка!$H$3:$H$3000,U281,Однолинейка!$A$3:$A$3000,Щит_спец)),IF(A281="Аппарат",IF(C281="","",COUNTIFS(Однолинейка!$I$3:$I$3000,C281,Однолинейка!$A$3:$A$3000,Щит_спец)+COUNTIFS(Однолинейка!$J$3:$J$3000,C281,Однолинейка!$A$3:$A$3000,Щит_спец)+COUNTIFS(Однолинейка!$K$3:$K$3000,C281,Однолинейка!$A$3:$A$3000,Щит_спец)),IF(A281="Модуль",IF(C281="","",COUNTIFS(Однолинейка!$AW$3:$AW$3000,"?*",Однолинейка!$AI$3:$AI$3000,C281,Однолинейка!$A$3:$A$3000,Щит_спец)),IF(A281="Клемма",IF(C281="","",IF(C281=$S$7,SUMIFS(Однолинейка!$BW$3:$BW$3000,Однолинейка!$A$3:$A$3000,Щит_спец),IF(C281=$S$8,SUMIFS(Однолинейка!$BX$3:$BX$3000,Однолинейка!$A$3:$A$3000,Щит_спец),""))),""))))</f>
        <v/>
      </c>
      <c r="O281" s="74"/>
      <c r="P281" s="38" t="str">
        <f t="shared" si="36"/>
        <v/>
      </c>
      <c r="U281" s="38" t="str">
        <f t="shared" si="37"/>
        <v/>
      </c>
      <c r="V281" s="38" t="str">
        <f t="shared" si="38"/>
        <v/>
      </c>
      <c r="W281" s="38" t="str">
        <f>IF(AND(U281&lt;&gt;"",OR($S$4="(все)",B281=$S$4),IF($S$4="(все)",COUNTIF($U$4:U281,U281),COUNTIFS($U$4:U281,U281,$B$4:B281,B281))=1),MAX($W$3:W280)+1,"")</f>
        <v/>
      </c>
      <c r="X281" s="38" t="str">
        <f t="shared" si="39"/>
        <v/>
      </c>
      <c r="Y281" s="38" t="str">
        <f>IF(AND(A281="Аппарат",C281&lt;&gt;"",OR($S$5="(все)",B281=$S$5)),MAX($Y$3:Y280)+1,"")</f>
        <v/>
      </c>
      <c r="Z281" s="38" t="str">
        <f t="shared" si="40"/>
        <v/>
      </c>
      <c r="AA281" s="38" t="str">
        <f>IF(AND(A281="Модуль",C281&lt;&gt;"",OR($S$6="(все)",B281=$S$6)),MAX($AA$3:AA280)+1,"")</f>
        <v/>
      </c>
      <c r="AB281" s="38" t="str">
        <f t="shared" si="41"/>
        <v/>
      </c>
      <c r="AC281" s="38" t="str">
        <f>IF(OR(B281="",COUNTIF($B$4:B281,B281)&gt;1),"",MAX($AC$3:AC280)+1)</f>
        <v/>
      </c>
      <c r="AD281" s="38" t="str">
        <f t="shared" si="42"/>
        <v/>
      </c>
      <c r="AE281" s="38" t="str">
        <f t="shared" si="43"/>
        <v/>
      </c>
      <c r="AF281" s="38" t="str">
        <f t="shared" si="44"/>
        <v/>
      </c>
    </row>
    <row r="282" spans="1:32" x14ac:dyDescent="0.3">
      <c r="A282" s="74"/>
      <c r="B282" s="74"/>
      <c r="C282" s="74"/>
      <c r="D282" s="74"/>
      <c r="E282" s="74"/>
      <c r="F282" s="74"/>
      <c r="G282" s="74"/>
      <c r="H282" s="74"/>
      <c r="I282" s="74"/>
      <c r="J282" s="74"/>
      <c r="K282" s="74"/>
      <c r="L282" s="74"/>
      <c r="M282" s="74"/>
      <c r="N282" s="38" t="str">
        <f>IF(OR(A282="Автомат",A282="Дифавтомат"),IF(W282="","",COUNTIFS(Однолинейка!$H$3:$H$3000,U282,Однолинейка!$A$3:$A$3000,Щит_спец)),IF(A282="Аппарат",IF(C282="","",COUNTIFS(Однолинейка!$I$3:$I$3000,C282,Однолинейка!$A$3:$A$3000,Щит_спец)+COUNTIFS(Однолинейка!$J$3:$J$3000,C282,Однолинейка!$A$3:$A$3000,Щит_спец)+COUNTIFS(Однолинейка!$K$3:$K$3000,C282,Однолинейка!$A$3:$A$3000,Щит_спец)),IF(A282="Модуль",IF(C282="","",COUNTIFS(Однолинейка!$AW$3:$AW$3000,"?*",Однолинейка!$AI$3:$AI$3000,C282,Однолинейка!$A$3:$A$3000,Щит_спец)),IF(A282="Клемма",IF(C282="","",IF(C282=$S$7,SUMIFS(Однолинейка!$BW$3:$BW$3000,Однолинейка!$A$3:$A$3000,Щит_спец),IF(C282=$S$8,SUMIFS(Однолинейка!$BX$3:$BX$3000,Однолинейка!$A$3:$A$3000,Щит_спец),""))),""))))</f>
        <v/>
      </c>
      <c r="O282" s="74"/>
      <c r="P282" s="38" t="str">
        <f t="shared" si="36"/>
        <v/>
      </c>
      <c r="U282" s="38" t="str">
        <f t="shared" si="37"/>
        <v/>
      </c>
      <c r="V282" s="38" t="str">
        <f t="shared" si="38"/>
        <v/>
      </c>
      <c r="W282" s="38" t="str">
        <f>IF(AND(U282&lt;&gt;"",OR($S$4="(все)",B282=$S$4),IF($S$4="(все)",COUNTIF($U$4:U282,U282),COUNTIFS($U$4:U282,U282,$B$4:B282,B282))=1),MAX($W$3:W281)+1,"")</f>
        <v/>
      </c>
      <c r="X282" s="38" t="str">
        <f t="shared" si="39"/>
        <v/>
      </c>
      <c r="Y282" s="38" t="str">
        <f>IF(AND(A282="Аппарат",C282&lt;&gt;"",OR($S$5="(все)",B282=$S$5)),MAX($Y$3:Y281)+1,"")</f>
        <v/>
      </c>
      <c r="Z282" s="38" t="str">
        <f t="shared" si="40"/>
        <v/>
      </c>
      <c r="AA282" s="38" t="str">
        <f>IF(AND(A282="Модуль",C282&lt;&gt;"",OR($S$6="(все)",B282=$S$6)),MAX($AA$3:AA281)+1,"")</f>
        <v/>
      </c>
      <c r="AB282" s="38" t="str">
        <f t="shared" si="41"/>
        <v/>
      </c>
      <c r="AC282" s="38" t="str">
        <f>IF(OR(B282="",COUNTIF($B$4:B282,B282)&gt;1),"",MAX($AC$3:AC281)+1)</f>
        <v/>
      </c>
      <c r="AD282" s="38" t="str">
        <f t="shared" si="42"/>
        <v/>
      </c>
      <c r="AE282" s="38" t="str">
        <f t="shared" si="43"/>
        <v/>
      </c>
      <c r="AF282" s="38" t="str">
        <f t="shared" si="44"/>
        <v/>
      </c>
    </row>
    <row r="283" spans="1:32" x14ac:dyDescent="0.3">
      <c r="A283" s="74"/>
      <c r="B283" s="74"/>
      <c r="C283" s="74"/>
      <c r="D283" s="74"/>
      <c r="E283" s="74"/>
      <c r="F283" s="74"/>
      <c r="G283" s="74"/>
      <c r="H283" s="74"/>
      <c r="I283" s="74"/>
      <c r="J283" s="74"/>
      <c r="K283" s="74"/>
      <c r="L283" s="74"/>
      <c r="M283" s="74"/>
      <c r="N283" s="38" t="str">
        <f>IF(OR(A283="Автомат",A283="Дифавтомат"),IF(W283="","",COUNTIFS(Однолинейка!$H$3:$H$3000,U283,Однолинейка!$A$3:$A$3000,Щит_спец)),IF(A283="Аппарат",IF(C283="","",COUNTIFS(Однолинейка!$I$3:$I$3000,C283,Однолинейка!$A$3:$A$3000,Щит_спец)+COUNTIFS(Однолинейка!$J$3:$J$3000,C283,Однолинейка!$A$3:$A$3000,Щит_спец)+COUNTIFS(Однолинейка!$K$3:$K$3000,C283,Однолинейка!$A$3:$A$3000,Щит_спец)),IF(A283="Модуль",IF(C283="","",COUNTIFS(Однолинейка!$AW$3:$AW$3000,"?*",Однолинейка!$AI$3:$AI$3000,C283,Однолинейка!$A$3:$A$3000,Щит_спец)),IF(A283="Клемма",IF(C283="","",IF(C283=$S$7,SUMIFS(Однолинейка!$BW$3:$BW$3000,Однолинейка!$A$3:$A$3000,Щит_спец),IF(C283=$S$8,SUMIFS(Однолинейка!$BX$3:$BX$3000,Однолинейка!$A$3:$A$3000,Щит_спец),""))),""))))</f>
        <v/>
      </c>
      <c r="O283" s="74"/>
      <c r="P283" s="38" t="str">
        <f t="shared" si="36"/>
        <v/>
      </c>
      <c r="U283" s="38" t="str">
        <f t="shared" si="37"/>
        <v/>
      </c>
      <c r="V283" s="38" t="str">
        <f t="shared" si="38"/>
        <v/>
      </c>
      <c r="W283" s="38" t="str">
        <f>IF(AND(U283&lt;&gt;"",OR($S$4="(все)",B283=$S$4),IF($S$4="(все)",COUNTIF($U$4:U283,U283),COUNTIFS($U$4:U283,U283,$B$4:B283,B283))=1),MAX($W$3:W282)+1,"")</f>
        <v/>
      </c>
      <c r="X283" s="38" t="str">
        <f t="shared" si="39"/>
        <v/>
      </c>
      <c r="Y283" s="38" t="str">
        <f>IF(AND(A283="Аппарат",C283&lt;&gt;"",OR($S$5="(все)",B283=$S$5)),MAX($Y$3:Y282)+1,"")</f>
        <v/>
      </c>
      <c r="Z283" s="38" t="str">
        <f t="shared" si="40"/>
        <v/>
      </c>
      <c r="AA283" s="38" t="str">
        <f>IF(AND(A283="Модуль",C283&lt;&gt;"",OR($S$6="(все)",B283=$S$6)),MAX($AA$3:AA282)+1,"")</f>
        <v/>
      </c>
      <c r="AB283" s="38" t="str">
        <f t="shared" si="41"/>
        <v/>
      </c>
      <c r="AC283" s="38" t="str">
        <f>IF(OR(B283="",COUNTIF($B$4:B283,B283)&gt;1),"",MAX($AC$3:AC282)+1)</f>
        <v/>
      </c>
      <c r="AD283" s="38" t="str">
        <f t="shared" si="42"/>
        <v/>
      </c>
      <c r="AE283" s="38" t="str">
        <f t="shared" si="43"/>
        <v/>
      </c>
      <c r="AF283" s="38" t="str">
        <f t="shared" si="44"/>
        <v/>
      </c>
    </row>
    <row r="284" spans="1:32" x14ac:dyDescent="0.3">
      <c r="A284" s="74"/>
      <c r="B284" s="74"/>
      <c r="C284" s="74"/>
      <c r="D284" s="74"/>
      <c r="E284" s="74"/>
      <c r="F284" s="74"/>
      <c r="G284" s="74"/>
      <c r="H284" s="74"/>
      <c r="I284" s="74"/>
      <c r="J284" s="74"/>
      <c r="K284" s="74"/>
      <c r="L284" s="74"/>
      <c r="M284" s="74"/>
      <c r="N284" s="38" t="str">
        <f>IF(OR(A284="Автомат",A284="Дифавтомат"),IF(W284="","",COUNTIFS(Однолинейка!$H$3:$H$3000,U284,Однолинейка!$A$3:$A$3000,Щит_спец)),IF(A284="Аппарат",IF(C284="","",COUNTIFS(Однолинейка!$I$3:$I$3000,C284,Однолинейка!$A$3:$A$3000,Щит_спец)+COUNTIFS(Однолинейка!$J$3:$J$3000,C284,Однолинейка!$A$3:$A$3000,Щит_спец)+COUNTIFS(Однолинейка!$K$3:$K$3000,C284,Однолинейка!$A$3:$A$3000,Щит_спец)),IF(A284="Модуль",IF(C284="","",COUNTIFS(Однолинейка!$AW$3:$AW$3000,"?*",Однолинейка!$AI$3:$AI$3000,C284,Однолинейка!$A$3:$A$3000,Щит_спец)),IF(A284="Клемма",IF(C284="","",IF(C284=$S$7,SUMIFS(Однолинейка!$BW$3:$BW$3000,Однолинейка!$A$3:$A$3000,Щит_спец),IF(C284=$S$8,SUMIFS(Однолинейка!$BX$3:$BX$3000,Однолинейка!$A$3:$A$3000,Щит_спец),""))),""))))</f>
        <v/>
      </c>
      <c r="O284" s="74"/>
      <c r="P284" s="38" t="str">
        <f t="shared" si="36"/>
        <v/>
      </c>
      <c r="U284" s="38" t="str">
        <f t="shared" si="37"/>
        <v/>
      </c>
      <c r="V284" s="38" t="str">
        <f t="shared" si="38"/>
        <v/>
      </c>
      <c r="W284" s="38" t="str">
        <f>IF(AND(U284&lt;&gt;"",OR($S$4="(все)",B284=$S$4),IF($S$4="(все)",COUNTIF($U$4:U284,U284),COUNTIFS($U$4:U284,U284,$B$4:B284,B284))=1),MAX($W$3:W283)+1,"")</f>
        <v/>
      </c>
      <c r="X284" s="38" t="str">
        <f t="shared" si="39"/>
        <v/>
      </c>
      <c r="Y284" s="38" t="str">
        <f>IF(AND(A284="Аппарат",C284&lt;&gt;"",OR($S$5="(все)",B284=$S$5)),MAX($Y$3:Y283)+1,"")</f>
        <v/>
      </c>
      <c r="Z284" s="38" t="str">
        <f t="shared" si="40"/>
        <v/>
      </c>
      <c r="AA284" s="38" t="str">
        <f>IF(AND(A284="Модуль",C284&lt;&gt;"",OR($S$6="(все)",B284=$S$6)),MAX($AA$3:AA283)+1,"")</f>
        <v/>
      </c>
      <c r="AB284" s="38" t="str">
        <f t="shared" si="41"/>
        <v/>
      </c>
      <c r="AC284" s="38" t="str">
        <f>IF(OR(B284="",COUNTIF($B$4:B284,B284)&gt;1),"",MAX($AC$3:AC283)+1)</f>
        <v/>
      </c>
      <c r="AD284" s="38" t="str">
        <f t="shared" si="42"/>
        <v/>
      </c>
      <c r="AE284" s="38" t="str">
        <f t="shared" si="43"/>
        <v/>
      </c>
      <c r="AF284" s="38" t="str">
        <f t="shared" si="44"/>
        <v/>
      </c>
    </row>
    <row r="285" spans="1:32" x14ac:dyDescent="0.3">
      <c r="A285" s="74"/>
      <c r="B285" s="74"/>
      <c r="C285" s="74"/>
      <c r="D285" s="74"/>
      <c r="E285" s="74"/>
      <c r="F285" s="74"/>
      <c r="G285" s="74"/>
      <c r="H285" s="74"/>
      <c r="I285" s="74"/>
      <c r="J285" s="74"/>
      <c r="K285" s="74"/>
      <c r="L285" s="74"/>
      <c r="M285" s="74"/>
      <c r="N285" s="38" t="str">
        <f>IF(OR(A285="Автомат",A285="Дифавтомат"),IF(W285="","",COUNTIFS(Однолинейка!$H$3:$H$3000,U285,Однолинейка!$A$3:$A$3000,Щит_спец)),IF(A285="Аппарат",IF(C285="","",COUNTIFS(Однолинейка!$I$3:$I$3000,C285,Однолинейка!$A$3:$A$3000,Щит_спец)+COUNTIFS(Однолинейка!$J$3:$J$3000,C285,Однолинейка!$A$3:$A$3000,Щит_спец)+COUNTIFS(Однолинейка!$K$3:$K$3000,C285,Однолинейка!$A$3:$A$3000,Щит_спец)),IF(A285="Модуль",IF(C285="","",COUNTIFS(Однолинейка!$AW$3:$AW$3000,"?*",Однолинейка!$AI$3:$AI$3000,C285,Однолинейка!$A$3:$A$3000,Щит_спец)),IF(A285="Клемма",IF(C285="","",IF(C285=$S$7,SUMIFS(Однолинейка!$BW$3:$BW$3000,Однолинейка!$A$3:$A$3000,Щит_спец),IF(C285=$S$8,SUMIFS(Однолинейка!$BX$3:$BX$3000,Однолинейка!$A$3:$A$3000,Щит_спец),""))),""))))</f>
        <v/>
      </c>
      <c r="O285" s="74"/>
      <c r="P285" s="38" t="str">
        <f t="shared" si="36"/>
        <v/>
      </c>
      <c r="U285" s="38" t="str">
        <f t="shared" si="37"/>
        <v/>
      </c>
      <c r="V285" s="38" t="str">
        <f t="shared" si="38"/>
        <v/>
      </c>
      <c r="W285" s="38" t="str">
        <f>IF(AND(U285&lt;&gt;"",OR($S$4="(все)",B285=$S$4),IF($S$4="(все)",COUNTIF($U$4:U285,U285),COUNTIFS($U$4:U285,U285,$B$4:B285,B285))=1),MAX($W$3:W284)+1,"")</f>
        <v/>
      </c>
      <c r="X285" s="38" t="str">
        <f t="shared" si="39"/>
        <v/>
      </c>
      <c r="Y285" s="38" t="str">
        <f>IF(AND(A285="Аппарат",C285&lt;&gt;"",OR($S$5="(все)",B285=$S$5)),MAX($Y$3:Y284)+1,"")</f>
        <v/>
      </c>
      <c r="Z285" s="38" t="str">
        <f t="shared" si="40"/>
        <v/>
      </c>
      <c r="AA285" s="38" t="str">
        <f>IF(AND(A285="Модуль",C285&lt;&gt;"",OR($S$6="(все)",B285=$S$6)),MAX($AA$3:AA284)+1,"")</f>
        <v/>
      </c>
      <c r="AB285" s="38" t="str">
        <f t="shared" si="41"/>
        <v/>
      </c>
      <c r="AC285" s="38" t="str">
        <f>IF(OR(B285="",COUNTIF($B$4:B285,B285)&gt;1),"",MAX($AC$3:AC284)+1)</f>
        <v/>
      </c>
      <c r="AD285" s="38" t="str">
        <f t="shared" si="42"/>
        <v/>
      </c>
      <c r="AE285" s="38" t="str">
        <f t="shared" si="43"/>
        <v/>
      </c>
      <c r="AF285" s="38" t="str">
        <f t="shared" si="44"/>
        <v/>
      </c>
    </row>
    <row r="286" spans="1:32" x14ac:dyDescent="0.3">
      <c r="A286" s="74"/>
      <c r="B286" s="74"/>
      <c r="C286" s="74"/>
      <c r="D286" s="74"/>
      <c r="E286" s="74"/>
      <c r="F286" s="74"/>
      <c r="G286" s="74"/>
      <c r="H286" s="74"/>
      <c r="I286" s="74"/>
      <c r="J286" s="74"/>
      <c r="K286" s="74"/>
      <c r="L286" s="74"/>
      <c r="M286" s="74"/>
      <c r="N286" s="38" t="str">
        <f>IF(OR(A286="Автомат",A286="Дифавтомат"),IF(W286="","",COUNTIFS(Однолинейка!$H$3:$H$3000,U286,Однолинейка!$A$3:$A$3000,Щит_спец)),IF(A286="Аппарат",IF(C286="","",COUNTIFS(Однолинейка!$I$3:$I$3000,C286,Однолинейка!$A$3:$A$3000,Щит_спец)+COUNTIFS(Однолинейка!$J$3:$J$3000,C286,Однолинейка!$A$3:$A$3000,Щит_спец)+COUNTIFS(Однолинейка!$K$3:$K$3000,C286,Однолинейка!$A$3:$A$3000,Щит_спец)),IF(A286="Модуль",IF(C286="","",COUNTIFS(Однолинейка!$AW$3:$AW$3000,"?*",Однолинейка!$AI$3:$AI$3000,C286,Однолинейка!$A$3:$A$3000,Щит_спец)),IF(A286="Клемма",IF(C286="","",IF(C286=$S$7,SUMIFS(Однолинейка!$BW$3:$BW$3000,Однолинейка!$A$3:$A$3000,Щит_спец),IF(C286=$S$8,SUMIFS(Однолинейка!$BX$3:$BX$3000,Однолинейка!$A$3:$A$3000,Щит_спец),""))),""))))</f>
        <v/>
      </c>
      <c r="O286" s="74"/>
      <c r="P286" s="38" t="str">
        <f t="shared" si="36"/>
        <v/>
      </c>
      <c r="U286" s="38" t="str">
        <f t="shared" si="37"/>
        <v/>
      </c>
      <c r="V286" s="38" t="str">
        <f t="shared" si="38"/>
        <v/>
      </c>
      <c r="W286" s="38" t="str">
        <f>IF(AND(U286&lt;&gt;"",OR($S$4="(все)",B286=$S$4),IF($S$4="(все)",COUNTIF($U$4:U286,U286),COUNTIFS($U$4:U286,U286,$B$4:B286,B286))=1),MAX($W$3:W285)+1,"")</f>
        <v/>
      </c>
      <c r="X286" s="38" t="str">
        <f t="shared" si="39"/>
        <v/>
      </c>
      <c r="Y286" s="38" t="str">
        <f>IF(AND(A286="Аппарат",C286&lt;&gt;"",OR($S$5="(все)",B286=$S$5)),MAX($Y$3:Y285)+1,"")</f>
        <v/>
      </c>
      <c r="Z286" s="38" t="str">
        <f t="shared" si="40"/>
        <v/>
      </c>
      <c r="AA286" s="38" t="str">
        <f>IF(AND(A286="Модуль",C286&lt;&gt;"",OR($S$6="(все)",B286=$S$6)),MAX($AA$3:AA285)+1,"")</f>
        <v/>
      </c>
      <c r="AB286" s="38" t="str">
        <f t="shared" si="41"/>
        <v/>
      </c>
      <c r="AC286" s="38" t="str">
        <f>IF(OR(B286="",COUNTIF($B$4:B286,B286)&gt;1),"",MAX($AC$3:AC285)+1)</f>
        <v/>
      </c>
      <c r="AD286" s="38" t="str">
        <f t="shared" si="42"/>
        <v/>
      </c>
      <c r="AE286" s="38" t="str">
        <f t="shared" si="43"/>
        <v/>
      </c>
      <c r="AF286" s="38" t="str">
        <f t="shared" si="44"/>
        <v/>
      </c>
    </row>
    <row r="287" spans="1:32" x14ac:dyDescent="0.3">
      <c r="A287" s="74"/>
      <c r="B287" s="74"/>
      <c r="C287" s="74"/>
      <c r="D287" s="74"/>
      <c r="E287" s="74"/>
      <c r="F287" s="74"/>
      <c r="G287" s="74"/>
      <c r="H287" s="74"/>
      <c r="I287" s="74"/>
      <c r="J287" s="74"/>
      <c r="K287" s="74"/>
      <c r="L287" s="74"/>
      <c r="M287" s="74"/>
      <c r="N287" s="38" t="str">
        <f>IF(OR(A287="Автомат",A287="Дифавтомат"),IF(W287="","",COUNTIFS(Однолинейка!$H$3:$H$3000,U287,Однолинейка!$A$3:$A$3000,Щит_спец)),IF(A287="Аппарат",IF(C287="","",COUNTIFS(Однолинейка!$I$3:$I$3000,C287,Однолинейка!$A$3:$A$3000,Щит_спец)+COUNTIFS(Однолинейка!$J$3:$J$3000,C287,Однолинейка!$A$3:$A$3000,Щит_спец)+COUNTIFS(Однолинейка!$K$3:$K$3000,C287,Однолинейка!$A$3:$A$3000,Щит_спец)),IF(A287="Модуль",IF(C287="","",COUNTIFS(Однолинейка!$AW$3:$AW$3000,"?*",Однолинейка!$AI$3:$AI$3000,C287,Однолинейка!$A$3:$A$3000,Щит_спец)),IF(A287="Клемма",IF(C287="","",IF(C287=$S$7,SUMIFS(Однолинейка!$BW$3:$BW$3000,Однолинейка!$A$3:$A$3000,Щит_спец),IF(C287=$S$8,SUMIFS(Однолинейка!$BX$3:$BX$3000,Однолинейка!$A$3:$A$3000,Щит_спец),""))),""))))</f>
        <v/>
      </c>
      <c r="O287" s="74"/>
      <c r="P287" s="38" t="str">
        <f t="shared" si="36"/>
        <v/>
      </c>
      <c r="U287" s="38" t="str">
        <f t="shared" si="37"/>
        <v/>
      </c>
      <c r="V287" s="38" t="str">
        <f t="shared" si="38"/>
        <v/>
      </c>
      <c r="W287" s="38" t="str">
        <f>IF(AND(U287&lt;&gt;"",OR($S$4="(все)",B287=$S$4),IF($S$4="(все)",COUNTIF($U$4:U287,U287),COUNTIFS($U$4:U287,U287,$B$4:B287,B287))=1),MAX($W$3:W286)+1,"")</f>
        <v/>
      </c>
      <c r="X287" s="38" t="str">
        <f t="shared" si="39"/>
        <v/>
      </c>
      <c r="Y287" s="38" t="str">
        <f>IF(AND(A287="Аппарат",C287&lt;&gt;"",OR($S$5="(все)",B287=$S$5)),MAX($Y$3:Y286)+1,"")</f>
        <v/>
      </c>
      <c r="Z287" s="38" t="str">
        <f t="shared" si="40"/>
        <v/>
      </c>
      <c r="AA287" s="38" t="str">
        <f>IF(AND(A287="Модуль",C287&lt;&gt;"",OR($S$6="(все)",B287=$S$6)),MAX($AA$3:AA286)+1,"")</f>
        <v/>
      </c>
      <c r="AB287" s="38" t="str">
        <f t="shared" si="41"/>
        <v/>
      </c>
      <c r="AC287" s="38" t="str">
        <f>IF(OR(B287="",COUNTIF($B$4:B287,B287)&gt;1),"",MAX($AC$3:AC286)+1)</f>
        <v/>
      </c>
      <c r="AD287" s="38" t="str">
        <f t="shared" si="42"/>
        <v/>
      </c>
      <c r="AE287" s="38" t="str">
        <f t="shared" si="43"/>
        <v/>
      </c>
      <c r="AF287" s="38" t="str">
        <f t="shared" si="44"/>
        <v/>
      </c>
    </row>
    <row r="288" spans="1:32" x14ac:dyDescent="0.3">
      <c r="A288" s="74"/>
      <c r="B288" s="74"/>
      <c r="C288" s="74"/>
      <c r="D288" s="74"/>
      <c r="E288" s="74"/>
      <c r="F288" s="74"/>
      <c r="G288" s="74"/>
      <c r="H288" s="74"/>
      <c r="I288" s="74"/>
      <c r="J288" s="74"/>
      <c r="K288" s="74"/>
      <c r="L288" s="74"/>
      <c r="M288" s="74"/>
      <c r="N288" s="38" t="str">
        <f>IF(OR(A288="Автомат",A288="Дифавтомат"),IF(W288="","",COUNTIFS(Однолинейка!$H$3:$H$3000,U288,Однолинейка!$A$3:$A$3000,Щит_спец)),IF(A288="Аппарат",IF(C288="","",COUNTIFS(Однолинейка!$I$3:$I$3000,C288,Однолинейка!$A$3:$A$3000,Щит_спец)+COUNTIFS(Однолинейка!$J$3:$J$3000,C288,Однолинейка!$A$3:$A$3000,Щит_спец)+COUNTIFS(Однолинейка!$K$3:$K$3000,C288,Однолинейка!$A$3:$A$3000,Щит_спец)),IF(A288="Модуль",IF(C288="","",COUNTIFS(Однолинейка!$AW$3:$AW$3000,"?*",Однолинейка!$AI$3:$AI$3000,C288,Однолинейка!$A$3:$A$3000,Щит_спец)),IF(A288="Клемма",IF(C288="","",IF(C288=$S$7,SUMIFS(Однолинейка!$BW$3:$BW$3000,Однолинейка!$A$3:$A$3000,Щит_спец),IF(C288=$S$8,SUMIFS(Однолинейка!$BX$3:$BX$3000,Однолинейка!$A$3:$A$3000,Щит_спец),""))),""))))</f>
        <v/>
      </c>
      <c r="O288" s="74"/>
      <c r="P288" s="38" t="str">
        <f t="shared" si="36"/>
        <v/>
      </c>
      <c r="U288" s="38" t="str">
        <f t="shared" si="37"/>
        <v/>
      </c>
      <c r="V288" s="38" t="str">
        <f t="shared" si="38"/>
        <v/>
      </c>
      <c r="W288" s="38" t="str">
        <f>IF(AND(U288&lt;&gt;"",OR($S$4="(все)",B288=$S$4),IF($S$4="(все)",COUNTIF($U$4:U288,U288),COUNTIFS($U$4:U288,U288,$B$4:B288,B288))=1),MAX($W$3:W287)+1,"")</f>
        <v/>
      </c>
      <c r="X288" s="38" t="str">
        <f t="shared" si="39"/>
        <v/>
      </c>
      <c r="Y288" s="38" t="str">
        <f>IF(AND(A288="Аппарат",C288&lt;&gt;"",OR($S$5="(все)",B288=$S$5)),MAX($Y$3:Y287)+1,"")</f>
        <v/>
      </c>
      <c r="Z288" s="38" t="str">
        <f t="shared" si="40"/>
        <v/>
      </c>
      <c r="AA288" s="38" t="str">
        <f>IF(AND(A288="Модуль",C288&lt;&gt;"",OR($S$6="(все)",B288=$S$6)),MAX($AA$3:AA287)+1,"")</f>
        <v/>
      </c>
      <c r="AB288" s="38" t="str">
        <f t="shared" si="41"/>
        <v/>
      </c>
      <c r="AC288" s="38" t="str">
        <f>IF(OR(B288="",COUNTIF($B$4:B288,B288)&gt;1),"",MAX($AC$3:AC287)+1)</f>
        <v/>
      </c>
      <c r="AD288" s="38" t="str">
        <f t="shared" si="42"/>
        <v/>
      </c>
      <c r="AE288" s="38" t="str">
        <f t="shared" si="43"/>
        <v/>
      </c>
      <c r="AF288" s="38" t="str">
        <f t="shared" si="44"/>
        <v/>
      </c>
    </row>
    <row r="289" spans="1:32" x14ac:dyDescent="0.3">
      <c r="A289" s="74"/>
      <c r="B289" s="74"/>
      <c r="C289" s="74"/>
      <c r="D289" s="74"/>
      <c r="E289" s="74"/>
      <c r="F289" s="74"/>
      <c r="G289" s="74"/>
      <c r="H289" s="74"/>
      <c r="I289" s="74"/>
      <c r="J289" s="74"/>
      <c r="K289" s="74"/>
      <c r="L289" s="74"/>
      <c r="M289" s="74"/>
      <c r="N289" s="38" t="str">
        <f>IF(OR(A289="Автомат",A289="Дифавтомат"),IF(W289="","",COUNTIFS(Однолинейка!$H$3:$H$3000,U289,Однолинейка!$A$3:$A$3000,Щит_спец)),IF(A289="Аппарат",IF(C289="","",COUNTIFS(Однолинейка!$I$3:$I$3000,C289,Однолинейка!$A$3:$A$3000,Щит_спец)+COUNTIFS(Однолинейка!$J$3:$J$3000,C289,Однолинейка!$A$3:$A$3000,Щит_спец)+COUNTIFS(Однолинейка!$K$3:$K$3000,C289,Однолинейка!$A$3:$A$3000,Щит_спец)),IF(A289="Модуль",IF(C289="","",COUNTIFS(Однолинейка!$AW$3:$AW$3000,"?*",Однолинейка!$AI$3:$AI$3000,C289,Однолинейка!$A$3:$A$3000,Щит_спец)),IF(A289="Клемма",IF(C289="","",IF(C289=$S$7,SUMIFS(Однолинейка!$BW$3:$BW$3000,Однолинейка!$A$3:$A$3000,Щит_спец),IF(C289=$S$8,SUMIFS(Однолинейка!$BX$3:$BX$3000,Однолинейка!$A$3:$A$3000,Щит_спец),""))),""))))</f>
        <v/>
      </c>
      <c r="O289" s="74"/>
      <c r="P289" s="38" t="str">
        <f t="shared" si="36"/>
        <v/>
      </c>
      <c r="U289" s="38" t="str">
        <f t="shared" si="37"/>
        <v/>
      </c>
      <c r="V289" s="38" t="str">
        <f t="shared" si="38"/>
        <v/>
      </c>
      <c r="W289" s="38" t="str">
        <f>IF(AND(U289&lt;&gt;"",OR($S$4="(все)",B289=$S$4),IF($S$4="(все)",COUNTIF($U$4:U289,U289),COUNTIFS($U$4:U289,U289,$B$4:B289,B289))=1),MAX($W$3:W288)+1,"")</f>
        <v/>
      </c>
      <c r="X289" s="38" t="str">
        <f t="shared" si="39"/>
        <v/>
      </c>
      <c r="Y289" s="38" t="str">
        <f>IF(AND(A289="Аппарат",C289&lt;&gt;"",OR($S$5="(все)",B289=$S$5)),MAX($Y$3:Y288)+1,"")</f>
        <v/>
      </c>
      <c r="Z289" s="38" t="str">
        <f t="shared" si="40"/>
        <v/>
      </c>
      <c r="AA289" s="38" t="str">
        <f>IF(AND(A289="Модуль",C289&lt;&gt;"",OR($S$6="(все)",B289=$S$6)),MAX($AA$3:AA288)+1,"")</f>
        <v/>
      </c>
      <c r="AB289" s="38" t="str">
        <f t="shared" si="41"/>
        <v/>
      </c>
      <c r="AC289" s="38" t="str">
        <f>IF(OR(B289="",COUNTIF($B$4:B289,B289)&gt;1),"",MAX($AC$3:AC288)+1)</f>
        <v/>
      </c>
      <c r="AD289" s="38" t="str">
        <f t="shared" si="42"/>
        <v/>
      </c>
      <c r="AE289" s="38" t="str">
        <f t="shared" si="43"/>
        <v/>
      </c>
      <c r="AF289" s="38" t="str">
        <f t="shared" si="44"/>
        <v/>
      </c>
    </row>
    <row r="290" spans="1:32" x14ac:dyDescent="0.3">
      <c r="A290" s="74"/>
      <c r="B290" s="74"/>
      <c r="C290" s="74"/>
      <c r="D290" s="74"/>
      <c r="E290" s="74"/>
      <c r="F290" s="74"/>
      <c r="G290" s="74"/>
      <c r="H290" s="74"/>
      <c r="I290" s="74"/>
      <c r="J290" s="74"/>
      <c r="K290" s="74"/>
      <c r="L290" s="74"/>
      <c r="M290" s="74"/>
      <c r="N290" s="38" t="str">
        <f>IF(OR(A290="Автомат",A290="Дифавтомат"),IF(W290="","",COUNTIFS(Однолинейка!$H$3:$H$3000,U290,Однолинейка!$A$3:$A$3000,Щит_спец)),IF(A290="Аппарат",IF(C290="","",COUNTIFS(Однолинейка!$I$3:$I$3000,C290,Однолинейка!$A$3:$A$3000,Щит_спец)+COUNTIFS(Однолинейка!$J$3:$J$3000,C290,Однолинейка!$A$3:$A$3000,Щит_спец)+COUNTIFS(Однолинейка!$K$3:$K$3000,C290,Однолинейка!$A$3:$A$3000,Щит_спец)),IF(A290="Модуль",IF(C290="","",COUNTIFS(Однолинейка!$AW$3:$AW$3000,"?*",Однолинейка!$AI$3:$AI$3000,C290,Однолинейка!$A$3:$A$3000,Щит_спец)),IF(A290="Клемма",IF(C290="","",IF(C290=$S$7,SUMIFS(Однолинейка!$BW$3:$BW$3000,Однолинейка!$A$3:$A$3000,Щит_спец),IF(C290=$S$8,SUMIFS(Однолинейка!$BX$3:$BX$3000,Однолинейка!$A$3:$A$3000,Щит_спец),""))),""))))</f>
        <v/>
      </c>
      <c r="O290" s="74"/>
      <c r="P290" s="38" t="str">
        <f t="shared" si="36"/>
        <v/>
      </c>
      <c r="U290" s="38" t="str">
        <f t="shared" si="37"/>
        <v/>
      </c>
      <c r="V290" s="38" t="str">
        <f t="shared" si="38"/>
        <v/>
      </c>
      <c r="W290" s="38" t="str">
        <f>IF(AND(U290&lt;&gt;"",OR($S$4="(все)",B290=$S$4),IF($S$4="(все)",COUNTIF($U$4:U290,U290),COUNTIFS($U$4:U290,U290,$B$4:B290,B290))=1),MAX($W$3:W289)+1,"")</f>
        <v/>
      </c>
      <c r="X290" s="38" t="str">
        <f t="shared" si="39"/>
        <v/>
      </c>
      <c r="Y290" s="38" t="str">
        <f>IF(AND(A290="Аппарат",C290&lt;&gt;"",OR($S$5="(все)",B290=$S$5)),MAX($Y$3:Y289)+1,"")</f>
        <v/>
      </c>
      <c r="Z290" s="38" t="str">
        <f t="shared" si="40"/>
        <v/>
      </c>
      <c r="AA290" s="38" t="str">
        <f>IF(AND(A290="Модуль",C290&lt;&gt;"",OR($S$6="(все)",B290=$S$6)),MAX($AA$3:AA289)+1,"")</f>
        <v/>
      </c>
      <c r="AB290" s="38" t="str">
        <f t="shared" si="41"/>
        <v/>
      </c>
      <c r="AC290" s="38" t="str">
        <f>IF(OR(B290="",COUNTIF($B$4:B290,B290)&gt;1),"",MAX($AC$3:AC289)+1)</f>
        <v/>
      </c>
      <c r="AD290" s="38" t="str">
        <f t="shared" si="42"/>
        <v/>
      </c>
      <c r="AE290" s="38" t="str">
        <f t="shared" si="43"/>
        <v/>
      </c>
      <c r="AF290" s="38" t="str">
        <f t="shared" si="44"/>
        <v/>
      </c>
    </row>
    <row r="291" spans="1:32" x14ac:dyDescent="0.3">
      <c r="A291" s="74"/>
      <c r="B291" s="74"/>
      <c r="C291" s="74"/>
      <c r="D291" s="74"/>
      <c r="E291" s="74"/>
      <c r="F291" s="74"/>
      <c r="G291" s="74"/>
      <c r="H291" s="74"/>
      <c r="I291" s="74"/>
      <c r="J291" s="74"/>
      <c r="K291" s="74"/>
      <c r="L291" s="74"/>
      <c r="M291" s="74"/>
      <c r="N291" s="38" t="str">
        <f>IF(OR(A291="Автомат",A291="Дифавтомат"),IF(W291="","",COUNTIFS(Однолинейка!$H$3:$H$3000,U291,Однолинейка!$A$3:$A$3000,Щит_спец)),IF(A291="Аппарат",IF(C291="","",COUNTIFS(Однолинейка!$I$3:$I$3000,C291,Однолинейка!$A$3:$A$3000,Щит_спец)+COUNTIFS(Однолинейка!$J$3:$J$3000,C291,Однолинейка!$A$3:$A$3000,Щит_спец)+COUNTIFS(Однолинейка!$K$3:$K$3000,C291,Однолинейка!$A$3:$A$3000,Щит_спец)),IF(A291="Модуль",IF(C291="","",COUNTIFS(Однолинейка!$AW$3:$AW$3000,"?*",Однолинейка!$AI$3:$AI$3000,C291,Однолинейка!$A$3:$A$3000,Щит_спец)),IF(A291="Клемма",IF(C291="","",IF(C291=$S$7,SUMIFS(Однолинейка!$BW$3:$BW$3000,Однолинейка!$A$3:$A$3000,Щит_спец),IF(C291=$S$8,SUMIFS(Однолинейка!$BX$3:$BX$3000,Однолинейка!$A$3:$A$3000,Щит_спец),""))),""))))</f>
        <v/>
      </c>
      <c r="O291" s="74"/>
      <c r="P291" s="38" t="str">
        <f t="shared" si="36"/>
        <v/>
      </c>
      <c r="U291" s="38" t="str">
        <f t="shared" si="37"/>
        <v/>
      </c>
      <c r="V291" s="38" t="str">
        <f t="shared" si="38"/>
        <v/>
      </c>
      <c r="W291" s="38" t="str">
        <f>IF(AND(U291&lt;&gt;"",OR($S$4="(все)",B291=$S$4),IF($S$4="(все)",COUNTIF($U$4:U291,U291),COUNTIFS($U$4:U291,U291,$B$4:B291,B291))=1),MAX($W$3:W290)+1,"")</f>
        <v/>
      </c>
      <c r="X291" s="38" t="str">
        <f t="shared" si="39"/>
        <v/>
      </c>
      <c r="Y291" s="38" t="str">
        <f>IF(AND(A291="Аппарат",C291&lt;&gt;"",OR($S$5="(все)",B291=$S$5)),MAX($Y$3:Y290)+1,"")</f>
        <v/>
      </c>
      <c r="Z291" s="38" t="str">
        <f t="shared" si="40"/>
        <v/>
      </c>
      <c r="AA291" s="38" t="str">
        <f>IF(AND(A291="Модуль",C291&lt;&gt;"",OR($S$6="(все)",B291=$S$6)),MAX($AA$3:AA290)+1,"")</f>
        <v/>
      </c>
      <c r="AB291" s="38" t="str">
        <f t="shared" si="41"/>
        <v/>
      </c>
      <c r="AC291" s="38" t="str">
        <f>IF(OR(B291="",COUNTIF($B$4:B291,B291)&gt;1),"",MAX($AC$3:AC290)+1)</f>
        <v/>
      </c>
      <c r="AD291" s="38" t="str">
        <f t="shared" si="42"/>
        <v/>
      </c>
      <c r="AE291" s="38" t="str">
        <f t="shared" si="43"/>
        <v/>
      </c>
      <c r="AF291" s="38" t="str">
        <f t="shared" si="44"/>
        <v/>
      </c>
    </row>
    <row r="292" spans="1:32" x14ac:dyDescent="0.3">
      <c r="A292" s="74"/>
      <c r="B292" s="74"/>
      <c r="C292" s="74"/>
      <c r="D292" s="74"/>
      <c r="E292" s="74"/>
      <c r="F292" s="74"/>
      <c r="G292" s="74"/>
      <c r="H292" s="74"/>
      <c r="I292" s="74"/>
      <c r="J292" s="74"/>
      <c r="K292" s="74"/>
      <c r="L292" s="74"/>
      <c r="M292" s="74"/>
      <c r="N292" s="38" t="str">
        <f>IF(OR(A292="Автомат",A292="Дифавтомат"),IF(W292="","",COUNTIFS(Однолинейка!$H$3:$H$3000,U292,Однолинейка!$A$3:$A$3000,Щит_спец)),IF(A292="Аппарат",IF(C292="","",COUNTIFS(Однолинейка!$I$3:$I$3000,C292,Однолинейка!$A$3:$A$3000,Щит_спец)+COUNTIFS(Однолинейка!$J$3:$J$3000,C292,Однолинейка!$A$3:$A$3000,Щит_спец)+COUNTIFS(Однолинейка!$K$3:$K$3000,C292,Однолинейка!$A$3:$A$3000,Щит_спец)),IF(A292="Модуль",IF(C292="","",COUNTIFS(Однолинейка!$AW$3:$AW$3000,"?*",Однолинейка!$AI$3:$AI$3000,C292,Однолинейка!$A$3:$A$3000,Щит_спец)),IF(A292="Клемма",IF(C292="","",IF(C292=$S$7,SUMIFS(Однолинейка!$BW$3:$BW$3000,Однолинейка!$A$3:$A$3000,Щит_спец),IF(C292=$S$8,SUMIFS(Однолинейка!$BX$3:$BX$3000,Однолинейка!$A$3:$A$3000,Щит_спец),""))),""))))</f>
        <v/>
      </c>
      <c r="O292" s="74"/>
      <c r="P292" s="38" t="str">
        <f t="shared" si="36"/>
        <v/>
      </c>
      <c r="U292" s="38" t="str">
        <f t="shared" si="37"/>
        <v/>
      </c>
      <c r="V292" s="38" t="str">
        <f t="shared" si="38"/>
        <v/>
      </c>
      <c r="W292" s="38" t="str">
        <f>IF(AND(U292&lt;&gt;"",OR($S$4="(все)",B292=$S$4),IF($S$4="(все)",COUNTIF($U$4:U292,U292),COUNTIFS($U$4:U292,U292,$B$4:B292,B292))=1),MAX($W$3:W291)+1,"")</f>
        <v/>
      </c>
      <c r="X292" s="38" t="str">
        <f t="shared" si="39"/>
        <v/>
      </c>
      <c r="Y292" s="38" t="str">
        <f>IF(AND(A292="Аппарат",C292&lt;&gt;"",OR($S$5="(все)",B292=$S$5)),MAX($Y$3:Y291)+1,"")</f>
        <v/>
      </c>
      <c r="Z292" s="38" t="str">
        <f t="shared" si="40"/>
        <v/>
      </c>
      <c r="AA292" s="38" t="str">
        <f>IF(AND(A292="Модуль",C292&lt;&gt;"",OR($S$6="(все)",B292=$S$6)),MAX($AA$3:AA291)+1,"")</f>
        <v/>
      </c>
      <c r="AB292" s="38" t="str">
        <f t="shared" si="41"/>
        <v/>
      </c>
      <c r="AC292" s="38" t="str">
        <f>IF(OR(B292="",COUNTIF($B$4:B292,B292)&gt;1),"",MAX($AC$3:AC291)+1)</f>
        <v/>
      </c>
      <c r="AD292" s="38" t="str">
        <f t="shared" si="42"/>
        <v/>
      </c>
      <c r="AE292" s="38" t="str">
        <f t="shared" si="43"/>
        <v/>
      </c>
      <c r="AF292" s="38" t="str">
        <f t="shared" si="44"/>
        <v/>
      </c>
    </row>
    <row r="293" spans="1:32" x14ac:dyDescent="0.3">
      <c r="A293" s="74"/>
      <c r="B293" s="74"/>
      <c r="C293" s="74"/>
      <c r="D293" s="74"/>
      <c r="E293" s="74"/>
      <c r="F293" s="74"/>
      <c r="G293" s="74"/>
      <c r="H293" s="74"/>
      <c r="I293" s="74"/>
      <c r="J293" s="74"/>
      <c r="K293" s="74"/>
      <c r="L293" s="74"/>
      <c r="M293" s="74"/>
      <c r="N293" s="38" t="str">
        <f>IF(OR(A293="Автомат",A293="Дифавтомат"),IF(W293="","",COUNTIFS(Однолинейка!$H$3:$H$3000,U293,Однолинейка!$A$3:$A$3000,Щит_спец)),IF(A293="Аппарат",IF(C293="","",COUNTIFS(Однолинейка!$I$3:$I$3000,C293,Однолинейка!$A$3:$A$3000,Щит_спец)+COUNTIFS(Однолинейка!$J$3:$J$3000,C293,Однолинейка!$A$3:$A$3000,Щит_спец)+COUNTIFS(Однолинейка!$K$3:$K$3000,C293,Однолинейка!$A$3:$A$3000,Щит_спец)),IF(A293="Модуль",IF(C293="","",COUNTIFS(Однолинейка!$AW$3:$AW$3000,"?*",Однолинейка!$AI$3:$AI$3000,C293,Однолинейка!$A$3:$A$3000,Щит_спец)),IF(A293="Клемма",IF(C293="","",IF(C293=$S$7,SUMIFS(Однолинейка!$BW$3:$BW$3000,Однолинейка!$A$3:$A$3000,Щит_спец),IF(C293=$S$8,SUMIFS(Однолинейка!$BX$3:$BX$3000,Однолинейка!$A$3:$A$3000,Щит_спец),""))),""))))</f>
        <v/>
      </c>
      <c r="O293" s="74"/>
      <c r="P293" s="38" t="str">
        <f t="shared" si="36"/>
        <v/>
      </c>
      <c r="U293" s="38" t="str">
        <f t="shared" si="37"/>
        <v/>
      </c>
      <c r="V293" s="38" t="str">
        <f t="shared" si="38"/>
        <v/>
      </c>
      <c r="W293" s="38" t="str">
        <f>IF(AND(U293&lt;&gt;"",OR($S$4="(все)",B293=$S$4),IF($S$4="(все)",COUNTIF($U$4:U293,U293),COUNTIFS($U$4:U293,U293,$B$4:B293,B293))=1),MAX($W$3:W292)+1,"")</f>
        <v/>
      </c>
      <c r="X293" s="38" t="str">
        <f t="shared" si="39"/>
        <v/>
      </c>
      <c r="Y293" s="38" t="str">
        <f>IF(AND(A293="Аппарат",C293&lt;&gt;"",OR($S$5="(все)",B293=$S$5)),MAX($Y$3:Y292)+1,"")</f>
        <v/>
      </c>
      <c r="Z293" s="38" t="str">
        <f t="shared" si="40"/>
        <v/>
      </c>
      <c r="AA293" s="38" t="str">
        <f>IF(AND(A293="Модуль",C293&lt;&gt;"",OR($S$6="(все)",B293=$S$6)),MAX($AA$3:AA292)+1,"")</f>
        <v/>
      </c>
      <c r="AB293" s="38" t="str">
        <f t="shared" si="41"/>
        <v/>
      </c>
      <c r="AC293" s="38" t="str">
        <f>IF(OR(B293="",COUNTIF($B$4:B293,B293)&gt;1),"",MAX($AC$3:AC292)+1)</f>
        <v/>
      </c>
      <c r="AD293" s="38" t="str">
        <f t="shared" si="42"/>
        <v/>
      </c>
      <c r="AE293" s="38" t="str">
        <f t="shared" si="43"/>
        <v/>
      </c>
      <c r="AF293" s="38" t="str">
        <f t="shared" si="44"/>
        <v/>
      </c>
    </row>
    <row r="294" spans="1:32" x14ac:dyDescent="0.3">
      <c r="A294" s="74"/>
      <c r="B294" s="74"/>
      <c r="C294" s="74"/>
      <c r="D294" s="74"/>
      <c r="E294" s="74"/>
      <c r="F294" s="74"/>
      <c r="G294" s="74"/>
      <c r="H294" s="74"/>
      <c r="I294" s="74"/>
      <c r="J294" s="74"/>
      <c r="K294" s="74"/>
      <c r="L294" s="74"/>
      <c r="M294" s="74"/>
      <c r="N294" s="38" t="str">
        <f>IF(OR(A294="Автомат",A294="Дифавтомат"),IF(W294="","",COUNTIFS(Однолинейка!$H$3:$H$3000,U294,Однолинейка!$A$3:$A$3000,Щит_спец)),IF(A294="Аппарат",IF(C294="","",COUNTIFS(Однолинейка!$I$3:$I$3000,C294,Однолинейка!$A$3:$A$3000,Щит_спец)+COUNTIFS(Однолинейка!$J$3:$J$3000,C294,Однолинейка!$A$3:$A$3000,Щит_спец)+COUNTIFS(Однолинейка!$K$3:$K$3000,C294,Однолинейка!$A$3:$A$3000,Щит_спец)),IF(A294="Модуль",IF(C294="","",COUNTIFS(Однолинейка!$AW$3:$AW$3000,"?*",Однолинейка!$AI$3:$AI$3000,C294,Однолинейка!$A$3:$A$3000,Щит_спец)),IF(A294="Клемма",IF(C294="","",IF(C294=$S$7,SUMIFS(Однолинейка!$BW$3:$BW$3000,Однолинейка!$A$3:$A$3000,Щит_спец),IF(C294=$S$8,SUMIFS(Однолинейка!$BX$3:$BX$3000,Однолинейка!$A$3:$A$3000,Щит_спец),""))),""))))</f>
        <v/>
      </c>
      <c r="O294" s="74"/>
      <c r="P294" s="38" t="str">
        <f t="shared" si="36"/>
        <v/>
      </c>
      <c r="U294" s="38" t="str">
        <f t="shared" si="37"/>
        <v/>
      </c>
      <c r="V294" s="38" t="str">
        <f t="shared" si="38"/>
        <v/>
      </c>
      <c r="W294" s="38" t="str">
        <f>IF(AND(U294&lt;&gt;"",OR($S$4="(все)",B294=$S$4),IF($S$4="(все)",COUNTIF($U$4:U294,U294),COUNTIFS($U$4:U294,U294,$B$4:B294,B294))=1),MAX($W$3:W293)+1,"")</f>
        <v/>
      </c>
      <c r="X294" s="38" t="str">
        <f t="shared" si="39"/>
        <v/>
      </c>
      <c r="Y294" s="38" t="str">
        <f>IF(AND(A294="Аппарат",C294&lt;&gt;"",OR($S$5="(все)",B294=$S$5)),MAX($Y$3:Y293)+1,"")</f>
        <v/>
      </c>
      <c r="Z294" s="38" t="str">
        <f t="shared" si="40"/>
        <v/>
      </c>
      <c r="AA294" s="38" t="str">
        <f>IF(AND(A294="Модуль",C294&lt;&gt;"",OR($S$6="(все)",B294=$S$6)),MAX($AA$3:AA293)+1,"")</f>
        <v/>
      </c>
      <c r="AB294" s="38" t="str">
        <f t="shared" si="41"/>
        <v/>
      </c>
      <c r="AC294" s="38" t="str">
        <f>IF(OR(B294="",COUNTIF($B$4:B294,B294)&gt;1),"",MAX($AC$3:AC293)+1)</f>
        <v/>
      </c>
      <c r="AD294" s="38" t="str">
        <f t="shared" si="42"/>
        <v/>
      </c>
      <c r="AE294" s="38" t="str">
        <f t="shared" si="43"/>
        <v/>
      </c>
      <c r="AF294" s="38" t="str">
        <f t="shared" si="44"/>
        <v/>
      </c>
    </row>
    <row r="295" spans="1:32" x14ac:dyDescent="0.3">
      <c r="A295" s="74"/>
      <c r="B295" s="74"/>
      <c r="C295" s="74"/>
      <c r="D295" s="74"/>
      <c r="E295" s="74"/>
      <c r="F295" s="74"/>
      <c r="G295" s="74"/>
      <c r="H295" s="74"/>
      <c r="I295" s="74"/>
      <c r="J295" s="74"/>
      <c r="K295" s="74"/>
      <c r="L295" s="74"/>
      <c r="M295" s="74"/>
      <c r="N295" s="38" t="str">
        <f>IF(OR(A295="Автомат",A295="Дифавтомат"),IF(W295="","",COUNTIFS(Однолинейка!$H$3:$H$3000,U295,Однолинейка!$A$3:$A$3000,Щит_спец)),IF(A295="Аппарат",IF(C295="","",COUNTIFS(Однолинейка!$I$3:$I$3000,C295,Однолинейка!$A$3:$A$3000,Щит_спец)+COUNTIFS(Однолинейка!$J$3:$J$3000,C295,Однолинейка!$A$3:$A$3000,Щит_спец)+COUNTIFS(Однолинейка!$K$3:$K$3000,C295,Однолинейка!$A$3:$A$3000,Щит_спец)),IF(A295="Модуль",IF(C295="","",COUNTIFS(Однолинейка!$AW$3:$AW$3000,"?*",Однолинейка!$AI$3:$AI$3000,C295,Однолинейка!$A$3:$A$3000,Щит_спец)),IF(A295="Клемма",IF(C295="","",IF(C295=$S$7,SUMIFS(Однолинейка!$BW$3:$BW$3000,Однолинейка!$A$3:$A$3000,Щит_спец),IF(C295=$S$8,SUMIFS(Однолинейка!$BX$3:$BX$3000,Однолинейка!$A$3:$A$3000,Щит_спец),""))),""))))</f>
        <v/>
      </c>
      <c r="O295" s="74"/>
      <c r="P295" s="38" t="str">
        <f t="shared" si="36"/>
        <v/>
      </c>
      <c r="U295" s="38" t="str">
        <f t="shared" si="37"/>
        <v/>
      </c>
      <c r="V295" s="38" t="str">
        <f t="shared" si="38"/>
        <v/>
      </c>
      <c r="W295" s="38" t="str">
        <f>IF(AND(U295&lt;&gt;"",OR($S$4="(все)",B295=$S$4),IF($S$4="(все)",COUNTIF($U$4:U295,U295),COUNTIFS($U$4:U295,U295,$B$4:B295,B295))=1),MAX($W$3:W294)+1,"")</f>
        <v/>
      </c>
      <c r="X295" s="38" t="str">
        <f t="shared" si="39"/>
        <v/>
      </c>
      <c r="Y295" s="38" t="str">
        <f>IF(AND(A295="Аппарат",C295&lt;&gt;"",OR($S$5="(все)",B295=$S$5)),MAX($Y$3:Y294)+1,"")</f>
        <v/>
      </c>
      <c r="Z295" s="38" t="str">
        <f t="shared" si="40"/>
        <v/>
      </c>
      <c r="AA295" s="38" t="str">
        <f>IF(AND(A295="Модуль",C295&lt;&gt;"",OR($S$6="(все)",B295=$S$6)),MAX($AA$3:AA294)+1,"")</f>
        <v/>
      </c>
      <c r="AB295" s="38" t="str">
        <f t="shared" si="41"/>
        <v/>
      </c>
      <c r="AC295" s="38" t="str">
        <f>IF(OR(B295="",COUNTIF($B$4:B295,B295)&gt;1),"",MAX($AC$3:AC294)+1)</f>
        <v/>
      </c>
      <c r="AD295" s="38" t="str">
        <f t="shared" si="42"/>
        <v/>
      </c>
      <c r="AE295" s="38" t="str">
        <f t="shared" si="43"/>
        <v/>
      </c>
      <c r="AF295" s="38" t="str">
        <f t="shared" si="44"/>
        <v/>
      </c>
    </row>
    <row r="296" spans="1:32" x14ac:dyDescent="0.3">
      <c r="A296" s="74"/>
      <c r="B296" s="74"/>
      <c r="C296" s="74"/>
      <c r="D296" s="74"/>
      <c r="E296" s="74"/>
      <c r="F296" s="74"/>
      <c r="G296" s="74"/>
      <c r="H296" s="74"/>
      <c r="I296" s="74"/>
      <c r="J296" s="74"/>
      <c r="K296" s="74"/>
      <c r="L296" s="74"/>
      <c r="M296" s="74"/>
      <c r="N296" s="38" t="str">
        <f>IF(OR(A296="Автомат",A296="Дифавтомат"),IF(W296="","",COUNTIFS(Однолинейка!$H$3:$H$3000,U296,Однолинейка!$A$3:$A$3000,Щит_спец)),IF(A296="Аппарат",IF(C296="","",COUNTIFS(Однолинейка!$I$3:$I$3000,C296,Однолинейка!$A$3:$A$3000,Щит_спец)+COUNTIFS(Однолинейка!$J$3:$J$3000,C296,Однолинейка!$A$3:$A$3000,Щит_спец)+COUNTIFS(Однолинейка!$K$3:$K$3000,C296,Однолинейка!$A$3:$A$3000,Щит_спец)),IF(A296="Модуль",IF(C296="","",COUNTIFS(Однолинейка!$AW$3:$AW$3000,"?*",Однолинейка!$AI$3:$AI$3000,C296,Однолинейка!$A$3:$A$3000,Щит_спец)),IF(A296="Клемма",IF(C296="","",IF(C296=$S$7,SUMIFS(Однолинейка!$BW$3:$BW$3000,Однолинейка!$A$3:$A$3000,Щит_спец),IF(C296=$S$8,SUMIFS(Однолинейка!$BX$3:$BX$3000,Однолинейка!$A$3:$A$3000,Щит_спец),""))),""))))</f>
        <v/>
      </c>
      <c r="O296" s="74"/>
      <c r="P296" s="38" t="str">
        <f t="shared" si="36"/>
        <v/>
      </c>
      <c r="U296" s="38" t="str">
        <f t="shared" si="37"/>
        <v/>
      </c>
      <c r="V296" s="38" t="str">
        <f t="shared" si="38"/>
        <v/>
      </c>
      <c r="W296" s="38" t="str">
        <f>IF(AND(U296&lt;&gt;"",OR($S$4="(все)",B296=$S$4),IF($S$4="(все)",COUNTIF($U$4:U296,U296),COUNTIFS($U$4:U296,U296,$B$4:B296,B296))=1),MAX($W$3:W295)+1,"")</f>
        <v/>
      </c>
      <c r="X296" s="38" t="str">
        <f t="shared" si="39"/>
        <v/>
      </c>
      <c r="Y296" s="38" t="str">
        <f>IF(AND(A296="Аппарат",C296&lt;&gt;"",OR($S$5="(все)",B296=$S$5)),MAX($Y$3:Y295)+1,"")</f>
        <v/>
      </c>
      <c r="Z296" s="38" t="str">
        <f t="shared" si="40"/>
        <v/>
      </c>
      <c r="AA296" s="38" t="str">
        <f>IF(AND(A296="Модуль",C296&lt;&gt;"",OR($S$6="(все)",B296=$S$6)),MAX($AA$3:AA295)+1,"")</f>
        <v/>
      </c>
      <c r="AB296" s="38" t="str">
        <f t="shared" si="41"/>
        <v/>
      </c>
      <c r="AC296" s="38" t="str">
        <f>IF(OR(B296="",COUNTIF($B$4:B296,B296)&gt;1),"",MAX($AC$3:AC295)+1)</f>
        <v/>
      </c>
      <c r="AD296" s="38" t="str">
        <f t="shared" si="42"/>
        <v/>
      </c>
      <c r="AE296" s="38" t="str">
        <f t="shared" si="43"/>
        <v/>
      </c>
      <c r="AF296" s="38" t="str">
        <f t="shared" si="44"/>
        <v/>
      </c>
    </row>
    <row r="297" spans="1:32" x14ac:dyDescent="0.3">
      <c r="A297" s="74"/>
      <c r="B297" s="74"/>
      <c r="C297" s="74"/>
      <c r="D297" s="74"/>
      <c r="E297" s="74"/>
      <c r="F297" s="74"/>
      <c r="G297" s="74"/>
      <c r="H297" s="74"/>
      <c r="I297" s="74"/>
      <c r="J297" s="74"/>
      <c r="K297" s="74"/>
      <c r="L297" s="74"/>
      <c r="M297" s="74"/>
      <c r="N297" s="38" t="str">
        <f>IF(OR(A297="Автомат",A297="Дифавтомат"),IF(W297="","",COUNTIFS(Однолинейка!$H$3:$H$3000,U297,Однолинейка!$A$3:$A$3000,Щит_спец)),IF(A297="Аппарат",IF(C297="","",COUNTIFS(Однолинейка!$I$3:$I$3000,C297,Однолинейка!$A$3:$A$3000,Щит_спец)+COUNTIFS(Однолинейка!$J$3:$J$3000,C297,Однолинейка!$A$3:$A$3000,Щит_спец)+COUNTIFS(Однолинейка!$K$3:$K$3000,C297,Однолинейка!$A$3:$A$3000,Щит_спец)),IF(A297="Модуль",IF(C297="","",COUNTIFS(Однолинейка!$AW$3:$AW$3000,"?*",Однолинейка!$AI$3:$AI$3000,C297,Однолинейка!$A$3:$A$3000,Щит_спец)),IF(A297="Клемма",IF(C297="","",IF(C297=$S$7,SUMIFS(Однолинейка!$BW$3:$BW$3000,Однолинейка!$A$3:$A$3000,Щит_спец),IF(C297=$S$8,SUMIFS(Однолинейка!$BX$3:$BX$3000,Однолинейка!$A$3:$A$3000,Щит_спец),""))),""))))</f>
        <v/>
      </c>
      <c r="O297" s="74"/>
      <c r="P297" s="38" t="str">
        <f t="shared" si="36"/>
        <v/>
      </c>
      <c r="U297" s="38" t="str">
        <f t="shared" si="37"/>
        <v/>
      </c>
      <c r="V297" s="38" t="str">
        <f t="shared" si="38"/>
        <v/>
      </c>
      <c r="W297" s="38" t="str">
        <f>IF(AND(U297&lt;&gt;"",OR($S$4="(все)",B297=$S$4),IF($S$4="(все)",COUNTIF($U$4:U297,U297),COUNTIFS($U$4:U297,U297,$B$4:B297,B297))=1),MAX($W$3:W296)+1,"")</f>
        <v/>
      </c>
      <c r="X297" s="38" t="str">
        <f t="shared" si="39"/>
        <v/>
      </c>
      <c r="Y297" s="38" t="str">
        <f>IF(AND(A297="Аппарат",C297&lt;&gt;"",OR($S$5="(все)",B297=$S$5)),MAX($Y$3:Y296)+1,"")</f>
        <v/>
      </c>
      <c r="Z297" s="38" t="str">
        <f t="shared" si="40"/>
        <v/>
      </c>
      <c r="AA297" s="38" t="str">
        <f>IF(AND(A297="Модуль",C297&lt;&gt;"",OR($S$6="(все)",B297=$S$6)),MAX($AA$3:AA296)+1,"")</f>
        <v/>
      </c>
      <c r="AB297" s="38" t="str">
        <f t="shared" si="41"/>
        <v/>
      </c>
      <c r="AC297" s="38" t="str">
        <f>IF(OR(B297="",COUNTIF($B$4:B297,B297)&gt;1),"",MAX($AC$3:AC296)+1)</f>
        <v/>
      </c>
      <c r="AD297" s="38" t="str">
        <f t="shared" si="42"/>
        <v/>
      </c>
      <c r="AE297" s="38" t="str">
        <f t="shared" si="43"/>
        <v/>
      </c>
      <c r="AF297" s="38" t="str">
        <f t="shared" si="44"/>
        <v/>
      </c>
    </row>
    <row r="298" spans="1:32" x14ac:dyDescent="0.3">
      <c r="A298" s="74"/>
      <c r="B298" s="74"/>
      <c r="C298" s="74"/>
      <c r="D298" s="74"/>
      <c r="E298" s="74"/>
      <c r="F298" s="74"/>
      <c r="G298" s="74"/>
      <c r="H298" s="74"/>
      <c r="I298" s="74"/>
      <c r="J298" s="74"/>
      <c r="K298" s="74"/>
      <c r="L298" s="74"/>
      <c r="M298" s="74"/>
      <c r="N298" s="38" t="str">
        <f>IF(OR(A298="Автомат",A298="Дифавтомат"),IF(W298="","",COUNTIFS(Однолинейка!$H$3:$H$3000,U298,Однолинейка!$A$3:$A$3000,Щит_спец)),IF(A298="Аппарат",IF(C298="","",COUNTIFS(Однолинейка!$I$3:$I$3000,C298,Однолинейка!$A$3:$A$3000,Щит_спец)+COUNTIFS(Однолинейка!$J$3:$J$3000,C298,Однолинейка!$A$3:$A$3000,Щит_спец)+COUNTIFS(Однолинейка!$K$3:$K$3000,C298,Однолинейка!$A$3:$A$3000,Щит_спец)),IF(A298="Модуль",IF(C298="","",COUNTIFS(Однолинейка!$AW$3:$AW$3000,"?*",Однолинейка!$AI$3:$AI$3000,C298,Однолинейка!$A$3:$A$3000,Щит_спец)),IF(A298="Клемма",IF(C298="","",IF(C298=$S$7,SUMIFS(Однолинейка!$BW$3:$BW$3000,Однолинейка!$A$3:$A$3000,Щит_спец),IF(C298=$S$8,SUMIFS(Однолинейка!$BX$3:$BX$3000,Однолинейка!$A$3:$A$3000,Щит_спец),""))),""))))</f>
        <v/>
      </c>
      <c r="O298" s="74"/>
      <c r="P298" s="38" t="str">
        <f t="shared" si="36"/>
        <v/>
      </c>
      <c r="U298" s="38" t="str">
        <f t="shared" si="37"/>
        <v/>
      </c>
      <c r="V298" s="38" t="str">
        <f t="shared" si="38"/>
        <v/>
      </c>
      <c r="W298" s="38" t="str">
        <f>IF(AND(U298&lt;&gt;"",OR($S$4="(все)",B298=$S$4),IF($S$4="(все)",COUNTIF($U$4:U298,U298),COUNTIFS($U$4:U298,U298,$B$4:B298,B298))=1),MAX($W$3:W297)+1,"")</f>
        <v/>
      </c>
      <c r="X298" s="38" t="str">
        <f t="shared" si="39"/>
        <v/>
      </c>
      <c r="Y298" s="38" t="str">
        <f>IF(AND(A298="Аппарат",C298&lt;&gt;"",OR($S$5="(все)",B298=$S$5)),MAX($Y$3:Y297)+1,"")</f>
        <v/>
      </c>
      <c r="Z298" s="38" t="str">
        <f t="shared" si="40"/>
        <v/>
      </c>
      <c r="AA298" s="38" t="str">
        <f>IF(AND(A298="Модуль",C298&lt;&gt;"",OR($S$6="(все)",B298=$S$6)),MAX($AA$3:AA297)+1,"")</f>
        <v/>
      </c>
      <c r="AB298" s="38" t="str">
        <f t="shared" si="41"/>
        <v/>
      </c>
      <c r="AC298" s="38" t="str">
        <f>IF(OR(B298="",COUNTIF($B$4:B298,B298)&gt;1),"",MAX($AC$3:AC297)+1)</f>
        <v/>
      </c>
      <c r="AD298" s="38" t="str">
        <f t="shared" si="42"/>
        <v/>
      </c>
      <c r="AE298" s="38" t="str">
        <f t="shared" si="43"/>
        <v/>
      </c>
      <c r="AF298" s="38" t="str">
        <f t="shared" si="44"/>
        <v/>
      </c>
    </row>
    <row r="299" spans="1:32" x14ac:dyDescent="0.3">
      <c r="A299" s="74"/>
      <c r="B299" s="74"/>
      <c r="C299" s="74"/>
      <c r="D299" s="74"/>
      <c r="E299" s="74"/>
      <c r="F299" s="74"/>
      <c r="G299" s="74"/>
      <c r="H299" s="74"/>
      <c r="I299" s="74"/>
      <c r="J299" s="74"/>
      <c r="K299" s="74"/>
      <c r="L299" s="74"/>
      <c r="M299" s="74"/>
      <c r="N299" s="38" t="str">
        <f>IF(OR(A299="Автомат",A299="Дифавтомат"),IF(W299="","",COUNTIFS(Однолинейка!$H$3:$H$3000,U299,Однолинейка!$A$3:$A$3000,Щит_спец)),IF(A299="Аппарат",IF(C299="","",COUNTIFS(Однолинейка!$I$3:$I$3000,C299,Однолинейка!$A$3:$A$3000,Щит_спец)+COUNTIFS(Однолинейка!$J$3:$J$3000,C299,Однолинейка!$A$3:$A$3000,Щит_спец)+COUNTIFS(Однолинейка!$K$3:$K$3000,C299,Однолинейка!$A$3:$A$3000,Щит_спец)),IF(A299="Модуль",IF(C299="","",COUNTIFS(Однолинейка!$AW$3:$AW$3000,"?*",Однолинейка!$AI$3:$AI$3000,C299,Однолинейка!$A$3:$A$3000,Щит_спец)),IF(A299="Клемма",IF(C299="","",IF(C299=$S$7,SUMIFS(Однолинейка!$BW$3:$BW$3000,Однолинейка!$A$3:$A$3000,Щит_спец),IF(C299=$S$8,SUMIFS(Однолинейка!$BX$3:$BX$3000,Однолинейка!$A$3:$A$3000,Щит_спец),""))),""))))</f>
        <v/>
      </c>
      <c r="O299" s="74"/>
      <c r="P299" s="38" t="str">
        <f t="shared" si="36"/>
        <v/>
      </c>
      <c r="U299" s="38" t="str">
        <f t="shared" si="37"/>
        <v/>
      </c>
      <c r="V299" s="38" t="str">
        <f t="shared" si="38"/>
        <v/>
      </c>
      <c r="W299" s="38" t="str">
        <f>IF(AND(U299&lt;&gt;"",OR($S$4="(все)",B299=$S$4),IF($S$4="(все)",COUNTIF($U$4:U299,U299),COUNTIFS($U$4:U299,U299,$B$4:B299,B299))=1),MAX($W$3:W298)+1,"")</f>
        <v/>
      </c>
      <c r="X299" s="38" t="str">
        <f t="shared" si="39"/>
        <v/>
      </c>
      <c r="Y299" s="38" t="str">
        <f>IF(AND(A299="Аппарат",C299&lt;&gt;"",OR($S$5="(все)",B299=$S$5)),MAX($Y$3:Y298)+1,"")</f>
        <v/>
      </c>
      <c r="Z299" s="38" t="str">
        <f t="shared" si="40"/>
        <v/>
      </c>
      <c r="AA299" s="38" t="str">
        <f>IF(AND(A299="Модуль",C299&lt;&gt;"",OR($S$6="(все)",B299=$S$6)),MAX($AA$3:AA298)+1,"")</f>
        <v/>
      </c>
      <c r="AB299" s="38" t="str">
        <f t="shared" si="41"/>
        <v/>
      </c>
      <c r="AC299" s="38" t="str">
        <f>IF(OR(B299="",COUNTIF($B$4:B299,B299)&gt;1),"",MAX($AC$3:AC298)+1)</f>
        <v/>
      </c>
      <c r="AD299" s="38" t="str">
        <f t="shared" si="42"/>
        <v/>
      </c>
      <c r="AE299" s="38" t="str">
        <f t="shared" si="43"/>
        <v/>
      </c>
      <c r="AF299" s="38" t="str">
        <f t="shared" si="44"/>
        <v/>
      </c>
    </row>
    <row r="300" spans="1:32" x14ac:dyDescent="0.3">
      <c r="A300" s="74"/>
      <c r="B300" s="74"/>
      <c r="C300" s="74"/>
      <c r="D300" s="74"/>
      <c r="E300" s="74"/>
      <c r="F300" s="74"/>
      <c r="G300" s="74"/>
      <c r="H300" s="74"/>
      <c r="I300" s="74"/>
      <c r="J300" s="74"/>
      <c r="K300" s="74"/>
      <c r="L300" s="74"/>
      <c r="M300" s="74"/>
      <c r="N300" s="38" t="str">
        <f>IF(OR(A300="Автомат",A300="Дифавтомат"),IF(W300="","",COUNTIFS(Однолинейка!$H$3:$H$3000,U300,Однолинейка!$A$3:$A$3000,Щит_спец)),IF(A300="Аппарат",IF(C300="","",COUNTIFS(Однолинейка!$I$3:$I$3000,C300,Однолинейка!$A$3:$A$3000,Щит_спец)+COUNTIFS(Однолинейка!$J$3:$J$3000,C300,Однолинейка!$A$3:$A$3000,Щит_спец)+COUNTIFS(Однолинейка!$K$3:$K$3000,C300,Однолинейка!$A$3:$A$3000,Щит_спец)),IF(A300="Модуль",IF(C300="","",COUNTIFS(Однолинейка!$AW$3:$AW$3000,"?*",Однолинейка!$AI$3:$AI$3000,C300,Однолинейка!$A$3:$A$3000,Щит_спец)),IF(A300="Клемма",IF(C300="","",IF(C300=$S$7,SUMIFS(Однолинейка!$BW$3:$BW$3000,Однолинейка!$A$3:$A$3000,Щит_спец),IF(C300=$S$8,SUMIFS(Однолинейка!$BX$3:$BX$3000,Однолинейка!$A$3:$A$3000,Щит_спец),""))),""))))</f>
        <v/>
      </c>
      <c r="O300" s="74"/>
      <c r="P300" s="38" t="str">
        <f t="shared" si="36"/>
        <v/>
      </c>
      <c r="U300" s="38" t="str">
        <f t="shared" si="37"/>
        <v/>
      </c>
      <c r="V300" s="38" t="str">
        <f t="shared" si="38"/>
        <v/>
      </c>
      <c r="W300" s="38" t="str">
        <f>IF(AND(U300&lt;&gt;"",OR($S$4="(все)",B300=$S$4),IF($S$4="(все)",COUNTIF($U$4:U300,U300),COUNTIFS($U$4:U300,U300,$B$4:B300,B300))=1),MAX($W$3:W299)+1,"")</f>
        <v/>
      </c>
      <c r="X300" s="38" t="str">
        <f t="shared" si="39"/>
        <v/>
      </c>
      <c r="Y300" s="38" t="str">
        <f>IF(AND(A300="Аппарат",C300&lt;&gt;"",OR($S$5="(все)",B300=$S$5)),MAX($Y$3:Y299)+1,"")</f>
        <v/>
      </c>
      <c r="Z300" s="38" t="str">
        <f t="shared" si="40"/>
        <v/>
      </c>
      <c r="AA300" s="38" t="str">
        <f>IF(AND(A300="Модуль",C300&lt;&gt;"",OR($S$6="(все)",B300=$S$6)),MAX($AA$3:AA299)+1,"")</f>
        <v/>
      </c>
      <c r="AB300" s="38" t="str">
        <f t="shared" si="41"/>
        <v/>
      </c>
      <c r="AC300" s="38" t="str">
        <f>IF(OR(B300="",COUNTIF($B$4:B300,B300)&gt;1),"",MAX($AC$3:AC299)+1)</f>
        <v/>
      </c>
      <c r="AD300" s="38" t="str">
        <f t="shared" si="42"/>
        <v/>
      </c>
      <c r="AE300" s="38" t="str">
        <f t="shared" si="43"/>
        <v/>
      </c>
      <c r="AF300" s="38" t="str">
        <f t="shared" si="44"/>
        <v/>
      </c>
    </row>
    <row r="301" spans="1:32" x14ac:dyDescent="0.3">
      <c r="A301" s="74"/>
      <c r="B301" s="74"/>
      <c r="C301" s="74"/>
      <c r="D301" s="74"/>
      <c r="E301" s="74"/>
      <c r="F301" s="74"/>
      <c r="G301" s="74"/>
      <c r="H301" s="74"/>
      <c r="I301" s="74"/>
      <c r="J301" s="74"/>
      <c r="K301" s="74"/>
      <c r="L301" s="74"/>
      <c r="M301" s="74"/>
      <c r="N301" s="38" t="str">
        <f>IF(OR(A301="Автомат",A301="Дифавтомат"),IF(W301="","",COUNTIFS(Однолинейка!$H$3:$H$3000,U301,Однолинейка!$A$3:$A$3000,Щит_спец)),IF(A301="Аппарат",IF(C301="","",COUNTIFS(Однолинейка!$I$3:$I$3000,C301,Однолинейка!$A$3:$A$3000,Щит_спец)+COUNTIFS(Однолинейка!$J$3:$J$3000,C301,Однолинейка!$A$3:$A$3000,Щит_спец)+COUNTIFS(Однолинейка!$K$3:$K$3000,C301,Однолинейка!$A$3:$A$3000,Щит_спец)),IF(A301="Модуль",IF(C301="","",COUNTIFS(Однолинейка!$AW$3:$AW$3000,"?*",Однолинейка!$AI$3:$AI$3000,C301,Однолинейка!$A$3:$A$3000,Щит_спец)),IF(A301="Клемма",IF(C301="","",IF(C301=$S$7,SUMIFS(Однолинейка!$BW$3:$BW$3000,Однолинейка!$A$3:$A$3000,Щит_спец),IF(C301=$S$8,SUMIFS(Однолинейка!$BX$3:$BX$3000,Однолинейка!$A$3:$A$3000,Щит_спец),""))),""))))</f>
        <v/>
      </c>
      <c r="O301" s="74"/>
      <c r="P301" s="38" t="str">
        <f t="shared" si="36"/>
        <v/>
      </c>
      <c r="U301" s="38" t="str">
        <f t="shared" si="37"/>
        <v/>
      </c>
      <c r="V301" s="38" t="str">
        <f t="shared" si="38"/>
        <v/>
      </c>
      <c r="W301" s="38" t="str">
        <f>IF(AND(U301&lt;&gt;"",OR($S$4="(все)",B301=$S$4),IF($S$4="(все)",COUNTIF($U$4:U301,U301),COUNTIFS($U$4:U301,U301,$B$4:B301,B301))=1),MAX($W$3:W300)+1,"")</f>
        <v/>
      </c>
      <c r="X301" s="38" t="str">
        <f t="shared" si="39"/>
        <v/>
      </c>
      <c r="Y301" s="38" t="str">
        <f>IF(AND(A301="Аппарат",C301&lt;&gt;"",OR($S$5="(все)",B301=$S$5)),MAX($Y$3:Y300)+1,"")</f>
        <v/>
      </c>
      <c r="Z301" s="38" t="str">
        <f t="shared" si="40"/>
        <v/>
      </c>
      <c r="AA301" s="38" t="str">
        <f>IF(AND(A301="Модуль",C301&lt;&gt;"",OR($S$6="(все)",B301=$S$6)),MAX($AA$3:AA300)+1,"")</f>
        <v/>
      </c>
      <c r="AB301" s="38" t="str">
        <f t="shared" si="41"/>
        <v/>
      </c>
      <c r="AC301" s="38" t="str">
        <f>IF(OR(B301="",COUNTIF($B$4:B301,B301)&gt;1),"",MAX($AC$3:AC300)+1)</f>
        <v/>
      </c>
      <c r="AD301" s="38" t="str">
        <f t="shared" si="42"/>
        <v/>
      </c>
      <c r="AE301" s="38" t="str">
        <f t="shared" si="43"/>
        <v/>
      </c>
      <c r="AF301" s="38" t="str">
        <f t="shared" si="44"/>
        <v/>
      </c>
    </row>
    <row r="302" spans="1:32" x14ac:dyDescent="0.3">
      <c r="A302" s="74"/>
      <c r="B302" s="74"/>
      <c r="C302" s="74"/>
      <c r="D302" s="74"/>
      <c r="E302" s="74"/>
      <c r="F302" s="74"/>
      <c r="G302" s="74"/>
      <c r="H302" s="74"/>
      <c r="I302" s="74"/>
      <c r="J302" s="74"/>
      <c r="K302" s="74"/>
      <c r="L302" s="74"/>
      <c r="M302" s="74"/>
      <c r="N302" s="38" t="str">
        <f>IF(OR(A302="Автомат",A302="Дифавтомат"),IF(W302="","",COUNTIFS(Однолинейка!$H$3:$H$3000,U302,Однолинейка!$A$3:$A$3000,Щит_спец)),IF(A302="Аппарат",IF(C302="","",COUNTIFS(Однолинейка!$I$3:$I$3000,C302,Однолинейка!$A$3:$A$3000,Щит_спец)+COUNTIFS(Однолинейка!$J$3:$J$3000,C302,Однолинейка!$A$3:$A$3000,Щит_спец)+COUNTIFS(Однолинейка!$K$3:$K$3000,C302,Однолинейка!$A$3:$A$3000,Щит_спец)),IF(A302="Модуль",IF(C302="","",COUNTIFS(Однолинейка!$AW$3:$AW$3000,"?*",Однолинейка!$AI$3:$AI$3000,C302,Однолинейка!$A$3:$A$3000,Щит_спец)),IF(A302="Клемма",IF(C302="","",IF(C302=$S$7,SUMIFS(Однолинейка!$BW$3:$BW$3000,Однолинейка!$A$3:$A$3000,Щит_спец),IF(C302=$S$8,SUMIFS(Однолинейка!$BX$3:$BX$3000,Однолинейка!$A$3:$A$3000,Щит_спец),""))),""))))</f>
        <v/>
      </c>
      <c r="O302" s="74"/>
      <c r="P302" s="38" t="str">
        <f t="shared" si="36"/>
        <v/>
      </c>
      <c r="U302" s="38" t="str">
        <f t="shared" si="37"/>
        <v/>
      </c>
      <c r="V302" s="38" t="str">
        <f t="shared" si="38"/>
        <v/>
      </c>
      <c r="W302" s="38" t="str">
        <f>IF(AND(U302&lt;&gt;"",OR($S$4="(все)",B302=$S$4),IF($S$4="(все)",COUNTIF($U$4:U302,U302),COUNTIFS($U$4:U302,U302,$B$4:B302,B302))=1),MAX($W$3:W301)+1,"")</f>
        <v/>
      </c>
      <c r="X302" s="38" t="str">
        <f t="shared" si="39"/>
        <v/>
      </c>
      <c r="Y302" s="38" t="str">
        <f>IF(AND(A302="Аппарат",C302&lt;&gt;"",OR($S$5="(все)",B302=$S$5)),MAX($Y$3:Y301)+1,"")</f>
        <v/>
      </c>
      <c r="Z302" s="38" t="str">
        <f t="shared" si="40"/>
        <v/>
      </c>
      <c r="AA302" s="38" t="str">
        <f>IF(AND(A302="Модуль",C302&lt;&gt;"",OR($S$6="(все)",B302=$S$6)),MAX($AA$3:AA301)+1,"")</f>
        <v/>
      </c>
      <c r="AB302" s="38" t="str">
        <f t="shared" si="41"/>
        <v/>
      </c>
      <c r="AC302" s="38" t="str">
        <f>IF(OR(B302="",COUNTIF($B$4:B302,B302)&gt;1),"",MAX($AC$3:AC301)+1)</f>
        <v/>
      </c>
      <c r="AD302" s="38" t="str">
        <f t="shared" si="42"/>
        <v/>
      </c>
      <c r="AE302" s="38" t="str">
        <f t="shared" si="43"/>
        <v/>
      </c>
      <c r="AF302" s="38" t="str">
        <f t="shared" si="44"/>
        <v/>
      </c>
    </row>
    <row r="303" spans="1:32" x14ac:dyDescent="0.3">
      <c r="A303" s="74"/>
      <c r="B303" s="74"/>
      <c r="C303" s="74"/>
      <c r="D303" s="74"/>
      <c r="E303" s="74"/>
      <c r="F303" s="74"/>
      <c r="G303" s="74"/>
      <c r="H303" s="74"/>
      <c r="I303" s="74"/>
      <c r="J303" s="74"/>
      <c r="K303" s="74"/>
      <c r="L303" s="74"/>
      <c r="M303" s="74"/>
      <c r="N303" s="38" t="str">
        <f>IF(OR(A303="Автомат",A303="Дифавтомат"),IF(W303="","",COUNTIFS(Однолинейка!$H$3:$H$3000,U303,Однолинейка!$A$3:$A$3000,Щит_спец)),IF(A303="Аппарат",IF(C303="","",COUNTIFS(Однолинейка!$I$3:$I$3000,C303,Однолинейка!$A$3:$A$3000,Щит_спец)+COUNTIFS(Однолинейка!$J$3:$J$3000,C303,Однолинейка!$A$3:$A$3000,Щит_спец)+COUNTIFS(Однолинейка!$K$3:$K$3000,C303,Однолинейка!$A$3:$A$3000,Щит_спец)),IF(A303="Модуль",IF(C303="","",COUNTIFS(Однолинейка!$AW$3:$AW$3000,"?*",Однолинейка!$AI$3:$AI$3000,C303,Однолинейка!$A$3:$A$3000,Щит_спец)),IF(A303="Клемма",IF(C303="","",IF(C303=$S$7,SUMIFS(Однолинейка!$BW$3:$BW$3000,Однолинейка!$A$3:$A$3000,Щит_спец),IF(C303=$S$8,SUMIFS(Однолинейка!$BX$3:$BX$3000,Однолинейка!$A$3:$A$3000,Щит_спец),""))),""))))</f>
        <v/>
      </c>
      <c r="O303" s="74"/>
      <c r="P303" s="38" t="str">
        <f t="shared" si="36"/>
        <v/>
      </c>
      <c r="U303" s="38" t="str">
        <f t="shared" si="37"/>
        <v/>
      </c>
      <c r="V303" s="38" t="str">
        <f t="shared" si="38"/>
        <v/>
      </c>
      <c r="W303" s="38" t="str">
        <f>IF(AND(U303&lt;&gt;"",OR($S$4="(все)",B303=$S$4),IF($S$4="(все)",COUNTIF($U$4:U303,U303),COUNTIFS($U$4:U303,U303,$B$4:B303,B303))=1),MAX($W$3:W302)+1,"")</f>
        <v/>
      </c>
      <c r="X303" s="38" t="str">
        <f t="shared" si="39"/>
        <v/>
      </c>
      <c r="Y303" s="38" t="str">
        <f>IF(AND(A303="Аппарат",C303&lt;&gt;"",OR($S$5="(все)",B303=$S$5)),MAX($Y$3:Y302)+1,"")</f>
        <v/>
      </c>
      <c r="Z303" s="38" t="str">
        <f t="shared" si="40"/>
        <v/>
      </c>
      <c r="AA303" s="38" t="str">
        <f>IF(AND(A303="Модуль",C303&lt;&gt;"",OR($S$6="(все)",B303=$S$6)),MAX($AA$3:AA302)+1,"")</f>
        <v/>
      </c>
      <c r="AB303" s="38" t="str">
        <f t="shared" si="41"/>
        <v/>
      </c>
      <c r="AC303" s="38" t="str">
        <f>IF(OR(B303="",COUNTIF($B$4:B303,B303)&gt;1),"",MAX($AC$3:AC302)+1)</f>
        <v/>
      </c>
      <c r="AD303" s="38" t="str">
        <f t="shared" si="42"/>
        <v/>
      </c>
      <c r="AE303" s="38" t="str">
        <f t="shared" si="43"/>
        <v/>
      </c>
      <c r="AF303" s="38" t="str">
        <f t="shared" si="44"/>
        <v/>
      </c>
    </row>
    <row r="304" spans="1:32" x14ac:dyDescent="0.3">
      <c r="A304" s="74"/>
      <c r="B304" s="74"/>
      <c r="C304" s="74"/>
      <c r="D304" s="74"/>
      <c r="E304" s="74"/>
      <c r="F304" s="74"/>
      <c r="G304" s="74"/>
      <c r="H304" s="74"/>
      <c r="I304" s="74"/>
      <c r="J304" s="74"/>
      <c r="K304" s="74"/>
      <c r="L304" s="74"/>
      <c r="M304" s="74"/>
      <c r="N304" s="38" t="str">
        <f>IF(OR(A304="Автомат",A304="Дифавтомат"),IF(W304="","",COUNTIFS(Однолинейка!$H$3:$H$3000,U304,Однолинейка!$A$3:$A$3000,Щит_спец)),IF(A304="Аппарат",IF(C304="","",COUNTIFS(Однолинейка!$I$3:$I$3000,C304,Однолинейка!$A$3:$A$3000,Щит_спец)+COUNTIFS(Однолинейка!$J$3:$J$3000,C304,Однолинейка!$A$3:$A$3000,Щит_спец)+COUNTIFS(Однолинейка!$K$3:$K$3000,C304,Однолинейка!$A$3:$A$3000,Щит_спец)),IF(A304="Модуль",IF(C304="","",COUNTIFS(Однолинейка!$AW$3:$AW$3000,"?*",Однолинейка!$AI$3:$AI$3000,C304,Однолинейка!$A$3:$A$3000,Щит_спец)),IF(A304="Клемма",IF(C304="","",IF(C304=$S$7,SUMIFS(Однолинейка!$BW$3:$BW$3000,Однолинейка!$A$3:$A$3000,Щит_спец),IF(C304=$S$8,SUMIFS(Однолинейка!$BX$3:$BX$3000,Однолинейка!$A$3:$A$3000,Щит_спец),""))),""))))</f>
        <v/>
      </c>
      <c r="O304" s="74"/>
      <c r="P304" s="38" t="str">
        <f t="shared" si="36"/>
        <v/>
      </c>
      <c r="U304" s="38" t="str">
        <f t="shared" si="37"/>
        <v/>
      </c>
      <c r="V304" s="38" t="str">
        <f t="shared" si="38"/>
        <v/>
      </c>
      <c r="W304" s="38" t="str">
        <f>IF(AND(U304&lt;&gt;"",OR($S$4="(все)",B304=$S$4),IF($S$4="(все)",COUNTIF($U$4:U304,U304),COUNTIFS($U$4:U304,U304,$B$4:B304,B304))=1),MAX($W$3:W303)+1,"")</f>
        <v/>
      </c>
      <c r="X304" s="38" t="str">
        <f t="shared" si="39"/>
        <v/>
      </c>
      <c r="Y304" s="38" t="str">
        <f>IF(AND(A304="Аппарат",C304&lt;&gt;"",OR($S$5="(все)",B304=$S$5)),MAX($Y$3:Y303)+1,"")</f>
        <v/>
      </c>
      <c r="Z304" s="38" t="str">
        <f t="shared" si="40"/>
        <v/>
      </c>
      <c r="AA304" s="38" t="str">
        <f>IF(AND(A304="Модуль",C304&lt;&gt;"",OR($S$6="(все)",B304=$S$6)),MAX($AA$3:AA303)+1,"")</f>
        <v/>
      </c>
      <c r="AB304" s="38" t="str">
        <f t="shared" si="41"/>
        <v/>
      </c>
      <c r="AC304" s="38" t="str">
        <f>IF(OR(B304="",COUNTIF($B$4:B304,B304)&gt;1),"",MAX($AC$3:AC303)+1)</f>
        <v/>
      </c>
      <c r="AD304" s="38" t="str">
        <f t="shared" si="42"/>
        <v/>
      </c>
      <c r="AE304" s="38" t="str">
        <f t="shared" si="43"/>
        <v/>
      </c>
      <c r="AF304" s="38" t="str">
        <f t="shared" si="44"/>
        <v/>
      </c>
    </row>
    <row r="305" spans="1:32" x14ac:dyDescent="0.3">
      <c r="A305" s="74"/>
      <c r="B305" s="74"/>
      <c r="C305" s="74"/>
      <c r="D305" s="74"/>
      <c r="E305" s="74"/>
      <c r="F305" s="74"/>
      <c r="G305" s="74"/>
      <c r="H305" s="74"/>
      <c r="I305" s="74"/>
      <c r="J305" s="74"/>
      <c r="K305" s="74"/>
      <c r="L305" s="74"/>
      <c r="M305" s="74"/>
      <c r="N305" s="38" t="str">
        <f>IF(OR(A305="Автомат",A305="Дифавтомат"),IF(W305="","",COUNTIFS(Однолинейка!$H$3:$H$3000,U305,Однолинейка!$A$3:$A$3000,Щит_спец)),IF(A305="Аппарат",IF(C305="","",COUNTIFS(Однолинейка!$I$3:$I$3000,C305,Однолинейка!$A$3:$A$3000,Щит_спец)+COUNTIFS(Однолинейка!$J$3:$J$3000,C305,Однолинейка!$A$3:$A$3000,Щит_спец)+COUNTIFS(Однолинейка!$K$3:$K$3000,C305,Однолинейка!$A$3:$A$3000,Щит_спец)),IF(A305="Модуль",IF(C305="","",COUNTIFS(Однолинейка!$AW$3:$AW$3000,"?*",Однолинейка!$AI$3:$AI$3000,C305,Однолинейка!$A$3:$A$3000,Щит_спец)),IF(A305="Клемма",IF(C305="","",IF(C305=$S$7,SUMIFS(Однолинейка!$BW$3:$BW$3000,Однолинейка!$A$3:$A$3000,Щит_спец),IF(C305=$S$8,SUMIFS(Однолинейка!$BX$3:$BX$3000,Однолинейка!$A$3:$A$3000,Щит_спец),""))),""))))</f>
        <v/>
      </c>
      <c r="O305" s="74"/>
      <c r="P305" s="38" t="str">
        <f t="shared" si="36"/>
        <v/>
      </c>
      <c r="U305" s="38" t="str">
        <f t="shared" si="37"/>
        <v/>
      </c>
      <c r="V305" s="38" t="str">
        <f t="shared" si="38"/>
        <v/>
      </c>
      <c r="W305" s="38" t="str">
        <f>IF(AND(U305&lt;&gt;"",OR($S$4="(все)",B305=$S$4),IF($S$4="(все)",COUNTIF($U$4:U305,U305),COUNTIFS($U$4:U305,U305,$B$4:B305,B305))=1),MAX($W$3:W304)+1,"")</f>
        <v/>
      </c>
      <c r="X305" s="38" t="str">
        <f t="shared" si="39"/>
        <v/>
      </c>
      <c r="Y305" s="38" t="str">
        <f>IF(AND(A305="Аппарат",C305&lt;&gt;"",OR($S$5="(все)",B305=$S$5)),MAX($Y$3:Y304)+1,"")</f>
        <v/>
      </c>
      <c r="Z305" s="38" t="str">
        <f t="shared" si="40"/>
        <v/>
      </c>
      <c r="AA305" s="38" t="str">
        <f>IF(AND(A305="Модуль",C305&lt;&gt;"",OR($S$6="(все)",B305=$S$6)),MAX($AA$3:AA304)+1,"")</f>
        <v/>
      </c>
      <c r="AB305" s="38" t="str">
        <f t="shared" si="41"/>
        <v/>
      </c>
      <c r="AC305" s="38" t="str">
        <f>IF(OR(B305="",COUNTIF($B$4:B305,B305)&gt;1),"",MAX($AC$3:AC304)+1)</f>
        <v/>
      </c>
      <c r="AD305" s="38" t="str">
        <f t="shared" si="42"/>
        <v/>
      </c>
      <c r="AE305" s="38" t="str">
        <f t="shared" si="43"/>
        <v/>
      </c>
      <c r="AF305" s="38" t="str">
        <f t="shared" si="44"/>
        <v/>
      </c>
    </row>
    <row r="306" spans="1:32" x14ac:dyDescent="0.3">
      <c r="A306" s="74"/>
      <c r="B306" s="74"/>
      <c r="C306" s="74"/>
      <c r="D306" s="74"/>
      <c r="E306" s="74"/>
      <c r="F306" s="74"/>
      <c r="G306" s="74"/>
      <c r="H306" s="74"/>
      <c r="I306" s="74"/>
      <c r="J306" s="74"/>
      <c r="K306" s="74"/>
      <c r="L306" s="74"/>
      <c r="M306" s="74"/>
      <c r="N306" s="38" t="str">
        <f>IF(OR(A306="Автомат",A306="Дифавтомат"),IF(W306="","",COUNTIFS(Однолинейка!$H$3:$H$3000,U306,Однолинейка!$A$3:$A$3000,Щит_спец)),IF(A306="Аппарат",IF(C306="","",COUNTIFS(Однолинейка!$I$3:$I$3000,C306,Однолинейка!$A$3:$A$3000,Щит_спец)+COUNTIFS(Однолинейка!$J$3:$J$3000,C306,Однолинейка!$A$3:$A$3000,Щит_спец)+COUNTIFS(Однолинейка!$K$3:$K$3000,C306,Однолинейка!$A$3:$A$3000,Щит_спец)),IF(A306="Модуль",IF(C306="","",COUNTIFS(Однолинейка!$AW$3:$AW$3000,"?*",Однолинейка!$AI$3:$AI$3000,C306,Однолинейка!$A$3:$A$3000,Щит_спец)),IF(A306="Клемма",IF(C306="","",IF(C306=$S$7,SUMIFS(Однолинейка!$BW$3:$BW$3000,Однолинейка!$A$3:$A$3000,Щит_спец),IF(C306=$S$8,SUMIFS(Однолинейка!$BX$3:$BX$3000,Однолинейка!$A$3:$A$3000,Щит_спец),""))),""))))</f>
        <v/>
      </c>
      <c r="O306" s="74"/>
      <c r="P306" s="38" t="str">
        <f t="shared" si="36"/>
        <v/>
      </c>
      <c r="U306" s="38" t="str">
        <f t="shared" si="37"/>
        <v/>
      </c>
      <c r="V306" s="38" t="str">
        <f t="shared" si="38"/>
        <v/>
      </c>
      <c r="W306" s="38" t="str">
        <f>IF(AND(U306&lt;&gt;"",OR($S$4="(все)",B306=$S$4),IF($S$4="(все)",COUNTIF($U$4:U306,U306),COUNTIFS($U$4:U306,U306,$B$4:B306,B306))=1),MAX($W$3:W305)+1,"")</f>
        <v/>
      </c>
      <c r="X306" s="38" t="str">
        <f t="shared" si="39"/>
        <v/>
      </c>
      <c r="Y306" s="38" t="str">
        <f>IF(AND(A306="Аппарат",C306&lt;&gt;"",OR($S$5="(все)",B306=$S$5)),MAX($Y$3:Y305)+1,"")</f>
        <v/>
      </c>
      <c r="Z306" s="38" t="str">
        <f t="shared" si="40"/>
        <v/>
      </c>
      <c r="AA306" s="38" t="str">
        <f>IF(AND(A306="Модуль",C306&lt;&gt;"",OR($S$6="(все)",B306=$S$6)),MAX($AA$3:AA305)+1,"")</f>
        <v/>
      </c>
      <c r="AB306" s="38" t="str">
        <f t="shared" si="41"/>
        <v/>
      </c>
      <c r="AC306" s="38" t="str">
        <f>IF(OR(B306="",COUNTIF($B$4:B306,B306)&gt;1),"",MAX($AC$3:AC305)+1)</f>
        <v/>
      </c>
      <c r="AD306" s="38" t="str">
        <f t="shared" si="42"/>
        <v/>
      </c>
      <c r="AE306" s="38" t="str">
        <f t="shared" si="43"/>
        <v/>
      </c>
      <c r="AF306" s="38" t="str">
        <f t="shared" si="44"/>
        <v/>
      </c>
    </row>
    <row r="307" spans="1:32" x14ac:dyDescent="0.3">
      <c r="A307" s="74"/>
      <c r="B307" s="74"/>
      <c r="C307" s="74"/>
      <c r="D307" s="74"/>
      <c r="E307" s="74"/>
      <c r="F307" s="74"/>
      <c r="G307" s="74"/>
      <c r="H307" s="74"/>
      <c r="I307" s="74"/>
      <c r="J307" s="74"/>
      <c r="K307" s="74"/>
      <c r="L307" s="74"/>
      <c r="M307" s="74"/>
      <c r="N307" s="38" t="str">
        <f>IF(OR(A307="Автомат",A307="Дифавтомат"),IF(W307="","",COUNTIFS(Однолинейка!$H$3:$H$3000,U307,Однолинейка!$A$3:$A$3000,Щит_спец)),IF(A307="Аппарат",IF(C307="","",COUNTIFS(Однолинейка!$I$3:$I$3000,C307,Однолинейка!$A$3:$A$3000,Щит_спец)+COUNTIFS(Однолинейка!$J$3:$J$3000,C307,Однолинейка!$A$3:$A$3000,Щит_спец)+COUNTIFS(Однолинейка!$K$3:$K$3000,C307,Однолинейка!$A$3:$A$3000,Щит_спец)),IF(A307="Модуль",IF(C307="","",COUNTIFS(Однолинейка!$AW$3:$AW$3000,"?*",Однолинейка!$AI$3:$AI$3000,C307,Однолинейка!$A$3:$A$3000,Щит_спец)),IF(A307="Клемма",IF(C307="","",IF(C307=$S$7,SUMIFS(Однолинейка!$BW$3:$BW$3000,Однолинейка!$A$3:$A$3000,Щит_спец),IF(C307=$S$8,SUMIFS(Однолинейка!$BX$3:$BX$3000,Однолинейка!$A$3:$A$3000,Щит_спец),""))),""))))</f>
        <v/>
      </c>
      <c r="O307" s="74"/>
      <c r="P307" s="38" t="str">
        <f t="shared" si="36"/>
        <v/>
      </c>
      <c r="U307" s="38" t="str">
        <f t="shared" si="37"/>
        <v/>
      </c>
      <c r="V307" s="38" t="str">
        <f t="shared" si="38"/>
        <v/>
      </c>
      <c r="W307" s="38" t="str">
        <f>IF(AND(U307&lt;&gt;"",OR($S$4="(все)",B307=$S$4),IF($S$4="(все)",COUNTIF($U$4:U307,U307),COUNTIFS($U$4:U307,U307,$B$4:B307,B307))=1),MAX($W$3:W306)+1,"")</f>
        <v/>
      </c>
      <c r="X307" s="38" t="str">
        <f t="shared" si="39"/>
        <v/>
      </c>
      <c r="Y307" s="38" t="str">
        <f>IF(AND(A307="Аппарат",C307&lt;&gt;"",OR($S$5="(все)",B307=$S$5)),MAX($Y$3:Y306)+1,"")</f>
        <v/>
      </c>
      <c r="Z307" s="38" t="str">
        <f t="shared" si="40"/>
        <v/>
      </c>
      <c r="AA307" s="38" t="str">
        <f>IF(AND(A307="Модуль",C307&lt;&gt;"",OR($S$6="(все)",B307=$S$6)),MAX($AA$3:AA306)+1,"")</f>
        <v/>
      </c>
      <c r="AB307" s="38" t="str">
        <f t="shared" si="41"/>
        <v/>
      </c>
      <c r="AC307" s="38" t="str">
        <f>IF(OR(B307="",COUNTIF($B$4:B307,B307)&gt;1),"",MAX($AC$3:AC306)+1)</f>
        <v/>
      </c>
      <c r="AD307" s="38" t="str">
        <f t="shared" si="42"/>
        <v/>
      </c>
      <c r="AE307" s="38" t="str">
        <f t="shared" si="43"/>
        <v/>
      </c>
      <c r="AF307" s="38" t="str">
        <f t="shared" si="44"/>
        <v/>
      </c>
    </row>
    <row r="308" spans="1:32" x14ac:dyDescent="0.3">
      <c r="A308" s="74"/>
      <c r="B308" s="74"/>
      <c r="C308" s="74"/>
      <c r="D308" s="74"/>
      <c r="E308" s="74"/>
      <c r="F308" s="74"/>
      <c r="G308" s="74"/>
      <c r="H308" s="74"/>
      <c r="I308" s="74"/>
      <c r="J308" s="74"/>
      <c r="K308" s="74"/>
      <c r="L308" s="74"/>
      <c r="M308" s="74"/>
      <c r="N308" s="38" t="str">
        <f>IF(OR(A308="Автомат",A308="Дифавтомат"),IF(W308="","",COUNTIFS(Однолинейка!$H$3:$H$3000,U308,Однолинейка!$A$3:$A$3000,Щит_спец)),IF(A308="Аппарат",IF(C308="","",COUNTIFS(Однолинейка!$I$3:$I$3000,C308,Однолинейка!$A$3:$A$3000,Щит_спец)+COUNTIFS(Однолинейка!$J$3:$J$3000,C308,Однолинейка!$A$3:$A$3000,Щит_спец)+COUNTIFS(Однолинейка!$K$3:$K$3000,C308,Однолинейка!$A$3:$A$3000,Щит_спец)),IF(A308="Модуль",IF(C308="","",COUNTIFS(Однолинейка!$AW$3:$AW$3000,"?*",Однолинейка!$AI$3:$AI$3000,C308,Однолинейка!$A$3:$A$3000,Щит_спец)),IF(A308="Клемма",IF(C308="","",IF(C308=$S$7,SUMIFS(Однолинейка!$BW$3:$BW$3000,Однолинейка!$A$3:$A$3000,Щит_спец),IF(C308=$S$8,SUMIFS(Однолинейка!$BX$3:$BX$3000,Однолинейка!$A$3:$A$3000,Щит_спец),""))),""))))</f>
        <v/>
      </c>
      <c r="O308" s="74"/>
      <c r="P308" s="38" t="str">
        <f t="shared" si="36"/>
        <v/>
      </c>
      <c r="U308" s="38" t="str">
        <f t="shared" si="37"/>
        <v/>
      </c>
      <c r="V308" s="38" t="str">
        <f t="shared" si="38"/>
        <v/>
      </c>
      <c r="W308" s="38" t="str">
        <f>IF(AND(U308&lt;&gt;"",OR($S$4="(все)",B308=$S$4),IF($S$4="(все)",COUNTIF($U$4:U308,U308),COUNTIFS($U$4:U308,U308,$B$4:B308,B308))=1),MAX($W$3:W307)+1,"")</f>
        <v/>
      </c>
      <c r="X308" s="38" t="str">
        <f t="shared" si="39"/>
        <v/>
      </c>
      <c r="Y308" s="38" t="str">
        <f>IF(AND(A308="Аппарат",C308&lt;&gt;"",OR($S$5="(все)",B308=$S$5)),MAX($Y$3:Y307)+1,"")</f>
        <v/>
      </c>
      <c r="Z308" s="38" t="str">
        <f t="shared" si="40"/>
        <v/>
      </c>
      <c r="AA308" s="38" t="str">
        <f>IF(AND(A308="Модуль",C308&lt;&gt;"",OR($S$6="(все)",B308=$S$6)),MAX($AA$3:AA307)+1,"")</f>
        <v/>
      </c>
      <c r="AB308" s="38" t="str">
        <f t="shared" si="41"/>
        <v/>
      </c>
      <c r="AC308" s="38" t="str">
        <f>IF(OR(B308="",COUNTIF($B$4:B308,B308)&gt;1),"",MAX($AC$3:AC307)+1)</f>
        <v/>
      </c>
      <c r="AD308" s="38" t="str">
        <f t="shared" si="42"/>
        <v/>
      </c>
      <c r="AE308" s="38" t="str">
        <f t="shared" si="43"/>
        <v/>
      </c>
      <c r="AF308" s="38" t="str">
        <f t="shared" si="44"/>
        <v/>
      </c>
    </row>
    <row r="309" spans="1:32" x14ac:dyDescent="0.3">
      <c r="A309" s="74"/>
      <c r="B309" s="74"/>
      <c r="C309" s="74"/>
      <c r="D309" s="74"/>
      <c r="E309" s="74"/>
      <c r="F309" s="74"/>
      <c r="G309" s="74"/>
      <c r="H309" s="74"/>
      <c r="I309" s="74"/>
      <c r="J309" s="74"/>
      <c r="K309" s="74"/>
      <c r="L309" s="74"/>
      <c r="M309" s="74"/>
      <c r="N309" s="38" t="str">
        <f>IF(OR(A309="Автомат",A309="Дифавтомат"),IF(W309="","",COUNTIFS(Однолинейка!$H$3:$H$3000,U309,Однолинейка!$A$3:$A$3000,Щит_спец)),IF(A309="Аппарат",IF(C309="","",COUNTIFS(Однолинейка!$I$3:$I$3000,C309,Однолинейка!$A$3:$A$3000,Щит_спец)+COUNTIFS(Однолинейка!$J$3:$J$3000,C309,Однолинейка!$A$3:$A$3000,Щит_спец)+COUNTIFS(Однолинейка!$K$3:$K$3000,C309,Однолинейка!$A$3:$A$3000,Щит_спец)),IF(A309="Модуль",IF(C309="","",COUNTIFS(Однолинейка!$AW$3:$AW$3000,"?*",Однолинейка!$AI$3:$AI$3000,C309,Однолинейка!$A$3:$A$3000,Щит_спец)),IF(A309="Клемма",IF(C309="","",IF(C309=$S$7,SUMIFS(Однолинейка!$BW$3:$BW$3000,Однолинейка!$A$3:$A$3000,Щит_спец),IF(C309=$S$8,SUMIFS(Однолинейка!$BX$3:$BX$3000,Однолинейка!$A$3:$A$3000,Щит_спец),""))),""))))</f>
        <v/>
      </c>
      <c r="O309" s="74"/>
      <c r="P309" s="38" t="str">
        <f t="shared" si="36"/>
        <v/>
      </c>
      <c r="U309" s="38" t="str">
        <f t="shared" si="37"/>
        <v/>
      </c>
      <c r="V309" s="38" t="str">
        <f t="shared" si="38"/>
        <v/>
      </c>
      <c r="W309" s="38" t="str">
        <f>IF(AND(U309&lt;&gt;"",OR($S$4="(все)",B309=$S$4),IF($S$4="(все)",COUNTIF($U$4:U309,U309),COUNTIFS($U$4:U309,U309,$B$4:B309,B309))=1),MAX($W$3:W308)+1,"")</f>
        <v/>
      </c>
      <c r="X309" s="38" t="str">
        <f t="shared" si="39"/>
        <v/>
      </c>
      <c r="Y309" s="38" t="str">
        <f>IF(AND(A309="Аппарат",C309&lt;&gt;"",OR($S$5="(все)",B309=$S$5)),MAX($Y$3:Y308)+1,"")</f>
        <v/>
      </c>
      <c r="Z309" s="38" t="str">
        <f t="shared" si="40"/>
        <v/>
      </c>
      <c r="AA309" s="38" t="str">
        <f>IF(AND(A309="Модуль",C309&lt;&gt;"",OR($S$6="(все)",B309=$S$6)),MAX($AA$3:AA308)+1,"")</f>
        <v/>
      </c>
      <c r="AB309" s="38" t="str">
        <f t="shared" si="41"/>
        <v/>
      </c>
      <c r="AC309" s="38" t="str">
        <f>IF(OR(B309="",COUNTIF($B$4:B309,B309)&gt;1),"",MAX($AC$3:AC308)+1)</f>
        <v/>
      </c>
      <c r="AD309" s="38" t="str">
        <f t="shared" si="42"/>
        <v/>
      </c>
      <c r="AE309" s="38" t="str">
        <f t="shared" si="43"/>
        <v/>
      </c>
      <c r="AF309" s="38" t="str">
        <f t="shared" si="44"/>
        <v/>
      </c>
    </row>
    <row r="310" spans="1:32" x14ac:dyDescent="0.3">
      <c r="A310" s="74"/>
      <c r="B310" s="74"/>
      <c r="C310" s="74"/>
      <c r="D310" s="74"/>
      <c r="E310" s="74"/>
      <c r="F310" s="74"/>
      <c r="G310" s="74"/>
      <c r="H310" s="74"/>
      <c r="I310" s="74"/>
      <c r="J310" s="74"/>
      <c r="K310" s="74"/>
      <c r="L310" s="74"/>
      <c r="M310" s="74"/>
      <c r="N310" s="38" t="str">
        <f>IF(OR(A310="Автомат",A310="Дифавтомат"),IF(W310="","",COUNTIFS(Однолинейка!$H$3:$H$3000,U310,Однолинейка!$A$3:$A$3000,Щит_спец)),IF(A310="Аппарат",IF(C310="","",COUNTIFS(Однолинейка!$I$3:$I$3000,C310,Однолинейка!$A$3:$A$3000,Щит_спец)+COUNTIFS(Однолинейка!$J$3:$J$3000,C310,Однолинейка!$A$3:$A$3000,Щит_спец)+COUNTIFS(Однолинейка!$K$3:$K$3000,C310,Однолинейка!$A$3:$A$3000,Щит_спец)),IF(A310="Модуль",IF(C310="","",COUNTIFS(Однолинейка!$AW$3:$AW$3000,"?*",Однолинейка!$AI$3:$AI$3000,C310,Однолинейка!$A$3:$A$3000,Щит_спец)),IF(A310="Клемма",IF(C310="","",IF(C310=$S$7,SUMIFS(Однолинейка!$BW$3:$BW$3000,Однолинейка!$A$3:$A$3000,Щит_спец),IF(C310=$S$8,SUMIFS(Однолинейка!$BX$3:$BX$3000,Однолинейка!$A$3:$A$3000,Щит_спец),""))),""))))</f>
        <v/>
      </c>
      <c r="O310" s="74"/>
      <c r="P310" s="38" t="str">
        <f t="shared" si="36"/>
        <v/>
      </c>
      <c r="U310" s="38" t="str">
        <f t="shared" si="37"/>
        <v/>
      </c>
      <c r="V310" s="38" t="str">
        <f t="shared" si="38"/>
        <v/>
      </c>
      <c r="W310" s="38" t="str">
        <f>IF(AND(U310&lt;&gt;"",OR($S$4="(все)",B310=$S$4),IF($S$4="(все)",COUNTIF($U$4:U310,U310),COUNTIFS($U$4:U310,U310,$B$4:B310,B310))=1),MAX($W$3:W309)+1,"")</f>
        <v/>
      </c>
      <c r="X310" s="38" t="str">
        <f t="shared" si="39"/>
        <v/>
      </c>
      <c r="Y310" s="38" t="str">
        <f>IF(AND(A310="Аппарат",C310&lt;&gt;"",OR($S$5="(все)",B310=$S$5)),MAX($Y$3:Y309)+1,"")</f>
        <v/>
      </c>
      <c r="Z310" s="38" t="str">
        <f t="shared" si="40"/>
        <v/>
      </c>
      <c r="AA310" s="38" t="str">
        <f>IF(AND(A310="Модуль",C310&lt;&gt;"",OR($S$6="(все)",B310=$S$6)),MAX($AA$3:AA309)+1,"")</f>
        <v/>
      </c>
      <c r="AB310" s="38" t="str">
        <f t="shared" si="41"/>
        <v/>
      </c>
      <c r="AC310" s="38" t="str">
        <f>IF(OR(B310="",COUNTIF($B$4:B310,B310)&gt;1),"",MAX($AC$3:AC309)+1)</f>
        <v/>
      </c>
      <c r="AD310" s="38" t="str">
        <f t="shared" si="42"/>
        <v/>
      </c>
      <c r="AE310" s="38" t="str">
        <f t="shared" si="43"/>
        <v/>
      </c>
      <c r="AF310" s="38" t="str">
        <f t="shared" si="44"/>
        <v/>
      </c>
    </row>
    <row r="311" spans="1:32" x14ac:dyDescent="0.3">
      <c r="A311" s="74"/>
      <c r="B311" s="74"/>
      <c r="C311" s="74"/>
      <c r="D311" s="74"/>
      <c r="E311" s="74"/>
      <c r="F311" s="74"/>
      <c r="G311" s="74"/>
      <c r="H311" s="74"/>
      <c r="I311" s="74"/>
      <c r="J311" s="74"/>
      <c r="K311" s="74"/>
      <c r="L311" s="74"/>
      <c r="M311" s="74"/>
      <c r="N311" s="38" t="str">
        <f>IF(OR(A311="Автомат",A311="Дифавтомат"),IF(W311="","",COUNTIFS(Однолинейка!$H$3:$H$3000,U311,Однолинейка!$A$3:$A$3000,Щит_спец)),IF(A311="Аппарат",IF(C311="","",COUNTIFS(Однолинейка!$I$3:$I$3000,C311,Однолинейка!$A$3:$A$3000,Щит_спец)+COUNTIFS(Однолинейка!$J$3:$J$3000,C311,Однолинейка!$A$3:$A$3000,Щит_спец)+COUNTIFS(Однолинейка!$K$3:$K$3000,C311,Однолинейка!$A$3:$A$3000,Щит_спец)),IF(A311="Модуль",IF(C311="","",COUNTIFS(Однолинейка!$AW$3:$AW$3000,"?*",Однолинейка!$AI$3:$AI$3000,C311,Однолинейка!$A$3:$A$3000,Щит_спец)),IF(A311="Клемма",IF(C311="","",IF(C311=$S$7,SUMIFS(Однолинейка!$BW$3:$BW$3000,Однолинейка!$A$3:$A$3000,Щит_спец),IF(C311=$S$8,SUMIFS(Однолинейка!$BX$3:$BX$3000,Однолинейка!$A$3:$A$3000,Щит_спец),""))),""))))</f>
        <v/>
      </c>
      <c r="O311" s="74"/>
      <c r="P311" s="38" t="str">
        <f t="shared" si="36"/>
        <v/>
      </c>
      <c r="U311" s="38" t="str">
        <f t="shared" si="37"/>
        <v/>
      </c>
      <c r="V311" s="38" t="str">
        <f t="shared" si="38"/>
        <v/>
      </c>
      <c r="W311" s="38" t="str">
        <f>IF(AND(U311&lt;&gt;"",OR($S$4="(все)",B311=$S$4),IF($S$4="(все)",COUNTIF($U$4:U311,U311),COUNTIFS($U$4:U311,U311,$B$4:B311,B311))=1),MAX($W$3:W310)+1,"")</f>
        <v/>
      </c>
      <c r="X311" s="38" t="str">
        <f t="shared" si="39"/>
        <v/>
      </c>
      <c r="Y311" s="38" t="str">
        <f>IF(AND(A311="Аппарат",C311&lt;&gt;"",OR($S$5="(все)",B311=$S$5)),MAX($Y$3:Y310)+1,"")</f>
        <v/>
      </c>
      <c r="Z311" s="38" t="str">
        <f t="shared" si="40"/>
        <v/>
      </c>
      <c r="AA311" s="38" t="str">
        <f>IF(AND(A311="Модуль",C311&lt;&gt;"",OR($S$6="(все)",B311=$S$6)),MAX($AA$3:AA310)+1,"")</f>
        <v/>
      </c>
      <c r="AB311" s="38" t="str">
        <f t="shared" si="41"/>
        <v/>
      </c>
      <c r="AC311" s="38" t="str">
        <f>IF(OR(B311="",COUNTIF($B$4:B311,B311)&gt;1),"",MAX($AC$3:AC310)+1)</f>
        <v/>
      </c>
      <c r="AD311" s="38" t="str">
        <f t="shared" si="42"/>
        <v/>
      </c>
      <c r="AE311" s="38" t="str">
        <f t="shared" si="43"/>
        <v/>
      </c>
      <c r="AF311" s="38" t="str">
        <f t="shared" si="44"/>
        <v/>
      </c>
    </row>
    <row r="312" spans="1:32" x14ac:dyDescent="0.3">
      <c r="A312" s="74"/>
      <c r="B312" s="74"/>
      <c r="C312" s="74"/>
      <c r="D312" s="74"/>
      <c r="E312" s="74"/>
      <c r="F312" s="74"/>
      <c r="G312" s="74"/>
      <c r="H312" s="74"/>
      <c r="I312" s="74"/>
      <c r="J312" s="74"/>
      <c r="K312" s="74"/>
      <c r="L312" s="74"/>
      <c r="M312" s="74"/>
      <c r="N312" s="38" t="str">
        <f>IF(OR(A312="Автомат",A312="Дифавтомат"),IF(W312="","",COUNTIFS(Однолинейка!$H$3:$H$3000,U312,Однолинейка!$A$3:$A$3000,Щит_спец)),IF(A312="Аппарат",IF(C312="","",COUNTIFS(Однолинейка!$I$3:$I$3000,C312,Однолинейка!$A$3:$A$3000,Щит_спец)+COUNTIFS(Однолинейка!$J$3:$J$3000,C312,Однолинейка!$A$3:$A$3000,Щит_спец)+COUNTIFS(Однолинейка!$K$3:$K$3000,C312,Однолинейка!$A$3:$A$3000,Щит_спец)),IF(A312="Модуль",IF(C312="","",COUNTIFS(Однолинейка!$AW$3:$AW$3000,"?*",Однолинейка!$AI$3:$AI$3000,C312,Однолинейка!$A$3:$A$3000,Щит_спец)),IF(A312="Клемма",IF(C312="","",IF(C312=$S$7,SUMIFS(Однолинейка!$BW$3:$BW$3000,Однолинейка!$A$3:$A$3000,Щит_спец),IF(C312=$S$8,SUMIFS(Однолинейка!$BX$3:$BX$3000,Однолинейка!$A$3:$A$3000,Щит_спец),""))),""))))</f>
        <v/>
      </c>
      <c r="O312" s="74"/>
      <c r="P312" s="38" t="str">
        <f t="shared" si="36"/>
        <v/>
      </c>
      <c r="U312" s="38" t="str">
        <f t="shared" si="37"/>
        <v/>
      </c>
      <c r="V312" s="38" t="str">
        <f t="shared" si="38"/>
        <v/>
      </c>
      <c r="W312" s="38" t="str">
        <f>IF(AND(U312&lt;&gt;"",OR($S$4="(все)",B312=$S$4),IF($S$4="(все)",COUNTIF($U$4:U312,U312),COUNTIFS($U$4:U312,U312,$B$4:B312,B312))=1),MAX($W$3:W311)+1,"")</f>
        <v/>
      </c>
      <c r="X312" s="38" t="str">
        <f t="shared" si="39"/>
        <v/>
      </c>
      <c r="Y312" s="38" t="str">
        <f>IF(AND(A312="Аппарат",C312&lt;&gt;"",OR($S$5="(все)",B312=$S$5)),MAX($Y$3:Y311)+1,"")</f>
        <v/>
      </c>
      <c r="Z312" s="38" t="str">
        <f t="shared" si="40"/>
        <v/>
      </c>
      <c r="AA312" s="38" t="str">
        <f>IF(AND(A312="Модуль",C312&lt;&gt;"",OR($S$6="(все)",B312=$S$6)),MAX($AA$3:AA311)+1,"")</f>
        <v/>
      </c>
      <c r="AB312" s="38" t="str">
        <f t="shared" si="41"/>
        <v/>
      </c>
      <c r="AC312" s="38" t="str">
        <f>IF(OR(B312="",COUNTIF($B$4:B312,B312)&gt;1),"",MAX($AC$3:AC311)+1)</f>
        <v/>
      </c>
      <c r="AD312" s="38" t="str">
        <f t="shared" si="42"/>
        <v/>
      </c>
      <c r="AE312" s="38" t="str">
        <f t="shared" si="43"/>
        <v/>
      </c>
      <c r="AF312" s="38" t="str">
        <f t="shared" si="44"/>
        <v/>
      </c>
    </row>
    <row r="313" spans="1:32" x14ac:dyDescent="0.3">
      <c r="A313" s="74"/>
      <c r="B313" s="74"/>
      <c r="C313" s="74"/>
      <c r="D313" s="74"/>
      <c r="E313" s="74"/>
      <c r="F313" s="74"/>
      <c r="G313" s="74"/>
      <c r="H313" s="74"/>
      <c r="I313" s="74"/>
      <c r="J313" s="74"/>
      <c r="K313" s="74"/>
      <c r="L313" s="74"/>
      <c r="M313" s="74"/>
      <c r="N313" s="38" t="str">
        <f>IF(OR(A313="Автомат",A313="Дифавтомат"),IF(W313="","",COUNTIFS(Однолинейка!$H$3:$H$3000,U313,Однолинейка!$A$3:$A$3000,Щит_спец)),IF(A313="Аппарат",IF(C313="","",COUNTIFS(Однолинейка!$I$3:$I$3000,C313,Однолинейка!$A$3:$A$3000,Щит_спец)+COUNTIFS(Однолинейка!$J$3:$J$3000,C313,Однолинейка!$A$3:$A$3000,Щит_спец)+COUNTIFS(Однолинейка!$K$3:$K$3000,C313,Однолинейка!$A$3:$A$3000,Щит_спец)),IF(A313="Модуль",IF(C313="","",COUNTIFS(Однолинейка!$AW$3:$AW$3000,"?*",Однолинейка!$AI$3:$AI$3000,C313,Однолинейка!$A$3:$A$3000,Щит_спец)),IF(A313="Клемма",IF(C313="","",IF(C313=$S$7,SUMIFS(Однолинейка!$BW$3:$BW$3000,Однолинейка!$A$3:$A$3000,Щит_спец),IF(C313=$S$8,SUMIFS(Однолинейка!$BX$3:$BX$3000,Однолинейка!$A$3:$A$3000,Щит_спец),""))),""))))</f>
        <v/>
      </c>
      <c r="O313" s="74"/>
      <c r="P313" s="38" t="str">
        <f t="shared" si="36"/>
        <v/>
      </c>
      <c r="U313" s="38" t="str">
        <f t="shared" si="37"/>
        <v/>
      </c>
      <c r="V313" s="38" t="str">
        <f t="shared" si="38"/>
        <v/>
      </c>
      <c r="W313" s="38" t="str">
        <f>IF(AND(U313&lt;&gt;"",OR($S$4="(все)",B313=$S$4),IF($S$4="(все)",COUNTIF($U$4:U313,U313),COUNTIFS($U$4:U313,U313,$B$4:B313,B313))=1),MAX($W$3:W312)+1,"")</f>
        <v/>
      </c>
      <c r="X313" s="38" t="str">
        <f t="shared" si="39"/>
        <v/>
      </c>
      <c r="Y313" s="38" t="str">
        <f>IF(AND(A313="Аппарат",C313&lt;&gt;"",OR($S$5="(все)",B313=$S$5)),MAX($Y$3:Y312)+1,"")</f>
        <v/>
      </c>
      <c r="Z313" s="38" t="str">
        <f t="shared" si="40"/>
        <v/>
      </c>
      <c r="AA313" s="38" t="str">
        <f>IF(AND(A313="Модуль",C313&lt;&gt;"",OR($S$6="(все)",B313=$S$6)),MAX($AA$3:AA312)+1,"")</f>
        <v/>
      </c>
      <c r="AB313" s="38" t="str">
        <f t="shared" si="41"/>
        <v/>
      </c>
      <c r="AC313" s="38" t="str">
        <f>IF(OR(B313="",COUNTIF($B$4:B313,B313)&gt;1),"",MAX($AC$3:AC312)+1)</f>
        <v/>
      </c>
      <c r="AD313" s="38" t="str">
        <f t="shared" si="42"/>
        <v/>
      </c>
      <c r="AE313" s="38" t="str">
        <f t="shared" si="43"/>
        <v/>
      </c>
      <c r="AF313" s="38" t="str">
        <f t="shared" si="44"/>
        <v/>
      </c>
    </row>
    <row r="314" spans="1:32" x14ac:dyDescent="0.3">
      <c r="A314" s="74"/>
      <c r="B314" s="74"/>
      <c r="C314" s="74"/>
      <c r="D314" s="74"/>
      <c r="E314" s="74"/>
      <c r="F314" s="74"/>
      <c r="G314" s="74"/>
      <c r="H314" s="74"/>
      <c r="I314" s="74"/>
      <c r="J314" s="74"/>
      <c r="K314" s="74"/>
      <c r="L314" s="74"/>
      <c r="M314" s="74"/>
      <c r="N314" s="38" t="str">
        <f>IF(OR(A314="Автомат",A314="Дифавтомат"),IF(W314="","",COUNTIFS(Однолинейка!$H$3:$H$3000,U314,Однолинейка!$A$3:$A$3000,Щит_спец)),IF(A314="Аппарат",IF(C314="","",COUNTIFS(Однолинейка!$I$3:$I$3000,C314,Однолинейка!$A$3:$A$3000,Щит_спец)+COUNTIFS(Однолинейка!$J$3:$J$3000,C314,Однолинейка!$A$3:$A$3000,Щит_спец)+COUNTIFS(Однолинейка!$K$3:$K$3000,C314,Однолинейка!$A$3:$A$3000,Щит_спец)),IF(A314="Модуль",IF(C314="","",COUNTIFS(Однолинейка!$AW$3:$AW$3000,"?*",Однолинейка!$AI$3:$AI$3000,C314,Однолинейка!$A$3:$A$3000,Щит_спец)),IF(A314="Клемма",IF(C314="","",IF(C314=$S$7,SUMIFS(Однолинейка!$BW$3:$BW$3000,Однолинейка!$A$3:$A$3000,Щит_спец),IF(C314=$S$8,SUMIFS(Однолинейка!$BX$3:$BX$3000,Однолинейка!$A$3:$A$3000,Щит_спец),""))),""))))</f>
        <v/>
      </c>
      <c r="O314" s="74"/>
      <c r="P314" s="38" t="str">
        <f t="shared" si="36"/>
        <v/>
      </c>
      <c r="U314" s="38" t="str">
        <f t="shared" si="37"/>
        <v/>
      </c>
      <c r="V314" s="38" t="str">
        <f t="shared" si="38"/>
        <v/>
      </c>
      <c r="W314" s="38" t="str">
        <f>IF(AND(U314&lt;&gt;"",OR($S$4="(все)",B314=$S$4),IF($S$4="(все)",COUNTIF($U$4:U314,U314),COUNTIFS($U$4:U314,U314,$B$4:B314,B314))=1),MAX($W$3:W313)+1,"")</f>
        <v/>
      </c>
      <c r="X314" s="38" t="str">
        <f t="shared" si="39"/>
        <v/>
      </c>
      <c r="Y314" s="38" t="str">
        <f>IF(AND(A314="Аппарат",C314&lt;&gt;"",OR($S$5="(все)",B314=$S$5)),MAX($Y$3:Y313)+1,"")</f>
        <v/>
      </c>
      <c r="Z314" s="38" t="str">
        <f t="shared" si="40"/>
        <v/>
      </c>
      <c r="AA314" s="38" t="str">
        <f>IF(AND(A314="Модуль",C314&lt;&gt;"",OR($S$6="(все)",B314=$S$6)),MAX($AA$3:AA313)+1,"")</f>
        <v/>
      </c>
      <c r="AB314" s="38" t="str">
        <f t="shared" si="41"/>
        <v/>
      </c>
      <c r="AC314" s="38" t="str">
        <f>IF(OR(B314="",COUNTIF($B$4:B314,B314)&gt;1),"",MAX($AC$3:AC313)+1)</f>
        <v/>
      </c>
      <c r="AD314" s="38" t="str">
        <f t="shared" si="42"/>
        <v/>
      </c>
      <c r="AE314" s="38" t="str">
        <f t="shared" si="43"/>
        <v/>
      </c>
      <c r="AF314" s="38" t="str">
        <f t="shared" si="44"/>
        <v/>
      </c>
    </row>
    <row r="315" spans="1:32" x14ac:dyDescent="0.3">
      <c r="A315" s="74"/>
      <c r="B315" s="74"/>
      <c r="C315" s="74"/>
      <c r="D315" s="74"/>
      <c r="E315" s="74"/>
      <c r="F315" s="74"/>
      <c r="G315" s="74"/>
      <c r="H315" s="74"/>
      <c r="I315" s="74"/>
      <c r="J315" s="74"/>
      <c r="K315" s="74"/>
      <c r="L315" s="74"/>
      <c r="M315" s="74"/>
      <c r="N315" s="38" t="str">
        <f>IF(OR(A315="Автомат",A315="Дифавтомат"),IF(W315="","",COUNTIFS(Однолинейка!$H$3:$H$3000,U315,Однолинейка!$A$3:$A$3000,Щит_спец)),IF(A315="Аппарат",IF(C315="","",COUNTIFS(Однолинейка!$I$3:$I$3000,C315,Однолинейка!$A$3:$A$3000,Щит_спец)+COUNTIFS(Однолинейка!$J$3:$J$3000,C315,Однолинейка!$A$3:$A$3000,Щит_спец)+COUNTIFS(Однолинейка!$K$3:$K$3000,C315,Однолинейка!$A$3:$A$3000,Щит_спец)),IF(A315="Модуль",IF(C315="","",COUNTIFS(Однолинейка!$AW$3:$AW$3000,"?*",Однолинейка!$AI$3:$AI$3000,C315,Однолинейка!$A$3:$A$3000,Щит_спец)),IF(A315="Клемма",IF(C315="","",IF(C315=$S$7,SUMIFS(Однолинейка!$BW$3:$BW$3000,Однолинейка!$A$3:$A$3000,Щит_спец),IF(C315=$S$8,SUMIFS(Однолинейка!$BX$3:$BX$3000,Однолинейка!$A$3:$A$3000,Щит_спец),""))),""))))</f>
        <v/>
      </c>
      <c r="O315" s="74"/>
      <c r="P315" s="38" t="str">
        <f t="shared" si="36"/>
        <v/>
      </c>
      <c r="U315" s="38" t="str">
        <f t="shared" si="37"/>
        <v/>
      </c>
      <c r="V315" s="38" t="str">
        <f t="shared" si="38"/>
        <v/>
      </c>
      <c r="W315" s="38" t="str">
        <f>IF(AND(U315&lt;&gt;"",OR($S$4="(все)",B315=$S$4),IF($S$4="(все)",COUNTIF($U$4:U315,U315),COUNTIFS($U$4:U315,U315,$B$4:B315,B315))=1),MAX($W$3:W314)+1,"")</f>
        <v/>
      </c>
      <c r="X315" s="38" t="str">
        <f t="shared" si="39"/>
        <v/>
      </c>
      <c r="Y315" s="38" t="str">
        <f>IF(AND(A315="Аппарат",C315&lt;&gt;"",OR($S$5="(все)",B315=$S$5)),MAX($Y$3:Y314)+1,"")</f>
        <v/>
      </c>
      <c r="Z315" s="38" t="str">
        <f t="shared" si="40"/>
        <v/>
      </c>
      <c r="AA315" s="38" t="str">
        <f>IF(AND(A315="Модуль",C315&lt;&gt;"",OR($S$6="(все)",B315=$S$6)),MAX($AA$3:AA314)+1,"")</f>
        <v/>
      </c>
      <c r="AB315" s="38" t="str">
        <f t="shared" si="41"/>
        <v/>
      </c>
      <c r="AC315" s="38" t="str">
        <f>IF(OR(B315="",COUNTIF($B$4:B315,B315)&gt;1),"",MAX($AC$3:AC314)+1)</f>
        <v/>
      </c>
      <c r="AD315" s="38" t="str">
        <f t="shared" si="42"/>
        <v/>
      </c>
      <c r="AE315" s="38" t="str">
        <f t="shared" si="43"/>
        <v/>
      </c>
      <c r="AF315" s="38" t="str">
        <f t="shared" si="44"/>
        <v/>
      </c>
    </row>
    <row r="316" spans="1:32" x14ac:dyDescent="0.3">
      <c r="A316" s="74"/>
      <c r="B316" s="74"/>
      <c r="C316" s="74"/>
      <c r="D316" s="74"/>
      <c r="E316" s="74"/>
      <c r="F316" s="74"/>
      <c r="G316" s="74"/>
      <c r="H316" s="74"/>
      <c r="I316" s="74"/>
      <c r="J316" s="74"/>
      <c r="K316" s="74"/>
      <c r="L316" s="74"/>
      <c r="M316" s="74"/>
      <c r="N316" s="38" t="str">
        <f>IF(OR(A316="Автомат",A316="Дифавтомат"),IF(W316="","",COUNTIFS(Однолинейка!$H$3:$H$3000,U316,Однолинейка!$A$3:$A$3000,Щит_спец)),IF(A316="Аппарат",IF(C316="","",COUNTIFS(Однолинейка!$I$3:$I$3000,C316,Однолинейка!$A$3:$A$3000,Щит_спец)+COUNTIFS(Однолинейка!$J$3:$J$3000,C316,Однолинейка!$A$3:$A$3000,Щит_спец)+COUNTIFS(Однолинейка!$K$3:$K$3000,C316,Однолинейка!$A$3:$A$3000,Щит_спец)),IF(A316="Модуль",IF(C316="","",COUNTIFS(Однолинейка!$AW$3:$AW$3000,"?*",Однолинейка!$AI$3:$AI$3000,C316,Однолинейка!$A$3:$A$3000,Щит_спец)),IF(A316="Клемма",IF(C316="","",IF(C316=$S$7,SUMIFS(Однолинейка!$BW$3:$BW$3000,Однолинейка!$A$3:$A$3000,Щит_спец),IF(C316=$S$8,SUMIFS(Однолинейка!$BX$3:$BX$3000,Однолинейка!$A$3:$A$3000,Щит_спец),""))),""))))</f>
        <v/>
      </c>
      <c r="O316" s="74"/>
      <c r="P316" s="38" t="str">
        <f t="shared" si="36"/>
        <v/>
      </c>
      <c r="U316" s="38" t="str">
        <f t="shared" si="37"/>
        <v/>
      </c>
      <c r="V316" s="38" t="str">
        <f t="shared" si="38"/>
        <v/>
      </c>
      <c r="W316" s="38" t="str">
        <f>IF(AND(U316&lt;&gt;"",OR($S$4="(все)",B316=$S$4),IF($S$4="(все)",COUNTIF($U$4:U316,U316),COUNTIFS($U$4:U316,U316,$B$4:B316,B316))=1),MAX($W$3:W315)+1,"")</f>
        <v/>
      </c>
      <c r="X316" s="38" t="str">
        <f t="shared" si="39"/>
        <v/>
      </c>
      <c r="Y316" s="38" t="str">
        <f>IF(AND(A316="Аппарат",C316&lt;&gt;"",OR($S$5="(все)",B316=$S$5)),MAX($Y$3:Y315)+1,"")</f>
        <v/>
      </c>
      <c r="Z316" s="38" t="str">
        <f t="shared" si="40"/>
        <v/>
      </c>
      <c r="AA316" s="38" t="str">
        <f>IF(AND(A316="Модуль",C316&lt;&gt;"",OR($S$6="(все)",B316=$S$6)),MAX($AA$3:AA315)+1,"")</f>
        <v/>
      </c>
      <c r="AB316" s="38" t="str">
        <f t="shared" si="41"/>
        <v/>
      </c>
      <c r="AC316" s="38" t="str">
        <f>IF(OR(B316="",COUNTIF($B$4:B316,B316)&gt;1),"",MAX($AC$3:AC315)+1)</f>
        <v/>
      </c>
      <c r="AD316" s="38" t="str">
        <f t="shared" si="42"/>
        <v/>
      </c>
      <c r="AE316" s="38" t="str">
        <f t="shared" si="43"/>
        <v/>
      </c>
      <c r="AF316" s="38" t="str">
        <f t="shared" si="44"/>
        <v/>
      </c>
    </row>
    <row r="317" spans="1:32" x14ac:dyDescent="0.3">
      <c r="A317" s="74"/>
      <c r="B317" s="74"/>
      <c r="C317" s="74"/>
      <c r="D317" s="74"/>
      <c r="E317" s="74"/>
      <c r="F317" s="74"/>
      <c r="G317" s="74"/>
      <c r="H317" s="74"/>
      <c r="I317" s="74"/>
      <c r="J317" s="74"/>
      <c r="K317" s="74"/>
      <c r="L317" s="74"/>
      <c r="M317" s="74"/>
      <c r="N317" s="38" t="str">
        <f>IF(OR(A317="Автомат",A317="Дифавтомат"),IF(W317="","",COUNTIFS(Однолинейка!$H$3:$H$3000,U317,Однолинейка!$A$3:$A$3000,Щит_спец)),IF(A317="Аппарат",IF(C317="","",COUNTIFS(Однолинейка!$I$3:$I$3000,C317,Однолинейка!$A$3:$A$3000,Щит_спец)+COUNTIFS(Однолинейка!$J$3:$J$3000,C317,Однолинейка!$A$3:$A$3000,Щит_спец)+COUNTIFS(Однолинейка!$K$3:$K$3000,C317,Однолинейка!$A$3:$A$3000,Щит_спец)),IF(A317="Модуль",IF(C317="","",COUNTIFS(Однолинейка!$AW$3:$AW$3000,"?*",Однолинейка!$AI$3:$AI$3000,C317,Однолинейка!$A$3:$A$3000,Щит_спец)),IF(A317="Клемма",IF(C317="","",IF(C317=$S$7,SUMIFS(Однолинейка!$BW$3:$BW$3000,Однолинейка!$A$3:$A$3000,Щит_спец),IF(C317=$S$8,SUMIFS(Однолинейка!$BX$3:$BX$3000,Однолинейка!$A$3:$A$3000,Щит_спец),""))),""))))</f>
        <v/>
      </c>
      <c r="O317" s="74"/>
      <c r="P317" s="38" t="str">
        <f t="shared" si="36"/>
        <v/>
      </c>
      <c r="U317" s="38" t="str">
        <f t="shared" si="37"/>
        <v/>
      </c>
      <c r="V317" s="38" t="str">
        <f t="shared" si="38"/>
        <v/>
      </c>
      <c r="W317" s="38" t="str">
        <f>IF(AND(U317&lt;&gt;"",OR($S$4="(все)",B317=$S$4),IF($S$4="(все)",COUNTIF($U$4:U317,U317),COUNTIFS($U$4:U317,U317,$B$4:B317,B317))=1),MAX($W$3:W316)+1,"")</f>
        <v/>
      </c>
      <c r="X317" s="38" t="str">
        <f t="shared" si="39"/>
        <v/>
      </c>
      <c r="Y317" s="38" t="str">
        <f>IF(AND(A317="Аппарат",C317&lt;&gt;"",OR($S$5="(все)",B317=$S$5)),MAX($Y$3:Y316)+1,"")</f>
        <v/>
      </c>
      <c r="Z317" s="38" t="str">
        <f t="shared" si="40"/>
        <v/>
      </c>
      <c r="AA317" s="38" t="str">
        <f>IF(AND(A317="Модуль",C317&lt;&gt;"",OR($S$6="(все)",B317=$S$6)),MAX($AA$3:AA316)+1,"")</f>
        <v/>
      </c>
      <c r="AB317" s="38" t="str">
        <f t="shared" si="41"/>
        <v/>
      </c>
      <c r="AC317" s="38" t="str">
        <f>IF(OR(B317="",COUNTIF($B$4:B317,B317)&gt;1),"",MAX($AC$3:AC316)+1)</f>
        <v/>
      </c>
      <c r="AD317" s="38" t="str">
        <f t="shared" si="42"/>
        <v/>
      </c>
      <c r="AE317" s="38" t="str">
        <f t="shared" si="43"/>
        <v/>
      </c>
      <c r="AF317" s="38" t="str">
        <f t="shared" si="44"/>
        <v/>
      </c>
    </row>
    <row r="318" spans="1:32" x14ac:dyDescent="0.3">
      <c r="A318" s="74"/>
      <c r="B318" s="74"/>
      <c r="C318" s="74"/>
      <c r="D318" s="74"/>
      <c r="E318" s="74"/>
      <c r="F318" s="74"/>
      <c r="G318" s="74"/>
      <c r="H318" s="74"/>
      <c r="I318" s="74"/>
      <c r="J318" s="74"/>
      <c r="K318" s="74"/>
      <c r="L318" s="74"/>
      <c r="M318" s="74"/>
      <c r="N318" s="38" t="str">
        <f>IF(OR(A318="Автомат",A318="Дифавтомат"),IF(W318="","",COUNTIFS(Однолинейка!$H$3:$H$3000,U318,Однолинейка!$A$3:$A$3000,Щит_спец)),IF(A318="Аппарат",IF(C318="","",COUNTIFS(Однолинейка!$I$3:$I$3000,C318,Однолинейка!$A$3:$A$3000,Щит_спец)+COUNTIFS(Однолинейка!$J$3:$J$3000,C318,Однолинейка!$A$3:$A$3000,Щит_спец)+COUNTIFS(Однолинейка!$K$3:$K$3000,C318,Однолинейка!$A$3:$A$3000,Щит_спец)),IF(A318="Модуль",IF(C318="","",COUNTIFS(Однолинейка!$AW$3:$AW$3000,"?*",Однолинейка!$AI$3:$AI$3000,C318,Однолинейка!$A$3:$A$3000,Щит_спец)),IF(A318="Клемма",IF(C318="","",IF(C318=$S$7,SUMIFS(Однолинейка!$BW$3:$BW$3000,Однолинейка!$A$3:$A$3000,Щит_спец),IF(C318=$S$8,SUMIFS(Однолинейка!$BX$3:$BX$3000,Однолинейка!$A$3:$A$3000,Щит_спец),""))),""))))</f>
        <v/>
      </c>
      <c r="O318" s="74"/>
      <c r="P318" s="38" t="str">
        <f t="shared" si="36"/>
        <v/>
      </c>
      <c r="U318" s="38" t="str">
        <f t="shared" si="37"/>
        <v/>
      </c>
      <c r="V318" s="38" t="str">
        <f t="shared" si="38"/>
        <v/>
      </c>
      <c r="W318" s="38" t="str">
        <f>IF(AND(U318&lt;&gt;"",OR($S$4="(все)",B318=$S$4),IF($S$4="(все)",COUNTIF($U$4:U318,U318),COUNTIFS($U$4:U318,U318,$B$4:B318,B318))=1),MAX($W$3:W317)+1,"")</f>
        <v/>
      </c>
      <c r="X318" s="38" t="str">
        <f t="shared" si="39"/>
        <v/>
      </c>
      <c r="Y318" s="38" t="str">
        <f>IF(AND(A318="Аппарат",C318&lt;&gt;"",OR($S$5="(все)",B318=$S$5)),MAX($Y$3:Y317)+1,"")</f>
        <v/>
      </c>
      <c r="Z318" s="38" t="str">
        <f t="shared" si="40"/>
        <v/>
      </c>
      <c r="AA318" s="38" t="str">
        <f>IF(AND(A318="Модуль",C318&lt;&gt;"",OR($S$6="(все)",B318=$S$6)),MAX($AA$3:AA317)+1,"")</f>
        <v/>
      </c>
      <c r="AB318" s="38" t="str">
        <f t="shared" si="41"/>
        <v/>
      </c>
      <c r="AC318" s="38" t="str">
        <f>IF(OR(B318="",COUNTIF($B$4:B318,B318)&gt;1),"",MAX($AC$3:AC317)+1)</f>
        <v/>
      </c>
      <c r="AD318" s="38" t="str">
        <f t="shared" si="42"/>
        <v/>
      </c>
      <c r="AE318" s="38" t="str">
        <f t="shared" si="43"/>
        <v/>
      </c>
      <c r="AF318" s="38" t="str">
        <f t="shared" si="44"/>
        <v/>
      </c>
    </row>
    <row r="319" spans="1:32" x14ac:dyDescent="0.3">
      <c r="A319" s="74"/>
      <c r="B319" s="74"/>
      <c r="C319" s="74"/>
      <c r="D319" s="74"/>
      <c r="E319" s="74"/>
      <c r="F319" s="74"/>
      <c r="G319" s="74"/>
      <c r="H319" s="74"/>
      <c r="I319" s="74"/>
      <c r="J319" s="74"/>
      <c r="K319" s="74"/>
      <c r="L319" s="74"/>
      <c r="M319" s="74"/>
      <c r="N319" s="38" t="str">
        <f>IF(OR(A319="Автомат",A319="Дифавтомат"),IF(W319="","",COUNTIFS(Однолинейка!$H$3:$H$3000,U319,Однолинейка!$A$3:$A$3000,Щит_спец)),IF(A319="Аппарат",IF(C319="","",COUNTIFS(Однолинейка!$I$3:$I$3000,C319,Однолинейка!$A$3:$A$3000,Щит_спец)+COUNTIFS(Однолинейка!$J$3:$J$3000,C319,Однолинейка!$A$3:$A$3000,Щит_спец)+COUNTIFS(Однолинейка!$K$3:$K$3000,C319,Однолинейка!$A$3:$A$3000,Щит_спец)),IF(A319="Модуль",IF(C319="","",COUNTIFS(Однолинейка!$AW$3:$AW$3000,"?*",Однолинейка!$AI$3:$AI$3000,C319,Однолинейка!$A$3:$A$3000,Щит_спец)),IF(A319="Клемма",IF(C319="","",IF(C319=$S$7,SUMIFS(Однолинейка!$BW$3:$BW$3000,Однолинейка!$A$3:$A$3000,Щит_спец),IF(C319=$S$8,SUMIFS(Однолинейка!$BX$3:$BX$3000,Однолинейка!$A$3:$A$3000,Щит_спец),""))),""))))</f>
        <v/>
      </c>
      <c r="O319" s="74"/>
      <c r="P319" s="38" t="str">
        <f t="shared" si="36"/>
        <v/>
      </c>
      <c r="U319" s="38" t="str">
        <f t="shared" si="37"/>
        <v/>
      </c>
      <c r="V319" s="38" t="str">
        <f t="shared" si="38"/>
        <v/>
      </c>
      <c r="W319" s="38" t="str">
        <f>IF(AND(U319&lt;&gt;"",OR($S$4="(все)",B319=$S$4),IF($S$4="(все)",COUNTIF($U$4:U319,U319),COUNTIFS($U$4:U319,U319,$B$4:B319,B319))=1),MAX($W$3:W318)+1,"")</f>
        <v/>
      </c>
      <c r="X319" s="38" t="str">
        <f t="shared" si="39"/>
        <v/>
      </c>
      <c r="Y319" s="38" t="str">
        <f>IF(AND(A319="Аппарат",C319&lt;&gt;"",OR($S$5="(все)",B319=$S$5)),MAX($Y$3:Y318)+1,"")</f>
        <v/>
      </c>
      <c r="Z319" s="38" t="str">
        <f t="shared" si="40"/>
        <v/>
      </c>
      <c r="AA319" s="38" t="str">
        <f>IF(AND(A319="Модуль",C319&lt;&gt;"",OR($S$6="(все)",B319=$S$6)),MAX($AA$3:AA318)+1,"")</f>
        <v/>
      </c>
      <c r="AB319" s="38" t="str">
        <f t="shared" si="41"/>
        <v/>
      </c>
      <c r="AC319" s="38" t="str">
        <f>IF(OR(B319="",COUNTIF($B$4:B319,B319)&gt;1),"",MAX($AC$3:AC318)+1)</f>
        <v/>
      </c>
      <c r="AD319" s="38" t="str">
        <f t="shared" si="42"/>
        <v/>
      </c>
      <c r="AE319" s="38" t="str">
        <f t="shared" si="43"/>
        <v/>
      </c>
      <c r="AF319" s="38" t="str">
        <f t="shared" si="44"/>
        <v/>
      </c>
    </row>
    <row r="320" spans="1:32" x14ac:dyDescent="0.3">
      <c r="A320" s="74"/>
      <c r="B320" s="74"/>
      <c r="C320" s="74"/>
      <c r="D320" s="74"/>
      <c r="E320" s="74"/>
      <c r="F320" s="74"/>
      <c r="G320" s="74"/>
      <c r="H320" s="74"/>
      <c r="I320" s="74"/>
      <c r="J320" s="74"/>
      <c r="K320" s="74"/>
      <c r="L320" s="74"/>
      <c r="M320" s="74"/>
      <c r="N320" s="38" t="str">
        <f>IF(OR(A320="Автомат",A320="Дифавтомат"),IF(W320="","",COUNTIFS(Однолинейка!$H$3:$H$3000,U320,Однолинейка!$A$3:$A$3000,Щит_спец)),IF(A320="Аппарат",IF(C320="","",COUNTIFS(Однолинейка!$I$3:$I$3000,C320,Однолинейка!$A$3:$A$3000,Щит_спец)+COUNTIFS(Однолинейка!$J$3:$J$3000,C320,Однолинейка!$A$3:$A$3000,Щит_спец)+COUNTIFS(Однолинейка!$K$3:$K$3000,C320,Однолинейка!$A$3:$A$3000,Щит_спец)),IF(A320="Модуль",IF(C320="","",COUNTIFS(Однолинейка!$AW$3:$AW$3000,"?*",Однолинейка!$AI$3:$AI$3000,C320,Однолинейка!$A$3:$A$3000,Щит_спец)),IF(A320="Клемма",IF(C320="","",IF(C320=$S$7,SUMIFS(Однолинейка!$BW$3:$BW$3000,Однолинейка!$A$3:$A$3000,Щит_спец),IF(C320=$S$8,SUMIFS(Однолинейка!$BX$3:$BX$3000,Однолинейка!$A$3:$A$3000,Щит_спец),""))),""))))</f>
        <v/>
      </c>
      <c r="O320" s="74"/>
      <c r="P320" s="38" t="str">
        <f t="shared" si="36"/>
        <v/>
      </c>
      <c r="U320" s="38" t="str">
        <f t="shared" si="37"/>
        <v/>
      </c>
      <c r="V320" s="38" t="str">
        <f t="shared" si="38"/>
        <v/>
      </c>
      <c r="W320" s="38" t="str">
        <f>IF(AND(U320&lt;&gt;"",OR($S$4="(все)",B320=$S$4),IF($S$4="(все)",COUNTIF($U$4:U320,U320),COUNTIFS($U$4:U320,U320,$B$4:B320,B320))=1),MAX($W$3:W319)+1,"")</f>
        <v/>
      </c>
      <c r="X320" s="38" t="str">
        <f t="shared" si="39"/>
        <v/>
      </c>
      <c r="Y320" s="38" t="str">
        <f>IF(AND(A320="Аппарат",C320&lt;&gt;"",OR($S$5="(все)",B320=$S$5)),MAX($Y$3:Y319)+1,"")</f>
        <v/>
      </c>
      <c r="Z320" s="38" t="str">
        <f t="shared" si="40"/>
        <v/>
      </c>
      <c r="AA320" s="38" t="str">
        <f>IF(AND(A320="Модуль",C320&lt;&gt;"",OR($S$6="(все)",B320=$S$6)),MAX($AA$3:AA319)+1,"")</f>
        <v/>
      </c>
      <c r="AB320" s="38" t="str">
        <f t="shared" si="41"/>
        <v/>
      </c>
      <c r="AC320" s="38" t="str">
        <f>IF(OR(B320="",COUNTIF($B$4:B320,B320)&gt;1),"",MAX($AC$3:AC319)+1)</f>
        <v/>
      </c>
      <c r="AD320" s="38" t="str">
        <f t="shared" si="42"/>
        <v/>
      </c>
      <c r="AE320" s="38" t="str">
        <f t="shared" si="43"/>
        <v/>
      </c>
      <c r="AF320" s="38" t="str">
        <f t="shared" si="44"/>
        <v/>
      </c>
    </row>
    <row r="321" spans="1:32" x14ac:dyDescent="0.3">
      <c r="A321" s="74"/>
      <c r="B321" s="74"/>
      <c r="C321" s="74"/>
      <c r="D321" s="74"/>
      <c r="E321" s="74"/>
      <c r="F321" s="74"/>
      <c r="G321" s="74"/>
      <c r="H321" s="74"/>
      <c r="I321" s="74"/>
      <c r="J321" s="74"/>
      <c r="K321" s="74"/>
      <c r="L321" s="74"/>
      <c r="M321" s="74"/>
      <c r="N321" s="38" t="str">
        <f>IF(OR(A321="Автомат",A321="Дифавтомат"),IF(W321="","",COUNTIFS(Однолинейка!$H$3:$H$3000,U321,Однолинейка!$A$3:$A$3000,Щит_спец)),IF(A321="Аппарат",IF(C321="","",COUNTIFS(Однолинейка!$I$3:$I$3000,C321,Однолинейка!$A$3:$A$3000,Щит_спец)+COUNTIFS(Однолинейка!$J$3:$J$3000,C321,Однолинейка!$A$3:$A$3000,Щит_спец)+COUNTIFS(Однолинейка!$K$3:$K$3000,C321,Однолинейка!$A$3:$A$3000,Щит_спец)),IF(A321="Модуль",IF(C321="","",COUNTIFS(Однолинейка!$AW$3:$AW$3000,"?*",Однолинейка!$AI$3:$AI$3000,C321,Однолинейка!$A$3:$A$3000,Щит_спец)),IF(A321="Клемма",IF(C321="","",IF(C321=$S$7,SUMIFS(Однолинейка!$BW$3:$BW$3000,Однолинейка!$A$3:$A$3000,Щит_спец),IF(C321=$S$8,SUMIFS(Однолинейка!$BX$3:$BX$3000,Однолинейка!$A$3:$A$3000,Щит_спец),""))),""))))</f>
        <v/>
      </c>
      <c r="O321" s="74"/>
      <c r="P321" s="38" t="str">
        <f t="shared" si="36"/>
        <v/>
      </c>
      <c r="U321" s="38" t="str">
        <f t="shared" si="37"/>
        <v/>
      </c>
      <c r="V321" s="38" t="str">
        <f t="shared" si="38"/>
        <v/>
      </c>
      <c r="W321" s="38" t="str">
        <f>IF(AND(U321&lt;&gt;"",OR($S$4="(все)",B321=$S$4),IF($S$4="(все)",COUNTIF($U$4:U321,U321),COUNTIFS($U$4:U321,U321,$B$4:B321,B321))=1),MAX($W$3:W320)+1,"")</f>
        <v/>
      </c>
      <c r="X321" s="38" t="str">
        <f t="shared" si="39"/>
        <v/>
      </c>
      <c r="Y321" s="38" t="str">
        <f>IF(AND(A321="Аппарат",C321&lt;&gt;"",OR($S$5="(все)",B321=$S$5)),MAX($Y$3:Y320)+1,"")</f>
        <v/>
      </c>
      <c r="Z321" s="38" t="str">
        <f t="shared" si="40"/>
        <v/>
      </c>
      <c r="AA321" s="38" t="str">
        <f>IF(AND(A321="Модуль",C321&lt;&gt;"",OR($S$6="(все)",B321=$S$6)),MAX($AA$3:AA320)+1,"")</f>
        <v/>
      </c>
      <c r="AB321" s="38" t="str">
        <f t="shared" si="41"/>
        <v/>
      </c>
      <c r="AC321" s="38" t="str">
        <f>IF(OR(B321="",COUNTIF($B$4:B321,B321)&gt;1),"",MAX($AC$3:AC320)+1)</f>
        <v/>
      </c>
      <c r="AD321" s="38" t="str">
        <f t="shared" si="42"/>
        <v/>
      </c>
      <c r="AE321" s="38" t="str">
        <f t="shared" si="43"/>
        <v/>
      </c>
      <c r="AF321" s="38" t="str">
        <f t="shared" si="44"/>
        <v/>
      </c>
    </row>
    <row r="322" spans="1:32" x14ac:dyDescent="0.3">
      <c r="A322" s="74"/>
      <c r="B322" s="74"/>
      <c r="C322" s="74"/>
      <c r="D322" s="74"/>
      <c r="E322" s="74"/>
      <c r="F322" s="74"/>
      <c r="G322" s="74"/>
      <c r="H322" s="74"/>
      <c r="I322" s="74"/>
      <c r="J322" s="74"/>
      <c r="K322" s="74"/>
      <c r="L322" s="74"/>
      <c r="M322" s="74"/>
      <c r="N322" s="38" t="str">
        <f>IF(OR(A322="Автомат",A322="Дифавтомат"),IF(W322="","",COUNTIFS(Однолинейка!$H$3:$H$3000,U322,Однолинейка!$A$3:$A$3000,Щит_спец)),IF(A322="Аппарат",IF(C322="","",COUNTIFS(Однолинейка!$I$3:$I$3000,C322,Однолинейка!$A$3:$A$3000,Щит_спец)+COUNTIFS(Однолинейка!$J$3:$J$3000,C322,Однолинейка!$A$3:$A$3000,Щит_спец)+COUNTIFS(Однолинейка!$K$3:$K$3000,C322,Однолинейка!$A$3:$A$3000,Щит_спец)),IF(A322="Модуль",IF(C322="","",COUNTIFS(Однолинейка!$AW$3:$AW$3000,"?*",Однолинейка!$AI$3:$AI$3000,C322,Однолинейка!$A$3:$A$3000,Щит_спец)),IF(A322="Клемма",IF(C322="","",IF(C322=$S$7,SUMIFS(Однолинейка!$BW$3:$BW$3000,Однолинейка!$A$3:$A$3000,Щит_спец),IF(C322=$S$8,SUMIFS(Однолинейка!$BX$3:$BX$3000,Однолинейка!$A$3:$A$3000,Щит_спец),""))),""))))</f>
        <v/>
      </c>
      <c r="O322" s="74"/>
      <c r="P322" s="38" t="str">
        <f t="shared" si="36"/>
        <v/>
      </c>
      <c r="U322" s="38" t="str">
        <f t="shared" si="37"/>
        <v/>
      </c>
      <c r="V322" s="38" t="str">
        <f t="shared" si="38"/>
        <v/>
      </c>
      <c r="W322" s="38" t="str">
        <f>IF(AND(U322&lt;&gt;"",OR($S$4="(все)",B322=$S$4),IF($S$4="(все)",COUNTIF($U$4:U322,U322),COUNTIFS($U$4:U322,U322,$B$4:B322,B322))=1),MAX($W$3:W321)+1,"")</f>
        <v/>
      </c>
      <c r="X322" s="38" t="str">
        <f t="shared" si="39"/>
        <v/>
      </c>
      <c r="Y322" s="38" t="str">
        <f>IF(AND(A322="Аппарат",C322&lt;&gt;"",OR($S$5="(все)",B322=$S$5)),MAX($Y$3:Y321)+1,"")</f>
        <v/>
      </c>
      <c r="Z322" s="38" t="str">
        <f t="shared" si="40"/>
        <v/>
      </c>
      <c r="AA322" s="38" t="str">
        <f>IF(AND(A322="Модуль",C322&lt;&gt;"",OR($S$6="(все)",B322=$S$6)),MAX($AA$3:AA321)+1,"")</f>
        <v/>
      </c>
      <c r="AB322" s="38" t="str">
        <f t="shared" si="41"/>
        <v/>
      </c>
      <c r="AC322" s="38" t="str">
        <f>IF(OR(B322="",COUNTIF($B$4:B322,B322)&gt;1),"",MAX($AC$3:AC321)+1)</f>
        <v/>
      </c>
      <c r="AD322" s="38" t="str">
        <f t="shared" si="42"/>
        <v/>
      </c>
      <c r="AE322" s="38" t="str">
        <f t="shared" si="43"/>
        <v/>
      </c>
      <c r="AF322" s="38" t="str">
        <f t="shared" si="44"/>
        <v/>
      </c>
    </row>
    <row r="323" spans="1:32" x14ac:dyDescent="0.3">
      <c r="A323" s="74"/>
      <c r="B323" s="74"/>
      <c r="C323" s="74"/>
      <c r="D323" s="74"/>
      <c r="E323" s="74"/>
      <c r="F323" s="74"/>
      <c r="G323" s="74"/>
      <c r="H323" s="74"/>
      <c r="I323" s="74"/>
      <c r="J323" s="74"/>
      <c r="K323" s="74"/>
      <c r="L323" s="74"/>
      <c r="M323" s="74"/>
      <c r="N323" s="38" t="str">
        <f>IF(OR(A323="Автомат",A323="Дифавтомат"),IF(W323="","",COUNTIFS(Однолинейка!$H$3:$H$3000,U323,Однолинейка!$A$3:$A$3000,Щит_спец)),IF(A323="Аппарат",IF(C323="","",COUNTIFS(Однолинейка!$I$3:$I$3000,C323,Однолинейка!$A$3:$A$3000,Щит_спец)+COUNTIFS(Однолинейка!$J$3:$J$3000,C323,Однолинейка!$A$3:$A$3000,Щит_спец)+COUNTIFS(Однолинейка!$K$3:$K$3000,C323,Однолинейка!$A$3:$A$3000,Щит_спец)),IF(A323="Модуль",IF(C323="","",COUNTIFS(Однолинейка!$AW$3:$AW$3000,"?*",Однолинейка!$AI$3:$AI$3000,C323,Однолинейка!$A$3:$A$3000,Щит_спец)),IF(A323="Клемма",IF(C323="","",IF(C323=$S$7,SUMIFS(Однолинейка!$BW$3:$BW$3000,Однолинейка!$A$3:$A$3000,Щит_спец),IF(C323=$S$8,SUMIFS(Однолинейка!$BX$3:$BX$3000,Однолинейка!$A$3:$A$3000,Щит_спец),""))),""))))</f>
        <v/>
      </c>
      <c r="O323" s="74"/>
      <c r="P323" s="38" t="str">
        <f t="shared" si="36"/>
        <v/>
      </c>
      <c r="U323" s="38" t="str">
        <f t="shared" si="37"/>
        <v/>
      </c>
      <c r="V323" s="38" t="str">
        <f t="shared" si="38"/>
        <v/>
      </c>
      <c r="W323" s="38" t="str">
        <f>IF(AND(U323&lt;&gt;"",OR($S$4="(все)",B323=$S$4),IF($S$4="(все)",COUNTIF($U$4:U323,U323),COUNTIFS($U$4:U323,U323,$B$4:B323,B323))=1),MAX($W$3:W322)+1,"")</f>
        <v/>
      </c>
      <c r="X323" s="38" t="str">
        <f t="shared" si="39"/>
        <v/>
      </c>
      <c r="Y323" s="38" t="str">
        <f>IF(AND(A323="Аппарат",C323&lt;&gt;"",OR($S$5="(все)",B323=$S$5)),MAX($Y$3:Y322)+1,"")</f>
        <v/>
      </c>
      <c r="Z323" s="38" t="str">
        <f t="shared" si="40"/>
        <v/>
      </c>
      <c r="AA323" s="38" t="str">
        <f>IF(AND(A323="Модуль",C323&lt;&gt;"",OR($S$6="(все)",B323=$S$6)),MAX($AA$3:AA322)+1,"")</f>
        <v/>
      </c>
      <c r="AB323" s="38" t="str">
        <f t="shared" si="41"/>
        <v/>
      </c>
      <c r="AC323" s="38" t="str">
        <f>IF(OR(B323="",COUNTIF($B$4:B323,B323)&gt;1),"",MAX($AC$3:AC322)+1)</f>
        <v/>
      </c>
      <c r="AD323" s="38" t="str">
        <f t="shared" si="42"/>
        <v/>
      </c>
      <c r="AE323" s="38" t="str">
        <f t="shared" si="43"/>
        <v/>
      </c>
      <c r="AF323" s="38" t="str">
        <f t="shared" si="44"/>
        <v/>
      </c>
    </row>
    <row r="324" spans="1:32" x14ac:dyDescent="0.3">
      <c r="A324" s="74"/>
      <c r="B324" s="74"/>
      <c r="C324" s="74"/>
      <c r="D324" s="74"/>
      <c r="E324" s="74"/>
      <c r="F324" s="74"/>
      <c r="G324" s="74"/>
      <c r="H324" s="74"/>
      <c r="I324" s="74"/>
      <c r="J324" s="74"/>
      <c r="K324" s="74"/>
      <c r="L324" s="74"/>
      <c r="M324" s="74"/>
      <c r="N324" s="38" t="str">
        <f>IF(OR(A324="Автомат",A324="Дифавтомат"),IF(W324="","",COUNTIFS(Однолинейка!$H$3:$H$3000,U324,Однолинейка!$A$3:$A$3000,Щит_спец)),IF(A324="Аппарат",IF(C324="","",COUNTIFS(Однолинейка!$I$3:$I$3000,C324,Однолинейка!$A$3:$A$3000,Щит_спец)+COUNTIFS(Однолинейка!$J$3:$J$3000,C324,Однолинейка!$A$3:$A$3000,Щит_спец)+COUNTIFS(Однолинейка!$K$3:$K$3000,C324,Однолинейка!$A$3:$A$3000,Щит_спец)),IF(A324="Модуль",IF(C324="","",COUNTIFS(Однолинейка!$AW$3:$AW$3000,"?*",Однолинейка!$AI$3:$AI$3000,C324,Однолинейка!$A$3:$A$3000,Щит_спец)),IF(A324="Клемма",IF(C324="","",IF(C324=$S$7,SUMIFS(Однолинейка!$BW$3:$BW$3000,Однолинейка!$A$3:$A$3000,Щит_спец),IF(C324=$S$8,SUMIFS(Однолинейка!$BX$3:$BX$3000,Однолинейка!$A$3:$A$3000,Щит_спец),""))),""))))</f>
        <v/>
      </c>
      <c r="O324" s="74"/>
      <c r="P324" s="38" t="str">
        <f t="shared" ref="P324:P387" si="45">IF(COUNT(N324,O324)=0,"",SUM(N324,O324))</f>
        <v/>
      </c>
      <c r="U324" s="38" t="str">
        <f t="shared" ref="U324:U387" si="46">IF(OR(A324="Автомат",A324="Дифавтомат"),I324&amp;" С"&amp;J324&amp;"А"&amp;IF(K324="да"," 30мА",IF(ISNUMBER(K324)," "&amp;K324&amp;"мА","")),"")</f>
        <v/>
      </c>
      <c r="V324" s="38" t="str">
        <f t="shared" ref="V324:V387" si="47">IF(U324="","",B324&amp;"|"&amp;U324)</f>
        <v/>
      </c>
      <c r="W324" s="38" t="str">
        <f>IF(AND(U324&lt;&gt;"",OR($S$4="(все)",B324=$S$4),IF($S$4="(все)",COUNTIF($U$4:U324,U324),COUNTIFS($U$4:U324,U324,$B$4:B324,B324))=1),MAX($W$3:W323)+1,"")</f>
        <v/>
      </c>
      <c r="X324" s="38" t="str">
        <f t="shared" ref="X324:X387" si="48">IFERROR(INDEX($U$4:$U$500,MATCH(ROW()-3,$W$4:$W$500,0)),"")</f>
        <v/>
      </c>
      <c r="Y324" s="38" t="str">
        <f>IF(AND(A324="Аппарат",C324&lt;&gt;"",OR($S$5="(все)",B324=$S$5)),MAX($Y$3:Y323)+1,"")</f>
        <v/>
      </c>
      <c r="Z324" s="38" t="str">
        <f t="shared" ref="Z324:Z387" si="49">IFERROR(INDEX($C$4:$C$500,MATCH(ROW()-3,$Y$4:$Y$500,0)),"")</f>
        <v/>
      </c>
      <c r="AA324" s="38" t="str">
        <f>IF(AND(A324="Модуль",C324&lt;&gt;"",OR($S$6="(все)",B324=$S$6)),MAX($AA$3:AA323)+1,"")</f>
        <v/>
      </c>
      <c r="AB324" s="38" t="str">
        <f t="shared" ref="AB324:AB387" si="50">IFERROR(INDEX($C$4:$C$500,MATCH(ROW()-3,$AA$4:$AA$500,0)),"")</f>
        <v/>
      </c>
      <c r="AC324" s="38" t="str">
        <f>IF(OR(B324="",COUNTIF($B$4:B324,B324)&gt;1),"",MAX($AC$3:AC323)+1)</f>
        <v/>
      </c>
      <c r="AD324" s="38" t="str">
        <f t="shared" ref="AD324:AD387" si="51">IFERROR(INDEX($B$4:$B$500,MATCH(ROW()-3,$AC$4:$AC$500,0)),"")</f>
        <v/>
      </c>
      <c r="AE324" s="38" t="str">
        <f t="shared" ref="AE324:AE387" si="52">IF(AND(A324&lt;&gt;"",N(P324)&gt;0),IFERROR(MATCH(A324,$R$12:$R$25,0),99)*1000+ROW(),"")</f>
        <v/>
      </c>
      <c r="AF324" s="38" t="str">
        <f t="shared" ref="AF324:AF387" si="53">IF(AE324="","",COUNTIF($AE$4:$AE$500,"&lt;="&amp;AE324))</f>
        <v/>
      </c>
    </row>
    <row r="325" spans="1:32" x14ac:dyDescent="0.3">
      <c r="A325" s="74"/>
      <c r="B325" s="74"/>
      <c r="C325" s="74"/>
      <c r="D325" s="74"/>
      <c r="E325" s="74"/>
      <c r="F325" s="74"/>
      <c r="G325" s="74"/>
      <c r="H325" s="74"/>
      <c r="I325" s="74"/>
      <c r="J325" s="74"/>
      <c r="K325" s="74"/>
      <c r="L325" s="74"/>
      <c r="M325" s="74"/>
      <c r="N325" s="38" t="str">
        <f>IF(OR(A325="Автомат",A325="Дифавтомат"),IF(W325="","",COUNTIFS(Однолинейка!$H$3:$H$3000,U325,Однолинейка!$A$3:$A$3000,Щит_спец)),IF(A325="Аппарат",IF(C325="","",COUNTIFS(Однолинейка!$I$3:$I$3000,C325,Однолинейка!$A$3:$A$3000,Щит_спец)+COUNTIFS(Однолинейка!$J$3:$J$3000,C325,Однолинейка!$A$3:$A$3000,Щит_спец)+COUNTIFS(Однолинейка!$K$3:$K$3000,C325,Однолинейка!$A$3:$A$3000,Щит_спец)),IF(A325="Модуль",IF(C325="","",COUNTIFS(Однолинейка!$AW$3:$AW$3000,"?*",Однолинейка!$AI$3:$AI$3000,C325,Однолинейка!$A$3:$A$3000,Щит_спец)),IF(A325="Клемма",IF(C325="","",IF(C325=$S$7,SUMIFS(Однолинейка!$BW$3:$BW$3000,Однолинейка!$A$3:$A$3000,Щит_спец),IF(C325=$S$8,SUMIFS(Однолинейка!$BX$3:$BX$3000,Однолинейка!$A$3:$A$3000,Щит_спец),""))),""))))</f>
        <v/>
      </c>
      <c r="O325" s="74"/>
      <c r="P325" s="38" t="str">
        <f t="shared" si="45"/>
        <v/>
      </c>
      <c r="U325" s="38" t="str">
        <f t="shared" si="46"/>
        <v/>
      </c>
      <c r="V325" s="38" t="str">
        <f t="shared" si="47"/>
        <v/>
      </c>
      <c r="W325" s="38" t="str">
        <f>IF(AND(U325&lt;&gt;"",OR($S$4="(все)",B325=$S$4),IF($S$4="(все)",COUNTIF($U$4:U325,U325),COUNTIFS($U$4:U325,U325,$B$4:B325,B325))=1),MAX($W$3:W324)+1,"")</f>
        <v/>
      </c>
      <c r="X325" s="38" t="str">
        <f t="shared" si="48"/>
        <v/>
      </c>
      <c r="Y325" s="38" t="str">
        <f>IF(AND(A325="Аппарат",C325&lt;&gt;"",OR($S$5="(все)",B325=$S$5)),MAX($Y$3:Y324)+1,"")</f>
        <v/>
      </c>
      <c r="Z325" s="38" t="str">
        <f t="shared" si="49"/>
        <v/>
      </c>
      <c r="AA325" s="38" t="str">
        <f>IF(AND(A325="Модуль",C325&lt;&gt;"",OR($S$6="(все)",B325=$S$6)),MAX($AA$3:AA324)+1,"")</f>
        <v/>
      </c>
      <c r="AB325" s="38" t="str">
        <f t="shared" si="50"/>
        <v/>
      </c>
      <c r="AC325" s="38" t="str">
        <f>IF(OR(B325="",COUNTIF($B$4:B325,B325)&gt;1),"",MAX($AC$3:AC324)+1)</f>
        <v/>
      </c>
      <c r="AD325" s="38" t="str">
        <f t="shared" si="51"/>
        <v/>
      </c>
      <c r="AE325" s="38" t="str">
        <f t="shared" si="52"/>
        <v/>
      </c>
      <c r="AF325" s="38" t="str">
        <f t="shared" si="53"/>
        <v/>
      </c>
    </row>
    <row r="326" spans="1:32" x14ac:dyDescent="0.3">
      <c r="A326" s="74"/>
      <c r="B326" s="74"/>
      <c r="C326" s="74"/>
      <c r="D326" s="74"/>
      <c r="E326" s="74"/>
      <c r="F326" s="74"/>
      <c r="G326" s="74"/>
      <c r="H326" s="74"/>
      <c r="I326" s="74"/>
      <c r="J326" s="74"/>
      <c r="K326" s="74"/>
      <c r="L326" s="74"/>
      <c r="M326" s="74"/>
      <c r="N326" s="38" t="str">
        <f>IF(OR(A326="Автомат",A326="Дифавтомат"),IF(W326="","",COUNTIFS(Однолинейка!$H$3:$H$3000,U326,Однолинейка!$A$3:$A$3000,Щит_спец)),IF(A326="Аппарат",IF(C326="","",COUNTIFS(Однолинейка!$I$3:$I$3000,C326,Однолинейка!$A$3:$A$3000,Щит_спец)+COUNTIFS(Однолинейка!$J$3:$J$3000,C326,Однолинейка!$A$3:$A$3000,Щит_спец)+COUNTIFS(Однолинейка!$K$3:$K$3000,C326,Однолинейка!$A$3:$A$3000,Щит_спец)),IF(A326="Модуль",IF(C326="","",COUNTIFS(Однолинейка!$AW$3:$AW$3000,"?*",Однолинейка!$AI$3:$AI$3000,C326,Однолинейка!$A$3:$A$3000,Щит_спец)),IF(A326="Клемма",IF(C326="","",IF(C326=$S$7,SUMIFS(Однолинейка!$BW$3:$BW$3000,Однолинейка!$A$3:$A$3000,Щит_спец),IF(C326=$S$8,SUMIFS(Однолинейка!$BX$3:$BX$3000,Однолинейка!$A$3:$A$3000,Щит_спец),""))),""))))</f>
        <v/>
      </c>
      <c r="O326" s="74"/>
      <c r="P326" s="38" t="str">
        <f t="shared" si="45"/>
        <v/>
      </c>
      <c r="U326" s="38" t="str">
        <f t="shared" si="46"/>
        <v/>
      </c>
      <c r="V326" s="38" t="str">
        <f t="shared" si="47"/>
        <v/>
      </c>
      <c r="W326" s="38" t="str">
        <f>IF(AND(U326&lt;&gt;"",OR($S$4="(все)",B326=$S$4),IF($S$4="(все)",COUNTIF($U$4:U326,U326),COUNTIFS($U$4:U326,U326,$B$4:B326,B326))=1),MAX($W$3:W325)+1,"")</f>
        <v/>
      </c>
      <c r="X326" s="38" t="str">
        <f t="shared" si="48"/>
        <v/>
      </c>
      <c r="Y326" s="38" t="str">
        <f>IF(AND(A326="Аппарат",C326&lt;&gt;"",OR($S$5="(все)",B326=$S$5)),MAX($Y$3:Y325)+1,"")</f>
        <v/>
      </c>
      <c r="Z326" s="38" t="str">
        <f t="shared" si="49"/>
        <v/>
      </c>
      <c r="AA326" s="38" t="str">
        <f>IF(AND(A326="Модуль",C326&lt;&gt;"",OR($S$6="(все)",B326=$S$6)),MAX($AA$3:AA325)+1,"")</f>
        <v/>
      </c>
      <c r="AB326" s="38" t="str">
        <f t="shared" si="50"/>
        <v/>
      </c>
      <c r="AC326" s="38" t="str">
        <f>IF(OR(B326="",COUNTIF($B$4:B326,B326)&gt;1),"",MAX($AC$3:AC325)+1)</f>
        <v/>
      </c>
      <c r="AD326" s="38" t="str">
        <f t="shared" si="51"/>
        <v/>
      </c>
      <c r="AE326" s="38" t="str">
        <f t="shared" si="52"/>
        <v/>
      </c>
      <c r="AF326" s="38" t="str">
        <f t="shared" si="53"/>
        <v/>
      </c>
    </row>
    <row r="327" spans="1:32" x14ac:dyDescent="0.3">
      <c r="A327" s="74"/>
      <c r="B327" s="74"/>
      <c r="C327" s="74"/>
      <c r="D327" s="74"/>
      <c r="E327" s="74"/>
      <c r="F327" s="74"/>
      <c r="G327" s="74"/>
      <c r="H327" s="74"/>
      <c r="I327" s="74"/>
      <c r="J327" s="74"/>
      <c r="K327" s="74"/>
      <c r="L327" s="74"/>
      <c r="M327" s="74"/>
      <c r="N327" s="38" t="str">
        <f>IF(OR(A327="Автомат",A327="Дифавтомат"),IF(W327="","",COUNTIFS(Однолинейка!$H$3:$H$3000,U327,Однолинейка!$A$3:$A$3000,Щит_спец)),IF(A327="Аппарат",IF(C327="","",COUNTIFS(Однолинейка!$I$3:$I$3000,C327,Однолинейка!$A$3:$A$3000,Щит_спец)+COUNTIFS(Однолинейка!$J$3:$J$3000,C327,Однолинейка!$A$3:$A$3000,Щит_спец)+COUNTIFS(Однолинейка!$K$3:$K$3000,C327,Однолинейка!$A$3:$A$3000,Щит_спец)),IF(A327="Модуль",IF(C327="","",COUNTIFS(Однолинейка!$AW$3:$AW$3000,"?*",Однолинейка!$AI$3:$AI$3000,C327,Однолинейка!$A$3:$A$3000,Щит_спец)),IF(A327="Клемма",IF(C327="","",IF(C327=$S$7,SUMIFS(Однолинейка!$BW$3:$BW$3000,Однолинейка!$A$3:$A$3000,Щит_спец),IF(C327=$S$8,SUMIFS(Однолинейка!$BX$3:$BX$3000,Однолинейка!$A$3:$A$3000,Щит_спец),""))),""))))</f>
        <v/>
      </c>
      <c r="O327" s="74"/>
      <c r="P327" s="38" t="str">
        <f t="shared" si="45"/>
        <v/>
      </c>
      <c r="U327" s="38" t="str">
        <f t="shared" si="46"/>
        <v/>
      </c>
      <c r="V327" s="38" t="str">
        <f t="shared" si="47"/>
        <v/>
      </c>
      <c r="W327" s="38" t="str">
        <f>IF(AND(U327&lt;&gt;"",OR($S$4="(все)",B327=$S$4),IF($S$4="(все)",COUNTIF($U$4:U327,U327),COUNTIFS($U$4:U327,U327,$B$4:B327,B327))=1),MAX($W$3:W326)+1,"")</f>
        <v/>
      </c>
      <c r="X327" s="38" t="str">
        <f t="shared" si="48"/>
        <v/>
      </c>
      <c r="Y327" s="38" t="str">
        <f>IF(AND(A327="Аппарат",C327&lt;&gt;"",OR($S$5="(все)",B327=$S$5)),MAX($Y$3:Y326)+1,"")</f>
        <v/>
      </c>
      <c r="Z327" s="38" t="str">
        <f t="shared" si="49"/>
        <v/>
      </c>
      <c r="AA327" s="38" t="str">
        <f>IF(AND(A327="Модуль",C327&lt;&gt;"",OR($S$6="(все)",B327=$S$6)),MAX($AA$3:AA326)+1,"")</f>
        <v/>
      </c>
      <c r="AB327" s="38" t="str">
        <f t="shared" si="50"/>
        <v/>
      </c>
      <c r="AC327" s="38" t="str">
        <f>IF(OR(B327="",COUNTIF($B$4:B327,B327)&gt;1),"",MAX($AC$3:AC326)+1)</f>
        <v/>
      </c>
      <c r="AD327" s="38" t="str">
        <f t="shared" si="51"/>
        <v/>
      </c>
      <c r="AE327" s="38" t="str">
        <f t="shared" si="52"/>
        <v/>
      </c>
      <c r="AF327" s="38" t="str">
        <f t="shared" si="53"/>
        <v/>
      </c>
    </row>
    <row r="328" spans="1:32" x14ac:dyDescent="0.3">
      <c r="A328" s="74"/>
      <c r="B328" s="74"/>
      <c r="C328" s="74"/>
      <c r="D328" s="74"/>
      <c r="E328" s="74"/>
      <c r="F328" s="74"/>
      <c r="G328" s="74"/>
      <c r="H328" s="74"/>
      <c r="I328" s="74"/>
      <c r="J328" s="74"/>
      <c r="K328" s="74"/>
      <c r="L328" s="74"/>
      <c r="M328" s="74"/>
      <c r="N328" s="38" t="str">
        <f>IF(OR(A328="Автомат",A328="Дифавтомат"),IF(W328="","",COUNTIFS(Однолинейка!$H$3:$H$3000,U328,Однолинейка!$A$3:$A$3000,Щит_спец)),IF(A328="Аппарат",IF(C328="","",COUNTIFS(Однолинейка!$I$3:$I$3000,C328,Однолинейка!$A$3:$A$3000,Щит_спец)+COUNTIFS(Однолинейка!$J$3:$J$3000,C328,Однолинейка!$A$3:$A$3000,Щит_спец)+COUNTIFS(Однолинейка!$K$3:$K$3000,C328,Однолинейка!$A$3:$A$3000,Щит_спец)),IF(A328="Модуль",IF(C328="","",COUNTIFS(Однолинейка!$AW$3:$AW$3000,"?*",Однолинейка!$AI$3:$AI$3000,C328,Однолинейка!$A$3:$A$3000,Щит_спец)),IF(A328="Клемма",IF(C328="","",IF(C328=$S$7,SUMIFS(Однолинейка!$BW$3:$BW$3000,Однолинейка!$A$3:$A$3000,Щит_спец),IF(C328=$S$8,SUMIFS(Однолинейка!$BX$3:$BX$3000,Однолинейка!$A$3:$A$3000,Щит_спец),""))),""))))</f>
        <v/>
      </c>
      <c r="O328" s="74"/>
      <c r="P328" s="38" t="str">
        <f t="shared" si="45"/>
        <v/>
      </c>
      <c r="U328" s="38" t="str">
        <f t="shared" si="46"/>
        <v/>
      </c>
      <c r="V328" s="38" t="str">
        <f t="shared" si="47"/>
        <v/>
      </c>
      <c r="W328" s="38" t="str">
        <f>IF(AND(U328&lt;&gt;"",OR($S$4="(все)",B328=$S$4),IF($S$4="(все)",COUNTIF($U$4:U328,U328),COUNTIFS($U$4:U328,U328,$B$4:B328,B328))=1),MAX($W$3:W327)+1,"")</f>
        <v/>
      </c>
      <c r="X328" s="38" t="str">
        <f t="shared" si="48"/>
        <v/>
      </c>
      <c r="Y328" s="38" t="str">
        <f>IF(AND(A328="Аппарат",C328&lt;&gt;"",OR($S$5="(все)",B328=$S$5)),MAX($Y$3:Y327)+1,"")</f>
        <v/>
      </c>
      <c r="Z328" s="38" t="str">
        <f t="shared" si="49"/>
        <v/>
      </c>
      <c r="AA328" s="38" t="str">
        <f>IF(AND(A328="Модуль",C328&lt;&gt;"",OR($S$6="(все)",B328=$S$6)),MAX($AA$3:AA327)+1,"")</f>
        <v/>
      </c>
      <c r="AB328" s="38" t="str">
        <f t="shared" si="50"/>
        <v/>
      </c>
      <c r="AC328" s="38" t="str">
        <f>IF(OR(B328="",COUNTIF($B$4:B328,B328)&gt;1),"",MAX($AC$3:AC327)+1)</f>
        <v/>
      </c>
      <c r="AD328" s="38" t="str">
        <f t="shared" si="51"/>
        <v/>
      </c>
      <c r="AE328" s="38" t="str">
        <f t="shared" si="52"/>
        <v/>
      </c>
      <c r="AF328" s="38" t="str">
        <f t="shared" si="53"/>
        <v/>
      </c>
    </row>
    <row r="329" spans="1:32" x14ac:dyDescent="0.3">
      <c r="A329" s="74"/>
      <c r="B329" s="74"/>
      <c r="C329" s="74"/>
      <c r="D329" s="74"/>
      <c r="E329" s="74"/>
      <c r="F329" s="74"/>
      <c r="G329" s="74"/>
      <c r="H329" s="74"/>
      <c r="I329" s="74"/>
      <c r="J329" s="74"/>
      <c r="K329" s="74"/>
      <c r="L329" s="74"/>
      <c r="M329" s="74"/>
      <c r="N329" s="38" t="str">
        <f>IF(OR(A329="Автомат",A329="Дифавтомат"),IF(W329="","",COUNTIFS(Однолинейка!$H$3:$H$3000,U329,Однолинейка!$A$3:$A$3000,Щит_спец)),IF(A329="Аппарат",IF(C329="","",COUNTIFS(Однолинейка!$I$3:$I$3000,C329,Однолинейка!$A$3:$A$3000,Щит_спец)+COUNTIFS(Однолинейка!$J$3:$J$3000,C329,Однолинейка!$A$3:$A$3000,Щит_спец)+COUNTIFS(Однолинейка!$K$3:$K$3000,C329,Однолинейка!$A$3:$A$3000,Щит_спец)),IF(A329="Модуль",IF(C329="","",COUNTIFS(Однолинейка!$AW$3:$AW$3000,"?*",Однолинейка!$AI$3:$AI$3000,C329,Однолинейка!$A$3:$A$3000,Щит_спец)),IF(A329="Клемма",IF(C329="","",IF(C329=$S$7,SUMIFS(Однолинейка!$BW$3:$BW$3000,Однолинейка!$A$3:$A$3000,Щит_спец),IF(C329=$S$8,SUMIFS(Однолинейка!$BX$3:$BX$3000,Однолинейка!$A$3:$A$3000,Щит_спец),""))),""))))</f>
        <v/>
      </c>
      <c r="O329" s="74"/>
      <c r="P329" s="38" t="str">
        <f t="shared" si="45"/>
        <v/>
      </c>
      <c r="U329" s="38" t="str">
        <f t="shared" si="46"/>
        <v/>
      </c>
      <c r="V329" s="38" t="str">
        <f t="shared" si="47"/>
        <v/>
      </c>
      <c r="W329" s="38" t="str">
        <f>IF(AND(U329&lt;&gt;"",OR($S$4="(все)",B329=$S$4),IF($S$4="(все)",COUNTIF($U$4:U329,U329),COUNTIFS($U$4:U329,U329,$B$4:B329,B329))=1),MAX($W$3:W328)+1,"")</f>
        <v/>
      </c>
      <c r="X329" s="38" t="str">
        <f t="shared" si="48"/>
        <v/>
      </c>
      <c r="Y329" s="38" t="str">
        <f>IF(AND(A329="Аппарат",C329&lt;&gt;"",OR($S$5="(все)",B329=$S$5)),MAX($Y$3:Y328)+1,"")</f>
        <v/>
      </c>
      <c r="Z329" s="38" t="str">
        <f t="shared" si="49"/>
        <v/>
      </c>
      <c r="AA329" s="38" t="str">
        <f>IF(AND(A329="Модуль",C329&lt;&gt;"",OR($S$6="(все)",B329=$S$6)),MAX($AA$3:AA328)+1,"")</f>
        <v/>
      </c>
      <c r="AB329" s="38" t="str">
        <f t="shared" si="50"/>
        <v/>
      </c>
      <c r="AC329" s="38" t="str">
        <f>IF(OR(B329="",COUNTIF($B$4:B329,B329)&gt;1),"",MAX($AC$3:AC328)+1)</f>
        <v/>
      </c>
      <c r="AD329" s="38" t="str">
        <f t="shared" si="51"/>
        <v/>
      </c>
      <c r="AE329" s="38" t="str">
        <f t="shared" si="52"/>
        <v/>
      </c>
      <c r="AF329" s="38" t="str">
        <f t="shared" si="53"/>
        <v/>
      </c>
    </row>
    <row r="330" spans="1:32" x14ac:dyDescent="0.3">
      <c r="A330" s="74"/>
      <c r="B330" s="74"/>
      <c r="C330" s="74"/>
      <c r="D330" s="74"/>
      <c r="E330" s="74"/>
      <c r="F330" s="74"/>
      <c r="G330" s="74"/>
      <c r="H330" s="74"/>
      <c r="I330" s="74"/>
      <c r="J330" s="74"/>
      <c r="K330" s="74"/>
      <c r="L330" s="74"/>
      <c r="M330" s="74"/>
      <c r="N330" s="38" t="str">
        <f>IF(OR(A330="Автомат",A330="Дифавтомат"),IF(W330="","",COUNTIFS(Однолинейка!$H$3:$H$3000,U330,Однолинейка!$A$3:$A$3000,Щит_спец)),IF(A330="Аппарат",IF(C330="","",COUNTIFS(Однолинейка!$I$3:$I$3000,C330,Однолинейка!$A$3:$A$3000,Щит_спец)+COUNTIFS(Однолинейка!$J$3:$J$3000,C330,Однолинейка!$A$3:$A$3000,Щит_спец)+COUNTIFS(Однолинейка!$K$3:$K$3000,C330,Однолинейка!$A$3:$A$3000,Щит_спец)),IF(A330="Модуль",IF(C330="","",COUNTIFS(Однолинейка!$AW$3:$AW$3000,"?*",Однолинейка!$AI$3:$AI$3000,C330,Однолинейка!$A$3:$A$3000,Щит_спец)),IF(A330="Клемма",IF(C330="","",IF(C330=$S$7,SUMIFS(Однолинейка!$BW$3:$BW$3000,Однолинейка!$A$3:$A$3000,Щит_спец),IF(C330=$S$8,SUMIFS(Однолинейка!$BX$3:$BX$3000,Однолинейка!$A$3:$A$3000,Щит_спец),""))),""))))</f>
        <v/>
      </c>
      <c r="O330" s="74"/>
      <c r="P330" s="38" t="str">
        <f t="shared" si="45"/>
        <v/>
      </c>
      <c r="U330" s="38" t="str">
        <f t="shared" si="46"/>
        <v/>
      </c>
      <c r="V330" s="38" t="str">
        <f t="shared" si="47"/>
        <v/>
      </c>
      <c r="W330" s="38" t="str">
        <f>IF(AND(U330&lt;&gt;"",OR($S$4="(все)",B330=$S$4),IF($S$4="(все)",COUNTIF($U$4:U330,U330),COUNTIFS($U$4:U330,U330,$B$4:B330,B330))=1),MAX($W$3:W329)+1,"")</f>
        <v/>
      </c>
      <c r="X330" s="38" t="str">
        <f t="shared" si="48"/>
        <v/>
      </c>
      <c r="Y330" s="38" t="str">
        <f>IF(AND(A330="Аппарат",C330&lt;&gt;"",OR($S$5="(все)",B330=$S$5)),MAX($Y$3:Y329)+1,"")</f>
        <v/>
      </c>
      <c r="Z330" s="38" t="str">
        <f t="shared" si="49"/>
        <v/>
      </c>
      <c r="AA330" s="38" t="str">
        <f>IF(AND(A330="Модуль",C330&lt;&gt;"",OR($S$6="(все)",B330=$S$6)),MAX($AA$3:AA329)+1,"")</f>
        <v/>
      </c>
      <c r="AB330" s="38" t="str">
        <f t="shared" si="50"/>
        <v/>
      </c>
      <c r="AC330" s="38" t="str">
        <f>IF(OR(B330="",COUNTIF($B$4:B330,B330)&gt;1),"",MAX($AC$3:AC329)+1)</f>
        <v/>
      </c>
      <c r="AD330" s="38" t="str">
        <f t="shared" si="51"/>
        <v/>
      </c>
      <c r="AE330" s="38" t="str">
        <f t="shared" si="52"/>
        <v/>
      </c>
      <c r="AF330" s="38" t="str">
        <f t="shared" si="53"/>
        <v/>
      </c>
    </row>
    <row r="331" spans="1:32" x14ac:dyDescent="0.3">
      <c r="A331" s="74"/>
      <c r="B331" s="74"/>
      <c r="C331" s="74"/>
      <c r="D331" s="74"/>
      <c r="E331" s="74"/>
      <c r="F331" s="74"/>
      <c r="G331" s="74"/>
      <c r="H331" s="74"/>
      <c r="I331" s="74"/>
      <c r="J331" s="74"/>
      <c r="K331" s="74"/>
      <c r="L331" s="74"/>
      <c r="M331" s="74"/>
      <c r="N331" s="38" t="str">
        <f>IF(OR(A331="Автомат",A331="Дифавтомат"),IF(W331="","",COUNTIFS(Однолинейка!$H$3:$H$3000,U331,Однолинейка!$A$3:$A$3000,Щит_спец)),IF(A331="Аппарат",IF(C331="","",COUNTIFS(Однолинейка!$I$3:$I$3000,C331,Однолинейка!$A$3:$A$3000,Щит_спец)+COUNTIFS(Однолинейка!$J$3:$J$3000,C331,Однолинейка!$A$3:$A$3000,Щит_спец)+COUNTIFS(Однолинейка!$K$3:$K$3000,C331,Однолинейка!$A$3:$A$3000,Щит_спец)),IF(A331="Модуль",IF(C331="","",COUNTIFS(Однолинейка!$AW$3:$AW$3000,"?*",Однолинейка!$AI$3:$AI$3000,C331,Однолинейка!$A$3:$A$3000,Щит_спец)),IF(A331="Клемма",IF(C331="","",IF(C331=$S$7,SUMIFS(Однолинейка!$BW$3:$BW$3000,Однолинейка!$A$3:$A$3000,Щит_спец),IF(C331=$S$8,SUMIFS(Однолинейка!$BX$3:$BX$3000,Однолинейка!$A$3:$A$3000,Щит_спец),""))),""))))</f>
        <v/>
      </c>
      <c r="O331" s="74"/>
      <c r="P331" s="38" t="str">
        <f t="shared" si="45"/>
        <v/>
      </c>
      <c r="U331" s="38" t="str">
        <f t="shared" si="46"/>
        <v/>
      </c>
      <c r="V331" s="38" t="str">
        <f t="shared" si="47"/>
        <v/>
      </c>
      <c r="W331" s="38" t="str">
        <f>IF(AND(U331&lt;&gt;"",OR($S$4="(все)",B331=$S$4),IF($S$4="(все)",COUNTIF($U$4:U331,U331),COUNTIFS($U$4:U331,U331,$B$4:B331,B331))=1),MAX($W$3:W330)+1,"")</f>
        <v/>
      </c>
      <c r="X331" s="38" t="str">
        <f t="shared" si="48"/>
        <v/>
      </c>
      <c r="Y331" s="38" t="str">
        <f>IF(AND(A331="Аппарат",C331&lt;&gt;"",OR($S$5="(все)",B331=$S$5)),MAX($Y$3:Y330)+1,"")</f>
        <v/>
      </c>
      <c r="Z331" s="38" t="str">
        <f t="shared" si="49"/>
        <v/>
      </c>
      <c r="AA331" s="38" t="str">
        <f>IF(AND(A331="Модуль",C331&lt;&gt;"",OR($S$6="(все)",B331=$S$6)),MAX($AA$3:AA330)+1,"")</f>
        <v/>
      </c>
      <c r="AB331" s="38" t="str">
        <f t="shared" si="50"/>
        <v/>
      </c>
      <c r="AC331" s="38" t="str">
        <f>IF(OR(B331="",COUNTIF($B$4:B331,B331)&gt;1),"",MAX($AC$3:AC330)+1)</f>
        <v/>
      </c>
      <c r="AD331" s="38" t="str">
        <f t="shared" si="51"/>
        <v/>
      </c>
      <c r="AE331" s="38" t="str">
        <f t="shared" si="52"/>
        <v/>
      </c>
      <c r="AF331" s="38" t="str">
        <f t="shared" si="53"/>
        <v/>
      </c>
    </row>
    <row r="332" spans="1:32" x14ac:dyDescent="0.3">
      <c r="A332" s="74"/>
      <c r="B332" s="74"/>
      <c r="C332" s="74"/>
      <c r="D332" s="74"/>
      <c r="E332" s="74"/>
      <c r="F332" s="74"/>
      <c r="G332" s="74"/>
      <c r="H332" s="74"/>
      <c r="I332" s="74"/>
      <c r="J332" s="74"/>
      <c r="K332" s="74"/>
      <c r="L332" s="74"/>
      <c r="M332" s="74"/>
      <c r="N332" s="38" t="str">
        <f>IF(OR(A332="Автомат",A332="Дифавтомат"),IF(W332="","",COUNTIFS(Однолинейка!$H$3:$H$3000,U332,Однолинейка!$A$3:$A$3000,Щит_спец)),IF(A332="Аппарат",IF(C332="","",COUNTIFS(Однолинейка!$I$3:$I$3000,C332,Однолинейка!$A$3:$A$3000,Щит_спец)+COUNTIFS(Однолинейка!$J$3:$J$3000,C332,Однолинейка!$A$3:$A$3000,Щит_спец)+COUNTIFS(Однолинейка!$K$3:$K$3000,C332,Однолинейка!$A$3:$A$3000,Щит_спец)),IF(A332="Модуль",IF(C332="","",COUNTIFS(Однолинейка!$AW$3:$AW$3000,"?*",Однолинейка!$AI$3:$AI$3000,C332,Однолинейка!$A$3:$A$3000,Щит_спец)),IF(A332="Клемма",IF(C332="","",IF(C332=$S$7,SUMIFS(Однолинейка!$BW$3:$BW$3000,Однолинейка!$A$3:$A$3000,Щит_спец),IF(C332=$S$8,SUMIFS(Однолинейка!$BX$3:$BX$3000,Однолинейка!$A$3:$A$3000,Щит_спец),""))),""))))</f>
        <v/>
      </c>
      <c r="O332" s="74"/>
      <c r="P332" s="38" t="str">
        <f t="shared" si="45"/>
        <v/>
      </c>
      <c r="U332" s="38" t="str">
        <f t="shared" si="46"/>
        <v/>
      </c>
      <c r="V332" s="38" t="str">
        <f t="shared" si="47"/>
        <v/>
      </c>
      <c r="W332" s="38" t="str">
        <f>IF(AND(U332&lt;&gt;"",OR($S$4="(все)",B332=$S$4),IF($S$4="(все)",COUNTIF($U$4:U332,U332),COUNTIFS($U$4:U332,U332,$B$4:B332,B332))=1),MAX($W$3:W331)+1,"")</f>
        <v/>
      </c>
      <c r="X332" s="38" t="str">
        <f t="shared" si="48"/>
        <v/>
      </c>
      <c r="Y332" s="38" t="str">
        <f>IF(AND(A332="Аппарат",C332&lt;&gt;"",OR($S$5="(все)",B332=$S$5)),MAX($Y$3:Y331)+1,"")</f>
        <v/>
      </c>
      <c r="Z332" s="38" t="str">
        <f t="shared" si="49"/>
        <v/>
      </c>
      <c r="AA332" s="38" t="str">
        <f>IF(AND(A332="Модуль",C332&lt;&gt;"",OR($S$6="(все)",B332=$S$6)),MAX($AA$3:AA331)+1,"")</f>
        <v/>
      </c>
      <c r="AB332" s="38" t="str">
        <f t="shared" si="50"/>
        <v/>
      </c>
      <c r="AC332" s="38" t="str">
        <f>IF(OR(B332="",COUNTIF($B$4:B332,B332)&gt;1),"",MAX($AC$3:AC331)+1)</f>
        <v/>
      </c>
      <c r="AD332" s="38" t="str">
        <f t="shared" si="51"/>
        <v/>
      </c>
      <c r="AE332" s="38" t="str">
        <f t="shared" si="52"/>
        <v/>
      </c>
      <c r="AF332" s="38" t="str">
        <f t="shared" si="53"/>
        <v/>
      </c>
    </row>
    <row r="333" spans="1:32" x14ac:dyDescent="0.3">
      <c r="A333" s="74"/>
      <c r="B333" s="74"/>
      <c r="C333" s="74"/>
      <c r="D333" s="74"/>
      <c r="E333" s="74"/>
      <c r="F333" s="74"/>
      <c r="G333" s="74"/>
      <c r="H333" s="74"/>
      <c r="I333" s="74"/>
      <c r="J333" s="74"/>
      <c r="K333" s="74"/>
      <c r="L333" s="74"/>
      <c r="M333" s="74"/>
      <c r="N333" s="38" t="str">
        <f>IF(OR(A333="Автомат",A333="Дифавтомат"),IF(W333="","",COUNTIFS(Однолинейка!$H$3:$H$3000,U333,Однолинейка!$A$3:$A$3000,Щит_спец)),IF(A333="Аппарат",IF(C333="","",COUNTIFS(Однолинейка!$I$3:$I$3000,C333,Однолинейка!$A$3:$A$3000,Щит_спец)+COUNTIFS(Однолинейка!$J$3:$J$3000,C333,Однолинейка!$A$3:$A$3000,Щит_спец)+COUNTIFS(Однолинейка!$K$3:$K$3000,C333,Однолинейка!$A$3:$A$3000,Щит_спец)),IF(A333="Модуль",IF(C333="","",COUNTIFS(Однолинейка!$AW$3:$AW$3000,"?*",Однолинейка!$AI$3:$AI$3000,C333,Однолинейка!$A$3:$A$3000,Щит_спец)),IF(A333="Клемма",IF(C333="","",IF(C333=$S$7,SUMIFS(Однолинейка!$BW$3:$BW$3000,Однолинейка!$A$3:$A$3000,Щит_спец),IF(C333=$S$8,SUMIFS(Однолинейка!$BX$3:$BX$3000,Однолинейка!$A$3:$A$3000,Щит_спец),""))),""))))</f>
        <v/>
      </c>
      <c r="O333" s="74"/>
      <c r="P333" s="38" t="str">
        <f t="shared" si="45"/>
        <v/>
      </c>
      <c r="U333" s="38" t="str">
        <f t="shared" si="46"/>
        <v/>
      </c>
      <c r="V333" s="38" t="str">
        <f t="shared" si="47"/>
        <v/>
      </c>
      <c r="W333" s="38" t="str">
        <f>IF(AND(U333&lt;&gt;"",OR($S$4="(все)",B333=$S$4),IF($S$4="(все)",COUNTIF($U$4:U333,U333),COUNTIFS($U$4:U333,U333,$B$4:B333,B333))=1),MAX($W$3:W332)+1,"")</f>
        <v/>
      </c>
      <c r="X333" s="38" t="str">
        <f t="shared" si="48"/>
        <v/>
      </c>
      <c r="Y333" s="38" t="str">
        <f>IF(AND(A333="Аппарат",C333&lt;&gt;"",OR($S$5="(все)",B333=$S$5)),MAX($Y$3:Y332)+1,"")</f>
        <v/>
      </c>
      <c r="Z333" s="38" t="str">
        <f t="shared" si="49"/>
        <v/>
      </c>
      <c r="AA333" s="38" t="str">
        <f>IF(AND(A333="Модуль",C333&lt;&gt;"",OR($S$6="(все)",B333=$S$6)),MAX($AA$3:AA332)+1,"")</f>
        <v/>
      </c>
      <c r="AB333" s="38" t="str">
        <f t="shared" si="50"/>
        <v/>
      </c>
      <c r="AC333" s="38" t="str">
        <f>IF(OR(B333="",COUNTIF($B$4:B333,B333)&gt;1),"",MAX($AC$3:AC332)+1)</f>
        <v/>
      </c>
      <c r="AD333" s="38" t="str">
        <f t="shared" si="51"/>
        <v/>
      </c>
      <c r="AE333" s="38" t="str">
        <f t="shared" si="52"/>
        <v/>
      </c>
      <c r="AF333" s="38" t="str">
        <f t="shared" si="53"/>
        <v/>
      </c>
    </row>
    <row r="334" spans="1:32" x14ac:dyDescent="0.3">
      <c r="A334" s="74"/>
      <c r="B334" s="74"/>
      <c r="C334" s="74"/>
      <c r="D334" s="74"/>
      <c r="E334" s="74"/>
      <c r="F334" s="74"/>
      <c r="G334" s="74"/>
      <c r="H334" s="74"/>
      <c r="I334" s="74"/>
      <c r="J334" s="74"/>
      <c r="K334" s="74"/>
      <c r="L334" s="74"/>
      <c r="M334" s="74"/>
      <c r="N334" s="38" t="str">
        <f>IF(OR(A334="Автомат",A334="Дифавтомат"),IF(W334="","",COUNTIFS(Однолинейка!$H$3:$H$3000,U334,Однолинейка!$A$3:$A$3000,Щит_спец)),IF(A334="Аппарат",IF(C334="","",COUNTIFS(Однолинейка!$I$3:$I$3000,C334,Однолинейка!$A$3:$A$3000,Щит_спец)+COUNTIFS(Однолинейка!$J$3:$J$3000,C334,Однолинейка!$A$3:$A$3000,Щит_спец)+COUNTIFS(Однолинейка!$K$3:$K$3000,C334,Однолинейка!$A$3:$A$3000,Щит_спец)),IF(A334="Модуль",IF(C334="","",COUNTIFS(Однолинейка!$AW$3:$AW$3000,"?*",Однолинейка!$AI$3:$AI$3000,C334,Однолинейка!$A$3:$A$3000,Щит_спец)),IF(A334="Клемма",IF(C334="","",IF(C334=$S$7,SUMIFS(Однолинейка!$BW$3:$BW$3000,Однолинейка!$A$3:$A$3000,Щит_спец),IF(C334=$S$8,SUMIFS(Однолинейка!$BX$3:$BX$3000,Однолинейка!$A$3:$A$3000,Щит_спец),""))),""))))</f>
        <v/>
      </c>
      <c r="O334" s="74"/>
      <c r="P334" s="38" t="str">
        <f t="shared" si="45"/>
        <v/>
      </c>
      <c r="U334" s="38" t="str">
        <f t="shared" si="46"/>
        <v/>
      </c>
      <c r="V334" s="38" t="str">
        <f t="shared" si="47"/>
        <v/>
      </c>
      <c r="W334" s="38" t="str">
        <f>IF(AND(U334&lt;&gt;"",OR($S$4="(все)",B334=$S$4),IF($S$4="(все)",COUNTIF($U$4:U334,U334),COUNTIFS($U$4:U334,U334,$B$4:B334,B334))=1),MAX($W$3:W333)+1,"")</f>
        <v/>
      </c>
      <c r="X334" s="38" t="str">
        <f t="shared" si="48"/>
        <v/>
      </c>
      <c r="Y334" s="38" t="str">
        <f>IF(AND(A334="Аппарат",C334&lt;&gt;"",OR($S$5="(все)",B334=$S$5)),MAX($Y$3:Y333)+1,"")</f>
        <v/>
      </c>
      <c r="Z334" s="38" t="str">
        <f t="shared" si="49"/>
        <v/>
      </c>
      <c r="AA334" s="38" t="str">
        <f>IF(AND(A334="Модуль",C334&lt;&gt;"",OR($S$6="(все)",B334=$S$6)),MAX($AA$3:AA333)+1,"")</f>
        <v/>
      </c>
      <c r="AB334" s="38" t="str">
        <f t="shared" si="50"/>
        <v/>
      </c>
      <c r="AC334" s="38" t="str">
        <f>IF(OR(B334="",COUNTIF($B$4:B334,B334)&gt;1),"",MAX($AC$3:AC333)+1)</f>
        <v/>
      </c>
      <c r="AD334" s="38" t="str">
        <f t="shared" si="51"/>
        <v/>
      </c>
      <c r="AE334" s="38" t="str">
        <f t="shared" si="52"/>
        <v/>
      </c>
      <c r="AF334" s="38" t="str">
        <f t="shared" si="53"/>
        <v/>
      </c>
    </row>
    <row r="335" spans="1:32" x14ac:dyDescent="0.3">
      <c r="A335" s="74"/>
      <c r="B335" s="74"/>
      <c r="C335" s="74"/>
      <c r="D335" s="74"/>
      <c r="E335" s="74"/>
      <c r="F335" s="74"/>
      <c r="G335" s="74"/>
      <c r="H335" s="74"/>
      <c r="I335" s="74"/>
      <c r="J335" s="74"/>
      <c r="K335" s="74"/>
      <c r="L335" s="74"/>
      <c r="M335" s="74"/>
      <c r="N335" s="38" t="str">
        <f>IF(OR(A335="Автомат",A335="Дифавтомат"),IF(W335="","",COUNTIFS(Однолинейка!$H$3:$H$3000,U335,Однолинейка!$A$3:$A$3000,Щит_спец)),IF(A335="Аппарат",IF(C335="","",COUNTIFS(Однолинейка!$I$3:$I$3000,C335,Однолинейка!$A$3:$A$3000,Щит_спец)+COUNTIFS(Однолинейка!$J$3:$J$3000,C335,Однолинейка!$A$3:$A$3000,Щит_спец)+COUNTIFS(Однолинейка!$K$3:$K$3000,C335,Однолинейка!$A$3:$A$3000,Щит_спец)),IF(A335="Модуль",IF(C335="","",COUNTIFS(Однолинейка!$AW$3:$AW$3000,"?*",Однолинейка!$AI$3:$AI$3000,C335,Однолинейка!$A$3:$A$3000,Щит_спец)),IF(A335="Клемма",IF(C335="","",IF(C335=$S$7,SUMIFS(Однолинейка!$BW$3:$BW$3000,Однолинейка!$A$3:$A$3000,Щит_спец),IF(C335=$S$8,SUMIFS(Однолинейка!$BX$3:$BX$3000,Однолинейка!$A$3:$A$3000,Щит_спец),""))),""))))</f>
        <v/>
      </c>
      <c r="O335" s="74"/>
      <c r="P335" s="38" t="str">
        <f t="shared" si="45"/>
        <v/>
      </c>
      <c r="U335" s="38" t="str">
        <f t="shared" si="46"/>
        <v/>
      </c>
      <c r="V335" s="38" t="str">
        <f t="shared" si="47"/>
        <v/>
      </c>
      <c r="W335" s="38" t="str">
        <f>IF(AND(U335&lt;&gt;"",OR($S$4="(все)",B335=$S$4),IF($S$4="(все)",COUNTIF($U$4:U335,U335),COUNTIFS($U$4:U335,U335,$B$4:B335,B335))=1),MAX($W$3:W334)+1,"")</f>
        <v/>
      </c>
      <c r="X335" s="38" t="str">
        <f t="shared" si="48"/>
        <v/>
      </c>
      <c r="Y335" s="38" t="str">
        <f>IF(AND(A335="Аппарат",C335&lt;&gt;"",OR($S$5="(все)",B335=$S$5)),MAX($Y$3:Y334)+1,"")</f>
        <v/>
      </c>
      <c r="Z335" s="38" t="str">
        <f t="shared" si="49"/>
        <v/>
      </c>
      <c r="AA335" s="38" t="str">
        <f>IF(AND(A335="Модуль",C335&lt;&gt;"",OR($S$6="(все)",B335=$S$6)),MAX($AA$3:AA334)+1,"")</f>
        <v/>
      </c>
      <c r="AB335" s="38" t="str">
        <f t="shared" si="50"/>
        <v/>
      </c>
      <c r="AC335" s="38" t="str">
        <f>IF(OR(B335="",COUNTIF($B$4:B335,B335)&gt;1),"",MAX($AC$3:AC334)+1)</f>
        <v/>
      </c>
      <c r="AD335" s="38" t="str">
        <f t="shared" si="51"/>
        <v/>
      </c>
      <c r="AE335" s="38" t="str">
        <f t="shared" si="52"/>
        <v/>
      </c>
      <c r="AF335" s="38" t="str">
        <f t="shared" si="53"/>
        <v/>
      </c>
    </row>
    <row r="336" spans="1:32" x14ac:dyDescent="0.3">
      <c r="A336" s="74"/>
      <c r="B336" s="74"/>
      <c r="C336" s="74"/>
      <c r="D336" s="74"/>
      <c r="E336" s="74"/>
      <c r="F336" s="74"/>
      <c r="G336" s="74"/>
      <c r="H336" s="74"/>
      <c r="I336" s="74"/>
      <c r="J336" s="74"/>
      <c r="K336" s="74"/>
      <c r="L336" s="74"/>
      <c r="M336" s="74"/>
      <c r="N336" s="38" t="str">
        <f>IF(OR(A336="Автомат",A336="Дифавтомат"),IF(W336="","",COUNTIFS(Однолинейка!$H$3:$H$3000,U336,Однолинейка!$A$3:$A$3000,Щит_спец)),IF(A336="Аппарат",IF(C336="","",COUNTIFS(Однолинейка!$I$3:$I$3000,C336,Однолинейка!$A$3:$A$3000,Щит_спец)+COUNTIFS(Однолинейка!$J$3:$J$3000,C336,Однолинейка!$A$3:$A$3000,Щит_спец)+COUNTIFS(Однолинейка!$K$3:$K$3000,C336,Однолинейка!$A$3:$A$3000,Щит_спец)),IF(A336="Модуль",IF(C336="","",COUNTIFS(Однолинейка!$AW$3:$AW$3000,"?*",Однолинейка!$AI$3:$AI$3000,C336,Однолинейка!$A$3:$A$3000,Щит_спец)),IF(A336="Клемма",IF(C336="","",IF(C336=$S$7,SUMIFS(Однолинейка!$BW$3:$BW$3000,Однолинейка!$A$3:$A$3000,Щит_спец),IF(C336=$S$8,SUMIFS(Однолинейка!$BX$3:$BX$3000,Однолинейка!$A$3:$A$3000,Щит_спец),""))),""))))</f>
        <v/>
      </c>
      <c r="O336" s="74"/>
      <c r="P336" s="38" t="str">
        <f t="shared" si="45"/>
        <v/>
      </c>
      <c r="U336" s="38" t="str">
        <f t="shared" si="46"/>
        <v/>
      </c>
      <c r="V336" s="38" t="str">
        <f t="shared" si="47"/>
        <v/>
      </c>
      <c r="W336" s="38" t="str">
        <f>IF(AND(U336&lt;&gt;"",OR($S$4="(все)",B336=$S$4),IF($S$4="(все)",COUNTIF($U$4:U336,U336),COUNTIFS($U$4:U336,U336,$B$4:B336,B336))=1),MAX($W$3:W335)+1,"")</f>
        <v/>
      </c>
      <c r="X336" s="38" t="str">
        <f t="shared" si="48"/>
        <v/>
      </c>
      <c r="Y336" s="38" t="str">
        <f>IF(AND(A336="Аппарат",C336&lt;&gt;"",OR($S$5="(все)",B336=$S$5)),MAX($Y$3:Y335)+1,"")</f>
        <v/>
      </c>
      <c r="Z336" s="38" t="str">
        <f t="shared" si="49"/>
        <v/>
      </c>
      <c r="AA336" s="38" t="str">
        <f>IF(AND(A336="Модуль",C336&lt;&gt;"",OR($S$6="(все)",B336=$S$6)),MAX($AA$3:AA335)+1,"")</f>
        <v/>
      </c>
      <c r="AB336" s="38" t="str">
        <f t="shared" si="50"/>
        <v/>
      </c>
      <c r="AC336" s="38" t="str">
        <f>IF(OR(B336="",COUNTIF($B$4:B336,B336)&gt;1),"",MAX($AC$3:AC335)+1)</f>
        <v/>
      </c>
      <c r="AD336" s="38" t="str">
        <f t="shared" si="51"/>
        <v/>
      </c>
      <c r="AE336" s="38" t="str">
        <f t="shared" si="52"/>
        <v/>
      </c>
      <c r="AF336" s="38" t="str">
        <f t="shared" si="53"/>
        <v/>
      </c>
    </row>
    <row r="337" spans="1:32" x14ac:dyDescent="0.3">
      <c r="A337" s="74"/>
      <c r="B337" s="74"/>
      <c r="C337" s="74"/>
      <c r="D337" s="74"/>
      <c r="E337" s="74"/>
      <c r="F337" s="74"/>
      <c r="G337" s="74"/>
      <c r="H337" s="74"/>
      <c r="I337" s="74"/>
      <c r="J337" s="74"/>
      <c r="K337" s="74"/>
      <c r="L337" s="74"/>
      <c r="M337" s="74"/>
      <c r="N337" s="38" t="str">
        <f>IF(OR(A337="Автомат",A337="Дифавтомат"),IF(W337="","",COUNTIFS(Однолинейка!$H$3:$H$3000,U337,Однолинейка!$A$3:$A$3000,Щит_спец)),IF(A337="Аппарат",IF(C337="","",COUNTIFS(Однолинейка!$I$3:$I$3000,C337,Однолинейка!$A$3:$A$3000,Щит_спец)+COUNTIFS(Однолинейка!$J$3:$J$3000,C337,Однолинейка!$A$3:$A$3000,Щит_спец)+COUNTIFS(Однолинейка!$K$3:$K$3000,C337,Однолинейка!$A$3:$A$3000,Щит_спец)),IF(A337="Модуль",IF(C337="","",COUNTIFS(Однолинейка!$AW$3:$AW$3000,"?*",Однолинейка!$AI$3:$AI$3000,C337,Однолинейка!$A$3:$A$3000,Щит_спец)),IF(A337="Клемма",IF(C337="","",IF(C337=$S$7,SUMIFS(Однолинейка!$BW$3:$BW$3000,Однолинейка!$A$3:$A$3000,Щит_спец),IF(C337=$S$8,SUMIFS(Однолинейка!$BX$3:$BX$3000,Однолинейка!$A$3:$A$3000,Щит_спец),""))),""))))</f>
        <v/>
      </c>
      <c r="O337" s="74"/>
      <c r="P337" s="38" t="str">
        <f t="shared" si="45"/>
        <v/>
      </c>
      <c r="U337" s="38" t="str">
        <f t="shared" si="46"/>
        <v/>
      </c>
      <c r="V337" s="38" t="str">
        <f t="shared" si="47"/>
        <v/>
      </c>
      <c r="W337" s="38" t="str">
        <f>IF(AND(U337&lt;&gt;"",OR($S$4="(все)",B337=$S$4),IF($S$4="(все)",COUNTIF($U$4:U337,U337),COUNTIFS($U$4:U337,U337,$B$4:B337,B337))=1),MAX($W$3:W336)+1,"")</f>
        <v/>
      </c>
      <c r="X337" s="38" t="str">
        <f t="shared" si="48"/>
        <v/>
      </c>
      <c r="Y337" s="38" t="str">
        <f>IF(AND(A337="Аппарат",C337&lt;&gt;"",OR($S$5="(все)",B337=$S$5)),MAX($Y$3:Y336)+1,"")</f>
        <v/>
      </c>
      <c r="Z337" s="38" t="str">
        <f t="shared" si="49"/>
        <v/>
      </c>
      <c r="AA337" s="38" t="str">
        <f>IF(AND(A337="Модуль",C337&lt;&gt;"",OR($S$6="(все)",B337=$S$6)),MAX($AA$3:AA336)+1,"")</f>
        <v/>
      </c>
      <c r="AB337" s="38" t="str">
        <f t="shared" si="50"/>
        <v/>
      </c>
      <c r="AC337" s="38" t="str">
        <f>IF(OR(B337="",COUNTIF($B$4:B337,B337)&gt;1),"",MAX($AC$3:AC336)+1)</f>
        <v/>
      </c>
      <c r="AD337" s="38" t="str">
        <f t="shared" si="51"/>
        <v/>
      </c>
      <c r="AE337" s="38" t="str">
        <f t="shared" si="52"/>
        <v/>
      </c>
      <c r="AF337" s="38" t="str">
        <f t="shared" si="53"/>
        <v/>
      </c>
    </row>
    <row r="338" spans="1:32" x14ac:dyDescent="0.3">
      <c r="A338" s="74"/>
      <c r="B338" s="74"/>
      <c r="C338" s="74"/>
      <c r="D338" s="74"/>
      <c r="E338" s="74"/>
      <c r="F338" s="74"/>
      <c r="G338" s="74"/>
      <c r="H338" s="74"/>
      <c r="I338" s="74"/>
      <c r="J338" s="74"/>
      <c r="K338" s="74"/>
      <c r="L338" s="74"/>
      <c r="M338" s="74"/>
      <c r="N338" s="38" t="str">
        <f>IF(OR(A338="Автомат",A338="Дифавтомат"),IF(W338="","",COUNTIFS(Однолинейка!$H$3:$H$3000,U338,Однолинейка!$A$3:$A$3000,Щит_спец)),IF(A338="Аппарат",IF(C338="","",COUNTIFS(Однолинейка!$I$3:$I$3000,C338,Однолинейка!$A$3:$A$3000,Щит_спец)+COUNTIFS(Однолинейка!$J$3:$J$3000,C338,Однолинейка!$A$3:$A$3000,Щит_спец)+COUNTIFS(Однолинейка!$K$3:$K$3000,C338,Однолинейка!$A$3:$A$3000,Щит_спец)),IF(A338="Модуль",IF(C338="","",COUNTIFS(Однолинейка!$AW$3:$AW$3000,"?*",Однолинейка!$AI$3:$AI$3000,C338,Однолинейка!$A$3:$A$3000,Щит_спец)),IF(A338="Клемма",IF(C338="","",IF(C338=$S$7,SUMIFS(Однолинейка!$BW$3:$BW$3000,Однолинейка!$A$3:$A$3000,Щит_спец),IF(C338=$S$8,SUMIFS(Однолинейка!$BX$3:$BX$3000,Однолинейка!$A$3:$A$3000,Щит_спец),""))),""))))</f>
        <v/>
      </c>
      <c r="O338" s="74"/>
      <c r="P338" s="38" t="str">
        <f t="shared" si="45"/>
        <v/>
      </c>
      <c r="U338" s="38" t="str">
        <f t="shared" si="46"/>
        <v/>
      </c>
      <c r="V338" s="38" t="str">
        <f t="shared" si="47"/>
        <v/>
      </c>
      <c r="W338" s="38" t="str">
        <f>IF(AND(U338&lt;&gt;"",OR($S$4="(все)",B338=$S$4),IF($S$4="(все)",COUNTIF($U$4:U338,U338),COUNTIFS($U$4:U338,U338,$B$4:B338,B338))=1),MAX($W$3:W337)+1,"")</f>
        <v/>
      </c>
      <c r="X338" s="38" t="str">
        <f t="shared" si="48"/>
        <v/>
      </c>
      <c r="Y338" s="38" t="str">
        <f>IF(AND(A338="Аппарат",C338&lt;&gt;"",OR($S$5="(все)",B338=$S$5)),MAX($Y$3:Y337)+1,"")</f>
        <v/>
      </c>
      <c r="Z338" s="38" t="str">
        <f t="shared" si="49"/>
        <v/>
      </c>
      <c r="AA338" s="38" t="str">
        <f>IF(AND(A338="Модуль",C338&lt;&gt;"",OR($S$6="(все)",B338=$S$6)),MAX($AA$3:AA337)+1,"")</f>
        <v/>
      </c>
      <c r="AB338" s="38" t="str">
        <f t="shared" si="50"/>
        <v/>
      </c>
      <c r="AC338" s="38" t="str">
        <f>IF(OR(B338="",COUNTIF($B$4:B338,B338)&gt;1),"",MAX($AC$3:AC337)+1)</f>
        <v/>
      </c>
      <c r="AD338" s="38" t="str">
        <f t="shared" si="51"/>
        <v/>
      </c>
      <c r="AE338" s="38" t="str">
        <f t="shared" si="52"/>
        <v/>
      </c>
      <c r="AF338" s="38" t="str">
        <f t="shared" si="53"/>
        <v/>
      </c>
    </row>
    <row r="339" spans="1:32" x14ac:dyDescent="0.3">
      <c r="A339" s="74"/>
      <c r="B339" s="74"/>
      <c r="C339" s="74"/>
      <c r="D339" s="74"/>
      <c r="E339" s="74"/>
      <c r="F339" s="74"/>
      <c r="G339" s="74"/>
      <c r="H339" s="74"/>
      <c r="I339" s="74"/>
      <c r="J339" s="74"/>
      <c r="K339" s="74"/>
      <c r="L339" s="74"/>
      <c r="M339" s="74"/>
      <c r="N339" s="38" t="str">
        <f>IF(OR(A339="Автомат",A339="Дифавтомат"),IF(W339="","",COUNTIFS(Однолинейка!$H$3:$H$3000,U339,Однолинейка!$A$3:$A$3000,Щит_спец)),IF(A339="Аппарат",IF(C339="","",COUNTIFS(Однолинейка!$I$3:$I$3000,C339,Однолинейка!$A$3:$A$3000,Щит_спец)+COUNTIFS(Однолинейка!$J$3:$J$3000,C339,Однолинейка!$A$3:$A$3000,Щит_спец)+COUNTIFS(Однолинейка!$K$3:$K$3000,C339,Однолинейка!$A$3:$A$3000,Щит_спец)),IF(A339="Модуль",IF(C339="","",COUNTIFS(Однолинейка!$AW$3:$AW$3000,"?*",Однолинейка!$AI$3:$AI$3000,C339,Однолинейка!$A$3:$A$3000,Щит_спец)),IF(A339="Клемма",IF(C339="","",IF(C339=$S$7,SUMIFS(Однолинейка!$BW$3:$BW$3000,Однолинейка!$A$3:$A$3000,Щит_спец),IF(C339=$S$8,SUMIFS(Однолинейка!$BX$3:$BX$3000,Однолинейка!$A$3:$A$3000,Щит_спец),""))),""))))</f>
        <v/>
      </c>
      <c r="O339" s="74"/>
      <c r="P339" s="38" t="str">
        <f t="shared" si="45"/>
        <v/>
      </c>
      <c r="U339" s="38" t="str">
        <f t="shared" si="46"/>
        <v/>
      </c>
      <c r="V339" s="38" t="str">
        <f t="shared" si="47"/>
        <v/>
      </c>
      <c r="W339" s="38" t="str">
        <f>IF(AND(U339&lt;&gt;"",OR($S$4="(все)",B339=$S$4),IF($S$4="(все)",COUNTIF($U$4:U339,U339),COUNTIFS($U$4:U339,U339,$B$4:B339,B339))=1),MAX($W$3:W338)+1,"")</f>
        <v/>
      </c>
      <c r="X339" s="38" t="str">
        <f t="shared" si="48"/>
        <v/>
      </c>
      <c r="Y339" s="38" t="str">
        <f>IF(AND(A339="Аппарат",C339&lt;&gt;"",OR($S$5="(все)",B339=$S$5)),MAX($Y$3:Y338)+1,"")</f>
        <v/>
      </c>
      <c r="Z339" s="38" t="str">
        <f t="shared" si="49"/>
        <v/>
      </c>
      <c r="AA339" s="38" t="str">
        <f>IF(AND(A339="Модуль",C339&lt;&gt;"",OR($S$6="(все)",B339=$S$6)),MAX($AA$3:AA338)+1,"")</f>
        <v/>
      </c>
      <c r="AB339" s="38" t="str">
        <f t="shared" si="50"/>
        <v/>
      </c>
      <c r="AC339" s="38" t="str">
        <f>IF(OR(B339="",COUNTIF($B$4:B339,B339)&gt;1),"",MAX($AC$3:AC338)+1)</f>
        <v/>
      </c>
      <c r="AD339" s="38" t="str">
        <f t="shared" si="51"/>
        <v/>
      </c>
      <c r="AE339" s="38" t="str">
        <f t="shared" si="52"/>
        <v/>
      </c>
      <c r="AF339" s="38" t="str">
        <f t="shared" si="53"/>
        <v/>
      </c>
    </row>
    <row r="340" spans="1:32" x14ac:dyDescent="0.3">
      <c r="A340" s="74"/>
      <c r="B340" s="74"/>
      <c r="C340" s="74"/>
      <c r="D340" s="74"/>
      <c r="E340" s="74"/>
      <c r="F340" s="74"/>
      <c r="G340" s="74"/>
      <c r="H340" s="74"/>
      <c r="I340" s="74"/>
      <c r="J340" s="74"/>
      <c r="K340" s="74"/>
      <c r="L340" s="74"/>
      <c r="M340" s="74"/>
      <c r="N340" s="38" t="str">
        <f>IF(OR(A340="Автомат",A340="Дифавтомат"),IF(W340="","",COUNTIFS(Однолинейка!$H$3:$H$3000,U340,Однолинейка!$A$3:$A$3000,Щит_спец)),IF(A340="Аппарат",IF(C340="","",COUNTIFS(Однолинейка!$I$3:$I$3000,C340,Однолинейка!$A$3:$A$3000,Щит_спец)+COUNTIFS(Однолинейка!$J$3:$J$3000,C340,Однолинейка!$A$3:$A$3000,Щит_спец)+COUNTIFS(Однолинейка!$K$3:$K$3000,C340,Однолинейка!$A$3:$A$3000,Щит_спец)),IF(A340="Модуль",IF(C340="","",COUNTIFS(Однолинейка!$AW$3:$AW$3000,"?*",Однолинейка!$AI$3:$AI$3000,C340,Однолинейка!$A$3:$A$3000,Щит_спец)),IF(A340="Клемма",IF(C340="","",IF(C340=$S$7,SUMIFS(Однолинейка!$BW$3:$BW$3000,Однолинейка!$A$3:$A$3000,Щит_спец),IF(C340=$S$8,SUMIFS(Однолинейка!$BX$3:$BX$3000,Однолинейка!$A$3:$A$3000,Щит_спец),""))),""))))</f>
        <v/>
      </c>
      <c r="O340" s="74"/>
      <c r="P340" s="38" t="str">
        <f t="shared" si="45"/>
        <v/>
      </c>
      <c r="U340" s="38" t="str">
        <f t="shared" si="46"/>
        <v/>
      </c>
      <c r="V340" s="38" t="str">
        <f t="shared" si="47"/>
        <v/>
      </c>
      <c r="W340" s="38" t="str">
        <f>IF(AND(U340&lt;&gt;"",OR($S$4="(все)",B340=$S$4),IF($S$4="(все)",COUNTIF($U$4:U340,U340),COUNTIFS($U$4:U340,U340,$B$4:B340,B340))=1),MAX($W$3:W339)+1,"")</f>
        <v/>
      </c>
      <c r="X340" s="38" t="str">
        <f t="shared" si="48"/>
        <v/>
      </c>
      <c r="Y340" s="38" t="str">
        <f>IF(AND(A340="Аппарат",C340&lt;&gt;"",OR($S$5="(все)",B340=$S$5)),MAX($Y$3:Y339)+1,"")</f>
        <v/>
      </c>
      <c r="Z340" s="38" t="str">
        <f t="shared" si="49"/>
        <v/>
      </c>
      <c r="AA340" s="38" t="str">
        <f>IF(AND(A340="Модуль",C340&lt;&gt;"",OR($S$6="(все)",B340=$S$6)),MAX($AA$3:AA339)+1,"")</f>
        <v/>
      </c>
      <c r="AB340" s="38" t="str">
        <f t="shared" si="50"/>
        <v/>
      </c>
      <c r="AC340" s="38" t="str">
        <f>IF(OR(B340="",COUNTIF($B$4:B340,B340)&gt;1),"",MAX($AC$3:AC339)+1)</f>
        <v/>
      </c>
      <c r="AD340" s="38" t="str">
        <f t="shared" si="51"/>
        <v/>
      </c>
      <c r="AE340" s="38" t="str">
        <f t="shared" si="52"/>
        <v/>
      </c>
      <c r="AF340" s="38" t="str">
        <f t="shared" si="53"/>
        <v/>
      </c>
    </row>
    <row r="341" spans="1:32" x14ac:dyDescent="0.3">
      <c r="A341" s="74"/>
      <c r="B341" s="74"/>
      <c r="C341" s="74"/>
      <c r="D341" s="74"/>
      <c r="E341" s="74"/>
      <c r="F341" s="74"/>
      <c r="G341" s="74"/>
      <c r="H341" s="74"/>
      <c r="I341" s="74"/>
      <c r="J341" s="74"/>
      <c r="K341" s="74"/>
      <c r="L341" s="74"/>
      <c r="M341" s="74"/>
      <c r="N341" s="38" t="str">
        <f>IF(OR(A341="Автомат",A341="Дифавтомат"),IF(W341="","",COUNTIFS(Однолинейка!$H$3:$H$3000,U341,Однолинейка!$A$3:$A$3000,Щит_спец)),IF(A341="Аппарат",IF(C341="","",COUNTIFS(Однолинейка!$I$3:$I$3000,C341,Однолинейка!$A$3:$A$3000,Щит_спец)+COUNTIFS(Однолинейка!$J$3:$J$3000,C341,Однолинейка!$A$3:$A$3000,Щит_спец)+COUNTIFS(Однолинейка!$K$3:$K$3000,C341,Однолинейка!$A$3:$A$3000,Щит_спец)),IF(A341="Модуль",IF(C341="","",COUNTIFS(Однолинейка!$AW$3:$AW$3000,"?*",Однолинейка!$AI$3:$AI$3000,C341,Однолинейка!$A$3:$A$3000,Щит_спец)),IF(A341="Клемма",IF(C341="","",IF(C341=$S$7,SUMIFS(Однолинейка!$BW$3:$BW$3000,Однолинейка!$A$3:$A$3000,Щит_спец),IF(C341=$S$8,SUMIFS(Однолинейка!$BX$3:$BX$3000,Однолинейка!$A$3:$A$3000,Щит_спец),""))),""))))</f>
        <v/>
      </c>
      <c r="O341" s="74"/>
      <c r="P341" s="38" t="str">
        <f t="shared" si="45"/>
        <v/>
      </c>
      <c r="U341" s="38" t="str">
        <f t="shared" si="46"/>
        <v/>
      </c>
      <c r="V341" s="38" t="str">
        <f t="shared" si="47"/>
        <v/>
      </c>
      <c r="W341" s="38" t="str">
        <f>IF(AND(U341&lt;&gt;"",OR($S$4="(все)",B341=$S$4),IF($S$4="(все)",COUNTIF($U$4:U341,U341),COUNTIFS($U$4:U341,U341,$B$4:B341,B341))=1),MAX($W$3:W340)+1,"")</f>
        <v/>
      </c>
      <c r="X341" s="38" t="str">
        <f t="shared" si="48"/>
        <v/>
      </c>
      <c r="Y341" s="38" t="str">
        <f>IF(AND(A341="Аппарат",C341&lt;&gt;"",OR($S$5="(все)",B341=$S$5)),MAX($Y$3:Y340)+1,"")</f>
        <v/>
      </c>
      <c r="Z341" s="38" t="str">
        <f t="shared" si="49"/>
        <v/>
      </c>
      <c r="AA341" s="38" t="str">
        <f>IF(AND(A341="Модуль",C341&lt;&gt;"",OR($S$6="(все)",B341=$S$6)),MAX($AA$3:AA340)+1,"")</f>
        <v/>
      </c>
      <c r="AB341" s="38" t="str">
        <f t="shared" si="50"/>
        <v/>
      </c>
      <c r="AC341" s="38" t="str">
        <f>IF(OR(B341="",COUNTIF($B$4:B341,B341)&gt;1),"",MAX($AC$3:AC340)+1)</f>
        <v/>
      </c>
      <c r="AD341" s="38" t="str">
        <f t="shared" si="51"/>
        <v/>
      </c>
      <c r="AE341" s="38" t="str">
        <f t="shared" si="52"/>
        <v/>
      </c>
      <c r="AF341" s="38" t="str">
        <f t="shared" si="53"/>
        <v/>
      </c>
    </row>
    <row r="342" spans="1:32" x14ac:dyDescent="0.3">
      <c r="A342" s="74"/>
      <c r="B342" s="74"/>
      <c r="C342" s="74"/>
      <c r="D342" s="74"/>
      <c r="E342" s="74"/>
      <c r="F342" s="74"/>
      <c r="G342" s="74"/>
      <c r="H342" s="74"/>
      <c r="I342" s="74"/>
      <c r="J342" s="74"/>
      <c r="K342" s="74"/>
      <c r="L342" s="74"/>
      <c r="M342" s="74"/>
      <c r="N342" s="38" t="str">
        <f>IF(OR(A342="Автомат",A342="Дифавтомат"),IF(W342="","",COUNTIFS(Однолинейка!$H$3:$H$3000,U342,Однолинейка!$A$3:$A$3000,Щит_спец)),IF(A342="Аппарат",IF(C342="","",COUNTIFS(Однолинейка!$I$3:$I$3000,C342,Однолинейка!$A$3:$A$3000,Щит_спец)+COUNTIFS(Однолинейка!$J$3:$J$3000,C342,Однолинейка!$A$3:$A$3000,Щит_спец)+COUNTIFS(Однолинейка!$K$3:$K$3000,C342,Однолинейка!$A$3:$A$3000,Щит_спец)),IF(A342="Модуль",IF(C342="","",COUNTIFS(Однолинейка!$AW$3:$AW$3000,"?*",Однолинейка!$AI$3:$AI$3000,C342,Однолинейка!$A$3:$A$3000,Щит_спец)),IF(A342="Клемма",IF(C342="","",IF(C342=$S$7,SUMIFS(Однолинейка!$BW$3:$BW$3000,Однолинейка!$A$3:$A$3000,Щит_спец),IF(C342=$S$8,SUMIFS(Однолинейка!$BX$3:$BX$3000,Однолинейка!$A$3:$A$3000,Щит_спец),""))),""))))</f>
        <v/>
      </c>
      <c r="O342" s="74"/>
      <c r="P342" s="38" t="str">
        <f t="shared" si="45"/>
        <v/>
      </c>
      <c r="U342" s="38" t="str">
        <f t="shared" si="46"/>
        <v/>
      </c>
      <c r="V342" s="38" t="str">
        <f t="shared" si="47"/>
        <v/>
      </c>
      <c r="W342" s="38" t="str">
        <f>IF(AND(U342&lt;&gt;"",OR($S$4="(все)",B342=$S$4),IF($S$4="(все)",COUNTIF($U$4:U342,U342),COUNTIFS($U$4:U342,U342,$B$4:B342,B342))=1),MAX($W$3:W341)+1,"")</f>
        <v/>
      </c>
      <c r="X342" s="38" t="str">
        <f t="shared" si="48"/>
        <v/>
      </c>
      <c r="Y342" s="38" t="str">
        <f>IF(AND(A342="Аппарат",C342&lt;&gt;"",OR($S$5="(все)",B342=$S$5)),MAX($Y$3:Y341)+1,"")</f>
        <v/>
      </c>
      <c r="Z342" s="38" t="str">
        <f t="shared" si="49"/>
        <v/>
      </c>
      <c r="AA342" s="38" t="str">
        <f>IF(AND(A342="Модуль",C342&lt;&gt;"",OR($S$6="(все)",B342=$S$6)),MAX($AA$3:AA341)+1,"")</f>
        <v/>
      </c>
      <c r="AB342" s="38" t="str">
        <f t="shared" si="50"/>
        <v/>
      </c>
      <c r="AC342" s="38" t="str">
        <f>IF(OR(B342="",COUNTIF($B$4:B342,B342)&gt;1),"",MAX($AC$3:AC341)+1)</f>
        <v/>
      </c>
      <c r="AD342" s="38" t="str">
        <f t="shared" si="51"/>
        <v/>
      </c>
      <c r="AE342" s="38" t="str">
        <f t="shared" si="52"/>
        <v/>
      </c>
      <c r="AF342" s="38" t="str">
        <f t="shared" si="53"/>
        <v/>
      </c>
    </row>
    <row r="343" spans="1:32" x14ac:dyDescent="0.3">
      <c r="A343" s="74"/>
      <c r="B343" s="74"/>
      <c r="C343" s="74"/>
      <c r="D343" s="74"/>
      <c r="E343" s="74"/>
      <c r="F343" s="74"/>
      <c r="G343" s="74"/>
      <c r="H343" s="74"/>
      <c r="I343" s="74"/>
      <c r="J343" s="74"/>
      <c r="K343" s="74"/>
      <c r="L343" s="74"/>
      <c r="M343" s="74"/>
      <c r="N343" s="38" t="str">
        <f>IF(OR(A343="Автомат",A343="Дифавтомат"),IF(W343="","",COUNTIFS(Однолинейка!$H$3:$H$3000,U343,Однолинейка!$A$3:$A$3000,Щит_спец)),IF(A343="Аппарат",IF(C343="","",COUNTIFS(Однолинейка!$I$3:$I$3000,C343,Однолинейка!$A$3:$A$3000,Щит_спец)+COUNTIFS(Однолинейка!$J$3:$J$3000,C343,Однолинейка!$A$3:$A$3000,Щит_спец)+COUNTIFS(Однолинейка!$K$3:$K$3000,C343,Однолинейка!$A$3:$A$3000,Щит_спец)),IF(A343="Модуль",IF(C343="","",COUNTIFS(Однолинейка!$AW$3:$AW$3000,"?*",Однолинейка!$AI$3:$AI$3000,C343,Однолинейка!$A$3:$A$3000,Щит_спец)),IF(A343="Клемма",IF(C343="","",IF(C343=$S$7,SUMIFS(Однолинейка!$BW$3:$BW$3000,Однолинейка!$A$3:$A$3000,Щит_спец),IF(C343=$S$8,SUMIFS(Однолинейка!$BX$3:$BX$3000,Однолинейка!$A$3:$A$3000,Щит_спец),""))),""))))</f>
        <v/>
      </c>
      <c r="O343" s="74"/>
      <c r="P343" s="38" t="str">
        <f t="shared" si="45"/>
        <v/>
      </c>
      <c r="U343" s="38" t="str">
        <f t="shared" si="46"/>
        <v/>
      </c>
      <c r="V343" s="38" t="str">
        <f t="shared" si="47"/>
        <v/>
      </c>
      <c r="W343" s="38" t="str">
        <f>IF(AND(U343&lt;&gt;"",OR($S$4="(все)",B343=$S$4),IF($S$4="(все)",COUNTIF($U$4:U343,U343),COUNTIFS($U$4:U343,U343,$B$4:B343,B343))=1),MAX($W$3:W342)+1,"")</f>
        <v/>
      </c>
      <c r="X343" s="38" t="str">
        <f t="shared" si="48"/>
        <v/>
      </c>
      <c r="Y343" s="38" t="str">
        <f>IF(AND(A343="Аппарат",C343&lt;&gt;"",OR($S$5="(все)",B343=$S$5)),MAX($Y$3:Y342)+1,"")</f>
        <v/>
      </c>
      <c r="Z343" s="38" t="str">
        <f t="shared" si="49"/>
        <v/>
      </c>
      <c r="AA343" s="38" t="str">
        <f>IF(AND(A343="Модуль",C343&lt;&gt;"",OR($S$6="(все)",B343=$S$6)),MAX($AA$3:AA342)+1,"")</f>
        <v/>
      </c>
      <c r="AB343" s="38" t="str">
        <f t="shared" si="50"/>
        <v/>
      </c>
      <c r="AC343" s="38" t="str">
        <f>IF(OR(B343="",COUNTIF($B$4:B343,B343)&gt;1),"",MAX($AC$3:AC342)+1)</f>
        <v/>
      </c>
      <c r="AD343" s="38" t="str">
        <f t="shared" si="51"/>
        <v/>
      </c>
      <c r="AE343" s="38" t="str">
        <f t="shared" si="52"/>
        <v/>
      </c>
      <c r="AF343" s="38" t="str">
        <f t="shared" si="53"/>
        <v/>
      </c>
    </row>
    <row r="344" spans="1:32" x14ac:dyDescent="0.3">
      <c r="A344" s="74"/>
      <c r="B344" s="74"/>
      <c r="C344" s="74"/>
      <c r="D344" s="74"/>
      <c r="E344" s="74"/>
      <c r="F344" s="74"/>
      <c r="G344" s="74"/>
      <c r="H344" s="74"/>
      <c r="I344" s="74"/>
      <c r="J344" s="74"/>
      <c r="K344" s="74"/>
      <c r="L344" s="74"/>
      <c r="M344" s="74"/>
      <c r="N344" s="38" t="str">
        <f>IF(OR(A344="Автомат",A344="Дифавтомат"),IF(W344="","",COUNTIFS(Однолинейка!$H$3:$H$3000,U344,Однолинейка!$A$3:$A$3000,Щит_спец)),IF(A344="Аппарат",IF(C344="","",COUNTIFS(Однолинейка!$I$3:$I$3000,C344,Однолинейка!$A$3:$A$3000,Щит_спец)+COUNTIFS(Однолинейка!$J$3:$J$3000,C344,Однолинейка!$A$3:$A$3000,Щит_спец)+COUNTIFS(Однолинейка!$K$3:$K$3000,C344,Однолинейка!$A$3:$A$3000,Щит_спец)),IF(A344="Модуль",IF(C344="","",COUNTIFS(Однолинейка!$AW$3:$AW$3000,"?*",Однолинейка!$AI$3:$AI$3000,C344,Однолинейка!$A$3:$A$3000,Щит_спец)),IF(A344="Клемма",IF(C344="","",IF(C344=$S$7,SUMIFS(Однолинейка!$BW$3:$BW$3000,Однолинейка!$A$3:$A$3000,Щит_спец),IF(C344=$S$8,SUMIFS(Однолинейка!$BX$3:$BX$3000,Однолинейка!$A$3:$A$3000,Щит_спец),""))),""))))</f>
        <v/>
      </c>
      <c r="O344" s="74"/>
      <c r="P344" s="38" t="str">
        <f t="shared" si="45"/>
        <v/>
      </c>
      <c r="U344" s="38" t="str">
        <f t="shared" si="46"/>
        <v/>
      </c>
      <c r="V344" s="38" t="str">
        <f t="shared" si="47"/>
        <v/>
      </c>
      <c r="W344" s="38" t="str">
        <f>IF(AND(U344&lt;&gt;"",OR($S$4="(все)",B344=$S$4),IF($S$4="(все)",COUNTIF($U$4:U344,U344),COUNTIFS($U$4:U344,U344,$B$4:B344,B344))=1),MAX($W$3:W343)+1,"")</f>
        <v/>
      </c>
      <c r="X344" s="38" t="str">
        <f t="shared" si="48"/>
        <v/>
      </c>
      <c r="Y344" s="38" t="str">
        <f>IF(AND(A344="Аппарат",C344&lt;&gt;"",OR($S$5="(все)",B344=$S$5)),MAX($Y$3:Y343)+1,"")</f>
        <v/>
      </c>
      <c r="Z344" s="38" t="str">
        <f t="shared" si="49"/>
        <v/>
      </c>
      <c r="AA344" s="38" t="str">
        <f>IF(AND(A344="Модуль",C344&lt;&gt;"",OR($S$6="(все)",B344=$S$6)),MAX($AA$3:AA343)+1,"")</f>
        <v/>
      </c>
      <c r="AB344" s="38" t="str">
        <f t="shared" si="50"/>
        <v/>
      </c>
      <c r="AC344" s="38" t="str">
        <f>IF(OR(B344="",COUNTIF($B$4:B344,B344)&gt;1),"",MAX($AC$3:AC343)+1)</f>
        <v/>
      </c>
      <c r="AD344" s="38" t="str">
        <f t="shared" si="51"/>
        <v/>
      </c>
      <c r="AE344" s="38" t="str">
        <f t="shared" si="52"/>
        <v/>
      </c>
      <c r="AF344" s="38" t="str">
        <f t="shared" si="53"/>
        <v/>
      </c>
    </row>
    <row r="345" spans="1:32" x14ac:dyDescent="0.3">
      <c r="A345" s="74"/>
      <c r="B345" s="74"/>
      <c r="C345" s="74"/>
      <c r="D345" s="74"/>
      <c r="E345" s="74"/>
      <c r="F345" s="74"/>
      <c r="G345" s="74"/>
      <c r="H345" s="74"/>
      <c r="I345" s="74"/>
      <c r="J345" s="74"/>
      <c r="K345" s="74"/>
      <c r="L345" s="74"/>
      <c r="M345" s="74"/>
      <c r="N345" s="38" t="str">
        <f>IF(OR(A345="Автомат",A345="Дифавтомат"),IF(W345="","",COUNTIFS(Однолинейка!$H$3:$H$3000,U345,Однолинейка!$A$3:$A$3000,Щит_спец)),IF(A345="Аппарат",IF(C345="","",COUNTIFS(Однолинейка!$I$3:$I$3000,C345,Однолинейка!$A$3:$A$3000,Щит_спец)+COUNTIFS(Однолинейка!$J$3:$J$3000,C345,Однолинейка!$A$3:$A$3000,Щит_спец)+COUNTIFS(Однолинейка!$K$3:$K$3000,C345,Однолинейка!$A$3:$A$3000,Щит_спец)),IF(A345="Модуль",IF(C345="","",COUNTIFS(Однолинейка!$AW$3:$AW$3000,"?*",Однолинейка!$AI$3:$AI$3000,C345,Однолинейка!$A$3:$A$3000,Щит_спец)),IF(A345="Клемма",IF(C345="","",IF(C345=$S$7,SUMIFS(Однолинейка!$BW$3:$BW$3000,Однолинейка!$A$3:$A$3000,Щит_спец),IF(C345=$S$8,SUMIFS(Однолинейка!$BX$3:$BX$3000,Однолинейка!$A$3:$A$3000,Щит_спец),""))),""))))</f>
        <v/>
      </c>
      <c r="O345" s="74"/>
      <c r="P345" s="38" t="str">
        <f t="shared" si="45"/>
        <v/>
      </c>
      <c r="U345" s="38" t="str">
        <f t="shared" si="46"/>
        <v/>
      </c>
      <c r="V345" s="38" t="str">
        <f t="shared" si="47"/>
        <v/>
      </c>
      <c r="W345" s="38" t="str">
        <f>IF(AND(U345&lt;&gt;"",OR($S$4="(все)",B345=$S$4),IF($S$4="(все)",COUNTIF($U$4:U345,U345),COUNTIFS($U$4:U345,U345,$B$4:B345,B345))=1),MAX($W$3:W344)+1,"")</f>
        <v/>
      </c>
      <c r="X345" s="38" t="str">
        <f t="shared" si="48"/>
        <v/>
      </c>
      <c r="Y345" s="38" t="str">
        <f>IF(AND(A345="Аппарат",C345&lt;&gt;"",OR($S$5="(все)",B345=$S$5)),MAX($Y$3:Y344)+1,"")</f>
        <v/>
      </c>
      <c r="Z345" s="38" t="str">
        <f t="shared" si="49"/>
        <v/>
      </c>
      <c r="AA345" s="38" t="str">
        <f>IF(AND(A345="Модуль",C345&lt;&gt;"",OR($S$6="(все)",B345=$S$6)),MAX($AA$3:AA344)+1,"")</f>
        <v/>
      </c>
      <c r="AB345" s="38" t="str">
        <f t="shared" si="50"/>
        <v/>
      </c>
      <c r="AC345" s="38" t="str">
        <f>IF(OR(B345="",COUNTIF($B$4:B345,B345)&gt;1),"",MAX($AC$3:AC344)+1)</f>
        <v/>
      </c>
      <c r="AD345" s="38" t="str">
        <f t="shared" si="51"/>
        <v/>
      </c>
      <c r="AE345" s="38" t="str">
        <f t="shared" si="52"/>
        <v/>
      </c>
      <c r="AF345" s="38" t="str">
        <f t="shared" si="53"/>
        <v/>
      </c>
    </row>
    <row r="346" spans="1:32" x14ac:dyDescent="0.3">
      <c r="A346" s="74"/>
      <c r="B346" s="74"/>
      <c r="C346" s="74"/>
      <c r="D346" s="74"/>
      <c r="E346" s="74"/>
      <c r="F346" s="74"/>
      <c r="G346" s="74"/>
      <c r="H346" s="74"/>
      <c r="I346" s="74"/>
      <c r="J346" s="74"/>
      <c r="K346" s="74"/>
      <c r="L346" s="74"/>
      <c r="M346" s="74"/>
      <c r="N346" s="38" t="str">
        <f>IF(OR(A346="Автомат",A346="Дифавтомат"),IF(W346="","",COUNTIFS(Однолинейка!$H$3:$H$3000,U346,Однолинейка!$A$3:$A$3000,Щит_спец)),IF(A346="Аппарат",IF(C346="","",COUNTIFS(Однолинейка!$I$3:$I$3000,C346,Однолинейка!$A$3:$A$3000,Щит_спец)+COUNTIFS(Однолинейка!$J$3:$J$3000,C346,Однолинейка!$A$3:$A$3000,Щит_спец)+COUNTIFS(Однолинейка!$K$3:$K$3000,C346,Однолинейка!$A$3:$A$3000,Щит_спец)),IF(A346="Модуль",IF(C346="","",COUNTIFS(Однолинейка!$AW$3:$AW$3000,"?*",Однолинейка!$AI$3:$AI$3000,C346,Однолинейка!$A$3:$A$3000,Щит_спец)),IF(A346="Клемма",IF(C346="","",IF(C346=$S$7,SUMIFS(Однолинейка!$BW$3:$BW$3000,Однолинейка!$A$3:$A$3000,Щит_спец),IF(C346=$S$8,SUMIFS(Однолинейка!$BX$3:$BX$3000,Однолинейка!$A$3:$A$3000,Щит_спец),""))),""))))</f>
        <v/>
      </c>
      <c r="O346" s="74"/>
      <c r="P346" s="38" t="str">
        <f t="shared" si="45"/>
        <v/>
      </c>
      <c r="U346" s="38" t="str">
        <f t="shared" si="46"/>
        <v/>
      </c>
      <c r="V346" s="38" t="str">
        <f t="shared" si="47"/>
        <v/>
      </c>
      <c r="W346" s="38" t="str">
        <f>IF(AND(U346&lt;&gt;"",OR($S$4="(все)",B346=$S$4),IF($S$4="(все)",COUNTIF($U$4:U346,U346),COUNTIFS($U$4:U346,U346,$B$4:B346,B346))=1),MAX($W$3:W345)+1,"")</f>
        <v/>
      </c>
      <c r="X346" s="38" t="str">
        <f t="shared" si="48"/>
        <v/>
      </c>
      <c r="Y346" s="38" t="str">
        <f>IF(AND(A346="Аппарат",C346&lt;&gt;"",OR($S$5="(все)",B346=$S$5)),MAX($Y$3:Y345)+1,"")</f>
        <v/>
      </c>
      <c r="Z346" s="38" t="str">
        <f t="shared" si="49"/>
        <v/>
      </c>
      <c r="AA346" s="38" t="str">
        <f>IF(AND(A346="Модуль",C346&lt;&gt;"",OR($S$6="(все)",B346=$S$6)),MAX($AA$3:AA345)+1,"")</f>
        <v/>
      </c>
      <c r="AB346" s="38" t="str">
        <f t="shared" si="50"/>
        <v/>
      </c>
      <c r="AC346" s="38" t="str">
        <f>IF(OR(B346="",COUNTIF($B$4:B346,B346)&gt;1),"",MAX($AC$3:AC345)+1)</f>
        <v/>
      </c>
      <c r="AD346" s="38" t="str">
        <f t="shared" si="51"/>
        <v/>
      </c>
      <c r="AE346" s="38" t="str">
        <f t="shared" si="52"/>
        <v/>
      </c>
      <c r="AF346" s="38" t="str">
        <f t="shared" si="53"/>
        <v/>
      </c>
    </row>
    <row r="347" spans="1:32" x14ac:dyDescent="0.3">
      <c r="A347" s="74"/>
      <c r="B347" s="74"/>
      <c r="C347" s="74"/>
      <c r="D347" s="74"/>
      <c r="E347" s="74"/>
      <c r="F347" s="74"/>
      <c r="G347" s="74"/>
      <c r="H347" s="74"/>
      <c r="I347" s="74"/>
      <c r="J347" s="74"/>
      <c r="K347" s="74"/>
      <c r="L347" s="74"/>
      <c r="M347" s="74"/>
      <c r="N347" s="38" t="str">
        <f>IF(OR(A347="Автомат",A347="Дифавтомат"),IF(W347="","",COUNTIFS(Однолинейка!$H$3:$H$3000,U347,Однолинейка!$A$3:$A$3000,Щит_спец)),IF(A347="Аппарат",IF(C347="","",COUNTIFS(Однолинейка!$I$3:$I$3000,C347,Однолинейка!$A$3:$A$3000,Щит_спец)+COUNTIFS(Однолинейка!$J$3:$J$3000,C347,Однолинейка!$A$3:$A$3000,Щит_спец)+COUNTIFS(Однолинейка!$K$3:$K$3000,C347,Однолинейка!$A$3:$A$3000,Щит_спец)),IF(A347="Модуль",IF(C347="","",COUNTIFS(Однолинейка!$AW$3:$AW$3000,"?*",Однолинейка!$AI$3:$AI$3000,C347,Однолинейка!$A$3:$A$3000,Щит_спец)),IF(A347="Клемма",IF(C347="","",IF(C347=$S$7,SUMIFS(Однолинейка!$BW$3:$BW$3000,Однолинейка!$A$3:$A$3000,Щит_спец),IF(C347=$S$8,SUMIFS(Однолинейка!$BX$3:$BX$3000,Однолинейка!$A$3:$A$3000,Щит_спец),""))),""))))</f>
        <v/>
      </c>
      <c r="O347" s="74"/>
      <c r="P347" s="38" t="str">
        <f t="shared" si="45"/>
        <v/>
      </c>
      <c r="U347" s="38" t="str">
        <f t="shared" si="46"/>
        <v/>
      </c>
      <c r="V347" s="38" t="str">
        <f t="shared" si="47"/>
        <v/>
      </c>
      <c r="W347" s="38" t="str">
        <f>IF(AND(U347&lt;&gt;"",OR($S$4="(все)",B347=$S$4),IF($S$4="(все)",COUNTIF($U$4:U347,U347),COUNTIFS($U$4:U347,U347,$B$4:B347,B347))=1),MAX($W$3:W346)+1,"")</f>
        <v/>
      </c>
      <c r="X347" s="38" t="str">
        <f t="shared" si="48"/>
        <v/>
      </c>
      <c r="Y347" s="38" t="str">
        <f>IF(AND(A347="Аппарат",C347&lt;&gt;"",OR($S$5="(все)",B347=$S$5)),MAX($Y$3:Y346)+1,"")</f>
        <v/>
      </c>
      <c r="Z347" s="38" t="str">
        <f t="shared" si="49"/>
        <v/>
      </c>
      <c r="AA347" s="38" t="str">
        <f>IF(AND(A347="Модуль",C347&lt;&gt;"",OR($S$6="(все)",B347=$S$6)),MAX($AA$3:AA346)+1,"")</f>
        <v/>
      </c>
      <c r="AB347" s="38" t="str">
        <f t="shared" si="50"/>
        <v/>
      </c>
      <c r="AC347" s="38" t="str">
        <f>IF(OR(B347="",COUNTIF($B$4:B347,B347)&gt;1),"",MAX($AC$3:AC346)+1)</f>
        <v/>
      </c>
      <c r="AD347" s="38" t="str">
        <f t="shared" si="51"/>
        <v/>
      </c>
      <c r="AE347" s="38" t="str">
        <f t="shared" si="52"/>
        <v/>
      </c>
      <c r="AF347" s="38" t="str">
        <f t="shared" si="53"/>
        <v/>
      </c>
    </row>
    <row r="348" spans="1:32" x14ac:dyDescent="0.3">
      <c r="A348" s="74"/>
      <c r="B348" s="74"/>
      <c r="C348" s="74"/>
      <c r="D348" s="74"/>
      <c r="E348" s="74"/>
      <c r="F348" s="74"/>
      <c r="G348" s="74"/>
      <c r="H348" s="74"/>
      <c r="I348" s="74"/>
      <c r="J348" s="74"/>
      <c r="K348" s="74"/>
      <c r="L348" s="74"/>
      <c r="M348" s="74"/>
      <c r="N348" s="38" t="str">
        <f>IF(OR(A348="Автомат",A348="Дифавтомат"),IF(W348="","",COUNTIFS(Однолинейка!$H$3:$H$3000,U348,Однолинейка!$A$3:$A$3000,Щит_спец)),IF(A348="Аппарат",IF(C348="","",COUNTIFS(Однолинейка!$I$3:$I$3000,C348,Однолинейка!$A$3:$A$3000,Щит_спец)+COUNTIFS(Однолинейка!$J$3:$J$3000,C348,Однолинейка!$A$3:$A$3000,Щит_спец)+COUNTIFS(Однолинейка!$K$3:$K$3000,C348,Однолинейка!$A$3:$A$3000,Щит_спец)),IF(A348="Модуль",IF(C348="","",COUNTIFS(Однолинейка!$AW$3:$AW$3000,"?*",Однолинейка!$AI$3:$AI$3000,C348,Однолинейка!$A$3:$A$3000,Щит_спец)),IF(A348="Клемма",IF(C348="","",IF(C348=$S$7,SUMIFS(Однолинейка!$BW$3:$BW$3000,Однолинейка!$A$3:$A$3000,Щит_спец),IF(C348=$S$8,SUMIFS(Однолинейка!$BX$3:$BX$3000,Однолинейка!$A$3:$A$3000,Щит_спец),""))),""))))</f>
        <v/>
      </c>
      <c r="O348" s="74"/>
      <c r="P348" s="38" t="str">
        <f t="shared" si="45"/>
        <v/>
      </c>
      <c r="U348" s="38" t="str">
        <f t="shared" si="46"/>
        <v/>
      </c>
      <c r="V348" s="38" t="str">
        <f t="shared" si="47"/>
        <v/>
      </c>
      <c r="W348" s="38" t="str">
        <f>IF(AND(U348&lt;&gt;"",OR($S$4="(все)",B348=$S$4),IF($S$4="(все)",COUNTIF($U$4:U348,U348),COUNTIFS($U$4:U348,U348,$B$4:B348,B348))=1),MAX($W$3:W347)+1,"")</f>
        <v/>
      </c>
      <c r="X348" s="38" t="str">
        <f t="shared" si="48"/>
        <v/>
      </c>
      <c r="Y348" s="38" t="str">
        <f>IF(AND(A348="Аппарат",C348&lt;&gt;"",OR($S$5="(все)",B348=$S$5)),MAX($Y$3:Y347)+1,"")</f>
        <v/>
      </c>
      <c r="Z348" s="38" t="str">
        <f t="shared" si="49"/>
        <v/>
      </c>
      <c r="AA348" s="38" t="str">
        <f>IF(AND(A348="Модуль",C348&lt;&gt;"",OR($S$6="(все)",B348=$S$6)),MAX($AA$3:AA347)+1,"")</f>
        <v/>
      </c>
      <c r="AB348" s="38" t="str">
        <f t="shared" si="50"/>
        <v/>
      </c>
      <c r="AC348" s="38" t="str">
        <f>IF(OR(B348="",COUNTIF($B$4:B348,B348)&gt;1),"",MAX($AC$3:AC347)+1)</f>
        <v/>
      </c>
      <c r="AD348" s="38" t="str">
        <f t="shared" si="51"/>
        <v/>
      </c>
      <c r="AE348" s="38" t="str">
        <f t="shared" si="52"/>
        <v/>
      </c>
      <c r="AF348" s="38" t="str">
        <f t="shared" si="53"/>
        <v/>
      </c>
    </row>
    <row r="349" spans="1:32" x14ac:dyDescent="0.3">
      <c r="A349" s="74"/>
      <c r="B349" s="74"/>
      <c r="C349" s="74"/>
      <c r="D349" s="74"/>
      <c r="E349" s="74"/>
      <c r="F349" s="74"/>
      <c r="G349" s="74"/>
      <c r="H349" s="74"/>
      <c r="I349" s="74"/>
      <c r="J349" s="74"/>
      <c r="K349" s="74"/>
      <c r="L349" s="74"/>
      <c r="M349" s="74"/>
      <c r="N349" s="38" t="str">
        <f>IF(OR(A349="Автомат",A349="Дифавтомат"),IF(W349="","",COUNTIFS(Однолинейка!$H$3:$H$3000,U349,Однолинейка!$A$3:$A$3000,Щит_спец)),IF(A349="Аппарат",IF(C349="","",COUNTIFS(Однолинейка!$I$3:$I$3000,C349,Однолинейка!$A$3:$A$3000,Щит_спец)+COUNTIFS(Однолинейка!$J$3:$J$3000,C349,Однолинейка!$A$3:$A$3000,Щит_спец)+COUNTIFS(Однолинейка!$K$3:$K$3000,C349,Однолинейка!$A$3:$A$3000,Щит_спец)),IF(A349="Модуль",IF(C349="","",COUNTIFS(Однолинейка!$AW$3:$AW$3000,"?*",Однолинейка!$AI$3:$AI$3000,C349,Однолинейка!$A$3:$A$3000,Щит_спец)),IF(A349="Клемма",IF(C349="","",IF(C349=$S$7,SUMIFS(Однолинейка!$BW$3:$BW$3000,Однолинейка!$A$3:$A$3000,Щит_спец),IF(C349=$S$8,SUMIFS(Однолинейка!$BX$3:$BX$3000,Однолинейка!$A$3:$A$3000,Щит_спец),""))),""))))</f>
        <v/>
      </c>
      <c r="O349" s="74"/>
      <c r="P349" s="38" t="str">
        <f t="shared" si="45"/>
        <v/>
      </c>
      <c r="U349" s="38" t="str">
        <f t="shared" si="46"/>
        <v/>
      </c>
      <c r="V349" s="38" t="str">
        <f t="shared" si="47"/>
        <v/>
      </c>
      <c r="W349" s="38" t="str">
        <f>IF(AND(U349&lt;&gt;"",OR($S$4="(все)",B349=$S$4),IF($S$4="(все)",COUNTIF($U$4:U349,U349),COUNTIFS($U$4:U349,U349,$B$4:B349,B349))=1),MAX($W$3:W348)+1,"")</f>
        <v/>
      </c>
      <c r="X349" s="38" t="str">
        <f t="shared" si="48"/>
        <v/>
      </c>
      <c r="Y349" s="38" t="str">
        <f>IF(AND(A349="Аппарат",C349&lt;&gt;"",OR($S$5="(все)",B349=$S$5)),MAX($Y$3:Y348)+1,"")</f>
        <v/>
      </c>
      <c r="Z349" s="38" t="str">
        <f t="shared" si="49"/>
        <v/>
      </c>
      <c r="AA349" s="38" t="str">
        <f>IF(AND(A349="Модуль",C349&lt;&gt;"",OR($S$6="(все)",B349=$S$6)),MAX($AA$3:AA348)+1,"")</f>
        <v/>
      </c>
      <c r="AB349" s="38" t="str">
        <f t="shared" si="50"/>
        <v/>
      </c>
      <c r="AC349" s="38" t="str">
        <f>IF(OR(B349="",COUNTIF($B$4:B349,B349)&gt;1),"",MAX($AC$3:AC348)+1)</f>
        <v/>
      </c>
      <c r="AD349" s="38" t="str">
        <f t="shared" si="51"/>
        <v/>
      </c>
      <c r="AE349" s="38" t="str">
        <f t="shared" si="52"/>
        <v/>
      </c>
      <c r="AF349" s="38" t="str">
        <f t="shared" si="53"/>
        <v/>
      </c>
    </row>
    <row r="350" spans="1:32" x14ac:dyDescent="0.3">
      <c r="A350" s="74"/>
      <c r="B350" s="74"/>
      <c r="C350" s="74"/>
      <c r="D350" s="74"/>
      <c r="E350" s="74"/>
      <c r="F350" s="74"/>
      <c r="G350" s="74"/>
      <c r="H350" s="74"/>
      <c r="I350" s="74"/>
      <c r="J350" s="74"/>
      <c r="K350" s="74"/>
      <c r="L350" s="74"/>
      <c r="M350" s="74"/>
      <c r="N350" s="38" t="str">
        <f>IF(OR(A350="Автомат",A350="Дифавтомат"),IF(W350="","",COUNTIFS(Однолинейка!$H$3:$H$3000,U350,Однолинейка!$A$3:$A$3000,Щит_спец)),IF(A350="Аппарат",IF(C350="","",COUNTIFS(Однолинейка!$I$3:$I$3000,C350,Однолинейка!$A$3:$A$3000,Щит_спец)+COUNTIFS(Однолинейка!$J$3:$J$3000,C350,Однолинейка!$A$3:$A$3000,Щит_спец)+COUNTIFS(Однолинейка!$K$3:$K$3000,C350,Однолинейка!$A$3:$A$3000,Щит_спец)),IF(A350="Модуль",IF(C350="","",COUNTIFS(Однолинейка!$AW$3:$AW$3000,"?*",Однолинейка!$AI$3:$AI$3000,C350,Однолинейка!$A$3:$A$3000,Щит_спец)),IF(A350="Клемма",IF(C350="","",IF(C350=$S$7,SUMIFS(Однолинейка!$BW$3:$BW$3000,Однолинейка!$A$3:$A$3000,Щит_спец),IF(C350=$S$8,SUMIFS(Однолинейка!$BX$3:$BX$3000,Однолинейка!$A$3:$A$3000,Щит_спец),""))),""))))</f>
        <v/>
      </c>
      <c r="O350" s="74"/>
      <c r="P350" s="38" t="str">
        <f t="shared" si="45"/>
        <v/>
      </c>
      <c r="U350" s="38" t="str">
        <f t="shared" si="46"/>
        <v/>
      </c>
      <c r="V350" s="38" t="str">
        <f t="shared" si="47"/>
        <v/>
      </c>
      <c r="W350" s="38" t="str">
        <f>IF(AND(U350&lt;&gt;"",OR($S$4="(все)",B350=$S$4),IF($S$4="(все)",COUNTIF($U$4:U350,U350),COUNTIFS($U$4:U350,U350,$B$4:B350,B350))=1),MAX($W$3:W349)+1,"")</f>
        <v/>
      </c>
      <c r="X350" s="38" t="str">
        <f t="shared" si="48"/>
        <v/>
      </c>
      <c r="Y350" s="38" t="str">
        <f>IF(AND(A350="Аппарат",C350&lt;&gt;"",OR($S$5="(все)",B350=$S$5)),MAX($Y$3:Y349)+1,"")</f>
        <v/>
      </c>
      <c r="Z350" s="38" t="str">
        <f t="shared" si="49"/>
        <v/>
      </c>
      <c r="AA350" s="38" t="str">
        <f>IF(AND(A350="Модуль",C350&lt;&gt;"",OR($S$6="(все)",B350=$S$6)),MAX($AA$3:AA349)+1,"")</f>
        <v/>
      </c>
      <c r="AB350" s="38" t="str">
        <f t="shared" si="50"/>
        <v/>
      </c>
      <c r="AC350" s="38" t="str">
        <f>IF(OR(B350="",COUNTIF($B$4:B350,B350)&gt;1),"",MAX($AC$3:AC349)+1)</f>
        <v/>
      </c>
      <c r="AD350" s="38" t="str">
        <f t="shared" si="51"/>
        <v/>
      </c>
      <c r="AE350" s="38" t="str">
        <f t="shared" si="52"/>
        <v/>
      </c>
      <c r="AF350" s="38" t="str">
        <f t="shared" si="53"/>
        <v/>
      </c>
    </row>
    <row r="351" spans="1:32" x14ac:dyDescent="0.3">
      <c r="A351" s="74"/>
      <c r="B351" s="74"/>
      <c r="C351" s="74"/>
      <c r="D351" s="74"/>
      <c r="E351" s="74"/>
      <c r="F351" s="74"/>
      <c r="G351" s="74"/>
      <c r="H351" s="74"/>
      <c r="I351" s="74"/>
      <c r="J351" s="74"/>
      <c r="K351" s="74"/>
      <c r="L351" s="74"/>
      <c r="M351" s="74"/>
      <c r="N351" s="38" t="str">
        <f>IF(OR(A351="Автомат",A351="Дифавтомат"),IF(W351="","",COUNTIFS(Однолинейка!$H$3:$H$3000,U351,Однолинейка!$A$3:$A$3000,Щит_спец)),IF(A351="Аппарат",IF(C351="","",COUNTIFS(Однолинейка!$I$3:$I$3000,C351,Однолинейка!$A$3:$A$3000,Щит_спец)+COUNTIFS(Однолинейка!$J$3:$J$3000,C351,Однолинейка!$A$3:$A$3000,Щит_спец)+COUNTIFS(Однолинейка!$K$3:$K$3000,C351,Однолинейка!$A$3:$A$3000,Щит_спец)),IF(A351="Модуль",IF(C351="","",COUNTIFS(Однолинейка!$AW$3:$AW$3000,"?*",Однолинейка!$AI$3:$AI$3000,C351,Однолинейка!$A$3:$A$3000,Щит_спец)),IF(A351="Клемма",IF(C351="","",IF(C351=$S$7,SUMIFS(Однолинейка!$BW$3:$BW$3000,Однолинейка!$A$3:$A$3000,Щит_спец),IF(C351=$S$8,SUMIFS(Однолинейка!$BX$3:$BX$3000,Однолинейка!$A$3:$A$3000,Щит_спец),""))),""))))</f>
        <v/>
      </c>
      <c r="O351" s="74"/>
      <c r="P351" s="38" t="str">
        <f t="shared" si="45"/>
        <v/>
      </c>
      <c r="U351" s="38" t="str">
        <f t="shared" si="46"/>
        <v/>
      </c>
      <c r="V351" s="38" t="str">
        <f t="shared" si="47"/>
        <v/>
      </c>
      <c r="W351" s="38" t="str">
        <f>IF(AND(U351&lt;&gt;"",OR($S$4="(все)",B351=$S$4),IF($S$4="(все)",COUNTIF($U$4:U351,U351),COUNTIFS($U$4:U351,U351,$B$4:B351,B351))=1),MAX($W$3:W350)+1,"")</f>
        <v/>
      </c>
      <c r="X351" s="38" t="str">
        <f t="shared" si="48"/>
        <v/>
      </c>
      <c r="Y351" s="38" t="str">
        <f>IF(AND(A351="Аппарат",C351&lt;&gt;"",OR($S$5="(все)",B351=$S$5)),MAX($Y$3:Y350)+1,"")</f>
        <v/>
      </c>
      <c r="Z351" s="38" t="str">
        <f t="shared" si="49"/>
        <v/>
      </c>
      <c r="AA351" s="38" t="str">
        <f>IF(AND(A351="Модуль",C351&lt;&gt;"",OR($S$6="(все)",B351=$S$6)),MAX($AA$3:AA350)+1,"")</f>
        <v/>
      </c>
      <c r="AB351" s="38" t="str">
        <f t="shared" si="50"/>
        <v/>
      </c>
      <c r="AC351" s="38" t="str">
        <f>IF(OR(B351="",COUNTIF($B$4:B351,B351)&gt;1),"",MAX($AC$3:AC350)+1)</f>
        <v/>
      </c>
      <c r="AD351" s="38" t="str">
        <f t="shared" si="51"/>
        <v/>
      </c>
      <c r="AE351" s="38" t="str">
        <f t="shared" si="52"/>
        <v/>
      </c>
      <c r="AF351" s="38" t="str">
        <f t="shared" si="53"/>
        <v/>
      </c>
    </row>
    <row r="352" spans="1:32" x14ac:dyDescent="0.3">
      <c r="A352" s="74"/>
      <c r="B352" s="74"/>
      <c r="C352" s="74"/>
      <c r="D352" s="74"/>
      <c r="E352" s="74"/>
      <c r="F352" s="74"/>
      <c r="G352" s="74"/>
      <c r="H352" s="74"/>
      <c r="I352" s="74"/>
      <c r="J352" s="74"/>
      <c r="K352" s="74"/>
      <c r="L352" s="74"/>
      <c r="M352" s="74"/>
      <c r="N352" s="38" t="str">
        <f>IF(OR(A352="Автомат",A352="Дифавтомат"),IF(W352="","",COUNTIFS(Однолинейка!$H$3:$H$3000,U352,Однолинейка!$A$3:$A$3000,Щит_спец)),IF(A352="Аппарат",IF(C352="","",COUNTIFS(Однолинейка!$I$3:$I$3000,C352,Однолинейка!$A$3:$A$3000,Щит_спец)+COUNTIFS(Однолинейка!$J$3:$J$3000,C352,Однолинейка!$A$3:$A$3000,Щит_спец)+COUNTIFS(Однолинейка!$K$3:$K$3000,C352,Однолинейка!$A$3:$A$3000,Щит_спец)),IF(A352="Модуль",IF(C352="","",COUNTIFS(Однолинейка!$AW$3:$AW$3000,"?*",Однолинейка!$AI$3:$AI$3000,C352,Однолинейка!$A$3:$A$3000,Щит_спец)),IF(A352="Клемма",IF(C352="","",IF(C352=$S$7,SUMIFS(Однолинейка!$BW$3:$BW$3000,Однолинейка!$A$3:$A$3000,Щит_спец),IF(C352=$S$8,SUMIFS(Однолинейка!$BX$3:$BX$3000,Однолинейка!$A$3:$A$3000,Щит_спец),""))),""))))</f>
        <v/>
      </c>
      <c r="O352" s="74"/>
      <c r="P352" s="38" t="str">
        <f t="shared" si="45"/>
        <v/>
      </c>
      <c r="U352" s="38" t="str">
        <f t="shared" si="46"/>
        <v/>
      </c>
      <c r="V352" s="38" t="str">
        <f t="shared" si="47"/>
        <v/>
      </c>
      <c r="W352" s="38" t="str">
        <f>IF(AND(U352&lt;&gt;"",OR($S$4="(все)",B352=$S$4),IF($S$4="(все)",COUNTIF($U$4:U352,U352),COUNTIFS($U$4:U352,U352,$B$4:B352,B352))=1),MAX($W$3:W351)+1,"")</f>
        <v/>
      </c>
      <c r="X352" s="38" t="str">
        <f t="shared" si="48"/>
        <v/>
      </c>
      <c r="Y352" s="38" t="str">
        <f>IF(AND(A352="Аппарат",C352&lt;&gt;"",OR($S$5="(все)",B352=$S$5)),MAX($Y$3:Y351)+1,"")</f>
        <v/>
      </c>
      <c r="Z352" s="38" t="str">
        <f t="shared" si="49"/>
        <v/>
      </c>
      <c r="AA352" s="38" t="str">
        <f>IF(AND(A352="Модуль",C352&lt;&gt;"",OR($S$6="(все)",B352=$S$6)),MAX($AA$3:AA351)+1,"")</f>
        <v/>
      </c>
      <c r="AB352" s="38" t="str">
        <f t="shared" si="50"/>
        <v/>
      </c>
      <c r="AC352" s="38" t="str">
        <f>IF(OR(B352="",COUNTIF($B$4:B352,B352)&gt;1),"",MAX($AC$3:AC351)+1)</f>
        <v/>
      </c>
      <c r="AD352" s="38" t="str">
        <f t="shared" si="51"/>
        <v/>
      </c>
      <c r="AE352" s="38" t="str">
        <f t="shared" si="52"/>
        <v/>
      </c>
      <c r="AF352" s="38" t="str">
        <f t="shared" si="53"/>
        <v/>
      </c>
    </row>
    <row r="353" spans="1:32" x14ac:dyDescent="0.3">
      <c r="A353" s="74"/>
      <c r="B353" s="74"/>
      <c r="C353" s="74"/>
      <c r="D353" s="74"/>
      <c r="E353" s="74"/>
      <c r="F353" s="74"/>
      <c r="G353" s="74"/>
      <c r="H353" s="74"/>
      <c r="I353" s="74"/>
      <c r="J353" s="74"/>
      <c r="K353" s="74"/>
      <c r="L353" s="74"/>
      <c r="M353" s="74"/>
      <c r="N353" s="38" t="str">
        <f>IF(OR(A353="Автомат",A353="Дифавтомат"),IF(W353="","",COUNTIFS(Однолинейка!$H$3:$H$3000,U353,Однолинейка!$A$3:$A$3000,Щит_спец)),IF(A353="Аппарат",IF(C353="","",COUNTIFS(Однолинейка!$I$3:$I$3000,C353,Однолинейка!$A$3:$A$3000,Щит_спец)+COUNTIFS(Однолинейка!$J$3:$J$3000,C353,Однолинейка!$A$3:$A$3000,Щит_спец)+COUNTIFS(Однолинейка!$K$3:$K$3000,C353,Однолинейка!$A$3:$A$3000,Щит_спец)),IF(A353="Модуль",IF(C353="","",COUNTIFS(Однолинейка!$AW$3:$AW$3000,"?*",Однолинейка!$AI$3:$AI$3000,C353,Однолинейка!$A$3:$A$3000,Щит_спец)),IF(A353="Клемма",IF(C353="","",IF(C353=$S$7,SUMIFS(Однолинейка!$BW$3:$BW$3000,Однолинейка!$A$3:$A$3000,Щит_спец),IF(C353=$S$8,SUMIFS(Однолинейка!$BX$3:$BX$3000,Однолинейка!$A$3:$A$3000,Щит_спец),""))),""))))</f>
        <v/>
      </c>
      <c r="O353" s="74"/>
      <c r="P353" s="38" t="str">
        <f t="shared" si="45"/>
        <v/>
      </c>
      <c r="U353" s="38" t="str">
        <f t="shared" si="46"/>
        <v/>
      </c>
      <c r="V353" s="38" t="str">
        <f t="shared" si="47"/>
        <v/>
      </c>
      <c r="W353" s="38" t="str">
        <f>IF(AND(U353&lt;&gt;"",OR($S$4="(все)",B353=$S$4),IF($S$4="(все)",COUNTIF($U$4:U353,U353),COUNTIFS($U$4:U353,U353,$B$4:B353,B353))=1),MAX($W$3:W352)+1,"")</f>
        <v/>
      </c>
      <c r="X353" s="38" t="str">
        <f t="shared" si="48"/>
        <v/>
      </c>
      <c r="Y353" s="38" t="str">
        <f>IF(AND(A353="Аппарат",C353&lt;&gt;"",OR($S$5="(все)",B353=$S$5)),MAX($Y$3:Y352)+1,"")</f>
        <v/>
      </c>
      <c r="Z353" s="38" t="str">
        <f t="shared" si="49"/>
        <v/>
      </c>
      <c r="AA353" s="38" t="str">
        <f>IF(AND(A353="Модуль",C353&lt;&gt;"",OR($S$6="(все)",B353=$S$6)),MAX($AA$3:AA352)+1,"")</f>
        <v/>
      </c>
      <c r="AB353" s="38" t="str">
        <f t="shared" si="50"/>
        <v/>
      </c>
      <c r="AC353" s="38" t="str">
        <f>IF(OR(B353="",COUNTIF($B$4:B353,B353)&gt;1),"",MAX($AC$3:AC352)+1)</f>
        <v/>
      </c>
      <c r="AD353" s="38" t="str">
        <f t="shared" si="51"/>
        <v/>
      </c>
      <c r="AE353" s="38" t="str">
        <f t="shared" si="52"/>
        <v/>
      </c>
      <c r="AF353" s="38" t="str">
        <f t="shared" si="53"/>
        <v/>
      </c>
    </row>
    <row r="354" spans="1:32" x14ac:dyDescent="0.3">
      <c r="A354" s="74"/>
      <c r="B354" s="74"/>
      <c r="C354" s="74"/>
      <c r="D354" s="74"/>
      <c r="E354" s="74"/>
      <c r="F354" s="74"/>
      <c r="G354" s="74"/>
      <c r="H354" s="74"/>
      <c r="I354" s="74"/>
      <c r="J354" s="74"/>
      <c r="K354" s="74"/>
      <c r="L354" s="74"/>
      <c r="M354" s="74"/>
      <c r="N354" s="38" t="str">
        <f>IF(OR(A354="Автомат",A354="Дифавтомат"),IF(W354="","",COUNTIFS(Однолинейка!$H$3:$H$3000,U354,Однолинейка!$A$3:$A$3000,Щит_спец)),IF(A354="Аппарат",IF(C354="","",COUNTIFS(Однолинейка!$I$3:$I$3000,C354,Однолинейка!$A$3:$A$3000,Щит_спец)+COUNTIFS(Однолинейка!$J$3:$J$3000,C354,Однолинейка!$A$3:$A$3000,Щит_спец)+COUNTIFS(Однолинейка!$K$3:$K$3000,C354,Однолинейка!$A$3:$A$3000,Щит_спец)),IF(A354="Модуль",IF(C354="","",COUNTIFS(Однолинейка!$AW$3:$AW$3000,"?*",Однолинейка!$AI$3:$AI$3000,C354,Однолинейка!$A$3:$A$3000,Щит_спец)),IF(A354="Клемма",IF(C354="","",IF(C354=$S$7,SUMIFS(Однолинейка!$BW$3:$BW$3000,Однолинейка!$A$3:$A$3000,Щит_спец),IF(C354=$S$8,SUMIFS(Однолинейка!$BX$3:$BX$3000,Однолинейка!$A$3:$A$3000,Щит_спец),""))),""))))</f>
        <v/>
      </c>
      <c r="O354" s="74"/>
      <c r="P354" s="38" t="str">
        <f t="shared" si="45"/>
        <v/>
      </c>
      <c r="U354" s="38" t="str">
        <f t="shared" si="46"/>
        <v/>
      </c>
      <c r="V354" s="38" t="str">
        <f t="shared" si="47"/>
        <v/>
      </c>
      <c r="W354" s="38" t="str">
        <f>IF(AND(U354&lt;&gt;"",OR($S$4="(все)",B354=$S$4),IF($S$4="(все)",COUNTIF($U$4:U354,U354),COUNTIFS($U$4:U354,U354,$B$4:B354,B354))=1),MAX($W$3:W353)+1,"")</f>
        <v/>
      </c>
      <c r="X354" s="38" t="str">
        <f t="shared" si="48"/>
        <v/>
      </c>
      <c r="Y354" s="38" t="str">
        <f>IF(AND(A354="Аппарат",C354&lt;&gt;"",OR($S$5="(все)",B354=$S$5)),MAX($Y$3:Y353)+1,"")</f>
        <v/>
      </c>
      <c r="Z354" s="38" t="str">
        <f t="shared" si="49"/>
        <v/>
      </c>
      <c r="AA354" s="38" t="str">
        <f>IF(AND(A354="Модуль",C354&lt;&gt;"",OR($S$6="(все)",B354=$S$6)),MAX($AA$3:AA353)+1,"")</f>
        <v/>
      </c>
      <c r="AB354" s="38" t="str">
        <f t="shared" si="50"/>
        <v/>
      </c>
      <c r="AC354" s="38" t="str">
        <f>IF(OR(B354="",COUNTIF($B$4:B354,B354)&gt;1),"",MAX($AC$3:AC353)+1)</f>
        <v/>
      </c>
      <c r="AD354" s="38" t="str">
        <f t="shared" si="51"/>
        <v/>
      </c>
      <c r="AE354" s="38" t="str">
        <f t="shared" si="52"/>
        <v/>
      </c>
      <c r="AF354" s="38" t="str">
        <f t="shared" si="53"/>
        <v/>
      </c>
    </row>
    <row r="355" spans="1:32" x14ac:dyDescent="0.3">
      <c r="A355" s="74"/>
      <c r="B355" s="74"/>
      <c r="C355" s="74"/>
      <c r="D355" s="74"/>
      <c r="E355" s="74"/>
      <c r="F355" s="74"/>
      <c r="G355" s="74"/>
      <c r="H355" s="74"/>
      <c r="I355" s="74"/>
      <c r="J355" s="74"/>
      <c r="K355" s="74"/>
      <c r="L355" s="74"/>
      <c r="M355" s="74"/>
      <c r="N355" s="38" t="str">
        <f>IF(OR(A355="Автомат",A355="Дифавтомат"),IF(W355="","",COUNTIFS(Однолинейка!$H$3:$H$3000,U355,Однолинейка!$A$3:$A$3000,Щит_спец)),IF(A355="Аппарат",IF(C355="","",COUNTIFS(Однолинейка!$I$3:$I$3000,C355,Однолинейка!$A$3:$A$3000,Щит_спец)+COUNTIFS(Однолинейка!$J$3:$J$3000,C355,Однолинейка!$A$3:$A$3000,Щит_спец)+COUNTIFS(Однолинейка!$K$3:$K$3000,C355,Однолинейка!$A$3:$A$3000,Щит_спец)),IF(A355="Модуль",IF(C355="","",COUNTIFS(Однолинейка!$AW$3:$AW$3000,"?*",Однолинейка!$AI$3:$AI$3000,C355,Однолинейка!$A$3:$A$3000,Щит_спец)),IF(A355="Клемма",IF(C355="","",IF(C355=$S$7,SUMIFS(Однолинейка!$BW$3:$BW$3000,Однолинейка!$A$3:$A$3000,Щит_спец),IF(C355=$S$8,SUMIFS(Однолинейка!$BX$3:$BX$3000,Однолинейка!$A$3:$A$3000,Щит_спец),""))),""))))</f>
        <v/>
      </c>
      <c r="O355" s="74"/>
      <c r="P355" s="38" t="str">
        <f t="shared" si="45"/>
        <v/>
      </c>
      <c r="U355" s="38" t="str">
        <f t="shared" si="46"/>
        <v/>
      </c>
      <c r="V355" s="38" t="str">
        <f t="shared" si="47"/>
        <v/>
      </c>
      <c r="W355" s="38" t="str">
        <f>IF(AND(U355&lt;&gt;"",OR($S$4="(все)",B355=$S$4),IF($S$4="(все)",COUNTIF($U$4:U355,U355),COUNTIFS($U$4:U355,U355,$B$4:B355,B355))=1),MAX($W$3:W354)+1,"")</f>
        <v/>
      </c>
      <c r="X355" s="38" t="str">
        <f t="shared" si="48"/>
        <v/>
      </c>
      <c r="Y355" s="38" t="str">
        <f>IF(AND(A355="Аппарат",C355&lt;&gt;"",OR($S$5="(все)",B355=$S$5)),MAX($Y$3:Y354)+1,"")</f>
        <v/>
      </c>
      <c r="Z355" s="38" t="str">
        <f t="shared" si="49"/>
        <v/>
      </c>
      <c r="AA355" s="38" t="str">
        <f>IF(AND(A355="Модуль",C355&lt;&gt;"",OR($S$6="(все)",B355=$S$6)),MAX($AA$3:AA354)+1,"")</f>
        <v/>
      </c>
      <c r="AB355" s="38" t="str">
        <f t="shared" si="50"/>
        <v/>
      </c>
      <c r="AC355" s="38" t="str">
        <f>IF(OR(B355="",COUNTIF($B$4:B355,B355)&gt;1),"",MAX($AC$3:AC354)+1)</f>
        <v/>
      </c>
      <c r="AD355" s="38" t="str">
        <f t="shared" si="51"/>
        <v/>
      </c>
      <c r="AE355" s="38" t="str">
        <f t="shared" si="52"/>
        <v/>
      </c>
      <c r="AF355" s="38" t="str">
        <f t="shared" si="53"/>
        <v/>
      </c>
    </row>
    <row r="356" spans="1:32" x14ac:dyDescent="0.3">
      <c r="A356" s="74"/>
      <c r="B356" s="74"/>
      <c r="C356" s="74"/>
      <c r="D356" s="74"/>
      <c r="E356" s="74"/>
      <c r="F356" s="74"/>
      <c r="G356" s="74"/>
      <c r="H356" s="74"/>
      <c r="I356" s="74"/>
      <c r="J356" s="74"/>
      <c r="K356" s="74"/>
      <c r="L356" s="74"/>
      <c r="M356" s="74"/>
      <c r="N356" s="38" t="str">
        <f>IF(OR(A356="Автомат",A356="Дифавтомат"),IF(W356="","",COUNTIFS(Однолинейка!$H$3:$H$3000,U356,Однолинейка!$A$3:$A$3000,Щит_спец)),IF(A356="Аппарат",IF(C356="","",COUNTIFS(Однолинейка!$I$3:$I$3000,C356,Однолинейка!$A$3:$A$3000,Щит_спец)+COUNTIFS(Однолинейка!$J$3:$J$3000,C356,Однолинейка!$A$3:$A$3000,Щит_спец)+COUNTIFS(Однолинейка!$K$3:$K$3000,C356,Однолинейка!$A$3:$A$3000,Щит_спец)),IF(A356="Модуль",IF(C356="","",COUNTIFS(Однолинейка!$AW$3:$AW$3000,"?*",Однолинейка!$AI$3:$AI$3000,C356,Однолинейка!$A$3:$A$3000,Щит_спец)),IF(A356="Клемма",IF(C356="","",IF(C356=$S$7,SUMIFS(Однолинейка!$BW$3:$BW$3000,Однолинейка!$A$3:$A$3000,Щит_спец),IF(C356=$S$8,SUMIFS(Однолинейка!$BX$3:$BX$3000,Однолинейка!$A$3:$A$3000,Щит_спец),""))),""))))</f>
        <v/>
      </c>
      <c r="O356" s="74"/>
      <c r="P356" s="38" t="str">
        <f t="shared" si="45"/>
        <v/>
      </c>
      <c r="U356" s="38" t="str">
        <f t="shared" si="46"/>
        <v/>
      </c>
      <c r="V356" s="38" t="str">
        <f t="shared" si="47"/>
        <v/>
      </c>
      <c r="W356" s="38" t="str">
        <f>IF(AND(U356&lt;&gt;"",OR($S$4="(все)",B356=$S$4),IF($S$4="(все)",COUNTIF($U$4:U356,U356),COUNTIFS($U$4:U356,U356,$B$4:B356,B356))=1),MAX($W$3:W355)+1,"")</f>
        <v/>
      </c>
      <c r="X356" s="38" t="str">
        <f t="shared" si="48"/>
        <v/>
      </c>
      <c r="Y356" s="38" t="str">
        <f>IF(AND(A356="Аппарат",C356&lt;&gt;"",OR($S$5="(все)",B356=$S$5)),MAX($Y$3:Y355)+1,"")</f>
        <v/>
      </c>
      <c r="Z356" s="38" t="str">
        <f t="shared" si="49"/>
        <v/>
      </c>
      <c r="AA356" s="38" t="str">
        <f>IF(AND(A356="Модуль",C356&lt;&gt;"",OR($S$6="(все)",B356=$S$6)),MAX($AA$3:AA355)+1,"")</f>
        <v/>
      </c>
      <c r="AB356" s="38" t="str">
        <f t="shared" si="50"/>
        <v/>
      </c>
      <c r="AC356" s="38" t="str">
        <f>IF(OR(B356="",COUNTIF($B$4:B356,B356)&gt;1),"",MAX($AC$3:AC355)+1)</f>
        <v/>
      </c>
      <c r="AD356" s="38" t="str">
        <f t="shared" si="51"/>
        <v/>
      </c>
      <c r="AE356" s="38" t="str">
        <f t="shared" si="52"/>
        <v/>
      </c>
      <c r="AF356" s="38" t="str">
        <f t="shared" si="53"/>
        <v/>
      </c>
    </row>
    <row r="357" spans="1:32" x14ac:dyDescent="0.3">
      <c r="A357" s="74"/>
      <c r="B357" s="74"/>
      <c r="C357" s="74"/>
      <c r="D357" s="74"/>
      <c r="E357" s="74"/>
      <c r="F357" s="74"/>
      <c r="G357" s="74"/>
      <c r="H357" s="74"/>
      <c r="I357" s="74"/>
      <c r="J357" s="74"/>
      <c r="K357" s="74"/>
      <c r="L357" s="74"/>
      <c r="M357" s="74"/>
      <c r="N357" s="38" t="str">
        <f>IF(OR(A357="Автомат",A357="Дифавтомат"),IF(W357="","",COUNTIFS(Однолинейка!$H$3:$H$3000,U357,Однолинейка!$A$3:$A$3000,Щит_спец)),IF(A357="Аппарат",IF(C357="","",COUNTIFS(Однолинейка!$I$3:$I$3000,C357,Однолинейка!$A$3:$A$3000,Щит_спец)+COUNTIFS(Однолинейка!$J$3:$J$3000,C357,Однолинейка!$A$3:$A$3000,Щит_спец)+COUNTIFS(Однолинейка!$K$3:$K$3000,C357,Однолинейка!$A$3:$A$3000,Щит_спец)),IF(A357="Модуль",IF(C357="","",COUNTIFS(Однолинейка!$AW$3:$AW$3000,"?*",Однолинейка!$AI$3:$AI$3000,C357,Однолинейка!$A$3:$A$3000,Щит_спец)),IF(A357="Клемма",IF(C357="","",IF(C357=$S$7,SUMIFS(Однолинейка!$BW$3:$BW$3000,Однолинейка!$A$3:$A$3000,Щит_спец),IF(C357=$S$8,SUMIFS(Однолинейка!$BX$3:$BX$3000,Однолинейка!$A$3:$A$3000,Щит_спец),""))),""))))</f>
        <v/>
      </c>
      <c r="O357" s="74"/>
      <c r="P357" s="38" t="str">
        <f t="shared" si="45"/>
        <v/>
      </c>
      <c r="U357" s="38" t="str">
        <f t="shared" si="46"/>
        <v/>
      </c>
      <c r="V357" s="38" t="str">
        <f t="shared" si="47"/>
        <v/>
      </c>
      <c r="W357" s="38" t="str">
        <f>IF(AND(U357&lt;&gt;"",OR($S$4="(все)",B357=$S$4),IF($S$4="(все)",COUNTIF($U$4:U357,U357),COUNTIFS($U$4:U357,U357,$B$4:B357,B357))=1),MAX($W$3:W356)+1,"")</f>
        <v/>
      </c>
      <c r="X357" s="38" t="str">
        <f t="shared" si="48"/>
        <v/>
      </c>
      <c r="Y357" s="38" t="str">
        <f>IF(AND(A357="Аппарат",C357&lt;&gt;"",OR($S$5="(все)",B357=$S$5)),MAX($Y$3:Y356)+1,"")</f>
        <v/>
      </c>
      <c r="Z357" s="38" t="str">
        <f t="shared" si="49"/>
        <v/>
      </c>
      <c r="AA357" s="38" t="str">
        <f>IF(AND(A357="Модуль",C357&lt;&gt;"",OR($S$6="(все)",B357=$S$6)),MAX($AA$3:AA356)+1,"")</f>
        <v/>
      </c>
      <c r="AB357" s="38" t="str">
        <f t="shared" si="50"/>
        <v/>
      </c>
      <c r="AC357" s="38" t="str">
        <f>IF(OR(B357="",COUNTIF($B$4:B357,B357)&gt;1),"",MAX($AC$3:AC356)+1)</f>
        <v/>
      </c>
      <c r="AD357" s="38" t="str">
        <f t="shared" si="51"/>
        <v/>
      </c>
      <c r="AE357" s="38" t="str">
        <f t="shared" si="52"/>
        <v/>
      </c>
      <c r="AF357" s="38" t="str">
        <f t="shared" si="53"/>
        <v/>
      </c>
    </row>
    <row r="358" spans="1:32" x14ac:dyDescent="0.3">
      <c r="A358" s="74"/>
      <c r="B358" s="74"/>
      <c r="C358" s="74"/>
      <c r="D358" s="74"/>
      <c r="E358" s="74"/>
      <c r="F358" s="74"/>
      <c r="G358" s="74"/>
      <c r="H358" s="74"/>
      <c r="I358" s="74"/>
      <c r="J358" s="74"/>
      <c r="K358" s="74"/>
      <c r="L358" s="74"/>
      <c r="M358" s="74"/>
      <c r="N358" s="38" t="str">
        <f>IF(OR(A358="Автомат",A358="Дифавтомат"),IF(W358="","",COUNTIFS(Однолинейка!$H$3:$H$3000,U358,Однолинейка!$A$3:$A$3000,Щит_спец)),IF(A358="Аппарат",IF(C358="","",COUNTIFS(Однолинейка!$I$3:$I$3000,C358,Однолинейка!$A$3:$A$3000,Щит_спец)+COUNTIFS(Однолинейка!$J$3:$J$3000,C358,Однолинейка!$A$3:$A$3000,Щит_спец)+COUNTIFS(Однолинейка!$K$3:$K$3000,C358,Однолинейка!$A$3:$A$3000,Щит_спец)),IF(A358="Модуль",IF(C358="","",COUNTIFS(Однолинейка!$AW$3:$AW$3000,"?*",Однолинейка!$AI$3:$AI$3000,C358,Однолинейка!$A$3:$A$3000,Щит_спец)),IF(A358="Клемма",IF(C358="","",IF(C358=$S$7,SUMIFS(Однолинейка!$BW$3:$BW$3000,Однолинейка!$A$3:$A$3000,Щит_спец),IF(C358=$S$8,SUMIFS(Однолинейка!$BX$3:$BX$3000,Однолинейка!$A$3:$A$3000,Щит_спец),""))),""))))</f>
        <v/>
      </c>
      <c r="O358" s="74"/>
      <c r="P358" s="38" t="str">
        <f t="shared" si="45"/>
        <v/>
      </c>
      <c r="U358" s="38" t="str">
        <f t="shared" si="46"/>
        <v/>
      </c>
      <c r="V358" s="38" t="str">
        <f t="shared" si="47"/>
        <v/>
      </c>
      <c r="W358" s="38" t="str">
        <f>IF(AND(U358&lt;&gt;"",OR($S$4="(все)",B358=$S$4),IF($S$4="(все)",COUNTIF($U$4:U358,U358),COUNTIFS($U$4:U358,U358,$B$4:B358,B358))=1),MAX($W$3:W357)+1,"")</f>
        <v/>
      </c>
      <c r="X358" s="38" t="str">
        <f t="shared" si="48"/>
        <v/>
      </c>
      <c r="Y358" s="38" t="str">
        <f>IF(AND(A358="Аппарат",C358&lt;&gt;"",OR($S$5="(все)",B358=$S$5)),MAX($Y$3:Y357)+1,"")</f>
        <v/>
      </c>
      <c r="Z358" s="38" t="str">
        <f t="shared" si="49"/>
        <v/>
      </c>
      <c r="AA358" s="38" t="str">
        <f>IF(AND(A358="Модуль",C358&lt;&gt;"",OR($S$6="(все)",B358=$S$6)),MAX($AA$3:AA357)+1,"")</f>
        <v/>
      </c>
      <c r="AB358" s="38" t="str">
        <f t="shared" si="50"/>
        <v/>
      </c>
      <c r="AC358" s="38" t="str">
        <f>IF(OR(B358="",COUNTIF($B$4:B358,B358)&gt;1),"",MAX($AC$3:AC357)+1)</f>
        <v/>
      </c>
      <c r="AD358" s="38" t="str">
        <f t="shared" si="51"/>
        <v/>
      </c>
      <c r="AE358" s="38" t="str">
        <f t="shared" si="52"/>
        <v/>
      </c>
      <c r="AF358" s="38" t="str">
        <f t="shared" si="53"/>
        <v/>
      </c>
    </row>
    <row r="359" spans="1:32" x14ac:dyDescent="0.3">
      <c r="A359" s="74"/>
      <c r="B359" s="74"/>
      <c r="C359" s="74"/>
      <c r="D359" s="74"/>
      <c r="E359" s="74"/>
      <c r="F359" s="74"/>
      <c r="G359" s="74"/>
      <c r="H359" s="74"/>
      <c r="I359" s="74"/>
      <c r="J359" s="74"/>
      <c r="K359" s="74"/>
      <c r="L359" s="74"/>
      <c r="M359" s="74"/>
      <c r="N359" s="38" t="str">
        <f>IF(OR(A359="Автомат",A359="Дифавтомат"),IF(W359="","",COUNTIFS(Однолинейка!$H$3:$H$3000,U359,Однолинейка!$A$3:$A$3000,Щит_спец)),IF(A359="Аппарат",IF(C359="","",COUNTIFS(Однолинейка!$I$3:$I$3000,C359,Однолинейка!$A$3:$A$3000,Щит_спец)+COUNTIFS(Однолинейка!$J$3:$J$3000,C359,Однолинейка!$A$3:$A$3000,Щит_спец)+COUNTIFS(Однолинейка!$K$3:$K$3000,C359,Однолинейка!$A$3:$A$3000,Щит_спец)),IF(A359="Модуль",IF(C359="","",COUNTIFS(Однолинейка!$AW$3:$AW$3000,"?*",Однолинейка!$AI$3:$AI$3000,C359,Однолинейка!$A$3:$A$3000,Щит_спец)),IF(A359="Клемма",IF(C359="","",IF(C359=$S$7,SUMIFS(Однолинейка!$BW$3:$BW$3000,Однолинейка!$A$3:$A$3000,Щит_спец),IF(C359=$S$8,SUMIFS(Однолинейка!$BX$3:$BX$3000,Однолинейка!$A$3:$A$3000,Щит_спец),""))),""))))</f>
        <v/>
      </c>
      <c r="O359" s="74"/>
      <c r="P359" s="38" t="str">
        <f t="shared" si="45"/>
        <v/>
      </c>
      <c r="U359" s="38" t="str">
        <f t="shared" si="46"/>
        <v/>
      </c>
      <c r="V359" s="38" t="str">
        <f t="shared" si="47"/>
        <v/>
      </c>
      <c r="W359" s="38" t="str">
        <f>IF(AND(U359&lt;&gt;"",OR($S$4="(все)",B359=$S$4),IF($S$4="(все)",COUNTIF($U$4:U359,U359),COUNTIFS($U$4:U359,U359,$B$4:B359,B359))=1),MAX($W$3:W358)+1,"")</f>
        <v/>
      </c>
      <c r="X359" s="38" t="str">
        <f t="shared" si="48"/>
        <v/>
      </c>
      <c r="Y359" s="38" t="str">
        <f>IF(AND(A359="Аппарат",C359&lt;&gt;"",OR($S$5="(все)",B359=$S$5)),MAX($Y$3:Y358)+1,"")</f>
        <v/>
      </c>
      <c r="Z359" s="38" t="str">
        <f t="shared" si="49"/>
        <v/>
      </c>
      <c r="AA359" s="38" t="str">
        <f>IF(AND(A359="Модуль",C359&lt;&gt;"",OR($S$6="(все)",B359=$S$6)),MAX($AA$3:AA358)+1,"")</f>
        <v/>
      </c>
      <c r="AB359" s="38" t="str">
        <f t="shared" si="50"/>
        <v/>
      </c>
      <c r="AC359" s="38" t="str">
        <f>IF(OR(B359="",COUNTIF($B$4:B359,B359)&gt;1),"",MAX($AC$3:AC358)+1)</f>
        <v/>
      </c>
      <c r="AD359" s="38" t="str">
        <f t="shared" si="51"/>
        <v/>
      </c>
      <c r="AE359" s="38" t="str">
        <f t="shared" si="52"/>
        <v/>
      </c>
      <c r="AF359" s="38" t="str">
        <f t="shared" si="53"/>
        <v/>
      </c>
    </row>
    <row r="360" spans="1:32" x14ac:dyDescent="0.3">
      <c r="A360" s="74"/>
      <c r="B360" s="74"/>
      <c r="C360" s="74"/>
      <c r="D360" s="74"/>
      <c r="E360" s="74"/>
      <c r="F360" s="74"/>
      <c r="G360" s="74"/>
      <c r="H360" s="74"/>
      <c r="I360" s="74"/>
      <c r="J360" s="74"/>
      <c r="K360" s="74"/>
      <c r="L360" s="74"/>
      <c r="M360" s="74"/>
      <c r="N360" s="38" t="str">
        <f>IF(OR(A360="Автомат",A360="Дифавтомат"),IF(W360="","",COUNTIFS(Однолинейка!$H$3:$H$3000,U360,Однолинейка!$A$3:$A$3000,Щит_спец)),IF(A360="Аппарат",IF(C360="","",COUNTIFS(Однолинейка!$I$3:$I$3000,C360,Однолинейка!$A$3:$A$3000,Щит_спец)+COUNTIFS(Однолинейка!$J$3:$J$3000,C360,Однолинейка!$A$3:$A$3000,Щит_спец)+COUNTIFS(Однолинейка!$K$3:$K$3000,C360,Однолинейка!$A$3:$A$3000,Щит_спец)),IF(A360="Модуль",IF(C360="","",COUNTIFS(Однолинейка!$AW$3:$AW$3000,"?*",Однолинейка!$AI$3:$AI$3000,C360,Однолинейка!$A$3:$A$3000,Щит_спец)),IF(A360="Клемма",IF(C360="","",IF(C360=$S$7,SUMIFS(Однолинейка!$BW$3:$BW$3000,Однолинейка!$A$3:$A$3000,Щит_спец),IF(C360=$S$8,SUMIFS(Однолинейка!$BX$3:$BX$3000,Однолинейка!$A$3:$A$3000,Щит_спец),""))),""))))</f>
        <v/>
      </c>
      <c r="O360" s="74"/>
      <c r="P360" s="38" t="str">
        <f t="shared" si="45"/>
        <v/>
      </c>
      <c r="U360" s="38" t="str">
        <f t="shared" si="46"/>
        <v/>
      </c>
      <c r="V360" s="38" t="str">
        <f t="shared" si="47"/>
        <v/>
      </c>
      <c r="W360" s="38" t="str">
        <f>IF(AND(U360&lt;&gt;"",OR($S$4="(все)",B360=$S$4),IF($S$4="(все)",COUNTIF($U$4:U360,U360),COUNTIFS($U$4:U360,U360,$B$4:B360,B360))=1),MAX($W$3:W359)+1,"")</f>
        <v/>
      </c>
      <c r="X360" s="38" t="str">
        <f t="shared" si="48"/>
        <v/>
      </c>
      <c r="Y360" s="38" t="str">
        <f>IF(AND(A360="Аппарат",C360&lt;&gt;"",OR($S$5="(все)",B360=$S$5)),MAX($Y$3:Y359)+1,"")</f>
        <v/>
      </c>
      <c r="Z360" s="38" t="str">
        <f t="shared" si="49"/>
        <v/>
      </c>
      <c r="AA360" s="38" t="str">
        <f>IF(AND(A360="Модуль",C360&lt;&gt;"",OR($S$6="(все)",B360=$S$6)),MAX($AA$3:AA359)+1,"")</f>
        <v/>
      </c>
      <c r="AB360" s="38" t="str">
        <f t="shared" si="50"/>
        <v/>
      </c>
      <c r="AC360" s="38" t="str">
        <f>IF(OR(B360="",COUNTIF($B$4:B360,B360)&gt;1),"",MAX($AC$3:AC359)+1)</f>
        <v/>
      </c>
      <c r="AD360" s="38" t="str">
        <f t="shared" si="51"/>
        <v/>
      </c>
      <c r="AE360" s="38" t="str">
        <f t="shared" si="52"/>
        <v/>
      </c>
      <c r="AF360" s="38" t="str">
        <f t="shared" si="53"/>
        <v/>
      </c>
    </row>
    <row r="361" spans="1:32" x14ac:dyDescent="0.3">
      <c r="A361" s="74"/>
      <c r="B361" s="74"/>
      <c r="C361" s="74"/>
      <c r="D361" s="74"/>
      <c r="E361" s="74"/>
      <c r="F361" s="74"/>
      <c r="G361" s="74"/>
      <c r="H361" s="74"/>
      <c r="I361" s="74"/>
      <c r="J361" s="74"/>
      <c r="K361" s="74"/>
      <c r="L361" s="74"/>
      <c r="M361" s="74"/>
      <c r="N361" s="38" t="str">
        <f>IF(OR(A361="Автомат",A361="Дифавтомат"),IF(W361="","",COUNTIFS(Однолинейка!$H$3:$H$3000,U361,Однолинейка!$A$3:$A$3000,Щит_спец)),IF(A361="Аппарат",IF(C361="","",COUNTIFS(Однолинейка!$I$3:$I$3000,C361,Однолинейка!$A$3:$A$3000,Щит_спец)+COUNTIFS(Однолинейка!$J$3:$J$3000,C361,Однолинейка!$A$3:$A$3000,Щит_спец)+COUNTIFS(Однолинейка!$K$3:$K$3000,C361,Однолинейка!$A$3:$A$3000,Щит_спец)),IF(A361="Модуль",IF(C361="","",COUNTIFS(Однолинейка!$AW$3:$AW$3000,"?*",Однолинейка!$AI$3:$AI$3000,C361,Однолинейка!$A$3:$A$3000,Щит_спец)),IF(A361="Клемма",IF(C361="","",IF(C361=$S$7,SUMIFS(Однолинейка!$BW$3:$BW$3000,Однолинейка!$A$3:$A$3000,Щит_спец),IF(C361=$S$8,SUMIFS(Однолинейка!$BX$3:$BX$3000,Однолинейка!$A$3:$A$3000,Щит_спец),""))),""))))</f>
        <v/>
      </c>
      <c r="O361" s="74"/>
      <c r="P361" s="38" t="str">
        <f t="shared" si="45"/>
        <v/>
      </c>
      <c r="U361" s="38" t="str">
        <f t="shared" si="46"/>
        <v/>
      </c>
      <c r="V361" s="38" t="str">
        <f t="shared" si="47"/>
        <v/>
      </c>
      <c r="W361" s="38" t="str">
        <f>IF(AND(U361&lt;&gt;"",OR($S$4="(все)",B361=$S$4),IF($S$4="(все)",COUNTIF($U$4:U361,U361),COUNTIFS($U$4:U361,U361,$B$4:B361,B361))=1),MAX($W$3:W360)+1,"")</f>
        <v/>
      </c>
      <c r="X361" s="38" t="str">
        <f t="shared" si="48"/>
        <v/>
      </c>
      <c r="Y361" s="38" t="str">
        <f>IF(AND(A361="Аппарат",C361&lt;&gt;"",OR($S$5="(все)",B361=$S$5)),MAX($Y$3:Y360)+1,"")</f>
        <v/>
      </c>
      <c r="Z361" s="38" t="str">
        <f t="shared" si="49"/>
        <v/>
      </c>
      <c r="AA361" s="38" t="str">
        <f>IF(AND(A361="Модуль",C361&lt;&gt;"",OR($S$6="(все)",B361=$S$6)),MAX($AA$3:AA360)+1,"")</f>
        <v/>
      </c>
      <c r="AB361" s="38" t="str">
        <f t="shared" si="50"/>
        <v/>
      </c>
      <c r="AC361" s="38" t="str">
        <f>IF(OR(B361="",COUNTIF($B$4:B361,B361)&gt;1),"",MAX($AC$3:AC360)+1)</f>
        <v/>
      </c>
      <c r="AD361" s="38" t="str">
        <f t="shared" si="51"/>
        <v/>
      </c>
      <c r="AE361" s="38" t="str">
        <f t="shared" si="52"/>
        <v/>
      </c>
      <c r="AF361" s="38" t="str">
        <f t="shared" si="53"/>
        <v/>
      </c>
    </row>
    <row r="362" spans="1:32" x14ac:dyDescent="0.3">
      <c r="A362" s="74"/>
      <c r="B362" s="74"/>
      <c r="C362" s="74"/>
      <c r="D362" s="74"/>
      <c r="E362" s="74"/>
      <c r="F362" s="74"/>
      <c r="G362" s="74"/>
      <c r="H362" s="74"/>
      <c r="I362" s="74"/>
      <c r="J362" s="74"/>
      <c r="K362" s="74"/>
      <c r="L362" s="74"/>
      <c r="M362" s="74"/>
      <c r="N362" s="38" t="str">
        <f>IF(OR(A362="Автомат",A362="Дифавтомат"),IF(W362="","",COUNTIFS(Однолинейка!$H$3:$H$3000,U362,Однолинейка!$A$3:$A$3000,Щит_спец)),IF(A362="Аппарат",IF(C362="","",COUNTIFS(Однолинейка!$I$3:$I$3000,C362,Однолинейка!$A$3:$A$3000,Щит_спец)+COUNTIFS(Однолинейка!$J$3:$J$3000,C362,Однолинейка!$A$3:$A$3000,Щит_спец)+COUNTIFS(Однолинейка!$K$3:$K$3000,C362,Однолинейка!$A$3:$A$3000,Щит_спец)),IF(A362="Модуль",IF(C362="","",COUNTIFS(Однолинейка!$AW$3:$AW$3000,"?*",Однолинейка!$AI$3:$AI$3000,C362,Однолинейка!$A$3:$A$3000,Щит_спец)),IF(A362="Клемма",IF(C362="","",IF(C362=$S$7,SUMIFS(Однолинейка!$BW$3:$BW$3000,Однолинейка!$A$3:$A$3000,Щит_спец),IF(C362=$S$8,SUMIFS(Однолинейка!$BX$3:$BX$3000,Однолинейка!$A$3:$A$3000,Щит_спец),""))),""))))</f>
        <v/>
      </c>
      <c r="O362" s="74"/>
      <c r="P362" s="38" t="str">
        <f t="shared" si="45"/>
        <v/>
      </c>
      <c r="U362" s="38" t="str">
        <f t="shared" si="46"/>
        <v/>
      </c>
      <c r="V362" s="38" t="str">
        <f t="shared" si="47"/>
        <v/>
      </c>
      <c r="W362" s="38" t="str">
        <f>IF(AND(U362&lt;&gt;"",OR($S$4="(все)",B362=$S$4),IF($S$4="(все)",COUNTIF($U$4:U362,U362),COUNTIFS($U$4:U362,U362,$B$4:B362,B362))=1),MAX($W$3:W361)+1,"")</f>
        <v/>
      </c>
      <c r="X362" s="38" t="str">
        <f t="shared" si="48"/>
        <v/>
      </c>
      <c r="Y362" s="38" t="str">
        <f>IF(AND(A362="Аппарат",C362&lt;&gt;"",OR($S$5="(все)",B362=$S$5)),MAX($Y$3:Y361)+1,"")</f>
        <v/>
      </c>
      <c r="Z362" s="38" t="str">
        <f t="shared" si="49"/>
        <v/>
      </c>
      <c r="AA362" s="38" t="str">
        <f>IF(AND(A362="Модуль",C362&lt;&gt;"",OR($S$6="(все)",B362=$S$6)),MAX($AA$3:AA361)+1,"")</f>
        <v/>
      </c>
      <c r="AB362" s="38" t="str">
        <f t="shared" si="50"/>
        <v/>
      </c>
      <c r="AC362" s="38" t="str">
        <f>IF(OR(B362="",COUNTIF($B$4:B362,B362)&gt;1),"",MAX($AC$3:AC361)+1)</f>
        <v/>
      </c>
      <c r="AD362" s="38" t="str">
        <f t="shared" si="51"/>
        <v/>
      </c>
      <c r="AE362" s="38" t="str">
        <f t="shared" si="52"/>
        <v/>
      </c>
      <c r="AF362" s="38" t="str">
        <f t="shared" si="53"/>
        <v/>
      </c>
    </row>
    <row r="363" spans="1:32" x14ac:dyDescent="0.3">
      <c r="A363" s="74"/>
      <c r="B363" s="74"/>
      <c r="C363" s="74"/>
      <c r="D363" s="74"/>
      <c r="E363" s="74"/>
      <c r="F363" s="74"/>
      <c r="G363" s="74"/>
      <c r="H363" s="74"/>
      <c r="I363" s="74"/>
      <c r="J363" s="74"/>
      <c r="K363" s="74"/>
      <c r="L363" s="74"/>
      <c r="M363" s="74"/>
      <c r="N363" s="38" t="str">
        <f>IF(OR(A363="Автомат",A363="Дифавтомат"),IF(W363="","",COUNTIFS(Однолинейка!$H$3:$H$3000,U363,Однолинейка!$A$3:$A$3000,Щит_спец)),IF(A363="Аппарат",IF(C363="","",COUNTIFS(Однолинейка!$I$3:$I$3000,C363,Однолинейка!$A$3:$A$3000,Щит_спец)+COUNTIFS(Однолинейка!$J$3:$J$3000,C363,Однолинейка!$A$3:$A$3000,Щит_спец)+COUNTIFS(Однолинейка!$K$3:$K$3000,C363,Однолинейка!$A$3:$A$3000,Щит_спец)),IF(A363="Модуль",IF(C363="","",COUNTIFS(Однолинейка!$AW$3:$AW$3000,"?*",Однолинейка!$AI$3:$AI$3000,C363,Однолинейка!$A$3:$A$3000,Щит_спец)),IF(A363="Клемма",IF(C363="","",IF(C363=$S$7,SUMIFS(Однолинейка!$BW$3:$BW$3000,Однолинейка!$A$3:$A$3000,Щит_спец),IF(C363=$S$8,SUMIFS(Однолинейка!$BX$3:$BX$3000,Однолинейка!$A$3:$A$3000,Щит_спец),""))),""))))</f>
        <v/>
      </c>
      <c r="O363" s="74"/>
      <c r="P363" s="38" t="str">
        <f t="shared" si="45"/>
        <v/>
      </c>
      <c r="U363" s="38" t="str">
        <f t="shared" si="46"/>
        <v/>
      </c>
      <c r="V363" s="38" t="str">
        <f t="shared" si="47"/>
        <v/>
      </c>
      <c r="W363" s="38" t="str">
        <f>IF(AND(U363&lt;&gt;"",OR($S$4="(все)",B363=$S$4),IF($S$4="(все)",COUNTIF($U$4:U363,U363),COUNTIFS($U$4:U363,U363,$B$4:B363,B363))=1),MAX($W$3:W362)+1,"")</f>
        <v/>
      </c>
      <c r="X363" s="38" t="str">
        <f t="shared" si="48"/>
        <v/>
      </c>
      <c r="Y363" s="38" t="str">
        <f>IF(AND(A363="Аппарат",C363&lt;&gt;"",OR($S$5="(все)",B363=$S$5)),MAX($Y$3:Y362)+1,"")</f>
        <v/>
      </c>
      <c r="Z363" s="38" t="str">
        <f t="shared" si="49"/>
        <v/>
      </c>
      <c r="AA363" s="38" t="str">
        <f>IF(AND(A363="Модуль",C363&lt;&gt;"",OR($S$6="(все)",B363=$S$6)),MAX($AA$3:AA362)+1,"")</f>
        <v/>
      </c>
      <c r="AB363" s="38" t="str">
        <f t="shared" si="50"/>
        <v/>
      </c>
      <c r="AC363" s="38" t="str">
        <f>IF(OR(B363="",COUNTIF($B$4:B363,B363)&gt;1),"",MAX($AC$3:AC362)+1)</f>
        <v/>
      </c>
      <c r="AD363" s="38" t="str">
        <f t="shared" si="51"/>
        <v/>
      </c>
      <c r="AE363" s="38" t="str">
        <f t="shared" si="52"/>
        <v/>
      </c>
      <c r="AF363" s="38" t="str">
        <f t="shared" si="53"/>
        <v/>
      </c>
    </row>
    <row r="364" spans="1:32" x14ac:dyDescent="0.3">
      <c r="A364" s="74"/>
      <c r="B364" s="74"/>
      <c r="C364" s="74"/>
      <c r="D364" s="74"/>
      <c r="E364" s="74"/>
      <c r="F364" s="74"/>
      <c r="G364" s="74"/>
      <c r="H364" s="74"/>
      <c r="I364" s="74"/>
      <c r="J364" s="74"/>
      <c r="K364" s="74"/>
      <c r="L364" s="74"/>
      <c r="M364" s="74"/>
      <c r="N364" s="38" t="str">
        <f>IF(OR(A364="Автомат",A364="Дифавтомат"),IF(W364="","",COUNTIFS(Однолинейка!$H$3:$H$3000,U364,Однолинейка!$A$3:$A$3000,Щит_спец)),IF(A364="Аппарат",IF(C364="","",COUNTIFS(Однолинейка!$I$3:$I$3000,C364,Однолинейка!$A$3:$A$3000,Щит_спец)+COUNTIFS(Однолинейка!$J$3:$J$3000,C364,Однолинейка!$A$3:$A$3000,Щит_спец)+COUNTIFS(Однолинейка!$K$3:$K$3000,C364,Однолинейка!$A$3:$A$3000,Щит_спец)),IF(A364="Модуль",IF(C364="","",COUNTIFS(Однолинейка!$AW$3:$AW$3000,"?*",Однолинейка!$AI$3:$AI$3000,C364,Однолинейка!$A$3:$A$3000,Щит_спец)),IF(A364="Клемма",IF(C364="","",IF(C364=$S$7,SUMIFS(Однолинейка!$BW$3:$BW$3000,Однолинейка!$A$3:$A$3000,Щит_спец),IF(C364=$S$8,SUMIFS(Однолинейка!$BX$3:$BX$3000,Однолинейка!$A$3:$A$3000,Щит_спец),""))),""))))</f>
        <v/>
      </c>
      <c r="O364" s="74"/>
      <c r="P364" s="38" t="str">
        <f t="shared" si="45"/>
        <v/>
      </c>
      <c r="U364" s="38" t="str">
        <f t="shared" si="46"/>
        <v/>
      </c>
      <c r="V364" s="38" t="str">
        <f t="shared" si="47"/>
        <v/>
      </c>
      <c r="W364" s="38" t="str">
        <f>IF(AND(U364&lt;&gt;"",OR($S$4="(все)",B364=$S$4),IF($S$4="(все)",COUNTIF($U$4:U364,U364),COUNTIFS($U$4:U364,U364,$B$4:B364,B364))=1),MAX($W$3:W363)+1,"")</f>
        <v/>
      </c>
      <c r="X364" s="38" t="str">
        <f t="shared" si="48"/>
        <v/>
      </c>
      <c r="Y364" s="38" t="str">
        <f>IF(AND(A364="Аппарат",C364&lt;&gt;"",OR($S$5="(все)",B364=$S$5)),MAX($Y$3:Y363)+1,"")</f>
        <v/>
      </c>
      <c r="Z364" s="38" t="str">
        <f t="shared" si="49"/>
        <v/>
      </c>
      <c r="AA364" s="38" t="str">
        <f>IF(AND(A364="Модуль",C364&lt;&gt;"",OR($S$6="(все)",B364=$S$6)),MAX($AA$3:AA363)+1,"")</f>
        <v/>
      </c>
      <c r="AB364" s="38" t="str">
        <f t="shared" si="50"/>
        <v/>
      </c>
      <c r="AC364" s="38" t="str">
        <f>IF(OR(B364="",COUNTIF($B$4:B364,B364)&gt;1),"",MAX($AC$3:AC363)+1)</f>
        <v/>
      </c>
      <c r="AD364" s="38" t="str">
        <f t="shared" si="51"/>
        <v/>
      </c>
      <c r="AE364" s="38" t="str">
        <f t="shared" si="52"/>
        <v/>
      </c>
      <c r="AF364" s="38" t="str">
        <f t="shared" si="53"/>
        <v/>
      </c>
    </row>
    <row r="365" spans="1:32" x14ac:dyDescent="0.3">
      <c r="A365" s="74"/>
      <c r="B365" s="74"/>
      <c r="C365" s="74"/>
      <c r="D365" s="74"/>
      <c r="E365" s="74"/>
      <c r="F365" s="74"/>
      <c r="G365" s="74"/>
      <c r="H365" s="74"/>
      <c r="I365" s="74"/>
      <c r="J365" s="74"/>
      <c r="K365" s="74"/>
      <c r="L365" s="74"/>
      <c r="M365" s="74"/>
      <c r="N365" s="38" t="str">
        <f>IF(OR(A365="Автомат",A365="Дифавтомат"),IF(W365="","",COUNTIFS(Однолинейка!$H$3:$H$3000,U365,Однолинейка!$A$3:$A$3000,Щит_спец)),IF(A365="Аппарат",IF(C365="","",COUNTIFS(Однолинейка!$I$3:$I$3000,C365,Однолинейка!$A$3:$A$3000,Щит_спец)+COUNTIFS(Однолинейка!$J$3:$J$3000,C365,Однолинейка!$A$3:$A$3000,Щит_спец)+COUNTIFS(Однолинейка!$K$3:$K$3000,C365,Однолинейка!$A$3:$A$3000,Щит_спец)),IF(A365="Модуль",IF(C365="","",COUNTIFS(Однолинейка!$AW$3:$AW$3000,"?*",Однолинейка!$AI$3:$AI$3000,C365,Однолинейка!$A$3:$A$3000,Щит_спец)),IF(A365="Клемма",IF(C365="","",IF(C365=$S$7,SUMIFS(Однолинейка!$BW$3:$BW$3000,Однолинейка!$A$3:$A$3000,Щит_спец),IF(C365=$S$8,SUMIFS(Однолинейка!$BX$3:$BX$3000,Однолинейка!$A$3:$A$3000,Щит_спец),""))),""))))</f>
        <v/>
      </c>
      <c r="O365" s="74"/>
      <c r="P365" s="38" t="str">
        <f t="shared" si="45"/>
        <v/>
      </c>
      <c r="U365" s="38" t="str">
        <f t="shared" si="46"/>
        <v/>
      </c>
      <c r="V365" s="38" t="str">
        <f t="shared" si="47"/>
        <v/>
      </c>
      <c r="W365" s="38" t="str">
        <f>IF(AND(U365&lt;&gt;"",OR($S$4="(все)",B365=$S$4),IF($S$4="(все)",COUNTIF($U$4:U365,U365),COUNTIFS($U$4:U365,U365,$B$4:B365,B365))=1),MAX($W$3:W364)+1,"")</f>
        <v/>
      </c>
      <c r="X365" s="38" t="str">
        <f t="shared" si="48"/>
        <v/>
      </c>
      <c r="Y365" s="38" t="str">
        <f>IF(AND(A365="Аппарат",C365&lt;&gt;"",OR($S$5="(все)",B365=$S$5)),MAX($Y$3:Y364)+1,"")</f>
        <v/>
      </c>
      <c r="Z365" s="38" t="str">
        <f t="shared" si="49"/>
        <v/>
      </c>
      <c r="AA365" s="38" t="str">
        <f>IF(AND(A365="Модуль",C365&lt;&gt;"",OR($S$6="(все)",B365=$S$6)),MAX($AA$3:AA364)+1,"")</f>
        <v/>
      </c>
      <c r="AB365" s="38" t="str">
        <f t="shared" si="50"/>
        <v/>
      </c>
      <c r="AC365" s="38" t="str">
        <f>IF(OR(B365="",COUNTIF($B$4:B365,B365)&gt;1),"",MAX($AC$3:AC364)+1)</f>
        <v/>
      </c>
      <c r="AD365" s="38" t="str">
        <f t="shared" si="51"/>
        <v/>
      </c>
      <c r="AE365" s="38" t="str">
        <f t="shared" si="52"/>
        <v/>
      </c>
      <c r="AF365" s="38" t="str">
        <f t="shared" si="53"/>
        <v/>
      </c>
    </row>
    <row r="366" spans="1:32" x14ac:dyDescent="0.3">
      <c r="A366" s="74"/>
      <c r="B366" s="74"/>
      <c r="C366" s="74"/>
      <c r="D366" s="74"/>
      <c r="E366" s="74"/>
      <c r="F366" s="74"/>
      <c r="G366" s="74"/>
      <c r="H366" s="74"/>
      <c r="I366" s="74"/>
      <c r="J366" s="74"/>
      <c r="K366" s="74"/>
      <c r="L366" s="74"/>
      <c r="M366" s="74"/>
      <c r="N366" s="38" t="str">
        <f>IF(OR(A366="Автомат",A366="Дифавтомат"),IF(W366="","",COUNTIFS(Однолинейка!$H$3:$H$3000,U366,Однолинейка!$A$3:$A$3000,Щит_спец)),IF(A366="Аппарат",IF(C366="","",COUNTIFS(Однолинейка!$I$3:$I$3000,C366,Однолинейка!$A$3:$A$3000,Щит_спец)+COUNTIFS(Однолинейка!$J$3:$J$3000,C366,Однолинейка!$A$3:$A$3000,Щит_спец)+COUNTIFS(Однолинейка!$K$3:$K$3000,C366,Однолинейка!$A$3:$A$3000,Щит_спец)),IF(A366="Модуль",IF(C366="","",COUNTIFS(Однолинейка!$AW$3:$AW$3000,"?*",Однолинейка!$AI$3:$AI$3000,C366,Однолинейка!$A$3:$A$3000,Щит_спец)),IF(A366="Клемма",IF(C366="","",IF(C366=$S$7,SUMIFS(Однолинейка!$BW$3:$BW$3000,Однолинейка!$A$3:$A$3000,Щит_спец),IF(C366=$S$8,SUMIFS(Однолинейка!$BX$3:$BX$3000,Однолинейка!$A$3:$A$3000,Щит_спец),""))),""))))</f>
        <v/>
      </c>
      <c r="O366" s="74"/>
      <c r="P366" s="38" t="str">
        <f t="shared" si="45"/>
        <v/>
      </c>
      <c r="U366" s="38" t="str">
        <f t="shared" si="46"/>
        <v/>
      </c>
      <c r="V366" s="38" t="str">
        <f t="shared" si="47"/>
        <v/>
      </c>
      <c r="W366" s="38" t="str">
        <f>IF(AND(U366&lt;&gt;"",OR($S$4="(все)",B366=$S$4),IF($S$4="(все)",COUNTIF($U$4:U366,U366),COUNTIFS($U$4:U366,U366,$B$4:B366,B366))=1),MAX($W$3:W365)+1,"")</f>
        <v/>
      </c>
      <c r="X366" s="38" t="str">
        <f t="shared" si="48"/>
        <v/>
      </c>
      <c r="Y366" s="38" t="str">
        <f>IF(AND(A366="Аппарат",C366&lt;&gt;"",OR($S$5="(все)",B366=$S$5)),MAX($Y$3:Y365)+1,"")</f>
        <v/>
      </c>
      <c r="Z366" s="38" t="str">
        <f t="shared" si="49"/>
        <v/>
      </c>
      <c r="AA366" s="38" t="str">
        <f>IF(AND(A366="Модуль",C366&lt;&gt;"",OR($S$6="(все)",B366=$S$6)),MAX($AA$3:AA365)+1,"")</f>
        <v/>
      </c>
      <c r="AB366" s="38" t="str">
        <f t="shared" si="50"/>
        <v/>
      </c>
      <c r="AC366" s="38" t="str">
        <f>IF(OR(B366="",COUNTIF($B$4:B366,B366)&gt;1),"",MAX($AC$3:AC365)+1)</f>
        <v/>
      </c>
      <c r="AD366" s="38" t="str">
        <f t="shared" si="51"/>
        <v/>
      </c>
      <c r="AE366" s="38" t="str">
        <f t="shared" si="52"/>
        <v/>
      </c>
      <c r="AF366" s="38" t="str">
        <f t="shared" si="53"/>
        <v/>
      </c>
    </row>
    <row r="367" spans="1:32" x14ac:dyDescent="0.3">
      <c r="A367" s="74"/>
      <c r="B367" s="74"/>
      <c r="C367" s="74"/>
      <c r="D367" s="74"/>
      <c r="E367" s="74"/>
      <c r="F367" s="74"/>
      <c r="G367" s="74"/>
      <c r="H367" s="74"/>
      <c r="I367" s="74"/>
      <c r="J367" s="74"/>
      <c r="K367" s="74"/>
      <c r="L367" s="74"/>
      <c r="M367" s="74"/>
      <c r="N367" s="38" t="str">
        <f>IF(OR(A367="Автомат",A367="Дифавтомат"),IF(W367="","",COUNTIFS(Однолинейка!$H$3:$H$3000,U367,Однолинейка!$A$3:$A$3000,Щит_спец)),IF(A367="Аппарат",IF(C367="","",COUNTIFS(Однолинейка!$I$3:$I$3000,C367,Однолинейка!$A$3:$A$3000,Щит_спец)+COUNTIFS(Однолинейка!$J$3:$J$3000,C367,Однолинейка!$A$3:$A$3000,Щит_спец)+COUNTIFS(Однолинейка!$K$3:$K$3000,C367,Однолинейка!$A$3:$A$3000,Щит_спец)),IF(A367="Модуль",IF(C367="","",COUNTIFS(Однолинейка!$AW$3:$AW$3000,"?*",Однолинейка!$AI$3:$AI$3000,C367,Однолинейка!$A$3:$A$3000,Щит_спец)),IF(A367="Клемма",IF(C367="","",IF(C367=$S$7,SUMIFS(Однолинейка!$BW$3:$BW$3000,Однолинейка!$A$3:$A$3000,Щит_спец),IF(C367=$S$8,SUMIFS(Однолинейка!$BX$3:$BX$3000,Однолинейка!$A$3:$A$3000,Щит_спец),""))),""))))</f>
        <v/>
      </c>
      <c r="O367" s="74"/>
      <c r="P367" s="38" t="str">
        <f t="shared" si="45"/>
        <v/>
      </c>
      <c r="U367" s="38" t="str">
        <f t="shared" si="46"/>
        <v/>
      </c>
      <c r="V367" s="38" t="str">
        <f t="shared" si="47"/>
        <v/>
      </c>
      <c r="W367" s="38" t="str">
        <f>IF(AND(U367&lt;&gt;"",OR($S$4="(все)",B367=$S$4),IF($S$4="(все)",COUNTIF($U$4:U367,U367),COUNTIFS($U$4:U367,U367,$B$4:B367,B367))=1),MAX($W$3:W366)+1,"")</f>
        <v/>
      </c>
      <c r="X367" s="38" t="str">
        <f t="shared" si="48"/>
        <v/>
      </c>
      <c r="Y367" s="38" t="str">
        <f>IF(AND(A367="Аппарат",C367&lt;&gt;"",OR($S$5="(все)",B367=$S$5)),MAX($Y$3:Y366)+1,"")</f>
        <v/>
      </c>
      <c r="Z367" s="38" t="str">
        <f t="shared" si="49"/>
        <v/>
      </c>
      <c r="AA367" s="38" t="str">
        <f>IF(AND(A367="Модуль",C367&lt;&gt;"",OR($S$6="(все)",B367=$S$6)),MAX($AA$3:AA366)+1,"")</f>
        <v/>
      </c>
      <c r="AB367" s="38" t="str">
        <f t="shared" si="50"/>
        <v/>
      </c>
      <c r="AC367" s="38" t="str">
        <f>IF(OR(B367="",COUNTIF($B$4:B367,B367)&gt;1),"",MAX($AC$3:AC366)+1)</f>
        <v/>
      </c>
      <c r="AD367" s="38" t="str">
        <f t="shared" si="51"/>
        <v/>
      </c>
      <c r="AE367" s="38" t="str">
        <f t="shared" si="52"/>
        <v/>
      </c>
      <c r="AF367" s="38" t="str">
        <f t="shared" si="53"/>
        <v/>
      </c>
    </row>
    <row r="368" spans="1:32" x14ac:dyDescent="0.3">
      <c r="A368" s="74"/>
      <c r="B368" s="74"/>
      <c r="C368" s="74"/>
      <c r="D368" s="74"/>
      <c r="E368" s="74"/>
      <c r="F368" s="74"/>
      <c r="G368" s="74"/>
      <c r="H368" s="74"/>
      <c r="I368" s="74"/>
      <c r="J368" s="74"/>
      <c r="K368" s="74"/>
      <c r="L368" s="74"/>
      <c r="M368" s="74"/>
      <c r="N368" s="38" t="str">
        <f>IF(OR(A368="Автомат",A368="Дифавтомат"),IF(W368="","",COUNTIFS(Однолинейка!$H$3:$H$3000,U368,Однолинейка!$A$3:$A$3000,Щит_спец)),IF(A368="Аппарат",IF(C368="","",COUNTIFS(Однолинейка!$I$3:$I$3000,C368,Однолинейка!$A$3:$A$3000,Щит_спец)+COUNTIFS(Однолинейка!$J$3:$J$3000,C368,Однолинейка!$A$3:$A$3000,Щит_спец)+COUNTIFS(Однолинейка!$K$3:$K$3000,C368,Однолинейка!$A$3:$A$3000,Щит_спец)),IF(A368="Модуль",IF(C368="","",COUNTIFS(Однолинейка!$AW$3:$AW$3000,"?*",Однолинейка!$AI$3:$AI$3000,C368,Однолинейка!$A$3:$A$3000,Щит_спец)),IF(A368="Клемма",IF(C368="","",IF(C368=$S$7,SUMIFS(Однолинейка!$BW$3:$BW$3000,Однолинейка!$A$3:$A$3000,Щит_спец),IF(C368=$S$8,SUMIFS(Однолинейка!$BX$3:$BX$3000,Однолинейка!$A$3:$A$3000,Щит_спец),""))),""))))</f>
        <v/>
      </c>
      <c r="O368" s="74"/>
      <c r="P368" s="38" t="str">
        <f t="shared" si="45"/>
        <v/>
      </c>
      <c r="U368" s="38" t="str">
        <f t="shared" si="46"/>
        <v/>
      </c>
      <c r="V368" s="38" t="str">
        <f t="shared" si="47"/>
        <v/>
      </c>
      <c r="W368" s="38" t="str">
        <f>IF(AND(U368&lt;&gt;"",OR($S$4="(все)",B368=$S$4),IF($S$4="(все)",COUNTIF($U$4:U368,U368),COUNTIFS($U$4:U368,U368,$B$4:B368,B368))=1),MAX($W$3:W367)+1,"")</f>
        <v/>
      </c>
      <c r="X368" s="38" t="str">
        <f t="shared" si="48"/>
        <v/>
      </c>
      <c r="Y368" s="38" t="str">
        <f>IF(AND(A368="Аппарат",C368&lt;&gt;"",OR($S$5="(все)",B368=$S$5)),MAX($Y$3:Y367)+1,"")</f>
        <v/>
      </c>
      <c r="Z368" s="38" t="str">
        <f t="shared" si="49"/>
        <v/>
      </c>
      <c r="AA368" s="38" t="str">
        <f>IF(AND(A368="Модуль",C368&lt;&gt;"",OR($S$6="(все)",B368=$S$6)),MAX($AA$3:AA367)+1,"")</f>
        <v/>
      </c>
      <c r="AB368" s="38" t="str">
        <f t="shared" si="50"/>
        <v/>
      </c>
      <c r="AC368" s="38" t="str">
        <f>IF(OR(B368="",COUNTIF($B$4:B368,B368)&gt;1),"",MAX($AC$3:AC367)+1)</f>
        <v/>
      </c>
      <c r="AD368" s="38" t="str">
        <f t="shared" si="51"/>
        <v/>
      </c>
      <c r="AE368" s="38" t="str">
        <f t="shared" si="52"/>
        <v/>
      </c>
      <c r="AF368" s="38" t="str">
        <f t="shared" si="53"/>
        <v/>
      </c>
    </row>
    <row r="369" spans="1:32" x14ac:dyDescent="0.3">
      <c r="A369" s="74"/>
      <c r="B369" s="74"/>
      <c r="C369" s="74"/>
      <c r="D369" s="74"/>
      <c r="E369" s="74"/>
      <c r="F369" s="74"/>
      <c r="G369" s="74"/>
      <c r="H369" s="74"/>
      <c r="I369" s="74"/>
      <c r="J369" s="74"/>
      <c r="K369" s="74"/>
      <c r="L369" s="74"/>
      <c r="M369" s="74"/>
      <c r="N369" s="38" t="str">
        <f>IF(OR(A369="Автомат",A369="Дифавтомат"),IF(W369="","",COUNTIFS(Однолинейка!$H$3:$H$3000,U369,Однолинейка!$A$3:$A$3000,Щит_спец)),IF(A369="Аппарат",IF(C369="","",COUNTIFS(Однолинейка!$I$3:$I$3000,C369,Однолинейка!$A$3:$A$3000,Щит_спец)+COUNTIFS(Однолинейка!$J$3:$J$3000,C369,Однолинейка!$A$3:$A$3000,Щит_спец)+COUNTIFS(Однолинейка!$K$3:$K$3000,C369,Однолинейка!$A$3:$A$3000,Щит_спец)),IF(A369="Модуль",IF(C369="","",COUNTIFS(Однолинейка!$AW$3:$AW$3000,"?*",Однолинейка!$AI$3:$AI$3000,C369,Однолинейка!$A$3:$A$3000,Щит_спец)),IF(A369="Клемма",IF(C369="","",IF(C369=$S$7,SUMIFS(Однолинейка!$BW$3:$BW$3000,Однолинейка!$A$3:$A$3000,Щит_спец),IF(C369=$S$8,SUMIFS(Однолинейка!$BX$3:$BX$3000,Однолинейка!$A$3:$A$3000,Щит_спец),""))),""))))</f>
        <v/>
      </c>
      <c r="O369" s="74"/>
      <c r="P369" s="38" t="str">
        <f t="shared" si="45"/>
        <v/>
      </c>
      <c r="U369" s="38" t="str">
        <f t="shared" si="46"/>
        <v/>
      </c>
      <c r="V369" s="38" t="str">
        <f t="shared" si="47"/>
        <v/>
      </c>
      <c r="W369" s="38" t="str">
        <f>IF(AND(U369&lt;&gt;"",OR($S$4="(все)",B369=$S$4),IF($S$4="(все)",COUNTIF($U$4:U369,U369),COUNTIFS($U$4:U369,U369,$B$4:B369,B369))=1),MAX($W$3:W368)+1,"")</f>
        <v/>
      </c>
      <c r="X369" s="38" t="str">
        <f t="shared" si="48"/>
        <v/>
      </c>
      <c r="Y369" s="38" t="str">
        <f>IF(AND(A369="Аппарат",C369&lt;&gt;"",OR($S$5="(все)",B369=$S$5)),MAX($Y$3:Y368)+1,"")</f>
        <v/>
      </c>
      <c r="Z369" s="38" t="str">
        <f t="shared" si="49"/>
        <v/>
      </c>
      <c r="AA369" s="38" t="str">
        <f>IF(AND(A369="Модуль",C369&lt;&gt;"",OR($S$6="(все)",B369=$S$6)),MAX($AA$3:AA368)+1,"")</f>
        <v/>
      </c>
      <c r="AB369" s="38" t="str">
        <f t="shared" si="50"/>
        <v/>
      </c>
      <c r="AC369" s="38" t="str">
        <f>IF(OR(B369="",COUNTIF($B$4:B369,B369)&gt;1),"",MAX($AC$3:AC368)+1)</f>
        <v/>
      </c>
      <c r="AD369" s="38" t="str">
        <f t="shared" si="51"/>
        <v/>
      </c>
      <c r="AE369" s="38" t="str">
        <f t="shared" si="52"/>
        <v/>
      </c>
      <c r="AF369" s="38" t="str">
        <f t="shared" si="53"/>
        <v/>
      </c>
    </row>
    <row r="370" spans="1:32" x14ac:dyDescent="0.3">
      <c r="A370" s="74"/>
      <c r="B370" s="74"/>
      <c r="C370" s="74"/>
      <c r="D370" s="74"/>
      <c r="E370" s="74"/>
      <c r="F370" s="74"/>
      <c r="G370" s="74"/>
      <c r="H370" s="74"/>
      <c r="I370" s="74"/>
      <c r="J370" s="74"/>
      <c r="K370" s="74"/>
      <c r="L370" s="74"/>
      <c r="M370" s="74"/>
      <c r="N370" s="38" t="str">
        <f>IF(OR(A370="Автомат",A370="Дифавтомат"),IF(W370="","",COUNTIFS(Однолинейка!$H$3:$H$3000,U370,Однолинейка!$A$3:$A$3000,Щит_спец)),IF(A370="Аппарат",IF(C370="","",COUNTIFS(Однолинейка!$I$3:$I$3000,C370,Однолинейка!$A$3:$A$3000,Щит_спец)+COUNTIFS(Однолинейка!$J$3:$J$3000,C370,Однолинейка!$A$3:$A$3000,Щит_спец)+COUNTIFS(Однолинейка!$K$3:$K$3000,C370,Однолинейка!$A$3:$A$3000,Щит_спец)),IF(A370="Модуль",IF(C370="","",COUNTIFS(Однолинейка!$AW$3:$AW$3000,"?*",Однолинейка!$AI$3:$AI$3000,C370,Однолинейка!$A$3:$A$3000,Щит_спец)),IF(A370="Клемма",IF(C370="","",IF(C370=$S$7,SUMIFS(Однолинейка!$BW$3:$BW$3000,Однолинейка!$A$3:$A$3000,Щит_спец),IF(C370=$S$8,SUMIFS(Однолинейка!$BX$3:$BX$3000,Однолинейка!$A$3:$A$3000,Щит_спец),""))),""))))</f>
        <v/>
      </c>
      <c r="O370" s="74"/>
      <c r="P370" s="38" t="str">
        <f t="shared" si="45"/>
        <v/>
      </c>
      <c r="U370" s="38" t="str">
        <f t="shared" si="46"/>
        <v/>
      </c>
      <c r="V370" s="38" t="str">
        <f t="shared" si="47"/>
        <v/>
      </c>
      <c r="W370" s="38" t="str">
        <f>IF(AND(U370&lt;&gt;"",OR($S$4="(все)",B370=$S$4),IF($S$4="(все)",COUNTIF($U$4:U370,U370),COUNTIFS($U$4:U370,U370,$B$4:B370,B370))=1),MAX($W$3:W369)+1,"")</f>
        <v/>
      </c>
      <c r="X370" s="38" t="str">
        <f t="shared" si="48"/>
        <v/>
      </c>
      <c r="Y370" s="38" t="str">
        <f>IF(AND(A370="Аппарат",C370&lt;&gt;"",OR($S$5="(все)",B370=$S$5)),MAX($Y$3:Y369)+1,"")</f>
        <v/>
      </c>
      <c r="Z370" s="38" t="str">
        <f t="shared" si="49"/>
        <v/>
      </c>
      <c r="AA370" s="38" t="str">
        <f>IF(AND(A370="Модуль",C370&lt;&gt;"",OR($S$6="(все)",B370=$S$6)),MAX($AA$3:AA369)+1,"")</f>
        <v/>
      </c>
      <c r="AB370" s="38" t="str">
        <f t="shared" si="50"/>
        <v/>
      </c>
      <c r="AC370" s="38" t="str">
        <f>IF(OR(B370="",COUNTIF($B$4:B370,B370)&gt;1),"",MAX($AC$3:AC369)+1)</f>
        <v/>
      </c>
      <c r="AD370" s="38" t="str">
        <f t="shared" si="51"/>
        <v/>
      </c>
      <c r="AE370" s="38" t="str">
        <f t="shared" si="52"/>
        <v/>
      </c>
      <c r="AF370" s="38" t="str">
        <f t="shared" si="53"/>
        <v/>
      </c>
    </row>
    <row r="371" spans="1:32" x14ac:dyDescent="0.3">
      <c r="A371" s="74"/>
      <c r="B371" s="74"/>
      <c r="C371" s="74"/>
      <c r="D371" s="74"/>
      <c r="E371" s="74"/>
      <c r="F371" s="74"/>
      <c r="G371" s="74"/>
      <c r="H371" s="74"/>
      <c r="I371" s="74"/>
      <c r="J371" s="74"/>
      <c r="K371" s="74"/>
      <c r="L371" s="74"/>
      <c r="M371" s="74"/>
      <c r="N371" s="38" t="str">
        <f>IF(OR(A371="Автомат",A371="Дифавтомат"),IF(W371="","",COUNTIFS(Однолинейка!$H$3:$H$3000,U371,Однолинейка!$A$3:$A$3000,Щит_спец)),IF(A371="Аппарат",IF(C371="","",COUNTIFS(Однолинейка!$I$3:$I$3000,C371,Однолинейка!$A$3:$A$3000,Щит_спец)+COUNTIFS(Однолинейка!$J$3:$J$3000,C371,Однолинейка!$A$3:$A$3000,Щит_спец)+COUNTIFS(Однолинейка!$K$3:$K$3000,C371,Однолинейка!$A$3:$A$3000,Щит_спец)),IF(A371="Модуль",IF(C371="","",COUNTIFS(Однолинейка!$AW$3:$AW$3000,"?*",Однолинейка!$AI$3:$AI$3000,C371,Однолинейка!$A$3:$A$3000,Щит_спец)),IF(A371="Клемма",IF(C371="","",IF(C371=$S$7,SUMIFS(Однолинейка!$BW$3:$BW$3000,Однолинейка!$A$3:$A$3000,Щит_спец),IF(C371=$S$8,SUMIFS(Однолинейка!$BX$3:$BX$3000,Однолинейка!$A$3:$A$3000,Щит_спец),""))),""))))</f>
        <v/>
      </c>
      <c r="O371" s="74"/>
      <c r="P371" s="38" t="str">
        <f t="shared" si="45"/>
        <v/>
      </c>
      <c r="U371" s="38" t="str">
        <f t="shared" si="46"/>
        <v/>
      </c>
      <c r="V371" s="38" t="str">
        <f t="shared" si="47"/>
        <v/>
      </c>
      <c r="W371" s="38" t="str">
        <f>IF(AND(U371&lt;&gt;"",OR($S$4="(все)",B371=$S$4),IF($S$4="(все)",COUNTIF($U$4:U371,U371),COUNTIFS($U$4:U371,U371,$B$4:B371,B371))=1),MAX($W$3:W370)+1,"")</f>
        <v/>
      </c>
      <c r="X371" s="38" t="str">
        <f t="shared" si="48"/>
        <v/>
      </c>
      <c r="Y371" s="38" t="str">
        <f>IF(AND(A371="Аппарат",C371&lt;&gt;"",OR($S$5="(все)",B371=$S$5)),MAX($Y$3:Y370)+1,"")</f>
        <v/>
      </c>
      <c r="Z371" s="38" t="str">
        <f t="shared" si="49"/>
        <v/>
      </c>
      <c r="AA371" s="38" t="str">
        <f>IF(AND(A371="Модуль",C371&lt;&gt;"",OR($S$6="(все)",B371=$S$6)),MAX($AA$3:AA370)+1,"")</f>
        <v/>
      </c>
      <c r="AB371" s="38" t="str">
        <f t="shared" si="50"/>
        <v/>
      </c>
      <c r="AC371" s="38" t="str">
        <f>IF(OR(B371="",COUNTIF($B$4:B371,B371)&gt;1),"",MAX($AC$3:AC370)+1)</f>
        <v/>
      </c>
      <c r="AD371" s="38" t="str">
        <f t="shared" si="51"/>
        <v/>
      </c>
      <c r="AE371" s="38" t="str">
        <f t="shared" si="52"/>
        <v/>
      </c>
      <c r="AF371" s="38" t="str">
        <f t="shared" si="53"/>
        <v/>
      </c>
    </row>
    <row r="372" spans="1:32" x14ac:dyDescent="0.3">
      <c r="A372" s="74"/>
      <c r="B372" s="74"/>
      <c r="C372" s="74"/>
      <c r="D372" s="74"/>
      <c r="E372" s="74"/>
      <c r="F372" s="74"/>
      <c r="G372" s="74"/>
      <c r="H372" s="74"/>
      <c r="I372" s="74"/>
      <c r="J372" s="74"/>
      <c r="K372" s="74"/>
      <c r="L372" s="74"/>
      <c r="M372" s="74"/>
      <c r="N372" s="38" t="str">
        <f>IF(OR(A372="Автомат",A372="Дифавтомат"),IF(W372="","",COUNTIFS(Однолинейка!$H$3:$H$3000,U372,Однолинейка!$A$3:$A$3000,Щит_спец)),IF(A372="Аппарат",IF(C372="","",COUNTIFS(Однолинейка!$I$3:$I$3000,C372,Однолинейка!$A$3:$A$3000,Щит_спец)+COUNTIFS(Однолинейка!$J$3:$J$3000,C372,Однолинейка!$A$3:$A$3000,Щит_спец)+COUNTIFS(Однолинейка!$K$3:$K$3000,C372,Однолинейка!$A$3:$A$3000,Щит_спец)),IF(A372="Модуль",IF(C372="","",COUNTIFS(Однолинейка!$AW$3:$AW$3000,"?*",Однолинейка!$AI$3:$AI$3000,C372,Однолинейка!$A$3:$A$3000,Щит_спец)),IF(A372="Клемма",IF(C372="","",IF(C372=$S$7,SUMIFS(Однолинейка!$BW$3:$BW$3000,Однолинейка!$A$3:$A$3000,Щит_спец),IF(C372=$S$8,SUMIFS(Однолинейка!$BX$3:$BX$3000,Однолинейка!$A$3:$A$3000,Щит_спец),""))),""))))</f>
        <v/>
      </c>
      <c r="O372" s="74"/>
      <c r="P372" s="38" t="str">
        <f t="shared" si="45"/>
        <v/>
      </c>
      <c r="U372" s="38" t="str">
        <f t="shared" si="46"/>
        <v/>
      </c>
      <c r="V372" s="38" t="str">
        <f t="shared" si="47"/>
        <v/>
      </c>
      <c r="W372" s="38" t="str">
        <f>IF(AND(U372&lt;&gt;"",OR($S$4="(все)",B372=$S$4),IF($S$4="(все)",COUNTIF($U$4:U372,U372),COUNTIFS($U$4:U372,U372,$B$4:B372,B372))=1),MAX($W$3:W371)+1,"")</f>
        <v/>
      </c>
      <c r="X372" s="38" t="str">
        <f t="shared" si="48"/>
        <v/>
      </c>
      <c r="Y372" s="38" t="str">
        <f>IF(AND(A372="Аппарат",C372&lt;&gt;"",OR($S$5="(все)",B372=$S$5)),MAX($Y$3:Y371)+1,"")</f>
        <v/>
      </c>
      <c r="Z372" s="38" t="str">
        <f t="shared" si="49"/>
        <v/>
      </c>
      <c r="AA372" s="38" t="str">
        <f>IF(AND(A372="Модуль",C372&lt;&gt;"",OR($S$6="(все)",B372=$S$6)),MAX($AA$3:AA371)+1,"")</f>
        <v/>
      </c>
      <c r="AB372" s="38" t="str">
        <f t="shared" si="50"/>
        <v/>
      </c>
      <c r="AC372" s="38" t="str">
        <f>IF(OR(B372="",COUNTIF($B$4:B372,B372)&gt;1),"",MAX($AC$3:AC371)+1)</f>
        <v/>
      </c>
      <c r="AD372" s="38" t="str">
        <f t="shared" si="51"/>
        <v/>
      </c>
      <c r="AE372" s="38" t="str">
        <f t="shared" si="52"/>
        <v/>
      </c>
      <c r="AF372" s="38" t="str">
        <f t="shared" si="53"/>
        <v/>
      </c>
    </row>
    <row r="373" spans="1:32" x14ac:dyDescent="0.3">
      <c r="A373" s="74"/>
      <c r="B373" s="74"/>
      <c r="C373" s="74"/>
      <c r="D373" s="74"/>
      <c r="E373" s="74"/>
      <c r="F373" s="74"/>
      <c r="G373" s="74"/>
      <c r="H373" s="74"/>
      <c r="I373" s="74"/>
      <c r="J373" s="74"/>
      <c r="K373" s="74"/>
      <c r="L373" s="74"/>
      <c r="M373" s="74"/>
      <c r="N373" s="38" t="str">
        <f>IF(OR(A373="Автомат",A373="Дифавтомат"),IF(W373="","",COUNTIFS(Однолинейка!$H$3:$H$3000,U373,Однолинейка!$A$3:$A$3000,Щит_спец)),IF(A373="Аппарат",IF(C373="","",COUNTIFS(Однолинейка!$I$3:$I$3000,C373,Однолинейка!$A$3:$A$3000,Щит_спец)+COUNTIFS(Однолинейка!$J$3:$J$3000,C373,Однолинейка!$A$3:$A$3000,Щит_спец)+COUNTIFS(Однолинейка!$K$3:$K$3000,C373,Однолинейка!$A$3:$A$3000,Щит_спец)),IF(A373="Модуль",IF(C373="","",COUNTIFS(Однолинейка!$AW$3:$AW$3000,"?*",Однолинейка!$AI$3:$AI$3000,C373,Однолинейка!$A$3:$A$3000,Щит_спец)),IF(A373="Клемма",IF(C373="","",IF(C373=$S$7,SUMIFS(Однолинейка!$BW$3:$BW$3000,Однолинейка!$A$3:$A$3000,Щит_спец),IF(C373=$S$8,SUMIFS(Однолинейка!$BX$3:$BX$3000,Однолинейка!$A$3:$A$3000,Щит_спец),""))),""))))</f>
        <v/>
      </c>
      <c r="O373" s="74"/>
      <c r="P373" s="38" t="str">
        <f t="shared" si="45"/>
        <v/>
      </c>
      <c r="U373" s="38" t="str">
        <f t="shared" si="46"/>
        <v/>
      </c>
      <c r="V373" s="38" t="str">
        <f t="shared" si="47"/>
        <v/>
      </c>
      <c r="W373" s="38" t="str">
        <f>IF(AND(U373&lt;&gt;"",OR($S$4="(все)",B373=$S$4),IF($S$4="(все)",COUNTIF($U$4:U373,U373),COUNTIFS($U$4:U373,U373,$B$4:B373,B373))=1),MAX($W$3:W372)+1,"")</f>
        <v/>
      </c>
      <c r="X373" s="38" t="str">
        <f t="shared" si="48"/>
        <v/>
      </c>
      <c r="Y373" s="38" t="str">
        <f>IF(AND(A373="Аппарат",C373&lt;&gt;"",OR($S$5="(все)",B373=$S$5)),MAX($Y$3:Y372)+1,"")</f>
        <v/>
      </c>
      <c r="Z373" s="38" t="str">
        <f t="shared" si="49"/>
        <v/>
      </c>
      <c r="AA373" s="38" t="str">
        <f>IF(AND(A373="Модуль",C373&lt;&gt;"",OR($S$6="(все)",B373=$S$6)),MAX($AA$3:AA372)+1,"")</f>
        <v/>
      </c>
      <c r="AB373" s="38" t="str">
        <f t="shared" si="50"/>
        <v/>
      </c>
      <c r="AC373" s="38" t="str">
        <f>IF(OR(B373="",COUNTIF($B$4:B373,B373)&gt;1),"",MAX($AC$3:AC372)+1)</f>
        <v/>
      </c>
      <c r="AD373" s="38" t="str">
        <f t="shared" si="51"/>
        <v/>
      </c>
      <c r="AE373" s="38" t="str">
        <f t="shared" si="52"/>
        <v/>
      </c>
      <c r="AF373" s="38" t="str">
        <f t="shared" si="53"/>
        <v/>
      </c>
    </row>
    <row r="374" spans="1:32" x14ac:dyDescent="0.3">
      <c r="A374" s="74"/>
      <c r="B374" s="74"/>
      <c r="C374" s="74"/>
      <c r="D374" s="74"/>
      <c r="E374" s="74"/>
      <c r="F374" s="74"/>
      <c r="G374" s="74"/>
      <c r="H374" s="74"/>
      <c r="I374" s="74"/>
      <c r="J374" s="74"/>
      <c r="K374" s="74"/>
      <c r="L374" s="74"/>
      <c r="M374" s="74"/>
      <c r="N374" s="38" t="str">
        <f>IF(OR(A374="Автомат",A374="Дифавтомат"),IF(W374="","",COUNTIFS(Однолинейка!$H$3:$H$3000,U374,Однолинейка!$A$3:$A$3000,Щит_спец)),IF(A374="Аппарат",IF(C374="","",COUNTIFS(Однолинейка!$I$3:$I$3000,C374,Однолинейка!$A$3:$A$3000,Щит_спец)+COUNTIFS(Однолинейка!$J$3:$J$3000,C374,Однолинейка!$A$3:$A$3000,Щит_спец)+COUNTIFS(Однолинейка!$K$3:$K$3000,C374,Однолинейка!$A$3:$A$3000,Щит_спец)),IF(A374="Модуль",IF(C374="","",COUNTIFS(Однолинейка!$AW$3:$AW$3000,"?*",Однолинейка!$AI$3:$AI$3000,C374,Однолинейка!$A$3:$A$3000,Щит_спец)),IF(A374="Клемма",IF(C374="","",IF(C374=$S$7,SUMIFS(Однолинейка!$BW$3:$BW$3000,Однолинейка!$A$3:$A$3000,Щит_спец),IF(C374=$S$8,SUMIFS(Однолинейка!$BX$3:$BX$3000,Однолинейка!$A$3:$A$3000,Щит_спец),""))),""))))</f>
        <v/>
      </c>
      <c r="O374" s="74"/>
      <c r="P374" s="38" t="str">
        <f t="shared" si="45"/>
        <v/>
      </c>
      <c r="U374" s="38" t="str">
        <f t="shared" si="46"/>
        <v/>
      </c>
      <c r="V374" s="38" t="str">
        <f t="shared" si="47"/>
        <v/>
      </c>
      <c r="W374" s="38" t="str">
        <f>IF(AND(U374&lt;&gt;"",OR($S$4="(все)",B374=$S$4),IF($S$4="(все)",COUNTIF($U$4:U374,U374),COUNTIFS($U$4:U374,U374,$B$4:B374,B374))=1),MAX($W$3:W373)+1,"")</f>
        <v/>
      </c>
      <c r="X374" s="38" t="str">
        <f t="shared" si="48"/>
        <v/>
      </c>
      <c r="Y374" s="38" t="str">
        <f>IF(AND(A374="Аппарат",C374&lt;&gt;"",OR($S$5="(все)",B374=$S$5)),MAX($Y$3:Y373)+1,"")</f>
        <v/>
      </c>
      <c r="Z374" s="38" t="str">
        <f t="shared" si="49"/>
        <v/>
      </c>
      <c r="AA374" s="38" t="str">
        <f>IF(AND(A374="Модуль",C374&lt;&gt;"",OR($S$6="(все)",B374=$S$6)),MAX($AA$3:AA373)+1,"")</f>
        <v/>
      </c>
      <c r="AB374" s="38" t="str">
        <f t="shared" si="50"/>
        <v/>
      </c>
      <c r="AC374" s="38" t="str">
        <f>IF(OR(B374="",COUNTIF($B$4:B374,B374)&gt;1),"",MAX($AC$3:AC373)+1)</f>
        <v/>
      </c>
      <c r="AD374" s="38" t="str">
        <f t="shared" si="51"/>
        <v/>
      </c>
      <c r="AE374" s="38" t="str">
        <f t="shared" si="52"/>
        <v/>
      </c>
      <c r="AF374" s="38" t="str">
        <f t="shared" si="53"/>
        <v/>
      </c>
    </row>
    <row r="375" spans="1:32" x14ac:dyDescent="0.3">
      <c r="A375" s="74"/>
      <c r="B375" s="74"/>
      <c r="C375" s="74"/>
      <c r="D375" s="74"/>
      <c r="E375" s="74"/>
      <c r="F375" s="74"/>
      <c r="G375" s="74"/>
      <c r="H375" s="74"/>
      <c r="I375" s="74"/>
      <c r="J375" s="74"/>
      <c r="K375" s="74"/>
      <c r="L375" s="74"/>
      <c r="M375" s="74"/>
      <c r="N375" s="38" t="str">
        <f>IF(OR(A375="Автомат",A375="Дифавтомат"),IF(W375="","",COUNTIFS(Однолинейка!$H$3:$H$3000,U375,Однолинейка!$A$3:$A$3000,Щит_спец)),IF(A375="Аппарат",IF(C375="","",COUNTIFS(Однолинейка!$I$3:$I$3000,C375,Однолинейка!$A$3:$A$3000,Щит_спец)+COUNTIFS(Однолинейка!$J$3:$J$3000,C375,Однолинейка!$A$3:$A$3000,Щит_спец)+COUNTIFS(Однолинейка!$K$3:$K$3000,C375,Однолинейка!$A$3:$A$3000,Щит_спец)),IF(A375="Модуль",IF(C375="","",COUNTIFS(Однолинейка!$AW$3:$AW$3000,"?*",Однолинейка!$AI$3:$AI$3000,C375,Однолинейка!$A$3:$A$3000,Щит_спец)),IF(A375="Клемма",IF(C375="","",IF(C375=$S$7,SUMIFS(Однолинейка!$BW$3:$BW$3000,Однолинейка!$A$3:$A$3000,Щит_спец),IF(C375=$S$8,SUMIFS(Однолинейка!$BX$3:$BX$3000,Однолинейка!$A$3:$A$3000,Щит_спец),""))),""))))</f>
        <v/>
      </c>
      <c r="O375" s="74"/>
      <c r="P375" s="38" t="str">
        <f t="shared" si="45"/>
        <v/>
      </c>
      <c r="U375" s="38" t="str">
        <f t="shared" si="46"/>
        <v/>
      </c>
      <c r="V375" s="38" t="str">
        <f t="shared" si="47"/>
        <v/>
      </c>
      <c r="W375" s="38" t="str">
        <f>IF(AND(U375&lt;&gt;"",OR($S$4="(все)",B375=$S$4),IF($S$4="(все)",COUNTIF($U$4:U375,U375),COUNTIFS($U$4:U375,U375,$B$4:B375,B375))=1),MAX($W$3:W374)+1,"")</f>
        <v/>
      </c>
      <c r="X375" s="38" t="str">
        <f t="shared" si="48"/>
        <v/>
      </c>
      <c r="Y375" s="38" t="str">
        <f>IF(AND(A375="Аппарат",C375&lt;&gt;"",OR($S$5="(все)",B375=$S$5)),MAX($Y$3:Y374)+1,"")</f>
        <v/>
      </c>
      <c r="Z375" s="38" t="str">
        <f t="shared" si="49"/>
        <v/>
      </c>
      <c r="AA375" s="38" t="str">
        <f>IF(AND(A375="Модуль",C375&lt;&gt;"",OR($S$6="(все)",B375=$S$6)),MAX($AA$3:AA374)+1,"")</f>
        <v/>
      </c>
      <c r="AB375" s="38" t="str">
        <f t="shared" si="50"/>
        <v/>
      </c>
      <c r="AC375" s="38" t="str">
        <f>IF(OR(B375="",COUNTIF($B$4:B375,B375)&gt;1),"",MAX($AC$3:AC374)+1)</f>
        <v/>
      </c>
      <c r="AD375" s="38" t="str">
        <f t="shared" si="51"/>
        <v/>
      </c>
      <c r="AE375" s="38" t="str">
        <f t="shared" si="52"/>
        <v/>
      </c>
      <c r="AF375" s="38" t="str">
        <f t="shared" si="53"/>
        <v/>
      </c>
    </row>
    <row r="376" spans="1:32" x14ac:dyDescent="0.3">
      <c r="A376" s="74"/>
      <c r="B376" s="74"/>
      <c r="C376" s="74"/>
      <c r="D376" s="74"/>
      <c r="E376" s="74"/>
      <c r="F376" s="74"/>
      <c r="G376" s="74"/>
      <c r="H376" s="74"/>
      <c r="I376" s="74"/>
      <c r="J376" s="74"/>
      <c r="K376" s="74"/>
      <c r="L376" s="74"/>
      <c r="M376" s="74"/>
      <c r="N376" s="38" t="str">
        <f>IF(OR(A376="Автомат",A376="Дифавтомат"),IF(W376="","",COUNTIFS(Однолинейка!$H$3:$H$3000,U376,Однолинейка!$A$3:$A$3000,Щит_спец)),IF(A376="Аппарат",IF(C376="","",COUNTIFS(Однолинейка!$I$3:$I$3000,C376,Однолинейка!$A$3:$A$3000,Щит_спец)+COUNTIFS(Однолинейка!$J$3:$J$3000,C376,Однолинейка!$A$3:$A$3000,Щит_спец)+COUNTIFS(Однолинейка!$K$3:$K$3000,C376,Однолинейка!$A$3:$A$3000,Щит_спец)),IF(A376="Модуль",IF(C376="","",COUNTIFS(Однолинейка!$AW$3:$AW$3000,"?*",Однолинейка!$AI$3:$AI$3000,C376,Однолинейка!$A$3:$A$3000,Щит_спец)),IF(A376="Клемма",IF(C376="","",IF(C376=$S$7,SUMIFS(Однолинейка!$BW$3:$BW$3000,Однолинейка!$A$3:$A$3000,Щит_спец),IF(C376=$S$8,SUMIFS(Однолинейка!$BX$3:$BX$3000,Однолинейка!$A$3:$A$3000,Щит_спец),""))),""))))</f>
        <v/>
      </c>
      <c r="O376" s="74"/>
      <c r="P376" s="38" t="str">
        <f t="shared" si="45"/>
        <v/>
      </c>
      <c r="U376" s="38" t="str">
        <f t="shared" si="46"/>
        <v/>
      </c>
      <c r="V376" s="38" t="str">
        <f t="shared" si="47"/>
        <v/>
      </c>
      <c r="W376" s="38" t="str">
        <f>IF(AND(U376&lt;&gt;"",OR($S$4="(все)",B376=$S$4),IF($S$4="(все)",COUNTIF($U$4:U376,U376),COUNTIFS($U$4:U376,U376,$B$4:B376,B376))=1),MAX($W$3:W375)+1,"")</f>
        <v/>
      </c>
      <c r="X376" s="38" t="str">
        <f t="shared" si="48"/>
        <v/>
      </c>
      <c r="Y376" s="38" t="str">
        <f>IF(AND(A376="Аппарат",C376&lt;&gt;"",OR($S$5="(все)",B376=$S$5)),MAX($Y$3:Y375)+1,"")</f>
        <v/>
      </c>
      <c r="Z376" s="38" t="str">
        <f t="shared" si="49"/>
        <v/>
      </c>
      <c r="AA376" s="38" t="str">
        <f>IF(AND(A376="Модуль",C376&lt;&gt;"",OR($S$6="(все)",B376=$S$6)),MAX($AA$3:AA375)+1,"")</f>
        <v/>
      </c>
      <c r="AB376" s="38" t="str">
        <f t="shared" si="50"/>
        <v/>
      </c>
      <c r="AC376" s="38" t="str">
        <f>IF(OR(B376="",COUNTIF($B$4:B376,B376)&gt;1),"",MAX($AC$3:AC375)+1)</f>
        <v/>
      </c>
      <c r="AD376" s="38" t="str">
        <f t="shared" si="51"/>
        <v/>
      </c>
      <c r="AE376" s="38" t="str">
        <f t="shared" si="52"/>
        <v/>
      </c>
      <c r="AF376" s="38" t="str">
        <f t="shared" si="53"/>
        <v/>
      </c>
    </row>
    <row r="377" spans="1:32" x14ac:dyDescent="0.3">
      <c r="A377" s="74"/>
      <c r="B377" s="74"/>
      <c r="C377" s="74"/>
      <c r="D377" s="74"/>
      <c r="E377" s="74"/>
      <c r="F377" s="74"/>
      <c r="G377" s="74"/>
      <c r="H377" s="74"/>
      <c r="I377" s="74"/>
      <c r="J377" s="74"/>
      <c r="K377" s="74"/>
      <c r="L377" s="74"/>
      <c r="M377" s="74"/>
      <c r="N377" s="38" t="str">
        <f>IF(OR(A377="Автомат",A377="Дифавтомат"),IF(W377="","",COUNTIFS(Однолинейка!$H$3:$H$3000,U377,Однолинейка!$A$3:$A$3000,Щит_спец)),IF(A377="Аппарат",IF(C377="","",COUNTIFS(Однолинейка!$I$3:$I$3000,C377,Однолинейка!$A$3:$A$3000,Щит_спец)+COUNTIFS(Однолинейка!$J$3:$J$3000,C377,Однолинейка!$A$3:$A$3000,Щит_спец)+COUNTIFS(Однолинейка!$K$3:$K$3000,C377,Однолинейка!$A$3:$A$3000,Щит_спец)),IF(A377="Модуль",IF(C377="","",COUNTIFS(Однолинейка!$AW$3:$AW$3000,"?*",Однолинейка!$AI$3:$AI$3000,C377,Однолинейка!$A$3:$A$3000,Щит_спец)),IF(A377="Клемма",IF(C377="","",IF(C377=$S$7,SUMIFS(Однолинейка!$BW$3:$BW$3000,Однолинейка!$A$3:$A$3000,Щит_спец),IF(C377=$S$8,SUMIFS(Однолинейка!$BX$3:$BX$3000,Однолинейка!$A$3:$A$3000,Щит_спец),""))),""))))</f>
        <v/>
      </c>
      <c r="O377" s="74"/>
      <c r="P377" s="38" t="str">
        <f t="shared" si="45"/>
        <v/>
      </c>
      <c r="U377" s="38" t="str">
        <f t="shared" si="46"/>
        <v/>
      </c>
      <c r="V377" s="38" t="str">
        <f t="shared" si="47"/>
        <v/>
      </c>
      <c r="W377" s="38" t="str">
        <f>IF(AND(U377&lt;&gt;"",OR($S$4="(все)",B377=$S$4),IF($S$4="(все)",COUNTIF($U$4:U377,U377),COUNTIFS($U$4:U377,U377,$B$4:B377,B377))=1),MAX($W$3:W376)+1,"")</f>
        <v/>
      </c>
      <c r="X377" s="38" t="str">
        <f t="shared" si="48"/>
        <v/>
      </c>
      <c r="Y377" s="38" t="str">
        <f>IF(AND(A377="Аппарат",C377&lt;&gt;"",OR($S$5="(все)",B377=$S$5)),MAX($Y$3:Y376)+1,"")</f>
        <v/>
      </c>
      <c r="Z377" s="38" t="str">
        <f t="shared" si="49"/>
        <v/>
      </c>
      <c r="AA377" s="38" t="str">
        <f>IF(AND(A377="Модуль",C377&lt;&gt;"",OR($S$6="(все)",B377=$S$6)),MAX($AA$3:AA376)+1,"")</f>
        <v/>
      </c>
      <c r="AB377" s="38" t="str">
        <f t="shared" si="50"/>
        <v/>
      </c>
      <c r="AC377" s="38" t="str">
        <f>IF(OR(B377="",COUNTIF($B$4:B377,B377)&gt;1),"",MAX($AC$3:AC376)+1)</f>
        <v/>
      </c>
      <c r="AD377" s="38" t="str">
        <f t="shared" si="51"/>
        <v/>
      </c>
      <c r="AE377" s="38" t="str">
        <f t="shared" si="52"/>
        <v/>
      </c>
      <c r="AF377" s="38" t="str">
        <f t="shared" si="53"/>
        <v/>
      </c>
    </row>
    <row r="378" spans="1:32" x14ac:dyDescent="0.3">
      <c r="A378" s="74"/>
      <c r="B378" s="74"/>
      <c r="C378" s="74"/>
      <c r="D378" s="74"/>
      <c r="E378" s="74"/>
      <c r="F378" s="74"/>
      <c r="G378" s="74"/>
      <c r="H378" s="74"/>
      <c r="I378" s="74"/>
      <c r="J378" s="74"/>
      <c r="K378" s="74"/>
      <c r="L378" s="74"/>
      <c r="M378" s="74"/>
      <c r="N378" s="38" t="str">
        <f>IF(OR(A378="Автомат",A378="Дифавтомат"),IF(W378="","",COUNTIFS(Однолинейка!$H$3:$H$3000,U378,Однолинейка!$A$3:$A$3000,Щит_спец)),IF(A378="Аппарат",IF(C378="","",COUNTIFS(Однолинейка!$I$3:$I$3000,C378,Однолинейка!$A$3:$A$3000,Щит_спец)+COUNTIFS(Однолинейка!$J$3:$J$3000,C378,Однолинейка!$A$3:$A$3000,Щит_спец)+COUNTIFS(Однолинейка!$K$3:$K$3000,C378,Однолинейка!$A$3:$A$3000,Щит_спец)),IF(A378="Модуль",IF(C378="","",COUNTIFS(Однолинейка!$AW$3:$AW$3000,"?*",Однолинейка!$AI$3:$AI$3000,C378,Однолинейка!$A$3:$A$3000,Щит_спец)),IF(A378="Клемма",IF(C378="","",IF(C378=$S$7,SUMIFS(Однолинейка!$BW$3:$BW$3000,Однолинейка!$A$3:$A$3000,Щит_спец),IF(C378=$S$8,SUMIFS(Однолинейка!$BX$3:$BX$3000,Однолинейка!$A$3:$A$3000,Щит_спец),""))),""))))</f>
        <v/>
      </c>
      <c r="O378" s="74"/>
      <c r="P378" s="38" t="str">
        <f t="shared" si="45"/>
        <v/>
      </c>
      <c r="U378" s="38" t="str">
        <f t="shared" si="46"/>
        <v/>
      </c>
      <c r="V378" s="38" t="str">
        <f t="shared" si="47"/>
        <v/>
      </c>
      <c r="W378" s="38" t="str">
        <f>IF(AND(U378&lt;&gt;"",OR($S$4="(все)",B378=$S$4),IF($S$4="(все)",COUNTIF($U$4:U378,U378),COUNTIFS($U$4:U378,U378,$B$4:B378,B378))=1),MAX($W$3:W377)+1,"")</f>
        <v/>
      </c>
      <c r="X378" s="38" t="str">
        <f t="shared" si="48"/>
        <v/>
      </c>
      <c r="Y378" s="38" t="str">
        <f>IF(AND(A378="Аппарат",C378&lt;&gt;"",OR($S$5="(все)",B378=$S$5)),MAX($Y$3:Y377)+1,"")</f>
        <v/>
      </c>
      <c r="Z378" s="38" t="str">
        <f t="shared" si="49"/>
        <v/>
      </c>
      <c r="AA378" s="38" t="str">
        <f>IF(AND(A378="Модуль",C378&lt;&gt;"",OR($S$6="(все)",B378=$S$6)),MAX($AA$3:AA377)+1,"")</f>
        <v/>
      </c>
      <c r="AB378" s="38" t="str">
        <f t="shared" si="50"/>
        <v/>
      </c>
      <c r="AC378" s="38" t="str">
        <f>IF(OR(B378="",COUNTIF($B$4:B378,B378)&gt;1),"",MAX($AC$3:AC377)+1)</f>
        <v/>
      </c>
      <c r="AD378" s="38" t="str">
        <f t="shared" si="51"/>
        <v/>
      </c>
      <c r="AE378" s="38" t="str">
        <f t="shared" si="52"/>
        <v/>
      </c>
      <c r="AF378" s="38" t="str">
        <f t="shared" si="53"/>
        <v/>
      </c>
    </row>
    <row r="379" spans="1:32" x14ac:dyDescent="0.3">
      <c r="A379" s="74"/>
      <c r="B379" s="74"/>
      <c r="C379" s="74"/>
      <c r="D379" s="74"/>
      <c r="E379" s="74"/>
      <c r="F379" s="74"/>
      <c r="G379" s="74"/>
      <c r="H379" s="74"/>
      <c r="I379" s="74"/>
      <c r="J379" s="74"/>
      <c r="K379" s="74"/>
      <c r="L379" s="74"/>
      <c r="M379" s="74"/>
      <c r="N379" s="38" t="str">
        <f>IF(OR(A379="Автомат",A379="Дифавтомат"),IF(W379="","",COUNTIFS(Однолинейка!$H$3:$H$3000,U379,Однолинейка!$A$3:$A$3000,Щит_спец)),IF(A379="Аппарат",IF(C379="","",COUNTIFS(Однолинейка!$I$3:$I$3000,C379,Однолинейка!$A$3:$A$3000,Щит_спец)+COUNTIFS(Однолинейка!$J$3:$J$3000,C379,Однолинейка!$A$3:$A$3000,Щит_спец)+COUNTIFS(Однолинейка!$K$3:$K$3000,C379,Однолинейка!$A$3:$A$3000,Щит_спец)),IF(A379="Модуль",IF(C379="","",COUNTIFS(Однолинейка!$AW$3:$AW$3000,"?*",Однолинейка!$AI$3:$AI$3000,C379,Однолинейка!$A$3:$A$3000,Щит_спец)),IF(A379="Клемма",IF(C379="","",IF(C379=$S$7,SUMIFS(Однолинейка!$BW$3:$BW$3000,Однолинейка!$A$3:$A$3000,Щит_спец),IF(C379=$S$8,SUMIFS(Однолинейка!$BX$3:$BX$3000,Однолинейка!$A$3:$A$3000,Щит_спец),""))),""))))</f>
        <v/>
      </c>
      <c r="O379" s="74"/>
      <c r="P379" s="38" t="str">
        <f t="shared" si="45"/>
        <v/>
      </c>
      <c r="U379" s="38" t="str">
        <f t="shared" si="46"/>
        <v/>
      </c>
      <c r="V379" s="38" t="str">
        <f t="shared" si="47"/>
        <v/>
      </c>
      <c r="W379" s="38" t="str">
        <f>IF(AND(U379&lt;&gt;"",OR($S$4="(все)",B379=$S$4),IF($S$4="(все)",COUNTIF($U$4:U379,U379),COUNTIFS($U$4:U379,U379,$B$4:B379,B379))=1),MAX($W$3:W378)+1,"")</f>
        <v/>
      </c>
      <c r="X379" s="38" t="str">
        <f t="shared" si="48"/>
        <v/>
      </c>
      <c r="Y379" s="38" t="str">
        <f>IF(AND(A379="Аппарат",C379&lt;&gt;"",OR($S$5="(все)",B379=$S$5)),MAX($Y$3:Y378)+1,"")</f>
        <v/>
      </c>
      <c r="Z379" s="38" t="str">
        <f t="shared" si="49"/>
        <v/>
      </c>
      <c r="AA379" s="38" t="str">
        <f>IF(AND(A379="Модуль",C379&lt;&gt;"",OR($S$6="(все)",B379=$S$6)),MAX($AA$3:AA378)+1,"")</f>
        <v/>
      </c>
      <c r="AB379" s="38" t="str">
        <f t="shared" si="50"/>
        <v/>
      </c>
      <c r="AC379" s="38" t="str">
        <f>IF(OR(B379="",COUNTIF($B$4:B379,B379)&gt;1),"",MAX($AC$3:AC378)+1)</f>
        <v/>
      </c>
      <c r="AD379" s="38" t="str">
        <f t="shared" si="51"/>
        <v/>
      </c>
      <c r="AE379" s="38" t="str">
        <f t="shared" si="52"/>
        <v/>
      </c>
      <c r="AF379" s="38" t="str">
        <f t="shared" si="53"/>
        <v/>
      </c>
    </row>
    <row r="380" spans="1:32" x14ac:dyDescent="0.3">
      <c r="A380" s="74"/>
      <c r="B380" s="74"/>
      <c r="C380" s="74"/>
      <c r="D380" s="74"/>
      <c r="E380" s="74"/>
      <c r="F380" s="74"/>
      <c r="G380" s="74"/>
      <c r="H380" s="74"/>
      <c r="I380" s="74"/>
      <c r="J380" s="74"/>
      <c r="K380" s="74"/>
      <c r="L380" s="74"/>
      <c r="M380" s="74"/>
      <c r="N380" s="38" t="str">
        <f>IF(OR(A380="Автомат",A380="Дифавтомат"),IF(W380="","",COUNTIFS(Однолинейка!$H$3:$H$3000,U380,Однолинейка!$A$3:$A$3000,Щит_спец)),IF(A380="Аппарат",IF(C380="","",COUNTIFS(Однолинейка!$I$3:$I$3000,C380,Однолинейка!$A$3:$A$3000,Щит_спец)+COUNTIFS(Однолинейка!$J$3:$J$3000,C380,Однолинейка!$A$3:$A$3000,Щит_спец)+COUNTIFS(Однолинейка!$K$3:$K$3000,C380,Однолинейка!$A$3:$A$3000,Щит_спец)),IF(A380="Модуль",IF(C380="","",COUNTIFS(Однолинейка!$AW$3:$AW$3000,"?*",Однолинейка!$AI$3:$AI$3000,C380,Однолинейка!$A$3:$A$3000,Щит_спец)),IF(A380="Клемма",IF(C380="","",IF(C380=$S$7,SUMIFS(Однолинейка!$BW$3:$BW$3000,Однолинейка!$A$3:$A$3000,Щит_спец),IF(C380=$S$8,SUMIFS(Однолинейка!$BX$3:$BX$3000,Однолинейка!$A$3:$A$3000,Щит_спец),""))),""))))</f>
        <v/>
      </c>
      <c r="O380" s="74"/>
      <c r="P380" s="38" t="str">
        <f t="shared" si="45"/>
        <v/>
      </c>
      <c r="U380" s="38" t="str">
        <f t="shared" si="46"/>
        <v/>
      </c>
      <c r="V380" s="38" t="str">
        <f t="shared" si="47"/>
        <v/>
      </c>
      <c r="W380" s="38" t="str">
        <f>IF(AND(U380&lt;&gt;"",OR($S$4="(все)",B380=$S$4),IF($S$4="(все)",COUNTIF($U$4:U380,U380),COUNTIFS($U$4:U380,U380,$B$4:B380,B380))=1),MAX($W$3:W379)+1,"")</f>
        <v/>
      </c>
      <c r="X380" s="38" t="str">
        <f t="shared" si="48"/>
        <v/>
      </c>
      <c r="Y380" s="38" t="str">
        <f>IF(AND(A380="Аппарат",C380&lt;&gt;"",OR($S$5="(все)",B380=$S$5)),MAX($Y$3:Y379)+1,"")</f>
        <v/>
      </c>
      <c r="Z380" s="38" t="str">
        <f t="shared" si="49"/>
        <v/>
      </c>
      <c r="AA380" s="38" t="str">
        <f>IF(AND(A380="Модуль",C380&lt;&gt;"",OR($S$6="(все)",B380=$S$6)),MAX($AA$3:AA379)+1,"")</f>
        <v/>
      </c>
      <c r="AB380" s="38" t="str">
        <f t="shared" si="50"/>
        <v/>
      </c>
      <c r="AC380" s="38" t="str">
        <f>IF(OR(B380="",COUNTIF($B$4:B380,B380)&gt;1),"",MAX($AC$3:AC379)+1)</f>
        <v/>
      </c>
      <c r="AD380" s="38" t="str">
        <f t="shared" si="51"/>
        <v/>
      </c>
      <c r="AE380" s="38" t="str">
        <f t="shared" si="52"/>
        <v/>
      </c>
      <c r="AF380" s="38" t="str">
        <f t="shared" si="53"/>
        <v/>
      </c>
    </row>
    <row r="381" spans="1:32" x14ac:dyDescent="0.3">
      <c r="A381" s="74"/>
      <c r="B381" s="74"/>
      <c r="C381" s="74"/>
      <c r="D381" s="74"/>
      <c r="E381" s="74"/>
      <c r="F381" s="74"/>
      <c r="G381" s="74"/>
      <c r="H381" s="74"/>
      <c r="I381" s="74"/>
      <c r="J381" s="74"/>
      <c r="K381" s="74"/>
      <c r="L381" s="74"/>
      <c r="M381" s="74"/>
      <c r="N381" s="38" t="str">
        <f>IF(OR(A381="Автомат",A381="Дифавтомат"),IF(W381="","",COUNTIFS(Однолинейка!$H$3:$H$3000,U381,Однолинейка!$A$3:$A$3000,Щит_спец)),IF(A381="Аппарат",IF(C381="","",COUNTIFS(Однолинейка!$I$3:$I$3000,C381,Однолинейка!$A$3:$A$3000,Щит_спец)+COUNTIFS(Однолинейка!$J$3:$J$3000,C381,Однолинейка!$A$3:$A$3000,Щит_спец)+COUNTIFS(Однолинейка!$K$3:$K$3000,C381,Однолинейка!$A$3:$A$3000,Щит_спец)),IF(A381="Модуль",IF(C381="","",COUNTIFS(Однолинейка!$AW$3:$AW$3000,"?*",Однолинейка!$AI$3:$AI$3000,C381,Однолинейка!$A$3:$A$3000,Щит_спец)),IF(A381="Клемма",IF(C381="","",IF(C381=$S$7,SUMIFS(Однолинейка!$BW$3:$BW$3000,Однолинейка!$A$3:$A$3000,Щит_спец),IF(C381=$S$8,SUMIFS(Однолинейка!$BX$3:$BX$3000,Однолинейка!$A$3:$A$3000,Щит_спец),""))),""))))</f>
        <v/>
      </c>
      <c r="O381" s="74"/>
      <c r="P381" s="38" t="str">
        <f t="shared" si="45"/>
        <v/>
      </c>
      <c r="U381" s="38" t="str">
        <f t="shared" si="46"/>
        <v/>
      </c>
      <c r="V381" s="38" t="str">
        <f t="shared" si="47"/>
        <v/>
      </c>
      <c r="W381" s="38" t="str">
        <f>IF(AND(U381&lt;&gt;"",OR($S$4="(все)",B381=$S$4),IF($S$4="(все)",COUNTIF($U$4:U381,U381),COUNTIFS($U$4:U381,U381,$B$4:B381,B381))=1),MAX($W$3:W380)+1,"")</f>
        <v/>
      </c>
      <c r="X381" s="38" t="str">
        <f t="shared" si="48"/>
        <v/>
      </c>
      <c r="Y381" s="38" t="str">
        <f>IF(AND(A381="Аппарат",C381&lt;&gt;"",OR($S$5="(все)",B381=$S$5)),MAX($Y$3:Y380)+1,"")</f>
        <v/>
      </c>
      <c r="Z381" s="38" t="str">
        <f t="shared" si="49"/>
        <v/>
      </c>
      <c r="AA381" s="38" t="str">
        <f>IF(AND(A381="Модуль",C381&lt;&gt;"",OR($S$6="(все)",B381=$S$6)),MAX($AA$3:AA380)+1,"")</f>
        <v/>
      </c>
      <c r="AB381" s="38" t="str">
        <f t="shared" si="50"/>
        <v/>
      </c>
      <c r="AC381" s="38" t="str">
        <f>IF(OR(B381="",COUNTIF($B$4:B381,B381)&gt;1),"",MAX($AC$3:AC380)+1)</f>
        <v/>
      </c>
      <c r="AD381" s="38" t="str">
        <f t="shared" si="51"/>
        <v/>
      </c>
      <c r="AE381" s="38" t="str">
        <f t="shared" si="52"/>
        <v/>
      </c>
      <c r="AF381" s="38" t="str">
        <f t="shared" si="53"/>
        <v/>
      </c>
    </row>
    <row r="382" spans="1:32" x14ac:dyDescent="0.3">
      <c r="A382" s="74"/>
      <c r="B382" s="74"/>
      <c r="C382" s="74"/>
      <c r="D382" s="74"/>
      <c r="E382" s="74"/>
      <c r="F382" s="74"/>
      <c r="G382" s="74"/>
      <c r="H382" s="74"/>
      <c r="I382" s="74"/>
      <c r="J382" s="74"/>
      <c r="K382" s="74"/>
      <c r="L382" s="74"/>
      <c r="M382" s="74"/>
      <c r="N382" s="38" t="str">
        <f>IF(OR(A382="Автомат",A382="Дифавтомат"),IF(W382="","",COUNTIFS(Однолинейка!$H$3:$H$3000,U382,Однолинейка!$A$3:$A$3000,Щит_спец)),IF(A382="Аппарат",IF(C382="","",COUNTIFS(Однолинейка!$I$3:$I$3000,C382,Однолинейка!$A$3:$A$3000,Щит_спец)+COUNTIFS(Однолинейка!$J$3:$J$3000,C382,Однолинейка!$A$3:$A$3000,Щит_спец)+COUNTIFS(Однолинейка!$K$3:$K$3000,C382,Однолинейка!$A$3:$A$3000,Щит_спец)),IF(A382="Модуль",IF(C382="","",COUNTIFS(Однолинейка!$AW$3:$AW$3000,"?*",Однолинейка!$AI$3:$AI$3000,C382,Однолинейка!$A$3:$A$3000,Щит_спец)),IF(A382="Клемма",IF(C382="","",IF(C382=$S$7,SUMIFS(Однолинейка!$BW$3:$BW$3000,Однолинейка!$A$3:$A$3000,Щит_спец),IF(C382=$S$8,SUMIFS(Однолинейка!$BX$3:$BX$3000,Однолинейка!$A$3:$A$3000,Щит_спец),""))),""))))</f>
        <v/>
      </c>
      <c r="O382" s="74"/>
      <c r="P382" s="38" t="str">
        <f t="shared" si="45"/>
        <v/>
      </c>
      <c r="U382" s="38" t="str">
        <f t="shared" si="46"/>
        <v/>
      </c>
      <c r="V382" s="38" t="str">
        <f t="shared" si="47"/>
        <v/>
      </c>
      <c r="W382" s="38" t="str">
        <f>IF(AND(U382&lt;&gt;"",OR($S$4="(все)",B382=$S$4),IF($S$4="(все)",COUNTIF($U$4:U382,U382),COUNTIFS($U$4:U382,U382,$B$4:B382,B382))=1),MAX($W$3:W381)+1,"")</f>
        <v/>
      </c>
      <c r="X382" s="38" t="str">
        <f t="shared" si="48"/>
        <v/>
      </c>
      <c r="Y382" s="38" t="str">
        <f>IF(AND(A382="Аппарат",C382&lt;&gt;"",OR($S$5="(все)",B382=$S$5)),MAX($Y$3:Y381)+1,"")</f>
        <v/>
      </c>
      <c r="Z382" s="38" t="str">
        <f t="shared" si="49"/>
        <v/>
      </c>
      <c r="AA382" s="38" t="str">
        <f>IF(AND(A382="Модуль",C382&lt;&gt;"",OR($S$6="(все)",B382=$S$6)),MAX($AA$3:AA381)+1,"")</f>
        <v/>
      </c>
      <c r="AB382" s="38" t="str">
        <f t="shared" si="50"/>
        <v/>
      </c>
      <c r="AC382" s="38" t="str">
        <f>IF(OR(B382="",COUNTIF($B$4:B382,B382)&gt;1),"",MAX($AC$3:AC381)+1)</f>
        <v/>
      </c>
      <c r="AD382" s="38" t="str">
        <f t="shared" si="51"/>
        <v/>
      </c>
      <c r="AE382" s="38" t="str">
        <f t="shared" si="52"/>
        <v/>
      </c>
      <c r="AF382" s="38" t="str">
        <f t="shared" si="53"/>
        <v/>
      </c>
    </row>
    <row r="383" spans="1:32" x14ac:dyDescent="0.3">
      <c r="A383" s="74"/>
      <c r="B383" s="74"/>
      <c r="C383" s="74"/>
      <c r="D383" s="74"/>
      <c r="E383" s="74"/>
      <c r="F383" s="74"/>
      <c r="G383" s="74"/>
      <c r="H383" s="74"/>
      <c r="I383" s="74"/>
      <c r="J383" s="74"/>
      <c r="K383" s="74"/>
      <c r="L383" s="74"/>
      <c r="M383" s="74"/>
      <c r="N383" s="38" t="str">
        <f>IF(OR(A383="Автомат",A383="Дифавтомат"),IF(W383="","",COUNTIFS(Однолинейка!$H$3:$H$3000,U383,Однолинейка!$A$3:$A$3000,Щит_спец)),IF(A383="Аппарат",IF(C383="","",COUNTIFS(Однолинейка!$I$3:$I$3000,C383,Однолинейка!$A$3:$A$3000,Щит_спец)+COUNTIFS(Однолинейка!$J$3:$J$3000,C383,Однолинейка!$A$3:$A$3000,Щит_спец)+COUNTIFS(Однолинейка!$K$3:$K$3000,C383,Однолинейка!$A$3:$A$3000,Щит_спец)),IF(A383="Модуль",IF(C383="","",COUNTIFS(Однолинейка!$AW$3:$AW$3000,"?*",Однолинейка!$AI$3:$AI$3000,C383,Однолинейка!$A$3:$A$3000,Щит_спец)),IF(A383="Клемма",IF(C383="","",IF(C383=$S$7,SUMIFS(Однолинейка!$BW$3:$BW$3000,Однолинейка!$A$3:$A$3000,Щит_спец),IF(C383=$S$8,SUMIFS(Однолинейка!$BX$3:$BX$3000,Однолинейка!$A$3:$A$3000,Щит_спец),""))),""))))</f>
        <v/>
      </c>
      <c r="O383" s="74"/>
      <c r="P383" s="38" t="str">
        <f t="shared" si="45"/>
        <v/>
      </c>
      <c r="U383" s="38" t="str">
        <f t="shared" si="46"/>
        <v/>
      </c>
      <c r="V383" s="38" t="str">
        <f t="shared" si="47"/>
        <v/>
      </c>
      <c r="W383" s="38" t="str">
        <f>IF(AND(U383&lt;&gt;"",OR($S$4="(все)",B383=$S$4),IF($S$4="(все)",COUNTIF($U$4:U383,U383),COUNTIFS($U$4:U383,U383,$B$4:B383,B383))=1),MAX($W$3:W382)+1,"")</f>
        <v/>
      </c>
      <c r="X383" s="38" t="str">
        <f t="shared" si="48"/>
        <v/>
      </c>
      <c r="Y383" s="38" t="str">
        <f>IF(AND(A383="Аппарат",C383&lt;&gt;"",OR($S$5="(все)",B383=$S$5)),MAX($Y$3:Y382)+1,"")</f>
        <v/>
      </c>
      <c r="Z383" s="38" t="str">
        <f t="shared" si="49"/>
        <v/>
      </c>
      <c r="AA383" s="38" t="str">
        <f>IF(AND(A383="Модуль",C383&lt;&gt;"",OR($S$6="(все)",B383=$S$6)),MAX($AA$3:AA382)+1,"")</f>
        <v/>
      </c>
      <c r="AB383" s="38" t="str">
        <f t="shared" si="50"/>
        <v/>
      </c>
      <c r="AC383" s="38" t="str">
        <f>IF(OR(B383="",COUNTIF($B$4:B383,B383)&gt;1),"",MAX($AC$3:AC382)+1)</f>
        <v/>
      </c>
      <c r="AD383" s="38" t="str">
        <f t="shared" si="51"/>
        <v/>
      </c>
      <c r="AE383" s="38" t="str">
        <f t="shared" si="52"/>
        <v/>
      </c>
      <c r="AF383" s="38" t="str">
        <f t="shared" si="53"/>
        <v/>
      </c>
    </row>
    <row r="384" spans="1:32" x14ac:dyDescent="0.3">
      <c r="A384" s="74"/>
      <c r="B384" s="74"/>
      <c r="C384" s="74"/>
      <c r="D384" s="74"/>
      <c r="E384" s="74"/>
      <c r="F384" s="74"/>
      <c r="G384" s="74"/>
      <c r="H384" s="74"/>
      <c r="I384" s="74"/>
      <c r="J384" s="74"/>
      <c r="K384" s="74"/>
      <c r="L384" s="74"/>
      <c r="M384" s="74"/>
      <c r="N384" s="38" t="str">
        <f>IF(OR(A384="Автомат",A384="Дифавтомат"),IF(W384="","",COUNTIFS(Однолинейка!$H$3:$H$3000,U384,Однолинейка!$A$3:$A$3000,Щит_спец)),IF(A384="Аппарат",IF(C384="","",COUNTIFS(Однолинейка!$I$3:$I$3000,C384,Однолинейка!$A$3:$A$3000,Щит_спец)+COUNTIFS(Однолинейка!$J$3:$J$3000,C384,Однолинейка!$A$3:$A$3000,Щит_спец)+COUNTIFS(Однолинейка!$K$3:$K$3000,C384,Однолинейка!$A$3:$A$3000,Щит_спец)),IF(A384="Модуль",IF(C384="","",COUNTIFS(Однолинейка!$AW$3:$AW$3000,"?*",Однолинейка!$AI$3:$AI$3000,C384,Однолинейка!$A$3:$A$3000,Щит_спец)),IF(A384="Клемма",IF(C384="","",IF(C384=$S$7,SUMIFS(Однолинейка!$BW$3:$BW$3000,Однолинейка!$A$3:$A$3000,Щит_спец),IF(C384=$S$8,SUMIFS(Однолинейка!$BX$3:$BX$3000,Однолинейка!$A$3:$A$3000,Щит_спец),""))),""))))</f>
        <v/>
      </c>
      <c r="O384" s="74"/>
      <c r="P384" s="38" t="str">
        <f t="shared" si="45"/>
        <v/>
      </c>
      <c r="U384" s="38" t="str">
        <f t="shared" si="46"/>
        <v/>
      </c>
      <c r="V384" s="38" t="str">
        <f t="shared" si="47"/>
        <v/>
      </c>
      <c r="W384" s="38" t="str">
        <f>IF(AND(U384&lt;&gt;"",OR($S$4="(все)",B384=$S$4),IF($S$4="(все)",COUNTIF($U$4:U384,U384),COUNTIFS($U$4:U384,U384,$B$4:B384,B384))=1),MAX($W$3:W383)+1,"")</f>
        <v/>
      </c>
      <c r="X384" s="38" t="str">
        <f t="shared" si="48"/>
        <v/>
      </c>
      <c r="Y384" s="38" t="str">
        <f>IF(AND(A384="Аппарат",C384&lt;&gt;"",OR($S$5="(все)",B384=$S$5)),MAX($Y$3:Y383)+1,"")</f>
        <v/>
      </c>
      <c r="Z384" s="38" t="str">
        <f t="shared" si="49"/>
        <v/>
      </c>
      <c r="AA384" s="38" t="str">
        <f>IF(AND(A384="Модуль",C384&lt;&gt;"",OR($S$6="(все)",B384=$S$6)),MAX($AA$3:AA383)+1,"")</f>
        <v/>
      </c>
      <c r="AB384" s="38" t="str">
        <f t="shared" si="50"/>
        <v/>
      </c>
      <c r="AC384" s="38" t="str">
        <f>IF(OR(B384="",COUNTIF($B$4:B384,B384)&gt;1),"",MAX($AC$3:AC383)+1)</f>
        <v/>
      </c>
      <c r="AD384" s="38" t="str">
        <f t="shared" si="51"/>
        <v/>
      </c>
      <c r="AE384" s="38" t="str">
        <f t="shared" si="52"/>
        <v/>
      </c>
      <c r="AF384" s="38" t="str">
        <f t="shared" si="53"/>
        <v/>
      </c>
    </row>
    <row r="385" spans="1:32" x14ac:dyDescent="0.3">
      <c r="A385" s="74"/>
      <c r="B385" s="74"/>
      <c r="C385" s="74"/>
      <c r="D385" s="74"/>
      <c r="E385" s="74"/>
      <c r="F385" s="74"/>
      <c r="G385" s="74"/>
      <c r="H385" s="74"/>
      <c r="I385" s="74"/>
      <c r="J385" s="74"/>
      <c r="K385" s="74"/>
      <c r="L385" s="74"/>
      <c r="M385" s="74"/>
      <c r="N385" s="38" t="str">
        <f>IF(OR(A385="Автомат",A385="Дифавтомат"),IF(W385="","",COUNTIFS(Однолинейка!$H$3:$H$3000,U385,Однолинейка!$A$3:$A$3000,Щит_спец)),IF(A385="Аппарат",IF(C385="","",COUNTIFS(Однолинейка!$I$3:$I$3000,C385,Однолинейка!$A$3:$A$3000,Щит_спец)+COUNTIFS(Однолинейка!$J$3:$J$3000,C385,Однолинейка!$A$3:$A$3000,Щит_спец)+COUNTIFS(Однолинейка!$K$3:$K$3000,C385,Однолинейка!$A$3:$A$3000,Щит_спец)),IF(A385="Модуль",IF(C385="","",COUNTIFS(Однолинейка!$AW$3:$AW$3000,"?*",Однолинейка!$AI$3:$AI$3000,C385,Однолинейка!$A$3:$A$3000,Щит_спец)),IF(A385="Клемма",IF(C385="","",IF(C385=$S$7,SUMIFS(Однолинейка!$BW$3:$BW$3000,Однолинейка!$A$3:$A$3000,Щит_спец),IF(C385=$S$8,SUMIFS(Однолинейка!$BX$3:$BX$3000,Однолинейка!$A$3:$A$3000,Щит_спец),""))),""))))</f>
        <v/>
      </c>
      <c r="O385" s="74"/>
      <c r="P385" s="38" t="str">
        <f t="shared" si="45"/>
        <v/>
      </c>
      <c r="U385" s="38" t="str">
        <f t="shared" si="46"/>
        <v/>
      </c>
      <c r="V385" s="38" t="str">
        <f t="shared" si="47"/>
        <v/>
      </c>
      <c r="W385" s="38" t="str">
        <f>IF(AND(U385&lt;&gt;"",OR($S$4="(все)",B385=$S$4),IF($S$4="(все)",COUNTIF($U$4:U385,U385),COUNTIFS($U$4:U385,U385,$B$4:B385,B385))=1),MAX($W$3:W384)+1,"")</f>
        <v/>
      </c>
      <c r="X385" s="38" t="str">
        <f t="shared" si="48"/>
        <v/>
      </c>
      <c r="Y385" s="38" t="str">
        <f>IF(AND(A385="Аппарат",C385&lt;&gt;"",OR($S$5="(все)",B385=$S$5)),MAX($Y$3:Y384)+1,"")</f>
        <v/>
      </c>
      <c r="Z385" s="38" t="str">
        <f t="shared" si="49"/>
        <v/>
      </c>
      <c r="AA385" s="38" t="str">
        <f>IF(AND(A385="Модуль",C385&lt;&gt;"",OR($S$6="(все)",B385=$S$6)),MAX($AA$3:AA384)+1,"")</f>
        <v/>
      </c>
      <c r="AB385" s="38" t="str">
        <f t="shared" si="50"/>
        <v/>
      </c>
      <c r="AC385" s="38" t="str">
        <f>IF(OR(B385="",COUNTIF($B$4:B385,B385)&gt;1),"",MAX($AC$3:AC384)+1)</f>
        <v/>
      </c>
      <c r="AD385" s="38" t="str">
        <f t="shared" si="51"/>
        <v/>
      </c>
      <c r="AE385" s="38" t="str">
        <f t="shared" si="52"/>
        <v/>
      </c>
      <c r="AF385" s="38" t="str">
        <f t="shared" si="53"/>
        <v/>
      </c>
    </row>
    <row r="386" spans="1:32" x14ac:dyDescent="0.3">
      <c r="A386" s="74"/>
      <c r="B386" s="74"/>
      <c r="C386" s="74"/>
      <c r="D386" s="74"/>
      <c r="E386" s="74"/>
      <c r="F386" s="74"/>
      <c r="G386" s="74"/>
      <c r="H386" s="74"/>
      <c r="I386" s="74"/>
      <c r="J386" s="74"/>
      <c r="K386" s="74"/>
      <c r="L386" s="74"/>
      <c r="M386" s="74"/>
      <c r="N386" s="38" t="str">
        <f>IF(OR(A386="Автомат",A386="Дифавтомат"),IF(W386="","",COUNTIFS(Однолинейка!$H$3:$H$3000,U386,Однолинейка!$A$3:$A$3000,Щит_спец)),IF(A386="Аппарат",IF(C386="","",COUNTIFS(Однолинейка!$I$3:$I$3000,C386,Однолинейка!$A$3:$A$3000,Щит_спец)+COUNTIFS(Однолинейка!$J$3:$J$3000,C386,Однолинейка!$A$3:$A$3000,Щит_спец)+COUNTIFS(Однолинейка!$K$3:$K$3000,C386,Однолинейка!$A$3:$A$3000,Щит_спец)),IF(A386="Модуль",IF(C386="","",COUNTIFS(Однолинейка!$AW$3:$AW$3000,"?*",Однолинейка!$AI$3:$AI$3000,C386,Однолинейка!$A$3:$A$3000,Щит_спец)),IF(A386="Клемма",IF(C386="","",IF(C386=$S$7,SUMIFS(Однолинейка!$BW$3:$BW$3000,Однолинейка!$A$3:$A$3000,Щит_спец),IF(C386=$S$8,SUMIFS(Однолинейка!$BX$3:$BX$3000,Однолинейка!$A$3:$A$3000,Щит_спец),""))),""))))</f>
        <v/>
      </c>
      <c r="O386" s="74"/>
      <c r="P386" s="38" t="str">
        <f t="shared" si="45"/>
        <v/>
      </c>
      <c r="U386" s="38" t="str">
        <f t="shared" si="46"/>
        <v/>
      </c>
      <c r="V386" s="38" t="str">
        <f t="shared" si="47"/>
        <v/>
      </c>
      <c r="W386" s="38" t="str">
        <f>IF(AND(U386&lt;&gt;"",OR($S$4="(все)",B386=$S$4),IF($S$4="(все)",COUNTIF($U$4:U386,U386),COUNTIFS($U$4:U386,U386,$B$4:B386,B386))=1),MAX($W$3:W385)+1,"")</f>
        <v/>
      </c>
      <c r="X386" s="38" t="str">
        <f t="shared" si="48"/>
        <v/>
      </c>
      <c r="Y386" s="38" t="str">
        <f>IF(AND(A386="Аппарат",C386&lt;&gt;"",OR($S$5="(все)",B386=$S$5)),MAX($Y$3:Y385)+1,"")</f>
        <v/>
      </c>
      <c r="Z386" s="38" t="str">
        <f t="shared" si="49"/>
        <v/>
      </c>
      <c r="AA386" s="38" t="str">
        <f>IF(AND(A386="Модуль",C386&lt;&gt;"",OR($S$6="(все)",B386=$S$6)),MAX($AA$3:AA385)+1,"")</f>
        <v/>
      </c>
      <c r="AB386" s="38" t="str">
        <f t="shared" si="50"/>
        <v/>
      </c>
      <c r="AC386" s="38" t="str">
        <f>IF(OR(B386="",COUNTIF($B$4:B386,B386)&gt;1),"",MAX($AC$3:AC385)+1)</f>
        <v/>
      </c>
      <c r="AD386" s="38" t="str">
        <f t="shared" si="51"/>
        <v/>
      </c>
      <c r="AE386" s="38" t="str">
        <f t="shared" si="52"/>
        <v/>
      </c>
      <c r="AF386" s="38" t="str">
        <f t="shared" si="53"/>
        <v/>
      </c>
    </row>
    <row r="387" spans="1:32" x14ac:dyDescent="0.3">
      <c r="A387" s="74"/>
      <c r="B387" s="74"/>
      <c r="C387" s="74"/>
      <c r="D387" s="74"/>
      <c r="E387" s="74"/>
      <c r="F387" s="74"/>
      <c r="G387" s="74"/>
      <c r="H387" s="74"/>
      <c r="I387" s="74"/>
      <c r="J387" s="74"/>
      <c r="K387" s="74"/>
      <c r="L387" s="74"/>
      <c r="M387" s="74"/>
      <c r="N387" s="38" t="str">
        <f>IF(OR(A387="Автомат",A387="Дифавтомат"),IF(W387="","",COUNTIFS(Однолинейка!$H$3:$H$3000,U387,Однолинейка!$A$3:$A$3000,Щит_спец)),IF(A387="Аппарат",IF(C387="","",COUNTIFS(Однолинейка!$I$3:$I$3000,C387,Однолинейка!$A$3:$A$3000,Щит_спец)+COUNTIFS(Однолинейка!$J$3:$J$3000,C387,Однолинейка!$A$3:$A$3000,Щит_спец)+COUNTIFS(Однолинейка!$K$3:$K$3000,C387,Однолинейка!$A$3:$A$3000,Щит_спец)),IF(A387="Модуль",IF(C387="","",COUNTIFS(Однолинейка!$AW$3:$AW$3000,"?*",Однолинейка!$AI$3:$AI$3000,C387,Однолинейка!$A$3:$A$3000,Щит_спец)),IF(A387="Клемма",IF(C387="","",IF(C387=$S$7,SUMIFS(Однолинейка!$BW$3:$BW$3000,Однолинейка!$A$3:$A$3000,Щит_спец),IF(C387=$S$8,SUMIFS(Однолинейка!$BX$3:$BX$3000,Однолинейка!$A$3:$A$3000,Щит_спец),""))),""))))</f>
        <v/>
      </c>
      <c r="O387" s="74"/>
      <c r="P387" s="38" t="str">
        <f t="shared" si="45"/>
        <v/>
      </c>
      <c r="U387" s="38" t="str">
        <f t="shared" si="46"/>
        <v/>
      </c>
      <c r="V387" s="38" t="str">
        <f t="shared" si="47"/>
        <v/>
      </c>
      <c r="W387" s="38" t="str">
        <f>IF(AND(U387&lt;&gt;"",OR($S$4="(все)",B387=$S$4),IF($S$4="(все)",COUNTIF($U$4:U387,U387),COUNTIFS($U$4:U387,U387,$B$4:B387,B387))=1),MAX($W$3:W386)+1,"")</f>
        <v/>
      </c>
      <c r="X387" s="38" t="str">
        <f t="shared" si="48"/>
        <v/>
      </c>
      <c r="Y387" s="38" t="str">
        <f>IF(AND(A387="Аппарат",C387&lt;&gt;"",OR($S$5="(все)",B387=$S$5)),MAX($Y$3:Y386)+1,"")</f>
        <v/>
      </c>
      <c r="Z387" s="38" t="str">
        <f t="shared" si="49"/>
        <v/>
      </c>
      <c r="AA387" s="38" t="str">
        <f>IF(AND(A387="Модуль",C387&lt;&gt;"",OR($S$6="(все)",B387=$S$6)),MAX($AA$3:AA386)+1,"")</f>
        <v/>
      </c>
      <c r="AB387" s="38" t="str">
        <f t="shared" si="50"/>
        <v/>
      </c>
      <c r="AC387" s="38" t="str">
        <f>IF(OR(B387="",COUNTIF($B$4:B387,B387)&gt;1),"",MAX($AC$3:AC386)+1)</f>
        <v/>
      </c>
      <c r="AD387" s="38" t="str">
        <f t="shared" si="51"/>
        <v/>
      </c>
      <c r="AE387" s="38" t="str">
        <f t="shared" si="52"/>
        <v/>
      </c>
      <c r="AF387" s="38" t="str">
        <f t="shared" si="53"/>
        <v/>
      </c>
    </row>
    <row r="388" spans="1:32" x14ac:dyDescent="0.3">
      <c r="A388" s="74"/>
      <c r="B388" s="74"/>
      <c r="C388" s="74"/>
      <c r="D388" s="74"/>
      <c r="E388" s="74"/>
      <c r="F388" s="74"/>
      <c r="G388" s="74"/>
      <c r="H388" s="74"/>
      <c r="I388" s="74"/>
      <c r="J388" s="74"/>
      <c r="K388" s="74"/>
      <c r="L388" s="74"/>
      <c r="M388" s="74"/>
      <c r="N388" s="38" t="str">
        <f>IF(OR(A388="Автомат",A388="Дифавтомат"),IF(W388="","",COUNTIFS(Однолинейка!$H$3:$H$3000,U388,Однолинейка!$A$3:$A$3000,Щит_спец)),IF(A388="Аппарат",IF(C388="","",COUNTIFS(Однолинейка!$I$3:$I$3000,C388,Однолинейка!$A$3:$A$3000,Щит_спец)+COUNTIFS(Однолинейка!$J$3:$J$3000,C388,Однолинейка!$A$3:$A$3000,Щит_спец)+COUNTIFS(Однолинейка!$K$3:$K$3000,C388,Однолинейка!$A$3:$A$3000,Щит_спец)),IF(A388="Модуль",IF(C388="","",COUNTIFS(Однолинейка!$AW$3:$AW$3000,"?*",Однолинейка!$AI$3:$AI$3000,C388,Однолинейка!$A$3:$A$3000,Щит_спец)),IF(A388="Клемма",IF(C388="","",IF(C388=$S$7,SUMIFS(Однолинейка!$BW$3:$BW$3000,Однолинейка!$A$3:$A$3000,Щит_спец),IF(C388=$S$8,SUMIFS(Однолинейка!$BX$3:$BX$3000,Однолинейка!$A$3:$A$3000,Щит_спец),""))),""))))</f>
        <v/>
      </c>
      <c r="O388" s="74"/>
      <c r="P388" s="38" t="str">
        <f t="shared" ref="P388:P451" si="54">IF(COUNT(N388,O388)=0,"",SUM(N388,O388))</f>
        <v/>
      </c>
      <c r="U388" s="38" t="str">
        <f t="shared" ref="U388:U451" si="55">IF(OR(A388="Автомат",A388="Дифавтомат"),I388&amp;" С"&amp;J388&amp;"А"&amp;IF(K388="да"," 30мА",IF(ISNUMBER(K388)," "&amp;K388&amp;"мА","")),"")</f>
        <v/>
      </c>
      <c r="V388" s="38" t="str">
        <f t="shared" ref="V388:V451" si="56">IF(U388="","",B388&amp;"|"&amp;U388)</f>
        <v/>
      </c>
      <c r="W388" s="38" t="str">
        <f>IF(AND(U388&lt;&gt;"",OR($S$4="(все)",B388=$S$4),IF($S$4="(все)",COUNTIF($U$4:U388,U388),COUNTIFS($U$4:U388,U388,$B$4:B388,B388))=1),MAX($W$3:W387)+1,"")</f>
        <v/>
      </c>
      <c r="X388" s="38" t="str">
        <f t="shared" ref="X388:X451" si="57">IFERROR(INDEX($U$4:$U$500,MATCH(ROW()-3,$W$4:$W$500,0)),"")</f>
        <v/>
      </c>
      <c r="Y388" s="38" t="str">
        <f>IF(AND(A388="Аппарат",C388&lt;&gt;"",OR($S$5="(все)",B388=$S$5)),MAX($Y$3:Y387)+1,"")</f>
        <v/>
      </c>
      <c r="Z388" s="38" t="str">
        <f t="shared" ref="Z388:Z451" si="58">IFERROR(INDEX($C$4:$C$500,MATCH(ROW()-3,$Y$4:$Y$500,0)),"")</f>
        <v/>
      </c>
      <c r="AA388" s="38" t="str">
        <f>IF(AND(A388="Модуль",C388&lt;&gt;"",OR($S$6="(все)",B388=$S$6)),MAX($AA$3:AA387)+1,"")</f>
        <v/>
      </c>
      <c r="AB388" s="38" t="str">
        <f t="shared" ref="AB388:AB451" si="59">IFERROR(INDEX($C$4:$C$500,MATCH(ROW()-3,$AA$4:$AA$500,0)),"")</f>
        <v/>
      </c>
      <c r="AC388" s="38" t="str">
        <f>IF(OR(B388="",COUNTIF($B$4:B388,B388)&gt;1),"",MAX($AC$3:AC387)+1)</f>
        <v/>
      </c>
      <c r="AD388" s="38" t="str">
        <f t="shared" ref="AD388:AD451" si="60">IFERROR(INDEX($B$4:$B$500,MATCH(ROW()-3,$AC$4:$AC$500,0)),"")</f>
        <v/>
      </c>
      <c r="AE388" s="38" t="str">
        <f t="shared" ref="AE388:AE451" si="61">IF(AND(A388&lt;&gt;"",N(P388)&gt;0),IFERROR(MATCH(A388,$R$12:$R$25,0),99)*1000+ROW(),"")</f>
        <v/>
      </c>
      <c r="AF388" s="38" t="str">
        <f t="shared" ref="AF388:AF451" si="62">IF(AE388="","",COUNTIF($AE$4:$AE$500,"&lt;="&amp;AE388))</f>
        <v/>
      </c>
    </row>
    <row r="389" spans="1:32" x14ac:dyDescent="0.3">
      <c r="A389" s="74"/>
      <c r="B389" s="74"/>
      <c r="C389" s="74"/>
      <c r="D389" s="74"/>
      <c r="E389" s="74"/>
      <c r="F389" s="74"/>
      <c r="G389" s="74"/>
      <c r="H389" s="74"/>
      <c r="I389" s="74"/>
      <c r="J389" s="74"/>
      <c r="K389" s="74"/>
      <c r="L389" s="74"/>
      <c r="M389" s="74"/>
      <c r="N389" s="38" t="str">
        <f>IF(OR(A389="Автомат",A389="Дифавтомат"),IF(W389="","",COUNTIFS(Однолинейка!$H$3:$H$3000,U389,Однолинейка!$A$3:$A$3000,Щит_спец)),IF(A389="Аппарат",IF(C389="","",COUNTIFS(Однолинейка!$I$3:$I$3000,C389,Однолинейка!$A$3:$A$3000,Щит_спец)+COUNTIFS(Однолинейка!$J$3:$J$3000,C389,Однолинейка!$A$3:$A$3000,Щит_спец)+COUNTIFS(Однолинейка!$K$3:$K$3000,C389,Однолинейка!$A$3:$A$3000,Щит_спец)),IF(A389="Модуль",IF(C389="","",COUNTIFS(Однолинейка!$AW$3:$AW$3000,"?*",Однолинейка!$AI$3:$AI$3000,C389,Однолинейка!$A$3:$A$3000,Щит_спец)),IF(A389="Клемма",IF(C389="","",IF(C389=$S$7,SUMIFS(Однолинейка!$BW$3:$BW$3000,Однолинейка!$A$3:$A$3000,Щит_спец),IF(C389=$S$8,SUMIFS(Однолинейка!$BX$3:$BX$3000,Однолинейка!$A$3:$A$3000,Щит_спец),""))),""))))</f>
        <v/>
      </c>
      <c r="O389" s="74"/>
      <c r="P389" s="38" t="str">
        <f t="shared" si="54"/>
        <v/>
      </c>
      <c r="U389" s="38" t="str">
        <f t="shared" si="55"/>
        <v/>
      </c>
      <c r="V389" s="38" t="str">
        <f t="shared" si="56"/>
        <v/>
      </c>
      <c r="W389" s="38" t="str">
        <f>IF(AND(U389&lt;&gt;"",OR($S$4="(все)",B389=$S$4),IF($S$4="(все)",COUNTIF($U$4:U389,U389),COUNTIFS($U$4:U389,U389,$B$4:B389,B389))=1),MAX($W$3:W388)+1,"")</f>
        <v/>
      </c>
      <c r="X389" s="38" t="str">
        <f t="shared" si="57"/>
        <v/>
      </c>
      <c r="Y389" s="38" t="str">
        <f>IF(AND(A389="Аппарат",C389&lt;&gt;"",OR($S$5="(все)",B389=$S$5)),MAX($Y$3:Y388)+1,"")</f>
        <v/>
      </c>
      <c r="Z389" s="38" t="str">
        <f t="shared" si="58"/>
        <v/>
      </c>
      <c r="AA389" s="38" t="str">
        <f>IF(AND(A389="Модуль",C389&lt;&gt;"",OR($S$6="(все)",B389=$S$6)),MAX($AA$3:AA388)+1,"")</f>
        <v/>
      </c>
      <c r="AB389" s="38" t="str">
        <f t="shared" si="59"/>
        <v/>
      </c>
      <c r="AC389" s="38" t="str">
        <f>IF(OR(B389="",COUNTIF($B$4:B389,B389)&gt;1),"",MAX($AC$3:AC388)+1)</f>
        <v/>
      </c>
      <c r="AD389" s="38" t="str">
        <f t="shared" si="60"/>
        <v/>
      </c>
      <c r="AE389" s="38" t="str">
        <f t="shared" si="61"/>
        <v/>
      </c>
      <c r="AF389" s="38" t="str">
        <f t="shared" si="62"/>
        <v/>
      </c>
    </row>
    <row r="390" spans="1:32" x14ac:dyDescent="0.3">
      <c r="A390" s="74"/>
      <c r="B390" s="74"/>
      <c r="C390" s="74"/>
      <c r="D390" s="74"/>
      <c r="E390" s="74"/>
      <c r="F390" s="74"/>
      <c r="G390" s="74"/>
      <c r="H390" s="74"/>
      <c r="I390" s="74"/>
      <c r="J390" s="74"/>
      <c r="K390" s="74"/>
      <c r="L390" s="74"/>
      <c r="M390" s="74"/>
      <c r="N390" s="38" t="str">
        <f>IF(OR(A390="Автомат",A390="Дифавтомат"),IF(W390="","",COUNTIFS(Однолинейка!$H$3:$H$3000,U390,Однолинейка!$A$3:$A$3000,Щит_спец)),IF(A390="Аппарат",IF(C390="","",COUNTIFS(Однолинейка!$I$3:$I$3000,C390,Однолинейка!$A$3:$A$3000,Щит_спец)+COUNTIFS(Однолинейка!$J$3:$J$3000,C390,Однолинейка!$A$3:$A$3000,Щит_спец)+COUNTIFS(Однолинейка!$K$3:$K$3000,C390,Однолинейка!$A$3:$A$3000,Щит_спец)),IF(A390="Модуль",IF(C390="","",COUNTIFS(Однолинейка!$AW$3:$AW$3000,"?*",Однолинейка!$AI$3:$AI$3000,C390,Однолинейка!$A$3:$A$3000,Щит_спец)),IF(A390="Клемма",IF(C390="","",IF(C390=$S$7,SUMIFS(Однолинейка!$BW$3:$BW$3000,Однолинейка!$A$3:$A$3000,Щит_спец),IF(C390=$S$8,SUMIFS(Однолинейка!$BX$3:$BX$3000,Однолинейка!$A$3:$A$3000,Щит_спец),""))),""))))</f>
        <v/>
      </c>
      <c r="O390" s="74"/>
      <c r="P390" s="38" t="str">
        <f t="shared" si="54"/>
        <v/>
      </c>
      <c r="U390" s="38" t="str">
        <f t="shared" si="55"/>
        <v/>
      </c>
      <c r="V390" s="38" t="str">
        <f t="shared" si="56"/>
        <v/>
      </c>
      <c r="W390" s="38" t="str">
        <f>IF(AND(U390&lt;&gt;"",OR($S$4="(все)",B390=$S$4),IF($S$4="(все)",COUNTIF($U$4:U390,U390),COUNTIFS($U$4:U390,U390,$B$4:B390,B390))=1),MAX($W$3:W389)+1,"")</f>
        <v/>
      </c>
      <c r="X390" s="38" t="str">
        <f t="shared" si="57"/>
        <v/>
      </c>
      <c r="Y390" s="38" t="str">
        <f>IF(AND(A390="Аппарат",C390&lt;&gt;"",OR($S$5="(все)",B390=$S$5)),MAX($Y$3:Y389)+1,"")</f>
        <v/>
      </c>
      <c r="Z390" s="38" t="str">
        <f t="shared" si="58"/>
        <v/>
      </c>
      <c r="AA390" s="38" t="str">
        <f>IF(AND(A390="Модуль",C390&lt;&gt;"",OR($S$6="(все)",B390=$S$6)),MAX($AA$3:AA389)+1,"")</f>
        <v/>
      </c>
      <c r="AB390" s="38" t="str">
        <f t="shared" si="59"/>
        <v/>
      </c>
      <c r="AC390" s="38" t="str">
        <f>IF(OR(B390="",COUNTIF($B$4:B390,B390)&gt;1),"",MAX($AC$3:AC389)+1)</f>
        <v/>
      </c>
      <c r="AD390" s="38" t="str">
        <f t="shared" si="60"/>
        <v/>
      </c>
      <c r="AE390" s="38" t="str">
        <f t="shared" si="61"/>
        <v/>
      </c>
      <c r="AF390" s="38" t="str">
        <f t="shared" si="62"/>
        <v/>
      </c>
    </row>
    <row r="391" spans="1:32" x14ac:dyDescent="0.3">
      <c r="A391" s="74"/>
      <c r="B391" s="74"/>
      <c r="C391" s="74"/>
      <c r="D391" s="74"/>
      <c r="E391" s="74"/>
      <c r="F391" s="74"/>
      <c r="G391" s="74"/>
      <c r="H391" s="74"/>
      <c r="I391" s="74"/>
      <c r="J391" s="74"/>
      <c r="K391" s="74"/>
      <c r="L391" s="74"/>
      <c r="M391" s="74"/>
      <c r="N391" s="38" t="str">
        <f>IF(OR(A391="Автомат",A391="Дифавтомат"),IF(W391="","",COUNTIFS(Однолинейка!$H$3:$H$3000,U391,Однолинейка!$A$3:$A$3000,Щит_спец)),IF(A391="Аппарат",IF(C391="","",COUNTIFS(Однолинейка!$I$3:$I$3000,C391,Однолинейка!$A$3:$A$3000,Щит_спец)+COUNTIFS(Однолинейка!$J$3:$J$3000,C391,Однолинейка!$A$3:$A$3000,Щит_спец)+COUNTIFS(Однолинейка!$K$3:$K$3000,C391,Однолинейка!$A$3:$A$3000,Щит_спец)),IF(A391="Модуль",IF(C391="","",COUNTIFS(Однолинейка!$AW$3:$AW$3000,"?*",Однолинейка!$AI$3:$AI$3000,C391,Однолинейка!$A$3:$A$3000,Щит_спец)),IF(A391="Клемма",IF(C391="","",IF(C391=$S$7,SUMIFS(Однолинейка!$BW$3:$BW$3000,Однолинейка!$A$3:$A$3000,Щит_спец),IF(C391=$S$8,SUMIFS(Однолинейка!$BX$3:$BX$3000,Однолинейка!$A$3:$A$3000,Щит_спец),""))),""))))</f>
        <v/>
      </c>
      <c r="O391" s="74"/>
      <c r="P391" s="38" t="str">
        <f t="shared" si="54"/>
        <v/>
      </c>
      <c r="U391" s="38" t="str">
        <f t="shared" si="55"/>
        <v/>
      </c>
      <c r="V391" s="38" t="str">
        <f t="shared" si="56"/>
        <v/>
      </c>
      <c r="W391" s="38" t="str">
        <f>IF(AND(U391&lt;&gt;"",OR($S$4="(все)",B391=$S$4),IF($S$4="(все)",COUNTIF($U$4:U391,U391),COUNTIFS($U$4:U391,U391,$B$4:B391,B391))=1),MAX($W$3:W390)+1,"")</f>
        <v/>
      </c>
      <c r="X391" s="38" t="str">
        <f t="shared" si="57"/>
        <v/>
      </c>
      <c r="Y391" s="38" t="str">
        <f>IF(AND(A391="Аппарат",C391&lt;&gt;"",OR($S$5="(все)",B391=$S$5)),MAX($Y$3:Y390)+1,"")</f>
        <v/>
      </c>
      <c r="Z391" s="38" t="str">
        <f t="shared" si="58"/>
        <v/>
      </c>
      <c r="AA391" s="38" t="str">
        <f>IF(AND(A391="Модуль",C391&lt;&gt;"",OR($S$6="(все)",B391=$S$6)),MAX($AA$3:AA390)+1,"")</f>
        <v/>
      </c>
      <c r="AB391" s="38" t="str">
        <f t="shared" si="59"/>
        <v/>
      </c>
      <c r="AC391" s="38" t="str">
        <f>IF(OR(B391="",COUNTIF($B$4:B391,B391)&gt;1),"",MAX($AC$3:AC390)+1)</f>
        <v/>
      </c>
      <c r="AD391" s="38" t="str">
        <f t="shared" si="60"/>
        <v/>
      </c>
      <c r="AE391" s="38" t="str">
        <f t="shared" si="61"/>
        <v/>
      </c>
      <c r="AF391" s="38" t="str">
        <f t="shared" si="62"/>
        <v/>
      </c>
    </row>
    <row r="392" spans="1:32" x14ac:dyDescent="0.3">
      <c r="A392" s="74"/>
      <c r="B392" s="74"/>
      <c r="C392" s="74"/>
      <c r="D392" s="74"/>
      <c r="E392" s="74"/>
      <c r="F392" s="74"/>
      <c r="G392" s="74"/>
      <c r="H392" s="74"/>
      <c r="I392" s="74"/>
      <c r="J392" s="74"/>
      <c r="K392" s="74"/>
      <c r="L392" s="74"/>
      <c r="M392" s="74"/>
      <c r="N392" s="38" t="str">
        <f>IF(OR(A392="Автомат",A392="Дифавтомат"),IF(W392="","",COUNTIFS(Однолинейка!$H$3:$H$3000,U392,Однолинейка!$A$3:$A$3000,Щит_спец)),IF(A392="Аппарат",IF(C392="","",COUNTIFS(Однолинейка!$I$3:$I$3000,C392,Однолинейка!$A$3:$A$3000,Щит_спец)+COUNTIFS(Однолинейка!$J$3:$J$3000,C392,Однолинейка!$A$3:$A$3000,Щит_спец)+COUNTIFS(Однолинейка!$K$3:$K$3000,C392,Однолинейка!$A$3:$A$3000,Щит_спец)),IF(A392="Модуль",IF(C392="","",COUNTIFS(Однолинейка!$AW$3:$AW$3000,"?*",Однолинейка!$AI$3:$AI$3000,C392,Однолинейка!$A$3:$A$3000,Щит_спец)),IF(A392="Клемма",IF(C392="","",IF(C392=$S$7,SUMIFS(Однолинейка!$BW$3:$BW$3000,Однолинейка!$A$3:$A$3000,Щит_спец),IF(C392=$S$8,SUMIFS(Однолинейка!$BX$3:$BX$3000,Однолинейка!$A$3:$A$3000,Щит_спец),""))),""))))</f>
        <v/>
      </c>
      <c r="O392" s="74"/>
      <c r="P392" s="38" t="str">
        <f t="shared" si="54"/>
        <v/>
      </c>
      <c r="U392" s="38" t="str">
        <f t="shared" si="55"/>
        <v/>
      </c>
      <c r="V392" s="38" t="str">
        <f t="shared" si="56"/>
        <v/>
      </c>
      <c r="W392" s="38" t="str">
        <f>IF(AND(U392&lt;&gt;"",OR($S$4="(все)",B392=$S$4),IF($S$4="(все)",COUNTIF($U$4:U392,U392),COUNTIFS($U$4:U392,U392,$B$4:B392,B392))=1),MAX($W$3:W391)+1,"")</f>
        <v/>
      </c>
      <c r="X392" s="38" t="str">
        <f t="shared" si="57"/>
        <v/>
      </c>
      <c r="Y392" s="38" t="str">
        <f>IF(AND(A392="Аппарат",C392&lt;&gt;"",OR($S$5="(все)",B392=$S$5)),MAX($Y$3:Y391)+1,"")</f>
        <v/>
      </c>
      <c r="Z392" s="38" t="str">
        <f t="shared" si="58"/>
        <v/>
      </c>
      <c r="AA392" s="38" t="str">
        <f>IF(AND(A392="Модуль",C392&lt;&gt;"",OR($S$6="(все)",B392=$S$6)),MAX($AA$3:AA391)+1,"")</f>
        <v/>
      </c>
      <c r="AB392" s="38" t="str">
        <f t="shared" si="59"/>
        <v/>
      </c>
      <c r="AC392" s="38" t="str">
        <f>IF(OR(B392="",COUNTIF($B$4:B392,B392)&gt;1),"",MAX($AC$3:AC391)+1)</f>
        <v/>
      </c>
      <c r="AD392" s="38" t="str">
        <f t="shared" si="60"/>
        <v/>
      </c>
      <c r="AE392" s="38" t="str">
        <f t="shared" si="61"/>
        <v/>
      </c>
      <c r="AF392" s="38" t="str">
        <f t="shared" si="62"/>
        <v/>
      </c>
    </row>
    <row r="393" spans="1:32" x14ac:dyDescent="0.3">
      <c r="A393" s="74"/>
      <c r="B393" s="74"/>
      <c r="C393" s="74"/>
      <c r="D393" s="74"/>
      <c r="E393" s="74"/>
      <c r="F393" s="74"/>
      <c r="G393" s="74"/>
      <c r="H393" s="74"/>
      <c r="I393" s="74"/>
      <c r="J393" s="74"/>
      <c r="K393" s="74"/>
      <c r="L393" s="74"/>
      <c r="M393" s="74"/>
      <c r="N393" s="38" t="str">
        <f>IF(OR(A393="Автомат",A393="Дифавтомат"),IF(W393="","",COUNTIFS(Однолинейка!$H$3:$H$3000,U393,Однолинейка!$A$3:$A$3000,Щит_спец)),IF(A393="Аппарат",IF(C393="","",COUNTIFS(Однолинейка!$I$3:$I$3000,C393,Однолинейка!$A$3:$A$3000,Щит_спец)+COUNTIFS(Однолинейка!$J$3:$J$3000,C393,Однолинейка!$A$3:$A$3000,Щит_спец)+COUNTIFS(Однолинейка!$K$3:$K$3000,C393,Однолинейка!$A$3:$A$3000,Щит_спец)),IF(A393="Модуль",IF(C393="","",COUNTIFS(Однолинейка!$AW$3:$AW$3000,"?*",Однолинейка!$AI$3:$AI$3000,C393,Однолинейка!$A$3:$A$3000,Щит_спец)),IF(A393="Клемма",IF(C393="","",IF(C393=$S$7,SUMIFS(Однолинейка!$BW$3:$BW$3000,Однолинейка!$A$3:$A$3000,Щит_спец),IF(C393=$S$8,SUMIFS(Однолинейка!$BX$3:$BX$3000,Однолинейка!$A$3:$A$3000,Щит_спец),""))),""))))</f>
        <v/>
      </c>
      <c r="O393" s="74"/>
      <c r="P393" s="38" t="str">
        <f t="shared" si="54"/>
        <v/>
      </c>
      <c r="U393" s="38" t="str">
        <f t="shared" si="55"/>
        <v/>
      </c>
      <c r="V393" s="38" t="str">
        <f t="shared" si="56"/>
        <v/>
      </c>
      <c r="W393" s="38" t="str">
        <f>IF(AND(U393&lt;&gt;"",OR($S$4="(все)",B393=$S$4),IF($S$4="(все)",COUNTIF($U$4:U393,U393),COUNTIFS($U$4:U393,U393,$B$4:B393,B393))=1),MAX($W$3:W392)+1,"")</f>
        <v/>
      </c>
      <c r="X393" s="38" t="str">
        <f t="shared" si="57"/>
        <v/>
      </c>
      <c r="Y393" s="38" t="str">
        <f>IF(AND(A393="Аппарат",C393&lt;&gt;"",OR($S$5="(все)",B393=$S$5)),MAX($Y$3:Y392)+1,"")</f>
        <v/>
      </c>
      <c r="Z393" s="38" t="str">
        <f t="shared" si="58"/>
        <v/>
      </c>
      <c r="AA393" s="38" t="str">
        <f>IF(AND(A393="Модуль",C393&lt;&gt;"",OR($S$6="(все)",B393=$S$6)),MAX($AA$3:AA392)+1,"")</f>
        <v/>
      </c>
      <c r="AB393" s="38" t="str">
        <f t="shared" si="59"/>
        <v/>
      </c>
      <c r="AC393" s="38" t="str">
        <f>IF(OR(B393="",COUNTIF($B$4:B393,B393)&gt;1),"",MAX($AC$3:AC392)+1)</f>
        <v/>
      </c>
      <c r="AD393" s="38" t="str">
        <f t="shared" si="60"/>
        <v/>
      </c>
      <c r="AE393" s="38" t="str">
        <f t="shared" si="61"/>
        <v/>
      </c>
      <c r="AF393" s="38" t="str">
        <f t="shared" si="62"/>
        <v/>
      </c>
    </row>
    <row r="394" spans="1:32" x14ac:dyDescent="0.3">
      <c r="A394" s="74"/>
      <c r="B394" s="74"/>
      <c r="C394" s="74"/>
      <c r="D394" s="74"/>
      <c r="E394" s="74"/>
      <c r="F394" s="74"/>
      <c r="G394" s="74"/>
      <c r="H394" s="74"/>
      <c r="I394" s="74"/>
      <c r="J394" s="74"/>
      <c r="K394" s="74"/>
      <c r="L394" s="74"/>
      <c r="M394" s="74"/>
      <c r="N394" s="38" t="str">
        <f>IF(OR(A394="Автомат",A394="Дифавтомат"),IF(W394="","",COUNTIFS(Однолинейка!$H$3:$H$3000,U394,Однолинейка!$A$3:$A$3000,Щит_спец)),IF(A394="Аппарат",IF(C394="","",COUNTIFS(Однолинейка!$I$3:$I$3000,C394,Однолинейка!$A$3:$A$3000,Щит_спец)+COUNTIFS(Однолинейка!$J$3:$J$3000,C394,Однолинейка!$A$3:$A$3000,Щит_спец)+COUNTIFS(Однолинейка!$K$3:$K$3000,C394,Однолинейка!$A$3:$A$3000,Щит_спец)),IF(A394="Модуль",IF(C394="","",COUNTIFS(Однолинейка!$AW$3:$AW$3000,"?*",Однолинейка!$AI$3:$AI$3000,C394,Однолинейка!$A$3:$A$3000,Щит_спец)),IF(A394="Клемма",IF(C394="","",IF(C394=$S$7,SUMIFS(Однолинейка!$BW$3:$BW$3000,Однолинейка!$A$3:$A$3000,Щит_спец),IF(C394=$S$8,SUMIFS(Однолинейка!$BX$3:$BX$3000,Однолинейка!$A$3:$A$3000,Щит_спец),""))),""))))</f>
        <v/>
      </c>
      <c r="O394" s="74"/>
      <c r="P394" s="38" t="str">
        <f t="shared" si="54"/>
        <v/>
      </c>
      <c r="U394" s="38" t="str">
        <f t="shared" si="55"/>
        <v/>
      </c>
      <c r="V394" s="38" t="str">
        <f t="shared" si="56"/>
        <v/>
      </c>
      <c r="W394" s="38" t="str">
        <f>IF(AND(U394&lt;&gt;"",OR($S$4="(все)",B394=$S$4),IF($S$4="(все)",COUNTIF($U$4:U394,U394),COUNTIFS($U$4:U394,U394,$B$4:B394,B394))=1),MAX($W$3:W393)+1,"")</f>
        <v/>
      </c>
      <c r="X394" s="38" t="str">
        <f t="shared" si="57"/>
        <v/>
      </c>
      <c r="Y394" s="38" t="str">
        <f>IF(AND(A394="Аппарат",C394&lt;&gt;"",OR($S$5="(все)",B394=$S$5)),MAX($Y$3:Y393)+1,"")</f>
        <v/>
      </c>
      <c r="Z394" s="38" t="str">
        <f t="shared" si="58"/>
        <v/>
      </c>
      <c r="AA394" s="38" t="str">
        <f>IF(AND(A394="Модуль",C394&lt;&gt;"",OR($S$6="(все)",B394=$S$6)),MAX($AA$3:AA393)+1,"")</f>
        <v/>
      </c>
      <c r="AB394" s="38" t="str">
        <f t="shared" si="59"/>
        <v/>
      </c>
      <c r="AC394" s="38" t="str">
        <f>IF(OR(B394="",COUNTIF($B$4:B394,B394)&gt;1),"",MAX($AC$3:AC393)+1)</f>
        <v/>
      </c>
      <c r="AD394" s="38" t="str">
        <f t="shared" si="60"/>
        <v/>
      </c>
      <c r="AE394" s="38" t="str">
        <f t="shared" si="61"/>
        <v/>
      </c>
      <c r="AF394" s="38" t="str">
        <f t="shared" si="62"/>
        <v/>
      </c>
    </row>
    <row r="395" spans="1:32" x14ac:dyDescent="0.3">
      <c r="A395" s="74"/>
      <c r="B395" s="74"/>
      <c r="C395" s="74"/>
      <c r="D395" s="74"/>
      <c r="E395" s="74"/>
      <c r="F395" s="74"/>
      <c r="G395" s="74"/>
      <c r="H395" s="74"/>
      <c r="I395" s="74"/>
      <c r="J395" s="74"/>
      <c r="K395" s="74"/>
      <c r="L395" s="74"/>
      <c r="M395" s="74"/>
      <c r="N395" s="38" t="str">
        <f>IF(OR(A395="Автомат",A395="Дифавтомат"),IF(W395="","",COUNTIFS(Однолинейка!$H$3:$H$3000,U395,Однолинейка!$A$3:$A$3000,Щит_спец)),IF(A395="Аппарат",IF(C395="","",COUNTIFS(Однолинейка!$I$3:$I$3000,C395,Однолинейка!$A$3:$A$3000,Щит_спец)+COUNTIFS(Однолинейка!$J$3:$J$3000,C395,Однолинейка!$A$3:$A$3000,Щит_спец)+COUNTIFS(Однолинейка!$K$3:$K$3000,C395,Однолинейка!$A$3:$A$3000,Щит_спец)),IF(A395="Модуль",IF(C395="","",COUNTIFS(Однолинейка!$AW$3:$AW$3000,"?*",Однолинейка!$AI$3:$AI$3000,C395,Однолинейка!$A$3:$A$3000,Щит_спец)),IF(A395="Клемма",IF(C395="","",IF(C395=$S$7,SUMIFS(Однолинейка!$BW$3:$BW$3000,Однолинейка!$A$3:$A$3000,Щит_спец),IF(C395=$S$8,SUMIFS(Однолинейка!$BX$3:$BX$3000,Однолинейка!$A$3:$A$3000,Щит_спец),""))),""))))</f>
        <v/>
      </c>
      <c r="O395" s="74"/>
      <c r="P395" s="38" t="str">
        <f t="shared" si="54"/>
        <v/>
      </c>
      <c r="U395" s="38" t="str">
        <f t="shared" si="55"/>
        <v/>
      </c>
      <c r="V395" s="38" t="str">
        <f t="shared" si="56"/>
        <v/>
      </c>
      <c r="W395" s="38" t="str">
        <f>IF(AND(U395&lt;&gt;"",OR($S$4="(все)",B395=$S$4),IF($S$4="(все)",COUNTIF($U$4:U395,U395),COUNTIFS($U$4:U395,U395,$B$4:B395,B395))=1),MAX($W$3:W394)+1,"")</f>
        <v/>
      </c>
      <c r="X395" s="38" t="str">
        <f t="shared" si="57"/>
        <v/>
      </c>
      <c r="Y395" s="38" t="str">
        <f>IF(AND(A395="Аппарат",C395&lt;&gt;"",OR($S$5="(все)",B395=$S$5)),MAX($Y$3:Y394)+1,"")</f>
        <v/>
      </c>
      <c r="Z395" s="38" t="str">
        <f t="shared" si="58"/>
        <v/>
      </c>
      <c r="AA395" s="38" t="str">
        <f>IF(AND(A395="Модуль",C395&lt;&gt;"",OR($S$6="(все)",B395=$S$6)),MAX($AA$3:AA394)+1,"")</f>
        <v/>
      </c>
      <c r="AB395" s="38" t="str">
        <f t="shared" si="59"/>
        <v/>
      </c>
      <c r="AC395" s="38" t="str">
        <f>IF(OR(B395="",COUNTIF($B$4:B395,B395)&gt;1),"",MAX($AC$3:AC394)+1)</f>
        <v/>
      </c>
      <c r="AD395" s="38" t="str">
        <f t="shared" si="60"/>
        <v/>
      </c>
      <c r="AE395" s="38" t="str">
        <f t="shared" si="61"/>
        <v/>
      </c>
      <c r="AF395" s="38" t="str">
        <f t="shared" si="62"/>
        <v/>
      </c>
    </row>
    <row r="396" spans="1:32" x14ac:dyDescent="0.3">
      <c r="A396" s="74"/>
      <c r="B396" s="74"/>
      <c r="C396" s="74"/>
      <c r="D396" s="74"/>
      <c r="E396" s="74"/>
      <c r="F396" s="74"/>
      <c r="G396" s="74"/>
      <c r="H396" s="74"/>
      <c r="I396" s="74"/>
      <c r="J396" s="74"/>
      <c r="K396" s="74"/>
      <c r="L396" s="74"/>
      <c r="M396" s="74"/>
      <c r="N396" s="38" t="str">
        <f>IF(OR(A396="Автомат",A396="Дифавтомат"),IF(W396="","",COUNTIFS(Однолинейка!$H$3:$H$3000,U396,Однолинейка!$A$3:$A$3000,Щит_спец)),IF(A396="Аппарат",IF(C396="","",COUNTIFS(Однолинейка!$I$3:$I$3000,C396,Однолинейка!$A$3:$A$3000,Щит_спец)+COUNTIFS(Однолинейка!$J$3:$J$3000,C396,Однолинейка!$A$3:$A$3000,Щит_спец)+COUNTIFS(Однолинейка!$K$3:$K$3000,C396,Однолинейка!$A$3:$A$3000,Щит_спец)),IF(A396="Модуль",IF(C396="","",COUNTIFS(Однолинейка!$AW$3:$AW$3000,"?*",Однолинейка!$AI$3:$AI$3000,C396,Однолинейка!$A$3:$A$3000,Щит_спец)),IF(A396="Клемма",IF(C396="","",IF(C396=$S$7,SUMIFS(Однолинейка!$BW$3:$BW$3000,Однолинейка!$A$3:$A$3000,Щит_спец),IF(C396=$S$8,SUMIFS(Однолинейка!$BX$3:$BX$3000,Однолинейка!$A$3:$A$3000,Щит_спец),""))),""))))</f>
        <v/>
      </c>
      <c r="O396" s="74"/>
      <c r="P396" s="38" t="str">
        <f t="shared" si="54"/>
        <v/>
      </c>
      <c r="U396" s="38" t="str">
        <f t="shared" si="55"/>
        <v/>
      </c>
      <c r="V396" s="38" t="str">
        <f t="shared" si="56"/>
        <v/>
      </c>
      <c r="W396" s="38" t="str">
        <f>IF(AND(U396&lt;&gt;"",OR($S$4="(все)",B396=$S$4),IF($S$4="(все)",COUNTIF($U$4:U396,U396),COUNTIFS($U$4:U396,U396,$B$4:B396,B396))=1),MAX($W$3:W395)+1,"")</f>
        <v/>
      </c>
      <c r="X396" s="38" t="str">
        <f t="shared" si="57"/>
        <v/>
      </c>
      <c r="Y396" s="38" t="str">
        <f>IF(AND(A396="Аппарат",C396&lt;&gt;"",OR($S$5="(все)",B396=$S$5)),MAX($Y$3:Y395)+1,"")</f>
        <v/>
      </c>
      <c r="Z396" s="38" t="str">
        <f t="shared" si="58"/>
        <v/>
      </c>
      <c r="AA396" s="38" t="str">
        <f>IF(AND(A396="Модуль",C396&lt;&gt;"",OR($S$6="(все)",B396=$S$6)),MAX($AA$3:AA395)+1,"")</f>
        <v/>
      </c>
      <c r="AB396" s="38" t="str">
        <f t="shared" si="59"/>
        <v/>
      </c>
      <c r="AC396" s="38" t="str">
        <f>IF(OR(B396="",COUNTIF($B$4:B396,B396)&gt;1),"",MAX($AC$3:AC395)+1)</f>
        <v/>
      </c>
      <c r="AD396" s="38" t="str">
        <f t="shared" si="60"/>
        <v/>
      </c>
      <c r="AE396" s="38" t="str">
        <f t="shared" si="61"/>
        <v/>
      </c>
      <c r="AF396" s="38" t="str">
        <f t="shared" si="62"/>
        <v/>
      </c>
    </row>
    <row r="397" spans="1:32" x14ac:dyDescent="0.3">
      <c r="A397" s="74"/>
      <c r="B397" s="74"/>
      <c r="C397" s="74"/>
      <c r="D397" s="74"/>
      <c r="E397" s="74"/>
      <c r="F397" s="74"/>
      <c r="G397" s="74"/>
      <c r="H397" s="74"/>
      <c r="I397" s="74"/>
      <c r="J397" s="74"/>
      <c r="K397" s="74"/>
      <c r="L397" s="74"/>
      <c r="M397" s="74"/>
      <c r="N397" s="38" t="str">
        <f>IF(OR(A397="Автомат",A397="Дифавтомат"),IF(W397="","",COUNTIFS(Однолинейка!$H$3:$H$3000,U397,Однолинейка!$A$3:$A$3000,Щит_спец)),IF(A397="Аппарат",IF(C397="","",COUNTIFS(Однолинейка!$I$3:$I$3000,C397,Однолинейка!$A$3:$A$3000,Щит_спец)+COUNTIFS(Однолинейка!$J$3:$J$3000,C397,Однолинейка!$A$3:$A$3000,Щит_спец)+COUNTIFS(Однолинейка!$K$3:$K$3000,C397,Однолинейка!$A$3:$A$3000,Щит_спец)),IF(A397="Модуль",IF(C397="","",COUNTIFS(Однолинейка!$AW$3:$AW$3000,"?*",Однолинейка!$AI$3:$AI$3000,C397,Однолинейка!$A$3:$A$3000,Щит_спец)),IF(A397="Клемма",IF(C397="","",IF(C397=$S$7,SUMIFS(Однолинейка!$BW$3:$BW$3000,Однолинейка!$A$3:$A$3000,Щит_спец),IF(C397=$S$8,SUMIFS(Однолинейка!$BX$3:$BX$3000,Однолинейка!$A$3:$A$3000,Щит_спец),""))),""))))</f>
        <v/>
      </c>
      <c r="O397" s="74"/>
      <c r="P397" s="38" t="str">
        <f t="shared" si="54"/>
        <v/>
      </c>
      <c r="U397" s="38" t="str">
        <f t="shared" si="55"/>
        <v/>
      </c>
      <c r="V397" s="38" t="str">
        <f t="shared" si="56"/>
        <v/>
      </c>
      <c r="W397" s="38" t="str">
        <f>IF(AND(U397&lt;&gt;"",OR($S$4="(все)",B397=$S$4),IF($S$4="(все)",COUNTIF($U$4:U397,U397),COUNTIFS($U$4:U397,U397,$B$4:B397,B397))=1),MAX($W$3:W396)+1,"")</f>
        <v/>
      </c>
      <c r="X397" s="38" t="str">
        <f t="shared" si="57"/>
        <v/>
      </c>
      <c r="Y397" s="38" t="str">
        <f>IF(AND(A397="Аппарат",C397&lt;&gt;"",OR($S$5="(все)",B397=$S$5)),MAX($Y$3:Y396)+1,"")</f>
        <v/>
      </c>
      <c r="Z397" s="38" t="str">
        <f t="shared" si="58"/>
        <v/>
      </c>
      <c r="AA397" s="38" t="str">
        <f>IF(AND(A397="Модуль",C397&lt;&gt;"",OR($S$6="(все)",B397=$S$6)),MAX($AA$3:AA396)+1,"")</f>
        <v/>
      </c>
      <c r="AB397" s="38" t="str">
        <f t="shared" si="59"/>
        <v/>
      </c>
      <c r="AC397" s="38" t="str">
        <f>IF(OR(B397="",COUNTIF($B$4:B397,B397)&gt;1),"",MAX($AC$3:AC396)+1)</f>
        <v/>
      </c>
      <c r="AD397" s="38" t="str">
        <f t="shared" si="60"/>
        <v/>
      </c>
      <c r="AE397" s="38" t="str">
        <f t="shared" si="61"/>
        <v/>
      </c>
      <c r="AF397" s="38" t="str">
        <f t="shared" si="62"/>
        <v/>
      </c>
    </row>
    <row r="398" spans="1:32" x14ac:dyDescent="0.3">
      <c r="A398" s="74"/>
      <c r="B398" s="74"/>
      <c r="C398" s="74"/>
      <c r="D398" s="74"/>
      <c r="E398" s="74"/>
      <c r="F398" s="74"/>
      <c r="G398" s="74"/>
      <c r="H398" s="74"/>
      <c r="I398" s="74"/>
      <c r="J398" s="74"/>
      <c r="K398" s="74"/>
      <c r="L398" s="74"/>
      <c r="M398" s="74"/>
      <c r="N398" s="38" t="str">
        <f>IF(OR(A398="Автомат",A398="Дифавтомат"),IF(W398="","",COUNTIFS(Однолинейка!$H$3:$H$3000,U398,Однолинейка!$A$3:$A$3000,Щит_спец)),IF(A398="Аппарат",IF(C398="","",COUNTIFS(Однолинейка!$I$3:$I$3000,C398,Однолинейка!$A$3:$A$3000,Щит_спец)+COUNTIFS(Однолинейка!$J$3:$J$3000,C398,Однолинейка!$A$3:$A$3000,Щит_спец)+COUNTIFS(Однолинейка!$K$3:$K$3000,C398,Однолинейка!$A$3:$A$3000,Щит_спец)),IF(A398="Модуль",IF(C398="","",COUNTIFS(Однолинейка!$AW$3:$AW$3000,"?*",Однолинейка!$AI$3:$AI$3000,C398,Однолинейка!$A$3:$A$3000,Щит_спец)),IF(A398="Клемма",IF(C398="","",IF(C398=$S$7,SUMIFS(Однолинейка!$BW$3:$BW$3000,Однолинейка!$A$3:$A$3000,Щит_спец),IF(C398=$S$8,SUMIFS(Однолинейка!$BX$3:$BX$3000,Однолинейка!$A$3:$A$3000,Щит_спец),""))),""))))</f>
        <v/>
      </c>
      <c r="O398" s="74"/>
      <c r="P398" s="38" t="str">
        <f t="shared" si="54"/>
        <v/>
      </c>
      <c r="U398" s="38" t="str">
        <f t="shared" si="55"/>
        <v/>
      </c>
      <c r="V398" s="38" t="str">
        <f t="shared" si="56"/>
        <v/>
      </c>
      <c r="W398" s="38" t="str">
        <f>IF(AND(U398&lt;&gt;"",OR($S$4="(все)",B398=$S$4),IF($S$4="(все)",COUNTIF($U$4:U398,U398),COUNTIFS($U$4:U398,U398,$B$4:B398,B398))=1),MAX($W$3:W397)+1,"")</f>
        <v/>
      </c>
      <c r="X398" s="38" t="str">
        <f t="shared" si="57"/>
        <v/>
      </c>
      <c r="Y398" s="38" t="str">
        <f>IF(AND(A398="Аппарат",C398&lt;&gt;"",OR($S$5="(все)",B398=$S$5)),MAX($Y$3:Y397)+1,"")</f>
        <v/>
      </c>
      <c r="Z398" s="38" t="str">
        <f t="shared" si="58"/>
        <v/>
      </c>
      <c r="AA398" s="38" t="str">
        <f>IF(AND(A398="Модуль",C398&lt;&gt;"",OR($S$6="(все)",B398=$S$6)),MAX($AA$3:AA397)+1,"")</f>
        <v/>
      </c>
      <c r="AB398" s="38" t="str">
        <f t="shared" si="59"/>
        <v/>
      </c>
      <c r="AC398" s="38" t="str">
        <f>IF(OR(B398="",COUNTIF($B$4:B398,B398)&gt;1),"",MAX($AC$3:AC397)+1)</f>
        <v/>
      </c>
      <c r="AD398" s="38" t="str">
        <f t="shared" si="60"/>
        <v/>
      </c>
      <c r="AE398" s="38" t="str">
        <f t="shared" si="61"/>
        <v/>
      </c>
      <c r="AF398" s="38" t="str">
        <f t="shared" si="62"/>
        <v/>
      </c>
    </row>
    <row r="399" spans="1:32" x14ac:dyDescent="0.3">
      <c r="A399" s="74"/>
      <c r="B399" s="74"/>
      <c r="C399" s="74"/>
      <c r="D399" s="74"/>
      <c r="E399" s="74"/>
      <c r="F399" s="74"/>
      <c r="G399" s="74"/>
      <c r="H399" s="74"/>
      <c r="I399" s="74"/>
      <c r="J399" s="74"/>
      <c r="K399" s="74"/>
      <c r="L399" s="74"/>
      <c r="M399" s="74"/>
      <c r="N399" s="38" t="str">
        <f>IF(OR(A399="Автомат",A399="Дифавтомат"),IF(W399="","",COUNTIFS(Однолинейка!$H$3:$H$3000,U399,Однолинейка!$A$3:$A$3000,Щит_спец)),IF(A399="Аппарат",IF(C399="","",COUNTIFS(Однолинейка!$I$3:$I$3000,C399,Однолинейка!$A$3:$A$3000,Щит_спец)+COUNTIFS(Однолинейка!$J$3:$J$3000,C399,Однолинейка!$A$3:$A$3000,Щит_спец)+COUNTIFS(Однолинейка!$K$3:$K$3000,C399,Однолинейка!$A$3:$A$3000,Щит_спец)),IF(A399="Модуль",IF(C399="","",COUNTIFS(Однолинейка!$AW$3:$AW$3000,"?*",Однолинейка!$AI$3:$AI$3000,C399,Однолинейка!$A$3:$A$3000,Щит_спец)),IF(A399="Клемма",IF(C399="","",IF(C399=$S$7,SUMIFS(Однолинейка!$BW$3:$BW$3000,Однолинейка!$A$3:$A$3000,Щит_спец),IF(C399=$S$8,SUMIFS(Однолинейка!$BX$3:$BX$3000,Однолинейка!$A$3:$A$3000,Щит_спец),""))),""))))</f>
        <v/>
      </c>
      <c r="O399" s="74"/>
      <c r="P399" s="38" t="str">
        <f t="shared" si="54"/>
        <v/>
      </c>
      <c r="U399" s="38" t="str">
        <f t="shared" si="55"/>
        <v/>
      </c>
      <c r="V399" s="38" t="str">
        <f t="shared" si="56"/>
        <v/>
      </c>
      <c r="W399" s="38" t="str">
        <f>IF(AND(U399&lt;&gt;"",OR($S$4="(все)",B399=$S$4),IF($S$4="(все)",COUNTIF($U$4:U399,U399),COUNTIFS($U$4:U399,U399,$B$4:B399,B399))=1),MAX($W$3:W398)+1,"")</f>
        <v/>
      </c>
      <c r="X399" s="38" t="str">
        <f t="shared" si="57"/>
        <v/>
      </c>
      <c r="Y399" s="38" t="str">
        <f>IF(AND(A399="Аппарат",C399&lt;&gt;"",OR($S$5="(все)",B399=$S$5)),MAX($Y$3:Y398)+1,"")</f>
        <v/>
      </c>
      <c r="Z399" s="38" t="str">
        <f t="shared" si="58"/>
        <v/>
      </c>
      <c r="AA399" s="38" t="str">
        <f>IF(AND(A399="Модуль",C399&lt;&gt;"",OR($S$6="(все)",B399=$S$6)),MAX($AA$3:AA398)+1,"")</f>
        <v/>
      </c>
      <c r="AB399" s="38" t="str">
        <f t="shared" si="59"/>
        <v/>
      </c>
      <c r="AC399" s="38" t="str">
        <f>IF(OR(B399="",COUNTIF($B$4:B399,B399)&gt;1),"",MAX($AC$3:AC398)+1)</f>
        <v/>
      </c>
      <c r="AD399" s="38" t="str">
        <f t="shared" si="60"/>
        <v/>
      </c>
      <c r="AE399" s="38" t="str">
        <f t="shared" si="61"/>
        <v/>
      </c>
      <c r="AF399" s="38" t="str">
        <f t="shared" si="62"/>
        <v/>
      </c>
    </row>
    <row r="400" spans="1:32" x14ac:dyDescent="0.3">
      <c r="A400" s="74"/>
      <c r="B400" s="74"/>
      <c r="C400" s="74"/>
      <c r="D400" s="74"/>
      <c r="E400" s="74"/>
      <c r="F400" s="74"/>
      <c r="G400" s="74"/>
      <c r="H400" s="74"/>
      <c r="I400" s="74"/>
      <c r="J400" s="74"/>
      <c r="K400" s="74"/>
      <c r="L400" s="74"/>
      <c r="M400" s="74"/>
      <c r="N400" s="38" t="str">
        <f>IF(OR(A400="Автомат",A400="Дифавтомат"),IF(W400="","",COUNTIFS(Однолинейка!$H$3:$H$3000,U400,Однолинейка!$A$3:$A$3000,Щит_спец)),IF(A400="Аппарат",IF(C400="","",COUNTIFS(Однолинейка!$I$3:$I$3000,C400,Однолинейка!$A$3:$A$3000,Щит_спец)+COUNTIFS(Однолинейка!$J$3:$J$3000,C400,Однолинейка!$A$3:$A$3000,Щит_спец)+COUNTIFS(Однолинейка!$K$3:$K$3000,C400,Однолинейка!$A$3:$A$3000,Щит_спец)),IF(A400="Модуль",IF(C400="","",COUNTIFS(Однолинейка!$AW$3:$AW$3000,"?*",Однолинейка!$AI$3:$AI$3000,C400,Однолинейка!$A$3:$A$3000,Щит_спец)),IF(A400="Клемма",IF(C400="","",IF(C400=$S$7,SUMIFS(Однолинейка!$BW$3:$BW$3000,Однолинейка!$A$3:$A$3000,Щит_спец),IF(C400=$S$8,SUMIFS(Однолинейка!$BX$3:$BX$3000,Однолинейка!$A$3:$A$3000,Щит_спец),""))),""))))</f>
        <v/>
      </c>
      <c r="O400" s="74"/>
      <c r="P400" s="38" t="str">
        <f t="shared" si="54"/>
        <v/>
      </c>
      <c r="U400" s="38" t="str">
        <f t="shared" si="55"/>
        <v/>
      </c>
      <c r="V400" s="38" t="str">
        <f t="shared" si="56"/>
        <v/>
      </c>
      <c r="W400" s="38" t="str">
        <f>IF(AND(U400&lt;&gt;"",OR($S$4="(все)",B400=$S$4),IF($S$4="(все)",COUNTIF($U$4:U400,U400),COUNTIFS($U$4:U400,U400,$B$4:B400,B400))=1),MAX($W$3:W399)+1,"")</f>
        <v/>
      </c>
      <c r="X400" s="38" t="str">
        <f t="shared" si="57"/>
        <v/>
      </c>
      <c r="Y400" s="38" t="str">
        <f>IF(AND(A400="Аппарат",C400&lt;&gt;"",OR($S$5="(все)",B400=$S$5)),MAX($Y$3:Y399)+1,"")</f>
        <v/>
      </c>
      <c r="Z400" s="38" t="str">
        <f t="shared" si="58"/>
        <v/>
      </c>
      <c r="AA400" s="38" t="str">
        <f>IF(AND(A400="Модуль",C400&lt;&gt;"",OR($S$6="(все)",B400=$S$6)),MAX($AA$3:AA399)+1,"")</f>
        <v/>
      </c>
      <c r="AB400" s="38" t="str">
        <f t="shared" si="59"/>
        <v/>
      </c>
      <c r="AC400" s="38" t="str">
        <f>IF(OR(B400="",COUNTIF($B$4:B400,B400)&gt;1),"",MAX($AC$3:AC399)+1)</f>
        <v/>
      </c>
      <c r="AD400" s="38" t="str">
        <f t="shared" si="60"/>
        <v/>
      </c>
      <c r="AE400" s="38" t="str">
        <f t="shared" si="61"/>
        <v/>
      </c>
      <c r="AF400" s="38" t="str">
        <f t="shared" si="62"/>
        <v/>
      </c>
    </row>
    <row r="401" spans="1:32" x14ac:dyDescent="0.3">
      <c r="A401" s="74"/>
      <c r="B401" s="74"/>
      <c r="C401" s="74"/>
      <c r="D401" s="74"/>
      <c r="E401" s="74"/>
      <c r="F401" s="74"/>
      <c r="G401" s="74"/>
      <c r="H401" s="74"/>
      <c r="I401" s="74"/>
      <c r="J401" s="74"/>
      <c r="K401" s="74"/>
      <c r="L401" s="74"/>
      <c r="M401" s="74"/>
      <c r="N401" s="38" t="str">
        <f>IF(OR(A401="Автомат",A401="Дифавтомат"),IF(W401="","",COUNTIFS(Однолинейка!$H$3:$H$3000,U401,Однолинейка!$A$3:$A$3000,Щит_спец)),IF(A401="Аппарат",IF(C401="","",COUNTIFS(Однолинейка!$I$3:$I$3000,C401,Однолинейка!$A$3:$A$3000,Щит_спец)+COUNTIFS(Однолинейка!$J$3:$J$3000,C401,Однолинейка!$A$3:$A$3000,Щит_спец)+COUNTIFS(Однолинейка!$K$3:$K$3000,C401,Однолинейка!$A$3:$A$3000,Щит_спец)),IF(A401="Модуль",IF(C401="","",COUNTIFS(Однолинейка!$AW$3:$AW$3000,"?*",Однолинейка!$AI$3:$AI$3000,C401,Однолинейка!$A$3:$A$3000,Щит_спец)),IF(A401="Клемма",IF(C401="","",IF(C401=$S$7,SUMIFS(Однолинейка!$BW$3:$BW$3000,Однолинейка!$A$3:$A$3000,Щит_спец),IF(C401=$S$8,SUMIFS(Однолинейка!$BX$3:$BX$3000,Однолинейка!$A$3:$A$3000,Щит_спец),""))),""))))</f>
        <v/>
      </c>
      <c r="O401" s="74"/>
      <c r="P401" s="38" t="str">
        <f t="shared" si="54"/>
        <v/>
      </c>
      <c r="U401" s="38" t="str">
        <f t="shared" si="55"/>
        <v/>
      </c>
      <c r="V401" s="38" t="str">
        <f t="shared" si="56"/>
        <v/>
      </c>
      <c r="W401" s="38" t="str">
        <f>IF(AND(U401&lt;&gt;"",OR($S$4="(все)",B401=$S$4),IF($S$4="(все)",COUNTIF($U$4:U401,U401),COUNTIFS($U$4:U401,U401,$B$4:B401,B401))=1),MAX($W$3:W400)+1,"")</f>
        <v/>
      </c>
      <c r="X401" s="38" t="str">
        <f t="shared" si="57"/>
        <v/>
      </c>
      <c r="Y401" s="38" t="str">
        <f>IF(AND(A401="Аппарат",C401&lt;&gt;"",OR($S$5="(все)",B401=$S$5)),MAX($Y$3:Y400)+1,"")</f>
        <v/>
      </c>
      <c r="Z401" s="38" t="str">
        <f t="shared" si="58"/>
        <v/>
      </c>
      <c r="AA401" s="38" t="str">
        <f>IF(AND(A401="Модуль",C401&lt;&gt;"",OR($S$6="(все)",B401=$S$6)),MAX($AA$3:AA400)+1,"")</f>
        <v/>
      </c>
      <c r="AB401" s="38" t="str">
        <f t="shared" si="59"/>
        <v/>
      </c>
      <c r="AC401" s="38" t="str">
        <f>IF(OR(B401="",COUNTIF($B$4:B401,B401)&gt;1),"",MAX($AC$3:AC400)+1)</f>
        <v/>
      </c>
      <c r="AD401" s="38" t="str">
        <f t="shared" si="60"/>
        <v/>
      </c>
      <c r="AE401" s="38" t="str">
        <f t="shared" si="61"/>
        <v/>
      </c>
      <c r="AF401" s="38" t="str">
        <f t="shared" si="62"/>
        <v/>
      </c>
    </row>
    <row r="402" spans="1:32" x14ac:dyDescent="0.3">
      <c r="A402" s="74"/>
      <c r="B402" s="74"/>
      <c r="C402" s="74"/>
      <c r="D402" s="74"/>
      <c r="E402" s="74"/>
      <c r="F402" s="74"/>
      <c r="G402" s="74"/>
      <c r="H402" s="74"/>
      <c r="I402" s="74"/>
      <c r="J402" s="74"/>
      <c r="K402" s="74"/>
      <c r="L402" s="74"/>
      <c r="M402" s="74"/>
      <c r="N402" s="38" t="str">
        <f>IF(OR(A402="Автомат",A402="Дифавтомат"),IF(W402="","",COUNTIFS(Однолинейка!$H$3:$H$3000,U402,Однолинейка!$A$3:$A$3000,Щит_спец)),IF(A402="Аппарат",IF(C402="","",COUNTIFS(Однолинейка!$I$3:$I$3000,C402,Однолинейка!$A$3:$A$3000,Щит_спец)+COUNTIFS(Однолинейка!$J$3:$J$3000,C402,Однолинейка!$A$3:$A$3000,Щит_спец)+COUNTIFS(Однолинейка!$K$3:$K$3000,C402,Однолинейка!$A$3:$A$3000,Щит_спец)),IF(A402="Модуль",IF(C402="","",COUNTIFS(Однолинейка!$AW$3:$AW$3000,"?*",Однолинейка!$AI$3:$AI$3000,C402,Однолинейка!$A$3:$A$3000,Щит_спец)),IF(A402="Клемма",IF(C402="","",IF(C402=$S$7,SUMIFS(Однолинейка!$BW$3:$BW$3000,Однолинейка!$A$3:$A$3000,Щит_спец),IF(C402=$S$8,SUMIFS(Однолинейка!$BX$3:$BX$3000,Однолинейка!$A$3:$A$3000,Щит_спец),""))),""))))</f>
        <v/>
      </c>
      <c r="O402" s="74"/>
      <c r="P402" s="38" t="str">
        <f t="shared" si="54"/>
        <v/>
      </c>
      <c r="U402" s="38" t="str">
        <f t="shared" si="55"/>
        <v/>
      </c>
      <c r="V402" s="38" t="str">
        <f t="shared" si="56"/>
        <v/>
      </c>
      <c r="W402" s="38" t="str">
        <f>IF(AND(U402&lt;&gt;"",OR($S$4="(все)",B402=$S$4),IF($S$4="(все)",COUNTIF($U$4:U402,U402),COUNTIFS($U$4:U402,U402,$B$4:B402,B402))=1),MAX($W$3:W401)+1,"")</f>
        <v/>
      </c>
      <c r="X402" s="38" t="str">
        <f t="shared" si="57"/>
        <v/>
      </c>
      <c r="Y402" s="38" t="str">
        <f>IF(AND(A402="Аппарат",C402&lt;&gt;"",OR($S$5="(все)",B402=$S$5)),MAX($Y$3:Y401)+1,"")</f>
        <v/>
      </c>
      <c r="Z402" s="38" t="str">
        <f t="shared" si="58"/>
        <v/>
      </c>
      <c r="AA402" s="38" t="str">
        <f>IF(AND(A402="Модуль",C402&lt;&gt;"",OR($S$6="(все)",B402=$S$6)),MAX($AA$3:AA401)+1,"")</f>
        <v/>
      </c>
      <c r="AB402" s="38" t="str">
        <f t="shared" si="59"/>
        <v/>
      </c>
      <c r="AC402" s="38" t="str">
        <f>IF(OR(B402="",COUNTIF($B$4:B402,B402)&gt;1),"",MAX($AC$3:AC401)+1)</f>
        <v/>
      </c>
      <c r="AD402" s="38" t="str">
        <f t="shared" si="60"/>
        <v/>
      </c>
      <c r="AE402" s="38" t="str">
        <f t="shared" si="61"/>
        <v/>
      </c>
      <c r="AF402" s="38" t="str">
        <f t="shared" si="62"/>
        <v/>
      </c>
    </row>
    <row r="403" spans="1:32" x14ac:dyDescent="0.3">
      <c r="A403" s="74"/>
      <c r="B403" s="74"/>
      <c r="C403" s="74"/>
      <c r="D403" s="74"/>
      <c r="E403" s="74"/>
      <c r="F403" s="74"/>
      <c r="G403" s="74"/>
      <c r="H403" s="74"/>
      <c r="I403" s="74"/>
      <c r="J403" s="74"/>
      <c r="K403" s="74"/>
      <c r="L403" s="74"/>
      <c r="M403" s="74"/>
      <c r="N403" s="38" t="str">
        <f>IF(OR(A403="Автомат",A403="Дифавтомат"),IF(W403="","",COUNTIFS(Однолинейка!$H$3:$H$3000,U403,Однолинейка!$A$3:$A$3000,Щит_спец)),IF(A403="Аппарат",IF(C403="","",COUNTIFS(Однолинейка!$I$3:$I$3000,C403,Однолинейка!$A$3:$A$3000,Щит_спец)+COUNTIFS(Однолинейка!$J$3:$J$3000,C403,Однолинейка!$A$3:$A$3000,Щит_спец)+COUNTIFS(Однолинейка!$K$3:$K$3000,C403,Однолинейка!$A$3:$A$3000,Щит_спец)),IF(A403="Модуль",IF(C403="","",COUNTIFS(Однолинейка!$AW$3:$AW$3000,"?*",Однолинейка!$AI$3:$AI$3000,C403,Однолинейка!$A$3:$A$3000,Щит_спец)),IF(A403="Клемма",IF(C403="","",IF(C403=$S$7,SUMIFS(Однолинейка!$BW$3:$BW$3000,Однолинейка!$A$3:$A$3000,Щит_спец),IF(C403=$S$8,SUMIFS(Однолинейка!$BX$3:$BX$3000,Однолинейка!$A$3:$A$3000,Щит_спец),""))),""))))</f>
        <v/>
      </c>
      <c r="O403" s="74"/>
      <c r="P403" s="38" t="str">
        <f t="shared" si="54"/>
        <v/>
      </c>
      <c r="U403" s="38" t="str">
        <f t="shared" si="55"/>
        <v/>
      </c>
      <c r="V403" s="38" t="str">
        <f t="shared" si="56"/>
        <v/>
      </c>
      <c r="W403" s="38" t="str">
        <f>IF(AND(U403&lt;&gt;"",OR($S$4="(все)",B403=$S$4),IF($S$4="(все)",COUNTIF($U$4:U403,U403),COUNTIFS($U$4:U403,U403,$B$4:B403,B403))=1),MAX($W$3:W402)+1,"")</f>
        <v/>
      </c>
      <c r="X403" s="38" t="str">
        <f t="shared" si="57"/>
        <v/>
      </c>
      <c r="Y403" s="38" t="str">
        <f>IF(AND(A403="Аппарат",C403&lt;&gt;"",OR($S$5="(все)",B403=$S$5)),MAX($Y$3:Y402)+1,"")</f>
        <v/>
      </c>
      <c r="Z403" s="38" t="str">
        <f t="shared" si="58"/>
        <v/>
      </c>
      <c r="AA403" s="38" t="str">
        <f>IF(AND(A403="Модуль",C403&lt;&gt;"",OR($S$6="(все)",B403=$S$6)),MAX($AA$3:AA402)+1,"")</f>
        <v/>
      </c>
      <c r="AB403" s="38" t="str">
        <f t="shared" si="59"/>
        <v/>
      </c>
      <c r="AC403" s="38" t="str">
        <f>IF(OR(B403="",COUNTIF($B$4:B403,B403)&gt;1),"",MAX($AC$3:AC402)+1)</f>
        <v/>
      </c>
      <c r="AD403" s="38" t="str">
        <f t="shared" si="60"/>
        <v/>
      </c>
      <c r="AE403" s="38" t="str">
        <f t="shared" si="61"/>
        <v/>
      </c>
      <c r="AF403" s="38" t="str">
        <f t="shared" si="62"/>
        <v/>
      </c>
    </row>
    <row r="404" spans="1:32" x14ac:dyDescent="0.3">
      <c r="A404" s="74"/>
      <c r="B404" s="74"/>
      <c r="C404" s="74"/>
      <c r="D404" s="74"/>
      <c r="E404" s="74"/>
      <c r="F404" s="74"/>
      <c r="G404" s="74"/>
      <c r="H404" s="74"/>
      <c r="I404" s="74"/>
      <c r="J404" s="74"/>
      <c r="K404" s="74"/>
      <c r="L404" s="74"/>
      <c r="M404" s="74"/>
      <c r="N404" s="38" t="str">
        <f>IF(OR(A404="Автомат",A404="Дифавтомат"),IF(W404="","",COUNTIFS(Однолинейка!$H$3:$H$3000,U404,Однолинейка!$A$3:$A$3000,Щит_спец)),IF(A404="Аппарат",IF(C404="","",COUNTIFS(Однолинейка!$I$3:$I$3000,C404,Однолинейка!$A$3:$A$3000,Щит_спец)+COUNTIFS(Однолинейка!$J$3:$J$3000,C404,Однолинейка!$A$3:$A$3000,Щит_спец)+COUNTIFS(Однолинейка!$K$3:$K$3000,C404,Однолинейка!$A$3:$A$3000,Щит_спец)),IF(A404="Модуль",IF(C404="","",COUNTIFS(Однолинейка!$AW$3:$AW$3000,"?*",Однолинейка!$AI$3:$AI$3000,C404,Однолинейка!$A$3:$A$3000,Щит_спец)),IF(A404="Клемма",IF(C404="","",IF(C404=$S$7,SUMIFS(Однолинейка!$BW$3:$BW$3000,Однолинейка!$A$3:$A$3000,Щит_спец),IF(C404=$S$8,SUMIFS(Однолинейка!$BX$3:$BX$3000,Однолинейка!$A$3:$A$3000,Щит_спец),""))),""))))</f>
        <v/>
      </c>
      <c r="O404" s="74"/>
      <c r="P404" s="38" t="str">
        <f t="shared" si="54"/>
        <v/>
      </c>
      <c r="U404" s="38" t="str">
        <f t="shared" si="55"/>
        <v/>
      </c>
      <c r="V404" s="38" t="str">
        <f t="shared" si="56"/>
        <v/>
      </c>
      <c r="W404" s="38" t="str">
        <f>IF(AND(U404&lt;&gt;"",OR($S$4="(все)",B404=$S$4),IF($S$4="(все)",COUNTIF($U$4:U404,U404),COUNTIFS($U$4:U404,U404,$B$4:B404,B404))=1),MAX($W$3:W403)+1,"")</f>
        <v/>
      </c>
      <c r="X404" s="38" t="str">
        <f t="shared" si="57"/>
        <v/>
      </c>
      <c r="Y404" s="38" t="str">
        <f>IF(AND(A404="Аппарат",C404&lt;&gt;"",OR($S$5="(все)",B404=$S$5)),MAX($Y$3:Y403)+1,"")</f>
        <v/>
      </c>
      <c r="Z404" s="38" t="str">
        <f t="shared" si="58"/>
        <v/>
      </c>
      <c r="AA404" s="38" t="str">
        <f>IF(AND(A404="Модуль",C404&lt;&gt;"",OR($S$6="(все)",B404=$S$6)),MAX($AA$3:AA403)+1,"")</f>
        <v/>
      </c>
      <c r="AB404" s="38" t="str">
        <f t="shared" si="59"/>
        <v/>
      </c>
      <c r="AC404" s="38" t="str">
        <f>IF(OR(B404="",COUNTIF($B$4:B404,B404)&gt;1),"",MAX($AC$3:AC403)+1)</f>
        <v/>
      </c>
      <c r="AD404" s="38" t="str">
        <f t="shared" si="60"/>
        <v/>
      </c>
      <c r="AE404" s="38" t="str">
        <f t="shared" si="61"/>
        <v/>
      </c>
      <c r="AF404" s="38" t="str">
        <f t="shared" si="62"/>
        <v/>
      </c>
    </row>
    <row r="405" spans="1:32" x14ac:dyDescent="0.3">
      <c r="A405" s="74"/>
      <c r="B405" s="74"/>
      <c r="C405" s="74"/>
      <c r="D405" s="74"/>
      <c r="E405" s="74"/>
      <c r="F405" s="74"/>
      <c r="G405" s="74"/>
      <c r="H405" s="74"/>
      <c r="I405" s="74"/>
      <c r="J405" s="74"/>
      <c r="K405" s="74"/>
      <c r="L405" s="74"/>
      <c r="M405" s="74"/>
      <c r="N405" s="38" t="str">
        <f>IF(OR(A405="Автомат",A405="Дифавтомат"),IF(W405="","",COUNTIFS(Однолинейка!$H$3:$H$3000,U405,Однолинейка!$A$3:$A$3000,Щит_спец)),IF(A405="Аппарат",IF(C405="","",COUNTIFS(Однолинейка!$I$3:$I$3000,C405,Однолинейка!$A$3:$A$3000,Щит_спец)+COUNTIFS(Однолинейка!$J$3:$J$3000,C405,Однолинейка!$A$3:$A$3000,Щит_спец)+COUNTIFS(Однолинейка!$K$3:$K$3000,C405,Однолинейка!$A$3:$A$3000,Щит_спец)),IF(A405="Модуль",IF(C405="","",COUNTIFS(Однолинейка!$AW$3:$AW$3000,"?*",Однолинейка!$AI$3:$AI$3000,C405,Однолинейка!$A$3:$A$3000,Щит_спец)),IF(A405="Клемма",IF(C405="","",IF(C405=$S$7,SUMIFS(Однолинейка!$BW$3:$BW$3000,Однолинейка!$A$3:$A$3000,Щит_спец),IF(C405=$S$8,SUMIFS(Однолинейка!$BX$3:$BX$3000,Однолинейка!$A$3:$A$3000,Щит_спец),""))),""))))</f>
        <v/>
      </c>
      <c r="O405" s="74"/>
      <c r="P405" s="38" t="str">
        <f t="shared" si="54"/>
        <v/>
      </c>
      <c r="U405" s="38" t="str">
        <f t="shared" si="55"/>
        <v/>
      </c>
      <c r="V405" s="38" t="str">
        <f t="shared" si="56"/>
        <v/>
      </c>
      <c r="W405" s="38" t="str">
        <f>IF(AND(U405&lt;&gt;"",OR($S$4="(все)",B405=$S$4),IF($S$4="(все)",COUNTIF($U$4:U405,U405),COUNTIFS($U$4:U405,U405,$B$4:B405,B405))=1),MAX($W$3:W404)+1,"")</f>
        <v/>
      </c>
      <c r="X405" s="38" t="str">
        <f t="shared" si="57"/>
        <v/>
      </c>
      <c r="Y405" s="38" t="str">
        <f>IF(AND(A405="Аппарат",C405&lt;&gt;"",OR($S$5="(все)",B405=$S$5)),MAX($Y$3:Y404)+1,"")</f>
        <v/>
      </c>
      <c r="Z405" s="38" t="str">
        <f t="shared" si="58"/>
        <v/>
      </c>
      <c r="AA405" s="38" t="str">
        <f>IF(AND(A405="Модуль",C405&lt;&gt;"",OR($S$6="(все)",B405=$S$6)),MAX($AA$3:AA404)+1,"")</f>
        <v/>
      </c>
      <c r="AB405" s="38" t="str">
        <f t="shared" si="59"/>
        <v/>
      </c>
      <c r="AC405" s="38" t="str">
        <f>IF(OR(B405="",COUNTIF($B$4:B405,B405)&gt;1),"",MAX($AC$3:AC404)+1)</f>
        <v/>
      </c>
      <c r="AD405" s="38" t="str">
        <f t="shared" si="60"/>
        <v/>
      </c>
      <c r="AE405" s="38" t="str">
        <f t="shared" si="61"/>
        <v/>
      </c>
      <c r="AF405" s="38" t="str">
        <f t="shared" si="62"/>
        <v/>
      </c>
    </row>
    <row r="406" spans="1:32" x14ac:dyDescent="0.3">
      <c r="A406" s="74"/>
      <c r="B406" s="74"/>
      <c r="C406" s="74"/>
      <c r="D406" s="74"/>
      <c r="E406" s="74"/>
      <c r="F406" s="74"/>
      <c r="G406" s="74"/>
      <c r="H406" s="74"/>
      <c r="I406" s="74"/>
      <c r="J406" s="74"/>
      <c r="K406" s="74"/>
      <c r="L406" s="74"/>
      <c r="M406" s="74"/>
      <c r="N406" s="38" t="str">
        <f>IF(OR(A406="Автомат",A406="Дифавтомат"),IF(W406="","",COUNTIFS(Однолинейка!$H$3:$H$3000,U406,Однолинейка!$A$3:$A$3000,Щит_спец)),IF(A406="Аппарат",IF(C406="","",COUNTIFS(Однолинейка!$I$3:$I$3000,C406,Однолинейка!$A$3:$A$3000,Щит_спец)+COUNTIFS(Однолинейка!$J$3:$J$3000,C406,Однолинейка!$A$3:$A$3000,Щит_спец)+COUNTIFS(Однолинейка!$K$3:$K$3000,C406,Однолинейка!$A$3:$A$3000,Щит_спец)),IF(A406="Модуль",IF(C406="","",COUNTIFS(Однолинейка!$AW$3:$AW$3000,"?*",Однолинейка!$AI$3:$AI$3000,C406,Однолинейка!$A$3:$A$3000,Щит_спец)),IF(A406="Клемма",IF(C406="","",IF(C406=$S$7,SUMIFS(Однолинейка!$BW$3:$BW$3000,Однолинейка!$A$3:$A$3000,Щит_спец),IF(C406=$S$8,SUMIFS(Однолинейка!$BX$3:$BX$3000,Однолинейка!$A$3:$A$3000,Щит_спец),""))),""))))</f>
        <v/>
      </c>
      <c r="O406" s="74"/>
      <c r="P406" s="38" t="str">
        <f t="shared" si="54"/>
        <v/>
      </c>
      <c r="U406" s="38" t="str">
        <f t="shared" si="55"/>
        <v/>
      </c>
      <c r="V406" s="38" t="str">
        <f t="shared" si="56"/>
        <v/>
      </c>
      <c r="W406" s="38" t="str">
        <f>IF(AND(U406&lt;&gt;"",OR($S$4="(все)",B406=$S$4),IF($S$4="(все)",COUNTIF($U$4:U406,U406),COUNTIFS($U$4:U406,U406,$B$4:B406,B406))=1),MAX($W$3:W405)+1,"")</f>
        <v/>
      </c>
      <c r="X406" s="38" t="str">
        <f t="shared" si="57"/>
        <v/>
      </c>
      <c r="Y406" s="38" t="str">
        <f>IF(AND(A406="Аппарат",C406&lt;&gt;"",OR($S$5="(все)",B406=$S$5)),MAX($Y$3:Y405)+1,"")</f>
        <v/>
      </c>
      <c r="Z406" s="38" t="str">
        <f t="shared" si="58"/>
        <v/>
      </c>
      <c r="AA406" s="38" t="str">
        <f>IF(AND(A406="Модуль",C406&lt;&gt;"",OR($S$6="(все)",B406=$S$6)),MAX($AA$3:AA405)+1,"")</f>
        <v/>
      </c>
      <c r="AB406" s="38" t="str">
        <f t="shared" si="59"/>
        <v/>
      </c>
      <c r="AC406" s="38" t="str">
        <f>IF(OR(B406="",COUNTIF($B$4:B406,B406)&gt;1),"",MAX($AC$3:AC405)+1)</f>
        <v/>
      </c>
      <c r="AD406" s="38" t="str">
        <f t="shared" si="60"/>
        <v/>
      </c>
      <c r="AE406" s="38" t="str">
        <f t="shared" si="61"/>
        <v/>
      </c>
      <c r="AF406" s="38" t="str">
        <f t="shared" si="62"/>
        <v/>
      </c>
    </row>
    <row r="407" spans="1:32" x14ac:dyDescent="0.3">
      <c r="A407" s="74"/>
      <c r="B407" s="74"/>
      <c r="C407" s="74"/>
      <c r="D407" s="74"/>
      <c r="E407" s="74"/>
      <c r="F407" s="74"/>
      <c r="G407" s="74"/>
      <c r="H407" s="74"/>
      <c r="I407" s="74"/>
      <c r="J407" s="74"/>
      <c r="K407" s="74"/>
      <c r="L407" s="74"/>
      <c r="M407" s="74"/>
      <c r="N407" s="38" t="str">
        <f>IF(OR(A407="Автомат",A407="Дифавтомат"),IF(W407="","",COUNTIFS(Однолинейка!$H$3:$H$3000,U407,Однолинейка!$A$3:$A$3000,Щит_спец)),IF(A407="Аппарат",IF(C407="","",COUNTIFS(Однолинейка!$I$3:$I$3000,C407,Однолинейка!$A$3:$A$3000,Щит_спец)+COUNTIFS(Однолинейка!$J$3:$J$3000,C407,Однолинейка!$A$3:$A$3000,Щит_спец)+COUNTIFS(Однолинейка!$K$3:$K$3000,C407,Однолинейка!$A$3:$A$3000,Щит_спец)),IF(A407="Модуль",IF(C407="","",COUNTIFS(Однолинейка!$AW$3:$AW$3000,"?*",Однолинейка!$AI$3:$AI$3000,C407,Однолинейка!$A$3:$A$3000,Щит_спец)),IF(A407="Клемма",IF(C407="","",IF(C407=$S$7,SUMIFS(Однолинейка!$BW$3:$BW$3000,Однолинейка!$A$3:$A$3000,Щит_спец),IF(C407=$S$8,SUMIFS(Однолинейка!$BX$3:$BX$3000,Однолинейка!$A$3:$A$3000,Щит_спец),""))),""))))</f>
        <v/>
      </c>
      <c r="O407" s="74"/>
      <c r="P407" s="38" t="str">
        <f t="shared" si="54"/>
        <v/>
      </c>
      <c r="U407" s="38" t="str">
        <f t="shared" si="55"/>
        <v/>
      </c>
      <c r="V407" s="38" t="str">
        <f t="shared" si="56"/>
        <v/>
      </c>
      <c r="W407" s="38" t="str">
        <f>IF(AND(U407&lt;&gt;"",OR($S$4="(все)",B407=$S$4),IF($S$4="(все)",COUNTIF($U$4:U407,U407),COUNTIFS($U$4:U407,U407,$B$4:B407,B407))=1),MAX($W$3:W406)+1,"")</f>
        <v/>
      </c>
      <c r="X407" s="38" t="str">
        <f t="shared" si="57"/>
        <v/>
      </c>
      <c r="Y407" s="38" t="str">
        <f>IF(AND(A407="Аппарат",C407&lt;&gt;"",OR($S$5="(все)",B407=$S$5)),MAX($Y$3:Y406)+1,"")</f>
        <v/>
      </c>
      <c r="Z407" s="38" t="str">
        <f t="shared" si="58"/>
        <v/>
      </c>
      <c r="AA407" s="38" t="str">
        <f>IF(AND(A407="Модуль",C407&lt;&gt;"",OR($S$6="(все)",B407=$S$6)),MAX($AA$3:AA406)+1,"")</f>
        <v/>
      </c>
      <c r="AB407" s="38" t="str">
        <f t="shared" si="59"/>
        <v/>
      </c>
      <c r="AC407" s="38" t="str">
        <f>IF(OR(B407="",COUNTIF($B$4:B407,B407)&gt;1),"",MAX($AC$3:AC406)+1)</f>
        <v/>
      </c>
      <c r="AD407" s="38" t="str">
        <f t="shared" si="60"/>
        <v/>
      </c>
      <c r="AE407" s="38" t="str">
        <f t="shared" si="61"/>
        <v/>
      </c>
      <c r="AF407" s="38" t="str">
        <f t="shared" si="62"/>
        <v/>
      </c>
    </row>
    <row r="408" spans="1:32" x14ac:dyDescent="0.3">
      <c r="A408" s="74"/>
      <c r="B408" s="74"/>
      <c r="C408" s="74"/>
      <c r="D408" s="74"/>
      <c r="E408" s="74"/>
      <c r="F408" s="74"/>
      <c r="G408" s="74"/>
      <c r="H408" s="74"/>
      <c r="I408" s="74"/>
      <c r="J408" s="74"/>
      <c r="K408" s="74"/>
      <c r="L408" s="74"/>
      <c r="M408" s="74"/>
      <c r="N408" s="38" t="str">
        <f>IF(OR(A408="Автомат",A408="Дифавтомат"),IF(W408="","",COUNTIFS(Однолинейка!$H$3:$H$3000,U408,Однолинейка!$A$3:$A$3000,Щит_спец)),IF(A408="Аппарат",IF(C408="","",COUNTIFS(Однолинейка!$I$3:$I$3000,C408,Однолинейка!$A$3:$A$3000,Щит_спец)+COUNTIFS(Однолинейка!$J$3:$J$3000,C408,Однолинейка!$A$3:$A$3000,Щит_спец)+COUNTIFS(Однолинейка!$K$3:$K$3000,C408,Однолинейка!$A$3:$A$3000,Щит_спец)),IF(A408="Модуль",IF(C408="","",COUNTIFS(Однолинейка!$AW$3:$AW$3000,"?*",Однолинейка!$AI$3:$AI$3000,C408,Однолинейка!$A$3:$A$3000,Щит_спец)),IF(A408="Клемма",IF(C408="","",IF(C408=$S$7,SUMIFS(Однолинейка!$BW$3:$BW$3000,Однолинейка!$A$3:$A$3000,Щит_спец),IF(C408=$S$8,SUMIFS(Однолинейка!$BX$3:$BX$3000,Однолинейка!$A$3:$A$3000,Щит_спец),""))),""))))</f>
        <v/>
      </c>
      <c r="O408" s="74"/>
      <c r="P408" s="38" t="str">
        <f t="shared" si="54"/>
        <v/>
      </c>
      <c r="U408" s="38" t="str">
        <f t="shared" si="55"/>
        <v/>
      </c>
      <c r="V408" s="38" t="str">
        <f t="shared" si="56"/>
        <v/>
      </c>
      <c r="W408" s="38" t="str">
        <f>IF(AND(U408&lt;&gt;"",OR($S$4="(все)",B408=$S$4),IF($S$4="(все)",COUNTIF($U$4:U408,U408),COUNTIFS($U$4:U408,U408,$B$4:B408,B408))=1),MAX($W$3:W407)+1,"")</f>
        <v/>
      </c>
      <c r="X408" s="38" t="str">
        <f t="shared" si="57"/>
        <v/>
      </c>
      <c r="Y408" s="38" t="str">
        <f>IF(AND(A408="Аппарат",C408&lt;&gt;"",OR($S$5="(все)",B408=$S$5)),MAX($Y$3:Y407)+1,"")</f>
        <v/>
      </c>
      <c r="Z408" s="38" t="str">
        <f t="shared" si="58"/>
        <v/>
      </c>
      <c r="AA408" s="38" t="str">
        <f>IF(AND(A408="Модуль",C408&lt;&gt;"",OR($S$6="(все)",B408=$S$6)),MAX($AA$3:AA407)+1,"")</f>
        <v/>
      </c>
      <c r="AB408" s="38" t="str">
        <f t="shared" si="59"/>
        <v/>
      </c>
      <c r="AC408" s="38" t="str">
        <f>IF(OR(B408="",COUNTIF($B$4:B408,B408)&gt;1),"",MAX($AC$3:AC407)+1)</f>
        <v/>
      </c>
      <c r="AD408" s="38" t="str">
        <f t="shared" si="60"/>
        <v/>
      </c>
      <c r="AE408" s="38" t="str">
        <f t="shared" si="61"/>
        <v/>
      </c>
      <c r="AF408" s="38" t="str">
        <f t="shared" si="62"/>
        <v/>
      </c>
    </row>
    <row r="409" spans="1:32" x14ac:dyDescent="0.3">
      <c r="A409" s="74"/>
      <c r="B409" s="74"/>
      <c r="C409" s="74"/>
      <c r="D409" s="74"/>
      <c r="E409" s="74"/>
      <c r="F409" s="74"/>
      <c r="G409" s="74"/>
      <c r="H409" s="74"/>
      <c r="I409" s="74"/>
      <c r="J409" s="74"/>
      <c r="K409" s="74"/>
      <c r="L409" s="74"/>
      <c r="M409" s="74"/>
      <c r="N409" s="38" t="str">
        <f>IF(OR(A409="Автомат",A409="Дифавтомат"),IF(W409="","",COUNTIFS(Однолинейка!$H$3:$H$3000,U409,Однолинейка!$A$3:$A$3000,Щит_спец)),IF(A409="Аппарат",IF(C409="","",COUNTIFS(Однолинейка!$I$3:$I$3000,C409,Однолинейка!$A$3:$A$3000,Щит_спец)+COUNTIFS(Однолинейка!$J$3:$J$3000,C409,Однолинейка!$A$3:$A$3000,Щит_спец)+COUNTIFS(Однолинейка!$K$3:$K$3000,C409,Однолинейка!$A$3:$A$3000,Щит_спец)),IF(A409="Модуль",IF(C409="","",COUNTIFS(Однолинейка!$AW$3:$AW$3000,"?*",Однолинейка!$AI$3:$AI$3000,C409,Однолинейка!$A$3:$A$3000,Щит_спец)),IF(A409="Клемма",IF(C409="","",IF(C409=$S$7,SUMIFS(Однолинейка!$BW$3:$BW$3000,Однолинейка!$A$3:$A$3000,Щит_спец),IF(C409=$S$8,SUMIFS(Однолинейка!$BX$3:$BX$3000,Однолинейка!$A$3:$A$3000,Щит_спец),""))),""))))</f>
        <v/>
      </c>
      <c r="O409" s="74"/>
      <c r="P409" s="38" t="str">
        <f t="shared" si="54"/>
        <v/>
      </c>
      <c r="U409" s="38" t="str">
        <f t="shared" si="55"/>
        <v/>
      </c>
      <c r="V409" s="38" t="str">
        <f t="shared" si="56"/>
        <v/>
      </c>
      <c r="W409" s="38" t="str">
        <f>IF(AND(U409&lt;&gt;"",OR($S$4="(все)",B409=$S$4),IF($S$4="(все)",COUNTIF($U$4:U409,U409),COUNTIFS($U$4:U409,U409,$B$4:B409,B409))=1),MAX($W$3:W408)+1,"")</f>
        <v/>
      </c>
      <c r="X409" s="38" t="str">
        <f t="shared" si="57"/>
        <v/>
      </c>
      <c r="Y409" s="38" t="str">
        <f>IF(AND(A409="Аппарат",C409&lt;&gt;"",OR($S$5="(все)",B409=$S$5)),MAX($Y$3:Y408)+1,"")</f>
        <v/>
      </c>
      <c r="Z409" s="38" t="str">
        <f t="shared" si="58"/>
        <v/>
      </c>
      <c r="AA409" s="38" t="str">
        <f>IF(AND(A409="Модуль",C409&lt;&gt;"",OR($S$6="(все)",B409=$S$6)),MAX($AA$3:AA408)+1,"")</f>
        <v/>
      </c>
      <c r="AB409" s="38" t="str">
        <f t="shared" si="59"/>
        <v/>
      </c>
      <c r="AC409" s="38" t="str">
        <f>IF(OR(B409="",COUNTIF($B$4:B409,B409)&gt;1),"",MAX($AC$3:AC408)+1)</f>
        <v/>
      </c>
      <c r="AD409" s="38" t="str">
        <f t="shared" si="60"/>
        <v/>
      </c>
      <c r="AE409" s="38" t="str">
        <f t="shared" si="61"/>
        <v/>
      </c>
      <c r="AF409" s="38" t="str">
        <f t="shared" si="62"/>
        <v/>
      </c>
    </row>
    <row r="410" spans="1:32" x14ac:dyDescent="0.3">
      <c r="A410" s="74"/>
      <c r="B410" s="74"/>
      <c r="C410" s="74"/>
      <c r="D410" s="74"/>
      <c r="E410" s="74"/>
      <c r="F410" s="74"/>
      <c r="G410" s="74"/>
      <c r="H410" s="74"/>
      <c r="I410" s="74"/>
      <c r="J410" s="74"/>
      <c r="K410" s="74"/>
      <c r="L410" s="74"/>
      <c r="M410" s="74"/>
      <c r="N410" s="38" t="str">
        <f>IF(OR(A410="Автомат",A410="Дифавтомат"),IF(W410="","",COUNTIFS(Однолинейка!$H$3:$H$3000,U410,Однолинейка!$A$3:$A$3000,Щит_спец)),IF(A410="Аппарат",IF(C410="","",COUNTIFS(Однолинейка!$I$3:$I$3000,C410,Однолинейка!$A$3:$A$3000,Щит_спец)+COUNTIFS(Однолинейка!$J$3:$J$3000,C410,Однолинейка!$A$3:$A$3000,Щит_спец)+COUNTIFS(Однолинейка!$K$3:$K$3000,C410,Однолинейка!$A$3:$A$3000,Щит_спец)),IF(A410="Модуль",IF(C410="","",COUNTIFS(Однолинейка!$AW$3:$AW$3000,"?*",Однолинейка!$AI$3:$AI$3000,C410,Однолинейка!$A$3:$A$3000,Щит_спец)),IF(A410="Клемма",IF(C410="","",IF(C410=$S$7,SUMIFS(Однолинейка!$BW$3:$BW$3000,Однолинейка!$A$3:$A$3000,Щит_спец),IF(C410=$S$8,SUMIFS(Однолинейка!$BX$3:$BX$3000,Однолинейка!$A$3:$A$3000,Щит_спец),""))),""))))</f>
        <v/>
      </c>
      <c r="O410" s="74"/>
      <c r="P410" s="38" t="str">
        <f t="shared" si="54"/>
        <v/>
      </c>
      <c r="U410" s="38" t="str">
        <f t="shared" si="55"/>
        <v/>
      </c>
      <c r="V410" s="38" t="str">
        <f t="shared" si="56"/>
        <v/>
      </c>
      <c r="W410" s="38" t="str">
        <f>IF(AND(U410&lt;&gt;"",OR($S$4="(все)",B410=$S$4),IF($S$4="(все)",COUNTIF($U$4:U410,U410),COUNTIFS($U$4:U410,U410,$B$4:B410,B410))=1),MAX($W$3:W409)+1,"")</f>
        <v/>
      </c>
      <c r="X410" s="38" t="str">
        <f t="shared" si="57"/>
        <v/>
      </c>
      <c r="Y410" s="38" t="str">
        <f>IF(AND(A410="Аппарат",C410&lt;&gt;"",OR($S$5="(все)",B410=$S$5)),MAX($Y$3:Y409)+1,"")</f>
        <v/>
      </c>
      <c r="Z410" s="38" t="str">
        <f t="shared" si="58"/>
        <v/>
      </c>
      <c r="AA410" s="38" t="str">
        <f>IF(AND(A410="Модуль",C410&lt;&gt;"",OR($S$6="(все)",B410=$S$6)),MAX($AA$3:AA409)+1,"")</f>
        <v/>
      </c>
      <c r="AB410" s="38" t="str">
        <f t="shared" si="59"/>
        <v/>
      </c>
      <c r="AC410" s="38" t="str">
        <f>IF(OR(B410="",COUNTIF($B$4:B410,B410)&gt;1),"",MAX($AC$3:AC409)+1)</f>
        <v/>
      </c>
      <c r="AD410" s="38" t="str">
        <f t="shared" si="60"/>
        <v/>
      </c>
      <c r="AE410" s="38" t="str">
        <f t="shared" si="61"/>
        <v/>
      </c>
      <c r="AF410" s="38" t="str">
        <f t="shared" si="62"/>
        <v/>
      </c>
    </row>
    <row r="411" spans="1:32" x14ac:dyDescent="0.3">
      <c r="A411" s="74"/>
      <c r="B411" s="74"/>
      <c r="C411" s="74"/>
      <c r="D411" s="74"/>
      <c r="E411" s="74"/>
      <c r="F411" s="74"/>
      <c r="G411" s="74"/>
      <c r="H411" s="74"/>
      <c r="I411" s="74"/>
      <c r="J411" s="74"/>
      <c r="K411" s="74"/>
      <c r="L411" s="74"/>
      <c r="M411" s="74"/>
      <c r="N411" s="38" t="str">
        <f>IF(OR(A411="Автомат",A411="Дифавтомат"),IF(W411="","",COUNTIFS(Однолинейка!$H$3:$H$3000,U411,Однолинейка!$A$3:$A$3000,Щит_спец)),IF(A411="Аппарат",IF(C411="","",COUNTIFS(Однолинейка!$I$3:$I$3000,C411,Однолинейка!$A$3:$A$3000,Щит_спец)+COUNTIFS(Однолинейка!$J$3:$J$3000,C411,Однолинейка!$A$3:$A$3000,Щит_спец)+COUNTIFS(Однолинейка!$K$3:$K$3000,C411,Однолинейка!$A$3:$A$3000,Щит_спец)),IF(A411="Модуль",IF(C411="","",COUNTIFS(Однолинейка!$AW$3:$AW$3000,"?*",Однолинейка!$AI$3:$AI$3000,C411,Однолинейка!$A$3:$A$3000,Щит_спец)),IF(A411="Клемма",IF(C411="","",IF(C411=$S$7,SUMIFS(Однолинейка!$BW$3:$BW$3000,Однолинейка!$A$3:$A$3000,Щит_спец),IF(C411=$S$8,SUMIFS(Однолинейка!$BX$3:$BX$3000,Однолинейка!$A$3:$A$3000,Щит_спец),""))),""))))</f>
        <v/>
      </c>
      <c r="O411" s="74"/>
      <c r="P411" s="38" t="str">
        <f t="shared" si="54"/>
        <v/>
      </c>
      <c r="U411" s="38" t="str">
        <f t="shared" si="55"/>
        <v/>
      </c>
      <c r="V411" s="38" t="str">
        <f t="shared" si="56"/>
        <v/>
      </c>
      <c r="W411" s="38" t="str">
        <f>IF(AND(U411&lt;&gt;"",OR($S$4="(все)",B411=$S$4),IF($S$4="(все)",COUNTIF($U$4:U411,U411),COUNTIFS($U$4:U411,U411,$B$4:B411,B411))=1),MAX($W$3:W410)+1,"")</f>
        <v/>
      </c>
      <c r="X411" s="38" t="str">
        <f t="shared" si="57"/>
        <v/>
      </c>
      <c r="Y411" s="38" t="str">
        <f>IF(AND(A411="Аппарат",C411&lt;&gt;"",OR($S$5="(все)",B411=$S$5)),MAX($Y$3:Y410)+1,"")</f>
        <v/>
      </c>
      <c r="Z411" s="38" t="str">
        <f t="shared" si="58"/>
        <v/>
      </c>
      <c r="AA411" s="38" t="str">
        <f>IF(AND(A411="Модуль",C411&lt;&gt;"",OR($S$6="(все)",B411=$S$6)),MAX($AA$3:AA410)+1,"")</f>
        <v/>
      </c>
      <c r="AB411" s="38" t="str">
        <f t="shared" si="59"/>
        <v/>
      </c>
      <c r="AC411" s="38" t="str">
        <f>IF(OR(B411="",COUNTIF($B$4:B411,B411)&gt;1),"",MAX($AC$3:AC410)+1)</f>
        <v/>
      </c>
      <c r="AD411" s="38" t="str">
        <f t="shared" si="60"/>
        <v/>
      </c>
      <c r="AE411" s="38" t="str">
        <f t="shared" si="61"/>
        <v/>
      </c>
      <c r="AF411" s="38" t="str">
        <f t="shared" si="62"/>
        <v/>
      </c>
    </row>
    <row r="412" spans="1:32" x14ac:dyDescent="0.3">
      <c r="A412" s="74"/>
      <c r="B412" s="74"/>
      <c r="C412" s="74"/>
      <c r="D412" s="74"/>
      <c r="E412" s="74"/>
      <c r="F412" s="74"/>
      <c r="G412" s="74"/>
      <c r="H412" s="74"/>
      <c r="I412" s="74"/>
      <c r="J412" s="74"/>
      <c r="K412" s="74"/>
      <c r="L412" s="74"/>
      <c r="M412" s="74"/>
      <c r="N412" s="38" t="str">
        <f>IF(OR(A412="Автомат",A412="Дифавтомат"),IF(W412="","",COUNTIFS(Однолинейка!$H$3:$H$3000,U412,Однолинейка!$A$3:$A$3000,Щит_спец)),IF(A412="Аппарат",IF(C412="","",COUNTIFS(Однолинейка!$I$3:$I$3000,C412,Однолинейка!$A$3:$A$3000,Щит_спец)+COUNTIFS(Однолинейка!$J$3:$J$3000,C412,Однолинейка!$A$3:$A$3000,Щит_спец)+COUNTIFS(Однолинейка!$K$3:$K$3000,C412,Однолинейка!$A$3:$A$3000,Щит_спец)),IF(A412="Модуль",IF(C412="","",COUNTIFS(Однолинейка!$AW$3:$AW$3000,"?*",Однолинейка!$AI$3:$AI$3000,C412,Однолинейка!$A$3:$A$3000,Щит_спец)),IF(A412="Клемма",IF(C412="","",IF(C412=$S$7,SUMIFS(Однолинейка!$BW$3:$BW$3000,Однолинейка!$A$3:$A$3000,Щит_спец),IF(C412=$S$8,SUMIFS(Однолинейка!$BX$3:$BX$3000,Однолинейка!$A$3:$A$3000,Щит_спец),""))),""))))</f>
        <v/>
      </c>
      <c r="O412" s="74"/>
      <c r="P412" s="38" t="str">
        <f t="shared" si="54"/>
        <v/>
      </c>
      <c r="U412" s="38" t="str">
        <f t="shared" si="55"/>
        <v/>
      </c>
      <c r="V412" s="38" t="str">
        <f t="shared" si="56"/>
        <v/>
      </c>
      <c r="W412" s="38" t="str">
        <f>IF(AND(U412&lt;&gt;"",OR($S$4="(все)",B412=$S$4),IF($S$4="(все)",COUNTIF($U$4:U412,U412),COUNTIFS($U$4:U412,U412,$B$4:B412,B412))=1),MAX($W$3:W411)+1,"")</f>
        <v/>
      </c>
      <c r="X412" s="38" t="str">
        <f t="shared" si="57"/>
        <v/>
      </c>
      <c r="Y412" s="38" t="str">
        <f>IF(AND(A412="Аппарат",C412&lt;&gt;"",OR($S$5="(все)",B412=$S$5)),MAX($Y$3:Y411)+1,"")</f>
        <v/>
      </c>
      <c r="Z412" s="38" t="str">
        <f t="shared" si="58"/>
        <v/>
      </c>
      <c r="AA412" s="38" t="str">
        <f>IF(AND(A412="Модуль",C412&lt;&gt;"",OR($S$6="(все)",B412=$S$6)),MAX($AA$3:AA411)+1,"")</f>
        <v/>
      </c>
      <c r="AB412" s="38" t="str">
        <f t="shared" si="59"/>
        <v/>
      </c>
      <c r="AC412" s="38" t="str">
        <f>IF(OR(B412="",COUNTIF($B$4:B412,B412)&gt;1),"",MAX($AC$3:AC411)+1)</f>
        <v/>
      </c>
      <c r="AD412" s="38" t="str">
        <f t="shared" si="60"/>
        <v/>
      </c>
      <c r="AE412" s="38" t="str">
        <f t="shared" si="61"/>
        <v/>
      </c>
      <c r="AF412" s="38" t="str">
        <f t="shared" si="62"/>
        <v/>
      </c>
    </row>
    <row r="413" spans="1:32" x14ac:dyDescent="0.3">
      <c r="A413" s="74"/>
      <c r="B413" s="74"/>
      <c r="C413" s="74"/>
      <c r="D413" s="74"/>
      <c r="E413" s="74"/>
      <c r="F413" s="74"/>
      <c r="G413" s="74"/>
      <c r="H413" s="74"/>
      <c r="I413" s="74"/>
      <c r="J413" s="74"/>
      <c r="K413" s="74"/>
      <c r="L413" s="74"/>
      <c r="M413" s="74"/>
      <c r="N413" s="38" t="str">
        <f>IF(OR(A413="Автомат",A413="Дифавтомат"),IF(W413="","",COUNTIFS(Однолинейка!$H$3:$H$3000,U413,Однолинейка!$A$3:$A$3000,Щит_спец)),IF(A413="Аппарат",IF(C413="","",COUNTIFS(Однолинейка!$I$3:$I$3000,C413,Однолинейка!$A$3:$A$3000,Щит_спец)+COUNTIFS(Однолинейка!$J$3:$J$3000,C413,Однолинейка!$A$3:$A$3000,Щит_спец)+COUNTIFS(Однолинейка!$K$3:$K$3000,C413,Однолинейка!$A$3:$A$3000,Щит_спец)),IF(A413="Модуль",IF(C413="","",COUNTIFS(Однолинейка!$AW$3:$AW$3000,"?*",Однолинейка!$AI$3:$AI$3000,C413,Однолинейка!$A$3:$A$3000,Щит_спец)),IF(A413="Клемма",IF(C413="","",IF(C413=$S$7,SUMIFS(Однолинейка!$BW$3:$BW$3000,Однолинейка!$A$3:$A$3000,Щит_спец),IF(C413=$S$8,SUMIFS(Однолинейка!$BX$3:$BX$3000,Однолинейка!$A$3:$A$3000,Щит_спец),""))),""))))</f>
        <v/>
      </c>
      <c r="O413" s="74"/>
      <c r="P413" s="38" t="str">
        <f t="shared" si="54"/>
        <v/>
      </c>
      <c r="U413" s="38" t="str">
        <f t="shared" si="55"/>
        <v/>
      </c>
      <c r="V413" s="38" t="str">
        <f t="shared" si="56"/>
        <v/>
      </c>
      <c r="W413" s="38" t="str">
        <f>IF(AND(U413&lt;&gt;"",OR($S$4="(все)",B413=$S$4),IF($S$4="(все)",COUNTIF($U$4:U413,U413),COUNTIFS($U$4:U413,U413,$B$4:B413,B413))=1),MAX($W$3:W412)+1,"")</f>
        <v/>
      </c>
      <c r="X413" s="38" t="str">
        <f t="shared" si="57"/>
        <v/>
      </c>
      <c r="Y413" s="38" t="str">
        <f>IF(AND(A413="Аппарат",C413&lt;&gt;"",OR($S$5="(все)",B413=$S$5)),MAX($Y$3:Y412)+1,"")</f>
        <v/>
      </c>
      <c r="Z413" s="38" t="str">
        <f t="shared" si="58"/>
        <v/>
      </c>
      <c r="AA413" s="38" t="str">
        <f>IF(AND(A413="Модуль",C413&lt;&gt;"",OR($S$6="(все)",B413=$S$6)),MAX($AA$3:AA412)+1,"")</f>
        <v/>
      </c>
      <c r="AB413" s="38" t="str">
        <f t="shared" si="59"/>
        <v/>
      </c>
      <c r="AC413" s="38" t="str">
        <f>IF(OR(B413="",COUNTIF($B$4:B413,B413)&gt;1),"",MAX($AC$3:AC412)+1)</f>
        <v/>
      </c>
      <c r="AD413" s="38" t="str">
        <f t="shared" si="60"/>
        <v/>
      </c>
      <c r="AE413" s="38" t="str">
        <f t="shared" si="61"/>
        <v/>
      </c>
      <c r="AF413" s="38" t="str">
        <f t="shared" si="62"/>
        <v/>
      </c>
    </row>
    <row r="414" spans="1:32" x14ac:dyDescent="0.3">
      <c r="A414" s="74"/>
      <c r="B414" s="74"/>
      <c r="C414" s="74"/>
      <c r="D414" s="74"/>
      <c r="E414" s="74"/>
      <c r="F414" s="74"/>
      <c r="G414" s="74"/>
      <c r="H414" s="74"/>
      <c r="I414" s="74"/>
      <c r="J414" s="74"/>
      <c r="K414" s="74"/>
      <c r="L414" s="74"/>
      <c r="M414" s="74"/>
      <c r="N414" s="38" t="str">
        <f>IF(OR(A414="Автомат",A414="Дифавтомат"),IF(W414="","",COUNTIFS(Однолинейка!$H$3:$H$3000,U414,Однолинейка!$A$3:$A$3000,Щит_спец)),IF(A414="Аппарат",IF(C414="","",COUNTIFS(Однолинейка!$I$3:$I$3000,C414,Однолинейка!$A$3:$A$3000,Щит_спец)+COUNTIFS(Однолинейка!$J$3:$J$3000,C414,Однолинейка!$A$3:$A$3000,Щит_спец)+COUNTIFS(Однолинейка!$K$3:$K$3000,C414,Однолинейка!$A$3:$A$3000,Щит_спец)),IF(A414="Модуль",IF(C414="","",COUNTIFS(Однолинейка!$AW$3:$AW$3000,"?*",Однолинейка!$AI$3:$AI$3000,C414,Однолинейка!$A$3:$A$3000,Щит_спец)),IF(A414="Клемма",IF(C414="","",IF(C414=$S$7,SUMIFS(Однолинейка!$BW$3:$BW$3000,Однолинейка!$A$3:$A$3000,Щит_спец),IF(C414=$S$8,SUMIFS(Однолинейка!$BX$3:$BX$3000,Однолинейка!$A$3:$A$3000,Щит_спец),""))),""))))</f>
        <v/>
      </c>
      <c r="O414" s="74"/>
      <c r="P414" s="38" t="str">
        <f t="shared" si="54"/>
        <v/>
      </c>
      <c r="U414" s="38" t="str">
        <f t="shared" si="55"/>
        <v/>
      </c>
      <c r="V414" s="38" t="str">
        <f t="shared" si="56"/>
        <v/>
      </c>
      <c r="W414" s="38" t="str">
        <f>IF(AND(U414&lt;&gt;"",OR($S$4="(все)",B414=$S$4),IF($S$4="(все)",COUNTIF($U$4:U414,U414),COUNTIFS($U$4:U414,U414,$B$4:B414,B414))=1),MAX($W$3:W413)+1,"")</f>
        <v/>
      </c>
      <c r="X414" s="38" t="str">
        <f t="shared" si="57"/>
        <v/>
      </c>
      <c r="Y414" s="38" t="str">
        <f>IF(AND(A414="Аппарат",C414&lt;&gt;"",OR($S$5="(все)",B414=$S$5)),MAX($Y$3:Y413)+1,"")</f>
        <v/>
      </c>
      <c r="Z414" s="38" t="str">
        <f t="shared" si="58"/>
        <v/>
      </c>
      <c r="AA414" s="38" t="str">
        <f>IF(AND(A414="Модуль",C414&lt;&gt;"",OR($S$6="(все)",B414=$S$6)),MAX($AA$3:AA413)+1,"")</f>
        <v/>
      </c>
      <c r="AB414" s="38" t="str">
        <f t="shared" si="59"/>
        <v/>
      </c>
      <c r="AC414" s="38" t="str">
        <f>IF(OR(B414="",COUNTIF($B$4:B414,B414)&gt;1),"",MAX($AC$3:AC413)+1)</f>
        <v/>
      </c>
      <c r="AD414" s="38" t="str">
        <f t="shared" si="60"/>
        <v/>
      </c>
      <c r="AE414" s="38" t="str">
        <f t="shared" si="61"/>
        <v/>
      </c>
      <c r="AF414" s="38" t="str">
        <f t="shared" si="62"/>
        <v/>
      </c>
    </row>
    <row r="415" spans="1:32" x14ac:dyDescent="0.3">
      <c r="A415" s="74"/>
      <c r="B415" s="74"/>
      <c r="C415" s="74"/>
      <c r="D415" s="74"/>
      <c r="E415" s="74"/>
      <c r="F415" s="74"/>
      <c r="G415" s="74"/>
      <c r="H415" s="74"/>
      <c r="I415" s="74"/>
      <c r="J415" s="74"/>
      <c r="K415" s="74"/>
      <c r="L415" s="74"/>
      <c r="M415" s="74"/>
      <c r="N415" s="38" t="str">
        <f>IF(OR(A415="Автомат",A415="Дифавтомат"),IF(W415="","",COUNTIFS(Однолинейка!$H$3:$H$3000,U415,Однолинейка!$A$3:$A$3000,Щит_спец)),IF(A415="Аппарат",IF(C415="","",COUNTIFS(Однолинейка!$I$3:$I$3000,C415,Однолинейка!$A$3:$A$3000,Щит_спец)+COUNTIFS(Однолинейка!$J$3:$J$3000,C415,Однолинейка!$A$3:$A$3000,Щит_спец)+COUNTIFS(Однолинейка!$K$3:$K$3000,C415,Однолинейка!$A$3:$A$3000,Щит_спец)),IF(A415="Модуль",IF(C415="","",COUNTIFS(Однолинейка!$AW$3:$AW$3000,"?*",Однолинейка!$AI$3:$AI$3000,C415,Однолинейка!$A$3:$A$3000,Щит_спец)),IF(A415="Клемма",IF(C415="","",IF(C415=$S$7,SUMIFS(Однолинейка!$BW$3:$BW$3000,Однолинейка!$A$3:$A$3000,Щит_спец),IF(C415=$S$8,SUMIFS(Однолинейка!$BX$3:$BX$3000,Однолинейка!$A$3:$A$3000,Щит_спец),""))),""))))</f>
        <v/>
      </c>
      <c r="O415" s="74"/>
      <c r="P415" s="38" t="str">
        <f t="shared" si="54"/>
        <v/>
      </c>
      <c r="U415" s="38" t="str">
        <f t="shared" si="55"/>
        <v/>
      </c>
      <c r="V415" s="38" t="str">
        <f t="shared" si="56"/>
        <v/>
      </c>
      <c r="W415" s="38" t="str">
        <f>IF(AND(U415&lt;&gt;"",OR($S$4="(все)",B415=$S$4),IF($S$4="(все)",COUNTIF($U$4:U415,U415),COUNTIFS($U$4:U415,U415,$B$4:B415,B415))=1),MAX($W$3:W414)+1,"")</f>
        <v/>
      </c>
      <c r="X415" s="38" t="str">
        <f t="shared" si="57"/>
        <v/>
      </c>
      <c r="Y415" s="38" t="str">
        <f>IF(AND(A415="Аппарат",C415&lt;&gt;"",OR($S$5="(все)",B415=$S$5)),MAX($Y$3:Y414)+1,"")</f>
        <v/>
      </c>
      <c r="Z415" s="38" t="str">
        <f t="shared" si="58"/>
        <v/>
      </c>
      <c r="AA415" s="38" t="str">
        <f>IF(AND(A415="Модуль",C415&lt;&gt;"",OR($S$6="(все)",B415=$S$6)),MAX($AA$3:AA414)+1,"")</f>
        <v/>
      </c>
      <c r="AB415" s="38" t="str">
        <f t="shared" si="59"/>
        <v/>
      </c>
      <c r="AC415" s="38" t="str">
        <f>IF(OR(B415="",COUNTIF($B$4:B415,B415)&gt;1),"",MAX($AC$3:AC414)+1)</f>
        <v/>
      </c>
      <c r="AD415" s="38" t="str">
        <f t="shared" si="60"/>
        <v/>
      </c>
      <c r="AE415" s="38" t="str">
        <f t="shared" si="61"/>
        <v/>
      </c>
      <c r="AF415" s="38" t="str">
        <f t="shared" si="62"/>
        <v/>
      </c>
    </row>
    <row r="416" spans="1:32" x14ac:dyDescent="0.3">
      <c r="A416" s="74"/>
      <c r="B416" s="74"/>
      <c r="C416" s="74"/>
      <c r="D416" s="74"/>
      <c r="E416" s="74"/>
      <c r="F416" s="74"/>
      <c r="G416" s="74"/>
      <c r="H416" s="74"/>
      <c r="I416" s="74"/>
      <c r="J416" s="74"/>
      <c r="K416" s="74"/>
      <c r="L416" s="74"/>
      <c r="M416" s="74"/>
      <c r="N416" s="38" t="str">
        <f>IF(OR(A416="Автомат",A416="Дифавтомат"),IF(W416="","",COUNTIFS(Однолинейка!$H$3:$H$3000,U416,Однолинейка!$A$3:$A$3000,Щит_спец)),IF(A416="Аппарат",IF(C416="","",COUNTIFS(Однолинейка!$I$3:$I$3000,C416,Однолинейка!$A$3:$A$3000,Щит_спец)+COUNTIFS(Однолинейка!$J$3:$J$3000,C416,Однолинейка!$A$3:$A$3000,Щит_спец)+COUNTIFS(Однолинейка!$K$3:$K$3000,C416,Однолинейка!$A$3:$A$3000,Щит_спец)),IF(A416="Модуль",IF(C416="","",COUNTIFS(Однолинейка!$AW$3:$AW$3000,"?*",Однолинейка!$AI$3:$AI$3000,C416,Однолинейка!$A$3:$A$3000,Щит_спец)),IF(A416="Клемма",IF(C416="","",IF(C416=$S$7,SUMIFS(Однолинейка!$BW$3:$BW$3000,Однолинейка!$A$3:$A$3000,Щит_спец),IF(C416=$S$8,SUMIFS(Однолинейка!$BX$3:$BX$3000,Однолинейка!$A$3:$A$3000,Щит_спец),""))),""))))</f>
        <v/>
      </c>
      <c r="O416" s="74"/>
      <c r="P416" s="38" t="str">
        <f t="shared" si="54"/>
        <v/>
      </c>
      <c r="U416" s="38" t="str">
        <f t="shared" si="55"/>
        <v/>
      </c>
      <c r="V416" s="38" t="str">
        <f t="shared" si="56"/>
        <v/>
      </c>
      <c r="W416" s="38" t="str">
        <f>IF(AND(U416&lt;&gt;"",OR($S$4="(все)",B416=$S$4),IF($S$4="(все)",COUNTIF($U$4:U416,U416),COUNTIFS($U$4:U416,U416,$B$4:B416,B416))=1),MAX($W$3:W415)+1,"")</f>
        <v/>
      </c>
      <c r="X416" s="38" t="str">
        <f t="shared" si="57"/>
        <v/>
      </c>
      <c r="Y416" s="38" t="str">
        <f>IF(AND(A416="Аппарат",C416&lt;&gt;"",OR($S$5="(все)",B416=$S$5)),MAX($Y$3:Y415)+1,"")</f>
        <v/>
      </c>
      <c r="Z416" s="38" t="str">
        <f t="shared" si="58"/>
        <v/>
      </c>
      <c r="AA416" s="38" t="str">
        <f>IF(AND(A416="Модуль",C416&lt;&gt;"",OR($S$6="(все)",B416=$S$6)),MAX($AA$3:AA415)+1,"")</f>
        <v/>
      </c>
      <c r="AB416" s="38" t="str">
        <f t="shared" si="59"/>
        <v/>
      </c>
      <c r="AC416" s="38" t="str">
        <f>IF(OR(B416="",COUNTIF($B$4:B416,B416)&gt;1),"",MAX($AC$3:AC415)+1)</f>
        <v/>
      </c>
      <c r="AD416" s="38" t="str">
        <f t="shared" si="60"/>
        <v/>
      </c>
      <c r="AE416" s="38" t="str">
        <f t="shared" si="61"/>
        <v/>
      </c>
      <c r="AF416" s="38" t="str">
        <f t="shared" si="62"/>
        <v/>
      </c>
    </row>
    <row r="417" spans="1:32" x14ac:dyDescent="0.3">
      <c r="A417" s="74"/>
      <c r="B417" s="74"/>
      <c r="C417" s="74"/>
      <c r="D417" s="74"/>
      <c r="E417" s="74"/>
      <c r="F417" s="74"/>
      <c r="G417" s="74"/>
      <c r="H417" s="74"/>
      <c r="I417" s="74"/>
      <c r="J417" s="74"/>
      <c r="K417" s="74"/>
      <c r="L417" s="74"/>
      <c r="M417" s="74"/>
      <c r="N417" s="38" t="str">
        <f>IF(OR(A417="Автомат",A417="Дифавтомат"),IF(W417="","",COUNTIFS(Однолинейка!$H$3:$H$3000,U417,Однолинейка!$A$3:$A$3000,Щит_спец)),IF(A417="Аппарат",IF(C417="","",COUNTIFS(Однолинейка!$I$3:$I$3000,C417,Однолинейка!$A$3:$A$3000,Щит_спец)+COUNTIFS(Однолинейка!$J$3:$J$3000,C417,Однолинейка!$A$3:$A$3000,Щит_спец)+COUNTIFS(Однолинейка!$K$3:$K$3000,C417,Однолинейка!$A$3:$A$3000,Щит_спец)),IF(A417="Модуль",IF(C417="","",COUNTIFS(Однолинейка!$AW$3:$AW$3000,"?*",Однолинейка!$AI$3:$AI$3000,C417,Однолинейка!$A$3:$A$3000,Щит_спец)),IF(A417="Клемма",IF(C417="","",IF(C417=$S$7,SUMIFS(Однолинейка!$BW$3:$BW$3000,Однолинейка!$A$3:$A$3000,Щит_спец),IF(C417=$S$8,SUMIFS(Однолинейка!$BX$3:$BX$3000,Однолинейка!$A$3:$A$3000,Щит_спец),""))),""))))</f>
        <v/>
      </c>
      <c r="O417" s="74"/>
      <c r="P417" s="38" t="str">
        <f t="shared" si="54"/>
        <v/>
      </c>
      <c r="U417" s="38" t="str">
        <f t="shared" si="55"/>
        <v/>
      </c>
      <c r="V417" s="38" t="str">
        <f t="shared" si="56"/>
        <v/>
      </c>
      <c r="W417" s="38" t="str">
        <f>IF(AND(U417&lt;&gt;"",OR($S$4="(все)",B417=$S$4),IF($S$4="(все)",COUNTIF($U$4:U417,U417),COUNTIFS($U$4:U417,U417,$B$4:B417,B417))=1),MAX($W$3:W416)+1,"")</f>
        <v/>
      </c>
      <c r="X417" s="38" t="str">
        <f t="shared" si="57"/>
        <v/>
      </c>
      <c r="Y417" s="38" t="str">
        <f>IF(AND(A417="Аппарат",C417&lt;&gt;"",OR($S$5="(все)",B417=$S$5)),MAX($Y$3:Y416)+1,"")</f>
        <v/>
      </c>
      <c r="Z417" s="38" t="str">
        <f t="shared" si="58"/>
        <v/>
      </c>
      <c r="AA417" s="38" t="str">
        <f>IF(AND(A417="Модуль",C417&lt;&gt;"",OR($S$6="(все)",B417=$S$6)),MAX($AA$3:AA416)+1,"")</f>
        <v/>
      </c>
      <c r="AB417" s="38" t="str">
        <f t="shared" si="59"/>
        <v/>
      </c>
      <c r="AC417" s="38" t="str">
        <f>IF(OR(B417="",COUNTIF($B$4:B417,B417)&gt;1),"",MAX($AC$3:AC416)+1)</f>
        <v/>
      </c>
      <c r="AD417" s="38" t="str">
        <f t="shared" si="60"/>
        <v/>
      </c>
      <c r="AE417" s="38" t="str">
        <f t="shared" si="61"/>
        <v/>
      </c>
      <c r="AF417" s="38" t="str">
        <f t="shared" si="62"/>
        <v/>
      </c>
    </row>
    <row r="418" spans="1:32" x14ac:dyDescent="0.3">
      <c r="A418" s="74"/>
      <c r="B418" s="74"/>
      <c r="C418" s="74"/>
      <c r="D418" s="74"/>
      <c r="E418" s="74"/>
      <c r="F418" s="74"/>
      <c r="G418" s="74"/>
      <c r="H418" s="74"/>
      <c r="I418" s="74"/>
      <c r="J418" s="74"/>
      <c r="K418" s="74"/>
      <c r="L418" s="74"/>
      <c r="M418" s="74"/>
      <c r="N418" s="38" t="str">
        <f>IF(OR(A418="Автомат",A418="Дифавтомат"),IF(W418="","",COUNTIFS(Однолинейка!$H$3:$H$3000,U418,Однолинейка!$A$3:$A$3000,Щит_спец)),IF(A418="Аппарат",IF(C418="","",COUNTIFS(Однолинейка!$I$3:$I$3000,C418,Однолинейка!$A$3:$A$3000,Щит_спец)+COUNTIFS(Однолинейка!$J$3:$J$3000,C418,Однолинейка!$A$3:$A$3000,Щит_спец)+COUNTIFS(Однолинейка!$K$3:$K$3000,C418,Однолинейка!$A$3:$A$3000,Щит_спец)),IF(A418="Модуль",IF(C418="","",COUNTIFS(Однолинейка!$AW$3:$AW$3000,"?*",Однолинейка!$AI$3:$AI$3000,C418,Однолинейка!$A$3:$A$3000,Щит_спец)),IF(A418="Клемма",IF(C418="","",IF(C418=$S$7,SUMIFS(Однолинейка!$BW$3:$BW$3000,Однолинейка!$A$3:$A$3000,Щит_спец),IF(C418=$S$8,SUMIFS(Однолинейка!$BX$3:$BX$3000,Однолинейка!$A$3:$A$3000,Щит_спец),""))),""))))</f>
        <v/>
      </c>
      <c r="O418" s="74"/>
      <c r="P418" s="38" t="str">
        <f t="shared" si="54"/>
        <v/>
      </c>
      <c r="U418" s="38" t="str">
        <f t="shared" si="55"/>
        <v/>
      </c>
      <c r="V418" s="38" t="str">
        <f t="shared" si="56"/>
        <v/>
      </c>
      <c r="W418" s="38" t="str">
        <f>IF(AND(U418&lt;&gt;"",OR($S$4="(все)",B418=$S$4),IF($S$4="(все)",COUNTIF($U$4:U418,U418),COUNTIFS($U$4:U418,U418,$B$4:B418,B418))=1),MAX($W$3:W417)+1,"")</f>
        <v/>
      </c>
      <c r="X418" s="38" t="str">
        <f t="shared" si="57"/>
        <v/>
      </c>
      <c r="Y418" s="38" t="str">
        <f>IF(AND(A418="Аппарат",C418&lt;&gt;"",OR($S$5="(все)",B418=$S$5)),MAX($Y$3:Y417)+1,"")</f>
        <v/>
      </c>
      <c r="Z418" s="38" t="str">
        <f t="shared" si="58"/>
        <v/>
      </c>
      <c r="AA418" s="38" t="str">
        <f>IF(AND(A418="Модуль",C418&lt;&gt;"",OR($S$6="(все)",B418=$S$6)),MAX($AA$3:AA417)+1,"")</f>
        <v/>
      </c>
      <c r="AB418" s="38" t="str">
        <f t="shared" si="59"/>
        <v/>
      </c>
      <c r="AC418" s="38" t="str">
        <f>IF(OR(B418="",COUNTIF($B$4:B418,B418)&gt;1),"",MAX($AC$3:AC417)+1)</f>
        <v/>
      </c>
      <c r="AD418" s="38" t="str">
        <f t="shared" si="60"/>
        <v/>
      </c>
      <c r="AE418" s="38" t="str">
        <f t="shared" si="61"/>
        <v/>
      </c>
      <c r="AF418" s="38" t="str">
        <f t="shared" si="62"/>
        <v/>
      </c>
    </row>
    <row r="419" spans="1:32" x14ac:dyDescent="0.3">
      <c r="A419" s="74"/>
      <c r="B419" s="74"/>
      <c r="C419" s="74"/>
      <c r="D419" s="74"/>
      <c r="E419" s="74"/>
      <c r="F419" s="74"/>
      <c r="G419" s="74"/>
      <c r="H419" s="74"/>
      <c r="I419" s="74"/>
      <c r="J419" s="74"/>
      <c r="K419" s="74"/>
      <c r="L419" s="74"/>
      <c r="M419" s="74"/>
      <c r="N419" s="38" t="str">
        <f>IF(OR(A419="Автомат",A419="Дифавтомат"),IF(W419="","",COUNTIFS(Однолинейка!$H$3:$H$3000,U419,Однолинейка!$A$3:$A$3000,Щит_спец)),IF(A419="Аппарат",IF(C419="","",COUNTIFS(Однолинейка!$I$3:$I$3000,C419,Однолинейка!$A$3:$A$3000,Щит_спец)+COUNTIFS(Однолинейка!$J$3:$J$3000,C419,Однолинейка!$A$3:$A$3000,Щит_спец)+COUNTIFS(Однолинейка!$K$3:$K$3000,C419,Однолинейка!$A$3:$A$3000,Щит_спец)),IF(A419="Модуль",IF(C419="","",COUNTIFS(Однолинейка!$AW$3:$AW$3000,"?*",Однолинейка!$AI$3:$AI$3000,C419,Однолинейка!$A$3:$A$3000,Щит_спец)),IF(A419="Клемма",IF(C419="","",IF(C419=$S$7,SUMIFS(Однолинейка!$BW$3:$BW$3000,Однолинейка!$A$3:$A$3000,Щит_спец),IF(C419=$S$8,SUMIFS(Однолинейка!$BX$3:$BX$3000,Однолинейка!$A$3:$A$3000,Щит_спец),""))),""))))</f>
        <v/>
      </c>
      <c r="O419" s="74"/>
      <c r="P419" s="38" t="str">
        <f t="shared" si="54"/>
        <v/>
      </c>
      <c r="U419" s="38" t="str">
        <f t="shared" si="55"/>
        <v/>
      </c>
      <c r="V419" s="38" t="str">
        <f t="shared" si="56"/>
        <v/>
      </c>
      <c r="W419" s="38" t="str">
        <f>IF(AND(U419&lt;&gt;"",OR($S$4="(все)",B419=$S$4),IF($S$4="(все)",COUNTIF($U$4:U419,U419),COUNTIFS($U$4:U419,U419,$B$4:B419,B419))=1),MAX($W$3:W418)+1,"")</f>
        <v/>
      </c>
      <c r="X419" s="38" t="str">
        <f t="shared" si="57"/>
        <v/>
      </c>
      <c r="Y419" s="38" t="str">
        <f>IF(AND(A419="Аппарат",C419&lt;&gt;"",OR($S$5="(все)",B419=$S$5)),MAX($Y$3:Y418)+1,"")</f>
        <v/>
      </c>
      <c r="Z419" s="38" t="str">
        <f t="shared" si="58"/>
        <v/>
      </c>
      <c r="AA419" s="38" t="str">
        <f>IF(AND(A419="Модуль",C419&lt;&gt;"",OR($S$6="(все)",B419=$S$6)),MAX($AA$3:AA418)+1,"")</f>
        <v/>
      </c>
      <c r="AB419" s="38" t="str">
        <f t="shared" si="59"/>
        <v/>
      </c>
      <c r="AC419" s="38" t="str">
        <f>IF(OR(B419="",COUNTIF($B$4:B419,B419)&gt;1),"",MAX($AC$3:AC418)+1)</f>
        <v/>
      </c>
      <c r="AD419" s="38" t="str">
        <f t="shared" si="60"/>
        <v/>
      </c>
      <c r="AE419" s="38" t="str">
        <f t="shared" si="61"/>
        <v/>
      </c>
      <c r="AF419" s="38" t="str">
        <f t="shared" si="62"/>
        <v/>
      </c>
    </row>
    <row r="420" spans="1:32" x14ac:dyDescent="0.3">
      <c r="A420" s="74"/>
      <c r="B420" s="74"/>
      <c r="C420" s="74"/>
      <c r="D420" s="74"/>
      <c r="E420" s="74"/>
      <c r="F420" s="74"/>
      <c r="G420" s="74"/>
      <c r="H420" s="74"/>
      <c r="I420" s="74"/>
      <c r="J420" s="74"/>
      <c r="K420" s="74"/>
      <c r="L420" s="74"/>
      <c r="M420" s="74"/>
      <c r="N420" s="38" t="str">
        <f>IF(OR(A420="Автомат",A420="Дифавтомат"),IF(W420="","",COUNTIFS(Однолинейка!$H$3:$H$3000,U420,Однолинейка!$A$3:$A$3000,Щит_спец)),IF(A420="Аппарат",IF(C420="","",COUNTIFS(Однолинейка!$I$3:$I$3000,C420,Однолинейка!$A$3:$A$3000,Щит_спец)+COUNTIFS(Однолинейка!$J$3:$J$3000,C420,Однолинейка!$A$3:$A$3000,Щит_спец)+COUNTIFS(Однолинейка!$K$3:$K$3000,C420,Однолинейка!$A$3:$A$3000,Щит_спец)),IF(A420="Модуль",IF(C420="","",COUNTIFS(Однолинейка!$AW$3:$AW$3000,"?*",Однолинейка!$AI$3:$AI$3000,C420,Однолинейка!$A$3:$A$3000,Щит_спец)),IF(A420="Клемма",IF(C420="","",IF(C420=$S$7,SUMIFS(Однолинейка!$BW$3:$BW$3000,Однолинейка!$A$3:$A$3000,Щит_спец),IF(C420=$S$8,SUMIFS(Однолинейка!$BX$3:$BX$3000,Однолинейка!$A$3:$A$3000,Щит_спец),""))),""))))</f>
        <v/>
      </c>
      <c r="O420" s="74"/>
      <c r="P420" s="38" t="str">
        <f t="shared" si="54"/>
        <v/>
      </c>
      <c r="U420" s="38" t="str">
        <f t="shared" si="55"/>
        <v/>
      </c>
      <c r="V420" s="38" t="str">
        <f t="shared" si="56"/>
        <v/>
      </c>
      <c r="W420" s="38" t="str">
        <f>IF(AND(U420&lt;&gt;"",OR($S$4="(все)",B420=$S$4),IF($S$4="(все)",COUNTIF($U$4:U420,U420),COUNTIFS($U$4:U420,U420,$B$4:B420,B420))=1),MAX($W$3:W419)+1,"")</f>
        <v/>
      </c>
      <c r="X420" s="38" t="str">
        <f t="shared" si="57"/>
        <v/>
      </c>
      <c r="Y420" s="38" t="str">
        <f>IF(AND(A420="Аппарат",C420&lt;&gt;"",OR($S$5="(все)",B420=$S$5)),MAX($Y$3:Y419)+1,"")</f>
        <v/>
      </c>
      <c r="Z420" s="38" t="str">
        <f t="shared" si="58"/>
        <v/>
      </c>
      <c r="AA420" s="38" t="str">
        <f>IF(AND(A420="Модуль",C420&lt;&gt;"",OR($S$6="(все)",B420=$S$6)),MAX($AA$3:AA419)+1,"")</f>
        <v/>
      </c>
      <c r="AB420" s="38" t="str">
        <f t="shared" si="59"/>
        <v/>
      </c>
      <c r="AC420" s="38" t="str">
        <f>IF(OR(B420="",COUNTIF($B$4:B420,B420)&gt;1),"",MAX($AC$3:AC419)+1)</f>
        <v/>
      </c>
      <c r="AD420" s="38" t="str">
        <f t="shared" si="60"/>
        <v/>
      </c>
      <c r="AE420" s="38" t="str">
        <f t="shared" si="61"/>
        <v/>
      </c>
      <c r="AF420" s="38" t="str">
        <f t="shared" si="62"/>
        <v/>
      </c>
    </row>
    <row r="421" spans="1:32" x14ac:dyDescent="0.3">
      <c r="A421" s="74"/>
      <c r="B421" s="74"/>
      <c r="C421" s="74"/>
      <c r="D421" s="74"/>
      <c r="E421" s="74"/>
      <c r="F421" s="74"/>
      <c r="G421" s="74"/>
      <c r="H421" s="74"/>
      <c r="I421" s="74"/>
      <c r="J421" s="74"/>
      <c r="K421" s="74"/>
      <c r="L421" s="74"/>
      <c r="M421" s="74"/>
      <c r="N421" s="38" t="str">
        <f>IF(OR(A421="Автомат",A421="Дифавтомат"),IF(W421="","",COUNTIFS(Однолинейка!$H$3:$H$3000,U421,Однолинейка!$A$3:$A$3000,Щит_спец)),IF(A421="Аппарат",IF(C421="","",COUNTIFS(Однолинейка!$I$3:$I$3000,C421,Однолинейка!$A$3:$A$3000,Щит_спец)+COUNTIFS(Однолинейка!$J$3:$J$3000,C421,Однолинейка!$A$3:$A$3000,Щит_спец)+COUNTIFS(Однолинейка!$K$3:$K$3000,C421,Однолинейка!$A$3:$A$3000,Щит_спец)),IF(A421="Модуль",IF(C421="","",COUNTIFS(Однолинейка!$AW$3:$AW$3000,"?*",Однолинейка!$AI$3:$AI$3000,C421,Однолинейка!$A$3:$A$3000,Щит_спец)),IF(A421="Клемма",IF(C421="","",IF(C421=$S$7,SUMIFS(Однолинейка!$BW$3:$BW$3000,Однолинейка!$A$3:$A$3000,Щит_спец),IF(C421=$S$8,SUMIFS(Однолинейка!$BX$3:$BX$3000,Однолинейка!$A$3:$A$3000,Щит_спец),""))),""))))</f>
        <v/>
      </c>
      <c r="O421" s="74"/>
      <c r="P421" s="38" t="str">
        <f t="shared" si="54"/>
        <v/>
      </c>
      <c r="U421" s="38" t="str">
        <f t="shared" si="55"/>
        <v/>
      </c>
      <c r="V421" s="38" t="str">
        <f t="shared" si="56"/>
        <v/>
      </c>
      <c r="W421" s="38" t="str">
        <f>IF(AND(U421&lt;&gt;"",OR($S$4="(все)",B421=$S$4),IF($S$4="(все)",COUNTIF($U$4:U421,U421),COUNTIFS($U$4:U421,U421,$B$4:B421,B421))=1),MAX($W$3:W420)+1,"")</f>
        <v/>
      </c>
      <c r="X421" s="38" t="str">
        <f t="shared" si="57"/>
        <v/>
      </c>
      <c r="Y421" s="38" t="str">
        <f>IF(AND(A421="Аппарат",C421&lt;&gt;"",OR($S$5="(все)",B421=$S$5)),MAX($Y$3:Y420)+1,"")</f>
        <v/>
      </c>
      <c r="Z421" s="38" t="str">
        <f t="shared" si="58"/>
        <v/>
      </c>
      <c r="AA421" s="38" t="str">
        <f>IF(AND(A421="Модуль",C421&lt;&gt;"",OR($S$6="(все)",B421=$S$6)),MAX($AA$3:AA420)+1,"")</f>
        <v/>
      </c>
      <c r="AB421" s="38" t="str">
        <f t="shared" si="59"/>
        <v/>
      </c>
      <c r="AC421" s="38" t="str">
        <f>IF(OR(B421="",COUNTIF($B$4:B421,B421)&gt;1),"",MAX($AC$3:AC420)+1)</f>
        <v/>
      </c>
      <c r="AD421" s="38" t="str">
        <f t="shared" si="60"/>
        <v/>
      </c>
      <c r="AE421" s="38" t="str">
        <f t="shared" si="61"/>
        <v/>
      </c>
      <c r="AF421" s="38" t="str">
        <f t="shared" si="62"/>
        <v/>
      </c>
    </row>
    <row r="422" spans="1:32" x14ac:dyDescent="0.3">
      <c r="A422" s="74"/>
      <c r="B422" s="74"/>
      <c r="C422" s="74"/>
      <c r="D422" s="74"/>
      <c r="E422" s="74"/>
      <c r="F422" s="74"/>
      <c r="G422" s="74"/>
      <c r="H422" s="74"/>
      <c r="I422" s="74"/>
      <c r="J422" s="74"/>
      <c r="K422" s="74"/>
      <c r="L422" s="74"/>
      <c r="M422" s="74"/>
      <c r="N422" s="38" t="str">
        <f>IF(OR(A422="Автомат",A422="Дифавтомат"),IF(W422="","",COUNTIFS(Однолинейка!$H$3:$H$3000,U422,Однолинейка!$A$3:$A$3000,Щит_спец)),IF(A422="Аппарат",IF(C422="","",COUNTIFS(Однолинейка!$I$3:$I$3000,C422,Однолинейка!$A$3:$A$3000,Щит_спец)+COUNTIFS(Однолинейка!$J$3:$J$3000,C422,Однолинейка!$A$3:$A$3000,Щит_спец)+COUNTIFS(Однолинейка!$K$3:$K$3000,C422,Однолинейка!$A$3:$A$3000,Щит_спец)),IF(A422="Модуль",IF(C422="","",COUNTIFS(Однолинейка!$AW$3:$AW$3000,"?*",Однолинейка!$AI$3:$AI$3000,C422,Однолинейка!$A$3:$A$3000,Щит_спец)),IF(A422="Клемма",IF(C422="","",IF(C422=$S$7,SUMIFS(Однолинейка!$BW$3:$BW$3000,Однолинейка!$A$3:$A$3000,Щит_спец),IF(C422=$S$8,SUMIFS(Однолинейка!$BX$3:$BX$3000,Однолинейка!$A$3:$A$3000,Щит_спец),""))),""))))</f>
        <v/>
      </c>
      <c r="O422" s="74"/>
      <c r="P422" s="38" t="str">
        <f t="shared" si="54"/>
        <v/>
      </c>
      <c r="U422" s="38" t="str">
        <f t="shared" si="55"/>
        <v/>
      </c>
      <c r="V422" s="38" t="str">
        <f t="shared" si="56"/>
        <v/>
      </c>
      <c r="W422" s="38" t="str">
        <f>IF(AND(U422&lt;&gt;"",OR($S$4="(все)",B422=$S$4),IF($S$4="(все)",COUNTIF($U$4:U422,U422),COUNTIFS($U$4:U422,U422,$B$4:B422,B422))=1),MAX($W$3:W421)+1,"")</f>
        <v/>
      </c>
      <c r="X422" s="38" t="str">
        <f t="shared" si="57"/>
        <v/>
      </c>
      <c r="Y422" s="38" t="str">
        <f>IF(AND(A422="Аппарат",C422&lt;&gt;"",OR($S$5="(все)",B422=$S$5)),MAX($Y$3:Y421)+1,"")</f>
        <v/>
      </c>
      <c r="Z422" s="38" t="str">
        <f t="shared" si="58"/>
        <v/>
      </c>
      <c r="AA422" s="38" t="str">
        <f>IF(AND(A422="Модуль",C422&lt;&gt;"",OR($S$6="(все)",B422=$S$6)),MAX($AA$3:AA421)+1,"")</f>
        <v/>
      </c>
      <c r="AB422" s="38" t="str">
        <f t="shared" si="59"/>
        <v/>
      </c>
      <c r="AC422" s="38" t="str">
        <f>IF(OR(B422="",COUNTIF($B$4:B422,B422)&gt;1),"",MAX($AC$3:AC421)+1)</f>
        <v/>
      </c>
      <c r="AD422" s="38" t="str">
        <f t="shared" si="60"/>
        <v/>
      </c>
      <c r="AE422" s="38" t="str">
        <f t="shared" si="61"/>
        <v/>
      </c>
      <c r="AF422" s="38" t="str">
        <f t="shared" si="62"/>
        <v/>
      </c>
    </row>
    <row r="423" spans="1:32" x14ac:dyDescent="0.3">
      <c r="A423" s="74"/>
      <c r="B423" s="74"/>
      <c r="C423" s="74"/>
      <c r="D423" s="74"/>
      <c r="E423" s="74"/>
      <c r="F423" s="74"/>
      <c r="G423" s="74"/>
      <c r="H423" s="74"/>
      <c r="I423" s="74"/>
      <c r="J423" s="74"/>
      <c r="K423" s="74"/>
      <c r="L423" s="74"/>
      <c r="M423" s="74"/>
      <c r="N423" s="38" t="str">
        <f>IF(OR(A423="Автомат",A423="Дифавтомат"),IF(W423="","",COUNTIFS(Однолинейка!$H$3:$H$3000,U423,Однолинейка!$A$3:$A$3000,Щит_спец)),IF(A423="Аппарат",IF(C423="","",COUNTIFS(Однолинейка!$I$3:$I$3000,C423,Однолинейка!$A$3:$A$3000,Щит_спец)+COUNTIFS(Однолинейка!$J$3:$J$3000,C423,Однолинейка!$A$3:$A$3000,Щит_спец)+COUNTIFS(Однолинейка!$K$3:$K$3000,C423,Однолинейка!$A$3:$A$3000,Щит_спец)),IF(A423="Модуль",IF(C423="","",COUNTIFS(Однолинейка!$AW$3:$AW$3000,"?*",Однолинейка!$AI$3:$AI$3000,C423,Однолинейка!$A$3:$A$3000,Щит_спец)),IF(A423="Клемма",IF(C423="","",IF(C423=$S$7,SUMIFS(Однолинейка!$BW$3:$BW$3000,Однолинейка!$A$3:$A$3000,Щит_спец),IF(C423=$S$8,SUMIFS(Однолинейка!$BX$3:$BX$3000,Однолинейка!$A$3:$A$3000,Щит_спец),""))),""))))</f>
        <v/>
      </c>
      <c r="O423" s="74"/>
      <c r="P423" s="38" t="str">
        <f t="shared" si="54"/>
        <v/>
      </c>
      <c r="U423" s="38" t="str">
        <f t="shared" si="55"/>
        <v/>
      </c>
      <c r="V423" s="38" t="str">
        <f t="shared" si="56"/>
        <v/>
      </c>
      <c r="W423" s="38" t="str">
        <f>IF(AND(U423&lt;&gt;"",OR($S$4="(все)",B423=$S$4),IF($S$4="(все)",COUNTIF($U$4:U423,U423),COUNTIFS($U$4:U423,U423,$B$4:B423,B423))=1),MAX($W$3:W422)+1,"")</f>
        <v/>
      </c>
      <c r="X423" s="38" t="str">
        <f t="shared" si="57"/>
        <v/>
      </c>
      <c r="Y423" s="38" t="str">
        <f>IF(AND(A423="Аппарат",C423&lt;&gt;"",OR($S$5="(все)",B423=$S$5)),MAX($Y$3:Y422)+1,"")</f>
        <v/>
      </c>
      <c r="Z423" s="38" t="str">
        <f t="shared" si="58"/>
        <v/>
      </c>
      <c r="AA423" s="38" t="str">
        <f>IF(AND(A423="Модуль",C423&lt;&gt;"",OR($S$6="(все)",B423=$S$6)),MAX($AA$3:AA422)+1,"")</f>
        <v/>
      </c>
      <c r="AB423" s="38" t="str">
        <f t="shared" si="59"/>
        <v/>
      </c>
      <c r="AC423" s="38" t="str">
        <f>IF(OR(B423="",COUNTIF($B$4:B423,B423)&gt;1),"",MAX($AC$3:AC422)+1)</f>
        <v/>
      </c>
      <c r="AD423" s="38" t="str">
        <f t="shared" si="60"/>
        <v/>
      </c>
      <c r="AE423" s="38" t="str">
        <f t="shared" si="61"/>
        <v/>
      </c>
      <c r="AF423" s="38" t="str">
        <f t="shared" si="62"/>
        <v/>
      </c>
    </row>
    <row r="424" spans="1:32" x14ac:dyDescent="0.3">
      <c r="A424" s="74"/>
      <c r="B424" s="74"/>
      <c r="C424" s="74"/>
      <c r="D424" s="74"/>
      <c r="E424" s="74"/>
      <c r="F424" s="74"/>
      <c r="G424" s="74"/>
      <c r="H424" s="74"/>
      <c r="I424" s="74"/>
      <c r="J424" s="74"/>
      <c r="K424" s="74"/>
      <c r="L424" s="74"/>
      <c r="M424" s="74"/>
      <c r="N424" s="38" t="str">
        <f>IF(OR(A424="Автомат",A424="Дифавтомат"),IF(W424="","",COUNTIFS(Однолинейка!$H$3:$H$3000,U424,Однолинейка!$A$3:$A$3000,Щит_спец)),IF(A424="Аппарат",IF(C424="","",COUNTIFS(Однолинейка!$I$3:$I$3000,C424,Однолинейка!$A$3:$A$3000,Щит_спец)+COUNTIFS(Однолинейка!$J$3:$J$3000,C424,Однолинейка!$A$3:$A$3000,Щит_спец)+COUNTIFS(Однолинейка!$K$3:$K$3000,C424,Однолинейка!$A$3:$A$3000,Щит_спец)),IF(A424="Модуль",IF(C424="","",COUNTIFS(Однолинейка!$AW$3:$AW$3000,"?*",Однолинейка!$AI$3:$AI$3000,C424,Однолинейка!$A$3:$A$3000,Щит_спец)),IF(A424="Клемма",IF(C424="","",IF(C424=$S$7,SUMIFS(Однолинейка!$BW$3:$BW$3000,Однолинейка!$A$3:$A$3000,Щит_спец),IF(C424=$S$8,SUMIFS(Однолинейка!$BX$3:$BX$3000,Однолинейка!$A$3:$A$3000,Щит_спец),""))),""))))</f>
        <v/>
      </c>
      <c r="O424" s="74"/>
      <c r="P424" s="38" t="str">
        <f t="shared" si="54"/>
        <v/>
      </c>
      <c r="U424" s="38" t="str">
        <f t="shared" si="55"/>
        <v/>
      </c>
      <c r="V424" s="38" t="str">
        <f t="shared" si="56"/>
        <v/>
      </c>
      <c r="W424" s="38" t="str">
        <f>IF(AND(U424&lt;&gt;"",OR($S$4="(все)",B424=$S$4),IF($S$4="(все)",COUNTIF($U$4:U424,U424),COUNTIFS($U$4:U424,U424,$B$4:B424,B424))=1),MAX($W$3:W423)+1,"")</f>
        <v/>
      </c>
      <c r="X424" s="38" t="str">
        <f t="shared" si="57"/>
        <v/>
      </c>
      <c r="Y424" s="38" t="str">
        <f>IF(AND(A424="Аппарат",C424&lt;&gt;"",OR($S$5="(все)",B424=$S$5)),MAX($Y$3:Y423)+1,"")</f>
        <v/>
      </c>
      <c r="Z424" s="38" t="str">
        <f t="shared" si="58"/>
        <v/>
      </c>
      <c r="AA424" s="38" t="str">
        <f>IF(AND(A424="Модуль",C424&lt;&gt;"",OR($S$6="(все)",B424=$S$6)),MAX($AA$3:AA423)+1,"")</f>
        <v/>
      </c>
      <c r="AB424" s="38" t="str">
        <f t="shared" si="59"/>
        <v/>
      </c>
      <c r="AC424" s="38" t="str">
        <f>IF(OR(B424="",COUNTIF($B$4:B424,B424)&gt;1),"",MAX($AC$3:AC423)+1)</f>
        <v/>
      </c>
      <c r="AD424" s="38" t="str">
        <f t="shared" si="60"/>
        <v/>
      </c>
      <c r="AE424" s="38" t="str">
        <f t="shared" si="61"/>
        <v/>
      </c>
      <c r="AF424" s="38" t="str">
        <f t="shared" si="62"/>
        <v/>
      </c>
    </row>
    <row r="425" spans="1:32" x14ac:dyDescent="0.3">
      <c r="A425" s="74"/>
      <c r="B425" s="74"/>
      <c r="C425" s="74"/>
      <c r="D425" s="74"/>
      <c r="E425" s="74"/>
      <c r="F425" s="74"/>
      <c r="G425" s="74"/>
      <c r="H425" s="74"/>
      <c r="I425" s="74"/>
      <c r="J425" s="74"/>
      <c r="K425" s="74"/>
      <c r="L425" s="74"/>
      <c r="M425" s="74"/>
      <c r="N425" s="38" t="str">
        <f>IF(OR(A425="Автомат",A425="Дифавтомат"),IF(W425="","",COUNTIFS(Однолинейка!$H$3:$H$3000,U425,Однолинейка!$A$3:$A$3000,Щит_спец)),IF(A425="Аппарат",IF(C425="","",COUNTIFS(Однолинейка!$I$3:$I$3000,C425,Однолинейка!$A$3:$A$3000,Щит_спец)+COUNTIFS(Однолинейка!$J$3:$J$3000,C425,Однолинейка!$A$3:$A$3000,Щит_спец)+COUNTIFS(Однолинейка!$K$3:$K$3000,C425,Однолинейка!$A$3:$A$3000,Щит_спец)),IF(A425="Модуль",IF(C425="","",COUNTIFS(Однолинейка!$AW$3:$AW$3000,"?*",Однолинейка!$AI$3:$AI$3000,C425,Однолинейка!$A$3:$A$3000,Щит_спец)),IF(A425="Клемма",IF(C425="","",IF(C425=$S$7,SUMIFS(Однолинейка!$BW$3:$BW$3000,Однолинейка!$A$3:$A$3000,Щит_спец),IF(C425=$S$8,SUMIFS(Однолинейка!$BX$3:$BX$3000,Однолинейка!$A$3:$A$3000,Щит_спец),""))),""))))</f>
        <v/>
      </c>
      <c r="O425" s="74"/>
      <c r="P425" s="38" t="str">
        <f t="shared" si="54"/>
        <v/>
      </c>
      <c r="U425" s="38" t="str">
        <f t="shared" si="55"/>
        <v/>
      </c>
      <c r="V425" s="38" t="str">
        <f t="shared" si="56"/>
        <v/>
      </c>
      <c r="W425" s="38" t="str">
        <f>IF(AND(U425&lt;&gt;"",OR($S$4="(все)",B425=$S$4),IF($S$4="(все)",COUNTIF($U$4:U425,U425),COUNTIFS($U$4:U425,U425,$B$4:B425,B425))=1),MAX($W$3:W424)+1,"")</f>
        <v/>
      </c>
      <c r="X425" s="38" t="str">
        <f t="shared" si="57"/>
        <v/>
      </c>
      <c r="Y425" s="38" t="str">
        <f>IF(AND(A425="Аппарат",C425&lt;&gt;"",OR($S$5="(все)",B425=$S$5)),MAX($Y$3:Y424)+1,"")</f>
        <v/>
      </c>
      <c r="Z425" s="38" t="str">
        <f t="shared" si="58"/>
        <v/>
      </c>
      <c r="AA425" s="38" t="str">
        <f>IF(AND(A425="Модуль",C425&lt;&gt;"",OR($S$6="(все)",B425=$S$6)),MAX($AA$3:AA424)+1,"")</f>
        <v/>
      </c>
      <c r="AB425" s="38" t="str">
        <f t="shared" si="59"/>
        <v/>
      </c>
      <c r="AC425" s="38" t="str">
        <f>IF(OR(B425="",COUNTIF($B$4:B425,B425)&gt;1),"",MAX($AC$3:AC424)+1)</f>
        <v/>
      </c>
      <c r="AD425" s="38" t="str">
        <f t="shared" si="60"/>
        <v/>
      </c>
      <c r="AE425" s="38" t="str">
        <f t="shared" si="61"/>
        <v/>
      </c>
      <c r="AF425" s="38" t="str">
        <f t="shared" si="62"/>
        <v/>
      </c>
    </row>
    <row r="426" spans="1:32" x14ac:dyDescent="0.3">
      <c r="A426" s="74"/>
      <c r="B426" s="74"/>
      <c r="C426" s="74"/>
      <c r="D426" s="74"/>
      <c r="E426" s="74"/>
      <c r="F426" s="74"/>
      <c r="G426" s="74"/>
      <c r="H426" s="74"/>
      <c r="I426" s="74"/>
      <c r="J426" s="74"/>
      <c r="K426" s="74"/>
      <c r="L426" s="74"/>
      <c r="M426" s="74"/>
      <c r="N426" s="38" t="str">
        <f>IF(OR(A426="Автомат",A426="Дифавтомат"),IF(W426="","",COUNTIFS(Однолинейка!$H$3:$H$3000,U426,Однолинейка!$A$3:$A$3000,Щит_спец)),IF(A426="Аппарат",IF(C426="","",COUNTIFS(Однолинейка!$I$3:$I$3000,C426,Однолинейка!$A$3:$A$3000,Щит_спец)+COUNTIFS(Однолинейка!$J$3:$J$3000,C426,Однолинейка!$A$3:$A$3000,Щит_спец)+COUNTIFS(Однолинейка!$K$3:$K$3000,C426,Однолинейка!$A$3:$A$3000,Щит_спец)),IF(A426="Модуль",IF(C426="","",COUNTIFS(Однолинейка!$AW$3:$AW$3000,"?*",Однолинейка!$AI$3:$AI$3000,C426,Однолинейка!$A$3:$A$3000,Щит_спец)),IF(A426="Клемма",IF(C426="","",IF(C426=$S$7,SUMIFS(Однолинейка!$BW$3:$BW$3000,Однолинейка!$A$3:$A$3000,Щит_спец),IF(C426=$S$8,SUMIFS(Однолинейка!$BX$3:$BX$3000,Однолинейка!$A$3:$A$3000,Щит_спец),""))),""))))</f>
        <v/>
      </c>
      <c r="O426" s="74"/>
      <c r="P426" s="38" t="str">
        <f t="shared" si="54"/>
        <v/>
      </c>
      <c r="U426" s="38" t="str">
        <f t="shared" si="55"/>
        <v/>
      </c>
      <c r="V426" s="38" t="str">
        <f t="shared" si="56"/>
        <v/>
      </c>
      <c r="W426" s="38" t="str">
        <f>IF(AND(U426&lt;&gt;"",OR($S$4="(все)",B426=$S$4),IF($S$4="(все)",COUNTIF($U$4:U426,U426),COUNTIFS($U$4:U426,U426,$B$4:B426,B426))=1),MAX($W$3:W425)+1,"")</f>
        <v/>
      </c>
      <c r="X426" s="38" t="str">
        <f t="shared" si="57"/>
        <v/>
      </c>
      <c r="Y426" s="38" t="str">
        <f>IF(AND(A426="Аппарат",C426&lt;&gt;"",OR($S$5="(все)",B426=$S$5)),MAX($Y$3:Y425)+1,"")</f>
        <v/>
      </c>
      <c r="Z426" s="38" t="str">
        <f t="shared" si="58"/>
        <v/>
      </c>
      <c r="AA426" s="38" t="str">
        <f>IF(AND(A426="Модуль",C426&lt;&gt;"",OR($S$6="(все)",B426=$S$6)),MAX($AA$3:AA425)+1,"")</f>
        <v/>
      </c>
      <c r="AB426" s="38" t="str">
        <f t="shared" si="59"/>
        <v/>
      </c>
      <c r="AC426" s="38" t="str">
        <f>IF(OR(B426="",COUNTIF($B$4:B426,B426)&gt;1),"",MAX($AC$3:AC425)+1)</f>
        <v/>
      </c>
      <c r="AD426" s="38" t="str">
        <f t="shared" si="60"/>
        <v/>
      </c>
      <c r="AE426" s="38" t="str">
        <f t="shared" si="61"/>
        <v/>
      </c>
      <c r="AF426" s="38" t="str">
        <f t="shared" si="62"/>
        <v/>
      </c>
    </row>
    <row r="427" spans="1:32" x14ac:dyDescent="0.3">
      <c r="A427" s="74"/>
      <c r="B427" s="74"/>
      <c r="C427" s="74"/>
      <c r="D427" s="74"/>
      <c r="E427" s="74"/>
      <c r="F427" s="74"/>
      <c r="G427" s="74"/>
      <c r="H427" s="74"/>
      <c r="I427" s="74"/>
      <c r="J427" s="74"/>
      <c r="K427" s="74"/>
      <c r="L427" s="74"/>
      <c r="M427" s="74"/>
      <c r="N427" s="38" t="str">
        <f>IF(OR(A427="Автомат",A427="Дифавтомат"),IF(W427="","",COUNTIFS(Однолинейка!$H$3:$H$3000,U427,Однолинейка!$A$3:$A$3000,Щит_спец)),IF(A427="Аппарат",IF(C427="","",COUNTIFS(Однолинейка!$I$3:$I$3000,C427,Однолинейка!$A$3:$A$3000,Щит_спец)+COUNTIFS(Однолинейка!$J$3:$J$3000,C427,Однолинейка!$A$3:$A$3000,Щит_спец)+COUNTIFS(Однолинейка!$K$3:$K$3000,C427,Однолинейка!$A$3:$A$3000,Щит_спец)),IF(A427="Модуль",IF(C427="","",COUNTIFS(Однолинейка!$AW$3:$AW$3000,"?*",Однолинейка!$AI$3:$AI$3000,C427,Однолинейка!$A$3:$A$3000,Щит_спец)),IF(A427="Клемма",IF(C427="","",IF(C427=$S$7,SUMIFS(Однолинейка!$BW$3:$BW$3000,Однолинейка!$A$3:$A$3000,Щит_спец),IF(C427=$S$8,SUMIFS(Однолинейка!$BX$3:$BX$3000,Однолинейка!$A$3:$A$3000,Щит_спец),""))),""))))</f>
        <v/>
      </c>
      <c r="O427" s="74"/>
      <c r="P427" s="38" t="str">
        <f t="shared" si="54"/>
        <v/>
      </c>
      <c r="U427" s="38" t="str">
        <f t="shared" si="55"/>
        <v/>
      </c>
      <c r="V427" s="38" t="str">
        <f t="shared" si="56"/>
        <v/>
      </c>
      <c r="W427" s="38" t="str">
        <f>IF(AND(U427&lt;&gt;"",OR($S$4="(все)",B427=$S$4),IF($S$4="(все)",COUNTIF($U$4:U427,U427),COUNTIFS($U$4:U427,U427,$B$4:B427,B427))=1),MAX($W$3:W426)+1,"")</f>
        <v/>
      </c>
      <c r="X427" s="38" t="str">
        <f t="shared" si="57"/>
        <v/>
      </c>
      <c r="Y427" s="38" t="str">
        <f>IF(AND(A427="Аппарат",C427&lt;&gt;"",OR($S$5="(все)",B427=$S$5)),MAX($Y$3:Y426)+1,"")</f>
        <v/>
      </c>
      <c r="Z427" s="38" t="str">
        <f t="shared" si="58"/>
        <v/>
      </c>
      <c r="AA427" s="38" t="str">
        <f>IF(AND(A427="Модуль",C427&lt;&gt;"",OR($S$6="(все)",B427=$S$6)),MAX($AA$3:AA426)+1,"")</f>
        <v/>
      </c>
      <c r="AB427" s="38" t="str">
        <f t="shared" si="59"/>
        <v/>
      </c>
      <c r="AC427" s="38" t="str">
        <f>IF(OR(B427="",COUNTIF($B$4:B427,B427)&gt;1),"",MAX($AC$3:AC426)+1)</f>
        <v/>
      </c>
      <c r="AD427" s="38" t="str">
        <f t="shared" si="60"/>
        <v/>
      </c>
      <c r="AE427" s="38" t="str">
        <f t="shared" si="61"/>
        <v/>
      </c>
      <c r="AF427" s="38" t="str">
        <f t="shared" si="62"/>
        <v/>
      </c>
    </row>
    <row r="428" spans="1:32" x14ac:dyDescent="0.3">
      <c r="A428" s="74"/>
      <c r="B428" s="74"/>
      <c r="C428" s="74"/>
      <c r="D428" s="74"/>
      <c r="E428" s="74"/>
      <c r="F428" s="74"/>
      <c r="G428" s="74"/>
      <c r="H428" s="74"/>
      <c r="I428" s="74"/>
      <c r="J428" s="74"/>
      <c r="K428" s="74"/>
      <c r="L428" s="74"/>
      <c r="M428" s="74"/>
      <c r="N428" s="38" t="str">
        <f>IF(OR(A428="Автомат",A428="Дифавтомат"),IF(W428="","",COUNTIFS(Однолинейка!$H$3:$H$3000,U428,Однолинейка!$A$3:$A$3000,Щит_спец)),IF(A428="Аппарат",IF(C428="","",COUNTIFS(Однолинейка!$I$3:$I$3000,C428,Однолинейка!$A$3:$A$3000,Щит_спец)+COUNTIFS(Однолинейка!$J$3:$J$3000,C428,Однолинейка!$A$3:$A$3000,Щит_спец)+COUNTIFS(Однолинейка!$K$3:$K$3000,C428,Однолинейка!$A$3:$A$3000,Щит_спец)),IF(A428="Модуль",IF(C428="","",COUNTIFS(Однолинейка!$AW$3:$AW$3000,"?*",Однолинейка!$AI$3:$AI$3000,C428,Однолинейка!$A$3:$A$3000,Щит_спец)),IF(A428="Клемма",IF(C428="","",IF(C428=$S$7,SUMIFS(Однолинейка!$BW$3:$BW$3000,Однолинейка!$A$3:$A$3000,Щит_спец),IF(C428=$S$8,SUMIFS(Однолинейка!$BX$3:$BX$3000,Однолинейка!$A$3:$A$3000,Щит_спец),""))),""))))</f>
        <v/>
      </c>
      <c r="O428" s="74"/>
      <c r="P428" s="38" t="str">
        <f t="shared" si="54"/>
        <v/>
      </c>
      <c r="U428" s="38" t="str">
        <f t="shared" si="55"/>
        <v/>
      </c>
      <c r="V428" s="38" t="str">
        <f t="shared" si="56"/>
        <v/>
      </c>
      <c r="W428" s="38" t="str">
        <f>IF(AND(U428&lt;&gt;"",OR($S$4="(все)",B428=$S$4),IF($S$4="(все)",COUNTIF($U$4:U428,U428),COUNTIFS($U$4:U428,U428,$B$4:B428,B428))=1),MAX($W$3:W427)+1,"")</f>
        <v/>
      </c>
      <c r="X428" s="38" t="str">
        <f t="shared" si="57"/>
        <v/>
      </c>
      <c r="Y428" s="38" t="str">
        <f>IF(AND(A428="Аппарат",C428&lt;&gt;"",OR($S$5="(все)",B428=$S$5)),MAX($Y$3:Y427)+1,"")</f>
        <v/>
      </c>
      <c r="Z428" s="38" t="str">
        <f t="shared" si="58"/>
        <v/>
      </c>
      <c r="AA428" s="38" t="str">
        <f>IF(AND(A428="Модуль",C428&lt;&gt;"",OR($S$6="(все)",B428=$S$6)),MAX($AA$3:AA427)+1,"")</f>
        <v/>
      </c>
      <c r="AB428" s="38" t="str">
        <f t="shared" si="59"/>
        <v/>
      </c>
      <c r="AC428" s="38" t="str">
        <f>IF(OR(B428="",COUNTIF($B$4:B428,B428)&gt;1),"",MAX($AC$3:AC427)+1)</f>
        <v/>
      </c>
      <c r="AD428" s="38" t="str">
        <f t="shared" si="60"/>
        <v/>
      </c>
      <c r="AE428" s="38" t="str">
        <f t="shared" si="61"/>
        <v/>
      </c>
      <c r="AF428" s="38" t="str">
        <f t="shared" si="62"/>
        <v/>
      </c>
    </row>
    <row r="429" spans="1:32" x14ac:dyDescent="0.3">
      <c r="A429" s="74"/>
      <c r="B429" s="74"/>
      <c r="C429" s="74"/>
      <c r="D429" s="74"/>
      <c r="E429" s="74"/>
      <c r="F429" s="74"/>
      <c r="G429" s="74"/>
      <c r="H429" s="74"/>
      <c r="I429" s="74"/>
      <c r="J429" s="74"/>
      <c r="K429" s="74"/>
      <c r="L429" s="74"/>
      <c r="M429" s="74"/>
      <c r="N429" s="38" t="str">
        <f>IF(OR(A429="Автомат",A429="Дифавтомат"),IF(W429="","",COUNTIFS(Однолинейка!$H$3:$H$3000,U429,Однолинейка!$A$3:$A$3000,Щит_спец)),IF(A429="Аппарат",IF(C429="","",COUNTIFS(Однолинейка!$I$3:$I$3000,C429,Однолинейка!$A$3:$A$3000,Щит_спец)+COUNTIFS(Однолинейка!$J$3:$J$3000,C429,Однолинейка!$A$3:$A$3000,Щит_спец)+COUNTIFS(Однолинейка!$K$3:$K$3000,C429,Однолинейка!$A$3:$A$3000,Щит_спец)),IF(A429="Модуль",IF(C429="","",COUNTIFS(Однолинейка!$AW$3:$AW$3000,"?*",Однолинейка!$AI$3:$AI$3000,C429,Однолинейка!$A$3:$A$3000,Щит_спец)),IF(A429="Клемма",IF(C429="","",IF(C429=$S$7,SUMIFS(Однолинейка!$BW$3:$BW$3000,Однолинейка!$A$3:$A$3000,Щит_спец),IF(C429=$S$8,SUMIFS(Однолинейка!$BX$3:$BX$3000,Однолинейка!$A$3:$A$3000,Щит_спец),""))),""))))</f>
        <v/>
      </c>
      <c r="O429" s="74"/>
      <c r="P429" s="38" t="str">
        <f t="shared" si="54"/>
        <v/>
      </c>
      <c r="U429" s="38" t="str">
        <f t="shared" si="55"/>
        <v/>
      </c>
      <c r="V429" s="38" t="str">
        <f t="shared" si="56"/>
        <v/>
      </c>
      <c r="W429" s="38" t="str">
        <f>IF(AND(U429&lt;&gt;"",OR($S$4="(все)",B429=$S$4),IF($S$4="(все)",COUNTIF($U$4:U429,U429),COUNTIFS($U$4:U429,U429,$B$4:B429,B429))=1),MAX($W$3:W428)+1,"")</f>
        <v/>
      </c>
      <c r="X429" s="38" t="str">
        <f t="shared" si="57"/>
        <v/>
      </c>
      <c r="Y429" s="38" t="str">
        <f>IF(AND(A429="Аппарат",C429&lt;&gt;"",OR($S$5="(все)",B429=$S$5)),MAX($Y$3:Y428)+1,"")</f>
        <v/>
      </c>
      <c r="Z429" s="38" t="str">
        <f t="shared" si="58"/>
        <v/>
      </c>
      <c r="AA429" s="38" t="str">
        <f>IF(AND(A429="Модуль",C429&lt;&gt;"",OR($S$6="(все)",B429=$S$6)),MAX($AA$3:AA428)+1,"")</f>
        <v/>
      </c>
      <c r="AB429" s="38" t="str">
        <f t="shared" si="59"/>
        <v/>
      </c>
      <c r="AC429" s="38" t="str">
        <f>IF(OR(B429="",COUNTIF($B$4:B429,B429)&gt;1),"",MAX($AC$3:AC428)+1)</f>
        <v/>
      </c>
      <c r="AD429" s="38" t="str">
        <f t="shared" si="60"/>
        <v/>
      </c>
      <c r="AE429" s="38" t="str">
        <f t="shared" si="61"/>
        <v/>
      </c>
      <c r="AF429" s="38" t="str">
        <f t="shared" si="62"/>
        <v/>
      </c>
    </row>
    <row r="430" spans="1:32" x14ac:dyDescent="0.3">
      <c r="A430" s="74"/>
      <c r="B430" s="74"/>
      <c r="C430" s="74"/>
      <c r="D430" s="74"/>
      <c r="E430" s="74"/>
      <c r="F430" s="74"/>
      <c r="G430" s="74"/>
      <c r="H430" s="74"/>
      <c r="I430" s="74"/>
      <c r="J430" s="74"/>
      <c r="K430" s="74"/>
      <c r="L430" s="74"/>
      <c r="M430" s="74"/>
      <c r="N430" s="38" t="str">
        <f>IF(OR(A430="Автомат",A430="Дифавтомат"),IF(W430="","",COUNTIFS(Однолинейка!$H$3:$H$3000,U430,Однолинейка!$A$3:$A$3000,Щит_спец)),IF(A430="Аппарат",IF(C430="","",COUNTIFS(Однолинейка!$I$3:$I$3000,C430,Однолинейка!$A$3:$A$3000,Щит_спец)+COUNTIFS(Однолинейка!$J$3:$J$3000,C430,Однолинейка!$A$3:$A$3000,Щит_спец)+COUNTIFS(Однолинейка!$K$3:$K$3000,C430,Однолинейка!$A$3:$A$3000,Щит_спец)),IF(A430="Модуль",IF(C430="","",COUNTIFS(Однолинейка!$AW$3:$AW$3000,"?*",Однолинейка!$AI$3:$AI$3000,C430,Однолинейка!$A$3:$A$3000,Щит_спец)),IF(A430="Клемма",IF(C430="","",IF(C430=$S$7,SUMIFS(Однолинейка!$BW$3:$BW$3000,Однолинейка!$A$3:$A$3000,Щит_спец),IF(C430=$S$8,SUMIFS(Однолинейка!$BX$3:$BX$3000,Однолинейка!$A$3:$A$3000,Щит_спец),""))),""))))</f>
        <v/>
      </c>
      <c r="O430" s="74"/>
      <c r="P430" s="38" t="str">
        <f t="shared" si="54"/>
        <v/>
      </c>
      <c r="U430" s="38" t="str">
        <f t="shared" si="55"/>
        <v/>
      </c>
      <c r="V430" s="38" t="str">
        <f t="shared" si="56"/>
        <v/>
      </c>
      <c r="W430" s="38" t="str">
        <f>IF(AND(U430&lt;&gt;"",OR($S$4="(все)",B430=$S$4),IF($S$4="(все)",COUNTIF($U$4:U430,U430),COUNTIFS($U$4:U430,U430,$B$4:B430,B430))=1),MAX($W$3:W429)+1,"")</f>
        <v/>
      </c>
      <c r="X430" s="38" t="str">
        <f t="shared" si="57"/>
        <v/>
      </c>
      <c r="Y430" s="38" t="str">
        <f>IF(AND(A430="Аппарат",C430&lt;&gt;"",OR($S$5="(все)",B430=$S$5)),MAX($Y$3:Y429)+1,"")</f>
        <v/>
      </c>
      <c r="Z430" s="38" t="str">
        <f t="shared" si="58"/>
        <v/>
      </c>
      <c r="AA430" s="38" t="str">
        <f>IF(AND(A430="Модуль",C430&lt;&gt;"",OR($S$6="(все)",B430=$S$6)),MAX($AA$3:AA429)+1,"")</f>
        <v/>
      </c>
      <c r="AB430" s="38" t="str">
        <f t="shared" si="59"/>
        <v/>
      </c>
      <c r="AC430" s="38" t="str">
        <f>IF(OR(B430="",COUNTIF($B$4:B430,B430)&gt;1),"",MAX($AC$3:AC429)+1)</f>
        <v/>
      </c>
      <c r="AD430" s="38" t="str">
        <f t="shared" si="60"/>
        <v/>
      </c>
      <c r="AE430" s="38" t="str">
        <f t="shared" si="61"/>
        <v/>
      </c>
      <c r="AF430" s="38" t="str">
        <f t="shared" si="62"/>
        <v/>
      </c>
    </row>
    <row r="431" spans="1:32" x14ac:dyDescent="0.3">
      <c r="A431" s="74"/>
      <c r="B431" s="74"/>
      <c r="C431" s="74"/>
      <c r="D431" s="74"/>
      <c r="E431" s="74"/>
      <c r="F431" s="74"/>
      <c r="G431" s="74"/>
      <c r="H431" s="74"/>
      <c r="I431" s="74"/>
      <c r="J431" s="74"/>
      <c r="K431" s="74"/>
      <c r="L431" s="74"/>
      <c r="M431" s="74"/>
      <c r="N431" s="38" t="str">
        <f>IF(OR(A431="Автомат",A431="Дифавтомат"),IF(W431="","",COUNTIFS(Однолинейка!$H$3:$H$3000,U431,Однолинейка!$A$3:$A$3000,Щит_спец)),IF(A431="Аппарат",IF(C431="","",COUNTIFS(Однолинейка!$I$3:$I$3000,C431,Однолинейка!$A$3:$A$3000,Щит_спец)+COUNTIFS(Однолинейка!$J$3:$J$3000,C431,Однолинейка!$A$3:$A$3000,Щит_спец)+COUNTIFS(Однолинейка!$K$3:$K$3000,C431,Однолинейка!$A$3:$A$3000,Щит_спец)),IF(A431="Модуль",IF(C431="","",COUNTIFS(Однолинейка!$AW$3:$AW$3000,"?*",Однолинейка!$AI$3:$AI$3000,C431,Однолинейка!$A$3:$A$3000,Щит_спец)),IF(A431="Клемма",IF(C431="","",IF(C431=$S$7,SUMIFS(Однолинейка!$BW$3:$BW$3000,Однолинейка!$A$3:$A$3000,Щит_спец),IF(C431=$S$8,SUMIFS(Однолинейка!$BX$3:$BX$3000,Однолинейка!$A$3:$A$3000,Щит_спец),""))),""))))</f>
        <v/>
      </c>
      <c r="O431" s="74"/>
      <c r="P431" s="38" t="str">
        <f t="shared" si="54"/>
        <v/>
      </c>
      <c r="U431" s="38" t="str">
        <f t="shared" si="55"/>
        <v/>
      </c>
      <c r="V431" s="38" t="str">
        <f t="shared" si="56"/>
        <v/>
      </c>
      <c r="W431" s="38" t="str">
        <f>IF(AND(U431&lt;&gt;"",OR($S$4="(все)",B431=$S$4),IF($S$4="(все)",COUNTIF($U$4:U431,U431),COUNTIFS($U$4:U431,U431,$B$4:B431,B431))=1),MAX($W$3:W430)+1,"")</f>
        <v/>
      </c>
      <c r="X431" s="38" t="str">
        <f t="shared" si="57"/>
        <v/>
      </c>
      <c r="Y431" s="38" t="str">
        <f>IF(AND(A431="Аппарат",C431&lt;&gt;"",OR($S$5="(все)",B431=$S$5)),MAX($Y$3:Y430)+1,"")</f>
        <v/>
      </c>
      <c r="Z431" s="38" t="str">
        <f t="shared" si="58"/>
        <v/>
      </c>
      <c r="AA431" s="38" t="str">
        <f>IF(AND(A431="Модуль",C431&lt;&gt;"",OR($S$6="(все)",B431=$S$6)),MAX($AA$3:AA430)+1,"")</f>
        <v/>
      </c>
      <c r="AB431" s="38" t="str">
        <f t="shared" si="59"/>
        <v/>
      </c>
      <c r="AC431" s="38" t="str">
        <f>IF(OR(B431="",COUNTIF($B$4:B431,B431)&gt;1),"",MAX($AC$3:AC430)+1)</f>
        <v/>
      </c>
      <c r="AD431" s="38" t="str">
        <f t="shared" si="60"/>
        <v/>
      </c>
      <c r="AE431" s="38" t="str">
        <f t="shared" si="61"/>
        <v/>
      </c>
      <c r="AF431" s="38" t="str">
        <f t="shared" si="62"/>
        <v/>
      </c>
    </row>
    <row r="432" spans="1:32" x14ac:dyDescent="0.3">
      <c r="A432" s="74"/>
      <c r="B432" s="74"/>
      <c r="C432" s="74"/>
      <c r="D432" s="74"/>
      <c r="E432" s="74"/>
      <c r="F432" s="74"/>
      <c r="G432" s="74"/>
      <c r="H432" s="74"/>
      <c r="I432" s="74"/>
      <c r="J432" s="74"/>
      <c r="K432" s="74"/>
      <c r="L432" s="74"/>
      <c r="M432" s="74"/>
      <c r="N432" s="38" t="str">
        <f>IF(OR(A432="Автомат",A432="Дифавтомат"),IF(W432="","",COUNTIFS(Однолинейка!$H$3:$H$3000,U432,Однолинейка!$A$3:$A$3000,Щит_спец)),IF(A432="Аппарат",IF(C432="","",COUNTIFS(Однолинейка!$I$3:$I$3000,C432,Однолинейка!$A$3:$A$3000,Щит_спец)+COUNTIFS(Однолинейка!$J$3:$J$3000,C432,Однолинейка!$A$3:$A$3000,Щит_спец)+COUNTIFS(Однолинейка!$K$3:$K$3000,C432,Однолинейка!$A$3:$A$3000,Щит_спец)),IF(A432="Модуль",IF(C432="","",COUNTIFS(Однолинейка!$AW$3:$AW$3000,"?*",Однолинейка!$AI$3:$AI$3000,C432,Однолинейка!$A$3:$A$3000,Щит_спец)),IF(A432="Клемма",IF(C432="","",IF(C432=$S$7,SUMIFS(Однолинейка!$BW$3:$BW$3000,Однолинейка!$A$3:$A$3000,Щит_спец),IF(C432=$S$8,SUMIFS(Однолинейка!$BX$3:$BX$3000,Однолинейка!$A$3:$A$3000,Щит_спец),""))),""))))</f>
        <v/>
      </c>
      <c r="O432" s="74"/>
      <c r="P432" s="38" t="str">
        <f t="shared" si="54"/>
        <v/>
      </c>
      <c r="U432" s="38" t="str">
        <f t="shared" si="55"/>
        <v/>
      </c>
      <c r="V432" s="38" t="str">
        <f t="shared" si="56"/>
        <v/>
      </c>
      <c r="W432" s="38" t="str">
        <f>IF(AND(U432&lt;&gt;"",OR($S$4="(все)",B432=$S$4),IF($S$4="(все)",COUNTIF($U$4:U432,U432),COUNTIFS($U$4:U432,U432,$B$4:B432,B432))=1),MAX($W$3:W431)+1,"")</f>
        <v/>
      </c>
      <c r="X432" s="38" t="str">
        <f t="shared" si="57"/>
        <v/>
      </c>
      <c r="Y432" s="38" t="str">
        <f>IF(AND(A432="Аппарат",C432&lt;&gt;"",OR($S$5="(все)",B432=$S$5)),MAX($Y$3:Y431)+1,"")</f>
        <v/>
      </c>
      <c r="Z432" s="38" t="str">
        <f t="shared" si="58"/>
        <v/>
      </c>
      <c r="AA432" s="38" t="str">
        <f>IF(AND(A432="Модуль",C432&lt;&gt;"",OR($S$6="(все)",B432=$S$6)),MAX($AA$3:AA431)+1,"")</f>
        <v/>
      </c>
      <c r="AB432" s="38" t="str">
        <f t="shared" si="59"/>
        <v/>
      </c>
      <c r="AC432" s="38" t="str">
        <f>IF(OR(B432="",COUNTIF($B$4:B432,B432)&gt;1),"",MAX($AC$3:AC431)+1)</f>
        <v/>
      </c>
      <c r="AD432" s="38" t="str">
        <f t="shared" si="60"/>
        <v/>
      </c>
      <c r="AE432" s="38" t="str">
        <f t="shared" si="61"/>
        <v/>
      </c>
      <c r="AF432" s="38" t="str">
        <f t="shared" si="62"/>
        <v/>
      </c>
    </row>
    <row r="433" spans="1:32" x14ac:dyDescent="0.3">
      <c r="A433" s="74"/>
      <c r="B433" s="74"/>
      <c r="C433" s="74"/>
      <c r="D433" s="74"/>
      <c r="E433" s="74"/>
      <c r="F433" s="74"/>
      <c r="G433" s="74"/>
      <c r="H433" s="74"/>
      <c r="I433" s="74"/>
      <c r="J433" s="74"/>
      <c r="K433" s="74"/>
      <c r="L433" s="74"/>
      <c r="M433" s="74"/>
      <c r="N433" s="38" t="str">
        <f>IF(OR(A433="Автомат",A433="Дифавтомат"),IF(W433="","",COUNTIFS(Однолинейка!$H$3:$H$3000,U433,Однолинейка!$A$3:$A$3000,Щит_спец)),IF(A433="Аппарат",IF(C433="","",COUNTIFS(Однолинейка!$I$3:$I$3000,C433,Однолинейка!$A$3:$A$3000,Щит_спец)+COUNTIFS(Однолинейка!$J$3:$J$3000,C433,Однолинейка!$A$3:$A$3000,Щит_спец)+COUNTIFS(Однолинейка!$K$3:$K$3000,C433,Однолинейка!$A$3:$A$3000,Щит_спец)),IF(A433="Модуль",IF(C433="","",COUNTIFS(Однолинейка!$AW$3:$AW$3000,"?*",Однолинейка!$AI$3:$AI$3000,C433,Однолинейка!$A$3:$A$3000,Щит_спец)),IF(A433="Клемма",IF(C433="","",IF(C433=$S$7,SUMIFS(Однолинейка!$BW$3:$BW$3000,Однолинейка!$A$3:$A$3000,Щит_спец),IF(C433=$S$8,SUMIFS(Однолинейка!$BX$3:$BX$3000,Однолинейка!$A$3:$A$3000,Щит_спец),""))),""))))</f>
        <v/>
      </c>
      <c r="O433" s="74"/>
      <c r="P433" s="38" t="str">
        <f t="shared" si="54"/>
        <v/>
      </c>
      <c r="U433" s="38" t="str">
        <f t="shared" si="55"/>
        <v/>
      </c>
      <c r="V433" s="38" t="str">
        <f t="shared" si="56"/>
        <v/>
      </c>
      <c r="W433" s="38" t="str">
        <f>IF(AND(U433&lt;&gt;"",OR($S$4="(все)",B433=$S$4),IF($S$4="(все)",COUNTIF($U$4:U433,U433),COUNTIFS($U$4:U433,U433,$B$4:B433,B433))=1),MAX($W$3:W432)+1,"")</f>
        <v/>
      </c>
      <c r="X433" s="38" t="str">
        <f t="shared" si="57"/>
        <v/>
      </c>
      <c r="Y433" s="38" t="str">
        <f>IF(AND(A433="Аппарат",C433&lt;&gt;"",OR($S$5="(все)",B433=$S$5)),MAX($Y$3:Y432)+1,"")</f>
        <v/>
      </c>
      <c r="Z433" s="38" t="str">
        <f t="shared" si="58"/>
        <v/>
      </c>
      <c r="AA433" s="38" t="str">
        <f>IF(AND(A433="Модуль",C433&lt;&gt;"",OR($S$6="(все)",B433=$S$6)),MAX($AA$3:AA432)+1,"")</f>
        <v/>
      </c>
      <c r="AB433" s="38" t="str">
        <f t="shared" si="59"/>
        <v/>
      </c>
      <c r="AC433" s="38" t="str">
        <f>IF(OR(B433="",COUNTIF($B$4:B433,B433)&gt;1),"",MAX($AC$3:AC432)+1)</f>
        <v/>
      </c>
      <c r="AD433" s="38" t="str">
        <f t="shared" si="60"/>
        <v/>
      </c>
      <c r="AE433" s="38" t="str">
        <f t="shared" si="61"/>
        <v/>
      </c>
      <c r="AF433" s="38" t="str">
        <f t="shared" si="62"/>
        <v/>
      </c>
    </row>
    <row r="434" spans="1:32" x14ac:dyDescent="0.3">
      <c r="A434" s="74"/>
      <c r="B434" s="74"/>
      <c r="C434" s="74"/>
      <c r="D434" s="74"/>
      <c r="E434" s="74"/>
      <c r="F434" s="74"/>
      <c r="G434" s="74"/>
      <c r="H434" s="74"/>
      <c r="I434" s="74"/>
      <c r="J434" s="74"/>
      <c r="K434" s="74"/>
      <c r="L434" s="74"/>
      <c r="M434" s="74"/>
      <c r="N434" s="38" t="str">
        <f>IF(OR(A434="Автомат",A434="Дифавтомат"),IF(W434="","",COUNTIFS(Однолинейка!$H$3:$H$3000,U434,Однолинейка!$A$3:$A$3000,Щит_спец)),IF(A434="Аппарат",IF(C434="","",COUNTIFS(Однолинейка!$I$3:$I$3000,C434,Однолинейка!$A$3:$A$3000,Щит_спец)+COUNTIFS(Однолинейка!$J$3:$J$3000,C434,Однолинейка!$A$3:$A$3000,Щит_спец)+COUNTIFS(Однолинейка!$K$3:$K$3000,C434,Однолинейка!$A$3:$A$3000,Щит_спец)),IF(A434="Модуль",IF(C434="","",COUNTIFS(Однолинейка!$AW$3:$AW$3000,"?*",Однолинейка!$AI$3:$AI$3000,C434,Однолинейка!$A$3:$A$3000,Щит_спец)),IF(A434="Клемма",IF(C434="","",IF(C434=$S$7,SUMIFS(Однолинейка!$BW$3:$BW$3000,Однолинейка!$A$3:$A$3000,Щит_спец),IF(C434=$S$8,SUMIFS(Однолинейка!$BX$3:$BX$3000,Однолинейка!$A$3:$A$3000,Щит_спец),""))),""))))</f>
        <v/>
      </c>
      <c r="O434" s="74"/>
      <c r="P434" s="38" t="str">
        <f t="shared" si="54"/>
        <v/>
      </c>
      <c r="U434" s="38" t="str">
        <f t="shared" si="55"/>
        <v/>
      </c>
      <c r="V434" s="38" t="str">
        <f t="shared" si="56"/>
        <v/>
      </c>
      <c r="W434" s="38" t="str">
        <f>IF(AND(U434&lt;&gt;"",OR($S$4="(все)",B434=$S$4),IF($S$4="(все)",COUNTIF($U$4:U434,U434),COUNTIFS($U$4:U434,U434,$B$4:B434,B434))=1),MAX($W$3:W433)+1,"")</f>
        <v/>
      </c>
      <c r="X434" s="38" t="str">
        <f t="shared" si="57"/>
        <v/>
      </c>
      <c r="Y434" s="38" t="str">
        <f>IF(AND(A434="Аппарат",C434&lt;&gt;"",OR($S$5="(все)",B434=$S$5)),MAX($Y$3:Y433)+1,"")</f>
        <v/>
      </c>
      <c r="Z434" s="38" t="str">
        <f t="shared" si="58"/>
        <v/>
      </c>
      <c r="AA434" s="38" t="str">
        <f>IF(AND(A434="Модуль",C434&lt;&gt;"",OR($S$6="(все)",B434=$S$6)),MAX($AA$3:AA433)+1,"")</f>
        <v/>
      </c>
      <c r="AB434" s="38" t="str">
        <f t="shared" si="59"/>
        <v/>
      </c>
      <c r="AC434" s="38" t="str">
        <f>IF(OR(B434="",COUNTIF($B$4:B434,B434)&gt;1),"",MAX($AC$3:AC433)+1)</f>
        <v/>
      </c>
      <c r="AD434" s="38" t="str">
        <f t="shared" si="60"/>
        <v/>
      </c>
      <c r="AE434" s="38" t="str">
        <f t="shared" si="61"/>
        <v/>
      </c>
      <c r="AF434" s="38" t="str">
        <f t="shared" si="62"/>
        <v/>
      </c>
    </row>
    <row r="435" spans="1:32" x14ac:dyDescent="0.3">
      <c r="A435" s="74"/>
      <c r="B435" s="74"/>
      <c r="C435" s="74"/>
      <c r="D435" s="74"/>
      <c r="E435" s="74"/>
      <c r="F435" s="74"/>
      <c r="G435" s="74"/>
      <c r="H435" s="74"/>
      <c r="I435" s="74"/>
      <c r="J435" s="74"/>
      <c r="K435" s="74"/>
      <c r="L435" s="74"/>
      <c r="M435" s="74"/>
      <c r="N435" s="38" t="str">
        <f>IF(OR(A435="Автомат",A435="Дифавтомат"),IF(W435="","",COUNTIFS(Однолинейка!$H$3:$H$3000,U435,Однолинейка!$A$3:$A$3000,Щит_спец)),IF(A435="Аппарат",IF(C435="","",COUNTIFS(Однолинейка!$I$3:$I$3000,C435,Однолинейка!$A$3:$A$3000,Щит_спец)+COUNTIFS(Однолинейка!$J$3:$J$3000,C435,Однолинейка!$A$3:$A$3000,Щит_спец)+COUNTIFS(Однолинейка!$K$3:$K$3000,C435,Однолинейка!$A$3:$A$3000,Щит_спец)),IF(A435="Модуль",IF(C435="","",COUNTIFS(Однолинейка!$AW$3:$AW$3000,"?*",Однолинейка!$AI$3:$AI$3000,C435,Однолинейка!$A$3:$A$3000,Щит_спец)),IF(A435="Клемма",IF(C435="","",IF(C435=$S$7,SUMIFS(Однолинейка!$BW$3:$BW$3000,Однолинейка!$A$3:$A$3000,Щит_спец),IF(C435=$S$8,SUMIFS(Однолинейка!$BX$3:$BX$3000,Однолинейка!$A$3:$A$3000,Щит_спец),""))),""))))</f>
        <v/>
      </c>
      <c r="O435" s="74"/>
      <c r="P435" s="38" t="str">
        <f t="shared" si="54"/>
        <v/>
      </c>
      <c r="U435" s="38" t="str">
        <f t="shared" si="55"/>
        <v/>
      </c>
      <c r="V435" s="38" t="str">
        <f t="shared" si="56"/>
        <v/>
      </c>
      <c r="W435" s="38" t="str">
        <f>IF(AND(U435&lt;&gt;"",OR($S$4="(все)",B435=$S$4),IF($S$4="(все)",COUNTIF($U$4:U435,U435),COUNTIFS($U$4:U435,U435,$B$4:B435,B435))=1),MAX($W$3:W434)+1,"")</f>
        <v/>
      </c>
      <c r="X435" s="38" t="str">
        <f t="shared" si="57"/>
        <v/>
      </c>
      <c r="Y435" s="38" t="str">
        <f>IF(AND(A435="Аппарат",C435&lt;&gt;"",OR($S$5="(все)",B435=$S$5)),MAX($Y$3:Y434)+1,"")</f>
        <v/>
      </c>
      <c r="Z435" s="38" t="str">
        <f t="shared" si="58"/>
        <v/>
      </c>
      <c r="AA435" s="38" t="str">
        <f>IF(AND(A435="Модуль",C435&lt;&gt;"",OR($S$6="(все)",B435=$S$6)),MAX($AA$3:AA434)+1,"")</f>
        <v/>
      </c>
      <c r="AB435" s="38" t="str">
        <f t="shared" si="59"/>
        <v/>
      </c>
      <c r="AC435" s="38" t="str">
        <f>IF(OR(B435="",COUNTIF($B$4:B435,B435)&gt;1),"",MAX($AC$3:AC434)+1)</f>
        <v/>
      </c>
      <c r="AD435" s="38" t="str">
        <f t="shared" si="60"/>
        <v/>
      </c>
      <c r="AE435" s="38" t="str">
        <f t="shared" si="61"/>
        <v/>
      </c>
      <c r="AF435" s="38" t="str">
        <f t="shared" si="62"/>
        <v/>
      </c>
    </row>
    <row r="436" spans="1:32" x14ac:dyDescent="0.3">
      <c r="A436" s="74"/>
      <c r="B436" s="74"/>
      <c r="C436" s="74"/>
      <c r="D436" s="74"/>
      <c r="E436" s="74"/>
      <c r="F436" s="74"/>
      <c r="G436" s="74"/>
      <c r="H436" s="74"/>
      <c r="I436" s="74"/>
      <c r="J436" s="74"/>
      <c r="K436" s="74"/>
      <c r="L436" s="74"/>
      <c r="M436" s="74"/>
      <c r="N436" s="38" t="str">
        <f>IF(OR(A436="Автомат",A436="Дифавтомат"),IF(W436="","",COUNTIFS(Однолинейка!$H$3:$H$3000,U436,Однолинейка!$A$3:$A$3000,Щит_спец)),IF(A436="Аппарат",IF(C436="","",COUNTIFS(Однолинейка!$I$3:$I$3000,C436,Однолинейка!$A$3:$A$3000,Щит_спец)+COUNTIFS(Однолинейка!$J$3:$J$3000,C436,Однолинейка!$A$3:$A$3000,Щит_спец)+COUNTIFS(Однолинейка!$K$3:$K$3000,C436,Однолинейка!$A$3:$A$3000,Щит_спец)),IF(A436="Модуль",IF(C436="","",COUNTIFS(Однолинейка!$AW$3:$AW$3000,"?*",Однолинейка!$AI$3:$AI$3000,C436,Однолинейка!$A$3:$A$3000,Щит_спец)),IF(A436="Клемма",IF(C436="","",IF(C436=$S$7,SUMIFS(Однолинейка!$BW$3:$BW$3000,Однолинейка!$A$3:$A$3000,Щит_спец),IF(C436=$S$8,SUMIFS(Однолинейка!$BX$3:$BX$3000,Однолинейка!$A$3:$A$3000,Щит_спец),""))),""))))</f>
        <v/>
      </c>
      <c r="O436" s="74"/>
      <c r="P436" s="38" t="str">
        <f t="shared" si="54"/>
        <v/>
      </c>
      <c r="U436" s="38" t="str">
        <f t="shared" si="55"/>
        <v/>
      </c>
      <c r="V436" s="38" t="str">
        <f t="shared" si="56"/>
        <v/>
      </c>
      <c r="W436" s="38" t="str">
        <f>IF(AND(U436&lt;&gt;"",OR($S$4="(все)",B436=$S$4),IF($S$4="(все)",COUNTIF($U$4:U436,U436),COUNTIFS($U$4:U436,U436,$B$4:B436,B436))=1),MAX($W$3:W435)+1,"")</f>
        <v/>
      </c>
      <c r="X436" s="38" t="str">
        <f t="shared" si="57"/>
        <v/>
      </c>
      <c r="Y436" s="38" t="str">
        <f>IF(AND(A436="Аппарат",C436&lt;&gt;"",OR($S$5="(все)",B436=$S$5)),MAX($Y$3:Y435)+1,"")</f>
        <v/>
      </c>
      <c r="Z436" s="38" t="str">
        <f t="shared" si="58"/>
        <v/>
      </c>
      <c r="AA436" s="38" t="str">
        <f>IF(AND(A436="Модуль",C436&lt;&gt;"",OR($S$6="(все)",B436=$S$6)),MAX($AA$3:AA435)+1,"")</f>
        <v/>
      </c>
      <c r="AB436" s="38" t="str">
        <f t="shared" si="59"/>
        <v/>
      </c>
      <c r="AC436" s="38" t="str">
        <f>IF(OR(B436="",COUNTIF($B$4:B436,B436)&gt;1),"",MAX($AC$3:AC435)+1)</f>
        <v/>
      </c>
      <c r="AD436" s="38" t="str">
        <f t="shared" si="60"/>
        <v/>
      </c>
      <c r="AE436" s="38" t="str">
        <f t="shared" si="61"/>
        <v/>
      </c>
      <c r="AF436" s="38" t="str">
        <f t="shared" si="62"/>
        <v/>
      </c>
    </row>
    <row r="437" spans="1:32" x14ac:dyDescent="0.3">
      <c r="A437" s="74"/>
      <c r="B437" s="74"/>
      <c r="C437" s="74"/>
      <c r="D437" s="74"/>
      <c r="E437" s="74"/>
      <c r="F437" s="74"/>
      <c r="G437" s="74"/>
      <c r="H437" s="74"/>
      <c r="I437" s="74"/>
      <c r="J437" s="74"/>
      <c r="K437" s="74"/>
      <c r="L437" s="74"/>
      <c r="M437" s="74"/>
      <c r="N437" s="38" t="str">
        <f>IF(OR(A437="Автомат",A437="Дифавтомат"),IF(W437="","",COUNTIFS(Однолинейка!$H$3:$H$3000,U437,Однолинейка!$A$3:$A$3000,Щит_спец)),IF(A437="Аппарат",IF(C437="","",COUNTIFS(Однолинейка!$I$3:$I$3000,C437,Однолинейка!$A$3:$A$3000,Щит_спец)+COUNTIFS(Однолинейка!$J$3:$J$3000,C437,Однолинейка!$A$3:$A$3000,Щит_спец)+COUNTIFS(Однолинейка!$K$3:$K$3000,C437,Однолинейка!$A$3:$A$3000,Щит_спец)),IF(A437="Модуль",IF(C437="","",COUNTIFS(Однолинейка!$AW$3:$AW$3000,"?*",Однолинейка!$AI$3:$AI$3000,C437,Однолинейка!$A$3:$A$3000,Щит_спец)),IF(A437="Клемма",IF(C437="","",IF(C437=$S$7,SUMIFS(Однолинейка!$BW$3:$BW$3000,Однолинейка!$A$3:$A$3000,Щит_спец),IF(C437=$S$8,SUMIFS(Однолинейка!$BX$3:$BX$3000,Однолинейка!$A$3:$A$3000,Щит_спец),""))),""))))</f>
        <v/>
      </c>
      <c r="O437" s="74"/>
      <c r="P437" s="38" t="str">
        <f t="shared" si="54"/>
        <v/>
      </c>
      <c r="U437" s="38" t="str">
        <f t="shared" si="55"/>
        <v/>
      </c>
      <c r="V437" s="38" t="str">
        <f t="shared" si="56"/>
        <v/>
      </c>
      <c r="W437" s="38" t="str">
        <f>IF(AND(U437&lt;&gt;"",OR($S$4="(все)",B437=$S$4),IF($S$4="(все)",COUNTIF($U$4:U437,U437),COUNTIFS($U$4:U437,U437,$B$4:B437,B437))=1),MAX($W$3:W436)+1,"")</f>
        <v/>
      </c>
      <c r="X437" s="38" t="str">
        <f t="shared" si="57"/>
        <v/>
      </c>
      <c r="Y437" s="38" t="str">
        <f>IF(AND(A437="Аппарат",C437&lt;&gt;"",OR($S$5="(все)",B437=$S$5)),MAX($Y$3:Y436)+1,"")</f>
        <v/>
      </c>
      <c r="Z437" s="38" t="str">
        <f t="shared" si="58"/>
        <v/>
      </c>
      <c r="AA437" s="38" t="str">
        <f>IF(AND(A437="Модуль",C437&lt;&gt;"",OR($S$6="(все)",B437=$S$6)),MAX($AA$3:AA436)+1,"")</f>
        <v/>
      </c>
      <c r="AB437" s="38" t="str">
        <f t="shared" si="59"/>
        <v/>
      </c>
      <c r="AC437" s="38" t="str">
        <f>IF(OR(B437="",COUNTIF($B$4:B437,B437)&gt;1),"",MAX($AC$3:AC436)+1)</f>
        <v/>
      </c>
      <c r="AD437" s="38" t="str">
        <f t="shared" si="60"/>
        <v/>
      </c>
      <c r="AE437" s="38" t="str">
        <f t="shared" si="61"/>
        <v/>
      </c>
      <c r="AF437" s="38" t="str">
        <f t="shared" si="62"/>
        <v/>
      </c>
    </row>
    <row r="438" spans="1:32" x14ac:dyDescent="0.3">
      <c r="A438" s="74"/>
      <c r="B438" s="74"/>
      <c r="C438" s="74"/>
      <c r="D438" s="74"/>
      <c r="E438" s="74"/>
      <c r="F438" s="74"/>
      <c r="G438" s="74"/>
      <c r="H438" s="74"/>
      <c r="I438" s="74"/>
      <c r="J438" s="74"/>
      <c r="K438" s="74"/>
      <c r="L438" s="74"/>
      <c r="M438" s="74"/>
      <c r="N438" s="38" t="str">
        <f>IF(OR(A438="Автомат",A438="Дифавтомат"),IF(W438="","",COUNTIFS(Однолинейка!$H$3:$H$3000,U438,Однолинейка!$A$3:$A$3000,Щит_спец)),IF(A438="Аппарат",IF(C438="","",COUNTIFS(Однолинейка!$I$3:$I$3000,C438,Однолинейка!$A$3:$A$3000,Щит_спец)+COUNTIFS(Однолинейка!$J$3:$J$3000,C438,Однолинейка!$A$3:$A$3000,Щит_спец)+COUNTIFS(Однолинейка!$K$3:$K$3000,C438,Однолинейка!$A$3:$A$3000,Щит_спец)),IF(A438="Модуль",IF(C438="","",COUNTIFS(Однолинейка!$AW$3:$AW$3000,"?*",Однолинейка!$AI$3:$AI$3000,C438,Однолинейка!$A$3:$A$3000,Щит_спец)),IF(A438="Клемма",IF(C438="","",IF(C438=$S$7,SUMIFS(Однолинейка!$BW$3:$BW$3000,Однолинейка!$A$3:$A$3000,Щит_спец),IF(C438=$S$8,SUMIFS(Однолинейка!$BX$3:$BX$3000,Однолинейка!$A$3:$A$3000,Щит_спец),""))),""))))</f>
        <v/>
      </c>
      <c r="O438" s="74"/>
      <c r="P438" s="38" t="str">
        <f t="shared" si="54"/>
        <v/>
      </c>
      <c r="U438" s="38" t="str">
        <f t="shared" si="55"/>
        <v/>
      </c>
      <c r="V438" s="38" t="str">
        <f t="shared" si="56"/>
        <v/>
      </c>
      <c r="W438" s="38" t="str">
        <f>IF(AND(U438&lt;&gt;"",OR($S$4="(все)",B438=$S$4),IF($S$4="(все)",COUNTIF($U$4:U438,U438),COUNTIFS($U$4:U438,U438,$B$4:B438,B438))=1),MAX($W$3:W437)+1,"")</f>
        <v/>
      </c>
      <c r="X438" s="38" t="str">
        <f t="shared" si="57"/>
        <v/>
      </c>
      <c r="Y438" s="38" t="str">
        <f>IF(AND(A438="Аппарат",C438&lt;&gt;"",OR($S$5="(все)",B438=$S$5)),MAX($Y$3:Y437)+1,"")</f>
        <v/>
      </c>
      <c r="Z438" s="38" t="str">
        <f t="shared" si="58"/>
        <v/>
      </c>
      <c r="AA438" s="38" t="str">
        <f>IF(AND(A438="Модуль",C438&lt;&gt;"",OR($S$6="(все)",B438=$S$6)),MAX($AA$3:AA437)+1,"")</f>
        <v/>
      </c>
      <c r="AB438" s="38" t="str">
        <f t="shared" si="59"/>
        <v/>
      </c>
      <c r="AC438" s="38" t="str">
        <f>IF(OR(B438="",COUNTIF($B$4:B438,B438)&gt;1),"",MAX($AC$3:AC437)+1)</f>
        <v/>
      </c>
      <c r="AD438" s="38" t="str">
        <f t="shared" si="60"/>
        <v/>
      </c>
      <c r="AE438" s="38" t="str">
        <f t="shared" si="61"/>
        <v/>
      </c>
      <c r="AF438" s="38" t="str">
        <f t="shared" si="62"/>
        <v/>
      </c>
    </row>
    <row r="439" spans="1:32" x14ac:dyDescent="0.3">
      <c r="A439" s="74"/>
      <c r="B439" s="74"/>
      <c r="C439" s="74"/>
      <c r="D439" s="74"/>
      <c r="E439" s="74"/>
      <c r="F439" s="74"/>
      <c r="G439" s="74"/>
      <c r="H439" s="74"/>
      <c r="I439" s="74"/>
      <c r="J439" s="74"/>
      <c r="K439" s="74"/>
      <c r="L439" s="74"/>
      <c r="M439" s="74"/>
      <c r="N439" s="38" t="str">
        <f>IF(OR(A439="Автомат",A439="Дифавтомат"),IF(W439="","",COUNTIFS(Однолинейка!$H$3:$H$3000,U439,Однолинейка!$A$3:$A$3000,Щит_спец)),IF(A439="Аппарат",IF(C439="","",COUNTIFS(Однолинейка!$I$3:$I$3000,C439,Однолинейка!$A$3:$A$3000,Щит_спец)+COUNTIFS(Однолинейка!$J$3:$J$3000,C439,Однолинейка!$A$3:$A$3000,Щит_спец)+COUNTIFS(Однолинейка!$K$3:$K$3000,C439,Однолинейка!$A$3:$A$3000,Щит_спец)),IF(A439="Модуль",IF(C439="","",COUNTIFS(Однолинейка!$AW$3:$AW$3000,"?*",Однолинейка!$AI$3:$AI$3000,C439,Однолинейка!$A$3:$A$3000,Щит_спец)),IF(A439="Клемма",IF(C439="","",IF(C439=$S$7,SUMIFS(Однолинейка!$BW$3:$BW$3000,Однолинейка!$A$3:$A$3000,Щит_спец),IF(C439=$S$8,SUMIFS(Однолинейка!$BX$3:$BX$3000,Однолинейка!$A$3:$A$3000,Щит_спец),""))),""))))</f>
        <v/>
      </c>
      <c r="O439" s="74"/>
      <c r="P439" s="38" t="str">
        <f t="shared" si="54"/>
        <v/>
      </c>
      <c r="U439" s="38" t="str">
        <f t="shared" si="55"/>
        <v/>
      </c>
      <c r="V439" s="38" t="str">
        <f t="shared" si="56"/>
        <v/>
      </c>
      <c r="W439" s="38" t="str">
        <f>IF(AND(U439&lt;&gt;"",OR($S$4="(все)",B439=$S$4),IF($S$4="(все)",COUNTIF($U$4:U439,U439),COUNTIFS($U$4:U439,U439,$B$4:B439,B439))=1),MAX($W$3:W438)+1,"")</f>
        <v/>
      </c>
      <c r="X439" s="38" t="str">
        <f t="shared" si="57"/>
        <v/>
      </c>
      <c r="Y439" s="38" t="str">
        <f>IF(AND(A439="Аппарат",C439&lt;&gt;"",OR($S$5="(все)",B439=$S$5)),MAX($Y$3:Y438)+1,"")</f>
        <v/>
      </c>
      <c r="Z439" s="38" t="str">
        <f t="shared" si="58"/>
        <v/>
      </c>
      <c r="AA439" s="38" t="str">
        <f>IF(AND(A439="Модуль",C439&lt;&gt;"",OR($S$6="(все)",B439=$S$6)),MAX($AA$3:AA438)+1,"")</f>
        <v/>
      </c>
      <c r="AB439" s="38" t="str">
        <f t="shared" si="59"/>
        <v/>
      </c>
      <c r="AC439" s="38" t="str">
        <f>IF(OR(B439="",COUNTIF($B$4:B439,B439)&gt;1),"",MAX($AC$3:AC438)+1)</f>
        <v/>
      </c>
      <c r="AD439" s="38" t="str">
        <f t="shared" si="60"/>
        <v/>
      </c>
      <c r="AE439" s="38" t="str">
        <f t="shared" si="61"/>
        <v/>
      </c>
      <c r="AF439" s="38" t="str">
        <f t="shared" si="62"/>
        <v/>
      </c>
    </row>
    <row r="440" spans="1:32" x14ac:dyDescent="0.3">
      <c r="A440" s="74"/>
      <c r="B440" s="74"/>
      <c r="C440" s="74"/>
      <c r="D440" s="74"/>
      <c r="E440" s="74"/>
      <c r="F440" s="74"/>
      <c r="G440" s="74"/>
      <c r="H440" s="74"/>
      <c r="I440" s="74"/>
      <c r="J440" s="74"/>
      <c r="K440" s="74"/>
      <c r="L440" s="74"/>
      <c r="M440" s="74"/>
      <c r="N440" s="38" t="str">
        <f>IF(OR(A440="Автомат",A440="Дифавтомат"),IF(W440="","",COUNTIFS(Однолинейка!$H$3:$H$3000,U440,Однолинейка!$A$3:$A$3000,Щит_спец)),IF(A440="Аппарат",IF(C440="","",COUNTIFS(Однолинейка!$I$3:$I$3000,C440,Однолинейка!$A$3:$A$3000,Щит_спец)+COUNTIFS(Однолинейка!$J$3:$J$3000,C440,Однолинейка!$A$3:$A$3000,Щит_спец)+COUNTIFS(Однолинейка!$K$3:$K$3000,C440,Однолинейка!$A$3:$A$3000,Щит_спец)),IF(A440="Модуль",IF(C440="","",COUNTIFS(Однолинейка!$AW$3:$AW$3000,"?*",Однолинейка!$AI$3:$AI$3000,C440,Однолинейка!$A$3:$A$3000,Щит_спец)),IF(A440="Клемма",IF(C440="","",IF(C440=$S$7,SUMIFS(Однолинейка!$BW$3:$BW$3000,Однолинейка!$A$3:$A$3000,Щит_спец),IF(C440=$S$8,SUMIFS(Однолинейка!$BX$3:$BX$3000,Однолинейка!$A$3:$A$3000,Щит_спец),""))),""))))</f>
        <v/>
      </c>
      <c r="O440" s="74"/>
      <c r="P440" s="38" t="str">
        <f t="shared" si="54"/>
        <v/>
      </c>
      <c r="U440" s="38" t="str">
        <f t="shared" si="55"/>
        <v/>
      </c>
      <c r="V440" s="38" t="str">
        <f t="shared" si="56"/>
        <v/>
      </c>
      <c r="W440" s="38" t="str">
        <f>IF(AND(U440&lt;&gt;"",OR($S$4="(все)",B440=$S$4),IF($S$4="(все)",COUNTIF($U$4:U440,U440),COUNTIFS($U$4:U440,U440,$B$4:B440,B440))=1),MAX($W$3:W439)+1,"")</f>
        <v/>
      </c>
      <c r="X440" s="38" t="str">
        <f t="shared" si="57"/>
        <v/>
      </c>
      <c r="Y440" s="38" t="str">
        <f>IF(AND(A440="Аппарат",C440&lt;&gt;"",OR($S$5="(все)",B440=$S$5)),MAX($Y$3:Y439)+1,"")</f>
        <v/>
      </c>
      <c r="Z440" s="38" t="str">
        <f t="shared" si="58"/>
        <v/>
      </c>
      <c r="AA440" s="38" t="str">
        <f>IF(AND(A440="Модуль",C440&lt;&gt;"",OR($S$6="(все)",B440=$S$6)),MAX($AA$3:AA439)+1,"")</f>
        <v/>
      </c>
      <c r="AB440" s="38" t="str">
        <f t="shared" si="59"/>
        <v/>
      </c>
      <c r="AC440" s="38" t="str">
        <f>IF(OR(B440="",COUNTIF($B$4:B440,B440)&gt;1),"",MAX($AC$3:AC439)+1)</f>
        <v/>
      </c>
      <c r="AD440" s="38" t="str">
        <f t="shared" si="60"/>
        <v/>
      </c>
      <c r="AE440" s="38" t="str">
        <f t="shared" si="61"/>
        <v/>
      </c>
      <c r="AF440" s="38" t="str">
        <f t="shared" si="62"/>
        <v/>
      </c>
    </row>
    <row r="441" spans="1:32" x14ac:dyDescent="0.3">
      <c r="A441" s="74"/>
      <c r="B441" s="74"/>
      <c r="C441" s="74"/>
      <c r="D441" s="74"/>
      <c r="E441" s="74"/>
      <c r="F441" s="74"/>
      <c r="G441" s="74"/>
      <c r="H441" s="74"/>
      <c r="I441" s="74"/>
      <c r="J441" s="74"/>
      <c r="K441" s="74"/>
      <c r="L441" s="74"/>
      <c r="M441" s="74"/>
      <c r="N441" s="38" t="str">
        <f>IF(OR(A441="Автомат",A441="Дифавтомат"),IF(W441="","",COUNTIFS(Однолинейка!$H$3:$H$3000,U441,Однолинейка!$A$3:$A$3000,Щит_спец)),IF(A441="Аппарат",IF(C441="","",COUNTIFS(Однолинейка!$I$3:$I$3000,C441,Однолинейка!$A$3:$A$3000,Щит_спец)+COUNTIFS(Однолинейка!$J$3:$J$3000,C441,Однолинейка!$A$3:$A$3000,Щит_спец)+COUNTIFS(Однолинейка!$K$3:$K$3000,C441,Однолинейка!$A$3:$A$3000,Щит_спец)),IF(A441="Модуль",IF(C441="","",COUNTIFS(Однолинейка!$AW$3:$AW$3000,"?*",Однолинейка!$AI$3:$AI$3000,C441,Однолинейка!$A$3:$A$3000,Щит_спец)),IF(A441="Клемма",IF(C441="","",IF(C441=$S$7,SUMIFS(Однолинейка!$BW$3:$BW$3000,Однолинейка!$A$3:$A$3000,Щит_спец),IF(C441=$S$8,SUMIFS(Однолинейка!$BX$3:$BX$3000,Однолинейка!$A$3:$A$3000,Щит_спец),""))),""))))</f>
        <v/>
      </c>
      <c r="O441" s="74"/>
      <c r="P441" s="38" t="str">
        <f t="shared" si="54"/>
        <v/>
      </c>
      <c r="U441" s="38" t="str">
        <f t="shared" si="55"/>
        <v/>
      </c>
      <c r="V441" s="38" t="str">
        <f t="shared" si="56"/>
        <v/>
      </c>
      <c r="W441" s="38" t="str">
        <f>IF(AND(U441&lt;&gt;"",OR($S$4="(все)",B441=$S$4),IF($S$4="(все)",COUNTIF($U$4:U441,U441),COUNTIFS($U$4:U441,U441,$B$4:B441,B441))=1),MAX($W$3:W440)+1,"")</f>
        <v/>
      </c>
      <c r="X441" s="38" t="str">
        <f t="shared" si="57"/>
        <v/>
      </c>
      <c r="Y441" s="38" t="str">
        <f>IF(AND(A441="Аппарат",C441&lt;&gt;"",OR($S$5="(все)",B441=$S$5)),MAX($Y$3:Y440)+1,"")</f>
        <v/>
      </c>
      <c r="Z441" s="38" t="str">
        <f t="shared" si="58"/>
        <v/>
      </c>
      <c r="AA441" s="38" t="str">
        <f>IF(AND(A441="Модуль",C441&lt;&gt;"",OR($S$6="(все)",B441=$S$6)),MAX($AA$3:AA440)+1,"")</f>
        <v/>
      </c>
      <c r="AB441" s="38" t="str">
        <f t="shared" si="59"/>
        <v/>
      </c>
      <c r="AC441" s="38" t="str">
        <f>IF(OR(B441="",COUNTIF($B$4:B441,B441)&gt;1),"",MAX($AC$3:AC440)+1)</f>
        <v/>
      </c>
      <c r="AD441" s="38" t="str">
        <f t="shared" si="60"/>
        <v/>
      </c>
      <c r="AE441" s="38" t="str">
        <f t="shared" si="61"/>
        <v/>
      </c>
      <c r="AF441" s="38" t="str">
        <f t="shared" si="62"/>
        <v/>
      </c>
    </row>
    <row r="442" spans="1:32" x14ac:dyDescent="0.3">
      <c r="A442" s="74"/>
      <c r="B442" s="74"/>
      <c r="C442" s="74"/>
      <c r="D442" s="74"/>
      <c r="E442" s="74"/>
      <c r="F442" s="74"/>
      <c r="G442" s="74"/>
      <c r="H442" s="74"/>
      <c r="I442" s="74"/>
      <c r="J442" s="74"/>
      <c r="K442" s="74"/>
      <c r="L442" s="74"/>
      <c r="M442" s="74"/>
      <c r="N442" s="38" t="str">
        <f>IF(OR(A442="Автомат",A442="Дифавтомат"),IF(W442="","",COUNTIFS(Однолинейка!$H$3:$H$3000,U442,Однолинейка!$A$3:$A$3000,Щит_спец)),IF(A442="Аппарат",IF(C442="","",COUNTIFS(Однолинейка!$I$3:$I$3000,C442,Однолинейка!$A$3:$A$3000,Щит_спец)+COUNTIFS(Однолинейка!$J$3:$J$3000,C442,Однолинейка!$A$3:$A$3000,Щит_спец)+COUNTIFS(Однолинейка!$K$3:$K$3000,C442,Однолинейка!$A$3:$A$3000,Щит_спец)),IF(A442="Модуль",IF(C442="","",COUNTIFS(Однолинейка!$AW$3:$AW$3000,"?*",Однолинейка!$AI$3:$AI$3000,C442,Однолинейка!$A$3:$A$3000,Щит_спец)),IF(A442="Клемма",IF(C442="","",IF(C442=$S$7,SUMIFS(Однолинейка!$BW$3:$BW$3000,Однолинейка!$A$3:$A$3000,Щит_спец),IF(C442=$S$8,SUMIFS(Однолинейка!$BX$3:$BX$3000,Однолинейка!$A$3:$A$3000,Щит_спец),""))),""))))</f>
        <v/>
      </c>
      <c r="O442" s="74"/>
      <c r="P442" s="38" t="str">
        <f t="shared" si="54"/>
        <v/>
      </c>
      <c r="U442" s="38" t="str">
        <f t="shared" si="55"/>
        <v/>
      </c>
      <c r="V442" s="38" t="str">
        <f t="shared" si="56"/>
        <v/>
      </c>
      <c r="W442" s="38" t="str">
        <f>IF(AND(U442&lt;&gt;"",OR($S$4="(все)",B442=$S$4),IF($S$4="(все)",COUNTIF($U$4:U442,U442),COUNTIFS($U$4:U442,U442,$B$4:B442,B442))=1),MAX($W$3:W441)+1,"")</f>
        <v/>
      </c>
      <c r="X442" s="38" t="str">
        <f t="shared" si="57"/>
        <v/>
      </c>
      <c r="Y442" s="38" t="str">
        <f>IF(AND(A442="Аппарат",C442&lt;&gt;"",OR($S$5="(все)",B442=$S$5)),MAX($Y$3:Y441)+1,"")</f>
        <v/>
      </c>
      <c r="Z442" s="38" t="str">
        <f t="shared" si="58"/>
        <v/>
      </c>
      <c r="AA442" s="38" t="str">
        <f>IF(AND(A442="Модуль",C442&lt;&gt;"",OR($S$6="(все)",B442=$S$6)),MAX($AA$3:AA441)+1,"")</f>
        <v/>
      </c>
      <c r="AB442" s="38" t="str">
        <f t="shared" si="59"/>
        <v/>
      </c>
      <c r="AC442" s="38" t="str">
        <f>IF(OR(B442="",COUNTIF($B$4:B442,B442)&gt;1),"",MAX($AC$3:AC441)+1)</f>
        <v/>
      </c>
      <c r="AD442" s="38" t="str">
        <f t="shared" si="60"/>
        <v/>
      </c>
      <c r="AE442" s="38" t="str">
        <f t="shared" si="61"/>
        <v/>
      </c>
      <c r="AF442" s="38" t="str">
        <f t="shared" si="62"/>
        <v/>
      </c>
    </row>
    <row r="443" spans="1:32" x14ac:dyDescent="0.3">
      <c r="A443" s="74"/>
      <c r="B443" s="74"/>
      <c r="C443" s="74"/>
      <c r="D443" s="74"/>
      <c r="E443" s="74"/>
      <c r="F443" s="74"/>
      <c r="G443" s="74"/>
      <c r="H443" s="74"/>
      <c r="I443" s="74"/>
      <c r="J443" s="74"/>
      <c r="K443" s="74"/>
      <c r="L443" s="74"/>
      <c r="M443" s="74"/>
      <c r="N443" s="38" t="str">
        <f>IF(OR(A443="Автомат",A443="Дифавтомат"),IF(W443="","",COUNTIFS(Однолинейка!$H$3:$H$3000,U443,Однолинейка!$A$3:$A$3000,Щит_спец)),IF(A443="Аппарат",IF(C443="","",COUNTIFS(Однолинейка!$I$3:$I$3000,C443,Однолинейка!$A$3:$A$3000,Щит_спец)+COUNTIFS(Однолинейка!$J$3:$J$3000,C443,Однолинейка!$A$3:$A$3000,Щит_спец)+COUNTIFS(Однолинейка!$K$3:$K$3000,C443,Однолинейка!$A$3:$A$3000,Щит_спец)),IF(A443="Модуль",IF(C443="","",COUNTIFS(Однолинейка!$AW$3:$AW$3000,"?*",Однолинейка!$AI$3:$AI$3000,C443,Однолинейка!$A$3:$A$3000,Щит_спец)),IF(A443="Клемма",IF(C443="","",IF(C443=$S$7,SUMIFS(Однолинейка!$BW$3:$BW$3000,Однолинейка!$A$3:$A$3000,Щит_спец),IF(C443=$S$8,SUMIFS(Однолинейка!$BX$3:$BX$3000,Однолинейка!$A$3:$A$3000,Щит_спец),""))),""))))</f>
        <v/>
      </c>
      <c r="O443" s="74"/>
      <c r="P443" s="38" t="str">
        <f t="shared" si="54"/>
        <v/>
      </c>
      <c r="U443" s="38" t="str">
        <f t="shared" si="55"/>
        <v/>
      </c>
      <c r="V443" s="38" t="str">
        <f t="shared" si="56"/>
        <v/>
      </c>
      <c r="W443" s="38" t="str">
        <f>IF(AND(U443&lt;&gt;"",OR($S$4="(все)",B443=$S$4),IF($S$4="(все)",COUNTIF($U$4:U443,U443),COUNTIFS($U$4:U443,U443,$B$4:B443,B443))=1),MAX($W$3:W442)+1,"")</f>
        <v/>
      </c>
      <c r="X443" s="38" t="str">
        <f t="shared" si="57"/>
        <v/>
      </c>
      <c r="Y443" s="38" t="str">
        <f>IF(AND(A443="Аппарат",C443&lt;&gt;"",OR($S$5="(все)",B443=$S$5)),MAX($Y$3:Y442)+1,"")</f>
        <v/>
      </c>
      <c r="Z443" s="38" t="str">
        <f t="shared" si="58"/>
        <v/>
      </c>
      <c r="AA443" s="38" t="str">
        <f>IF(AND(A443="Модуль",C443&lt;&gt;"",OR($S$6="(все)",B443=$S$6)),MAX($AA$3:AA442)+1,"")</f>
        <v/>
      </c>
      <c r="AB443" s="38" t="str">
        <f t="shared" si="59"/>
        <v/>
      </c>
      <c r="AC443" s="38" t="str">
        <f>IF(OR(B443="",COUNTIF($B$4:B443,B443)&gt;1),"",MAX($AC$3:AC442)+1)</f>
        <v/>
      </c>
      <c r="AD443" s="38" t="str">
        <f t="shared" si="60"/>
        <v/>
      </c>
      <c r="AE443" s="38" t="str">
        <f t="shared" si="61"/>
        <v/>
      </c>
      <c r="AF443" s="38" t="str">
        <f t="shared" si="62"/>
        <v/>
      </c>
    </row>
    <row r="444" spans="1:32" x14ac:dyDescent="0.3">
      <c r="A444" s="74"/>
      <c r="B444" s="74"/>
      <c r="C444" s="74"/>
      <c r="D444" s="74"/>
      <c r="E444" s="74"/>
      <c r="F444" s="74"/>
      <c r="G444" s="74"/>
      <c r="H444" s="74"/>
      <c r="I444" s="74"/>
      <c r="J444" s="74"/>
      <c r="K444" s="74"/>
      <c r="L444" s="74"/>
      <c r="M444" s="74"/>
      <c r="N444" s="38" t="str">
        <f>IF(OR(A444="Автомат",A444="Дифавтомат"),IF(W444="","",COUNTIFS(Однолинейка!$H$3:$H$3000,U444,Однолинейка!$A$3:$A$3000,Щит_спец)),IF(A444="Аппарат",IF(C444="","",COUNTIFS(Однолинейка!$I$3:$I$3000,C444,Однолинейка!$A$3:$A$3000,Щит_спец)+COUNTIFS(Однолинейка!$J$3:$J$3000,C444,Однолинейка!$A$3:$A$3000,Щит_спец)+COUNTIFS(Однолинейка!$K$3:$K$3000,C444,Однолинейка!$A$3:$A$3000,Щит_спец)),IF(A444="Модуль",IF(C444="","",COUNTIFS(Однолинейка!$AW$3:$AW$3000,"?*",Однолинейка!$AI$3:$AI$3000,C444,Однолинейка!$A$3:$A$3000,Щит_спец)),IF(A444="Клемма",IF(C444="","",IF(C444=$S$7,SUMIFS(Однолинейка!$BW$3:$BW$3000,Однолинейка!$A$3:$A$3000,Щит_спец),IF(C444=$S$8,SUMIFS(Однолинейка!$BX$3:$BX$3000,Однолинейка!$A$3:$A$3000,Щит_спец),""))),""))))</f>
        <v/>
      </c>
      <c r="O444" s="74"/>
      <c r="P444" s="38" t="str">
        <f t="shared" si="54"/>
        <v/>
      </c>
      <c r="U444" s="38" t="str">
        <f t="shared" si="55"/>
        <v/>
      </c>
      <c r="V444" s="38" t="str">
        <f t="shared" si="56"/>
        <v/>
      </c>
      <c r="W444" s="38" t="str">
        <f>IF(AND(U444&lt;&gt;"",OR($S$4="(все)",B444=$S$4),IF($S$4="(все)",COUNTIF($U$4:U444,U444),COUNTIFS($U$4:U444,U444,$B$4:B444,B444))=1),MAX($W$3:W443)+1,"")</f>
        <v/>
      </c>
      <c r="X444" s="38" t="str">
        <f t="shared" si="57"/>
        <v/>
      </c>
      <c r="Y444" s="38" t="str">
        <f>IF(AND(A444="Аппарат",C444&lt;&gt;"",OR($S$5="(все)",B444=$S$5)),MAX($Y$3:Y443)+1,"")</f>
        <v/>
      </c>
      <c r="Z444" s="38" t="str">
        <f t="shared" si="58"/>
        <v/>
      </c>
      <c r="AA444" s="38" t="str">
        <f>IF(AND(A444="Модуль",C444&lt;&gt;"",OR($S$6="(все)",B444=$S$6)),MAX($AA$3:AA443)+1,"")</f>
        <v/>
      </c>
      <c r="AB444" s="38" t="str">
        <f t="shared" si="59"/>
        <v/>
      </c>
      <c r="AC444" s="38" t="str">
        <f>IF(OR(B444="",COUNTIF($B$4:B444,B444)&gt;1),"",MAX($AC$3:AC443)+1)</f>
        <v/>
      </c>
      <c r="AD444" s="38" t="str">
        <f t="shared" si="60"/>
        <v/>
      </c>
      <c r="AE444" s="38" t="str">
        <f t="shared" si="61"/>
        <v/>
      </c>
      <c r="AF444" s="38" t="str">
        <f t="shared" si="62"/>
        <v/>
      </c>
    </row>
    <row r="445" spans="1:32" x14ac:dyDescent="0.3">
      <c r="A445" s="74"/>
      <c r="B445" s="74"/>
      <c r="C445" s="74"/>
      <c r="D445" s="74"/>
      <c r="E445" s="74"/>
      <c r="F445" s="74"/>
      <c r="G445" s="74"/>
      <c r="H445" s="74"/>
      <c r="I445" s="74"/>
      <c r="J445" s="74"/>
      <c r="K445" s="74"/>
      <c r="L445" s="74"/>
      <c r="M445" s="74"/>
      <c r="N445" s="38" t="str">
        <f>IF(OR(A445="Автомат",A445="Дифавтомат"),IF(W445="","",COUNTIFS(Однолинейка!$H$3:$H$3000,U445,Однолинейка!$A$3:$A$3000,Щит_спец)),IF(A445="Аппарат",IF(C445="","",COUNTIFS(Однолинейка!$I$3:$I$3000,C445,Однолинейка!$A$3:$A$3000,Щит_спец)+COUNTIFS(Однолинейка!$J$3:$J$3000,C445,Однолинейка!$A$3:$A$3000,Щит_спец)+COUNTIFS(Однолинейка!$K$3:$K$3000,C445,Однолинейка!$A$3:$A$3000,Щит_спец)),IF(A445="Модуль",IF(C445="","",COUNTIFS(Однолинейка!$AW$3:$AW$3000,"?*",Однолинейка!$AI$3:$AI$3000,C445,Однолинейка!$A$3:$A$3000,Щит_спец)),IF(A445="Клемма",IF(C445="","",IF(C445=$S$7,SUMIFS(Однолинейка!$BW$3:$BW$3000,Однолинейка!$A$3:$A$3000,Щит_спец),IF(C445=$S$8,SUMIFS(Однолинейка!$BX$3:$BX$3000,Однолинейка!$A$3:$A$3000,Щит_спец),""))),""))))</f>
        <v/>
      </c>
      <c r="O445" s="74"/>
      <c r="P445" s="38" t="str">
        <f t="shared" si="54"/>
        <v/>
      </c>
      <c r="U445" s="38" t="str">
        <f t="shared" si="55"/>
        <v/>
      </c>
      <c r="V445" s="38" t="str">
        <f t="shared" si="56"/>
        <v/>
      </c>
      <c r="W445" s="38" t="str">
        <f>IF(AND(U445&lt;&gt;"",OR($S$4="(все)",B445=$S$4),IF($S$4="(все)",COUNTIF($U$4:U445,U445),COUNTIFS($U$4:U445,U445,$B$4:B445,B445))=1),MAX($W$3:W444)+1,"")</f>
        <v/>
      </c>
      <c r="X445" s="38" t="str">
        <f t="shared" si="57"/>
        <v/>
      </c>
      <c r="Y445" s="38" t="str">
        <f>IF(AND(A445="Аппарат",C445&lt;&gt;"",OR($S$5="(все)",B445=$S$5)),MAX($Y$3:Y444)+1,"")</f>
        <v/>
      </c>
      <c r="Z445" s="38" t="str">
        <f t="shared" si="58"/>
        <v/>
      </c>
      <c r="AA445" s="38" t="str">
        <f>IF(AND(A445="Модуль",C445&lt;&gt;"",OR($S$6="(все)",B445=$S$6)),MAX($AA$3:AA444)+1,"")</f>
        <v/>
      </c>
      <c r="AB445" s="38" t="str">
        <f t="shared" si="59"/>
        <v/>
      </c>
      <c r="AC445" s="38" t="str">
        <f>IF(OR(B445="",COUNTIF($B$4:B445,B445)&gt;1),"",MAX($AC$3:AC444)+1)</f>
        <v/>
      </c>
      <c r="AD445" s="38" t="str">
        <f t="shared" si="60"/>
        <v/>
      </c>
      <c r="AE445" s="38" t="str">
        <f t="shared" si="61"/>
        <v/>
      </c>
      <c r="AF445" s="38" t="str">
        <f t="shared" si="62"/>
        <v/>
      </c>
    </row>
    <row r="446" spans="1:32" x14ac:dyDescent="0.3">
      <c r="A446" s="74"/>
      <c r="B446" s="74"/>
      <c r="C446" s="74"/>
      <c r="D446" s="74"/>
      <c r="E446" s="74"/>
      <c r="F446" s="74"/>
      <c r="G446" s="74"/>
      <c r="H446" s="74"/>
      <c r="I446" s="74"/>
      <c r="J446" s="74"/>
      <c r="K446" s="74"/>
      <c r="L446" s="74"/>
      <c r="M446" s="74"/>
      <c r="N446" s="38" t="str">
        <f>IF(OR(A446="Автомат",A446="Дифавтомат"),IF(W446="","",COUNTIFS(Однолинейка!$H$3:$H$3000,U446,Однолинейка!$A$3:$A$3000,Щит_спец)),IF(A446="Аппарат",IF(C446="","",COUNTIFS(Однолинейка!$I$3:$I$3000,C446,Однолинейка!$A$3:$A$3000,Щит_спец)+COUNTIFS(Однолинейка!$J$3:$J$3000,C446,Однолинейка!$A$3:$A$3000,Щит_спец)+COUNTIFS(Однолинейка!$K$3:$K$3000,C446,Однолинейка!$A$3:$A$3000,Щит_спец)),IF(A446="Модуль",IF(C446="","",COUNTIFS(Однолинейка!$AW$3:$AW$3000,"?*",Однолинейка!$AI$3:$AI$3000,C446,Однолинейка!$A$3:$A$3000,Щит_спец)),IF(A446="Клемма",IF(C446="","",IF(C446=$S$7,SUMIFS(Однолинейка!$BW$3:$BW$3000,Однолинейка!$A$3:$A$3000,Щит_спец),IF(C446=$S$8,SUMIFS(Однолинейка!$BX$3:$BX$3000,Однолинейка!$A$3:$A$3000,Щит_спец),""))),""))))</f>
        <v/>
      </c>
      <c r="O446" s="74"/>
      <c r="P446" s="38" t="str">
        <f t="shared" si="54"/>
        <v/>
      </c>
      <c r="U446" s="38" t="str">
        <f t="shared" si="55"/>
        <v/>
      </c>
      <c r="V446" s="38" t="str">
        <f t="shared" si="56"/>
        <v/>
      </c>
      <c r="W446" s="38" t="str">
        <f>IF(AND(U446&lt;&gt;"",OR($S$4="(все)",B446=$S$4),IF($S$4="(все)",COUNTIF($U$4:U446,U446),COUNTIFS($U$4:U446,U446,$B$4:B446,B446))=1),MAX($W$3:W445)+1,"")</f>
        <v/>
      </c>
      <c r="X446" s="38" t="str">
        <f t="shared" si="57"/>
        <v/>
      </c>
      <c r="Y446" s="38" t="str">
        <f>IF(AND(A446="Аппарат",C446&lt;&gt;"",OR($S$5="(все)",B446=$S$5)),MAX($Y$3:Y445)+1,"")</f>
        <v/>
      </c>
      <c r="Z446" s="38" t="str">
        <f t="shared" si="58"/>
        <v/>
      </c>
      <c r="AA446" s="38" t="str">
        <f>IF(AND(A446="Модуль",C446&lt;&gt;"",OR($S$6="(все)",B446=$S$6)),MAX($AA$3:AA445)+1,"")</f>
        <v/>
      </c>
      <c r="AB446" s="38" t="str">
        <f t="shared" si="59"/>
        <v/>
      </c>
      <c r="AC446" s="38" t="str">
        <f>IF(OR(B446="",COUNTIF($B$4:B446,B446)&gt;1),"",MAX($AC$3:AC445)+1)</f>
        <v/>
      </c>
      <c r="AD446" s="38" t="str">
        <f t="shared" si="60"/>
        <v/>
      </c>
      <c r="AE446" s="38" t="str">
        <f t="shared" si="61"/>
        <v/>
      </c>
      <c r="AF446" s="38" t="str">
        <f t="shared" si="62"/>
        <v/>
      </c>
    </row>
    <row r="447" spans="1:32" x14ac:dyDescent="0.3">
      <c r="A447" s="74"/>
      <c r="B447" s="74"/>
      <c r="C447" s="74"/>
      <c r="D447" s="74"/>
      <c r="E447" s="74"/>
      <c r="F447" s="74"/>
      <c r="G447" s="74"/>
      <c r="H447" s="74"/>
      <c r="I447" s="74"/>
      <c r="J447" s="74"/>
      <c r="K447" s="74"/>
      <c r="L447" s="74"/>
      <c r="M447" s="74"/>
      <c r="N447" s="38" t="str">
        <f>IF(OR(A447="Автомат",A447="Дифавтомат"),IF(W447="","",COUNTIFS(Однолинейка!$H$3:$H$3000,U447,Однолинейка!$A$3:$A$3000,Щит_спец)),IF(A447="Аппарат",IF(C447="","",COUNTIFS(Однолинейка!$I$3:$I$3000,C447,Однолинейка!$A$3:$A$3000,Щит_спец)+COUNTIFS(Однолинейка!$J$3:$J$3000,C447,Однолинейка!$A$3:$A$3000,Щит_спец)+COUNTIFS(Однолинейка!$K$3:$K$3000,C447,Однолинейка!$A$3:$A$3000,Щит_спец)),IF(A447="Модуль",IF(C447="","",COUNTIFS(Однолинейка!$AW$3:$AW$3000,"?*",Однолинейка!$AI$3:$AI$3000,C447,Однолинейка!$A$3:$A$3000,Щит_спец)),IF(A447="Клемма",IF(C447="","",IF(C447=$S$7,SUMIFS(Однолинейка!$BW$3:$BW$3000,Однолинейка!$A$3:$A$3000,Щит_спец),IF(C447=$S$8,SUMIFS(Однолинейка!$BX$3:$BX$3000,Однолинейка!$A$3:$A$3000,Щит_спец),""))),""))))</f>
        <v/>
      </c>
      <c r="O447" s="74"/>
      <c r="P447" s="38" t="str">
        <f t="shared" si="54"/>
        <v/>
      </c>
      <c r="U447" s="38" t="str">
        <f t="shared" si="55"/>
        <v/>
      </c>
      <c r="V447" s="38" t="str">
        <f t="shared" si="56"/>
        <v/>
      </c>
      <c r="W447" s="38" t="str">
        <f>IF(AND(U447&lt;&gt;"",OR($S$4="(все)",B447=$S$4),IF($S$4="(все)",COUNTIF($U$4:U447,U447),COUNTIFS($U$4:U447,U447,$B$4:B447,B447))=1),MAX($W$3:W446)+1,"")</f>
        <v/>
      </c>
      <c r="X447" s="38" t="str">
        <f t="shared" si="57"/>
        <v/>
      </c>
      <c r="Y447" s="38" t="str">
        <f>IF(AND(A447="Аппарат",C447&lt;&gt;"",OR($S$5="(все)",B447=$S$5)),MAX($Y$3:Y446)+1,"")</f>
        <v/>
      </c>
      <c r="Z447" s="38" t="str">
        <f t="shared" si="58"/>
        <v/>
      </c>
      <c r="AA447" s="38" t="str">
        <f>IF(AND(A447="Модуль",C447&lt;&gt;"",OR($S$6="(все)",B447=$S$6)),MAX($AA$3:AA446)+1,"")</f>
        <v/>
      </c>
      <c r="AB447" s="38" t="str">
        <f t="shared" si="59"/>
        <v/>
      </c>
      <c r="AC447" s="38" t="str">
        <f>IF(OR(B447="",COUNTIF($B$4:B447,B447)&gt;1),"",MAX($AC$3:AC446)+1)</f>
        <v/>
      </c>
      <c r="AD447" s="38" t="str">
        <f t="shared" si="60"/>
        <v/>
      </c>
      <c r="AE447" s="38" t="str">
        <f t="shared" si="61"/>
        <v/>
      </c>
      <c r="AF447" s="38" t="str">
        <f t="shared" si="62"/>
        <v/>
      </c>
    </row>
    <row r="448" spans="1:32" x14ac:dyDescent="0.3">
      <c r="A448" s="74"/>
      <c r="B448" s="74"/>
      <c r="C448" s="74"/>
      <c r="D448" s="74"/>
      <c r="E448" s="74"/>
      <c r="F448" s="74"/>
      <c r="G448" s="74"/>
      <c r="H448" s="74"/>
      <c r="I448" s="74"/>
      <c r="J448" s="74"/>
      <c r="K448" s="74"/>
      <c r="L448" s="74"/>
      <c r="M448" s="74"/>
      <c r="N448" s="38" t="str">
        <f>IF(OR(A448="Автомат",A448="Дифавтомат"),IF(W448="","",COUNTIFS(Однолинейка!$H$3:$H$3000,U448,Однолинейка!$A$3:$A$3000,Щит_спец)),IF(A448="Аппарат",IF(C448="","",COUNTIFS(Однолинейка!$I$3:$I$3000,C448,Однолинейка!$A$3:$A$3000,Щит_спец)+COUNTIFS(Однолинейка!$J$3:$J$3000,C448,Однолинейка!$A$3:$A$3000,Щит_спец)+COUNTIFS(Однолинейка!$K$3:$K$3000,C448,Однолинейка!$A$3:$A$3000,Щит_спец)),IF(A448="Модуль",IF(C448="","",COUNTIFS(Однолинейка!$AW$3:$AW$3000,"?*",Однолинейка!$AI$3:$AI$3000,C448,Однолинейка!$A$3:$A$3000,Щит_спец)),IF(A448="Клемма",IF(C448="","",IF(C448=$S$7,SUMIFS(Однолинейка!$BW$3:$BW$3000,Однолинейка!$A$3:$A$3000,Щит_спец),IF(C448=$S$8,SUMIFS(Однолинейка!$BX$3:$BX$3000,Однолинейка!$A$3:$A$3000,Щит_спец),""))),""))))</f>
        <v/>
      </c>
      <c r="O448" s="74"/>
      <c r="P448" s="38" t="str">
        <f t="shared" si="54"/>
        <v/>
      </c>
      <c r="U448" s="38" t="str">
        <f t="shared" si="55"/>
        <v/>
      </c>
      <c r="V448" s="38" t="str">
        <f t="shared" si="56"/>
        <v/>
      </c>
      <c r="W448" s="38" t="str">
        <f>IF(AND(U448&lt;&gt;"",OR($S$4="(все)",B448=$S$4),IF($S$4="(все)",COUNTIF($U$4:U448,U448),COUNTIFS($U$4:U448,U448,$B$4:B448,B448))=1),MAX($W$3:W447)+1,"")</f>
        <v/>
      </c>
      <c r="X448" s="38" t="str">
        <f t="shared" si="57"/>
        <v/>
      </c>
      <c r="Y448" s="38" t="str">
        <f>IF(AND(A448="Аппарат",C448&lt;&gt;"",OR($S$5="(все)",B448=$S$5)),MAX($Y$3:Y447)+1,"")</f>
        <v/>
      </c>
      <c r="Z448" s="38" t="str">
        <f t="shared" si="58"/>
        <v/>
      </c>
      <c r="AA448" s="38" t="str">
        <f>IF(AND(A448="Модуль",C448&lt;&gt;"",OR($S$6="(все)",B448=$S$6)),MAX($AA$3:AA447)+1,"")</f>
        <v/>
      </c>
      <c r="AB448" s="38" t="str">
        <f t="shared" si="59"/>
        <v/>
      </c>
      <c r="AC448" s="38" t="str">
        <f>IF(OR(B448="",COUNTIF($B$4:B448,B448)&gt;1),"",MAX($AC$3:AC447)+1)</f>
        <v/>
      </c>
      <c r="AD448" s="38" t="str">
        <f t="shared" si="60"/>
        <v/>
      </c>
      <c r="AE448" s="38" t="str">
        <f t="shared" si="61"/>
        <v/>
      </c>
      <c r="AF448" s="38" t="str">
        <f t="shared" si="62"/>
        <v/>
      </c>
    </row>
    <row r="449" spans="1:32" x14ac:dyDescent="0.3">
      <c r="A449" s="74"/>
      <c r="B449" s="74"/>
      <c r="C449" s="74"/>
      <c r="D449" s="74"/>
      <c r="E449" s="74"/>
      <c r="F449" s="74"/>
      <c r="G449" s="74"/>
      <c r="H449" s="74"/>
      <c r="I449" s="74"/>
      <c r="J449" s="74"/>
      <c r="K449" s="74"/>
      <c r="L449" s="74"/>
      <c r="M449" s="74"/>
      <c r="N449" s="38" t="str">
        <f>IF(OR(A449="Автомат",A449="Дифавтомат"),IF(W449="","",COUNTIFS(Однолинейка!$H$3:$H$3000,U449,Однолинейка!$A$3:$A$3000,Щит_спец)),IF(A449="Аппарат",IF(C449="","",COUNTIFS(Однолинейка!$I$3:$I$3000,C449,Однолинейка!$A$3:$A$3000,Щит_спец)+COUNTIFS(Однолинейка!$J$3:$J$3000,C449,Однолинейка!$A$3:$A$3000,Щит_спец)+COUNTIFS(Однолинейка!$K$3:$K$3000,C449,Однолинейка!$A$3:$A$3000,Щит_спец)),IF(A449="Модуль",IF(C449="","",COUNTIFS(Однолинейка!$AW$3:$AW$3000,"?*",Однолинейка!$AI$3:$AI$3000,C449,Однолинейка!$A$3:$A$3000,Щит_спец)),IF(A449="Клемма",IF(C449="","",IF(C449=$S$7,SUMIFS(Однолинейка!$BW$3:$BW$3000,Однолинейка!$A$3:$A$3000,Щит_спец),IF(C449=$S$8,SUMIFS(Однолинейка!$BX$3:$BX$3000,Однолинейка!$A$3:$A$3000,Щит_спец),""))),""))))</f>
        <v/>
      </c>
      <c r="O449" s="74"/>
      <c r="P449" s="38" t="str">
        <f t="shared" si="54"/>
        <v/>
      </c>
      <c r="U449" s="38" t="str">
        <f t="shared" si="55"/>
        <v/>
      </c>
      <c r="V449" s="38" t="str">
        <f t="shared" si="56"/>
        <v/>
      </c>
      <c r="W449" s="38" t="str">
        <f>IF(AND(U449&lt;&gt;"",OR($S$4="(все)",B449=$S$4),IF($S$4="(все)",COUNTIF($U$4:U449,U449),COUNTIFS($U$4:U449,U449,$B$4:B449,B449))=1),MAX($W$3:W448)+1,"")</f>
        <v/>
      </c>
      <c r="X449" s="38" t="str">
        <f t="shared" si="57"/>
        <v/>
      </c>
      <c r="Y449" s="38" t="str">
        <f>IF(AND(A449="Аппарат",C449&lt;&gt;"",OR($S$5="(все)",B449=$S$5)),MAX($Y$3:Y448)+1,"")</f>
        <v/>
      </c>
      <c r="Z449" s="38" t="str">
        <f t="shared" si="58"/>
        <v/>
      </c>
      <c r="AA449" s="38" t="str">
        <f>IF(AND(A449="Модуль",C449&lt;&gt;"",OR($S$6="(все)",B449=$S$6)),MAX($AA$3:AA448)+1,"")</f>
        <v/>
      </c>
      <c r="AB449" s="38" t="str">
        <f t="shared" si="59"/>
        <v/>
      </c>
      <c r="AC449" s="38" t="str">
        <f>IF(OR(B449="",COUNTIF($B$4:B449,B449)&gt;1),"",MAX($AC$3:AC448)+1)</f>
        <v/>
      </c>
      <c r="AD449" s="38" t="str">
        <f t="shared" si="60"/>
        <v/>
      </c>
      <c r="AE449" s="38" t="str">
        <f t="shared" si="61"/>
        <v/>
      </c>
      <c r="AF449" s="38" t="str">
        <f t="shared" si="62"/>
        <v/>
      </c>
    </row>
    <row r="450" spans="1:32" x14ac:dyDescent="0.3">
      <c r="A450" s="74"/>
      <c r="B450" s="74"/>
      <c r="C450" s="74"/>
      <c r="D450" s="74"/>
      <c r="E450" s="74"/>
      <c r="F450" s="74"/>
      <c r="G450" s="74"/>
      <c r="H450" s="74"/>
      <c r="I450" s="74"/>
      <c r="J450" s="74"/>
      <c r="K450" s="74"/>
      <c r="L450" s="74"/>
      <c r="M450" s="74"/>
      <c r="N450" s="38" t="str">
        <f>IF(OR(A450="Автомат",A450="Дифавтомат"),IF(W450="","",COUNTIFS(Однолинейка!$H$3:$H$3000,U450,Однолинейка!$A$3:$A$3000,Щит_спец)),IF(A450="Аппарат",IF(C450="","",COUNTIFS(Однолинейка!$I$3:$I$3000,C450,Однолинейка!$A$3:$A$3000,Щит_спец)+COUNTIFS(Однолинейка!$J$3:$J$3000,C450,Однолинейка!$A$3:$A$3000,Щит_спец)+COUNTIFS(Однолинейка!$K$3:$K$3000,C450,Однолинейка!$A$3:$A$3000,Щит_спец)),IF(A450="Модуль",IF(C450="","",COUNTIFS(Однолинейка!$AW$3:$AW$3000,"?*",Однолинейка!$AI$3:$AI$3000,C450,Однолинейка!$A$3:$A$3000,Щит_спец)),IF(A450="Клемма",IF(C450="","",IF(C450=$S$7,SUMIFS(Однолинейка!$BW$3:$BW$3000,Однолинейка!$A$3:$A$3000,Щит_спец),IF(C450=$S$8,SUMIFS(Однолинейка!$BX$3:$BX$3000,Однолинейка!$A$3:$A$3000,Щит_спец),""))),""))))</f>
        <v/>
      </c>
      <c r="O450" s="74"/>
      <c r="P450" s="38" t="str">
        <f t="shared" si="54"/>
        <v/>
      </c>
      <c r="U450" s="38" t="str">
        <f t="shared" si="55"/>
        <v/>
      </c>
      <c r="V450" s="38" t="str">
        <f t="shared" si="56"/>
        <v/>
      </c>
      <c r="W450" s="38" t="str">
        <f>IF(AND(U450&lt;&gt;"",OR($S$4="(все)",B450=$S$4),IF($S$4="(все)",COUNTIF($U$4:U450,U450),COUNTIFS($U$4:U450,U450,$B$4:B450,B450))=1),MAX($W$3:W449)+1,"")</f>
        <v/>
      </c>
      <c r="X450" s="38" t="str">
        <f t="shared" si="57"/>
        <v/>
      </c>
      <c r="Y450" s="38" t="str">
        <f>IF(AND(A450="Аппарат",C450&lt;&gt;"",OR($S$5="(все)",B450=$S$5)),MAX($Y$3:Y449)+1,"")</f>
        <v/>
      </c>
      <c r="Z450" s="38" t="str">
        <f t="shared" si="58"/>
        <v/>
      </c>
      <c r="AA450" s="38" t="str">
        <f>IF(AND(A450="Модуль",C450&lt;&gt;"",OR($S$6="(все)",B450=$S$6)),MAX($AA$3:AA449)+1,"")</f>
        <v/>
      </c>
      <c r="AB450" s="38" t="str">
        <f t="shared" si="59"/>
        <v/>
      </c>
      <c r="AC450" s="38" t="str">
        <f>IF(OR(B450="",COUNTIF($B$4:B450,B450)&gt;1),"",MAX($AC$3:AC449)+1)</f>
        <v/>
      </c>
      <c r="AD450" s="38" t="str">
        <f t="shared" si="60"/>
        <v/>
      </c>
      <c r="AE450" s="38" t="str">
        <f t="shared" si="61"/>
        <v/>
      </c>
      <c r="AF450" s="38" t="str">
        <f t="shared" si="62"/>
        <v/>
      </c>
    </row>
    <row r="451" spans="1:32" x14ac:dyDescent="0.3">
      <c r="A451" s="74"/>
      <c r="B451" s="74"/>
      <c r="C451" s="74"/>
      <c r="D451" s="74"/>
      <c r="E451" s="74"/>
      <c r="F451" s="74"/>
      <c r="G451" s="74"/>
      <c r="H451" s="74"/>
      <c r="I451" s="74"/>
      <c r="J451" s="74"/>
      <c r="K451" s="74"/>
      <c r="L451" s="74"/>
      <c r="M451" s="74"/>
      <c r="N451" s="38" t="str">
        <f>IF(OR(A451="Автомат",A451="Дифавтомат"),IF(W451="","",COUNTIFS(Однолинейка!$H$3:$H$3000,U451,Однолинейка!$A$3:$A$3000,Щит_спец)),IF(A451="Аппарат",IF(C451="","",COUNTIFS(Однолинейка!$I$3:$I$3000,C451,Однолинейка!$A$3:$A$3000,Щит_спец)+COUNTIFS(Однолинейка!$J$3:$J$3000,C451,Однолинейка!$A$3:$A$3000,Щит_спец)+COUNTIFS(Однолинейка!$K$3:$K$3000,C451,Однолинейка!$A$3:$A$3000,Щит_спец)),IF(A451="Модуль",IF(C451="","",COUNTIFS(Однолинейка!$AW$3:$AW$3000,"?*",Однолинейка!$AI$3:$AI$3000,C451,Однолинейка!$A$3:$A$3000,Щит_спец)),IF(A451="Клемма",IF(C451="","",IF(C451=$S$7,SUMIFS(Однолинейка!$BW$3:$BW$3000,Однолинейка!$A$3:$A$3000,Щит_спец),IF(C451=$S$8,SUMIFS(Однолинейка!$BX$3:$BX$3000,Однолинейка!$A$3:$A$3000,Щит_спец),""))),""))))</f>
        <v/>
      </c>
      <c r="O451" s="74"/>
      <c r="P451" s="38" t="str">
        <f t="shared" si="54"/>
        <v/>
      </c>
      <c r="U451" s="38" t="str">
        <f t="shared" si="55"/>
        <v/>
      </c>
      <c r="V451" s="38" t="str">
        <f t="shared" si="56"/>
        <v/>
      </c>
      <c r="W451" s="38" t="str">
        <f>IF(AND(U451&lt;&gt;"",OR($S$4="(все)",B451=$S$4),IF($S$4="(все)",COUNTIF($U$4:U451,U451),COUNTIFS($U$4:U451,U451,$B$4:B451,B451))=1),MAX($W$3:W450)+1,"")</f>
        <v/>
      </c>
      <c r="X451" s="38" t="str">
        <f t="shared" si="57"/>
        <v/>
      </c>
      <c r="Y451" s="38" t="str">
        <f>IF(AND(A451="Аппарат",C451&lt;&gt;"",OR($S$5="(все)",B451=$S$5)),MAX($Y$3:Y450)+1,"")</f>
        <v/>
      </c>
      <c r="Z451" s="38" t="str">
        <f t="shared" si="58"/>
        <v/>
      </c>
      <c r="AA451" s="38" t="str">
        <f>IF(AND(A451="Модуль",C451&lt;&gt;"",OR($S$6="(все)",B451=$S$6)),MAX($AA$3:AA450)+1,"")</f>
        <v/>
      </c>
      <c r="AB451" s="38" t="str">
        <f t="shared" si="59"/>
        <v/>
      </c>
      <c r="AC451" s="38" t="str">
        <f>IF(OR(B451="",COUNTIF($B$4:B451,B451)&gt;1),"",MAX($AC$3:AC450)+1)</f>
        <v/>
      </c>
      <c r="AD451" s="38" t="str">
        <f t="shared" si="60"/>
        <v/>
      </c>
      <c r="AE451" s="38" t="str">
        <f t="shared" si="61"/>
        <v/>
      </c>
      <c r="AF451" s="38" t="str">
        <f t="shared" si="62"/>
        <v/>
      </c>
    </row>
    <row r="452" spans="1:32" x14ac:dyDescent="0.3">
      <c r="A452" s="74"/>
      <c r="B452" s="74"/>
      <c r="C452" s="74"/>
      <c r="D452" s="74"/>
      <c r="E452" s="74"/>
      <c r="F452" s="74"/>
      <c r="G452" s="74"/>
      <c r="H452" s="74"/>
      <c r="I452" s="74"/>
      <c r="J452" s="74"/>
      <c r="K452" s="74"/>
      <c r="L452" s="74"/>
      <c r="M452" s="74"/>
      <c r="N452" s="38" t="str">
        <f>IF(OR(A452="Автомат",A452="Дифавтомат"),IF(W452="","",COUNTIFS(Однолинейка!$H$3:$H$3000,U452,Однолинейка!$A$3:$A$3000,Щит_спец)),IF(A452="Аппарат",IF(C452="","",COUNTIFS(Однолинейка!$I$3:$I$3000,C452,Однолинейка!$A$3:$A$3000,Щит_спец)+COUNTIFS(Однолинейка!$J$3:$J$3000,C452,Однолинейка!$A$3:$A$3000,Щит_спец)+COUNTIFS(Однолинейка!$K$3:$K$3000,C452,Однолинейка!$A$3:$A$3000,Щит_спец)),IF(A452="Модуль",IF(C452="","",COUNTIFS(Однолинейка!$AW$3:$AW$3000,"?*",Однолинейка!$AI$3:$AI$3000,C452,Однолинейка!$A$3:$A$3000,Щит_спец)),IF(A452="Клемма",IF(C452="","",IF(C452=$S$7,SUMIFS(Однолинейка!$BW$3:$BW$3000,Однолинейка!$A$3:$A$3000,Щит_спец),IF(C452=$S$8,SUMIFS(Однолинейка!$BX$3:$BX$3000,Однолинейка!$A$3:$A$3000,Щит_спец),""))),""))))</f>
        <v/>
      </c>
      <c r="O452" s="74"/>
      <c r="P452" s="38" t="str">
        <f t="shared" ref="P452:P500" si="63">IF(COUNT(N452,O452)=0,"",SUM(N452,O452))</f>
        <v/>
      </c>
      <c r="U452" s="38" t="str">
        <f t="shared" ref="U452:U500" si="64">IF(OR(A452="Автомат",A452="Дифавтомат"),I452&amp;" С"&amp;J452&amp;"А"&amp;IF(K452="да"," 30мА",IF(ISNUMBER(K452)," "&amp;K452&amp;"мА","")),"")</f>
        <v/>
      </c>
      <c r="V452" s="38" t="str">
        <f t="shared" ref="V452:V500" si="65">IF(U452="","",B452&amp;"|"&amp;U452)</f>
        <v/>
      </c>
      <c r="W452" s="38" t="str">
        <f>IF(AND(U452&lt;&gt;"",OR($S$4="(все)",B452=$S$4),IF($S$4="(все)",COUNTIF($U$4:U452,U452),COUNTIFS($U$4:U452,U452,$B$4:B452,B452))=1),MAX($W$3:W451)+1,"")</f>
        <v/>
      </c>
      <c r="X452" s="38" t="str">
        <f t="shared" ref="X452:X500" si="66">IFERROR(INDEX($U$4:$U$500,MATCH(ROW()-3,$W$4:$W$500,0)),"")</f>
        <v/>
      </c>
      <c r="Y452" s="38" t="str">
        <f>IF(AND(A452="Аппарат",C452&lt;&gt;"",OR($S$5="(все)",B452=$S$5)),MAX($Y$3:Y451)+1,"")</f>
        <v/>
      </c>
      <c r="Z452" s="38" t="str">
        <f t="shared" ref="Z452:Z500" si="67">IFERROR(INDEX($C$4:$C$500,MATCH(ROW()-3,$Y$4:$Y$500,0)),"")</f>
        <v/>
      </c>
      <c r="AA452" s="38" t="str">
        <f>IF(AND(A452="Модуль",C452&lt;&gt;"",OR($S$6="(все)",B452=$S$6)),MAX($AA$3:AA451)+1,"")</f>
        <v/>
      </c>
      <c r="AB452" s="38" t="str">
        <f t="shared" ref="AB452:AB500" si="68">IFERROR(INDEX($C$4:$C$500,MATCH(ROW()-3,$AA$4:$AA$500,0)),"")</f>
        <v/>
      </c>
      <c r="AC452" s="38" t="str">
        <f>IF(OR(B452="",COUNTIF($B$4:B452,B452)&gt;1),"",MAX($AC$3:AC451)+1)</f>
        <v/>
      </c>
      <c r="AD452" s="38" t="str">
        <f t="shared" ref="AD452:AD500" si="69">IFERROR(INDEX($B$4:$B$500,MATCH(ROW()-3,$AC$4:$AC$500,0)),"")</f>
        <v/>
      </c>
      <c r="AE452" s="38" t="str">
        <f t="shared" ref="AE452:AE500" si="70">IF(AND(A452&lt;&gt;"",N(P452)&gt;0),IFERROR(MATCH(A452,$R$12:$R$25,0),99)*1000+ROW(),"")</f>
        <v/>
      </c>
      <c r="AF452" s="38" t="str">
        <f t="shared" ref="AF452:AF500" si="71">IF(AE452="","",COUNTIF($AE$4:$AE$500,"&lt;="&amp;AE452))</f>
        <v/>
      </c>
    </row>
    <row r="453" spans="1:32" x14ac:dyDescent="0.3">
      <c r="A453" s="74"/>
      <c r="B453" s="74"/>
      <c r="C453" s="74"/>
      <c r="D453" s="74"/>
      <c r="E453" s="74"/>
      <c r="F453" s="74"/>
      <c r="G453" s="74"/>
      <c r="H453" s="74"/>
      <c r="I453" s="74"/>
      <c r="J453" s="74"/>
      <c r="K453" s="74"/>
      <c r="L453" s="74"/>
      <c r="M453" s="74"/>
      <c r="N453" s="38" t="str">
        <f>IF(OR(A453="Автомат",A453="Дифавтомат"),IF(W453="","",COUNTIFS(Однолинейка!$H$3:$H$3000,U453,Однолинейка!$A$3:$A$3000,Щит_спец)),IF(A453="Аппарат",IF(C453="","",COUNTIFS(Однолинейка!$I$3:$I$3000,C453,Однолинейка!$A$3:$A$3000,Щит_спец)+COUNTIFS(Однолинейка!$J$3:$J$3000,C453,Однолинейка!$A$3:$A$3000,Щит_спец)+COUNTIFS(Однолинейка!$K$3:$K$3000,C453,Однолинейка!$A$3:$A$3000,Щит_спец)),IF(A453="Модуль",IF(C453="","",COUNTIFS(Однолинейка!$AW$3:$AW$3000,"?*",Однолинейка!$AI$3:$AI$3000,C453,Однолинейка!$A$3:$A$3000,Щит_спец)),IF(A453="Клемма",IF(C453="","",IF(C453=$S$7,SUMIFS(Однолинейка!$BW$3:$BW$3000,Однолинейка!$A$3:$A$3000,Щит_спец),IF(C453=$S$8,SUMIFS(Однолинейка!$BX$3:$BX$3000,Однолинейка!$A$3:$A$3000,Щит_спец),""))),""))))</f>
        <v/>
      </c>
      <c r="O453" s="74"/>
      <c r="P453" s="38" t="str">
        <f t="shared" si="63"/>
        <v/>
      </c>
      <c r="U453" s="38" t="str">
        <f t="shared" si="64"/>
        <v/>
      </c>
      <c r="V453" s="38" t="str">
        <f t="shared" si="65"/>
        <v/>
      </c>
      <c r="W453" s="38" t="str">
        <f>IF(AND(U453&lt;&gt;"",OR($S$4="(все)",B453=$S$4),IF($S$4="(все)",COUNTIF($U$4:U453,U453),COUNTIFS($U$4:U453,U453,$B$4:B453,B453))=1),MAX($W$3:W452)+1,"")</f>
        <v/>
      </c>
      <c r="X453" s="38" t="str">
        <f t="shared" si="66"/>
        <v/>
      </c>
      <c r="Y453" s="38" t="str">
        <f>IF(AND(A453="Аппарат",C453&lt;&gt;"",OR($S$5="(все)",B453=$S$5)),MAX($Y$3:Y452)+1,"")</f>
        <v/>
      </c>
      <c r="Z453" s="38" t="str">
        <f t="shared" si="67"/>
        <v/>
      </c>
      <c r="AA453" s="38" t="str">
        <f>IF(AND(A453="Модуль",C453&lt;&gt;"",OR($S$6="(все)",B453=$S$6)),MAX($AA$3:AA452)+1,"")</f>
        <v/>
      </c>
      <c r="AB453" s="38" t="str">
        <f t="shared" si="68"/>
        <v/>
      </c>
      <c r="AC453" s="38" t="str">
        <f>IF(OR(B453="",COUNTIF($B$4:B453,B453)&gt;1),"",MAX($AC$3:AC452)+1)</f>
        <v/>
      </c>
      <c r="AD453" s="38" t="str">
        <f t="shared" si="69"/>
        <v/>
      </c>
      <c r="AE453" s="38" t="str">
        <f t="shared" si="70"/>
        <v/>
      </c>
      <c r="AF453" s="38" t="str">
        <f t="shared" si="71"/>
        <v/>
      </c>
    </row>
    <row r="454" spans="1:32" x14ac:dyDescent="0.3">
      <c r="A454" s="74"/>
      <c r="B454" s="74"/>
      <c r="C454" s="74"/>
      <c r="D454" s="74"/>
      <c r="E454" s="74"/>
      <c r="F454" s="74"/>
      <c r="G454" s="74"/>
      <c r="H454" s="74"/>
      <c r="I454" s="74"/>
      <c r="J454" s="74"/>
      <c r="K454" s="74"/>
      <c r="L454" s="74"/>
      <c r="M454" s="74"/>
      <c r="N454" s="38" t="str">
        <f>IF(OR(A454="Автомат",A454="Дифавтомат"),IF(W454="","",COUNTIFS(Однолинейка!$H$3:$H$3000,U454,Однолинейка!$A$3:$A$3000,Щит_спец)),IF(A454="Аппарат",IF(C454="","",COUNTIFS(Однолинейка!$I$3:$I$3000,C454,Однолинейка!$A$3:$A$3000,Щит_спец)+COUNTIFS(Однолинейка!$J$3:$J$3000,C454,Однолинейка!$A$3:$A$3000,Щит_спец)+COUNTIFS(Однолинейка!$K$3:$K$3000,C454,Однолинейка!$A$3:$A$3000,Щит_спец)),IF(A454="Модуль",IF(C454="","",COUNTIFS(Однолинейка!$AW$3:$AW$3000,"?*",Однолинейка!$AI$3:$AI$3000,C454,Однолинейка!$A$3:$A$3000,Щит_спец)),IF(A454="Клемма",IF(C454="","",IF(C454=$S$7,SUMIFS(Однолинейка!$BW$3:$BW$3000,Однолинейка!$A$3:$A$3000,Щит_спец),IF(C454=$S$8,SUMIFS(Однолинейка!$BX$3:$BX$3000,Однолинейка!$A$3:$A$3000,Щит_спец),""))),""))))</f>
        <v/>
      </c>
      <c r="O454" s="74"/>
      <c r="P454" s="38" t="str">
        <f t="shared" si="63"/>
        <v/>
      </c>
      <c r="U454" s="38" t="str">
        <f t="shared" si="64"/>
        <v/>
      </c>
      <c r="V454" s="38" t="str">
        <f t="shared" si="65"/>
        <v/>
      </c>
      <c r="W454" s="38" t="str">
        <f>IF(AND(U454&lt;&gt;"",OR($S$4="(все)",B454=$S$4),IF($S$4="(все)",COUNTIF($U$4:U454,U454),COUNTIFS($U$4:U454,U454,$B$4:B454,B454))=1),MAX($W$3:W453)+1,"")</f>
        <v/>
      </c>
      <c r="X454" s="38" t="str">
        <f t="shared" si="66"/>
        <v/>
      </c>
      <c r="Y454" s="38" t="str">
        <f>IF(AND(A454="Аппарат",C454&lt;&gt;"",OR($S$5="(все)",B454=$S$5)),MAX($Y$3:Y453)+1,"")</f>
        <v/>
      </c>
      <c r="Z454" s="38" t="str">
        <f t="shared" si="67"/>
        <v/>
      </c>
      <c r="AA454" s="38" t="str">
        <f>IF(AND(A454="Модуль",C454&lt;&gt;"",OR($S$6="(все)",B454=$S$6)),MAX($AA$3:AA453)+1,"")</f>
        <v/>
      </c>
      <c r="AB454" s="38" t="str">
        <f t="shared" si="68"/>
        <v/>
      </c>
      <c r="AC454" s="38" t="str">
        <f>IF(OR(B454="",COUNTIF($B$4:B454,B454)&gt;1),"",MAX($AC$3:AC453)+1)</f>
        <v/>
      </c>
      <c r="AD454" s="38" t="str">
        <f t="shared" si="69"/>
        <v/>
      </c>
      <c r="AE454" s="38" t="str">
        <f t="shared" si="70"/>
        <v/>
      </c>
      <c r="AF454" s="38" t="str">
        <f t="shared" si="71"/>
        <v/>
      </c>
    </row>
    <row r="455" spans="1:32" x14ac:dyDescent="0.3">
      <c r="A455" s="74"/>
      <c r="B455" s="74"/>
      <c r="C455" s="74"/>
      <c r="D455" s="74"/>
      <c r="E455" s="74"/>
      <c r="F455" s="74"/>
      <c r="G455" s="74"/>
      <c r="H455" s="74"/>
      <c r="I455" s="74"/>
      <c r="J455" s="74"/>
      <c r="K455" s="74"/>
      <c r="L455" s="74"/>
      <c r="M455" s="74"/>
      <c r="N455" s="38" t="str">
        <f>IF(OR(A455="Автомат",A455="Дифавтомат"),IF(W455="","",COUNTIFS(Однолинейка!$H$3:$H$3000,U455,Однолинейка!$A$3:$A$3000,Щит_спец)),IF(A455="Аппарат",IF(C455="","",COUNTIFS(Однолинейка!$I$3:$I$3000,C455,Однолинейка!$A$3:$A$3000,Щит_спец)+COUNTIFS(Однолинейка!$J$3:$J$3000,C455,Однолинейка!$A$3:$A$3000,Щит_спец)+COUNTIFS(Однолинейка!$K$3:$K$3000,C455,Однолинейка!$A$3:$A$3000,Щит_спец)),IF(A455="Модуль",IF(C455="","",COUNTIFS(Однолинейка!$AW$3:$AW$3000,"?*",Однолинейка!$AI$3:$AI$3000,C455,Однолинейка!$A$3:$A$3000,Щит_спец)),IF(A455="Клемма",IF(C455="","",IF(C455=$S$7,SUMIFS(Однолинейка!$BW$3:$BW$3000,Однолинейка!$A$3:$A$3000,Щит_спец),IF(C455=$S$8,SUMIFS(Однолинейка!$BX$3:$BX$3000,Однолинейка!$A$3:$A$3000,Щит_спец),""))),""))))</f>
        <v/>
      </c>
      <c r="O455" s="74"/>
      <c r="P455" s="38" t="str">
        <f t="shared" si="63"/>
        <v/>
      </c>
      <c r="U455" s="38" t="str">
        <f t="shared" si="64"/>
        <v/>
      </c>
      <c r="V455" s="38" t="str">
        <f t="shared" si="65"/>
        <v/>
      </c>
      <c r="W455" s="38" t="str">
        <f>IF(AND(U455&lt;&gt;"",OR($S$4="(все)",B455=$S$4),IF($S$4="(все)",COUNTIF($U$4:U455,U455),COUNTIFS($U$4:U455,U455,$B$4:B455,B455))=1),MAX($W$3:W454)+1,"")</f>
        <v/>
      </c>
      <c r="X455" s="38" t="str">
        <f t="shared" si="66"/>
        <v/>
      </c>
      <c r="Y455" s="38" t="str">
        <f>IF(AND(A455="Аппарат",C455&lt;&gt;"",OR($S$5="(все)",B455=$S$5)),MAX($Y$3:Y454)+1,"")</f>
        <v/>
      </c>
      <c r="Z455" s="38" t="str">
        <f t="shared" si="67"/>
        <v/>
      </c>
      <c r="AA455" s="38" t="str">
        <f>IF(AND(A455="Модуль",C455&lt;&gt;"",OR($S$6="(все)",B455=$S$6)),MAX($AA$3:AA454)+1,"")</f>
        <v/>
      </c>
      <c r="AB455" s="38" t="str">
        <f t="shared" si="68"/>
        <v/>
      </c>
      <c r="AC455" s="38" t="str">
        <f>IF(OR(B455="",COUNTIF($B$4:B455,B455)&gt;1),"",MAX($AC$3:AC454)+1)</f>
        <v/>
      </c>
      <c r="AD455" s="38" t="str">
        <f t="shared" si="69"/>
        <v/>
      </c>
      <c r="AE455" s="38" t="str">
        <f t="shared" si="70"/>
        <v/>
      </c>
      <c r="AF455" s="38" t="str">
        <f t="shared" si="71"/>
        <v/>
      </c>
    </row>
    <row r="456" spans="1:32" x14ac:dyDescent="0.3">
      <c r="A456" s="74"/>
      <c r="B456" s="74"/>
      <c r="C456" s="74"/>
      <c r="D456" s="74"/>
      <c r="E456" s="74"/>
      <c r="F456" s="74"/>
      <c r="G456" s="74"/>
      <c r="H456" s="74"/>
      <c r="I456" s="74"/>
      <c r="J456" s="74"/>
      <c r="K456" s="74"/>
      <c r="L456" s="74"/>
      <c r="M456" s="74"/>
      <c r="N456" s="38" t="str">
        <f>IF(OR(A456="Автомат",A456="Дифавтомат"),IF(W456="","",COUNTIFS(Однолинейка!$H$3:$H$3000,U456,Однолинейка!$A$3:$A$3000,Щит_спец)),IF(A456="Аппарат",IF(C456="","",COUNTIFS(Однолинейка!$I$3:$I$3000,C456,Однолинейка!$A$3:$A$3000,Щит_спец)+COUNTIFS(Однолинейка!$J$3:$J$3000,C456,Однолинейка!$A$3:$A$3000,Щит_спец)+COUNTIFS(Однолинейка!$K$3:$K$3000,C456,Однолинейка!$A$3:$A$3000,Щит_спец)),IF(A456="Модуль",IF(C456="","",COUNTIFS(Однолинейка!$AW$3:$AW$3000,"?*",Однолинейка!$AI$3:$AI$3000,C456,Однолинейка!$A$3:$A$3000,Щит_спец)),IF(A456="Клемма",IF(C456="","",IF(C456=$S$7,SUMIFS(Однолинейка!$BW$3:$BW$3000,Однолинейка!$A$3:$A$3000,Щит_спец),IF(C456=$S$8,SUMIFS(Однолинейка!$BX$3:$BX$3000,Однолинейка!$A$3:$A$3000,Щит_спец),""))),""))))</f>
        <v/>
      </c>
      <c r="O456" s="74"/>
      <c r="P456" s="38" t="str">
        <f t="shared" si="63"/>
        <v/>
      </c>
      <c r="U456" s="38" t="str">
        <f t="shared" si="64"/>
        <v/>
      </c>
      <c r="V456" s="38" t="str">
        <f t="shared" si="65"/>
        <v/>
      </c>
      <c r="W456" s="38" t="str">
        <f>IF(AND(U456&lt;&gt;"",OR($S$4="(все)",B456=$S$4),IF($S$4="(все)",COUNTIF($U$4:U456,U456),COUNTIFS($U$4:U456,U456,$B$4:B456,B456))=1),MAX($W$3:W455)+1,"")</f>
        <v/>
      </c>
      <c r="X456" s="38" t="str">
        <f t="shared" si="66"/>
        <v/>
      </c>
      <c r="Y456" s="38" t="str">
        <f>IF(AND(A456="Аппарат",C456&lt;&gt;"",OR($S$5="(все)",B456=$S$5)),MAX($Y$3:Y455)+1,"")</f>
        <v/>
      </c>
      <c r="Z456" s="38" t="str">
        <f t="shared" si="67"/>
        <v/>
      </c>
      <c r="AA456" s="38" t="str">
        <f>IF(AND(A456="Модуль",C456&lt;&gt;"",OR($S$6="(все)",B456=$S$6)),MAX($AA$3:AA455)+1,"")</f>
        <v/>
      </c>
      <c r="AB456" s="38" t="str">
        <f t="shared" si="68"/>
        <v/>
      </c>
      <c r="AC456" s="38" t="str">
        <f>IF(OR(B456="",COUNTIF($B$4:B456,B456)&gt;1),"",MAX($AC$3:AC455)+1)</f>
        <v/>
      </c>
      <c r="AD456" s="38" t="str">
        <f t="shared" si="69"/>
        <v/>
      </c>
      <c r="AE456" s="38" t="str">
        <f t="shared" si="70"/>
        <v/>
      </c>
      <c r="AF456" s="38" t="str">
        <f t="shared" si="71"/>
        <v/>
      </c>
    </row>
    <row r="457" spans="1:32" x14ac:dyDescent="0.3">
      <c r="A457" s="74"/>
      <c r="B457" s="74"/>
      <c r="C457" s="74"/>
      <c r="D457" s="74"/>
      <c r="E457" s="74"/>
      <c r="F457" s="74"/>
      <c r="G457" s="74"/>
      <c r="H457" s="74"/>
      <c r="I457" s="74"/>
      <c r="J457" s="74"/>
      <c r="K457" s="74"/>
      <c r="L457" s="74"/>
      <c r="M457" s="74"/>
      <c r="N457" s="38" t="str">
        <f>IF(OR(A457="Автомат",A457="Дифавтомат"),IF(W457="","",COUNTIFS(Однолинейка!$H$3:$H$3000,U457,Однолинейка!$A$3:$A$3000,Щит_спец)),IF(A457="Аппарат",IF(C457="","",COUNTIFS(Однолинейка!$I$3:$I$3000,C457,Однолинейка!$A$3:$A$3000,Щит_спец)+COUNTIFS(Однолинейка!$J$3:$J$3000,C457,Однолинейка!$A$3:$A$3000,Щит_спец)+COUNTIFS(Однолинейка!$K$3:$K$3000,C457,Однолинейка!$A$3:$A$3000,Щит_спец)),IF(A457="Модуль",IF(C457="","",COUNTIFS(Однолинейка!$AW$3:$AW$3000,"?*",Однолинейка!$AI$3:$AI$3000,C457,Однолинейка!$A$3:$A$3000,Щит_спец)),IF(A457="Клемма",IF(C457="","",IF(C457=$S$7,SUMIFS(Однолинейка!$BW$3:$BW$3000,Однолинейка!$A$3:$A$3000,Щит_спец),IF(C457=$S$8,SUMIFS(Однолинейка!$BX$3:$BX$3000,Однолинейка!$A$3:$A$3000,Щит_спец),""))),""))))</f>
        <v/>
      </c>
      <c r="O457" s="74"/>
      <c r="P457" s="38" t="str">
        <f t="shared" si="63"/>
        <v/>
      </c>
      <c r="U457" s="38" t="str">
        <f t="shared" si="64"/>
        <v/>
      </c>
      <c r="V457" s="38" t="str">
        <f t="shared" si="65"/>
        <v/>
      </c>
      <c r="W457" s="38" t="str">
        <f>IF(AND(U457&lt;&gt;"",OR($S$4="(все)",B457=$S$4),IF($S$4="(все)",COUNTIF($U$4:U457,U457),COUNTIFS($U$4:U457,U457,$B$4:B457,B457))=1),MAX($W$3:W456)+1,"")</f>
        <v/>
      </c>
      <c r="X457" s="38" t="str">
        <f t="shared" si="66"/>
        <v/>
      </c>
      <c r="Y457" s="38" t="str">
        <f>IF(AND(A457="Аппарат",C457&lt;&gt;"",OR($S$5="(все)",B457=$S$5)),MAX($Y$3:Y456)+1,"")</f>
        <v/>
      </c>
      <c r="Z457" s="38" t="str">
        <f t="shared" si="67"/>
        <v/>
      </c>
      <c r="AA457" s="38" t="str">
        <f>IF(AND(A457="Модуль",C457&lt;&gt;"",OR($S$6="(все)",B457=$S$6)),MAX($AA$3:AA456)+1,"")</f>
        <v/>
      </c>
      <c r="AB457" s="38" t="str">
        <f t="shared" si="68"/>
        <v/>
      </c>
      <c r="AC457" s="38" t="str">
        <f>IF(OR(B457="",COUNTIF($B$4:B457,B457)&gt;1),"",MAX($AC$3:AC456)+1)</f>
        <v/>
      </c>
      <c r="AD457" s="38" t="str">
        <f t="shared" si="69"/>
        <v/>
      </c>
      <c r="AE457" s="38" t="str">
        <f t="shared" si="70"/>
        <v/>
      </c>
      <c r="AF457" s="38" t="str">
        <f t="shared" si="71"/>
        <v/>
      </c>
    </row>
    <row r="458" spans="1:32" x14ac:dyDescent="0.3">
      <c r="A458" s="74"/>
      <c r="B458" s="74"/>
      <c r="C458" s="74"/>
      <c r="D458" s="74"/>
      <c r="E458" s="74"/>
      <c r="F458" s="74"/>
      <c r="G458" s="74"/>
      <c r="H458" s="74"/>
      <c r="I458" s="74"/>
      <c r="J458" s="74"/>
      <c r="K458" s="74"/>
      <c r="L458" s="74"/>
      <c r="M458" s="74"/>
      <c r="N458" s="38" t="str">
        <f>IF(OR(A458="Автомат",A458="Дифавтомат"),IF(W458="","",COUNTIFS(Однолинейка!$H$3:$H$3000,U458,Однолинейка!$A$3:$A$3000,Щит_спец)),IF(A458="Аппарат",IF(C458="","",COUNTIFS(Однолинейка!$I$3:$I$3000,C458,Однолинейка!$A$3:$A$3000,Щит_спец)+COUNTIFS(Однолинейка!$J$3:$J$3000,C458,Однолинейка!$A$3:$A$3000,Щит_спец)+COUNTIFS(Однолинейка!$K$3:$K$3000,C458,Однолинейка!$A$3:$A$3000,Щит_спец)),IF(A458="Модуль",IF(C458="","",COUNTIFS(Однолинейка!$AW$3:$AW$3000,"?*",Однолинейка!$AI$3:$AI$3000,C458,Однолинейка!$A$3:$A$3000,Щит_спец)),IF(A458="Клемма",IF(C458="","",IF(C458=$S$7,SUMIFS(Однолинейка!$BW$3:$BW$3000,Однолинейка!$A$3:$A$3000,Щит_спец),IF(C458=$S$8,SUMIFS(Однолинейка!$BX$3:$BX$3000,Однолинейка!$A$3:$A$3000,Щит_спец),""))),""))))</f>
        <v/>
      </c>
      <c r="O458" s="74"/>
      <c r="P458" s="38" t="str">
        <f t="shared" si="63"/>
        <v/>
      </c>
      <c r="U458" s="38" t="str">
        <f t="shared" si="64"/>
        <v/>
      </c>
      <c r="V458" s="38" t="str">
        <f t="shared" si="65"/>
        <v/>
      </c>
      <c r="W458" s="38" t="str">
        <f>IF(AND(U458&lt;&gt;"",OR($S$4="(все)",B458=$S$4),IF($S$4="(все)",COUNTIF($U$4:U458,U458),COUNTIFS($U$4:U458,U458,$B$4:B458,B458))=1),MAX($W$3:W457)+1,"")</f>
        <v/>
      </c>
      <c r="X458" s="38" t="str">
        <f t="shared" si="66"/>
        <v/>
      </c>
      <c r="Y458" s="38" t="str">
        <f>IF(AND(A458="Аппарат",C458&lt;&gt;"",OR($S$5="(все)",B458=$S$5)),MAX($Y$3:Y457)+1,"")</f>
        <v/>
      </c>
      <c r="Z458" s="38" t="str">
        <f t="shared" si="67"/>
        <v/>
      </c>
      <c r="AA458" s="38" t="str">
        <f>IF(AND(A458="Модуль",C458&lt;&gt;"",OR($S$6="(все)",B458=$S$6)),MAX($AA$3:AA457)+1,"")</f>
        <v/>
      </c>
      <c r="AB458" s="38" t="str">
        <f t="shared" si="68"/>
        <v/>
      </c>
      <c r="AC458" s="38" t="str">
        <f>IF(OR(B458="",COUNTIF($B$4:B458,B458)&gt;1),"",MAX($AC$3:AC457)+1)</f>
        <v/>
      </c>
      <c r="AD458" s="38" t="str">
        <f t="shared" si="69"/>
        <v/>
      </c>
      <c r="AE458" s="38" t="str">
        <f t="shared" si="70"/>
        <v/>
      </c>
      <c r="AF458" s="38" t="str">
        <f t="shared" si="71"/>
        <v/>
      </c>
    </row>
    <row r="459" spans="1:32" x14ac:dyDescent="0.3">
      <c r="A459" s="74"/>
      <c r="B459" s="74"/>
      <c r="C459" s="74"/>
      <c r="D459" s="74"/>
      <c r="E459" s="74"/>
      <c r="F459" s="74"/>
      <c r="G459" s="74"/>
      <c r="H459" s="74"/>
      <c r="I459" s="74"/>
      <c r="J459" s="74"/>
      <c r="K459" s="74"/>
      <c r="L459" s="74"/>
      <c r="M459" s="74"/>
      <c r="N459" s="38" t="str">
        <f>IF(OR(A459="Автомат",A459="Дифавтомат"),IF(W459="","",COUNTIFS(Однолинейка!$H$3:$H$3000,U459,Однолинейка!$A$3:$A$3000,Щит_спец)),IF(A459="Аппарат",IF(C459="","",COUNTIFS(Однолинейка!$I$3:$I$3000,C459,Однолинейка!$A$3:$A$3000,Щит_спец)+COUNTIFS(Однолинейка!$J$3:$J$3000,C459,Однолинейка!$A$3:$A$3000,Щит_спец)+COUNTIFS(Однолинейка!$K$3:$K$3000,C459,Однолинейка!$A$3:$A$3000,Щит_спец)),IF(A459="Модуль",IF(C459="","",COUNTIFS(Однолинейка!$AW$3:$AW$3000,"?*",Однолинейка!$AI$3:$AI$3000,C459,Однолинейка!$A$3:$A$3000,Щит_спец)),IF(A459="Клемма",IF(C459="","",IF(C459=$S$7,SUMIFS(Однолинейка!$BW$3:$BW$3000,Однолинейка!$A$3:$A$3000,Щит_спец),IF(C459=$S$8,SUMIFS(Однолинейка!$BX$3:$BX$3000,Однолинейка!$A$3:$A$3000,Щит_спец),""))),""))))</f>
        <v/>
      </c>
      <c r="O459" s="74"/>
      <c r="P459" s="38" t="str">
        <f t="shared" si="63"/>
        <v/>
      </c>
      <c r="U459" s="38" t="str">
        <f t="shared" si="64"/>
        <v/>
      </c>
      <c r="V459" s="38" t="str">
        <f t="shared" si="65"/>
        <v/>
      </c>
      <c r="W459" s="38" t="str">
        <f>IF(AND(U459&lt;&gt;"",OR($S$4="(все)",B459=$S$4),IF($S$4="(все)",COUNTIF($U$4:U459,U459),COUNTIFS($U$4:U459,U459,$B$4:B459,B459))=1),MAX($W$3:W458)+1,"")</f>
        <v/>
      </c>
      <c r="X459" s="38" t="str">
        <f t="shared" si="66"/>
        <v/>
      </c>
      <c r="Y459" s="38" t="str">
        <f>IF(AND(A459="Аппарат",C459&lt;&gt;"",OR($S$5="(все)",B459=$S$5)),MAX($Y$3:Y458)+1,"")</f>
        <v/>
      </c>
      <c r="Z459" s="38" t="str">
        <f t="shared" si="67"/>
        <v/>
      </c>
      <c r="AA459" s="38" t="str">
        <f>IF(AND(A459="Модуль",C459&lt;&gt;"",OR($S$6="(все)",B459=$S$6)),MAX($AA$3:AA458)+1,"")</f>
        <v/>
      </c>
      <c r="AB459" s="38" t="str">
        <f t="shared" si="68"/>
        <v/>
      </c>
      <c r="AC459" s="38" t="str">
        <f>IF(OR(B459="",COUNTIF($B$4:B459,B459)&gt;1),"",MAX($AC$3:AC458)+1)</f>
        <v/>
      </c>
      <c r="AD459" s="38" t="str">
        <f t="shared" si="69"/>
        <v/>
      </c>
      <c r="AE459" s="38" t="str">
        <f t="shared" si="70"/>
        <v/>
      </c>
      <c r="AF459" s="38" t="str">
        <f t="shared" si="71"/>
        <v/>
      </c>
    </row>
    <row r="460" spans="1:32" x14ac:dyDescent="0.3">
      <c r="A460" s="74"/>
      <c r="B460" s="74"/>
      <c r="C460" s="74"/>
      <c r="D460" s="74"/>
      <c r="E460" s="74"/>
      <c r="F460" s="74"/>
      <c r="G460" s="74"/>
      <c r="H460" s="74"/>
      <c r="I460" s="74"/>
      <c r="J460" s="74"/>
      <c r="K460" s="74"/>
      <c r="L460" s="74"/>
      <c r="M460" s="74"/>
      <c r="N460" s="38" t="str">
        <f>IF(OR(A460="Автомат",A460="Дифавтомат"),IF(W460="","",COUNTIFS(Однолинейка!$H$3:$H$3000,U460,Однолинейка!$A$3:$A$3000,Щит_спец)),IF(A460="Аппарат",IF(C460="","",COUNTIFS(Однолинейка!$I$3:$I$3000,C460,Однолинейка!$A$3:$A$3000,Щит_спец)+COUNTIFS(Однолинейка!$J$3:$J$3000,C460,Однолинейка!$A$3:$A$3000,Щит_спец)+COUNTIFS(Однолинейка!$K$3:$K$3000,C460,Однолинейка!$A$3:$A$3000,Щит_спец)),IF(A460="Модуль",IF(C460="","",COUNTIFS(Однолинейка!$AW$3:$AW$3000,"?*",Однолинейка!$AI$3:$AI$3000,C460,Однолинейка!$A$3:$A$3000,Щит_спец)),IF(A460="Клемма",IF(C460="","",IF(C460=$S$7,SUMIFS(Однолинейка!$BW$3:$BW$3000,Однолинейка!$A$3:$A$3000,Щит_спец),IF(C460=$S$8,SUMIFS(Однолинейка!$BX$3:$BX$3000,Однолинейка!$A$3:$A$3000,Щит_спец),""))),""))))</f>
        <v/>
      </c>
      <c r="O460" s="74"/>
      <c r="P460" s="38" t="str">
        <f t="shared" si="63"/>
        <v/>
      </c>
      <c r="U460" s="38" t="str">
        <f t="shared" si="64"/>
        <v/>
      </c>
      <c r="V460" s="38" t="str">
        <f t="shared" si="65"/>
        <v/>
      </c>
      <c r="W460" s="38" t="str">
        <f>IF(AND(U460&lt;&gt;"",OR($S$4="(все)",B460=$S$4),IF($S$4="(все)",COUNTIF($U$4:U460,U460),COUNTIFS($U$4:U460,U460,$B$4:B460,B460))=1),MAX($W$3:W459)+1,"")</f>
        <v/>
      </c>
      <c r="X460" s="38" t="str">
        <f t="shared" si="66"/>
        <v/>
      </c>
      <c r="Y460" s="38" t="str">
        <f>IF(AND(A460="Аппарат",C460&lt;&gt;"",OR($S$5="(все)",B460=$S$5)),MAX($Y$3:Y459)+1,"")</f>
        <v/>
      </c>
      <c r="Z460" s="38" t="str">
        <f t="shared" si="67"/>
        <v/>
      </c>
      <c r="AA460" s="38" t="str">
        <f>IF(AND(A460="Модуль",C460&lt;&gt;"",OR($S$6="(все)",B460=$S$6)),MAX($AA$3:AA459)+1,"")</f>
        <v/>
      </c>
      <c r="AB460" s="38" t="str">
        <f t="shared" si="68"/>
        <v/>
      </c>
      <c r="AC460" s="38" t="str">
        <f>IF(OR(B460="",COUNTIF($B$4:B460,B460)&gt;1),"",MAX($AC$3:AC459)+1)</f>
        <v/>
      </c>
      <c r="AD460" s="38" t="str">
        <f t="shared" si="69"/>
        <v/>
      </c>
      <c r="AE460" s="38" t="str">
        <f t="shared" si="70"/>
        <v/>
      </c>
      <c r="AF460" s="38" t="str">
        <f t="shared" si="71"/>
        <v/>
      </c>
    </row>
    <row r="461" spans="1:32" x14ac:dyDescent="0.3">
      <c r="A461" s="74"/>
      <c r="B461" s="74"/>
      <c r="C461" s="74"/>
      <c r="D461" s="74"/>
      <c r="E461" s="74"/>
      <c r="F461" s="74"/>
      <c r="G461" s="74"/>
      <c r="H461" s="74"/>
      <c r="I461" s="74"/>
      <c r="J461" s="74"/>
      <c r="K461" s="74"/>
      <c r="L461" s="74"/>
      <c r="M461" s="74"/>
      <c r="N461" s="38" t="str">
        <f>IF(OR(A461="Автомат",A461="Дифавтомат"),IF(W461="","",COUNTIFS(Однолинейка!$H$3:$H$3000,U461,Однолинейка!$A$3:$A$3000,Щит_спец)),IF(A461="Аппарат",IF(C461="","",COUNTIFS(Однолинейка!$I$3:$I$3000,C461,Однолинейка!$A$3:$A$3000,Щит_спец)+COUNTIFS(Однолинейка!$J$3:$J$3000,C461,Однолинейка!$A$3:$A$3000,Щит_спец)+COUNTIFS(Однолинейка!$K$3:$K$3000,C461,Однолинейка!$A$3:$A$3000,Щит_спец)),IF(A461="Модуль",IF(C461="","",COUNTIFS(Однолинейка!$AW$3:$AW$3000,"?*",Однолинейка!$AI$3:$AI$3000,C461,Однолинейка!$A$3:$A$3000,Щит_спец)),IF(A461="Клемма",IF(C461="","",IF(C461=$S$7,SUMIFS(Однолинейка!$BW$3:$BW$3000,Однолинейка!$A$3:$A$3000,Щит_спец),IF(C461=$S$8,SUMIFS(Однолинейка!$BX$3:$BX$3000,Однолинейка!$A$3:$A$3000,Щит_спец),""))),""))))</f>
        <v/>
      </c>
      <c r="O461" s="74"/>
      <c r="P461" s="38" t="str">
        <f t="shared" si="63"/>
        <v/>
      </c>
      <c r="U461" s="38" t="str">
        <f t="shared" si="64"/>
        <v/>
      </c>
      <c r="V461" s="38" t="str">
        <f t="shared" si="65"/>
        <v/>
      </c>
      <c r="W461" s="38" t="str">
        <f>IF(AND(U461&lt;&gt;"",OR($S$4="(все)",B461=$S$4),IF($S$4="(все)",COUNTIF($U$4:U461,U461),COUNTIFS($U$4:U461,U461,$B$4:B461,B461))=1),MAX($W$3:W460)+1,"")</f>
        <v/>
      </c>
      <c r="X461" s="38" t="str">
        <f t="shared" si="66"/>
        <v/>
      </c>
      <c r="Y461" s="38" t="str">
        <f>IF(AND(A461="Аппарат",C461&lt;&gt;"",OR($S$5="(все)",B461=$S$5)),MAX($Y$3:Y460)+1,"")</f>
        <v/>
      </c>
      <c r="Z461" s="38" t="str">
        <f t="shared" si="67"/>
        <v/>
      </c>
      <c r="AA461" s="38" t="str">
        <f>IF(AND(A461="Модуль",C461&lt;&gt;"",OR($S$6="(все)",B461=$S$6)),MAX($AA$3:AA460)+1,"")</f>
        <v/>
      </c>
      <c r="AB461" s="38" t="str">
        <f t="shared" si="68"/>
        <v/>
      </c>
      <c r="AC461" s="38" t="str">
        <f>IF(OR(B461="",COUNTIF($B$4:B461,B461)&gt;1),"",MAX($AC$3:AC460)+1)</f>
        <v/>
      </c>
      <c r="AD461" s="38" t="str">
        <f t="shared" si="69"/>
        <v/>
      </c>
      <c r="AE461" s="38" t="str">
        <f t="shared" si="70"/>
        <v/>
      </c>
      <c r="AF461" s="38" t="str">
        <f t="shared" si="71"/>
        <v/>
      </c>
    </row>
    <row r="462" spans="1:32" x14ac:dyDescent="0.3">
      <c r="A462" s="74"/>
      <c r="B462" s="74"/>
      <c r="C462" s="74"/>
      <c r="D462" s="74"/>
      <c r="E462" s="74"/>
      <c r="F462" s="74"/>
      <c r="G462" s="74"/>
      <c r="H462" s="74"/>
      <c r="I462" s="74"/>
      <c r="J462" s="74"/>
      <c r="K462" s="74"/>
      <c r="L462" s="74"/>
      <c r="M462" s="74"/>
      <c r="N462" s="38" t="str">
        <f>IF(OR(A462="Автомат",A462="Дифавтомат"),IF(W462="","",COUNTIFS(Однолинейка!$H$3:$H$3000,U462,Однолинейка!$A$3:$A$3000,Щит_спец)),IF(A462="Аппарат",IF(C462="","",COUNTIFS(Однолинейка!$I$3:$I$3000,C462,Однолинейка!$A$3:$A$3000,Щит_спец)+COUNTIFS(Однолинейка!$J$3:$J$3000,C462,Однолинейка!$A$3:$A$3000,Щит_спец)+COUNTIFS(Однолинейка!$K$3:$K$3000,C462,Однолинейка!$A$3:$A$3000,Щит_спец)),IF(A462="Модуль",IF(C462="","",COUNTIFS(Однолинейка!$AW$3:$AW$3000,"?*",Однолинейка!$AI$3:$AI$3000,C462,Однолинейка!$A$3:$A$3000,Щит_спец)),IF(A462="Клемма",IF(C462="","",IF(C462=$S$7,SUMIFS(Однолинейка!$BW$3:$BW$3000,Однолинейка!$A$3:$A$3000,Щит_спец),IF(C462=$S$8,SUMIFS(Однолинейка!$BX$3:$BX$3000,Однолинейка!$A$3:$A$3000,Щит_спец),""))),""))))</f>
        <v/>
      </c>
      <c r="O462" s="74"/>
      <c r="P462" s="38" t="str">
        <f t="shared" si="63"/>
        <v/>
      </c>
      <c r="U462" s="38" t="str">
        <f t="shared" si="64"/>
        <v/>
      </c>
      <c r="V462" s="38" t="str">
        <f t="shared" si="65"/>
        <v/>
      </c>
      <c r="W462" s="38" t="str">
        <f>IF(AND(U462&lt;&gt;"",OR($S$4="(все)",B462=$S$4),IF($S$4="(все)",COUNTIF($U$4:U462,U462),COUNTIFS($U$4:U462,U462,$B$4:B462,B462))=1),MAX($W$3:W461)+1,"")</f>
        <v/>
      </c>
      <c r="X462" s="38" t="str">
        <f t="shared" si="66"/>
        <v/>
      </c>
      <c r="Y462" s="38" t="str">
        <f>IF(AND(A462="Аппарат",C462&lt;&gt;"",OR($S$5="(все)",B462=$S$5)),MAX($Y$3:Y461)+1,"")</f>
        <v/>
      </c>
      <c r="Z462" s="38" t="str">
        <f t="shared" si="67"/>
        <v/>
      </c>
      <c r="AA462" s="38" t="str">
        <f>IF(AND(A462="Модуль",C462&lt;&gt;"",OR($S$6="(все)",B462=$S$6)),MAX($AA$3:AA461)+1,"")</f>
        <v/>
      </c>
      <c r="AB462" s="38" t="str">
        <f t="shared" si="68"/>
        <v/>
      </c>
      <c r="AC462" s="38" t="str">
        <f>IF(OR(B462="",COUNTIF($B$4:B462,B462)&gt;1),"",MAX($AC$3:AC461)+1)</f>
        <v/>
      </c>
      <c r="AD462" s="38" t="str">
        <f t="shared" si="69"/>
        <v/>
      </c>
      <c r="AE462" s="38" t="str">
        <f t="shared" si="70"/>
        <v/>
      </c>
      <c r="AF462" s="38" t="str">
        <f t="shared" si="71"/>
        <v/>
      </c>
    </row>
    <row r="463" spans="1:32" x14ac:dyDescent="0.3">
      <c r="A463" s="74"/>
      <c r="B463" s="74"/>
      <c r="C463" s="74"/>
      <c r="D463" s="74"/>
      <c r="E463" s="74"/>
      <c r="F463" s="74"/>
      <c r="G463" s="74"/>
      <c r="H463" s="74"/>
      <c r="I463" s="74"/>
      <c r="J463" s="74"/>
      <c r="K463" s="74"/>
      <c r="L463" s="74"/>
      <c r="M463" s="74"/>
      <c r="N463" s="38" t="str">
        <f>IF(OR(A463="Автомат",A463="Дифавтомат"),IF(W463="","",COUNTIFS(Однолинейка!$H$3:$H$3000,U463,Однолинейка!$A$3:$A$3000,Щит_спец)),IF(A463="Аппарат",IF(C463="","",COUNTIFS(Однолинейка!$I$3:$I$3000,C463,Однолинейка!$A$3:$A$3000,Щит_спец)+COUNTIFS(Однолинейка!$J$3:$J$3000,C463,Однолинейка!$A$3:$A$3000,Щит_спец)+COUNTIFS(Однолинейка!$K$3:$K$3000,C463,Однолинейка!$A$3:$A$3000,Щит_спец)),IF(A463="Модуль",IF(C463="","",COUNTIFS(Однолинейка!$AW$3:$AW$3000,"?*",Однолинейка!$AI$3:$AI$3000,C463,Однолинейка!$A$3:$A$3000,Щит_спец)),IF(A463="Клемма",IF(C463="","",IF(C463=$S$7,SUMIFS(Однолинейка!$BW$3:$BW$3000,Однолинейка!$A$3:$A$3000,Щит_спец),IF(C463=$S$8,SUMIFS(Однолинейка!$BX$3:$BX$3000,Однолинейка!$A$3:$A$3000,Щит_спец),""))),""))))</f>
        <v/>
      </c>
      <c r="O463" s="74"/>
      <c r="P463" s="38" t="str">
        <f t="shared" si="63"/>
        <v/>
      </c>
      <c r="U463" s="38" t="str">
        <f t="shared" si="64"/>
        <v/>
      </c>
      <c r="V463" s="38" t="str">
        <f t="shared" si="65"/>
        <v/>
      </c>
      <c r="W463" s="38" t="str">
        <f>IF(AND(U463&lt;&gt;"",OR($S$4="(все)",B463=$S$4),IF($S$4="(все)",COUNTIF($U$4:U463,U463),COUNTIFS($U$4:U463,U463,$B$4:B463,B463))=1),MAX($W$3:W462)+1,"")</f>
        <v/>
      </c>
      <c r="X463" s="38" t="str">
        <f t="shared" si="66"/>
        <v/>
      </c>
      <c r="Y463" s="38" t="str">
        <f>IF(AND(A463="Аппарат",C463&lt;&gt;"",OR($S$5="(все)",B463=$S$5)),MAX($Y$3:Y462)+1,"")</f>
        <v/>
      </c>
      <c r="Z463" s="38" t="str">
        <f t="shared" si="67"/>
        <v/>
      </c>
      <c r="AA463" s="38" t="str">
        <f>IF(AND(A463="Модуль",C463&lt;&gt;"",OR($S$6="(все)",B463=$S$6)),MAX($AA$3:AA462)+1,"")</f>
        <v/>
      </c>
      <c r="AB463" s="38" t="str">
        <f t="shared" si="68"/>
        <v/>
      </c>
      <c r="AC463" s="38" t="str">
        <f>IF(OR(B463="",COUNTIF($B$4:B463,B463)&gt;1),"",MAX($AC$3:AC462)+1)</f>
        <v/>
      </c>
      <c r="AD463" s="38" t="str">
        <f t="shared" si="69"/>
        <v/>
      </c>
      <c r="AE463" s="38" t="str">
        <f t="shared" si="70"/>
        <v/>
      </c>
      <c r="AF463" s="38" t="str">
        <f t="shared" si="71"/>
        <v/>
      </c>
    </row>
    <row r="464" spans="1:32" x14ac:dyDescent="0.3">
      <c r="A464" s="74"/>
      <c r="B464" s="74"/>
      <c r="C464" s="74"/>
      <c r="D464" s="74"/>
      <c r="E464" s="74"/>
      <c r="F464" s="74"/>
      <c r="G464" s="74"/>
      <c r="H464" s="74"/>
      <c r="I464" s="74"/>
      <c r="J464" s="74"/>
      <c r="K464" s="74"/>
      <c r="L464" s="74"/>
      <c r="M464" s="74"/>
      <c r="N464" s="38" t="str">
        <f>IF(OR(A464="Автомат",A464="Дифавтомат"),IF(W464="","",COUNTIFS(Однолинейка!$H$3:$H$3000,U464,Однолинейка!$A$3:$A$3000,Щит_спец)),IF(A464="Аппарат",IF(C464="","",COUNTIFS(Однолинейка!$I$3:$I$3000,C464,Однолинейка!$A$3:$A$3000,Щит_спец)+COUNTIFS(Однолинейка!$J$3:$J$3000,C464,Однолинейка!$A$3:$A$3000,Щит_спец)+COUNTIFS(Однолинейка!$K$3:$K$3000,C464,Однолинейка!$A$3:$A$3000,Щит_спец)),IF(A464="Модуль",IF(C464="","",COUNTIFS(Однолинейка!$AW$3:$AW$3000,"?*",Однолинейка!$AI$3:$AI$3000,C464,Однолинейка!$A$3:$A$3000,Щит_спец)),IF(A464="Клемма",IF(C464="","",IF(C464=$S$7,SUMIFS(Однолинейка!$BW$3:$BW$3000,Однолинейка!$A$3:$A$3000,Щит_спец),IF(C464=$S$8,SUMIFS(Однолинейка!$BX$3:$BX$3000,Однолинейка!$A$3:$A$3000,Щит_спец),""))),""))))</f>
        <v/>
      </c>
      <c r="O464" s="74"/>
      <c r="P464" s="38" t="str">
        <f t="shared" si="63"/>
        <v/>
      </c>
      <c r="U464" s="38" t="str">
        <f t="shared" si="64"/>
        <v/>
      </c>
      <c r="V464" s="38" t="str">
        <f t="shared" si="65"/>
        <v/>
      </c>
      <c r="W464" s="38" t="str">
        <f>IF(AND(U464&lt;&gt;"",OR($S$4="(все)",B464=$S$4),IF($S$4="(все)",COUNTIF($U$4:U464,U464),COUNTIFS($U$4:U464,U464,$B$4:B464,B464))=1),MAX($W$3:W463)+1,"")</f>
        <v/>
      </c>
      <c r="X464" s="38" t="str">
        <f t="shared" si="66"/>
        <v/>
      </c>
      <c r="Y464" s="38" t="str">
        <f>IF(AND(A464="Аппарат",C464&lt;&gt;"",OR($S$5="(все)",B464=$S$5)),MAX($Y$3:Y463)+1,"")</f>
        <v/>
      </c>
      <c r="Z464" s="38" t="str">
        <f t="shared" si="67"/>
        <v/>
      </c>
      <c r="AA464" s="38" t="str">
        <f>IF(AND(A464="Модуль",C464&lt;&gt;"",OR($S$6="(все)",B464=$S$6)),MAX($AA$3:AA463)+1,"")</f>
        <v/>
      </c>
      <c r="AB464" s="38" t="str">
        <f t="shared" si="68"/>
        <v/>
      </c>
      <c r="AC464" s="38" t="str">
        <f>IF(OR(B464="",COUNTIF($B$4:B464,B464)&gt;1),"",MAX($AC$3:AC463)+1)</f>
        <v/>
      </c>
      <c r="AD464" s="38" t="str">
        <f t="shared" si="69"/>
        <v/>
      </c>
      <c r="AE464" s="38" t="str">
        <f t="shared" si="70"/>
        <v/>
      </c>
      <c r="AF464" s="38" t="str">
        <f t="shared" si="71"/>
        <v/>
      </c>
    </row>
    <row r="465" spans="1:32" x14ac:dyDescent="0.3">
      <c r="A465" s="74"/>
      <c r="B465" s="74"/>
      <c r="C465" s="74"/>
      <c r="D465" s="74"/>
      <c r="E465" s="74"/>
      <c r="F465" s="74"/>
      <c r="G465" s="74"/>
      <c r="H465" s="74"/>
      <c r="I465" s="74"/>
      <c r="J465" s="74"/>
      <c r="K465" s="74"/>
      <c r="L465" s="74"/>
      <c r="M465" s="74"/>
      <c r="N465" s="38" t="str">
        <f>IF(OR(A465="Автомат",A465="Дифавтомат"),IF(W465="","",COUNTIFS(Однолинейка!$H$3:$H$3000,U465,Однолинейка!$A$3:$A$3000,Щит_спец)),IF(A465="Аппарат",IF(C465="","",COUNTIFS(Однолинейка!$I$3:$I$3000,C465,Однолинейка!$A$3:$A$3000,Щит_спец)+COUNTIFS(Однолинейка!$J$3:$J$3000,C465,Однолинейка!$A$3:$A$3000,Щит_спец)+COUNTIFS(Однолинейка!$K$3:$K$3000,C465,Однолинейка!$A$3:$A$3000,Щит_спец)),IF(A465="Модуль",IF(C465="","",COUNTIFS(Однолинейка!$AW$3:$AW$3000,"?*",Однолинейка!$AI$3:$AI$3000,C465,Однолинейка!$A$3:$A$3000,Щит_спец)),IF(A465="Клемма",IF(C465="","",IF(C465=$S$7,SUMIFS(Однолинейка!$BW$3:$BW$3000,Однолинейка!$A$3:$A$3000,Щит_спец),IF(C465=$S$8,SUMIFS(Однолинейка!$BX$3:$BX$3000,Однолинейка!$A$3:$A$3000,Щит_спец),""))),""))))</f>
        <v/>
      </c>
      <c r="O465" s="74"/>
      <c r="P465" s="38" t="str">
        <f t="shared" si="63"/>
        <v/>
      </c>
      <c r="U465" s="38" t="str">
        <f t="shared" si="64"/>
        <v/>
      </c>
      <c r="V465" s="38" t="str">
        <f t="shared" si="65"/>
        <v/>
      </c>
      <c r="W465" s="38" t="str">
        <f>IF(AND(U465&lt;&gt;"",OR($S$4="(все)",B465=$S$4),IF($S$4="(все)",COUNTIF($U$4:U465,U465),COUNTIFS($U$4:U465,U465,$B$4:B465,B465))=1),MAX($W$3:W464)+1,"")</f>
        <v/>
      </c>
      <c r="X465" s="38" t="str">
        <f t="shared" si="66"/>
        <v/>
      </c>
      <c r="Y465" s="38" t="str">
        <f>IF(AND(A465="Аппарат",C465&lt;&gt;"",OR($S$5="(все)",B465=$S$5)),MAX($Y$3:Y464)+1,"")</f>
        <v/>
      </c>
      <c r="Z465" s="38" t="str">
        <f t="shared" si="67"/>
        <v/>
      </c>
      <c r="AA465" s="38" t="str">
        <f>IF(AND(A465="Модуль",C465&lt;&gt;"",OR($S$6="(все)",B465=$S$6)),MAX($AA$3:AA464)+1,"")</f>
        <v/>
      </c>
      <c r="AB465" s="38" t="str">
        <f t="shared" si="68"/>
        <v/>
      </c>
      <c r="AC465" s="38" t="str">
        <f>IF(OR(B465="",COUNTIF($B$4:B465,B465)&gt;1),"",MAX($AC$3:AC464)+1)</f>
        <v/>
      </c>
      <c r="AD465" s="38" t="str">
        <f t="shared" si="69"/>
        <v/>
      </c>
      <c r="AE465" s="38" t="str">
        <f t="shared" si="70"/>
        <v/>
      </c>
      <c r="AF465" s="38" t="str">
        <f t="shared" si="71"/>
        <v/>
      </c>
    </row>
    <row r="466" spans="1:32" x14ac:dyDescent="0.3">
      <c r="A466" s="74"/>
      <c r="B466" s="74"/>
      <c r="C466" s="74"/>
      <c r="D466" s="74"/>
      <c r="E466" s="74"/>
      <c r="F466" s="74"/>
      <c r="G466" s="74"/>
      <c r="H466" s="74"/>
      <c r="I466" s="74"/>
      <c r="J466" s="74"/>
      <c r="K466" s="74"/>
      <c r="L466" s="74"/>
      <c r="M466" s="74"/>
      <c r="N466" s="38" t="str">
        <f>IF(OR(A466="Автомат",A466="Дифавтомат"),IF(W466="","",COUNTIFS(Однолинейка!$H$3:$H$3000,U466,Однолинейка!$A$3:$A$3000,Щит_спец)),IF(A466="Аппарат",IF(C466="","",COUNTIFS(Однолинейка!$I$3:$I$3000,C466,Однолинейка!$A$3:$A$3000,Щит_спец)+COUNTIFS(Однолинейка!$J$3:$J$3000,C466,Однолинейка!$A$3:$A$3000,Щит_спец)+COUNTIFS(Однолинейка!$K$3:$K$3000,C466,Однолинейка!$A$3:$A$3000,Щит_спец)),IF(A466="Модуль",IF(C466="","",COUNTIFS(Однолинейка!$AW$3:$AW$3000,"?*",Однолинейка!$AI$3:$AI$3000,C466,Однолинейка!$A$3:$A$3000,Щит_спец)),IF(A466="Клемма",IF(C466="","",IF(C466=$S$7,SUMIFS(Однолинейка!$BW$3:$BW$3000,Однолинейка!$A$3:$A$3000,Щит_спец),IF(C466=$S$8,SUMIFS(Однолинейка!$BX$3:$BX$3000,Однолинейка!$A$3:$A$3000,Щит_спец),""))),""))))</f>
        <v/>
      </c>
      <c r="O466" s="74"/>
      <c r="P466" s="38" t="str">
        <f t="shared" si="63"/>
        <v/>
      </c>
      <c r="U466" s="38" t="str">
        <f t="shared" si="64"/>
        <v/>
      </c>
      <c r="V466" s="38" t="str">
        <f t="shared" si="65"/>
        <v/>
      </c>
      <c r="W466" s="38" t="str">
        <f>IF(AND(U466&lt;&gt;"",OR($S$4="(все)",B466=$S$4),IF($S$4="(все)",COUNTIF($U$4:U466,U466),COUNTIFS($U$4:U466,U466,$B$4:B466,B466))=1),MAX($W$3:W465)+1,"")</f>
        <v/>
      </c>
      <c r="X466" s="38" t="str">
        <f t="shared" si="66"/>
        <v/>
      </c>
      <c r="Y466" s="38" t="str">
        <f>IF(AND(A466="Аппарат",C466&lt;&gt;"",OR($S$5="(все)",B466=$S$5)),MAX($Y$3:Y465)+1,"")</f>
        <v/>
      </c>
      <c r="Z466" s="38" t="str">
        <f t="shared" si="67"/>
        <v/>
      </c>
      <c r="AA466" s="38" t="str">
        <f>IF(AND(A466="Модуль",C466&lt;&gt;"",OR($S$6="(все)",B466=$S$6)),MAX($AA$3:AA465)+1,"")</f>
        <v/>
      </c>
      <c r="AB466" s="38" t="str">
        <f t="shared" si="68"/>
        <v/>
      </c>
      <c r="AC466" s="38" t="str">
        <f>IF(OR(B466="",COUNTIF($B$4:B466,B466)&gt;1),"",MAX($AC$3:AC465)+1)</f>
        <v/>
      </c>
      <c r="AD466" s="38" t="str">
        <f t="shared" si="69"/>
        <v/>
      </c>
      <c r="AE466" s="38" t="str">
        <f t="shared" si="70"/>
        <v/>
      </c>
      <c r="AF466" s="38" t="str">
        <f t="shared" si="71"/>
        <v/>
      </c>
    </row>
    <row r="467" spans="1:32" x14ac:dyDescent="0.3">
      <c r="A467" s="74"/>
      <c r="B467" s="74"/>
      <c r="C467" s="74"/>
      <c r="D467" s="74"/>
      <c r="E467" s="74"/>
      <c r="F467" s="74"/>
      <c r="G467" s="74"/>
      <c r="H467" s="74"/>
      <c r="I467" s="74"/>
      <c r="J467" s="74"/>
      <c r="K467" s="74"/>
      <c r="L467" s="74"/>
      <c r="M467" s="74"/>
      <c r="N467" s="38" t="str">
        <f>IF(OR(A467="Автомат",A467="Дифавтомат"),IF(W467="","",COUNTIFS(Однолинейка!$H$3:$H$3000,U467,Однолинейка!$A$3:$A$3000,Щит_спец)),IF(A467="Аппарат",IF(C467="","",COUNTIFS(Однолинейка!$I$3:$I$3000,C467,Однолинейка!$A$3:$A$3000,Щит_спец)+COUNTIFS(Однолинейка!$J$3:$J$3000,C467,Однолинейка!$A$3:$A$3000,Щит_спец)+COUNTIFS(Однолинейка!$K$3:$K$3000,C467,Однолинейка!$A$3:$A$3000,Щит_спец)),IF(A467="Модуль",IF(C467="","",COUNTIFS(Однолинейка!$AW$3:$AW$3000,"?*",Однолинейка!$AI$3:$AI$3000,C467,Однолинейка!$A$3:$A$3000,Щит_спец)),IF(A467="Клемма",IF(C467="","",IF(C467=$S$7,SUMIFS(Однолинейка!$BW$3:$BW$3000,Однолинейка!$A$3:$A$3000,Щит_спец),IF(C467=$S$8,SUMIFS(Однолинейка!$BX$3:$BX$3000,Однолинейка!$A$3:$A$3000,Щит_спец),""))),""))))</f>
        <v/>
      </c>
      <c r="O467" s="74"/>
      <c r="P467" s="38" t="str">
        <f t="shared" si="63"/>
        <v/>
      </c>
      <c r="U467" s="38" t="str">
        <f t="shared" si="64"/>
        <v/>
      </c>
      <c r="V467" s="38" t="str">
        <f t="shared" si="65"/>
        <v/>
      </c>
      <c r="W467" s="38" t="str">
        <f>IF(AND(U467&lt;&gt;"",OR($S$4="(все)",B467=$S$4),IF($S$4="(все)",COUNTIF($U$4:U467,U467),COUNTIFS($U$4:U467,U467,$B$4:B467,B467))=1),MAX($W$3:W466)+1,"")</f>
        <v/>
      </c>
      <c r="X467" s="38" t="str">
        <f t="shared" si="66"/>
        <v/>
      </c>
      <c r="Y467" s="38" t="str">
        <f>IF(AND(A467="Аппарат",C467&lt;&gt;"",OR($S$5="(все)",B467=$S$5)),MAX($Y$3:Y466)+1,"")</f>
        <v/>
      </c>
      <c r="Z467" s="38" t="str">
        <f t="shared" si="67"/>
        <v/>
      </c>
      <c r="AA467" s="38" t="str">
        <f>IF(AND(A467="Модуль",C467&lt;&gt;"",OR($S$6="(все)",B467=$S$6)),MAX($AA$3:AA466)+1,"")</f>
        <v/>
      </c>
      <c r="AB467" s="38" t="str">
        <f t="shared" si="68"/>
        <v/>
      </c>
      <c r="AC467" s="38" t="str">
        <f>IF(OR(B467="",COUNTIF($B$4:B467,B467)&gt;1),"",MAX($AC$3:AC466)+1)</f>
        <v/>
      </c>
      <c r="AD467" s="38" t="str">
        <f t="shared" si="69"/>
        <v/>
      </c>
      <c r="AE467" s="38" t="str">
        <f t="shared" si="70"/>
        <v/>
      </c>
      <c r="AF467" s="38" t="str">
        <f t="shared" si="71"/>
        <v/>
      </c>
    </row>
    <row r="468" spans="1:32" x14ac:dyDescent="0.3">
      <c r="A468" s="74"/>
      <c r="B468" s="74"/>
      <c r="C468" s="74"/>
      <c r="D468" s="74"/>
      <c r="E468" s="74"/>
      <c r="F468" s="74"/>
      <c r="G468" s="74"/>
      <c r="H468" s="74"/>
      <c r="I468" s="74"/>
      <c r="J468" s="74"/>
      <c r="K468" s="74"/>
      <c r="L468" s="74"/>
      <c r="M468" s="74"/>
      <c r="N468" s="38" t="str">
        <f>IF(OR(A468="Автомат",A468="Дифавтомат"),IF(W468="","",COUNTIFS(Однолинейка!$H$3:$H$3000,U468,Однолинейка!$A$3:$A$3000,Щит_спец)),IF(A468="Аппарат",IF(C468="","",COUNTIFS(Однолинейка!$I$3:$I$3000,C468,Однолинейка!$A$3:$A$3000,Щит_спец)+COUNTIFS(Однолинейка!$J$3:$J$3000,C468,Однолинейка!$A$3:$A$3000,Щит_спец)+COUNTIFS(Однолинейка!$K$3:$K$3000,C468,Однолинейка!$A$3:$A$3000,Щит_спец)),IF(A468="Модуль",IF(C468="","",COUNTIFS(Однолинейка!$AW$3:$AW$3000,"?*",Однолинейка!$AI$3:$AI$3000,C468,Однолинейка!$A$3:$A$3000,Щит_спец)),IF(A468="Клемма",IF(C468="","",IF(C468=$S$7,SUMIFS(Однолинейка!$BW$3:$BW$3000,Однолинейка!$A$3:$A$3000,Щит_спец),IF(C468=$S$8,SUMIFS(Однолинейка!$BX$3:$BX$3000,Однолинейка!$A$3:$A$3000,Щит_спец),""))),""))))</f>
        <v/>
      </c>
      <c r="O468" s="74"/>
      <c r="P468" s="38" t="str">
        <f t="shared" si="63"/>
        <v/>
      </c>
      <c r="U468" s="38" t="str">
        <f t="shared" si="64"/>
        <v/>
      </c>
      <c r="V468" s="38" t="str">
        <f t="shared" si="65"/>
        <v/>
      </c>
      <c r="W468" s="38" t="str">
        <f>IF(AND(U468&lt;&gt;"",OR($S$4="(все)",B468=$S$4),IF($S$4="(все)",COUNTIF($U$4:U468,U468),COUNTIFS($U$4:U468,U468,$B$4:B468,B468))=1),MAX($W$3:W467)+1,"")</f>
        <v/>
      </c>
      <c r="X468" s="38" t="str">
        <f t="shared" si="66"/>
        <v/>
      </c>
      <c r="Y468" s="38" t="str">
        <f>IF(AND(A468="Аппарат",C468&lt;&gt;"",OR($S$5="(все)",B468=$S$5)),MAX($Y$3:Y467)+1,"")</f>
        <v/>
      </c>
      <c r="Z468" s="38" t="str">
        <f t="shared" si="67"/>
        <v/>
      </c>
      <c r="AA468" s="38" t="str">
        <f>IF(AND(A468="Модуль",C468&lt;&gt;"",OR($S$6="(все)",B468=$S$6)),MAX($AA$3:AA467)+1,"")</f>
        <v/>
      </c>
      <c r="AB468" s="38" t="str">
        <f t="shared" si="68"/>
        <v/>
      </c>
      <c r="AC468" s="38" t="str">
        <f>IF(OR(B468="",COUNTIF($B$4:B468,B468)&gt;1),"",MAX($AC$3:AC467)+1)</f>
        <v/>
      </c>
      <c r="AD468" s="38" t="str">
        <f t="shared" si="69"/>
        <v/>
      </c>
      <c r="AE468" s="38" t="str">
        <f t="shared" si="70"/>
        <v/>
      </c>
      <c r="AF468" s="38" t="str">
        <f t="shared" si="71"/>
        <v/>
      </c>
    </row>
    <row r="469" spans="1:32" x14ac:dyDescent="0.3">
      <c r="A469" s="74"/>
      <c r="B469" s="74"/>
      <c r="C469" s="74"/>
      <c r="D469" s="74"/>
      <c r="E469" s="74"/>
      <c r="F469" s="74"/>
      <c r="G469" s="74"/>
      <c r="H469" s="74"/>
      <c r="I469" s="74"/>
      <c r="J469" s="74"/>
      <c r="K469" s="74"/>
      <c r="L469" s="74"/>
      <c r="M469" s="74"/>
      <c r="N469" s="38" t="str">
        <f>IF(OR(A469="Автомат",A469="Дифавтомат"),IF(W469="","",COUNTIFS(Однолинейка!$H$3:$H$3000,U469,Однолинейка!$A$3:$A$3000,Щит_спец)),IF(A469="Аппарат",IF(C469="","",COUNTIFS(Однолинейка!$I$3:$I$3000,C469,Однолинейка!$A$3:$A$3000,Щит_спец)+COUNTIFS(Однолинейка!$J$3:$J$3000,C469,Однолинейка!$A$3:$A$3000,Щит_спец)+COUNTIFS(Однолинейка!$K$3:$K$3000,C469,Однолинейка!$A$3:$A$3000,Щит_спец)),IF(A469="Модуль",IF(C469="","",COUNTIFS(Однолинейка!$AW$3:$AW$3000,"?*",Однолинейка!$AI$3:$AI$3000,C469,Однолинейка!$A$3:$A$3000,Щит_спец)),IF(A469="Клемма",IF(C469="","",IF(C469=$S$7,SUMIFS(Однолинейка!$BW$3:$BW$3000,Однолинейка!$A$3:$A$3000,Щит_спец),IF(C469=$S$8,SUMIFS(Однолинейка!$BX$3:$BX$3000,Однолинейка!$A$3:$A$3000,Щит_спец),""))),""))))</f>
        <v/>
      </c>
      <c r="O469" s="74"/>
      <c r="P469" s="38" t="str">
        <f t="shared" si="63"/>
        <v/>
      </c>
      <c r="U469" s="38" t="str">
        <f t="shared" si="64"/>
        <v/>
      </c>
      <c r="V469" s="38" t="str">
        <f t="shared" si="65"/>
        <v/>
      </c>
      <c r="W469" s="38" t="str">
        <f>IF(AND(U469&lt;&gt;"",OR($S$4="(все)",B469=$S$4),IF($S$4="(все)",COUNTIF($U$4:U469,U469),COUNTIFS($U$4:U469,U469,$B$4:B469,B469))=1),MAX($W$3:W468)+1,"")</f>
        <v/>
      </c>
      <c r="X469" s="38" t="str">
        <f t="shared" si="66"/>
        <v/>
      </c>
      <c r="Y469" s="38" t="str">
        <f>IF(AND(A469="Аппарат",C469&lt;&gt;"",OR($S$5="(все)",B469=$S$5)),MAX($Y$3:Y468)+1,"")</f>
        <v/>
      </c>
      <c r="Z469" s="38" t="str">
        <f t="shared" si="67"/>
        <v/>
      </c>
      <c r="AA469" s="38" t="str">
        <f>IF(AND(A469="Модуль",C469&lt;&gt;"",OR($S$6="(все)",B469=$S$6)),MAX($AA$3:AA468)+1,"")</f>
        <v/>
      </c>
      <c r="AB469" s="38" t="str">
        <f t="shared" si="68"/>
        <v/>
      </c>
      <c r="AC469" s="38" t="str">
        <f>IF(OR(B469="",COUNTIF($B$4:B469,B469)&gt;1),"",MAX($AC$3:AC468)+1)</f>
        <v/>
      </c>
      <c r="AD469" s="38" t="str">
        <f t="shared" si="69"/>
        <v/>
      </c>
      <c r="AE469" s="38" t="str">
        <f t="shared" si="70"/>
        <v/>
      </c>
      <c r="AF469" s="38" t="str">
        <f t="shared" si="71"/>
        <v/>
      </c>
    </row>
    <row r="470" spans="1:32" x14ac:dyDescent="0.3">
      <c r="A470" s="74"/>
      <c r="B470" s="74"/>
      <c r="C470" s="74"/>
      <c r="D470" s="74"/>
      <c r="E470" s="74"/>
      <c r="F470" s="74"/>
      <c r="G470" s="74"/>
      <c r="H470" s="74"/>
      <c r="I470" s="74"/>
      <c r="J470" s="74"/>
      <c r="K470" s="74"/>
      <c r="L470" s="74"/>
      <c r="M470" s="74"/>
      <c r="N470" s="38" t="str">
        <f>IF(OR(A470="Автомат",A470="Дифавтомат"),IF(W470="","",COUNTIFS(Однолинейка!$H$3:$H$3000,U470,Однолинейка!$A$3:$A$3000,Щит_спец)),IF(A470="Аппарат",IF(C470="","",COUNTIFS(Однолинейка!$I$3:$I$3000,C470,Однолинейка!$A$3:$A$3000,Щит_спец)+COUNTIFS(Однолинейка!$J$3:$J$3000,C470,Однолинейка!$A$3:$A$3000,Щит_спец)+COUNTIFS(Однолинейка!$K$3:$K$3000,C470,Однолинейка!$A$3:$A$3000,Щит_спец)),IF(A470="Модуль",IF(C470="","",COUNTIFS(Однолинейка!$AW$3:$AW$3000,"?*",Однолинейка!$AI$3:$AI$3000,C470,Однолинейка!$A$3:$A$3000,Щит_спец)),IF(A470="Клемма",IF(C470="","",IF(C470=$S$7,SUMIFS(Однолинейка!$BW$3:$BW$3000,Однолинейка!$A$3:$A$3000,Щит_спец),IF(C470=$S$8,SUMIFS(Однолинейка!$BX$3:$BX$3000,Однолинейка!$A$3:$A$3000,Щит_спец),""))),""))))</f>
        <v/>
      </c>
      <c r="O470" s="74"/>
      <c r="P470" s="38" t="str">
        <f t="shared" si="63"/>
        <v/>
      </c>
      <c r="U470" s="38" t="str">
        <f t="shared" si="64"/>
        <v/>
      </c>
      <c r="V470" s="38" t="str">
        <f t="shared" si="65"/>
        <v/>
      </c>
      <c r="W470" s="38" t="str">
        <f>IF(AND(U470&lt;&gt;"",OR($S$4="(все)",B470=$S$4),IF($S$4="(все)",COUNTIF($U$4:U470,U470),COUNTIFS($U$4:U470,U470,$B$4:B470,B470))=1),MAX($W$3:W469)+1,"")</f>
        <v/>
      </c>
      <c r="X470" s="38" t="str">
        <f t="shared" si="66"/>
        <v/>
      </c>
      <c r="Y470" s="38" t="str">
        <f>IF(AND(A470="Аппарат",C470&lt;&gt;"",OR($S$5="(все)",B470=$S$5)),MAX($Y$3:Y469)+1,"")</f>
        <v/>
      </c>
      <c r="Z470" s="38" t="str">
        <f t="shared" si="67"/>
        <v/>
      </c>
      <c r="AA470" s="38" t="str">
        <f>IF(AND(A470="Модуль",C470&lt;&gt;"",OR($S$6="(все)",B470=$S$6)),MAX($AA$3:AA469)+1,"")</f>
        <v/>
      </c>
      <c r="AB470" s="38" t="str">
        <f t="shared" si="68"/>
        <v/>
      </c>
      <c r="AC470" s="38" t="str">
        <f>IF(OR(B470="",COUNTIF($B$4:B470,B470)&gt;1),"",MAX($AC$3:AC469)+1)</f>
        <v/>
      </c>
      <c r="AD470" s="38" t="str">
        <f t="shared" si="69"/>
        <v/>
      </c>
      <c r="AE470" s="38" t="str">
        <f t="shared" si="70"/>
        <v/>
      </c>
      <c r="AF470" s="38" t="str">
        <f t="shared" si="71"/>
        <v/>
      </c>
    </row>
    <row r="471" spans="1:32" x14ac:dyDescent="0.3">
      <c r="A471" s="74"/>
      <c r="B471" s="74"/>
      <c r="C471" s="74"/>
      <c r="D471" s="74"/>
      <c r="E471" s="74"/>
      <c r="F471" s="74"/>
      <c r="G471" s="74"/>
      <c r="H471" s="74"/>
      <c r="I471" s="74"/>
      <c r="J471" s="74"/>
      <c r="K471" s="74"/>
      <c r="L471" s="74"/>
      <c r="M471" s="74"/>
      <c r="N471" s="38" t="str">
        <f>IF(OR(A471="Автомат",A471="Дифавтомат"),IF(W471="","",COUNTIFS(Однолинейка!$H$3:$H$3000,U471,Однолинейка!$A$3:$A$3000,Щит_спец)),IF(A471="Аппарат",IF(C471="","",COUNTIFS(Однолинейка!$I$3:$I$3000,C471,Однолинейка!$A$3:$A$3000,Щит_спец)+COUNTIFS(Однолинейка!$J$3:$J$3000,C471,Однолинейка!$A$3:$A$3000,Щит_спец)+COUNTIFS(Однолинейка!$K$3:$K$3000,C471,Однолинейка!$A$3:$A$3000,Щит_спец)),IF(A471="Модуль",IF(C471="","",COUNTIFS(Однолинейка!$AW$3:$AW$3000,"?*",Однолинейка!$AI$3:$AI$3000,C471,Однолинейка!$A$3:$A$3000,Щит_спец)),IF(A471="Клемма",IF(C471="","",IF(C471=$S$7,SUMIFS(Однолинейка!$BW$3:$BW$3000,Однолинейка!$A$3:$A$3000,Щит_спец),IF(C471=$S$8,SUMIFS(Однолинейка!$BX$3:$BX$3000,Однолинейка!$A$3:$A$3000,Щит_спец),""))),""))))</f>
        <v/>
      </c>
      <c r="O471" s="74"/>
      <c r="P471" s="38" t="str">
        <f t="shared" si="63"/>
        <v/>
      </c>
      <c r="U471" s="38" t="str">
        <f t="shared" si="64"/>
        <v/>
      </c>
      <c r="V471" s="38" t="str">
        <f t="shared" si="65"/>
        <v/>
      </c>
      <c r="W471" s="38" t="str">
        <f>IF(AND(U471&lt;&gt;"",OR($S$4="(все)",B471=$S$4),IF($S$4="(все)",COUNTIF($U$4:U471,U471),COUNTIFS($U$4:U471,U471,$B$4:B471,B471))=1),MAX($W$3:W470)+1,"")</f>
        <v/>
      </c>
      <c r="X471" s="38" t="str">
        <f t="shared" si="66"/>
        <v/>
      </c>
      <c r="Y471" s="38" t="str">
        <f>IF(AND(A471="Аппарат",C471&lt;&gt;"",OR($S$5="(все)",B471=$S$5)),MAX($Y$3:Y470)+1,"")</f>
        <v/>
      </c>
      <c r="Z471" s="38" t="str">
        <f t="shared" si="67"/>
        <v/>
      </c>
      <c r="AA471" s="38" t="str">
        <f>IF(AND(A471="Модуль",C471&lt;&gt;"",OR($S$6="(все)",B471=$S$6)),MAX($AA$3:AA470)+1,"")</f>
        <v/>
      </c>
      <c r="AB471" s="38" t="str">
        <f t="shared" si="68"/>
        <v/>
      </c>
      <c r="AC471" s="38" t="str">
        <f>IF(OR(B471="",COUNTIF($B$4:B471,B471)&gt;1),"",MAX($AC$3:AC470)+1)</f>
        <v/>
      </c>
      <c r="AD471" s="38" t="str">
        <f t="shared" si="69"/>
        <v/>
      </c>
      <c r="AE471" s="38" t="str">
        <f t="shared" si="70"/>
        <v/>
      </c>
      <c r="AF471" s="38" t="str">
        <f t="shared" si="71"/>
        <v/>
      </c>
    </row>
    <row r="472" spans="1:32" x14ac:dyDescent="0.3">
      <c r="A472" s="74"/>
      <c r="B472" s="74"/>
      <c r="C472" s="74"/>
      <c r="D472" s="74"/>
      <c r="E472" s="74"/>
      <c r="F472" s="74"/>
      <c r="G472" s="74"/>
      <c r="H472" s="74"/>
      <c r="I472" s="74"/>
      <c r="J472" s="74"/>
      <c r="K472" s="74"/>
      <c r="L472" s="74"/>
      <c r="M472" s="74"/>
      <c r="N472" s="38" t="str">
        <f>IF(OR(A472="Автомат",A472="Дифавтомат"),IF(W472="","",COUNTIFS(Однолинейка!$H$3:$H$3000,U472,Однолинейка!$A$3:$A$3000,Щит_спец)),IF(A472="Аппарат",IF(C472="","",COUNTIFS(Однолинейка!$I$3:$I$3000,C472,Однолинейка!$A$3:$A$3000,Щит_спец)+COUNTIFS(Однолинейка!$J$3:$J$3000,C472,Однолинейка!$A$3:$A$3000,Щит_спец)+COUNTIFS(Однолинейка!$K$3:$K$3000,C472,Однолинейка!$A$3:$A$3000,Щит_спец)),IF(A472="Модуль",IF(C472="","",COUNTIFS(Однолинейка!$AW$3:$AW$3000,"?*",Однолинейка!$AI$3:$AI$3000,C472,Однолинейка!$A$3:$A$3000,Щит_спец)),IF(A472="Клемма",IF(C472="","",IF(C472=$S$7,SUMIFS(Однолинейка!$BW$3:$BW$3000,Однолинейка!$A$3:$A$3000,Щит_спец),IF(C472=$S$8,SUMIFS(Однолинейка!$BX$3:$BX$3000,Однолинейка!$A$3:$A$3000,Щит_спец),""))),""))))</f>
        <v/>
      </c>
      <c r="O472" s="74"/>
      <c r="P472" s="38" t="str">
        <f t="shared" si="63"/>
        <v/>
      </c>
      <c r="U472" s="38" t="str">
        <f t="shared" si="64"/>
        <v/>
      </c>
      <c r="V472" s="38" t="str">
        <f t="shared" si="65"/>
        <v/>
      </c>
      <c r="W472" s="38" t="str">
        <f>IF(AND(U472&lt;&gt;"",OR($S$4="(все)",B472=$S$4),IF($S$4="(все)",COUNTIF($U$4:U472,U472),COUNTIFS($U$4:U472,U472,$B$4:B472,B472))=1),MAX($W$3:W471)+1,"")</f>
        <v/>
      </c>
      <c r="X472" s="38" t="str">
        <f t="shared" si="66"/>
        <v/>
      </c>
      <c r="Y472" s="38" t="str">
        <f>IF(AND(A472="Аппарат",C472&lt;&gt;"",OR($S$5="(все)",B472=$S$5)),MAX($Y$3:Y471)+1,"")</f>
        <v/>
      </c>
      <c r="Z472" s="38" t="str">
        <f t="shared" si="67"/>
        <v/>
      </c>
      <c r="AA472" s="38" t="str">
        <f>IF(AND(A472="Модуль",C472&lt;&gt;"",OR($S$6="(все)",B472=$S$6)),MAX($AA$3:AA471)+1,"")</f>
        <v/>
      </c>
      <c r="AB472" s="38" t="str">
        <f t="shared" si="68"/>
        <v/>
      </c>
      <c r="AC472" s="38" t="str">
        <f>IF(OR(B472="",COUNTIF($B$4:B472,B472)&gt;1),"",MAX($AC$3:AC471)+1)</f>
        <v/>
      </c>
      <c r="AD472" s="38" t="str">
        <f t="shared" si="69"/>
        <v/>
      </c>
      <c r="AE472" s="38" t="str">
        <f t="shared" si="70"/>
        <v/>
      </c>
      <c r="AF472" s="38" t="str">
        <f t="shared" si="71"/>
        <v/>
      </c>
    </row>
    <row r="473" spans="1:32" x14ac:dyDescent="0.3">
      <c r="A473" s="74"/>
      <c r="B473" s="74"/>
      <c r="C473" s="74"/>
      <c r="D473" s="74"/>
      <c r="E473" s="74"/>
      <c r="F473" s="74"/>
      <c r="G473" s="74"/>
      <c r="H473" s="74"/>
      <c r="I473" s="74"/>
      <c r="J473" s="74"/>
      <c r="K473" s="74"/>
      <c r="L473" s="74"/>
      <c r="M473" s="74"/>
      <c r="N473" s="38" t="str">
        <f>IF(OR(A473="Автомат",A473="Дифавтомат"),IF(W473="","",COUNTIFS(Однолинейка!$H$3:$H$3000,U473,Однолинейка!$A$3:$A$3000,Щит_спец)),IF(A473="Аппарат",IF(C473="","",COUNTIFS(Однолинейка!$I$3:$I$3000,C473,Однолинейка!$A$3:$A$3000,Щит_спец)+COUNTIFS(Однолинейка!$J$3:$J$3000,C473,Однолинейка!$A$3:$A$3000,Щит_спец)+COUNTIFS(Однолинейка!$K$3:$K$3000,C473,Однолинейка!$A$3:$A$3000,Щит_спец)),IF(A473="Модуль",IF(C473="","",COUNTIFS(Однолинейка!$AW$3:$AW$3000,"?*",Однолинейка!$AI$3:$AI$3000,C473,Однолинейка!$A$3:$A$3000,Щит_спец)),IF(A473="Клемма",IF(C473="","",IF(C473=$S$7,SUMIFS(Однолинейка!$BW$3:$BW$3000,Однолинейка!$A$3:$A$3000,Щит_спец),IF(C473=$S$8,SUMIFS(Однолинейка!$BX$3:$BX$3000,Однолинейка!$A$3:$A$3000,Щит_спец),""))),""))))</f>
        <v/>
      </c>
      <c r="O473" s="74"/>
      <c r="P473" s="38" t="str">
        <f t="shared" si="63"/>
        <v/>
      </c>
      <c r="U473" s="38" t="str">
        <f t="shared" si="64"/>
        <v/>
      </c>
      <c r="V473" s="38" t="str">
        <f t="shared" si="65"/>
        <v/>
      </c>
      <c r="W473" s="38" t="str">
        <f>IF(AND(U473&lt;&gt;"",OR($S$4="(все)",B473=$S$4),IF($S$4="(все)",COUNTIF($U$4:U473,U473),COUNTIFS($U$4:U473,U473,$B$4:B473,B473))=1),MAX($W$3:W472)+1,"")</f>
        <v/>
      </c>
      <c r="X473" s="38" t="str">
        <f t="shared" si="66"/>
        <v/>
      </c>
      <c r="Y473" s="38" t="str">
        <f>IF(AND(A473="Аппарат",C473&lt;&gt;"",OR($S$5="(все)",B473=$S$5)),MAX($Y$3:Y472)+1,"")</f>
        <v/>
      </c>
      <c r="Z473" s="38" t="str">
        <f t="shared" si="67"/>
        <v/>
      </c>
      <c r="AA473" s="38" t="str">
        <f>IF(AND(A473="Модуль",C473&lt;&gt;"",OR($S$6="(все)",B473=$S$6)),MAX($AA$3:AA472)+1,"")</f>
        <v/>
      </c>
      <c r="AB473" s="38" t="str">
        <f t="shared" si="68"/>
        <v/>
      </c>
      <c r="AC473" s="38" t="str">
        <f>IF(OR(B473="",COUNTIF($B$4:B473,B473)&gt;1),"",MAX($AC$3:AC472)+1)</f>
        <v/>
      </c>
      <c r="AD473" s="38" t="str">
        <f t="shared" si="69"/>
        <v/>
      </c>
      <c r="AE473" s="38" t="str">
        <f t="shared" si="70"/>
        <v/>
      </c>
      <c r="AF473" s="38" t="str">
        <f t="shared" si="71"/>
        <v/>
      </c>
    </row>
    <row r="474" spans="1:32" x14ac:dyDescent="0.3">
      <c r="A474" s="74"/>
      <c r="B474" s="74"/>
      <c r="C474" s="74"/>
      <c r="D474" s="74"/>
      <c r="E474" s="74"/>
      <c r="F474" s="74"/>
      <c r="G474" s="74"/>
      <c r="H474" s="74"/>
      <c r="I474" s="74"/>
      <c r="J474" s="74"/>
      <c r="K474" s="74"/>
      <c r="L474" s="74"/>
      <c r="M474" s="74"/>
      <c r="N474" s="38" t="str">
        <f>IF(OR(A474="Автомат",A474="Дифавтомат"),IF(W474="","",COUNTIFS(Однолинейка!$H$3:$H$3000,U474,Однолинейка!$A$3:$A$3000,Щит_спец)),IF(A474="Аппарат",IF(C474="","",COUNTIFS(Однолинейка!$I$3:$I$3000,C474,Однолинейка!$A$3:$A$3000,Щит_спец)+COUNTIFS(Однолинейка!$J$3:$J$3000,C474,Однолинейка!$A$3:$A$3000,Щит_спец)+COUNTIFS(Однолинейка!$K$3:$K$3000,C474,Однолинейка!$A$3:$A$3000,Щит_спец)),IF(A474="Модуль",IF(C474="","",COUNTIFS(Однолинейка!$AW$3:$AW$3000,"?*",Однолинейка!$AI$3:$AI$3000,C474,Однолинейка!$A$3:$A$3000,Щит_спец)),IF(A474="Клемма",IF(C474="","",IF(C474=$S$7,SUMIFS(Однолинейка!$BW$3:$BW$3000,Однолинейка!$A$3:$A$3000,Щит_спец),IF(C474=$S$8,SUMIFS(Однолинейка!$BX$3:$BX$3000,Однолинейка!$A$3:$A$3000,Щит_спец),""))),""))))</f>
        <v/>
      </c>
      <c r="O474" s="74"/>
      <c r="P474" s="38" t="str">
        <f t="shared" si="63"/>
        <v/>
      </c>
      <c r="U474" s="38" t="str">
        <f t="shared" si="64"/>
        <v/>
      </c>
      <c r="V474" s="38" t="str">
        <f t="shared" si="65"/>
        <v/>
      </c>
      <c r="W474" s="38" t="str">
        <f>IF(AND(U474&lt;&gt;"",OR($S$4="(все)",B474=$S$4),IF($S$4="(все)",COUNTIF($U$4:U474,U474),COUNTIFS($U$4:U474,U474,$B$4:B474,B474))=1),MAX($W$3:W473)+1,"")</f>
        <v/>
      </c>
      <c r="X474" s="38" t="str">
        <f t="shared" si="66"/>
        <v/>
      </c>
      <c r="Y474" s="38" t="str">
        <f>IF(AND(A474="Аппарат",C474&lt;&gt;"",OR($S$5="(все)",B474=$S$5)),MAX($Y$3:Y473)+1,"")</f>
        <v/>
      </c>
      <c r="Z474" s="38" t="str">
        <f t="shared" si="67"/>
        <v/>
      </c>
      <c r="AA474" s="38" t="str">
        <f>IF(AND(A474="Модуль",C474&lt;&gt;"",OR($S$6="(все)",B474=$S$6)),MAX($AA$3:AA473)+1,"")</f>
        <v/>
      </c>
      <c r="AB474" s="38" t="str">
        <f t="shared" si="68"/>
        <v/>
      </c>
      <c r="AC474" s="38" t="str">
        <f>IF(OR(B474="",COUNTIF($B$4:B474,B474)&gt;1),"",MAX($AC$3:AC473)+1)</f>
        <v/>
      </c>
      <c r="AD474" s="38" t="str">
        <f t="shared" si="69"/>
        <v/>
      </c>
      <c r="AE474" s="38" t="str">
        <f t="shared" si="70"/>
        <v/>
      </c>
      <c r="AF474" s="38" t="str">
        <f t="shared" si="71"/>
        <v/>
      </c>
    </row>
    <row r="475" spans="1:32" x14ac:dyDescent="0.3">
      <c r="A475" s="74"/>
      <c r="B475" s="74"/>
      <c r="C475" s="74"/>
      <c r="D475" s="74"/>
      <c r="E475" s="74"/>
      <c r="F475" s="74"/>
      <c r="G475" s="74"/>
      <c r="H475" s="74"/>
      <c r="I475" s="74"/>
      <c r="J475" s="74"/>
      <c r="K475" s="74"/>
      <c r="L475" s="74"/>
      <c r="M475" s="74"/>
      <c r="N475" s="38" t="str">
        <f>IF(OR(A475="Автомат",A475="Дифавтомат"),IF(W475="","",COUNTIFS(Однолинейка!$H$3:$H$3000,U475,Однолинейка!$A$3:$A$3000,Щит_спец)),IF(A475="Аппарат",IF(C475="","",COUNTIFS(Однолинейка!$I$3:$I$3000,C475,Однолинейка!$A$3:$A$3000,Щит_спец)+COUNTIFS(Однолинейка!$J$3:$J$3000,C475,Однолинейка!$A$3:$A$3000,Щит_спец)+COUNTIFS(Однолинейка!$K$3:$K$3000,C475,Однолинейка!$A$3:$A$3000,Щит_спец)),IF(A475="Модуль",IF(C475="","",COUNTIFS(Однолинейка!$AW$3:$AW$3000,"?*",Однолинейка!$AI$3:$AI$3000,C475,Однолинейка!$A$3:$A$3000,Щит_спец)),IF(A475="Клемма",IF(C475="","",IF(C475=$S$7,SUMIFS(Однолинейка!$BW$3:$BW$3000,Однолинейка!$A$3:$A$3000,Щит_спец),IF(C475=$S$8,SUMIFS(Однолинейка!$BX$3:$BX$3000,Однолинейка!$A$3:$A$3000,Щит_спец),""))),""))))</f>
        <v/>
      </c>
      <c r="O475" s="74"/>
      <c r="P475" s="38" t="str">
        <f t="shared" si="63"/>
        <v/>
      </c>
      <c r="U475" s="38" t="str">
        <f t="shared" si="64"/>
        <v/>
      </c>
      <c r="V475" s="38" t="str">
        <f t="shared" si="65"/>
        <v/>
      </c>
      <c r="W475" s="38" t="str">
        <f>IF(AND(U475&lt;&gt;"",OR($S$4="(все)",B475=$S$4),IF($S$4="(все)",COUNTIF($U$4:U475,U475),COUNTIFS($U$4:U475,U475,$B$4:B475,B475))=1),MAX($W$3:W474)+1,"")</f>
        <v/>
      </c>
      <c r="X475" s="38" t="str">
        <f t="shared" si="66"/>
        <v/>
      </c>
      <c r="Y475" s="38" t="str">
        <f>IF(AND(A475="Аппарат",C475&lt;&gt;"",OR($S$5="(все)",B475=$S$5)),MAX($Y$3:Y474)+1,"")</f>
        <v/>
      </c>
      <c r="Z475" s="38" t="str">
        <f t="shared" si="67"/>
        <v/>
      </c>
      <c r="AA475" s="38" t="str">
        <f>IF(AND(A475="Модуль",C475&lt;&gt;"",OR($S$6="(все)",B475=$S$6)),MAX($AA$3:AA474)+1,"")</f>
        <v/>
      </c>
      <c r="AB475" s="38" t="str">
        <f t="shared" si="68"/>
        <v/>
      </c>
      <c r="AC475" s="38" t="str">
        <f>IF(OR(B475="",COUNTIF($B$4:B475,B475)&gt;1),"",MAX($AC$3:AC474)+1)</f>
        <v/>
      </c>
      <c r="AD475" s="38" t="str">
        <f t="shared" si="69"/>
        <v/>
      </c>
      <c r="AE475" s="38" t="str">
        <f t="shared" si="70"/>
        <v/>
      </c>
      <c r="AF475" s="38" t="str">
        <f t="shared" si="71"/>
        <v/>
      </c>
    </row>
    <row r="476" spans="1:32" x14ac:dyDescent="0.3">
      <c r="A476" s="74"/>
      <c r="B476" s="74"/>
      <c r="C476" s="74"/>
      <c r="D476" s="74"/>
      <c r="E476" s="74"/>
      <c r="F476" s="74"/>
      <c r="G476" s="74"/>
      <c r="H476" s="74"/>
      <c r="I476" s="74"/>
      <c r="J476" s="74"/>
      <c r="K476" s="74"/>
      <c r="L476" s="74"/>
      <c r="M476" s="74"/>
      <c r="N476" s="38" t="str">
        <f>IF(OR(A476="Автомат",A476="Дифавтомат"),IF(W476="","",COUNTIFS(Однолинейка!$H$3:$H$3000,U476,Однолинейка!$A$3:$A$3000,Щит_спец)),IF(A476="Аппарат",IF(C476="","",COUNTIFS(Однолинейка!$I$3:$I$3000,C476,Однолинейка!$A$3:$A$3000,Щит_спец)+COUNTIFS(Однолинейка!$J$3:$J$3000,C476,Однолинейка!$A$3:$A$3000,Щит_спец)+COUNTIFS(Однолинейка!$K$3:$K$3000,C476,Однолинейка!$A$3:$A$3000,Щит_спец)),IF(A476="Модуль",IF(C476="","",COUNTIFS(Однолинейка!$AW$3:$AW$3000,"?*",Однолинейка!$AI$3:$AI$3000,C476,Однолинейка!$A$3:$A$3000,Щит_спец)),IF(A476="Клемма",IF(C476="","",IF(C476=$S$7,SUMIFS(Однолинейка!$BW$3:$BW$3000,Однолинейка!$A$3:$A$3000,Щит_спец),IF(C476=$S$8,SUMIFS(Однолинейка!$BX$3:$BX$3000,Однолинейка!$A$3:$A$3000,Щит_спец),""))),""))))</f>
        <v/>
      </c>
      <c r="O476" s="74"/>
      <c r="P476" s="38" t="str">
        <f t="shared" si="63"/>
        <v/>
      </c>
      <c r="U476" s="38" t="str">
        <f t="shared" si="64"/>
        <v/>
      </c>
      <c r="V476" s="38" t="str">
        <f t="shared" si="65"/>
        <v/>
      </c>
      <c r="W476" s="38" t="str">
        <f>IF(AND(U476&lt;&gt;"",OR($S$4="(все)",B476=$S$4),IF($S$4="(все)",COUNTIF($U$4:U476,U476),COUNTIFS($U$4:U476,U476,$B$4:B476,B476))=1),MAX($W$3:W475)+1,"")</f>
        <v/>
      </c>
      <c r="X476" s="38" t="str">
        <f t="shared" si="66"/>
        <v/>
      </c>
      <c r="Y476" s="38" t="str">
        <f>IF(AND(A476="Аппарат",C476&lt;&gt;"",OR($S$5="(все)",B476=$S$5)),MAX($Y$3:Y475)+1,"")</f>
        <v/>
      </c>
      <c r="Z476" s="38" t="str">
        <f t="shared" si="67"/>
        <v/>
      </c>
      <c r="AA476" s="38" t="str">
        <f>IF(AND(A476="Модуль",C476&lt;&gt;"",OR($S$6="(все)",B476=$S$6)),MAX($AA$3:AA475)+1,"")</f>
        <v/>
      </c>
      <c r="AB476" s="38" t="str">
        <f t="shared" si="68"/>
        <v/>
      </c>
      <c r="AC476" s="38" t="str">
        <f>IF(OR(B476="",COUNTIF($B$4:B476,B476)&gt;1),"",MAX($AC$3:AC475)+1)</f>
        <v/>
      </c>
      <c r="AD476" s="38" t="str">
        <f t="shared" si="69"/>
        <v/>
      </c>
      <c r="AE476" s="38" t="str">
        <f t="shared" si="70"/>
        <v/>
      </c>
      <c r="AF476" s="38" t="str">
        <f t="shared" si="71"/>
        <v/>
      </c>
    </row>
    <row r="477" spans="1:32" x14ac:dyDescent="0.3">
      <c r="A477" s="74"/>
      <c r="B477" s="74"/>
      <c r="C477" s="74"/>
      <c r="D477" s="74"/>
      <c r="E477" s="74"/>
      <c r="F477" s="74"/>
      <c r="G477" s="74"/>
      <c r="H477" s="74"/>
      <c r="I477" s="74"/>
      <c r="J477" s="74"/>
      <c r="K477" s="74"/>
      <c r="L477" s="74"/>
      <c r="M477" s="74"/>
      <c r="N477" s="38" t="str">
        <f>IF(OR(A477="Автомат",A477="Дифавтомат"),IF(W477="","",COUNTIFS(Однолинейка!$H$3:$H$3000,U477,Однолинейка!$A$3:$A$3000,Щит_спец)),IF(A477="Аппарат",IF(C477="","",COUNTIFS(Однолинейка!$I$3:$I$3000,C477,Однолинейка!$A$3:$A$3000,Щит_спец)+COUNTIFS(Однолинейка!$J$3:$J$3000,C477,Однолинейка!$A$3:$A$3000,Щит_спец)+COUNTIFS(Однолинейка!$K$3:$K$3000,C477,Однолинейка!$A$3:$A$3000,Щит_спец)),IF(A477="Модуль",IF(C477="","",COUNTIFS(Однолинейка!$AW$3:$AW$3000,"?*",Однолинейка!$AI$3:$AI$3000,C477,Однолинейка!$A$3:$A$3000,Щит_спец)),IF(A477="Клемма",IF(C477="","",IF(C477=$S$7,SUMIFS(Однолинейка!$BW$3:$BW$3000,Однолинейка!$A$3:$A$3000,Щит_спец),IF(C477=$S$8,SUMIFS(Однолинейка!$BX$3:$BX$3000,Однолинейка!$A$3:$A$3000,Щит_спец),""))),""))))</f>
        <v/>
      </c>
      <c r="O477" s="74"/>
      <c r="P477" s="38" t="str">
        <f t="shared" si="63"/>
        <v/>
      </c>
      <c r="U477" s="38" t="str">
        <f t="shared" si="64"/>
        <v/>
      </c>
      <c r="V477" s="38" t="str">
        <f t="shared" si="65"/>
        <v/>
      </c>
      <c r="W477" s="38" t="str">
        <f>IF(AND(U477&lt;&gt;"",OR($S$4="(все)",B477=$S$4),IF($S$4="(все)",COUNTIF($U$4:U477,U477),COUNTIFS($U$4:U477,U477,$B$4:B477,B477))=1),MAX($W$3:W476)+1,"")</f>
        <v/>
      </c>
      <c r="X477" s="38" t="str">
        <f t="shared" si="66"/>
        <v/>
      </c>
      <c r="Y477" s="38" t="str">
        <f>IF(AND(A477="Аппарат",C477&lt;&gt;"",OR($S$5="(все)",B477=$S$5)),MAX($Y$3:Y476)+1,"")</f>
        <v/>
      </c>
      <c r="Z477" s="38" t="str">
        <f t="shared" si="67"/>
        <v/>
      </c>
      <c r="AA477" s="38" t="str">
        <f>IF(AND(A477="Модуль",C477&lt;&gt;"",OR($S$6="(все)",B477=$S$6)),MAX($AA$3:AA476)+1,"")</f>
        <v/>
      </c>
      <c r="AB477" s="38" t="str">
        <f t="shared" si="68"/>
        <v/>
      </c>
      <c r="AC477" s="38" t="str">
        <f>IF(OR(B477="",COUNTIF($B$4:B477,B477)&gt;1),"",MAX($AC$3:AC476)+1)</f>
        <v/>
      </c>
      <c r="AD477" s="38" t="str">
        <f t="shared" si="69"/>
        <v/>
      </c>
      <c r="AE477" s="38" t="str">
        <f t="shared" si="70"/>
        <v/>
      </c>
      <c r="AF477" s="38" t="str">
        <f t="shared" si="71"/>
        <v/>
      </c>
    </row>
    <row r="478" spans="1:32" x14ac:dyDescent="0.3">
      <c r="A478" s="74"/>
      <c r="B478" s="74"/>
      <c r="C478" s="74"/>
      <c r="D478" s="74"/>
      <c r="E478" s="74"/>
      <c r="F478" s="74"/>
      <c r="G478" s="74"/>
      <c r="H478" s="74"/>
      <c r="I478" s="74"/>
      <c r="J478" s="74"/>
      <c r="K478" s="74"/>
      <c r="L478" s="74"/>
      <c r="M478" s="74"/>
      <c r="N478" s="38" t="str">
        <f>IF(OR(A478="Автомат",A478="Дифавтомат"),IF(W478="","",COUNTIFS(Однолинейка!$H$3:$H$3000,U478,Однолинейка!$A$3:$A$3000,Щит_спец)),IF(A478="Аппарат",IF(C478="","",COUNTIFS(Однолинейка!$I$3:$I$3000,C478,Однолинейка!$A$3:$A$3000,Щит_спец)+COUNTIFS(Однолинейка!$J$3:$J$3000,C478,Однолинейка!$A$3:$A$3000,Щит_спец)+COUNTIFS(Однолинейка!$K$3:$K$3000,C478,Однолинейка!$A$3:$A$3000,Щит_спец)),IF(A478="Модуль",IF(C478="","",COUNTIFS(Однолинейка!$AW$3:$AW$3000,"?*",Однолинейка!$AI$3:$AI$3000,C478,Однолинейка!$A$3:$A$3000,Щит_спец)),IF(A478="Клемма",IF(C478="","",IF(C478=$S$7,SUMIFS(Однолинейка!$BW$3:$BW$3000,Однолинейка!$A$3:$A$3000,Щит_спец),IF(C478=$S$8,SUMIFS(Однолинейка!$BX$3:$BX$3000,Однолинейка!$A$3:$A$3000,Щит_спец),""))),""))))</f>
        <v/>
      </c>
      <c r="O478" s="74"/>
      <c r="P478" s="38" t="str">
        <f t="shared" si="63"/>
        <v/>
      </c>
      <c r="U478" s="38" t="str">
        <f t="shared" si="64"/>
        <v/>
      </c>
      <c r="V478" s="38" t="str">
        <f t="shared" si="65"/>
        <v/>
      </c>
      <c r="W478" s="38" t="str">
        <f>IF(AND(U478&lt;&gt;"",OR($S$4="(все)",B478=$S$4),IF($S$4="(все)",COUNTIF($U$4:U478,U478),COUNTIFS($U$4:U478,U478,$B$4:B478,B478))=1),MAX($W$3:W477)+1,"")</f>
        <v/>
      </c>
      <c r="X478" s="38" t="str">
        <f t="shared" si="66"/>
        <v/>
      </c>
      <c r="Y478" s="38" t="str">
        <f>IF(AND(A478="Аппарат",C478&lt;&gt;"",OR($S$5="(все)",B478=$S$5)),MAX($Y$3:Y477)+1,"")</f>
        <v/>
      </c>
      <c r="Z478" s="38" t="str">
        <f t="shared" si="67"/>
        <v/>
      </c>
      <c r="AA478" s="38" t="str">
        <f>IF(AND(A478="Модуль",C478&lt;&gt;"",OR($S$6="(все)",B478=$S$6)),MAX($AA$3:AA477)+1,"")</f>
        <v/>
      </c>
      <c r="AB478" s="38" t="str">
        <f t="shared" si="68"/>
        <v/>
      </c>
      <c r="AC478" s="38" t="str">
        <f>IF(OR(B478="",COUNTIF($B$4:B478,B478)&gt;1),"",MAX($AC$3:AC477)+1)</f>
        <v/>
      </c>
      <c r="AD478" s="38" t="str">
        <f t="shared" si="69"/>
        <v/>
      </c>
      <c r="AE478" s="38" t="str">
        <f t="shared" si="70"/>
        <v/>
      </c>
      <c r="AF478" s="38" t="str">
        <f t="shared" si="71"/>
        <v/>
      </c>
    </row>
    <row r="479" spans="1:32" x14ac:dyDescent="0.3">
      <c r="A479" s="74"/>
      <c r="B479" s="74"/>
      <c r="C479" s="74"/>
      <c r="D479" s="74"/>
      <c r="E479" s="74"/>
      <c r="F479" s="74"/>
      <c r="G479" s="74"/>
      <c r="H479" s="74"/>
      <c r="I479" s="74"/>
      <c r="J479" s="74"/>
      <c r="K479" s="74"/>
      <c r="L479" s="74"/>
      <c r="M479" s="74"/>
      <c r="N479" s="38" t="str">
        <f>IF(OR(A479="Автомат",A479="Дифавтомат"),IF(W479="","",COUNTIFS(Однолинейка!$H$3:$H$3000,U479,Однолинейка!$A$3:$A$3000,Щит_спец)),IF(A479="Аппарат",IF(C479="","",COUNTIFS(Однолинейка!$I$3:$I$3000,C479,Однолинейка!$A$3:$A$3000,Щит_спец)+COUNTIFS(Однолинейка!$J$3:$J$3000,C479,Однолинейка!$A$3:$A$3000,Щит_спец)+COUNTIFS(Однолинейка!$K$3:$K$3000,C479,Однолинейка!$A$3:$A$3000,Щит_спец)),IF(A479="Модуль",IF(C479="","",COUNTIFS(Однолинейка!$AW$3:$AW$3000,"?*",Однолинейка!$AI$3:$AI$3000,C479,Однолинейка!$A$3:$A$3000,Щит_спец)),IF(A479="Клемма",IF(C479="","",IF(C479=$S$7,SUMIFS(Однолинейка!$BW$3:$BW$3000,Однолинейка!$A$3:$A$3000,Щит_спец),IF(C479=$S$8,SUMIFS(Однолинейка!$BX$3:$BX$3000,Однолинейка!$A$3:$A$3000,Щит_спец),""))),""))))</f>
        <v/>
      </c>
      <c r="O479" s="74"/>
      <c r="P479" s="38" t="str">
        <f t="shared" si="63"/>
        <v/>
      </c>
      <c r="U479" s="38" t="str">
        <f t="shared" si="64"/>
        <v/>
      </c>
      <c r="V479" s="38" t="str">
        <f t="shared" si="65"/>
        <v/>
      </c>
      <c r="W479" s="38" t="str">
        <f>IF(AND(U479&lt;&gt;"",OR($S$4="(все)",B479=$S$4),IF($S$4="(все)",COUNTIF($U$4:U479,U479),COUNTIFS($U$4:U479,U479,$B$4:B479,B479))=1),MAX($W$3:W478)+1,"")</f>
        <v/>
      </c>
      <c r="X479" s="38" t="str">
        <f t="shared" si="66"/>
        <v/>
      </c>
      <c r="Y479" s="38" t="str">
        <f>IF(AND(A479="Аппарат",C479&lt;&gt;"",OR($S$5="(все)",B479=$S$5)),MAX($Y$3:Y478)+1,"")</f>
        <v/>
      </c>
      <c r="Z479" s="38" t="str">
        <f t="shared" si="67"/>
        <v/>
      </c>
      <c r="AA479" s="38" t="str">
        <f>IF(AND(A479="Модуль",C479&lt;&gt;"",OR($S$6="(все)",B479=$S$6)),MAX($AA$3:AA478)+1,"")</f>
        <v/>
      </c>
      <c r="AB479" s="38" t="str">
        <f t="shared" si="68"/>
        <v/>
      </c>
      <c r="AC479" s="38" t="str">
        <f>IF(OR(B479="",COUNTIF($B$4:B479,B479)&gt;1),"",MAX($AC$3:AC478)+1)</f>
        <v/>
      </c>
      <c r="AD479" s="38" t="str">
        <f t="shared" si="69"/>
        <v/>
      </c>
      <c r="AE479" s="38" t="str">
        <f t="shared" si="70"/>
        <v/>
      </c>
      <c r="AF479" s="38" t="str">
        <f t="shared" si="71"/>
        <v/>
      </c>
    </row>
    <row r="480" spans="1:32" x14ac:dyDescent="0.3">
      <c r="A480" s="74"/>
      <c r="B480" s="74"/>
      <c r="C480" s="74"/>
      <c r="D480" s="74"/>
      <c r="E480" s="74"/>
      <c r="F480" s="74"/>
      <c r="G480" s="74"/>
      <c r="H480" s="74"/>
      <c r="I480" s="74"/>
      <c r="J480" s="74"/>
      <c r="K480" s="74"/>
      <c r="L480" s="74"/>
      <c r="M480" s="74"/>
      <c r="N480" s="38" t="str">
        <f>IF(OR(A480="Автомат",A480="Дифавтомат"),IF(W480="","",COUNTIFS(Однолинейка!$H$3:$H$3000,U480,Однолинейка!$A$3:$A$3000,Щит_спец)),IF(A480="Аппарат",IF(C480="","",COUNTIFS(Однолинейка!$I$3:$I$3000,C480,Однолинейка!$A$3:$A$3000,Щит_спец)+COUNTIFS(Однолинейка!$J$3:$J$3000,C480,Однолинейка!$A$3:$A$3000,Щит_спец)+COUNTIFS(Однолинейка!$K$3:$K$3000,C480,Однолинейка!$A$3:$A$3000,Щит_спец)),IF(A480="Модуль",IF(C480="","",COUNTIFS(Однолинейка!$AW$3:$AW$3000,"?*",Однолинейка!$AI$3:$AI$3000,C480,Однолинейка!$A$3:$A$3000,Щит_спец)),IF(A480="Клемма",IF(C480="","",IF(C480=$S$7,SUMIFS(Однолинейка!$BW$3:$BW$3000,Однолинейка!$A$3:$A$3000,Щит_спец),IF(C480=$S$8,SUMIFS(Однолинейка!$BX$3:$BX$3000,Однолинейка!$A$3:$A$3000,Щит_спец),""))),""))))</f>
        <v/>
      </c>
      <c r="O480" s="74"/>
      <c r="P480" s="38" t="str">
        <f t="shared" si="63"/>
        <v/>
      </c>
      <c r="U480" s="38" t="str">
        <f t="shared" si="64"/>
        <v/>
      </c>
      <c r="V480" s="38" t="str">
        <f t="shared" si="65"/>
        <v/>
      </c>
      <c r="W480" s="38" t="str">
        <f>IF(AND(U480&lt;&gt;"",OR($S$4="(все)",B480=$S$4),IF($S$4="(все)",COUNTIF($U$4:U480,U480),COUNTIFS($U$4:U480,U480,$B$4:B480,B480))=1),MAX($W$3:W479)+1,"")</f>
        <v/>
      </c>
      <c r="X480" s="38" t="str">
        <f t="shared" si="66"/>
        <v/>
      </c>
      <c r="Y480" s="38" t="str">
        <f>IF(AND(A480="Аппарат",C480&lt;&gt;"",OR($S$5="(все)",B480=$S$5)),MAX($Y$3:Y479)+1,"")</f>
        <v/>
      </c>
      <c r="Z480" s="38" t="str">
        <f t="shared" si="67"/>
        <v/>
      </c>
      <c r="AA480" s="38" t="str">
        <f>IF(AND(A480="Модуль",C480&lt;&gt;"",OR($S$6="(все)",B480=$S$6)),MAX($AA$3:AA479)+1,"")</f>
        <v/>
      </c>
      <c r="AB480" s="38" t="str">
        <f t="shared" si="68"/>
        <v/>
      </c>
      <c r="AC480" s="38" t="str">
        <f>IF(OR(B480="",COUNTIF($B$4:B480,B480)&gt;1),"",MAX($AC$3:AC479)+1)</f>
        <v/>
      </c>
      <c r="AD480" s="38" t="str">
        <f t="shared" si="69"/>
        <v/>
      </c>
      <c r="AE480" s="38" t="str">
        <f t="shared" si="70"/>
        <v/>
      </c>
      <c r="AF480" s="38" t="str">
        <f t="shared" si="71"/>
        <v/>
      </c>
    </row>
    <row r="481" spans="1:32" x14ac:dyDescent="0.3">
      <c r="A481" s="74"/>
      <c r="B481" s="74"/>
      <c r="C481" s="74"/>
      <c r="D481" s="74"/>
      <c r="E481" s="74"/>
      <c r="F481" s="74"/>
      <c r="G481" s="74"/>
      <c r="H481" s="74"/>
      <c r="I481" s="74"/>
      <c r="J481" s="74"/>
      <c r="K481" s="74"/>
      <c r="L481" s="74"/>
      <c r="M481" s="74"/>
      <c r="N481" s="38" t="str">
        <f>IF(OR(A481="Автомат",A481="Дифавтомат"),IF(W481="","",COUNTIFS(Однолинейка!$H$3:$H$3000,U481,Однолинейка!$A$3:$A$3000,Щит_спец)),IF(A481="Аппарат",IF(C481="","",COUNTIFS(Однолинейка!$I$3:$I$3000,C481,Однолинейка!$A$3:$A$3000,Щит_спец)+COUNTIFS(Однолинейка!$J$3:$J$3000,C481,Однолинейка!$A$3:$A$3000,Щит_спец)+COUNTIFS(Однолинейка!$K$3:$K$3000,C481,Однолинейка!$A$3:$A$3000,Щит_спец)),IF(A481="Модуль",IF(C481="","",COUNTIFS(Однолинейка!$AW$3:$AW$3000,"?*",Однолинейка!$AI$3:$AI$3000,C481,Однолинейка!$A$3:$A$3000,Щит_спец)),IF(A481="Клемма",IF(C481="","",IF(C481=$S$7,SUMIFS(Однолинейка!$BW$3:$BW$3000,Однолинейка!$A$3:$A$3000,Щит_спец),IF(C481=$S$8,SUMIFS(Однолинейка!$BX$3:$BX$3000,Однолинейка!$A$3:$A$3000,Щит_спец),""))),""))))</f>
        <v/>
      </c>
      <c r="O481" s="74"/>
      <c r="P481" s="38" t="str">
        <f t="shared" si="63"/>
        <v/>
      </c>
      <c r="U481" s="38" t="str">
        <f t="shared" si="64"/>
        <v/>
      </c>
      <c r="V481" s="38" t="str">
        <f t="shared" si="65"/>
        <v/>
      </c>
      <c r="W481" s="38" t="str">
        <f>IF(AND(U481&lt;&gt;"",OR($S$4="(все)",B481=$S$4),IF($S$4="(все)",COUNTIF($U$4:U481,U481),COUNTIFS($U$4:U481,U481,$B$4:B481,B481))=1),MAX($W$3:W480)+1,"")</f>
        <v/>
      </c>
      <c r="X481" s="38" t="str">
        <f t="shared" si="66"/>
        <v/>
      </c>
      <c r="Y481" s="38" t="str">
        <f>IF(AND(A481="Аппарат",C481&lt;&gt;"",OR($S$5="(все)",B481=$S$5)),MAX($Y$3:Y480)+1,"")</f>
        <v/>
      </c>
      <c r="Z481" s="38" t="str">
        <f t="shared" si="67"/>
        <v/>
      </c>
      <c r="AA481" s="38" t="str">
        <f>IF(AND(A481="Модуль",C481&lt;&gt;"",OR($S$6="(все)",B481=$S$6)),MAX($AA$3:AA480)+1,"")</f>
        <v/>
      </c>
      <c r="AB481" s="38" t="str">
        <f t="shared" si="68"/>
        <v/>
      </c>
      <c r="AC481" s="38" t="str">
        <f>IF(OR(B481="",COUNTIF($B$4:B481,B481)&gt;1),"",MAX($AC$3:AC480)+1)</f>
        <v/>
      </c>
      <c r="AD481" s="38" t="str">
        <f t="shared" si="69"/>
        <v/>
      </c>
      <c r="AE481" s="38" t="str">
        <f t="shared" si="70"/>
        <v/>
      </c>
      <c r="AF481" s="38" t="str">
        <f t="shared" si="71"/>
        <v/>
      </c>
    </row>
    <row r="482" spans="1:32" x14ac:dyDescent="0.3">
      <c r="A482" s="74"/>
      <c r="B482" s="74"/>
      <c r="C482" s="74"/>
      <c r="D482" s="74"/>
      <c r="E482" s="74"/>
      <c r="F482" s="74"/>
      <c r="G482" s="74"/>
      <c r="H482" s="74"/>
      <c r="I482" s="74"/>
      <c r="J482" s="74"/>
      <c r="K482" s="74"/>
      <c r="L482" s="74"/>
      <c r="M482" s="74"/>
      <c r="N482" s="38" t="str">
        <f>IF(OR(A482="Автомат",A482="Дифавтомат"),IF(W482="","",COUNTIFS(Однолинейка!$H$3:$H$3000,U482,Однолинейка!$A$3:$A$3000,Щит_спец)),IF(A482="Аппарат",IF(C482="","",COUNTIFS(Однолинейка!$I$3:$I$3000,C482,Однолинейка!$A$3:$A$3000,Щит_спец)+COUNTIFS(Однолинейка!$J$3:$J$3000,C482,Однолинейка!$A$3:$A$3000,Щит_спец)+COUNTIFS(Однолинейка!$K$3:$K$3000,C482,Однолинейка!$A$3:$A$3000,Щит_спец)),IF(A482="Модуль",IF(C482="","",COUNTIFS(Однолинейка!$AW$3:$AW$3000,"?*",Однолинейка!$AI$3:$AI$3000,C482,Однолинейка!$A$3:$A$3000,Щит_спец)),IF(A482="Клемма",IF(C482="","",IF(C482=$S$7,SUMIFS(Однолинейка!$BW$3:$BW$3000,Однолинейка!$A$3:$A$3000,Щит_спец),IF(C482=$S$8,SUMIFS(Однолинейка!$BX$3:$BX$3000,Однолинейка!$A$3:$A$3000,Щит_спец),""))),""))))</f>
        <v/>
      </c>
      <c r="O482" s="74"/>
      <c r="P482" s="38" t="str">
        <f t="shared" si="63"/>
        <v/>
      </c>
      <c r="U482" s="38" t="str">
        <f t="shared" si="64"/>
        <v/>
      </c>
      <c r="V482" s="38" t="str">
        <f t="shared" si="65"/>
        <v/>
      </c>
      <c r="W482" s="38" t="str">
        <f>IF(AND(U482&lt;&gt;"",OR($S$4="(все)",B482=$S$4),IF($S$4="(все)",COUNTIF($U$4:U482,U482),COUNTIFS($U$4:U482,U482,$B$4:B482,B482))=1),MAX($W$3:W481)+1,"")</f>
        <v/>
      </c>
      <c r="X482" s="38" t="str">
        <f t="shared" si="66"/>
        <v/>
      </c>
      <c r="Y482" s="38" t="str">
        <f>IF(AND(A482="Аппарат",C482&lt;&gt;"",OR($S$5="(все)",B482=$S$5)),MAX($Y$3:Y481)+1,"")</f>
        <v/>
      </c>
      <c r="Z482" s="38" t="str">
        <f t="shared" si="67"/>
        <v/>
      </c>
      <c r="AA482" s="38" t="str">
        <f>IF(AND(A482="Модуль",C482&lt;&gt;"",OR($S$6="(все)",B482=$S$6)),MAX($AA$3:AA481)+1,"")</f>
        <v/>
      </c>
      <c r="AB482" s="38" t="str">
        <f t="shared" si="68"/>
        <v/>
      </c>
      <c r="AC482" s="38" t="str">
        <f>IF(OR(B482="",COUNTIF($B$4:B482,B482)&gt;1),"",MAX($AC$3:AC481)+1)</f>
        <v/>
      </c>
      <c r="AD482" s="38" t="str">
        <f t="shared" si="69"/>
        <v/>
      </c>
      <c r="AE482" s="38" t="str">
        <f t="shared" si="70"/>
        <v/>
      </c>
      <c r="AF482" s="38" t="str">
        <f t="shared" si="71"/>
        <v/>
      </c>
    </row>
    <row r="483" spans="1:32" x14ac:dyDescent="0.3">
      <c r="A483" s="74"/>
      <c r="B483" s="74"/>
      <c r="C483" s="74"/>
      <c r="D483" s="74"/>
      <c r="E483" s="74"/>
      <c r="F483" s="74"/>
      <c r="G483" s="74"/>
      <c r="H483" s="74"/>
      <c r="I483" s="74"/>
      <c r="J483" s="74"/>
      <c r="K483" s="74"/>
      <c r="L483" s="74"/>
      <c r="M483" s="74"/>
      <c r="N483" s="38" t="str">
        <f>IF(OR(A483="Автомат",A483="Дифавтомат"),IF(W483="","",COUNTIFS(Однолинейка!$H$3:$H$3000,U483,Однолинейка!$A$3:$A$3000,Щит_спец)),IF(A483="Аппарат",IF(C483="","",COUNTIFS(Однолинейка!$I$3:$I$3000,C483,Однолинейка!$A$3:$A$3000,Щит_спец)+COUNTIFS(Однолинейка!$J$3:$J$3000,C483,Однолинейка!$A$3:$A$3000,Щит_спец)+COUNTIFS(Однолинейка!$K$3:$K$3000,C483,Однолинейка!$A$3:$A$3000,Щит_спец)),IF(A483="Модуль",IF(C483="","",COUNTIFS(Однолинейка!$AW$3:$AW$3000,"?*",Однолинейка!$AI$3:$AI$3000,C483,Однолинейка!$A$3:$A$3000,Щит_спец)),IF(A483="Клемма",IF(C483="","",IF(C483=$S$7,SUMIFS(Однолинейка!$BW$3:$BW$3000,Однолинейка!$A$3:$A$3000,Щит_спец),IF(C483=$S$8,SUMIFS(Однолинейка!$BX$3:$BX$3000,Однолинейка!$A$3:$A$3000,Щит_спец),""))),""))))</f>
        <v/>
      </c>
      <c r="O483" s="74"/>
      <c r="P483" s="38" t="str">
        <f t="shared" si="63"/>
        <v/>
      </c>
      <c r="U483" s="38" t="str">
        <f t="shared" si="64"/>
        <v/>
      </c>
      <c r="V483" s="38" t="str">
        <f t="shared" si="65"/>
        <v/>
      </c>
      <c r="W483" s="38" t="str">
        <f>IF(AND(U483&lt;&gt;"",OR($S$4="(все)",B483=$S$4),IF($S$4="(все)",COUNTIF($U$4:U483,U483),COUNTIFS($U$4:U483,U483,$B$4:B483,B483))=1),MAX($W$3:W482)+1,"")</f>
        <v/>
      </c>
      <c r="X483" s="38" t="str">
        <f t="shared" si="66"/>
        <v/>
      </c>
      <c r="Y483" s="38" t="str">
        <f>IF(AND(A483="Аппарат",C483&lt;&gt;"",OR($S$5="(все)",B483=$S$5)),MAX($Y$3:Y482)+1,"")</f>
        <v/>
      </c>
      <c r="Z483" s="38" t="str">
        <f t="shared" si="67"/>
        <v/>
      </c>
      <c r="AA483" s="38" t="str">
        <f>IF(AND(A483="Модуль",C483&lt;&gt;"",OR($S$6="(все)",B483=$S$6)),MAX($AA$3:AA482)+1,"")</f>
        <v/>
      </c>
      <c r="AB483" s="38" t="str">
        <f t="shared" si="68"/>
        <v/>
      </c>
      <c r="AC483" s="38" t="str">
        <f>IF(OR(B483="",COUNTIF($B$4:B483,B483)&gt;1),"",MAX($AC$3:AC482)+1)</f>
        <v/>
      </c>
      <c r="AD483" s="38" t="str">
        <f t="shared" si="69"/>
        <v/>
      </c>
      <c r="AE483" s="38" t="str">
        <f t="shared" si="70"/>
        <v/>
      </c>
      <c r="AF483" s="38" t="str">
        <f t="shared" si="71"/>
        <v/>
      </c>
    </row>
    <row r="484" spans="1:32" x14ac:dyDescent="0.3">
      <c r="A484" s="74"/>
      <c r="B484" s="74"/>
      <c r="C484" s="74"/>
      <c r="D484" s="74"/>
      <c r="E484" s="74"/>
      <c r="F484" s="74"/>
      <c r="G484" s="74"/>
      <c r="H484" s="74"/>
      <c r="I484" s="74"/>
      <c r="J484" s="74"/>
      <c r="K484" s="74"/>
      <c r="L484" s="74"/>
      <c r="M484" s="74"/>
      <c r="N484" s="38" t="str">
        <f>IF(OR(A484="Автомат",A484="Дифавтомат"),IF(W484="","",COUNTIFS(Однолинейка!$H$3:$H$3000,U484,Однолинейка!$A$3:$A$3000,Щит_спец)),IF(A484="Аппарат",IF(C484="","",COUNTIFS(Однолинейка!$I$3:$I$3000,C484,Однолинейка!$A$3:$A$3000,Щит_спец)+COUNTIFS(Однолинейка!$J$3:$J$3000,C484,Однолинейка!$A$3:$A$3000,Щит_спец)+COUNTIFS(Однолинейка!$K$3:$K$3000,C484,Однолинейка!$A$3:$A$3000,Щит_спец)),IF(A484="Модуль",IF(C484="","",COUNTIFS(Однолинейка!$AW$3:$AW$3000,"?*",Однолинейка!$AI$3:$AI$3000,C484,Однолинейка!$A$3:$A$3000,Щит_спец)),IF(A484="Клемма",IF(C484="","",IF(C484=$S$7,SUMIFS(Однолинейка!$BW$3:$BW$3000,Однолинейка!$A$3:$A$3000,Щит_спец),IF(C484=$S$8,SUMIFS(Однолинейка!$BX$3:$BX$3000,Однолинейка!$A$3:$A$3000,Щит_спец),""))),""))))</f>
        <v/>
      </c>
      <c r="O484" s="74"/>
      <c r="P484" s="38" t="str">
        <f t="shared" si="63"/>
        <v/>
      </c>
      <c r="U484" s="38" t="str">
        <f t="shared" si="64"/>
        <v/>
      </c>
      <c r="V484" s="38" t="str">
        <f t="shared" si="65"/>
        <v/>
      </c>
      <c r="W484" s="38" t="str">
        <f>IF(AND(U484&lt;&gt;"",OR($S$4="(все)",B484=$S$4),IF($S$4="(все)",COUNTIF($U$4:U484,U484),COUNTIFS($U$4:U484,U484,$B$4:B484,B484))=1),MAX($W$3:W483)+1,"")</f>
        <v/>
      </c>
      <c r="X484" s="38" t="str">
        <f t="shared" si="66"/>
        <v/>
      </c>
      <c r="Y484" s="38" t="str">
        <f>IF(AND(A484="Аппарат",C484&lt;&gt;"",OR($S$5="(все)",B484=$S$5)),MAX($Y$3:Y483)+1,"")</f>
        <v/>
      </c>
      <c r="Z484" s="38" t="str">
        <f t="shared" si="67"/>
        <v/>
      </c>
      <c r="AA484" s="38" t="str">
        <f>IF(AND(A484="Модуль",C484&lt;&gt;"",OR($S$6="(все)",B484=$S$6)),MAX($AA$3:AA483)+1,"")</f>
        <v/>
      </c>
      <c r="AB484" s="38" t="str">
        <f t="shared" si="68"/>
        <v/>
      </c>
      <c r="AC484" s="38" t="str">
        <f>IF(OR(B484="",COUNTIF($B$4:B484,B484)&gt;1),"",MAX($AC$3:AC483)+1)</f>
        <v/>
      </c>
      <c r="AD484" s="38" t="str">
        <f t="shared" si="69"/>
        <v/>
      </c>
      <c r="AE484" s="38" t="str">
        <f t="shared" si="70"/>
        <v/>
      </c>
      <c r="AF484" s="38" t="str">
        <f t="shared" si="71"/>
        <v/>
      </c>
    </row>
    <row r="485" spans="1:32" x14ac:dyDescent="0.3">
      <c r="A485" s="74"/>
      <c r="B485" s="74"/>
      <c r="C485" s="74"/>
      <c r="D485" s="74"/>
      <c r="E485" s="74"/>
      <c r="F485" s="74"/>
      <c r="G485" s="74"/>
      <c r="H485" s="74"/>
      <c r="I485" s="74"/>
      <c r="J485" s="74"/>
      <c r="K485" s="74"/>
      <c r="L485" s="74"/>
      <c r="M485" s="74"/>
      <c r="N485" s="38" t="str">
        <f>IF(OR(A485="Автомат",A485="Дифавтомат"),IF(W485="","",COUNTIFS(Однолинейка!$H$3:$H$3000,U485,Однолинейка!$A$3:$A$3000,Щит_спец)),IF(A485="Аппарат",IF(C485="","",COUNTIFS(Однолинейка!$I$3:$I$3000,C485,Однолинейка!$A$3:$A$3000,Щит_спец)+COUNTIFS(Однолинейка!$J$3:$J$3000,C485,Однолинейка!$A$3:$A$3000,Щит_спец)+COUNTIFS(Однолинейка!$K$3:$K$3000,C485,Однолинейка!$A$3:$A$3000,Щит_спец)),IF(A485="Модуль",IF(C485="","",COUNTIFS(Однолинейка!$AW$3:$AW$3000,"?*",Однолинейка!$AI$3:$AI$3000,C485,Однолинейка!$A$3:$A$3000,Щит_спец)),IF(A485="Клемма",IF(C485="","",IF(C485=$S$7,SUMIFS(Однолинейка!$BW$3:$BW$3000,Однолинейка!$A$3:$A$3000,Щит_спец),IF(C485=$S$8,SUMIFS(Однолинейка!$BX$3:$BX$3000,Однолинейка!$A$3:$A$3000,Щит_спец),""))),""))))</f>
        <v/>
      </c>
      <c r="O485" s="74"/>
      <c r="P485" s="38" t="str">
        <f t="shared" si="63"/>
        <v/>
      </c>
      <c r="U485" s="38" t="str">
        <f t="shared" si="64"/>
        <v/>
      </c>
      <c r="V485" s="38" t="str">
        <f t="shared" si="65"/>
        <v/>
      </c>
      <c r="W485" s="38" t="str">
        <f>IF(AND(U485&lt;&gt;"",OR($S$4="(все)",B485=$S$4),IF($S$4="(все)",COUNTIF($U$4:U485,U485),COUNTIFS($U$4:U485,U485,$B$4:B485,B485))=1),MAX($W$3:W484)+1,"")</f>
        <v/>
      </c>
      <c r="X485" s="38" t="str">
        <f t="shared" si="66"/>
        <v/>
      </c>
      <c r="Y485" s="38" t="str">
        <f>IF(AND(A485="Аппарат",C485&lt;&gt;"",OR($S$5="(все)",B485=$S$5)),MAX($Y$3:Y484)+1,"")</f>
        <v/>
      </c>
      <c r="Z485" s="38" t="str">
        <f t="shared" si="67"/>
        <v/>
      </c>
      <c r="AA485" s="38" t="str">
        <f>IF(AND(A485="Модуль",C485&lt;&gt;"",OR($S$6="(все)",B485=$S$6)),MAX($AA$3:AA484)+1,"")</f>
        <v/>
      </c>
      <c r="AB485" s="38" t="str">
        <f t="shared" si="68"/>
        <v/>
      </c>
      <c r="AC485" s="38" t="str">
        <f>IF(OR(B485="",COUNTIF($B$4:B485,B485)&gt;1),"",MAX($AC$3:AC484)+1)</f>
        <v/>
      </c>
      <c r="AD485" s="38" t="str">
        <f t="shared" si="69"/>
        <v/>
      </c>
      <c r="AE485" s="38" t="str">
        <f t="shared" si="70"/>
        <v/>
      </c>
      <c r="AF485" s="38" t="str">
        <f t="shared" si="71"/>
        <v/>
      </c>
    </row>
    <row r="486" spans="1:32" x14ac:dyDescent="0.3">
      <c r="A486" s="74"/>
      <c r="B486" s="74"/>
      <c r="C486" s="74"/>
      <c r="D486" s="74"/>
      <c r="E486" s="74"/>
      <c r="F486" s="74"/>
      <c r="G486" s="74"/>
      <c r="H486" s="74"/>
      <c r="I486" s="74"/>
      <c r="J486" s="74"/>
      <c r="K486" s="74"/>
      <c r="L486" s="74"/>
      <c r="M486" s="74"/>
      <c r="N486" s="38" t="str">
        <f>IF(OR(A486="Автомат",A486="Дифавтомат"),IF(W486="","",COUNTIFS(Однолинейка!$H$3:$H$3000,U486,Однолинейка!$A$3:$A$3000,Щит_спец)),IF(A486="Аппарат",IF(C486="","",COUNTIFS(Однолинейка!$I$3:$I$3000,C486,Однолинейка!$A$3:$A$3000,Щит_спец)+COUNTIFS(Однолинейка!$J$3:$J$3000,C486,Однолинейка!$A$3:$A$3000,Щит_спец)+COUNTIFS(Однолинейка!$K$3:$K$3000,C486,Однолинейка!$A$3:$A$3000,Щит_спец)),IF(A486="Модуль",IF(C486="","",COUNTIFS(Однолинейка!$AW$3:$AW$3000,"?*",Однолинейка!$AI$3:$AI$3000,C486,Однолинейка!$A$3:$A$3000,Щит_спец)),IF(A486="Клемма",IF(C486="","",IF(C486=$S$7,SUMIFS(Однолинейка!$BW$3:$BW$3000,Однолинейка!$A$3:$A$3000,Щит_спец),IF(C486=$S$8,SUMIFS(Однолинейка!$BX$3:$BX$3000,Однолинейка!$A$3:$A$3000,Щит_спец),""))),""))))</f>
        <v/>
      </c>
      <c r="O486" s="74"/>
      <c r="P486" s="38" t="str">
        <f t="shared" si="63"/>
        <v/>
      </c>
      <c r="U486" s="38" t="str">
        <f t="shared" si="64"/>
        <v/>
      </c>
      <c r="V486" s="38" t="str">
        <f t="shared" si="65"/>
        <v/>
      </c>
      <c r="W486" s="38" t="str">
        <f>IF(AND(U486&lt;&gt;"",OR($S$4="(все)",B486=$S$4),IF($S$4="(все)",COUNTIF($U$4:U486,U486),COUNTIFS($U$4:U486,U486,$B$4:B486,B486))=1),MAX($W$3:W485)+1,"")</f>
        <v/>
      </c>
      <c r="X486" s="38" t="str">
        <f t="shared" si="66"/>
        <v/>
      </c>
      <c r="Y486" s="38" t="str">
        <f>IF(AND(A486="Аппарат",C486&lt;&gt;"",OR($S$5="(все)",B486=$S$5)),MAX($Y$3:Y485)+1,"")</f>
        <v/>
      </c>
      <c r="Z486" s="38" t="str">
        <f t="shared" si="67"/>
        <v/>
      </c>
      <c r="AA486" s="38" t="str">
        <f>IF(AND(A486="Модуль",C486&lt;&gt;"",OR($S$6="(все)",B486=$S$6)),MAX($AA$3:AA485)+1,"")</f>
        <v/>
      </c>
      <c r="AB486" s="38" t="str">
        <f t="shared" si="68"/>
        <v/>
      </c>
      <c r="AC486" s="38" t="str">
        <f>IF(OR(B486="",COUNTIF($B$4:B486,B486)&gt;1),"",MAX($AC$3:AC485)+1)</f>
        <v/>
      </c>
      <c r="AD486" s="38" t="str">
        <f t="shared" si="69"/>
        <v/>
      </c>
      <c r="AE486" s="38" t="str">
        <f t="shared" si="70"/>
        <v/>
      </c>
      <c r="AF486" s="38" t="str">
        <f t="shared" si="71"/>
        <v/>
      </c>
    </row>
    <row r="487" spans="1:32" x14ac:dyDescent="0.3">
      <c r="A487" s="74"/>
      <c r="B487" s="74"/>
      <c r="C487" s="74"/>
      <c r="D487" s="74"/>
      <c r="E487" s="74"/>
      <c r="F487" s="74"/>
      <c r="G487" s="74"/>
      <c r="H487" s="74"/>
      <c r="I487" s="74"/>
      <c r="J487" s="74"/>
      <c r="K487" s="74"/>
      <c r="L487" s="74"/>
      <c r="M487" s="74"/>
      <c r="N487" s="38" t="str">
        <f>IF(OR(A487="Автомат",A487="Дифавтомат"),IF(W487="","",COUNTIFS(Однолинейка!$H$3:$H$3000,U487,Однолинейка!$A$3:$A$3000,Щит_спец)),IF(A487="Аппарат",IF(C487="","",COUNTIFS(Однолинейка!$I$3:$I$3000,C487,Однолинейка!$A$3:$A$3000,Щит_спец)+COUNTIFS(Однолинейка!$J$3:$J$3000,C487,Однолинейка!$A$3:$A$3000,Щит_спец)+COUNTIFS(Однолинейка!$K$3:$K$3000,C487,Однолинейка!$A$3:$A$3000,Щит_спец)),IF(A487="Модуль",IF(C487="","",COUNTIFS(Однолинейка!$AW$3:$AW$3000,"?*",Однолинейка!$AI$3:$AI$3000,C487,Однолинейка!$A$3:$A$3000,Щит_спец)),IF(A487="Клемма",IF(C487="","",IF(C487=$S$7,SUMIFS(Однолинейка!$BW$3:$BW$3000,Однолинейка!$A$3:$A$3000,Щит_спец),IF(C487=$S$8,SUMIFS(Однолинейка!$BX$3:$BX$3000,Однолинейка!$A$3:$A$3000,Щит_спец),""))),""))))</f>
        <v/>
      </c>
      <c r="O487" s="74"/>
      <c r="P487" s="38" t="str">
        <f t="shared" si="63"/>
        <v/>
      </c>
      <c r="U487" s="38" t="str">
        <f t="shared" si="64"/>
        <v/>
      </c>
      <c r="V487" s="38" t="str">
        <f t="shared" si="65"/>
        <v/>
      </c>
      <c r="W487" s="38" t="str">
        <f>IF(AND(U487&lt;&gt;"",OR($S$4="(все)",B487=$S$4),IF($S$4="(все)",COUNTIF($U$4:U487,U487),COUNTIFS($U$4:U487,U487,$B$4:B487,B487))=1),MAX($W$3:W486)+1,"")</f>
        <v/>
      </c>
      <c r="X487" s="38" t="str">
        <f t="shared" si="66"/>
        <v/>
      </c>
      <c r="Y487" s="38" t="str">
        <f>IF(AND(A487="Аппарат",C487&lt;&gt;"",OR($S$5="(все)",B487=$S$5)),MAX($Y$3:Y486)+1,"")</f>
        <v/>
      </c>
      <c r="Z487" s="38" t="str">
        <f t="shared" si="67"/>
        <v/>
      </c>
      <c r="AA487" s="38" t="str">
        <f>IF(AND(A487="Модуль",C487&lt;&gt;"",OR($S$6="(все)",B487=$S$6)),MAX($AA$3:AA486)+1,"")</f>
        <v/>
      </c>
      <c r="AB487" s="38" t="str">
        <f t="shared" si="68"/>
        <v/>
      </c>
      <c r="AC487" s="38" t="str">
        <f>IF(OR(B487="",COUNTIF($B$4:B487,B487)&gt;1),"",MAX($AC$3:AC486)+1)</f>
        <v/>
      </c>
      <c r="AD487" s="38" t="str">
        <f t="shared" si="69"/>
        <v/>
      </c>
      <c r="AE487" s="38" t="str">
        <f t="shared" si="70"/>
        <v/>
      </c>
      <c r="AF487" s="38" t="str">
        <f t="shared" si="71"/>
        <v/>
      </c>
    </row>
    <row r="488" spans="1:32" x14ac:dyDescent="0.3">
      <c r="A488" s="74"/>
      <c r="B488" s="74"/>
      <c r="C488" s="74"/>
      <c r="D488" s="74"/>
      <c r="E488" s="74"/>
      <c r="F488" s="74"/>
      <c r="G488" s="74"/>
      <c r="H488" s="74"/>
      <c r="I488" s="74"/>
      <c r="J488" s="74"/>
      <c r="K488" s="74"/>
      <c r="L488" s="74"/>
      <c r="M488" s="74"/>
      <c r="N488" s="38" t="str">
        <f>IF(OR(A488="Автомат",A488="Дифавтомат"),IF(W488="","",COUNTIFS(Однолинейка!$H$3:$H$3000,U488,Однолинейка!$A$3:$A$3000,Щит_спец)),IF(A488="Аппарат",IF(C488="","",COUNTIFS(Однолинейка!$I$3:$I$3000,C488,Однолинейка!$A$3:$A$3000,Щит_спец)+COUNTIFS(Однолинейка!$J$3:$J$3000,C488,Однолинейка!$A$3:$A$3000,Щит_спец)+COUNTIFS(Однолинейка!$K$3:$K$3000,C488,Однолинейка!$A$3:$A$3000,Щит_спец)),IF(A488="Модуль",IF(C488="","",COUNTIFS(Однолинейка!$AW$3:$AW$3000,"?*",Однолинейка!$AI$3:$AI$3000,C488,Однолинейка!$A$3:$A$3000,Щит_спец)),IF(A488="Клемма",IF(C488="","",IF(C488=$S$7,SUMIFS(Однолинейка!$BW$3:$BW$3000,Однолинейка!$A$3:$A$3000,Щит_спец),IF(C488=$S$8,SUMIFS(Однолинейка!$BX$3:$BX$3000,Однолинейка!$A$3:$A$3000,Щит_спец),""))),""))))</f>
        <v/>
      </c>
      <c r="O488" s="74"/>
      <c r="P488" s="38" t="str">
        <f t="shared" si="63"/>
        <v/>
      </c>
      <c r="U488" s="38" t="str">
        <f t="shared" si="64"/>
        <v/>
      </c>
      <c r="V488" s="38" t="str">
        <f t="shared" si="65"/>
        <v/>
      </c>
      <c r="W488" s="38" t="str">
        <f>IF(AND(U488&lt;&gt;"",OR($S$4="(все)",B488=$S$4),IF($S$4="(все)",COUNTIF($U$4:U488,U488),COUNTIFS($U$4:U488,U488,$B$4:B488,B488))=1),MAX($W$3:W487)+1,"")</f>
        <v/>
      </c>
      <c r="X488" s="38" t="str">
        <f t="shared" si="66"/>
        <v/>
      </c>
      <c r="Y488" s="38" t="str">
        <f>IF(AND(A488="Аппарат",C488&lt;&gt;"",OR($S$5="(все)",B488=$S$5)),MAX($Y$3:Y487)+1,"")</f>
        <v/>
      </c>
      <c r="Z488" s="38" t="str">
        <f t="shared" si="67"/>
        <v/>
      </c>
      <c r="AA488" s="38" t="str">
        <f>IF(AND(A488="Модуль",C488&lt;&gt;"",OR($S$6="(все)",B488=$S$6)),MAX($AA$3:AA487)+1,"")</f>
        <v/>
      </c>
      <c r="AB488" s="38" t="str">
        <f t="shared" si="68"/>
        <v/>
      </c>
      <c r="AC488" s="38" t="str">
        <f>IF(OR(B488="",COUNTIF($B$4:B488,B488)&gt;1),"",MAX($AC$3:AC487)+1)</f>
        <v/>
      </c>
      <c r="AD488" s="38" t="str">
        <f t="shared" si="69"/>
        <v/>
      </c>
      <c r="AE488" s="38" t="str">
        <f t="shared" si="70"/>
        <v/>
      </c>
      <c r="AF488" s="38" t="str">
        <f t="shared" si="71"/>
        <v/>
      </c>
    </row>
    <row r="489" spans="1:32" x14ac:dyDescent="0.3">
      <c r="A489" s="74"/>
      <c r="B489" s="74"/>
      <c r="C489" s="74"/>
      <c r="D489" s="74"/>
      <c r="E489" s="74"/>
      <c r="F489" s="74"/>
      <c r="G489" s="74"/>
      <c r="H489" s="74"/>
      <c r="I489" s="74"/>
      <c r="J489" s="74"/>
      <c r="K489" s="74"/>
      <c r="L489" s="74"/>
      <c r="M489" s="74"/>
      <c r="N489" s="38" t="str">
        <f>IF(OR(A489="Автомат",A489="Дифавтомат"),IF(W489="","",COUNTIFS(Однолинейка!$H$3:$H$3000,U489,Однолинейка!$A$3:$A$3000,Щит_спец)),IF(A489="Аппарат",IF(C489="","",COUNTIFS(Однолинейка!$I$3:$I$3000,C489,Однолинейка!$A$3:$A$3000,Щит_спец)+COUNTIFS(Однолинейка!$J$3:$J$3000,C489,Однолинейка!$A$3:$A$3000,Щит_спец)+COUNTIFS(Однолинейка!$K$3:$K$3000,C489,Однолинейка!$A$3:$A$3000,Щит_спец)),IF(A489="Модуль",IF(C489="","",COUNTIFS(Однолинейка!$AW$3:$AW$3000,"?*",Однолинейка!$AI$3:$AI$3000,C489,Однолинейка!$A$3:$A$3000,Щит_спец)),IF(A489="Клемма",IF(C489="","",IF(C489=$S$7,SUMIFS(Однолинейка!$BW$3:$BW$3000,Однолинейка!$A$3:$A$3000,Щит_спец),IF(C489=$S$8,SUMIFS(Однолинейка!$BX$3:$BX$3000,Однолинейка!$A$3:$A$3000,Щит_спец),""))),""))))</f>
        <v/>
      </c>
      <c r="O489" s="74"/>
      <c r="P489" s="38" t="str">
        <f t="shared" si="63"/>
        <v/>
      </c>
      <c r="U489" s="38" t="str">
        <f t="shared" si="64"/>
        <v/>
      </c>
      <c r="V489" s="38" t="str">
        <f t="shared" si="65"/>
        <v/>
      </c>
      <c r="W489" s="38" t="str">
        <f>IF(AND(U489&lt;&gt;"",OR($S$4="(все)",B489=$S$4),IF($S$4="(все)",COUNTIF($U$4:U489,U489),COUNTIFS($U$4:U489,U489,$B$4:B489,B489))=1),MAX($W$3:W488)+1,"")</f>
        <v/>
      </c>
      <c r="X489" s="38" t="str">
        <f t="shared" si="66"/>
        <v/>
      </c>
      <c r="Y489" s="38" t="str">
        <f>IF(AND(A489="Аппарат",C489&lt;&gt;"",OR($S$5="(все)",B489=$S$5)),MAX($Y$3:Y488)+1,"")</f>
        <v/>
      </c>
      <c r="Z489" s="38" t="str">
        <f t="shared" si="67"/>
        <v/>
      </c>
      <c r="AA489" s="38" t="str">
        <f>IF(AND(A489="Модуль",C489&lt;&gt;"",OR($S$6="(все)",B489=$S$6)),MAX($AA$3:AA488)+1,"")</f>
        <v/>
      </c>
      <c r="AB489" s="38" t="str">
        <f t="shared" si="68"/>
        <v/>
      </c>
      <c r="AC489" s="38" t="str">
        <f>IF(OR(B489="",COUNTIF($B$4:B489,B489)&gt;1),"",MAX($AC$3:AC488)+1)</f>
        <v/>
      </c>
      <c r="AD489" s="38" t="str">
        <f t="shared" si="69"/>
        <v/>
      </c>
      <c r="AE489" s="38" t="str">
        <f t="shared" si="70"/>
        <v/>
      </c>
      <c r="AF489" s="38" t="str">
        <f t="shared" si="71"/>
        <v/>
      </c>
    </row>
    <row r="490" spans="1:32" x14ac:dyDescent="0.3">
      <c r="A490" s="74"/>
      <c r="B490" s="74"/>
      <c r="C490" s="74"/>
      <c r="D490" s="74"/>
      <c r="E490" s="74"/>
      <c r="F490" s="74"/>
      <c r="G490" s="74"/>
      <c r="H490" s="74"/>
      <c r="I490" s="74"/>
      <c r="J490" s="74"/>
      <c r="K490" s="74"/>
      <c r="L490" s="74"/>
      <c r="M490" s="74"/>
      <c r="N490" s="38" t="str">
        <f>IF(OR(A490="Автомат",A490="Дифавтомат"),IF(W490="","",COUNTIFS(Однолинейка!$H$3:$H$3000,U490,Однолинейка!$A$3:$A$3000,Щит_спец)),IF(A490="Аппарат",IF(C490="","",COUNTIFS(Однолинейка!$I$3:$I$3000,C490,Однолинейка!$A$3:$A$3000,Щит_спец)+COUNTIFS(Однолинейка!$J$3:$J$3000,C490,Однолинейка!$A$3:$A$3000,Щит_спец)+COUNTIFS(Однолинейка!$K$3:$K$3000,C490,Однолинейка!$A$3:$A$3000,Щит_спец)),IF(A490="Модуль",IF(C490="","",COUNTIFS(Однолинейка!$AW$3:$AW$3000,"?*",Однолинейка!$AI$3:$AI$3000,C490,Однолинейка!$A$3:$A$3000,Щит_спец)),IF(A490="Клемма",IF(C490="","",IF(C490=$S$7,SUMIFS(Однолинейка!$BW$3:$BW$3000,Однолинейка!$A$3:$A$3000,Щит_спец),IF(C490=$S$8,SUMIFS(Однолинейка!$BX$3:$BX$3000,Однолинейка!$A$3:$A$3000,Щит_спец),""))),""))))</f>
        <v/>
      </c>
      <c r="O490" s="74"/>
      <c r="P490" s="38" t="str">
        <f t="shared" si="63"/>
        <v/>
      </c>
      <c r="U490" s="38" t="str">
        <f t="shared" si="64"/>
        <v/>
      </c>
      <c r="V490" s="38" t="str">
        <f t="shared" si="65"/>
        <v/>
      </c>
      <c r="W490" s="38" t="str">
        <f>IF(AND(U490&lt;&gt;"",OR($S$4="(все)",B490=$S$4),IF($S$4="(все)",COUNTIF($U$4:U490,U490),COUNTIFS($U$4:U490,U490,$B$4:B490,B490))=1),MAX($W$3:W489)+1,"")</f>
        <v/>
      </c>
      <c r="X490" s="38" t="str">
        <f t="shared" si="66"/>
        <v/>
      </c>
      <c r="Y490" s="38" t="str">
        <f>IF(AND(A490="Аппарат",C490&lt;&gt;"",OR($S$5="(все)",B490=$S$5)),MAX($Y$3:Y489)+1,"")</f>
        <v/>
      </c>
      <c r="Z490" s="38" t="str">
        <f t="shared" si="67"/>
        <v/>
      </c>
      <c r="AA490" s="38" t="str">
        <f>IF(AND(A490="Модуль",C490&lt;&gt;"",OR($S$6="(все)",B490=$S$6)),MAX($AA$3:AA489)+1,"")</f>
        <v/>
      </c>
      <c r="AB490" s="38" t="str">
        <f t="shared" si="68"/>
        <v/>
      </c>
      <c r="AC490" s="38" t="str">
        <f>IF(OR(B490="",COUNTIF($B$4:B490,B490)&gt;1),"",MAX($AC$3:AC489)+1)</f>
        <v/>
      </c>
      <c r="AD490" s="38" t="str">
        <f t="shared" si="69"/>
        <v/>
      </c>
      <c r="AE490" s="38" t="str">
        <f t="shared" si="70"/>
        <v/>
      </c>
      <c r="AF490" s="38" t="str">
        <f t="shared" si="71"/>
        <v/>
      </c>
    </row>
    <row r="491" spans="1:32" x14ac:dyDescent="0.3">
      <c r="A491" s="74"/>
      <c r="B491" s="74"/>
      <c r="C491" s="74"/>
      <c r="D491" s="74"/>
      <c r="E491" s="74"/>
      <c r="F491" s="74"/>
      <c r="G491" s="74"/>
      <c r="H491" s="74"/>
      <c r="I491" s="74"/>
      <c r="J491" s="74"/>
      <c r="K491" s="74"/>
      <c r="L491" s="74"/>
      <c r="M491" s="74"/>
      <c r="N491" s="38" t="str">
        <f>IF(OR(A491="Автомат",A491="Дифавтомат"),IF(W491="","",COUNTIFS(Однолинейка!$H$3:$H$3000,U491,Однолинейка!$A$3:$A$3000,Щит_спец)),IF(A491="Аппарат",IF(C491="","",COUNTIFS(Однолинейка!$I$3:$I$3000,C491,Однолинейка!$A$3:$A$3000,Щит_спец)+COUNTIFS(Однолинейка!$J$3:$J$3000,C491,Однолинейка!$A$3:$A$3000,Щит_спец)+COUNTIFS(Однолинейка!$K$3:$K$3000,C491,Однолинейка!$A$3:$A$3000,Щит_спец)),IF(A491="Модуль",IF(C491="","",COUNTIFS(Однолинейка!$AW$3:$AW$3000,"?*",Однолинейка!$AI$3:$AI$3000,C491,Однолинейка!$A$3:$A$3000,Щит_спец)),IF(A491="Клемма",IF(C491="","",IF(C491=$S$7,SUMIFS(Однолинейка!$BW$3:$BW$3000,Однолинейка!$A$3:$A$3000,Щит_спец),IF(C491=$S$8,SUMIFS(Однолинейка!$BX$3:$BX$3000,Однолинейка!$A$3:$A$3000,Щит_спец),""))),""))))</f>
        <v/>
      </c>
      <c r="O491" s="74"/>
      <c r="P491" s="38" t="str">
        <f t="shared" si="63"/>
        <v/>
      </c>
      <c r="U491" s="38" t="str">
        <f t="shared" si="64"/>
        <v/>
      </c>
      <c r="V491" s="38" t="str">
        <f t="shared" si="65"/>
        <v/>
      </c>
      <c r="W491" s="38" t="str">
        <f>IF(AND(U491&lt;&gt;"",OR($S$4="(все)",B491=$S$4),IF($S$4="(все)",COUNTIF($U$4:U491,U491),COUNTIFS($U$4:U491,U491,$B$4:B491,B491))=1),MAX($W$3:W490)+1,"")</f>
        <v/>
      </c>
      <c r="X491" s="38" t="str">
        <f t="shared" si="66"/>
        <v/>
      </c>
      <c r="Y491" s="38" t="str">
        <f>IF(AND(A491="Аппарат",C491&lt;&gt;"",OR($S$5="(все)",B491=$S$5)),MAX($Y$3:Y490)+1,"")</f>
        <v/>
      </c>
      <c r="Z491" s="38" t="str">
        <f t="shared" si="67"/>
        <v/>
      </c>
      <c r="AA491" s="38" t="str">
        <f>IF(AND(A491="Модуль",C491&lt;&gt;"",OR($S$6="(все)",B491=$S$6)),MAX($AA$3:AA490)+1,"")</f>
        <v/>
      </c>
      <c r="AB491" s="38" t="str">
        <f t="shared" si="68"/>
        <v/>
      </c>
      <c r="AC491" s="38" t="str">
        <f>IF(OR(B491="",COUNTIF($B$4:B491,B491)&gt;1),"",MAX($AC$3:AC490)+1)</f>
        <v/>
      </c>
      <c r="AD491" s="38" t="str">
        <f t="shared" si="69"/>
        <v/>
      </c>
      <c r="AE491" s="38" t="str">
        <f t="shared" si="70"/>
        <v/>
      </c>
      <c r="AF491" s="38" t="str">
        <f t="shared" si="71"/>
        <v/>
      </c>
    </row>
    <row r="492" spans="1:32" x14ac:dyDescent="0.3">
      <c r="A492" s="74"/>
      <c r="B492" s="74"/>
      <c r="C492" s="74"/>
      <c r="D492" s="74"/>
      <c r="E492" s="74"/>
      <c r="F492" s="74"/>
      <c r="G492" s="74"/>
      <c r="H492" s="74"/>
      <c r="I492" s="74"/>
      <c r="J492" s="74"/>
      <c r="K492" s="74"/>
      <c r="L492" s="74"/>
      <c r="M492" s="74"/>
      <c r="N492" s="38" t="str">
        <f>IF(OR(A492="Автомат",A492="Дифавтомат"),IF(W492="","",COUNTIFS(Однолинейка!$H$3:$H$3000,U492,Однолинейка!$A$3:$A$3000,Щит_спец)),IF(A492="Аппарат",IF(C492="","",COUNTIFS(Однолинейка!$I$3:$I$3000,C492,Однолинейка!$A$3:$A$3000,Щит_спец)+COUNTIFS(Однолинейка!$J$3:$J$3000,C492,Однолинейка!$A$3:$A$3000,Щит_спец)+COUNTIFS(Однолинейка!$K$3:$K$3000,C492,Однолинейка!$A$3:$A$3000,Щит_спец)),IF(A492="Модуль",IF(C492="","",COUNTIFS(Однолинейка!$AW$3:$AW$3000,"?*",Однолинейка!$AI$3:$AI$3000,C492,Однолинейка!$A$3:$A$3000,Щит_спец)),IF(A492="Клемма",IF(C492="","",IF(C492=$S$7,SUMIFS(Однолинейка!$BW$3:$BW$3000,Однолинейка!$A$3:$A$3000,Щит_спец),IF(C492=$S$8,SUMIFS(Однолинейка!$BX$3:$BX$3000,Однолинейка!$A$3:$A$3000,Щит_спец),""))),""))))</f>
        <v/>
      </c>
      <c r="O492" s="74"/>
      <c r="P492" s="38" t="str">
        <f t="shared" si="63"/>
        <v/>
      </c>
      <c r="U492" s="38" t="str">
        <f t="shared" si="64"/>
        <v/>
      </c>
      <c r="V492" s="38" t="str">
        <f t="shared" si="65"/>
        <v/>
      </c>
      <c r="W492" s="38" t="str">
        <f>IF(AND(U492&lt;&gt;"",OR($S$4="(все)",B492=$S$4),IF($S$4="(все)",COUNTIF($U$4:U492,U492),COUNTIFS($U$4:U492,U492,$B$4:B492,B492))=1),MAX($W$3:W491)+1,"")</f>
        <v/>
      </c>
      <c r="X492" s="38" t="str">
        <f t="shared" si="66"/>
        <v/>
      </c>
      <c r="Y492" s="38" t="str">
        <f>IF(AND(A492="Аппарат",C492&lt;&gt;"",OR($S$5="(все)",B492=$S$5)),MAX($Y$3:Y491)+1,"")</f>
        <v/>
      </c>
      <c r="Z492" s="38" t="str">
        <f t="shared" si="67"/>
        <v/>
      </c>
      <c r="AA492" s="38" t="str">
        <f>IF(AND(A492="Модуль",C492&lt;&gt;"",OR($S$6="(все)",B492=$S$6)),MAX($AA$3:AA491)+1,"")</f>
        <v/>
      </c>
      <c r="AB492" s="38" t="str">
        <f t="shared" si="68"/>
        <v/>
      </c>
      <c r="AC492" s="38" t="str">
        <f>IF(OR(B492="",COUNTIF($B$4:B492,B492)&gt;1),"",MAX($AC$3:AC491)+1)</f>
        <v/>
      </c>
      <c r="AD492" s="38" t="str">
        <f t="shared" si="69"/>
        <v/>
      </c>
      <c r="AE492" s="38" t="str">
        <f t="shared" si="70"/>
        <v/>
      </c>
      <c r="AF492" s="38" t="str">
        <f t="shared" si="71"/>
        <v/>
      </c>
    </row>
    <row r="493" spans="1:32" x14ac:dyDescent="0.3">
      <c r="A493" s="74"/>
      <c r="B493" s="74"/>
      <c r="C493" s="74"/>
      <c r="D493" s="74"/>
      <c r="E493" s="74"/>
      <c r="F493" s="74"/>
      <c r="G493" s="74"/>
      <c r="H493" s="74"/>
      <c r="I493" s="74"/>
      <c r="J493" s="74"/>
      <c r="K493" s="74"/>
      <c r="L493" s="74"/>
      <c r="M493" s="74"/>
      <c r="N493" s="38" t="str">
        <f>IF(OR(A493="Автомат",A493="Дифавтомат"),IF(W493="","",COUNTIFS(Однолинейка!$H$3:$H$3000,U493,Однолинейка!$A$3:$A$3000,Щит_спец)),IF(A493="Аппарат",IF(C493="","",COUNTIFS(Однолинейка!$I$3:$I$3000,C493,Однолинейка!$A$3:$A$3000,Щит_спец)+COUNTIFS(Однолинейка!$J$3:$J$3000,C493,Однолинейка!$A$3:$A$3000,Щит_спец)+COUNTIFS(Однолинейка!$K$3:$K$3000,C493,Однолинейка!$A$3:$A$3000,Щит_спец)),IF(A493="Модуль",IF(C493="","",COUNTIFS(Однолинейка!$AW$3:$AW$3000,"?*",Однолинейка!$AI$3:$AI$3000,C493,Однолинейка!$A$3:$A$3000,Щит_спец)),IF(A493="Клемма",IF(C493="","",IF(C493=$S$7,SUMIFS(Однолинейка!$BW$3:$BW$3000,Однолинейка!$A$3:$A$3000,Щит_спец),IF(C493=$S$8,SUMIFS(Однолинейка!$BX$3:$BX$3000,Однолинейка!$A$3:$A$3000,Щит_спец),""))),""))))</f>
        <v/>
      </c>
      <c r="O493" s="74"/>
      <c r="P493" s="38" t="str">
        <f t="shared" si="63"/>
        <v/>
      </c>
      <c r="U493" s="38" t="str">
        <f t="shared" si="64"/>
        <v/>
      </c>
      <c r="V493" s="38" t="str">
        <f t="shared" si="65"/>
        <v/>
      </c>
      <c r="W493" s="38" t="str">
        <f>IF(AND(U493&lt;&gt;"",OR($S$4="(все)",B493=$S$4),IF($S$4="(все)",COUNTIF($U$4:U493,U493),COUNTIFS($U$4:U493,U493,$B$4:B493,B493))=1),MAX($W$3:W492)+1,"")</f>
        <v/>
      </c>
      <c r="X493" s="38" t="str">
        <f t="shared" si="66"/>
        <v/>
      </c>
      <c r="Y493" s="38" t="str">
        <f>IF(AND(A493="Аппарат",C493&lt;&gt;"",OR($S$5="(все)",B493=$S$5)),MAX($Y$3:Y492)+1,"")</f>
        <v/>
      </c>
      <c r="Z493" s="38" t="str">
        <f t="shared" si="67"/>
        <v/>
      </c>
      <c r="AA493" s="38" t="str">
        <f>IF(AND(A493="Модуль",C493&lt;&gt;"",OR($S$6="(все)",B493=$S$6)),MAX($AA$3:AA492)+1,"")</f>
        <v/>
      </c>
      <c r="AB493" s="38" t="str">
        <f t="shared" si="68"/>
        <v/>
      </c>
      <c r="AC493" s="38" t="str">
        <f>IF(OR(B493="",COUNTIF($B$4:B493,B493)&gt;1),"",MAX($AC$3:AC492)+1)</f>
        <v/>
      </c>
      <c r="AD493" s="38" t="str">
        <f t="shared" si="69"/>
        <v/>
      </c>
      <c r="AE493" s="38" t="str">
        <f t="shared" si="70"/>
        <v/>
      </c>
      <c r="AF493" s="38" t="str">
        <f t="shared" si="71"/>
        <v/>
      </c>
    </row>
    <row r="494" spans="1:32" x14ac:dyDescent="0.3">
      <c r="A494" s="74"/>
      <c r="B494" s="74"/>
      <c r="C494" s="74"/>
      <c r="D494" s="74"/>
      <c r="E494" s="74"/>
      <c r="F494" s="74"/>
      <c r="G494" s="74"/>
      <c r="H494" s="74"/>
      <c r="I494" s="74"/>
      <c r="J494" s="74"/>
      <c r="K494" s="74"/>
      <c r="L494" s="74"/>
      <c r="M494" s="74"/>
      <c r="N494" s="38" t="str">
        <f>IF(OR(A494="Автомат",A494="Дифавтомат"),IF(W494="","",COUNTIFS(Однолинейка!$H$3:$H$3000,U494,Однолинейка!$A$3:$A$3000,Щит_спец)),IF(A494="Аппарат",IF(C494="","",COUNTIFS(Однолинейка!$I$3:$I$3000,C494,Однолинейка!$A$3:$A$3000,Щит_спец)+COUNTIFS(Однолинейка!$J$3:$J$3000,C494,Однолинейка!$A$3:$A$3000,Щит_спец)+COUNTIFS(Однолинейка!$K$3:$K$3000,C494,Однолинейка!$A$3:$A$3000,Щит_спец)),IF(A494="Модуль",IF(C494="","",COUNTIFS(Однолинейка!$AW$3:$AW$3000,"?*",Однолинейка!$AI$3:$AI$3000,C494,Однолинейка!$A$3:$A$3000,Щит_спец)),IF(A494="Клемма",IF(C494="","",IF(C494=$S$7,SUMIFS(Однолинейка!$BW$3:$BW$3000,Однолинейка!$A$3:$A$3000,Щит_спец),IF(C494=$S$8,SUMIFS(Однолинейка!$BX$3:$BX$3000,Однолинейка!$A$3:$A$3000,Щит_спец),""))),""))))</f>
        <v/>
      </c>
      <c r="O494" s="74"/>
      <c r="P494" s="38" t="str">
        <f t="shared" si="63"/>
        <v/>
      </c>
      <c r="U494" s="38" t="str">
        <f t="shared" si="64"/>
        <v/>
      </c>
      <c r="V494" s="38" t="str">
        <f t="shared" si="65"/>
        <v/>
      </c>
      <c r="W494" s="38" t="str">
        <f>IF(AND(U494&lt;&gt;"",OR($S$4="(все)",B494=$S$4),IF($S$4="(все)",COUNTIF($U$4:U494,U494),COUNTIFS($U$4:U494,U494,$B$4:B494,B494))=1),MAX($W$3:W493)+1,"")</f>
        <v/>
      </c>
      <c r="X494" s="38" t="str">
        <f t="shared" si="66"/>
        <v/>
      </c>
      <c r="Y494" s="38" t="str">
        <f>IF(AND(A494="Аппарат",C494&lt;&gt;"",OR($S$5="(все)",B494=$S$5)),MAX($Y$3:Y493)+1,"")</f>
        <v/>
      </c>
      <c r="Z494" s="38" t="str">
        <f t="shared" si="67"/>
        <v/>
      </c>
      <c r="AA494" s="38" t="str">
        <f>IF(AND(A494="Модуль",C494&lt;&gt;"",OR($S$6="(все)",B494=$S$6)),MAX($AA$3:AA493)+1,"")</f>
        <v/>
      </c>
      <c r="AB494" s="38" t="str">
        <f t="shared" si="68"/>
        <v/>
      </c>
      <c r="AC494" s="38" t="str">
        <f>IF(OR(B494="",COUNTIF($B$4:B494,B494)&gt;1),"",MAX($AC$3:AC493)+1)</f>
        <v/>
      </c>
      <c r="AD494" s="38" t="str">
        <f t="shared" si="69"/>
        <v/>
      </c>
      <c r="AE494" s="38" t="str">
        <f t="shared" si="70"/>
        <v/>
      </c>
      <c r="AF494" s="38" t="str">
        <f t="shared" si="71"/>
        <v/>
      </c>
    </row>
    <row r="495" spans="1:32" x14ac:dyDescent="0.3">
      <c r="A495" s="74"/>
      <c r="B495" s="74"/>
      <c r="C495" s="74"/>
      <c r="D495" s="74"/>
      <c r="E495" s="74"/>
      <c r="F495" s="74"/>
      <c r="G495" s="74"/>
      <c r="H495" s="74"/>
      <c r="I495" s="74"/>
      <c r="J495" s="74"/>
      <c r="K495" s="74"/>
      <c r="L495" s="74"/>
      <c r="M495" s="74"/>
      <c r="N495" s="38" t="str">
        <f>IF(OR(A495="Автомат",A495="Дифавтомат"),IF(W495="","",COUNTIFS(Однолинейка!$H$3:$H$3000,U495,Однолинейка!$A$3:$A$3000,Щит_спец)),IF(A495="Аппарат",IF(C495="","",COUNTIFS(Однолинейка!$I$3:$I$3000,C495,Однолинейка!$A$3:$A$3000,Щит_спец)+COUNTIFS(Однолинейка!$J$3:$J$3000,C495,Однолинейка!$A$3:$A$3000,Щит_спец)+COUNTIFS(Однолинейка!$K$3:$K$3000,C495,Однолинейка!$A$3:$A$3000,Щит_спец)),IF(A495="Модуль",IF(C495="","",COUNTIFS(Однолинейка!$AW$3:$AW$3000,"?*",Однолинейка!$AI$3:$AI$3000,C495,Однолинейка!$A$3:$A$3000,Щит_спец)),IF(A495="Клемма",IF(C495="","",IF(C495=$S$7,SUMIFS(Однолинейка!$BW$3:$BW$3000,Однолинейка!$A$3:$A$3000,Щит_спец),IF(C495=$S$8,SUMIFS(Однолинейка!$BX$3:$BX$3000,Однолинейка!$A$3:$A$3000,Щит_спец),""))),""))))</f>
        <v/>
      </c>
      <c r="O495" s="74"/>
      <c r="P495" s="38" t="str">
        <f t="shared" si="63"/>
        <v/>
      </c>
      <c r="U495" s="38" t="str">
        <f t="shared" si="64"/>
        <v/>
      </c>
      <c r="V495" s="38" t="str">
        <f t="shared" si="65"/>
        <v/>
      </c>
      <c r="W495" s="38" t="str">
        <f>IF(AND(U495&lt;&gt;"",OR($S$4="(все)",B495=$S$4),IF($S$4="(все)",COUNTIF($U$4:U495,U495),COUNTIFS($U$4:U495,U495,$B$4:B495,B495))=1),MAX($W$3:W494)+1,"")</f>
        <v/>
      </c>
      <c r="X495" s="38" t="str">
        <f t="shared" si="66"/>
        <v/>
      </c>
      <c r="Y495" s="38" t="str">
        <f>IF(AND(A495="Аппарат",C495&lt;&gt;"",OR($S$5="(все)",B495=$S$5)),MAX($Y$3:Y494)+1,"")</f>
        <v/>
      </c>
      <c r="Z495" s="38" t="str">
        <f t="shared" si="67"/>
        <v/>
      </c>
      <c r="AA495" s="38" t="str">
        <f>IF(AND(A495="Модуль",C495&lt;&gt;"",OR($S$6="(все)",B495=$S$6)),MAX($AA$3:AA494)+1,"")</f>
        <v/>
      </c>
      <c r="AB495" s="38" t="str">
        <f t="shared" si="68"/>
        <v/>
      </c>
      <c r="AC495" s="38" t="str">
        <f>IF(OR(B495="",COUNTIF($B$4:B495,B495)&gt;1),"",MAX($AC$3:AC494)+1)</f>
        <v/>
      </c>
      <c r="AD495" s="38" t="str">
        <f t="shared" si="69"/>
        <v/>
      </c>
      <c r="AE495" s="38" t="str">
        <f t="shared" si="70"/>
        <v/>
      </c>
      <c r="AF495" s="38" t="str">
        <f t="shared" si="71"/>
        <v/>
      </c>
    </row>
    <row r="496" spans="1:32" x14ac:dyDescent="0.3">
      <c r="A496" s="74"/>
      <c r="B496" s="74"/>
      <c r="C496" s="74"/>
      <c r="D496" s="74"/>
      <c r="E496" s="74"/>
      <c r="F496" s="74"/>
      <c r="G496" s="74"/>
      <c r="H496" s="74"/>
      <c r="I496" s="74"/>
      <c r="J496" s="74"/>
      <c r="K496" s="74"/>
      <c r="L496" s="74"/>
      <c r="M496" s="74"/>
      <c r="N496" s="38" t="str">
        <f>IF(OR(A496="Автомат",A496="Дифавтомат"),IF(W496="","",COUNTIFS(Однолинейка!$H$3:$H$3000,U496,Однолинейка!$A$3:$A$3000,Щит_спец)),IF(A496="Аппарат",IF(C496="","",COUNTIFS(Однолинейка!$I$3:$I$3000,C496,Однолинейка!$A$3:$A$3000,Щит_спец)+COUNTIFS(Однолинейка!$J$3:$J$3000,C496,Однолинейка!$A$3:$A$3000,Щит_спец)+COUNTIFS(Однолинейка!$K$3:$K$3000,C496,Однолинейка!$A$3:$A$3000,Щит_спец)),IF(A496="Модуль",IF(C496="","",COUNTIFS(Однолинейка!$AW$3:$AW$3000,"?*",Однолинейка!$AI$3:$AI$3000,C496,Однолинейка!$A$3:$A$3000,Щит_спец)),IF(A496="Клемма",IF(C496="","",IF(C496=$S$7,SUMIFS(Однолинейка!$BW$3:$BW$3000,Однолинейка!$A$3:$A$3000,Щит_спец),IF(C496=$S$8,SUMIFS(Однолинейка!$BX$3:$BX$3000,Однолинейка!$A$3:$A$3000,Щит_спец),""))),""))))</f>
        <v/>
      </c>
      <c r="O496" s="74"/>
      <c r="P496" s="38" t="str">
        <f t="shared" si="63"/>
        <v/>
      </c>
      <c r="U496" s="38" t="str">
        <f t="shared" si="64"/>
        <v/>
      </c>
      <c r="V496" s="38" t="str">
        <f t="shared" si="65"/>
        <v/>
      </c>
      <c r="W496" s="38" t="str">
        <f>IF(AND(U496&lt;&gt;"",OR($S$4="(все)",B496=$S$4),IF($S$4="(все)",COUNTIF($U$4:U496,U496),COUNTIFS($U$4:U496,U496,$B$4:B496,B496))=1),MAX($W$3:W495)+1,"")</f>
        <v/>
      </c>
      <c r="X496" s="38" t="str">
        <f t="shared" si="66"/>
        <v/>
      </c>
      <c r="Y496" s="38" t="str">
        <f>IF(AND(A496="Аппарат",C496&lt;&gt;"",OR($S$5="(все)",B496=$S$5)),MAX($Y$3:Y495)+1,"")</f>
        <v/>
      </c>
      <c r="Z496" s="38" t="str">
        <f t="shared" si="67"/>
        <v/>
      </c>
      <c r="AA496" s="38" t="str">
        <f>IF(AND(A496="Модуль",C496&lt;&gt;"",OR($S$6="(все)",B496=$S$6)),MAX($AA$3:AA495)+1,"")</f>
        <v/>
      </c>
      <c r="AB496" s="38" t="str">
        <f t="shared" si="68"/>
        <v/>
      </c>
      <c r="AC496" s="38" t="str">
        <f>IF(OR(B496="",COUNTIF($B$4:B496,B496)&gt;1),"",MAX($AC$3:AC495)+1)</f>
        <v/>
      </c>
      <c r="AD496" s="38" t="str">
        <f t="shared" si="69"/>
        <v/>
      </c>
      <c r="AE496" s="38" t="str">
        <f t="shared" si="70"/>
        <v/>
      </c>
      <c r="AF496" s="38" t="str">
        <f t="shared" si="71"/>
        <v/>
      </c>
    </row>
    <row r="497" spans="1:32" x14ac:dyDescent="0.3">
      <c r="A497" s="74"/>
      <c r="B497" s="74"/>
      <c r="C497" s="74"/>
      <c r="D497" s="74"/>
      <c r="E497" s="74"/>
      <c r="F497" s="74"/>
      <c r="G497" s="74"/>
      <c r="H497" s="74"/>
      <c r="I497" s="74"/>
      <c r="J497" s="74"/>
      <c r="K497" s="74"/>
      <c r="L497" s="74"/>
      <c r="M497" s="74"/>
      <c r="N497" s="38" t="str">
        <f>IF(OR(A497="Автомат",A497="Дифавтомат"),IF(W497="","",COUNTIFS(Однолинейка!$H$3:$H$3000,U497,Однолинейка!$A$3:$A$3000,Щит_спец)),IF(A497="Аппарат",IF(C497="","",COUNTIFS(Однолинейка!$I$3:$I$3000,C497,Однолинейка!$A$3:$A$3000,Щит_спец)+COUNTIFS(Однолинейка!$J$3:$J$3000,C497,Однолинейка!$A$3:$A$3000,Щит_спец)+COUNTIFS(Однолинейка!$K$3:$K$3000,C497,Однолинейка!$A$3:$A$3000,Щит_спец)),IF(A497="Модуль",IF(C497="","",COUNTIFS(Однолинейка!$AW$3:$AW$3000,"?*",Однолинейка!$AI$3:$AI$3000,C497,Однолинейка!$A$3:$A$3000,Щит_спец)),IF(A497="Клемма",IF(C497="","",IF(C497=$S$7,SUMIFS(Однолинейка!$BW$3:$BW$3000,Однолинейка!$A$3:$A$3000,Щит_спец),IF(C497=$S$8,SUMIFS(Однолинейка!$BX$3:$BX$3000,Однолинейка!$A$3:$A$3000,Щит_спец),""))),""))))</f>
        <v/>
      </c>
      <c r="O497" s="74"/>
      <c r="P497" s="38" t="str">
        <f t="shared" si="63"/>
        <v/>
      </c>
      <c r="U497" s="38" t="str">
        <f t="shared" si="64"/>
        <v/>
      </c>
      <c r="V497" s="38" t="str">
        <f t="shared" si="65"/>
        <v/>
      </c>
      <c r="W497" s="38" t="str">
        <f>IF(AND(U497&lt;&gt;"",OR($S$4="(все)",B497=$S$4),IF($S$4="(все)",COUNTIF($U$4:U497,U497),COUNTIFS($U$4:U497,U497,$B$4:B497,B497))=1),MAX($W$3:W496)+1,"")</f>
        <v/>
      </c>
      <c r="X497" s="38" t="str">
        <f t="shared" si="66"/>
        <v/>
      </c>
      <c r="Y497" s="38" t="str">
        <f>IF(AND(A497="Аппарат",C497&lt;&gt;"",OR($S$5="(все)",B497=$S$5)),MAX($Y$3:Y496)+1,"")</f>
        <v/>
      </c>
      <c r="Z497" s="38" t="str">
        <f t="shared" si="67"/>
        <v/>
      </c>
      <c r="AA497" s="38" t="str">
        <f>IF(AND(A497="Модуль",C497&lt;&gt;"",OR($S$6="(все)",B497=$S$6)),MAX($AA$3:AA496)+1,"")</f>
        <v/>
      </c>
      <c r="AB497" s="38" t="str">
        <f t="shared" si="68"/>
        <v/>
      </c>
      <c r="AC497" s="38" t="str">
        <f>IF(OR(B497="",COUNTIF($B$4:B497,B497)&gt;1),"",MAX($AC$3:AC496)+1)</f>
        <v/>
      </c>
      <c r="AD497" s="38" t="str">
        <f t="shared" si="69"/>
        <v/>
      </c>
      <c r="AE497" s="38" t="str">
        <f t="shared" si="70"/>
        <v/>
      </c>
      <c r="AF497" s="38" t="str">
        <f t="shared" si="71"/>
        <v/>
      </c>
    </row>
    <row r="498" spans="1:32" x14ac:dyDescent="0.3">
      <c r="A498" s="74"/>
      <c r="B498" s="74"/>
      <c r="C498" s="74"/>
      <c r="D498" s="74"/>
      <c r="E498" s="74"/>
      <c r="F498" s="74"/>
      <c r="G498" s="74"/>
      <c r="H498" s="74"/>
      <c r="I498" s="74"/>
      <c r="J498" s="74"/>
      <c r="K498" s="74"/>
      <c r="L498" s="74"/>
      <c r="M498" s="74"/>
      <c r="N498" s="38" t="str">
        <f>IF(OR(A498="Автомат",A498="Дифавтомат"),IF(W498="","",COUNTIFS(Однолинейка!$H$3:$H$3000,U498,Однолинейка!$A$3:$A$3000,Щит_спец)),IF(A498="Аппарат",IF(C498="","",COUNTIFS(Однолинейка!$I$3:$I$3000,C498,Однолинейка!$A$3:$A$3000,Щит_спец)+COUNTIFS(Однолинейка!$J$3:$J$3000,C498,Однолинейка!$A$3:$A$3000,Щит_спец)+COUNTIFS(Однолинейка!$K$3:$K$3000,C498,Однолинейка!$A$3:$A$3000,Щит_спец)),IF(A498="Модуль",IF(C498="","",COUNTIFS(Однолинейка!$AW$3:$AW$3000,"?*",Однолинейка!$AI$3:$AI$3000,C498,Однолинейка!$A$3:$A$3000,Щит_спец)),IF(A498="Клемма",IF(C498="","",IF(C498=$S$7,SUMIFS(Однолинейка!$BW$3:$BW$3000,Однолинейка!$A$3:$A$3000,Щит_спец),IF(C498=$S$8,SUMIFS(Однолинейка!$BX$3:$BX$3000,Однолинейка!$A$3:$A$3000,Щит_спец),""))),""))))</f>
        <v/>
      </c>
      <c r="O498" s="74"/>
      <c r="P498" s="38" t="str">
        <f t="shared" si="63"/>
        <v/>
      </c>
      <c r="U498" s="38" t="str">
        <f t="shared" si="64"/>
        <v/>
      </c>
      <c r="V498" s="38" t="str">
        <f t="shared" si="65"/>
        <v/>
      </c>
      <c r="W498" s="38" t="str">
        <f>IF(AND(U498&lt;&gt;"",OR($S$4="(все)",B498=$S$4),IF($S$4="(все)",COUNTIF($U$4:U498,U498),COUNTIFS($U$4:U498,U498,$B$4:B498,B498))=1),MAX($W$3:W497)+1,"")</f>
        <v/>
      </c>
      <c r="X498" s="38" t="str">
        <f t="shared" si="66"/>
        <v/>
      </c>
      <c r="Y498" s="38" t="str">
        <f>IF(AND(A498="Аппарат",C498&lt;&gt;"",OR($S$5="(все)",B498=$S$5)),MAX($Y$3:Y497)+1,"")</f>
        <v/>
      </c>
      <c r="Z498" s="38" t="str">
        <f t="shared" si="67"/>
        <v/>
      </c>
      <c r="AA498" s="38" t="str">
        <f>IF(AND(A498="Модуль",C498&lt;&gt;"",OR($S$6="(все)",B498=$S$6)),MAX($AA$3:AA497)+1,"")</f>
        <v/>
      </c>
      <c r="AB498" s="38" t="str">
        <f t="shared" si="68"/>
        <v/>
      </c>
      <c r="AC498" s="38" t="str">
        <f>IF(OR(B498="",COUNTIF($B$4:B498,B498)&gt;1),"",MAX($AC$3:AC497)+1)</f>
        <v/>
      </c>
      <c r="AD498" s="38" t="str">
        <f t="shared" si="69"/>
        <v/>
      </c>
      <c r="AE498" s="38" t="str">
        <f t="shared" si="70"/>
        <v/>
      </c>
      <c r="AF498" s="38" t="str">
        <f t="shared" si="71"/>
        <v/>
      </c>
    </row>
    <row r="499" spans="1:32" x14ac:dyDescent="0.3">
      <c r="A499" s="74"/>
      <c r="B499" s="74"/>
      <c r="C499" s="74"/>
      <c r="D499" s="74"/>
      <c r="E499" s="74"/>
      <c r="F499" s="74"/>
      <c r="G499" s="74"/>
      <c r="H499" s="74"/>
      <c r="I499" s="74"/>
      <c r="J499" s="74"/>
      <c r="K499" s="74"/>
      <c r="L499" s="74"/>
      <c r="M499" s="74"/>
      <c r="N499" s="38" t="str">
        <f>IF(OR(A499="Автомат",A499="Дифавтомат"),IF(W499="","",COUNTIFS(Однолинейка!$H$3:$H$3000,U499,Однолинейка!$A$3:$A$3000,Щит_спец)),IF(A499="Аппарат",IF(C499="","",COUNTIFS(Однолинейка!$I$3:$I$3000,C499,Однолинейка!$A$3:$A$3000,Щит_спец)+COUNTIFS(Однолинейка!$J$3:$J$3000,C499,Однолинейка!$A$3:$A$3000,Щит_спец)+COUNTIFS(Однолинейка!$K$3:$K$3000,C499,Однолинейка!$A$3:$A$3000,Щит_спец)),IF(A499="Модуль",IF(C499="","",COUNTIFS(Однолинейка!$AW$3:$AW$3000,"?*",Однолинейка!$AI$3:$AI$3000,C499,Однолинейка!$A$3:$A$3000,Щит_спец)),IF(A499="Клемма",IF(C499="","",IF(C499=$S$7,SUMIFS(Однолинейка!$BW$3:$BW$3000,Однолинейка!$A$3:$A$3000,Щит_спец),IF(C499=$S$8,SUMIFS(Однолинейка!$BX$3:$BX$3000,Однолинейка!$A$3:$A$3000,Щит_спец),""))),""))))</f>
        <v/>
      </c>
      <c r="O499" s="74"/>
      <c r="P499" s="38" t="str">
        <f t="shared" si="63"/>
        <v/>
      </c>
      <c r="U499" s="38" t="str">
        <f t="shared" si="64"/>
        <v/>
      </c>
      <c r="V499" s="38" t="str">
        <f t="shared" si="65"/>
        <v/>
      </c>
      <c r="W499" s="38" t="str">
        <f>IF(AND(U499&lt;&gt;"",OR($S$4="(все)",B499=$S$4),IF($S$4="(все)",COUNTIF($U$4:U499,U499),COUNTIFS($U$4:U499,U499,$B$4:B499,B499))=1),MAX($W$3:W498)+1,"")</f>
        <v/>
      </c>
      <c r="X499" s="38" t="str">
        <f t="shared" si="66"/>
        <v/>
      </c>
      <c r="Y499" s="38" t="str">
        <f>IF(AND(A499="Аппарат",C499&lt;&gt;"",OR($S$5="(все)",B499=$S$5)),MAX($Y$3:Y498)+1,"")</f>
        <v/>
      </c>
      <c r="Z499" s="38" t="str">
        <f t="shared" si="67"/>
        <v/>
      </c>
      <c r="AA499" s="38" t="str">
        <f>IF(AND(A499="Модуль",C499&lt;&gt;"",OR($S$6="(все)",B499=$S$6)),MAX($AA$3:AA498)+1,"")</f>
        <v/>
      </c>
      <c r="AB499" s="38" t="str">
        <f t="shared" si="68"/>
        <v/>
      </c>
      <c r="AC499" s="38" t="str">
        <f>IF(OR(B499="",COUNTIF($B$4:B499,B499)&gt;1),"",MAX($AC$3:AC498)+1)</f>
        <v/>
      </c>
      <c r="AD499" s="38" t="str">
        <f t="shared" si="69"/>
        <v/>
      </c>
      <c r="AE499" s="38" t="str">
        <f t="shared" si="70"/>
        <v/>
      </c>
      <c r="AF499" s="38" t="str">
        <f t="shared" si="71"/>
        <v/>
      </c>
    </row>
    <row r="500" spans="1:32" x14ac:dyDescent="0.3">
      <c r="A500" s="74"/>
      <c r="B500" s="74"/>
      <c r="C500" s="74"/>
      <c r="D500" s="74"/>
      <c r="E500" s="74"/>
      <c r="F500" s="74"/>
      <c r="G500" s="74"/>
      <c r="H500" s="74"/>
      <c r="I500" s="74"/>
      <c r="J500" s="74"/>
      <c r="K500" s="74"/>
      <c r="L500" s="74"/>
      <c r="M500" s="74"/>
      <c r="N500" s="38" t="str">
        <f>IF(OR(A500="Автомат",A500="Дифавтомат"),IF(W500="","",COUNTIFS(Однолинейка!$H$3:$H$3000,U500,Однолинейка!$A$3:$A$3000,Щит_спец)),IF(A500="Аппарат",IF(C500="","",COUNTIFS(Однолинейка!$I$3:$I$3000,C500,Однолинейка!$A$3:$A$3000,Щит_спец)+COUNTIFS(Однолинейка!$J$3:$J$3000,C500,Однолинейка!$A$3:$A$3000,Щит_спец)+COUNTIFS(Однолинейка!$K$3:$K$3000,C500,Однолинейка!$A$3:$A$3000,Щит_спец)),IF(A500="Модуль",IF(C500="","",COUNTIFS(Однолинейка!$AW$3:$AW$3000,"?*",Однолинейка!$AI$3:$AI$3000,C500,Однолинейка!$A$3:$A$3000,Щит_спец)),IF(A500="Клемма",IF(C500="","",IF(C500=$S$7,SUMIFS(Однолинейка!$BW$3:$BW$3000,Однолинейка!$A$3:$A$3000,Щит_спец),IF(C500=$S$8,SUMIFS(Однолинейка!$BX$3:$BX$3000,Однолинейка!$A$3:$A$3000,Щит_спец),""))),""))))</f>
        <v/>
      </c>
      <c r="O500" s="74"/>
      <c r="P500" s="38" t="str">
        <f t="shared" si="63"/>
        <v/>
      </c>
      <c r="U500" s="38" t="str">
        <f t="shared" si="64"/>
        <v/>
      </c>
      <c r="V500" s="38" t="str">
        <f t="shared" si="65"/>
        <v/>
      </c>
      <c r="W500" s="38" t="str">
        <f>IF(AND(U500&lt;&gt;"",OR($S$4="(все)",B500=$S$4),IF($S$4="(все)",COUNTIF($U$4:U500,U500),COUNTIFS($U$4:U500,U500,$B$4:B500,B500))=1),MAX($W$3:W499)+1,"")</f>
        <v/>
      </c>
      <c r="X500" s="38" t="str">
        <f t="shared" si="66"/>
        <v/>
      </c>
      <c r="Y500" s="38" t="str">
        <f>IF(AND(A500="Аппарат",C500&lt;&gt;"",OR($S$5="(все)",B500=$S$5)),MAX($Y$3:Y499)+1,"")</f>
        <v/>
      </c>
      <c r="Z500" s="38" t="str">
        <f t="shared" si="67"/>
        <v/>
      </c>
      <c r="AA500" s="38" t="str">
        <f>IF(AND(A500="Модуль",C500&lt;&gt;"",OR($S$6="(все)",B500=$S$6)),MAX($AA$3:AA499)+1,"")</f>
        <v/>
      </c>
      <c r="AB500" s="38" t="str">
        <f t="shared" si="68"/>
        <v/>
      </c>
      <c r="AC500" s="38" t="str">
        <f>IF(OR(B500="",COUNTIF($B$4:B500,B500)&gt;1),"",MAX($AC$3:AC499)+1)</f>
        <v/>
      </c>
      <c r="AD500" s="38" t="str">
        <f t="shared" si="69"/>
        <v/>
      </c>
      <c r="AE500" s="38" t="str">
        <f t="shared" si="70"/>
        <v/>
      </c>
      <c r="AF500" s="38" t="str">
        <f t="shared" si="71"/>
        <v/>
      </c>
    </row>
  </sheetData>
  <autoFilter ref="A3:P500" xr:uid="{00000000-0009-0000-0000-000002000000}"/>
  <conditionalFormatting sqref="P4:P500">
    <cfRule type="expression" dxfId="14" priority="2">
      <formula>N($P4)&gt;0</formula>
    </cfRule>
  </conditionalFormatting>
  <conditionalFormatting sqref="R28:R37">
    <cfRule type="expression" dxfId="13" priority="1">
      <formula>$R28&lt;&gt;""</formula>
    </cfRule>
  </conditionalFormatting>
  <dataValidations count="4">
    <dataValidation type="list" allowBlank="1" sqref="A4:A500" xr:uid="{00000000-0002-0000-0200-000000000000}">
      <formula1>$R$12:$R$25</formula1>
    </dataValidation>
    <dataValidation type="list" allowBlank="1" sqref="K4:K500" xr:uid="{00000000-0002-0000-0200-000001000000}">
      <formula1>"да,нет"</formula1>
    </dataValidation>
    <dataValidation type="list" allowBlank="1" sqref="I4:I500" xr:uid="{00000000-0002-0000-0200-000002000000}">
      <formula1>"1P,2P,3P,4P"</formula1>
    </dataValidation>
    <dataValidation type="list" allowBlank="1" sqref="S4:S6" xr:uid="{00000000-0002-0000-0200-000003000000}">
      <formula1>Список_произв</formula1>
    </dataValidation>
  </dataValidations>
  <pageMargins left="0.4" right="0.4" top="0.5" bottom="0.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379A1-8F8A-41DA-8072-807221A99345}">
  <sheetPr codeName="Лист14">
    <tabColor rgb="FF00B050"/>
  </sheetPr>
  <dimension ref="B1:F378"/>
  <sheetViews>
    <sheetView showGridLines="0" workbookViewId="0"/>
  </sheetViews>
  <sheetFormatPr defaultRowHeight="13.2" x14ac:dyDescent="0.3"/>
  <cols>
    <col min="1" max="1" width="3.77734375" style="82" customWidth="1"/>
    <col min="2" max="2" width="30.77734375" style="82" customWidth="1"/>
    <col min="3" max="3" width="34.77734375" style="82" customWidth="1"/>
    <col min="4" max="4" width="22.77734375" style="82" customWidth="1"/>
    <col min="5" max="5" width="34.77734375" style="82" customWidth="1"/>
    <col min="6" max="6" width="22.77734375" style="82" customWidth="1"/>
    <col min="7" max="16384" width="8.88671875" style="82"/>
  </cols>
  <sheetData>
    <row r="1" spans="2:6" ht="13.5" customHeight="1" x14ac:dyDescent="0.3">
      <c r="B1" s="147" t="s">
        <v>2272</v>
      </c>
      <c r="C1" s="147"/>
      <c r="D1" s="147"/>
      <c r="E1" s="147"/>
      <c r="F1" s="147"/>
    </row>
    <row r="2" spans="2:6" ht="13.5" customHeight="1" x14ac:dyDescent="0.3">
      <c r="B2" s="93" t="s">
        <v>2273</v>
      </c>
      <c r="C2" s="93"/>
      <c r="D2" s="93"/>
      <c r="E2" s="93"/>
      <c r="F2" s="93"/>
    </row>
    <row r="3" spans="2:6" ht="13.5" customHeight="1" x14ac:dyDescent="0.3">
      <c r="B3" s="93" t="s">
        <v>2274</v>
      </c>
      <c r="C3" s="93"/>
      <c r="D3" s="93"/>
      <c r="E3" s="93"/>
      <c r="F3" s="93"/>
    </row>
    <row r="4" spans="2:6" ht="27" customHeight="1" x14ac:dyDescent="0.3">
      <c r="B4" s="93" t="s">
        <v>2275</v>
      </c>
      <c r="C4" s="93"/>
      <c r="D4" s="93"/>
      <c r="E4" s="93"/>
      <c r="F4" s="93"/>
    </row>
    <row r="5" spans="2:6" ht="13.5" customHeight="1" x14ac:dyDescent="0.3">
      <c r="B5" s="93" t="s">
        <v>2276</v>
      </c>
      <c r="C5" s="93"/>
      <c r="D5" s="93"/>
      <c r="E5" s="93"/>
      <c r="F5" s="93"/>
    </row>
    <row r="6" spans="2:6" ht="13.5" customHeight="1" x14ac:dyDescent="0.3">
      <c r="B6" s="93" t="s">
        <v>2277</v>
      </c>
      <c r="C6" s="93"/>
      <c r="D6" s="93"/>
      <c r="E6" s="93"/>
      <c r="F6" s="93"/>
    </row>
    <row r="7" spans="2:6" ht="40.5" customHeight="1" x14ac:dyDescent="0.3">
      <c r="B7" s="93" t="s">
        <v>2278</v>
      </c>
      <c r="C7" s="93"/>
      <c r="D7" s="93"/>
      <c r="E7" s="93"/>
      <c r="F7" s="93"/>
    </row>
    <row r="8" spans="2:6" ht="13.5" customHeight="1" x14ac:dyDescent="0.3">
      <c r="B8" s="93" t="s">
        <v>2279</v>
      </c>
      <c r="C8" s="93"/>
      <c r="D8" s="93"/>
      <c r="E8" s="93"/>
      <c r="F8" s="93"/>
    </row>
    <row r="9" spans="2:6" ht="13.5" customHeight="1" x14ac:dyDescent="0.3">
      <c r="B9" s="93" t="s">
        <v>2280</v>
      </c>
      <c r="C9" s="93"/>
      <c r="D9" s="93"/>
      <c r="E9" s="93"/>
      <c r="F9" s="93"/>
    </row>
    <row r="10" spans="2:6" x14ac:dyDescent="0.3">
      <c r="B10" s="87" t="s">
        <v>2281</v>
      </c>
      <c r="C10" s="87" t="s">
        <v>2282</v>
      </c>
      <c r="D10" s="87" t="s">
        <v>2283</v>
      </c>
    </row>
    <row r="11" spans="2:6" ht="39.6" x14ac:dyDescent="0.3">
      <c r="B11" s="89" t="s">
        <v>2284</v>
      </c>
      <c r="C11" s="89" t="s">
        <v>2285</v>
      </c>
      <c r="D11" s="89" t="s">
        <v>2286</v>
      </c>
    </row>
    <row r="12" spans="2:6" ht="39.6" x14ac:dyDescent="0.3">
      <c r="B12" s="89" t="s">
        <v>2287</v>
      </c>
      <c r="C12" s="89" t="s">
        <v>2288</v>
      </c>
      <c r="D12" s="89" t="s">
        <v>2289</v>
      </c>
    </row>
    <row r="13" spans="2:6" ht="39.6" x14ac:dyDescent="0.3">
      <c r="B13" s="89" t="s">
        <v>2290</v>
      </c>
      <c r="C13" s="89" t="s">
        <v>720</v>
      </c>
      <c r="D13" s="89" t="s">
        <v>2291</v>
      </c>
    </row>
    <row r="14" spans="2:6" ht="52.8" x14ac:dyDescent="0.3">
      <c r="B14" s="89" t="s">
        <v>2292</v>
      </c>
      <c r="C14" s="89" t="s">
        <v>720</v>
      </c>
      <c r="D14" s="89" t="s">
        <v>2293</v>
      </c>
    </row>
    <row r="15" spans="2:6" ht="52.8" x14ac:dyDescent="0.3">
      <c r="B15" s="89" t="s">
        <v>2294</v>
      </c>
      <c r="C15" s="89" t="s">
        <v>720</v>
      </c>
      <c r="D15" s="89" t="s">
        <v>2295</v>
      </c>
    </row>
    <row r="16" spans="2:6" ht="26.4" x14ac:dyDescent="0.3">
      <c r="B16" s="89" t="s">
        <v>2296</v>
      </c>
      <c r="C16" s="89" t="s">
        <v>720</v>
      </c>
      <c r="D16" s="89" t="s">
        <v>2297</v>
      </c>
    </row>
    <row r="17" spans="2:6" ht="26.4" x14ac:dyDescent="0.3">
      <c r="B17" s="89" t="s">
        <v>2298</v>
      </c>
      <c r="C17" s="89" t="s">
        <v>720</v>
      </c>
      <c r="D17" s="89" t="s">
        <v>2299</v>
      </c>
    </row>
    <row r="18" spans="2:6" ht="52.8" x14ac:dyDescent="0.3">
      <c r="B18" s="89" t="s">
        <v>2300</v>
      </c>
      <c r="C18" s="89" t="s">
        <v>720</v>
      </c>
      <c r="D18" s="89" t="s">
        <v>2301</v>
      </c>
    </row>
    <row r="20" spans="2:6" ht="27" customHeight="1" x14ac:dyDescent="0.3">
      <c r="B20" s="95" t="s">
        <v>2302</v>
      </c>
      <c r="C20" s="95"/>
      <c r="D20" s="95"/>
      <c r="E20" s="95"/>
      <c r="F20" s="95"/>
    </row>
    <row r="21" spans="2:6" ht="13.5" customHeight="1" x14ac:dyDescent="0.3">
      <c r="B21" s="93" t="s">
        <v>2303</v>
      </c>
      <c r="C21" s="93"/>
      <c r="D21" s="93"/>
      <c r="E21" s="93"/>
      <c r="F21" s="93"/>
    </row>
    <row r="22" spans="2:6" x14ac:dyDescent="0.3">
      <c r="B22" s="84"/>
      <c r="C22" s="84"/>
      <c r="D22" s="84"/>
      <c r="E22" s="84"/>
      <c r="F22" s="84"/>
    </row>
    <row r="23" spans="2:6" ht="13.5" customHeight="1" x14ac:dyDescent="0.3">
      <c r="B23" s="148" t="s">
        <v>2304</v>
      </c>
      <c r="C23" s="148"/>
      <c r="D23" s="148"/>
      <c r="E23" s="148"/>
      <c r="F23" s="148"/>
    </row>
    <row r="24" spans="2:6" x14ac:dyDescent="0.3">
      <c r="B24" s="87" t="s">
        <v>664</v>
      </c>
      <c r="C24" s="87" t="s">
        <v>2305</v>
      </c>
      <c r="D24" s="87" t="s">
        <v>2306</v>
      </c>
      <c r="E24" s="87" t="s">
        <v>2307</v>
      </c>
      <c r="F24" s="87" t="s">
        <v>2308</v>
      </c>
    </row>
    <row r="25" spans="2:6" x14ac:dyDescent="0.3">
      <c r="B25" s="89">
        <v>1</v>
      </c>
      <c r="C25" s="89" t="s">
        <v>2309</v>
      </c>
      <c r="D25" s="89" t="s">
        <v>2310</v>
      </c>
      <c r="E25" s="89" t="s">
        <v>2311</v>
      </c>
      <c r="F25" s="89" t="s">
        <v>2312</v>
      </c>
    </row>
    <row r="26" spans="2:6" ht="52.8" x14ac:dyDescent="0.3">
      <c r="B26" s="89">
        <v>2</v>
      </c>
      <c r="C26" s="89" t="s">
        <v>2313</v>
      </c>
      <c r="D26" s="89" t="s">
        <v>2314</v>
      </c>
      <c r="E26" s="89" t="s">
        <v>2315</v>
      </c>
      <c r="F26" s="89" t="s">
        <v>2316</v>
      </c>
    </row>
    <row r="27" spans="2:6" ht="26.4" x14ac:dyDescent="0.3">
      <c r="B27" s="89">
        <v>3</v>
      </c>
      <c r="C27" s="89" t="s">
        <v>2317</v>
      </c>
      <c r="D27" s="89" t="s">
        <v>2310</v>
      </c>
      <c r="E27" s="89" t="s">
        <v>2318</v>
      </c>
      <c r="F27" s="89" t="s">
        <v>2319</v>
      </c>
    </row>
    <row r="28" spans="2:6" ht="66" x14ac:dyDescent="0.3">
      <c r="B28" s="89">
        <v>4</v>
      </c>
      <c r="C28" s="89" t="s">
        <v>2320</v>
      </c>
      <c r="D28" s="89" t="s">
        <v>2314</v>
      </c>
      <c r="E28" s="89" t="s">
        <v>2321</v>
      </c>
      <c r="F28" s="89" t="s">
        <v>2322</v>
      </c>
    </row>
    <row r="29" spans="2:6" ht="26.4" x14ac:dyDescent="0.3">
      <c r="B29" s="89">
        <v>5</v>
      </c>
      <c r="C29" s="89" t="s">
        <v>2323</v>
      </c>
      <c r="D29" s="89" t="s">
        <v>2310</v>
      </c>
      <c r="E29" s="89" t="s">
        <v>2324</v>
      </c>
      <c r="F29" s="89" t="s">
        <v>2312</v>
      </c>
    </row>
    <row r="30" spans="2:6" x14ac:dyDescent="0.3">
      <c r="B30" s="89">
        <v>6</v>
      </c>
      <c r="C30" s="89" t="s">
        <v>2325</v>
      </c>
      <c r="D30" s="89" t="s">
        <v>2326</v>
      </c>
      <c r="E30" s="89" t="s">
        <v>2327</v>
      </c>
      <c r="F30" s="89" t="s">
        <v>2312</v>
      </c>
    </row>
    <row r="31" spans="2:6" ht="39.6" x14ac:dyDescent="0.3">
      <c r="B31" s="89">
        <v>7</v>
      </c>
      <c r="C31" s="89" t="s">
        <v>2328</v>
      </c>
      <c r="D31" s="89" t="s">
        <v>2310</v>
      </c>
      <c r="E31" s="89" t="s">
        <v>2329</v>
      </c>
      <c r="F31" s="89" t="s">
        <v>2330</v>
      </c>
    </row>
    <row r="32" spans="2:6" ht="26.4" x14ac:dyDescent="0.3">
      <c r="B32" s="89">
        <v>8</v>
      </c>
      <c r="C32" s="89" t="s">
        <v>2331</v>
      </c>
      <c r="D32" s="89" t="s">
        <v>2314</v>
      </c>
      <c r="E32" s="89" t="s">
        <v>2332</v>
      </c>
      <c r="F32" s="89" t="s">
        <v>2333</v>
      </c>
    </row>
    <row r="33" spans="2:6" ht="26.4" x14ac:dyDescent="0.3">
      <c r="B33" s="89">
        <v>9</v>
      </c>
      <c r="C33" s="89" t="s">
        <v>2334</v>
      </c>
      <c r="D33" s="89" t="s">
        <v>2335</v>
      </c>
      <c r="E33" s="89" t="s">
        <v>2336</v>
      </c>
      <c r="F33" s="89" t="s">
        <v>2337</v>
      </c>
    </row>
    <row r="34" spans="2:6" ht="39.6" x14ac:dyDescent="0.3">
      <c r="B34" s="89">
        <v>10</v>
      </c>
      <c r="C34" s="89" t="s">
        <v>2338</v>
      </c>
      <c r="D34" s="89" t="s">
        <v>2339</v>
      </c>
      <c r="E34" s="89" t="s">
        <v>2340</v>
      </c>
      <c r="F34" s="89" t="s">
        <v>2341</v>
      </c>
    </row>
    <row r="35" spans="2:6" ht="39.6" x14ac:dyDescent="0.3">
      <c r="B35" s="89">
        <v>11</v>
      </c>
      <c r="C35" s="89" t="s">
        <v>2342</v>
      </c>
      <c r="D35" s="89" t="s">
        <v>2314</v>
      </c>
      <c r="E35" s="89" t="s">
        <v>2343</v>
      </c>
      <c r="F35" s="89" t="s">
        <v>2344</v>
      </c>
    </row>
    <row r="36" spans="2:6" ht="52.8" x14ac:dyDescent="0.3">
      <c r="B36" s="89">
        <v>12</v>
      </c>
      <c r="C36" s="89" t="s">
        <v>2345</v>
      </c>
      <c r="D36" s="89" t="s">
        <v>2314</v>
      </c>
      <c r="E36" s="89" t="s">
        <v>2346</v>
      </c>
      <c r="F36" s="89" t="s">
        <v>2347</v>
      </c>
    </row>
    <row r="37" spans="2:6" ht="39.6" x14ac:dyDescent="0.3">
      <c r="B37" s="89">
        <v>13</v>
      </c>
      <c r="C37" s="89" t="s">
        <v>2348</v>
      </c>
      <c r="D37" s="89" t="s">
        <v>2314</v>
      </c>
      <c r="E37" s="89" t="s">
        <v>2349</v>
      </c>
      <c r="F37" s="89" t="s">
        <v>2350</v>
      </c>
    </row>
    <row r="38" spans="2:6" ht="26.4" x14ac:dyDescent="0.3">
      <c r="B38" s="89">
        <v>14</v>
      </c>
      <c r="C38" s="89" t="s">
        <v>2351</v>
      </c>
      <c r="D38" s="89" t="s">
        <v>2310</v>
      </c>
      <c r="E38" s="89" t="s">
        <v>2352</v>
      </c>
      <c r="F38" s="89" t="s">
        <v>2353</v>
      </c>
    </row>
    <row r="39" spans="2:6" ht="26.4" x14ac:dyDescent="0.3">
      <c r="B39" s="89">
        <v>15</v>
      </c>
      <c r="C39" s="89" t="s">
        <v>2354</v>
      </c>
      <c r="D39" s="89" t="s">
        <v>2314</v>
      </c>
      <c r="E39" s="89" t="s">
        <v>2355</v>
      </c>
      <c r="F39" s="89" t="s">
        <v>2356</v>
      </c>
    </row>
    <row r="40" spans="2:6" ht="26.4" x14ac:dyDescent="0.3">
      <c r="B40" s="89">
        <v>16</v>
      </c>
      <c r="C40" s="89" t="s">
        <v>166</v>
      </c>
      <c r="D40" s="89" t="s">
        <v>2310</v>
      </c>
      <c r="E40" s="89" t="s">
        <v>2357</v>
      </c>
      <c r="F40" s="89" t="s">
        <v>2312</v>
      </c>
    </row>
    <row r="41" spans="2:6" ht="26.4" x14ac:dyDescent="0.3">
      <c r="B41" s="89">
        <v>17</v>
      </c>
      <c r="C41" s="89" t="s">
        <v>2358</v>
      </c>
      <c r="D41" s="89" t="s">
        <v>2310</v>
      </c>
      <c r="E41" s="89" t="s">
        <v>2359</v>
      </c>
      <c r="F41" s="89" t="s">
        <v>2312</v>
      </c>
    </row>
    <row r="42" spans="2:6" ht="26.4" x14ac:dyDescent="0.3">
      <c r="B42" s="89">
        <v>18</v>
      </c>
      <c r="C42" s="89" t="s">
        <v>2360</v>
      </c>
      <c r="D42" s="89" t="s">
        <v>2314</v>
      </c>
      <c r="E42" s="89" t="s">
        <v>2361</v>
      </c>
      <c r="F42" s="89" t="s">
        <v>2362</v>
      </c>
    </row>
    <row r="43" spans="2:6" ht="39.6" x14ac:dyDescent="0.3">
      <c r="B43" s="89">
        <v>19</v>
      </c>
      <c r="C43" s="89" t="s">
        <v>2363</v>
      </c>
      <c r="D43" s="89" t="s">
        <v>2335</v>
      </c>
      <c r="E43" s="89" t="s">
        <v>2364</v>
      </c>
      <c r="F43" s="89" t="s">
        <v>2365</v>
      </c>
    </row>
    <row r="44" spans="2:6" x14ac:dyDescent="0.3">
      <c r="B44" s="89">
        <v>20</v>
      </c>
      <c r="C44" s="89" t="s">
        <v>2366</v>
      </c>
      <c r="D44" s="89" t="s">
        <v>2314</v>
      </c>
      <c r="E44" s="89" t="s">
        <v>2367</v>
      </c>
      <c r="F44" s="89" t="s">
        <v>2368</v>
      </c>
    </row>
    <row r="46" spans="2:6" ht="13.5" customHeight="1" x14ac:dyDescent="0.3">
      <c r="B46" s="93" t="s">
        <v>2303</v>
      </c>
      <c r="C46" s="93"/>
      <c r="D46" s="93"/>
      <c r="E46" s="93"/>
      <c r="F46" s="93"/>
    </row>
    <row r="47" spans="2:6" x14ac:dyDescent="0.3">
      <c r="B47" s="84"/>
      <c r="C47" s="84"/>
      <c r="D47" s="84"/>
      <c r="E47" s="84"/>
      <c r="F47" s="84"/>
    </row>
    <row r="48" spans="2:6" ht="13.5" customHeight="1" x14ac:dyDescent="0.3">
      <c r="B48" s="148" t="s">
        <v>2369</v>
      </c>
      <c r="C48" s="148"/>
      <c r="D48" s="148"/>
      <c r="E48" s="148"/>
      <c r="F48" s="148"/>
    </row>
    <row r="49" spans="2:6" ht="13.5" customHeight="1" x14ac:dyDescent="0.3">
      <c r="B49" s="93" t="s">
        <v>2370</v>
      </c>
      <c r="C49" s="93"/>
      <c r="D49" s="93"/>
      <c r="E49" s="93"/>
      <c r="F49" s="93"/>
    </row>
    <row r="50" spans="2:6" ht="13.5" customHeight="1" x14ac:dyDescent="0.3">
      <c r="B50" s="93" t="s">
        <v>2371</v>
      </c>
      <c r="C50" s="93"/>
      <c r="D50" s="93"/>
      <c r="E50" s="93"/>
      <c r="F50" s="93"/>
    </row>
    <row r="51" spans="2:6" x14ac:dyDescent="0.3">
      <c r="B51" s="87" t="s">
        <v>1868</v>
      </c>
      <c r="C51" s="87" t="s">
        <v>2372</v>
      </c>
      <c r="D51" s="87" t="s">
        <v>2373</v>
      </c>
    </row>
    <row r="52" spans="2:6" x14ac:dyDescent="0.3">
      <c r="B52" s="89" t="s">
        <v>6</v>
      </c>
      <c r="C52" s="89" t="s">
        <v>2374</v>
      </c>
      <c r="D52" s="89" t="s">
        <v>2375</v>
      </c>
    </row>
    <row r="53" spans="2:6" x14ac:dyDescent="0.3">
      <c r="B53" s="89" t="s">
        <v>907</v>
      </c>
      <c r="C53" s="89" t="s">
        <v>27</v>
      </c>
      <c r="D53" s="89" t="s">
        <v>2376</v>
      </c>
    </row>
    <row r="54" spans="2:6" ht="26.4" x14ac:dyDescent="0.3">
      <c r="B54" s="89" t="s">
        <v>2377</v>
      </c>
      <c r="C54" s="89" t="s">
        <v>2378</v>
      </c>
      <c r="D54" s="89" t="s">
        <v>2379</v>
      </c>
    </row>
    <row r="55" spans="2:6" ht="26.4" x14ac:dyDescent="0.3">
      <c r="B55" s="89" t="s">
        <v>2380</v>
      </c>
      <c r="C55" s="89" t="s">
        <v>2381</v>
      </c>
      <c r="D55" s="89" t="s">
        <v>2382</v>
      </c>
    </row>
    <row r="56" spans="2:6" ht="26.4" x14ac:dyDescent="0.3">
      <c r="B56" s="89" t="s">
        <v>2383</v>
      </c>
      <c r="C56" s="89" t="s">
        <v>2384</v>
      </c>
      <c r="D56" s="89" t="s">
        <v>2385</v>
      </c>
    </row>
    <row r="57" spans="2:6" ht="26.4" x14ac:dyDescent="0.3">
      <c r="B57" s="89" t="s">
        <v>2386</v>
      </c>
      <c r="C57" s="89" t="s">
        <v>497</v>
      </c>
      <c r="D57" s="89" t="s">
        <v>2387</v>
      </c>
    </row>
    <row r="58" spans="2:6" x14ac:dyDescent="0.3">
      <c r="B58" s="89" t="s">
        <v>535</v>
      </c>
      <c r="C58" s="89" t="s">
        <v>2388</v>
      </c>
      <c r="D58" s="89" t="s">
        <v>2389</v>
      </c>
    </row>
    <row r="59" spans="2:6" x14ac:dyDescent="0.3">
      <c r="B59" s="89" t="s">
        <v>839</v>
      </c>
      <c r="C59" s="89" t="s">
        <v>2390</v>
      </c>
      <c r="D59" s="89" t="s">
        <v>2391</v>
      </c>
    </row>
    <row r="60" spans="2:6" ht="26.4" x14ac:dyDescent="0.3">
      <c r="B60" s="89" t="s">
        <v>2392</v>
      </c>
      <c r="C60" s="89" t="s">
        <v>2393</v>
      </c>
      <c r="D60" s="89" t="s">
        <v>2394</v>
      </c>
    </row>
    <row r="62" spans="2:6" ht="13.5" customHeight="1" x14ac:dyDescent="0.3">
      <c r="B62" s="93" t="s">
        <v>2395</v>
      </c>
      <c r="C62" s="93"/>
      <c r="D62" s="93"/>
      <c r="E62" s="93"/>
      <c r="F62" s="93"/>
    </row>
    <row r="63" spans="2:6" ht="13.5" customHeight="1" x14ac:dyDescent="0.3">
      <c r="B63" s="93" t="s">
        <v>2303</v>
      </c>
      <c r="C63" s="93"/>
      <c r="D63" s="93"/>
      <c r="E63" s="93"/>
      <c r="F63" s="93"/>
    </row>
    <row r="64" spans="2:6" x14ac:dyDescent="0.3">
      <c r="B64" s="84"/>
      <c r="C64" s="84"/>
      <c r="D64" s="84"/>
      <c r="E64" s="84"/>
      <c r="F64" s="84"/>
    </row>
    <row r="65" spans="2:6" ht="13.5" customHeight="1" x14ac:dyDescent="0.3">
      <c r="B65" s="148" t="s">
        <v>2396</v>
      </c>
      <c r="C65" s="148"/>
      <c r="D65" s="148"/>
      <c r="E65" s="148"/>
      <c r="F65" s="148"/>
    </row>
    <row r="66" spans="2:6" ht="13.5" customHeight="1" x14ac:dyDescent="0.3">
      <c r="B66" s="93" t="s">
        <v>2397</v>
      </c>
      <c r="C66" s="93"/>
      <c r="D66" s="93"/>
      <c r="E66" s="93"/>
      <c r="F66" s="93"/>
    </row>
    <row r="67" spans="2:6" ht="13.5" customHeight="1" x14ac:dyDescent="0.3">
      <c r="B67" s="93" t="s">
        <v>2398</v>
      </c>
      <c r="C67" s="93"/>
      <c r="D67" s="93"/>
      <c r="E67" s="93"/>
      <c r="F67" s="93"/>
    </row>
    <row r="68" spans="2:6" ht="13.5" customHeight="1" x14ac:dyDescent="0.3">
      <c r="B68" s="93" t="s">
        <v>2399</v>
      </c>
      <c r="C68" s="93"/>
      <c r="D68" s="93"/>
      <c r="E68" s="93"/>
      <c r="F68" s="93"/>
    </row>
    <row r="69" spans="2:6" ht="13.5" customHeight="1" x14ac:dyDescent="0.3">
      <c r="B69" s="93" t="s">
        <v>2400</v>
      </c>
      <c r="C69" s="93"/>
      <c r="D69" s="93"/>
      <c r="E69" s="93"/>
      <c r="F69" s="93"/>
    </row>
    <row r="70" spans="2:6" ht="13.5" customHeight="1" x14ac:dyDescent="0.3">
      <c r="B70" s="93" t="s">
        <v>2401</v>
      </c>
      <c r="C70" s="93"/>
      <c r="D70" s="93"/>
      <c r="E70" s="93"/>
      <c r="F70" s="93"/>
    </row>
    <row r="71" spans="2:6" ht="13.5" customHeight="1" x14ac:dyDescent="0.3">
      <c r="B71" s="93" t="s">
        <v>2402</v>
      </c>
      <c r="C71" s="93"/>
      <c r="D71" s="93"/>
      <c r="E71" s="93"/>
      <c r="F71" s="93"/>
    </row>
    <row r="72" spans="2:6" ht="13.5" customHeight="1" x14ac:dyDescent="0.3">
      <c r="B72" s="149" t="s">
        <v>2403</v>
      </c>
      <c r="C72" s="149"/>
      <c r="D72" s="149"/>
      <c r="E72" s="149"/>
      <c r="F72" s="149"/>
    </row>
    <row r="73" spans="2:6" ht="13.5" customHeight="1" x14ac:dyDescent="0.3">
      <c r="B73" s="93" t="s">
        <v>2404</v>
      </c>
      <c r="C73" s="93"/>
      <c r="D73" s="93"/>
      <c r="E73" s="93"/>
      <c r="F73" s="93"/>
    </row>
    <row r="74" spans="2:6" ht="13.5" customHeight="1" x14ac:dyDescent="0.3">
      <c r="B74" s="93" t="s">
        <v>2405</v>
      </c>
      <c r="C74" s="93"/>
      <c r="D74" s="93"/>
      <c r="E74" s="93"/>
      <c r="F74" s="93"/>
    </row>
    <row r="75" spans="2:6" ht="13.5" customHeight="1" x14ac:dyDescent="0.3">
      <c r="B75" s="93" t="s">
        <v>2406</v>
      </c>
      <c r="C75" s="93"/>
      <c r="D75" s="93"/>
      <c r="E75" s="93"/>
      <c r="F75" s="93"/>
    </row>
    <row r="76" spans="2:6" ht="27" customHeight="1" x14ac:dyDescent="0.3">
      <c r="B76" s="93" t="s">
        <v>2407</v>
      </c>
      <c r="C76" s="93"/>
      <c r="D76" s="93"/>
      <c r="E76" s="93"/>
      <c r="F76" s="93"/>
    </row>
    <row r="77" spans="2:6" ht="13.5" customHeight="1" x14ac:dyDescent="0.3">
      <c r="B77" s="93" t="s">
        <v>2408</v>
      </c>
      <c r="C77" s="93"/>
      <c r="D77" s="93"/>
      <c r="E77" s="93"/>
      <c r="F77" s="93"/>
    </row>
    <row r="78" spans="2:6" ht="13.5" customHeight="1" x14ac:dyDescent="0.3">
      <c r="B78" s="93" t="s">
        <v>2409</v>
      </c>
      <c r="C78" s="93"/>
      <c r="D78" s="93"/>
      <c r="E78" s="93"/>
      <c r="F78" s="93"/>
    </row>
    <row r="79" spans="2:6" ht="13.5" customHeight="1" x14ac:dyDescent="0.3">
      <c r="B79" s="93" t="s">
        <v>2303</v>
      </c>
      <c r="C79" s="93"/>
      <c r="D79" s="93"/>
      <c r="E79" s="93"/>
      <c r="F79" s="93"/>
    </row>
    <row r="80" spans="2:6" x14ac:dyDescent="0.3">
      <c r="B80" s="84"/>
      <c r="C80" s="84"/>
      <c r="D80" s="84"/>
      <c r="E80" s="84"/>
      <c r="F80" s="84"/>
    </row>
    <row r="81" spans="2:6" ht="13.5" customHeight="1" x14ac:dyDescent="0.3">
      <c r="B81" s="148" t="s">
        <v>2410</v>
      </c>
      <c r="C81" s="148"/>
      <c r="D81" s="148"/>
      <c r="E81" s="148"/>
      <c r="F81" s="148"/>
    </row>
    <row r="82" spans="2:6" ht="13.5" customHeight="1" x14ac:dyDescent="0.3">
      <c r="B82" s="149" t="s">
        <v>2411</v>
      </c>
      <c r="C82" s="149"/>
      <c r="D82" s="149"/>
      <c r="E82" s="149"/>
      <c r="F82" s="149"/>
    </row>
    <row r="83" spans="2:6" ht="13.5" customHeight="1" x14ac:dyDescent="0.3">
      <c r="B83" s="93" t="s">
        <v>2412</v>
      </c>
      <c r="C83" s="93"/>
      <c r="D83" s="93"/>
      <c r="E83" s="93"/>
      <c r="F83" s="93"/>
    </row>
    <row r="84" spans="2:6" ht="13.5" customHeight="1" x14ac:dyDescent="0.3">
      <c r="B84" s="93" t="s">
        <v>2413</v>
      </c>
      <c r="C84" s="93"/>
      <c r="D84" s="93"/>
      <c r="E84" s="93"/>
      <c r="F84" s="93"/>
    </row>
    <row r="85" spans="2:6" ht="13.5" customHeight="1" x14ac:dyDescent="0.3">
      <c r="B85" s="93" t="s">
        <v>2414</v>
      </c>
      <c r="C85" s="93"/>
      <c r="D85" s="93"/>
      <c r="E85" s="93"/>
      <c r="F85" s="93"/>
    </row>
    <row r="86" spans="2:6" ht="13.5" customHeight="1" x14ac:dyDescent="0.3">
      <c r="B86" s="93" t="s">
        <v>2415</v>
      </c>
      <c r="C86" s="93"/>
      <c r="D86" s="93"/>
      <c r="E86" s="93"/>
      <c r="F86" s="93"/>
    </row>
    <row r="87" spans="2:6" ht="13.5" customHeight="1" x14ac:dyDescent="0.3">
      <c r="B87" s="93" t="s">
        <v>2416</v>
      </c>
      <c r="C87" s="93"/>
      <c r="D87" s="93"/>
      <c r="E87" s="93"/>
      <c r="F87" s="93"/>
    </row>
    <row r="88" spans="2:6" ht="13.5" customHeight="1" x14ac:dyDescent="0.3">
      <c r="B88" s="149" t="s">
        <v>2417</v>
      </c>
      <c r="C88" s="149"/>
      <c r="D88" s="149"/>
      <c r="E88" s="149"/>
      <c r="F88" s="149"/>
    </row>
    <row r="89" spans="2:6" ht="13.5" customHeight="1" x14ac:dyDescent="0.3">
      <c r="B89" s="93" t="s">
        <v>2418</v>
      </c>
      <c r="C89" s="93"/>
      <c r="D89" s="93"/>
      <c r="E89" s="93"/>
      <c r="F89" s="93"/>
    </row>
    <row r="90" spans="2:6" ht="13.5" customHeight="1" x14ac:dyDescent="0.3">
      <c r="B90" s="93" t="s">
        <v>2419</v>
      </c>
      <c r="C90" s="93"/>
      <c r="D90" s="93"/>
      <c r="E90" s="93"/>
      <c r="F90" s="93"/>
    </row>
    <row r="91" spans="2:6" ht="13.5" customHeight="1" x14ac:dyDescent="0.3">
      <c r="B91" s="93" t="s">
        <v>2420</v>
      </c>
      <c r="C91" s="93"/>
      <c r="D91" s="93"/>
      <c r="E91" s="93"/>
      <c r="F91" s="93"/>
    </row>
    <row r="92" spans="2:6" ht="13.5" customHeight="1" x14ac:dyDescent="0.3">
      <c r="B92" s="93" t="s">
        <v>2421</v>
      </c>
      <c r="C92" s="93"/>
      <c r="D92" s="93"/>
      <c r="E92" s="93"/>
      <c r="F92" s="93"/>
    </row>
    <row r="93" spans="2:6" ht="13.5" customHeight="1" x14ac:dyDescent="0.3">
      <c r="B93" s="93" t="s">
        <v>2422</v>
      </c>
      <c r="C93" s="93"/>
      <c r="D93" s="93"/>
      <c r="E93" s="93"/>
      <c r="F93" s="93"/>
    </row>
    <row r="94" spans="2:6" ht="13.5" customHeight="1" x14ac:dyDescent="0.3">
      <c r="B94" s="93" t="s">
        <v>2423</v>
      </c>
      <c r="C94" s="93"/>
      <c r="D94" s="93"/>
      <c r="E94" s="93"/>
      <c r="F94" s="93"/>
    </row>
    <row r="95" spans="2:6" ht="13.5" customHeight="1" x14ac:dyDescent="0.3">
      <c r="B95" s="93" t="s">
        <v>2424</v>
      </c>
      <c r="C95" s="93"/>
      <c r="D95" s="93"/>
      <c r="E95" s="93"/>
      <c r="F95" s="93"/>
    </row>
    <row r="96" spans="2:6" ht="13.5" customHeight="1" x14ac:dyDescent="0.3">
      <c r="B96" s="93" t="s">
        <v>2425</v>
      </c>
      <c r="C96" s="93"/>
      <c r="D96" s="93"/>
      <c r="E96" s="93"/>
      <c r="F96" s="93"/>
    </row>
    <row r="97" spans="2:6" ht="13.5" customHeight="1" x14ac:dyDescent="0.3">
      <c r="B97" s="93" t="s">
        <v>2426</v>
      </c>
      <c r="C97" s="93"/>
      <c r="D97" s="93"/>
      <c r="E97" s="93"/>
      <c r="F97" s="93"/>
    </row>
    <row r="98" spans="2:6" ht="27" customHeight="1" x14ac:dyDescent="0.3">
      <c r="B98" s="93" t="s">
        <v>2427</v>
      </c>
      <c r="C98" s="93"/>
      <c r="D98" s="93"/>
      <c r="E98" s="93"/>
      <c r="F98" s="93"/>
    </row>
    <row r="99" spans="2:6" ht="27" customHeight="1" x14ac:dyDescent="0.3">
      <c r="B99" s="93" t="s">
        <v>2428</v>
      </c>
      <c r="C99" s="93"/>
      <c r="D99" s="93"/>
      <c r="E99" s="93"/>
      <c r="F99" s="93"/>
    </row>
    <row r="100" spans="2:6" ht="27" customHeight="1" x14ac:dyDescent="0.3">
      <c r="B100" s="146" t="s">
        <v>2429</v>
      </c>
      <c r="C100" s="146"/>
      <c r="D100" s="146"/>
      <c r="E100" s="146"/>
      <c r="F100" s="146"/>
    </row>
    <row r="101" spans="2:6" ht="13.5" customHeight="1" x14ac:dyDescent="0.3">
      <c r="B101" s="149" t="s">
        <v>2430</v>
      </c>
      <c r="C101" s="149"/>
      <c r="D101" s="149"/>
      <c r="E101" s="149"/>
      <c r="F101" s="149"/>
    </row>
    <row r="102" spans="2:6" ht="27" customHeight="1" x14ac:dyDescent="0.3">
      <c r="B102" s="93" t="s">
        <v>2431</v>
      </c>
      <c r="C102" s="93"/>
      <c r="D102" s="93"/>
      <c r="E102" s="93"/>
      <c r="F102" s="93"/>
    </row>
    <row r="103" spans="2:6" ht="13.5" customHeight="1" x14ac:dyDescent="0.3">
      <c r="B103" s="93" t="s">
        <v>2432</v>
      </c>
      <c r="C103" s="93"/>
      <c r="D103" s="93"/>
      <c r="E103" s="93"/>
      <c r="F103" s="93"/>
    </row>
    <row r="104" spans="2:6" ht="13.5" customHeight="1" x14ac:dyDescent="0.3">
      <c r="B104" s="93" t="s">
        <v>2433</v>
      </c>
      <c r="C104" s="93"/>
      <c r="D104" s="93"/>
      <c r="E104" s="93"/>
      <c r="F104" s="93"/>
    </row>
    <row r="105" spans="2:6" ht="13.5" customHeight="1" x14ac:dyDescent="0.3">
      <c r="B105" s="93" t="s">
        <v>2434</v>
      </c>
      <c r="C105" s="93"/>
      <c r="D105" s="93"/>
      <c r="E105" s="93"/>
      <c r="F105" s="93"/>
    </row>
    <row r="106" spans="2:6" ht="13.5" customHeight="1" x14ac:dyDescent="0.3">
      <c r="B106" s="93" t="s">
        <v>2303</v>
      </c>
      <c r="C106" s="93"/>
      <c r="D106" s="93"/>
      <c r="E106" s="93"/>
      <c r="F106" s="93"/>
    </row>
    <row r="107" spans="2:6" x14ac:dyDescent="0.3">
      <c r="B107" s="84"/>
      <c r="C107" s="84"/>
      <c r="D107" s="84"/>
      <c r="E107" s="84"/>
      <c r="F107" s="84"/>
    </row>
    <row r="108" spans="2:6" ht="13.5" customHeight="1" x14ac:dyDescent="0.3">
      <c r="B108" s="148" t="s">
        <v>2435</v>
      </c>
      <c r="C108" s="148"/>
      <c r="D108" s="148"/>
      <c r="E108" s="148"/>
      <c r="F108" s="148"/>
    </row>
    <row r="109" spans="2:6" ht="13.5" customHeight="1" x14ac:dyDescent="0.3">
      <c r="B109" s="93" t="s">
        <v>2436</v>
      </c>
      <c r="C109" s="93"/>
      <c r="D109" s="93"/>
      <c r="E109" s="93"/>
      <c r="F109" s="93"/>
    </row>
    <row r="110" spans="2:6" ht="13.5" customHeight="1" x14ac:dyDescent="0.3">
      <c r="B110" s="93" t="s">
        <v>2437</v>
      </c>
      <c r="C110" s="93"/>
      <c r="D110" s="93"/>
      <c r="E110" s="93"/>
      <c r="F110" s="93"/>
    </row>
    <row r="111" spans="2:6" ht="13.5" customHeight="1" x14ac:dyDescent="0.3">
      <c r="B111" s="93" t="s">
        <v>2438</v>
      </c>
      <c r="C111" s="93"/>
      <c r="D111" s="93"/>
      <c r="E111" s="93"/>
      <c r="F111" s="93"/>
    </row>
    <row r="112" spans="2:6" ht="13.5" customHeight="1" x14ac:dyDescent="0.3">
      <c r="B112" s="93" t="s">
        <v>2439</v>
      </c>
      <c r="C112" s="93"/>
      <c r="D112" s="93"/>
      <c r="E112" s="93"/>
      <c r="F112" s="93"/>
    </row>
    <row r="113" spans="2:6" ht="13.5" customHeight="1" x14ac:dyDescent="0.3">
      <c r="B113" s="93" t="s">
        <v>2440</v>
      </c>
      <c r="C113" s="93"/>
      <c r="D113" s="93"/>
      <c r="E113" s="93"/>
      <c r="F113" s="93"/>
    </row>
    <row r="114" spans="2:6" ht="13.5" customHeight="1" x14ac:dyDescent="0.3">
      <c r="B114" s="93" t="s">
        <v>2441</v>
      </c>
      <c r="C114" s="93"/>
      <c r="D114" s="93"/>
      <c r="E114" s="93"/>
      <c r="F114" s="93"/>
    </row>
    <row r="115" spans="2:6" ht="13.5" customHeight="1" x14ac:dyDescent="0.3">
      <c r="B115" s="93" t="s">
        <v>2442</v>
      </c>
      <c r="C115" s="93"/>
      <c r="D115" s="93"/>
      <c r="E115" s="93"/>
      <c r="F115" s="93"/>
    </row>
    <row r="116" spans="2:6" ht="40.5" customHeight="1" x14ac:dyDescent="0.3">
      <c r="B116" s="93" t="s">
        <v>2443</v>
      </c>
      <c r="C116" s="93"/>
      <c r="D116" s="93"/>
      <c r="E116" s="93"/>
      <c r="F116" s="93"/>
    </row>
    <row r="117" spans="2:6" ht="27" customHeight="1" x14ac:dyDescent="0.3">
      <c r="B117" s="93" t="s">
        <v>2444</v>
      </c>
      <c r="C117" s="93"/>
      <c r="D117" s="93"/>
      <c r="E117" s="93"/>
      <c r="F117" s="93"/>
    </row>
    <row r="118" spans="2:6" ht="13.5" customHeight="1" x14ac:dyDescent="0.3">
      <c r="B118" s="93" t="s">
        <v>2445</v>
      </c>
      <c r="C118" s="93"/>
      <c r="D118" s="93"/>
      <c r="E118" s="93"/>
      <c r="F118" s="93"/>
    </row>
    <row r="119" spans="2:6" ht="27" customHeight="1" x14ac:dyDescent="0.3">
      <c r="B119" s="93" t="s">
        <v>2446</v>
      </c>
      <c r="C119" s="93"/>
      <c r="D119" s="93"/>
      <c r="E119" s="93"/>
      <c r="F119" s="93"/>
    </row>
    <row r="120" spans="2:6" ht="27" customHeight="1" x14ac:dyDescent="0.3">
      <c r="B120" s="93" t="s">
        <v>2447</v>
      </c>
      <c r="C120" s="93"/>
      <c r="D120" s="93"/>
      <c r="E120" s="93"/>
      <c r="F120" s="93"/>
    </row>
    <row r="121" spans="2:6" ht="13.5" customHeight="1" x14ac:dyDescent="0.3">
      <c r="B121" s="93" t="s">
        <v>2448</v>
      </c>
      <c r="C121" s="93"/>
      <c r="D121" s="93"/>
      <c r="E121" s="93"/>
      <c r="F121" s="93"/>
    </row>
    <row r="122" spans="2:6" ht="27" customHeight="1" x14ac:dyDescent="0.3">
      <c r="B122" s="93" t="s">
        <v>2449</v>
      </c>
      <c r="C122" s="93"/>
      <c r="D122" s="93"/>
      <c r="E122" s="93"/>
      <c r="F122" s="93"/>
    </row>
    <row r="123" spans="2:6" ht="13.5" customHeight="1" x14ac:dyDescent="0.3">
      <c r="B123" s="93" t="s">
        <v>2303</v>
      </c>
      <c r="C123" s="93"/>
      <c r="D123" s="93"/>
      <c r="E123" s="93"/>
      <c r="F123" s="93"/>
    </row>
    <row r="124" spans="2:6" x14ac:dyDescent="0.3">
      <c r="B124" s="84"/>
      <c r="C124" s="84"/>
      <c r="D124" s="84"/>
      <c r="E124" s="84"/>
      <c r="F124" s="84"/>
    </row>
    <row r="125" spans="2:6" ht="13.5" customHeight="1" x14ac:dyDescent="0.3">
      <c r="B125" s="148" t="s">
        <v>2450</v>
      </c>
      <c r="C125" s="148"/>
      <c r="D125" s="148"/>
      <c r="E125" s="148"/>
      <c r="F125" s="148"/>
    </row>
    <row r="126" spans="2:6" ht="13.5" customHeight="1" x14ac:dyDescent="0.3">
      <c r="B126" s="93" t="s">
        <v>2451</v>
      </c>
      <c r="C126" s="93"/>
      <c r="D126" s="93"/>
      <c r="E126" s="93"/>
      <c r="F126" s="93"/>
    </row>
    <row r="127" spans="2:6" ht="27" customHeight="1" x14ac:dyDescent="0.3">
      <c r="B127" s="93" t="s">
        <v>2452</v>
      </c>
      <c r="C127" s="93"/>
      <c r="D127" s="93"/>
      <c r="E127" s="93"/>
      <c r="F127" s="93"/>
    </row>
    <row r="128" spans="2:6" ht="13.5" customHeight="1" x14ac:dyDescent="0.3">
      <c r="B128" s="93" t="s">
        <v>2453</v>
      </c>
      <c r="C128" s="93"/>
      <c r="D128" s="93"/>
      <c r="E128" s="93"/>
      <c r="F128" s="93"/>
    </row>
    <row r="129" spans="2:6" ht="13.5" customHeight="1" x14ac:dyDescent="0.3">
      <c r="B129" s="93" t="s">
        <v>2454</v>
      </c>
      <c r="C129" s="93"/>
      <c r="D129" s="93"/>
      <c r="E129" s="93"/>
      <c r="F129" s="93"/>
    </row>
    <row r="130" spans="2:6" ht="13.5" customHeight="1" x14ac:dyDescent="0.3">
      <c r="B130" s="93" t="s">
        <v>2455</v>
      </c>
      <c r="C130" s="93"/>
      <c r="D130" s="93"/>
      <c r="E130" s="93"/>
      <c r="F130" s="93"/>
    </row>
    <row r="131" spans="2:6" ht="13.5" customHeight="1" x14ac:dyDescent="0.3">
      <c r="B131" s="93" t="s">
        <v>2456</v>
      </c>
      <c r="C131" s="93"/>
      <c r="D131" s="93"/>
      <c r="E131" s="93"/>
      <c r="F131" s="93"/>
    </row>
    <row r="132" spans="2:6" ht="13.5" customHeight="1" x14ac:dyDescent="0.3">
      <c r="B132" s="93" t="s">
        <v>2303</v>
      </c>
      <c r="C132" s="93"/>
      <c r="D132" s="93"/>
      <c r="E132" s="93"/>
      <c r="F132" s="93"/>
    </row>
    <row r="133" spans="2:6" x14ac:dyDescent="0.3">
      <c r="B133" s="84"/>
      <c r="C133" s="84"/>
      <c r="D133" s="84"/>
      <c r="E133" s="84"/>
      <c r="F133" s="84"/>
    </row>
    <row r="134" spans="2:6" ht="13.5" customHeight="1" x14ac:dyDescent="0.3">
      <c r="B134" s="148" t="s">
        <v>2457</v>
      </c>
      <c r="C134" s="148"/>
      <c r="D134" s="148"/>
      <c r="E134" s="148"/>
      <c r="F134" s="148"/>
    </row>
    <row r="135" spans="2:6" ht="13.5" customHeight="1" x14ac:dyDescent="0.3">
      <c r="B135" s="93" t="s">
        <v>2458</v>
      </c>
      <c r="C135" s="93"/>
      <c r="D135" s="93"/>
      <c r="E135" s="93"/>
      <c r="F135" s="93"/>
    </row>
    <row r="136" spans="2:6" ht="13.5" customHeight="1" x14ac:dyDescent="0.3">
      <c r="B136" s="93" t="s">
        <v>2459</v>
      </c>
      <c r="C136" s="93"/>
      <c r="D136" s="93"/>
      <c r="E136" s="93"/>
      <c r="F136" s="93"/>
    </row>
    <row r="137" spans="2:6" ht="13.5" customHeight="1" x14ac:dyDescent="0.3">
      <c r="B137" s="93" t="s">
        <v>2460</v>
      </c>
      <c r="C137" s="93"/>
      <c r="D137" s="93"/>
      <c r="E137" s="93"/>
      <c r="F137" s="93"/>
    </row>
    <row r="138" spans="2:6" ht="13.5" customHeight="1" x14ac:dyDescent="0.3">
      <c r="B138" s="93" t="s">
        <v>2461</v>
      </c>
      <c r="C138" s="93"/>
      <c r="D138" s="93"/>
      <c r="E138" s="93"/>
      <c r="F138" s="93"/>
    </row>
    <row r="139" spans="2:6" ht="13.5" customHeight="1" x14ac:dyDescent="0.3">
      <c r="B139" s="93" t="s">
        <v>2462</v>
      </c>
      <c r="C139" s="93"/>
      <c r="D139" s="93"/>
      <c r="E139" s="93"/>
      <c r="F139" s="93"/>
    </row>
    <row r="140" spans="2:6" ht="13.5" customHeight="1" x14ac:dyDescent="0.3">
      <c r="B140" s="93" t="s">
        <v>2463</v>
      </c>
      <c r="C140" s="93"/>
      <c r="D140" s="93"/>
      <c r="E140" s="93"/>
      <c r="F140" s="93"/>
    </row>
    <row r="141" spans="2:6" ht="13.5" customHeight="1" x14ac:dyDescent="0.3">
      <c r="B141" s="93" t="s">
        <v>2464</v>
      </c>
      <c r="C141" s="93"/>
      <c r="D141" s="93"/>
      <c r="E141" s="93"/>
      <c r="F141" s="93"/>
    </row>
    <row r="142" spans="2:6" ht="13.5" customHeight="1" x14ac:dyDescent="0.3">
      <c r="B142" s="93" t="s">
        <v>2465</v>
      </c>
      <c r="C142" s="93"/>
      <c r="D142" s="93"/>
      <c r="E142" s="93"/>
      <c r="F142" s="93"/>
    </row>
    <row r="143" spans="2:6" ht="13.5" customHeight="1" x14ac:dyDescent="0.3">
      <c r="B143" s="93" t="s">
        <v>2466</v>
      </c>
      <c r="C143" s="93"/>
      <c r="D143" s="93"/>
      <c r="E143" s="93"/>
      <c r="F143" s="93"/>
    </row>
    <row r="144" spans="2:6" ht="40.5" customHeight="1" x14ac:dyDescent="0.3">
      <c r="B144" s="93" t="s">
        <v>2467</v>
      </c>
      <c r="C144" s="93"/>
      <c r="D144" s="93"/>
      <c r="E144" s="93"/>
      <c r="F144" s="93"/>
    </row>
    <row r="145" spans="2:6" ht="13.5" customHeight="1" x14ac:dyDescent="0.3">
      <c r="B145" s="93" t="s">
        <v>2468</v>
      </c>
      <c r="C145" s="93"/>
      <c r="D145" s="93"/>
      <c r="E145" s="93"/>
      <c r="F145" s="93"/>
    </row>
    <row r="146" spans="2:6" ht="13.5" customHeight="1" x14ac:dyDescent="0.3">
      <c r="B146" s="93" t="s">
        <v>2469</v>
      </c>
      <c r="C146" s="93"/>
      <c r="D146" s="93"/>
      <c r="E146" s="93"/>
      <c r="F146" s="93"/>
    </row>
    <row r="147" spans="2:6" ht="13.5" customHeight="1" x14ac:dyDescent="0.3">
      <c r="B147" s="93" t="s">
        <v>2303</v>
      </c>
      <c r="C147" s="93"/>
      <c r="D147" s="93"/>
      <c r="E147" s="93"/>
      <c r="F147" s="93"/>
    </row>
    <row r="148" spans="2:6" x14ac:dyDescent="0.3">
      <c r="B148" s="84"/>
      <c r="C148" s="84"/>
      <c r="D148" s="84"/>
      <c r="E148" s="84"/>
      <c r="F148" s="84"/>
    </row>
    <row r="149" spans="2:6" ht="13.5" customHeight="1" x14ac:dyDescent="0.3">
      <c r="B149" s="148" t="s">
        <v>2470</v>
      </c>
      <c r="C149" s="148"/>
      <c r="D149" s="148"/>
      <c r="E149" s="148"/>
      <c r="F149" s="148"/>
    </row>
    <row r="150" spans="2:6" ht="13.5" customHeight="1" x14ac:dyDescent="0.3">
      <c r="B150" s="149" t="s">
        <v>2471</v>
      </c>
      <c r="C150" s="149"/>
      <c r="D150" s="149"/>
      <c r="E150" s="149"/>
      <c r="F150" s="149"/>
    </row>
    <row r="151" spans="2:6" ht="13.5" customHeight="1" x14ac:dyDescent="0.3">
      <c r="B151" s="93" t="s">
        <v>2472</v>
      </c>
      <c r="C151" s="93"/>
      <c r="D151" s="93"/>
      <c r="E151" s="93"/>
      <c r="F151" s="93"/>
    </row>
    <row r="152" spans="2:6" ht="13.5" customHeight="1" x14ac:dyDescent="0.3">
      <c r="B152" s="93" t="s">
        <v>2473</v>
      </c>
      <c r="C152" s="93"/>
      <c r="D152" s="93"/>
      <c r="E152" s="93"/>
      <c r="F152" s="93"/>
    </row>
    <row r="153" spans="2:6" ht="13.5" customHeight="1" x14ac:dyDescent="0.3">
      <c r="B153" s="93" t="s">
        <v>2474</v>
      </c>
      <c r="C153" s="93"/>
      <c r="D153" s="93"/>
      <c r="E153" s="93"/>
      <c r="F153" s="93"/>
    </row>
    <row r="154" spans="2:6" ht="13.5" customHeight="1" x14ac:dyDescent="0.3">
      <c r="B154" s="93" t="s">
        <v>2475</v>
      </c>
      <c r="C154" s="93"/>
      <c r="D154" s="93"/>
      <c r="E154" s="93"/>
      <c r="F154" s="93"/>
    </row>
    <row r="155" spans="2:6" ht="13.5" customHeight="1" x14ac:dyDescent="0.3">
      <c r="B155" s="93" t="s">
        <v>2476</v>
      </c>
      <c r="C155" s="93"/>
      <c r="D155" s="93"/>
      <c r="E155" s="93"/>
      <c r="F155" s="93"/>
    </row>
    <row r="156" spans="2:6" ht="13.5" customHeight="1" x14ac:dyDescent="0.3">
      <c r="B156" s="149" t="s">
        <v>2477</v>
      </c>
      <c r="C156" s="149"/>
      <c r="D156" s="149"/>
      <c r="E156" s="149"/>
      <c r="F156" s="149"/>
    </row>
    <row r="157" spans="2:6" ht="13.5" customHeight="1" x14ac:dyDescent="0.3">
      <c r="B157" s="93" t="s">
        <v>2478</v>
      </c>
      <c r="C157" s="93"/>
      <c r="D157" s="93"/>
      <c r="E157" s="93"/>
      <c r="F157" s="93"/>
    </row>
    <row r="158" spans="2:6" ht="13.5" customHeight="1" x14ac:dyDescent="0.3">
      <c r="B158" s="93" t="s">
        <v>2479</v>
      </c>
      <c r="C158" s="93"/>
      <c r="D158" s="93"/>
      <c r="E158" s="93"/>
      <c r="F158" s="93"/>
    </row>
    <row r="159" spans="2:6" ht="13.5" customHeight="1" x14ac:dyDescent="0.3">
      <c r="B159" s="149" t="s">
        <v>2480</v>
      </c>
      <c r="C159" s="149"/>
      <c r="D159" s="149"/>
      <c r="E159" s="149"/>
      <c r="F159" s="149"/>
    </row>
    <row r="160" spans="2:6" ht="13.5" customHeight="1" x14ac:dyDescent="0.3">
      <c r="B160" s="93" t="s">
        <v>2481</v>
      </c>
      <c r="C160" s="93"/>
      <c r="D160" s="93"/>
      <c r="E160" s="93"/>
      <c r="F160" s="93"/>
    </row>
    <row r="161" spans="2:6" ht="13.5" customHeight="1" x14ac:dyDescent="0.3">
      <c r="B161" s="93" t="s">
        <v>2482</v>
      </c>
      <c r="C161" s="93"/>
      <c r="D161" s="93"/>
      <c r="E161" s="93"/>
      <c r="F161" s="93"/>
    </row>
    <row r="162" spans="2:6" ht="27" customHeight="1" x14ac:dyDescent="0.3">
      <c r="B162" s="93" t="s">
        <v>2483</v>
      </c>
      <c r="C162" s="93"/>
      <c r="D162" s="93"/>
      <c r="E162" s="93"/>
      <c r="F162" s="93"/>
    </row>
    <row r="163" spans="2:6" ht="13.5" customHeight="1" x14ac:dyDescent="0.3">
      <c r="B163" s="93" t="s">
        <v>2484</v>
      </c>
      <c r="C163" s="93"/>
      <c r="D163" s="93"/>
      <c r="E163" s="93"/>
      <c r="F163" s="93"/>
    </row>
    <row r="164" spans="2:6" ht="40.5" customHeight="1" x14ac:dyDescent="0.3">
      <c r="B164" s="93" t="s">
        <v>2485</v>
      </c>
      <c r="C164" s="93"/>
      <c r="D164" s="93"/>
      <c r="E164" s="93"/>
      <c r="F164" s="93"/>
    </row>
    <row r="165" spans="2:6" ht="13.5" customHeight="1" x14ac:dyDescent="0.3">
      <c r="B165" s="93" t="s">
        <v>2445</v>
      </c>
      <c r="C165" s="93"/>
      <c r="D165" s="93"/>
      <c r="E165" s="93"/>
      <c r="F165" s="93"/>
    </row>
    <row r="166" spans="2:6" ht="13.5" customHeight="1" x14ac:dyDescent="0.3">
      <c r="B166" s="93" t="s">
        <v>2486</v>
      </c>
      <c r="C166" s="93"/>
      <c r="D166" s="93"/>
      <c r="E166" s="93"/>
      <c r="F166" s="93"/>
    </row>
    <row r="167" spans="2:6" ht="13.5" customHeight="1" x14ac:dyDescent="0.3">
      <c r="B167" s="93" t="s">
        <v>2487</v>
      </c>
      <c r="C167" s="93"/>
      <c r="D167" s="93"/>
      <c r="E167" s="93"/>
      <c r="F167" s="93"/>
    </row>
    <row r="168" spans="2:6" ht="13.5" customHeight="1" x14ac:dyDescent="0.3">
      <c r="B168" s="93" t="s">
        <v>2488</v>
      </c>
      <c r="C168" s="93"/>
      <c r="D168" s="93"/>
      <c r="E168" s="93"/>
      <c r="F168" s="93"/>
    </row>
    <row r="169" spans="2:6" ht="13.5" customHeight="1" x14ac:dyDescent="0.3">
      <c r="B169" s="93" t="s">
        <v>2489</v>
      </c>
      <c r="C169" s="93"/>
      <c r="D169" s="93"/>
      <c r="E169" s="93"/>
      <c r="F169" s="93"/>
    </row>
    <row r="170" spans="2:6" ht="13.5" customHeight="1" x14ac:dyDescent="0.3">
      <c r="B170" s="93" t="s">
        <v>2490</v>
      </c>
      <c r="C170" s="93"/>
      <c r="D170" s="93"/>
      <c r="E170" s="93"/>
      <c r="F170" s="93"/>
    </row>
    <row r="171" spans="2:6" ht="27" customHeight="1" x14ac:dyDescent="0.3">
      <c r="B171" s="93" t="s">
        <v>2491</v>
      </c>
      <c r="C171" s="93"/>
      <c r="D171" s="93"/>
      <c r="E171" s="93"/>
      <c r="F171" s="93"/>
    </row>
    <row r="172" spans="2:6" ht="13.5" customHeight="1" x14ac:dyDescent="0.3">
      <c r="B172" s="93" t="s">
        <v>2492</v>
      </c>
      <c r="C172" s="93"/>
      <c r="D172" s="93"/>
      <c r="E172" s="93"/>
      <c r="F172" s="93"/>
    </row>
    <row r="173" spans="2:6" ht="13.5" customHeight="1" x14ac:dyDescent="0.3">
      <c r="B173" s="149" t="s">
        <v>2493</v>
      </c>
      <c r="C173" s="149"/>
      <c r="D173" s="149"/>
      <c r="E173" s="149"/>
      <c r="F173" s="149"/>
    </row>
    <row r="174" spans="2:6" ht="13.5" customHeight="1" x14ac:dyDescent="0.3">
      <c r="B174" s="93" t="s">
        <v>2494</v>
      </c>
      <c r="C174" s="93"/>
      <c r="D174" s="93"/>
      <c r="E174" s="93"/>
      <c r="F174" s="93"/>
    </row>
    <row r="175" spans="2:6" ht="27" customHeight="1" x14ac:dyDescent="0.3">
      <c r="B175" s="93" t="s">
        <v>2495</v>
      </c>
      <c r="C175" s="93"/>
      <c r="D175" s="93"/>
      <c r="E175" s="93"/>
      <c r="F175" s="93"/>
    </row>
    <row r="176" spans="2:6" ht="27" customHeight="1" x14ac:dyDescent="0.3">
      <c r="B176" s="93" t="s">
        <v>2496</v>
      </c>
      <c r="C176" s="93"/>
      <c r="D176" s="93"/>
      <c r="E176" s="93"/>
      <c r="F176" s="93"/>
    </row>
    <row r="177" spans="2:6" ht="13.5" customHeight="1" x14ac:dyDescent="0.3">
      <c r="B177" s="93" t="s">
        <v>2497</v>
      </c>
      <c r="C177" s="93"/>
      <c r="D177" s="93"/>
      <c r="E177" s="93"/>
      <c r="F177" s="93"/>
    </row>
    <row r="178" spans="2:6" ht="13.5" customHeight="1" x14ac:dyDescent="0.3">
      <c r="B178" s="149" t="s">
        <v>2498</v>
      </c>
      <c r="C178" s="149"/>
      <c r="D178" s="149"/>
      <c r="E178" s="149"/>
      <c r="F178" s="149"/>
    </row>
    <row r="179" spans="2:6" ht="40.5" customHeight="1" x14ac:dyDescent="0.3">
      <c r="B179" s="95" t="s">
        <v>2499</v>
      </c>
      <c r="C179" s="95"/>
      <c r="D179" s="95"/>
      <c r="E179" s="95"/>
      <c r="F179" s="95"/>
    </row>
    <row r="180" spans="2:6" ht="13.5" customHeight="1" x14ac:dyDescent="0.3">
      <c r="B180" s="93" t="s">
        <v>2303</v>
      </c>
      <c r="C180" s="93"/>
      <c r="D180" s="93"/>
      <c r="E180" s="93"/>
      <c r="F180" s="93"/>
    </row>
    <row r="181" spans="2:6" x14ac:dyDescent="0.3">
      <c r="B181" s="84"/>
      <c r="C181" s="84"/>
      <c r="D181" s="84"/>
      <c r="E181" s="84"/>
      <c r="F181" s="84"/>
    </row>
    <row r="182" spans="2:6" ht="13.5" customHeight="1" x14ac:dyDescent="0.3">
      <c r="B182" s="148" t="s">
        <v>2500</v>
      </c>
      <c r="C182" s="148"/>
      <c r="D182" s="148"/>
      <c r="E182" s="148"/>
      <c r="F182" s="148"/>
    </row>
    <row r="183" spans="2:6" ht="13.5" customHeight="1" x14ac:dyDescent="0.3">
      <c r="B183" s="149" t="s">
        <v>2501</v>
      </c>
      <c r="C183" s="149"/>
      <c r="D183" s="149"/>
      <c r="E183" s="149"/>
      <c r="F183" s="149"/>
    </row>
    <row r="184" spans="2:6" x14ac:dyDescent="0.3">
      <c r="B184" s="87" t="s">
        <v>858</v>
      </c>
      <c r="C184" s="87" t="s">
        <v>2502</v>
      </c>
      <c r="D184" s="87" t="s">
        <v>2503</v>
      </c>
    </row>
    <row r="185" spans="2:6" ht="26.4" x14ac:dyDescent="0.3">
      <c r="B185" s="89" t="s">
        <v>562</v>
      </c>
      <c r="C185" s="89" t="s">
        <v>2504</v>
      </c>
      <c r="D185" s="89" t="s">
        <v>2505</v>
      </c>
    </row>
    <row r="186" spans="2:6" ht="52.8" x14ac:dyDescent="0.3">
      <c r="B186" s="89" t="s">
        <v>598</v>
      </c>
      <c r="C186" s="89" t="s">
        <v>2506</v>
      </c>
      <c r="D186" s="89" t="s">
        <v>2507</v>
      </c>
    </row>
    <row r="187" spans="2:6" ht="26.4" x14ac:dyDescent="0.3">
      <c r="B187" s="89" t="s">
        <v>573</v>
      </c>
      <c r="C187" s="89" t="s">
        <v>2508</v>
      </c>
      <c r="D187" s="89" t="s">
        <v>2509</v>
      </c>
    </row>
    <row r="188" spans="2:6" x14ac:dyDescent="0.3">
      <c r="B188" s="89" t="s">
        <v>547</v>
      </c>
      <c r="C188" s="89" t="s">
        <v>2510</v>
      </c>
      <c r="D188" s="89" t="s">
        <v>2511</v>
      </c>
    </row>
    <row r="189" spans="2:6" ht="26.4" x14ac:dyDescent="0.3">
      <c r="B189" s="89" t="s">
        <v>4</v>
      </c>
      <c r="C189" s="89" t="s">
        <v>2512</v>
      </c>
      <c r="D189" s="89" t="s">
        <v>2513</v>
      </c>
    </row>
    <row r="191" spans="2:6" ht="13.5" customHeight="1" x14ac:dyDescent="0.3">
      <c r="B191" s="149" t="s">
        <v>2514</v>
      </c>
      <c r="C191" s="149"/>
      <c r="D191" s="149"/>
      <c r="E191" s="149"/>
      <c r="F191" s="149"/>
    </row>
    <row r="192" spans="2:6" ht="13.5" customHeight="1" x14ac:dyDescent="0.3">
      <c r="B192" s="93" t="s">
        <v>2515</v>
      </c>
      <c r="C192" s="93"/>
      <c r="D192" s="93"/>
      <c r="E192" s="93"/>
      <c r="F192" s="93"/>
    </row>
    <row r="193" spans="2:6" ht="13.5" customHeight="1" x14ac:dyDescent="0.3">
      <c r="B193" s="93" t="s">
        <v>2516</v>
      </c>
      <c r="C193" s="93"/>
      <c r="D193" s="93"/>
      <c r="E193" s="93"/>
      <c r="F193" s="93"/>
    </row>
    <row r="194" spans="2:6" x14ac:dyDescent="0.3">
      <c r="B194" s="87" t="s">
        <v>541</v>
      </c>
      <c r="C194" s="87" t="s">
        <v>2517</v>
      </c>
      <c r="D194" s="87">
        <v>20</v>
      </c>
      <c r="E194" s="87">
        <v>30</v>
      </c>
      <c r="F194" s="87">
        <v>40</v>
      </c>
    </row>
    <row r="195" spans="2:6" x14ac:dyDescent="0.3">
      <c r="B195" s="89" t="s">
        <v>529</v>
      </c>
      <c r="C195" s="89" t="s">
        <v>2518</v>
      </c>
      <c r="D195" s="89" t="s">
        <v>2519</v>
      </c>
      <c r="E195" s="89" t="s">
        <v>2520</v>
      </c>
      <c r="F195" s="89" t="s">
        <v>2521</v>
      </c>
    </row>
    <row r="197" spans="2:6" ht="13.5" customHeight="1" x14ac:dyDescent="0.3">
      <c r="B197" s="93" t="s">
        <v>2522</v>
      </c>
      <c r="C197" s="93"/>
      <c r="D197" s="93"/>
      <c r="E197" s="93"/>
      <c r="F197" s="93"/>
    </row>
    <row r="198" spans="2:6" ht="13.5" customHeight="1" x14ac:dyDescent="0.3">
      <c r="B198" s="93" t="s">
        <v>2482</v>
      </c>
      <c r="C198" s="93"/>
      <c r="D198" s="93"/>
      <c r="E198" s="93"/>
      <c r="F198" s="93"/>
    </row>
    <row r="199" spans="2:6" ht="13.5" customHeight="1" x14ac:dyDescent="0.3">
      <c r="B199" s="93" t="s">
        <v>2523</v>
      </c>
      <c r="C199" s="93"/>
      <c r="D199" s="93"/>
      <c r="E199" s="93"/>
      <c r="F199" s="93"/>
    </row>
    <row r="200" spans="2:6" ht="27" customHeight="1" x14ac:dyDescent="0.3">
      <c r="B200" s="93" t="s">
        <v>2524</v>
      </c>
      <c r="C200" s="93"/>
      <c r="D200" s="93"/>
      <c r="E200" s="93"/>
      <c r="F200" s="93"/>
    </row>
    <row r="201" spans="2:6" ht="13.5" customHeight="1" x14ac:dyDescent="0.3">
      <c r="B201" s="93" t="s">
        <v>2525</v>
      </c>
      <c r="C201" s="93"/>
      <c r="D201" s="93"/>
      <c r="E201" s="93"/>
      <c r="F201" s="93"/>
    </row>
    <row r="202" spans="2:6" ht="27" customHeight="1" x14ac:dyDescent="0.3">
      <c r="B202" s="93" t="s">
        <v>2526</v>
      </c>
      <c r="C202" s="93"/>
      <c r="D202" s="93"/>
      <c r="E202" s="93"/>
      <c r="F202" s="93"/>
    </row>
    <row r="203" spans="2:6" ht="40.5" customHeight="1" x14ac:dyDescent="0.3">
      <c r="B203" s="93" t="s">
        <v>2527</v>
      </c>
      <c r="C203" s="93"/>
      <c r="D203" s="93"/>
      <c r="E203" s="93"/>
      <c r="F203" s="93"/>
    </row>
    <row r="204" spans="2:6" ht="13.5" customHeight="1" x14ac:dyDescent="0.3">
      <c r="B204" s="93" t="s">
        <v>2528</v>
      </c>
      <c r="C204" s="93"/>
      <c r="D204" s="93"/>
      <c r="E204" s="93"/>
      <c r="F204" s="93"/>
    </row>
    <row r="205" spans="2:6" ht="13.5" customHeight="1" x14ac:dyDescent="0.3">
      <c r="B205" s="93" t="s">
        <v>2529</v>
      </c>
      <c r="C205" s="93"/>
      <c r="D205" s="93"/>
      <c r="E205" s="93"/>
      <c r="F205" s="93"/>
    </row>
    <row r="206" spans="2:6" ht="13.5" customHeight="1" x14ac:dyDescent="0.3">
      <c r="B206" s="93" t="s">
        <v>2530</v>
      </c>
      <c r="C206" s="93"/>
      <c r="D206" s="93"/>
      <c r="E206" s="93"/>
      <c r="F206" s="93"/>
    </row>
    <row r="207" spans="2:6" ht="27" customHeight="1" x14ac:dyDescent="0.3">
      <c r="B207" s="93" t="s">
        <v>2531</v>
      </c>
      <c r="C207" s="93"/>
      <c r="D207" s="93"/>
      <c r="E207" s="93"/>
      <c r="F207" s="93"/>
    </row>
    <row r="208" spans="2:6" ht="27" customHeight="1" x14ac:dyDescent="0.3">
      <c r="B208" s="93" t="s">
        <v>2532</v>
      </c>
      <c r="C208" s="93"/>
      <c r="D208" s="93"/>
      <c r="E208" s="93"/>
      <c r="F208" s="93"/>
    </row>
    <row r="209" spans="2:6" ht="13.5" customHeight="1" x14ac:dyDescent="0.3">
      <c r="B209" s="93" t="s">
        <v>2533</v>
      </c>
      <c r="C209" s="93"/>
      <c r="D209" s="93"/>
      <c r="E209" s="93"/>
      <c r="F209" s="93"/>
    </row>
    <row r="210" spans="2:6" ht="13.5" customHeight="1" x14ac:dyDescent="0.3">
      <c r="B210" s="93" t="s">
        <v>2534</v>
      </c>
      <c r="C210" s="93"/>
      <c r="D210" s="93"/>
      <c r="E210" s="93"/>
      <c r="F210" s="93"/>
    </row>
    <row r="211" spans="2:6" ht="27" customHeight="1" x14ac:dyDescent="0.3">
      <c r="B211" s="93" t="s">
        <v>2535</v>
      </c>
      <c r="C211" s="93"/>
      <c r="D211" s="93"/>
      <c r="E211" s="93"/>
      <c r="F211" s="93"/>
    </row>
    <row r="212" spans="2:6" ht="13.5" customHeight="1" x14ac:dyDescent="0.3">
      <c r="B212" s="93" t="s">
        <v>2536</v>
      </c>
      <c r="C212" s="93"/>
      <c r="D212" s="93"/>
      <c r="E212" s="93"/>
      <c r="F212" s="93"/>
    </row>
    <row r="213" spans="2:6" ht="13.5" customHeight="1" x14ac:dyDescent="0.3">
      <c r="B213" s="93" t="s">
        <v>2537</v>
      </c>
      <c r="C213" s="93"/>
      <c r="D213" s="93"/>
      <c r="E213" s="93"/>
      <c r="F213" s="93"/>
    </row>
    <row r="214" spans="2:6" ht="13.5" customHeight="1" x14ac:dyDescent="0.3">
      <c r="B214" s="93" t="s">
        <v>2538</v>
      </c>
      <c r="C214" s="93"/>
      <c r="D214" s="93"/>
      <c r="E214" s="93"/>
      <c r="F214" s="93"/>
    </row>
    <row r="215" spans="2:6" ht="13.5" customHeight="1" x14ac:dyDescent="0.3">
      <c r="B215" s="149" t="s">
        <v>2539</v>
      </c>
      <c r="C215" s="149"/>
      <c r="D215" s="149"/>
      <c r="E215" s="149"/>
      <c r="F215" s="149"/>
    </row>
    <row r="216" spans="2:6" ht="27" customHeight="1" x14ac:dyDescent="0.3">
      <c r="B216" s="93" t="s">
        <v>2540</v>
      </c>
      <c r="C216" s="93"/>
      <c r="D216" s="93"/>
      <c r="E216" s="93"/>
      <c r="F216" s="93"/>
    </row>
    <row r="217" spans="2:6" ht="13.5" customHeight="1" x14ac:dyDescent="0.3">
      <c r="B217" s="93" t="s">
        <v>2541</v>
      </c>
      <c r="C217" s="93"/>
      <c r="D217" s="93"/>
      <c r="E217" s="93"/>
      <c r="F217" s="93"/>
    </row>
    <row r="218" spans="2:6" ht="13.5" customHeight="1" x14ac:dyDescent="0.3">
      <c r="B218" s="93" t="s">
        <v>2542</v>
      </c>
      <c r="C218" s="93"/>
      <c r="D218" s="93"/>
      <c r="E218" s="93"/>
      <c r="F218" s="93"/>
    </row>
    <row r="219" spans="2:6" ht="13.5" customHeight="1" x14ac:dyDescent="0.3">
      <c r="B219" s="93" t="s">
        <v>2543</v>
      </c>
      <c r="C219" s="93"/>
      <c r="D219" s="93"/>
      <c r="E219" s="93"/>
      <c r="F219" s="93"/>
    </row>
    <row r="220" spans="2:6" ht="27" customHeight="1" x14ac:dyDescent="0.3">
      <c r="B220" s="93" t="s">
        <v>2544</v>
      </c>
      <c r="C220" s="93"/>
      <c r="D220" s="93"/>
      <c r="E220" s="93"/>
      <c r="F220" s="93"/>
    </row>
    <row r="221" spans="2:6" ht="13.5" customHeight="1" x14ac:dyDescent="0.3">
      <c r="B221" s="149" t="s">
        <v>2545</v>
      </c>
      <c r="C221" s="149"/>
      <c r="D221" s="149"/>
      <c r="E221" s="149"/>
      <c r="F221" s="149"/>
    </row>
    <row r="222" spans="2:6" ht="13.5" customHeight="1" x14ac:dyDescent="0.3">
      <c r="B222" s="93" t="s">
        <v>2546</v>
      </c>
      <c r="C222" s="93"/>
      <c r="D222" s="93"/>
      <c r="E222" s="93"/>
      <c r="F222" s="93"/>
    </row>
    <row r="223" spans="2:6" ht="40.5" customHeight="1" x14ac:dyDescent="0.3">
      <c r="B223" s="93" t="s">
        <v>2547</v>
      </c>
      <c r="C223" s="93"/>
      <c r="D223" s="93"/>
      <c r="E223" s="93"/>
      <c r="F223" s="93"/>
    </row>
    <row r="224" spans="2:6" ht="13.5" customHeight="1" x14ac:dyDescent="0.3">
      <c r="B224" s="93" t="s">
        <v>2548</v>
      </c>
      <c r="C224" s="93"/>
      <c r="D224" s="93"/>
      <c r="E224" s="93"/>
      <c r="F224" s="93"/>
    </row>
    <row r="225" spans="2:6" ht="13.5" customHeight="1" x14ac:dyDescent="0.3">
      <c r="B225" s="93" t="s">
        <v>2303</v>
      </c>
      <c r="C225" s="93"/>
      <c r="D225" s="93"/>
      <c r="E225" s="93"/>
      <c r="F225" s="93"/>
    </row>
    <row r="226" spans="2:6" x14ac:dyDescent="0.3">
      <c r="B226" s="84"/>
      <c r="C226" s="84"/>
      <c r="D226" s="84"/>
      <c r="E226" s="84"/>
      <c r="F226" s="84"/>
    </row>
    <row r="227" spans="2:6" ht="13.5" customHeight="1" x14ac:dyDescent="0.3">
      <c r="B227" s="148" t="s">
        <v>2549</v>
      </c>
      <c r="C227" s="148"/>
      <c r="D227" s="148"/>
      <c r="E227" s="148"/>
      <c r="F227" s="148"/>
    </row>
    <row r="228" spans="2:6" x14ac:dyDescent="0.3">
      <c r="B228" s="87" t="s">
        <v>2550</v>
      </c>
      <c r="C228" s="87" t="s">
        <v>2551</v>
      </c>
      <c r="D228" s="87" t="s">
        <v>2552</v>
      </c>
      <c r="E228" s="87" t="s">
        <v>2553</v>
      </c>
      <c r="F228" s="87" t="s">
        <v>2306</v>
      </c>
    </row>
    <row r="229" spans="2:6" x14ac:dyDescent="0.3">
      <c r="B229" s="89" t="s">
        <v>2554</v>
      </c>
      <c r="C229" s="89" t="s">
        <v>2555</v>
      </c>
      <c r="D229" s="89" t="s">
        <v>2556</v>
      </c>
      <c r="E229" s="89" t="s">
        <v>2557</v>
      </c>
      <c r="F229" s="89" t="s">
        <v>720</v>
      </c>
    </row>
    <row r="230" spans="2:6" ht="52.8" x14ac:dyDescent="0.3">
      <c r="B230" s="89">
        <v>32</v>
      </c>
      <c r="C230" s="89" t="s">
        <v>802</v>
      </c>
      <c r="D230" s="89" t="s">
        <v>2558</v>
      </c>
      <c r="E230" s="89" t="s">
        <v>2559</v>
      </c>
      <c r="F230" s="89" t="s">
        <v>2310</v>
      </c>
    </row>
    <row r="231" spans="2:6" ht="26.4" x14ac:dyDescent="0.3">
      <c r="B231" s="89">
        <v>33</v>
      </c>
      <c r="C231" s="89" t="s">
        <v>2560</v>
      </c>
      <c r="D231" s="89" t="s">
        <v>2561</v>
      </c>
      <c r="E231" s="89" t="s">
        <v>2562</v>
      </c>
      <c r="F231" s="89" t="s">
        <v>2310</v>
      </c>
    </row>
    <row r="232" spans="2:6" x14ac:dyDescent="0.3">
      <c r="B232" s="89" t="s">
        <v>2563</v>
      </c>
      <c r="C232" s="89" t="s">
        <v>2564</v>
      </c>
      <c r="D232" s="89" t="s">
        <v>2565</v>
      </c>
      <c r="E232" s="89" t="s">
        <v>2566</v>
      </c>
      <c r="F232" s="89" t="s">
        <v>2314</v>
      </c>
    </row>
    <row r="233" spans="2:6" ht="52.8" x14ac:dyDescent="0.3">
      <c r="B233" s="89">
        <v>37</v>
      </c>
      <c r="C233" s="89" t="s">
        <v>2567</v>
      </c>
      <c r="D233" s="89" t="s">
        <v>2568</v>
      </c>
      <c r="E233" s="89" t="s">
        <v>2569</v>
      </c>
      <c r="F233" s="89" t="s">
        <v>2314</v>
      </c>
    </row>
    <row r="234" spans="2:6" x14ac:dyDescent="0.3">
      <c r="B234" s="89">
        <v>38</v>
      </c>
      <c r="C234" s="89" t="s">
        <v>2570</v>
      </c>
      <c r="D234" s="89"/>
      <c r="E234" s="89" t="s">
        <v>2571</v>
      </c>
      <c r="F234" s="89" t="s">
        <v>2310</v>
      </c>
    </row>
    <row r="235" spans="2:6" x14ac:dyDescent="0.3">
      <c r="B235" s="89">
        <v>39</v>
      </c>
      <c r="C235" s="89" t="s">
        <v>2572</v>
      </c>
      <c r="D235" s="89" t="s">
        <v>2573</v>
      </c>
      <c r="E235" s="89" t="s">
        <v>2574</v>
      </c>
      <c r="F235" s="89" t="s">
        <v>2310</v>
      </c>
    </row>
    <row r="236" spans="2:6" ht="66" x14ac:dyDescent="0.3">
      <c r="B236" s="89">
        <v>40</v>
      </c>
      <c r="C236" s="89" t="s">
        <v>2575</v>
      </c>
      <c r="D236" s="89" t="s">
        <v>2576</v>
      </c>
      <c r="E236" s="89" t="s">
        <v>2577</v>
      </c>
      <c r="F236" s="89" t="s">
        <v>2310</v>
      </c>
    </row>
    <row r="237" spans="2:6" ht="26.4" x14ac:dyDescent="0.3">
      <c r="B237" s="89">
        <v>41</v>
      </c>
      <c r="C237" s="89" t="s">
        <v>2578</v>
      </c>
      <c r="D237" s="89" t="s">
        <v>2579</v>
      </c>
      <c r="E237" s="89" t="s">
        <v>2580</v>
      </c>
      <c r="F237" s="89" t="s">
        <v>2314</v>
      </c>
    </row>
    <row r="239" spans="2:6" ht="13.5" customHeight="1" x14ac:dyDescent="0.3">
      <c r="B239" s="93" t="s">
        <v>2581</v>
      </c>
      <c r="C239" s="93"/>
      <c r="D239" s="93"/>
      <c r="E239" s="93"/>
      <c r="F239" s="93"/>
    </row>
    <row r="240" spans="2:6" ht="13.5" customHeight="1" x14ac:dyDescent="0.3">
      <c r="B240" s="93" t="s">
        <v>2582</v>
      </c>
      <c r="C240" s="93"/>
      <c r="D240" s="93"/>
      <c r="E240" s="93"/>
      <c r="F240" s="93"/>
    </row>
    <row r="241" spans="2:6" ht="13.5" customHeight="1" x14ac:dyDescent="0.3">
      <c r="B241" s="93" t="s">
        <v>2583</v>
      </c>
      <c r="C241" s="93"/>
      <c r="D241" s="93"/>
      <c r="E241" s="93"/>
      <c r="F241" s="93"/>
    </row>
    <row r="242" spans="2:6" ht="13.5" customHeight="1" x14ac:dyDescent="0.3">
      <c r="B242" s="93" t="s">
        <v>2303</v>
      </c>
      <c r="C242" s="93"/>
      <c r="D242" s="93"/>
      <c r="E242" s="93"/>
      <c r="F242" s="93"/>
    </row>
    <row r="243" spans="2:6" x14ac:dyDescent="0.3">
      <c r="B243" s="84"/>
      <c r="C243" s="84"/>
      <c r="D243" s="84"/>
      <c r="E243" s="84"/>
      <c r="F243" s="84"/>
    </row>
    <row r="244" spans="2:6" ht="13.5" customHeight="1" x14ac:dyDescent="0.3">
      <c r="B244" s="148" t="s">
        <v>2584</v>
      </c>
      <c r="C244" s="148"/>
      <c r="D244" s="148"/>
      <c r="E244" s="148"/>
      <c r="F244" s="148"/>
    </row>
    <row r="245" spans="2:6" ht="13.5" customHeight="1" x14ac:dyDescent="0.3">
      <c r="B245" s="93" t="s">
        <v>2585</v>
      </c>
      <c r="C245" s="93"/>
      <c r="D245" s="93"/>
      <c r="E245" s="93"/>
      <c r="F245" s="93"/>
    </row>
    <row r="246" spans="2:6" x14ac:dyDescent="0.3">
      <c r="B246" s="87" t="s">
        <v>865</v>
      </c>
      <c r="C246" s="87" t="s">
        <v>813</v>
      </c>
    </row>
    <row r="247" spans="2:6" ht="26.4" x14ac:dyDescent="0.3">
      <c r="B247" s="89" t="s">
        <v>866</v>
      </c>
      <c r="C247" s="89" t="s">
        <v>851</v>
      </c>
    </row>
    <row r="248" spans="2:6" ht="26.4" x14ac:dyDescent="0.3">
      <c r="B248" s="89" t="s">
        <v>2586</v>
      </c>
      <c r="C248" s="89" t="s">
        <v>810</v>
      </c>
    </row>
    <row r="249" spans="2:6" x14ac:dyDescent="0.3">
      <c r="B249" s="89" t="s">
        <v>867</v>
      </c>
      <c r="C249" s="89" t="s">
        <v>810</v>
      </c>
    </row>
    <row r="250" spans="2:6" x14ac:dyDescent="0.3">
      <c r="B250" s="89" t="s">
        <v>868</v>
      </c>
      <c r="C250" s="89" t="s">
        <v>850</v>
      </c>
    </row>
    <row r="251" spans="2:6" x14ac:dyDescent="0.3">
      <c r="B251" s="89" t="s">
        <v>2587</v>
      </c>
      <c r="C251" s="89" t="s">
        <v>849</v>
      </c>
    </row>
    <row r="253" spans="2:6" ht="13.5" customHeight="1" x14ac:dyDescent="0.3">
      <c r="B253" s="93" t="s">
        <v>2482</v>
      </c>
      <c r="C253" s="93"/>
      <c r="D253" s="93"/>
      <c r="E253" s="93"/>
      <c r="F253" s="93"/>
    </row>
    <row r="254" spans="2:6" ht="27" customHeight="1" x14ac:dyDescent="0.3">
      <c r="B254" s="93" t="s">
        <v>2588</v>
      </c>
      <c r="C254" s="93"/>
      <c r="D254" s="93"/>
      <c r="E254" s="93"/>
      <c r="F254" s="93"/>
    </row>
    <row r="255" spans="2:6" ht="27" customHeight="1" x14ac:dyDescent="0.3">
      <c r="B255" s="93" t="s">
        <v>2589</v>
      </c>
      <c r="C255" s="93"/>
      <c r="D255" s="93"/>
      <c r="E255" s="93"/>
      <c r="F255" s="93"/>
    </row>
    <row r="256" spans="2:6" ht="13.5" customHeight="1" x14ac:dyDescent="0.3">
      <c r="B256" s="93" t="s">
        <v>2590</v>
      </c>
      <c r="C256" s="93"/>
      <c r="D256" s="93"/>
      <c r="E256" s="93"/>
      <c r="F256" s="93"/>
    </row>
    <row r="257" spans="2:6" ht="13.5" customHeight="1" x14ac:dyDescent="0.3">
      <c r="B257" s="93" t="s">
        <v>2591</v>
      </c>
      <c r="C257" s="93"/>
      <c r="D257" s="93"/>
      <c r="E257" s="93"/>
      <c r="F257" s="93"/>
    </row>
    <row r="258" spans="2:6" ht="40.5" customHeight="1" x14ac:dyDescent="0.3">
      <c r="B258" s="93" t="s">
        <v>2592</v>
      </c>
      <c r="C258" s="93"/>
      <c r="D258" s="93"/>
      <c r="E258" s="93"/>
      <c r="F258" s="93"/>
    </row>
    <row r="259" spans="2:6" ht="13.5" customHeight="1" x14ac:dyDescent="0.3">
      <c r="B259" s="93" t="s">
        <v>2593</v>
      </c>
      <c r="C259" s="93"/>
      <c r="D259" s="93"/>
      <c r="E259" s="93"/>
      <c r="F259" s="93"/>
    </row>
    <row r="260" spans="2:6" ht="13.5" customHeight="1" x14ac:dyDescent="0.3">
      <c r="B260" s="93" t="s">
        <v>2594</v>
      </c>
      <c r="C260" s="93"/>
      <c r="D260" s="93"/>
      <c r="E260" s="93"/>
      <c r="F260" s="93"/>
    </row>
    <row r="261" spans="2:6" ht="13.5" customHeight="1" x14ac:dyDescent="0.3">
      <c r="B261" s="93" t="s">
        <v>2595</v>
      </c>
      <c r="C261" s="93"/>
      <c r="D261" s="93"/>
      <c r="E261" s="93"/>
      <c r="F261" s="93"/>
    </row>
    <row r="262" spans="2:6" ht="13.5" customHeight="1" x14ac:dyDescent="0.3">
      <c r="B262" s="93" t="s">
        <v>2596</v>
      </c>
      <c r="C262" s="93"/>
      <c r="D262" s="93"/>
      <c r="E262" s="93"/>
      <c r="F262" s="93"/>
    </row>
    <row r="263" spans="2:6" ht="13.5" customHeight="1" x14ac:dyDescent="0.3">
      <c r="B263" s="93" t="s">
        <v>2597</v>
      </c>
      <c r="C263" s="93"/>
      <c r="D263" s="93"/>
      <c r="E263" s="93"/>
      <c r="F263" s="93"/>
    </row>
    <row r="264" spans="2:6" ht="27" customHeight="1" x14ac:dyDescent="0.3">
      <c r="B264" s="93" t="s">
        <v>2598</v>
      </c>
      <c r="C264" s="93"/>
      <c r="D264" s="93"/>
      <c r="E264" s="93"/>
      <c r="F264" s="93"/>
    </row>
    <row r="265" spans="2:6" ht="13.5" customHeight="1" x14ac:dyDescent="0.3">
      <c r="B265" s="93" t="s">
        <v>2303</v>
      </c>
      <c r="C265" s="93"/>
      <c r="D265" s="93"/>
      <c r="E265" s="93"/>
      <c r="F265" s="93"/>
    </row>
    <row r="266" spans="2:6" x14ac:dyDescent="0.3">
      <c r="B266" s="84"/>
      <c r="C266" s="84"/>
      <c r="D266" s="84"/>
      <c r="E266" s="84"/>
      <c r="F266" s="84"/>
    </row>
    <row r="267" spans="2:6" ht="13.5" customHeight="1" x14ac:dyDescent="0.3">
      <c r="B267" s="148" t="s">
        <v>2599</v>
      </c>
      <c r="C267" s="148"/>
      <c r="D267" s="148"/>
      <c r="E267" s="148"/>
      <c r="F267" s="148"/>
    </row>
    <row r="268" spans="2:6" ht="27" customHeight="1" x14ac:dyDescent="0.3">
      <c r="B268" s="93" t="s">
        <v>2600</v>
      </c>
      <c r="C268" s="93"/>
      <c r="D268" s="93"/>
      <c r="E268" s="93"/>
      <c r="F268" s="93"/>
    </row>
    <row r="269" spans="2:6" ht="13.5" customHeight="1" x14ac:dyDescent="0.3">
      <c r="B269" s="93" t="s">
        <v>2601</v>
      </c>
      <c r="C269" s="93"/>
      <c r="D269" s="93"/>
      <c r="E269" s="93"/>
      <c r="F269" s="93"/>
    </row>
    <row r="270" spans="2:6" ht="40.5" customHeight="1" x14ac:dyDescent="0.3">
      <c r="B270" s="93" t="s">
        <v>2602</v>
      </c>
      <c r="C270" s="93"/>
      <c r="D270" s="93"/>
      <c r="E270" s="93"/>
      <c r="F270" s="93"/>
    </row>
    <row r="271" spans="2:6" ht="13.5" customHeight="1" x14ac:dyDescent="0.3">
      <c r="B271" s="93" t="s">
        <v>2603</v>
      </c>
      <c r="C271" s="93"/>
      <c r="D271" s="93"/>
      <c r="E271" s="93"/>
      <c r="F271" s="93"/>
    </row>
    <row r="272" spans="2:6" ht="13.5" customHeight="1" x14ac:dyDescent="0.3">
      <c r="B272" s="93" t="s">
        <v>2303</v>
      </c>
      <c r="C272" s="93"/>
      <c r="D272" s="93"/>
      <c r="E272" s="93"/>
      <c r="F272" s="93"/>
    </row>
    <row r="273" spans="2:6" x14ac:dyDescent="0.3">
      <c r="B273" s="84"/>
      <c r="C273" s="84"/>
      <c r="D273" s="84"/>
      <c r="E273" s="84"/>
      <c r="F273" s="84"/>
    </row>
    <row r="274" spans="2:6" ht="13.5" customHeight="1" x14ac:dyDescent="0.3">
      <c r="B274" s="148" t="s">
        <v>2604</v>
      </c>
      <c r="C274" s="148"/>
      <c r="D274" s="148"/>
      <c r="E274" s="148"/>
      <c r="F274" s="148"/>
    </row>
    <row r="275" spans="2:6" ht="27" customHeight="1" x14ac:dyDescent="0.3">
      <c r="B275" s="93" t="s">
        <v>2605</v>
      </c>
      <c r="C275" s="93"/>
      <c r="D275" s="93"/>
      <c r="E275" s="93"/>
      <c r="F275" s="93"/>
    </row>
    <row r="276" spans="2:6" ht="13.5" customHeight="1" x14ac:dyDescent="0.3">
      <c r="B276" s="93" t="s">
        <v>2606</v>
      </c>
      <c r="C276" s="93"/>
      <c r="D276" s="93"/>
      <c r="E276" s="93"/>
      <c r="F276" s="93"/>
    </row>
    <row r="277" spans="2:6" ht="13.5" customHeight="1" x14ac:dyDescent="0.3">
      <c r="B277" s="93" t="s">
        <v>2303</v>
      </c>
      <c r="C277" s="93"/>
      <c r="D277" s="93"/>
      <c r="E277" s="93"/>
      <c r="F277" s="93"/>
    </row>
    <row r="278" spans="2:6" x14ac:dyDescent="0.3">
      <c r="B278" s="84"/>
      <c r="C278" s="84"/>
      <c r="D278" s="84"/>
      <c r="E278" s="84"/>
      <c r="F278" s="84"/>
    </row>
    <row r="279" spans="2:6" ht="13.5" customHeight="1" x14ac:dyDescent="0.3">
      <c r="B279" s="148" t="s">
        <v>2607</v>
      </c>
      <c r="C279" s="148"/>
      <c r="D279" s="148"/>
      <c r="E279" s="148"/>
      <c r="F279" s="148"/>
    </row>
    <row r="280" spans="2:6" ht="27" customHeight="1" x14ac:dyDescent="0.3">
      <c r="B280" s="93" t="s">
        <v>2608</v>
      </c>
      <c r="C280" s="93"/>
      <c r="D280" s="93"/>
      <c r="E280" s="93"/>
      <c r="F280" s="93"/>
    </row>
    <row r="281" spans="2:6" ht="13.5" customHeight="1" x14ac:dyDescent="0.3">
      <c r="B281" s="93" t="s">
        <v>2609</v>
      </c>
      <c r="C281" s="93"/>
      <c r="D281" s="93"/>
      <c r="E281" s="93"/>
      <c r="F281" s="93"/>
    </row>
    <row r="282" spans="2:6" ht="13.5" customHeight="1" x14ac:dyDescent="0.3">
      <c r="B282" s="93" t="s">
        <v>2303</v>
      </c>
      <c r="C282" s="93"/>
      <c r="D282" s="93"/>
      <c r="E282" s="93"/>
      <c r="F282" s="93"/>
    </row>
    <row r="283" spans="2:6" x14ac:dyDescent="0.3">
      <c r="B283" s="84"/>
      <c r="C283" s="84"/>
      <c r="D283" s="84"/>
      <c r="E283" s="84"/>
      <c r="F283" s="84"/>
    </row>
    <row r="284" spans="2:6" ht="13.5" customHeight="1" x14ac:dyDescent="0.3">
      <c r="B284" s="148" t="s">
        <v>2610</v>
      </c>
      <c r="C284" s="148"/>
      <c r="D284" s="148"/>
      <c r="E284" s="148"/>
      <c r="F284" s="148"/>
    </row>
    <row r="285" spans="2:6" ht="27" customHeight="1" x14ac:dyDescent="0.3">
      <c r="B285" s="93" t="s">
        <v>2611</v>
      </c>
      <c r="C285" s="93"/>
      <c r="D285" s="93"/>
      <c r="E285" s="93"/>
      <c r="F285" s="93"/>
    </row>
    <row r="286" spans="2:6" x14ac:dyDescent="0.3">
      <c r="B286" s="87" t="s">
        <v>2612</v>
      </c>
      <c r="C286" s="87" t="s">
        <v>2305</v>
      </c>
      <c r="D286" s="87" t="s">
        <v>2613</v>
      </c>
      <c r="E286" s="87" t="s">
        <v>2614</v>
      </c>
    </row>
    <row r="287" spans="2:6" x14ac:dyDescent="0.3">
      <c r="B287" s="89" t="s">
        <v>5</v>
      </c>
      <c r="C287" s="89" t="s">
        <v>2615</v>
      </c>
      <c r="D287" s="89" t="s">
        <v>2616</v>
      </c>
      <c r="E287" s="89" t="s">
        <v>2617</v>
      </c>
    </row>
    <row r="288" spans="2:6" x14ac:dyDescent="0.3">
      <c r="B288" s="89" t="s">
        <v>2618</v>
      </c>
      <c r="C288" s="89" t="s">
        <v>2619</v>
      </c>
      <c r="D288" s="89" t="s">
        <v>2620</v>
      </c>
      <c r="E288" s="89" t="s">
        <v>2621</v>
      </c>
    </row>
    <row r="289" spans="2:6" x14ac:dyDescent="0.3">
      <c r="B289" s="89" t="s">
        <v>2622</v>
      </c>
      <c r="C289" s="89" t="s">
        <v>2623</v>
      </c>
      <c r="D289" s="89" t="s">
        <v>2624</v>
      </c>
      <c r="E289" s="89" t="s">
        <v>2625</v>
      </c>
    </row>
    <row r="290" spans="2:6" ht="26.4" x14ac:dyDescent="0.3">
      <c r="B290" s="89" t="s">
        <v>2626</v>
      </c>
      <c r="C290" s="89" t="s">
        <v>2627</v>
      </c>
      <c r="D290" s="89" t="s">
        <v>2628</v>
      </c>
      <c r="E290" s="89" t="s">
        <v>2629</v>
      </c>
    </row>
    <row r="291" spans="2:6" ht="26.4" x14ac:dyDescent="0.3">
      <c r="B291" s="89" t="s">
        <v>2630</v>
      </c>
      <c r="C291" s="89" t="s">
        <v>2631</v>
      </c>
      <c r="D291" s="89" t="s">
        <v>2632</v>
      </c>
      <c r="E291" s="89" t="s">
        <v>2633</v>
      </c>
    </row>
    <row r="292" spans="2:6" x14ac:dyDescent="0.3">
      <c r="B292" s="89" t="s">
        <v>2634</v>
      </c>
      <c r="C292" s="89" t="s">
        <v>2635</v>
      </c>
      <c r="D292" s="89" t="s">
        <v>2636</v>
      </c>
      <c r="E292" s="89" t="s">
        <v>2637</v>
      </c>
    </row>
    <row r="293" spans="2:6" x14ac:dyDescent="0.3">
      <c r="B293" s="89" t="s">
        <v>2638</v>
      </c>
      <c r="C293" s="89" t="s">
        <v>2639</v>
      </c>
      <c r="D293" s="89" t="s">
        <v>720</v>
      </c>
      <c r="E293" s="89" t="s">
        <v>2640</v>
      </c>
    </row>
    <row r="295" spans="2:6" ht="13.5" customHeight="1" x14ac:dyDescent="0.3">
      <c r="B295" s="93" t="s">
        <v>2641</v>
      </c>
      <c r="C295" s="93"/>
      <c r="D295" s="93"/>
      <c r="E295" s="93"/>
      <c r="F295" s="93"/>
    </row>
    <row r="296" spans="2:6" ht="27" customHeight="1" x14ac:dyDescent="0.3">
      <c r="B296" s="93" t="s">
        <v>2642</v>
      </c>
      <c r="C296" s="93"/>
      <c r="D296" s="93"/>
      <c r="E296" s="93"/>
      <c r="F296" s="93"/>
    </row>
    <row r="297" spans="2:6" ht="27" customHeight="1" x14ac:dyDescent="0.3">
      <c r="B297" s="93" t="s">
        <v>2643</v>
      </c>
      <c r="C297" s="93"/>
      <c r="D297" s="93"/>
      <c r="E297" s="93"/>
      <c r="F297" s="93"/>
    </row>
    <row r="298" spans="2:6" ht="27" customHeight="1" x14ac:dyDescent="0.3">
      <c r="B298" s="93" t="s">
        <v>2644</v>
      </c>
      <c r="C298" s="93"/>
      <c r="D298" s="93"/>
      <c r="E298" s="93"/>
      <c r="F298" s="93"/>
    </row>
    <row r="299" spans="2:6" ht="40.5" customHeight="1" x14ac:dyDescent="0.3">
      <c r="B299" s="95" t="s">
        <v>2645</v>
      </c>
      <c r="C299" s="95"/>
      <c r="D299" s="95"/>
      <c r="E299" s="95"/>
      <c r="F299" s="95"/>
    </row>
    <row r="300" spans="2:6" ht="13.5" customHeight="1" x14ac:dyDescent="0.3">
      <c r="B300" s="93" t="s">
        <v>2303</v>
      </c>
      <c r="C300" s="93"/>
      <c r="D300" s="93"/>
      <c r="E300" s="93"/>
      <c r="F300" s="93"/>
    </row>
    <row r="301" spans="2:6" x14ac:dyDescent="0.3">
      <c r="B301" s="84"/>
      <c r="C301" s="84"/>
      <c r="D301" s="84"/>
      <c r="E301" s="84"/>
      <c r="F301" s="84"/>
    </row>
    <row r="302" spans="2:6" ht="13.5" customHeight="1" x14ac:dyDescent="0.3">
      <c r="B302" s="148" t="s">
        <v>2646</v>
      </c>
      <c r="C302" s="148"/>
      <c r="D302" s="148"/>
      <c r="E302" s="148"/>
      <c r="F302" s="148"/>
    </row>
    <row r="303" spans="2:6" ht="13.5" customHeight="1" x14ac:dyDescent="0.3">
      <c r="B303" s="93" t="s">
        <v>2647</v>
      </c>
      <c r="C303" s="93"/>
      <c r="D303" s="93"/>
      <c r="E303" s="93"/>
      <c r="F303" s="93"/>
    </row>
    <row r="304" spans="2:6" ht="13.5" customHeight="1" x14ac:dyDescent="0.3">
      <c r="B304" s="93" t="s">
        <v>2648</v>
      </c>
      <c r="C304" s="93"/>
      <c r="D304" s="93"/>
      <c r="E304" s="93"/>
      <c r="F304" s="93"/>
    </row>
    <row r="305" spans="2:6" ht="13.5" customHeight="1" x14ac:dyDescent="0.3">
      <c r="B305" s="93" t="s">
        <v>2649</v>
      </c>
      <c r="C305" s="93"/>
      <c r="D305" s="93"/>
      <c r="E305" s="93"/>
      <c r="F305" s="93"/>
    </row>
    <row r="306" spans="2:6" ht="13.5" customHeight="1" x14ac:dyDescent="0.3">
      <c r="B306" s="93" t="s">
        <v>2650</v>
      </c>
      <c r="C306" s="93"/>
      <c r="D306" s="93"/>
      <c r="E306" s="93"/>
      <c r="F306" s="93"/>
    </row>
    <row r="307" spans="2:6" ht="13.5" customHeight="1" x14ac:dyDescent="0.3">
      <c r="B307" s="93" t="s">
        <v>2651</v>
      </c>
      <c r="C307" s="93"/>
      <c r="D307" s="93"/>
      <c r="E307" s="93"/>
      <c r="F307" s="93"/>
    </row>
    <row r="308" spans="2:6" ht="13.5" customHeight="1" x14ac:dyDescent="0.3">
      <c r="B308" s="93" t="s">
        <v>2652</v>
      </c>
      <c r="C308" s="93"/>
      <c r="D308" s="93"/>
      <c r="E308" s="93"/>
      <c r="F308" s="93"/>
    </row>
    <row r="309" spans="2:6" ht="13.5" customHeight="1" x14ac:dyDescent="0.3">
      <c r="B309" s="93" t="s">
        <v>2303</v>
      </c>
      <c r="C309" s="93"/>
      <c r="D309" s="93"/>
      <c r="E309" s="93"/>
      <c r="F309" s="93"/>
    </row>
    <row r="310" spans="2:6" x14ac:dyDescent="0.3">
      <c r="B310" s="84"/>
      <c r="C310" s="84"/>
      <c r="D310" s="84"/>
      <c r="E310" s="84"/>
      <c r="F310" s="84"/>
    </row>
    <row r="311" spans="2:6" ht="13.5" customHeight="1" x14ac:dyDescent="0.3">
      <c r="B311" s="148" t="s">
        <v>2653</v>
      </c>
      <c r="C311" s="148"/>
      <c r="D311" s="148"/>
      <c r="E311" s="148"/>
      <c r="F311" s="148"/>
    </row>
    <row r="312" spans="2:6" ht="27" customHeight="1" x14ac:dyDescent="0.3">
      <c r="B312" s="93" t="s">
        <v>2654</v>
      </c>
      <c r="C312" s="93"/>
      <c r="D312" s="93"/>
      <c r="E312" s="93"/>
      <c r="F312" s="93"/>
    </row>
    <row r="313" spans="2:6" x14ac:dyDescent="0.3">
      <c r="B313" s="87" t="s">
        <v>2305</v>
      </c>
      <c r="C313" s="87" t="s">
        <v>2655</v>
      </c>
      <c r="D313" s="87" t="s">
        <v>2656</v>
      </c>
    </row>
    <row r="314" spans="2:6" ht="26.4" x14ac:dyDescent="0.3">
      <c r="B314" s="89" t="s">
        <v>2657</v>
      </c>
      <c r="C314" s="89" t="s">
        <v>2658</v>
      </c>
      <c r="D314" s="89" t="s">
        <v>2659</v>
      </c>
    </row>
    <row r="315" spans="2:6" ht="52.8" x14ac:dyDescent="0.3">
      <c r="B315" s="89" t="s">
        <v>2660</v>
      </c>
      <c r="C315" s="89">
        <v>1</v>
      </c>
      <c r="D315" s="89" t="s">
        <v>2661</v>
      </c>
    </row>
    <row r="316" spans="2:6" ht="52.8" x14ac:dyDescent="0.3">
      <c r="B316" s="89" t="s">
        <v>2345</v>
      </c>
      <c r="C316" s="89" t="s">
        <v>2662</v>
      </c>
      <c r="D316" s="89" t="s">
        <v>2663</v>
      </c>
    </row>
    <row r="317" spans="2:6" ht="39.6" x14ac:dyDescent="0.3">
      <c r="B317" s="89" t="s">
        <v>2664</v>
      </c>
      <c r="C317" s="89" t="s">
        <v>2665</v>
      </c>
      <c r="D317" s="89" t="s">
        <v>2666</v>
      </c>
    </row>
    <row r="318" spans="2:6" ht="39.6" x14ac:dyDescent="0.3">
      <c r="B318" s="89" t="s">
        <v>2667</v>
      </c>
      <c r="C318" s="89" t="s">
        <v>2668</v>
      </c>
      <c r="D318" s="89" t="s">
        <v>2669</v>
      </c>
    </row>
    <row r="319" spans="2:6" ht="26.4" x14ac:dyDescent="0.3">
      <c r="B319" s="89" t="s">
        <v>2670</v>
      </c>
      <c r="C319" s="89" t="s">
        <v>484</v>
      </c>
      <c r="D319" s="89" t="s">
        <v>2671</v>
      </c>
    </row>
    <row r="320" spans="2:6" ht="39.6" x14ac:dyDescent="0.3">
      <c r="B320" s="89" t="s">
        <v>2672</v>
      </c>
      <c r="C320" s="89" t="s">
        <v>2673</v>
      </c>
      <c r="D320" s="89" t="s">
        <v>2674</v>
      </c>
    </row>
    <row r="321" spans="2:6" ht="52.8" x14ac:dyDescent="0.3">
      <c r="B321" s="89" t="s">
        <v>2675</v>
      </c>
      <c r="C321" s="89" t="s">
        <v>2676</v>
      </c>
      <c r="D321" s="89" t="s">
        <v>2677</v>
      </c>
    </row>
    <row r="323" spans="2:6" ht="40.5" customHeight="1" x14ac:dyDescent="0.3">
      <c r="B323" s="93" t="s">
        <v>2678</v>
      </c>
      <c r="C323" s="93"/>
      <c r="D323" s="93"/>
      <c r="E323" s="93"/>
      <c r="F323" s="93"/>
    </row>
    <row r="324" spans="2:6" ht="40.5" customHeight="1" x14ac:dyDescent="0.3">
      <c r="B324" s="93" t="s">
        <v>2679</v>
      </c>
      <c r="C324" s="93"/>
      <c r="D324" s="93"/>
      <c r="E324" s="93"/>
      <c r="F324" s="93"/>
    </row>
    <row r="325" spans="2:6" ht="40.5" customHeight="1" x14ac:dyDescent="0.3">
      <c r="B325" s="93" t="s">
        <v>2680</v>
      </c>
      <c r="C325" s="93"/>
      <c r="D325" s="93"/>
      <c r="E325" s="93"/>
      <c r="F325" s="93"/>
    </row>
    <row r="326" spans="2:6" x14ac:dyDescent="0.3">
      <c r="B326" s="84"/>
      <c r="C326" s="84"/>
      <c r="D326" s="84"/>
      <c r="E326" s="84"/>
      <c r="F326" s="84"/>
    </row>
    <row r="327" spans="2:6" ht="13.5" customHeight="1" x14ac:dyDescent="0.3">
      <c r="B327" s="148" t="s">
        <v>2681</v>
      </c>
      <c r="C327" s="148"/>
      <c r="D327" s="148"/>
      <c r="E327" s="148"/>
      <c r="F327" s="148"/>
    </row>
    <row r="328" spans="2:6" ht="27" customHeight="1" x14ac:dyDescent="0.3">
      <c r="B328" s="93" t="s">
        <v>2682</v>
      </c>
      <c r="C328" s="93"/>
      <c r="D328" s="93"/>
      <c r="E328" s="93"/>
      <c r="F328" s="93"/>
    </row>
    <row r="329" spans="2:6" ht="54" customHeight="1" x14ac:dyDescent="0.3">
      <c r="B329" s="93" t="s">
        <v>2683</v>
      </c>
      <c r="C329" s="93"/>
      <c r="D329" s="93"/>
      <c r="E329" s="93"/>
      <c r="F329" s="93"/>
    </row>
    <row r="330" spans="2:6" ht="40.5" customHeight="1" x14ac:dyDescent="0.3">
      <c r="B330" s="93" t="s">
        <v>2684</v>
      </c>
      <c r="C330" s="93"/>
      <c r="D330" s="93"/>
      <c r="E330" s="93"/>
      <c r="F330" s="93"/>
    </row>
    <row r="331" spans="2:6" ht="54" customHeight="1" x14ac:dyDescent="0.3">
      <c r="B331" s="93" t="s">
        <v>2685</v>
      </c>
      <c r="C331" s="93"/>
      <c r="D331" s="93"/>
      <c r="E331" s="93"/>
      <c r="F331" s="93"/>
    </row>
    <row r="332" spans="2:6" ht="13.5" customHeight="1" x14ac:dyDescent="0.3">
      <c r="B332" s="93" t="s">
        <v>2686</v>
      </c>
      <c r="C332" s="93"/>
      <c r="D332" s="93"/>
      <c r="E332" s="93"/>
      <c r="F332" s="93"/>
    </row>
    <row r="333" spans="2:6" ht="27" customHeight="1" x14ac:dyDescent="0.3">
      <c r="B333" s="93" t="s">
        <v>2687</v>
      </c>
      <c r="C333" s="93"/>
      <c r="D333" s="93"/>
      <c r="E333" s="93"/>
      <c r="F333" s="93"/>
    </row>
    <row r="334" spans="2:6" ht="13.5" customHeight="1" x14ac:dyDescent="0.3">
      <c r="B334" s="93" t="s">
        <v>2688</v>
      </c>
      <c r="C334" s="93"/>
      <c r="D334" s="93"/>
      <c r="E334" s="93"/>
      <c r="F334" s="93"/>
    </row>
    <row r="335" spans="2:6" ht="27" customHeight="1" x14ac:dyDescent="0.3">
      <c r="B335" s="93" t="s">
        <v>2689</v>
      </c>
      <c r="C335" s="93"/>
      <c r="D335" s="93"/>
      <c r="E335" s="93"/>
      <c r="F335" s="93"/>
    </row>
    <row r="336" spans="2:6" ht="40.5" customHeight="1" x14ac:dyDescent="0.3">
      <c r="B336" s="93" t="s">
        <v>2690</v>
      </c>
      <c r="C336" s="93"/>
      <c r="D336" s="93"/>
      <c r="E336" s="93"/>
      <c r="F336" s="93"/>
    </row>
    <row r="337" spans="2:6" ht="40.5" customHeight="1" x14ac:dyDescent="0.3">
      <c r="B337" s="93" t="s">
        <v>2691</v>
      </c>
      <c r="C337" s="93"/>
      <c r="D337" s="93"/>
      <c r="E337" s="93"/>
      <c r="F337" s="93"/>
    </row>
    <row r="338" spans="2:6" ht="54" customHeight="1" x14ac:dyDescent="0.3">
      <c r="B338" s="93" t="s">
        <v>2692</v>
      </c>
      <c r="C338" s="93"/>
      <c r="D338" s="93"/>
      <c r="E338" s="93"/>
      <c r="F338" s="93"/>
    </row>
    <row r="339" spans="2:6" ht="67.5" customHeight="1" x14ac:dyDescent="0.3">
      <c r="B339" s="93" t="s">
        <v>2693</v>
      </c>
      <c r="C339" s="93"/>
      <c r="D339" s="93"/>
      <c r="E339" s="93"/>
      <c r="F339" s="93"/>
    </row>
    <row r="340" spans="2:6" ht="40.5" customHeight="1" x14ac:dyDescent="0.3">
      <c r="B340" s="93" t="s">
        <v>2694</v>
      </c>
      <c r="C340" s="93"/>
      <c r="D340" s="93"/>
      <c r="E340" s="93"/>
      <c r="F340" s="93"/>
    </row>
    <row r="341" spans="2:6" x14ac:dyDescent="0.3">
      <c r="B341" s="84"/>
      <c r="C341" s="84"/>
      <c r="D341" s="84"/>
      <c r="E341" s="84"/>
      <c r="F341" s="84"/>
    </row>
    <row r="342" spans="2:6" ht="13.5" customHeight="1" x14ac:dyDescent="0.3">
      <c r="B342" s="148" t="s">
        <v>2695</v>
      </c>
      <c r="C342" s="148"/>
      <c r="D342" s="148"/>
      <c r="E342" s="148"/>
      <c r="F342" s="148"/>
    </row>
    <row r="343" spans="2:6" ht="54" customHeight="1" x14ac:dyDescent="0.3">
      <c r="B343" s="93" t="s">
        <v>2696</v>
      </c>
      <c r="C343" s="93"/>
      <c r="D343" s="93"/>
      <c r="E343" s="93"/>
      <c r="F343" s="93"/>
    </row>
    <row r="344" spans="2:6" ht="27" customHeight="1" x14ac:dyDescent="0.3">
      <c r="B344" s="93" t="s">
        <v>2697</v>
      </c>
      <c r="C344" s="93"/>
      <c r="D344" s="93"/>
      <c r="E344" s="93"/>
      <c r="F344" s="93"/>
    </row>
    <row r="345" spans="2:6" ht="40.5" customHeight="1" x14ac:dyDescent="0.3">
      <c r="B345" s="93" t="s">
        <v>2698</v>
      </c>
      <c r="C345" s="93"/>
      <c r="D345" s="93"/>
      <c r="E345" s="93"/>
      <c r="F345" s="93"/>
    </row>
    <row r="346" spans="2:6" ht="13.5" customHeight="1" x14ac:dyDescent="0.3">
      <c r="B346" s="93" t="s">
        <v>2699</v>
      </c>
      <c r="C346" s="93"/>
      <c r="D346" s="93"/>
      <c r="E346" s="93"/>
      <c r="F346" s="93"/>
    </row>
    <row r="347" spans="2:6" ht="67.5" customHeight="1" x14ac:dyDescent="0.3">
      <c r="B347" s="93" t="s">
        <v>2700</v>
      </c>
      <c r="C347" s="93"/>
      <c r="D347" s="93"/>
      <c r="E347" s="93"/>
      <c r="F347" s="93"/>
    </row>
    <row r="348" spans="2:6" ht="40.5" customHeight="1" x14ac:dyDescent="0.3">
      <c r="B348" s="93" t="s">
        <v>2701</v>
      </c>
      <c r="C348" s="93"/>
      <c r="D348" s="93"/>
      <c r="E348" s="93"/>
      <c r="F348" s="93"/>
    </row>
    <row r="349" spans="2:6" ht="67.5" customHeight="1" x14ac:dyDescent="0.3">
      <c r="B349" s="93" t="s">
        <v>2702</v>
      </c>
      <c r="C349" s="93"/>
      <c r="D349" s="93"/>
      <c r="E349" s="93"/>
      <c r="F349" s="93"/>
    </row>
    <row r="350" spans="2:6" ht="27" customHeight="1" x14ac:dyDescent="0.3">
      <c r="B350" s="93" t="s">
        <v>2703</v>
      </c>
      <c r="C350" s="93"/>
      <c r="D350" s="93"/>
      <c r="E350" s="93"/>
      <c r="F350" s="93"/>
    </row>
    <row r="351" spans="2:6" ht="13.5" customHeight="1" x14ac:dyDescent="0.3">
      <c r="B351" s="93" t="s">
        <v>2704</v>
      </c>
      <c r="C351" s="93"/>
      <c r="D351" s="93"/>
      <c r="E351" s="93"/>
      <c r="F351" s="93"/>
    </row>
    <row r="352" spans="2:6" ht="40.5" customHeight="1" x14ac:dyDescent="0.3">
      <c r="B352" s="93" t="s">
        <v>2705</v>
      </c>
      <c r="C352" s="93"/>
      <c r="D352" s="93"/>
      <c r="E352" s="93"/>
      <c r="F352" s="93"/>
    </row>
    <row r="353" spans="2:6" x14ac:dyDescent="0.3">
      <c r="B353" s="84"/>
      <c r="C353" s="84"/>
      <c r="D353" s="84"/>
      <c r="E353" s="84"/>
      <c r="F353" s="84"/>
    </row>
    <row r="354" spans="2:6" ht="13.5" customHeight="1" x14ac:dyDescent="0.3">
      <c r="B354" s="148" t="s">
        <v>2706</v>
      </c>
      <c r="C354" s="148"/>
      <c r="D354" s="148"/>
      <c r="E354" s="148"/>
      <c r="F354" s="148"/>
    </row>
    <row r="355" spans="2:6" ht="27" customHeight="1" x14ac:dyDescent="0.3">
      <c r="B355" s="93" t="s">
        <v>2707</v>
      </c>
      <c r="C355" s="93"/>
      <c r="D355" s="93"/>
      <c r="E355" s="93"/>
      <c r="F355" s="93"/>
    </row>
    <row r="356" spans="2:6" ht="40.5" customHeight="1" x14ac:dyDescent="0.3">
      <c r="B356" s="93" t="s">
        <v>2708</v>
      </c>
      <c r="C356" s="93"/>
      <c r="D356" s="93"/>
      <c r="E356" s="93"/>
      <c r="F356" s="93"/>
    </row>
    <row r="357" spans="2:6" ht="27" customHeight="1" x14ac:dyDescent="0.3">
      <c r="B357" s="93" t="s">
        <v>2709</v>
      </c>
      <c r="C357" s="93"/>
      <c r="D357" s="93"/>
      <c r="E357" s="93"/>
      <c r="F357" s="93"/>
    </row>
    <row r="358" spans="2:6" ht="13.5" customHeight="1" x14ac:dyDescent="0.3">
      <c r="B358" s="93" t="s">
        <v>2710</v>
      </c>
      <c r="C358" s="93"/>
      <c r="D358" s="93"/>
      <c r="E358" s="93"/>
      <c r="F358" s="93"/>
    </row>
    <row r="359" spans="2:6" ht="40.5" customHeight="1" x14ac:dyDescent="0.3">
      <c r="B359" s="93" t="s">
        <v>2711</v>
      </c>
      <c r="C359" s="93"/>
      <c r="D359" s="93"/>
      <c r="E359" s="93"/>
      <c r="F359" s="93"/>
    </row>
    <row r="360" spans="2:6" ht="13.5" customHeight="1" x14ac:dyDescent="0.3">
      <c r="B360" s="93" t="s">
        <v>2712</v>
      </c>
      <c r="C360" s="93"/>
      <c r="D360" s="93"/>
      <c r="E360" s="93"/>
      <c r="F360" s="93"/>
    </row>
    <row r="361" spans="2:6" ht="27" customHeight="1" x14ac:dyDescent="0.3">
      <c r="B361" s="93" t="s">
        <v>2713</v>
      </c>
      <c r="C361" s="93"/>
      <c r="D361" s="93"/>
      <c r="E361" s="93"/>
      <c r="F361" s="93"/>
    </row>
    <row r="362" spans="2:6" ht="13.5" customHeight="1" x14ac:dyDescent="0.3">
      <c r="B362" s="93" t="s">
        <v>2714</v>
      </c>
      <c r="C362" s="93"/>
      <c r="D362" s="93"/>
      <c r="E362" s="93"/>
      <c r="F362" s="93"/>
    </row>
    <row r="363" spans="2:6" x14ac:dyDescent="0.3">
      <c r="B363" s="84"/>
      <c r="C363" s="84"/>
      <c r="D363" s="84"/>
      <c r="E363" s="84"/>
      <c r="F363" s="84"/>
    </row>
    <row r="364" spans="2:6" ht="13.5" customHeight="1" x14ac:dyDescent="0.3">
      <c r="B364" s="148" t="s">
        <v>2715</v>
      </c>
      <c r="C364" s="148"/>
      <c r="D364" s="148"/>
      <c r="E364" s="148"/>
      <c r="F364" s="148"/>
    </row>
    <row r="365" spans="2:6" ht="54" customHeight="1" x14ac:dyDescent="0.3">
      <c r="B365" s="93" t="s">
        <v>2716</v>
      </c>
      <c r="C365" s="93"/>
      <c r="D365" s="93"/>
      <c r="E365" s="93"/>
      <c r="F365" s="93"/>
    </row>
    <row r="366" spans="2:6" ht="67.5" customHeight="1" x14ac:dyDescent="0.3">
      <c r="B366" s="93" t="s">
        <v>2717</v>
      </c>
      <c r="C366" s="93"/>
      <c r="D366" s="93"/>
      <c r="E366" s="93"/>
      <c r="F366" s="93"/>
    </row>
    <row r="367" spans="2:6" ht="13.5" customHeight="1" x14ac:dyDescent="0.3">
      <c r="B367" s="93" t="s">
        <v>2718</v>
      </c>
      <c r="C367" s="93"/>
      <c r="D367" s="93"/>
      <c r="E367" s="93"/>
      <c r="F367" s="93"/>
    </row>
    <row r="368" spans="2:6" ht="40.5" customHeight="1" x14ac:dyDescent="0.3">
      <c r="B368" s="93" t="s">
        <v>2719</v>
      </c>
      <c r="C368" s="93"/>
      <c r="D368" s="93"/>
      <c r="E368" s="93"/>
      <c r="F368" s="93"/>
    </row>
    <row r="369" spans="2:6" ht="54" customHeight="1" x14ac:dyDescent="0.3">
      <c r="B369" s="93" t="s">
        <v>2720</v>
      </c>
      <c r="C369" s="93"/>
      <c r="D369" s="93"/>
      <c r="E369" s="93"/>
      <c r="F369" s="93"/>
    </row>
    <row r="370" spans="2:6" x14ac:dyDescent="0.3">
      <c r="B370" s="84"/>
      <c r="C370" s="84"/>
      <c r="D370" s="84"/>
      <c r="E370" s="84"/>
      <c r="F370" s="84"/>
    </row>
    <row r="371" spans="2:6" ht="13.5" customHeight="1" x14ac:dyDescent="0.3">
      <c r="B371" s="148" t="s">
        <v>2721</v>
      </c>
      <c r="C371" s="148"/>
      <c r="D371" s="148"/>
      <c r="E371" s="148"/>
      <c r="F371" s="148"/>
    </row>
    <row r="372" spans="2:6" ht="27" customHeight="1" x14ac:dyDescent="0.3">
      <c r="B372" s="93" t="s">
        <v>2722</v>
      </c>
      <c r="C372" s="93"/>
      <c r="D372" s="93"/>
      <c r="E372" s="93"/>
      <c r="F372" s="93"/>
    </row>
    <row r="373" spans="2:6" ht="27" customHeight="1" x14ac:dyDescent="0.3">
      <c r="B373" s="93" t="s">
        <v>2723</v>
      </c>
      <c r="C373" s="93"/>
      <c r="D373" s="93"/>
      <c r="E373" s="93"/>
      <c r="F373" s="93"/>
    </row>
    <row r="374" spans="2:6" ht="27" customHeight="1" x14ac:dyDescent="0.3">
      <c r="B374" s="93" t="s">
        <v>2724</v>
      </c>
      <c r="C374" s="93"/>
      <c r="D374" s="93"/>
      <c r="E374" s="93"/>
      <c r="F374" s="93"/>
    </row>
    <row r="375" spans="2:6" ht="13.5" customHeight="1" x14ac:dyDescent="0.3">
      <c r="B375" s="93" t="s">
        <v>2725</v>
      </c>
      <c r="C375" s="93"/>
      <c r="D375" s="93"/>
      <c r="E375" s="93"/>
      <c r="F375" s="93"/>
    </row>
    <row r="376" spans="2:6" ht="13.5" customHeight="1" x14ac:dyDescent="0.3">
      <c r="B376" s="93" t="s">
        <v>2726</v>
      </c>
      <c r="C376" s="93"/>
      <c r="D376" s="93"/>
      <c r="E376" s="93"/>
      <c r="F376" s="93"/>
    </row>
    <row r="377" spans="2:6" ht="27" customHeight="1" x14ac:dyDescent="0.3">
      <c r="B377" s="93" t="s">
        <v>2727</v>
      </c>
      <c r="C377" s="93"/>
      <c r="D377" s="93"/>
      <c r="E377" s="93"/>
      <c r="F377" s="93"/>
    </row>
    <row r="378" spans="2:6" ht="27" customHeight="1" x14ac:dyDescent="0.3">
      <c r="B378" s="93" t="s">
        <v>2728</v>
      </c>
      <c r="C378" s="93"/>
      <c r="D378" s="93"/>
      <c r="E378" s="93"/>
      <c r="F378" s="93"/>
    </row>
  </sheetData>
  <mergeCells count="266">
    <mergeCell ref="B373:F373"/>
    <mergeCell ref="B374:F374"/>
    <mergeCell ref="B375:F375"/>
    <mergeCell ref="B376:F376"/>
    <mergeCell ref="B377:F377"/>
    <mergeCell ref="B378:F378"/>
    <mergeCell ref="B367:F367"/>
    <mergeCell ref="B368:F368"/>
    <mergeCell ref="B369:F369"/>
    <mergeCell ref="B371:F371"/>
    <mergeCell ref="B372:F372"/>
    <mergeCell ref="B361:F361"/>
    <mergeCell ref="B362:F362"/>
    <mergeCell ref="B364:F364"/>
    <mergeCell ref="B365:F365"/>
    <mergeCell ref="B366:F366"/>
    <mergeCell ref="B355:F355"/>
    <mergeCell ref="B356:F356"/>
    <mergeCell ref="B357:F357"/>
    <mergeCell ref="B358:F358"/>
    <mergeCell ref="B359:F359"/>
    <mergeCell ref="B360:F360"/>
    <mergeCell ref="B349:F349"/>
    <mergeCell ref="B350:F350"/>
    <mergeCell ref="B351:F351"/>
    <mergeCell ref="B352:F352"/>
    <mergeCell ref="B354:F354"/>
    <mergeCell ref="B343:F343"/>
    <mergeCell ref="B344:F344"/>
    <mergeCell ref="B345:F345"/>
    <mergeCell ref="B346:F346"/>
    <mergeCell ref="B347:F347"/>
    <mergeCell ref="B348:F348"/>
    <mergeCell ref="B337:F337"/>
    <mergeCell ref="B338:F338"/>
    <mergeCell ref="B339:F339"/>
    <mergeCell ref="B340:F340"/>
    <mergeCell ref="B342:F342"/>
    <mergeCell ref="B331:F331"/>
    <mergeCell ref="B332:F332"/>
    <mergeCell ref="B333:F333"/>
    <mergeCell ref="B334:F334"/>
    <mergeCell ref="B335:F335"/>
    <mergeCell ref="B336:F336"/>
    <mergeCell ref="B325:F325"/>
    <mergeCell ref="B327:F327"/>
    <mergeCell ref="B328:F328"/>
    <mergeCell ref="B329:F329"/>
    <mergeCell ref="B330:F330"/>
    <mergeCell ref="B309:F309"/>
    <mergeCell ref="B311:F311"/>
    <mergeCell ref="B312:F312"/>
    <mergeCell ref="B323:F323"/>
    <mergeCell ref="B324:F324"/>
    <mergeCell ref="B303:F303"/>
    <mergeCell ref="B304:F304"/>
    <mergeCell ref="B305:F305"/>
    <mergeCell ref="B306:F306"/>
    <mergeCell ref="B307:F307"/>
    <mergeCell ref="B308:F308"/>
    <mergeCell ref="B297:F297"/>
    <mergeCell ref="B298:F298"/>
    <mergeCell ref="B299:F299"/>
    <mergeCell ref="B300:F300"/>
    <mergeCell ref="B302:F302"/>
    <mergeCell ref="B282:F282"/>
    <mergeCell ref="B284:F284"/>
    <mergeCell ref="B285:F285"/>
    <mergeCell ref="B295:F295"/>
    <mergeCell ref="B296:F296"/>
    <mergeCell ref="B276:F276"/>
    <mergeCell ref="B277:F277"/>
    <mergeCell ref="B279:F279"/>
    <mergeCell ref="B280:F280"/>
    <mergeCell ref="B281:F281"/>
    <mergeCell ref="B270:F270"/>
    <mergeCell ref="B271:F271"/>
    <mergeCell ref="B272:F272"/>
    <mergeCell ref="B274:F274"/>
    <mergeCell ref="B275:F275"/>
    <mergeCell ref="B264:F264"/>
    <mergeCell ref="B265:F265"/>
    <mergeCell ref="B267:F267"/>
    <mergeCell ref="B268:F268"/>
    <mergeCell ref="B269:F269"/>
    <mergeCell ref="B258:F258"/>
    <mergeCell ref="B259:F259"/>
    <mergeCell ref="B260:F260"/>
    <mergeCell ref="B261:F261"/>
    <mergeCell ref="B262:F262"/>
    <mergeCell ref="B263:F263"/>
    <mergeCell ref="B245:F245"/>
    <mergeCell ref="B253:F253"/>
    <mergeCell ref="B254:F254"/>
    <mergeCell ref="B255:F255"/>
    <mergeCell ref="B256:F256"/>
    <mergeCell ref="B257:F257"/>
    <mergeCell ref="B239:F239"/>
    <mergeCell ref="B240:F240"/>
    <mergeCell ref="B241:F241"/>
    <mergeCell ref="B242:F242"/>
    <mergeCell ref="B244:F244"/>
    <mergeCell ref="B222:F222"/>
    <mergeCell ref="B223:F223"/>
    <mergeCell ref="B224:F224"/>
    <mergeCell ref="B225:F225"/>
    <mergeCell ref="B227:F227"/>
    <mergeCell ref="B216:F216"/>
    <mergeCell ref="B217:F217"/>
    <mergeCell ref="B218:F218"/>
    <mergeCell ref="B219:F219"/>
    <mergeCell ref="B220:F220"/>
    <mergeCell ref="B221:F221"/>
    <mergeCell ref="B210:F210"/>
    <mergeCell ref="B211:F211"/>
    <mergeCell ref="B212:F212"/>
    <mergeCell ref="B213:F213"/>
    <mergeCell ref="B214:F214"/>
    <mergeCell ref="B215:F215"/>
    <mergeCell ref="B204:F204"/>
    <mergeCell ref="B205:F205"/>
    <mergeCell ref="B206:F206"/>
    <mergeCell ref="B207:F207"/>
    <mergeCell ref="B208:F208"/>
    <mergeCell ref="B209:F209"/>
    <mergeCell ref="B198:F198"/>
    <mergeCell ref="B199:F199"/>
    <mergeCell ref="B200:F200"/>
    <mergeCell ref="B201:F201"/>
    <mergeCell ref="B202:F202"/>
    <mergeCell ref="B203:F203"/>
    <mergeCell ref="B182:F182"/>
    <mergeCell ref="B183:F183"/>
    <mergeCell ref="B191:F191"/>
    <mergeCell ref="B192:F192"/>
    <mergeCell ref="B193:F193"/>
    <mergeCell ref="B197:F197"/>
    <mergeCell ref="B176:F176"/>
    <mergeCell ref="B177:F177"/>
    <mergeCell ref="B178:F178"/>
    <mergeCell ref="B179:F179"/>
    <mergeCell ref="B180:F180"/>
    <mergeCell ref="B170:F170"/>
    <mergeCell ref="B171:F171"/>
    <mergeCell ref="B172:F172"/>
    <mergeCell ref="B173:F173"/>
    <mergeCell ref="B174:F174"/>
    <mergeCell ref="B175:F175"/>
    <mergeCell ref="B164:F164"/>
    <mergeCell ref="B165:F165"/>
    <mergeCell ref="B166:F166"/>
    <mergeCell ref="B167:F167"/>
    <mergeCell ref="B168:F168"/>
    <mergeCell ref="B169:F169"/>
    <mergeCell ref="B158:F158"/>
    <mergeCell ref="B159:F159"/>
    <mergeCell ref="B160:F160"/>
    <mergeCell ref="B161:F161"/>
    <mergeCell ref="B162:F162"/>
    <mergeCell ref="B163:F163"/>
    <mergeCell ref="B152:F152"/>
    <mergeCell ref="B153:F153"/>
    <mergeCell ref="B154:F154"/>
    <mergeCell ref="B155:F155"/>
    <mergeCell ref="B156:F156"/>
    <mergeCell ref="B157:F157"/>
    <mergeCell ref="B146:F146"/>
    <mergeCell ref="B147:F147"/>
    <mergeCell ref="B149:F149"/>
    <mergeCell ref="B150:F150"/>
    <mergeCell ref="B151:F151"/>
    <mergeCell ref="B140:F140"/>
    <mergeCell ref="B141:F141"/>
    <mergeCell ref="B142:F142"/>
    <mergeCell ref="B143:F143"/>
    <mergeCell ref="B144:F144"/>
    <mergeCell ref="B145:F145"/>
    <mergeCell ref="B134:F134"/>
    <mergeCell ref="B135:F135"/>
    <mergeCell ref="B136:F136"/>
    <mergeCell ref="B137:F137"/>
    <mergeCell ref="B138:F138"/>
    <mergeCell ref="B139:F139"/>
    <mergeCell ref="B128:F128"/>
    <mergeCell ref="B129:F129"/>
    <mergeCell ref="B130:F130"/>
    <mergeCell ref="B131:F131"/>
    <mergeCell ref="B132:F132"/>
    <mergeCell ref="B122:F122"/>
    <mergeCell ref="B123:F123"/>
    <mergeCell ref="B125:F125"/>
    <mergeCell ref="B126:F126"/>
    <mergeCell ref="B127:F127"/>
    <mergeCell ref="B116:F116"/>
    <mergeCell ref="B117:F117"/>
    <mergeCell ref="B118:F118"/>
    <mergeCell ref="B119:F119"/>
    <mergeCell ref="B120:F120"/>
    <mergeCell ref="B121:F121"/>
    <mergeCell ref="B110:F110"/>
    <mergeCell ref="B111:F111"/>
    <mergeCell ref="B112:F112"/>
    <mergeCell ref="B113:F113"/>
    <mergeCell ref="B114:F114"/>
    <mergeCell ref="B115:F115"/>
    <mergeCell ref="B104:F104"/>
    <mergeCell ref="B105:F105"/>
    <mergeCell ref="B106:F106"/>
    <mergeCell ref="B108:F108"/>
    <mergeCell ref="B109:F109"/>
    <mergeCell ref="B98:F98"/>
    <mergeCell ref="B99:F99"/>
    <mergeCell ref="B100:F100"/>
    <mergeCell ref="B101:F101"/>
    <mergeCell ref="B102:F102"/>
    <mergeCell ref="B103:F103"/>
    <mergeCell ref="B92:F92"/>
    <mergeCell ref="B93:F93"/>
    <mergeCell ref="B94:F94"/>
    <mergeCell ref="B95:F95"/>
    <mergeCell ref="B96:F96"/>
    <mergeCell ref="B97:F97"/>
    <mergeCell ref="B86:F86"/>
    <mergeCell ref="B87:F87"/>
    <mergeCell ref="B88:F88"/>
    <mergeCell ref="B89:F89"/>
    <mergeCell ref="B90:F90"/>
    <mergeCell ref="B91:F91"/>
    <mergeCell ref="B81:F81"/>
    <mergeCell ref="B82:F82"/>
    <mergeCell ref="B83:F83"/>
    <mergeCell ref="B84:F84"/>
    <mergeCell ref="B85:F85"/>
    <mergeCell ref="B74:F74"/>
    <mergeCell ref="B75:F75"/>
    <mergeCell ref="B76:F76"/>
    <mergeCell ref="B77:F77"/>
    <mergeCell ref="B78:F78"/>
    <mergeCell ref="B79:F79"/>
    <mergeCell ref="B68:F68"/>
    <mergeCell ref="B69:F69"/>
    <mergeCell ref="B70:F70"/>
    <mergeCell ref="B71:F71"/>
    <mergeCell ref="B72:F72"/>
    <mergeCell ref="B73:F73"/>
    <mergeCell ref="B62:F62"/>
    <mergeCell ref="B63:F63"/>
    <mergeCell ref="B65:F65"/>
    <mergeCell ref="B66:F66"/>
    <mergeCell ref="B67:F67"/>
    <mergeCell ref="B23:F23"/>
    <mergeCell ref="B46:F46"/>
    <mergeCell ref="B48:F48"/>
    <mergeCell ref="B49:F49"/>
    <mergeCell ref="B50:F50"/>
    <mergeCell ref="B7:F7"/>
    <mergeCell ref="B8:F8"/>
    <mergeCell ref="B9:F9"/>
    <mergeCell ref="B20:F20"/>
    <mergeCell ref="B21:F21"/>
    <mergeCell ref="B1:F1"/>
    <mergeCell ref="B2:F2"/>
    <mergeCell ref="B3:F3"/>
    <mergeCell ref="B4:F4"/>
    <mergeCell ref="B5:F5"/>
    <mergeCell ref="B6:F6"/>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A4DD2-CE3E-49FC-9737-C2896BBDF5F2}">
  <sheetPr codeName="Лист15">
    <tabColor rgb="FFA6A6A6"/>
  </sheetPr>
  <dimension ref="A1:CA193"/>
  <sheetViews>
    <sheetView topLeftCell="Z1" zoomScale="70" zoomScaleNormal="70" workbookViewId="0">
      <selection activeCell="AE6" sqref="AE6"/>
    </sheetView>
  </sheetViews>
  <sheetFormatPr defaultRowHeight="14.4" x14ac:dyDescent="0.3"/>
  <cols>
    <col min="13" max="13" width="22" style="20" bestFit="1" customWidth="1"/>
    <col min="14" max="14" width="14" customWidth="1"/>
    <col min="17" max="17" width="38.109375" bestFit="1" customWidth="1"/>
    <col min="18" max="18" width="8.109375" customWidth="1"/>
    <col min="19" max="25" width="17.44140625" customWidth="1"/>
    <col min="26" max="26" width="22" customWidth="1"/>
    <col min="27" max="27" width="17.44140625" customWidth="1"/>
    <col min="28" max="28" width="25.6640625" bestFit="1" customWidth="1"/>
    <col min="31" max="31" width="17.88671875" customWidth="1"/>
    <col min="33" max="33" width="12.6640625" customWidth="1"/>
    <col min="36" max="36" width="28.44140625" customWidth="1"/>
    <col min="43" max="43" width="25.88671875" customWidth="1"/>
    <col min="44" max="44" width="20.33203125" customWidth="1"/>
    <col min="45" max="45" width="24.109375" customWidth="1"/>
    <col min="46" max="46" width="3" customWidth="1"/>
    <col min="47" max="47" width="12" customWidth="1"/>
    <col min="48" max="48" width="26" customWidth="1"/>
    <col min="49" max="49" width="7" customWidth="1"/>
    <col min="50" max="50" width="10" customWidth="1"/>
    <col min="51" max="51" width="12" customWidth="1"/>
    <col min="52" max="52" width="10" customWidth="1"/>
    <col min="53" max="53" width="28" customWidth="1"/>
    <col min="54" max="54" width="30" customWidth="1"/>
    <col min="55" max="55" width="14" customWidth="1"/>
    <col min="56" max="56" width="14.77734375" customWidth="1"/>
    <col min="57" max="57" width="48" customWidth="1"/>
    <col min="58" max="58" width="10" customWidth="1"/>
    <col min="59" max="59" width="3" customWidth="1"/>
    <col min="60" max="60" width="8" customWidth="1"/>
    <col min="61" max="61" width="9" customWidth="1"/>
    <col min="62" max="62" width="14" customWidth="1"/>
    <col min="63" max="63" width="9" customWidth="1"/>
    <col min="64" max="64" width="11" customWidth="1"/>
    <col min="65" max="66" width="10" customWidth="1"/>
    <col min="67" max="67" width="3" customWidth="1"/>
    <col min="68" max="68" width="13" customWidth="1"/>
    <col min="69" max="69" width="8" customWidth="1"/>
    <col min="70" max="70" width="110" customWidth="1"/>
    <col min="71" max="71" width="3" customWidth="1"/>
    <col min="72" max="72" width="40" customWidth="1"/>
    <col min="73" max="73" width="12" customWidth="1"/>
    <col min="74" max="74" width="60" customWidth="1"/>
    <col min="75" max="75" width="3" customWidth="1"/>
    <col min="76" max="76" width="10" customWidth="1"/>
    <col min="77" max="77" width="12" customWidth="1"/>
    <col min="78" max="79" width="16" customWidth="1"/>
  </cols>
  <sheetData>
    <row r="1" spans="1:79" ht="15" thickBot="1" x14ac:dyDescent="0.35">
      <c r="A1" s="152" t="s">
        <v>2749</v>
      </c>
    </row>
    <row r="2" spans="1:79" ht="15" thickBot="1" x14ac:dyDescent="0.35">
      <c r="I2" s="37"/>
      <c r="L2" s="97" t="s">
        <v>49</v>
      </c>
      <c r="M2" s="98"/>
      <c r="N2" s="98"/>
      <c r="O2" s="98"/>
      <c r="P2" s="98"/>
      <c r="Q2" s="98"/>
      <c r="R2" s="98"/>
      <c r="S2" s="98"/>
      <c r="T2" s="98"/>
      <c r="U2" s="98"/>
      <c r="V2" s="98"/>
      <c r="W2" s="98"/>
      <c r="X2" s="98"/>
      <c r="Y2" s="98"/>
      <c r="Z2" s="98"/>
      <c r="AA2" s="98"/>
      <c r="AB2" s="98"/>
      <c r="AC2" s="98"/>
      <c r="AD2" s="98"/>
      <c r="AE2" s="98"/>
      <c r="AF2" s="98"/>
      <c r="AG2" s="99"/>
      <c r="AJ2" s="15" t="s">
        <v>57</v>
      </c>
      <c r="AK2" s="15"/>
      <c r="AQ2" s="100" t="s">
        <v>520</v>
      </c>
      <c r="AR2" s="100"/>
      <c r="AS2" s="100"/>
      <c r="AU2" s="73"/>
      <c r="AZ2" s="35"/>
      <c r="BA2" s="73" t="s">
        <v>530</v>
      </c>
      <c r="BD2" s="78"/>
      <c r="BE2" s="36" t="s">
        <v>531</v>
      </c>
      <c r="BP2" s="36" t="s">
        <v>532</v>
      </c>
      <c r="BT2" s="36"/>
      <c r="BX2" s="36" t="s">
        <v>533</v>
      </c>
    </row>
    <row r="3" spans="1:79" ht="28.05" customHeight="1" x14ac:dyDescent="0.3">
      <c r="B3" s="2" t="s">
        <v>3</v>
      </c>
      <c r="C3" s="2" t="s">
        <v>15</v>
      </c>
      <c r="D3" s="2" t="s">
        <v>534</v>
      </c>
      <c r="F3" s="2" t="s">
        <v>5</v>
      </c>
      <c r="G3" s="2" t="s">
        <v>7</v>
      </c>
      <c r="I3" s="2"/>
      <c r="J3" s="2"/>
      <c r="L3" s="11"/>
      <c r="M3" s="24"/>
      <c r="N3" s="12"/>
      <c r="P3" s="64"/>
      <c r="Q3" s="64"/>
      <c r="R3" s="64"/>
      <c r="S3" s="64"/>
      <c r="T3" s="65"/>
      <c r="U3" s="63"/>
      <c r="V3" s="63"/>
      <c r="W3" s="63"/>
      <c r="X3" s="63"/>
      <c r="Y3" s="63"/>
      <c r="Z3" s="35"/>
      <c r="AA3" s="11" t="s">
        <v>10</v>
      </c>
      <c r="AB3" s="11" t="s">
        <v>177</v>
      </c>
      <c r="AD3" s="11"/>
      <c r="AE3" s="11"/>
      <c r="AF3" s="11"/>
      <c r="AG3" s="12"/>
      <c r="AJ3" s="15" t="s">
        <v>9</v>
      </c>
      <c r="AK3" s="15" t="s">
        <v>58</v>
      </c>
      <c r="AL3" t="s">
        <v>143</v>
      </c>
      <c r="AM3" t="s">
        <v>14</v>
      </c>
      <c r="AN3" t="s">
        <v>3</v>
      </c>
      <c r="AO3" t="s">
        <v>144</v>
      </c>
      <c r="AQ3" s="67" t="s">
        <v>521</v>
      </c>
      <c r="AR3" s="67" t="s">
        <v>6</v>
      </c>
      <c r="AS3" s="67" t="s">
        <v>522</v>
      </c>
      <c r="AU3" s="64"/>
      <c r="AV3" s="64"/>
      <c r="AW3" s="64"/>
      <c r="AX3" s="64"/>
      <c r="AY3" s="64"/>
      <c r="AZ3" s="35"/>
      <c r="BA3" s="64" t="s">
        <v>536</v>
      </c>
      <c r="BB3" s="64" t="s">
        <v>537</v>
      </c>
      <c r="BC3" s="64" t="s">
        <v>538</v>
      </c>
      <c r="BD3" s="78"/>
      <c r="BE3" s="35" t="s">
        <v>539</v>
      </c>
      <c r="BF3" s="35"/>
      <c r="BH3" s="35" t="s">
        <v>540</v>
      </c>
      <c r="BI3" s="35"/>
      <c r="BJ3" s="35"/>
      <c r="BK3" s="35"/>
      <c r="BL3" s="35"/>
      <c r="BM3" s="35"/>
      <c r="BN3" s="35"/>
      <c r="BP3" s="35" t="s">
        <v>541</v>
      </c>
      <c r="BQ3" s="35" t="s">
        <v>529</v>
      </c>
      <c r="BR3" s="35" t="s">
        <v>542</v>
      </c>
      <c r="BT3" s="35"/>
      <c r="BU3" s="35"/>
      <c r="BV3" s="35"/>
      <c r="BX3" s="35" t="s">
        <v>543</v>
      </c>
      <c r="BY3" s="35" t="s">
        <v>544</v>
      </c>
      <c r="BZ3" s="35" t="s">
        <v>545</v>
      </c>
      <c r="CA3" s="35" t="s">
        <v>546</v>
      </c>
    </row>
    <row r="4" spans="1:79" ht="27.6" x14ac:dyDescent="0.3">
      <c r="B4" s="14">
        <v>0.75</v>
      </c>
      <c r="C4" s="14">
        <v>0.13</v>
      </c>
      <c r="D4" s="14">
        <v>2.2499999999999999E-2</v>
      </c>
      <c r="F4" s="14">
        <v>0</v>
      </c>
      <c r="G4" s="14">
        <v>6</v>
      </c>
      <c r="I4" s="14"/>
      <c r="J4" s="14"/>
      <c r="L4" s="16"/>
      <c r="M4" s="16"/>
      <c r="N4" s="16"/>
      <c r="O4" s="17"/>
      <c r="P4" s="26"/>
      <c r="Q4" s="26"/>
      <c r="R4" s="26"/>
      <c r="S4" s="26"/>
      <c r="T4" s="26"/>
      <c r="U4" s="26"/>
      <c r="V4" s="26"/>
      <c r="W4" s="26"/>
      <c r="X4" s="26"/>
      <c r="Y4" s="26"/>
      <c r="Z4" s="74"/>
      <c r="AA4" s="16" t="s">
        <v>178</v>
      </c>
      <c r="AB4" s="16" t="s">
        <v>180</v>
      </c>
      <c r="AC4" s="17"/>
      <c r="AD4" s="18"/>
      <c r="AE4" s="16"/>
      <c r="AF4" s="16"/>
      <c r="AG4" s="16"/>
      <c r="AJ4" s="13" t="str">
        <f>AL4&amp;" ("&amp;AM4&amp;"х"&amp;AN4&amp;") "&amp;AO4</f>
        <v>ВВГнг(А)-LS (2х1,5) 1</v>
      </c>
      <c r="AK4" s="14" t="s">
        <v>59</v>
      </c>
      <c r="AL4" t="s">
        <v>12</v>
      </c>
      <c r="AM4">
        <v>2</v>
      </c>
      <c r="AN4">
        <v>1.5</v>
      </c>
      <c r="AO4">
        <v>1</v>
      </c>
      <c r="AQ4" s="68" t="s">
        <v>515</v>
      </c>
      <c r="AR4" s="68" t="s">
        <v>523</v>
      </c>
      <c r="AS4" s="69"/>
      <c r="AU4" s="26"/>
      <c r="AY4" s="26"/>
      <c r="AZ4" s="74"/>
      <c r="BA4" s="26" t="s">
        <v>548</v>
      </c>
      <c r="BB4" s="26" t="s">
        <v>549</v>
      </c>
      <c r="BC4" s="26" t="s">
        <v>483</v>
      </c>
      <c r="BD4" s="79"/>
      <c r="BE4" s="37" t="s">
        <v>550</v>
      </c>
      <c r="BF4" s="74">
        <v>17</v>
      </c>
      <c r="BH4" s="35" t="s">
        <v>4</v>
      </c>
      <c r="BI4" s="35" t="s">
        <v>432</v>
      </c>
      <c r="BJ4" s="35" t="s">
        <v>480</v>
      </c>
      <c r="BK4" s="35" t="s">
        <v>481</v>
      </c>
      <c r="BL4" s="35" t="s">
        <v>551</v>
      </c>
      <c r="BM4" s="35" t="s">
        <v>552</v>
      </c>
      <c r="BN4" s="35" t="s">
        <v>553</v>
      </c>
      <c r="BP4" s="74">
        <v>0</v>
      </c>
      <c r="BQ4" s="74">
        <v>0.8</v>
      </c>
      <c r="BR4" s="37" t="s">
        <v>554</v>
      </c>
      <c r="BT4" s="74"/>
      <c r="BU4" s="74"/>
      <c r="BV4" s="37"/>
      <c r="BX4" s="74">
        <v>1.5</v>
      </c>
      <c r="BY4" s="74">
        <v>23</v>
      </c>
      <c r="BZ4" s="74">
        <v>19</v>
      </c>
      <c r="CA4" s="74">
        <v>19</v>
      </c>
    </row>
    <row r="5" spans="1:79" x14ac:dyDescent="0.3">
      <c r="B5" s="14">
        <v>1</v>
      </c>
      <c r="C5" s="14">
        <v>0.11</v>
      </c>
      <c r="D5" s="14">
        <v>2.2499999999999999E-2</v>
      </c>
      <c r="F5" s="14">
        <v>5.4</v>
      </c>
      <c r="G5" s="14">
        <v>10</v>
      </c>
      <c r="I5" s="14"/>
      <c r="J5" s="14"/>
      <c r="L5" s="16"/>
      <c r="M5" s="16"/>
      <c r="N5" s="16"/>
      <c r="O5" s="17"/>
      <c r="P5" s="26"/>
      <c r="Q5" s="26"/>
      <c r="R5" s="26"/>
      <c r="S5" s="26"/>
      <c r="T5" s="26"/>
      <c r="U5" s="26"/>
      <c r="V5" s="26"/>
      <c r="W5" s="26"/>
      <c r="X5" s="26"/>
      <c r="Y5" s="26"/>
      <c r="Z5" s="74"/>
      <c r="AA5" s="16" t="s">
        <v>179</v>
      </c>
      <c r="AB5" s="16" t="s">
        <v>181</v>
      </c>
      <c r="AC5" s="17"/>
      <c r="AD5" s="18"/>
      <c r="AE5" s="16"/>
      <c r="AF5" s="16"/>
      <c r="AG5" s="16"/>
      <c r="AJ5" s="13" t="str">
        <f t="shared" ref="AJ5:AJ68" si="0">AL5&amp;" ("&amp;AM5&amp;"х"&amp;AN5&amp;") "&amp;AO5</f>
        <v>ВВГнг(А)-LS (2х1,5) 2</v>
      </c>
      <c r="AK5" s="14" t="s">
        <v>60</v>
      </c>
      <c r="AL5" t="s">
        <v>12</v>
      </c>
      <c r="AM5">
        <v>2</v>
      </c>
      <c r="AN5">
        <v>1.5</v>
      </c>
      <c r="AO5">
        <v>2</v>
      </c>
      <c r="AQ5" s="68" t="s">
        <v>225</v>
      </c>
      <c r="AR5" s="68" t="s">
        <v>225</v>
      </c>
      <c r="AS5" s="70"/>
      <c r="AU5" s="26"/>
      <c r="AY5" s="26"/>
      <c r="AZ5" s="74"/>
      <c r="BA5" s="26" t="s">
        <v>556</v>
      </c>
      <c r="BB5" s="26" t="s">
        <v>557</v>
      </c>
      <c r="BC5" s="26" t="s">
        <v>492</v>
      </c>
      <c r="BD5" s="79"/>
      <c r="BE5" s="37" t="s">
        <v>485</v>
      </c>
      <c r="BF5" s="74">
        <v>10</v>
      </c>
      <c r="BH5" s="38" t="str">
        <f>IFERROR(INDEX(Однолинейка!$A$1:$A$1000,(MATCH(1,Однолинейка!$BS$1:$BS$1000,0))),"")</f>
        <v/>
      </c>
      <c r="BI5" s="38" t="str">
        <f>IFERROR(INDEX(Однолинейка!$AW$1:$AW$1000,(MATCH(1,Однолинейка!$BS$1:$BS$1000,0))),"")</f>
        <v/>
      </c>
      <c r="BJ5" s="38" t="str">
        <f>IF(BI5="","",INDEX(Однолинейка!$AI$1:$AI$1000,(MATCH(1,Однолинейка!$BS$1:$BS$1000,0))))</f>
        <v/>
      </c>
      <c r="BK5" s="38" t="str">
        <f t="shared" ref="BK5:BK39" si="1">IF(BI5="","",IFERROR(VLOOKUP(BJ5,Модули_спр,3,FALSE),""))</f>
        <v/>
      </c>
      <c r="BL5" s="38" t="str">
        <f>IF(BI5="","",_xlfn.MAXIFS(Однолинейка!$O$3:$O$1000,Однолинейка!$AH$3:$AH$1000,BI5,Однолинейка!$A$3:$A$1000,BH5))</f>
        <v/>
      </c>
      <c r="BM5" s="38" t="str">
        <f>IF(BI5="","",COUNTIFS(Однолинейка!$AH$3:$AH$1000,BI5,Однолинейка!$A$3:$A$1000,BH5,Однолинейка!$N$3:$N$1000,"р"))</f>
        <v/>
      </c>
      <c r="BN5" s="38" t="str">
        <f t="shared" ref="BN5:BN39" si="2">IF(OR(BI5="",BK5=""),"",BK5-BL5)</f>
        <v/>
      </c>
      <c r="BP5" s="74">
        <v>14</v>
      </c>
      <c r="BQ5" s="74">
        <v>0.8</v>
      </c>
      <c r="BT5" s="74"/>
      <c r="BU5" s="74"/>
      <c r="BV5" s="37"/>
      <c r="BX5" s="74">
        <v>2.5</v>
      </c>
      <c r="BY5" s="74">
        <v>30</v>
      </c>
      <c r="BZ5" s="74">
        <v>27</v>
      </c>
      <c r="CA5" s="74">
        <v>25</v>
      </c>
    </row>
    <row r="6" spans="1:79" x14ac:dyDescent="0.3">
      <c r="B6" s="14">
        <v>1.5</v>
      </c>
      <c r="C6" s="14">
        <v>0.11</v>
      </c>
      <c r="D6" s="14">
        <v>2.2499999999999999E-2</v>
      </c>
      <c r="F6" s="14">
        <v>9</v>
      </c>
      <c r="G6" s="14">
        <v>16</v>
      </c>
      <c r="I6" s="14"/>
      <c r="J6" s="14"/>
      <c r="L6" s="16"/>
      <c r="M6" s="16"/>
      <c r="N6" s="16"/>
      <c r="O6" s="17"/>
      <c r="P6" s="26"/>
      <c r="Q6" s="26"/>
      <c r="R6" s="26"/>
      <c r="S6" s="26"/>
      <c r="T6" s="26"/>
      <c r="U6" s="26"/>
      <c r="V6" s="26"/>
      <c r="W6" s="26"/>
      <c r="X6" s="26"/>
      <c r="Y6" s="26"/>
      <c r="Z6" s="74"/>
      <c r="AA6" s="16" t="s">
        <v>182</v>
      </c>
      <c r="AB6" s="16" t="s">
        <v>183</v>
      </c>
      <c r="AC6" s="17"/>
      <c r="AD6" s="18"/>
      <c r="AE6" s="16"/>
      <c r="AF6" s="16"/>
      <c r="AG6" s="16"/>
      <c r="AJ6" s="13" t="str">
        <f t="shared" si="0"/>
        <v>ВВГнг(А)-LS (2х2,5) 1</v>
      </c>
      <c r="AK6" s="14" t="s">
        <v>61</v>
      </c>
      <c r="AL6" t="s">
        <v>12</v>
      </c>
      <c r="AM6">
        <v>2</v>
      </c>
      <c r="AN6">
        <v>2.5</v>
      </c>
      <c r="AO6">
        <v>1</v>
      </c>
      <c r="AQ6" s="68" t="s">
        <v>524</v>
      </c>
      <c r="AR6" s="68" t="s">
        <v>525</v>
      </c>
      <c r="AS6" s="71"/>
      <c r="AU6" s="26"/>
      <c r="AY6" s="26"/>
      <c r="AZ6" s="74"/>
      <c r="BA6" s="26" t="s">
        <v>558</v>
      </c>
      <c r="BB6" s="26" t="s">
        <v>559</v>
      </c>
      <c r="BC6" s="26" t="s">
        <v>506</v>
      </c>
      <c r="BD6" s="79"/>
      <c r="BH6" s="38" t="str">
        <f>IFERROR(INDEX(Однолинейка!$A$1:$A$1000,(MATCH(2,Однолинейка!$BS$1:$BS$1000,0))),"")</f>
        <v/>
      </c>
      <c r="BI6" s="38" t="str">
        <f>IFERROR(INDEX(Однолинейка!$AW$1:$AW$1000,(MATCH(2,Однолинейка!$BS$1:$BS$1000,0))),"")</f>
        <v/>
      </c>
      <c r="BJ6" s="38" t="str">
        <f>IF(BI6="","",INDEX(Однолинейка!$AI$1:$AI$1000,(MATCH(2,Однолинейка!$BS$1:$BS$1000,0))))</f>
        <v/>
      </c>
      <c r="BK6" s="38" t="str">
        <f t="shared" si="1"/>
        <v/>
      </c>
      <c r="BL6" s="38" t="str">
        <f>IF(BI6="","",_xlfn.MAXIFS(Однолинейка!$O$3:$O$1000,Однолинейка!$AH$3:$AH$1000,BI6,Однолинейка!$A$3:$A$1000,BH6))</f>
        <v/>
      </c>
      <c r="BM6" s="38" t="str">
        <f>IF(BI6="","",COUNTIFS(Однолинейка!$AH$3:$AH$1000,BI6,Однолинейка!$A$3:$A$1000,BH6,Однолинейка!$N$3:$N$1000,"р"))</f>
        <v/>
      </c>
      <c r="BN6" s="38" t="str">
        <f t="shared" si="2"/>
        <v/>
      </c>
      <c r="BP6" s="74">
        <v>20</v>
      </c>
      <c r="BQ6" s="74">
        <v>0.65</v>
      </c>
      <c r="BT6" s="74"/>
      <c r="BU6" s="74"/>
      <c r="BX6" s="74">
        <v>4</v>
      </c>
      <c r="BY6" s="74">
        <v>41</v>
      </c>
      <c r="BZ6" s="74">
        <v>38</v>
      </c>
      <c r="CA6" s="74">
        <v>35</v>
      </c>
    </row>
    <row r="7" spans="1:79" ht="31.2" customHeight="1" x14ac:dyDescent="0.3">
      <c r="B7" s="14">
        <v>2.5</v>
      </c>
      <c r="C7" s="14">
        <v>0.1</v>
      </c>
      <c r="D7" s="14">
        <v>2.2499999999999999E-2</v>
      </c>
      <c r="F7" s="14">
        <v>14.4</v>
      </c>
      <c r="G7" s="14">
        <v>20</v>
      </c>
      <c r="I7" s="14"/>
      <c r="J7" s="14"/>
      <c r="L7" s="16"/>
      <c r="M7" s="16"/>
      <c r="N7" s="16"/>
      <c r="O7" s="17"/>
      <c r="P7" s="26"/>
      <c r="Q7" s="26"/>
      <c r="R7" s="26"/>
      <c r="S7" s="26"/>
      <c r="T7" s="26"/>
      <c r="U7" s="26"/>
      <c r="V7" s="26"/>
      <c r="W7" s="26"/>
      <c r="X7" s="26"/>
      <c r="Y7" s="26"/>
      <c r="Z7" s="74"/>
      <c r="AA7" s="16" t="s">
        <v>184</v>
      </c>
      <c r="AB7" s="16" t="s">
        <v>185</v>
      </c>
      <c r="AC7" s="17"/>
      <c r="AD7" s="18"/>
      <c r="AE7" s="16"/>
      <c r="AF7" s="16"/>
      <c r="AG7" s="16"/>
      <c r="AJ7" s="13" t="str">
        <f t="shared" si="0"/>
        <v>ВВГнг(А)-LS (2х2,5) 2</v>
      </c>
      <c r="AK7" s="14" t="s">
        <v>62</v>
      </c>
      <c r="AL7" t="s">
        <v>12</v>
      </c>
      <c r="AM7">
        <v>2</v>
      </c>
      <c r="AN7">
        <v>2.5</v>
      </c>
      <c r="AO7">
        <v>2</v>
      </c>
      <c r="AQ7" s="101" t="s">
        <v>526</v>
      </c>
      <c r="AR7" s="101"/>
      <c r="AS7" s="101"/>
      <c r="AU7" s="26"/>
      <c r="AV7" s="26"/>
      <c r="AW7" s="26"/>
      <c r="AX7" s="26"/>
      <c r="AY7" s="26"/>
      <c r="AZ7" s="74"/>
      <c r="BA7" s="26" t="s">
        <v>563</v>
      </c>
      <c r="BB7" s="26" t="s">
        <v>564</v>
      </c>
      <c r="BC7" s="26" t="s">
        <v>503</v>
      </c>
      <c r="BD7" s="79"/>
      <c r="BE7" s="35" t="s">
        <v>565</v>
      </c>
      <c r="BF7" s="35"/>
      <c r="BH7" s="38" t="str">
        <f>IFERROR(INDEX(Однолинейка!$A$1:$A$1000,(MATCH(3,Однолинейка!$BS$1:$BS$1000,0))),"")</f>
        <v/>
      </c>
      <c r="BI7" s="38" t="str">
        <f>IFERROR(INDEX(Однолинейка!$AW$1:$AW$1000,(MATCH(3,Однолинейка!$BS$1:$BS$1000,0))),"")</f>
        <v/>
      </c>
      <c r="BJ7" s="38" t="str">
        <f>IF(BI7="","",INDEX(Однолинейка!$AI$1:$AI$1000,(MATCH(3,Однолинейка!$BS$1:$BS$1000,0))))</f>
        <v/>
      </c>
      <c r="BK7" s="38" t="str">
        <f t="shared" si="1"/>
        <v/>
      </c>
      <c r="BL7" s="38" t="str">
        <f>IF(BI7="","",_xlfn.MAXIFS(Однолинейка!$O$3:$O$1000,Однолинейка!$AH$3:$AH$1000,BI7,Однолинейка!$A$3:$A$1000,BH7))</f>
        <v/>
      </c>
      <c r="BM7" s="38" t="str">
        <f>IF(BI7="","",COUNTIFS(Однолинейка!$AH$3:$AH$1000,BI7,Однолинейка!$A$3:$A$1000,BH7,Однолинейка!$N$3:$N$1000,"р"))</f>
        <v/>
      </c>
      <c r="BN7" s="38" t="str">
        <f t="shared" si="2"/>
        <v/>
      </c>
      <c r="BP7" s="74">
        <v>30</v>
      </c>
      <c r="BQ7" s="74">
        <v>0.6</v>
      </c>
      <c r="BT7" s="74"/>
      <c r="BU7" s="74"/>
      <c r="BX7" s="74">
        <v>6</v>
      </c>
      <c r="BY7" s="74">
        <v>50</v>
      </c>
      <c r="BZ7" s="74">
        <v>50</v>
      </c>
      <c r="CA7" s="74">
        <v>42</v>
      </c>
    </row>
    <row r="8" spans="1:79" x14ac:dyDescent="0.3">
      <c r="B8" s="14">
        <v>4</v>
      </c>
      <c r="C8" s="14">
        <v>9.5000000000000001E-2</v>
      </c>
      <c r="D8" s="14">
        <v>2.2499999999999999E-2</v>
      </c>
      <c r="F8" s="14">
        <v>18</v>
      </c>
      <c r="G8" s="14">
        <v>25</v>
      </c>
      <c r="I8" s="14"/>
      <c r="J8" s="14"/>
      <c r="L8" s="16"/>
      <c r="M8" s="16"/>
      <c r="N8" s="16"/>
      <c r="O8" s="17"/>
      <c r="P8" s="26"/>
      <c r="Q8" s="26"/>
      <c r="R8" s="26"/>
      <c r="S8" s="26"/>
      <c r="T8" s="26"/>
      <c r="U8" s="26"/>
      <c r="V8" s="26"/>
      <c r="W8" s="26"/>
      <c r="X8" s="26"/>
      <c r="Y8" s="26"/>
      <c r="Z8" s="74"/>
      <c r="AA8" s="16"/>
      <c r="AB8" s="16"/>
      <c r="AC8" s="17"/>
      <c r="AD8" s="18"/>
      <c r="AE8" s="16"/>
      <c r="AF8" s="16"/>
      <c r="AG8" s="16"/>
      <c r="AJ8" s="13" t="str">
        <f t="shared" si="0"/>
        <v>ВВГнг(А)-LS (3х1,5) 1</v>
      </c>
      <c r="AK8" s="14" t="s">
        <v>63</v>
      </c>
      <c r="AL8" t="s">
        <v>12</v>
      </c>
      <c r="AM8">
        <v>3</v>
      </c>
      <c r="AN8">
        <v>1.5</v>
      </c>
      <c r="AO8">
        <v>1</v>
      </c>
      <c r="AQ8" s="72"/>
      <c r="AR8" s="72"/>
      <c r="AS8" s="72"/>
      <c r="AU8" s="26"/>
      <c r="AV8" s="26"/>
      <c r="AW8" s="26"/>
      <c r="AX8" s="26"/>
      <c r="AY8" s="26"/>
      <c r="AZ8" s="74"/>
      <c r="BA8" s="26" t="s">
        <v>566</v>
      </c>
      <c r="BB8" s="26" t="s">
        <v>567</v>
      </c>
      <c r="BC8" s="26" t="s">
        <v>498</v>
      </c>
      <c r="BD8" s="79"/>
      <c r="BE8" s="37" t="s">
        <v>489</v>
      </c>
      <c r="BF8" s="38">
        <f>COUNTIF(Однолинейка!$E$3:$E$1000,"?*")</f>
        <v>327</v>
      </c>
      <c r="BH8" s="38" t="str">
        <f>IFERROR(INDEX(Однолинейка!$A$1:$A$1000,(MATCH(4,Однолинейка!$BS$1:$BS$1000,0))),"")</f>
        <v/>
      </c>
      <c r="BI8" s="38" t="str">
        <f>IFERROR(INDEX(Однолинейка!$AW$1:$AW$1000,(MATCH(4,Однолинейка!$BS$1:$BS$1000,0))),"")</f>
        <v/>
      </c>
      <c r="BJ8" s="38" t="str">
        <f>IF(BI8="","",INDEX(Однолинейка!$AI$1:$AI$1000,(MATCH(4,Однолинейка!$BS$1:$BS$1000,0))))</f>
        <v/>
      </c>
      <c r="BK8" s="38" t="str">
        <f t="shared" si="1"/>
        <v/>
      </c>
      <c r="BL8" s="38" t="str">
        <f>IF(BI8="","",_xlfn.MAXIFS(Однолинейка!$O$3:$O$1000,Однолинейка!$AH$3:$AH$1000,BI8,Однолинейка!$A$3:$A$1000,BH8))</f>
        <v/>
      </c>
      <c r="BM8" s="38" t="str">
        <f>IF(BI8="","",COUNTIFS(Однолинейка!$AH$3:$AH$1000,BI8,Однолинейка!$A$3:$A$1000,BH8,Однолинейка!$N$3:$N$1000,"р"))</f>
        <v/>
      </c>
      <c r="BN8" s="38" t="str">
        <f t="shared" si="2"/>
        <v/>
      </c>
      <c r="BP8" s="74">
        <v>40</v>
      </c>
      <c r="BQ8" s="74">
        <v>0.55000000000000004</v>
      </c>
      <c r="BT8" s="74"/>
      <c r="BU8" s="74"/>
      <c r="BX8" s="74">
        <v>10</v>
      </c>
      <c r="BY8" s="74">
        <v>80</v>
      </c>
      <c r="BZ8" s="74">
        <v>70</v>
      </c>
      <c r="CA8" s="74">
        <v>55</v>
      </c>
    </row>
    <row r="9" spans="1:79" x14ac:dyDescent="0.3">
      <c r="B9" s="14">
        <v>6</v>
      </c>
      <c r="C9" s="14">
        <v>0.09</v>
      </c>
      <c r="D9" s="14">
        <v>2.2499999999999999E-2</v>
      </c>
      <c r="F9" s="14">
        <v>22.5</v>
      </c>
      <c r="G9" s="14">
        <v>32</v>
      </c>
      <c r="I9" s="14"/>
      <c r="J9" s="14"/>
      <c r="L9" s="16"/>
      <c r="M9" s="16"/>
      <c r="N9" s="16"/>
      <c r="O9" s="17"/>
      <c r="P9" s="26"/>
      <c r="Q9" s="26"/>
      <c r="R9" s="26"/>
      <c r="S9" s="26"/>
      <c r="T9" s="26"/>
      <c r="U9" s="26"/>
      <c r="V9" s="26"/>
      <c r="W9" s="26"/>
      <c r="X9" s="26"/>
      <c r="Y9" s="26"/>
      <c r="Z9" s="74"/>
      <c r="AA9" s="16"/>
      <c r="AB9" s="16"/>
      <c r="AC9" s="17"/>
      <c r="AD9" s="18"/>
      <c r="AE9" s="16"/>
      <c r="AF9" s="16"/>
      <c r="AG9" s="16"/>
      <c r="AJ9" s="13" t="str">
        <f t="shared" si="0"/>
        <v>ВВГнг(А)-LS (3х1,5) 2</v>
      </c>
      <c r="AK9" s="14" t="s">
        <v>64</v>
      </c>
      <c r="AL9" t="s">
        <v>12</v>
      </c>
      <c r="AM9">
        <v>3</v>
      </c>
      <c r="AN9">
        <v>1.5</v>
      </c>
      <c r="AO9">
        <v>2</v>
      </c>
      <c r="AQ9" s="72"/>
      <c r="AR9" s="72"/>
      <c r="AS9" s="72"/>
      <c r="AU9" s="26"/>
      <c r="AV9" s="26"/>
      <c r="AW9" s="26"/>
      <c r="AX9" s="26"/>
      <c r="AY9" s="26"/>
      <c r="AZ9" s="74"/>
      <c r="BA9" s="26" t="s">
        <v>569</v>
      </c>
      <c r="BB9" s="26" t="s">
        <v>570</v>
      </c>
      <c r="BC9" s="26" t="s">
        <v>501</v>
      </c>
      <c r="BD9" s="79"/>
      <c r="BE9" s="37" t="s">
        <v>493</v>
      </c>
      <c r="BF9" s="38">
        <f>COUNTIF(Однолинейка!$AJ$3:$AJ$1000,"QFD*")</f>
        <v>143</v>
      </c>
      <c r="BH9" s="38" t="str">
        <f>IFERROR(INDEX(Однолинейка!$A$1:$A$1000,(MATCH(5,Однолинейка!$BS$1:$BS$1000,0))),"")</f>
        <v/>
      </c>
      <c r="BI9" s="38" t="str">
        <f>IFERROR(INDEX(Однолинейка!$AW$1:$AW$1000,(MATCH(5,Однолинейка!$BS$1:$BS$1000,0))),"")</f>
        <v/>
      </c>
      <c r="BJ9" s="38" t="str">
        <f>IF(BI9="","",INDEX(Однолинейка!$AI$1:$AI$1000,(MATCH(5,Однолинейка!$BS$1:$BS$1000,0))))</f>
        <v/>
      </c>
      <c r="BK9" s="38" t="str">
        <f t="shared" si="1"/>
        <v/>
      </c>
      <c r="BL9" s="38" t="str">
        <f>IF(BI9="","",_xlfn.MAXIFS(Однолинейка!$O$3:$O$1000,Однолинейка!$AH$3:$AH$1000,BI9,Однолинейка!$A$3:$A$1000,BH9))</f>
        <v/>
      </c>
      <c r="BM9" s="38" t="str">
        <f>IF(BI9="","",COUNTIFS(Однолинейка!$AH$3:$AH$1000,BI9,Однолинейка!$A$3:$A$1000,BH9,Однолинейка!$N$3:$N$1000,"р"))</f>
        <v/>
      </c>
      <c r="BN9" s="38" t="str">
        <f t="shared" si="2"/>
        <v/>
      </c>
      <c r="BP9" s="74">
        <v>50</v>
      </c>
      <c r="BQ9" s="74">
        <v>0.5</v>
      </c>
      <c r="BT9" s="74"/>
      <c r="BU9" s="74"/>
      <c r="BX9" s="74">
        <v>16</v>
      </c>
      <c r="BY9" s="74">
        <v>100</v>
      </c>
      <c r="BZ9" s="74">
        <v>90</v>
      </c>
      <c r="CA9" s="74">
        <v>75</v>
      </c>
    </row>
    <row r="10" spans="1:79" x14ac:dyDescent="0.3">
      <c r="B10" s="14">
        <v>10</v>
      </c>
      <c r="C10" s="14">
        <v>7.2999999999999995E-2</v>
      </c>
      <c r="D10" s="14">
        <v>2.2499999999999999E-2</v>
      </c>
      <c r="F10" s="14">
        <v>28.8</v>
      </c>
      <c r="G10" s="14">
        <v>40</v>
      </c>
      <c r="I10" s="14"/>
      <c r="J10" s="14"/>
      <c r="L10" s="16"/>
      <c r="M10" s="16"/>
      <c r="N10" s="16"/>
      <c r="O10" s="17"/>
      <c r="P10" s="26"/>
      <c r="Q10" s="26"/>
      <c r="R10" s="26"/>
      <c r="S10" s="26"/>
      <c r="T10" s="26"/>
      <c r="U10" s="26"/>
      <c r="V10" s="26"/>
      <c r="W10" s="26"/>
      <c r="X10" s="26"/>
      <c r="Y10" s="26"/>
      <c r="Z10" s="74"/>
      <c r="AA10" s="16"/>
      <c r="AB10" s="16"/>
      <c r="AC10" s="17"/>
      <c r="AD10" s="18"/>
      <c r="AE10" s="16"/>
      <c r="AF10" s="16"/>
      <c r="AG10" s="16"/>
      <c r="AJ10" s="13" t="str">
        <f t="shared" si="0"/>
        <v>ВВГнг(А)-LS (3х2,5) 1</v>
      </c>
      <c r="AK10" s="14" t="s">
        <v>65</v>
      </c>
      <c r="AL10" t="s">
        <v>12</v>
      </c>
      <c r="AM10">
        <v>3</v>
      </c>
      <c r="AN10">
        <v>2.5</v>
      </c>
      <c r="AO10">
        <v>1</v>
      </c>
      <c r="AU10" s="26"/>
      <c r="AV10" s="26"/>
      <c r="AW10" s="26"/>
      <c r="AX10" s="26"/>
      <c r="AY10" s="26"/>
      <c r="AZ10" s="74"/>
      <c r="BA10" s="26" t="s">
        <v>574</v>
      </c>
      <c r="BB10" s="26" t="s">
        <v>570</v>
      </c>
      <c r="BC10" s="26" t="s">
        <v>508</v>
      </c>
      <c r="BD10" s="79"/>
      <c r="BE10" s="37" t="s">
        <v>575</v>
      </c>
      <c r="BF10" s="38">
        <f>COUNTIF(Однолинейка!$AY$3:$AY$1000,1)</f>
        <v>305</v>
      </c>
      <c r="BH10" s="38" t="str">
        <f>IFERROR(INDEX(Однолинейка!$A$1:$A$1000,(MATCH(6,Однолинейка!$BS$1:$BS$1000,0))),"")</f>
        <v/>
      </c>
      <c r="BI10" s="38" t="str">
        <f>IFERROR(INDEX(Однолинейка!$AW$1:$AW$1000,(MATCH(6,Однолинейка!$BS$1:$BS$1000,0))),"")</f>
        <v/>
      </c>
      <c r="BJ10" s="38" t="str">
        <f>IF(BI10="","",INDEX(Однолинейка!$AI$1:$AI$1000,(MATCH(6,Однолинейка!$BS$1:$BS$1000,0))))</f>
        <v/>
      </c>
      <c r="BK10" s="38" t="str">
        <f t="shared" si="1"/>
        <v/>
      </c>
      <c r="BL10" s="38" t="str">
        <f>IF(BI10="","",_xlfn.MAXIFS(Однолинейка!$O$3:$O$1000,Однолинейка!$AH$3:$AH$1000,BI10,Однолинейка!$A$3:$A$1000,BH10))</f>
        <v/>
      </c>
      <c r="BM10" s="38" t="str">
        <f>IF(BI10="","",COUNTIFS(Однолинейка!$AH$3:$AH$1000,BI10,Однолинейка!$A$3:$A$1000,BH10,Однолинейка!$N$3:$N$1000,"р"))</f>
        <v/>
      </c>
      <c r="BN10" s="38" t="str">
        <f t="shared" si="2"/>
        <v/>
      </c>
      <c r="BP10" s="74">
        <v>60</v>
      </c>
      <c r="BQ10" s="74">
        <v>0.48</v>
      </c>
      <c r="BT10" s="74"/>
      <c r="BU10" s="74"/>
      <c r="BX10" s="74">
        <v>25</v>
      </c>
      <c r="BY10" s="74">
        <v>140</v>
      </c>
      <c r="BZ10" s="74">
        <v>115</v>
      </c>
      <c r="CA10" s="74">
        <v>95</v>
      </c>
    </row>
    <row r="11" spans="1:79" x14ac:dyDescent="0.3">
      <c r="B11" s="14">
        <v>16</v>
      </c>
      <c r="C11" s="14">
        <v>6.7500000000000004E-2</v>
      </c>
      <c r="D11" s="14">
        <v>2.2499999999999999E-2</v>
      </c>
      <c r="F11" s="14">
        <v>36</v>
      </c>
      <c r="G11" s="14">
        <v>50</v>
      </c>
      <c r="I11" s="14"/>
      <c r="J11" s="14"/>
      <c r="L11" s="16"/>
      <c r="M11" s="16"/>
      <c r="N11" s="16"/>
      <c r="O11" s="17"/>
      <c r="P11" s="26"/>
      <c r="Q11" s="26"/>
      <c r="R11" s="26"/>
      <c r="S11" s="26"/>
      <c r="T11" s="26"/>
      <c r="U11" s="26"/>
      <c r="V11" s="26"/>
      <c r="W11" s="26"/>
      <c r="X11" s="26"/>
      <c r="Y11" s="26"/>
      <c r="Z11" s="74"/>
      <c r="AA11" s="16"/>
      <c r="AB11" s="16"/>
      <c r="AC11" s="17"/>
      <c r="AD11" s="18"/>
      <c r="AE11" s="16"/>
      <c r="AF11" s="16"/>
      <c r="AG11" s="16"/>
      <c r="AJ11" s="13" t="str">
        <f t="shared" si="0"/>
        <v>ВВГнг(А)-LS (3х2,5) 2</v>
      </c>
      <c r="AK11" s="14" t="s">
        <v>66</v>
      </c>
      <c r="AL11" t="s">
        <v>12</v>
      </c>
      <c r="AM11">
        <v>3</v>
      </c>
      <c r="AN11">
        <v>2.5</v>
      </c>
      <c r="AO11">
        <v>2</v>
      </c>
      <c r="AU11" s="26"/>
      <c r="AV11" s="26"/>
      <c r="AW11" s="26"/>
      <c r="AX11" s="26"/>
      <c r="AY11" s="26"/>
      <c r="AZ11" s="74"/>
      <c r="BA11" s="26"/>
      <c r="BB11" s="26"/>
      <c r="BC11" s="26"/>
      <c r="BD11" s="79"/>
      <c r="BE11" s="37" t="s">
        <v>578</v>
      </c>
      <c r="BF11" s="38">
        <f>SUM(Однолинейка!$BW$3:$BW$1000)</f>
        <v>305</v>
      </c>
      <c r="BH11" s="38" t="str">
        <f>IFERROR(INDEX(Однолинейка!$A$1:$A$1000,(MATCH(7,Однолинейка!$BS$1:$BS$1000,0))),"")</f>
        <v/>
      </c>
      <c r="BI11" s="38" t="str">
        <f>IFERROR(INDEX(Однолинейка!$AW$1:$AW$1000,(MATCH(7,Однолинейка!$BS$1:$BS$1000,0))),"")</f>
        <v/>
      </c>
      <c r="BJ11" s="38" t="str">
        <f>IF(BI11="","",INDEX(Однолинейка!$AI$1:$AI$1000,(MATCH(7,Однолинейка!$BS$1:$BS$1000,0))))</f>
        <v/>
      </c>
      <c r="BK11" s="38" t="str">
        <f t="shared" si="1"/>
        <v/>
      </c>
      <c r="BL11" s="38" t="str">
        <f>IF(BI11="","",_xlfn.MAXIFS(Однолинейка!$O$3:$O$1000,Однолинейка!$AH$3:$AH$1000,BI11,Однолинейка!$A$3:$A$1000,BH11))</f>
        <v/>
      </c>
      <c r="BM11" s="38" t="str">
        <f>IF(BI11="","",COUNTIFS(Однолинейка!$AH$3:$AH$1000,BI11,Однолинейка!$A$3:$A$1000,BH11,Однолинейка!$N$3:$N$1000,"р"))</f>
        <v/>
      </c>
      <c r="BN11" s="38" t="str">
        <f t="shared" si="2"/>
        <v/>
      </c>
      <c r="BP11" s="74">
        <v>70</v>
      </c>
      <c r="BQ11" s="74">
        <v>0.45</v>
      </c>
      <c r="BR11" s="37" t="s">
        <v>579</v>
      </c>
      <c r="BT11" s="74"/>
      <c r="BU11" s="74"/>
      <c r="BX11" s="74">
        <v>35</v>
      </c>
      <c r="BY11" s="74">
        <v>170</v>
      </c>
      <c r="BZ11" s="74">
        <v>140</v>
      </c>
      <c r="CA11" s="74">
        <v>120</v>
      </c>
    </row>
    <row r="12" spans="1:79" x14ac:dyDescent="0.3">
      <c r="B12" s="14">
        <v>25</v>
      </c>
      <c r="C12" s="14">
        <v>6.6199999999999995E-2</v>
      </c>
      <c r="D12" s="14">
        <v>2.2499999999999999E-2</v>
      </c>
      <c r="F12" s="14">
        <v>45</v>
      </c>
      <c r="G12" s="14">
        <v>63</v>
      </c>
      <c r="I12" s="14"/>
      <c r="J12" s="14"/>
      <c r="L12" s="16"/>
      <c r="M12" s="16"/>
      <c r="N12" s="16"/>
      <c r="O12" s="17"/>
      <c r="P12" s="26"/>
      <c r="Q12" s="26"/>
      <c r="R12" s="26"/>
      <c r="S12" s="26"/>
      <c r="T12" s="26"/>
      <c r="U12" s="26"/>
      <c r="V12" s="26"/>
      <c r="W12" s="26"/>
      <c r="X12" s="26"/>
      <c r="Y12" s="26"/>
      <c r="Z12" s="74"/>
      <c r="AA12" s="16"/>
      <c r="AB12" s="16"/>
      <c r="AC12" s="17"/>
      <c r="AD12" s="18"/>
      <c r="AE12" s="16"/>
      <c r="AF12" s="16"/>
      <c r="AG12" s="16"/>
      <c r="AJ12" s="13" t="str">
        <f t="shared" si="0"/>
        <v>ВВГнг(А)-LS (3х4) 1</v>
      </c>
      <c r="AK12" s="14" t="s">
        <v>67</v>
      </c>
      <c r="AL12" t="s">
        <v>12</v>
      </c>
      <c r="AM12">
        <v>3</v>
      </c>
      <c r="AN12">
        <v>4</v>
      </c>
      <c r="AO12">
        <v>1</v>
      </c>
      <c r="AU12" s="26"/>
      <c r="AV12" s="26"/>
      <c r="AW12" s="26"/>
      <c r="AY12" s="26"/>
      <c r="AZ12" s="74"/>
      <c r="BA12" s="26"/>
      <c r="BB12" s="26"/>
      <c r="BC12" s="26"/>
      <c r="BD12" s="79"/>
      <c r="BE12" s="37" t="s">
        <v>581</v>
      </c>
      <c r="BF12" s="38">
        <f>SUM(Однолинейка!$BX$3:$BX$1000)</f>
        <v>50</v>
      </c>
      <c r="BH12" s="38" t="str">
        <f>IFERROR(INDEX(Однолинейка!$A$1:$A$1000,(MATCH(8,Однолинейка!$BS$1:$BS$1000,0))),"")</f>
        <v/>
      </c>
      <c r="BI12" s="38" t="str">
        <f>IFERROR(INDEX(Однолинейка!$AW$1:$AW$1000,(MATCH(8,Однолинейка!$BS$1:$BS$1000,0))),"")</f>
        <v/>
      </c>
      <c r="BJ12" s="38" t="str">
        <f>IF(BI12="","",INDEX(Однолинейка!$AI$1:$AI$1000,(MATCH(8,Однолинейка!$BS$1:$BS$1000,0))))</f>
        <v/>
      </c>
      <c r="BK12" s="38" t="str">
        <f t="shared" si="1"/>
        <v/>
      </c>
      <c r="BL12" s="38" t="str">
        <f>IF(BI12="","",_xlfn.MAXIFS(Однолинейка!$O$3:$O$1000,Однолинейка!$AH$3:$AH$1000,BI12,Однолинейка!$A$3:$A$1000,BH12))</f>
        <v/>
      </c>
      <c r="BM12" s="38" t="str">
        <f>IF(BI12="","",COUNTIFS(Однолинейка!$AH$3:$AH$1000,BI12,Однолинейка!$A$3:$A$1000,BH12,Однолинейка!$N$3:$N$1000,"р"))</f>
        <v/>
      </c>
      <c r="BN12" s="38" t="str">
        <f t="shared" si="2"/>
        <v/>
      </c>
      <c r="BT12" s="74"/>
      <c r="BU12" s="74"/>
      <c r="BX12" s="74">
        <v>50</v>
      </c>
      <c r="BY12" s="74">
        <v>215</v>
      </c>
      <c r="BZ12" s="74">
        <v>175</v>
      </c>
      <c r="CA12" s="74">
        <v>145</v>
      </c>
    </row>
    <row r="13" spans="1:79" x14ac:dyDescent="0.3">
      <c r="B13" s="14">
        <v>35</v>
      </c>
      <c r="C13" s="14">
        <v>6.3700000000000007E-2</v>
      </c>
      <c r="D13" s="14">
        <v>2.2499999999999999E-2</v>
      </c>
      <c r="F13" s="14">
        <v>56.7</v>
      </c>
      <c r="G13" s="14">
        <v>80</v>
      </c>
      <c r="I13" s="14"/>
      <c r="J13" s="14"/>
      <c r="L13" s="16"/>
      <c r="M13" s="3"/>
      <c r="N13" s="16"/>
      <c r="O13" s="17"/>
      <c r="P13" s="26"/>
      <c r="Q13" s="19"/>
      <c r="R13" s="26"/>
      <c r="S13" s="26"/>
      <c r="T13" s="26"/>
      <c r="U13" s="26"/>
      <c r="V13" s="26"/>
      <c r="W13" s="26"/>
      <c r="X13" s="26"/>
      <c r="Y13" s="26"/>
      <c r="Z13" s="74"/>
      <c r="AA13" s="16"/>
      <c r="AB13" s="16"/>
      <c r="AC13" s="17"/>
      <c r="AD13" s="18"/>
      <c r="AE13" s="16"/>
      <c r="AF13" s="16"/>
      <c r="AG13" s="16"/>
      <c r="AJ13" s="13" t="str">
        <f t="shared" si="0"/>
        <v>ВВГнг(А)-LS (3х4) 2</v>
      </c>
      <c r="AK13" s="14" t="s">
        <v>68</v>
      </c>
      <c r="AL13" t="s">
        <v>12</v>
      </c>
      <c r="AM13">
        <v>3</v>
      </c>
      <c r="AN13">
        <v>4</v>
      </c>
      <c r="AO13">
        <v>2</v>
      </c>
      <c r="AU13" s="26"/>
      <c r="AY13" s="26"/>
      <c r="AZ13" s="74"/>
      <c r="BA13" s="26"/>
      <c r="BB13" s="26"/>
      <c r="BC13" s="26"/>
      <c r="BD13" s="79"/>
      <c r="BE13" s="37" t="s">
        <v>499</v>
      </c>
      <c r="BF13" s="38">
        <f>COUNTIF(Однолинейка!$AW$3:$AW$1000,"?*")</f>
        <v>0</v>
      </c>
      <c r="BH13" s="38" t="str">
        <f>IFERROR(INDEX(Однолинейка!$A$1:$A$1000,(MATCH(9,Однолинейка!$BS$1:$BS$1000,0))),"")</f>
        <v/>
      </c>
      <c r="BI13" s="38" t="str">
        <f>IFERROR(INDEX(Однолинейка!$AW$1:$AW$1000,(MATCH(9,Однолинейка!$BS$1:$BS$1000,0))),"")</f>
        <v/>
      </c>
      <c r="BJ13" s="38" t="str">
        <f>IF(BI13="","",INDEX(Однолинейка!$AI$1:$AI$1000,(MATCH(9,Однолинейка!$BS$1:$BS$1000,0))))</f>
        <v/>
      </c>
      <c r="BK13" s="38" t="str">
        <f t="shared" si="1"/>
        <v/>
      </c>
      <c r="BL13" s="38" t="str">
        <f>IF(BI13="","",_xlfn.MAXIFS(Однолинейка!$O$3:$O$1000,Однолинейка!$AH$3:$AH$1000,BI13,Однолинейка!$A$3:$A$1000,BH13))</f>
        <v/>
      </c>
      <c r="BM13" s="38" t="str">
        <f>IF(BI13="","",COUNTIFS(Однолинейка!$AH$3:$AH$1000,BI13,Однолинейка!$A$3:$A$1000,BH13,Однолинейка!$N$3:$N$1000,"р"))</f>
        <v/>
      </c>
      <c r="BN13" s="38" t="str">
        <f t="shared" si="2"/>
        <v/>
      </c>
      <c r="BP13" s="35" t="s">
        <v>583</v>
      </c>
      <c r="BQ13" s="35"/>
      <c r="BT13" s="74"/>
      <c r="BU13" s="74"/>
      <c r="BX13" s="74">
        <v>70</v>
      </c>
      <c r="BY13" s="74">
        <v>270</v>
      </c>
      <c r="BZ13" s="74">
        <v>215</v>
      </c>
      <c r="CA13" s="74">
        <v>180</v>
      </c>
    </row>
    <row r="14" spans="1:79" x14ac:dyDescent="0.3">
      <c r="B14" s="14">
        <v>50</v>
      </c>
      <c r="C14" s="14">
        <v>6.25E-2</v>
      </c>
      <c r="D14" s="14">
        <v>2.2499999999999999E-2</v>
      </c>
      <c r="F14" s="14">
        <v>72</v>
      </c>
      <c r="G14" s="14">
        <v>100</v>
      </c>
      <c r="I14" s="14"/>
      <c r="J14" s="14"/>
      <c r="L14" s="16"/>
      <c r="M14" s="16"/>
      <c r="N14" s="16"/>
      <c r="O14" s="17"/>
      <c r="P14" s="26"/>
      <c r="Q14" s="26"/>
      <c r="R14" s="26"/>
      <c r="S14" s="26"/>
      <c r="T14" s="26"/>
      <c r="U14" s="26"/>
      <c r="V14" s="26"/>
      <c r="W14" s="26"/>
      <c r="X14" s="26"/>
      <c r="Y14" s="26"/>
      <c r="Z14" s="74"/>
      <c r="AA14" s="16"/>
      <c r="AB14" s="16"/>
      <c r="AC14" s="17"/>
      <c r="AD14" s="18"/>
      <c r="AE14" s="16"/>
      <c r="AF14" s="16"/>
      <c r="AG14" s="16"/>
      <c r="AJ14" s="13" t="str">
        <f t="shared" si="0"/>
        <v>ВВГнг(А)-LS (3х6) 1</v>
      </c>
      <c r="AK14" s="14" t="s">
        <v>69</v>
      </c>
      <c r="AL14" t="s">
        <v>12</v>
      </c>
      <c r="AM14">
        <v>3</v>
      </c>
      <c r="AN14">
        <v>6</v>
      </c>
      <c r="AO14">
        <v>1</v>
      </c>
      <c r="AU14" s="26"/>
      <c r="AV14" s="26"/>
      <c r="AW14" s="26"/>
      <c r="AY14" s="26"/>
      <c r="AZ14" s="74"/>
      <c r="BA14" s="26"/>
      <c r="BB14" s="26"/>
      <c r="BC14" s="26"/>
      <c r="BD14" s="79"/>
      <c r="BE14" s="37" t="s">
        <v>585</v>
      </c>
      <c r="BF14" s="38">
        <f>COUNTIF(Однолинейка!$BU$3:$BU$1000,2)</f>
        <v>5</v>
      </c>
      <c r="BH14" s="38" t="str">
        <f>IFERROR(INDEX(Однолинейка!$A$1:$A$1000,(MATCH(10,Однолинейка!$BS$1:$BS$1000,0))),"")</f>
        <v/>
      </c>
      <c r="BI14" s="38" t="str">
        <f>IFERROR(INDEX(Однолинейка!$AW$1:$AW$1000,(MATCH(10,Однолинейка!$BS$1:$BS$1000,0))),"")</f>
        <v/>
      </c>
      <c r="BJ14" s="38" t="str">
        <f>IF(BI14="","",INDEX(Однолинейка!$AI$1:$AI$1000,(MATCH(10,Однолинейка!$BS$1:$BS$1000,0))))</f>
        <v/>
      </c>
      <c r="BK14" s="38" t="str">
        <f t="shared" si="1"/>
        <v/>
      </c>
      <c r="BL14" s="38" t="str">
        <f>IF(BI14="","",_xlfn.MAXIFS(Однолинейка!$O$3:$O$1000,Однолинейка!$AH$3:$AH$1000,BI14,Однолинейка!$A$3:$A$1000,BH14))</f>
        <v/>
      </c>
      <c r="BM14" s="38" t="str">
        <f>IF(BI14="","",COUNTIFS(Однолинейка!$AH$3:$AH$1000,BI14,Однолинейка!$A$3:$A$1000,BH14,Однолинейка!$N$3:$N$1000,"р"))</f>
        <v/>
      </c>
      <c r="BN14" s="38" t="str">
        <f t="shared" si="2"/>
        <v/>
      </c>
      <c r="BP14" s="37" t="s">
        <v>586</v>
      </c>
      <c r="BQ14" s="74">
        <v>0.9</v>
      </c>
      <c r="BR14" s="37" t="s">
        <v>587</v>
      </c>
      <c r="BT14" s="74"/>
      <c r="BU14" s="74"/>
      <c r="BX14" s="74">
        <v>95</v>
      </c>
      <c r="BY14" s="74">
        <v>325</v>
      </c>
      <c r="BZ14" s="74">
        <v>260</v>
      </c>
      <c r="CA14" s="74">
        <v>220</v>
      </c>
    </row>
    <row r="15" spans="1:79" x14ac:dyDescent="0.3">
      <c r="B15" s="14">
        <v>70</v>
      </c>
      <c r="C15" s="14">
        <v>6.1199999999999997E-2</v>
      </c>
      <c r="D15" s="14">
        <v>2.2499999999999999E-2</v>
      </c>
      <c r="F15" s="14">
        <v>90</v>
      </c>
      <c r="G15" s="14">
        <v>125</v>
      </c>
      <c r="I15" s="14"/>
      <c r="J15" s="14"/>
      <c r="L15" s="16"/>
      <c r="M15" s="16"/>
      <c r="N15" s="16"/>
      <c r="O15" s="17"/>
      <c r="P15" s="26"/>
      <c r="Q15" s="26"/>
      <c r="R15" s="26"/>
      <c r="S15" s="26"/>
      <c r="T15" s="26"/>
      <c r="U15" s="26"/>
      <c r="V15" s="26"/>
      <c r="W15" s="26"/>
      <c r="X15" s="26"/>
      <c r="Y15" s="26"/>
      <c r="Z15" s="74"/>
      <c r="AA15" s="16"/>
      <c r="AB15" s="16"/>
      <c r="AC15" s="17"/>
      <c r="AD15" s="18"/>
      <c r="AE15" s="16"/>
      <c r="AF15" s="16"/>
      <c r="AG15" s="16"/>
      <c r="AJ15" s="13" t="str">
        <f t="shared" si="0"/>
        <v>ВВГнг(А)-LS (3х6) 2</v>
      </c>
      <c r="AK15" s="14" t="s">
        <v>70</v>
      </c>
      <c r="AL15" t="s">
        <v>12</v>
      </c>
      <c r="AM15">
        <v>3</v>
      </c>
      <c r="AN15">
        <v>6</v>
      </c>
      <c r="AO15">
        <v>2</v>
      </c>
      <c r="AU15" s="26"/>
      <c r="AV15" s="26"/>
      <c r="AW15" s="26"/>
      <c r="AY15" s="26"/>
      <c r="AZ15" s="74"/>
      <c r="BA15" s="26"/>
      <c r="BB15" s="26"/>
      <c r="BC15" s="26"/>
      <c r="BD15" s="79"/>
      <c r="BE15" s="37" t="s">
        <v>588</v>
      </c>
      <c r="BF15" s="38">
        <f>COUNTIF(Однолинейка!$BU$3:$BU$1000,1)</f>
        <v>26</v>
      </c>
      <c r="BH15" s="38" t="str">
        <f>IFERROR(INDEX(Однолинейка!$A$1:$A$1000,(MATCH(11,Однолинейка!$BS$1:$BS$1000,0))),"")</f>
        <v/>
      </c>
      <c r="BI15" s="38" t="str">
        <f>IFERROR(INDEX(Однолинейка!$AW$1:$AW$1000,(MATCH(11,Однолинейка!$BS$1:$BS$1000,0))),"")</f>
        <v/>
      </c>
      <c r="BJ15" s="38" t="str">
        <f>IF(BI15="","",INDEX(Однолинейка!$AI$1:$AI$1000,(MATCH(11,Однолинейка!$BS$1:$BS$1000,0))))</f>
        <v/>
      </c>
      <c r="BK15" s="38" t="str">
        <f t="shared" si="1"/>
        <v/>
      </c>
      <c r="BL15" s="38" t="str">
        <f>IF(BI15="","",_xlfn.MAXIFS(Однолинейка!$O$3:$O$1000,Однолинейка!$AH$3:$AH$1000,BI15,Однолинейка!$A$3:$A$1000,BH15))</f>
        <v/>
      </c>
      <c r="BM15" s="38" t="str">
        <f>IF(BI15="","",COUNTIFS(Однолинейка!$AH$3:$AH$1000,BI15,Однолинейка!$A$3:$A$1000,BH15,Однолинейка!$N$3:$N$1000,"р"))</f>
        <v/>
      </c>
      <c r="BN15" s="38" t="str">
        <f t="shared" si="2"/>
        <v/>
      </c>
      <c r="BT15" s="74"/>
      <c r="BU15" s="74"/>
      <c r="BX15" s="74">
        <v>120</v>
      </c>
      <c r="BY15" s="74">
        <v>385</v>
      </c>
      <c r="BZ15" s="74">
        <v>300</v>
      </c>
      <c r="CA15" s="74">
        <v>260</v>
      </c>
    </row>
    <row r="16" spans="1:79" x14ac:dyDescent="0.3">
      <c r="B16" s="14">
        <v>95</v>
      </c>
      <c r="C16" s="14">
        <v>6.0199999999999997E-2</v>
      </c>
      <c r="D16" s="14">
        <v>2.2499999999999999E-2</v>
      </c>
      <c r="F16" s="14">
        <v>112.5</v>
      </c>
      <c r="G16" s="14">
        <v>160</v>
      </c>
      <c r="I16" s="14"/>
      <c r="J16" s="14"/>
      <c r="L16" s="16"/>
      <c r="M16" s="21"/>
      <c r="N16" s="16"/>
      <c r="O16" s="17"/>
      <c r="P16" s="26"/>
      <c r="Q16" s="26"/>
      <c r="R16" s="26"/>
      <c r="S16" s="26"/>
      <c r="T16" s="26"/>
      <c r="U16" s="26"/>
      <c r="V16" s="26"/>
      <c r="W16" s="26"/>
      <c r="X16" s="26"/>
      <c r="Y16" s="26"/>
      <c r="Z16" s="74"/>
      <c r="AA16" s="16"/>
      <c r="AB16" s="16"/>
      <c r="AC16" s="17"/>
      <c r="AD16" s="18"/>
      <c r="AE16" s="16"/>
      <c r="AF16" s="16"/>
      <c r="AG16" s="16"/>
      <c r="AJ16" s="13" t="str">
        <f t="shared" si="0"/>
        <v>ВВГнг(А)-LS (5х1,5) 1</v>
      </c>
      <c r="AK16" s="14" t="s">
        <v>71</v>
      </c>
      <c r="AL16" t="s">
        <v>12</v>
      </c>
      <c r="AM16">
        <v>5</v>
      </c>
      <c r="AN16">
        <v>1.5</v>
      </c>
      <c r="AO16">
        <v>1</v>
      </c>
      <c r="AU16" s="26"/>
      <c r="AV16" s="26"/>
      <c r="AW16" s="26"/>
      <c r="AY16" s="26"/>
      <c r="AZ16" s="74"/>
      <c r="BA16" s="26"/>
      <c r="BB16" s="26"/>
      <c r="BC16" s="26"/>
      <c r="BD16" s="79"/>
      <c r="BE16" s="37" t="s">
        <v>834</v>
      </c>
      <c r="BF16" s="38" t="e">
        <f>COUNTIF(#REF!,"НЕ ОБЕСПЕЧЕНА")</f>
        <v>#REF!</v>
      </c>
      <c r="BH16" s="38" t="str">
        <f>IFERROR(INDEX(Однолинейка!$A$1:$A$1000,(MATCH(12,Однолинейка!$BS$1:$BS$1000,0))),"")</f>
        <v/>
      </c>
      <c r="BI16" s="38" t="str">
        <f>IFERROR(INDEX(Однолинейка!$AW$1:$AW$1000,(MATCH(12,Однолинейка!$BS$1:$BS$1000,0))),"")</f>
        <v/>
      </c>
      <c r="BJ16" s="38" t="str">
        <f>IF(BI16="","",INDEX(Однолинейка!$AI$1:$AI$1000,(MATCH(12,Однолинейка!$BS$1:$BS$1000,0))))</f>
        <v/>
      </c>
      <c r="BK16" s="38" t="str">
        <f t="shared" si="1"/>
        <v/>
      </c>
      <c r="BL16" s="38" t="str">
        <f>IF(BI16="","",_xlfn.MAXIFS(Однолинейка!$O$3:$O$1000,Однолинейка!$AH$3:$AH$1000,BI16,Однолинейка!$A$3:$A$1000,BH16))</f>
        <v/>
      </c>
      <c r="BM16" s="38" t="str">
        <f>IF(BI16="","",COUNTIFS(Однолинейка!$AH$3:$AH$1000,BI16,Однолинейка!$A$3:$A$1000,BH16,Однолинейка!$N$3:$N$1000,"р"))</f>
        <v/>
      </c>
      <c r="BN16" s="38" t="str">
        <f t="shared" si="2"/>
        <v/>
      </c>
      <c r="BP16" s="35" t="s">
        <v>589</v>
      </c>
      <c r="BQ16" s="35"/>
      <c r="BR16" s="35" t="s">
        <v>590</v>
      </c>
      <c r="BT16" s="74"/>
      <c r="BU16" s="74"/>
      <c r="BX16" s="74">
        <v>150</v>
      </c>
      <c r="BY16" s="74">
        <v>440</v>
      </c>
      <c r="BZ16" s="74">
        <v>350</v>
      </c>
      <c r="CA16" s="74">
        <v>305</v>
      </c>
    </row>
    <row r="17" spans="2:79" x14ac:dyDescent="0.3">
      <c r="B17" s="14">
        <v>150</v>
      </c>
      <c r="C17" s="14">
        <v>5.96E-2</v>
      </c>
      <c r="D17" s="14">
        <v>2.2499999999999999E-2</v>
      </c>
      <c r="F17" s="14">
        <v>144</v>
      </c>
      <c r="G17" s="14">
        <v>200</v>
      </c>
      <c r="I17" s="14"/>
      <c r="J17" s="14"/>
      <c r="L17" s="16"/>
      <c r="M17" s="16"/>
      <c r="N17" s="16"/>
      <c r="O17" s="17"/>
      <c r="P17" s="26"/>
      <c r="Q17" s="26"/>
      <c r="R17" s="26"/>
      <c r="S17" s="26"/>
      <c r="T17" s="26"/>
      <c r="U17" s="26"/>
      <c r="V17" s="26"/>
      <c r="W17" s="26"/>
      <c r="X17" s="26"/>
      <c r="Y17" s="26"/>
      <c r="Z17" s="74"/>
      <c r="AA17" s="23"/>
      <c r="AB17" s="23"/>
      <c r="AC17" s="17"/>
      <c r="AD17" s="18"/>
      <c r="AE17" s="16"/>
      <c r="AF17" s="16"/>
      <c r="AG17" s="16"/>
      <c r="AJ17" s="13" t="str">
        <f t="shared" si="0"/>
        <v>ВВГнг(А)-LS (5х1,5) 2</v>
      </c>
      <c r="AK17" s="14" t="s">
        <v>72</v>
      </c>
      <c r="AL17" t="s">
        <v>12</v>
      </c>
      <c r="AM17">
        <v>5</v>
      </c>
      <c r="AN17">
        <v>1.5</v>
      </c>
      <c r="AO17">
        <v>2</v>
      </c>
      <c r="AU17" s="26"/>
      <c r="AY17" s="26"/>
      <c r="AZ17" s="74"/>
      <c r="BA17" s="26"/>
      <c r="BB17" s="26"/>
      <c r="BC17" s="26"/>
      <c r="BD17" s="79"/>
      <c r="BH17" s="38" t="str">
        <f>IFERROR(INDEX(Однолинейка!$A$1:$A$1000,(MATCH(13,Однолинейка!$BS$1:$BS$1000,0))),"")</f>
        <v/>
      </c>
      <c r="BI17" s="38" t="str">
        <f>IFERROR(INDEX(Однолинейка!$AW$1:$AW$1000,(MATCH(13,Однолинейка!$BS$1:$BS$1000,0))),"")</f>
        <v/>
      </c>
      <c r="BJ17" s="38" t="str">
        <f>IF(BI17="","",INDEX(Однолинейка!$AI$1:$AI$1000,(MATCH(13,Однолинейка!$BS$1:$BS$1000,0))))</f>
        <v/>
      </c>
      <c r="BK17" s="38" t="str">
        <f t="shared" si="1"/>
        <v/>
      </c>
      <c r="BL17" s="38" t="str">
        <f>IF(BI17="","",_xlfn.MAXIFS(Однолинейка!$O$3:$O$1000,Однолинейка!$AH$3:$AH$1000,BI17,Однолинейка!$A$3:$A$1000,BH17))</f>
        <v/>
      </c>
      <c r="BM17" s="38" t="str">
        <f>IF(BI17="","",COUNTIFS(Однолинейка!$AH$3:$AH$1000,BI17,Однолинейка!$A$3:$A$1000,BH17,Однолинейка!$N$3:$N$1000,"р"))</f>
        <v/>
      </c>
      <c r="BN17" s="38" t="str">
        <f t="shared" si="2"/>
        <v/>
      </c>
      <c r="BP17" s="38" t="s">
        <v>562</v>
      </c>
      <c r="BR17" s="37" t="s">
        <v>593</v>
      </c>
      <c r="BT17" s="74"/>
      <c r="BU17" s="74"/>
      <c r="BX17" s="74">
        <v>185</v>
      </c>
      <c r="BY17" s="74">
        <v>510</v>
      </c>
      <c r="BZ17" s="74">
        <v>405</v>
      </c>
      <c r="CA17" s="74">
        <v>350</v>
      </c>
    </row>
    <row r="18" spans="2:79" x14ac:dyDescent="0.3">
      <c r="B18" s="14">
        <v>185</v>
      </c>
      <c r="C18" s="14">
        <v>5.96E-2</v>
      </c>
      <c r="D18" s="14">
        <v>2.2499999999999999E-2</v>
      </c>
      <c r="F18" s="14">
        <v>180</v>
      </c>
      <c r="G18" s="14">
        <v>250</v>
      </c>
      <c r="I18" s="14"/>
      <c r="J18" s="14"/>
      <c r="L18" s="16"/>
      <c r="M18" s="16"/>
      <c r="N18" s="16"/>
      <c r="O18" s="17"/>
      <c r="P18" s="26"/>
      <c r="Q18" s="26"/>
      <c r="R18" s="26"/>
      <c r="S18" s="26"/>
      <c r="T18" s="26"/>
      <c r="U18" s="26"/>
      <c r="V18" s="26"/>
      <c r="W18" s="26"/>
      <c r="X18" s="26"/>
      <c r="Y18" s="26"/>
      <c r="Z18" s="74"/>
      <c r="AA18" s="23"/>
      <c r="AB18" s="23"/>
      <c r="AC18" s="17"/>
      <c r="AD18" s="18"/>
      <c r="AE18" s="16"/>
      <c r="AF18" s="16"/>
      <c r="AG18" s="16"/>
      <c r="AJ18" s="13" t="str">
        <f t="shared" si="0"/>
        <v>ВВГнг(А)-LS (5х2,5) 1</v>
      </c>
      <c r="AK18" s="14" t="s">
        <v>73</v>
      </c>
      <c r="AL18" t="s">
        <v>12</v>
      </c>
      <c r="AM18">
        <v>5</v>
      </c>
      <c r="AN18">
        <v>2.5</v>
      </c>
      <c r="AO18">
        <v>1</v>
      </c>
      <c r="AU18" s="26"/>
      <c r="AV18" s="26"/>
      <c r="AW18" s="26"/>
      <c r="AY18" s="26"/>
      <c r="AZ18" s="74"/>
      <c r="BA18" s="26"/>
      <c r="BB18" s="26"/>
      <c r="BC18" s="26"/>
      <c r="BD18" s="79"/>
      <c r="BE18" s="35" t="s">
        <v>597</v>
      </c>
      <c r="BF18" s="35"/>
      <c r="BH18" s="38" t="str">
        <f>IFERROR(INDEX(Однолинейка!$A$1:$A$1000,(MATCH(14,Однолинейка!$BS$1:$BS$1000,0))),"")</f>
        <v/>
      </c>
      <c r="BI18" s="38" t="str">
        <f>IFERROR(INDEX(Однолинейка!$AW$1:$AW$1000,(MATCH(14,Однолинейка!$BS$1:$BS$1000,0))),"")</f>
        <v/>
      </c>
      <c r="BJ18" s="38" t="str">
        <f>IF(BI18="","",INDEX(Однолинейка!$AI$1:$AI$1000,(MATCH(14,Однолинейка!$BS$1:$BS$1000,0))))</f>
        <v/>
      </c>
      <c r="BK18" s="38" t="str">
        <f t="shared" si="1"/>
        <v/>
      </c>
      <c r="BL18" s="38" t="str">
        <f>IF(BI18="","",_xlfn.MAXIFS(Однолинейка!$O$3:$O$1000,Однолинейка!$AH$3:$AH$1000,BI18,Однолинейка!$A$3:$A$1000,BH18))</f>
        <v/>
      </c>
      <c r="BM18" s="38" t="str">
        <f>IF(BI18="","",COUNTIFS(Однолинейка!$AH$3:$AH$1000,BI18,Однолинейка!$A$3:$A$1000,BH18,Однолинейка!$N$3:$N$1000,"р"))</f>
        <v/>
      </c>
      <c r="BN18" s="38" t="str">
        <f t="shared" si="2"/>
        <v/>
      </c>
      <c r="BP18" s="38" t="s">
        <v>598</v>
      </c>
      <c r="BR18" s="37" t="s">
        <v>599</v>
      </c>
      <c r="BT18" s="74"/>
      <c r="BU18" s="74"/>
      <c r="BX18" s="74">
        <v>240</v>
      </c>
      <c r="BY18" s="74">
        <v>605</v>
      </c>
      <c r="BZ18" s="74"/>
      <c r="CA18" s="74"/>
    </row>
    <row r="19" spans="2:79" x14ac:dyDescent="0.3">
      <c r="B19" s="14">
        <v>240</v>
      </c>
      <c r="C19" s="14">
        <v>5.8700000000000002E-2</v>
      </c>
      <c r="D19" s="14">
        <v>2.2499999999999999E-2</v>
      </c>
      <c r="F19" s="14">
        <v>225</v>
      </c>
      <c r="G19" s="14">
        <v>315</v>
      </c>
      <c r="I19" s="14"/>
      <c r="J19" s="14"/>
      <c r="L19" s="16"/>
      <c r="M19" s="16"/>
      <c r="N19" s="16"/>
      <c r="O19" s="17"/>
      <c r="P19" s="26"/>
      <c r="Q19" s="26"/>
      <c r="R19" s="26"/>
      <c r="S19" s="26"/>
      <c r="T19" s="26"/>
      <c r="U19" s="26"/>
      <c r="V19" s="26"/>
      <c r="W19" s="26"/>
      <c r="X19" s="26"/>
      <c r="Y19" s="26"/>
      <c r="Z19" s="74"/>
      <c r="AA19" s="23"/>
      <c r="AB19" s="23"/>
      <c r="AC19" s="17"/>
      <c r="AD19" s="18"/>
      <c r="AE19" s="16"/>
      <c r="AF19" s="16"/>
      <c r="AG19" s="16"/>
      <c r="AJ19" s="13" t="str">
        <f t="shared" si="0"/>
        <v>ВВГнг(А)-LS (5х2,5) 2</v>
      </c>
      <c r="AK19" s="14" t="s">
        <v>74</v>
      </c>
      <c r="AL19" t="s">
        <v>12</v>
      </c>
      <c r="AM19">
        <v>5</v>
      </c>
      <c r="AN19">
        <v>2.5</v>
      </c>
      <c r="AO19">
        <v>2</v>
      </c>
      <c r="AU19" s="26"/>
      <c r="AV19" s="26"/>
      <c r="AW19" s="26"/>
      <c r="AX19" s="26"/>
      <c r="AY19" s="26"/>
      <c r="AZ19" s="74"/>
      <c r="BA19" s="26"/>
      <c r="BB19" s="26"/>
      <c r="BC19" s="26"/>
      <c r="BD19" s="79"/>
      <c r="BE19" s="37" t="s">
        <v>502</v>
      </c>
      <c r="BH19" s="38" t="str">
        <f>IFERROR(INDEX(Однолинейка!$A$1:$A$1000,(MATCH(15,Однолинейка!$BS$1:$BS$1000,0))),"")</f>
        <v/>
      </c>
      <c r="BI19" s="38" t="str">
        <f>IFERROR(INDEX(Однолинейка!$AW$1:$AW$1000,(MATCH(15,Однолинейка!$BS$1:$BS$1000,0))),"")</f>
        <v/>
      </c>
      <c r="BJ19" s="38" t="str">
        <f>IF(BI19="","",INDEX(Однолинейка!$AI$1:$AI$1000,(MATCH(15,Однолинейка!$BS$1:$BS$1000,0))))</f>
        <v/>
      </c>
      <c r="BK19" s="38" t="str">
        <f t="shared" si="1"/>
        <v/>
      </c>
      <c r="BL19" s="38" t="str">
        <f>IF(BI19="","",_xlfn.MAXIFS(Однолинейка!$O$3:$O$1000,Однолинейка!$AH$3:$AH$1000,BI19,Однолинейка!$A$3:$A$1000,BH19))</f>
        <v/>
      </c>
      <c r="BM19" s="38" t="str">
        <f>IF(BI19="","",COUNTIFS(Однолинейка!$AH$3:$AH$1000,BI19,Однолинейка!$A$3:$A$1000,BH19,Однолинейка!$N$3:$N$1000,"р"))</f>
        <v/>
      </c>
      <c r="BN19" s="38" t="str">
        <f t="shared" si="2"/>
        <v/>
      </c>
      <c r="BP19" s="38" t="s">
        <v>573</v>
      </c>
      <c r="BR19" s="37" t="s">
        <v>603</v>
      </c>
      <c r="BT19" s="74"/>
      <c r="BU19" s="74"/>
    </row>
    <row r="20" spans="2:79" x14ac:dyDescent="0.3">
      <c r="F20" s="14">
        <v>283.5</v>
      </c>
      <c r="G20" s="14">
        <v>400</v>
      </c>
      <c r="L20" s="16"/>
      <c r="M20" s="16"/>
      <c r="N20" s="16"/>
      <c r="O20" s="17"/>
      <c r="P20" s="26"/>
      <c r="Q20" s="26"/>
      <c r="R20" s="26"/>
      <c r="S20" s="26"/>
      <c r="T20" s="26"/>
      <c r="U20" s="26"/>
      <c r="V20" s="26"/>
      <c r="W20" s="26"/>
      <c r="X20" s="26"/>
      <c r="Y20" s="26"/>
      <c r="Z20" s="74"/>
      <c r="AA20" s="23"/>
      <c r="AB20" s="23"/>
      <c r="AC20" s="17"/>
      <c r="AD20" s="18"/>
      <c r="AE20" s="16"/>
      <c r="AF20" s="16"/>
      <c r="AG20" s="16"/>
      <c r="AJ20" s="13" t="str">
        <f t="shared" si="0"/>
        <v>ВВГнг(А)-LS (5х4) 1</v>
      </c>
      <c r="AK20" s="14" t="s">
        <v>75</v>
      </c>
      <c r="AL20" t="s">
        <v>12</v>
      </c>
      <c r="AM20">
        <v>5</v>
      </c>
      <c r="AN20">
        <v>4</v>
      </c>
      <c r="AO20">
        <v>1</v>
      </c>
      <c r="AU20" s="26"/>
      <c r="AV20" s="26"/>
      <c r="AW20" s="26"/>
      <c r="AX20" s="26"/>
      <c r="AY20" s="26"/>
      <c r="AZ20" s="74"/>
      <c r="BA20" s="26"/>
      <c r="BB20" s="26"/>
      <c r="BC20" s="26"/>
      <c r="BD20" s="79"/>
      <c r="BE20" s="37" t="s">
        <v>607</v>
      </c>
      <c r="BH20" s="38" t="str">
        <f>IFERROR(INDEX(Однолинейка!$A$1:$A$1000,(MATCH(16,Однолинейка!$BS$1:$BS$1000,0))),"")</f>
        <v/>
      </c>
      <c r="BI20" s="38" t="str">
        <f>IFERROR(INDEX(Однолинейка!$AW$1:$AW$1000,(MATCH(16,Однолинейка!$BS$1:$BS$1000,0))),"")</f>
        <v/>
      </c>
      <c r="BJ20" s="38" t="str">
        <f>IF(BI20="","",INDEX(Однолинейка!$AI$1:$AI$1000,(MATCH(16,Однолинейка!$BS$1:$BS$1000,0))))</f>
        <v/>
      </c>
      <c r="BK20" s="38" t="str">
        <f t="shared" si="1"/>
        <v/>
      </c>
      <c r="BL20" s="38" t="str">
        <f>IF(BI20="","",_xlfn.MAXIFS(Однолинейка!$O$3:$O$1000,Однолинейка!$AH$3:$AH$1000,BI20,Однолинейка!$A$3:$A$1000,BH20))</f>
        <v/>
      </c>
      <c r="BM20" s="38" t="str">
        <f>IF(BI20="","",COUNTIFS(Однолинейка!$AH$3:$AH$1000,BI20,Однолинейка!$A$3:$A$1000,BH20,Однолинейка!$N$3:$N$1000,"р"))</f>
        <v/>
      </c>
      <c r="BN20" s="38" t="str">
        <f t="shared" si="2"/>
        <v/>
      </c>
      <c r="BP20" s="38" t="s">
        <v>547</v>
      </c>
      <c r="BR20" s="37" t="s">
        <v>608</v>
      </c>
      <c r="BT20" s="74"/>
      <c r="BU20" s="74"/>
      <c r="BX20" s="37" t="s">
        <v>610</v>
      </c>
    </row>
    <row r="21" spans="2:79" x14ac:dyDescent="0.3">
      <c r="F21" s="14">
        <v>360</v>
      </c>
      <c r="G21" s="14">
        <v>500</v>
      </c>
      <c r="L21" s="16"/>
      <c r="M21" s="16"/>
      <c r="N21" s="16"/>
      <c r="O21" s="17"/>
      <c r="P21" s="26"/>
      <c r="Q21" s="26"/>
      <c r="R21" s="26"/>
      <c r="S21" s="26"/>
      <c r="T21" s="26"/>
      <c r="U21" s="26"/>
      <c r="V21" s="26"/>
      <c r="W21" s="26"/>
      <c r="X21" s="26"/>
      <c r="Y21" s="26"/>
      <c r="Z21" s="74"/>
      <c r="AA21" s="23"/>
      <c r="AB21" s="23"/>
      <c r="AC21" s="17"/>
      <c r="AD21" s="18"/>
      <c r="AE21" s="16"/>
      <c r="AF21" s="16"/>
      <c r="AG21" s="16"/>
      <c r="AJ21" s="13" t="str">
        <f t="shared" si="0"/>
        <v>ВВГнг(А)-LS (5х4) 2</v>
      </c>
      <c r="AK21" s="14" t="s">
        <v>76</v>
      </c>
      <c r="AL21" t="s">
        <v>12</v>
      </c>
      <c r="AM21">
        <v>5</v>
      </c>
      <c r="AN21">
        <v>4</v>
      </c>
      <c r="AO21">
        <v>2</v>
      </c>
      <c r="AU21" s="26"/>
      <c r="AY21" s="26"/>
      <c r="AZ21" s="74"/>
      <c r="BA21" s="26"/>
      <c r="BB21" s="26"/>
      <c r="BC21" s="26"/>
      <c r="BD21" s="79"/>
      <c r="BE21" s="37" t="s">
        <v>613</v>
      </c>
      <c r="BH21" s="38" t="str">
        <f>IFERROR(INDEX(Однолинейка!$A$1:$A$1000,(MATCH(17,Однолинейка!$BS$1:$BS$1000,0))),"")</f>
        <v/>
      </c>
      <c r="BI21" s="38" t="str">
        <f>IFERROR(INDEX(Однолинейка!$AW$1:$AW$1000,(MATCH(17,Однолинейка!$BS$1:$BS$1000,0))),"")</f>
        <v/>
      </c>
      <c r="BJ21" s="38" t="str">
        <f>IF(BI21="","",INDEX(Однолинейка!$AI$1:$AI$1000,(MATCH(17,Однолинейка!$BS$1:$BS$1000,0))))</f>
        <v/>
      </c>
      <c r="BK21" s="38" t="str">
        <f t="shared" si="1"/>
        <v/>
      </c>
      <c r="BL21" s="38" t="str">
        <f>IF(BI21="","",_xlfn.MAXIFS(Однолинейка!$O$3:$O$1000,Однолинейка!$AH$3:$AH$1000,BI21,Однолинейка!$A$3:$A$1000,BH21))</f>
        <v/>
      </c>
      <c r="BM21" s="38" t="str">
        <f>IF(BI21="","",COUNTIFS(Однолинейка!$AH$3:$AH$1000,BI21,Однолинейка!$A$3:$A$1000,BH21,Однолинейка!$N$3:$N$1000,"р"))</f>
        <v/>
      </c>
      <c r="BN21" s="38" t="str">
        <f t="shared" si="2"/>
        <v/>
      </c>
      <c r="BT21" s="74"/>
      <c r="BU21" s="74"/>
    </row>
    <row r="22" spans="2:79" x14ac:dyDescent="0.3">
      <c r="F22" s="14">
        <v>450</v>
      </c>
      <c r="G22" s="14">
        <v>630</v>
      </c>
      <c r="L22" s="16"/>
      <c r="M22" s="16"/>
      <c r="N22" s="16"/>
      <c r="O22" s="17"/>
      <c r="P22" s="26"/>
      <c r="Q22" s="26"/>
      <c r="R22" s="26"/>
      <c r="S22" s="26"/>
      <c r="T22" s="26"/>
      <c r="U22" s="26"/>
      <c r="V22" s="26"/>
      <c r="W22" s="26"/>
      <c r="X22" s="26"/>
      <c r="Y22" s="26"/>
      <c r="Z22" s="74"/>
      <c r="AA22" s="23"/>
      <c r="AB22" s="23"/>
      <c r="AC22" s="17"/>
      <c r="AD22" s="18"/>
      <c r="AE22" s="16"/>
      <c r="AF22" s="16"/>
      <c r="AG22" s="16"/>
      <c r="AJ22" s="13" t="str">
        <f t="shared" si="0"/>
        <v>ВВГнг(А)-LS (5х6) 1</v>
      </c>
      <c r="AK22" s="14" t="s">
        <v>77</v>
      </c>
      <c r="AL22" t="s">
        <v>12</v>
      </c>
      <c r="AM22">
        <v>5</v>
      </c>
      <c r="AN22">
        <v>6</v>
      </c>
      <c r="AO22">
        <v>1</v>
      </c>
      <c r="AU22" s="26"/>
      <c r="AV22" s="26"/>
      <c r="AW22" s="26"/>
      <c r="AY22" s="26"/>
      <c r="AZ22" s="74"/>
      <c r="BA22" s="26"/>
      <c r="BB22" s="26"/>
      <c r="BC22" s="26"/>
      <c r="BD22" s="79"/>
      <c r="BE22" s="37" t="s">
        <v>615</v>
      </c>
      <c r="BH22" s="38" t="str">
        <f>IFERROR(INDEX(Однолинейка!$A$1:$A$1000,(MATCH(18,Однолинейка!$BS$1:$BS$1000,0))),"")</f>
        <v/>
      </c>
      <c r="BI22" s="38" t="str">
        <f>IFERROR(INDEX(Однолинейка!$AW$1:$AW$1000,(MATCH(18,Однолинейка!$BS$1:$BS$1000,0))),"")</f>
        <v/>
      </c>
      <c r="BJ22" s="38" t="str">
        <f>IF(BI22="","",INDEX(Однолинейка!$AI$1:$AI$1000,(MATCH(18,Однолинейка!$BS$1:$BS$1000,0))))</f>
        <v/>
      </c>
      <c r="BK22" s="38" t="str">
        <f t="shared" si="1"/>
        <v/>
      </c>
      <c r="BL22" s="38" t="str">
        <f>IF(BI22="","",_xlfn.MAXIFS(Однолинейка!$O$3:$O$1000,Однолинейка!$AH$3:$AH$1000,BI22,Однолинейка!$A$3:$A$1000,BH22))</f>
        <v/>
      </c>
      <c r="BM22" s="38" t="str">
        <f>IF(BI22="","",COUNTIFS(Однолинейка!$AH$3:$AH$1000,BI22,Однолинейка!$A$3:$A$1000,BH22,Однолинейка!$N$3:$N$1000,"р"))</f>
        <v/>
      </c>
      <c r="BN22" s="38" t="str">
        <f t="shared" si="2"/>
        <v/>
      </c>
      <c r="BP22" s="35" t="s">
        <v>616</v>
      </c>
      <c r="BQ22" s="35"/>
      <c r="BT22" s="74"/>
      <c r="BU22" s="74"/>
    </row>
    <row r="23" spans="2:79" x14ac:dyDescent="0.3">
      <c r="F23" s="14">
        <v>567</v>
      </c>
      <c r="G23" s="14" t="s">
        <v>8</v>
      </c>
      <c r="L23" s="16"/>
      <c r="M23" s="16"/>
      <c r="N23" s="16"/>
      <c r="O23" s="17"/>
      <c r="P23" s="26"/>
      <c r="Q23" s="26"/>
      <c r="R23" s="26"/>
      <c r="S23" s="26"/>
      <c r="T23" s="26"/>
      <c r="U23" s="26"/>
      <c r="V23" s="26"/>
      <c r="W23" s="26"/>
      <c r="X23" s="26"/>
      <c r="Y23" s="26"/>
      <c r="Z23" s="74"/>
      <c r="AA23" s="23"/>
      <c r="AB23" s="23"/>
      <c r="AC23" s="17"/>
      <c r="AD23" s="18"/>
      <c r="AE23" s="16"/>
      <c r="AF23" s="16"/>
      <c r="AG23" s="16"/>
      <c r="AJ23" s="13" t="str">
        <f t="shared" si="0"/>
        <v>ВВГнг(А)-LS (5х6) 2</v>
      </c>
      <c r="AK23" s="14" t="s">
        <v>78</v>
      </c>
      <c r="AL23" t="s">
        <v>12</v>
      </c>
      <c r="AM23">
        <v>5</v>
      </c>
      <c r="AN23">
        <v>6</v>
      </c>
      <c r="AO23">
        <v>2</v>
      </c>
      <c r="AU23" s="26"/>
      <c r="AY23" s="26"/>
      <c r="AZ23" s="74"/>
      <c r="BA23" s="26"/>
      <c r="BB23" s="26"/>
      <c r="BC23" s="26"/>
      <c r="BD23" s="79"/>
      <c r="BE23" s="37" t="s">
        <v>618</v>
      </c>
      <c r="BH23" s="38" t="str">
        <f>IFERROR(INDEX(Однолинейка!$A$1:$A$1000,(MATCH(19,Однолинейка!$BS$1:$BS$1000,0))),"")</f>
        <v/>
      </c>
      <c r="BI23" s="38" t="str">
        <f>IFERROR(INDEX(Однолинейка!$AW$1:$AW$1000,(MATCH(19,Однолинейка!$BS$1:$BS$1000,0))),"")</f>
        <v/>
      </c>
      <c r="BJ23" s="38" t="str">
        <f>IF(BI23="","",INDEX(Однолинейка!$AI$1:$AI$1000,(MATCH(19,Однолинейка!$BS$1:$BS$1000,0))))</f>
        <v/>
      </c>
      <c r="BK23" s="38" t="str">
        <f t="shared" si="1"/>
        <v/>
      </c>
      <c r="BL23" s="38" t="str">
        <f>IF(BI23="","",_xlfn.MAXIFS(Однолинейка!$O$3:$O$1000,Однолинейка!$AH$3:$AH$1000,BI23,Однолинейка!$A$3:$A$1000,BH23))</f>
        <v/>
      </c>
      <c r="BM23" s="38" t="str">
        <f>IF(BI23="","",COUNTIFS(Однолинейка!$AH$3:$AH$1000,BI23,Однолинейка!$A$3:$A$1000,BH23,Однолинейка!$N$3:$N$1000,"р"))</f>
        <v/>
      </c>
      <c r="BN23" s="38" t="str">
        <f t="shared" si="2"/>
        <v/>
      </c>
      <c r="BR23" s="37" t="s">
        <v>619</v>
      </c>
      <c r="BT23" s="74"/>
      <c r="BU23" s="74"/>
    </row>
    <row r="24" spans="2:79" x14ac:dyDescent="0.3">
      <c r="L24" s="16"/>
      <c r="M24" s="16"/>
      <c r="N24" s="16"/>
      <c r="O24" s="17"/>
      <c r="P24" s="26"/>
      <c r="Q24" s="26"/>
      <c r="R24" s="26"/>
      <c r="S24" s="26"/>
      <c r="T24" s="26"/>
      <c r="U24" s="26"/>
      <c r="V24" s="26"/>
      <c r="W24" s="26"/>
      <c r="X24" s="26"/>
      <c r="Y24" s="26"/>
      <c r="Z24" s="74"/>
      <c r="AA24" s="23"/>
      <c r="AB24" s="23"/>
      <c r="AC24" s="17"/>
      <c r="AD24" s="18"/>
      <c r="AE24" s="16"/>
      <c r="AF24" s="16"/>
      <c r="AG24" s="16"/>
      <c r="AJ24" s="13" t="str">
        <f t="shared" si="0"/>
        <v>ВВГнг(А)-LS (5х10) 1</v>
      </c>
      <c r="AK24" s="14" t="s">
        <v>79</v>
      </c>
      <c r="AL24" t="s">
        <v>12</v>
      </c>
      <c r="AM24">
        <v>5</v>
      </c>
      <c r="AN24">
        <v>10</v>
      </c>
      <c r="AO24">
        <v>1</v>
      </c>
      <c r="AU24" s="26"/>
      <c r="AV24" s="26"/>
      <c r="AW24" s="26"/>
      <c r="AY24" s="26"/>
      <c r="AZ24" s="74"/>
      <c r="BA24" s="26"/>
      <c r="BB24" s="26"/>
      <c r="BC24" s="26"/>
      <c r="BD24" s="79"/>
      <c r="BE24" s="37" t="s">
        <v>621</v>
      </c>
      <c r="BH24" s="38" t="str">
        <f>IFERROR(INDEX(Однолинейка!$A$1:$A$1000,(MATCH(20,Однолинейка!$BS$1:$BS$1000,0))),"")</f>
        <v/>
      </c>
      <c r="BI24" s="38" t="str">
        <f>IFERROR(INDEX(Однолинейка!$AW$1:$AW$1000,(MATCH(20,Однолинейка!$BS$1:$BS$1000,0))),"")</f>
        <v/>
      </c>
      <c r="BJ24" s="38" t="str">
        <f>IF(BI24="","",INDEX(Однолинейка!$AI$1:$AI$1000,(MATCH(20,Однолинейка!$BS$1:$BS$1000,0))))</f>
        <v/>
      </c>
      <c r="BK24" s="38" t="str">
        <f t="shared" si="1"/>
        <v/>
      </c>
      <c r="BL24" s="38" t="str">
        <f>IF(BI24="","",_xlfn.MAXIFS(Однолинейка!$O$3:$O$1000,Однолинейка!$AH$3:$AH$1000,BI24,Однолинейка!$A$3:$A$1000,BH24))</f>
        <v/>
      </c>
      <c r="BM24" s="38" t="str">
        <f>IF(BI24="","",COUNTIFS(Однолинейка!$AH$3:$AH$1000,BI24,Однолинейка!$A$3:$A$1000,BH24,Однолинейка!$N$3:$N$1000,"р"))</f>
        <v/>
      </c>
      <c r="BN24" s="38" t="str">
        <f t="shared" si="2"/>
        <v/>
      </c>
      <c r="BR24" s="37" t="s">
        <v>622</v>
      </c>
      <c r="BT24" s="74"/>
      <c r="BU24" s="74"/>
    </row>
    <row r="25" spans="2:79" x14ac:dyDescent="0.3">
      <c r="L25" s="16"/>
      <c r="M25" s="16"/>
      <c r="N25" s="16"/>
      <c r="O25" s="17"/>
      <c r="P25" s="26"/>
      <c r="Q25" s="26"/>
      <c r="R25" s="26"/>
      <c r="S25" s="26"/>
      <c r="T25" s="26"/>
      <c r="U25" s="26"/>
      <c r="V25" s="26"/>
      <c r="W25" s="26"/>
      <c r="X25" s="26"/>
      <c r="Y25" s="26"/>
      <c r="Z25" s="74"/>
      <c r="AA25" s="23"/>
      <c r="AB25" s="23"/>
      <c r="AC25" s="17"/>
      <c r="AD25" s="18"/>
      <c r="AE25" s="16"/>
      <c r="AF25" s="16"/>
      <c r="AG25" s="16"/>
      <c r="AJ25" s="13" t="str">
        <f t="shared" si="0"/>
        <v>ВВГнг(А)-LS (5х10) 2</v>
      </c>
      <c r="AK25" s="14" t="s">
        <v>80</v>
      </c>
      <c r="AL25" t="s">
        <v>12</v>
      </c>
      <c r="AM25">
        <v>5</v>
      </c>
      <c r="AN25">
        <v>10</v>
      </c>
      <c r="AO25">
        <v>2</v>
      </c>
      <c r="AU25" s="26"/>
      <c r="AV25" s="26"/>
      <c r="AW25" s="26"/>
      <c r="AY25" s="26"/>
      <c r="AZ25" s="74"/>
      <c r="BA25" s="26"/>
      <c r="BB25" s="26"/>
      <c r="BC25" s="26"/>
      <c r="BD25" s="79"/>
      <c r="BE25" s="37" t="s">
        <v>623</v>
      </c>
      <c r="BH25" s="38" t="str">
        <f>IFERROR(INDEX(Однолинейка!$A$1:$A$1000,(MATCH(21,Однолинейка!$BS$1:$BS$1000,0))),"")</f>
        <v/>
      </c>
      <c r="BI25" s="38" t="str">
        <f>IFERROR(INDEX(Однолинейка!$AW$1:$AW$1000,(MATCH(21,Однолинейка!$BS$1:$BS$1000,0))),"")</f>
        <v/>
      </c>
      <c r="BJ25" s="38" t="str">
        <f>IF(BI25="","",INDEX(Однолинейка!$AI$1:$AI$1000,(MATCH(21,Однолинейка!$BS$1:$BS$1000,0))))</f>
        <v/>
      </c>
      <c r="BK25" s="38" t="str">
        <f t="shared" si="1"/>
        <v/>
      </c>
      <c r="BL25" s="38" t="str">
        <f>IF(BI25="","",_xlfn.MAXIFS(Однолинейка!$O$3:$O$1000,Однолинейка!$AH$3:$AH$1000,BI25,Однолинейка!$A$3:$A$1000,BH25))</f>
        <v/>
      </c>
      <c r="BM25" s="38" t="str">
        <f>IF(BI25="","",COUNTIFS(Однолинейка!$AH$3:$AH$1000,BI25,Однолинейка!$A$3:$A$1000,BH25,Однолинейка!$N$3:$N$1000,"р"))</f>
        <v/>
      </c>
      <c r="BN25" s="38" t="str">
        <f t="shared" si="2"/>
        <v/>
      </c>
      <c r="BR25" s="37" t="s">
        <v>624</v>
      </c>
      <c r="BT25" s="74"/>
      <c r="BU25" s="74"/>
    </row>
    <row r="26" spans="2:79" x14ac:dyDescent="0.3">
      <c r="L26" s="16"/>
      <c r="M26" s="16"/>
      <c r="N26" s="16"/>
      <c r="O26" s="17"/>
      <c r="P26" s="26"/>
      <c r="Q26" s="26"/>
      <c r="R26" s="26"/>
      <c r="S26" s="26"/>
      <c r="T26" s="26"/>
      <c r="U26" s="26"/>
      <c r="V26" s="26"/>
      <c r="W26" s="26"/>
      <c r="X26" s="26"/>
      <c r="Y26" s="26"/>
      <c r="Z26" s="74"/>
      <c r="AA26" s="23"/>
      <c r="AB26" s="23"/>
      <c r="AC26" s="17"/>
      <c r="AD26" s="17"/>
      <c r="AE26" s="17"/>
      <c r="AF26" s="17"/>
      <c r="AG26" s="17"/>
      <c r="AJ26" s="13" t="str">
        <f t="shared" si="0"/>
        <v>ВВГнг(А)-LS (5х16) 1</v>
      </c>
      <c r="AK26" s="14" t="s">
        <v>81</v>
      </c>
      <c r="AL26" t="s">
        <v>12</v>
      </c>
      <c r="AM26">
        <v>5</v>
      </c>
      <c r="AN26">
        <v>16</v>
      </c>
      <c r="AO26">
        <v>1</v>
      </c>
      <c r="AU26" s="26"/>
      <c r="AY26" s="26"/>
      <c r="AZ26" s="74"/>
      <c r="BA26" s="26"/>
      <c r="BB26" s="26"/>
      <c r="BC26" s="26"/>
      <c r="BD26" s="79"/>
      <c r="BE26" s="37" t="s">
        <v>625</v>
      </c>
      <c r="BH26" s="38" t="str">
        <f>IFERROR(INDEX(Однолинейка!$A$1:$A$1000,(MATCH(22,Однолинейка!$BS$1:$BS$1000,0))),"")</f>
        <v/>
      </c>
      <c r="BI26" s="38" t="str">
        <f>IFERROR(INDEX(Однолинейка!$AW$1:$AW$1000,(MATCH(22,Однолинейка!$BS$1:$BS$1000,0))),"")</f>
        <v/>
      </c>
      <c r="BJ26" s="38" t="str">
        <f>IF(BI26="","",INDEX(Однолинейка!$AI$1:$AI$1000,(MATCH(22,Однолинейка!$BS$1:$BS$1000,0))))</f>
        <v/>
      </c>
      <c r="BK26" s="38" t="str">
        <f t="shared" si="1"/>
        <v/>
      </c>
      <c r="BL26" s="38" t="str">
        <f>IF(BI26="","",_xlfn.MAXIFS(Однолинейка!$O$3:$O$1000,Однолинейка!$AH$3:$AH$1000,BI26,Однолинейка!$A$3:$A$1000,BH26))</f>
        <v/>
      </c>
      <c r="BM26" s="38" t="str">
        <f>IF(BI26="","",COUNTIFS(Однолинейка!$AH$3:$AH$1000,BI26,Однолинейка!$A$3:$A$1000,BH26,Однолинейка!$N$3:$N$1000,"р"))</f>
        <v/>
      </c>
      <c r="BN26" s="38" t="str">
        <f t="shared" si="2"/>
        <v/>
      </c>
      <c r="BR26" s="37" t="s">
        <v>626</v>
      </c>
      <c r="BT26" s="74"/>
      <c r="BU26" s="74"/>
    </row>
    <row r="27" spans="2:79" x14ac:dyDescent="0.3">
      <c r="L27" s="16"/>
      <c r="M27" s="16"/>
      <c r="N27" s="16"/>
      <c r="O27" s="17"/>
      <c r="P27" s="26"/>
      <c r="Q27" s="26"/>
      <c r="R27" s="26"/>
      <c r="S27" s="26"/>
      <c r="T27" s="26"/>
      <c r="U27" s="26"/>
      <c r="V27" s="26"/>
      <c r="W27" s="26"/>
      <c r="X27" s="26"/>
      <c r="Y27" s="26"/>
      <c r="Z27" s="74"/>
      <c r="AA27" s="23"/>
      <c r="AB27" s="23"/>
      <c r="AC27" s="17"/>
      <c r="AD27" s="17"/>
      <c r="AE27" s="17"/>
      <c r="AF27" s="17"/>
      <c r="AG27" s="17"/>
      <c r="AJ27" s="13" t="str">
        <f t="shared" si="0"/>
        <v>ВВГнг(А)-LS (5х16) 2</v>
      </c>
      <c r="AK27" s="14" t="s">
        <v>82</v>
      </c>
      <c r="AL27" t="s">
        <v>12</v>
      </c>
      <c r="AM27">
        <v>5</v>
      </c>
      <c r="AN27">
        <v>16</v>
      </c>
      <c r="AO27">
        <v>2</v>
      </c>
      <c r="AU27" s="26"/>
      <c r="AY27" s="26"/>
      <c r="AZ27" s="74"/>
      <c r="BA27" s="26"/>
      <c r="BB27" s="26"/>
      <c r="BC27" s="26"/>
      <c r="BD27" s="79"/>
      <c r="BH27" s="38" t="str">
        <f>IFERROR(INDEX(Однолинейка!$A$1:$A$1000,(MATCH(23,Однолинейка!$BS$1:$BS$1000,0))),"")</f>
        <v/>
      </c>
      <c r="BI27" s="38" t="str">
        <f>IFERROR(INDEX(Однолинейка!$AW$1:$AW$1000,(MATCH(23,Однолинейка!$BS$1:$BS$1000,0))),"")</f>
        <v/>
      </c>
      <c r="BJ27" s="38" t="str">
        <f>IF(BI27="","",INDEX(Однолинейка!$AI$1:$AI$1000,(MATCH(23,Однолинейка!$BS$1:$BS$1000,0))))</f>
        <v/>
      </c>
      <c r="BK27" s="38" t="str">
        <f t="shared" si="1"/>
        <v/>
      </c>
      <c r="BL27" s="38" t="str">
        <f>IF(BI27="","",_xlfn.MAXIFS(Однолинейка!$O$3:$O$1000,Однолинейка!$AH$3:$AH$1000,BI27,Однолинейка!$A$3:$A$1000,BH27))</f>
        <v/>
      </c>
      <c r="BM27" s="38" t="str">
        <f>IF(BI27="","",COUNTIFS(Однолинейка!$AH$3:$AH$1000,BI27,Однолинейка!$A$3:$A$1000,BH27,Однолинейка!$N$3:$N$1000,"р"))</f>
        <v/>
      </c>
      <c r="BN27" s="38" t="str">
        <f t="shared" si="2"/>
        <v/>
      </c>
      <c r="BT27" s="74"/>
      <c r="BU27" s="74"/>
    </row>
    <row r="28" spans="2:79" ht="27.6" x14ac:dyDescent="0.3">
      <c r="L28" s="16"/>
      <c r="M28" s="16"/>
      <c r="N28" s="16"/>
      <c r="O28" s="17"/>
      <c r="P28" s="26"/>
      <c r="Q28" s="26"/>
      <c r="R28" s="26"/>
      <c r="S28" s="26"/>
      <c r="T28" s="26"/>
      <c r="U28" s="26"/>
      <c r="V28" s="26"/>
      <c r="W28" s="26"/>
      <c r="X28" s="26"/>
      <c r="Y28" s="26"/>
      <c r="Z28" s="74"/>
      <c r="AA28" s="23"/>
      <c r="AB28" s="23"/>
      <c r="AC28" s="17"/>
      <c r="AD28" s="17"/>
      <c r="AE28" s="17"/>
      <c r="AF28" s="17"/>
      <c r="AG28" s="17"/>
      <c r="AJ28" s="13" t="str">
        <f t="shared" si="0"/>
        <v>ВВГнг(А)-LS (5х25) 1</v>
      </c>
      <c r="AK28" s="14" t="s">
        <v>83</v>
      </c>
      <c r="AL28" t="s">
        <v>12</v>
      </c>
      <c r="AM28">
        <v>5</v>
      </c>
      <c r="AN28">
        <v>25</v>
      </c>
      <c r="AO28">
        <v>1</v>
      </c>
      <c r="AU28" s="26"/>
      <c r="AY28" s="26"/>
      <c r="AZ28" s="74"/>
      <c r="BA28" s="26"/>
      <c r="BB28" s="26"/>
      <c r="BC28" s="26"/>
      <c r="BD28" s="79"/>
      <c r="BH28" s="38" t="str">
        <f>IFERROR(INDEX(Однолинейка!$A$1:$A$1000,(MATCH(24,Однолинейка!$BS$1:$BS$1000,0))),"")</f>
        <v/>
      </c>
      <c r="BI28" s="38" t="str">
        <f>IFERROR(INDEX(Однолинейка!$AW$1:$AW$1000,(MATCH(24,Однолинейка!$BS$1:$BS$1000,0))),"")</f>
        <v/>
      </c>
      <c r="BJ28" s="38" t="str">
        <f>IF(BI28="","",INDEX(Однолинейка!$AI$1:$AI$1000,(MATCH(24,Однолинейка!$BS$1:$BS$1000,0))))</f>
        <v/>
      </c>
      <c r="BK28" s="38" t="str">
        <f t="shared" si="1"/>
        <v/>
      </c>
      <c r="BL28" s="38" t="str">
        <f>IF(BI28="","",_xlfn.MAXIFS(Однолинейка!$O$3:$O$1000,Однолинейка!$AH$3:$AH$1000,BI28,Однолинейка!$A$3:$A$1000,BH28))</f>
        <v/>
      </c>
      <c r="BM28" s="38" t="str">
        <f>IF(BI28="","",COUNTIFS(Однолинейка!$AH$3:$AH$1000,BI28,Однолинейка!$A$3:$A$1000,BH28,Однолинейка!$N$3:$N$1000,"р"))</f>
        <v/>
      </c>
      <c r="BN28" s="38" t="str">
        <f t="shared" si="2"/>
        <v/>
      </c>
      <c r="BP28" s="35" t="s">
        <v>627</v>
      </c>
      <c r="BQ28" s="35"/>
      <c r="BT28" s="74"/>
      <c r="BU28" s="74"/>
    </row>
    <row r="29" spans="2:79" x14ac:dyDescent="0.3">
      <c r="L29" s="16"/>
      <c r="M29" s="16"/>
      <c r="N29" s="16"/>
      <c r="O29" s="17"/>
      <c r="P29" s="26"/>
      <c r="Q29" s="26"/>
      <c r="R29" s="26"/>
      <c r="S29" s="26"/>
      <c r="T29" s="26"/>
      <c r="U29" s="26"/>
      <c r="V29" s="26"/>
      <c r="W29" s="26"/>
      <c r="X29" s="26"/>
      <c r="Y29" s="26"/>
      <c r="Z29" s="74"/>
      <c r="AA29" s="23"/>
      <c r="AB29" s="23"/>
      <c r="AC29" s="17"/>
      <c r="AD29" s="17"/>
      <c r="AE29" s="17"/>
      <c r="AF29" s="17"/>
      <c r="AG29" s="17"/>
      <c r="AJ29" s="13" t="str">
        <f t="shared" si="0"/>
        <v>ВВГнг(А)-LS (5х25) 2</v>
      </c>
      <c r="AK29" s="14" t="s">
        <v>84</v>
      </c>
      <c r="AL29" t="s">
        <v>12</v>
      </c>
      <c r="AM29">
        <v>5</v>
      </c>
      <c r="AN29">
        <v>25</v>
      </c>
      <c r="AO29">
        <v>2</v>
      </c>
      <c r="AU29" s="26"/>
      <c r="AY29" s="26"/>
      <c r="AZ29" s="74"/>
      <c r="BA29" s="26"/>
      <c r="BB29" s="26"/>
      <c r="BC29" s="26"/>
      <c r="BD29" s="79"/>
      <c r="BH29" s="38" t="str">
        <f>IFERROR(INDEX(Однолинейка!$A$1:$A$1000,(MATCH(25,Однолинейка!$BS$1:$BS$1000,0))),"")</f>
        <v/>
      </c>
      <c r="BI29" s="38" t="str">
        <f>IFERROR(INDEX(Однолинейка!$AW$1:$AW$1000,(MATCH(25,Однолинейка!$BS$1:$BS$1000,0))),"")</f>
        <v/>
      </c>
      <c r="BJ29" s="38" t="str">
        <f>IF(BI29="","",INDEX(Однолинейка!$AI$1:$AI$1000,(MATCH(25,Однолинейка!$BS$1:$BS$1000,0))))</f>
        <v/>
      </c>
      <c r="BK29" s="38" t="str">
        <f t="shared" si="1"/>
        <v/>
      </c>
      <c r="BL29" s="38" t="str">
        <f>IF(BI29="","",_xlfn.MAXIFS(Однолинейка!$O$3:$O$1000,Однолинейка!$AH$3:$AH$1000,BI29,Однолинейка!$A$3:$A$1000,BH29))</f>
        <v/>
      </c>
      <c r="BM29" s="38" t="str">
        <f>IF(BI29="","",COUNTIFS(Однолинейка!$AH$3:$AH$1000,BI29,Однолинейка!$A$3:$A$1000,BH29,Однолинейка!$N$3:$N$1000,"р"))</f>
        <v/>
      </c>
      <c r="BN29" s="38" t="str">
        <f t="shared" si="2"/>
        <v/>
      </c>
      <c r="BP29" s="37" t="s">
        <v>628</v>
      </c>
      <c r="BQ29" s="74">
        <v>0.4</v>
      </c>
      <c r="BR29" s="37" t="s">
        <v>629</v>
      </c>
      <c r="BT29" s="74"/>
      <c r="BU29" s="74"/>
    </row>
    <row r="30" spans="2:79" x14ac:dyDescent="0.3">
      <c r="L30" s="16"/>
      <c r="M30" s="16"/>
      <c r="N30" s="16"/>
      <c r="O30" s="17"/>
      <c r="P30" s="26"/>
      <c r="Q30" s="26"/>
      <c r="R30" s="26"/>
      <c r="S30" s="26"/>
      <c r="T30" s="26"/>
      <c r="U30" s="26"/>
      <c r="V30" s="26"/>
      <c r="W30" s="26"/>
      <c r="X30" s="26"/>
      <c r="Y30" s="26"/>
      <c r="Z30" s="74"/>
      <c r="AA30" s="23"/>
      <c r="AB30" s="23"/>
      <c r="AC30" s="17"/>
      <c r="AD30" s="17"/>
      <c r="AE30" s="17"/>
      <c r="AF30" s="17"/>
      <c r="AG30" s="17"/>
      <c r="AJ30" s="13" t="str">
        <f t="shared" si="0"/>
        <v>ВВГнг(А)-LS (5х35) 1</v>
      </c>
      <c r="AK30" s="14" t="s">
        <v>85</v>
      </c>
      <c r="AL30" t="s">
        <v>12</v>
      </c>
      <c r="AM30">
        <v>5</v>
      </c>
      <c r="AN30">
        <v>35</v>
      </c>
      <c r="AO30">
        <v>1</v>
      </c>
      <c r="AU30" s="26"/>
      <c r="AV30" s="26"/>
      <c r="AW30" s="26"/>
      <c r="AX30" s="26"/>
      <c r="AY30" s="26"/>
      <c r="AZ30" s="74"/>
      <c r="BA30" s="26"/>
      <c r="BB30" s="26"/>
      <c r="BC30" s="26"/>
      <c r="BD30" s="79"/>
      <c r="BH30" s="38" t="str">
        <f>IFERROR(INDEX(Однолинейка!$A$1:$A$1000,(MATCH(26,Однолинейка!$BS$1:$BS$1000,0))),"")</f>
        <v/>
      </c>
      <c r="BI30" s="38" t="str">
        <f>IFERROR(INDEX(Однолинейка!$AW$1:$AW$1000,(MATCH(26,Однолинейка!$BS$1:$BS$1000,0))),"")</f>
        <v/>
      </c>
      <c r="BJ30" s="38" t="str">
        <f>IF(BI30="","",INDEX(Однолинейка!$AI$1:$AI$1000,(MATCH(26,Однолинейка!$BS$1:$BS$1000,0))))</f>
        <v/>
      </c>
      <c r="BK30" s="38" t="str">
        <f t="shared" si="1"/>
        <v/>
      </c>
      <c r="BL30" s="38" t="str">
        <f>IF(BI30="","",_xlfn.MAXIFS(Однолинейка!$O$3:$O$1000,Однолинейка!$AH$3:$AH$1000,BI30,Однолинейка!$A$3:$A$1000,BH30))</f>
        <v/>
      </c>
      <c r="BM30" s="38" t="str">
        <f>IF(BI30="","",COUNTIFS(Однолинейка!$AH$3:$AH$1000,BI30,Однолинейка!$A$3:$A$1000,BH30,Однолинейка!$N$3:$N$1000,"р"))</f>
        <v/>
      </c>
      <c r="BN30" s="38" t="str">
        <f t="shared" si="2"/>
        <v/>
      </c>
      <c r="BP30" s="37" t="s">
        <v>630</v>
      </c>
      <c r="BQ30" s="74">
        <v>1</v>
      </c>
      <c r="BR30" s="37" t="s">
        <v>631</v>
      </c>
      <c r="BT30" s="74"/>
      <c r="BU30" s="74"/>
    </row>
    <row r="31" spans="2:79" x14ac:dyDescent="0.3">
      <c r="L31" s="16"/>
      <c r="M31" s="16"/>
      <c r="N31" s="16"/>
      <c r="O31" s="17"/>
      <c r="P31" s="26"/>
      <c r="Q31" s="26"/>
      <c r="R31" s="26"/>
      <c r="S31" s="26"/>
      <c r="T31" s="26"/>
      <c r="U31" s="26"/>
      <c r="V31" s="26"/>
      <c r="W31" s="26"/>
      <c r="X31" s="26"/>
      <c r="Y31" s="26"/>
      <c r="Z31" s="74"/>
      <c r="AA31" s="23"/>
      <c r="AB31" s="23"/>
      <c r="AC31" s="17"/>
      <c r="AD31" s="17"/>
      <c r="AE31" s="17"/>
      <c r="AF31" s="17"/>
      <c r="AG31" s="17"/>
      <c r="AJ31" s="13" t="str">
        <f t="shared" si="0"/>
        <v>ВВГнг(А)-LS (5х35) 2</v>
      </c>
      <c r="AK31" s="14" t="s">
        <v>86</v>
      </c>
      <c r="AL31" t="s">
        <v>12</v>
      </c>
      <c r="AM31">
        <v>5</v>
      </c>
      <c r="AN31">
        <v>35</v>
      </c>
      <c r="AO31">
        <v>2</v>
      </c>
      <c r="AU31" s="26"/>
      <c r="AY31" s="26"/>
      <c r="AZ31" s="74"/>
      <c r="BD31" s="79"/>
      <c r="BH31" s="38" t="str">
        <f>IFERROR(INDEX(Однолинейка!$A$1:$A$1000,(MATCH(27,Однолинейка!$BS$1:$BS$1000,0))),"")</f>
        <v/>
      </c>
      <c r="BI31" s="38" t="str">
        <f>IFERROR(INDEX(Однолинейка!$AW$1:$AW$1000,(MATCH(27,Однолинейка!$BS$1:$BS$1000,0))),"")</f>
        <v/>
      </c>
      <c r="BJ31" s="38" t="str">
        <f>IF(BI31="","",INDEX(Однолинейка!$AI$1:$AI$1000,(MATCH(27,Однолинейка!$BS$1:$BS$1000,0))))</f>
        <v/>
      </c>
      <c r="BK31" s="38" t="str">
        <f t="shared" si="1"/>
        <v/>
      </c>
      <c r="BL31" s="38" t="str">
        <f>IF(BI31="","",_xlfn.MAXIFS(Однолинейка!$O$3:$O$1000,Однолинейка!$AH$3:$AH$1000,BI31,Однолинейка!$A$3:$A$1000,BH31))</f>
        <v/>
      </c>
      <c r="BM31" s="38" t="str">
        <f>IF(BI31="","",COUNTIFS(Однолинейка!$AH$3:$AH$1000,BI31,Однолинейка!$A$3:$A$1000,BH31,Однолинейка!$N$3:$N$1000,"р"))</f>
        <v/>
      </c>
      <c r="BN31" s="38" t="str">
        <f t="shared" si="2"/>
        <v/>
      </c>
      <c r="BP31" s="37"/>
      <c r="BQ31" s="74"/>
      <c r="BR31" s="37" t="s">
        <v>632</v>
      </c>
      <c r="BT31" s="74"/>
      <c r="BU31" s="74"/>
    </row>
    <row r="32" spans="2:79" x14ac:dyDescent="0.3">
      <c r="L32" s="16"/>
      <c r="M32" s="16"/>
      <c r="N32" s="16"/>
      <c r="O32" s="17"/>
      <c r="P32" s="26"/>
      <c r="Q32" s="26"/>
      <c r="R32" s="26"/>
      <c r="S32" s="26"/>
      <c r="T32" s="26"/>
      <c r="U32" s="26"/>
      <c r="V32" s="26"/>
      <c r="W32" s="26"/>
      <c r="X32" s="26"/>
      <c r="Y32" s="26"/>
      <c r="Z32" s="74"/>
      <c r="AA32" s="23"/>
      <c r="AB32" s="23"/>
      <c r="AC32" s="17"/>
      <c r="AD32" s="17"/>
      <c r="AE32" s="17"/>
      <c r="AF32" s="17"/>
      <c r="AG32" s="17"/>
      <c r="AJ32" s="13" t="str">
        <f t="shared" si="0"/>
        <v>ВВГнг(А)-LS (5х50) 1</v>
      </c>
      <c r="AK32" s="14" t="s">
        <v>87</v>
      </c>
      <c r="AL32" t="s">
        <v>12</v>
      </c>
      <c r="AM32">
        <v>5</v>
      </c>
      <c r="AN32">
        <v>50</v>
      </c>
      <c r="AO32">
        <v>1</v>
      </c>
      <c r="AU32" s="26"/>
      <c r="AV32" s="26"/>
      <c r="AW32" s="26"/>
      <c r="AY32" s="26"/>
      <c r="AZ32" s="74"/>
      <c r="BA32" s="26" t="s">
        <v>633</v>
      </c>
      <c r="BD32" s="79"/>
      <c r="BH32" s="38" t="str">
        <f>IFERROR(INDEX(Однолинейка!$A$1:$A$1000,(MATCH(28,Однолинейка!$BS$1:$BS$1000,0))),"")</f>
        <v/>
      </c>
      <c r="BI32" s="38" t="str">
        <f>IFERROR(INDEX(Однолинейка!$AW$1:$AW$1000,(MATCH(28,Однолинейка!$BS$1:$BS$1000,0))),"")</f>
        <v/>
      </c>
      <c r="BJ32" s="38" t="str">
        <f>IF(BI32="","",INDEX(Однолинейка!$AI$1:$AI$1000,(MATCH(28,Однолинейка!$BS$1:$BS$1000,0))))</f>
        <v/>
      </c>
      <c r="BK32" s="38" t="str">
        <f t="shared" si="1"/>
        <v/>
      </c>
      <c r="BL32" s="38" t="str">
        <f>IF(BI32="","",_xlfn.MAXIFS(Однолинейка!$O$3:$O$1000,Однолинейка!$AH$3:$AH$1000,BI32,Однолинейка!$A$3:$A$1000,BH32))</f>
        <v/>
      </c>
      <c r="BM32" s="38" t="str">
        <f>IF(BI32="","",COUNTIFS(Однолинейка!$AH$3:$AH$1000,BI32,Однолинейка!$A$3:$A$1000,BH32,Однолинейка!$N$3:$N$1000,"р"))</f>
        <v/>
      </c>
      <c r="BN32" s="38" t="str">
        <f t="shared" si="2"/>
        <v/>
      </c>
      <c r="BT32" s="74"/>
      <c r="BU32" s="74"/>
    </row>
    <row r="33" spans="12:73" x14ac:dyDescent="0.3">
      <c r="L33" s="16"/>
      <c r="M33" s="16"/>
      <c r="N33" s="16"/>
      <c r="O33" s="17"/>
      <c r="P33" s="26"/>
      <c r="Q33" s="26"/>
      <c r="R33" s="26"/>
      <c r="S33" s="26"/>
      <c r="T33" s="26"/>
      <c r="U33" s="26"/>
      <c r="V33" s="26"/>
      <c r="W33" s="26"/>
      <c r="X33" s="26"/>
      <c r="Y33" s="26"/>
      <c r="Z33" s="74"/>
      <c r="AA33" s="23"/>
      <c r="AB33" s="23"/>
      <c r="AC33" s="17"/>
      <c r="AD33" s="17"/>
      <c r="AE33" s="17"/>
      <c r="AF33" s="17"/>
      <c r="AG33" s="17"/>
      <c r="AJ33" s="13" t="str">
        <f t="shared" si="0"/>
        <v>ВВГнг(А)-LS (5х50) 2</v>
      </c>
      <c r="AK33" s="14" t="s">
        <v>88</v>
      </c>
      <c r="AL33" t="s">
        <v>12</v>
      </c>
      <c r="AM33">
        <v>5</v>
      </c>
      <c r="AN33">
        <v>50</v>
      </c>
      <c r="AO33">
        <v>2</v>
      </c>
      <c r="AU33" s="26"/>
      <c r="AV33" s="26"/>
      <c r="AW33" s="26"/>
      <c r="AX33" s="26"/>
      <c r="AY33" s="26"/>
      <c r="AZ33" s="74"/>
      <c r="BD33" s="79"/>
      <c r="BH33" s="38" t="str">
        <f>IFERROR(INDEX(Однолинейка!$A$1:$A$1000,(MATCH(29,Однолинейка!$BS$1:$BS$1000,0))),"")</f>
        <v/>
      </c>
      <c r="BI33" s="38" t="str">
        <f>IFERROR(INDEX(Однолинейка!$AW$1:$AW$1000,(MATCH(29,Однолинейка!$BS$1:$BS$1000,0))),"")</f>
        <v/>
      </c>
      <c r="BJ33" s="38" t="str">
        <f>IF(BI33="","",INDEX(Однолинейка!$AI$1:$AI$1000,(MATCH(29,Однолинейка!$BS$1:$BS$1000,0))))</f>
        <v/>
      </c>
      <c r="BK33" s="38" t="str">
        <f t="shared" si="1"/>
        <v/>
      </c>
      <c r="BL33" s="38" t="str">
        <f>IF(BI33="","",_xlfn.MAXIFS(Однолинейка!$O$3:$O$1000,Однолинейка!$AH$3:$AH$1000,BI33,Однолинейка!$A$3:$A$1000,BH33))</f>
        <v/>
      </c>
      <c r="BM33" s="38" t="str">
        <f>IF(BI33="","",COUNTIFS(Однолинейка!$AH$3:$AH$1000,BI33,Однолинейка!$A$3:$A$1000,BH33,Однолинейка!$N$3:$N$1000,"р"))</f>
        <v/>
      </c>
      <c r="BN33" s="38" t="str">
        <f t="shared" si="2"/>
        <v/>
      </c>
      <c r="BT33" s="74"/>
      <c r="BU33" s="74"/>
    </row>
    <row r="34" spans="12:73" x14ac:dyDescent="0.3">
      <c r="L34" s="16"/>
      <c r="M34" s="16"/>
      <c r="N34" s="16"/>
      <c r="O34" s="17"/>
      <c r="P34" s="26"/>
      <c r="Q34" s="26"/>
      <c r="R34" s="26"/>
      <c r="S34" s="26"/>
      <c r="T34" s="26"/>
      <c r="U34" s="26"/>
      <c r="V34" s="26"/>
      <c r="W34" s="26"/>
      <c r="X34" s="26"/>
      <c r="Y34" s="26"/>
      <c r="Z34" s="74"/>
      <c r="AA34" s="23"/>
      <c r="AB34" s="23"/>
      <c r="AC34" s="17"/>
      <c r="AD34" s="17"/>
      <c r="AE34" s="17"/>
      <c r="AF34" s="17"/>
      <c r="AG34" s="17"/>
      <c r="AJ34" s="13" t="str">
        <f t="shared" si="0"/>
        <v>ВВГнг(А)-LS (5х95) 1</v>
      </c>
      <c r="AK34" s="14" t="s">
        <v>89</v>
      </c>
      <c r="AL34" t="s">
        <v>12</v>
      </c>
      <c r="AM34">
        <v>5</v>
      </c>
      <c r="AN34">
        <v>95</v>
      </c>
      <c r="AO34">
        <v>1</v>
      </c>
      <c r="AU34" s="26"/>
      <c r="AV34" s="26"/>
      <c r="AW34" s="26"/>
      <c r="AY34" s="26"/>
      <c r="AZ34" s="74"/>
      <c r="BD34" s="79"/>
      <c r="BH34" s="38" t="str">
        <f>IFERROR(INDEX(Однолинейка!$A$1:$A$1000,(MATCH(30,Однолинейка!$BS$1:$BS$1000,0))),"")</f>
        <v/>
      </c>
      <c r="BI34" s="38" t="str">
        <f>IFERROR(INDEX(Однолинейка!$AW$1:$AW$1000,(MATCH(30,Однолинейка!$BS$1:$BS$1000,0))),"")</f>
        <v/>
      </c>
      <c r="BJ34" s="38" t="str">
        <f>IF(BI34="","",INDEX(Однолинейка!$AI$1:$AI$1000,(MATCH(30,Однолинейка!$BS$1:$BS$1000,0))))</f>
        <v/>
      </c>
      <c r="BK34" s="38" t="str">
        <f t="shared" si="1"/>
        <v/>
      </c>
      <c r="BL34" s="38" t="str">
        <f>IF(BI34="","",_xlfn.MAXIFS(Однолинейка!$O$3:$O$1000,Однолинейка!$AH$3:$AH$1000,BI34,Однолинейка!$A$3:$A$1000,BH34))</f>
        <v/>
      </c>
      <c r="BM34" s="38" t="str">
        <f>IF(BI34="","",COUNTIFS(Однолинейка!$AH$3:$AH$1000,BI34,Однолинейка!$A$3:$A$1000,BH34,Однолинейка!$N$3:$N$1000,"р"))</f>
        <v/>
      </c>
      <c r="BN34" s="38" t="str">
        <f t="shared" si="2"/>
        <v/>
      </c>
    </row>
    <row r="35" spans="12:73" x14ac:dyDescent="0.3">
      <c r="L35" s="16"/>
      <c r="M35" s="16"/>
      <c r="N35" s="16"/>
      <c r="O35" s="17"/>
      <c r="P35" s="26"/>
      <c r="Q35" s="26"/>
      <c r="R35" s="26"/>
      <c r="S35" s="26"/>
      <c r="T35" s="26"/>
      <c r="U35" s="26"/>
      <c r="V35" s="26"/>
      <c r="W35" s="26"/>
      <c r="X35" s="26"/>
      <c r="Y35" s="26"/>
      <c r="Z35" s="74"/>
      <c r="AA35" s="23"/>
      <c r="AB35" s="23"/>
      <c r="AC35" s="17"/>
      <c r="AD35" s="17"/>
      <c r="AE35" s="17"/>
      <c r="AF35" s="17"/>
      <c r="AG35" s="17"/>
      <c r="AJ35" s="13" t="str">
        <f t="shared" si="0"/>
        <v>ВВГнг(А)-LS (5х95) 2</v>
      </c>
      <c r="AK35" s="14" t="s">
        <v>90</v>
      </c>
      <c r="AL35" t="s">
        <v>12</v>
      </c>
      <c r="AM35">
        <v>5</v>
      </c>
      <c r="AN35">
        <v>95</v>
      </c>
      <c r="AO35">
        <v>2</v>
      </c>
      <c r="AU35" s="26"/>
      <c r="AY35" s="26"/>
      <c r="AZ35" s="74"/>
      <c r="BD35" s="79"/>
      <c r="BH35" s="38" t="str">
        <f>IFERROR(INDEX(Однолинейка!$A$1:$A$1000,(MATCH(31,Однолинейка!$BS$1:$BS$1000,0))),"")</f>
        <v/>
      </c>
      <c r="BI35" s="38" t="str">
        <f>IFERROR(INDEX(Однолинейка!$AW$1:$AW$1000,(MATCH(31,Однолинейка!$BS$1:$BS$1000,0))),"")</f>
        <v/>
      </c>
      <c r="BJ35" s="38" t="str">
        <f>IF(BI35="","",INDEX(Однолинейка!$AI$1:$AI$1000,(MATCH(31,Однолинейка!$BS$1:$BS$1000,0))))</f>
        <v/>
      </c>
      <c r="BK35" s="38" t="str">
        <f t="shared" si="1"/>
        <v/>
      </c>
      <c r="BL35" s="38" t="str">
        <f>IF(BI35="","",_xlfn.MAXIFS(Однолинейка!$O$3:$O$1000,Однолинейка!$AH$3:$AH$1000,BI35,Однолинейка!$A$3:$A$1000,BH35))</f>
        <v/>
      </c>
      <c r="BM35" s="38" t="str">
        <f>IF(BI35="","",COUNTIFS(Однолинейка!$AH$3:$AH$1000,BI35,Однолинейка!$A$3:$A$1000,BH35,Однолинейка!$N$3:$N$1000,"р"))</f>
        <v/>
      </c>
      <c r="BN35" s="38" t="str">
        <f t="shared" si="2"/>
        <v/>
      </c>
    </row>
    <row r="36" spans="12:73" x14ac:dyDescent="0.3">
      <c r="L36" s="16"/>
      <c r="M36" s="16"/>
      <c r="N36" s="16"/>
      <c r="O36" s="17"/>
      <c r="P36" s="26"/>
      <c r="Q36" s="26"/>
      <c r="R36" s="26"/>
      <c r="S36" s="26"/>
      <c r="T36" s="26"/>
      <c r="U36" s="26"/>
      <c r="V36" s="26"/>
      <c r="W36" s="26"/>
      <c r="X36" s="26"/>
      <c r="Y36" s="26"/>
      <c r="Z36" s="74"/>
      <c r="AA36" s="23"/>
      <c r="AB36" s="23"/>
      <c r="AC36" s="17"/>
      <c r="AD36" s="17"/>
      <c r="AE36" s="17"/>
      <c r="AF36" s="17"/>
      <c r="AG36" s="17"/>
      <c r="AJ36" s="13" t="str">
        <f t="shared" si="0"/>
        <v>ВВГнг(А)-LS (5х120) 1</v>
      </c>
      <c r="AK36" s="14" t="s">
        <v>91</v>
      </c>
      <c r="AL36" t="s">
        <v>12</v>
      </c>
      <c r="AM36">
        <v>5</v>
      </c>
      <c r="AN36">
        <v>120</v>
      </c>
      <c r="AO36">
        <v>1</v>
      </c>
      <c r="AU36" s="26"/>
      <c r="AY36" s="26"/>
      <c r="AZ36" s="74"/>
      <c r="BD36" s="79"/>
      <c r="BH36" s="38" t="str">
        <f>IFERROR(INDEX(Однолинейка!$A$1:$A$1000,(MATCH(32,Однолинейка!$BS$1:$BS$1000,0))),"")</f>
        <v/>
      </c>
      <c r="BI36" s="38" t="str">
        <f>IFERROR(INDEX(Однолинейка!$AW$1:$AW$1000,(MATCH(32,Однолинейка!$BS$1:$BS$1000,0))),"")</f>
        <v/>
      </c>
      <c r="BJ36" s="38" t="str">
        <f>IF(BI36="","",INDEX(Однолинейка!$AI$1:$AI$1000,(MATCH(32,Однолинейка!$BS$1:$BS$1000,0))))</f>
        <v/>
      </c>
      <c r="BK36" s="38" t="str">
        <f t="shared" si="1"/>
        <v/>
      </c>
      <c r="BL36" s="38" t="str">
        <f>IF(BI36="","",_xlfn.MAXIFS(Однолинейка!$O$3:$O$1000,Однолинейка!$AH$3:$AH$1000,BI36,Однолинейка!$A$3:$A$1000,BH36))</f>
        <v/>
      </c>
      <c r="BM36" s="38" t="str">
        <f>IF(BI36="","",COUNTIFS(Однолинейка!$AH$3:$AH$1000,BI36,Однолинейка!$A$3:$A$1000,BH36,Однолинейка!$N$3:$N$1000,"р"))</f>
        <v/>
      </c>
      <c r="BN36" s="38" t="str">
        <f t="shared" si="2"/>
        <v/>
      </c>
    </row>
    <row r="37" spans="12:73" x14ac:dyDescent="0.3">
      <c r="L37" s="16"/>
      <c r="M37" s="16"/>
      <c r="N37" s="16"/>
      <c r="O37" s="17"/>
      <c r="P37" s="26"/>
      <c r="Q37" s="26"/>
      <c r="R37" s="26"/>
      <c r="S37" s="26"/>
      <c r="T37" s="26"/>
      <c r="U37" s="26"/>
      <c r="V37" s="26"/>
      <c r="W37" s="26"/>
      <c r="X37" s="26"/>
      <c r="Y37" s="26"/>
      <c r="Z37" s="74"/>
      <c r="AA37" s="23"/>
      <c r="AB37" s="23"/>
      <c r="AC37" s="17"/>
      <c r="AD37" s="17"/>
      <c r="AE37" s="17"/>
      <c r="AF37" s="17"/>
      <c r="AG37" s="17"/>
      <c r="AJ37" s="13" t="str">
        <f t="shared" si="0"/>
        <v>ВВГнг(А)-LS (5х120) 2</v>
      </c>
      <c r="AK37" s="14" t="s">
        <v>92</v>
      </c>
      <c r="AL37" t="s">
        <v>12</v>
      </c>
      <c r="AM37">
        <v>5</v>
      </c>
      <c r="AN37">
        <v>120</v>
      </c>
      <c r="AO37">
        <v>2</v>
      </c>
      <c r="AU37" s="26"/>
      <c r="AY37" s="26"/>
      <c r="AZ37" s="74"/>
      <c r="BD37" s="79"/>
      <c r="BH37" s="38" t="str">
        <f>IFERROR(INDEX(Однолинейка!$A$1:$A$1000,(MATCH(33,Однолинейка!$BS$1:$BS$1000,0))),"")</f>
        <v/>
      </c>
      <c r="BI37" s="38" t="str">
        <f>IFERROR(INDEX(Однолинейка!$AW$1:$AW$1000,(MATCH(33,Однолинейка!$BS$1:$BS$1000,0))),"")</f>
        <v/>
      </c>
      <c r="BJ37" s="38" t="str">
        <f>IF(BI37="","",INDEX(Однолинейка!$AI$1:$AI$1000,(MATCH(33,Однолинейка!$BS$1:$BS$1000,0))))</f>
        <v/>
      </c>
      <c r="BK37" s="38" t="str">
        <f t="shared" si="1"/>
        <v/>
      </c>
      <c r="BL37" s="38" t="str">
        <f>IF(BI37="","",_xlfn.MAXIFS(Однолинейка!$O$3:$O$1000,Однолинейка!$AH$3:$AH$1000,BI37,Однолинейка!$A$3:$A$1000,BH37))</f>
        <v/>
      </c>
      <c r="BM37" s="38" t="str">
        <f>IF(BI37="","",COUNTIFS(Однолинейка!$AH$3:$AH$1000,BI37,Однолинейка!$A$3:$A$1000,BH37,Однолинейка!$N$3:$N$1000,"р"))</f>
        <v/>
      </c>
      <c r="BN37" s="38" t="str">
        <f t="shared" si="2"/>
        <v/>
      </c>
    </row>
    <row r="38" spans="12:73" x14ac:dyDescent="0.3">
      <c r="L38" s="16"/>
      <c r="M38" s="16"/>
      <c r="N38" s="16"/>
      <c r="O38" s="17"/>
      <c r="P38" s="26"/>
      <c r="Q38" s="26"/>
      <c r="R38" s="26"/>
      <c r="S38" s="26"/>
      <c r="T38" s="26"/>
      <c r="U38" s="26"/>
      <c r="V38" s="26"/>
      <c r="W38" s="26"/>
      <c r="X38" s="26"/>
      <c r="Y38" s="26"/>
      <c r="Z38" s="74"/>
      <c r="AA38" s="23"/>
      <c r="AB38" s="23"/>
      <c r="AC38" s="17"/>
      <c r="AD38" s="17"/>
      <c r="AE38" s="17"/>
      <c r="AF38" s="17"/>
      <c r="AG38" s="17"/>
      <c r="AJ38" s="13" t="str">
        <f t="shared" si="0"/>
        <v>ВВГнг(А)-LS (5х95) 1</v>
      </c>
      <c r="AK38" s="14" t="s">
        <v>93</v>
      </c>
      <c r="AL38" t="s">
        <v>12</v>
      </c>
      <c r="AM38">
        <v>5</v>
      </c>
      <c r="AN38">
        <v>95</v>
      </c>
      <c r="AO38">
        <v>1</v>
      </c>
      <c r="AU38" s="26"/>
      <c r="AY38" s="26"/>
      <c r="AZ38" s="74"/>
      <c r="BD38" s="79"/>
      <c r="BH38" s="38" t="str">
        <f>IFERROR(INDEX(Однолинейка!$A$1:$A$1000,(MATCH(34,Однолинейка!$BS$1:$BS$1000,0))),"")</f>
        <v/>
      </c>
      <c r="BI38" s="38" t="str">
        <f>IFERROR(INDEX(Однолинейка!$AW$1:$AW$1000,(MATCH(34,Однолинейка!$BS$1:$BS$1000,0))),"")</f>
        <v/>
      </c>
      <c r="BJ38" s="38" t="str">
        <f>IF(BI38="","",INDEX(Однолинейка!$AI$1:$AI$1000,(MATCH(34,Однолинейка!$BS$1:$BS$1000,0))))</f>
        <v/>
      </c>
      <c r="BK38" s="38" t="str">
        <f t="shared" si="1"/>
        <v/>
      </c>
      <c r="BL38" s="38" t="str">
        <f>IF(BI38="","",_xlfn.MAXIFS(Однолинейка!$O$3:$O$1000,Однолинейка!$AH$3:$AH$1000,BI38,Однолинейка!$A$3:$A$1000,BH38))</f>
        <v/>
      </c>
      <c r="BM38" s="38" t="str">
        <f>IF(BI38="","",COUNTIFS(Однолинейка!$AH$3:$AH$1000,BI38,Однолинейка!$A$3:$A$1000,BH38,Однолинейка!$N$3:$N$1000,"р"))</f>
        <v/>
      </c>
      <c r="BN38" s="38" t="str">
        <f t="shared" si="2"/>
        <v/>
      </c>
    </row>
    <row r="39" spans="12:73" x14ac:dyDescent="0.3">
      <c r="L39" s="16"/>
      <c r="M39" s="16"/>
      <c r="N39" s="16"/>
      <c r="O39" s="17"/>
      <c r="P39" s="26"/>
      <c r="Q39" s="26"/>
      <c r="R39" s="26"/>
      <c r="S39" s="26"/>
      <c r="T39" s="26"/>
      <c r="U39" s="26"/>
      <c r="V39" s="26"/>
      <c r="W39" s="26"/>
      <c r="X39" s="26"/>
      <c r="Y39" s="26"/>
      <c r="Z39" s="74"/>
      <c r="AA39" s="23"/>
      <c r="AB39" s="23"/>
      <c r="AC39" s="17"/>
      <c r="AD39" s="17"/>
      <c r="AE39" s="17"/>
      <c r="AF39" s="17"/>
      <c r="AG39" s="17"/>
      <c r="AJ39" s="13" t="str">
        <f t="shared" si="0"/>
        <v>ВВГнг(А)-LS (5х95) 2</v>
      </c>
      <c r="AK39" s="14" t="s">
        <v>94</v>
      </c>
      <c r="AL39" t="s">
        <v>12</v>
      </c>
      <c r="AM39">
        <v>5</v>
      </c>
      <c r="AN39">
        <v>95</v>
      </c>
      <c r="AO39">
        <v>2</v>
      </c>
      <c r="AU39" s="26"/>
      <c r="AY39" s="26"/>
      <c r="AZ39" s="74"/>
      <c r="BD39" s="79"/>
      <c r="BH39" s="38" t="str">
        <f>IFERROR(INDEX(Однолинейка!$A$1:$A$1000,(MATCH(35,Однолинейка!$BS$1:$BS$1000,0))),"")</f>
        <v/>
      </c>
      <c r="BI39" s="38" t="str">
        <f>IFERROR(INDEX(Однолинейка!$AW$1:$AW$1000,(MATCH(35,Однолинейка!$BS$1:$BS$1000,0))),"")</f>
        <v/>
      </c>
      <c r="BJ39" s="38" t="str">
        <f>IF(BI39="","",INDEX(Однолинейка!$AI$1:$AI$1000,(MATCH(35,Однолинейка!$BS$1:$BS$1000,0))))</f>
        <v/>
      </c>
      <c r="BK39" s="38" t="str">
        <f t="shared" si="1"/>
        <v/>
      </c>
      <c r="BL39" s="38" t="str">
        <f>IF(BI39="","",_xlfn.MAXIFS(Однолинейка!$O$3:$O$1000,Однолинейка!$AH$3:$AH$1000,BI39,Однолинейка!$A$3:$A$1000,BH39))</f>
        <v/>
      </c>
      <c r="BM39" s="38" t="str">
        <f>IF(BI39="","",COUNTIFS(Однолинейка!$AH$3:$AH$1000,BI39,Однолинейка!$A$3:$A$1000,BH39,Однолинейка!$N$3:$N$1000,"р"))</f>
        <v/>
      </c>
      <c r="BN39" s="38" t="str">
        <f t="shared" si="2"/>
        <v/>
      </c>
    </row>
    <row r="40" spans="12:73" x14ac:dyDescent="0.3">
      <c r="L40" s="16"/>
      <c r="M40" s="16"/>
      <c r="N40" s="16"/>
      <c r="O40" s="17"/>
      <c r="P40" s="26"/>
      <c r="Q40" s="26"/>
      <c r="R40" s="26"/>
      <c r="S40" s="26"/>
      <c r="T40" s="26"/>
      <c r="U40" s="26"/>
      <c r="V40" s="26"/>
      <c r="W40" s="26"/>
      <c r="X40" s="26"/>
      <c r="Y40" s="26"/>
      <c r="Z40" s="74"/>
      <c r="AA40" s="23"/>
      <c r="AB40" s="23"/>
      <c r="AC40" s="17"/>
      <c r="AD40" s="17"/>
      <c r="AE40" s="17"/>
      <c r="AF40" s="17"/>
      <c r="AG40" s="17"/>
      <c r="AJ40" s="13" t="str">
        <f t="shared" si="0"/>
        <v>ВВГнг(А)-LS (5х120) 1</v>
      </c>
      <c r="AK40" s="14" t="s">
        <v>95</v>
      </c>
      <c r="AL40" t="s">
        <v>12</v>
      </c>
      <c r="AM40">
        <v>5</v>
      </c>
      <c r="AN40">
        <v>120</v>
      </c>
      <c r="AO40">
        <v>1</v>
      </c>
      <c r="AU40" s="26"/>
      <c r="AY40" s="26"/>
      <c r="AZ40" s="74"/>
      <c r="BD40" s="79"/>
    </row>
    <row r="41" spans="12:73" ht="55.2" x14ac:dyDescent="0.3">
      <c r="L41" s="16"/>
      <c r="M41" s="16"/>
      <c r="N41" s="16"/>
      <c r="O41" s="17"/>
      <c r="P41" s="26"/>
      <c r="Q41" s="26"/>
      <c r="R41" s="26"/>
      <c r="S41" s="26"/>
      <c r="T41" s="26"/>
      <c r="U41" s="26"/>
      <c r="V41" s="26"/>
      <c r="W41" s="26"/>
      <c r="X41" s="26"/>
      <c r="Y41" s="26"/>
      <c r="Z41" s="74"/>
      <c r="AA41" s="23"/>
      <c r="AB41" s="23"/>
      <c r="AC41" s="17"/>
      <c r="AD41" s="17"/>
      <c r="AE41" s="17"/>
      <c r="AF41" s="17"/>
      <c r="AG41" s="17"/>
      <c r="AJ41" s="13" t="str">
        <f t="shared" si="0"/>
        <v>ВВГнг(А)-LS (5х120) 2</v>
      </c>
      <c r="AK41" s="14" t="s">
        <v>96</v>
      </c>
      <c r="AL41" t="s">
        <v>12</v>
      </c>
      <c r="AM41">
        <v>5</v>
      </c>
      <c r="AN41">
        <v>120</v>
      </c>
      <c r="AO41">
        <v>2</v>
      </c>
      <c r="AU41" s="26"/>
      <c r="AY41" s="26"/>
      <c r="AZ41" s="74"/>
      <c r="BD41" s="79"/>
      <c r="BH41" s="35" t="s">
        <v>634</v>
      </c>
      <c r="BI41" s="35"/>
      <c r="BJ41" s="35"/>
      <c r="BK41" s="35"/>
      <c r="BL41" s="35"/>
      <c r="BM41" s="35"/>
      <c r="BN41" s="35">
        <f>SUM(BN5:BN39)</f>
        <v>0</v>
      </c>
    </row>
    <row r="42" spans="12:73" x14ac:dyDescent="0.3">
      <c r="L42" s="16"/>
      <c r="M42" s="16"/>
      <c r="N42" s="16"/>
      <c r="O42" s="17"/>
      <c r="P42" s="26"/>
      <c r="Q42" s="26"/>
      <c r="R42" s="26"/>
      <c r="S42" s="26"/>
      <c r="T42" s="26"/>
      <c r="U42" s="26"/>
      <c r="V42" s="26"/>
      <c r="W42" s="26"/>
      <c r="X42" s="26"/>
      <c r="Y42" s="26"/>
      <c r="Z42" s="74"/>
      <c r="AA42" s="23"/>
      <c r="AB42" s="23"/>
      <c r="AC42" s="17"/>
      <c r="AD42" s="17"/>
      <c r="AE42" s="17"/>
      <c r="AF42" s="17"/>
      <c r="AG42" s="17"/>
      <c r="AJ42" s="13" t="str">
        <f t="shared" si="0"/>
        <v>ВБШВнг(А)-LS (5х10) 1</v>
      </c>
      <c r="AK42" s="14" t="s">
        <v>134</v>
      </c>
      <c r="AL42" t="s">
        <v>146</v>
      </c>
      <c r="AM42">
        <v>5</v>
      </c>
      <c r="AN42">
        <v>10</v>
      </c>
      <c r="AO42">
        <v>1</v>
      </c>
      <c r="AU42" s="26"/>
      <c r="AY42" s="26"/>
      <c r="AZ42" s="74"/>
      <c r="BD42" s="79"/>
    </row>
    <row r="43" spans="12:73" x14ac:dyDescent="0.3">
      <c r="L43" s="16"/>
      <c r="M43" s="16"/>
      <c r="N43" s="16"/>
      <c r="O43" s="17"/>
      <c r="P43" s="26"/>
      <c r="Q43" s="26"/>
      <c r="R43" s="26"/>
      <c r="S43" s="26"/>
      <c r="T43" s="26"/>
      <c r="U43" s="26"/>
      <c r="V43" s="26"/>
      <c r="W43" s="26"/>
      <c r="X43" s="26"/>
      <c r="Y43" s="26"/>
      <c r="Z43" s="74"/>
      <c r="AA43" s="23"/>
      <c r="AB43" s="23"/>
      <c r="AC43" s="17"/>
      <c r="AD43" s="17"/>
      <c r="AE43" s="17"/>
      <c r="AF43" s="17"/>
      <c r="AG43" s="17"/>
      <c r="AJ43" s="13" t="str">
        <f t="shared" si="0"/>
        <v>ВБШВнг(А)-LS (5х10) 2</v>
      </c>
      <c r="AK43" s="14" t="s">
        <v>97</v>
      </c>
      <c r="AL43" t="s">
        <v>146</v>
      </c>
      <c r="AM43">
        <v>5</v>
      </c>
      <c r="AN43">
        <v>10</v>
      </c>
      <c r="AO43">
        <v>2</v>
      </c>
      <c r="AU43" s="26"/>
      <c r="AY43" s="26"/>
      <c r="AZ43" s="74"/>
      <c r="BD43" s="79"/>
    </row>
    <row r="44" spans="12:73" x14ac:dyDescent="0.3">
      <c r="L44" s="16"/>
      <c r="M44" s="16"/>
      <c r="N44" s="16"/>
      <c r="O44" s="17"/>
      <c r="P44" s="26"/>
      <c r="Q44" s="26"/>
      <c r="R44" s="26"/>
      <c r="S44" s="26"/>
      <c r="T44" s="26"/>
      <c r="U44" s="26"/>
      <c r="V44" s="26"/>
      <c r="W44" s="26"/>
      <c r="X44" s="26"/>
      <c r="Y44" s="26"/>
      <c r="Z44" s="74"/>
      <c r="AA44" s="23"/>
      <c r="AB44" s="23"/>
      <c r="AC44" s="17"/>
      <c r="AD44" s="17"/>
      <c r="AE44" s="17"/>
      <c r="AF44" s="17"/>
      <c r="AG44" s="17"/>
      <c r="AJ44" s="13" t="str">
        <f t="shared" si="0"/>
        <v>ВБШВнг(А)-LS (5х16) 1</v>
      </c>
      <c r="AK44" s="14" t="s">
        <v>98</v>
      </c>
      <c r="AL44" t="s">
        <v>146</v>
      </c>
      <c r="AM44">
        <v>5</v>
      </c>
      <c r="AN44">
        <v>16</v>
      </c>
      <c r="AO44">
        <v>1</v>
      </c>
      <c r="AU44" s="26"/>
      <c r="AY44" s="26"/>
      <c r="AZ44" s="74"/>
      <c r="BD44" s="79"/>
    </row>
    <row r="45" spans="12:73" x14ac:dyDescent="0.3">
      <c r="L45" s="16"/>
      <c r="M45" s="16"/>
      <c r="N45" s="16"/>
      <c r="O45" s="17"/>
      <c r="P45" s="26"/>
      <c r="Q45" s="26"/>
      <c r="R45" s="26"/>
      <c r="S45" s="26"/>
      <c r="T45" s="26"/>
      <c r="U45" s="26"/>
      <c r="V45" s="26"/>
      <c r="W45" s="26"/>
      <c r="X45" s="26"/>
      <c r="Y45" s="26"/>
      <c r="Z45" s="74"/>
      <c r="AA45" s="23"/>
      <c r="AB45" s="23"/>
      <c r="AC45" s="17"/>
      <c r="AD45" s="17"/>
      <c r="AE45" s="17"/>
      <c r="AF45" s="17"/>
      <c r="AG45" s="17"/>
      <c r="AJ45" s="13" t="str">
        <f t="shared" si="0"/>
        <v>ВБШВнг(А)-LS (5х16) 2</v>
      </c>
      <c r="AK45" s="14" t="s">
        <v>99</v>
      </c>
      <c r="AL45" t="s">
        <v>146</v>
      </c>
      <c r="AM45">
        <v>5</v>
      </c>
      <c r="AN45">
        <v>16</v>
      </c>
      <c r="AO45">
        <v>2</v>
      </c>
      <c r="AU45" s="26"/>
      <c r="AY45" s="26"/>
      <c r="AZ45" s="74"/>
      <c r="BD45" s="79"/>
    </row>
    <row r="46" spans="12:73" x14ac:dyDescent="0.3">
      <c r="L46" s="16"/>
      <c r="M46" s="16"/>
      <c r="N46" s="16"/>
      <c r="O46" s="17"/>
      <c r="P46" s="26"/>
      <c r="Q46" s="26"/>
      <c r="R46" s="26"/>
      <c r="S46" s="26"/>
      <c r="T46" s="26"/>
      <c r="U46" s="26"/>
      <c r="V46" s="26"/>
      <c r="W46" s="26"/>
      <c r="X46" s="26"/>
      <c r="Y46" s="26"/>
      <c r="Z46" s="74"/>
      <c r="AA46" s="23"/>
      <c r="AB46" s="23"/>
      <c r="AC46" s="17"/>
      <c r="AD46" s="17"/>
      <c r="AE46" s="17"/>
      <c r="AF46" s="17"/>
      <c r="AG46" s="17"/>
      <c r="AJ46" s="13" t="str">
        <f t="shared" si="0"/>
        <v>ВБШВнг(А)-LS (5х25) 1</v>
      </c>
      <c r="AK46" s="14" t="s">
        <v>100</v>
      </c>
      <c r="AL46" t="s">
        <v>146</v>
      </c>
      <c r="AM46">
        <v>5</v>
      </c>
      <c r="AN46">
        <v>25</v>
      </c>
      <c r="AO46">
        <v>1</v>
      </c>
      <c r="AU46" s="26"/>
      <c r="AY46" s="26"/>
      <c r="AZ46" s="74"/>
      <c r="BD46" s="79"/>
    </row>
    <row r="47" spans="12:73" x14ac:dyDescent="0.3">
      <c r="L47" s="16"/>
      <c r="M47" s="16"/>
      <c r="N47" s="16"/>
      <c r="O47" s="17"/>
      <c r="P47" s="26"/>
      <c r="Q47" s="26"/>
      <c r="R47" s="26"/>
      <c r="S47" s="26"/>
      <c r="T47" s="26"/>
      <c r="U47" s="26"/>
      <c r="V47" s="26"/>
      <c r="W47" s="26"/>
      <c r="X47" s="26"/>
      <c r="Y47" s="26"/>
      <c r="Z47" s="74"/>
      <c r="AA47" s="23"/>
      <c r="AB47" s="23"/>
      <c r="AC47" s="17"/>
      <c r="AD47" s="17"/>
      <c r="AE47" s="17"/>
      <c r="AF47" s="17"/>
      <c r="AG47" s="17"/>
      <c r="AJ47" s="13" t="str">
        <f t="shared" si="0"/>
        <v>ВБШВнг(А)-LS (5х25) 2</v>
      </c>
      <c r="AK47" s="14" t="s">
        <v>101</v>
      </c>
      <c r="AL47" t="s">
        <v>146</v>
      </c>
      <c r="AM47">
        <v>5</v>
      </c>
      <c r="AN47">
        <v>25</v>
      </c>
      <c r="AO47">
        <v>2</v>
      </c>
      <c r="AU47" s="26"/>
      <c r="AY47" s="26"/>
      <c r="AZ47" s="74"/>
      <c r="BD47" s="79"/>
    </row>
    <row r="48" spans="12:73" x14ac:dyDescent="0.3">
      <c r="L48" s="16"/>
      <c r="M48" s="16"/>
      <c r="N48" s="16"/>
      <c r="O48" s="17"/>
      <c r="P48" s="26"/>
      <c r="Q48" s="26"/>
      <c r="R48" s="26"/>
      <c r="S48" s="26"/>
      <c r="T48" s="26"/>
      <c r="U48" s="26"/>
      <c r="V48" s="26"/>
      <c r="W48" s="26"/>
      <c r="X48" s="26"/>
      <c r="Y48" s="26"/>
      <c r="Z48" s="74"/>
      <c r="AA48" s="23"/>
      <c r="AB48" s="23"/>
      <c r="AC48" s="17"/>
      <c r="AD48" s="17"/>
      <c r="AE48" s="17"/>
      <c r="AF48" s="17"/>
      <c r="AG48" s="17"/>
      <c r="AJ48" s="13" t="str">
        <f t="shared" si="0"/>
        <v>ВБШВнг(А)-LS (5х35) 1</v>
      </c>
      <c r="AK48" s="14" t="s">
        <v>102</v>
      </c>
      <c r="AL48" t="s">
        <v>146</v>
      </c>
      <c r="AM48">
        <v>5</v>
      </c>
      <c r="AN48">
        <v>35</v>
      </c>
      <c r="AO48">
        <v>1</v>
      </c>
      <c r="AU48" s="26"/>
      <c r="AY48" s="26"/>
      <c r="AZ48" s="74"/>
      <c r="BD48" s="79"/>
    </row>
    <row r="49" spans="12:56" x14ac:dyDescent="0.3">
      <c r="L49" s="16"/>
      <c r="M49" s="16"/>
      <c r="N49" s="16"/>
      <c r="O49" s="17"/>
      <c r="P49" s="26"/>
      <c r="Q49" s="26"/>
      <c r="R49" s="26"/>
      <c r="S49" s="26"/>
      <c r="T49" s="26"/>
      <c r="U49" s="26"/>
      <c r="V49" s="26"/>
      <c r="W49" s="26"/>
      <c r="X49" s="26"/>
      <c r="Y49" s="26"/>
      <c r="Z49" s="74"/>
      <c r="AA49" s="23"/>
      <c r="AB49" s="23"/>
      <c r="AC49" s="17"/>
      <c r="AD49" s="17"/>
      <c r="AE49" s="17"/>
      <c r="AF49" s="17"/>
      <c r="AG49" s="17"/>
      <c r="AJ49" s="13" t="str">
        <f t="shared" si="0"/>
        <v>ВБШВнг(А)-LS (5х35) 2</v>
      </c>
      <c r="AK49" s="14" t="s">
        <v>103</v>
      </c>
      <c r="AL49" t="s">
        <v>146</v>
      </c>
      <c r="AM49">
        <v>5</v>
      </c>
      <c r="AN49">
        <v>35</v>
      </c>
      <c r="AO49">
        <v>2</v>
      </c>
      <c r="AU49" s="26"/>
      <c r="AY49" s="26"/>
      <c r="AZ49" s="74"/>
      <c r="BD49" s="79"/>
    </row>
    <row r="50" spans="12:56" x14ac:dyDescent="0.3">
      <c r="L50" s="16"/>
      <c r="M50" s="16"/>
      <c r="N50" s="16"/>
      <c r="O50" s="17"/>
      <c r="P50" s="26"/>
      <c r="Q50" s="26"/>
      <c r="R50" s="26"/>
      <c r="S50" s="26"/>
      <c r="T50" s="26"/>
      <c r="U50" s="26"/>
      <c r="V50" s="26"/>
      <c r="W50" s="26"/>
      <c r="X50" s="26"/>
      <c r="Y50" s="26"/>
      <c r="Z50" s="74"/>
      <c r="AA50" s="23"/>
      <c r="AB50" s="23"/>
      <c r="AC50" s="17"/>
      <c r="AD50" s="17"/>
      <c r="AE50" s="17"/>
      <c r="AF50" s="17"/>
      <c r="AG50" s="17"/>
      <c r="AJ50" s="13" t="str">
        <f t="shared" si="0"/>
        <v>ВБШВнг(А)-LS (5х50) 1</v>
      </c>
      <c r="AK50" s="14" t="s">
        <v>104</v>
      </c>
      <c r="AL50" t="s">
        <v>146</v>
      </c>
      <c r="AM50">
        <v>5</v>
      </c>
      <c r="AN50">
        <v>50</v>
      </c>
      <c r="AO50">
        <v>1</v>
      </c>
      <c r="AU50" s="26"/>
      <c r="AY50" s="26"/>
      <c r="AZ50" s="74"/>
      <c r="BD50" s="79"/>
    </row>
    <row r="51" spans="12:56" x14ac:dyDescent="0.3">
      <c r="L51" s="16"/>
      <c r="M51" s="16"/>
      <c r="N51" s="16"/>
      <c r="O51" s="17"/>
      <c r="P51" s="26"/>
      <c r="Q51" s="26"/>
      <c r="R51" s="26"/>
      <c r="S51" s="26"/>
      <c r="T51" s="26"/>
      <c r="U51" s="26"/>
      <c r="V51" s="26"/>
      <c r="W51" s="26"/>
      <c r="X51" s="26"/>
      <c r="Y51" s="26"/>
      <c r="Z51" s="74"/>
      <c r="AA51" s="23"/>
      <c r="AB51" s="23"/>
      <c r="AC51" s="17"/>
      <c r="AD51" s="17"/>
      <c r="AE51" s="17"/>
      <c r="AF51" s="17"/>
      <c r="AG51" s="17"/>
      <c r="AJ51" s="13" t="str">
        <f t="shared" si="0"/>
        <v>ВБШВнг(А)-LS (5х50) 2</v>
      </c>
      <c r="AK51" s="14" t="s">
        <v>105</v>
      </c>
      <c r="AL51" t="s">
        <v>146</v>
      </c>
      <c r="AM51">
        <v>5</v>
      </c>
      <c r="AN51">
        <v>50</v>
      </c>
      <c r="AO51">
        <v>2</v>
      </c>
      <c r="AU51" s="26"/>
      <c r="AY51" s="26"/>
      <c r="AZ51" s="74"/>
      <c r="BD51" s="79"/>
    </row>
    <row r="52" spans="12:56" x14ac:dyDescent="0.3">
      <c r="AJ52" s="13" t="str">
        <f t="shared" si="0"/>
        <v>ВБШВнг(А)-LS (5х95) 1</v>
      </c>
      <c r="AK52" s="14" t="s">
        <v>106</v>
      </c>
      <c r="AL52" t="s">
        <v>146</v>
      </c>
      <c r="AM52">
        <v>5</v>
      </c>
      <c r="AN52">
        <v>95</v>
      </c>
      <c r="AO52">
        <v>1</v>
      </c>
      <c r="AY52" s="26"/>
      <c r="BD52" s="80"/>
    </row>
    <row r="53" spans="12:56" x14ac:dyDescent="0.3">
      <c r="AJ53" s="13" t="str">
        <f t="shared" si="0"/>
        <v>ВБШВнг(А)-LS (5х95) 2</v>
      </c>
      <c r="AK53" s="14" t="s">
        <v>107</v>
      </c>
      <c r="AL53" t="s">
        <v>146</v>
      </c>
      <c r="AM53">
        <v>5</v>
      </c>
      <c r="AN53">
        <v>95</v>
      </c>
      <c r="AO53">
        <v>2</v>
      </c>
      <c r="AU53" s="64"/>
    </row>
    <row r="54" spans="12:56" x14ac:dyDescent="0.3">
      <c r="AJ54" s="13" t="str">
        <f t="shared" si="0"/>
        <v>ВБШВнг(А)-LS (5х120) 1</v>
      </c>
      <c r="AK54" s="14" t="s">
        <v>108</v>
      </c>
      <c r="AL54" t="s">
        <v>146</v>
      </c>
      <c r="AM54">
        <v>5</v>
      </c>
      <c r="AN54">
        <v>120</v>
      </c>
      <c r="AO54">
        <v>1</v>
      </c>
      <c r="AU54" s="26"/>
      <c r="AV54" s="26"/>
      <c r="AW54" s="26"/>
      <c r="AY54" s="26"/>
    </row>
    <row r="55" spans="12:56" x14ac:dyDescent="0.3">
      <c r="AJ55" s="13" t="str">
        <f t="shared" si="0"/>
        <v>ВБШВнг(А)-LS (5х120) 2</v>
      </c>
      <c r="AK55" s="14" t="s">
        <v>109</v>
      </c>
      <c r="AL55" t="s">
        <v>146</v>
      </c>
      <c r="AM55">
        <v>5</v>
      </c>
      <c r="AN55">
        <v>120</v>
      </c>
      <c r="AO55">
        <v>2</v>
      </c>
      <c r="AU55" s="26"/>
      <c r="AV55" s="26"/>
      <c r="AW55" s="26"/>
      <c r="AY55" s="26"/>
    </row>
    <row r="56" spans="12:56" x14ac:dyDescent="0.3">
      <c r="AJ56" s="13" t="str">
        <f t="shared" si="0"/>
        <v>КГВВнг(А)-LS (2х0,75) 1</v>
      </c>
      <c r="AK56" s="14" t="s">
        <v>110</v>
      </c>
      <c r="AL56" t="s">
        <v>135</v>
      </c>
      <c r="AM56">
        <v>2</v>
      </c>
      <c r="AN56">
        <v>0.75</v>
      </c>
      <c r="AO56">
        <v>1</v>
      </c>
      <c r="AU56" s="26"/>
      <c r="AV56" s="26"/>
      <c r="AW56" s="26"/>
      <c r="AY56" s="26"/>
    </row>
    <row r="57" spans="12:56" x14ac:dyDescent="0.3">
      <c r="AJ57" s="13" t="str">
        <f t="shared" si="0"/>
        <v>КГВВнг(А)-LS (2х0,75) 2</v>
      </c>
      <c r="AK57" s="14" t="s">
        <v>111</v>
      </c>
      <c r="AL57" t="s">
        <v>135</v>
      </c>
      <c r="AM57">
        <v>2</v>
      </c>
      <c r="AN57">
        <v>0.75</v>
      </c>
      <c r="AO57">
        <v>2</v>
      </c>
      <c r="AU57" s="26"/>
      <c r="AV57" s="26"/>
      <c r="AW57" s="26"/>
      <c r="AY57" s="26"/>
    </row>
    <row r="58" spans="12:56" x14ac:dyDescent="0.3">
      <c r="AJ58" s="13" t="str">
        <f t="shared" si="0"/>
        <v>КГВВнг(А)-LS (2х1,5) 1</v>
      </c>
      <c r="AK58" s="14" t="s">
        <v>110</v>
      </c>
      <c r="AL58" t="s">
        <v>135</v>
      </c>
      <c r="AM58">
        <v>2</v>
      </c>
      <c r="AN58">
        <v>1.5</v>
      </c>
      <c r="AO58">
        <v>1</v>
      </c>
      <c r="AY58" s="26"/>
    </row>
    <row r="59" spans="12:56" x14ac:dyDescent="0.3">
      <c r="AJ59" s="13" t="str">
        <f t="shared" si="0"/>
        <v>КГВВнг(А)-LS (2х1,5) 2</v>
      </c>
      <c r="AK59" s="14" t="s">
        <v>111</v>
      </c>
      <c r="AL59" t="s">
        <v>135</v>
      </c>
      <c r="AM59">
        <v>2</v>
      </c>
      <c r="AN59">
        <v>1.5</v>
      </c>
      <c r="AO59">
        <v>2</v>
      </c>
      <c r="AY59" s="26"/>
    </row>
    <row r="60" spans="12:56" x14ac:dyDescent="0.3">
      <c r="AJ60" s="13" t="str">
        <f t="shared" si="0"/>
        <v>КГВВнг(А)-LS (2х2,5) 1</v>
      </c>
      <c r="AK60" s="14" t="s">
        <v>112</v>
      </c>
      <c r="AL60" t="s">
        <v>135</v>
      </c>
      <c r="AM60">
        <v>2</v>
      </c>
      <c r="AN60">
        <v>2.5</v>
      </c>
      <c r="AO60">
        <v>1</v>
      </c>
      <c r="AY60" s="26"/>
    </row>
    <row r="61" spans="12:56" x14ac:dyDescent="0.3">
      <c r="AJ61" s="13" t="str">
        <f t="shared" si="0"/>
        <v>КГВВнг(А)-LS (2х2,5) 2</v>
      </c>
      <c r="AK61" s="14" t="s">
        <v>113</v>
      </c>
      <c r="AL61" t="s">
        <v>135</v>
      </c>
      <c r="AM61">
        <v>2</v>
      </c>
      <c r="AN61">
        <v>2.5</v>
      </c>
      <c r="AO61">
        <v>2</v>
      </c>
      <c r="AY61" s="26"/>
    </row>
    <row r="62" spans="12:56" x14ac:dyDescent="0.3">
      <c r="AJ62" s="13" t="str">
        <f t="shared" si="0"/>
        <v>КГВВнг(А)-LS (3х1,5) 1</v>
      </c>
      <c r="AK62" s="14" t="s">
        <v>114</v>
      </c>
      <c r="AL62" t="s">
        <v>135</v>
      </c>
      <c r="AM62">
        <v>3</v>
      </c>
      <c r="AN62">
        <v>1.5</v>
      </c>
      <c r="AO62">
        <v>1</v>
      </c>
      <c r="AY62" s="26"/>
    </row>
    <row r="63" spans="12:56" x14ac:dyDescent="0.3">
      <c r="AJ63" s="13" t="str">
        <f t="shared" si="0"/>
        <v>КГВВнг(А)-LS (3х1,5) 2</v>
      </c>
      <c r="AK63" s="14" t="s">
        <v>115</v>
      </c>
      <c r="AL63" t="s">
        <v>135</v>
      </c>
      <c r="AM63">
        <v>3</v>
      </c>
      <c r="AN63">
        <v>1.5</v>
      </c>
      <c r="AO63">
        <v>2</v>
      </c>
      <c r="AY63" s="26"/>
    </row>
    <row r="64" spans="12:56" x14ac:dyDescent="0.3">
      <c r="AJ64" s="13" t="str">
        <f t="shared" si="0"/>
        <v>КГВВнг(А)-LS (3х2,5) 1</v>
      </c>
      <c r="AK64" s="14" t="s">
        <v>116</v>
      </c>
      <c r="AL64" t="s">
        <v>135</v>
      </c>
      <c r="AM64">
        <v>3</v>
      </c>
      <c r="AN64">
        <v>2.5</v>
      </c>
      <c r="AO64">
        <v>1</v>
      </c>
      <c r="AY64" s="26"/>
    </row>
    <row r="65" spans="36:51" x14ac:dyDescent="0.3">
      <c r="AJ65" s="13" t="str">
        <f t="shared" si="0"/>
        <v>КГВВнг(А)-LS (3х2,5) 2</v>
      </c>
      <c r="AK65" s="14" t="s">
        <v>117</v>
      </c>
      <c r="AL65" t="s">
        <v>135</v>
      </c>
      <c r="AM65">
        <v>3</v>
      </c>
      <c r="AN65">
        <v>2.5</v>
      </c>
      <c r="AO65">
        <v>2</v>
      </c>
      <c r="AY65" s="26"/>
    </row>
    <row r="66" spans="36:51" x14ac:dyDescent="0.3">
      <c r="AJ66" s="13" t="str">
        <f t="shared" si="0"/>
        <v>КГВВнг(А)-LS (5х1,5) 1</v>
      </c>
      <c r="AK66" s="14" t="s">
        <v>118</v>
      </c>
      <c r="AL66" t="s">
        <v>135</v>
      </c>
      <c r="AM66">
        <v>5</v>
      </c>
      <c r="AN66">
        <v>1.5</v>
      </c>
      <c r="AO66">
        <v>1</v>
      </c>
      <c r="AY66" s="26"/>
    </row>
    <row r="67" spans="36:51" x14ac:dyDescent="0.3">
      <c r="AJ67" s="13" t="str">
        <f t="shared" si="0"/>
        <v>КГВВнг(А)-LS (5х1,5) 2</v>
      </c>
      <c r="AK67" s="14" t="s">
        <v>119</v>
      </c>
      <c r="AL67" t="s">
        <v>135</v>
      </c>
      <c r="AM67">
        <v>5</v>
      </c>
      <c r="AN67">
        <v>1.5</v>
      </c>
      <c r="AO67">
        <v>2</v>
      </c>
      <c r="AY67" s="26"/>
    </row>
    <row r="68" spans="36:51" x14ac:dyDescent="0.3">
      <c r="AJ68" s="13" t="str">
        <f t="shared" si="0"/>
        <v>КГВВнг(А)-LS (5х2,5) 1</v>
      </c>
      <c r="AK68" s="14" t="s">
        <v>120</v>
      </c>
      <c r="AL68" t="s">
        <v>135</v>
      </c>
      <c r="AM68">
        <v>5</v>
      </c>
      <c r="AN68">
        <v>2.5</v>
      </c>
      <c r="AO68">
        <v>1</v>
      </c>
      <c r="AY68" s="26"/>
    </row>
    <row r="69" spans="36:51" x14ac:dyDescent="0.3">
      <c r="AJ69" s="13" t="str">
        <f t="shared" ref="AJ69:AJ132" si="3">AL69&amp;" ("&amp;AM69&amp;"х"&amp;AN69&amp;") "&amp;AO69</f>
        <v>КГВВнг(А)-LS (5х2,5) 2</v>
      </c>
      <c r="AK69" s="14" t="s">
        <v>121</v>
      </c>
      <c r="AL69" t="s">
        <v>135</v>
      </c>
      <c r="AM69">
        <v>5</v>
      </c>
      <c r="AN69">
        <v>2.5</v>
      </c>
      <c r="AO69">
        <v>2</v>
      </c>
      <c r="AY69" s="26"/>
    </row>
    <row r="70" spans="36:51" x14ac:dyDescent="0.3">
      <c r="AJ70" s="13" t="str">
        <f t="shared" si="3"/>
        <v>КГВВнг(А)-LS (5х4) 1</v>
      </c>
      <c r="AK70" s="14" t="s">
        <v>122</v>
      </c>
      <c r="AL70" t="s">
        <v>135</v>
      </c>
      <c r="AM70">
        <v>5</v>
      </c>
      <c r="AN70">
        <v>4</v>
      </c>
      <c r="AO70">
        <v>1</v>
      </c>
      <c r="AY70" s="26"/>
    </row>
    <row r="71" spans="36:51" x14ac:dyDescent="0.3">
      <c r="AJ71" s="13" t="str">
        <f t="shared" si="3"/>
        <v>КГВВнг(А)-LS (5х4) 2</v>
      </c>
      <c r="AK71" s="14" t="s">
        <v>123</v>
      </c>
      <c r="AL71" t="s">
        <v>135</v>
      </c>
      <c r="AM71">
        <v>5</v>
      </c>
      <c r="AN71">
        <v>4</v>
      </c>
      <c r="AO71">
        <v>2</v>
      </c>
      <c r="AY71" s="26"/>
    </row>
    <row r="72" spans="36:51" x14ac:dyDescent="0.3">
      <c r="AJ72" s="13" t="str">
        <f t="shared" si="3"/>
        <v>КГВВнг(А)-LS (5х6) 1</v>
      </c>
      <c r="AK72" s="14" t="s">
        <v>124</v>
      </c>
      <c r="AL72" t="s">
        <v>135</v>
      </c>
      <c r="AM72">
        <v>5</v>
      </c>
      <c r="AN72">
        <v>6</v>
      </c>
      <c r="AO72">
        <v>1</v>
      </c>
      <c r="AY72" s="26"/>
    </row>
    <row r="73" spans="36:51" x14ac:dyDescent="0.3">
      <c r="AJ73" s="13" t="str">
        <f t="shared" si="3"/>
        <v>КГВВнг(А)-LS (5х6) 2</v>
      </c>
      <c r="AK73" s="14" t="s">
        <v>125</v>
      </c>
      <c r="AL73" t="s">
        <v>135</v>
      </c>
      <c r="AM73">
        <v>5</v>
      </c>
      <c r="AN73">
        <v>6</v>
      </c>
      <c r="AO73">
        <v>2</v>
      </c>
    </row>
    <row r="74" spans="36:51" x14ac:dyDescent="0.3">
      <c r="AJ74" s="13" t="str">
        <f t="shared" si="3"/>
        <v>КГВВнг(А)-LS (4х0,75) 1</v>
      </c>
      <c r="AK74" s="14" t="s">
        <v>126</v>
      </c>
      <c r="AL74" t="s">
        <v>135</v>
      </c>
      <c r="AM74">
        <v>4</v>
      </c>
      <c r="AN74">
        <v>0.75</v>
      </c>
      <c r="AO74">
        <v>1</v>
      </c>
    </row>
    <row r="75" spans="36:51" x14ac:dyDescent="0.3">
      <c r="AJ75" s="13" t="str">
        <f t="shared" si="3"/>
        <v>КГВВнг(А)-LS (4х0,75) 2</v>
      </c>
      <c r="AK75" s="14" t="s">
        <v>127</v>
      </c>
      <c r="AL75" t="s">
        <v>135</v>
      </c>
      <c r="AM75">
        <v>4</v>
      </c>
      <c r="AN75">
        <v>0.75</v>
      </c>
      <c r="AO75">
        <v>2</v>
      </c>
      <c r="AU75" s="26"/>
    </row>
    <row r="76" spans="36:51" x14ac:dyDescent="0.3">
      <c r="AJ76" s="13" t="str">
        <f t="shared" si="3"/>
        <v>ПУГВ (1х2,5) 1</v>
      </c>
      <c r="AK76" s="14" t="s">
        <v>128</v>
      </c>
      <c r="AL76" t="s">
        <v>55</v>
      </c>
      <c r="AM76">
        <v>1</v>
      </c>
      <c r="AN76">
        <v>2.5</v>
      </c>
      <c r="AO76">
        <v>1</v>
      </c>
    </row>
    <row r="77" spans="36:51" x14ac:dyDescent="0.3">
      <c r="AJ77" s="13" t="str">
        <f t="shared" si="3"/>
        <v>ПУГВ (1х2,5) 2</v>
      </c>
      <c r="AK77" s="14" t="s">
        <v>129</v>
      </c>
      <c r="AL77" t="s">
        <v>55</v>
      </c>
      <c r="AM77">
        <v>1</v>
      </c>
      <c r="AN77">
        <v>2.5</v>
      </c>
      <c r="AO77">
        <v>2</v>
      </c>
    </row>
    <row r="78" spans="36:51" x14ac:dyDescent="0.3">
      <c r="AJ78" s="13" t="str">
        <f t="shared" si="3"/>
        <v>ПУГВ (1х4) 1</v>
      </c>
      <c r="AK78" s="14" t="s">
        <v>128</v>
      </c>
      <c r="AL78" t="s">
        <v>55</v>
      </c>
      <c r="AM78">
        <v>1</v>
      </c>
      <c r="AN78">
        <v>4</v>
      </c>
      <c r="AO78">
        <v>1</v>
      </c>
    </row>
    <row r="79" spans="36:51" x14ac:dyDescent="0.3">
      <c r="AJ79" s="13" t="str">
        <f t="shared" si="3"/>
        <v>ПУГВ (1х4) 2</v>
      </c>
      <c r="AK79" s="14" t="s">
        <v>129</v>
      </c>
      <c r="AL79" t="s">
        <v>55</v>
      </c>
      <c r="AM79">
        <v>1</v>
      </c>
      <c r="AN79">
        <v>4</v>
      </c>
      <c r="AO79">
        <v>2</v>
      </c>
    </row>
    <row r="80" spans="36:51" x14ac:dyDescent="0.3">
      <c r="AJ80" s="13" t="str">
        <f t="shared" si="3"/>
        <v>ПУГВ (1х6) 1</v>
      </c>
      <c r="AK80" s="14" t="s">
        <v>128</v>
      </c>
      <c r="AL80" t="s">
        <v>55</v>
      </c>
      <c r="AM80">
        <v>1</v>
      </c>
      <c r="AN80">
        <v>6</v>
      </c>
      <c r="AO80">
        <v>1</v>
      </c>
    </row>
    <row r="81" spans="36:41" x14ac:dyDescent="0.3">
      <c r="AJ81" s="13" t="str">
        <f t="shared" si="3"/>
        <v>ПУГВ (1х6) 2</v>
      </c>
      <c r="AK81" s="14" t="s">
        <v>129</v>
      </c>
      <c r="AL81" t="s">
        <v>55</v>
      </c>
      <c r="AM81">
        <v>1</v>
      </c>
      <c r="AN81">
        <v>6</v>
      </c>
      <c r="AO81">
        <v>2</v>
      </c>
    </row>
    <row r="82" spans="36:41" x14ac:dyDescent="0.3">
      <c r="AJ82" s="13" t="str">
        <f t="shared" si="3"/>
        <v>ПУГВ (1х10) 1</v>
      </c>
      <c r="AK82" s="14" t="s">
        <v>130</v>
      </c>
      <c r="AL82" t="s">
        <v>55</v>
      </c>
      <c r="AM82">
        <v>1</v>
      </c>
      <c r="AN82">
        <v>10</v>
      </c>
      <c r="AO82">
        <v>1</v>
      </c>
    </row>
    <row r="83" spans="36:41" x14ac:dyDescent="0.3">
      <c r="AJ83" s="13" t="str">
        <f t="shared" si="3"/>
        <v>ПУГВ (1х10) 2</v>
      </c>
      <c r="AK83" s="14" t="s">
        <v>131</v>
      </c>
      <c r="AL83" t="s">
        <v>55</v>
      </c>
      <c r="AM83">
        <v>1</v>
      </c>
      <c r="AN83">
        <v>10</v>
      </c>
      <c r="AO83">
        <v>2</v>
      </c>
    </row>
    <row r="84" spans="36:41" x14ac:dyDescent="0.3">
      <c r="AJ84" s="13" t="str">
        <f t="shared" si="3"/>
        <v>ПУГВ (1х25) 1</v>
      </c>
      <c r="AK84" s="14" t="s">
        <v>130</v>
      </c>
      <c r="AL84" t="s">
        <v>55</v>
      </c>
      <c r="AM84">
        <v>1</v>
      </c>
      <c r="AN84">
        <v>25</v>
      </c>
      <c r="AO84">
        <v>1</v>
      </c>
    </row>
    <row r="85" spans="36:41" x14ac:dyDescent="0.3">
      <c r="AJ85" s="13" t="str">
        <f t="shared" si="3"/>
        <v>ПУГВ (1х25) 2</v>
      </c>
      <c r="AK85" s="14" t="s">
        <v>131</v>
      </c>
      <c r="AL85" t="s">
        <v>55</v>
      </c>
      <c r="AM85">
        <v>1</v>
      </c>
      <c r="AN85">
        <v>25</v>
      </c>
      <c r="AO85">
        <v>2</v>
      </c>
    </row>
    <row r="86" spans="36:41" x14ac:dyDescent="0.3">
      <c r="AJ86" s="13" t="str">
        <f t="shared" si="3"/>
        <v>КВБбШвнг(А)-LS (14х2,5) 1</v>
      </c>
      <c r="AK86" s="14" t="s">
        <v>61</v>
      </c>
      <c r="AL86" t="s">
        <v>147</v>
      </c>
      <c r="AM86">
        <v>14</v>
      </c>
      <c r="AN86">
        <v>2.5</v>
      </c>
      <c r="AO86">
        <v>1</v>
      </c>
    </row>
    <row r="87" spans="36:41" x14ac:dyDescent="0.3">
      <c r="AJ87" s="13" t="str">
        <f t="shared" si="3"/>
        <v>КВБбШвнг(А)-LS (14х2,5) 2</v>
      </c>
      <c r="AK87" s="14" t="s">
        <v>62</v>
      </c>
      <c r="AL87" t="s">
        <v>147</v>
      </c>
      <c r="AM87">
        <v>14</v>
      </c>
      <c r="AN87">
        <v>2.5</v>
      </c>
      <c r="AO87">
        <v>2</v>
      </c>
    </row>
    <row r="88" spans="36:41" x14ac:dyDescent="0.3">
      <c r="AJ88" s="13" t="str">
        <f t="shared" si="3"/>
        <v>ППГнг(А)-FRHF (2х1,5) 1</v>
      </c>
      <c r="AK88" s="14" t="s">
        <v>59</v>
      </c>
      <c r="AL88" t="s">
        <v>139</v>
      </c>
      <c r="AM88">
        <v>2</v>
      </c>
      <c r="AN88">
        <v>1.5</v>
      </c>
      <c r="AO88">
        <v>1</v>
      </c>
    </row>
    <row r="89" spans="36:41" x14ac:dyDescent="0.3">
      <c r="AJ89" s="13" t="str">
        <f t="shared" si="3"/>
        <v>ППГнг(А)-FRHF (2х1,5) 2</v>
      </c>
      <c r="AK89" s="14" t="s">
        <v>60</v>
      </c>
      <c r="AL89" t="s">
        <v>139</v>
      </c>
      <c r="AM89">
        <v>2</v>
      </c>
      <c r="AN89">
        <v>1.5</v>
      </c>
      <c r="AO89">
        <v>2</v>
      </c>
    </row>
    <row r="90" spans="36:41" x14ac:dyDescent="0.3">
      <c r="AJ90" s="13" t="str">
        <f t="shared" si="3"/>
        <v>ППГнг(А)-FRHF (2х2,5) 1</v>
      </c>
      <c r="AK90" s="14" t="s">
        <v>61</v>
      </c>
      <c r="AL90" t="s">
        <v>139</v>
      </c>
      <c r="AM90">
        <v>2</v>
      </c>
      <c r="AN90">
        <v>2.5</v>
      </c>
      <c r="AO90">
        <v>1</v>
      </c>
    </row>
    <row r="91" spans="36:41" x14ac:dyDescent="0.3">
      <c r="AJ91" s="13" t="str">
        <f t="shared" si="3"/>
        <v>ППГнг(А)-FRHF (2х2,5) 2</v>
      </c>
      <c r="AK91" s="14" t="s">
        <v>62</v>
      </c>
      <c r="AL91" t="s">
        <v>139</v>
      </c>
      <c r="AM91">
        <v>2</v>
      </c>
      <c r="AN91">
        <v>2.5</v>
      </c>
      <c r="AO91">
        <v>2</v>
      </c>
    </row>
    <row r="92" spans="36:41" x14ac:dyDescent="0.3">
      <c r="AJ92" s="13" t="str">
        <f t="shared" si="3"/>
        <v>ППГнг(А)-FRHF (3х1,5) 1</v>
      </c>
      <c r="AK92" s="14" t="s">
        <v>63</v>
      </c>
      <c r="AL92" t="s">
        <v>139</v>
      </c>
      <c r="AM92">
        <v>3</v>
      </c>
      <c r="AN92">
        <v>1.5</v>
      </c>
      <c r="AO92">
        <v>1</v>
      </c>
    </row>
    <row r="93" spans="36:41" x14ac:dyDescent="0.3">
      <c r="AJ93" s="13" t="str">
        <f t="shared" si="3"/>
        <v>ППГнг(А)-FRHF (3х1,5) 2</v>
      </c>
      <c r="AK93" s="14" t="s">
        <v>64</v>
      </c>
      <c r="AL93" t="s">
        <v>139</v>
      </c>
      <c r="AM93">
        <v>3</v>
      </c>
      <c r="AN93">
        <v>1.5</v>
      </c>
      <c r="AO93">
        <v>2</v>
      </c>
    </row>
    <row r="94" spans="36:41" x14ac:dyDescent="0.3">
      <c r="AJ94" s="13" t="str">
        <f t="shared" si="3"/>
        <v>ППГнг(А)-FRHF (3х2,5) 1</v>
      </c>
      <c r="AK94" s="14" t="s">
        <v>65</v>
      </c>
      <c r="AL94" t="s">
        <v>139</v>
      </c>
      <c r="AM94">
        <v>3</v>
      </c>
      <c r="AN94">
        <v>2.5</v>
      </c>
      <c r="AO94">
        <v>1</v>
      </c>
    </row>
    <row r="95" spans="36:41" x14ac:dyDescent="0.3">
      <c r="AJ95" s="13" t="str">
        <f t="shared" si="3"/>
        <v>ППГнг(А)-FRHF (3х2,5) 2</v>
      </c>
      <c r="AK95" s="14" t="s">
        <v>66</v>
      </c>
      <c r="AL95" t="s">
        <v>139</v>
      </c>
      <c r="AM95">
        <v>3</v>
      </c>
      <c r="AN95">
        <v>2.5</v>
      </c>
      <c r="AO95">
        <v>2</v>
      </c>
    </row>
    <row r="96" spans="36:41" x14ac:dyDescent="0.3">
      <c r="AJ96" s="13" t="str">
        <f t="shared" si="3"/>
        <v>ППГнг(А)-FRHF (3х4) 1</v>
      </c>
      <c r="AK96" s="14" t="s">
        <v>67</v>
      </c>
      <c r="AL96" t="s">
        <v>139</v>
      </c>
      <c r="AM96">
        <v>3</v>
      </c>
      <c r="AN96">
        <v>4</v>
      </c>
      <c r="AO96">
        <v>1</v>
      </c>
    </row>
    <row r="97" spans="36:41" x14ac:dyDescent="0.3">
      <c r="AJ97" s="13" t="str">
        <f t="shared" si="3"/>
        <v>ППГнг(А)-FRHF (3х4) 2</v>
      </c>
      <c r="AK97" s="14" t="s">
        <v>68</v>
      </c>
      <c r="AL97" t="s">
        <v>139</v>
      </c>
      <c r="AM97">
        <v>3</v>
      </c>
      <c r="AN97">
        <v>4</v>
      </c>
      <c r="AO97">
        <v>2</v>
      </c>
    </row>
    <row r="98" spans="36:41" x14ac:dyDescent="0.3">
      <c r="AJ98" s="13" t="str">
        <f t="shared" si="3"/>
        <v>ППГнг(А)-FRHF (3х6) 1</v>
      </c>
      <c r="AK98" s="14" t="s">
        <v>69</v>
      </c>
      <c r="AL98" t="s">
        <v>139</v>
      </c>
      <c r="AM98">
        <v>3</v>
      </c>
      <c r="AN98">
        <v>6</v>
      </c>
      <c r="AO98">
        <v>1</v>
      </c>
    </row>
    <row r="99" spans="36:41" x14ac:dyDescent="0.3">
      <c r="AJ99" s="13" t="str">
        <f t="shared" si="3"/>
        <v>ППГнг(А)-FRHF (3х6) 2</v>
      </c>
      <c r="AK99" s="14" t="s">
        <v>70</v>
      </c>
      <c r="AL99" t="s">
        <v>139</v>
      </c>
      <c r="AM99">
        <v>3</v>
      </c>
      <c r="AN99">
        <v>6</v>
      </c>
      <c r="AO99">
        <v>2</v>
      </c>
    </row>
    <row r="100" spans="36:41" x14ac:dyDescent="0.3">
      <c r="AJ100" s="13" t="str">
        <f t="shared" si="3"/>
        <v>ППГнг(А)-FRHF (5х1,5) 1</v>
      </c>
      <c r="AK100" s="14" t="s">
        <v>71</v>
      </c>
      <c r="AL100" t="s">
        <v>139</v>
      </c>
      <c r="AM100">
        <v>5</v>
      </c>
      <c r="AN100">
        <v>1.5</v>
      </c>
      <c r="AO100">
        <v>1</v>
      </c>
    </row>
    <row r="101" spans="36:41" x14ac:dyDescent="0.3">
      <c r="AJ101" s="13" t="str">
        <f t="shared" si="3"/>
        <v>ППГнг(А)-FRHF (5х1,5) 2</v>
      </c>
      <c r="AK101" s="14" t="s">
        <v>72</v>
      </c>
      <c r="AL101" t="s">
        <v>139</v>
      </c>
      <c r="AM101">
        <v>5</v>
      </c>
      <c r="AN101">
        <v>1.5</v>
      </c>
      <c r="AO101">
        <v>2</v>
      </c>
    </row>
    <row r="102" spans="36:41" x14ac:dyDescent="0.3">
      <c r="AJ102" s="13" t="str">
        <f t="shared" si="3"/>
        <v>ППГнг(А)-FRHF (5х2,5) 1</v>
      </c>
      <c r="AK102" s="14" t="s">
        <v>73</v>
      </c>
      <c r="AL102" t="s">
        <v>139</v>
      </c>
      <c r="AM102">
        <v>5</v>
      </c>
      <c r="AN102">
        <v>2.5</v>
      </c>
      <c r="AO102">
        <v>1</v>
      </c>
    </row>
    <row r="103" spans="36:41" x14ac:dyDescent="0.3">
      <c r="AJ103" s="13" t="str">
        <f t="shared" si="3"/>
        <v>ППГнг(А)-FRHF (5х2,5) 2</v>
      </c>
      <c r="AK103" s="14" t="s">
        <v>74</v>
      </c>
      <c r="AL103" t="s">
        <v>139</v>
      </c>
      <c r="AM103">
        <v>5</v>
      </c>
      <c r="AN103">
        <v>2.5</v>
      </c>
      <c r="AO103">
        <v>2</v>
      </c>
    </row>
    <row r="104" spans="36:41" x14ac:dyDescent="0.3">
      <c r="AJ104" s="13" t="str">
        <f t="shared" si="3"/>
        <v>ППГнг(А)-FRHF (5х4) 1</v>
      </c>
      <c r="AK104" s="14" t="s">
        <v>75</v>
      </c>
      <c r="AL104" t="s">
        <v>139</v>
      </c>
      <c r="AM104">
        <v>5</v>
      </c>
      <c r="AN104">
        <v>4</v>
      </c>
      <c r="AO104">
        <v>1</v>
      </c>
    </row>
    <row r="105" spans="36:41" x14ac:dyDescent="0.3">
      <c r="AJ105" s="13" t="str">
        <f t="shared" si="3"/>
        <v>ППГнг(А)-FRHF (5х4) 2</v>
      </c>
      <c r="AK105" s="14" t="s">
        <v>76</v>
      </c>
      <c r="AL105" t="s">
        <v>139</v>
      </c>
      <c r="AM105">
        <v>5</v>
      </c>
      <c r="AN105">
        <v>4</v>
      </c>
      <c r="AO105">
        <v>2</v>
      </c>
    </row>
    <row r="106" spans="36:41" x14ac:dyDescent="0.3">
      <c r="AJ106" s="13" t="str">
        <f t="shared" si="3"/>
        <v>ППГнг(А)-FRHF (5х6) 1</v>
      </c>
      <c r="AK106" s="14" t="s">
        <v>77</v>
      </c>
      <c r="AL106" t="s">
        <v>139</v>
      </c>
      <c r="AM106">
        <v>5</v>
      </c>
      <c r="AN106">
        <v>6</v>
      </c>
      <c r="AO106">
        <v>1</v>
      </c>
    </row>
    <row r="107" spans="36:41" x14ac:dyDescent="0.3">
      <c r="AJ107" s="13" t="str">
        <f t="shared" si="3"/>
        <v>ППГнг(А)-FRHF (5х6) 2</v>
      </c>
      <c r="AK107" s="14" t="s">
        <v>78</v>
      </c>
      <c r="AL107" t="s">
        <v>139</v>
      </c>
      <c r="AM107">
        <v>5</v>
      </c>
      <c r="AN107">
        <v>6</v>
      </c>
      <c r="AO107">
        <v>2</v>
      </c>
    </row>
    <row r="108" spans="36:41" x14ac:dyDescent="0.3">
      <c r="AJ108" s="13" t="str">
        <f t="shared" si="3"/>
        <v>ППГнг(А)-FRHF (5х10) 1</v>
      </c>
      <c r="AK108" s="14" t="s">
        <v>79</v>
      </c>
      <c r="AL108" t="s">
        <v>139</v>
      </c>
      <c r="AM108">
        <v>5</v>
      </c>
      <c r="AN108">
        <v>10</v>
      </c>
      <c r="AO108">
        <v>1</v>
      </c>
    </row>
    <row r="109" spans="36:41" x14ac:dyDescent="0.3">
      <c r="AJ109" s="13" t="str">
        <f t="shared" si="3"/>
        <v>ППГнг(А)-FRHF (5х10) 2</v>
      </c>
      <c r="AK109" s="14" t="s">
        <v>80</v>
      </c>
      <c r="AL109" t="s">
        <v>139</v>
      </c>
      <c r="AM109">
        <v>5</v>
      </c>
      <c r="AN109">
        <v>10</v>
      </c>
      <c r="AO109">
        <v>2</v>
      </c>
    </row>
    <row r="110" spans="36:41" x14ac:dyDescent="0.3">
      <c r="AJ110" s="13" t="str">
        <f t="shared" si="3"/>
        <v>ППГнг(А)-FRHF (5х16) 1</v>
      </c>
      <c r="AK110" s="14" t="s">
        <v>81</v>
      </c>
      <c r="AL110" t="s">
        <v>139</v>
      </c>
      <c r="AM110">
        <v>5</v>
      </c>
      <c r="AN110">
        <v>16</v>
      </c>
      <c r="AO110">
        <v>1</v>
      </c>
    </row>
    <row r="111" spans="36:41" x14ac:dyDescent="0.3">
      <c r="AJ111" s="13" t="str">
        <f t="shared" si="3"/>
        <v>ППГнг(А)-FRHF (5х16) 2</v>
      </c>
      <c r="AK111" s="14" t="s">
        <v>82</v>
      </c>
      <c r="AL111" t="s">
        <v>139</v>
      </c>
      <c r="AM111">
        <v>5</v>
      </c>
      <c r="AN111">
        <v>16</v>
      </c>
      <c r="AO111">
        <v>2</v>
      </c>
    </row>
    <row r="112" spans="36:41" x14ac:dyDescent="0.3">
      <c r="AJ112" s="13" t="str">
        <f t="shared" si="3"/>
        <v>ППГнг(А)-FRHF (5х25) 1</v>
      </c>
      <c r="AK112" s="14" t="s">
        <v>83</v>
      </c>
      <c r="AL112" t="s">
        <v>139</v>
      </c>
      <c r="AM112">
        <v>5</v>
      </c>
      <c r="AN112">
        <v>25</v>
      </c>
      <c r="AO112">
        <v>1</v>
      </c>
    </row>
    <row r="113" spans="36:41" x14ac:dyDescent="0.3">
      <c r="AJ113" s="13" t="str">
        <f t="shared" si="3"/>
        <v>ППГнг(А)-FRHF (5х25) 2</v>
      </c>
      <c r="AK113" s="14" t="s">
        <v>84</v>
      </c>
      <c r="AL113" t="s">
        <v>139</v>
      </c>
      <c r="AM113">
        <v>5</v>
      </c>
      <c r="AN113">
        <v>25</v>
      </c>
      <c r="AO113">
        <v>2</v>
      </c>
    </row>
    <row r="114" spans="36:41" x14ac:dyDescent="0.3">
      <c r="AJ114" s="13" t="str">
        <f t="shared" si="3"/>
        <v>ППГнг(А)-FRHF (5х35) 1</v>
      </c>
      <c r="AK114" s="14" t="s">
        <v>85</v>
      </c>
      <c r="AL114" t="s">
        <v>139</v>
      </c>
      <c r="AM114">
        <v>5</v>
      </c>
      <c r="AN114">
        <v>35</v>
      </c>
      <c r="AO114">
        <v>1</v>
      </c>
    </row>
    <row r="115" spans="36:41" x14ac:dyDescent="0.3">
      <c r="AJ115" s="13" t="str">
        <f t="shared" si="3"/>
        <v>ППГнг(А)-FRHF (5х35) 1</v>
      </c>
      <c r="AK115" s="14" t="s">
        <v>86</v>
      </c>
      <c r="AL115" t="s">
        <v>139</v>
      </c>
      <c r="AM115">
        <v>5</v>
      </c>
      <c r="AN115">
        <v>35</v>
      </c>
      <c r="AO115">
        <v>1</v>
      </c>
    </row>
    <row r="116" spans="36:41" x14ac:dyDescent="0.3">
      <c r="AJ116" s="13" t="str">
        <f t="shared" si="3"/>
        <v>ППГнг(А)-FRHF (5х50) 1</v>
      </c>
      <c r="AK116" s="14" t="s">
        <v>87</v>
      </c>
      <c r="AL116" t="s">
        <v>139</v>
      </c>
      <c r="AM116">
        <v>5</v>
      </c>
      <c r="AN116">
        <v>50</v>
      </c>
      <c r="AO116">
        <v>1</v>
      </c>
    </row>
    <row r="117" spans="36:41" x14ac:dyDescent="0.3">
      <c r="AJ117" s="13" t="str">
        <f t="shared" si="3"/>
        <v>ППГнг(А)-FRHF (5х50) 2</v>
      </c>
      <c r="AK117" s="14" t="s">
        <v>88</v>
      </c>
      <c r="AL117" t="s">
        <v>139</v>
      </c>
      <c r="AM117">
        <v>5</v>
      </c>
      <c r="AN117">
        <v>50</v>
      </c>
      <c r="AO117">
        <v>2</v>
      </c>
    </row>
    <row r="118" spans="36:41" x14ac:dyDescent="0.3">
      <c r="AJ118" s="13" t="str">
        <f t="shared" si="3"/>
        <v>ППГнг(А)-FRHF (5х95) 1</v>
      </c>
      <c r="AK118" s="14" t="s">
        <v>89</v>
      </c>
      <c r="AL118" t="s">
        <v>139</v>
      </c>
      <c r="AM118">
        <v>5</v>
      </c>
      <c r="AN118">
        <v>95</v>
      </c>
      <c r="AO118">
        <v>1</v>
      </c>
    </row>
    <row r="119" spans="36:41" x14ac:dyDescent="0.3">
      <c r="AJ119" s="13" t="str">
        <f t="shared" si="3"/>
        <v>ППГнг(А)-FRHF (5х95) 2</v>
      </c>
      <c r="AK119" s="14" t="s">
        <v>90</v>
      </c>
      <c r="AL119" t="s">
        <v>139</v>
      </c>
      <c r="AM119">
        <v>5</v>
      </c>
      <c r="AN119">
        <v>95</v>
      </c>
      <c r="AO119">
        <v>2</v>
      </c>
    </row>
    <row r="120" spans="36:41" x14ac:dyDescent="0.3">
      <c r="AJ120" s="13" t="str">
        <f t="shared" si="3"/>
        <v>ППГнг(А)-FRHF (5х120) 1</v>
      </c>
      <c r="AK120" s="14" t="s">
        <v>91</v>
      </c>
      <c r="AL120" t="s">
        <v>139</v>
      </c>
      <c r="AM120">
        <v>5</v>
      </c>
      <c r="AN120">
        <v>120</v>
      </c>
      <c r="AO120">
        <v>1</v>
      </c>
    </row>
    <row r="121" spans="36:41" x14ac:dyDescent="0.3">
      <c r="AJ121" s="13" t="str">
        <f t="shared" si="3"/>
        <v>ППГнг(А)-FRHF (5х120) 2</v>
      </c>
      <c r="AK121" s="14" t="s">
        <v>92</v>
      </c>
      <c r="AL121" t="s">
        <v>139</v>
      </c>
      <c r="AM121">
        <v>5</v>
      </c>
      <c r="AN121">
        <v>120</v>
      </c>
      <c r="AO121">
        <v>2</v>
      </c>
    </row>
    <row r="122" spans="36:41" x14ac:dyDescent="0.3">
      <c r="AJ122" s="13" t="str">
        <f t="shared" si="3"/>
        <v>ППГнг(А)-HF (2х1,5) 1</v>
      </c>
      <c r="AK122" s="14" t="s">
        <v>59</v>
      </c>
      <c r="AL122" t="s">
        <v>141</v>
      </c>
      <c r="AM122">
        <v>2</v>
      </c>
      <c r="AN122">
        <v>1.5</v>
      </c>
      <c r="AO122">
        <v>1</v>
      </c>
    </row>
    <row r="123" spans="36:41" x14ac:dyDescent="0.3">
      <c r="AJ123" s="13" t="str">
        <f t="shared" si="3"/>
        <v>ППГнг(А)-HF (2х1,5) 2</v>
      </c>
      <c r="AK123" s="14" t="s">
        <v>60</v>
      </c>
      <c r="AL123" t="s">
        <v>141</v>
      </c>
      <c r="AM123">
        <v>2</v>
      </c>
      <c r="AN123">
        <v>1.5</v>
      </c>
      <c r="AO123">
        <v>2</v>
      </c>
    </row>
    <row r="124" spans="36:41" x14ac:dyDescent="0.3">
      <c r="AJ124" s="13" t="str">
        <f t="shared" si="3"/>
        <v>ППГнг(А)-HF (2х2,5) 1</v>
      </c>
      <c r="AK124" s="14" t="s">
        <v>61</v>
      </c>
      <c r="AL124" t="s">
        <v>141</v>
      </c>
      <c r="AM124">
        <v>2</v>
      </c>
      <c r="AN124">
        <v>2.5</v>
      </c>
      <c r="AO124">
        <v>1</v>
      </c>
    </row>
    <row r="125" spans="36:41" x14ac:dyDescent="0.3">
      <c r="AJ125" s="13" t="str">
        <f t="shared" si="3"/>
        <v>ППГнг(А)-HF (2х2,5) 2</v>
      </c>
      <c r="AK125" s="14" t="s">
        <v>62</v>
      </c>
      <c r="AL125" t="s">
        <v>141</v>
      </c>
      <c r="AM125">
        <v>2</v>
      </c>
      <c r="AN125">
        <v>2.5</v>
      </c>
      <c r="AO125">
        <v>2</v>
      </c>
    </row>
    <row r="126" spans="36:41" x14ac:dyDescent="0.3">
      <c r="AJ126" s="13" t="str">
        <f t="shared" si="3"/>
        <v>ППГнг(А)-HF (3х1,5) 1</v>
      </c>
      <c r="AK126" s="14" t="s">
        <v>63</v>
      </c>
      <c r="AL126" t="s">
        <v>141</v>
      </c>
      <c r="AM126">
        <v>3</v>
      </c>
      <c r="AN126">
        <v>1.5</v>
      </c>
      <c r="AO126">
        <v>1</v>
      </c>
    </row>
    <row r="127" spans="36:41" x14ac:dyDescent="0.3">
      <c r="AJ127" s="13" t="str">
        <f t="shared" si="3"/>
        <v>ППГнг(А)-HF (3х1,5) 2</v>
      </c>
      <c r="AK127" s="14" t="s">
        <v>64</v>
      </c>
      <c r="AL127" t="s">
        <v>141</v>
      </c>
      <c r="AM127">
        <v>3</v>
      </c>
      <c r="AN127">
        <v>1.5</v>
      </c>
      <c r="AO127">
        <v>2</v>
      </c>
    </row>
    <row r="128" spans="36:41" x14ac:dyDescent="0.3">
      <c r="AJ128" s="13" t="str">
        <f t="shared" si="3"/>
        <v>ППГнг(А)-HF (3х2,5) 1</v>
      </c>
      <c r="AK128" s="14" t="s">
        <v>65</v>
      </c>
      <c r="AL128" t="s">
        <v>141</v>
      </c>
      <c r="AM128">
        <v>3</v>
      </c>
      <c r="AN128">
        <v>2.5</v>
      </c>
      <c r="AO128">
        <v>1</v>
      </c>
    </row>
    <row r="129" spans="36:41" x14ac:dyDescent="0.3">
      <c r="AJ129" s="13" t="str">
        <f t="shared" si="3"/>
        <v>ППГнг(А)-HF (3х2,5) 2</v>
      </c>
      <c r="AK129" s="14" t="s">
        <v>66</v>
      </c>
      <c r="AL129" t="s">
        <v>141</v>
      </c>
      <c r="AM129">
        <v>3</v>
      </c>
      <c r="AN129">
        <v>2.5</v>
      </c>
      <c r="AO129">
        <v>2</v>
      </c>
    </row>
    <row r="130" spans="36:41" x14ac:dyDescent="0.3">
      <c r="AJ130" s="13" t="str">
        <f t="shared" si="3"/>
        <v>ППГнг(А)-HF (3х4) 1</v>
      </c>
      <c r="AK130" s="14" t="s">
        <v>67</v>
      </c>
      <c r="AL130" t="s">
        <v>141</v>
      </c>
      <c r="AM130">
        <v>3</v>
      </c>
      <c r="AN130">
        <v>4</v>
      </c>
      <c r="AO130">
        <v>1</v>
      </c>
    </row>
    <row r="131" spans="36:41" x14ac:dyDescent="0.3">
      <c r="AJ131" s="13" t="str">
        <f t="shared" si="3"/>
        <v>ППГнг(А)-HF (3х4) 2</v>
      </c>
      <c r="AK131" s="14" t="s">
        <v>68</v>
      </c>
      <c r="AL131" t="s">
        <v>141</v>
      </c>
      <c r="AM131">
        <v>3</v>
      </c>
      <c r="AN131">
        <v>4</v>
      </c>
      <c r="AO131">
        <v>2</v>
      </c>
    </row>
    <row r="132" spans="36:41" x14ac:dyDescent="0.3">
      <c r="AJ132" s="13" t="str">
        <f t="shared" si="3"/>
        <v>ППГнг(А)-HF (3х6) 1</v>
      </c>
      <c r="AK132" s="14" t="s">
        <v>69</v>
      </c>
      <c r="AL132" t="s">
        <v>141</v>
      </c>
      <c r="AM132">
        <v>3</v>
      </c>
      <c r="AN132">
        <v>6</v>
      </c>
      <c r="AO132">
        <v>1</v>
      </c>
    </row>
    <row r="133" spans="36:41" x14ac:dyDescent="0.3">
      <c r="AJ133" s="13" t="str">
        <f t="shared" ref="AJ133:AJ193" si="4">AL133&amp;" ("&amp;AM133&amp;"х"&amp;AN133&amp;") "&amp;AO133</f>
        <v>ППГнг(А)-HF (3х6) 2</v>
      </c>
      <c r="AK133" s="14" t="s">
        <v>70</v>
      </c>
      <c r="AL133" t="s">
        <v>141</v>
      </c>
      <c r="AM133">
        <v>3</v>
      </c>
      <c r="AN133">
        <v>6</v>
      </c>
      <c r="AO133">
        <v>2</v>
      </c>
    </row>
    <row r="134" spans="36:41" x14ac:dyDescent="0.3">
      <c r="AJ134" s="13" t="str">
        <f t="shared" si="4"/>
        <v>ППГнг(А)-HF (5х1,5) 1</v>
      </c>
      <c r="AK134" s="14" t="s">
        <v>71</v>
      </c>
      <c r="AL134" t="s">
        <v>141</v>
      </c>
      <c r="AM134">
        <v>5</v>
      </c>
      <c r="AN134">
        <v>1.5</v>
      </c>
      <c r="AO134">
        <v>1</v>
      </c>
    </row>
    <row r="135" spans="36:41" x14ac:dyDescent="0.3">
      <c r="AJ135" s="13" t="str">
        <f t="shared" si="4"/>
        <v>ППГнг(А)-HF (5х1,5) 2</v>
      </c>
      <c r="AK135" s="14" t="s">
        <v>72</v>
      </c>
      <c r="AL135" t="s">
        <v>141</v>
      </c>
      <c r="AM135">
        <v>5</v>
      </c>
      <c r="AN135">
        <v>1.5</v>
      </c>
      <c r="AO135">
        <v>2</v>
      </c>
    </row>
    <row r="136" spans="36:41" x14ac:dyDescent="0.3">
      <c r="AJ136" s="13" t="str">
        <f t="shared" si="4"/>
        <v>ППГнг(А)-HF (5х2,5) 1</v>
      </c>
      <c r="AK136" s="14" t="s">
        <v>73</v>
      </c>
      <c r="AL136" t="s">
        <v>141</v>
      </c>
      <c r="AM136">
        <v>5</v>
      </c>
      <c r="AN136">
        <v>2.5</v>
      </c>
      <c r="AO136">
        <v>1</v>
      </c>
    </row>
    <row r="137" spans="36:41" x14ac:dyDescent="0.3">
      <c r="AJ137" s="13" t="str">
        <f t="shared" si="4"/>
        <v>ППГнг(А)-HF (5х2,5) 2</v>
      </c>
      <c r="AK137" s="14" t="s">
        <v>74</v>
      </c>
      <c r="AL137" t="s">
        <v>141</v>
      </c>
      <c r="AM137">
        <v>5</v>
      </c>
      <c r="AN137">
        <v>2.5</v>
      </c>
      <c r="AO137">
        <v>2</v>
      </c>
    </row>
    <row r="138" spans="36:41" x14ac:dyDescent="0.3">
      <c r="AJ138" s="13" t="str">
        <f t="shared" si="4"/>
        <v>ППГнг(А)-HF (5х4) 1</v>
      </c>
      <c r="AK138" s="14" t="s">
        <v>75</v>
      </c>
      <c r="AL138" t="s">
        <v>141</v>
      </c>
      <c r="AM138">
        <v>5</v>
      </c>
      <c r="AN138">
        <v>4</v>
      </c>
      <c r="AO138">
        <v>1</v>
      </c>
    </row>
    <row r="139" spans="36:41" x14ac:dyDescent="0.3">
      <c r="AJ139" s="13" t="str">
        <f t="shared" si="4"/>
        <v>ППГнг(А)-HF (5х4) 2</v>
      </c>
      <c r="AK139" s="14" t="s">
        <v>76</v>
      </c>
      <c r="AL139" t="s">
        <v>141</v>
      </c>
      <c r="AM139">
        <v>5</v>
      </c>
      <c r="AN139">
        <v>4</v>
      </c>
      <c r="AO139">
        <v>2</v>
      </c>
    </row>
    <row r="140" spans="36:41" x14ac:dyDescent="0.3">
      <c r="AJ140" s="13" t="str">
        <f t="shared" si="4"/>
        <v>ППГнг(А)-HF (5х6) 1</v>
      </c>
      <c r="AK140" s="14" t="s">
        <v>77</v>
      </c>
      <c r="AL140" t="s">
        <v>141</v>
      </c>
      <c r="AM140">
        <v>5</v>
      </c>
      <c r="AN140">
        <v>6</v>
      </c>
      <c r="AO140">
        <v>1</v>
      </c>
    </row>
    <row r="141" spans="36:41" x14ac:dyDescent="0.3">
      <c r="AJ141" s="13" t="str">
        <f t="shared" si="4"/>
        <v>ППГнг(А)-HF (5х6) 2</v>
      </c>
      <c r="AK141" s="14" t="s">
        <v>78</v>
      </c>
      <c r="AL141" t="s">
        <v>141</v>
      </c>
      <c r="AM141">
        <v>5</v>
      </c>
      <c r="AN141">
        <v>6</v>
      </c>
      <c r="AO141">
        <v>2</v>
      </c>
    </row>
    <row r="142" spans="36:41" x14ac:dyDescent="0.3">
      <c r="AJ142" s="13" t="str">
        <f t="shared" si="4"/>
        <v>ППГнг(А)-HF (5х10) 1</v>
      </c>
      <c r="AK142" s="14" t="s">
        <v>79</v>
      </c>
      <c r="AL142" t="s">
        <v>141</v>
      </c>
      <c r="AM142">
        <v>5</v>
      </c>
      <c r="AN142">
        <v>10</v>
      </c>
      <c r="AO142">
        <v>1</v>
      </c>
    </row>
    <row r="143" spans="36:41" x14ac:dyDescent="0.3">
      <c r="AJ143" s="13" t="str">
        <f t="shared" si="4"/>
        <v>ППГнг(А)-HF (5х10) 2</v>
      </c>
      <c r="AK143" s="14" t="s">
        <v>80</v>
      </c>
      <c r="AL143" t="s">
        <v>141</v>
      </c>
      <c r="AM143">
        <v>5</v>
      </c>
      <c r="AN143">
        <v>10</v>
      </c>
      <c r="AO143">
        <v>2</v>
      </c>
    </row>
    <row r="144" spans="36:41" x14ac:dyDescent="0.3">
      <c r="AJ144" s="13" t="str">
        <f t="shared" si="4"/>
        <v>ППГнг(А)-HF (5х16) 1</v>
      </c>
      <c r="AK144" s="14" t="s">
        <v>81</v>
      </c>
      <c r="AL144" t="s">
        <v>141</v>
      </c>
      <c r="AM144">
        <v>5</v>
      </c>
      <c r="AN144">
        <v>16</v>
      </c>
      <c r="AO144">
        <v>1</v>
      </c>
    </row>
    <row r="145" spans="36:41" x14ac:dyDescent="0.3">
      <c r="AJ145" s="13" t="str">
        <f t="shared" si="4"/>
        <v>ППГнг(А)-HF (5х16) 2</v>
      </c>
      <c r="AK145" s="14" t="s">
        <v>82</v>
      </c>
      <c r="AL145" t="s">
        <v>141</v>
      </c>
      <c r="AM145">
        <v>5</v>
      </c>
      <c r="AN145">
        <v>16</v>
      </c>
      <c r="AO145">
        <v>2</v>
      </c>
    </row>
    <row r="146" spans="36:41" x14ac:dyDescent="0.3">
      <c r="AJ146" s="13" t="str">
        <f t="shared" si="4"/>
        <v>ППГнг(А)-HF (5х25) 1</v>
      </c>
      <c r="AK146" s="14" t="s">
        <v>83</v>
      </c>
      <c r="AL146" t="s">
        <v>141</v>
      </c>
      <c r="AM146">
        <v>5</v>
      </c>
      <c r="AN146">
        <v>25</v>
      </c>
      <c r="AO146">
        <v>1</v>
      </c>
    </row>
    <row r="147" spans="36:41" x14ac:dyDescent="0.3">
      <c r="AJ147" s="13" t="str">
        <f t="shared" si="4"/>
        <v>ППГнг(А)-HF (5х25) 2</v>
      </c>
      <c r="AK147" s="14" t="s">
        <v>84</v>
      </c>
      <c r="AL147" t="s">
        <v>141</v>
      </c>
      <c r="AM147">
        <v>5</v>
      </c>
      <c r="AN147">
        <v>25</v>
      </c>
      <c r="AO147">
        <v>2</v>
      </c>
    </row>
    <row r="148" spans="36:41" x14ac:dyDescent="0.3">
      <c r="AJ148" s="13" t="str">
        <f t="shared" si="4"/>
        <v>ППГнг(А)-HF (5х35) 1</v>
      </c>
      <c r="AK148" s="14" t="s">
        <v>85</v>
      </c>
      <c r="AL148" t="s">
        <v>141</v>
      </c>
      <c r="AM148">
        <v>5</v>
      </c>
      <c r="AN148">
        <v>35</v>
      </c>
      <c r="AO148">
        <v>1</v>
      </c>
    </row>
    <row r="149" spans="36:41" x14ac:dyDescent="0.3">
      <c r="AJ149" s="13" t="str">
        <f t="shared" si="4"/>
        <v>ППГнг(А)-HF (5х35) 2</v>
      </c>
      <c r="AK149" s="14" t="s">
        <v>86</v>
      </c>
      <c r="AL149" t="s">
        <v>141</v>
      </c>
      <c r="AM149">
        <v>5</v>
      </c>
      <c r="AN149">
        <v>35</v>
      </c>
      <c r="AO149">
        <v>2</v>
      </c>
    </row>
    <row r="150" spans="36:41" x14ac:dyDescent="0.3">
      <c r="AJ150" s="13" t="str">
        <f t="shared" si="4"/>
        <v>ППГнг(А)-HF (5х50) 1</v>
      </c>
      <c r="AK150" s="14" t="s">
        <v>87</v>
      </c>
      <c r="AL150" t="s">
        <v>141</v>
      </c>
      <c r="AM150">
        <v>5</v>
      </c>
      <c r="AN150">
        <v>50</v>
      </c>
      <c r="AO150">
        <v>1</v>
      </c>
    </row>
    <row r="151" spans="36:41" x14ac:dyDescent="0.3">
      <c r="AJ151" s="13" t="str">
        <f t="shared" si="4"/>
        <v>ППГнг(А)-HF (5х50) 2</v>
      </c>
      <c r="AK151" s="14" t="s">
        <v>88</v>
      </c>
      <c r="AL151" t="s">
        <v>141</v>
      </c>
      <c r="AM151">
        <v>5</v>
      </c>
      <c r="AN151">
        <v>50</v>
      </c>
      <c r="AO151">
        <v>2</v>
      </c>
    </row>
    <row r="152" spans="36:41" x14ac:dyDescent="0.3">
      <c r="AJ152" s="13" t="str">
        <f t="shared" si="4"/>
        <v>ППГнг(А)-HF (5х95) 1</v>
      </c>
      <c r="AK152" s="14" t="s">
        <v>89</v>
      </c>
      <c r="AL152" t="s">
        <v>141</v>
      </c>
      <c r="AM152">
        <v>5</v>
      </c>
      <c r="AN152">
        <v>95</v>
      </c>
      <c r="AO152">
        <v>1</v>
      </c>
    </row>
    <row r="153" spans="36:41" x14ac:dyDescent="0.3">
      <c r="AJ153" s="13" t="str">
        <f t="shared" si="4"/>
        <v>ППГнг(А)-HF (5х95) 2</v>
      </c>
      <c r="AK153" s="14" t="s">
        <v>90</v>
      </c>
      <c r="AL153" t="s">
        <v>141</v>
      </c>
      <c r="AM153">
        <v>5</v>
      </c>
      <c r="AN153">
        <v>95</v>
      </c>
      <c r="AO153">
        <v>2</v>
      </c>
    </row>
    <row r="154" spans="36:41" x14ac:dyDescent="0.3">
      <c r="AJ154" s="13" t="str">
        <f t="shared" si="4"/>
        <v>ППГнг(А)-HF (5х120) 1</v>
      </c>
      <c r="AK154" s="14" t="s">
        <v>91</v>
      </c>
      <c r="AL154" t="s">
        <v>141</v>
      </c>
      <c r="AM154">
        <v>5</v>
      </c>
      <c r="AN154">
        <v>120</v>
      </c>
      <c r="AO154">
        <v>1</v>
      </c>
    </row>
    <row r="155" spans="36:41" x14ac:dyDescent="0.3">
      <c r="AJ155" s="13" t="str">
        <f t="shared" si="4"/>
        <v>ППГнг(А)-HF (5х120) 2</v>
      </c>
      <c r="AK155" s="14" t="s">
        <v>92</v>
      </c>
      <c r="AL155" t="s">
        <v>141</v>
      </c>
      <c r="AM155">
        <v>5</v>
      </c>
      <c r="AN155">
        <v>120</v>
      </c>
      <c r="AO155">
        <v>2</v>
      </c>
    </row>
    <row r="156" spans="36:41" x14ac:dyDescent="0.3">
      <c r="AJ156" s="13" t="str">
        <f t="shared" si="4"/>
        <v>ВВГнг(А)-FRLS (2х1,5) 1</v>
      </c>
      <c r="AK156" s="14" t="s">
        <v>59</v>
      </c>
      <c r="AL156" t="s">
        <v>145</v>
      </c>
      <c r="AM156">
        <v>2</v>
      </c>
      <c r="AN156">
        <v>1.5</v>
      </c>
      <c r="AO156">
        <v>1</v>
      </c>
    </row>
    <row r="157" spans="36:41" x14ac:dyDescent="0.3">
      <c r="AJ157" s="13" t="str">
        <f t="shared" si="4"/>
        <v>ВВГнг(А)-FRLS (2х1,5) 2</v>
      </c>
      <c r="AK157" s="14" t="s">
        <v>60</v>
      </c>
      <c r="AL157" t="s">
        <v>145</v>
      </c>
      <c r="AM157">
        <v>2</v>
      </c>
      <c r="AN157">
        <v>1.5</v>
      </c>
      <c r="AO157">
        <v>2</v>
      </c>
    </row>
    <row r="158" spans="36:41" x14ac:dyDescent="0.3">
      <c r="AJ158" s="13" t="str">
        <f t="shared" si="4"/>
        <v>ВВГнг(А)-FRLS (2х2,5) 1</v>
      </c>
      <c r="AK158" s="14" t="s">
        <v>61</v>
      </c>
      <c r="AL158" t="s">
        <v>145</v>
      </c>
      <c r="AM158">
        <v>2</v>
      </c>
      <c r="AN158">
        <v>2.5</v>
      </c>
      <c r="AO158">
        <v>1</v>
      </c>
    </row>
    <row r="159" spans="36:41" x14ac:dyDescent="0.3">
      <c r="AJ159" s="13" t="str">
        <f t="shared" si="4"/>
        <v>ВВГнг(А)-FRLS (2х2,5) 2</v>
      </c>
      <c r="AK159" s="14" t="s">
        <v>62</v>
      </c>
      <c r="AL159" t="s">
        <v>145</v>
      </c>
      <c r="AM159">
        <v>2</v>
      </c>
      <c r="AN159">
        <v>2.5</v>
      </c>
      <c r="AO159">
        <v>2</v>
      </c>
    </row>
    <row r="160" spans="36:41" x14ac:dyDescent="0.3">
      <c r="AJ160" s="13" t="str">
        <f t="shared" si="4"/>
        <v>ВВГнг(А)-FRLS (3х1,5) 1</v>
      </c>
      <c r="AK160" s="14" t="s">
        <v>63</v>
      </c>
      <c r="AL160" t="s">
        <v>145</v>
      </c>
      <c r="AM160">
        <v>3</v>
      </c>
      <c r="AN160">
        <v>1.5</v>
      </c>
      <c r="AO160">
        <v>1</v>
      </c>
    </row>
    <row r="161" spans="36:41" x14ac:dyDescent="0.3">
      <c r="AJ161" s="13" t="str">
        <f t="shared" si="4"/>
        <v>ВВГнг(А)-FRLS (3х1,5) 2</v>
      </c>
      <c r="AK161" s="14" t="s">
        <v>64</v>
      </c>
      <c r="AL161" t="s">
        <v>145</v>
      </c>
      <c r="AM161">
        <v>3</v>
      </c>
      <c r="AN161">
        <v>1.5</v>
      </c>
      <c r="AO161">
        <v>2</v>
      </c>
    </row>
    <row r="162" spans="36:41" x14ac:dyDescent="0.3">
      <c r="AJ162" s="13" t="str">
        <f t="shared" si="4"/>
        <v>ВВГнг(А)-FRLS (3х2,5) 1</v>
      </c>
      <c r="AK162" s="14" t="s">
        <v>65</v>
      </c>
      <c r="AL162" t="s">
        <v>145</v>
      </c>
      <c r="AM162">
        <v>3</v>
      </c>
      <c r="AN162">
        <v>2.5</v>
      </c>
      <c r="AO162">
        <v>1</v>
      </c>
    </row>
    <row r="163" spans="36:41" x14ac:dyDescent="0.3">
      <c r="AJ163" s="13" t="str">
        <f t="shared" si="4"/>
        <v>ВВГнг(А)-FRLS (3х2,5) 2</v>
      </c>
      <c r="AK163" s="14" t="s">
        <v>66</v>
      </c>
      <c r="AL163" t="s">
        <v>145</v>
      </c>
      <c r="AM163">
        <v>3</v>
      </c>
      <c r="AN163">
        <v>2.5</v>
      </c>
      <c r="AO163">
        <v>2</v>
      </c>
    </row>
    <row r="164" spans="36:41" x14ac:dyDescent="0.3">
      <c r="AJ164" s="13" t="str">
        <f t="shared" si="4"/>
        <v>ВВГнг(А)-FRLS (3х4) 1</v>
      </c>
      <c r="AK164" s="14" t="s">
        <v>67</v>
      </c>
      <c r="AL164" t="s">
        <v>145</v>
      </c>
      <c r="AM164">
        <v>3</v>
      </c>
      <c r="AN164">
        <v>4</v>
      </c>
      <c r="AO164">
        <v>1</v>
      </c>
    </row>
    <row r="165" spans="36:41" x14ac:dyDescent="0.3">
      <c r="AJ165" s="13" t="str">
        <f t="shared" si="4"/>
        <v>ВВГнг(А)-FRLS (3х4) 2</v>
      </c>
      <c r="AK165" s="14" t="s">
        <v>68</v>
      </c>
      <c r="AL165" t="s">
        <v>145</v>
      </c>
      <c r="AM165">
        <v>3</v>
      </c>
      <c r="AN165">
        <v>4</v>
      </c>
      <c r="AO165">
        <v>2</v>
      </c>
    </row>
    <row r="166" spans="36:41" x14ac:dyDescent="0.3">
      <c r="AJ166" s="13" t="str">
        <f t="shared" si="4"/>
        <v>ВВГнг(А)-FRLS (3х6) 1</v>
      </c>
      <c r="AK166" s="14" t="s">
        <v>69</v>
      </c>
      <c r="AL166" t="s">
        <v>145</v>
      </c>
      <c r="AM166">
        <v>3</v>
      </c>
      <c r="AN166">
        <v>6</v>
      </c>
      <c r="AO166">
        <v>1</v>
      </c>
    </row>
    <row r="167" spans="36:41" x14ac:dyDescent="0.3">
      <c r="AJ167" s="13" t="str">
        <f t="shared" si="4"/>
        <v>ВВГнг(А)-FRLS (3х6) 2</v>
      </c>
      <c r="AK167" s="14" t="s">
        <v>70</v>
      </c>
      <c r="AL167" t="s">
        <v>145</v>
      </c>
      <c r="AM167">
        <v>3</v>
      </c>
      <c r="AN167">
        <v>6</v>
      </c>
      <c r="AO167">
        <v>2</v>
      </c>
    </row>
    <row r="168" spans="36:41" x14ac:dyDescent="0.3">
      <c r="AJ168" s="13" t="str">
        <f t="shared" si="4"/>
        <v>ВВГнг(А)-FRLS (5х1,5) 1</v>
      </c>
      <c r="AK168" s="14" t="s">
        <v>71</v>
      </c>
      <c r="AL168" t="s">
        <v>145</v>
      </c>
      <c r="AM168">
        <v>5</v>
      </c>
      <c r="AN168">
        <v>1.5</v>
      </c>
      <c r="AO168">
        <v>1</v>
      </c>
    </row>
    <row r="169" spans="36:41" x14ac:dyDescent="0.3">
      <c r="AJ169" s="13" t="str">
        <f t="shared" si="4"/>
        <v>ВВГнг(А)-FRLS (5х1,5) 2</v>
      </c>
      <c r="AK169" s="14" t="s">
        <v>72</v>
      </c>
      <c r="AL169" t="s">
        <v>145</v>
      </c>
      <c r="AM169">
        <v>5</v>
      </c>
      <c r="AN169">
        <v>1.5</v>
      </c>
      <c r="AO169">
        <v>2</v>
      </c>
    </row>
    <row r="170" spans="36:41" x14ac:dyDescent="0.3">
      <c r="AJ170" s="13" t="str">
        <f t="shared" si="4"/>
        <v>ВВГнг(А)-FRLS (5х2,5) 1</v>
      </c>
      <c r="AK170" s="14" t="s">
        <v>73</v>
      </c>
      <c r="AL170" t="s">
        <v>145</v>
      </c>
      <c r="AM170">
        <v>5</v>
      </c>
      <c r="AN170">
        <v>2.5</v>
      </c>
      <c r="AO170">
        <v>1</v>
      </c>
    </row>
    <row r="171" spans="36:41" x14ac:dyDescent="0.3">
      <c r="AJ171" s="13" t="str">
        <f t="shared" si="4"/>
        <v>ВВГнг(А)-FRLS (5х2,5) 2</v>
      </c>
      <c r="AK171" s="14" t="s">
        <v>74</v>
      </c>
      <c r="AL171" t="s">
        <v>145</v>
      </c>
      <c r="AM171">
        <v>5</v>
      </c>
      <c r="AN171">
        <v>2.5</v>
      </c>
      <c r="AO171">
        <v>2</v>
      </c>
    </row>
    <row r="172" spans="36:41" x14ac:dyDescent="0.3">
      <c r="AJ172" s="13" t="str">
        <f t="shared" si="4"/>
        <v>ВВГнг(А)-FRLS (5х4) 1</v>
      </c>
      <c r="AK172" s="14" t="s">
        <v>75</v>
      </c>
      <c r="AL172" t="s">
        <v>145</v>
      </c>
      <c r="AM172">
        <v>5</v>
      </c>
      <c r="AN172">
        <v>4</v>
      </c>
      <c r="AO172">
        <v>1</v>
      </c>
    </row>
    <row r="173" spans="36:41" x14ac:dyDescent="0.3">
      <c r="AJ173" s="13" t="str">
        <f t="shared" si="4"/>
        <v>ВВГнг(А)-FRLS (5х4) 1</v>
      </c>
      <c r="AK173" s="14" t="s">
        <v>76</v>
      </c>
      <c r="AL173" t="s">
        <v>145</v>
      </c>
      <c r="AM173">
        <v>5</v>
      </c>
      <c r="AN173">
        <v>4</v>
      </c>
      <c r="AO173">
        <v>1</v>
      </c>
    </row>
    <row r="174" spans="36:41" x14ac:dyDescent="0.3">
      <c r="AJ174" s="13" t="str">
        <f t="shared" si="4"/>
        <v>ВВГнг(А)-FRLS (5х6) 1</v>
      </c>
      <c r="AK174" s="14" t="s">
        <v>77</v>
      </c>
      <c r="AL174" t="s">
        <v>145</v>
      </c>
      <c r="AM174">
        <v>5</v>
      </c>
      <c r="AN174">
        <v>6</v>
      </c>
      <c r="AO174">
        <v>1</v>
      </c>
    </row>
    <row r="175" spans="36:41" x14ac:dyDescent="0.3">
      <c r="AJ175" s="13" t="str">
        <f t="shared" si="4"/>
        <v>ВВГнг(А)-FRLS (5х6) 2</v>
      </c>
      <c r="AK175" s="14" t="s">
        <v>78</v>
      </c>
      <c r="AL175" t="s">
        <v>145</v>
      </c>
      <c r="AM175">
        <v>5</v>
      </c>
      <c r="AN175">
        <v>6</v>
      </c>
      <c r="AO175">
        <v>2</v>
      </c>
    </row>
    <row r="176" spans="36:41" x14ac:dyDescent="0.3">
      <c r="AJ176" s="13" t="str">
        <f t="shared" si="4"/>
        <v>ВВГнг(А)-FRLS (5х10) 1</v>
      </c>
      <c r="AK176" s="14" t="s">
        <v>79</v>
      </c>
      <c r="AL176" t="s">
        <v>145</v>
      </c>
      <c r="AM176">
        <v>5</v>
      </c>
      <c r="AN176">
        <v>10</v>
      </c>
      <c r="AO176">
        <v>1</v>
      </c>
    </row>
    <row r="177" spans="36:41" x14ac:dyDescent="0.3">
      <c r="AJ177" s="13" t="str">
        <f t="shared" si="4"/>
        <v>ВВГнг(А)-FRLS (5х10) 2</v>
      </c>
      <c r="AK177" s="14" t="s">
        <v>80</v>
      </c>
      <c r="AL177" t="s">
        <v>145</v>
      </c>
      <c r="AM177">
        <v>5</v>
      </c>
      <c r="AN177">
        <v>10</v>
      </c>
      <c r="AO177">
        <v>2</v>
      </c>
    </row>
    <row r="178" spans="36:41" x14ac:dyDescent="0.3">
      <c r="AJ178" s="13" t="str">
        <f t="shared" si="4"/>
        <v>ВВГнг(А)-FRLS (5х16) 1</v>
      </c>
      <c r="AK178" s="14" t="s">
        <v>81</v>
      </c>
      <c r="AL178" t="s">
        <v>145</v>
      </c>
      <c r="AM178">
        <v>5</v>
      </c>
      <c r="AN178">
        <v>16</v>
      </c>
      <c r="AO178">
        <v>1</v>
      </c>
    </row>
    <row r="179" spans="36:41" x14ac:dyDescent="0.3">
      <c r="AJ179" s="13" t="str">
        <f t="shared" si="4"/>
        <v>ВВГнг(А)-FRLS (5х16) 2</v>
      </c>
      <c r="AK179" s="14" t="s">
        <v>82</v>
      </c>
      <c r="AL179" t="s">
        <v>145</v>
      </c>
      <c r="AM179">
        <v>5</v>
      </c>
      <c r="AN179">
        <v>16</v>
      </c>
      <c r="AO179">
        <v>2</v>
      </c>
    </row>
    <row r="180" spans="36:41" x14ac:dyDescent="0.3">
      <c r="AJ180" s="13" t="str">
        <f t="shared" si="4"/>
        <v>ВВГнг(А)-FRLS (5х25) 1</v>
      </c>
      <c r="AK180" s="14" t="s">
        <v>83</v>
      </c>
      <c r="AL180" t="s">
        <v>145</v>
      </c>
      <c r="AM180">
        <v>5</v>
      </c>
      <c r="AN180">
        <v>25</v>
      </c>
      <c r="AO180">
        <v>1</v>
      </c>
    </row>
    <row r="181" spans="36:41" x14ac:dyDescent="0.3">
      <c r="AJ181" s="13" t="str">
        <f t="shared" si="4"/>
        <v>ВВГнг(А)-FRLS (5х25) 2</v>
      </c>
      <c r="AK181" s="14" t="s">
        <v>84</v>
      </c>
      <c r="AL181" t="s">
        <v>145</v>
      </c>
      <c r="AM181">
        <v>5</v>
      </c>
      <c r="AN181">
        <v>25</v>
      </c>
      <c r="AO181">
        <v>2</v>
      </c>
    </row>
    <row r="182" spans="36:41" x14ac:dyDescent="0.3">
      <c r="AJ182" s="13" t="str">
        <f t="shared" si="4"/>
        <v>ВВГнг(А)-FRLS (5х35) 1</v>
      </c>
      <c r="AK182" s="14" t="s">
        <v>85</v>
      </c>
      <c r="AL182" t="s">
        <v>145</v>
      </c>
      <c r="AM182">
        <v>5</v>
      </c>
      <c r="AN182">
        <v>35</v>
      </c>
      <c r="AO182">
        <v>1</v>
      </c>
    </row>
    <row r="183" spans="36:41" x14ac:dyDescent="0.3">
      <c r="AJ183" s="13" t="str">
        <f t="shared" si="4"/>
        <v>ВВГнг(А)-FRLS (5х35) 2</v>
      </c>
      <c r="AK183" s="14" t="s">
        <v>86</v>
      </c>
      <c r="AL183" t="s">
        <v>145</v>
      </c>
      <c r="AM183">
        <v>5</v>
      </c>
      <c r="AN183">
        <v>35</v>
      </c>
      <c r="AO183">
        <v>2</v>
      </c>
    </row>
    <row r="184" spans="36:41" x14ac:dyDescent="0.3">
      <c r="AJ184" s="13" t="str">
        <f t="shared" si="4"/>
        <v>ВВГнг(А)-FRLS (5х50) 1</v>
      </c>
      <c r="AK184" s="14" t="s">
        <v>87</v>
      </c>
      <c r="AL184" t="s">
        <v>145</v>
      </c>
      <c r="AM184">
        <v>5</v>
      </c>
      <c r="AN184">
        <v>50</v>
      </c>
      <c r="AO184">
        <v>1</v>
      </c>
    </row>
    <row r="185" spans="36:41" x14ac:dyDescent="0.3">
      <c r="AJ185" s="13" t="str">
        <f t="shared" si="4"/>
        <v>ВВГнг(А)-FRLS (5х50) 2</v>
      </c>
      <c r="AK185" s="14" t="s">
        <v>88</v>
      </c>
      <c r="AL185" t="s">
        <v>145</v>
      </c>
      <c r="AM185">
        <v>5</v>
      </c>
      <c r="AN185">
        <v>50</v>
      </c>
      <c r="AO185">
        <v>2</v>
      </c>
    </row>
    <row r="186" spans="36:41" x14ac:dyDescent="0.3">
      <c r="AJ186" s="13" t="str">
        <f t="shared" si="4"/>
        <v>ВВГнг(А)-FRLS (5х95) 1</v>
      </c>
      <c r="AK186" s="14" t="s">
        <v>89</v>
      </c>
      <c r="AL186" t="s">
        <v>145</v>
      </c>
      <c r="AM186">
        <v>5</v>
      </c>
      <c r="AN186">
        <v>95</v>
      </c>
      <c r="AO186">
        <v>1</v>
      </c>
    </row>
    <row r="187" spans="36:41" x14ac:dyDescent="0.3">
      <c r="AJ187" s="13" t="str">
        <f t="shared" si="4"/>
        <v>ВВГнг(А)-FRLS (5х95) 2</v>
      </c>
      <c r="AK187" s="14" t="s">
        <v>90</v>
      </c>
      <c r="AL187" t="s">
        <v>145</v>
      </c>
      <c r="AM187">
        <v>5</v>
      </c>
      <c r="AN187">
        <v>95</v>
      </c>
      <c r="AO187">
        <v>2</v>
      </c>
    </row>
    <row r="188" spans="36:41" x14ac:dyDescent="0.3">
      <c r="AJ188" s="13" t="str">
        <f t="shared" si="4"/>
        <v>ВВГнг(А)-FRLS (5х120) 1</v>
      </c>
      <c r="AK188" s="14" t="s">
        <v>91</v>
      </c>
      <c r="AL188" t="s">
        <v>145</v>
      </c>
      <c r="AM188">
        <v>5</v>
      </c>
      <c r="AN188">
        <v>120</v>
      </c>
      <c r="AO188">
        <v>1</v>
      </c>
    </row>
    <row r="189" spans="36:41" x14ac:dyDescent="0.3">
      <c r="AJ189" s="13" t="str">
        <f t="shared" si="4"/>
        <v>ВВГнг(А)-FRLS (5х120) 2</v>
      </c>
      <c r="AK189" s="14" t="s">
        <v>92</v>
      </c>
      <c r="AL189" t="s">
        <v>145</v>
      </c>
      <c r="AM189">
        <v>5</v>
      </c>
      <c r="AN189">
        <v>120</v>
      </c>
      <c r="AO189">
        <v>2</v>
      </c>
    </row>
    <row r="190" spans="36:41" x14ac:dyDescent="0.3">
      <c r="AJ190" s="13" t="str">
        <f t="shared" si="4"/>
        <v>ВВГнг(А)-FRLS (5х95) 1</v>
      </c>
      <c r="AK190" s="14" t="s">
        <v>93</v>
      </c>
      <c r="AL190" t="s">
        <v>145</v>
      </c>
      <c r="AM190">
        <v>5</v>
      </c>
      <c r="AN190">
        <v>95</v>
      </c>
      <c r="AO190">
        <v>1</v>
      </c>
    </row>
    <row r="191" spans="36:41" x14ac:dyDescent="0.3">
      <c r="AJ191" s="13" t="str">
        <f t="shared" si="4"/>
        <v>ВВГнг(А)-FRLS (5х95) 2</v>
      </c>
      <c r="AK191" s="14" t="s">
        <v>94</v>
      </c>
      <c r="AL191" t="s">
        <v>145</v>
      </c>
      <c r="AM191">
        <v>5</v>
      </c>
      <c r="AN191">
        <v>95</v>
      </c>
      <c r="AO191">
        <v>2</v>
      </c>
    </row>
    <row r="192" spans="36:41" x14ac:dyDescent="0.3">
      <c r="AJ192" s="13" t="str">
        <f t="shared" si="4"/>
        <v>ВВГнг(А)-FRLS (5х120) 1</v>
      </c>
      <c r="AK192" s="14" t="s">
        <v>95</v>
      </c>
      <c r="AL192" t="s">
        <v>145</v>
      </c>
      <c r="AM192">
        <v>5</v>
      </c>
      <c r="AN192">
        <v>120</v>
      </c>
      <c r="AO192">
        <v>1</v>
      </c>
    </row>
    <row r="193" spans="36:41" x14ac:dyDescent="0.3">
      <c r="AJ193" s="13" t="str">
        <f t="shared" si="4"/>
        <v>ВВГнг(А)-FRLS (5х120) 2</v>
      </c>
      <c r="AK193" s="14" t="s">
        <v>96</v>
      </c>
      <c r="AL193" t="s">
        <v>145</v>
      </c>
      <c r="AM193">
        <v>5</v>
      </c>
      <c r="AN193">
        <v>120</v>
      </c>
      <c r="AO193">
        <v>2</v>
      </c>
    </row>
  </sheetData>
  <sheetProtection formatCells="0" formatColumns="0" formatRows="0"/>
  <mergeCells count="3">
    <mergeCell ref="L2:AG2"/>
    <mergeCell ref="AQ2:AS2"/>
    <mergeCell ref="AQ7:AS7"/>
  </mergeCells>
  <conditionalFormatting sqref="P9">
    <cfRule type="duplicateValues" dxfId="42" priority="23"/>
    <cfRule type="expression" dxfId="41" priority="24">
      <formula>_xlfn.ISFORMULA(P9)=TRUE</formula>
    </cfRule>
    <cfRule type="duplicateValues" dxfId="40" priority="25"/>
    <cfRule type="expression" dxfId="39" priority="26">
      <formula>_xlfn.ISFORMULA(P9)=TRUE</formula>
    </cfRule>
  </conditionalFormatting>
  <conditionalFormatting sqref="P12">
    <cfRule type="duplicateValues" dxfId="38" priority="18"/>
    <cfRule type="duplicateValues" dxfId="37" priority="19"/>
    <cfRule type="duplicateValues" dxfId="36" priority="20"/>
    <cfRule type="duplicateValues" dxfId="35" priority="21"/>
    <cfRule type="expression" dxfId="34" priority="22">
      <formula>_xlfn.ISFORMULA(P12)=TRUE</formula>
    </cfRule>
  </conditionalFormatting>
  <conditionalFormatting sqref="P14">
    <cfRule type="duplicateValues" dxfId="33" priority="14"/>
    <cfRule type="duplicateValues" dxfId="32" priority="15"/>
    <cfRule type="duplicateValues" dxfId="31" priority="16"/>
    <cfRule type="expression" dxfId="30" priority="17">
      <formula>_xlfn.ISFORMULA(P14)=TRUE</formula>
    </cfRule>
  </conditionalFormatting>
  <conditionalFormatting sqref="P18">
    <cfRule type="duplicateValues" dxfId="29" priority="6"/>
    <cfRule type="duplicateValues" dxfId="28" priority="7"/>
    <cfRule type="duplicateValues" dxfId="27" priority="8"/>
    <cfRule type="expression" dxfId="26" priority="9">
      <formula>_xlfn.ISFORMULA(P18)=TRUE</formula>
    </cfRule>
  </conditionalFormatting>
  <conditionalFormatting sqref="P45">
    <cfRule type="duplicateValues" dxfId="25" priority="31"/>
    <cfRule type="duplicateValues" dxfId="24" priority="32"/>
    <cfRule type="duplicateValues" dxfId="23" priority="33"/>
    <cfRule type="expression" dxfId="22" priority="34">
      <formula>_xlfn.ISFORMULA(P45)=TRUE</formula>
    </cfRule>
  </conditionalFormatting>
  <conditionalFormatting sqref="Q14">
    <cfRule type="duplicateValues" dxfId="21" priority="10"/>
    <cfRule type="duplicateValues" dxfId="20" priority="11"/>
    <cfRule type="duplicateValues" dxfId="19" priority="12"/>
    <cfRule type="expression" dxfId="18" priority="13">
      <formula>_xlfn.ISFORMULA(Q14)=TRUE</formula>
    </cfRule>
  </conditionalFormatting>
  <conditionalFormatting sqref="Q22:Q25">
    <cfRule type="expression" dxfId="17" priority="2">
      <formula>_xlfn.ISFORMULA(Q22)=TRUE</formula>
    </cfRule>
  </conditionalFormatting>
  <conditionalFormatting sqref="Q28">
    <cfRule type="expression" dxfId="16" priority="1">
      <formula>_xlfn.ISFORMULA(Q28)=TRUE</formula>
    </cfRule>
  </conditionalFormatting>
  <conditionalFormatting sqref="AV4:AV51">
    <cfRule type="expression" dxfId="15" priority="35">
      <formula>AND($AU4&lt;&gt;"",$AV4="")</formula>
    </cfRule>
  </conditionalFormatting>
  <dataValidations count="3">
    <dataValidation type="list" allowBlank="1" sqref="AV4:AV72" xr:uid="{00000000-0002-0000-0100-000000000000}">
      <formula1>$BA$4:$BA$30</formula1>
    </dataValidation>
    <dataValidation type="list" allowBlank="1" sqref="AW4:AW72" xr:uid="{00000000-0002-0000-0100-000001000000}">
      <formula1>"да,нет"</formula1>
    </dataValidation>
    <dataValidation type="list" allowBlank="1" showInputMessage="1" showErrorMessage="1" sqref="BD4:BD51" xr:uid="{AAC5CEFD-CD4F-4B7C-BC57-8D7418F9F485}">
      <formula1>"да,нет"</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FFF9F-C546-4F8F-85CB-50587610B004}">
  <sheetPr codeName="Лист16">
    <tabColor rgb="FF7030A0"/>
  </sheetPr>
  <dimension ref="B1:AD352"/>
  <sheetViews>
    <sheetView workbookViewId="0"/>
  </sheetViews>
  <sheetFormatPr defaultRowHeight="14.4" x14ac:dyDescent="0.3"/>
  <cols>
    <col min="2" max="2" width="34.77734375" customWidth="1"/>
    <col min="3" max="9" width="13.77734375" customWidth="1"/>
    <col min="27" max="31" width="0" hidden="1" customWidth="1"/>
  </cols>
  <sheetData>
    <row r="1" spans="2:30" ht="18" x14ac:dyDescent="0.35">
      <c r="B1" s="112" t="s">
        <v>1748</v>
      </c>
    </row>
    <row r="2" spans="2:30" x14ac:dyDescent="0.3">
      <c r="AA2" t="s">
        <v>1751</v>
      </c>
      <c r="AB2" t="s">
        <v>1752</v>
      </c>
      <c r="AC2" t="s">
        <v>1753</v>
      </c>
      <c r="AD2" t="s">
        <v>1754</v>
      </c>
    </row>
    <row r="3" spans="2:30" x14ac:dyDescent="0.3">
      <c r="B3" t="s">
        <v>1750</v>
      </c>
      <c r="C3" s="113" t="s">
        <v>783</v>
      </c>
      <c r="D3" t="str">
        <f>"Вводов: "&amp;_xlfn.XLOOKUP($C$3,Щиты[Щит],Щиты[Вводов],"")&amp;", АВР: "&amp;_xlfn.XLOOKUP($C$3,Щиты[Щит],Щиты[АВР],"")&amp;", ИБП питается от: "&amp;_xlfn.XLOOKUP($C$3,Щиты[Щит],Щиты[ИБП от],"Ввод 1")</f>
        <v>Вводов: 2, АВР: да, ИБП питается от: Ввод 1</v>
      </c>
      <c r="E3" t="s">
        <v>1749</v>
      </c>
      <c r="AA3" cm="1">
        <f t="array" ref="AA3:AA352">--(ISNUMBER(SEARCH("|"&amp;$C$3&amp;"|",Линии[_путь щита]))*(Линии[Номер линии]&lt;&gt;""))</f>
        <v>1</v>
      </c>
      <c r="AB3" t="str" cm="1">
        <f t="array" ref="AB3:AB352">IFERROR(_xlfn.TEXTBEFORE(_xlfn.TEXTAFTER(Линии[_путь щита],"|"&amp;$C$3&amp;"|"),"|"),"")</f>
        <v/>
      </c>
      <c r="AC3" t="str" cm="1">
        <f t="array" ref="AC3:AC352">IF(_xlfn.ANCHORARRAY(AB3)="",Линии[Источник для режимов],_xlfn.XLOOKUP(_xlfn.ANCHORARRAY(AB3),Щиты[Щит],Щиты[Источник фидера],"Ввод 1"))</f>
        <v>Ввод 1</v>
      </c>
      <c r="AD3" t="str" cm="1">
        <f t="array" ref="AD3:AD352">IF(_xlfn.ANCHORARRAY(AB3)="",Линии[Пожарная (итог)],IF(_xlfn.XLOOKUP(_xlfn.ANCHORARRAY(AB3),Щиты[Щит],Щиты[Пожарный фидер],"нет")="да","да",Линии[Пожарная (итог)]))</f>
        <v>нет</v>
      </c>
    </row>
    <row r="4" spans="2:30" x14ac:dyDescent="0.3">
      <c r="AA4">
        <v>1</v>
      </c>
      <c r="AB4" t="str">
        <v/>
      </c>
      <c r="AC4" t="str">
        <v>Ввод 2</v>
      </c>
      <c r="AD4" t="str">
        <v>нет</v>
      </c>
    </row>
    <row r="5" spans="2:30" x14ac:dyDescent="0.3">
      <c r="B5" t="s">
        <v>1755</v>
      </c>
      <c r="C5" cm="1">
        <f t="array" ref="C5">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fn.LET(_xlpm.r,_xlpm.РАСЧЁТ(_xlfn.ANCHORARRAY(AA3)*(_xlfn.ANCHORARRAY(AC3)="ИБП")*(_xlfn.ANCHORARRAY(AD3)="нет"),0,0),INDEX(_xlpm.r,5)/ИБП_КПД*(1+ИБП_заряд)))</f>
        <v>0</v>
      </c>
      <c r="D5">
        <f>C5*TAN(ACOS(ИБП_cos_вх))</f>
        <v>0</v>
      </c>
      <c r="E5" s="120" t="str">
        <f>_xlfn.XLOOKUP($C$3,Щиты[Щит],Щиты[ИБП от],"Ввод 1")&amp;""</f>
        <v>Ввод 1</v>
      </c>
      <c r="AA5">
        <v>1</v>
      </c>
      <c r="AB5" t="str">
        <v/>
      </c>
      <c r="AC5" t="str">
        <v>Ввод 1</v>
      </c>
      <c r="AD5" t="str">
        <v>да</v>
      </c>
    </row>
    <row r="6" spans="2:30" x14ac:dyDescent="0.3">
      <c r="AA6">
        <v>1</v>
      </c>
      <c r="AB6" t="str">
        <v/>
      </c>
      <c r="AC6" t="str">
        <v>Ввод 2</v>
      </c>
      <c r="AD6" t="str">
        <v>да</v>
      </c>
    </row>
    <row r="7" spans="2:30" x14ac:dyDescent="0.3">
      <c r="B7" s="36" t="s">
        <v>1756</v>
      </c>
      <c r="AA7">
        <v>1</v>
      </c>
      <c r="AB7" t="str">
        <v/>
      </c>
      <c r="AC7" t="str">
        <v>Ввод 1</v>
      </c>
      <c r="AD7" t="str">
        <v>нет</v>
      </c>
    </row>
    <row r="8" spans="2:30" x14ac:dyDescent="0.3">
      <c r="B8" s="121" t="s">
        <v>800</v>
      </c>
      <c r="C8" s="122" t="s">
        <v>835</v>
      </c>
      <c r="D8" s="122" t="s">
        <v>844</v>
      </c>
      <c r="E8" s="122" t="s">
        <v>845</v>
      </c>
      <c r="F8" s="122" t="s">
        <v>846</v>
      </c>
      <c r="G8" s="122" t="s">
        <v>847</v>
      </c>
      <c r="H8" s="122" t="s">
        <v>1757</v>
      </c>
      <c r="AA8">
        <v>1</v>
      </c>
      <c r="AB8" t="str">
        <v/>
      </c>
      <c r="AC8" t="str">
        <v>Ввод 2</v>
      </c>
      <c r="AD8" t="str">
        <v>нет</v>
      </c>
    </row>
    <row r="9" spans="2:30" x14ac:dyDescent="0.3">
      <c r="B9" t="s">
        <v>803</v>
      </c>
      <c r="C9" s="6" cm="1">
        <f t="array" ref="C9:C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1")*(_xlfn.ANCHORARRAY(AD3)="нет"),IF(OR($E$5="Ввод 1"),$C$5,0),IF(OR($E$5="Ввод 1"),$D$5,0)))</f>
        <v>262.78100000000052</v>
      </c>
      <c r="D9" s="6" cm="1">
        <f t="array" ref="D9:D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2")*(_xlfn.ANCHORARRAY(AD3)="нет"),IF(OR($E$5="Ввод 2"),$C$5,0),IF(OR($E$5="Ввод 2"),$D$5,0)))</f>
        <v>261.90000000000026</v>
      </c>
      <c r="E9" s="6" cm="1">
        <f t="array" ref="E9:E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3")*(_xlfn.ANCHORARRAY(AD3)="нет"),IF(OR($E$5="Ввод 3"),$C$5,0),IF(OR($E$5="Ввод 3"),$D$5,0)))</f>
        <v>0</v>
      </c>
      <c r="F9" s="6" cm="1">
        <f t="array" ref="F9:F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ИБП")*(_xlfn.ANCHORARRAY(AD3)="нет"),0,0))</f>
        <v>0</v>
      </c>
      <c r="G9" s="6" cm="1">
        <f t="array" ref="G9:G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ДГУ")*(_xlfn.ANCHORARRAY(AD3)="нет"),0,0))</f>
        <v>0</v>
      </c>
      <c r="H9" s="6" cm="1">
        <f t="array" ref="H9:H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2")+(_xlfn.ANCHORARRAY(AC3)="Ввод 3"))*(_xlfn.ANCHORARRAY(AD3)="нет"),IF(OR($E$5="Ввод 1",$E$5="Ввод 2",$E$5="Ввод 3"),$C$5,0),IF(OR($E$5="Ввод 1",$E$5="Ввод 2",$E$5="Ввод 3"),$D$5,0)))</f>
        <v>524.68100000000049</v>
      </c>
      <c r="AA9">
        <v>1</v>
      </c>
      <c r="AB9" t="str">
        <v/>
      </c>
      <c r="AC9" t="str">
        <v>Ввод 1</v>
      </c>
      <c r="AD9" t="str">
        <v>нет</v>
      </c>
    </row>
    <row r="10" spans="2:30" x14ac:dyDescent="0.3">
      <c r="B10" t="s">
        <v>1758</v>
      </c>
      <c r="C10" s="6">
        <v>0.6037681491432022</v>
      </c>
      <c r="D10" s="6">
        <v>0.47141665521191239</v>
      </c>
      <c r="E10" s="6">
        <v>0</v>
      </c>
      <c r="F10" s="6">
        <v>0</v>
      </c>
      <c r="G10" s="6">
        <v>0</v>
      </c>
      <c r="H10" s="6">
        <v>0.52384563420440133</v>
      </c>
      <c r="AA10">
        <v>1</v>
      </c>
      <c r="AB10" t="str">
        <v/>
      </c>
      <c r="AC10" t="str">
        <v>Ввод 1</v>
      </c>
      <c r="AD10" t="str">
        <v>нет</v>
      </c>
    </row>
    <row r="11" spans="2:30" x14ac:dyDescent="0.3">
      <c r="B11" t="s">
        <v>801</v>
      </c>
      <c r="C11" s="6">
        <v>0.83686624984302405</v>
      </c>
      <c r="D11" s="6">
        <v>0.82012600229094945</v>
      </c>
      <c r="E11" s="6">
        <v>0</v>
      </c>
      <c r="F11" s="6">
        <v>0</v>
      </c>
      <c r="G11" s="6">
        <v>0</v>
      </c>
      <c r="H11" s="6">
        <v>0.82851018047156155</v>
      </c>
      <c r="AA11">
        <v>1</v>
      </c>
      <c r="AB11" t="str">
        <v/>
      </c>
      <c r="AC11" t="str">
        <v>Ввод 2</v>
      </c>
      <c r="AD11" t="str">
        <v>нет</v>
      </c>
    </row>
    <row r="12" spans="2:30" x14ac:dyDescent="0.3">
      <c r="B12" t="s">
        <v>812</v>
      </c>
      <c r="C12" s="6">
        <v>0.6541157763463914</v>
      </c>
      <c r="D12" s="6">
        <v>0.69767689229620955</v>
      </c>
      <c r="E12" s="6">
        <v>0</v>
      </c>
      <c r="F12" s="6">
        <v>0</v>
      </c>
      <c r="G12" s="6">
        <v>0</v>
      </c>
      <c r="H12" s="6">
        <v>0.67588065102723538</v>
      </c>
      <c r="AA12">
        <v>1</v>
      </c>
      <c r="AB12" t="str">
        <v/>
      </c>
      <c r="AC12" t="str">
        <v>Ввод 1</v>
      </c>
      <c r="AD12" t="str">
        <v>нет</v>
      </c>
    </row>
    <row r="13" spans="2:30" x14ac:dyDescent="0.3">
      <c r="B13" t="s">
        <v>841</v>
      </c>
      <c r="C13" s="6">
        <v>158.65879800000013</v>
      </c>
      <c r="D13" s="6">
        <v>123.46402199999999</v>
      </c>
      <c r="E13" s="6">
        <v>0</v>
      </c>
      <c r="F13" s="6">
        <v>0</v>
      </c>
      <c r="G13" s="6">
        <v>0</v>
      </c>
      <c r="H13" s="6">
        <v>274.85185119999977</v>
      </c>
      <c r="AA13">
        <v>1</v>
      </c>
      <c r="AB13" t="str">
        <v/>
      </c>
      <c r="AC13" t="str">
        <v>Ввод 1</v>
      </c>
      <c r="AD13" t="str">
        <v>нет</v>
      </c>
    </row>
    <row r="14" spans="2:30" x14ac:dyDescent="0.3">
      <c r="B14" t="s">
        <v>842</v>
      </c>
      <c r="C14" s="6">
        <v>103.78122282795538</v>
      </c>
      <c r="D14" s="6">
        <v>86.137995179350838</v>
      </c>
      <c r="E14" s="6">
        <v>0</v>
      </c>
      <c r="F14" s="6">
        <v>0</v>
      </c>
      <c r="G14" s="6">
        <v>0</v>
      </c>
      <c r="H14" s="6">
        <v>185.76704812509666</v>
      </c>
      <c r="AA14">
        <v>1</v>
      </c>
      <c r="AB14" t="str">
        <v/>
      </c>
      <c r="AC14" t="str">
        <v>Ввод 2</v>
      </c>
      <c r="AD14" t="str">
        <v>нет</v>
      </c>
    </row>
    <row r="15" spans="2:30" x14ac:dyDescent="0.3">
      <c r="B15" t="s">
        <v>843</v>
      </c>
      <c r="C15" s="6">
        <v>189.58680437854997</v>
      </c>
      <c r="D15" s="6">
        <v>150.54274788887824</v>
      </c>
      <c r="E15" s="6">
        <v>0</v>
      </c>
      <c r="F15" s="6">
        <v>0</v>
      </c>
      <c r="G15" s="6">
        <v>0</v>
      </c>
      <c r="H15" s="6">
        <v>331.74227387714518</v>
      </c>
      <c r="AA15">
        <v>1</v>
      </c>
      <c r="AB15" t="str">
        <v/>
      </c>
      <c r="AC15" t="str">
        <v>Ввод 1</v>
      </c>
      <c r="AD15" t="str">
        <v>нет</v>
      </c>
    </row>
    <row r="16" spans="2:30" x14ac:dyDescent="0.3">
      <c r="B16" t="s">
        <v>805</v>
      </c>
      <c r="C16" s="6">
        <v>273.64498135689189</v>
      </c>
      <c r="D16" s="6">
        <v>217.28974004547453</v>
      </c>
      <c r="E16" s="6">
        <v>0</v>
      </c>
      <c r="F16" s="6">
        <v>0</v>
      </c>
      <c r="G16" s="6">
        <v>0</v>
      </c>
      <c r="H16" s="6">
        <v>478.82872781137081</v>
      </c>
      <c r="AA16">
        <v>1</v>
      </c>
      <c r="AB16" t="str">
        <v/>
      </c>
      <c r="AC16" t="str">
        <v>Ввод 1</v>
      </c>
      <c r="AD16" t="str">
        <v>нет</v>
      </c>
    </row>
    <row r="17" spans="2:30" x14ac:dyDescent="0.3">
      <c r="AA17">
        <v>1</v>
      </c>
      <c r="AB17" t="str">
        <v/>
      </c>
      <c r="AC17" t="str">
        <v>Ввод 2</v>
      </c>
      <c r="AD17" t="str">
        <v>нет</v>
      </c>
    </row>
    <row r="18" spans="2:30" x14ac:dyDescent="0.3">
      <c r="B18" s="36" t="s">
        <v>1759</v>
      </c>
      <c r="AA18">
        <v>1</v>
      </c>
      <c r="AB18" t="str">
        <v/>
      </c>
      <c r="AC18" t="str">
        <v>Ввод 2</v>
      </c>
      <c r="AD18" t="str">
        <v>нет</v>
      </c>
    </row>
    <row r="19" spans="2:30" x14ac:dyDescent="0.3">
      <c r="B19" s="121" t="s">
        <v>800</v>
      </c>
      <c r="C19" s="122" t="s">
        <v>844</v>
      </c>
      <c r="D19" s="122" t="s">
        <v>845</v>
      </c>
      <c r="AA19">
        <v>1</v>
      </c>
      <c r="AB19" t="str">
        <v/>
      </c>
      <c r="AC19" t="str">
        <v>Ввод 2</v>
      </c>
      <c r="AD19" t="str">
        <v>нет</v>
      </c>
    </row>
    <row r="20" spans="2:30" x14ac:dyDescent="0.3">
      <c r="B20" t="s">
        <v>803</v>
      </c>
      <c r="C20" s="6" cm="1">
        <f t="array" ref="C20:C27">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2"))*(_xlfn.ANCHORARRAY(AD3)="нет"),IF(OR($E$5="Ввод 1",$E$5="Ввод 2"),$C$5,0),IF(OR($E$5="Ввод 1",$E$5="Ввод 2"),$D$5,0)))</f>
        <v>524.68100000000049</v>
      </c>
      <c r="D20" s="6" cm="1">
        <f t="array" ref="D20:D27">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3")*(_xlfn.ANCHORARRAY(AD3)="нет"),IF(OR($E$5="Ввод 3"),$C$5,0),IF(OR($E$5="Ввод 3"),$D$5,0)))</f>
        <v>0</v>
      </c>
      <c r="AA20">
        <v>1</v>
      </c>
      <c r="AB20" t="str">
        <v/>
      </c>
      <c r="AC20" t="str">
        <v>Ввод 1</v>
      </c>
      <c r="AD20" t="str">
        <v>нет</v>
      </c>
    </row>
    <row r="21" spans="2:30" x14ac:dyDescent="0.3">
      <c r="B21" t="s">
        <v>1758</v>
      </c>
      <c r="C21" s="6">
        <v>0.52384563420440133</v>
      </c>
      <c r="D21" s="6">
        <v>0</v>
      </c>
      <c r="AA21">
        <v>1</v>
      </c>
      <c r="AB21" t="str">
        <v/>
      </c>
      <c r="AC21" t="str">
        <v>Ввод 1</v>
      </c>
      <c r="AD21" t="str">
        <v>нет</v>
      </c>
    </row>
    <row r="22" spans="2:30" x14ac:dyDescent="0.3">
      <c r="B22" t="s">
        <v>801</v>
      </c>
      <c r="C22" s="6">
        <v>0.82851018047156155</v>
      </c>
      <c r="D22" s="6">
        <v>0</v>
      </c>
      <c r="AA22">
        <v>1</v>
      </c>
      <c r="AB22" t="str">
        <v/>
      </c>
      <c r="AC22" t="str">
        <v>Ввод 1</v>
      </c>
      <c r="AD22" t="str">
        <v>нет</v>
      </c>
    </row>
    <row r="23" spans="2:30" x14ac:dyDescent="0.3">
      <c r="B23" t="s">
        <v>812</v>
      </c>
      <c r="C23" s="6">
        <v>0.67588065102723538</v>
      </c>
      <c r="D23" s="6">
        <v>0</v>
      </c>
      <c r="AA23">
        <v>1</v>
      </c>
      <c r="AB23" t="str">
        <v/>
      </c>
      <c r="AC23" t="str">
        <v>Ввод 2</v>
      </c>
      <c r="AD23" t="str">
        <v>нет</v>
      </c>
    </row>
    <row r="24" spans="2:30" x14ac:dyDescent="0.3">
      <c r="B24" t="s">
        <v>841</v>
      </c>
      <c r="C24" s="6">
        <v>274.85185119999977</v>
      </c>
      <c r="D24" s="6">
        <v>0</v>
      </c>
      <c r="AA24">
        <v>1</v>
      </c>
      <c r="AB24" t="str">
        <v/>
      </c>
      <c r="AC24" t="str">
        <v>Ввод 2</v>
      </c>
      <c r="AD24" t="str">
        <v>нет</v>
      </c>
    </row>
    <row r="25" spans="2:30" x14ac:dyDescent="0.3">
      <c r="B25" t="s">
        <v>842</v>
      </c>
      <c r="C25" s="6">
        <v>185.76704812509666</v>
      </c>
      <c r="D25" s="6">
        <v>0</v>
      </c>
      <c r="AA25">
        <v>1</v>
      </c>
      <c r="AB25" t="str">
        <v/>
      </c>
      <c r="AC25" t="str">
        <v>Ввод 1</v>
      </c>
      <c r="AD25" t="str">
        <v>нет</v>
      </c>
    </row>
    <row r="26" spans="2:30" x14ac:dyDescent="0.3">
      <c r="B26" t="s">
        <v>843</v>
      </c>
      <c r="C26" s="6">
        <v>331.74227387714518</v>
      </c>
      <c r="D26" s="6">
        <v>0</v>
      </c>
      <c r="AA26">
        <v>1</v>
      </c>
      <c r="AB26" t="str">
        <v>ЩГП</v>
      </c>
      <c r="AC26" t="str">
        <v>Ввод 1</v>
      </c>
      <c r="AD26" t="str">
        <v>нет</v>
      </c>
    </row>
    <row r="27" spans="2:30" x14ac:dyDescent="0.3">
      <c r="B27" t="s">
        <v>805</v>
      </c>
      <c r="C27" s="6">
        <v>478.82872781137081</v>
      </c>
      <c r="D27" s="6">
        <v>0</v>
      </c>
      <c r="AA27">
        <v>1</v>
      </c>
      <c r="AB27" t="str">
        <v>ЩГП</v>
      </c>
      <c r="AC27" t="str">
        <v>Ввод 1</v>
      </c>
      <c r="AD27" t="str">
        <v>нет</v>
      </c>
    </row>
    <row r="28" spans="2:30" x14ac:dyDescent="0.3">
      <c r="AA28">
        <v>1</v>
      </c>
      <c r="AB28" t="str">
        <v>ЩГП</v>
      </c>
      <c r="AC28" t="str">
        <v>Ввод 1</v>
      </c>
      <c r="AD28" t="str">
        <v>нет</v>
      </c>
    </row>
    <row r="29" spans="2:30" x14ac:dyDescent="0.3">
      <c r="B29" s="36" t="s">
        <v>1760</v>
      </c>
      <c r="AA29">
        <v>1</v>
      </c>
      <c r="AB29" t="str">
        <v>ЩГП</v>
      </c>
      <c r="AC29" t="str">
        <v>Ввод 1</v>
      </c>
      <c r="AD29" t="str">
        <v>нет</v>
      </c>
    </row>
    <row r="30" spans="2:30" x14ac:dyDescent="0.3">
      <c r="B30" s="121" t="s">
        <v>800</v>
      </c>
      <c r="C30" s="122" t="s">
        <v>835</v>
      </c>
      <c r="D30" s="122" t="s">
        <v>845</v>
      </c>
      <c r="AA30">
        <v>1</v>
      </c>
      <c r="AB30" t="str">
        <v>ЩГП</v>
      </c>
      <c r="AC30" t="str">
        <v>Ввод 1</v>
      </c>
      <c r="AD30" t="str">
        <v>нет</v>
      </c>
    </row>
    <row r="31" spans="2:30" x14ac:dyDescent="0.3">
      <c r="B31" t="s">
        <v>803</v>
      </c>
      <c r="C31" s="6" cm="1">
        <f t="array" ref="C31:C38">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2"))*(_xlfn.ANCHORARRAY(AD3)="нет"),IF(OR($E$5="Ввод 1",$E$5="Ввод 2"),$C$5,0),IF(OR($E$5="Ввод 1",$E$5="Ввод 2"),$D$5,0)))</f>
        <v>524.68100000000049</v>
      </c>
      <c r="D31" s="6" cm="1">
        <f t="array" ref="D31:D38">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3")*(_xlfn.ANCHORARRAY(AD3)="нет"),IF(OR($E$5="Ввод 3"),$C$5,0),IF(OR($E$5="Ввод 3"),$D$5,0)))</f>
        <v>0</v>
      </c>
      <c r="AA31">
        <v>1</v>
      </c>
      <c r="AB31" t="str">
        <v>ЩГП</v>
      </c>
      <c r="AC31" t="str">
        <v>Ввод 1</v>
      </c>
      <c r="AD31" t="str">
        <v>нет</v>
      </c>
    </row>
    <row r="32" spans="2:30" x14ac:dyDescent="0.3">
      <c r="B32" t="s">
        <v>1758</v>
      </c>
      <c r="C32" s="6">
        <v>0.52384563420440133</v>
      </c>
      <c r="D32" s="6">
        <v>0</v>
      </c>
      <c r="AA32">
        <v>1</v>
      </c>
      <c r="AB32" t="str">
        <v>ЩГП</v>
      </c>
      <c r="AC32" t="str">
        <v>Ввод 1</v>
      </c>
      <c r="AD32" t="str">
        <v>нет</v>
      </c>
    </row>
    <row r="33" spans="2:30" x14ac:dyDescent="0.3">
      <c r="B33" t="s">
        <v>801</v>
      </c>
      <c r="C33" s="6">
        <v>0.82851018047156155</v>
      </c>
      <c r="D33" s="6">
        <v>0</v>
      </c>
      <c r="AA33">
        <v>1</v>
      </c>
      <c r="AB33" t="str">
        <v>ЩГП</v>
      </c>
      <c r="AC33" t="str">
        <v>Ввод 1</v>
      </c>
      <c r="AD33" t="str">
        <v>нет</v>
      </c>
    </row>
    <row r="34" spans="2:30" x14ac:dyDescent="0.3">
      <c r="B34" t="s">
        <v>812</v>
      </c>
      <c r="C34" s="6">
        <v>0.67588065102723538</v>
      </c>
      <c r="D34" s="6">
        <v>0</v>
      </c>
      <c r="AA34">
        <v>1</v>
      </c>
      <c r="AB34" t="str">
        <v>ЩГП</v>
      </c>
      <c r="AC34" t="str">
        <v>Ввод 1</v>
      </c>
      <c r="AD34" t="str">
        <v>нет</v>
      </c>
    </row>
    <row r="35" spans="2:30" x14ac:dyDescent="0.3">
      <c r="B35" t="s">
        <v>841</v>
      </c>
      <c r="C35" s="6">
        <v>274.85185119999977</v>
      </c>
      <c r="D35" s="6">
        <v>0</v>
      </c>
      <c r="AA35">
        <v>1</v>
      </c>
      <c r="AB35" t="str">
        <v>ЩГП</v>
      </c>
      <c r="AC35" t="str">
        <v>Ввод 1</v>
      </c>
      <c r="AD35" t="str">
        <v>нет</v>
      </c>
    </row>
    <row r="36" spans="2:30" x14ac:dyDescent="0.3">
      <c r="B36" t="s">
        <v>842</v>
      </c>
      <c r="C36" s="6">
        <v>185.76704812509666</v>
      </c>
      <c r="D36" s="6">
        <v>0</v>
      </c>
      <c r="AA36">
        <v>1</v>
      </c>
      <c r="AB36" t="str">
        <v>ЩГП</v>
      </c>
      <c r="AC36" t="str">
        <v>Ввод 1</v>
      </c>
      <c r="AD36" t="str">
        <v>нет</v>
      </c>
    </row>
    <row r="37" spans="2:30" x14ac:dyDescent="0.3">
      <c r="B37" t="s">
        <v>843</v>
      </c>
      <c r="C37" s="6">
        <v>331.74227387714518</v>
      </c>
      <c r="D37" s="6">
        <v>0</v>
      </c>
      <c r="AA37">
        <v>1</v>
      </c>
      <c r="AB37" t="str">
        <v>ЩГП</v>
      </c>
      <c r="AC37" t="str">
        <v>Ввод 1</v>
      </c>
      <c r="AD37" t="str">
        <v>нет</v>
      </c>
    </row>
    <row r="38" spans="2:30" x14ac:dyDescent="0.3">
      <c r="B38" t="s">
        <v>805</v>
      </c>
      <c r="C38" s="6">
        <v>478.82872781137081</v>
      </c>
      <c r="D38" s="6">
        <v>0</v>
      </c>
      <c r="AA38">
        <v>1</v>
      </c>
      <c r="AB38" t="str">
        <v>ЩГП</v>
      </c>
      <c r="AC38" t="str">
        <v>Ввод 1</v>
      </c>
      <c r="AD38" t="str">
        <v>нет</v>
      </c>
    </row>
    <row r="39" spans="2:30" x14ac:dyDescent="0.3">
      <c r="AA39">
        <v>1</v>
      </c>
      <c r="AB39" t="str">
        <v>ЩГП</v>
      </c>
      <c r="AC39" t="str">
        <v>Ввод 1</v>
      </c>
      <c r="AD39" t="str">
        <v>нет</v>
      </c>
    </row>
    <row r="40" spans="2:30" x14ac:dyDescent="0.3">
      <c r="B40" s="36" t="s">
        <v>1761</v>
      </c>
      <c r="AA40">
        <v>1</v>
      </c>
      <c r="AB40" t="str">
        <v>ЩГП</v>
      </c>
      <c r="AC40" t="str">
        <v>Ввод 1</v>
      </c>
      <c r="AD40" t="str">
        <v>нет</v>
      </c>
    </row>
    <row r="41" spans="2:30" x14ac:dyDescent="0.3">
      <c r="B41" s="121" t="s">
        <v>800</v>
      </c>
      <c r="C41" s="122" t="s">
        <v>846</v>
      </c>
      <c r="D41" s="122" t="s">
        <v>847</v>
      </c>
      <c r="AA41">
        <v>1</v>
      </c>
      <c r="AB41" t="str">
        <v>ЩГП</v>
      </c>
      <c r="AC41" t="str">
        <v>Ввод 1</v>
      </c>
      <c r="AD41" t="str">
        <v>нет</v>
      </c>
    </row>
    <row r="42" spans="2:30" x14ac:dyDescent="0.3">
      <c r="B42" t="s">
        <v>803</v>
      </c>
      <c r="C42" s="6" cm="1">
        <f t="array" ref="C42:C49">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ИБП")*(_xlfn.ANCHORARRAY(AD3)="нет"),0,0))</f>
        <v>0</v>
      </c>
      <c r="D42" s="6" cm="1">
        <f t="array" ref="D42:D49">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ДГУ")*(_xlfn.ANCHORARRAY(AD3)="нет"),0,0))</f>
        <v>0</v>
      </c>
      <c r="AA42">
        <v>1</v>
      </c>
      <c r="AB42" t="str">
        <v>ЩГП</v>
      </c>
      <c r="AC42" t="str">
        <v>Ввод 1</v>
      </c>
      <c r="AD42" t="str">
        <v>нет</v>
      </c>
    </row>
    <row r="43" spans="2:30" x14ac:dyDescent="0.3">
      <c r="B43" t="s">
        <v>1758</v>
      </c>
      <c r="C43" s="6">
        <v>0</v>
      </c>
      <c r="D43" s="6">
        <v>0</v>
      </c>
      <c r="AA43">
        <v>1</v>
      </c>
      <c r="AB43" t="str">
        <v>ЩГП</v>
      </c>
      <c r="AC43" t="str">
        <v>Ввод 1</v>
      </c>
      <c r="AD43" t="str">
        <v>нет</v>
      </c>
    </row>
    <row r="44" spans="2:30" x14ac:dyDescent="0.3">
      <c r="B44" t="s">
        <v>801</v>
      </c>
      <c r="C44" s="6">
        <v>0</v>
      </c>
      <c r="D44" s="6">
        <v>0</v>
      </c>
      <c r="AA44">
        <v>1</v>
      </c>
      <c r="AB44" t="str">
        <v>ЩГП</v>
      </c>
      <c r="AC44" t="str">
        <v>Ввод 1</v>
      </c>
      <c r="AD44" t="str">
        <v>нет</v>
      </c>
    </row>
    <row r="45" spans="2:30" x14ac:dyDescent="0.3">
      <c r="B45" t="s">
        <v>812</v>
      </c>
      <c r="C45" s="6">
        <v>0</v>
      </c>
      <c r="D45" s="6">
        <v>0</v>
      </c>
      <c r="AA45">
        <v>1</v>
      </c>
      <c r="AB45" t="str">
        <v>ЩГП</v>
      </c>
      <c r="AC45" t="str">
        <v>Ввод 1</v>
      </c>
      <c r="AD45" t="str">
        <v>нет</v>
      </c>
    </row>
    <row r="46" spans="2:30" x14ac:dyDescent="0.3">
      <c r="B46" t="s">
        <v>841</v>
      </c>
      <c r="C46" s="6">
        <v>0</v>
      </c>
      <c r="D46" s="6">
        <v>0</v>
      </c>
      <c r="AA46">
        <v>1</v>
      </c>
      <c r="AB46" t="str">
        <v>ЩГП</v>
      </c>
      <c r="AC46" t="str">
        <v>Ввод 1</v>
      </c>
      <c r="AD46" t="str">
        <v>нет</v>
      </c>
    </row>
    <row r="47" spans="2:30" x14ac:dyDescent="0.3">
      <c r="B47" t="s">
        <v>842</v>
      </c>
      <c r="C47" s="6">
        <v>0</v>
      </c>
      <c r="D47" s="6">
        <v>0</v>
      </c>
      <c r="AA47">
        <v>1</v>
      </c>
      <c r="AB47" t="str">
        <v>ЩГП</v>
      </c>
      <c r="AC47" t="str">
        <v>Ввод 1</v>
      </c>
      <c r="AD47" t="str">
        <v>нет</v>
      </c>
    </row>
    <row r="48" spans="2:30" x14ac:dyDescent="0.3">
      <c r="B48" t="s">
        <v>843</v>
      </c>
      <c r="C48" s="6">
        <v>0</v>
      </c>
      <c r="D48" s="6">
        <v>0</v>
      </c>
      <c r="AA48">
        <v>1</v>
      </c>
      <c r="AB48" t="str">
        <v>ЩГП</v>
      </c>
      <c r="AC48" t="str">
        <v>Ввод 1</v>
      </c>
      <c r="AD48" t="str">
        <v>нет</v>
      </c>
    </row>
    <row r="49" spans="2:30" x14ac:dyDescent="0.3">
      <c r="B49" t="s">
        <v>805</v>
      </c>
      <c r="C49" s="6">
        <v>0</v>
      </c>
      <c r="D49" s="6">
        <v>0</v>
      </c>
      <c r="AA49">
        <v>1</v>
      </c>
      <c r="AB49" t="str">
        <v>ЩГП</v>
      </c>
      <c r="AC49" t="str">
        <v>Ввод 1</v>
      </c>
      <c r="AD49" t="str">
        <v>нет</v>
      </c>
    </row>
    <row r="50" spans="2:30" x14ac:dyDescent="0.3">
      <c r="AA50">
        <v>1</v>
      </c>
      <c r="AB50" t="str">
        <v>ЩГП</v>
      </c>
      <c r="AC50" t="str">
        <v>Ввод 1</v>
      </c>
      <c r="AD50" t="str">
        <v>нет</v>
      </c>
    </row>
    <row r="51" spans="2:30" x14ac:dyDescent="0.3">
      <c r="B51" s="36" t="s">
        <v>1762</v>
      </c>
      <c r="AA51">
        <v>1</v>
      </c>
      <c r="AB51" t="str">
        <v>ЩГП</v>
      </c>
      <c r="AC51" t="str">
        <v>Ввод 1</v>
      </c>
      <c r="AD51" t="str">
        <v>нет</v>
      </c>
    </row>
    <row r="52" spans="2:30" x14ac:dyDescent="0.3">
      <c r="B52" s="121" t="s">
        <v>800</v>
      </c>
      <c r="C52" s="122" t="s">
        <v>835</v>
      </c>
      <c r="D52" s="122" t="s">
        <v>844</v>
      </c>
      <c r="E52" s="122" t="s">
        <v>845</v>
      </c>
      <c r="F52" s="122" t="s">
        <v>846</v>
      </c>
      <c r="G52" s="122" t="s">
        <v>847</v>
      </c>
      <c r="H52" s="122" t="s">
        <v>848</v>
      </c>
      <c r="AA52">
        <v>1</v>
      </c>
      <c r="AB52" t="str">
        <v>ЩГП</v>
      </c>
      <c r="AC52" t="str">
        <v>Ввод 1</v>
      </c>
      <c r="AD52" t="str">
        <v>нет</v>
      </c>
    </row>
    <row r="53" spans="2:30" x14ac:dyDescent="0.3">
      <c r="B53" t="s">
        <v>803</v>
      </c>
      <c r="C53" s="6" cm="1">
        <f t="array" ref="C53:C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1")*(_xlfn.ANCHORARRAY(AD3)="да"),0,0))</f>
        <v>1.6</v>
      </c>
      <c r="D53" s="6" cm="1">
        <f t="array" ref="D53:D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2")*(_xlfn.ANCHORARRAY(AD3)="да"),0,0))</f>
        <v>0</v>
      </c>
      <c r="E53" s="6" cm="1">
        <f t="array" ref="E53:E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3")*(_xlfn.ANCHORARRAY(AD3)="да"),0,0))</f>
        <v>0</v>
      </c>
      <c r="F53" s="6" cm="1">
        <f t="array" ref="F53:F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ИБП")*(_xlfn.ANCHORARRAY(AD3)="да"),0,0))</f>
        <v>0</v>
      </c>
      <c r="G53" s="6" cm="1">
        <f t="array" ref="G53:G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ДГУ")*(_xlfn.ANCHORARRAY(AD3)="да"),0,0))</f>
        <v>0</v>
      </c>
      <c r="H53" s="6" cm="1">
        <f t="array" ref="H53:H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D3)="да"),0,0))</f>
        <v>1.6</v>
      </c>
      <c r="AA53">
        <v>1</v>
      </c>
      <c r="AB53" t="str">
        <v>ЩОВ-001</v>
      </c>
      <c r="AC53" t="str">
        <v>Ввод 2</v>
      </c>
      <c r="AD53" t="str">
        <v>нет</v>
      </c>
    </row>
    <row r="54" spans="2:30" x14ac:dyDescent="0.3">
      <c r="B54" t="s">
        <v>1758</v>
      </c>
      <c r="C54" s="6">
        <v>1</v>
      </c>
      <c r="D54" s="6">
        <v>0</v>
      </c>
      <c r="E54" s="6">
        <v>0</v>
      </c>
      <c r="F54" s="6">
        <v>0</v>
      </c>
      <c r="G54" s="6">
        <v>0</v>
      </c>
      <c r="H54" s="6">
        <v>1</v>
      </c>
      <c r="AA54">
        <v>1</v>
      </c>
      <c r="AB54" t="str">
        <v>ЩОВ-001</v>
      </c>
      <c r="AC54" t="str">
        <v>Ввод 2</v>
      </c>
      <c r="AD54" t="str">
        <v>нет</v>
      </c>
    </row>
    <row r="55" spans="2:30" x14ac:dyDescent="0.3">
      <c r="B55" t="s">
        <v>801</v>
      </c>
      <c r="C55" s="6">
        <v>0.94999999999999984</v>
      </c>
      <c r="D55" s="6">
        <v>0</v>
      </c>
      <c r="E55" s="6">
        <v>0</v>
      </c>
      <c r="F55" s="6">
        <v>0</v>
      </c>
      <c r="G55" s="6">
        <v>0</v>
      </c>
      <c r="H55" s="6">
        <v>0.94999999999999984</v>
      </c>
      <c r="AA55">
        <v>1</v>
      </c>
      <c r="AB55" t="str">
        <v>ЩОВ-001</v>
      </c>
      <c r="AC55" t="str">
        <v>Ввод 2</v>
      </c>
      <c r="AD55" t="str">
        <v>нет</v>
      </c>
    </row>
    <row r="56" spans="2:30" x14ac:dyDescent="0.3">
      <c r="B56" t="s">
        <v>812</v>
      </c>
      <c r="C56" s="6">
        <v>0.32868410517886321</v>
      </c>
      <c r="D56" s="6">
        <v>0</v>
      </c>
      <c r="E56" s="6">
        <v>0</v>
      </c>
      <c r="F56" s="6">
        <v>0</v>
      </c>
      <c r="G56" s="6">
        <v>0</v>
      </c>
      <c r="H56" s="6">
        <v>0.32868410517886321</v>
      </c>
      <c r="AA56">
        <v>1</v>
      </c>
      <c r="AB56" t="str">
        <v>ЩОВ-001</v>
      </c>
      <c r="AC56" t="str">
        <v>Ввод 2</v>
      </c>
      <c r="AD56" t="str">
        <v>нет</v>
      </c>
    </row>
    <row r="57" spans="2:30" x14ac:dyDescent="0.3">
      <c r="B57" t="s">
        <v>841</v>
      </c>
      <c r="C57" s="6">
        <v>1.6</v>
      </c>
      <c r="D57" s="6">
        <v>0</v>
      </c>
      <c r="E57" s="6">
        <v>0</v>
      </c>
      <c r="F57" s="6">
        <v>0</v>
      </c>
      <c r="G57" s="6">
        <v>0</v>
      </c>
      <c r="H57" s="6">
        <v>1.6</v>
      </c>
      <c r="AA57">
        <v>1</v>
      </c>
      <c r="AB57" t="str">
        <v>ЩОВ-001</v>
      </c>
      <c r="AC57" t="str">
        <v>Ввод 2</v>
      </c>
      <c r="AD57" t="str">
        <v>нет</v>
      </c>
    </row>
    <row r="58" spans="2:30" x14ac:dyDescent="0.3">
      <c r="B58" t="s">
        <v>842</v>
      </c>
      <c r="C58" s="6">
        <v>0.5258945682861812</v>
      </c>
      <c r="D58" s="6">
        <v>0</v>
      </c>
      <c r="E58" s="6">
        <v>0</v>
      </c>
      <c r="F58" s="6">
        <v>0</v>
      </c>
      <c r="G58" s="6">
        <v>0</v>
      </c>
      <c r="H58" s="6">
        <v>0.5258945682861812</v>
      </c>
      <c r="AA58">
        <v>1</v>
      </c>
      <c r="AB58" t="str">
        <v>ЩОВ-001</v>
      </c>
      <c r="AC58" t="str">
        <v>Ввод 2</v>
      </c>
      <c r="AD58" t="str">
        <v>нет</v>
      </c>
    </row>
    <row r="59" spans="2:30" x14ac:dyDescent="0.3">
      <c r="B59" t="s">
        <v>843</v>
      </c>
      <c r="C59" s="6">
        <v>1.6842105263157898</v>
      </c>
      <c r="D59" s="6">
        <v>0</v>
      </c>
      <c r="E59" s="6">
        <v>0</v>
      </c>
      <c r="F59" s="6">
        <v>0</v>
      </c>
      <c r="G59" s="6">
        <v>0</v>
      </c>
      <c r="H59" s="6">
        <v>1.6842105263157898</v>
      </c>
      <c r="AA59">
        <v>1</v>
      </c>
      <c r="AB59" t="str">
        <v>ЩОВ-001</v>
      </c>
      <c r="AC59" t="str">
        <v>Ввод 2</v>
      </c>
      <c r="AD59" t="str">
        <v>нет</v>
      </c>
    </row>
    <row r="60" spans="2:30" x14ac:dyDescent="0.3">
      <c r="B60" t="s">
        <v>805</v>
      </c>
      <c r="C60" s="6">
        <v>2.4309485018510562</v>
      </c>
      <c r="D60" s="6">
        <v>0</v>
      </c>
      <c r="E60" s="6">
        <v>0</v>
      </c>
      <c r="F60" s="6">
        <v>0</v>
      </c>
      <c r="G60" s="6">
        <v>0</v>
      </c>
      <c r="H60" s="6">
        <v>2.4309485018510562</v>
      </c>
      <c r="AA60">
        <v>1</v>
      </c>
      <c r="AB60" t="str">
        <v>ЩОВ-001</v>
      </c>
      <c r="AC60" t="str">
        <v>Ввод 2</v>
      </c>
      <c r="AD60" t="str">
        <v>нет</v>
      </c>
    </row>
    <row r="61" spans="2:30" x14ac:dyDescent="0.3">
      <c r="AA61">
        <v>1</v>
      </c>
      <c r="AB61" t="str">
        <v>ЩОВ-001</v>
      </c>
      <c r="AC61" t="str">
        <v>Ввод 2</v>
      </c>
      <c r="AD61" t="str">
        <v>нет</v>
      </c>
    </row>
    <row r="62" spans="2:30" x14ac:dyDescent="0.3">
      <c r="B62" s="36" t="s">
        <v>1763</v>
      </c>
      <c r="AA62">
        <v>1</v>
      </c>
      <c r="AB62" t="str">
        <v>ЩОВ-001</v>
      </c>
      <c r="AC62" t="str">
        <v>Ввод 2</v>
      </c>
      <c r="AD62" t="str">
        <v>нет</v>
      </c>
    </row>
    <row r="63" spans="2:30" x14ac:dyDescent="0.3">
      <c r="B63" s="121" t="s">
        <v>800</v>
      </c>
      <c r="C63" s="122" t="s">
        <v>1757</v>
      </c>
      <c r="AA63">
        <v>1</v>
      </c>
      <c r="AB63" t="str">
        <v>ЩОВ-001</v>
      </c>
      <c r="AC63" t="str">
        <v>Ввод 2</v>
      </c>
      <c r="AD63" t="str">
        <v>нет</v>
      </c>
    </row>
    <row r="64" spans="2:30" x14ac:dyDescent="0.3">
      <c r="B64" t="s">
        <v>803</v>
      </c>
      <c r="C64" s="6" cm="1">
        <f t="array" ref="C64:C71">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2")+(_xlfn.ANCHORARRAY(AC3)="Ввод 3")),IF(OR($E$5="Ввод 1",$E$5="Ввод 2",$E$5="Ввод 3"),$C$5,0),IF(OR($E$5="Ввод 1",$E$5="Ввод 2",$E$5="Ввод 3"),$D$5,0)))</f>
        <v>526.2810000000004</v>
      </c>
      <c r="AA64">
        <v>1</v>
      </c>
      <c r="AB64" t="str">
        <v>ЩОВ-001</v>
      </c>
      <c r="AC64" t="str">
        <v>Ввод 2</v>
      </c>
      <c r="AD64" t="str">
        <v>нет</v>
      </c>
    </row>
    <row r="65" spans="2:30" x14ac:dyDescent="0.3">
      <c r="B65" t="s">
        <v>1758</v>
      </c>
      <c r="C65" s="6">
        <v>0.52529323916310777</v>
      </c>
      <c r="AA65">
        <v>1</v>
      </c>
      <c r="AB65" t="str">
        <v>ЩОВ-001</v>
      </c>
      <c r="AC65" t="str">
        <v>Ввод 2</v>
      </c>
      <c r="AD65" t="str">
        <v>нет</v>
      </c>
    </row>
    <row r="66" spans="2:30" x14ac:dyDescent="0.3">
      <c r="B66" t="s">
        <v>801</v>
      </c>
      <c r="C66" s="6">
        <v>0.82887953393719227</v>
      </c>
      <c r="AA66">
        <v>1</v>
      </c>
      <c r="AB66" t="str">
        <v>ЩОВ-001</v>
      </c>
      <c r="AC66" t="str">
        <v>Ввод 2</v>
      </c>
      <c r="AD66" t="str">
        <v>нет</v>
      </c>
    </row>
    <row r="67" spans="2:30" x14ac:dyDescent="0.3">
      <c r="B67" t="s">
        <v>812</v>
      </c>
      <c r="C67" s="6">
        <v>0.67491970915372934</v>
      </c>
      <c r="AA67">
        <v>1</v>
      </c>
      <c r="AB67" t="str">
        <v>ЩОВ-001</v>
      </c>
      <c r="AC67" t="str">
        <v>Ввод 2</v>
      </c>
      <c r="AD67" t="str">
        <v>нет</v>
      </c>
    </row>
    <row r="68" spans="2:30" x14ac:dyDescent="0.3">
      <c r="B68" t="s">
        <v>841</v>
      </c>
      <c r="C68" s="6">
        <v>276.45185119999974</v>
      </c>
      <c r="AA68">
        <v>1</v>
      </c>
      <c r="AB68" t="str">
        <v>ЩОВ-001</v>
      </c>
      <c r="AC68" t="str">
        <v>Ввод 2</v>
      </c>
      <c r="AD68" t="str">
        <v>нет</v>
      </c>
    </row>
    <row r="69" spans="2:30" x14ac:dyDescent="0.3">
      <c r="B69" t="s">
        <v>842</v>
      </c>
      <c r="C69" s="6">
        <v>186.58280300691388</v>
      </c>
      <c r="AA69">
        <v>1</v>
      </c>
      <c r="AB69" t="str">
        <v>ЩОВ-001</v>
      </c>
      <c r="AC69" t="str">
        <v>Ввод 2</v>
      </c>
      <c r="AD69" t="str">
        <v>нет</v>
      </c>
    </row>
    <row r="70" spans="2:30" x14ac:dyDescent="0.3">
      <c r="B70" t="s">
        <v>843</v>
      </c>
      <c r="C70" s="6">
        <v>333.52476431267235</v>
      </c>
      <c r="AA70">
        <v>1</v>
      </c>
      <c r="AB70" t="str">
        <v>ЩОВ-001</v>
      </c>
      <c r="AC70" t="str">
        <v>Ввод 2</v>
      </c>
      <c r="AD70" t="str">
        <v>нет</v>
      </c>
    </row>
    <row r="71" spans="2:30" x14ac:dyDescent="0.3">
      <c r="B71" t="s">
        <v>805</v>
      </c>
      <c r="C71" s="6">
        <v>481.40153114331969</v>
      </c>
      <c r="AA71">
        <v>1</v>
      </c>
      <c r="AB71" t="str">
        <v>ЩОВ-001</v>
      </c>
      <c r="AC71" t="str">
        <v>Ввод 2</v>
      </c>
      <c r="AD71" t="str">
        <v>нет</v>
      </c>
    </row>
    <row r="72" spans="2:30" x14ac:dyDescent="0.3">
      <c r="AA72">
        <v>1</v>
      </c>
      <c r="AB72" t="str">
        <v>ЩОВ-001</v>
      </c>
      <c r="AC72" t="str">
        <v>Ввод 2</v>
      </c>
      <c r="AD72" t="str">
        <v>нет</v>
      </c>
    </row>
    <row r="73" spans="2:30" x14ac:dyDescent="0.3">
      <c r="B73" s="36" t="s">
        <v>1764</v>
      </c>
      <c r="AA73">
        <v>1</v>
      </c>
      <c r="AB73" t="str">
        <v>ЩОВ-001</v>
      </c>
      <c r="AC73" t="str">
        <v>Ввод 2</v>
      </c>
      <c r="AD73" t="str">
        <v>нет</v>
      </c>
    </row>
    <row r="74" spans="2:30" x14ac:dyDescent="0.3">
      <c r="B74" t="s">
        <v>1765</v>
      </c>
      <c r="C74" s="6" cm="1">
        <f t="array" ref="C74">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INDEX(_xlpm.РАСЧЁТ(_xlfn.ANCHORARRAY(AA3)*(_xlfn.ANCHORARRAY(AC3)="ИБП")*(_xlfn.ANCHORARRAY(AD3)="нет"),0,0),5))</f>
        <v>0</v>
      </c>
      <c r="AA74">
        <v>1</v>
      </c>
      <c r="AB74" t="str">
        <v>ЩОВ-001</v>
      </c>
      <c r="AC74" t="str">
        <v>Ввод 2</v>
      </c>
      <c r="AD74" t="str">
        <v>нет</v>
      </c>
    </row>
    <row r="75" spans="2:30" x14ac:dyDescent="0.3">
      <c r="B75" t="s">
        <v>1766</v>
      </c>
      <c r="C75" s="6">
        <f>C74/ИБП_cos_вых/ИБП_загрузка</f>
        <v>0</v>
      </c>
      <c r="AA75">
        <v>1</v>
      </c>
      <c r="AB75" t="str">
        <v>ЩОВ-001</v>
      </c>
      <c r="AC75" t="str">
        <v>Ввод 2</v>
      </c>
      <c r="AD75" t="str">
        <v>нет</v>
      </c>
    </row>
    <row r="76" spans="2:30" x14ac:dyDescent="0.3">
      <c r="B76" t="s">
        <v>1767</v>
      </c>
      <c r="C76" s="6" cm="1">
        <f t="array" ref="C76">IFERROR(MIN(_xlfn._xlws.FILTER(ИБП_ряд,ИБП_ряд&gt;=C75)),"больше ряда")</f>
        <v>6</v>
      </c>
      <c r="AA76">
        <v>1</v>
      </c>
      <c r="AB76" t="str">
        <v>ЩОВ-001</v>
      </c>
      <c r="AC76" t="str">
        <v>Ввод 2</v>
      </c>
      <c r="AD76" t="str">
        <v>нет</v>
      </c>
    </row>
    <row r="77" spans="2:30" x14ac:dyDescent="0.3">
      <c r="B77" t="s">
        <v>1768</v>
      </c>
      <c r="C77" s="6">
        <f>IFERROR(C74/ИБП_cos_вых/C76,"")</f>
        <v>0</v>
      </c>
      <c r="AA77">
        <v>1</v>
      </c>
      <c r="AB77" t="str">
        <v>ЩОВ-001</v>
      </c>
      <c r="AC77" t="str">
        <v>Ввод 2</v>
      </c>
      <c r="AD77" t="str">
        <v>нет</v>
      </c>
    </row>
    <row r="78" spans="2:30" x14ac:dyDescent="0.3">
      <c r="B78" t="s">
        <v>1769</v>
      </c>
      <c r="C78" s="6">
        <f>C74*1000*ИБП_t/60/(ИБП_U*ИБП_КПД*ИБП_k)</f>
        <v>0</v>
      </c>
      <c r="AA78">
        <v>1</v>
      </c>
      <c r="AB78" t="str">
        <v>ЩОВ-001</v>
      </c>
      <c r="AC78" t="str">
        <v>Ввод 2</v>
      </c>
      <c r="AD78" t="str">
        <v>нет</v>
      </c>
    </row>
    <row r="79" spans="2:30" x14ac:dyDescent="0.3">
      <c r="B79" t="s">
        <v>1770</v>
      </c>
      <c r="C79" s="6">
        <f>C5</f>
        <v>0</v>
      </c>
      <c r="AA79">
        <v>1</v>
      </c>
      <c r="AB79" t="str">
        <v>ЩОВ-001</v>
      </c>
      <c r="AC79" t="str">
        <v>Ввод 2</v>
      </c>
      <c r="AD79" t="str">
        <v>нет</v>
      </c>
    </row>
    <row r="80" spans="2:30" x14ac:dyDescent="0.3">
      <c r="AA80">
        <v>1</v>
      </c>
      <c r="AB80" t="str">
        <v>ЩОВ-001</v>
      </c>
      <c r="AC80" t="str">
        <v>Ввод 2</v>
      </c>
      <c r="AD80" t="str">
        <v>нет</v>
      </c>
    </row>
    <row r="81" spans="27:30" x14ac:dyDescent="0.3">
      <c r="AA81">
        <v>1</v>
      </c>
      <c r="AB81" t="str">
        <v>ЩОВ-001</v>
      </c>
      <c r="AC81" t="str">
        <v>Ввод 2</v>
      </c>
      <c r="AD81" t="str">
        <v>нет</v>
      </c>
    </row>
    <row r="82" spans="27:30" x14ac:dyDescent="0.3">
      <c r="AA82">
        <v>1</v>
      </c>
      <c r="AB82" t="str">
        <v>ЩОВ-001</v>
      </c>
      <c r="AC82" t="str">
        <v>Ввод 2</v>
      </c>
      <c r="AD82" t="str">
        <v>нет</v>
      </c>
    </row>
    <row r="83" spans="27:30" x14ac:dyDescent="0.3">
      <c r="AA83">
        <v>1</v>
      </c>
      <c r="AB83" t="str">
        <v>ЩОВ-001</v>
      </c>
      <c r="AC83" t="str">
        <v>Ввод 2</v>
      </c>
      <c r="AD83" t="str">
        <v>нет</v>
      </c>
    </row>
    <row r="84" spans="27:30" x14ac:dyDescent="0.3">
      <c r="AA84">
        <v>1</v>
      </c>
      <c r="AB84" t="str">
        <v>ЩОВ-001</v>
      </c>
      <c r="AC84" t="str">
        <v>Ввод 2</v>
      </c>
      <c r="AD84" t="str">
        <v>нет</v>
      </c>
    </row>
    <row r="85" spans="27:30" x14ac:dyDescent="0.3">
      <c r="AA85">
        <v>1</v>
      </c>
      <c r="AB85" t="str">
        <v>ЩОВ-001</v>
      </c>
      <c r="AC85" t="str">
        <v>Ввод 2</v>
      </c>
      <c r="AD85" t="str">
        <v>нет</v>
      </c>
    </row>
    <row r="86" spans="27:30" x14ac:dyDescent="0.3">
      <c r="AA86">
        <v>1</v>
      </c>
      <c r="AB86" t="str">
        <v>ЩОВ-001</v>
      </c>
      <c r="AC86" t="str">
        <v>Ввод 2</v>
      </c>
      <c r="AD86" t="str">
        <v>нет</v>
      </c>
    </row>
    <row r="87" spans="27:30" x14ac:dyDescent="0.3">
      <c r="AA87">
        <v>1</v>
      </c>
      <c r="AB87" t="str">
        <v>ЩОВ-001</v>
      </c>
      <c r="AC87" t="str">
        <v>Ввод 2</v>
      </c>
      <c r="AD87" t="str">
        <v>нет</v>
      </c>
    </row>
    <row r="88" spans="27:30" x14ac:dyDescent="0.3">
      <c r="AA88">
        <v>1</v>
      </c>
      <c r="AB88" t="str">
        <v>ЩОВ-002</v>
      </c>
      <c r="AC88" t="str">
        <v>Ввод 1</v>
      </c>
      <c r="AD88" t="str">
        <v>нет</v>
      </c>
    </row>
    <row r="89" spans="27:30" x14ac:dyDescent="0.3">
      <c r="AA89">
        <v>1</v>
      </c>
      <c r="AB89" t="str">
        <v>ЩОВ-002</v>
      </c>
      <c r="AC89" t="str">
        <v>Ввод 1</v>
      </c>
      <c r="AD89" t="str">
        <v>нет</v>
      </c>
    </row>
    <row r="90" spans="27:30" x14ac:dyDescent="0.3">
      <c r="AA90">
        <v>1</v>
      </c>
      <c r="AB90" t="str">
        <v>ЩОВ-002</v>
      </c>
      <c r="AC90" t="str">
        <v>Ввод 1</v>
      </c>
      <c r="AD90" t="str">
        <v>нет</v>
      </c>
    </row>
    <row r="91" spans="27:30" x14ac:dyDescent="0.3">
      <c r="AA91">
        <v>1</v>
      </c>
      <c r="AB91" t="str">
        <v>ЩОВ-002</v>
      </c>
      <c r="AC91" t="str">
        <v>Ввод 1</v>
      </c>
      <c r="AD91" t="str">
        <v>нет</v>
      </c>
    </row>
    <row r="92" spans="27:30" x14ac:dyDescent="0.3">
      <c r="AA92">
        <v>1</v>
      </c>
      <c r="AB92" t="str">
        <v>ЩОВ-002</v>
      </c>
      <c r="AC92" t="str">
        <v>Ввод 1</v>
      </c>
      <c r="AD92" t="str">
        <v>нет</v>
      </c>
    </row>
    <row r="93" spans="27:30" x14ac:dyDescent="0.3">
      <c r="AA93">
        <v>1</v>
      </c>
      <c r="AB93" t="str">
        <v>ЩОВ-002</v>
      </c>
      <c r="AC93" t="str">
        <v>Ввод 1</v>
      </c>
      <c r="AD93" t="str">
        <v>нет</v>
      </c>
    </row>
    <row r="94" spans="27:30" x14ac:dyDescent="0.3">
      <c r="AA94">
        <v>1</v>
      </c>
      <c r="AB94" t="str">
        <v>ЩОВ-002</v>
      </c>
      <c r="AC94" t="str">
        <v>Ввод 1</v>
      </c>
      <c r="AD94" t="str">
        <v>нет</v>
      </c>
    </row>
    <row r="95" spans="27:30" x14ac:dyDescent="0.3">
      <c r="AA95">
        <v>1</v>
      </c>
      <c r="AB95" t="str">
        <v>ЩОВ-002</v>
      </c>
      <c r="AC95" t="str">
        <v>Ввод 1</v>
      </c>
      <c r="AD95" t="str">
        <v>нет</v>
      </c>
    </row>
    <row r="96" spans="27:30" x14ac:dyDescent="0.3">
      <c r="AA96">
        <v>1</v>
      </c>
      <c r="AB96" t="str">
        <v>ЩОВ-002</v>
      </c>
      <c r="AC96" t="str">
        <v>Ввод 1</v>
      </c>
      <c r="AD96" t="str">
        <v>нет</v>
      </c>
    </row>
    <row r="97" spans="27:30" x14ac:dyDescent="0.3">
      <c r="AA97">
        <v>1</v>
      </c>
      <c r="AB97" t="str">
        <v>ЩОВ-002</v>
      </c>
      <c r="AC97" t="str">
        <v>Ввод 1</v>
      </c>
      <c r="AD97" t="str">
        <v>нет</v>
      </c>
    </row>
    <row r="98" spans="27:30" x14ac:dyDescent="0.3">
      <c r="AA98">
        <v>1</v>
      </c>
      <c r="AB98" t="str">
        <v>ЩОВ-002</v>
      </c>
      <c r="AC98" t="str">
        <v>Ввод 1</v>
      </c>
      <c r="AD98" t="str">
        <v>нет</v>
      </c>
    </row>
    <row r="99" spans="27:30" x14ac:dyDescent="0.3">
      <c r="AA99">
        <v>1</v>
      </c>
      <c r="AB99" t="str">
        <v>ЩОВ-002</v>
      </c>
      <c r="AC99" t="str">
        <v>Ввод 1</v>
      </c>
      <c r="AD99" t="str">
        <v>нет</v>
      </c>
    </row>
    <row r="100" spans="27:30" x14ac:dyDescent="0.3">
      <c r="AA100">
        <v>1</v>
      </c>
      <c r="AB100" t="str">
        <v>ЩОВ-002</v>
      </c>
      <c r="AC100" t="str">
        <v>Ввод 1</v>
      </c>
      <c r="AD100" t="str">
        <v>нет</v>
      </c>
    </row>
    <row r="101" spans="27:30" x14ac:dyDescent="0.3">
      <c r="AA101">
        <v>1</v>
      </c>
      <c r="AB101" t="str">
        <v>ЩОВ-002</v>
      </c>
      <c r="AC101" t="str">
        <v>Ввод 1</v>
      </c>
      <c r="AD101" t="str">
        <v>нет</v>
      </c>
    </row>
    <row r="102" spans="27:30" x14ac:dyDescent="0.3">
      <c r="AA102">
        <v>1</v>
      </c>
      <c r="AB102" t="str">
        <v>ЩОВ-01</v>
      </c>
      <c r="AC102" t="str">
        <v>Ввод 1</v>
      </c>
      <c r="AD102" t="str">
        <v>нет</v>
      </c>
    </row>
    <row r="103" spans="27:30" x14ac:dyDescent="0.3">
      <c r="AA103">
        <v>1</v>
      </c>
      <c r="AB103" t="str">
        <v>ЩОВ-01</v>
      </c>
      <c r="AC103" t="str">
        <v>Ввод 1</v>
      </c>
      <c r="AD103" t="str">
        <v>нет</v>
      </c>
    </row>
    <row r="104" spans="27:30" x14ac:dyDescent="0.3">
      <c r="AA104">
        <v>1</v>
      </c>
      <c r="AB104" t="str">
        <v>ЩОВ-01</v>
      </c>
      <c r="AC104" t="str">
        <v>Ввод 1</v>
      </c>
      <c r="AD104" t="str">
        <v>нет</v>
      </c>
    </row>
    <row r="105" spans="27:30" x14ac:dyDescent="0.3">
      <c r="AA105">
        <v>1</v>
      </c>
      <c r="AB105" t="str">
        <v>ЩОВ-01</v>
      </c>
      <c r="AC105" t="str">
        <v>Ввод 1</v>
      </c>
      <c r="AD105" t="str">
        <v>нет</v>
      </c>
    </row>
    <row r="106" spans="27:30" x14ac:dyDescent="0.3">
      <c r="AA106">
        <v>1</v>
      </c>
      <c r="AB106" t="str">
        <v>ЩОВ-01</v>
      </c>
      <c r="AC106" t="str">
        <v>Ввод 1</v>
      </c>
      <c r="AD106" t="str">
        <v>нет</v>
      </c>
    </row>
    <row r="107" spans="27:30" x14ac:dyDescent="0.3">
      <c r="AA107">
        <v>1</v>
      </c>
      <c r="AB107" t="str">
        <v>ЩОВ-01</v>
      </c>
      <c r="AC107" t="str">
        <v>Ввод 1</v>
      </c>
      <c r="AD107" t="str">
        <v>нет</v>
      </c>
    </row>
    <row r="108" spans="27:30" x14ac:dyDescent="0.3">
      <c r="AA108">
        <v>1</v>
      </c>
      <c r="AB108" t="str">
        <v>ЩОВ-01</v>
      </c>
      <c r="AC108" t="str">
        <v>Ввод 1</v>
      </c>
      <c r="AD108" t="str">
        <v>нет</v>
      </c>
    </row>
    <row r="109" spans="27:30" x14ac:dyDescent="0.3">
      <c r="AA109">
        <v>1</v>
      </c>
      <c r="AB109" t="str">
        <v>ЩОВ-01</v>
      </c>
      <c r="AC109" t="str">
        <v>Ввод 1</v>
      </c>
      <c r="AD109" t="str">
        <v>нет</v>
      </c>
    </row>
    <row r="110" spans="27:30" x14ac:dyDescent="0.3">
      <c r="AA110">
        <v>1</v>
      </c>
      <c r="AB110" t="str">
        <v>ЩОВ-01</v>
      </c>
      <c r="AC110" t="str">
        <v>Ввод 1</v>
      </c>
      <c r="AD110" t="str">
        <v>нет</v>
      </c>
    </row>
    <row r="111" spans="27:30" x14ac:dyDescent="0.3">
      <c r="AA111">
        <v>1</v>
      </c>
      <c r="AB111" t="str">
        <v>ЩОВ-01</v>
      </c>
      <c r="AC111" t="str">
        <v>Ввод 1</v>
      </c>
      <c r="AD111" t="str">
        <v>нет</v>
      </c>
    </row>
    <row r="112" spans="27:30" x14ac:dyDescent="0.3">
      <c r="AA112">
        <v>1</v>
      </c>
      <c r="AB112" t="str">
        <v>ЩОВ-01</v>
      </c>
      <c r="AC112" t="str">
        <v>Ввод 1</v>
      </c>
      <c r="AD112" t="str">
        <v>нет</v>
      </c>
    </row>
    <row r="113" spans="27:30" x14ac:dyDescent="0.3">
      <c r="AA113">
        <v>1</v>
      </c>
      <c r="AB113" t="str">
        <v>ЩОВ-01</v>
      </c>
      <c r="AC113" t="str">
        <v>Ввод 1</v>
      </c>
      <c r="AD113" t="str">
        <v>нет</v>
      </c>
    </row>
    <row r="114" spans="27:30" x14ac:dyDescent="0.3">
      <c r="AA114">
        <v>1</v>
      </c>
      <c r="AB114" t="str">
        <v>ЩОВ-01</v>
      </c>
      <c r="AC114" t="str">
        <v>Ввод 1</v>
      </c>
      <c r="AD114" t="str">
        <v>нет</v>
      </c>
    </row>
    <row r="115" spans="27:30" x14ac:dyDescent="0.3">
      <c r="AA115">
        <v>1</v>
      </c>
      <c r="AB115" t="str">
        <v>ЩОВ-01</v>
      </c>
      <c r="AC115" t="str">
        <v>Ввод 1</v>
      </c>
      <c r="AD115" t="str">
        <v>нет</v>
      </c>
    </row>
    <row r="116" spans="27:30" x14ac:dyDescent="0.3">
      <c r="AA116">
        <v>1</v>
      </c>
      <c r="AB116" t="str">
        <v>ЩОВ-01</v>
      </c>
      <c r="AC116" t="str">
        <v>Ввод 1</v>
      </c>
      <c r="AD116" t="str">
        <v>нет</v>
      </c>
    </row>
    <row r="117" spans="27:30" x14ac:dyDescent="0.3">
      <c r="AA117">
        <v>1</v>
      </c>
      <c r="AB117" t="str">
        <v>ЩОВ-01</v>
      </c>
      <c r="AC117" t="str">
        <v>Ввод 1</v>
      </c>
      <c r="AD117" t="str">
        <v>нет</v>
      </c>
    </row>
    <row r="118" spans="27:30" x14ac:dyDescent="0.3">
      <c r="AA118">
        <v>1</v>
      </c>
      <c r="AB118" t="str">
        <v>ЩОВ-01</v>
      </c>
      <c r="AC118" t="str">
        <v>Ввод 1</v>
      </c>
      <c r="AD118" t="str">
        <v>нет</v>
      </c>
    </row>
    <row r="119" spans="27:30" x14ac:dyDescent="0.3">
      <c r="AA119">
        <v>1</v>
      </c>
      <c r="AB119" t="str">
        <v>ЩОВ-01</v>
      </c>
      <c r="AC119" t="str">
        <v>Ввод 1</v>
      </c>
      <c r="AD119" t="str">
        <v>нет</v>
      </c>
    </row>
    <row r="120" spans="27:30" x14ac:dyDescent="0.3">
      <c r="AA120">
        <v>1</v>
      </c>
      <c r="AB120" t="str">
        <v>ЩОВ-01</v>
      </c>
      <c r="AC120" t="str">
        <v>Ввод 1</v>
      </c>
      <c r="AD120" t="str">
        <v>нет</v>
      </c>
    </row>
    <row r="121" spans="27:30" x14ac:dyDescent="0.3">
      <c r="AA121">
        <v>1</v>
      </c>
      <c r="AB121" t="str">
        <v>ЩОВ-01</v>
      </c>
      <c r="AC121" t="str">
        <v>Ввод 1</v>
      </c>
      <c r="AD121" t="str">
        <v>нет</v>
      </c>
    </row>
    <row r="122" spans="27:30" x14ac:dyDescent="0.3">
      <c r="AA122">
        <v>1</v>
      </c>
      <c r="AB122" t="str">
        <v>ЩОВ-01</v>
      </c>
      <c r="AC122" t="str">
        <v>Ввод 1</v>
      </c>
      <c r="AD122" t="str">
        <v>нет</v>
      </c>
    </row>
    <row r="123" spans="27:30" x14ac:dyDescent="0.3">
      <c r="AA123">
        <v>1</v>
      </c>
      <c r="AB123" t="str">
        <v>ЩОВ-01</v>
      </c>
      <c r="AC123" t="str">
        <v>Ввод 1</v>
      </c>
      <c r="AD123" t="str">
        <v>нет</v>
      </c>
    </row>
    <row r="124" spans="27:30" x14ac:dyDescent="0.3">
      <c r="AA124">
        <v>1</v>
      </c>
      <c r="AB124" t="str">
        <v>ЩОВ-01</v>
      </c>
      <c r="AC124" t="str">
        <v>Ввод 1</v>
      </c>
      <c r="AD124" t="str">
        <v>нет</v>
      </c>
    </row>
    <row r="125" spans="27:30" x14ac:dyDescent="0.3">
      <c r="AA125">
        <v>1</v>
      </c>
      <c r="AB125" t="str">
        <v>ЩОВ-01</v>
      </c>
      <c r="AC125" t="str">
        <v>Ввод 1</v>
      </c>
      <c r="AD125" t="str">
        <v>нет</v>
      </c>
    </row>
    <row r="126" spans="27:30" x14ac:dyDescent="0.3">
      <c r="AA126">
        <v>1</v>
      </c>
      <c r="AB126" t="str">
        <v>ЩОВ-01</v>
      </c>
      <c r="AC126" t="str">
        <v>Ввод 1</v>
      </c>
      <c r="AD126" t="str">
        <v>нет</v>
      </c>
    </row>
    <row r="127" spans="27:30" x14ac:dyDescent="0.3">
      <c r="AA127">
        <v>1</v>
      </c>
      <c r="AB127" t="str">
        <v>ЩОВ-01</v>
      </c>
      <c r="AC127" t="str">
        <v>Ввод 1</v>
      </c>
      <c r="AD127" t="str">
        <v>нет</v>
      </c>
    </row>
    <row r="128" spans="27:30" x14ac:dyDescent="0.3">
      <c r="AA128">
        <v>1</v>
      </c>
      <c r="AB128" t="str">
        <v>ЩОВ-01</v>
      </c>
      <c r="AC128" t="str">
        <v>Ввод 1</v>
      </c>
      <c r="AD128" t="str">
        <v>нет</v>
      </c>
    </row>
    <row r="129" spans="27:30" x14ac:dyDescent="0.3">
      <c r="AA129">
        <v>1</v>
      </c>
      <c r="AB129" t="str">
        <v>ЩОВ-01</v>
      </c>
      <c r="AC129" t="str">
        <v>Ввод 1</v>
      </c>
      <c r="AD129" t="str">
        <v>нет</v>
      </c>
    </row>
    <row r="130" spans="27:30" x14ac:dyDescent="0.3">
      <c r="AA130">
        <v>1</v>
      </c>
      <c r="AB130" t="str">
        <v>ЩОВ-2</v>
      </c>
      <c r="AC130" t="str">
        <v>Ввод 1</v>
      </c>
      <c r="AD130" t="str">
        <v>нет</v>
      </c>
    </row>
    <row r="131" spans="27:30" x14ac:dyDescent="0.3">
      <c r="AA131">
        <v>1</v>
      </c>
      <c r="AB131" t="str">
        <v>ЩОВ-2</v>
      </c>
      <c r="AC131" t="str">
        <v>Ввод 1</v>
      </c>
      <c r="AD131" t="str">
        <v>нет</v>
      </c>
    </row>
    <row r="132" spans="27:30" x14ac:dyDescent="0.3">
      <c r="AA132">
        <v>1</v>
      </c>
      <c r="AB132" t="str">
        <v>ЩОВ-2</v>
      </c>
      <c r="AC132" t="str">
        <v>Ввод 1</v>
      </c>
      <c r="AD132" t="str">
        <v>нет</v>
      </c>
    </row>
    <row r="133" spans="27:30" x14ac:dyDescent="0.3">
      <c r="AA133">
        <v>1</v>
      </c>
      <c r="AB133" t="str">
        <v>ЩОВ-2</v>
      </c>
      <c r="AC133" t="str">
        <v>Ввод 1</v>
      </c>
      <c r="AD133" t="str">
        <v>нет</v>
      </c>
    </row>
    <row r="134" spans="27:30" x14ac:dyDescent="0.3">
      <c r="AA134">
        <v>1</v>
      </c>
      <c r="AB134" t="str">
        <v>ЩОВ-2</v>
      </c>
      <c r="AC134" t="str">
        <v>Ввод 1</v>
      </c>
      <c r="AD134" t="str">
        <v>нет</v>
      </c>
    </row>
    <row r="135" spans="27:30" x14ac:dyDescent="0.3">
      <c r="AA135">
        <v>1</v>
      </c>
      <c r="AB135" t="str">
        <v>ЩОВ-2</v>
      </c>
      <c r="AC135" t="str">
        <v>Ввод 1</v>
      </c>
      <c r="AD135" t="str">
        <v>нет</v>
      </c>
    </row>
    <row r="136" spans="27:30" x14ac:dyDescent="0.3">
      <c r="AA136">
        <v>1</v>
      </c>
      <c r="AB136" t="str">
        <v>ЩОВ-2</v>
      </c>
      <c r="AC136" t="str">
        <v>Ввод 1</v>
      </c>
      <c r="AD136" t="str">
        <v>нет</v>
      </c>
    </row>
    <row r="137" spans="27:30" x14ac:dyDescent="0.3">
      <c r="AA137">
        <v>1</v>
      </c>
      <c r="AB137" t="str">
        <v>ЩОВ-2</v>
      </c>
      <c r="AC137" t="str">
        <v>Ввод 1</v>
      </c>
      <c r="AD137" t="str">
        <v>нет</v>
      </c>
    </row>
    <row r="138" spans="27:30" x14ac:dyDescent="0.3">
      <c r="AA138">
        <v>1</v>
      </c>
      <c r="AB138" t="str">
        <v>ЩОВ-2</v>
      </c>
      <c r="AC138" t="str">
        <v>Ввод 1</v>
      </c>
      <c r="AD138" t="str">
        <v>нет</v>
      </c>
    </row>
    <row r="139" spans="27:30" x14ac:dyDescent="0.3">
      <c r="AA139">
        <v>1</v>
      </c>
      <c r="AB139" t="str">
        <v>ЩОВ-2</v>
      </c>
      <c r="AC139" t="str">
        <v>Ввод 1</v>
      </c>
      <c r="AD139" t="str">
        <v>нет</v>
      </c>
    </row>
    <row r="140" spans="27:30" x14ac:dyDescent="0.3">
      <c r="AA140">
        <v>1</v>
      </c>
      <c r="AB140" t="str">
        <v>ЩОВ-2</v>
      </c>
      <c r="AC140" t="str">
        <v>Ввод 1</v>
      </c>
      <c r="AD140" t="str">
        <v>нет</v>
      </c>
    </row>
    <row r="141" spans="27:30" x14ac:dyDescent="0.3">
      <c r="AA141">
        <v>1</v>
      </c>
      <c r="AB141" t="str">
        <v>ЩОВ-2</v>
      </c>
      <c r="AC141" t="str">
        <v>Ввод 1</v>
      </c>
      <c r="AD141" t="str">
        <v>нет</v>
      </c>
    </row>
    <row r="142" spans="27:30" x14ac:dyDescent="0.3">
      <c r="AA142">
        <v>1</v>
      </c>
      <c r="AB142" t="str">
        <v>ЩОВ-2</v>
      </c>
      <c r="AC142" t="str">
        <v>Ввод 1</v>
      </c>
      <c r="AD142" t="str">
        <v>нет</v>
      </c>
    </row>
    <row r="143" spans="27:30" x14ac:dyDescent="0.3">
      <c r="AA143">
        <v>1</v>
      </c>
      <c r="AB143" t="str">
        <v>ЩОВ-2</v>
      </c>
      <c r="AC143" t="str">
        <v>Ввод 1</v>
      </c>
      <c r="AD143" t="str">
        <v>нет</v>
      </c>
    </row>
    <row r="144" spans="27:30" x14ac:dyDescent="0.3">
      <c r="AA144">
        <v>1</v>
      </c>
      <c r="AB144" t="str">
        <v>ЩОВ-2</v>
      </c>
      <c r="AC144" t="str">
        <v>Ввод 1</v>
      </c>
      <c r="AD144" t="str">
        <v>нет</v>
      </c>
    </row>
    <row r="145" spans="27:30" x14ac:dyDescent="0.3">
      <c r="AA145">
        <v>1</v>
      </c>
      <c r="AB145" t="str">
        <v>ЩОВ-2</v>
      </c>
      <c r="AC145" t="str">
        <v>Ввод 1</v>
      </c>
      <c r="AD145" t="str">
        <v>нет</v>
      </c>
    </row>
    <row r="146" spans="27:30" x14ac:dyDescent="0.3">
      <c r="AA146">
        <v>1</v>
      </c>
      <c r="AB146" t="str">
        <v>ЩОВ-2</v>
      </c>
      <c r="AC146" t="str">
        <v>Ввод 1</v>
      </c>
      <c r="AD146" t="str">
        <v>нет</v>
      </c>
    </row>
    <row r="147" spans="27:30" x14ac:dyDescent="0.3">
      <c r="AA147">
        <v>1</v>
      </c>
      <c r="AB147" t="str">
        <v>ЩОВ-2</v>
      </c>
      <c r="AC147" t="str">
        <v>Ввод 1</v>
      </c>
      <c r="AD147" t="str">
        <v>нет</v>
      </c>
    </row>
    <row r="148" spans="27:30" x14ac:dyDescent="0.3">
      <c r="AA148">
        <v>1</v>
      </c>
      <c r="AB148" t="str">
        <v>ЩОВ-2</v>
      </c>
      <c r="AC148" t="str">
        <v>Ввод 1</v>
      </c>
      <c r="AD148" t="str">
        <v>нет</v>
      </c>
    </row>
    <row r="149" spans="27:30" x14ac:dyDescent="0.3">
      <c r="AA149">
        <v>1</v>
      </c>
      <c r="AB149" t="str">
        <v>ЩОВ-2</v>
      </c>
      <c r="AC149" t="str">
        <v>Ввод 1</v>
      </c>
      <c r="AD149" t="str">
        <v>нет</v>
      </c>
    </row>
    <row r="150" spans="27:30" x14ac:dyDescent="0.3">
      <c r="AA150">
        <v>1</v>
      </c>
      <c r="AB150" t="str">
        <v>ЩОВ-2</v>
      </c>
      <c r="AC150" t="str">
        <v>Ввод 1</v>
      </c>
      <c r="AD150" t="str">
        <v>нет</v>
      </c>
    </row>
    <row r="151" spans="27:30" x14ac:dyDescent="0.3">
      <c r="AA151">
        <v>1</v>
      </c>
      <c r="AB151" t="str">
        <v>ЩОВ-2</v>
      </c>
      <c r="AC151" t="str">
        <v>Ввод 1</v>
      </c>
      <c r="AD151" t="str">
        <v>нет</v>
      </c>
    </row>
    <row r="152" spans="27:30" x14ac:dyDescent="0.3">
      <c r="AA152">
        <v>1</v>
      </c>
      <c r="AB152" t="str">
        <v>ЩОВ-2</v>
      </c>
      <c r="AC152" t="str">
        <v>Ввод 1</v>
      </c>
      <c r="AD152" t="str">
        <v>нет</v>
      </c>
    </row>
    <row r="153" spans="27:30" x14ac:dyDescent="0.3">
      <c r="AA153">
        <v>1</v>
      </c>
      <c r="AB153" t="str">
        <v>ЩОВ-2</v>
      </c>
      <c r="AC153" t="str">
        <v>Ввод 1</v>
      </c>
      <c r="AD153" t="str">
        <v>нет</v>
      </c>
    </row>
    <row r="154" spans="27:30" x14ac:dyDescent="0.3">
      <c r="AA154">
        <v>1</v>
      </c>
      <c r="AB154" t="str">
        <v>ЩР-001</v>
      </c>
      <c r="AC154" t="str">
        <v>Ввод 1</v>
      </c>
      <c r="AD154" t="str">
        <v>нет</v>
      </c>
    </row>
    <row r="155" spans="27:30" x14ac:dyDescent="0.3">
      <c r="AA155">
        <v>1</v>
      </c>
      <c r="AB155" t="str">
        <v>ЩР-001</v>
      </c>
      <c r="AC155" t="str">
        <v>Ввод 1</v>
      </c>
      <c r="AD155" t="str">
        <v>нет</v>
      </c>
    </row>
    <row r="156" spans="27:30" x14ac:dyDescent="0.3">
      <c r="AA156">
        <v>1</v>
      </c>
      <c r="AB156" t="str">
        <v>ЩР-001</v>
      </c>
      <c r="AC156" t="str">
        <v>Ввод 1</v>
      </c>
      <c r="AD156" t="str">
        <v>нет</v>
      </c>
    </row>
    <row r="157" spans="27:30" x14ac:dyDescent="0.3">
      <c r="AA157">
        <v>1</v>
      </c>
      <c r="AB157" t="str">
        <v>ЩР-001</v>
      </c>
      <c r="AC157" t="str">
        <v>Ввод 1</v>
      </c>
      <c r="AD157" t="str">
        <v>нет</v>
      </c>
    </row>
    <row r="158" spans="27:30" x14ac:dyDescent="0.3">
      <c r="AA158">
        <v>1</v>
      </c>
      <c r="AB158" t="str">
        <v>ЩР-001</v>
      </c>
      <c r="AC158" t="str">
        <v>Ввод 1</v>
      </c>
      <c r="AD158" t="str">
        <v>нет</v>
      </c>
    </row>
    <row r="159" spans="27:30" x14ac:dyDescent="0.3">
      <c r="AA159">
        <v>1</v>
      </c>
      <c r="AB159" t="str">
        <v>ЩР-001</v>
      </c>
      <c r="AC159" t="str">
        <v>Ввод 1</v>
      </c>
      <c r="AD159" t="str">
        <v>нет</v>
      </c>
    </row>
    <row r="160" spans="27:30" x14ac:dyDescent="0.3">
      <c r="AA160">
        <v>1</v>
      </c>
      <c r="AB160" t="str">
        <v>ЩР-001</v>
      </c>
      <c r="AC160" t="str">
        <v>Ввод 1</v>
      </c>
      <c r="AD160" t="str">
        <v>нет</v>
      </c>
    </row>
    <row r="161" spans="27:30" x14ac:dyDescent="0.3">
      <c r="AA161">
        <v>1</v>
      </c>
      <c r="AB161" t="str">
        <v>ЩР-001</v>
      </c>
      <c r="AC161" t="str">
        <v>Ввод 1</v>
      </c>
      <c r="AD161" t="str">
        <v>нет</v>
      </c>
    </row>
    <row r="162" spans="27:30" x14ac:dyDescent="0.3">
      <c r="AA162">
        <v>1</v>
      </c>
      <c r="AB162" t="str">
        <v>ЩР-001</v>
      </c>
      <c r="AC162" t="str">
        <v>Ввод 1</v>
      </c>
      <c r="AD162" t="str">
        <v>нет</v>
      </c>
    </row>
    <row r="163" spans="27:30" x14ac:dyDescent="0.3">
      <c r="AA163">
        <v>1</v>
      </c>
      <c r="AB163" t="str">
        <v>ЩР-001</v>
      </c>
      <c r="AC163" t="str">
        <v>Ввод 1</v>
      </c>
      <c r="AD163" t="str">
        <v>нет</v>
      </c>
    </row>
    <row r="164" spans="27:30" x14ac:dyDescent="0.3">
      <c r="AA164">
        <v>1</v>
      </c>
      <c r="AB164" t="str">
        <v>ЩР-001</v>
      </c>
      <c r="AC164" t="str">
        <v>Ввод 1</v>
      </c>
      <c r="AD164" t="str">
        <v>нет</v>
      </c>
    </row>
    <row r="165" spans="27:30" x14ac:dyDescent="0.3">
      <c r="AA165">
        <v>1</v>
      </c>
      <c r="AB165" t="str">
        <v>ЩР-001</v>
      </c>
      <c r="AC165" t="str">
        <v>Ввод 1</v>
      </c>
      <c r="AD165" t="str">
        <v>нет</v>
      </c>
    </row>
    <row r="166" spans="27:30" x14ac:dyDescent="0.3">
      <c r="AA166">
        <v>1</v>
      </c>
      <c r="AB166" t="str">
        <v>ЩР-001</v>
      </c>
      <c r="AC166" t="str">
        <v>Ввод 1</v>
      </c>
      <c r="AD166" t="str">
        <v>нет</v>
      </c>
    </row>
    <row r="167" spans="27:30" x14ac:dyDescent="0.3">
      <c r="AA167">
        <v>1</v>
      </c>
      <c r="AB167" t="str">
        <v>ЩР-001</v>
      </c>
      <c r="AC167" t="str">
        <v>Ввод 1</v>
      </c>
      <c r="AD167" t="str">
        <v>нет</v>
      </c>
    </row>
    <row r="168" spans="27:30" x14ac:dyDescent="0.3">
      <c r="AA168">
        <v>1</v>
      </c>
      <c r="AB168" t="str">
        <v>ЩР-001</v>
      </c>
      <c r="AC168" t="str">
        <v>Ввод 1</v>
      </c>
      <c r="AD168" t="str">
        <v>нет</v>
      </c>
    </row>
    <row r="169" spans="27:30" x14ac:dyDescent="0.3">
      <c r="AA169">
        <v>1</v>
      </c>
      <c r="AB169" t="str">
        <v>ЩР-001</v>
      </c>
      <c r="AC169" t="str">
        <v>Ввод 1</v>
      </c>
      <c r="AD169" t="str">
        <v>нет</v>
      </c>
    </row>
    <row r="170" spans="27:30" x14ac:dyDescent="0.3">
      <c r="AA170">
        <v>1</v>
      </c>
      <c r="AB170" t="str">
        <v>ЩР-001</v>
      </c>
      <c r="AC170" t="str">
        <v>Ввод 1</v>
      </c>
      <c r="AD170" t="str">
        <v>нет</v>
      </c>
    </row>
    <row r="171" spans="27:30" x14ac:dyDescent="0.3">
      <c r="AA171">
        <v>1</v>
      </c>
      <c r="AB171" t="str">
        <v>ЩР-001</v>
      </c>
      <c r="AC171" t="str">
        <v>Ввод 1</v>
      </c>
      <c r="AD171" t="str">
        <v>нет</v>
      </c>
    </row>
    <row r="172" spans="27:30" x14ac:dyDescent="0.3">
      <c r="AA172">
        <v>1</v>
      </c>
      <c r="AB172" t="str">
        <v>ЩР-001</v>
      </c>
      <c r="AC172" t="str">
        <v>Ввод 1</v>
      </c>
      <c r="AD172" t="str">
        <v>нет</v>
      </c>
    </row>
    <row r="173" spans="27:30" x14ac:dyDescent="0.3">
      <c r="AA173">
        <v>1</v>
      </c>
      <c r="AB173" t="str">
        <v>ЩР-001</v>
      </c>
      <c r="AC173" t="str">
        <v>Ввод 1</v>
      </c>
      <c r="AD173" t="str">
        <v>нет</v>
      </c>
    </row>
    <row r="174" spans="27:30" x14ac:dyDescent="0.3">
      <c r="AA174">
        <v>1</v>
      </c>
      <c r="AB174" t="str">
        <v>ЩР-001</v>
      </c>
      <c r="AC174" t="str">
        <v>Ввод 1</v>
      </c>
      <c r="AD174" t="str">
        <v>нет</v>
      </c>
    </row>
    <row r="175" spans="27:30" x14ac:dyDescent="0.3">
      <c r="AA175">
        <v>1</v>
      </c>
      <c r="AB175" t="str">
        <v>ЩР-001</v>
      </c>
      <c r="AC175" t="str">
        <v>Ввод 1</v>
      </c>
      <c r="AD175" t="str">
        <v>нет</v>
      </c>
    </row>
    <row r="176" spans="27:30" x14ac:dyDescent="0.3">
      <c r="AA176">
        <v>1</v>
      </c>
      <c r="AB176" t="str">
        <v>ЩР-001</v>
      </c>
      <c r="AC176" t="str">
        <v>Ввод 1</v>
      </c>
      <c r="AD176" t="str">
        <v>нет</v>
      </c>
    </row>
    <row r="177" spans="27:30" x14ac:dyDescent="0.3">
      <c r="AA177">
        <v>1</v>
      </c>
      <c r="AB177" t="str">
        <v>ЩР-001</v>
      </c>
      <c r="AC177" t="str">
        <v>Ввод 1</v>
      </c>
      <c r="AD177" t="str">
        <v>нет</v>
      </c>
    </row>
    <row r="178" spans="27:30" x14ac:dyDescent="0.3">
      <c r="AA178">
        <v>1</v>
      </c>
      <c r="AB178" t="str">
        <v>ЩР-001</v>
      </c>
      <c r="AC178" t="str">
        <v>Ввод 1</v>
      </c>
      <c r="AD178" t="str">
        <v>нет</v>
      </c>
    </row>
    <row r="179" spans="27:30" x14ac:dyDescent="0.3">
      <c r="AA179">
        <v>1</v>
      </c>
      <c r="AB179" t="str">
        <v>ЩР-001</v>
      </c>
      <c r="AC179" t="str">
        <v>Ввод 1</v>
      </c>
      <c r="AD179" t="str">
        <v>нет</v>
      </c>
    </row>
    <row r="180" spans="27:30" x14ac:dyDescent="0.3">
      <c r="AA180">
        <v>1</v>
      </c>
      <c r="AB180" t="str">
        <v>ЩР-001</v>
      </c>
      <c r="AC180" t="str">
        <v>Ввод 1</v>
      </c>
      <c r="AD180" t="str">
        <v>нет</v>
      </c>
    </row>
    <row r="181" spans="27:30" x14ac:dyDescent="0.3">
      <c r="AA181">
        <v>1</v>
      </c>
      <c r="AB181" t="str">
        <v>ЩР-001</v>
      </c>
      <c r="AC181" t="str">
        <v>Ввод 1</v>
      </c>
      <c r="AD181" t="str">
        <v>нет</v>
      </c>
    </row>
    <row r="182" spans="27:30" x14ac:dyDescent="0.3">
      <c r="AA182">
        <v>1</v>
      </c>
      <c r="AB182" t="str">
        <v>ЩР-001</v>
      </c>
      <c r="AC182" t="str">
        <v>Ввод 1</v>
      </c>
      <c r="AD182" t="str">
        <v>нет</v>
      </c>
    </row>
    <row r="183" spans="27:30" x14ac:dyDescent="0.3">
      <c r="AA183">
        <v>1</v>
      </c>
      <c r="AB183" t="str">
        <v>ЩР-001</v>
      </c>
      <c r="AC183" t="str">
        <v>Ввод 1</v>
      </c>
      <c r="AD183" t="str">
        <v>нет</v>
      </c>
    </row>
    <row r="184" spans="27:30" x14ac:dyDescent="0.3">
      <c r="AA184">
        <v>1</v>
      </c>
      <c r="AB184" t="str">
        <v>ЩР-01</v>
      </c>
      <c r="AC184" t="str">
        <v>Ввод 1</v>
      </c>
      <c r="AD184" t="str">
        <v>нет</v>
      </c>
    </row>
    <row r="185" spans="27:30" x14ac:dyDescent="0.3">
      <c r="AA185">
        <v>1</v>
      </c>
      <c r="AB185" t="str">
        <v>ЩР-01</v>
      </c>
      <c r="AC185" t="str">
        <v>Ввод 1</v>
      </c>
      <c r="AD185" t="str">
        <v>нет</v>
      </c>
    </row>
    <row r="186" spans="27:30" x14ac:dyDescent="0.3">
      <c r="AA186">
        <v>1</v>
      </c>
      <c r="AB186" t="str">
        <v>ЩР-01</v>
      </c>
      <c r="AC186" t="str">
        <v>Ввод 1</v>
      </c>
      <c r="AD186" t="str">
        <v>нет</v>
      </c>
    </row>
    <row r="187" spans="27:30" x14ac:dyDescent="0.3">
      <c r="AA187">
        <v>1</v>
      </c>
      <c r="AB187" t="str">
        <v>ЩР-01</v>
      </c>
      <c r="AC187" t="str">
        <v>Ввод 1</v>
      </c>
      <c r="AD187" t="str">
        <v>нет</v>
      </c>
    </row>
    <row r="188" spans="27:30" x14ac:dyDescent="0.3">
      <c r="AA188">
        <v>1</v>
      </c>
      <c r="AB188" t="str">
        <v>ЩР-01</v>
      </c>
      <c r="AC188" t="str">
        <v>Ввод 1</v>
      </c>
      <c r="AD188" t="str">
        <v>нет</v>
      </c>
    </row>
    <row r="189" spans="27:30" x14ac:dyDescent="0.3">
      <c r="AA189">
        <v>1</v>
      </c>
      <c r="AB189" t="str">
        <v>ЩР-01</v>
      </c>
      <c r="AC189" t="str">
        <v>Ввод 1</v>
      </c>
      <c r="AD189" t="str">
        <v>нет</v>
      </c>
    </row>
    <row r="190" spans="27:30" x14ac:dyDescent="0.3">
      <c r="AA190">
        <v>1</v>
      </c>
      <c r="AB190" t="str">
        <v>ЩР-01</v>
      </c>
      <c r="AC190" t="str">
        <v>Ввод 1</v>
      </c>
      <c r="AD190" t="str">
        <v>нет</v>
      </c>
    </row>
    <row r="191" spans="27:30" x14ac:dyDescent="0.3">
      <c r="AA191">
        <v>1</v>
      </c>
      <c r="AB191" t="str">
        <v>ЩР-01</v>
      </c>
      <c r="AC191" t="str">
        <v>Ввод 1</v>
      </c>
      <c r="AD191" t="str">
        <v>нет</v>
      </c>
    </row>
    <row r="192" spans="27:30" x14ac:dyDescent="0.3">
      <c r="AA192">
        <v>1</v>
      </c>
      <c r="AB192" t="str">
        <v>ЩР-01</v>
      </c>
      <c r="AC192" t="str">
        <v>Ввод 1</v>
      </c>
      <c r="AD192" t="str">
        <v>нет</v>
      </c>
    </row>
    <row r="193" spans="27:30" x14ac:dyDescent="0.3">
      <c r="AA193">
        <v>1</v>
      </c>
      <c r="AB193" t="str">
        <v>ЩР-01</v>
      </c>
      <c r="AC193" t="str">
        <v>Ввод 1</v>
      </c>
      <c r="AD193" t="str">
        <v>нет</v>
      </c>
    </row>
    <row r="194" spans="27:30" x14ac:dyDescent="0.3">
      <c r="AA194">
        <v>1</v>
      </c>
      <c r="AB194" t="str">
        <v>ЩР-01</v>
      </c>
      <c r="AC194" t="str">
        <v>Ввод 1</v>
      </c>
      <c r="AD194" t="str">
        <v>нет</v>
      </c>
    </row>
    <row r="195" spans="27:30" x14ac:dyDescent="0.3">
      <c r="AA195">
        <v>1</v>
      </c>
      <c r="AB195" t="str">
        <v>ЩР-01</v>
      </c>
      <c r="AC195" t="str">
        <v>Ввод 1</v>
      </c>
      <c r="AD195" t="str">
        <v>нет</v>
      </c>
    </row>
    <row r="196" spans="27:30" x14ac:dyDescent="0.3">
      <c r="AA196">
        <v>1</v>
      </c>
      <c r="AB196" t="str">
        <v>ЩР-01</v>
      </c>
      <c r="AC196" t="str">
        <v>Ввод 1</v>
      </c>
      <c r="AD196" t="str">
        <v>нет</v>
      </c>
    </row>
    <row r="197" spans="27:30" x14ac:dyDescent="0.3">
      <c r="AA197">
        <v>1</v>
      </c>
      <c r="AB197" t="str">
        <v>ЩР-01</v>
      </c>
      <c r="AC197" t="str">
        <v>Ввод 1</v>
      </c>
      <c r="AD197" t="str">
        <v>нет</v>
      </c>
    </row>
    <row r="198" spans="27:30" x14ac:dyDescent="0.3">
      <c r="AA198">
        <v>1</v>
      </c>
      <c r="AB198" t="str">
        <v>ЩР-01</v>
      </c>
      <c r="AC198" t="str">
        <v>Ввод 1</v>
      </c>
      <c r="AD198" t="str">
        <v>нет</v>
      </c>
    </row>
    <row r="199" spans="27:30" x14ac:dyDescent="0.3">
      <c r="AA199">
        <v>1</v>
      </c>
      <c r="AB199" t="str">
        <v>ЩР-01</v>
      </c>
      <c r="AC199" t="str">
        <v>Ввод 1</v>
      </c>
      <c r="AD199" t="str">
        <v>нет</v>
      </c>
    </row>
    <row r="200" spans="27:30" x14ac:dyDescent="0.3">
      <c r="AA200">
        <v>1</v>
      </c>
      <c r="AB200" t="str">
        <v>ЩР-01</v>
      </c>
      <c r="AC200" t="str">
        <v>Ввод 1</v>
      </c>
      <c r="AD200" t="str">
        <v>нет</v>
      </c>
    </row>
    <row r="201" spans="27:30" x14ac:dyDescent="0.3">
      <c r="AA201">
        <v>1</v>
      </c>
      <c r="AB201" t="str">
        <v>ЩР-01</v>
      </c>
      <c r="AC201" t="str">
        <v>Ввод 1</v>
      </c>
      <c r="AD201" t="str">
        <v>нет</v>
      </c>
    </row>
    <row r="202" spans="27:30" x14ac:dyDescent="0.3">
      <c r="AA202">
        <v>1</v>
      </c>
      <c r="AB202" t="str">
        <v>ЩР-01</v>
      </c>
      <c r="AC202" t="str">
        <v>Ввод 1</v>
      </c>
      <c r="AD202" t="str">
        <v>нет</v>
      </c>
    </row>
    <row r="203" spans="27:30" x14ac:dyDescent="0.3">
      <c r="AA203">
        <v>1</v>
      </c>
      <c r="AB203" t="str">
        <v>ЩР-01</v>
      </c>
      <c r="AC203" t="str">
        <v>Ввод 1</v>
      </c>
      <c r="AD203" t="str">
        <v>нет</v>
      </c>
    </row>
    <row r="204" spans="27:30" x14ac:dyDescent="0.3">
      <c r="AA204">
        <v>1</v>
      </c>
      <c r="AB204" t="str">
        <v>ЩР-01</v>
      </c>
      <c r="AC204" t="str">
        <v>Ввод 1</v>
      </c>
      <c r="AD204" t="str">
        <v>нет</v>
      </c>
    </row>
    <row r="205" spans="27:30" x14ac:dyDescent="0.3">
      <c r="AA205">
        <v>1</v>
      </c>
      <c r="AB205" t="str">
        <v>ЩР-01</v>
      </c>
      <c r="AC205" t="str">
        <v>Ввод 1</v>
      </c>
      <c r="AD205" t="str">
        <v>нет</v>
      </c>
    </row>
    <row r="206" spans="27:30" x14ac:dyDescent="0.3">
      <c r="AA206">
        <v>1</v>
      </c>
      <c r="AB206" t="str">
        <v>ЩР-01</v>
      </c>
      <c r="AC206" t="str">
        <v>Ввод 1</v>
      </c>
      <c r="AD206" t="str">
        <v>нет</v>
      </c>
    </row>
    <row r="207" spans="27:30" x14ac:dyDescent="0.3">
      <c r="AA207">
        <v>1</v>
      </c>
      <c r="AB207" t="str">
        <v>ЩР-01</v>
      </c>
      <c r="AC207" t="str">
        <v>Ввод 1</v>
      </c>
      <c r="AD207" t="str">
        <v>нет</v>
      </c>
    </row>
    <row r="208" spans="27:30" x14ac:dyDescent="0.3">
      <c r="AA208">
        <v>1</v>
      </c>
      <c r="AB208" t="str">
        <v>ЩР-01</v>
      </c>
      <c r="AC208" t="str">
        <v>Ввод 1</v>
      </c>
      <c r="AD208" t="str">
        <v>нет</v>
      </c>
    </row>
    <row r="209" spans="27:30" x14ac:dyDescent="0.3">
      <c r="AA209">
        <v>1</v>
      </c>
      <c r="AB209" t="str">
        <v>ЩР-01</v>
      </c>
      <c r="AC209" t="str">
        <v>Ввод 1</v>
      </c>
      <c r="AD209" t="str">
        <v>нет</v>
      </c>
    </row>
    <row r="210" spans="27:30" x14ac:dyDescent="0.3">
      <c r="AA210">
        <v>1</v>
      </c>
      <c r="AB210" t="str">
        <v>ЩР-01</v>
      </c>
      <c r="AC210" t="str">
        <v>Ввод 1</v>
      </c>
      <c r="AD210" t="str">
        <v>нет</v>
      </c>
    </row>
    <row r="211" spans="27:30" x14ac:dyDescent="0.3">
      <c r="AA211">
        <v>1</v>
      </c>
      <c r="AB211" t="str">
        <v>ЩР-01</v>
      </c>
      <c r="AC211" t="str">
        <v>Ввод 1</v>
      </c>
      <c r="AD211" t="str">
        <v>нет</v>
      </c>
    </row>
    <row r="212" spans="27:30" x14ac:dyDescent="0.3">
      <c r="AA212">
        <v>1</v>
      </c>
      <c r="AB212" t="str">
        <v>ЩР-01</v>
      </c>
      <c r="AC212" t="str">
        <v>Ввод 1</v>
      </c>
      <c r="AD212" t="str">
        <v>нет</v>
      </c>
    </row>
    <row r="213" spans="27:30" x14ac:dyDescent="0.3">
      <c r="AA213">
        <v>1</v>
      </c>
      <c r="AB213" t="str">
        <v>ЩР-01</v>
      </c>
      <c r="AC213" t="str">
        <v>Ввод 1</v>
      </c>
      <c r="AD213" t="str">
        <v>нет</v>
      </c>
    </row>
    <row r="214" spans="27:30" x14ac:dyDescent="0.3">
      <c r="AA214">
        <v>1</v>
      </c>
      <c r="AB214" t="str">
        <v>ЩР-01</v>
      </c>
      <c r="AC214" t="str">
        <v>Ввод 1</v>
      </c>
      <c r="AD214" t="str">
        <v>нет</v>
      </c>
    </row>
    <row r="215" spans="27:30" x14ac:dyDescent="0.3">
      <c r="AA215">
        <v>1</v>
      </c>
      <c r="AB215" t="str">
        <v>ЩР-01</v>
      </c>
      <c r="AC215" t="str">
        <v>Ввод 1</v>
      </c>
      <c r="AD215" t="str">
        <v>нет</v>
      </c>
    </row>
    <row r="216" spans="27:30" x14ac:dyDescent="0.3">
      <c r="AA216">
        <v>1</v>
      </c>
      <c r="AB216" t="str">
        <v>ЩР-01</v>
      </c>
      <c r="AC216" t="str">
        <v>Ввод 1</v>
      </c>
      <c r="AD216" t="str">
        <v>нет</v>
      </c>
    </row>
    <row r="217" spans="27:30" x14ac:dyDescent="0.3">
      <c r="AA217">
        <v>1</v>
      </c>
      <c r="AB217" t="str">
        <v>ЩР-01</v>
      </c>
      <c r="AC217" t="str">
        <v>Ввод 1</v>
      </c>
      <c r="AD217" t="str">
        <v>нет</v>
      </c>
    </row>
    <row r="218" spans="27:30" x14ac:dyDescent="0.3">
      <c r="AA218">
        <v>1</v>
      </c>
      <c r="AB218" t="str">
        <v>ЩР-01</v>
      </c>
      <c r="AC218" t="str">
        <v>Ввод 1</v>
      </c>
      <c r="AD218" t="str">
        <v>нет</v>
      </c>
    </row>
    <row r="219" spans="27:30" x14ac:dyDescent="0.3">
      <c r="AA219">
        <v>1</v>
      </c>
      <c r="AB219" t="str">
        <v>ЩР-01</v>
      </c>
      <c r="AC219" t="str">
        <v>Ввод 1</v>
      </c>
      <c r="AD219" t="str">
        <v>нет</v>
      </c>
    </row>
    <row r="220" spans="27:30" x14ac:dyDescent="0.3">
      <c r="AA220">
        <v>1</v>
      </c>
      <c r="AB220" t="str">
        <v>ЩР-01</v>
      </c>
      <c r="AC220" t="str">
        <v>Ввод 1</v>
      </c>
      <c r="AD220" t="str">
        <v>нет</v>
      </c>
    </row>
    <row r="221" spans="27:30" x14ac:dyDescent="0.3">
      <c r="AA221">
        <v>1</v>
      </c>
      <c r="AB221" t="str">
        <v>ЩР-01</v>
      </c>
      <c r="AC221" t="str">
        <v>Ввод 1</v>
      </c>
      <c r="AD221" t="str">
        <v>нет</v>
      </c>
    </row>
    <row r="222" spans="27:30" x14ac:dyDescent="0.3">
      <c r="AA222">
        <v>1</v>
      </c>
      <c r="AB222" t="str">
        <v>ЩР-01</v>
      </c>
      <c r="AC222" t="str">
        <v>Ввод 1</v>
      </c>
      <c r="AD222" t="str">
        <v>нет</v>
      </c>
    </row>
    <row r="223" spans="27:30" x14ac:dyDescent="0.3">
      <c r="AA223">
        <v>1</v>
      </c>
      <c r="AB223" t="str">
        <v>ЩР-01</v>
      </c>
      <c r="AC223" t="str">
        <v>Ввод 1</v>
      </c>
      <c r="AD223" t="str">
        <v>нет</v>
      </c>
    </row>
    <row r="224" spans="27:30" x14ac:dyDescent="0.3">
      <c r="AA224">
        <v>1</v>
      </c>
      <c r="AB224" t="str">
        <v>ЩР-1</v>
      </c>
      <c r="AC224" t="str">
        <v>Ввод 2</v>
      </c>
      <c r="AD224" t="str">
        <v>нет</v>
      </c>
    </row>
    <row r="225" spans="27:30" x14ac:dyDescent="0.3">
      <c r="AA225">
        <v>1</v>
      </c>
      <c r="AB225" t="str">
        <v>ЩР-1</v>
      </c>
      <c r="AC225" t="str">
        <v>Ввод 2</v>
      </c>
      <c r="AD225" t="str">
        <v>нет</v>
      </c>
    </row>
    <row r="226" spans="27:30" x14ac:dyDescent="0.3">
      <c r="AA226">
        <v>1</v>
      </c>
      <c r="AB226" t="str">
        <v>ЩР-1</v>
      </c>
      <c r="AC226" t="str">
        <v>Ввод 2</v>
      </c>
      <c r="AD226" t="str">
        <v>нет</v>
      </c>
    </row>
    <row r="227" spans="27:30" x14ac:dyDescent="0.3">
      <c r="AA227">
        <v>1</v>
      </c>
      <c r="AB227" t="str">
        <v>ЩР-1</v>
      </c>
      <c r="AC227" t="str">
        <v>Ввод 2</v>
      </c>
      <c r="AD227" t="str">
        <v>нет</v>
      </c>
    </row>
    <row r="228" spans="27:30" x14ac:dyDescent="0.3">
      <c r="AA228">
        <v>1</v>
      </c>
      <c r="AB228" t="str">
        <v>ЩР-1</v>
      </c>
      <c r="AC228" t="str">
        <v>Ввод 2</v>
      </c>
      <c r="AD228" t="str">
        <v>нет</v>
      </c>
    </row>
    <row r="229" spans="27:30" x14ac:dyDescent="0.3">
      <c r="AA229">
        <v>1</v>
      </c>
      <c r="AB229" t="str">
        <v>ЩР-1</v>
      </c>
      <c r="AC229" t="str">
        <v>Ввод 2</v>
      </c>
      <c r="AD229" t="str">
        <v>нет</v>
      </c>
    </row>
    <row r="230" spans="27:30" x14ac:dyDescent="0.3">
      <c r="AA230">
        <v>1</v>
      </c>
      <c r="AB230" t="str">
        <v>ЩР-1</v>
      </c>
      <c r="AC230" t="str">
        <v>Ввод 2</v>
      </c>
      <c r="AD230" t="str">
        <v>нет</v>
      </c>
    </row>
    <row r="231" spans="27:30" x14ac:dyDescent="0.3">
      <c r="AA231">
        <v>1</v>
      </c>
      <c r="AB231" t="str">
        <v>ЩР-1</v>
      </c>
      <c r="AC231" t="str">
        <v>Ввод 2</v>
      </c>
      <c r="AD231" t="str">
        <v>нет</v>
      </c>
    </row>
    <row r="232" spans="27:30" x14ac:dyDescent="0.3">
      <c r="AA232">
        <v>1</v>
      </c>
      <c r="AB232" t="str">
        <v>ЩР-1</v>
      </c>
      <c r="AC232" t="str">
        <v>Ввод 2</v>
      </c>
      <c r="AD232" t="str">
        <v>нет</v>
      </c>
    </row>
    <row r="233" spans="27:30" x14ac:dyDescent="0.3">
      <c r="AA233">
        <v>1</v>
      </c>
      <c r="AB233" t="str">
        <v>ЩР-1</v>
      </c>
      <c r="AC233" t="str">
        <v>Ввод 2</v>
      </c>
      <c r="AD233" t="str">
        <v>нет</v>
      </c>
    </row>
    <row r="234" spans="27:30" x14ac:dyDescent="0.3">
      <c r="AA234">
        <v>1</v>
      </c>
      <c r="AB234" t="str">
        <v>ЩР-1</v>
      </c>
      <c r="AC234" t="str">
        <v>Ввод 2</v>
      </c>
      <c r="AD234" t="str">
        <v>нет</v>
      </c>
    </row>
    <row r="235" spans="27:30" x14ac:dyDescent="0.3">
      <c r="AA235">
        <v>1</v>
      </c>
      <c r="AB235" t="str">
        <v>ЩР-1</v>
      </c>
      <c r="AC235" t="str">
        <v>Ввод 2</v>
      </c>
      <c r="AD235" t="str">
        <v>нет</v>
      </c>
    </row>
    <row r="236" spans="27:30" x14ac:dyDescent="0.3">
      <c r="AA236">
        <v>1</v>
      </c>
      <c r="AB236" t="str">
        <v>ЩР-1</v>
      </c>
      <c r="AC236" t="str">
        <v>Ввод 2</v>
      </c>
      <c r="AD236" t="str">
        <v>нет</v>
      </c>
    </row>
    <row r="237" spans="27:30" x14ac:dyDescent="0.3">
      <c r="AA237">
        <v>1</v>
      </c>
      <c r="AB237" t="str">
        <v>ЩР-1</v>
      </c>
      <c r="AC237" t="str">
        <v>Ввод 2</v>
      </c>
      <c r="AD237" t="str">
        <v>нет</v>
      </c>
    </row>
    <row r="238" spans="27:30" x14ac:dyDescent="0.3">
      <c r="AA238">
        <v>1</v>
      </c>
      <c r="AB238" t="str">
        <v>ЩР-1</v>
      </c>
      <c r="AC238" t="str">
        <v>Ввод 2</v>
      </c>
      <c r="AD238" t="str">
        <v>нет</v>
      </c>
    </row>
    <row r="239" spans="27:30" x14ac:dyDescent="0.3">
      <c r="AA239">
        <v>1</v>
      </c>
      <c r="AB239" t="str">
        <v>ЩР-1</v>
      </c>
      <c r="AC239" t="str">
        <v>Ввод 2</v>
      </c>
      <c r="AD239" t="str">
        <v>нет</v>
      </c>
    </row>
    <row r="240" spans="27:30" x14ac:dyDescent="0.3">
      <c r="AA240">
        <v>1</v>
      </c>
      <c r="AB240" t="str">
        <v>ЩР-1</v>
      </c>
      <c r="AC240" t="str">
        <v>Ввод 2</v>
      </c>
      <c r="AD240" t="str">
        <v>нет</v>
      </c>
    </row>
    <row r="241" spans="27:30" x14ac:dyDescent="0.3">
      <c r="AA241">
        <v>1</v>
      </c>
      <c r="AB241" t="str">
        <v>ЩР-1</v>
      </c>
      <c r="AC241" t="str">
        <v>Ввод 2</v>
      </c>
      <c r="AD241" t="str">
        <v>нет</v>
      </c>
    </row>
    <row r="242" spans="27:30" x14ac:dyDescent="0.3">
      <c r="AA242">
        <v>1</v>
      </c>
      <c r="AB242" t="str">
        <v>ЩР-1</v>
      </c>
      <c r="AC242" t="str">
        <v>Ввод 2</v>
      </c>
      <c r="AD242" t="str">
        <v>нет</v>
      </c>
    </row>
    <row r="243" spans="27:30" x14ac:dyDescent="0.3">
      <c r="AA243">
        <v>1</v>
      </c>
      <c r="AB243" t="str">
        <v>ЩР-1</v>
      </c>
      <c r="AC243" t="str">
        <v>Ввод 2</v>
      </c>
      <c r="AD243" t="str">
        <v>нет</v>
      </c>
    </row>
    <row r="244" spans="27:30" x14ac:dyDescent="0.3">
      <c r="AA244">
        <v>1</v>
      </c>
      <c r="AB244" t="str">
        <v>ЩР-1</v>
      </c>
      <c r="AC244" t="str">
        <v>Ввод 2</v>
      </c>
      <c r="AD244" t="str">
        <v>нет</v>
      </c>
    </row>
    <row r="245" spans="27:30" x14ac:dyDescent="0.3">
      <c r="AA245">
        <v>1</v>
      </c>
      <c r="AB245" t="str">
        <v>ЩР-1</v>
      </c>
      <c r="AC245" t="str">
        <v>Ввод 2</v>
      </c>
      <c r="AD245" t="str">
        <v>нет</v>
      </c>
    </row>
    <row r="246" spans="27:30" x14ac:dyDescent="0.3">
      <c r="AA246">
        <v>1</v>
      </c>
      <c r="AB246" t="str">
        <v>ЩР-1</v>
      </c>
      <c r="AC246" t="str">
        <v>Ввод 2</v>
      </c>
      <c r="AD246" t="str">
        <v>нет</v>
      </c>
    </row>
    <row r="247" spans="27:30" x14ac:dyDescent="0.3">
      <c r="AA247">
        <v>1</v>
      </c>
      <c r="AB247" t="str">
        <v>ЩР-1</v>
      </c>
      <c r="AC247" t="str">
        <v>Ввод 2</v>
      </c>
      <c r="AD247" t="str">
        <v>нет</v>
      </c>
    </row>
    <row r="248" spans="27:30" x14ac:dyDescent="0.3">
      <c r="AA248">
        <v>1</v>
      </c>
      <c r="AB248" t="str">
        <v>ЩР-1</v>
      </c>
      <c r="AC248" t="str">
        <v>Ввод 2</v>
      </c>
      <c r="AD248" t="str">
        <v>нет</v>
      </c>
    </row>
    <row r="249" spans="27:30" x14ac:dyDescent="0.3">
      <c r="AA249">
        <v>1</v>
      </c>
      <c r="AB249" t="str">
        <v>ЩР-1</v>
      </c>
      <c r="AC249" t="str">
        <v>Ввод 2</v>
      </c>
      <c r="AD249" t="str">
        <v>нет</v>
      </c>
    </row>
    <row r="250" spans="27:30" x14ac:dyDescent="0.3">
      <c r="AA250">
        <v>1</v>
      </c>
      <c r="AB250" t="str">
        <v>ЩР-1</v>
      </c>
      <c r="AC250" t="str">
        <v>Ввод 2</v>
      </c>
      <c r="AD250" t="str">
        <v>нет</v>
      </c>
    </row>
    <row r="251" spans="27:30" x14ac:dyDescent="0.3">
      <c r="AA251">
        <v>1</v>
      </c>
      <c r="AB251" t="str">
        <v>ЩР-1</v>
      </c>
      <c r="AC251" t="str">
        <v>Ввод 2</v>
      </c>
      <c r="AD251" t="str">
        <v>нет</v>
      </c>
    </row>
    <row r="252" spans="27:30" x14ac:dyDescent="0.3">
      <c r="AA252">
        <v>1</v>
      </c>
      <c r="AB252" t="str">
        <v>ЩР-1</v>
      </c>
      <c r="AC252" t="str">
        <v>Ввод 2</v>
      </c>
      <c r="AD252" t="str">
        <v>нет</v>
      </c>
    </row>
    <row r="253" spans="27:30" x14ac:dyDescent="0.3">
      <c r="AA253">
        <v>1</v>
      </c>
      <c r="AB253" t="str">
        <v>ЩР-1</v>
      </c>
      <c r="AC253" t="str">
        <v>Ввод 2</v>
      </c>
      <c r="AD253" t="str">
        <v>нет</v>
      </c>
    </row>
    <row r="254" spans="27:30" x14ac:dyDescent="0.3">
      <c r="AA254">
        <v>1</v>
      </c>
      <c r="AB254" t="str">
        <v>ЩР-1</v>
      </c>
      <c r="AC254" t="str">
        <v>Ввод 2</v>
      </c>
      <c r="AD254" t="str">
        <v>нет</v>
      </c>
    </row>
    <row r="255" spans="27:30" x14ac:dyDescent="0.3">
      <c r="AA255">
        <v>1</v>
      </c>
      <c r="AB255" t="str">
        <v>ЩР-1</v>
      </c>
      <c r="AC255" t="str">
        <v>Ввод 2</v>
      </c>
      <c r="AD255" t="str">
        <v>нет</v>
      </c>
    </row>
    <row r="256" spans="27:30" x14ac:dyDescent="0.3">
      <c r="AA256">
        <v>1</v>
      </c>
      <c r="AB256" t="str">
        <v>ЩР-1</v>
      </c>
      <c r="AC256" t="str">
        <v>Ввод 2</v>
      </c>
      <c r="AD256" t="str">
        <v>нет</v>
      </c>
    </row>
    <row r="257" spans="27:30" x14ac:dyDescent="0.3">
      <c r="AA257">
        <v>1</v>
      </c>
      <c r="AB257" t="str">
        <v>ЩР-1</v>
      </c>
      <c r="AC257" t="str">
        <v>Ввод 2</v>
      </c>
      <c r="AD257" t="str">
        <v>нет</v>
      </c>
    </row>
    <row r="258" spans="27:30" x14ac:dyDescent="0.3">
      <c r="AA258">
        <v>1</v>
      </c>
      <c r="AB258" t="str">
        <v>ЩР-1</v>
      </c>
      <c r="AC258" t="str">
        <v>Ввод 2</v>
      </c>
      <c r="AD258" t="str">
        <v>нет</v>
      </c>
    </row>
    <row r="259" spans="27:30" x14ac:dyDescent="0.3">
      <c r="AA259">
        <v>1</v>
      </c>
      <c r="AB259" t="str">
        <v>ЩР-1</v>
      </c>
      <c r="AC259" t="str">
        <v>Ввод 2</v>
      </c>
      <c r="AD259" t="str">
        <v>нет</v>
      </c>
    </row>
    <row r="260" spans="27:30" x14ac:dyDescent="0.3">
      <c r="AA260">
        <v>1</v>
      </c>
      <c r="AB260" t="str">
        <v>ЩР-1</v>
      </c>
      <c r="AC260" t="str">
        <v>Ввод 2</v>
      </c>
      <c r="AD260" t="str">
        <v>нет</v>
      </c>
    </row>
    <row r="261" spans="27:30" x14ac:dyDescent="0.3">
      <c r="AA261">
        <v>1</v>
      </c>
      <c r="AB261" t="str">
        <v>ЩР-1</v>
      </c>
      <c r="AC261" t="str">
        <v>Ввод 2</v>
      </c>
      <c r="AD261" t="str">
        <v>нет</v>
      </c>
    </row>
    <row r="262" spans="27:30" x14ac:dyDescent="0.3">
      <c r="AA262">
        <v>1</v>
      </c>
      <c r="AB262" t="str">
        <v>ЩР-1</v>
      </c>
      <c r="AC262" t="str">
        <v>Ввод 2</v>
      </c>
      <c r="AD262" t="str">
        <v>нет</v>
      </c>
    </row>
    <row r="263" spans="27:30" x14ac:dyDescent="0.3">
      <c r="AA263">
        <v>1</v>
      </c>
      <c r="AB263" t="str">
        <v>ЩР-1</v>
      </c>
      <c r="AC263" t="str">
        <v>Ввод 2</v>
      </c>
      <c r="AD263" t="str">
        <v>нет</v>
      </c>
    </row>
    <row r="264" spans="27:30" x14ac:dyDescent="0.3">
      <c r="AA264">
        <v>1</v>
      </c>
      <c r="AB264" t="str">
        <v>ЩР-1</v>
      </c>
      <c r="AC264" t="str">
        <v>Ввод 2</v>
      </c>
      <c r="AD264" t="str">
        <v>нет</v>
      </c>
    </row>
    <row r="265" spans="27:30" x14ac:dyDescent="0.3">
      <c r="AA265">
        <v>1</v>
      </c>
      <c r="AB265" t="str">
        <v>ЩР-1</v>
      </c>
      <c r="AC265" t="str">
        <v>Ввод 2</v>
      </c>
      <c r="AD265" t="str">
        <v>нет</v>
      </c>
    </row>
    <row r="266" spans="27:30" x14ac:dyDescent="0.3">
      <c r="AA266">
        <v>1</v>
      </c>
      <c r="AB266" t="str">
        <v>ЩР-1</v>
      </c>
      <c r="AC266" t="str">
        <v>Ввод 2</v>
      </c>
      <c r="AD266" t="str">
        <v>нет</v>
      </c>
    </row>
    <row r="267" spans="27:30" x14ac:dyDescent="0.3">
      <c r="AA267">
        <v>1</v>
      </c>
      <c r="AB267" t="str">
        <v>ЩР-1</v>
      </c>
      <c r="AC267" t="str">
        <v>Ввод 2</v>
      </c>
      <c r="AD267" t="str">
        <v>нет</v>
      </c>
    </row>
    <row r="268" spans="27:30" x14ac:dyDescent="0.3">
      <c r="AA268">
        <v>1</v>
      </c>
      <c r="AB268" t="str">
        <v>ЩР-1</v>
      </c>
      <c r="AC268" t="str">
        <v>Ввод 2</v>
      </c>
      <c r="AD268" t="str">
        <v>нет</v>
      </c>
    </row>
    <row r="269" spans="27:30" x14ac:dyDescent="0.3">
      <c r="AA269">
        <v>1</v>
      </c>
      <c r="AB269" t="str">
        <v>ЩР-1</v>
      </c>
      <c r="AC269" t="str">
        <v>Ввод 2</v>
      </c>
      <c r="AD269" t="str">
        <v>нет</v>
      </c>
    </row>
    <row r="270" spans="27:30" x14ac:dyDescent="0.3">
      <c r="AA270">
        <v>1</v>
      </c>
      <c r="AB270" t="str">
        <v>ЩР-1</v>
      </c>
      <c r="AC270" t="str">
        <v>Ввод 2</v>
      </c>
      <c r="AD270" t="str">
        <v>нет</v>
      </c>
    </row>
    <row r="271" spans="27:30" x14ac:dyDescent="0.3">
      <c r="AA271">
        <v>1</v>
      </c>
      <c r="AB271" t="str">
        <v>ЩР-1</v>
      </c>
      <c r="AC271" t="str">
        <v>Ввод 2</v>
      </c>
      <c r="AD271" t="str">
        <v>нет</v>
      </c>
    </row>
    <row r="272" spans="27:30" x14ac:dyDescent="0.3">
      <c r="AA272">
        <v>1</v>
      </c>
      <c r="AB272" t="str">
        <v>ЩР-1</v>
      </c>
      <c r="AC272" t="str">
        <v>Ввод 2</v>
      </c>
      <c r="AD272" t="str">
        <v>нет</v>
      </c>
    </row>
    <row r="273" spans="27:30" x14ac:dyDescent="0.3">
      <c r="AA273">
        <v>1</v>
      </c>
      <c r="AB273" t="str">
        <v>ЩР-1</v>
      </c>
      <c r="AC273" t="str">
        <v>Ввод 2</v>
      </c>
      <c r="AD273" t="str">
        <v>нет</v>
      </c>
    </row>
    <row r="274" spans="27:30" x14ac:dyDescent="0.3">
      <c r="AA274">
        <v>1</v>
      </c>
      <c r="AB274" t="str">
        <v>ЩР-1</v>
      </c>
      <c r="AC274" t="str">
        <v>Ввод 2</v>
      </c>
      <c r="AD274" t="str">
        <v>нет</v>
      </c>
    </row>
    <row r="275" spans="27:30" x14ac:dyDescent="0.3">
      <c r="AA275">
        <v>1</v>
      </c>
      <c r="AB275" t="str">
        <v>ЩР-1</v>
      </c>
      <c r="AC275" t="str">
        <v>Ввод 2</v>
      </c>
      <c r="AD275" t="str">
        <v>нет</v>
      </c>
    </row>
    <row r="276" spans="27:30" x14ac:dyDescent="0.3">
      <c r="AA276">
        <v>1</v>
      </c>
      <c r="AB276" t="str">
        <v>ЩР-1</v>
      </c>
      <c r="AC276" t="str">
        <v>Ввод 2</v>
      </c>
      <c r="AD276" t="str">
        <v>нет</v>
      </c>
    </row>
    <row r="277" spans="27:30" x14ac:dyDescent="0.3">
      <c r="AA277">
        <v>1</v>
      </c>
      <c r="AB277" t="str">
        <v>ЩР-1</v>
      </c>
      <c r="AC277" t="str">
        <v>Ввод 2</v>
      </c>
      <c r="AD277" t="str">
        <v>нет</v>
      </c>
    </row>
    <row r="278" spans="27:30" x14ac:dyDescent="0.3">
      <c r="AA278">
        <v>1</v>
      </c>
      <c r="AB278" t="str">
        <v>ЩР-1</v>
      </c>
      <c r="AC278" t="str">
        <v>Ввод 2</v>
      </c>
      <c r="AD278" t="str">
        <v>нет</v>
      </c>
    </row>
    <row r="279" spans="27:30" x14ac:dyDescent="0.3">
      <c r="AA279">
        <v>1</v>
      </c>
      <c r="AB279" t="str">
        <v>ЩР-1</v>
      </c>
      <c r="AC279" t="str">
        <v>Ввод 2</v>
      </c>
      <c r="AD279" t="str">
        <v>нет</v>
      </c>
    </row>
    <row r="280" spans="27:30" x14ac:dyDescent="0.3">
      <c r="AA280">
        <v>1</v>
      </c>
      <c r="AB280" t="str">
        <v>ЩР-1</v>
      </c>
      <c r="AC280" t="str">
        <v>Ввод 2</v>
      </c>
      <c r="AD280" t="str">
        <v>нет</v>
      </c>
    </row>
    <row r="281" spans="27:30" x14ac:dyDescent="0.3">
      <c r="AA281">
        <v>1</v>
      </c>
      <c r="AB281" t="str">
        <v>ЩР-1</v>
      </c>
      <c r="AC281" t="str">
        <v>Ввод 2</v>
      </c>
      <c r="AD281" t="str">
        <v>нет</v>
      </c>
    </row>
    <row r="282" spans="27:30" x14ac:dyDescent="0.3">
      <c r="AA282">
        <v>1</v>
      </c>
      <c r="AB282" t="str">
        <v>ЩР-1</v>
      </c>
      <c r="AC282" t="str">
        <v>Ввод 2</v>
      </c>
      <c r="AD282" t="str">
        <v>нет</v>
      </c>
    </row>
    <row r="283" spans="27:30" x14ac:dyDescent="0.3">
      <c r="AA283">
        <v>1</v>
      </c>
      <c r="AB283" t="str">
        <v>ЩР-2</v>
      </c>
      <c r="AC283" t="str">
        <v>Ввод 1</v>
      </c>
      <c r="AD283" t="str">
        <v>нет</v>
      </c>
    </row>
    <row r="284" spans="27:30" x14ac:dyDescent="0.3">
      <c r="AA284">
        <v>1</v>
      </c>
      <c r="AB284" t="str">
        <v>ЩР-2</v>
      </c>
      <c r="AC284" t="str">
        <v>Ввод 1</v>
      </c>
      <c r="AD284" t="str">
        <v>нет</v>
      </c>
    </row>
    <row r="285" spans="27:30" x14ac:dyDescent="0.3">
      <c r="AA285">
        <v>1</v>
      </c>
      <c r="AB285" t="str">
        <v>ЩР-2</v>
      </c>
      <c r="AC285" t="str">
        <v>Ввод 1</v>
      </c>
      <c r="AD285" t="str">
        <v>нет</v>
      </c>
    </row>
    <row r="286" spans="27:30" x14ac:dyDescent="0.3">
      <c r="AA286">
        <v>1</v>
      </c>
      <c r="AB286" t="str">
        <v>ЩР-2</v>
      </c>
      <c r="AC286" t="str">
        <v>Ввод 1</v>
      </c>
      <c r="AD286" t="str">
        <v>нет</v>
      </c>
    </row>
    <row r="287" spans="27:30" x14ac:dyDescent="0.3">
      <c r="AA287">
        <v>1</v>
      </c>
      <c r="AB287" t="str">
        <v>ЩР-2</v>
      </c>
      <c r="AC287" t="str">
        <v>Ввод 1</v>
      </c>
      <c r="AD287" t="str">
        <v>нет</v>
      </c>
    </row>
    <row r="288" spans="27:30" x14ac:dyDescent="0.3">
      <c r="AA288">
        <v>1</v>
      </c>
      <c r="AB288" t="str">
        <v>ЩР-2</v>
      </c>
      <c r="AC288" t="str">
        <v>Ввод 1</v>
      </c>
      <c r="AD288" t="str">
        <v>нет</v>
      </c>
    </row>
    <row r="289" spans="27:30" x14ac:dyDescent="0.3">
      <c r="AA289">
        <v>1</v>
      </c>
      <c r="AB289" t="str">
        <v>ЩР-2</v>
      </c>
      <c r="AC289" t="str">
        <v>Ввод 1</v>
      </c>
      <c r="AD289" t="str">
        <v>нет</v>
      </c>
    </row>
    <row r="290" spans="27:30" x14ac:dyDescent="0.3">
      <c r="AA290">
        <v>1</v>
      </c>
      <c r="AB290" t="str">
        <v>ЩР-2</v>
      </c>
      <c r="AC290" t="str">
        <v>Ввод 1</v>
      </c>
      <c r="AD290" t="str">
        <v>нет</v>
      </c>
    </row>
    <row r="291" spans="27:30" x14ac:dyDescent="0.3">
      <c r="AA291">
        <v>1</v>
      </c>
      <c r="AB291" t="str">
        <v>ЩР-2</v>
      </c>
      <c r="AC291" t="str">
        <v>Ввод 1</v>
      </c>
      <c r="AD291" t="str">
        <v>нет</v>
      </c>
    </row>
    <row r="292" spans="27:30" x14ac:dyDescent="0.3">
      <c r="AA292">
        <v>1</v>
      </c>
      <c r="AB292" t="str">
        <v>ЩР-2</v>
      </c>
      <c r="AC292" t="str">
        <v>Ввод 1</v>
      </c>
      <c r="AD292" t="str">
        <v>нет</v>
      </c>
    </row>
    <row r="293" spans="27:30" x14ac:dyDescent="0.3">
      <c r="AA293">
        <v>1</v>
      </c>
      <c r="AB293" t="str">
        <v>ЩР-2</v>
      </c>
      <c r="AC293" t="str">
        <v>Ввод 1</v>
      </c>
      <c r="AD293" t="str">
        <v>нет</v>
      </c>
    </row>
    <row r="294" spans="27:30" x14ac:dyDescent="0.3">
      <c r="AA294">
        <v>1</v>
      </c>
      <c r="AB294" t="str">
        <v>ЩР-2</v>
      </c>
      <c r="AC294" t="str">
        <v>Ввод 1</v>
      </c>
      <c r="AD294" t="str">
        <v>нет</v>
      </c>
    </row>
    <row r="295" spans="27:30" x14ac:dyDescent="0.3">
      <c r="AA295">
        <v>1</v>
      </c>
      <c r="AB295" t="str">
        <v>ЩР-2</v>
      </c>
      <c r="AC295" t="str">
        <v>Ввод 1</v>
      </c>
      <c r="AD295" t="str">
        <v>нет</v>
      </c>
    </row>
    <row r="296" spans="27:30" x14ac:dyDescent="0.3">
      <c r="AA296">
        <v>1</v>
      </c>
      <c r="AB296" t="str">
        <v>ЩР-2</v>
      </c>
      <c r="AC296" t="str">
        <v>Ввод 1</v>
      </c>
      <c r="AD296" t="str">
        <v>нет</v>
      </c>
    </row>
    <row r="297" spans="27:30" x14ac:dyDescent="0.3">
      <c r="AA297">
        <v>1</v>
      </c>
      <c r="AB297" t="str">
        <v>ЩР-2</v>
      </c>
      <c r="AC297" t="str">
        <v>Ввод 1</v>
      </c>
      <c r="AD297" t="str">
        <v>нет</v>
      </c>
    </row>
    <row r="298" spans="27:30" x14ac:dyDescent="0.3">
      <c r="AA298">
        <v>1</v>
      </c>
      <c r="AB298" t="str">
        <v>ЩР-2</v>
      </c>
      <c r="AC298" t="str">
        <v>Ввод 1</v>
      </c>
      <c r="AD298" t="str">
        <v>нет</v>
      </c>
    </row>
    <row r="299" spans="27:30" x14ac:dyDescent="0.3">
      <c r="AA299">
        <v>1</v>
      </c>
      <c r="AB299" t="str">
        <v>ЩР-2</v>
      </c>
      <c r="AC299" t="str">
        <v>Ввод 1</v>
      </c>
      <c r="AD299" t="str">
        <v>нет</v>
      </c>
    </row>
    <row r="300" spans="27:30" x14ac:dyDescent="0.3">
      <c r="AA300">
        <v>1</v>
      </c>
      <c r="AB300" t="str">
        <v>ЩР-2</v>
      </c>
      <c r="AC300" t="str">
        <v>Ввод 1</v>
      </c>
      <c r="AD300" t="str">
        <v>нет</v>
      </c>
    </row>
    <row r="301" spans="27:30" x14ac:dyDescent="0.3">
      <c r="AA301">
        <v>1</v>
      </c>
      <c r="AB301" t="str">
        <v>ЩР-2</v>
      </c>
      <c r="AC301" t="str">
        <v>Ввод 1</v>
      </c>
      <c r="AD301" t="str">
        <v>нет</v>
      </c>
    </row>
    <row r="302" spans="27:30" x14ac:dyDescent="0.3">
      <c r="AA302">
        <v>1</v>
      </c>
      <c r="AB302" t="str">
        <v>ЩР-2</v>
      </c>
      <c r="AC302" t="str">
        <v>Ввод 1</v>
      </c>
      <c r="AD302" t="str">
        <v>нет</v>
      </c>
    </row>
    <row r="303" spans="27:30" x14ac:dyDescent="0.3">
      <c r="AA303">
        <v>1</v>
      </c>
      <c r="AB303" t="str">
        <v>ЩР-2</v>
      </c>
      <c r="AC303" t="str">
        <v>Ввод 1</v>
      </c>
      <c r="AD303" t="str">
        <v>нет</v>
      </c>
    </row>
    <row r="304" spans="27:30" x14ac:dyDescent="0.3">
      <c r="AA304">
        <v>1</v>
      </c>
      <c r="AB304" t="str">
        <v>ЩР-2</v>
      </c>
      <c r="AC304" t="str">
        <v>Ввод 1</v>
      </c>
      <c r="AD304" t="str">
        <v>нет</v>
      </c>
    </row>
    <row r="305" spans="27:30" x14ac:dyDescent="0.3">
      <c r="AA305">
        <v>1</v>
      </c>
      <c r="AB305" t="str">
        <v>ЩР-2</v>
      </c>
      <c r="AC305" t="str">
        <v>Ввод 1</v>
      </c>
      <c r="AD305" t="str">
        <v>нет</v>
      </c>
    </row>
    <row r="306" spans="27:30" x14ac:dyDescent="0.3">
      <c r="AA306">
        <v>1</v>
      </c>
      <c r="AB306" t="str">
        <v>ЩР-2</v>
      </c>
      <c r="AC306" t="str">
        <v>Ввод 1</v>
      </c>
      <c r="AD306" t="str">
        <v>нет</v>
      </c>
    </row>
    <row r="307" spans="27:30" x14ac:dyDescent="0.3">
      <c r="AA307">
        <v>1</v>
      </c>
      <c r="AB307" t="str">
        <v>ЩР-2</v>
      </c>
      <c r="AC307" t="str">
        <v>Ввод 1</v>
      </c>
      <c r="AD307" t="str">
        <v>нет</v>
      </c>
    </row>
    <row r="308" spans="27:30" x14ac:dyDescent="0.3">
      <c r="AA308">
        <v>1</v>
      </c>
      <c r="AB308" t="str">
        <v>ЩР-2</v>
      </c>
      <c r="AC308" t="str">
        <v>Ввод 1</v>
      </c>
      <c r="AD308" t="str">
        <v>нет</v>
      </c>
    </row>
    <row r="309" spans="27:30" x14ac:dyDescent="0.3">
      <c r="AA309">
        <v>1</v>
      </c>
      <c r="AB309" t="str">
        <v>ЩР-2</v>
      </c>
      <c r="AC309" t="str">
        <v>Ввод 1</v>
      </c>
      <c r="AD309" t="str">
        <v>нет</v>
      </c>
    </row>
    <row r="310" spans="27:30" x14ac:dyDescent="0.3">
      <c r="AA310">
        <v>1</v>
      </c>
      <c r="AB310" t="str">
        <v>ЩР-2</v>
      </c>
      <c r="AC310" t="str">
        <v>Ввод 1</v>
      </c>
      <c r="AD310" t="str">
        <v>нет</v>
      </c>
    </row>
    <row r="311" spans="27:30" x14ac:dyDescent="0.3">
      <c r="AA311">
        <v>1</v>
      </c>
      <c r="AB311" t="str">
        <v>ЩР-2</v>
      </c>
      <c r="AC311" t="str">
        <v>Ввод 1</v>
      </c>
      <c r="AD311" t="str">
        <v>нет</v>
      </c>
    </row>
    <row r="312" spans="27:30" x14ac:dyDescent="0.3">
      <c r="AA312">
        <v>1</v>
      </c>
      <c r="AB312" t="str">
        <v>ЩР-2</v>
      </c>
      <c r="AC312" t="str">
        <v>Ввод 1</v>
      </c>
      <c r="AD312" t="str">
        <v>нет</v>
      </c>
    </row>
    <row r="313" spans="27:30" x14ac:dyDescent="0.3">
      <c r="AA313">
        <v>1</v>
      </c>
      <c r="AB313" t="str">
        <v>ЩС-Б</v>
      </c>
      <c r="AC313" t="str">
        <v>Ввод 1</v>
      </c>
      <c r="AD313" t="str">
        <v>нет</v>
      </c>
    </row>
    <row r="314" spans="27:30" x14ac:dyDescent="0.3">
      <c r="AA314">
        <v>1</v>
      </c>
      <c r="AB314" t="str">
        <v>ЩС-Б</v>
      </c>
      <c r="AC314" t="str">
        <v>Ввод 1</v>
      </c>
      <c r="AD314" t="str">
        <v>нет</v>
      </c>
    </row>
    <row r="315" spans="27:30" x14ac:dyDescent="0.3">
      <c r="AA315">
        <v>1</v>
      </c>
      <c r="AB315" t="str">
        <v>ЩС-Б</v>
      </c>
      <c r="AC315" t="str">
        <v>Ввод 1</v>
      </c>
      <c r="AD315" t="str">
        <v>нет</v>
      </c>
    </row>
    <row r="316" spans="27:30" x14ac:dyDescent="0.3">
      <c r="AA316">
        <v>1</v>
      </c>
      <c r="AB316" t="str">
        <v>ЩС-Б</v>
      </c>
      <c r="AC316" t="str">
        <v>Ввод 1</v>
      </c>
      <c r="AD316" t="str">
        <v>нет</v>
      </c>
    </row>
    <row r="317" spans="27:30" x14ac:dyDescent="0.3">
      <c r="AA317">
        <v>1</v>
      </c>
      <c r="AB317" t="str">
        <v>ЩС-ВК.001</v>
      </c>
      <c r="AC317" t="str">
        <v>Ввод 2</v>
      </c>
      <c r="AD317" t="str">
        <v>нет</v>
      </c>
    </row>
    <row r="318" spans="27:30" x14ac:dyDescent="0.3">
      <c r="AA318">
        <v>1</v>
      </c>
      <c r="AB318" t="str">
        <v>ЩС-ВК.001</v>
      </c>
      <c r="AC318" t="str">
        <v>Ввод 2</v>
      </c>
      <c r="AD318" t="str">
        <v>нет</v>
      </c>
    </row>
    <row r="319" spans="27:30" x14ac:dyDescent="0.3">
      <c r="AA319">
        <v>1</v>
      </c>
      <c r="AB319" t="str">
        <v>ЩС-ВК.001</v>
      </c>
      <c r="AC319" t="str">
        <v>Ввод 2</v>
      </c>
      <c r="AD319" t="str">
        <v>нет</v>
      </c>
    </row>
    <row r="320" spans="27:30" x14ac:dyDescent="0.3">
      <c r="AA320">
        <v>1</v>
      </c>
      <c r="AB320" t="str">
        <v>ЩС-ВК.001</v>
      </c>
      <c r="AC320" t="str">
        <v>Ввод 2</v>
      </c>
      <c r="AD320" t="str">
        <v>нет</v>
      </c>
    </row>
    <row r="321" spans="27:30" x14ac:dyDescent="0.3">
      <c r="AA321">
        <v>1</v>
      </c>
      <c r="AB321" t="str">
        <v>ЩС-ВК.001</v>
      </c>
      <c r="AC321" t="str">
        <v>Ввод 2</v>
      </c>
      <c r="AD321" t="str">
        <v>нет</v>
      </c>
    </row>
    <row r="322" spans="27:30" x14ac:dyDescent="0.3">
      <c r="AA322">
        <v>1</v>
      </c>
      <c r="AB322" t="str">
        <v>ЩС-ВК.001</v>
      </c>
      <c r="AC322" t="str">
        <v>Ввод 2</v>
      </c>
      <c r="AD322" t="str">
        <v>нет</v>
      </c>
    </row>
    <row r="323" spans="27:30" x14ac:dyDescent="0.3">
      <c r="AA323">
        <v>1</v>
      </c>
      <c r="AB323" t="str">
        <v>ЩС-ВК.001</v>
      </c>
      <c r="AC323" t="str">
        <v>Ввод 2</v>
      </c>
      <c r="AD323" t="str">
        <v>нет</v>
      </c>
    </row>
    <row r="324" spans="27:30" x14ac:dyDescent="0.3">
      <c r="AA324">
        <v>1</v>
      </c>
      <c r="AB324" t="str">
        <v>ЩС-ВК.001</v>
      </c>
      <c r="AC324" t="str">
        <v>Ввод 2</v>
      </c>
      <c r="AD324" t="str">
        <v>нет</v>
      </c>
    </row>
    <row r="325" spans="27:30" x14ac:dyDescent="0.3">
      <c r="AA325">
        <v>1</v>
      </c>
      <c r="AB325" t="str">
        <v>ЩС-ВК.002</v>
      </c>
      <c r="AC325" t="str">
        <v>Ввод 2</v>
      </c>
      <c r="AD325" t="str">
        <v>нет</v>
      </c>
    </row>
    <row r="326" spans="27:30" x14ac:dyDescent="0.3">
      <c r="AA326">
        <v>1</v>
      </c>
      <c r="AB326" t="str">
        <v>ЩС-ВК.002</v>
      </c>
      <c r="AC326" t="str">
        <v>Ввод 2</v>
      </c>
      <c r="AD326" t="str">
        <v>нет</v>
      </c>
    </row>
    <row r="327" spans="27:30" x14ac:dyDescent="0.3">
      <c r="AA327">
        <v>1</v>
      </c>
      <c r="AB327" t="str">
        <v>ЩС-ВК.002</v>
      </c>
      <c r="AC327" t="str">
        <v>Ввод 2</v>
      </c>
      <c r="AD327" t="str">
        <v>нет</v>
      </c>
    </row>
    <row r="328" spans="27:30" x14ac:dyDescent="0.3">
      <c r="AA328">
        <v>1</v>
      </c>
      <c r="AB328" t="str">
        <v>ЩС-ВК.002</v>
      </c>
      <c r="AC328" t="str">
        <v>Ввод 2</v>
      </c>
      <c r="AD328" t="str">
        <v>нет</v>
      </c>
    </row>
    <row r="329" spans="27:30" x14ac:dyDescent="0.3">
      <c r="AA329">
        <v>1</v>
      </c>
      <c r="AB329" t="str">
        <v>ЩС-ВК.002</v>
      </c>
      <c r="AC329" t="str">
        <v>Ввод 2</v>
      </c>
      <c r="AD329" t="str">
        <v>нет</v>
      </c>
    </row>
    <row r="330" spans="27:30" x14ac:dyDescent="0.3">
      <c r="AA330">
        <v>1</v>
      </c>
      <c r="AB330" t="str">
        <v>ЩС-ВК.003</v>
      </c>
      <c r="AC330" t="str">
        <v>Ввод 2</v>
      </c>
      <c r="AD330" t="str">
        <v>нет</v>
      </c>
    </row>
    <row r="331" spans="27:30" x14ac:dyDescent="0.3">
      <c r="AA331">
        <v>1</v>
      </c>
      <c r="AB331" t="str">
        <v>ЩС-ВК.003</v>
      </c>
      <c r="AC331" t="str">
        <v>Ввод 2</v>
      </c>
      <c r="AD331" t="str">
        <v>нет</v>
      </c>
    </row>
    <row r="332" spans="27:30" x14ac:dyDescent="0.3">
      <c r="AA332">
        <v>1</v>
      </c>
      <c r="AB332" t="str">
        <v>ЩС-ВК.003</v>
      </c>
      <c r="AC332" t="str">
        <v>Ввод 2</v>
      </c>
      <c r="AD332" t="str">
        <v>нет</v>
      </c>
    </row>
    <row r="333" spans="27:30" x14ac:dyDescent="0.3">
      <c r="AA333">
        <v>1</v>
      </c>
      <c r="AB333" t="str">
        <v>ЩС-ВК.003</v>
      </c>
      <c r="AC333" t="str">
        <v>Ввод 2</v>
      </c>
      <c r="AD333" t="str">
        <v>нет</v>
      </c>
    </row>
    <row r="334" spans="27:30" x14ac:dyDescent="0.3">
      <c r="AA334">
        <v>1</v>
      </c>
      <c r="AB334" t="str">
        <v>ЩС-ВК.003</v>
      </c>
      <c r="AC334" t="str">
        <v>Ввод 2</v>
      </c>
      <c r="AD334" t="str">
        <v>нет</v>
      </c>
    </row>
    <row r="335" spans="27:30" x14ac:dyDescent="0.3">
      <c r="AA335">
        <v>1</v>
      </c>
      <c r="AB335" t="str">
        <v>ЩСПЗ-ЖД</v>
      </c>
      <c r="AC335" t="str">
        <v>Ввод 1</v>
      </c>
      <c r="AD335" t="str">
        <v>да</v>
      </c>
    </row>
    <row r="336" spans="27:30" x14ac:dyDescent="0.3">
      <c r="AA336">
        <v>1</v>
      </c>
      <c r="AB336" t="str">
        <v>ЩСПЗ-ЖД</v>
      </c>
      <c r="AC336" t="str">
        <v>Ввод 1</v>
      </c>
      <c r="AD336" t="str">
        <v>да</v>
      </c>
    </row>
    <row r="337" spans="27:30" x14ac:dyDescent="0.3">
      <c r="AA337">
        <v>1</v>
      </c>
      <c r="AB337" t="str">
        <v>ЩСПЗ-ЖД</v>
      </c>
      <c r="AC337" t="str">
        <v>Ввод 1</v>
      </c>
      <c r="AD337" t="str">
        <v>да</v>
      </c>
    </row>
    <row r="338" spans="27:30" x14ac:dyDescent="0.3">
      <c r="AA338">
        <v>1</v>
      </c>
      <c r="AB338" t="str">
        <v>ЩСПЗ-ЖД</v>
      </c>
      <c r="AC338" t="str">
        <v>Ввод 1</v>
      </c>
      <c r="AD338" t="str">
        <v>да</v>
      </c>
    </row>
    <row r="339" spans="27:30" x14ac:dyDescent="0.3">
      <c r="AA339">
        <v>1</v>
      </c>
      <c r="AB339" t="str">
        <v>ЩСПЗ-ЖД</v>
      </c>
      <c r="AC339" t="str">
        <v>Ввод 1</v>
      </c>
      <c r="AD339" t="str">
        <v>да</v>
      </c>
    </row>
    <row r="340" spans="27:30" x14ac:dyDescent="0.3">
      <c r="AA340">
        <v>1</v>
      </c>
      <c r="AB340" t="str">
        <v>ЩСПЗ-ЖД</v>
      </c>
      <c r="AC340" t="str">
        <v>Ввод 1</v>
      </c>
      <c r="AD340" t="str">
        <v>да</v>
      </c>
    </row>
    <row r="341" spans="27:30" x14ac:dyDescent="0.3">
      <c r="AA341">
        <v>1</v>
      </c>
      <c r="AB341" t="str">
        <v>ЩУОВ</v>
      </c>
      <c r="AC341" t="str">
        <v>Ввод 1</v>
      </c>
      <c r="AD341" t="str">
        <v>нет</v>
      </c>
    </row>
    <row r="342" spans="27:30" x14ac:dyDescent="0.3">
      <c r="AA342">
        <v>1</v>
      </c>
      <c r="AB342" t="str">
        <v>ЩУОВ</v>
      </c>
      <c r="AC342" t="str">
        <v>Ввод 1</v>
      </c>
      <c r="AD342" t="str">
        <v>нет</v>
      </c>
    </row>
    <row r="343" spans="27:30" x14ac:dyDescent="0.3">
      <c r="AA343">
        <v>1</v>
      </c>
      <c r="AB343" t="str">
        <v>ЩУОВ</v>
      </c>
      <c r="AC343" t="str">
        <v>Ввод 1</v>
      </c>
      <c r="AD343" t="str">
        <v>нет</v>
      </c>
    </row>
    <row r="344" spans="27:30" x14ac:dyDescent="0.3">
      <c r="AA344">
        <v>1</v>
      </c>
      <c r="AB344" t="str">
        <v>ЩУОВ</v>
      </c>
      <c r="AC344" t="str">
        <v>Ввод 1</v>
      </c>
      <c r="AD344" t="str">
        <v>нет</v>
      </c>
    </row>
    <row r="345" spans="27:30" x14ac:dyDescent="0.3">
      <c r="AA345">
        <v>1</v>
      </c>
      <c r="AB345" t="str">
        <v>ЩУОВ</v>
      </c>
      <c r="AC345" t="str">
        <v>Ввод 1</v>
      </c>
      <c r="AD345" t="str">
        <v>нет</v>
      </c>
    </row>
    <row r="346" spans="27:30" x14ac:dyDescent="0.3">
      <c r="AA346">
        <v>1</v>
      </c>
      <c r="AB346" t="str">
        <v>ЩУОВ</v>
      </c>
      <c r="AC346" t="str">
        <v>Ввод 1</v>
      </c>
      <c r="AD346" t="str">
        <v>нет</v>
      </c>
    </row>
    <row r="347" spans="27:30" x14ac:dyDescent="0.3">
      <c r="AA347">
        <v>1</v>
      </c>
      <c r="AB347" t="str">
        <v>ЩУОВ</v>
      </c>
      <c r="AC347" t="str">
        <v>Ввод 1</v>
      </c>
      <c r="AD347" t="str">
        <v>нет</v>
      </c>
    </row>
    <row r="348" spans="27:30" x14ac:dyDescent="0.3">
      <c r="AA348">
        <v>1</v>
      </c>
      <c r="AB348" t="str">
        <v>ЩУОВ</v>
      </c>
      <c r="AC348" t="str">
        <v>Ввод 1</v>
      </c>
      <c r="AD348" t="str">
        <v>нет</v>
      </c>
    </row>
    <row r="349" spans="27:30" x14ac:dyDescent="0.3">
      <c r="AA349">
        <v>1</v>
      </c>
      <c r="AB349" t="str">
        <v>ЩУОВ</v>
      </c>
      <c r="AC349" t="str">
        <v>Ввод 1</v>
      </c>
      <c r="AD349" t="str">
        <v>нет</v>
      </c>
    </row>
    <row r="350" spans="27:30" x14ac:dyDescent="0.3">
      <c r="AA350">
        <v>1</v>
      </c>
      <c r="AB350" t="str">
        <v>ЩУОВ</v>
      </c>
      <c r="AC350" t="str">
        <v>Ввод 1</v>
      </c>
      <c r="AD350" t="str">
        <v>нет</v>
      </c>
    </row>
    <row r="351" spans="27:30" x14ac:dyDescent="0.3">
      <c r="AA351">
        <v>1</v>
      </c>
      <c r="AB351" t="str">
        <v>ЩУОВ</v>
      </c>
      <c r="AC351" t="str">
        <v>Ввод 1</v>
      </c>
      <c r="AD351" t="str">
        <v>нет</v>
      </c>
    </row>
    <row r="352" spans="27:30" x14ac:dyDescent="0.3">
      <c r="AA352">
        <v>1</v>
      </c>
      <c r="AB352" t="str">
        <v>ЩУОВ</v>
      </c>
      <c r="AC352" t="str">
        <v>Ввод 1</v>
      </c>
      <c r="AD352" t="str">
        <v>нет</v>
      </c>
    </row>
  </sheetData>
  <dataValidations count="1">
    <dataValidation type="list" allowBlank="1" showInputMessage="1" showErrorMessage="1" sqref="C3" xr:uid="{88BECC60-58D5-43C5-8E03-E294D825A95C}">
      <formula1>Список_щитов</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18ED-750B-42AA-BC8A-42DF6D3D3B6D}">
  <sheetPr codeName="Лист17">
    <tabColor rgb="FF7030A0"/>
  </sheetPr>
  <dimension ref="A1:L200"/>
  <sheetViews>
    <sheetView workbookViewId="0"/>
  </sheetViews>
  <sheetFormatPr defaultRowHeight="14.4" x14ac:dyDescent="0.3"/>
  <cols>
    <col min="1" max="1" width="5.77734375" customWidth="1"/>
    <col min="2" max="2" width="48.77734375" customWidth="1"/>
    <col min="3" max="3" width="11.77734375" customWidth="1"/>
    <col min="4" max="6" width="8.77734375" customWidth="1"/>
    <col min="7" max="10" width="11.77734375" customWidth="1"/>
    <col min="12" max="12" width="60.77734375" customWidth="1"/>
  </cols>
  <sheetData>
    <row r="1" spans="1:12" ht="18" x14ac:dyDescent="0.35">
      <c r="A1" s="112" t="s">
        <v>1771</v>
      </c>
    </row>
    <row r="3" spans="1:12" ht="409.6" x14ac:dyDescent="0.3">
      <c r="B3" t="s">
        <v>809</v>
      </c>
      <c r="C3" s="113" t="s">
        <v>1772</v>
      </c>
      <c r="E3" s="36" t="s">
        <v>1775</v>
      </c>
      <c r="L3" s="4" t="s">
        <v>1781</v>
      </c>
    </row>
    <row r="4" spans="1:12" x14ac:dyDescent="0.3">
      <c r="B4" t="s">
        <v>1773</v>
      </c>
      <c r="C4" s="113" t="s">
        <v>783</v>
      </c>
      <c r="E4" t="s">
        <v>814</v>
      </c>
      <c r="G4" t="str">
        <f>"~"&amp;FIXED(Uн_лин*1000,0)&amp;"/"&amp;FIXED(Uн_лин*1000/SQRT(3),0)&amp;" В, 50 Гц"</f>
        <v>~400/231 В, 50 Гц</v>
      </c>
    </row>
    <row r="5" spans="1:12" x14ac:dyDescent="0.3">
      <c r="B5" t="s">
        <v>811</v>
      </c>
      <c r="C5" s="113" t="s">
        <v>1774</v>
      </c>
      <c r="E5" t="s">
        <v>815</v>
      </c>
      <c r="G5" t="s">
        <v>816</v>
      </c>
    </row>
    <row r="6" spans="1:12" x14ac:dyDescent="0.3">
      <c r="E6" t="s">
        <v>817</v>
      </c>
      <c r="G6" t="str">
        <f>_xlfn.XLOOKUP($C$4,Щиты[Щит],Щиты[Категория шины «Ввод»],"")</f>
        <v>I</v>
      </c>
    </row>
    <row r="7" spans="1:12" x14ac:dyDescent="0.3">
      <c r="E7" t="s">
        <v>818</v>
      </c>
      <c r="G7" t="str">
        <f>FIXED(C16,2)</f>
        <v>524,68</v>
      </c>
    </row>
    <row r="8" spans="1:12" x14ac:dyDescent="0.3">
      <c r="E8" t="s">
        <v>819</v>
      </c>
      <c r="G8" t="str">
        <f>FIXED(G16,2)&amp;" / "&amp;FIXED(I16,2)&amp;" / "&amp;FIXED(IF(I16=0,0,G16/I16),2)</f>
        <v>274,85 / 331,74 / 0,83</v>
      </c>
    </row>
    <row r="9" spans="1:12" x14ac:dyDescent="0.3">
      <c r="E9" t="s">
        <v>820</v>
      </c>
      <c r="G9" t="str">
        <f>FIXED(J16,1)</f>
        <v>478,8</v>
      </c>
    </row>
    <row r="10" spans="1:12" x14ac:dyDescent="0.3">
      <c r="E10" t="s">
        <v>1776</v>
      </c>
      <c r="G10" t="str">
        <f>IFERROR(FIXED(_xlfn.XLOOKUP($C$4,Щиты[Щит],Щиты[ΔU до шин, %]),2),"—")</f>
        <v>0,00</v>
      </c>
    </row>
    <row r="11" spans="1:12" x14ac:dyDescent="0.3">
      <c r="E11" t="s">
        <v>1777</v>
      </c>
      <c r="G11" t="str">
        <f>IFERROR(FIXED(_xlfn.XLOOKUP($C$4,Щиты[Щит],Щиты[Iкз min на шинах, А]),0)&amp;" А / "&amp;FIXED(_xlfn.XLOOKUP($C$4,Щиты[Щит],Щиты[Iкз max на шинах, кА]),1)&amp;" кА","нет данных сети")</f>
        <v>нет данных сети</v>
      </c>
    </row>
    <row r="12" spans="1:12" x14ac:dyDescent="0.3">
      <c r="E12" t="s">
        <v>821</v>
      </c>
      <c r="G12" t="str">
        <f>IF(N(G16)=0,"",IF(G16*(IF(G16=0,0,H16/G16)-0.35)&lt;50,"не требуется (&lt; 50 квар на ввод, СП 256 п. 7.3)",ROUND(G16*(H16/G16-0.35),1)&amp;" квар"))</f>
        <v>89,6 квар</v>
      </c>
    </row>
    <row r="14" spans="1:12" ht="100.8" x14ac:dyDescent="0.3">
      <c r="A14" s="123" t="s">
        <v>664</v>
      </c>
      <c r="B14" s="123" t="s">
        <v>1778</v>
      </c>
      <c r="C14" s="123" t="s">
        <v>803</v>
      </c>
      <c r="D14" s="123" t="s">
        <v>529</v>
      </c>
      <c r="E14" s="123" t="s">
        <v>801</v>
      </c>
      <c r="F14" s="123" t="s">
        <v>812</v>
      </c>
      <c r="G14" s="123" t="s">
        <v>841</v>
      </c>
      <c r="H14" s="123" t="s">
        <v>842</v>
      </c>
      <c r="I14" s="123" t="s">
        <v>843</v>
      </c>
      <c r="J14" s="123" t="s">
        <v>805</v>
      </c>
    </row>
    <row r="15" spans="1:12" x14ac:dyDescent="0.3">
      <c r="A15" s="126"/>
      <c r="B15" s="36" t="s">
        <v>1779</v>
      </c>
      <c r="C15" s="125">
        <f>IFERROR(SUM(INDEX(_xlfn.ANCHORARRAY(A17),0,3)),0)</f>
        <v>524.68100000000015</v>
      </c>
      <c r="D15" s="125"/>
      <c r="E15" s="125"/>
      <c r="F15" s="125"/>
      <c r="G15" s="125">
        <f>IFERROR(SUM(INDEX(_xlfn.ANCHORARRAY(A17),0,7)),0)</f>
        <v>297.88345120000002</v>
      </c>
      <c r="H15" s="125">
        <f>IFERROR(SUM(INDEX(_xlfn.ANCHORARRAY(A17),0,8)),0)</f>
        <v>194.91856141907996</v>
      </c>
      <c r="I15" s="125">
        <f>SQRT(G15^2+H15^2)</f>
        <v>355.98847746030549</v>
      </c>
      <c r="J15" s="125">
        <f>I15/(SQRT(3)*Uн_лин)</f>
        <v>513.82510822528104</v>
      </c>
    </row>
    <row r="16" spans="1:12" ht="201.6" x14ac:dyDescent="0.3">
      <c r="A16" s="126"/>
      <c r="B16" s="124" t="s">
        <v>1780</v>
      </c>
      <c r="C16" s="125" cm="1">
        <f t="array" ref="C16:J16">_xlfn.LET(_xlpm.щит_,$C$4,_xlpm.pth,Линии[_путь щита],_xlpm.m0,--ISNUMBER(SEARCH("|"&amp;_xlpm.щит_&amp;"|",_xlpm.pth))*(Линии[Номер линии]&lt;&gt;""),_xlpm.ch,IFERROR(_xlfn.TEXTBEFORE(_xlfn.TEXTAFTER(_xlpm.pth,"|"&amp;_xlpm.щит_&amp;"|"),"|"),""),_xlpm.src,IF(_xlpm.ch="",Линии[Источник для режимов],_xlfn.XLOOKUP(_xlpm.ch,Щиты[Щит],Щиты[Источник фидера],"Ввод 1")),_xlpm.fire,IF(_xlpm.ch="",Линии[Пожарная (итог)],IF(_xlfn.XLOOKUP(_xlpm.ch,Щиты[Щит],Щиты[Пожарный фидер],"нет")="да","да",Линии[Пожарная (итог)])),_xlpm.m,_xlpm.m0*(_xlpm.fire="нет")*IF($C$5="Весь щит",1,_xlpm.src=("Ввод "&amp;RIGHT($C$5,1))),_xlpm.byt,SUM(_xlpm.m*Линии[_Руст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cs_,IF(_xlpm.pw=0,0.95,_xlpm.pc/_xlpm.pw),_xlpm.pr,k_пк*_xlpm.byt*_xlpm.kc+_xlpm.ko*_xlpm.sil+_xlpm.post+_xlpm.otop+_xlpm.vng,_xlpm.qv_,_xlpm.pr*TAN(ACOS(_xlpm.cs_)),_xlfn.HSTACK(_xlpm.pall,IF(_xlpm.pall=0,0,_xlpm.pr/_xlpm.pall),_xlpm.cs_,TAN(ACOS(_xlpm.cs_)),_xlpm.pr,_xlpm.qv_,SQRT(_xlpm.pr^2+_xlpm.qv_^2),SQRT(_xlpm.pr^2+_xlpm.qv_^2)/(SQRT(3)*Uн_лин)))</f>
        <v>524.68100000000049</v>
      </c>
      <c r="D16" s="125">
        <v>0.52384563420440133</v>
      </c>
      <c r="E16" s="125">
        <v>0.82851018047156155</v>
      </c>
      <c r="F16" s="125">
        <v>0.67588065102723538</v>
      </c>
      <c r="G16" s="125">
        <v>274.85185119999977</v>
      </c>
      <c r="H16" s="125">
        <v>185.76704812509666</v>
      </c>
      <c r="I16" s="125">
        <v>331.74227387714518</v>
      </c>
      <c r="J16" s="125">
        <v>478.82872781137081</v>
      </c>
    </row>
    <row r="17" spans="1:10" x14ac:dyDescent="0.3">
      <c r="A17" s="7" cm="1">
        <f t="array" ref="A17:J26">_xlfn.LET(_xlpm.щит_,$C$4,_xlpm.pth,Линии[_путь щита],_xlpm.m0,--ISNUMBER(SEARCH("|"&amp;_xlpm.щит_&amp;"|",_xlpm.pth))*(Линии[Номер линии]&lt;&gt;""),_xlpm.ch,IFERROR(_xlfn.TEXTBEFORE(_xlfn.TEXTAFTER(_xlpm.pth,"|"&amp;_xlpm.щит_&amp;"|"),"|"),""),_xlpm.src,IF(_xlpm.ch="",Линии[Источник для режимов],_xlfn.XLOOKUP(_xlpm.ch,Щиты[Щит],Щиты[Источник фидера],"Ввод 1")),_xlpm.fire,IF(_xlpm.ch="",Линии[Пожарная (итог)],IF(_xlfn.XLOOKUP(_xlpm.ch,Щиты[Щит],Щиты[Пожарный фидер],"нет")="да","да",Линии[Пожарная (итог)])),_xlpm.m,_xlpm.m0*(_xlpm.fire="нет")*IF($C$5="Весь щит",1,_xlpm.src=("Ввод "&amp;RIGHT($C$5,1))),_xlpm.byt,SUM(_xlpm.m*Линии[_Руст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2026",IF(AND(_xlpm.byt&gt;0,_xlpm.sil&gt;0),Ко_сил,1),Ко_сил),_xlpm.cs_,IF(_xlpm.pw=0,0.95,_xlpm.pc/_xlpm.pw),_xlpm.kinds,_xlfn.UNIQUE(_xlfn._xlws.FILTER(Линии[Вид нагрузки (итог)],_xlpm.m,"")),_xlpm.rows,_xlfn.REDUCE("",_xlpm.kinds,_xlfn.LAMBDA(_xlpm.acc,_xlpm.k,_xlfn.LET(_xlpm.mk,_xlpm.m*(Линии[Вид нагрузки (итог)]=_xlpm.k),_xlpm.bb_,SUM(_xlpm.mk*Линии[_Руст быт]),_xlpm.ss_,SUM(_xlpm.mk*Линии[_Рр сил]),_xlpm.pp_,SUM(_xlpm.mk*Линии[_Руст пост]),_xlpm.oo_,SUM(_xlpm.mk*Линии[_Р отопления]),_xlpm.vv_,SUM(_xlpm.mk*Линии[_Рр ВНГ]),_xlpm.aa_,SUM(_xlpm.mk*Линии[_Руст (без Нет)]),_xlpm.ww_,SUM(_xlpm.mk*Линии[_P для cos]),_xlpm.cc_,SUM(_xlpm.mk*Линии[_P·cos]),_xlpm.cs,IF(_xlpm.ww_=0,0.95,_xlpm.cc_/_xlpm.ww_),_xlpm.prr_,k_пк*_xlpm.bb_*_xlpm.kc+_xlpm.ss_+_xlpm.pp_+_xlpm.oo_+_xlpm.vv_,_xlpm.qq_,_xlpm.prr_*TAN(ACOS(_xlpm.cs)),_xlfn.VSTACK(_xlpm.acc,_xlfn.HSTACK(_xlpm.k,_xlpm.aa_,IF(_xlpm.aa_=0,0,_xlpm.prr_/_xlpm.aa_),_xlpm.cs,TAN(ACOS(_xlpm.cs)),_xlpm.prr_,_xlpm.qq_,SQRT(_xlpm.prr_^2+_xlpm.qq_^2),SQRT(_xlpm.prr_^2+_xlpm.qq_^2)/(SQRT(3)*Uн_лин)))))),_xlpm.b0,_xlfn.DROP(_xlpm.rows,1),_xlpm.body,_xlfn._xlws.FILTER(_xlpm.b0,(_xlfn.CHOOSECOLS(_xlpm.b0,2)&lt;&gt;0)+(_xlfn.CHOOSECOLS(_xlpm.b0,6)&lt;&gt;0),_xlpm.b0),_xlfn.HSTACK(_xlfn.SEQUENCE(ROWS(_xlpm.body)),_xlpm.body))</f>
        <v>1</v>
      </c>
      <c r="B17" t="str">
        <v>Вентиляция</v>
      </c>
      <c r="C17" s="6">
        <v>29.240000000000002</v>
      </c>
      <c r="D17" s="6">
        <v>0.5</v>
      </c>
      <c r="E17" s="6">
        <v>0.80000000000000027</v>
      </c>
      <c r="F17" s="6">
        <v>0.74999999999999933</v>
      </c>
      <c r="G17" s="6">
        <v>14.620000000000001</v>
      </c>
      <c r="H17" s="6">
        <v>10.964999999999991</v>
      </c>
      <c r="I17" s="6">
        <v>18.274999999999995</v>
      </c>
      <c r="J17" s="6">
        <v>26.37769042360102</v>
      </c>
    </row>
    <row r="18" spans="1:10" x14ac:dyDescent="0.3">
      <c r="A18" s="7">
        <v>2</v>
      </c>
      <c r="B18" t="str">
        <v>Бассейн, SPA, хаммам</v>
      </c>
      <c r="C18" s="6">
        <v>67.989999999999995</v>
      </c>
      <c r="D18" s="6">
        <v>0.43675540520664813</v>
      </c>
      <c r="E18" s="6">
        <v>0.80000000000000016</v>
      </c>
      <c r="F18" s="6">
        <v>0.74999999999999944</v>
      </c>
      <c r="G18" s="6">
        <v>29.695000000000004</v>
      </c>
      <c r="H18" s="6">
        <v>22.271249999999988</v>
      </c>
      <c r="I18" s="6">
        <v>37.118749999999999</v>
      </c>
      <c r="J18" s="6">
        <v>53.576300761206049</v>
      </c>
    </row>
    <row r="19" spans="1:10" x14ac:dyDescent="0.3">
      <c r="A19" s="7">
        <v>3</v>
      </c>
      <c r="B19" t="str">
        <v>Насосы (водоснабжение, дренаж)</v>
      </c>
      <c r="C19" s="6">
        <v>9.8999999999999986</v>
      </c>
      <c r="D19" s="6">
        <v>0.62323232323232336</v>
      </c>
      <c r="E19" s="6">
        <v>0.80000000000000027</v>
      </c>
      <c r="F19" s="6">
        <v>0.74999999999999933</v>
      </c>
      <c r="G19" s="6">
        <v>6.17</v>
      </c>
      <c r="H19" s="6">
        <v>4.6274999999999959</v>
      </c>
      <c r="I19" s="6">
        <v>7.7124999999999977</v>
      </c>
      <c r="J19" s="6">
        <v>11.132034877812469</v>
      </c>
    </row>
    <row r="20" spans="1:10" x14ac:dyDescent="0.3">
      <c r="A20" s="7">
        <v>4</v>
      </c>
      <c r="B20" t="str">
        <v>Обогрев водостоков и кровли</v>
      </c>
      <c r="C20" s="6">
        <v>16.439999999999998</v>
      </c>
      <c r="D20" s="6">
        <v>1</v>
      </c>
      <c r="E20" s="6">
        <v>0.95000000000000007</v>
      </c>
      <c r="F20" s="6">
        <v>0.32868410517886271</v>
      </c>
      <c r="G20" s="6">
        <v>16.439999999999998</v>
      </c>
      <c r="H20" s="6">
        <v>5.4035666891405025</v>
      </c>
      <c r="I20" s="6">
        <v>17.305263157894732</v>
      </c>
      <c r="J20" s="6">
        <v>24.977995856519591</v>
      </c>
    </row>
    <row r="21" spans="1:10" x14ac:dyDescent="0.3">
      <c r="A21" s="7">
        <v>5</v>
      </c>
      <c r="B21" t="str">
        <v>Технология пищеприготовления</v>
      </c>
      <c r="C21" s="6">
        <v>103.95</v>
      </c>
      <c r="D21" s="6">
        <v>0.7</v>
      </c>
      <c r="E21" s="6">
        <v>0.8</v>
      </c>
      <c r="F21" s="6">
        <v>0.74999999999999978</v>
      </c>
      <c r="G21" s="6">
        <v>72.765000000000001</v>
      </c>
      <c r="H21" s="6">
        <v>54.573749999999983</v>
      </c>
      <c r="I21" s="6">
        <v>90.956249999999983</v>
      </c>
      <c r="J21" s="6">
        <v>131.28403855494722</v>
      </c>
    </row>
    <row r="22" spans="1:10" x14ac:dyDescent="0.3">
      <c r="A22" s="7">
        <v>6</v>
      </c>
      <c r="B22" t="str">
        <v>Системы безопасности и связи</v>
      </c>
      <c r="C22" s="6">
        <v>2.4000000000000004</v>
      </c>
      <c r="D22" s="6">
        <v>1</v>
      </c>
      <c r="E22" s="6">
        <v>0.94999999999999973</v>
      </c>
      <c r="F22" s="6">
        <v>0.32868410517886398</v>
      </c>
      <c r="G22" s="6">
        <v>2.4000000000000004</v>
      </c>
      <c r="H22" s="6">
        <v>0.78884185242927363</v>
      </c>
      <c r="I22" s="6">
        <v>2.526315789473685</v>
      </c>
      <c r="J22" s="6">
        <v>3.6464227527765849</v>
      </c>
    </row>
    <row r="23" spans="1:10" x14ac:dyDescent="0.3">
      <c r="A23" s="7">
        <v>7</v>
      </c>
      <c r="B23" t="str">
        <v>Рабочее освещение</v>
      </c>
      <c r="C23" s="6">
        <v>1.9000000000000006</v>
      </c>
      <c r="D23" s="6">
        <v>0.47592000000000001</v>
      </c>
      <c r="E23" s="6">
        <v>0.94999999999999951</v>
      </c>
      <c r="F23" s="6">
        <v>0.32868410517886471</v>
      </c>
      <c r="G23" s="6">
        <v>0.90424800000000027</v>
      </c>
      <c r="H23" s="6">
        <v>0.29721194473977813</v>
      </c>
      <c r="I23" s="6">
        <v>0.9518400000000008</v>
      </c>
      <c r="J23" s="6">
        <v>1.3738627005636346</v>
      </c>
    </row>
    <row r="24" spans="1:10" x14ac:dyDescent="0.3">
      <c r="A24" s="7">
        <v>8</v>
      </c>
      <c r="B24" t="str">
        <v>Кондиционирование и увлажнение</v>
      </c>
      <c r="C24" s="6">
        <v>213.23600000000019</v>
      </c>
      <c r="D24" s="6">
        <v>0.5</v>
      </c>
      <c r="E24" s="6">
        <v>0.80000000000000027</v>
      </c>
      <c r="F24" s="6">
        <v>0.74999999999999933</v>
      </c>
      <c r="G24" s="6">
        <v>106.61800000000009</v>
      </c>
      <c r="H24" s="6">
        <v>79.963499999999996</v>
      </c>
      <c r="I24" s="6">
        <v>133.27250000000006</v>
      </c>
      <c r="J24" s="6">
        <v>192.36228437643609</v>
      </c>
    </row>
    <row r="25" spans="1:10" x14ac:dyDescent="0.3">
      <c r="A25" s="7">
        <v>9</v>
      </c>
      <c r="B25" t="str">
        <v>Розеточная сеть и бытовые приборы</v>
      </c>
      <c r="C25" s="6">
        <v>60.099999999999987</v>
      </c>
      <c r="D25" s="6">
        <v>0.47830620965058235</v>
      </c>
      <c r="E25" s="6">
        <v>0.94840266222961744</v>
      </c>
      <c r="F25" s="6">
        <v>0.33431836936132092</v>
      </c>
      <c r="G25" s="6">
        <v>28.746203199999993</v>
      </c>
      <c r="H25" s="6">
        <v>9.6103837791531834</v>
      </c>
      <c r="I25" s="6">
        <v>30.31012495517464</v>
      </c>
      <c r="J25" s="6">
        <v>43.748897005103181</v>
      </c>
    </row>
    <row r="26" spans="1:10" x14ac:dyDescent="0.3">
      <c r="A26" s="7">
        <v>10</v>
      </c>
      <c r="B26" t="str">
        <v>Слаботочные системы, автоматизация, KNX</v>
      </c>
      <c r="C26" s="6">
        <v>19.524999999999999</v>
      </c>
      <c r="D26" s="6">
        <v>1</v>
      </c>
      <c r="E26" s="6">
        <v>0.95000000000000018</v>
      </c>
      <c r="F26" s="6">
        <v>0.32868410517886248</v>
      </c>
      <c r="G26" s="6">
        <v>19.524999999999999</v>
      </c>
      <c r="H26" s="6">
        <v>6.41755715361729</v>
      </c>
      <c r="I26" s="6">
        <v>20.552631578947363</v>
      </c>
      <c r="J26" s="6">
        <v>29.665168436651157</v>
      </c>
    </row>
    <row r="27" spans="1:10" x14ac:dyDescent="0.3">
      <c r="A27" s="7"/>
      <c r="C27" s="6"/>
      <c r="D27" s="6"/>
      <c r="E27" s="6"/>
      <c r="F27" s="6"/>
      <c r="G27" s="6"/>
      <c r="H27" s="6"/>
      <c r="I27" s="6"/>
      <c r="J27" s="6"/>
    </row>
    <row r="28" spans="1:10" x14ac:dyDescent="0.3">
      <c r="A28" s="7"/>
      <c r="C28" s="6"/>
      <c r="D28" s="6"/>
      <c r="E28" s="6"/>
      <c r="F28" s="6"/>
      <c r="G28" s="6"/>
      <c r="H28" s="6"/>
      <c r="I28" s="6"/>
      <c r="J28" s="6"/>
    </row>
    <row r="29" spans="1:10" x14ac:dyDescent="0.3">
      <c r="A29" s="7"/>
      <c r="C29" s="6"/>
      <c r="D29" s="6"/>
      <c r="E29" s="6"/>
      <c r="F29" s="6"/>
      <c r="G29" s="6"/>
      <c r="H29" s="6"/>
      <c r="I29" s="6"/>
      <c r="J29" s="6"/>
    </row>
    <row r="30" spans="1:10" x14ac:dyDescent="0.3">
      <c r="A30" s="7"/>
      <c r="C30" s="6"/>
      <c r="D30" s="6"/>
      <c r="E30" s="6"/>
      <c r="F30" s="6"/>
      <c r="G30" s="6"/>
      <c r="H30" s="6"/>
      <c r="I30" s="6"/>
      <c r="J30" s="6"/>
    </row>
    <row r="31" spans="1:10" x14ac:dyDescent="0.3">
      <c r="A31" s="7"/>
      <c r="C31" s="6"/>
      <c r="D31" s="6"/>
      <c r="E31" s="6"/>
      <c r="F31" s="6"/>
      <c r="G31" s="6"/>
      <c r="H31" s="6"/>
      <c r="I31" s="6"/>
      <c r="J31" s="6"/>
    </row>
    <row r="32" spans="1:10" x14ac:dyDescent="0.3">
      <c r="A32" s="7"/>
      <c r="C32" s="6"/>
      <c r="D32" s="6"/>
      <c r="E32" s="6"/>
      <c r="F32" s="6"/>
      <c r="G32" s="6"/>
      <c r="H32" s="6"/>
      <c r="I32" s="6"/>
      <c r="J32" s="6"/>
    </row>
    <row r="33" spans="1:10" x14ac:dyDescent="0.3">
      <c r="A33" s="7"/>
      <c r="C33" s="6"/>
      <c r="D33" s="6"/>
      <c r="E33" s="6"/>
      <c r="F33" s="6"/>
      <c r="G33" s="6"/>
      <c r="H33" s="6"/>
      <c r="I33" s="6"/>
      <c r="J33" s="6"/>
    </row>
    <row r="34" spans="1:10" x14ac:dyDescent="0.3">
      <c r="A34" s="7"/>
      <c r="C34" s="6"/>
      <c r="D34" s="6"/>
      <c r="E34" s="6"/>
      <c r="F34" s="6"/>
      <c r="G34" s="6"/>
      <c r="H34" s="6"/>
      <c r="I34" s="6"/>
      <c r="J34" s="6"/>
    </row>
    <row r="35" spans="1:10" x14ac:dyDescent="0.3">
      <c r="A35" s="7"/>
      <c r="C35" s="6"/>
      <c r="D35" s="6"/>
      <c r="E35" s="6"/>
      <c r="F35" s="6"/>
      <c r="G35" s="6"/>
      <c r="H35" s="6"/>
      <c r="I35" s="6"/>
      <c r="J35" s="6"/>
    </row>
    <row r="36" spans="1:10" x14ac:dyDescent="0.3">
      <c r="A36" s="7"/>
      <c r="C36" s="6"/>
      <c r="D36" s="6"/>
      <c r="E36" s="6"/>
      <c r="F36" s="6"/>
      <c r="G36" s="6"/>
      <c r="H36" s="6"/>
      <c r="I36" s="6"/>
      <c r="J36" s="6"/>
    </row>
    <row r="37" spans="1:10" x14ac:dyDescent="0.3">
      <c r="A37" s="7"/>
      <c r="C37" s="6"/>
      <c r="D37" s="6"/>
      <c r="E37" s="6"/>
      <c r="F37" s="6"/>
      <c r="G37" s="6"/>
      <c r="H37" s="6"/>
      <c r="I37" s="6"/>
      <c r="J37" s="6"/>
    </row>
    <row r="38" spans="1:10" x14ac:dyDescent="0.3">
      <c r="A38" s="7"/>
      <c r="C38" s="6"/>
      <c r="D38" s="6"/>
      <c r="E38" s="6"/>
      <c r="F38" s="6"/>
      <c r="G38" s="6"/>
      <c r="H38" s="6"/>
      <c r="I38" s="6"/>
      <c r="J38" s="6"/>
    </row>
    <row r="39" spans="1:10" x14ac:dyDescent="0.3">
      <c r="A39" s="7"/>
      <c r="C39" s="6"/>
      <c r="D39" s="6"/>
      <c r="E39" s="6"/>
      <c r="F39" s="6"/>
      <c r="G39" s="6"/>
      <c r="H39" s="6"/>
      <c r="I39" s="6"/>
      <c r="J39" s="6"/>
    </row>
    <row r="40" spans="1:10" x14ac:dyDescent="0.3">
      <c r="A40" s="7"/>
      <c r="C40" s="6"/>
      <c r="D40" s="6"/>
      <c r="E40" s="6"/>
      <c r="F40" s="6"/>
      <c r="G40" s="6"/>
      <c r="H40" s="6"/>
      <c r="I40" s="6"/>
      <c r="J40" s="6"/>
    </row>
    <row r="41" spans="1:10" x14ac:dyDescent="0.3">
      <c r="A41" s="7"/>
      <c r="C41" s="6"/>
      <c r="D41" s="6"/>
      <c r="E41" s="6"/>
      <c r="F41" s="6"/>
      <c r="G41" s="6"/>
      <c r="H41" s="6"/>
      <c r="I41" s="6"/>
      <c r="J41" s="6"/>
    </row>
    <row r="42" spans="1:10" x14ac:dyDescent="0.3">
      <c r="A42" s="7"/>
      <c r="C42" s="6"/>
      <c r="D42" s="6"/>
      <c r="E42" s="6"/>
      <c r="F42" s="6"/>
      <c r="G42" s="6"/>
      <c r="H42" s="6"/>
      <c r="I42" s="6"/>
      <c r="J42" s="6"/>
    </row>
    <row r="43" spans="1:10" x14ac:dyDescent="0.3">
      <c r="A43" s="7"/>
      <c r="C43" s="6"/>
      <c r="D43" s="6"/>
      <c r="E43" s="6"/>
      <c r="F43" s="6"/>
      <c r="G43" s="6"/>
      <c r="H43" s="6"/>
      <c r="I43" s="6"/>
      <c r="J43" s="6"/>
    </row>
    <row r="44" spans="1:10" x14ac:dyDescent="0.3">
      <c r="A44" s="7"/>
      <c r="C44" s="6"/>
      <c r="D44" s="6"/>
      <c r="E44" s="6"/>
      <c r="F44" s="6"/>
      <c r="G44" s="6"/>
      <c r="H44" s="6"/>
      <c r="I44" s="6"/>
      <c r="J44" s="6"/>
    </row>
    <row r="45" spans="1:10" x14ac:dyDescent="0.3">
      <c r="A45" s="7"/>
      <c r="C45" s="6"/>
      <c r="D45" s="6"/>
      <c r="E45" s="6"/>
      <c r="F45" s="6"/>
      <c r="G45" s="6"/>
      <c r="H45" s="6"/>
      <c r="I45" s="6"/>
      <c r="J45" s="6"/>
    </row>
    <row r="46" spans="1:10" x14ac:dyDescent="0.3">
      <c r="A46" s="7"/>
      <c r="C46" s="6"/>
      <c r="D46" s="6"/>
      <c r="E46" s="6"/>
      <c r="F46" s="6"/>
      <c r="G46" s="6"/>
      <c r="H46" s="6"/>
      <c r="I46" s="6"/>
      <c r="J46" s="6"/>
    </row>
    <row r="47" spans="1:10" x14ac:dyDescent="0.3">
      <c r="A47" s="7"/>
      <c r="C47" s="6"/>
      <c r="D47" s="6"/>
      <c r="E47" s="6"/>
      <c r="F47" s="6"/>
      <c r="G47" s="6"/>
      <c r="H47" s="6"/>
      <c r="I47" s="6"/>
      <c r="J47" s="6"/>
    </row>
    <row r="48" spans="1:10" x14ac:dyDescent="0.3">
      <c r="A48" s="7"/>
      <c r="C48" s="6"/>
      <c r="D48" s="6"/>
      <c r="E48" s="6"/>
      <c r="F48" s="6"/>
      <c r="G48" s="6"/>
      <c r="H48" s="6"/>
      <c r="I48" s="6"/>
      <c r="J48" s="6"/>
    </row>
    <row r="49" spans="1:10" x14ac:dyDescent="0.3">
      <c r="A49" s="7"/>
      <c r="C49" s="6"/>
      <c r="D49" s="6"/>
      <c r="E49" s="6"/>
      <c r="F49" s="6"/>
      <c r="G49" s="6"/>
      <c r="H49" s="6"/>
      <c r="I49" s="6"/>
      <c r="J49" s="6"/>
    </row>
    <row r="50" spans="1:10" x14ac:dyDescent="0.3">
      <c r="A50" s="7"/>
      <c r="C50" s="6"/>
      <c r="D50" s="6"/>
      <c r="E50" s="6"/>
      <c r="F50" s="6"/>
      <c r="G50" s="6"/>
      <c r="H50" s="6"/>
      <c r="I50" s="6"/>
      <c r="J50" s="6"/>
    </row>
    <row r="51" spans="1:10" x14ac:dyDescent="0.3">
      <c r="A51" s="7"/>
      <c r="C51" s="6"/>
      <c r="D51" s="6"/>
      <c r="E51" s="6"/>
      <c r="F51" s="6"/>
      <c r="G51" s="6"/>
      <c r="H51" s="6"/>
      <c r="I51" s="6"/>
      <c r="J51" s="6"/>
    </row>
    <row r="52" spans="1:10" x14ac:dyDescent="0.3">
      <c r="A52" s="7"/>
      <c r="C52" s="6"/>
      <c r="D52" s="6"/>
      <c r="E52" s="6"/>
      <c r="F52" s="6"/>
      <c r="G52" s="6"/>
      <c r="H52" s="6"/>
      <c r="I52" s="6"/>
      <c r="J52" s="6"/>
    </row>
    <row r="53" spans="1:10" x14ac:dyDescent="0.3">
      <c r="A53" s="7"/>
      <c r="C53" s="6"/>
      <c r="D53" s="6"/>
      <c r="E53" s="6"/>
      <c r="F53" s="6"/>
      <c r="G53" s="6"/>
      <c r="H53" s="6"/>
      <c r="I53" s="6"/>
      <c r="J53" s="6"/>
    </row>
    <row r="54" spans="1:10" x14ac:dyDescent="0.3">
      <c r="A54" s="7"/>
      <c r="C54" s="6"/>
      <c r="D54" s="6"/>
      <c r="E54" s="6"/>
      <c r="F54" s="6"/>
      <c r="G54" s="6"/>
      <c r="H54" s="6"/>
      <c r="I54" s="6"/>
      <c r="J54" s="6"/>
    </row>
    <row r="55" spans="1:10" x14ac:dyDescent="0.3">
      <c r="A55" s="7"/>
      <c r="C55" s="6"/>
      <c r="D55" s="6"/>
      <c r="E55" s="6"/>
      <c r="F55" s="6"/>
      <c r="G55" s="6"/>
      <c r="H55" s="6"/>
      <c r="I55" s="6"/>
      <c r="J55" s="6"/>
    </row>
    <row r="56" spans="1:10" x14ac:dyDescent="0.3">
      <c r="A56" s="7"/>
      <c r="C56" s="6"/>
      <c r="D56" s="6"/>
      <c r="E56" s="6"/>
      <c r="F56" s="6"/>
      <c r="G56" s="6"/>
      <c r="H56" s="6"/>
      <c r="I56" s="6"/>
      <c r="J56" s="6"/>
    </row>
    <row r="57" spans="1:10" x14ac:dyDescent="0.3">
      <c r="A57" s="7"/>
      <c r="C57" s="6"/>
      <c r="D57" s="6"/>
      <c r="E57" s="6"/>
      <c r="F57" s="6"/>
      <c r="G57" s="6"/>
      <c r="H57" s="6"/>
      <c r="I57" s="6"/>
      <c r="J57" s="6"/>
    </row>
    <row r="58" spans="1:10" x14ac:dyDescent="0.3">
      <c r="A58" s="7"/>
      <c r="C58" s="6"/>
      <c r="D58" s="6"/>
      <c r="E58" s="6"/>
      <c r="F58" s="6"/>
      <c r="G58" s="6"/>
      <c r="H58" s="6"/>
      <c r="I58" s="6"/>
      <c r="J58" s="6"/>
    </row>
    <row r="59" spans="1:10" x14ac:dyDescent="0.3">
      <c r="A59" s="7"/>
      <c r="C59" s="6"/>
      <c r="D59" s="6"/>
      <c r="E59" s="6"/>
      <c r="F59" s="6"/>
      <c r="G59" s="6"/>
      <c r="H59" s="6"/>
      <c r="I59" s="6"/>
      <c r="J59" s="6"/>
    </row>
    <row r="60" spans="1:10" x14ac:dyDescent="0.3">
      <c r="A60" s="7"/>
      <c r="C60" s="6"/>
      <c r="D60" s="6"/>
      <c r="E60" s="6"/>
      <c r="F60" s="6"/>
      <c r="G60" s="6"/>
      <c r="H60" s="6"/>
      <c r="I60" s="6"/>
      <c r="J60" s="6"/>
    </row>
    <row r="61" spans="1:10" x14ac:dyDescent="0.3">
      <c r="A61" s="7"/>
      <c r="C61" s="6"/>
      <c r="D61" s="6"/>
      <c r="E61" s="6"/>
      <c r="F61" s="6"/>
      <c r="G61" s="6"/>
      <c r="H61" s="6"/>
      <c r="I61" s="6"/>
      <c r="J61" s="6"/>
    </row>
    <row r="62" spans="1:10" x14ac:dyDescent="0.3">
      <c r="A62" s="7"/>
      <c r="C62" s="6"/>
      <c r="D62" s="6"/>
      <c r="E62" s="6"/>
      <c r="F62" s="6"/>
      <c r="G62" s="6"/>
      <c r="H62" s="6"/>
      <c r="I62" s="6"/>
      <c r="J62" s="6"/>
    </row>
    <row r="63" spans="1:10" x14ac:dyDescent="0.3">
      <c r="A63" s="7"/>
      <c r="C63" s="6"/>
      <c r="D63" s="6"/>
      <c r="E63" s="6"/>
      <c r="F63" s="6"/>
      <c r="G63" s="6"/>
      <c r="H63" s="6"/>
      <c r="I63" s="6"/>
      <c r="J63" s="6"/>
    </row>
    <row r="64" spans="1:10" x14ac:dyDescent="0.3">
      <c r="A64" s="7"/>
      <c r="C64" s="6"/>
      <c r="D64" s="6"/>
      <c r="E64" s="6"/>
      <c r="F64" s="6"/>
      <c r="G64" s="6"/>
      <c r="H64" s="6"/>
      <c r="I64" s="6"/>
      <c r="J64" s="6"/>
    </row>
    <row r="65" spans="1:10" x14ac:dyDescent="0.3">
      <c r="A65" s="7"/>
      <c r="C65" s="6"/>
      <c r="D65" s="6"/>
      <c r="E65" s="6"/>
      <c r="F65" s="6"/>
      <c r="G65" s="6"/>
      <c r="H65" s="6"/>
      <c r="I65" s="6"/>
      <c r="J65" s="6"/>
    </row>
    <row r="66" spans="1:10" x14ac:dyDescent="0.3">
      <c r="A66" s="7"/>
      <c r="C66" s="6"/>
      <c r="D66" s="6"/>
      <c r="E66" s="6"/>
      <c r="F66" s="6"/>
      <c r="G66" s="6"/>
      <c r="H66" s="6"/>
      <c r="I66" s="6"/>
      <c r="J66" s="6"/>
    </row>
    <row r="67" spans="1:10" x14ac:dyDescent="0.3">
      <c r="A67" s="7"/>
      <c r="C67" s="6"/>
      <c r="D67" s="6"/>
      <c r="E67" s="6"/>
      <c r="F67" s="6"/>
      <c r="G67" s="6"/>
      <c r="H67" s="6"/>
      <c r="I67" s="6"/>
      <c r="J67" s="6"/>
    </row>
    <row r="68" spans="1:10" x14ac:dyDescent="0.3">
      <c r="A68" s="7"/>
      <c r="C68" s="6"/>
      <c r="D68" s="6"/>
      <c r="E68" s="6"/>
      <c r="F68" s="6"/>
      <c r="G68" s="6"/>
      <c r="H68" s="6"/>
      <c r="I68" s="6"/>
      <c r="J68" s="6"/>
    </row>
    <row r="69" spans="1:10" x14ac:dyDescent="0.3">
      <c r="A69" s="7"/>
      <c r="C69" s="6"/>
      <c r="D69" s="6"/>
      <c r="E69" s="6"/>
      <c r="F69" s="6"/>
      <c r="G69" s="6"/>
      <c r="H69" s="6"/>
      <c r="I69" s="6"/>
      <c r="J69" s="6"/>
    </row>
    <row r="70" spans="1:10" x14ac:dyDescent="0.3">
      <c r="A70" s="7"/>
      <c r="C70" s="6"/>
      <c r="D70" s="6"/>
      <c r="E70" s="6"/>
      <c r="F70" s="6"/>
      <c r="G70" s="6"/>
      <c r="H70" s="6"/>
      <c r="I70" s="6"/>
      <c r="J70" s="6"/>
    </row>
    <row r="71" spans="1:10" x14ac:dyDescent="0.3">
      <c r="A71" s="7"/>
      <c r="C71" s="6"/>
      <c r="D71" s="6"/>
      <c r="E71" s="6"/>
      <c r="F71" s="6"/>
      <c r="G71" s="6"/>
      <c r="H71" s="6"/>
      <c r="I71" s="6"/>
      <c r="J71" s="6"/>
    </row>
    <row r="72" spans="1:10" x14ac:dyDescent="0.3">
      <c r="A72" s="7"/>
      <c r="C72" s="6"/>
      <c r="D72" s="6"/>
      <c r="E72" s="6"/>
      <c r="F72" s="6"/>
      <c r="G72" s="6"/>
      <c r="H72" s="6"/>
      <c r="I72" s="6"/>
      <c r="J72" s="6"/>
    </row>
    <row r="73" spans="1:10" x14ac:dyDescent="0.3">
      <c r="A73" s="7"/>
      <c r="C73" s="6"/>
      <c r="D73" s="6"/>
      <c r="E73" s="6"/>
      <c r="F73" s="6"/>
      <c r="G73" s="6"/>
      <c r="H73" s="6"/>
      <c r="I73" s="6"/>
      <c r="J73" s="6"/>
    </row>
    <row r="74" spans="1:10" x14ac:dyDescent="0.3">
      <c r="A74" s="7"/>
      <c r="C74" s="6"/>
      <c r="D74" s="6"/>
      <c r="E74" s="6"/>
      <c r="F74" s="6"/>
      <c r="G74" s="6"/>
      <c r="H74" s="6"/>
      <c r="I74" s="6"/>
      <c r="J74" s="6"/>
    </row>
    <row r="75" spans="1:10" x14ac:dyDescent="0.3">
      <c r="A75" s="7"/>
      <c r="C75" s="6"/>
      <c r="D75" s="6"/>
      <c r="E75" s="6"/>
      <c r="F75" s="6"/>
      <c r="G75" s="6"/>
      <c r="H75" s="6"/>
      <c r="I75" s="6"/>
      <c r="J75" s="6"/>
    </row>
    <row r="76" spans="1:10" x14ac:dyDescent="0.3">
      <c r="A76" s="7"/>
      <c r="C76" s="6"/>
      <c r="D76" s="6"/>
      <c r="E76" s="6"/>
      <c r="F76" s="6"/>
      <c r="G76" s="6"/>
      <c r="H76" s="6"/>
      <c r="I76" s="6"/>
      <c r="J76" s="6"/>
    </row>
    <row r="77" spans="1:10" x14ac:dyDescent="0.3">
      <c r="A77" s="7"/>
      <c r="C77" s="6"/>
      <c r="D77" s="6"/>
      <c r="E77" s="6"/>
      <c r="F77" s="6"/>
      <c r="G77" s="6"/>
      <c r="H77" s="6"/>
      <c r="I77" s="6"/>
      <c r="J77" s="6"/>
    </row>
    <row r="78" spans="1:10" x14ac:dyDescent="0.3">
      <c r="A78" s="7"/>
      <c r="C78" s="6"/>
      <c r="D78" s="6"/>
      <c r="E78" s="6"/>
      <c r="F78" s="6"/>
      <c r="G78" s="6"/>
      <c r="H78" s="6"/>
      <c r="I78" s="6"/>
      <c r="J78" s="6"/>
    </row>
    <row r="79" spans="1:10" x14ac:dyDescent="0.3">
      <c r="A79" s="7"/>
      <c r="C79" s="6"/>
      <c r="D79" s="6"/>
      <c r="E79" s="6"/>
      <c r="F79" s="6"/>
      <c r="G79" s="6"/>
      <c r="H79" s="6"/>
      <c r="I79" s="6"/>
      <c r="J79" s="6"/>
    </row>
    <row r="80" spans="1:10" x14ac:dyDescent="0.3">
      <c r="A80" s="7"/>
      <c r="C80" s="6"/>
      <c r="D80" s="6"/>
      <c r="E80" s="6"/>
      <c r="F80" s="6"/>
      <c r="G80" s="6"/>
      <c r="H80" s="6"/>
      <c r="I80" s="6"/>
      <c r="J80" s="6"/>
    </row>
    <row r="81" spans="1:10" x14ac:dyDescent="0.3">
      <c r="A81" s="7"/>
      <c r="C81" s="6"/>
      <c r="D81" s="6"/>
      <c r="E81" s="6"/>
      <c r="F81" s="6"/>
      <c r="G81" s="6"/>
      <c r="H81" s="6"/>
      <c r="I81" s="6"/>
      <c r="J81" s="6"/>
    </row>
    <row r="82" spans="1:10" x14ac:dyDescent="0.3">
      <c r="A82" s="7"/>
      <c r="C82" s="6"/>
      <c r="D82" s="6"/>
      <c r="E82" s="6"/>
      <c r="F82" s="6"/>
      <c r="G82" s="6"/>
      <c r="H82" s="6"/>
      <c r="I82" s="6"/>
      <c r="J82" s="6"/>
    </row>
    <row r="83" spans="1:10" x14ac:dyDescent="0.3">
      <c r="A83" s="7"/>
      <c r="C83" s="6"/>
      <c r="D83" s="6"/>
      <c r="E83" s="6"/>
      <c r="F83" s="6"/>
      <c r="G83" s="6"/>
      <c r="H83" s="6"/>
      <c r="I83" s="6"/>
      <c r="J83" s="6"/>
    </row>
    <row r="84" spans="1:10" x14ac:dyDescent="0.3">
      <c r="A84" s="7"/>
      <c r="C84" s="6"/>
      <c r="D84" s="6"/>
      <c r="E84" s="6"/>
      <c r="F84" s="6"/>
      <c r="G84" s="6"/>
      <c r="H84" s="6"/>
      <c r="I84" s="6"/>
      <c r="J84" s="6"/>
    </row>
    <row r="85" spans="1:10" x14ac:dyDescent="0.3">
      <c r="A85" s="7"/>
      <c r="C85" s="6"/>
      <c r="D85" s="6"/>
      <c r="E85" s="6"/>
      <c r="F85" s="6"/>
      <c r="G85" s="6"/>
      <c r="H85" s="6"/>
      <c r="I85" s="6"/>
      <c r="J85" s="6"/>
    </row>
    <row r="86" spans="1:10" x14ac:dyDescent="0.3">
      <c r="A86" s="7"/>
      <c r="C86" s="6"/>
      <c r="D86" s="6"/>
      <c r="E86" s="6"/>
      <c r="F86" s="6"/>
      <c r="G86" s="6"/>
      <c r="H86" s="6"/>
      <c r="I86" s="6"/>
      <c r="J86" s="6"/>
    </row>
    <row r="87" spans="1:10" x14ac:dyDescent="0.3">
      <c r="A87" s="7"/>
      <c r="C87" s="6"/>
      <c r="D87" s="6"/>
      <c r="E87" s="6"/>
      <c r="F87" s="6"/>
      <c r="G87" s="6"/>
      <c r="H87" s="6"/>
      <c r="I87" s="6"/>
      <c r="J87" s="6"/>
    </row>
    <row r="88" spans="1:10" x14ac:dyDescent="0.3">
      <c r="A88" s="7"/>
      <c r="C88" s="6"/>
      <c r="D88" s="6"/>
      <c r="E88" s="6"/>
      <c r="F88" s="6"/>
      <c r="G88" s="6"/>
      <c r="H88" s="6"/>
      <c r="I88" s="6"/>
      <c r="J88" s="6"/>
    </row>
    <row r="89" spans="1:10" x14ac:dyDescent="0.3">
      <c r="A89" s="7"/>
      <c r="C89" s="6"/>
      <c r="D89" s="6"/>
      <c r="E89" s="6"/>
      <c r="F89" s="6"/>
      <c r="G89" s="6"/>
      <c r="H89" s="6"/>
      <c r="I89" s="6"/>
      <c r="J89" s="6"/>
    </row>
    <row r="90" spans="1:10" x14ac:dyDescent="0.3">
      <c r="A90" s="7"/>
      <c r="C90" s="6"/>
      <c r="D90" s="6"/>
      <c r="E90" s="6"/>
      <c r="F90" s="6"/>
      <c r="G90" s="6"/>
      <c r="H90" s="6"/>
      <c r="I90" s="6"/>
      <c r="J90" s="6"/>
    </row>
    <row r="91" spans="1:10" x14ac:dyDescent="0.3">
      <c r="A91" s="7"/>
      <c r="C91" s="6"/>
      <c r="D91" s="6"/>
      <c r="E91" s="6"/>
      <c r="F91" s="6"/>
      <c r="G91" s="6"/>
      <c r="H91" s="6"/>
      <c r="I91" s="6"/>
      <c r="J91" s="6"/>
    </row>
    <row r="92" spans="1:10" x14ac:dyDescent="0.3">
      <c r="A92" s="7"/>
      <c r="C92" s="6"/>
      <c r="D92" s="6"/>
      <c r="E92" s="6"/>
      <c r="F92" s="6"/>
      <c r="G92" s="6"/>
      <c r="H92" s="6"/>
      <c r="I92" s="6"/>
      <c r="J92" s="6"/>
    </row>
    <row r="93" spans="1:10" x14ac:dyDescent="0.3">
      <c r="A93" s="7"/>
      <c r="C93" s="6"/>
      <c r="D93" s="6"/>
      <c r="E93" s="6"/>
      <c r="F93" s="6"/>
      <c r="G93" s="6"/>
      <c r="H93" s="6"/>
      <c r="I93" s="6"/>
      <c r="J93" s="6"/>
    </row>
    <row r="94" spans="1:10" x14ac:dyDescent="0.3">
      <c r="A94" s="7"/>
      <c r="C94" s="6"/>
      <c r="D94" s="6"/>
      <c r="E94" s="6"/>
      <c r="F94" s="6"/>
      <c r="G94" s="6"/>
      <c r="H94" s="6"/>
      <c r="I94" s="6"/>
      <c r="J94" s="6"/>
    </row>
    <row r="95" spans="1:10" x14ac:dyDescent="0.3">
      <c r="A95" s="7"/>
      <c r="C95" s="6"/>
      <c r="D95" s="6"/>
      <c r="E95" s="6"/>
      <c r="F95" s="6"/>
      <c r="G95" s="6"/>
      <c r="H95" s="6"/>
      <c r="I95" s="6"/>
      <c r="J95" s="6"/>
    </row>
    <row r="96" spans="1:10" x14ac:dyDescent="0.3">
      <c r="A96" s="7"/>
      <c r="C96" s="6"/>
      <c r="D96" s="6"/>
      <c r="E96" s="6"/>
      <c r="F96" s="6"/>
      <c r="G96" s="6"/>
      <c r="H96" s="6"/>
      <c r="I96" s="6"/>
      <c r="J96" s="6"/>
    </row>
    <row r="97" spans="1:10" x14ac:dyDescent="0.3">
      <c r="A97" s="7"/>
      <c r="C97" s="6"/>
      <c r="D97" s="6"/>
      <c r="E97" s="6"/>
      <c r="F97" s="6"/>
      <c r="G97" s="6"/>
      <c r="H97" s="6"/>
      <c r="I97" s="6"/>
      <c r="J97" s="6"/>
    </row>
    <row r="98" spans="1:10" x14ac:dyDescent="0.3">
      <c r="A98" s="7"/>
      <c r="C98" s="6"/>
      <c r="D98" s="6"/>
      <c r="E98" s="6"/>
      <c r="F98" s="6"/>
      <c r="G98" s="6"/>
      <c r="H98" s="6"/>
      <c r="I98" s="6"/>
      <c r="J98" s="6"/>
    </row>
    <row r="99" spans="1:10" x14ac:dyDescent="0.3">
      <c r="A99" s="7"/>
      <c r="C99" s="6"/>
      <c r="D99" s="6"/>
      <c r="E99" s="6"/>
      <c r="F99" s="6"/>
      <c r="G99" s="6"/>
      <c r="H99" s="6"/>
      <c r="I99" s="6"/>
      <c r="J99" s="6"/>
    </row>
    <row r="100" spans="1:10" x14ac:dyDescent="0.3">
      <c r="A100" s="7"/>
      <c r="C100" s="6"/>
      <c r="D100" s="6"/>
      <c r="E100" s="6"/>
      <c r="F100" s="6"/>
      <c r="G100" s="6"/>
      <c r="H100" s="6"/>
      <c r="I100" s="6"/>
      <c r="J100" s="6"/>
    </row>
    <row r="101" spans="1:10" x14ac:dyDescent="0.3">
      <c r="A101" s="7"/>
      <c r="C101" s="6"/>
      <c r="D101" s="6"/>
      <c r="E101" s="6"/>
      <c r="F101" s="6"/>
      <c r="G101" s="6"/>
      <c r="H101" s="6"/>
      <c r="I101" s="6"/>
      <c r="J101" s="6"/>
    </row>
    <row r="102" spans="1:10" x14ac:dyDescent="0.3">
      <c r="A102" s="7"/>
      <c r="C102" s="6"/>
      <c r="D102" s="6"/>
      <c r="E102" s="6"/>
      <c r="F102" s="6"/>
      <c r="G102" s="6"/>
      <c r="H102" s="6"/>
      <c r="I102" s="6"/>
      <c r="J102" s="6"/>
    </row>
    <row r="103" spans="1:10" x14ac:dyDescent="0.3">
      <c r="A103" s="7"/>
      <c r="C103" s="6"/>
      <c r="D103" s="6"/>
      <c r="E103" s="6"/>
      <c r="F103" s="6"/>
      <c r="G103" s="6"/>
      <c r="H103" s="6"/>
      <c r="I103" s="6"/>
      <c r="J103" s="6"/>
    </row>
    <row r="104" spans="1:10" x14ac:dyDescent="0.3">
      <c r="A104" s="7"/>
      <c r="C104" s="6"/>
      <c r="D104" s="6"/>
      <c r="E104" s="6"/>
      <c r="F104" s="6"/>
      <c r="G104" s="6"/>
      <c r="H104" s="6"/>
      <c r="I104" s="6"/>
      <c r="J104" s="6"/>
    </row>
    <row r="105" spans="1:10" x14ac:dyDescent="0.3">
      <c r="A105" s="7"/>
      <c r="C105" s="6"/>
      <c r="D105" s="6"/>
      <c r="E105" s="6"/>
      <c r="F105" s="6"/>
      <c r="G105" s="6"/>
      <c r="H105" s="6"/>
      <c r="I105" s="6"/>
      <c r="J105" s="6"/>
    </row>
    <row r="106" spans="1:10" x14ac:dyDescent="0.3">
      <c r="A106" s="7"/>
      <c r="C106" s="6"/>
      <c r="D106" s="6"/>
      <c r="E106" s="6"/>
      <c r="F106" s="6"/>
      <c r="G106" s="6"/>
      <c r="H106" s="6"/>
      <c r="I106" s="6"/>
      <c r="J106" s="6"/>
    </row>
    <row r="107" spans="1:10" x14ac:dyDescent="0.3">
      <c r="A107" s="7"/>
      <c r="C107" s="6"/>
      <c r="D107" s="6"/>
      <c r="E107" s="6"/>
      <c r="F107" s="6"/>
      <c r="G107" s="6"/>
      <c r="H107" s="6"/>
      <c r="I107" s="6"/>
      <c r="J107" s="6"/>
    </row>
    <row r="108" spans="1:10" x14ac:dyDescent="0.3">
      <c r="A108" s="7"/>
      <c r="C108" s="6"/>
      <c r="D108" s="6"/>
      <c r="E108" s="6"/>
      <c r="F108" s="6"/>
      <c r="G108" s="6"/>
      <c r="H108" s="6"/>
      <c r="I108" s="6"/>
      <c r="J108" s="6"/>
    </row>
    <row r="109" spans="1:10" x14ac:dyDescent="0.3">
      <c r="A109" s="7"/>
      <c r="C109" s="6"/>
      <c r="D109" s="6"/>
      <c r="E109" s="6"/>
      <c r="F109" s="6"/>
      <c r="G109" s="6"/>
      <c r="H109" s="6"/>
      <c r="I109" s="6"/>
      <c r="J109" s="6"/>
    </row>
    <row r="110" spans="1:10" x14ac:dyDescent="0.3">
      <c r="A110" s="7"/>
      <c r="C110" s="6"/>
      <c r="D110" s="6"/>
      <c r="E110" s="6"/>
      <c r="F110" s="6"/>
      <c r="G110" s="6"/>
      <c r="H110" s="6"/>
      <c r="I110" s="6"/>
      <c r="J110" s="6"/>
    </row>
    <row r="111" spans="1:10" x14ac:dyDescent="0.3">
      <c r="A111" s="7"/>
      <c r="C111" s="6"/>
      <c r="D111" s="6"/>
      <c r="E111" s="6"/>
      <c r="F111" s="6"/>
      <c r="G111" s="6"/>
      <c r="H111" s="6"/>
      <c r="I111" s="6"/>
      <c r="J111" s="6"/>
    </row>
    <row r="112" spans="1:10" x14ac:dyDescent="0.3">
      <c r="A112" s="7"/>
      <c r="C112" s="6"/>
      <c r="D112" s="6"/>
      <c r="E112" s="6"/>
      <c r="F112" s="6"/>
      <c r="G112" s="6"/>
      <c r="H112" s="6"/>
      <c r="I112" s="6"/>
      <c r="J112" s="6"/>
    </row>
    <row r="113" spans="1:10" x14ac:dyDescent="0.3">
      <c r="A113" s="7"/>
      <c r="C113" s="6"/>
      <c r="D113" s="6"/>
      <c r="E113" s="6"/>
      <c r="F113" s="6"/>
      <c r="G113" s="6"/>
      <c r="H113" s="6"/>
      <c r="I113" s="6"/>
      <c r="J113" s="6"/>
    </row>
    <row r="114" spans="1:10" x14ac:dyDescent="0.3">
      <c r="A114" s="7"/>
      <c r="C114" s="6"/>
      <c r="D114" s="6"/>
      <c r="E114" s="6"/>
      <c r="F114" s="6"/>
      <c r="G114" s="6"/>
      <c r="H114" s="6"/>
      <c r="I114" s="6"/>
      <c r="J114" s="6"/>
    </row>
    <row r="115" spans="1:10" x14ac:dyDescent="0.3">
      <c r="A115" s="7"/>
      <c r="C115" s="6"/>
      <c r="D115" s="6"/>
      <c r="E115" s="6"/>
      <c r="F115" s="6"/>
      <c r="G115" s="6"/>
      <c r="H115" s="6"/>
      <c r="I115" s="6"/>
      <c r="J115" s="6"/>
    </row>
    <row r="116" spans="1:10" x14ac:dyDescent="0.3">
      <c r="A116" s="7"/>
      <c r="C116" s="6"/>
      <c r="D116" s="6"/>
      <c r="E116" s="6"/>
      <c r="F116" s="6"/>
      <c r="G116" s="6"/>
      <c r="H116" s="6"/>
      <c r="I116" s="6"/>
      <c r="J116" s="6"/>
    </row>
    <row r="117" spans="1:10" x14ac:dyDescent="0.3">
      <c r="A117" s="7"/>
      <c r="C117" s="6"/>
      <c r="D117" s="6"/>
      <c r="E117" s="6"/>
      <c r="F117" s="6"/>
      <c r="G117" s="6"/>
      <c r="H117" s="6"/>
      <c r="I117" s="6"/>
      <c r="J117" s="6"/>
    </row>
    <row r="118" spans="1:10" x14ac:dyDescent="0.3">
      <c r="A118" s="7"/>
      <c r="C118" s="6"/>
      <c r="D118" s="6"/>
      <c r="E118" s="6"/>
      <c r="F118" s="6"/>
      <c r="G118" s="6"/>
      <c r="H118" s="6"/>
      <c r="I118" s="6"/>
      <c r="J118" s="6"/>
    </row>
    <row r="119" spans="1:10" x14ac:dyDescent="0.3">
      <c r="A119" s="7"/>
      <c r="C119" s="6"/>
      <c r="D119" s="6"/>
      <c r="E119" s="6"/>
      <c r="F119" s="6"/>
      <c r="G119" s="6"/>
      <c r="H119" s="6"/>
      <c r="I119" s="6"/>
      <c r="J119" s="6"/>
    </row>
    <row r="120" spans="1:10" x14ac:dyDescent="0.3">
      <c r="A120" s="7"/>
      <c r="C120" s="6"/>
      <c r="D120" s="6"/>
      <c r="E120" s="6"/>
      <c r="F120" s="6"/>
      <c r="G120" s="6"/>
      <c r="H120" s="6"/>
      <c r="I120" s="6"/>
      <c r="J120" s="6"/>
    </row>
    <row r="121" spans="1:10" x14ac:dyDescent="0.3">
      <c r="A121" s="7"/>
      <c r="C121" s="6"/>
      <c r="D121" s="6"/>
      <c r="E121" s="6"/>
      <c r="F121" s="6"/>
      <c r="G121" s="6"/>
      <c r="H121" s="6"/>
      <c r="I121" s="6"/>
      <c r="J121" s="6"/>
    </row>
    <row r="122" spans="1:10" x14ac:dyDescent="0.3">
      <c r="A122" s="7"/>
      <c r="C122" s="6"/>
      <c r="D122" s="6"/>
      <c r="E122" s="6"/>
      <c r="F122" s="6"/>
      <c r="G122" s="6"/>
      <c r="H122" s="6"/>
      <c r="I122" s="6"/>
      <c r="J122" s="6"/>
    </row>
    <row r="123" spans="1:10" x14ac:dyDescent="0.3">
      <c r="A123" s="7"/>
      <c r="C123" s="6"/>
      <c r="D123" s="6"/>
      <c r="E123" s="6"/>
      <c r="F123" s="6"/>
      <c r="G123" s="6"/>
      <c r="H123" s="6"/>
      <c r="I123" s="6"/>
      <c r="J123" s="6"/>
    </row>
    <row r="124" spans="1:10" x14ac:dyDescent="0.3">
      <c r="A124" s="7"/>
      <c r="C124" s="6"/>
      <c r="D124" s="6"/>
      <c r="E124" s="6"/>
      <c r="F124" s="6"/>
      <c r="G124" s="6"/>
      <c r="H124" s="6"/>
      <c r="I124" s="6"/>
      <c r="J124" s="6"/>
    </row>
    <row r="125" spans="1:10" x14ac:dyDescent="0.3">
      <c r="A125" s="7"/>
      <c r="C125" s="6"/>
      <c r="D125" s="6"/>
      <c r="E125" s="6"/>
      <c r="F125" s="6"/>
      <c r="G125" s="6"/>
      <c r="H125" s="6"/>
      <c r="I125" s="6"/>
      <c r="J125" s="6"/>
    </row>
    <row r="126" spans="1:10" x14ac:dyDescent="0.3">
      <c r="A126" s="7"/>
      <c r="C126" s="6"/>
      <c r="D126" s="6"/>
      <c r="E126" s="6"/>
      <c r="F126" s="6"/>
      <c r="G126" s="6"/>
      <c r="H126" s="6"/>
      <c r="I126" s="6"/>
      <c r="J126" s="6"/>
    </row>
    <row r="127" spans="1:10" x14ac:dyDescent="0.3">
      <c r="A127" s="7"/>
      <c r="C127" s="6"/>
      <c r="D127" s="6"/>
      <c r="E127" s="6"/>
      <c r="F127" s="6"/>
      <c r="G127" s="6"/>
      <c r="H127" s="6"/>
      <c r="I127" s="6"/>
      <c r="J127" s="6"/>
    </row>
    <row r="128" spans="1:10" x14ac:dyDescent="0.3">
      <c r="A128" s="7"/>
      <c r="C128" s="6"/>
      <c r="D128" s="6"/>
      <c r="E128" s="6"/>
      <c r="F128" s="6"/>
      <c r="G128" s="6"/>
      <c r="H128" s="6"/>
      <c r="I128" s="6"/>
      <c r="J128" s="6"/>
    </row>
    <row r="129" spans="1:10" x14ac:dyDescent="0.3">
      <c r="A129" s="7"/>
      <c r="C129" s="6"/>
      <c r="D129" s="6"/>
      <c r="E129" s="6"/>
      <c r="F129" s="6"/>
      <c r="G129" s="6"/>
      <c r="H129" s="6"/>
      <c r="I129" s="6"/>
      <c r="J129" s="6"/>
    </row>
    <row r="130" spans="1:10" x14ac:dyDescent="0.3">
      <c r="A130" s="7"/>
      <c r="C130" s="6"/>
      <c r="D130" s="6"/>
      <c r="E130" s="6"/>
      <c r="F130" s="6"/>
      <c r="G130" s="6"/>
      <c r="H130" s="6"/>
      <c r="I130" s="6"/>
      <c r="J130" s="6"/>
    </row>
    <row r="131" spans="1:10" x14ac:dyDescent="0.3">
      <c r="A131" s="7"/>
      <c r="C131" s="6"/>
      <c r="D131" s="6"/>
      <c r="E131" s="6"/>
      <c r="F131" s="6"/>
      <c r="G131" s="6"/>
      <c r="H131" s="6"/>
      <c r="I131" s="6"/>
      <c r="J131" s="6"/>
    </row>
    <row r="132" spans="1:10" x14ac:dyDescent="0.3">
      <c r="A132" s="7"/>
      <c r="C132" s="6"/>
      <c r="D132" s="6"/>
      <c r="E132" s="6"/>
      <c r="F132" s="6"/>
      <c r="G132" s="6"/>
      <c r="H132" s="6"/>
      <c r="I132" s="6"/>
      <c r="J132" s="6"/>
    </row>
    <row r="133" spans="1:10" x14ac:dyDescent="0.3">
      <c r="A133" s="7"/>
      <c r="C133" s="6"/>
      <c r="D133" s="6"/>
      <c r="E133" s="6"/>
      <c r="F133" s="6"/>
      <c r="G133" s="6"/>
      <c r="H133" s="6"/>
      <c r="I133" s="6"/>
      <c r="J133" s="6"/>
    </row>
    <row r="134" spans="1:10" x14ac:dyDescent="0.3">
      <c r="A134" s="7"/>
      <c r="C134" s="6"/>
      <c r="D134" s="6"/>
      <c r="E134" s="6"/>
      <c r="F134" s="6"/>
      <c r="G134" s="6"/>
      <c r="H134" s="6"/>
      <c r="I134" s="6"/>
      <c r="J134" s="6"/>
    </row>
    <row r="135" spans="1:10" x14ac:dyDescent="0.3">
      <c r="A135" s="7"/>
      <c r="C135" s="6"/>
      <c r="D135" s="6"/>
      <c r="E135" s="6"/>
      <c r="F135" s="6"/>
      <c r="G135" s="6"/>
      <c r="H135" s="6"/>
      <c r="I135" s="6"/>
      <c r="J135" s="6"/>
    </row>
    <row r="136" spans="1:10" x14ac:dyDescent="0.3">
      <c r="A136" s="7"/>
      <c r="C136" s="6"/>
      <c r="D136" s="6"/>
      <c r="E136" s="6"/>
      <c r="F136" s="6"/>
      <c r="G136" s="6"/>
      <c r="H136" s="6"/>
      <c r="I136" s="6"/>
      <c r="J136" s="6"/>
    </row>
    <row r="137" spans="1:10" x14ac:dyDescent="0.3">
      <c r="A137" s="7"/>
      <c r="C137" s="6"/>
      <c r="D137" s="6"/>
      <c r="E137" s="6"/>
      <c r="F137" s="6"/>
      <c r="G137" s="6"/>
      <c r="H137" s="6"/>
      <c r="I137" s="6"/>
      <c r="J137" s="6"/>
    </row>
    <row r="138" spans="1:10" x14ac:dyDescent="0.3">
      <c r="A138" s="7"/>
      <c r="C138" s="6"/>
      <c r="D138" s="6"/>
      <c r="E138" s="6"/>
      <c r="F138" s="6"/>
      <c r="G138" s="6"/>
      <c r="H138" s="6"/>
      <c r="I138" s="6"/>
      <c r="J138" s="6"/>
    </row>
    <row r="139" spans="1:10" x14ac:dyDescent="0.3">
      <c r="A139" s="7"/>
      <c r="C139" s="6"/>
      <c r="D139" s="6"/>
      <c r="E139" s="6"/>
      <c r="F139" s="6"/>
      <c r="G139" s="6"/>
      <c r="H139" s="6"/>
      <c r="I139" s="6"/>
      <c r="J139" s="6"/>
    </row>
    <row r="140" spans="1:10" x14ac:dyDescent="0.3">
      <c r="A140" s="7"/>
      <c r="C140" s="6"/>
      <c r="D140" s="6"/>
      <c r="E140" s="6"/>
      <c r="F140" s="6"/>
      <c r="G140" s="6"/>
      <c r="H140" s="6"/>
      <c r="I140" s="6"/>
      <c r="J140" s="6"/>
    </row>
    <row r="141" spans="1:10" x14ac:dyDescent="0.3">
      <c r="A141" s="7"/>
      <c r="C141" s="6"/>
      <c r="D141" s="6"/>
      <c r="E141" s="6"/>
      <c r="F141" s="6"/>
      <c r="G141" s="6"/>
      <c r="H141" s="6"/>
      <c r="I141" s="6"/>
      <c r="J141" s="6"/>
    </row>
    <row r="142" spans="1:10" x14ac:dyDescent="0.3">
      <c r="A142" s="7"/>
      <c r="C142" s="6"/>
      <c r="D142" s="6"/>
      <c r="E142" s="6"/>
      <c r="F142" s="6"/>
      <c r="G142" s="6"/>
      <c r="H142" s="6"/>
      <c r="I142" s="6"/>
      <c r="J142" s="6"/>
    </row>
    <row r="143" spans="1:10" x14ac:dyDescent="0.3">
      <c r="A143" s="7"/>
      <c r="C143" s="6"/>
      <c r="D143" s="6"/>
      <c r="E143" s="6"/>
      <c r="F143" s="6"/>
      <c r="G143" s="6"/>
      <c r="H143" s="6"/>
      <c r="I143" s="6"/>
      <c r="J143" s="6"/>
    </row>
    <row r="144" spans="1:10" x14ac:dyDescent="0.3">
      <c r="A144" s="7"/>
      <c r="C144" s="6"/>
      <c r="D144" s="6"/>
      <c r="E144" s="6"/>
      <c r="F144" s="6"/>
      <c r="G144" s="6"/>
      <c r="H144" s="6"/>
      <c r="I144" s="6"/>
      <c r="J144" s="6"/>
    </row>
    <row r="145" spans="1:10" x14ac:dyDescent="0.3">
      <c r="A145" s="7"/>
      <c r="C145" s="6"/>
      <c r="D145" s="6"/>
      <c r="E145" s="6"/>
      <c r="F145" s="6"/>
      <c r="G145" s="6"/>
      <c r="H145" s="6"/>
      <c r="I145" s="6"/>
      <c r="J145" s="6"/>
    </row>
    <row r="146" spans="1:10" x14ac:dyDescent="0.3">
      <c r="A146" s="7"/>
      <c r="C146" s="6"/>
      <c r="D146" s="6"/>
      <c r="E146" s="6"/>
      <c r="F146" s="6"/>
      <c r="G146" s="6"/>
      <c r="H146" s="6"/>
      <c r="I146" s="6"/>
      <c r="J146" s="6"/>
    </row>
    <row r="147" spans="1:10" x14ac:dyDescent="0.3">
      <c r="A147" s="7"/>
      <c r="C147" s="6"/>
      <c r="D147" s="6"/>
      <c r="E147" s="6"/>
      <c r="F147" s="6"/>
      <c r="G147" s="6"/>
      <c r="H147" s="6"/>
      <c r="I147" s="6"/>
      <c r="J147" s="6"/>
    </row>
    <row r="148" spans="1:10" x14ac:dyDescent="0.3">
      <c r="A148" s="7"/>
      <c r="C148" s="6"/>
      <c r="D148" s="6"/>
      <c r="E148" s="6"/>
      <c r="F148" s="6"/>
      <c r="G148" s="6"/>
      <c r="H148" s="6"/>
      <c r="I148" s="6"/>
      <c r="J148" s="6"/>
    </row>
    <row r="149" spans="1:10" x14ac:dyDescent="0.3">
      <c r="A149" s="7"/>
      <c r="C149" s="6"/>
      <c r="D149" s="6"/>
      <c r="E149" s="6"/>
      <c r="F149" s="6"/>
      <c r="G149" s="6"/>
      <c r="H149" s="6"/>
      <c r="I149" s="6"/>
      <c r="J149" s="6"/>
    </row>
    <row r="150" spans="1:10" x14ac:dyDescent="0.3">
      <c r="A150" s="7"/>
      <c r="C150" s="6"/>
      <c r="D150" s="6"/>
      <c r="E150" s="6"/>
      <c r="F150" s="6"/>
      <c r="G150" s="6"/>
      <c r="H150" s="6"/>
      <c r="I150" s="6"/>
      <c r="J150" s="6"/>
    </row>
    <row r="151" spans="1:10" x14ac:dyDescent="0.3">
      <c r="A151" s="7"/>
      <c r="C151" s="6"/>
      <c r="D151" s="6"/>
      <c r="E151" s="6"/>
      <c r="F151" s="6"/>
      <c r="G151" s="6"/>
      <c r="H151" s="6"/>
      <c r="I151" s="6"/>
      <c r="J151" s="6"/>
    </row>
    <row r="152" spans="1:10" x14ac:dyDescent="0.3">
      <c r="A152" s="7"/>
      <c r="C152" s="6"/>
      <c r="D152" s="6"/>
      <c r="E152" s="6"/>
      <c r="F152" s="6"/>
      <c r="G152" s="6"/>
      <c r="H152" s="6"/>
      <c r="I152" s="6"/>
      <c r="J152" s="6"/>
    </row>
    <row r="153" spans="1:10" x14ac:dyDescent="0.3">
      <c r="A153" s="7"/>
      <c r="C153" s="6"/>
      <c r="D153" s="6"/>
      <c r="E153" s="6"/>
      <c r="F153" s="6"/>
      <c r="G153" s="6"/>
      <c r="H153" s="6"/>
      <c r="I153" s="6"/>
      <c r="J153" s="6"/>
    </row>
    <row r="154" spans="1:10" x14ac:dyDescent="0.3">
      <c r="A154" s="7"/>
      <c r="C154" s="6"/>
      <c r="D154" s="6"/>
      <c r="E154" s="6"/>
      <c r="F154" s="6"/>
      <c r="G154" s="6"/>
      <c r="H154" s="6"/>
      <c r="I154" s="6"/>
      <c r="J154" s="6"/>
    </row>
    <row r="155" spans="1:10" x14ac:dyDescent="0.3">
      <c r="A155" s="7"/>
      <c r="C155" s="6"/>
      <c r="D155" s="6"/>
      <c r="E155" s="6"/>
      <c r="F155" s="6"/>
      <c r="G155" s="6"/>
      <c r="H155" s="6"/>
      <c r="I155" s="6"/>
      <c r="J155" s="6"/>
    </row>
    <row r="156" spans="1:10" x14ac:dyDescent="0.3">
      <c r="A156" s="7"/>
      <c r="C156" s="6"/>
      <c r="D156" s="6"/>
      <c r="E156" s="6"/>
      <c r="F156" s="6"/>
      <c r="G156" s="6"/>
      <c r="H156" s="6"/>
      <c r="I156" s="6"/>
      <c r="J156" s="6"/>
    </row>
    <row r="157" spans="1:10" x14ac:dyDescent="0.3">
      <c r="A157" s="7"/>
      <c r="C157" s="6"/>
      <c r="D157" s="6"/>
      <c r="E157" s="6"/>
      <c r="F157" s="6"/>
      <c r="G157" s="6"/>
      <c r="H157" s="6"/>
      <c r="I157" s="6"/>
      <c r="J157" s="6"/>
    </row>
    <row r="158" spans="1:10" x14ac:dyDescent="0.3">
      <c r="A158" s="7"/>
      <c r="C158" s="6"/>
      <c r="D158" s="6"/>
      <c r="E158" s="6"/>
      <c r="F158" s="6"/>
      <c r="G158" s="6"/>
      <c r="H158" s="6"/>
      <c r="I158" s="6"/>
      <c r="J158" s="6"/>
    </row>
    <row r="159" spans="1:10" x14ac:dyDescent="0.3">
      <c r="A159" s="7"/>
      <c r="C159" s="6"/>
      <c r="D159" s="6"/>
      <c r="E159" s="6"/>
      <c r="F159" s="6"/>
      <c r="G159" s="6"/>
      <c r="H159" s="6"/>
      <c r="I159" s="6"/>
      <c r="J159" s="6"/>
    </row>
    <row r="160" spans="1:10" x14ac:dyDescent="0.3">
      <c r="A160" s="7"/>
      <c r="C160" s="6"/>
      <c r="D160" s="6"/>
      <c r="E160" s="6"/>
      <c r="F160" s="6"/>
      <c r="G160" s="6"/>
      <c r="H160" s="6"/>
      <c r="I160" s="6"/>
      <c r="J160" s="6"/>
    </row>
    <row r="161" spans="1:10" x14ac:dyDescent="0.3">
      <c r="A161" s="7"/>
      <c r="C161" s="6"/>
      <c r="D161" s="6"/>
      <c r="E161" s="6"/>
      <c r="F161" s="6"/>
      <c r="G161" s="6"/>
      <c r="H161" s="6"/>
      <c r="I161" s="6"/>
      <c r="J161" s="6"/>
    </row>
    <row r="162" spans="1:10" x14ac:dyDescent="0.3">
      <c r="A162" s="7"/>
      <c r="C162" s="6"/>
      <c r="D162" s="6"/>
      <c r="E162" s="6"/>
      <c r="F162" s="6"/>
      <c r="G162" s="6"/>
      <c r="H162" s="6"/>
      <c r="I162" s="6"/>
      <c r="J162" s="6"/>
    </row>
    <row r="163" spans="1:10" x14ac:dyDescent="0.3">
      <c r="A163" s="7"/>
      <c r="C163" s="6"/>
      <c r="D163" s="6"/>
      <c r="E163" s="6"/>
      <c r="F163" s="6"/>
      <c r="G163" s="6"/>
      <c r="H163" s="6"/>
      <c r="I163" s="6"/>
      <c r="J163" s="6"/>
    </row>
    <row r="164" spans="1:10" x14ac:dyDescent="0.3">
      <c r="A164" s="7"/>
      <c r="C164" s="6"/>
      <c r="D164" s="6"/>
      <c r="E164" s="6"/>
      <c r="F164" s="6"/>
      <c r="G164" s="6"/>
      <c r="H164" s="6"/>
      <c r="I164" s="6"/>
      <c r="J164" s="6"/>
    </row>
    <row r="165" spans="1:10" x14ac:dyDescent="0.3">
      <c r="A165" s="7"/>
      <c r="C165" s="6"/>
      <c r="D165" s="6"/>
      <c r="E165" s="6"/>
      <c r="F165" s="6"/>
      <c r="G165" s="6"/>
      <c r="H165" s="6"/>
      <c r="I165" s="6"/>
      <c r="J165" s="6"/>
    </row>
    <row r="166" spans="1:10" x14ac:dyDescent="0.3">
      <c r="A166" s="7"/>
      <c r="C166" s="6"/>
      <c r="D166" s="6"/>
      <c r="E166" s="6"/>
      <c r="F166" s="6"/>
      <c r="G166" s="6"/>
      <c r="H166" s="6"/>
      <c r="I166" s="6"/>
      <c r="J166" s="6"/>
    </row>
    <row r="167" spans="1:10" x14ac:dyDescent="0.3">
      <c r="A167" s="7"/>
      <c r="C167" s="6"/>
      <c r="D167" s="6"/>
      <c r="E167" s="6"/>
      <c r="F167" s="6"/>
      <c r="G167" s="6"/>
      <c r="H167" s="6"/>
      <c r="I167" s="6"/>
      <c r="J167" s="6"/>
    </row>
    <row r="168" spans="1:10" x14ac:dyDescent="0.3">
      <c r="A168" s="7"/>
      <c r="C168" s="6"/>
      <c r="D168" s="6"/>
      <c r="E168" s="6"/>
      <c r="F168" s="6"/>
      <c r="G168" s="6"/>
      <c r="H168" s="6"/>
      <c r="I168" s="6"/>
      <c r="J168" s="6"/>
    </row>
    <row r="169" spans="1:10" x14ac:dyDescent="0.3">
      <c r="A169" s="7"/>
      <c r="C169" s="6"/>
      <c r="D169" s="6"/>
      <c r="E169" s="6"/>
      <c r="F169" s="6"/>
      <c r="G169" s="6"/>
      <c r="H169" s="6"/>
      <c r="I169" s="6"/>
      <c r="J169" s="6"/>
    </row>
    <row r="170" spans="1:10" x14ac:dyDescent="0.3">
      <c r="A170" s="7"/>
      <c r="C170" s="6"/>
      <c r="D170" s="6"/>
      <c r="E170" s="6"/>
      <c r="F170" s="6"/>
      <c r="G170" s="6"/>
      <c r="H170" s="6"/>
      <c r="I170" s="6"/>
      <c r="J170" s="6"/>
    </row>
    <row r="171" spans="1:10" x14ac:dyDescent="0.3">
      <c r="A171" s="7"/>
      <c r="C171" s="6"/>
      <c r="D171" s="6"/>
      <c r="E171" s="6"/>
      <c r="F171" s="6"/>
      <c r="G171" s="6"/>
      <c r="H171" s="6"/>
      <c r="I171" s="6"/>
      <c r="J171" s="6"/>
    </row>
    <row r="172" spans="1:10" x14ac:dyDescent="0.3">
      <c r="A172" s="7"/>
      <c r="C172" s="6"/>
      <c r="D172" s="6"/>
      <c r="E172" s="6"/>
      <c r="F172" s="6"/>
      <c r="G172" s="6"/>
      <c r="H172" s="6"/>
      <c r="I172" s="6"/>
      <c r="J172" s="6"/>
    </row>
    <row r="173" spans="1:10" x14ac:dyDescent="0.3">
      <c r="A173" s="7"/>
      <c r="C173" s="6"/>
      <c r="D173" s="6"/>
      <c r="E173" s="6"/>
      <c r="F173" s="6"/>
      <c r="G173" s="6"/>
      <c r="H173" s="6"/>
      <c r="I173" s="6"/>
      <c r="J173" s="6"/>
    </row>
    <row r="174" spans="1:10" x14ac:dyDescent="0.3">
      <c r="A174" s="7"/>
      <c r="C174" s="6"/>
      <c r="D174" s="6"/>
      <c r="E174" s="6"/>
      <c r="F174" s="6"/>
      <c r="G174" s="6"/>
      <c r="H174" s="6"/>
      <c r="I174" s="6"/>
      <c r="J174" s="6"/>
    </row>
    <row r="175" spans="1:10" x14ac:dyDescent="0.3">
      <c r="A175" s="7"/>
      <c r="C175" s="6"/>
      <c r="D175" s="6"/>
      <c r="E175" s="6"/>
      <c r="F175" s="6"/>
      <c r="G175" s="6"/>
      <c r="H175" s="6"/>
      <c r="I175" s="6"/>
      <c r="J175" s="6"/>
    </row>
    <row r="176" spans="1:10" x14ac:dyDescent="0.3">
      <c r="A176" s="7"/>
      <c r="C176" s="6"/>
      <c r="D176" s="6"/>
      <c r="E176" s="6"/>
      <c r="F176" s="6"/>
      <c r="G176" s="6"/>
      <c r="H176" s="6"/>
      <c r="I176" s="6"/>
      <c r="J176" s="6"/>
    </row>
    <row r="177" spans="1:10" x14ac:dyDescent="0.3">
      <c r="A177" s="7"/>
      <c r="C177" s="6"/>
      <c r="D177" s="6"/>
      <c r="E177" s="6"/>
      <c r="F177" s="6"/>
      <c r="G177" s="6"/>
      <c r="H177" s="6"/>
      <c r="I177" s="6"/>
      <c r="J177" s="6"/>
    </row>
    <row r="178" spans="1:10" x14ac:dyDescent="0.3">
      <c r="A178" s="7"/>
      <c r="C178" s="6"/>
      <c r="D178" s="6"/>
      <c r="E178" s="6"/>
      <c r="F178" s="6"/>
      <c r="G178" s="6"/>
      <c r="H178" s="6"/>
      <c r="I178" s="6"/>
      <c r="J178" s="6"/>
    </row>
    <row r="179" spans="1:10" x14ac:dyDescent="0.3">
      <c r="A179" s="7"/>
      <c r="C179" s="6"/>
      <c r="D179" s="6"/>
      <c r="E179" s="6"/>
      <c r="F179" s="6"/>
      <c r="G179" s="6"/>
      <c r="H179" s="6"/>
      <c r="I179" s="6"/>
      <c r="J179" s="6"/>
    </row>
    <row r="180" spans="1:10" x14ac:dyDescent="0.3">
      <c r="A180" s="7"/>
      <c r="C180" s="6"/>
      <c r="D180" s="6"/>
      <c r="E180" s="6"/>
      <c r="F180" s="6"/>
      <c r="G180" s="6"/>
      <c r="H180" s="6"/>
      <c r="I180" s="6"/>
      <c r="J180" s="6"/>
    </row>
    <row r="181" spans="1:10" x14ac:dyDescent="0.3">
      <c r="A181" s="7"/>
      <c r="C181" s="6"/>
      <c r="D181" s="6"/>
      <c r="E181" s="6"/>
      <c r="F181" s="6"/>
      <c r="G181" s="6"/>
      <c r="H181" s="6"/>
      <c r="I181" s="6"/>
      <c r="J181" s="6"/>
    </row>
    <row r="182" spans="1:10" x14ac:dyDescent="0.3">
      <c r="A182" s="7"/>
      <c r="C182" s="6"/>
      <c r="D182" s="6"/>
      <c r="E182" s="6"/>
      <c r="F182" s="6"/>
      <c r="G182" s="6"/>
      <c r="H182" s="6"/>
      <c r="I182" s="6"/>
      <c r="J182" s="6"/>
    </row>
    <row r="183" spans="1:10" x14ac:dyDescent="0.3">
      <c r="A183" s="7"/>
      <c r="C183" s="6"/>
      <c r="D183" s="6"/>
      <c r="E183" s="6"/>
      <c r="F183" s="6"/>
      <c r="G183" s="6"/>
      <c r="H183" s="6"/>
      <c r="I183" s="6"/>
      <c r="J183" s="6"/>
    </row>
    <row r="184" spans="1:10" x14ac:dyDescent="0.3">
      <c r="A184" s="7"/>
      <c r="C184" s="6"/>
      <c r="D184" s="6"/>
      <c r="E184" s="6"/>
      <c r="F184" s="6"/>
      <c r="G184" s="6"/>
      <c r="H184" s="6"/>
      <c r="I184" s="6"/>
      <c r="J184" s="6"/>
    </row>
    <row r="185" spans="1:10" x14ac:dyDescent="0.3">
      <c r="A185" s="7"/>
      <c r="C185" s="6"/>
      <c r="D185" s="6"/>
      <c r="E185" s="6"/>
      <c r="F185" s="6"/>
      <c r="G185" s="6"/>
      <c r="H185" s="6"/>
      <c r="I185" s="6"/>
      <c r="J185" s="6"/>
    </row>
    <row r="186" spans="1:10" x14ac:dyDescent="0.3">
      <c r="A186" s="7"/>
      <c r="C186" s="6"/>
      <c r="D186" s="6"/>
      <c r="E186" s="6"/>
      <c r="F186" s="6"/>
      <c r="G186" s="6"/>
      <c r="H186" s="6"/>
      <c r="I186" s="6"/>
      <c r="J186" s="6"/>
    </row>
    <row r="187" spans="1:10" x14ac:dyDescent="0.3">
      <c r="A187" s="7"/>
      <c r="C187" s="6"/>
      <c r="D187" s="6"/>
      <c r="E187" s="6"/>
      <c r="F187" s="6"/>
      <c r="G187" s="6"/>
      <c r="H187" s="6"/>
      <c r="I187" s="6"/>
      <c r="J187" s="6"/>
    </row>
    <row r="188" spans="1:10" x14ac:dyDescent="0.3">
      <c r="A188" s="7"/>
      <c r="C188" s="6"/>
      <c r="D188" s="6"/>
      <c r="E188" s="6"/>
      <c r="F188" s="6"/>
      <c r="G188" s="6"/>
      <c r="H188" s="6"/>
      <c r="I188" s="6"/>
      <c r="J188" s="6"/>
    </row>
    <row r="189" spans="1:10" x14ac:dyDescent="0.3">
      <c r="A189" s="7"/>
      <c r="C189" s="6"/>
      <c r="D189" s="6"/>
      <c r="E189" s="6"/>
      <c r="F189" s="6"/>
      <c r="G189" s="6"/>
      <c r="H189" s="6"/>
      <c r="I189" s="6"/>
      <c r="J189" s="6"/>
    </row>
    <row r="190" spans="1:10" x14ac:dyDescent="0.3">
      <c r="A190" s="7"/>
      <c r="C190" s="6"/>
      <c r="D190" s="6"/>
      <c r="E190" s="6"/>
      <c r="F190" s="6"/>
      <c r="G190" s="6"/>
      <c r="H190" s="6"/>
      <c r="I190" s="6"/>
      <c r="J190" s="6"/>
    </row>
    <row r="191" spans="1:10" x14ac:dyDescent="0.3">
      <c r="A191" s="7"/>
      <c r="C191" s="6"/>
      <c r="D191" s="6"/>
      <c r="E191" s="6"/>
      <c r="F191" s="6"/>
      <c r="G191" s="6"/>
      <c r="H191" s="6"/>
      <c r="I191" s="6"/>
      <c r="J191" s="6"/>
    </row>
    <row r="192" spans="1:10" x14ac:dyDescent="0.3">
      <c r="A192" s="7"/>
      <c r="C192" s="6"/>
      <c r="D192" s="6"/>
      <c r="E192" s="6"/>
      <c r="F192" s="6"/>
      <c r="G192" s="6"/>
      <c r="H192" s="6"/>
      <c r="I192" s="6"/>
      <c r="J192" s="6"/>
    </row>
    <row r="193" spans="1:10" x14ac:dyDescent="0.3">
      <c r="A193" s="7"/>
      <c r="C193" s="6"/>
      <c r="D193" s="6"/>
      <c r="E193" s="6"/>
      <c r="F193" s="6"/>
      <c r="G193" s="6"/>
      <c r="H193" s="6"/>
      <c r="I193" s="6"/>
      <c r="J193" s="6"/>
    </row>
    <row r="194" spans="1:10" x14ac:dyDescent="0.3">
      <c r="A194" s="7"/>
      <c r="C194" s="6"/>
      <c r="D194" s="6"/>
      <c r="E194" s="6"/>
      <c r="F194" s="6"/>
      <c r="G194" s="6"/>
      <c r="H194" s="6"/>
      <c r="I194" s="6"/>
      <c r="J194" s="6"/>
    </row>
    <row r="195" spans="1:10" x14ac:dyDescent="0.3">
      <c r="A195" s="7"/>
      <c r="C195" s="6"/>
      <c r="D195" s="6"/>
      <c r="E195" s="6"/>
      <c r="F195" s="6"/>
      <c r="G195" s="6"/>
      <c r="H195" s="6"/>
      <c r="I195" s="6"/>
      <c r="J195" s="6"/>
    </row>
    <row r="196" spans="1:10" x14ac:dyDescent="0.3">
      <c r="A196" s="7"/>
      <c r="C196" s="6"/>
      <c r="D196" s="6"/>
      <c r="E196" s="6"/>
      <c r="F196" s="6"/>
      <c r="G196" s="6"/>
      <c r="H196" s="6"/>
      <c r="I196" s="6"/>
      <c r="J196" s="6"/>
    </row>
    <row r="197" spans="1:10" x14ac:dyDescent="0.3">
      <c r="A197" s="7"/>
      <c r="C197" s="6"/>
      <c r="D197" s="6"/>
      <c r="E197" s="6"/>
      <c r="F197" s="6"/>
      <c r="G197" s="6"/>
      <c r="H197" s="6"/>
      <c r="I197" s="6"/>
      <c r="J197" s="6"/>
    </row>
    <row r="198" spans="1:10" x14ac:dyDescent="0.3">
      <c r="A198" s="7"/>
      <c r="C198" s="6"/>
      <c r="D198" s="6"/>
      <c r="E198" s="6"/>
      <c r="F198" s="6"/>
      <c r="G198" s="6"/>
      <c r="H198" s="6"/>
      <c r="I198" s="6"/>
      <c r="J198" s="6"/>
    </row>
    <row r="199" spans="1:10" x14ac:dyDescent="0.3">
      <c r="A199" s="7"/>
      <c r="C199" s="6"/>
      <c r="D199" s="6"/>
      <c r="E199" s="6"/>
      <c r="F199" s="6"/>
      <c r="G199" s="6"/>
      <c r="H199" s="6"/>
      <c r="I199" s="6"/>
      <c r="J199" s="6"/>
    </row>
    <row r="200" spans="1:10" x14ac:dyDescent="0.3">
      <c r="A200" s="7"/>
      <c r="C200" s="6"/>
      <c r="D200" s="6"/>
      <c r="E200" s="6"/>
      <c r="F200" s="6"/>
      <c r="G200" s="6"/>
      <c r="H200" s="6"/>
      <c r="I200" s="6"/>
      <c r="J200" s="6"/>
    </row>
  </sheetData>
  <dataValidations count="2">
    <dataValidation type="list" allowBlank="1" showInputMessage="1" showErrorMessage="1" sqref="C4" xr:uid="{BC8B3051-1CDA-4B34-9D0F-EF1B5EF9ACAB}">
      <formula1>Список_щитов</formula1>
    </dataValidation>
    <dataValidation type="list" allowBlank="1" showInputMessage="1" showErrorMessage="1" sqref="C5" xr:uid="{A3EBC8B8-5602-47D1-B2A1-F93F3A5A9AF3}">
      <formula1>"Весь щит,Секция 1,Секция 2,Секция 3"</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4AB53-39B8-42F9-A3BB-E53E025B4A51}">
  <sheetPr codeName="Лист18">
    <tabColor rgb="FFA6A6A6"/>
  </sheetPr>
  <dimension ref="A1:S160"/>
  <sheetViews>
    <sheetView topLeftCell="B52" workbookViewId="0">
      <selection activeCell="C11" sqref="C11"/>
    </sheetView>
  </sheetViews>
  <sheetFormatPr defaultRowHeight="14.4" outlineLevelCol="1" x14ac:dyDescent="0.3"/>
  <cols>
    <col min="1" max="1" width="4" hidden="1" customWidth="1"/>
    <col min="2" max="2" width="9.6640625" customWidth="1"/>
    <col min="3" max="3" width="115.88671875" customWidth="1"/>
    <col min="4" max="6" width="20.6640625" customWidth="1"/>
    <col min="7" max="9" width="9.6640625" customWidth="1"/>
    <col min="10" max="10" width="20.6640625" customWidth="1"/>
    <col min="11" max="11" width="3" customWidth="1"/>
    <col min="12" max="12" width="40" hidden="1" customWidth="1" outlineLevel="1"/>
    <col min="13" max="19" width="11" hidden="1" customWidth="1" outlineLevel="1"/>
  </cols>
  <sheetData>
    <row r="1" spans="1:15" ht="28.2" thickBot="1" x14ac:dyDescent="0.35">
      <c r="C1" s="30" t="str">
        <f>IF(Каталог!$R$28="","ЧЕРНОВИК — считается сам, не править. Перенос в «Спецификацию»: выделите B4:J160 → Копировать → лист «Спецификация», ячейка B4 → Вставить → Значения (или кнопка/макрос «ОбновитьСпецификацию»).","ВНИМАНИЕ: в однолинейке есть позиции, которых нет в Каталоге: "&amp;Каталог!$R$28&amp;IF(Каталог!$R$29="","",", "&amp;Каталог!$R$29)&amp;IF(Каталог!$R$30="","",", "&amp;Каталог!$R$30)&amp;" — добавьте их в Каталог.")</f>
        <v>ВНИМАНИЕ: в однолинейке есть позиции, которых нет в Каталоге: 3P С630А, 3P С25А, 3P С400А — добавьте их в Каталог.</v>
      </c>
      <c r="K1" s="36" t="str">
        <f>"Щит: "&amp;Спецификация!$D$1&amp;" (выбор — «Спецификация» D1)"</f>
        <v>Щит: все (выбор — «Спецификация» D1)</v>
      </c>
    </row>
    <row r="2" spans="1:15" ht="43.8" thickBot="1" x14ac:dyDescent="0.35">
      <c r="B2" s="9" t="s">
        <v>40</v>
      </c>
      <c r="C2" s="1" t="s">
        <v>41</v>
      </c>
      <c r="D2" s="1" t="s">
        <v>42</v>
      </c>
      <c r="E2" s="1" t="s">
        <v>43</v>
      </c>
      <c r="F2" s="1" t="s">
        <v>44</v>
      </c>
      <c r="G2" s="1" t="s">
        <v>48</v>
      </c>
      <c r="H2" s="1" t="s">
        <v>45</v>
      </c>
      <c r="I2" s="1" t="s">
        <v>46</v>
      </c>
      <c r="J2" s="10" t="s">
        <v>47</v>
      </c>
      <c r="L2" s="1" t="s">
        <v>822</v>
      </c>
      <c r="M2" s="1" t="s">
        <v>45</v>
      </c>
      <c r="N2" s="1" t="s">
        <v>823</v>
      </c>
      <c r="O2" s="1" t="s">
        <v>824</v>
      </c>
    </row>
    <row r="3" spans="1:15" ht="28.8" x14ac:dyDescent="0.3">
      <c r="B3" s="28" t="s">
        <v>34</v>
      </c>
      <c r="C3" s="27" t="s">
        <v>251</v>
      </c>
      <c r="D3" s="8"/>
      <c r="E3" s="8"/>
      <c r="F3" s="8"/>
      <c r="G3" s="8"/>
      <c r="H3" s="8"/>
      <c r="I3" s="8"/>
      <c r="J3" s="8"/>
      <c r="L3" s="1" t="s">
        <v>825</v>
      </c>
    </row>
    <row r="4" spans="1:15" x14ac:dyDescent="0.3">
      <c r="A4" s="29">
        <f>IFERROR(MATCH(ROW()-3,Каталог!$AF$4:$AF$500,0),"")</f>
        <v>1</v>
      </c>
      <c r="B4" s="29" t="str">
        <f t="shared" ref="B4:B35" si="0">IF($A4="","",$B$3&amp;"."&amp;(ROW()-3))</f>
        <v>1.1</v>
      </c>
      <c r="C4" s="30" t="str">
        <f>IF($A4="","",INDEX(Каталог!$G$4:$G$500,$A4)&amp;"")</f>
        <v>Автоматический выключатель NB1-63 1P 10А 6кА х-ка C (DB)</v>
      </c>
      <c r="D4" s="33"/>
      <c r="E4" s="31" t="str">
        <f>IF($A4="","",INDEX(Каталог!$H$4:$H$500,$A4)&amp;"")</f>
        <v>179614</v>
      </c>
      <c r="F4" s="32" t="str">
        <f>IF($A4="","",INDEX(Каталог!$B$4:$B$500,$A4)&amp;"")</f>
        <v>Chint</v>
      </c>
      <c r="G4" s="32" t="str">
        <f>IF($A4="","",INDEX(Каталог!$M$4:$M$500,$A4)&amp;"")</f>
        <v>шт.</v>
      </c>
      <c r="H4" s="32">
        <f>IF($A4="","",INDEX(Каталог!$P$4:$P$500,$A4))</f>
        <v>53</v>
      </c>
      <c r="I4" s="5"/>
      <c r="J4" s="5"/>
      <c r="L4" s="30" t="str">
        <f>IFERROR(INDEX(Однолинейка!$H$3:$H$1000,MATCH(1,Однолинейка!$BM$3:$BM$1000,0)),"")</f>
        <v>3P С630А</v>
      </c>
      <c r="M4" s="32">
        <f>IF(L4="","",COUNTIF(Однолинейка!$H$3:$H$1000,L4))</f>
        <v>2</v>
      </c>
    </row>
    <row r="5" spans="1:15" x14ac:dyDescent="0.3">
      <c r="A5" s="29">
        <f>IFERROR(MATCH(ROW()-3,Каталог!$AF$4:$AF$500,0),"")</f>
        <v>2</v>
      </c>
      <c r="B5" s="29" t="str">
        <f t="shared" si="0"/>
        <v>1.2</v>
      </c>
      <c r="C5" s="30" t="str">
        <f>IF($A5="","",INDEX(Каталог!$G$4:$G$500,$A5)&amp;"")</f>
        <v>Автоматический выключатель NB1-63 1P 16А 6кА х-ка C (DB)</v>
      </c>
      <c r="D5" s="33"/>
      <c r="E5" s="31" t="str">
        <f>IF($A5="","",INDEX(Каталог!$H$4:$H$500,$A5)&amp;"")</f>
        <v>179616</v>
      </c>
      <c r="F5" s="32" t="str">
        <f>IF($A5="","",INDEX(Каталог!$B$4:$B$500,$A5)&amp;"")</f>
        <v>Chint</v>
      </c>
      <c r="G5" s="32" t="str">
        <f>IF($A5="","",INDEX(Каталог!$M$4:$M$500,$A5)&amp;"")</f>
        <v>шт.</v>
      </c>
      <c r="H5" s="32">
        <f>IF($A5="","",INDEX(Каталог!$P$4:$P$500,$A5))</f>
        <v>54</v>
      </c>
      <c r="I5" s="5"/>
      <c r="J5" s="5"/>
      <c r="L5" s="30" t="str">
        <f>IFERROR(INDEX(Однолинейка!$H$3:$H$1000,MATCH(2,Однолинейка!$BM$3:$BM$1000,0)),"")</f>
        <v>1P С10А</v>
      </c>
      <c r="M5" s="32">
        <f>IF(L5="","",COUNTIF(Однолинейка!$H$3:$H$1000,L5))</f>
        <v>53</v>
      </c>
    </row>
    <row r="6" spans="1:15" x14ac:dyDescent="0.3">
      <c r="A6" s="29">
        <f>IFERROR(MATCH(ROW()-3,Каталог!$AF$4:$AF$500,0),"")</f>
        <v>3</v>
      </c>
      <c r="B6" s="29" t="str">
        <f t="shared" si="0"/>
        <v>1.3</v>
      </c>
      <c r="C6" s="30" t="str">
        <f>IF($A6="","",INDEX(Каталог!$G$4:$G$500,$A6)&amp;"")</f>
        <v>Автоматический выключатель NB1-63 3P 20А 6кА х-ка C (DB)</v>
      </c>
      <c r="D6" s="33"/>
      <c r="E6" s="31" t="str">
        <f>IF($A6="","",INDEX(Каталог!$H$4:$H$500,$A6)&amp;"")</f>
        <v>179702</v>
      </c>
      <c r="F6" s="32" t="str">
        <f>IF($A6="","",INDEX(Каталог!$B$4:$B$500,$A6)&amp;"")</f>
        <v>Chint</v>
      </c>
      <c r="G6" s="32" t="str">
        <f>IF($A6="","",INDEX(Каталог!$M$4:$M$500,$A6)&amp;"")</f>
        <v>шт.</v>
      </c>
      <c r="H6" s="32">
        <f>IF($A6="","",INDEX(Каталог!$P$4:$P$500,$A6))</f>
        <v>6</v>
      </c>
      <c r="I6" s="5"/>
      <c r="J6" s="5"/>
      <c r="L6" s="30" t="str">
        <f>IFERROR(INDEX(Однолинейка!$H$3:$H$1000,MATCH(3,Однолинейка!$BM$3:$BM$1000,0)),"")</f>
        <v>3P С25А</v>
      </c>
      <c r="M6" s="32">
        <f>IF(L6="","",COUNTIF(Однолинейка!$H$3:$H$1000,L6))</f>
        <v>3</v>
      </c>
    </row>
    <row r="7" spans="1:15" x14ac:dyDescent="0.3">
      <c r="A7" s="29">
        <f>IFERROR(MATCH(ROW()-3,Каталог!$AF$4:$AF$500,0),"")</f>
        <v>6</v>
      </c>
      <c r="B7" s="29" t="str">
        <f t="shared" si="0"/>
        <v>1.4</v>
      </c>
      <c r="C7" s="30" t="str">
        <f>IF($A7="","",INDEX(Каталог!$G$4:$G$500,$A7)&amp;"")</f>
        <v>Дифавтомат (АВДТ) NB1L 1P+N C16 30мА тип A 6кА</v>
      </c>
      <c r="D7" s="33"/>
      <c r="E7" s="31" t="str">
        <f>IF($A7="","",INDEX(Каталог!$H$4:$H$500,$A7)&amp;"")</f>
        <v>203019</v>
      </c>
      <c r="F7" s="32" t="str">
        <f>IF($A7="","",INDEX(Каталог!$B$4:$B$500,$A7)&amp;"")</f>
        <v>Chint</v>
      </c>
      <c r="G7" s="32" t="str">
        <f>IF($A7="","",INDEX(Каталог!$M$4:$M$500,$A7)&amp;"")</f>
        <v>шт.</v>
      </c>
      <c r="H7" s="32">
        <f>IF($A7="","",INDEX(Каталог!$P$4:$P$500,$A7))</f>
        <v>139</v>
      </c>
      <c r="I7" s="5"/>
      <c r="J7" s="5"/>
      <c r="L7" s="30" t="str">
        <f>IFERROR(INDEX(Однолинейка!$H$3:$H$1000,MATCH(4,Однолинейка!$BM$3:$BM$1000,0)),"")</f>
        <v>3P С400А</v>
      </c>
      <c r="M7" s="32">
        <f>IF(L7="","",COUNTIF(Однолинейка!$H$3:$H$1000,L7))</f>
        <v>1</v>
      </c>
    </row>
    <row r="8" spans="1:15" x14ac:dyDescent="0.3">
      <c r="A8" s="29">
        <f>IFERROR(MATCH(ROW()-3,Каталог!$AF$4:$AF$500,0),"")</f>
        <v>7</v>
      </c>
      <c r="B8" s="29" t="str">
        <f t="shared" si="0"/>
        <v>1.5</v>
      </c>
      <c r="C8" s="30" t="str">
        <f>IF($A8="","",INDEX(Каталог!$G$4:$G$500,$A8)&amp;"")</f>
        <v>Дифавтомат (АВДТ) NB1L 1P+N C20 30мА тип A 6кА</v>
      </c>
      <c r="D8" s="33"/>
      <c r="E8" s="31" t="str">
        <f>IF($A8="","",INDEX(Каталог!$H$4:$H$500,$A8)&amp;"")</f>
        <v>203296</v>
      </c>
      <c r="F8" s="32" t="str">
        <f>IF($A8="","",INDEX(Каталог!$B$4:$B$500,$A8)&amp;"")</f>
        <v>Chint</v>
      </c>
      <c r="G8" s="32" t="str">
        <f>IF($A8="","",INDEX(Каталог!$M$4:$M$500,$A8)&amp;"")</f>
        <v>шт.</v>
      </c>
      <c r="H8" s="32">
        <f>IF($A8="","",INDEX(Каталог!$P$4:$P$500,$A8))</f>
        <v>3</v>
      </c>
      <c r="I8" s="5"/>
      <c r="J8" s="5"/>
      <c r="L8" s="30" t="str">
        <f>IFERROR(INDEX(Однолинейка!$H$3:$H$1000,MATCH(5,Однолинейка!$BM$3:$BM$1000,0)),"")</f>
        <v>3P С16А</v>
      </c>
      <c r="M8" s="32">
        <f>IF(L8="","",COUNTIF(Однолинейка!$H$3:$H$1000,L8))</f>
        <v>10</v>
      </c>
    </row>
    <row r="9" spans="1:15" x14ac:dyDescent="0.3">
      <c r="A9" s="29">
        <f>IFERROR(MATCH(ROW()-3,Каталог!$AF$4:$AF$500,0),"")</f>
        <v>30</v>
      </c>
      <c r="B9" s="29" t="str">
        <f t="shared" si="0"/>
        <v>1.6</v>
      </c>
      <c r="C9" s="30" t="str">
        <f>IF($A9="","",INDEX(Каталог!$G$4:$G$500,$A9)&amp;"")</f>
        <v>Клемма трёхуровневая push-in, 6 точек, 2.5 кв.мм</v>
      </c>
      <c r="D9" s="33"/>
      <c r="E9" s="31" t="str">
        <f>IF($A9="","",INDEX(Каталог!$H$4:$H$500,$A9)&amp;"")</f>
        <v>VPR-2.5-3L-GY</v>
      </c>
      <c r="F9" s="32" t="str">
        <f>IF($A9="","",INDEX(Каталог!$B$4:$B$500,$A9)&amp;"")</f>
        <v>DKC</v>
      </c>
      <c r="G9" s="32" t="str">
        <f>IF($A9="","",INDEX(Каталог!$M$4:$M$500,$A9)&amp;"")</f>
        <v>шт.</v>
      </c>
      <c r="H9" s="32">
        <f>IF($A9="","",INDEX(Каталог!$P$4:$P$500,$A9))</f>
        <v>305</v>
      </c>
      <c r="I9" s="5"/>
      <c r="J9" s="5"/>
      <c r="L9" s="30" t="str">
        <f>IFERROR(INDEX(Однолинейка!$H$3:$H$1000,MATCH(6,Однолинейка!$BM$3:$BM$1000,0)),"")</f>
        <v>3P С20А</v>
      </c>
      <c r="M9" s="32">
        <f>IF(L9="","",COUNTIF(Однолинейка!$H$3:$H$1000,L9))</f>
        <v>6</v>
      </c>
    </row>
    <row r="10" spans="1:15" x14ac:dyDescent="0.3">
      <c r="A10" s="29">
        <f>IFERROR(MATCH(ROW()-3,Каталог!$AF$4:$AF$500,0),"")</f>
        <v>31</v>
      </c>
      <c r="B10" s="29" t="str">
        <f t="shared" si="0"/>
        <v>1.7</v>
      </c>
      <c r="C10" s="30" t="str">
        <f>IF($A10="","",INDEX(Каталог!$G$4:$G$500,$A10)&amp;"")</f>
        <v>Клемма проходная push-in, 4 точки, 2.5 кв.мм, серая</v>
      </c>
      <c r="D10" s="33"/>
      <c r="E10" s="31" t="str">
        <f>IF($A10="","",INDEX(Каталог!$H$4:$H$500,$A10)&amp;"")</f>
        <v>VPR-2.5-QUATTRO-GY</v>
      </c>
      <c r="F10" s="32" t="str">
        <f>IF($A10="","",INDEX(Каталог!$B$4:$B$500,$A10)&amp;"")</f>
        <v>DKC</v>
      </c>
      <c r="G10" s="32" t="str">
        <f>IF($A10="","",INDEX(Каталог!$M$4:$M$500,$A10)&amp;"")</f>
        <v>шт.</v>
      </c>
      <c r="H10" s="32">
        <f>IF($A10="","",INDEX(Каталог!$P$4:$P$500,$A10))</f>
        <v>50</v>
      </c>
      <c r="I10" s="5"/>
      <c r="J10" s="5"/>
      <c r="L10" s="30" t="str">
        <f>IFERROR(INDEX(Однолинейка!$H$3:$H$1000,MATCH(7,Однолинейка!$BM$3:$BM$1000,0)),"")</f>
        <v>3P С6А</v>
      </c>
      <c r="M10" s="32">
        <f>IF(L10="","",COUNTIF(Однолинейка!$H$3:$H$1000,L10))</f>
        <v>3</v>
      </c>
    </row>
    <row r="11" spans="1:15" x14ac:dyDescent="0.3">
      <c r="A11" s="29" t="str">
        <f>IFERROR(MATCH(ROW()-3,Каталог!$AF$4:$AF$500,0),"")</f>
        <v/>
      </c>
      <c r="B11" s="29" t="str">
        <f t="shared" si="0"/>
        <v/>
      </c>
      <c r="C11" s="30" t="str">
        <f>IF($A11="","",INDEX(Каталог!$G$4:$G$500,$A11)&amp;"")</f>
        <v/>
      </c>
      <c r="D11" s="33"/>
      <c r="E11" s="31" t="str">
        <f>IF($A11="","",INDEX(Каталог!$H$4:$H$500,$A11)&amp;"")</f>
        <v/>
      </c>
      <c r="F11" s="32" t="str">
        <f>IF($A11="","",INDEX(Каталог!$B$4:$B$500,$A11)&amp;"")</f>
        <v/>
      </c>
      <c r="G11" s="32" t="str">
        <f>IF($A11="","",INDEX(Каталог!$M$4:$M$500,$A11)&amp;"")</f>
        <v/>
      </c>
      <c r="H11" s="32" t="str">
        <f>IF($A11="","",INDEX(Каталог!$P$4:$P$500,$A11))</f>
        <v/>
      </c>
      <c r="I11" s="5"/>
      <c r="J11" s="5"/>
      <c r="L11" s="30" t="str">
        <f>IFERROR(INDEX(Однолинейка!$H$3:$H$1000,MATCH(8,Однолинейка!$BM$3:$BM$1000,0)),"")</f>
        <v>3P С40А</v>
      </c>
      <c r="M11" s="32">
        <f>IF(L11="","",COUNTIF(Однолинейка!$H$3:$H$1000,L11))</f>
        <v>6</v>
      </c>
    </row>
    <row r="12" spans="1:15" x14ac:dyDescent="0.3">
      <c r="A12" s="29" t="str">
        <f>IFERROR(MATCH(ROW()-3,Каталог!$AF$4:$AF$500,0),"")</f>
        <v/>
      </c>
      <c r="B12" s="29" t="str">
        <f t="shared" si="0"/>
        <v/>
      </c>
      <c r="C12" s="30" t="str">
        <f>IF($A12="","",INDEX(Каталог!$G$4:$G$500,$A12)&amp;"")</f>
        <v/>
      </c>
      <c r="D12" s="33"/>
      <c r="E12" s="31" t="str">
        <f>IF($A12="","",INDEX(Каталог!$H$4:$H$500,$A12)&amp;"")</f>
        <v/>
      </c>
      <c r="F12" s="32" t="str">
        <f>IF($A12="","",INDEX(Каталог!$B$4:$B$500,$A12)&amp;"")</f>
        <v/>
      </c>
      <c r="G12" s="32" t="str">
        <f>IF($A12="","",INDEX(Каталог!$M$4:$M$500,$A12)&amp;"")</f>
        <v/>
      </c>
      <c r="H12" s="32" t="str">
        <f>IF($A12="","",INDEX(Каталог!$P$4:$P$500,$A12))</f>
        <v/>
      </c>
      <c r="I12" s="5"/>
      <c r="J12" s="5"/>
      <c r="L12" s="30" t="str">
        <f>IFERROR(INDEX(Однолинейка!$H$3:$H$1000,MATCH(9,Однолинейка!$BM$3:$BM$1000,0)),"")</f>
        <v>3P С63А</v>
      </c>
      <c r="M12" s="32">
        <f>IF(L12="","",COUNTIF(Однолинейка!$H$3:$H$1000,L12))</f>
        <v>9</v>
      </c>
    </row>
    <row r="13" spans="1:15" x14ac:dyDescent="0.3">
      <c r="A13" s="29" t="str">
        <f>IFERROR(MATCH(ROW()-3,Каталог!$AF$4:$AF$500,0),"")</f>
        <v/>
      </c>
      <c r="B13" s="29" t="str">
        <f t="shared" si="0"/>
        <v/>
      </c>
      <c r="C13" s="30" t="str">
        <f>IF($A13="","",INDEX(Каталог!$G$4:$G$500,$A13)&amp;"")</f>
        <v/>
      </c>
      <c r="D13" s="33"/>
      <c r="E13" s="31" t="str">
        <f>IF($A13="","",INDEX(Каталог!$H$4:$H$500,$A13)&amp;"")</f>
        <v/>
      </c>
      <c r="F13" s="32" t="str">
        <f>IF($A13="","",INDEX(Каталог!$B$4:$B$500,$A13)&amp;"")</f>
        <v/>
      </c>
      <c r="G13" s="32" t="str">
        <f>IF($A13="","",INDEX(Каталог!$M$4:$M$500,$A13)&amp;"")</f>
        <v/>
      </c>
      <c r="H13" s="32" t="str">
        <f>IF($A13="","",INDEX(Каталог!$P$4:$P$500,$A13))</f>
        <v/>
      </c>
      <c r="I13" s="5"/>
      <c r="J13" s="5"/>
      <c r="L13" s="30" t="str">
        <f>IFERROR(INDEX(Однолинейка!$H$3:$H$1000,MATCH(10,Однолинейка!$BM$3:$BM$1000,0)),"")</f>
        <v>1P С20А</v>
      </c>
      <c r="M13" s="32">
        <f>IF(L13="","",COUNTIF(Однолинейка!$H$3:$H$1000,L13))</f>
        <v>4</v>
      </c>
    </row>
    <row r="14" spans="1:15" x14ac:dyDescent="0.3">
      <c r="A14" s="29" t="str">
        <f>IFERROR(MATCH(ROW()-3,Каталог!$AF$4:$AF$500,0),"")</f>
        <v/>
      </c>
      <c r="B14" s="29" t="str">
        <f t="shared" si="0"/>
        <v/>
      </c>
      <c r="C14" s="30" t="str">
        <f>IF($A14="","",INDEX(Каталог!$G$4:$G$500,$A14)&amp;"")</f>
        <v/>
      </c>
      <c r="D14" s="33"/>
      <c r="E14" s="31" t="str">
        <f>IF($A14="","",INDEX(Каталог!$H$4:$H$500,$A14)&amp;"")</f>
        <v/>
      </c>
      <c r="F14" s="32" t="str">
        <f>IF($A14="","",INDEX(Каталог!$B$4:$B$500,$A14)&amp;"")</f>
        <v/>
      </c>
      <c r="G14" s="32" t="str">
        <f>IF($A14="","",INDEX(Каталог!$M$4:$M$500,$A14)&amp;"")</f>
        <v/>
      </c>
      <c r="H14" s="32" t="str">
        <f>IF($A14="","",INDEX(Каталог!$P$4:$P$500,$A14))</f>
        <v/>
      </c>
      <c r="I14" s="5"/>
      <c r="J14" s="5"/>
      <c r="L14" s="30" t="str">
        <f>IFERROR(INDEX(Однолинейка!$H$3:$H$1000,MATCH(11,Однолинейка!$BM$3:$BM$1000,0)),"")</f>
        <v>1P С16А</v>
      </c>
      <c r="M14" s="32">
        <f>IF(L14="","",COUNTIF(Однолинейка!$H$3:$H$1000,L14))</f>
        <v>54</v>
      </c>
    </row>
    <row r="15" spans="1:15" x14ac:dyDescent="0.3">
      <c r="A15" s="29" t="str">
        <f>IFERROR(MATCH(ROW()-3,Каталог!$AF$4:$AF$500,0),"")</f>
        <v/>
      </c>
      <c r="B15" s="29" t="str">
        <f t="shared" si="0"/>
        <v/>
      </c>
      <c r="C15" s="30" t="str">
        <f>IF($A15="","",INDEX(Каталог!$G$4:$G$500,$A15)&amp;"")</f>
        <v/>
      </c>
      <c r="D15" s="33"/>
      <c r="E15" s="31" t="str">
        <f>IF($A15="","",INDEX(Каталог!$H$4:$H$500,$A15)&amp;"")</f>
        <v/>
      </c>
      <c r="F15" s="32" t="str">
        <f>IF($A15="","",INDEX(Каталог!$B$4:$B$500,$A15)&amp;"")</f>
        <v/>
      </c>
      <c r="G15" s="32" t="str">
        <f>IF($A15="","",INDEX(Каталог!$M$4:$M$500,$A15)&amp;"")</f>
        <v/>
      </c>
      <c r="H15" s="32" t="str">
        <f>IF($A15="","",INDEX(Каталог!$P$4:$P$500,$A15))</f>
        <v/>
      </c>
      <c r="I15" s="5"/>
      <c r="J15" s="5"/>
      <c r="L15" s="30" t="str">
        <f>IFERROR(INDEX(Однолинейка!$H$3:$H$1000,MATCH(12,Однолинейка!$BM$3:$BM$1000,0)),"")</f>
        <v>3P С32А</v>
      </c>
      <c r="M15" s="32">
        <f>IF(L15="","",COUNTIF(Однолинейка!$H$3:$H$1000,L15))</f>
        <v>2</v>
      </c>
    </row>
    <row r="16" spans="1:15" ht="18" customHeight="1" x14ac:dyDescent="0.3">
      <c r="A16" s="29" t="str">
        <f>IFERROR(MATCH(ROW()-3,Каталог!$AF$4:$AF$500,0),"")</f>
        <v/>
      </c>
      <c r="B16" s="29" t="str">
        <f t="shared" si="0"/>
        <v/>
      </c>
      <c r="C16" s="30" t="str">
        <f>IF($A16="","",INDEX(Каталог!$G$4:$G$500,$A16)&amp;"")</f>
        <v/>
      </c>
      <c r="D16" s="33"/>
      <c r="E16" s="31" t="str">
        <f>IF($A16="","",INDEX(Каталог!$H$4:$H$500,$A16)&amp;"")</f>
        <v/>
      </c>
      <c r="F16" s="32" t="str">
        <f>IF($A16="","",INDEX(Каталог!$B$4:$B$500,$A16)&amp;"")</f>
        <v/>
      </c>
      <c r="G16" s="32" t="str">
        <f>IF($A16="","",INDEX(Каталог!$M$4:$M$500,$A16)&amp;"")</f>
        <v/>
      </c>
      <c r="H16" s="32" t="str">
        <f>IF($A16="","",INDEX(Каталог!$P$4:$P$500,$A16))</f>
        <v/>
      </c>
      <c r="I16" s="5"/>
      <c r="J16" s="5"/>
      <c r="L16" s="30" t="str">
        <f>IFERROR(INDEX(Однолинейка!$H$3:$H$1000,MATCH(13,Однолинейка!$BM$3:$BM$1000,0)),"")</f>
        <v>3P С200А</v>
      </c>
      <c r="M16" s="32">
        <f>IF(L16="","",COUNTIF(Однолинейка!$H$3:$H$1000,L16))</f>
        <v>1</v>
      </c>
    </row>
    <row r="17" spans="1:13" x14ac:dyDescent="0.3">
      <c r="A17" s="29" t="str">
        <f>IFERROR(MATCH(ROW()-3,Каталог!$AF$4:$AF$500,0),"")</f>
        <v/>
      </c>
      <c r="B17" s="29" t="str">
        <f t="shared" si="0"/>
        <v/>
      </c>
      <c r="C17" s="30" t="str">
        <f>IF($A17="","",INDEX(Каталог!$G$4:$G$500,$A17)&amp;"")</f>
        <v/>
      </c>
      <c r="D17" s="33"/>
      <c r="E17" s="31" t="str">
        <f>IF($A17="","",INDEX(Каталог!$H$4:$H$500,$A17)&amp;"")</f>
        <v/>
      </c>
      <c r="F17" s="32" t="str">
        <f>IF($A17="","",INDEX(Каталог!$B$4:$B$500,$A17)&amp;"")</f>
        <v/>
      </c>
      <c r="G17" s="32" t="str">
        <f>IF($A17="","",INDEX(Каталог!$M$4:$M$500,$A17)&amp;"")</f>
        <v/>
      </c>
      <c r="H17" s="32" t="str">
        <f>IF($A17="","",INDEX(Каталог!$P$4:$P$500,$A17))</f>
        <v/>
      </c>
      <c r="I17" s="5"/>
      <c r="J17" s="5"/>
      <c r="L17" s="30" t="str">
        <f>IFERROR(INDEX(Однолинейка!$H$3:$H$1000,MATCH(14,Однолинейка!$BM$3:$BM$1000,0)),"")</f>
        <v>1P С25А</v>
      </c>
      <c r="M17" s="32">
        <f>IF(L17="","",COUNTIF(Однолинейка!$H$3:$H$1000,L17))</f>
        <v>3</v>
      </c>
    </row>
    <row r="18" spans="1:13" x14ac:dyDescent="0.3">
      <c r="A18" s="29" t="str">
        <f>IFERROR(MATCH(ROW()-3,Каталог!$AF$4:$AF$500,0),"")</f>
        <v/>
      </c>
      <c r="B18" s="29" t="str">
        <f t="shared" si="0"/>
        <v/>
      </c>
      <c r="C18" s="30" t="str">
        <f>IF($A18="","",INDEX(Каталог!$G$4:$G$500,$A18)&amp;"")</f>
        <v/>
      </c>
      <c r="D18" s="33"/>
      <c r="E18" s="31" t="str">
        <f>IF($A18="","",INDEX(Каталог!$H$4:$H$500,$A18)&amp;"")</f>
        <v/>
      </c>
      <c r="F18" s="32" t="str">
        <f>IF($A18="","",INDEX(Каталог!$B$4:$B$500,$A18)&amp;"")</f>
        <v/>
      </c>
      <c r="G18" s="32" t="str">
        <f>IF($A18="","",INDEX(Каталог!$M$4:$M$500,$A18)&amp;"")</f>
        <v/>
      </c>
      <c r="H18" s="32" t="str">
        <f>IF($A18="","",INDEX(Каталог!$P$4:$P$500,$A18))</f>
        <v/>
      </c>
      <c r="I18" s="5"/>
      <c r="J18" s="5"/>
      <c r="L18" s="30" t="str">
        <f>IFERROR(INDEX(Однолинейка!$H$3:$H$1000,MATCH(15,Однолинейка!$BM$3:$BM$1000,0)),"")</f>
        <v>1P С6А</v>
      </c>
      <c r="M18" s="32">
        <f>IF(L18="","",COUNTIF(Однолинейка!$H$3:$H$1000,L18))</f>
        <v>26</v>
      </c>
    </row>
    <row r="19" spans="1:13" x14ac:dyDescent="0.3">
      <c r="A19" s="29" t="str">
        <f>IFERROR(MATCH(ROW()-3,Каталог!$AF$4:$AF$500,0),"")</f>
        <v/>
      </c>
      <c r="B19" s="29" t="str">
        <f t="shared" si="0"/>
        <v/>
      </c>
      <c r="C19" s="30" t="str">
        <f>IF($A19="","",INDEX(Каталог!$G$4:$G$500,$A19)&amp;"")</f>
        <v/>
      </c>
      <c r="D19" s="33"/>
      <c r="E19" s="31" t="str">
        <f>IF($A19="","",INDEX(Каталог!$H$4:$H$500,$A19)&amp;"")</f>
        <v/>
      </c>
      <c r="F19" s="32" t="str">
        <f>IF($A19="","",INDEX(Каталог!$B$4:$B$500,$A19)&amp;"")</f>
        <v/>
      </c>
      <c r="G19" s="32" t="str">
        <f>IF($A19="","",INDEX(Каталог!$M$4:$M$500,$A19)&amp;"")</f>
        <v/>
      </c>
      <c r="H19" s="32" t="str">
        <f>IF($A19="","",INDEX(Каталог!$P$4:$P$500,$A19))</f>
        <v/>
      </c>
      <c r="I19" s="5"/>
      <c r="J19" s="5"/>
      <c r="L19" s="30" t="str">
        <f>IFERROR(INDEX(Однолинейка!$H$3:$H$1000,MATCH(16,Однолинейка!$BM$3:$BM$1000,0)),"")</f>
        <v>3P С320А</v>
      </c>
      <c r="M19" s="32">
        <f>IF(L19="","",COUNTIF(Однолинейка!$H$3:$H$1000,L19))</f>
        <v>1</v>
      </c>
    </row>
    <row r="20" spans="1:13" x14ac:dyDescent="0.3">
      <c r="A20" s="29" t="str">
        <f>IFERROR(MATCH(ROW()-3,Каталог!$AF$4:$AF$500,0),"")</f>
        <v/>
      </c>
      <c r="B20" s="29" t="str">
        <f t="shared" si="0"/>
        <v/>
      </c>
      <c r="C20" s="30" t="str">
        <f>IF($A20="","",INDEX(Каталог!$G$4:$G$500,$A20)&amp;"")</f>
        <v/>
      </c>
      <c r="D20" s="33"/>
      <c r="E20" s="31" t="str">
        <f>IF($A20="","",INDEX(Каталог!$H$4:$H$500,$A20)&amp;"")</f>
        <v/>
      </c>
      <c r="F20" s="32" t="str">
        <f>IF($A20="","",INDEX(Каталог!$B$4:$B$500,$A20)&amp;"")</f>
        <v/>
      </c>
      <c r="G20" s="32" t="str">
        <f>IF($A20="","",INDEX(Каталог!$M$4:$M$500,$A20)&amp;"")</f>
        <v/>
      </c>
      <c r="H20" s="32" t="str">
        <f>IF($A20="","",INDEX(Каталог!$P$4:$P$500,$A20))</f>
        <v/>
      </c>
      <c r="I20" s="5"/>
      <c r="J20" s="5"/>
      <c r="L20" s="30" t="str">
        <f>IFERROR(INDEX(Однолинейка!$H$3:$H$1000,MATCH(17,Однолинейка!$BM$3:$BM$1000,0)),"")</f>
        <v>2P С16А 30мА</v>
      </c>
      <c r="M20" s="32">
        <f>IF(L20="","",COUNTIF(Однолинейка!$H$3:$H$1000,L20))</f>
        <v>139</v>
      </c>
    </row>
    <row r="21" spans="1:13" x14ac:dyDescent="0.3">
      <c r="A21" s="29" t="str">
        <f>IFERROR(MATCH(ROW()-3,Каталог!$AF$4:$AF$500,0),"")</f>
        <v/>
      </c>
      <c r="B21" s="29" t="str">
        <f t="shared" si="0"/>
        <v/>
      </c>
      <c r="C21" s="30" t="str">
        <f>IF($A21="","",INDEX(Каталог!$G$4:$G$500,$A21)&amp;"")</f>
        <v/>
      </c>
      <c r="D21" s="33"/>
      <c r="E21" s="31" t="str">
        <f>IF($A21="","",INDEX(Каталог!$H$4:$H$500,$A21)&amp;"")</f>
        <v/>
      </c>
      <c r="F21" s="32" t="str">
        <f>IF($A21="","",INDEX(Каталог!$B$4:$B$500,$A21)&amp;"")</f>
        <v/>
      </c>
      <c r="G21" s="32" t="str">
        <f>IF($A21="","",INDEX(Каталог!$M$4:$M$500,$A21)&amp;"")</f>
        <v/>
      </c>
      <c r="H21" s="32" t="str">
        <f>IF($A21="","",INDEX(Каталог!$P$4:$P$500,$A21))</f>
        <v/>
      </c>
      <c r="I21" s="5"/>
      <c r="J21" s="5"/>
      <c r="L21" s="30" t="str">
        <f>IFERROR(INDEX(Однолинейка!$H$3:$H$1000,MATCH(18,Однолинейка!$BM$3:$BM$1000,0)),"")</f>
        <v>2P С20А 30мА</v>
      </c>
      <c r="M21" s="32">
        <f>IF(L21="","",COUNTIF(Однолинейка!$H$3:$H$1000,L21))</f>
        <v>3</v>
      </c>
    </row>
    <row r="22" spans="1:13" x14ac:dyDescent="0.3">
      <c r="A22" s="29" t="str">
        <f>IFERROR(MATCH(ROW()-3,Каталог!$AF$4:$AF$500,0),"")</f>
        <v/>
      </c>
      <c r="B22" s="29" t="str">
        <f t="shared" si="0"/>
        <v/>
      </c>
      <c r="C22" s="30" t="str">
        <f>IF($A22="","",INDEX(Каталог!$G$4:$G$500,$A22)&amp;"")</f>
        <v/>
      </c>
      <c r="D22" s="33"/>
      <c r="E22" s="31" t="str">
        <f>IF($A22="","",INDEX(Каталог!$H$4:$H$500,$A22)&amp;"")</f>
        <v/>
      </c>
      <c r="F22" s="32" t="str">
        <f>IF($A22="","",INDEX(Каталог!$B$4:$B$500,$A22)&amp;"")</f>
        <v/>
      </c>
      <c r="G22" s="32" t="str">
        <f>IF($A22="","",INDEX(Каталог!$M$4:$M$500,$A22)&amp;"")</f>
        <v/>
      </c>
      <c r="H22" s="32" t="str">
        <f>IF($A22="","",INDEX(Каталог!$P$4:$P$500,$A22))</f>
        <v/>
      </c>
      <c r="I22" s="5"/>
      <c r="J22" s="5"/>
      <c r="L22" s="30" t="str">
        <f>IFERROR(INDEX(Однолинейка!$H$3:$H$1000,MATCH(19,Однолинейка!$BM$3:$BM$1000,0)),"")</f>
        <v>4P С16А 30мА</v>
      </c>
      <c r="M22" s="32">
        <f>IF(L22="","",COUNTIF(Однолинейка!$H$3:$H$1000,L22))</f>
        <v>1</v>
      </c>
    </row>
    <row r="23" spans="1:13" x14ac:dyDescent="0.3">
      <c r="A23" s="29" t="str">
        <f>IFERROR(MATCH(ROW()-3,Каталог!$AF$4:$AF$500,0),"")</f>
        <v/>
      </c>
      <c r="B23" s="29" t="str">
        <f t="shared" si="0"/>
        <v/>
      </c>
      <c r="C23" s="30" t="str">
        <f>IF($A23="","",INDEX(Каталог!$G$4:$G$500,$A23)&amp;"")</f>
        <v/>
      </c>
      <c r="D23" s="33"/>
      <c r="E23" s="31" t="str">
        <f>IF($A23="","",INDEX(Каталог!$H$4:$H$500,$A23)&amp;"")</f>
        <v/>
      </c>
      <c r="F23" s="32" t="str">
        <f>IF($A23="","",INDEX(Каталог!$B$4:$B$500,$A23)&amp;"")</f>
        <v/>
      </c>
      <c r="G23" s="32" t="str">
        <f>IF($A23="","",INDEX(Каталог!$M$4:$M$500,$A23)&amp;"")</f>
        <v/>
      </c>
      <c r="H23" s="32" t="str">
        <f>IF($A23="","",INDEX(Каталог!$P$4:$P$500,$A23))</f>
        <v/>
      </c>
      <c r="I23" s="5"/>
      <c r="J23" s="5"/>
      <c r="L23" s="30" t="str">
        <f>IFERROR(INDEX(Однолинейка!$H$3:$H$1000,MATCH(20,Однолинейка!$BM$3:$BM$1000,0)),"")</f>
        <v/>
      </c>
      <c r="M23" s="32" t="str">
        <f>IF(L23="","",COUNTIF(Однолинейка!$H$3:$H$1000,L23))</f>
        <v/>
      </c>
    </row>
    <row r="24" spans="1:13" x14ac:dyDescent="0.3">
      <c r="A24" s="29" t="str">
        <f>IFERROR(MATCH(ROW()-3,Каталог!$AF$4:$AF$500,0),"")</f>
        <v/>
      </c>
      <c r="B24" s="29" t="str">
        <f t="shared" si="0"/>
        <v/>
      </c>
      <c r="C24" s="30" t="str">
        <f>IF($A24="","",INDEX(Каталог!$G$4:$G$500,$A24)&amp;"")</f>
        <v/>
      </c>
      <c r="D24" s="33"/>
      <c r="E24" s="31" t="str">
        <f>IF($A24="","",INDEX(Каталог!$H$4:$H$500,$A24)&amp;"")</f>
        <v/>
      </c>
      <c r="F24" s="32" t="str">
        <f>IF($A24="","",INDEX(Каталог!$B$4:$B$500,$A24)&amp;"")</f>
        <v/>
      </c>
      <c r="G24" s="32" t="str">
        <f>IF($A24="","",INDEX(Каталог!$M$4:$M$500,$A24)&amp;"")</f>
        <v/>
      </c>
      <c r="H24" s="32" t="str">
        <f>IF($A24="","",INDEX(Каталог!$P$4:$P$500,$A24))</f>
        <v/>
      </c>
      <c r="I24" s="5"/>
      <c r="J24" s="5"/>
      <c r="L24" s="30" t="s">
        <v>826</v>
      </c>
      <c r="M24" s="32">
        <f>COUNTIF(Однолинейка!$H$3:$H$1000,"?*")</f>
        <v>327</v>
      </c>
    </row>
    <row r="25" spans="1:13" x14ac:dyDescent="0.3">
      <c r="A25" s="29" t="str">
        <f>IFERROR(MATCH(ROW()-3,Каталог!$AF$4:$AF$500,0),"")</f>
        <v/>
      </c>
      <c r="B25" s="29" t="str">
        <f t="shared" si="0"/>
        <v/>
      </c>
      <c r="C25" s="30" t="str">
        <f>IF($A25="","",INDEX(Каталог!$G$4:$G$500,$A25)&amp;"")</f>
        <v/>
      </c>
      <c r="D25" s="33"/>
      <c r="E25" s="31" t="str">
        <f>IF($A25="","",INDEX(Каталог!$H$4:$H$500,$A25)&amp;"")</f>
        <v/>
      </c>
      <c r="F25" s="32" t="str">
        <f>IF($A25="","",INDEX(Каталог!$B$4:$B$500,$A25)&amp;"")</f>
        <v/>
      </c>
      <c r="G25" s="32" t="str">
        <f>IF($A25="","",INDEX(Каталог!$M$4:$M$500,$A25)&amp;"")</f>
        <v/>
      </c>
      <c r="H25" s="32" t="str">
        <f>IF($A25="","",INDEX(Каталог!$P$4:$P$500,$A25))</f>
        <v/>
      </c>
      <c r="I25" s="5"/>
      <c r="J25" s="5"/>
    </row>
    <row r="26" spans="1:13" ht="28.8" x14ac:dyDescent="0.3">
      <c r="A26" s="29" t="str">
        <f>IFERROR(MATCH(ROW()-3,Каталог!$AF$4:$AF$500,0),"")</f>
        <v/>
      </c>
      <c r="B26" s="29" t="str">
        <f t="shared" si="0"/>
        <v/>
      </c>
      <c r="C26" s="30" t="str">
        <f>IF($A26="","",INDEX(Каталог!$G$4:$G$500,$A26)&amp;"")</f>
        <v/>
      </c>
      <c r="D26" s="33"/>
      <c r="E26" s="31" t="str">
        <f>IF($A26="","",INDEX(Каталог!$H$4:$H$500,$A26)&amp;"")</f>
        <v/>
      </c>
      <c r="F26" s="32" t="str">
        <f>IF($A26="","",INDEX(Каталог!$B$4:$B$500,$A26)&amp;"")</f>
        <v/>
      </c>
      <c r="G26" s="32" t="str">
        <f>IF($A26="","",INDEX(Каталог!$M$4:$M$500,$A26)&amp;"")</f>
        <v/>
      </c>
      <c r="H26" s="32" t="str">
        <f>IF($A26="","",INDEX(Каталог!$P$4:$P$500,$A26))</f>
        <v/>
      </c>
      <c r="I26" s="5"/>
      <c r="J26" s="5"/>
      <c r="L26" s="1" t="s">
        <v>827</v>
      </c>
    </row>
    <row r="27" spans="1:13" x14ac:dyDescent="0.3">
      <c r="A27" s="29" t="str">
        <f>IFERROR(MATCH(ROW()-3,Каталог!$AF$4:$AF$500,0),"")</f>
        <v/>
      </c>
      <c r="B27" s="29" t="str">
        <f t="shared" si="0"/>
        <v/>
      </c>
      <c r="C27" s="30" t="str">
        <f>IF($A27="","",INDEX(Каталог!$G$4:$G$500,$A27)&amp;"")</f>
        <v/>
      </c>
      <c r="D27" s="33"/>
      <c r="E27" s="31" t="str">
        <f>IF($A27="","",INDEX(Каталог!$H$4:$H$500,$A27)&amp;"")</f>
        <v/>
      </c>
      <c r="F27" s="32" t="str">
        <f>IF($A27="","",INDEX(Каталог!$B$4:$B$500,$A27)&amp;"")</f>
        <v/>
      </c>
      <c r="G27" s="32" t="str">
        <f>IF($A27="","",INDEX(Каталог!$M$4:$M$500,$A27)&amp;"")</f>
        <v/>
      </c>
      <c r="H27" s="32" t="str">
        <f>IF($A27="","",INDEX(Каталог!$P$4:$P$500,$A27))</f>
        <v/>
      </c>
      <c r="I27" s="5"/>
      <c r="J27" s="5"/>
      <c r="L27" s="30" t="str">
        <f>IFERROR(INDEX(Однолинейка!$I$3:$I$1000,MATCH(1,Однолинейка!$BN$3:$BN$1000,0)),IFERROR(INDEX(Однолинейка!$J$3:$J$1000,MATCH(1,Однолинейка!$BO$3:$BO$1000,0)),IFERROR(INDEX(Однолинейка!$K$3:$K$1000,MATCH(1,Однолинейка!$BP$3:$BP$1000,0)),"")))</f>
        <v/>
      </c>
      <c r="M27" s="32" t="str">
        <f>IF(L27="","",COUNTIF(Однолинейка!$I$3:$I$1000,L27)+COUNTIF(Однолинейка!$J$3:$J$1000,L27)+COUNTIF(Однолинейка!$K$3:$K$1000,L27))</f>
        <v/>
      </c>
    </row>
    <row r="28" spans="1:13" x14ac:dyDescent="0.3">
      <c r="A28" s="29" t="str">
        <f>IFERROR(MATCH(ROW()-3,Каталог!$AF$4:$AF$500,0),"")</f>
        <v/>
      </c>
      <c r="B28" s="29" t="str">
        <f t="shared" si="0"/>
        <v/>
      </c>
      <c r="C28" s="30" t="str">
        <f>IF($A28="","",INDEX(Каталог!$G$4:$G$500,$A28)&amp;"")</f>
        <v/>
      </c>
      <c r="D28" s="33"/>
      <c r="E28" s="31" t="str">
        <f>IF($A28="","",INDEX(Каталог!$H$4:$H$500,$A28)&amp;"")</f>
        <v/>
      </c>
      <c r="F28" s="32" t="str">
        <f>IF($A28="","",INDEX(Каталог!$B$4:$B$500,$A28)&amp;"")</f>
        <v/>
      </c>
      <c r="G28" s="32" t="str">
        <f>IF($A28="","",INDEX(Каталог!$M$4:$M$500,$A28)&amp;"")</f>
        <v/>
      </c>
      <c r="H28" s="32" t="str">
        <f>IF($A28="","",INDEX(Каталог!$P$4:$P$500,$A28))</f>
        <v/>
      </c>
      <c r="I28" s="5"/>
      <c r="J28" s="5"/>
      <c r="L28" s="30" t="str">
        <f>IFERROR(INDEX(Однолинейка!$I$3:$I$1000,MATCH(2,Однолинейка!$BN$3:$BN$1000,0)),IFERROR(INDEX(Однолинейка!$J$3:$J$1000,MATCH(2,Однолинейка!$BO$3:$BO$1000,0)),IFERROR(INDEX(Однолинейка!$K$3:$K$1000,MATCH(2,Однолинейка!$BP$3:$BP$1000,0)),"")))</f>
        <v/>
      </c>
      <c r="M28" s="32" t="str">
        <f>IF(L28="","",COUNTIF(Однолинейка!$I$3:$I$1000,L28)+COUNTIF(Однолинейка!$J$3:$J$1000,L28)+COUNTIF(Однолинейка!$K$3:$K$1000,L28))</f>
        <v/>
      </c>
    </row>
    <row r="29" spans="1:13" x14ac:dyDescent="0.3">
      <c r="A29" s="29" t="str">
        <f>IFERROR(MATCH(ROW()-3,Каталог!$AF$4:$AF$500,0),"")</f>
        <v/>
      </c>
      <c r="B29" s="29" t="str">
        <f t="shared" si="0"/>
        <v/>
      </c>
      <c r="C29" s="30" t="str">
        <f>IF($A29="","",INDEX(Каталог!$G$4:$G$500,$A29)&amp;"")</f>
        <v/>
      </c>
      <c r="D29" s="33"/>
      <c r="E29" s="31" t="str">
        <f>IF($A29="","",INDEX(Каталог!$H$4:$H$500,$A29)&amp;"")</f>
        <v/>
      </c>
      <c r="F29" s="32" t="str">
        <f>IF($A29="","",INDEX(Каталог!$B$4:$B$500,$A29)&amp;"")</f>
        <v/>
      </c>
      <c r="G29" s="32" t="str">
        <f>IF($A29="","",INDEX(Каталог!$M$4:$M$500,$A29)&amp;"")</f>
        <v/>
      </c>
      <c r="H29" s="32" t="str">
        <f>IF($A29="","",INDEX(Каталог!$P$4:$P$500,$A29))</f>
        <v/>
      </c>
      <c r="I29" s="5"/>
      <c r="J29" s="5"/>
      <c r="L29" s="30" t="str">
        <f>IFERROR(INDEX(Однолинейка!$I$3:$I$1000,MATCH(3,Однолинейка!$BN$3:$BN$1000,0)),IFERROR(INDEX(Однолинейка!$J$3:$J$1000,MATCH(3,Однолинейка!$BO$3:$BO$1000,0)),IFERROR(INDEX(Однолинейка!$K$3:$K$1000,MATCH(3,Однолинейка!$BP$3:$BP$1000,0)),"")))</f>
        <v/>
      </c>
      <c r="M29" s="32" t="str">
        <f>IF(L29="","",COUNTIF(Однолинейка!$I$3:$I$1000,L29)+COUNTIF(Однолинейка!$J$3:$J$1000,L29)+COUNTIF(Однолинейка!$K$3:$K$1000,L29))</f>
        <v/>
      </c>
    </row>
    <row r="30" spans="1:13" x14ac:dyDescent="0.3">
      <c r="A30" s="29" t="str">
        <f>IFERROR(MATCH(ROW()-3,Каталог!$AF$4:$AF$500,0),"")</f>
        <v/>
      </c>
      <c r="B30" s="29" t="str">
        <f t="shared" si="0"/>
        <v/>
      </c>
      <c r="C30" s="30" t="str">
        <f>IF($A30="","",INDEX(Каталог!$G$4:$G$500,$A30)&amp;"")</f>
        <v/>
      </c>
      <c r="D30" s="33"/>
      <c r="E30" s="31" t="str">
        <f>IF($A30="","",INDEX(Каталог!$H$4:$H$500,$A30)&amp;"")</f>
        <v/>
      </c>
      <c r="F30" s="32" t="str">
        <f>IF($A30="","",INDEX(Каталог!$B$4:$B$500,$A30)&amp;"")</f>
        <v/>
      </c>
      <c r="G30" s="32" t="str">
        <f>IF($A30="","",INDEX(Каталог!$M$4:$M$500,$A30)&amp;"")</f>
        <v/>
      </c>
      <c r="H30" s="32" t="str">
        <f>IF($A30="","",INDEX(Каталог!$P$4:$P$500,$A30))</f>
        <v/>
      </c>
      <c r="I30" s="5"/>
      <c r="J30" s="5"/>
      <c r="L30" s="30" t="str">
        <f>IFERROR(INDEX(Однолинейка!$I$3:$I$1000,MATCH(4,Однолинейка!$BN$3:$BN$1000,0)),IFERROR(INDEX(Однолинейка!$J$3:$J$1000,MATCH(4,Однолинейка!$BO$3:$BO$1000,0)),IFERROR(INDEX(Однолинейка!$K$3:$K$1000,MATCH(4,Однолинейка!$BP$3:$BP$1000,0)),"")))</f>
        <v/>
      </c>
      <c r="M30" s="32" t="str">
        <f>IF(L30="","",COUNTIF(Однолинейка!$I$3:$I$1000,L30)+COUNTIF(Однолинейка!$J$3:$J$1000,L30)+COUNTIF(Однолинейка!$K$3:$K$1000,L30))</f>
        <v/>
      </c>
    </row>
    <row r="31" spans="1:13" x14ac:dyDescent="0.3">
      <c r="A31" s="29" t="str">
        <f>IFERROR(MATCH(ROW()-3,Каталог!$AF$4:$AF$500,0),"")</f>
        <v/>
      </c>
      <c r="B31" s="29" t="str">
        <f t="shared" si="0"/>
        <v/>
      </c>
      <c r="C31" s="30" t="str">
        <f>IF($A31="","",INDEX(Каталог!$G$4:$G$500,$A31)&amp;"")</f>
        <v/>
      </c>
      <c r="D31" s="33"/>
      <c r="E31" s="31" t="str">
        <f>IF($A31="","",INDEX(Каталог!$H$4:$H$500,$A31)&amp;"")</f>
        <v/>
      </c>
      <c r="F31" s="32" t="str">
        <f>IF($A31="","",INDEX(Каталог!$B$4:$B$500,$A31)&amp;"")</f>
        <v/>
      </c>
      <c r="G31" s="32" t="str">
        <f>IF($A31="","",INDEX(Каталог!$M$4:$M$500,$A31)&amp;"")</f>
        <v/>
      </c>
      <c r="H31" s="32" t="str">
        <f>IF($A31="","",INDEX(Каталог!$P$4:$P$500,$A31))</f>
        <v/>
      </c>
      <c r="I31" s="5"/>
      <c r="J31" s="5"/>
      <c r="L31" s="30" t="str">
        <f>IFERROR(INDEX(Однолинейка!$I$3:$I$1000,MATCH(5,Однолинейка!$BN$3:$BN$1000,0)),IFERROR(INDEX(Однолинейка!$J$3:$J$1000,MATCH(5,Однолинейка!$BO$3:$BO$1000,0)),IFERROR(INDEX(Однолинейка!$K$3:$K$1000,MATCH(5,Однолинейка!$BP$3:$BP$1000,0)),"")))</f>
        <v/>
      </c>
      <c r="M31" s="32" t="str">
        <f>IF(L31="","",COUNTIF(Однолинейка!$I$3:$I$1000,L31)+COUNTIF(Однолинейка!$J$3:$J$1000,L31)+COUNTIF(Однолинейка!$K$3:$K$1000,L31))</f>
        <v/>
      </c>
    </row>
    <row r="32" spans="1:13" x14ac:dyDescent="0.3">
      <c r="A32" s="29" t="str">
        <f>IFERROR(MATCH(ROW()-3,Каталог!$AF$4:$AF$500,0),"")</f>
        <v/>
      </c>
      <c r="B32" s="29" t="str">
        <f t="shared" si="0"/>
        <v/>
      </c>
      <c r="C32" s="30" t="str">
        <f>IF($A32="","",INDEX(Каталог!$G$4:$G$500,$A32)&amp;"")</f>
        <v/>
      </c>
      <c r="D32" s="33"/>
      <c r="E32" s="31" t="str">
        <f>IF($A32="","",INDEX(Каталог!$H$4:$H$500,$A32)&amp;"")</f>
        <v/>
      </c>
      <c r="F32" s="32" t="str">
        <f>IF($A32="","",INDEX(Каталог!$B$4:$B$500,$A32)&amp;"")</f>
        <v/>
      </c>
      <c r="G32" s="32" t="str">
        <f>IF($A32="","",INDEX(Каталог!$M$4:$M$500,$A32)&amp;"")</f>
        <v/>
      </c>
      <c r="H32" s="32" t="str">
        <f>IF($A32="","",INDEX(Каталог!$P$4:$P$500,$A32))</f>
        <v/>
      </c>
      <c r="I32" s="5"/>
      <c r="J32" s="5"/>
      <c r="L32" s="30" t="str">
        <f>IFERROR(INDEX(Однолинейка!$I$3:$I$1000,MATCH(6,Однолинейка!$BN$3:$BN$1000,0)),IFERROR(INDEX(Однолинейка!$J$3:$J$1000,MATCH(6,Однолинейка!$BO$3:$BO$1000,0)),IFERROR(INDEX(Однолинейка!$K$3:$K$1000,MATCH(6,Однолинейка!$BP$3:$BP$1000,0)),"")))</f>
        <v/>
      </c>
      <c r="M32" s="32" t="str">
        <f>IF(L32="","",COUNTIF(Однолинейка!$I$3:$I$1000,L32)+COUNTIF(Однолинейка!$J$3:$J$1000,L32)+COUNTIF(Однолинейка!$K$3:$K$1000,L32))</f>
        <v/>
      </c>
    </row>
    <row r="33" spans="1:13" x14ac:dyDescent="0.3">
      <c r="A33" s="29" t="str">
        <f>IFERROR(MATCH(ROW()-3,Каталог!$AF$4:$AF$500,0),"")</f>
        <v/>
      </c>
      <c r="B33" s="29" t="str">
        <f t="shared" si="0"/>
        <v/>
      </c>
      <c r="C33" s="30" t="str">
        <f>IF($A33="","",INDEX(Каталог!$G$4:$G$500,$A33)&amp;"")</f>
        <v/>
      </c>
      <c r="D33" s="33"/>
      <c r="E33" s="31" t="str">
        <f>IF($A33="","",INDEX(Каталог!$H$4:$H$500,$A33)&amp;"")</f>
        <v/>
      </c>
      <c r="F33" s="32" t="str">
        <f>IF($A33="","",INDEX(Каталог!$B$4:$B$500,$A33)&amp;"")</f>
        <v/>
      </c>
      <c r="G33" s="32" t="str">
        <f>IF($A33="","",INDEX(Каталог!$M$4:$M$500,$A33)&amp;"")</f>
        <v/>
      </c>
      <c r="H33" s="32" t="str">
        <f>IF($A33="","",INDEX(Каталог!$P$4:$P$500,$A33))</f>
        <v/>
      </c>
      <c r="I33" s="5"/>
      <c r="J33" s="5"/>
      <c r="L33" s="30" t="str">
        <f>IFERROR(INDEX(Однолинейка!$I$3:$I$1000,MATCH(7,Однолинейка!$BN$3:$BN$1000,0)),IFERROR(INDEX(Однолинейка!$J$3:$J$1000,MATCH(7,Однолинейка!$BO$3:$BO$1000,0)),IFERROR(INDEX(Однолинейка!$K$3:$K$1000,MATCH(7,Однолинейка!$BP$3:$BP$1000,0)),"")))</f>
        <v/>
      </c>
      <c r="M33" s="32" t="str">
        <f>IF(L33="","",COUNTIF(Однолинейка!$I$3:$I$1000,L33)+COUNTIF(Однолинейка!$J$3:$J$1000,L33)+COUNTIF(Однолинейка!$K$3:$K$1000,L33))</f>
        <v/>
      </c>
    </row>
    <row r="34" spans="1:13" x14ac:dyDescent="0.3">
      <c r="A34" s="29" t="str">
        <f>IFERROR(MATCH(ROW()-3,Каталог!$AF$4:$AF$500,0),"")</f>
        <v/>
      </c>
      <c r="B34" s="29" t="str">
        <f t="shared" si="0"/>
        <v/>
      </c>
      <c r="C34" s="30" t="str">
        <f>IF($A34="","",INDEX(Каталог!$G$4:$G$500,$A34)&amp;"")</f>
        <v/>
      </c>
      <c r="D34" s="33"/>
      <c r="E34" s="31" t="str">
        <f>IF($A34="","",INDEX(Каталог!$H$4:$H$500,$A34)&amp;"")</f>
        <v/>
      </c>
      <c r="F34" s="32" t="str">
        <f>IF($A34="","",INDEX(Каталог!$B$4:$B$500,$A34)&amp;"")</f>
        <v/>
      </c>
      <c r="G34" s="32" t="str">
        <f>IF($A34="","",INDEX(Каталог!$M$4:$M$500,$A34)&amp;"")</f>
        <v/>
      </c>
      <c r="H34" s="32" t="str">
        <f>IF($A34="","",INDEX(Каталог!$P$4:$P$500,$A34))</f>
        <v/>
      </c>
      <c r="I34" s="5"/>
      <c r="J34" s="5"/>
      <c r="L34" s="30" t="str">
        <f>IFERROR(INDEX(Однолинейка!$I$3:$I$1000,MATCH(8,Однолинейка!$BN$3:$BN$1000,0)),IFERROR(INDEX(Однолинейка!$J$3:$J$1000,MATCH(8,Однолинейка!$BO$3:$BO$1000,0)),IFERROR(INDEX(Однолинейка!$K$3:$K$1000,MATCH(8,Однолинейка!$BP$3:$BP$1000,0)),"")))</f>
        <v/>
      </c>
      <c r="M34" s="32" t="str">
        <f>IF(L34="","",COUNTIF(Однолинейка!$I$3:$I$1000,L34)+COUNTIF(Однолинейка!$J$3:$J$1000,L34)+COUNTIF(Однолинейка!$K$3:$K$1000,L34))</f>
        <v/>
      </c>
    </row>
    <row r="35" spans="1:13" x14ac:dyDescent="0.3">
      <c r="A35" s="29" t="str">
        <f>IFERROR(MATCH(ROW()-3,Каталог!$AF$4:$AF$500,0),"")</f>
        <v/>
      </c>
      <c r="B35" s="29" t="str">
        <f t="shared" si="0"/>
        <v/>
      </c>
      <c r="C35" s="30" t="str">
        <f>IF($A35="","",INDEX(Каталог!$G$4:$G$500,$A35)&amp;"")</f>
        <v/>
      </c>
      <c r="D35" s="33"/>
      <c r="E35" s="31" t="str">
        <f>IF($A35="","",INDEX(Каталог!$H$4:$H$500,$A35)&amp;"")</f>
        <v/>
      </c>
      <c r="F35" s="32" t="str">
        <f>IF($A35="","",INDEX(Каталог!$B$4:$B$500,$A35)&amp;"")</f>
        <v/>
      </c>
      <c r="G35" s="32" t="str">
        <f>IF($A35="","",INDEX(Каталог!$M$4:$M$500,$A35)&amp;"")</f>
        <v/>
      </c>
      <c r="H35" s="32" t="str">
        <f>IF($A35="","",INDEX(Каталог!$P$4:$P$500,$A35))</f>
        <v/>
      </c>
      <c r="I35" s="5"/>
      <c r="J35" s="5"/>
      <c r="L35" s="30" t="str">
        <f>IFERROR(INDEX(Однолинейка!$I$3:$I$1000,MATCH(9,Однолинейка!$BN$3:$BN$1000,0)),IFERROR(INDEX(Однолинейка!$J$3:$J$1000,MATCH(9,Однолинейка!$BO$3:$BO$1000,0)),IFERROR(INDEX(Однолинейка!$K$3:$K$1000,MATCH(9,Однолинейка!$BP$3:$BP$1000,0)),"")))</f>
        <v/>
      </c>
      <c r="M35" s="32" t="str">
        <f>IF(L35="","",COUNTIF(Однолинейка!$I$3:$I$1000,L35)+COUNTIF(Однолинейка!$J$3:$J$1000,L35)+COUNTIF(Однолинейка!$K$3:$K$1000,L35))</f>
        <v/>
      </c>
    </row>
    <row r="36" spans="1:13" x14ac:dyDescent="0.3">
      <c r="A36" s="29" t="str">
        <f>IFERROR(MATCH(ROW()-3,Каталог!$AF$4:$AF$500,0),"")</f>
        <v/>
      </c>
      <c r="B36" s="29" t="str">
        <f t="shared" ref="B36:B67" si="1">IF($A36="","",$B$3&amp;"."&amp;(ROW()-3))</f>
        <v/>
      </c>
      <c r="C36" s="30" t="str">
        <f>IF($A36="","",INDEX(Каталог!$G$4:$G$500,$A36)&amp;"")</f>
        <v/>
      </c>
      <c r="D36" s="33"/>
      <c r="E36" s="31" t="str">
        <f>IF($A36="","",INDEX(Каталог!$H$4:$H$500,$A36)&amp;"")</f>
        <v/>
      </c>
      <c r="F36" s="32" t="str">
        <f>IF($A36="","",INDEX(Каталог!$B$4:$B$500,$A36)&amp;"")</f>
        <v/>
      </c>
      <c r="G36" s="32" t="str">
        <f>IF($A36="","",INDEX(Каталог!$M$4:$M$500,$A36)&amp;"")</f>
        <v/>
      </c>
      <c r="H36" s="32" t="str">
        <f>IF($A36="","",INDEX(Каталог!$P$4:$P$500,$A36))</f>
        <v/>
      </c>
      <c r="I36" s="5"/>
      <c r="J36" s="5"/>
      <c r="L36" s="30" t="str">
        <f>IFERROR(INDEX(Однолинейка!$I$3:$I$1000,MATCH(10,Однолинейка!$BN$3:$BN$1000,0)),IFERROR(INDEX(Однолинейка!$J$3:$J$1000,MATCH(10,Однолинейка!$BO$3:$BO$1000,0)),IFERROR(INDEX(Однолинейка!$K$3:$K$1000,MATCH(10,Однолинейка!$BP$3:$BP$1000,0)),"")))</f>
        <v/>
      </c>
      <c r="M36" s="32" t="str">
        <f>IF(L36="","",COUNTIF(Однолинейка!$I$3:$I$1000,L36)+COUNTIF(Однолинейка!$J$3:$J$1000,L36)+COUNTIF(Однолинейка!$K$3:$K$1000,L36))</f>
        <v/>
      </c>
    </row>
    <row r="37" spans="1:13" x14ac:dyDescent="0.3">
      <c r="A37" s="29" t="str">
        <f>IFERROR(MATCH(ROW()-3,Каталог!$AF$4:$AF$500,0),"")</f>
        <v/>
      </c>
      <c r="B37" s="29" t="str">
        <f t="shared" si="1"/>
        <v/>
      </c>
      <c r="C37" s="30" t="str">
        <f>IF($A37="","",INDEX(Каталог!$G$4:$G$500,$A37)&amp;"")</f>
        <v/>
      </c>
      <c r="D37" s="33"/>
      <c r="E37" s="31" t="str">
        <f>IF($A37="","",INDEX(Каталог!$H$4:$H$500,$A37)&amp;"")</f>
        <v/>
      </c>
      <c r="F37" s="32" t="str">
        <f>IF($A37="","",INDEX(Каталог!$B$4:$B$500,$A37)&amp;"")</f>
        <v/>
      </c>
      <c r="G37" s="32" t="str">
        <f>IF($A37="","",INDEX(Каталог!$M$4:$M$500,$A37)&amp;"")</f>
        <v/>
      </c>
      <c r="H37" s="32" t="str">
        <f>IF($A37="","",INDEX(Каталог!$P$4:$P$500,$A37))</f>
        <v/>
      </c>
      <c r="I37" s="5"/>
      <c r="J37" s="5"/>
    </row>
    <row r="38" spans="1:13" x14ac:dyDescent="0.3">
      <c r="A38" s="29" t="str">
        <f>IFERROR(MATCH(ROW()-3,Каталог!$AF$4:$AF$500,0),"")</f>
        <v/>
      </c>
      <c r="B38" s="29" t="str">
        <f t="shared" si="1"/>
        <v/>
      </c>
      <c r="C38" s="30" t="str">
        <f>IF($A38="","",INDEX(Каталог!$G$4:$G$500,$A38)&amp;"")</f>
        <v/>
      </c>
      <c r="D38" s="33"/>
      <c r="E38" s="31" t="str">
        <f>IF($A38="","",INDEX(Каталог!$H$4:$H$500,$A38)&amp;"")</f>
        <v/>
      </c>
      <c r="F38" s="32" t="str">
        <f>IF($A38="","",INDEX(Каталог!$B$4:$B$500,$A38)&amp;"")</f>
        <v/>
      </c>
      <c r="G38" s="32" t="str">
        <f>IF($A38="","",INDEX(Каталог!$M$4:$M$500,$A38)&amp;"")</f>
        <v/>
      </c>
      <c r="H38" s="32" t="str">
        <f>IF($A38="","",INDEX(Каталог!$P$4:$P$500,$A38))</f>
        <v/>
      </c>
      <c r="I38" s="5"/>
      <c r="J38" s="5"/>
      <c r="L38" s="1" t="s">
        <v>828</v>
      </c>
    </row>
    <row r="39" spans="1:13" x14ac:dyDescent="0.3">
      <c r="A39" s="29" t="str">
        <f>IFERROR(MATCH(ROW()-3,Каталог!$AF$4:$AF$500,0),"")</f>
        <v/>
      </c>
      <c r="B39" s="29" t="str">
        <f t="shared" si="1"/>
        <v/>
      </c>
      <c r="C39" s="30" t="str">
        <f>IF($A39="","",INDEX(Каталог!$G$4:$G$500,$A39)&amp;"")</f>
        <v/>
      </c>
      <c r="D39" s="33"/>
      <c r="E39" s="31" t="str">
        <f>IF($A39="","",INDEX(Каталог!$H$4:$H$500,$A39)&amp;"")</f>
        <v/>
      </c>
      <c r="F39" s="32" t="str">
        <f>IF($A39="","",INDEX(Каталог!$B$4:$B$500,$A39)&amp;"")</f>
        <v/>
      </c>
      <c r="G39" s="32" t="str">
        <f>IF($A39="","",INDEX(Каталог!$M$4:$M$500,$A39)&amp;"")</f>
        <v/>
      </c>
      <c r="H39" s="32" t="str">
        <f>IF($A39="","",INDEX(Каталог!$P$4:$P$500,$A39))</f>
        <v/>
      </c>
      <c r="I39" s="5"/>
      <c r="J39" s="5"/>
      <c r="L39" s="30" t="str">
        <f>IFERROR(INDEX(Однолинейка!$AI$3:$AI$1000,MATCH(1,Однолинейка!$BT$3:$BT$1000,0)),"")</f>
        <v/>
      </c>
      <c r="M39" s="32" t="str">
        <f>IF(L39="","",COUNTIFS(Однолинейка!$AW$3:$AW$1000,"?*",Однолинейка!$AI$3:$AI$1000,L39))</f>
        <v/>
      </c>
    </row>
    <row r="40" spans="1:13" x14ac:dyDescent="0.3">
      <c r="A40" s="29" t="str">
        <f>IFERROR(MATCH(ROW()-3,Каталог!$AF$4:$AF$500,0),"")</f>
        <v/>
      </c>
      <c r="B40" s="29" t="str">
        <f t="shared" si="1"/>
        <v/>
      </c>
      <c r="C40" s="30" t="str">
        <f>IF($A40="","",INDEX(Каталог!$G$4:$G$500,$A40)&amp;"")</f>
        <v/>
      </c>
      <c r="D40" s="33"/>
      <c r="E40" s="31" t="str">
        <f>IF($A40="","",INDEX(Каталог!$H$4:$H$500,$A40)&amp;"")</f>
        <v/>
      </c>
      <c r="F40" s="32" t="str">
        <f>IF($A40="","",INDEX(Каталог!$B$4:$B$500,$A40)&amp;"")</f>
        <v/>
      </c>
      <c r="G40" s="32" t="str">
        <f>IF($A40="","",INDEX(Каталог!$M$4:$M$500,$A40)&amp;"")</f>
        <v/>
      </c>
      <c r="H40" s="32" t="str">
        <f>IF($A40="","",INDEX(Каталог!$P$4:$P$500,$A40))</f>
        <v/>
      </c>
      <c r="I40" s="5"/>
      <c r="J40" s="5"/>
      <c r="L40" s="30" t="str">
        <f>IFERROR(INDEX(Однолинейка!$AI$3:$AI$1000,MATCH(2,Однолинейка!$BT$3:$BT$1000,0)),"")</f>
        <v/>
      </c>
      <c r="M40" s="32" t="str">
        <f>IF(L40="","",COUNTIFS(Однолинейка!$AW$3:$AW$1000,"?*",Однолинейка!$AI$3:$AI$1000,L40))</f>
        <v/>
      </c>
    </row>
    <row r="41" spans="1:13" x14ac:dyDescent="0.3">
      <c r="A41" s="29" t="str">
        <f>IFERROR(MATCH(ROW()-3,Каталог!$AF$4:$AF$500,0),"")</f>
        <v/>
      </c>
      <c r="B41" s="29" t="str">
        <f t="shared" si="1"/>
        <v/>
      </c>
      <c r="C41" s="30" t="str">
        <f>IF($A41="","",INDEX(Каталог!$G$4:$G$500,$A41)&amp;"")</f>
        <v/>
      </c>
      <c r="D41" s="33"/>
      <c r="E41" s="31" t="str">
        <f>IF($A41="","",INDEX(Каталог!$H$4:$H$500,$A41)&amp;"")</f>
        <v/>
      </c>
      <c r="F41" s="32" t="str">
        <f>IF($A41="","",INDEX(Каталог!$B$4:$B$500,$A41)&amp;"")</f>
        <v/>
      </c>
      <c r="G41" s="32" t="str">
        <f>IF($A41="","",INDEX(Каталог!$M$4:$M$500,$A41)&amp;"")</f>
        <v/>
      </c>
      <c r="H41" s="32" t="str">
        <f>IF($A41="","",INDEX(Каталог!$P$4:$P$500,$A41))</f>
        <v/>
      </c>
      <c r="I41" s="5"/>
      <c r="J41" s="5"/>
      <c r="L41" s="30" t="str">
        <f>IFERROR(INDEX(Однолинейка!$AI$3:$AI$1000,MATCH(3,Однолинейка!$BT$3:$BT$1000,0)),"")</f>
        <v/>
      </c>
      <c r="M41" s="32" t="str">
        <f>IF(L41="","",COUNTIFS(Однолинейка!$AW$3:$AW$1000,"?*",Однолинейка!$AI$3:$AI$1000,L41))</f>
        <v/>
      </c>
    </row>
    <row r="42" spans="1:13" x14ac:dyDescent="0.3">
      <c r="A42" s="29" t="str">
        <f>IFERROR(MATCH(ROW()-3,Каталог!$AF$4:$AF$500,0),"")</f>
        <v/>
      </c>
      <c r="B42" s="29" t="str">
        <f t="shared" si="1"/>
        <v/>
      </c>
      <c r="C42" s="30" t="str">
        <f>IF($A42="","",INDEX(Каталог!$G$4:$G$500,$A42)&amp;"")</f>
        <v/>
      </c>
      <c r="D42" s="33"/>
      <c r="E42" s="31" t="str">
        <f>IF($A42="","",INDEX(Каталог!$H$4:$H$500,$A42)&amp;"")</f>
        <v/>
      </c>
      <c r="F42" s="32" t="str">
        <f>IF($A42="","",INDEX(Каталог!$B$4:$B$500,$A42)&amp;"")</f>
        <v/>
      </c>
      <c r="G42" s="32" t="str">
        <f>IF($A42="","",INDEX(Каталог!$M$4:$M$500,$A42)&amp;"")</f>
        <v/>
      </c>
      <c r="H42" s="32" t="str">
        <f>IF($A42="","",INDEX(Каталог!$P$4:$P$500,$A42))</f>
        <v/>
      </c>
      <c r="I42" s="5"/>
      <c r="J42" s="5"/>
      <c r="L42" s="30" t="str">
        <f>IFERROR(INDEX(Однолинейка!$AI$3:$AI$1000,MATCH(4,Однолинейка!$BT$3:$BT$1000,0)),"")</f>
        <v/>
      </c>
      <c r="M42" s="32" t="str">
        <f>IF(L42="","",COUNTIFS(Однолинейка!$AW$3:$AW$1000,"?*",Однолинейка!$AI$3:$AI$1000,L42))</f>
        <v/>
      </c>
    </row>
    <row r="43" spans="1:13" x14ac:dyDescent="0.3">
      <c r="A43" s="29" t="str">
        <f>IFERROR(MATCH(ROW()-3,Каталог!$AF$4:$AF$500,0),"")</f>
        <v/>
      </c>
      <c r="B43" s="29" t="str">
        <f t="shared" si="1"/>
        <v/>
      </c>
      <c r="C43" s="30" t="str">
        <f>IF($A43="","",INDEX(Каталог!$G$4:$G$500,$A43)&amp;"")</f>
        <v/>
      </c>
      <c r="D43" s="33"/>
      <c r="E43" s="31" t="str">
        <f>IF($A43="","",INDEX(Каталог!$H$4:$H$500,$A43)&amp;"")</f>
        <v/>
      </c>
      <c r="F43" s="32" t="str">
        <f>IF($A43="","",INDEX(Каталог!$B$4:$B$500,$A43)&amp;"")</f>
        <v/>
      </c>
      <c r="G43" s="32" t="str">
        <f>IF($A43="","",INDEX(Каталог!$M$4:$M$500,$A43)&amp;"")</f>
        <v/>
      </c>
      <c r="H43" s="32" t="str">
        <f>IF($A43="","",INDEX(Каталог!$P$4:$P$500,$A43))</f>
        <v/>
      </c>
      <c r="I43" s="5"/>
      <c r="J43" s="5"/>
      <c r="L43" s="30" t="str">
        <f>IFERROR(INDEX(Однолинейка!$AI$3:$AI$1000,MATCH(5,Однолинейка!$BT$3:$BT$1000,0)),"")</f>
        <v/>
      </c>
      <c r="M43" s="32" t="str">
        <f>IF(L43="","",COUNTIFS(Однолинейка!$AW$3:$AW$1000,"?*",Однолинейка!$AI$3:$AI$1000,L43))</f>
        <v/>
      </c>
    </row>
    <row r="44" spans="1:13" x14ac:dyDescent="0.3">
      <c r="A44" s="29" t="str">
        <f>IFERROR(MATCH(ROW()-3,Каталог!$AF$4:$AF$500,0),"")</f>
        <v/>
      </c>
      <c r="B44" s="29" t="str">
        <f t="shared" si="1"/>
        <v/>
      </c>
      <c r="C44" s="30" t="str">
        <f>IF($A44="","",INDEX(Каталог!$G$4:$G$500,$A44)&amp;"")</f>
        <v/>
      </c>
      <c r="D44" s="33"/>
      <c r="E44" s="31" t="str">
        <f>IF($A44="","",INDEX(Каталог!$H$4:$H$500,$A44)&amp;"")</f>
        <v/>
      </c>
      <c r="F44" s="32" t="str">
        <f>IF($A44="","",INDEX(Каталог!$B$4:$B$500,$A44)&amp;"")</f>
        <v/>
      </c>
      <c r="G44" s="32" t="str">
        <f>IF($A44="","",INDEX(Каталог!$M$4:$M$500,$A44)&amp;"")</f>
        <v/>
      </c>
      <c r="H44" s="32" t="str">
        <f>IF($A44="","",INDEX(Каталог!$P$4:$P$500,$A44))</f>
        <v/>
      </c>
      <c r="I44" s="5"/>
      <c r="J44" s="5"/>
      <c r="L44" s="30" t="str">
        <f>IFERROR(INDEX(Однолинейка!$AI$3:$AI$1000,MATCH(6,Однолинейка!$BT$3:$BT$1000,0)),"")</f>
        <v/>
      </c>
      <c r="M44" s="32" t="str">
        <f>IF(L44="","",COUNTIFS(Однолинейка!$AW$3:$AW$1000,"?*",Однолинейка!$AI$3:$AI$1000,L44))</f>
        <v/>
      </c>
    </row>
    <row r="45" spans="1:13" x14ac:dyDescent="0.3">
      <c r="A45" s="29" t="str">
        <f>IFERROR(MATCH(ROW()-3,Каталог!$AF$4:$AF$500,0),"")</f>
        <v/>
      </c>
      <c r="B45" s="29" t="str">
        <f t="shared" si="1"/>
        <v/>
      </c>
      <c r="C45" s="30" t="str">
        <f>IF($A45="","",INDEX(Каталог!$G$4:$G$500,$A45)&amp;"")</f>
        <v/>
      </c>
      <c r="D45" s="33"/>
      <c r="E45" s="31" t="str">
        <f>IF($A45="","",INDEX(Каталог!$H$4:$H$500,$A45)&amp;"")</f>
        <v/>
      </c>
      <c r="F45" s="32" t="str">
        <f>IF($A45="","",INDEX(Каталог!$B$4:$B$500,$A45)&amp;"")</f>
        <v/>
      </c>
      <c r="G45" s="32" t="str">
        <f>IF($A45="","",INDEX(Каталог!$M$4:$M$500,$A45)&amp;"")</f>
        <v/>
      </c>
      <c r="H45" s="32" t="str">
        <f>IF($A45="","",INDEX(Каталог!$P$4:$P$500,$A45))</f>
        <v/>
      </c>
      <c r="I45" s="5"/>
      <c r="J45" s="5"/>
      <c r="L45" s="30" t="str">
        <f>IFERROR(INDEX(Однолинейка!$AI$3:$AI$1000,MATCH(7,Однолинейка!$BT$3:$BT$1000,0)),"")</f>
        <v/>
      </c>
      <c r="M45" s="32" t="str">
        <f>IF(L45="","",COUNTIFS(Однолинейка!$AW$3:$AW$1000,"?*",Однолинейка!$AI$3:$AI$1000,L45))</f>
        <v/>
      </c>
    </row>
    <row r="46" spans="1:13" x14ac:dyDescent="0.3">
      <c r="A46" s="29" t="str">
        <f>IFERROR(MATCH(ROW()-3,Каталог!$AF$4:$AF$500,0),"")</f>
        <v/>
      </c>
      <c r="B46" s="29" t="str">
        <f t="shared" si="1"/>
        <v/>
      </c>
      <c r="C46" s="30" t="str">
        <f>IF($A46="","",INDEX(Каталог!$G$4:$G$500,$A46)&amp;"")</f>
        <v/>
      </c>
      <c r="D46" s="33"/>
      <c r="E46" s="31" t="str">
        <f>IF($A46="","",INDEX(Каталог!$H$4:$H$500,$A46)&amp;"")</f>
        <v/>
      </c>
      <c r="F46" s="32" t="str">
        <f>IF($A46="","",INDEX(Каталог!$B$4:$B$500,$A46)&amp;"")</f>
        <v/>
      </c>
      <c r="G46" s="32" t="str">
        <f>IF($A46="","",INDEX(Каталог!$M$4:$M$500,$A46)&amp;"")</f>
        <v/>
      </c>
      <c r="H46" s="32" t="str">
        <f>IF($A46="","",INDEX(Каталог!$P$4:$P$500,$A46))</f>
        <v/>
      </c>
      <c r="I46" s="5"/>
      <c r="J46" s="5"/>
      <c r="L46" s="30" t="str">
        <f>IFERROR(INDEX(Однолинейка!$AI$3:$AI$1000,MATCH(8,Однолинейка!$BT$3:$BT$1000,0)),"")</f>
        <v/>
      </c>
      <c r="M46" s="32" t="str">
        <f>IF(L46="","",COUNTIFS(Однолинейка!$AW$3:$AW$1000,"?*",Однолинейка!$AI$3:$AI$1000,L46))</f>
        <v/>
      </c>
    </row>
    <row r="47" spans="1:13" x14ac:dyDescent="0.3">
      <c r="A47" s="29" t="str">
        <f>IFERROR(MATCH(ROW()-3,Каталог!$AF$4:$AF$500,0),"")</f>
        <v/>
      </c>
      <c r="B47" s="29" t="str">
        <f t="shared" si="1"/>
        <v/>
      </c>
      <c r="C47" s="30" t="str">
        <f>IF($A47="","",INDEX(Каталог!$G$4:$G$500,$A47)&amp;"")</f>
        <v/>
      </c>
      <c r="D47" s="33"/>
      <c r="E47" s="31" t="str">
        <f>IF($A47="","",INDEX(Каталог!$H$4:$H$500,$A47)&amp;"")</f>
        <v/>
      </c>
      <c r="F47" s="32" t="str">
        <f>IF($A47="","",INDEX(Каталог!$B$4:$B$500,$A47)&amp;"")</f>
        <v/>
      </c>
      <c r="G47" s="32" t="str">
        <f>IF($A47="","",INDEX(Каталог!$M$4:$M$500,$A47)&amp;"")</f>
        <v/>
      </c>
      <c r="H47" s="32" t="str">
        <f>IF($A47="","",INDEX(Каталог!$P$4:$P$500,$A47))</f>
        <v/>
      </c>
      <c r="I47" s="5"/>
      <c r="J47" s="5"/>
      <c r="L47" s="30" t="str">
        <f>IFERROR(INDEX(Однолинейка!$AI$3:$AI$1000,MATCH(9,Однолинейка!$BT$3:$BT$1000,0)),"")</f>
        <v/>
      </c>
      <c r="M47" s="32" t="str">
        <f>IF(L47="","",COUNTIFS(Однолинейка!$AW$3:$AW$1000,"?*",Однолинейка!$AI$3:$AI$1000,L47))</f>
        <v/>
      </c>
    </row>
    <row r="48" spans="1:13" x14ac:dyDescent="0.3">
      <c r="A48" s="29" t="str">
        <f>IFERROR(MATCH(ROW()-3,Каталог!$AF$4:$AF$500,0),"")</f>
        <v/>
      </c>
      <c r="B48" s="29" t="str">
        <f t="shared" si="1"/>
        <v/>
      </c>
      <c r="C48" s="30" t="str">
        <f>IF($A48="","",INDEX(Каталог!$G$4:$G$500,$A48)&amp;"")</f>
        <v/>
      </c>
      <c r="D48" s="33"/>
      <c r="E48" s="31" t="str">
        <f>IF($A48="","",INDEX(Каталог!$H$4:$H$500,$A48)&amp;"")</f>
        <v/>
      </c>
      <c r="F48" s="32" t="str">
        <f>IF($A48="","",INDEX(Каталог!$B$4:$B$500,$A48)&amp;"")</f>
        <v/>
      </c>
      <c r="G48" s="32" t="str">
        <f>IF($A48="","",INDEX(Каталог!$M$4:$M$500,$A48)&amp;"")</f>
        <v/>
      </c>
      <c r="H48" s="32" t="str">
        <f>IF($A48="","",INDEX(Каталог!$P$4:$P$500,$A48))</f>
        <v/>
      </c>
      <c r="I48" s="5"/>
      <c r="J48" s="5"/>
      <c r="L48" s="30" t="str">
        <f>IFERROR(INDEX(Однолинейка!$AI$3:$AI$1000,MATCH(10,Однолинейка!$BT$3:$BT$1000,0)),"")</f>
        <v/>
      </c>
      <c r="M48" s="32" t="str">
        <f>IF(L48="","",COUNTIFS(Однолинейка!$AW$3:$AW$1000,"?*",Однолинейка!$AI$3:$AI$1000,L48))</f>
        <v/>
      </c>
    </row>
    <row r="49" spans="1:15" x14ac:dyDescent="0.3">
      <c r="A49" s="29" t="str">
        <f>IFERROR(MATCH(ROW()-3,Каталог!$AF$4:$AF$500,0),"")</f>
        <v/>
      </c>
      <c r="B49" s="29" t="str">
        <f t="shared" si="1"/>
        <v/>
      </c>
      <c r="C49" s="30" t="str">
        <f>IF($A49="","",INDEX(Каталог!$G$4:$G$500,$A49)&amp;"")</f>
        <v/>
      </c>
      <c r="D49" s="33"/>
      <c r="E49" s="31" t="str">
        <f>IF($A49="","",INDEX(Каталог!$H$4:$H$500,$A49)&amp;"")</f>
        <v/>
      </c>
      <c r="F49" s="32" t="str">
        <f>IF($A49="","",INDEX(Каталог!$B$4:$B$500,$A49)&amp;"")</f>
        <v/>
      </c>
      <c r="G49" s="32" t="str">
        <f>IF($A49="","",INDEX(Каталог!$M$4:$M$500,$A49)&amp;"")</f>
        <v/>
      </c>
      <c r="H49" s="32" t="str">
        <f>IF($A49="","",INDEX(Каталог!$P$4:$P$500,$A49))</f>
        <v/>
      </c>
      <c r="I49" s="5"/>
      <c r="J49" s="5"/>
    </row>
    <row r="50" spans="1:15" ht="28.8" x14ac:dyDescent="0.3">
      <c r="A50" s="29" t="str">
        <f>IFERROR(MATCH(ROW()-3,Каталог!$AF$4:$AF$500,0),"")</f>
        <v/>
      </c>
      <c r="B50" s="29" t="str">
        <f t="shared" si="1"/>
        <v/>
      </c>
      <c r="C50" s="30" t="str">
        <f>IF($A50="","",INDEX(Каталог!$G$4:$G$500,$A50)&amp;"")</f>
        <v/>
      </c>
      <c r="D50" s="33"/>
      <c r="E50" s="31" t="str">
        <f>IF($A50="","",INDEX(Каталог!$H$4:$H$500,$A50)&amp;"")</f>
        <v/>
      </c>
      <c r="F50" s="32" t="str">
        <f>IF($A50="","",INDEX(Каталог!$B$4:$B$500,$A50)&amp;"")</f>
        <v/>
      </c>
      <c r="G50" s="32" t="str">
        <f>IF($A50="","",INDEX(Каталог!$M$4:$M$500,$A50)&amp;"")</f>
        <v/>
      </c>
      <c r="H50" s="32" t="str">
        <f>IF($A50="","",INDEX(Каталог!$P$4:$P$500,$A50))</f>
        <v/>
      </c>
      <c r="I50" s="5"/>
      <c r="J50" s="5"/>
      <c r="L50" s="1" t="s">
        <v>829</v>
      </c>
    </row>
    <row r="51" spans="1:15" x14ac:dyDescent="0.3">
      <c r="A51" s="29" t="str">
        <f>IFERROR(MATCH(ROW()-3,Каталог!$AF$4:$AF$500,0),"")</f>
        <v/>
      </c>
      <c r="B51" s="29" t="str">
        <f t="shared" si="1"/>
        <v/>
      </c>
      <c r="C51" s="30" t="str">
        <f>IF($A51="","",INDEX(Каталог!$G$4:$G$500,$A51)&amp;"")</f>
        <v/>
      </c>
      <c r="D51" s="33"/>
      <c r="E51" s="31" t="str">
        <f>IF($A51="","",INDEX(Каталог!$H$4:$H$500,$A51)&amp;"")</f>
        <v/>
      </c>
      <c r="F51" s="32" t="str">
        <f>IF($A51="","",INDEX(Каталог!$B$4:$B$500,$A51)&amp;"")</f>
        <v/>
      </c>
      <c r="G51" s="32" t="str">
        <f>IF($A51="","",INDEX(Каталог!$M$4:$M$500,$A51)&amp;"")</f>
        <v/>
      </c>
      <c r="H51" s="32" t="str">
        <f>IF($A51="","",INDEX(Каталог!$P$4:$P$500,$A51))</f>
        <v/>
      </c>
      <c r="I51" s="5"/>
      <c r="J51" s="5"/>
      <c r="L51" s="30" t="str">
        <f>IFERROR(INDEX(Однолинейка!$BQ$3:$BQ$1000,MATCH(1,Однолинейка!$BR$3:$BR$1000,0)),"")</f>
        <v>3х2,5</v>
      </c>
      <c r="M51" s="32">
        <f>IF(L51="","",COUNTIF(Однолинейка!$BQ$3:$BQ$1000,L51))</f>
        <v>194</v>
      </c>
      <c r="N51" s="32">
        <f>IF(L51="","",SUMIF(Однолинейка!$BQ$3:$BQ$1000,L51,Однолинейка!$BW$3:$BW$1000))</f>
        <v>194</v>
      </c>
      <c r="O51" s="32">
        <f>IF(L51="","",SUMIF(Однолинейка!$BQ$3:$BQ$1000,L51,Однолинейка!$BX$3:$BX$1000))</f>
        <v>0</v>
      </c>
    </row>
    <row r="52" spans="1:15" x14ac:dyDescent="0.3">
      <c r="A52" s="29" t="str">
        <f>IFERROR(MATCH(ROW()-3,Каталог!$AF$4:$AF$500,0),"")</f>
        <v/>
      </c>
      <c r="B52" s="29" t="str">
        <f t="shared" si="1"/>
        <v/>
      </c>
      <c r="C52" s="30" t="str">
        <f>IF($A52="","",INDEX(Каталог!$G$4:$G$500,$A52)&amp;"")</f>
        <v/>
      </c>
      <c r="D52" s="33"/>
      <c r="E52" s="31" t="str">
        <f>IF($A52="","",INDEX(Каталог!$H$4:$H$500,$A52)&amp;"")</f>
        <v/>
      </c>
      <c r="F52" s="32" t="str">
        <f>IF($A52="","",INDEX(Каталог!$B$4:$B$500,$A52)&amp;"")</f>
        <v/>
      </c>
      <c r="G52" s="32" t="str">
        <f>IF($A52="","",INDEX(Каталог!$M$4:$M$500,$A52)&amp;"")</f>
        <v/>
      </c>
      <c r="H52" s="32" t="str">
        <f>IF($A52="","",INDEX(Каталог!$P$4:$P$500,$A52))</f>
        <v/>
      </c>
      <c r="I52" s="5"/>
      <c r="J52" s="5"/>
      <c r="L52" s="30" t="str">
        <f>IFERROR(INDEX(Однолинейка!$BQ$3:$BQ$1000,MATCH(2,Однолинейка!$BR$3:$BR$1000,0)),"")</f>
        <v>5х6</v>
      </c>
      <c r="M52" s="32">
        <f>IF(L52="","",COUNTIF(Однолинейка!$BQ$3:$BQ$1000,L52))</f>
        <v>5</v>
      </c>
      <c r="N52" s="32">
        <f>IF(L52="","",SUMIF(Однолинейка!$BQ$3:$BQ$1000,L52,Однолинейка!$BW$3:$BW$1000))</f>
        <v>5</v>
      </c>
      <c r="O52" s="32">
        <f>IF(L52="","",SUMIF(Однолинейка!$BQ$3:$BQ$1000,L52,Однолинейка!$BX$3:$BX$1000))</f>
        <v>10</v>
      </c>
    </row>
    <row r="53" spans="1:15" x14ac:dyDescent="0.3">
      <c r="A53" s="29" t="str">
        <f>IFERROR(MATCH(ROW()-3,Каталог!$AF$4:$AF$500,0),"")</f>
        <v/>
      </c>
      <c r="B53" s="29" t="str">
        <f t="shared" si="1"/>
        <v/>
      </c>
      <c r="C53" s="30" t="str">
        <f>IF($A53="","",INDEX(Каталог!$G$4:$G$500,$A53)&amp;"")</f>
        <v/>
      </c>
      <c r="D53" s="33"/>
      <c r="E53" s="31" t="str">
        <f>IF($A53="","",INDEX(Каталог!$H$4:$H$500,$A53)&amp;"")</f>
        <v/>
      </c>
      <c r="F53" s="32" t="str">
        <f>IF($A53="","",INDEX(Каталог!$B$4:$B$500,$A53)&amp;"")</f>
        <v/>
      </c>
      <c r="G53" s="32" t="str">
        <f>IF($A53="","",INDEX(Каталог!$M$4:$M$500,$A53)&amp;"")</f>
        <v/>
      </c>
      <c r="H53" s="32" t="str">
        <f>IF($A53="","",INDEX(Каталог!$P$4:$P$500,$A53))</f>
        <v/>
      </c>
      <c r="I53" s="5"/>
      <c r="J53" s="5"/>
      <c r="L53" s="30" t="str">
        <f>IFERROR(INDEX(Однолинейка!$BQ$3:$BQ$1000,MATCH(3,Однолинейка!$BR$3:$BR$1000,0)),"")</f>
        <v>1х185</v>
      </c>
      <c r="M53" s="32">
        <f>IF(L53="","",COUNTIF(Однолинейка!$BQ$3:$BQ$1000,L53))</f>
        <v>1</v>
      </c>
      <c r="N53" s="32">
        <f>IF(L53="","",SUMIF(Однолинейка!$BQ$3:$BQ$1000,L53,Однолинейка!$BW$3:$BW$1000))</f>
        <v>1</v>
      </c>
      <c r="O53" s="32">
        <f>IF(L53="","",SUMIF(Однолинейка!$BQ$3:$BQ$1000,L53,Однолинейка!$BX$3:$BX$1000))</f>
        <v>0</v>
      </c>
    </row>
    <row r="54" spans="1:15" x14ac:dyDescent="0.3">
      <c r="A54" s="29" t="str">
        <f>IFERROR(MATCH(ROW()-3,Каталог!$AF$4:$AF$500,0),"")</f>
        <v/>
      </c>
      <c r="B54" s="29" t="str">
        <f t="shared" si="1"/>
        <v/>
      </c>
      <c r="C54" s="30" t="str">
        <f>IF($A54="","",INDEX(Каталог!$G$4:$G$500,$A54)&amp;"")</f>
        <v/>
      </c>
      <c r="D54" s="33"/>
      <c r="E54" s="31" t="str">
        <f>IF($A54="","",INDEX(Каталог!$H$4:$H$500,$A54)&amp;"")</f>
        <v/>
      </c>
      <c r="F54" s="32" t="str">
        <f>IF($A54="","",INDEX(Каталог!$B$4:$B$500,$A54)&amp;"")</f>
        <v/>
      </c>
      <c r="G54" s="32" t="str">
        <f>IF($A54="","",INDEX(Каталог!$M$4:$M$500,$A54)&amp;"")</f>
        <v/>
      </c>
      <c r="H54" s="32" t="str">
        <f>IF($A54="","",INDEX(Каталог!$P$4:$P$500,$A54))</f>
        <v/>
      </c>
      <c r="I54" s="5"/>
      <c r="J54" s="5"/>
      <c r="L54" s="30" t="str">
        <f>IFERROR(INDEX(Однолинейка!$BQ$3:$BQ$1000,MATCH(4,Однолинейка!$BR$3:$BR$1000,0)),"")</f>
        <v>5х4</v>
      </c>
      <c r="M54" s="32">
        <f>IF(L54="","",COUNTIF(Однолинейка!$BQ$3:$BQ$1000,L54))</f>
        <v>7</v>
      </c>
      <c r="N54" s="32">
        <f>IF(L54="","",SUMIF(Однолинейка!$BQ$3:$BQ$1000,L54,Однолинейка!$BW$3:$BW$1000))</f>
        <v>7</v>
      </c>
      <c r="O54" s="32">
        <f>IF(L54="","",SUMIF(Однолинейка!$BQ$3:$BQ$1000,L54,Однолинейка!$BX$3:$BX$1000))</f>
        <v>14</v>
      </c>
    </row>
    <row r="55" spans="1:15" x14ac:dyDescent="0.3">
      <c r="A55" s="29" t="str">
        <f>IFERROR(MATCH(ROW()-3,Каталог!$AF$4:$AF$500,0),"")</f>
        <v/>
      </c>
      <c r="B55" s="29" t="str">
        <f t="shared" si="1"/>
        <v/>
      </c>
      <c r="C55" s="30" t="str">
        <f>IF($A55="","",INDEX(Каталог!$G$4:$G$500,$A55)&amp;"")</f>
        <v/>
      </c>
      <c r="D55" s="33"/>
      <c r="E55" s="31" t="str">
        <f>IF($A55="","",INDEX(Каталог!$H$4:$H$500,$A55)&amp;"")</f>
        <v/>
      </c>
      <c r="F55" s="32" t="str">
        <f>IF($A55="","",INDEX(Каталог!$B$4:$B$500,$A55)&amp;"")</f>
        <v/>
      </c>
      <c r="G55" s="32" t="str">
        <f>IF($A55="","",INDEX(Каталог!$M$4:$M$500,$A55)&amp;"")</f>
        <v/>
      </c>
      <c r="H55" s="32" t="str">
        <f>IF($A55="","",INDEX(Каталог!$P$4:$P$500,$A55))</f>
        <v/>
      </c>
      <c r="I55" s="5"/>
      <c r="J55" s="5"/>
      <c r="L55" s="30" t="str">
        <f>IFERROR(INDEX(Однолинейка!$BQ$3:$BQ$1000,MATCH(5,Однолинейка!$BR$3:$BR$1000,0)),"")</f>
        <v>5х10</v>
      </c>
      <c r="M55" s="32">
        <f>IF(L55="","",COUNTIF(Однолинейка!$BQ$3:$BQ$1000,L55))</f>
        <v>2</v>
      </c>
      <c r="N55" s="32">
        <f>IF(L55="","",SUMIF(Однолинейка!$BQ$3:$BQ$1000,L55,Однолинейка!$BW$3:$BW$1000))</f>
        <v>2</v>
      </c>
      <c r="O55" s="32">
        <f>IF(L55="","",SUMIF(Однолинейка!$BQ$3:$BQ$1000,L55,Однолинейка!$BX$3:$BX$1000))</f>
        <v>4</v>
      </c>
    </row>
    <row r="56" spans="1:15" x14ac:dyDescent="0.3">
      <c r="A56" s="29" t="str">
        <f>IFERROR(MATCH(ROW()-3,Каталог!$AF$4:$AF$500,0),"")</f>
        <v/>
      </c>
      <c r="B56" s="29" t="str">
        <f t="shared" si="1"/>
        <v/>
      </c>
      <c r="C56" s="30" t="str">
        <f>IF($A56="","",INDEX(Каталог!$G$4:$G$500,$A56)&amp;"")</f>
        <v/>
      </c>
      <c r="D56" s="33"/>
      <c r="E56" s="31" t="str">
        <f>IF($A56="","",INDEX(Каталог!$H$4:$H$500,$A56)&amp;"")</f>
        <v/>
      </c>
      <c r="F56" s="32" t="str">
        <f>IF($A56="","",INDEX(Каталог!$B$4:$B$500,$A56)&amp;"")</f>
        <v/>
      </c>
      <c r="G56" s="32" t="str">
        <f>IF($A56="","",INDEX(Каталог!$M$4:$M$500,$A56)&amp;"")</f>
        <v/>
      </c>
      <c r="H56" s="32" t="str">
        <f>IF($A56="","",INDEX(Каталог!$P$4:$P$500,$A56))</f>
        <v/>
      </c>
      <c r="I56" s="5"/>
      <c r="J56" s="5"/>
      <c r="L56" s="30" t="str">
        <f>IFERROR(INDEX(Однолинейка!$BQ$3:$BQ$1000,MATCH(6,Однолинейка!$BR$3:$BR$1000,0)),"")</f>
        <v>5х16</v>
      </c>
      <c r="M56" s="32">
        <f>IF(L56="","",COUNTIF(Однолинейка!$BQ$3:$BQ$1000,L56))</f>
        <v>2</v>
      </c>
      <c r="N56" s="32">
        <f>IF(L56="","",SUMIF(Однолинейка!$BQ$3:$BQ$1000,L56,Однолинейка!$BW$3:$BW$1000))</f>
        <v>2</v>
      </c>
      <c r="O56" s="32">
        <f>IF(L56="","",SUMIF(Однолинейка!$BQ$3:$BQ$1000,L56,Однолинейка!$BX$3:$BX$1000))</f>
        <v>4</v>
      </c>
    </row>
    <row r="57" spans="1:15" x14ac:dyDescent="0.3">
      <c r="A57" s="29" t="str">
        <f>IFERROR(MATCH(ROW()-3,Каталог!$AF$4:$AF$500,0),"")</f>
        <v/>
      </c>
      <c r="B57" s="29" t="str">
        <f t="shared" si="1"/>
        <v/>
      </c>
      <c r="C57" s="30" t="str">
        <f>IF($A57="","",INDEX(Каталог!$G$4:$G$500,$A57)&amp;"")</f>
        <v/>
      </c>
      <c r="D57" s="33"/>
      <c r="E57" s="31" t="str">
        <f>IF($A57="","",INDEX(Каталог!$H$4:$H$500,$A57)&amp;"")</f>
        <v/>
      </c>
      <c r="F57" s="32" t="str">
        <f>IF($A57="","",INDEX(Каталог!$B$4:$B$500,$A57)&amp;"")</f>
        <v/>
      </c>
      <c r="G57" s="32" t="str">
        <f>IF($A57="","",INDEX(Каталог!$M$4:$M$500,$A57)&amp;"")</f>
        <v/>
      </c>
      <c r="H57" s="32" t="str">
        <f>IF($A57="","",INDEX(Каталог!$P$4:$P$500,$A57))</f>
        <v/>
      </c>
      <c r="I57" s="5"/>
      <c r="J57" s="5"/>
      <c r="L57" s="30" t="str">
        <f>IFERROR(INDEX(Однолинейка!$BQ$3:$BQ$1000,MATCH(7,Однолинейка!$BR$3:$BR$1000,0)),"")</f>
        <v>3х4</v>
      </c>
      <c r="M57" s="32">
        <f>IF(L57="","",COUNTIF(Однолинейка!$BQ$3:$BQ$1000,L57))</f>
        <v>11</v>
      </c>
      <c r="N57" s="32">
        <f>IF(L57="","",SUMIF(Однолинейка!$BQ$3:$BQ$1000,L57,Однолинейка!$BW$3:$BW$1000))</f>
        <v>11</v>
      </c>
      <c r="O57" s="32">
        <f>IF(L57="","",SUMIF(Однолинейка!$BQ$3:$BQ$1000,L57,Однолинейка!$BX$3:$BX$1000))</f>
        <v>0</v>
      </c>
    </row>
    <row r="58" spans="1:15" x14ac:dyDescent="0.3">
      <c r="A58" s="29" t="str">
        <f>IFERROR(MATCH(ROW()-3,Каталог!$AF$4:$AF$500,0),"")</f>
        <v/>
      </c>
      <c r="B58" s="29" t="str">
        <f t="shared" si="1"/>
        <v/>
      </c>
      <c r="C58" s="30" t="str">
        <f>IF($A58="","",INDEX(Каталог!$G$4:$G$500,$A58)&amp;"")</f>
        <v/>
      </c>
      <c r="D58" s="33"/>
      <c r="E58" s="31" t="str">
        <f>IF($A58="","",INDEX(Каталог!$H$4:$H$500,$A58)&amp;"")</f>
        <v/>
      </c>
      <c r="F58" s="32" t="str">
        <f>IF($A58="","",INDEX(Каталог!$B$4:$B$500,$A58)&amp;"")</f>
        <v/>
      </c>
      <c r="G58" s="32" t="str">
        <f>IF($A58="","",INDEX(Каталог!$M$4:$M$500,$A58)&amp;"")</f>
        <v/>
      </c>
      <c r="H58" s="32" t="str">
        <f>IF($A58="","",INDEX(Каталог!$P$4:$P$500,$A58))</f>
        <v/>
      </c>
      <c r="I58" s="5"/>
      <c r="J58" s="5"/>
      <c r="L58" s="30" t="str">
        <f>IFERROR(INDEX(Однолинейка!$BQ$3:$BQ$1000,MATCH(8,Однолинейка!$BR$3:$BR$1000,0)),"")</f>
        <v>1х95</v>
      </c>
      <c r="M58" s="32">
        <f>IF(L58="","",COUNTIF(Однолинейка!$BQ$3:$BQ$1000,L58))</f>
        <v>1</v>
      </c>
      <c r="N58" s="32">
        <f>IF(L58="","",SUMIF(Однолинейка!$BQ$3:$BQ$1000,L58,Однолинейка!$BW$3:$BW$1000))</f>
        <v>1</v>
      </c>
      <c r="O58" s="32">
        <f>IF(L58="","",SUMIF(Однолинейка!$BQ$3:$BQ$1000,L58,Однолинейка!$BX$3:$BX$1000))</f>
        <v>0</v>
      </c>
    </row>
    <row r="59" spans="1:15" x14ac:dyDescent="0.3">
      <c r="A59" s="29" t="str">
        <f>IFERROR(MATCH(ROW()-3,Каталог!$AF$4:$AF$500,0),"")</f>
        <v/>
      </c>
      <c r="B59" s="29" t="str">
        <f t="shared" si="1"/>
        <v/>
      </c>
      <c r="C59" s="30" t="str">
        <f>IF($A59="","",INDEX(Каталог!$G$4:$G$500,$A59)&amp;"")</f>
        <v/>
      </c>
      <c r="D59" s="33"/>
      <c r="E59" s="31" t="str">
        <f>IF($A59="","",INDEX(Каталог!$H$4:$H$500,$A59)&amp;"")</f>
        <v/>
      </c>
      <c r="F59" s="32" t="str">
        <f>IF($A59="","",INDEX(Каталог!$B$4:$B$500,$A59)&amp;"")</f>
        <v/>
      </c>
      <c r="G59" s="32" t="str">
        <f>IF($A59="","",INDEX(Каталог!$M$4:$M$500,$A59)&amp;"")</f>
        <v/>
      </c>
      <c r="H59" s="32" t="str">
        <f>IF($A59="","",INDEX(Каталог!$P$4:$P$500,$A59))</f>
        <v/>
      </c>
      <c r="I59" s="5"/>
      <c r="J59" s="5"/>
      <c r="L59" s="30" t="str">
        <f>IFERROR(INDEX(Однолинейка!$BQ$3:$BQ$1000,MATCH(9,Однолинейка!$BR$3:$BR$1000,0)),"")</f>
        <v>3х6</v>
      </c>
      <c r="M59" s="32">
        <f>IF(L59="","",COUNTIF(Однолинейка!$BQ$3:$BQ$1000,L59))</f>
        <v>3</v>
      </c>
      <c r="N59" s="32">
        <f>IF(L59="","",SUMIF(Однолинейка!$BQ$3:$BQ$1000,L59,Однолинейка!$BW$3:$BW$1000))</f>
        <v>3</v>
      </c>
      <c r="O59" s="32">
        <f>IF(L59="","",SUMIF(Однолинейка!$BQ$3:$BQ$1000,L59,Однолинейка!$BX$3:$BX$1000))</f>
        <v>0</v>
      </c>
    </row>
    <row r="60" spans="1:15" x14ac:dyDescent="0.3">
      <c r="A60" s="29" t="str">
        <f>IFERROR(MATCH(ROW()-3,Каталог!$AF$4:$AF$500,0),"")</f>
        <v/>
      </c>
      <c r="B60" s="29" t="str">
        <f t="shared" si="1"/>
        <v/>
      </c>
      <c r="C60" s="30" t="str">
        <f>IF($A60="","",INDEX(Каталог!$G$4:$G$500,$A60)&amp;"")</f>
        <v/>
      </c>
      <c r="D60" s="33"/>
      <c r="E60" s="31" t="str">
        <f>IF($A60="","",INDEX(Каталог!$H$4:$H$500,$A60)&amp;"")</f>
        <v/>
      </c>
      <c r="F60" s="32" t="str">
        <f>IF($A60="","",INDEX(Каталог!$B$4:$B$500,$A60)&amp;"")</f>
        <v/>
      </c>
      <c r="G60" s="32" t="str">
        <f>IF($A60="","",INDEX(Каталог!$M$4:$M$500,$A60)&amp;"")</f>
        <v/>
      </c>
      <c r="H60" s="32" t="str">
        <f>IF($A60="","",INDEX(Каталог!$P$4:$P$500,$A60))</f>
        <v/>
      </c>
      <c r="I60" s="5"/>
      <c r="J60" s="5"/>
      <c r="L60" s="30" t="str">
        <f>IFERROR(INDEX(Однолинейка!$BQ$3:$BQ$1000,MATCH(10,Однолинейка!$BR$3:$BR$1000,0)),"")</f>
        <v/>
      </c>
      <c r="M60" s="32" t="str">
        <f>IF(L60="","",COUNTIF(Однолинейка!$BQ$3:$BQ$1000,L60))</f>
        <v/>
      </c>
      <c r="N60" s="32" t="str">
        <f>IF(L60="","",SUMIF(Однолинейка!$BQ$3:$BQ$1000,L60,Однолинейка!$BW$3:$BW$1000))</f>
        <v/>
      </c>
      <c r="O60" s="32" t="str">
        <f>IF(L60="","",SUMIF(Однолинейка!$BQ$3:$BQ$1000,L60,Однолинейка!$BX$3:$BX$1000))</f>
        <v/>
      </c>
    </row>
    <row r="61" spans="1:15" x14ac:dyDescent="0.3">
      <c r="A61" s="29" t="str">
        <f>IFERROR(MATCH(ROW()-3,Каталог!$AF$4:$AF$500,0),"")</f>
        <v/>
      </c>
      <c r="B61" s="29" t="str">
        <f t="shared" si="1"/>
        <v/>
      </c>
      <c r="C61" s="30" t="str">
        <f>IF($A61="","",INDEX(Каталог!$G$4:$G$500,$A61)&amp;"")</f>
        <v/>
      </c>
      <c r="D61" s="33"/>
      <c r="E61" s="31" t="str">
        <f>IF($A61="","",INDEX(Каталог!$H$4:$H$500,$A61)&amp;"")</f>
        <v/>
      </c>
      <c r="F61" s="32" t="str">
        <f>IF($A61="","",INDEX(Каталог!$B$4:$B$500,$A61)&amp;"")</f>
        <v/>
      </c>
      <c r="G61" s="32" t="str">
        <f>IF($A61="","",INDEX(Каталог!$M$4:$M$500,$A61)&amp;"")</f>
        <v/>
      </c>
      <c r="H61" s="32" t="str">
        <f>IF($A61="","",INDEX(Каталог!$P$4:$P$500,$A61))</f>
        <v/>
      </c>
      <c r="I61" s="5"/>
      <c r="J61" s="5"/>
      <c r="L61" s="30" t="s">
        <v>830</v>
      </c>
      <c r="M61" s="32">
        <f>COUNTIF(Однолинейка!$AY$3:$AY$1000,1)</f>
        <v>305</v>
      </c>
    </row>
    <row r="62" spans="1:15" x14ac:dyDescent="0.3">
      <c r="A62" s="29" t="str">
        <f>IFERROR(MATCH(ROW()-3,Каталог!$AF$4:$AF$500,0),"")</f>
        <v/>
      </c>
      <c r="B62" s="29" t="str">
        <f t="shared" si="1"/>
        <v/>
      </c>
      <c r="C62" s="30" t="str">
        <f>IF($A62="","",INDEX(Каталог!$G$4:$G$500,$A62)&amp;"")</f>
        <v/>
      </c>
      <c r="D62" s="33"/>
      <c r="E62" s="31" t="str">
        <f>IF($A62="","",INDEX(Каталог!$H$4:$H$500,$A62)&amp;"")</f>
        <v/>
      </c>
      <c r="F62" s="32" t="str">
        <f>IF($A62="","",INDEX(Каталог!$B$4:$B$500,$A62)&amp;"")</f>
        <v/>
      </c>
      <c r="G62" s="32" t="str">
        <f>IF($A62="","",INDEX(Каталог!$M$4:$M$500,$A62)&amp;"")</f>
        <v/>
      </c>
      <c r="H62" s="32" t="str">
        <f>IF($A62="","",INDEX(Каталог!$P$4:$P$500,$A62))</f>
        <v/>
      </c>
      <c r="I62" s="5"/>
      <c r="J62" s="5"/>
      <c r="L62" s="30" t="s">
        <v>831</v>
      </c>
      <c r="M62" s="32">
        <f>SUM(Однолинейка!$BW$3:$BW$1000)</f>
        <v>305</v>
      </c>
    </row>
    <row r="63" spans="1:15" x14ac:dyDescent="0.3">
      <c r="A63" s="29" t="str">
        <f>IFERROR(MATCH(ROW()-3,Каталог!$AF$4:$AF$500,0),"")</f>
        <v/>
      </c>
      <c r="B63" s="29" t="str">
        <f t="shared" si="1"/>
        <v/>
      </c>
      <c r="C63" s="30" t="str">
        <f>IF($A63="","",INDEX(Каталог!$G$4:$G$500,$A63)&amp;"")</f>
        <v/>
      </c>
      <c r="D63" s="33"/>
      <c r="E63" s="31" t="str">
        <f>IF($A63="","",INDEX(Каталог!$H$4:$H$500,$A63)&amp;"")</f>
        <v/>
      </c>
      <c r="F63" s="32" t="str">
        <f>IF($A63="","",INDEX(Каталог!$B$4:$B$500,$A63)&amp;"")</f>
        <v/>
      </c>
      <c r="G63" s="32" t="str">
        <f>IF($A63="","",INDEX(Каталог!$M$4:$M$500,$A63)&amp;"")</f>
        <v/>
      </c>
      <c r="H63" s="32" t="str">
        <f>IF($A63="","",INDEX(Каталог!$P$4:$P$500,$A63))</f>
        <v/>
      </c>
      <c r="I63" s="5"/>
      <c r="J63" s="5"/>
      <c r="L63" s="30" t="s">
        <v>832</v>
      </c>
      <c r="M63" s="32">
        <f>SUM(Однолинейка!$BX$3:$BX$1000)</f>
        <v>50</v>
      </c>
    </row>
    <row r="64" spans="1:15" ht="27.6" x14ac:dyDescent="0.3">
      <c r="A64" s="29" t="str">
        <f>IFERROR(MATCH(ROW()-3,Каталог!$AF$4:$AF$500,0),"")</f>
        <v/>
      </c>
      <c r="B64" s="29" t="str">
        <f t="shared" si="1"/>
        <v/>
      </c>
      <c r="C64" s="30" t="str">
        <f>IF($A64="","",INDEX(Каталог!$G$4:$G$500,$A64)&amp;"")</f>
        <v/>
      </c>
      <c r="D64" s="33"/>
      <c r="E64" s="31" t="str">
        <f>IF($A64="","",INDEX(Каталог!$H$4:$H$500,$A64)&amp;"")</f>
        <v/>
      </c>
      <c r="F64" s="32" t="str">
        <f>IF($A64="","",INDEX(Каталог!$B$4:$B$500,$A64)&amp;"")</f>
        <v/>
      </c>
      <c r="G64" s="32" t="str">
        <f>IF($A64="","",INDEX(Каталог!$M$4:$M$500,$A64)&amp;"")</f>
        <v/>
      </c>
      <c r="H64" s="32" t="str">
        <f>IF($A64="","",INDEX(Каталог!$P$4:$P$500,$A64))</f>
        <v/>
      </c>
      <c r="I64" s="5"/>
      <c r="J64" s="5"/>
      <c r="L64" s="30" t="s">
        <v>833</v>
      </c>
    </row>
    <row r="65" spans="1:12" x14ac:dyDescent="0.3">
      <c r="A65" s="29" t="str">
        <f>IFERROR(MATCH(ROW()-3,Каталог!$AF$4:$AF$500,0),"")</f>
        <v/>
      </c>
      <c r="B65" s="29" t="str">
        <f t="shared" si="1"/>
        <v/>
      </c>
      <c r="C65" s="30" t="str">
        <f>IF($A65="","",INDEX(Каталог!$G$4:$G$500,$A65)&amp;"")</f>
        <v/>
      </c>
      <c r="D65" s="33"/>
      <c r="E65" s="31" t="str">
        <f>IF($A65="","",INDEX(Каталог!$H$4:$H$500,$A65)&amp;"")</f>
        <v/>
      </c>
      <c r="F65" s="32" t="str">
        <f>IF($A65="","",INDEX(Каталог!$B$4:$B$500,$A65)&amp;"")</f>
        <v/>
      </c>
      <c r="G65" s="32" t="str">
        <f>IF($A65="","",INDEX(Каталог!$M$4:$M$500,$A65)&amp;"")</f>
        <v/>
      </c>
      <c r="H65" s="32" t="str">
        <f>IF($A65="","",INDEX(Каталог!$P$4:$P$500,$A65))</f>
        <v/>
      </c>
      <c r="I65" s="5"/>
      <c r="J65" s="5"/>
      <c r="L65" s="30"/>
    </row>
    <row r="66" spans="1:12" x14ac:dyDescent="0.3">
      <c r="A66" s="29" t="str">
        <f>IFERROR(MATCH(ROW()-3,Каталог!$AF$4:$AF$500,0),"")</f>
        <v/>
      </c>
      <c r="B66" s="29" t="str">
        <f t="shared" si="1"/>
        <v/>
      </c>
      <c r="C66" s="30" t="str">
        <f>IF($A66="","",INDEX(Каталог!$G$4:$G$500,$A66)&amp;"")</f>
        <v/>
      </c>
      <c r="D66" s="33"/>
      <c r="E66" s="31" t="str">
        <f>IF($A66="","",INDEX(Каталог!$H$4:$H$500,$A66)&amp;"")</f>
        <v/>
      </c>
      <c r="F66" s="32" t="str">
        <f>IF($A66="","",INDEX(Каталог!$B$4:$B$500,$A66)&amp;"")</f>
        <v/>
      </c>
      <c r="G66" s="32" t="str">
        <f>IF($A66="","",INDEX(Каталог!$M$4:$M$500,$A66)&amp;"")</f>
        <v/>
      </c>
      <c r="H66" s="32" t="str">
        <f>IF($A66="","",INDEX(Каталог!$P$4:$P$500,$A66))</f>
        <v/>
      </c>
      <c r="I66" s="5"/>
      <c r="J66" s="5"/>
      <c r="L66" s="30"/>
    </row>
    <row r="67" spans="1:12" x14ac:dyDescent="0.3">
      <c r="A67" s="29" t="str">
        <f>IFERROR(MATCH(ROW()-3,Каталог!$AF$4:$AF$500,0),"")</f>
        <v/>
      </c>
      <c r="B67" s="29" t="str">
        <f t="shared" si="1"/>
        <v/>
      </c>
      <c r="C67" s="30" t="str">
        <f>IF($A67="","",INDEX(Каталог!$G$4:$G$500,$A67)&amp;"")</f>
        <v/>
      </c>
      <c r="D67" s="33"/>
      <c r="E67" s="31" t="str">
        <f>IF($A67="","",INDEX(Каталог!$H$4:$H$500,$A67)&amp;"")</f>
        <v/>
      </c>
      <c r="F67" s="32" t="str">
        <f>IF($A67="","",INDEX(Каталог!$B$4:$B$500,$A67)&amp;"")</f>
        <v/>
      </c>
      <c r="G67" s="32" t="str">
        <f>IF($A67="","",INDEX(Каталог!$M$4:$M$500,$A67)&amp;"")</f>
        <v/>
      </c>
      <c r="H67" s="32" t="str">
        <f>IF($A67="","",INDEX(Каталог!$P$4:$P$500,$A67))</f>
        <v/>
      </c>
      <c r="I67" s="5"/>
      <c r="J67" s="5"/>
    </row>
    <row r="68" spans="1:12" x14ac:dyDescent="0.3">
      <c r="A68" s="29" t="str">
        <f>IFERROR(MATCH(ROW()-3,Каталог!$AF$4:$AF$500,0),"")</f>
        <v/>
      </c>
      <c r="B68" s="29" t="str">
        <f t="shared" ref="B68:B99" si="2">IF($A68="","",$B$3&amp;"."&amp;(ROW()-3))</f>
        <v/>
      </c>
      <c r="C68" s="30" t="str">
        <f>IF($A68="","",INDEX(Каталог!$G$4:$G$500,$A68)&amp;"")</f>
        <v/>
      </c>
      <c r="D68" s="33"/>
      <c r="E68" s="31" t="str">
        <f>IF($A68="","",INDEX(Каталог!$H$4:$H$500,$A68)&amp;"")</f>
        <v/>
      </c>
      <c r="F68" s="32" t="str">
        <f>IF($A68="","",INDEX(Каталог!$B$4:$B$500,$A68)&amp;"")</f>
        <v/>
      </c>
      <c r="G68" s="32" t="str">
        <f>IF($A68="","",INDEX(Каталог!$M$4:$M$500,$A68)&amp;"")</f>
        <v/>
      </c>
      <c r="H68" s="32" t="str">
        <f>IF($A68="","",INDEX(Каталог!$P$4:$P$500,$A68))</f>
        <v/>
      </c>
      <c r="I68" s="5"/>
      <c r="J68" s="5"/>
    </row>
    <row r="69" spans="1:12" x14ac:dyDescent="0.3">
      <c r="A69" s="29" t="str">
        <f>IFERROR(MATCH(ROW()-3,Каталог!$AF$4:$AF$500,0),"")</f>
        <v/>
      </c>
      <c r="B69" s="29" t="str">
        <f t="shared" si="2"/>
        <v/>
      </c>
      <c r="C69" s="30" t="str">
        <f>IF($A69="","",INDEX(Каталог!$G$4:$G$500,$A69)&amp;"")</f>
        <v/>
      </c>
      <c r="D69" s="33"/>
      <c r="E69" s="31" t="str">
        <f>IF($A69="","",INDEX(Каталог!$H$4:$H$500,$A69)&amp;"")</f>
        <v/>
      </c>
      <c r="F69" s="32" t="str">
        <f>IF($A69="","",INDEX(Каталог!$B$4:$B$500,$A69)&amp;"")</f>
        <v/>
      </c>
      <c r="G69" s="32" t="str">
        <f>IF($A69="","",INDEX(Каталог!$M$4:$M$500,$A69)&amp;"")</f>
        <v/>
      </c>
      <c r="H69" s="32" t="str">
        <f>IF($A69="","",INDEX(Каталог!$P$4:$P$500,$A69))</f>
        <v/>
      </c>
      <c r="I69" s="5"/>
      <c r="J69" s="5"/>
    </row>
    <row r="70" spans="1:12" x14ac:dyDescent="0.3">
      <c r="A70" s="29" t="str">
        <f>IFERROR(MATCH(ROW()-3,Каталог!$AF$4:$AF$500,0),"")</f>
        <v/>
      </c>
      <c r="B70" s="29" t="str">
        <f t="shared" si="2"/>
        <v/>
      </c>
      <c r="C70" s="30" t="str">
        <f>IF($A70="","",INDEX(Каталог!$G$4:$G$500,$A70)&amp;"")</f>
        <v/>
      </c>
      <c r="D70" s="33"/>
      <c r="E70" s="31" t="str">
        <f>IF($A70="","",INDEX(Каталог!$H$4:$H$500,$A70)&amp;"")</f>
        <v/>
      </c>
      <c r="F70" s="32" t="str">
        <f>IF($A70="","",INDEX(Каталог!$B$4:$B$500,$A70)&amp;"")</f>
        <v/>
      </c>
      <c r="G70" s="32" t="str">
        <f>IF($A70="","",INDEX(Каталог!$M$4:$M$500,$A70)&amp;"")</f>
        <v/>
      </c>
      <c r="H70" s="32" t="str">
        <f>IF($A70="","",INDEX(Каталог!$P$4:$P$500,$A70))</f>
        <v/>
      </c>
      <c r="I70" s="5"/>
      <c r="J70" s="5"/>
    </row>
    <row r="71" spans="1:12" x14ac:dyDescent="0.3">
      <c r="A71" s="29" t="str">
        <f>IFERROR(MATCH(ROW()-3,Каталог!$AF$4:$AF$500,0),"")</f>
        <v/>
      </c>
      <c r="B71" s="29" t="str">
        <f t="shared" si="2"/>
        <v/>
      </c>
      <c r="C71" s="30" t="str">
        <f>IF($A71="","",INDEX(Каталог!$G$4:$G$500,$A71)&amp;"")</f>
        <v/>
      </c>
      <c r="D71" s="33"/>
      <c r="E71" s="31" t="str">
        <f>IF($A71="","",INDEX(Каталог!$H$4:$H$500,$A71)&amp;"")</f>
        <v/>
      </c>
      <c r="F71" s="32" t="str">
        <f>IF($A71="","",INDEX(Каталог!$B$4:$B$500,$A71)&amp;"")</f>
        <v/>
      </c>
      <c r="G71" s="32" t="str">
        <f>IF($A71="","",INDEX(Каталог!$M$4:$M$500,$A71)&amp;"")</f>
        <v/>
      </c>
      <c r="H71" s="32" t="str">
        <f>IF($A71="","",INDEX(Каталог!$P$4:$P$500,$A71))</f>
        <v/>
      </c>
      <c r="I71" s="5"/>
      <c r="J71" s="5"/>
    </row>
    <row r="72" spans="1:12" x14ac:dyDescent="0.3">
      <c r="A72" s="29" t="str">
        <f>IFERROR(MATCH(ROW()-3,Каталог!$AF$4:$AF$500,0),"")</f>
        <v/>
      </c>
      <c r="B72" s="29" t="str">
        <f t="shared" si="2"/>
        <v/>
      </c>
      <c r="C72" s="30" t="str">
        <f>IF($A72="","",INDEX(Каталог!$G$4:$G$500,$A72)&amp;"")</f>
        <v/>
      </c>
      <c r="D72" s="33"/>
      <c r="E72" s="31" t="str">
        <f>IF($A72="","",INDEX(Каталог!$H$4:$H$500,$A72)&amp;"")</f>
        <v/>
      </c>
      <c r="F72" s="32" t="str">
        <f>IF($A72="","",INDEX(Каталог!$B$4:$B$500,$A72)&amp;"")</f>
        <v/>
      </c>
      <c r="G72" s="32" t="str">
        <f>IF($A72="","",INDEX(Каталог!$M$4:$M$500,$A72)&amp;"")</f>
        <v/>
      </c>
      <c r="H72" s="32" t="str">
        <f>IF($A72="","",INDEX(Каталог!$P$4:$P$500,$A72))</f>
        <v/>
      </c>
      <c r="I72" s="5"/>
      <c r="J72" s="5"/>
    </row>
    <row r="73" spans="1:12" x14ac:dyDescent="0.3">
      <c r="A73" s="29" t="str">
        <f>IFERROR(MATCH(ROW()-3,Каталог!$AF$4:$AF$500,0),"")</f>
        <v/>
      </c>
      <c r="B73" s="29" t="str">
        <f t="shared" si="2"/>
        <v/>
      </c>
      <c r="C73" s="30" t="str">
        <f>IF($A73="","",INDEX(Каталог!$G$4:$G$500,$A73)&amp;"")</f>
        <v/>
      </c>
      <c r="D73" s="33"/>
      <c r="E73" s="31" t="str">
        <f>IF($A73="","",INDEX(Каталог!$H$4:$H$500,$A73)&amp;"")</f>
        <v/>
      </c>
      <c r="F73" s="32" t="str">
        <f>IF($A73="","",INDEX(Каталог!$B$4:$B$500,$A73)&amp;"")</f>
        <v/>
      </c>
      <c r="G73" s="32" t="str">
        <f>IF($A73="","",INDEX(Каталог!$M$4:$M$500,$A73)&amp;"")</f>
        <v/>
      </c>
      <c r="H73" s="32" t="str">
        <f>IF($A73="","",INDEX(Каталог!$P$4:$P$500,$A73))</f>
        <v/>
      </c>
      <c r="I73" s="5"/>
      <c r="J73" s="5"/>
    </row>
    <row r="74" spans="1:12" x14ac:dyDescent="0.3">
      <c r="A74" s="29" t="str">
        <f>IFERROR(MATCH(ROW()-3,Каталог!$AF$4:$AF$500,0),"")</f>
        <v/>
      </c>
      <c r="B74" s="29" t="str">
        <f t="shared" si="2"/>
        <v/>
      </c>
      <c r="C74" s="30" t="str">
        <f>IF($A74="","",INDEX(Каталог!$G$4:$G$500,$A74)&amp;"")</f>
        <v/>
      </c>
      <c r="D74" s="33"/>
      <c r="E74" s="31" t="str">
        <f>IF($A74="","",INDEX(Каталог!$H$4:$H$500,$A74)&amp;"")</f>
        <v/>
      </c>
      <c r="F74" s="32" t="str">
        <f>IF($A74="","",INDEX(Каталог!$B$4:$B$500,$A74)&amp;"")</f>
        <v/>
      </c>
      <c r="G74" s="32" t="str">
        <f>IF($A74="","",INDEX(Каталог!$M$4:$M$500,$A74)&amp;"")</f>
        <v/>
      </c>
      <c r="H74" s="32" t="str">
        <f>IF($A74="","",INDEX(Каталог!$P$4:$P$500,$A74))</f>
        <v/>
      </c>
      <c r="I74" s="5"/>
      <c r="J74" s="5"/>
    </row>
    <row r="75" spans="1:12" x14ac:dyDescent="0.3">
      <c r="A75" s="29" t="str">
        <f>IFERROR(MATCH(ROW()-3,Каталог!$AF$4:$AF$500,0),"")</f>
        <v/>
      </c>
      <c r="B75" s="29" t="str">
        <f t="shared" si="2"/>
        <v/>
      </c>
      <c r="C75" s="30" t="str">
        <f>IF($A75="","",INDEX(Каталог!$G$4:$G$500,$A75)&amp;"")</f>
        <v/>
      </c>
      <c r="D75" s="33"/>
      <c r="E75" s="31" t="str">
        <f>IF($A75="","",INDEX(Каталог!$H$4:$H$500,$A75)&amp;"")</f>
        <v/>
      </c>
      <c r="F75" s="32" t="str">
        <f>IF($A75="","",INDEX(Каталог!$B$4:$B$500,$A75)&amp;"")</f>
        <v/>
      </c>
      <c r="G75" s="32" t="str">
        <f>IF($A75="","",INDEX(Каталог!$M$4:$M$500,$A75)&amp;"")</f>
        <v/>
      </c>
      <c r="H75" s="32" t="str">
        <f>IF($A75="","",INDEX(Каталог!$P$4:$P$500,$A75))</f>
        <v/>
      </c>
      <c r="I75" s="5"/>
      <c r="J75" s="5"/>
    </row>
    <row r="76" spans="1:12" x14ac:dyDescent="0.3">
      <c r="A76" s="29" t="str">
        <f>IFERROR(MATCH(ROW()-3,Каталог!$AF$4:$AF$500,0),"")</f>
        <v/>
      </c>
      <c r="B76" s="29" t="str">
        <f t="shared" si="2"/>
        <v/>
      </c>
      <c r="C76" s="30" t="str">
        <f>IF($A76="","",INDEX(Каталог!$G$4:$G$500,$A76)&amp;"")</f>
        <v/>
      </c>
      <c r="D76" s="33"/>
      <c r="E76" s="31" t="str">
        <f>IF($A76="","",INDEX(Каталог!$H$4:$H$500,$A76)&amp;"")</f>
        <v/>
      </c>
      <c r="F76" s="32" t="str">
        <f>IF($A76="","",INDEX(Каталог!$B$4:$B$500,$A76)&amp;"")</f>
        <v/>
      </c>
      <c r="G76" s="32" t="str">
        <f>IF($A76="","",INDEX(Каталог!$M$4:$M$500,$A76)&amp;"")</f>
        <v/>
      </c>
      <c r="H76" s="32" t="str">
        <f>IF($A76="","",INDEX(Каталог!$P$4:$P$500,$A76))</f>
        <v/>
      </c>
      <c r="I76" s="5"/>
      <c r="J76" s="5"/>
    </row>
    <row r="77" spans="1:12" x14ac:dyDescent="0.3">
      <c r="A77" s="29" t="str">
        <f>IFERROR(MATCH(ROW()-3,Каталог!$AF$4:$AF$500,0),"")</f>
        <v/>
      </c>
      <c r="B77" s="29" t="str">
        <f t="shared" si="2"/>
        <v/>
      </c>
      <c r="C77" s="30" t="str">
        <f>IF($A77="","",INDEX(Каталог!$G$4:$G$500,$A77)&amp;"")</f>
        <v/>
      </c>
      <c r="D77" s="33"/>
      <c r="E77" s="31" t="str">
        <f>IF($A77="","",INDEX(Каталог!$H$4:$H$500,$A77)&amp;"")</f>
        <v/>
      </c>
      <c r="F77" s="32" t="str">
        <f>IF($A77="","",INDEX(Каталог!$B$4:$B$500,$A77)&amp;"")</f>
        <v/>
      </c>
      <c r="G77" s="32" t="str">
        <f>IF($A77="","",INDEX(Каталог!$M$4:$M$500,$A77)&amp;"")</f>
        <v/>
      </c>
      <c r="H77" s="32" t="str">
        <f>IF($A77="","",INDEX(Каталог!$P$4:$P$500,$A77))</f>
        <v/>
      </c>
      <c r="I77" s="5"/>
      <c r="J77" s="5"/>
    </row>
    <row r="78" spans="1:12" x14ac:dyDescent="0.3">
      <c r="A78" s="29" t="str">
        <f>IFERROR(MATCH(ROW()-3,Каталог!$AF$4:$AF$500,0),"")</f>
        <v/>
      </c>
      <c r="B78" s="29" t="str">
        <f t="shared" si="2"/>
        <v/>
      </c>
      <c r="C78" s="30" t="str">
        <f>IF($A78="","",INDEX(Каталог!$G$4:$G$500,$A78)&amp;"")</f>
        <v/>
      </c>
      <c r="D78" s="33"/>
      <c r="E78" s="31" t="str">
        <f>IF($A78="","",INDEX(Каталог!$H$4:$H$500,$A78)&amp;"")</f>
        <v/>
      </c>
      <c r="F78" s="32" t="str">
        <f>IF($A78="","",INDEX(Каталог!$B$4:$B$500,$A78)&amp;"")</f>
        <v/>
      </c>
      <c r="G78" s="32" t="str">
        <f>IF($A78="","",INDEX(Каталог!$M$4:$M$500,$A78)&amp;"")</f>
        <v/>
      </c>
      <c r="H78" s="32" t="str">
        <f>IF($A78="","",INDEX(Каталог!$P$4:$P$500,$A78))</f>
        <v/>
      </c>
      <c r="I78" s="5"/>
      <c r="J78" s="5"/>
    </row>
    <row r="79" spans="1:12" x14ac:dyDescent="0.3">
      <c r="A79" s="29" t="str">
        <f>IFERROR(MATCH(ROW()-3,Каталог!$AF$4:$AF$500,0),"")</f>
        <v/>
      </c>
      <c r="B79" s="29" t="str">
        <f t="shared" si="2"/>
        <v/>
      </c>
      <c r="C79" s="30" t="str">
        <f>IF($A79="","",INDEX(Каталог!$G$4:$G$500,$A79)&amp;"")</f>
        <v/>
      </c>
      <c r="D79" s="33"/>
      <c r="E79" s="31" t="str">
        <f>IF($A79="","",INDEX(Каталог!$H$4:$H$500,$A79)&amp;"")</f>
        <v/>
      </c>
      <c r="F79" s="32" t="str">
        <f>IF($A79="","",INDEX(Каталог!$B$4:$B$500,$A79)&amp;"")</f>
        <v/>
      </c>
      <c r="G79" s="32" t="str">
        <f>IF($A79="","",INDEX(Каталог!$M$4:$M$500,$A79)&amp;"")</f>
        <v/>
      </c>
      <c r="H79" s="32" t="str">
        <f>IF($A79="","",INDEX(Каталог!$P$4:$P$500,$A79))</f>
        <v/>
      </c>
      <c r="I79" s="5"/>
      <c r="J79" s="5"/>
    </row>
    <row r="80" spans="1:12" x14ac:dyDescent="0.3">
      <c r="A80" s="29" t="str">
        <f>IFERROR(MATCH(ROW()-3,Каталог!$AF$4:$AF$500,0),"")</f>
        <v/>
      </c>
      <c r="B80" s="29" t="str">
        <f t="shared" si="2"/>
        <v/>
      </c>
      <c r="C80" s="30" t="str">
        <f>IF($A80="","",INDEX(Каталог!$G$4:$G$500,$A80)&amp;"")</f>
        <v/>
      </c>
      <c r="D80" s="33"/>
      <c r="E80" s="31" t="str">
        <f>IF($A80="","",INDEX(Каталог!$H$4:$H$500,$A80)&amp;"")</f>
        <v/>
      </c>
      <c r="F80" s="32" t="str">
        <f>IF($A80="","",INDEX(Каталог!$B$4:$B$500,$A80)&amp;"")</f>
        <v/>
      </c>
      <c r="G80" s="32" t="str">
        <f>IF($A80="","",INDEX(Каталог!$M$4:$M$500,$A80)&amp;"")</f>
        <v/>
      </c>
      <c r="H80" s="32" t="str">
        <f>IF($A80="","",INDEX(Каталог!$P$4:$P$500,$A80))</f>
        <v/>
      </c>
      <c r="I80" s="5"/>
      <c r="J80" s="5"/>
    </row>
    <row r="81" spans="1:10" x14ac:dyDescent="0.3">
      <c r="A81" s="29" t="str">
        <f>IFERROR(MATCH(ROW()-3,Каталог!$AF$4:$AF$500,0),"")</f>
        <v/>
      </c>
      <c r="B81" s="29" t="str">
        <f t="shared" si="2"/>
        <v/>
      </c>
      <c r="C81" s="30" t="str">
        <f>IF($A81="","",INDEX(Каталог!$G$4:$G$500,$A81)&amp;"")</f>
        <v/>
      </c>
      <c r="D81" s="33"/>
      <c r="E81" s="31" t="str">
        <f>IF($A81="","",INDEX(Каталог!$H$4:$H$500,$A81)&amp;"")</f>
        <v/>
      </c>
      <c r="F81" s="32" t="str">
        <f>IF($A81="","",INDEX(Каталог!$B$4:$B$500,$A81)&amp;"")</f>
        <v/>
      </c>
      <c r="G81" s="32" t="str">
        <f>IF($A81="","",INDEX(Каталог!$M$4:$M$500,$A81)&amp;"")</f>
        <v/>
      </c>
      <c r="H81" s="32" t="str">
        <f>IF($A81="","",INDEX(Каталог!$P$4:$P$500,$A81))</f>
        <v/>
      </c>
      <c r="I81" s="5"/>
      <c r="J81" s="5"/>
    </row>
    <row r="82" spans="1:10" x14ac:dyDescent="0.3">
      <c r="A82" s="29" t="str">
        <f>IFERROR(MATCH(ROW()-3,Каталог!$AF$4:$AF$500,0),"")</f>
        <v/>
      </c>
      <c r="B82" s="29" t="str">
        <f t="shared" si="2"/>
        <v/>
      </c>
      <c r="C82" s="30" t="str">
        <f>IF($A82="","",INDEX(Каталог!$G$4:$G$500,$A82)&amp;"")</f>
        <v/>
      </c>
      <c r="D82" s="33"/>
      <c r="E82" s="31" t="str">
        <f>IF($A82="","",INDEX(Каталог!$H$4:$H$500,$A82)&amp;"")</f>
        <v/>
      </c>
      <c r="F82" s="32" t="str">
        <f>IF($A82="","",INDEX(Каталог!$B$4:$B$500,$A82)&amp;"")</f>
        <v/>
      </c>
      <c r="G82" s="32" t="str">
        <f>IF($A82="","",INDEX(Каталог!$M$4:$M$500,$A82)&amp;"")</f>
        <v/>
      </c>
      <c r="H82" s="32" t="str">
        <f>IF($A82="","",INDEX(Каталог!$P$4:$P$500,$A82))</f>
        <v/>
      </c>
      <c r="I82" s="5"/>
      <c r="J82" s="5"/>
    </row>
    <row r="83" spans="1:10" x14ac:dyDescent="0.3">
      <c r="A83" s="29" t="str">
        <f>IFERROR(MATCH(ROW()-3,Каталог!$AF$4:$AF$500,0),"")</f>
        <v/>
      </c>
      <c r="B83" s="29" t="str">
        <f t="shared" si="2"/>
        <v/>
      </c>
      <c r="C83" s="30" t="str">
        <f>IF($A83="","",INDEX(Каталог!$G$4:$G$500,$A83)&amp;"")</f>
        <v/>
      </c>
      <c r="D83" s="33"/>
      <c r="E83" s="31" t="str">
        <f>IF($A83="","",INDEX(Каталог!$H$4:$H$500,$A83)&amp;"")</f>
        <v/>
      </c>
      <c r="F83" s="32" t="str">
        <f>IF($A83="","",INDEX(Каталог!$B$4:$B$500,$A83)&amp;"")</f>
        <v/>
      </c>
      <c r="G83" s="32" t="str">
        <f>IF($A83="","",INDEX(Каталог!$M$4:$M$500,$A83)&amp;"")</f>
        <v/>
      </c>
      <c r="H83" s="32" t="str">
        <f>IF($A83="","",INDEX(Каталог!$P$4:$P$500,$A83))</f>
        <v/>
      </c>
      <c r="I83" s="5"/>
      <c r="J83" s="5"/>
    </row>
    <row r="84" spans="1:10" x14ac:dyDescent="0.3">
      <c r="A84" s="29" t="str">
        <f>IFERROR(MATCH(ROW()-3,Каталог!$AF$4:$AF$500,0),"")</f>
        <v/>
      </c>
      <c r="B84" s="29" t="str">
        <f t="shared" si="2"/>
        <v/>
      </c>
      <c r="C84" s="30" t="str">
        <f>IF($A84="","",INDEX(Каталог!$G$4:$G$500,$A84)&amp;"")</f>
        <v/>
      </c>
      <c r="D84" s="33"/>
      <c r="E84" s="31" t="str">
        <f>IF($A84="","",INDEX(Каталог!$H$4:$H$500,$A84)&amp;"")</f>
        <v/>
      </c>
      <c r="F84" s="32" t="str">
        <f>IF($A84="","",INDEX(Каталог!$B$4:$B$500,$A84)&amp;"")</f>
        <v/>
      </c>
      <c r="G84" s="32" t="str">
        <f>IF($A84="","",INDEX(Каталог!$M$4:$M$500,$A84)&amp;"")</f>
        <v/>
      </c>
      <c r="H84" s="32" t="str">
        <f>IF($A84="","",INDEX(Каталог!$P$4:$P$500,$A84))</f>
        <v/>
      </c>
      <c r="I84" s="5"/>
      <c r="J84" s="5"/>
    </row>
    <row r="85" spans="1:10" x14ac:dyDescent="0.3">
      <c r="A85" s="29" t="str">
        <f>IFERROR(MATCH(ROW()-3,Каталог!$AF$4:$AF$500,0),"")</f>
        <v/>
      </c>
      <c r="B85" s="29" t="str">
        <f t="shared" si="2"/>
        <v/>
      </c>
      <c r="C85" s="30" t="str">
        <f>IF($A85="","",INDEX(Каталог!$G$4:$G$500,$A85)&amp;"")</f>
        <v/>
      </c>
      <c r="D85" s="33"/>
      <c r="E85" s="31" t="str">
        <f>IF($A85="","",INDEX(Каталог!$H$4:$H$500,$A85)&amp;"")</f>
        <v/>
      </c>
      <c r="F85" s="32" t="str">
        <f>IF($A85="","",INDEX(Каталог!$B$4:$B$500,$A85)&amp;"")</f>
        <v/>
      </c>
      <c r="G85" s="32" t="str">
        <f>IF($A85="","",INDEX(Каталог!$M$4:$M$500,$A85)&amp;"")</f>
        <v/>
      </c>
      <c r="H85" s="32" t="str">
        <f>IF($A85="","",INDEX(Каталог!$P$4:$P$500,$A85))</f>
        <v/>
      </c>
      <c r="I85" s="5"/>
      <c r="J85" s="5"/>
    </row>
    <row r="86" spans="1:10" x14ac:dyDescent="0.3">
      <c r="A86" s="29" t="str">
        <f>IFERROR(MATCH(ROW()-3,Каталог!$AF$4:$AF$500,0),"")</f>
        <v/>
      </c>
      <c r="B86" s="29" t="str">
        <f t="shared" si="2"/>
        <v/>
      </c>
      <c r="C86" s="30" t="str">
        <f>IF($A86="","",INDEX(Каталог!$G$4:$G$500,$A86)&amp;"")</f>
        <v/>
      </c>
      <c r="D86" s="33"/>
      <c r="E86" s="31" t="str">
        <f>IF($A86="","",INDEX(Каталог!$H$4:$H$500,$A86)&amp;"")</f>
        <v/>
      </c>
      <c r="F86" s="32" t="str">
        <f>IF($A86="","",INDEX(Каталог!$B$4:$B$500,$A86)&amp;"")</f>
        <v/>
      </c>
      <c r="G86" s="32" t="str">
        <f>IF($A86="","",INDEX(Каталог!$M$4:$M$500,$A86)&amp;"")</f>
        <v/>
      </c>
      <c r="H86" s="32" t="str">
        <f>IF($A86="","",INDEX(Каталог!$P$4:$P$500,$A86))</f>
        <v/>
      </c>
      <c r="I86" s="5"/>
      <c r="J86" s="5"/>
    </row>
    <row r="87" spans="1:10" x14ac:dyDescent="0.3">
      <c r="A87" s="29" t="str">
        <f>IFERROR(MATCH(ROW()-3,Каталог!$AF$4:$AF$500,0),"")</f>
        <v/>
      </c>
      <c r="B87" s="29" t="str">
        <f t="shared" si="2"/>
        <v/>
      </c>
      <c r="C87" s="30" t="str">
        <f>IF($A87="","",INDEX(Каталог!$G$4:$G$500,$A87)&amp;"")</f>
        <v/>
      </c>
      <c r="D87" s="33"/>
      <c r="E87" s="31" t="str">
        <f>IF($A87="","",INDEX(Каталог!$H$4:$H$500,$A87)&amp;"")</f>
        <v/>
      </c>
      <c r="F87" s="32" t="str">
        <f>IF($A87="","",INDEX(Каталог!$B$4:$B$500,$A87)&amp;"")</f>
        <v/>
      </c>
      <c r="G87" s="32" t="str">
        <f>IF($A87="","",INDEX(Каталог!$M$4:$M$500,$A87)&amp;"")</f>
        <v/>
      </c>
      <c r="H87" s="32" t="str">
        <f>IF($A87="","",INDEX(Каталог!$P$4:$P$500,$A87))</f>
        <v/>
      </c>
      <c r="I87" s="5"/>
      <c r="J87" s="5"/>
    </row>
    <row r="88" spans="1:10" x14ac:dyDescent="0.3">
      <c r="A88" s="29" t="str">
        <f>IFERROR(MATCH(ROW()-3,Каталог!$AF$4:$AF$500,0),"")</f>
        <v/>
      </c>
      <c r="B88" s="29" t="str">
        <f t="shared" si="2"/>
        <v/>
      </c>
      <c r="C88" s="30" t="str">
        <f>IF($A88="","",INDEX(Каталог!$G$4:$G$500,$A88)&amp;"")</f>
        <v/>
      </c>
      <c r="D88" s="33"/>
      <c r="E88" s="31" t="str">
        <f>IF($A88="","",INDEX(Каталог!$H$4:$H$500,$A88)&amp;"")</f>
        <v/>
      </c>
      <c r="F88" s="32" t="str">
        <f>IF($A88="","",INDEX(Каталог!$B$4:$B$500,$A88)&amp;"")</f>
        <v/>
      </c>
      <c r="G88" s="32" t="str">
        <f>IF($A88="","",INDEX(Каталог!$M$4:$M$500,$A88)&amp;"")</f>
        <v/>
      </c>
      <c r="H88" s="32" t="str">
        <f>IF($A88="","",INDEX(Каталог!$P$4:$P$500,$A88))</f>
        <v/>
      </c>
      <c r="I88" s="5"/>
      <c r="J88" s="5"/>
    </row>
    <row r="89" spans="1:10" x14ac:dyDescent="0.3">
      <c r="A89" s="29" t="str">
        <f>IFERROR(MATCH(ROW()-3,Каталог!$AF$4:$AF$500,0),"")</f>
        <v/>
      </c>
      <c r="B89" s="29" t="str">
        <f t="shared" si="2"/>
        <v/>
      </c>
      <c r="C89" s="30" t="str">
        <f>IF($A89="","",INDEX(Каталог!$G$4:$G$500,$A89)&amp;"")</f>
        <v/>
      </c>
      <c r="D89" s="33"/>
      <c r="E89" s="31" t="str">
        <f>IF($A89="","",INDEX(Каталог!$H$4:$H$500,$A89)&amp;"")</f>
        <v/>
      </c>
      <c r="F89" s="32" t="str">
        <f>IF($A89="","",INDEX(Каталог!$B$4:$B$500,$A89)&amp;"")</f>
        <v/>
      </c>
      <c r="G89" s="32" t="str">
        <f>IF($A89="","",INDEX(Каталог!$M$4:$M$500,$A89)&amp;"")</f>
        <v/>
      </c>
      <c r="H89" s="32" t="str">
        <f>IF($A89="","",INDEX(Каталог!$P$4:$P$500,$A89))</f>
        <v/>
      </c>
      <c r="I89" s="5"/>
      <c r="J89" s="5"/>
    </row>
    <row r="90" spans="1:10" x14ac:dyDescent="0.3">
      <c r="A90" s="29" t="str">
        <f>IFERROR(MATCH(ROW()-3,Каталог!$AF$4:$AF$500,0),"")</f>
        <v/>
      </c>
      <c r="B90" s="29" t="str">
        <f t="shared" si="2"/>
        <v/>
      </c>
      <c r="C90" s="30" t="str">
        <f>IF($A90="","",INDEX(Каталог!$G$4:$G$500,$A90)&amp;"")</f>
        <v/>
      </c>
      <c r="D90" s="33"/>
      <c r="E90" s="31" t="str">
        <f>IF($A90="","",INDEX(Каталог!$H$4:$H$500,$A90)&amp;"")</f>
        <v/>
      </c>
      <c r="F90" s="32" t="str">
        <f>IF($A90="","",INDEX(Каталог!$B$4:$B$500,$A90)&amp;"")</f>
        <v/>
      </c>
      <c r="G90" s="32" t="str">
        <f>IF($A90="","",INDEX(Каталог!$M$4:$M$500,$A90)&amp;"")</f>
        <v/>
      </c>
      <c r="H90" s="32" t="str">
        <f>IF($A90="","",INDEX(Каталог!$P$4:$P$500,$A90))</f>
        <v/>
      </c>
      <c r="I90" s="5"/>
      <c r="J90" s="5"/>
    </row>
    <row r="91" spans="1:10" x14ac:dyDescent="0.3">
      <c r="A91" s="29" t="str">
        <f>IFERROR(MATCH(ROW()-3,Каталог!$AF$4:$AF$500,0),"")</f>
        <v/>
      </c>
      <c r="B91" s="29" t="str">
        <f t="shared" si="2"/>
        <v/>
      </c>
      <c r="C91" s="30" t="str">
        <f>IF($A91="","",INDEX(Каталог!$G$4:$G$500,$A91)&amp;"")</f>
        <v/>
      </c>
      <c r="D91" s="33"/>
      <c r="E91" s="31" t="str">
        <f>IF($A91="","",INDEX(Каталог!$H$4:$H$500,$A91)&amp;"")</f>
        <v/>
      </c>
      <c r="F91" s="32" t="str">
        <f>IF($A91="","",INDEX(Каталог!$B$4:$B$500,$A91)&amp;"")</f>
        <v/>
      </c>
      <c r="G91" s="32" t="str">
        <f>IF($A91="","",INDEX(Каталог!$M$4:$M$500,$A91)&amp;"")</f>
        <v/>
      </c>
      <c r="H91" s="32" t="str">
        <f>IF($A91="","",INDEX(Каталог!$P$4:$P$500,$A91))</f>
        <v/>
      </c>
      <c r="I91" s="5"/>
      <c r="J91" s="5"/>
    </row>
    <row r="92" spans="1:10" x14ac:dyDescent="0.3">
      <c r="A92" s="29" t="str">
        <f>IFERROR(MATCH(ROW()-3,Каталог!$AF$4:$AF$500,0),"")</f>
        <v/>
      </c>
      <c r="B92" s="29" t="str">
        <f t="shared" si="2"/>
        <v/>
      </c>
      <c r="C92" s="30" t="str">
        <f>IF($A92="","",INDEX(Каталог!$G$4:$G$500,$A92)&amp;"")</f>
        <v/>
      </c>
      <c r="D92" s="33"/>
      <c r="E92" s="31" t="str">
        <f>IF($A92="","",INDEX(Каталог!$H$4:$H$500,$A92)&amp;"")</f>
        <v/>
      </c>
      <c r="F92" s="32" t="str">
        <f>IF($A92="","",INDEX(Каталог!$B$4:$B$500,$A92)&amp;"")</f>
        <v/>
      </c>
      <c r="G92" s="32" t="str">
        <f>IF($A92="","",INDEX(Каталог!$M$4:$M$500,$A92)&amp;"")</f>
        <v/>
      </c>
      <c r="H92" s="32" t="str">
        <f>IF($A92="","",INDEX(Каталог!$P$4:$P$500,$A92))</f>
        <v/>
      </c>
      <c r="I92" s="5"/>
      <c r="J92" s="5"/>
    </row>
    <row r="93" spans="1:10" x14ac:dyDescent="0.3">
      <c r="A93" s="29" t="str">
        <f>IFERROR(MATCH(ROW()-3,Каталог!$AF$4:$AF$500,0),"")</f>
        <v/>
      </c>
      <c r="B93" s="29" t="str">
        <f t="shared" si="2"/>
        <v/>
      </c>
      <c r="C93" s="30" t="str">
        <f>IF($A93="","",INDEX(Каталог!$G$4:$G$500,$A93)&amp;"")</f>
        <v/>
      </c>
      <c r="D93" s="33"/>
      <c r="E93" s="31" t="str">
        <f>IF($A93="","",INDEX(Каталог!$H$4:$H$500,$A93)&amp;"")</f>
        <v/>
      </c>
      <c r="F93" s="32" t="str">
        <f>IF($A93="","",INDEX(Каталог!$B$4:$B$500,$A93)&amp;"")</f>
        <v/>
      </c>
      <c r="G93" s="32" t="str">
        <f>IF($A93="","",INDEX(Каталог!$M$4:$M$500,$A93)&amp;"")</f>
        <v/>
      </c>
      <c r="H93" s="32" t="str">
        <f>IF($A93="","",INDEX(Каталог!$P$4:$P$500,$A93))</f>
        <v/>
      </c>
      <c r="I93" s="5"/>
      <c r="J93" s="5"/>
    </row>
    <row r="94" spans="1:10" x14ac:dyDescent="0.3">
      <c r="A94" s="29" t="str">
        <f>IFERROR(MATCH(ROW()-3,Каталог!$AF$4:$AF$500,0),"")</f>
        <v/>
      </c>
      <c r="B94" s="29" t="str">
        <f t="shared" si="2"/>
        <v/>
      </c>
      <c r="C94" s="30" t="str">
        <f>IF($A94="","",INDEX(Каталог!$G$4:$G$500,$A94)&amp;"")</f>
        <v/>
      </c>
      <c r="D94" s="33"/>
      <c r="E94" s="31" t="str">
        <f>IF($A94="","",INDEX(Каталог!$H$4:$H$500,$A94)&amp;"")</f>
        <v/>
      </c>
      <c r="F94" s="32" t="str">
        <f>IF($A94="","",INDEX(Каталог!$B$4:$B$500,$A94)&amp;"")</f>
        <v/>
      </c>
      <c r="G94" s="32" t="str">
        <f>IF($A94="","",INDEX(Каталог!$M$4:$M$500,$A94)&amp;"")</f>
        <v/>
      </c>
      <c r="H94" s="32" t="str">
        <f>IF($A94="","",INDEX(Каталог!$P$4:$P$500,$A94))</f>
        <v/>
      </c>
      <c r="I94" s="5"/>
      <c r="J94" s="5"/>
    </row>
    <row r="95" spans="1:10" x14ac:dyDescent="0.3">
      <c r="A95" s="29" t="str">
        <f>IFERROR(MATCH(ROW()-3,Каталог!$AF$4:$AF$500,0),"")</f>
        <v/>
      </c>
      <c r="B95" s="29" t="str">
        <f t="shared" si="2"/>
        <v/>
      </c>
      <c r="C95" s="30" t="str">
        <f>IF($A95="","",INDEX(Каталог!$G$4:$G$500,$A95)&amp;"")</f>
        <v/>
      </c>
      <c r="D95" s="33"/>
      <c r="E95" s="31" t="str">
        <f>IF($A95="","",INDEX(Каталог!$H$4:$H$500,$A95)&amp;"")</f>
        <v/>
      </c>
      <c r="F95" s="32" t="str">
        <f>IF($A95="","",INDEX(Каталог!$B$4:$B$500,$A95)&amp;"")</f>
        <v/>
      </c>
      <c r="G95" s="32" t="str">
        <f>IF($A95="","",INDEX(Каталог!$M$4:$M$500,$A95)&amp;"")</f>
        <v/>
      </c>
      <c r="H95" s="32" t="str">
        <f>IF($A95="","",INDEX(Каталог!$P$4:$P$500,$A95))</f>
        <v/>
      </c>
      <c r="I95" s="5"/>
      <c r="J95" s="5"/>
    </row>
    <row r="96" spans="1:10" x14ac:dyDescent="0.3">
      <c r="A96" s="29" t="str">
        <f>IFERROR(MATCH(ROW()-3,Каталог!$AF$4:$AF$500,0),"")</f>
        <v/>
      </c>
      <c r="B96" s="29" t="str">
        <f t="shared" si="2"/>
        <v/>
      </c>
      <c r="C96" s="30" t="str">
        <f>IF($A96="","",INDEX(Каталог!$G$4:$G$500,$A96)&amp;"")</f>
        <v/>
      </c>
      <c r="D96" s="33"/>
      <c r="E96" s="31" t="str">
        <f>IF($A96="","",INDEX(Каталог!$H$4:$H$500,$A96)&amp;"")</f>
        <v/>
      </c>
      <c r="F96" s="32" t="str">
        <f>IF($A96="","",INDEX(Каталог!$B$4:$B$500,$A96)&amp;"")</f>
        <v/>
      </c>
      <c r="G96" s="32" t="str">
        <f>IF($A96="","",INDEX(Каталог!$M$4:$M$500,$A96)&amp;"")</f>
        <v/>
      </c>
      <c r="H96" s="32" t="str">
        <f>IF($A96="","",INDEX(Каталог!$P$4:$P$500,$A96))</f>
        <v/>
      </c>
      <c r="I96" s="5"/>
      <c r="J96" s="5"/>
    </row>
    <row r="97" spans="1:10" x14ac:dyDescent="0.3">
      <c r="A97" s="29" t="str">
        <f>IFERROR(MATCH(ROW()-3,Каталог!$AF$4:$AF$500,0),"")</f>
        <v/>
      </c>
      <c r="B97" s="29" t="str">
        <f t="shared" si="2"/>
        <v/>
      </c>
      <c r="C97" s="30" t="str">
        <f>IF($A97="","",INDEX(Каталог!$G$4:$G$500,$A97)&amp;"")</f>
        <v/>
      </c>
      <c r="D97" s="33"/>
      <c r="E97" s="31" t="str">
        <f>IF($A97="","",INDEX(Каталог!$H$4:$H$500,$A97)&amp;"")</f>
        <v/>
      </c>
      <c r="F97" s="32" t="str">
        <f>IF($A97="","",INDEX(Каталог!$B$4:$B$500,$A97)&amp;"")</f>
        <v/>
      </c>
      <c r="G97" s="32" t="str">
        <f>IF($A97="","",INDEX(Каталог!$M$4:$M$500,$A97)&amp;"")</f>
        <v/>
      </c>
      <c r="H97" s="32" t="str">
        <f>IF($A97="","",INDEX(Каталог!$P$4:$P$500,$A97))</f>
        <v/>
      </c>
      <c r="I97" s="5"/>
      <c r="J97" s="5"/>
    </row>
    <row r="98" spans="1:10" x14ac:dyDescent="0.3">
      <c r="A98" s="29" t="str">
        <f>IFERROR(MATCH(ROW()-3,Каталог!$AF$4:$AF$500,0),"")</f>
        <v/>
      </c>
      <c r="B98" s="29" t="str">
        <f t="shared" si="2"/>
        <v/>
      </c>
      <c r="C98" s="30" t="str">
        <f>IF($A98="","",INDEX(Каталог!$G$4:$G$500,$A98)&amp;"")</f>
        <v/>
      </c>
      <c r="D98" s="33"/>
      <c r="E98" s="31" t="str">
        <f>IF($A98="","",INDEX(Каталог!$H$4:$H$500,$A98)&amp;"")</f>
        <v/>
      </c>
      <c r="F98" s="32" t="str">
        <f>IF($A98="","",INDEX(Каталог!$B$4:$B$500,$A98)&amp;"")</f>
        <v/>
      </c>
      <c r="G98" s="32" t="str">
        <f>IF($A98="","",INDEX(Каталог!$M$4:$M$500,$A98)&amp;"")</f>
        <v/>
      </c>
      <c r="H98" s="32" t="str">
        <f>IF($A98="","",INDEX(Каталог!$P$4:$P$500,$A98))</f>
        <v/>
      </c>
      <c r="I98" s="5"/>
      <c r="J98" s="5"/>
    </row>
    <row r="99" spans="1:10" x14ac:dyDescent="0.3">
      <c r="A99" s="29" t="str">
        <f>IFERROR(MATCH(ROW()-3,Каталог!$AF$4:$AF$500,0),"")</f>
        <v/>
      </c>
      <c r="B99" s="29" t="str">
        <f t="shared" si="2"/>
        <v/>
      </c>
      <c r="C99" s="30" t="str">
        <f>IF($A99="","",INDEX(Каталог!$G$4:$G$500,$A99)&amp;"")</f>
        <v/>
      </c>
      <c r="D99" s="33"/>
      <c r="E99" s="31" t="str">
        <f>IF($A99="","",INDEX(Каталог!$H$4:$H$500,$A99)&amp;"")</f>
        <v/>
      </c>
      <c r="F99" s="32" t="str">
        <f>IF($A99="","",INDEX(Каталог!$B$4:$B$500,$A99)&amp;"")</f>
        <v/>
      </c>
      <c r="G99" s="32" t="str">
        <f>IF($A99="","",INDEX(Каталог!$M$4:$M$500,$A99)&amp;"")</f>
        <v/>
      </c>
      <c r="H99" s="32" t="str">
        <f>IF($A99="","",INDEX(Каталог!$P$4:$P$500,$A99))</f>
        <v/>
      </c>
      <c r="I99" s="5"/>
      <c r="J99" s="5"/>
    </row>
    <row r="100" spans="1:10" x14ac:dyDescent="0.3">
      <c r="A100" s="29" t="str">
        <f>IFERROR(MATCH(ROW()-3,Каталог!$AF$4:$AF$500,0),"")</f>
        <v/>
      </c>
      <c r="B100" s="29" t="str">
        <f t="shared" ref="B100:B131" si="3">IF($A100="","",$B$3&amp;"."&amp;(ROW()-3))</f>
        <v/>
      </c>
      <c r="C100" s="30" t="str">
        <f>IF($A100="","",INDEX(Каталог!$G$4:$G$500,$A100)&amp;"")</f>
        <v/>
      </c>
      <c r="D100" s="33"/>
      <c r="E100" s="31" t="str">
        <f>IF($A100="","",INDEX(Каталог!$H$4:$H$500,$A100)&amp;"")</f>
        <v/>
      </c>
      <c r="F100" s="32" t="str">
        <f>IF($A100="","",INDEX(Каталог!$B$4:$B$500,$A100)&amp;"")</f>
        <v/>
      </c>
      <c r="G100" s="32" t="str">
        <f>IF($A100="","",INDEX(Каталог!$M$4:$M$500,$A100)&amp;"")</f>
        <v/>
      </c>
      <c r="H100" s="32" t="str">
        <f>IF($A100="","",INDEX(Каталог!$P$4:$P$500,$A100))</f>
        <v/>
      </c>
      <c r="I100" s="5"/>
      <c r="J100" s="5"/>
    </row>
    <row r="101" spans="1:10" x14ac:dyDescent="0.3">
      <c r="A101" s="29" t="str">
        <f>IFERROR(MATCH(ROW()-3,Каталог!$AF$4:$AF$500,0),"")</f>
        <v/>
      </c>
      <c r="B101" s="29" t="str">
        <f t="shared" si="3"/>
        <v/>
      </c>
      <c r="C101" s="30" t="str">
        <f>IF($A101="","",INDEX(Каталог!$G$4:$G$500,$A101)&amp;"")</f>
        <v/>
      </c>
      <c r="D101" s="33"/>
      <c r="E101" s="31" t="str">
        <f>IF($A101="","",INDEX(Каталог!$H$4:$H$500,$A101)&amp;"")</f>
        <v/>
      </c>
      <c r="F101" s="32" t="str">
        <f>IF($A101="","",INDEX(Каталог!$B$4:$B$500,$A101)&amp;"")</f>
        <v/>
      </c>
      <c r="G101" s="32" t="str">
        <f>IF($A101="","",INDEX(Каталог!$M$4:$M$500,$A101)&amp;"")</f>
        <v/>
      </c>
      <c r="H101" s="32" t="str">
        <f>IF($A101="","",INDEX(Каталог!$P$4:$P$500,$A101))</f>
        <v/>
      </c>
      <c r="I101" s="5"/>
      <c r="J101" s="5"/>
    </row>
    <row r="102" spans="1:10" x14ac:dyDescent="0.3">
      <c r="A102" s="29" t="str">
        <f>IFERROR(MATCH(ROW()-3,Каталог!$AF$4:$AF$500,0),"")</f>
        <v/>
      </c>
      <c r="B102" s="29" t="str">
        <f t="shared" si="3"/>
        <v/>
      </c>
      <c r="C102" s="30" t="str">
        <f>IF($A102="","",INDEX(Каталог!$G$4:$G$500,$A102)&amp;"")</f>
        <v/>
      </c>
      <c r="D102" s="33"/>
      <c r="E102" s="31" t="str">
        <f>IF($A102="","",INDEX(Каталог!$H$4:$H$500,$A102)&amp;"")</f>
        <v/>
      </c>
      <c r="F102" s="32" t="str">
        <f>IF($A102="","",INDEX(Каталог!$B$4:$B$500,$A102)&amp;"")</f>
        <v/>
      </c>
      <c r="G102" s="32" t="str">
        <f>IF($A102="","",INDEX(Каталог!$M$4:$M$500,$A102)&amp;"")</f>
        <v/>
      </c>
      <c r="H102" s="32" t="str">
        <f>IF($A102="","",INDEX(Каталог!$P$4:$P$500,$A102))</f>
        <v/>
      </c>
      <c r="I102" s="5"/>
      <c r="J102" s="5"/>
    </row>
    <row r="103" spans="1:10" x14ac:dyDescent="0.3">
      <c r="A103" s="29" t="str">
        <f>IFERROR(MATCH(ROW()-3,Каталог!$AF$4:$AF$500,0),"")</f>
        <v/>
      </c>
      <c r="B103" s="29" t="str">
        <f t="shared" si="3"/>
        <v/>
      </c>
      <c r="C103" s="30" t="str">
        <f>IF($A103="","",INDEX(Каталог!$G$4:$G$500,$A103)&amp;"")</f>
        <v/>
      </c>
      <c r="D103" s="33"/>
      <c r="E103" s="31" t="str">
        <f>IF($A103="","",INDEX(Каталог!$H$4:$H$500,$A103)&amp;"")</f>
        <v/>
      </c>
      <c r="F103" s="32" t="str">
        <f>IF($A103="","",INDEX(Каталог!$B$4:$B$500,$A103)&amp;"")</f>
        <v/>
      </c>
      <c r="G103" s="32" t="str">
        <f>IF($A103="","",INDEX(Каталог!$M$4:$M$500,$A103)&amp;"")</f>
        <v/>
      </c>
      <c r="H103" s="32" t="str">
        <f>IF($A103="","",INDEX(Каталог!$P$4:$P$500,$A103))</f>
        <v/>
      </c>
      <c r="I103" s="5"/>
      <c r="J103" s="5"/>
    </row>
    <row r="104" spans="1:10" x14ac:dyDescent="0.3">
      <c r="A104" s="29" t="str">
        <f>IFERROR(MATCH(ROW()-3,Каталог!$AF$4:$AF$500,0),"")</f>
        <v/>
      </c>
      <c r="B104" s="29" t="str">
        <f t="shared" si="3"/>
        <v/>
      </c>
      <c r="C104" s="30" t="str">
        <f>IF($A104="","",INDEX(Каталог!$G$4:$G$500,$A104)&amp;"")</f>
        <v/>
      </c>
      <c r="D104" s="33"/>
      <c r="E104" s="31" t="str">
        <f>IF($A104="","",INDEX(Каталог!$H$4:$H$500,$A104)&amp;"")</f>
        <v/>
      </c>
      <c r="F104" s="32" t="str">
        <f>IF($A104="","",INDEX(Каталог!$B$4:$B$500,$A104)&amp;"")</f>
        <v/>
      </c>
      <c r="G104" s="32" t="str">
        <f>IF($A104="","",INDEX(Каталог!$M$4:$M$500,$A104)&amp;"")</f>
        <v/>
      </c>
      <c r="H104" s="32" t="str">
        <f>IF($A104="","",INDEX(Каталог!$P$4:$P$500,$A104))</f>
        <v/>
      </c>
      <c r="I104" s="5"/>
      <c r="J104" s="5"/>
    </row>
    <row r="105" spans="1:10" x14ac:dyDescent="0.3">
      <c r="A105" s="29" t="str">
        <f>IFERROR(MATCH(ROW()-3,Каталог!$AF$4:$AF$500,0),"")</f>
        <v/>
      </c>
      <c r="B105" s="29" t="str">
        <f t="shared" si="3"/>
        <v/>
      </c>
      <c r="C105" s="30" t="str">
        <f>IF($A105="","",INDEX(Каталог!$G$4:$G$500,$A105)&amp;"")</f>
        <v/>
      </c>
      <c r="D105" s="33"/>
      <c r="E105" s="31" t="str">
        <f>IF($A105="","",INDEX(Каталог!$H$4:$H$500,$A105)&amp;"")</f>
        <v/>
      </c>
      <c r="F105" s="32" t="str">
        <f>IF($A105="","",INDEX(Каталог!$B$4:$B$500,$A105)&amp;"")</f>
        <v/>
      </c>
      <c r="G105" s="32" t="str">
        <f>IF($A105="","",INDEX(Каталог!$M$4:$M$500,$A105)&amp;"")</f>
        <v/>
      </c>
      <c r="H105" s="32" t="str">
        <f>IF($A105="","",INDEX(Каталог!$P$4:$P$500,$A105))</f>
        <v/>
      </c>
      <c r="I105" s="5"/>
      <c r="J105" s="5"/>
    </row>
    <row r="106" spans="1:10" x14ac:dyDescent="0.3">
      <c r="A106" s="29" t="str">
        <f>IFERROR(MATCH(ROW()-3,Каталог!$AF$4:$AF$500,0),"")</f>
        <v/>
      </c>
      <c r="B106" s="29" t="str">
        <f t="shared" si="3"/>
        <v/>
      </c>
      <c r="C106" s="30" t="str">
        <f>IF($A106="","",INDEX(Каталог!$G$4:$G$500,$A106)&amp;"")</f>
        <v/>
      </c>
      <c r="D106" s="33"/>
      <c r="E106" s="31" t="str">
        <f>IF($A106="","",INDEX(Каталог!$H$4:$H$500,$A106)&amp;"")</f>
        <v/>
      </c>
      <c r="F106" s="32" t="str">
        <f>IF($A106="","",INDEX(Каталог!$B$4:$B$500,$A106)&amp;"")</f>
        <v/>
      </c>
      <c r="G106" s="32" t="str">
        <f>IF($A106="","",INDEX(Каталог!$M$4:$M$500,$A106)&amp;"")</f>
        <v/>
      </c>
      <c r="H106" s="32" t="str">
        <f>IF($A106="","",INDEX(Каталог!$P$4:$P$500,$A106))</f>
        <v/>
      </c>
      <c r="I106" s="5"/>
      <c r="J106" s="5"/>
    </row>
    <row r="107" spans="1:10" x14ac:dyDescent="0.3">
      <c r="A107" s="29" t="str">
        <f>IFERROR(MATCH(ROW()-3,Каталог!$AF$4:$AF$500,0),"")</f>
        <v/>
      </c>
      <c r="B107" s="29" t="str">
        <f t="shared" si="3"/>
        <v/>
      </c>
      <c r="C107" s="30" t="str">
        <f>IF($A107="","",INDEX(Каталог!$G$4:$G$500,$A107)&amp;"")</f>
        <v/>
      </c>
      <c r="D107" s="33"/>
      <c r="E107" s="31" t="str">
        <f>IF($A107="","",INDEX(Каталог!$H$4:$H$500,$A107)&amp;"")</f>
        <v/>
      </c>
      <c r="F107" s="32" t="str">
        <f>IF($A107="","",INDEX(Каталог!$B$4:$B$500,$A107)&amp;"")</f>
        <v/>
      </c>
      <c r="G107" s="32" t="str">
        <f>IF($A107="","",INDEX(Каталог!$M$4:$M$500,$A107)&amp;"")</f>
        <v/>
      </c>
      <c r="H107" s="32" t="str">
        <f>IF($A107="","",INDEX(Каталог!$P$4:$P$500,$A107))</f>
        <v/>
      </c>
      <c r="I107" s="5"/>
      <c r="J107" s="5"/>
    </row>
    <row r="108" spans="1:10" x14ac:dyDescent="0.3">
      <c r="A108" s="29" t="str">
        <f>IFERROR(MATCH(ROW()-3,Каталог!$AF$4:$AF$500,0),"")</f>
        <v/>
      </c>
      <c r="B108" s="29" t="str">
        <f t="shared" si="3"/>
        <v/>
      </c>
      <c r="C108" s="30" t="str">
        <f>IF($A108="","",INDEX(Каталог!$G$4:$G$500,$A108)&amp;"")</f>
        <v/>
      </c>
      <c r="D108" s="33"/>
      <c r="E108" s="31" t="str">
        <f>IF($A108="","",INDEX(Каталог!$H$4:$H$500,$A108)&amp;"")</f>
        <v/>
      </c>
      <c r="F108" s="32" t="str">
        <f>IF($A108="","",INDEX(Каталог!$B$4:$B$500,$A108)&amp;"")</f>
        <v/>
      </c>
      <c r="G108" s="32" t="str">
        <f>IF($A108="","",INDEX(Каталог!$M$4:$M$500,$A108)&amp;"")</f>
        <v/>
      </c>
      <c r="H108" s="32" t="str">
        <f>IF($A108="","",INDEX(Каталог!$P$4:$P$500,$A108))</f>
        <v/>
      </c>
      <c r="I108" s="5"/>
      <c r="J108" s="5"/>
    </row>
    <row r="109" spans="1:10" x14ac:dyDescent="0.3">
      <c r="A109" s="29" t="str">
        <f>IFERROR(MATCH(ROW()-3,Каталог!$AF$4:$AF$500,0),"")</f>
        <v/>
      </c>
      <c r="B109" s="29" t="str">
        <f t="shared" si="3"/>
        <v/>
      </c>
      <c r="C109" s="30" t="str">
        <f>IF($A109="","",INDEX(Каталог!$G$4:$G$500,$A109)&amp;"")</f>
        <v/>
      </c>
      <c r="D109" s="33"/>
      <c r="E109" s="31" t="str">
        <f>IF($A109="","",INDEX(Каталог!$H$4:$H$500,$A109)&amp;"")</f>
        <v/>
      </c>
      <c r="F109" s="32" t="str">
        <f>IF($A109="","",INDEX(Каталог!$B$4:$B$500,$A109)&amp;"")</f>
        <v/>
      </c>
      <c r="G109" s="32" t="str">
        <f>IF($A109="","",INDEX(Каталог!$M$4:$M$500,$A109)&amp;"")</f>
        <v/>
      </c>
      <c r="H109" s="32" t="str">
        <f>IF($A109="","",INDEX(Каталог!$P$4:$P$500,$A109))</f>
        <v/>
      </c>
      <c r="I109" s="5"/>
      <c r="J109" s="5"/>
    </row>
    <row r="110" spans="1:10" x14ac:dyDescent="0.3">
      <c r="A110" s="29" t="str">
        <f>IFERROR(MATCH(ROW()-3,Каталог!$AF$4:$AF$500,0),"")</f>
        <v/>
      </c>
      <c r="B110" s="29" t="str">
        <f t="shared" si="3"/>
        <v/>
      </c>
      <c r="C110" s="30" t="str">
        <f>IF($A110="","",INDEX(Каталог!$G$4:$G$500,$A110)&amp;"")</f>
        <v/>
      </c>
      <c r="D110" s="33"/>
      <c r="E110" s="31" t="str">
        <f>IF($A110="","",INDEX(Каталог!$H$4:$H$500,$A110)&amp;"")</f>
        <v/>
      </c>
      <c r="F110" s="32" t="str">
        <f>IF($A110="","",INDEX(Каталог!$B$4:$B$500,$A110)&amp;"")</f>
        <v/>
      </c>
      <c r="G110" s="32" t="str">
        <f>IF($A110="","",INDEX(Каталог!$M$4:$M$500,$A110)&amp;"")</f>
        <v/>
      </c>
      <c r="H110" s="32" t="str">
        <f>IF($A110="","",INDEX(Каталог!$P$4:$P$500,$A110))</f>
        <v/>
      </c>
      <c r="I110" s="5"/>
      <c r="J110" s="5"/>
    </row>
    <row r="111" spans="1:10" x14ac:dyDescent="0.3">
      <c r="A111" s="29" t="str">
        <f>IFERROR(MATCH(ROW()-3,Каталог!$AF$4:$AF$500,0),"")</f>
        <v/>
      </c>
      <c r="B111" s="29" t="str">
        <f t="shared" si="3"/>
        <v/>
      </c>
      <c r="C111" s="30" t="str">
        <f>IF($A111="","",INDEX(Каталог!$G$4:$G$500,$A111)&amp;"")</f>
        <v/>
      </c>
      <c r="D111" s="33"/>
      <c r="E111" s="31" t="str">
        <f>IF($A111="","",INDEX(Каталог!$H$4:$H$500,$A111)&amp;"")</f>
        <v/>
      </c>
      <c r="F111" s="32" t="str">
        <f>IF($A111="","",INDEX(Каталог!$B$4:$B$500,$A111)&amp;"")</f>
        <v/>
      </c>
      <c r="G111" s="32" t="str">
        <f>IF($A111="","",INDEX(Каталог!$M$4:$M$500,$A111)&amp;"")</f>
        <v/>
      </c>
      <c r="H111" s="32" t="str">
        <f>IF($A111="","",INDEX(Каталог!$P$4:$P$500,$A111))</f>
        <v/>
      </c>
      <c r="I111" s="5"/>
      <c r="J111" s="5"/>
    </row>
    <row r="112" spans="1:10" x14ac:dyDescent="0.3">
      <c r="A112" s="29" t="str">
        <f>IFERROR(MATCH(ROW()-3,Каталог!$AF$4:$AF$500,0),"")</f>
        <v/>
      </c>
      <c r="B112" s="29" t="str">
        <f t="shared" si="3"/>
        <v/>
      </c>
      <c r="C112" s="30" t="str">
        <f>IF($A112="","",INDEX(Каталог!$G$4:$G$500,$A112)&amp;"")</f>
        <v/>
      </c>
      <c r="D112" s="33"/>
      <c r="E112" s="31" t="str">
        <f>IF($A112="","",INDEX(Каталог!$H$4:$H$500,$A112)&amp;"")</f>
        <v/>
      </c>
      <c r="F112" s="32" t="str">
        <f>IF($A112="","",INDEX(Каталог!$B$4:$B$500,$A112)&amp;"")</f>
        <v/>
      </c>
      <c r="G112" s="32" t="str">
        <f>IF($A112="","",INDEX(Каталог!$M$4:$M$500,$A112)&amp;"")</f>
        <v/>
      </c>
      <c r="H112" s="32" t="str">
        <f>IF($A112="","",INDEX(Каталог!$P$4:$P$500,$A112))</f>
        <v/>
      </c>
      <c r="I112" s="5"/>
      <c r="J112" s="5"/>
    </row>
    <row r="113" spans="1:10" x14ac:dyDescent="0.3">
      <c r="A113" s="29" t="str">
        <f>IFERROR(MATCH(ROW()-3,Каталог!$AF$4:$AF$500,0),"")</f>
        <v/>
      </c>
      <c r="B113" s="29" t="str">
        <f t="shared" si="3"/>
        <v/>
      </c>
      <c r="C113" s="30" t="str">
        <f>IF($A113="","",INDEX(Каталог!$G$4:$G$500,$A113)&amp;"")</f>
        <v/>
      </c>
      <c r="D113" s="33"/>
      <c r="E113" s="31" t="str">
        <f>IF($A113="","",INDEX(Каталог!$H$4:$H$500,$A113)&amp;"")</f>
        <v/>
      </c>
      <c r="F113" s="32" t="str">
        <f>IF($A113="","",INDEX(Каталог!$B$4:$B$500,$A113)&amp;"")</f>
        <v/>
      </c>
      <c r="G113" s="32" t="str">
        <f>IF($A113="","",INDEX(Каталог!$M$4:$M$500,$A113)&amp;"")</f>
        <v/>
      </c>
      <c r="H113" s="32" t="str">
        <f>IF($A113="","",INDEX(Каталог!$P$4:$P$500,$A113))</f>
        <v/>
      </c>
      <c r="I113" s="5"/>
      <c r="J113" s="5"/>
    </row>
    <row r="114" spans="1:10" x14ac:dyDescent="0.3">
      <c r="A114" s="29" t="str">
        <f>IFERROR(MATCH(ROW()-3,Каталог!$AF$4:$AF$500,0),"")</f>
        <v/>
      </c>
      <c r="B114" s="29" t="str">
        <f t="shared" si="3"/>
        <v/>
      </c>
      <c r="C114" s="30" t="str">
        <f>IF($A114="","",INDEX(Каталог!$G$4:$G$500,$A114)&amp;"")</f>
        <v/>
      </c>
      <c r="D114" s="33"/>
      <c r="E114" s="31" t="str">
        <f>IF($A114="","",INDEX(Каталог!$H$4:$H$500,$A114)&amp;"")</f>
        <v/>
      </c>
      <c r="F114" s="32" t="str">
        <f>IF($A114="","",INDEX(Каталог!$B$4:$B$500,$A114)&amp;"")</f>
        <v/>
      </c>
      <c r="G114" s="32" t="str">
        <f>IF($A114="","",INDEX(Каталог!$M$4:$M$500,$A114)&amp;"")</f>
        <v/>
      </c>
      <c r="H114" s="32" t="str">
        <f>IF($A114="","",INDEX(Каталог!$P$4:$P$500,$A114))</f>
        <v/>
      </c>
      <c r="I114" s="5"/>
      <c r="J114" s="5"/>
    </row>
    <row r="115" spans="1:10" x14ac:dyDescent="0.3">
      <c r="A115" s="29" t="str">
        <f>IFERROR(MATCH(ROW()-3,Каталог!$AF$4:$AF$500,0),"")</f>
        <v/>
      </c>
      <c r="B115" s="29" t="str">
        <f t="shared" si="3"/>
        <v/>
      </c>
      <c r="C115" s="30" t="str">
        <f>IF($A115="","",INDEX(Каталог!$G$4:$G$500,$A115)&amp;"")</f>
        <v/>
      </c>
      <c r="D115" s="33"/>
      <c r="E115" s="31" t="str">
        <f>IF($A115="","",INDEX(Каталог!$H$4:$H$500,$A115)&amp;"")</f>
        <v/>
      </c>
      <c r="F115" s="32" t="str">
        <f>IF($A115="","",INDEX(Каталог!$B$4:$B$500,$A115)&amp;"")</f>
        <v/>
      </c>
      <c r="G115" s="32" t="str">
        <f>IF($A115="","",INDEX(Каталог!$M$4:$M$500,$A115)&amp;"")</f>
        <v/>
      </c>
      <c r="H115" s="32" t="str">
        <f>IF($A115="","",INDEX(Каталог!$P$4:$P$500,$A115))</f>
        <v/>
      </c>
      <c r="I115" s="5"/>
      <c r="J115" s="5"/>
    </row>
    <row r="116" spans="1:10" x14ac:dyDescent="0.3">
      <c r="A116" s="29" t="str">
        <f>IFERROR(MATCH(ROW()-3,Каталог!$AF$4:$AF$500,0),"")</f>
        <v/>
      </c>
      <c r="B116" s="29" t="str">
        <f t="shared" si="3"/>
        <v/>
      </c>
      <c r="C116" s="30" t="str">
        <f>IF($A116="","",INDEX(Каталог!$G$4:$G$500,$A116)&amp;"")</f>
        <v/>
      </c>
      <c r="D116" s="33"/>
      <c r="E116" s="31" t="str">
        <f>IF($A116="","",INDEX(Каталог!$H$4:$H$500,$A116)&amp;"")</f>
        <v/>
      </c>
      <c r="F116" s="32" t="str">
        <f>IF($A116="","",INDEX(Каталог!$B$4:$B$500,$A116)&amp;"")</f>
        <v/>
      </c>
      <c r="G116" s="32" t="str">
        <f>IF($A116="","",INDEX(Каталог!$M$4:$M$500,$A116)&amp;"")</f>
        <v/>
      </c>
      <c r="H116" s="32" t="str">
        <f>IF($A116="","",INDEX(Каталог!$P$4:$P$500,$A116))</f>
        <v/>
      </c>
      <c r="I116" s="5"/>
      <c r="J116" s="5"/>
    </row>
    <row r="117" spans="1:10" x14ac:dyDescent="0.3">
      <c r="A117" s="29" t="str">
        <f>IFERROR(MATCH(ROW()-3,Каталог!$AF$4:$AF$500,0),"")</f>
        <v/>
      </c>
      <c r="B117" s="29" t="str">
        <f t="shared" si="3"/>
        <v/>
      </c>
      <c r="C117" s="30" t="str">
        <f>IF($A117="","",INDEX(Каталог!$G$4:$G$500,$A117)&amp;"")</f>
        <v/>
      </c>
      <c r="D117" s="33"/>
      <c r="E117" s="31" t="str">
        <f>IF($A117="","",INDEX(Каталог!$H$4:$H$500,$A117)&amp;"")</f>
        <v/>
      </c>
      <c r="F117" s="32" t="str">
        <f>IF($A117="","",INDEX(Каталог!$B$4:$B$500,$A117)&amp;"")</f>
        <v/>
      </c>
      <c r="G117" s="32" t="str">
        <f>IF($A117="","",INDEX(Каталог!$M$4:$M$500,$A117)&amp;"")</f>
        <v/>
      </c>
      <c r="H117" s="32" t="str">
        <f>IF($A117="","",INDEX(Каталог!$P$4:$P$500,$A117))</f>
        <v/>
      </c>
      <c r="I117" s="5"/>
      <c r="J117" s="5"/>
    </row>
    <row r="118" spans="1:10" x14ac:dyDescent="0.3">
      <c r="A118" s="29" t="str">
        <f>IFERROR(MATCH(ROW()-3,Каталог!$AF$4:$AF$500,0),"")</f>
        <v/>
      </c>
      <c r="B118" s="29" t="str">
        <f t="shared" si="3"/>
        <v/>
      </c>
      <c r="C118" s="30" t="str">
        <f>IF($A118="","",INDEX(Каталог!$G$4:$G$500,$A118)&amp;"")</f>
        <v/>
      </c>
      <c r="D118" s="33"/>
      <c r="E118" s="31" t="str">
        <f>IF($A118="","",INDEX(Каталог!$H$4:$H$500,$A118)&amp;"")</f>
        <v/>
      </c>
      <c r="F118" s="32" t="str">
        <f>IF($A118="","",INDEX(Каталог!$B$4:$B$500,$A118)&amp;"")</f>
        <v/>
      </c>
      <c r="G118" s="32" t="str">
        <f>IF($A118="","",INDEX(Каталог!$M$4:$M$500,$A118)&amp;"")</f>
        <v/>
      </c>
      <c r="H118" s="32" t="str">
        <f>IF($A118="","",INDEX(Каталог!$P$4:$P$500,$A118))</f>
        <v/>
      </c>
      <c r="I118" s="5"/>
      <c r="J118" s="5"/>
    </row>
    <row r="119" spans="1:10" x14ac:dyDescent="0.3">
      <c r="A119" s="29" t="str">
        <f>IFERROR(MATCH(ROW()-3,Каталог!$AF$4:$AF$500,0),"")</f>
        <v/>
      </c>
      <c r="B119" s="29" t="str">
        <f t="shared" si="3"/>
        <v/>
      </c>
      <c r="C119" s="30" t="str">
        <f>IF($A119="","",INDEX(Каталог!$G$4:$G$500,$A119)&amp;"")</f>
        <v/>
      </c>
      <c r="D119" s="33"/>
      <c r="E119" s="31" t="str">
        <f>IF($A119="","",INDEX(Каталог!$H$4:$H$500,$A119)&amp;"")</f>
        <v/>
      </c>
      <c r="F119" s="32" t="str">
        <f>IF($A119="","",INDEX(Каталог!$B$4:$B$500,$A119)&amp;"")</f>
        <v/>
      </c>
      <c r="G119" s="32" t="str">
        <f>IF($A119="","",INDEX(Каталог!$M$4:$M$500,$A119)&amp;"")</f>
        <v/>
      </c>
      <c r="H119" s="32" t="str">
        <f>IF($A119="","",INDEX(Каталог!$P$4:$P$500,$A119))</f>
        <v/>
      </c>
      <c r="I119" s="5"/>
      <c r="J119" s="5"/>
    </row>
    <row r="120" spans="1:10" x14ac:dyDescent="0.3">
      <c r="A120" s="29" t="str">
        <f>IFERROR(MATCH(ROW()-3,Каталог!$AF$4:$AF$500,0),"")</f>
        <v/>
      </c>
      <c r="B120" s="29" t="str">
        <f t="shared" si="3"/>
        <v/>
      </c>
      <c r="C120" s="30" t="str">
        <f>IF($A120="","",INDEX(Каталог!$G$4:$G$500,$A120)&amp;"")</f>
        <v/>
      </c>
      <c r="D120" s="33"/>
      <c r="E120" s="31" t="str">
        <f>IF($A120="","",INDEX(Каталог!$H$4:$H$500,$A120)&amp;"")</f>
        <v/>
      </c>
      <c r="F120" s="32" t="str">
        <f>IF($A120="","",INDEX(Каталог!$B$4:$B$500,$A120)&amp;"")</f>
        <v/>
      </c>
      <c r="G120" s="32" t="str">
        <f>IF($A120="","",INDEX(Каталог!$M$4:$M$500,$A120)&amp;"")</f>
        <v/>
      </c>
      <c r="H120" s="32" t="str">
        <f>IF($A120="","",INDEX(Каталог!$P$4:$P$500,$A120))</f>
        <v/>
      </c>
      <c r="I120" s="5"/>
      <c r="J120" s="5"/>
    </row>
    <row r="121" spans="1:10" x14ac:dyDescent="0.3">
      <c r="A121" s="29" t="str">
        <f>IFERROR(MATCH(ROW()-3,Каталог!$AF$4:$AF$500,0),"")</f>
        <v/>
      </c>
      <c r="B121" s="29" t="str">
        <f t="shared" si="3"/>
        <v/>
      </c>
      <c r="C121" s="30" t="str">
        <f>IF($A121="","",INDEX(Каталог!$G$4:$G$500,$A121)&amp;"")</f>
        <v/>
      </c>
      <c r="D121" s="33"/>
      <c r="E121" s="31" t="str">
        <f>IF($A121="","",INDEX(Каталог!$H$4:$H$500,$A121)&amp;"")</f>
        <v/>
      </c>
      <c r="F121" s="32" t="str">
        <f>IF($A121="","",INDEX(Каталог!$B$4:$B$500,$A121)&amp;"")</f>
        <v/>
      </c>
      <c r="G121" s="32" t="str">
        <f>IF($A121="","",INDEX(Каталог!$M$4:$M$500,$A121)&amp;"")</f>
        <v/>
      </c>
      <c r="H121" s="32" t="str">
        <f>IF($A121="","",INDEX(Каталог!$P$4:$P$500,$A121))</f>
        <v/>
      </c>
      <c r="I121" s="5"/>
      <c r="J121" s="5"/>
    </row>
    <row r="122" spans="1:10" x14ac:dyDescent="0.3">
      <c r="A122" s="29" t="str">
        <f>IFERROR(MATCH(ROW()-3,Каталог!$AF$4:$AF$500,0),"")</f>
        <v/>
      </c>
      <c r="B122" s="29" t="str">
        <f t="shared" si="3"/>
        <v/>
      </c>
      <c r="C122" s="30" t="str">
        <f>IF($A122="","",INDEX(Каталог!$G$4:$G$500,$A122)&amp;"")</f>
        <v/>
      </c>
      <c r="D122" s="33"/>
      <c r="E122" s="31" t="str">
        <f>IF($A122="","",INDEX(Каталог!$H$4:$H$500,$A122)&amp;"")</f>
        <v/>
      </c>
      <c r="F122" s="32" t="str">
        <f>IF($A122="","",INDEX(Каталог!$B$4:$B$500,$A122)&amp;"")</f>
        <v/>
      </c>
      <c r="G122" s="32" t="str">
        <f>IF($A122="","",INDEX(Каталог!$M$4:$M$500,$A122)&amp;"")</f>
        <v/>
      </c>
      <c r="H122" s="32" t="str">
        <f>IF($A122="","",INDEX(Каталог!$P$4:$P$500,$A122))</f>
        <v/>
      </c>
      <c r="I122" s="5"/>
      <c r="J122" s="5"/>
    </row>
    <row r="123" spans="1:10" x14ac:dyDescent="0.3">
      <c r="A123" s="29" t="str">
        <f>IFERROR(MATCH(ROW()-3,Каталог!$AF$4:$AF$500,0),"")</f>
        <v/>
      </c>
      <c r="B123" s="29" t="str">
        <f t="shared" si="3"/>
        <v/>
      </c>
      <c r="C123" s="30" t="str">
        <f>IF($A123="","",INDEX(Каталог!$G$4:$G$500,$A123)&amp;"")</f>
        <v/>
      </c>
      <c r="D123" s="33"/>
      <c r="E123" s="31" t="str">
        <f>IF($A123="","",INDEX(Каталог!$H$4:$H$500,$A123)&amp;"")</f>
        <v/>
      </c>
      <c r="F123" s="32" t="str">
        <f>IF($A123="","",INDEX(Каталог!$B$4:$B$500,$A123)&amp;"")</f>
        <v/>
      </c>
      <c r="G123" s="32" t="str">
        <f>IF($A123="","",INDEX(Каталог!$M$4:$M$500,$A123)&amp;"")</f>
        <v/>
      </c>
      <c r="H123" s="32" t="str">
        <f>IF($A123="","",INDEX(Каталог!$P$4:$P$500,$A123))</f>
        <v/>
      </c>
      <c r="I123" s="5"/>
      <c r="J123" s="5"/>
    </row>
    <row r="124" spans="1:10" x14ac:dyDescent="0.3">
      <c r="A124" s="29" t="str">
        <f>IFERROR(MATCH(ROW()-3,Каталог!$AF$4:$AF$500,0),"")</f>
        <v/>
      </c>
      <c r="B124" s="29" t="str">
        <f t="shared" si="3"/>
        <v/>
      </c>
      <c r="C124" s="30" t="str">
        <f>IF($A124="","",INDEX(Каталог!$G$4:$G$500,$A124)&amp;"")</f>
        <v/>
      </c>
      <c r="D124" s="33"/>
      <c r="E124" s="31" t="str">
        <f>IF($A124="","",INDEX(Каталог!$H$4:$H$500,$A124)&amp;"")</f>
        <v/>
      </c>
      <c r="F124" s="32" t="str">
        <f>IF($A124="","",INDEX(Каталог!$B$4:$B$500,$A124)&amp;"")</f>
        <v/>
      </c>
      <c r="G124" s="32" t="str">
        <f>IF($A124="","",INDEX(Каталог!$M$4:$M$500,$A124)&amp;"")</f>
        <v/>
      </c>
      <c r="H124" s="32" t="str">
        <f>IF($A124="","",INDEX(Каталог!$P$4:$P$500,$A124))</f>
        <v/>
      </c>
      <c r="I124" s="5"/>
      <c r="J124" s="5"/>
    </row>
    <row r="125" spans="1:10" x14ac:dyDescent="0.3">
      <c r="A125" s="29" t="str">
        <f>IFERROR(MATCH(ROW()-3,Каталог!$AF$4:$AF$500,0),"")</f>
        <v/>
      </c>
      <c r="B125" s="29" t="str">
        <f t="shared" si="3"/>
        <v/>
      </c>
      <c r="C125" s="30" t="str">
        <f>IF($A125="","",INDEX(Каталог!$G$4:$G$500,$A125)&amp;"")</f>
        <v/>
      </c>
      <c r="D125" s="33"/>
      <c r="E125" s="31" t="str">
        <f>IF($A125="","",INDEX(Каталог!$H$4:$H$500,$A125)&amp;"")</f>
        <v/>
      </c>
      <c r="F125" s="32" t="str">
        <f>IF($A125="","",INDEX(Каталог!$B$4:$B$500,$A125)&amp;"")</f>
        <v/>
      </c>
      <c r="G125" s="32" t="str">
        <f>IF($A125="","",INDEX(Каталог!$M$4:$M$500,$A125)&amp;"")</f>
        <v/>
      </c>
      <c r="H125" s="32" t="str">
        <f>IF($A125="","",INDEX(Каталог!$P$4:$P$500,$A125))</f>
        <v/>
      </c>
      <c r="I125" s="5"/>
      <c r="J125" s="5"/>
    </row>
    <row r="126" spans="1:10" x14ac:dyDescent="0.3">
      <c r="A126" s="29" t="str">
        <f>IFERROR(MATCH(ROW()-3,Каталог!$AF$4:$AF$500,0),"")</f>
        <v/>
      </c>
      <c r="B126" s="29" t="str">
        <f t="shared" si="3"/>
        <v/>
      </c>
      <c r="C126" s="30" t="str">
        <f>IF($A126="","",INDEX(Каталог!$G$4:$G$500,$A126)&amp;"")</f>
        <v/>
      </c>
      <c r="D126" s="33"/>
      <c r="E126" s="31" t="str">
        <f>IF($A126="","",INDEX(Каталог!$H$4:$H$500,$A126)&amp;"")</f>
        <v/>
      </c>
      <c r="F126" s="32" t="str">
        <f>IF($A126="","",INDEX(Каталог!$B$4:$B$500,$A126)&amp;"")</f>
        <v/>
      </c>
      <c r="G126" s="32" t="str">
        <f>IF($A126="","",INDEX(Каталог!$M$4:$M$500,$A126)&amp;"")</f>
        <v/>
      </c>
      <c r="H126" s="32" t="str">
        <f>IF($A126="","",INDEX(Каталог!$P$4:$P$500,$A126))</f>
        <v/>
      </c>
      <c r="I126" s="5"/>
      <c r="J126" s="5"/>
    </row>
    <row r="127" spans="1:10" x14ac:dyDescent="0.3">
      <c r="A127" s="29" t="str">
        <f>IFERROR(MATCH(ROW()-3,Каталог!$AF$4:$AF$500,0),"")</f>
        <v/>
      </c>
      <c r="B127" s="29" t="str">
        <f t="shared" si="3"/>
        <v/>
      </c>
      <c r="C127" s="30" t="str">
        <f>IF($A127="","",INDEX(Каталог!$G$4:$G$500,$A127)&amp;"")</f>
        <v/>
      </c>
      <c r="D127" s="33"/>
      <c r="E127" s="31" t="str">
        <f>IF($A127="","",INDEX(Каталог!$H$4:$H$500,$A127)&amp;"")</f>
        <v/>
      </c>
      <c r="F127" s="32" t="str">
        <f>IF($A127="","",INDEX(Каталог!$B$4:$B$500,$A127)&amp;"")</f>
        <v/>
      </c>
      <c r="G127" s="32" t="str">
        <f>IF($A127="","",INDEX(Каталог!$M$4:$M$500,$A127)&amp;"")</f>
        <v/>
      </c>
      <c r="H127" s="32" t="str">
        <f>IF($A127="","",INDEX(Каталог!$P$4:$P$500,$A127))</f>
        <v/>
      </c>
      <c r="I127" s="5"/>
      <c r="J127" s="5"/>
    </row>
    <row r="128" spans="1:10" x14ac:dyDescent="0.3">
      <c r="A128" s="29" t="str">
        <f>IFERROR(MATCH(ROW()-3,Каталог!$AF$4:$AF$500,0),"")</f>
        <v/>
      </c>
      <c r="B128" s="29" t="str">
        <f t="shared" si="3"/>
        <v/>
      </c>
      <c r="C128" s="30" t="str">
        <f>IF($A128="","",INDEX(Каталог!$G$4:$G$500,$A128)&amp;"")</f>
        <v/>
      </c>
      <c r="D128" s="33"/>
      <c r="E128" s="31" t="str">
        <f>IF($A128="","",INDEX(Каталог!$H$4:$H$500,$A128)&amp;"")</f>
        <v/>
      </c>
      <c r="F128" s="32" t="str">
        <f>IF($A128="","",INDEX(Каталог!$B$4:$B$500,$A128)&amp;"")</f>
        <v/>
      </c>
      <c r="G128" s="32" t="str">
        <f>IF($A128="","",INDEX(Каталог!$M$4:$M$500,$A128)&amp;"")</f>
        <v/>
      </c>
      <c r="H128" s="32" t="str">
        <f>IF($A128="","",INDEX(Каталог!$P$4:$P$500,$A128))</f>
        <v/>
      </c>
      <c r="I128" s="5"/>
      <c r="J128" s="5"/>
    </row>
    <row r="129" spans="1:10" x14ac:dyDescent="0.3">
      <c r="A129" s="29" t="str">
        <f>IFERROR(MATCH(ROW()-3,Каталог!$AF$4:$AF$500,0),"")</f>
        <v/>
      </c>
      <c r="B129" s="29" t="str">
        <f t="shared" si="3"/>
        <v/>
      </c>
      <c r="C129" s="30" t="str">
        <f>IF($A129="","",INDEX(Каталог!$G$4:$G$500,$A129)&amp;"")</f>
        <v/>
      </c>
      <c r="D129" s="33"/>
      <c r="E129" s="31" t="str">
        <f>IF($A129="","",INDEX(Каталог!$H$4:$H$500,$A129)&amp;"")</f>
        <v/>
      </c>
      <c r="F129" s="32" t="str">
        <f>IF($A129="","",INDEX(Каталог!$B$4:$B$500,$A129)&amp;"")</f>
        <v/>
      </c>
      <c r="G129" s="32" t="str">
        <f>IF($A129="","",INDEX(Каталог!$M$4:$M$500,$A129)&amp;"")</f>
        <v/>
      </c>
      <c r="H129" s="32" t="str">
        <f>IF($A129="","",INDEX(Каталог!$P$4:$P$500,$A129))</f>
        <v/>
      </c>
      <c r="I129" s="5"/>
      <c r="J129" s="5"/>
    </row>
    <row r="130" spans="1:10" x14ac:dyDescent="0.3">
      <c r="A130" s="29" t="str">
        <f>IFERROR(MATCH(ROW()-3,Каталог!$AF$4:$AF$500,0),"")</f>
        <v/>
      </c>
      <c r="B130" s="29" t="str">
        <f t="shared" si="3"/>
        <v/>
      </c>
      <c r="C130" s="30" t="str">
        <f>IF($A130="","",INDEX(Каталог!$G$4:$G$500,$A130)&amp;"")</f>
        <v/>
      </c>
      <c r="D130" s="33"/>
      <c r="E130" s="31" t="str">
        <f>IF($A130="","",INDEX(Каталог!$H$4:$H$500,$A130)&amp;"")</f>
        <v/>
      </c>
      <c r="F130" s="32" t="str">
        <f>IF($A130="","",INDEX(Каталог!$B$4:$B$500,$A130)&amp;"")</f>
        <v/>
      </c>
      <c r="G130" s="32" t="str">
        <f>IF($A130="","",INDEX(Каталог!$M$4:$M$500,$A130)&amp;"")</f>
        <v/>
      </c>
      <c r="H130" s="32" t="str">
        <f>IF($A130="","",INDEX(Каталог!$P$4:$P$500,$A130))</f>
        <v/>
      </c>
      <c r="I130" s="5"/>
      <c r="J130" s="5"/>
    </row>
    <row r="131" spans="1:10" x14ac:dyDescent="0.3">
      <c r="A131" s="29" t="str">
        <f>IFERROR(MATCH(ROW()-3,Каталог!$AF$4:$AF$500,0),"")</f>
        <v/>
      </c>
      <c r="B131" s="29" t="str">
        <f t="shared" si="3"/>
        <v/>
      </c>
      <c r="C131" s="30" t="str">
        <f>IF($A131="","",INDEX(Каталог!$G$4:$G$500,$A131)&amp;"")</f>
        <v/>
      </c>
      <c r="D131" s="33"/>
      <c r="E131" s="31" t="str">
        <f>IF($A131="","",INDEX(Каталог!$H$4:$H$500,$A131)&amp;"")</f>
        <v/>
      </c>
      <c r="F131" s="32" t="str">
        <f>IF($A131="","",INDEX(Каталог!$B$4:$B$500,$A131)&amp;"")</f>
        <v/>
      </c>
      <c r="G131" s="32" t="str">
        <f>IF($A131="","",INDEX(Каталог!$M$4:$M$500,$A131)&amp;"")</f>
        <v/>
      </c>
      <c r="H131" s="32" t="str">
        <f>IF($A131="","",INDEX(Каталог!$P$4:$P$500,$A131))</f>
        <v/>
      </c>
      <c r="I131" s="5"/>
      <c r="J131" s="5"/>
    </row>
    <row r="132" spans="1:10" x14ac:dyDescent="0.3">
      <c r="A132" s="29" t="str">
        <f>IFERROR(MATCH(ROW()-3,Каталог!$AF$4:$AF$500,0),"")</f>
        <v/>
      </c>
      <c r="B132" s="29" t="str">
        <f t="shared" ref="B132:B160" si="4">IF($A132="","",$B$3&amp;"."&amp;(ROW()-3))</f>
        <v/>
      </c>
      <c r="C132" s="30" t="str">
        <f>IF($A132="","",INDEX(Каталог!$G$4:$G$500,$A132)&amp;"")</f>
        <v/>
      </c>
      <c r="D132" s="33"/>
      <c r="E132" s="31" t="str">
        <f>IF($A132="","",INDEX(Каталог!$H$4:$H$500,$A132)&amp;"")</f>
        <v/>
      </c>
      <c r="F132" s="32" t="str">
        <f>IF($A132="","",INDEX(Каталог!$B$4:$B$500,$A132)&amp;"")</f>
        <v/>
      </c>
      <c r="G132" s="32" t="str">
        <f>IF($A132="","",INDEX(Каталог!$M$4:$M$500,$A132)&amp;"")</f>
        <v/>
      </c>
      <c r="H132" s="32" t="str">
        <f>IF($A132="","",INDEX(Каталог!$P$4:$P$500,$A132))</f>
        <v/>
      </c>
      <c r="I132" s="5"/>
      <c r="J132" s="5"/>
    </row>
    <row r="133" spans="1:10" x14ac:dyDescent="0.3">
      <c r="A133" s="29" t="str">
        <f>IFERROR(MATCH(ROW()-3,Каталог!$AF$4:$AF$500,0),"")</f>
        <v/>
      </c>
      <c r="B133" s="29" t="str">
        <f t="shared" si="4"/>
        <v/>
      </c>
      <c r="C133" s="30" t="str">
        <f>IF($A133="","",INDEX(Каталог!$G$4:$G$500,$A133)&amp;"")</f>
        <v/>
      </c>
      <c r="D133" s="33"/>
      <c r="E133" s="31" t="str">
        <f>IF($A133="","",INDEX(Каталог!$H$4:$H$500,$A133)&amp;"")</f>
        <v/>
      </c>
      <c r="F133" s="32" t="str">
        <f>IF($A133="","",INDEX(Каталог!$B$4:$B$500,$A133)&amp;"")</f>
        <v/>
      </c>
      <c r="G133" s="32" t="str">
        <f>IF($A133="","",INDEX(Каталог!$M$4:$M$500,$A133)&amp;"")</f>
        <v/>
      </c>
      <c r="H133" s="32" t="str">
        <f>IF($A133="","",INDEX(Каталог!$P$4:$P$500,$A133))</f>
        <v/>
      </c>
      <c r="I133" s="5"/>
      <c r="J133" s="5"/>
    </row>
    <row r="134" spans="1:10" x14ac:dyDescent="0.3">
      <c r="A134" s="29" t="str">
        <f>IFERROR(MATCH(ROW()-3,Каталог!$AF$4:$AF$500,0),"")</f>
        <v/>
      </c>
      <c r="B134" s="29" t="str">
        <f t="shared" si="4"/>
        <v/>
      </c>
      <c r="C134" s="30" t="str">
        <f>IF($A134="","",INDEX(Каталог!$G$4:$G$500,$A134)&amp;"")</f>
        <v/>
      </c>
      <c r="D134" s="33"/>
      <c r="E134" s="31" t="str">
        <f>IF($A134="","",INDEX(Каталог!$H$4:$H$500,$A134)&amp;"")</f>
        <v/>
      </c>
      <c r="F134" s="32" t="str">
        <f>IF($A134="","",INDEX(Каталог!$B$4:$B$500,$A134)&amp;"")</f>
        <v/>
      </c>
      <c r="G134" s="32" t="str">
        <f>IF($A134="","",INDEX(Каталог!$M$4:$M$500,$A134)&amp;"")</f>
        <v/>
      </c>
      <c r="H134" s="32" t="str">
        <f>IF($A134="","",INDEX(Каталог!$P$4:$P$500,$A134))</f>
        <v/>
      </c>
      <c r="I134" s="5"/>
      <c r="J134" s="5"/>
    </row>
    <row r="135" spans="1:10" x14ac:dyDescent="0.3">
      <c r="A135" s="29" t="str">
        <f>IFERROR(MATCH(ROW()-3,Каталог!$AF$4:$AF$500,0),"")</f>
        <v/>
      </c>
      <c r="B135" s="29" t="str">
        <f t="shared" si="4"/>
        <v/>
      </c>
      <c r="C135" s="30" t="str">
        <f>IF($A135="","",INDEX(Каталог!$G$4:$G$500,$A135)&amp;"")</f>
        <v/>
      </c>
      <c r="D135" s="33"/>
      <c r="E135" s="31" t="str">
        <f>IF($A135="","",INDEX(Каталог!$H$4:$H$500,$A135)&amp;"")</f>
        <v/>
      </c>
      <c r="F135" s="32" t="str">
        <f>IF($A135="","",INDEX(Каталог!$B$4:$B$500,$A135)&amp;"")</f>
        <v/>
      </c>
      <c r="G135" s="32" t="str">
        <f>IF($A135="","",INDEX(Каталог!$M$4:$M$500,$A135)&amp;"")</f>
        <v/>
      </c>
      <c r="H135" s="32" t="str">
        <f>IF($A135="","",INDEX(Каталог!$P$4:$P$500,$A135))</f>
        <v/>
      </c>
      <c r="I135" s="5"/>
      <c r="J135" s="5"/>
    </row>
    <row r="136" spans="1:10" x14ac:dyDescent="0.3">
      <c r="A136" s="29" t="str">
        <f>IFERROR(MATCH(ROW()-3,Каталог!$AF$4:$AF$500,0),"")</f>
        <v/>
      </c>
      <c r="B136" s="29" t="str">
        <f t="shared" si="4"/>
        <v/>
      </c>
      <c r="C136" s="30" t="str">
        <f>IF($A136="","",INDEX(Каталог!$G$4:$G$500,$A136)&amp;"")</f>
        <v/>
      </c>
      <c r="D136" s="33"/>
      <c r="E136" s="31" t="str">
        <f>IF($A136="","",INDEX(Каталог!$H$4:$H$500,$A136)&amp;"")</f>
        <v/>
      </c>
      <c r="F136" s="32" t="str">
        <f>IF($A136="","",INDEX(Каталог!$B$4:$B$500,$A136)&amp;"")</f>
        <v/>
      </c>
      <c r="G136" s="32" t="str">
        <f>IF($A136="","",INDEX(Каталог!$M$4:$M$500,$A136)&amp;"")</f>
        <v/>
      </c>
      <c r="H136" s="32" t="str">
        <f>IF($A136="","",INDEX(Каталог!$P$4:$P$500,$A136))</f>
        <v/>
      </c>
      <c r="I136" s="5"/>
      <c r="J136" s="5"/>
    </row>
    <row r="137" spans="1:10" x14ac:dyDescent="0.3">
      <c r="A137" s="29" t="str">
        <f>IFERROR(MATCH(ROW()-3,Каталог!$AF$4:$AF$500,0),"")</f>
        <v/>
      </c>
      <c r="B137" s="29" t="str">
        <f t="shared" si="4"/>
        <v/>
      </c>
      <c r="C137" s="30" t="str">
        <f>IF($A137="","",INDEX(Каталог!$G$4:$G$500,$A137)&amp;"")</f>
        <v/>
      </c>
      <c r="D137" s="33"/>
      <c r="E137" s="31" t="str">
        <f>IF($A137="","",INDEX(Каталог!$H$4:$H$500,$A137)&amp;"")</f>
        <v/>
      </c>
      <c r="F137" s="32" t="str">
        <f>IF($A137="","",INDEX(Каталог!$B$4:$B$500,$A137)&amp;"")</f>
        <v/>
      </c>
      <c r="G137" s="32" t="str">
        <f>IF($A137="","",INDEX(Каталог!$M$4:$M$500,$A137)&amp;"")</f>
        <v/>
      </c>
      <c r="H137" s="32" t="str">
        <f>IF($A137="","",INDEX(Каталог!$P$4:$P$500,$A137))</f>
        <v/>
      </c>
      <c r="I137" s="5"/>
      <c r="J137" s="5"/>
    </row>
    <row r="138" spans="1:10" x14ac:dyDescent="0.3">
      <c r="A138" s="29" t="str">
        <f>IFERROR(MATCH(ROW()-3,Каталог!$AF$4:$AF$500,0),"")</f>
        <v/>
      </c>
      <c r="B138" s="29" t="str">
        <f t="shared" si="4"/>
        <v/>
      </c>
      <c r="C138" s="30" t="str">
        <f>IF($A138="","",INDEX(Каталог!$G$4:$G$500,$A138)&amp;"")</f>
        <v/>
      </c>
      <c r="D138" s="33"/>
      <c r="E138" s="31" t="str">
        <f>IF($A138="","",INDEX(Каталог!$H$4:$H$500,$A138)&amp;"")</f>
        <v/>
      </c>
      <c r="F138" s="32" t="str">
        <f>IF($A138="","",INDEX(Каталог!$B$4:$B$500,$A138)&amp;"")</f>
        <v/>
      </c>
      <c r="G138" s="32" t="str">
        <f>IF($A138="","",INDEX(Каталог!$M$4:$M$500,$A138)&amp;"")</f>
        <v/>
      </c>
      <c r="H138" s="32" t="str">
        <f>IF($A138="","",INDEX(Каталог!$P$4:$P$500,$A138))</f>
        <v/>
      </c>
      <c r="I138" s="5"/>
      <c r="J138" s="5"/>
    </row>
    <row r="139" spans="1:10" x14ac:dyDescent="0.3">
      <c r="A139" s="29" t="str">
        <f>IFERROR(MATCH(ROW()-3,Каталог!$AF$4:$AF$500,0),"")</f>
        <v/>
      </c>
      <c r="B139" s="29" t="str">
        <f t="shared" si="4"/>
        <v/>
      </c>
      <c r="C139" s="30" t="str">
        <f>IF($A139="","",INDEX(Каталог!$G$4:$G$500,$A139)&amp;"")</f>
        <v/>
      </c>
      <c r="D139" s="33"/>
      <c r="E139" s="31" t="str">
        <f>IF($A139="","",INDEX(Каталог!$H$4:$H$500,$A139)&amp;"")</f>
        <v/>
      </c>
      <c r="F139" s="32" t="str">
        <f>IF($A139="","",INDEX(Каталог!$B$4:$B$500,$A139)&amp;"")</f>
        <v/>
      </c>
      <c r="G139" s="32" t="str">
        <f>IF($A139="","",INDEX(Каталог!$M$4:$M$500,$A139)&amp;"")</f>
        <v/>
      </c>
      <c r="H139" s="32" t="str">
        <f>IF($A139="","",INDEX(Каталог!$P$4:$P$500,$A139))</f>
        <v/>
      </c>
      <c r="I139" s="5"/>
      <c r="J139" s="5"/>
    </row>
    <row r="140" spans="1:10" x14ac:dyDescent="0.3">
      <c r="A140" s="29" t="str">
        <f>IFERROR(MATCH(ROW()-3,Каталог!$AF$4:$AF$500,0),"")</f>
        <v/>
      </c>
      <c r="B140" s="29" t="str">
        <f t="shared" si="4"/>
        <v/>
      </c>
      <c r="C140" s="30" t="str">
        <f>IF($A140="","",INDEX(Каталог!$G$4:$G$500,$A140)&amp;"")</f>
        <v/>
      </c>
      <c r="D140" s="33"/>
      <c r="E140" s="31" t="str">
        <f>IF($A140="","",INDEX(Каталог!$H$4:$H$500,$A140)&amp;"")</f>
        <v/>
      </c>
      <c r="F140" s="32" t="str">
        <f>IF($A140="","",INDEX(Каталог!$B$4:$B$500,$A140)&amp;"")</f>
        <v/>
      </c>
      <c r="G140" s="32" t="str">
        <f>IF($A140="","",INDEX(Каталог!$M$4:$M$500,$A140)&amp;"")</f>
        <v/>
      </c>
      <c r="H140" s="32" t="str">
        <f>IF($A140="","",INDEX(Каталог!$P$4:$P$500,$A140))</f>
        <v/>
      </c>
      <c r="I140" s="5"/>
      <c r="J140" s="5"/>
    </row>
    <row r="141" spans="1:10" x14ac:dyDescent="0.3">
      <c r="A141" s="29" t="str">
        <f>IFERROR(MATCH(ROW()-3,Каталог!$AF$4:$AF$500,0),"")</f>
        <v/>
      </c>
      <c r="B141" s="29" t="str">
        <f t="shared" si="4"/>
        <v/>
      </c>
      <c r="C141" s="30" t="str">
        <f>IF($A141="","",INDEX(Каталог!$G$4:$G$500,$A141)&amp;"")</f>
        <v/>
      </c>
      <c r="D141" s="33"/>
      <c r="E141" s="31" t="str">
        <f>IF($A141="","",INDEX(Каталог!$H$4:$H$500,$A141)&amp;"")</f>
        <v/>
      </c>
      <c r="F141" s="32" t="str">
        <f>IF($A141="","",INDEX(Каталог!$B$4:$B$500,$A141)&amp;"")</f>
        <v/>
      </c>
      <c r="G141" s="32" t="str">
        <f>IF($A141="","",INDEX(Каталог!$M$4:$M$500,$A141)&amp;"")</f>
        <v/>
      </c>
      <c r="H141" s="32" t="str">
        <f>IF($A141="","",INDEX(Каталог!$P$4:$P$500,$A141))</f>
        <v/>
      </c>
      <c r="I141" s="5"/>
      <c r="J141" s="5"/>
    </row>
    <row r="142" spans="1:10" x14ac:dyDescent="0.3">
      <c r="A142" s="29" t="str">
        <f>IFERROR(MATCH(ROW()-3,Каталог!$AF$4:$AF$500,0),"")</f>
        <v/>
      </c>
      <c r="B142" s="29" t="str">
        <f t="shared" si="4"/>
        <v/>
      </c>
      <c r="C142" s="30" t="str">
        <f>IF($A142="","",INDEX(Каталог!$G$4:$G$500,$A142)&amp;"")</f>
        <v/>
      </c>
      <c r="D142" s="33"/>
      <c r="E142" s="31" t="str">
        <f>IF($A142="","",INDEX(Каталог!$H$4:$H$500,$A142)&amp;"")</f>
        <v/>
      </c>
      <c r="F142" s="32" t="str">
        <f>IF($A142="","",INDEX(Каталог!$B$4:$B$500,$A142)&amp;"")</f>
        <v/>
      </c>
      <c r="G142" s="32" t="str">
        <f>IF($A142="","",INDEX(Каталог!$M$4:$M$500,$A142)&amp;"")</f>
        <v/>
      </c>
      <c r="H142" s="32" t="str">
        <f>IF($A142="","",INDEX(Каталог!$P$4:$P$500,$A142))</f>
        <v/>
      </c>
      <c r="I142" s="5"/>
      <c r="J142" s="5"/>
    </row>
    <row r="143" spans="1:10" x14ac:dyDescent="0.3">
      <c r="A143" s="29" t="str">
        <f>IFERROR(MATCH(ROW()-3,Каталог!$AF$4:$AF$500,0),"")</f>
        <v/>
      </c>
      <c r="B143" s="29" t="str">
        <f t="shared" si="4"/>
        <v/>
      </c>
      <c r="C143" s="30" t="str">
        <f>IF($A143="","",INDEX(Каталог!$G$4:$G$500,$A143)&amp;"")</f>
        <v/>
      </c>
      <c r="D143" s="33"/>
      <c r="E143" s="31" t="str">
        <f>IF($A143="","",INDEX(Каталог!$H$4:$H$500,$A143)&amp;"")</f>
        <v/>
      </c>
      <c r="F143" s="32" t="str">
        <f>IF($A143="","",INDEX(Каталог!$B$4:$B$500,$A143)&amp;"")</f>
        <v/>
      </c>
      <c r="G143" s="32" t="str">
        <f>IF($A143="","",INDEX(Каталог!$M$4:$M$500,$A143)&amp;"")</f>
        <v/>
      </c>
      <c r="H143" s="32" t="str">
        <f>IF($A143="","",INDEX(Каталог!$P$4:$P$500,$A143))</f>
        <v/>
      </c>
      <c r="I143" s="5"/>
      <c r="J143" s="5"/>
    </row>
    <row r="144" spans="1:10" x14ac:dyDescent="0.3">
      <c r="A144" s="29" t="str">
        <f>IFERROR(MATCH(ROW()-3,Каталог!$AF$4:$AF$500,0),"")</f>
        <v/>
      </c>
      <c r="B144" s="29" t="str">
        <f t="shared" si="4"/>
        <v/>
      </c>
      <c r="C144" s="30" t="str">
        <f>IF($A144="","",INDEX(Каталог!$G$4:$G$500,$A144)&amp;"")</f>
        <v/>
      </c>
      <c r="D144" s="33"/>
      <c r="E144" s="31" t="str">
        <f>IF($A144="","",INDEX(Каталог!$H$4:$H$500,$A144)&amp;"")</f>
        <v/>
      </c>
      <c r="F144" s="32" t="str">
        <f>IF($A144="","",INDEX(Каталог!$B$4:$B$500,$A144)&amp;"")</f>
        <v/>
      </c>
      <c r="G144" s="32" t="str">
        <f>IF($A144="","",INDEX(Каталог!$M$4:$M$500,$A144)&amp;"")</f>
        <v/>
      </c>
      <c r="H144" s="32" t="str">
        <f>IF($A144="","",INDEX(Каталог!$P$4:$P$500,$A144))</f>
        <v/>
      </c>
      <c r="I144" s="5"/>
      <c r="J144" s="5"/>
    </row>
    <row r="145" spans="1:10" x14ac:dyDescent="0.3">
      <c r="A145" s="29" t="str">
        <f>IFERROR(MATCH(ROW()-3,Каталог!$AF$4:$AF$500,0),"")</f>
        <v/>
      </c>
      <c r="B145" s="29" t="str">
        <f t="shared" si="4"/>
        <v/>
      </c>
      <c r="C145" s="30" t="str">
        <f>IF($A145="","",INDEX(Каталог!$G$4:$G$500,$A145)&amp;"")</f>
        <v/>
      </c>
      <c r="D145" s="33"/>
      <c r="E145" s="31" t="str">
        <f>IF($A145="","",INDEX(Каталог!$H$4:$H$500,$A145)&amp;"")</f>
        <v/>
      </c>
      <c r="F145" s="32" t="str">
        <f>IF($A145="","",INDEX(Каталог!$B$4:$B$500,$A145)&amp;"")</f>
        <v/>
      </c>
      <c r="G145" s="32" t="str">
        <f>IF($A145="","",INDEX(Каталог!$M$4:$M$500,$A145)&amp;"")</f>
        <v/>
      </c>
      <c r="H145" s="32" t="str">
        <f>IF($A145="","",INDEX(Каталог!$P$4:$P$500,$A145))</f>
        <v/>
      </c>
      <c r="I145" s="5"/>
      <c r="J145" s="5"/>
    </row>
    <row r="146" spans="1:10" x14ac:dyDescent="0.3">
      <c r="A146" s="29" t="str">
        <f>IFERROR(MATCH(ROW()-3,Каталог!$AF$4:$AF$500,0),"")</f>
        <v/>
      </c>
      <c r="B146" s="29" t="str">
        <f t="shared" si="4"/>
        <v/>
      </c>
      <c r="C146" s="30" t="str">
        <f>IF($A146="","",INDEX(Каталог!$G$4:$G$500,$A146)&amp;"")</f>
        <v/>
      </c>
      <c r="D146" s="33"/>
      <c r="E146" s="31" t="str">
        <f>IF($A146="","",INDEX(Каталог!$H$4:$H$500,$A146)&amp;"")</f>
        <v/>
      </c>
      <c r="F146" s="32" t="str">
        <f>IF($A146="","",INDEX(Каталог!$B$4:$B$500,$A146)&amp;"")</f>
        <v/>
      </c>
      <c r="G146" s="32" t="str">
        <f>IF($A146="","",INDEX(Каталог!$M$4:$M$500,$A146)&amp;"")</f>
        <v/>
      </c>
      <c r="H146" s="32" t="str">
        <f>IF($A146="","",INDEX(Каталог!$P$4:$P$500,$A146))</f>
        <v/>
      </c>
      <c r="I146" s="5"/>
      <c r="J146" s="5"/>
    </row>
    <row r="147" spans="1:10" x14ac:dyDescent="0.3">
      <c r="A147" s="29" t="str">
        <f>IFERROR(MATCH(ROW()-3,Каталог!$AF$4:$AF$500,0),"")</f>
        <v/>
      </c>
      <c r="B147" s="29" t="str">
        <f t="shared" si="4"/>
        <v/>
      </c>
      <c r="C147" s="30" t="str">
        <f>IF($A147="","",INDEX(Каталог!$G$4:$G$500,$A147)&amp;"")</f>
        <v/>
      </c>
      <c r="D147" s="33"/>
      <c r="E147" s="31" t="str">
        <f>IF($A147="","",INDEX(Каталог!$H$4:$H$500,$A147)&amp;"")</f>
        <v/>
      </c>
      <c r="F147" s="32" t="str">
        <f>IF($A147="","",INDEX(Каталог!$B$4:$B$500,$A147)&amp;"")</f>
        <v/>
      </c>
      <c r="G147" s="32" t="str">
        <f>IF($A147="","",INDEX(Каталог!$M$4:$M$500,$A147)&amp;"")</f>
        <v/>
      </c>
      <c r="H147" s="32" t="str">
        <f>IF($A147="","",INDEX(Каталог!$P$4:$P$500,$A147))</f>
        <v/>
      </c>
      <c r="I147" s="5"/>
      <c r="J147" s="5"/>
    </row>
    <row r="148" spans="1:10" x14ac:dyDescent="0.3">
      <c r="A148" s="29" t="str">
        <f>IFERROR(MATCH(ROW()-3,Каталог!$AF$4:$AF$500,0),"")</f>
        <v/>
      </c>
      <c r="B148" s="29" t="str">
        <f t="shared" si="4"/>
        <v/>
      </c>
      <c r="C148" s="30" t="str">
        <f>IF($A148="","",INDEX(Каталог!$G$4:$G$500,$A148)&amp;"")</f>
        <v/>
      </c>
      <c r="D148" s="33"/>
      <c r="E148" s="31" t="str">
        <f>IF($A148="","",INDEX(Каталог!$H$4:$H$500,$A148)&amp;"")</f>
        <v/>
      </c>
      <c r="F148" s="32" t="str">
        <f>IF($A148="","",INDEX(Каталог!$B$4:$B$500,$A148)&amp;"")</f>
        <v/>
      </c>
      <c r="G148" s="32" t="str">
        <f>IF($A148="","",INDEX(Каталог!$M$4:$M$500,$A148)&amp;"")</f>
        <v/>
      </c>
      <c r="H148" s="32" t="str">
        <f>IF($A148="","",INDEX(Каталог!$P$4:$P$500,$A148))</f>
        <v/>
      </c>
      <c r="I148" s="5"/>
      <c r="J148" s="5"/>
    </row>
    <row r="149" spans="1:10" x14ac:dyDescent="0.3">
      <c r="A149" s="29" t="str">
        <f>IFERROR(MATCH(ROW()-3,Каталог!$AF$4:$AF$500,0),"")</f>
        <v/>
      </c>
      <c r="B149" s="29" t="str">
        <f t="shared" si="4"/>
        <v/>
      </c>
      <c r="C149" s="30" t="str">
        <f>IF($A149="","",INDEX(Каталог!$G$4:$G$500,$A149)&amp;"")</f>
        <v/>
      </c>
      <c r="D149" s="33"/>
      <c r="E149" s="31" t="str">
        <f>IF($A149="","",INDEX(Каталог!$H$4:$H$500,$A149)&amp;"")</f>
        <v/>
      </c>
      <c r="F149" s="32" t="str">
        <f>IF($A149="","",INDEX(Каталог!$B$4:$B$500,$A149)&amp;"")</f>
        <v/>
      </c>
      <c r="G149" s="32" t="str">
        <f>IF($A149="","",INDEX(Каталог!$M$4:$M$500,$A149)&amp;"")</f>
        <v/>
      </c>
      <c r="H149" s="32" t="str">
        <f>IF($A149="","",INDEX(Каталог!$P$4:$P$500,$A149))</f>
        <v/>
      </c>
      <c r="I149" s="5"/>
      <c r="J149" s="5"/>
    </row>
    <row r="150" spans="1:10" x14ac:dyDescent="0.3">
      <c r="A150" s="29" t="str">
        <f>IFERROR(MATCH(ROW()-3,Каталог!$AF$4:$AF$500,0),"")</f>
        <v/>
      </c>
      <c r="B150" s="29" t="str">
        <f t="shared" si="4"/>
        <v/>
      </c>
      <c r="C150" s="30" t="str">
        <f>IF($A150="","",INDEX(Каталог!$G$4:$G$500,$A150)&amp;"")</f>
        <v/>
      </c>
      <c r="D150" s="33"/>
      <c r="E150" s="31" t="str">
        <f>IF($A150="","",INDEX(Каталог!$H$4:$H$500,$A150)&amp;"")</f>
        <v/>
      </c>
      <c r="F150" s="32" t="str">
        <f>IF($A150="","",INDEX(Каталог!$B$4:$B$500,$A150)&amp;"")</f>
        <v/>
      </c>
      <c r="G150" s="32" t="str">
        <f>IF($A150="","",INDEX(Каталог!$M$4:$M$500,$A150)&amp;"")</f>
        <v/>
      </c>
      <c r="H150" s="32" t="str">
        <f>IF($A150="","",INDEX(Каталог!$P$4:$P$500,$A150))</f>
        <v/>
      </c>
      <c r="I150" s="5"/>
      <c r="J150" s="5"/>
    </row>
    <row r="151" spans="1:10" x14ac:dyDescent="0.3">
      <c r="A151" s="29" t="str">
        <f>IFERROR(MATCH(ROW()-3,Каталог!$AF$4:$AF$500,0),"")</f>
        <v/>
      </c>
      <c r="B151" s="29" t="str">
        <f t="shared" si="4"/>
        <v/>
      </c>
      <c r="C151" s="30" t="str">
        <f>IF($A151="","",INDEX(Каталог!$G$4:$G$500,$A151)&amp;"")</f>
        <v/>
      </c>
      <c r="D151" s="33"/>
      <c r="E151" s="31" t="str">
        <f>IF($A151="","",INDEX(Каталог!$H$4:$H$500,$A151)&amp;"")</f>
        <v/>
      </c>
      <c r="F151" s="32" t="str">
        <f>IF($A151="","",INDEX(Каталог!$B$4:$B$500,$A151)&amp;"")</f>
        <v/>
      </c>
      <c r="G151" s="32" t="str">
        <f>IF($A151="","",INDEX(Каталог!$M$4:$M$500,$A151)&amp;"")</f>
        <v/>
      </c>
      <c r="H151" s="32" t="str">
        <f>IF($A151="","",INDEX(Каталог!$P$4:$P$500,$A151))</f>
        <v/>
      </c>
      <c r="I151" s="5"/>
      <c r="J151" s="5"/>
    </row>
    <row r="152" spans="1:10" x14ac:dyDescent="0.3">
      <c r="A152" s="29" t="str">
        <f>IFERROR(MATCH(ROW()-3,Каталог!$AF$4:$AF$500,0),"")</f>
        <v/>
      </c>
      <c r="B152" s="29" t="str">
        <f t="shared" si="4"/>
        <v/>
      </c>
      <c r="C152" s="30" t="str">
        <f>IF($A152="","",INDEX(Каталог!$G$4:$G$500,$A152)&amp;"")</f>
        <v/>
      </c>
      <c r="D152" s="33"/>
      <c r="E152" s="31" t="str">
        <f>IF($A152="","",INDEX(Каталог!$H$4:$H$500,$A152)&amp;"")</f>
        <v/>
      </c>
      <c r="F152" s="32" t="str">
        <f>IF($A152="","",INDEX(Каталог!$B$4:$B$500,$A152)&amp;"")</f>
        <v/>
      </c>
      <c r="G152" s="32" t="str">
        <f>IF($A152="","",INDEX(Каталог!$M$4:$M$500,$A152)&amp;"")</f>
        <v/>
      </c>
      <c r="H152" s="32" t="str">
        <f>IF($A152="","",INDEX(Каталог!$P$4:$P$500,$A152))</f>
        <v/>
      </c>
      <c r="I152" s="5"/>
      <c r="J152" s="5"/>
    </row>
    <row r="153" spans="1:10" x14ac:dyDescent="0.3">
      <c r="A153" s="29" t="str">
        <f>IFERROR(MATCH(ROW()-3,Каталог!$AF$4:$AF$500,0),"")</f>
        <v/>
      </c>
      <c r="B153" s="29" t="str">
        <f t="shared" si="4"/>
        <v/>
      </c>
      <c r="C153" s="30" t="str">
        <f>IF($A153="","",INDEX(Каталог!$G$4:$G$500,$A153)&amp;"")</f>
        <v/>
      </c>
      <c r="D153" s="33"/>
      <c r="E153" s="31" t="str">
        <f>IF($A153="","",INDEX(Каталог!$H$4:$H$500,$A153)&amp;"")</f>
        <v/>
      </c>
      <c r="F153" s="32" t="str">
        <f>IF($A153="","",INDEX(Каталог!$B$4:$B$500,$A153)&amp;"")</f>
        <v/>
      </c>
      <c r="G153" s="32" t="str">
        <f>IF($A153="","",INDEX(Каталог!$M$4:$M$500,$A153)&amp;"")</f>
        <v/>
      </c>
      <c r="H153" s="32" t="str">
        <f>IF($A153="","",INDEX(Каталог!$P$4:$P$500,$A153))</f>
        <v/>
      </c>
      <c r="I153" s="5"/>
      <c r="J153" s="5"/>
    </row>
    <row r="154" spans="1:10" x14ac:dyDescent="0.3">
      <c r="A154" s="29" t="str">
        <f>IFERROR(MATCH(ROW()-3,Каталог!$AF$4:$AF$500,0),"")</f>
        <v/>
      </c>
      <c r="B154" s="29" t="str">
        <f t="shared" si="4"/>
        <v/>
      </c>
      <c r="C154" s="30" t="str">
        <f>IF($A154="","",INDEX(Каталог!$G$4:$G$500,$A154)&amp;"")</f>
        <v/>
      </c>
      <c r="D154" s="33"/>
      <c r="E154" s="31" t="str">
        <f>IF($A154="","",INDEX(Каталог!$H$4:$H$500,$A154)&amp;"")</f>
        <v/>
      </c>
      <c r="F154" s="32" t="str">
        <f>IF($A154="","",INDEX(Каталог!$B$4:$B$500,$A154)&amp;"")</f>
        <v/>
      </c>
      <c r="G154" s="32" t="str">
        <f>IF($A154="","",INDEX(Каталог!$M$4:$M$500,$A154)&amp;"")</f>
        <v/>
      </c>
      <c r="H154" s="32" t="str">
        <f>IF($A154="","",INDEX(Каталог!$P$4:$P$500,$A154))</f>
        <v/>
      </c>
      <c r="I154" s="5"/>
      <c r="J154" s="5"/>
    </row>
    <row r="155" spans="1:10" x14ac:dyDescent="0.3">
      <c r="A155" s="29" t="str">
        <f>IFERROR(MATCH(ROW()-3,Каталог!$AF$4:$AF$500,0),"")</f>
        <v/>
      </c>
      <c r="B155" s="29" t="str">
        <f t="shared" si="4"/>
        <v/>
      </c>
      <c r="C155" s="30" t="str">
        <f>IF($A155="","",INDEX(Каталог!$G$4:$G$500,$A155)&amp;"")</f>
        <v/>
      </c>
      <c r="D155" s="33"/>
      <c r="E155" s="31" t="str">
        <f>IF($A155="","",INDEX(Каталог!$H$4:$H$500,$A155)&amp;"")</f>
        <v/>
      </c>
      <c r="F155" s="32" t="str">
        <f>IF($A155="","",INDEX(Каталог!$B$4:$B$500,$A155)&amp;"")</f>
        <v/>
      </c>
      <c r="G155" s="32" t="str">
        <f>IF($A155="","",INDEX(Каталог!$M$4:$M$500,$A155)&amp;"")</f>
        <v/>
      </c>
      <c r="H155" s="32" t="str">
        <f>IF($A155="","",INDEX(Каталог!$P$4:$P$500,$A155))</f>
        <v/>
      </c>
      <c r="I155" s="5"/>
      <c r="J155" s="5"/>
    </row>
    <row r="156" spans="1:10" x14ac:dyDescent="0.3">
      <c r="A156" s="29" t="str">
        <f>IFERROR(MATCH(ROW()-3,Каталог!$AF$4:$AF$500,0),"")</f>
        <v/>
      </c>
      <c r="B156" s="29" t="str">
        <f t="shared" si="4"/>
        <v/>
      </c>
      <c r="C156" s="30" t="str">
        <f>IF($A156="","",INDEX(Каталог!$G$4:$G$500,$A156)&amp;"")</f>
        <v/>
      </c>
      <c r="D156" s="33"/>
      <c r="E156" s="31" t="str">
        <f>IF($A156="","",INDEX(Каталог!$H$4:$H$500,$A156)&amp;"")</f>
        <v/>
      </c>
      <c r="F156" s="32" t="str">
        <f>IF($A156="","",INDEX(Каталог!$B$4:$B$500,$A156)&amp;"")</f>
        <v/>
      </c>
      <c r="G156" s="32" t="str">
        <f>IF($A156="","",INDEX(Каталог!$M$4:$M$500,$A156)&amp;"")</f>
        <v/>
      </c>
      <c r="H156" s="32" t="str">
        <f>IF($A156="","",INDEX(Каталог!$P$4:$P$500,$A156))</f>
        <v/>
      </c>
      <c r="I156" s="5"/>
      <c r="J156" s="5"/>
    </row>
    <row r="157" spans="1:10" x14ac:dyDescent="0.3">
      <c r="A157" s="29" t="str">
        <f>IFERROR(MATCH(ROW()-3,Каталог!$AF$4:$AF$500,0),"")</f>
        <v/>
      </c>
      <c r="B157" s="29" t="str">
        <f t="shared" si="4"/>
        <v/>
      </c>
      <c r="C157" s="30" t="str">
        <f>IF($A157="","",INDEX(Каталог!$G$4:$G$500,$A157)&amp;"")</f>
        <v/>
      </c>
      <c r="D157" s="33"/>
      <c r="E157" s="31" t="str">
        <f>IF($A157="","",INDEX(Каталог!$H$4:$H$500,$A157)&amp;"")</f>
        <v/>
      </c>
      <c r="F157" s="32" t="str">
        <f>IF($A157="","",INDEX(Каталог!$B$4:$B$500,$A157)&amp;"")</f>
        <v/>
      </c>
      <c r="G157" s="32" t="str">
        <f>IF($A157="","",INDEX(Каталог!$M$4:$M$500,$A157)&amp;"")</f>
        <v/>
      </c>
      <c r="H157" s="32" t="str">
        <f>IF($A157="","",INDEX(Каталог!$P$4:$P$500,$A157))</f>
        <v/>
      </c>
      <c r="I157" s="5"/>
      <c r="J157" s="5"/>
    </row>
    <row r="158" spans="1:10" x14ac:dyDescent="0.3">
      <c r="A158" s="29" t="str">
        <f>IFERROR(MATCH(ROW()-3,Каталог!$AF$4:$AF$500,0),"")</f>
        <v/>
      </c>
      <c r="B158" s="29" t="str">
        <f t="shared" si="4"/>
        <v/>
      </c>
      <c r="C158" s="30" t="str">
        <f>IF($A158="","",INDEX(Каталог!$G$4:$G$500,$A158)&amp;"")</f>
        <v/>
      </c>
      <c r="D158" s="33"/>
      <c r="E158" s="31" t="str">
        <f>IF($A158="","",INDEX(Каталог!$H$4:$H$500,$A158)&amp;"")</f>
        <v/>
      </c>
      <c r="F158" s="32" t="str">
        <f>IF($A158="","",INDEX(Каталог!$B$4:$B$500,$A158)&amp;"")</f>
        <v/>
      </c>
      <c r="G158" s="32" t="str">
        <f>IF($A158="","",INDEX(Каталог!$M$4:$M$500,$A158)&amp;"")</f>
        <v/>
      </c>
      <c r="H158" s="32" t="str">
        <f>IF($A158="","",INDEX(Каталог!$P$4:$P$500,$A158))</f>
        <v/>
      </c>
      <c r="I158" s="5"/>
      <c r="J158" s="5"/>
    </row>
    <row r="159" spans="1:10" x14ac:dyDescent="0.3">
      <c r="A159" s="29" t="str">
        <f>IFERROR(MATCH(ROW()-3,Каталог!$AF$4:$AF$500,0),"")</f>
        <v/>
      </c>
      <c r="B159" s="29" t="str">
        <f t="shared" si="4"/>
        <v/>
      </c>
      <c r="C159" s="30" t="str">
        <f>IF($A159="","",INDEX(Каталог!$G$4:$G$500,$A159)&amp;"")</f>
        <v/>
      </c>
      <c r="D159" s="33"/>
      <c r="E159" s="31" t="str">
        <f>IF($A159="","",INDEX(Каталог!$H$4:$H$500,$A159)&amp;"")</f>
        <v/>
      </c>
      <c r="F159" s="32" t="str">
        <f>IF($A159="","",INDEX(Каталог!$B$4:$B$500,$A159)&amp;"")</f>
        <v/>
      </c>
      <c r="G159" s="32" t="str">
        <f>IF($A159="","",INDEX(Каталог!$M$4:$M$500,$A159)&amp;"")</f>
        <v/>
      </c>
      <c r="H159" s="32" t="str">
        <f>IF($A159="","",INDEX(Каталог!$P$4:$P$500,$A159))</f>
        <v/>
      </c>
      <c r="I159" s="5"/>
      <c r="J159" s="5"/>
    </row>
    <row r="160" spans="1:10" x14ac:dyDescent="0.3">
      <c r="A160" s="29" t="str">
        <f>IFERROR(MATCH(ROW()-3,Каталог!$AF$4:$AF$500,0),"")</f>
        <v/>
      </c>
      <c r="B160" s="29" t="str">
        <f t="shared" si="4"/>
        <v/>
      </c>
      <c r="C160" s="30" t="str">
        <f>IF($A160="","",INDEX(Каталог!$G$4:$G$500,$A160)&amp;"")</f>
        <v/>
      </c>
      <c r="D160" s="33"/>
      <c r="E160" s="31" t="str">
        <f>IF($A160="","",INDEX(Каталог!$H$4:$H$500,$A160)&amp;"")</f>
        <v/>
      </c>
      <c r="F160" s="32" t="str">
        <f>IF($A160="","",INDEX(Каталог!$B$4:$B$500,$A160)&amp;"")</f>
        <v/>
      </c>
      <c r="G160" s="32" t="str">
        <f>IF($A160="","",INDEX(Каталог!$M$4:$M$500,$A160)&amp;"")</f>
        <v/>
      </c>
      <c r="H160" s="32" t="str">
        <f>IF($A160="","",INDEX(Каталог!$P$4:$P$500,$A160))</f>
        <v/>
      </c>
      <c r="I160" s="5"/>
      <c r="J160" s="5"/>
    </row>
  </sheetData>
  <phoneticPr fontId="3"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id="{00000000-000E-0000-0D00-000001000000}">
            <xm:f>Каталог!$R$28&lt;&gt;""</xm:f>
            <x14:dxf>
              <font>
                <b/>
                <color rgb="FF9C0006"/>
              </font>
              <fill>
                <patternFill>
                  <bgColor rgb="FFFFC7CE"/>
                </patternFill>
              </fill>
            </x14:dxf>
          </x14:cfRule>
          <xm:sqref>C1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9">
    <tabColor rgb="FF70AD47"/>
    <outlinePr summaryBelow="0" summaryRight="0"/>
  </sheetPr>
  <dimension ref="A1:CA1000"/>
  <sheetViews>
    <sheetView zoomScale="85" zoomScaleNormal="85" workbookViewId="0">
      <pane xSplit="3" ySplit="2" topLeftCell="D54" activePane="bottomRight" state="frozen"/>
      <selection pane="topRight"/>
      <selection pane="bottomLeft"/>
      <selection pane="bottomRight" activeCell="N64" sqref="N64"/>
    </sheetView>
  </sheetViews>
  <sheetFormatPr defaultRowHeight="14.4" outlineLevelCol="1" x14ac:dyDescent="0.3"/>
  <cols>
    <col min="1" max="3" width="6" customWidth="1"/>
    <col min="4" max="4" width="9" customWidth="1"/>
    <col min="5" max="5" width="15" customWidth="1"/>
    <col min="6" max="7" width="8" customWidth="1"/>
    <col min="8" max="8" width="15" customWidth="1"/>
    <col min="9" max="9" width="15.33203125" customWidth="1"/>
    <col min="10" max="10" width="17.88671875" customWidth="1"/>
    <col min="11" max="11" width="20.5546875" customWidth="1"/>
    <col min="12" max="12" width="12" customWidth="1"/>
    <col min="13" max="13" width="7" customWidth="1"/>
    <col min="14" max="14" width="9" customWidth="1"/>
    <col min="15" max="15" width="6" customWidth="1"/>
    <col min="16" max="16" width="14" customWidth="1"/>
    <col min="17" max="17" width="26" customWidth="1"/>
    <col min="18" max="18" width="16" customWidth="1"/>
    <col min="19" max="19" width="40" customWidth="1"/>
    <col min="20" max="21" width="7" customWidth="1"/>
    <col min="22" max="22" width="6" customWidth="1" collapsed="1"/>
    <col min="23" max="23" width="17" hidden="1" customWidth="1" outlineLevel="1"/>
    <col min="24" max="24" width="14" hidden="1" customWidth="1" outlineLevel="1"/>
    <col min="25" max="25" width="11" customWidth="1" collapsed="1"/>
    <col min="26" max="27" width="8" hidden="1" customWidth="1" outlineLevel="1"/>
    <col min="28" max="28" width="9" hidden="1" customWidth="1" outlineLevel="1"/>
    <col min="29" max="29" width="11" hidden="1" customWidth="1" outlineLevel="1"/>
    <col min="30" max="30" width="50" hidden="1" customWidth="1" outlineLevel="1"/>
    <col min="31" max="31" width="3" customWidth="1" collapsed="1"/>
    <col min="32" max="53" width="9" hidden="1" customWidth="1" outlineLevel="1"/>
    <col min="54" max="64" width="6" hidden="1" customWidth="1" outlineLevel="1"/>
    <col min="65" max="77" width="8" hidden="1" customWidth="1" outlineLevel="1"/>
    <col min="78" max="79" width="0" hidden="1" customWidth="1" outlineLevel="1"/>
  </cols>
  <sheetData>
    <row r="1" spans="1:79" ht="21.6" customHeight="1" x14ac:dyDescent="0.3">
      <c r="A1" s="102" t="s">
        <v>411</v>
      </c>
      <c r="B1" s="103"/>
      <c r="C1" s="103"/>
      <c r="D1" s="45" t="s">
        <v>412</v>
      </c>
      <c r="E1" s="106" t="s">
        <v>413</v>
      </c>
      <c r="F1" s="107"/>
      <c r="G1" s="107"/>
      <c r="H1" s="107"/>
      <c r="I1" s="108" t="s">
        <v>414</v>
      </c>
      <c r="J1" s="109"/>
      <c r="K1" s="109"/>
      <c r="L1" s="110" t="s">
        <v>415</v>
      </c>
      <c r="M1" s="111"/>
      <c r="N1" s="111"/>
      <c r="O1" s="111"/>
      <c r="P1" s="52" t="s">
        <v>416</v>
      </c>
      <c r="Q1" s="41" t="s">
        <v>417</v>
      </c>
      <c r="R1" s="102" t="s">
        <v>418</v>
      </c>
      <c r="S1" s="103"/>
      <c r="T1" s="103"/>
      <c r="U1" s="103"/>
      <c r="V1" s="103"/>
      <c r="W1" s="102" t="s">
        <v>419</v>
      </c>
      <c r="X1" s="103"/>
      <c r="Y1" s="104" t="s">
        <v>420</v>
      </c>
      <c r="Z1" s="105"/>
      <c r="AA1" s="105"/>
      <c r="AB1" s="105"/>
      <c r="AC1" s="105"/>
      <c r="AD1" s="105"/>
      <c r="AE1" s="66" t="str">
        <f>"Ошибок: "&amp;COUNTIF($BU$3:$BU$3000,2)&amp;"   Предупреждений: "&amp;COUNTIF($BU$3:$BU$3000,1)</f>
        <v>Ошибок: 5   Предупреждений: 26</v>
      </c>
      <c r="AF1" s="36" t="s">
        <v>421</v>
      </c>
      <c r="BC1" s="34" t="s">
        <v>422</v>
      </c>
    </row>
    <row r="2" spans="1:79" ht="84" customHeight="1" x14ac:dyDescent="0.3">
      <c r="A2" s="40" t="s">
        <v>4</v>
      </c>
      <c r="B2" s="43" t="s">
        <v>423</v>
      </c>
      <c r="C2" s="43" t="s">
        <v>424</v>
      </c>
      <c r="D2" s="44" t="s">
        <v>425</v>
      </c>
      <c r="E2" s="44" t="s">
        <v>426</v>
      </c>
      <c r="F2" s="46" t="s">
        <v>1858</v>
      </c>
      <c r="G2" s="48" t="s">
        <v>427</v>
      </c>
      <c r="H2" s="48" t="s">
        <v>7</v>
      </c>
      <c r="I2" s="44" t="s">
        <v>428</v>
      </c>
      <c r="J2" s="46" t="s">
        <v>429</v>
      </c>
      <c r="K2" s="46" t="s">
        <v>430</v>
      </c>
      <c r="L2" s="44" t="s">
        <v>431</v>
      </c>
      <c r="M2" s="50" t="s">
        <v>432</v>
      </c>
      <c r="N2" s="46" t="s">
        <v>433</v>
      </c>
      <c r="O2" s="50" t="s">
        <v>434</v>
      </c>
      <c r="P2" s="51" t="s">
        <v>435</v>
      </c>
      <c r="Q2" s="40" t="s">
        <v>9</v>
      </c>
      <c r="R2" s="40" t="s">
        <v>436</v>
      </c>
      <c r="S2" s="43" t="s">
        <v>6</v>
      </c>
      <c r="T2" s="43" t="s">
        <v>437</v>
      </c>
      <c r="U2" s="43" t="s">
        <v>438</v>
      </c>
      <c r="V2" s="43" t="s">
        <v>439</v>
      </c>
      <c r="W2" s="40" t="s">
        <v>7</v>
      </c>
      <c r="X2" s="43" t="s">
        <v>434</v>
      </c>
      <c r="Y2" s="44" t="s">
        <v>440</v>
      </c>
      <c r="Z2" s="60" t="s">
        <v>441</v>
      </c>
      <c r="AA2" s="60" t="s">
        <v>442</v>
      </c>
      <c r="AB2" s="60" t="s">
        <v>517</v>
      </c>
      <c r="AC2" s="60" t="s">
        <v>443</v>
      </c>
      <c r="AD2" s="60" t="s">
        <v>444</v>
      </c>
      <c r="AE2" s="60" t="s">
        <v>784</v>
      </c>
      <c r="AF2" s="35" t="s">
        <v>445</v>
      </c>
      <c r="AG2" s="35" t="s">
        <v>446</v>
      </c>
      <c r="AH2" s="35" t="s">
        <v>447</v>
      </c>
      <c r="AI2" s="35" t="s">
        <v>448</v>
      </c>
      <c r="AJ2" s="35" t="s">
        <v>449</v>
      </c>
      <c r="AK2" s="35" t="s">
        <v>450</v>
      </c>
      <c r="AL2" s="35" t="s">
        <v>451</v>
      </c>
      <c r="AM2" s="35" t="s">
        <v>452</v>
      </c>
      <c r="AN2" s="35" t="s">
        <v>453</v>
      </c>
      <c r="AO2" s="35" t="s">
        <v>454</v>
      </c>
      <c r="AP2" s="35" t="s">
        <v>455</v>
      </c>
      <c r="AQ2" s="35" t="s">
        <v>456</v>
      </c>
      <c r="AR2" s="35" t="s">
        <v>457</v>
      </c>
      <c r="AS2" s="35" t="s">
        <v>458</v>
      </c>
      <c r="AT2" s="35" t="s">
        <v>459</v>
      </c>
      <c r="AU2" s="35" t="s">
        <v>460</v>
      </c>
      <c r="AV2" s="35" t="s">
        <v>461</v>
      </c>
      <c r="AW2" s="35" t="s">
        <v>462</v>
      </c>
      <c r="AX2" s="35" t="s">
        <v>463</v>
      </c>
      <c r="AY2" s="35" t="s">
        <v>464</v>
      </c>
      <c r="AZ2" s="35" t="s">
        <v>465</v>
      </c>
      <c r="BA2" s="35" t="s">
        <v>466</v>
      </c>
      <c r="BB2" s="35" t="s">
        <v>518</v>
      </c>
      <c r="BD2" s="35" t="s">
        <v>467</v>
      </c>
      <c r="BE2" s="35" t="s">
        <v>468</v>
      </c>
      <c r="BF2" s="35" t="s">
        <v>469</v>
      </c>
      <c r="BG2" s="35" t="s">
        <v>470</v>
      </c>
      <c r="BH2" s="35" t="s">
        <v>471</v>
      </c>
      <c r="BI2" s="35" t="s">
        <v>472</v>
      </c>
      <c r="BJ2" s="35" t="s">
        <v>473</v>
      </c>
      <c r="BK2" s="35" t="s">
        <v>474</v>
      </c>
      <c r="BL2" s="35" t="s">
        <v>475</v>
      </c>
      <c r="BM2" s="35" t="s">
        <v>785</v>
      </c>
      <c r="BN2" s="35" t="s">
        <v>786</v>
      </c>
      <c r="BO2" s="35" t="s">
        <v>787</v>
      </c>
      <c r="BP2" s="35" t="s">
        <v>788</v>
      </c>
      <c r="BQ2" s="35" t="s">
        <v>789</v>
      </c>
      <c r="BR2" s="35" t="s">
        <v>790</v>
      </c>
      <c r="BS2" s="35" t="s">
        <v>791</v>
      </c>
      <c r="BT2" s="35" t="s">
        <v>792</v>
      </c>
      <c r="BU2" s="35" t="s">
        <v>793</v>
      </c>
      <c r="BV2" s="35" t="s">
        <v>794</v>
      </c>
      <c r="BW2" s="35" t="s">
        <v>795</v>
      </c>
      <c r="BX2" s="35" t="s">
        <v>796</v>
      </c>
      <c r="BY2" s="35" t="s">
        <v>797</v>
      </c>
      <c r="BZ2" t="s">
        <v>1137</v>
      </c>
      <c r="CA2" t="s">
        <v>1140</v>
      </c>
    </row>
    <row r="3" spans="1:79" x14ac:dyDescent="0.3">
      <c r="A3" s="39" t="str" cm="1">
        <f t="array" ref="A3:A329">_xlfn.LET(_xlpm.v,_xlfn._xlws.FILTER(Линии[Щит],Линии[_№ места (итог)]&lt;&gt;""),IF(_xlpm.v="","",_xlpm.v))</f>
        <v>ГРЩ-ЖД</v>
      </c>
      <c r="B3" s="42" cm="1">
        <f t="array" ref="B3:B329">_xlfn.LET(_xlpm.v,_xlfn._xlws.FILTER(Линии[_№ места (итог)],Линии[_№ места (итог)]&lt;&gt;""),IF(_xlpm.v="","",_xlpm.v))</f>
        <v>2</v>
      </c>
      <c r="C3" s="42" cm="1">
        <f t="array" ref="C3:C329">_xlfn.LET(_xlpm.v,_xlfn._xlws.FILTER(Линии[Лист схемы],Линии[_№ места (итог)]&lt;&gt;""),IF(_xlpm.v="","",_xlpm.v))</f>
        <v>1</v>
      </c>
      <c r="D3" s="75" t="str" cm="1">
        <f t="array" ref="D3:D329">_xlfn.LET(_xlpm.v,_xlfn._xlws.FILTER(Линии[Шина],Линии[_№ места (итог)]&lt;&gt;""),IF(_xlpm.v="","",_xlpm.v))</f>
        <v/>
      </c>
      <c r="E3" s="75" t="str" cm="1">
        <f t="array" ref="E3:E329">_xlfn.LET(_xlpm.v,_xlfn._xlws.FILTER(Линии[_автомат для схемы],Линии[_№ места (итог)]&lt;&gt;""),IF(_xlpm.v="","",_xlpm.v))</f>
        <v>авто</v>
      </c>
      <c r="F3" s="76" t="str" cm="1">
        <f t="array" ref="F3:F329">_xlfn.LET(_xlpm.v,_xlfn._xlws.FILTER(Линии[_мА для схемы],Линии[_№ места (итог)]&lt;&gt;""),IF(_xlpm.v="","",_xlpm.v))</f>
        <v/>
      </c>
      <c r="G3" s="47" t="str" cm="1">
        <f t="array" ref="G3:G329">_xlfn.LET(_xlpm.v,_xlfn._xlws.FILTER(Линии[QF],Линии[_№ места (итог)]&lt;&gt;""),IF(_xlpm.v="","",_xlpm.v))</f>
        <v/>
      </c>
      <c r="H3" s="47" t="str" cm="1">
        <f t="array" ref="H3:H329">_xlfn.LET(_xlpm.v,_xlfn._xlws.FILTER(Линии[Автомат (схема)],Линии[_№ места (итог)]&lt;&gt;""),IF(_xlpm.v="","",_xlpm.v))</f>
        <v>3P С630А</v>
      </c>
      <c r="I3" s="75" t="str" cm="1">
        <f t="array" ref="I3:I329">_xlfn.LET(_xlpm.v,_xlfn._xlws.FILTER(Линии[Аппарат 1],Линии[_№ места (итог)]&lt;&gt;""),IF(_xlpm.v="","",_xlpm.v))</f>
        <v/>
      </c>
      <c r="J3" s="76" t="str" cm="1">
        <f t="array" ref="J3:J329">_xlfn.LET(_xlpm.v,_xlfn._xlws.FILTER(Линии[Аппарат 2],Линии[_№ места (итог)]&lt;&gt;""),IF(_xlpm.v="","",_xlpm.v))</f>
        <v/>
      </c>
      <c r="K3" s="76" t="str" cm="1">
        <f t="array" ref="K3:K329">_xlfn.LET(_xlpm.v,_xlfn._xlws.FILTER(Линии[Аппарат 3],Линии[_№ места (итог)]&lt;&gt;""),IF(_xlpm.v="","",_xlpm.v))</f>
        <v/>
      </c>
      <c r="L3" s="75" t="str" cm="1">
        <f t="array" ref="L3:L329">_xlfn.LET(_xlpm.v,_xlfn._xlws.FILTER(Линии[Модуль],Линии[_№ места (итог)]&lt;&gt;""),IF(_xlpm.v="","",_xlpm.v))</f>
        <v/>
      </c>
      <c r="M3" s="49" t="str" cm="1">
        <f t="array" ref="M3:M329">_xlfn.LET(_xlpm.v,_xlfn._xlws.FILTER(Линии[_Модуль (схема)],Линии[_№ места (итог)]&lt;&gt;""),IF(_xlpm.v="","",_xlpm.v))</f>
        <v/>
      </c>
      <c r="N3" s="76" t="str" cm="1">
        <f t="array" ref="N3:N329">_xlfn.LET(_xlpm.v,_xlfn._xlws.FILTER(Линии[Канал],Линии[_№ места (итог)]&lt;&gt;""),IF(_xlpm.v="","",_xlpm.v))</f>
        <v/>
      </c>
      <c r="O3" s="49" t="str" cm="1">
        <f t="array" ref="O3:O329">_xlfn.LET(_xlpm.v,_xlfn._xlws.FILTER(Линии[Канал (итог)],Линии[_№ места (итог)]&lt;&gt;""),IF(_xlpm.v="","",_xlpm.v))</f>
        <v/>
      </c>
      <c r="P3" s="77" t="str" cm="1">
        <f t="array" ref="P3:P329">_xlfn.LET(_xlpm.v,_xlfn._xlws.FILTER(Линии[Клемма (итог)],Линии[_№ места (итог)]&lt;&gt;""),IF(_xlpm.v="","",_xlpm.v))</f>
        <v/>
      </c>
      <c r="Q3" s="53" t="str" cm="1">
        <f t="array" ref="Q3:Q329">_xlfn.LET(_xlpm.v,_xlfn._xlws.FILTER(Линии[Кабель (строкой)],Линии[_№ места (итог)]&lt;&gt;""),IF(_xlpm.v="","",_xlpm.v))</f>
        <v/>
      </c>
      <c r="R3" s="54" t="str" cm="1">
        <f t="array" ref="R3:R329">_xlfn.LET(_xlpm.v,_xlfn._xlws.FILTER(Линии[Номер линии],Линии[_№ места (итог)]&lt;&gt;""),IF(_xlpm.v="","",_xlpm.v))</f>
        <v>Ввод.1</v>
      </c>
      <c r="S3" s="55" t="str" cm="1">
        <f t="array" ref="S3:S329">_xlfn.LET(_xlpm.v,_xlfn._xlws.FILTER(Линии[Наименование (итог)],Линии[_№ места (итог)]&lt;&gt;""),IF(_xlpm.v="","",_xlpm.v))</f>
        <v>Основной ввод в дом №1</v>
      </c>
      <c r="T3" s="56" cm="1">
        <f t="array" ref="T3:T329">_xlfn.LET(_xlpm.v,_xlfn._xlws.FILTER(Линии[_Р схемы],Линии[_№ места (итог)]&lt;&gt;""),IF(_xlpm.v="","",_xlpm.v))</f>
        <v>526.28100000000018</v>
      </c>
      <c r="U3" s="56" cm="1">
        <f t="array" ref="U3:U329">_xlfn.LET(_xlpm.v,_xlfn._xlws.FILTER(Линии[_Ток схемы],Линии[_№ места (итог)]&lt;&gt;""),IF(_xlpm.v="","",_xlpm.v))</f>
        <v>482.46999999999997</v>
      </c>
      <c r="V3" s="42" t="str" cm="1">
        <f t="array" ref="V3:V329">_xlfn.LET(_xlpm.v,_xlfn._xlws.FILTER(Линии[_фаза итог],Линии[_№ места (итог)]&lt;&gt;""),IF(_xlpm.v="","",_xlpm.v))</f>
        <v>L1,L2,L3</v>
      </c>
      <c r="W3" s="57" t="str" cm="1">
        <f t="array" ref="W3:W329">_xlfn.LET(_xlpm.v,_xlfn._xlws.FILTER(Линии[Проверка автомата],Линии[_№ места (итог)]&lt;&gt;""),IF(_xlpm.v="","",_xlpm.v))</f>
        <v>ok</v>
      </c>
      <c r="X3" s="58" t="str" cm="1">
        <f t="array" ref="X3:X329">_xlfn.LET(_xlpm.v,_xlfn._xlws.FILTER(Линии[Проверка канала],Линии[_№ места (итог)]&lt;&gt;""),IF(_xlpm.v="","",_xlpm.v))</f>
        <v/>
      </c>
      <c r="Y3" s="75" t="str" cm="1">
        <f t="array" ref="Y3:Y329">_xlfn.LET(_xlpm.v,_xlfn._xlws.FILTER(Линии[Режим],Линии[_№ места (итог)]&lt;&gt;""),IF(_xlpm.v="","",_xlpm.v))</f>
        <v/>
      </c>
      <c r="Z3" s="59" cm="1">
        <f t="array" ref="Z3:Z329">_xlfn.LET(_xlpm.v,_xlfn._xlws.FILTER(Линии[_ток группы],Линии[_№ места (итог)]&lt;&gt;""),IF(_xlpm.v="","",_xlpm.v))</f>
        <v>482.46261025528872</v>
      </c>
      <c r="AA3" s="61" cm="1">
        <f t="array" ref="AA3:AA329">_xlfn.LET(_xlpm.v,_xlfn._xlws.FILTER(Линии[_авто номинал],Линии[_№ места (итог)]&lt;&gt;""),IF(_xlpm.v="","",_xlpm.v))</f>
        <v>630</v>
      </c>
      <c r="AB3" s="61" t="str" cm="1">
        <f t="array" ref="AB3:AB329">_xlfn.LET(_xlpm.v,_xlfn._xlws.FILTER(Линии[_макс. автомат по кабелю],Линии[_№ места (итог)]&lt;&gt;""),IF(_xlpm.v="","",_xlpm.v))</f>
        <v/>
      </c>
      <c r="AC3" s="61" t="str" cm="1">
        <f t="array" ref="AC3:AC329">_xlfn.LET(_xlpm.v,_xlfn._xlws.FILTER(Линии[_модель (схема)],Линии[_№ места (итог)]&lt;&gt;""),IF(_xlpm.v="","",_xlpm.v))</f>
        <v/>
      </c>
      <c r="AD3" s="62" t="str" cm="1">
        <f t="array" ref="AD3:AD329">_xlfn.LET(_xlpm.v,_xlfn._xlws.FILTER(Линии[_цепь],Линии[_№ места (итог)]&lt;&gt;""),IF(_xlpm.v="","",_xlpm.v))</f>
        <v/>
      </c>
      <c r="AE3" s="62" t="str" cm="1">
        <f t="array" ref="AE3:AE329">_xlfn.LET(_xlpm.v,_xlfn._xlws.FILTER(Линии[_статус],Линии[_№ места (итог)]&lt;&gt;""),IF(_xlpm.v="","",_xlpm.v))</f>
        <v/>
      </c>
      <c r="AF3" s="34" t="str" cm="1">
        <f t="array" ref="AF3:AF329">_xlfn.LET(_xlpm.v,_xlfn._xlws.FILTER(Линии[_гр.],Линии[_№ места (итог)]&lt;&gt;""),IF(_xlpm.v="","",_xlpm.v))</f>
        <v/>
      </c>
      <c r="AG3" s="34" t="str" cm="1">
        <f t="array" ref="AG3:AG329">_xlfn.LET(_xlpm.v,_xlfn._xlws.FILTER(Линии[_QF гр.],Линии[_№ места (итог)]&lt;&gt;""),IF(_xlpm.v="","",_xlpm.v))</f>
        <v/>
      </c>
      <c r="AH3" s="34" t="str" cm="1">
        <f t="array" ref="AH3:AH329">_xlfn.LET(_xlpm.v,_xlfn._xlws.FILTER(Линии[_модуль гр.],Линии[_№ места (итог)]&lt;&gt;""),IF(_xlpm.v="","",_xlpm.v))</f>
        <v/>
      </c>
      <c r="AI3" s="34" t="str" cm="1">
        <f t="array" ref="AI3:AI329">_xlfn.LET(_xlpm.v,_xlfn._xlws.FILTER(Линии[_модель гр.],Линии[_№ места (итог)]&lt;&gt;""),IF(_xlpm.v="","",_xlpm.v))</f>
        <v/>
      </c>
      <c r="AJ3" s="34" t="str" cm="1">
        <f t="array" ref="AJ3:AJ329">_xlfn.LET(_xlpm.v,_xlfn._xlws.FILTER(Линии[_QF нач.],Линии[_№ места (итог)]&lt;&gt;""),IF(_xlpm.v="","",_xlpm.v))</f>
        <v/>
      </c>
      <c r="AK3" s="34" cm="1">
        <f t="array" ref="AK3:AK329">_xlfn.LET(_xlpm.v,_xlfn._xlws.FILTER(Линии[_фаз],Линии[_№ места (итог)]&lt;&gt;""),IF(_xlpm.v="","",_xlpm.v))</f>
        <v>3</v>
      </c>
      <c r="AL3" s="34" t="str" cm="1">
        <f t="array" ref="AL3:AL329">_xlfn.LET(_xlpm.v,_xlfn._xlws.FILTER(Линии[Код],Линии[_№ места (итог)]&lt;&gt;""),IF(_xlpm.v="","",_xlpm.v))</f>
        <v>Ввод</v>
      </c>
      <c r="AM3" s="34" cm="1">
        <f t="array" ref="AM3:AM329">_xlfn.LET(_xlpm.v,_xlfn._xlws.FILTER(Линии[_дифзащита по коду, мА],Линии[_№ места (итог)]&lt;&gt;""),IF(_xlpm.v="","",_xlpm.v))</f>
        <v>0</v>
      </c>
      <c r="AN3" s="34" cm="1">
        <f t="array" ref="AN3:AN329">_xlfn.LET(_xlpm.v,_xlfn._xlws.FILTER(Линии[_в кабель выше],Линии[_№ места (итог)]&lt;&gt;""),IF(_xlpm.v="","",_xlpm.v))</f>
        <v>0</v>
      </c>
      <c r="AO3" s="34" cm="1">
        <f t="array" ref="AO3:AO329">_xlfn.LET(_xlpm.v,_xlfn._xlws.FILTER(Линии[_авто номинал],Линии[_№ места (итог)]&lt;&gt;""),IF(_xlpm.v="","",_xlpm.v))</f>
        <v>630</v>
      </c>
      <c r="AP3" s="34" t="str" cm="1">
        <f t="array" ref="AP3:AP329">_xlfn.LET(_xlpm.v,_xlfn._xlws.FILTER(Линии[_макс. автомат по кабелю],Линии[_№ места (итог)]&lt;&gt;""),IF(_xlpm.v="","",_xlpm.v))</f>
        <v/>
      </c>
      <c r="AQ3" s="34" cm="1">
        <f t="array" ref="AQ3:AQ329">_xlfn.LET(_xlpm.v,_xlfn._xlws.FILTER(Линии[_номинал итог],Линии[_№ места (итог)]&lt;&gt;""),IF(_xlpm.v="","",_xlpm.v))</f>
        <v>630</v>
      </c>
      <c r="AR3" s="34" cm="1">
        <f t="array" ref="AR3:AR329">_xlfn.LET(_xlpm.v,_xlfn._xlws.FILTER(Линии[_фаз группы],Линии[_№ места (итог)]&lt;&gt;""),IF(_xlpm.v="","",_xlpm.v))</f>
        <v>3</v>
      </c>
      <c r="AS3" s="34" cm="1">
        <f t="array" ref="AS3:AS329">_xlfn.LET(_xlpm.v,_xlfn._xlws.FILTER(Линии[_дифзащита гр. (0/1)],Линии[_№ места (итог)]&lt;&gt;""),IF(_xlpm.v="","",_xlpm.v))</f>
        <v>0</v>
      </c>
      <c r="AT3" s="34" t="str" cm="1">
        <f t="array" ref="AT3:AT329">_xlfn.LET(_xlpm.v,_xlfn._xlws.FILTER(Линии[_полюса],Линии[_№ места (итог)]&lt;&gt;""),IF(_xlpm.v="","",_xlpm.v))</f>
        <v>3P</v>
      </c>
      <c r="AU3" s="34" cm="1">
        <f t="array" ref="AU3:AU329">_xlfn.LET(_xlpm.v,_xlfn._xlws.FILTER(Линии[_номинал итог],Линии[_№ места (итог)]&lt;&gt;""),IF(_xlpm.v="","",_xlpm.v))</f>
        <v>630</v>
      </c>
      <c r="AV3" s="34" t="str" cm="1">
        <f t="array" ref="AV3:AV329">_xlfn.LET(_xlpm.v,_xlfn._xlws.FILTER(Линии[_префикс],Линии[_№ места (итог)]&lt;&gt;""),IF(_xlpm.v="","",_xlpm.v))</f>
        <v/>
      </c>
      <c r="AW3" s="34" t="str" cm="1">
        <f t="array" ref="AW3:AW329">_xlfn.LET(_xlpm.v,_xlfn._xlws.FILTER(Линии[_модуль нач.],Линии[_№ места (итог)]&lt;&gt;""),IF(_xlpm.v="","",_xlpm.v))</f>
        <v/>
      </c>
      <c r="AX3" s="34" t="str" cm="1">
        <f t="array" ref="AX3:AX329">_xlfn.LET(_xlpm.v,_xlfn._xlws.FILTER(Линии[_посл. канал],Линии[_№ места (итог)]&lt;&gt;""),IF(_xlpm.v="","",_xlpm.v))</f>
        <v/>
      </c>
      <c r="AY3" s="34" cm="1">
        <f t="array" ref="AY3:AY329">_xlfn.LET(_xlpm.v,_xlfn._xlws.FILTER(Линии[_клемма],Линии[_№ места (итог)]&lt;&gt;""),IF(_xlpm.v="","",_xlpm.v))</f>
        <v>0</v>
      </c>
      <c r="AZ3" s="34" t="str" cm="1">
        <f t="array" ref="AZ3:AZ329">_xlfn.LET(_xlpm.v,_xlfn._xlws.FILTER(Линии[_аппараты гр.],Линии[_№ места (итог)]&lt;&gt;""),IF(_xlpm.v="","",_xlpm.v))</f>
        <v/>
      </c>
      <c r="BA3" s="34" cm="1">
        <f t="array" ref="BA3:BA329">_xlfn.LET(_xlpm.v,_xlfn._xlws.FILTER(Линии[_БП/тр-р],Линии[_№ места (итог)]&lt;&gt;""),IF(_xlpm.v="","",_xlpm.v))</f>
        <v>0</v>
      </c>
      <c r="BB3" s="34" cm="1">
        <f t="array" ref="BB3:BB329">_xlfn.LET(_xlpm.v,_xlfn._xlws.FILTER(Линии[_мин. по типу],Линии[_№ места (итог)]&lt;&gt;""),IF(_xlpm.v="","",_xlpm.v))</f>
        <v>0</v>
      </c>
      <c r="BD3" s="34" cm="1">
        <f t="array" ref="BD3:BD329">_xlfn.LET(_xlpm.v,_xlfn._xlws.FILTER(Линии[_draw],Линии[_№ места (итог)]&lt;&gt;""),IF(_xlpm.v="","",_xlpm.v))</f>
        <v>0</v>
      </c>
      <c r="BE3" s="34" cm="1">
        <f t="array" ref="BE3:BE329">_xlfn.LET(_xlpm.v,_xlfn._xlws.FILTER(Линии[_bus2],Линии[_№ места (итог)]&lt;&gt;""),IF(_xlpm.v="","",_xlpm.v))</f>
        <v>0</v>
      </c>
      <c r="BF3" s="34" cm="1">
        <f t="array" ref="BF3:BF329">_xlfn.LET(_xlpm.v,_xlfn._xlws.FILTER(Линии[_rcd],Линии[_№ места (итог)]&lt;&gt;""),IF(_xlpm.v="","",_xlpm.v))</f>
        <v>0</v>
      </c>
      <c r="BG3" s="34" t="str" cm="1">
        <f t="array" ref="BG3:BG329">_xlfn.LET(_xlpm.v,_xlfn._xlws.FILTER(Линии[_chtype],Линии[_№ места (итог)]&lt;&gt;""),IF(_xlpm.v="","",_xlpm.v))</f>
        <v/>
      </c>
      <c r="BH3" s="34" t="str" cm="1">
        <f t="array" ref="BH3:BH329">_xlfn.LET(_xlpm.v,_xlfn._xlws.FILTER(Линии[_dev1],Линии[_№ места (итог)]&lt;&gt;""),IF(_xlpm.v="","",_xlpm.v))</f>
        <v/>
      </c>
      <c r="BI3" s="34" t="str" cm="1">
        <f t="array" ref="BI3:BI329">_xlfn.LET(_xlpm.v,_xlfn._xlws.FILTER(Линии[_dev2],Линии[_№ места (итог)]&lt;&gt;""),IF(_xlpm.v="","",_xlpm.v))</f>
        <v/>
      </c>
      <c r="BJ3" s="34" t="str" cm="1">
        <f t="array" ref="BJ3:BJ329">_xlfn.LET(_xlpm.v,_xlfn._xlws.FILTER(Линии[_dev3],Линии[_№ места (итог)]&lt;&gt;""),IF(_xlpm.v="","",_xlpm.v))</f>
        <v/>
      </c>
      <c r="BK3" s="34" t="str" cm="1">
        <f t="array" ref="BK3:BK329">_xlfn.LET(_xlpm.v,_xlfn._xlws.FILTER(Линии[_sym],Линии[_№ места (итог)]&lt;&gt;""),IF(_xlpm.v="","",_xlpm.v))</f>
        <v>BOX</v>
      </c>
      <c r="BL3" s="34" cm="1">
        <f t="array" ref="BL3:BL329">_xlfn.LET(_xlpm.v,_xlfn._xlws.FILTER(Линии[_hasline],Линии[_№ места (итог)]&lt;&gt;""),IF(_xlpm.v="","",_xlpm.v))</f>
        <v>1</v>
      </c>
      <c r="BM3" s="34" cm="1">
        <f t="array" ref="BM3:BM329">_xlfn.LET(_xlpm.v,_xlfn._xlws.FILTER(Линии[_тип автомата №],Линии[_№ места (итог)]&lt;&gt;""),IF(_xlpm.v="","",_xlpm.v))</f>
        <v>1</v>
      </c>
      <c r="BN3" s="34" t="str" cm="1">
        <f t="array" ref="BN3:BN329">_xlfn.LET(_xlpm.v,_xlfn._xlws.FILTER(Линии[_аппарат 1 №],Линии[_№ места (итог)]&lt;&gt;""),IF(_xlpm.v="","",_xlpm.v))</f>
        <v/>
      </c>
      <c r="BO3" s="34" t="str" cm="1">
        <f t="array" ref="BO3:BO329">_xlfn.LET(_xlpm.v,_xlfn._xlws.FILTER(Линии[_аппарат 2 №],Линии[_№ места (итог)]&lt;&gt;""),IF(_xlpm.v="","",_xlpm.v))</f>
        <v/>
      </c>
      <c r="BP3" s="34" t="str" cm="1">
        <f t="array" ref="BP3:BP329">_xlfn.LET(_xlpm.v,_xlfn._xlws.FILTER(Линии[_аппарат 3 №],Линии[_№ места (итог)]&lt;&gt;""),IF(_xlpm.v="","",_xlpm.v))</f>
        <v/>
      </c>
      <c r="BQ3" s="34" t="str" cm="1">
        <f t="array" ref="BQ3:BQ329">_xlfn.LET(_xlpm.v,_xlfn._xlws.FILTER(Линии[_кабель клеммы],Линии[_№ места (итог)]&lt;&gt;""),IF(_xlpm.v="","",_xlpm.v))</f>
        <v/>
      </c>
      <c r="BR3" s="34" t="str" cm="1">
        <f t="array" ref="BR3:BR329">_xlfn.LET(_xlpm.v,_xlfn._xlws.FILTER(Линии[_вид клеммы №],Линии[_№ места (итог)]&lt;&gt;""),IF(_xlpm.v="","",_xlpm.v))</f>
        <v/>
      </c>
      <c r="BS3" s="34" t="str" cm="1">
        <f t="array" ref="BS3:BS329">_xlfn.LET(_xlpm.v,_xlfn._xlws.FILTER(Линии[_модуль №],Линии[_№ места (итог)]&lt;&gt;""),IF(_xlpm.v="","",_xlpm.v))</f>
        <v/>
      </c>
      <c r="BT3" s="34" t="str" cm="1">
        <f t="array" ref="BT3:BT329">_xlfn.LET(_xlpm.v,_xlfn._xlws.FILTER(Линии[_модель №],Линии[_№ места (итог)]&lt;&gt;""),IF(_xlpm.v="","",_xlpm.v))</f>
        <v/>
      </c>
      <c r="BU3" s="34" cm="1">
        <f t="array" ref="BU3:BU329">_xlfn.LET(_xlpm.v,_xlfn._xlws.FILTER(Линии[_уровень],Линии[_№ места (итог)]&lt;&gt;""),IF(_xlpm.v="","",_xlpm.v))</f>
        <v>0</v>
      </c>
      <c r="BV3" s="34" cm="1">
        <f t="array" ref="BV3:BV329">_xlfn.LET(_xlpm.v,_xlfn._xlws.FILTER(Линии[_№ линии],Линии[_№ места (итог)]&lt;&gt;""),IF(_xlpm.v="","",_xlpm.v))</f>
        <v>1</v>
      </c>
      <c r="BW3" s="34" cm="1">
        <f t="array" ref="BW3:BW329">_xlfn.LET(_xlpm.v,_xlfn._xlws.FILTER(Линии[_3L клемм],Линии[_№ места (итог)]&lt;&gt;""),IF(_xlpm.v="","",_xlpm.v))</f>
        <v>0</v>
      </c>
      <c r="BX3" s="34" cm="1">
        <f t="array" ref="BX3:BX329">_xlfn.LET(_xlpm.v,_xlfn._xlws.FILTER(Линии[_доп. проходных],Линии[_№ места (итог)]&lt;&gt;""),IF(_xlpm.v="","",_xlpm.v))</f>
        <v>0</v>
      </c>
      <c r="BY3" s="34" cm="1">
        <f t="array" ref="BY3:BY329">_xlfn.LET(_xlpm.v,_xlfn._xlws.FILTER(Линии[_УГО (рус)],Линии[_№ места (итог)]&lt;&gt;""),IF(_xlpm.v="","",_xlpm.v))</f>
        <v>0</v>
      </c>
      <c r="BZ3" cm="1">
        <f t="array" ref="BZ3:BZ329">_xlfn.LET(_xlpm.v,_xlfn._xlws.FILTER(Линии[_№ щита],Линии[_№ места (итог)]&lt;&gt;""),IF(_xlpm.v="","",_xlpm.v))</f>
        <v>1</v>
      </c>
      <c r="CA3" t="str" cm="1">
        <f t="array" ref="CA3:CA329">_xlfn.LET(_xlpm.v,_xlfn._xlws.FILTER(Линии[_зона],Линии[_№ места (итог)]&lt;&gt;""),IF(_xlpm.v="","",_xlpm.v))</f>
        <v>вводной узел</v>
      </c>
    </row>
    <row r="4" spans="1:79" x14ac:dyDescent="0.3">
      <c r="A4" s="39" t="str">
        <v>ГРЩ-ЖД</v>
      </c>
      <c r="B4" s="42">
        <v>4</v>
      </c>
      <c r="C4" s="42">
        <v>1</v>
      </c>
      <c r="D4" s="75" t="str">
        <v/>
      </c>
      <c r="E4" s="75" t="str">
        <v>авто</v>
      </c>
      <c r="F4" s="76" t="str">
        <v/>
      </c>
      <c r="G4" s="47" t="str">
        <v/>
      </c>
      <c r="H4" s="47" t="str">
        <v>3P С630А</v>
      </c>
      <c r="I4" s="75" t="str">
        <v/>
      </c>
      <c r="J4" s="76" t="str">
        <v/>
      </c>
      <c r="K4" s="76" t="str">
        <v/>
      </c>
      <c r="L4" s="75" t="str">
        <v/>
      </c>
      <c r="M4" s="49" t="str">
        <v/>
      </c>
      <c r="N4" s="76" t="str">
        <v/>
      </c>
      <c r="O4" s="49" t="str">
        <v/>
      </c>
      <c r="P4" s="77" t="str">
        <v/>
      </c>
      <c r="Q4" s="53" t="str">
        <v/>
      </c>
      <c r="R4" s="54" t="str">
        <v>Ввод.2</v>
      </c>
      <c r="S4" s="55" t="str">
        <v>Основной ввод в дом №2</v>
      </c>
      <c r="T4" s="56">
        <v>526.28100000000018</v>
      </c>
      <c r="U4" s="56">
        <v>482.46999999999997</v>
      </c>
      <c r="V4" s="42" t="str">
        <v>L1,L2,L3</v>
      </c>
      <c r="W4" s="57" t="str">
        <v>ok</v>
      </c>
      <c r="X4" s="58" t="str">
        <v/>
      </c>
      <c r="Y4" s="75" t="str">
        <v/>
      </c>
      <c r="Z4" s="59">
        <v>482.46261025528872</v>
      </c>
      <c r="AA4" s="61">
        <v>630</v>
      </c>
      <c r="AB4" s="61" t="str">
        <v/>
      </c>
      <c r="AC4" s="61" t="str">
        <v/>
      </c>
      <c r="AD4" s="62" t="str">
        <v/>
      </c>
      <c r="AE4" s="62" t="str">
        <v/>
      </c>
      <c r="AF4" s="34" t="str">
        <v/>
      </c>
      <c r="AG4" s="34" t="str">
        <v/>
      </c>
      <c r="AH4" s="34" t="str">
        <v/>
      </c>
      <c r="AI4" s="34" t="str">
        <v/>
      </c>
      <c r="AJ4" s="34" t="str">
        <v/>
      </c>
      <c r="AK4" s="34">
        <v>3</v>
      </c>
      <c r="AL4" s="34" t="str">
        <v>Ввод</v>
      </c>
      <c r="AM4" s="34">
        <v>0</v>
      </c>
      <c r="AN4" s="34">
        <v>0</v>
      </c>
      <c r="AO4" s="34">
        <v>630</v>
      </c>
      <c r="AP4" s="34" t="str">
        <v/>
      </c>
      <c r="AQ4" s="34">
        <v>630</v>
      </c>
      <c r="AR4" s="34">
        <v>3</v>
      </c>
      <c r="AS4" s="34">
        <v>0</v>
      </c>
      <c r="AT4" s="34" t="str">
        <v>3P</v>
      </c>
      <c r="AU4" s="34">
        <v>630</v>
      </c>
      <c r="AV4" s="34" t="str">
        <v/>
      </c>
      <c r="AW4" s="34" t="str">
        <v/>
      </c>
      <c r="AX4" s="34" t="str">
        <v/>
      </c>
      <c r="AY4" s="34">
        <v>0</v>
      </c>
      <c r="AZ4" s="34" t="str">
        <v/>
      </c>
      <c r="BA4" s="34">
        <v>0</v>
      </c>
      <c r="BB4" s="34">
        <v>0</v>
      </c>
      <c r="BD4" s="34">
        <v>0</v>
      </c>
      <c r="BE4" s="34">
        <v>0</v>
      </c>
      <c r="BF4" s="34">
        <v>0</v>
      </c>
      <c r="BG4" s="34" t="str">
        <v/>
      </c>
      <c r="BH4" s="34" t="str">
        <v/>
      </c>
      <c r="BI4" s="34" t="str">
        <v/>
      </c>
      <c r="BJ4" s="34" t="str">
        <v/>
      </c>
      <c r="BK4" s="34" t="str">
        <v>BOX</v>
      </c>
      <c r="BL4" s="34">
        <v>1</v>
      </c>
      <c r="BM4" s="34" t="str">
        <v/>
      </c>
      <c r="BN4" s="34" t="str">
        <v/>
      </c>
      <c r="BO4" s="34" t="str">
        <v/>
      </c>
      <c r="BP4" s="34" t="str">
        <v/>
      </c>
      <c r="BQ4" s="34" t="str">
        <v/>
      </c>
      <c r="BR4" s="34" t="str">
        <v/>
      </c>
      <c r="BS4" s="34" t="str">
        <v/>
      </c>
      <c r="BT4" s="34" t="str">
        <v/>
      </c>
      <c r="BU4" s="34">
        <v>0</v>
      </c>
      <c r="BV4" s="34">
        <v>2</v>
      </c>
      <c r="BW4" s="34">
        <v>0</v>
      </c>
      <c r="BX4" s="34">
        <v>0</v>
      </c>
      <c r="BY4" s="34">
        <v>0</v>
      </c>
      <c r="BZ4">
        <v>1</v>
      </c>
      <c r="CA4" t="str">
        <v>вводной узел</v>
      </c>
    </row>
    <row r="5" spans="1:79" x14ac:dyDescent="0.3">
      <c r="A5" s="39" t="str">
        <v>ГРЩ-ЖД</v>
      </c>
      <c r="B5" s="42">
        <v>7</v>
      </c>
      <c r="C5" s="42">
        <v>1</v>
      </c>
      <c r="D5" s="75" t="str">
        <v/>
      </c>
      <c r="E5" s="75" t="str">
        <v>авто</v>
      </c>
      <c r="F5" s="76" t="str">
        <v/>
      </c>
      <c r="G5" s="47" t="str">
        <v>QF1</v>
      </c>
      <c r="H5" s="47" t="str">
        <v>1P С10А</v>
      </c>
      <c r="I5" s="75" t="str">
        <v/>
      </c>
      <c r="J5" s="76" t="str">
        <v/>
      </c>
      <c r="K5" s="76" t="str">
        <v/>
      </c>
      <c r="L5" s="75" t="str">
        <v/>
      </c>
      <c r="M5" s="49" t="str">
        <v/>
      </c>
      <c r="N5" s="76" t="str">
        <v/>
      </c>
      <c r="O5" s="49" t="str">
        <v/>
      </c>
      <c r="P5" s="77" t="str">
        <v>XT1</v>
      </c>
      <c r="Q5" s="53" t="str">
        <v>ВВГнг(А)-FRLS (3х2,5) L=15-0,41%</v>
      </c>
      <c r="R5" s="54" t="str">
        <v>ЩСПЗ-ЖД.1</v>
      </c>
      <c r="S5" s="55" t="str">
        <v>Щит системы противопожарной защиты Цокольный этаж этаж Пом. №001Т Ввод.1</v>
      </c>
      <c r="T5" s="56">
        <v>1.6</v>
      </c>
      <c r="U5" s="56">
        <v>3.65</v>
      </c>
      <c r="V5" s="42" t="str">
        <v>L2</v>
      </c>
      <c r="W5" s="57" t="str">
        <v>ok</v>
      </c>
      <c r="X5" s="58" t="str">
        <v/>
      </c>
      <c r="Y5" s="75" t="str">
        <v/>
      </c>
      <c r="Z5" s="59">
        <v>3.646422752776584</v>
      </c>
      <c r="AA5" s="61">
        <v>6</v>
      </c>
      <c r="AB5" s="61">
        <v>25</v>
      </c>
      <c r="AC5" s="61" t="str">
        <v/>
      </c>
      <c r="AD5" s="62" t="str">
        <v>QF1 → XT1</v>
      </c>
      <c r="AE5" s="62" t="str">
        <v/>
      </c>
      <c r="AF5" s="34">
        <v>1</v>
      </c>
      <c r="AG5" s="34" t="str">
        <v>QF1</v>
      </c>
      <c r="AH5" s="34" t="str">
        <v/>
      </c>
      <c r="AI5" s="34" t="str">
        <v/>
      </c>
      <c r="AJ5" s="34" t="str">
        <v>QF1</v>
      </c>
      <c r="AK5" s="34">
        <v>1</v>
      </c>
      <c r="AL5" s="34" t="str">
        <v>ЩСПЗ-ЖД</v>
      </c>
      <c r="AM5" s="34">
        <v>0</v>
      </c>
      <c r="AN5" s="34">
        <v>0</v>
      </c>
      <c r="AO5" s="34">
        <v>6</v>
      </c>
      <c r="AP5" s="34">
        <v>25</v>
      </c>
      <c r="AQ5" s="34">
        <v>10</v>
      </c>
      <c r="AR5" s="34">
        <v>1</v>
      </c>
      <c r="AS5" s="34">
        <v>0</v>
      </c>
      <c r="AT5" s="34" t="str">
        <v>1P</v>
      </c>
      <c r="AU5" s="34">
        <v>10</v>
      </c>
      <c r="AV5" s="34" t="str">
        <v/>
      </c>
      <c r="AW5" s="34" t="str">
        <v/>
      </c>
      <c r="AX5" s="34" t="str">
        <v/>
      </c>
      <c r="AY5" s="34">
        <v>1</v>
      </c>
      <c r="AZ5" s="34" t="str">
        <v/>
      </c>
      <c r="BA5" s="34">
        <v>0</v>
      </c>
      <c r="BB5" s="34">
        <v>0</v>
      </c>
      <c r="BD5" s="34">
        <v>1</v>
      </c>
      <c r="BE5" s="34">
        <v>0</v>
      </c>
      <c r="BF5" s="34">
        <v>0</v>
      </c>
      <c r="BG5" s="34" t="str">
        <v/>
      </c>
      <c r="BH5" s="34" t="str">
        <v/>
      </c>
      <c r="BI5" s="34" t="str">
        <v/>
      </c>
      <c r="BJ5" s="34" t="str">
        <v/>
      </c>
      <c r="BK5" s="34" t="str">
        <v>BOX</v>
      </c>
      <c r="BL5" s="34">
        <v>1</v>
      </c>
      <c r="BM5" s="34">
        <v>2</v>
      </c>
      <c r="BN5" s="34" t="str">
        <v/>
      </c>
      <c r="BO5" s="34" t="str">
        <v/>
      </c>
      <c r="BP5" s="34" t="str">
        <v/>
      </c>
      <c r="BQ5" s="34" t="str">
        <v>3х2,5</v>
      </c>
      <c r="BR5" s="34">
        <v>1</v>
      </c>
      <c r="BS5" s="34" t="str">
        <v/>
      </c>
      <c r="BT5" s="34" t="str">
        <v/>
      </c>
      <c r="BU5" s="34">
        <v>0</v>
      </c>
      <c r="BV5" s="34">
        <v>3</v>
      </c>
      <c r="BW5" s="34">
        <v>1</v>
      </c>
      <c r="BX5" s="34">
        <v>0</v>
      </c>
      <c r="BY5" s="34">
        <v>0</v>
      </c>
      <c r="BZ5">
        <v>1</v>
      </c>
      <c r="CA5" t="str">
        <v>линии</v>
      </c>
    </row>
    <row r="6" spans="1:79" x14ac:dyDescent="0.3">
      <c r="A6" s="39" t="str">
        <v>ГРЩ-ЖД</v>
      </c>
      <c r="B6" s="42">
        <v>8</v>
      </c>
      <c r="C6" s="42">
        <v>1</v>
      </c>
      <c r="D6" s="75" t="str">
        <v/>
      </c>
      <c r="E6" s="75" t="str">
        <v>авто</v>
      </c>
      <c r="F6" s="76" t="str">
        <v/>
      </c>
      <c r="G6" s="47" t="str">
        <v>QF2</v>
      </c>
      <c r="H6" s="47" t="str">
        <v>1P С10А</v>
      </c>
      <c r="I6" s="75" t="str">
        <v/>
      </c>
      <c r="J6" s="76" t="str">
        <v/>
      </c>
      <c r="K6" s="76" t="str">
        <v/>
      </c>
      <c r="L6" s="75" t="str">
        <v/>
      </c>
      <c r="M6" s="49" t="str">
        <v/>
      </c>
      <c r="N6" s="76" t="str">
        <v/>
      </c>
      <c r="O6" s="49" t="str">
        <v/>
      </c>
      <c r="P6" s="77" t="str">
        <v>XT2</v>
      </c>
      <c r="Q6" s="53" t="str">
        <v>ВВГнг(А)-FRLS (3х2,5) L=15-0%</v>
      </c>
      <c r="R6" s="54" t="str">
        <v>ЩСПЗ-ЖД.2</v>
      </c>
      <c r="S6" s="55" t="str">
        <v>Щит системы противопожарной защиты Цокольный этаж этаж Пом. №001Т Ввод.2</v>
      </c>
      <c r="T6" s="56">
        <v>0</v>
      </c>
      <c r="U6" s="56">
        <v>0</v>
      </c>
      <c r="V6" s="42" t="str">
        <v>L1</v>
      </c>
      <c r="W6" s="57" t="str">
        <v>ok</v>
      </c>
      <c r="X6" s="58" t="str">
        <v/>
      </c>
      <c r="Y6" s="75" t="str">
        <v/>
      </c>
      <c r="Z6" s="59">
        <v>0</v>
      </c>
      <c r="AA6" s="61">
        <v>6</v>
      </c>
      <c r="AB6" s="61">
        <v>25</v>
      </c>
      <c r="AC6" s="61" t="str">
        <v/>
      </c>
      <c r="AD6" s="62" t="str">
        <v>QF2 → XT2</v>
      </c>
      <c r="AE6" s="62" t="str">
        <v>нет мощности</v>
      </c>
      <c r="AF6" s="34">
        <v>2</v>
      </c>
      <c r="AG6" s="34" t="str">
        <v>QF2</v>
      </c>
      <c r="AH6" s="34" t="str">
        <v/>
      </c>
      <c r="AI6" s="34" t="str">
        <v/>
      </c>
      <c r="AJ6" s="34" t="str">
        <v>QF2</v>
      </c>
      <c r="AK6" s="34">
        <v>1</v>
      </c>
      <c r="AL6" s="34" t="str">
        <v>ЩСПЗ-ЖД</v>
      </c>
      <c r="AM6" s="34">
        <v>0</v>
      </c>
      <c r="AN6" s="34">
        <v>0</v>
      </c>
      <c r="AO6" s="34">
        <v>6</v>
      </c>
      <c r="AP6" s="34">
        <v>25</v>
      </c>
      <c r="AQ6" s="34">
        <v>10</v>
      </c>
      <c r="AR6" s="34">
        <v>1</v>
      </c>
      <c r="AS6" s="34">
        <v>0</v>
      </c>
      <c r="AT6" s="34" t="str">
        <v>1P</v>
      </c>
      <c r="AU6" s="34">
        <v>10</v>
      </c>
      <c r="AV6" s="34" t="str">
        <v/>
      </c>
      <c r="AW6" s="34" t="str">
        <v/>
      </c>
      <c r="AX6" s="34" t="str">
        <v/>
      </c>
      <c r="AY6" s="34">
        <v>1</v>
      </c>
      <c r="AZ6" s="34" t="str">
        <v/>
      </c>
      <c r="BA6" s="34">
        <v>0</v>
      </c>
      <c r="BB6" s="34">
        <v>0</v>
      </c>
      <c r="BD6" s="34">
        <v>1</v>
      </c>
      <c r="BE6" s="34">
        <v>0</v>
      </c>
      <c r="BF6" s="34">
        <v>0</v>
      </c>
      <c r="BG6" s="34" t="str">
        <v/>
      </c>
      <c r="BH6" s="34" t="str">
        <v/>
      </c>
      <c r="BI6" s="34" t="str">
        <v/>
      </c>
      <c r="BJ6" s="34" t="str">
        <v/>
      </c>
      <c r="BK6" s="34" t="str">
        <v>BOX</v>
      </c>
      <c r="BL6" s="34">
        <v>1</v>
      </c>
      <c r="BM6" s="34" t="str">
        <v/>
      </c>
      <c r="BN6" s="34" t="str">
        <v/>
      </c>
      <c r="BO6" s="34" t="str">
        <v/>
      </c>
      <c r="BP6" s="34" t="str">
        <v/>
      </c>
      <c r="BQ6" s="34" t="str">
        <v>3х2,5</v>
      </c>
      <c r="BR6" s="34" t="str">
        <v/>
      </c>
      <c r="BS6" s="34" t="str">
        <v/>
      </c>
      <c r="BT6" s="34" t="str">
        <v/>
      </c>
      <c r="BU6" s="34">
        <v>1</v>
      </c>
      <c r="BV6" s="34">
        <v>4</v>
      </c>
      <c r="BW6" s="34">
        <v>1</v>
      </c>
      <c r="BX6" s="34">
        <v>0</v>
      </c>
      <c r="BY6" s="34">
        <v>0</v>
      </c>
      <c r="BZ6">
        <v>1</v>
      </c>
      <c r="CA6" t="str">
        <v>линии</v>
      </c>
    </row>
    <row r="7" spans="1:79" x14ac:dyDescent="0.3">
      <c r="A7" s="39" t="str">
        <v>ГРЩ-ЖД</v>
      </c>
      <c r="B7" s="42">
        <v>19</v>
      </c>
      <c r="C7" s="42">
        <v>2</v>
      </c>
      <c r="D7" s="75" t="str">
        <v/>
      </c>
      <c r="E7" s="75" t="str">
        <v>авто</v>
      </c>
      <c r="F7" s="76" t="str">
        <v/>
      </c>
      <c r="G7" s="47" t="str">
        <v>QF3</v>
      </c>
      <c r="H7" s="47" t="str">
        <v>3P С25А</v>
      </c>
      <c r="I7" s="75" t="str">
        <v/>
      </c>
      <c r="J7" s="76" t="str">
        <v/>
      </c>
      <c r="K7" s="76" t="str">
        <v/>
      </c>
      <c r="L7" s="75" t="str">
        <v/>
      </c>
      <c r="M7" s="49" t="str">
        <v/>
      </c>
      <c r="N7" s="76" t="str">
        <v/>
      </c>
      <c r="O7" s="49" t="str">
        <v/>
      </c>
      <c r="P7" s="77" t="str">
        <v/>
      </c>
      <c r="Q7" s="53" t="str">
        <v>ВВГнг(А)-LS (5х6) L=15-0,24%</v>
      </c>
      <c r="R7" s="54" t="str">
        <v>ЩОВ-01</v>
      </c>
      <c r="S7" s="55" t="str">
        <v>Щит вентиляции ЩОВ-01 Цокольный этаж этаж Пом. №0.001Тб</v>
      </c>
      <c r="T7" s="56">
        <v>13.172999999999996</v>
      </c>
      <c r="U7" s="56">
        <v>11.93</v>
      </c>
      <c r="V7" s="42" t="str">
        <v>L1,L2,L3</v>
      </c>
      <c r="W7" s="57" t="str">
        <v>ok</v>
      </c>
      <c r="X7" s="58" t="str">
        <v/>
      </c>
      <c r="Y7" s="75" t="str">
        <v/>
      </c>
      <c r="Z7" s="59">
        <v>11.927695717539414</v>
      </c>
      <c r="AA7" s="61">
        <v>16</v>
      </c>
      <c r="AB7" s="61">
        <v>32</v>
      </c>
      <c r="AC7" s="61" t="str">
        <v/>
      </c>
      <c r="AD7" s="62" t="str">
        <v>QF3</v>
      </c>
      <c r="AE7" s="62" t="str">
        <v/>
      </c>
      <c r="AF7" s="34">
        <v>3</v>
      </c>
      <c r="AG7" s="34" t="str">
        <v>QF3</v>
      </c>
      <c r="AH7" s="34" t="str">
        <v/>
      </c>
      <c r="AI7" s="34" t="str">
        <v/>
      </c>
      <c r="AJ7" s="34" t="str">
        <v>QF3</v>
      </c>
      <c r="AK7" s="34">
        <v>3</v>
      </c>
      <c r="AL7" s="34" t="str">
        <v>ЩОВ-01</v>
      </c>
      <c r="AM7" s="34">
        <v>0</v>
      </c>
      <c r="AN7" s="34">
        <v>0</v>
      </c>
      <c r="AO7" s="34">
        <v>16</v>
      </c>
      <c r="AP7" s="34">
        <v>32</v>
      </c>
      <c r="AQ7" s="34">
        <v>25</v>
      </c>
      <c r="AR7" s="34">
        <v>3</v>
      </c>
      <c r="AS7" s="34">
        <v>0</v>
      </c>
      <c r="AT7" s="34" t="str">
        <v>3P</v>
      </c>
      <c r="AU7" s="34">
        <v>25</v>
      </c>
      <c r="AV7" s="34" t="str">
        <v/>
      </c>
      <c r="AW7" s="34" t="str">
        <v/>
      </c>
      <c r="AX7" s="34" t="str">
        <v/>
      </c>
      <c r="AY7" s="34">
        <v>1</v>
      </c>
      <c r="AZ7" s="34" t="str">
        <v/>
      </c>
      <c r="BA7" s="34">
        <v>0</v>
      </c>
      <c r="BB7" s="34">
        <v>0</v>
      </c>
      <c r="BD7" s="34">
        <v>1</v>
      </c>
      <c r="BE7" s="34">
        <v>0</v>
      </c>
      <c r="BF7" s="34">
        <v>0</v>
      </c>
      <c r="BG7" s="34" t="str">
        <v/>
      </c>
      <c r="BH7" s="34" t="str">
        <v/>
      </c>
      <c r="BI7" s="34" t="str">
        <v/>
      </c>
      <c r="BJ7" s="34" t="str">
        <v/>
      </c>
      <c r="BK7" s="34" t="str">
        <v>BOX</v>
      </c>
      <c r="BL7" s="34">
        <v>1</v>
      </c>
      <c r="BM7" s="34">
        <v>3</v>
      </c>
      <c r="BN7" s="34" t="str">
        <v/>
      </c>
      <c r="BO7" s="34" t="str">
        <v/>
      </c>
      <c r="BP7" s="34" t="str">
        <v/>
      </c>
      <c r="BQ7" s="34" t="str">
        <v>5х6</v>
      </c>
      <c r="BR7" s="34">
        <v>2</v>
      </c>
      <c r="BS7" s="34" t="str">
        <v/>
      </c>
      <c r="BT7" s="34" t="str">
        <v/>
      </c>
      <c r="BU7" s="34">
        <v>0</v>
      </c>
      <c r="BV7" s="34">
        <v>5</v>
      </c>
      <c r="BW7" s="34">
        <v>1</v>
      </c>
      <c r="BX7" s="34">
        <v>2</v>
      </c>
      <c r="BY7" s="34" t="str">
        <v/>
      </c>
      <c r="BZ7">
        <v>1</v>
      </c>
      <c r="CA7" t="str">
        <v>линии</v>
      </c>
    </row>
    <row r="8" spans="1:79" x14ac:dyDescent="0.3">
      <c r="A8" s="39" t="str">
        <v>ГРЩ-ЖД</v>
      </c>
      <c r="B8" s="42">
        <v>20</v>
      </c>
      <c r="C8" s="42">
        <v>2</v>
      </c>
      <c r="D8" s="75" t="str">
        <v/>
      </c>
      <c r="E8" s="75" t="str">
        <v>авто</v>
      </c>
      <c r="F8" s="76" t="str">
        <v/>
      </c>
      <c r="G8" s="47" t="str">
        <v>QF4</v>
      </c>
      <c r="H8" s="47" t="str">
        <v>3P С400А</v>
      </c>
      <c r="I8" s="75" t="str">
        <v/>
      </c>
      <c r="J8" s="76" t="str">
        <v/>
      </c>
      <c r="K8" s="76" t="str">
        <v/>
      </c>
      <c r="L8" s="75" t="str">
        <v/>
      </c>
      <c r="M8" s="49" t="str">
        <v/>
      </c>
      <c r="N8" s="76" t="str">
        <v/>
      </c>
      <c r="O8" s="49" t="str">
        <v/>
      </c>
      <c r="P8" s="77" t="str">
        <v>XT4</v>
      </c>
      <c r="Q8" s="53" t="str">
        <v>5хВВГнг(А)-LS  (1х185) L=58-0,64%</v>
      </c>
      <c r="R8" s="54" t="str">
        <v>ЩОВ-001</v>
      </c>
      <c r="S8" s="55" t="str">
        <v>Щит вентиляции ЩОВ-001 Подвальный этаж этаж Пом. №00.006Т</v>
      </c>
      <c r="T8" s="56">
        <v>211.22</v>
      </c>
      <c r="U8" s="56">
        <v>190.6</v>
      </c>
      <c r="V8" s="42" t="str">
        <v>L1,L2,L3</v>
      </c>
      <c r="W8" s="57" t="str">
        <v>ok</v>
      </c>
      <c r="X8" s="58" t="str">
        <v/>
      </c>
      <c r="Y8" s="75" t="str">
        <v/>
      </c>
      <c r="Z8" s="59">
        <v>190.59775761622515</v>
      </c>
      <c r="AA8" s="61">
        <v>250</v>
      </c>
      <c r="AB8" s="61">
        <v>500</v>
      </c>
      <c r="AC8" s="61" t="str">
        <v/>
      </c>
      <c r="AD8" s="62" t="str">
        <v>QF4 → XT4</v>
      </c>
      <c r="AE8" s="62" t="str">
        <v/>
      </c>
      <c r="AF8" s="34">
        <v>4</v>
      </c>
      <c r="AG8" s="34" t="str">
        <v>QF4</v>
      </c>
      <c r="AH8" s="34" t="str">
        <v/>
      </c>
      <c r="AI8" s="34" t="str">
        <v/>
      </c>
      <c r="AJ8" s="34" t="str">
        <v>QF4</v>
      </c>
      <c r="AK8" s="34">
        <v>3</v>
      </c>
      <c r="AL8" s="34" t="str">
        <v>ЩОВ-001</v>
      </c>
      <c r="AM8" s="34">
        <v>0</v>
      </c>
      <c r="AN8" s="34">
        <v>0</v>
      </c>
      <c r="AO8" s="34">
        <v>250</v>
      </c>
      <c r="AP8" s="34">
        <v>500</v>
      </c>
      <c r="AQ8" s="34">
        <v>400</v>
      </c>
      <c r="AR8" s="34">
        <v>3</v>
      </c>
      <c r="AS8" s="34">
        <v>0</v>
      </c>
      <c r="AT8" s="34" t="str">
        <v>3P</v>
      </c>
      <c r="AU8" s="34">
        <v>400</v>
      </c>
      <c r="AV8" s="34" t="str">
        <v/>
      </c>
      <c r="AW8" s="34" t="str">
        <v/>
      </c>
      <c r="AX8" s="34" t="str">
        <v/>
      </c>
      <c r="AY8" s="34">
        <v>1</v>
      </c>
      <c r="AZ8" s="34" t="str">
        <v/>
      </c>
      <c r="BA8" s="34">
        <v>0</v>
      </c>
      <c r="BB8" s="34">
        <v>0</v>
      </c>
      <c r="BD8" s="34">
        <v>1</v>
      </c>
      <c r="BE8" s="34">
        <v>0</v>
      </c>
      <c r="BF8" s="34">
        <v>0</v>
      </c>
      <c r="BG8" s="34" t="str">
        <v/>
      </c>
      <c r="BH8" s="34" t="str">
        <v/>
      </c>
      <c r="BI8" s="34" t="str">
        <v/>
      </c>
      <c r="BJ8" s="34" t="str">
        <v/>
      </c>
      <c r="BK8" s="34" t="str">
        <v>BOX</v>
      </c>
      <c r="BL8" s="34">
        <v>1</v>
      </c>
      <c r="BM8" s="34">
        <v>4</v>
      </c>
      <c r="BN8" s="34" t="str">
        <v/>
      </c>
      <c r="BO8" s="34" t="str">
        <v/>
      </c>
      <c r="BP8" s="34" t="str">
        <v/>
      </c>
      <c r="BQ8" s="34" t="str">
        <v>1х185</v>
      </c>
      <c r="BR8" s="34">
        <v>3</v>
      </c>
      <c r="BS8" s="34" t="str">
        <v/>
      </c>
      <c r="BT8" s="34" t="str">
        <v/>
      </c>
      <c r="BU8" s="34">
        <v>0</v>
      </c>
      <c r="BV8" s="34">
        <v>6</v>
      </c>
      <c r="BW8" s="34">
        <v>1</v>
      </c>
      <c r="BX8" s="34">
        <v>0</v>
      </c>
      <c r="BY8" s="34" t="str">
        <v/>
      </c>
      <c r="BZ8">
        <v>1</v>
      </c>
      <c r="CA8" t="str">
        <v>линии</v>
      </c>
    </row>
    <row r="9" spans="1:79" x14ac:dyDescent="0.3">
      <c r="A9" s="39" t="str">
        <v>ГРЩ-ЖД</v>
      </c>
      <c r="B9" s="42">
        <v>21</v>
      </c>
      <c r="C9" s="42">
        <v>2</v>
      </c>
      <c r="D9" s="75" t="str">
        <v/>
      </c>
      <c r="E9" s="75" t="str">
        <v>авто</v>
      </c>
      <c r="F9" s="76" t="str">
        <v/>
      </c>
      <c r="G9" s="47" t="str">
        <v>QF5</v>
      </c>
      <c r="H9" s="47" t="str">
        <v>3P С16А</v>
      </c>
      <c r="I9" s="75" t="str">
        <v/>
      </c>
      <c r="J9" s="76" t="str">
        <v/>
      </c>
      <c r="K9" s="76" t="str">
        <v/>
      </c>
      <c r="L9" s="75" t="str">
        <v/>
      </c>
      <c r="M9" s="49" t="str">
        <v/>
      </c>
      <c r="N9" s="76" t="str">
        <v/>
      </c>
      <c r="O9" s="49" t="str">
        <v/>
      </c>
      <c r="P9" s="77" t="str">
        <v/>
      </c>
      <c r="Q9" s="53" t="str">
        <v>ВВГнг(А)-LS (5х4) L=46-0,74%</v>
      </c>
      <c r="R9" s="54" t="str">
        <v>ЩОВ-002</v>
      </c>
      <c r="S9" s="55" t="str">
        <v>Щит вентиляции ЩОВ-002 Подвальный этаж этаж Пом. №00.003Т</v>
      </c>
      <c r="T9" s="56">
        <v>6.99</v>
      </c>
      <c r="U9" s="56">
        <v>8.1199999999999992</v>
      </c>
      <c r="V9" s="42" t="str">
        <v>L1,L2,L3</v>
      </c>
      <c r="W9" s="57" t="str">
        <v>ok</v>
      </c>
      <c r="X9" s="58" t="str">
        <v/>
      </c>
      <c r="Y9" s="75" t="str">
        <v/>
      </c>
      <c r="Z9" s="59">
        <v>8.1189881604791125</v>
      </c>
      <c r="AA9" s="61">
        <v>10</v>
      </c>
      <c r="AB9" s="61">
        <v>32</v>
      </c>
      <c r="AC9" s="61" t="str">
        <v/>
      </c>
      <c r="AD9" s="62" t="str">
        <v>QF5</v>
      </c>
      <c r="AE9" s="62" t="str">
        <v/>
      </c>
      <c r="AF9" s="34">
        <v>5</v>
      </c>
      <c r="AG9" s="34" t="str">
        <v>QF5</v>
      </c>
      <c r="AH9" s="34" t="str">
        <v/>
      </c>
      <c r="AI9" s="34" t="str">
        <v/>
      </c>
      <c r="AJ9" s="34" t="str">
        <v>QF5</v>
      </c>
      <c r="AK9" s="34">
        <v>3</v>
      </c>
      <c r="AL9" s="34" t="str">
        <v>ЩОВ-002</v>
      </c>
      <c r="AM9" s="34">
        <v>0</v>
      </c>
      <c r="AN9" s="34">
        <v>0</v>
      </c>
      <c r="AO9" s="34">
        <v>10</v>
      </c>
      <c r="AP9" s="34">
        <v>32</v>
      </c>
      <c r="AQ9" s="34">
        <v>16</v>
      </c>
      <c r="AR9" s="34">
        <v>3</v>
      </c>
      <c r="AS9" s="34">
        <v>0</v>
      </c>
      <c r="AT9" s="34" t="str">
        <v>3P</v>
      </c>
      <c r="AU9" s="34">
        <v>16</v>
      </c>
      <c r="AV9" s="34" t="str">
        <v/>
      </c>
      <c r="AW9" s="34" t="str">
        <v/>
      </c>
      <c r="AX9" s="34" t="str">
        <v/>
      </c>
      <c r="AY9" s="34">
        <v>1</v>
      </c>
      <c r="AZ9" s="34" t="str">
        <v/>
      </c>
      <c r="BA9" s="34">
        <v>0</v>
      </c>
      <c r="BB9" s="34">
        <v>0</v>
      </c>
      <c r="BD9" s="34">
        <v>1</v>
      </c>
      <c r="BE9" s="34">
        <v>0</v>
      </c>
      <c r="BF9" s="34">
        <v>0</v>
      </c>
      <c r="BG9" s="34" t="str">
        <v/>
      </c>
      <c r="BH9" s="34" t="str">
        <v/>
      </c>
      <c r="BI9" s="34" t="str">
        <v/>
      </c>
      <c r="BJ9" s="34" t="str">
        <v/>
      </c>
      <c r="BK9" s="34" t="str">
        <v>BOX</v>
      </c>
      <c r="BL9" s="34">
        <v>1</v>
      </c>
      <c r="BM9" s="34">
        <v>5</v>
      </c>
      <c r="BN9" s="34" t="str">
        <v/>
      </c>
      <c r="BO9" s="34" t="str">
        <v/>
      </c>
      <c r="BP9" s="34" t="str">
        <v/>
      </c>
      <c r="BQ9" s="34" t="str">
        <v>5х4</v>
      </c>
      <c r="BR9" s="34">
        <v>4</v>
      </c>
      <c r="BS9" s="34" t="str">
        <v/>
      </c>
      <c r="BT9" s="34" t="str">
        <v/>
      </c>
      <c r="BU9" s="34">
        <v>0</v>
      </c>
      <c r="BV9" s="34">
        <v>7</v>
      </c>
      <c r="BW9" s="34">
        <v>1</v>
      </c>
      <c r="BX9" s="34">
        <v>2</v>
      </c>
      <c r="BY9" s="34" t="str">
        <v/>
      </c>
      <c r="BZ9">
        <v>1</v>
      </c>
      <c r="CA9" t="str">
        <v>линии</v>
      </c>
    </row>
    <row r="10" spans="1:79" x14ac:dyDescent="0.3">
      <c r="A10" s="39" t="str">
        <v>ГРЩ-ЖД</v>
      </c>
      <c r="B10" s="42">
        <v>22</v>
      </c>
      <c r="C10" s="42">
        <v>2</v>
      </c>
      <c r="D10" s="75" t="str">
        <v/>
      </c>
      <c r="E10" s="75" t="str">
        <v>авто</v>
      </c>
      <c r="F10" s="76" t="str">
        <v/>
      </c>
      <c r="G10" s="47" t="str">
        <v>QF6</v>
      </c>
      <c r="H10" s="47" t="str">
        <v>3P С20А</v>
      </c>
      <c r="I10" s="75" t="str">
        <v/>
      </c>
      <c r="J10" s="76" t="str">
        <v/>
      </c>
      <c r="K10" s="76" t="str">
        <v/>
      </c>
      <c r="L10" s="75" t="str">
        <v/>
      </c>
      <c r="M10" s="49" t="str">
        <v/>
      </c>
      <c r="N10" s="76" t="str">
        <v/>
      </c>
      <c r="O10" s="49" t="str">
        <v/>
      </c>
      <c r="P10" s="77" t="str">
        <v/>
      </c>
      <c r="Q10" s="53" t="str">
        <v>ВВГнг(А)-LS (5х4) L=56-1,14%</v>
      </c>
      <c r="R10" s="54" t="str">
        <v>ЩОВ-2</v>
      </c>
      <c r="S10" s="55" t="str">
        <v>Щит вентиляции ЩОВ-2 Техэтаж этаж Пом. №3.001Т</v>
      </c>
      <c r="T10" s="56">
        <v>11.093000000000002</v>
      </c>
      <c r="U10" s="56">
        <v>10.29</v>
      </c>
      <c r="V10" s="42" t="str">
        <v>L1,L2,L3</v>
      </c>
      <c r="W10" s="57" t="str">
        <v>ok</v>
      </c>
      <c r="X10" s="58" t="str">
        <v/>
      </c>
      <c r="Y10" s="75" t="str">
        <v/>
      </c>
      <c r="Z10" s="59">
        <v>10.284051669940206</v>
      </c>
      <c r="AA10" s="61">
        <v>16</v>
      </c>
      <c r="AB10" s="61">
        <v>32</v>
      </c>
      <c r="AC10" s="61" t="str">
        <v/>
      </c>
      <c r="AD10" s="62" t="str">
        <v>QF6</v>
      </c>
      <c r="AE10" s="62" t="str">
        <v/>
      </c>
      <c r="AF10" s="34">
        <v>6</v>
      </c>
      <c r="AG10" s="34" t="str">
        <v>QF6</v>
      </c>
      <c r="AH10" s="34" t="str">
        <v/>
      </c>
      <c r="AI10" s="34" t="str">
        <v/>
      </c>
      <c r="AJ10" s="34" t="str">
        <v>QF6</v>
      </c>
      <c r="AK10" s="34">
        <v>3</v>
      </c>
      <c r="AL10" s="34" t="str">
        <v>ЩОВ-2</v>
      </c>
      <c r="AM10" s="34">
        <v>0</v>
      </c>
      <c r="AN10" s="34">
        <v>0</v>
      </c>
      <c r="AO10" s="34">
        <v>16</v>
      </c>
      <c r="AP10" s="34">
        <v>32</v>
      </c>
      <c r="AQ10" s="34">
        <v>20</v>
      </c>
      <c r="AR10" s="34">
        <v>3</v>
      </c>
      <c r="AS10" s="34">
        <v>0</v>
      </c>
      <c r="AT10" s="34" t="str">
        <v>3P</v>
      </c>
      <c r="AU10" s="34">
        <v>20</v>
      </c>
      <c r="AV10" s="34" t="str">
        <v/>
      </c>
      <c r="AW10" s="34" t="str">
        <v/>
      </c>
      <c r="AX10" s="34" t="str">
        <v/>
      </c>
      <c r="AY10" s="34">
        <v>1</v>
      </c>
      <c r="AZ10" s="34" t="str">
        <v/>
      </c>
      <c r="BA10" s="34">
        <v>0</v>
      </c>
      <c r="BB10" s="34">
        <v>0</v>
      </c>
      <c r="BD10" s="34">
        <v>1</v>
      </c>
      <c r="BE10" s="34">
        <v>0</v>
      </c>
      <c r="BF10" s="34">
        <v>0</v>
      </c>
      <c r="BG10" s="34" t="str">
        <v/>
      </c>
      <c r="BH10" s="34" t="str">
        <v/>
      </c>
      <c r="BI10" s="34" t="str">
        <v/>
      </c>
      <c r="BJ10" s="34" t="str">
        <v/>
      </c>
      <c r="BK10" s="34" t="str">
        <v>BOX</v>
      </c>
      <c r="BL10" s="34">
        <v>1</v>
      </c>
      <c r="BM10" s="34">
        <v>6</v>
      </c>
      <c r="BN10" s="34" t="str">
        <v/>
      </c>
      <c r="BO10" s="34" t="str">
        <v/>
      </c>
      <c r="BP10" s="34" t="str">
        <v/>
      </c>
      <c r="BQ10" s="34" t="str">
        <v>5х4</v>
      </c>
      <c r="BR10" s="34" t="str">
        <v/>
      </c>
      <c r="BS10" s="34" t="str">
        <v/>
      </c>
      <c r="BT10" s="34" t="str">
        <v/>
      </c>
      <c r="BU10" s="34">
        <v>0</v>
      </c>
      <c r="BV10" s="34">
        <v>8</v>
      </c>
      <c r="BW10" s="34">
        <v>1</v>
      </c>
      <c r="BX10" s="34">
        <v>2</v>
      </c>
      <c r="BY10" s="34" t="str">
        <v/>
      </c>
      <c r="BZ10">
        <v>1</v>
      </c>
      <c r="CA10" t="str">
        <v>линии</v>
      </c>
    </row>
    <row r="11" spans="1:79" x14ac:dyDescent="0.3">
      <c r="A11" s="39" t="str">
        <v>ГРЩ-ЖД</v>
      </c>
      <c r="B11" s="42">
        <v>23</v>
      </c>
      <c r="C11" s="42">
        <v>2</v>
      </c>
      <c r="D11" s="75" t="str">
        <v/>
      </c>
      <c r="E11" s="75" t="str">
        <v>авто</v>
      </c>
      <c r="F11" s="76" t="str">
        <v/>
      </c>
      <c r="G11" s="47" t="str">
        <v>QF7</v>
      </c>
      <c r="H11" s="47" t="str">
        <v>3P С6А</v>
      </c>
      <c r="I11" s="75" t="str">
        <v/>
      </c>
      <c r="J11" s="76" t="str">
        <v/>
      </c>
      <c r="K11" s="76" t="str">
        <v/>
      </c>
      <c r="L11" s="75" t="str">
        <v/>
      </c>
      <c r="M11" s="49" t="str">
        <v/>
      </c>
      <c r="N11" s="76" t="str">
        <v/>
      </c>
      <c r="O11" s="49" t="str">
        <v/>
      </c>
      <c r="P11" s="77" t="str">
        <v/>
      </c>
      <c r="Q11" s="53" t="str">
        <v/>
      </c>
      <c r="R11" s="54" t="str">
        <v>ЩО-2</v>
      </c>
      <c r="S11" s="55" t="str">
        <v>Щит освещения ЩО-2 Тех. этаж этаж Пом. №3.001</v>
      </c>
      <c r="T11" s="56">
        <v>0</v>
      </c>
      <c r="U11" s="56">
        <v>0</v>
      </c>
      <c r="V11" s="42" t="str">
        <v>L1,L2,L3</v>
      </c>
      <c r="W11" s="57" t="str">
        <v>ok</v>
      </c>
      <c r="X11" s="58" t="str">
        <v/>
      </c>
      <c r="Y11" s="75" t="str">
        <v/>
      </c>
      <c r="Z11" s="59">
        <v>0</v>
      </c>
      <c r="AA11" s="61">
        <v>6</v>
      </c>
      <c r="AB11" s="61" t="str">
        <v/>
      </c>
      <c r="AC11" s="61" t="str">
        <v/>
      </c>
      <c r="AD11" s="62" t="str">
        <v>QF7</v>
      </c>
      <c r="AE11" s="62" t="str">
        <v>нет мощности</v>
      </c>
      <c r="AF11" s="34">
        <v>7</v>
      </c>
      <c r="AG11" s="34" t="str">
        <v>QF7</v>
      </c>
      <c r="AH11" s="34" t="str">
        <v/>
      </c>
      <c r="AI11" s="34" t="str">
        <v/>
      </c>
      <c r="AJ11" s="34" t="str">
        <v>QF7</v>
      </c>
      <c r="AK11" s="34">
        <v>3</v>
      </c>
      <c r="AL11" s="34" t="str">
        <v>ЩО-2</v>
      </c>
      <c r="AM11" s="34">
        <v>0</v>
      </c>
      <c r="AN11" s="34">
        <v>0</v>
      </c>
      <c r="AO11" s="34">
        <v>6</v>
      </c>
      <c r="AP11" s="34" t="str">
        <v/>
      </c>
      <c r="AQ11" s="34">
        <v>6</v>
      </c>
      <c r="AR11" s="34">
        <v>3</v>
      </c>
      <c r="AS11" s="34">
        <v>0</v>
      </c>
      <c r="AT11" s="34" t="str">
        <v>3P</v>
      </c>
      <c r="AU11" s="34">
        <v>6</v>
      </c>
      <c r="AV11" s="34" t="str">
        <v/>
      </c>
      <c r="AW11" s="34" t="str">
        <v/>
      </c>
      <c r="AX11" s="34" t="str">
        <v/>
      </c>
      <c r="AY11" s="34">
        <v>0</v>
      </c>
      <c r="AZ11" s="34" t="str">
        <v/>
      </c>
      <c r="BA11" s="34">
        <v>0</v>
      </c>
      <c r="BB11" s="34">
        <v>0</v>
      </c>
      <c r="BD11" s="34">
        <v>1</v>
      </c>
      <c r="BE11" s="34">
        <v>0</v>
      </c>
      <c r="BF11" s="34">
        <v>0</v>
      </c>
      <c r="BG11" s="34" t="str">
        <v/>
      </c>
      <c r="BH11" s="34" t="str">
        <v/>
      </c>
      <c r="BI11" s="34" t="str">
        <v/>
      </c>
      <c r="BJ11" s="34" t="str">
        <v/>
      </c>
      <c r="BK11" s="34" t="str">
        <v>BOX</v>
      </c>
      <c r="BL11" s="34">
        <v>1</v>
      </c>
      <c r="BM11" s="34">
        <v>7</v>
      </c>
      <c r="BN11" s="34" t="str">
        <v/>
      </c>
      <c r="BO11" s="34" t="str">
        <v/>
      </c>
      <c r="BP11" s="34" t="str">
        <v/>
      </c>
      <c r="BQ11" s="34" t="str">
        <v/>
      </c>
      <c r="BR11" s="34" t="str">
        <v/>
      </c>
      <c r="BS11" s="34" t="str">
        <v/>
      </c>
      <c r="BT11" s="34" t="str">
        <v/>
      </c>
      <c r="BU11" s="34">
        <v>1</v>
      </c>
      <c r="BV11" s="34">
        <v>9</v>
      </c>
      <c r="BW11" s="34">
        <v>0</v>
      </c>
      <c r="BX11" s="34">
        <v>0</v>
      </c>
      <c r="BY11" s="34" t="str">
        <v/>
      </c>
      <c r="BZ11">
        <v>1</v>
      </c>
      <c r="CA11" t="str">
        <v>линии</v>
      </c>
    </row>
    <row r="12" spans="1:79" x14ac:dyDescent="0.3">
      <c r="A12" s="39" t="str">
        <v>ГРЩ-ЖД</v>
      </c>
      <c r="B12" s="42">
        <v>24</v>
      </c>
      <c r="C12" s="42">
        <v>2</v>
      </c>
      <c r="D12" s="75" t="str">
        <v/>
      </c>
      <c r="E12" s="75" t="str">
        <v>авто</v>
      </c>
      <c r="F12" s="76" t="str">
        <v/>
      </c>
      <c r="G12" s="47" t="str">
        <v>QF8</v>
      </c>
      <c r="H12" s="47" t="str">
        <v>3P С20А</v>
      </c>
      <c r="I12" s="75" t="str">
        <v/>
      </c>
      <c r="J12" s="76" t="str">
        <v/>
      </c>
      <c r="K12" s="76" t="str">
        <v/>
      </c>
      <c r="L12" s="75" t="str">
        <v/>
      </c>
      <c r="M12" s="49" t="str">
        <v/>
      </c>
      <c r="N12" s="76" t="str">
        <v/>
      </c>
      <c r="O12" s="49" t="str">
        <v/>
      </c>
      <c r="P12" s="77" t="str">
        <v/>
      </c>
      <c r="Q12" s="53" t="str">
        <v>ВВГнг(А)-LS (5х4) L=41-1,57%</v>
      </c>
      <c r="R12" s="54" t="str">
        <v>ЩР-001</v>
      </c>
      <c r="S12" s="55" t="str">
        <v>Щит распределительный ЩР-001 Подвальный этаж этаж Пом. №00.004Т</v>
      </c>
      <c r="T12" s="56">
        <v>11.860000000000001</v>
      </c>
      <c r="U12" s="56">
        <v>16.380000000000003</v>
      </c>
      <c r="V12" s="42" t="str">
        <v>L1,L2,L3</v>
      </c>
      <c r="W12" s="57" t="str">
        <v>ok</v>
      </c>
      <c r="X12" s="58" t="str">
        <v/>
      </c>
      <c r="Y12" s="75" t="str">
        <v/>
      </c>
      <c r="Z12" s="59">
        <v>16.378863980838116</v>
      </c>
      <c r="AA12" s="61">
        <v>20</v>
      </c>
      <c r="AB12" s="61">
        <v>32</v>
      </c>
      <c r="AC12" s="61" t="str">
        <v/>
      </c>
      <c r="AD12" s="62" t="str">
        <v>QF8</v>
      </c>
      <c r="AE12" s="62" t="str">
        <v/>
      </c>
      <c r="AF12" s="34">
        <v>8</v>
      </c>
      <c r="AG12" s="34" t="str">
        <v>QF8</v>
      </c>
      <c r="AH12" s="34" t="str">
        <v/>
      </c>
      <c r="AI12" s="34" t="str">
        <v/>
      </c>
      <c r="AJ12" s="34" t="str">
        <v>QF8</v>
      </c>
      <c r="AK12" s="34">
        <v>3</v>
      </c>
      <c r="AL12" s="34" t="str">
        <v>ЩР-001</v>
      </c>
      <c r="AM12" s="34">
        <v>0</v>
      </c>
      <c r="AN12" s="34">
        <v>0</v>
      </c>
      <c r="AO12" s="34">
        <v>20</v>
      </c>
      <c r="AP12" s="34">
        <v>32</v>
      </c>
      <c r="AQ12" s="34">
        <v>20</v>
      </c>
      <c r="AR12" s="34">
        <v>3</v>
      </c>
      <c r="AS12" s="34">
        <v>0</v>
      </c>
      <c r="AT12" s="34" t="str">
        <v>3P</v>
      </c>
      <c r="AU12" s="34">
        <v>20</v>
      </c>
      <c r="AV12" s="34" t="str">
        <v/>
      </c>
      <c r="AW12" s="34" t="str">
        <v/>
      </c>
      <c r="AX12" s="34" t="str">
        <v/>
      </c>
      <c r="AY12" s="34">
        <v>1</v>
      </c>
      <c r="AZ12" s="34" t="str">
        <v/>
      </c>
      <c r="BA12" s="34">
        <v>0</v>
      </c>
      <c r="BB12" s="34">
        <v>0</v>
      </c>
      <c r="BD12" s="34">
        <v>1</v>
      </c>
      <c r="BE12" s="34">
        <v>0</v>
      </c>
      <c r="BF12" s="34">
        <v>0</v>
      </c>
      <c r="BG12" s="34" t="str">
        <v/>
      </c>
      <c r="BH12" s="34" t="str">
        <v/>
      </c>
      <c r="BI12" s="34" t="str">
        <v/>
      </c>
      <c r="BJ12" s="34" t="str">
        <v/>
      </c>
      <c r="BK12" s="34" t="str">
        <v>BOX</v>
      </c>
      <c r="BL12" s="34">
        <v>1</v>
      </c>
      <c r="BM12" s="34" t="str">
        <v/>
      </c>
      <c r="BN12" s="34" t="str">
        <v/>
      </c>
      <c r="BO12" s="34" t="str">
        <v/>
      </c>
      <c r="BP12" s="34" t="str">
        <v/>
      </c>
      <c r="BQ12" s="34" t="str">
        <v>5х4</v>
      </c>
      <c r="BR12" s="34" t="str">
        <v/>
      </c>
      <c r="BS12" s="34" t="str">
        <v/>
      </c>
      <c r="BT12" s="34" t="str">
        <v/>
      </c>
      <c r="BU12" s="34">
        <v>0</v>
      </c>
      <c r="BV12" s="34">
        <v>10</v>
      </c>
      <c r="BW12" s="34">
        <v>1</v>
      </c>
      <c r="BX12" s="34">
        <v>2</v>
      </c>
      <c r="BY12" s="34">
        <v>0</v>
      </c>
      <c r="BZ12">
        <v>1</v>
      </c>
      <c r="CA12" t="str">
        <v>линии</v>
      </c>
    </row>
    <row r="13" spans="1:79" x14ac:dyDescent="0.3">
      <c r="A13" s="39" t="str">
        <v>ГРЩ-ЖД</v>
      </c>
      <c r="B13" s="42">
        <v>25</v>
      </c>
      <c r="C13" s="42">
        <v>2</v>
      </c>
      <c r="D13" s="75" t="str">
        <v/>
      </c>
      <c r="E13" s="75" t="str">
        <v>авто</v>
      </c>
      <c r="F13" s="76" t="str">
        <v/>
      </c>
      <c r="G13" s="47" t="str">
        <v>QF9</v>
      </c>
      <c r="H13" s="47" t="str">
        <v>3P С40А</v>
      </c>
      <c r="I13" s="75" t="str">
        <v/>
      </c>
      <c r="J13" s="76" t="str">
        <v/>
      </c>
      <c r="K13" s="76" t="str">
        <v/>
      </c>
      <c r="L13" s="75" t="str">
        <v/>
      </c>
      <c r="M13" s="49" t="str">
        <v/>
      </c>
      <c r="N13" s="76" t="str">
        <v/>
      </c>
      <c r="O13" s="49" t="str">
        <v/>
      </c>
      <c r="P13" s="77" t="str">
        <v/>
      </c>
      <c r="Q13" s="53" t="str">
        <v>ВВГнг(А)-LS (5х10) L=14-0,43%</v>
      </c>
      <c r="R13" s="54" t="str">
        <v>ЩР-01</v>
      </c>
      <c r="S13" s="55" t="str">
        <v>Щит распределительный ЩР-01 Цокольный этаж этаж Пом. №0.001Т</v>
      </c>
      <c r="T13" s="56">
        <v>24.405000000000005</v>
      </c>
      <c r="U13" s="56">
        <v>32.799999999999997</v>
      </c>
      <c r="V13" s="42" t="str">
        <v>L1,L2,L3</v>
      </c>
      <c r="W13" s="57" t="str">
        <v>ok</v>
      </c>
      <c r="X13" s="58" t="str">
        <v/>
      </c>
      <c r="Y13" s="75" t="str">
        <v/>
      </c>
      <c r="Z13" s="59">
        <v>32.798575666043085</v>
      </c>
      <c r="AA13" s="61">
        <v>40</v>
      </c>
      <c r="AB13" s="61">
        <v>50</v>
      </c>
      <c r="AC13" s="61" t="str">
        <v/>
      </c>
      <c r="AD13" s="62" t="str">
        <v>QF9</v>
      </c>
      <c r="AE13" s="62" t="str">
        <v/>
      </c>
      <c r="AF13" s="34">
        <v>9</v>
      </c>
      <c r="AG13" s="34" t="str">
        <v>QF9</v>
      </c>
      <c r="AH13" s="34" t="str">
        <v/>
      </c>
      <c r="AI13" s="34" t="str">
        <v/>
      </c>
      <c r="AJ13" s="34" t="str">
        <v>QF9</v>
      </c>
      <c r="AK13" s="34">
        <v>3</v>
      </c>
      <c r="AL13" s="34" t="str">
        <v>ЩР-01</v>
      </c>
      <c r="AM13" s="34">
        <v>0</v>
      </c>
      <c r="AN13" s="34">
        <v>0</v>
      </c>
      <c r="AO13" s="34">
        <v>40</v>
      </c>
      <c r="AP13" s="34">
        <v>50</v>
      </c>
      <c r="AQ13" s="34">
        <v>40</v>
      </c>
      <c r="AR13" s="34">
        <v>3</v>
      </c>
      <c r="AS13" s="34">
        <v>0</v>
      </c>
      <c r="AT13" s="34" t="str">
        <v>3P</v>
      </c>
      <c r="AU13" s="34">
        <v>40</v>
      </c>
      <c r="AV13" s="34" t="str">
        <v/>
      </c>
      <c r="AW13" s="34" t="str">
        <v/>
      </c>
      <c r="AX13" s="34" t="str">
        <v/>
      </c>
      <c r="AY13" s="34">
        <v>1</v>
      </c>
      <c r="AZ13" s="34" t="str">
        <v/>
      </c>
      <c r="BA13" s="34">
        <v>0</v>
      </c>
      <c r="BB13" s="34">
        <v>0</v>
      </c>
      <c r="BD13" s="34">
        <v>1</v>
      </c>
      <c r="BE13" s="34">
        <v>0</v>
      </c>
      <c r="BF13" s="34">
        <v>0</v>
      </c>
      <c r="BG13" s="34" t="str">
        <v/>
      </c>
      <c r="BH13" s="34" t="str">
        <v/>
      </c>
      <c r="BI13" s="34" t="str">
        <v/>
      </c>
      <c r="BJ13" s="34" t="str">
        <v/>
      </c>
      <c r="BK13" s="34" t="str">
        <v>BOX</v>
      </c>
      <c r="BL13" s="34">
        <v>1</v>
      </c>
      <c r="BM13" s="34">
        <v>8</v>
      </c>
      <c r="BN13" s="34" t="str">
        <v/>
      </c>
      <c r="BO13" s="34" t="str">
        <v/>
      </c>
      <c r="BP13" s="34" t="str">
        <v/>
      </c>
      <c r="BQ13" s="34" t="str">
        <v>5х10</v>
      </c>
      <c r="BR13" s="34">
        <v>5</v>
      </c>
      <c r="BS13" s="34" t="str">
        <v/>
      </c>
      <c r="BT13" s="34" t="str">
        <v/>
      </c>
      <c r="BU13" s="34">
        <v>0</v>
      </c>
      <c r="BV13" s="34">
        <v>11</v>
      </c>
      <c r="BW13" s="34">
        <v>1</v>
      </c>
      <c r="BX13" s="34">
        <v>2</v>
      </c>
      <c r="BY13" s="34">
        <v>0</v>
      </c>
      <c r="BZ13">
        <v>1</v>
      </c>
      <c r="CA13" t="str">
        <v>линии</v>
      </c>
    </row>
    <row r="14" spans="1:79" x14ac:dyDescent="0.3">
      <c r="A14" s="39" t="str">
        <v>ГРЩ-ЖД</v>
      </c>
      <c r="B14" s="42">
        <v>26</v>
      </c>
      <c r="C14" s="42">
        <v>2</v>
      </c>
      <c r="D14" s="75" t="str">
        <v/>
      </c>
      <c r="E14" s="75" t="str">
        <v>авто</v>
      </c>
      <c r="F14" s="76" t="str">
        <v/>
      </c>
      <c r="G14" s="47" t="str">
        <v>QF10</v>
      </c>
      <c r="H14" s="47" t="str">
        <v>3P С63А</v>
      </c>
      <c r="I14" s="75" t="str">
        <v/>
      </c>
      <c r="J14" s="76" t="str">
        <v/>
      </c>
      <c r="K14" s="76" t="str">
        <v/>
      </c>
      <c r="L14" s="75" t="str">
        <v/>
      </c>
      <c r="M14" s="49" t="str">
        <v/>
      </c>
      <c r="N14" s="76" t="str">
        <v/>
      </c>
      <c r="O14" s="49" t="str">
        <v/>
      </c>
      <c r="P14" s="77" t="str">
        <v/>
      </c>
      <c r="Q14" s="53" t="str">
        <v>ВВГнг(А)-LS (5х16) L=65-1,19%</v>
      </c>
      <c r="R14" s="54" t="str">
        <v>ЩР-1</v>
      </c>
      <c r="S14" s="55" t="str">
        <v>Щит распределительный ЩР-1 Первый этаж этаж Пом. №1.003Б</v>
      </c>
      <c r="T14" s="56">
        <v>34.840000000000003</v>
      </c>
      <c r="U14" s="56">
        <v>30.96</v>
      </c>
      <c r="V14" s="42" t="str">
        <v>L1,L2,L3</v>
      </c>
      <c r="W14" s="57" t="str">
        <v>ok</v>
      </c>
      <c r="X14" s="58" t="str">
        <v/>
      </c>
      <c r="Y14" s="75" t="str">
        <v/>
      </c>
      <c r="Z14" s="59">
        <v>30.958664828377682</v>
      </c>
      <c r="AA14" s="61">
        <v>40</v>
      </c>
      <c r="AB14" s="61">
        <v>63</v>
      </c>
      <c r="AC14" s="61" t="str">
        <v/>
      </c>
      <c r="AD14" s="62" t="str">
        <v>QF10</v>
      </c>
      <c r="AE14" s="62" t="str">
        <v/>
      </c>
      <c r="AF14" s="34">
        <v>10</v>
      </c>
      <c r="AG14" s="34" t="str">
        <v>QF10</v>
      </c>
      <c r="AH14" s="34" t="str">
        <v/>
      </c>
      <c r="AI14" s="34" t="str">
        <v/>
      </c>
      <c r="AJ14" s="34" t="str">
        <v>QF10</v>
      </c>
      <c r="AK14" s="34">
        <v>3</v>
      </c>
      <c r="AL14" s="34" t="str">
        <v>ЩР-1</v>
      </c>
      <c r="AM14" s="34">
        <v>0</v>
      </c>
      <c r="AN14" s="34">
        <v>0</v>
      </c>
      <c r="AO14" s="34">
        <v>40</v>
      </c>
      <c r="AP14" s="34">
        <v>63</v>
      </c>
      <c r="AQ14" s="34">
        <v>63</v>
      </c>
      <c r="AR14" s="34">
        <v>3</v>
      </c>
      <c r="AS14" s="34">
        <v>0</v>
      </c>
      <c r="AT14" s="34" t="str">
        <v>3P</v>
      </c>
      <c r="AU14" s="34">
        <v>63</v>
      </c>
      <c r="AV14" s="34" t="str">
        <v/>
      </c>
      <c r="AW14" s="34" t="str">
        <v/>
      </c>
      <c r="AX14" s="34" t="str">
        <v/>
      </c>
      <c r="AY14" s="34">
        <v>1</v>
      </c>
      <c r="AZ14" s="34" t="str">
        <v/>
      </c>
      <c r="BA14" s="34">
        <v>0</v>
      </c>
      <c r="BB14" s="34">
        <v>0</v>
      </c>
      <c r="BD14" s="34">
        <v>1</v>
      </c>
      <c r="BE14" s="34">
        <v>0</v>
      </c>
      <c r="BF14" s="34">
        <v>0</v>
      </c>
      <c r="BG14" s="34" t="str">
        <v/>
      </c>
      <c r="BH14" s="34" t="str">
        <v/>
      </c>
      <c r="BI14" s="34" t="str">
        <v/>
      </c>
      <c r="BJ14" s="34" t="str">
        <v/>
      </c>
      <c r="BK14" s="34" t="str">
        <v>BOX</v>
      </c>
      <c r="BL14" s="34">
        <v>1</v>
      </c>
      <c r="BM14" s="34">
        <v>9</v>
      </c>
      <c r="BN14" s="34" t="str">
        <v/>
      </c>
      <c r="BO14" s="34" t="str">
        <v/>
      </c>
      <c r="BP14" s="34" t="str">
        <v/>
      </c>
      <c r="BQ14" s="34" t="str">
        <v>5х16</v>
      </c>
      <c r="BR14" s="34">
        <v>6</v>
      </c>
      <c r="BS14" s="34" t="str">
        <v/>
      </c>
      <c r="BT14" s="34" t="str">
        <v/>
      </c>
      <c r="BU14" s="34">
        <v>0</v>
      </c>
      <c r="BV14" s="34">
        <v>12</v>
      </c>
      <c r="BW14" s="34">
        <v>1</v>
      </c>
      <c r="BX14" s="34">
        <v>2</v>
      </c>
      <c r="BY14" s="34">
        <v>0</v>
      </c>
      <c r="BZ14">
        <v>1</v>
      </c>
      <c r="CA14" t="str">
        <v>линии</v>
      </c>
    </row>
    <row r="15" spans="1:79" x14ac:dyDescent="0.3">
      <c r="A15" s="39" t="str">
        <v>ГРЩ-ЖД</v>
      </c>
      <c r="B15" s="42">
        <v>27</v>
      </c>
      <c r="C15" s="42">
        <v>2</v>
      </c>
      <c r="D15" s="75" t="str">
        <v/>
      </c>
      <c r="E15" s="75" t="str">
        <v>авто</v>
      </c>
      <c r="F15" s="76" t="str">
        <v/>
      </c>
      <c r="G15" s="47" t="str">
        <v>QF11</v>
      </c>
      <c r="H15" s="47" t="str">
        <v>3P С16А</v>
      </c>
      <c r="I15" s="75" t="str">
        <v/>
      </c>
      <c r="J15" s="76" t="str">
        <v/>
      </c>
      <c r="K15" s="76" t="str">
        <v/>
      </c>
      <c r="L15" s="75" t="str">
        <v/>
      </c>
      <c r="M15" s="49" t="str">
        <v/>
      </c>
      <c r="N15" s="76" t="str">
        <v/>
      </c>
      <c r="O15" s="49" t="str">
        <v/>
      </c>
      <c r="P15" s="77" t="str">
        <v/>
      </c>
      <c r="Q15" s="53" t="str">
        <v>ВВГнг(А)-LS (5х4) L=56-1,79%</v>
      </c>
      <c r="R15" s="54" t="str">
        <v>ЩР-2</v>
      </c>
      <c r="S15" s="55" t="str">
        <v>Щит распределительный ЩР-2 Техэтаж этаж Пом. №3.001Т</v>
      </c>
      <c r="T15" s="56">
        <v>9.98</v>
      </c>
      <c r="U15" s="56">
        <v>13.7</v>
      </c>
      <c r="V15" s="42" t="str">
        <v>L1,L2,L3</v>
      </c>
      <c r="W15" s="57" t="str">
        <v>ok</v>
      </c>
      <c r="X15" s="58" t="str">
        <v/>
      </c>
      <c r="Y15" s="75" t="str">
        <v/>
      </c>
      <c r="Z15" s="59">
        <v>13.694473137501861</v>
      </c>
      <c r="AA15" s="61">
        <v>16</v>
      </c>
      <c r="AB15" s="61">
        <v>32</v>
      </c>
      <c r="AC15" s="61" t="str">
        <v/>
      </c>
      <c r="AD15" s="62" t="str">
        <v>QF11</v>
      </c>
      <c r="AE15" s="62" t="str">
        <v/>
      </c>
      <c r="AF15" s="34">
        <v>11</v>
      </c>
      <c r="AG15" s="34" t="str">
        <v>QF11</v>
      </c>
      <c r="AH15" s="34" t="str">
        <v/>
      </c>
      <c r="AI15" s="34" t="str">
        <v/>
      </c>
      <c r="AJ15" s="34" t="str">
        <v>QF11</v>
      </c>
      <c r="AK15" s="34">
        <v>3</v>
      </c>
      <c r="AL15" s="34" t="str">
        <v>ЩР-2</v>
      </c>
      <c r="AM15" s="34">
        <v>0</v>
      </c>
      <c r="AN15" s="34">
        <v>0</v>
      </c>
      <c r="AO15" s="34">
        <v>16</v>
      </c>
      <c r="AP15" s="34">
        <v>32</v>
      </c>
      <c r="AQ15" s="34">
        <v>16</v>
      </c>
      <c r="AR15" s="34">
        <v>3</v>
      </c>
      <c r="AS15" s="34">
        <v>0</v>
      </c>
      <c r="AT15" s="34" t="str">
        <v>3P</v>
      </c>
      <c r="AU15" s="34">
        <v>16</v>
      </c>
      <c r="AV15" s="34" t="str">
        <v/>
      </c>
      <c r="AW15" s="34" t="str">
        <v/>
      </c>
      <c r="AX15" s="34" t="str">
        <v/>
      </c>
      <c r="AY15" s="34">
        <v>1</v>
      </c>
      <c r="AZ15" s="34" t="str">
        <v/>
      </c>
      <c r="BA15" s="34">
        <v>0</v>
      </c>
      <c r="BB15" s="34">
        <v>0</v>
      </c>
      <c r="BD15" s="34">
        <v>1</v>
      </c>
      <c r="BE15" s="34">
        <v>0</v>
      </c>
      <c r="BF15" s="34">
        <v>0</v>
      </c>
      <c r="BG15" s="34" t="str">
        <v/>
      </c>
      <c r="BH15" s="34" t="str">
        <v/>
      </c>
      <c r="BI15" s="34" t="str">
        <v/>
      </c>
      <c r="BJ15" s="34" t="str">
        <v/>
      </c>
      <c r="BK15" s="34" t="str">
        <v>BOX</v>
      </c>
      <c r="BL15" s="34">
        <v>1</v>
      </c>
      <c r="BM15" s="34" t="str">
        <v/>
      </c>
      <c r="BN15" s="34" t="str">
        <v/>
      </c>
      <c r="BO15" s="34" t="str">
        <v/>
      </c>
      <c r="BP15" s="34" t="str">
        <v/>
      </c>
      <c r="BQ15" s="34" t="str">
        <v>5х4</v>
      </c>
      <c r="BR15" s="34" t="str">
        <v/>
      </c>
      <c r="BS15" s="34" t="str">
        <v/>
      </c>
      <c r="BT15" s="34" t="str">
        <v/>
      </c>
      <c r="BU15" s="34">
        <v>0</v>
      </c>
      <c r="BV15" s="34">
        <v>13</v>
      </c>
      <c r="BW15" s="34">
        <v>1</v>
      </c>
      <c r="BX15" s="34">
        <v>2</v>
      </c>
      <c r="BY15" s="34">
        <v>0</v>
      </c>
      <c r="BZ15">
        <v>1</v>
      </c>
      <c r="CA15" t="str">
        <v>линии</v>
      </c>
    </row>
    <row r="16" spans="1:79" x14ac:dyDescent="0.3">
      <c r="A16" s="39" t="str">
        <v>ГРЩ-ЖД</v>
      </c>
      <c r="B16" s="42">
        <v>28</v>
      </c>
      <c r="C16" s="42">
        <v>2</v>
      </c>
      <c r="D16" s="75" t="str">
        <v/>
      </c>
      <c r="E16" s="75" t="str">
        <v>авто</v>
      </c>
      <c r="F16" s="76" t="str">
        <v/>
      </c>
      <c r="G16" s="47" t="str">
        <v>QF12</v>
      </c>
      <c r="H16" s="47" t="str">
        <v>3P С40А</v>
      </c>
      <c r="I16" s="75" t="str">
        <v/>
      </c>
      <c r="J16" s="76" t="str">
        <v/>
      </c>
      <c r="K16" s="76" t="str">
        <v/>
      </c>
      <c r="L16" s="75" t="str">
        <v/>
      </c>
      <c r="M16" s="49" t="str">
        <v/>
      </c>
      <c r="N16" s="76" t="str">
        <v/>
      </c>
      <c r="O16" s="49" t="str">
        <v/>
      </c>
      <c r="P16" s="77" t="str">
        <v/>
      </c>
      <c r="Q16" s="53" t="str">
        <v>ВВГнг(А)-LS (5х10) L=53-0,96%</v>
      </c>
      <c r="R16" s="54" t="str">
        <v>ЩС-Б</v>
      </c>
      <c r="S16" s="55" t="str">
        <v>Щит бассейна ЩС-Б Подвальный этаж этаж Пом. №00.002Тб</v>
      </c>
      <c r="T16" s="56">
        <v>24.990000000000002</v>
      </c>
      <c r="U16" s="56">
        <v>22.55</v>
      </c>
      <c r="V16" s="42" t="str">
        <v>L1,L2,L3</v>
      </c>
      <c r="W16" s="57" t="str">
        <v>ok</v>
      </c>
      <c r="X16" s="58" t="str">
        <v/>
      </c>
      <c r="Y16" s="75" t="str">
        <v/>
      </c>
      <c r="Z16" s="59">
        <v>22.54372379226367</v>
      </c>
      <c r="AA16" s="61">
        <v>32</v>
      </c>
      <c r="AB16" s="61">
        <v>50</v>
      </c>
      <c r="AC16" s="61" t="str">
        <v/>
      </c>
      <c r="AD16" s="62" t="str">
        <v>QF12</v>
      </c>
      <c r="AE16" s="62" t="str">
        <v/>
      </c>
      <c r="AF16" s="34">
        <v>12</v>
      </c>
      <c r="AG16" s="34" t="str">
        <v>QF12</v>
      </c>
      <c r="AH16" s="34" t="str">
        <v/>
      </c>
      <c r="AI16" s="34" t="str">
        <v/>
      </c>
      <c r="AJ16" s="34" t="str">
        <v>QF12</v>
      </c>
      <c r="AK16" s="34">
        <v>3</v>
      </c>
      <c r="AL16" s="34" t="str">
        <v>ЩС-Б</v>
      </c>
      <c r="AM16" s="34">
        <v>0</v>
      </c>
      <c r="AN16" s="34">
        <v>0</v>
      </c>
      <c r="AO16" s="34">
        <v>32</v>
      </c>
      <c r="AP16" s="34">
        <v>50</v>
      </c>
      <c r="AQ16" s="34">
        <v>40</v>
      </c>
      <c r="AR16" s="34">
        <v>3</v>
      </c>
      <c r="AS16" s="34">
        <v>0</v>
      </c>
      <c r="AT16" s="34" t="str">
        <v>3P</v>
      </c>
      <c r="AU16" s="34">
        <v>40</v>
      </c>
      <c r="AV16" s="34" t="str">
        <v/>
      </c>
      <c r="AW16" s="34" t="str">
        <v/>
      </c>
      <c r="AX16" s="34" t="str">
        <v/>
      </c>
      <c r="AY16" s="34">
        <v>1</v>
      </c>
      <c r="AZ16" s="34" t="str">
        <v/>
      </c>
      <c r="BA16" s="34">
        <v>0</v>
      </c>
      <c r="BB16" s="34">
        <v>0</v>
      </c>
      <c r="BD16" s="34">
        <v>1</v>
      </c>
      <c r="BE16" s="34">
        <v>0</v>
      </c>
      <c r="BF16" s="34">
        <v>0</v>
      </c>
      <c r="BG16" s="34" t="str">
        <v/>
      </c>
      <c r="BH16" s="34" t="str">
        <v/>
      </c>
      <c r="BI16" s="34" t="str">
        <v/>
      </c>
      <c r="BJ16" s="34" t="str">
        <v/>
      </c>
      <c r="BK16" s="34" t="str">
        <v>BOX</v>
      </c>
      <c r="BL16" s="34">
        <v>1</v>
      </c>
      <c r="BM16" s="34" t="str">
        <v/>
      </c>
      <c r="BN16" s="34" t="str">
        <v/>
      </c>
      <c r="BO16" s="34" t="str">
        <v/>
      </c>
      <c r="BP16" s="34" t="str">
        <v/>
      </c>
      <c r="BQ16" s="34" t="str">
        <v>5х10</v>
      </c>
      <c r="BR16" s="34" t="str">
        <v/>
      </c>
      <c r="BS16" s="34" t="str">
        <v/>
      </c>
      <c r="BT16" s="34" t="str">
        <v/>
      </c>
      <c r="BU16" s="34">
        <v>0</v>
      </c>
      <c r="BV16" s="34">
        <v>14</v>
      </c>
      <c r="BW16" s="34">
        <v>1</v>
      </c>
      <c r="BX16" s="34">
        <v>2</v>
      </c>
      <c r="BY16" s="34">
        <v>0</v>
      </c>
      <c r="BZ16">
        <v>1</v>
      </c>
      <c r="CA16" t="str">
        <v>линии</v>
      </c>
    </row>
    <row r="17" spans="1:79" x14ac:dyDescent="0.3">
      <c r="A17" s="39" t="str">
        <v>ГРЩ-ЖД</v>
      </c>
      <c r="B17" s="42">
        <v>29</v>
      </c>
      <c r="C17" s="42">
        <v>2</v>
      </c>
      <c r="D17" s="75" t="str">
        <v/>
      </c>
      <c r="E17" s="75" t="str">
        <v>авто</v>
      </c>
      <c r="F17" s="76" t="str">
        <v/>
      </c>
      <c r="G17" s="47" t="str">
        <v>QF13</v>
      </c>
      <c r="H17" s="47" t="str">
        <v>1P С20А</v>
      </c>
      <c r="I17" s="75" t="str">
        <v/>
      </c>
      <c r="J17" s="76" t="str">
        <v/>
      </c>
      <c r="K17" s="76" t="str">
        <v/>
      </c>
      <c r="L17" s="75" t="str">
        <v/>
      </c>
      <c r="M17" s="49" t="str">
        <v/>
      </c>
      <c r="N17" s="76" t="str">
        <v/>
      </c>
      <c r="O17" s="49" t="str">
        <v/>
      </c>
      <c r="P17" s="77" t="str">
        <v/>
      </c>
      <c r="Q17" s="53" t="str">
        <v>ВВГнг(А)-LS (3х4) L=52-2,12%</v>
      </c>
      <c r="R17" s="54" t="str">
        <v>ЩС-ВК.001</v>
      </c>
      <c r="S17" s="55" t="str">
        <v>Щит дренажных насосов ЩС-ВК.001 Подвальный этаж этаж Пом. 00.002Т</v>
      </c>
      <c r="T17" s="56">
        <v>3.8000000000000003</v>
      </c>
      <c r="U17" s="56">
        <v>10.29</v>
      </c>
      <c r="V17" s="42" t="str">
        <v>L3</v>
      </c>
      <c r="W17" s="57" t="str">
        <v>ok</v>
      </c>
      <c r="X17" s="58" t="str">
        <v/>
      </c>
      <c r="Y17" s="75" t="str">
        <v/>
      </c>
      <c r="Z17" s="59">
        <v>10.28405166994021</v>
      </c>
      <c r="AA17" s="61">
        <v>16</v>
      </c>
      <c r="AB17" s="61">
        <v>32</v>
      </c>
      <c r="AC17" s="61" t="str">
        <v/>
      </c>
      <c r="AD17" s="62" t="str">
        <v>QF13</v>
      </c>
      <c r="AE17" s="62" t="str">
        <v/>
      </c>
      <c r="AF17" s="34">
        <v>13</v>
      </c>
      <c r="AG17" s="34" t="str">
        <v>QF13</v>
      </c>
      <c r="AH17" s="34" t="str">
        <v/>
      </c>
      <c r="AI17" s="34" t="str">
        <v/>
      </c>
      <c r="AJ17" s="34" t="str">
        <v>QF13</v>
      </c>
      <c r="AK17" s="34">
        <v>1</v>
      </c>
      <c r="AL17" s="34" t="str">
        <v>ЩС-ВК</v>
      </c>
      <c r="AM17" s="34">
        <v>0</v>
      </c>
      <c r="AN17" s="34">
        <v>0</v>
      </c>
      <c r="AO17" s="34">
        <v>16</v>
      </c>
      <c r="AP17" s="34">
        <v>32</v>
      </c>
      <c r="AQ17" s="34">
        <v>20</v>
      </c>
      <c r="AR17" s="34">
        <v>1</v>
      </c>
      <c r="AS17" s="34">
        <v>0</v>
      </c>
      <c r="AT17" s="34" t="str">
        <v>1P</v>
      </c>
      <c r="AU17" s="34">
        <v>20</v>
      </c>
      <c r="AV17" s="34" t="str">
        <v/>
      </c>
      <c r="AW17" s="34" t="str">
        <v/>
      </c>
      <c r="AX17" s="34" t="str">
        <v/>
      </c>
      <c r="AY17" s="34">
        <v>1</v>
      </c>
      <c r="AZ17" s="34" t="str">
        <v/>
      </c>
      <c r="BA17" s="34">
        <v>0</v>
      </c>
      <c r="BB17" s="34">
        <v>0</v>
      </c>
      <c r="BD17" s="34">
        <v>1</v>
      </c>
      <c r="BE17" s="34">
        <v>0</v>
      </c>
      <c r="BF17" s="34">
        <v>0</v>
      </c>
      <c r="BG17" s="34" t="str">
        <v/>
      </c>
      <c r="BH17" s="34" t="str">
        <v/>
      </c>
      <c r="BI17" s="34" t="str">
        <v/>
      </c>
      <c r="BJ17" s="34" t="str">
        <v/>
      </c>
      <c r="BK17" s="34" t="str">
        <v>BOX</v>
      </c>
      <c r="BL17" s="34">
        <v>1</v>
      </c>
      <c r="BM17" s="34">
        <v>10</v>
      </c>
      <c r="BN17" s="34" t="str">
        <v/>
      </c>
      <c r="BO17" s="34" t="str">
        <v/>
      </c>
      <c r="BP17" s="34" t="str">
        <v/>
      </c>
      <c r="BQ17" s="34" t="str">
        <v>3х4</v>
      </c>
      <c r="BR17" s="34">
        <v>7</v>
      </c>
      <c r="BS17" s="34" t="str">
        <v/>
      </c>
      <c r="BT17" s="34" t="str">
        <v/>
      </c>
      <c r="BU17" s="34">
        <v>0</v>
      </c>
      <c r="BV17" s="34">
        <v>15</v>
      </c>
      <c r="BW17" s="34">
        <v>1</v>
      </c>
      <c r="BX17" s="34">
        <v>0</v>
      </c>
      <c r="BY17" s="34">
        <v>0</v>
      </c>
      <c r="BZ17">
        <v>1</v>
      </c>
      <c r="CA17" t="str">
        <v>линии</v>
      </c>
    </row>
    <row r="18" spans="1:79" x14ac:dyDescent="0.3">
      <c r="A18" s="39" t="str">
        <v>ГРЩ-ЖД</v>
      </c>
      <c r="B18" s="42">
        <v>30</v>
      </c>
      <c r="C18" s="42">
        <v>2</v>
      </c>
      <c r="D18" s="75" t="str">
        <v/>
      </c>
      <c r="E18" s="75" t="str">
        <v>авто</v>
      </c>
      <c r="F18" s="76" t="str">
        <v/>
      </c>
      <c r="G18" s="47" t="str">
        <v>QF14</v>
      </c>
      <c r="H18" s="47" t="str">
        <v>1P С16А</v>
      </c>
      <c r="I18" s="75" t="str">
        <v/>
      </c>
      <c r="J18" s="76" t="str">
        <v/>
      </c>
      <c r="K18" s="76" t="str">
        <v/>
      </c>
      <c r="L18" s="75" t="str">
        <v/>
      </c>
      <c r="M18" s="49" t="str">
        <v/>
      </c>
      <c r="N18" s="76" t="str">
        <v/>
      </c>
      <c r="O18" s="49" t="str">
        <v/>
      </c>
      <c r="P18" s="77" t="str">
        <v/>
      </c>
      <c r="Q18" s="53" t="str">
        <v>ВВГнг(А)-LS (3х4) L=51-1,84%</v>
      </c>
      <c r="R18" s="54" t="str">
        <v>ЩС-ВК.002</v>
      </c>
      <c r="S18" s="55" t="str">
        <v>Щит насосов ЩС-ВК.002 Подвальный этаж этаж Пом. №00.002Тб</v>
      </c>
      <c r="T18" s="56">
        <v>2.4</v>
      </c>
      <c r="U18" s="56">
        <v>9.1</v>
      </c>
      <c r="V18" s="42" t="str">
        <v>L3</v>
      </c>
      <c r="W18" s="57" t="str">
        <v>ok</v>
      </c>
      <c r="X18" s="58" t="str">
        <v/>
      </c>
      <c r="Y18" s="75" t="str">
        <v/>
      </c>
      <c r="Z18" s="59">
        <v>9.0932667397366043</v>
      </c>
      <c r="AA18" s="61">
        <v>16</v>
      </c>
      <c r="AB18" s="61">
        <v>32</v>
      </c>
      <c r="AC18" s="61" t="str">
        <v/>
      </c>
      <c r="AD18" s="62" t="str">
        <v>QF14</v>
      </c>
      <c r="AE18" s="62" t="str">
        <v/>
      </c>
      <c r="AF18" s="34">
        <v>14</v>
      </c>
      <c r="AG18" s="34" t="str">
        <v>QF14</v>
      </c>
      <c r="AH18" s="34" t="str">
        <v/>
      </c>
      <c r="AI18" s="34" t="str">
        <v/>
      </c>
      <c r="AJ18" s="34" t="str">
        <v>QF14</v>
      </c>
      <c r="AK18" s="34">
        <v>1</v>
      </c>
      <c r="AL18" s="34" t="str">
        <v>ЩС-ВК</v>
      </c>
      <c r="AM18" s="34">
        <v>0</v>
      </c>
      <c r="AN18" s="34">
        <v>0</v>
      </c>
      <c r="AO18" s="34">
        <v>16</v>
      </c>
      <c r="AP18" s="34">
        <v>32</v>
      </c>
      <c r="AQ18" s="34">
        <v>16</v>
      </c>
      <c r="AR18" s="34">
        <v>1</v>
      </c>
      <c r="AS18" s="34">
        <v>0</v>
      </c>
      <c r="AT18" s="34" t="str">
        <v>1P</v>
      </c>
      <c r="AU18" s="34">
        <v>16</v>
      </c>
      <c r="AV18" s="34" t="str">
        <v/>
      </c>
      <c r="AW18" s="34" t="str">
        <v/>
      </c>
      <c r="AX18" s="34" t="str">
        <v/>
      </c>
      <c r="AY18" s="34">
        <v>1</v>
      </c>
      <c r="AZ18" s="34" t="str">
        <v/>
      </c>
      <c r="BA18" s="34">
        <v>0</v>
      </c>
      <c r="BB18" s="34">
        <v>0</v>
      </c>
      <c r="BD18" s="34">
        <v>1</v>
      </c>
      <c r="BE18" s="34">
        <v>0</v>
      </c>
      <c r="BF18" s="34">
        <v>0</v>
      </c>
      <c r="BG18" s="34" t="str">
        <v/>
      </c>
      <c r="BH18" s="34" t="str">
        <v/>
      </c>
      <c r="BI18" s="34" t="str">
        <v/>
      </c>
      <c r="BJ18" s="34" t="str">
        <v/>
      </c>
      <c r="BK18" s="34" t="str">
        <v>BOX</v>
      </c>
      <c r="BL18" s="34">
        <v>1</v>
      </c>
      <c r="BM18" s="34">
        <v>11</v>
      </c>
      <c r="BN18" s="34" t="str">
        <v/>
      </c>
      <c r="BO18" s="34" t="str">
        <v/>
      </c>
      <c r="BP18" s="34" t="str">
        <v/>
      </c>
      <c r="BQ18" s="34" t="str">
        <v>3х4</v>
      </c>
      <c r="BR18" s="34" t="str">
        <v/>
      </c>
      <c r="BS18" s="34" t="str">
        <v/>
      </c>
      <c r="BT18" s="34" t="str">
        <v/>
      </c>
      <c r="BU18" s="34">
        <v>0</v>
      </c>
      <c r="BV18" s="34">
        <v>16</v>
      </c>
      <c r="BW18" s="34">
        <v>1</v>
      </c>
      <c r="BX18" s="34">
        <v>0</v>
      </c>
      <c r="BY18" s="34">
        <v>0</v>
      </c>
      <c r="BZ18">
        <v>1</v>
      </c>
      <c r="CA18" t="str">
        <v>линии</v>
      </c>
    </row>
    <row r="19" spans="1:79" x14ac:dyDescent="0.3">
      <c r="A19" s="39" t="str">
        <v>ГРЩ-ЖД</v>
      </c>
      <c r="B19" s="42">
        <v>31</v>
      </c>
      <c r="C19" s="42">
        <v>2</v>
      </c>
      <c r="D19" s="75" t="str">
        <v/>
      </c>
      <c r="E19" s="75" t="str">
        <v>авто</v>
      </c>
      <c r="F19" s="76" t="str">
        <v/>
      </c>
      <c r="G19" s="47" t="str">
        <v>QF15</v>
      </c>
      <c r="H19" s="47" t="str">
        <v>1P С20А</v>
      </c>
      <c r="I19" s="75" t="str">
        <v/>
      </c>
      <c r="J19" s="76" t="str">
        <v/>
      </c>
      <c r="K19" s="76" t="str">
        <v/>
      </c>
      <c r="L19" s="75" t="str">
        <v/>
      </c>
      <c r="M19" s="49" t="str">
        <v/>
      </c>
      <c r="N19" s="76" t="str">
        <v/>
      </c>
      <c r="O19" s="49" t="str">
        <v/>
      </c>
      <c r="P19" s="77" t="str">
        <v/>
      </c>
      <c r="Q19" s="53" t="str">
        <v>ВВГнг(А)-LS (3х4) L=53-3,44%</v>
      </c>
      <c r="R19" s="54" t="str">
        <v>ЩС-ВК.003</v>
      </c>
      <c r="S19" s="55" t="str">
        <v>Щит насосов ЩС-ВК.003 Подвальный этаж этаж Пом. №00.006Т</v>
      </c>
      <c r="T19" s="56">
        <v>4.34</v>
      </c>
      <c r="U19" s="56">
        <v>16.450000000000003</v>
      </c>
      <c r="V19" s="42" t="str">
        <v>L2</v>
      </c>
      <c r="W19" s="57" t="str">
        <v>ok</v>
      </c>
      <c r="X19" s="58" t="str">
        <v/>
      </c>
      <c r="Y19" s="75" t="str">
        <v/>
      </c>
      <c r="Z19" s="59">
        <v>16.443657354357025</v>
      </c>
      <c r="AA19" s="61">
        <v>20</v>
      </c>
      <c r="AB19" s="61">
        <v>32</v>
      </c>
      <c r="AC19" s="61" t="str">
        <v/>
      </c>
      <c r="AD19" s="62" t="str">
        <v>QF15</v>
      </c>
      <c r="AE19" s="62" t="str">
        <v/>
      </c>
      <c r="AF19" s="34">
        <v>15</v>
      </c>
      <c r="AG19" s="34" t="str">
        <v>QF15</v>
      </c>
      <c r="AH19" s="34" t="str">
        <v/>
      </c>
      <c r="AI19" s="34" t="str">
        <v/>
      </c>
      <c r="AJ19" s="34" t="str">
        <v>QF15</v>
      </c>
      <c r="AK19" s="34">
        <v>1</v>
      </c>
      <c r="AL19" s="34" t="str">
        <v>ЩС-ВК</v>
      </c>
      <c r="AM19" s="34">
        <v>0</v>
      </c>
      <c r="AN19" s="34">
        <v>0</v>
      </c>
      <c r="AO19" s="34">
        <v>20</v>
      </c>
      <c r="AP19" s="34">
        <v>32</v>
      </c>
      <c r="AQ19" s="34">
        <v>20</v>
      </c>
      <c r="AR19" s="34">
        <v>1</v>
      </c>
      <c r="AS19" s="34">
        <v>0</v>
      </c>
      <c r="AT19" s="34" t="str">
        <v>1P</v>
      </c>
      <c r="AU19" s="34">
        <v>20</v>
      </c>
      <c r="AV19" s="34" t="str">
        <v/>
      </c>
      <c r="AW19" s="34" t="str">
        <v/>
      </c>
      <c r="AX19" s="34" t="str">
        <v/>
      </c>
      <c r="AY19" s="34">
        <v>1</v>
      </c>
      <c r="AZ19" s="34" t="str">
        <v/>
      </c>
      <c r="BA19" s="34">
        <v>0</v>
      </c>
      <c r="BB19" s="34">
        <v>0</v>
      </c>
      <c r="BD19" s="34">
        <v>1</v>
      </c>
      <c r="BE19" s="34">
        <v>0</v>
      </c>
      <c r="BF19" s="34">
        <v>0</v>
      </c>
      <c r="BG19" s="34" t="str">
        <v/>
      </c>
      <c r="BH19" s="34" t="str">
        <v/>
      </c>
      <c r="BI19" s="34" t="str">
        <v/>
      </c>
      <c r="BJ19" s="34" t="str">
        <v/>
      </c>
      <c r="BK19" s="34" t="str">
        <v>BOX</v>
      </c>
      <c r="BL19" s="34">
        <v>1</v>
      </c>
      <c r="BM19" s="34" t="str">
        <v/>
      </c>
      <c r="BN19" s="34" t="str">
        <v/>
      </c>
      <c r="BO19" s="34" t="str">
        <v/>
      </c>
      <c r="BP19" s="34" t="str">
        <v/>
      </c>
      <c r="BQ19" s="34" t="str">
        <v>3х4</v>
      </c>
      <c r="BR19" s="34" t="str">
        <v/>
      </c>
      <c r="BS19" s="34" t="str">
        <v/>
      </c>
      <c r="BT19" s="34" t="str">
        <v/>
      </c>
      <c r="BU19" s="34">
        <v>0</v>
      </c>
      <c r="BV19" s="34">
        <v>17</v>
      </c>
      <c r="BW19" s="34">
        <v>1</v>
      </c>
      <c r="BX19" s="34">
        <v>0</v>
      </c>
      <c r="BY19" s="34">
        <v>0</v>
      </c>
      <c r="BZ19">
        <v>1</v>
      </c>
      <c r="CA19" t="str">
        <v>линии</v>
      </c>
    </row>
    <row r="20" spans="1:79" x14ac:dyDescent="0.3">
      <c r="A20" s="39" t="str">
        <v>ГРЩ-ЖД</v>
      </c>
      <c r="B20" s="42">
        <v>32</v>
      </c>
      <c r="C20" s="42">
        <v>2</v>
      </c>
      <c r="D20" s="75" t="str">
        <v/>
      </c>
      <c r="E20" s="75" t="str">
        <v>авто</v>
      </c>
      <c r="F20" s="76" t="str">
        <v/>
      </c>
      <c r="G20" s="47" t="str">
        <v>QF16</v>
      </c>
      <c r="H20" s="47" t="str">
        <v>3P С32А</v>
      </c>
      <c r="I20" s="75" t="str">
        <v/>
      </c>
      <c r="J20" s="76" t="str">
        <v/>
      </c>
      <c r="K20" s="76" t="str">
        <v/>
      </c>
      <c r="L20" s="75" t="str">
        <v/>
      </c>
      <c r="M20" s="49" t="str">
        <v/>
      </c>
      <c r="N20" s="76" t="str">
        <v/>
      </c>
      <c r="O20" s="49" t="str">
        <v/>
      </c>
      <c r="P20" s="77" t="str">
        <v/>
      </c>
      <c r="Q20" s="53" t="str">
        <v>ВВГнг(А)-LS (5х6) L=52-2,49%</v>
      </c>
      <c r="R20" s="54" t="str">
        <v>ЩУОВ</v>
      </c>
      <c r="S20" s="55" t="str">
        <v>Щит управления обогрева воронок ЩУОВ Тех. этаж этаж Пом. №3.001</v>
      </c>
      <c r="T20" s="56">
        <v>16.439999999999998</v>
      </c>
      <c r="U20" s="56">
        <v>30.770000000000003</v>
      </c>
      <c r="V20" s="42" t="str">
        <v>L1,L2,L3</v>
      </c>
      <c r="W20" s="57" t="str">
        <v>ok</v>
      </c>
      <c r="X20" s="58" t="str">
        <v/>
      </c>
      <c r="Y20" s="75" t="str">
        <v/>
      </c>
      <c r="Z20" s="59">
        <v>30.766691976552419</v>
      </c>
      <c r="AA20" s="61">
        <v>40</v>
      </c>
      <c r="AB20" s="61">
        <v>32</v>
      </c>
      <c r="AC20" s="61" t="str">
        <v/>
      </c>
      <c r="AD20" s="62" t="str">
        <v>QF16</v>
      </c>
      <c r="AE20" s="62" t="str">
        <v/>
      </c>
      <c r="AF20" s="34">
        <v>16</v>
      </c>
      <c r="AG20" s="34" t="str">
        <v>QF16</v>
      </c>
      <c r="AH20" s="34" t="str">
        <v/>
      </c>
      <c r="AI20" s="34" t="str">
        <v/>
      </c>
      <c r="AJ20" s="34" t="str">
        <v>QF16</v>
      </c>
      <c r="AK20" s="34">
        <v>3</v>
      </c>
      <c r="AL20" s="34" t="str">
        <v>ЩУОВ</v>
      </c>
      <c r="AM20" s="34">
        <v>0</v>
      </c>
      <c r="AN20" s="34">
        <v>0</v>
      </c>
      <c r="AO20" s="34">
        <v>40</v>
      </c>
      <c r="AP20" s="34">
        <v>32</v>
      </c>
      <c r="AQ20" s="34">
        <v>32</v>
      </c>
      <c r="AR20" s="34">
        <v>3</v>
      </c>
      <c r="AS20" s="34">
        <v>0</v>
      </c>
      <c r="AT20" s="34" t="str">
        <v>3P</v>
      </c>
      <c r="AU20" s="34">
        <v>32</v>
      </c>
      <c r="AV20" s="34" t="str">
        <v/>
      </c>
      <c r="AW20" s="34" t="str">
        <v/>
      </c>
      <c r="AX20" s="34" t="str">
        <v/>
      </c>
      <c r="AY20" s="34">
        <v>1</v>
      </c>
      <c r="AZ20" s="34" t="str">
        <v/>
      </c>
      <c r="BA20" s="34">
        <v>0</v>
      </c>
      <c r="BB20" s="34">
        <v>0</v>
      </c>
      <c r="BD20" s="34">
        <v>1</v>
      </c>
      <c r="BE20" s="34">
        <v>0</v>
      </c>
      <c r="BF20" s="34">
        <v>0</v>
      </c>
      <c r="BG20" s="34" t="str">
        <v/>
      </c>
      <c r="BH20" s="34" t="str">
        <v/>
      </c>
      <c r="BI20" s="34" t="str">
        <v/>
      </c>
      <c r="BJ20" s="34" t="str">
        <v/>
      </c>
      <c r="BK20" s="34" t="str">
        <v>BOX</v>
      </c>
      <c r="BL20" s="34">
        <v>1</v>
      </c>
      <c r="BM20" s="34">
        <v>12</v>
      </c>
      <c r="BN20" s="34" t="str">
        <v/>
      </c>
      <c r="BO20" s="34" t="str">
        <v/>
      </c>
      <c r="BP20" s="34" t="str">
        <v/>
      </c>
      <c r="BQ20" s="34" t="str">
        <v>5х6</v>
      </c>
      <c r="BR20" s="34" t="str">
        <v/>
      </c>
      <c r="BS20" s="34" t="str">
        <v/>
      </c>
      <c r="BT20" s="34" t="str">
        <v/>
      </c>
      <c r="BU20" s="34">
        <v>0</v>
      </c>
      <c r="BV20" s="34">
        <v>18</v>
      </c>
      <c r="BW20" s="34">
        <v>1</v>
      </c>
      <c r="BX20" s="34">
        <v>2</v>
      </c>
      <c r="BY20" s="34" t="str">
        <v/>
      </c>
      <c r="BZ20">
        <v>1</v>
      </c>
      <c r="CA20" t="str">
        <v>линии</v>
      </c>
    </row>
    <row r="21" spans="1:79" x14ac:dyDescent="0.3">
      <c r="A21" s="39" t="str">
        <v>ГРЩ-ЖД</v>
      </c>
      <c r="B21" s="42">
        <v>33</v>
      </c>
      <c r="C21" s="42">
        <v>2</v>
      </c>
      <c r="D21" s="75" t="str">
        <v/>
      </c>
      <c r="E21" s="75" t="str">
        <v>авто</v>
      </c>
      <c r="F21" s="76" t="str">
        <v/>
      </c>
      <c r="G21" s="47" t="str">
        <v>QF17</v>
      </c>
      <c r="H21" s="47" t="str">
        <v>3P С200А</v>
      </c>
      <c r="I21" s="75" t="str">
        <v/>
      </c>
      <c r="J21" s="76" t="str">
        <v/>
      </c>
      <c r="K21" s="76" t="str">
        <v/>
      </c>
      <c r="L21" s="75" t="str">
        <v/>
      </c>
      <c r="M21" s="49" t="str">
        <v/>
      </c>
      <c r="N21" s="76" t="str">
        <v/>
      </c>
      <c r="O21" s="49" t="str">
        <v/>
      </c>
      <c r="P21" s="77" t="str">
        <v/>
      </c>
      <c r="Q21" s="53" t="str">
        <v>5хВВГнг(А)-LS  (1х95) L=53-0,98%</v>
      </c>
      <c r="R21" s="54" t="str">
        <v>ЩР-ПК</v>
      </c>
      <c r="S21" s="55" t="str">
        <v>Щит профкухни ЩС-ПК Цокольный этаж этаж Пом. №0.0014Б</v>
      </c>
      <c r="T21" s="56">
        <v>103.95</v>
      </c>
      <c r="U21" s="56">
        <v>187.54999999999998</v>
      </c>
      <c r="V21" s="42" t="str">
        <v>L1,L2,L3</v>
      </c>
      <c r="W21" s="57" t="str">
        <v>ok</v>
      </c>
      <c r="X21" s="58" t="str">
        <v/>
      </c>
      <c r="Y21" s="75" t="str">
        <v/>
      </c>
      <c r="Z21" s="59">
        <v>187.5486265070675</v>
      </c>
      <c r="AA21" s="61">
        <v>250</v>
      </c>
      <c r="AB21" s="61">
        <v>315</v>
      </c>
      <c r="AC21" s="61" t="str">
        <v/>
      </c>
      <c r="AD21" s="62" t="str">
        <v>QF17</v>
      </c>
      <c r="AE21" s="62" t="str">
        <v/>
      </c>
      <c r="AF21" s="34">
        <v>17</v>
      </c>
      <c r="AG21" s="34" t="str">
        <v>QF17</v>
      </c>
      <c r="AH21" s="34" t="str">
        <v/>
      </c>
      <c r="AI21" s="34" t="str">
        <v/>
      </c>
      <c r="AJ21" s="34" t="str">
        <v>QF17</v>
      </c>
      <c r="AK21" s="34">
        <v>3</v>
      </c>
      <c r="AL21" s="34" t="str">
        <v>ЩР-ПК</v>
      </c>
      <c r="AM21" s="34">
        <v>0</v>
      </c>
      <c r="AN21" s="34">
        <v>0</v>
      </c>
      <c r="AO21" s="34">
        <v>250</v>
      </c>
      <c r="AP21" s="34">
        <v>315</v>
      </c>
      <c r="AQ21" s="34">
        <v>200</v>
      </c>
      <c r="AR21" s="34">
        <v>3</v>
      </c>
      <c r="AS21" s="34">
        <v>0</v>
      </c>
      <c r="AT21" s="34" t="str">
        <v>3P</v>
      </c>
      <c r="AU21" s="34">
        <v>200</v>
      </c>
      <c r="AV21" s="34" t="str">
        <v/>
      </c>
      <c r="AW21" s="34" t="str">
        <v/>
      </c>
      <c r="AX21" s="34" t="str">
        <v/>
      </c>
      <c r="AY21" s="34">
        <v>1</v>
      </c>
      <c r="AZ21" s="34" t="str">
        <v/>
      </c>
      <c r="BA21" s="34">
        <v>0</v>
      </c>
      <c r="BB21" s="34">
        <v>0</v>
      </c>
      <c r="BD21" s="34">
        <v>1</v>
      </c>
      <c r="BE21" s="34">
        <v>0</v>
      </c>
      <c r="BF21" s="34">
        <v>0</v>
      </c>
      <c r="BG21" s="34" t="str">
        <v/>
      </c>
      <c r="BH21" s="34" t="str">
        <v/>
      </c>
      <c r="BI21" s="34" t="str">
        <v/>
      </c>
      <c r="BJ21" s="34" t="str">
        <v/>
      </c>
      <c r="BK21" s="34" t="str">
        <v>BOX</v>
      </c>
      <c r="BL21" s="34">
        <v>1</v>
      </c>
      <c r="BM21" s="34">
        <v>13</v>
      </c>
      <c r="BN21" s="34" t="str">
        <v/>
      </c>
      <c r="BO21" s="34" t="str">
        <v/>
      </c>
      <c r="BP21" s="34" t="str">
        <v/>
      </c>
      <c r="BQ21" s="34" t="str">
        <v>1х95</v>
      </c>
      <c r="BR21" s="34">
        <v>8</v>
      </c>
      <c r="BS21" s="34" t="str">
        <v/>
      </c>
      <c r="BT21" s="34" t="str">
        <v/>
      </c>
      <c r="BU21" s="34">
        <v>0</v>
      </c>
      <c r="BV21" s="34">
        <v>19</v>
      </c>
      <c r="BW21" s="34">
        <v>1</v>
      </c>
      <c r="BX21" s="34">
        <v>0</v>
      </c>
      <c r="BY21" s="34">
        <v>0</v>
      </c>
      <c r="BZ21">
        <v>1</v>
      </c>
      <c r="CA21" t="str">
        <v>линии</v>
      </c>
    </row>
    <row r="22" spans="1:79" x14ac:dyDescent="0.3">
      <c r="A22" s="39" t="str">
        <v>ГРЩ-ЖД</v>
      </c>
      <c r="B22" s="42">
        <v>36</v>
      </c>
      <c r="C22" s="42">
        <v>3</v>
      </c>
      <c r="D22" s="75" t="str">
        <v/>
      </c>
      <c r="E22" s="75" t="str">
        <v>авто</v>
      </c>
      <c r="F22" s="76" t="str">
        <v/>
      </c>
      <c r="G22" s="47" t="str">
        <v>QF18</v>
      </c>
      <c r="H22" s="47" t="str">
        <v>3P С63А</v>
      </c>
      <c r="I22" s="75" t="str">
        <v/>
      </c>
      <c r="J22" s="76" t="str">
        <v/>
      </c>
      <c r="K22" s="76" t="str">
        <v/>
      </c>
      <c r="L22" s="75" t="str">
        <v/>
      </c>
      <c r="M22" s="49" t="str">
        <v/>
      </c>
      <c r="N22" s="76" t="str">
        <v/>
      </c>
      <c r="O22" s="49" t="str">
        <v/>
      </c>
      <c r="P22" s="77" t="str">
        <v>XT17</v>
      </c>
      <c r="Q22" s="53" t="str">
        <v>ВВГнг(А)-LS (5х16) L=59-2,05%</v>
      </c>
      <c r="R22" s="54" t="str">
        <v>РЩ-1</v>
      </c>
      <c r="S22" s="55" t="str">
        <v>Щит Хаммам РЩ-1  Подвальный этаж этаж Пом. №00.001Тб</v>
      </c>
      <c r="T22" s="56">
        <v>38</v>
      </c>
      <c r="U22" s="56">
        <v>68.570000000000007</v>
      </c>
      <c r="V22" s="42" t="str">
        <v>L1,L2,L3</v>
      </c>
      <c r="W22" s="57" t="str">
        <v>ПЕРЕГРУЗ</v>
      </c>
      <c r="X22" s="58" t="str">
        <v/>
      </c>
      <c r="Y22" s="75" t="str">
        <v/>
      </c>
      <c r="Z22" s="59">
        <v>68.560344466268063</v>
      </c>
      <c r="AA22" s="61">
        <v>80</v>
      </c>
      <c r="AB22" s="61">
        <v>63</v>
      </c>
      <c r="AC22" s="61" t="str">
        <v/>
      </c>
      <c r="AD22" s="62" t="str">
        <v>QF18 → XT17</v>
      </c>
      <c r="AE22" s="62" t="str">
        <v>ПЕРЕГРУЗ</v>
      </c>
      <c r="AF22" s="34">
        <v>18</v>
      </c>
      <c r="AG22" s="34" t="str">
        <v>QF18</v>
      </c>
      <c r="AH22" s="34" t="str">
        <v/>
      </c>
      <c r="AI22" s="34" t="str">
        <v/>
      </c>
      <c r="AJ22" s="34" t="str">
        <v>QF18</v>
      </c>
      <c r="AK22" s="34">
        <v>3</v>
      </c>
      <c r="AL22" s="34" t="str">
        <v>РЩ-1</v>
      </c>
      <c r="AM22" s="34">
        <v>0</v>
      </c>
      <c r="AN22" s="34">
        <v>0</v>
      </c>
      <c r="AO22" s="34">
        <v>80</v>
      </c>
      <c r="AP22" s="34">
        <v>63</v>
      </c>
      <c r="AQ22" s="34">
        <v>63</v>
      </c>
      <c r="AR22" s="34">
        <v>3</v>
      </c>
      <c r="AS22" s="34">
        <v>0</v>
      </c>
      <c r="AT22" s="34" t="str">
        <v>3P</v>
      </c>
      <c r="AU22" s="34">
        <v>63</v>
      </c>
      <c r="AV22" s="34" t="str">
        <v/>
      </c>
      <c r="AW22" s="34" t="str">
        <v/>
      </c>
      <c r="AX22" s="34" t="str">
        <v/>
      </c>
      <c r="AY22" s="34">
        <v>1</v>
      </c>
      <c r="AZ22" s="34" t="str">
        <v/>
      </c>
      <c r="BA22" s="34">
        <v>0</v>
      </c>
      <c r="BB22" s="34">
        <v>0</v>
      </c>
      <c r="BD22" s="34">
        <v>1</v>
      </c>
      <c r="BE22" s="34">
        <v>0</v>
      </c>
      <c r="BF22" s="34">
        <v>0</v>
      </c>
      <c r="BG22" s="34" t="str">
        <v/>
      </c>
      <c r="BH22" s="34" t="str">
        <v/>
      </c>
      <c r="BI22" s="34" t="str">
        <v/>
      </c>
      <c r="BJ22" s="34" t="str">
        <v/>
      </c>
      <c r="BK22" s="34" t="str">
        <v>BOX</v>
      </c>
      <c r="BL22" s="34">
        <v>1</v>
      </c>
      <c r="BM22" s="34" t="str">
        <v/>
      </c>
      <c r="BN22" s="34" t="str">
        <v/>
      </c>
      <c r="BO22" s="34" t="str">
        <v/>
      </c>
      <c r="BP22" s="34" t="str">
        <v/>
      </c>
      <c r="BQ22" s="34" t="str">
        <v>5х16</v>
      </c>
      <c r="BR22" s="34" t="str">
        <v/>
      </c>
      <c r="BS22" s="34" t="str">
        <v/>
      </c>
      <c r="BT22" s="34" t="str">
        <v/>
      </c>
      <c r="BU22" s="34">
        <v>2</v>
      </c>
      <c r="BV22" s="34">
        <v>20</v>
      </c>
      <c r="BW22" s="34">
        <v>1</v>
      </c>
      <c r="BX22" s="34">
        <v>2</v>
      </c>
      <c r="BY22" s="34" t="str">
        <v/>
      </c>
      <c r="BZ22">
        <v>1</v>
      </c>
      <c r="CA22" t="str">
        <v>линии</v>
      </c>
    </row>
    <row r="23" spans="1:79" x14ac:dyDescent="0.3">
      <c r="A23" s="39" t="str">
        <v>ГРЩ-ЖД</v>
      </c>
      <c r="B23" s="42">
        <v>37</v>
      </c>
      <c r="C23" s="42">
        <v>3</v>
      </c>
      <c r="D23" s="75" t="str">
        <v/>
      </c>
      <c r="E23" s="75" t="str">
        <v>авто</v>
      </c>
      <c r="F23" s="76" t="str">
        <v/>
      </c>
      <c r="G23" s="47" t="str">
        <v>QF19</v>
      </c>
      <c r="H23" s="47" t="str">
        <v>1P С25А</v>
      </c>
      <c r="I23" s="75" t="str">
        <v/>
      </c>
      <c r="J23" s="76" t="str">
        <v/>
      </c>
      <c r="K23" s="76" t="str">
        <v/>
      </c>
      <c r="L23" s="75" t="str">
        <v/>
      </c>
      <c r="M23" s="49" t="str">
        <v/>
      </c>
      <c r="N23" s="76" t="str">
        <v/>
      </c>
      <c r="O23" s="49" t="str">
        <v/>
      </c>
      <c r="P23" s="77" t="str">
        <v>XT18</v>
      </c>
      <c r="Q23" s="53" t="str">
        <v>ВВГнг(А)-LS (3х6) L=63-4,51%</v>
      </c>
      <c r="R23" s="54" t="str">
        <v>Э.4</v>
      </c>
      <c r="S23" s="55" t="str">
        <v>Флоатинг. Цокольный этаж этаж Пом. №023A</v>
      </c>
      <c r="T23" s="56">
        <v>5</v>
      </c>
      <c r="U23" s="56">
        <v>27.07</v>
      </c>
      <c r="V23" s="42" t="str">
        <v>L1</v>
      </c>
      <c r="W23" s="57" t="str">
        <v>ПЕРЕГРУЗ</v>
      </c>
      <c r="X23" s="58" t="str">
        <v/>
      </c>
      <c r="Y23" s="75" t="str">
        <v/>
      </c>
      <c r="Z23" s="59">
        <v>27.063293868263703</v>
      </c>
      <c r="AA23" s="61">
        <v>32</v>
      </c>
      <c r="AB23" s="61">
        <v>50</v>
      </c>
      <c r="AC23" s="61" t="str">
        <v/>
      </c>
      <c r="AD23" s="62" t="str">
        <v>QF19 → XT18</v>
      </c>
      <c r="AE23" s="62" t="str">
        <v>ПЕРЕГРУЗ; потери 4,5 % &gt; 4 %</v>
      </c>
      <c r="AF23" s="34">
        <v>19</v>
      </c>
      <c r="AG23" s="34" t="str">
        <v>QF19</v>
      </c>
      <c r="AH23" s="34" t="str">
        <v/>
      </c>
      <c r="AI23" s="34" t="str">
        <v/>
      </c>
      <c r="AJ23" s="34" t="str">
        <v>QF19</v>
      </c>
      <c r="AK23" s="34">
        <v>1</v>
      </c>
      <c r="AL23" s="34" t="str">
        <v>Э</v>
      </c>
      <c r="AM23" s="34">
        <v>0</v>
      </c>
      <c r="AN23" s="34">
        <v>0</v>
      </c>
      <c r="AO23" s="34">
        <v>32</v>
      </c>
      <c r="AP23" s="34">
        <v>50</v>
      </c>
      <c r="AQ23" s="34">
        <v>25</v>
      </c>
      <c r="AR23" s="34">
        <v>1</v>
      </c>
      <c r="AS23" s="34">
        <v>0</v>
      </c>
      <c r="AT23" s="34" t="str">
        <v>1P</v>
      </c>
      <c r="AU23" s="34">
        <v>25</v>
      </c>
      <c r="AV23" s="34" t="str">
        <v/>
      </c>
      <c r="AW23" s="34" t="str">
        <v/>
      </c>
      <c r="AX23" s="34" t="str">
        <v/>
      </c>
      <c r="AY23" s="34">
        <v>1</v>
      </c>
      <c r="AZ23" s="34" t="str">
        <v/>
      </c>
      <c r="BA23" s="34">
        <v>0</v>
      </c>
      <c r="BB23" s="34">
        <v>0</v>
      </c>
      <c r="BD23" s="34">
        <v>1</v>
      </c>
      <c r="BE23" s="34">
        <v>0</v>
      </c>
      <c r="BF23" s="34">
        <v>0</v>
      </c>
      <c r="BG23" s="34" t="str">
        <v/>
      </c>
      <c r="BH23" s="34" t="str">
        <v/>
      </c>
      <c r="BI23" s="34" t="str">
        <v/>
      </c>
      <c r="BJ23" s="34" t="str">
        <v/>
      </c>
      <c r="BK23" s="34" t="str">
        <v>BOX</v>
      </c>
      <c r="BL23" s="34">
        <v>1</v>
      </c>
      <c r="BM23" s="34">
        <v>14</v>
      </c>
      <c r="BN23" s="34" t="str">
        <v/>
      </c>
      <c r="BO23" s="34" t="str">
        <v/>
      </c>
      <c r="BP23" s="34" t="str">
        <v/>
      </c>
      <c r="BQ23" s="34" t="str">
        <v>3х6</v>
      </c>
      <c r="BR23" s="34">
        <v>9</v>
      </c>
      <c r="BS23" s="34" t="str">
        <v/>
      </c>
      <c r="BT23" s="34" t="str">
        <v/>
      </c>
      <c r="BU23" s="34">
        <v>2</v>
      </c>
      <c r="BV23" s="34">
        <v>21</v>
      </c>
      <c r="BW23" s="34">
        <v>1</v>
      </c>
      <c r="BX23" s="34">
        <v>0</v>
      </c>
      <c r="BY23" s="34">
        <v>0</v>
      </c>
      <c r="BZ23">
        <v>1</v>
      </c>
      <c r="CA23" t="str">
        <v>линии</v>
      </c>
    </row>
    <row r="24" spans="1:79" x14ac:dyDescent="0.3">
      <c r="A24" s="39" t="str">
        <v>ГРЩ-ЖД</v>
      </c>
      <c r="B24" s="42">
        <v>38</v>
      </c>
      <c r="C24" s="42">
        <v>3</v>
      </c>
      <c r="D24" s="75" t="str">
        <v/>
      </c>
      <c r="E24" s="75" t="str">
        <v>авто</v>
      </c>
      <c r="F24" s="76" t="str">
        <v/>
      </c>
      <c r="G24" s="47" t="str">
        <v>QF20</v>
      </c>
      <c r="H24" s="47" t="str">
        <v>1P С6А</v>
      </c>
      <c r="I24" s="75" t="str">
        <v/>
      </c>
      <c r="J24" s="76" t="str">
        <v/>
      </c>
      <c r="K24" s="76" t="str">
        <v/>
      </c>
      <c r="L24" s="75" t="str">
        <v/>
      </c>
      <c r="M24" s="49" t="str">
        <v/>
      </c>
      <c r="N24" s="76" t="str">
        <v/>
      </c>
      <c r="O24" s="49" t="str">
        <v/>
      </c>
      <c r="P24" s="77" t="str">
        <v/>
      </c>
      <c r="Q24" s="53" t="str">
        <v>ВВГнг(А)-LS (3х2,5) L=44-0,45%</v>
      </c>
      <c r="R24" s="54" t="str">
        <v>SEC1-21</v>
      </c>
      <c r="S24" s="55" t="str">
        <v>Щит охранной сигнализации Подвальный этаж этаж Пом. №007Т</v>
      </c>
      <c r="T24" s="56">
        <v>0.3</v>
      </c>
      <c r="U24" s="56">
        <v>1.37</v>
      </c>
      <c r="V24" s="42" t="str">
        <v>L1</v>
      </c>
      <c r="W24" s="57" t="str">
        <v>ok</v>
      </c>
      <c r="X24" s="58" t="str">
        <v/>
      </c>
      <c r="Y24" s="75" t="str">
        <v/>
      </c>
      <c r="Z24" s="59">
        <v>1.3674085322912188</v>
      </c>
      <c r="AA24" s="61">
        <v>6</v>
      </c>
      <c r="AB24" s="61">
        <v>25</v>
      </c>
      <c r="AC24" s="61" t="str">
        <v/>
      </c>
      <c r="AD24" s="62" t="str">
        <v>QF20</v>
      </c>
      <c r="AE24" s="62" t="str">
        <v/>
      </c>
      <c r="AF24" s="34">
        <v>20</v>
      </c>
      <c r="AG24" s="34" t="str">
        <v>QF20</v>
      </c>
      <c r="AH24" s="34" t="str">
        <v/>
      </c>
      <c r="AI24" s="34" t="str">
        <v/>
      </c>
      <c r="AJ24" s="34" t="str">
        <v>QF20</v>
      </c>
      <c r="AK24" s="34">
        <v>1</v>
      </c>
      <c r="AL24" s="34" t="str">
        <v>SEC1-21</v>
      </c>
      <c r="AM24" s="34">
        <v>0</v>
      </c>
      <c r="AN24" s="34">
        <v>0</v>
      </c>
      <c r="AO24" s="34">
        <v>6</v>
      </c>
      <c r="AP24" s="34">
        <v>25</v>
      </c>
      <c r="AQ24" s="34">
        <v>6</v>
      </c>
      <c r="AR24" s="34">
        <v>1</v>
      </c>
      <c r="AS24" s="34">
        <v>0</v>
      </c>
      <c r="AT24" s="34" t="str">
        <v>1P</v>
      </c>
      <c r="AU24" s="34">
        <v>6</v>
      </c>
      <c r="AV24" s="34" t="str">
        <v/>
      </c>
      <c r="AW24" s="34" t="str">
        <v/>
      </c>
      <c r="AX24" s="34" t="str">
        <v/>
      </c>
      <c r="AY24" s="34">
        <v>1</v>
      </c>
      <c r="AZ24" s="34" t="str">
        <v/>
      </c>
      <c r="BA24" s="34">
        <v>0</v>
      </c>
      <c r="BB24" s="34">
        <v>0</v>
      </c>
      <c r="BD24" s="34">
        <v>1</v>
      </c>
      <c r="BE24" s="34">
        <v>0</v>
      </c>
      <c r="BF24" s="34">
        <v>0</v>
      </c>
      <c r="BG24" s="34" t="str">
        <v/>
      </c>
      <c r="BH24" s="34" t="str">
        <v/>
      </c>
      <c r="BI24" s="34" t="str">
        <v/>
      </c>
      <c r="BJ24" s="34" t="str">
        <v/>
      </c>
      <c r="BK24" s="34" t="str">
        <v>BOX</v>
      </c>
      <c r="BL24" s="34">
        <v>1</v>
      </c>
      <c r="BM24" s="34">
        <v>15</v>
      </c>
      <c r="BN24" s="34" t="str">
        <v/>
      </c>
      <c r="BO24" s="34" t="str">
        <v/>
      </c>
      <c r="BP24" s="34" t="str">
        <v/>
      </c>
      <c r="BQ24" s="34" t="str">
        <v>3х2,5</v>
      </c>
      <c r="BR24" s="34" t="str">
        <v/>
      </c>
      <c r="BS24" s="34" t="str">
        <v/>
      </c>
      <c r="BT24" s="34" t="str">
        <v/>
      </c>
      <c r="BU24" s="34">
        <v>0</v>
      </c>
      <c r="BV24" s="34">
        <v>22</v>
      </c>
      <c r="BW24" s="34">
        <v>1</v>
      </c>
      <c r="BX24" s="34">
        <v>0</v>
      </c>
      <c r="BY24" s="34" t="str">
        <v/>
      </c>
      <c r="BZ24">
        <v>1</v>
      </c>
      <c r="CA24" t="str">
        <v>линии</v>
      </c>
    </row>
    <row r="25" spans="1:79" x14ac:dyDescent="0.3">
      <c r="A25" s="39" t="str">
        <v>ЩГП</v>
      </c>
      <c r="B25" s="42">
        <v>2</v>
      </c>
      <c r="C25" s="42">
        <v>1</v>
      </c>
      <c r="D25" s="75" t="str">
        <v/>
      </c>
      <c r="E25" s="75" t="str">
        <v>авто</v>
      </c>
      <c r="F25" s="76" t="str">
        <v/>
      </c>
      <c r="G25" s="47" t="str">
        <v/>
      </c>
      <c r="H25" s="47" t="str">
        <v>3P С40А</v>
      </c>
      <c r="I25" s="75" t="str">
        <v/>
      </c>
      <c r="J25" s="76" t="str">
        <v/>
      </c>
      <c r="K25" s="76" t="str">
        <v/>
      </c>
      <c r="L25" s="75" t="str">
        <v/>
      </c>
      <c r="M25" s="49" t="str">
        <v/>
      </c>
      <c r="N25" s="76" t="str">
        <v/>
      </c>
      <c r="O25" s="49" t="str">
        <v/>
      </c>
      <c r="P25" s="77" t="str">
        <v/>
      </c>
      <c r="Q25" s="53" t="str">
        <v>ВВГнг(А)-LS (5х10) L=51-0,12%</v>
      </c>
      <c r="R25" s="54" t="str">
        <v>Ввод.1</v>
      </c>
      <c r="S25" s="55" t="str">
        <v>Вводной кабель шлейф 1</v>
      </c>
      <c r="T25" s="56">
        <v>1.9000000000000006</v>
      </c>
      <c r="U25" s="56">
        <v>2.3099999999999996</v>
      </c>
      <c r="V25" s="42" t="str">
        <v>L1,L2,L3</v>
      </c>
      <c r="W25" s="57" t="str">
        <v>ok</v>
      </c>
      <c r="X25" s="58" t="str">
        <v/>
      </c>
      <c r="Y25" s="75" t="str">
        <v>вручную</v>
      </c>
      <c r="Z25" s="59">
        <v>2.3094010767585051</v>
      </c>
      <c r="AA25" s="61">
        <v>6</v>
      </c>
      <c r="AB25" s="61">
        <v>50</v>
      </c>
      <c r="AC25" s="61" t="str">
        <v/>
      </c>
      <c r="AD25" s="62" t="str">
        <v/>
      </c>
      <c r="AE25" s="62" t="str">
        <v/>
      </c>
      <c r="AF25" s="34" t="str">
        <v/>
      </c>
      <c r="AG25" s="34" t="str">
        <v/>
      </c>
      <c r="AH25" s="34" t="str">
        <v/>
      </c>
      <c r="AI25" s="34" t="str">
        <v/>
      </c>
      <c r="AJ25" s="34" t="str">
        <v/>
      </c>
      <c r="AK25" s="34">
        <v>3</v>
      </c>
      <c r="AL25" s="34" t="str">
        <v>Ввод</v>
      </c>
      <c r="AM25" s="34">
        <v>0</v>
      </c>
      <c r="AN25" s="34">
        <v>0</v>
      </c>
      <c r="AO25" s="34">
        <v>6</v>
      </c>
      <c r="AP25" s="34">
        <v>50</v>
      </c>
      <c r="AQ25" s="34">
        <v>40</v>
      </c>
      <c r="AR25" s="34">
        <v>3</v>
      </c>
      <c r="AS25" s="34">
        <v>0</v>
      </c>
      <c r="AT25" s="34" t="str">
        <v>3P</v>
      </c>
      <c r="AU25" s="34">
        <v>40</v>
      </c>
      <c r="AV25" s="34" t="str">
        <v/>
      </c>
      <c r="AW25" s="34" t="str">
        <v/>
      </c>
      <c r="AX25" s="34" t="str">
        <v/>
      </c>
      <c r="AY25" s="34">
        <v>0</v>
      </c>
      <c r="AZ25" s="34" t="str">
        <v/>
      </c>
      <c r="BA25" s="34">
        <v>0</v>
      </c>
      <c r="BB25" s="34">
        <v>0</v>
      </c>
      <c r="BD25" s="34">
        <v>0</v>
      </c>
      <c r="BE25" s="34">
        <v>0</v>
      </c>
      <c r="BF25" s="34">
        <v>0</v>
      </c>
      <c r="BG25" s="34" t="str">
        <v/>
      </c>
      <c r="BH25" s="34" t="str">
        <v/>
      </c>
      <c r="BI25" s="34" t="str">
        <v/>
      </c>
      <c r="BJ25" s="34" t="str">
        <v/>
      </c>
      <c r="BK25" s="34" t="str">
        <v>BOX</v>
      </c>
      <c r="BL25" s="34">
        <v>1</v>
      </c>
      <c r="BM25" s="34" t="str">
        <v/>
      </c>
      <c r="BN25" s="34" t="str">
        <v/>
      </c>
      <c r="BO25" s="34" t="str">
        <v/>
      </c>
      <c r="BP25" s="34" t="str">
        <v/>
      </c>
      <c r="BQ25" s="34" t="str">
        <v/>
      </c>
      <c r="BR25" s="34" t="str">
        <v/>
      </c>
      <c r="BS25" s="34" t="str">
        <v/>
      </c>
      <c r="BT25" s="34" t="str">
        <v/>
      </c>
      <c r="BU25" s="34">
        <v>0</v>
      </c>
      <c r="BV25" s="34">
        <v>24</v>
      </c>
      <c r="BW25" s="34">
        <v>0</v>
      </c>
      <c r="BX25" s="34">
        <v>0</v>
      </c>
      <c r="BY25" s="34">
        <v>0</v>
      </c>
      <c r="BZ25">
        <v>2</v>
      </c>
      <c r="CA25" t="str">
        <v>вводной узел</v>
      </c>
    </row>
    <row r="26" spans="1:79" x14ac:dyDescent="0.3">
      <c r="A26" s="39" t="str">
        <v>ЩГП</v>
      </c>
      <c r="B26" s="42">
        <v>9</v>
      </c>
      <c r="C26" s="42">
        <v>1</v>
      </c>
      <c r="D26" s="75" t="str">
        <v/>
      </c>
      <c r="E26" s="75" t="str">
        <v>авто</v>
      </c>
      <c r="F26" s="76" t="str">
        <v/>
      </c>
      <c r="G26" s="47" t="str">
        <v/>
      </c>
      <c r="H26" s="47" t="str">
        <v>1P С6А</v>
      </c>
      <c r="I26" s="75" t="str">
        <v/>
      </c>
      <c r="J26" s="76" t="str">
        <v/>
      </c>
      <c r="K26" s="76" t="str">
        <v/>
      </c>
      <c r="L26" s="75" t="str">
        <v/>
      </c>
      <c r="M26" s="49" t="str">
        <v/>
      </c>
      <c r="N26" s="76" t="str">
        <v/>
      </c>
      <c r="O26" s="49" t="str">
        <v/>
      </c>
      <c r="P26" s="77" t="str">
        <v/>
      </c>
      <c r="Q26" s="53" t="str">
        <v/>
      </c>
      <c r="R26" s="54" t="str">
        <v>На ИБП</v>
      </c>
      <c r="S26" s="55" t="str">
        <v>Питание на ИБП</v>
      </c>
      <c r="T26" s="56">
        <v>0</v>
      </c>
      <c r="U26" s="56">
        <v>0</v>
      </c>
      <c r="V26" s="42" t="str">
        <v>L1</v>
      </c>
      <c r="W26" s="57" t="str">
        <v>ok</v>
      </c>
      <c r="X26" s="58" t="str">
        <v/>
      </c>
      <c r="Y26" s="75" t="str">
        <v/>
      </c>
      <c r="Z26" s="59">
        <v>0</v>
      </c>
      <c r="AA26" s="61">
        <v>6</v>
      </c>
      <c r="AB26" s="61" t="str">
        <v/>
      </c>
      <c r="AC26" s="61" t="str">
        <v/>
      </c>
      <c r="AD26" s="62" t="str">
        <v/>
      </c>
      <c r="AE26" s="62" t="str">
        <v/>
      </c>
      <c r="AF26" s="34" t="str">
        <v/>
      </c>
      <c r="AG26" s="34" t="str">
        <v/>
      </c>
      <c r="AH26" s="34" t="str">
        <v/>
      </c>
      <c r="AI26" s="34" t="str">
        <v/>
      </c>
      <c r="AJ26" s="34" t="str">
        <v/>
      </c>
      <c r="AK26" s="34">
        <v>1</v>
      </c>
      <c r="AL26" s="34" t="str">
        <v>На ИБП</v>
      </c>
      <c r="AM26" s="34">
        <v>0</v>
      </c>
      <c r="AN26" s="34">
        <v>0</v>
      </c>
      <c r="AO26" s="34">
        <v>6</v>
      </c>
      <c r="AP26" s="34" t="str">
        <v/>
      </c>
      <c r="AQ26" s="34">
        <v>6</v>
      </c>
      <c r="AR26" s="34">
        <v>1</v>
      </c>
      <c r="AS26" s="34">
        <v>0</v>
      </c>
      <c r="AT26" s="34" t="str">
        <v>1P</v>
      </c>
      <c r="AU26" s="34">
        <v>6</v>
      </c>
      <c r="AV26" s="34" t="str">
        <v/>
      </c>
      <c r="AW26" s="34" t="str">
        <v/>
      </c>
      <c r="AX26" s="34" t="str">
        <v/>
      </c>
      <c r="AY26" s="34">
        <v>0</v>
      </c>
      <c r="AZ26" s="34" t="str">
        <v/>
      </c>
      <c r="BA26" s="34">
        <v>0</v>
      </c>
      <c r="BB26" s="34">
        <v>0</v>
      </c>
      <c r="BD26" s="34">
        <v>0</v>
      </c>
      <c r="BE26" s="34">
        <v>0</v>
      </c>
      <c r="BF26" s="34">
        <v>0</v>
      </c>
      <c r="BG26" s="34" t="str">
        <v/>
      </c>
      <c r="BH26" s="34" t="str">
        <v/>
      </c>
      <c r="BI26" s="34" t="str">
        <v/>
      </c>
      <c r="BJ26" s="34" t="str">
        <v/>
      </c>
      <c r="BK26" s="34" t="str">
        <v>BOX</v>
      </c>
      <c r="BL26" s="34">
        <v>1</v>
      </c>
      <c r="BM26" s="34" t="str">
        <v/>
      </c>
      <c r="BN26" s="34" t="str">
        <v/>
      </c>
      <c r="BO26" s="34" t="str">
        <v/>
      </c>
      <c r="BP26" s="34" t="str">
        <v/>
      </c>
      <c r="BQ26" s="34" t="str">
        <v/>
      </c>
      <c r="BR26" s="34" t="str">
        <v/>
      </c>
      <c r="BS26" s="34" t="str">
        <v/>
      </c>
      <c r="BT26" s="34" t="str">
        <v/>
      </c>
      <c r="BU26" s="34">
        <v>0</v>
      </c>
      <c r="BV26" s="34">
        <v>25</v>
      </c>
      <c r="BW26" s="34">
        <v>0</v>
      </c>
      <c r="BX26" s="34">
        <v>0</v>
      </c>
      <c r="BY26" s="34">
        <v>0</v>
      </c>
      <c r="BZ26">
        <v>2</v>
      </c>
      <c r="CA26" t="str">
        <v>вводной узел</v>
      </c>
    </row>
    <row r="27" spans="1:79" x14ac:dyDescent="0.3">
      <c r="A27" s="39" t="str">
        <v>ЩГП</v>
      </c>
      <c r="B27" s="42">
        <v>11</v>
      </c>
      <c r="C27" s="42">
        <v>1</v>
      </c>
      <c r="D27" s="75" t="str">
        <v/>
      </c>
      <c r="E27" s="75" t="str">
        <v>авто</v>
      </c>
      <c r="F27" s="76" t="str">
        <v/>
      </c>
      <c r="G27" s="47" t="str">
        <v/>
      </c>
      <c r="H27" s="47" t="str">
        <v>1P С6А</v>
      </c>
      <c r="I27" s="75" t="str">
        <v/>
      </c>
      <c r="J27" s="76" t="str">
        <v/>
      </c>
      <c r="K27" s="76" t="str">
        <v/>
      </c>
      <c r="L27" s="75" t="str">
        <v/>
      </c>
      <c r="M27" s="49" t="str">
        <v/>
      </c>
      <c r="N27" s="76" t="str">
        <v/>
      </c>
      <c r="O27" s="49" t="str">
        <v/>
      </c>
      <c r="P27" s="77" t="str">
        <v/>
      </c>
      <c r="Q27" s="53" t="str">
        <v/>
      </c>
      <c r="R27" s="54" t="str">
        <v>От ИБП</v>
      </c>
      <c r="S27" s="55" t="str">
        <v>Питание от ИБП</v>
      </c>
      <c r="T27" s="56">
        <v>0</v>
      </c>
      <c r="U27" s="56">
        <v>0</v>
      </c>
      <c r="V27" s="42" t="str">
        <v>L1</v>
      </c>
      <c r="W27" s="57" t="str">
        <v>ok</v>
      </c>
      <c r="X27" s="58" t="str">
        <v/>
      </c>
      <c r="Y27" s="75" t="str">
        <v/>
      </c>
      <c r="Z27" s="59">
        <v>0</v>
      </c>
      <c r="AA27" s="61">
        <v>6</v>
      </c>
      <c r="AB27" s="61" t="str">
        <v/>
      </c>
      <c r="AC27" s="61" t="str">
        <v/>
      </c>
      <c r="AD27" s="62" t="str">
        <v/>
      </c>
      <c r="AE27" s="62" t="str">
        <v/>
      </c>
      <c r="AF27" s="34" t="str">
        <v/>
      </c>
      <c r="AG27" s="34" t="str">
        <v/>
      </c>
      <c r="AH27" s="34" t="str">
        <v/>
      </c>
      <c r="AI27" s="34" t="str">
        <v/>
      </c>
      <c r="AJ27" s="34" t="str">
        <v/>
      </c>
      <c r="AK27" s="34">
        <v>1</v>
      </c>
      <c r="AL27" s="34" t="str">
        <v>От ИБП</v>
      </c>
      <c r="AM27" s="34">
        <v>0</v>
      </c>
      <c r="AN27" s="34">
        <v>0</v>
      </c>
      <c r="AO27" s="34">
        <v>6</v>
      </c>
      <c r="AP27" s="34" t="str">
        <v/>
      </c>
      <c r="AQ27" s="34">
        <v>6</v>
      </c>
      <c r="AR27" s="34">
        <v>1</v>
      </c>
      <c r="AS27" s="34">
        <v>0</v>
      </c>
      <c r="AT27" s="34" t="str">
        <v>1P</v>
      </c>
      <c r="AU27" s="34">
        <v>6</v>
      </c>
      <c r="AV27" s="34" t="str">
        <v/>
      </c>
      <c r="AW27" s="34" t="str">
        <v/>
      </c>
      <c r="AX27" s="34" t="str">
        <v/>
      </c>
      <c r="AY27" s="34">
        <v>0</v>
      </c>
      <c r="AZ27" s="34" t="str">
        <v/>
      </c>
      <c r="BA27" s="34">
        <v>0</v>
      </c>
      <c r="BB27" s="34">
        <v>0</v>
      </c>
      <c r="BD27" s="34">
        <v>0</v>
      </c>
      <c r="BE27" s="34">
        <v>0</v>
      </c>
      <c r="BF27" s="34">
        <v>0</v>
      </c>
      <c r="BG27" s="34" t="str">
        <v/>
      </c>
      <c r="BH27" s="34" t="str">
        <v/>
      </c>
      <c r="BI27" s="34" t="str">
        <v/>
      </c>
      <c r="BJ27" s="34" t="str">
        <v/>
      </c>
      <c r="BK27" s="34" t="str">
        <v>BOX</v>
      </c>
      <c r="BL27" s="34">
        <v>1</v>
      </c>
      <c r="BM27" s="34" t="str">
        <v/>
      </c>
      <c r="BN27" s="34" t="str">
        <v/>
      </c>
      <c r="BO27" s="34" t="str">
        <v/>
      </c>
      <c r="BP27" s="34" t="str">
        <v/>
      </c>
      <c r="BQ27" s="34" t="str">
        <v/>
      </c>
      <c r="BR27" s="34" t="str">
        <v/>
      </c>
      <c r="BS27" s="34" t="str">
        <v/>
      </c>
      <c r="BT27" s="34" t="str">
        <v/>
      </c>
      <c r="BU27" s="34">
        <v>0</v>
      </c>
      <c r="BV27" s="34">
        <v>26</v>
      </c>
      <c r="BW27" s="34">
        <v>0</v>
      </c>
      <c r="BX27" s="34">
        <v>0</v>
      </c>
      <c r="BY27" s="34">
        <v>0</v>
      </c>
      <c r="BZ27">
        <v>2</v>
      </c>
      <c r="CA27" t="str">
        <v>вводной узел</v>
      </c>
    </row>
    <row r="28" spans="1:79" x14ac:dyDescent="0.3">
      <c r="A28" s="39" t="str">
        <v>ЩГП</v>
      </c>
      <c r="B28" s="42">
        <v>14</v>
      </c>
      <c r="C28" s="42">
        <v>1</v>
      </c>
      <c r="D28" s="75" t="str">
        <v>ИБП</v>
      </c>
      <c r="E28" s="75" t="str">
        <v>авто</v>
      </c>
      <c r="F28" s="76" t="str">
        <v/>
      </c>
      <c r="G28" s="47" t="str">
        <v>QF1</v>
      </c>
      <c r="H28" s="47" t="str">
        <v>3P С6А</v>
      </c>
      <c r="I28" s="75" t="str">
        <v/>
      </c>
      <c r="J28" s="76" t="str">
        <v/>
      </c>
      <c r="K28" s="76" t="str">
        <v/>
      </c>
      <c r="L28" s="75" t="str">
        <v/>
      </c>
      <c r="M28" s="49" t="str">
        <v/>
      </c>
      <c r="N28" s="76" t="str">
        <v/>
      </c>
      <c r="O28" s="49" t="str">
        <v/>
      </c>
      <c r="P28" s="77" t="str">
        <v>XT1</v>
      </c>
      <c r="Q28" s="53" t="str">
        <v>ВВГнг(А)-LS (5х6) L=41-0,17%</v>
      </c>
      <c r="R28" s="54" t="str">
        <v>ЩО-001</v>
      </c>
      <c r="S28" s="55" t="str">
        <v>Щит освещения ЩО-2 Подвальный этаж этаж Пом. №3.001</v>
      </c>
      <c r="T28" s="56">
        <v>1.9000000000000006</v>
      </c>
      <c r="U28" s="56">
        <v>2.5599999999999996</v>
      </c>
      <c r="V28" s="42" t="str">
        <v>L1,L2,L3</v>
      </c>
      <c r="W28" s="57" t="str">
        <v>ok</v>
      </c>
      <c r="X28" s="58" t="str">
        <v/>
      </c>
      <c r="Y28" s="75" t="str">
        <v/>
      </c>
      <c r="Z28" s="59">
        <v>2.5524959269436094</v>
      </c>
      <c r="AA28" s="61">
        <v>6</v>
      </c>
      <c r="AB28" s="61">
        <v>32</v>
      </c>
      <c r="AC28" s="61" t="str">
        <v/>
      </c>
      <c r="AD28" s="62" t="str">
        <v>QF1 → XT1</v>
      </c>
      <c r="AE28" s="62" t="str">
        <v/>
      </c>
      <c r="AF28" s="34">
        <v>1</v>
      </c>
      <c r="AG28" s="34" t="str">
        <v>QF1</v>
      </c>
      <c r="AH28" s="34" t="str">
        <v/>
      </c>
      <c r="AI28" s="34" t="str">
        <v/>
      </c>
      <c r="AJ28" s="34" t="str">
        <v>QF1</v>
      </c>
      <c r="AK28" s="34">
        <v>3</v>
      </c>
      <c r="AL28" s="34" t="str">
        <v>ЩО-001</v>
      </c>
      <c r="AM28" s="34">
        <v>0</v>
      </c>
      <c r="AN28" s="34">
        <v>0</v>
      </c>
      <c r="AO28" s="34">
        <v>6</v>
      </c>
      <c r="AP28" s="34">
        <v>32</v>
      </c>
      <c r="AQ28" s="34">
        <v>6</v>
      </c>
      <c r="AR28" s="34">
        <v>3</v>
      </c>
      <c r="AS28" s="34">
        <v>0</v>
      </c>
      <c r="AT28" s="34" t="str">
        <v>3P</v>
      </c>
      <c r="AU28" s="34">
        <v>6</v>
      </c>
      <c r="AV28" s="34" t="str">
        <v/>
      </c>
      <c r="AW28" s="34" t="str">
        <v/>
      </c>
      <c r="AX28" s="34" t="str">
        <v/>
      </c>
      <c r="AY28" s="34">
        <v>1</v>
      </c>
      <c r="AZ28" s="34" t="str">
        <v/>
      </c>
      <c r="BA28" s="34">
        <v>0</v>
      </c>
      <c r="BB28" s="34">
        <v>0</v>
      </c>
      <c r="BD28" s="34">
        <v>1</v>
      </c>
      <c r="BE28" s="34">
        <v>1</v>
      </c>
      <c r="BF28" s="34">
        <v>0</v>
      </c>
      <c r="BG28" s="34" t="str">
        <v/>
      </c>
      <c r="BH28" s="34" t="str">
        <v/>
      </c>
      <c r="BI28" s="34" t="str">
        <v/>
      </c>
      <c r="BJ28" s="34" t="str">
        <v/>
      </c>
      <c r="BK28" s="34" t="str">
        <v>BOX</v>
      </c>
      <c r="BL28" s="34">
        <v>1</v>
      </c>
      <c r="BM28" s="34" t="str">
        <v/>
      </c>
      <c r="BN28" s="34" t="str">
        <v/>
      </c>
      <c r="BO28" s="34" t="str">
        <v/>
      </c>
      <c r="BP28" s="34" t="str">
        <v/>
      </c>
      <c r="BQ28" s="34" t="str">
        <v>5х6</v>
      </c>
      <c r="BR28" s="34" t="str">
        <v/>
      </c>
      <c r="BS28" s="34" t="str">
        <v/>
      </c>
      <c r="BT28" s="34" t="str">
        <v/>
      </c>
      <c r="BU28" s="34">
        <v>0</v>
      </c>
      <c r="BV28" s="34">
        <v>27</v>
      </c>
      <c r="BW28" s="34">
        <v>1</v>
      </c>
      <c r="BX28" s="34">
        <v>2</v>
      </c>
      <c r="BY28" s="34" t="str">
        <v/>
      </c>
      <c r="BZ28">
        <v>2</v>
      </c>
      <c r="CA28" t="str">
        <v>линии</v>
      </c>
    </row>
    <row r="29" spans="1:79" x14ac:dyDescent="0.3">
      <c r="A29" s="39" t="str">
        <v>ЩГП</v>
      </c>
      <c r="B29" s="42">
        <v>15</v>
      </c>
      <c r="C29" s="42">
        <v>1</v>
      </c>
      <c r="D29" s="75" t="str">
        <v>ИБП</v>
      </c>
      <c r="E29" s="75" t="str">
        <v>авто</v>
      </c>
      <c r="F29" s="76" t="str">
        <v/>
      </c>
      <c r="G29" s="47" t="str">
        <v>QF2</v>
      </c>
      <c r="H29" s="47" t="str">
        <v>3P С6А</v>
      </c>
      <c r="I29" s="75" t="str">
        <v/>
      </c>
      <c r="J29" s="76" t="str">
        <v/>
      </c>
      <c r="K29" s="76" t="str">
        <v/>
      </c>
      <c r="L29" s="75" t="str">
        <v/>
      </c>
      <c r="M29" s="49" t="str">
        <v/>
      </c>
      <c r="N29" s="76" t="str">
        <v/>
      </c>
      <c r="O29" s="49" t="str">
        <v/>
      </c>
      <c r="P29" s="77" t="str">
        <v>XT2</v>
      </c>
      <c r="Q29" s="53" t="str">
        <v>ВВГнг(А)-LS (5х6) L=15-0%</v>
      </c>
      <c r="R29" s="54" t="str">
        <v>ЩО-01</v>
      </c>
      <c r="S29" s="55" t="str">
        <v>Щит освещения ЩО-2 Цокольный этаж этаж Пом. №001Т</v>
      </c>
      <c r="T29" s="56">
        <v>0</v>
      </c>
      <c r="U29" s="56">
        <v>0</v>
      </c>
      <c r="V29" s="42" t="str">
        <v>L1,L2,L3</v>
      </c>
      <c r="W29" s="57" t="str">
        <v>ok</v>
      </c>
      <c r="X29" s="58" t="str">
        <v/>
      </c>
      <c r="Y29" s="75" t="str">
        <v/>
      </c>
      <c r="Z29" s="59">
        <v>0</v>
      </c>
      <c r="AA29" s="61">
        <v>6</v>
      </c>
      <c r="AB29" s="61">
        <v>32</v>
      </c>
      <c r="AC29" s="61" t="str">
        <v/>
      </c>
      <c r="AD29" s="62" t="str">
        <v>QF2 → XT2</v>
      </c>
      <c r="AE29" s="62" t="str">
        <v>нет мощности</v>
      </c>
      <c r="AF29" s="34">
        <v>2</v>
      </c>
      <c r="AG29" s="34" t="str">
        <v>QF2</v>
      </c>
      <c r="AH29" s="34" t="str">
        <v/>
      </c>
      <c r="AI29" s="34" t="str">
        <v/>
      </c>
      <c r="AJ29" s="34" t="str">
        <v>QF2</v>
      </c>
      <c r="AK29" s="34">
        <v>3</v>
      </c>
      <c r="AL29" s="34" t="str">
        <v>ЩО-01</v>
      </c>
      <c r="AM29" s="34">
        <v>0</v>
      </c>
      <c r="AN29" s="34">
        <v>0</v>
      </c>
      <c r="AO29" s="34">
        <v>6</v>
      </c>
      <c r="AP29" s="34">
        <v>32</v>
      </c>
      <c r="AQ29" s="34">
        <v>6</v>
      </c>
      <c r="AR29" s="34">
        <v>3</v>
      </c>
      <c r="AS29" s="34">
        <v>0</v>
      </c>
      <c r="AT29" s="34" t="str">
        <v>3P</v>
      </c>
      <c r="AU29" s="34">
        <v>6</v>
      </c>
      <c r="AV29" s="34" t="str">
        <v/>
      </c>
      <c r="AW29" s="34" t="str">
        <v/>
      </c>
      <c r="AX29" s="34" t="str">
        <v/>
      </c>
      <c r="AY29" s="34">
        <v>1</v>
      </c>
      <c r="AZ29" s="34" t="str">
        <v/>
      </c>
      <c r="BA29" s="34">
        <v>0</v>
      </c>
      <c r="BB29" s="34">
        <v>0</v>
      </c>
      <c r="BD29" s="34">
        <v>1</v>
      </c>
      <c r="BE29" s="34">
        <v>1</v>
      </c>
      <c r="BF29" s="34">
        <v>0</v>
      </c>
      <c r="BG29" s="34" t="str">
        <v/>
      </c>
      <c r="BH29" s="34" t="str">
        <v/>
      </c>
      <c r="BI29" s="34" t="str">
        <v/>
      </c>
      <c r="BJ29" s="34" t="str">
        <v/>
      </c>
      <c r="BK29" s="34" t="str">
        <v>BOX</v>
      </c>
      <c r="BL29" s="34">
        <v>1</v>
      </c>
      <c r="BM29" s="34" t="str">
        <v/>
      </c>
      <c r="BN29" s="34" t="str">
        <v/>
      </c>
      <c r="BO29" s="34" t="str">
        <v/>
      </c>
      <c r="BP29" s="34" t="str">
        <v/>
      </c>
      <c r="BQ29" s="34" t="str">
        <v>5х6</v>
      </c>
      <c r="BR29" s="34" t="str">
        <v/>
      </c>
      <c r="BS29" s="34" t="str">
        <v/>
      </c>
      <c r="BT29" s="34" t="str">
        <v/>
      </c>
      <c r="BU29" s="34">
        <v>1</v>
      </c>
      <c r="BV29" s="34">
        <v>28</v>
      </c>
      <c r="BW29" s="34">
        <v>1</v>
      </c>
      <c r="BX29" s="34">
        <v>2</v>
      </c>
      <c r="BY29" s="34" t="str">
        <v/>
      </c>
      <c r="BZ29">
        <v>2</v>
      </c>
      <c r="CA29" t="str">
        <v>линии</v>
      </c>
    </row>
    <row r="30" spans="1:79" x14ac:dyDescent="0.3">
      <c r="A30" s="39" t="str">
        <v>ЩО-001</v>
      </c>
      <c r="B30" s="42">
        <v>2</v>
      </c>
      <c r="C30" s="42">
        <v>1</v>
      </c>
      <c r="D30" s="75" t="str">
        <v/>
      </c>
      <c r="E30" s="75" t="str">
        <v>авто</v>
      </c>
      <c r="F30" s="76" t="str">
        <v/>
      </c>
      <c r="G30" s="47" t="str">
        <v/>
      </c>
      <c r="H30" s="47" t="str">
        <v>3P С40А</v>
      </c>
      <c r="I30" s="75" t="str">
        <v/>
      </c>
      <c r="J30" s="76" t="str">
        <v/>
      </c>
      <c r="K30" s="76" t="str">
        <v/>
      </c>
      <c r="L30" s="75" t="str">
        <v/>
      </c>
      <c r="M30" s="49" t="str">
        <v/>
      </c>
      <c r="N30" s="76" t="str">
        <v/>
      </c>
      <c r="O30" s="49" t="str">
        <v/>
      </c>
      <c r="P30" s="77" t="str">
        <v/>
      </c>
      <c r="Q30" s="53" t="str">
        <v>ВВГнг(А)-LS (5х10)</v>
      </c>
      <c r="R30" s="54" t="str">
        <v>Ввод.1</v>
      </c>
      <c r="S30" s="55" t="str">
        <v>Ввод</v>
      </c>
      <c r="T30" s="56">
        <v>1.9000000000000006</v>
      </c>
      <c r="U30" s="56">
        <v>2.5599999999999996</v>
      </c>
      <c r="V30" s="42" t="str">
        <v>L1,L2,L3</v>
      </c>
      <c r="W30" s="57" t="str">
        <v>ok</v>
      </c>
      <c r="X30" s="58" t="str">
        <v/>
      </c>
      <c r="Y30" s="75" t="str">
        <v>вручную</v>
      </c>
      <c r="Z30" s="59">
        <v>2.5524959269436094</v>
      </c>
      <c r="AA30" s="61">
        <v>6</v>
      </c>
      <c r="AB30" s="61">
        <v>50</v>
      </c>
      <c r="AC30" s="61" t="str">
        <v/>
      </c>
      <c r="AD30" s="62" t="str">
        <v/>
      </c>
      <c r="AE30" s="62" t="str">
        <v/>
      </c>
      <c r="AF30" s="34" t="str">
        <v/>
      </c>
      <c r="AG30" s="34" t="str">
        <v/>
      </c>
      <c r="AH30" s="34" t="str">
        <v/>
      </c>
      <c r="AI30" s="34" t="str">
        <v/>
      </c>
      <c r="AJ30" s="34" t="str">
        <v/>
      </c>
      <c r="AK30" s="34">
        <v>3</v>
      </c>
      <c r="AL30" s="34" t="str">
        <v>Ввод</v>
      </c>
      <c r="AM30" s="34">
        <v>0</v>
      </c>
      <c r="AN30" s="34">
        <v>0</v>
      </c>
      <c r="AO30" s="34">
        <v>6</v>
      </c>
      <c r="AP30" s="34">
        <v>50</v>
      </c>
      <c r="AQ30" s="34">
        <v>40</v>
      </c>
      <c r="AR30" s="34">
        <v>3</v>
      </c>
      <c r="AS30" s="34">
        <v>0</v>
      </c>
      <c r="AT30" s="34" t="str">
        <v>3P</v>
      </c>
      <c r="AU30" s="34">
        <v>40</v>
      </c>
      <c r="AV30" s="34" t="str">
        <v/>
      </c>
      <c r="AW30" s="34" t="str">
        <v/>
      </c>
      <c r="AX30" s="34" t="str">
        <v/>
      </c>
      <c r="AY30" s="34">
        <v>0</v>
      </c>
      <c r="AZ30" s="34" t="str">
        <v/>
      </c>
      <c r="BA30" s="34">
        <v>0</v>
      </c>
      <c r="BB30" s="34">
        <v>0</v>
      </c>
      <c r="BD30" s="34">
        <v>0</v>
      </c>
      <c r="BE30" s="34">
        <v>0</v>
      </c>
      <c r="BF30" s="34">
        <v>0</v>
      </c>
      <c r="BG30" s="34" t="str">
        <v/>
      </c>
      <c r="BH30" s="34" t="str">
        <v/>
      </c>
      <c r="BI30" s="34" t="str">
        <v/>
      </c>
      <c r="BJ30" s="34" t="str">
        <v/>
      </c>
      <c r="BK30" s="34" t="str">
        <v>BOX</v>
      </c>
      <c r="BL30" s="34">
        <v>1</v>
      </c>
      <c r="BM30" s="34" t="str">
        <v/>
      </c>
      <c r="BN30" s="34" t="str">
        <v/>
      </c>
      <c r="BO30" s="34" t="str">
        <v/>
      </c>
      <c r="BP30" s="34" t="str">
        <v/>
      </c>
      <c r="BQ30" s="34" t="str">
        <v/>
      </c>
      <c r="BR30" s="34" t="str">
        <v/>
      </c>
      <c r="BS30" s="34" t="str">
        <v/>
      </c>
      <c r="BT30" s="34" t="str">
        <v/>
      </c>
      <c r="BU30" s="34">
        <v>0</v>
      </c>
      <c r="BV30" s="34">
        <v>29</v>
      </c>
      <c r="BW30" s="34">
        <v>0</v>
      </c>
      <c r="BX30" s="34">
        <v>0</v>
      </c>
      <c r="BY30" s="34">
        <v>0</v>
      </c>
      <c r="BZ30">
        <v>3</v>
      </c>
      <c r="CA30" t="str">
        <v>вводной узел</v>
      </c>
    </row>
    <row r="31" spans="1:79" x14ac:dyDescent="0.3">
      <c r="A31" s="39" t="str">
        <v>ЩОВ-001</v>
      </c>
      <c r="B31" s="42">
        <v>2</v>
      </c>
      <c r="C31" s="42">
        <v>1</v>
      </c>
      <c r="D31" s="75" t="str">
        <v/>
      </c>
      <c r="E31" s="75" t="str">
        <v>авто</v>
      </c>
      <c r="F31" s="76" t="str">
        <v/>
      </c>
      <c r="G31" s="47" t="str">
        <v/>
      </c>
      <c r="H31" s="47" t="str">
        <v>3P С320А</v>
      </c>
      <c r="I31" s="75" t="str">
        <v/>
      </c>
      <c r="J31" s="76" t="str">
        <v/>
      </c>
      <c r="K31" s="76" t="str">
        <v/>
      </c>
      <c r="L31" s="75" t="str">
        <v/>
      </c>
      <c r="M31" s="49" t="str">
        <v/>
      </c>
      <c r="N31" s="76" t="str">
        <v/>
      </c>
      <c r="O31" s="49" t="str">
        <v/>
      </c>
      <c r="P31" s="77" t="str">
        <v/>
      </c>
      <c r="Q31" s="53" t="str">
        <v>ВВГнг(А)-LS (5х185) L=51-0,57%</v>
      </c>
      <c r="R31" s="54" t="str">
        <v>Ввод.1</v>
      </c>
      <c r="S31" s="55" t="str">
        <v>Ввод</v>
      </c>
      <c r="T31" s="56">
        <v>211.22</v>
      </c>
      <c r="U31" s="56">
        <v>190.6</v>
      </c>
      <c r="V31" s="42" t="str">
        <v>L1,L2,L3</v>
      </c>
      <c r="W31" s="57" t="str">
        <v>КАБЕЛЬ НЕ ЗАЩИЩЁН</v>
      </c>
      <c r="X31" s="58" t="str">
        <v/>
      </c>
      <c r="Y31" s="75" t="str">
        <v>вручную</v>
      </c>
      <c r="Z31" s="59">
        <v>190.59775761622515</v>
      </c>
      <c r="AA31" s="61">
        <v>250</v>
      </c>
      <c r="AB31" s="61">
        <v>315</v>
      </c>
      <c r="AC31" s="61" t="str">
        <v/>
      </c>
      <c r="AD31" s="62" t="str">
        <v/>
      </c>
      <c r="AE31" s="62" t="str">
        <v>КАБЕЛЬ НЕ ЗАЩИЩЁН</v>
      </c>
      <c r="AF31" s="34" t="str">
        <v/>
      </c>
      <c r="AG31" s="34" t="str">
        <v/>
      </c>
      <c r="AH31" s="34" t="str">
        <v/>
      </c>
      <c r="AI31" s="34" t="str">
        <v/>
      </c>
      <c r="AJ31" s="34" t="str">
        <v/>
      </c>
      <c r="AK31" s="34">
        <v>3</v>
      </c>
      <c r="AL31" s="34" t="str">
        <v>Ввод</v>
      </c>
      <c r="AM31" s="34">
        <v>0</v>
      </c>
      <c r="AN31" s="34">
        <v>0</v>
      </c>
      <c r="AO31" s="34">
        <v>250</v>
      </c>
      <c r="AP31" s="34">
        <v>315</v>
      </c>
      <c r="AQ31" s="34">
        <v>320</v>
      </c>
      <c r="AR31" s="34">
        <v>3</v>
      </c>
      <c r="AS31" s="34">
        <v>0</v>
      </c>
      <c r="AT31" s="34" t="str">
        <v>3P</v>
      </c>
      <c r="AU31" s="34">
        <v>320</v>
      </c>
      <c r="AV31" s="34" t="str">
        <v/>
      </c>
      <c r="AW31" s="34" t="str">
        <v/>
      </c>
      <c r="AX31" s="34" t="str">
        <v/>
      </c>
      <c r="AY31" s="34">
        <v>0</v>
      </c>
      <c r="AZ31" s="34" t="str">
        <v/>
      </c>
      <c r="BA31" s="34">
        <v>0</v>
      </c>
      <c r="BB31" s="34">
        <v>0</v>
      </c>
      <c r="BD31" s="34">
        <v>0</v>
      </c>
      <c r="BE31" s="34">
        <v>0</v>
      </c>
      <c r="BF31" s="34">
        <v>0</v>
      </c>
      <c r="BG31" s="34" t="str">
        <v/>
      </c>
      <c r="BH31" s="34" t="str">
        <v/>
      </c>
      <c r="BI31" s="34" t="str">
        <v/>
      </c>
      <c r="BJ31" s="34" t="str">
        <v/>
      </c>
      <c r="BK31" s="34" t="str">
        <v>BOX</v>
      </c>
      <c r="BL31" s="34">
        <v>1</v>
      </c>
      <c r="BM31" s="34">
        <v>16</v>
      </c>
      <c r="BN31" s="34" t="str">
        <v/>
      </c>
      <c r="BO31" s="34" t="str">
        <v/>
      </c>
      <c r="BP31" s="34" t="str">
        <v/>
      </c>
      <c r="BQ31" s="34" t="str">
        <v/>
      </c>
      <c r="BR31" s="34" t="str">
        <v/>
      </c>
      <c r="BS31" s="34" t="str">
        <v/>
      </c>
      <c r="BT31" s="34" t="str">
        <v/>
      </c>
      <c r="BU31" s="34">
        <v>2</v>
      </c>
      <c r="BV31" s="34">
        <v>51</v>
      </c>
      <c r="BW31" s="34">
        <v>0</v>
      </c>
      <c r="BX31" s="34">
        <v>0</v>
      </c>
      <c r="BY31" s="34">
        <v>0</v>
      </c>
      <c r="BZ31">
        <v>4</v>
      </c>
      <c r="CA31" t="str">
        <v>вводной узел</v>
      </c>
    </row>
    <row r="32" spans="1:79" x14ac:dyDescent="0.3">
      <c r="A32" s="39" t="str">
        <v>ЩОВ-001</v>
      </c>
      <c r="B32" s="42">
        <v>14</v>
      </c>
      <c r="C32" s="42">
        <v>1</v>
      </c>
      <c r="D32" s="75" t="str">
        <v/>
      </c>
      <c r="E32" s="75" t="str">
        <v>авто</v>
      </c>
      <c r="F32" s="76" t="str">
        <v/>
      </c>
      <c r="G32" s="47" t="str">
        <v>QF1</v>
      </c>
      <c r="H32" s="47" t="str">
        <v>1P С10А</v>
      </c>
      <c r="I32" s="75" t="str">
        <v/>
      </c>
      <c r="J32" s="76" t="str">
        <v/>
      </c>
      <c r="K32" s="76" t="str">
        <v/>
      </c>
      <c r="L32" s="75" t="str">
        <v/>
      </c>
      <c r="M32" s="49" t="str">
        <v/>
      </c>
      <c r="N32" s="76" t="str">
        <v/>
      </c>
      <c r="O32" s="49" t="str">
        <v/>
      </c>
      <c r="P32" s="77" t="str">
        <v>XT1</v>
      </c>
      <c r="Q32" s="53" t="str">
        <v>ВВГнг(А)-LS (3х1,5) L=21-0,12%</v>
      </c>
      <c r="R32" s="54" t="str">
        <v>В.3</v>
      </c>
      <c r="S32" s="55" t="str">
        <v>Вытяжная установка Пом №006T</v>
      </c>
      <c r="T32" s="56">
        <v>0.1</v>
      </c>
      <c r="U32" s="56">
        <v>0.55000000000000004</v>
      </c>
      <c r="V32" s="42" t="str">
        <v>L1</v>
      </c>
      <c r="W32" s="57" t="str">
        <v>ok</v>
      </c>
      <c r="X32" s="58" t="str">
        <v/>
      </c>
      <c r="Y32" s="75" t="str">
        <v/>
      </c>
      <c r="Z32" s="59">
        <v>0.5412658773652741</v>
      </c>
      <c r="AA32" s="61">
        <v>6</v>
      </c>
      <c r="AB32" s="61">
        <v>16</v>
      </c>
      <c r="AC32" s="61" t="str">
        <v/>
      </c>
      <c r="AD32" s="62" t="str">
        <v>QF1 → XT1</v>
      </c>
      <c r="AE32" s="62" t="str">
        <v/>
      </c>
      <c r="AF32" s="34">
        <v>1</v>
      </c>
      <c r="AG32" s="34" t="str">
        <v>QF1</v>
      </c>
      <c r="AH32" s="34" t="str">
        <v/>
      </c>
      <c r="AI32" s="34" t="str">
        <v/>
      </c>
      <c r="AJ32" s="34" t="str">
        <v>QF1</v>
      </c>
      <c r="AK32" s="34">
        <v>1</v>
      </c>
      <c r="AL32" s="34" t="str">
        <v>В</v>
      </c>
      <c r="AM32" s="34">
        <v>0</v>
      </c>
      <c r="AN32" s="34">
        <v>0</v>
      </c>
      <c r="AO32" s="34">
        <v>6</v>
      </c>
      <c r="AP32" s="34">
        <v>16</v>
      </c>
      <c r="AQ32" s="34">
        <v>10</v>
      </c>
      <c r="AR32" s="34">
        <v>1</v>
      </c>
      <c r="AS32" s="34">
        <v>0</v>
      </c>
      <c r="AT32" s="34" t="str">
        <v>1P</v>
      </c>
      <c r="AU32" s="34">
        <v>10</v>
      </c>
      <c r="AV32" s="34" t="str">
        <v/>
      </c>
      <c r="AW32" s="34" t="str">
        <v/>
      </c>
      <c r="AX32" s="34" t="str">
        <v/>
      </c>
      <c r="AY32" s="34">
        <v>1</v>
      </c>
      <c r="AZ32" s="34" t="str">
        <v/>
      </c>
      <c r="BA32" s="34">
        <v>0</v>
      </c>
      <c r="BB32" s="34">
        <v>0</v>
      </c>
      <c r="BD32" s="34">
        <v>1</v>
      </c>
      <c r="BE32" s="34">
        <v>0</v>
      </c>
      <c r="BF32" s="34">
        <v>0</v>
      </c>
      <c r="BG32" s="34" t="str">
        <v/>
      </c>
      <c r="BH32" s="34" t="str">
        <v/>
      </c>
      <c r="BI32" s="34" t="str">
        <v/>
      </c>
      <c r="BJ32" s="34" t="str">
        <v/>
      </c>
      <c r="BK32" s="34" t="str">
        <v>MOTOR</v>
      </c>
      <c r="BL32" s="34">
        <v>1</v>
      </c>
      <c r="BM32" s="34" t="str">
        <v/>
      </c>
      <c r="BN32" s="34" t="str">
        <v/>
      </c>
      <c r="BO32" s="34" t="str">
        <v/>
      </c>
      <c r="BP32" s="34" t="str">
        <v/>
      </c>
      <c r="BQ32" s="34" t="str">
        <v>3х1,5</v>
      </c>
      <c r="BR32" s="34" t="str">
        <v/>
      </c>
      <c r="BS32" s="34" t="str">
        <v/>
      </c>
      <c r="BT32" s="34" t="str">
        <v/>
      </c>
      <c r="BU32" s="34">
        <v>0</v>
      </c>
      <c r="BV32" s="34">
        <v>52</v>
      </c>
      <c r="BW32" s="34">
        <v>1</v>
      </c>
      <c r="BX32" s="34">
        <v>0</v>
      </c>
      <c r="BY32" s="34" t="str">
        <v>Привод (двигатель)</v>
      </c>
      <c r="BZ32">
        <v>4</v>
      </c>
      <c r="CA32" t="str">
        <v>линии</v>
      </c>
    </row>
    <row r="33" spans="1:79" x14ac:dyDescent="0.3">
      <c r="A33" s="39" t="str">
        <v>ЩОВ-001</v>
      </c>
      <c r="B33" s="42">
        <v>15</v>
      </c>
      <c r="C33" s="42">
        <v>1</v>
      </c>
      <c r="D33" s="75" t="str">
        <v/>
      </c>
      <c r="E33" s="75" t="str">
        <v>авто</v>
      </c>
      <c r="F33" s="76" t="str">
        <v/>
      </c>
      <c r="G33" s="47" t="str">
        <v>QF2</v>
      </c>
      <c r="H33" s="47" t="str">
        <v>1P С10А</v>
      </c>
      <c r="I33" s="75" t="str">
        <v/>
      </c>
      <c r="J33" s="76" t="str">
        <v/>
      </c>
      <c r="K33" s="76" t="str">
        <v/>
      </c>
      <c r="L33" s="75" t="str">
        <v/>
      </c>
      <c r="M33" s="49" t="str">
        <v/>
      </c>
      <c r="N33" s="76" t="str">
        <v/>
      </c>
      <c r="O33" s="49" t="str">
        <v/>
      </c>
      <c r="P33" s="77" t="str">
        <v>XT2</v>
      </c>
      <c r="Q33" s="53" t="str">
        <v>ВВГнг(А)-LS (3х1,5) L=17-0,1%</v>
      </c>
      <c r="R33" s="54" t="str">
        <v>В.9</v>
      </c>
      <c r="S33" s="55" t="str">
        <v>Вытяжная установка Пом №006T</v>
      </c>
      <c r="T33" s="56">
        <v>0.1</v>
      </c>
      <c r="U33" s="56">
        <v>0.55000000000000004</v>
      </c>
      <c r="V33" s="42" t="str">
        <v>L2</v>
      </c>
      <c r="W33" s="57" t="str">
        <v>ok</v>
      </c>
      <c r="X33" s="58" t="str">
        <v/>
      </c>
      <c r="Y33" s="75" t="str">
        <v/>
      </c>
      <c r="Z33" s="59">
        <v>0.5412658773652741</v>
      </c>
      <c r="AA33" s="61">
        <v>6</v>
      </c>
      <c r="AB33" s="61">
        <v>16</v>
      </c>
      <c r="AC33" s="61" t="str">
        <v/>
      </c>
      <c r="AD33" s="62" t="str">
        <v>QF2 → XT2</v>
      </c>
      <c r="AE33" s="62" t="str">
        <v/>
      </c>
      <c r="AF33" s="34">
        <v>2</v>
      </c>
      <c r="AG33" s="34" t="str">
        <v>QF2</v>
      </c>
      <c r="AH33" s="34" t="str">
        <v/>
      </c>
      <c r="AI33" s="34" t="str">
        <v/>
      </c>
      <c r="AJ33" s="34" t="str">
        <v>QF2</v>
      </c>
      <c r="AK33" s="34">
        <v>1</v>
      </c>
      <c r="AL33" s="34" t="str">
        <v>В</v>
      </c>
      <c r="AM33" s="34">
        <v>0</v>
      </c>
      <c r="AN33" s="34">
        <v>0</v>
      </c>
      <c r="AO33" s="34">
        <v>6</v>
      </c>
      <c r="AP33" s="34">
        <v>16</v>
      </c>
      <c r="AQ33" s="34">
        <v>10</v>
      </c>
      <c r="AR33" s="34">
        <v>1</v>
      </c>
      <c r="AS33" s="34">
        <v>0</v>
      </c>
      <c r="AT33" s="34" t="str">
        <v>1P</v>
      </c>
      <c r="AU33" s="34">
        <v>10</v>
      </c>
      <c r="AV33" s="34" t="str">
        <v/>
      </c>
      <c r="AW33" s="34" t="str">
        <v/>
      </c>
      <c r="AX33" s="34" t="str">
        <v/>
      </c>
      <c r="AY33" s="34">
        <v>1</v>
      </c>
      <c r="AZ33" s="34" t="str">
        <v/>
      </c>
      <c r="BA33" s="34">
        <v>0</v>
      </c>
      <c r="BB33" s="34">
        <v>0</v>
      </c>
      <c r="BD33" s="34">
        <v>1</v>
      </c>
      <c r="BE33" s="34">
        <v>0</v>
      </c>
      <c r="BF33" s="34">
        <v>0</v>
      </c>
      <c r="BG33" s="34" t="str">
        <v/>
      </c>
      <c r="BH33" s="34" t="str">
        <v/>
      </c>
      <c r="BI33" s="34" t="str">
        <v/>
      </c>
      <c r="BJ33" s="34" t="str">
        <v/>
      </c>
      <c r="BK33" s="34" t="str">
        <v>MOTOR</v>
      </c>
      <c r="BL33" s="34">
        <v>1</v>
      </c>
      <c r="BM33" s="34" t="str">
        <v/>
      </c>
      <c r="BN33" s="34" t="str">
        <v/>
      </c>
      <c r="BO33" s="34" t="str">
        <v/>
      </c>
      <c r="BP33" s="34" t="str">
        <v/>
      </c>
      <c r="BQ33" s="34" t="str">
        <v>3х1,5</v>
      </c>
      <c r="BR33" s="34" t="str">
        <v/>
      </c>
      <c r="BS33" s="34" t="str">
        <v/>
      </c>
      <c r="BT33" s="34" t="str">
        <v/>
      </c>
      <c r="BU33" s="34">
        <v>0</v>
      </c>
      <c r="BV33" s="34">
        <v>53</v>
      </c>
      <c r="BW33" s="34">
        <v>1</v>
      </c>
      <c r="BX33" s="34">
        <v>0</v>
      </c>
      <c r="BY33" s="34" t="str">
        <v>Привод (двигатель)</v>
      </c>
      <c r="BZ33">
        <v>4</v>
      </c>
      <c r="CA33" t="str">
        <v>линии</v>
      </c>
    </row>
    <row r="34" spans="1:79" x14ac:dyDescent="0.3">
      <c r="A34" s="39" t="str">
        <v>ЩОВ-001</v>
      </c>
      <c r="B34" s="42">
        <v>16</v>
      </c>
      <c r="C34" s="42">
        <v>1</v>
      </c>
      <c r="D34" s="75" t="str">
        <v/>
      </c>
      <c r="E34" s="75" t="str">
        <v>авто</v>
      </c>
      <c r="F34" s="76" t="str">
        <v/>
      </c>
      <c r="G34" s="47" t="str">
        <v>QF3</v>
      </c>
      <c r="H34" s="47" t="str">
        <v>1P С10А</v>
      </c>
      <c r="I34" s="75" t="str">
        <v/>
      </c>
      <c r="J34" s="76" t="str">
        <v/>
      </c>
      <c r="K34" s="76" t="str">
        <v/>
      </c>
      <c r="L34" s="75" t="str">
        <v/>
      </c>
      <c r="M34" s="49" t="str">
        <v/>
      </c>
      <c r="N34" s="76" t="str">
        <v/>
      </c>
      <c r="O34" s="49" t="str">
        <v/>
      </c>
      <c r="P34" s="77" t="str">
        <v>XT3</v>
      </c>
      <c r="Q34" s="53" t="str">
        <v>ВВГнг(А)-LS (3х1,5) L=18-0,11%</v>
      </c>
      <c r="R34" s="54" t="str">
        <v>В.11</v>
      </c>
      <c r="S34" s="55" t="str">
        <v>Вытяжная установка Подвальный этаж Пом №006T</v>
      </c>
      <c r="T34" s="56">
        <v>0.1</v>
      </c>
      <c r="U34" s="56">
        <v>0.55000000000000004</v>
      </c>
      <c r="V34" s="42" t="str">
        <v>L1</v>
      </c>
      <c r="W34" s="57" t="str">
        <v>ok</v>
      </c>
      <c r="X34" s="58" t="str">
        <v/>
      </c>
      <c r="Y34" s="75" t="str">
        <v/>
      </c>
      <c r="Z34" s="59">
        <v>0.5412658773652741</v>
      </c>
      <c r="AA34" s="61">
        <v>6</v>
      </c>
      <c r="AB34" s="61">
        <v>16</v>
      </c>
      <c r="AC34" s="61" t="str">
        <v/>
      </c>
      <c r="AD34" s="62" t="str">
        <v>QF3 → XT3</v>
      </c>
      <c r="AE34" s="62" t="str">
        <v/>
      </c>
      <c r="AF34" s="34">
        <v>3</v>
      </c>
      <c r="AG34" s="34" t="str">
        <v>QF3</v>
      </c>
      <c r="AH34" s="34" t="str">
        <v/>
      </c>
      <c r="AI34" s="34" t="str">
        <v/>
      </c>
      <c r="AJ34" s="34" t="str">
        <v>QF3</v>
      </c>
      <c r="AK34" s="34">
        <v>1</v>
      </c>
      <c r="AL34" s="34" t="str">
        <v>В</v>
      </c>
      <c r="AM34" s="34">
        <v>0</v>
      </c>
      <c r="AN34" s="34">
        <v>0</v>
      </c>
      <c r="AO34" s="34">
        <v>6</v>
      </c>
      <c r="AP34" s="34">
        <v>16</v>
      </c>
      <c r="AQ34" s="34">
        <v>10</v>
      </c>
      <c r="AR34" s="34">
        <v>1</v>
      </c>
      <c r="AS34" s="34">
        <v>0</v>
      </c>
      <c r="AT34" s="34" t="str">
        <v>1P</v>
      </c>
      <c r="AU34" s="34">
        <v>10</v>
      </c>
      <c r="AV34" s="34" t="str">
        <v/>
      </c>
      <c r="AW34" s="34" t="str">
        <v/>
      </c>
      <c r="AX34" s="34" t="str">
        <v/>
      </c>
      <c r="AY34" s="34">
        <v>1</v>
      </c>
      <c r="AZ34" s="34" t="str">
        <v/>
      </c>
      <c r="BA34" s="34">
        <v>0</v>
      </c>
      <c r="BB34" s="34">
        <v>0</v>
      </c>
      <c r="BD34" s="34">
        <v>1</v>
      </c>
      <c r="BE34" s="34">
        <v>0</v>
      </c>
      <c r="BF34" s="34">
        <v>0</v>
      </c>
      <c r="BG34" s="34" t="str">
        <v/>
      </c>
      <c r="BH34" s="34" t="str">
        <v/>
      </c>
      <c r="BI34" s="34" t="str">
        <v/>
      </c>
      <c r="BJ34" s="34" t="str">
        <v/>
      </c>
      <c r="BK34" s="34" t="str">
        <v>MOTOR</v>
      </c>
      <c r="BL34" s="34">
        <v>1</v>
      </c>
      <c r="BM34" s="34" t="str">
        <v/>
      </c>
      <c r="BN34" s="34" t="str">
        <v/>
      </c>
      <c r="BO34" s="34" t="str">
        <v/>
      </c>
      <c r="BP34" s="34" t="str">
        <v/>
      </c>
      <c r="BQ34" s="34" t="str">
        <v>3х1,5</v>
      </c>
      <c r="BR34" s="34" t="str">
        <v/>
      </c>
      <c r="BS34" s="34" t="str">
        <v/>
      </c>
      <c r="BT34" s="34" t="str">
        <v/>
      </c>
      <c r="BU34" s="34">
        <v>0</v>
      </c>
      <c r="BV34" s="34">
        <v>54</v>
      </c>
      <c r="BW34" s="34">
        <v>1</v>
      </c>
      <c r="BX34" s="34">
        <v>0</v>
      </c>
      <c r="BY34" s="34" t="str">
        <v>Привод (двигатель)</v>
      </c>
      <c r="BZ34">
        <v>4</v>
      </c>
      <c r="CA34" t="str">
        <v>линии</v>
      </c>
    </row>
    <row r="35" spans="1:79" x14ac:dyDescent="0.3">
      <c r="A35" s="39" t="str">
        <v>ЩОВ-001</v>
      </c>
      <c r="B35" s="42">
        <v>19</v>
      </c>
      <c r="C35" s="42">
        <v>2</v>
      </c>
      <c r="D35" s="75" t="str">
        <v/>
      </c>
      <c r="E35" s="75" t="str">
        <v>авто</v>
      </c>
      <c r="F35" s="76" t="str">
        <v/>
      </c>
      <c r="G35" s="47" t="str">
        <v>QF4</v>
      </c>
      <c r="H35" s="47" t="str">
        <v>1P С10А</v>
      </c>
      <c r="I35" s="75" t="str">
        <v/>
      </c>
      <c r="J35" s="76" t="str">
        <v/>
      </c>
      <c r="K35" s="76" t="str">
        <v/>
      </c>
      <c r="L35" s="75" t="str">
        <v/>
      </c>
      <c r="M35" s="49" t="str">
        <v/>
      </c>
      <c r="N35" s="76" t="str">
        <v/>
      </c>
      <c r="O35" s="49" t="str">
        <v/>
      </c>
      <c r="P35" s="77" t="str">
        <v/>
      </c>
      <c r="Q35" s="53" t="str">
        <v>ВВГнг(А)-LS (3х1,5) L=15-0,09%</v>
      </c>
      <c r="R35" s="54" t="str">
        <v>В.12</v>
      </c>
      <c r="S35" s="55" t="str">
        <v>Вытяжная установка Подвальный этаж Пом №006T</v>
      </c>
      <c r="T35" s="56">
        <v>0.1</v>
      </c>
      <c r="U35" s="56">
        <v>0.55000000000000004</v>
      </c>
      <c r="V35" s="42" t="str">
        <v>L3</v>
      </c>
      <c r="W35" s="57" t="str">
        <v>ok</v>
      </c>
      <c r="X35" s="58" t="str">
        <v/>
      </c>
      <c r="Y35" s="75" t="str">
        <v/>
      </c>
      <c r="Z35" s="59">
        <v>0.5412658773652741</v>
      </c>
      <c r="AA35" s="61">
        <v>6</v>
      </c>
      <c r="AB35" s="61">
        <v>16</v>
      </c>
      <c r="AC35" s="61" t="str">
        <v/>
      </c>
      <c r="AD35" s="62" t="str">
        <v>QF4</v>
      </c>
      <c r="AE35" s="62" t="str">
        <v/>
      </c>
      <c r="AF35" s="34">
        <v>4</v>
      </c>
      <c r="AG35" s="34" t="str">
        <v>QF4</v>
      </c>
      <c r="AH35" s="34" t="str">
        <v/>
      </c>
      <c r="AI35" s="34" t="str">
        <v/>
      </c>
      <c r="AJ35" s="34" t="str">
        <v>QF4</v>
      </c>
      <c r="AK35" s="34">
        <v>1</v>
      </c>
      <c r="AL35" s="34" t="str">
        <v>В</v>
      </c>
      <c r="AM35" s="34">
        <v>0</v>
      </c>
      <c r="AN35" s="34">
        <v>0</v>
      </c>
      <c r="AO35" s="34">
        <v>6</v>
      </c>
      <c r="AP35" s="34">
        <v>16</v>
      </c>
      <c r="AQ35" s="34">
        <v>10</v>
      </c>
      <c r="AR35" s="34">
        <v>1</v>
      </c>
      <c r="AS35" s="34">
        <v>0</v>
      </c>
      <c r="AT35" s="34" t="str">
        <v>1P</v>
      </c>
      <c r="AU35" s="34">
        <v>10</v>
      </c>
      <c r="AV35" s="34" t="str">
        <v/>
      </c>
      <c r="AW35" s="34" t="str">
        <v/>
      </c>
      <c r="AX35" s="34" t="str">
        <v/>
      </c>
      <c r="AY35" s="34">
        <v>1</v>
      </c>
      <c r="AZ35" s="34" t="str">
        <v/>
      </c>
      <c r="BA35" s="34">
        <v>0</v>
      </c>
      <c r="BB35" s="34">
        <v>0</v>
      </c>
      <c r="BD35" s="34">
        <v>1</v>
      </c>
      <c r="BE35" s="34">
        <v>0</v>
      </c>
      <c r="BF35" s="34">
        <v>0</v>
      </c>
      <c r="BG35" s="34" t="str">
        <v/>
      </c>
      <c r="BH35" s="34" t="str">
        <v/>
      </c>
      <c r="BI35" s="34" t="str">
        <v/>
      </c>
      <c r="BJ35" s="34" t="str">
        <v/>
      </c>
      <c r="BK35" s="34" t="str">
        <v>MOTOR</v>
      </c>
      <c r="BL35" s="34">
        <v>1</v>
      </c>
      <c r="BM35" s="34" t="str">
        <v/>
      </c>
      <c r="BN35" s="34" t="str">
        <v/>
      </c>
      <c r="BO35" s="34" t="str">
        <v/>
      </c>
      <c r="BP35" s="34" t="str">
        <v/>
      </c>
      <c r="BQ35" s="34" t="str">
        <v>3х1,5</v>
      </c>
      <c r="BR35" s="34" t="str">
        <v/>
      </c>
      <c r="BS35" s="34" t="str">
        <v/>
      </c>
      <c r="BT35" s="34" t="str">
        <v/>
      </c>
      <c r="BU35" s="34">
        <v>0</v>
      </c>
      <c r="BV35" s="34">
        <v>55</v>
      </c>
      <c r="BW35" s="34">
        <v>1</v>
      </c>
      <c r="BX35" s="34">
        <v>0</v>
      </c>
      <c r="BY35" s="34" t="str">
        <v>Привод (двигатель)</v>
      </c>
      <c r="BZ35">
        <v>4</v>
      </c>
      <c r="CA35" t="str">
        <v>линии</v>
      </c>
    </row>
    <row r="36" spans="1:79" x14ac:dyDescent="0.3">
      <c r="A36" s="39" t="str">
        <v>ЩОВ-001</v>
      </c>
      <c r="B36" s="42">
        <v>20</v>
      </c>
      <c r="C36" s="42">
        <v>2</v>
      </c>
      <c r="D36" s="75" t="str">
        <v/>
      </c>
      <c r="E36" s="75" t="str">
        <v>авто</v>
      </c>
      <c r="F36" s="76" t="str">
        <v/>
      </c>
      <c r="G36" s="47" t="str">
        <v>QF5</v>
      </c>
      <c r="H36" s="47" t="str">
        <v>1P С10А</v>
      </c>
      <c r="I36" s="75" t="str">
        <v/>
      </c>
      <c r="J36" s="76" t="str">
        <v/>
      </c>
      <c r="K36" s="76" t="str">
        <v/>
      </c>
      <c r="L36" s="75" t="str">
        <v/>
      </c>
      <c r="M36" s="49" t="str">
        <v/>
      </c>
      <c r="N36" s="76" t="str">
        <v/>
      </c>
      <c r="O36" s="49" t="str">
        <v/>
      </c>
      <c r="P36" s="77" t="str">
        <v>XT5</v>
      </c>
      <c r="Q36" s="53" t="str">
        <v>ВВГнг(А)-LS (3х1,5) L=16-0,1%</v>
      </c>
      <c r="R36" s="54" t="str">
        <v>В.13</v>
      </c>
      <c r="S36" s="55" t="str">
        <v>Вытяжная установка Подвальный этаж Пом №006T</v>
      </c>
      <c r="T36" s="56">
        <v>0.1</v>
      </c>
      <c r="U36" s="56">
        <v>0.55000000000000004</v>
      </c>
      <c r="V36" s="42" t="str">
        <v>L2</v>
      </c>
      <c r="W36" s="57" t="str">
        <v>ok</v>
      </c>
      <c r="X36" s="58" t="str">
        <v/>
      </c>
      <c r="Y36" s="75" t="str">
        <v/>
      </c>
      <c r="Z36" s="59">
        <v>0.5412658773652741</v>
      </c>
      <c r="AA36" s="61">
        <v>6</v>
      </c>
      <c r="AB36" s="61">
        <v>16</v>
      </c>
      <c r="AC36" s="61" t="str">
        <v/>
      </c>
      <c r="AD36" s="62" t="str">
        <v>QF5 → XT5</v>
      </c>
      <c r="AE36" s="62" t="str">
        <v/>
      </c>
      <c r="AF36" s="34">
        <v>5</v>
      </c>
      <c r="AG36" s="34" t="str">
        <v>QF5</v>
      </c>
      <c r="AH36" s="34" t="str">
        <v/>
      </c>
      <c r="AI36" s="34" t="str">
        <v/>
      </c>
      <c r="AJ36" s="34" t="str">
        <v>QF5</v>
      </c>
      <c r="AK36" s="34">
        <v>1</v>
      </c>
      <c r="AL36" s="34" t="str">
        <v>В</v>
      </c>
      <c r="AM36" s="34">
        <v>0</v>
      </c>
      <c r="AN36" s="34">
        <v>0</v>
      </c>
      <c r="AO36" s="34">
        <v>6</v>
      </c>
      <c r="AP36" s="34">
        <v>16</v>
      </c>
      <c r="AQ36" s="34">
        <v>10</v>
      </c>
      <c r="AR36" s="34">
        <v>1</v>
      </c>
      <c r="AS36" s="34">
        <v>0</v>
      </c>
      <c r="AT36" s="34" t="str">
        <v>1P</v>
      </c>
      <c r="AU36" s="34">
        <v>10</v>
      </c>
      <c r="AV36" s="34" t="str">
        <v/>
      </c>
      <c r="AW36" s="34" t="str">
        <v/>
      </c>
      <c r="AX36" s="34" t="str">
        <v/>
      </c>
      <c r="AY36" s="34">
        <v>1</v>
      </c>
      <c r="AZ36" s="34" t="str">
        <v/>
      </c>
      <c r="BA36" s="34">
        <v>0</v>
      </c>
      <c r="BB36" s="34">
        <v>0</v>
      </c>
      <c r="BD36" s="34">
        <v>1</v>
      </c>
      <c r="BE36" s="34">
        <v>0</v>
      </c>
      <c r="BF36" s="34">
        <v>0</v>
      </c>
      <c r="BG36" s="34" t="str">
        <v/>
      </c>
      <c r="BH36" s="34" t="str">
        <v/>
      </c>
      <c r="BI36" s="34" t="str">
        <v/>
      </c>
      <c r="BJ36" s="34" t="str">
        <v/>
      </c>
      <c r="BK36" s="34" t="str">
        <v>MOTOR</v>
      </c>
      <c r="BL36" s="34">
        <v>1</v>
      </c>
      <c r="BM36" s="34" t="str">
        <v/>
      </c>
      <c r="BN36" s="34" t="str">
        <v/>
      </c>
      <c r="BO36" s="34" t="str">
        <v/>
      </c>
      <c r="BP36" s="34" t="str">
        <v/>
      </c>
      <c r="BQ36" s="34" t="str">
        <v>3х1,5</v>
      </c>
      <c r="BR36" s="34" t="str">
        <v/>
      </c>
      <c r="BS36" s="34" t="str">
        <v/>
      </c>
      <c r="BT36" s="34" t="str">
        <v/>
      </c>
      <c r="BU36" s="34">
        <v>0</v>
      </c>
      <c r="BV36" s="34">
        <v>56</v>
      </c>
      <c r="BW36" s="34">
        <v>1</v>
      </c>
      <c r="BX36" s="34">
        <v>0</v>
      </c>
      <c r="BY36" s="34" t="str">
        <v>Привод (двигатель)</v>
      </c>
      <c r="BZ36">
        <v>4</v>
      </c>
      <c r="CA36" t="str">
        <v>линии</v>
      </c>
    </row>
    <row r="37" spans="1:79" x14ac:dyDescent="0.3">
      <c r="A37" s="39" t="str">
        <v>ЩОВ-001</v>
      </c>
      <c r="B37" s="42">
        <v>21</v>
      </c>
      <c r="C37" s="42">
        <v>2</v>
      </c>
      <c r="D37" s="75" t="str">
        <v/>
      </c>
      <c r="E37" s="75" t="str">
        <v>авто</v>
      </c>
      <c r="F37" s="76" t="str">
        <v/>
      </c>
      <c r="G37" s="47" t="str">
        <v>QF6</v>
      </c>
      <c r="H37" s="47" t="str">
        <v>1P С10А</v>
      </c>
      <c r="I37" s="75" t="str">
        <v/>
      </c>
      <c r="J37" s="76" t="str">
        <v/>
      </c>
      <c r="K37" s="76" t="str">
        <v/>
      </c>
      <c r="L37" s="75" t="str">
        <v/>
      </c>
      <c r="M37" s="49" t="str">
        <v/>
      </c>
      <c r="N37" s="76" t="str">
        <v/>
      </c>
      <c r="O37" s="49" t="str">
        <v/>
      </c>
      <c r="P37" s="77" t="str">
        <v/>
      </c>
      <c r="Q37" s="53" t="str">
        <v>ВВГнг(А)-LS (3х1,5) L=20-0,12%</v>
      </c>
      <c r="R37" s="54" t="str">
        <v>В.17</v>
      </c>
      <c r="S37" s="55" t="str">
        <v>Вытяжная установка Подвальный этаж Пом №006T</v>
      </c>
      <c r="T37" s="56">
        <v>0.1</v>
      </c>
      <c r="U37" s="56">
        <v>0.55000000000000004</v>
      </c>
      <c r="V37" s="42" t="str">
        <v>L1</v>
      </c>
      <c r="W37" s="57" t="str">
        <v>ok</v>
      </c>
      <c r="X37" s="58" t="str">
        <v/>
      </c>
      <c r="Y37" s="75" t="str">
        <v/>
      </c>
      <c r="Z37" s="59">
        <v>0.5412658773652741</v>
      </c>
      <c r="AA37" s="61">
        <v>6</v>
      </c>
      <c r="AB37" s="61">
        <v>16</v>
      </c>
      <c r="AC37" s="61" t="str">
        <v/>
      </c>
      <c r="AD37" s="62" t="str">
        <v>QF6</v>
      </c>
      <c r="AE37" s="62" t="str">
        <v/>
      </c>
      <c r="AF37" s="34">
        <v>6</v>
      </c>
      <c r="AG37" s="34" t="str">
        <v>QF6</v>
      </c>
      <c r="AH37" s="34" t="str">
        <v/>
      </c>
      <c r="AI37" s="34" t="str">
        <v/>
      </c>
      <c r="AJ37" s="34" t="str">
        <v>QF6</v>
      </c>
      <c r="AK37" s="34">
        <v>1</v>
      </c>
      <c r="AL37" s="34" t="str">
        <v>В</v>
      </c>
      <c r="AM37" s="34">
        <v>0</v>
      </c>
      <c r="AN37" s="34">
        <v>0</v>
      </c>
      <c r="AO37" s="34">
        <v>6</v>
      </c>
      <c r="AP37" s="34">
        <v>16</v>
      </c>
      <c r="AQ37" s="34">
        <v>10</v>
      </c>
      <c r="AR37" s="34">
        <v>1</v>
      </c>
      <c r="AS37" s="34">
        <v>0</v>
      </c>
      <c r="AT37" s="34" t="str">
        <v>1P</v>
      </c>
      <c r="AU37" s="34">
        <v>10</v>
      </c>
      <c r="AV37" s="34" t="str">
        <v/>
      </c>
      <c r="AW37" s="34" t="str">
        <v/>
      </c>
      <c r="AX37" s="34" t="str">
        <v/>
      </c>
      <c r="AY37" s="34">
        <v>1</v>
      </c>
      <c r="AZ37" s="34" t="str">
        <v/>
      </c>
      <c r="BA37" s="34">
        <v>0</v>
      </c>
      <c r="BB37" s="34">
        <v>0</v>
      </c>
      <c r="BD37" s="34">
        <v>1</v>
      </c>
      <c r="BE37" s="34">
        <v>0</v>
      </c>
      <c r="BF37" s="34">
        <v>0</v>
      </c>
      <c r="BG37" s="34" t="str">
        <v/>
      </c>
      <c r="BH37" s="34" t="str">
        <v/>
      </c>
      <c r="BI37" s="34" t="str">
        <v/>
      </c>
      <c r="BJ37" s="34" t="str">
        <v/>
      </c>
      <c r="BK37" s="34" t="str">
        <v>MOTOR</v>
      </c>
      <c r="BL37" s="34">
        <v>1</v>
      </c>
      <c r="BM37" s="34" t="str">
        <v/>
      </c>
      <c r="BN37" s="34" t="str">
        <v/>
      </c>
      <c r="BO37" s="34" t="str">
        <v/>
      </c>
      <c r="BP37" s="34" t="str">
        <v/>
      </c>
      <c r="BQ37" s="34" t="str">
        <v>3х1,5</v>
      </c>
      <c r="BR37" s="34" t="str">
        <v/>
      </c>
      <c r="BS37" s="34" t="str">
        <v/>
      </c>
      <c r="BT37" s="34" t="str">
        <v/>
      </c>
      <c r="BU37" s="34">
        <v>0</v>
      </c>
      <c r="BV37" s="34">
        <v>57</v>
      </c>
      <c r="BW37" s="34">
        <v>1</v>
      </c>
      <c r="BX37" s="34">
        <v>0</v>
      </c>
      <c r="BY37" s="34" t="str">
        <v>Привод (двигатель)</v>
      </c>
      <c r="BZ37">
        <v>4</v>
      </c>
      <c r="CA37" t="str">
        <v>линии</v>
      </c>
    </row>
    <row r="38" spans="1:79" x14ac:dyDescent="0.3">
      <c r="A38" s="39" t="str">
        <v>ЩОВ-001</v>
      </c>
      <c r="B38" s="42">
        <v>22</v>
      </c>
      <c r="C38" s="42">
        <v>2</v>
      </c>
      <c r="D38" s="75" t="str">
        <v/>
      </c>
      <c r="E38" s="75" t="str">
        <v>авто</v>
      </c>
      <c r="F38" s="76" t="str">
        <v/>
      </c>
      <c r="G38" s="47" t="str">
        <v>QF7</v>
      </c>
      <c r="H38" s="47" t="str">
        <v>1P С10А</v>
      </c>
      <c r="I38" s="75" t="str">
        <v/>
      </c>
      <c r="J38" s="76" t="str">
        <v/>
      </c>
      <c r="K38" s="76" t="str">
        <v/>
      </c>
      <c r="L38" s="75" t="str">
        <v/>
      </c>
      <c r="M38" s="49" t="str">
        <v/>
      </c>
      <c r="N38" s="76" t="str">
        <v/>
      </c>
      <c r="O38" s="49" t="str">
        <v/>
      </c>
      <c r="P38" s="77" t="str">
        <v/>
      </c>
      <c r="Q38" s="53" t="str">
        <v>ВВГнг(А)-LS (3х1,5) L=23-0,14%</v>
      </c>
      <c r="R38" s="54" t="str">
        <v>В.18</v>
      </c>
      <c r="S38" s="55" t="str">
        <v>Вытяжная установка Подвальный этаж Пом №006T</v>
      </c>
      <c r="T38" s="56">
        <v>0.1</v>
      </c>
      <c r="U38" s="56">
        <v>0.55000000000000004</v>
      </c>
      <c r="V38" s="42" t="str">
        <v>L3</v>
      </c>
      <c r="W38" s="57" t="str">
        <v>ok</v>
      </c>
      <c r="X38" s="58" t="str">
        <v/>
      </c>
      <c r="Y38" s="75" t="str">
        <v/>
      </c>
      <c r="Z38" s="59">
        <v>0.5412658773652741</v>
      </c>
      <c r="AA38" s="61">
        <v>6</v>
      </c>
      <c r="AB38" s="61">
        <v>16</v>
      </c>
      <c r="AC38" s="61" t="str">
        <v/>
      </c>
      <c r="AD38" s="62" t="str">
        <v>QF7</v>
      </c>
      <c r="AE38" s="62" t="str">
        <v/>
      </c>
      <c r="AF38" s="34">
        <v>7</v>
      </c>
      <c r="AG38" s="34" t="str">
        <v>QF7</v>
      </c>
      <c r="AH38" s="34" t="str">
        <v/>
      </c>
      <c r="AI38" s="34" t="str">
        <v/>
      </c>
      <c r="AJ38" s="34" t="str">
        <v>QF7</v>
      </c>
      <c r="AK38" s="34">
        <v>1</v>
      </c>
      <c r="AL38" s="34" t="str">
        <v>В</v>
      </c>
      <c r="AM38" s="34">
        <v>0</v>
      </c>
      <c r="AN38" s="34">
        <v>0</v>
      </c>
      <c r="AO38" s="34">
        <v>6</v>
      </c>
      <c r="AP38" s="34">
        <v>16</v>
      </c>
      <c r="AQ38" s="34">
        <v>10</v>
      </c>
      <c r="AR38" s="34">
        <v>1</v>
      </c>
      <c r="AS38" s="34">
        <v>0</v>
      </c>
      <c r="AT38" s="34" t="str">
        <v>1P</v>
      </c>
      <c r="AU38" s="34">
        <v>10</v>
      </c>
      <c r="AV38" s="34" t="str">
        <v/>
      </c>
      <c r="AW38" s="34" t="str">
        <v/>
      </c>
      <c r="AX38" s="34" t="str">
        <v/>
      </c>
      <c r="AY38" s="34">
        <v>1</v>
      </c>
      <c r="AZ38" s="34" t="str">
        <v/>
      </c>
      <c r="BA38" s="34">
        <v>0</v>
      </c>
      <c r="BB38" s="34">
        <v>0</v>
      </c>
      <c r="BD38" s="34">
        <v>1</v>
      </c>
      <c r="BE38" s="34">
        <v>0</v>
      </c>
      <c r="BF38" s="34">
        <v>0</v>
      </c>
      <c r="BG38" s="34" t="str">
        <v/>
      </c>
      <c r="BH38" s="34" t="str">
        <v/>
      </c>
      <c r="BI38" s="34" t="str">
        <v/>
      </c>
      <c r="BJ38" s="34" t="str">
        <v/>
      </c>
      <c r="BK38" s="34" t="str">
        <v>MOTOR</v>
      </c>
      <c r="BL38" s="34">
        <v>1</v>
      </c>
      <c r="BM38" s="34" t="str">
        <v/>
      </c>
      <c r="BN38" s="34" t="str">
        <v/>
      </c>
      <c r="BO38" s="34" t="str">
        <v/>
      </c>
      <c r="BP38" s="34" t="str">
        <v/>
      </c>
      <c r="BQ38" s="34" t="str">
        <v>3х1,5</v>
      </c>
      <c r="BR38" s="34" t="str">
        <v/>
      </c>
      <c r="BS38" s="34" t="str">
        <v/>
      </c>
      <c r="BT38" s="34" t="str">
        <v/>
      </c>
      <c r="BU38" s="34">
        <v>0</v>
      </c>
      <c r="BV38" s="34">
        <v>58</v>
      </c>
      <c r="BW38" s="34">
        <v>1</v>
      </c>
      <c r="BX38" s="34">
        <v>0</v>
      </c>
      <c r="BY38" s="34" t="str">
        <v>Привод (двигатель)</v>
      </c>
      <c r="BZ38">
        <v>4</v>
      </c>
      <c r="CA38" t="str">
        <v>линии</v>
      </c>
    </row>
    <row r="39" spans="1:79" x14ac:dyDescent="0.3">
      <c r="A39" s="39" t="str">
        <v>ЩОВ-001</v>
      </c>
      <c r="B39" s="42">
        <v>23</v>
      </c>
      <c r="C39" s="42">
        <v>2</v>
      </c>
      <c r="D39" s="75" t="str">
        <v/>
      </c>
      <c r="E39" s="75" t="str">
        <v>авто</v>
      </c>
      <c r="F39" s="76" t="str">
        <v/>
      </c>
      <c r="G39" s="47" t="str">
        <v>QF8</v>
      </c>
      <c r="H39" s="47" t="str">
        <v>1P С10А</v>
      </c>
      <c r="I39" s="75" t="str">
        <v/>
      </c>
      <c r="J39" s="76" t="str">
        <v/>
      </c>
      <c r="K39" s="76" t="str">
        <v/>
      </c>
      <c r="L39" s="75" t="str">
        <v/>
      </c>
      <c r="M39" s="49" t="str">
        <v/>
      </c>
      <c r="N39" s="76" t="str">
        <v/>
      </c>
      <c r="O39" s="49" t="str">
        <v/>
      </c>
      <c r="P39" s="77" t="str">
        <v/>
      </c>
      <c r="Q39" s="53" t="str">
        <v>ВВГнг(А)-LS (3х1,5) L=15-0,23%</v>
      </c>
      <c r="R39" s="54" t="str">
        <v>П.1</v>
      </c>
      <c r="S39" s="55" t="str">
        <v>Приточная установка Пом №006Т</v>
      </c>
      <c r="T39" s="56">
        <v>0.27</v>
      </c>
      <c r="U39" s="56">
        <v>1.47</v>
      </c>
      <c r="V39" s="42" t="str">
        <v>L3</v>
      </c>
      <c r="W39" s="57" t="str">
        <v>ok</v>
      </c>
      <c r="X39" s="58" t="str">
        <v/>
      </c>
      <c r="Y39" s="75" t="str">
        <v/>
      </c>
      <c r="Z39" s="59">
        <v>1.46141786888624</v>
      </c>
      <c r="AA39" s="61">
        <v>6</v>
      </c>
      <c r="AB39" s="61">
        <v>16</v>
      </c>
      <c r="AC39" s="61" t="str">
        <v/>
      </c>
      <c r="AD39" s="62" t="str">
        <v>QF8</v>
      </c>
      <c r="AE39" s="62" t="str">
        <v/>
      </c>
      <c r="AF39" s="34">
        <v>8</v>
      </c>
      <c r="AG39" s="34" t="str">
        <v>QF8</v>
      </c>
      <c r="AH39" s="34" t="str">
        <v/>
      </c>
      <c r="AI39" s="34" t="str">
        <v/>
      </c>
      <c r="AJ39" s="34" t="str">
        <v>QF8</v>
      </c>
      <c r="AK39" s="34">
        <v>1</v>
      </c>
      <c r="AL39" s="34" t="str">
        <v>П</v>
      </c>
      <c r="AM39" s="34">
        <v>0</v>
      </c>
      <c r="AN39" s="34">
        <v>0</v>
      </c>
      <c r="AO39" s="34">
        <v>6</v>
      </c>
      <c r="AP39" s="34">
        <v>16</v>
      </c>
      <c r="AQ39" s="34">
        <v>10</v>
      </c>
      <c r="AR39" s="34">
        <v>1</v>
      </c>
      <c r="AS39" s="34">
        <v>0</v>
      </c>
      <c r="AT39" s="34" t="str">
        <v>1P</v>
      </c>
      <c r="AU39" s="34">
        <v>10</v>
      </c>
      <c r="AV39" s="34" t="str">
        <v/>
      </c>
      <c r="AW39" s="34" t="str">
        <v/>
      </c>
      <c r="AX39" s="34" t="str">
        <v/>
      </c>
      <c r="AY39" s="34">
        <v>1</v>
      </c>
      <c r="AZ39" s="34" t="str">
        <v/>
      </c>
      <c r="BA39" s="34">
        <v>0</v>
      </c>
      <c r="BB39" s="34">
        <v>0</v>
      </c>
      <c r="BD39" s="34">
        <v>1</v>
      </c>
      <c r="BE39" s="34">
        <v>0</v>
      </c>
      <c r="BF39" s="34">
        <v>0</v>
      </c>
      <c r="BG39" s="34" t="str">
        <v/>
      </c>
      <c r="BH39" s="34" t="str">
        <v/>
      </c>
      <c r="BI39" s="34" t="str">
        <v/>
      </c>
      <c r="BJ39" s="34" t="str">
        <v/>
      </c>
      <c r="BK39" s="34" t="str">
        <v>MOTOR</v>
      </c>
      <c r="BL39" s="34">
        <v>1</v>
      </c>
      <c r="BM39" s="34" t="str">
        <v/>
      </c>
      <c r="BN39" s="34" t="str">
        <v/>
      </c>
      <c r="BO39" s="34" t="str">
        <v/>
      </c>
      <c r="BP39" s="34" t="str">
        <v/>
      </c>
      <c r="BQ39" s="34" t="str">
        <v>3х1,5</v>
      </c>
      <c r="BR39" s="34" t="str">
        <v/>
      </c>
      <c r="BS39" s="34" t="str">
        <v/>
      </c>
      <c r="BT39" s="34" t="str">
        <v/>
      </c>
      <c r="BU39" s="34">
        <v>0</v>
      </c>
      <c r="BV39" s="34">
        <v>59</v>
      </c>
      <c r="BW39" s="34">
        <v>1</v>
      </c>
      <c r="BX39" s="34">
        <v>0</v>
      </c>
      <c r="BY39" s="34" t="str">
        <v>Привод (двигатель)</v>
      </c>
      <c r="BZ39">
        <v>4</v>
      </c>
      <c r="CA39" t="str">
        <v>линии</v>
      </c>
    </row>
    <row r="40" spans="1:79" x14ac:dyDescent="0.3">
      <c r="A40" s="39" t="str">
        <v>ЩОВ-001</v>
      </c>
      <c r="B40" s="42">
        <v>24</v>
      </c>
      <c r="C40" s="42">
        <v>2</v>
      </c>
      <c r="D40" s="75" t="str">
        <v/>
      </c>
      <c r="E40" s="75" t="str">
        <v>авто</v>
      </c>
      <c r="F40" s="76" t="str">
        <v/>
      </c>
      <c r="G40" s="47" t="str">
        <v>QF9</v>
      </c>
      <c r="H40" s="47" t="str">
        <v>1P С10А</v>
      </c>
      <c r="I40" s="75" t="str">
        <v/>
      </c>
      <c r="J40" s="76" t="str">
        <v/>
      </c>
      <c r="K40" s="76" t="str">
        <v/>
      </c>
      <c r="L40" s="75" t="str">
        <v/>
      </c>
      <c r="M40" s="49" t="str">
        <v/>
      </c>
      <c r="N40" s="76" t="str">
        <v/>
      </c>
      <c r="O40" s="49" t="str">
        <v/>
      </c>
      <c r="P40" s="77" t="str">
        <v/>
      </c>
      <c r="Q40" s="53" t="str">
        <v>ВВГнг(А)-LS (3х1,5) L=26-0,18%</v>
      </c>
      <c r="R40" s="54" t="str">
        <v>П.2</v>
      </c>
      <c r="S40" s="55" t="str">
        <v>Приточная установка Пом №006Т</v>
      </c>
      <c r="T40" s="56">
        <v>0.12</v>
      </c>
      <c r="U40" s="56">
        <v>0.65</v>
      </c>
      <c r="V40" s="42" t="str">
        <v>L2</v>
      </c>
      <c r="W40" s="57" t="str">
        <v>ok</v>
      </c>
      <c r="X40" s="58" t="str">
        <v/>
      </c>
      <c r="Y40" s="75" t="str">
        <v/>
      </c>
      <c r="Z40" s="59">
        <v>0.64951905283832878</v>
      </c>
      <c r="AA40" s="61">
        <v>6</v>
      </c>
      <c r="AB40" s="61">
        <v>16</v>
      </c>
      <c r="AC40" s="61" t="str">
        <v/>
      </c>
      <c r="AD40" s="62" t="str">
        <v>QF9</v>
      </c>
      <c r="AE40" s="62" t="str">
        <v/>
      </c>
      <c r="AF40" s="34">
        <v>9</v>
      </c>
      <c r="AG40" s="34" t="str">
        <v>QF9</v>
      </c>
      <c r="AH40" s="34" t="str">
        <v/>
      </c>
      <c r="AI40" s="34" t="str">
        <v/>
      </c>
      <c r="AJ40" s="34" t="str">
        <v>QF9</v>
      </c>
      <c r="AK40" s="34">
        <v>1</v>
      </c>
      <c r="AL40" s="34" t="str">
        <v>П</v>
      </c>
      <c r="AM40" s="34">
        <v>0</v>
      </c>
      <c r="AN40" s="34">
        <v>0</v>
      </c>
      <c r="AO40" s="34">
        <v>6</v>
      </c>
      <c r="AP40" s="34">
        <v>16</v>
      </c>
      <c r="AQ40" s="34">
        <v>10</v>
      </c>
      <c r="AR40" s="34">
        <v>1</v>
      </c>
      <c r="AS40" s="34">
        <v>0</v>
      </c>
      <c r="AT40" s="34" t="str">
        <v>1P</v>
      </c>
      <c r="AU40" s="34">
        <v>10</v>
      </c>
      <c r="AV40" s="34" t="str">
        <v/>
      </c>
      <c r="AW40" s="34" t="str">
        <v/>
      </c>
      <c r="AX40" s="34" t="str">
        <v/>
      </c>
      <c r="AY40" s="34">
        <v>1</v>
      </c>
      <c r="AZ40" s="34" t="str">
        <v/>
      </c>
      <c r="BA40" s="34">
        <v>0</v>
      </c>
      <c r="BB40" s="34">
        <v>0</v>
      </c>
      <c r="BD40" s="34">
        <v>1</v>
      </c>
      <c r="BE40" s="34">
        <v>0</v>
      </c>
      <c r="BF40" s="34">
        <v>0</v>
      </c>
      <c r="BG40" s="34" t="str">
        <v/>
      </c>
      <c r="BH40" s="34" t="str">
        <v/>
      </c>
      <c r="BI40" s="34" t="str">
        <v/>
      </c>
      <c r="BJ40" s="34" t="str">
        <v/>
      </c>
      <c r="BK40" s="34" t="str">
        <v>MOTOR</v>
      </c>
      <c r="BL40" s="34">
        <v>1</v>
      </c>
      <c r="BM40" s="34" t="str">
        <v/>
      </c>
      <c r="BN40" s="34" t="str">
        <v/>
      </c>
      <c r="BO40" s="34" t="str">
        <v/>
      </c>
      <c r="BP40" s="34" t="str">
        <v/>
      </c>
      <c r="BQ40" s="34" t="str">
        <v>3х1,5</v>
      </c>
      <c r="BR40" s="34" t="str">
        <v/>
      </c>
      <c r="BS40" s="34" t="str">
        <v/>
      </c>
      <c r="BT40" s="34" t="str">
        <v/>
      </c>
      <c r="BU40" s="34">
        <v>0</v>
      </c>
      <c r="BV40" s="34">
        <v>60</v>
      </c>
      <c r="BW40" s="34">
        <v>1</v>
      </c>
      <c r="BX40" s="34">
        <v>0</v>
      </c>
      <c r="BY40" s="34" t="str">
        <v>Привод (двигатель)</v>
      </c>
      <c r="BZ40">
        <v>4</v>
      </c>
      <c r="CA40" t="str">
        <v>линии</v>
      </c>
    </row>
    <row r="41" spans="1:79" x14ac:dyDescent="0.3">
      <c r="A41" s="39" t="str">
        <v>ЩОВ-001</v>
      </c>
      <c r="B41" s="42">
        <v>25</v>
      </c>
      <c r="C41" s="42">
        <v>2</v>
      </c>
      <c r="D41" s="75" t="str">
        <v/>
      </c>
      <c r="E41" s="75" t="str">
        <v>авто</v>
      </c>
      <c r="F41" s="76" t="str">
        <v/>
      </c>
      <c r="G41" s="47" t="str">
        <v>QF10</v>
      </c>
      <c r="H41" s="47" t="str">
        <v>1P С10А</v>
      </c>
      <c r="I41" s="75" t="str">
        <v/>
      </c>
      <c r="J41" s="76" t="str">
        <v/>
      </c>
      <c r="K41" s="76" t="str">
        <v/>
      </c>
      <c r="L41" s="75" t="str">
        <v/>
      </c>
      <c r="M41" s="49" t="str">
        <v/>
      </c>
      <c r="N41" s="76" t="str">
        <v/>
      </c>
      <c r="O41" s="49" t="str">
        <v/>
      </c>
      <c r="P41" s="77" t="str">
        <v/>
      </c>
      <c r="Q41" s="53" t="str">
        <v>ВВГнг(А)-LS (3х1,5) L=23-1,31%</v>
      </c>
      <c r="R41" s="54" t="str">
        <v>П.4</v>
      </c>
      <c r="S41" s="55" t="str">
        <v>Приточная установка Пом №006Т</v>
      </c>
      <c r="T41" s="56">
        <v>1</v>
      </c>
      <c r="U41" s="56">
        <v>5.42</v>
      </c>
      <c r="V41" s="42" t="str">
        <v>L3</v>
      </c>
      <c r="W41" s="57" t="str">
        <v>ok</v>
      </c>
      <c r="X41" s="58" t="str">
        <v/>
      </c>
      <c r="Y41" s="75" t="str">
        <v/>
      </c>
      <c r="Z41" s="59">
        <v>5.4126587736527405</v>
      </c>
      <c r="AA41" s="61">
        <v>10</v>
      </c>
      <c r="AB41" s="61">
        <v>16</v>
      </c>
      <c r="AC41" s="61" t="str">
        <v/>
      </c>
      <c r="AD41" s="62" t="str">
        <v>QF10</v>
      </c>
      <c r="AE41" s="62" t="str">
        <v/>
      </c>
      <c r="AF41" s="34">
        <v>10</v>
      </c>
      <c r="AG41" s="34" t="str">
        <v>QF10</v>
      </c>
      <c r="AH41" s="34" t="str">
        <v/>
      </c>
      <c r="AI41" s="34" t="str">
        <v/>
      </c>
      <c r="AJ41" s="34" t="str">
        <v>QF10</v>
      </c>
      <c r="AK41" s="34">
        <v>1</v>
      </c>
      <c r="AL41" s="34" t="str">
        <v>П</v>
      </c>
      <c r="AM41" s="34">
        <v>0</v>
      </c>
      <c r="AN41" s="34">
        <v>0</v>
      </c>
      <c r="AO41" s="34">
        <v>10</v>
      </c>
      <c r="AP41" s="34">
        <v>16</v>
      </c>
      <c r="AQ41" s="34">
        <v>10</v>
      </c>
      <c r="AR41" s="34">
        <v>1</v>
      </c>
      <c r="AS41" s="34">
        <v>0</v>
      </c>
      <c r="AT41" s="34" t="str">
        <v>1P</v>
      </c>
      <c r="AU41" s="34">
        <v>10</v>
      </c>
      <c r="AV41" s="34" t="str">
        <v/>
      </c>
      <c r="AW41" s="34" t="str">
        <v/>
      </c>
      <c r="AX41" s="34" t="str">
        <v/>
      </c>
      <c r="AY41" s="34">
        <v>1</v>
      </c>
      <c r="AZ41" s="34" t="str">
        <v/>
      </c>
      <c r="BA41" s="34">
        <v>0</v>
      </c>
      <c r="BB41" s="34">
        <v>0</v>
      </c>
      <c r="BD41" s="34">
        <v>1</v>
      </c>
      <c r="BE41" s="34">
        <v>0</v>
      </c>
      <c r="BF41" s="34">
        <v>0</v>
      </c>
      <c r="BG41" s="34" t="str">
        <v/>
      </c>
      <c r="BH41" s="34" t="str">
        <v/>
      </c>
      <c r="BI41" s="34" t="str">
        <v/>
      </c>
      <c r="BJ41" s="34" t="str">
        <v/>
      </c>
      <c r="BK41" s="34" t="str">
        <v>MOTOR</v>
      </c>
      <c r="BL41" s="34">
        <v>1</v>
      </c>
      <c r="BM41" s="34" t="str">
        <v/>
      </c>
      <c r="BN41" s="34" t="str">
        <v/>
      </c>
      <c r="BO41" s="34" t="str">
        <v/>
      </c>
      <c r="BP41" s="34" t="str">
        <v/>
      </c>
      <c r="BQ41" s="34" t="str">
        <v>3х1,5</v>
      </c>
      <c r="BR41" s="34" t="str">
        <v/>
      </c>
      <c r="BS41" s="34" t="str">
        <v/>
      </c>
      <c r="BT41" s="34" t="str">
        <v/>
      </c>
      <c r="BU41" s="34">
        <v>0</v>
      </c>
      <c r="BV41" s="34">
        <v>61</v>
      </c>
      <c r="BW41" s="34">
        <v>1</v>
      </c>
      <c r="BX41" s="34">
        <v>0</v>
      </c>
      <c r="BY41" s="34" t="str">
        <v>Привод (двигатель)</v>
      </c>
      <c r="BZ41">
        <v>4</v>
      </c>
      <c r="CA41" t="str">
        <v>линии</v>
      </c>
    </row>
    <row r="42" spans="1:79" x14ac:dyDescent="0.3">
      <c r="A42" s="39" t="str">
        <v>ЩОВ-001</v>
      </c>
      <c r="B42" s="42">
        <v>26</v>
      </c>
      <c r="C42" s="42">
        <v>2</v>
      </c>
      <c r="D42" s="75" t="str">
        <v/>
      </c>
      <c r="E42" s="75" t="str">
        <v>авто</v>
      </c>
      <c r="F42" s="76" t="str">
        <v/>
      </c>
      <c r="G42" s="47" t="str">
        <v>QF11</v>
      </c>
      <c r="H42" s="47" t="str">
        <v>1P С16А</v>
      </c>
      <c r="I42" s="75" t="str">
        <v/>
      </c>
      <c r="J42" s="76" t="str">
        <v/>
      </c>
      <c r="K42" s="76" t="str">
        <v/>
      </c>
      <c r="L42" s="75" t="str">
        <v/>
      </c>
      <c r="M42" s="49" t="str">
        <v/>
      </c>
      <c r="N42" s="76" t="str">
        <v/>
      </c>
      <c r="O42" s="49" t="str">
        <v/>
      </c>
      <c r="P42" s="77" t="str">
        <v/>
      </c>
      <c r="Q42" s="53" t="str">
        <v>ВВГнг(А)-LS (3х2,5) L=27-1,93%</v>
      </c>
      <c r="R42" s="54" t="str">
        <v>ПВ.2</v>
      </c>
      <c r="S42" s="55" t="str">
        <v>Приточно-вытяжная установка Подвальный этаж Пом. №006Т</v>
      </c>
      <c r="T42" s="56">
        <v>2.1</v>
      </c>
      <c r="U42" s="56">
        <v>11.37</v>
      </c>
      <c r="V42" s="42" t="str">
        <v>L1</v>
      </c>
      <c r="W42" s="57" t="str">
        <v>ok</v>
      </c>
      <c r="X42" s="58" t="str">
        <v/>
      </c>
      <c r="Y42" s="75" t="str">
        <v/>
      </c>
      <c r="Z42" s="59">
        <v>11.366583424670756</v>
      </c>
      <c r="AA42" s="61">
        <v>16</v>
      </c>
      <c r="AB42" s="61">
        <v>25</v>
      </c>
      <c r="AC42" s="61" t="str">
        <v/>
      </c>
      <c r="AD42" s="62" t="str">
        <v>QF11</v>
      </c>
      <c r="AE42" s="62" t="str">
        <v/>
      </c>
      <c r="AF42" s="34">
        <v>11</v>
      </c>
      <c r="AG42" s="34" t="str">
        <v>QF11</v>
      </c>
      <c r="AH42" s="34" t="str">
        <v/>
      </c>
      <c r="AI42" s="34" t="str">
        <v/>
      </c>
      <c r="AJ42" s="34" t="str">
        <v>QF11</v>
      </c>
      <c r="AK42" s="34">
        <v>1</v>
      </c>
      <c r="AL42" s="34" t="str">
        <v>ПВ</v>
      </c>
      <c r="AM42" s="34">
        <v>0</v>
      </c>
      <c r="AN42" s="34">
        <v>0</v>
      </c>
      <c r="AO42" s="34">
        <v>16</v>
      </c>
      <c r="AP42" s="34">
        <v>25</v>
      </c>
      <c r="AQ42" s="34">
        <v>16</v>
      </c>
      <c r="AR42" s="34">
        <v>1</v>
      </c>
      <c r="AS42" s="34">
        <v>0</v>
      </c>
      <c r="AT42" s="34" t="str">
        <v>1P</v>
      </c>
      <c r="AU42" s="34">
        <v>16</v>
      </c>
      <c r="AV42" s="34" t="str">
        <v/>
      </c>
      <c r="AW42" s="34" t="str">
        <v/>
      </c>
      <c r="AX42" s="34" t="str">
        <v/>
      </c>
      <c r="AY42" s="34">
        <v>1</v>
      </c>
      <c r="AZ42" s="34" t="str">
        <v/>
      </c>
      <c r="BA42" s="34">
        <v>0</v>
      </c>
      <c r="BB42" s="34">
        <v>0</v>
      </c>
      <c r="BD42" s="34">
        <v>1</v>
      </c>
      <c r="BE42" s="34">
        <v>0</v>
      </c>
      <c r="BF42" s="34">
        <v>0</v>
      </c>
      <c r="BG42" s="34" t="str">
        <v/>
      </c>
      <c r="BH42" s="34" t="str">
        <v/>
      </c>
      <c r="BI42" s="34" t="str">
        <v/>
      </c>
      <c r="BJ42" s="34" t="str">
        <v/>
      </c>
      <c r="BK42" s="34" t="str">
        <v>MOTOR</v>
      </c>
      <c r="BL42" s="34">
        <v>1</v>
      </c>
      <c r="BM42" s="34" t="str">
        <v/>
      </c>
      <c r="BN42" s="34" t="str">
        <v/>
      </c>
      <c r="BO42" s="34" t="str">
        <v/>
      </c>
      <c r="BP42" s="34" t="str">
        <v/>
      </c>
      <c r="BQ42" s="34" t="str">
        <v>3х2,5</v>
      </c>
      <c r="BR42" s="34" t="str">
        <v/>
      </c>
      <c r="BS42" s="34" t="str">
        <v/>
      </c>
      <c r="BT42" s="34" t="str">
        <v/>
      </c>
      <c r="BU42" s="34">
        <v>0</v>
      </c>
      <c r="BV42" s="34">
        <v>62</v>
      </c>
      <c r="BW42" s="34">
        <v>1</v>
      </c>
      <c r="BX42" s="34">
        <v>0</v>
      </c>
      <c r="BY42" s="34" t="str">
        <v>Привод (двигатель)</v>
      </c>
      <c r="BZ42">
        <v>4</v>
      </c>
      <c r="CA42" t="str">
        <v>линии</v>
      </c>
    </row>
    <row r="43" spans="1:79" x14ac:dyDescent="0.3">
      <c r="A43" s="39" t="str">
        <v>ЩОВ-001</v>
      </c>
      <c r="B43" s="42">
        <v>27</v>
      </c>
      <c r="C43" s="42">
        <v>2</v>
      </c>
      <c r="D43" s="75" t="str">
        <v/>
      </c>
      <c r="E43" s="75" t="str">
        <v>авто</v>
      </c>
      <c r="F43" s="76" t="str">
        <v/>
      </c>
      <c r="G43" s="47" t="str">
        <v>QF12</v>
      </c>
      <c r="H43" s="47" t="str">
        <v>1P С10А</v>
      </c>
      <c r="I43" s="75" t="str">
        <v/>
      </c>
      <c r="J43" s="76" t="str">
        <v/>
      </c>
      <c r="K43" s="76" t="str">
        <v/>
      </c>
      <c r="L43" s="75" t="str">
        <v/>
      </c>
      <c r="M43" s="49" t="str">
        <v/>
      </c>
      <c r="N43" s="76" t="str">
        <v/>
      </c>
      <c r="O43" s="49" t="str">
        <v/>
      </c>
      <c r="P43" s="77" t="str">
        <v/>
      </c>
      <c r="Q43" s="53" t="str">
        <v>ВВГнг(А)-LS (3х1,5) L=28-0,58%</v>
      </c>
      <c r="R43" s="54" t="str">
        <v>ПВ.3</v>
      </c>
      <c r="S43" s="55" t="str">
        <v>Приточно-вытяжная установка Подвальный этаж Пом. №006Т</v>
      </c>
      <c r="T43" s="56">
        <v>0.36</v>
      </c>
      <c r="U43" s="56">
        <v>1.95</v>
      </c>
      <c r="V43" s="42" t="str">
        <v>L1</v>
      </c>
      <c r="W43" s="57" t="str">
        <v>ok</v>
      </c>
      <c r="X43" s="58" t="str">
        <v/>
      </c>
      <c r="Y43" s="75" t="str">
        <v/>
      </c>
      <c r="Z43" s="59">
        <v>1.9485571585149866</v>
      </c>
      <c r="AA43" s="61">
        <v>6</v>
      </c>
      <c r="AB43" s="61">
        <v>16</v>
      </c>
      <c r="AC43" s="61" t="str">
        <v/>
      </c>
      <c r="AD43" s="62" t="str">
        <v>QF12</v>
      </c>
      <c r="AE43" s="62" t="str">
        <v/>
      </c>
      <c r="AF43" s="34">
        <v>12</v>
      </c>
      <c r="AG43" s="34" t="str">
        <v>QF12</v>
      </c>
      <c r="AH43" s="34" t="str">
        <v/>
      </c>
      <c r="AI43" s="34" t="str">
        <v/>
      </c>
      <c r="AJ43" s="34" t="str">
        <v>QF12</v>
      </c>
      <c r="AK43" s="34">
        <v>1</v>
      </c>
      <c r="AL43" s="34" t="str">
        <v>ПВ</v>
      </c>
      <c r="AM43" s="34">
        <v>0</v>
      </c>
      <c r="AN43" s="34">
        <v>0</v>
      </c>
      <c r="AO43" s="34">
        <v>6</v>
      </c>
      <c r="AP43" s="34">
        <v>16</v>
      </c>
      <c r="AQ43" s="34">
        <v>10</v>
      </c>
      <c r="AR43" s="34">
        <v>1</v>
      </c>
      <c r="AS43" s="34">
        <v>0</v>
      </c>
      <c r="AT43" s="34" t="str">
        <v>1P</v>
      </c>
      <c r="AU43" s="34">
        <v>10</v>
      </c>
      <c r="AV43" s="34" t="str">
        <v/>
      </c>
      <c r="AW43" s="34" t="str">
        <v/>
      </c>
      <c r="AX43" s="34" t="str">
        <v/>
      </c>
      <c r="AY43" s="34">
        <v>1</v>
      </c>
      <c r="AZ43" s="34" t="str">
        <v/>
      </c>
      <c r="BA43" s="34">
        <v>0</v>
      </c>
      <c r="BB43" s="34">
        <v>0</v>
      </c>
      <c r="BD43" s="34">
        <v>1</v>
      </c>
      <c r="BE43" s="34">
        <v>0</v>
      </c>
      <c r="BF43" s="34">
        <v>0</v>
      </c>
      <c r="BG43" s="34" t="str">
        <v/>
      </c>
      <c r="BH43" s="34" t="str">
        <v/>
      </c>
      <c r="BI43" s="34" t="str">
        <v/>
      </c>
      <c r="BJ43" s="34" t="str">
        <v/>
      </c>
      <c r="BK43" s="34" t="str">
        <v>MOTOR</v>
      </c>
      <c r="BL43" s="34">
        <v>1</v>
      </c>
      <c r="BM43" s="34" t="str">
        <v/>
      </c>
      <c r="BN43" s="34" t="str">
        <v/>
      </c>
      <c r="BO43" s="34" t="str">
        <v/>
      </c>
      <c r="BP43" s="34" t="str">
        <v/>
      </c>
      <c r="BQ43" s="34" t="str">
        <v>3х1,5</v>
      </c>
      <c r="BR43" s="34" t="str">
        <v/>
      </c>
      <c r="BS43" s="34" t="str">
        <v/>
      </c>
      <c r="BT43" s="34" t="str">
        <v/>
      </c>
      <c r="BU43" s="34">
        <v>0</v>
      </c>
      <c r="BV43" s="34">
        <v>63</v>
      </c>
      <c r="BW43" s="34">
        <v>1</v>
      </c>
      <c r="BX43" s="34">
        <v>0</v>
      </c>
      <c r="BY43" s="34" t="str">
        <v>Привод (двигатель)</v>
      </c>
      <c r="BZ43">
        <v>4</v>
      </c>
      <c r="CA43" t="str">
        <v>линии</v>
      </c>
    </row>
    <row r="44" spans="1:79" x14ac:dyDescent="0.3">
      <c r="A44" s="39" t="str">
        <v>ЩОВ-001</v>
      </c>
      <c r="B44" s="42">
        <v>28</v>
      </c>
      <c r="C44" s="42">
        <v>2</v>
      </c>
      <c r="D44" s="75" t="str">
        <v/>
      </c>
      <c r="E44" s="75" t="str">
        <v>авто</v>
      </c>
      <c r="F44" s="76" t="str">
        <v/>
      </c>
      <c r="G44" s="47" t="str">
        <v>QF13</v>
      </c>
      <c r="H44" s="47" t="str">
        <v>1P С10А</v>
      </c>
      <c r="I44" s="75" t="str">
        <v/>
      </c>
      <c r="J44" s="76" t="str">
        <v/>
      </c>
      <c r="K44" s="76" t="str">
        <v/>
      </c>
      <c r="L44" s="75" t="str">
        <v/>
      </c>
      <c r="M44" s="49" t="str">
        <v/>
      </c>
      <c r="N44" s="76" t="str">
        <v/>
      </c>
      <c r="O44" s="49" t="str">
        <v/>
      </c>
      <c r="P44" s="77" t="str">
        <v/>
      </c>
      <c r="Q44" s="53" t="str">
        <v>ВВГнг(А)-LS (3х1,5) L=27-1,68%</v>
      </c>
      <c r="R44" s="54" t="str">
        <v>ПВ.4</v>
      </c>
      <c r="S44" s="55" t="str">
        <v>Приточно-вытяжная установка Подвальный этаж Пом. №006Т</v>
      </c>
      <c r="T44" s="56">
        <v>1.1000000000000001</v>
      </c>
      <c r="U44" s="56">
        <v>5.96</v>
      </c>
      <c r="V44" s="42" t="str">
        <v>L2</v>
      </c>
      <c r="W44" s="57" t="str">
        <v>ok</v>
      </c>
      <c r="X44" s="58" t="str">
        <v/>
      </c>
      <c r="Y44" s="75" t="str">
        <v/>
      </c>
      <c r="Z44" s="59">
        <v>5.9539246510180153</v>
      </c>
      <c r="AA44" s="61">
        <v>10</v>
      </c>
      <c r="AB44" s="61">
        <v>16</v>
      </c>
      <c r="AC44" s="61" t="str">
        <v/>
      </c>
      <c r="AD44" s="62" t="str">
        <v>QF13</v>
      </c>
      <c r="AE44" s="62" t="str">
        <v/>
      </c>
      <c r="AF44" s="34">
        <v>13</v>
      </c>
      <c r="AG44" s="34" t="str">
        <v>QF13</v>
      </c>
      <c r="AH44" s="34" t="str">
        <v/>
      </c>
      <c r="AI44" s="34" t="str">
        <v/>
      </c>
      <c r="AJ44" s="34" t="str">
        <v>QF13</v>
      </c>
      <c r="AK44" s="34">
        <v>1</v>
      </c>
      <c r="AL44" s="34" t="str">
        <v>ПВ</v>
      </c>
      <c r="AM44" s="34">
        <v>0</v>
      </c>
      <c r="AN44" s="34">
        <v>0</v>
      </c>
      <c r="AO44" s="34">
        <v>10</v>
      </c>
      <c r="AP44" s="34">
        <v>16</v>
      </c>
      <c r="AQ44" s="34">
        <v>10</v>
      </c>
      <c r="AR44" s="34">
        <v>1</v>
      </c>
      <c r="AS44" s="34">
        <v>0</v>
      </c>
      <c r="AT44" s="34" t="str">
        <v>1P</v>
      </c>
      <c r="AU44" s="34">
        <v>10</v>
      </c>
      <c r="AV44" s="34" t="str">
        <v/>
      </c>
      <c r="AW44" s="34" t="str">
        <v/>
      </c>
      <c r="AX44" s="34" t="str">
        <v/>
      </c>
      <c r="AY44" s="34">
        <v>1</v>
      </c>
      <c r="AZ44" s="34" t="str">
        <v/>
      </c>
      <c r="BA44" s="34">
        <v>0</v>
      </c>
      <c r="BB44" s="34">
        <v>0</v>
      </c>
      <c r="BD44" s="34">
        <v>1</v>
      </c>
      <c r="BE44" s="34">
        <v>0</v>
      </c>
      <c r="BF44" s="34">
        <v>0</v>
      </c>
      <c r="BG44" s="34" t="str">
        <v/>
      </c>
      <c r="BH44" s="34" t="str">
        <v/>
      </c>
      <c r="BI44" s="34" t="str">
        <v/>
      </c>
      <c r="BJ44" s="34" t="str">
        <v/>
      </c>
      <c r="BK44" s="34" t="str">
        <v>MOTOR</v>
      </c>
      <c r="BL44" s="34">
        <v>1</v>
      </c>
      <c r="BM44" s="34" t="str">
        <v/>
      </c>
      <c r="BN44" s="34" t="str">
        <v/>
      </c>
      <c r="BO44" s="34" t="str">
        <v/>
      </c>
      <c r="BP44" s="34" t="str">
        <v/>
      </c>
      <c r="BQ44" s="34" t="str">
        <v>3х1,5</v>
      </c>
      <c r="BR44" s="34" t="str">
        <v/>
      </c>
      <c r="BS44" s="34" t="str">
        <v/>
      </c>
      <c r="BT44" s="34" t="str">
        <v/>
      </c>
      <c r="BU44" s="34">
        <v>0</v>
      </c>
      <c r="BV44" s="34">
        <v>64</v>
      </c>
      <c r="BW44" s="34">
        <v>1</v>
      </c>
      <c r="BX44" s="34">
        <v>0</v>
      </c>
      <c r="BY44" s="34" t="str">
        <v>Привод (двигатель)</v>
      </c>
      <c r="BZ44">
        <v>4</v>
      </c>
      <c r="CA44" t="str">
        <v>линии</v>
      </c>
    </row>
    <row r="45" spans="1:79" x14ac:dyDescent="0.3">
      <c r="A45" s="39" t="str">
        <v>ЩОВ-001</v>
      </c>
      <c r="B45" s="42">
        <v>29</v>
      </c>
      <c r="C45" s="42">
        <v>2</v>
      </c>
      <c r="D45" s="75" t="str">
        <v/>
      </c>
      <c r="E45" s="75" t="str">
        <v>авто</v>
      </c>
      <c r="F45" s="76" t="str">
        <v/>
      </c>
      <c r="G45" s="47" t="str">
        <v>QF14</v>
      </c>
      <c r="H45" s="47" t="str">
        <v>1P С10А</v>
      </c>
      <c r="I45" s="75" t="str">
        <v/>
      </c>
      <c r="J45" s="76" t="str">
        <v/>
      </c>
      <c r="K45" s="76" t="str">
        <v/>
      </c>
      <c r="L45" s="75" t="str">
        <v/>
      </c>
      <c r="M45" s="49" t="str">
        <v/>
      </c>
      <c r="N45" s="76" t="str">
        <v/>
      </c>
      <c r="O45" s="49" t="str">
        <v/>
      </c>
      <c r="P45" s="77" t="str">
        <v/>
      </c>
      <c r="Q45" s="53" t="str">
        <v>ВВГнг(А)-LS (3х1,5) L=16-0,28%</v>
      </c>
      <c r="R45" s="54" t="str">
        <v>К.1.017А.1</v>
      </c>
      <c r="S45" s="55" t="str">
        <v>Внутренний блок кондиционера Подвальный этаж Пом. №006Т</v>
      </c>
      <c r="T45" s="56">
        <v>0.3</v>
      </c>
      <c r="U45" s="56">
        <v>1.6300000000000001</v>
      </c>
      <c r="V45" s="42" t="str">
        <v>L1</v>
      </c>
      <c r="W45" s="57" t="str">
        <v>ok</v>
      </c>
      <c r="X45" s="58" t="str">
        <v/>
      </c>
      <c r="Y45" s="75" t="str">
        <v/>
      </c>
      <c r="Z45" s="59">
        <v>1.6237976320958221</v>
      </c>
      <c r="AA45" s="61">
        <v>6</v>
      </c>
      <c r="AB45" s="61">
        <v>16</v>
      </c>
      <c r="AC45" s="61" t="str">
        <v/>
      </c>
      <c r="AD45" s="62" t="str">
        <v>QF14</v>
      </c>
      <c r="AE45" s="62" t="str">
        <v/>
      </c>
      <c r="AF45" s="34">
        <v>14</v>
      </c>
      <c r="AG45" s="34" t="str">
        <v>QF14</v>
      </c>
      <c r="AH45" s="34" t="str">
        <v/>
      </c>
      <c r="AI45" s="34" t="str">
        <v/>
      </c>
      <c r="AJ45" s="34" t="str">
        <v>QF14</v>
      </c>
      <c r="AK45" s="34">
        <v>1</v>
      </c>
      <c r="AL45" s="34" t="str">
        <v>К</v>
      </c>
      <c r="AM45" s="34">
        <v>0</v>
      </c>
      <c r="AN45" s="34">
        <v>0</v>
      </c>
      <c r="AO45" s="34">
        <v>6</v>
      </c>
      <c r="AP45" s="34">
        <v>16</v>
      </c>
      <c r="AQ45" s="34">
        <v>10</v>
      </c>
      <c r="AR45" s="34">
        <v>1</v>
      </c>
      <c r="AS45" s="34">
        <v>0</v>
      </c>
      <c r="AT45" s="34" t="str">
        <v>1P</v>
      </c>
      <c r="AU45" s="34">
        <v>10</v>
      </c>
      <c r="AV45" s="34" t="str">
        <v/>
      </c>
      <c r="AW45" s="34" t="str">
        <v/>
      </c>
      <c r="AX45" s="34" t="str">
        <v/>
      </c>
      <c r="AY45" s="34">
        <v>1</v>
      </c>
      <c r="AZ45" s="34" t="str">
        <v/>
      </c>
      <c r="BA45" s="34">
        <v>0</v>
      </c>
      <c r="BB45" s="34">
        <v>0</v>
      </c>
      <c r="BD45" s="34">
        <v>1</v>
      </c>
      <c r="BE45" s="34">
        <v>0</v>
      </c>
      <c r="BF45" s="34">
        <v>0</v>
      </c>
      <c r="BG45" s="34" t="str">
        <v/>
      </c>
      <c r="BH45" s="34" t="str">
        <v/>
      </c>
      <c r="BI45" s="34" t="str">
        <v/>
      </c>
      <c r="BJ45" s="34" t="str">
        <v/>
      </c>
      <c r="BK45" s="34" t="str">
        <v>MOTOR</v>
      </c>
      <c r="BL45" s="34">
        <v>1</v>
      </c>
      <c r="BM45" s="34" t="str">
        <v/>
      </c>
      <c r="BN45" s="34" t="str">
        <v/>
      </c>
      <c r="BO45" s="34" t="str">
        <v/>
      </c>
      <c r="BP45" s="34" t="str">
        <v/>
      </c>
      <c r="BQ45" s="34" t="str">
        <v>3х1,5</v>
      </c>
      <c r="BR45" s="34" t="str">
        <v/>
      </c>
      <c r="BS45" s="34" t="str">
        <v/>
      </c>
      <c r="BT45" s="34" t="str">
        <v/>
      </c>
      <c r="BU45" s="34">
        <v>0</v>
      </c>
      <c r="BV45" s="34">
        <v>65</v>
      </c>
      <c r="BW45" s="34">
        <v>1</v>
      </c>
      <c r="BX45" s="34">
        <v>0</v>
      </c>
      <c r="BY45" s="34" t="str">
        <v>Привод (двигатель)</v>
      </c>
      <c r="BZ45">
        <v>4</v>
      </c>
      <c r="CA45" t="str">
        <v>линии</v>
      </c>
    </row>
    <row r="46" spans="1:79" x14ac:dyDescent="0.3">
      <c r="A46" s="39" t="str">
        <v>ЩОВ-001</v>
      </c>
      <c r="B46" s="42">
        <v>30</v>
      </c>
      <c r="C46" s="42">
        <v>2</v>
      </c>
      <c r="D46" s="75" t="str">
        <v/>
      </c>
      <c r="E46" s="75" t="str">
        <v>авто</v>
      </c>
      <c r="F46" s="76" t="str">
        <v/>
      </c>
      <c r="G46" s="47" t="str">
        <v>QF15</v>
      </c>
      <c r="H46" s="47" t="str">
        <v>1P С10А</v>
      </c>
      <c r="I46" s="75" t="str">
        <v/>
      </c>
      <c r="J46" s="76" t="str">
        <v/>
      </c>
      <c r="K46" s="76" t="str">
        <v/>
      </c>
      <c r="L46" s="75" t="str">
        <v/>
      </c>
      <c r="M46" s="49" t="str">
        <v/>
      </c>
      <c r="N46" s="76" t="str">
        <v/>
      </c>
      <c r="O46" s="49" t="str">
        <v/>
      </c>
      <c r="P46" s="77" t="str">
        <v/>
      </c>
      <c r="Q46" s="53" t="str">
        <v>ВВГнг(А)-LS (3х1,5) L=16-0,28%</v>
      </c>
      <c r="R46" s="54" t="str">
        <v>К.1.021А.1</v>
      </c>
      <c r="S46" s="55" t="str">
        <v>Внутренний блок кондиционера Подвальный этаж Пом. №006Т</v>
      </c>
      <c r="T46" s="56">
        <v>0.3</v>
      </c>
      <c r="U46" s="56">
        <v>1.6300000000000001</v>
      </c>
      <c r="V46" s="42" t="str">
        <v>L1</v>
      </c>
      <c r="W46" s="57" t="str">
        <v>ok</v>
      </c>
      <c r="X46" s="58" t="str">
        <v/>
      </c>
      <c r="Y46" s="75" t="str">
        <v/>
      </c>
      <c r="Z46" s="59">
        <v>1.6237976320958221</v>
      </c>
      <c r="AA46" s="61">
        <v>6</v>
      </c>
      <c r="AB46" s="61">
        <v>16</v>
      </c>
      <c r="AC46" s="61" t="str">
        <v/>
      </c>
      <c r="AD46" s="62" t="str">
        <v>QF15</v>
      </c>
      <c r="AE46" s="62" t="str">
        <v/>
      </c>
      <c r="AF46" s="34">
        <v>15</v>
      </c>
      <c r="AG46" s="34" t="str">
        <v>QF15</v>
      </c>
      <c r="AH46" s="34" t="str">
        <v/>
      </c>
      <c r="AI46" s="34" t="str">
        <v/>
      </c>
      <c r="AJ46" s="34" t="str">
        <v>QF15</v>
      </c>
      <c r="AK46" s="34">
        <v>1</v>
      </c>
      <c r="AL46" s="34" t="str">
        <v>К</v>
      </c>
      <c r="AM46" s="34">
        <v>0</v>
      </c>
      <c r="AN46" s="34">
        <v>0</v>
      </c>
      <c r="AO46" s="34">
        <v>6</v>
      </c>
      <c r="AP46" s="34">
        <v>16</v>
      </c>
      <c r="AQ46" s="34">
        <v>10</v>
      </c>
      <c r="AR46" s="34">
        <v>1</v>
      </c>
      <c r="AS46" s="34">
        <v>0</v>
      </c>
      <c r="AT46" s="34" t="str">
        <v>1P</v>
      </c>
      <c r="AU46" s="34">
        <v>10</v>
      </c>
      <c r="AV46" s="34" t="str">
        <v/>
      </c>
      <c r="AW46" s="34" t="str">
        <v/>
      </c>
      <c r="AX46" s="34" t="str">
        <v/>
      </c>
      <c r="AY46" s="34">
        <v>1</v>
      </c>
      <c r="AZ46" s="34" t="str">
        <v/>
      </c>
      <c r="BA46" s="34">
        <v>0</v>
      </c>
      <c r="BB46" s="34">
        <v>0</v>
      </c>
      <c r="BD46" s="34">
        <v>1</v>
      </c>
      <c r="BE46" s="34">
        <v>0</v>
      </c>
      <c r="BF46" s="34">
        <v>0</v>
      </c>
      <c r="BG46" s="34" t="str">
        <v/>
      </c>
      <c r="BH46" s="34" t="str">
        <v/>
      </c>
      <c r="BI46" s="34" t="str">
        <v/>
      </c>
      <c r="BJ46" s="34" t="str">
        <v/>
      </c>
      <c r="BK46" s="34" t="str">
        <v>MOTOR</v>
      </c>
      <c r="BL46" s="34">
        <v>1</v>
      </c>
      <c r="BM46" s="34" t="str">
        <v/>
      </c>
      <c r="BN46" s="34" t="str">
        <v/>
      </c>
      <c r="BO46" s="34" t="str">
        <v/>
      </c>
      <c r="BP46" s="34" t="str">
        <v/>
      </c>
      <c r="BQ46" s="34" t="str">
        <v>3х1,5</v>
      </c>
      <c r="BR46" s="34" t="str">
        <v/>
      </c>
      <c r="BS46" s="34" t="str">
        <v/>
      </c>
      <c r="BT46" s="34" t="str">
        <v/>
      </c>
      <c r="BU46" s="34">
        <v>0</v>
      </c>
      <c r="BV46" s="34">
        <v>66</v>
      </c>
      <c r="BW46" s="34">
        <v>1</v>
      </c>
      <c r="BX46" s="34">
        <v>0</v>
      </c>
      <c r="BY46" s="34" t="str">
        <v>Привод (двигатель)</v>
      </c>
      <c r="BZ46">
        <v>4</v>
      </c>
      <c r="CA46" t="str">
        <v>линии</v>
      </c>
    </row>
    <row r="47" spans="1:79" x14ac:dyDescent="0.3">
      <c r="A47" s="39" t="str">
        <v>ЩОВ-001</v>
      </c>
      <c r="B47" s="42">
        <v>31</v>
      </c>
      <c r="C47" s="42">
        <v>2</v>
      </c>
      <c r="D47" s="75" t="str">
        <v/>
      </c>
      <c r="E47" s="75" t="str">
        <v>авто</v>
      </c>
      <c r="F47" s="76" t="str">
        <v/>
      </c>
      <c r="G47" s="47" t="str">
        <v>QF16</v>
      </c>
      <c r="H47" s="47" t="str">
        <v>1P С16А</v>
      </c>
      <c r="I47" s="75" t="str">
        <v/>
      </c>
      <c r="J47" s="76" t="str">
        <v/>
      </c>
      <c r="K47" s="76" t="str">
        <v/>
      </c>
      <c r="L47" s="75" t="str">
        <v/>
      </c>
      <c r="M47" s="49" t="str">
        <v/>
      </c>
      <c r="N47" s="76" t="str">
        <v/>
      </c>
      <c r="O47" s="49" t="str">
        <v/>
      </c>
      <c r="P47" s="77" t="str">
        <v/>
      </c>
      <c r="Q47" s="53" t="str">
        <v>ВВГнг(А)-LS (3х2,5) L=38-2,46%</v>
      </c>
      <c r="R47" s="54" t="str">
        <v>K.1</v>
      </c>
      <c r="S47" s="55" t="str">
        <v>Внешний блок кондиционирования Пом. Венткиосок</v>
      </c>
      <c r="T47" s="56">
        <v>1.9</v>
      </c>
      <c r="U47" s="56">
        <v>10.29</v>
      </c>
      <c r="V47" s="42" t="str">
        <v>L2</v>
      </c>
      <c r="W47" s="57" t="str">
        <v>ok</v>
      </c>
      <c r="X47" s="58" t="str">
        <v/>
      </c>
      <c r="Y47" s="75" t="str">
        <v/>
      </c>
      <c r="Z47" s="59">
        <v>10.284051669940206</v>
      </c>
      <c r="AA47" s="61">
        <v>16</v>
      </c>
      <c r="AB47" s="61">
        <v>25</v>
      </c>
      <c r="AC47" s="61" t="str">
        <v/>
      </c>
      <c r="AD47" s="62" t="str">
        <v>QF16</v>
      </c>
      <c r="AE47" s="62" t="str">
        <v/>
      </c>
      <c r="AF47" s="34">
        <v>16</v>
      </c>
      <c r="AG47" s="34" t="str">
        <v>QF16</v>
      </c>
      <c r="AH47" s="34" t="str">
        <v/>
      </c>
      <c r="AI47" s="34" t="str">
        <v/>
      </c>
      <c r="AJ47" s="34" t="str">
        <v>QF16</v>
      </c>
      <c r="AK47" s="34">
        <v>1</v>
      </c>
      <c r="AL47" s="34" t="str">
        <v>K</v>
      </c>
      <c r="AM47" s="34">
        <v>0</v>
      </c>
      <c r="AN47" s="34">
        <v>0</v>
      </c>
      <c r="AO47" s="34">
        <v>16</v>
      </c>
      <c r="AP47" s="34">
        <v>25</v>
      </c>
      <c r="AQ47" s="34">
        <v>16</v>
      </c>
      <c r="AR47" s="34">
        <v>1</v>
      </c>
      <c r="AS47" s="34">
        <v>0</v>
      </c>
      <c r="AT47" s="34" t="str">
        <v>1P</v>
      </c>
      <c r="AU47" s="34">
        <v>16</v>
      </c>
      <c r="AV47" s="34" t="str">
        <v/>
      </c>
      <c r="AW47" s="34" t="str">
        <v/>
      </c>
      <c r="AX47" s="34" t="str">
        <v/>
      </c>
      <c r="AY47" s="34">
        <v>1</v>
      </c>
      <c r="AZ47" s="34" t="str">
        <v/>
      </c>
      <c r="BA47" s="34">
        <v>0</v>
      </c>
      <c r="BB47" s="34">
        <v>0</v>
      </c>
      <c r="BD47" s="34">
        <v>1</v>
      </c>
      <c r="BE47" s="34">
        <v>0</v>
      </c>
      <c r="BF47" s="34">
        <v>0</v>
      </c>
      <c r="BG47" s="34" t="str">
        <v/>
      </c>
      <c r="BH47" s="34" t="str">
        <v/>
      </c>
      <c r="BI47" s="34" t="str">
        <v/>
      </c>
      <c r="BJ47" s="34" t="str">
        <v/>
      </c>
      <c r="BK47" s="34" t="str">
        <v>BOX</v>
      </c>
      <c r="BL47" s="34">
        <v>1</v>
      </c>
      <c r="BM47" s="34" t="str">
        <v/>
      </c>
      <c r="BN47" s="34" t="str">
        <v/>
      </c>
      <c r="BO47" s="34" t="str">
        <v/>
      </c>
      <c r="BP47" s="34" t="str">
        <v/>
      </c>
      <c r="BQ47" s="34" t="str">
        <v>3х2,5</v>
      </c>
      <c r="BR47" s="34" t="str">
        <v/>
      </c>
      <c r="BS47" s="34" t="str">
        <v/>
      </c>
      <c r="BT47" s="34" t="str">
        <v/>
      </c>
      <c r="BU47" s="34">
        <v>0</v>
      </c>
      <c r="BV47" s="34">
        <v>67</v>
      </c>
      <c r="BW47" s="34">
        <v>1</v>
      </c>
      <c r="BX47" s="34">
        <v>0</v>
      </c>
      <c r="BY47" s="34">
        <v>0</v>
      </c>
      <c r="BZ47">
        <v>4</v>
      </c>
      <c r="CA47" t="str">
        <v>линии</v>
      </c>
    </row>
    <row r="48" spans="1:79" x14ac:dyDescent="0.3">
      <c r="A48" s="39" t="str">
        <v>ЩОВ-001</v>
      </c>
      <c r="B48" s="42">
        <v>32</v>
      </c>
      <c r="C48" s="42">
        <v>2</v>
      </c>
      <c r="D48" s="75" t="str">
        <v/>
      </c>
      <c r="E48" s="75" t="str">
        <v>авто</v>
      </c>
      <c r="F48" s="76" t="str">
        <v/>
      </c>
      <c r="G48" s="47" t="str">
        <v>QF17</v>
      </c>
      <c r="H48" s="47" t="str">
        <v>1P С16А</v>
      </c>
      <c r="I48" s="75" t="str">
        <v/>
      </c>
      <c r="J48" s="76" t="str">
        <v/>
      </c>
      <c r="K48" s="76" t="str">
        <v/>
      </c>
      <c r="L48" s="75" t="str">
        <v/>
      </c>
      <c r="M48" s="49" t="str">
        <v/>
      </c>
      <c r="N48" s="76" t="str">
        <v/>
      </c>
      <c r="O48" s="49" t="str">
        <v/>
      </c>
      <c r="P48" s="77" t="str">
        <v/>
      </c>
      <c r="Q48" s="53" t="str">
        <v>ВВГнг(А)-LS (3х2,5) L=38-2,46%</v>
      </c>
      <c r="R48" s="54" t="str">
        <v>K.2</v>
      </c>
      <c r="S48" s="55" t="str">
        <v>Внешний блок кондиционирования Пом. Венткиосок</v>
      </c>
      <c r="T48" s="56">
        <v>1.9</v>
      </c>
      <c r="U48" s="56">
        <v>10.29</v>
      </c>
      <c r="V48" s="42" t="str">
        <v>L3</v>
      </c>
      <c r="W48" s="57" t="str">
        <v>ok</v>
      </c>
      <c r="X48" s="58" t="str">
        <v/>
      </c>
      <c r="Y48" s="75" t="str">
        <v/>
      </c>
      <c r="Z48" s="59">
        <v>10.284051669940206</v>
      </c>
      <c r="AA48" s="61">
        <v>16</v>
      </c>
      <c r="AB48" s="61">
        <v>25</v>
      </c>
      <c r="AC48" s="61" t="str">
        <v/>
      </c>
      <c r="AD48" s="62" t="str">
        <v>QF17</v>
      </c>
      <c r="AE48" s="62" t="str">
        <v/>
      </c>
      <c r="AF48" s="34">
        <v>17</v>
      </c>
      <c r="AG48" s="34" t="str">
        <v>QF17</v>
      </c>
      <c r="AH48" s="34" t="str">
        <v/>
      </c>
      <c r="AI48" s="34" t="str">
        <v/>
      </c>
      <c r="AJ48" s="34" t="str">
        <v>QF17</v>
      </c>
      <c r="AK48" s="34">
        <v>1</v>
      </c>
      <c r="AL48" s="34" t="str">
        <v>K</v>
      </c>
      <c r="AM48" s="34">
        <v>0</v>
      </c>
      <c r="AN48" s="34">
        <v>0</v>
      </c>
      <c r="AO48" s="34">
        <v>16</v>
      </c>
      <c r="AP48" s="34">
        <v>25</v>
      </c>
      <c r="AQ48" s="34">
        <v>16</v>
      </c>
      <c r="AR48" s="34">
        <v>1</v>
      </c>
      <c r="AS48" s="34">
        <v>0</v>
      </c>
      <c r="AT48" s="34" t="str">
        <v>1P</v>
      </c>
      <c r="AU48" s="34">
        <v>16</v>
      </c>
      <c r="AV48" s="34" t="str">
        <v/>
      </c>
      <c r="AW48" s="34" t="str">
        <v/>
      </c>
      <c r="AX48" s="34" t="str">
        <v/>
      </c>
      <c r="AY48" s="34">
        <v>1</v>
      </c>
      <c r="AZ48" s="34" t="str">
        <v/>
      </c>
      <c r="BA48" s="34">
        <v>0</v>
      </c>
      <c r="BB48" s="34">
        <v>0</v>
      </c>
      <c r="BD48" s="34">
        <v>1</v>
      </c>
      <c r="BE48" s="34">
        <v>0</v>
      </c>
      <c r="BF48" s="34">
        <v>0</v>
      </c>
      <c r="BG48" s="34" t="str">
        <v/>
      </c>
      <c r="BH48" s="34" t="str">
        <v/>
      </c>
      <c r="BI48" s="34" t="str">
        <v/>
      </c>
      <c r="BJ48" s="34" t="str">
        <v/>
      </c>
      <c r="BK48" s="34" t="str">
        <v>BOX</v>
      </c>
      <c r="BL48" s="34">
        <v>1</v>
      </c>
      <c r="BM48" s="34" t="str">
        <v/>
      </c>
      <c r="BN48" s="34" t="str">
        <v/>
      </c>
      <c r="BO48" s="34" t="str">
        <v/>
      </c>
      <c r="BP48" s="34" t="str">
        <v/>
      </c>
      <c r="BQ48" s="34" t="str">
        <v>3х2,5</v>
      </c>
      <c r="BR48" s="34" t="str">
        <v/>
      </c>
      <c r="BS48" s="34" t="str">
        <v/>
      </c>
      <c r="BT48" s="34" t="str">
        <v/>
      </c>
      <c r="BU48" s="34">
        <v>0</v>
      </c>
      <c r="BV48" s="34">
        <v>68</v>
      </c>
      <c r="BW48" s="34">
        <v>1</v>
      </c>
      <c r="BX48" s="34">
        <v>0</v>
      </c>
      <c r="BY48" s="34">
        <v>0</v>
      </c>
      <c r="BZ48">
        <v>4</v>
      </c>
      <c r="CA48" t="str">
        <v>линии</v>
      </c>
    </row>
    <row r="49" spans="1:79" x14ac:dyDescent="0.3">
      <c r="A49" s="39" t="str">
        <v>ЩОВ-001</v>
      </c>
      <c r="B49" s="42">
        <v>33</v>
      </c>
      <c r="C49" s="42">
        <v>2</v>
      </c>
      <c r="D49" s="75" t="str">
        <v/>
      </c>
      <c r="E49" s="75" t="str">
        <v>авто</v>
      </c>
      <c r="F49" s="76" t="str">
        <v/>
      </c>
      <c r="G49" s="47" t="str">
        <v>QF18</v>
      </c>
      <c r="H49" s="47" t="str">
        <v>1P С16А</v>
      </c>
      <c r="I49" s="75" t="str">
        <v/>
      </c>
      <c r="J49" s="76" t="str">
        <v/>
      </c>
      <c r="K49" s="76" t="str">
        <v/>
      </c>
      <c r="L49" s="75" t="str">
        <v/>
      </c>
      <c r="M49" s="49" t="str">
        <v/>
      </c>
      <c r="N49" s="76" t="str">
        <v/>
      </c>
      <c r="O49" s="49" t="str">
        <v/>
      </c>
      <c r="P49" s="77" t="str">
        <v/>
      </c>
      <c r="Q49" s="53" t="str">
        <v>ВВГнг(А)-LS (3х2,5) L=38-2,46%</v>
      </c>
      <c r="R49" s="54" t="str">
        <v>K.3</v>
      </c>
      <c r="S49" s="55" t="str">
        <v>Внешний блок кондиционирования Пом. Венткиосок</v>
      </c>
      <c r="T49" s="56">
        <v>1.9</v>
      </c>
      <c r="U49" s="56">
        <v>10.29</v>
      </c>
      <c r="V49" s="42" t="str">
        <v>L2</v>
      </c>
      <c r="W49" s="57" t="str">
        <v>ok</v>
      </c>
      <c r="X49" s="58" t="str">
        <v/>
      </c>
      <c r="Y49" s="75" t="str">
        <v/>
      </c>
      <c r="Z49" s="59">
        <v>10.284051669940206</v>
      </c>
      <c r="AA49" s="61">
        <v>16</v>
      </c>
      <c r="AB49" s="61">
        <v>25</v>
      </c>
      <c r="AC49" s="61" t="str">
        <v/>
      </c>
      <c r="AD49" s="62" t="str">
        <v>QF18</v>
      </c>
      <c r="AE49" s="62" t="str">
        <v/>
      </c>
      <c r="AF49" s="34">
        <v>18</v>
      </c>
      <c r="AG49" s="34" t="str">
        <v>QF18</v>
      </c>
      <c r="AH49" s="34" t="str">
        <v/>
      </c>
      <c r="AI49" s="34" t="str">
        <v/>
      </c>
      <c r="AJ49" s="34" t="str">
        <v>QF18</v>
      </c>
      <c r="AK49" s="34">
        <v>1</v>
      </c>
      <c r="AL49" s="34" t="str">
        <v>K</v>
      </c>
      <c r="AM49" s="34">
        <v>0</v>
      </c>
      <c r="AN49" s="34">
        <v>0</v>
      </c>
      <c r="AO49" s="34">
        <v>16</v>
      </c>
      <c r="AP49" s="34">
        <v>25</v>
      </c>
      <c r="AQ49" s="34">
        <v>16</v>
      </c>
      <c r="AR49" s="34">
        <v>1</v>
      </c>
      <c r="AS49" s="34">
        <v>0</v>
      </c>
      <c r="AT49" s="34" t="str">
        <v>1P</v>
      </c>
      <c r="AU49" s="34">
        <v>16</v>
      </c>
      <c r="AV49" s="34" t="str">
        <v/>
      </c>
      <c r="AW49" s="34" t="str">
        <v/>
      </c>
      <c r="AX49" s="34" t="str">
        <v/>
      </c>
      <c r="AY49" s="34">
        <v>1</v>
      </c>
      <c r="AZ49" s="34" t="str">
        <v/>
      </c>
      <c r="BA49" s="34">
        <v>0</v>
      </c>
      <c r="BB49" s="34">
        <v>0</v>
      </c>
      <c r="BD49" s="34">
        <v>1</v>
      </c>
      <c r="BE49" s="34">
        <v>0</v>
      </c>
      <c r="BF49" s="34">
        <v>0</v>
      </c>
      <c r="BG49" s="34" t="str">
        <v/>
      </c>
      <c r="BH49" s="34" t="str">
        <v/>
      </c>
      <c r="BI49" s="34" t="str">
        <v/>
      </c>
      <c r="BJ49" s="34" t="str">
        <v/>
      </c>
      <c r="BK49" s="34" t="str">
        <v>BOX</v>
      </c>
      <c r="BL49" s="34">
        <v>1</v>
      </c>
      <c r="BM49" s="34" t="str">
        <v/>
      </c>
      <c r="BN49" s="34" t="str">
        <v/>
      </c>
      <c r="BO49" s="34" t="str">
        <v/>
      </c>
      <c r="BP49" s="34" t="str">
        <v/>
      </c>
      <c r="BQ49" s="34" t="str">
        <v>3х2,5</v>
      </c>
      <c r="BR49" s="34" t="str">
        <v/>
      </c>
      <c r="BS49" s="34" t="str">
        <v/>
      </c>
      <c r="BT49" s="34" t="str">
        <v/>
      </c>
      <c r="BU49" s="34">
        <v>0</v>
      </c>
      <c r="BV49" s="34">
        <v>69</v>
      </c>
      <c r="BW49" s="34">
        <v>1</v>
      </c>
      <c r="BX49" s="34">
        <v>0</v>
      </c>
      <c r="BY49" s="34">
        <v>0</v>
      </c>
      <c r="BZ49">
        <v>4</v>
      </c>
      <c r="CA49" t="str">
        <v>линии</v>
      </c>
    </row>
    <row r="50" spans="1:79" x14ac:dyDescent="0.3">
      <c r="A50" s="39" t="str">
        <v>ЩОВ-001</v>
      </c>
      <c r="B50" s="42">
        <v>36</v>
      </c>
      <c r="C50" s="42">
        <v>3</v>
      </c>
      <c r="D50" s="75" t="str">
        <v/>
      </c>
      <c r="E50" s="75" t="str">
        <v>авто</v>
      </c>
      <c r="F50" s="76" t="str">
        <v/>
      </c>
      <c r="G50" s="47" t="str">
        <v>QF19</v>
      </c>
      <c r="H50" s="47" t="str">
        <v>1P С16А</v>
      </c>
      <c r="I50" s="75" t="str">
        <v/>
      </c>
      <c r="J50" s="76" t="str">
        <v/>
      </c>
      <c r="K50" s="76" t="str">
        <v/>
      </c>
      <c r="L50" s="75" t="str">
        <v/>
      </c>
      <c r="M50" s="49" t="str">
        <v/>
      </c>
      <c r="N50" s="76" t="str">
        <v/>
      </c>
      <c r="O50" s="49" t="str">
        <v/>
      </c>
      <c r="P50" s="77" t="str">
        <v>XT19</v>
      </c>
      <c r="Q50" s="53" t="str">
        <v>ВВГнг(А)-LS (3х2,5) L=38-2,46%</v>
      </c>
      <c r="R50" s="54" t="str">
        <v>K.4</v>
      </c>
      <c r="S50" s="55" t="str">
        <v>Внешний блок кондиционирования Пом. Венткиосок</v>
      </c>
      <c r="T50" s="56">
        <v>1.9</v>
      </c>
      <c r="U50" s="56">
        <v>10.29</v>
      </c>
      <c r="V50" s="42" t="str">
        <v>L3</v>
      </c>
      <c r="W50" s="57" t="str">
        <v>ok</v>
      </c>
      <c r="X50" s="58" t="str">
        <v/>
      </c>
      <c r="Y50" s="75" t="str">
        <v/>
      </c>
      <c r="Z50" s="59">
        <v>10.284051669940206</v>
      </c>
      <c r="AA50" s="61">
        <v>16</v>
      </c>
      <c r="AB50" s="61">
        <v>25</v>
      </c>
      <c r="AC50" s="61" t="str">
        <v/>
      </c>
      <c r="AD50" s="62" t="str">
        <v>QF19 → XT19</v>
      </c>
      <c r="AE50" s="62" t="str">
        <v/>
      </c>
      <c r="AF50" s="34">
        <v>19</v>
      </c>
      <c r="AG50" s="34" t="str">
        <v>QF19</v>
      </c>
      <c r="AH50" s="34" t="str">
        <v/>
      </c>
      <c r="AI50" s="34" t="str">
        <v/>
      </c>
      <c r="AJ50" s="34" t="str">
        <v>QF19</v>
      </c>
      <c r="AK50" s="34">
        <v>1</v>
      </c>
      <c r="AL50" s="34" t="str">
        <v>K</v>
      </c>
      <c r="AM50" s="34">
        <v>0</v>
      </c>
      <c r="AN50" s="34">
        <v>0</v>
      </c>
      <c r="AO50" s="34">
        <v>16</v>
      </c>
      <c r="AP50" s="34">
        <v>25</v>
      </c>
      <c r="AQ50" s="34">
        <v>16</v>
      </c>
      <c r="AR50" s="34">
        <v>1</v>
      </c>
      <c r="AS50" s="34">
        <v>0</v>
      </c>
      <c r="AT50" s="34" t="str">
        <v>1P</v>
      </c>
      <c r="AU50" s="34">
        <v>16</v>
      </c>
      <c r="AV50" s="34" t="str">
        <v/>
      </c>
      <c r="AW50" s="34" t="str">
        <v/>
      </c>
      <c r="AX50" s="34" t="str">
        <v/>
      </c>
      <c r="AY50" s="34">
        <v>1</v>
      </c>
      <c r="AZ50" s="34" t="str">
        <v/>
      </c>
      <c r="BA50" s="34">
        <v>0</v>
      </c>
      <c r="BB50" s="34">
        <v>0</v>
      </c>
      <c r="BD50" s="34">
        <v>1</v>
      </c>
      <c r="BE50" s="34">
        <v>0</v>
      </c>
      <c r="BF50" s="34">
        <v>0</v>
      </c>
      <c r="BG50" s="34" t="str">
        <v/>
      </c>
      <c r="BH50" s="34" t="str">
        <v/>
      </c>
      <c r="BI50" s="34" t="str">
        <v/>
      </c>
      <c r="BJ50" s="34" t="str">
        <v/>
      </c>
      <c r="BK50" s="34" t="str">
        <v>BOX</v>
      </c>
      <c r="BL50" s="34">
        <v>1</v>
      </c>
      <c r="BM50" s="34" t="str">
        <v/>
      </c>
      <c r="BN50" s="34" t="str">
        <v/>
      </c>
      <c r="BO50" s="34" t="str">
        <v/>
      </c>
      <c r="BP50" s="34" t="str">
        <v/>
      </c>
      <c r="BQ50" s="34" t="str">
        <v>3х2,5</v>
      </c>
      <c r="BR50" s="34" t="str">
        <v/>
      </c>
      <c r="BS50" s="34" t="str">
        <v/>
      </c>
      <c r="BT50" s="34" t="str">
        <v/>
      </c>
      <c r="BU50" s="34">
        <v>0</v>
      </c>
      <c r="BV50" s="34">
        <v>70</v>
      </c>
      <c r="BW50" s="34">
        <v>1</v>
      </c>
      <c r="BX50" s="34">
        <v>0</v>
      </c>
      <c r="BY50" s="34">
        <v>0</v>
      </c>
      <c r="BZ50">
        <v>4</v>
      </c>
      <c r="CA50" t="str">
        <v>линии</v>
      </c>
    </row>
    <row r="51" spans="1:79" x14ac:dyDescent="0.3">
      <c r="A51" s="39" t="str">
        <v>ЩОВ-001</v>
      </c>
      <c r="B51" s="42">
        <v>37</v>
      </c>
      <c r="C51" s="42">
        <v>3</v>
      </c>
      <c r="D51" s="75" t="str">
        <v/>
      </c>
      <c r="E51" s="75" t="str">
        <v>авто</v>
      </c>
      <c r="F51" s="76" t="str">
        <v/>
      </c>
      <c r="G51" s="47" t="str">
        <v>QF20</v>
      </c>
      <c r="H51" s="47" t="str">
        <v>1P С16А</v>
      </c>
      <c r="I51" s="75" t="str">
        <v/>
      </c>
      <c r="J51" s="76" t="str">
        <v/>
      </c>
      <c r="K51" s="76" t="str">
        <v/>
      </c>
      <c r="L51" s="75" t="str">
        <v/>
      </c>
      <c r="M51" s="49" t="str">
        <v/>
      </c>
      <c r="N51" s="76" t="str">
        <v/>
      </c>
      <c r="O51" s="49" t="str">
        <v/>
      </c>
      <c r="P51" s="77" t="str">
        <v>XT20</v>
      </c>
      <c r="Q51" s="53" t="str">
        <v>ВВГнг(А)-LS (3х2,5) L=35-2,27%</v>
      </c>
      <c r="R51" s="54" t="str">
        <v>K.5</v>
      </c>
      <c r="S51" s="55" t="str">
        <v>Внешний блок кондиционирования Пом. Венткиосок</v>
      </c>
      <c r="T51" s="56">
        <v>1.9</v>
      </c>
      <c r="U51" s="56">
        <v>10.29</v>
      </c>
      <c r="V51" s="42" t="str">
        <v>L1</v>
      </c>
      <c r="W51" s="57" t="str">
        <v>ok</v>
      </c>
      <c r="X51" s="58" t="str">
        <v/>
      </c>
      <c r="Y51" s="75" t="str">
        <v/>
      </c>
      <c r="Z51" s="59">
        <v>10.284051669940206</v>
      </c>
      <c r="AA51" s="61">
        <v>16</v>
      </c>
      <c r="AB51" s="61">
        <v>25</v>
      </c>
      <c r="AC51" s="61" t="str">
        <v/>
      </c>
      <c r="AD51" s="62" t="str">
        <v>QF20 → XT20</v>
      </c>
      <c r="AE51" s="62" t="str">
        <v/>
      </c>
      <c r="AF51" s="34">
        <v>20</v>
      </c>
      <c r="AG51" s="34" t="str">
        <v>QF20</v>
      </c>
      <c r="AH51" s="34" t="str">
        <v/>
      </c>
      <c r="AI51" s="34" t="str">
        <v/>
      </c>
      <c r="AJ51" s="34" t="str">
        <v>QF20</v>
      </c>
      <c r="AK51" s="34">
        <v>1</v>
      </c>
      <c r="AL51" s="34" t="str">
        <v>K</v>
      </c>
      <c r="AM51" s="34">
        <v>0</v>
      </c>
      <c r="AN51" s="34">
        <v>0</v>
      </c>
      <c r="AO51" s="34">
        <v>16</v>
      </c>
      <c r="AP51" s="34">
        <v>25</v>
      </c>
      <c r="AQ51" s="34">
        <v>16</v>
      </c>
      <c r="AR51" s="34">
        <v>1</v>
      </c>
      <c r="AS51" s="34">
        <v>0</v>
      </c>
      <c r="AT51" s="34" t="str">
        <v>1P</v>
      </c>
      <c r="AU51" s="34">
        <v>16</v>
      </c>
      <c r="AV51" s="34" t="str">
        <v/>
      </c>
      <c r="AW51" s="34" t="str">
        <v/>
      </c>
      <c r="AX51" s="34" t="str">
        <v/>
      </c>
      <c r="AY51" s="34">
        <v>1</v>
      </c>
      <c r="AZ51" s="34" t="str">
        <v/>
      </c>
      <c r="BA51" s="34">
        <v>0</v>
      </c>
      <c r="BB51" s="34">
        <v>0</v>
      </c>
      <c r="BD51" s="34">
        <v>1</v>
      </c>
      <c r="BE51" s="34">
        <v>0</v>
      </c>
      <c r="BF51" s="34">
        <v>0</v>
      </c>
      <c r="BG51" s="34" t="str">
        <v/>
      </c>
      <c r="BH51" s="34" t="str">
        <v/>
      </c>
      <c r="BI51" s="34" t="str">
        <v/>
      </c>
      <c r="BJ51" s="34" t="str">
        <v/>
      </c>
      <c r="BK51" s="34" t="str">
        <v>BOX</v>
      </c>
      <c r="BL51" s="34">
        <v>1</v>
      </c>
      <c r="BM51" s="34" t="str">
        <v/>
      </c>
      <c r="BN51" s="34" t="str">
        <v/>
      </c>
      <c r="BO51" s="34" t="str">
        <v/>
      </c>
      <c r="BP51" s="34" t="str">
        <v/>
      </c>
      <c r="BQ51" s="34" t="str">
        <v>3х2,5</v>
      </c>
      <c r="BR51" s="34" t="str">
        <v/>
      </c>
      <c r="BS51" s="34" t="str">
        <v/>
      </c>
      <c r="BT51" s="34" t="str">
        <v/>
      </c>
      <c r="BU51" s="34">
        <v>0</v>
      </c>
      <c r="BV51" s="34">
        <v>71</v>
      </c>
      <c r="BW51" s="34">
        <v>1</v>
      </c>
      <c r="BX51" s="34">
        <v>0</v>
      </c>
      <c r="BY51" s="34">
        <v>0</v>
      </c>
      <c r="BZ51">
        <v>4</v>
      </c>
      <c r="CA51" t="str">
        <v>линии</v>
      </c>
    </row>
    <row r="52" spans="1:79" x14ac:dyDescent="0.3">
      <c r="A52" s="39" t="str">
        <v>ЩОВ-001</v>
      </c>
      <c r="B52" s="42">
        <v>38</v>
      </c>
      <c r="C52" s="42">
        <v>3</v>
      </c>
      <c r="D52" s="75" t="str">
        <v/>
      </c>
      <c r="E52" s="75" t="str">
        <v>авто</v>
      </c>
      <c r="F52" s="76" t="str">
        <v/>
      </c>
      <c r="G52" s="47" t="str">
        <v>QF21</v>
      </c>
      <c r="H52" s="47" t="str">
        <v>1P С16А</v>
      </c>
      <c r="I52" s="75" t="str">
        <v/>
      </c>
      <c r="J52" s="76" t="str">
        <v/>
      </c>
      <c r="K52" s="76" t="str">
        <v/>
      </c>
      <c r="L52" s="75" t="str">
        <v/>
      </c>
      <c r="M52" s="49" t="str">
        <v/>
      </c>
      <c r="N52" s="76" t="str">
        <v/>
      </c>
      <c r="O52" s="49" t="str">
        <v/>
      </c>
      <c r="P52" s="77" t="str">
        <v/>
      </c>
      <c r="Q52" s="53" t="str">
        <v>ВВГнг(А)-LS (3х2,5) L=35-2,27%</v>
      </c>
      <c r="R52" s="54" t="str">
        <v>K.6</v>
      </c>
      <c r="S52" s="55" t="str">
        <v>Внешний блок кондиционирования Пом. Венткиосок</v>
      </c>
      <c r="T52" s="56">
        <v>1.9</v>
      </c>
      <c r="U52" s="56">
        <v>10.29</v>
      </c>
      <c r="V52" s="42" t="str">
        <v>L2</v>
      </c>
      <c r="W52" s="57" t="str">
        <v>ok</v>
      </c>
      <c r="X52" s="58" t="str">
        <v/>
      </c>
      <c r="Y52" s="75" t="str">
        <v/>
      </c>
      <c r="Z52" s="59">
        <v>10.284051669940206</v>
      </c>
      <c r="AA52" s="61">
        <v>16</v>
      </c>
      <c r="AB52" s="61">
        <v>25</v>
      </c>
      <c r="AC52" s="61" t="str">
        <v/>
      </c>
      <c r="AD52" s="62" t="str">
        <v>QF21</v>
      </c>
      <c r="AE52" s="62" t="str">
        <v/>
      </c>
      <c r="AF52" s="34">
        <v>21</v>
      </c>
      <c r="AG52" s="34" t="str">
        <v>QF21</v>
      </c>
      <c r="AH52" s="34" t="str">
        <v/>
      </c>
      <c r="AI52" s="34" t="str">
        <v/>
      </c>
      <c r="AJ52" s="34" t="str">
        <v>QF21</v>
      </c>
      <c r="AK52" s="34">
        <v>1</v>
      </c>
      <c r="AL52" s="34" t="str">
        <v>K</v>
      </c>
      <c r="AM52" s="34">
        <v>0</v>
      </c>
      <c r="AN52" s="34">
        <v>0</v>
      </c>
      <c r="AO52" s="34">
        <v>16</v>
      </c>
      <c r="AP52" s="34">
        <v>25</v>
      </c>
      <c r="AQ52" s="34">
        <v>16</v>
      </c>
      <c r="AR52" s="34">
        <v>1</v>
      </c>
      <c r="AS52" s="34">
        <v>0</v>
      </c>
      <c r="AT52" s="34" t="str">
        <v>1P</v>
      </c>
      <c r="AU52" s="34">
        <v>16</v>
      </c>
      <c r="AV52" s="34" t="str">
        <v/>
      </c>
      <c r="AW52" s="34" t="str">
        <v/>
      </c>
      <c r="AX52" s="34" t="str">
        <v/>
      </c>
      <c r="AY52" s="34">
        <v>1</v>
      </c>
      <c r="AZ52" s="34" t="str">
        <v/>
      </c>
      <c r="BA52" s="34">
        <v>0</v>
      </c>
      <c r="BB52" s="34">
        <v>0</v>
      </c>
      <c r="BD52" s="34">
        <v>1</v>
      </c>
      <c r="BE52" s="34">
        <v>0</v>
      </c>
      <c r="BF52" s="34">
        <v>0</v>
      </c>
      <c r="BG52" s="34" t="str">
        <v/>
      </c>
      <c r="BH52" s="34" t="str">
        <v/>
      </c>
      <c r="BI52" s="34" t="str">
        <v/>
      </c>
      <c r="BJ52" s="34" t="str">
        <v/>
      </c>
      <c r="BK52" s="34" t="str">
        <v>BOX</v>
      </c>
      <c r="BL52" s="34">
        <v>1</v>
      </c>
      <c r="BM52" s="34" t="str">
        <v/>
      </c>
      <c r="BN52" s="34" t="str">
        <v/>
      </c>
      <c r="BO52" s="34" t="str">
        <v/>
      </c>
      <c r="BP52" s="34" t="str">
        <v/>
      </c>
      <c r="BQ52" s="34" t="str">
        <v>3х2,5</v>
      </c>
      <c r="BR52" s="34" t="str">
        <v/>
      </c>
      <c r="BS52" s="34" t="str">
        <v/>
      </c>
      <c r="BT52" s="34" t="str">
        <v/>
      </c>
      <c r="BU52" s="34">
        <v>0</v>
      </c>
      <c r="BV52" s="34">
        <v>72</v>
      </c>
      <c r="BW52" s="34">
        <v>1</v>
      </c>
      <c r="BX52" s="34">
        <v>0</v>
      </c>
      <c r="BY52" s="34">
        <v>0</v>
      </c>
      <c r="BZ52">
        <v>4</v>
      </c>
      <c r="CA52" t="str">
        <v>линии</v>
      </c>
    </row>
    <row r="53" spans="1:79" x14ac:dyDescent="0.3">
      <c r="A53" s="39" t="str">
        <v>ЩОВ-001</v>
      </c>
      <c r="B53" s="42">
        <v>39</v>
      </c>
      <c r="C53" s="42">
        <v>3</v>
      </c>
      <c r="D53" s="75" t="str">
        <v/>
      </c>
      <c r="E53" s="75" t="str">
        <v>авто</v>
      </c>
      <c r="F53" s="76" t="str">
        <v/>
      </c>
      <c r="G53" s="47" t="str">
        <v>QF22</v>
      </c>
      <c r="H53" s="47" t="str">
        <v>1P С16А</v>
      </c>
      <c r="I53" s="75" t="str">
        <v/>
      </c>
      <c r="J53" s="76" t="str">
        <v/>
      </c>
      <c r="K53" s="76" t="str">
        <v/>
      </c>
      <c r="L53" s="75" t="str">
        <v/>
      </c>
      <c r="M53" s="49" t="str">
        <v/>
      </c>
      <c r="N53" s="76" t="str">
        <v/>
      </c>
      <c r="O53" s="49" t="str">
        <v/>
      </c>
      <c r="P53" s="77" t="str">
        <v/>
      </c>
      <c r="Q53" s="53" t="str">
        <v>ВВГнг(А)-LS (3х2,5) L=35-2,27%</v>
      </c>
      <c r="R53" s="54" t="str">
        <v>K.7</v>
      </c>
      <c r="S53" s="55" t="str">
        <v>Внешний блок кондиционирования Пом. Венткиосок</v>
      </c>
      <c r="T53" s="56">
        <v>1.9</v>
      </c>
      <c r="U53" s="56">
        <v>10.29</v>
      </c>
      <c r="V53" s="42" t="str">
        <v>L3</v>
      </c>
      <c r="W53" s="57" t="str">
        <v>ok</v>
      </c>
      <c r="X53" s="58" t="str">
        <v/>
      </c>
      <c r="Y53" s="75" t="str">
        <v/>
      </c>
      <c r="Z53" s="59">
        <v>10.284051669940206</v>
      </c>
      <c r="AA53" s="61">
        <v>16</v>
      </c>
      <c r="AB53" s="61">
        <v>25</v>
      </c>
      <c r="AC53" s="61" t="str">
        <v/>
      </c>
      <c r="AD53" s="62" t="str">
        <v>QF22</v>
      </c>
      <c r="AE53" s="62" t="str">
        <v/>
      </c>
      <c r="AF53" s="34">
        <v>22</v>
      </c>
      <c r="AG53" s="34" t="str">
        <v>QF22</v>
      </c>
      <c r="AH53" s="34" t="str">
        <v/>
      </c>
      <c r="AI53" s="34" t="str">
        <v/>
      </c>
      <c r="AJ53" s="34" t="str">
        <v>QF22</v>
      </c>
      <c r="AK53" s="34">
        <v>1</v>
      </c>
      <c r="AL53" s="34" t="str">
        <v>K</v>
      </c>
      <c r="AM53" s="34">
        <v>0</v>
      </c>
      <c r="AN53" s="34">
        <v>0</v>
      </c>
      <c r="AO53" s="34">
        <v>16</v>
      </c>
      <c r="AP53" s="34">
        <v>25</v>
      </c>
      <c r="AQ53" s="34">
        <v>16</v>
      </c>
      <c r="AR53" s="34">
        <v>1</v>
      </c>
      <c r="AS53" s="34">
        <v>0</v>
      </c>
      <c r="AT53" s="34" t="str">
        <v>1P</v>
      </c>
      <c r="AU53" s="34">
        <v>16</v>
      </c>
      <c r="AV53" s="34" t="str">
        <v/>
      </c>
      <c r="AW53" s="34" t="str">
        <v/>
      </c>
      <c r="AX53" s="34" t="str">
        <v/>
      </c>
      <c r="AY53" s="34">
        <v>1</v>
      </c>
      <c r="AZ53" s="34" t="str">
        <v/>
      </c>
      <c r="BA53" s="34">
        <v>0</v>
      </c>
      <c r="BB53" s="34">
        <v>0</v>
      </c>
      <c r="BD53" s="34">
        <v>1</v>
      </c>
      <c r="BE53" s="34">
        <v>0</v>
      </c>
      <c r="BF53" s="34">
        <v>0</v>
      </c>
      <c r="BG53" s="34" t="str">
        <v/>
      </c>
      <c r="BH53" s="34" t="str">
        <v/>
      </c>
      <c r="BI53" s="34" t="str">
        <v/>
      </c>
      <c r="BJ53" s="34" t="str">
        <v/>
      </c>
      <c r="BK53" s="34" t="str">
        <v>BOX</v>
      </c>
      <c r="BL53" s="34">
        <v>1</v>
      </c>
      <c r="BM53" s="34" t="str">
        <v/>
      </c>
      <c r="BN53" s="34" t="str">
        <v/>
      </c>
      <c r="BO53" s="34" t="str">
        <v/>
      </c>
      <c r="BP53" s="34" t="str">
        <v/>
      </c>
      <c r="BQ53" s="34" t="str">
        <v>3х2,5</v>
      </c>
      <c r="BR53" s="34" t="str">
        <v/>
      </c>
      <c r="BS53" s="34" t="str">
        <v/>
      </c>
      <c r="BT53" s="34" t="str">
        <v/>
      </c>
      <c r="BU53" s="34">
        <v>0</v>
      </c>
      <c r="BV53" s="34">
        <v>73</v>
      </c>
      <c r="BW53" s="34">
        <v>1</v>
      </c>
      <c r="BX53" s="34">
        <v>0</v>
      </c>
      <c r="BY53" s="34">
        <v>0</v>
      </c>
      <c r="BZ53">
        <v>4</v>
      </c>
      <c r="CA53" t="str">
        <v>линии</v>
      </c>
    </row>
    <row r="54" spans="1:79" x14ac:dyDescent="0.3">
      <c r="A54" s="39" t="str">
        <v>ЩОВ-001</v>
      </c>
      <c r="B54" s="42">
        <v>40</v>
      </c>
      <c r="C54" s="42">
        <v>3</v>
      </c>
      <c r="D54" s="75" t="str">
        <v/>
      </c>
      <c r="E54" s="75" t="str">
        <v>авто</v>
      </c>
      <c r="F54" s="76" t="str">
        <v/>
      </c>
      <c r="G54" s="47" t="str">
        <v>QF23</v>
      </c>
      <c r="H54" s="47" t="str">
        <v>1P С16А</v>
      </c>
      <c r="I54" s="75" t="str">
        <v/>
      </c>
      <c r="J54" s="76" t="str">
        <v/>
      </c>
      <c r="K54" s="76" t="str">
        <v/>
      </c>
      <c r="L54" s="75" t="str">
        <v/>
      </c>
      <c r="M54" s="49" t="str">
        <v/>
      </c>
      <c r="N54" s="76" t="str">
        <v/>
      </c>
      <c r="O54" s="49" t="str">
        <v/>
      </c>
      <c r="P54" s="77" t="str">
        <v/>
      </c>
      <c r="Q54" s="53" t="str">
        <v>ВВГнг(А)-LS (3х2,5) L=35-2,27%</v>
      </c>
      <c r="R54" s="54" t="str">
        <v>K.8</v>
      </c>
      <c r="S54" s="55" t="str">
        <v>Внешний блок кондиционирования Пом. Венткиосок</v>
      </c>
      <c r="T54" s="56">
        <v>1.9</v>
      </c>
      <c r="U54" s="56">
        <v>10.29</v>
      </c>
      <c r="V54" s="42" t="str">
        <v>L1</v>
      </c>
      <c r="W54" s="57" t="str">
        <v>ok</v>
      </c>
      <c r="X54" s="58" t="str">
        <v/>
      </c>
      <c r="Y54" s="75" t="str">
        <v/>
      </c>
      <c r="Z54" s="59">
        <v>10.284051669940206</v>
      </c>
      <c r="AA54" s="61">
        <v>16</v>
      </c>
      <c r="AB54" s="61">
        <v>25</v>
      </c>
      <c r="AC54" s="61" t="str">
        <v/>
      </c>
      <c r="AD54" s="62" t="str">
        <v>QF23</v>
      </c>
      <c r="AE54" s="62" t="str">
        <v/>
      </c>
      <c r="AF54" s="34">
        <v>23</v>
      </c>
      <c r="AG54" s="34" t="str">
        <v>QF23</v>
      </c>
      <c r="AH54" s="34" t="str">
        <v/>
      </c>
      <c r="AI54" s="34" t="str">
        <v/>
      </c>
      <c r="AJ54" s="34" t="str">
        <v>QF23</v>
      </c>
      <c r="AK54" s="34">
        <v>1</v>
      </c>
      <c r="AL54" s="34" t="str">
        <v>K</v>
      </c>
      <c r="AM54" s="34">
        <v>0</v>
      </c>
      <c r="AN54" s="34">
        <v>0</v>
      </c>
      <c r="AO54" s="34">
        <v>16</v>
      </c>
      <c r="AP54" s="34">
        <v>25</v>
      </c>
      <c r="AQ54" s="34">
        <v>16</v>
      </c>
      <c r="AR54" s="34">
        <v>1</v>
      </c>
      <c r="AS54" s="34">
        <v>0</v>
      </c>
      <c r="AT54" s="34" t="str">
        <v>1P</v>
      </c>
      <c r="AU54" s="34">
        <v>16</v>
      </c>
      <c r="AV54" s="34" t="str">
        <v/>
      </c>
      <c r="AW54" s="34" t="str">
        <v/>
      </c>
      <c r="AX54" s="34" t="str">
        <v/>
      </c>
      <c r="AY54" s="34">
        <v>1</v>
      </c>
      <c r="AZ54" s="34" t="str">
        <v/>
      </c>
      <c r="BA54" s="34">
        <v>0</v>
      </c>
      <c r="BB54" s="34">
        <v>0</v>
      </c>
      <c r="BD54" s="34">
        <v>1</v>
      </c>
      <c r="BE54" s="34">
        <v>0</v>
      </c>
      <c r="BF54" s="34">
        <v>0</v>
      </c>
      <c r="BG54" s="34" t="str">
        <v/>
      </c>
      <c r="BH54" s="34" t="str">
        <v/>
      </c>
      <c r="BI54" s="34" t="str">
        <v/>
      </c>
      <c r="BJ54" s="34" t="str">
        <v/>
      </c>
      <c r="BK54" s="34" t="str">
        <v>BOX</v>
      </c>
      <c r="BL54" s="34">
        <v>1</v>
      </c>
      <c r="BM54" s="34" t="str">
        <v/>
      </c>
      <c r="BN54" s="34" t="str">
        <v/>
      </c>
      <c r="BO54" s="34" t="str">
        <v/>
      </c>
      <c r="BP54" s="34" t="str">
        <v/>
      </c>
      <c r="BQ54" s="34" t="str">
        <v>3х2,5</v>
      </c>
      <c r="BR54" s="34" t="str">
        <v/>
      </c>
      <c r="BS54" s="34" t="str">
        <v/>
      </c>
      <c r="BT54" s="34" t="str">
        <v/>
      </c>
      <c r="BU54" s="34">
        <v>0</v>
      </c>
      <c r="BV54" s="34">
        <v>74</v>
      </c>
      <c r="BW54" s="34">
        <v>1</v>
      </c>
      <c r="BX54" s="34">
        <v>0</v>
      </c>
      <c r="BY54" s="34">
        <v>0</v>
      </c>
      <c r="BZ54">
        <v>4</v>
      </c>
      <c r="CA54" t="str">
        <v>линии</v>
      </c>
    </row>
    <row r="55" spans="1:79" x14ac:dyDescent="0.3">
      <c r="A55" s="39" t="str">
        <v>ЩОВ-001</v>
      </c>
      <c r="B55" s="42">
        <v>41</v>
      </c>
      <c r="C55" s="42">
        <v>3</v>
      </c>
      <c r="D55" s="75" t="str">
        <v/>
      </c>
      <c r="E55" s="75" t="str">
        <v>авто</v>
      </c>
      <c r="F55" s="76" t="str">
        <v/>
      </c>
      <c r="G55" s="47" t="str">
        <v>QF24</v>
      </c>
      <c r="H55" s="47" t="str">
        <v>1P С16А</v>
      </c>
      <c r="I55" s="75" t="str">
        <v/>
      </c>
      <c r="J55" s="76" t="str">
        <v/>
      </c>
      <c r="K55" s="76" t="str">
        <v/>
      </c>
      <c r="L55" s="75" t="str">
        <v/>
      </c>
      <c r="M55" s="49" t="str">
        <v/>
      </c>
      <c r="N55" s="76" t="str">
        <v/>
      </c>
      <c r="O55" s="49" t="str">
        <v/>
      </c>
      <c r="P55" s="77" t="str">
        <v/>
      </c>
      <c r="Q55" s="53" t="str">
        <v>ВВГнг(А)-LS (3х2,5) L=32-2,07%</v>
      </c>
      <c r="R55" s="54" t="str">
        <v>K.9</v>
      </c>
      <c r="S55" s="55" t="str">
        <v>Внешний блок кондиционирования Пом. Венткиосок</v>
      </c>
      <c r="T55" s="56">
        <v>1.9</v>
      </c>
      <c r="U55" s="56">
        <v>10.29</v>
      </c>
      <c r="V55" s="42" t="str">
        <v>L2</v>
      </c>
      <c r="W55" s="57" t="str">
        <v>ok</v>
      </c>
      <c r="X55" s="58" t="str">
        <v/>
      </c>
      <c r="Y55" s="75" t="str">
        <v/>
      </c>
      <c r="Z55" s="59">
        <v>10.284051669940206</v>
      </c>
      <c r="AA55" s="61">
        <v>16</v>
      </c>
      <c r="AB55" s="61">
        <v>25</v>
      </c>
      <c r="AC55" s="61" t="str">
        <v/>
      </c>
      <c r="AD55" s="62" t="str">
        <v>QF24</v>
      </c>
      <c r="AE55" s="62" t="str">
        <v/>
      </c>
      <c r="AF55" s="34">
        <v>24</v>
      </c>
      <c r="AG55" s="34" t="str">
        <v>QF24</v>
      </c>
      <c r="AH55" s="34" t="str">
        <v/>
      </c>
      <c r="AI55" s="34" t="str">
        <v/>
      </c>
      <c r="AJ55" s="34" t="str">
        <v>QF24</v>
      </c>
      <c r="AK55" s="34">
        <v>1</v>
      </c>
      <c r="AL55" s="34" t="str">
        <v>K</v>
      </c>
      <c r="AM55" s="34">
        <v>0</v>
      </c>
      <c r="AN55" s="34">
        <v>0</v>
      </c>
      <c r="AO55" s="34">
        <v>16</v>
      </c>
      <c r="AP55" s="34">
        <v>25</v>
      </c>
      <c r="AQ55" s="34">
        <v>16</v>
      </c>
      <c r="AR55" s="34">
        <v>1</v>
      </c>
      <c r="AS55" s="34">
        <v>0</v>
      </c>
      <c r="AT55" s="34" t="str">
        <v>1P</v>
      </c>
      <c r="AU55" s="34">
        <v>16</v>
      </c>
      <c r="AV55" s="34" t="str">
        <v/>
      </c>
      <c r="AW55" s="34" t="str">
        <v/>
      </c>
      <c r="AX55" s="34" t="str">
        <v/>
      </c>
      <c r="AY55" s="34">
        <v>1</v>
      </c>
      <c r="AZ55" s="34" t="str">
        <v/>
      </c>
      <c r="BA55" s="34">
        <v>0</v>
      </c>
      <c r="BB55" s="34">
        <v>0</v>
      </c>
      <c r="BD55" s="34">
        <v>1</v>
      </c>
      <c r="BE55" s="34">
        <v>0</v>
      </c>
      <c r="BF55" s="34">
        <v>0</v>
      </c>
      <c r="BG55" s="34" t="str">
        <v/>
      </c>
      <c r="BH55" s="34" t="str">
        <v/>
      </c>
      <c r="BI55" s="34" t="str">
        <v/>
      </c>
      <c r="BJ55" s="34" t="str">
        <v/>
      </c>
      <c r="BK55" s="34" t="str">
        <v>BOX</v>
      </c>
      <c r="BL55" s="34">
        <v>1</v>
      </c>
      <c r="BM55" s="34" t="str">
        <v/>
      </c>
      <c r="BN55" s="34" t="str">
        <v/>
      </c>
      <c r="BO55" s="34" t="str">
        <v/>
      </c>
      <c r="BP55" s="34" t="str">
        <v/>
      </c>
      <c r="BQ55" s="34" t="str">
        <v>3х2,5</v>
      </c>
      <c r="BR55" s="34" t="str">
        <v/>
      </c>
      <c r="BS55" s="34" t="str">
        <v/>
      </c>
      <c r="BT55" s="34" t="str">
        <v/>
      </c>
      <c r="BU55" s="34">
        <v>0</v>
      </c>
      <c r="BV55" s="34">
        <v>75</v>
      </c>
      <c r="BW55" s="34">
        <v>1</v>
      </c>
      <c r="BX55" s="34">
        <v>0</v>
      </c>
      <c r="BY55" s="34">
        <v>0</v>
      </c>
      <c r="BZ55">
        <v>4</v>
      </c>
      <c r="CA55" t="str">
        <v>линии</v>
      </c>
    </row>
    <row r="56" spans="1:79" x14ac:dyDescent="0.3">
      <c r="A56" s="39" t="str">
        <v>ЩОВ-001</v>
      </c>
      <c r="B56" s="42">
        <v>42</v>
      </c>
      <c r="C56" s="42">
        <v>3</v>
      </c>
      <c r="D56" s="75" t="str">
        <v/>
      </c>
      <c r="E56" s="75" t="str">
        <v>авто</v>
      </c>
      <c r="F56" s="76" t="str">
        <v/>
      </c>
      <c r="G56" s="47" t="str">
        <v>QF25</v>
      </c>
      <c r="H56" s="47" t="str">
        <v>1P С16А</v>
      </c>
      <c r="I56" s="75" t="str">
        <v/>
      </c>
      <c r="J56" s="76" t="str">
        <v/>
      </c>
      <c r="K56" s="76" t="str">
        <v/>
      </c>
      <c r="L56" s="75" t="str">
        <v/>
      </c>
      <c r="M56" s="49" t="str">
        <v/>
      </c>
      <c r="N56" s="76" t="str">
        <v/>
      </c>
      <c r="O56" s="49" t="str">
        <v/>
      </c>
      <c r="P56" s="77" t="str">
        <v/>
      </c>
      <c r="Q56" s="53" t="str">
        <v>ВВГнг(А)-LS (3х2,5) L=32-2,07%</v>
      </c>
      <c r="R56" s="54" t="str">
        <v>K.10</v>
      </c>
      <c r="S56" s="55" t="str">
        <v>Внешний блок кондиционирования Пом. Венткиосок</v>
      </c>
      <c r="T56" s="56">
        <v>1.9</v>
      </c>
      <c r="U56" s="56">
        <v>10.29</v>
      </c>
      <c r="V56" s="42" t="str">
        <v>L3</v>
      </c>
      <c r="W56" s="57" t="str">
        <v>ok</v>
      </c>
      <c r="X56" s="58" t="str">
        <v/>
      </c>
      <c r="Y56" s="75" t="str">
        <v/>
      </c>
      <c r="Z56" s="59">
        <v>10.284051669940206</v>
      </c>
      <c r="AA56" s="61">
        <v>16</v>
      </c>
      <c r="AB56" s="61">
        <v>25</v>
      </c>
      <c r="AC56" s="61" t="str">
        <v/>
      </c>
      <c r="AD56" s="62" t="str">
        <v>QF25</v>
      </c>
      <c r="AE56" s="62" t="str">
        <v/>
      </c>
      <c r="AF56" s="34">
        <v>25</v>
      </c>
      <c r="AG56" s="34" t="str">
        <v>QF25</v>
      </c>
      <c r="AH56" s="34" t="str">
        <v/>
      </c>
      <c r="AI56" s="34" t="str">
        <v/>
      </c>
      <c r="AJ56" s="34" t="str">
        <v>QF25</v>
      </c>
      <c r="AK56" s="34">
        <v>1</v>
      </c>
      <c r="AL56" s="34" t="str">
        <v>K</v>
      </c>
      <c r="AM56" s="34">
        <v>0</v>
      </c>
      <c r="AN56" s="34">
        <v>0</v>
      </c>
      <c r="AO56" s="34">
        <v>16</v>
      </c>
      <c r="AP56" s="34">
        <v>25</v>
      </c>
      <c r="AQ56" s="34">
        <v>16</v>
      </c>
      <c r="AR56" s="34">
        <v>1</v>
      </c>
      <c r="AS56" s="34">
        <v>0</v>
      </c>
      <c r="AT56" s="34" t="str">
        <v>1P</v>
      </c>
      <c r="AU56" s="34">
        <v>16</v>
      </c>
      <c r="AV56" s="34" t="str">
        <v/>
      </c>
      <c r="AW56" s="34" t="str">
        <v/>
      </c>
      <c r="AX56" s="34" t="str">
        <v/>
      </c>
      <c r="AY56" s="34">
        <v>1</v>
      </c>
      <c r="AZ56" s="34" t="str">
        <v/>
      </c>
      <c r="BA56" s="34">
        <v>0</v>
      </c>
      <c r="BB56" s="34">
        <v>0</v>
      </c>
      <c r="BD56" s="34">
        <v>1</v>
      </c>
      <c r="BE56" s="34">
        <v>0</v>
      </c>
      <c r="BF56" s="34">
        <v>0</v>
      </c>
      <c r="BG56" s="34" t="str">
        <v/>
      </c>
      <c r="BH56" s="34" t="str">
        <v/>
      </c>
      <c r="BI56" s="34" t="str">
        <v/>
      </c>
      <c r="BJ56" s="34" t="str">
        <v/>
      </c>
      <c r="BK56" s="34" t="str">
        <v>BOX</v>
      </c>
      <c r="BL56" s="34">
        <v>1</v>
      </c>
      <c r="BM56" s="34" t="str">
        <v/>
      </c>
      <c r="BN56" s="34" t="str">
        <v/>
      </c>
      <c r="BO56" s="34" t="str">
        <v/>
      </c>
      <c r="BP56" s="34" t="str">
        <v/>
      </c>
      <c r="BQ56" s="34" t="str">
        <v>3х2,5</v>
      </c>
      <c r="BR56" s="34" t="str">
        <v/>
      </c>
      <c r="BS56" s="34" t="str">
        <v/>
      </c>
      <c r="BT56" s="34" t="str">
        <v/>
      </c>
      <c r="BU56" s="34">
        <v>0</v>
      </c>
      <c r="BV56" s="34">
        <v>76</v>
      </c>
      <c r="BW56" s="34">
        <v>1</v>
      </c>
      <c r="BX56" s="34">
        <v>0</v>
      </c>
      <c r="BY56" s="34">
        <v>0</v>
      </c>
      <c r="BZ56">
        <v>4</v>
      </c>
      <c r="CA56" t="str">
        <v>линии</v>
      </c>
    </row>
    <row r="57" spans="1:79" x14ac:dyDescent="0.3">
      <c r="A57" s="39" t="str">
        <v>ЩОВ-001</v>
      </c>
      <c r="B57" s="42">
        <v>43</v>
      </c>
      <c r="C57" s="42">
        <v>3</v>
      </c>
      <c r="D57" s="75" t="str">
        <v/>
      </c>
      <c r="E57" s="75" t="str">
        <v>авто</v>
      </c>
      <c r="F57" s="76" t="str">
        <v/>
      </c>
      <c r="G57" s="47" t="str">
        <v>QF26</v>
      </c>
      <c r="H57" s="47" t="str">
        <v>1P С16А</v>
      </c>
      <c r="I57" s="75" t="str">
        <v/>
      </c>
      <c r="J57" s="76" t="str">
        <v/>
      </c>
      <c r="K57" s="76" t="str">
        <v/>
      </c>
      <c r="L57" s="75" t="str">
        <v/>
      </c>
      <c r="M57" s="49" t="str">
        <v/>
      </c>
      <c r="N57" s="76" t="str">
        <v/>
      </c>
      <c r="O57" s="49" t="str">
        <v/>
      </c>
      <c r="P57" s="77" t="str">
        <v/>
      </c>
      <c r="Q57" s="53" t="str">
        <v>ВВГнг(А)-LS (3х2,5) L=32-2,07%</v>
      </c>
      <c r="R57" s="54" t="str">
        <v>K.11</v>
      </c>
      <c r="S57" s="55" t="str">
        <v>Внешний блок кондиционирования Пом. Венткиосок</v>
      </c>
      <c r="T57" s="56">
        <v>1.9</v>
      </c>
      <c r="U57" s="56">
        <v>10.29</v>
      </c>
      <c r="V57" s="42" t="str">
        <v>L1</v>
      </c>
      <c r="W57" s="57" t="str">
        <v>ok</v>
      </c>
      <c r="X57" s="58" t="str">
        <v/>
      </c>
      <c r="Y57" s="75" t="str">
        <v/>
      </c>
      <c r="Z57" s="59">
        <v>10.284051669940206</v>
      </c>
      <c r="AA57" s="61">
        <v>16</v>
      </c>
      <c r="AB57" s="61">
        <v>25</v>
      </c>
      <c r="AC57" s="61" t="str">
        <v/>
      </c>
      <c r="AD57" s="62" t="str">
        <v>QF26</v>
      </c>
      <c r="AE57" s="62" t="str">
        <v/>
      </c>
      <c r="AF57" s="34">
        <v>26</v>
      </c>
      <c r="AG57" s="34" t="str">
        <v>QF26</v>
      </c>
      <c r="AH57" s="34" t="str">
        <v/>
      </c>
      <c r="AI57" s="34" t="str">
        <v/>
      </c>
      <c r="AJ57" s="34" t="str">
        <v>QF26</v>
      </c>
      <c r="AK57" s="34">
        <v>1</v>
      </c>
      <c r="AL57" s="34" t="str">
        <v>K</v>
      </c>
      <c r="AM57" s="34">
        <v>0</v>
      </c>
      <c r="AN57" s="34">
        <v>0</v>
      </c>
      <c r="AO57" s="34">
        <v>16</v>
      </c>
      <c r="AP57" s="34">
        <v>25</v>
      </c>
      <c r="AQ57" s="34">
        <v>16</v>
      </c>
      <c r="AR57" s="34">
        <v>1</v>
      </c>
      <c r="AS57" s="34">
        <v>0</v>
      </c>
      <c r="AT57" s="34" t="str">
        <v>1P</v>
      </c>
      <c r="AU57" s="34">
        <v>16</v>
      </c>
      <c r="AV57" s="34" t="str">
        <v/>
      </c>
      <c r="AW57" s="34" t="str">
        <v/>
      </c>
      <c r="AX57" s="34" t="str">
        <v/>
      </c>
      <c r="AY57" s="34">
        <v>1</v>
      </c>
      <c r="AZ57" s="34" t="str">
        <v/>
      </c>
      <c r="BA57" s="34">
        <v>0</v>
      </c>
      <c r="BB57" s="34">
        <v>0</v>
      </c>
      <c r="BD57" s="34">
        <v>1</v>
      </c>
      <c r="BE57" s="34">
        <v>0</v>
      </c>
      <c r="BF57" s="34">
        <v>0</v>
      </c>
      <c r="BG57" s="34" t="str">
        <v/>
      </c>
      <c r="BH57" s="34" t="str">
        <v/>
      </c>
      <c r="BI57" s="34" t="str">
        <v/>
      </c>
      <c r="BJ57" s="34" t="str">
        <v/>
      </c>
      <c r="BK57" s="34" t="str">
        <v>BOX</v>
      </c>
      <c r="BL57" s="34">
        <v>1</v>
      </c>
      <c r="BM57" s="34" t="str">
        <v/>
      </c>
      <c r="BN57" s="34" t="str">
        <v/>
      </c>
      <c r="BO57" s="34" t="str">
        <v/>
      </c>
      <c r="BP57" s="34" t="str">
        <v/>
      </c>
      <c r="BQ57" s="34" t="str">
        <v>3х2,5</v>
      </c>
      <c r="BR57" s="34" t="str">
        <v/>
      </c>
      <c r="BS57" s="34" t="str">
        <v/>
      </c>
      <c r="BT57" s="34" t="str">
        <v/>
      </c>
      <c r="BU57" s="34">
        <v>0</v>
      </c>
      <c r="BV57" s="34">
        <v>77</v>
      </c>
      <c r="BW57" s="34">
        <v>1</v>
      </c>
      <c r="BX57" s="34">
        <v>0</v>
      </c>
      <c r="BY57" s="34">
        <v>0</v>
      </c>
      <c r="BZ57">
        <v>4</v>
      </c>
      <c r="CA57" t="str">
        <v>линии</v>
      </c>
    </row>
    <row r="58" spans="1:79" x14ac:dyDescent="0.3">
      <c r="A58" s="39" t="str">
        <v>ЩОВ-001</v>
      </c>
      <c r="B58" s="42">
        <v>47</v>
      </c>
      <c r="C58" s="42">
        <v>3</v>
      </c>
      <c r="D58" s="75" t="str">
        <v/>
      </c>
      <c r="E58" s="75" t="str">
        <v>авто</v>
      </c>
      <c r="F58" s="76" t="str">
        <v/>
      </c>
      <c r="G58" s="47" t="str">
        <v>QF27</v>
      </c>
      <c r="H58" s="47" t="str">
        <v>3P С63А</v>
      </c>
      <c r="I58" s="75" t="str">
        <v/>
      </c>
      <c r="J58" s="76" t="str">
        <v/>
      </c>
      <c r="K58" s="76" t="str">
        <v/>
      </c>
      <c r="L58" s="75" t="str">
        <v/>
      </c>
      <c r="M58" s="49" t="str">
        <v/>
      </c>
      <c r="N58" s="76" t="str">
        <v/>
      </c>
      <c r="O58" s="49" t="str">
        <v/>
      </c>
      <c r="P58" s="77" t="str">
        <v/>
      </c>
      <c r="Q58" s="53" t="str">
        <v>ВВГнг(А)-LS (5х25) L=34-0,57%</v>
      </c>
      <c r="R58" s="54" t="str">
        <v>ККБ-1</v>
      </c>
      <c r="S58" s="55" t="str">
        <v>Внешний блок кондиционирования Пом. Венткиосок</v>
      </c>
      <c r="T58" s="56">
        <v>28</v>
      </c>
      <c r="U58" s="56">
        <v>50.519999999999996</v>
      </c>
      <c r="V58" s="42" t="str">
        <v>L1,L2,L3</v>
      </c>
      <c r="W58" s="57" t="str">
        <v>ok</v>
      </c>
      <c r="X58" s="58" t="str">
        <v/>
      </c>
      <c r="Y58" s="75" t="str">
        <v/>
      </c>
      <c r="Z58" s="59">
        <v>50.518148554092257</v>
      </c>
      <c r="AA58" s="61">
        <v>63</v>
      </c>
      <c r="AB58" s="61">
        <v>80</v>
      </c>
      <c r="AC58" s="61" t="str">
        <v/>
      </c>
      <c r="AD58" s="62" t="str">
        <v>QF27</v>
      </c>
      <c r="AE58" s="62" t="str">
        <v/>
      </c>
      <c r="AF58" s="34">
        <v>27</v>
      </c>
      <c r="AG58" s="34" t="str">
        <v>QF27</v>
      </c>
      <c r="AH58" s="34" t="str">
        <v/>
      </c>
      <c r="AI58" s="34" t="str">
        <v/>
      </c>
      <c r="AJ58" s="34" t="str">
        <v>QF27</v>
      </c>
      <c r="AK58" s="34">
        <v>3</v>
      </c>
      <c r="AL58" s="34" t="str">
        <v>ККБ-1</v>
      </c>
      <c r="AM58" s="34">
        <v>0</v>
      </c>
      <c r="AN58" s="34">
        <v>0</v>
      </c>
      <c r="AO58" s="34">
        <v>63</v>
      </c>
      <c r="AP58" s="34">
        <v>80</v>
      </c>
      <c r="AQ58" s="34">
        <v>63</v>
      </c>
      <c r="AR58" s="34">
        <v>3</v>
      </c>
      <c r="AS58" s="34">
        <v>0</v>
      </c>
      <c r="AT58" s="34" t="str">
        <v>3P</v>
      </c>
      <c r="AU58" s="34">
        <v>63</v>
      </c>
      <c r="AV58" s="34" t="str">
        <v/>
      </c>
      <c r="AW58" s="34" t="str">
        <v/>
      </c>
      <c r="AX58" s="34" t="str">
        <v/>
      </c>
      <c r="AY58" s="34">
        <v>1</v>
      </c>
      <c r="AZ58" s="34" t="str">
        <v/>
      </c>
      <c r="BA58" s="34">
        <v>0</v>
      </c>
      <c r="BB58" s="34">
        <v>0</v>
      </c>
      <c r="BD58" s="34">
        <v>1</v>
      </c>
      <c r="BE58" s="34">
        <v>0</v>
      </c>
      <c r="BF58" s="34">
        <v>0</v>
      </c>
      <c r="BG58" s="34" t="str">
        <v/>
      </c>
      <c r="BH58" s="34" t="str">
        <v/>
      </c>
      <c r="BI58" s="34" t="str">
        <v/>
      </c>
      <c r="BJ58" s="34" t="str">
        <v/>
      </c>
      <c r="BK58" s="34" t="str">
        <v>BOX</v>
      </c>
      <c r="BL58" s="34">
        <v>1</v>
      </c>
      <c r="BM58" s="34" t="str">
        <v/>
      </c>
      <c r="BN58" s="34" t="str">
        <v/>
      </c>
      <c r="BO58" s="34" t="str">
        <v/>
      </c>
      <c r="BP58" s="34" t="str">
        <v/>
      </c>
      <c r="BQ58" s="34" t="str">
        <v>5х25</v>
      </c>
      <c r="BR58" s="34">
        <v>12</v>
      </c>
      <c r="BS58" s="34" t="str">
        <v/>
      </c>
      <c r="BT58" s="34" t="str">
        <v/>
      </c>
      <c r="BU58" s="34">
        <v>0</v>
      </c>
      <c r="BV58" s="34">
        <v>78</v>
      </c>
      <c r="BW58" s="34">
        <v>1</v>
      </c>
      <c r="BX58" s="34">
        <v>2</v>
      </c>
      <c r="BY58" s="34" t="str">
        <v/>
      </c>
      <c r="BZ58">
        <v>4</v>
      </c>
      <c r="CA58" t="str">
        <v>линии</v>
      </c>
    </row>
    <row r="59" spans="1:79" x14ac:dyDescent="0.3">
      <c r="A59" s="39" t="str">
        <v>ЩОВ-001</v>
      </c>
      <c r="B59" s="42">
        <v>48</v>
      </c>
      <c r="C59" s="42">
        <v>3</v>
      </c>
      <c r="D59" s="75" t="str">
        <v/>
      </c>
      <c r="E59" s="75" t="str">
        <v>авто</v>
      </c>
      <c r="F59" s="76" t="str">
        <v/>
      </c>
      <c r="G59" s="47" t="str">
        <v>QF28</v>
      </c>
      <c r="H59" s="47" t="str">
        <v>3P С63А</v>
      </c>
      <c r="I59" s="75" t="str">
        <v/>
      </c>
      <c r="J59" s="76" t="str">
        <v/>
      </c>
      <c r="K59" s="76" t="str">
        <v/>
      </c>
      <c r="L59" s="75" t="str">
        <v/>
      </c>
      <c r="M59" s="49" t="str">
        <v/>
      </c>
      <c r="N59" s="76" t="str">
        <v/>
      </c>
      <c r="O59" s="49" t="str">
        <v/>
      </c>
      <c r="P59" s="77" t="str">
        <v>XT28</v>
      </c>
      <c r="Q59" s="53" t="str">
        <v>ВВГнг(А)-LS (5х25) L=37-0,62%</v>
      </c>
      <c r="R59" s="54" t="str">
        <v>ККБ-2</v>
      </c>
      <c r="S59" s="55" t="str">
        <v>Внешний блок кондиционирования Пом. Венткиосок</v>
      </c>
      <c r="T59" s="56">
        <v>28</v>
      </c>
      <c r="U59" s="56">
        <v>50.519999999999996</v>
      </c>
      <c r="V59" s="42" t="str">
        <v>L1,L2,L3</v>
      </c>
      <c r="W59" s="57" t="str">
        <v>ok</v>
      </c>
      <c r="X59" s="58" t="str">
        <v/>
      </c>
      <c r="Y59" s="75" t="str">
        <v/>
      </c>
      <c r="Z59" s="59">
        <v>50.518148554092257</v>
      </c>
      <c r="AA59" s="61">
        <v>63</v>
      </c>
      <c r="AB59" s="61">
        <v>80</v>
      </c>
      <c r="AC59" s="61" t="str">
        <v/>
      </c>
      <c r="AD59" s="62" t="str">
        <v>QF28 → XT28</v>
      </c>
      <c r="AE59" s="62" t="str">
        <v/>
      </c>
      <c r="AF59" s="34">
        <v>28</v>
      </c>
      <c r="AG59" s="34" t="str">
        <v>QF28</v>
      </c>
      <c r="AH59" s="34" t="str">
        <v/>
      </c>
      <c r="AI59" s="34" t="str">
        <v/>
      </c>
      <c r="AJ59" s="34" t="str">
        <v>QF28</v>
      </c>
      <c r="AK59" s="34">
        <v>3</v>
      </c>
      <c r="AL59" s="34" t="str">
        <v>ККБ-2</v>
      </c>
      <c r="AM59" s="34">
        <v>0</v>
      </c>
      <c r="AN59" s="34">
        <v>0</v>
      </c>
      <c r="AO59" s="34">
        <v>63</v>
      </c>
      <c r="AP59" s="34">
        <v>80</v>
      </c>
      <c r="AQ59" s="34">
        <v>63</v>
      </c>
      <c r="AR59" s="34">
        <v>3</v>
      </c>
      <c r="AS59" s="34">
        <v>0</v>
      </c>
      <c r="AT59" s="34" t="str">
        <v>3P</v>
      </c>
      <c r="AU59" s="34">
        <v>63</v>
      </c>
      <c r="AV59" s="34" t="str">
        <v/>
      </c>
      <c r="AW59" s="34" t="str">
        <v/>
      </c>
      <c r="AX59" s="34" t="str">
        <v/>
      </c>
      <c r="AY59" s="34">
        <v>1</v>
      </c>
      <c r="AZ59" s="34" t="str">
        <v/>
      </c>
      <c r="BA59" s="34">
        <v>0</v>
      </c>
      <c r="BB59" s="34">
        <v>0</v>
      </c>
      <c r="BD59" s="34">
        <v>1</v>
      </c>
      <c r="BE59" s="34">
        <v>0</v>
      </c>
      <c r="BF59" s="34">
        <v>0</v>
      </c>
      <c r="BG59" s="34" t="str">
        <v/>
      </c>
      <c r="BH59" s="34" t="str">
        <v/>
      </c>
      <c r="BI59" s="34" t="str">
        <v/>
      </c>
      <c r="BJ59" s="34" t="str">
        <v/>
      </c>
      <c r="BK59" s="34" t="str">
        <v>BOX</v>
      </c>
      <c r="BL59" s="34">
        <v>1</v>
      </c>
      <c r="BM59" s="34" t="str">
        <v/>
      </c>
      <c r="BN59" s="34" t="str">
        <v/>
      </c>
      <c r="BO59" s="34" t="str">
        <v/>
      </c>
      <c r="BP59" s="34" t="str">
        <v/>
      </c>
      <c r="BQ59" s="34" t="str">
        <v>5х25</v>
      </c>
      <c r="BR59" s="34" t="str">
        <v/>
      </c>
      <c r="BS59" s="34" t="str">
        <v/>
      </c>
      <c r="BT59" s="34" t="str">
        <v/>
      </c>
      <c r="BU59" s="34">
        <v>0</v>
      </c>
      <c r="BV59" s="34">
        <v>79</v>
      </c>
      <c r="BW59" s="34">
        <v>1</v>
      </c>
      <c r="BX59" s="34">
        <v>2</v>
      </c>
      <c r="BY59" s="34" t="str">
        <v/>
      </c>
      <c r="BZ59">
        <v>4</v>
      </c>
      <c r="CA59" t="str">
        <v>линии</v>
      </c>
    </row>
    <row r="60" spans="1:79" x14ac:dyDescent="0.3">
      <c r="A60" s="39" t="str">
        <v>ЩОВ-001</v>
      </c>
      <c r="B60" s="42">
        <v>49</v>
      </c>
      <c r="C60" s="42">
        <v>3</v>
      </c>
      <c r="D60" s="75" t="str">
        <v/>
      </c>
      <c r="E60" s="75" t="str">
        <v>авто</v>
      </c>
      <c r="F60" s="76" t="str">
        <v/>
      </c>
      <c r="G60" s="47" t="str">
        <v>QF29</v>
      </c>
      <c r="H60" s="47" t="str">
        <v>3P С63А</v>
      </c>
      <c r="I60" s="75" t="str">
        <v/>
      </c>
      <c r="J60" s="76" t="str">
        <v/>
      </c>
      <c r="K60" s="76" t="str">
        <v/>
      </c>
      <c r="L60" s="75" t="str">
        <v/>
      </c>
      <c r="M60" s="49" t="str">
        <v/>
      </c>
      <c r="N60" s="76" t="str">
        <v/>
      </c>
      <c r="O60" s="49" t="str">
        <v/>
      </c>
      <c r="P60" s="77" t="str">
        <v>XT29</v>
      </c>
      <c r="Q60" s="53" t="str">
        <v>ВВГнг(А)-LS (5х25) L=51-0,85%</v>
      </c>
      <c r="R60" s="54" t="str">
        <v>НБ-1</v>
      </c>
      <c r="S60" s="55" t="str">
        <v>Внешний блок кондиционирования Пом. Венткиосок</v>
      </c>
      <c r="T60" s="56">
        <v>27.79</v>
      </c>
      <c r="U60" s="56">
        <v>50.14</v>
      </c>
      <c r="V60" s="42" t="str">
        <v>L1,L2,L3</v>
      </c>
      <c r="W60" s="57" t="str">
        <v>ok</v>
      </c>
      <c r="X60" s="58" t="str">
        <v/>
      </c>
      <c r="Y60" s="75" t="str">
        <v/>
      </c>
      <c r="Z60" s="59">
        <v>50.139262439936559</v>
      </c>
      <c r="AA60" s="61">
        <v>63</v>
      </c>
      <c r="AB60" s="61">
        <v>80</v>
      </c>
      <c r="AC60" s="61" t="str">
        <v/>
      </c>
      <c r="AD60" s="62" t="str">
        <v>QF29 → XT29</v>
      </c>
      <c r="AE60" s="62" t="str">
        <v/>
      </c>
      <c r="AF60" s="34">
        <v>29</v>
      </c>
      <c r="AG60" s="34" t="str">
        <v>QF29</v>
      </c>
      <c r="AH60" s="34" t="str">
        <v/>
      </c>
      <c r="AI60" s="34" t="str">
        <v/>
      </c>
      <c r="AJ60" s="34" t="str">
        <v>QF29</v>
      </c>
      <c r="AK60" s="34">
        <v>3</v>
      </c>
      <c r="AL60" s="34" t="str">
        <v>НБ-1</v>
      </c>
      <c r="AM60" s="34">
        <v>0</v>
      </c>
      <c r="AN60" s="34">
        <v>0</v>
      </c>
      <c r="AO60" s="34">
        <v>63</v>
      </c>
      <c r="AP60" s="34">
        <v>80</v>
      </c>
      <c r="AQ60" s="34">
        <v>63</v>
      </c>
      <c r="AR60" s="34">
        <v>3</v>
      </c>
      <c r="AS60" s="34">
        <v>0</v>
      </c>
      <c r="AT60" s="34" t="str">
        <v>3P</v>
      </c>
      <c r="AU60" s="34">
        <v>63</v>
      </c>
      <c r="AV60" s="34" t="str">
        <v/>
      </c>
      <c r="AW60" s="34" t="str">
        <v/>
      </c>
      <c r="AX60" s="34" t="str">
        <v/>
      </c>
      <c r="AY60" s="34">
        <v>1</v>
      </c>
      <c r="AZ60" s="34" t="str">
        <v/>
      </c>
      <c r="BA60" s="34">
        <v>0</v>
      </c>
      <c r="BB60" s="34">
        <v>0</v>
      </c>
      <c r="BD60" s="34">
        <v>1</v>
      </c>
      <c r="BE60" s="34">
        <v>0</v>
      </c>
      <c r="BF60" s="34">
        <v>0</v>
      </c>
      <c r="BG60" s="34" t="str">
        <v/>
      </c>
      <c r="BH60" s="34" t="str">
        <v/>
      </c>
      <c r="BI60" s="34" t="str">
        <v/>
      </c>
      <c r="BJ60" s="34" t="str">
        <v/>
      </c>
      <c r="BK60" s="34" t="str">
        <v>MOTOR</v>
      </c>
      <c r="BL60" s="34">
        <v>1</v>
      </c>
      <c r="BM60" s="34" t="str">
        <v/>
      </c>
      <c r="BN60" s="34" t="str">
        <v/>
      </c>
      <c r="BO60" s="34" t="str">
        <v/>
      </c>
      <c r="BP60" s="34" t="str">
        <v/>
      </c>
      <c r="BQ60" s="34" t="str">
        <v>5х25</v>
      </c>
      <c r="BR60" s="34" t="str">
        <v/>
      </c>
      <c r="BS60" s="34" t="str">
        <v/>
      </c>
      <c r="BT60" s="34" t="str">
        <v/>
      </c>
      <c r="BU60" s="34">
        <v>0</v>
      </c>
      <c r="BV60" s="34">
        <v>80</v>
      </c>
      <c r="BW60" s="34">
        <v>1</v>
      </c>
      <c r="BX60" s="34">
        <v>2</v>
      </c>
      <c r="BY60" s="34" t="str">
        <v>Привод (двигатель)</v>
      </c>
      <c r="BZ60">
        <v>4</v>
      </c>
      <c r="CA60" t="str">
        <v>линии</v>
      </c>
    </row>
    <row r="61" spans="1:79" x14ac:dyDescent="0.3">
      <c r="A61" s="39" t="str">
        <v>ЩОВ-001</v>
      </c>
      <c r="B61" s="42">
        <v>57</v>
      </c>
      <c r="C61" s="42">
        <v>4</v>
      </c>
      <c r="D61" s="75" t="str">
        <v/>
      </c>
      <c r="E61" s="75" t="str">
        <v>авто</v>
      </c>
      <c r="F61" s="76" t="str">
        <v/>
      </c>
      <c r="G61" s="47" t="str">
        <v>QF30</v>
      </c>
      <c r="H61" s="47" t="str">
        <v>3P С63А</v>
      </c>
      <c r="I61" s="75" t="str">
        <v/>
      </c>
      <c r="J61" s="76" t="str">
        <v/>
      </c>
      <c r="K61" s="76" t="str">
        <v/>
      </c>
      <c r="L61" s="75" t="str">
        <v/>
      </c>
      <c r="M61" s="49" t="str">
        <v/>
      </c>
      <c r="N61" s="76" t="str">
        <v/>
      </c>
      <c r="O61" s="49" t="str">
        <v/>
      </c>
      <c r="P61" s="77" t="str">
        <v>XT30</v>
      </c>
      <c r="Q61" s="53" t="str">
        <v>ВВГнг(А)-LS (5х25) L=36-0,6%</v>
      </c>
      <c r="R61" s="54" t="str">
        <v>ККБ-3</v>
      </c>
      <c r="S61" s="55" t="str">
        <v>Внешний блок кондиционирования Пом. Венткиосок</v>
      </c>
      <c r="T61" s="56">
        <v>28</v>
      </c>
      <c r="U61" s="56">
        <v>50.519999999999996</v>
      </c>
      <c r="V61" s="42" t="str">
        <v>L1,L2,L3</v>
      </c>
      <c r="W61" s="57" t="str">
        <v>ok</v>
      </c>
      <c r="X61" s="58" t="str">
        <v/>
      </c>
      <c r="Y61" s="75" t="str">
        <v/>
      </c>
      <c r="Z61" s="59">
        <v>50.518148554092257</v>
      </c>
      <c r="AA61" s="61">
        <v>63</v>
      </c>
      <c r="AB61" s="61">
        <v>80</v>
      </c>
      <c r="AC61" s="61" t="str">
        <v/>
      </c>
      <c r="AD61" s="62" t="str">
        <v>QF30 → XT30</v>
      </c>
      <c r="AE61" s="62" t="str">
        <v/>
      </c>
      <c r="AF61" s="34">
        <v>30</v>
      </c>
      <c r="AG61" s="34" t="str">
        <v>QF30</v>
      </c>
      <c r="AH61" s="34" t="str">
        <v/>
      </c>
      <c r="AI61" s="34" t="str">
        <v/>
      </c>
      <c r="AJ61" s="34" t="str">
        <v>QF30</v>
      </c>
      <c r="AK61" s="34">
        <v>3</v>
      </c>
      <c r="AL61" s="34" t="str">
        <v>ККБ-3</v>
      </c>
      <c r="AM61" s="34">
        <v>0</v>
      </c>
      <c r="AN61" s="34">
        <v>0</v>
      </c>
      <c r="AO61" s="34">
        <v>63</v>
      </c>
      <c r="AP61" s="34">
        <v>80</v>
      </c>
      <c r="AQ61" s="34">
        <v>63</v>
      </c>
      <c r="AR61" s="34">
        <v>3</v>
      </c>
      <c r="AS61" s="34">
        <v>0</v>
      </c>
      <c r="AT61" s="34" t="str">
        <v>3P</v>
      </c>
      <c r="AU61" s="34">
        <v>63</v>
      </c>
      <c r="AV61" s="34" t="str">
        <v/>
      </c>
      <c r="AW61" s="34" t="str">
        <v/>
      </c>
      <c r="AX61" s="34" t="str">
        <v/>
      </c>
      <c r="AY61" s="34">
        <v>1</v>
      </c>
      <c r="AZ61" s="34" t="str">
        <v/>
      </c>
      <c r="BA61" s="34">
        <v>0</v>
      </c>
      <c r="BB61" s="34">
        <v>0</v>
      </c>
      <c r="BD61" s="34">
        <v>1</v>
      </c>
      <c r="BE61" s="34">
        <v>0</v>
      </c>
      <c r="BF61" s="34">
        <v>0</v>
      </c>
      <c r="BG61" s="34" t="str">
        <v/>
      </c>
      <c r="BH61" s="34" t="str">
        <v/>
      </c>
      <c r="BI61" s="34" t="str">
        <v/>
      </c>
      <c r="BJ61" s="34" t="str">
        <v/>
      </c>
      <c r="BK61" s="34" t="str">
        <v>BOX</v>
      </c>
      <c r="BL61" s="34">
        <v>1</v>
      </c>
      <c r="BM61" s="34" t="str">
        <v/>
      </c>
      <c r="BN61" s="34" t="str">
        <v/>
      </c>
      <c r="BO61" s="34" t="str">
        <v/>
      </c>
      <c r="BP61" s="34" t="str">
        <v/>
      </c>
      <c r="BQ61" s="34" t="str">
        <v>5х25</v>
      </c>
      <c r="BR61" s="34" t="str">
        <v/>
      </c>
      <c r="BS61" s="34" t="str">
        <v/>
      </c>
      <c r="BT61" s="34" t="str">
        <v/>
      </c>
      <c r="BU61" s="34">
        <v>0</v>
      </c>
      <c r="BV61" s="34">
        <v>81</v>
      </c>
      <c r="BW61" s="34">
        <v>1</v>
      </c>
      <c r="BX61" s="34">
        <v>2</v>
      </c>
      <c r="BY61" s="34" t="str">
        <v/>
      </c>
      <c r="BZ61">
        <v>4</v>
      </c>
      <c r="CA61" t="str">
        <v>линии</v>
      </c>
    </row>
    <row r="62" spans="1:79" x14ac:dyDescent="0.3">
      <c r="A62" s="39" t="str">
        <v>ЩОВ-001</v>
      </c>
      <c r="B62" s="42">
        <v>58</v>
      </c>
      <c r="C62" s="42">
        <v>4</v>
      </c>
      <c r="D62" s="75" t="str">
        <v/>
      </c>
      <c r="E62" s="75" t="str">
        <v>авто</v>
      </c>
      <c r="F62" s="76" t="str">
        <v/>
      </c>
      <c r="G62" s="47" t="str">
        <v>QF31</v>
      </c>
      <c r="H62" s="47" t="str">
        <v>3P С63А</v>
      </c>
      <c r="I62" s="75" t="str">
        <v/>
      </c>
      <c r="J62" s="76" t="str">
        <v/>
      </c>
      <c r="K62" s="76" t="str">
        <v/>
      </c>
      <c r="L62" s="75" t="str">
        <v/>
      </c>
      <c r="M62" s="49" t="str">
        <v/>
      </c>
      <c r="N62" s="76" t="str">
        <v/>
      </c>
      <c r="O62" s="49" t="str">
        <v/>
      </c>
      <c r="P62" s="77" t="str">
        <v>XT31</v>
      </c>
      <c r="Q62" s="53" t="str">
        <v>ВВГнг(А)-LS (5х25) L=40-0,67%</v>
      </c>
      <c r="R62" s="54" t="str">
        <v>ККБ-4</v>
      </c>
      <c r="S62" s="55" t="str">
        <v>Внешний блок кондиционирования Пом. Венткиосок</v>
      </c>
      <c r="T62" s="56">
        <v>28</v>
      </c>
      <c r="U62" s="56">
        <v>50.519999999999996</v>
      </c>
      <c r="V62" s="42" t="str">
        <v>L1,L2,L3</v>
      </c>
      <c r="W62" s="57" t="str">
        <v>ok</v>
      </c>
      <c r="X62" s="58" t="str">
        <v/>
      </c>
      <c r="Y62" s="75" t="str">
        <v/>
      </c>
      <c r="Z62" s="59">
        <v>50.518148554092257</v>
      </c>
      <c r="AA62" s="61">
        <v>63</v>
      </c>
      <c r="AB62" s="61">
        <v>80</v>
      </c>
      <c r="AC62" s="61" t="str">
        <v/>
      </c>
      <c r="AD62" s="62" t="str">
        <v>QF31 → XT31</v>
      </c>
      <c r="AE62" s="62" t="str">
        <v/>
      </c>
      <c r="AF62" s="34">
        <v>31</v>
      </c>
      <c r="AG62" s="34" t="str">
        <v>QF31</v>
      </c>
      <c r="AH62" s="34" t="str">
        <v/>
      </c>
      <c r="AI62" s="34" t="str">
        <v/>
      </c>
      <c r="AJ62" s="34" t="str">
        <v>QF31</v>
      </c>
      <c r="AK62" s="34">
        <v>3</v>
      </c>
      <c r="AL62" s="34" t="str">
        <v>ККБ-4</v>
      </c>
      <c r="AM62" s="34">
        <v>0</v>
      </c>
      <c r="AN62" s="34">
        <v>0</v>
      </c>
      <c r="AO62" s="34">
        <v>63</v>
      </c>
      <c r="AP62" s="34">
        <v>80</v>
      </c>
      <c r="AQ62" s="34">
        <v>63</v>
      </c>
      <c r="AR62" s="34">
        <v>3</v>
      </c>
      <c r="AS62" s="34">
        <v>0</v>
      </c>
      <c r="AT62" s="34" t="str">
        <v>3P</v>
      </c>
      <c r="AU62" s="34">
        <v>63</v>
      </c>
      <c r="AV62" s="34" t="str">
        <v/>
      </c>
      <c r="AW62" s="34" t="str">
        <v/>
      </c>
      <c r="AX62" s="34" t="str">
        <v/>
      </c>
      <c r="AY62" s="34">
        <v>1</v>
      </c>
      <c r="AZ62" s="34" t="str">
        <v/>
      </c>
      <c r="BA62" s="34">
        <v>0</v>
      </c>
      <c r="BB62" s="34">
        <v>0</v>
      </c>
      <c r="BD62" s="34">
        <v>1</v>
      </c>
      <c r="BE62" s="34">
        <v>0</v>
      </c>
      <c r="BF62" s="34">
        <v>0</v>
      </c>
      <c r="BG62" s="34" t="str">
        <v/>
      </c>
      <c r="BH62" s="34" t="str">
        <v/>
      </c>
      <c r="BI62" s="34" t="str">
        <v/>
      </c>
      <c r="BJ62" s="34" t="str">
        <v/>
      </c>
      <c r="BK62" s="34" t="str">
        <v>BOX</v>
      </c>
      <c r="BL62" s="34">
        <v>1</v>
      </c>
      <c r="BM62" s="34" t="str">
        <v/>
      </c>
      <c r="BN62" s="34" t="str">
        <v/>
      </c>
      <c r="BO62" s="34" t="str">
        <v/>
      </c>
      <c r="BP62" s="34" t="str">
        <v/>
      </c>
      <c r="BQ62" s="34" t="str">
        <v>5х25</v>
      </c>
      <c r="BR62" s="34" t="str">
        <v/>
      </c>
      <c r="BS62" s="34" t="str">
        <v/>
      </c>
      <c r="BT62" s="34" t="str">
        <v/>
      </c>
      <c r="BU62" s="34">
        <v>0</v>
      </c>
      <c r="BV62" s="34">
        <v>82</v>
      </c>
      <c r="BW62" s="34">
        <v>1</v>
      </c>
      <c r="BX62" s="34">
        <v>2</v>
      </c>
      <c r="BY62" s="34" t="str">
        <v/>
      </c>
      <c r="BZ62">
        <v>4</v>
      </c>
      <c r="CA62" t="str">
        <v>линии</v>
      </c>
    </row>
    <row r="63" spans="1:79" x14ac:dyDescent="0.3">
      <c r="A63" s="39" t="str">
        <v>ЩОВ-001</v>
      </c>
      <c r="B63" s="42">
        <v>59</v>
      </c>
      <c r="C63" s="42">
        <v>4</v>
      </c>
      <c r="D63" s="75" t="str">
        <v/>
      </c>
      <c r="E63" s="75" t="str">
        <v>авто</v>
      </c>
      <c r="F63" s="76" t="str">
        <v/>
      </c>
      <c r="G63" s="47" t="str">
        <v>QF32</v>
      </c>
      <c r="H63" s="47" t="str">
        <v>3P С63А</v>
      </c>
      <c r="I63" s="75" t="str">
        <v/>
      </c>
      <c r="J63" s="76" t="str">
        <v/>
      </c>
      <c r="K63" s="76" t="str">
        <v/>
      </c>
      <c r="L63" s="75" t="str">
        <v/>
      </c>
      <c r="M63" s="49" t="str">
        <v/>
      </c>
      <c r="N63" s="76" t="str">
        <v/>
      </c>
      <c r="O63" s="49" t="str">
        <v/>
      </c>
      <c r="P63" s="77" t="str">
        <v>XT32</v>
      </c>
      <c r="Q63" s="53" t="str">
        <v>ВВГнг(А)-LS (5х25) L=44-0,73%</v>
      </c>
      <c r="R63" s="54" t="str">
        <v>НБ-2</v>
      </c>
      <c r="S63" s="55" t="str">
        <v>Внешний блок кондиционирования Пом. Венткиосок</v>
      </c>
      <c r="T63" s="56">
        <v>27.79</v>
      </c>
      <c r="U63" s="56">
        <v>50.14</v>
      </c>
      <c r="V63" s="42" t="str">
        <v>L1,L2,L3</v>
      </c>
      <c r="W63" s="57" t="str">
        <v>ok</v>
      </c>
      <c r="X63" s="58" t="str">
        <v/>
      </c>
      <c r="Y63" s="75" t="str">
        <v/>
      </c>
      <c r="Z63" s="59">
        <v>50.139262439936559</v>
      </c>
      <c r="AA63" s="61">
        <v>63</v>
      </c>
      <c r="AB63" s="61">
        <v>80</v>
      </c>
      <c r="AC63" s="61" t="str">
        <v/>
      </c>
      <c r="AD63" s="62" t="str">
        <v>QF32 → XT32</v>
      </c>
      <c r="AE63" s="62" t="str">
        <v/>
      </c>
      <c r="AF63" s="34">
        <v>32</v>
      </c>
      <c r="AG63" s="34" t="str">
        <v>QF32</v>
      </c>
      <c r="AH63" s="34" t="str">
        <v/>
      </c>
      <c r="AI63" s="34" t="str">
        <v/>
      </c>
      <c r="AJ63" s="34" t="str">
        <v>QF32</v>
      </c>
      <c r="AK63" s="34">
        <v>3</v>
      </c>
      <c r="AL63" s="34" t="str">
        <v>НБ-2</v>
      </c>
      <c r="AM63" s="34">
        <v>0</v>
      </c>
      <c r="AN63" s="34">
        <v>0</v>
      </c>
      <c r="AO63" s="34">
        <v>63</v>
      </c>
      <c r="AP63" s="34">
        <v>80</v>
      </c>
      <c r="AQ63" s="34">
        <v>63</v>
      </c>
      <c r="AR63" s="34">
        <v>3</v>
      </c>
      <c r="AS63" s="34">
        <v>0</v>
      </c>
      <c r="AT63" s="34" t="str">
        <v>3P</v>
      </c>
      <c r="AU63" s="34">
        <v>63</v>
      </c>
      <c r="AV63" s="34" t="str">
        <v/>
      </c>
      <c r="AW63" s="34" t="str">
        <v/>
      </c>
      <c r="AX63" s="34" t="str">
        <v/>
      </c>
      <c r="AY63" s="34">
        <v>1</v>
      </c>
      <c r="AZ63" s="34" t="str">
        <v/>
      </c>
      <c r="BA63" s="34">
        <v>0</v>
      </c>
      <c r="BB63" s="34">
        <v>0</v>
      </c>
      <c r="BD63" s="34">
        <v>1</v>
      </c>
      <c r="BE63" s="34">
        <v>0</v>
      </c>
      <c r="BF63" s="34">
        <v>0</v>
      </c>
      <c r="BG63" s="34" t="str">
        <v/>
      </c>
      <c r="BH63" s="34" t="str">
        <v/>
      </c>
      <c r="BI63" s="34" t="str">
        <v/>
      </c>
      <c r="BJ63" s="34" t="str">
        <v/>
      </c>
      <c r="BK63" s="34" t="str">
        <v>MOTOR</v>
      </c>
      <c r="BL63" s="34">
        <v>1</v>
      </c>
      <c r="BM63" s="34" t="str">
        <v/>
      </c>
      <c r="BN63" s="34" t="str">
        <v/>
      </c>
      <c r="BO63" s="34" t="str">
        <v/>
      </c>
      <c r="BP63" s="34" t="str">
        <v/>
      </c>
      <c r="BQ63" s="34" t="str">
        <v>5х25</v>
      </c>
      <c r="BR63" s="34" t="str">
        <v/>
      </c>
      <c r="BS63" s="34" t="str">
        <v/>
      </c>
      <c r="BT63" s="34" t="str">
        <v/>
      </c>
      <c r="BU63" s="34">
        <v>0</v>
      </c>
      <c r="BV63" s="34">
        <v>83</v>
      </c>
      <c r="BW63" s="34">
        <v>1</v>
      </c>
      <c r="BX63" s="34">
        <v>2</v>
      </c>
      <c r="BY63" s="34" t="str">
        <v>Привод (двигатель)</v>
      </c>
      <c r="BZ63">
        <v>4</v>
      </c>
      <c r="CA63" t="str">
        <v>линии</v>
      </c>
    </row>
    <row r="64" spans="1:79" x14ac:dyDescent="0.3">
      <c r="A64" s="39" t="str">
        <v>ЩОВ-001</v>
      </c>
      <c r="B64" s="42">
        <v>60</v>
      </c>
      <c r="C64" s="42">
        <v>4</v>
      </c>
      <c r="D64" s="75" t="str">
        <v/>
      </c>
      <c r="E64" s="75" t="str">
        <v>авто</v>
      </c>
      <c r="F64" s="76" t="str">
        <v/>
      </c>
      <c r="G64" s="47" t="str">
        <v>QF33</v>
      </c>
      <c r="H64" s="47" t="str">
        <v>3P С25А</v>
      </c>
      <c r="I64" s="75" t="str">
        <v/>
      </c>
      <c r="J64" s="76" t="str">
        <v/>
      </c>
      <c r="K64" s="76" t="str">
        <v/>
      </c>
      <c r="L64" s="75" t="str">
        <v/>
      </c>
      <c r="M64" s="49" t="str">
        <v/>
      </c>
      <c r="N64" s="76" t="str">
        <v/>
      </c>
      <c r="O64" s="49" t="str">
        <v/>
      </c>
      <c r="P64" s="77" t="str">
        <v>XT33</v>
      </c>
      <c r="Q64" s="53" t="str">
        <v>ВВГнг(А)-LS (5х6) L=47-1,2%</v>
      </c>
      <c r="R64" s="54" t="str">
        <v>НБ-3</v>
      </c>
      <c r="S64" s="55" t="str">
        <v>Внешний блок кондиционирования Пом. Венткиосок</v>
      </c>
      <c r="T64" s="56">
        <v>10.69</v>
      </c>
      <c r="U64" s="56">
        <v>19.290000000000003</v>
      </c>
      <c r="V64" s="42" t="str">
        <v>L1,L2,L3</v>
      </c>
      <c r="W64" s="57" t="str">
        <v>ok</v>
      </c>
      <c r="X64" s="58" t="str">
        <v/>
      </c>
      <c r="Y64" s="75" t="str">
        <v/>
      </c>
      <c r="Z64" s="59">
        <v>19.287107430115935</v>
      </c>
      <c r="AA64" s="61">
        <v>25</v>
      </c>
      <c r="AB64" s="61">
        <v>32</v>
      </c>
      <c r="AC64" s="61" t="str">
        <v/>
      </c>
      <c r="AD64" s="62" t="str">
        <v>QF33 → XT33</v>
      </c>
      <c r="AE64" s="62" t="str">
        <v/>
      </c>
      <c r="AF64" s="34">
        <v>33</v>
      </c>
      <c r="AG64" s="34" t="str">
        <v>QF33</v>
      </c>
      <c r="AH64" s="34" t="str">
        <v/>
      </c>
      <c r="AI64" s="34" t="str">
        <v/>
      </c>
      <c r="AJ64" s="34" t="str">
        <v>QF33</v>
      </c>
      <c r="AK64" s="34">
        <v>3</v>
      </c>
      <c r="AL64" s="34" t="str">
        <v>НБ-3</v>
      </c>
      <c r="AM64" s="34">
        <v>0</v>
      </c>
      <c r="AN64" s="34">
        <v>0</v>
      </c>
      <c r="AO64" s="34">
        <v>25</v>
      </c>
      <c r="AP64" s="34">
        <v>32</v>
      </c>
      <c r="AQ64" s="34">
        <v>25</v>
      </c>
      <c r="AR64" s="34">
        <v>3</v>
      </c>
      <c r="AS64" s="34">
        <v>0</v>
      </c>
      <c r="AT64" s="34" t="str">
        <v>3P</v>
      </c>
      <c r="AU64" s="34">
        <v>25</v>
      </c>
      <c r="AV64" s="34" t="str">
        <v/>
      </c>
      <c r="AW64" s="34" t="str">
        <v/>
      </c>
      <c r="AX64" s="34" t="str">
        <v/>
      </c>
      <c r="AY64" s="34">
        <v>1</v>
      </c>
      <c r="AZ64" s="34" t="str">
        <v/>
      </c>
      <c r="BA64" s="34">
        <v>0</v>
      </c>
      <c r="BB64" s="34">
        <v>0</v>
      </c>
      <c r="BD64" s="34">
        <v>1</v>
      </c>
      <c r="BE64" s="34">
        <v>0</v>
      </c>
      <c r="BF64" s="34">
        <v>0</v>
      </c>
      <c r="BG64" s="34" t="str">
        <v/>
      </c>
      <c r="BH64" s="34" t="str">
        <v/>
      </c>
      <c r="BI64" s="34" t="str">
        <v/>
      </c>
      <c r="BJ64" s="34" t="str">
        <v/>
      </c>
      <c r="BK64" s="34" t="str">
        <v>MOTOR</v>
      </c>
      <c r="BL64" s="34">
        <v>1</v>
      </c>
      <c r="BM64" s="34" t="str">
        <v/>
      </c>
      <c r="BN64" s="34" t="str">
        <v/>
      </c>
      <c r="BO64" s="34" t="str">
        <v/>
      </c>
      <c r="BP64" s="34" t="str">
        <v/>
      </c>
      <c r="BQ64" s="34" t="str">
        <v>5х6</v>
      </c>
      <c r="BR64" s="34" t="str">
        <v/>
      </c>
      <c r="BS64" s="34" t="str">
        <v/>
      </c>
      <c r="BT64" s="34" t="str">
        <v/>
      </c>
      <c r="BU64" s="34">
        <v>0</v>
      </c>
      <c r="BV64" s="34">
        <v>84</v>
      </c>
      <c r="BW64" s="34">
        <v>1</v>
      </c>
      <c r="BX64" s="34">
        <v>2</v>
      </c>
      <c r="BY64" s="34" t="str">
        <v>Привод (двигатель)</v>
      </c>
      <c r="BZ64">
        <v>4</v>
      </c>
      <c r="CA64" t="str">
        <v>линии</v>
      </c>
    </row>
    <row r="65" spans="1:79" x14ac:dyDescent="0.3">
      <c r="A65" s="39" t="str">
        <v>ЩОВ-001</v>
      </c>
      <c r="B65" s="42">
        <v>61</v>
      </c>
      <c r="C65" s="42">
        <v>4</v>
      </c>
      <c r="D65" s="75" t="str">
        <v/>
      </c>
      <c r="E65" s="75" t="str">
        <v>авто</v>
      </c>
      <c r="F65" s="76" t="str">
        <v/>
      </c>
      <c r="G65" s="47" t="str">
        <v>QF34</v>
      </c>
      <c r="H65" s="47" t="str">
        <v>3P С16А</v>
      </c>
      <c r="I65" s="75" t="str">
        <v/>
      </c>
      <c r="J65" s="76" t="str">
        <v/>
      </c>
      <c r="K65" s="76" t="str">
        <v/>
      </c>
      <c r="L65" s="75" t="str">
        <v/>
      </c>
      <c r="M65" s="49" t="str">
        <v/>
      </c>
      <c r="N65" s="76" t="str">
        <v/>
      </c>
      <c r="O65" s="49" t="str">
        <v/>
      </c>
      <c r="P65" s="77" t="str">
        <v>XT34</v>
      </c>
      <c r="Q65" s="53" t="str">
        <v>ВВГнг(А)-LS (5х4) L=45-0,93%</v>
      </c>
      <c r="R65" s="54" t="str">
        <v>НБ-4</v>
      </c>
      <c r="S65" s="55" t="str">
        <v>Внешний блок кондиционирования Пом. Венткиосок</v>
      </c>
      <c r="T65" s="56">
        <v>5.8</v>
      </c>
      <c r="U65" s="56">
        <v>10.47</v>
      </c>
      <c r="V65" s="42" t="str">
        <v>L1,L2,L3</v>
      </c>
      <c r="W65" s="57" t="str">
        <v>ok</v>
      </c>
      <c r="X65" s="58" t="str">
        <v/>
      </c>
      <c r="Y65" s="75" t="str">
        <v/>
      </c>
      <c r="Z65" s="59">
        <v>10.464473629061967</v>
      </c>
      <c r="AA65" s="61">
        <v>16</v>
      </c>
      <c r="AB65" s="61">
        <v>32</v>
      </c>
      <c r="AC65" s="61" t="str">
        <v/>
      </c>
      <c r="AD65" s="62" t="str">
        <v>QF34 → XT34</v>
      </c>
      <c r="AE65" s="62" t="str">
        <v/>
      </c>
      <c r="AF65" s="34">
        <v>34</v>
      </c>
      <c r="AG65" s="34" t="str">
        <v>QF34</v>
      </c>
      <c r="AH65" s="34" t="str">
        <v/>
      </c>
      <c r="AI65" s="34" t="str">
        <v/>
      </c>
      <c r="AJ65" s="34" t="str">
        <v>QF34</v>
      </c>
      <c r="AK65" s="34">
        <v>3</v>
      </c>
      <c r="AL65" s="34" t="str">
        <v>НБ-4</v>
      </c>
      <c r="AM65" s="34">
        <v>0</v>
      </c>
      <c r="AN65" s="34">
        <v>0</v>
      </c>
      <c r="AO65" s="34">
        <v>16</v>
      </c>
      <c r="AP65" s="34">
        <v>32</v>
      </c>
      <c r="AQ65" s="34">
        <v>16</v>
      </c>
      <c r="AR65" s="34">
        <v>3</v>
      </c>
      <c r="AS65" s="34">
        <v>0</v>
      </c>
      <c r="AT65" s="34" t="str">
        <v>3P</v>
      </c>
      <c r="AU65" s="34">
        <v>16</v>
      </c>
      <c r="AV65" s="34" t="str">
        <v/>
      </c>
      <c r="AW65" s="34" t="str">
        <v/>
      </c>
      <c r="AX65" s="34" t="str">
        <v/>
      </c>
      <c r="AY65" s="34">
        <v>1</v>
      </c>
      <c r="AZ65" s="34" t="str">
        <v/>
      </c>
      <c r="BA65" s="34">
        <v>0</v>
      </c>
      <c r="BB65" s="34">
        <v>0</v>
      </c>
      <c r="BD65" s="34">
        <v>1</v>
      </c>
      <c r="BE65" s="34">
        <v>0</v>
      </c>
      <c r="BF65" s="34">
        <v>0</v>
      </c>
      <c r="BG65" s="34" t="str">
        <v/>
      </c>
      <c r="BH65" s="34" t="str">
        <v/>
      </c>
      <c r="BI65" s="34" t="str">
        <v/>
      </c>
      <c r="BJ65" s="34" t="str">
        <v/>
      </c>
      <c r="BK65" s="34" t="str">
        <v>MOTOR</v>
      </c>
      <c r="BL65" s="34">
        <v>1</v>
      </c>
      <c r="BM65" s="34" t="str">
        <v/>
      </c>
      <c r="BN65" s="34" t="str">
        <v/>
      </c>
      <c r="BO65" s="34" t="str">
        <v/>
      </c>
      <c r="BP65" s="34" t="str">
        <v/>
      </c>
      <c r="BQ65" s="34" t="str">
        <v>5х4</v>
      </c>
      <c r="BR65" s="34" t="str">
        <v/>
      </c>
      <c r="BS65" s="34" t="str">
        <v/>
      </c>
      <c r="BT65" s="34" t="str">
        <v/>
      </c>
      <c r="BU65" s="34">
        <v>0</v>
      </c>
      <c r="BV65" s="34">
        <v>85</v>
      </c>
      <c r="BW65" s="34">
        <v>1</v>
      </c>
      <c r="BX65" s="34">
        <v>2</v>
      </c>
      <c r="BY65" s="34" t="str">
        <v>Привод (двигатель)</v>
      </c>
      <c r="BZ65">
        <v>4</v>
      </c>
      <c r="CA65" t="str">
        <v>линии</v>
      </c>
    </row>
    <row r="66" spans="1:79" x14ac:dyDescent="0.3">
      <c r="A66" s="39" t="str">
        <v>ЩОВ-002</v>
      </c>
      <c r="B66" s="42">
        <v>2</v>
      </c>
      <c r="C66" s="42">
        <v>1</v>
      </c>
      <c r="D66" s="75" t="str">
        <v/>
      </c>
      <c r="E66" s="75" t="str">
        <v>авто</v>
      </c>
      <c r="F66" s="76" t="str">
        <v/>
      </c>
      <c r="G66" s="47" t="str">
        <v/>
      </c>
      <c r="H66" s="47" t="str">
        <v>3P С16А</v>
      </c>
      <c r="I66" s="75" t="str">
        <v/>
      </c>
      <c r="J66" s="76" t="str">
        <v/>
      </c>
      <c r="K66" s="76" t="str">
        <v/>
      </c>
      <c r="L66" s="75" t="str">
        <v/>
      </c>
      <c r="M66" s="49" t="str">
        <v/>
      </c>
      <c r="N66" s="76" t="str">
        <v/>
      </c>
      <c r="O66" s="49" t="str">
        <v/>
      </c>
      <c r="P66" s="77" t="str">
        <v/>
      </c>
      <c r="Q66" s="53" t="str">
        <v>ВВГнг(А)-LS (5х4) L=34-0,55%</v>
      </c>
      <c r="R66" s="54" t="str">
        <v>Ввод.1</v>
      </c>
      <c r="S66" s="55" t="str">
        <v>Ввод</v>
      </c>
      <c r="T66" s="56">
        <v>6.99</v>
      </c>
      <c r="U66" s="56">
        <v>8.1199999999999992</v>
      </c>
      <c r="V66" s="42" t="str">
        <v>L1,L2,L3</v>
      </c>
      <c r="W66" s="57" t="str">
        <v>ok</v>
      </c>
      <c r="X66" s="58" t="str">
        <v/>
      </c>
      <c r="Y66" s="75" t="str">
        <v>вручную</v>
      </c>
      <c r="Z66" s="59">
        <v>8.1189881604791125</v>
      </c>
      <c r="AA66" s="61">
        <v>10</v>
      </c>
      <c r="AB66" s="61">
        <v>32</v>
      </c>
      <c r="AC66" s="61" t="str">
        <v/>
      </c>
      <c r="AD66" s="62" t="str">
        <v/>
      </c>
      <c r="AE66" s="62" t="str">
        <v/>
      </c>
      <c r="AF66" s="34" t="str">
        <v/>
      </c>
      <c r="AG66" s="34" t="str">
        <v/>
      </c>
      <c r="AH66" s="34" t="str">
        <v/>
      </c>
      <c r="AI66" s="34" t="str">
        <v/>
      </c>
      <c r="AJ66" s="34" t="str">
        <v/>
      </c>
      <c r="AK66" s="34">
        <v>3</v>
      </c>
      <c r="AL66" s="34" t="str">
        <v>Ввод</v>
      </c>
      <c r="AM66" s="34">
        <v>0</v>
      </c>
      <c r="AN66" s="34">
        <v>0</v>
      </c>
      <c r="AO66" s="34">
        <v>10</v>
      </c>
      <c r="AP66" s="34">
        <v>32</v>
      </c>
      <c r="AQ66" s="34">
        <v>16</v>
      </c>
      <c r="AR66" s="34">
        <v>3</v>
      </c>
      <c r="AS66" s="34">
        <v>0</v>
      </c>
      <c r="AT66" s="34" t="str">
        <v>3P</v>
      </c>
      <c r="AU66" s="34">
        <v>16</v>
      </c>
      <c r="AV66" s="34" t="str">
        <v/>
      </c>
      <c r="AW66" s="34" t="str">
        <v/>
      </c>
      <c r="AX66" s="34" t="str">
        <v/>
      </c>
      <c r="AY66" s="34">
        <v>0</v>
      </c>
      <c r="AZ66" s="34" t="str">
        <v/>
      </c>
      <c r="BA66" s="34">
        <v>0</v>
      </c>
      <c r="BB66" s="34">
        <v>0</v>
      </c>
      <c r="BD66" s="34">
        <v>0</v>
      </c>
      <c r="BE66" s="34">
        <v>0</v>
      </c>
      <c r="BF66" s="34">
        <v>0</v>
      </c>
      <c r="BG66" s="34" t="str">
        <v/>
      </c>
      <c r="BH66" s="34" t="str">
        <v/>
      </c>
      <c r="BI66" s="34" t="str">
        <v/>
      </c>
      <c r="BJ66" s="34" t="str">
        <v/>
      </c>
      <c r="BK66" s="34" t="str">
        <v>BOX</v>
      </c>
      <c r="BL66" s="34">
        <v>1</v>
      </c>
      <c r="BM66" s="34" t="str">
        <v/>
      </c>
      <c r="BN66" s="34" t="str">
        <v/>
      </c>
      <c r="BO66" s="34" t="str">
        <v/>
      </c>
      <c r="BP66" s="34" t="str">
        <v/>
      </c>
      <c r="BQ66" s="34" t="str">
        <v/>
      </c>
      <c r="BR66" s="34" t="str">
        <v/>
      </c>
      <c r="BS66" s="34" t="str">
        <v/>
      </c>
      <c r="BT66" s="34" t="str">
        <v/>
      </c>
      <c r="BU66" s="34">
        <v>0</v>
      </c>
      <c r="BV66" s="34">
        <v>86</v>
      </c>
      <c r="BW66" s="34">
        <v>0</v>
      </c>
      <c r="BX66" s="34">
        <v>0</v>
      </c>
      <c r="BY66" s="34">
        <v>0</v>
      </c>
      <c r="BZ66">
        <v>5</v>
      </c>
      <c r="CA66" t="str">
        <v>вводной узел</v>
      </c>
    </row>
    <row r="67" spans="1:79" x14ac:dyDescent="0.3">
      <c r="A67" s="39" t="str">
        <v>ЩОВ-002</v>
      </c>
      <c r="B67" s="42">
        <v>19</v>
      </c>
      <c r="C67" s="42">
        <v>2</v>
      </c>
      <c r="D67" s="75" t="str">
        <v/>
      </c>
      <c r="E67" s="75" t="str">
        <v>авто</v>
      </c>
      <c r="F67" s="76" t="str">
        <v/>
      </c>
      <c r="G67" s="47" t="str">
        <v>QF1</v>
      </c>
      <c r="H67" s="47" t="str">
        <v>1P С10А</v>
      </c>
      <c r="I67" s="75" t="str">
        <v/>
      </c>
      <c r="J67" s="76" t="str">
        <v/>
      </c>
      <c r="K67" s="76" t="str">
        <v/>
      </c>
      <c r="L67" s="75" t="str">
        <v/>
      </c>
      <c r="M67" s="49" t="str">
        <v/>
      </c>
      <c r="N67" s="76" t="str">
        <v/>
      </c>
      <c r="O67" s="49" t="str">
        <v/>
      </c>
      <c r="P67" s="77" t="str">
        <v/>
      </c>
      <c r="Q67" s="53" t="str">
        <v>ВВГнг(А)-LS (3х1,5) L=23-0,72%</v>
      </c>
      <c r="R67" s="54" t="str">
        <v>В.7</v>
      </c>
      <c r="S67" s="55" t="str">
        <v>Вытяжная установка Шлейф Подвальный этаж Пом. №003Т</v>
      </c>
      <c r="T67" s="56">
        <v>0.55000000000000004</v>
      </c>
      <c r="U67" s="56">
        <v>2.98</v>
      </c>
      <c r="V67" s="42" t="str">
        <v>L1</v>
      </c>
      <c r="W67" s="57" t="str">
        <v>ok</v>
      </c>
      <c r="X67" s="58" t="str">
        <v/>
      </c>
      <c r="Y67" s="75" t="str">
        <v/>
      </c>
      <c r="Z67" s="59">
        <v>2.9769623255090076</v>
      </c>
      <c r="AA67" s="61">
        <v>6</v>
      </c>
      <c r="AB67" s="61">
        <v>16</v>
      </c>
      <c r="AC67" s="61" t="str">
        <v/>
      </c>
      <c r="AD67" s="62" t="str">
        <v>QF1</v>
      </c>
      <c r="AE67" s="62" t="str">
        <v/>
      </c>
      <c r="AF67" s="34">
        <v>1</v>
      </c>
      <c r="AG67" s="34" t="str">
        <v>QF1</v>
      </c>
      <c r="AH67" s="34" t="str">
        <v/>
      </c>
      <c r="AI67" s="34" t="str">
        <v/>
      </c>
      <c r="AJ67" s="34" t="str">
        <v>QF1</v>
      </c>
      <c r="AK67" s="34">
        <v>1</v>
      </c>
      <c r="AL67" s="34" t="str">
        <v>В</v>
      </c>
      <c r="AM67" s="34">
        <v>0</v>
      </c>
      <c r="AN67" s="34">
        <v>0</v>
      </c>
      <c r="AO67" s="34">
        <v>6</v>
      </c>
      <c r="AP67" s="34">
        <v>16</v>
      </c>
      <c r="AQ67" s="34">
        <v>10</v>
      </c>
      <c r="AR67" s="34">
        <v>1</v>
      </c>
      <c r="AS67" s="34">
        <v>0</v>
      </c>
      <c r="AT67" s="34" t="str">
        <v>1P</v>
      </c>
      <c r="AU67" s="34">
        <v>10</v>
      </c>
      <c r="AV67" s="34" t="str">
        <v/>
      </c>
      <c r="AW67" s="34" t="str">
        <v/>
      </c>
      <c r="AX67" s="34" t="str">
        <v/>
      </c>
      <c r="AY67" s="34">
        <v>1</v>
      </c>
      <c r="AZ67" s="34" t="str">
        <v/>
      </c>
      <c r="BA67" s="34">
        <v>0</v>
      </c>
      <c r="BB67" s="34">
        <v>0</v>
      </c>
      <c r="BD67" s="34">
        <v>1</v>
      </c>
      <c r="BE67" s="34">
        <v>0</v>
      </c>
      <c r="BF67" s="34">
        <v>0</v>
      </c>
      <c r="BG67" s="34" t="str">
        <v/>
      </c>
      <c r="BH67" s="34" t="str">
        <v/>
      </c>
      <c r="BI67" s="34" t="str">
        <v/>
      </c>
      <c r="BJ67" s="34" t="str">
        <v/>
      </c>
      <c r="BK67" s="34" t="str">
        <v>MOTOR</v>
      </c>
      <c r="BL67" s="34">
        <v>1</v>
      </c>
      <c r="BM67" s="34" t="str">
        <v/>
      </c>
      <c r="BN67" s="34" t="str">
        <v/>
      </c>
      <c r="BO67" s="34" t="str">
        <v/>
      </c>
      <c r="BP67" s="34" t="str">
        <v/>
      </c>
      <c r="BQ67" s="34" t="str">
        <v>3х1,5</v>
      </c>
      <c r="BR67" s="34" t="str">
        <v/>
      </c>
      <c r="BS67" s="34" t="str">
        <v/>
      </c>
      <c r="BT67" s="34" t="str">
        <v/>
      </c>
      <c r="BU67" s="34">
        <v>0</v>
      </c>
      <c r="BV67" s="34">
        <v>87</v>
      </c>
      <c r="BW67" s="34">
        <v>1</v>
      </c>
      <c r="BX67" s="34">
        <v>0</v>
      </c>
      <c r="BY67" s="34" t="str">
        <v>Привод (двигатель)</v>
      </c>
      <c r="BZ67">
        <v>5</v>
      </c>
      <c r="CA67" t="str">
        <v>линии</v>
      </c>
    </row>
    <row r="68" spans="1:79" x14ac:dyDescent="0.3">
      <c r="A68" s="39" t="str">
        <v>ЩОВ-002</v>
      </c>
      <c r="B68" s="42">
        <v>20</v>
      </c>
      <c r="C68" s="42">
        <v>2</v>
      </c>
      <c r="D68" s="75" t="str">
        <v/>
      </c>
      <c r="E68" s="75" t="str">
        <v>авто</v>
      </c>
      <c r="F68" s="76" t="str">
        <v/>
      </c>
      <c r="G68" s="47" t="str">
        <v>QF2</v>
      </c>
      <c r="H68" s="47" t="str">
        <v>1P С16А</v>
      </c>
      <c r="I68" s="75" t="str">
        <v/>
      </c>
      <c r="J68" s="76" t="str">
        <v/>
      </c>
      <c r="K68" s="76" t="str">
        <v/>
      </c>
      <c r="L68" s="75" t="str">
        <v/>
      </c>
      <c r="M68" s="49" t="str">
        <v/>
      </c>
      <c r="N68" s="76" t="str">
        <v/>
      </c>
      <c r="O68" s="49" t="str">
        <v/>
      </c>
      <c r="P68" s="77" t="str">
        <v>XT2</v>
      </c>
      <c r="Q68" s="53" t="str">
        <v>ВВГнг(А)-LS (3х2,5) L=19-1,36%</v>
      </c>
      <c r="R68" s="54" t="str">
        <v>ПВ.1</v>
      </c>
      <c r="S68" s="55" t="str">
        <v>Приточно-вытяжная установка Подвальный этаж Пом. №003Т</v>
      </c>
      <c r="T68" s="56">
        <v>2.1</v>
      </c>
      <c r="U68" s="56">
        <v>11.37</v>
      </c>
      <c r="V68" s="42" t="str">
        <v>L2</v>
      </c>
      <c r="W68" s="57" t="str">
        <v>ok</v>
      </c>
      <c r="X68" s="58" t="str">
        <v/>
      </c>
      <c r="Y68" s="75" t="str">
        <v/>
      </c>
      <c r="Z68" s="59">
        <v>11.366583424670756</v>
      </c>
      <c r="AA68" s="61">
        <v>16</v>
      </c>
      <c r="AB68" s="61">
        <v>25</v>
      </c>
      <c r="AC68" s="61" t="str">
        <v/>
      </c>
      <c r="AD68" s="62" t="str">
        <v>QF2 → XT2</v>
      </c>
      <c r="AE68" s="62" t="str">
        <v/>
      </c>
      <c r="AF68" s="34">
        <v>2</v>
      </c>
      <c r="AG68" s="34" t="str">
        <v>QF2</v>
      </c>
      <c r="AH68" s="34" t="str">
        <v/>
      </c>
      <c r="AI68" s="34" t="str">
        <v/>
      </c>
      <c r="AJ68" s="34" t="str">
        <v>QF2</v>
      </c>
      <c r="AK68" s="34">
        <v>1</v>
      </c>
      <c r="AL68" s="34" t="str">
        <v>ПВ</v>
      </c>
      <c r="AM68" s="34">
        <v>0</v>
      </c>
      <c r="AN68" s="34">
        <v>0</v>
      </c>
      <c r="AO68" s="34">
        <v>16</v>
      </c>
      <c r="AP68" s="34">
        <v>25</v>
      </c>
      <c r="AQ68" s="34">
        <v>16</v>
      </c>
      <c r="AR68" s="34">
        <v>1</v>
      </c>
      <c r="AS68" s="34">
        <v>0</v>
      </c>
      <c r="AT68" s="34" t="str">
        <v>1P</v>
      </c>
      <c r="AU68" s="34">
        <v>16</v>
      </c>
      <c r="AV68" s="34" t="str">
        <v/>
      </c>
      <c r="AW68" s="34" t="str">
        <v/>
      </c>
      <c r="AX68" s="34" t="str">
        <v/>
      </c>
      <c r="AY68" s="34">
        <v>1</v>
      </c>
      <c r="AZ68" s="34" t="str">
        <v/>
      </c>
      <c r="BA68" s="34">
        <v>0</v>
      </c>
      <c r="BB68" s="34">
        <v>0</v>
      </c>
      <c r="BD68" s="34">
        <v>1</v>
      </c>
      <c r="BE68" s="34">
        <v>0</v>
      </c>
      <c r="BF68" s="34">
        <v>0</v>
      </c>
      <c r="BG68" s="34" t="str">
        <v/>
      </c>
      <c r="BH68" s="34" t="str">
        <v/>
      </c>
      <c r="BI68" s="34" t="str">
        <v/>
      </c>
      <c r="BJ68" s="34" t="str">
        <v/>
      </c>
      <c r="BK68" s="34" t="str">
        <v>MOTOR</v>
      </c>
      <c r="BL68" s="34">
        <v>1</v>
      </c>
      <c r="BM68" s="34" t="str">
        <v/>
      </c>
      <c r="BN68" s="34" t="str">
        <v/>
      </c>
      <c r="BO68" s="34" t="str">
        <v/>
      </c>
      <c r="BP68" s="34" t="str">
        <v/>
      </c>
      <c r="BQ68" s="34" t="str">
        <v>3х2,5</v>
      </c>
      <c r="BR68" s="34" t="str">
        <v/>
      </c>
      <c r="BS68" s="34" t="str">
        <v/>
      </c>
      <c r="BT68" s="34" t="str">
        <v/>
      </c>
      <c r="BU68" s="34">
        <v>0</v>
      </c>
      <c r="BV68" s="34">
        <v>88</v>
      </c>
      <c r="BW68" s="34">
        <v>1</v>
      </c>
      <c r="BX68" s="34">
        <v>0</v>
      </c>
      <c r="BY68" s="34" t="str">
        <v>Привод (двигатель)</v>
      </c>
      <c r="BZ68">
        <v>5</v>
      </c>
      <c r="CA68" t="str">
        <v>линии</v>
      </c>
    </row>
    <row r="69" spans="1:79" x14ac:dyDescent="0.3">
      <c r="A69" s="39" t="str">
        <v>ЩОВ-002</v>
      </c>
      <c r="B69" s="42">
        <v>21</v>
      </c>
      <c r="C69" s="42">
        <v>2</v>
      </c>
      <c r="D69" s="75" t="str">
        <v/>
      </c>
      <c r="E69" s="75" t="str">
        <v>авто</v>
      </c>
      <c r="F69" s="76" t="str">
        <v/>
      </c>
      <c r="G69" s="47" t="str">
        <v>QF3</v>
      </c>
      <c r="H69" s="47" t="str">
        <v>1P С10А</v>
      </c>
      <c r="I69" s="75" t="str">
        <v/>
      </c>
      <c r="J69" s="76" t="str">
        <v/>
      </c>
      <c r="K69" s="76" t="str">
        <v/>
      </c>
      <c r="L69" s="75" t="str">
        <v/>
      </c>
      <c r="M69" s="49" t="str">
        <v/>
      </c>
      <c r="N69" s="76" t="str">
        <v/>
      </c>
      <c r="O69" s="49" t="str">
        <v/>
      </c>
      <c r="P69" s="77" t="str">
        <v/>
      </c>
      <c r="Q69" s="53" t="str">
        <v>ВВГнг(А)-LS (3х1,5) L=16-0,32%</v>
      </c>
      <c r="R69" s="54" t="str">
        <v>ПВ.К</v>
      </c>
      <c r="S69" s="55" t="str">
        <v>Приточно-вытяжная установка Подвальный этаж Пом. №003Т</v>
      </c>
      <c r="T69" s="56">
        <v>0.35</v>
      </c>
      <c r="U69" s="56">
        <v>1.9</v>
      </c>
      <c r="V69" s="42" t="str">
        <v>L1</v>
      </c>
      <c r="W69" s="57" t="str">
        <v>ok</v>
      </c>
      <c r="X69" s="58" t="str">
        <v/>
      </c>
      <c r="Y69" s="75" t="str">
        <v/>
      </c>
      <c r="Z69" s="59">
        <v>1.894430570778459</v>
      </c>
      <c r="AA69" s="61">
        <v>6</v>
      </c>
      <c r="AB69" s="61">
        <v>16</v>
      </c>
      <c r="AC69" s="61" t="str">
        <v/>
      </c>
      <c r="AD69" s="62" t="str">
        <v>QF3</v>
      </c>
      <c r="AE69" s="62" t="str">
        <v/>
      </c>
      <c r="AF69" s="34">
        <v>3</v>
      </c>
      <c r="AG69" s="34" t="str">
        <v>QF3</v>
      </c>
      <c r="AH69" s="34" t="str">
        <v/>
      </c>
      <c r="AI69" s="34" t="str">
        <v/>
      </c>
      <c r="AJ69" s="34" t="str">
        <v>QF3</v>
      </c>
      <c r="AK69" s="34">
        <v>1</v>
      </c>
      <c r="AL69" s="34" t="str">
        <v>ПВ</v>
      </c>
      <c r="AM69" s="34">
        <v>0</v>
      </c>
      <c r="AN69" s="34">
        <v>0</v>
      </c>
      <c r="AO69" s="34">
        <v>6</v>
      </c>
      <c r="AP69" s="34">
        <v>16</v>
      </c>
      <c r="AQ69" s="34">
        <v>10</v>
      </c>
      <c r="AR69" s="34">
        <v>1</v>
      </c>
      <c r="AS69" s="34">
        <v>0</v>
      </c>
      <c r="AT69" s="34" t="str">
        <v>1P</v>
      </c>
      <c r="AU69" s="34">
        <v>10</v>
      </c>
      <c r="AV69" s="34" t="str">
        <v/>
      </c>
      <c r="AW69" s="34" t="str">
        <v/>
      </c>
      <c r="AX69" s="34" t="str">
        <v/>
      </c>
      <c r="AY69" s="34">
        <v>1</v>
      </c>
      <c r="AZ69" s="34" t="str">
        <v/>
      </c>
      <c r="BA69" s="34">
        <v>0</v>
      </c>
      <c r="BB69" s="34">
        <v>0</v>
      </c>
      <c r="BD69" s="34">
        <v>1</v>
      </c>
      <c r="BE69" s="34">
        <v>0</v>
      </c>
      <c r="BF69" s="34">
        <v>0</v>
      </c>
      <c r="BG69" s="34" t="str">
        <v/>
      </c>
      <c r="BH69" s="34" t="str">
        <v/>
      </c>
      <c r="BI69" s="34" t="str">
        <v/>
      </c>
      <c r="BJ69" s="34" t="str">
        <v/>
      </c>
      <c r="BK69" s="34" t="str">
        <v>MOTOR</v>
      </c>
      <c r="BL69" s="34">
        <v>1</v>
      </c>
      <c r="BM69" s="34" t="str">
        <v/>
      </c>
      <c r="BN69" s="34" t="str">
        <v/>
      </c>
      <c r="BO69" s="34" t="str">
        <v/>
      </c>
      <c r="BP69" s="34" t="str">
        <v/>
      </c>
      <c r="BQ69" s="34" t="str">
        <v>3х1,5</v>
      </c>
      <c r="BR69" s="34" t="str">
        <v/>
      </c>
      <c r="BS69" s="34" t="str">
        <v/>
      </c>
      <c r="BT69" s="34" t="str">
        <v/>
      </c>
      <c r="BU69" s="34">
        <v>0</v>
      </c>
      <c r="BV69" s="34">
        <v>89</v>
      </c>
      <c r="BW69" s="34">
        <v>1</v>
      </c>
      <c r="BX69" s="34">
        <v>0</v>
      </c>
      <c r="BY69" s="34" t="str">
        <v>Привод (двигатель)</v>
      </c>
      <c r="BZ69">
        <v>5</v>
      </c>
      <c r="CA69" t="str">
        <v>линии</v>
      </c>
    </row>
    <row r="70" spans="1:79" x14ac:dyDescent="0.3">
      <c r="A70" s="39" t="str">
        <v>ЩОВ-002</v>
      </c>
      <c r="B70" s="42">
        <v>22</v>
      </c>
      <c r="C70" s="42">
        <v>2</v>
      </c>
      <c r="D70" s="75" t="str">
        <v/>
      </c>
      <c r="E70" s="75" t="str">
        <v>авто</v>
      </c>
      <c r="F70" s="76" t="str">
        <v/>
      </c>
      <c r="G70" s="47" t="str">
        <v>QF4</v>
      </c>
      <c r="H70" s="47" t="str">
        <v>1P С16А</v>
      </c>
      <c r="I70" s="75" t="str">
        <v/>
      </c>
      <c r="J70" s="76" t="str">
        <v/>
      </c>
      <c r="K70" s="76" t="str">
        <v/>
      </c>
      <c r="L70" s="75" t="str">
        <v/>
      </c>
      <c r="M70" s="49" t="str">
        <v/>
      </c>
      <c r="N70" s="76" t="str">
        <v/>
      </c>
      <c r="O70" s="49" t="str">
        <v/>
      </c>
      <c r="P70" s="77" t="str">
        <v/>
      </c>
      <c r="Q70" s="53" t="str">
        <v>ВВГнг(А)-LS (3х4) L=33-2,12%</v>
      </c>
      <c r="R70" s="54" t="str">
        <v>ПВ.10</v>
      </c>
      <c r="S70" s="55" t="str">
        <v>Приточно-вытяжная установка Подвальный этаж Пом. №005Т</v>
      </c>
      <c r="T70" s="56">
        <v>3</v>
      </c>
      <c r="U70" s="56">
        <v>16.240000000000002</v>
      </c>
      <c r="V70" s="42" t="str">
        <v>L3</v>
      </c>
      <c r="W70" s="57" t="str">
        <v>ПЕРЕГРУЗ</v>
      </c>
      <c r="X70" s="58" t="str">
        <v/>
      </c>
      <c r="Y70" s="75" t="str">
        <v/>
      </c>
      <c r="Z70" s="59">
        <v>16.237976320958222</v>
      </c>
      <c r="AA70" s="61">
        <v>20</v>
      </c>
      <c r="AB70" s="61">
        <v>32</v>
      </c>
      <c r="AC70" s="61" t="str">
        <v/>
      </c>
      <c r="AD70" s="62" t="str">
        <v>QF4</v>
      </c>
      <c r="AE70" s="62" t="str">
        <v>ПЕРЕГРУЗ</v>
      </c>
      <c r="AF70" s="34">
        <v>4</v>
      </c>
      <c r="AG70" s="34" t="str">
        <v>QF4</v>
      </c>
      <c r="AH70" s="34" t="str">
        <v/>
      </c>
      <c r="AI70" s="34" t="str">
        <v/>
      </c>
      <c r="AJ70" s="34" t="str">
        <v>QF4</v>
      </c>
      <c r="AK70" s="34">
        <v>1</v>
      </c>
      <c r="AL70" s="34" t="str">
        <v>ПВ</v>
      </c>
      <c r="AM70" s="34">
        <v>0</v>
      </c>
      <c r="AN70" s="34">
        <v>0</v>
      </c>
      <c r="AO70" s="34">
        <v>20</v>
      </c>
      <c r="AP70" s="34">
        <v>32</v>
      </c>
      <c r="AQ70" s="34">
        <v>16</v>
      </c>
      <c r="AR70" s="34">
        <v>1</v>
      </c>
      <c r="AS70" s="34">
        <v>0</v>
      </c>
      <c r="AT70" s="34" t="str">
        <v>1P</v>
      </c>
      <c r="AU70" s="34">
        <v>16</v>
      </c>
      <c r="AV70" s="34" t="str">
        <v/>
      </c>
      <c r="AW70" s="34" t="str">
        <v/>
      </c>
      <c r="AX70" s="34" t="str">
        <v/>
      </c>
      <c r="AY70" s="34">
        <v>1</v>
      </c>
      <c r="AZ70" s="34" t="str">
        <v/>
      </c>
      <c r="BA70" s="34">
        <v>0</v>
      </c>
      <c r="BB70" s="34">
        <v>0</v>
      </c>
      <c r="BD70" s="34">
        <v>1</v>
      </c>
      <c r="BE70" s="34">
        <v>0</v>
      </c>
      <c r="BF70" s="34">
        <v>0</v>
      </c>
      <c r="BG70" s="34" t="str">
        <v/>
      </c>
      <c r="BH70" s="34" t="str">
        <v/>
      </c>
      <c r="BI70" s="34" t="str">
        <v/>
      </c>
      <c r="BJ70" s="34" t="str">
        <v/>
      </c>
      <c r="BK70" s="34" t="str">
        <v>MOTOR</v>
      </c>
      <c r="BL70" s="34">
        <v>1</v>
      </c>
      <c r="BM70" s="34" t="str">
        <v/>
      </c>
      <c r="BN70" s="34" t="str">
        <v/>
      </c>
      <c r="BO70" s="34" t="str">
        <v/>
      </c>
      <c r="BP70" s="34" t="str">
        <v/>
      </c>
      <c r="BQ70" s="34" t="str">
        <v>3х4</v>
      </c>
      <c r="BR70" s="34" t="str">
        <v/>
      </c>
      <c r="BS70" s="34" t="str">
        <v/>
      </c>
      <c r="BT70" s="34" t="str">
        <v/>
      </c>
      <c r="BU70" s="34">
        <v>2</v>
      </c>
      <c r="BV70" s="34">
        <v>90</v>
      </c>
      <c r="BW70" s="34">
        <v>1</v>
      </c>
      <c r="BX70" s="34">
        <v>0</v>
      </c>
      <c r="BY70" s="34" t="str">
        <v>Привод (двигатель)</v>
      </c>
      <c r="BZ70">
        <v>5</v>
      </c>
      <c r="CA70" t="str">
        <v>линии</v>
      </c>
    </row>
    <row r="71" spans="1:79" x14ac:dyDescent="0.3">
      <c r="A71" s="39" t="str">
        <v>ЩОВ-002</v>
      </c>
      <c r="B71" s="42">
        <v>23</v>
      </c>
      <c r="C71" s="42">
        <v>2</v>
      </c>
      <c r="D71" s="75" t="str">
        <v/>
      </c>
      <c r="E71" s="75" t="str">
        <v>авто</v>
      </c>
      <c r="F71" s="76" t="str">
        <v/>
      </c>
      <c r="G71" s="47" t="str">
        <v>QF5</v>
      </c>
      <c r="H71" s="47" t="str">
        <v>1P С10А</v>
      </c>
      <c r="I71" s="75" t="str">
        <v/>
      </c>
      <c r="J71" s="76" t="str">
        <v/>
      </c>
      <c r="K71" s="76" t="str">
        <v/>
      </c>
      <c r="L71" s="75" t="str">
        <v/>
      </c>
      <c r="M71" s="49" t="str">
        <v/>
      </c>
      <c r="N71" s="76" t="str">
        <v/>
      </c>
      <c r="O71" s="49" t="str">
        <v/>
      </c>
      <c r="P71" s="77" t="str">
        <v/>
      </c>
      <c r="Q71" s="53" t="str">
        <v>ВВГнг(А)-LS (3х1,5) L=22-0,19%</v>
      </c>
      <c r="R71" s="54" t="str">
        <v>K.0.002A</v>
      </c>
      <c r="S71" s="55" t="str">
        <v>Внутренний блок кондиционирования Подвальный этаж Пом. №005Т</v>
      </c>
      <c r="T71" s="56">
        <v>0.151</v>
      </c>
      <c r="U71" s="56">
        <v>0.82000000000000006</v>
      </c>
      <c r="V71" s="42" t="str">
        <v>L1</v>
      </c>
      <c r="W71" s="57" t="str">
        <v>ok</v>
      </c>
      <c r="X71" s="58" t="str">
        <v/>
      </c>
      <c r="Y71" s="75" t="str">
        <v/>
      </c>
      <c r="Z71" s="59">
        <v>0.81731147482156374</v>
      </c>
      <c r="AA71" s="61">
        <v>6</v>
      </c>
      <c r="AB71" s="61">
        <v>16</v>
      </c>
      <c r="AC71" s="61" t="str">
        <v/>
      </c>
      <c r="AD71" s="62" t="str">
        <v>QF5</v>
      </c>
      <c r="AE71" s="62" t="str">
        <v/>
      </c>
      <c r="AF71" s="34">
        <v>5</v>
      </c>
      <c r="AG71" s="34" t="str">
        <v>QF5</v>
      </c>
      <c r="AH71" s="34" t="str">
        <v/>
      </c>
      <c r="AI71" s="34" t="str">
        <v/>
      </c>
      <c r="AJ71" s="34" t="str">
        <v>QF5</v>
      </c>
      <c r="AK71" s="34">
        <v>1</v>
      </c>
      <c r="AL71" s="34" t="str">
        <v>K</v>
      </c>
      <c r="AM71" s="34">
        <v>0</v>
      </c>
      <c r="AN71" s="34">
        <v>0</v>
      </c>
      <c r="AO71" s="34">
        <v>6</v>
      </c>
      <c r="AP71" s="34">
        <v>16</v>
      </c>
      <c r="AQ71" s="34">
        <v>10</v>
      </c>
      <c r="AR71" s="34">
        <v>1</v>
      </c>
      <c r="AS71" s="34">
        <v>0</v>
      </c>
      <c r="AT71" s="34" t="str">
        <v>1P</v>
      </c>
      <c r="AU71" s="34">
        <v>10</v>
      </c>
      <c r="AV71" s="34" t="str">
        <v/>
      </c>
      <c r="AW71" s="34" t="str">
        <v/>
      </c>
      <c r="AX71" s="34" t="str">
        <v/>
      </c>
      <c r="AY71" s="34">
        <v>1</v>
      </c>
      <c r="AZ71" s="34" t="str">
        <v/>
      </c>
      <c r="BA71" s="34">
        <v>0</v>
      </c>
      <c r="BB71" s="34">
        <v>0</v>
      </c>
      <c r="BD71" s="34">
        <v>1</v>
      </c>
      <c r="BE71" s="34">
        <v>0</v>
      </c>
      <c r="BF71" s="34">
        <v>0</v>
      </c>
      <c r="BG71" s="34" t="str">
        <v/>
      </c>
      <c r="BH71" s="34" t="str">
        <v/>
      </c>
      <c r="BI71" s="34" t="str">
        <v/>
      </c>
      <c r="BJ71" s="34" t="str">
        <v/>
      </c>
      <c r="BK71" s="34" t="str">
        <v>BOX</v>
      </c>
      <c r="BL71" s="34">
        <v>1</v>
      </c>
      <c r="BM71" s="34" t="str">
        <v/>
      </c>
      <c r="BN71" s="34" t="str">
        <v/>
      </c>
      <c r="BO71" s="34" t="str">
        <v/>
      </c>
      <c r="BP71" s="34" t="str">
        <v/>
      </c>
      <c r="BQ71" s="34" t="str">
        <v>3х1,5</v>
      </c>
      <c r="BR71" s="34" t="str">
        <v/>
      </c>
      <c r="BS71" s="34" t="str">
        <v/>
      </c>
      <c r="BT71" s="34" t="str">
        <v/>
      </c>
      <c r="BU71" s="34">
        <v>0</v>
      </c>
      <c r="BV71" s="34">
        <v>91</v>
      </c>
      <c r="BW71" s="34">
        <v>1</v>
      </c>
      <c r="BX71" s="34">
        <v>0</v>
      </c>
      <c r="BY71" s="34">
        <v>0</v>
      </c>
      <c r="BZ71">
        <v>5</v>
      </c>
      <c r="CA71" t="str">
        <v>линии</v>
      </c>
    </row>
    <row r="72" spans="1:79" x14ac:dyDescent="0.3">
      <c r="A72" s="39" t="str">
        <v>ЩОВ-002</v>
      </c>
      <c r="B72" s="42">
        <v>24</v>
      </c>
      <c r="C72" s="42">
        <v>2</v>
      </c>
      <c r="D72" s="75" t="str">
        <v/>
      </c>
      <c r="E72" s="75" t="str">
        <v>авто</v>
      </c>
      <c r="F72" s="76" t="str">
        <v/>
      </c>
      <c r="G72" s="47" t="str">
        <v>QF6</v>
      </c>
      <c r="H72" s="47" t="str">
        <v>1P С10А</v>
      </c>
      <c r="I72" s="75" t="str">
        <v/>
      </c>
      <c r="J72" s="76" t="str">
        <v/>
      </c>
      <c r="K72" s="76" t="str">
        <v/>
      </c>
      <c r="L72" s="75" t="str">
        <v/>
      </c>
      <c r="M72" s="49" t="str">
        <v/>
      </c>
      <c r="N72" s="76" t="str">
        <v/>
      </c>
      <c r="O72" s="49" t="str">
        <v/>
      </c>
      <c r="P72" s="77" t="str">
        <v/>
      </c>
      <c r="Q72" s="53" t="str">
        <v>ВВГнг(А)-LS (3х1,5) L=26-0,17%</v>
      </c>
      <c r="R72" s="54" t="str">
        <v>K.0.006A</v>
      </c>
      <c r="S72" s="55" t="str">
        <v>Внутренний блок кондиционирования Подвальный этаж Пом. №005Т</v>
      </c>
      <c r="T72" s="56">
        <v>0.111</v>
      </c>
      <c r="U72" s="56">
        <v>0.61</v>
      </c>
      <c r="V72" s="42" t="str">
        <v>L1</v>
      </c>
      <c r="W72" s="57" t="str">
        <v>ok</v>
      </c>
      <c r="X72" s="58" t="str">
        <v/>
      </c>
      <c r="Y72" s="75" t="str">
        <v/>
      </c>
      <c r="Z72" s="59">
        <v>0.60080512387545415</v>
      </c>
      <c r="AA72" s="61">
        <v>6</v>
      </c>
      <c r="AB72" s="61">
        <v>16</v>
      </c>
      <c r="AC72" s="61" t="str">
        <v/>
      </c>
      <c r="AD72" s="62" t="str">
        <v>QF6</v>
      </c>
      <c r="AE72" s="62" t="str">
        <v/>
      </c>
      <c r="AF72" s="34">
        <v>6</v>
      </c>
      <c r="AG72" s="34" t="str">
        <v>QF6</v>
      </c>
      <c r="AH72" s="34" t="str">
        <v/>
      </c>
      <c r="AI72" s="34" t="str">
        <v/>
      </c>
      <c r="AJ72" s="34" t="str">
        <v>QF6</v>
      </c>
      <c r="AK72" s="34">
        <v>1</v>
      </c>
      <c r="AL72" s="34" t="str">
        <v>K</v>
      </c>
      <c r="AM72" s="34">
        <v>0</v>
      </c>
      <c r="AN72" s="34">
        <v>0</v>
      </c>
      <c r="AO72" s="34">
        <v>6</v>
      </c>
      <c r="AP72" s="34">
        <v>16</v>
      </c>
      <c r="AQ72" s="34">
        <v>10</v>
      </c>
      <c r="AR72" s="34">
        <v>1</v>
      </c>
      <c r="AS72" s="34">
        <v>0</v>
      </c>
      <c r="AT72" s="34" t="str">
        <v>1P</v>
      </c>
      <c r="AU72" s="34">
        <v>10</v>
      </c>
      <c r="AV72" s="34" t="str">
        <v/>
      </c>
      <c r="AW72" s="34" t="str">
        <v/>
      </c>
      <c r="AX72" s="34" t="str">
        <v/>
      </c>
      <c r="AY72" s="34">
        <v>1</v>
      </c>
      <c r="AZ72" s="34" t="str">
        <v/>
      </c>
      <c r="BA72" s="34">
        <v>0</v>
      </c>
      <c r="BB72" s="34">
        <v>0</v>
      </c>
      <c r="BD72" s="34">
        <v>1</v>
      </c>
      <c r="BE72" s="34">
        <v>0</v>
      </c>
      <c r="BF72" s="34">
        <v>0</v>
      </c>
      <c r="BG72" s="34" t="str">
        <v/>
      </c>
      <c r="BH72" s="34" t="str">
        <v/>
      </c>
      <c r="BI72" s="34" t="str">
        <v/>
      </c>
      <c r="BJ72" s="34" t="str">
        <v/>
      </c>
      <c r="BK72" s="34" t="str">
        <v>BOX</v>
      </c>
      <c r="BL72" s="34">
        <v>1</v>
      </c>
      <c r="BM72" s="34" t="str">
        <v/>
      </c>
      <c r="BN72" s="34" t="str">
        <v/>
      </c>
      <c r="BO72" s="34" t="str">
        <v/>
      </c>
      <c r="BP72" s="34" t="str">
        <v/>
      </c>
      <c r="BQ72" s="34" t="str">
        <v>3х1,5</v>
      </c>
      <c r="BR72" s="34" t="str">
        <v/>
      </c>
      <c r="BS72" s="34" t="str">
        <v/>
      </c>
      <c r="BT72" s="34" t="str">
        <v/>
      </c>
      <c r="BU72" s="34">
        <v>0</v>
      </c>
      <c r="BV72" s="34">
        <v>92</v>
      </c>
      <c r="BW72" s="34">
        <v>1</v>
      </c>
      <c r="BX72" s="34">
        <v>0</v>
      </c>
      <c r="BY72" s="34">
        <v>0</v>
      </c>
      <c r="BZ72">
        <v>5</v>
      </c>
      <c r="CA72" t="str">
        <v>линии</v>
      </c>
    </row>
    <row r="73" spans="1:79" x14ac:dyDescent="0.3">
      <c r="A73" s="39" t="str">
        <v>ЩОВ-002</v>
      </c>
      <c r="B73" s="42">
        <v>25</v>
      </c>
      <c r="C73" s="42">
        <v>2</v>
      </c>
      <c r="D73" s="75" t="str">
        <v/>
      </c>
      <c r="E73" s="75" t="str">
        <v>авто</v>
      </c>
      <c r="F73" s="76" t="str">
        <v/>
      </c>
      <c r="G73" s="47" t="str">
        <v>QF7</v>
      </c>
      <c r="H73" s="47" t="str">
        <v>1P С10А</v>
      </c>
      <c r="I73" s="75" t="str">
        <v/>
      </c>
      <c r="J73" s="76" t="str">
        <v/>
      </c>
      <c r="K73" s="76" t="str">
        <v/>
      </c>
      <c r="L73" s="75" t="str">
        <v/>
      </c>
      <c r="M73" s="49" t="str">
        <v/>
      </c>
      <c r="N73" s="76" t="str">
        <v/>
      </c>
      <c r="O73" s="49" t="str">
        <v/>
      </c>
      <c r="P73" s="77" t="str">
        <v/>
      </c>
      <c r="Q73" s="53" t="str">
        <v>ВВГнг(А)-LS (3х1,5) L=27-0,16%</v>
      </c>
      <c r="R73" s="54" t="str">
        <v>K.00.001A</v>
      </c>
      <c r="S73" s="55" t="str">
        <v>Внутренний блок кондиционирования Подвальный этаж Пом. №005Т</v>
      </c>
      <c r="T73" s="56">
        <v>0.104</v>
      </c>
      <c r="U73" s="56">
        <v>0.57000000000000006</v>
      </c>
      <c r="V73" s="42" t="str">
        <v>L1</v>
      </c>
      <c r="W73" s="57" t="str">
        <v>ok</v>
      </c>
      <c r="X73" s="58" t="str">
        <v/>
      </c>
      <c r="Y73" s="75" t="str">
        <v/>
      </c>
      <c r="Z73" s="59">
        <v>0.56291651245988494</v>
      </c>
      <c r="AA73" s="61">
        <v>6</v>
      </c>
      <c r="AB73" s="61">
        <v>16</v>
      </c>
      <c r="AC73" s="61" t="str">
        <v/>
      </c>
      <c r="AD73" s="62" t="str">
        <v>QF7</v>
      </c>
      <c r="AE73" s="62" t="str">
        <v/>
      </c>
      <c r="AF73" s="34">
        <v>7</v>
      </c>
      <c r="AG73" s="34" t="str">
        <v>QF7</v>
      </c>
      <c r="AH73" s="34" t="str">
        <v/>
      </c>
      <c r="AI73" s="34" t="str">
        <v/>
      </c>
      <c r="AJ73" s="34" t="str">
        <v>QF7</v>
      </c>
      <c r="AK73" s="34">
        <v>1</v>
      </c>
      <c r="AL73" s="34" t="str">
        <v>K</v>
      </c>
      <c r="AM73" s="34">
        <v>0</v>
      </c>
      <c r="AN73" s="34">
        <v>0</v>
      </c>
      <c r="AO73" s="34">
        <v>6</v>
      </c>
      <c r="AP73" s="34">
        <v>16</v>
      </c>
      <c r="AQ73" s="34">
        <v>10</v>
      </c>
      <c r="AR73" s="34">
        <v>1</v>
      </c>
      <c r="AS73" s="34">
        <v>0</v>
      </c>
      <c r="AT73" s="34" t="str">
        <v>1P</v>
      </c>
      <c r="AU73" s="34">
        <v>10</v>
      </c>
      <c r="AV73" s="34" t="str">
        <v/>
      </c>
      <c r="AW73" s="34" t="str">
        <v/>
      </c>
      <c r="AX73" s="34" t="str">
        <v/>
      </c>
      <c r="AY73" s="34">
        <v>1</v>
      </c>
      <c r="AZ73" s="34" t="str">
        <v/>
      </c>
      <c r="BA73" s="34">
        <v>0</v>
      </c>
      <c r="BB73" s="34">
        <v>0</v>
      </c>
      <c r="BD73" s="34">
        <v>1</v>
      </c>
      <c r="BE73" s="34">
        <v>0</v>
      </c>
      <c r="BF73" s="34">
        <v>0</v>
      </c>
      <c r="BG73" s="34" t="str">
        <v/>
      </c>
      <c r="BH73" s="34" t="str">
        <v/>
      </c>
      <c r="BI73" s="34" t="str">
        <v/>
      </c>
      <c r="BJ73" s="34" t="str">
        <v/>
      </c>
      <c r="BK73" s="34" t="str">
        <v>BOX</v>
      </c>
      <c r="BL73" s="34">
        <v>1</v>
      </c>
      <c r="BM73" s="34" t="str">
        <v/>
      </c>
      <c r="BN73" s="34" t="str">
        <v/>
      </c>
      <c r="BO73" s="34" t="str">
        <v/>
      </c>
      <c r="BP73" s="34" t="str">
        <v/>
      </c>
      <c r="BQ73" s="34" t="str">
        <v>3х1,5</v>
      </c>
      <c r="BR73" s="34" t="str">
        <v/>
      </c>
      <c r="BS73" s="34" t="str">
        <v/>
      </c>
      <c r="BT73" s="34" t="str">
        <v/>
      </c>
      <c r="BU73" s="34">
        <v>0</v>
      </c>
      <c r="BV73" s="34">
        <v>93</v>
      </c>
      <c r="BW73" s="34">
        <v>1</v>
      </c>
      <c r="BX73" s="34">
        <v>0</v>
      </c>
      <c r="BY73" s="34">
        <v>0</v>
      </c>
      <c r="BZ73">
        <v>5</v>
      </c>
      <c r="CA73" t="str">
        <v>линии</v>
      </c>
    </row>
    <row r="74" spans="1:79" x14ac:dyDescent="0.3">
      <c r="A74" s="39" t="str">
        <v>ЩОВ-002</v>
      </c>
      <c r="B74" s="42">
        <v>26</v>
      </c>
      <c r="C74" s="42">
        <v>2</v>
      </c>
      <c r="D74" s="75" t="str">
        <v/>
      </c>
      <c r="E74" s="75" t="str">
        <v>авто</v>
      </c>
      <c r="F74" s="76" t="str">
        <v/>
      </c>
      <c r="G74" s="47" t="str">
        <v>QF8</v>
      </c>
      <c r="H74" s="47" t="str">
        <v>1P С10А</v>
      </c>
      <c r="I74" s="75" t="str">
        <v/>
      </c>
      <c r="J74" s="76" t="str">
        <v/>
      </c>
      <c r="K74" s="76" t="str">
        <v/>
      </c>
      <c r="L74" s="75" t="str">
        <v/>
      </c>
      <c r="M74" s="49" t="str">
        <v/>
      </c>
      <c r="N74" s="76" t="str">
        <v/>
      </c>
      <c r="O74" s="49" t="str">
        <v/>
      </c>
      <c r="P74" s="77" t="str">
        <v/>
      </c>
      <c r="Q74" s="53" t="str">
        <v>ВВГнг(А)-LS (3х1,5) L=32-0,19%</v>
      </c>
      <c r="R74" s="54" t="str">
        <v>K.00.004A</v>
      </c>
      <c r="S74" s="55" t="str">
        <v>Внутренний блок кондиционирования Подвальный этаж Пом. №002Б</v>
      </c>
      <c r="T74" s="56">
        <v>0.104</v>
      </c>
      <c r="U74" s="56">
        <v>0.57000000000000006</v>
      </c>
      <c r="V74" s="42" t="str">
        <v>L1</v>
      </c>
      <c r="W74" s="57" t="str">
        <v>ok</v>
      </c>
      <c r="X74" s="58" t="str">
        <v/>
      </c>
      <c r="Y74" s="75" t="str">
        <v/>
      </c>
      <c r="Z74" s="59">
        <v>0.56291651245988494</v>
      </c>
      <c r="AA74" s="61">
        <v>6</v>
      </c>
      <c r="AB74" s="61">
        <v>16</v>
      </c>
      <c r="AC74" s="61" t="str">
        <v/>
      </c>
      <c r="AD74" s="62" t="str">
        <v>QF8</v>
      </c>
      <c r="AE74" s="62" t="str">
        <v/>
      </c>
      <c r="AF74" s="34">
        <v>8</v>
      </c>
      <c r="AG74" s="34" t="str">
        <v>QF8</v>
      </c>
      <c r="AH74" s="34" t="str">
        <v/>
      </c>
      <c r="AI74" s="34" t="str">
        <v/>
      </c>
      <c r="AJ74" s="34" t="str">
        <v>QF8</v>
      </c>
      <c r="AK74" s="34">
        <v>1</v>
      </c>
      <c r="AL74" s="34" t="str">
        <v>K</v>
      </c>
      <c r="AM74" s="34">
        <v>0</v>
      </c>
      <c r="AN74" s="34">
        <v>0</v>
      </c>
      <c r="AO74" s="34">
        <v>6</v>
      </c>
      <c r="AP74" s="34">
        <v>16</v>
      </c>
      <c r="AQ74" s="34">
        <v>10</v>
      </c>
      <c r="AR74" s="34">
        <v>1</v>
      </c>
      <c r="AS74" s="34">
        <v>0</v>
      </c>
      <c r="AT74" s="34" t="str">
        <v>1P</v>
      </c>
      <c r="AU74" s="34">
        <v>10</v>
      </c>
      <c r="AV74" s="34" t="str">
        <v/>
      </c>
      <c r="AW74" s="34" t="str">
        <v/>
      </c>
      <c r="AX74" s="34" t="str">
        <v/>
      </c>
      <c r="AY74" s="34">
        <v>1</v>
      </c>
      <c r="AZ74" s="34" t="str">
        <v/>
      </c>
      <c r="BA74" s="34">
        <v>0</v>
      </c>
      <c r="BB74" s="34">
        <v>0</v>
      </c>
      <c r="BD74" s="34">
        <v>1</v>
      </c>
      <c r="BE74" s="34">
        <v>0</v>
      </c>
      <c r="BF74" s="34">
        <v>0</v>
      </c>
      <c r="BG74" s="34" t="str">
        <v/>
      </c>
      <c r="BH74" s="34" t="str">
        <v/>
      </c>
      <c r="BI74" s="34" t="str">
        <v/>
      </c>
      <c r="BJ74" s="34" t="str">
        <v/>
      </c>
      <c r="BK74" s="34" t="str">
        <v>BOX</v>
      </c>
      <c r="BL74" s="34">
        <v>1</v>
      </c>
      <c r="BM74" s="34" t="str">
        <v/>
      </c>
      <c r="BN74" s="34" t="str">
        <v/>
      </c>
      <c r="BO74" s="34" t="str">
        <v/>
      </c>
      <c r="BP74" s="34" t="str">
        <v/>
      </c>
      <c r="BQ74" s="34" t="str">
        <v>3х1,5</v>
      </c>
      <c r="BR74" s="34" t="str">
        <v/>
      </c>
      <c r="BS74" s="34" t="str">
        <v/>
      </c>
      <c r="BT74" s="34" t="str">
        <v/>
      </c>
      <c r="BU74" s="34">
        <v>0</v>
      </c>
      <c r="BV74" s="34">
        <v>94</v>
      </c>
      <c r="BW74" s="34">
        <v>1</v>
      </c>
      <c r="BX74" s="34">
        <v>0</v>
      </c>
      <c r="BY74" s="34">
        <v>0</v>
      </c>
      <c r="BZ74">
        <v>5</v>
      </c>
      <c r="CA74" t="str">
        <v>линии</v>
      </c>
    </row>
    <row r="75" spans="1:79" x14ac:dyDescent="0.3">
      <c r="A75" s="39" t="str">
        <v>ЩОВ-002</v>
      </c>
      <c r="B75" s="42">
        <v>27</v>
      </c>
      <c r="C75" s="42">
        <v>2</v>
      </c>
      <c r="D75" s="75" t="str">
        <v/>
      </c>
      <c r="E75" s="75" t="str">
        <v>авто</v>
      </c>
      <c r="F75" s="76" t="str">
        <v/>
      </c>
      <c r="G75" s="47" t="str">
        <v>QF9</v>
      </c>
      <c r="H75" s="47" t="str">
        <v>1P С10А</v>
      </c>
      <c r="I75" s="75" t="str">
        <v/>
      </c>
      <c r="J75" s="76" t="str">
        <v/>
      </c>
      <c r="K75" s="76" t="str">
        <v/>
      </c>
      <c r="L75" s="75" t="str">
        <v/>
      </c>
      <c r="M75" s="49" t="str">
        <v/>
      </c>
      <c r="N75" s="76" t="str">
        <v/>
      </c>
      <c r="O75" s="49" t="str">
        <v/>
      </c>
      <c r="P75" s="77" t="str">
        <v/>
      </c>
      <c r="Q75" s="53" t="str">
        <v>ВВГнг(А)-LS (3х1,5) L=16-0,1%</v>
      </c>
      <c r="R75" s="54" t="str">
        <v>K.00.004T.1</v>
      </c>
      <c r="S75" s="55" t="str">
        <v>Внутренний блок кондиционирования Подвальный этаж Пом. №004Т</v>
      </c>
      <c r="T75" s="56">
        <v>0.104</v>
      </c>
      <c r="U75" s="56">
        <v>0.57000000000000006</v>
      </c>
      <c r="V75" s="42" t="str">
        <v>L1</v>
      </c>
      <c r="W75" s="57" t="str">
        <v>ok</v>
      </c>
      <c r="X75" s="58" t="str">
        <v/>
      </c>
      <c r="Y75" s="75" t="str">
        <v/>
      </c>
      <c r="Z75" s="59">
        <v>0.56291651245988494</v>
      </c>
      <c r="AA75" s="61">
        <v>6</v>
      </c>
      <c r="AB75" s="61">
        <v>16</v>
      </c>
      <c r="AC75" s="61" t="str">
        <v/>
      </c>
      <c r="AD75" s="62" t="str">
        <v>QF9</v>
      </c>
      <c r="AE75" s="62" t="str">
        <v/>
      </c>
      <c r="AF75" s="34">
        <v>9</v>
      </c>
      <c r="AG75" s="34" t="str">
        <v>QF9</v>
      </c>
      <c r="AH75" s="34" t="str">
        <v/>
      </c>
      <c r="AI75" s="34" t="str">
        <v/>
      </c>
      <c r="AJ75" s="34" t="str">
        <v>QF9</v>
      </c>
      <c r="AK75" s="34">
        <v>1</v>
      </c>
      <c r="AL75" s="34" t="str">
        <v>K</v>
      </c>
      <c r="AM75" s="34">
        <v>0</v>
      </c>
      <c r="AN75" s="34">
        <v>0</v>
      </c>
      <c r="AO75" s="34">
        <v>6</v>
      </c>
      <c r="AP75" s="34">
        <v>16</v>
      </c>
      <c r="AQ75" s="34">
        <v>10</v>
      </c>
      <c r="AR75" s="34">
        <v>1</v>
      </c>
      <c r="AS75" s="34">
        <v>0</v>
      </c>
      <c r="AT75" s="34" t="str">
        <v>1P</v>
      </c>
      <c r="AU75" s="34">
        <v>10</v>
      </c>
      <c r="AV75" s="34" t="str">
        <v/>
      </c>
      <c r="AW75" s="34" t="str">
        <v/>
      </c>
      <c r="AX75" s="34" t="str">
        <v/>
      </c>
      <c r="AY75" s="34">
        <v>1</v>
      </c>
      <c r="AZ75" s="34" t="str">
        <v/>
      </c>
      <c r="BA75" s="34">
        <v>0</v>
      </c>
      <c r="BB75" s="34">
        <v>0</v>
      </c>
      <c r="BD75" s="34">
        <v>1</v>
      </c>
      <c r="BE75" s="34">
        <v>0</v>
      </c>
      <c r="BF75" s="34">
        <v>0</v>
      </c>
      <c r="BG75" s="34" t="str">
        <v/>
      </c>
      <c r="BH75" s="34" t="str">
        <v/>
      </c>
      <c r="BI75" s="34" t="str">
        <v/>
      </c>
      <c r="BJ75" s="34" t="str">
        <v/>
      </c>
      <c r="BK75" s="34" t="str">
        <v>BOX</v>
      </c>
      <c r="BL75" s="34">
        <v>1</v>
      </c>
      <c r="BM75" s="34" t="str">
        <v/>
      </c>
      <c r="BN75" s="34" t="str">
        <v/>
      </c>
      <c r="BO75" s="34" t="str">
        <v/>
      </c>
      <c r="BP75" s="34" t="str">
        <v/>
      </c>
      <c r="BQ75" s="34" t="str">
        <v>3х1,5</v>
      </c>
      <c r="BR75" s="34" t="str">
        <v/>
      </c>
      <c r="BS75" s="34" t="str">
        <v/>
      </c>
      <c r="BT75" s="34" t="str">
        <v/>
      </c>
      <c r="BU75" s="34">
        <v>0</v>
      </c>
      <c r="BV75" s="34">
        <v>95</v>
      </c>
      <c r="BW75" s="34">
        <v>1</v>
      </c>
      <c r="BX75" s="34">
        <v>0</v>
      </c>
      <c r="BY75" s="34">
        <v>0</v>
      </c>
      <c r="BZ75">
        <v>5</v>
      </c>
      <c r="CA75" t="str">
        <v>линии</v>
      </c>
    </row>
    <row r="76" spans="1:79" x14ac:dyDescent="0.3">
      <c r="A76" s="39" t="str">
        <v>ЩОВ-002</v>
      </c>
      <c r="B76" s="42">
        <v>28</v>
      </c>
      <c r="C76" s="42">
        <v>2</v>
      </c>
      <c r="D76" s="75" t="str">
        <v/>
      </c>
      <c r="E76" s="75" t="str">
        <v>авто</v>
      </c>
      <c r="F76" s="76" t="str">
        <v/>
      </c>
      <c r="G76" s="47" t="str">
        <v>QF10</v>
      </c>
      <c r="H76" s="47" t="str">
        <v>1P С10А</v>
      </c>
      <c r="I76" s="75" t="str">
        <v/>
      </c>
      <c r="J76" s="76" t="str">
        <v/>
      </c>
      <c r="K76" s="76" t="str">
        <v/>
      </c>
      <c r="L76" s="75" t="str">
        <v/>
      </c>
      <c r="M76" s="49" t="str">
        <v/>
      </c>
      <c r="N76" s="76" t="str">
        <v/>
      </c>
      <c r="O76" s="49" t="str">
        <v/>
      </c>
      <c r="P76" s="77" t="str">
        <v/>
      </c>
      <c r="Q76" s="53" t="str">
        <v>ВВГнг(А)-LS (3х1,5) L=18-0,11%</v>
      </c>
      <c r="R76" s="54" t="str">
        <v>K.00.004T.2</v>
      </c>
      <c r="S76" s="55" t="str">
        <v>Внутренний блок кондиционирования Подвальный этаж Пом. №004Т</v>
      </c>
      <c r="T76" s="56">
        <v>0.104</v>
      </c>
      <c r="U76" s="56">
        <v>0.57000000000000006</v>
      </c>
      <c r="V76" s="42" t="str">
        <v>L1</v>
      </c>
      <c r="W76" s="57" t="str">
        <v>ok</v>
      </c>
      <c r="X76" s="58" t="str">
        <v/>
      </c>
      <c r="Y76" s="75" t="str">
        <v/>
      </c>
      <c r="Z76" s="59">
        <v>0.56291651245988494</v>
      </c>
      <c r="AA76" s="61">
        <v>6</v>
      </c>
      <c r="AB76" s="61">
        <v>16</v>
      </c>
      <c r="AC76" s="61" t="str">
        <v/>
      </c>
      <c r="AD76" s="62" t="str">
        <v>QF10</v>
      </c>
      <c r="AE76" s="62" t="str">
        <v/>
      </c>
      <c r="AF76" s="34">
        <v>10</v>
      </c>
      <c r="AG76" s="34" t="str">
        <v>QF10</v>
      </c>
      <c r="AH76" s="34" t="str">
        <v/>
      </c>
      <c r="AI76" s="34" t="str">
        <v/>
      </c>
      <c r="AJ76" s="34" t="str">
        <v>QF10</v>
      </c>
      <c r="AK76" s="34">
        <v>1</v>
      </c>
      <c r="AL76" s="34" t="str">
        <v>K</v>
      </c>
      <c r="AM76" s="34">
        <v>0</v>
      </c>
      <c r="AN76" s="34">
        <v>0</v>
      </c>
      <c r="AO76" s="34">
        <v>6</v>
      </c>
      <c r="AP76" s="34">
        <v>16</v>
      </c>
      <c r="AQ76" s="34">
        <v>10</v>
      </c>
      <c r="AR76" s="34">
        <v>1</v>
      </c>
      <c r="AS76" s="34">
        <v>0</v>
      </c>
      <c r="AT76" s="34" t="str">
        <v>1P</v>
      </c>
      <c r="AU76" s="34">
        <v>10</v>
      </c>
      <c r="AV76" s="34" t="str">
        <v/>
      </c>
      <c r="AW76" s="34" t="str">
        <v/>
      </c>
      <c r="AX76" s="34" t="str">
        <v/>
      </c>
      <c r="AY76" s="34">
        <v>1</v>
      </c>
      <c r="AZ76" s="34" t="str">
        <v/>
      </c>
      <c r="BA76" s="34">
        <v>0</v>
      </c>
      <c r="BB76" s="34">
        <v>0</v>
      </c>
      <c r="BD76" s="34">
        <v>1</v>
      </c>
      <c r="BE76" s="34">
        <v>0</v>
      </c>
      <c r="BF76" s="34">
        <v>0</v>
      </c>
      <c r="BG76" s="34" t="str">
        <v/>
      </c>
      <c r="BH76" s="34" t="str">
        <v/>
      </c>
      <c r="BI76" s="34" t="str">
        <v/>
      </c>
      <c r="BJ76" s="34" t="str">
        <v/>
      </c>
      <c r="BK76" s="34" t="str">
        <v>BOX</v>
      </c>
      <c r="BL76" s="34">
        <v>1</v>
      </c>
      <c r="BM76" s="34" t="str">
        <v/>
      </c>
      <c r="BN76" s="34" t="str">
        <v/>
      </c>
      <c r="BO76" s="34" t="str">
        <v/>
      </c>
      <c r="BP76" s="34" t="str">
        <v/>
      </c>
      <c r="BQ76" s="34" t="str">
        <v>3х1,5</v>
      </c>
      <c r="BR76" s="34" t="str">
        <v/>
      </c>
      <c r="BS76" s="34" t="str">
        <v/>
      </c>
      <c r="BT76" s="34" t="str">
        <v/>
      </c>
      <c r="BU76" s="34">
        <v>0</v>
      </c>
      <c r="BV76" s="34">
        <v>96</v>
      </c>
      <c r="BW76" s="34">
        <v>1</v>
      </c>
      <c r="BX76" s="34">
        <v>0</v>
      </c>
      <c r="BY76" s="34">
        <v>0</v>
      </c>
      <c r="BZ76">
        <v>5</v>
      </c>
      <c r="CA76" t="str">
        <v>линии</v>
      </c>
    </row>
    <row r="77" spans="1:79" x14ac:dyDescent="0.3">
      <c r="A77" s="39" t="str">
        <v>ЩОВ-002</v>
      </c>
      <c r="B77" s="42">
        <v>29</v>
      </c>
      <c r="C77" s="42">
        <v>2</v>
      </c>
      <c r="D77" s="75" t="str">
        <v/>
      </c>
      <c r="E77" s="75" t="str">
        <v>авто</v>
      </c>
      <c r="F77" s="76" t="str">
        <v/>
      </c>
      <c r="G77" s="47" t="str">
        <v>QF11</v>
      </c>
      <c r="H77" s="47" t="str">
        <v>1P С10А</v>
      </c>
      <c r="I77" s="75" t="str">
        <v/>
      </c>
      <c r="J77" s="76" t="str">
        <v/>
      </c>
      <c r="K77" s="76" t="str">
        <v/>
      </c>
      <c r="L77" s="75" t="str">
        <v/>
      </c>
      <c r="M77" s="49" t="str">
        <v/>
      </c>
      <c r="N77" s="76" t="str">
        <v/>
      </c>
      <c r="O77" s="49" t="str">
        <v/>
      </c>
      <c r="P77" s="77" t="str">
        <v/>
      </c>
      <c r="Q77" s="53" t="str">
        <v>ВВГнг(А)-LS (3х1,5) L=33-0,2%</v>
      </c>
      <c r="R77" s="54" t="str">
        <v>K.00.007A</v>
      </c>
      <c r="S77" s="55" t="str">
        <v>Внутренний блок кондиционирования Подвальный этаж Пом. №002Б</v>
      </c>
      <c r="T77" s="56">
        <v>0.104</v>
      </c>
      <c r="U77" s="56">
        <v>0.57000000000000006</v>
      </c>
      <c r="V77" s="42" t="str">
        <v>L1</v>
      </c>
      <c r="W77" s="57" t="str">
        <v>ok</v>
      </c>
      <c r="X77" s="58" t="str">
        <v/>
      </c>
      <c r="Y77" s="75" t="str">
        <v/>
      </c>
      <c r="Z77" s="59">
        <v>0.56291651245988494</v>
      </c>
      <c r="AA77" s="61">
        <v>6</v>
      </c>
      <c r="AB77" s="61">
        <v>16</v>
      </c>
      <c r="AC77" s="61" t="str">
        <v/>
      </c>
      <c r="AD77" s="62" t="str">
        <v>QF11</v>
      </c>
      <c r="AE77" s="62" t="str">
        <v/>
      </c>
      <c r="AF77" s="34">
        <v>11</v>
      </c>
      <c r="AG77" s="34" t="str">
        <v>QF11</v>
      </c>
      <c r="AH77" s="34" t="str">
        <v/>
      </c>
      <c r="AI77" s="34" t="str">
        <v/>
      </c>
      <c r="AJ77" s="34" t="str">
        <v>QF11</v>
      </c>
      <c r="AK77" s="34">
        <v>1</v>
      </c>
      <c r="AL77" s="34" t="str">
        <v>K</v>
      </c>
      <c r="AM77" s="34">
        <v>0</v>
      </c>
      <c r="AN77" s="34">
        <v>0</v>
      </c>
      <c r="AO77" s="34">
        <v>6</v>
      </c>
      <c r="AP77" s="34">
        <v>16</v>
      </c>
      <c r="AQ77" s="34">
        <v>10</v>
      </c>
      <c r="AR77" s="34">
        <v>1</v>
      </c>
      <c r="AS77" s="34">
        <v>0</v>
      </c>
      <c r="AT77" s="34" t="str">
        <v>1P</v>
      </c>
      <c r="AU77" s="34">
        <v>10</v>
      </c>
      <c r="AV77" s="34" t="str">
        <v/>
      </c>
      <c r="AW77" s="34" t="str">
        <v/>
      </c>
      <c r="AX77" s="34" t="str">
        <v/>
      </c>
      <c r="AY77" s="34">
        <v>1</v>
      </c>
      <c r="AZ77" s="34" t="str">
        <v/>
      </c>
      <c r="BA77" s="34">
        <v>0</v>
      </c>
      <c r="BB77" s="34">
        <v>0</v>
      </c>
      <c r="BD77" s="34">
        <v>1</v>
      </c>
      <c r="BE77" s="34">
        <v>0</v>
      </c>
      <c r="BF77" s="34">
        <v>0</v>
      </c>
      <c r="BG77" s="34" t="str">
        <v/>
      </c>
      <c r="BH77" s="34" t="str">
        <v/>
      </c>
      <c r="BI77" s="34" t="str">
        <v/>
      </c>
      <c r="BJ77" s="34" t="str">
        <v/>
      </c>
      <c r="BK77" s="34" t="str">
        <v>BOX</v>
      </c>
      <c r="BL77" s="34">
        <v>1</v>
      </c>
      <c r="BM77" s="34" t="str">
        <v/>
      </c>
      <c r="BN77" s="34" t="str">
        <v/>
      </c>
      <c r="BO77" s="34" t="str">
        <v/>
      </c>
      <c r="BP77" s="34" t="str">
        <v/>
      </c>
      <c r="BQ77" s="34" t="str">
        <v>3х1,5</v>
      </c>
      <c r="BR77" s="34" t="str">
        <v/>
      </c>
      <c r="BS77" s="34" t="str">
        <v/>
      </c>
      <c r="BT77" s="34" t="str">
        <v/>
      </c>
      <c r="BU77" s="34">
        <v>0</v>
      </c>
      <c r="BV77" s="34">
        <v>97</v>
      </c>
      <c r="BW77" s="34">
        <v>1</v>
      </c>
      <c r="BX77" s="34">
        <v>0</v>
      </c>
      <c r="BY77" s="34">
        <v>0</v>
      </c>
      <c r="BZ77">
        <v>5</v>
      </c>
      <c r="CA77" t="str">
        <v>линии</v>
      </c>
    </row>
    <row r="78" spans="1:79" x14ac:dyDescent="0.3">
      <c r="A78" s="39" t="str">
        <v>ЩОВ-002</v>
      </c>
      <c r="B78" s="42">
        <v>30</v>
      </c>
      <c r="C78" s="42">
        <v>2</v>
      </c>
      <c r="D78" s="75" t="str">
        <v/>
      </c>
      <c r="E78" s="75" t="str">
        <v>авто</v>
      </c>
      <c r="F78" s="76" t="str">
        <v/>
      </c>
      <c r="G78" s="47" t="str">
        <v>QF12</v>
      </c>
      <c r="H78" s="47" t="str">
        <v>1P С10А</v>
      </c>
      <c r="I78" s="75" t="str">
        <v/>
      </c>
      <c r="J78" s="76" t="str">
        <v/>
      </c>
      <c r="K78" s="76" t="str">
        <v/>
      </c>
      <c r="L78" s="75" t="str">
        <v/>
      </c>
      <c r="M78" s="49" t="str">
        <v/>
      </c>
      <c r="N78" s="76" t="str">
        <v/>
      </c>
      <c r="O78" s="49" t="str">
        <v/>
      </c>
      <c r="P78" s="77" t="str">
        <v/>
      </c>
      <c r="Q78" s="53" t="str">
        <v>ВВГнг(А)-LS (3х1,5) L=28-0,17%</v>
      </c>
      <c r="R78" s="54" t="str">
        <v>K.00.007T.1</v>
      </c>
      <c r="S78" s="55" t="str">
        <v>Внутренний блок кондиционирования Подвальный этаж Пом. №007Т</v>
      </c>
      <c r="T78" s="56">
        <v>0.104</v>
      </c>
      <c r="U78" s="56">
        <v>0.57000000000000006</v>
      </c>
      <c r="V78" s="42" t="str">
        <v>L1</v>
      </c>
      <c r="W78" s="57" t="str">
        <v>ok</v>
      </c>
      <c r="X78" s="58" t="str">
        <v/>
      </c>
      <c r="Y78" s="75" t="str">
        <v/>
      </c>
      <c r="Z78" s="59">
        <v>0.56291651245988494</v>
      </c>
      <c r="AA78" s="61">
        <v>6</v>
      </c>
      <c r="AB78" s="61">
        <v>16</v>
      </c>
      <c r="AC78" s="61" t="str">
        <v/>
      </c>
      <c r="AD78" s="62" t="str">
        <v>QF12</v>
      </c>
      <c r="AE78" s="62" t="str">
        <v/>
      </c>
      <c r="AF78" s="34">
        <v>12</v>
      </c>
      <c r="AG78" s="34" t="str">
        <v>QF12</v>
      </c>
      <c r="AH78" s="34" t="str">
        <v/>
      </c>
      <c r="AI78" s="34" t="str">
        <v/>
      </c>
      <c r="AJ78" s="34" t="str">
        <v>QF12</v>
      </c>
      <c r="AK78" s="34">
        <v>1</v>
      </c>
      <c r="AL78" s="34" t="str">
        <v>K</v>
      </c>
      <c r="AM78" s="34">
        <v>0</v>
      </c>
      <c r="AN78" s="34">
        <v>0</v>
      </c>
      <c r="AO78" s="34">
        <v>6</v>
      </c>
      <c r="AP78" s="34">
        <v>16</v>
      </c>
      <c r="AQ78" s="34">
        <v>10</v>
      </c>
      <c r="AR78" s="34">
        <v>1</v>
      </c>
      <c r="AS78" s="34">
        <v>0</v>
      </c>
      <c r="AT78" s="34" t="str">
        <v>1P</v>
      </c>
      <c r="AU78" s="34">
        <v>10</v>
      </c>
      <c r="AV78" s="34" t="str">
        <v/>
      </c>
      <c r="AW78" s="34" t="str">
        <v/>
      </c>
      <c r="AX78" s="34" t="str">
        <v/>
      </c>
      <c r="AY78" s="34">
        <v>1</v>
      </c>
      <c r="AZ78" s="34" t="str">
        <v/>
      </c>
      <c r="BA78" s="34">
        <v>0</v>
      </c>
      <c r="BB78" s="34">
        <v>0</v>
      </c>
      <c r="BD78" s="34">
        <v>1</v>
      </c>
      <c r="BE78" s="34">
        <v>0</v>
      </c>
      <c r="BF78" s="34">
        <v>0</v>
      </c>
      <c r="BG78" s="34" t="str">
        <v/>
      </c>
      <c r="BH78" s="34" t="str">
        <v/>
      </c>
      <c r="BI78" s="34" t="str">
        <v/>
      </c>
      <c r="BJ78" s="34" t="str">
        <v/>
      </c>
      <c r="BK78" s="34" t="str">
        <v>BOX</v>
      </c>
      <c r="BL78" s="34">
        <v>1</v>
      </c>
      <c r="BM78" s="34" t="str">
        <v/>
      </c>
      <c r="BN78" s="34" t="str">
        <v/>
      </c>
      <c r="BO78" s="34" t="str">
        <v/>
      </c>
      <c r="BP78" s="34" t="str">
        <v/>
      </c>
      <c r="BQ78" s="34" t="str">
        <v>3х1,5</v>
      </c>
      <c r="BR78" s="34" t="str">
        <v/>
      </c>
      <c r="BS78" s="34" t="str">
        <v/>
      </c>
      <c r="BT78" s="34" t="str">
        <v/>
      </c>
      <c r="BU78" s="34">
        <v>0</v>
      </c>
      <c r="BV78" s="34">
        <v>98</v>
      </c>
      <c r="BW78" s="34">
        <v>1</v>
      </c>
      <c r="BX78" s="34">
        <v>0</v>
      </c>
      <c r="BY78" s="34">
        <v>0</v>
      </c>
      <c r="BZ78">
        <v>5</v>
      </c>
      <c r="CA78" t="str">
        <v>линии</v>
      </c>
    </row>
    <row r="79" spans="1:79" x14ac:dyDescent="0.3">
      <c r="A79" s="39" t="str">
        <v>ЩОВ-002</v>
      </c>
      <c r="B79" s="42">
        <v>31</v>
      </c>
      <c r="C79" s="42">
        <v>2</v>
      </c>
      <c r="D79" s="75" t="str">
        <v/>
      </c>
      <c r="E79" s="75" t="str">
        <v>авто</v>
      </c>
      <c r="F79" s="76" t="str">
        <v/>
      </c>
      <c r="G79" s="47" t="str">
        <v>QF13</v>
      </c>
      <c r="H79" s="47" t="str">
        <v>1P С10А</v>
      </c>
      <c r="I79" s="75" t="str">
        <v/>
      </c>
      <c r="J79" s="76" t="str">
        <v/>
      </c>
      <c r="K79" s="76" t="str">
        <v/>
      </c>
      <c r="L79" s="75" t="str">
        <v/>
      </c>
      <c r="M79" s="49" t="str">
        <v/>
      </c>
      <c r="N79" s="76" t="str">
        <v/>
      </c>
      <c r="O79" s="49" t="str">
        <v/>
      </c>
      <c r="P79" s="77" t="str">
        <v/>
      </c>
      <c r="Q79" s="53" t="str">
        <v>ВВГнг(А)-LS (3х1,5) L=27-0,16%</v>
      </c>
      <c r="R79" s="54" t="str">
        <v>K.00.007T.2</v>
      </c>
      <c r="S79" s="55" t="str">
        <v>Внутренний блок кондиционирования Подвальный этаж Пом. №007Т</v>
      </c>
      <c r="T79" s="56">
        <v>0.104</v>
      </c>
      <c r="U79" s="56">
        <v>0.57000000000000006</v>
      </c>
      <c r="V79" s="42" t="str">
        <v>L1</v>
      </c>
      <c r="W79" s="57" t="str">
        <v>ok</v>
      </c>
      <c r="X79" s="58" t="str">
        <v/>
      </c>
      <c r="Y79" s="75" t="str">
        <v/>
      </c>
      <c r="Z79" s="59">
        <v>0.56291651245988494</v>
      </c>
      <c r="AA79" s="61">
        <v>6</v>
      </c>
      <c r="AB79" s="61">
        <v>16</v>
      </c>
      <c r="AC79" s="61" t="str">
        <v/>
      </c>
      <c r="AD79" s="62" t="str">
        <v>QF13</v>
      </c>
      <c r="AE79" s="62" t="str">
        <v/>
      </c>
      <c r="AF79" s="34">
        <v>13</v>
      </c>
      <c r="AG79" s="34" t="str">
        <v>QF13</v>
      </c>
      <c r="AH79" s="34" t="str">
        <v/>
      </c>
      <c r="AI79" s="34" t="str">
        <v/>
      </c>
      <c r="AJ79" s="34" t="str">
        <v>QF13</v>
      </c>
      <c r="AK79" s="34">
        <v>1</v>
      </c>
      <c r="AL79" s="34" t="str">
        <v>K</v>
      </c>
      <c r="AM79" s="34">
        <v>0</v>
      </c>
      <c r="AN79" s="34">
        <v>0</v>
      </c>
      <c r="AO79" s="34">
        <v>6</v>
      </c>
      <c r="AP79" s="34">
        <v>16</v>
      </c>
      <c r="AQ79" s="34">
        <v>10</v>
      </c>
      <c r="AR79" s="34">
        <v>1</v>
      </c>
      <c r="AS79" s="34">
        <v>0</v>
      </c>
      <c r="AT79" s="34" t="str">
        <v>1P</v>
      </c>
      <c r="AU79" s="34">
        <v>10</v>
      </c>
      <c r="AV79" s="34" t="str">
        <v/>
      </c>
      <c r="AW79" s="34" t="str">
        <v/>
      </c>
      <c r="AX79" s="34" t="str">
        <v/>
      </c>
      <c r="AY79" s="34">
        <v>1</v>
      </c>
      <c r="AZ79" s="34" t="str">
        <v/>
      </c>
      <c r="BA79" s="34">
        <v>0</v>
      </c>
      <c r="BB79" s="34">
        <v>0</v>
      </c>
      <c r="BD79" s="34">
        <v>1</v>
      </c>
      <c r="BE79" s="34">
        <v>0</v>
      </c>
      <c r="BF79" s="34">
        <v>0</v>
      </c>
      <c r="BG79" s="34" t="str">
        <v/>
      </c>
      <c r="BH79" s="34" t="str">
        <v/>
      </c>
      <c r="BI79" s="34" t="str">
        <v/>
      </c>
      <c r="BJ79" s="34" t="str">
        <v/>
      </c>
      <c r="BK79" s="34" t="str">
        <v>BOX</v>
      </c>
      <c r="BL79" s="34">
        <v>1</v>
      </c>
      <c r="BM79" s="34" t="str">
        <v/>
      </c>
      <c r="BN79" s="34" t="str">
        <v/>
      </c>
      <c r="BO79" s="34" t="str">
        <v/>
      </c>
      <c r="BP79" s="34" t="str">
        <v/>
      </c>
      <c r="BQ79" s="34" t="str">
        <v>3х1,5</v>
      </c>
      <c r="BR79" s="34" t="str">
        <v/>
      </c>
      <c r="BS79" s="34" t="str">
        <v/>
      </c>
      <c r="BT79" s="34" t="str">
        <v/>
      </c>
      <c r="BU79" s="34">
        <v>0</v>
      </c>
      <c r="BV79" s="34">
        <v>99</v>
      </c>
      <c r="BW79" s="34">
        <v>1</v>
      </c>
      <c r="BX79" s="34">
        <v>0</v>
      </c>
      <c r="BY79" s="34">
        <v>0</v>
      </c>
      <c r="BZ79">
        <v>5</v>
      </c>
      <c r="CA79" t="str">
        <v>линии</v>
      </c>
    </row>
    <row r="80" spans="1:79" x14ac:dyDescent="0.3">
      <c r="A80" s="39" t="str">
        <v>ЩОВ-01</v>
      </c>
      <c r="B80" s="42">
        <v>2</v>
      </c>
      <c r="C80" s="42">
        <v>1</v>
      </c>
      <c r="D80" s="75" t="str">
        <v/>
      </c>
      <c r="E80" s="75" t="str">
        <v>авто</v>
      </c>
      <c r="F80" s="76" t="str">
        <v/>
      </c>
      <c r="G80" s="47" t="str">
        <v/>
      </c>
      <c r="H80" s="47" t="str">
        <v>3P С25А</v>
      </c>
      <c r="I80" s="75" t="str">
        <v/>
      </c>
      <c r="J80" s="76" t="str">
        <v/>
      </c>
      <c r="K80" s="76" t="str">
        <v/>
      </c>
      <c r="L80" s="75" t="str">
        <v/>
      </c>
      <c r="M80" s="49" t="str">
        <v/>
      </c>
      <c r="N80" s="76" t="str">
        <v/>
      </c>
      <c r="O80" s="49" t="str">
        <v/>
      </c>
      <c r="P80" s="77" t="str">
        <v/>
      </c>
      <c r="Q80" s="53" t="str">
        <v>ВВГнг(А)-LS (5х6) L=14-0,23%</v>
      </c>
      <c r="R80" s="54" t="str">
        <v>Ввод.1</v>
      </c>
      <c r="S80" s="55" t="str">
        <v>Ввод</v>
      </c>
      <c r="T80" s="56">
        <v>13.172999999999996</v>
      </c>
      <c r="U80" s="56">
        <v>11.93</v>
      </c>
      <c r="V80" s="42" t="str">
        <v>L1,L2,L3</v>
      </c>
      <c r="W80" s="57" t="str">
        <v>ok</v>
      </c>
      <c r="X80" s="58" t="str">
        <v/>
      </c>
      <c r="Y80" s="75" t="str">
        <v>вручную</v>
      </c>
      <c r="Z80" s="59">
        <v>11.927695717539414</v>
      </c>
      <c r="AA80" s="61">
        <v>16</v>
      </c>
      <c r="AB80" s="61">
        <v>32</v>
      </c>
      <c r="AC80" s="61" t="str">
        <v/>
      </c>
      <c r="AD80" s="62" t="str">
        <v/>
      </c>
      <c r="AE80" s="62" t="str">
        <v/>
      </c>
      <c r="AF80" s="34" t="str">
        <v/>
      </c>
      <c r="AG80" s="34" t="str">
        <v/>
      </c>
      <c r="AH80" s="34" t="str">
        <v/>
      </c>
      <c r="AI80" s="34" t="str">
        <v/>
      </c>
      <c r="AJ80" s="34" t="str">
        <v/>
      </c>
      <c r="AK80" s="34">
        <v>3</v>
      </c>
      <c r="AL80" s="34" t="str">
        <v>Ввод</v>
      </c>
      <c r="AM80" s="34">
        <v>0</v>
      </c>
      <c r="AN80" s="34">
        <v>0</v>
      </c>
      <c r="AO80" s="34">
        <v>16</v>
      </c>
      <c r="AP80" s="34">
        <v>32</v>
      </c>
      <c r="AQ80" s="34">
        <v>25</v>
      </c>
      <c r="AR80" s="34">
        <v>3</v>
      </c>
      <c r="AS80" s="34">
        <v>0</v>
      </c>
      <c r="AT80" s="34" t="str">
        <v>3P</v>
      </c>
      <c r="AU80" s="34">
        <v>25</v>
      </c>
      <c r="AV80" s="34" t="str">
        <v/>
      </c>
      <c r="AW80" s="34" t="str">
        <v/>
      </c>
      <c r="AX80" s="34" t="str">
        <v/>
      </c>
      <c r="AY80" s="34">
        <v>0</v>
      </c>
      <c r="AZ80" s="34" t="str">
        <v/>
      </c>
      <c r="BA80" s="34">
        <v>0</v>
      </c>
      <c r="BB80" s="34">
        <v>0</v>
      </c>
      <c r="BD80" s="34">
        <v>0</v>
      </c>
      <c r="BE80" s="34">
        <v>0</v>
      </c>
      <c r="BF80" s="34">
        <v>0</v>
      </c>
      <c r="BG80" s="34" t="str">
        <v/>
      </c>
      <c r="BH80" s="34" t="str">
        <v/>
      </c>
      <c r="BI80" s="34" t="str">
        <v/>
      </c>
      <c r="BJ80" s="34" t="str">
        <v/>
      </c>
      <c r="BK80" s="34" t="str">
        <v>BOX</v>
      </c>
      <c r="BL80" s="34">
        <v>1</v>
      </c>
      <c r="BM80" s="34" t="str">
        <v/>
      </c>
      <c r="BN80" s="34" t="str">
        <v/>
      </c>
      <c r="BO80" s="34" t="str">
        <v/>
      </c>
      <c r="BP80" s="34" t="str">
        <v/>
      </c>
      <c r="BQ80" s="34" t="str">
        <v/>
      </c>
      <c r="BR80" s="34" t="str">
        <v/>
      </c>
      <c r="BS80" s="34" t="str">
        <v/>
      </c>
      <c r="BT80" s="34" t="str">
        <v/>
      </c>
      <c r="BU80" s="34">
        <v>0</v>
      </c>
      <c r="BV80" s="34">
        <v>100</v>
      </c>
      <c r="BW80" s="34">
        <v>0</v>
      </c>
      <c r="BX80" s="34">
        <v>0</v>
      </c>
      <c r="BY80" s="34">
        <v>0</v>
      </c>
      <c r="BZ80">
        <v>6</v>
      </c>
      <c r="CA80" t="str">
        <v>вводной узел</v>
      </c>
    </row>
    <row r="81" spans="1:79" x14ac:dyDescent="0.3">
      <c r="A81" s="39" t="str">
        <v>ЩОВ-01</v>
      </c>
      <c r="B81" s="42">
        <v>13</v>
      </c>
      <c r="C81" s="42">
        <v>1</v>
      </c>
      <c r="D81" s="75" t="str">
        <v/>
      </c>
      <c r="E81" s="75" t="str">
        <v>авто</v>
      </c>
      <c r="F81" s="76" t="str">
        <v/>
      </c>
      <c r="G81" s="47" t="str">
        <v>QF1</v>
      </c>
      <c r="H81" s="47" t="str">
        <v>1P С10А</v>
      </c>
      <c r="I81" s="75" t="str">
        <v/>
      </c>
      <c r="J81" s="76" t="str">
        <v/>
      </c>
      <c r="K81" s="76" t="str">
        <v/>
      </c>
      <c r="L81" s="75" t="str">
        <v/>
      </c>
      <c r="M81" s="49" t="str">
        <v/>
      </c>
      <c r="N81" s="76" t="str">
        <v/>
      </c>
      <c r="O81" s="49" t="str">
        <v/>
      </c>
      <c r="P81" s="77" t="str">
        <v>XT1</v>
      </c>
      <c r="Q81" s="53" t="str">
        <v>ВВГнг(А)-LS (3х1,5) L=36-0,68%</v>
      </c>
      <c r="R81" s="54" t="str">
        <v>П.6</v>
      </c>
      <c r="S81" s="55" t="str">
        <v>Приточная установка Цокольный этаж Пом №001Тб</v>
      </c>
      <c r="T81" s="56">
        <v>0.33</v>
      </c>
      <c r="U81" s="56">
        <v>1.79</v>
      </c>
      <c r="V81" s="42" t="str">
        <v>L3</v>
      </c>
      <c r="W81" s="57" t="str">
        <v>ok</v>
      </c>
      <c r="X81" s="58" t="str">
        <v/>
      </c>
      <c r="Y81" s="75" t="str">
        <v/>
      </c>
      <c r="Z81" s="59">
        <v>1.7861773953054043</v>
      </c>
      <c r="AA81" s="61">
        <v>6</v>
      </c>
      <c r="AB81" s="61">
        <v>16</v>
      </c>
      <c r="AC81" s="61" t="str">
        <v/>
      </c>
      <c r="AD81" s="62" t="str">
        <v>QF1 → XT1</v>
      </c>
      <c r="AE81" s="62" t="str">
        <v/>
      </c>
      <c r="AF81" s="34">
        <v>1</v>
      </c>
      <c r="AG81" s="34" t="str">
        <v>QF1</v>
      </c>
      <c r="AH81" s="34" t="str">
        <v/>
      </c>
      <c r="AI81" s="34" t="str">
        <v/>
      </c>
      <c r="AJ81" s="34" t="str">
        <v>QF1</v>
      </c>
      <c r="AK81" s="34">
        <v>1</v>
      </c>
      <c r="AL81" s="34" t="str">
        <v>П</v>
      </c>
      <c r="AM81" s="34">
        <v>0</v>
      </c>
      <c r="AN81" s="34">
        <v>0</v>
      </c>
      <c r="AO81" s="34">
        <v>6</v>
      </c>
      <c r="AP81" s="34">
        <v>16</v>
      </c>
      <c r="AQ81" s="34">
        <v>10</v>
      </c>
      <c r="AR81" s="34">
        <v>1</v>
      </c>
      <c r="AS81" s="34">
        <v>0</v>
      </c>
      <c r="AT81" s="34" t="str">
        <v>1P</v>
      </c>
      <c r="AU81" s="34">
        <v>10</v>
      </c>
      <c r="AV81" s="34" t="str">
        <v/>
      </c>
      <c r="AW81" s="34" t="str">
        <v/>
      </c>
      <c r="AX81" s="34" t="str">
        <v/>
      </c>
      <c r="AY81" s="34">
        <v>1</v>
      </c>
      <c r="AZ81" s="34" t="str">
        <v/>
      </c>
      <c r="BA81" s="34">
        <v>0</v>
      </c>
      <c r="BB81" s="34">
        <v>0</v>
      </c>
      <c r="BD81" s="34">
        <v>1</v>
      </c>
      <c r="BE81" s="34">
        <v>0</v>
      </c>
      <c r="BF81" s="34">
        <v>0</v>
      </c>
      <c r="BG81" s="34" t="str">
        <v/>
      </c>
      <c r="BH81" s="34" t="str">
        <v/>
      </c>
      <c r="BI81" s="34" t="str">
        <v/>
      </c>
      <c r="BJ81" s="34" t="str">
        <v/>
      </c>
      <c r="BK81" s="34" t="str">
        <v>MOTOR</v>
      </c>
      <c r="BL81" s="34">
        <v>1</v>
      </c>
      <c r="BM81" s="34" t="str">
        <v/>
      </c>
      <c r="BN81" s="34" t="str">
        <v/>
      </c>
      <c r="BO81" s="34" t="str">
        <v/>
      </c>
      <c r="BP81" s="34" t="str">
        <v/>
      </c>
      <c r="BQ81" s="34" t="str">
        <v>3х1,5</v>
      </c>
      <c r="BR81" s="34" t="str">
        <v/>
      </c>
      <c r="BS81" s="34" t="str">
        <v/>
      </c>
      <c r="BT81" s="34" t="str">
        <v/>
      </c>
      <c r="BU81" s="34">
        <v>0</v>
      </c>
      <c r="BV81" s="34">
        <v>101</v>
      </c>
      <c r="BW81" s="34">
        <v>1</v>
      </c>
      <c r="BX81" s="34">
        <v>0</v>
      </c>
      <c r="BY81" s="34" t="str">
        <v>Привод (двигатель)</v>
      </c>
      <c r="BZ81">
        <v>6</v>
      </c>
      <c r="CA81" t="str">
        <v>линии</v>
      </c>
    </row>
    <row r="82" spans="1:79" x14ac:dyDescent="0.3">
      <c r="A82" s="39" t="str">
        <v>ЩОВ-01</v>
      </c>
      <c r="B82" s="42">
        <v>14</v>
      </c>
      <c r="C82" s="42">
        <v>1</v>
      </c>
      <c r="D82" s="75" t="str">
        <v/>
      </c>
      <c r="E82" s="75" t="str">
        <v>авто</v>
      </c>
      <c r="F82" s="76" t="str">
        <v/>
      </c>
      <c r="G82" s="47" t="str">
        <v>QF2</v>
      </c>
      <c r="H82" s="47" t="str">
        <v>3P С16А</v>
      </c>
      <c r="I82" s="75" t="str">
        <v/>
      </c>
      <c r="J82" s="76" t="str">
        <v/>
      </c>
      <c r="K82" s="76" t="str">
        <v/>
      </c>
      <c r="L82" s="75" t="str">
        <v/>
      </c>
      <c r="M82" s="49" t="str">
        <v/>
      </c>
      <c r="N82" s="76" t="str">
        <v/>
      </c>
      <c r="O82" s="49" t="str">
        <v/>
      </c>
      <c r="P82" s="77" t="str">
        <v>XT2</v>
      </c>
      <c r="Q82" s="53" t="str">
        <v>ВВГнг(А)-LS (5х2,5) L=42-1,67%</v>
      </c>
      <c r="R82" s="54" t="str">
        <v>ПВ.6</v>
      </c>
      <c r="S82" s="55" t="str">
        <v>Приточно-вытяжная установка цокольный этаж Пом №001Тб</v>
      </c>
      <c r="T82" s="56">
        <v>7</v>
      </c>
      <c r="U82" s="56">
        <v>12.629999999999999</v>
      </c>
      <c r="V82" s="42" t="str">
        <v>L1,L2,L3</v>
      </c>
      <c r="W82" s="57" t="str">
        <v>ok</v>
      </c>
      <c r="X82" s="58" t="str">
        <v/>
      </c>
      <c r="Y82" s="75" t="str">
        <v/>
      </c>
      <c r="Z82" s="59">
        <v>12.629537138523064</v>
      </c>
      <c r="AA82" s="61">
        <v>16</v>
      </c>
      <c r="AB82" s="61">
        <v>20</v>
      </c>
      <c r="AC82" s="61" t="str">
        <v/>
      </c>
      <c r="AD82" s="62" t="str">
        <v>QF2 → XT2</v>
      </c>
      <c r="AE82" s="62" t="str">
        <v/>
      </c>
      <c r="AF82" s="34">
        <v>2</v>
      </c>
      <c r="AG82" s="34" t="str">
        <v>QF2</v>
      </c>
      <c r="AH82" s="34" t="str">
        <v/>
      </c>
      <c r="AI82" s="34" t="str">
        <v/>
      </c>
      <c r="AJ82" s="34" t="str">
        <v>QF2</v>
      </c>
      <c r="AK82" s="34">
        <v>3</v>
      </c>
      <c r="AL82" s="34" t="str">
        <v>ПВ</v>
      </c>
      <c r="AM82" s="34">
        <v>0</v>
      </c>
      <c r="AN82" s="34">
        <v>0</v>
      </c>
      <c r="AO82" s="34">
        <v>16</v>
      </c>
      <c r="AP82" s="34">
        <v>20</v>
      </c>
      <c r="AQ82" s="34">
        <v>16</v>
      </c>
      <c r="AR82" s="34">
        <v>3</v>
      </c>
      <c r="AS82" s="34">
        <v>0</v>
      </c>
      <c r="AT82" s="34" t="str">
        <v>3P</v>
      </c>
      <c r="AU82" s="34">
        <v>16</v>
      </c>
      <c r="AV82" s="34" t="str">
        <v/>
      </c>
      <c r="AW82" s="34" t="str">
        <v/>
      </c>
      <c r="AX82" s="34" t="str">
        <v/>
      </c>
      <c r="AY82" s="34">
        <v>1</v>
      </c>
      <c r="AZ82" s="34" t="str">
        <v/>
      </c>
      <c r="BA82" s="34">
        <v>0</v>
      </c>
      <c r="BB82" s="34">
        <v>0</v>
      </c>
      <c r="BD82" s="34">
        <v>1</v>
      </c>
      <c r="BE82" s="34">
        <v>0</v>
      </c>
      <c r="BF82" s="34">
        <v>0</v>
      </c>
      <c r="BG82" s="34" t="str">
        <v/>
      </c>
      <c r="BH82" s="34" t="str">
        <v/>
      </c>
      <c r="BI82" s="34" t="str">
        <v/>
      </c>
      <c r="BJ82" s="34" t="str">
        <v/>
      </c>
      <c r="BK82" s="34" t="str">
        <v>MOTOR</v>
      </c>
      <c r="BL82" s="34">
        <v>1</v>
      </c>
      <c r="BM82" s="34" t="str">
        <v/>
      </c>
      <c r="BN82" s="34" t="str">
        <v/>
      </c>
      <c r="BO82" s="34" t="str">
        <v/>
      </c>
      <c r="BP82" s="34" t="str">
        <v/>
      </c>
      <c r="BQ82" s="34" t="str">
        <v>5х2,5</v>
      </c>
      <c r="BR82" s="34">
        <v>13</v>
      </c>
      <c r="BS82" s="34" t="str">
        <v/>
      </c>
      <c r="BT82" s="34" t="str">
        <v/>
      </c>
      <c r="BU82" s="34">
        <v>0</v>
      </c>
      <c r="BV82" s="34">
        <v>102</v>
      </c>
      <c r="BW82" s="34">
        <v>1</v>
      </c>
      <c r="BX82" s="34">
        <v>2</v>
      </c>
      <c r="BY82" s="34" t="str">
        <v>Привод (двигатель)</v>
      </c>
      <c r="BZ82">
        <v>6</v>
      </c>
      <c r="CA82" t="str">
        <v>линии</v>
      </c>
    </row>
    <row r="83" spans="1:79" x14ac:dyDescent="0.3">
      <c r="A83" s="39" t="str">
        <v>ЩОВ-01</v>
      </c>
      <c r="B83" s="42">
        <v>15</v>
      </c>
      <c r="C83" s="42">
        <v>1</v>
      </c>
      <c r="D83" s="75" t="str">
        <v/>
      </c>
      <c r="E83" s="75" t="str">
        <v>авто</v>
      </c>
      <c r="F83" s="76" t="str">
        <v/>
      </c>
      <c r="G83" s="47" t="str">
        <v>QF3</v>
      </c>
      <c r="H83" s="47" t="str">
        <v>1P С10А</v>
      </c>
      <c r="I83" s="75" t="str">
        <v/>
      </c>
      <c r="J83" s="76" t="str">
        <v/>
      </c>
      <c r="K83" s="76" t="str">
        <v/>
      </c>
      <c r="L83" s="75" t="str">
        <v/>
      </c>
      <c r="M83" s="49" t="str">
        <v/>
      </c>
      <c r="N83" s="76" t="str">
        <v/>
      </c>
      <c r="O83" s="49" t="str">
        <v/>
      </c>
      <c r="P83" s="77" t="str">
        <v>XT3</v>
      </c>
      <c r="Q83" s="53" t="str">
        <v>ВВГнг(А)-LS (3х1,5) L=44-1,95%</v>
      </c>
      <c r="R83" s="54" t="str">
        <v>ПВ.9</v>
      </c>
      <c r="S83" s="55" t="str">
        <v>Приточно-вытяжная установка цокольный этаж Пом №001Тб</v>
      </c>
      <c r="T83" s="56">
        <v>0.78</v>
      </c>
      <c r="U83" s="56">
        <v>4.2299999999999995</v>
      </c>
      <c r="V83" s="42" t="str">
        <v>L2</v>
      </c>
      <c r="W83" s="57" t="str">
        <v>ok</v>
      </c>
      <c r="X83" s="58" t="str">
        <v/>
      </c>
      <c r="Y83" s="75" t="str">
        <v/>
      </c>
      <c r="Z83" s="59">
        <v>4.2218738434491376</v>
      </c>
      <c r="AA83" s="61">
        <v>6</v>
      </c>
      <c r="AB83" s="61">
        <v>16</v>
      </c>
      <c r="AC83" s="61" t="str">
        <v/>
      </c>
      <c r="AD83" s="62" t="str">
        <v>QF3 → XT3</v>
      </c>
      <c r="AE83" s="62" t="str">
        <v/>
      </c>
      <c r="AF83" s="34">
        <v>3</v>
      </c>
      <c r="AG83" s="34" t="str">
        <v>QF3</v>
      </c>
      <c r="AH83" s="34" t="str">
        <v/>
      </c>
      <c r="AI83" s="34" t="str">
        <v/>
      </c>
      <c r="AJ83" s="34" t="str">
        <v>QF3</v>
      </c>
      <c r="AK83" s="34">
        <v>1</v>
      </c>
      <c r="AL83" s="34" t="str">
        <v>ПВ</v>
      </c>
      <c r="AM83" s="34">
        <v>0</v>
      </c>
      <c r="AN83" s="34">
        <v>0</v>
      </c>
      <c r="AO83" s="34">
        <v>6</v>
      </c>
      <c r="AP83" s="34">
        <v>16</v>
      </c>
      <c r="AQ83" s="34">
        <v>10</v>
      </c>
      <c r="AR83" s="34">
        <v>1</v>
      </c>
      <c r="AS83" s="34">
        <v>0</v>
      </c>
      <c r="AT83" s="34" t="str">
        <v>1P</v>
      </c>
      <c r="AU83" s="34">
        <v>10</v>
      </c>
      <c r="AV83" s="34" t="str">
        <v/>
      </c>
      <c r="AW83" s="34" t="str">
        <v/>
      </c>
      <c r="AX83" s="34" t="str">
        <v/>
      </c>
      <c r="AY83" s="34">
        <v>1</v>
      </c>
      <c r="AZ83" s="34" t="str">
        <v/>
      </c>
      <c r="BA83" s="34">
        <v>0</v>
      </c>
      <c r="BB83" s="34">
        <v>0</v>
      </c>
      <c r="BD83" s="34">
        <v>1</v>
      </c>
      <c r="BE83" s="34">
        <v>0</v>
      </c>
      <c r="BF83" s="34">
        <v>0</v>
      </c>
      <c r="BG83" s="34" t="str">
        <v/>
      </c>
      <c r="BH83" s="34" t="str">
        <v/>
      </c>
      <c r="BI83" s="34" t="str">
        <v/>
      </c>
      <c r="BJ83" s="34" t="str">
        <v/>
      </c>
      <c r="BK83" s="34" t="str">
        <v>MOTOR</v>
      </c>
      <c r="BL83" s="34">
        <v>1</v>
      </c>
      <c r="BM83" s="34" t="str">
        <v/>
      </c>
      <c r="BN83" s="34" t="str">
        <v/>
      </c>
      <c r="BO83" s="34" t="str">
        <v/>
      </c>
      <c r="BP83" s="34" t="str">
        <v/>
      </c>
      <c r="BQ83" s="34" t="str">
        <v>3х1,5</v>
      </c>
      <c r="BR83" s="34" t="str">
        <v/>
      </c>
      <c r="BS83" s="34" t="str">
        <v/>
      </c>
      <c r="BT83" s="34" t="str">
        <v/>
      </c>
      <c r="BU83" s="34">
        <v>0</v>
      </c>
      <c r="BV83" s="34">
        <v>103</v>
      </c>
      <c r="BW83" s="34">
        <v>1</v>
      </c>
      <c r="BX83" s="34">
        <v>0</v>
      </c>
      <c r="BY83" s="34" t="str">
        <v>Привод (двигатель)</v>
      </c>
      <c r="BZ83">
        <v>6</v>
      </c>
      <c r="CA83" t="str">
        <v>линии</v>
      </c>
    </row>
    <row r="84" spans="1:79" x14ac:dyDescent="0.3">
      <c r="A84" s="39" t="str">
        <v>ЩОВ-01</v>
      </c>
      <c r="B84" s="42">
        <v>16</v>
      </c>
      <c r="C84" s="42">
        <v>1</v>
      </c>
      <c r="D84" s="75" t="str">
        <v/>
      </c>
      <c r="E84" s="75" t="str">
        <v>авто</v>
      </c>
      <c r="F84" s="76" t="str">
        <v/>
      </c>
      <c r="G84" s="47" t="str">
        <v>QF4</v>
      </c>
      <c r="H84" s="47" t="str">
        <v>1P С10А</v>
      </c>
      <c r="I84" s="75" t="str">
        <v/>
      </c>
      <c r="J84" s="76" t="str">
        <v/>
      </c>
      <c r="K84" s="76" t="str">
        <v/>
      </c>
      <c r="L84" s="75" t="str">
        <v/>
      </c>
      <c r="M84" s="49" t="str">
        <v/>
      </c>
      <c r="N84" s="76" t="str">
        <v/>
      </c>
      <c r="O84" s="49" t="str">
        <v/>
      </c>
      <c r="P84" s="77" t="str">
        <v>XT4</v>
      </c>
      <c r="Q84" s="53" t="str">
        <v>ВВГнг(А)-LS (3х1,5) L=42-0,72%</v>
      </c>
      <c r="R84" s="54" t="str">
        <v>В.2</v>
      </c>
      <c r="S84" s="55" t="str">
        <v>Вытяжная установка Пом. №003Б</v>
      </c>
      <c r="T84" s="56">
        <v>0.3</v>
      </c>
      <c r="U84" s="56">
        <v>1.6300000000000001</v>
      </c>
      <c r="V84" s="42" t="str">
        <v>L2</v>
      </c>
      <c r="W84" s="57" t="str">
        <v>ok</v>
      </c>
      <c r="X84" s="58" t="str">
        <v/>
      </c>
      <c r="Y84" s="75" t="str">
        <v/>
      </c>
      <c r="Z84" s="59">
        <v>1.6237976320958221</v>
      </c>
      <c r="AA84" s="61">
        <v>6</v>
      </c>
      <c r="AB84" s="61">
        <v>16</v>
      </c>
      <c r="AC84" s="61" t="str">
        <v/>
      </c>
      <c r="AD84" s="62" t="str">
        <v>QF4 → XT4</v>
      </c>
      <c r="AE84" s="62" t="str">
        <v/>
      </c>
      <c r="AF84" s="34">
        <v>4</v>
      </c>
      <c r="AG84" s="34" t="str">
        <v>QF4</v>
      </c>
      <c r="AH84" s="34" t="str">
        <v/>
      </c>
      <c r="AI84" s="34" t="str">
        <v/>
      </c>
      <c r="AJ84" s="34" t="str">
        <v>QF4</v>
      </c>
      <c r="AK84" s="34">
        <v>1</v>
      </c>
      <c r="AL84" s="34" t="str">
        <v>В</v>
      </c>
      <c r="AM84" s="34">
        <v>0</v>
      </c>
      <c r="AN84" s="34">
        <v>0</v>
      </c>
      <c r="AO84" s="34">
        <v>6</v>
      </c>
      <c r="AP84" s="34">
        <v>16</v>
      </c>
      <c r="AQ84" s="34">
        <v>10</v>
      </c>
      <c r="AR84" s="34">
        <v>1</v>
      </c>
      <c r="AS84" s="34">
        <v>0</v>
      </c>
      <c r="AT84" s="34" t="str">
        <v>1P</v>
      </c>
      <c r="AU84" s="34">
        <v>10</v>
      </c>
      <c r="AV84" s="34" t="str">
        <v/>
      </c>
      <c r="AW84" s="34" t="str">
        <v/>
      </c>
      <c r="AX84" s="34" t="str">
        <v/>
      </c>
      <c r="AY84" s="34">
        <v>1</v>
      </c>
      <c r="AZ84" s="34" t="str">
        <v/>
      </c>
      <c r="BA84" s="34">
        <v>0</v>
      </c>
      <c r="BB84" s="34">
        <v>0</v>
      </c>
      <c r="BD84" s="34">
        <v>1</v>
      </c>
      <c r="BE84" s="34">
        <v>0</v>
      </c>
      <c r="BF84" s="34">
        <v>0</v>
      </c>
      <c r="BG84" s="34" t="str">
        <v/>
      </c>
      <c r="BH84" s="34" t="str">
        <v/>
      </c>
      <c r="BI84" s="34" t="str">
        <v/>
      </c>
      <c r="BJ84" s="34" t="str">
        <v/>
      </c>
      <c r="BK84" s="34" t="str">
        <v>MOTOR</v>
      </c>
      <c r="BL84" s="34">
        <v>1</v>
      </c>
      <c r="BM84" s="34" t="str">
        <v/>
      </c>
      <c r="BN84" s="34" t="str">
        <v/>
      </c>
      <c r="BO84" s="34" t="str">
        <v/>
      </c>
      <c r="BP84" s="34" t="str">
        <v/>
      </c>
      <c r="BQ84" s="34" t="str">
        <v>3х1,5</v>
      </c>
      <c r="BR84" s="34" t="str">
        <v/>
      </c>
      <c r="BS84" s="34" t="str">
        <v/>
      </c>
      <c r="BT84" s="34" t="str">
        <v/>
      </c>
      <c r="BU84" s="34">
        <v>0</v>
      </c>
      <c r="BV84" s="34">
        <v>104</v>
      </c>
      <c r="BW84" s="34">
        <v>1</v>
      </c>
      <c r="BX84" s="34">
        <v>0</v>
      </c>
      <c r="BY84" s="34" t="str">
        <v>Привод (двигатель)</v>
      </c>
      <c r="BZ84">
        <v>6</v>
      </c>
      <c r="CA84" t="str">
        <v>линии</v>
      </c>
    </row>
    <row r="85" spans="1:79" x14ac:dyDescent="0.3">
      <c r="A85" s="39" t="str">
        <v>ЩОВ-01</v>
      </c>
      <c r="B85" s="42">
        <v>19</v>
      </c>
      <c r="C85" s="42">
        <v>2</v>
      </c>
      <c r="D85" s="75" t="str">
        <v/>
      </c>
      <c r="E85" s="75" t="str">
        <v>авто</v>
      </c>
      <c r="F85" s="76" t="str">
        <v/>
      </c>
      <c r="G85" s="47" t="str">
        <v>QF5</v>
      </c>
      <c r="H85" s="47" t="str">
        <v>1P С10А</v>
      </c>
      <c r="I85" s="75" t="str">
        <v/>
      </c>
      <c r="J85" s="76" t="str">
        <v/>
      </c>
      <c r="K85" s="76" t="str">
        <v/>
      </c>
      <c r="L85" s="75" t="str">
        <v/>
      </c>
      <c r="M85" s="49" t="str">
        <v/>
      </c>
      <c r="N85" s="76" t="str">
        <v/>
      </c>
      <c r="O85" s="49" t="str">
        <v/>
      </c>
      <c r="P85" s="77" t="str">
        <v/>
      </c>
      <c r="Q85" s="53" t="str">
        <v>ВВГнг(А)-LS (3х1,5) L=38-0,59%</v>
      </c>
      <c r="R85" s="54" t="str">
        <v>В.10</v>
      </c>
      <c r="S85" s="55" t="str">
        <v>Вытяжная установка Пом. №019Б</v>
      </c>
      <c r="T85" s="56">
        <v>0.27</v>
      </c>
      <c r="U85" s="56">
        <v>1.47</v>
      </c>
      <c r="V85" s="42" t="str">
        <v>L2</v>
      </c>
      <c r="W85" s="57" t="str">
        <v>ok</v>
      </c>
      <c r="X85" s="58" t="str">
        <v/>
      </c>
      <c r="Y85" s="75" t="str">
        <v/>
      </c>
      <c r="Z85" s="59">
        <v>1.46141786888624</v>
      </c>
      <c r="AA85" s="61">
        <v>6</v>
      </c>
      <c r="AB85" s="61">
        <v>16</v>
      </c>
      <c r="AC85" s="61" t="str">
        <v/>
      </c>
      <c r="AD85" s="62" t="str">
        <v>QF5</v>
      </c>
      <c r="AE85" s="62" t="str">
        <v/>
      </c>
      <c r="AF85" s="34">
        <v>5</v>
      </c>
      <c r="AG85" s="34" t="str">
        <v>QF5</v>
      </c>
      <c r="AH85" s="34" t="str">
        <v/>
      </c>
      <c r="AI85" s="34" t="str">
        <v/>
      </c>
      <c r="AJ85" s="34" t="str">
        <v>QF5</v>
      </c>
      <c r="AK85" s="34">
        <v>1</v>
      </c>
      <c r="AL85" s="34" t="str">
        <v>В</v>
      </c>
      <c r="AM85" s="34">
        <v>0</v>
      </c>
      <c r="AN85" s="34">
        <v>0</v>
      </c>
      <c r="AO85" s="34">
        <v>6</v>
      </c>
      <c r="AP85" s="34">
        <v>16</v>
      </c>
      <c r="AQ85" s="34">
        <v>10</v>
      </c>
      <c r="AR85" s="34">
        <v>1</v>
      </c>
      <c r="AS85" s="34">
        <v>0</v>
      </c>
      <c r="AT85" s="34" t="str">
        <v>1P</v>
      </c>
      <c r="AU85" s="34">
        <v>10</v>
      </c>
      <c r="AV85" s="34" t="str">
        <v/>
      </c>
      <c r="AW85" s="34" t="str">
        <v/>
      </c>
      <c r="AX85" s="34" t="str">
        <v/>
      </c>
      <c r="AY85" s="34">
        <v>1</v>
      </c>
      <c r="AZ85" s="34" t="str">
        <v/>
      </c>
      <c r="BA85" s="34">
        <v>0</v>
      </c>
      <c r="BB85" s="34">
        <v>0</v>
      </c>
      <c r="BD85" s="34">
        <v>1</v>
      </c>
      <c r="BE85" s="34">
        <v>0</v>
      </c>
      <c r="BF85" s="34">
        <v>0</v>
      </c>
      <c r="BG85" s="34" t="str">
        <v/>
      </c>
      <c r="BH85" s="34" t="str">
        <v/>
      </c>
      <c r="BI85" s="34" t="str">
        <v/>
      </c>
      <c r="BJ85" s="34" t="str">
        <v/>
      </c>
      <c r="BK85" s="34" t="str">
        <v>MOTOR</v>
      </c>
      <c r="BL85" s="34">
        <v>1</v>
      </c>
      <c r="BM85" s="34" t="str">
        <v/>
      </c>
      <c r="BN85" s="34" t="str">
        <v/>
      </c>
      <c r="BO85" s="34" t="str">
        <v/>
      </c>
      <c r="BP85" s="34" t="str">
        <v/>
      </c>
      <c r="BQ85" s="34" t="str">
        <v>3х1,5</v>
      </c>
      <c r="BR85" s="34" t="str">
        <v/>
      </c>
      <c r="BS85" s="34" t="str">
        <v/>
      </c>
      <c r="BT85" s="34" t="str">
        <v/>
      </c>
      <c r="BU85" s="34">
        <v>0</v>
      </c>
      <c r="BV85" s="34">
        <v>105</v>
      </c>
      <c r="BW85" s="34">
        <v>1</v>
      </c>
      <c r="BX85" s="34">
        <v>0</v>
      </c>
      <c r="BY85" s="34" t="str">
        <v>Привод (двигатель)</v>
      </c>
      <c r="BZ85">
        <v>6</v>
      </c>
      <c r="CA85" t="str">
        <v>линии</v>
      </c>
    </row>
    <row r="86" spans="1:79" x14ac:dyDescent="0.3">
      <c r="A86" s="39" t="str">
        <v>ЩОВ-01</v>
      </c>
      <c r="B86" s="42">
        <v>20</v>
      </c>
      <c r="C86" s="42">
        <v>2</v>
      </c>
      <c r="D86" s="75" t="str">
        <v/>
      </c>
      <c r="E86" s="75" t="str">
        <v>авто</v>
      </c>
      <c r="F86" s="76" t="str">
        <v/>
      </c>
      <c r="G86" s="47" t="str">
        <v>QF6</v>
      </c>
      <c r="H86" s="47" t="str">
        <v>1P С10А</v>
      </c>
      <c r="I86" s="75" t="str">
        <v/>
      </c>
      <c r="J86" s="76" t="str">
        <v/>
      </c>
      <c r="K86" s="76" t="str">
        <v/>
      </c>
      <c r="L86" s="75" t="str">
        <v/>
      </c>
      <c r="M86" s="49" t="str">
        <v/>
      </c>
      <c r="N86" s="76" t="str">
        <v/>
      </c>
      <c r="O86" s="49" t="str">
        <v/>
      </c>
      <c r="P86" s="77" t="str">
        <v>XT6</v>
      </c>
      <c r="Q86" s="53" t="str">
        <v>ВВГнг(А)-LS (3х1,5) L=34-0,52%</v>
      </c>
      <c r="R86" s="54" t="str">
        <v>В.24</v>
      </c>
      <c r="S86" s="55" t="str">
        <v>Внутренний блок кондиционирования подвальный этаж Пом. №0001Тб</v>
      </c>
      <c r="T86" s="56">
        <v>0.27</v>
      </c>
      <c r="U86" s="56">
        <v>1.47</v>
      </c>
      <c r="V86" s="42" t="str">
        <v>L3</v>
      </c>
      <c r="W86" s="57" t="str">
        <v>ok</v>
      </c>
      <c r="X86" s="58" t="str">
        <v/>
      </c>
      <c r="Y86" s="75" t="str">
        <v/>
      </c>
      <c r="Z86" s="59">
        <v>1.46141786888624</v>
      </c>
      <c r="AA86" s="61">
        <v>6</v>
      </c>
      <c r="AB86" s="61">
        <v>16</v>
      </c>
      <c r="AC86" s="61" t="str">
        <v/>
      </c>
      <c r="AD86" s="62" t="str">
        <v>QF6 → XT6</v>
      </c>
      <c r="AE86" s="62" t="str">
        <v/>
      </c>
      <c r="AF86" s="34">
        <v>6</v>
      </c>
      <c r="AG86" s="34" t="str">
        <v>QF6</v>
      </c>
      <c r="AH86" s="34" t="str">
        <v/>
      </c>
      <c r="AI86" s="34" t="str">
        <v/>
      </c>
      <c r="AJ86" s="34" t="str">
        <v>QF6</v>
      </c>
      <c r="AK86" s="34">
        <v>1</v>
      </c>
      <c r="AL86" s="34" t="str">
        <v>В</v>
      </c>
      <c r="AM86" s="34">
        <v>0</v>
      </c>
      <c r="AN86" s="34">
        <v>0</v>
      </c>
      <c r="AO86" s="34">
        <v>6</v>
      </c>
      <c r="AP86" s="34">
        <v>16</v>
      </c>
      <c r="AQ86" s="34">
        <v>10</v>
      </c>
      <c r="AR86" s="34">
        <v>1</v>
      </c>
      <c r="AS86" s="34">
        <v>0</v>
      </c>
      <c r="AT86" s="34" t="str">
        <v>1P</v>
      </c>
      <c r="AU86" s="34">
        <v>10</v>
      </c>
      <c r="AV86" s="34" t="str">
        <v/>
      </c>
      <c r="AW86" s="34" t="str">
        <v/>
      </c>
      <c r="AX86" s="34" t="str">
        <v/>
      </c>
      <c r="AY86" s="34">
        <v>1</v>
      </c>
      <c r="AZ86" s="34" t="str">
        <v/>
      </c>
      <c r="BA86" s="34">
        <v>0</v>
      </c>
      <c r="BB86" s="34">
        <v>0</v>
      </c>
      <c r="BD86" s="34">
        <v>1</v>
      </c>
      <c r="BE86" s="34">
        <v>0</v>
      </c>
      <c r="BF86" s="34">
        <v>0</v>
      </c>
      <c r="BG86" s="34" t="str">
        <v/>
      </c>
      <c r="BH86" s="34" t="str">
        <v/>
      </c>
      <c r="BI86" s="34" t="str">
        <v/>
      </c>
      <c r="BJ86" s="34" t="str">
        <v/>
      </c>
      <c r="BK86" s="34" t="str">
        <v>MOTOR</v>
      </c>
      <c r="BL86" s="34">
        <v>1</v>
      </c>
      <c r="BM86" s="34" t="str">
        <v/>
      </c>
      <c r="BN86" s="34" t="str">
        <v/>
      </c>
      <c r="BO86" s="34" t="str">
        <v/>
      </c>
      <c r="BP86" s="34" t="str">
        <v/>
      </c>
      <c r="BQ86" s="34" t="str">
        <v>3х1,5</v>
      </c>
      <c r="BR86" s="34" t="str">
        <v/>
      </c>
      <c r="BS86" s="34" t="str">
        <v/>
      </c>
      <c r="BT86" s="34" t="str">
        <v/>
      </c>
      <c r="BU86" s="34">
        <v>0</v>
      </c>
      <c r="BV86" s="34">
        <v>106</v>
      </c>
      <c r="BW86" s="34">
        <v>1</v>
      </c>
      <c r="BX86" s="34">
        <v>0</v>
      </c>
      <c r="BY86" s="34" t="str">
        <v>Привод (двигатель)</v>
      </c>
      <c r="BZ86">
        <v>6</v>
      </c>
      <c r="CA86" t="str">
        <v>линии</v>
      </c>
    </row>
    <row r="87" spans="1:79" x14ac:dyDescent="0.3">
      <c r="A87" s="39" t="str">
        <v>ЩОВ-01</v>
      </c>
      <c r="B87" s="42">
        <v>21</v>
      </c>
      <c r="C87" s="42">
        <v>2</v>
      </c>
      <c r="D87" s="75" t="str">
        <v/>
      </c>
      <c r="E87" s="75" t="str">
        <v>авто</v>
      </c>
      <c r="F87" s="76" t="str">
        <v/>
      </c>
      <c r="G87" s="47" t="str">
        <v>QF7</v>
      </c>
      <c r="H87" s="47" t="str">
        <v>1P С10А</v>
      </c>
      <c r="I87" s="75" t="str">
        <v/>
      </c>
      <c r="J87" s="76" t="str">
        <v/>
      </c>
      <c r="K87" s="76" t="str">
        <v/>
      </c>
      <c r="L87" s="75" t="str">
        <v/>
      </c>
      <c r="M87" s="49" t="str">
        <v/>
      </c>
      <c r="N87" s="76" t="str">
        <v/>
      </c>
      <c r="O87" s="49" t="str">
        <v/>
      </c>
      <c r="P87" s="77" t="str">
        <v/>
      </c>
      <c r="Q87" s="53" t="str">
        <v>ВВГнг(А)-LS (3х1,5) L=34-0,52%</v>
      </c>
      <c r="R87" s="54" t="str">
        <v>В.25</v>
      </c>
      <c r="S87" s="55" t="str">
        <v>Внутренний блок кондиционирования подвальный этаж Пом. №01Тб</v>
      </c>
      <c r="T87" s="56">
        <v>0.27</v>
      </c>
      <c r="U87" s="56">
        <v>1.47</v>
      </c>
      <c r="V87" s="42" t="str">
        <v>L1</v>
      </c>
      <c r="W87" s="57" t="str">
        <v>ok</v>
      </c>
      <c r="X87" s="58" t="str">
        <v/>
      </c>
      <c r="Y87" s="75" t="str">
        <v/>
      </c>
      <c r="Z87" s="59">
        <v>1.46141786888624</v>
      </c>
      <c r="AA87" s="61">
        <v>6</v>
      </c>
      <c r="AB87" s="61">
        <v>16</v>
      </c>
      <c r="AC87" s="61" t="str">
        <v/>
      </c>
      <c r="AD87" s="62" t="str">
        <v>QF7</v>
      </c>
      <c r="AE87" s="62" t="str">
        <v/>
      </c>
      <c r="AF87" s="34">
        <v>7</v>
      </c>
      <c r="AG87" s="34" t="str">
        <v>QF7</v>
      </c>
      <c r="AH87" s="34" t="str">
        <v/>
      </c>
      <c r="AI87" s="34" t="str">
        <v/>
      </c>
      <c r="AJ87" s="34" t="str">
        <v>QF7</v>
      </c>
      <c r="AK87" s="34">
        <v>1</v>
      </c>
      <c r="AL87" s="34" t="str">
        <v>В</v>
      </c>
      <c r="AM87" s="34">
        <v>0</v>
      </c>
      <c r="AN87" s="34">
        <v>0</v>
      </c>
      <c r="AO87" s="34">
        <v>6</v>
      </c>
      <c r="AP87" s="34">
        <v>16</v>
      </c>
      <c r="AQ87" s="34">
        <v>10</v>
      </c>
      <c r="AR87" s="34">
        <v>1</v>
      </c>
      <c r="AS87" s="34">
        <v>0</v>
      </c>
      <c r="AT87" s="34" t="str">
        <v>1P</v>
      </c>
      <c r="AU87" s="34">
        <v>10</v>
      </c>
      <c r="AV87" s="34" t="str">
        <v/>
      </c>
      <c r="AW87" s="34" t="str">
        <v/>
      </c>
      <c r="AX87" s="34" t="str">
        <v/>
      </c>
      <c r="AY87" s="34">
        <v>1</v>
      </c>
      <c r="AZ87" s="34" t="str">
        <v/>
      </c>
      <c r="BA87" s="34">
        <v>0</v>
      </c>
      <c r="BB87" s="34">
        <v>0</v>
      </c>
      <c r="BD87" s="34">
        <v>1</v>
      </c>
      <c r="BE87" s="34">
        <v>0</v>
      </c>
      <c r="BF87" s="34">
        <v>0</v>
      </c>
      <c r="BG87" s="34" t="str">
        <v/>
      </c>
      <c r="BH87" s="34" t="str">
        <v/>
      </c>
      <c r="BI87" s="34" t="str">
        <v/>
      </c>
      <c r="BJ87" s="34" t="str">
        <v/>
      </c>
      <c r="BK87" s="34" t="str">
        <v>MOTOR</v>
      </c>
      <c r="BL87" s="34">
        <v>1</v>
      </c>
      <c r="BM87" s="34" t="str">
        <v/>
      </c>
      <c r="BN87" s="34" t="str">
        <v/>
      </c>
      <c r="BO87" s="34" t="str">
        <v/>
      </c>
      <c r="BP87" s="34" t="str">
        <v/>
      </c>
      <c r="BQ87" s="34" t="str">
        <v>3х1,5</v>
      </c>
      <c r="BR87" s="34" t="str">
        <v/>
      </c>
      <c r="BS87" s="34" t="str">
        <v/>
      </c>
      <c r="BT87" s="34" t="str">
        <v/>
      </c>
      <c r="BU87" s="34">
        <v>0</v>
      </c>
      <c r="BV87" s="34">
        <v>107</v>
      </c>
      <c r="BW87" s="34">
        <v>1</v>
      </c>
      <c r="BX87" s="34">
        <v>0</v>
      </c>
      <c r="BY87" s="34" t="str">
        <v>Привод (двигатель)</v>
      </c>
      <c r="BZ87">
        <v>6</v>
      </c>
      <c r="CA87" t="str">
        <v>линии</v>
      </c>
    </row>
    <row r="88" spans="1:79" x14ac:dyDescent="0.3">
      <c r="A88" s="39" t="str">
        <v>ЩОВ-01</v>
      </c>
      <c r="B88" s="42">
        <v>22</v>
      </c>
      <c r="C88" s="42">
        <v>2</v>
      </c>
      <c r="D88" s="75" t="str">
        <v/>
      </c>
      <c r="E88" s="75" t="str">
        <v>авто</v>
      </c>
      <c r="F88" s="76" t="str">
        <v/>
      </c>
      <c r="G88" s="47" t="str">
        <v>QF8</v>
      </c>
      <c r="H88" s="47" t="str">
        <v>1P С10А</v>
      </c>
      <c r="I88" s="75" t="str">
        <v/>
      </c>
      <c r="J88" s="76" t="str">
        <v/>
      </c>
      <c r="K88" s="76" t="str">
        <v/>
      </c>
      <c r="L88" s="75" t="str">
        <v/>
      </c>
      <c r="M88" s="49" t="str">
        <v/>
      </c>
      <c r="N88" s="76" t="str">
        <v/>
      </c>
      <c r="O88" s="49" t="str">
        <v/>
      </c>
      <c r="P88" s="77" t="str">
        <v/>
      </c>
      <c r="Q88" s="53" t="str">
        <v>ВВГнг(А)-LS (3х1,5) L=11-0,07%</v>
      </c>
      <c r="R88" s="54" t="str">
        <v>K.0.001T.1</v>
      </c>
      <c r="S88" s="55" t="str">
        <v>Внутренний блок кондиционирования цокольный этаж Пом. №001Т</v>
      </c>
      <c r="T88" s="56">
        <v>0.104</v>
      </c>
      <c r="U88" s="56">
        <v>0.57000000000000006</v>
      </c>
      <c r="V88" s="42" t="str">
        <v>L3</v>
      </c>
      <c r="W88" s="57" t="str">
        <v>ok</v>
      </c>
      <c r="X88" s="58" t="str">
        <v/>
      </c>
      <c r="Y88" s="75" t="str">
        <v/>
      </c>
      <c r="Z88" s="59">
        <v>0.56291651245988494</v>
      </c>
      <c r="AA88" s="61">
        <v>6</v>
      </c>
      <c r="AB88" s="61">
        <v>16</v>
      </c>
      <c r="AC88" s="61" t="str">
        <v/>
      </c>
      <c r="AD88" s="62" t="str">
        <v>QF8</v>
      </c>
      <c r="AE88" s="62" t="str">
        <v/>
      </c>
      <c r="AF88" s="34">
        <v>8</v>
      </c>
      <c r="AG88" s="34" t="str">
        <v>QF8</v>
      </c>
      <c r="AH88" s="34" t="str">
        <v/>
      </c>
      <c r="AI88" s="34" t="str">
        <v/>
      </c>
      <c r="AJ88" s="34" t="str">
        <v>QF8</v>
      </c>
      <c r="AK88" s="34">
        <v>1</v>
      </c>
      <c r="AL88" s="34" t="str">
        <v>K</v>
      </c>
      <c r="AM88" s="34">
        <v>0</v>
      </c>
      <c r="AN88" s="34">
        <v>0</v>
      </c>
      <c r="AO88" s="34">
        <v>6</v>
      </c>
      <c r="AP88" s="34">
        <v>16</v>
      </c>
      <c r="AQ88" s="34">
        <v>10</v>
      </c>
      <c r="AR88" s="34">
        <v>1</v>
      </c>
      <c r="AS88" s="34">
        <v>0</v>
      </c>
      <c r="AT88" s="34" t="str">
        <v>1P</v>
      </c>
      <c r="AU88" s="34">
        <v>10</v>
      </c>
      <c r="AV88" s="34" t="str">
        <v/>
      </c>
      <c r="AW88" s="34" t="str">
        <v/>
      </c>
      <c r="AX88" s="34" t="str">
        <v/>
      </c>
      <c r="AY88" s="34">
        <v>1</v>
      </c>
      <c r="AZ88" s="34" t="str">
        <v/>
      </c>
      <c r="BA88" s="34">
        <v>0</v>
      </c>
      <c r="BB88" s="34">
        <v>0</v>
      </c>
      <c r="BD88" s="34">
        <v>1</v>
      </c>
      <c r="BE88" s="34">
        <v>0</v>
      </c>
      <c r="BF88" s="34">
        <v>0</v>
      </c>
      <c r="BG88" s="34" t="str">
        <v/>
      </c>
      <c r="BH88" s="34" t="str">
        <v/>
      </c>
      <c r="BI88" s="34" t="str">
        <v/>
      </c>
      <c r="BJ88" s="34" t="str">
        <v/>
      </c>
      <c r="BK88" s="34" t="str">
        <v>BOX</v>
      </c>
      <c r="BL88" s="34">
        <v>1</v>
      </c>
      <c r="BM88" s="34" t="str">
        <v/>
      </c>
      <c r="BN88" s="34" t="str">
        <v/>
      </c>
      <c r="BO88" s="34" t="str">
        <v/>
      </c>
      <c r="BP88" s="34" t="str">
        <v/>
      </c>
      <c r="BQ88" s="34" t="str">
        <v>3х1,5</v>
      </c>
      <c r="BR88" s="34" t="str">
        <v/>
      </c>
      <c r="BS88" s="34" t="str">
        <v/>
      </c>
      <c r="BT88" s="34" t="str">
        <v/>
      </c>
      <c r="BU88" s="34">
        <v>0</v>
      </c>
      <c r="BV88" s="34">
        <v>108</v>
      </c>
      <c r="BW88" s="34">
        <v>1</v>
      </c>
      <c r="BX88" s="34">
        <v>0</v>
      </c>
      <c r="BY88" s="34">
        <v>0</v>
      </c>
      <c r="BZ88">
        <v>6</v>
      </c>
      <c r="CA88" t="str">
        <v>линии</v>
      </c>
    </row>
    <row r="89" spans="1:79" x14ac:dyDescent="0.3">
      <c r="A89" s="39" t="str">
        <v>ЩОВ-01</v>
      </c>
      <c r="B89" s="42">
        <v>23</v>
      </c>
      <c r="C89" s="42">
        <v>2</v>
      </c>
      <c r="D89" s="75" t="str">
        <v/>
      </c>
      <c r="E89" s="75" t="str">
        <v>авто</v>
      </c>
      <c r="F89" s="76" t="str">
        <v/>
      </c>
      <c r="G89" s="47" t="str">
        <v>QF9</v>
      </c>
      <c r="H89" s="47" t="str">
        <v>1P С10А</v>
      </c>
      <c r="I89" s="75" t="str">
        <v/>
      </c>
      <c r="J89" s="76" t="str">
        <v/>
      </c>
      <c r="K89" s="76" t="str">
        <v/>
      </c>
      <c r="L89" s="75" t="str">
        <v/>
      </c>
      <c r="M89" s="49" t="str">
        <v/>
      </c>
      <c r="N89" s="76" t="str">
        <v/>
      </c>
      <c r="O89" s="49" t="str">
        <v/>
      </c>
      <c r="P89" s="77" t="str">
        <v/>
      </c>
      <c r="Q89" s="53" t="str">
        <v>ВВГнг(А)-LS (3х1,5) L=12-0,08%</v>
      </c>
      <c r="R89" s="54" t="str">
        <v>K.0.001T.2</v>
      </c>
      <c r="S89" s="55" t="str">
        <v>Внутренний блок кондиционирования цокольный этаж Пом. №001Т</v>
      </c>
      <c r="T89" s="56">
        <v>0.104</v>
      </c>
      <c r="U89" s="56">
        <v>0.57000000000000006</v>
      </c>
      <c r="V89" s="42" t="str">
        <v>L2</v>
      </c>
      <c r="W89" s="57" t="str">
        <v>ok</v>
      </c>
      <c r="X89" s="58" t="str">
        <v/>
      </c>
      <c r="Y89" s="75" t="str">
        <v/>
      </c>
      <c r="Z89" s="59">
        <v>0.56291651245988494</v>
      </c>
      <c r="AA89" s="61">
        <v>6</v>
      </c>
      <c r="AB89" s="61">
        <v>16</v>
      </c>
      <c r="AC89" s="61" t="str">
        <v/>
      </c>
      <c r="AD89" s="62" t="str">
        <v>QF9</v>
      </c>
      <c r="AE89" s="62" t="str">
        <v/>
      </c>
      <c r="AF89" s="34">
        <v>9</v>
      </c>
      <c r="AG89" s="34" t="str">
        <v>QF9</v>
      </c>
      <c r="AH89" s="34" t="str">
        <v/>
      </c>
      <c r="AI89" s="34" t="str">
        <v/>
      </c>
      <c r="AJ89" s="34" t="str">
        <v>QF9</v>
      </c>
      <c r="AK89" s="34">
        <v>1</v>
      </c>
      <c r="AL89" s="34" t="str">
        <v>K</v>
      </c>
      <c r="AM89" s="34">
        <v>0</v>
      </c>
      <c r="AN89" s="34">
        <v>0</v>
      </c>
      <c r="AO89" s="34">
        <v>6</v>
      </c>
      <c r="AP89" s="34">
        <v>16</v>
      </c>
      <c r="AQ89" s="34">
        <v>10</v>
      </c>
      <c r="AR89" s="34">
        <v>1</v>
      </c>
      <c r="AS89" s="34">
        <v>0</v>
      </c>
      <c r="AT89" s="34" t="str">
        <v>1P</v>
      </c>
      <c r="AU89" s="34">
        <v>10</v>
      </c>
      <c r="AV89" s="34" t="str">
        <v/>
      </c>
      <c r="AW89" s="34" t="str">
        <v/>
      </c>
      <c r="AX89" s="34" t="str">
        <v/>
      </c>
      <c r="AY89" s="34">
        <v>1</v>
      </c>
      <c r="AZ89" s="34" t="str">
        <v/>
      </c>
      <c r="BA89" s="34">
        <v>0</v>
      </c>
      <c r="BB89" s="34">
        <v>0</v>
      </c>
      <c r="BD89" s="34">
        <v>1</v>
      </c>
      <c r="BE89" s="34">
        <v>0</v>
      </c>
      <c r="BF89" s="34">
        <v>0</v>
      </c>
      <c r="BG89" s="34" t="str">
        <v/>
      </c>
      <c r="BH89" s="34" t="str">
        <v/>
      </c>
      <c r="BI89" s="34" t="str">
        <v/>
      </c>
      <c r="BJ89" s="34" t="str">
        <v/>
      </c>
      <c r="BK89" s="34" t="str">
        <v>BOX</v>
      </c>
      <c r="BL89" s="34">
        <v>1</v>
      </c>
      <c r="BM89" s="34" t="str">
        <v/>
      </c>
      <c r="BN89" s="34" t="str">
        <v/>
      </c>
      <c r="BO89" s="34" t="str">
        <v/>
      </c>
      <c r="BP89" s="34" t="str">
        <v/>
      </c>
      <c r="BQ89" s="34" t="str">
        <v>3х1,5</v>
      </c>
      <c r="BR89" s="34" t="str">
        <v/>
      </c>
      <c r="BS89" s="34" t="str">
        <v/>
      </c>
      <c r="BT89" s="34" t="str">
        <v/>
      </c>
      <c r="BU89" s="34">
        <v>0</v>
      </c>
      <c r="BV89" s="34">
        <v>109</v>
      </c>
      <c r="BW89" s="34">
        <v>1</v>
      </c>
      <c r="BX89" s="34">
        <v>0</v>
      </c>
      <c r="BY89" s="34">
        <v>0</v>
      </c>
      <c r="BZ89">
        <v>6</v>
      </c>
      <c r="CA89" t="str">
        <v>линии</v>
      </c>
    </row>
    <row r="90" spans="1:79" x14ac:dyDescent="0.3">
      <c r="A90" s="39" t="str">
        <v>ЩОВ-01</v>
      </c>
      <c r="B90" s="42">
        <v>24</v>
      </c>
      <c r="C90" s="42">
        <v>2</v>
      </c>
      <c r="D90" s="75" t="str">
        <v/>
      </c>
      <c r="E90" s="75" t="str">
        <v>авто</v>
      </c>
      <c r="F90" s="76" t="str">
        <v/>
      </c>
      <c r="G90" s="47" t="str">
        <v>QF10</v>
      </c>
      <c r="H90" s="47" t="str">
        <v>1P С10А</v>
      </c>
      <c r="I90" s="75" t="str">
        <v/>
      </c>
      <c r="J90" s="76" t="str">
        <v/>
      </c>
      <c r="K90" s="76" t="str">
        <v/>
      </c>
      <c r="L90" s="75" t="str">
        <v/>
      </c>
      <c r="M90" s="49" t="str">
        <v/>
      </c>
      <c r="N90" s="76" t="str">
        <v/>
      </c>
      <c r="O90" s="49" t="str">
        <v/>
      </c>
      <c r="P90" s="77" t="str">
        <v/>
      </c>
      <c r="Q90" s="53" t="str">
        <v>ВВГнг(А)-LS (3х1,5) L=27-0,24%</v>
      </c>
      <c r="R90" s="54" t="str">
        <v>K.0.002T.1</v>
      </c>
      <c r="S90" s="55" t="str">
        <v>Внутренний блок кондиционирования цокольный этаж Пом. №002Т</v>
      </c>
      <c r="T90" s="56">
        <v>0.151</v>
      </c>
      <c r="U90" s="56">
        <v>0.82000000000000006</v>
      </c>
      <c r="V90" s="42" t="str">
        <v>L3</v>
      </c>
      <c r="W90" s="57" t="str">
        <v>ok</v>
      </c>
      <c r="X90" s="58" t="str">
        <v/>
      </c>
      <c r="Y90" s="75" t="str">
        <v/>
      </c>
      <c r="Z90" s="59">
        <v>0.81731147482156374</v>
      </c>
      <c r="AA90" s="61">
        <v>6</v>
      </c>
      <c r="AB90" s="61">
        <v>16</v>
      </c>
      <c r="AC90" s="61" t="str">
        <v/>
      </c>
      <c r="AD90" s="62" t="str">
        <v>QF10</v>
      </c>
      <c r="AE90" s="62" t="str">
        <v/>
      </c>
      <c r="AF90" s="34">
        <v>10</v>
      </c>
      <c r="AG90" s="34" t="str">
        <v>QF10</v>
      </c>
      <c r="AH90" s="34" t="str">
        <v/>
      </c>
      <c r="AI90" s="34" t="str">
        <v/>
      </c>
      <c r="AJ90" s="34" t="str">
        <v>QF10</v>
      </c>
      <c r="AK90" s="34">
        <v>1</v>
      </c>
      <c r="AL90" s="34" t="str">
        <v>K</v>
      </c>
      <c r="AM90" s="34">
        <v>0</v>
      </c>
      <c r="AN90" s="34">
        <v>0</v>
      </c>
      <c r="AO90" s="34">
        <v>6</v>
      </c>
      <c r="AP90" s="34">
        <v>16</v>
      </c>
      <c r="AQ90" s="34">
        <v>10</v>
      </c>
      <c r="AR90" s="34">
        <v>1</v>
      </c>
      <c r="AS90" s="34">
        <v>0</v>
      </c>
      <c r="AT90" s="34" t="str">
        <v>1P</v>
      </c>
      <c r="AU90" s="34">
        <v>10</v>
      </c>
      <c r="AV90" s="34" t="str">
        <v/>
      </c>
      <c r="AW90" s="34" t="str">
        <v/>
      </c>
      <c r="AX90" s="34" t="str">
        <v/>
      </c>
      <c r="AY90" s="34">
        <v>1</v>
      </c>
      <c r="AZ90" s="34" t="str">
        <v/>
      </c>
      <c r="BA90" s="34">
        <v>0</v>
      </c>
      <c r="BB90" s="34">
        <v>0</v>
      </c>
      <c r="BD90" s="34">
        <v>1</v>
      </c>
      <c r="BE90" s="34">
        <v>0</v>
      </c>
      <c r="BF90" s="34">
        <v>0</v>
      </c>
      <c r="BG90" s="34" t="str">
        <v/>
      </c>
      <c r="BH90" s="34" t="str">
        <v/>
      </c>
      <c r="BI90" s="34" t="str">
        <v/>
      </c>
      <c r="BJ90" s="34" t="str">
        <v/>
      </c>
      <c r="BK90" s="34" t="str">
        <v>BOX</v>
      </c>
      <c r="BL90" s="34">
        <v>1</v>
      </c>
      <c r="BM90" s="34" t="str">
        <v/>
      </c>
      <c r="BN90" s="34" t="str">
        <v/>
      </c>
      <c r="BO90" s="34" t="str">
        <v/>
      </c>
      <c r="BP90" s="34" t="str">
        <v/>
      </c>
      <c r="BQ90" s="34" t="str">
        <v>3х1,5</v>
      </c>
      <c r="BR90" s="34" t="str">
        <v/>
      </c>
      <c r="BS90" s="34" t="str">
        <v/>
      </c>
      <c r="BT90" s="34" t="str">
        <v/>
      </c>
      <c r="BU90" s="34">
        <v>0</v>
      </c>
      <c r="BV90" s="34">
        <v>110</v>
      </c>
      <c r="BW90" s="34">
        <v>1</v>
      </c>
      <c r="BX90" s="34">
        <v>0</v>
      </c>
      <c r="BY90" s="34">
        <v>0</v>
      </c>
      <c r="BZ90">
        <v>6</v>
      </c>
      <c r="CA90" t="str">
        <v>линии</v>
      </c>
    </row>
    <row r="91" spans="1:79" x14ac:dyDescent="0.3">
      <c r="A91" s="39" t="str">
        <v>ЩОВ-01</v>
      </c>
      <c r="B91" s="42">
        <v>25</v>
      </c>
      <c r="C91" s="42">
        <v>2</v>
      </c>
      <c r="D91" s="75" t="str">
        <v/>
      </c>
      <c r="E91" s="75" t="str">
        <v>авто</v>
      </c>
      <c r="F91" s="76" t="str">
        <v/>
      </c>
      <c r="G91" s="47" t="str">
        <v>QF11</v>
      </c>
      <c r="H91" s="47" t="str">
        <v>1P С10А</v>
      </c>
      <c r="I91" s="75" t="str">
        <v/>
      </c>
      <c r="J91" s="76" t="str">
        <v/>
      </c>
      <c r="K91" s="76" t="str">
        <v/>
      </c>
      <c r="L91" s="75" t="str">
        <v/>
      </c>
      <c r="M91" s="49" t="str">
        <v/>
      </c>
      <c r="N91" s="76" t="str">
        <v/>
      </c>
      <c r="O91" s="49" t="str">
        <v/>
      </c>
      <c r="P91" s="77" t="str">
        <v/>
      </c>
      <c r="Q91" s="53" t="str">
        <v>ВВГнг(А)-LS (3х1,5) L=25-0,22%</v>
      </c>
      <c r="R91" s="54" t="str">
        <v>K.0.002T.2</v>
      </c>
      <c r="S91" s="55" t="str">
        <v>Внутренний блок кондиционирования цокольный этаж Пом. №002Т</v>
      </c>
      <c r="T91" s="56">
        <v>0.151</v>
      </c>
      <c r="U91" s="56">
        <v>0.82000000000000006</v>
      </c>
      <c r="V91" s="42" t="str">
        <v>L1</v>
      </c>
      <c r="W91" s="57" t="str">
        <v>ok</v>
      </c>
      <c r="X91" s="58" t="str">
        <v/>
      </c>
      <c r="Y91" s="75" t="str">
        <v/>
      </c>
      <c r="Z91" s="59">
        <v>0.81731147482156374</v>
      </c>
      <c r="AA91" s="61">
        <v>6</v>
      </c>
      <c r="AB91" s="61">
        <v>16</v>
      </c>
      <c r="AC91" s="61" t="str">
        <v/>
      </c>
      <c r="AD91" s="62" t="str">
        <v>QF11</v>
      </c>
      <c r="AE91" s="62" t="str">
        <v/>
      </c>
      <c r="AF91" s="34">
        <v>11</v>
      </c>
      <c r="AG91" s="34" t="str">
        <v>QF11</v>
      </c>
      <c r="AH91" s="34" t="str">
        <v/>
      </c>
      <c r="AI91" s="34" t="str">
        <v/>
      </c>
      <c r="AJ91" s="34" t="str">
        <v>QF11</v>
      </c>
      <c r="AK91" s="34">
        <v>1</v>
      </c>
      <c r="AL91" s="34" t="str">
        <v>K</v>
      </c>
      <c r="AM91" s="34">
        <v>0</v>
      </c>
      <c r="AN91" s="34">
        <v>0</v>
      </c>
      <c r="AO91" s="34">
        <v>6</v>
      </c>
      <c r="AP91" s="34">
        <v>16</v>
      </c>
      <c r="AQ91" s="34">
        <v>10</v>
      </c>
      <c r="AR91" s="34">
        <v>1</v>
      </c>
      <c r="AS91" s="34">
        <v>0</v>
      </c>
      <c r="AT91" s="34" t="str">
        <v>1P</v>
      </c>
      <c r="AU91" s="34">
        <v>10</v>
      </c>
      <c r="AV91" s="34" t="str">
        <v/>
      </c>
      <c r="AW91" s="34" t="str">
        <v/>
      </c>
      <c r="AX91" s="34" t="str">
        <v/>
      </c>
      <c r="AY91" s="34">
        <v>1</v>
      </c>
      <c r="AZ91" s="34" t="str">
        <v/>
      </c>
      <c r="BA91" s="34">
        <v>0</v>
      </c>
      <c r="BB91" s="34">
        <v>0</v>
      </c>
      <c r="BD91" s="34">
        <v>1</v>
      </c>
      <c r="BE91" s="34">
        <v>0</v>
      </c>
      <c r="BF91" s="34">
        <v>0</v>
      </c>
      <c r="BG91" s="34" t="str">
        <v/>
      </c>
      <c r="BH91" s="34" t="str">
        <v/>
      </c>
      <c r="BI91" s="34" t="str">
        <v/>
      </c>
      <c r="BJ91" s="34" t="str">
        <v/>
      </c>
      <c r="BK91" s="34" t="str">
        <v>BOX</v>
      </c>
      <c r="BL91" s="34">
        <v>1</v>
      </c>
      <c r="BM91" s="34" t="str">
        <v/>
      </c>
      <c r="BN91" s="34" t="str">
        <v/>
      </c>
      <c r="BO91" s="34" t="str">
        <v/>
      </c>
      <c r="BP91" s="34" t="str">
        <v/>
      </c>
      <c r="BQ91" s="34" t="str">
        <v>3х1,5</v>
      </c>
      <c r="BR91" s="34" t="str">
        <v/>
      </c>
      <c r="BS91" s="34" t="str">
        <v/>
      </c>
      <c r="BT91" s="34" t="str">
        <v/>
      </c>
      <c r="BU91" s="34">
        <v>0</v>
      </c>
      <c r="BV91" s="34">
        <v>111</v>
      </c>
      <c r="BW91" s="34">
        <v>1</v>
      </c>
      <c r="BX91" s="34">
        <v>0</v>
      </c>
      <c r="BY91" s="34">
        <v>0</v>
      </c>
      <c r="BZ91">
        <v>6</v>
      </c>
      <c r="CA91" t="str">
        <v>линии</v>
      </c>
    </row>
    <row r="92" spans="1:79" x14ac:dyDescent="0.3">
      <c r="A92" s="39" t="str">
        <v>ЩОВ-01</v>
      </c>
      <c r="B92" s="42">
        <v>26</v>
      </c>
      <c r="C92" s="42">
        <v>2</v>
      </c>
      <c r="D92" s="75" t="str">
        <v/>
      </c>
      <c r="E92" s="75" t="str">
        <v>авто</v>
      </c>
      <c r="F92" s="76" t="str">
        <v/>
      </c>
      <c r="G92" s="47" t="str">
        <v>QF12</v>
      </c>
      <c r="H92" s="47" t="str">
        <v>1P С10А</v>
      </c>
      <c r="I92" s="75" t="str">
        <v/>
      </c>
      <c r="J92" s="76" t="str">
        <v/>
      </c>
      <c r="K92" s="76" t="str">
        <v/>
      </c>
      <c r="L92" s="75" t="str">
        <v/>
      </c>
      <c r="M92" s="49" t="str">
        <v/>
      </c>
      <c r="N92" s="76" t="str">
        <v/>
      </c>
      <c r="O92" s="49" t="str">
        <v/>
      </c>
      <c r="P92" s="77" t="str">
        <v/>
      </c>
      <c r="Q92" s="53" t="str">
        <v>ВВГнг(А)-LS (3х1,5) L=54-0,5%</v>
      </c>
      <c r="R92" s="54" t="str">
        <v>K.0.004A-K.0.005A</v>
      </c>
      <c r="S92" s="55" t="str">
        <v>Внутренний блок кондиционирования цокольный этаж Пом. №013.1Б</v>
      </c>
      <c r="T92" s="56">
        <v>0.16200000000000001</v>
      </c>
      <c r="U92" s="56">
        <v>0.88</v>
      </c>
      <c r="V92" s="42" t="str">
        <v>L3</v>
      </c>
      <c r="W92" s="57" t="str">
        <v>ok</v>
      </c>
      <c r="X92" s="58" t="str">
        <v/>
      </c>
      <c r="Y92" s="75" t="str">
        <v/>
      </c>
      <c r="Z92" s="59">
        <v>0.87685072133174402</v>
      </c>
      <c r="AA92" s="61">
        <v>6</v>
      </c>
      <c r="AB92" s="61">
        <v>16</v>
      </c>
      <c r="AC92" s="61" t="str">
        <v/>
      </c>
      <c r="AD92" s="62" t="str">
        <v>QF12</v>
      </c>
      <c r="AE92" s="62" t="str">
        <v/>
      </c>
      <c r="AF92" s="34">
        <v>12</v>
      </c>
      <c r="AG92" s="34" t="str">
        <v>QF12</v>
      </c>
      <c r="AH92" s="34" t="str">
        <v/>
      </c>
      <c r="AI92" s="34" t="str">
        <v/>
      </c>
      <c r="AJ92" s="34" t="str">
        <v>QF12</v>
      </c>
      <c r="AK92" s="34">
        <v>1</v>
      </c>
      <c r="AL92" s="34" t="str">
        <v>K</v>
      </c>
      <c r="AM92" s="34">
        <v>0</v>
      </c>
      <c r="AN92" s="34">
        <v>0</v>
      </c>
      <c r="AO92" s="34">
        <v>6</v>
      </c>
      <c r="AP92" s="34">
        <v>16</v>
      </c>
      <c r="AQ92" s="34">
        <v>10</v>
      </c>
      <c r="AR92" s="34">
        <v>1</v>
      </c>
      <c r="AS92" s="34">
        <v>0</v>
      </c>
      <c r="AT92" s="34" t="str">
        <v>1P</v>
      </c>
      <c r="AU92" s="34">
        <v>10</v>
      </c>
      <c r="AV92" s="34" t="str">
        <v/>
      </c>
      <c r="AW92" s="34" t="str">
        <v/>
      </c>
      <c r="AX92" s="34" t="str">
        <v/>
      </c>
      <c r="AY92" s="34">
        <v>1</v>
      </c>
      <c r="AZ92" s="34" t="str">
        <v/>
      </c>
      <c r="BA92" s="34">
        <v>0</v>
      </c>
      <c r="BB92" s="34">
        <v>0</v>
      </c>
      <c r="BD92" s="34">
        <v>1</v>
      </c>
      <c r="BE92" s="34">
        <v>0</v>
      </c>
      <c r="BF92" s="34">
        <v>0</v>
      </c>
      <c r="BG92" s="34" t="str">
        <v/>
      </c>
      <c r="BH92" s="34" t="str">
        <v/>
      </c>
      <c r="BI92" s="34" t="str">
        <v/>
      </c>
      <c r="BJ92" s="34" t="str">
        <v/>
      </c>
      <c r="BK92" s="34" t="str">
        <v>BOX</v>
      </c>
      <c r="BL92" s="34">
        <v>1</v>
      </c>
      <c r="BM92" s="34" t="str">
        <v/>
      </c>
      <c r="BN92" s="34" t="str">
        <v/>
      </c>
      <c r="BO92" s="34" t="str">
        <v/>
      </c>
      <c r="BP92" s="34" t="str">
        <v/>
      </c>
      <c r="BQ92" s="34" t="str">
        <v>3х1,5</v>
      </c>
      <c r="BR92" s="34" t="str">
        <v/>
      </c>
      <c r="BS92" s="34" t="str">
        <v/>
      </c>
      <c r="BT92" s="34" t="str">
        <v/>
      </c>
      <c r="BU92" s="34">
        <v>0</v>
      </c>
      <c r="BV92" s="34">
        <v>112</v>
      </c>
      <c r="BW92" s="34">
        <v>1</v>
      </c>
      <c r="BX92" s="34">
        <v>0</v>
      </c>
      <c r="BY92" s="34">
        <v>0</v>
      </c>
      <c r="BZ92">
        <v>6</v>
      </c>
      <c r="CA92" t="str">
        <v>линии</v>
      </c>
    </row>
    <row r="93" spans="1:79" x14ac:dyDescent="0.3">
      <c r="A93" s="39" t="str">
        <v>ЩОВ-01</v>
      </c>
      <c r="B93" s="42">
        <v>27</v>
      </c>
      <c r="C93" s="42">
        <v>2</v>
      </c>
      <c r="D93" s="75" t="str">
        <v/>
      </c>
      <c r="E93" s="75" t="str">
        <v>авто</v>
      </c>
      <c r="F93" s="76" t="str">
        <v/>
      </c>
      <c r="G93" s="47" t="str">
        <v>QF13</v>
      </c>
      <c r="H93" s="47" t="str">
        <v>1P С10А</v>
      </c>
      <c r="I93" s="75" t="str">
        <v/>
      </c>
      <c r="J93" s="76" t="str">
        <v/>
      </c>
      <c r="K93" s="76" t="str">
        <v/>
      </c>
      <c r="L93" s="75" t="str">
        <v/>
      </c>
      <c r="M93" s="49" t="str">
        <v/>
      </c>
      <c r="N93" s="76" t="str">
        <v/>
      </c>
      <c r="O93" s="49" t="str">
        <v/>
      </c>
      <c r="P93" s="77" t="str">
        <v/>
      </c>
      <c r="Q93" s="53" t="str">
        <v>ВВГнг(А)-LS (3х1,5) L=42-0,39%</v>
      </c>
      <c r="R93" s="54" t="str">
        <v>K.0.005Б.1</v>
      </c>
      <c r="S93" s="55" t="str">
        <v>Внутренний блок кондиционирования цокольный этаж Пом. №005Б</v>
      </c>
      <c r="T93" s="56">
        <v>0.16200000000000001</v>
      </c>
      <c r="U93" s="56">
        <v>0.88</v>
      </c>
      <c r="V93" s="42" t="str">
        <v>L1</v>
      </c>
      <c r="W93" s="57" t="str">
        <v>ok</v>
      </c>
      <c r="X93" s="58" t="str">
        <v/>
      </c>
      <c r="Y93" s="75" t="str">
        <v/>
      </c>
      <c r="Z93" s="59">
        <v>0.87685072133174402</v>
      </c>
      <c r="AA93" s="61">
        <v>6</v>
      </c>
      <c r="AB93" s="61">
        <v>16</v>
      </c>
      <c r="AC93" s="61" t="str">
        <v/>
      </c>
      <c r="AD93" s="62" t="str">
        <v>QF13</v>
      </c>
      <c r="AE93" s="62" t="str">
        <v/>
      </c>
      <c r="AF93" s="34">
        <v>13</v>
      </c>
      <c r="AG93" s="34" t="str">
        <v>QF13</v>
      </c>
      <c r="AH93" s="34" t="str">
        <v/>
      </c>
      <c r="AI93" s="34" t="str">
        <v/>
      </c>
      <c r="AJ93" s="34" t="str">
        <v>QF13</v>
      </c>
      <c r="AK93" s="34">
        <v>1</v>
      </c>
      <c r="AL93" s="34" t="str">
        <v>K</v>
      </c>
      <c r="AM93" s="34">
        <v>0</v>
      </c>
      <c r="AN93" s="34">
        <v>0</v>
      </c>
      <c r="AO93" s="34">
        <v>6</v>
      </c>
      <c r="AP93" s="34">
        <v>16</v>
      </c>
      <c r="AQ93" s="34">
        <v>10</v>
      </c>
      <c r="AR93" s="34">
        <v>1</v>
      </c>
      <c r="AS93" s="34">
        <v>0</v>
      </c>
      <c r="AT93" s="34" t="str">
        <v>1P</v>
      </c>
      <c r="AU93" s="34">
        <v>10</v>
      </c>
      <c r="AV93" s="34" t="str">
        <v/>
      </c>
      <c r="AW93" s="34" t="str">
        <v/>
      </c>
      <c r="AX93" s="34" t="str">
        <v/>
      </c>
      <c r="AY93" s="34">
        <v>1</v>
      </c>
      <c r="AZ93" s="34" t="str">
        <v/>
      </c>
      <c r="BA93" s="34">
        <v>0</v>
      </c>
      <c r="BB93" s="34">
        <v>0</v>
      </c>
      <c r="BD93" s="34">
        <v>1</v>
      </c>
      <c r="BE93" s="34">
        <v>0</v>
      </c>
      <c r="BF93" s="34">
        <v>0</v>
      </c>
      <c r="BG93" s="34" t="str">
        <v/>
      </c>
      <c r="BH93" s="34" t="str">
        <v/>
      </c>
      <c r="BI93" s="34" t="str">
        <v/>
      </c>
      <c r="BJ93" s="34" t="str">
        <v/>
      </c>
      <c r="BK93" s="34" t="str">
        <v>BOX</v>
      </c>
      <c r="BL93" s="34">
        <v>1</v>
      </c>
      <c r="BM93" s="34" t="str">
        <v/>
      </c>
      <c r="BN93" s="34" t="str">
        <v/>
      </c>
      <c r="BO93" s="34" t="str">
        <v/>
      </c>
      <c r="BP93" s="34" t="str">
        <v/>
      </c>
      <c r="BQ93" s="34" t="str">
        <v>3х1,5</v>
      </c>
      <c r="BR93" s="34" t="str">
        <v/>
      </c>
      <c r="BS93" s="34" t="str">
        <v/>
      </c>
      <c r="BT93" s="34" t="str">
        <v/>
      </c>
      <c r="BU93" s="34">
        <v>0</v>
      </c>
      <c r="BV93" s="34">
        <v>113</v>
      </c>
      <c r="BW93" s="34">
        <v>1</v>
      </c>
      <c r="BX93" s="34">
        <v>0</v>
      </c>
      <c r="BY93" s="34">
        <v>0</v>
      </c>
      <c r="BZ93">
        <v>6</v>
      </c>
      <c r="CA93" t="str">
        <v>линии</v>
      </c>
    </row>
    <row r="94" spans="1:79" x14ac:dyDescent="0.3">
      <c r="A94" s="39" t="str">
        <v>ЩОВ-01</v>
      </c>
      <c r="B94" s="42">
        <v>28</v>
      </c>
      <c r="C94" s="42">
        <v>2</v>
      </c>
      <c r="D94" s="75" t="str">
        <v/>
      </c>
      <c r="E94" s="75" t="str">
        <v>авто</v>
      </c>
      <c r="F94" s="76" t="str">
        <v/>
      </c>
      <c r="G94" s="47" t="str">
        <v>QF14</v>
      </c>
      <c r="H94" s="47" t="str">
        <v>1P С10А</v>
      </c>
      <c r="I94" s="75" t="str">
        <v/>
      </c>
      <c r="J94" s="76" t="str">
        <v/>
      </c>
      <c r="K94" s="76" t="str">
        <v/>
      </c>
      <c r="L94" s="75" t="str">
        <v/>
      </c>
      <c r="M94" s="49" t="str">
        <v/>
      </c>
      <c r="N94" s="76" t="str">
        <v/>
      </c>
      <c r="O94" s="49" t="str">
        <v/>
      </c>
      <c r="P94" s="77" t="str">
        <v/>
      </c>
      <c r="Q94" s="53" t="str">
        <v>ВВГнг(А)-LS (3х1,5) L=50-0,46%</v>
      </c>
      <c r="R94" s="54" t="str">
        <v>K.0.005Б.2</v>
      </c>
      <c r="S94" s="55" t="str">
        <v>Внутренний блок кондиционирования цокольный этаж Пом. №005Б</v>
      </c>
      <c r="T94" s="56">
        <v>0.16200000000000001</v>
      </c>
      <c r="U94" s="56">
        <v>0.88</v>
      </c>
      <c r="V94" s="42" t="str">
        <v>L2</v>
      </c>
      <c r="W94" s="57" t="str">
        <v>ok</v>
      </c>
      <c r="X94" s="58" t="str">
        <v/>
      </c>
      <c r="Y94" s="75" t="str">
        <v/>
      </c>
      <c r="Z94" s="59">
        <v>0.87685072133174402</v>
      </c>
      <c r="AA94" s="61">
        <v>6</v>
      </c>
      <c r="AB94" s="61">
        <v>16</v>
      </c>
      <c r="AC94" s="61" t="str">
        <v/>
      </c>
      <c r="AD94" s="62" t="str">
        <v>QF14</v>
      </c>
      <c r="AE94" s="62" t="str">
        <v/>
      </c>
      <c r="AF94" s="34">
        <v>14</v>
      </c>
      <c r="AG94" s="34" t="str">
        <v>QF14</v>
      </c>
      <c r="AH94" s="34" t="str">
        <v/>
      </c>
      <c r="AI94" s="34" t="str">
        <v/>
      </c>
      <c r="AJ94" s="34" t="str">
        <v>QF14</v>
      </c>
      <c r="AK94" s="34">
        <v>1</v>
      </c>
      <c r="AL94" s="34" t="str">
        <v>K</v>
      </c>
      <c r="AM94" s="34">
        <v>0</v>
      </c>
      <c r="AN94" s="34">
        <v>0</v>
      </c>
      <c r="AO94" s="34">
        <v>6</v>
      </c>
      <c r="AP94" s="34">
        <v>16</v>
      </c>
      <c r="AQ94" s="34">
        <v>10</v>
      </c>
      <c r="AR94" s="34">
        <v>1</v>
      </c>
      <c r="AS94" s="34">
        <v>0</v>
      </c>
      <c r="AT94" s="34" t="str">
        <v>1P</v>
      </c>
      <c r="AU94" s="34">
        <v>10</v>
      </c>
      <c r="AV94" s="34" t="str">
        <v/>
      </c>
      <c r="AW94" s="34" t="str">
        <v/>
      </c>
      <c r="AX94" s="34" t="str">
        <v/>
      </c>
      <c r="AY94" s="34">
        <v>1</v>
      </c>
      <c r="AZ94" s="34" t="str">
        <v/>
      </c>
      <c r="BA94" s="34">
        <v>0</v>
      </c>
      <c r="BB94" s="34">
        <v>0</v>
      </c>
      <c r="BD94" s="34">
        <v>1</v>
      </c>
      <c r="BE94" s="34">
        <v>0</v>
      </c>
      <c r="BF94" s="34">
        <v>0</v>
      </c>
      <c r="BG94" s="34" t="str">
        <v/>
      </c>
      <c r="BH94" s="34" t="str">
        <v/>
      </c>
      <c r="BI94" s="34" t="str">
        <v/>
      </c>
      <c r="BJ94" s="34" t="str">
        <v/>
      </c>
      <c r="BK94" s="34" t="str">
        <v>BOX</v>
      </c>
      <c r="BL94" s="34">
        <v>1</v>
      </c>
      <c r="BM94" s="34" t="str">
        <v/>
      </c>
      <c r="BN94" s="34" t="str">
        <v/>
      </c>
      <c r="BO94" s="34" t="str">
        <v/>
      </c>
      <c r="BP94" s="34" t="str">
        <v/>
      </c>
      <c r="BQ94" s="34" t="str">
        <v>3х1,5</v>
      </c>
      <c r="BR94" s="34" t="str">
        <v/>
      </c>
      <c r="BS94" s="34" t="str">
        <v/>
      </c>
      <c r="BT94" s="34" t="str">
        <v/>
      </c>
      <c r="BU94" s="34">
        <v>0</v>
      </c>
      <c r="BV94" s="34">
        <v>114</v>
      </c>
      <c r="BW94" s="34">
        <v>1</v>
      </c>
      <c r="BX94" s="34">
        <v>0</v>
      </c>
      <c r="BY94" s="34">
        <v>0</v>
      </c>
      <c r="BZ94">
        <v>6</v>
      </c>
      <c r="CA94" t="str">
        <v>линии</v>
      </c>
    </row>
    <row r="95" spans="1:79" x14ac:dyDescent="0.3">
      <c r="A95" s="39" t="str">
        <v>ЩОВ-01</v>
      </c>
      <c r="B95" s="42">
        <v>29</v>
      </c>
      <c r="C95" s="42">
        <v>2</v>
      </c>
      <c r="D95" s="75" t="str">
        <v/>
      </c>
      <c r="E95" s="75" t="str">
        <v>авто</v>
      </c>
      <c r="F95" s="76" t="str">
        <v/>
      </c>
      <c r="G95" s="47" t="str">
        <v>QF15</v>
      </c>
      <c r="H95" s="47" t="str">
        <v>1P С10А</v>
      </c>
      <c r="I95" s="75" t="str">
        <v/>
      </c>
      <c r="J95" s="76" t="str">
        <v/>
      </c>
      <c r="K95" s="76" t="str">
        <v/>
      </c>
      <c r="L95" s="75" t="str">
        <v/>
      </c>
      <c r="M95" s="49" t="str">
        <v/>
      </c>
      <c r="N95" s="76" t="str">
        <v/>
      </c>
      <c r="O95" s="49" t="str">
        <v/>
      </c>
      <c r="P95" s="77" t="str">
        <v/>
      </c>
      <c r="Q95" s="53" t="str">
        <v>ВВГнг(А)-LS (3х1,5) L=52-0,33%</v>
      </c>
      <c r="R95" s="54" t="str">
        <v>K.0.006A</v>
      </c>
      <c r="S95" s="55" t="str">
        <v>Внутренний блок кондиционирования цокольный этаж Пом. №014Б</v>
      </c>
      <c r="T95" s="56">
        <v>0.111</v>
      </c>
      <c r="U95" s="56">
        <v>0.61</v>
      </c>
      <c r="V95" s="42" t="str">
        <v>L3</v>
      </c>
      <c r="W95" s="57" t="str">
        <v>ok</v>
      </c>
      <c r="X95" s="58" t="str">
        <v/>
      </c>
      <c r="Y95" s="75" t="str">
        <v/>
      </c>
      <c r="Z95" s="59">
        <v>0.60080512387545415</v>
      </c>
      <c r="AA95" s="61">
        <v>6</v>
      </c>
      <c r="AB95" s="61">
        <v>16</v>
      </c>
      <c r="AC95" s="61" t="str">
        <v/>
      </c>
      <c r="AD95" s="62" t="str">
        <v>QF15</v>
      </c>
      <c r="AE95" s="62" t="str">
        <v/>
      </c>
      <c r="AF95" s="34">
        <v>15</v>
      </c>
      <c r="AG95" s="34" t="str">
        <v>QF15</v>
      </c>
      <c r="AH95" s="34" t="str">
        <v/>
      </c>
      <c r="AI95" s="34" t="str">
        <v/>
      </c>
      <c r="AJ95" s="34" t="str">
        <v>QF15</v>
      </c>
      <c r="AK95" s="34">
        <v>1</v>
      </c>
      <c r="AL95" s="34" t="str">
        <v>K</v>
      </c>
      <c r="AM95" s="34">
        <v>0</v>
      </c>
      <c r="AN95" s="34">
        <v>0</v>
      </c>
      <c r="AO95" s="34">
        <v>6</v>
      </c>
      <c r="AP95" s="34">
        <v>16</v>
      </c>
      <c r="AQ95" s="34">
        <v>10</v>
      </c>
      <c r="AR95" s="34">
        <v>1</v>
      </c>
      <c r="AS95" s="34">
        <v>0</v>
      </c>
      <c r="AT95" s="34" t="str">
        <v>1P</v>
      </c>
      <c r="AU95" s="34">
        <v>10</v>
      </c>
      <c r="AV95" s="34" t="str">
        <v/>
      </c>
      <c r="AW95" s="34" t="str">
        <v/>
      </c>
      <c r="AX95" s="34" t="str">
        <v/>
      </c>
      <c r="AY95" s="34">
        <v>1</v>
      </c>
      <c r="AZ95" s="34" t="str">
        <v/>
      </c>
      <c r="BA95" s="34">
        <v>0</v>
      </c>
      <c r="BB95" s="34">
        <v>0</v>
      </c>
      <c r="BD95" s="34">
        <v>1</v>
      </c>
      <c r="BE95" s="34">
        <v>0</v>
      </c>
      <c r="BF95" s="34">
        <v>0</v>
      </c>
      <c r="BG95" s="34" t="str">
        <v/>
      </c>
      <c r="BH95" s="34" t="str">
        <v/>
      </c>
      <c r="BI95" s="34" t="str">
        <v/>
      </c>
      <c r="BJ95" s="34" t="str">
        <v/>
      </c>
      <c r="BK95" s="34" t="str">
        <v>BOX</v>
      </c>
      <c r="BL95" s="34">
        <v>1</v>
      </c>
      <c r="BM95" s="34" t="str">
        <v/>
      </c>
      <c r="BN95" s="34" t="str">
        <v/>
      </c>
      <c r="BO95" s="34" t="str">
        <v/>
      </c>
      <c r="BP95" s="34" t="str">
        <v/>
      </c>
      <c r="BQ95" s="34" t="str">
        <v>3х1,5</v>
      </c>
      <c r="BR95" s="34" t="str">
        <v/>
      </c>
      <c r="BS95" s="34" t="str">
        <v/>
      </c>
      <c r="BT95" s="34" t="str">
        <v/>
      </c>
      <c r="BU95" s="34">
        <v>0</v>
      </c>
      <c r="BV95" s="34">
        <v>115</v>
      </c>
      <c r="BW95" s="34">
        <v>1</v>
      </c>
      <c r="BX95" s="34">
        <v>0</v>
      </c>
      <c r="BY95" s="34">
        <v>0</v>
      </c>
      <c r="BZ95">
        <v>6</v>
      </c>
      <c r="CA95" t="str">
        <v>линии</v>
      </c>
    </row>
    <row r="96" spans="1:79" x14ac:dyDescent="0.3">
      <c r="A96" s="39" t="str">
        <v>ЩОВ-01</v>
      </c>
      <c r="B96" s="42">
        <v>30</v>
      </c>
      <c r="C96" s="42">
        <v>2</v>
      </c>
      <c r="D96" s="75" t="str">
        <v/>
      </c>
      <c r="E96" s="75" t="str">
        <v>авто</v>
      </c>
      <c r="F96" s="76" t="str">
        <v/>
      </c>
      <c r="G96" s="47" t="str">
        <v>QF16</v>
      </c>
      <c r="H96" s="47" t="str">
        <v>1P С10А</v>
      </c>
      <c r="I96" s="75" t="str">
        <v/>
      </c>
      <c r="J96" s="76" t="str">
        <v/>
      </c>
      <c r="K96" s="76" t="str">
        <v/>
      </c>
      <c r="L96" s="75" t="str">
        <v/>
      </c>
      <c r="M96" s="49" t="str">
        <v/>
      </c>
      <c r="N96" s="76" t="str">
        <v/>
      </c>
      <c r="O96" s="49" t="str">
        <v/>
      </c>
      <c r="P96" s="77" t="str">
        <v/>
      </c>
      <c r="Q96" s="53" t="str">
        <v>ВВГнг(А)-LS (3х1,5) L=55-0,33%</v>
      </c>
      <c r="R96" s="54" t="str">
        <v>K.0.008A</v>
      </c>
      <c r="S96" s="55" t="str">
        <v>Внутренний блок кондиционирования цокольный этаж Пом. №014Б</v>
      </c>
      <c r="T96" s="56">
        <v>0.104</v>
      </c>
      <c r="U96" s="56">
        <v>0.57000000000000006</v>
      </c>
      <c r="V96" s="42" t="str">
        <v>L1</v>
      </c>
      <c r="W96" s="57" t="str">
        <v>ok</v>
      </c>
      <c r="X96" s="58" t="str">
        <v/>
      </c>
      <c r="Y96" s="75" t="str">
        <v/>
      </c>
      <c r="Z96" s="59">
        <v>0.56291651245988494</v>
      </c>
      <c r="AA96" s="61">
        <v>6</v>
      </c>
      <c r="AB96" s="61">
        <v>16</v>
      </c>
      <c r="AC96" s="61" t="str">
        <v/>
      </c>
      <c r="AD96" s="62" t="str">
        <v>QF16</v>
      </c>
      <c r="AE96" s="62" t="str">
        <v/>
      </c>
      <c r="AF96" s="34">
        <v>16</v>
      </c>
      <c r="AG96" s="34" t="str">
        <v>QF16</v>
      </c>
      <c r="AH96" s="34" t="str">
        <v/>
      </c>
      <c r="AI96" s="34" t="str">
        <v/>
      </c>
      <c r="AJ96" s="34" t="str">
        <v>QF16</v>
      </c>
      <c r="AK96" s="34">
        <v>1</v>
      </c>
      <c r="AL96" s="34" t="str">
        <v>K</v>
      </c>
      <c r="AM96" s="34">
        <v>0</v>
      </c>
      <c r="AN96" s="34">
        <v>0</v>
      </c>
      <c r="AO96" s="34">
        <v>6</v>
      </c>
      <c r="AP96" s="34">
        <v>16</v>
      </c>
      <c r="AQ96" s="34">
        <v>10</v>
      </c>
      <c r="AR96" s="34">
        <v>1</v>
      </c>
      <c r="AS96" s="34">
        <v>0</v>
      </c>
      <c r="AT96" s="34" t="str">
        <v>1P</v>
      </c>
      <c r="AU96" s="34">
        <v>10</v>
      </c>
      <c r="AV96" s="34" t="str">
        <v/>
      </c>
      <c r="AW96" s="34" t="str">
        <v/>
      </c>
      <c r="AX96" s="34" t="str">
        <v/>
      </c>
      <c r="AY96" s="34">
        <v>1</v>
      </c>
      <c r="AZ96" s="34" t="str">
        <v/>
      </c>
      <c r="BA96" s="34">
        <v>0</v>
      </c>
      <c r="BB96" s="34">
        <v>0</v>
      </c>
      <c r="BD96" s="34">
        <v>1</v>
      </c>
      <c r="BE96" s="34">
        <v>0</v>
      </c>
      <c r="BF96" s="34">
        <v>0</v>
      </c>
      <c r="BG96" s="34" t="str">
        <v/>
      </c>
      <c r="BH96" s="34" t="str">
        <v/>
      </c>
      <c r="BI96" s="34" t="str">
        <v/>
      </c>
      <c r="BJ96" s="34" t="str">
        <v/>
      </c>
      <c r="BK96" s="34" t="str">
        <v>BOX</v>
      </c>
      <c r="BL96" s="34">
        <v>1</v>
      </c>
      <c r="BM96" s="34" t="str">
        <v/>
      </c>
      <c r="BN96" s="34" t="str">
        <v/>
      </c>
      <c r="BO96" s="34" t="str">
        <v/>
      </c>
      <c r="BP96" s="34" t="str">
        <v/>
      </c>
      <c r="BQ96" s="34" t="str">
        <v>3х1,5</v>
      </c>
      <c r="BR96" s="34" t="str">
        <v/>
      </c>
      <c r="BS96" s="34" t="str">
        <v/>
      </c>
      <c r="BT96" s="34" t="str">
        <v/>
      </c>
      <c r="BU96" s="34">
        <v>0</v>
      </c>
      <c r="BV96" s="34">
        <v>116</v>
      </c>
      <c r="BW96" s="34">
        <v>1</v>
      </c>
      <c r="BX96" s="34">
        <v>0</v>
      </c>
      <c r="BY96" s="34">
        <v>0</v>
      </c>
      <c r="BZ96">
        <v>6</v>
      </c>
      <c r="CA96" t="str">
        <v>линии</v>
      </c>
    </row>
    <row r="97" spans="1:79" x14ac:dyDescent="0.3">
      <c r="A97" s="39" t="str">
        <v>ЩОВ-01</v>
      </c>
      <c r="B97" s="42">
        <v>31</v>
      </c>
      <c r="C97" s="42">
        <v>2</v>
      </c>
      <c r="D97" s="75" t="str">
        <v/>
      </c>
      <c r="E97" s="75" t="str">
        <v>авто</v>
      </c>
      <c r="F97" s="76" t="str">
        <v/>
      </c>
      <c r="G97" s="47" t="str">
        <v>QF17</v>
      </c>
      <c r="H97" s="47" t="str">
        <v>1P С10А</v>
      </c>
      <c r="I97" s="75" t="str">
        <v/>
      </c>
      <c r="J97" s="76" t="str">
        <v/>
      </c>
      <c r="K97" s="76" t="str">
        <v/>
      </c>
      <c r="L97" s="75" t="str">
        <v/>
      </c>
      <c r="M97" s="49" t="str">
        <v/>
      </c>
      <c r="N97" s="76" t="str">
        <v/>
      </c>
      <c r="O97" s="49" t="str">
        <v/>
      </c>
      <c r="P97" s="77" t="str">
        <v/>
      </c>
      <c r="Q97" s="53" t="str">
        <v>ВВГнг(А)-LS (3х1,5) L=38-0,24%</v>
      </c>
      <c r="R97" s="54" t="str">
        <v>K.0.012Б</v>
      </c>
      <c r="S97" s="55" t="str">
        <v>Внутренний блок кондиционирования цокольный этаж Пом. №012Б</v>
      </c>
      <c r="T97" s="56">
        <v>0.111</v>
      </c>
      <c r="U97" s="56">
        <v>0.61</v>
      </c>
      <c r="V97" s="42" t="str">
        <v>L2</v>
      </c>
      <c r="W97" s="57" t="str">
        <v>ok</v>
      </c>
      <c r="X97" s="58" t="str">
        <v/>
      </c>
      <c r="Y97" s="75" t="str">
        <v/>
      </c>
      <c r="Z97" s="59">
        <v>0.60080512387545415</v>
      </c>
      <c r="AA97" s="61">
        <v>6</v>
      </c>
      <c r="AB97" s="61">
        <v>16</v>
      </c>
      <c r="AC97" s="61" t="str">
        <v/>
      </c>
      <c r="AD97" s="62" t="str">
        <v>QF17</v>
      </c>
      <c r="AE97" s="62" t="str">
        <v/>
      </c>
      <c r="AF97" s="34">
        <v>17</v>
      </c>
      <c r="AG97" s="34" t="str">
        <v>QF17</v>
      </c>
      <c r="AH97" s="34" t="str">
        <v/>
      </c>
      <c r="AI97" s="34" t="str">
        <v/>
      </c>
      <c r="AJ97" s="34" t="str">
        <v>QF17</v>
      </c>
      <c r="AK97" s="34">
        <v>1</v>
      </c>
      <c r="AL97" s="34" t="str">
        <v>K</v>
      </c>
      <c r="AM97" s="34">
        <v>0</v>
      </c>
      <c r="AN97" s="34">
        <v>0</v>
      </c>
      <c r="AO97" s="34">
        <v>6</v>
      </c>
      <c r="AP97" s="34">
        <v>16</v>
      </c>
      <c r="AQ97" s="34">
        <v>10</v>
      </c>
      <c r="AR97" s="34">
        <v>1</v>
      </c>
      <c r="AS97" s="34">
        <v>0</v>
      </c>
      <c r="AT97" s="34" t="str">
        <v>1P</v>
      </c>
      <c r="AU97" s="34">
        <v>10</v>
      </c>
      <c r="AV97" s="34" t="str">
        <v/>
      </c>
      <c r="AW97" s="34" t="str">
        <v/>
      </c>
      <c r="AX97" s="34" t="str">
        <v/>
      </c>
      <c r="AY97" s="34">
        <v>1</v>
      </c>
      <c r="AZ97" s="34" t="str">
        <v/>
      </c>
      <c r="BA97" s="34">
        <v>0</v>
      </c>
      <c r="BB97" s="34">
        <v>0</v>
      </c>
      <c r="BD97" s="34">
        <v>1</v>
      </c>
      <c r="BE97" s="34">
        <v>0</v>
      </c>
      <c r="BF97" s="34">
        <v>0</v>
      </c>
      <c r="BG97" s="34" t="str">
        <v/>
      </c>
      <c r="BH97" s="34" t="str">
        <v/>
      </c>
      <c r="BI97" s="34" t="str">
        <v/>
      </c>
      <c r="BJ97" s="34" t="str">
        <v/>
      </c>
      <c r="BK97" s="34" t="str">
        <v>BOX</v>
      </c>
      <c r="BL97" s="34">
        <v>1</v>
      </c>
      <c r="BM97" s="34" t="str">
        <v/>
      </c>
      <c r="BN97" s="34" t="str">
        <v/>
      </c>
      <c r="BO97" s="34" t="str">
        <v/>
      </c>
      <c r="BP97" s="34" t="str">
        <v/>
      </c>
      <c r="BQ97" s="34" t="str">
        <v>3х1,5</v>
      </c>
      <c r="BR97" s="34" t="str">
        <v/>
      </c>
      <c r="BS97" s="34" t="str">
        <v/>
      </c>
      <c r="BT97" s="34" t="str">
        <v/>
      </c>
      <c r="BU97" s="34">
        <v>0</v>
      </c>
      <c r="BV97" s="34">
        <v>117</v>
      </c>
      <c r="BW97" s="34">
        <v>1</v>
      </c>
      <c r="BX97" s="34">
        <v>0</v>
      </c>
      <c r="BY97" s="34">
        <v>0</v>
      </c>
      <c r="BZ97">
        <v>6</v>
      </c>
      <c r="CA97" t="str">
        <v>линии</v>
      </c>
    </row>
    <row r="98" spans="1:79" x14ac:dyDescent="0.3">
      <c r="A98" s="39" t="str">
        <v>ЩОВ-01</v>
      </c>
      <c r="B98" s="42">
        <v>32</v>
      </c>
      <c r="C98" s="42">
        <v>2</v>
      </c>
      <c r="D98" s="75" t="str">
        <v/>
      </c>
      <c r="E98" s="75" t="str">
        <v>авто</v>
      </c>
      <c r="F98" s="76" t="str">
        <v/>
      </c>
      <c r="G98" s="47" t="str">
        <v>QF18</v>
      </c>
      <c r="H98" s="47" t="str">
        <v>1P С10А</v>
      </c>
      <c r="I98" s="75" t="str">
        <v/>
      </c>
      <c r="J98" s="76" t="str">
        <v/>
      </c>
      <c r="K98" s="76" t="str">
        <v/>
      </c>
      <c r="L98" s="75" t="str">
        <v/>
      </c>
      <c r="M98" s="49" t="str">
        <v/>
      </c>
      <c r="N98" s="76" t="str">
        <v/>
      </c>
      <c r="O98" s="49" t="str">
        <v/>
      </c>
      <c r="P98" s="77" t="str">
        <v/>
      </c>
      <c r="Q98" s="53" t="str">
        <v>ВВГнг(А)-LS (3х1,5) L=42-0,9%</v>
      </c>
      <c r="R98" s="54" t="str">
        <v>K.1.002AБ.1</v>
      </c>
      <c r="S98" s="55" t="str">
        <v>Внутренний блок кондиционирования подвальный этаж Пом. №001Т</v>
      </c>
      <c r="T98" s="56">
        <v>0.376</v>
      </c>
      <c r="U98" s="56">
        <v>2.0399999999999996</v>
      </c>
      <c r="V98" s="42" t="str">
        <v>L1</v>
      </c>
      <c r="W98" s="57" t="str">
        <v>ok</v>
      </c>
      <c r="X98" s="58" t="str">
        <v/>
      </c>
      <c r="Y98" s="75" t="str">
        <v/>
      </c>
      <c r="Z98" s="59">
        <v>2.0351596988934304</v>
      </c>
      <c r="AA98" s="61">
        <v>6</v>
      </c>
      <c r="AB98" s="61">
        <v>16</v>
      </c>
      <c r="AC98" s="61" t="str">
        <v/>
      </c>
      <c r="AD98" s="62" t="str">
        <v>QF18</v>
      </c>
      <c r="AE98" s="62" t="str">
        <v/>
      </c>
      <c r="AF98" s="34">
        <v>18</v>
      </c>
      <c r="AG98" s="34" t="str">
        <v>QF18</v>
      </c>
      <c r="AH98" s="34" t="str">
        <v/>
      </c>
      <c r="AI98" s="34" t="str">
        <v/>
      </c>
      <c r="AJ98" s="34" t="str">
        <v>QF18</v>
      </c>
      <c r="AK98" s="34">
        <v>1</v>
      </c>
      <c r="AL98" s="34" t="str">
        <v>K</v>
      </c>
      <c r="AM98" s="34">
        <v>0</v>
      </c>
      <c r="AN98" s="34">
        <v>0</v>
      </c>
      <c r="AO98" s="34">
        <v>6</v>
      </c>
      <c r="AP98" s="34">
        <v>16</v>
      </c>
      <c r="AQ98" s="34">
        <v>10</v>
      </c>
      <c r="AR98" s="34">
        <v>1</v>
      </c>
      <c r="AS98" s="34">
        <v>0</v>
      </c>
      <c r="AT98" s="34" t="str">
        <v>1P</v>
      </c>
      <c r="AU98" s="34">
        <v>10</v>
      </c>
      <c r="AV98" s="34" t="str">
        <v/>
      </c>
      <c r="AW98" s="34" t="str">
        <v/>
      </c>
      <c r="AX98" s="34" t="str">
        <v/>
      </c>
      <c r="AY98" s="34">
        <v>1</v>
      </c>
      <c r="AZ98" s="34" t="str">
        <v/>
      </c>
      <c r="BA98" s="34">
        <v>0</v>
      </c>
      <c r="BB98" s="34">
        <v>0</v>
      </c>
      <c r="BD98" s="34">
        <v>1</v>
      </c>
      <c r="BE98" s="34">
        <v>0</v>
      </c>
      <c r="BF98" s="34">
        <v>0</v>
      </c>
      <c r="BG98" s="34" t="str">
        <v/>
      </c>
      <c r="BH98" s="34" t="str">
        <v/>
      </c>
      <c r="BI98" s="34" t="str">
        <v/>
      </c>
      <c r="BJ98" s="34" t="str">
        <v/>
      </c>
      <c r="BK98" s="34" t="str">
        <v>BOX</v>
      </c>
      <c r="BL98" s="34">
        <v>1</v>
      </c>
      <c r="BM98" s="34" t="str">
        <v/>
      </c>
      <c r="BN98" s="34" t="str">
        <v/>
      </c>
      <c r="BO98" s="34" t="str">
        <v/>
      </c>
      <c r="BP98" s="34" t="str">
        <v/>
      </c>
      <c r="BQ98" s="34" t="str">
        <v>3х1,5</v>
      </c>
      <c r="BR98" s="34" t="str">
        <v/>
      </c>
      <c r="BS98" s="34" t="str">
        <v/>
      </c>
      <c r="BT98" s="34" t="str">
        <v/>
      </c>
      <c r="BU98" s="34">
        <v>0</v>
      </c>
      <c r="BV98" s="34">
        <v>118</v>
      </c>
      <c r="BW98" s="34">
        <v>1</v>
      </c>
      <c r="BX98" s="34">
        <v>0</v>
      </c>
      <c r="BY98" s="34">
        <v>0</v>
      </c>
      <c r="BZ98">
        <v>6</v>
      </c>
      <c r="CA98" t="str">
        <v>линии</v>
      </c>
    </row>
    <row r="99" spans="1:79" x14ac:dyDescent="0.3">
      <c r="A99" s="39" t="str">
        <v>ЩОВ-01</v>
      </c>
      <c r="B99" s="42">
        <v>33</v>
      </c>
      <c r="C99" s="42">
        <v>2</v>
      </c>
      <c r="D99" s="75" t="str">
        <v/>
      </c>
      <c r="E99" s="75" t="str">
        <v>авто</v>
      </c>
      <c r="F99" s="76" t="str">
        <v/>
      </c>
      <c r="G99" s="47" t="str">
        <v>QF19</v>
      </c>
      <c r="H99" s="47" t="str">
        <v>1P С10А</v>
      </c>
      <c r="I99" s="75" t="str">
        <v/>
      </c>
      <c r="J99" s="76" t="str">
        <v/>
      </c>
      <c r="K99" s="76" t="str">
        <v/>
      </c>
      <c r="L99" s="75" t="str">
        <v/>
      </c>
      <c r="M99" s="49" t="str">
        <v/>
      </c>
      <c r="N99" s="76" t="str">
        <v/>
      </c>
      <c r="O99" s="49" t="str">
        <v/>
      </c>
      <c r="P99" s="77" t="str">
        <v/>
      </c>
      <c r="Q99" s="53" t="str">
        <v>ВВГнг(А)-LS (3х1,5) L=42-0,9%</v>
      </c>
      <c r="R99" s="54" t="str">
        <v>K.1.002AБ.2</v>
      </c>
      <c r="S99" s="55" t="str">
        <v>Внутренний блок кондиционирования подвальный этаж Пом. №001Т</v>
      </c>
      <c r="T99" s="56">
        <v>0.376</v>
      </c>
      <c r="U99" s="56">
        <v>2.0399999999999996</v>
      </c>
      <c r="V99" s="42" t="str">
        <v>L3</v>
      </c>
      <c r="W99" s="57" t="str">
        <v>ok</v>
      </c>
      <c r="X99" s="58" t="str">
        <v/>
      </c>
      <c r="Y99" s="75" t="str">
        <v/>
      </c>
      <c r="Z99" s="59">
        <v>2.0351596988934304</v>
      </c>
      <c r="AA99" s="61">
        <v>6</v>
      </c>
      <c r="AB99" s="61">
        <v>16</v>
      </c>
      <c r="AC99" s="61" t="str">
        <v/>
      </c>
      <c r="AD99" s="62" t="str">
        <v>QF19</v>
      </c>
      <c r="AE99" s="62" t="str">
        <v/>
      </c>
      <c r="AF99" s="34">
        <v>19</v>
      </c>
      <c r="AG99" s="34" t="str">
        <v>QF19</v>
      </c>
      <c r="AH99" s="34" t="str">
        <v/>
      </c>
      <c r="AI99" s="34" t="str">
        <v/>
      </c>
      <c r="AJ99" s="34" t="str">
        <v>QF19</v>
      </c>
      <c r="AK99" s="34">
        <v>1</v>
      </c>
      <c r="AL99" s="34" t="str">
        <v>K</v>
      </c>
      <c r="AM99" s="34">
        <v>0</v>
      </c>
      <c r="AN99" s="34">
        <v>0</v>
      </c>
      <c r="AO99" s="34">
        <v>6</v>
      </c>
      <c r="AP99" s="34">
        <v>16</v>
      </c>
      <c r="AQ99" s="34">
        <v>10</v>
      </c>
      <c r="AR99" s="34">
        <v>1</v>
      </c>
      <c r="AS99" s="34">
        <v>0</v>
      </c>
      <c r="AT99" s="34" t="str">
        <v>1P</v>
      </c>
      <c r="AU99" s="34">
        <v>10</v>
      </c>
      <c r="AV99" s="34" t="str">
        <v/>
      </c>
      <c r="AW99" s="34" t="str">
        <v/>
      </c>
      <c r="AX99" s="34" t="str">
        <v/>
      </c>
      <c r="AY99" s="34">
        <v>1</v>
      </c>
      <c r="AZ99" s="34" t="str">
        <v/>
      </c>
      <c r="BA99" s="34">
        <v>0</v>
      </c>
      <c r="BB99" s="34">
        <v>0</v>
      </c>
      <c r="BD99" s="34">
        <v>1</v>
      </c>
      <c r="BE99" s="34">
        <v>0</v>
      </c>
      <c r="BF99" s="34">
        <v>0</v>
      </c>
      <c r="BG99" s="34" t="str">
        <v/>
      </c>
      <c r="BH99" s="34" t="str">
        <v/>
      </c>
      <c r="BI99" s="34" t="str">
        <v/>
      </c>
      <c r="BJ99" s="34" t="str">
        <v/>
      </c>
      <c r="BK99" s="34" t="str">
        <v>BOX</v>
      </c>
      <c r="BL99" s="34">
        <v>1</v>
      </c>
      <c r="BM99" s="34" t="str">
        <v/>
      </c>
      <c r="BN99" s="34" t="str">
        <v/>
      </c>
      <c r="BO99" s="34" t="str">
        <v/>
      </c>
      <c r="BP99" s="34" t="str">
        <v/>
      </c>
      <c r="BQ99" s="34" t="str">
        <v>3х1,5</v>
      </c>
      <c r="BR99" s="34" t="str">
        <v/>
      </c>
      <c r="BS99" s="34" t="str">
        <v/>
      </c>
      <c r="BT99" s="34" t="str">
        <v/>
      </c>
      <c r="BU99" s="34">
        <v>0</v>
      </c>
      <c r="BV99" s="34">
        <v>119</v>
      </c>
      <c r="BW99" s="34">
        <v>1</v>
      </c>
      <c r="BX99" s="34">
        <v>0</v>
      </c>
      <c r="BY99" s="34">
        <v>0</v>
      </c>
      <c r="BZ99">
        <v>6</v>
      </c>
      <c r="CA99" t="str">
        <v>линии</v>
      </c>
    </row>
    <row r="100" spans="1:79" x14ac:dyDescent="0.3">
      <c r="A100" s="39" t="str">
        <v>ЩОВ-01</v>
      </c>
      <c r="B100" s="42">
        <v>36</v>
      </c>
      <c r="C100" s="42">
        <v>3</v>
      </c>
      <c r="D100" s="75" t="str">
        <v/>
      </c>
      <c r="E100" s="75" t="str">
        <v>авто</v>
      </c>
      <c r="F100" s="76" t="str">
        <v/>
      </c>
      <c r="G100" s="47" t="str">
        <v>QF20</v>
      </c>
      <c r="H100" s="47" t="str">
        <v>1P С10А</v>
      </c>
      <c r="I100" s="75" t="str">
        <v/>
      </c>
      <c r="J100" s="76" t="str">
        <v/>
      </c>
      <c r="K100" s="76" t="str">
        <v/>
      </c>
      <c r="L100" s="75" t="str">
        <v/>
      </c>
      <c r="M100" s="49" t="str">
        <v/>
      </c>
      <c r="N100" s="76" t="str">
        <v/>
      </c>
      <c r="O100" s="49" t="str">
        <v/>
      </c>
      <c r="P100" s="77" t="str">
        <v>XT20</v>
      </c>
      <c r="Q100" s="53" t="str">
        <v>ВВГнг(А)-LS (3х1,5) L=41-0,39%</v>
      </c>
      <c r="R100" s="54" t="str">
        <v>K.1.006A</v>
      </c>
      <c r="S100" s="55" t="str">
        <v>Внутренний блок кондиционирования подвальный этаж Пом. №001Т</v>
      </c>
      <c r="T100" s="56">
        <v>0.16400000000000001</v>
      </c>
      <c r="U100" s="56">
        <v>0.89</v>
      </c>
      <c r="V100" s="42" t="str">
        <v>L2</v>
      </c>
      <c r="W100" s="57" t="str">
        <v>ok</v>
      </c>
      <c r="X100" s="58" t="str">
        <v/>
      </c>
      <c r="Y100" s="75" t="str">
        <v/>
      </c>
      <c r="Z100" s="59">
        <v>0.88767603887904944</v>
      </c>
      <c r="AA100" s="61">
        <v>6</v>
      </c>
      <c r="AB100" s="61">
        <v>16</v>
      </c>
      <c r="AC100" s="61" t="str">
        <v/>
      </c>
      <c r="AD100" s="62" t="str">
        <v>QF20 → XT20</v>
      </c>
      <c r="AE100" s="62" t="str">
        <v/>
      </c>
      <c r="AF100" s="34">
        <v>20</v>
      </c>
      <c r="AG100" s="34" t="str">
        <v>QF20</v>
      </c>
      <c r="AH100" s="34" t="str">
        <v/>
      </c>
      <c r="AI100" s="34" t="str">
        <v/>
      </c>
      <c r="AJ100" s="34" t="str">
        <v>QF20</v>
      </c>
      <c r="AK100" s="34">
        <v>1</v>
      </c>
      <c r="AL100" s="34" t="str">
        <v>K</v>
      </c>
      <c r="AM100" s="34">
        <v>0</v>
      </c>
      <c r="AN100" s="34">
        <v>0</v>
      </c>
      <c r="AO100" s="34">
        <v>6</v>
      </c>
      <c r="AP100" s="34">
        <v>16</v>
      </c>
      <c r="AQ100" s="34">
        <v>10</v>
      </c>
      <c r="AR100" s="34">
        <v>1</v>
      </c>
      <c r="AS100" s="34">
        <v>0</v>
      </c>
      <c r="AT100" s="34" t="str">
        <v>1P</v>
      </c>
      <c r="AU100" s="34">
        <v>10</v>
      </c>
      <c r="AV100" s="34" t="str">
        <v/>
      </c>
      <c r="AW100" s="34" t="str">
        <v/>
      </c>
      <c r="AX100" s="34" t="str">
        <v/>
      </c>
      <c r="AY100" s="34">
        <v>1</v>
      </c>
      <c r="AZ100" s="34" t="str">
        <v/>
      </c>
      <c r="BA100" s="34">
        <v>0</v>
      </c>
      <c r="BB100" s="34">
        <v>0</v>
      </c>
      <c r="BD100" s="34">
        <v>1</v>
      </c>
      <c r="BE100" s="34">
        <v>0</v>
      </c>
      <c r="BF100" s="34">
        <v>0</v>
      </c>
      <c r="BG100" s="34" t="str">
        <v/>
      </c>
      <c r="BH100" s="34" t="str">
        <v/>
      </c>
      <c r="BI100" s="34" t="str">
        <v/>
      </c>
      <c r="BJ100" s="34" t="str">
        <v/>
      </c>
      <c r="BK100" s="34" t="str">
        <v>BOX</v>
      </c>
      <c r="BL100" s="34">
        <v>1</v>
      </c>
      <c r="BM100" s="34" t="str">
        <v/>
      </c>
      <c r="BN100" s="34" t="str">
        <v/>
      </c>
      <c r="BO100" s="34" t="str">
        <v/>
      </c>
      <c r="BP100" s="34" t="str">
        <v/>
      </c>
      <c r="BQ100" s="34" t="str">
        <v>3х1,5</v>
      </c>
      <c r="BR100" s="34" t="str">
        <v/>
      </c>
      <c r="BS100" s="34" t="str">
        <v/>
      </c>
      <c r="BT100" s="34" t="str">
        <v/>
      </c>
      <c r="BU100" s="34">
        <v>0</v>
      </c>
      <c r="BV100" s="34">
        <v>120</v>
      </c>
      <c r="BW100" s="34">
        <v>1</v>
      </c>
      <c r="BX100" s="34">
        <v>0</v>
      </c>
      <c r="BY100" s="34">
        <v>0</v>
      </c>
      <c r="BZ100">
        <v>6</v>
      </c>
      <c r="CA100" t="str">
        <v>линии</v>
      </c>
    </row>
    <row r="101" spans="1:79" x14ac:dyDescent="0.3">
      <c r="A101" s="39" t="str">
        <v>ЩОВ-01</v>
      </c>
      <c r="B101" s="42">
        <v>37</v>
      </c>
      <c r="C101" s="42">
        <v>3</v>
      </c>
      <c r="D101" s="75" t="str">
        <v/>
      </c>
      <c r="E101" s="75" t="str">
        <v>авто</v>
      </c>
      <c r="F101" s="76" t="str">
        <v/>
      </c>
      <c r="G101" s="47" t="str">
        <v>QF21</v>
      </c>
      <c r="H101" s="47" t="str">
        <v>1P С10А</v>
      </c>
      <c r="I101" s="75" t="str">
        <v/>
      </c>
      <c r="J101" s="76" t="str">
        <v/>
      </c>
      <c r="K101" s="76" t="str">
        <v/>
      </c>
      <c r="L101" s="75" t="str">
        <v/>
      </c>
      <c r="M101" s="49" t="str">
        <v/>
      </c>
      <c r="N101" s="76" t="str">
        <v/>
      </c>
      <c r="O101" s="49" t="str">
        <v/>
      </c>
      <c r="P101" s="77" t="str">
        <v>XT21</v>
      </c>
      <c r="Q101" s="53" t="str">
        <v>ВВГнг(А)-LS (3х1,5) L=74-1,58%</v>
      </c>
      <c r="R101" s="54" t="str">
        <v>K.1.002Б</v>
      </c>
      <c r="S101" s="55" t="str">
        <v>Внутренний блок кондиционирования первый этаж Пом. №002Б</v>
      </c>
      <c r="T101" s="56">
        <v>0.376</v>
      </c>
      <c r="U101" s="56">
        <v>2.0399999999999996</v>
      </c>
      <c r="V101" s="42" t="str">
        <v>L1</v>
      </c>
      <c r="W101" s="57" t="str">
        <v>ok</v>
      </c>
      <c r="X101" s="58" t="str">
        <v/>
      </c>
      <c r="Y101" s="75" t="str">
        <v/>
      </c>
      <c r="Z101" s="59">
        <v>2.0351596988934304</v>
      </c>
      <c r="AA101" s="61">
        <v>6</v>
      </c>
      <c r="AB101" s="61">
        <v>16</v>
      </c>
      <c r="AC101" s="61" t="str">
        <v/>
      </c>
      <c r="AD101" s="62" t="str">
        <v>QF21 → XT21</v>
      </c>
      <c r="AE101" s="62" t="str">
        <v/>
      </c>
      <c r="AF101" s="34">
        <v>21</v>
      </c>
      <c r="AG101" s="34" t="str">
        <v>QF21</v>
      </c>
      <c r="AH101" s="34" t="str">
        <v/>
      </c>
      <c r="AI101" s="34" t="str">
        <v/>
      </c>
      <c r="AJ101" s="34" t="str">
        <v>QF21</v>
      </c>
      <c r="AK101" s="34">
        <v>1</v>
      </c>
      <c r="AL101" s="34" t="str">
        <v>K</v>
      </c>
      <c r="AM101" s="34">
        <v>0</v>
      </c>
      <c r="AN101" s="34">
        <v>0</v>
      </c>
      <c r="AO101" s="34">
        <v>6</v>
      </c>
      <c r="AP101" s="34">
        <v>16</v>
      </c>
      <c r="AQ101" s="34">
        <v>10</v>
      </c>
      <c r="AR101" s="34">
        <v>1</v>
      </c>
      <c r="AS101" s="34">
        <v>0</v>
      </c>
      <c r="AT101" s="34" t="str">
        <v>1P</v>
      </c>
      <c r="AU101" s="34">
        <v>10</v>
      </c>
      <c r="AV101" s="34" t="str">
        <v/>
      </c>
      <c r="AW101" s="34" t="str">
        <v/>
      </c>
      <c r="AX101" s="34" t="str">
        <v/>
      </c>
      <c r="AY101" s="34">
        <v>1</v>
      </c>
      <c r="AZ101" s="34" t="str">
        <v/>
      </c>
      <c r="BA101" s="34">
        <v>0</v>
      </c>
      <c r="BB101" s="34">
        <v>0</v>
      </c>
      <c r="BD101" s="34">
        <v>1</v>
      </c>
      <c r="BE101" s="34">
        <v>0</v>
      </c>
      <c r="BF101" s="34">
        <v>0</v>
      </c>
      <c r="BG101" s="34" t="str">
        <v/>
      </c>
      <c r="BH101" s="34" t="str">
        <v/>
      </c>
      <c r="BI101" s="34" t="str">
        <v/>
      </c>
      <c r="BJ101" s="34" t="str">
        <v/>
      </c>
      <c r="BK101" s="34" t="str">
        <v>BOX</v>
      </c>
      <c r="BL101" s="34">
        <v>1</v>
      </c>
      <c r="BM101" s="34" t="str">
        <v/>
      </c>
      <c r="BN101" s="34" t="str">
        <v/>
      </c>
      <c r="BO101" s="34" t="str">
        <v/>
      </c>
      <c r="BP101" s="34" t="str">
        <v/>
      </c>
      <c r="BQ101" s="34" t="str">
        <v>3х1,5</v>
      </c>
      <c r="BR101" s="34" t="str">
        <v/>
      </c>
      <c r="BS101" s="34" t="str">
        <v/>
      </c>
      <c r="BT101" s="34" t="str">
        <v/>
      </c>
      <c r="BU101" s="34">
        <v>0</v>
      </c>
      <c r="BV101" s="34">
        <v>121</v>
      </c>
      <c r="BW101" s="34">
        <v>1</v>
      </c>
      <c r="BX101" s="34">
        <v>0</v>
      </c>
      <c r="BY101" s="34">
        <v>0</v>
      </c>
      <c r="BZ101">
        <v>6</v>
      </c>
      <c r="CA101" t="str">
        <v>линии</v>
      </c>
    </row>
    <row r="102" spans="1:79" x14ac:dyDescent="0.3">
      <c r="A102" s="39" t="str">
        <v>ЩОВ-01</v>
      </c>
      <c r="B102" s="42">
        <v>38</v>
      </c>
      <c r="C102" s="42">
        <v>3</v>
      </c>
      <c r="D102" s="75" t="str">
        <v/>
      </c>
      <c r="E102" s="75" t="str">
        <v>авто</v>
      </c>
      <c r="F102" s="76" t="str">
        <v/>
      </c>
      <c r="G102" s="47" t="str">
        <v>QF22</v>
      </c>
      <c r="H102" s="47" t="str">
        <v>1P С10А</v>
      </c>
      <c r="I102" s="75" t="str">
        <v/>
      </c>
      <c r="J102" s="76" t="str">
        <v/>
      </c>
      <c r="K102" s="76" t="str">
        <v/>
      </c>
      <c r="L102" s="75" t="str">
        <v/>
      </c>
      <c r="M102" s="49" t="str">
        <v/>
      </c>
      <c r="N102" s="76" t="str">
        <v/>
      </c>
      <c r="O102" s="49" t="str">
        <v/>
      </c>
      <c r="P102" s="77" t="str">
        <v/>
      </c>
      <c r="Q102" s="53" t="str">
        <v>ВВГнг(А)-LS (3х1,5) L=74-0,69%</v>
      </c>
      <c r="R102" s="54" t="str">
        <v>K.1.007A</v>
      </c>
      <c r="S102" s="55" t="str">
        <v>Внутренний блок кондиционирования первый этаж Пом. №003Б</v>
      </c>
      <c r="T102" s="56">
        <v>0.16400000000000001</v>
      </c>
      <c r="U102" s="56">
        <v>0.89</v>
      </c>
      <c r="V102" s="42" t="str">
        <v>L3</v>
      </c>
      <c r="W102" s="57" t="str">
        <v>ok</v>
      </c>
      <c r="X102" s="58" t="str">
        <v/>
      </c>
      <c r="Y102" s="75" t="str">
        <v/>
      </c>
      <c r="Z102" s="59">
        <v>0.88767603887904944</v>
      </c>
      <c r="AA102" s="61">
        <v>6</v>
      </c>
      <c r="AB102" s="61">
        <v>16</v>
      </c>
      <c r="AC102" s="61" t="str">
        <v/>
      </c>
      <c r="AD102" s="62" t="str">
        <v>QF22</v>
      </c>
      <c r="AE102" s="62" t="str">
        <v/>
      </c>
      <c r="AF102" s="34">
        <v>22</v>
      </c>
      <c r="AG102" s="34" t="str">
        <v>QF22</v>
      </c>
      <c r="AH102" s="34" t="str">
        <v/>
      </c>
      <c r="AI102" s="34" t="str">
        <v/>
      </c>
      <c r="AJ102" s="34" t="str">
        <v>QF22</v>
      </c>
      <c r="AK102" s="34">
        <v>1</v>
      </c>
      <c r="AL102" s="34" t="str">
        <v>K</v>
      </c>
      <c r="AM102" s="34">
        <v>0</v>
      </c>
      <c r="AN102" s="34">
        <v>0</v>
      </c>
      <c r="AO102" s="34">
        <v>6</v>
      </c>
      <c r="AP102" s="34">
        <v>16</v>
      </c>
      <c r="AQ102" s="34">
        <v>10</v>
      </c>
      <c r="AR102" s="34">
        <v>1</v>
      </c>
      <c r="AS102" s="34">
        <v>0</v>
      </c>
      <c r="AT102" s="34" t="str">
        <v>1P</v>
      </c>
      <c r="AU102" s="34">
        <v>10</v>
      </c>
      <c r="AV102" s="34" t="str">
        <v/>
      </c>
      <c r="AW102" s="34" t="str">
        <v/>
      </c>
      <c r="AX102" s="34" t="str">
        <v/>
      </c>
      <c r="AY102" s="34">
        <v>1</v>
      </c>
      <c r="AZ102" s="34" t="str">
        <v/>
      </c>
      <c r="BA102" s="34">
        <v>0</v>
      </c>
      <c r="BB102" s="34">
        <v>0</v>
      </c>
      <c r="BD102" s="34">
        <v>1</v>
      </c>
      <c r="BE102" s="34">
        <v>0</v>
      </c>
      <c r="BF102" s="34">
        <v>0</v>
      </c>
      <c r="BG102" s="34" t="str">
        <v/>
      </c>
      <c r="BH102" s="34" t="str">
        <v/>
      </c>
      <c r="BI102" s="34" t="str">
        <v/>
      </c>
      <c r="BJ102" s="34" t="str">
        <v/>
      </c>
      <c r="BK102" s="34" t="str">
        <v>BOX</v>
      </c>
      <c r="BL102" s="34">
        <v>1</v>
      </c>
      <c r="BM102" s="34" t="str">
        <v/>
      </c>
      <c r="BN102" s="34" t="str">
        <v/>
      </c>
      <c r="BO102" s="34" t="str">
        <v/>
      </c>
      <c r="BP102" s="34" t="str">
        <v/>
      </c>
      <c r="BQ102" s="34" t="str">
        <v>3х1,5</v>
      </c>
      <c r="BR102" s="34" t="str">
        <v/>
      </c>
      <c r="BS102" s="34" t="str">
        <v/>
      </c>
      <c r="BT102" s="34" t="str">
        <v/>
      </c>
      <c r="BU102" s="34">
        <v>0</v>
      </c>
      <c r="BV102" s="34">
        <v>122</v>
      </c>
      <c r="BW102" s="34">
        <v>1</v>
      </c>
      <c r="BX102" s="34">
        <v>0</v>
      </c>
      <c r="BY102" s="34">
        <v>0</v>
      </c>
      <c r="BZ102">
        <v>6</v>
      </c>
      <c r="CA102" t="str">
        <v>линии</v>
      </c>
    </row>
    <row r="103" spans="1:79" x14ac:dyDescent="0.3">
      <c r="A103" s="39" t="str">
        <v>ЩОВ-01</v>
      </c>
      <c r="B103" s="42">
        <v>39</v>
      </c>
      <c r="C103" s="42">
        <v>3</v>
      </c>
      <c r="D103" s="75" t="str">
        <v/>
      </c>
      <c r="E103" s="75" t="str">
        <v>авто</v>
      </c>
      <c r="F103" s="76" t="str">
        <v/>
      </c>
      <c r="G103" s="47" t="str">
        <v>QF23</v>
      </c>
      <c r="H103" s="47" t="str">
        <v>1P С10А</v>
      </c>
      <c r="I103" s="75" t="str">
        <v/>
      </c>
      <c r="J103" s="76" t="str">
        <v/>
      </c>
      <c r="K103" s="76" t="str">
        <v/>
      </c>
      <c r="L103" s="75" t="str">
        <v/>
      </c>
      <c r="M103" s="49" t="str">
        <v/>
      </c>
      <c r="N103" s="76" t="str">
        <v/>
      </c>
      <c r="O103" s="49" t="str">
        <v/>
      </c>
      <c r="P103" s="77" t="str">
        <v/>
      </c>
      <c r="Q103" s="53" t="str">
        <v>ВВГнг(А)-LS (3х1,5) L=76-0,71%</v>
      </c>
      <c r="R103" s="54" t="str">
        <v>K.1.010A</v>
      </c>
      <c r="S103" s="55" t="str">
        <v>Внутренний блок кондиционирования первый этаж Пом. №003Б</v>
      </c>
      <c r="T103" s="56">
        <v>0.16400000000000001</v>
      </c>
      <c r="U103" s="56">
        <v>0.89</v>
      </c>
      <c r="V103" s="42" t="str">
        <v>L1</v>
      </c>
      <c r="W103" s="57" t="str">
        <v>ok</v>
      </c>
      <c r="X103" s="58" t="str">
        <v/>
      </c>
      <c r="Y103" s="75" t="str">
        <v/>
      </c>
      <c r="Z103" s="59">
        <v>0.88767603887904944</v>
      </c>
      <c r="AA103" s="61">
        <v>6</v>
      </c>
      <c r="AB103" s="61">
        <v>16</v>
      </c>
      <c r="AC103" s="61" t="str">
        <v/>
      </c>
      <c r="AD103" s="62" t="str">
        <v>QF23</v>
      </c>
      <c r="AE103" s="62" t="str">
        <v/>
      </c>
      <c r="AF103" s="34">
        <v>23</v>
      </c>
      <c r="AG103" s="34" t="str">
        <v>QF23</v>
      </c>
      <c r="AH103" s="34" t="str">
        <v/>
      </c>
      <c r="AI103" s="34" t="str">
        <v/>
      </c>
      <c r="AJ103" s="34" t="str">
        <v>QF23</v>
      </c>
      <c r="AK103" s="34">
        <v>1</v>
      </c>
      <c r="AL103" s="34" t="str">
        <v>K</v>
      </c>
      <c r="AM103" s="34">
        <v>0</v>
      </c>
      <c r="AN103" s="34">
        <v>0</v>
      </c>
      <c r="AO103" s="34">
        <v>6</v>
      </c>
      <c r="AP103" s="34">
        <v>16</v>
      </c>
      <c r="AQ103" s="34">
        <v>10</v>
      </c>
      <c r="AR103" s="34">
        <v>1</v>
      </c>
      <c r="AS103" s="34">
        <v>0</v>
      </c>
      <c r="AT103" s="34" t="str">
        <v>1P</v>
      </c>
      <c r="AU103" s="34">
        <v>10</v>
      </c>
      <c r="AV103" s="34" t="str">
        <v/>
      </c>
      <c r="AW103" s="34" t="str">
        <v/>
      </c>
      <c r="AX103" s="34" t="str">
        <v/>
      </c>
      <c r="AY103" s="34">
        <v>1</v>
      </c>
      <c r="AZ103" s="34" t="str">
        <v/>
      </c>
      <c r="BA103" s="34">
        <v>0</v>
      </c>
      <c r="BB103" s="34">
        <v>0</v>
      </c>
      <c r="BD103" s="34">
        <v>1</v>
      </c>
      <c r="BE103" s="34">
        <v>0</v>
      </c>
      <c r="BF103" s="34">
        <v>0</v>
      </c>
      <c r="BG103" s="34" t="str">
        <v/>
      </c>
      <c r="BH103" s="34" t="str">
        <v/>
      </c>
      <c r="BI103" s="34" t="str">
        <v/>
      </c>
      <c r="BJ103" s="34" t="str">
        <v/>
      </c>
      <c r="BK103" s="34" t="str">
        <v>BOX</v>
      </c>
      <c r="BL103" s="34">
        <v>1</v>
      </c>
      <c r="BM103" s="34" t="str">
        <v/>
      </c>
      <c r="BN103" s="34" t="str">
        <v/>
      </c>
      <c r="BO103" s="34" t="str">
        <v/>
      </c>
      <c r="BP103" s="34" t="str">
        <v/>
      </c>
      <c r="BQ103" s="34" t="str">
        <v>3х1,5</v>
      </c>
      <c r="BR103" s="34" t="str">
        <v/>
      </c>
      <c r="BS103" s="34" t="str">
        <v/>
      </c>
      <c r="BT103" s="34" t="str">
        <v/>
      </c>
      <c r="BU103" s="34">
        <v>0</v>
      </c>
      <c r="BV103" s="34">
        <v>123</v>
      </c>
      <c r="BW103" s="34">
        <v>1</v>
      </c>
      <c r="BX103" s="34">
        <v>0</v>
      </c>
      <c r="BY103" s="34">
        <v>0</v>
      </c>
      <c r="BZ103">
        <v>6</v>
      </c>
      <c r="CA103" t="str">
        <v>линии</v>
      </c>
    </row>
    <row r="104" spans="1:79" x14ac:dyDescent="0.3">
      <c r="A104" s="39" t="str">
        <v>ЩОВ-01</v>
      </c>
      <c r="B104" s="42">
        <v>40</v>
      </c>
      <c r="C104" s="42">
        <v>3</v>
      </c>
      <c r="D104" s="75" t="str">
        <v/>
      </c>
      <c r="E104" s="75" t="str">
        <v>авто</v>
      </c>
      <c r="F104" s="76" t="str">
        <v/>
      </c>
      <c r="G104" s="47" t="str">
        <v>QF24</v>
      </c>
      <c r="H104" s="47" t="str">
        <v>1P С10А</v>
      </c>
      <c r="I104" s="75" t="str">
        <v/>
      </c>
      <c r="J104" s="76" t="str">
        <v/>
      </c>
      <c r="K104" s="76" t="str">
        <v/>
      </c>
      <c r="L104" s="75" t="str">
        <v/>
      </c>
      <c r="M104" s="49" t="str">
        <v/>
      </c>
      <c r="N104" s="76" t="str">
        <v/>
      </c>
      <c r="O104" s="49" t="str">
        <v/>
      </c>
      <c r="P104" s="77" t="str">
        <v/>
      </c>
      <c r="Q104" s="53" t="str">
        <v>ВВГнг(А)-LS (3х1,5) L=72-0,67%</v>
      </c>
      <c r="R104" s="54" t="str">
        <v>K.1.011A</v>
      </c>
      <c r="S104" s="55" t="str">
        <v>Внутренний блок кондиционирования первый этаж Пом. №002Б</v>
      </c>
      <c r="T104" s="56">
        <v>0.16400000000000001</v>
      </c>
      <c r="U104" s="56">
        <v>0.89</v>
      </c>
      <c r="V104" s="42" t="str">
        <v>L2</v>
      </c>
      <c r="W104" s="57" t="str">
        <v>ok</v>
      </c>
      <c r="X104" s="58" t="str">
        <v/>
      </c>
      <c r="Y104" s="75" t="str">
        <v/>
      </c>
      <c r="Z104" s="59">
        <v>0.88767603887904944</v>
      </c>
      <c r="AA104" s="61">
        <v>6</v>
      </c>
      <c r="AB104" s="61">
        <v>16</v>
      </c>
      <c r="AC104" s="61" t="str">
        <v/>
      </c>
      <c r="AD104" s="62" t="str">
        <v>QF24</v>
      </c>
      <c r="AE104" s="62" t="str">
        <v/>
      </c>
      <c r="AF104" s="34">
        <v>24</v>
      </c>
      <c r="AG104" s="34" t="str">
        <v>QF24</v>
      </c>
      <c r="AH104" s="34" t="str">
        <v/>
      </c>
      <c r="AI104" s="34" t="str">
        <v/>
      </c>
      <c r="AJ104" s="34" t="str">
        <v>QF24</v>
      </c>
      <c r="AK104" s="34">
        <v>1</v>
      </c>
      <c r="AL104" s="34" t="str">
        <v>K</v>
      </c>
      <c r="AM104" s="34">
        <v>0</v>
      </c>
      <c r="AN104" s="34">
        <v>0</v>
      </c>
      <c r="AO104" s="34">
        <v>6</v>
      </c>
      <c r="AP104" s="34">
        <v>16</v>
      </c>
      <c r="AQ104" s="34">
        <v>10</v>
      </c>
      <c r="AR104" s="34">
        <v>1</v>
      </c>
      <c r="AS104" s="34">
        <v>0</v>
      </c>
      <c r="AT104" s="34" t="str">
        <v>1P</v>
      </c>
      <c r="AU104" s="34">
        <v>10</v>
      </c>
      <c r="AV104" s="34" t="str">
        <v/>
      </c>
      <c r="AW104" s="34" t="str">
        <v/>
      </c>
      <c r="AX104" s="34" t="str">
        <v/>
      </c>
      <c r="AY104" s="34">
        <v>1</v>
      </c>
      <c r="AZ104" s="34" t="str">
        <v/>
      </c>
      <c r="BA104" s="34">
        <v>0</v>
      </c>
      <c r="BB104" s="34">
        <v>0</v>
      </c>
      <c r="BD104" s="34">
        <v>1</v>
      </c>
      <c r="BE104" s="34">
        <v>0</v>
      </c>
      <c r="BF104" s="34">
        <v>0</v>
      </c>
      <c r="BG104" s="34" t="str">
        <v/>
      </c>
      <c r="BH104" s="34" t="str">
        <v/>
      </c>
      <c r="BI104" s="34" t="str">
        <v/>
      </c>
      <c r="BJ104" s="34" t="str">
        <v/>
      </c>
      <c r="BK104" s="34" t="str">
        <v>BOX</v>
      </c>
      <c r="BL104" s="34">
        <v>1</v>
      </c>
      <c r="BM104" s="34" t="str">
        <v/>
      </c>
      <c r="BN104" s="34" t="str">
        <v/>
      </c>
      <c r="BO104" s="34" t="str">
        <v/>
      </c>
      <c r="BP104" s="34" t="str">
        <v/>
      </c>
      <c r="BQ104" s="34" t="str">
        <v>3х1,5</v>
      </c>
      <c r="BR104" s="34" t="str">
        <v/>
      </c>
      <c r="BS104" s="34" t="str">
        <v/>
      </c>
      <c r="BT104" s="34" t="str">
        <v/>
      </c>
      <c r="BU104" s="34">
        <v>0</v>
      </c>
      <c r="BV104" s="34">
        <v>124</v>
      </c>
      <c r="BW104" s="34">
        <v>1</v>
      </c>
      <c r="BX104" s="34">
        <v>0</v>
      </c>
      <c r="BY104" s="34">
        <v>0</v>
      </c>
      <c r="BZ104">
        <v>6</v>
      </c>
      <c r="CA104" t="str">
        <v>линии</v>
      </c>
    </row>
    <row r="105" spans="1:79" x14ac:dyDescent="0.3">
      <c r="A105" s="39" t="str">
        <v>ЩОВ-01</v>
      </c>
      <c r="B105" s="42">
        <v>41</v>
      </c>
      <c r="C105" s="42">
        <v>3</v>
      </c>
      <c r="D105" s="75" t="str">
        <v/>
      </c>
      <c r="E105" s="75" t="str">
        <v>авто</v>
      </c>
      <c r="F105" s="76" t="str">
        <v/>
      </c>
      <c r="G105" s="47" t="str">
        <v>QF25</v>
      </c>
      <c r="H105" s="47" t="str">
        <v>1P С10А</v>
      </c>
      <c r="I105" s="75" t="str">
        <v/>
      </c>
      <c r="J105" s="76" t="str">
        <v/>
      </c>
      <c r="K105" s="76" t="str">
        <v/>
      </c>
      <c r="L105" s="75" t="str">
        <v/>
      </c>
      <c r="M105" s="49" t="str">
        <v/>
      </c>
      <c r="N105" s="76" t="str">
        <v/>
      </c>
      <c r="O105" s="49" t="str">
        <v/>
      </c>
      <c r="P105" s="77" t="str">
        <v/>
      </c>
      <c r="Q105" s="53" t="str">
        <v>ВВГнг(А)-LS (3х1,5) L=70-1,43%</v>
      </c>
      <c r="R105" s="54" t="str">
        <v>K.1.014A</v>
      </c>
      <c r="S105" s="55" t="str">
        <v>Внутренний блок кондиционирования первый этаж Пом. №002Б</v>
      </c>
      <c r="T105" s="56">
        <v>0.36</v>
      </c>
      <c r="U105" s="56">
        <v>1.95</v>
      </c>
      <c r="V105" s="42" t="str">
        <v>L1</v>
      </c>
      <c r="W105" s="57" t="str">
        <v>ok</v>
      </c>
      <c r="X105" s="58" t="str">
        <v/>
      </c>
      <c r="Y105" s="75" t="str">
        <v/>
      </c>
      <c r="Z105" s="59">
        <v>1.9485571585149866</v>
      </c>
      <c r="AA105" s="61">
        <v>6</v>
      </c>
      <c r="AB105" s="61">
        <v>16</v>
      </c>
      <c r="AC105" s="61" t="str">
        <v/>
      </c>
      <c r="AD105" s="62" t="str">
        <v>QF25</v>
      </c>
      <c r="AE105" s="62" t="str">
        <v/>
      </c>
      <c r="AF105" s="34">
        <v>25</v>
      </c>
      <c r="AG105" s="34" t="str">
        <v>QF25</v>
      </c>
      <c r="AH105" s="34" t="str">
        <v/>
      </c>
      <c r="AI105" s="34" t="str">
        <v/>
      </c>
      <c r="AJ105" s="34" t="str">
        <v>QF25</v>
      </c>
      <c r="AK105" s="34">
        <v>1</v>
      </c>
      <c r="AL105" s="34" t="str">
        <v>K</v>
      </c>
      <c r="AM105" s="34">
        <v>0</v>
      </c>
      <c r="AN105" s="34">
        <v>0</v>
      </c>
      <c r="AO105" s="34">
        <v>6</v>
      </c>
      <c r="AP105" s="34">
        <v>16</v>
      </c>
      <c r="AQ105" s="34">
        <v>10</v>
      </c>
      <c r="AR105" s="34">
        <v>1</v>
      </c>
      <c r="AS105" s="34">
        <v>0</v>
      </c>
      <c r="AT105" s="34" t="str">
        <v>1P</v>
      </c>
      <c r="AU105" s="34">
        <v>10</v>
      </c>
      <c r="AV105" s="34" t="str">
        <v/>
      </c>
      <c r="AW105" s="34" t="str">
        <v/>
      </c>
      <c r="AX105" s="34" t="str">
        <v/>
      </c>
      <c r="AY105" s="34">
        <v>1</v>
      </c>
      <c r="AZ105" s="34" t="str">
        <v/>
      </c>
      <c r="BA105" s="34">
        <v>0</v>
      </c>
      <c r="BB105" s="34">
        <v>0</v>
      </c>
      <c r="BD105" s="34">
        <v>1</v>
      </c>
      <c r="BE105" s="34">
        <v>0</v>
      </c>
      <c r="BF105" s="34">
        <v>0</v>
      </c>
      <c r="BG105" s="34" t="str">
        <v/>
      </c>
      <c r="BH105" s="34" t="str">
        <v/>
      </c>
      <c r="BI105" s="34" t="str">
        <v/>
      </c>
      <c r="BJ105" s="34" t="str">
        <v/>
      </c>
      <c r="BK105" s="34" t="str">
        <v>BOX</v>
      </c>
      <c r="BL105" s="34">
        <v>1</v>
      </c>
      <c r="BM105" s="34" t="str">
        <v/>
      </c>
      <c r="BN105" s="34" t="str">
        <v/>
      </c>
      <c r="BO105" s="34" t="str">
        <v/>
      </c>
      <c r="BP105" s="34" t="str">
        <v/>
      </c>
      <c r="BQ105" s="34" t="str">
        <v>3х1,5</v>
      </c>
      <c r="BR105" s="34" t="str">
        <v/>
      </c>
      <c r="BS105" s="34" t="str">
        <v/>
      </c>
      <c r="BT105" s="34" t="str">
        <v/>
      </c>
      <c r="BU105" s="34">
        <v>0</v>
      </c>
      <c r="BV105" s="34">
        <v>125</v>
      </c>
      <c r="BW105" s="34">
        <v>1</v>
      </c>
      <c r="BX105" s="34">
        <v>0</v>
      </c>
      <c r="BY105" s="34">
        <v>0</v>
      </c>
      <c r="BZ105">
        <v>6</v>
      </c>
      <c r="CA105" t="str">
        <v>линии</v>
      </c>
    </row>
    <row r="106" spans="1:79" x14ac:dyDescent="0.3">
      <c r="A106" s="39" t="str">
        <v>ЩОВ-01</v>
      </c>
      <c r="B106" s="42">
        <v>42</v>
      </c>
      <c r="C106" s="42">
        <v>3</v>
      </c>
      <c r="D106" s="75" t="str">
        <v/>
      </c>
      <c r="E106" s="75" t="str">
        <v>авто</v>
      </c>
      <c r="F106" s="76" t="str">
        <v/>
      </c>
      <c r="G106" s="47" t="str">
        <v>QF26</v>
      </c>
      <c r="H106" s="47" t="str">
        <v>1P С10А</v>
      </c>
      <c r="I106" s="75" t="str">
        <v/>
      </c>
      <c r="J106" s="76" t="str">
        <v/>
      </c>
      <c r="K106" s="76" t="str">
        <v/>
      </c>
      <c r="L106" s="75" t="str">
        <v/>
      </c>
      <c r="M106" s="49" t="str">
        <v/>
      </c>
      <c r="N106" s="76" t="str">
        <v/>
      </c>
      <c r="O106" s="49" t="str">
        <v/>
      </c>
      <c r="P106" s="77" t="str">
        <v/>
      </c>
      <c r="Q106" s="53" t="str">
        <v>ВВГнг(А)-LS (3х1,5) L=75-1,6%</v>
      </c>
      <c r="R106" s="54" t="str">
        <v>K.1.015A</v>
      </c>
      <c r="S106" s="55" t="str">
        <v>Внутренний блок кондиционирования первый этаж Пом. №002Б</v>
      </c>
      <c r="T106" s="56">
        <v>0.376</v>
      </c>
      <c r="U106" s="56">
        <v>2.0399999999999996</v>
      </c>
      <c r="V106" s="42" t="str">
        <v>L3</v>
      </c>
      <c r="W106" s="57" t="str">
        <v>ok</v>
      </c>
      <c r="X106" s="58" t="str">
        <v/>
      </c>
      <c r="Y106" s="75" t="str">
        <v/>
      </c>
      <c r="Z106" s="59">
        <v>2.0351596988934304</v>
      </c>
      <c r="AA106" s="61">
        <v>6</v>
      </c>
      <c r="AB106" s="61">
        <v>16</v>
      </c>
      <c r="AC106" s="61" t="str">
        <v/>
      </c>
      <c r="AD106" s="62" t="str">
        <v>QF26</v>
      </c>
      <c r="AE106" s="62" t="str">
        <v/>
      </c>
      <c r="AF106" s="34">
        <v>26</v>
      </c>
      <c r="AG106" s="34" t="str">
        <v>QF26</v>
      </c>
      <c r="AH106" s="34" t="str">
        <v/>
      </c>
      <c r="AI106" s="34" t="str">
        <v/>
      </c>
      <c r="AJ106" s="34" t="str">
        <v>QF26</v>
      </c>
      <c r="AK106" s="34">
        <v>1</v>
      </c>
      <c r="AL106" s="34" t="str">
        <v>K</v>
      </c>
      <c r="AM106" s="34">
        <v>0</v>
      </c>
      <c r="AN106" s="34">
        <v>0</v>
      </c>
      <c r="AO106" s="34">
        <v>6</v>
      </c>
      <c r="AP106" s="34">
        <v>16</v>
      </c>
      <c r="AQ106" s="34">
        <v>10</v>
      </c>
      <c r="AR106" s="34">
        <v>1</v>
      </c>
      <c r="AS106" s="34">
        <v>0</v>
      </c>
      <c r="AT106" s="34" t="str">
        <v>1P</v>
      </c>
      <c r="AU106" s="34">
        <v>10</v>
      </c>
      <c r="AV106" s="34" t="str">
        <v/>
      </c>
      <c r="AW106" s="34" t="str">
        <v/>
      </c>
      <c r="AX106" s="34" t="str">
        <v/>
      </c>
      <c r="AY106" s="34">
        <v>1</v>
      </c>
      <c r="AZ106" s="34" t="str">
        <v/>
      </c>
      <c r="BA106" s="34">
        <v>0</v>
      </c>
      <c r="BB106" s="34">
        <v>0</v>
      </c>
      <c r="BD106" s="34">
        <v>1</v>
      </c>
      <c r="BE106" s="34">
        <v>0</v>
      </c>
      <c r="BF106" s="34">
        <v>0</v>
      </c>
      <c r="BG106" s="34" t="str">
        <v/>
      </c>
      <c r="BH106" s="34" t="str">
        <v/>
      </c>
      <c r="BI106" s="34" t="str">
        <v/>
      </c>
      <c r="BJ106" s="34" t="str">
        <v/>
      </c>
      <c r="BK106" s="34" t="str">
        <v>BOX</v>
      </c>
      <c r="BL106" s="34">
        <v>1</v>
      </c>
      <c r="BM106" s="34" t="str">
        <v/>
      </c>
      <c r="BN106" s="34" t="str">
        <v/>
      </c>
      <c r="BO106" s="34" t="str">
        <v/>
      </c>
      <c r="BP106" s="34" t="str">
        <v/>
      </c>
      <c r="BQ106" s="34" t="str">
        <v>3х1,5</v>
      </c>
      <c r="BR106" s="34" t="str">
        <v/>
      </c>
      <c r="BS106" s="34" t="str">
        <v/>
      </c>
      <c r="BT106" s="34" t="str">
        <v/>
      </c>
      <c r="BU106" s="34">
        <v>0</v>
      </c>
      <c r="BV106" s="34">
        <v>126</v>
      </c>
      <c r="BW106" s="34">
        <v>1</v>
      </c>
      <c r="BX106" s="34">
        <v>0</v>
      </c>
      <c r="BY106" s="34">
        <v>0</v>
      </c>
      <c r="BZ106">
        <v>6</v>
      </c>
      <c r="CA106" t="str">
        <v>линии</v>
      </c>
    </row>
    <row r="107" spans="1:79" x14ac:dyDescent="0.3">
      <c r="A107" s="39" t="str">
        <v>ЩОВ-2</v>
      </c>
      <c r="B107" s="42">
        <v>2</v>
      </c>
      <c r="C107" s="42">
        <v>1</v>
      </c>
      <c r="D107" s="75" t="str">
        <v/>
      </c>
      <c r="E107" s="75" t="str">
        <v>авто</v>
      </c>
      <c r="F107" s="76" t="str">
        <v/>
      </c>
      <c r="G107" s="47" t="str">
        <v/>
      </c>
      <c r="H107" s="47" t="str">
        <v>3P С20А</v>
      </c>
      <c r="I107" s="75" t="str">
        <v/>
      </c>
      <c r="J107" s="76" t="str">
        <v/>
      </c>
      <c r="K107" s="76" t="str">
        <v/>
      </c>
      <c r="L107" s="75" t="str">
        <v/>
      </c>
      <c r="M107" s="49" t="str">
        <v/>
      </c>
      <c r="N107" s="76" t="str">
        <v/>
      </c>
      <c r="O107" s="49" t="str">
        <v/>
      </c>
      <c r="P107" s="77" t="str">
        <v/>
      </c>
      <c r="Q107" s="53" t="str">
        <v>ВВГнг(А)-LS (5х4) L=52-1,06%</v>
      </c>
      <c r="R107" s="54" t="str">
        <v>Ввод</v>
      </c>
      <c r="S107" s="55" t="str">
        <v xml:space="preserve">Вводной кабель шлейф </v>
      </c>
      <c r="T107" s="56">
        <v>11.093000000000002</v>
      </c>
      <c r="U107" s="56">
        <v>10.29</v>
      </c>
      <c r="V107" s="42" t="str">
        <v>L1,L2,L3</v>
      </c>
      <c r="W107" s="57" t="str">
        <v>ok</v>
      </c>
      <c r="X107" s="58" t="str">
        <v/>
      </c>
      <c r="Y107" s="75" t="str">
        <v>вручную</v>
      </c>
      <c r="Z107" s="59">
        <v>10.284051669940206</v>
      </c>
      <c r="AA107" s="61">
        <v>16</v>
      </c>
      <c r="AB107" s="61">
        <v>32</v>
      </c>
      <c r="AC107" s="61" t="str">
        <v/>
      </c>
      <c r="AD107" s="62" t="str">
        <v/>
      </c>
      <c r="AE107" s="62" t="str">
        <v/>
      </c>
      <c r="AF107" s="34" t="str">
        <v/>
      </c>
      <c r="AG107" s="34" t="str">
        <v/>
      </c>
      <c r="AH107" s="34" t="str">
        <v/>
      </c>
      <c r="AI107" s="34" t="str">
        <v/>
      </c>
      <c r="AJ107" s="34" t="str">
        <v/>
      </c>
      <c r="AK107" s="34">
        <v>3</v>
      </c>
      <c r="AL107" s="34" t="str">
        <v>Ввод</v>
      </c>
      <c r="AM107" s="34">
        <v>0</v>
      </c>
      <c r="AN107" s="34">
        <v>0</v>
      </c>
      <c r="AO107" s="34">
        <v>16</v>
      </c>
      <c r="AP107" s="34">
        <v>32</v>
      </c>
      <c r="AQ107" s="34">
        <v>20</v>
      </c>
      <c r="AR107" s="34">
        <v>3</v>
      </c>
      <c r="AS107" s="34">
        <v>0</v>
      </c>
      <c r="AT107" s="34" t="str">
        <v>3P</v>
      </c>
      <c r="AU107" s="34">
        <v>20</v>
      </c>
      <c r="AV107" s="34" t="str">
        <v/>
      </c>
      <c r="AW107" s="34" t="str">
        <v/>
      </c>
      <c r="AX107" s="34" t="str">
        <v/>
      </c>
      <c r="AY107" s="34">
        <v>0</v>
      </c>
      <c r="AZ107" s="34" t="str">
        <v/>
      </c>
      <c r="BA107" s="34">
        <v>0</v>
      </c>
      <c r="BB107" s="34">
        <v>0</v>
      </c>
      <c r="BD107" s="34">
        <v>0</v>
      </c>
      <c r="BE107" s="34">
        <v>0</v>
      </c>
      <c r="BF107" s="34">
        <v>0</v>
      </c>
      <c r="BG107" s="34" t="str">
        <v/>
      </c>
      <c r="BH107" s="34" t="str">
        <v/>
      </c>
      <c r="BI107" s="34" t="str">
        <v/>
      </c>
      <c r="BJ107" s="34" t="str">
        <v/>
      </c>
      <c r="BK107" s="34" t="str">
        <v>BOX</v>
      </c>
      <c r="BL107" s="34">
        <v>1</v>
      </c>
      <c r="BM107" s="34" t="str">
        <v/>
      </c>
      <c r="BN107" s="34" t="str">
        <v/>
      </c>
      <c r="BO107" s="34" t="str">
        <v/>
      </c>
      <c r="BP107" s="34" t="str">
        <v/>
      </c>
      <c r="BQ107" s="34" t="str">
        <v/>
      </c>
      <c r="BR107" s="34" t="str">
        <v/>
      </c>
      <c r="BS107" s="34" t="str">
        <v/>
      </c>
      <c r="BT107" s="34" t="str">
        <v/>
      </c>
      <c r="BU107" s="34">
        <v>0</v>
      </c>
      <c r="BV107" s="34">
        <v>128</v>
      </c>
      <c r="BW107" s="34">
        <v>0</v>
      </c>
      <c r="BX107" s="34">
        <v>0</v>
      </c>
      <c r="BY107" s="34">
        <v>0</v>
      </c>
      <c r="BZ107">
        <v>7</v>
      </c>
      <c r="CA107" t="str">
        <v>вводной узел</v>
      </c>
    </row>
    <row r="108" spans="1:79" x14ac:dyDescent="0.3">
      <c r="A108" s="39" t="str">
        <v>ЩОВ-2</v>
      </c>
      <c r="B108" s="42">
        <v>13</v>
      </c>
      <c r="C108" s="42">
        <v>1</v>
      </c>
      <c r="D108" s="75" t="str">
        <v/>
      </c>
      <c r="E108" s="75" t="str">
        <v>авто</v>
      </c>
      <c r="F108" s="76" t="str">
        <v/>
      </c>
      <c r="G108" s="47" t="str">
        <v>QF1</v>
      </c>
      <c r="H108" s="47" t="str">
        <v>1P С6А</v>
      </c>
      <c r="I108" s="75" t="str">
        <v/>
      </c>
      <c r="J108" s="76" t="str">
        <v/>
      </c>
      <c r="K108" s="76" t="str">
        <v/>
      </c>
      <c r="L108" s="75" t="str">
        <v/>
      </c>
      <c r="M108" s="49" t="str">
        <v/>
      </c>
      <c r="N108" s="76" t="str">
        <v/>
      </c>
      <c r="O108" s="49" t="str">
        <v/>
      </c>
      <c r="P108" s="77" t="str">
        <v>XT1</v>
      </c>
      <c r="Q108" s="53" t="str">
        <v>ВВГнг(А)-LS (3х1,5) L=30-0,79%</v>
      </c>
      <c r="R108" s="54" t="str">
        <v>K.1.001A.1</v>
      </c>
      <c r="S108" s="55" t="str">
        <v>Внутренний блок кондиционирования Технический этаж Пом. №001Т</v>
      </c>
      <c r="T108" s="56">
        <v>0.46100000000000002</v>
      </c>
      <c r="U108" s="56">
        <v>2.5</v>
      </c>
      <c r="V108" s="42" t="str">
        <v>L2</v>
      </c>
      <c r="W108" s="57" t="str">
        <v>ok</v>
      </c>
      <c r="X108" s="58" t="str">
        <v/>
      </c>
      <c r="Y108" s="75" t="str">
        <v/>
      </c>
      <c r="Z108" s="59">
        <v>2.4952356946539136</v>
      </c>
      <c r="AA108" s="61">
        <v>6</v>
      </c>
      <c r="AB108" s="61">
        <v>16</v>
      </c>
      <c r="AC108" s="61" t="str">
        <v/>
      </c>
      <c r="AD108" s="62" t="str">
        <v>QF1 → XT1</v>
      </c>
      <c r="AE108" s="62" t="str">
        <v/>
      </c>
      <c r="AF108" s="34">
        <v>1</v>
      </c>
      <c r="AG108" s="34" t="str">
        <v>QF1</v>
      </c>
      <c r="AH108" s="34" t="str">
        <v/>
      </c>
      <c r="AI108" s="34" t="str">
        <v/>
      </c>
      <c r="AJ108" s="34" t="str">
        <v>QF1</v>
      </c>
      <c r="AK108" s="34">
        <v>1</v>
      </c>
      <c r="AL108" s="34" t="str">
        <v>K</v>
      </c>
      <c r="AM108" s="34">
        <v>0</v>
      </c>
      <c r="AN108" s="34">
        <v>0</v>
      </c>
      <c r="AO108" s="34">
        <v>6</v>
      </c>
      <c r="AP108" s="34">
        <v>16</v>
      </c>
      <c r="AQ108" s="34">
        <v>6</v>
      </c>
      <c r="AR108" s="34">
        <v>1</v>
      </c>
      <c r="AS108" s="34">
        <v>0</v>
      </c>
      <c r="AT108" s="34" t="str">
        <v>1P</v>
      </c>
      <c r="AU108" s="34">
        <v>6</v>
      </c>
      <c r="AV108" s="34" t="str">
        <v/>
      </c>
      <c r="AW108" s="34" t="str">
        <v/>
      </c>
      <c r="AX108" s="34" t="str">
        <v/>
      </c>
      <c r="AY108" s="34">
        <v>1</v>
      </c>
      <c r="AZ108" s="34" t="str">
        <v/>
      </c>
      <c r="BA108" s="34">
        <v>0</v>
      </c>
      <c r="BB108" s="34">
        <v>0</v>
      </c>
      <c r="BD108" s="34">
        <v>1</v>
      </c>
      <c r="BE108" s="34">
        <v>0</v>
      </c>
      <c r="BF108" s="34">
        <v>0</v>
      </c>
      <c r="BG108" s="34" t="str">
        <v/>
      </c>
      <c r="BH108" s="34" t="str">
        <v/>
      </c>
      <c r="BI108" s="34" t="str">
        <v/>
      </c>
      <c r="BJ108" s="34" t="str">
        <v/>
      </c>
      <c r="BK108" s="34" t="str">
        <v>BOX</v>
      </c>
      <c r="BL108" s="34">
        <v>1</v>
      </c>
      <c r="BM108" s="34" t="str">
        <v/>
      </c>
      <c r="BN108" s="34" t="str">
        <v/>
      </c>
      <c r="BO108" s="34" t="str">
        <v/>
      </c>
      <c r="BP108" s="34" t="str">
        <v/>
      </c>
      <c r="BQ108" s="34" t="str">
        <v>3х1,5</v>
      </c>
      <c r="BR108" s="34" t="str">
        <v/>
      </c>
      <c r="BS108" s="34" t="str">
        <v/>
      </c>
      <c r="BT108" s="34" t="str">
        <v/>
      </c>
      <c r="BU108" s="34">
        <v>0</v>
      </c>
      <c r="BV108" s="34">
        <v>129</v>
      </c>
      <c r="BW108" s="34">
        <v>1</v>
      </c>
      <c r="BX108" s="34">
        <v>0</v>
      </c>
      <c r="BY108" s="34">
        <v>0</v>
      </c>
      <c r="BZ108">
        <v>7</v>
      </c>
      <c r="CA108" t="str">
        <v>линии</v>
      </c>
    </row>
    <row r="109" spans="1:79" x14ac:dyDescent="0.3">
      <c r="A109" s="39" t="str">
        <v>ЩОВ-2</v>
      </c>
      <c r="B109" s="42">
        <v>14</v>
      </c>
      <c r="C109" s="42">
        <v>1</v>
      </c>
      <c r="D109" s="75" t="str">
        <v/>
      </c>
      <c r="E109" s="75" t="str">
        <v>авто</v>
      </c>
      <c r="F109" s="76" t="str">
        <v/>
      </c>
      <c r="G109" s="47" t="str">
        <v>QF2</v>
      </c>
      <c r="H109" s="47" t="str">
        <v>1P С6А</v>
      </c>
      <c r="I109" s="75" t="str">
        <v/>
      </c>
      <c r="J109" s="76" t="str">
        <v/>
      </c>
      <c r="K109" s="76" t="str">
        <v/>
      </c>
      <c r="L109" s="75" t="str">
        <v/>
      </c>
      <c r="M109" s="49" t="str">
        <v/>
      </c>
      <c r="N109" s="76" t="str">
        <v/>
      </c>
      <c r="O109" s="49" t="str">
        <v/>
      </c>
      <c r="P109" s="77" t="str">
        <v>XT2</v>
      </c>
      <c r="Q109" s="53" t="str">
        <v>ВВГнг(А)-LS (3х1,5) L=22-0,58%</v>
      </c>
      <c r="R109" s="54" t="str">
        <v>K.1.001A.2</v>
      </c>
      <c r="S109" s="55" t="str">
        <v>Внутренний блок кондиционирования Технический этаж Пом. №001Т</v>
      </c>
      <c r="T109" s="56">
        <v>0.46100000000000002</v>
      </c>
      <c r="U109" s="56">
        <v>2.5</v>
      </c>
      <c r="V109" s="42" t="str">
        <v>L1</v>
      </c>
      <c r="W109" s="57" t="str">
        <v>ok</v>
      </c>
      <c r="X109" s="58" t="str">
        <v/>
      </c>
      <c r="Y109" s="75" t="str">
        <v/>
      </c>
      <c r="Z109" s="59">
        <v>2.4952356946539136</v>
      </c>
      <c r="AA109" s="61">
        <v>6</v>
      </c>
      <c r="AB109" s="61">
        <v>16</v>
      </c>
      <c r="AC109" s="61" t="str">
        <v/>
      </c>
      <c r="AD109" s="62" t="str">
        <v>QF2 → XT2</v>
      </c>
      <c r="AE109" s="62" t="str">
        <v/>
      </c>
      <c r="AF109" s="34">
        <v>2</v>
      </c>
      <c r="AG109" s="34" t="str">
        <v>QF2</v>
      </c>
      <c r="AH109" s="34" t="str">
        <v/>
      </c>
      <c r="AI109" s="34" t="str">
        <v/>
      </c>
      <c r="AJ109" s="34" t="str">
        <v>QF2</v>
      </c>
      <c r="AK109" s="34">
        <v>1</v>
      </c>
      <c r="AL109" s="34" t="str">
        <v>K</v>
      </c>
      <c r="AM109" s="34">
        <v>0</v>
      </c>
      <c r="AN109" s="34">
        <v>0</v>
      </c>
      <c r="AO109" s="34">
        <v>6</v>
      </c>
      <c r="AP109" s="34">
        <v>16</v>
      </c>
      <c r="AQ109" s="34">
        <v>6</v>
      </c>
      <c r="AR109" s="34">
        <v>1</v>
      </c>
      <c r="AS109" s="34">
        <v>0</v>
      </c>
      <c r="AT109" s="34" t="str">
        <v>1P</v>
      </c>
      <c r="AU109" s="34">
        <v>6</v>
      </c>
      <c r="AV109" s="34" t="str">
        <v/>
      </c>
      <c r="AW109" s="34" t="str">
        <v/>
      </c>
      <c r="AX109" s="34" t="str">
        <v/>
      </c>
      <c r="AY109" s="34">
        <v>1</v>
      </c>
      <c r="AZ109" s="34" t="str">
        <v/>
      </c>
      <c r="BA109" s="34">
        <v>0</v>
      </c>
      <c r="BB109" s="34">
        <v>0</v>
      </c>
      <c r="BD109" s="34">
        <v>1</v>
      </c>
      <c r="BE109" s="34">
        <v>0</v>
      </c>
      <c r="BF109" s="34">
        <v>0</v>
      </c>
      <c r="BG109" s="34" t="str">
        <v/>
      </c>
      <c r="BH109" s="34" t="str">
        <v/>
      </c>
      <c r="BI109" s="34" t="str">
        <v/>
      </c>
      <c r="BJ109" s="34" t="str">
        <v/>
      </c>
      <c r="BK109" s="34" t="str">
        <v>BOX</v>
      </c>
      <c r="BL109" s="34">
        <v>1</v>
      </c>
      <c r="BM109" s="34" t="str">
        <v/>
      </c>
      <c r="BN109" s="34" t="str">
        <v/>
      </c>
      <c r="BO109" s="34" t="str">
        <v/>
      </c>
      <c r="BP109" s="34" t="str">
        <v/>
      </c>
      <c r="BQ109" s="34" t="str">
        <v>3х1,5</v>
      </c>
      <c r="BR109" s="34" t="str">
        <v/>
      </c>
      <c r="BS109" s="34" t="str">
        <v/>
      </c>
      <c r="BT109" s="34" t="str">
        <v/>
      </c>
      <c r="BU109" s="34">
        <v>0</v>
      </c>
      <c r="BV109" s="34">
        <v>130</v>
      </c>
      <c r="BW109" s="34">
        <v>1</v>
      </c>
      <c r="BX109" s="34">
        <v>0</v>
      </c>
      <c r="BY109" s="34">
        <v>0</v>
      </c>
      <c r="BZ109">
        <v>7</v>
      </c>
      <c r="CA109" t="str">
        <v>линии</v>
      </c>
    </row>
    <row r="110" spans="1:79" x14ac:dyDescent="0.3">
      <c r="A110" s="39" t="str">
        <v>ЩОВ-2</v>
      </c>
      <c r="B110" s="42">
        <v>15</v>
      </c>
      <c r="C110" s="42">
        <v>1</v>
      </c>
      <c r="D110" s="75" t="str">
        <v/>
      </c>
      <c r="E110" s="75" t="str">
        <v>авто</v>
      </c>
      <c r="F110" s="76" t="str">
        <v/>
      </c>
      <c r="G110" s="47" t="str">
        <v>QF3</v>
      </c>
      <c r="H110" s="47" t="str">
        <v>1P С6А</v>
      </c>
      <c r="I110" s="75" t="str">
        <v/>
      </c>
      <c r="J110" s="76" t="str">
        <v/>
      </c>
      <c r="K110" s="76" t="str">
        <v/>
      </c>
      <c r="L110" s="75" t="str">
        <v/>
      </c>
      <c r="M110" s="49" t="str">
        <v/>
      </c>
      <c r="N110" s="76" t="str">
        <v/>
      </c>
      <c r="O110" s="49" t="str">
        <v/>
      </c>
      <c r="P110" s="77" t="str">
        <v>XT3</v>
      </c>
      <c r="Q110" s="53" t="str">
        <v>ВВГнг(А)-LS (3х1,5) L=26-0,56%</v>
      </c>
      <c r="R110" s="54" t="str">
        <v>K.1.003A</v>
      </c>
      <c r="S110" s="55" t="str">
        <v>Внутренний блок кондиционирования Технический этаж Пом. №002Т</v>
      </c>
      <c r="T110" s="56">
        <v>0.376</v>
      </c>
      <c r="U110" s="56">
        <v>2.0399999999999996</v>
      </c>
      <c r="V110" s="42" t="str">
        <v>L2</v>
      </c>
      <c r="W110" s="57" t="str">
        <v>ok</v>
      </c>
      <c r="X110" s="58" t="str">
        <v/>
      </c>
      <c r="Y110" s="75" t="str">
        <v/>
      </c>
      <c r="Z110" s="59">
        <v>2.0351596988934304</v>
      </c>
      <c r="AA110" s="61">
        <v>6</v>
      </c>
      <c r="AB110" s="61">
        <v>16</v>
      </c>
      <c r="AC110" s="61" t="str">
        <v/>
      </c>
      <c r="AD110" s="62" t="str">
        <v>QF3 → XT3</v>
      </c>
      <c r="AE110" s="62" t="str">
        <v/>
      </c>
      <c r="AF110" s="34">
        <v>3</v>
      </c>
      <c r="AG110" s="34" t="str">
        <v>QF3</v>
      </c>
      <c r="AH110" s="34" t="str">
        <v/>
      </c>
      <c r="AI110" s="34" t="str">
        <v/>
      </c>
      <c r="AJ110" s="34" t="str">
        <v>QF3</v>
      </c>
      <c r="AK110" s="34">
        <v>1</v>
      </c>
      <c r="AL110" s="34" t="str">
        <v>K</v>
      </c>
      <c r="AM110" s="34">
        <v>0</v>
      </c>
      <c r="AN110" s="34">
        <v>0</v>
      </c>
      <c r="AO110" s="34">
        <v>6</v>
      </c>
      <c r="AP110" s="34">
        <v>16</v>
      </c>
      <c r="AQ110" s="34">
        <v>6</v>
      </c>
      <c r="AR110" s="34">
        <v>1</v>
      </c>
      <c r="AS110" s="34">
        <v>0</v>
      </c>
      <c r="AT110" s="34" t="str">
        <v>1P</v>
      </c>
      <c r="AU110" s="34">
        <v>6</v>
      </c>
      <c r="AV110" s="34" t="str">
        <v/>
      </c>
      <c r="AW110" s="34" t="str">
        <v/>
      </c>
      <c r="AX110" s="34" t="str">
        <v/>
      </c>
      <c r="AY110" s="34">
        <v>1</v>
      </c>
      <c r="AZ110" s="34" t="str">
        <v/>
      </c>
      <c r="BA110" s="34">
        <v>0</v>
      </c>
      <c r="BB110" s="34">
        <v>0</v>
      </c>
      <c r="BD110" s="34">
        <v>1</v>
      </c>
      <c r="BE110" s="34">
        <v>0</v>
      </c>
      <c r="BF110" s="34">
        <v>0</v>
      </c>
      <c r="BG110" s="34" t="str">
        <v/>
      </c>
      <c r="BH110" s="34" t="str">
        <v/>
      </c>
      <c r="BI110" s="34" t="str">
        <v/>
      </c>
      <c r="BJ110" s="34" t="str">
        <v/>
      </c>
      <c r="BK110" s="34" t="str">
        <v>BOX</v>
      </c>
      <c r="BL110" s="34">
        <v>1</v>
      </c>
      <c r="BM110" s="34" t="str">
        <v/>
      </c>
      <c r="BN110" s="34" t="str">
        <v/>
      </c>
      <c r="BO110" s="34" t="str">
        <v/>
      </c>
      <c r="BP110" s="34" t="str">
        <v/>
      </c>
      <c r="BQ110" s="34" t="str">
        <v>3х1,5</v>
      </c>
      <c r="BR110" s="34" t="str">
        <v/>
      </c>
      <c r="BS110" s="34" t="str">
        <v/>
      </c>
      <c r="BT110" s="34" t="str">
        <v/>
      </c>
      <c r="BU110" s="34">
        <v>0</v>
      </c>
      <c r="BV110" s="34">
        <v>131</v>
      </c>
      <c r="BW110" s="34">
        <v>1</v>
      </c>
      <c r="BX110" s="34">
        <v>0</v>
      </c>
      <c r="BY110" s="34">
        <v>0</v>
      </c>
      <c r="BZ110">
        <v>7</v>
      </c>
      <c r="CA110" t="str">
        <v>линии</v>
      </c>
    </row>
    <row r="111" spans="1:79" x14ac:dyDescent="0.3">
      <c r="A111" s="39" t="str">
        <v>ЩОВ-2</v>
      </c>
      <c r="B111" s="42">
        <v>16</v>
      </c>
      <c r="C111" s="42">
        <v>1</v>
      </c>
      <c r="D111" s="75" t="str">
        <v/>
      </c>
      <c r="E111" s="75" t="str">
        <v>авто</v>
      </c>
      <c r="F111" s="76" t="str">
        <v/>
      </c>
      <c r="G111" s="47" t="str">
        <v>QF4</v>
      </c>
      <c r="H111" s="47" t="str">
        <v>1P С6А</v>
      </c>
      <c r="I111" s="75" t="str">
        <v/>
      </c>
      <c r="J111" s="76" t="str">
        <v/>
      </c>
      <c r="K111" s="76" t="str">
        <v/>
      </c>
      <c r="L111" s="75" t="str">
        <v/>
      </c>
      <c r="M111" s="49" t="str">
        <v/>
      </c>
      <c r="N111" s="76" t="str">
        <v/>
      </c>
      <c r="O111" s="49" t="str">
        <v/>
      </c>
      <c r="P111" s="77" t="str">
        <v>XT4</v>
      </c>
      <c r="Q111" s="53" t="str">
        <v>ВВГнг(А)-LS (3х1,5) L=26-0,44%</v>
      </c>
      <c r="R111" s="54" t="str">
        <v>K.1.005A</v>
      </c>
      <c r="S111" s="55" t="str">
        <v>Внутренний блок кондиционирования Технический этаж Пом. №001Т</v>
      </c>
      <c r="T111" s="56">
        <v>0.29799999999999999</v>
      </c>
      <c r="U111" s="56">
        <v>1.62</v>
      </c>
      <c r="V111" s="42" t="str">
        <v>L1</v>
      </c>
      <c r="W111" s="57" t="str">
        <v>ok</v>
      </c>
      <c r="X111" s="58" t="str">
        <v/>
      </c>
      <c r="Y111" s="75" t="str">
        <v/>
      </c>
      <c r="Z111" s="59">
        <v>1.6129723145485166</v>
      </c>
      <c r="AA111" s="61">
        <v>6</v>
      </c>
      <c r="AB111" s="61">
        <v>16</v>
      </c>
      <c r="AC111" s="61" t="str">
        <v/>
      </c>
      <c r="AD111" s="62" t="str">
        <v>QF4 → XT4</v>
      </c>
      <c r="AE111" s="62" t="str">
        <v/>
      </c>
      <c r="AF111" s="34">
        <v>4</v>
      </c>
      <c r="AG111" s="34" t="str">
        <v>QF4</v>
      </c>
      <c r="AH111" s="34" t="str">
        <v/>
      </c>
      <c r="AI111" s="34" t="str">
        <v/>
      </c>
      <c r="AJ111" s="34" t="str">
        <v>QF4</v>
      </c>
      <c r="AK111" s="34">
        <v>1</v>
      </c>
      <c r="AL111" s="34" t="str">
        <v>K</v>
      </c>
      <c r="AM111" s="34">
        <v>0</v>
      </c>
      <c r="AN111" s="34">
        <v>0</v>
      </c>
      <c r="AO111" s="34">
        <v>6</v>
      </c>
      <c r="AP111" s="34">
        <v>16</v>
      </c>
      <c r="AQ111" s="34">
        <v>6</v>
      </c>
      <c r="AR111" s="34">
        <v>1</v>
      </c>
      <c r="AS111" s="34">
        <v>0</v>
      </c>
      <c r="AT111" s="34" t="str">
        <v>1P</v>
      </c>
      <c r="AU111" s="34">
        <v>6</v>
      </c>
      <c r="AV111" s="34" t="str">
        <v/>
      </c>
      <c r="AW111" s="34" t="str">
        <v/>
      </c>
      <c r="AX111" s="34" t="str">
        <v/>
      </c>
      <c r="AY111" s="34">
        <v>1</v>
      </c>
      <c r="AZ111" s="34" t="str">
        <v/>
      </c>
      <c r="BA111" s="34">
        <v>0</v>
      </c>
      <c r="BB111" s="34">
        <v>0</v>
      </c>
      <c r="BD111" s="34">
        <v>1</v>
      </c>
      <c r="BE111" s="34">
        <v>0</v>
      </c>
      <c r="BF111" s="34">
        <v>0</v>
      </c>
      <c r="BG111" s="34" t="str">
        <v/>
      </c>
      <c r="BH111" s="34" t="str">
        <v/>
      </c>
      <c r="BI111" s="34" t="str">
        <v/>
      </c>
      <c r="BJ111" s="34" t="str">
        <v/>
      </c>
      <c r="BK111" s="34" t="str">
        <v>BOX</v>
      </c>
      <c r="BL111" s="34">
        <v>1</v>
      </c>
      <c r="BM111" s="34" t="str">
        <v/>
      </c>
      <c r="BN111" s="34" t="str">
        <v/>
      </c>
      <c r="BO111" s="34" t="str">
        <v/>
      </c>
      <c r="BP111" s="34" t="str">
        <v/>
      </c>
      <c r="BQ111" s="34" t="str">
        <v>3х1,5</v>
      </c>
      <c r="BR111" s="34" t="str">
        <v/>
      </c>
      <c r="BS111" s="34" t="str">
        <v/>
      </c>
      <c r="BT111" s="34" t="str">
        <v/>
      </c>
      <c r="BU111" s="34">
        <v>0</v>
      </c>
      <c r="BV111" s="34">
        <v>132</v>
      </c>
      <c r="BW111" s="34">
        <v>1</v>
      </c>
      <c r="BX111" s="34">
        <v>0</v>
      </c>
      <c r="BY111" s="34">
        <v>0</v>
      </c>
      <c r="BZ111">
        <v>7</v>
      </c>
      <c r="CA111" t="str">
        <v>линии</v>
      </c>
    </row>
    <row r="112" spans="1:79" x14ac:dyDescent="0.3">
      <c r="A112" s="39" t="str">
        <v>ЩОВ-2</v>
      </c>
      <c r="B112" s="42">
        <v>19</v>
      </c>
      <c r="C112" s="42">
        <v>2</v>
      </c>
      <c r="D112" s="75" t="str">
        <v/>
      </c>
      <c r="E112" s="75" t="str">
        <v>авто</v>
      </c>
      <c r="F112" s="76" t="str">
        <v/>
      </c>
      <c r="G112" s="47" t="str">
        <v>QF5</v>
      </c>
      <c r="H112" s="47" t="str">
        <v>1P С6А</v>
      </c>
      <c r="I112" s="75" t="str">
        <v/>
      </c>
      <c r="J112" s="76" t="str">
        <v/>
      </c>
      <c r="K112" s="76" t="str">
        <v/>
      </c>
      <c r="L112" s="75" t="str">
        <v/>
      </c>
      <c r="M112" s="49" t="str">
        <v/>
      </c>
      <c r="N112" s="76" t="str">
        <v/>
      </c>
      <c r="O112" s="49" t="str">
        <v/>
      </c>
      <c r="P112" s="77" t="str">
        <v/>
      </c>
      <c r="Q112" s="53" t="str">
        <v>ВВГнг(А)-LS (3х1,5) L=34-0,2%</v>
      </c>
      <c r="R112" s="54" t="str">
        <v>K.2.004A</v>
      </c>
      <c r="S112" s="55" t="str">
        <v>Внутренний блок кондиционирования Технический этаж Пом. №002Т</v>
      </c>
      <c r="T112" s="56">
        <v>0.104</v>
      </c>
      <c r="U112" s="56">
        <v>0.57000000000000006</v>
      </c>
      <c r="V112" s="42" t="str">
        <v>L2</v>
      </c>
      <c r="W112" s="57" t="str">
        <v>ok</v>
      </c>
      <c r="X112" s="58" t="str">
        <v/>
      </c>
      <c r="Y112" s="75" t="str">
        <v/>
      </c>
      <c r="Z112" s="59">
        <v>0.56291651245988494</v>
      </c>
      <c r="AA112" s="61">
        <v>6</v>
      </c>
      <c r="AB112" s="61">
        <v>16</v>
      </c>
      <c r="AC112" s="61" t="str">
        <v/>
      </c>
      <c r="AD112" s="62" t="str">
        <v>QF5</v>
      </c>
      <c r="AE112" s="62" t="str">
        <v/>
      </c>
      <c r="AF112" s="34">
        <v>5</v>
      </c>
      <c r="AG112" s="34" t="str">
        <v>QF5</v>
      </c>
      <c r="AH112" s="34" t="str">
        <v/>
      </c>
      <c r="AI112" s="34" t="str">
        <v/>
      </c>
      <c r="AJ112" s="34" t="str">
        <v>QF5</v>
      </c>
      <c r="AK112" s="34">
        <v>1</v>
      </c>
      <c r="AL112" s="34" t="str">
        <v>K</v>
      </c>
      <c r="AM112" s="34">
        <v>0</v>
      </c>
      <c r="AN112" s="34">
        <v>0</v>
      </c>
      <c r="AO112" s="34">
        <v>6</v>
      </c>
      <c r="AP112" s="34">
        <v>16</v>
      </c>
      <c r="AQ112" s="34">
        <v>6</v>
      </c>
      <c r="AR112" s="34">
        <v>1</v>
      </c>
      <c r="AS112" s="34">
        <v>0</v>
      </c>
      <c r="AT112" s="34" t="str">
        <v>1P</v>
      </c>
      <c r="AU112" s="34">
        <v>6</v>
      </c>
      <c r="AV112" s="34" t="str">
        <v/>
      </c>
      <c r="AW112" s="34" t="str">
        <v/>
      </c>
      <c r="AX112" s="34" t="str">
        <v/>
      </c>
      <c r="AY112" s="34">
        <v>1</v>
      </c>
      <c r="AZ112" s="34" t="str">
        <v/>
      </c>
      <c r="BA112" s="34">
        <v>0</v>
      </c>
      <c r="BB112" s="34">
        <v>0</v>
      </c>
      <c r="BD112" s="34">
        <v>1</v>
      </c>
      <c r="BE112" s="34">
        <v>0</v>
      </c>
      <c r="BF112" s="34">
        <v>0</v>
      </c>
      <c r="BG112" s="34" t="str">
        <v/>
      </c>
      <c r="BH112" s="34" t="str">
        <v/>
      </c>
      <c r="BI112" s="34" t="str">
        <v/>
      </c>
      <c r="BJ112" s="34" t="str">
        <v/>
      </c>
      <c r="BK112" s="34" t="str">
        <v>BOX</v>
      </c>
      <c r="BL112" s="34">
        <v>1</v>
      </c>
      <c r="BM112" s="34" t="str">
        <v/>
      </c>
      <c r="BN112" s="34" t="str">
        <v/>
      </c>
      <c r="BO112" s="34" t="str">
        <v/>
      </c>
      <c r="BP112" s="34" t="str">
        <v/>
      </c>
      <c r="BQ112" s="34" t="str">
        <v>3х1,5</v>
      </c>
      <c r="BR112" s="34" t="str">
        <v/>
      </c>
      <c r="BS112" s="34" t="str">
        <v/>
      </c>
      <c r="BT112" s="34" t="str">
        <v/>
      </c>
      <c r="BU112" s="34">
        <v>0</v>
      </c>
      <c r="BV112" s="34">
        <v>133</v>
      </c>
      <c r="BW112" s="34">
        <v>1</v>
      </c>
      <c r="BX112" s="34">
        <v>0</v>
      </c>
      <c r="BY112" s="34">
        <v>0</v>
      </c>
      <c r="BZ112">
        <v>7</v>
      </c>
      <c r="CA112" t="str">
        <v>линии</v>
      </c>
    </row>
    <row r="113" spans="1:79" x14ac:dyDescent="0.3">
      <c r="A113" s="39" t="str">
        <v>ЩОВ-2</v>
      </c>
      <c r="B113" s="42">
        <v>20</v>
      </c>
      <c r="C113" s="42">
        <v>2</v>
      </c>
      <c r="D113" s="75" t="str">
        <v/>
      </c>
      <c r="E113" s="75" t="str">
        <v>авто</v>
      </c>
      <c r="F113" s="76" t="str">
        <v/>
      </c>
      <c r="G113" s="47" t="str">
        <v>QF6</v>
      </c>
      <c r="H113" s="47" t="str">
        <v>1P С6А</v>
      </c>
      <c r="I113" s="75" t="str">
        <v/>
      </c>
      <c r="J113" s="76" t="str">
        <v/>
      </c>
      <c r="K113" s="76" t="str">
        <v/>
      </c>
      <c r="L113" s="75" t="str">
        <v/>
      </c>
      <c r="M113" s="49" t="str">
        <v/>
      </c>
      <c r="N113" s="76" t="str">
        <v/>
      </c>
      <c r="O113" s="49" t="str">
        <v/>
      </c>
      <c r="P113" s="77" t="str">
        <v>XT6</v>
      </c>
      <c r="Q113" s="53" t="str">
        <v>ВВГнг(А)-LS (3х1,5) L=34-0,32%</v>
      </c>
      <c r="R113" s="54" t="str">
        <v>K.2.005A</v>
      </c>
      <c r="S113" s="55" t="str">
        <v>Внутренний блок кондиционирования Технический этаж Пом. №002Т</v>
      </c>
      <c r="T113" s="56">
        <v>0.16200000000000001</v>
      </c>
      <c r="U113" s="56">
        <v>0.88</v>
      </c>
      <c r="V113" s="42" t="str">
        <v>L2</v>
      </c>
      <c r="W113" s="57" t="str">
        <v>ok</v>
      </c>
      <c r="X113" s="58" t="str">
        <v/>
      </c>
      <c r="Y113" s="75" t="str">
        <v/>
      </c>
      <c r="Z113" s="59">
        <v>0.87685072133174402</v>
      </c>
      <c r="AA113" s="61">
        <v>6</v>
      </c>
      <c r="AB113" s="61">
        <v>16</v>
      </c>
      <c r="AC113" s="61" t="str">
        <v/>
      </c>
      <c r="AD113" s="62" t="str">
        <v>QF6 → XT6</v>
      </c>
      <c r="AE113" s="62" t="str">
        <v/>
      </c>
      <c r="AF113" s="34">
        <v>6</v>
      </c>
      <c r="AG113" s="34" t="str">
        <v>QF6</v>
      </c>
      <c r="AH113" s="34" t="str">
        <v/>
      </c>
      <c r="AI113" s="34" t="str">
        <v/>
      </c>
      <c r="AJ113" s="34" t="str">
        <v>QF6</v>
      </c>
      <c r="AK113" s="34">
        <v>1</v>
      </c>
      <c r="AL113" s="34" t="str">
        <v>K</v>
      </c>
      <c r="AM113" s="34">
        <v>0</v>
      </c>
      <c r="AN113" s="34">
        <v>0</v>
      </c>
      <c r="AO113" s="34">
        <v>6</v>
      </c>
      <c r="AP113" s="34">
        <v>16</v>
      </c>
      <c r="AQ113" s="34">
        <v>6</v>
      </c>
      <c r="AR113" s="34">
        <v>1</v>
      </c>
      <c r="AS113" s="34">
        <v>0</v>
      </c>
      <c r="AT113" s="34" t="str">
        <v>1P</v>
      </c>
      <c r="AU113" s="34">
        <v>6</v>
      </c>
      <c r="AV113" s="34" t="str">
        <v/>
      </c>
      <c r="AW113" s="34" t="str">
        <v/>
      </c>
      <c r="AX113" s="34" t="str">
        <v/>
      </c>
      <c r="AY113" s="34">
        <v>1</v>
      </c>
      <c r="AZ113" s="34" t="str">
        <v/>
      </c>
      <c r="BA113" s="34">
        <v>0</v>
      </c>
      <c r="BB113" s="34">
        <v>0</v>
      </c>
      <c r="BD113" s="34">
        <v>1</v>
      </c>
      <c r="BE113" s="34">
        <v>0</v>
      </c>
      <c r="BF113" s="34">
        <v>0</v>
      </c>
      <c r="BG113" s="34" t="str">
        <v/>
      </c>
      <c r="BH113" s="34" t="str">
        <v/>
      </c>
      <c r="BI113" s="34" t="str">
        <v/>
      </c>
      <c r="BJ113" s="34" t="str">
        <v/>
      </c>
      <c r="BK113" s="34" t="str">
        <v>BOX</v>
      </c>
      <c r="BL113" s="34">
        <v>1</v>
      </c>
      <c r="BM113" s="34" t="str">
        <v/>
      </c>
      <c r="BN113" s="34" t="str">
        <v/>
      </c>
      <c r="BO113" s="34" t="str">
        <v/>
      </c>
      <c r="BP113" s="34" t="str">
        <v/>
      </c>
      <c r="BQ113" s="34" t="str">
        <v>3х1,5</v>
      </c>
      <c r="BR113" s="34" t="str">
        <v/>
      </c>
      <c r="BS113" s="34" t="str">
        <v/>
      </c>
      <c r="BT113" s="34" t="str">
        <v/>
      </c>
      <c r="BU113" s="34">
        <v>0</v>
      </c>
      <c r="BV113" s="34">
        <v>134</v>
      </c>
      <c r="BW113" s="34">
        <v>1</v>
      </c>
      <c r="BX113" s="34">
        <v>0</v>
      </c>
      <c r="BY113" s="34">
        <v>0</v>
      </c>
      <c r="BZ113">
        <v>7</v>
      </c>
      <c r="CA113" t="str">
        <v>линии</v>
      </c>
    </row>
    <row r="114" spans="1:79" x14ac:dyDescent="0.3">
      <c r="A114" s="39" t="str">
        <v>ЩОВ-2</v>
      </c>
      <c r="B114" s="42">
        <v>21</v>
      </c>
      <c r="C114" s="42">
        <v>2</v>
      </c>
      <c r="D114" s="75" t="str">
        <v/>
      </c>
      <c r="E114" s="75" t="str">
        <v>авто</v>
      </c>
      <c r="F114" s="76" t="str">
        <v/>
      </c>
      <c r="G114" s="47" t="str">
        <v>QF7</v>
      </c>
      <c r="H114" s="47" t="str">
        <v>1P С6А</v>
      </c>
      <c r="I114" s="75" t="str">
        <v/>
      </c>
      <c r="J114" s="76" t="str">
        <v/>
      </c>
      <c r="K114" s="76" t="str">
        <v/>
      </c>
      <c r="L114" s="75" t="str">
        <v/>
      </c>
      <c r="M114" s="49" t="str">
        <v/>
      </c>
      <c r="N114" s="76" t="str">
        <v/>
      </c>
      <c r="O114" s="49" t="str">
        <v/>
      </c>
      <c r="P114" s="77" t="str">
        <v/>
      </c>
      <c r="Q114" s="53" t="str">
        <v>ВВГнг(А)-LS (3х1,5) L=23-0,14%</v>
      </c>
      <c r="R114" s="54" t="str">
        <v>K.2.008A</v>
      </c>
      <c r="S114" s="55" t="str">
        <v>Внутренний блок кондиционирования Технический этаж Пом. №002Т</v>
      </c>
      <c r="T114" s="56">
        <v>0.104</v>
      </c>
      <c r="U114" s="56">
        <v>0.57000000000000006</v>
      </c>
      <c r="V114" s="42" t="str">
        <v>L1</v>
      </c>
      <c r="W114" s="57" t="str">
        <v>ok</v>
      </c>
      <c r="X114" s="58" t="str">
        <v/>
      </c>
      <c r="Y114" s="75" t="str">
        <v/>
      </c>
      <c r="Z114" s="59">
        <v>0.56291651245988494</v>
      </c>
      <c r="AA114" s="61">
        <v>6</v>
      </c>
      <c r="AB114" s="61">
        <v>16</v>
      </c>
      <c r="AC114" s="61" t="str">
        <v/>
      </c>
      <c r="AD114" s="62" t="str">
        <v>QF7</v>
      </c>
      <c r="AE114" s="62" t="str">
        <v/>
      </c>
      <c r="AF114" s="34">
        <v>7</v>
      </c>
      <c r="AG114" s="34" t="str">
        <v>QF7</v>
      </c>
      <c r="AH114" s="34" t="str">
        <v/>
      </c>
      <c r="AI114" s="34" t="str">
        <v/>
      </c>
      <c r="AJ114" s="34" t="str">
        <v>QF7</v>
      </c>
      <c r="AK114" s="34">
        <v>1</v>
      </c>
      <c r="AL114" s="34" t="str">
        <v>K</v>
      </c>
      <c r="AM114" s="34">
        <v>0</v>
      </c>
      <c r="AN114" s="34">
        <v>0</v>
      </c>
      <c r="AO114" s="34">
        <v>6</v>
      </c>
      <c r="AP114" s="34">
        <v>16</v>
      </c>
      <c r="AQ114" s="34">
        <v>6</v>
      </c>
      <c r="AR114" s="34">
        <v>1</v>
      </c>
      <c r="AS114" s="34">
        <v>0</v>
      </c>
      <c r="AT114" s="34" t="str">
        <v>1P</v>
      </c>
      <c r="AU114" s="34">
        <v>6</v>
      </c>
      <c r="AV114" s="34" t="str">
        <v/>
      </c>
      <c r="AW114" s="34" t="str">
        <v/>
      </c>
      <c r="AX114" s="34" t="str">
        <v/>
      </c>
      <c r="AY114" s="34">
        <v>1</v>
      </c>
      <c r="AZ114" s="34" t="str">
        <v/>
      </c>
      <c r="BA114" s="34">
        <v>0</v>
      </c>
      <c r="BB114" s="34">
        <v>0</v>
      </c>
      <c r="BD114" s="34">
        <v>1</v>
      </c>
      <c r="BE114" s="34">
        <v>0</v>
      </c>
      <c r="BF114" s="34">
        <v>0</v>
      </c>
      <c r="BG114" s="34" t="str">
        <v/>
      </c>
      <c r="BH114" s="34" t="str">
        <v/>
      </c>
      <c r="BI114" s="34" t="str">
        <v/>
      </c>
      <c r="BJ114" s="34" t="str">
        <v/>
      </c>
      <c r="BK114" s="34" t="str">
        <v>BOX</v>
      </c>
      <c r="BL114" s="34">
        <v>1</v>
      </c>
      <c r="BM114" s="34" t="str">
        <v/>
      </c>
      <c r="BN114" s="34" t="str">
        <v/>
      </c>
      <c r="BO114" s="34" t="str">
        <v/>
      </c>
      <c r="BP114" s="34" t="str">
        <v/>
      </c>
      <c r="BQ114" s="34" t="str">
        <v>3х1,5</v>
      </c>
      <c r="BR114" s="34" t="str">
        <v/>
      </c>
      <c r="BS114" s="34" t="str">
        <v/>
      </c>
      <c r="BT114" s="34" t="str">
        <v/>
      </c>
      <c r="BU114" s="34">
        <v>0</v>
      </c>
      <c r="BV114" s="34">
        <v>135</v>
      </c>
      <c r="BW114" s="34">
        <v>1</v>
      </c>
      <c r="BX114" s="34">
        <v>0</v>
      </c>
      <c r="BY114" s="34">
        <v>0</v>
      </c>
      <c r="BZ114">
        <v>7</v>
      </c>
      <c r="CA114" t="str">
        <v>линии</v>
      </c>
    </row>
    <row r="115" spans="1:79" x14ac:dyDescent="0.3">
      <c r="A115" s="39" t="str">
        <v>ЩОВ-2</v>
      </c>
      <c r="B115" s="42">
        <v>22</v>
      </c>
      <c r="C115" s="42">
        <v>2</v>
      </c>
      <c r="D115" s="75" t="str">
        <v/>
      </c>
      <c r="E115" s="75" t="str">
        <v>авто</v>
      </c>
      <c r="F115" s="76" t="str">
        <v/>
      </c>
      <c r="G115" s="47" t="str">
        <v>QF8</v>
      </c>
      <c r="H115" s="47" t="str">
        <v>1P С6А</v>
      </c>
      <c r="I115" s="75" t="str">
        <v/>
      </c>
      <c r="J115" s="76" t="str">
        <v/>
      </c>
      <c r="K115" s="76" t="str">
        <v/>
      </c>
      <c r="L115" s="75" t="str">
        <v/>
      </c>
      <c r="M115" s="49" t="str">
        <v/>
      </c>
      <c r="N115" s="76" t="str">
        <v/>
      </c>
      <c r="O115" s="49" t="str">
        <v/>
      </c>
      <c r="P115" s="77" t="str">
        <v/>
      </c>
      <c r="Q115" s="53" t="str">
        <v>ВВГнг(А)-LS (3х1,5) L=22-0,21%</v>
      </c>
      <c r="R115" s="54" t="str">
        <v>K.2.009A</v>
      </c>
      <c r="S115" s="55" t="str">
        <v>Внутренний блок кондиционирования Технический этаж Пом. №002Т</v>
      </c>
      <c r="T115" s="56">
        <v>0.16200000000000001</v>
      </c>
      <c r="U115" s="56">
        <v>0.88</v>
      </c>
      <c r="V115" s="42" t="str">
        <v>L1</v>
      </c>
      <c r="W115" s="57" t="str">
        <v>ok</v>
      </c>
      <c r="X115" s="58" t="str">
        <v/>
      </c>
      <c r="Y115" s="75" t="str">
        <v/>
      </c>
      <c r="Z115" s="59">
        <v>0.87685072133174402</v>
      </c>
      <c r="AA115" s="61">
        <v>6</v>
      </c>
      <c r="AB115" s="61">
        <v>16</v>
      </c>
      <c r="AC115" s="61" t="str">
        <v/>
      </c>
      <c r="AD115" s="62" t="str">
        <v>QF8</v>
      </c>
      <c r="AE115" s="62" t="str">
        <v/>
      </c>
      <c r="AF115" s="34">
        <v>8</v>
      </c>
      <c r="AG115" s="34" t="str">
        <v>QF8</v>
      </c>
      <c r="AH115" s="34" t="str">
        <v/>
      </c>
      <c r="AI115" s="34" t="str">
        <v/>
      </c>
      <c r="AJ115" s="34" t="str">
        <v>QF8</v>
      </c>
      <c r="AK115" s="34">
        <v>1</v>
      </c>
      <c r="AL115" s="34" t="str">
        <v>K</v>
      </c>
      <c r="AM115" s="34">
        <v>0</v>
      </c>
      <c r="AN115" s="34">
        <v>0</v>
      </c>
      <c r="AO115" s="34">
        <v>6</v>
      </c>
      <c r="AP115" s="34">
        <v>16</v>
      </c>
      <c r="AQ115" s="34">
        <v>6</v>
      </c>
      <c r="AR115" s="34">
        <v>1</v>
      </c>
      <c r="AS115" s="34">
        <v>0</v>
      </c>
      <c r="AT115" s="34" t="str">
        <v>1P</v>
      </c>
      <c r="AU115" s="34">
        <v>6</v>
      </c>
      <c r="AV115" s="34" t="str">
        <v/>
      </c>
      <c r="AW115" s="34" t="str">
        <v/>
      </c>
      <c r="AX115" s="34" t="str">
        <v/>
      </c>
      <c r="AY115" s="34">
        <v>1</v>
      </c>
      <c r="AZ115" s="34" t="str">
        <v/>
      </c>
      <c r="BA115" s="34">
        <v>0</v>
      </c>
      <c r="BB115" s="34">
        <v>0</v>
      </c>
      <c r="BD115" s="34">
        <v>1</v>
      </c>
      <c r="BE115" s="34">
        <v>0</v>
      </c>
      <c r="BF115" s="34">
        <v>0</v>
      </c>
      <c r="BG115" s="34" t="str">
        <v/>
      </c>
      <c r="BH115" s="34" t="str">
        <v/>
      </c>
      <c r="BI115" s="34" t="str">
        <v/>
      </c>
      <c r="BJ115" s="34" t="str">
        <v/>
      </c>
      <c r="BK115" s="34" t="str">
        <v>BOX</v>
      </c>
      <c r="BL115" s="34">
        <v>1</v>
      </c>
      <c r="BM115" s="34" t="str">
        <v/>
      </c>
      <c r="BN115" s="34" t="str">
        <v/>
      </c>
      <c r="BO115" s="34" t="str">
        <v/>
      </c>
      <c r="BP115" s="34" t="str">
        <v/>
      </c>
      <c r="BQ115" s="34" t="str">
        <v>3х1,5</v>
      </c>
      <c r="BR115" s="34" t="str">
        <v/>
      </c>
      <c r="BS115" s="34" t="str">
        <v/>
      </c>
      <c r="BT115" s="34" t="str">
        <v/>
      </c>
      <c r="BU115" s="34">
        <v>0</v>
      </c>
      <c r="BV115" s="34">
        <v>136</v>
      </c>
      <c r="BW115" s="34">
        <v>1</v>
      </c>
      <c r="BX115" s="34">
        <v>0</v>
      </c>
      <c r="BY115" s="34">
        <v>0</v>
      </c>
      <c r="BZ115">
        <v>7</v>
      </c>
      <c r="CA115" t="str">
        <v>линии</v>
      </c>
    </row>
    <row r="116" spans="1:79" x14ac:dyDescent="0.3">
      <c r="A116" s="39" t="str">
        <v>ЩОВ-2</v>
      </c>
      <c r="B116" s="42">
        <v>23</v>
      </c>
      <c r="C116" s="42">
        <v>2</v>
      </c>
      <c r="D116" s="75" t="str">
        <v/>
      </c>
      <c r="E116" s="75" t="str">
        <v>авто</v>
      </c>
      <c r="F116" s="76" t="str">
        <v/>
      </c>
      <c r="G116" s="47" t="str">
        <v>QF9</v>
      </c>
      <c r="H116" s="47" t="str">
        <v>1P С6А</v>
      </c>
      <c r="I116" s="75" t="str">
        <v/>
      </c>
      <c r="J116" s="76" t="str">
        <v/>
      </c>
      <c r="K116" s="76" t="str">
        <v/>
      </c>
      <c r="L116" s="75" t="str">
        <v/>
      </c>
      <c r="M116" s="49" t="str">
        <v/>
      </c>
      <c r="N116" s="76" t="str">
        <v/>
      </c>
      <c r="O116" s="49" t="str">
        <v/>
      </c>
      <c r="P116" s="77" t="str">
        <v/>
      </c>
      <c r="Q116" s="53" t="str">
        <v>ВВГнг(А)-LS (3х1,5) L=19-0,24%</v>
      </c>
      <c r="R116" s="54" t="str">
        <v>K.2.014A</v>
      </c>
      <c r="S116" s="55" t="str">
        <v>Внутренний блок кондиционирования Технический этаж Пом. №002Т</v>
      </c>
      <c r="T116" s="56">
        <v>0.222</v>
      </c>
      <c r="U116" s="56">
        <v>1.21</v>
      </c>
      <c r="V116" s="42" t="str">
        <v>L1</v>
      </c>
      <c r="W116" s="57" t="str">
        <v>ok</v>
      </c>
      <c r="X116" s="58" t="str">
        <v/>
      </c>
      <c r="Y116" s="75" t="str">
        <v/>
      </c>
      <c r="Z116" s="59">
        <v>1.2016102477509083</v>
      </c>
      <c r="AA116" s="61">
        <v>6</v>
      </c>
      <c r="AB116" s="61">
        <v>16</v>
      </c>
      <c r="AC116" s="61" t="str">
        <v/>
      </c>
      <c r="AD116" s="62" t="str">
        <v>QF9</v>
      </c>
      <c r="AE116" s="62" t="str">
        <v/>
      </c>
      <c r="AF116" s="34">
        <v>9</v>
      </c>
      <c r="AG116" s="34" t="str">
        <v>QF9</v>
      </c>
      <c r="AH116" s="34" t="str">
        <v/>
      </c>
      <c r="AI116" s="34" t="str">
        <v/>
      </c>
      <c r="AJ116" s="34" t="str">
        <v>QF9</v>
      </c>
      <c r="AK116" s="34">
        <v>1</v>
      </c>
      <c r="AL116" s="34" t="str">
        <v>K</v>
      </c>
      <c r="AM116" s="34">
        <v>0</v>
      </c>
      <c r="AN116" s="34">
        <v>0</v>
      </c>
      <c r="AO116" s="34">
        <v>6</v>
      </c>
      <c r="AP116" s="34">
        <v>16</v>
      </c>
      <c r="AQ116" s="34">
        <v>6</v>
      </c>
      <c r="AR116" s="34">
        <v>1</v>
      </c>
      <c r="AS116" s="34">
        <v>0</v>
      </c>
      <c r="AT116" s="34" t="str">
        <v>1P</v>
      </c>
      <c r="AU116" s="34">
        <v>6</v>
      </c>
      <c r="AV116" s="34" t="str">
        <v/>
      </c>
      <c r="AW116" s="34" t="str">
        <v/>
      </c>
      <c r="AX116" s="34" t="str">
        <v/>
      </c>
      <c r="AY116" s="34">
        <v>1</v>
      </c>
      <c r="AZ116" s="34" t="str">
        <v/>
      </c>
      <c r="BA116" s="34">
        <v>0</v>
      </c>
      <c r="BB116" s="34">
        <v>0</v>
      </c>
      <c r="BD116" s="34">
        <v>1</v>
      </c>
      <c r="BE116" s="34">
        <v>0</v>
      </c>
      <c r="BF116" s="34">
        <v>0</v>
      </c>
      <c r="BG116" s="34" t="str">
        <v/>
      </c>
      <c r="BH116" s="34" t="str">
        <v/>
      </c>
      <c r="BI116" s="34" t="str">
        <v/>
      </c>
      <c r="BJ116" s="34" t="str">
        <v/>
      </c>
      <c r="BK116" s="34" t="str">
        <v>BOX</v>
      </c>
      <c r="BL116" s="34">
        <v>1</v>
      </c>
      <c r="BM116" s="34" t="str">
        <v/>
      </c>
      <c r="BN116" s="34" t="str">
        <v/>
      </c>
      <c r="BO116" s="34" t="str">
        <v/>
      </c>
      <c r="BP116" s="34" t="str">
        <v/>
      </c>
      <c r="BQ116" s="34" t="str">
        <v>3х1,5</v>
      </c>
      <c r="BR116" s="34" t="str">
        <v/>
      </c>
      <c r="BS116" s="34" t="str">
        <v/>
      </c>
      <c r="BT116" s="34" t="str">
        <v/>
      </c>
      <c r="BU116" s="34">
        <v>0</v>
      </c>
      <c r="BV116" s="34">
        <v>137</v>
      </c>
      <c r="BW116" s="34">
        <v>1</v>
      </c>
      <c r="BX116" s="34">
        <v>0</v>
      </c>
      <c r="BY116" s="34">
        <v>0</v>
      </c>
      <c r="BZ116">
        <v>7</v>
      </c>
      <c r="CA116" t="str">
        <v>линии</v>
      </c>
    </row>
    <row r="117" spans="1:79" x14ac:dyDescent="0.3">
      <c r="A117" s="39" t="str">
        <v>ЩОВ-2</v>
      </c>
      <c r="B117" s="42">
        <v>24</v>
      </c>
      <c r="C117" s="42">
        <v>2</v>
      </c>
      <c r="D117" s="75" t="str">
        <v/>
      </c>
      <c r="E117" s="75" t="str">
        <v>авто</v>
      </c>
      <c r="F117" s="76" t="str">
        <v/>
      </c>
      <c r="G117" s="47" t="str">
        <v>QF10</v>
      </c>
      <c r="H117" s="47" t="str">
        <v>1P С6А</v>
      </c>
      <c r="I117" s="75" t="str">
        <v/>
      </c>
      <c r="J117" s="76" t="str">
        <v/>
      </c>
      <c r="K117" s="76" t="str">
        <v/>
      </c>
      <c r="L117" s="75" t="str">
        <v/>
      </c>
      <c r="M117" s="49" t="str">
        <v/>
      </c>
      <c r="N117" s="76" t="str">
        <v/>
      </c>
      <c r="O117" s="49" t="str">
        <v/>
      </c>
      <c r="P117" s="77" t="str">
        <v/>
      </c>
      <c r="Q117" s="53" t="str">
        <v>ВВГнг(А)-LS (3х1,5) L=35-0,21%</v>
      </c>
      <c r="R117" s="54" t="str">
        <v>K.2.016A</v>
      </c>
      <c r="S117" s="55" t="str">
        <v>Внутренний блок кондиционирования Технический этаж Пом. №001Б</v>
      </c>
      <c r="T117" s="56">
        <v>0.104</v>
      </c>
      <c r="U117" s="56">
        <v>0.57000000000000006</v>
      </c>
      <c r="V117" s="42" t="str">
        <v>L1</v>
      </c>
      <c r="W117" s="57" t="str">
        <v>ok</v>
      </c>
      <c r="X117" s="58" t="str">
        <v/>
      </c>
      <c r="Y117" s="75" t="str">
        <v/>
      </c>
      <c r="Z117" s="59">
        <v>0.56291651245988494</v>
      </c>
      <c r="AA117" s="61">
        <v>6</v>
      </c>
      <c r="AB117" s="61">
        <v>16</v>
      </c>
      <c r="AC117" s="61" t="str">
        <v/>
      </c>
      <c r="AD117" s="62" t="str">
        <v>QF10</v>
      </c>
      <c r="AE117" s="62" t="str">
        <v/>
      </c>
      <c r="AF117" s="34">
        <v>10</v>
      </c>
      <c r="AG117" s="34" t="str">
        <v>QF10</v>
      </c>
      <c r="AH117" s="34" t="str">
        <v/>
      </c>
      <c r="AI117" s="34" t="str">
        <v/>
      </c>
      <c r="AJ117" s="34" t="str">
        <v>QF10</v>
      </c>
      <c r="AK117" s="34">
        <v>1</v>
      </c>
      <c r="AL117" s="34" t="str">
        <v>K</v>
      </c>
      <c r="AM117" s="34">
        <v>0</v>
      </c>
      <c r="AN117" s="34">
        <v>0</v>
      </c>
      <c r="AO117" s="34">
        <v>6</v>
      </c>
      <c r="AP117" s="34">
        <v>16</v>
      </c>
      <c r="AQ117" s="34">
        <v>6</v>
      </c>
      <c r="AR117" s="34">
        <v>1</v>
      </c>
      <c r="AS117" s="34">
        <v>0</v>
      </c>
      <c r="AT117" s="34" t="str">
        <v>1P</v>
      </c>
      <c r="AU117" s="34">
        <v>6</v>
      </c>
      <c r="AV117" s="34" t="str">
        <v/>
      </c>
      <c r="AW117" s="34" t="str">
        <v/>
      </c>
      <c r="AX117" s="34" t="str">
        <v/>
      </c>
      <c r="AY117" s="34">
        <v>1</v>
      </c>
      <c r="AZ117" s="34" t="str">
        <v/>
      </c>
      <c r="BA117" s="34">
        <v>0</v>
      </c>
      <c r="BB117" s="34">
        <v>0</v>
      </c>
      <c r="BD117" s="34">
        <v>1</v>
      </c>
      <c r="BE117" s="34">
        <v>0</v>
      </c>
      <c r="BF117" s="34">
        <v>0</v>
      </c>
      <c r="BG117" s="34" t="str">
        <v/>
      </c>
      <c r="BH117" s="34" t="str">
        <v/>
      </c>
      <c r="BI117" s="34" t="str">
        <v/>
      </c>
      <c r="BJ117" s="34" t="str">
        <v/>
      </c>
      <c r="BK117" s="34" t="str">
        <v>BOX</v>
      </c>
      <c r="BL117" s="34">
        <v>1</v>
      </c>
      <c r="BM117" s="34" t="str">
        <v/>
      </c>
      <c r="BN117" s="34" t="str">
        <v/>
      </c>
      <c r="BO117" s="34" t="str">
        <v/>
      </c>
      <c r="BP117" s="34" t="str">
        <v/>
      </c>
      <c r="BQ117" s="34" t="str">
        <v>3х1,5</v>
      </c>
      <c r="BR117" s="34" t="str">
        <v/>
      </c>
      <c r="BS117" s="34" t="str">
        <v/>
      </c>
      <c r="BT117" s="34" t="str">
        <v/>
      </c>
      <c r="BU117" s="34">
        <v>0</v>
      </c>
      <c r="BV117" s="34">
        <v>138</v>
      </c>
      <c r="BW117" s="34">
        <v>1</v>
      </c>
      <c r="BX117" s="34">
        <v>0</v>
      </c>
      <c r="BY117" s="34">
        <v>0</v>
      </c>
      <c r="BZ117">
        <v>7</v>
      </c>
      <c r="CA117" t="str">
        <v>линии</v>
      </c>
    </row>
    <row r="118" spans="1:79" x14ac:dyDescent="0.3">
      <c r="A118" s="39" t="str">
        <v>ЩОВ-2</v>
      </c>
      <c r="B118" s="42">
        <v>25</v>
      </c>
      <c r="C118" s="42">
        <v>2</v>
      </c>
      <c r="D118" s="75" t="str">
        <v/>
      </c>
      <c r="E118" s="75" t="str">
        <v>авто</v>
      </c>
      <c r="F118" s="76" t="str">
        <v/>
      </c>
      <c r="G118" s="47" t="str">
        <v>QF11</v>
      </c>
      <c r="H118" s="47" t="str">
        <v>1P С6А</v>
      </c>
      <c r="I118" s="75" t="str">
        <v/>
      </c>
      <c r="J118" s="76" t="str">
        <v/>
      </c>
      <c r="K118" s="76" t="str">
        <v/>
      </c>
      <c r="L118" s="75" t="str">
        <v/>
      </c>
      <c r="M118" s="49" t="str">
        <v/>
      </c>
      <c r="N118" s="76" t="str">
        <v/>
      </c>
      <c r="O118" s="49" t="str">
        <v/>
      </c>
      <c r="P118" s="77" t="str">
        <v/>
      </c>
      <c r="Q118" s="53" t="str">
        <v>ВВГнг(А)-LS (3х1,5) L=32-0,3%</v>
      </c>
      <c r="R118" s="54" t="str">
        <v>K.2.019A</v>
      </c>
      <c r="S118" s="55" t="str">
        <v>Внутренний блок кондиционирования Технический этаж Пом. №003Т</v>
      </c>
      <c r="T118" s="56">
        <v>0.16200000000000001</v>
      </c>
      <c r="U118" s="56">
        <v>0.88</v>
      </c>
      <c r="V118" s="42" t="str">
        <v>L1</v>
      </c>
      <c r="W118" s="57" t="str">
        <v>ok</v>
      </c>
      <c r="X118" s="58" t="str">
        <v/>
      </c>
      <c r="Y118" s="75" t="str">
        <v/>
      </c>
      <c r="Z118" s="59">
        <v>0.87685072133174402</v>
      </c>
      <c r="AA118" s="61">
        <v>6</v>
      </c>
      <c r="AB118" s="61">
        <v>16</v>
      </c>
      <c r="AC118" s="61" t="str">
        <v/>
      </c>
      <c r="AD118" s="62" t="str">
        <v>QF11</v>
      </c>
      <c r="AE118" s="62" t="str">
        <v/>
      </c>
      <c r="AF118" s="34">
        <v>11</v>
      </c>
      <c r="AG118" s="34" t="str">
        <v>QF11</v>
      </c>
      <c r="AH118" s="34" t="str">
        <v/>
      </c>
      <c r="AI118" s="34" t="str">
        <v/>
      </c>
      <c r="AJ118" s="34" t="str">
        <v>QF11</v>
      </c>
      <c r="AK118" s="34">
        <v>1</v>
      </c>
      <c r="AL118" s="34" t="str">
        <v>K</v>
      </c>
      <c r="AM118" s="34">
        <v>0</v>
      </c>
      <c r="AN118" s="34">
        <v>0</v>
      </c>
      <c r="AO118" s="34">
        <v>6</v>
      </c>
      <c r="AP118" s="34">
        <v>16</v>
      </c>
      <c r="AQ118" s="34">
        <v>6</v>
      </c>
      <c r="AR118" s="34">
        <v>1</v>
      </c>
      <c r="AS118" s="34">
        <v>0</v>
      </c>
      <c r="AT118" s="34" t="str">
        <v>1P</v>
      </c>
      <c r="AU118" s="34">
        <v>6</v>
      </c>
      <c r="AV118" s="34" t="str">
        <v/>
      </c>
      <c r="AW118" s="34" t="str">
        <v/>
      </c>
      <c r="AX118" s="34" t="str">
        <v/>
      </c>
      <c r="AY118" s="34">
        <v>1</v>
      </c>
      <c r="AZ118" s="34" t="str">
        <v/>
      </c>
      <c r="BA118" s="34">
        <v>0</v>
      </c>
      <c r="BB118" s="34">
        <v>0</v>
      </c>
      <c r="BD118" s="34">
        <v>1</v>
      </c>
      <c r="BE118" s="34">
        <v>0</v>
      </c>
      <c r="BF118" s="34">
        <v>0</v>
      </c>
      <c r="BG118" s="34" t="str">
        <v/>
      </c>
      <c r="BH118" s="34" t="str">
        <v/>
      </c>
      <c r="BI118" s="34" t="str">
        <v/>
      </c>
      <c r="BJ118" s="34" t="str">
        <v/>
      </c>
      <c r="BK118" s="34" t="str">
        <v>BOX</v>
      </c>
      <c r="BL118" s="34">
        <v>1</v>
      </c>
      <c r="BM118" s="34" t="str">
        <v/>
      </c>
      <c r="BN118" s="34" t="str">
        <v/>
      </c>
      <c r="BO118" s="34" t="str">
        <v/>
      </c>
      <c r="BP118" s="34" t="str">
        <v/>
      </c>
      <c r="BQ118" s="34" t="str">
        <v>3х1,5</v>
      </c>
      <c r="BR118" s="34" t="str">
        <v/>
      </c>
      <c r="BS118" s="34" t="str">
        <v/>
      </c>
      <c r="BT118" s="34" t="str">
        <v/>
      </c>
      <c r="BU118" s="34">
        <v>0</v>
      </c>
      <c r="BV118" s="34">
        <v>139</v>
      </c>
      <c r="BW118" s="34">
        <v>1</v>
      </c>
      <c r="BX118" s="34">
        <v>0</v>
      </c>
      <c r="BY118" s="34">
        <v>0</v>
      </c>
      <c r="BZ118">
        <v>7</v>
      </c>
      <c r="CA118" t="str">
        <v>линии</v>
      </c>
    </row>
    <row r="119" spans="1:79" x14ac:dyDescent="0.3">
      <c r="A119" s="39" t="str">
        <v>ЩОВ-2</v>
      </c>
      <c r="B119" s="42">
        <v>26</v>
      </c>
      <c r="C119" s="42">
        <v>2</v>
      </c>
      <c r="D119" s="75" t="str">
        <v/>
      </c>
      <c r="E119" s="75" t="str">
        <v>авто</v>
      </c>
      <c r="F119" s="76" t="str">
        <v/>
      </c>
      <c r="G119" s="47" t="str">
        <v>QF12</v>
      </c>
      <c r="H119" s="47" t="str">
        <v>1P С6А</v>
      </c>
      <c r="I119" s="75" t="str">
        <v/>
      </c>
      <c r="J119" s="76" t="str">
        <v/>
      </c>
      <c r="K119" s="76" t="str">
        <v/>
      </c>
      <c r="L119" s="75" t="str">
        <v/>
      </c>
      <c r="M119" s="49" t="str">
        <v/>
      </c>
      <c r="N119" s="76" t="str">
        <v/>
      </c>
      <c r="O119" s="49" t="str">
        <v/>
      </c>
      <c r="P119" s="77" t="str">
        <v/>
      </c>
      <c r="Q119" s="53" t="str">
        <v>ВВГнг(А)-LS (3х1,5) L=35-0,06%</v>
      </c>
      <c r="R119" s="54" t="str">
        <v>K.3.002Б</v>
      </c>
      <c r="S119" s="55" t="str">
        <v>Внутренний блок кондиционирования Технический этаж Пом. №003Т</v>
      </c>
      <c r="T119" s="56">
        <v>2.7E-2</v>
      </c>
      <c r="U119" s="56">
        <v>0.15000000000000002</v>
      </c>
      <c r="V119" s="42" t="str">
        <v>L2</v>
      </c>
      <c r="W119" s="57" t="str">
        <v>ok</v>
      </c>
      <c r="X119" s="58" t="str">
        <v/>
      </c>
      <c r="Y119" s="75" t="str">
        <v/>
      </c>
      <c r="Z119" s="59">
        <v>0.146141786888624</v>
      </c>
      <c r="AA119" s="61">
        <v>6</v>
      </c>
      <c r="AB119" s="61">
        <v>16</v>
      </c>
      <c r="AC119" s="61" t="str">
        <v/>
      </c>
      <c r="AD119" s="62" t="str">
        <v>QF12</v>
      </c>
      <c r="AE119" s="62" t="str">
        <v/>
      </c>
      <c r="AF119" s="34">
        <v>12</v>
      </c>
      <c r="AG119" s="34" t="str">
        <v>QF12</v>
      </c>
      <c r="AH119" s="34" t="str">
        <v/>
      </c>
      <c r="AI119" s="34" t="str">
        <v/>
      </c>
      <c r="AJ119" s="34" t="str">
        <v>QF12</v>
      </c>
      <c r="AK119" s="34">
        <v>1</v>
      </c>
      <c r="AL119" s="34" t="str">
        <v>K</v>
      </c>
      <c r="AM119" s="34">
        <v>0</v>
      </c>
      <c r="AN119" s="34">
        <v>0</v>
      </c>
      <c r="AO119" s="34">
        <v>6</v>
      </c>
      <c r="AP119" s="34">
        <v>16</v>
      </c>
      <c r="AQ119" s="34">
        <v>6</v>
      </c>
      <c r="AR119" s="34">
        <v>1</v>
      </c>
      <c r="AS119" s="34">
        <v>0</v>
      </c>
      <c r="AT119" s="34" t="str">
        <v>1P</v>
      </c>
      <c r="AU119" s="34">
        <v>6</v>
      </c>
      <c r="AV119" s="34" t="str">
        <v/>
      </c>
      <c r="AW119" s="34" t="str">
        <v/>
      </c>
      <c r="AX119" s="34" t="str">
        <v/>
      </c>
      <c r="AY119" s="34">
        <v>1</v>
      </c>
      <c r="AZ119" s="34" t="str">
        <v/>
      </c>
      <c r="BA119" s="34">
        <v>0</v>
      </c>
      <c r="BB119" s="34">
        <v>0</v>
      </c>
      <c r="BD119" s="34">
        <v>1</v>
      </c>
      <c r="BE119" s="34">
        <v>0</v>
      </c>
      <c r="BF119" s="34">
        <v>0</v>
      </c>
      <c r="BG119" s="34" t="str">
        <v/>
      </c>
      <c r="BH119" s="34" t="str">
        <v/>
      </c>
      <c r="BI119" s="34" t="str">
        <v/>
      </c>
      <c r="BJ119" s="34" t="str">
        <v/>
      </c>
      <c r="BK119" s="34" t="str">
        <v>BOX</v>
      </c>
      <c r="BL119" s="34">
        <v>1</v>
      </c>
      <c r="BM119" s="34" t="str">
        <v/>
      </c>
      <c r="BN119" s="34" t="str">
        <v/>
      </c>
      <c r="BO119" s="34" t="str">
        <v/>
      </c>
      <c r="BP119" s="34" t="str">
        <v/>
      </c>
      <c r="BQ119" s="34" t="str">
        <v>3х1,5</v>
      </c>
      <c r="BR119" s="34" t="str">
        <v/>
      </c>
      <c r="BS119" s="34" t="str">
        <v/>
      </c>
      <c r="BT119" s="34" t="str">
        <v/>
      </c>
      <c r="BU119" s="34">
        <v>0</v>
      </c>
      <c r="BV119" s="34">
        <v>140</v>
      </c>
      <c r="BW119" s="34">
        <v>1</v>
      </c>
      <c r="BX119" s="34">
        <v>0</v>
      </c>
      <c r="BY119" s="34">
        <v>0</v>
      </c>
      <c r="BZ119">
        <v>7</v>
      </c>
      <c r="CA119" t="str">
        <v>линии</v>
      </c>
    </row>
    <row r="120" spans="1:79" x14ac:dyDescent="0.3">
      <c r="A120" s="39" t="str">
        <v>ЩОВ-2</v>
      </c>
      <c r="B120" s="42">
        <v>27</v>
      </c>
      <c r="C120" s="42">
        <v>2</v>
      </c>
      <c r="D120" s="75" t="str">
        <v/>
      </c>
      <c r="E120" s="75" t="str">
        <v>авто</v>
      </c>
      <c r="F120" s="76" t="str">
        <v/>
      </c>
      <c r="G120" s="47" t="str">
        <v>QF13</v>
      </c>
      <c r="H120" s="47" t="str">
        <v>1P С6А</v>
      </c>
      <c r="I120" s="75" t="str">
        <v/>
      </c>
      <c r="J120" s="76" t="str">
        <v/>
      </c>
      <c r="K120" s="76" t="str">
        <v/>
      </c>
      <c r="L120" s="75" t="str">
        <v/>
      </c>
      <c r="M120" s="49" t="str">
        <v/>
      </c>
      <c r="N120" s="76" t="str">
        <v/>
      </c>
      <c r="O120" s="49" t="str">
        <v/>
      </c>
      <c r="P120" s="77" t="str">
        <v/>
      </c>
      <c r="Q120" s="53" t="str">
        <v>ВВГнг(А)-LS (3х1,5) L=30-0,07%</v>
      </c>
      <c r="R120" s="54" t="str">
        <v>K.3.004T.1</v>
      </c>
      <c r="S120" s="55" t="str">
        <v>Внутренний блок кондиционирования Технический этаж Пом. №004Т</v>
      </c>
      <c r="T120" s="56">
        <v>0.04</v>
      </c>
      <c r="U120" s="56">
        <v>0.22</v>
      </c>
      <c r="V120" s="42" t="str">
        <v>L2</v>
      </c>
      <c r="W120" s="57" t="str">
        <v>ok</v>
      </c>
      <c r="X120" s="58" t="str">
        <v/>
      </c>
      <c r="Y120" s="75" t="str">
        <v/>
      </c>
      <c r="Z120" s="59">
        <v>0.21650635094610962</v>
      </c>
      <c r="AA120" s="61">
        <v>6</v>
      </c>
      <c r="AB120" s="61">
        <v>16</v>
      </c>
      <c r="AC120" s="61" t="str">
        <v/>
      </c>
      <c r="AD120" s="62" t="str">
        <v>QF13</v>
      </c>
      <c r="AE120" s="62" t="str">
        <v/>
      </c>
      <c r="AF120" s="34">
        <v>13</v>
      </c>
      <c r="AG120" s="34" t="str">
        <v>QF13</v>
      </c>
      <c r="AH120" s="34" t="str">
        <v/>
      </c>
      <c r="AI120" s="34" t="str">
        <v/>
      </c>
      <c r="AJ120" s="34" t="str">
        <v>QF13</v>
      </c>
      <c r="AK120" s="34">
        <v>1</v>
      </c>
      <c r="AL120" s="34" t="str">
        <v>K</v>
      </c>
      <c r="AM120" s="34">
        <v>0</v>
      </c>
      <c r="AN120" s="34">
        <v>0</v>
      </c>
      <c r="AO120" s="34">
        <v>6</v>
      </c>
      <c r="AP120" s="34">
        <v>16</v>
      </c>
      <c r="AQ120" s="34">
        <v>6</v>
      </c>
      <c r="AR120" s="34">
        <v>1</v>
      </c>
      <c r="AS120" s="34">
        <v>0</v>
      </c>
      <c r="AT120" s="34" t="str">
        <v>1P</v>
      </c>
      <c r="AU120" s="34">
        <v>6</v>
      </c>
      <c r="AV120" s="34" t="str">
        <v/>
      </c>
      <c r="AW120" s="34" t="str">
        <v/>
      </c>
      <c r="AX120" s="34" t="str">
        <v/>
      </c>
      <c r="AY120" s="34">
        <v>1</v>
      </c>
      <c r="AZ120" s="34" t="str">
        <v/>
      </c>
      <c r="BA120" s="34">
        <v>0</v>
      </c>
      <c r="BB120" s="34">
        <v>0</v>
      </c>
      <c r="BD120" s="34">
        <v>1</v>
      </c>
      <c r="BE120" s="34">
        <v>0</v>
      </c>
      <c r="BF120" s="34">
        <v>0</v>
      </c>
      <c r="BG120" s="34" t="str">
        <v/>
      </c>
      <c r="BH120" s="34" t="str">
        <v/>
      </c>
      <c r="BI120" s="34" t="str">
        <v/>
      </c>
      <c r="BJ120" s="34" t="str">
        <v/>
      </c>
      <c r="BK120" s="34" t="str">
        <v>BOX</v>
      </c>
      <c r="BL120" s="34">
        <v>1</v>
      </c>
      <c r="BM120" s="34" t="str">
        <v/>
      </c>
      <c r="BN120" s="34" t="str">
        <v/>
      </c>
      <c r="BO120" s="34" t="str">
        <v/>
      </c>
      <c r="BP120" s="34" t="str">
        <v/>
      </c>
      <c r="BQ120" s="34" t="str">
        <v>3х1,5</v>
      </c>
      <c r="BR120" s="34" t="str">
        <v/>
      </c>
      <c r="BS120" s="34" t="str">
        <v/>
      </c>
      <c r="BT120" s="34" t="str">
        <v/>
      </c>
      <c r="BU120" s="34">
        <v>0</v>
      </c>
      <c r="BV120" s="34">
        <v>141</v>
      </c>
      <c r="BW120" s="34">
        <v>1</v>
      </c>
      <c r="BX120" s="34">
        <v>0</v>
      </c>
      <c r="BY120" s="34">
        <v>0</v>
      </c>
      <c r="BZ120">
        <v>7</v>
      </c>
      <c r="CA120" t="str">
        <v>линии</v>
      </c>
    </row>
    <row r="121" spans="1:79" x14ac:dyDescent="0.3">
      <c r="A121" s="39" t="str">
        <v>ЩОВ-2</v>
      </c>
      <c r="B121" s="42">
        <v>28</v>
      </c>
      <c r="C121" s="42">
        <v>2</v>
      </c>
      <c r="D121" s="75" t="str">
        <v/>
      </c>
      <c r="E121" s="75" t="str">
        <v>авто</v>
      </c>
      <c r="F121" s="76" t="str">
        <v/>
      </c>
      <c r="G121" s="47" t="str">
        <v>QF14</v>
      </c>
      <c r="H121" s="47" t="str">
        <v>1P С6А</v>
      </c>
      <c r="I121" s="75" t="str">
        <v/>
      </c>
      <c r="J121" s="76" t="str">
        <v/>
      </c>
      <c r="K121" s="76" t="str">
        <v/>
      </c>
      <c r="L121" s="75" t="str">
        <v/>
      </c>
      <c r="M121" s="49" t="str">
        <v/>
      </c>
      <c r="N121" s="76" t="str">
        <v/>
      </c>
      <c r="O121" s="49" t="str">
        <v/>
      </c>
      <c r="P121" s="77" t="str">
        <v/>
      </c>
      <c r="Q121" s="53" t="str">
        <v>ВВГнг(А)-LS (3х1,5) L=29-0,07%</v>
      </c>
      <c r="R121" s="54" t="str">
        <v>K.3.004T.2</v>
      </c>
      <c r="S121" s="55" t="str">
        <v>Внутренний блок кондиционирования Технический этаж Пом. №004Т</v>
      </c>
      <c r="T121" s="56">
        <v>0.04</v>
      </c>
      <c r="U121" s="56">
        <v>0.22</v>
      </c>
      <c r="V121" s="42" t="str">
        <v>L1</v>
      </c>
      <c r="W121" s="57" t="str">
        <v>ok</v>
      </c>
      <c r="X121" s="58" t="str">
        <v/>
      </c>
      <c r="Y121" s="75" t="str">
        <v/>
      </c>
      <c r="Z121" s="59">
        <v>0.21650635094610962</v>
      </c>
      <c r="AA121" s="61">
        <v>6</v>
      </c>
      <c r="AB121" s="61">
        <v>16</v>
      </c>
      <c r="AC121" s="61" t="str">
        <v/>
      </c>
      <c r="AD121" s="62" t="str">
        <v>QF14</v>
      </c>
      <c r="AE121" s="62" t="str">
        <v/>
      </c>
      <c r="AF121" s="34">
        <v>14</v>
      </c>
      <c r="AG121" s="34" t="str">
        <v>QF14</v>
      </c>
      <c r="AH121" s="34" t="str">
        <v/>
      </c>
      <c r="AI121" s="34" t="str">
        <v/>
      </c>
      <c r="AJ121" s="34" t="str">
        <v>QF14</v>
      </c>
      <c r="AK121" s="34">
        <v>1</v>
      </c>
      <c r="AL121" s="34" t="str">
        <v>K</v>
      </c>
      <c r="AM121" s="34">
        <v>0</v>
      </c>
      <c r="AN121" s="34">
        <v>0</v>
      </c>
      <c r="AO121" s="34">
        <v>6</v>
      </c>
      <c r="AP121" s="34">
        <v>16</v>
      </c>
      <c r="AQ121" s="34">
        <v>6</v>
      </c>
      <c r="AR121" s="34">
        <v>1</v>
      </c>
      <c r="AS121" s="34">
        <v>0</v>
      </c>
      <c r="AT121" s="34" t="str">
        <v>1P</v>
      </c>
      <c r="AU121" s="34">
        <v>6</v>
      </c>
      <c r="AV121" s="34" t="str">
        <v/>
      </c>
      <c r="AW121" s="34" t="str">
        <v/>
      </c>
      <c r="AX121" s="34" t="str">
        <v/>
      </c>
      <c r="AY121" s="34">
        <v>1</v>
      </c>
      <c r="AZ121" s="34" t="str">
        <v/>
      </c>
      <c r="BA121" s="34">
        <v>0</v>
      </c>
      <c r="BB121" s="34">
        <v>0</v>
      </c>
      <c r="BD121" s="34">
        <v>1</v>
      </c>
      <c r="BE121" s="34">
        <v>0</v>
      </c>
      <c r="BF121" s="34">
        <v>0</v>
      </c>
      <c r="BG121" s="34" t="str">
        <v/>
      </c>
      <c r="BH121" s="34" t="str">
        <v/>
      </c>
      <c r="BI121" s="34" t="str">
        <v/>
      </c>
      <c r="BJ121" s="34" t="str">
        <v/>
      </c>
      <c r="BK121" s="34" t="str">
        <v>BOX</v>
      </c>
      <c r="BL121" s="34">
        <v>1</v>
      </c>
      <c r="BM121" s="34" t="str">
        <v/>
      </c>
      <c r="BN121" s="34" t="str">
        <v/>
      </c>
      <c r="BO121" s="34" t="str">
        <v/>
      </c>
      <c r="BP121" s="34" t="str">
        <v/>
      </c>
      <c r="BQ121" s="34" t="str">
        <v>3х1,5</v>
      </c>
      <c r="BR121" s="34" t="str">
        <v/>
      </c>
      <c r="BS121" s="34" t="str">
        <v/>
      </c>
      <c r="BT121" s="34" t="str">
        <v/>
      </c>
      <c r="BU121" s="34">
        <v>0</v>
      </c>
      <c r="BV121" s="34">
        <v>142</v>
      </c>
      <c r="BW121" s="34">
        <v>1</v>
      </c>
      <c r="BX121" s="34">
        <v>0</v>
      </c>
      <c r="BY121" s="34">
        <v>0</v>
      </c>
      <c r="BZ121">
        <v>7</v>
      </c>
      <c r="CA121" t="str">
        <v>линии</v>
      </c>
    </row>
    <row r="122" spans="1:79" x14ac:dyDescent="0.3">
      <c r="A122" s="39" t="str">
        <v>ЩОВ-2</v>
      </c>
      <c r="B122" s="42">
        <v>29</v>
      </c>
      <c r="C122" s="42">
        <v>2</v>
      </c>
      <c r="D122" s="75" t="str">
        <v/>
      </c>
      <c r="E122" s="75" t="str">
        <v>авто</v>
      </c>
      <c r="F122" s="76" t="str">
        <v/>
      </c>
      <c r="G122" s="47" t="str">
        <v>QF15</v>
      </c>
      <c r="H122" s="47" t="str">
        <v>1P С6А</v>
      </c>
      <c r="I122" s="75" t="str">
        <v/>
      </c>
      <c r="J122" s="76" t="str">
        <v/>
      </c>
      <c r="K122" s="76" t="str">
        <v/>
      </c>
      <c r="L122" s="75" t="str">
        <v/>
      </c>
      <c r="M122" s="49" t="str">
        <v/>
      </c>
      <c r="N122" s="76" t="str">
        <v/>
      </c>
      <c r="O122" s="49" t="str">
        <v/>
      </c>
      <c r="P122" s="77" t="str">
        <v/>
      </c>
      <c r="Q122" s="53" t="str">
        <v>ВВГнг(А)-LS (3х1,5) L=17-0,26%</v>
      </c>
      <c r="R122" s="54" t="str">
        <v>В.1</v>
      </c>
      <c r="S122" s="55" t="str">
        <v>Вытяжная установка Технический этаж Пом. №001Т</v>
      </c>
      <c r="T122" s="56">
        <v>0.27</v>
      </c>
      <c r="U122" s="56">
        <v>1.47</v>
      </c>
      <c r="V122" s="42" t="str">
        <v>L1</v>
      </c>
      <c r="W122" s="57" t="str">
        <v>ok</v>
      </c>
      <c r="X122" s="58" t="str">
        <v/>
      </c>
      <c r="Y122" s="75" t="str">
        <v/>
      </c>
      <c r="Z122" s="59">
        <v>1.46141786888624</v>
      </c>
      <c r="AA122" s="61">
        <v>6</v>
      </c>
      <c r="AB122" s="61">
        <v>16</v>
      </c>
      <c r="AC122" s="61" t="str">
        <v/>
      </c>
      <c r="AD122" s="62" t="str">
        <v>QF15</v>
      </c>
      <c r="AE122" s="62" t="str">
        <v/>
      </c>
      <c r="AF122" s="34">
        <v>15</v>
      </c>
      <c r="AG122" s="34" t="str">
        <v>QF15</v>
      </c>
      <c r="AH122" s="34" t="str">
        <v/>
      </c>
      <c r="AI122" s="34" t="str">
        <v/>
      </c>
      <c r="AJ122" s="34" t="str">
        <v>QF15</v>
      </c>
      <c r="AK122" s="34">
        <v>1</v>
      </c>
      <c r="AL122" s="34" t="str">
        <v>В</v>
      </c>
      <c r="AM122" s="34">
        <v>0</v>
      </c>
      <c r="AN122" s="34">
        <v>0</v>
      </c>
      <c r="AO122" s="34">
        <v>6</v>
      </c>
      <c r="AP122" s="34">
        <v>16</v>
      </c>
      <c r="AQ122" s="34">
        <v>6</v>
      </c>
      <c r="AR122" s="34">
        <v>1</v>
      </c>
      <c r="AS122" s="34">
        <v>0</v>
      </c>
      <c r="AT122" s="34" t="str">
        <v>1P</v>
      </c>
      <c r="AU122" s="34">
        <v>6</v>
      </c>
      <c r="AV122" s="34" t="str">
        <v/>
      </c>
      <c r="AW122" s="34" t="str">
        <v/>
      </c>
      <c r="AX122" s="34" t="str">
        <v/>
      </c>
      <c r="AY122" s="34">
        <v>1</v>
      </c>
      <c r="AZ122" s="34" t="str">
        <v/>
      </c>
      <c r="BA122" s="34">
        <v>0</v>
      </c>
      <c r="BB122" s="34">
        <v>0</v>
      </c>
      <c r="BD122" s="34">
        <v>1</v>
      </c>
      <c r="BE122" s="34">
        <v>0</v>
      </c>
      <c r="BF122" s="34">
        <v>0</v>
      </c>
      <c r="BG122" s="34" t="str">
        <v/>
      </c>
      <c r="BH122" s="34" t="str">
        <v/>
      </c>
      <c r="BI122" s="34" t="str">
        <v/>
      </c>
      <c r="BJ122" s="34" t="str">
        <v/>
      </c>
      <c r="BK122" s="34" t="str">
        <v>MOTOR</v>
      </c>
      <c r="BL122" s="34">
        <v>1</v>
      </c>
      <c r="BM122" s="34" t="str">
        <v/>
      </c>
      <c r="BN122" s="34" t="str">
        <v/>
      </c>
      <c r="BO122" s="34" t="str">
        <v/>
      </c>
      <c r="BP122" s="34" t="str">
        <v/>
      </c>
      <c r="BQ122" s="34" t="str">
        <v>3х1,5</v>
      </c>
      <c r="BR122" s="34" t="str">
        <v/>
      </c>
      <c r="BS122" s="34" t="str">
        <v/>
      </c>
      <c r="BT122" s="34" t="str">
        <v/>
      </c>
      <c r="BU122" s="34">
        <v>0</v>
      </c>
      <c r="BV122" s="34">
        <v>143</v>
      </c>
      <c r="BW122" s="34">
        <v>1</v>
      </c>
      <c r="BX122" s="34">
        <v>0</v>
      </c>
      <c r="BY122" s="34" t="str">
        <v>Привод (двигатель)</v>
      </c>
      <c r="BZ122">
        <v>7</v>
      </c>
      <c r="CA122" t="str">
        <v>линии</v>
      </c>
    </row>
    <row r="123" spans="1:79" x14ac:dyDescent="0.3">
      <c r="A123" s="39" t="str">
        <v>ЩОВ-2</v>
      </c>
      <c r="B123" s="42">
        <v>30</v>
      </c>
      <c r="C123" s="42">
        <v>2</v>
      </c>
      <c r="D123" s="75" t="str">
        <v/>
      </c>
      <c r="E123" s="75" t="str">
        <v>авто</v>
      </c>
      <c r="F123" s="76" t="str">
        <v/>
      </c>
      <c r="G123" s="47" t="str">
        <v>QF16</v>
      </c>
      <c r="H123" s="47" t="str">
        <v>1P С6А</v>
      </c>
      <c r="I123" s="75" t="str">
        <v/>
      </c>
      <c r="J123" s="76" t="str">
        <v/>
      </c>
      <c r="K123" s="76" t="str">
        <v/>
      </c>
      <c r="L123" s="75" t="str">
        <v/>
      </c>
      <c r="M123" s="49" t="str">
        <v/>
      </c>
      <c r="N123" s="76" t="str">
        <v/>
      </c>
      <c r="O123" s="49" t="str">
        <v/>
      </c>
      <c r="P123" s="77" t="str">
        <v/>
      </c>
      <c r="Q123" s="53" t="str">
        <v>ВВГнг(А)-LS (3х1,5) L=20-0,31%</v>
      </c>
      <c r="R123" s="54" t="str">
        <v>В.22</v>
      </c>
      <c r="S123" s="55" t="str">
        <v>Вытяжная установка Технический этаж Пом. №001Т</v>
      </c>
      <c r="T123" s="56">
        <v>0.27</v>
      </c>
      <c r="U123" s="56">
        <v>1.47</v>
      </c>
      <c r="V123" s="42" t="str">
        <v>L2</v>
      </c>
      <c r="W123" s="57" t="str">
        <v>ok</v>
      </c>
      <c r="X123" s="58" t="str">
        <v/>
      </c>
      <c r="Y123" s="75" t="str">
        <v/>
      </c>
      <c r="Z123" s="59">
        <v>1.46141786888624</v>
      </c>
      <c r="AA123" s="61">
        <v>6</v>
      </c>
      <c r="AB123" s="61">
        <v>16</v>
      </c>
      <c r="AC123" s="61" t="str">
        <v/>
      </c>
      <c r="AD123" s="62" t="str">
        <v>QF16</v>
      </c>
      <c r="AE123" s="62" t="str">
        <v/>
      </c>
      <c r="AF123" s="34">
        <v>16</v>
      </c>
      <c r="AG123" s="34" t="str">
        <v>QF16</v>
      </c>
      <c r="AH123" s="34" t="str">
        <v/>
      </c>
      <c r="AI123" s="34" t="str">
        <v/>
      </c>
      <c r="AJ123" s="34" t="str">
        <v>QF16</v>
      </c>
      <c r="AK123" s="34">
        <v>1</v>
      </c>
      <c r="AL123" s="34" t="str">
        <v>В</v>
      </c>
      <c r="AM123" s="34">
        <v>0</v>
      </c>
      <c r="AN123" s="34">
        <v>0</v>
      </c>
      <c r="AO123" s="34">
        <v>6</v>
      </c>
      <c r="AP123" s="34">
        <v>16</v>
      </c>
      <c r="AQ123" s="34">
        <v>6</v>
      </c>
      <c r="AR123" s="34">
        <v>1</v>
      </c>
      <c r="AS123" s="34">
        <v>0</v>
      </c>
      <c r="AT123" s="34" t="str">
        <v>1P</v>
      </c>
      <c r="AU123" s="34">
        <v>6</v>
      </c>
      <c r="AV123" s="34" t="str">
        <v/>
      </c>
      <c r="AW123" s="34" t="str">
        <v/>
      </c>
      <c r="AX123" s="34" t="str">
        <v/>
      </c>
      <c r="AY123" s="34">
        <v>1</v>
      </c>
      <c r="AZ123" s="34" t="str">
        <v/>
      </c>
      <c r="BA123" s="34">
        <v>0</v>
      </c>
      <c r="BB123" s="34">
        <v>0</v>
      </c>
      <c r="BD123" s="34">
        <v>1</v>
      </c>
      <c r="BE123" s="34">
        <v>0</v>
      </c>
      <c r="BF123" s="34">
        <v>0</v>
      </c>
      <c r="BG123" s="34" t="str">
        <v/>
      </c>
      <c r="BH123" s="34" t="str">
        <v/>
      </c>
      <c r="BI123" s="34" t="str">
        <v/>
      </c>
      <c r="BJ123" s="34" t="str">
        <v/>
      </c>
      <c r="BK123" s="34" t="str">
        <v>MOTOR</v>
      </c>
      <c r="BL123" s="34">
        <v>1</v>
      </c>
      <c r="BM123" s="34" t="str">
        <v/>
      </c>
      <c r="BN123" s="34" t="str">
        <v/>
      </c>
      <c r="BO123" s="34" t="str">
        <v/>
      </c>
      <c r="BP123" s="34" t="str">
        <v/>
      </c>
      <c r="BQ123" s="34" t="str">
        <v>3х1,5</v>
      </c>
      <c r="BR123" s="34" t="str">
        <v/>
      </c>
      <c r="BS123" s="34" t="str">
        <v/>
      </c>
      <c r="BT123" s="34" t="str">
        <v/>
      </c>
      <c r="BU123" s="34">
        <v>0</v>
      </c>
      <c r="BV123" s="34">
        <v>144</v>
      </c>
      <c r="BW123" s="34">
        <v>1</v>
      </c>
      <c r="BX123" s="34">
        <v>0</v>
      </c>
      <c r="BY123" s="34" t="str">
        <v>Привод (двигатель)</v>
      </c>
      <c r="BZ123">
        <v>7</v>
      </c>
      <c r="CA123" t="str">
        <v>линии</v>
      </c>
    </row>
    <row r="124" spans="1:79" x14ac:dyDescent="0.3">
      <c r="A124" s="39" t="str">
        <v>ЩОВ-2</v>
      </c>
      <c r="B124" s="42">
        <v>31</v>
      </c>
      <c r="C124" s="42">
        <v>2</v>
      </c>
      <c r="D124" s="75" t="str">
        <v/>
      </c>
      <c r="E124" s="75" t="str">
        <v>авто</v>
      </c>
      <c r="F124" s="76" t="str">
        <v/>
      </c>
      <c r="G124" s="47" t="str">
        <v>QF17</v>
      </c>
      <c r="H124" s="47" t="str">
        <v>1P С6А</v>
      </c>
      <c r="I124" s="75" t="str">
        <v/>
      </c>
      <c r="J124" s="76" t="str">
        <v/>
      </c>
      <c r="K124" s="76" t="str">
        <v/>
      </c>
      <c r="L124" s="75" t="str">
        <v/>
      </c>
      <c r="M124" s="49" t="str">
        <v/>
      </c>
      <c r="N124" s="76" t="str">
        <v/>
      </c>
      <c r="O124" s="49" t="str">
        <v/>
      </c>
      <c r="P124" s="77" t="str">
        <v/>
      </c>
      <c r="Q124" s="53" t="str">
        <v>ВВГнг(А)-LS (3х1,5) L=34-0,52%</v>
      </c>
      <c r="R124" s="54" t="str">
        <v>В.23</v>
      </c>
      <c r="S124" s="55" t="str">
        <v>Вытяжная установка Технический этаж Пом. №001Т</v>
      </c>
      <c r="T124" s="56">
        <v>0.27</v>
      </c>
      <c r="U124" s="56">
        <v>1.47</v>
      </c>
      <c r="V124" s="42" t="str">
        <v>L1</v>
      </c>
      <c r="W124" s="57" t="str">
        <v>ok</v>
      </c>
      <c r="X124" s="58" t="str">
        <v/>
      </c>
      <c r="Y124" s="75" t="str">
        <v/>
      </c>
      <c r="Z124" s="59">
        <v>1.46141786888624</v>
      </c>
      <c r="AA124" s="61">
        <v>6</v>
      </c>
      <c r="AB124" s="61">
        <v>16</v>
      </c>
      <c r="AC124" s="61" t="str">
        <v/>
      </c>
      <c r="AD124" s="62" t="str">
        <v>QF17</v>
      </c>
      <c r="AE124" s="62" t="str">
        <v/>
      </c>
      <c r="AF124" s="34">
        <v>17</v>
      </c>
      <c r="AG124" s="34" t="str">
        <v>QF17</v>
      </c>
      <c r="AH124" s="34" t="str">
        <v/>
      </c>
      <c r="AI124" s="34" t="str">
        <v/>
      </c>
      <c r="AJ124" s="34" t="str">
        <v>QF17</v>
      </c>
      <c r="AK124" s="34">
        <v>1</v>
      </c>
      <c r="AL124" s="34" t="str">
        <v>В</v>
      </c>
      <c r="AM124" s="34">
        <v>0</v>
      </c>
      <c r="AN124" s="34">
        <v>0</v>
      </c>
      <c r="AO124" s="34">
        <v>6</v>
      </c>
      <c r="AP124" s="34">
        <v>16</v>
      </c>
      <c r="AQ124" s="34">
        <v>6</v>
      </c>
      <c r="AR124" s="34">
        <v>1</v>
      </c>
      <c r="AS124" s="34">
        <v>0</v>
      </c>
      <c r="AT124" s="34" t="str">
        <v>1P</v>
      </c>
      <c r="AU124" s="34">
        <v>6</v>
      </c>
      <c r="AV124" s="34" t="str">
        <v/>
      </c>
      <c r="AW124" s="34" t="str">
        <v/>
      </c>
      <c r="AX124" s="34" t="str">
        <v/>
      </c>
      <c r="AY124" s="34">
        <v>1</v>
      </c>
      <c r="AZ124" s="34" t="str">
        <v/>
      </c>
      <c r="BA124" s="34">
        <v>0</v>
      </c>
      <c r="BB124" s="34">
        <v>0</v>
      </c>
      <c r="BD124" s="34">
        <v>1</v>
      </c>
      <c r="BE124" s="34">
        <v>0</v>
      </c>
      <c r="BF124" s="34">
        <v>0</v>
      </c>
      <c r="BG124" s="34" t="str">
        <v/>
      </c>
      <c r="BH124" s="34" t="str">
        <v/>
      </c>
      <c r="BI124" s="34" t="str">
        <v/>
      </c>
      <c r="BJ124" s="34" t="str">
        <v/>
      </c>
      <c r="BK124" s="34" t="str">
        <v>MOTOR</v>
      </c>
      <c r="BL124" s="34">
        <v>1</v>
      </c>
      <c r="BM124" s="34" t="str">
        <v/>
      </c>
      <c r="BN124" s="34" t="str">
        <v/>
      </c>
      <c r="BO124" s="34" t="str">
        <v/>
      </c>
      <c r="BP124" s="34" t="str">
        <v/>
      </c>
      <c r="BQ124" s="34" t="str">
        <v>3х1,5</v>
      </c>
      <c r="BR124" s="34" t="str">
        <v/>
      </c>
      <c r="BS124" s="34" t="str">
        <v/>
      </c>
      <c r="BT124" s="34" t="str">
        <v/>
      </c>
      <c r="BU124" s="34">
        <v>0</v>
      </c>
      <c r="BV124" s="34">
        <v>145</v>
      </c>
      <c r="BW124" s="34">
        <v>1</v>
      </c>
      <c r="BX124" s="34">
        <v>0</v>
      </c>
      <c r="BY124" s="34" t="str">
        <v>Привод (двигатель)</v>
      </c>
      <c r="BZ124">
        <v>7</v>
      </c>
      <c r="CA124" t="str">
        <v>линии</v>
      </c>
    </row>
    <row r="125" spans="1:79" x14ac:dyDescent="0.3">
      <c r="A125" s="39" t="str">
        <v>ЩОВ-2</v>
      </c>
      <c r="B125" s="42">
        <v>32</v>
      </c>
      <c r="C125" s="42">
        <v>2</v>
      </c>
      <c r="D125" s="75" t="str">
        <v/>
      </c>
      <c r="E125" s="75" t="str">
        <v>авто</v>
      </c>
      <c r="F125" s="76" t="str">
        <v/>
      </c>
      <c r="G125" s="47" t="str">
        <v>QF18</v>
      </c>
      <c r="H125" s="47" t="str">
        <v>1P С6А</v>
      </c>
      <c r="I125" s="75" t="str">
        <v/>
      </c>
      <c r="J125" s="76" t="str">
        <v/>
      </c>
      <c r="K125" s="76" t="str">
        <v/>
      </c>
      <c r="L125" s="75" t="str">
        <v/>
      </c>
      <c r="M125" s="49" t="str">
        <v/>
      </c>
      <c r="N125" s="76" t="str">
        <v/>
      </c>
      <c r="O125" s="49" t="str">
        <v/>
      </c>
      <c r="P125" s="77" t="str">
        <v/>
      </c>
      <c r="Q125" s="53" t="str">
        <v>ВВГнг(А)-LS (3х1,5) L=17-0,26%</v>
      </c>
      <c r="R125" s="54" t="str">
        <v>В.8</v>
      </c>
      <c r="S125" s="55" t="str">
        <v>Вытяжная установка Технический этаж Пом. №001Т</v>
      </c>
      <c r="T125" s="56">
        <v>0.27</v>
      </c>
      <c r="U125" s="56">
        <v>1.47</v>
      </c>
      <c r="V125" s="42" t="str">
        <v>L1</v>
      </c>
      <c r="W125" s="57" t="str">
        <v>ok</v>
      </c>
      <c r="X125" s="58" t="str">
        <v/>
      </c>
      <c r="Y125" s="75" t="str">
        <v/>
      </c>
      <c r="Z125" s="59">
        <v>1.46141786888624</v>
      </c>
      <c r="AA125" s="61">
        <v>6</v>
      </c>
      <c r="AB125" s="61">
        <v>16</v>
      </c>
      <c r="AC125" s="61" t="str">
        <v/>
      </c>
      <c r="AD125" s="62" t="str">
        <v>QF18</v>
      </c>
      <c r="AE125" s="62" t="str">
        <v/>
      </c>
      <c r="AF125" s="34">
        <v>18</v>
      </c>
      <c r="AG125" s="34" t="str">
        <v>QF18</v>
      </c>
      <c r="AH125" s="34" t="str">
        <v/>
      </c>
      <c r="AI125" s="34" t="str">
        <v/>
      </c>
      <c r="AJ125" s="34" t="str">
        <v>QF18</v>
      </c>
      <c r="AK125" s="34">
        <v>1</v>
      </c>
      <c r="AL125" s="34" t="str">
        <v>В</v>
      </c>
      <c r="AM125" s="34">
        <v>0</v>
      </c>
      <c r="AN125" s="34">
        <v>0</v>
      </c>
      <c r="AO125" s="34">
        <v>6</v>
      </c>
      <c r="AP125" s="34">
        <v>16</v>
      </c>
      <c r="AQ125" s="34">
        <v>6</v>
      </c>
      <c r="AR125" s="34">
        <v>1</v>
      </c>
      <c r="AS125" s="34">
        <v>0</v>
      </c>
      <c r="AT125" s="34" t="str">
        <v>1P</v>
      </c>
      <c r="AU125" s="34">
        <v>6</v>
      </c>
      <c r="AV125" s="34" t="str">
        <v/>
      </c>
      <c r="AW125" s="34" t="str">
        <v/>
      </c>
      <c r="AX125" s="34" t="str">
        <v/>
      </c>
      <c r="AY125" s="34">
        <v>1</v>
      </c>
      <c r="AZ125" s="34" t="str">
        <v/>
      </c>
      <c r="BA125" s="34">
        <v>0</v>
      </c>
      <c r="BB125" s="34">
        <v>0</v>
      </c>
      <c r="BD125" s="34">
        <v>1</v>
      </c>
      <c r="BE125" s="34">
        <v>0</v>
      </c>
      <c r="BF125" s="34">
        <v>0</v>
      </c>
      <c r="BG125" s="34" t="str">
        <v/>
      </c>
      <c r="BH125" s="34" t="str">
        <v/>
      </c>
      <c r="BI125" s="34" t="str">
        <v/>
      </c>
      <c r="BJ125" s="34" t="str">
        <v/>
      </c>
      <c r="BK125" s="34" t="str">
        <v>MOTOR</v>
      </c>
      <c r="BL125" s="34">
        <v>1</v>
      </c>
      <c r="BM125" s="34" t="str">
        <v/>
      </c>
      <c r="BN125" s="34" t="str">
        <v/>
      </c>
      <c r="BO125" s="34" t="str">
        <v/>
      </c>
      <c r="BP125" s="34" t="str">
        <v/>
      </c>
      <c r="BQ125" s="34" t="str">
        <v>3х1,5</v>
      </c>
      <c r="BR125" s="34" t="str">
        <v/>
      </c>
      <c r="BS125" s="34" t="str">
        <v/>
      </c>
      <c r="BT125" s="34" t="str">
        <v/>
      </c>
      <c r="BU125" s="34">
        <v>0</v>
      </c>
      <c r="BV125" s="34">
        <v>146</v>
      </c>
      <c r="BW125" s="34">
        <v>1</v>
      </c>
      <c r="BX125" s="34">
        <v>0</v>
      </c>
      <c r="BY125" s="34" t="str">
        <v>Привод (двигатель)</v>
      </c>
      <c r="BZ125">
        <v>7</v>
      </c>
      <c r="CA125" t="str">
        <v>линии</v>
      </c>
    </row>
    <row r="126" spans="1:79" x14ac:dyDescent="0.3">
      <c r="A126" s="39" t="str">
        <v>ЩОВ-2</v>
      </c>
      <c r="B126" s="42">
        <v>33</v>
      </c>
      <c r="C126" s="42">
        <v>2</v>
      </c>
      <c r="D126" s="75" t="str">
        <v/>
      </c>
      <c r="E126" s="75" t="str">
        <v>авто</v>
      </c>
      <c r="F126" s="76" t="str">
        <v/>
      </c>
      <c r="G126" s="47" t="str">
        <v>QF19</v>
      </c>
      <c r="H126" s="47" t="str">
        <v>1P С6А</v>
      </c>
      <c r="I126" s="75" t="str">
        <v/>
      </c>
      <c r="J126" s="76" t="str">
        <v/>
      </c>
      <c r="K126" s="76" t="str">
        <v/>
      </c>
      <c r="L126" s="75" t="str">
        <v/>
      </c>
      <c r="M126" s="49" t="str">
        <v/>
      </c>
      <c r="N126" s="76" t="str">
        <v/>
      </c>
      <c r="O126" s="49" t="str">
        <v/>
      </c>
      <c r="P126" s="77" t="str">
        <v/>
      </c>
      <c r="Q126" s="53" t="str">
        <v>ВВГнг(А)-LS (3х2,5) L=23-0,1%</v>
      </c>
      <c r="R126" s="54" t="str">
        <v>П.3</v>
      </c>
      <c r="S126" s="55" t="str">
        <v>Приточная установка Технический этаж Пом. №001Т</v>
      </c>
      <c r="T126" s="56">
        <v>0.12</v>
      </c>
      <c r="U126" s="56">
        <v>0.65</v>
      </c>
      <c r="V126" s="42" t="str">
        <v>L2</v>
      </c>
      <c r="W126" s="57" t="str">
        <v>ok</v>
      </c>
      <c r="X126" s="58" t="str">
        <v/>
      </c>
      <c r="Y126" s="75" t="str">
        <v/>
      </c>
      <c r="Z126" s="59">
        <v>0.64951905283832878</v>
      </c>
      <c r="AA126" s="61">
        <v>6</v>
      </c>
      <c r="AB126" s="61">
        <v>25</v>
      </c>
      <c r="AC126" s="61" t="str">
        <v/>
      </c>
      <c r="AD126" s="62" t="str">
        <v>QF19</v>
      </c>
      <c r="AE126" s="62" t="str">
        <v/>
      </c>
      <c r="AF126" s="34">
        <v>19</v>
      </c>
      <c r="AG126" s="34" t="str">
        <v>QF19</v>
      </c>
      <c r="AH126" s="34" t="str">
        <v/>
      </c>
      <c r="AI126" s="34" t="str">
        <v/>
      </c>
      <c r="AJ126" s="34" t="str">
        <v>QF19</v>
      </c>
      <c r="AK126" s="34">
        <v>1</v>
      </c>
      <c r="AL126" s="34" t="str">
        <v>П</v>
      </c>
      <c r="AM126" s="34">
        <v>0</v>
      </c>
      <c r="AN126" s="34">
        <v>0</v>
      </c>
      <c r="AO126" s="34">
        <v>6</v>
      </c>
      <c r="AP126" s="34">
        <v>25</v>
      </c>
      <c r="AQ126" s="34">
        <v>6</v>
      </c>
      <c r="AR126" s="34">
        <v>1</v>
      </c>
      <c r="AS126" s="34">
        <v>0</v>
      </c>
      <c r="AT126" s="34" t="str">
        <v>1P</v>
      </c>
      <c r="AU126" s="34">
        <v>6</v>
      </c>
      <c r="AV126" s="34" t="str">
        <v/>
      </c>
      <c r="AW126" s="34" t="str">
        <v/>
      </c>
      <c r="AX126" s="34" t="str">
        <v/>
      </c>
      <c r="AY126" s="34">
        <v>1</v>
      </c>
      <c r="AZ126" s="34" t="str">
        <v/>
      </c>
      <c r="BA126" s="34">
        <v>0</v>
      </c>
      <c r="BB126" s="34">
        <v>0</v>
      </c>
      <c r="BD126" s="34">
        <v>1</v>
      </c>
      <c r="BE126" s="34">
        <v>0</v>
      </c>
      <c r="BF126" s="34">
        <v>0</v>
      </c>
      <c r="BG126" s="34" t="str">
        <v/>
      </c>
      <c r="BH126" s="34" t="str">
        <v/>
      </c>
      <c r="BI126" s="34" t="str">
        <v/>
      </c>
      <c r="BJ126" s="34" t="str">
        <v/>
      </c>
      <c r="BK126" s="34" t="str">
        <v>MOTOR</v>
      </c>
      <c r="BL126" s="34">
        <v>1</v>
      </c>
      <c r="BM126" s="34" t="str">
        <v/>
      </c>
      <c r="BN126" s="34" t="str">
        <v/>
      </c>
      <c r="BO126" s="34" t="str">
        <v/>
      </c>
      <c r="BP126" s="34" t="str">
        <v/>
      </c>
      <c r="BQ126" s="34" t="str">
        <v>3х2,5</v>
      </c>
      <c r="BR126" s="34" t="str">
        <v/>
      </c>
      <c r="BS126" s="34" t="str">
        <v/>
      </c>
      <c r="BT126" s="34" t="str">
        <v/>
      </c>
      <c r="BU126" s="34">
        <v>0</v>
      </c>
      <c r="BV126" s="34">
        <v>147</v>
      </c>
      <c r="BW126" s="34">
        <v>1</v>
      </c>
      <c r="BX126" s="34">
        <v>0</v>
      </c>
      <c r="BY126" s="34" t="str">
        <v>Привод (двигатель)</v>
      </c>
      <c r="BZ126">
        <v>7</v>
      </c>
      <c r="CA126" t="str">
        <v>линии</v>
      </c>
    </row>
    <row r="127" spans="1:79" x14ac:dyDescent="0.3">
      <c r="A127" s="39" t="str">
        <v>ЩОВ-2</v>
      </c>
      <c r="B127" s="42">
        <v>36</v>
      </c>
      <c r="C127" s="42">
        <v>3</v>
      </c>
      <c r="D127" s="75" t="str">
        <v/>
      </c>
      <c r="E127" s="75" t="str">
        <v>авто</v>
      </c>
      <c r="F127" s="76" t="str">
        <v/>
      </c>
      <c r="G127" s="47" t="str">
        <v>QF20</v>
      </c>
      <c r="H127" s="47" t="str">
        <v>1P С6А</v>
      </c>
      <c r="I127" s="75" t="str">
        <v/>
      </c>
      <c r="J127" s="76" t="str">
        <v/>
      </c>
      <c r="K127" s="76" t="str">
        <v/>
      </c>
      <c r="L127" s="75" t="str">
        <v/>
      </c>
      <c r="M127" s="49" t="str">
        <v/>
      </c>
      <c r="N127" s="76" t="str">
        <v/>
      </c>
      <c r="O127" s="49" t="str">
        <v/>
      </c>
      <c r="P127" s="77" t="str">
        <v>XT20</v>
      </c>
      <c r="Q127" s="53" t="str">
        <v>ВВГнг(А)-LS (3х2,5) L=35-0,33%</v>
      </c>
      <c r="R127" s="54" t="str">
        <v>П.5</v>
      </c>
      <c r="S127" s="55" t="str">
        <v>Приточная установка Технический этаж Пом. №001Т</v>
      </c>
      <c r="T127" s="56">
        <v>0.27</v>
      </c>
      <c r="U127" s="56">
        <v>1.47</v>
      </c>
      <c r="V127" s="42" t="str">
        <v>L2</v>
      </c>
      <c r="W127" s="57" t="str">
        <v>ok</v>
      </c>
      <c r="X127" s="58" t="str">
        <v/>
      </c>
      <c r="Y127" s="75" t="str">
        <v/>
      </c>
      <c r="Z127" s="59">
        <v>1.46141786888624</v>
      </c>
      <c r="AA127" s="61">
        <v>6</v>
      </c>
      <c r="AB127" s="61">
        <v>25</v>
      </c>
      <c r="AC127" s="61" t="str">
        <v/>
      </c>
      <c r="AD127" s="62" t="str">
        <v>QF20 → XT20</v>
      </c>
      <c r="AE127" s="62" t="str">
        <v/>
      </c>
      <c r="AF127" s="34">
        <v>20</v>
      </c>
      <c r="AG127" s="34" t="str">
        <v>QF20</v>
      </c>
      <c r="AH127" s="34" t="str">
        <v/>
      </c>
      <c r="AI127" s="34" t="str">
        <v/>
      </c>
      <c r="AJ127" s="34" t="str">
        <v>QF20</v>
      </c>
      <c r="AK127" s="34">
        <v>1</v>
      </c>
      <c r="AL127" s="34" t="str">
        <v>П</v>
      </c>
      <c r="AM127" s="34">
        <v>0</v>
      </c>
      <c r="AN127" s="34">
        <v>0</v>
      </c>
      <c r="AO127" s="34">
        <v>6</v>
      </c>
      <c r="AP127" s="34">
        <v>25</v>
      </c>
      <c r="AQ127" s="34">
        <v>6</v>
      </c>
      <c r="AR127" s="34">
        <v>1</v>
      </c>
      <c r="AS127" s="34">
        <v>0</v>
      </c>
      <c r="AT127" s="34" t="str">
        <v>1P</v>
      </c>
      <c r="AU127" s="34">
        <v>6</v>
      </c>
      <c r="AV127" s="34" t="str">
        <v/>
      </c>
      <c r="AW127" s="34" t="str">
        <v/>
      </c>
      <c r="AX127" s="34" t="str">
        <v/>
      </c>
      <c r="AY127" s="34">
        <v>1</v>
      </c>
      <c r="AZ127" s="34" t="str">
        <v/>
      </c>
      <c r="BA127" s="34">
        <v>0</v>
      </c>
      <c r="BB127" s="34">
        <v>0</v>
      </c>
      <c r="BD127" s="34">
        <v>1</v>
      </c>
      <c r="BE127" s="34">
        <v>0</v>
      </c>
      <c r="BF127" s="34">
        <v>0</v>
      </c>
      <c r="BG127" s="34" t="str">
        <v/>
      </c>
      <c r="BH127" s="34" t="str">
        <v/>
      </c>
      <c r="BI127" s="34" t="str">
        <v/>
      </c>
      <c r="BJ127" s="34" t="str">
        <v/>
      </c>
      <c r="BK127" s="34" t="str">
        <v>MOTOR</v>
      </c>
      <c r="BL127" s="34">
        <v>1</v>
      </c>
      <c r="BM127" s="34" t="str">
        <v/>
      </c>
      <c r="BN127" s="34" t="str">
        <v/>
      </c>
      <c r="BO127" s="34" t="str">
        <v/>
      </c>
      <c r="BP127" s="34" t="str">
        <v/>
      </c>
      <c r="BQ127" s="34" t="str">
        <v>3х2,5</v>
      </c>
      <c r="BR127" s="34" t="str">
        <v/>
      </c>
      <c r="BS127" s="34" t="str">
        <v/>
      </c>
      <c r="BT127" s="34" t="str">
        <v/>
      </c>
      <c r="BU127" s="34">
        <v>0</v>
      </c>
      <c r="BV127" s="34">
        <v>148</v>
      </c>
      <c r="BW127" s="34">
        <v>1</v>
      </c>
      <c r="BX127" s="34">
        <v>0</v>
      </c>
      <c r="BY127" s="34" t="str">
        <v>Привод (двигатель)</v>
      </c>
      <c r="BZ127">
        <v>7</v>
      </c>
      <c r="CA127" t="str">
        <v>линии</v>
      </c>
    </row>
    <row r="128" spans="1:79" x14ac:dyDescent="0.3">
      <c r="A128" s="39" t="str">
        <v>ЩОВ-2</v>
      </c>
      <c r="B128" s="42">
        <v>37</v>
      </c>
      <c r="C128" s="42">
        <v>3</v>
      </c>
      <c r="D128" s="75" t="str">
        <v/>
      </c>
      <c r="E128" s="75" t="str">
        <v>авто</v>
      </c>
      <c r="F128" s="76" t="str">
        <v/>
      </c>
      <c r="G128" s="47" t="str">
        <v>QF21</v>
      </c>
      <c r="H128" s="47" t="str">
        <v>1P С25А</v>
      </c>
      <c r="I128" s="75" t="str">
        <v/>
      </c>
      <c r="J128" s="76" t="str">
        <v/>
      </c>
      <c r="K128" s="76" t="str">
        <v/>
      </c>
      <c r="L128" s="75" t="str">
        <v/>
      </c>
      <c r="M128" s="49" t="str">
        <v/>
      </c>
      <c r="N128" s="76" t="str">
        <v/>
      </c>
      <c r="O128" s="49" t="str">
        <v/>
      </c>
      <c r="P128" s="77" t="str">
        <v>XT21</v>
      </c>
      <c r="Q128" s="53" t="str">
        <v>ВВГнг(А)-LS (3х4) L=34-2,76%</v>
      </c>
      <c r="R128" s="54" t="str">
        <v>ПВ.5</v>
      </c>
      <c r="S128" s="55" t="str">
        <v>Приточно-вытяжная установка Технический этаж Пом. №001Т</v>
      </c>
      <c r="T128" s="56">
        <v>3.8</v>
      </c>
      <c r="U128" s="56">
        <v>20.57</v>
      </c>
      <c r="V128" s="42" t="str">
        <v>L3</v>
      </c>
      <c r="W128" s="57" t="str">
        <v>ok</v>
      </c>
      <c r="X128" s="58" t="str">
        <v/>
      </c>
      <c r="Y128" s="75" t="str">
        <v/>
      </c>
      <c r="Z128" s="59">
        <v>20.568103339880413</v>
      </c>
      <c r="AA128" s="61">
        <v>25</v>
      </c>
      <c r="AB128" s="61">
        <v>32</v>
      </c>
      <c r="AC128" s="61" t="str">
        <v/>
      </c>
      <c r="AD128" s="62" t="str">
        <v>QF21 → XT21</v>
      </c>
      <c r="AE128" s="62" t="str">
        <v/>
      </c>
      <c r="AF128" s="34">
        <v>21</v>
      </c>
      <c r="AG128" s="34" t="str">
        <v>QF21</v>
      </c>
      <c r="AH128" s="34" t="str">
        <v/>
      </c>
      <c r="AI128" s="34" t="str">
        <v/>
      </c>
      <c r="AJ128" s="34" t="str">
        <v>QF21</v>
      </c>
      <c r="AK128" s="34">
        <v>1</v>
      </c>
      <c r="AL128" s="34" t="str">
        <v>ПВ</v>
      </c>
      <c r="AM128" s="34">
        <v>0</v>
      </c>
      <c r="AN128" s="34">
        <v>0</v>
      </c>
      <c r="AO128" s="34">
        <v>25</v>
      </c>
      <c r="AP128" s="34">
        <v>32</v>
      </c>
      <c r="AQ128" s="34">
        <v>25</v>
      </c>
      <c r="AR128" s="34">
        <v>1</v>
      </c>
      <c r="AS128" s="34">
        <v>0</v>
      </c>
      <c r="AT128" s="34" t="str">
        <v>1P</v>
      </c>
      <c r="AU128" s="34">
        <v>25</v>
      </c>
      <c r="AV128" s="34" t="str">
        <v/>
      </c>
      <c r="AW128" s="34" t="str">
        <v/>
      </c>
      <c r="AX128" s="34" t="str">
        <v/>
      </c>
      <c r="AY128" s="34">
        <v>1</v>
      </c>
      <c r="AZ128" s="34" t="str">
        <v/>
      </c>
      <c r="BA128" s="34">
        <v>0</v>
      </c>
      <c r="BB128" s="34">
        <v>0</v>
      </c>
      <c r="BD128" s="34">
        <v>1</v>
      </c>
      <c r="BE128" s="34">
        <v>0</v>
      </c>
      <c r="BF128" s="34">
        <v>0</v>
      </c>
      <c r="BG128" s="34" t="str">
        <v/>
      </c>
      <c r="BH128" s="34" t="str">
        <v/>
      </c>
      <c r="BI128" s="34" t="str">
        <v/>
      </c>
      <c r="BJ128" s="34" t="str">
        <v/>
      </c>
      <c r="BK128" s="34" t="str">
        <v>MOTOR</v>
      </c>
      <c r="BL128" s="34">
        <v>1</v>
      </c>
      <c r="BM128" s="34" t="str">
        <v/>
      </c>
      <c r="BN128" s="34" t="str">
        <v/>
      </c>
      <c r="BO128" s="34" t="str">
        <v/>
      </c>
      <c r="BP128" s="34" t="str">
        <v/>
      </c>
      <c r="BQ128" s="34" t="str">
        <v>3х4</v>
      </c>
      <c r="BR128" s="34" t="str">
        <v/>
      </c>
      <c r="BS128" s="34" t="str">
        <v/>
      </c>
      <c r="BT128" s="34" t="str">
        <v/>
      </c>
      <c r="BU128" s="34">
        <v>0</v>
      </c>
      <c r="BV128" s="34">
        <v>149</v>
      </c>
      <c r="BW128" s="34">
        <v>1</v>
      </c>
      <c r="BX128" s="34">
        <v>0</v>
      </c>
      <c r="BY128" s="34" t="str">
        <v>Привод (двигатель)</v>
      </c>
      <c r="BZ128">
        <v>7</v>
      </c>
      <c r="CA128" t="str">
        <v>линии</v>
      </c>
    </row>
    <row r="129" spans="1:79" x14ac:dyDescent="0.3">
      <c r="A129" s="39" t="str">
        <v>ЩОВ-2</v>
      </c>
      <c r="B129" s="42">
        <v>38</v>
      </c>
      <c r="C129" s="42">
        <v>3</v>
      </c>
      <c r="D129" s="75" t="str">
        <v/>
      </c>
      <c r="E129" s="75" t="str">
        <v>авто</v>
      </c>
      <c r="F129" s="76" t="str">
        <v/>
      </c>
      <c r="G129" s="47" t="str">
        <v>QF22</v>
      </c>
      <c r="H129" s="47" t="str">
        <v>1P С10А</v>
      </c>
      <c r="I129" s="75" t="str">
        <v/>
      </c>
      <c r="J129" s="76" t="str">
        <v/>
      </c>
      <c r="K129" s="76" t="str">
        <v/>
      </c>
      <c r="L129" s="75" t="str">
        <v/>
      </c>
      <c r="M129" s="49" t="str">
        <v/>
      </c>
      <c r="N129" s="76" t="str">
        <v/>
      </c>
      <c r="O129" s="49" t="str">
        <v/>
      </c>
      <c r="P129" s="77" t="str">
        <v/>
      </c>
      <c r="Q129" s="53" t="str">
        <v>ВВГнг(А)-LS (3х2,5) L=30-1,33%</v>
      </c>
      <c r="R129" s="54" t="str">
        <v>ПВ.7</v>
      </c>
      <c r="S129" s="55" t="str">
        <v>Приточно-вытяжная установка Технический этаж Пом. №001Т</v>
      </c>
      <c r="T129" s="56">
        <v>1.3</v>
      </c>
      <c r="U129" s="56">
        <v>7.04</v>
      </c>
      <c r="V129" s="42" t="str">
        <v>L1</v>
      </c>
      <c r="W129" s="57" t="str">
        <v>ok</v>
      </c>
      <c r="X129" s="58" t="str">
        <v/>
      </c>
      <c r="Y129" s="75" t="str">
        <v/>
      </c>
      <c r="Z129" s="59">
        <v>7.036456405748563</v>
      </c>
      <c r="AA129" s="61">
        <v>10</v>
      </c>
      <c r="AB129" s="61">
        <v>25</v>
      </c>
      <c r="AC129" s="61" t="str">
        <v/>
      </c>
      <c r="AD129" s="62" t="str">
        <v>QF22</v>
      </c>
      <c r="AE129" s="62" t="str">
        <v/>
      </c>
      <c r="AF129" s="34">
        <v>22</v>
      </c>
      <c r="AG129" s="34" t="str">
        <v>QF22</v>
      </c>
      <c r="AH129" s="34" t="str">
        <v/>
      </c>
      <c r="AI129" s="34" t="str">
        <v/>
      </c>
      <c r="AJ129" s="34" t="str">
        <v>QF22</v>
      </c>
      <c r="AK129" s="34">
        <v>1</v>
      </c>
      <c r="AL129" s="34" t="str">
        <v>ПВ</v>
      </c>
      <c r="AM129" s="34">
        <v>0</v>
      </c>
      <c r="AN129" s="34">
        <v>0</v>
      </c>
      <c r="AO129" s="34">
        <v>10</v>
      </c>
      <c r="AP129" s="34">
        <v>25</v>
      </c>
      <c r="AQ129" s="34">
        <v>10</v>
      </c>
      <c r="AR129" s="34">
        <v>1</v>
      </c>
      <c r="AS129" s="34">
        <v>0</v>
      </c>
      <c r="AT129" s="34" t="str">
        <v>1P</v>
      </c>
      <c r="AU129" s="34">
        <v>10</v>
      </c>
      <c r="AV129" s="34" t="str">
        <v/>
      </c>
      <c r="AW129" s="34" t="str">
        <v/>
      </c>
      <c r="AX129" s="34" t="str">
        <v/>
      </c>
      <c r="AY129" s="34">
        <v>1</v>
      </c>
      <c r="AZ129" s="34" t="str">
        <v/>
      </c>
      <c r="BA129" s="34">
        <v>0</v>
      </c>
      <c r="BB129" s="34">
        <v>0</v>
      </c>
      <c r="BD129" s="34">
        <v>1</v>
      </c>
      <c r="BE129" s="34">
        <v>0</v>
      </c>
      <c r="BF129" s="34">
        <v>0</v>
      </c>
      <c r="BG129" s="34" t="str">
        <v/>
      </c>
      <c r="BH129" s="34" t="str">
        <v/>
      </c>
      <c r="BI129" s="34" t="str">
        <v/>
      </c>
      <c r="BJ129" s="34" t="str">
        <v/>
      </c>
      <c r="BK129" s="34" t="str">
        <v>MOTOR</v>
      </c>
      <c r="BL129" s="34">
        <v>1</v>
      </c>
      <c r="BM129" s="34" t="str">
        <v/>
      </c>
      <c r="BN129" s="34" t="str">
        <v/>
      </c>
      <c r="BO129" s="34" t="str">
        <v/>
      </c>
      <c r="BP129" s="34" t="str">
        <v/>
      </c>
      <c r="BQ129" s="34" t="str">
        <v>3х2,5</v>
      </c>
      <c r="BR129" s="34" t="str">
        <v/>
      </c>
      <c r="BS129" s="34" t="str">
        <v/>
      </c>
      <c r="BT129" s="34" t="str">
        <v/>
      </c>
      <c r="BU129" s="34">
        <v>0</v>
      </c>
      <c r="BV129" s="34">
        <v>150</v>
      </c>
      <c r="BW129" s="34">
        <v>1</v>
      </c>
      <c r="BX129" s="34">
        <v>0</v>
      </c>
      <c r="BY129" s="34" t="str">
        <v>Привод (двигатель)</v>
      </c>
      <c r="BZ129">
        <v>7</v>
      </c>
      <c r="CA129" t="str">
        <v>линии</v>
      </c>
    </row>
    <row r="130" spans="1:79" x14ac:dyDescent="0.3">
      <c r="A130" s="39" t="str">
        <v>ЩОВ-2</v>
      </c>
      <c r="B130" s="42">
        <v>39</v>
      </c>
      <c r="C130" s="42">
        <v>3</v>
      </c>
      <c r="D130" s="75" t="str">
        <v/>
      </c>
      <c r="E130" s="75" t="str">
        <v>авто</v>
      </c>
      <c r="F130" s="76" t="str">
        <v/>
      </c>
      <c r="G130" s="47" t="str">
        <v>QF23</v>
      </c>
      <c r="H130" s="47" t="str">
        <v>1P С16А</v>
      </c>
      <c r="I130" s="75" t="str">
        <v/>
      </c>
      <c r="J130" s="76" t="str">
        <v/>
      </c>
      <c r="K130" s="76" t="str">
        <v/>
      </c>
      <c r="L130" s="75" t="str">
        <v/>
      </c>
      <c r="M130" s="49" t="str">
        <v/>
      </c>
      <c r="N130" s="76" t="str">
        <v/>
      </c>
      <c r="O130" s="49" t="str">
        <v/>
      </c>
      <c r="P130" s="77" t="str">
        <v/>
      </c>
      <c r="Q130" s="53" t="str">
        <v>ВВГнг(А)-LS (3х2,5) L=15-0,92%</v>
      </c>
      <c r="R130" s="54" t="str">
        <v>ПВ.8</v>
      </c>
      <c r="S130" s="55" t="str">
        <v>Приточно-вытяжная установка Технический этаж Пом. №001Т</v>
      </c>
      <c r="T130" s="56">
        <v>1.8</v>
      </c>
      <c r="U130" s="56">
        <v>9.75</v>
      </c>
      <c r="V130" s="42" t="str">
        <v>L2</v>
      </c>
      <c r="W130" s="57" t="str">
        <v>ok</v>
      </c>
      <c r="X130" s="58" t="str">
        <v/>
      </c>
      <c r="Y130" s="75" t="str">
        <v/>
      </c>
      <c r="Z130" s="59">
        <v>9.7427857925749333</v>
      </c>
      <c r="AA130" s="61">
        <v>16</v>
      </c>
      <c r="AB130" s="61">
        <v>25</v>
      </c>
      <c r="AC130" s="61" t="str">
        <v/>
      </c>
      <c r="AD130" s="62" t="str">
        <v>QF23</v>
      </c>
      <c r="AE130" s="62" t="str">
        <v/>
      </c>
      <c r="AF130" s="34">
        <v>23</v>
      </c>
      <c r="AG130" s="34" t="str">
        <v>QF23</v>
      </c>
      <c r="AH130" s="34" t="str">
        <v/>
      </c>
      <c r="AI130" s="34" t="str">
        <v/>
      </c>
      <c r="AJ130" s="34" t="str">
        <v>QF23</v>
      </c>
      <c r="AK130" s="34">
        <v>1</v>
      </c>
      <c r="AL130" s="34" t="str">
        <v>ПВ</v>
      </c>
      <c r="AM130" s="34">
        <v>0</v>
      </c>
      <c r="AN130" s="34">
        <v>0</v>
      </c>
      <c r="AO130" s="34">
        <v>16</v>
      </c>
      <c r="AP130" s="34">
        <v>25</v>
      </c>
      <c r="AQ130" s="34">
        <v>16</v>
      </c>
      <c r="AR130" s="34">
        <v>1</v>
      </c>
      <c r="AS130" s="34">
        <v>0</v>
      </c>
      <c r="AT130" s="34" t="str">
        <v>1P</v>
      </c>
      <c r="AU130" s="34">
        <v>16</v>
      </c>
      <c r="AV130" s="34" t="str">
        <v/>
      </c>
      <c r="AW130" s="34" t="str">
        <v/>
      </c>
      <c r="AX130" s="34" t="str">
        <v/>
      </c>
      <c r="AY130" s="34">
        <v>1</v>
      </c>
      <c r="AZ130" s="34" t="str">
        <v/>
      </c>
      <c r="BA130" s="34">
        <v>0</v>
      </c>
      <c r="BB130" s="34">
        <v>0</v>
      </c>
      <c r="BD130" s="34">
        <v>1</v>
      </c>
      <c r="BE130" s="34">
        <v>0</v>
      </c>
      <c r="BF130" s="34">
        <v>0</v>
      </c>
      <c r="BG130" s="34" t="str">
        <v/>
      </c>
      <c r="BH130" s="34" t="str">
        <v/>
      </c>
      <c r="BI130" s="34" t="str">
        <v/>
      </c>
      <c r="BJ130" s="34" t="str">
        <v/>
      </c>
      <c r="BK130" s="34" t="str">
        <v>MOTOR</v>
      </c>
      <c r="BL130" s="34">
        <v>1</v>
      </c>
      <c r="BM130" s="34" t="str">
        <v/>
      </c>
      <c r="BN130" s="34" t="str">
        <v/>
      </c>
      <c r="BO130" s="34" t="str">
        <v/>
      </c>
      <c r="BP130" s="34" t="str">
        <v/>
      </c>
      <c r="BQ130" s="34" t="str">
        <v>3х2,5</v>
      </c>
      <c r="BR130" s="34" t="str">
        <v/>
      </c>
      <c r="BS130" s="34" t="str">
        <v/>
      </c>
      <c r="BT130" s="34" t="str">
        <v/>
      </c>
      <c r="BU130" s="34">
        <v>0</v>
      </c>
      <c r="BV130" s="34">
        <v>151</v>
      </c>
      <c r="BW130" s="34">
        <v>1</v>
      </c>
      <c r="BX130" s="34">
        <v>0</v>
      </c>
      <c r="BY130" s="34" t="str">
        <v>Привод (двигатель)</v>
      </c>
      <c r="BZ130">
        <v>7</v>
      </c>
      <c r="CA130" t="str">
        <v>линии</v>
      </c>
    </row>
    <row r="131" spans="1:79" x14ac:dyDescent="0.3">
      <c r="A131" s="39" t="str">
        <v>ЩР-001</v>
      </c>
      <c r="B131" s="42">
        <v>2</v>
      </c>
      <c r="C131" s="42">
        <v>1</v>
      </c>
      <c r="D131" s="75" t="str">
        <v/>
      </c>
      <c r="E131" s="75" t="str">
        <v>авто</v>
      </c>
      <c r="F131" s="76" t="str">
        <v/>
      </c>
      <c r="G131" s="47" t="str">
        <v/>
      </c>
      <c r="H131" s="47" t="str">
        <v>3P С20А</v>
      </c>
      <c r="I131" s="75" t="str">
        <v/>
      </c>
      <c r="J131" s="76" t="str">
        <v/>
      </c>
      <c r="K131" s="76" t="str">
        <v/>
      </c>
      <c r="L131" s="75" t="str">
        <v/>
      </c>
      <c r="M131" s="49" t="str">
        <v/>
      </c>
      <c r="N131" s="76" t="str">
        <v/>
      </c>
      <c r="O131" s="49" t="str">
        <v/>
      </c>
      <c r="P131" s="77" t="str">
        <v/>
      </c>
      <c r="Q131" s="53" t="str">
        <v>ВВГнг(А)-LS (5х4)</v>
      </c>
      <c r="R131" s="54" t="str">
        <v>Ввод.1</v>
      </c>
      <c r="S131" s="55" t="str">
        <v>Ввод</v>
      </c>
      <c r="T131" s="56">
        <v>11.860000000000001</v>
      </c>
      <c r="U131" s="56">
        <v>16.380000000000003</v>
      </c>
      <c r="V131" s="42" t="str">
        <v>L1,L2,L3</v>
      </c>
      <c r="W131" s="57" t="str">
        <v>ok</v>
      </c>
      <c r="X131" s="58" t="str">
        <v/>
      </c>
      <c r="Y131" s="75" t="str">
        <v>вручную</v>
      </c>
      <c r="Z131" s="59">
        <v>16.378863980838116</v>
      </c>
      <c r="AA131" s="61">
        <v>20</v>
      </c>
      <c r="AB131" s="61">
        <v>32</v>
      </c>
      <c r="AC131" s="61" t="str">
        <v/>
      </c>
      <c r="AD131" s="62" t="str">
        <v/>
      </c>
      <c r="AE131" s="62" t="str">
        <v/>
      </c>
      <c r="AF131" s="34" t="str">
        <v/>
      </c>
      <c r="AG131" s="34" t="str">
        <v/>
      </c>
      <c r="AH131" s="34" t="str">
        <v/>
      </c>
      <c r="AI131" s="34" t="str">
        <v/>
      </c>
      <c r="AJ131" s="34" t="str">
        <v/>
      </c>
      <c r="AK131" s="34">
        <v>3</v>
      </c>
      <c r="AL131" s="34" t="str">
        <v>Ввод</v>
      </c>
      <c r="AM131" s="34">
        <v>0</v>
      </c>
      <c r="AN131" s="34">
        <v>0</v>
      </c>
      <c r="AO131" s="34">
        <v>20</v>
      </c>
      <c r="AP131" s="34">
        <v>32</v>
      </c>
      <c r="AQ131" s="34">
        <v>20</v>
      </c>
      <c r="AR131" s="34">
        <v>3</v>
      </c>
      <c r="AS131" s="34">
        <v>0</v>
      </c>
      <c r="AT131" s="34" t="str">
        <v>3P</v>
      </c>
      <c r="AU131" s="34">
        <v>20</v>
      </c>
      <c r="AV131" s="34" t="str">
        <v/>
      </c>
      <c r="AW131" s="34" t="str">
        <v/>
      </c>
      <c r="AX131" s="34" t="str">
        <v/>
      </c>
      <c r="AY131" s="34">
        <v>0</v>
      </c>
      <c r="AZ131" s="34" t="str">
        <v/>
      </c>
      <c r="BA131" s="34">
        <v>0</v>
      </c>
      <c r="BB131" s="34">
        <v>0</v>
      </c>
      <c r="BD131" s="34">
        <v>0</v>
      </c>
      <c r="BE131" s="34">
        <v>0</v>
      </c>
      <c r="BF131" s="34">
        <v>0</v>
      </c>
      <c r="BG131" s="34" t="str">
        <v/>
      </c>
      <c r="BH131" s="34" t="str">
        <v/>
      </c>
      <c r="BI131" s="34" t="str">
        <v/>
      </c>
      <c r="BJ131" s="34" t="str">
        <v/>
      </c>
      <c r="BK131" s="34" t="str">
        <v>BOX</v>
      </c>
      <c r="BL131" s="34">
        <v>1</v>
      </c>
      <c r="BM131" s="34" t="str">
        <v/>
      </c>
      <c r="BN131" s="34" t="str">
        <v/>
      </c>
      <c r="BO131" s="34" t="str">
        <v/>
      </c>
      <c r="BP131" s="34" t="str">
        <v/>
      </c>
      <c r="BQ131" s="34" t="str">
        <v/>
      </c>
      <c r="BR131" s="34" t="str">
        <v/>
      </c>
      <c r="BS131" s="34" t="str">
        <v/>
      </c>
      <c r="BT131" s="34" t="str">
        <v/>
      </c>
      <c r="BU131" s="34">
        <v>0</v>
      </c>
      <c r="BV131" s="34">
        <v>152</v>
      </c>
      <c r="BW131" s="34">
        <v>0</v>
      </c>
      <c r="BX131" s="34">
        <v>0</v>
      </c>
      <c r="BY131" s="34">
        <v>0</v>
      </c>
      <c r="BZ131">
        <v>8</v>
      </c>
      <c r="CA131" t="str">
        <v>вводной узел</v>
      </c>
    </row>
    <row r="132" spans="1:79" x14ac:dyDescent="0.3">
      <c r="A132" s="39" t="str">
        <v>ЩР-001</v>
      </c>
      <c r="B132" s="42">
        <v>8</v>
      </c>
      <c r="C132" s="42">
        <v>1</v>
      </c>
      <c r="D132" s="75" t="str">
        <v/>
      </c>
      <c r="E132" s="75" t="str">
        <v>авто</v>
      </c>
      <c r="F132" s="76">
        <v>30</v>
      </c>
      <c r="G132" s="47" t="str">
        <v>QFD1</v>
      </c>
      <c r="H132" s="47" t="str">
        <v>2P С16А 30мА</v>
      </c>
      <c r="I132" s="75" t="str">
        <v/>
      </c>
      <c r="J132" s="76" t="str">
        <v/>
      </c>
      <c r="K132" s="76" t="str">
        <v/>
      </c>
      <c r="L132" s="75" t="str">
        <v/>
      </c>
      <c r="M132" s="49" t="str">
        <v/>
      </c>
      <c r="N132" s="76" t="str">
        <v/>
      </c>
      <c r="O132" s="49" t="str">
        <v/>
      </c>
      <c r="P132" s="77" t="str">
        <v>XT1</v>
      </c>
      <c r="Q132" s="53" t="str">
        <v>ВВГнг(А)-LS (3х2,5) L=126-2,82%</v>
      </c>
      <c r="R132" s="54" t="str">
        <v>R.00.001Б.1</v>
      </c>
      <c r="S132" s="55" t="str">
        <v>Розеточная группа, пом. 001Б</v>
      </c>
      <c r="T132" s="56">
        <v>0.65999999999999992</v>
      </c>
      <c r="U132" s="56">
        <v>3.01</v>
      </c>
      <c r="V132" s="42" t="str">
        <v>L3</v>
      </c>
      <c r="W132" s="57" t="str">
        <v>ok</v>
      </c>
      <c r="X132" s="58" t="str">
        <v/>
      </c>
      <c r="Y132" s="75" t="str">
        <v/>
      </c>
      <c r="Z132" s="59">
        <v>3.008298771040681</v>
      </c>
      <c r="AA132" s="61">
        <v>16</v>
      </c>
      <c r="AB132" s="61">
        <v>25</v>
      </c>
      <c r="AC132" s="61" t="str">
        <v/>
      </c>
      <c r="AD132" s="62" t="str">
        <v>QFD1 → XT1</v>
      </c>
      <c r="AE132" s="62" t="str">
        <v>потери 4,4 % &gt; 4,13 %</v>
      </c>
      <c r="AF132" s="34">
        <v>1</v>
      </c>
      <c r="AG132" s="34" t="str">
        <v>QFD1</v>
      </c>
      <c r="AH132" s="34" t="str">
        <v/>
      </c>
      <c r="AI132" s="34" t="str">
        <v/>
      </c>
      <c r="AJ132" s="34" t="str">
        <v>QFD1</v>
      </c>
      <c r="AK132" s="34">
        <v>1</v>
      </c>
      <c r="AL132" s="34" t="str">
        <v>R</v>
      </c>
      <c r="AM132" s="34">
        <v>30</v>
      </c>
      <c r="AN132" s="34">
        <v>0</v>
      </c>
      <c r="AO132" s="34">
        <v>16</v>
      </c>
      <c r="AP132" s="34">
        <v>25</v>
      </c>
      <c r="AQ132" s="34">
        <v>16</v>
      </c>
      <c r="AR132" s="34">
        <v>1</v>
      </c>
      <c r="AS132" s="34">
        <v>1</v>
      </c>
      <c r="AT132" s="34" t="str">
        <v>2P</v>
      </c>
      <c r="AU132" s="34">
        <v>16</v>
      </c>
      <c r="AV132" s="34" t="str">
        <v/>
      </c>
      <c r="AW132" s="34" t="str">
        <v/>
      </c>
      <c r="AX132" s="34" t="str">
        <v/>
      </c>
      <c r="AY132" s="34">
        <v>1</v>
      </c>
      <c r="AZ132" s="34" t="str">
        <v/>
      </c>
      <c r="BA132" s="34">
        <v>0</v>
      </c>
      <c r="BB132" s="34">
        <v>16</v>
      </c>
      <c r="BD132" s="34">
        <v>1</v>
      </c>
      <c r="BE132" s="34">
        <v>0</v>
      </c>
      <c r="BF132" s="34">
        <v>1</v>
      </c>
      <c r="BG132" s="34" t="str">
        <v/>
      </c>
      <c r="BH132" s="34" t="str">
        <v/>
      </c>
      <c r="BI132" s="34" t="str">
        <v/>
      </c>
      <c r="BJ132" s="34" t="str">
        <v/>
      </c>
      <c r="BK132" s="34" t="str">
        <v>SOCKET</v>
      </c>
      <c r="BL132" s="34">
        <v>1</v>
      </c>
      <c r="BM132" s="34">
        <v>17</v>
      </c>
      <c r="BN132" s="34" t="str">
        <v/>
      </c>
      <c r="BO132" s="34" t="str">
        <v/>
      </c>
      <c r="BP132" s="34" t="str">
        <v/>
      </c>
      <c r="BQ132" s="34" t="str">
        <v>3х2,5</v>
      </c>
      <c r="BR132" s="34" t="str">
        <v/>
      </c>
      <c r="BS132" s="34" t="str">
        <v/>
      </c>
      <c r="BT132" s="34" t="str">
        <v/>
      </c>
      <c r="BU132" s="34">
        <v>1</v>
      </c>
      <c r="BV132" s="34">
        <v>153</v>
      </c>
      <c r="BW132" s="34">
        <v>1</v>
      </c>
      <c r="BX132" s="34">
        <v>0</v>
      </c>
      <c r="BY132" s="34" t="str">
        <v>Розетка</v>
      </c>
      <c r="BZ132">
        <v>8</v>
      </c>
      <c r="CA132" t="str">
        <v>линии</v>
      </c>
    </row>
    <row r="133" spans="1:79" x14ac:dyDescent="0.3">
      <c r="A133" s="39" t="str">
        <v>ЩР-001</v>
      </c>
      <c r="B133" s="42">
        <v>9</v>
      </c>
      <c r="C133" s="42">
        <v>1</v>
      </c>
      <c r="D133" s="75" t="str">
        <v/>
      </c>
      <c r="E133" s="75" t="str">
        <v>авто</v>
      </c>
      <c r="F133" s="76">
        <v>30</v>
      </c>
      <c r="G133" s="47" t="str">
        <v>QFD2</v>
      </c>
      <c r="H133" s="47" t="str">
        <v>2P С16А 30мА</v>
      </c>
      <c r="I133" s="75" t="str">
        <v/>
      </c>
      <c r="J133" s="76" t="str">
        <v/>
      </c>
      <c r="K133" s="76" t="str">
        <v/>
      </c>
      <c r="L133" s="75" t="str">
        <v/>
      </c>
      <c r="M133" s="49" t="str">
        <v/>
      </c>
      <c r="N133" s="76" t="str">
        <v/>
      </c>
      <c r="O133" s="49" t="str">
        <v/>
      </c>
      <c r="P133" s="77" t="str">
        <v>XT2</v>
      </c>
      <c r="Q133" s="53" t="str">
        <v>ВВГнг(А)-LS (3х2,5) L=39-0,4%</v>
      </c>
      <c r="R133" s="54" t="str">
        <v>R.00.003Т.1</v>
      </c>
      <c r="S133" s="55" t="str">
        <v>Розеточная группа, пом. 003Т</v>
      </c>
      <c r="T133" s="56">
        <v>0.3</v>
      </c>
      <c r="U133" s="56">
        <v>1.37</v>
      </c>
      <c r="V133" s="42" t="str">
        <v>L2</v>
      </c>
      <c r="W133" s="57" t="str">
        <v>ok</v>
      </c>
      <c r="X133" s="58" t="str">
        <v/>
      </c>
      <c r="Y133" s="75" t="str">
        <v/>
      </c>
      <c r="Z133" s="59">
        <v>1.3674085322912188</v>
      </c>
      <c r="AA133" s="61">
        <v>16</v>
      </c>
      <c r="AB133" s="61">
        <v>25</v>
      </c>
      <c r="AC133" s="61" t="str">
        <v/>
      </c>
      <c r="AD133" s="62" t="str">
        <v>QFD2 → XT2</v>
      </c>
      <c r="AE133" s="62" t="str">
        <v/>
      </c>
      <c r="AF133" s="34">
        <v>2</v>
      </c>
      <c r="AG133" s="34" t="str">
        <v>QFD2</v>
      </c>
      <c r="AH133" s="34" t="str">
        <v/>
      </c>
      <c r="AI133" s="34" t="str">
        <v/>
      </c>
      <c r="AJ133" s="34" t="str">
        <v>QFD2</v>
      </c>
      <c r="AK133" s="34">
        <v>1</v>
      </c>
      <c r="AL133" s="34" t="str">
        <v>R</v>
      </c>
      <c r="AM133" s="34">
        <v>30</v>
      </c>
      <c r="AN133" s="34">
        <v>0</v>
      </c>
      <c r="AO133" s="34">
        <v>16</v>
      </c>
      <c r="AP133" s="34">
        <v>25</v>
      </c>
      <c r="AQ133" s="34">
        <v>16</v>
      </c>
      <c r="AR133" s="34">
        <v>1</v>
      </c>
      <c r="AS133" s="34">
        <v>1</v>
      </c>
      <c r="AT133" s="34" t="str">
        <v>2P</v>
      </c>
      <c r="AU133" s="34">
        <v>16</v>
      </c>
      <c r="AV133" s="34" t="str">
        <v/>
      </c>
      <c r="AW133" s="34" t="str">
        <v/>
      </c>
      <c r="AX133" s="34" t="str">
        <v/>
      </c>
      <c r="AY133" s="34">
        <v>1</v>
      </c>
      <c r="AZ133" s="34" t="str">
        <v/>
      </c>
      <c r="BA133" s="34">
        <v>0</v>
      </c>
      <c r="BB133" s="34">
        <v>16</v>
      </c>
      <c r="BD133" s="34">
        <v>1</v>
      </c>
      <c r="BE133" s="34">
        <v>0</v>
      </c>
      <c r="BF133" s="34">
        <v>1</v>
      </c>
      <c r="BG133" s="34" t="str">
        <v/>
      </c>
      <c r="BH133" s="34" t="str">
        <v/>
      </c>
      <c r="BI133" s="34" t="str">
        <v/>
      </c>
      <c r="BJ133" s="34" t="str">
        <v/>
      </c>
      <c r="BK133" s="34" t="str">
        <v>SOCKET</v>
      </c>
      <c r="BL133" s="34">
        <v>1</v>
      </c>
      <c r="BM133" s="34" t="str">
        <v/>
      </c>
      <c r="BN133" s="34" t="str">
        <v/>
      </c>
      <c r="BO133" s="34" t="str">
        <v/>
      </c>
      <c r="BP133" s="34" t="str">
        <v/>
      </c>
      <c r="BQ133" s="34" t="str">
        <v>3х2,5</v>
      </c>
      <c r="BR133" s="34" t="str">
        <v/>
      </c>
      <c r="BS133" s="34" t="str">
        <v/>
      </c>
      <c r="BT133" s="34" t="str">
        <v/>
      </c>
      <c r="BU133" s="34">
        <v>0</v>
      </c>
      <c r="BV133" s="34">
        <v>154</v>
      </c>
      <c r="BW133" s="34">
        <v>1</v>
      </c>
      <c r="BX133" s="34">
        <v>0</v>
      </c>
      <c r="BY133" s="34" t="str">
        <v>Розетка</v>
      </c>
      <c r="BZ133">
        <v>8</v>
      </c>
      <c r="CA133" t="str">
        <v>линии</v>
      </c>
    </row>
    <row r="134" spans="1:79" x14ac:dyDescent="0.3">
      <c r="A134" s="39" t="str">
        <v>ЩР-001</v>
      </c>
      <c r="B134" s="42">
        <v>10</v>
      </c>
      <c r="C134" s="42">
        <v>1</v>
      </c>
      <c r="D134" s="75" t="str">
        <v/>
      </c>
      <c r="E134" s="75" t="str">
        <v>авто</v>
      </c>
      <c r="F134" s="76">
        <v>30</v>
      </c>
      <c r="G134" s="47" t="str">
        <v>QFD3</v>
      </c>
      <c r="H134" s="47" t="str">
        <v>2P С16А 30мА</v>
      </c>
      <c r="I134" s="75" t="str">
        <v/>
      </c>
      <c r="J134" s="76" t="str">
        <v/>
      </c>
      <c r="K134" s="76" t="str">
        <v/>
      </c>
      <c r="L134" s="75" t="str">
        <v/>
      </c>
      <c r="M134" s="49" t="str">
        <v/>
      </c>
      <c r="N134" s="76" t="str">
        <v/>
      </c>
      <c r="O134" s="49" t="str">
        <v/>
      </c>
      <c r="P134" s="77" t="str">
        <v>XT3</v>
      </c>
      <c r="Q134" s="53" t="str">
        <v>ВВГнг(А)-LS (3х2,5) L=8-0,02%</v>
      </c>
      <c r="R134" s="54" t="str">
        <v>R.00.004Т.1</v>
      </c>
      <c r="S134" s="55" t="str">
        <v>Розеточная группа, пом. 004Т</v>
      </c>
      <c r="T134" s="56">
        <v>0.06</v>
      </c>
      <c r="U134" s="56">
        <v>0.28000000000000003</v>
      </c>
      <c r="V134" s="42" t="str">
        <v>L2</v>
      </c>
      <c r="W134" s="57" t="str">
        <v>ok</v>
      </c>
      <c r="X134" s="58" t="str">
        <v/>
      </c>
      <c r="Y134" s="75" t="str">
        <v/>
      </c>
      <c r="Z134" s="59">
        <v>0.27348170645824377</v>
      </c>
      <c r="AA134" s="61">
        <v>16</v>
      </c>
      <c r="AB134" s="61">
        <v>25</v>
      </c>
      <c r="AC134" s="61" t="str">
        <v/>
      </c>
      <c r="AD134" s="62" t="str">
        <v>QFD3 → XT3</v>
      </c>
      <c r="AE134" s="62" t="str">
        <v/>
      </c>
      <c r="AF134" s="34">
        <v>3</v>
      </c>
      <c r="AG134" s="34" t="str">
        <v>QFD3</v>
      </c>
      <c r="AH134" s="34" t="str">
        <v/>
      </c>
      <c r="AI134" s="34" t="str">
        <v/>
      </c>
      <c r="AJ134" s="34" t="str">
        <v>QFD3</v>
      </c>
      <c r="AK134" s="34">
        <v>1</v>
      </c>
      <c r="AL134" s="34" t="str">
        <v>R</v>
      </c>
      <c r="AM134" s="34">
        <v>30</v>
      </c>
      <c r="AN134" s="34">
        <v>0</v>
      </c>
      <c r="AO134" s="34">
        <v>16</v>
      </c>
      <c r="AP134" s="34">
        <v>25</v>
      </c>
      <c r="AQ134" s="34">
        <v>16</v>
      </c>
      <c r="AR134" s="34">
        <v>1</v>
      </c>
      <c r="AS134" s="34">
        <v>1</v>
      </c>
      <c r="AT134" s="34" t="str">
        <v>2P</v>
      </c>
      <c r="AU134" s="34">
        <v>16</v>
      </c>
      <c r="AV134" s="34" t="str">
        <v/>
      </c>
      <c r="AW134" s="34" t="str">
        <v/>
      </c>
      <c r="AX134" s="34" t="str">
        <v/>
      </c>
      <c r="AY134" s="34">
        <v>1</v>
      </c>
      <c r="AZ134" s="34" t="str">
        <v/>
      </c>
      <c r="BA134" s="34">
        <v>0</v>
      </c>
      <c r="BB134" s="34">
        <v>16</v>
      </c>
      <c r="BD134" s="34">
        <v>1</v>
      </c>
      <c r="BE134" s="34">
        <v>0</v>
      </c>
      <c r="BF134" s="34">
        <v>1</v>
      </c>
      <c r="BG134" s="34" t="str">
        <v/>
      </c>
      <c r="BH134" s="34" t="str">
        <v/>
      </c>
      <c r="BI134" s="34" t="str">
        <v/>
      </c>
      <c r="BJ134" s="34" t="str">
        <v/>
      </c>
      <c r="BK134" s="34" t="str">
        <v>SOCKET</v>
      </c>
      <c r="BL134" s="34">
        <v>1</v>
      </c>
      <c r="BM134" s="34" t="str">
        <v/>
      </c>
      <c r="BN134" s="34" t="str">
        <v/>
      </c>
      <c r="BO134" s="34" t="str">
        <v/>
      </c>
      <c r="BP134" s="34" t="str">
        <v/>
      </c>
      <c r="BQ134" s="34" t="str">
        <v>3х2,5</v>
      </c>
      <c r="BR134" s="34" t="str">
        <v/>
      </c>
      <c r="BS134" s="34" t="str">
        <v/>
      </c>
      <c r="BT134" s="34" t="str">
        <v/>
      </c>
      <c r="BU134" s="34">
        <v>0</v>
      </c>
      <c r="BV134" s="34">
        <v>155</v>
      </c>
      <c r="BW134" s="34">
        <v>1</v>
      </c>
      <c r="BX134" s="34">
        <v>0</v>
      </c>
      <c r="BY134" s="34" t="str">
        <v>Розетка</v>
      </c>
      <c r="BZ134">
        <v>8</v>
      </c>
      <c r="CA134" t="str">
        <v>линии</v>
      </c>
    </row>
    <row r="135" spans="1:79" x14ac:dyDescent="0.3">
      <c r="A135" s="39" t="str">
        <v>ЩР-001</v>
      </c>
      <c r="B135" s="42">
        <v>11</v>
      </c>
      <c r="C135" s="42">
        <v>1</v>
      </c>
      <c r="D135" s="75" t="str">
        <v/>
      </c>
      <c r="E135" s="75" t="str">
        <v>авто</v>
      </c>
      <c r="F135" s="76">
        <v>30</v>
      </c>
      <c r="G135" s="47" t="str">
        <v>QFD4</v>
      </c>
      <c r="H135" s="47" t="str">
        <v>2P С16А 30мА</v>
      </c>
      <c r="I135" s="75" t="str">
        <v/>
      </c>
      <c r="J135" s="76" t="str">
        <v/>
      </c>
      <c r="K135" s="76" t="str">
        <v/>
      </c>
      <c r="L135" s="75" t="str">
        <v/>
      </c>
      <c r="M135" s="49" t="str">
        <v/>
      </c>
      <c r="N135" s="76" t="str">
        <v/>
      </c>
      <c r="O135" s="49" t="str">
        <v/>
      </c>
      <c r="P135" s="77" t="str">
        <v>XT4</v>
      </c>
      <c r="Q135" s="53" t="str">
        <v>ВВГнг(А)-LS (3х2,5) L=27-0,06%</v>
      </c>
      <c r="R135" s="54" t="str">
        <v>R.00.001Тб.1</v>
      </c>
      <c r="S135" s="55" t="str">
        <v>Розеточная группа, пом. 001Тб</v>
      </c>
      <c r="T135" s="56">
        <v>0.06</v>
      </c>
      <c r="U135" s="56">
        <v>0.28000000000000003</v>
      </c>
      <c r="V135" s="42" t="str">
        <v>L2</v>
      </c>
      <c r="W135" s="57" t="str">
        <v>ok</v>
      </c>
      <c r="X135" s="58" t="str">
        <v/>
      </c>
      <c r="Y135" s="75" t="str">
        <v/>
      </c>
      <c r="Z135" s="59">
        <v>0.27348170645824377</v>
      </c>
      <c r="AA135" s="61">
        <v>16</v>
      </c>
      <c r="AB135" s="61">
        <v>25</v>
      </c>
      <c r="AC135" s="61" t="str">
        <v/>
      </c>
      <c r="AD135" s="62" t="str">
        <v>QFD4 → XT4</v>
      </c>
      <c r="AE135" s="62" t="str">
        <v/>
      </c>
      <c r="AF135" s="34">
        <v>4</v>
      </c>
      <c r="AG135" s="34" t="str">
        <v>QFD4</v>
      </c>
      <c r="AH135" s="34" t="str">
        <v/>
      </c>
      <c r="AI135" s="34" t="str">
        <v/>
      </c>
      <c r="AJ135" s="34" t="str">
        <v>QFD4</v>
      </c>
      <c r="AK135" s="34">
        <v>1</v>
      </c>
      <c r="AL135" s="34" t="str">
        <v>R</v>
      </c>
      <c r="AM135" s="34">
        <v>30</v>
      </c>
      <c r="AN135" s="34">
        <v>0</v>
      </c>
      <c r="AO135" s="34">
        <v>16</v>
      </c>
      <c r="AP135" s="34">
        <v>25</v>
      </c>
      <c r="AQ135" s="34">
        <v>16</v>
      </c>
      <c r="AR135" s="34">
        <v>1</v>
      </c>
      <c r="AS135" s="34">
        <v>1</v>
      </c>
      <c r="AT135" s="34" t="str">
        <v>2P</v>
      </c>
      <c r="AU135" s="34">
        <v>16</v>
      </c>
      <c r="AV135" s="34" t="str">
        <v/>
      </c>
      <c r="AW135" s="34" t="str">
        <v/>
      </c>
      <c r="AX135" s="34" t="str">
        <v/>
      </c>
      <c r="AY135" s="34">
        <v>1</v>
      </c>
      <c r="AZ135" s="34" t="str">
        <v/>
      </c>
      <c r="BA135" s="34">
        <v>0</v>
      </c>
      <c r="BB135" s="34">
        <v>16</v>
      </c>
      <c r="BD135" s="34">
        <v>1</v>
      </c>
      <c r="BE135" s="34">
        <v>0</v>
      </c>
      <c r="BF135" s="34">
        <v>1</v>
      </c>
      <c r="BG135" s="34" t="str">
        <v/>
      </c>
      <c r="BH135" s="34" t="str">
        <v/>
      </c>
      <c r="BI135" s="34" t="str">
        <v/>
      </c>
      <c r="BJ135" s="34" t="str">
        <v/>
      </c>
      <c r="BK135" s="34" t="str">
        <v>SOCKET</v>
      </c>
      <c r="BL135" s="34">
        <v>1</v>
      </c>
      <c r="BM135" s="34" t="str">
        <v/>
      </c>
      <c r="BN135" s="34" t="str">
        <v/>
      </c>
      <c r="BO135" s="34" t="str">
        <v/>
      </c>
      <c r="BP135" s="34" t="str">
        <v/>
      </c>
      <c r="BQ135" s="34" t="str">
        <v>3х2,5</v>
      </c>
      <c r="BR135" s="34" t="str">
        <v/>
      </c>
      <c r="BS135" s="34" t="str">
        <v/>
      </c>
      <c r="BT135" s="34" t="str">
        <v/>
      </c>
      <c r="BU135" s="34">
        <v>0</v>
      </c>
      <c r="BV135" s="34">
        <v>156</v>
      </c>
      <c r="BW135" s="34">
        <v>1</v>
      </c>
      <c r="BX135" s="34">
        <v>0</v>
      </c>
      <c r="BY135" s="34" t="str">
        <v>Розетка</v>
      </c>
      <c r="BZ135">
        <v>8</v>
      </c>
      <c r="CA135" t="str">
        <v>линии</v>
      </c>
    </row>
    <row r="136" spans="1:79" x14ac:dyDescent="0.3">
      <c r="A136" s="39" t="str">
        <v>ЩР-001</v>
      </c>
      <c r="B136" s="42">
        <v>12</v>
      </c>
      <c r="C136" s="42">
        <v>1</v>
      </c>
      <c r="D136" s="75" t="str">
        <v/>
      </c>
      <c r="E136" s="75" t="str">
        <v>авто</v>
      </c>
      <c r="F136" s="76">
        <v>30</v>
      </c>
      <c r="G136" s="47" t="str">
        <v>QFD5</v>
      </c>
      <c r="H136" s="47" t="str">
        <v>2P С16А 30мА</v>
      </c>
      <c r="I136" s="75" t="str">
        <v/>
      </c>
      <c r="J136" s="76" t="str">
        <v/>
      </c>
      <c r="K136" s="76" t="str">
        <v/>
      </c>
      <c r="L136" s="75" t="str">
        <v/>
      </c>
      <c r="M136" s="49" t="str">
        <v/>
      </c>
      <c r="N136" s="76" t="str">
        <v/>
      </c>
      <c r="O136" s="49" t="str">
        <v/>
      </c>
      <c r="P136" s="77" t="str">
        <v>XT5</v>
      </c>
      <c r="Q136" s="53" t="str">
        <v>ВВГнг(А)-LS (3х2,5) L=63-0,9%</v>
      </c>
      <c r="R136" s="54" t="str">
        <v>R.00.001Б.2</v>
      </c>
      <c r="S136" s="55" t="str">
        <v>Розеточная группа, пом. 001Б</v>
      </c>
      <c r="T136" s="56">
        <v>0.42</v>
      </c>
      <c r="U136" s="56">
        <v>1.92</v>
      </c>
      <c r="V136" s="42" t="str">
        <v>L2</v>
      </c>
      <c r="W136" s="57" t="str">
        <v>ok</v>
      </c>
      <c r="X136" s="58" t="str">
        <v/>
      </c>
      <c r="Y136" s="75" t="str">
        <v/>
      </c>
      <c r="Z136" s="59">
        <v>1.9143719452077064</v>
      </c>
      <c r="AA136" s="61">
        <v>16</v>
      </c>
      <c r="AB136" s="61">
        <v>25</v>
      </c>
      <c r="AC136" s="61" t="str">
        <v/>
      </c>
      <c r="AD136" s="62" t="str">
        <v>QFD5 → XT5</v>
      </c>
      <c r="AE136" s="62" t="str">
        <v/>
      </c>
      <c r="AF136" s="34">
        <v>5</v>
      </c>
      <c r="AG136" s="34" t="str">
        <v>QFD5</v>
      </c>
      <c r="AH136" s="34" t="str">
        <v/>
      </c>
      <c r="AI136" s="34" t="str">
        <v/>
      </c>
      <c r="AJ136" s="34" t="str">
        <v>QFD5</v>
      </c>
      <c r="AK136" s="34">
        <v>1</v>
      </c>
      <c r="AL136" s="34" t="str">
        <v>R</v>
      </c>
      <c r="AM136" s="34">
        <v>30</v>
      </c>
      <c r="AN136" s="34">
        <v>0</v>
      </c>
      <c r="AO136" s="34">
        <v>16</v>
      </c>
      <c r="AP136" s="34">
        <v>25</v>
      </c>
      <c r="AQ136" s="34">
        <v>16</v>
      </c>
      <c r="AR136" s="34">
        <v>1</v>
      </c>
      <c r="AS136" s="34">
        <v>1</v>
      </c>
      <c r="AT136" s="34" t="str">
        <v>2P</v>
      </c>
      <c r="AU136" s="34">
        <v>16</v>
      </c>
      <c r="AV136" s="34" t="str">
        <v/>
      </c>
      <c r="AW136" s="34" t="str">
        <v/>
      </c>
      <c r="AX136" s="34" t="str">
        <v/>
      </c>
      <c r="AY136" s="34">
        <v>1</v>
      </c>
      <c r="AZ136" s="34" t="str">
        <v/>
      </c>
      <c r="BA136" s="34">
        <v>0</v>
      </c>
      <c r="BB136" s="34">
        <v>16</v>
      </c>
      <c r="BD136" s="34">
        <v>1</v>
      </c>
      <c r="BE136" s="34">
        <v>0</v>
      </c>
      <c r="BF136" s="34">
        <v>1</v>
      </c>
      <c r="BG136" s="34" t="str">
        <v/>
      </c>
      <c r="BH136" s="34" t="str">
        <v/>
      </c>
      <c r="BI136" s="34" t="str">
        <v/>
      </c>
      <c r="BJ136" s="34" t="str">
        <v/>
      </c>
      <c r="BK136" s="34" t="str">
        <v>SOCKET</v>
      </c>
      <c r="BL136" s="34">
        <v>1</v>
      </c>
      <c r="BM136" s="34" t="str">
        <v/>
      </c>
      <c r="BN136" s="34" t="str">
        <v/>
      </c>
      <c r="BO136" s="34" t="str">
        <v/>
      </c>
      <c r="BP136" s="34" t="str">
        <v/>
      </c>
      <c r="BQ136" s="34" t="str">
        <v>3х2,5</v>
      </c>
      <c r="BR136" s="34" t="str">
        <v/>
      </c>
      <c r="BS136" s="34" t="str">
        <v/>
      </c>
      <c r="BT136" s="34" t="str">
        <v/>
      </c>
      <c r="BU136" s="34">
        <v>0</v>
      </c>
      <c r="BV136" s="34">
        <v>157</v>
      </c>
      <c r="BW136" s="34">
        <v>1</v>
      </c>
      <c r="BX136" s="34">
        <v>0</v>
      </c>
      <c r="BY136" s="34" t="str">
        <v>Розетка</v>
      </c>
      <c r="BZ136">
        <v>8</v>
      </c>
      <c r="CA136" t="str">
        <v>линии</v>
      </c>
    </row>
    <row r="137" spans="1:79" x14ac:dyDescent="0.3">
      <c r="A137" s="39" t="str">
        <v>ЩР-001</v>
      </c>
      <c r="B137" s="42">
        <v>13</v>
      </c>
      <c r="C137" s="42">
        <v>1</v>
      </c>
      <c r="D137" s="75" t="str">
        <v/>
      </c>
      <c r="E137" s="75" t="str">
        <v>авто</v>
      </c>
      <c r="F137" s="76">
        <v>30</v>
      </c>
      <c r="G137" s="47" t="str">
        <v>QFD6</v>
      </c>
      <c r="H137" s="47" t="str">
        <v>2P С16А 30мА</v>
      </c>
      <c r="I137" s="75" t="str">
        <v/>
      </c>
      <c r="J137" s="76" t="str">
        <v/>
      </c>
      <c r="K137" s="76" t="str">
        <v/>
      </c>
      <c r="L137" s="75" t="str">
        <v/>
      </c>
      <c r="M137" s="49" t="str">
        <v/>
      </c>
      <c r="N137" s="76" t="str">
        <v/>
      </c>
      <c r="O137" s="49" t="str">
        <v/>
      </c>
      <c r="P137" s="77" t="str">
        <v>XT6</v>
      </c>
      <c r="Q137" s="53" t="str">
        <v>ВВГнг(А)-LS (3х2,5) L=62-0,64%</v>
      </c>
      <c r="R137" s="54" t="str">
        <v>R.00.005Т.1</v>
      </c>
      <c r="S137" s="55" t="str">
        <v>Розеточная группа, пом. 005Т</v>
      </c>
      <c r="T137" s="56">
        <v>0.3</v>
      </c>
      <c r="U137" s="56">
        <v>1.37</v>
      </c>
      <c r="V137" s="42" t="str">
        <v>L1</v>
      </c>
      <c r="W137" s="57" t="str">
        <v>ok</v>
      </c>
      <c r="X137" s="58" t="str">
        <v/>
      </c>
      <c r="Y137" s="75" t="str">
        <v/>
      </c>
      <c r="Z137" s="59">
        <v>1.3674085322912188</v>
      </c>
      <c r="AA137" s="61">
        <v>16</v>
      </c>
      <c r="AB137" s="61">
        <v>25</v>
      </c>
      <c r="AC137" s="61" t="str">
        <v/>
      </c>
      <c r="AD137" s="62" t="str">
        <v>QFD6 → XT6</v>
      </c>
      <c r="AE137" s="62" t="str">
        <v/>
      </c>
      <c r="AF137" s="34">
        <v>6</v>
      </c>
      <c r="AG137" s="34" t="str">
        <v>QFD6</v>
      </c>
      <c r="AH137" s="34" t="str">
        <v/>
      </c>
      <c r="AI137" s="34" t="str">
        <v/>
      </c>
      <c r="AJ137" s="34" t="str">
        <v>QFD6</v>
      </c>
      <c r="AK137" s="34">
        <v>1</v>
      </c>
      <c r="AL137" s="34" t="str">
        <v>R</v>
      </c>
      <c r="AM137" s="34">
        <v>30</v>
      </c>
      <c r="AN137" s="34">
        <v>0</v>
      </c>
      <c r="AO137" s="34">
        <v>16</v>
      </c>
      <c r="AP137" s="34">
        <v>25</v>
      </c>
      <c r="AQ137" s="34">
        <v>16</v>
      </c>
      <c r="AR137" s="34">
        <v>1</v>
      </c>
      <c r="AS137" s="34">
        <v>1</v>
      </c>
      <c r="AT137" s="34" t="str">
        <v>2P</v>
      </c>
      <c r="AU137" s="34">
        <v>16</v>
      </c>
      <c r="AV137" s="34" t="str">
        <v/>
      </c>
      <c r="AW137" s="34" t="str">
        <v/>
      </c>
      <c r="AX137" s="34" t="str">
        <v/>
      </c>
      <c r="AY137" s="34">
        <v>1</v>
      </c>
      <c r="AZ137" s="34" t="str">
        <v/>
      </c>
      <c r="BA137" s="34">
        <v>0</v>
      </c>
      <c r="BB137" s="34">
        <v>16</v>
      </c>
      <c r="BD137" s="34">
        <v>1</v>
      </c>
      <c r="BE137" s="34">
        <v>0</v>
      </c>
      <c r="BF137" s="34">
        <v>1</v>
      </c>
      <c r="BG137" s="34" t="str">
        <v/>
      </c>
      <c r="BH137" s="34" t="str">
        <v/>
      </c>
      <c r="BI137" s="34" t="str">
        <v/>
      </c>
      <c r="BJ137" s="34" t="str">
        <v/>
      </c>
      <c r="BK137" s="34" t="str">
        <v>SOCKET</v>
      </c>
      <c r="BL137" s="34">
        <v>1</v>
      </c>
      <c r="BM137" s="34" t="str">
        <v/>
      </c>
      <c r="BN137" s="34" t="str">
        <v/>
      </c>
      <c r="BO137" s="34" t="str">
        <v/>
      </c>
      <c r="BP137" s="34" t="str">
        <v/>
      </c>
      <c r="BQ137" s="34" t="str">
        <v>3х2,5</v>
      </c>
      <c r="BR137" s="34" t="str">
        <v/>
      </c>
      <c r="BS137" s="34" t="str">
        <v/>
      </c>
      <c r="BT137" s="34" t="str">
        <v/>
      </c>
      <c r="BU137" s="34">
        <v>0</v>
      </c>
      <c r="BV137" s="34">
        <v>158</v>
      </c>
      <c r="BW137" s="34">
        <v>1</v>
      </c>
      <c r="BX137" s="34">
        <v>0</v>
      </c>
      <c r="BY137" s="34" t="str">
        <v>Розетка</v>
      </c>
      <c r="BZ137">
        <v>8</v>
      </c>
      <c r="CA137" t="str">
        <v>линии</v>
      </c>
    </row>
    <row r="138" spans="1:79" x14ac:dyDescent="0.3">
      <c r="A138" s="39" t="str">
        <v>ЩР-001</v>
      </c>
      <c r="B138" s="42">
        <v>14</v>
      </c>
      <c r="C138" s="42">
        <v>1</v>
      </c>
      <c r="D138" s="75" t="str">
        <v/>
      </c>
      <c r="E138" s="75" t="str">
        <v>авто</v>
      </c>
      <c r="F138" s="76">
        <v>30</v>
      </c>
      <c r="G138" s="47" t="str">
        <v>QFD7</v>
      </c>
      <c r="H138" s="47" t="str">
        <v>2P С16А 30мА</v>
      </c>
      <c r="I138" s="75" t="str">
        <v/>
      </c>
      <c r="J138" s="76" t="str">
        <v/>
      </c>
      <c r="K138" s="76" t="str">
        <v/>
      </c>
      <c r="L138" s="75" t="str">
        <v/>
      </c>
      <c r="M138" s="49" t="str">
        <v/>
      </c>
      <c r="N138" s="76" t="str">
        <v/>
      </c>
      <c r="O138" s="49" t="str">
        <v/>
      </c>
      <c r="P138" s="77" t="str">
        <v>XT7</v>
      </c>
      <c r="Q138" s="53" t="str">
        <v>ВВГнг(А)-LS (3х2,5) L=31-0,19%</v>
      </c>
      <c r="R138" s="54" t="str">
        <v>R.00.002Т.1</v>
      </c>
      <c r="S138" s="55" t="str">
        <v>Розеточная группа, пом. 002Т</v>
      </c>
      <c r="T138" s="56">
        <v>0.18</v>
      </c>
      <c r="U138" s="56">
        <v>0.83</v>
      </c>
      <c r="V138" s="42" t="str">
        <v>L1</v>
      </c>
      <c r="W138" s="57" t="str">
        <v>ok</v>
      </c>
      <c r="X138" s="58" t="str">
        <v/>
      </c>
      <c r="Y138" s="75" t="str">
        <v/>
      </c>
      <c r="Z138" s="59">
        <v>0.8204451193747313</v>
      </c>
      <c r="AA138" s="61">
        <v>16</v>
      </c>
      <c r="AB138" s="61">
        <v>25</v>
      </c>
      <c r="AC138" s="61" t="str">
        <v/>
      </c>
      <c r="AD138" s="62" t="str">
        <v>QFD7 → XT7</v>
      </c>
      <c r="AE138" s="62" t="str">
        <v/>
      </c>
      <c r="AF138" s="34">
        <v>7</v>
      </c>
      <c r="AG138" s="34" t="str">
        <v>QFD7</v>
      </c>
      <c r="AH138" s="34" t="str">
        <v/>
      </c>
      <c r="AI138" s="34" t="str">
        <v/>
      </c>
      <c r="AJ138" s="34" t="str">
        <v>QFD7</v>
      </c>
      <c r="AK138" s="34">
        <v>1</v>
      </c>
      <c r="AL138" s="34" t="str">
        <v>R</v>
      </c>
      <c r="AM138" s="34">
        <v>30</v>
      </c>
      <c r="AN138" s="34">
        <v>0</v>
      </c>
      <c r="AO138" s="34">
        <v>16</v>
      </c>
      <c r="AP138" s="34">
        <v>25</v>
      </c>
      <c r="AQ138" s="34">
        <v>16</v>
      </c>
      <c r="AR138" s="34">
        <v>1</v>
      </c>
      <c r="AS138" s="34">
        <v>1</v>
      </c>
      <c r="AT138" s="34" t="str">
        <v>2P</v>
      </c>
      <c r="AU138" s="34">
        <v>16</v>
      </c>
      <c r="AV138" s="34" t="str">
        <v/>
      </c>
      <c r="AW138" s="34" t="str">
        <v/>
      </c>
      <c r="AX138" s="34" t="str">
        <v/>
      </c>
      <c r="AY138" s="34">
        <v>1</v>
      </c>
      <c r="AZ138" s="34" t="str">
        <v/>
      </c>
      <c r="BA138" s="34">
        <v>0</v>
      </c>
      <c r="BB138" s="34">
        <v>16</v>
      </c>
      <c r="BD138" s="34">
        <v>1</v>
      </c>
      <c r="BE138" s="34">
        <v>0</v>
      </c>
      <c r="BF138" s="34">
        <v>1</v>
      </c>
      <c r="BG138" s="34" t="str">
        <v/>
      </c>
      <c r="BH138" s="34" t="str">
        <v/>
      </c>
      <c r="BI138" s="34" t="str">
        <v/>
      </c>
      <c r="BJ138" s="34" t="str">
        <v/>
      </c>
      <c r="BK138" s="34" t="str">
        <v>SOCKET</v>
      </c>
      <c r="BL138" s="34">
        <v>1</v>
      </c>
      <c r="BM138" s="34" t="str">
        <v/>
      </c>
      <c r="BN138" s="34" t="str">
        <v/>
      </c>
      <c r="BO138" s="34" t="str">
        <v/>
      </c>
      <c r="BP138" s="34" t="str">
        <v/>
      </c>
      <c r="BQ138" s="34" t="str">
        <v>3х2,5</v>
      </c>
      <c r="BR138" s="34" t="str">
        <v/>
      </c>
      <c r="BS138" s="34" t="str">
        <v/>
      </c>
      <c r="BT138" s="34" t="str">
        <v/>
      </c>
      <c r="BU138" s="34">
        <v>0</v>
      </c>
      <c r="BV138" s="34">
        <v>159</v>
      </c>
      <c r="BW138" s="34">
        <v>1</v>
      </c>
      <c r="BX138" s="34">
        <v>0</v>
      </c>
      <c r="BY138" s="34" t="str">
        <v>Розетка</v>
      </c>
      <c r="BZ138">
        <v>8</v>
      </c>
      <c r="CA138" t="str">
        <v>линии</v>
      </c>
    </row>
    <row r="139" spans="1:79" x14ac:dyDescent="0.3">
      <c r="A139" s="39" t="str">
        <v>ЩР-001</v>
      </c>
      <c r="B139" s="42">
        <v>15</v>
      </c>
      <c r="C139" s="42">
        <v>1</v>
      </c>
      <c r="D139" s="75" t="str">
        <v/>
      </c>
      <c r="E139" s="75" t="str">
        <v>авто</v>
      </c>
      <c r="F139" s="76">
        <v>30</v>
      </c>
      <c r="G139" s="47" t="str">
        <v>QFD8</v>
      </c>
      <c r="H139" s="47" t="str">
        <v>2P С16А 30мА</v>
      </c>
      <c r="I139" s="75" t="str">
        <v/>
      </c>
      <c r="J139" s="76" t="str">
        <v/>
      </c>
      <c r="K139" s="76" t="str">
        <v/>
      </c>
      <c r="L139" s="75" t="str">
        <v/>
      </c>
      <c r="M139" s="49" t="str">
        <v/>
      </c>
      <c r="N139" s="76" t="str">
        <v/>
      </c>
      <c r="O139" s="49" t="str">
        <v/>
      </c>
      <c r="P139" s="77" t="str">
        <v>XT8</v>
      </c>
      <c r="Q139" s="53" t="str">
        <v>ВВГнг(А)-LS (3х2,5) L=95-1,16%</v>
      </c>
      <c r="R139" s="54" t="str">
        <v>R.00.001А.1</v>
      </c>
      <c r="S139" s="55" t="str">
        <v>Розеточная группа, пом. 001А</v>
      </c>
      <c r="T139" s="56">
        <v>0.36</v>
      </c>
      <c r="U139" s="56">
        <v>1.65</v>
      </c>
      <c r="V139" s="42" t="str">
        <v>L1</v>
      </c>
      <c r="W139" s="57" t="str">
        <v>ok</v>
      </c>
      <c r="X139" s="58" t="str">
        <v/>
      </c>
      <c r="Y139" s="75" t="str">
        <v/>
      </c>
      <c r="Z139" s="59">
        <v>1.6408902387494626</v>
      </c>
      <c r="AA139" s="61">
        <v>16</v>
      </c>
      <c r="AB139" s="61">
        <v>25</v>
      </c>
      <c r="AC139" s="61" t="str">
        <v/>
      </c>
      <c r="AD139" s="62" t="str">
        <v>QFD8 → XT8</v>
      </c>
      <c r="AE139" s="62" t="str">
        <v/>
      </c>
      <c r="AF139" s="34">
        <v>8</v>
      </c>
      <c r="AG139" s="34" t="str">
        <v>QFD8</v>
      </c>
      <c r="AH139" s="34" t="str">
        <v/>
      </c>
      <c r="AI139" s="34" t="str">
        <v/>
      </c>
      <c r="AJ139" s="34" t="str">
        <v>QFD8</v>
      </c>
      <c r="AK139" s="34">
        <v>1</v>
      </c>
      <c r="AL139" s="34" t="str">
        <v>R</v>
      </c>
      <c r="AM139" s="34">
        <v>30</v>
      </c>
      <c r="AN139" s="34">
        <v>0</v>
      </c>
      <c r="AO139" s="34">
        <v>16</v>
      </c>
      <c r="AP139" s="34">
        <v>25</v>
      </c>
      <c r="AQ139" s="34">
        <v>16</v>
      </c>
      <c r="AR139" s="34">
        <v>1</v>
      </c>
      <c r="AS139" s="34">
        <v>1</v>
      </c>
      <c r="AT139" s="34" t="str">
        <v>2P</v>
      </c>
      <c r="AU139" s="34">
        <v>16</v>
      </c>
      <c r="AV139" s="34" t="str">
        <v/>
      </c>
      <c r="AW139" s="34" t="str">
        <v/>
      </c>
      <c r="AX139" s="34" t="str">
        <v/>
      </c>
      <c r="AY139" s="34">
        <v>1</v>
      </c>
      <c r="AZ139" s="34" t="str">
        <v/>
      </c>
      <c r="BA139" s="34">
        <v>0</v>
      </c>
      <c r="BB139" s="34">
        <v>16</v>
      </c>
      <c r="BD139" s="34">
        <v>1</v>
      </c>
      <c r="BE139" s="34">
        <v>0</v>
      </c>
      <c r="BF139" s="34">
        <v>1</v>
      </c>
      <c r="BG139" s="34" t="str">
        <v/>
      </c>
      <c r="BH139" s="34" t="str">
        <v/>
      </c>
      <c r="BI139" s="34" t="str">
        <v/>
      </c>
      <c r="BJ139" s="34" t="str">
        <v/>
      </c>
      <c r="BK139" s="34" t="str">
        <v>SOCKET</v>
      </c>
      <c r="BL139" s="34">
        <v>1</v>
      </c>
      <c r="BM139" s="34" t="str">
        <v/>
      </c>
      <c r="BN139" s="34" t="str">
        <v/>
      </c>
      <c r="BO139" s="34" t="str">
        <v/>
      </c>
      <c r="BP139" s="34" t="str">
        <v/>
      </c>
      <c r="BQ139" s="34" t="str">
        <v>3х2,5</v>
      </c>
      <c r="BR139" s="34" t="str">
        <v/>
      </c>
      <c r="BS139" s="34" t="str">
        <v/>
      </c>
      <c r="BT139" s="34" t="str">
        <v/>
      </c>
      <c r="BU139" s="34">
        <v>0</v>
      </c>
      <c r="BV139" s="34">
        <v>160</v>
      </c>
      <c r="BW139" s="34">
        <v>1</v>
      </c>
      <c r="BX139" s="34">
        <v>0</v>
      </c>
      <c r="BY139" s="34" t="str">
        <v>Розетка</v>
      </c>
      <c r="BZ139">
        <v>8</v>
      </c>
      <c r="CA139" t="str">
        <v>линии</v>
      </c>
    </row>
    <row r="140" spans="1:79" x14ac:dyDescent="0.3">
      <c r="A140" s="39" t="str">
        <v>ЩР-001</v>
      </c>
      <c r="B140" s="42">
        <v>16</v>
      </c>
      <c r="C140" s="42">
        <v>1</v>
      </c>
      <c r="D140" s="75" t="str">
        <v/>
      </c>
      <c r="E140" s="75" t="str">
        <v>авто</v>
      </c>
      <c r="F140" s="76">
        <v>30</v>
      </c>
      <c r="G140" s="47" t="str">
        <v>QFD9</v>
      </c>
      <c r="H140" s="47" t="str">
        <v>2P С16А 30мА</v>
      </c>
      <c r="I140" s="75" t="str">
        <v/>
      </c>
      <c r="J140" s="76" t="str">
        <v/>
      </c>
      <c r="K140" s="76" t="str">
        <v/>
      </c>
      <c r="L140" s="75" t="str">
        <v/>
      </c>
      <c r="M140" s="49" t="str">
        <v/>
      </c>
      <c r="N140" s="76" t="str">
        <v/>
      </c>
      <c r="O140" s="49" t="str">
        <v/>
      </c>
      <c r="P140" s="77" t="str">
        <v>XT9</v>
      </c>
      <c r="Q140" s="53" t="str">
        <v>ВВГнг(А)-LS (3х2,5) L=48-0,3%</v>
      </c>
      <c r="R140" s="54" t="str">
        <v>R.00.005А.1</v>
      </c>
      <c r="S140" s="55" t="str">
        <v>Розеточная группа, пом. 005А</v>
      </c>
      <c r="T140" s="56">
        <v>0.18</v>
      </c>
      <c r="U140" s="56">
        <v>0.83</v>
      </c>
      <c r="V140" s="42" t="str">
        <v>L3</v>
      </c>
      <c r="W140" s="57" t="str">
        <v>ok</v>
      </c>
      <c r="X140" s="58" t="str">
        <v/>
      </c>
      <c r="Y140" s="75" t="str">
        <v/>
      </c>
      <c r="Z140" s="59">
        <v>0.8204451193747313</v>
      </c>
      <c r="AA140" s="61">
        <v>16</v>
      </c>
      <c r="AB140" s="61">
        <v>25</v>
      </c>
      <c r="AC140" s="61" t="str">
        <v/>
      </c>
      <c r="AD140" s="62" t="str">
        <v>QFD9 → XT9</v>
      </c>
      <c r="AE140" s="62" t="str">
        <v/>
      </c>
      <c r="AF140" s="34">
        <v>9</v>
      </c>
      <c r="AG140" s="34" t="str">
        <v>QFD9</v>
      </c>
      <c r="AH140" s="34" t="str">
        <v/>
      </c>
      <c r="AI140" s="34" t="str">
        <v/>
      </c>
      <c r="AJ140" s="34" t="str">
        <v>QFD9</v>
      </c>
      <c r="AK140" s="34">
        <v>1</v>
      </c>
      <c r="AL140" s="34" t="str">
        <v>R</v>
      </c>
      <c r="AM140" s="34">
        <v>30</v>
      </c>
      <c r="AN140" s="34">
        <v>0</v>
      </c>
      <c r="AO140" s="34">
        <v>16</v>
      </c>
      <c r="AP140" s="34">
        <v>25</v>
      </c>
      <c r="AQ140" s="34">
        <v>16</v>
      </c>
      <c r="AR140" s="34">
        <v>1</v>
      </c>
      <c r="AS140" s="34">
        <v>1</v>
      </c>
      <c r="AT140" s="34" t="str">
        <v>2P</v>
      </c>
      <c r="AU140" s="34">
        <v>16</v>
      </c>
      <c r="AV140" s="34" t="str">
        <v/>
      </c>
      <c r="AW140" s="34" t="str">
        <v/>
      </c>
      <c r="AX140" s="34" t="str">
        <v/>
      </c>
      <c r="AY140" s="34">
        <v>1</v>
      </c>
      <c r="AZ140" s="34" t="str">
        <v/>
      </c>
      <c r="BA140" s="34">
        <v>0</v>
      </c>
      <c r="BB140" s="34">
        <v>16</v>
      </c>
      <c r="BD140" s="34">
        <v>1</v>
      </c>
      <c r="BE140" s="34">
        <v>0</v>
      </c>
      <c r="BF140" s="34">
        <v>1</v>
      </c>
      <c r="BG140" s="34" t="str">
        <v/>
      </c>
      <c r="BH140" s="34" t="str">
        <v/>
      </c>
      <c r="BI140" s="34" t="str">
        <v/>
      </c>
      <c r="BJ140" s="34" t="str">
        <v/>
      </c>
      <c r="BK140" s="34" t="str">
        <v>SOCKET</v>
      </c>
      <c r="BL140" s="34">
        <v>1</v>
      </c>
      <c r="BM140" s="34" t="str">
        <v/>
      </c>
      <c r="BN140" s="34" t="str">
        <v/>
      </c>
      <c r="BO140" s="34" t="str">
        <v/>
      </c>
      <c r="BP140" s="34" t="str">
        <v/>
      </c>
      <c r="BQ140" s="34" t="str">
        <v>3х2,5</v>
      </c>
      <c r="BR140" s="34" t="str">
        <v/>
      </c>
      <c r="BS140" s="34" t="str">
        <v/>
      </c>
      <c r="BT140" s="34" t="str">
        <v/>
      </c>
      <c r="BU140" s="34">
        <v>0</v>
      </c>
      <c r="BV140" s="34">
        <v>161</v>
      </c>
      <c r="BW140" s="34">
        <v>1</v>
      </c>
      <c r="BX140" s="34">
        <v>0</v>
      </c>
      <c r="BY140" s="34" t="str">
        <v>Розетка</v>
      </c>
      <c r="BZ140">
        <v>8</v>
      </c>
      <c r="CA140" t="str">
        <v>линии</v>
      </c>
    </row>
    <row r="141" spans="1:79" x14ac:dyDescent="0.3">
      <c r="A141" s="39" t="str">
        <v>ЩР-001</v>
      </c>
      <c r="B141" s="42">
        <v>19</v>
      </c>
      <c r="C141" s="42">
        <v>2</v>
      </c>
      <c r="D141" s="75" t="str">
        <v/>
      </c>
      <c r="E141" s="75" t="str">
        <v>авто</v>
      </c>
      <c r="F141" s="76">
        <v>30</v>
      </c>
      <c r="G141" s="47" t="str">
        <v>QFD10</v>
      </c>
      <c r="H141" s="47" t="str">
        <v>2P С16А 30мА</v>
      </c>
      <c r="I141" s="75" t="str">
        <v/>
      </c>
      <c r="J141" s="76" t="str">
        <v/>
      </c>
      <c r="K141" s="76" t="str">
        <v/>
      </c>
      <c r="L141" s="75" t="str">
        <v/>
      </c>
      <c r="M141" s="49" t="str">
        <v/>
      </c>
      <c r="N141" s="76" t="str">
        <v/>
      </c>
      <c r="O141" s="49" t="str">
        <v/>
      </c>
      <c r="P141" s="77" t="str">
        <v/>
      </c>
      <c r="Q141" s="53" t="str">
        <v>ВВГнг(А)-LS (3х2,5) L=83-1,02%</v>
      </c>
      <c r="R141" s="54" t="str">
        <v>R.00.004А.1</v>
      </c>
      <c r="S141" s="55" t="str">
        <v>Розеточная группа, пом. 004А</v>
      </c>
      <c r="T141" s="56">
        <v>0.36</v>
      </c>
      <c r="U141" s="56">
        <v>1.65</v>
      </c>
      <c r="V141" s="42" t="str">
        <v>L3</v>
      </c>
      <c r="W141" s="57" t="str">
        <v>ok</v>
      </c>
      <c r="X141" s="58" t="str">
        <v/>
      </c>
      <c r="Y141" s="75" t="str">
        <v/>
      </c>
      <c r="Z141" s="59">
        <v>1.6408902387494626</v>
      </c>
      <c r="AA141" s="61">
        <v>16</v>
      </c>
      <c r="AB141" s="61">
        <v>25</v>
      </c>
      <c r="AC141" s="61" t="str">
        <v/>
      </c>
      <c r="AD141" s="62" t="str">
        <v>QFD10</v>
      </c>
      <c r="AE141" s="62" t="str">
        <v/>
      </c>
      <c r="AF141" s="34">
        <v>10</v>
      </c>
      <c r="AG141" s="34" t="str">
        <v>QFD10</v>
      </c>
      <c r="AH141" s="34" t="str">
        <v/>
      </c>
      <c r="AI141" s="34" t="str">
        <v/>
      </c>
      <c r="AJ141" s="34" t="str">
        <v>QFD10</v>
      </c>
      <c r="AK141" s="34">
        <v>1</v>
      </c>
      <c r="AL141" s="34" t="str">
        <v>R</v>
      </c>
      <c r="AM141" s="34">
        <v>30</v>
      </c>
      <c r="AN141" s="34">
        <v>0</v>
      </c>
      <c r="AO141" s="34">
        <v>16</v>
      </c>
      <c r="AP141" s="34">
        <v>25</v>
      </c>
      <c r="AQ141" s="34">
        <v>16</v>
      </c>
      <c r="AR141" s="34">
        <v>1</v>
      </c>
      <c r="AS141" s="34">
        <v>1</v>
      </c>
      <c r="AT141" s="34" t="str">
        <v>2P</v>
      </c>
      <c r="AU141" s="34">
        <v>16</v>
      </c>
      <c r="AV141" s="34" t="str">
        <v/>
      </c>
      <c r="AW141" s="34" t="str">
        <v/>
      </c>
      <c r="AX141" s="34" t="str">
        <v/>
      </c>
      <c r="AY141" s="34">
        <v>1</v>
      </c>
      <c r="AZ141" s="34" t="str">
        <v/>
      </c>
      <c r="BA141" s="34">
        <v>0</v>
      </c>
      <c r="BB141" s="34">
        <v>16</v>
      </c>
      <c r="BD141" s="34">
        <v>1</v>
      </c>
      <c r="BE141" s="34">
        <v>0</v>
      </c>
      <c r="BF141" s="34">
        <v>1</v>
      </c>
      <c r="BG141" s="34" t="str">
        <v/>
      </c>
      <c r="BH141" s="34" t="str">
        <v/>
      </c>
      <c r="BI141" s="34" t="str">
        <v/>
      </c>
      <c r="BJ141" s="34" t="str">
        <v/>
      </c>
      <c r="BK141" s="34" t="str">
        <v>SOCKET</v>
      </c>
      <c r="BL141" s="34">
        <v>1</v>
      </c>
      <c r="BM141" s="34" t="str">
        <v/>
      </c>
      <c r="BN141" s="34" t="str">
        <v/>
      </c>
      <c r="BO141" s="34" t="str">
        <v/>
      </c>
      <c r="BP141" s="34" t="str">
        <v/>
      </c>
      <c r="BQ141" s="34" t="str">
        <v>3х2,5</v>
      </c>
      <c r="BR141" s="34" t="str">
        <v/>
      </c>
      <c r="BS141" s="34" t="str">
        <v/>
      </c>
      <c r="BT141" s="34" t="str">
        <v/>
      </c>
      <c r="BU141" s="34">
        <v>0</v>
      </c>
      <c r="BV141" s="34">
        <v>162</v>
      </c>
      <c r="BW141" s="34">
        <v>1</v>
      </c>
      <c r="BX141" s="34">
        <v>0</v>
      </c>
      <c r="BY141" s="34" t="str">
        <v>Розетка</v>
      </c>
      <c r="BZ141">
        <v>8</v>
      </c>
      <c r="CA141" t="str">
        <v>линии</v>
      </c>
    </row>
    <row r="142" spans="1:79" x14ac:dyDescent="0.3">
      <c r="A142" s="39" t="str">
        <v>ЩР-001</v>
      </c>
      <c r="B142" s="42">
        <v>20</v>
      </c>
      <c r="C142" s="42">
        <v>2</v>
      </c>
      <c r="D142" s="75" t="str">
        <v/>
      </c>
      <c r="E142" s="75" t="str">
        <v>авто</v>
      </c>
      <c r="F142" s="76">
        <v>30</v>
      </c>
      <c r="G142" s="47" t="str">
        <v>QFD11</v>
      </c>
      <c r="H142" s="47" t="str">
        <v>2P С16А 30мА</v>
      </c>
      <c r="I142" s="75" t="str">
        <v/>
      </c>
      <c r="J142" s="76" t="str">
        <v/>
      </c>
      <c r="K142" s="76" t="str">
        <v/>
      </c>
      <c r="L142" s="75" t="str">
        <v/>
      </c>
      <c r="M142" s="49" t="str">
        <v/>
      </c>
      <c r="N142" s="76" t="str">
        <v/>
      </c>
      <c r="O142" s="49" t="str">
        <v/>
      </c>
      <c r="P142" s="77" t="str">
        <v>XT11</v>
      </c>
      <c r="Q142" s="53" t="str">
        <v>ВВГнг(А)-LS (3х2,5) L=38-0,16%</v>
      </c>
      <c r="R142" s="54" t="str">
        <v>R.00.001А.2</v>
      </c>
      <c r="S142" s="55" t="str">
        <v>Розеточная группа, пом. 001А</v>
      </c>
      <c r="T142" s="56">
        <v>0.12</v>
      </c>
      <c r="U142" s="56">
        <v>0.55000000000000004</v>
      </c>
      <c r="V142" s="42" t="str">
        <v>L1</v>
      </c>
      <c r="W142" s="57" t="str">
        <v>ok</v>
      </c>
      <c r="X142" s="58" t="str">
        <v/>
      </c>
      <c r="Y142" s="75" t="str">
        <v/>
      </c>
      <c r="Z142" s="59">
        <v>0.54696341291648753</v>
      </c>
      <c r="AA142" s="61">
        <v>16</v>
      </c>
      <c r="AB142" s="61">
        <v>25</v>
      </c>
      <c r="AC142" s="61" t="str">
        <v/>
      </c>
      <c r="AD142" s="62" t="str">
        <v>QFD11 → XT11</v>
      </c>
      <c r="AE142" s="62" t="str">
        <v/>
      </c>
      <c r="AF142" s="34">
        <v>11</v>
      </c>
      <c r="AG142" s="34" t="str">
        <v>QFD11</v>
      </c>
      <c r="AH142" s="34" t="str">
        <v/>
      </c>
      <c r="AI142" s="34" t="str">
        <v/>
      </c>
      <c r="AJ142" s="34" t="str">
        <v>QFD11</v>
      </c>
      <c r="AK142" s="34">
        <v>1</v>
      </c>
      <c r="AL142" s="34" t="str">
        <v>R</v>
      </c>
      <c r="AM142" s="34">
        <v>30</v>
      </c>
      <c r="AN142" s="34">
        <v>0</v>
      </c>
      <c r="AO142" s="34">
        <v>16</v>
      </c>
      <c r="AP142" s="34">
        <v>25</v>
      </c>
      <c r="AQ142" s="34">
        <v>16</v>
      </c>
      <c r="AR142" s="34">
        <v>1</v>
      </c>
      <c r="AS142" s="34">
        <v>1</v>
      </c>
      <c r="AT142" s="34" t="str">
        <v>2P</v>
      </c>
      <c r="AU142" s="34">
        <v>16</v>
      </c>
      <c r="AV142" s="34" t="str">
        <v/>
      </c>
      <c r="AW142" s="34" t="str">
        <v/>
      </c>
      <c r="AX142" s="34" t="str">
        <v/>
      </c>
      <c r="AY142" s="34">
        <v>1</v>
      </c>
      <c r="AZ142" s="34" t="str">
        <v/>
      </c>
      <c r="BA142" s="34">
        <v>0</v>
      </c>
      <c r="BB142" s="34">
        <v>16</v>
      </c>
      <c r="BD142" s="34">
        <v>1</v>
      </c>
      <c r="BE142" s="34">
        <v>0</v>
      </c>
      <c r="BF142" s="34">
        <v>1</v>
      </c>
      <c r="BG142" s="34" t="str">
        <v/>
      </c>
      <c r="BH142" s="34" t="str">
        <v/>
      </c>
      <c r="BI142" s="34" t="str">
        <v/>
      </c>
      <c r="BJ142" s="34" t="str">
        <v/>
      </c>
      <c r="BK142" s="34" t="str">
        <v>SOCKET</v>
      </c>
      <c r="BL142" s="34">
        <v>1</v>
      </c>
      <c r="BM142" s="34" t="str">
        <v/>
      </c>
      <c r="BN142" s="34" t="str">
        <v/>
      </c>
      <c r="BO142" s="34" t="str">
        <v/>
      </c>
      <c r="BP142" s="34" t="str">
        <v/>
      </c>
      <c r="BQ142" s="34" t="str">
        <v>3х2,5</v>
      </c>
      <c r="BR142" s="34" t="str">
        <v/>
      </c>
      <c r="BS142" s="34" t="str">
        <v/>
      </c>
      <c r="BT142" s="34" t="str">
        <v/>
      </c>
      <c r="BU142" s="34">
        <v>0</v>
      </c>
      <c r="BV142" s="34">
        <v>163</v>
      </c>
      <c r="BW142" s="34">
        <v>1</v>
      </c>
      <c r="BX142" s="34">
        <v>0</v>
      </c>
      <c r="BY142" s="34" t="str">
        <v>Розетка</v>
      </c>
      <c r="BZ142">
        <v>8</v>
      </c>
      <c r="CA142" t="str">
        <v>линии</v>
      </c>
    </row>
    <row r="143" spans="1:79" x14ac:dyDescent="0.3">
      <c r="A143" s="39" t="str">
        <v>ЩР-001</v>
      </c>
      <c r="B143" s="42">
        <v>21</v>
      </c>
      <c r="C143" s="42">
        <v>2</v>
      </c>
      <c r="D143" s="75" t="str">
        <v/>
      </c>
      <c r="E143" s="75" t="str">
        <v>авто</v>
      </c>
      <c r="F143" s="76">
        <v>30</v>
      </c>
      <c r="G143" s="47" t="str">
        <v>QFD12</v>
      </c>
      <c r="H143" s="47" t="str">
        <v>2P С16А 30мА</v>
      </c>
      <c r="I143" s="75" t="str">
        <v/>
      </c>
      <c r="J143" s="76" t="str">
        <v/>
      </c>
      <c r="K143" s="76" t="str">
        <v/>
      </c>
      <c r="L143" s="75" t="str">
        <v/>
      </c>
      <c r="M143" s="49" t="str">
        <v/>
      </c>
      <c r="N143" s="76" t="str">
        <v/>
      </c>
      <c r="O143" s="49" t="str">
        <v/>
      </c>
      <c r="P143" s="77" t="str">
        <v/>
      </c>
      <c r="Q143" s="53" t="str">
        <v>ВВГнг(А)-LS (3х2,5) L=53-0,22%</v>
      </c>
      <c r="R143" s="54" t="str">
        <v>R.00.002.1А.1</v>
      </c>
      <c r="S143" s="55" t="str">
        <v>Розеточная группа, пом. 002</v>
      </c>
      <c r="T143" s="56">
        <v>0.12</v>
      </c>
      <c r="U143" s="56">
        <v>0.55000000000000004</v>
      </c>
      <c r="V143" s="42" t="str">
        <v>L2</v>
      </c>
      <c r="W143" s="57" t="str">
        <v>ok</v>
      </c>
      <c r="X143" s="58" t="str">
        <v/>
      </c>
      <c r="Y143" s="75" t="str">
        <v/>
      </c>
      <c r="Z143" s="59">
        <v>0.54696341291648753</v>
      </c>
      <c r="AA143" s="61">
        <v>16</v>
      </c>
      <c r="AB143" s="61">
        <v>25</v>
      </c>
      <c r="AC143" s="61" t="str">
        <v/>
      </c>
      <c r="AD143" s="62" t="str">
        <v>QFD12</v>
      </c>
      <c r="AE143" s="62" t="str">
        <v/>
      </c>
      <c r="AF143" s="34">
        <v>12</v>
      </c>
      <c r="AG143" s="34" t="str">
        <v>QFD12</v>
      </c>
      <c r="AH143" s="34" t="str">
        <v/>
      </c>
      <c r="AI143" s="34" t="str">
        <v/>
      </c>
      <c r="AJ143" s="34" t="str">
        <v>QFD12</v>
      </c>
      <c r="AK143" s="34">
        <v>1</v>
      </c>
      <c r="AL143" s="34" t="str">
        <v>R</v>
      </c>
      <c r="AM143" s="34">
        <v>30</v>
      </c>
      <c r="AN143" s="34">
        <v>0</v>
      </c>
      <c r="AO143" s="34">
        <v>16</v>
      </c>
      <c r="AP143" s="34">
        <v>25</v>
      </c>
      <c r="AQ143" s="34">
        <v>16</v>
      </c>
      <c r="AR143" s="34">
        <v>1</v>
      </c>
      <c r="AS143" s="34">
        <v>1</v>
      </c>
      <c r="AT143" s="34" t="str">
        <v>2P</v>
      </c>
      <c r="AU143" s="34">
        <v>16</v>
      </c>
      <c r="AV143" s="34" t="str">
        <v/>
      </c>
      <c r="AW143" s="34" t="str">
        <v/>
      </c>
      <c r="AX143" s="34" t="str">
        <v/>
      </c>
      <c r="AY143" s="34">
        <v>1</v>
      </c>
      <c r="AZ143" s="34" t="str">
        <v/>
      </c>
      <c r="BA143" s="34">
        <v>0</v>
      </c>
      <c r="BB143" s="34">
        <v>16</v>
      </c>
      <c r="BD143" s="34">
        <v>1</v>
      </c>
      <c r="BE143" s="34">
        <v>0</v>
      </c>
      <c r="BF143" s="34">
        <v>1</v>
      </c>
      <c r="BG143" s="34" t="str">
        <v/>
      </c>
      <c r="BH143" s="34" t="str">
        <v/>
      </c>
      <c r="BI143" s="34" t="str">
        <v/>
      </c>
      <c r="BJ143" s="34" t="str">
        <v/>
      </c>
      <c r="BK143" s="34" t="str">
        <v>SOCKET</v>
      </c>
      <c r="BL143" s="34">
        <v>1</v>
      </c>
      <c r="BM143" s="34" t="str">
        <v/>
      </c>
      <c r="BN143" s="34" t="str">
        <v/>
      </c>
      <c r="BO143" s="34" t="str">
        <v/>
      </c>
      <c r="BP143" s="34" t="str">
        <v/>
      </c>
      <c r="BQ143" s="34" t="str">
        <v>3х2,5</v>
      </c>
      <c r="BR143" s="34" t="str">
        <v/>
      </c>
      <c r="BS143" s="34" t="str">
        <v/>
      </c>
      <c r="BT143" s="34" t="str">
        <v/>
      </c>
      <c r="BU143" s="34">
        <v>0</v>
      </c>
      <c r="BV143" s="34">
        <v>164</v>
      </c>
      <c r="BW143" s="34">
        <v>1</v>
      </c>
      <c r="BX143" s="34">
        <v>0</v>
      </c>
      <c r="BY143" s="34" t="str">
        <v>Розетка</v>
      </c>
      <c r="BZ143">
        <v>8</v>
      </c>
      <c r="CA143" t="str">
        <v>линии</v>
      </c>
    </row>
    <row r="144" spans="1:79" x14ac:dyDescent="0.3">
      <c r="A144" s="39" t="str">
        <v>ЩР-001</v>
      </c>
      <c r="B144" s="42">
        <v>22</v>
      </c>
      <c r="C144" s="42">
        <v>2</v>
      </c>
      <c r="D144" s="75" t="str">
        <v/>
      </c>
      <c r="E144" s="75" t="str">
        <v>авто</v>
      </c>
      <c r="F144" s="76">
        <v>30</v>
      </c>
      <c r="G144" s="47" t="str">
        <v>QFD13</v>
      </c>
      <c r="H144" s="47" t="str">
        <v>2P С16А 30мА</v>
      </c>
      <c r="I144" s="75" t="str">
        <v/>
      </c>
      <c r="J144" s="76" t="str">
        <v/>
      </c>
      <c r="K144" s="76" t="str">
        <v/>
      </c>
      <c r="L144" s="75" t="str">
        <v/>
      </c>
      <c r="M144" s="49" t="str">
        <v/>
      </c>
      <c r="N144" s="76" t="str">
        <v/>
      </c>
      <c r="O144" s="49" t="str">
        <v/>
      </c>
      <c r="P144" s="77" t="str">
        <v/>
      </c>
      <c r="Q144" s="53" t="str">
        <v>ВВГнг(А)-LS (3х2,5) L=69-0,29%</v>
      </c>
      <c r="R144" s="54" t="str">
        <v>R.00.006T.1</v>
      </c>
      <c r="S144" s="55" t="str">
        <v>Розеточная группа, пом. 006T</v>
      </c>
      <c r="T144" s="56">
        <v>0.12</v>
      </c>
      <c r="U144" s="56">
        <v>0.55000000000000004</v>
      </c>
      <c r="V144" s="42" t="str">
        <v>L3</v>
      </c>
      <c r="W144" s="57" t="str">
        <v>ok</v>
      </c>
      <c r="X144" s="58" t="str">
        <v/>
      </c>
      <c r="Y144" s="75" t="str">
        <v/>
      </c>
      <c r="Z144" s="59">
        <v>0.54696341291648753</v>
      </c>
      <c r="AA144" s="61">
        <v>16</v>
      </c>
      <c r="AB144" s="61">
        <v>25</v>
      </c>
      <c r="AC144" s="61" t="str">
        <v/>
      </c>
      <c r="AD144" s="62" t="str">
        <v>QFD13</v>
      </c>
      <c r="AE144" s="62" t="str">
        <v/>
      </c>
      <c r="AF144" s="34">
        <v>13</v>
      </c>
      <c r="AG144" s="34" t="str">
        <v>QFD13</v>
      </c>
      <c r="AH144" s="34" t="str">
        <v/>
      </c>
      <c r="AI144" s="34" t="str">
        <v/>
      </c>
      <c r="AJ144" s="34" t="str">
        <v>QFD13</v>
      </c>
      <c r="AK144" s="34">
        <v>1</v>
      </c>
      <c r="AL144" s="34" t="str">
        <v>R</v>
      </c>
      <c r="AM144" s="34">
        <v>30</v>
      </c>
      <c r="AN144" s="34">
        <v>0</v>
      </c>
      <c r="AO144" s="34">
        <v>16</v>
      </c>
      <c r="AP144" s="34">
        <v>25</v>
      </c>
      <c r="AQ144" s="34">
        <v>16</v>
      </c>
      <c r="AR144" s="34">
        <v>1</v>
      </c>
      <c r="AS144" s="34">
        <v>1</v>
      </c>
      <c r="AT144" s="34" t="str">
        <v>2P</v>
      </c>
      <c r="AU144" s="34">
        <v>16</v>
      </c>
      <c r="AV144" s="34" t="str">
        <v/>
      </c>
      <c r="AW144" s="34" t="str">
        <v/>
      </c>
      <c r="AX144" s="34" t="str">
        <v/>
      </c>
      <c r="AY144" s="34">
        <v>1</v>
      </c>
      <c r="AZ144" s="34" t="str">
        <v/>
      </c>
      <c r="BA144" s="34">
        <v>0</v>
      </c>
      <c r="BB144" s="34">
        <v>16</v>
      </c>
      <c r="BD144" s="34">
        <v>1</v>
      </c>
      <c r="BE144" s="34">
        <v>0</v>
      </c>
      <c r="BF144" s="34">
        <v>1</v>
      </c>
      <c r="BG144" s="34" t="str">
        <v/>
      </c>
      <c r="BH144" s="34" t="str">
        <v/>
      </c>
      <c r="BI144" s="34" t="str">
        <v/>
      </c>
      <c r="BJ144" s="34" t="str">
        <v/>
      </c>
      <c r="BK144" s="34" t="str">
        <v>SOCKET</v>
      </c>
      <c r="BL144" s="34">
        <v>1</v>
      </c>
      <c r="BM144" s="34" t="str">
        <v/>
      </c>
      <c r="BN144" s="34" t="str">
        <v/>
      </c>
      <c r="BO144" s="34" t="str">
        <v/>
      </c>
      <c r="BP144" s="34" t="str">
        <v/>
      </c>
      <c r="BQ144" s="34" t="str">
        <v>3х2,5</v>
      </c>
      <c r="BR144" s="34" t="str">
        <v/>
      </c>
      <c r="BS144" s="34" t="str">
        <v/>
      </c>
      <c r="BT144" s="34" t="str">
        <v/>
      </c>
      <c r="BU144" s="34">
        <v>0</v>
      </c>
      <c r="BV144" s="34">
        <v>165</v>
      </c>
      <c r="BW144" s="34">
        <v>1</v>
      </c>
      <c r="BX144" s="34">
        <v>0</v>
      </c>
      <c r="BY144" s="34" t="str">
        <v>Розетка</v>
      </c>
      <c r="BZ144">
        <v>8</v>
      </c>
      <c r="CA144" t="str">
        <v>линии</v>
      </c>
    </row>
    <row r="145" spans="1:79" x14ac:dyDescent="0.3">
      <c r="A145" s="39" t="str">
        <v>ЩР-001</v>
      </c>
      <c r="B145" s="42">
        <v>23</v>
      </c>
      <c r="C145" s="42">
        <v>2</v>
      </c>
      <c r="D145" s="75" t="str">
        <v/>
      </c>
      <c r="E145" s="75" t="str">
        <v>авто</v>
      </c>
      <c r="F145" s="76">
        <v>30</v>
      </c>
      <c r="G145" s="47" t="str">
        <v>QFD14</v>
      </c>
      <c r="H145" s="47" t="str">
        <v>2P С16А 30мА</v>
      </c>
      <c r="I145" s="75" t="str">
        <v/>
      </c>
      <c r="J145" s="76" t="str">
        <v/>
      </c>
      <c r="K145" s="76" t="str">
        <v/>
      </c>
      <c r="L145" s="75" t="str">
        <v/>
      </c>
      <c r="M145" s="49" t="str">
        <v/>
      </c>
      <c r="N145" s="76" t="str">
        <v/>
      </c>
      <c r="O145" s="49" t="str">
        <v/>
      </c>
      <c r="P145" s="77" t="str">
        <v/>
      </c>
      <c r="Q145" s="53" t="str">
        <v>ВВГнг(А)-LS (3х2,5) L=26-0,06%</v>
      </c>
      <c r="R145" s="54" t="str">
        <v>R.00.007Т.1</v>
      </c>
      <c r="S145" s="55" t="str">
        <v>Розеточная группа, пом. 007Т</v>
      </c>
      <c r="T145" s="56">
        <v>0.06</v>
      </c>
      <c r="U145" s="56">
        <v>0.28000000000000003</v>
      </c>
      <c r="V145" s="42" t="str">
        <v>L3</v>
      </c>
      <c r="W145" s="57" t="str">
        <v>ok</v>
      </c>
      <c r="X145" s="58" t="str">
        <v/>
      </c>
      <c r="Y145" s="75" t="str">
        <v/>
      </c>
      <c r="Z145" s="59">
        <v>0.27348170645824377</v>
      </c>
      <c r="AA145" s="61">
        <v>16</v>
      </c>
      <c r="AB145" s="61">
        <v>25</v>
      </c>
      <c r="AC145" s="61" t="str">
        <v/>
      </c>
      <c r="AD145" s="62" t="str">
        <v>QFD14</v>
      </c>
      <c r="AE145" s="62" t="str">
        <v/>
      </c>
      <c r="AF145" s="34">
        <v>14</v>
      </c>
      <c r="AG145" s="34" t="str">
        <v>QFD14</v>
      </c>
      <c r="AH145" s="34" t="str">
        <v/>
      </c>
      <c r="AI145" s="34" t="str">
        <v/>
      </c>
      <c r="AJ145" s="34" t="str">
        <v>QFD14</v>
      </c>
      <c r="AK145" s="34">
        <v>1</v>
      </c>
      <c r="AL145" s="34" t="str">
        <v>R</v>
      </c>
      <c r="AM145" s="34">
        <v>30</v>
      </c>
      <c r="AN145" s="34">
        <v>0</v>
      </c>
      <c r="AO145" s="34">
        <v>16</v>
      </c>
      <c r="AP145" s="34">
        <v>25</v>
      </c>
      <c r="AQ145" s="34">
        <v>16</v>
      </c>
      <c r="AR145" s="34">
        <v>1</v>
      </c>
      <c r="AS145" s="34">
        <v>1</v>
      </c>
      <c r="AT145" s="34" t="str">
        <v>2P</v>
      </c>
      <c r="AU145" s="34">
        <v>16</v>
      </c>
      <c r="AV145" s="34" t="str">
        <v/>
      </c>
      <c r="AW145" s="34" t="str">
        <v/>
      </c>
      <c r="AX145" s="34" t="str">
        <v/>
      </c>
      <c r="AY145" s="34">
        <v>1</v>
      </c>
      <c r="AZ145" s="34" t="str">
        <v/>
      </c>
      <c r="BA145" s="34">
        <v>0</v>
      </c>
      <c r="BB145" s="34">
        <v>16</v>
      </c>
      <c r="BD145" s="34">
        <v>1</v>
      </c>
      <c r="BE145" s="34">
        <v>0</v>
      </c>
      <c r="BF145" s="34">
        <v>1</v>
      </c>
      <c r="BG145" s="34" t="str">
        <v/>
      </c>
      <c r="BH145" s="34" t="str">
        <v/>
      </c>
      <c r="BI145" s="34" t="str">
        <v/>
      </c>
      <c r="BJ145" s="34" t="str">
        <v/>
      </c>
      <c r="BK145" s="34" t="str">
        <v>SOCKET</v>
      </c>
      <c r="BL145" s="34">
        <v>1</v>
      </c>
      <c r="BM145" s="34" t="str">
        <v/>
      </c>
      <c r="BN145" s="34" t="str">
        <v/>
      </c>
      <c r="BO145" s="34" t="str">
        <v/>
      </c>
      <c r="BP145" s="34" t="str">
        <v/>
      </c>
      <c r="BQ145" s="34" t="str">
        <v>3х2,5</v>
      </c>
      <c r="BR145" s="34" t="str">
        <v/>
      </c>
      <c r="BS145" s="34" t="str">
        <v/>
      </c>
      <c r="BT145" s="34" t="str">
        <v/>
      </c>
      <c r="BU145" s="34">
        <v>0</v>
      </c>
      <c r="BV145" s="34">
        <v>166</v>
      </c>
      <c r="BW145" s="34">
        <v>1</v>
      </c>
      <c r="BX145" s="34">
        <v>0</v>
      </c>
      <c r="BY145" s="34" t="str">
        <v>Розетка</v>
      </c>
      <c r="BZ145">
        <v>8</v>
      </c>
      <c r="CA145" t="str">
        <v>линии</v>
      </c>
    </row>
    <row r="146" spans="1:79" x14ac:dyDescent="0.3">
      <c r="A146" s="39" t="str">
        <v>ЩР-001</v>
      </c>
      <c r="B146" s="42">
        <v>24</v>
      </c>
      <c r="C146" s="42">
        <v>2</v>
      </c>
      <c r="D146" s="75" t="str">
        <v/>
      </c>
      <c r="E146" s="75" t="str">
        <v>авто</v>
      </c>
      <c r="F146" s="76">
        <v>30</v>
      </c>
      <c r="G146" s="47" t="str">
        <v>QFD15</v>
      </c>
      <c r="H146" s="47" t="str">
        <v>2P С16А 30мА</v>
      </c>
      <c r="I146" s="75" t="str">
        <v/>
      </c>
      <c r="J146" s="76" t="str">
        <v/>
      </c>
      <c r="K146" s="76" t="str">
        <v/>
      </c>
      <c r="L146" s="75" t="str">
        <v/>
      </c>
      <c r="M146" s="49" t="str">
        <v/>
      </c>
      <c r="N146" s="76" t="str">
        <v/>
      </c>
      <c r="O146" s="49" t="str">
        <v/>
      </c>
      <c r="P146" s="77" t="str">
        <v/>
      </c>
      <c r="Q146" s="53" t="str">
        <v>ВВГнг(А)-LS (3х2,5) L=35-0,15%</v>
      </c>
      <c r="R146" s="54" t="str">
        <v>R.00.008T.1</v>
      </c>
      <c r="S146" s="55" t="str">
        <v>Розеточная группа, пом. 008T</v>
      </c>
      <c r="T146" s="56">
        <v>0.12</v>
      </c>
      <c r="U146" s="56">
        <v>0.55000000000000004</v>
      </c>
      <c r="V146" s="42" t="str">
        <v>L1</v>
      </c>
      <c r="W146" s="57" t="str">
        <v>ok</v>
      </c>
      <c r="X146" s="58" t="str">
        <v/>
      </c>
      <c r="Y146" s="75" t="str">
        <v/>
      </c>
      <c r="Z146" s="59">
        <v>0.54696341291648753</v>
      </c>
      <c r="AA146" s="61">
        <v>16</v>
      </c>
      <c r="AB146" s="61">
        <v>25</v>
      </c>
      <c r="AC146" s="61" t="str">
        <v/>
      </c>
      <c r="AD146" s="62" t="str">
        <v>QFD15</v>
      </c>
      <c r="AE146" s="62" t="str">
        <v/>
      </c>
      <c r="AF146" s="34">
        <v>15</v>
      </c>
      <c r="AG146" s="34" t="str">
        <v>QFD15</v>
      </c>
      <c r="AH146" s="34" t="str">
        <v/>
      </c>
      <c r="AI146" s="34" t="str">
        <v/>
      </c>
      <c r="AJ146" s="34" t="str">
        <v>QFD15</v>
      </c>
      <c r="AK146" s="34">
        <v>1</v>
      </c>
      <c r="AL146" s="34" t="str">
        <v>R</v>
      </c>
      <c r="AM146" s="34">
        <v>30</v>
      </c>
      <c r="AN146" s="34">
        <v>0</v>
      </c>
      <c r="AO146" s="34">
        <v>16</v>
      </c>
      <c r="AP146" s="34">
        <v>25</v>
      </c>
      <c r="AQ146" s="34">
        <v>16</v>
      </c>
      <c r="AR146" s="34">
        <v>1</v>
      </c>
      <c r="AS146" s="34">
        <v>1</v>
      </c>
      <c r="AT146" s="34" t="str">
        <v>2P</v>
      </c>
      <c r="AU146" s="34">
        <v>16</v>
      </c>
      <c r="AV146" s="34" t="str">
        <v/>
      </c>
      <c r="AW146" s="34" t="str">
        <v/>
      </c>
      <c r="AX146" s="34" t="str">
        <v/>
      </c>
      <c r="AY146" s="34">
        <v>1</v>
      </c>
      <c r="AZ146" s="34" t="str">
        <v/>
      </c>
      <c r="BA146" s="34">
        <v>0</v>
      </c>
      <c r="BB146" s="34">
        <v>16</v>
      </c>
      <c r="BD146" s="34">
        <v>1</v>
      </c>
      <c r="BE146" s="34">
        <v>0</v>
      </c>
      <c r="BF146" s="34">
        <v>1</v>
      </c>
      <c r="BG146" s="34" t="str">
        <v/>
      </c>
      <c r="BH146" s="34" t="str">
        <v/>
      </c>
      <c r="BI146" s="34" t="str">
        <v/>
      </c>
      <c r="BJ146" s="34" t="str">
        <v/>
      </c>
      <c r="BK146" s="34" t="str">
        <v>SOCKET</v>
      </c>
      <c r="BL146" s="34">
        <v>1</v>
      </c>
      <c r="BM146" s="34" t="str">
        <v/>
      </c>
      <c r="BN146" s="34" t="str">
        <v/>
      </c>
      <c r="BO146" s="34" t="str">
        <v/>
      </c>
      <c r="BP146" s="34" t="str">
        <v/>
      </c>
      <c r="BQ146" s="34" t="str">
        <v>3х2,5</v>
      </c>
      <c r="BR146" s="34" t="str">
        <v/>
      </c>
      <c r="BS146" s="34" t="str">
        <v/>
      </c>
      <c r="BT146" s="34" t="str">
        <v/>
      </c>
      <c r="BU146" s="34">
        <v>0</v>
      </c>
      <c r="BV146" s="34">
        <v>167</v>
      </c>
      <c r="BW146" s="34">
        <v>1</v>
      </c>
      <c r="BX146" s="34">
        <v>0</v>
      </c>
      <c r="BY146" s="34" t="str">
        <v>Розетка</v>
      </c>
      <c r="BZ146">
        <v>8</v>
      </c>
      <c r="CA146" t="str">
        <v>линии</v>
      </c>
    </row>
    <row r="147" spans="1:79" x14ac:dyDescent="0.3">
      <c r="A147" s="39" t="str">
        <v>ЩР-001</v>
      </c>
      <c r="B147" s="42">
        <v>25</v>
      </c>
      <c r="C147" s="42">
        <v>2</v>
      </c>
      <c r="D147" s="75" t="str">
        <v/>
      </c>
      <c r="E147" s="75" t="str">
        <v>авто</v>
      </c>
      <c r="F147" s="76">
        <v>30</v>
      </c>
      <c r="G147" s="47" t="str">
        <v>QFD16</v>
      </c>
      <c r="H147" s="47" t="str">
        <v>2P С16А 30мА</v>
      </c>
      <c r="I147" s="75" t="str">
        <v/>
      </c>
      <c r="J147" s="76" t="str">
        <v/>
      </c>
      <c r="K147" s="76" t="str">
        <v/>
      </c>
      <c r="L147" s="75" t="str">
        <v/>
      </c>
      <c r="M147" s="49" t="str">
        <v/>
      </c>
      <c r="N147" s="76" t="str">
        <v/>
      </c>
      <c r="O147" s="49" t="str">
        <v/>
      </c>
      <c r="P147" s="77" t="str">
        <v/>
      </c>
      <c r="Q147" s="53" t="str">
        <v>ВВГнг(А)-LS (3х2,5) L=31-0,07%</v>
      </c>
      <c r="R147" s="54" t="str">
        <v>R.00.002Tб.1</v>
      </c>
      <c r="S147" s="55" t="str">
        <v>Розеточная группа, пом. 002Tб</v>
      </c>
      <c r="T147" s="56">
        <v>0.06</v>
      </c>
      <c r="U147" s="56">
        <v>0.28000000000000003</v>
      </c>
      <c r="V147" s="42" t="str">
        <v>L1</v>
      </c>
      <c r="W147" s="57" t="str">
        <v>ok</v>
      </c>
      <c r="X147" s="58" t="str">
        <v/>
      </c>
      <c r="Y147" s="75" t="str">
        <v/>
      </c>
      <c r="Z147" s="59">
        <v>0.27348170645824377</v>
      </c>
      <c r="AA147" s="61">
        <v>16</v>
      </c>
      <c r="AB147" s="61">
        <v>25</v>
      </c>
      <c r="AC147" s="61" t="str">
        <v/>
      </c>
      <c r="AD147" s="62" t="str">
        <v>QFD16</v>
      </c>
      <c r="AE147" s="62" t="str">
        <v/>
      </c>
      <c r="AF147" s="34">
        <v>16</v>
      </c>
      <c r="AG147" s="34" t="str">
        <v>QFD16</v>
      </c>
      <c r="AH147" s="34" t="str">
        <v/>
      </c>
      <c r="AI147" s="34" t="str">
        <v/>
      </c>
      <c r="AJ147" s="34" t="str">
        <v>QFD16</v>
      </c>
      <c r="AK147" s="34">
        <v>1</v>
      </c>
      <c r="AL147" s="34" t="str">
        <v>R</v>
      </c>
      <c r="AM147" s="34">
        <v>30</v>
      </c>
      <c r="AN147" s="34">
        <v>0</v>
      </c>
      <c r="AO147" s="34">
        <v>16</v>
      </c>
      <c r="AP147" s="34">
        <v>25</v>
      </c>
      <c r="AQ147" s="34">
        <v>16</v>
      </c>
      <c r="AR147" s="34">
        <v>1</v>
      </c>
      <c r="AS147" s="34">
        <v>1</v>
      </c>
      <c r="AT147" s="34" t="str">
        <v>2P</v>
      </c>
      <c r="AU147" s="34">
        <v>16</v>
      </c>
      <c r="AV147" s="34" t="str">
        <v/>
      </c>
      <c r="AW147" s="34" t="str">
        <v/>
      </c>
      <c r="AX147" s="34" t="str">
        <v/>
      </c>
      <c r="AY147" s="34">
        <v>1</v>
      </c>
      <c r="AZ147" s="34" t="str">
        <v/>
      </c>
      <c r="BA147" s="34">
        <v>0</v>
      </c>
      <c r="BB147" s="34">
        <v>16</v>
      </c>
      <c r="BD147" s="34">
        <v>1</v>
      </c>
      <c r="BE147" s="34">
        <v>0</v>
      </c>
      <c r="BF147" s="34">
        <v>1</v>
      </c>
      <c r="BG147" s="34" t="str">
        <v/>
      </c>
      <c r="BH147" s="34" t="str">
        <v/>
      </c>
      <c r="BI147" s="34" t="str">
        <v/>
      </c>
      <c r="BJ147" s="34" t="str">
        <v/>
      </c>
      <c r="BK147" s="34" t="str">
        <v>SOCKET</v>
      </c>
      <c r="BL147" s="34">
        <v>1</v>
      </c>
      <c r="BM147" s="34" t="str">
        <v/>
      </c>
      <c r="BN147" s="34" t="str">
        <v/>
      </c>
      <c r="BO147" s="34" t="str">
        <v/>
      </c>
      <c r="BP147" s="34" t="str">
        <v/>
      </c>
      <c r="BQ147" s="34" t="str">
        <v>3х2,5</v>
      </c>
      <c r="BR147" s="34" t="str">
        <v/>
      </c>
      <c r="BS147" s="34" t="str">
        <v/>
      </c>
      <c r="BT147" s="34" t="str">
        <v/>
      </c>
      <c r="BU147" s="34">
        <v>0</v>
      </c>
      <c r="BV147" s="34">
        <v>168</v>
      </c>
      <c r="BW147" s="34">
        <v>1</v>
      </c>
      <c r="BX147" s="34">
        <v>0</v>
      </c>
      <c r="BY147" s="34" t="str">
        <v>Розетка</v>
      </c>
      <c r="BZ147">
        <v>8</v>
      </c>
      <c r="CA147" t="str">
        <v>линии</v>
      </c>
    </row>
    <row r="148" spans="1:79" x14ac:dyDescent="0.3">
      <c r="A148" s="39" t="str">
        <v>ЩР-001</v>
      </c>
      <c r="B148" s="42">
        <v>26</v>
      </c>
      <c r="C148" s="42">
        <v>2</v>
      </c>
      <c r="D148" s="75" t="str">
        <v/>
      </c>
      <c r="E148" s="75" t="str">
        <v>авто</v>
      </c>
      <c r="F148" s="76">
        <v>30</v>
      </c>
      <c r="G148" s="47" t="str">
        <v>QFD17</v>
      </c>
      <c r="H148" s="47" t="str">
        <v>2P С16А 30мА</v>
      </c>
      <c r="I148" s="75" t="str">
        <v/>
      </c>
      <c r="J148" s="76" t="str">
        <v/>
      </c>
      <c r="K148" s="76" t="str">
        <v/>
      </c>
      <c r="L148" s="75" t="str">
        <v/>
      </c>
      <c r="M148" s="49" t="str">
        <v/>
      </c>
      <c r="N148" s="76" t="str">
        <v/>
      </c>
      <c r="O148" s="49" t="str">
        <v/>
      </c>
      <c r="P148" s="77" t="str">
        <v/>
      </c>
      <c r="Q148" s="53" t="str">
        <v>ВВГнг(А)-LS (3х2,5) L=83-1,52%</v>
      </c>
      <c r="R148" s="54" t="str">
        <v>R.00.007Б.1</v>
      </c>
      <c r="S148" s="55" t="str">
        <v>Розеточная группа, пом. 007Б</v>
      </c>
      <c r="T148" s="56">
        <v>0.54</v>
      </c>
      <c r="U148" s="56">
        <v>2.4699999999999998</v>
      </c>
      <c r="V148" s="42" t="str">
        <v>L3</v>
      </c>
      <c r="W148" s="57" t="str">
        <v>ok</v>
      </c>
      <c r="X148" s="58" t="str">
        <v/>
      </c>
      <c r="Y148" s="75" t="str">
        <v/>
      </c>
      <c r="Z148" s="59">
        <v>2.4613353581241939</v>
      </c>
      <c r="AA148" s="61">
        <v>16</v>
      </c>
      <c r="AB148" s="61">
        <v>25</v>
      </c>
      <c r="AC148" s="61" t="str">
        <v/>
      </c>
      <c r="AD148" s="62" t="str">
        <v>QFD17</v>
      </c>
      <c r="AE148" s="62" t="str">
        <v/>
      </c>
      <c r="AF148" s="34">
        <v>17</v>
      </c>
      <c r="AG148" s="34" t="str">
        <v>QFD17</v>
      </c>
      <c r="AH148" s="34" t="str">
        <v/>
      </c>
      <c r="AI148" s="34" t="str">
        <v/>
      </c>
      <c r="AJ148" s="34" t="str">
        <v>QFD17</v>
      </c>
      <c r="AK148" s="34">
        <v>1</v>
      </c>
      <c r="AL148" s="34" t="str">
        <v>R</v>
      </c>
      <c r="AM148" s="34">
        <v>30</v>
      </c>
      <c r="AN148" s="34">
        <v>0</v>
      </c>
      <c r="AO148" s="34">
        <v>16</v>
      </c>
      <c r="AP148" s="34">
        <v>25</v>
      </c>
      <c r="AQ148" s="34">
        <v>16</v>
      </c>
      <c r="AR148" s="34">
        <v>1</v>
      </c>
      <c r="AS148" s="34">
        <v>1</v>
      </c>
      <c r="AT148" s="34" t="str">
        <v>2P</v>
      </c>
      <c r="AU148" s="34">
        <v>16</v>
      </c>
      <c r="AV148" s="34" t="str">
        <v/>
      </c>
      <c r="AW148" s="34" t="str">
        <v/>
      </c>
      <c r="AX148" s="34" t="str">
        <v/>
      </c>
      <c r="AY148" s="34">
        <v>1</v>
      </c>
      <c r="AZ148" s="34" t="str">
        <v/>
      </c>
      <c r="BA148" s="34">
        <v>0</v>
      </c>
      <c r="BB148" s="34">
        <v>16</v>
      </c>
      <c r="BD148" s="34">
        <v>1</v>
      </c>
      <c r="BE148" s="34">
        <v>0</v>
      </c>
      <c r="BF148" s="34">
        <v>1</v>
      </c>
      <c r="BG148" s="34" t="str">
        <v/>
      </c>
      <c r="BH148" s="34" t="str">
        <v/>
      </c>
      <c r="BI148" s="34" t="str">
        <v/>
      </c>
      <c r="BJ148" s="34" t="str">
        <v/>
      </c>
      <c r="BK148" s="34" t="str">
        <v>SOCKET</v>
      </c>
      <c r="BL148" s="34">
        <v>1</v>
      </c>
      <c r="BM148" s="34" t="str">
        <v/>
      </c>
      <c r="BN148" s="34" t="str">
        <v/>
      </c>
      <c r="BO148" s="34" t="str">
        <v/>
      </c>
      <c r="BP148" s="34" t="str">
        <v/>
      </c>
      <c r="BQ148" s="34" t="str">
        <v>3х2,5</v>
      </c>
      <c r="BR148" s="34" t="str">
        <v/>
      </c>
      <c r="BS148" s="34" t="str">
        <v/>
      </c>
      <c r="BT148" s="34" t="str">
        <v/>
      </c>
      <c r="BU148" s="34">
        <v>0</v>
      </c>
      <c r="BV148" s="34">
        <v>169</v>
      </c>
      <c r="BW148" s="34">
        <v>1</v>
      </c>
      <c r="BX148" s="34">
        <v>0</v>
      </c>
      <c r="BY148" s="34" t="str">
        <v>Розетка</v>
      </c>
      <c r="BZ148">
        <v>8</v>
      </c>
      <c r="CA148" t="str">
        <v>линии</v>
      </c>
    </row>
    <row r="149" spans="1:79" x14ac:dyDescent="0.3">
      <c r="A149" s="39" t="str">
        <v>ЩР-001</v>
      </c>
      <c r="B149" s="42">
        <v>27</v>
      </c>
      <c r="C149" s="42">
        <v>2</v>
      </c>
      <c r="D149" s="75" t="str">
        <v/>
      </c>
      <c r="E149" s="75" t="str">
        <v>авто</v>
      </c>
      <c r="F149" s="76">
        <v>30</v>
      </c>
      <c r="G149" s="47" t="str">
        <v>QFD18</v>
      </c>
      <c r="H149" s="47" t="str">
        <v>2P С16А 30мА</v>
      </c>
      <c r="I149" s="75" t="str">
        <v/>
      </c>
      <c r="J149" s="76" t="str">
        <v/>
      </c>
      <c r="K149" s="76" t="str">
        <v/>
      </c>
      <c r="L149" s="75" t="str">
        <v/>
      </c>
      <c r="M149" s="49" t="str">
        <v/>
      </c>
      <c r="N149" s="76" t="str">
        <v/>
      </c>
      <c r="O149" s="49" t="str">
        <v/>
      </c>
      <c r="P149" s="77" t="str">
        <v/>
      </c>
      <c r="Q149" s="53" t="str">
        <v>ВВГнг(А)-LS (3х2,5) L=76-1,4%</v>
      </c>
      <c r="R149" s="54" t="str">
        <v>R.00.004Б.1</v>
      </c>
      <c r="S149" s="55" t="str">
        <v>Розеточная группа, пом. 004Б</v>
      </c>
      <c r="T149" s="56">
        <v>0.54</v>
      </c>
      <c r="U149" s="56">
        <v>2.4699999999999998</v>
      </c>
      <c r="V149" s="42" t="str">
        <v>L2</v>
      </c>
      <c r="W149" s="57" t="str">
        <v>ok</v>
      </c>
      <c r="X149" s="58" t="str">
        <v/>
      </c>
      <c r="Y149" s="75" t="str">
        <v/>
      </c>
      <c r="Z149" s="59">
        <v>2.4613353581241939</v>
      </c>
      <c r="AA149" s="61">
        <v>16</v>
      </c>
      <c r="AB149" s="61">
        <v>25</v>
      </c>
      <c r="AC149" s="61" t="str">
        <v/>
      </c>
      <c r="AD149" s="62" t="str">
        <v>QFD18</v>
      </c>
      <c r="AE149" s="62" t="str">
        <v/>
      </c>
      <c r="AF149" s="34">
        <v>18</v>
      </c>
      <c r="AG149" s="34" t="str">
        <v>QFD18</v>
      </c>
      <c r="AH149" s="34" t="str">
        <v/>
      </c>
      <c r="AI149" s="34" t="str">
        <v/>
      </c>
      <c r="AJ149" s="34" t="str">
        <v>QFD18</v>
      </c>
      <c r="AK149" s="34">
        <v>1</v>
      </c>
      <c r="AL149" s="34" t="str">
        <v>R</v>
      </c>
      <c r="AM149" s="34">
        <v>30</v>
      </c>
      <c r="AN149" s="34">
        <v>0</v>
      </c>
      <c r="AO149" s="34">
        <v>16</v>
      </c>
      <c r="AP149" s="34">
        <v>25</v>
      </c>
      <c r="AQ149" s="34">
        <v>16</v>
      </c>
      <c r="AR149" s="34">
        <v>1</v>
      </c>
      <c r="AS149" s="34">
        <v>1</v>
      </c>
      <c r="AT149" s="34" t="str">
        <v>2P</v>
      </c>
      <c r="AU149" s="34">
        <v>16</v>
      </c>
      <c r="AV149" s="34" t="str">
        <v/>
      </c>
      <c r="AW149" s="34" t="str">
        <v/>
      </c>
      <c r="AX149" s="34" t="str">
        <v/>
      </c>
      <c r="AY149" s="34">
        <v>1</v>
      </c>
      <c r="AZ149" s="34" t="str">
        <v/>
      </c>
      <c r="BA149" s="34">
        <v>0</v>
      </c>
      <c r="BB149" s="34">
        <v>16</v>
      </c>
      <c r="BD149" s="34">
        <v>1</v>
      </c>
      <c r="BE149" s="34">
        <v>0</v>
      </c>
      <c r="BF149" s="34">
        <v>1</v>
      </c>
      <c r="BG149" s="34" t="str">
        <v/>
      </c>
      <c r="BH149" s="34" t="str">
        <v/>
      </c>
      <c r="BI149" s="34" t="str">
        <v/>
      </c>
      <c r="BJ149" s="34" t="str">
        <v/>
      </c>
      <c r="BK149" s="34" t="str">
        <v>SOCKET</v>
      </c>
      <c r="BL149" s="34">
        <v>1</v>
      </c>
      <c r="BM149" s="34" t="str">
        <v/>
      </c>
      <c r="BN149" s="34" t="str">
        <v/>
      </c>
      <c r="BO149" s="34" t="str">
        <v/>
      </c>
      <c r="BP149" s="34" t="str">
        <v/>
      </c>
      <c r="BQ149" s="34" t="str">
        <v>3х2,5</v>
      </c>
      <c r="BR149" s="34" t="str">
        <v/>
      </c>
      <c r="BS149" s="34" t="str">
        <v/>
      </c>
      <c r="BT149" s="34" t="str">
        <v/>
      </c>
      <c r="BU149" s="34">
        <v>0</v>
      </c>
      <c r="BV149" s="34">
        <v>170</v>
      </c>
      <c r="BW149" s="34">
        <v>1</v>
      </c>
      <c r="BX149" s="34">
        <v>0</v>
      </c>
      <c r="BY149" s="34" t="str">
        <v>Розетка</v>
      </c>
      <c r="BZ149">
        <v>8</v>
      </c>
      <c r="CA149" t="str">
        <v>линии</v>
      </c>
    </row>
    <row r="150" spans="1:79" x14ac:dyDescent="0.3">
      <c r="A150" s="39" t="str">
        <v>ЩР-001</v>
      </c>
      <c r="B150" s="42">
        <v>28</v>
      </c>
      <c r="C150" s="42">
        <v>2</v>
      </c>
      <c r="D150" s="75" t="str">
        <v/>
      </c>
      <c r="E150" s="75" t="str">
        <v>авто</v>
      </c>
      <c r="F150" s="76">
        <v>30</v>
      </c>
      <c r="G150" s="47" t="str">
        <v>QFD19</v>
      </c>
      <c r="H150" s="47" t="str">
        <v>2P С16А 30мА</v>
      </c>
      <c r="I150" s="75" t="str">
        <v/>
      </c>
      <c r="J150" s="76" t="str">
        <v/>
      </c>
      <c r="K150" s="76" t="str">
        <v/>
      </c>
      <c r="L150" s="75" t="str">
        <v/>
      </c>
      <c r="M150" s="49" t="str">
        <v/>
      </c>
      <c r="N150" s="76" t="str">
        <v/>
      </c>
      <c r="O150" s="49" t="str">
        <v/>
      </c>
      <c r="P150" s="77" t="str">
        <v/>
      </c>
      <c r="Q150" s="53" t="str">
        <v>ВВГнг(А)-LS (3х2,5) L=71-1,16%</v>
      </c>
      <c r="R150" s="54" t="str">
        <v>R.00.005Б.1</v>
      </c>
      <c r="S150" s="55" t="str">
        <v>Розеточная группа, пом. 005Б</v>
      </c>
      <c r="T150" s="56">
        <v>0.48</v>
      </c>
      <c r="U150" s="56">
        <v>2.19</v>
      </c>
      <c r="V150" s="42" t="str">
        <v>L3</v>
      </c>
      <c r="W150" s="57" t="str">
        <v>ok</v>
      </c>
      <c r="X150" s="58" t="str">
        <v/>
      </c>
      <c r="Y150" s="75" t="str">
        <v/>
      </c>
      <c r="Z150" s="59">
        <v>2.1878536516659501</v>
      </c>
      <c r="AA150" s="61">
        <v>16</v>
      </c>
      <c r="AB150" s="61">
        <v>25</v>
      </c>
      <c r="AC150" s="61" t="str">
        <v/>
      </c>
      <c r="AD150" s="62" t="str">
        <v>QFD19</v>
      </c>
      <c r="AE150" s="62" t="str">
        <v/>
      </c>
      <c r="AF150" s="34">
        <v>19</v>
      </c>
      <c r="AG150" s="34" t="str">
        <v>QFD19</v>
      </c>
      <c r="AH150" s="34" t="str">
        <v/>
      </c>
      <c r="AI150" s="34" t="str">
        <v/>
      </c>
      <c r="AJ150" s="34" t="str">
        <v>QFD19</v>
      </c>
      <c r="AK150" s="34">
        <v>1</v>
      </c>
      <c r="AL150" s="34" t="str">
        <v>R</v>
      </c>
      <c r="AM150" s="34">
        <v>30</v>
      </c>
      <c r="AN150" s="34">
        <v>0</v>
      </c>
      <c r="AO150" s="34">
        <v>16</v>
      </c>
      <c r="AP150" s="34">
        <v>25</v>
      </c>
      <c r="AQ150" s="34">
        <v>16</v>
      </c>
      <c r="AR150" s="34">
        <v>1</v>
      </c>
      <c r="AS150" s="34">
        <v>1</v>
      </c>
      <c r="AT150" s="34" t="str">
        <v>2P</v>
      </c>
      <c r="AU150" s="34">
        <v>16</v>
      </c>
      <c r="AV150" s="34" t="str">
        <v/>
      </c>
      <c r="AW150" s="34" t="str">
        <v/>
      </c>
      <c r="AX150" s="34" t="str">
        <v/>
      </c>
      <c r="AY150" s="34">
        <v>1</v>
      </c>
      <c r="AZ150" s="34" t="str">
        <v/>
      </c>
      <c r="BA150" s="34">
        <v>0</v>
      </c>
      <c r="BB150" s="34">
        <v>16</v>
      </c>
      <c r="BD150" s="34">
        <v>1</v>
      </c>
      <c r="BE150" s="34">
        <v>0</v>
      </c>
      <c r="BF150" s="34">
        <v>1</v>
      </c>
      <c r="BG150" s="34" t="str">
        <v/>
      </c>
      <c r="BH150" s="34" t="str">
        <v/>
      </c>
      <c r="BI150" s="34" t="str">
        <v/>
      </c>
      <c r="BJ150" s="34" t="str">
        <v/>
      </c>
      <c r="BK150" s="34" t="str">
        <v>SOCKET</v>
      </c>
      <c r="BL150" s="34">
        <v>1</v>
      </c>
      <c r="BM150" s="34" t="str">
        <v/>
      </c>
      <c r="BN150" s="34" t="str">
        <v/>
      </c>
      <c r="BO150" s="34" t="str">
        <v/>
      </c>
      <c r="BP150" s="34" t="str">
        <v/>
      </c>
      <c r="BQ150" s="34" t="str">
        <v>3х2,5</v>
      </c>
      <c r="BR150" s="34" t="str">
        <v/>
      </c>
      <c r="BS150" s="34" t="str">
        <v/>
      </c>
      <c r="BT150" s="34" t="str">
        <v/>
      </c>
      <c r="BU150" s="34">
        <v>0</v>
      </c>
      <c r="BV150" s="34">
        <v>171</v>
      </c>
      <c r="BW150" s="34">
        <v>1</v>
      </c>
      <c r="BX150" s="34">
        <v>0</v>
      </c>
      <c r="BY150" s="34" t="str">
        <v>Розетка</v>
      </c>
      <c r="BZ150">
        <v>8</v>
      </c>
      <c r="CA150" t="str">
        <v>линии</v>
      </c>
    </row>
    <row r="151" spans="1:79" x14ac:dyDescent="0.3">
      <c r="A151" s="39" t="str">
        <v>ЩР-001</v>
      </c>
      <c r="B151" s="42">
        <v>29</v>
      </c>
      <c r="C151" s="42">
        <v>2</v>
      </c>
      <c r="D151" s="75" t="str">
        <v/>
      </c>
      <c r="E151" s="75" t="str">
        <v>авто</v>
      </c>
      <c r="F151" s="76">
        <v>30</v>
      </c>
      <c r="G151" s="47" t="str">
        <v>QFD20</v>
      </c>
      <c r="H151" s="47" t="str">
        <v>2P С16А 30мА</v>
      </c>
      <c r="I151" s="75" t="str">
        <v/>
      </c>
      <c r="J151" s="76" t="str">
        <v/>
      </c>
      <c r="K151" s="76" t="str">
        <v/>
      </c>
      <c r="L151" s="75" t="str">
        <v/>
      </c>
      <c r="M151" s="49" t="str">
        <v/>
      </c>
      <c r="N151" s="76" t="str">
        <v/>
      </c>
      <c r="O151" s="49" t="str">
        <v/>
      </c>
      <c r="P151" s="77" t="str">
        <v/>
      </c>
      <c r="Q151" s="53" t="str">
        <v>ВВГнг(А)-LS (3х2,5) L=29-0,12%</v>
      </c>
      <c r="R151" s="54" t="str">
        <v>R.00.009Б.1</v>
      </c>
      <c r="S151" s="55" t="str">
        <v>Розеточная группа, пом. 009Б</v>
      </c>
      <c r="T151" s="56">
        <v>0.12</v>
      </c>
      <c r="U151" s="56">
        <v>0.55000000000000004</v>
      </c>
      <c r="V151" s="42" t="str">
        <v>L2</v>
      </c>
      <c r="W151" s="57" t="str">
        <v>ok</v>
      </c>
      <c r="X151" s="58" t="str">
        <v/>
      </c>
      <c r="Y151" s="75" t="str">
        <v/>
      </c>
      <c r="Z151" s="59">
        <v>0.54696341291648753</v>
      </c>
      <c r="AA151" s="61">
        <v>16</v>
      </c>
      <c r="AB151" s="61">
        <v>25</v>
      </c>
      <c r="AC151" s="61" t="str">
        <v/>
      </c>
      <c r="AD151" s="62" t="str">
        <v>QFD20</v>
      </c>
      <c r="AE151" s="62" t="str">
        <v/>
      </c>
      <c r="AF151" s="34">
        <v>20</v>
      </c>
      <c r="AG151" s="34" t="str">
        <v>QFD20</v>
      </c>
      <c r="AH151" s="34" t="str">
        <v/>
      </c>
      <c r="AI151" s="34" t="str">
        <v/>
      </c>
      <c r="AJ151" s="34" t="str">
        <v>QFD20</v>
      </c>
      <c r="AK151" s="34">
        <v>1</v>
      </c>
      <c r="AL151" s="34" t="str">
        <v>R</v>
      </c>
      <c r="AM151" s="34">
        <v>30</v>
      </c>
      <c r="AN151" s="34">
        <v>0</v>
      </c>
      <c r="AO151" s="34">
        <v>16</v>
      </c>
      <c r="AP151" s="34">
        <v>25</v>
      </c>
      <c r="AQ151" s="34">
        <v>16</v>
      </c>
      <c r="AR151" s="34">
        <v>1</v>
      </c>
      <c r="AS151" s="34">
        <v>1</v>
      </c>
      <c r="AT151" s="34" t="str">
        <v>2P</v>
      </c>
      <c r="AU151" s="34">
        <v>16</v>
      </c>
      <c r="AV151" s="34" t="str">
        <v/>
      </c>
      <c r="AW151" s="34" t="str">
        <v/>
      </c>
      <c r="AX151" s="34" t="str">
        <v/>
      </c>
      <c r="AY151" s="34">
        <v>1</v>
      </c>
      <c r="AZ151" s="34" t="str">
        <v/>
      </c>
      <c r="BA151" s="34">
        <v>0</v>
      </c>
      <c r="BB151" s="34">
        <v>16</v>
      </c>
      <c r="BD151" s="34">
        <v>1</v>
      </c>
      <c r="BE151" s="34">
        <v>0</v>
      </c>
      <c r="BF151" s="34">
        <v>1</v>
      </c>
      <c r="BG151" s="34" t="str">
        <v/>
      </c>
      <c r="BH151" s="34" t="str">
        <v/>
      </c>
      <c r="BI151" s="34" t="str">
        <v/>
      </c>
      <c r="BJ151" s="34" t="str">
        <v/>
      </c>
      <c r="BK151" s="34" t="str">
        <v>SOCKET</v>
      </c>
      <c r="BL151" s="34">
        <v>1</v>
      </c>
      <c r="BM151" s="34" t="str">
        <v/>
      </c>
      <c r="BN151" s="34" t="str">
        <v/>
      </c>
      <c r="BO151" s="34" t="str">
        <v/>
      </c>
      <c r="BP151" s="34" t="str">
        <v/>
      </c>
      <c r="BQ151" s="34" t="str">
        <v>3х2,5</v>
      </c>
      <c r="BR151" s="34" t="str">
        <v/>
      </c>
      <c r="BS151" s="34" t="str">
        <v/>
      </c>
      <c r="BT151" s="34" t="str">
        <v/>
      </c>
      <c r="BU151" s="34">
        <v>0</v>
      </c>
      <c r="BV151" s="34">
        <v>172</v>
      </c>
      <c r="BW151" s="34">
        <v>1</v>
      </c>
      <c r="BX151" s="34">
        <v>0</v>
      </c>
      <c r="BY151" s="34" t="str">
        <v>Розетка</v>
      </c>
      <c r="BZ151">
        <v>8</v>
      </c>
      <c r="CA151" t="str">
        <v>линии</v>
      </c>
    </row>
    <row r="152" spans="1:79" x14ac:dyDescent="0.3">
      <c r="A152" s="39" t="str">
        <v>ЩР-001</v>
      </c>
      <c r="B152" s="42">
        <v>30</v>
      </c>
      <c r="C152" s="42">
        <v>2</v>
      </c>
      <c r="D152" s="75" t="str">
        <v/>
      </c>
      <c r="E152" s="75" t="str">
        <v>авто</v>
      </c>
      <c r="F152" s="76">
        <v>30</v>
      </c>
      <c r="G152" s="47" t="str">
        <v>QFD21</v>
      </c>
      <c r="H152" s="47" t="str">
        <v>2P С16А 30мА</v>
      </c>
      <c r="I152" s="75" t="str">
        <v/>
      </c>
      <c r="J152" s="76" t="str">
        <v/>
      </c>
      <c r="K152" s="76" t="str">
        <v/>
      </c>
      <c r="L152" s="75" t="str">
        <v/>
      </c>
      <c r="M152" s="49" t="str">
        <v/>
      </c>
      <c r="N152" s="76" t="str">
        <v/>
      </c>
      <c r="O152" s="49" t="str">
        <v/>
      </c>
      <c r="P152" s="77" t="str">
        <v/>
      </c>
      <c r="Q152" s="53" t="str">
        <v>ВВГнг(А)-LS (3х2,5) L=30-0,13%</v>
      </c>
      <c r="R152" s="54" t="str">
        <v>R.00.006Б.1</v>
      </c>
      <c r="S152" s="55" t="str">
        <v>Розеточная группа, пом. 006Б</v>
      </c>
      <c r="T152" s="56">
        <v>0.12</v>
      </c>
      <c r="U152" s="56">
        <v>0.55000000000000004</v>
      </c>
      <c r="V152" s="42" t="str">
        <v>L3</v>
      </c>
      <c r="W152" s="57" t="str">
        <v>ok</v>
      </c>
      <c r="X152" s="58" t="str">
        <v/>
      </c>
      <c r="Y152" s="75" t="str">
        <v/>
      </c>
      <c r="Z152" s="59">
        <v>0.54696341291648753</v>
      </c>
      <c r="AA152" s="61">
        <v>16</v>
      </c>
      <c r="AB152" s="61">
        <v>25</v>
      </c>
      <c r="AC152" s="61" t="str">
        <v/>
      </c>
      <c r="AD152" s="62" t="str">
        <v>QFD21</v>
      </c>
      <c r="AE152" s="62" t="str">
        <v/>
      </c>
      <c r="AF152" s="34">
        <v>21</v>
      </c>
      <c r="AG152" s="34" t="str">
        <v>QFD21</v>
      </c>
      <c r="AH152" s="34" t="str">
        <v/>
      </c>
      <c r="AI152" s="34" t="str">
        <v/>
      </c>
      <c r="AJ152" s="34" t="str">
        <v>QFD21</v>
      </c>
      <c r="AK152" s="34">
        <v>1</v>
      </c>
      <c r="AL152" s="34" t="str">
        <v>R</v>
      </c>
      <c r="AM152" s="34">
        <v>30</v>
      </c>
      <c r="AN152" s="34">
        <v>0</v>
      </c>
      <c r="AO152" s="34">
        <v>16</v>
      </c>
      <c r="AP152" s="34">
        <v>25</v>
      </c>
      <c r="AQ152" s="34">
        <v>16</v>
      </c>
      <c r="AR152" s="34">
        <v>1</v>
      </c>
      <c r="AS152" s="34">
        <v>1</v>
      </c>
      <c r="AT152" s="34" t="str">
        <v>2P</v>
      </c>
      <c r="AU152" s="34">
        <v>16</v>
      </c>
      <c r="AV152" s="34" t="str">
        <v/>
      </c>
      <c r="AW152" s="34" t="str">
        <v/>
      </c>
      <c r="AX152" s="34" t="str">
        <v/>
      </c>
      <c r="AY152" s="34">
        <v>1</v>
      </c>
      <c r="AZ152" s="34" t="str">
        <v/>
      </c>
      <c r="BA152" s="34">
        <v>0</v>
      </c>
      <c r="BB152" s="34">
        <v>16</v>
      </c>
      <c r="BD152" s="34">
        <v>1</v>
      </c>
      <c r="BE152" s="34">
        <v>0</v>
      </c>
      <c r="BF152" s="34">
        <v>1</v>
      </c>
      <c r="BG152" s="34" t="str">
        <v/>
      </c>
      <c r="BH152" s="34" t="str">
        <v/>
      </c>
      <c r="BI152" s="34" t="str">
        <v/>
      </c>
      <c r="BJ152" s="34" t="str">
        <v/>
      </c>
      <c r="BK152" s="34" t="str">
        <v>SOCKET</v>
      </c>
      <c r="BL152" s="34">
        <v>1</v>
      </c>
      <c r="BM152" s="34" t="str">
        <v/>
      </c>
      <c r="BN152" s="34" t="str">
        <v/>
      </c>
      <c r="BO152" s="34" t="str">
        <v/>
      </c>
      <c r="BP152" s="34" t="str">
        <v/>
      </c>
      <c r="BQ152" s="34" t="str">
        <v>3х2,5</v>
      </c>
      <c r="BR152" s="34" t="str">
        <v/>
      </c>
      <c r="BS152" s="34" t="str">
        <v/>
      </c>
      <c r="BT152" s="34" t="str">
        <v/>
      </c>
      <c r="BU152" s="34">
        <v>0</v>
      </c>
      <c r="BV152" s="34">
        <v>173</v>
      </c>
      <c r="BW152" s="34">
        <v>1</v>
      </c>
      <c r="BX152" s="34">
        <v>0</v>
      </c>
      <c r="BY152" s="34" t="str">
        <v>Розетка</v>
      </c>
      <c r="BZ152">
        <v>8</v>
      </c>
      <c r="CA152" t="str">
        <v>линии</v>
      </c>
    </row>
    <row r="153" spans="1:79" x14ac:dyDescent="0.3">
      <c r="A153" s="39" t="str">
        <v>ЩР-001</v>
      </c>
      <c r="B153" s="42">
        <v>31</v>
      </c>
      <c r="C153" s="42">
        <v>2</v>
      </c>
      <c r="D153" s="75" t="str">
        <v/>
      </c>
      <c r="E153" s="75" t="str">
        <v>авто</v>
      </c>
      <c r="F153" s="76">
        <v>30</v>
      </c>
      <c r="G153" s="47" t="str">
        <v>QFD22</v>
      </c>
      <c r="H153" s="47" t="str">
        <v>2P С16А 30мА</v>
      </c>
      <c r="I153" s="75" t="str">
        <v/>
      </c>
      <c r="J153" s="76" t="str">
        <v/>
      </c>
      <c r="K153" s="76" t="str">
        <v/>
      </c>
      <c r="L153" s="75" t="str">
        <v/>
      </c>
      <c r="M153" s="49" t="str">
        <v/>
      </c>
      <c r="N153" s="76" t="str">
        <v/>
      </c>
      <c r="O153" s="49" t="str">
        <v/>
      </c>
      <c r="P153" s="77" t="str">
        <v/>
      </c>
      <c r="Q153" s="53" t="str">
        <v>ВВГнг(А)-LS (3х2,5) L=80-0,82%</v>
      </c>
      <c r="R153" s="54" t="str">
        <v>R.00.007А.1</v>
      </c>
      <c r="S153" s="55" t="str">
        <v>Розеточная группа, пом. 007А</v>
      </c>
      <c r="T153" s="56">
        <v>0.3</v>
      </c>
      <c r="U153" s="56">
        <v>1.37</v>
      </c>
      <c r="V153" s="42" t="str">
        <v>L3</v>
      </c>
      <c r="W153" s="57" t="str">
        <v>ok</v>
      </c>
      <c r="X153" s="58" t="str">
        <v/>
      </c>
      <c r="Y153" s="75" t="str">
        <v/>
      </c>
      <c r="Z153" s="59">
        <v>1.3674085322912188</v>
      </c>
      <c r="AA153" s="61">
        <v>16</v>
      </c>
      <c r="AB153" s="61">
        <v>25</v>
      </c>
      <c r="AC153" s="61" t="str">
        <v/>
      </c>
      <c r="AD153" s="62" t="str">
        <v>QFD22</v>
      </c>
      <c r="AE153" s="62" t="str">
        <v/>
      </c>
      <c r="AF153" s="34">
        <v>22</v>
      </c>
      <c r="AG153" s="34" t="str">
        <v>QFD22</v>
      </c>
      <c r="AH153" s="34" t="str">
        <v/>
      </c>
      <c r="AI153" s="34" t="str">
        <v/>
      </c>
      <c r="AJ153" s="34" t="str">
        <v>QFD22</v>
      </c>
      <c r="AK153" s="34">
        <v>1</v>
      </c>
      <c r="AL153" s="34" t="str">
        <v>R</v>
      </c>
      <c r="AM153" s="34">
        <v>30</v>
      </c>
      <c r="AN153" s="34">
        <v>0</v>
      </c>
      <c r="AO153" s="34">
        <v>16</v>
      </c>
      <c r="AP153" s="34">
        <v>25</v>
      </c>
      <c r="AQ153" s="34">
        <v>16</v>
      </c>
      <c r="AR153" s="34">
        <v>1</v>
      </c>
      <c r="AS153" s="34">
        <v>1</v>
      </c>
      <c r="AT153" s="34" t="str">
        <v>2P</v>
      </c>
      <c r="AU153" s="34">
        <v>16</v>
      </c>
      <c r="AV153" s="34" t="str">
        <v/>
      </c>
      <c r="AW153" s="34" t="str">
        <v/>
      </c>
      <c r="AX153" s="34" t="str">
        <v/>
      </c>
      <c r="AY153" s="34">
        <v>1</v>
      </c>
      <c r="AZ153" s="34" t="str">
        <v/>
      </c>
      <c r="BA153" s="34">
        <v>0</v>
      </c>
      <c r="BB153" s="34">
        <v>16</v>
      </c>
      <c r="BD153" s="34">
        <v>1</v>
      </c>
      <c r="BE153" s="34">
        <v>0</v>
      </c>
      <c r="BF153" s="34">
        <v>1</v>
      </c>
      <c r="BG153" s="34" t="str">
        <v/>
      </c>
      <c r="BH153" s="34" t="str">
        <v/>
      </c>
      <c r="BI153" s="34" t="str">
        <v/>
      </c>
      <c r="BJ153" s="34" t="str">
        <v/>
      </c>
      <c r="BK153" s="34" t="str">
        <v>SOCKET</v>
      </c>
      <c r="BL153" s="34">
        <v>1</v>
      </c>
      <c r="BM153" s="34" t="str">
        <v/>
      </c>
      <c r="BN153" s="34" t="str">
        <v/>
      </c>
      <c r="BO153" s="34" t="str">
        <v/>
      </c>
      <c r="BP153" s="34" t="str">
        <v/>
      </c>
      <c r="BQ153" s="34" t="str">
        <v>3х2,5</v>
      </c>
      <c r="BR153" s="34" t="str">
        <v/>
      </c>
      <c r="BS153" s="34" t="str">
        <v/>
      </c>
      <c r="BT153" s="34" t="str">
        <v/>
      </c>
      <c r="BU153" s="34">
        <v>0</v>
      </c>
      <c r="BV153" s="34">
        <v>174</v>
      </c>
      <c r="BW153" s="34">
        <v>1</v>
      </c>
      <c r="BX153" s="34">
        <v>0</v>
      </c>
      <c r="BY153" s="34" t="str">
        <v>Розетка</v>
      </c>
      <c r="BZ153">
        <v>8</v>
      </c>
      <c r="CA153" t="str">
        <v>линии</v>
      </c>
    </row>
    <row r="154" spans="1:79" x14ac:dyDescent="0.3">
      <c r="A154" s="39" t="str">
        <v>ЩР-001</v>
      </c>
      <c r="B154" s="42">
        <v>32</v>
      </c>
      <c r="C154" s="42">
        <v>2</v>
      </c>
      <c r="D154" s="75" t="str">
        <v/>
      </c>
      <c r="E154" s="75" t="str">
        <v>авто</v>
      </c>
      <c r="F154" s="76">
        <v>30</v>
      </c>
      <c r="G154" s="47" t="str">
        <v>QFD23</v>
      </c>
      <c r="H154" s="47" t="str">
        <v>2P С16А 30мА</v>
      </c>
      <c r="I154" s="75" t="str">
        <v/>
      </c>
      <c r="J154" s="76" t="str">
        <v/>
      </c>
      <c r="K154" s="76" t="str">
        <v/>
      </c>
      <c r="L154" s="75" t="str">
        <v/>
      </c>
      <c r="M154" s="49" t="str">
        <v/>
      </c>
      <c r="N154" s="76" t="str">
        <v/>
      </c>
      <c r="O154" s="49" t="str">
        <v/>
      </c>
      <c r="P154" s="77" t="str">
        <v/>
      </c>
      <c r="Q154" s="53" t="str">
        <v>ВВГнг(А)-LS (3х2,5) L=47-0,2%</v>
      </c>
      <c r="R154" s="54" t="str">
        <v>R.00.008А.1</v>
      </c>
      <c r="S154" s="55" t="str">
        <v>Розеточная группа, пом. 008А</v>
      </c>
      <c r="T154" s="56">
        <v>0.12</v>
      </c>
      <c r="U154" s="56">
        <v>0.55000000000000004</v>
      </c>
      <c r="V154" s="42" t="str">
        <v>L1</v>
      </c>
      <c r="W154" s="57" t="str">
        <v>ok</v>
      </c>
      <c r="X154" s="58" t="str">
        <v/>
      </c>
      <c r="Y154" s="75" t="str">
        <v/>
      </c>
      <c r="Z154" s="59">
        <v>0.54696341291648753</v>
      </c>
      <c r="AA154" s="61">
        <v>16</v>
      </c>
      <c r="AB154" s="61">
        <v>25</v>
      </c>
      <c r="AC154" s="61" t="str">
        <v/>
      </c>
      <c r="AD154" s="62" t="str">
        <v>QFD23</v>
      </c>
      <c r="AE154" s="62" t="str">
        <v/>
      </c>
      <c r="AF154" s="34">
        <v>23</v>
      </c>
      <c r="AG154" s="34" t="str">
        <v>QFD23</v>
      </c>
      <c r="AH154" s="34" t="str">
        <v/>
      </c>
      <c r="AI154" s="34" t="str">
        <v/>
      </c>
      <c r="AJ154" s="34" t="str">
        <v>QFD23</v>
      </c>
      <c r="AK154" s="34">
        <v>1</v>
      </c>
      <c r="AL154" s="34" t="str">
        <v>R</v>
      </c>
      <c r="AM154" s="34">
        <v>30</v>
      </c>
      <c r="AN154" s="34">
        <v>0</v>
      </c>
      <c r="AO154" s="34">
        <v>16</v>
      </c>
      <c r="AP154" s="34">
        <v>25</v>
      </c>
      <c r="AQ154" s="34">
        <v>16</v>
      </c>
      <c r="AR154" s="34">
        <v>1</v>
      </c>
      <c r="AS154" s="34">
        <v>1</v>
      </c>
      <c r="AT154" s="34" t="str">
        <v>2P</v>
      </c>
      <c r="AU154" s="34">
        <v>16</v>
      </c>
      <c r="AV154" s="34" t="str">
        <v/>
      </c>
      <c r="AW154" s="34" t="str">
        <v/>
      </c>
      <c r="AX154" s="34" t="str">
        <v/>
      </c>
      <c r="AY154" s="34">
        <v>1</v>
      </c>
      <c r="AZ154" s="34" t="str">
        <v/>
      </c>
      <c r="BA154" s="34">
        <v>0</v>
      </c>
      <c r="BB154" s="34">
        <v>16</v>
      </c>
      <c r="BD154" s="34">
        <v>1</v>
      </c>
      <c r="BE154" s="34">
        <v>0</v>
      </c>
      <c r="BF154" s="34">
        <v>1</v>
      </c>
      <c r="BG154" s="34" t="str">
        <v/>
      </c>
      <c r="BH154" s="34" t="str">
        <v/>
      </c>
      <c r="BI154" s="34" t="str">
        <v/>
      </c>
      <c r="BJ154" s="34" t="str">
        <v/>
      </c>
      <c r="BK154" s="34" t="str">
        <v>SOCKET</v>
      </c>
      <c r="BL154" s="34">
        <v>1</v>
      </c>
      <c r="BM154" s="34" t="str">
        <v/>
      </c>
      <c r="BN154" s="34" t="str">
        <v/>
      </c>
      <c r="BO154" s="34" t="str">
        <v/>
      </c>
      <c r="BP154" s="34" t="str">
        <v/>
      </c>
      <c r="BQ154" s="34" t="str">
        <v>3х2,5</v>
      </c>
      <c r="BR154" s="34" t="str">
        <v/>
      </c>
      <c r="BS154" s="34" t="str">
        <v/>
      </c>
      <c r="BT154" s="34" t="str">
        <v/>
      </c>
      <c r="BU154" s="34">
        <v>0</v>
      </c>
      <c r="BV154" s="34">
        <v>175</v>
      </c>
      <c r="BW154" s="34">
        <v>1</v>
      </c>
      <c r="BX154" s="34">
        <v>0</v>
      </c>
      <c r="BY154" s="34" t="str">
        <v>Розетка</v>
      </c>
      <c r="BZ154">
        <v>8</v>
      </c>
      <c r="CA154" t="str">
        <v>линии</v>
      </c>
    </row>
    <row r="155" spans="1:79" x14ac:dyDescent="0.3">
      <c r="A155" s="39" t="str">
        <v>ЩР-001</v>
      </c>
      <c r="B155" s="42">
        <v>33</v>
      </c>
      <c r="C155" s="42">
        <v>2</v>
      </c>
      <c r="D155" s="75" t="str">
        <v/>
      </c>
      <c r="E155" s="75" t="str">
        <v>авто</v>
      </c>
      <c r="F155" s="76">
        <v>30</v>
      </c>
      <c r="G155" s="47" t="str">
        <v>QFD24</v>
      </c>
      <c r="H155" s="47" t="str">
        <v>2P С16А 30мА</v>
      </c>
      <c r="I155" s="75" t="str">
        <v/>
      </c>
      <c r="J155" s="76" t="str">
        <v/>
      </c>
      <c r="K155" s="76" t="str">
        <v/>
      </c>
      <c r="L155" s="75" t="str">
        <v/>
      </c>
      <c r="M155" s="49" t="str">
        <v/>
      </c>
      <c r="N155" s="76" t="str">
        <v/>
      </c>
      <c r="O155" s="49" t="str">
        <v/>
      </c>
      <c r="P155" s="77" t="str">
        <v/>
      </c>
      <c r="Q155" s="53" t="str">
        <v>ВВГнг(А)-LS (3х2,5) L=31-0,07%</v>
      </c>
      <c r="R155" s="54" t="str">
        <v>R.00.002Б.1</v>
      </c>
      <c r="S155" s="55" t="str">
        <v>Розеточная группа, пом. 002Б</v>
      </c>
      <c r="T155" s="56">
        <v>0.06</v>
      </c>
      <c r="U155" s="56">
        <v>0.28000000000000003</v>
      </c>
      <c r="V155" s="42" t="str">
        <v>L3</v>
      </c>
      <c r="W155" s="57" t="str">
        <v>ok</v>
      </c>
      <c r="X155" s="58" t="str">
        <v/>
      </c>
      <c r="Y155" s="75" t="str">
        <v/>
      </c>
      <c r="Z155" s="59">
        <v>0.27348170645824377</v>
      </c>
      <c r="AA155" s="61">
        <v>16</v>
      </c>
      <c r="AB155" s="61">
        <v>25</v>
      </c>
      <c r="AC155" s="61" t="str">
        <v/>
      </c>
      <c r="AD155" s="62" t="str">
        <v>QFD24</v>
      </c>
      <c r="AE155" s="62" t="str">
        <v/>
      </c>
      <c r="AF155" s="34">
        <v>24</v>
      </c>
      <c r="AG155" s="34" t="str">
        <v>QFD24</v>
      </c>
      <c r="AH155" s="34" t="str">
        <v/>
      </c>
      <c r="AI155" s="34" t="str">
        <v/>
      </c>
      <c r="AJ155" s="34" t="str">
        <v>QFD24</v>
      </c>
      <c r="AK155" s="34">
        <v>1</v>
      </c>
      <c r="AL155" s="34" t="str">
        <v>R</v>
      </c>
      <c r="AM155" s="34">
        <v>30</v>
      </c>
      <c r="AN155" s="34">
        <v>0</v>
      </c>
      <c r="AO155" s="34">
        <v>16</v>
      </c>
      <c r="AP155" s="34">
        <v>25</v>
      </c>
      <c r="AQ155" s="34">
        <v>16</v>
      </c>
      <c r="AR155" s="34">
        <v>1</v>
      </c>
      <c r="AS155" s="34">
        <v>1</v>
      </c>
      <c r="AT155" s="34" t="str">
        <v>2P</v>
      </c>
      <c r="AU155" s="34">
        <v>16</v>
      </c>
      <c r="AV155" s="34" t="str">
        <v/>
      </c>
      <c r="AW155" s="34" t="str">
        <v/>
      </c>
      <c r="AX155" s="34" t="str">
        <v/>
      </c>
      <c r="AY155" s="34">
        <v>1</v>
      </c>
      <c r="AZ155" s="34" t="str">
        <v/>
      </c>
      <c r="BA155" s="34">
        <v>0</v>
      </c>
      <c r="BB155" s="34">
        <v>16</v>
      </c>
      <c r="BD155" s="34">
        <v>1</v>
      </c>
      <c r="BE155" s="34">
        <v>0</v>
      </c>
      <c r="BF155" s="34">
        <v>1</v>
      </c>
      <c r="BG155" s="34" t="str">
        <v/>
      </c>
      <c r="BH155" s="34" t="str">
        <v/>
      </c>
      <c r="BI155" s="34" t="str">
        <v/>
      </c>
      <c r="BJ155" s="34" t="str">
        <v/>
      </c>
      <c r="BK155" s="34" t="str">
        <v>SOCKET</v>
      </c>
      <c r="BL155" s="34">
        <v>1</v>
      </c>
      <c r="BM155" s="34" t="str">
        <v/>
      </c>
      <c r="BN155" s="34" t="str">
        <v/>
      </c>
      <c r="BO155" s="34" t="str">
        <v/>
      </c>
      <c r="BP155" s="34" t="str">
        <v/>
      </c>
      <c r="BQ155" s="34" t="str">
        <v>3х2,5</v>
      </c>
      <c r="BR155" s="34" t="str">
        <v/>
      </c>
      <c r="BS155" s="34" t="str">
        <v/>
      </c>
      <c r="BT155" s="34" t="str">
        <v/>
      </c>
      <c r="BU155" s="34">
        <v>0</v>
      </c>
      <c r="BV155" s="34">
        <v>176</v>
      </c>
      <c r="BW155" s="34">
        <v>1</v>
      </c>
      <c r="BX155" s="34">
        <v>0</v>
      </c>
      <c r="BY155" s="34" t="str">
        <v>Розетка</v>
      </c>
      <c r="BZ155">
        <v>8</v>
      </c>
      <c r="CA155" t="str">
        <v>линии</v>
      </c>
    </row>
    <row r="156" spans="1:79" x14ac:dyDescent="0.3">
      <c r="A156" s="39" t="str">
        <v>ЩР-001</v>
      </c>
      <c r="B156" s="42">
        <v>36</v>
      </c>
      <c r="C156" s="42">
        <v>3</v>
      </c>
      <c r="D156" s="75" t="str">
        <v/>
      </c>
      <c r="E156" s="75" t="str">
        <v>авто</v>
      </c>
      <c r="F156" s="76" t="str">
        <v/>
      </c>
      <c r="G156" s="47" t="str">
        <v>QF25</v>
      </c>
      <c r="H156" s="47" t="str">
        <v>1P С16А</v>
      </c>
      <c r="I156" s="75" t="str">
        <v/>
      </c>
      <c r="J156" s="76" t="str">
        <v/>
      </c>
      <c r="K156" s="76" t="str">
        <v/>
      </c>
      <c r="L156" s="75" t="str">
        <v/>
      </c>
      <c r="M156" s="49" t="str">
        <v/>
      </c>
      <c r="N156" s="76" t="str">
        <v/>
      </c>
      <c r="O156" s="49" t="str">
        <v/>
      </c>
      <c r="P156" s="77" t="str">
        <v>XT25</v>
      </c>
      <c r="Q156" s="53" t="str">
        <v>ВВГнг(А)-LS (3х2,5) L=36-0,74%</v>
      </c>
      <c r="R156" s="54" t="str">
        <v>ШТК-0</v>
      </c>
      <c r="S156" s="55" t="str">
        <v>Шкаф телекоммуникационный ШТК-0 Подвальный этаж Пом. №007Т</v>
      </c>
      <c r="T156" s="56">
        <v>0.6</v>
      </c>
      <c r="U156" s="56">
        <v>2.7399999999999998</v>
      </c>
      <c r="V156" s="42" t="str">
        <v>L3</v>
      </c>
      <c r="W156" s="57" t="str">
        <v>ok</v>
      </c>
      <c r="X156" s="58" t="str">
        <v/>
      </c>
      <c r="Y156" s="75" t="str">
        <v/>
      </c>
      <c r="Z156" s="59">
        <v>2.7348170645824377</v>
      </c>
      <c r="AA156" s="61">
        <v>6</v>
      </c>
      <c r="AB156" s="61">
        <v>25</v>
      </c>
      <c r="AC156" s="61" t="str">
        <v/>
      </c>
      <c r="AD156" s="62" t="str">
        <v>QF25 → XT25</v>
      </c>
      <c r="AE156" s="62" t="str">
        <v/>
      </c>
      <c r="AF156" s="34">
        <v>25</v>
      </c>
      <c r="AG156" s="34" t="str">
        <v>QF25</v>
      </c>
      <c r="AH156" s="34" t="str">
        <v/>
      </c>
      <c r="AI156" s="34" t="str">
        <v/>
      </c>
      <c r="AJ156" s="34" t="str">
        <v>QF25</v>
      </c>
      <c r="AK156" s="34">
        <v>1</v>
      </c>
      <c r="AL156" s="34" t="str">
        <v>ШТК-0</v>
      </c>
      <c r="AM156" s="34">
        <v>0</v>
      </c>
      <c r="AN156" s="34">
        <v>0</v>
      </c>
      <c r="AO156" s="34">
        <v>6</v>
      </c>
      <c r="AP156" s="34">
        <v>25</v>
      </c>
      <c r="AQ156" s="34">
        <v>16</v>
      </c>
      <c r="AR156" s="34">
        <v>1</v>
      </c>
      <c r="AS156" s="34">
        <v>0</v>
      </c>
      <c r="AT156" s="34" t="str">
        <v>1P</v>
      </c>
      <c r="AU156" s="34">
        <v>16</v>
      </c>
      <c r="AV156" s="34" t="str">
        <v/>
      </c>
      <c r="AW156" s="34" t="str">
        <v/>
      </c>
      <c r="AX156" s="34" t="str">
        <v/>
      </c>
      <c r="AY156" s="34">
        <v>1</v>
      </c>
      <c r="AZ156" s="34" t="str">
        <v/>
      </c>
      <c r="BA156" s="34">
        <v>0</v>
      </c>
      <c r="BB156" s="34">
        <v>0</v>
      </c>
      <c r="BD156" s="34">
        <v>1</v>
      </c>
      <c r="BE156" s="34">
        <v>0</v>
      </c>
      <c r="BF156" s="34">
        <v>0</v>
      </c>
      <c r="BG156" s="34" t="str">
        <v/>
      </c>
      <c r="BH156" s="34" t="str">
        <v/>
      </c>
      <c r="BI156" s="34" t="str">
        <v/>
      </c>
      <c r="BJ156" s="34" t="str">
        <v/>
      </c>
      <c r="BK156" s="34" t="str">
        <v>BOX</v>
      </c>
      <c r="BL156" s="34">
        <v>1</v>
      </c>
      <c r="BM156" s="34" t="str">
        <v/>
      </c>
      <c r="BN156" s="34" t="str">
        <v/>
      </c>
      <c r="BO156" s="34" t="str">
        <v/>
      </c>
      <c r="BP156" s="34" t="str">
        <v/>
      </c>
      <c r="BQ156" s="34" t="str">
        <v>3х2,5</v>
      </c>
      <c r="BR156" s="34" t="str">
        <v/>
      </c>
      <c r="BS156" s="34" t="str">
        <v/>
      </c>
      <c r="BT156" s="34" t="str">
        <v/>
      </c>
      <c r="BU156" s="34">
        <v>0</v>
      </c>
      <c r="BV156" s="34">
        <v>177</v>
      </c>
      <c r="BW156" s="34">
        <v>1</v>
      </c>
      <c r="BX156" s="34">
        <v>0</v>
      </c>
      <c r="BY156" s="34" t="str">
        <v/>
      </c>
      <c r="BZ156">
        <v>8</v>
      </c>
      <c r="CA156" t="str">
        <v>линии</v>
      </c>
    </row>
    <row r="157" spans="1:79" x14ac:dyDescent="0.3">
      <c r="A157" s="39" t="str">
        <v>ЩР-001</v>
      </c>
      <c r="B157" s="42">
        <v>37</v>
      </c>
      <c r="C157" s="42">
        <v>3</v>
      </c>
      <c r="D157" s="75" t="str">
        <v/>
      </c>
      <c r="E157" s="75" t="str">
        <v>авто</v>
      </c>
      <c r="F157" s="76" t="str">
        <v/>
      </c>
      <c r="G157" s="47" t="str">
        <v>QF26</v>
      </c>
      <c r="H157" s="47" t="str">
        <v>1P С16А</v>
      </c>
      <c r="I157" s="75" t="str">
        <v/>
      </c>
      <c r="J157" s="76" t="str">
        <v/>
      </c>
      <c r="K157" s="76" t="str">
        <v/>
      </c>
      <c r="L157" s="75" t="str">
        <v/>
      </c>
      <c r="M157" s="49" t="str">
        <v/>
      </c>
      <c r="N157" s="76" t="str">
        <v/>
      </c>
      <c r="O157" s="49" t="str">
        <v/>
      </c>
      <c r="P157" s="77" t="str">
        <v>XT26</v>
      </c>
      <c r="Q157" s="53" t="str">
        <v>ВВГнг(А)-LS (3х2,5) L=38-3,48%</v>
      </c>
      <c r="R157" s="54" t="str">
        <v>ШТК-ЛВС.00</v>
      </c>
      <c r="S157" s="55" t="str">
        <v>Шкаф телекоммуникационный ШТК-ЛВС.00  Подвальный этаж Пом. №007Т</v>
      </c>
      <c r="T157" s="56">
        <v>2.7</v>
      </c>
      <c r="U157" s="56">
        <v>12.31</v>
      </c>
      <c r="V157" s="42" t="str">
        <v>L1</v>
      </c>
      <c r="W157" s="57" t="str">
        <v>ok</v>
      </c>
      <c r="X157" s="58" t="str">
        <v/>
      </c>
      <c r="Y157" s="75" t="str">
        <v/>
      </c>
      <c r="Z157" s="59">
        <v>12.306676790620971</v>
      </c>
      <c r="AA157" s="61">
        <v>16</v>
      </c>
      <c r="AB157" s="61">
        <v>25</v>
      </c>
      <c r="AC157" s="61" t="str">
        <v/>
      </c>
      <c r="AD157" s="62" t="str">
        <v>QF26 → XT26</v>
      </c>
      <c r="AE157" s="62" t="str">
        <v>потери 5,1 % &gt; 4 %</v>
      </c>
      <c r="AF157" s="34">
        <v>26</v>
      </c>
      <c r="AG157" s="34" t="str">
        <v>QF26</v>
      </c>
      <c r="AH157" s="34" t="str">
        <v/>
      </c>
      <c r="AI157" s="34" t="str">
        <v/>
      </c>
      <c r="AJ157" s="34" t="str">
        <v>QF26</v>
      </c>
      <c r="AK157" s="34">
        <v>1</v>
      </c>
      <c r="AL157" s="34" t="str">
        <v>ШТК-ЛВС</v>
      </c>
      <c r="AM157" s="34">
        <v>0</v>
      </c>
      <c r="AN157" s="34">
        <v>0</v>
      </c>
      <c r="AO157" s="34">
        <v>16</v>
      </c>
      <c r="AP157" s="34">
        <v>25</v>
      </c>
      <c r="AQ157" s="34">
        <v>16</v>
      </c>
      <c r="AR157" s="34">
        <v>1</v>
      </c>
      <c r="AS157" s="34">
        <v>0</v>
      </c>
      <c r="AT157" s="34" t="str">
        <v>1P</v>
      </c>
      <c r="AU157" s="34">
        <v>16</v>
      </c>
      <c r="AV157" s="34" t="str">
        <v/>
      </c>
      <c r="AW157" s="34" t="str">
        <v/>
      </c>
      <c r="AX157" s="34" t="str">
        <v/>
      </c>
      <c r="AY157" s="34">
        <v>1</v>
      </c>
      <c r="AZ157" s="34" t="str">
        <v/>
      </c>
      <c r="BA157" s="34">
        <v>0</v>
      </c>
      <c r="BB157" s="34">
        <v>0</v>
      </c>
      <c r="BD157" s="34">
        <v>1</v>
      </c>
      <c r="BE157" s="34">
        <v>0</v>
      </c>
      <c r="BF157" s="34">
        <v>0</v>
      </c>
      <c r="BG157" s="34" t="str">
        <v/>
      </c>
      <c r="BH157" s="34" t="str">
        <v/>
      </c>
      <c r="BI157" s="34" t="str">
        <v/>
      </c>
      <c r="BJ157" s="34" t="str">
        <v/>
      </c>
      <c r="BK157" s="34" t="str">
        <v>BOX</v>
      </c>
      <c r="BL157" s="34">
        <v>1</v>
      </c>
      <c r="BM157" s="34" t="str">
        <v/>
      </c>
      <c r="BN157" s="34" t="str">
        <v/>
      </c>
      <c r="BO157" s="34" t="str">
        <v/>
      </c>
      <c r="BP157" s="34" t="str">
        <v/>
      </c>
      <c r="BQ157" s="34" t="str">
        <v>3х2,5</v>
      </c>
      <c r="BR157" s="34" t="str">
        <v/>
      </c>
      <c r="BS157" s="34" t="str">
        <v/>
      </c>
      <c r="BT157" s="34" t="str">
        <v/>
      </c>
      <c r="BU157" s="34">
        <v>1</v>
      </c>
      <c r="BV157" s="34">
        <v>178</v>
      </c>
      <c r="BW157" s="34">
        <v>1</v>
      </c>
      <c r="BX157" s="34">
        <v>0</v>
      </c>
      <c r="BY157" s="34">
        <v>0</v>
      </c>
      <c r="BZ157">
        <v>8</v>
      </c>
      <c r="CA157" t="str">
        <v>линии</v>
      </c>
    </row>
    <row r="158" spans="1:79" x14ac:dyDescent="0.3">
      <c r="A158" s="39" t="str">
        <v>ЩР-001</v>
      </c>
      <c r="B158" s="42">
        <v>38</v>
      </c>
      <c r="C158" s="42">
        <v>3</v>
      </c>
      <c r="D158" s="75" t="str">
        <v/>
      </c>
      <c r="E158" s="75" t="str">
        <v>авто</v>
      </c>
      <c r="F158" s="76" t="str">
        <v/>
      </c>
      <c r="G158" s="47" t="str">
        <v>QF27</v>
      </c>
      <c r="H158" s="47" t="str">
        <v>1P С16А</v>
      </c>
      <c r="I158" s="75" t="str">
        <v/>
      </c>
      <c r="J158" s="76" t="str">
        <v/>
      </c>
      <c r="K158" s="76" t="str">
        <v/>
      </c>
      <c r="L158" s="75" t="str">
        <v/>
      </c>
      <c r="M158" s="49" t="str">
        <v/>
      </c>
      <c r="N158" s="76" t="str">
        <v/>
      </c>
      <c r="O158" s="49" t="str">
        <v/>
      </c>
      <c r="P158" s="77" t="str">
        <v/>
      </c>
      <c r="Q158" s="53" t="str">
        <v>ВВГнг(А)-LS (3х2,5) L=39-2,65%</v>
      </c>
      <c r="R158" s="54" t="str">
        <v>ШТК-СОТ.00</v>
      </c>
      <c r="S158" s="55" t="str">
        <v>Шкаф телекоммуникационный ШТК-СОТ.00  Подвальный этаж Пом. №007Т</v>
      </c>
      <c r="T158" s="56">
        <v>2</v>
      </c>
      <c r="U158" s="56">
        <v>9.1199999999999992</v>
      </c>
      <c r="V158" s="42" t="str">
        <v>L2</v>
      </c>
      <c r="W158" s="57" t="str">
        <v>ok</v>
      </c>
      <c r="X158" s="58" t="str">
        <v/>
      </c>
      <c r="Y158" s="75" t="str">
        <v/>
      </c>
      <c r="Z158" s="59">
        <v>9.1160568819414589</v>
      </c>
      <c r="AA158" s="61">
        <v>16</v>
      </c>
      <c r="AB158" s="61">
        <v>25</v>
      </c>
      <c r="AC158" s="61" t="str">
        <v/>
      </c>
      <c r="AD158" s="62" t="str">
        <v>QF27</v>
      </c>
      <c r="AE158" s="62" t="str">
        <v>потери 4,2 % &gt; 4 %</v>
      </c>
      <c r="AF158" s="34">
        <v>27</v>
      </c>
      <c r="AG158" s="34" t="str">
        <v>QF27</v>
      </c>
      <c r="AH158" s="34" t="str">
        <v/>
      </c>
      <c r="AI158" s="34" t="str">
        <v/>
      </c>
      <c r="AJ158" s="34" t="str">
        <v>QF27</v>
      </c>
      <c r="AK158" s="34">
        <v>1</v>
      </c>
      <c r="AL158" s="34" t="str">
        <v>ШТК-СОТ</v>
      </c>
      <c r="AM158" s="34">
        <v>0</v>
      </c>
      <c r="AN158" s="34">
        <v>0</v>
      </c>
      <c r="AO158" s="34">
        <v>16</v>
      </c>
      <c r="AP158" s="34">
        <v>25</v>
      </c>
      <c r="AQ158" s="34">
        <v>16</v>
      </c>
      <c r="AR158" s="34">
        <v>1</v>
      </c>
      <c r="AS158" s="34">
        <v>0</v>
      </c>
      <c r="AT158" s="34" t="str">
        <v>1P</v>
      </c>
      <c r="AU158" s="34">
        <v>16</v>
      </c>
      <c r="AV158" s="34" t="str">
        <v/>
      </c>
      <c r="AW158" s="34" t="str">
        <v/>
      </c>
      <c r="AX158" s="34" t="str">
        <v/>
      </c>
      <c r="AY158" s="34">
        <v>1</v>
      </c>
      <c r="AZ158" s="34" t="str">
        <v/>
      </c>
      <c r="BA158" s="34">
        <v>0</v>
      </c>
      <c r="BB158" s="34">
        <v>0</v>
      </c>
      <c r="BD158" s="34">
        <v>1</v>
      </c>
      <c r="BE158" s="34">
        <v>0</v>
      </c>
      <c r="BF158" s="34">
        <v>0</v>
      </c>
      <c r="BG158" s="34" t="str">
        <v/>
      </c>
      <c r="BH158" s="34" t="str">
        <v/>
      </c>
      <c r="BI158" s="34" t="str">
        <v/>
      </c>
      <c r="BJ158" s="34" t="str">
        <v/>
      </c>
      <c r="BK158" s="34" t="str">
        <v>BOX</v>
      </c>
      <c r="BL158" s="34">
        <v>1</v>
      </c>
      <c r="BM158" s="34" t="str">
        <v/>
      </c>
      <c r="BN158" s="34" t="str">
        <v/>
      </c>
      <c r="BO158" s="34" t="str">
        <v/>
      </c>
      <c r="BP158" s="34" t="str">
        <v/>
      </c>
      <c r="BQ158" s="34" t="str">
        <v>3х2,5</v>
      </c>
      <c r="BR158" s="34" t="str">
        <v/>
      </c>
      <c r="BS158" s="34" t="str">
        <v/>
      </c>
      <c r="BT158" s="34" t="str">
        <v/>
      </c>
      <c r="BU158" s="34">
        <v>1</v>
      </c>
      <c r="BV158" s="34">
        <v>179</v>
      </c>
      <c r="BW158" s="34">
        <v>1</v>
      </c>
      <c r="BX158" s="34">
        <v>0</v>
      </c>
      <c r="BY158" s="34">
        <v>0</v>
      </c>
      <c r="BZ158">
        <v>8</v>
      </c>
      <c r="CA158" t="str">
        <v>линии</v>
      </c>
    </row>
    <row r="159" spans="1:79" x14ac:dyDescent="0.3">
      <c r="A159" s="39" t="str">
        <v>ЩР-001</v>
      </c>
      <c r="B159" s="42">
        <v>40</v>
      </c>
      <c r="C159" s="42">
        <v>3</v>
      </c>
      <c r="D159" s="75" t="str">
        <v/>
      </c>
      <c r="E159" s="75" t="str">
        <v>авто</v>
      </c>
      <c r="F159" s="76" t="str">
        <v/>
      </c>
      <c r="G159" s="47" t="str">
        <v>QF28</v>
      </c>
      <c r="H159" s="47" t="str">
        <v>1P С16А</v>
      </c>
      <c r="I159" s="75" t="str">
        <v/>
      </c>
      <c r="J159" s="76" t="str">
        <v/>
      </c>
      <c r="K159" s="76" t="str">
        <v/>
      </c>
      <c r="L159" s="75" t="str">
        <v/>
      </c>
      <c r="M159" s="49" t="str">
        <v/>
      </c>
      <c r="N159" s="76" t="str">
        <v/>
      </c>
      <c r="O159" s="49" t="str">
        <v/>
      </c>
      <c r="P159" s="77" t="str">
        <v/>
      </c>
      <c r="Q159" s="53" t="str">
        <v>ВВГнг(А)-LS (3х2,5) L=98-1%</v>
      </c>
      <c r="R159" s="54" t="str">
        <v>ЩКД-6</v>
      </c>
      <c r="S159" s="55" t="str">
        <v>Щит контроля доступа ШДК-06. Пом. Венткиосок</v>
      </c>
      <c r="T159" s="56">
        <v>0.3</v>
      </c>
      <c r="U159" s="56">
        <v>1.37</v>
      </c>
      <c r="V159" s="42" t="str">
        <v>L2</v>
      </c>
      <c r="W159" s="57" t="str">
        <v>ok</v>
      </c>
      <c r="X159" s="58" t="str">
        <v/>
      </c>
      <c r="Y159" s="75" t="str">
        <v/>
      </c>
      <c r="Z159" s="59">
        <v>1.3674085322912188</v>
      </c>
      <c r="AA159" s="61">
        <v>6</v>
      </c>
      <c r="AB159" s="61">
        <v>25</v>
      </c>
      <c r="AC159" s="61" t="str">
        <v/>
      </c>
      <c r="AD159" s="62" t="str">
        <v>QF28</v>
      </c>
      <c r="AE159" s="62" t="str">
        <v/>
      </c>
      <c r="AF159" s="34">
        <v>28</v>
      </c>
      <c r="AG159" s="34" t="str">
        <v>QF28</v>
      </c>
      <c r="AH159" s="34" t="str">
        <v/>
      </c>
      <c r="AI159" s="34" t="str">
        <v/>
      </c>
      <c r="AJ159" s="34" t="str">
        <v>QF28</v>
      </c>
      <c r="AK159" s="34">
        <v>1</v>
      </c>
      <c r="AL159" s="34" t="str">
        <v>ЩКД-6</v>
      </c>
      <c r="AM159" s="34">
        <v>0</v>
      </c>
      <c r="AN159" s="34">
        <v>0</v>
      </c>
      <c r="AO159" s="34">
        <v>6</v>
      </c>
      <c r="AP159" s="34">
        <v>25</v>
      </c>
      <c r="AQ159" s="34">
        <v>16</v>
      </c>
      <c r="AR159" s="34">
        <v>1</v>
      </c>
      <c r="AS159" s="34">
        <v>0</v>
      </c>
      <c r="AT159" s="34" t="str">
        <v>1P</v>
      </c>
      <c r="AU159" s="34">
        <v>16</v>
      </c>
      <c r="AV159" s="34" t="str">
        <v/>
      </c>
      <c r="AW159" s="34" t="str">
        <v/>
      </c>
      <c r="AX159" s="34" t="str">
        <v/>
      </c>
      <c r="AY159" s="34">
        <v>1</v>
      </c>
      <c r="AZ159" s="34" t="str">
        <v/>
      </c>
      <c r="BA159" s="34">
        <v>0</v>
      </c>
      <c r="BB159" s="34">
        <v>0</v>
      </c>
      <c r="BD159" s="34">
        <v>1</v>
      </c>
      <c r="BE159" s="34">
        <v>0</v>
      </c>
      <c r="BF159" s="34">
        <v>0</v>
      </c>
      <c r="BG159" s="34" t="str">
        <v/>
      </c>
      <c r="BH159" s="34" t="str">
        <v/>
      </c>
      <c r="BI159" s="34" t="str">
        <v/>
      </c>
      <c r="BJ159" s="34" t="str">
        <v/>
      </c>
      <c r="BK159" s="34" t="str">
        <v>BOX</v>
      </c>
      <c r="BL159" s="34">
        <v>1</v>
      </c>
      <c r="BM159" s="34" t="str">
        <v/>
      </c>
      <c r="BN159" s="34" t="str">
        <v/>
      </c>
      <c r="BO159" s="34" t="str">
        <v/>
      </c>
      <c r="BP159" s="34" t="str">
        <v/>
      </c>
      <c r="BQ159" s="34" t="str">
        <v>3х2,5</v>
      </c>
      <c r="BR159" s="34" t="str">
        <v/>
      </c>
      <c r="BS159" s="34" t="str">
        <v/>
      </c>
      <c r="BT159" s="34" t="str">
        <v/>
      </c>
      <c r="BU159" s="34">
        <v>0</v>
      </c>
      <c r="BV159" s="34">
        <v>180</v>
      </c>
      <c r="BW159" s="34">
        <v>1</v>
      </c>
      <c r="BX159" s="34">
        <v>0</v>
      </c>
      <c r="BY159" s="34" t="str">
        <v/>
      </c>
      <c r="BZ159">
        <v>8</v>
      </c>
      <c r="CA159" t="str">
        <v>линии</v>
      </c>
    </row>
    <row r="160" spans="1:79" x14ac:dyDescent="0.3">
      <c r="A160" s="39" t="str">
        <v>ЩР-001</v>
      </c>
      <c r="B160" s="42">
        <v>41</v>
      </c>
      <c r="C160" s="42">
        <v>3</v>
      </c>
      <c r="D160" s="75" t="str">
        <v/>
      </c>
      <c r="E160" s="75" t="str">
        <v>авто</v>
      </c>
      <c r="F160" s="76" t="str">
        <v/>
      </c>
      <c r="G160" s="47" t="str">
        <v>QF29</v>
      </c>
      <c r="H160" s="47" t="str">
        <v>1P С16А</v>
      </c>
      <c r="I160" s="75" t="str">
        <v/>
      </c>
      <c r="J160" s="76" t="str">
        <v/>
      </c>
      <c r="K160" s="76" t="str">
        <v/>
      </c>
      <c r="L160" s="75" t="str">
        <v/>
      </c>
      <c r="M160" s="49" t="str">
        <v/>
      </c>
      <c r="N160" s="76" t="str">
        <v/>
      </c>
      <c r="O160" s="49" t="str">
        <v/>
      </c>
      <c r="P160" s="77" t="str">
        <v/>
      </c>
      <c r="Q160" s="53" t="str">
        <v>ВВГнг(А)-LS (3х2,5) L=12-0,21%</v>
      </c>
      <c r="R160" s="54" t="str">
        <v>ЩКД-001</v>
      </c>
      <c r="S160" s="55" t="str">
        <v>Щит контроля доступа ШДК-001 Подвальный этаж Пом. №004Т</v>
      </c>
      <c r="T160" s="56">
        <v>0.5</v>
      </c>
      <c r="U160" s="56">
        <v>2.2799999999999998</v>
      </c>
      <c r="V160" s="42" t="str">
        <v>L3</v>
      </c>
      <c r="W160" s="57" t="str">
        <v>ok</v>
      </c>
      <c r="X160" s="58" t="str">
        <v/>
      </c>
      <c r="Y160" s="75" t="str">
        <v/>
      </c>
      <c r="Z160" s="59">
        <v>2.2790142204853647</v>
      </c>
      <c r="AA160" s="61">
        <v>6</v>
      </c>
      <c r="AB160" s="61">
        <v>25</v>
      </c>
      <c r="AC160" s="61" t="str">
        <v/>
      </c>
      <c r="AD160" s="62" t="str">
        <v>QF29</v>
      </c>
      <c r="AE160" s="62" t="str">
        <v/>
      </c>
      <c r="AF160" s="34">
        <v>29</v>
      </c>
      <c r="AG160" s="34" t="str">
        <v>QF29</v>
      </c>
      <c r="AH160" s="34" t="str">
        <v/>
      </c>
      <c r="AI160" s="34" t="str">
        <v/>
      </c>
      <c r="AJ160" s="34" t="str">
        <v>QF29</v>
      </c>
      <c r="AK160" s="34">
        <v>1</v>
      </c>
      <c r="AL160" s="34" t="str">
        <v>ЩКД-001</v>
      </c>
      <c r="AM160" s="34">
        <v>0</v>
      </c>
      <c r="AN160" s="34">
        <v>0</v>
      </c>
      <c r="AO160" s="34">
        <v>6</v>
      </c>
      <c r="AP160" s="34">
        <v>25</v>
      </c>
      <c r="AQ160" s="34">
        <v>16</v>
      </c>
      <c r="AR160" s="34">
        <v>1</v>
      </c>
      <c r="AS160" s="34">
        <v>0</v>
      </c>
      <c r="AT160" s="34" t="str">
        <v>1P</v>
      </c>
      <c r="AU160" s="34">
        <v>16</v>
      </c>
      <c r="AV160" s="34" t="str">
        <v/>
      </c>
      <c r="AW160" s="34" t="str">
        <v/>
      </c>
      <c r="AX160" s="34" t="str">
        <v/>
      </c>
      <c r="AY160" s="34">
        <v>1</v>
      </c>
      <c r="AZ160" s="34" t="str">
        <v/>
      </c>
      <c r="BA160" s="34">
        <v>0</v>
      </c>
      <c r="BB160" s="34">
        <v>0</v>
      </c>
      <c r="BD160" s="34">
        <v>1</v>
      </c>
      <c r="BE160" s="34">
        <v>0</v>
      </c>
      <c r="BF160" s="34">
        <v>0</v>
      </c>
      <c r="BG160" s="34" t="str">
        <v/>
      </c>
      <c r="BH160" s="34" t="str">
        <v/>
      </c>
      <c r="BI160" s="34" t="str">
        <v/>
      </c>
      <c r="BJ160" s="34" t="str">
        <v/>
      </c>
      <c r="BK160" s="34" t="str">
        <v>BOX</v>
      </c>
      <c r="BL160" s="34">
        <v>1</v>
      </c>
      <c r="BM160" s="34" t="str">
        <v/>
      </c>
      <c r="BN160" s="34" t="str">
        <v/>
      </c>
      <c r="BO160" s="34" t="str">
        <v/>
      </c>
      <c r="BP160" s="34" t="str">
        <v/>
      </c>
      <c r="BQ160" s="34" t="str">
        <v>3х2,5</v>
      </c>
      <c r="BR160" s="34" t="str">
        <v/>
      </c>
      <c r="BS160" s="34" t="str">
        <v/>
      </c>
      <c r="BT160" s="34" t="str">
        <v/>
      </c>
      <c r="BU160" s="34">
        <v>0</v>
      </c>
      <c r="BV160" s="34">
        <v>181</v>
      </c>
      <c r="BW160" s="34">
        <v>1</v>
      </c>
      <c r="BX160" s="34">
        <v>0</v>
      </c>
      <c r="BY160" s="34" t="str">
        <v/>
      </c>
      <c r="BZ160">
        <v>8</v>
      </c>
      <c r="CA160" t="str">
        <v>линии</v>
      </c>
    </row>
    <row r="161" spans="1:79" x14ac:dyDescent="0.3">
      <c r="A161" s="39" t="str">
        <v>ЩР-01</v>
      </c>
      <c r="B161" s="42">
        <v>2</v>
      </c>
      <c r="C161" s="42">
        <v>1</v>
      </c>
      <c r="D161" s="75" t="str">
        <v/>
      </c>
      <c r="E161" s="75" t="str">
        <v>авто</v>
      </c>
      <c r="F161" s="76" t="str">
        <v/>
      </c>
      <c r="G161" s="47" t="str">
        <v/>
      </c>
      <c r="H161" s="47" t="str">
        <v>3P С40А</v>
      </c>
      <c r="I161" s="75" t="str">
        <v/>
      </c>
      <c r="J161" s="76" t="str">
        <v/>
      </c>
      <c r="K161" s="76" t="str">
        <v/>
      </c>
      <c r="L161" s="75" t="str">
        <v/>
      </c>
      <c r="M161" s="49" t="str">
        <v/>
      </c>
      <c r="N161" s="76" t="str">
        <v/>
      </c>
      <c r="O161" s="49" t="str">
        <v/>
      </c>
      <c r="P161" s="77" t="str">
        <v/>
      </c>
      <c r="Q161" s="53" t="str">
        <v>ВВГнг(А)-LS (5х10)</v>
      </c>
      <c r="R161" s="54" t="str">
        <v>Ввод.1</v>
      </c>
      <c r="S161" s="55" t="str">
        <v>Ввод</v>
      </c>
      <c r="T161" s="56">
        <v>24.405000000000005</v>
      </c>
      <c r="U161" s="56">
        <v>32.799999999999997</v>
      </c>
      <c r="V161" s="42" t="str">
        <v>L1,L2,L3</v>
      </c>
      <c r="W161" s="57" t="str">
        <v>ok</v>
      </c>
      <c r="X161" s="58" t="str">
        <v/>
      </c>
      <c r="Y161" s="75" t="str">
        <v>вручную</v>
      </c>
      <c r="Z161" s="59">
        <v>32.798575666043085</v>
      </c>
      <c r="AA161" s="61">
        <v>40</v>
      </c>
      <c r="AB161" s="61">
        <v>50</v>
      </c>
      <c r="AC161" s="61" t="str">
        <v/>
      </c>
      <c r="AD161" s="62" t="str">
        <v/>
      </c>
      <c r="AE161" s="62" t="str">
        <v/>
      </c>
      <c r="AF161" s="34" t="str">
        <v/>
      </c>
      <c r="AG161" s="34" t="str">
        <v/>
      </c>
      <c r="AH161" s="34" t="str">
        <v/>
      </c>
      <c r="AI161" s="34" t="str">
        <v/>
      </c>
      <c r="AJ161" s="34" t="str">
        <v/>
      </c>
      <c r="AK161" s="34">
        <v>3</v>
      </c>
      <c r="AL161" s="34" t="str">
        <v>Ввод</v>
      </c>
      <c r="AM161" s="34">
        <v>0</v>
      </c>
      <c r="AN161" s="34">
        <v>0</v>
      </c>
      <c r="AO161" s="34">
        <v>40</v>
      </c>
      <c r="AP161" s="34">
        <v>50</v>
      </c>
      <c r="AQ161" s="34">
        <v>40</v>
      </c>
      <c r="AR161" s="34">
        <v>3</v>
      </c>
      <c r="AS161" s="34">
        <v>0</v>
      </c>
      <c r="AT161" s="34" t="str">
        <v>3P</v>
      </c>
      <c r="AU161" s="34">
        <v>40</v>
      </c>
      <c r="AV161" s="34" t="str">
        <v/>
      </c>
      <c r="AW161" s="34" t="str">
        <v/>
      </c>
      <c r="AX161" s="34" t="str">
        <v/>
      </c>
      <c r="AY161" s="34">
        <v>0</v>
      </c>
      <c r="AZ161" s="34" t="str">
        <v/>
      </c>
      <c r="BA161" s="34">
        <v>0</v>
      </c>
      <c r="BB161" s="34">
        <v>0</v>
      </c>
      <c r="BD161" s="34">
        <v>0</v>
      </c>
      <c r="BE161" s="34">
        <v>0</v>
      </c>
      <c r="BF161" s="34">
        <v>0</v>
      </c>
      <c r="BG161" s="34" t="str">
        <v/>
      </c>
      <c r="BH161" s="34" t="str">
        <v/>
      </c>
      <c r="BI161" s="34" t="str">
        <v/>
      </c>
      <c r="BJ161" s="34" t="str">
        <v/>
      </c>
      <c r="BK161" s="34" t="str">
        <v>BOX</v>
      </c>
      <c r="BL161" s="34">
        <v>1</v>
      </c>
      <c r="BM161" s="34" t="str">
        <v/>
      </c>
      <c r="BN161" s="34" t="str">
        <v/>
      </c>
      <c r="BO161" s="34" t="str">
        <v/>
      </c>
      <c r="BP161" s="34" t="str">
        <v/>
      </c>
      <c r="BQ161" s="34" t="str">
        <v/>
      </c>
      <c r="BR161" s="34" t="str">
        <v/>
      </c>
      <c r="BS161" s="34" t="str">
        <v/>
      </c>
      <c r="BT161" s="34" t="str">
        <v/>
      </c>
      <c r="BU161" s="34">
        <v>0</v>
      </c>
      <c r="BV161" s="34">
        <v>182</v>
      </c>
      <c r="BW161" s="34">
        <v>0</v>
      </c>
      <c r="BX161" s="34">
        <v>0</v>
      </c>
      <c r="BY161" s="34">
        <v>0</v>
      </c>
      <c r="BZ161">
        <v>9</v>
      </c>
      <c r="CA161" t="str">
        <v>вводной узел</v>
      </c>
    </row>
    <row r="162" spans="1:79" x14ac:dyDescent="0.3">
      <c r="A162" s="39" t="str">
        <v>ЩР-01</v>
      </c>
      <c r="B162" s="42">
        <v>9</v>
      </c>
      <c r="C162" s="42">
        <v>1</v>
      </c>
      <c r="D162" s="75" t="str">
        <v/>
      </c>
      <c r="E162" s="75" t="str">
        <v>авто</v>
      </c>
      <c r="F162" s="76">
        <v>30</v>
      </c>
      <c r="G162" s="47" t="str">
        <v>QFD1</v>
      </c>
      <c r="H162" s="47" t="str">
        <v>2P С16А 30мА</v>
      </c>
      <c r="I162" s="75" t="str">
        <v/>
      </c>
      <c r="J162" s="76" t="str">
        <v/>
      </c>
      <c r="K162" s="76" t="str">
        <v/>
      </c>
      <c r="L162" s="75" t="str">
        <v/>
      </c>
      <c r="M162" s="49" t="str">
        <v/>
      </c>
      <c r="N162" s="76" t="str">
        <v/>
      </c>
      <c r="O162" s="49" t="str">
        <v/>
      </c>
      <c r="P162" s="77" t="str">
        <v>XT1</v>
      </c>
      <c r="Q162" s="53" t="str">
        <v>ВВГнг(А)-LS (3х2,5) L=38-0,16%</v>
      </c>
      <c r="R162" s="54" t="str">
        <v>R.0.002A.1</v>
      </c>
      <c r="S162" s="55" t="str">
        <v>Розеточная группа, пом. 002A</v>
      </c>
      <c r="T162" s="56">
        <v>0.12</v>
      </c>
      <c r="U162" s="56">
        <v>0.55000000000000004</v>
      </c>
      <c r="V162" s="42" t="str">
        <v>L3</v>
      </c>
      <c r="W162" s="57" t="str">
        <v>ok</v>
      </c>
      <c r="X162" s="58" t="str">
        <v/>
      </c>
      <c r="Y162" s="75" t="str">
        <v/>
      </c>
      <c r="Z162" s="59">
        <v>0.54696341291648753</v>
      </c>
      <c r="AA162" s="61">
        <v>16</v>
      </c>
      <c r="AB162" s="61">
        <v>25</v>
      </c>
      <c r="AC162" s="61" t="str">
        <v/>
      </c>
      <c r="AD162" s="62" t="str">
        <v>QFD1 → XT1</v>
      </c>
      <c r="AE162" s="62" t="str">
        <v/>
      </c>
      <c r="AF162" s="34">
        <v>1</v>
      </c>
      <c r="AG162" s="34" t="str">
        <v>QFD1</v>
      </c>
      <c r="AH162" s="34" t="str">
        <v/>
      </c>
      <c r="AI162" s="34" t="str">
        <v/>
      </c>
      <c r="AJ162" s="34" t="str">
        <v>QFD1</v>
      </c>
      <c r="AK162" s="34">
        <v>1</v>
      </c>
      <c r="AL162" s="34" t="str">
        <v>R</v>
      </c>
      <c r="AM162" s="34">
        <v>30</v>
      </c>
      <c r="AN162" s="34">
        <v>0</v>
      </c>
      <c r="AO162" s="34">
        <v>16</v>
      </c>
      <c r="AP162" s="34">
        <v>25</v>
      </c>
      <c r="AQ162" s="34">
        <v>16</v>
      </c>
      <c r="AR162" s="34">
        <v>1</v>
      </c>
      <c r="AS162" s="34">
        <v>1</v>
      </c>
      <c r="AT162" s="34" t="str">
        <v>2P</v>
      </c>
      <c r="AU162" s="34">
        <v>16</v>
      </c>
      <c r="AV162" s="34" t="str">
        <v/>
      </c>
      <c r="AW162" s="34" t="str">
        <v/>
      </c>
      <c r="AX162" s="34" t="str">
        <v/>
      </c>
      <c r="AY162" s="34">
        <v>1</v>
      </c>
      <c r="AZ162" s="34" t="str">
        <v/>
      </c>
      <c r="BA162" s="34">
        <v>0</v>
      </c>
      <c r="BB162" s="34">
        <v>16</v>
      </c>
      <c r="BD162" s="34">
        <v>1</v>
      </c>
      <c r="BE162" s="34">
        <v>0</v>
      </c>
      <c r="BF162" s="34">
        <v>1</v>
      </c>
      <c r="BG162" s="34" t="str">
        <v/>
      </c>
      <c r="BH162" s="34" t="str">
        <v/>
      </c>
      <c r="BI162" s="34" t="str">
        <v/>
      </c>
      <c r="BJ162" s="34" t="str">
        <v/>
      </c>
      <c r="BK162" s="34" t="str">
        <v>SOCKET</v>
      </c>
      <c r="BL162" s="34">
        <v>1</v>
      </c>
      <c r="BM162" s="34" t="str">
        <v/>
      </c>
      <c r="BN162" s="34" t="str">
        <v/>
      </c>
      <c r="BO162" s="34" t="str">
        <v/>
      </c>
      <c r="BP162" s="34" t="str">
        <v/>
      </c>
      <c r="BQ162" s="34" t="str">
        <v>3х2,5</v>
      </c>
      <c r="BR162" s="34" t="str">
        <v/>
      </c>
      <c r="BS162" s="34" t="str">
        <v/>
      </c>
      <c r="BT162" s="34" t="str">
        <v/>
      </c>
      <c r="BU162" s="34">
        <v>0</v>
      </c>
      <c r="BV162" s="34">
        <v>183</v>
      </c>
      <c r="BW162" s="34">
        <v>1</v>
      </c>
      <c r="BX162" s="34">
        <v>0</v>
      </c>
      <c r="BY162" s="34" t="str">
        <v>Розетка</v>
      </c>
      <c r="BZ162">
        <v>9</v>
      </c>
      <c r="CA162" t="str">
        <v>линии</v>
      </c>
    </row>
    <row r="163" spans="1:79" x14ac:dyDescent="0.3">
      <c r="A163" s="39" t="str">
        <v>ЩР-01</v>
      </c>
      <c r="B163" s="42">
        <v>10</v>
      </c>
      <c r="C163" s="42">
        <v>1</v>
      </c>
      <c r="D163" s="75" t="str">
        <v/>
      </c>
      <c r="E163" s="75" t="str">
        <v>авто</v>
      </c>
      <c r="F163" s="76">
        <v>30</v>
      </c>
      <c r="G163" s="47" t="str">
        <v>QFD2</v>
      </c>
      <c r="H163" s="47" t="str">
        <v>2P С16А 30мА</v>
      </c>
      <c r="I163" s="75" t="str">
        <v/>
      </c>
      <c r="J163" s="76" t="str">
        <v/>
      </c>
      <c r="K163" s="76" t="str">
        <v/>
      </c>
      <c r="L163" s="75" t="str">
        <v/>
      </c>
      <c r="M163" s="49" t="str">
        <v/>
      </c>
      <c r="N163" s="76" t="str">
        <v/>
      </c>
      <c r="O163" s="49" t="str">
        <v/>
      </c>
      <c r="P163" s="77" t="str">
        <v>XT2</v>
      </c>
      <c r="Q163" s="53" t="str">
        <v>ВВГнг(А)-LS (3х2,5) L=79-0,81%</v>
      </c>
      <c r="R163" s="54" t="str">
        <v>R.0.002A.2</v>
      </c>
      <c r="S163" s="55" t="str">
        <v>Розеточная группа, пом. 002A</v>
      </c>
      <c r="T163" s="56">
        <v>0.3</v>
      </c>
      <c r="U163" s="56">
        <v>1.37</v>
      </c>
      <c r="V163" s="42" t="str">
        <v>L3</v>
      </c>
      <c r="W163" s="57" t="str">
        <v>ok</v>
      </c>
      <c r="X163" s="58" t="str">
        <v/>
      </c>
      <c r="Y163" s="75" t="str">
        <v/>
      </c>
      <c r="Z163" s="59">
        <v>1.3674085322912188</v>
      </c>
      <c r="AA163" s="61">
        <v>16</v>
      </c>
      <c r="AB163" s="61">
        <v>25</v>
      </c>
      <c r="AC163" s="61" t="str">
        <v/>
      </c>
      <c r="AD163" s="62" t="str">
        <v>QFD2 → XT2</v>
      </c>
      <c r="AE163" s="62" t="str">
        <v/>
      </c>
      <c r="AF163" s="34">
        <v>2</v>
      </c>
      <c r="AG163" s="34" t="str">
        <v>QFD2</v>
      </c>
      <c r="AH163" s="34" t="str">
        <v/>
      </c>
      <c r="AI163" s="34" t="str">
        <v/>
      </c>
      <c r="AJ163" s="34" t="str">
        <v>QFD2</v>
      </c>
      <c r="AK163" s="34">
        <v>1</v>
      </c>
      <c r="AL163" s="34" t="str">
        <v>R</v>
      </c>
      <c r="AM163" s="34">
        <v>30</v>
      </c>
      <c r="AN163" s="34">
        <v>0</v>
      </c>
      <c r="AO163" s="34">
        <v>16</v>
      </c>
      <c r="AP163" s="34">
        <v>25</v>
      </c>
      <c r="AQ163" s="34">
        <v>16</v>
      </c>
      <c r="AR163" s="34">
        <v>1</v>
      </c>
      <c r="AS163" s="34">
        <v>1</v>
      </c>
      <c r="AT163" s="34" t="str">
        <v>2P</v>
      </c>
      <c r="AU163" s="34">
        <v>16</v>
      </c>
      <c r="AV163" s="34" t="str">
        <v/>
      </c>
      <c r="AW163" s="34" t="str">
        <v/>
      </c>
      <c r="AX163" s="34" t="str">
        <v/>
      </c>
      <c r="AY163" s="34">
        <v>1</v>
      </c>
      <c r="AZ163" s="34" t="str">
        <v/>
      </c>
      <c r="BA163" s="34">
        <v>0</v>
      </c>
      <c r="BB163" s="34">
        <v>16</v>
      </c>
      <c r="BD163" s="34">
        <v>1</v>
      </c>
      <c r="BE163" s="34">
        <v>0</v>
      </c>
      <c r="BF163" s="34">
        <v>1</v>
      </c>
      <c r="BG163" s="34" t="str">
        <v/>
      </c>
      <c r="BH163" s="34" t="str">
        <v/>
      </c>
      <c r="BI163" s="34" t="str">
        <v/>
      </c>
      <c r="BJ163" s="34" t="str">
        <v/>
      </c>
      <c r="BK163" s="34" t="str">
        <v>SOCKET</v>
      </c>
      <c r="BL163" s="34">
        <v>1</v>
      </c>
      <c r="BM163" s="34" t="str">
        <v/>
      </c>
      <c r="BN163" s="34" t="str">
        <v/>
      </c>
      <c r="BO163" s="34" t="str">
        <v/>
      </c>
      <c r="BP163" s="34" t="str">
        <v/>
      </c>
      <c r="BQ163" s="34" t="str">
        <v>3х2,5</v>
      </c>
      <c r="BR163" s="34" t="str">
        <v/>
      </c>
      <c r="BS163" s="34" t="str">
        <v/>
      </c>
      <c r="BT163" s="34" t="str">
        <v/>
      </c>
      <c r="BU163" s="34">
        <v>0</v>
      </c>
      <c r="BV163" s="34">
        <v>184</v>
      </c>
      <c r="BW163" s="34">
        <v>1</v>
      </c>
      <c r="BX163" s="34">
        <v>0</v>
      </c>
      <c r="BY163" s="34" t="str">
        <v>Розетка</v>
      </c>
      <c r="BZ163">
        <v>9</v>
      </c>
      <c r="CA163" t="str">
        <v>линии</v>
      </c>
    </row>
    <row r="164" spans="1:79" x14ac:dyDescent="0.3">
      <c r="A164" s="39" t="str">
        <v>ЩР-01</v>
      </c>
      <c r="B164" s="42">
        <v>11</v>
      </c>
      <c r="C164" s="42">
        <v>1</v>
      </c>
      <c r="D164" s="75" t="str">
        <v/>
      </c>
      <c r="E164" s="75" t="str">
        <v>авто</v>
      </c>
      <c r="F164" s="76">
        <v>30</v>
      </c>
      <c r="G164" s="47" t="str">
        <v>QFD3</v>
      </c>
      <c r="H164" s="47" t="str">
        <v>2P С16А 30мА</v>
      </c>
      <c r="I164" s="75" t="str">
        <v/>
      </c>
      <c r="J164" s="76" t="str">
        <v/>
      </c>
      <c r="K164" s="76" t="str">
        <v/>
      </c>
      <c r="L164" s="75" t="str">
        <v/>
      </c>
      <c r="M164" s="49" t="str">
        <v/>
      </c>
      <c r="N164" s="76" t="str">
        <v/>
      </c>
      <c r="O164" s="49" t="str">
        <v/>
      </c>
      <c r="P164" s="77" t="str">
        <v>XT3</v>
      </c>
      <c r="Q164" s="53" t="str">
        <v>ВВГнг(А)-LS (3х2,5) L=47-0,29%</v>
      </c>
      <c r="R164" s="54" t="str">
        <v>R.0.002A.3</v>
      </c>
      <c r="S164" s="55" t="str">
        <v>Розеточная группа, пом. 002A</v>
      </c>
      <c r="T164" s="56">
        <v>0.18</v>
      </c>
      <c r="U164" s="56">
        <v>0.83</v>
      </c>
      <c r="V164" s="42" t="str">
        <v>L2</v>
      </c>
      <c r="W164" s="57" t="str">
        <v>ok</v>
      </c>
      <c r="X164" s="58" t="str">
        <v/>
      </c>
      <c r="Y164" s="75" t="str">
        <v/>
      </c>
      <c r="Z164" s="59">
        <v>0.8204451193747313</v>
      </c>
      <c r="AA164" s="61">
        <v>16</v>
      </c>
      <c r="AB164" s="61">
        <v>25</v>
      </c>
      <c r="AC164" s="61" t="str">
        <v/>
      </c>
      <c r="AD164" s="62" t="str">
        <v>QFD3 → XT3</v>
      </c>
      <c r="AE164" s="62" t="str">
        <v/>
      </c>
      <c r="AF164" s="34">
        <v>3</v>
      </c>
      <c r="AG164" s="34" t="str">
        <v>QFD3</v>
      </c>
      <c r="AH164" s="34" t="str">
        <v/>
      </c>
      <c r="AI164" s="34" t="str">
        <v/>
      </c>
      <c r="AJ164" s="34" t="str">
        <v>QFD3</v>
      </c>
      <c r="AK164" s="34">
        <v>1</v>
      </c>
      <c r="AL164" s="34" t="str">
        <v>R</v>
      </c>
      <c r="AM164" s="34">
        <v>30</v>
      </c>
      <c r="AN164" s="34">
        <v>0</v>
      </c>
      <c r="AO164" s="34">
        <v>16</v>
      </c>
      <c r="AP164" s="34">
        <v>25</v>
      </c>
      <c r="AQ164" s="34">
        <v>16</v>
      </c>
      <c r="AR164" s="34">
        <v>1</v>
      </c>
      <c r="AS164" s="34">
        <v>1</v>
      </c>
      <c r="AT164" s="34" t="str">
        <v>2P</v>
      </c>
      <c r="AU164" s="34">
        <v>16</v>
      </c>
      <c r="AV164" s="34" t="str">
        <v/>
      </c>
      <c r="AW164" s="34" t="str">
        <v/>
      </c>
      <c r="AX164" s="34" t="str">
        <v/>
      </c>
      <c r="AY164" s="34">
        <v>1</v>
      </c>
      <c r="AZ164" s="34" t="str">
        <v/>
      </c>
      <c r="BA164" s="34">
        <v>0</v>
      </c>
      <c r="BB164" s="34">
        <v>16</v>
      </c>
      <c r="BD164" s="34">
        <v>1</v>
      </c>
      <c r="BE164" s="34">
        <v>0</v>
      </c>
      <c r="BF164" s="34">
        <v>1</v>
      </c>
      <c r="BG164" s="34" t="str">
        <v/>
      </c>
      <c r="BH164" s="34" t="str">
        <v/>
      </c>
      <c r="BI164" s="34" t="str">
        <v/>
      </c>
      <c r="BJ164" s="34" t="str">
        <v/>
      </c>
      <c r="BK164" s="34" t="str">
        <v>SOCKET</v>
      </c>
      <c r="BL164" s="34">
        <v>1</v>
      </c>
      <c r="BM164" s="34" t="str">
        <v/>
      </c>
      <c r="BN164" s="34" t="str">
        <v/>
      </c>
      <c r="BO164" s="34" t="str">
        <v/>
      </c>
      <c r="BP164" s="34" t="str">
        <v/>
      </c>
      <c r="BQ164" s="34" t="str">
        <v>3х2,5</v>
      </c>
      <c r="BR164" s="34" t="str">
        <v/>
      </c>
      <c r="BS164" s="34" t="str">
        <v/>
      </c>
      <c r="BT164" s="34" t="str">
        <v/>
      </c>
      <c r="BU164" s="34">
        <v>0</v>
      </c>
      <c r="BV164" s="34">
        <v>185</v>
      </c>
      <c r="BW164" s="34">
        <v>1</v>
      </c>
      <c r="BX164" s="34">
        <v>0</v>
      </c>
      <c r="BY164" s="34" t="str">
        <v>Розетка</v>
      </c>
      <c r="BZ164">
        <v>9</v>
      </c>
      <c r="CA164" t="str">
        <v>линии</v>
      </c>
    </row>
    <row r="165" spans="1:79" x14ac:dyDescent="0.3">
      <c r="A165" s="39" t="str">
        <v>ЩР-01</v>
      </c>
      <c r="B165" s="42">
        <v>12</v>
      </c>
      <c r="C165" s="42">
        <v>1</v>
      </c>
      <c r="D165" s="75" t="str">
        <v/>
      </c>
      <c r="E165" s="75" t="str">
        <v>авто</v>
      </c>
      <c r="F165" s="76">
        <v>30</v>
      </c>
      <c r="G165" s="47" t="str">
        <v>QFD4</v>
      </c>
      <c r="H165" s="47" t="str">
        <v>2P С16А 30мА</v>
      </c>
      <c r="I165" s="75" t="str">
        <v/>
      </c>
      <c r="J165" s="76" t="str">
        <v/>
      </c>
      <c r="K165" s="76" t="str">
        <v/>
      </c>
      <c r="L165" s="75" t="str">
        <v/>
      </c>
      <c r="M165" s="49" t="str">
        <v/>
      </c>
      <c r="N165" s="76" t="str">
        <v/>
      </c>
      <c r="O165" s="49" t="str">
        <v/>
      </c>
      <c r="P165" s="77" t="str">
        <v>XT4</v>
      </c>
      <c r="Q165" s="53" t="str">
        <v>ВВГнг(А)-LS (3х2,5) L=32-0,07%</v>
      </c>
      <c r="R165" s="54" t="str">
        <v>R.0.002T.1</v>
      </c>
      <c r="S165" s="55" t="str">
        <v>Розеточная группа, пом. 002T</v>
      </c>
      <c r="T165" s="56">
        <v>0.06</v>
      </c>
      <c r="U165" s="56">
        <v>0.28000000000000003</v>
      </c>
      <c r="V165" s="42" t="str">
        <v>L3</v>
      </c>
      <c r="W165" s="57" t="str">
        <v>ok</v>
      </c>
      <c r="X165" s="58" t="str">
        <v/>
      </c>
      <c r="Y165" s="75" t="str">
        <v/>
      </c>
      <c r="Z165" s="59">
        <v>0.27348170645824377</v>
      </c>
      <c r="AA165" s="61">
        <v>16</v>
      </c>
      <c r="AB165" s="61">
        <v>25</v>
      </c>
      <c r="AC165" s="61" t="str">
        <v/>
      </c>
      <c r="AD165" s="62" t="str">
        <v>QFD4 → XT4</v>
      </c>
      <c r="AE165" s="62" t="str">
        <v/>
      </c>
      <c r="AF165" s="34">
        <v>4</v>
      </c>
      <c r="AG165" s="34" t="str">
        <v>QFD4</v>
      </c>
      <c r="AH165" s="34" t="str">
        <v/>
      </c>
      <c r="AI165" s="34" t="str">
        <v/>
      </c>
      <c r="AJ165" s="34" t="str">
        <v>QFD4</v>
      </c>
      <c r="AK165" s="34">
        <v>1</v>
      </c>
      <c r="AL165" s="34" t="str">
        <v>R</v>
      </c>
      <c r="AM165" s="34">
        <v>30</v>
      </c>
      <c r="AN165" s="34">
        <v>0</v>
      </c>
      <c r="AO165" s="34">
        <v>16</v>
      </c>
      <c r="AP165" s="34">
        <v>25</v>
      </c>
      <c r="AQ165" s="34">
        <v>16</v>
      </c>
      <c r="AR165" s="34">
        <v>1</v>
      </c>
      <c r="AS165" s="34">
        <v>1</v>
      </c>
      <c r="AT165" s="34" t="str">
        <v>2P</v>
      </c>
      <c r="AU165" s="34">
        <v>16</v>
      </c>
      <c r="AV165" s="34" t="str">
        <v/>
      </c>
      <c r="AW165" s="34" t="str">
        <v/>
      </c>
      <c r="AX165" s="34" t="str">
        <v/>
      </c>
      <c r="AY165" s="34">
        <v>1</v>
      </c>
      <c r="AZ165" s="34" t="str">
        <v/>
      </c>
      <c r="BA165" s="34">
        <v>0</v>
      </c>
      <c r="BB165" s="34">
        <v>16</v>
      </c>
      <c r="BD165" s="34">
        <v>1</v>
      </c>
      <c r="BE165" s="34">
        <v>0</v>
      </c>
      <c r="BF165" s="34">
        <v>1</v>
      </c>
      <c r="BG165" s="34" t="str">
        <v/>
      </c>
      <c r="BH165" s="34" t="str">
        <v/>
      </c>
      <c r="BI165" s="34" t="str">
        <v/>
      </c>
      <c r="BJ165" s="34" t="str">
        <v/>
      </c>
      <c r="BK165" s="34" t="str">
        <v>SOCKET</v>
      </c>
      <c r="BL165" s="34">
        <v>1</v>
      </c>
      <c r="BM165" s="34" t="str">
        <v/>
      </c>
      <c r="BN165" s="34" t="str">
        <v/>
      </c>
      <c r="BO165" s="34" t="str">
        <v/>
      </c>
      <c r="BP165" s="34" t="str">
        <v/>
      </c>
      <c r="BQ165" s="34" t="str">
        <v>3х2,5</v>
      </c>
      <c r="BR165" s="34" t="str">
        <v/>
      </c>
      <c r="BS165" s="34" t="str">
        <v/>
      </c>
      <c r="BT165" s="34" t="str">
        <v/>
      </c>
      <c r="BU165" s="34">
        <v>0</v>
      </c>
      <c r="BV165" s="34">
        <v>186</v>
      </c>
      <c r="BW165" s="34">
        <v>1</v>
      </c>
      <c r="BX165" s="34">
        <v>0</v>
      </c>
      <c r="BY165" s="34" t="str">
        <v>Розетка</v>
      </c>
      <c r="BZ165">
        <v>9</v>
      </c>
      <c r="CA165" t="str">
        <v>линии</v>
      </c>
    </row>
    <row r="166" spans="1:79" x14ac:dyDescent="0.3">
      <c r="A166" s="39" t="str">
        <v>ЩР-01</v>
      </c>
      <c r="B166" s="42">
        <v>13</v>
      </c>
      <c r="C166" s="42">
        <v>1</v>
      </c>
      <c r="D166" s="75" t="str">
        <v/>
      </c>
      <c r="E166" s="75" t="str">
        <v>авто</v>
      </c>
      <c r="F166" s="76">
        <v>30</v>
      </c>
      <c r="G166" s="47" t="str">
        <v>QFD5</v>
      </c>
      <c r="H166" s="47" t="str">
        <v>2P С16А 30мА</v>
      </c>
      <c r="I166" s="75" t="str">
        <v/>
      </c>
      <c r="J166" s="76" t="str">
        <v/>
      </c>
      <c r="K166" s="76" t="str">
        <v/>
      </c>
      <c r="L166" s="75" t="str">
        <v/>
      </c>
      <c r="M166" s="49" t="str">
        <v/>
      </c>
      <c r="N166" s="76" t="str">
        <v/>
      </c>
      <c r="O166" s="49" t="str">
        <v/>
      </c>
      <c r="P166" s="77" t="str">
        <v>XT5</v>
      </c>
      <c r="Q166" s="53" t="str">
        <v>ВВГнг(А)-LS (3х2,5) L=45-0,37%</v>
      </c>
      <c r="R166" s="54" t="str">
        <v>R.0.002Б.1</v>
      </c>
      <c r="S166" s="55" t="str">
        <v>Розеточная группа, пом. 002Б</v>
      </c>
      <c r="T166" s="56">
        <v>0.24</v>
      </c>
      <c r="U166" s="56">
        <v>1.1000000000000001</v>
      </c>
      <c r="V166" s="42" t="str">
        <v>L3</v>
      </c>
      <c r="W166" s="57" t="str">
        <v>ok</v>
      </c>
      <c r="X166" s="58" t="str">
        <v/>
      </c>
      <c r="Y166" s="75" t="str">
        <v/>
      </c>
      <c r="Z166" s="59">
        <v>1.0939268258329751</v>
      </c>
      <c r="AA166" s="61">
        <v>16</v>
      </c>
      <c r="AB166" s="61">
        <v>25</v>
      </c>
      <c r="AC166" s="61" t="str">
        <v/>
      </c>
      <c r="AD166" s="62" t="str">
        <v>QFD5 → XT5</v>
      </c>
      <c r="AE166" s="62" t="str">
        <v/>
      </c>
      <c r="AF166" s="34">
        <v>5</v>
      </c>
      <c r="AG166" s="34" t="str">
        <v>QFD5</v>
      </c>
      <c r="AH166" s="34" t="str">
        <v/>
      </c>
      <c r="AI166" s="34" t="str">
        <v/>
      </c>
      <c r="AJ166" s="34" t="str">
        <v>QFD5</v>
      </c>
      <c r="AK166" s="34">
        <v>1</v>
      </c>
      <c r="AL166" s="34" t="str">
        <v>R</v>
      </c>
      <c r="AM166" s="34">
        <v>30</v>
      </c>
      <c r="AN166" s="34">
        <v>0</v>
      </c>
      <c r="AO166" s="34">
        <v>16</v>
      </c>
      <c r="AP166" s="34">
        <v>25</v>
      </c>
      <c r="AQ166" s="34">
        <v>16</v>
      </c>
      <c r="AR166" s="34">
        <v>1</v>
      </c>
      <c r="AS166" s="34">
        <v>1</v>
      </c>
      <c r="AT166" s="34" t="str">
        <v>2P</v>
      </c>
      <c r="AU166" s="34">
        <v>16</v>
      </c>
      <c r="AV166" s="34" t="str">
        <v/>
      </c>
      <c r="AW166" s="34" t="str">
        <v/>
      </c>
      <c r="AX166" s="34" t="str">
        <v/>
      </c>
      <c r="AY166" s="34">
        <v>1</v>
      </c>
      <c r="AZ166" s="34" t="str">
        <v/>
      </c>
      <c r="BA166" s="34">
        <v>0</v>
      </c>
      <c r="BB166" s="34">
        <v>16</v>
      </c>
      <c r="BD166" s="34">
        <v>1</v>
      </c>
      <c r="BE166" s="34">
        <v>0</v>
      </c>
      <c r="BF166" s="34">
        <v>1</v>
      </c>
      <c r="BG166" s="34" t="str">
        <v/>
      </c>
      <c r="BH166" s="34" t="str">
        <v/>
      </c>
      <c r="BI166" s="34" t="str">
        <v/>
      </c>
      <c r="BJ166" s="34" t="str">
        <v/>
      </c>
      <c r="BK166" s="34" t="str">
        <v>SOCKET</v>
      </c>
      <c r="BL166" s="34">
        <v>1</v>
      </c>
      <c r="BM166" s="34" t="str">
        <v/>
      </c>
      <c r="BN166" s="34" t="str">
        <v/>
      </c>
      <c r="BO166" s="34" t="str">
        <v/>
      </c>
      <c r="BP166" s="34" t="str">
        <v/>
      </c>
      <c r="BQ166" s="34" t="str">
        <v>3х2,5</v>
      </c>
      <c r="BR166" s="34" t="str">
        <v/>
      </c>
      <c r="BS166" s="34" t="str">
        <v/>
      </c>
      <c r="BT166" s="34" t="str">
        <v/>
      </c>
      <c r="BU166" s="34">
        <v>0</v>
      </c>
      <c r="BV166" s="34">
        <v>187</v>
      </c>
      <c r="BW166" s="34">
        <v>1</v>
      </c>
      <c r="BX166" s="34">
        <v>0</v>
      </c>
      <c r="BY166" s="34" t="str">
        <v>Розетка</v>
      </c>
      <c r="BZ166">
        <v>9</v>
      </c>
      <c r="CA166" t="str">
        <v>линии</v>
      </c>
    </row>
    <row r="167" spans="1:79" x14ac:dyDescent="0.3">
      <c r="A167" s="39" t="str">
        <v>ЩР-01</v>
      </c>
      <c r="B167" s="42">
        <v>14</v>
      </c>
      <c r="C167" s="42">
        <v>1</v>
      </c>
      <c r="D167" s="75" t="str">
        <v/>
      </c>
      <c r="E167" s="75" t="str">
        <v>авто</v>
      </c>
      <c r="F167" s="76">
        <v>30</v>
      </c>
      <c r="G167" s="47" t="str">
        <v>QFD6</v>
      </c>
      <c r="H167" s="47" t="str">
        <v>2P С16А 30мА</v>
      </c>
      <c r="I167" s="75" t="str">
        <v/>
      </c>
      <c r="J167" s="76" t="str">
        <v/>
      </c>
      <c r="K167" s="76" t="str">
        <v/>
      </c>
      <c r="L167" s="75" t="str">
        <v/>
      </c>
      <c r="M167" s="49" t="str">
        <v/>
      </c>
      <c r="N167" s="76" t="str">
        <v/>
      </c>
      <c r="O167" s="49" t="str">
        <v/>
      </c>
      <c r="P167" s="77" t="str">
        <v>XT6</v>
      </c>
      <c r="Q167" s="53" t="str">
        <v>ВВГнг(А)-LS (3х2,5) L=121-2,22%</v>
      </c>
      <c r="R167" s="54" t="str">
        <v>R.0.002Б.2</v>
      </c>
      <c r="S167" s="55" t="str">
        <v>Розеточная группа, пом. 002Б</v>
      </c>
      <c r="T167" s="56">
        <v>0.54</v>
      </c>
      <c r="U167" s="56">
        <v>2.4699999999999998</v>
      </c>
      <c r="V167" s="42" t="str">
        <v>L3</v>
      </c>
      <c r="W167" s="57" t="str">
        <v>ok</v>
      </c>
      <c r="X167" s="58" t="str">
        <v/>
      </c>
      <c r="Y167" s="75" t="str">
        <v/>
      </c>
      <c r="Z167" s="59">
        <v>2.4613353581241939</v>
      </c>
      <c r="AA167" s="61">
        <v>16</v>
      </c>
      <c r="AB167" s="61">
        <v>25</v>
      </c>
      <c r="AC167" s="61" t="str">
        <v/>
      </c>
      <c r="AD167" s="62" t="str">
        <v>QFD6 → XT6</v>
      </c>
      <c r="AE167" s="62" t="str">
        <v/>
      </c>
      <c r="AF167" s="34">
        <v>6</v>
      </c>
      <c r="AG167" s="34" t="str">
        <v>QFD6</v>
      </c>
      <c r="AH167" s="34" t="str">
        <v/>
      </c>
      <c r="AI167" s="34" t="str">
        <v/>
      </c>
      <c r="AJ167" s="34" t="str">
        <v>QFD6</v>
      </c>
      <c r="AK167" s="34">
        <v>1</v>
      </c>
      <c r="AL167" s="34" t="str">
        <v>R</v>
      </c>
      <c r="AM167" s="34">
        <v>30</v>
      </c>
      <c r="AN167" s="34">
        <v>0</v>
      </c>
      <c r="AO167" s="34">
        <v>16</v>
      </c>
      <c r="AP167" s="34">
        <v>25</v>
      </c>
      <c r="AQ167" s="34">
        <v>16</v>
      </c>
      <c r="AR167" s="34">
        <v>1</v>
      </c>
      <c r="AS167" s="34">
        <v>1</v>
      </c>
      <c r="AT167" s="34" t="str">
        <v>2P</v>
      </c>
      <c r="AU167" s="34">
        <v>16</v>
      </c>
      <c r="AV167" s="34" t="str">
        <v/>
      </c>
      <c r="AW167" s="34" t="str">
        <v/>
      </c>
      <c r="AX167" s="34" t="str">
        <v/>
      </c>
      <c r="AY167" s="34">
        <v>1</v>
      </c>
      <c r="AZ167" s="34" t="str">
        <v/>
      </c>
      <c r="BA167" s="34">
        <v>0</v>
      </c>
      <c r="BB167" s="34">
        <v>16</v>
      </c>
      <c r="BD167" s="34">
        <v>1</v>
      </c>
      <c r="BE167" s="34">
        <v>0</v>
      </c>
      <c r="BF167" s="34">
        <v>1</v>
      </c>
      <c r="BG167" s="34" t="str">
        <v/>
      </c>
      <c r="BH167" s="34" t="str">
        <v/>
      </c>
      <c r="BI167" s="34" t="str">
        <v/>
      </c>
      <c r="BJ167" s="34" t="str">
        <v/>
      </c>
      <c r="BK167" s="34" t="str">
        <v>SOCKET</v>
      </c>
      <c r="BL167" s="34">
        <v>1</v>
      </c>
      <c r="BM167" s="34" t="str">
        <v/>
      </c>
      <c r="BN167" s="34" t="str">
        <v/>
      </c>
      <c r="BO167" s="34" t="str">
        <v/>
      </c>
      <c r="BP167" s="34" t="str">
        <v/>
      </c>
      <c r="BQ167" s="34" t="str">
        <v>3х2,5</v>
      </c>
      <c r="BR167" s="34" t="str">
        <v/>
      </c>
      <c r="BS167" s="34" t="str">
        <v/>
      </c>
      <c r="BT167" s="34" t="str">
        <v/>
      </c>
      <c r="BU167" s="34">
        <v>0</v>
      </c>
      <c r="BV167" s="34">
        <v>188</v>
      </c>
      <c r="BW167" s="34">
        <v>1</v>
      </c>
      <c r="BX167" s="34">
        <v>0</v>
      </c>
      <c r="BY167" s="34" t="str">
        <v>Розетка</v>
      </c>
      <c r="BZ167">
        <v>9</v>
      </c>
      <c r="CA167" t="str">
        <v>линии</v>
      </c>
    </row>
    <row r="168" spans="1:79" x14ac:dyDescent="0.3">
      <c r="A168" s="39" t="str">
        <v>ЩР-01</v>
      </c>
      <c r="B168" s="42">
        <v>15</v>
      </c>
      <c r="C168" s="42">
        <v>1</v>
      </c>
      <c r="D168" s="75" t="str">
        <v/>
      </c>
      <c r="E168" s="75" t="str">
        <v>авто</v>
      </c>
      <c r="F168" s="76">
        <v>30</v>
      </c>
      <c r="G168" s="47" t="str">
        <v>QFD7</v>
      </c>
      <c r="H168" s="47" t="str">
        <v>2P С16А 30мА</v>
      </c>
      <c r="I168" s="75" t="str">
        <v/>
      </c>
      <c r="J168" s="76" t="str">
        <v/>
      </c>
      <c r="K168" s="76" t="str">
        <v/>
      </c>
      <c r="L168" s="75" t="str">
        <v/>
      </c>
      <c r="M168" s="49" t="str">
        <v/>
      </c>
      <c r="N168" s="76" t="str">
        <v/>
      </c>
      <c r="O168" s="49" t="str">
        <v/>
      </c>
      <c r="P168" s="77" t="str">
        <v>XT7</v>
      </c>
      <c r="Q168" s="53" t="str">
        <v>ВВГнг(А)-LS (3х2,5) L=77-0,79%</v>
      </c>
      <c r="R168" s="54" t="str">
        <v>R.0.003A.1</v>
      </c>
      <c r="S168" s="55" t="str">
        <v>Розеточная группа, пом. 003A</v>
      </c>
      <c r="T168" s="56">
        <v>0.3</v>
      </c>
      <c r="U168" s="56">
        <v>1.37</v>
      </c>
      <c r="V168" s="42" t="str">
        <v>L3</v>
      </c>
      <c r="W168" s="57" t="str">
        <v>ok</v>
      </c>
      <c r="X168" s="58" t="str">
        <v/>
      </c>
      <c r="Y168" s="75" t="str">
        <v/>
      </c>
      <c r="Z168" s="59">
        <v>1.3674085322912188</v>
      </c>
      <c r="AA168" s="61">
        <v>16</v>
      </c>
      <c r="AB168" s="61">
        <v>25</v>
      </c>
      <c r="AC168" s="61" t="str">
        <v/>
      </c>
      <c r="AD168" s="62" t="str">
        <v>QFD7 → XT7</v>
      </c>
      <c r="AE168" s="62" t="str">
        <v/>
      </c>
      <c r="AF168" s="34">
        <v>7</v>
      </c>
      <c r="AG168" s="34" t="str">
        <v>QFD7</v>
      </c>
      <c r="AH168" s="34" t="str">
        <v/>
      </c>
      <c r="AI168" s="34" t="str">
        <v/>
      </c>
      <c r="AJ168" s="34" t="str">
        <v>QFD7</v>
      </c>
      <c r="AK168" s="34">
        <v>1</v>
      </c>
      <c r="AL168" s="34" t="str">
        <v>R</v>
      </c>
      <c r="AM168" s="34">
        <v>30</v>
      </c>
      <c r="AN168" s="34">
        <v>0</v>
      </c>
      <c r="AO168" s="34">
        <v>16</v>
      </c>
      <c r="AP168" s="34">
        <v>25</v>
      </c>
      <c r="AQ168" s="34">
        <v>16</v>
      </c>
      <c r="AR168" s="34">
        <v>1</v>
      </c>
      <c r="AS168" s="34">
        <v>1</v>
      </c>
      <c r="AT168" s="34" t="str">
        <v>2P</v>
      </c>
      <c r="AU168" s="34">
        <v>16</v>
      </c>
      <c r="AV168" s="34" t="str">
        <v/>
      </c>
      <c r="AW168" s="34" t="str">
        <v/>
      </c>
      <c r="AX168" s="34" t="str">
        <v/>
      </c>
      <c r="AY168" s="34">
        <v>1</v>
      </c>
      <c r="AZ168" s="34" t="str">
        <v/>
      </c>
      <c r="BA168" s="34">
        <v>0</v>
      </c>
      <c r="BB168" s="34">
        <v>16</v>
      </c>
      <c r="BD168" s="34">
        <v>1</v>
      </c>
      <c r="BE168" s="34">
        <v>0</v>
      </c>
      <c r="BF168" s="34">
        <v>1</v>
      </c>
      <c r="BG168" s="34" t="str">
        <v/>
      </c>
      <c r="BH168" s="34" t="str">
        <v/>
      </c>
      <c r="BI168" s="34" t="str">
        <v/>
      </c>
      <c r="BJ168" s="34" t="str">
        <v/>
      </c>
      <c r="BK168" s="34" t="str">
        <v>SOCKET</v>
      </c>
      <c r="BL168" s="34">
        <v>1</v>
      </c>
      <c r="BM168" s="34" t="str">
        <v/>
      </c>
      <c r="BN168" s="34" t="str">
        <v/>
      </c>
      <c r="BO168" s="34" t="str">
        <v/>
      </c>
      <c r="BP168" s="34" t="str">
        <v/>
      </c>
      <c r="BQ168" s="34" t="str">
        <v>3х2,5</v>
      </c>
      <c r="BR168" s="34" t="str">
        <v/>
      </c>
      <c r="BS168" s="34" t="str">
        <v/>
      </c>
      <c r="BT168" s="34" t="str">
        <v/>
      </c>
      <c r="BU168" s="34">
        <v>0</v>
      </c>
      <c r="BV168" s="34">
        <v>189</v>
      </c>
      <c r="BW168" s="34">
        <v>1</v>
      </c>
      <c r="BX168" s="34">
        <v>0</v>
      </c>
      <c r="BY168" s="34" t="str">
        <v>Розетка</v>
      </c>
      <c r="BZ168">
        <v>9</v>
      </c>
      <c r="CA168" t="str">
        <v>линии</v>
      </c>
    </row>
    <row r="169" spans="1:79" x14ac:dyDescent="0.3">
      <c r="A169" s="39" t="str">
        <v>ЩР-01</v>
      </c>
      <c r="B169" s="42">
        <v>16</v>
      </c>
      <c r="C169" s="42">
        <v>1</v>
      </c>
      <c r="D169" s="75" t="str">
        <v/>
      </c>
      <c r="E169" s="75" t="str">
        <v>авто</v>
      </c>
      <c r="F169" s="76">
        <v>30</v>
      </c>
      <c r="G169" s="47" t="str">
        <v>QFD8</v>
      </c>
      <c r="H169" s="47" t="str">
        <v>2P С16А 30мА</v>
      </c>
      <c r="I169" s="75" t="str">
        <v/>
      </c>
      <c r="J169" s="76" t="str">
        <v/>
      </c>
      <c r="K169" s="76" t="str">
        <v/>
      </c>
      <c r="L169" s="75" t="str">
        <v/>
      </c>
      <c r="M169" s="49" t="str">
        <v/>
      </c>
      <c r="N169" s="76" t="str">
        <v/>
      </c>
      <c r="O169" s="49" t="str">
        <v/>
      </c>
      <c r="P169" s="77" t="str">
        <v>XT8</v>
      </c>
      <c r="Q169" s="53" t="str">
        <v>ВВГнг(А)-LS (3х2,5) L=69-0,43%</v>
      </c>
      <c r="R169" s="54" t="str">
        <v>R.0.003A.3</v>
      </c>
      <c r="S169" s="55" t="str">
        <v>Розеточная группа, пом. 003A</v>
      </c>
      <c r="T169" s="56">
        <v>0.18</v>
      </c>
      <c r="U169" s="56">
        <v>0.83</v>
      </c>
      <c r="V169" s="42" t="str">
        <v>L1</v>
      </c>
      <c r="W169" s="57" t="str">
        <v>ok</v>
      </c>
      <c r="X169" s="58" t="str">
        <v/>
      </c>
      <c r="Y169" s="75" t="str">
        <v/>
      </c>
      <c r="Z169" s="59">
        <v>0.8204451193747313</v>
      </c>
      <c r="AA169" s="61">
        <v>16</v>
      </c>
      <c r="AB169" s="61">
        <v>25</v>
      </c>
      <c r="AC169" s="61" t="str">
        <v/>
      </c>
      <c r="AD169" s="62" t="str">
        <v>QFD8 → XT8</v>
      </c>
      <c r="AE169" s="62" t="str">
        <v/>
      </c>
      <c r="AF169" s="34">
        <v>8</v>
      </c>
      <c r="AG169" s="34" t="str">
        <v>QFD8</v>
      </c>
      <c r="AH169" s="34" t="str">
        <v/>
      </c>
      <c r="AI169" s="34" t="str">
        <v/>
      </c>
      <c r="AJ169" s="34" t="str">
        <v>QFD8</v>
      </c>
      <c r="AK169" s="34">
        <v>1</v>
      </c>
      <c r="AL169" s="34" t="str">
        <v>R</v>
      </c>
      <c r="AM169" s="34">
        <v>30</v>
      </c>
      <c r="AN169" s="34">
        <v>0</v>
      </c>
      <c r="AO169" s="34">
        <v>16</v>
      </c>
      <c r="AP169" s="34">
        <v>25</v>
      </c>
      <c r="AQ169" s="34">
        <v>16</v>
      </c>
      <c r="AR169" s="34">
        <v>1</v>
      </c>
      <c r="AS169" s="34">
        <v>1</v>
      </c>
      <c r="AT169" s="34" t="str">
        <v>2P</v>
      </c>
      <c r="AU169" s="34">
        <v>16</v>
      </c>
      <c r="AV169" s="34" t="str">
        <v/>
      </c>
      <c r="AW169" s="34" t="str">
        <v/>
      </c>
      <c r="AX169" s="34" t="str">
        <v/>
      </c>
      <c r="AY169" s="34">
        <v>1</v>
      </c>
      <c r="AZ169" s="34" t="str">
        <v/>
      </c>
      <c r="BA169" s="34">
        <v>0</v>
      </c>
      <c r="BB169" s="34">
        <v>16</v>
      </c>
      <c r="BD169" s="34">
        <v>1</v>
      </c>
      <c r="BE169" s="34">
        <v>0</v>
      </c>
      <c r="BF169" s="34">
        <v>1</v>
      </c>
      <c r="BG169" s="34" t="str">
        <v/>
      </c>
      <c r="BH169" s="34" t="str">
        <v/>
      </c>
      <c r="BI169" s="34" t="str">
        <v/>
      </c>
      <c r="BJ169" s="34" t="str">
        <v/>
      </c>
      <c r="BK169" s="34" t="str">
        <v>SOCKET</v>
      </c>
      <c r="BL169" s="34">
        <v>1</v>
      </c>
      <c r="BM169" s="34" t="str">
        <v/>
      </c>
      <c r="BN169" s="34" t="str">
        <v/>
      </c>
      <c r="BO169" s="34" t="str">
        <v/>
      </c>
      <c r="BP169" s="34" t="str">
        <v/>
      </c>
      <c r="BQ169" s="34" t="str">
        <v>3х2,5</v>
      </c>
      <c r="BR169" s="34" t="str">
        <v/>
      </c>
      <c r="BS169" s="34" t="str">
        <v/>
      </c>
      <c r="BT169" s="34" t="str">
        <v/>
      </c>
      <c r="BU169" s="34">
        <v>0</v>
      </c>
      <c r="BV169" s="34">
        <v>190</v>
      </c>
      <c r="BW169" s="34">
        <v>1</v>
      </c>
      <c r="BX169" s="34">
        <v>0</v>
      </c>
      <c r="BY169" s="34" t="str">
        <v>Розетка</v>
      </c>
      <c r="BZ169">
        <v>9</v>
      </c>
      <c r="CA169" t="str">
        <v>линии</v>
      </c>
    </row>
    <row r="170" spans="1:79" x14ac:dyDescent="0.3">
      <c r="A170" s="39" t="str">
        <v>ЩР-01</v>
      </c>
      <c r="B170" s="42">
        <v>19</v>
      </c>
      <c r="C170" s="42">
        <v>2</v>
      </c>
      <c r="D170" s="75" t="str">
        <v/>
      </c>
      <c r="E170" s="75" t="str">
        <v>авто</v>
      </c>
      <c r="F170" s="76">
        <v>30</v>
      </c>
      <c r="G170" s="47" t="str">
        <v>QFD9</v>
      </c>
      <c r="H170" s="47" t="str">
        <v>2P С16А 30мА</v>
      </c>
      <c r="I170" s="75" t="str">
        <v/>
      </c>
      <c r="J170" s="76" t="str">
        <v/>
      </c>
      <c r="K170" s="76" t="str">
        <v/>
      </c>
      <c r="L170" s="75" t="str">
        <v/>
      </c>
      <c r="M170" s="49" t="str">
        <v/>
      </c>
      <c r="N170" s="76" t="str">
        <v/>
      </c>
      <c r="O170" s="49" t="str">
        <v/>
      </c>
      <c r="P170" s="77" t="str">
        <v/>
      </c>
      <c r="Q170" s="53" t="str">
        <v>ВВГнг(А)-LS (3х2,5) L=47-0,1%</v>
      </c>
      <c r="R170" s="54" t="str">
        <v>R.0.003Б.1</v>
      </c>
      <c r="S170" s="55" t="str">
        <v>Розеточная группа, пом. 003Б</v>
      </c>
      <c r="T170" s="56">
        <v>0.06</v>
      </c>
      <c r="U170" s="56">
        <v>0.28000000000000003</v>
      </c>
      <c r="V170" s="42" t="str">
        <v>L2</v>
      </c>
      <c r="W170" s="57" t="str">
        <v>ok</v>
      </c>
      <c r="X170" s="58" t="str">
        <v/>
      </c>
      <c r="Y170" s="75" t="str">
        <v/>
      </c>
      <c r="Z170" s="59">
        <v>0.27348170645824377</v>
      </c>
      <c r="AA170" s="61">
        <v>16</v>
      </c>
      <c r="AB170" s="61">
        <v>25</v>
      </c>
      <c r="AC170" s="61" t="str">
        <v/>
      </c>
      <c r="AD170" s="62" t="str">
        <v>QFD9</v>
      </c>
      <c r="AE170" s="62" t="str">
        <v/>
      </c>
      <c r="AF170" s="34">
        <v>9</v>
      </c>
      <c r="AG170" s="34" t="str">
        <v>QFD9</v>
      </c>
      <c r="AH170" s="34" t="str">
        <v/>
      </c>
      <c r="AI170" s="34" t="str">
        <v/>
      </c>
      <c r="AJ170" s="34" t="str">
        <v>QFD9</v>
      </c>
      <c r="AK170" s="34">
        <v>1</v>
      </c>
      <c r="AL170" s="34" t="str">
        <v>R</v>
      </c>
      <c r="AM170" s="34">
        <v>30</v>
      </c>
      <c r="AN170" s="34">
        <v>0</v>
      </c>
      <c r="AO170" s="34">
        <v>16</v>
      </c>
      <c r="AP170" s="34">
        <v>25</v>
      </c>
      <c r="AQ170" s="34">
        <v>16</v>
      </c>
      <c r="AR170" s="34">
        <v>1</v>
      </c>
      <c r="AS170" s="34">
        <v>1</v>
      </c>
      <c r="AT170" s="34" t="str">
        <v>2P</v>
      </c>
      <c r="AU170" s="34">
        <v>16</v>
      </c>
      <c r="AV170" s="34" t="str">
        <v/>
      </c>
      <c r="AW170" s="34" t="str">
        <v/>
      </c>
      <c r="AX170" s="34" t="str">
        <v/>
      </c>
      <c r="AY170" s="34">
        <v>1</v>
      </c>
      <c r="AZ170" s="34" t="str">
        <v/>
      </c>
      <c r="BA170" s="34">
        <v>0</v>
      </c>
      <c r="BB170" s="34">
        <v>16</v>
      </c>
      <c r="BD170" s="34">
        <v>1</v>
      </c>
      <c r="BE170" s="34">
        <v>0</v>
      </c>
      <c r="BF170" s="34">
        <v>1</v>
      </c>
      <c r="BG170" s="34" t="str">
        <v/>
      </c>
      <c r="BH170" s="34" t="str">
        <v/>
      </c>
      <c r="BI170" s="34" t="str">
        <v/>
      </c>
      <c r="BJ170" s="34" t="str">
        <v/>
      </c>
      <c r="BK170" s="34" t="str">
        <v>SOCKET</v>
      </c>
      <c r="BL170" s="34">
        <v>1</v>
      </c>
      <c r="BM170" s="34" t="str">
        <v/>
      </c>
      <c r="BN170" s="34" t="str">
        <v/>
      </c>
      <c r="BO170" s="34" t="str">
        <v/>
      </c>
      <c r="BP170" s="34" t="str">
        <v/>
      </c>
      <c r="BQ170" s="34" t="str">
        <v>3х2,5</v>
      </c>
      <c r="BR170" s="34" t="str">
        <v/>
      </c>
      <c r="BS170" s="34" t="str">
        <v/>
      </c>
      <c r="BT170" s="34" t="str">
        <v/>
      </c>
      <c r="BU170" s="34">
        <v>0</v>
      </c>
      <c r="BV170" s="34">
        <v>191</v>
      </c>
      <c r="BW170" s="34">
        <v>1</v>
      </c>
      <c r="BX170" s="34">
        <v>0</v>
      </c>
      <c r="BY170" s="34" t="str">
        <v>Розетка</v>
      </c>
      <c r="BZ170">
        <v>9</v>
      </c>
      <c r="CA170" t="str">
        <v>линии</v>
      </c>
    </row>
    <row r="171" spans="1:79" x14ac:dyDescent="0.3">
      <c r="A171" s="39" t="str">
        <v>ЩР-01</v>
      </c>
      <c r="B171" s="42">
        <v>20</v>
      </c>
      <c r="C171" s="42">
        <v>2</v>
      </c>
      <c r="D171" s="75" t="str">
        <v/>
      </c>
      <c r="E171" s="75" t="str">
        <v>авто</v>
      </c>
      <c r="F171" s="76">
        <v>30</v>
      </c>
      <c r="G171" s="47" t="str">
        <v>QFD10</v>
      </c>
      <c r="H171" s="47" t="str">
        <v>2P С16А 30мА</v>
      </c>
      <c r="I171" s="75" t="str">
        <v/>
      </c>
      <c r="J171" s="76" t="str">
        <v/>
      </c>
      <c r="K171" s="76" t="str">
        <v/>
      </c>
      <c r="L171" s="75" t="str">
        <v/>
      </c>
      <c r="M171" s="49" t="str">
        <v/>
      </c>
      <c r="N171" s="76" t="str">
        <v/>
      </c>
      <c r="O171" s="49" t="str">
        <v/>
      </c>
      <c r="P171" s="77" t="str">
        <v>XT10</v>
      </c>
      <c r="Q171" s="53" t="str">
        <v>ВВГнг(А)-LS (3х2,5) L=35-0,22%</v>
      </c>
      <c r="R171" s="54" t="str">
        <v>R.0.004Б.1</v>
      </c>
      <c r="S171" s="55" t="str">
        <v>Розеточная группа, пом. 004Б</v>
      </c>
      <c r="T171" s="56">
        <v>0.18</v>
      </c>
      <c r="U171" s="56">
        <v>0.83</v>
      </c>
      <c r="V171" s="42" t="str">
        <v>L3</v>
      </c>
      <c r="W171" s="57" t="str">
        <v>ok</v>
      </c>
      <c r="X171" s="58" t="str">
        <v/>
      </c>
      <c r="Y171" s="75" t="str">
        <v/>
      </c>
      <c r="Z171" s="59">
        <v>0.8204451193747313</v>
      </c>
      <c r="AA171" s="61">
        <v>16</v>
      </c>
      <c r="AB171" s="61">
        <v>25</v>
      </c>
      <c r="AC171" s="61" t="str">
        <v/>
      </c>
      <c r="AD171" s="62" t="str">
        <v>QFD10 → XT10</v>
      </c>
      <c r="AE171" s="62" t="str">
        <v/>
      </c>
      <c r="AF171" s="34">
        <v>10</v>
      </c>
      <c r="AG171" s="34" t="str">
        <v>QFD10</v>
      </c>
      <c r="AH171" s="34" t="str">
        <v/>
      </c>
      <c r="AI171" s="34" t="str">
        <v/>
      </c>
      <c r="AJ171" s="34" t="str">
        <v>QFD10</v>
      </c>
      <c r="AK171" s="34">
        <v>1</v>
      </c>
      <c r="AL171" s="34" t="str">
        <v>R</v>
      </c>
      <c r="AM171" s="34">
        <v>30</v>
      </c>
      <c r="AN171" s="34">
        <v>0</v>
      </c>
      <c r="AO171" s="34">
        <v>16</v>
      </c>
      <c r="AP171" s="34">
        <v>25</v>
      </c>
      <c r="AQ171" s="34">
        <v>16</v>
      </c>
      <c r="AR171" s="34">
        <v>1</v>
      </c>
      <c r="AS171" s="34">
        <v>1</v>
      </c>
      <c r="AT171" s="34" t="str">
        <v>2P</v>
      </c>
      <c r="AU171" s="34">
        <v>16</v>
      </c>
      <c r="AV171" s="34" t="str">
        <v/>
      </c>
      <c r="AW171" s="34" t="str">
        <v/>
      </c>
      <c r="AX171" s="34" t="str">
        <v/>
      </c>
      <c r="AY171" s="34">
        <v>1</v>
      </c>
      <c r="AZ171" s="34" t="str">
        <v/>
      </c>
      <c r="BA171" s="34">
        <v>0</v>
      </c>
      <c r="BB171" s="34">
        <v>16</v>
      </c>
      <c r="BD171" s="34">
        <v>1</v>
      </c>
      <c r="BE171" s="34">
        <v>0</v>
      </c>
      <c r="BF171" s="34">
        <v>1</v>
      </c>
      <c r="BG171" s="34" t="str">
        <v/>
      </c>
      <c r="BH171" s="34" t="str">
        <v/>
      </c>
      <c r="BI171" s="34" t="str">
        <v/>
      </c>
      <c r="BJ171" s="34" t="str">
        <v/>
      </c>
      <c r="BK171" s="34" t="str">
        <v>SOCKET</v>
      </c>
      <c r="BL171" s="34">
        <v>1</v>
      </c>
      <c r="BM171" s="34" t="str">
        <v/>
      </c>
      <c r="BN171" s="34" t="str">
        <v/>
      </c>
      <c r="BO171" s="34" t="str">
        <v/>
      </c>
      <c r="BP171" s="34" t="str">
        <v/>
      </c>
      <c r="BQ171" s="34" t="str">
        <v>3х2,5</v>
      </c>
      <c r="BR171" s="34" t="str">
        <v/>
      </c>
      <c r="BS171" s="34" t="str">
        <v/>
      </c>
      <c r="BT171" s="34" t="str">
        <v/>
      </c>
      <c r="BU171" s="34">
        <v>0</v>
      </c>
      <c r="BV171" s="34">
        <v>192</v>
      </c>
      <c r="BW171" s="34">
        <v>1</v>
      </c>
      <c r="BX171" s="34">
        <v>0</v>
      </c>
      <c r="BY171" s="34" t="str">
        <v>Розетка</v>
      </c>
      <c r="BZ171">
        <v>9</v>
      </c>
      <c r="CA171" t="str">
        <v>линии</v>
      </c>
    </row>
    <row r="172" spans="1:79" x14ac:dyDescent="0.3">
      <c r="A172" s="39" t="str">
        <v>ЩР-01</v>
      </c>
      <c r="B172" s="42">
        <v>21</v>
      </c>
      <c r="C172" s="42">
        <v>2</v>
      </c>
      <c r="D172" s="75" t="str">
        <v/>
      </c>
      <c r="E172" s="75" t="str">
        <v>авто</v>
      </c>
      <c r="F172" s="76">
        <v>30</v>
      </c>
      <c r="G172" s="47" t="str">
        <v>QFD11</v>
      </c>
      <c r="H172" s="47" t="str">
        <v>2P С16А 30мА</v>
      </c>
      <c r="I172" s="75" t="str">
        <v/>
      </c>
      <c r="J172" s="76" t="str">
        <v/>
      </c>
      <c r="K172" s="76" t="str">
        <v/>
      </c>
      <c r="L172" s="75" t="str">
        <v/>
      </c>
      <c r="M172" s="49" t="str">
        <v/>
      </c>
      <c r="N172" s="76" t="str">
        <v/>
      </c>
      <c r="O172" s="49" t="str">
        <v/>
      </c>
      <c r="P172" s="77" t="str">
        <v/>
      </c>
      <c r="Q172" s="53" t="str">
        <v>ВВГнг(А)-LS (3х2,5) L=19-1,42%</v>
      </c>
      <c r="R172" s="54" t="str">
        <v>R.0.004Б.2</v>
      </c>
      <c r="S172" s="55" t="str">
        <v>Розеточная группа Цокольный этаж Пом. №004Б Сушильная машина</v>
      </c>
      <c r="T172" s="56">
        <v>2.2000000000000002</v>
      </c>
      <c r="U172" s="56">
        <v>10.029999999999999</v>
      </c>
      <c r="V172" s="42" t="str">
        <v>L2</v>
      </c>
      <c r="W172" s="57" t="str">
        <v>ok</v>
      </c>
      <c r="X172" s="58" t="str">
        <v/>
      </c>
      <c r="Y172" s="75" t="str">
        <v/>
      </c>
      <c r="Z172" s="59">
        <v>10.027662570135606</v>
      </c>
      <c r="AA172" s="61">
        <v>16</v>
      </c>
      <c r="AB172" s="61">
        <v>25</v>
      </c>
      <c r="AC172" s="61" t="str">
        <v/>
      </c>
      <c r="AD172" s="62" t="str">
        <v>QFD11</v>
      </c>
      <c r="AE172" s="62" t="str">
        <v/>
      </c>
      <c r="AF172" s="34">
        <v>11</v>
      </c>
      <c r="AG172" s="34" t="str">
        <v>QFD11</v>
      </c>
      <c r="AH172" s="34" t="str">
        <v/>
      </c>
      <c r="AI172" s="34" t="str">
        <v/>
      </c>
      <c r="AJ172" s="34" t="str">
        <v>QFD11</v>
      </c>
      <c r="AK172" s="34">
        <v>1</v>
      </c>
      <c r="AL172" s="34" t="str">
        <v>R</v>
      </c>
      <c r="AM172" s="34">
        <v>30</v>
      </c>
      <c r="AN172" s="34">
        <v>0</v>
      </c>
      <c r="AO172" s="34">
        <v>16</v>
      </c>
      <c r="AP172" s="34">
        <v>25</v>
      </c>
      <c r="AQ172" s="34">
        <v>16</v>
      </c>
      <c r="AR172" s="34">
        <v>1</v>
      </c>
      <c r="AS172" s="34">
        <v>1</v>
      </c>
      <c r="AT172" s="34" t="str">
        <v>2P</v>
      </c>
      <c r="AU172" s="34">
        <v>16</v>
      </c>
      <c r="AV172" s="34" t="str">
        <v/>
      </c>
      <c r="AW172" s="34" t="str">
        <v/>
      </c>
      <c r="AX172" s="34" t="str">
        <v/>
      </c>
      <c r="AY172" s="34">
        <v>1</v>
      </c>
      <c r="AZ172" s="34" t="str">
        <v/>
      </c>
      <c r="BA172" s="34">
        <v>0</v>
      </c>
      <c r="BB172" s="34">
        <v>16</v>
      </c>
      <c r="BD172" s="34">
        <v>1</v>
      </c>
      <c r="BE172" s="34">
        <v>0</v>
      </c>
      <c r="BF172" s="34">
        <v>1</v>
      </c>
      <c r="BG172" s="34" t="str">
        <v/>
      </c>
      <c r="BH172" s="34" t="str">
        <v/>
      </c>
      <c r="BI172" s="34" t="str">
        <v/>
      </c>
      <c r="BJ172" s="34" t="str">
        <v/>
      </c>
      <c r="BK172" s="34" t="str">
        <v>SOCKET</v>
      </c>
      <c r="BL172" s="34">
        <v>1</v>
      </c>
      <c r="BM172" s="34" t="str">
        <v/>
      </c>
      <c r="BN172" s="34" t="str">
        <v/>
      </c>
      <c r="BO172" s="34" t="str">
        <v/>
      </c>
      <c r="BP172" s="34" t="str">
        <v/>
      </c>
      <c r="BQ172" s="34" t="str">
        <v>3х2,5</v>
      </c>
      <c r="BR172" s="34" t="str">
        <v/>
      </c>
      <c r="BS172" s="34" t="str">
        <v/>
      </c>
      <c r="BT172" s="34" t="str">
        <v/>
      </c>
      <c r="BU172" s="34">
        <v>0</v>
      </c>
      <c r="BV172" s="34">
        <v>193</v>
      </c>
      <c r="BW172" s="34">
        <v>1</v>
      </c>
      <c r="BX172" s="34">
        <v>0</v>
      </c>
      <c r="BY172" s="34" t="str">
        <v>Розетка</v>
      </c>
      <c r="BZ172">
        <v>9</v>
      </c>
      <c r="CA172" t="str">
        <v>линии</v>
      </c>
    </row>
    <row r="173" spans="1:79" x14ac:dyDescent="0.3">
      <c r="A173" s="39" t="str">
        <v>ЩР-01</v>
      </c>
      <c r="B173" s="42">
        <v>22</v>
      </c>
      <c r="C173" s="42">
        <v>2</v>
      </c>
      <c r="D173" s="75" t="str">
        <v/>
      </c>
      <c r="E173" s="75" t="str">
        <v>авто</v>
      </c>
      <c r="F173" s="76">
        <v>30</v>
      </c>
      <c r="G173" s="47" t="str">
        <v>QFD12</v>
      </c>
      <c r="H173" s="47" t="str">
        <v>2P С16А 30мА</v>
      </c>
      <c r="I173" s="75" t="str">
        <v/>
      </c>
      <c r="J173" s="76" t="str">
        <v/>
      </c>
      <c r="K173" s="76" t="str">
        <v/>
      </c>
      <c r="L173" s="75" t="str">
        <v/>
      </c>
      <c r="M173" s="49" t="str">
        <v/>
      </c>
      <c r="N173" s="76" t="str">
        <v/>
      </c>
      <c r="O173" s="49" t="str">
        <v/>
      </c>
      <c r="P173" s="77" t="str">
        <v/>
      </c>
      <c r="Q173" s="53" t="str">
        <v>ВВГнг(А)-LS (3х2,5) L=29-2,17%</v>
      </c>
      <c r="R173" s="54" t="str">
        <v>R.0.004Б.3</v>
      </c>
      <c r="S173" s="55" t="str">
        <v>Розеточная группа Цокольный этаж Пом. №004Б Стиральная машина</v>
      </c>
      <c r="T173" s="56">
        <v>2.2000000000000002</v>
      </c>
      <c r="U173" s="56">
        <v>10.029999999999999</v>
      </c>
      <c r="V173" s="42" t="str">
        <v>L3</v>
      </c>
      <c r="W173" s="57" t="str">
        <v>ok</v>
      </c>
      <c r="X173" s="58" t="str">
        <v/>
      </c>
      <c r="Y173" s="75" t="str">
        <v/>
      </c>
      <c r="Z173" s="59">
        <v>10.027662570135606</v>
      </c>
      <c r="AA173" s="61">
        <v>16</v>
      </c>
      <c r="AB173" s="61">
        <v>25</v>
      </c>
      <c r="AC173" s="61" t="str">
        <v/>
      </c>
      <c r="AD173" s="62" t="str">
        <v>QFD12</v>
      </c>
      <c r="AE173" s="62" t="str">
        <v/>
      </c>
      <c r="AF173" s="34">
        <v>12</v>
      </c>
      <c r="AG173" s="34" t="str">
        <v>QFD12</v>
      </c>
      <c r="AH173" s="34" t="str">
        <v/>
      </c>
      <c r="AI173" s="34" t="str">
        <v/>
      </c>
      <c r="AJ173" s="34" t="str">
        <v>QFD12</v>
      </c>
      <c r="AK173" s="34">
        <v>1</v>
      </c>
      <c r="AL173" s="34" t="str">
        <v>R</v>
      </c>
      <c r="AM173" s="34">
        <v>30</v>
      </c>
      <c r="AN173" s="34">
        <v>0</v>
      </c>
      <c r="AO173" s="34">
        <v>16</v>
      </c>
      <c r="AP173" s="34">
        <v>25</v>
      </c>
      <c r="AQ173" s="34">
        <v>16</v>
      </c>
      <c r="AR173" s="34">
        <v>1</v>
      </c>
      <c r="AS173" s="34">
        <v>1</v>
      </c>
      <c r="AT173" s="34" t="str">
        <v>2P</v>
      </c>
      <c r="AU173" s="34">
        <v>16</v>
      </c>
      <c r="AV173" s="34" t="str">
        <v/>
      </c>
      <c r="AW173" s="34" t="str">
        <v/>
      </c>
      <c r="AX173" s="34" t="str">
        <v/>
      </c>
      <c r="AY173" s="34">
        <v>1</v>
      </c>
      <c r="AZ173" s="34" t="str">
        <v/>
      </c>
      <c r="BA173" s="34">
        <v>0</v>
      </c>
      <c r="BB173" s="34">
        <v>16</v>
      </c>
      <c r="BD173" s="34">
        <v>1</v>
      </c>
      <c r="BE173" s="34">
        <v>0</v>
      </c>
      <c r="BF173" s="34">
        <v>1</v>
      </c>
      <c r="BG173" s="34" t="str">
        <v/>
      </c>
      <c r="BH173" s="34" t="str">
        <v/>
      </c>
      <c r="BI173" s="34" t="str">
        <v/>
      </c>
      <c r="BJ173" s="34" t="str">
        <v/>
      </c>
      <c r="BK173" s="34" t="str">
        <v>SOCKET</v>
      </c>
      <c r="BL173" s="34">
        <v>1</v>
      </c>
      <c r="BM173" s="34" t="str">
        <v/>
      </c>
      <c r="BN173" s="34" t="str">
        <v/>
      </c>
      <c r="BO173" s="34" t="str">
        <v/>
      </c>
      <c r="BP173" s="34" t="str">
        <v/>
      </c>
      <c r="BQ173" s="34" t="str">
        <v>3х2,5</v>
      </c>
      <c r="BR173" s="34" t="str">
        <v/>
      </c>
      <c r="BS173" s="34" t="str">
        <v/>
      </c>
      <c r="BT173" s="34" t="str">
        <v/>
      </c>
      <c r="BU173" s="34">
        <v>0</v>
      </c>
      <c r="BV173" s="34">
        <v>194</v>
      </c>
      <c r="BW173" s="34">
        <v>1</v>
      </c>
      <c r="BX173" s="34">
        <v>0</v>
      </c>
      <c r="BY173" s="34" t="str">
        <v>Розетка</v>
      </c>
      <c r="BZ173">
        <v>9</v>
      </c>
      <c r="CA173" t="str">
        <v>линии</v>
      </c>
    </row>
    <row r="174" spans="1:79" x14ac:dyDescent="0.3">
      <c r="A174" s="39" t="str">
        <v>ЩР-01</v>
      </c>
      <c r="B174" s="42">
        <v>23</v>
      </c>
      <c r="C174" s="42">
        <v>2</v>
      </c>
      <c r="D174" s="75" t="str">
        <v/>
      </c>
      <c r="E174" s="75" t="str">
        <v>авто</v>
      </c>
      <c r="F174" s="76">
        <v>30</v>
      </c>
      <c r="G174" s="47" t="str">
        <v>QFD13</v>
      </c>
      <c r="H174" s="47" t="str">
        <v>2P С16А 30мА</v>
      </c>
      <c r="I174" s="75" t="str">
        <v/>
      </c>
      <c r="J174" s="76" t="str">
        <v/>
      </c>
      <c r="K174" s="76" t="str">
        <v/>
      </c>
      <c r="L174" s="75" t="str">
        <v/>
      </c>
      <c r="M174" s="49" t="str">
        <v/>
      </c>
      <c r="N174" s="76" t="str">
        <v/>
      </c>
      <c r="O174" s="49" t="str">
        <v/>
      </c>
      <c r="P174" s="77" t="str">
        <v/>
      </c>
      <c r="Q174" s="53" t="str">
        <v>ВВГнг(А)-LS (3х2,5) L=61-0,38%</v>
      </c>
      <c r="R174" s="54" t="str">
        <v>R.0.006A.1</v>
      </c>
      <c r="S174" s="55" t="str">
        <v>Розеточная группа, пом. 006A</v>
      </c>
      <c r="T174" s="56">
        <v>0.18</v>
      </c>
      <c r="U174" s="56">
        <v>0.83</v>
      </c>
      <c r="V174" s="42" t="str">
        <v>L2</v>
      </c>
      <c r="W174" s="57" t="str">
        <v>ok</v>
      </c>
      <c r="X174" s="58" t="str">
        <v/>
      </c>
      <c r="Y174" s="75" t="str">
        <v/>
      </c>
      <c r="Z174" s="59">
        <v>0.8204451193747313</v>
      </c>
      <c r="AA174" s="61">
        <v>16</v>
      </c>
      <c r="AB174" s="61">
        <v>25</v>
      </c>
      <c r="AC174" s="61" t="str">
        <v/>
      </c>
      <c r="AD174" s="62" t="str">
        <v>QFD13</v>
      </c>
      <c r="AE174" s="62" t="str">
        <v/>
      </c>
      <c r="AF174" s="34">
        <v>13</v>
      </c>
      <c r="AG174" s="34" t="str">
        <v>QFD13</v>
      </c>
      <c r="AH174" s="34" t="str">
        <v/>
      </c>
      <c r="AI174" s="34" t="str">
        <v/>
      </c>
      <c r="AJ174" s="34" t="str">
        <v>QFD13</v>
      </c>
      <c r="AK174" s="34">
        <v>1</v>
      </c>
      <c r="AL174" s="34" t="str">
        <v>R</v>
      </c>
      <c r="AM174" s="34">
        <v>30</v>
      </c>
      <c r="AN174" s="34">
        <v>0</v>
      </c>
      <c r="AO174" s="34">
        <v>16</v>
      </c>
      <c r="AP174" s="34">
        <v>25</v>
      </c>
      <c r="AQ174" s="34">
        <v>16</v>
      </c>
      <c r="AR174" s="34">
        <v>1</v>
      </c>
      <c r="AS174" s="34">
        <v>1</v>
      </c>
      <c r="AT174" s="34" t="str">
        <v>2P</v>
      </c>
      <c r="AU174" s="34">
        <v>16</v>
      </c>
      <c r="AV174" s="34" t="str">
        <v/>
      </c>
      <c r="AW174" s="34" t="str">
        <v/>
      </c>
      <c r="AX174" s="34" t="str">
        <v/>
      </c>
      <c r="AY174" s="34">
        <v>1</v>
      </c>
      <c r="AZ174" s="34" t="str">
        <v/>
      </c>
      <c r="BA174" s="34">
        <v>0</v>
      </c>
      <c r="BB174" s="34">
        <v>16</v>
      </c>
      <c r="BD174" s="34">
        <v>1</v>
      </c>
      <c r="BE174" s="34">
        <v>0</v>
      </c>
      <c r="BF174" s="34">
        <v>1</v>
      </c>
      <c r="BG174" s="34" t="str">
        <v/>
      </c>
      <c r="BH174" s="34" t="str">
        <v/>
      </c>
      <c r="BI174" s="34" t="str">
        <v/>
      </c>
      <c r="BJ174" s="34" t="str">
        <v/>
      </c>
      <c r="BK174" s="34" t="str">
        <v>SOCKET</v>
      </c>
      <c r="BL174" s="34">
        <v>1</v>
      </c>
      <c r="BM174" s="34" t="str">
        <v/>
      </c>
      <c r="BN174" s="34" t="str">
        <v/>
      </c>
      <c r="BO174" s="34" t="str">
        <v/>
      </c>
      <c r="BP174" s="34" t="str">
        <v/>
      </c>
      <c r="BQ174" s="34" t="str">
        <v>3х2,5</v>
      </c>
      <c r="BR174" s="34" t="str">
        <v/>
      </c>
      <c r="BS174" s="34" t="str">
        <v/>
      </c>
      <c r="BT174" s="34" t="str">
        <v/>
      </c>
      <c r="BU174" s="34">
        <v>0</v>
      </c>
      <c r="BV174" s="34">
        <v>195</v>
      </c>
      <c r="BW174" s="34">
        <v>1</v>
      </c>
      <c r="BX174" s="34">
        <v>0</v>
      </c>
      <c r="BY174" s="34" t="str">
        <v>Розетка</v>
      </c>
      <c r="BZ174">
        <v>9</v>
      </c>
      <c r="CA174" t="str">
        <v>линии</v>
      </c>
    </row>
    <row r="175" spans="1:79" x14ac:dyDescent="0.3">
      <c r="A175" s="39" t="str">
        <v>ЩР-01</v>
      </c>
      <c r="B175" s="42">
        <v>24</v>
      </c>
      <c r="C175" s="42">
        <v>2</v>
      </c>
      <c r="D175" s="75" t="str">
        <v/>
      </c>
      <c r="E175" s="75" t="str">
        <v>авто</v>
      </c>
      <c r="F175" s="76">
        <v>30</v>
      </c>
      <c r="G175" s="47" t="str">
        <v>QFD14</v>
      </c>
      <c r="H175" s="47" t="str">
        <v>2P С16А 30мА</v>
      </c>
      <c r="I175" s="75" t="str">
        <v/>
      </c>
      <c r="J175" s="76" t="str">
        <v/>
      </c>
      <c r="K175" s="76" t="str">
        <v/>
      </c>
      <c r="L175" s="75" t="str">
        <v/>
      </c>
      <c r="M175" s="49" t="str">
        <v/>
      </c>
      <c r="N175" s="76" t="str">
        <v/>
      </c>
      <c r="O175" s="49" t="str">
        <v/>
      </c>
      <c r="P175" s="77" t="str">
        <v/>
      </c>
      <c r="Q175" s="53" t="str">
        <v>ВВГнг(А)-LS (3х2,5) L=29-0,12%</v>
      </c>
      <c r="R175" s="54" t="str">
        <v>R.0.007A.1</v>
      </c>
      <c r="S175" s="55" t="str">
        <v>Розеточная группа, пом. 007A</v>
      </c>
      <c r="T175" s="56">
        <v>0.12</v>
      </c>
      <c r="U175" s="56">
        <v>0.55000000000000004</v>
      </c>
      <c r="V175" s="42" t="str">
        <v>L2</v>
      </c>
      <c r="W175" s="57" t="str">
        <v>ok</v>
      </c>
      <c r="X175" s="58" t="str">
        <v/>
      </c>
      <c r="Y175" s="75" t="str">
        <v/>
      </c>
      <c r="Z175" s="59">
        <v>0.54696341291648753</v>
      </c>
      <c r="AA175" s="61">
        <v>16</v>
      </c>
      <c r="AB175" s="61">
        <v>25</v>
      </c>
      <c r="AC175" s="61" t="str">
        <v/>
      </c>
      <c r="AD175" s="62" t="str">
        <v>QFD14</v>
      </c>
      <c r="AE175" s="62" t="str">
        <v/>
      </c>
      <c r="AF175" s="34">
        <v>14</v>
      </c>
      <c r="AG175" s="34" t="str">
        <v>QFD14</v>
      </c>
      <c r="AH175" s="34" t="str">
        <v/>
      </c>
      <c r="AI175" s="34" t="str">
        <v/>
      </c>
      <c r="AJ175" s="34" t="str">
        <v>QFD14</v>
      </c>
      <c r="AK175" s="34">
        <v>1</v>
      </c>
      <c r="AL175" s="34" t="str">
        <v>R</v>
      </c>
      <c r="AM175" s="34">
        <v>30</v>
      </c>
      <c r="AN175" s="34">
        <v>0</v>
      </c>
      <c r="AO175" s="34">
        <v>16</v>
      </c>
      <c r="AP175" s="34">
        <v>25</v>
      </c>
      <c r="AQ175" s="34">
        <v>16</v>
      </c>
      <c r="AR175" s="34">
        <v>1</v>
      </c>
      <c r="AS175" s="34">
        <v>1</v>
      </c>
      <c r="AT175" s="34" t="str">
        <v>2P</v>
      </c>
      <c r="AU175" s="34">
        <v>16</v>
      </c>
      <c r="AV175" s="34" t="str">
        <v/>
      </c>
      <c r="AW175" s="34" t="str">
        <v/>
      </c>
      <c r="AX175" s="34" t="str">
        <v/>
      </c>
      <c r="AY175" s="34">
        <v>1</v>
      </c>
      <c r="AZ175" s="34" t="str">
        <v/>
      </c>
      <c r="BA175" s="34">
        <v>0</v>
      </c>
      <c r="BB175" s="34">
        <v>16</v>
      </c>
      <c r="BD175" s="34">
        <v>1</v>
      </c>
      <c r="BE175" s="34">
        <v>0</v>
      </c>
      <c r="BF175" s="34">
        <v>1</v>
      </c>
      <c r="BG175" s="34" t="str">
        <v/>
      </c>
      <c r="BH175" s="34" t="str">
        <v/>
      </c>
      <c r="BI175" s="34" t="str">
        <v/>
      </c>
      <c r="BJ175" s="34" t="str">
        <v/>
      </c>
      <c r="BK175" s="34" t="str">
        <v>SOCKET</v>
      </c>
      <c r="BL175" s="34">
        <v>1</v>
      </c>
      <c r="BM175" s="34" t="str">
        <v/>
      </c>
      <c r="BN175" s="34" t="str">
        <v/>
      </c>
      <c r="BO175" s="34" t="str">
        <v/>
      </c>
      <c r="BP175" s="34" t="str">
        <v/>
      </c>
      <c r="BQ175" s="34" t="str">
        <v>3х2,5</v>
      </c>
      <c r="BR175" s="34" t="str">
        <v/>
      </c>
      <c r="BS175" s="34" t="str">
        <v/>
      </c>
      <c r="BT175" s="34" t="str">
        <v/>
      </c>
      <c r="BU175" s="34">
        <v>0</v>
      </c>
      <c r="BV175" s="34">
        <v>196</v>
      </c>
      <c r="BW175" s="34">
        <v>1</v>
      </c>
      <c r="BX175" s="34">
        <v>0</v>
      </c>
      <c r="BY175" s="34" t="str">
        <v>Розетка</v>
      </c>
      <c r="BZ175">
        <v>9</v>
      </c>
      <c r="CA175" t="str">
        <v>линии</v>
      </c>
    </row>
    <row r="176" spans="1:79" x14ac:dyDescent="0.3">
      <c r="A176" s="39" t="str">
        <v>ЩР-01</v>
      </c>
      <c r="B176" s="42">
        <v>25</v>
      </c>
      <c r="C176" s="42">
        <v>2</v>
      </c>
      <c r="D176" s="75" t="str">
        <v/>
      </c>
      <c r="E176" s="75" t="str">
        <v>авто</v>
      </c>
      <c r="F176" s="76">
        <v>30</v>
      </c>
      <c r="G176" s="47" t="str">
        <v>QFD15</v>
      </c>
      <c r="H176" s="47" t="str">
        <v>2P С16А 30мА</v>
      </c>
      <c r="I176" s="75" t="str">
        <v/>
      </c>
      <c r="J176" s="76" t="str">
        <v/>
      </c>
      <c r="K176" s="76" t="str">
        <v/>
      </c>
      <c r="L176" s="75" t="str">
        <v/>
      </c>
      <c r="M176" s="49" t="str">
        <v/>
      </c>
      <c r="N176" s="76" t="str">
        <v/>
      </c>
      <c r="O176" s="49" t="str">
        <v/>
      </c>
      <c r="P176" s="77" t="str">
        <v/>
      </c>
      <c r="Q176" s="53" t="str">
        <v>ВВГнг(А)-LS (3х2,5) L=62-0,26%</v>
      </c>
      <c r="R176" s="54" t="str">
        <v>R.0.008A.1</v>
      </c>
      <c r="S176" s="55" t="str">
        <v>Розеточная группа, пом. 008A</v>
      </c>
      <c r="T176" s="56">
        <v>0.12</v>
      </c>
      <c r="U176" s="56">
        <v>0.55000000000000004</v>
      </c>
      <c r="V176" s="42" t="str">
        <v>L1</v>
      </c>
      <c r="W176" s="57" t="str">
        <v>ok</v>
      </c>
      <c r="X176" s="58" t="str">
        <v/>
      </c>
      <c r="Y176" s="75" t="str">
        <v/>
      </c>
      <c r="Z176" s="59">
        <v>0.54696341291648753</v>
      </c>
      <c r="AA176" s="61">
        <v>16</v>
      </c>
      <c r="AB176" s="61">
        <v>25</v>
      </c>
      <c r="AC176" s="61" t="str">
        <v/>
      </c>
      <c r="AD176" s="62" t="str">
        <v>QFD15</v>
      </c>
      <c r="AE176" s="62" t="str">
        <v/>
      </c>
      <c r="AF176" s="34">
        <v>15</v>
      </c>
      <c r="AG176" s="34" t="str">
        <v>QFD15</v>
      </c>
      <c r="AH176" s="34" t="str">
        <v/>
      </c>
      <c r="AI176" s="34" t="str">
        <v/>
      </c>
      <c r="AJ176" s="34" t="str">
        <v>QFD15</v>
      </c>
      <c r="AK176" s="34">
        <v>1</v>
      </c>
      <c r="AL176" s="34" t="str">
        <v>R</v>
      </c>
      <c r="AM176" s="34">
        <v>30</v>
      </c>
      <c r="AN176" s="34">
        <v>0</v>
      </c>
      <c r="AO176" s="34">
        <v>16</v>
      </c>
      <c r="AP176" s="34">
        <v>25</v>
      </c>
      <c r="AQ176" s="34">
        <v>16</v>
      </c>
      <c r="AR176" s="34">
        <v>1</v>
      </c>
      <c r="AS176" s="34">
        <v>1</v>
      </c>
      <c r="AT176" s="34" t="str">
        <v>2P</v>
      </c>
      <c r="AU176" s="34">
        <v>16</v>
      </c>
      <c r="AV176" s="34" t="str">
        <v/>
      </c>
      <c r="AW176" s="34" t="str">
        <v/>
      </c>
      <c r="AX176" s="34" t="str">
        <v/>
      </c>
      <c r="AY176" s="34">
        <v>1</v>
      </c>
      <c r="AZ176" s="34" t="str">
        <v/>
      </c>
      <c r="BA176" s="34">
        <v>0</v>
      </c>
      <c r="BB176" s="34">
        <v>16</v>
      </c>
      <c r="BD176" s="34">
        <v>1</v>
      </c>
      <c r="BE176" s="34">
        <v>0</v>
      </c>
      <c r="BF176" s="34">
        <v>1</v>
      </c>
      <c r="BG176" s="34" t="str">
        <v/>
      </c>
      <c r="BH176" s="34" t="str">
        <v/>
      </c>
      <c r="BI176" s="34" t="str">
        <v/>
      </c>
      <c r="BJ176" s="34" t="str">
        <v/>
      </c>
      <c r="BK176" s="34" t="str">
        <v>SOCKET</v>
      </c>
      <c r="BL176" s="34">
        <v>1</v>
      </c>
      <c r="BM176" s="34" t="str">
        <v/>
      </c>
      <c r="BN176" s="34" t="str">
        <v/>
      </c>
      <c r="BO176" s="34" t="str">
        <v/>
      </c>
      <c r="BP176" s="34" t="str">
        <v/>
      </c>
      <c r="BQ176" s="34" t="str">
        <v>3х2,5</v>
      </c>
      <c r="BR176" s="34" t="str">
        <v/>
      </c>
      <c r="BS176" s="34" t="str">
        <v/>
      </c>
      <c r="BT176" s="34" t="str">
        <v/>
      </c>
      <c r="BU176" s="34">
        <v>0</v>
      </c>
      <c r="BV176" s="34">
        <v>197</v>
      </c>
      <c r="BW176" s="34">
        <v>1</v>
      </c>
      <c r="BX176" s="34">
        <v>0</v>
      </c>
      <c r="BY176" s="34" t="str">
        <v>Розетка</v>
      </c>
      <c r="BZ176">
        <v>9</v>
      </c>
      <c r="CA176" t="str">
        <v>линии</v>
      </c>
    </row>
    <row r="177" spans="1:79" x14ac:dyDescent="0.3">
      <c r="A177" s="39" t="str">
        <v>ЩР-01</v>
      </c>
      <c r="B177" s="42">
        <v>26</v>
      </c>
      <c r="C177" s="42">
        <v>2</v>
      </c>
      <c r="D177" s="75" t="str">
        <v/>
      </c>
      <c r="E177" s="75" t="str">
        <v>авто</v>
      </c>
      <c r="F177" s="76">
        <v>30</v>
      </c>
      <c r="G177" s="47" t="str">
        <v>QFD16</v>
      </c>
      <c r="H177" s="47" t="str">
        <v>2P С16А 30мА</v>
      </c>
      <c r="I177" s="75" t="str">
        <v/>
      </c>
      <c r="J177" s="76" t="str">
        <v/>
      </c>
      <c r="K177" s="76" t="str">
        <v/>
      </c>
      <c r="L177" s="75" t="str">
        <v/>
      </c>
      <c r="M177" s="49" t="str">
        <v/>
      </c>
      <c r="N177" s="76" t="str">
        <v/>
      </c>
      <c r="O177" s="49" t="str">
        <v/>
      </c>
      <c r="P177" s="77" t="str">
        <v/>
      </c>
      <c r="Q177" s="53" t="str">
        <v>ВВГнг(А)-LS (3х2,5) L=64-4,77%</v>
      </c>
      <c r="R177" s="54" t="str">
        <v>R.0.008A.2</v>
      </c>
      <c r="S177" s="55" t="str">
        <v>Розеточная группа Цокольный этаж Пом. №008A Душ виши</v>
      </c>
      <c r="T177" s="56">
        <v>2.2000000000000002</v>
      </c>
      <c r="U177" s="56">
        <v>10.029999999999999</v>
      </c>
      <c r="V177" s="42" t="str">
        <v>L1</v>
      </c>
      <c r="W177" s="57" t="str">
        <v>ok</v>
      </c>
      <c r="X177" s="58" t="str">
        <v/>
      </c>
      <c r="Y177" s="75" t="str">
        <v/>
      </c>
      <c r="Z177" s="59">
        <v>10.027662570135606</v>
      </c>
      <c r="AA177" s="61">
        <v>16</v>
      </c>
      <c r="AB177" s="61">
        <v>25</v>
      </c>
      <c r="AC177" s="61" t="str">
        <v/>
      </c>
      <c r="AD177" s="62" t="str">
        <v>QFD16</v>
      </c>
      <c r="AE177" s="62" t="str">
        <v>потери 5,2 % &gt; 4 %</v>
      </c>
      <c r="AF177" s="34">
        <v>16</v>
      </c>
      <c r="AG177" s="34" t="str">
        <v>QFD16</v>
      </c>
      <c r="AH177" s="34" t="str">
        <v/>
      </c>
      <c r="AI177" s="34" t="str">
        <v/>
      </c>
      <c r="AJ177" s="34" t="str">
        <v>QFD16</v>
      </c>
      <c r="AK177" s="34">
        <v>1</v>
      </c>
      <c r="AL177" s="34" t="str">
        <v>R</v>
      </c>
      <c r="AM177" s="34">
        <v>30</v>
      </c>
      <c r="AN177" s="34">
        <v>0</v>
      </c>
      <c r="AO177" s="34">
        <v>16</v>
      </c>
      <c r="AP177" s="34">
        <v>25</v>
      </c>
      <c r="AQ177" s="34">
        <v>16</v>
      </c>
      <c r="AR177" s="34">
        <v>1</v>
      </c>
      <c r="AS177" s="34">
        <v>1</v>
      </c>
      <c r="AT177" s="34" t="str">
        <v>2P</v>
      </c>
      <c r="AU177" s="34">
        <v>16</v>
      </c>
      <c r="AV177" s="34" t="str">
        <v/>
      </c>
      <c r="AW177" s="34" t="str">
        <v/>
      </c>
      <c r="AX177" s="34" t="str">
        <v/>
      </c>
      <c r="AY177" s="34">
        <v>1</v>
      </c>
      <c r="AZ177" s="34" t="str">
        <v/>
      </c>
      <c r="BA177" s="34">
        <v>0</v>
      </c>
      <c r="BB177" s="34">
        <v>16</v>
      </c>
      <c r="BD177" s="34">
        <v>1</v>
      </c>
      <c r="BE177" s="34">
        <v>0</v>
      </c>
      <c r="BF177" s="34">
        <v>1</v>
      </c>
      <c r="BG177" s="34" t="str">
        <v/>
      </c>
      <c r="BH177" s="34" t="str">
        <v/>
      </c>
      <c r="BI177" s="34" t="str">
        <v/>
      </c>
      <c r="BJ177" s="34" t="str">
        <v/>
      </c>
      <c r="BK177" s="34" t="str">
        <v>SOCKET</v>
      </c>
      <c r="BL177" s="34">
        <v>1</v>
      </c>
      <c r="BM177" s="34" t="str">
        <v/>
      </c>
      <c r="BN177" s="34" t="str">
        <v/>
      </c>
      <c r="BO177" s="34" t="str">
        <v/>
      </c>
      <c r="BP177" s="34" t="str">
        <v/>
      </c>
      <c r="BQ177" s="34" t="str">
        <v>3х2,5</v>
      </c>
      <c r="BR177" s="34" t="str">
        <v/>
      </c>
      <c r="BS177" s="34" t="str">
        <v/>
      </c>
      <c r="BT177" s="34" t="str">
        <v/>
      </c>
      <c r="BU177" s="34">
        <v>1</v>
      </c>
      <c r="BV177" s="34">
        <v>198</v>
      </c>
      <c r="BW177" s="34">
        <v>1</v>
      </c>
      <c r="BX177" s="34">
        <v>0</v>
      </c>
      <c r="BY177" s="34" t="str">
        <v>Розетка</v>
      </c>
      <c r="BZ177">
        <v>9</v>
      </c>
      <c r="CA177" t="str">
        <v>линии</v>
      </c>
    </row>
    <row r="178" spans="1:79" x14ac:dyDescent="0.3">
      <c r="A178" s="39" t="str">
        <v>ЩР-01</v>
      </c>
      <c r="B178" s="42">
        <v>27</v>
      </c>
      <c r="C178" s="42">
        <v>2</v>
      </c>
      <c r="D178" s="75" t="str">
        <v/>
      </c>
      <c r="E178" s="75" t="str">
        <v>авто</v>
      </c>
      <c r="F178" s="76">
        <v>30</v>
      </c>
      <c r="G178" s="47" t="str">
        <v>QFD17</v>
      </c>
      <c r="H178" s="47" t="str">
        <v>2P С16А 30мА</v>
      </c>
      <c r="I178" s="75" t="str">
        <v/>
      </c>
      <c r="J178" s="76" t="str">
        <v/>
      </c>
      <c r="K178" s="76" t="str">
        <v/>
      </c>
      <c r="L178" s="75" t="str">
        <v/>
      </c>
      <c r="M178" s="49" t="str">
        <v/>
      </c>
      <c r="N178" s="76" t="str">
        <v/>
      </c>
      <c r="O178" s="49" t="str">
        <v/>
      </c>
      <c r="P178" s="77" t="str">
        <v/>
      </c>
      <c r="Q178" s="53" t="str">
        <v>ВВГнг(А)-LS (3х2,5) L=52-0,43%</v>
      </c>
      <c r="R178" s="54" t="str">
        <v>R.0.009A.1</v>
      </c>
      <c r="S178" s="55" t="str">
        <v>Розеточная группа, пом. 009A</v>
      </c>
      <c r="T178" s="56">
        <v>0.24</v>
      </c>
      <c r="U178" s="56">
        <v>1.1000000000000001</v>
      </c>
      <c r="V178" s="42" t="str">
        <v>L2</v>
      </c>
      <c r="W178" s="57" t="str">
        <v>ok</v>
      </c>
      <c r="X178" s="58" t="str">
        <v/>
      </c>
      <c r="Y178" s="75" t="str">
        <v/>
      </c>
      <c r="Z178" s="59">
        <v>1.0939268258329751</v>
      </c>
      <c r="AA178" s="61">
        <v>16</v>
      </c>
      <c r="AB178" s="61">
        <v>25</v>
      </c>
      <c r="AC178" s="61" t="str">
        <v/>
      </c>
      <c r="AD178" s="62" t="str">
        <v>QFD17</v>
      </c>
      <c r="AE178" s="62" t="str">
        <v/>
      </c>
      <c r="AF178" s="34">
        <v>17</v>
      </c>
      <c r="AG178" s="34" t="str">
        <v>QFD17</v>
      </c>
      <c r="AH178" s="34" t="str">
        <v/>
      </c>
      <c r="AI178" s="34" t="str">
        <v/>
      </c>
      <c r="AJ178" s="34" t="str">
        <v>QFD17</v>
      </c>
      <c r="AK178" s="34">
        <v>1</v>
      </c>
      <c r="AL178" s="34" t="str">
        <v>R</v>
      </c>
      <c r="AM178" s="34">
        <v>30</v>
      </c>
      <c r="AN178" s="34">
        <v>0</v>
      </c>
      <c r="AO178" s="34">
        <v>16</v>
      </c>
      <c r="AP178" s="34">
        <v>25</v>
      </c>
      <c r="AQ178" s="34">
        <v>16</v>
      </c>
      <c r="AR178" s="34">
        <v>1</v>
      </c>
      <c r="AS178" s="34">
        <v>1</v>
      </c>
      <c r="AT178" s="34" t="str">
        <v>2P</v>
      </c>
      <c r="AU178" s="34">
        <v>16</v>
      </c>
      <c r="AV178" s="34" t="str">
        <v/>
      </c>
      <c r="AW178" s="34" t="str">
        <v/>
      </c>
      <c r="AX178" s="34" t="str">
        <v/>
      </c>
      <c r="AY178" s="34">
        <v>1</v>
      </c>
      <c r="AZ178" s="34" t="str">
        <v/>
      </c>
      <c r="BA178" s="34">
        <v>0</v>
      </c>
      <c r="BB178" s="34">
        <v>16</v>
      </c>
      <c r="BD178" s="34">
        <v>1</v>
      </c>
      <c r="BE178" s="34">
        <v>0</v>
      </c>
      <c r="BF178" s="34">
        <v>1</v>
      </c>
      <c r="BG178" s="34" t="str">
        <v/>
      </c>
      <c r="BH178" s="34" t="str">
        <v/>
      </c>
      <c r="BI178" s="34" t="str">
        <v/>
      </c>
      <c r="BJ178" s="34" t="str">
        <v/>
      </c>
      <c r="BK178" s="34" t="str">
        <v>SOCKET</v>
      </c>
      <c r="BL178" s="34">
        <v>1</v>
      </c>
      <c r="BM178" s="34" t="str">
        <v/>
      </c>
      <c r="BN178" s="34" t="str">
        <v/>
      </c>
      <c r="BO178" s="34" t="str">
        <v/>
      </c>
      <c r="BP178" s="34" t="str">
        <v/>
      </c>
      <c r="BQ178" s="34" t="str">
        <v>3х2,5</v>
      </c>
      <c r="BR178" s="34" t="str">
        <v/>
      </c>
      <c r="BS178" s="34" t="str">
        <v/>
      </c>
      <c r="BT178" s="34" t="str">
        <v/>
      </c>
      <c r="BU178" s="34">
        <v>0</v>
      </c>
      <c r="BV178" s="34">
        <v>199</v>
      </c>
      <c r="BW178" s="34">
        <v>1</v>
      </c>
      <c r="BX178" s="34">
        <v>0</v>
      </c>
      <c r="BY178" s="34" t="str">
        <v>Розетка</v>
      </c>
      <c r="BZ178">
        <v>9</v>
      </c>
      <c r="CA178" t="str">
        <v>линии</v>
      </c>
    </row>
    <row r="179" spans="1:79" x14ac:dyDescent="0.3">
      <c r="A179" s="39" t="str">
        <v>ЩР-01</v>
      </c>
      <c r="B179" s="42">
        <v>28</v>
      </c>
      <c r="C179" s="42">
        <v>2</v>
      </c>
      <c r="D179" s="75" t="str">
        <v/>
      </c>
      <c r="E179" s="75" t="str">
        <v>авто</v>
      </c>
      <c r="F179" s="76">
        <v>30</v>
      </c>
      <c r="G179" s="47" t="str">
        <v>QFD18</v>
      </c>
      <c r="H179" s="47" t="str">
        <v>2P С16А 30мА</v>
      </c>
      <c r="I179" s="75" t="str">
        <v/>
      </c>
      <c r="J179" s="76" t="str">
        <v/>
      </c>
      <c r="K179" s="76" t="str">
        <v/>
      </c>
      <c r="L179" s="75" t="str">
        <v/>
      </c>
      <c r="M179" s="49" t="str">
        <v/>
      </c>
      <c r="N179" s="76" t="str">
        <v/>
      </c>
      <c r="O179" s="49" t="str">
        <v/>
      </c>
      <c r="P179" s="77" t="str">
        <v/>
      </c>
      <c r="Q179" s="53" t="str">
        <v>ВВГнг(А)-LS (3х2,5) L=59-0,72%</v>
      </c>
      <c r="R179" s="54" t="str">
        <v>R.0.009A.2</v>
      </c>
      <c r="S179" s="55" t="str">
        <v>Розеточная группа, пом. 009A</v>
      </c>
      <c r="T179" s="56">
        <v>0.36</v>
      </c>
      <c r="U179" s="56">
        <v>1.65</v>
      </c>
      <c r="V179" s="42" t="str">
        <v>L3</v>
      </c>
      <c r="W179" s="57" t="str">
        <v>ok</v>
      </c>
      <c r="X179" s="58" t="str">
        <v/>
      </c>
      <c r="Y179" s="75" t="str">
        <v/>
      </c>
      <c r="Z179" s="59">
        <v>1.6408902387494626</v>
      </c>
      <c r="AA179" s="61">
        <v>16</v>
      </c>
      <c r="AB179" s="61">
        <v>25</v>
      </c>
      <c r="AC179" s="61" t="str">
        <v/>
      </c>
      <c r="AD179" s="62" t="str">
        <v>QFD18</v>
      </c>
      <c r="AE179" s="62" t="str">
        <v/>
      </c>
      <c r="AF179" s="34">
        <v>18</v>
      </c>
      <c r="AG179" s="34" t="str">
        <v>QFD18</v>
      </c>
      <c r="AH179" s="34" t="str">
        <v/>
      </c>
      <c r="AI179" s="34" t="str">
        <v/>
      </c>
      <c r="AJ179" s="34" t="str">
        <v>QFD18</v>
      </c>
      <c r="AK179" s="34">
        <v>1</v>
      </c>
      <c r="AL179" s="34" t="str">
        <v>R</v>
      </c>
      <c r="AM179" s="34">
        <v>30</v>
      </c>
      <c r="AN179" s="34">
        <v>0</v>
      </c>
      <c r="AO179" s="34">
        <v>16</v>
      </c>
      <c r="AP179" s="34">
        <v>25</v>
      </c>
      <c r="AQ179" s="34">
        <v>16</v>
      </c>
      <c r="AR179" s="34">
        <v>1</v>
      </c>
      <c r="AS179" s="34">
        <v>1</v>
      </c>
      <c r="AT179" s="34" t="str">
        <v>2P</v>
      </c>
      <c r="AU179" s="34">
        <v>16</v>
      </c>
      <c r="AV179" s="34" t="str">
        <v/>
      </c>
      <c r="AW179" s="34" t="str">
        <v/>
      </c>
      <c r="AX179" s="34" t="str">
        <v/>
      </c>
      <c r="AY179" s="34">
        <v>1</v>
      </c>
      <c r="AZ179" s="34" t="str">
        <v/>
      </c>
      <c r="BA179" s="34">
        <v>0</v>
      </c>
      <c r="BB179" s="34">
        <v>16</v>
      </c>
      <c r="BD179" s="34">
        <v>1</v>
      </c>
      <c r="BE179" s="34">
        <v>0</v>
      </c>
      <c r="BF179" s="34">
        <v>1</v>
      </c>
      <c r="BG179" s="34" t="str">
        <v/>
      </c>
      <c r="BH179" s="34" t="str">
        <v/>
      </c>
      <c r="BI179" s="34" t="str">
        <v/>
      </c>
      <c r="BJ179" s="34" t="str">
        <v/>
      </c>
      <c r="BK179" s="34" t="str">
        <v>SOCKET</v>
      </c>
      <c r="BL179" s="34">
        <v>1</v>
      </c>
      <c r="BM179" s="34" t="str">
        <v/>
      </c>
      <c r="BN179" s="34" t="str">
        <v/>
      </c>
      <c r="BO179" s="34" t="str">
        <v/>
      </c>
      <c r="BP179" s="34" t="str">
        <v/>
      </c>
      <c r="BQ179" s="34" t="str">
        <v>3х2,5</v>
      </c>
      <c r="BR179" s="34" t="str">
        <v/>
      </c>
      <c r="BS179" s="34" t="str">
        <v/>
      </c>
      <c r="BT179" s="34" t="str">
        <v/>
      </c>
      <c r="BU179" s="34">
        <v>0</v>
      </c>
      <c r="BV179" s="34">
        <v>200</v>
      </c>
      <c r="BW179" s="34">
        <v>1</v>
      </c>
      <c r="BX179" s="34">
        <v>0</v>
      </c>
      <c r="BY179" s="34" t="str">
        <v>Розетка</v>
      </c>
      <c r="BZ179">
        <v>9</v>
      </c>
      <c r="CA179" t="str">
        <v>линии</v>
      </c>
    </row>
    <row r="180" spans="1:79" x14ac:dyDescent="0.3">
      <c r="A180" s="39" t="str">
        <v>ЩР-01</v>
      </c>
      <c r="B180" s="42">
        <v>29</v>
      </c>
      <c r="C180" s="42">
        <v>2</v>
      </c>
      <c r="D180" s="75" t="str">
        <v/>
      </c>
      <c r="E180" s="75" t="str">
        <v>авто</v>
      </c>
      <c r="F180" s="76">
        <v>30</v>
      </c>
      <c r="G180" s="47" t="str">
        <v>QFD19</v>
      </c>
      <c r="H180" s="47" t="str">
        <v>2P С16А 30мА</v>
      </c>
      <c r="I180" s="75" t="str">
        <v/>
      </c>
      <c r="J180" s="76" t="str">
        <v/>
      </c>
      <c r="K180" s="76" t="str">
        <v/>
      </c>
      <c r="L180" s="75" t="str">
        <v/>
      </c>
      <c r="M180" s="49" t="str">
        <v/>
      </c>
      <c r="N180" s="76" t="str">
        <v/>
      </c>
      <c r="O180" s="49" t="str">
        <v/>
      </c>
      <c r="P180" s="77" t="str">
        <v/>
      </c>
      <c r="Q180" s="53" t="str">
        <v>ВВГнг(А)-LS (3х2,5) L=30-0,07%</v>
      </c>
      <c r="R180" s="54" t="str">
        <v>R.0.010A.1</v>
      </c>
      <c r="S180" s="55" t="str">
        <v>Розеточная группа, пом. 010A</v>
      </c>
      <c r="T180" s="56">
        <v>0.06</v>
      </c>
      <c r="U180" s="56">
        <v>0.28000000000000003</v>
      </c>
      <c r="V180" s="42" t="str">
        <v>L3</v>
      </c>
      <c r="W180" s="57" t="str">
        <v>ok</v>
      </c>
      <c r="X180" s="58" t="str">
        <v/>
      </c>
      <c r="Y180" s="75" t="str">
        <v/>
      </c>
      <c r="Z180" s="59">
        <v>0.27348170645824377</v>
      </c>
      <c r="AA180" s="61">
        <v>16</v>
      </c>
      <c r="AB180" s="61">
        <v>25</v>
      </c>
      <c r="AC180" s="61" t="str">
        <v/>
      </c>
      <c r="AD180" s="62" t="str">
        <v>QFD19</v>
      </c>
      <c r="AE180" s="62" t="str">
        <v/>
      </c>
      <c r="AF180" s="34">
        <v>19</v>
      </c>
      <c r="AG180" s="34" t="str">
        <v>QFD19</v>
      </c>
      <c r="AH180" s="34" t="str">
        <v/>
      </c>
      <c r="AI180" s="34" t="str">
        <v/>
      </c>
      <c r="AJ180" s="34" t="str">
        <v>QFD19</v>
      </c>
      <c r="AK180" s="34">
        <v>1</v>
      </c>
      <c r="AL180" s="34" t="str">
        <v>R</v>
      </c>
      <c r="AM180" s="34">
        <v>30</v>
      </c>
      <c r="AN180" s="34">
        <v>0</v>
      </c>
      <c r="AO180" s="34">
        <v>16</v>
      </c>
      <c r="AP180" s="34">
        <v>25</v>
      </c>
      <c r="AQ180" s="34">
        <v>16</v>
      </c>
      <c r="AR180" s="34">
        <v>1</v>
      </c>
      <c r="AS180" s="34">
        <v>1</v>
      </c>
      <c r="AT180" s="34" t="str">
        <v>2P</v>
      </c>
      <c r="AU180" s="34">
        <v>16</v>
      </c>
      <c r="AV180" s="34" t="str">
        <v/>
      </c>
      <c r="AW180" s="34" t="str">
        <v/>
      </c>
      <c r="AX180" s="34" t="str">
        <v/>
      </c>
      <c r="AY180" s="34">
        <v>1</v>
      </c>
      <c r="AZ180" s="34" t="str">
        <v/>
      </c>
      <c r="BA180" s="34">
        <v>0</v>
      </c>
      <c r="BB180" s="34">
        <v>16</v>
      </c>
      <c r="BD180" s="34">
        <v>1</v>
      </c>
      <c r="BE180" s="34">
        <v>0</v>
      </c>
      <c r="BF180" s="34">
        <v>1</v>
      </c>
      <c r="BG180" s="34" t="str">
        <v/>
      </c>
      <c r="BH180" s="34" t="str">
        <v/>
      </c>
      <c r="BI180" s="34" t="str">
        <v/>
      </c>
      <c r="BJ180" s="34" t="str">
        <v/>
      </c>
      <c r="BK180" s="34" t="str">
        <v>SOCKET</v>
      </c>
      <c r="BL180" s="34">
        <v>1</v>
      </c>
      <c r="BM180" s="34" t="str">
        <v/>
      </c>
      <c r="BN180" s="34" t="str">
        <v/>
      </c>
      <c r="BO180" s="34" t="str">
        <v/>
      </c>
      <c r="BP180" s="34" t="str">
        <v/>
      </c>
      <c r="BQ180" s="34" t="str">
        <v>3х2,5</v>
      </c>
      <c r="BR180" s="34" t="str">
        <v/>
      </c>
      <c r="BS180" s="34" t="str">
        <v/>
      </c>
      <c r="BT180" s="34" t="str">
        <v/>
      </c>
      <c r="BU180" s="34">
        <v>0</v>
      </c>
      <c r="BV180" s="34">
        <v>201</v>
      </c>
      <c r="BW180" s="34">
        <v>1</v>
      </c>
      <c r="BX180" s="34">
        <v>0</v>
      </c>
      <c r="BY180" s="34" t="str">
        <v>Розетка</v>
      </c>
      <c r="BZ180">
        <v>9</v>
      </c>
      <c r="CA180" t="str">
        <v>линии</v>
      </c>
    </row>
    <row r="181" spans="1:79" x14ac:dyDescent="0.3">
      <c r="A181" s="39" t="str">
        <v>ЩР-01</v>
      </c>
      <c r="B181" s="42">
        <v>30</v>
      </c>
      <c r="C181" s="42">
        <v>2</v>
      </c>
      <c r="D181" s="75" t="str">
        <v/>
      </c>
      <c r="E181" s="75" t="str">
        <v>авто</v>
      </c>
      <c r="F181" s="76">
        <v>30</v>
      </c>
      <c r="G181" s="47" t="str">
        <v>QFD20</v>
      </c>
      <c r="H181" s="47" t="str">
        <v>2P С16А 30мА</v>
      </c>
      <c r="I181" s="75" t="str">
        <v/>
      </c>
      <c r="J181" s="76" t="str">
        <v/>
      </c>
      <c r="K181" s="76" t="str">
        <v/>
      </c>
      <c r="L181" s="75" t="str">
        <v/>
      </c>
      <c r="M181" s="49" t="str">
        <v/>
      </c>
      <c r="N181" s="76" t="str">
        <v/>
      </c>
      <c r="O181" s="49" t="str">
        <v/>
      </c>
      <c r="P181" s="77" t="str">
        <v/>
      </c>
      <c r="Q181" s="53" t="str">
        <v>ВВГнг(А)-LS (3х2,5) L=25-0,06%</v>
      </c>
      <c r="R181" s="54" t="str">
        <v>R.0.011.1A</v>
      </c>
      <c r="S181" s="55" t="str">
        <v>Розеточная группа, пом. 011</v>
      </c>
      <c r="T181" s="56">
        <v>0.06</v>
      </c>
      <c r="U181" s="56">
        <v>0.28000000000000003</v>
      </c>
      <c r="V181" s="42" t="str">
        <v>L1</v>
      </c>
      <c r="W181" s="57" t="str">
        <v>ok</v>
      </c>
      <c r="X181" s="58" t="str">
        <v/>
      </c>
      <c r="Y181" s="75" t="str">
        <v/>
      </c>
      <c r="Z181" s="59">
        <v>0.27348170645824377</v>
      </c>
      <c r="AA181" s="61">
        <v>16</v>
      </c>
      <c r="AB181" s="61">
        <v>25</v>
      </c>
      <c r="AC181" s="61" t="str">
        <v/>
      </c>
      <c r="AD181" s="62" t="str">
        <v>QFD20</v>
      </c>
      <c r="AE181" s="62" t="str">
        <v/>
      </c>
      <c r="AF181" s="34">
        <v>20</v>
      </c>
      <c r="AG181" s="34" t="str">
        <v>QFD20</v>
      </c>
      <c r="AH181" s="34" t="str">
        <v/>
      </c>
      <c r="AI181" s="34" t="str">
        <v/>
      </c>
      <c r="AJ181" s="34" t="str">
        <v>QFD20</v>
      </c>
      <c r="AK181" s="34">
        <v>1</v>
      </c>
      <c r="AL181" s="34" t="str">
        <v>R</v>
      </c>
      <c r="AM181" s="34">
        <v>30</v>
      </c>
      <c r="AN181" s="34">
        <v>0</v>
      </c>
      <c r="AO181" s="34">
        <v>16</v>
      </c>
      <c r="AP181" s="34">
        <v>25</v>
      </c>
      <c r="AQ181" s="34">
        <v>16</v>
      </c>
      <c r="AR181" s="34">
        <v>1</v>
      </c>
      <c r="AS181" s="34">
        <v>1</v>
      </c>
      <c r="AT181" s="34" t="str">
        <v>2P</v>
      </c>
      <c r="AU181" s="34">
        <v>16</v>
      </c>
      <c r="AV181" s="34" t="str">
        <v/>
      </c>
      <c r="AW181" s="34" t="str">
        <v/>
      </c>
      <c r="AX181" s="34" t="str">
        <v/>
      </c>
      <c r="AY181" s="34">
        <v>1</v>
      </c>
      <c r="AZ181" s="34" t="str">
        <v/>
      </c>
      <c r="BA181" s="34">
        <v>0</v>
      </c>
      <c r="BB181" s="34">
        <v>16</v>
      </c>
      <c r="BD181" s="34">
        <v>1</v>
      </c>
      <c r="BE181" s="34">
        <v>0</v>
      </c>
      <c r="BF181" s="34">
        <v>1</v>
      </c>
      <c r="BG181" s="34" t="str">
        <v/>
      </c>
      <c r="BH181" s="34" t="str">
        <v/>
      </c>
      <c r="BI181" s="34" t="str">
        <v/>
      </c>
      <c r="BJ181" s="34" t="str">
        <v/>
      </c>
      <c r="BK181" s="34" t="str">
        <v>SOCKET</v>
      </c>
      <c r="BL181" s="34">
        <v>1</v>
      </c>
      <c r="BM181" s="34" t="str">
        <v/>
      </c>
      <c r="BN181" s="34" t="str">
        <v/>
      </c>
      <c r="BO181" s="34" t="str">
        <v/>
      </c>
      <c r="BP181" s="34" t="str">
        <v/>
      </c>
      <c r="BQ181" s="34" t="str">
        <v>3х2,5</v>
      </c>
      <c r="BR181" s="34" t="str">
        <v/>
      </c>
      <c r="BS181" s="34" t="str">
        <v/>
      </c>
      <c r="BT181" s="34" t="str">
        <v/>
      </c>
      <c r="BU181" s="34">
        <v>0</v>
      </c>
      <c r="BV181" s="34">
        <v>202</v>
      </c>
      <c r="BW181" s="34">
        <v>1</v>
      </c>
      <c r="BX181" s="34">
        <v>0</v>
      </c>
      <c r="BY181" s="34" t="str">
        <v>Розетка</v>
      </c>
      <c r="BZ181">
        <v>9</v>
      </c>
      <c r="CA181" t="str">
        <v>линии</v>
      </c>
    </row>
    <row r="182" spans="1:79" x14ac:dyDescent="0.3">
      <c r="A182" s="39" t="str">
        <v>ЩР-01</v>
      </c>
      <c r="B182" s="42">
        <v>31</v>
      </c>
      <c r="C182" s="42">
        <v>2</v>
      </c>
      <c r="D182" s="75" t="str">
        <v/>
      </c>
      <c r="E182" s="75" t="str">
        <v>авто</v>
      </c>
      <c r="F182" s="76">
        <v>30</v>
      </c>
      <c r="G182" s="47" t="str">
        <v>QFD21</v>
      </c>
      <c r="H182" s="47" t="str">
        <v>2P С16А 30мА</v>
      </c>
      <c r="I182" s="75" t="str">
        <v/>
      </c>
      <c r="J182" s="76" t="str">
        <v/>
      </c>
      <c r="K182" s="76" t="str">
        <v/>
      </c>
      <c r="L182" s="75" t="str">
        <v/>
      </c>
      <c r="M182" s="49" t="str">
        <v/>
      </c>
      <c r="N182" s="76" t="str">
        <v/>
      </c>
      <c r="O182" s="49" t="str">
        <v/>
      </c>
      <c r="P182" s="77" t="str">
        <v/>
      </c>
      <c r="Q182" s="53" t="str">
        <v>ВВГнг(А)-LS (3х2,5) L=31-0,07%</v>
      </c>
      <c r="R182" s="54" t="str">
        <v>R.0.011Б.1</v>
      </c>
      <c r="S182" s="55" t="str">
        <v>Розеточная группа, пом. 011Б</v>
      </c>
      <c r="T182" s="56">
        <v>0.06</v>
      </c>
      <c r="U182" s="56">
        <v>0.28000000000000003</v>
      </c>
      <c r="V182" s="42" t="str">
        <v>L2</v>
      </c>
      <c r="W182" s="57" t="str">
        <v>ok</v>
      </c>
      <c r="X182" s="58" t="str">
        <v/>
      </c>
      <c r="Y182" s="75" t="str">
        <v/>
      </c>
      <c r="Z182" s="59">
        <v>0.27348170645824377</v>
      </c>
      <c r="AA182" s="61">
        <v>16</v>
      </c>
      <c r="AB182" s="61">
        <v>25</v>
      </c>
      <c r="AC182" s="61" t="str">
        <v/>
      </c>
      <c r="AD182" s="62" t="str">
        <v>QFD21</v>
      </c>
      <c r="AE182" s="62" t="str">
        <v/>
      </c>
      <c r="AF182" s="34">
        <v>21</v>
      </c>
      <c r="AG182" s="34" t="str">
        <v>QFD21</v>
      </c>
      <c r="AH182" s="34" t="str">
        <v/>
      </c>
      <c r="AI182" s="34" t="str">
        <v/>
      </c>
      <c r="AJ182" s="34" t="str">
        <v>QFD21</v>
      </c>
      <c r="AK182" s="34">
        <v>1</v>
      </c>
      <c r="AL182" s="34" t="str">
        <v>R</v>
      </c>
      <c r="AM182" s="34">
        <v>30</v>
      </c>
      <c r="AN182" s="34">
        <v>0</v>
      </c>
      <c r="AO182" s="34">
        <v>16</v>
      </c>
      <c r="AP182" s="34">
        <v>25</v>
      </c>
      <c r="AQ182" s="34">
        <v>16</v>
      </c>
      <c r="AR182" s="34">
        <v>1</v>
      </c>
      <c r="AS182" s="34">
        <v>1</v>
      </c>
      <c r="AT182" s="34" t="str">
        <v>2P</v>
      </c>
      <c r="AU182" s="34">
        <v>16</v>
      </c>
      <c r="AV182" s="34" t="str">
        <v/>
      </c>
      <c r="AW182" s="34" t="str">
        <v/>
      </c>
      <c r="AX182" s="34" t="str">
        <v/>
      </c>
      <c r="AY182" s="34">
        <v>1</v>
      </c>
      <c r="AZ182" s="34" t="str">
        <v/>
      </c>
      <c r="BA182" s="34">
        <v>0</v>
      </c>
      <c r="BB182" s="34">
        <v>16</v>
      </c>
      <c r="BD182" s="34">
        <v>1</v>
      </c>
      <c r="BE182" s="34">
        <v>0</v>
      </c>
      <c r="BF182" s="34">
        <v>1</v>
      </c>
      <c r="BG182" s="34" t="str">
        <v/>
      </c>
      <c r="BH182" s="34" t="str">
        <v/>
      </c>
      <c r="BI182" s="34" t="str">
        <v/>
      </c>
      <c r="BJ182" s="34" t="str">
        <v/>
      </c>
      <c r="BK182" s="34" t="str">
        <v>SOCKET</v>
      </c>
      <c r="BL182" s="34">
        <v>1</v>
      </c>
      <c r="BM182" s="34" t="str">
        <v/>
      </c>
      <c r="BN182" s="34" t="str">
        <v/>
      </c>
      <c r="BO182" s="34" t="str">
        <v/>
      </c>
      <c r="BP182" s="34" t="str">
        <v/>
      </c>
      <c r="BQ182" s="34" t="str">
        <v>3х2,5</v>
      </c>
      <c r="BR182" s="34" t="str">
        <v/>
      </c>
      <c r="BS182" s="34" t="str">
        <v/>
      </c>
      <c r="BT182" s="34" t="str">
        <v/>
      </c>
      <c r="BU182" s="34">
        <v>0</v>
      </c>
      <c r="BV182" s="34">
        <v>203</v>
      </c>
      <c r="BW182" s="34">
        <v>1</v>
      </c>
      <c r="BX182" s="34">
        <v>0</v>
      </c>
      <c r="BY182" s="34" t="str">
        <v>Розетка</v>
      </c>
      <c r="BZ182">
        <v>9</v>
      </c>
      <c r="CA182" t="str">
        <v>линии</v>
      </c>
    </row>
    <row r="183" spans="1:79" x14ac:dyDescent="0.3">
      <c r="A183" s="39" t="str">
        <v>ЩР-01</v>
      </c>
      <c r="B183" s="42">
        <v>32</v>
      </c>
      <c r="C183" s="42">
        <v>2</v>
      </c>
      <c r="D183" s="75" t="str">
        <v/>
      </c>
      <c r="E183" s="75" t="str">
        <v>авто</v>
      </c>
      <c r="F183" s="76">
        <v>30</v>
      </c>
      <c r="G183" s="47" t="str">
        <v>QFD22</v>
      </c>
      <c r="H183" s="47" t="str">
        <v>2P С16А 30мА</v>
      </c>
      <c r="I183" s="75" t="str">
        <v/>
      </c>
      <c r="J183" s="76" t="str">
        <v/>
      </c>
      <c r="K183" s="76" t="str">
        <v/>
      </c>
      <c r="L183" s="75" t="str">
        <v/>
      </c>
      <c r="M183" s="49" t="str">
        <v/>
      </c>
      <c r="N183" s="76" t="str">
        <v/>
      </c>
      <c r="O183" s="49" t="str">
        <v/>
      </c>
      <c r="P183" s="77" t="str">
        <v/>
      </c>
      <c r="Q183" s="53" t="str">
        <v>ВВГнг(А)-LS (3х2,5) L=79-0,81%</v>
      </c>
      <c r="R183" s="54" t="str">
        <v>R.0.012A.1</v>
      </c>
      <c r="S183" s="55" t="str">
        <v>Розеточная группа, пом. 012A</v>
      </c>
      <c r="T183" s="56">
        <v>0.3</v>
      </c>
      <c r="U183" s="56">
        <v>1.37</v>
      </c>
      <c r="V183" s="42" t="str">
        <v>L3</v>
      </c>
      <c r="W183" s="57" t="str">
        <v>ok</v>
      </c>
      <c r="X183" s="58" t="str">
        <v/>
      </c>
      <c r="Y183" s="75" t="str">
        <v/>
      </c>
      <c r="Z183" s="59">
        <v>1.3674085322912188</v>
      </c>
      <c r="AA183" s="61">
        <v>16</v>
      </c>
      <c r="AB183" s="61">
        <v>25</v>
      </c>
      <c r="AC183" s="61" t="str">
        <v/>
      </c>
      <c r="AD183" s="62" t="str">
        <v>QFD22</v>
      </c>
      <c r="AE183" s="62" t="str">
        <v/>
      </c>
      <c r="AF183" s="34">
        <v>22</v>
      </c>
      <c r="AG183" s="34" t="str">
        <v>QFD22</v>
      </c>
      <c r="AH183" s="34" t="str">
        <v/>
      </c>
      <c r="AI183" s="34" t="str">
        <v/>
      </c>
      <c r="AJ183" s="34" t="str">
        <v>QFD22</v>
      </c>
      <c r="AK183" s="34">
        <v>1</v>
      </c>
      <c r="AL183" s="34" t="str">
        <v>R</v>
      </c>
      <c r="AM183" s="34">
        <v>30</v>
      </c>
      <c r="AN183" s="34">
        <v>0</v>
      </c>
      <c r="AO183" s="34">
        <v>16</v>
      </c>
      <c r="AP183" s="34">
        <v>25</v>
      </c>
      <c r="AQ183" s="34">
        <v>16</v>
      </c>
      <c r="AR183" s="34">
        <v>1</v>
      </c>
      <c r="AS183" s="34">
        <v>1</v>
      </c>
      <c r="AT183" s="34" t="str">
        <v>2P</v>
      </c>
      <c r="AU183" s="34">
        <v>16</v>
      </c>
      <c r="AV183" s="34" t="str">
        <v/>
      </c>
      <c r="AW183" s="34" t="str">
        <v/>
      </c>
      <c r="AX183" s="34" t="str">
        <v/>
      </c>
      <c r="AY183" s="34">
        <v>1</v>
      </c>
      <c r="AZ183" s="34" t="str">
        <v/>
      </c>
      <c r="BA183" s="34">
        <v>0</v>
      </c>
      <c r="BB183" s="34">
        <v>16</v>
      </c>
      <c r="BD183" s="34">
        <v>1</v>
      </c>
      <c r="BE183" s="34">
        <v>0</v>
      </c>
      <c r="BF183" s="34">
        <v>1</v>
      </c>
      <c r="BG183" s="34" t="str">
        <v/>
      </c>
      <c r="BH183" s="34" t="str">
        <v/>
      </c>
      <c r="BI183" s="34" t="str">
        <v/>
      </c>
      <c r="BJ183" s="34" t="str">
        <v/>
      </c>
      <c r="BK183" s="34" t="str">
        <v>SOCKET</v>
      </c>
      <c r="BL183" s="34">
        <v>1</v>
      </c>
      <c r="BM183" s="34" t="str">
        <v/>
      </c>
      <c r="BN183" s="34" t="str">
        <v/>
      </c>
      <c r="BO183" s="34" t="str">
        <v/>
      </c>
      <c r="BP183" s="34" t="str">
        <v/>
      </c>
      <c r="BQ183" s="34" t="str">
        <v>3х2,5</v>
      </c>
      <c r="BR183" s="34" t="str">
        <v/>
      </c>
      <c r="BS183" s="34" t="str">
        <v/>
      </c>
      <c r="BT183" s="34" t="str">
        <v/>
      </c>
      <c r="BU183" s="34">
        <v>0</v>
      </c>
      <c r="BV183" s="34">
        <v>204</v>
      </c>
      <c r="BW183" s="34">
        <v>1</v>
      </c>
      <c r="BX183" s="34">
        <v>0</v>
      </c>
      <c r="BY183" s="34" t="str">
        <v>Розетка</v>
      </c>
      <c r="BZ183">
        <v>9</v>
      </c>
      <c r="CA183" t="str">
        <v>линии</v>
      </c>
    </row>
    <row r="184" spans="1:79" x14ac:dyDescent="0.3">
      <c r="A184" s="39" t="str">
        <v>ЩР-01</v>
      </c>
      <c r="B184" s="42">
        <v>33</v>
      </c>
      <c r="C184" s="42">
        <v>2</v>
      </c>
      <c r="D184" s="75" t="str">
        <v/>
      </c>
      <c r="E184" s="75" t="str">
        <v>авто</v>
      </c>
      <c r="F184" s="76">
        <v>30</v>
      </c>
      <c r="G184" s="47" t="str">
        <v>QFD23</v>
      </c>
      <c r="H184" s="47" t="str">
        <v>2P С16А 30мА</v>
      </c>
      <c r="I184" s="75" t="str">
        <v/>
      </c>
      <c r="J184" s="76" t="str">
        <v/>
      </c>
      <c r="K184" s="76" t="str">
        <v/>
      </c>
      <c r="L184" s="75" t="str">
        <v/>
      </c>
      <c r="M184" s="49" t="str">
        <v/>
      </c>
      <c r="N184" s="76" t="str">
        <v/>
      </c>
      <c r="O184" s="49" t="str">
        <v/>
      </c>
      <c r="P184" s="77" t="str">
        <v/>
      </c>
      <c r="Q184" s="53" t="str">
        <v>ВВГнг(А)-LS (3х2,5) L=63-0,26%</v>
      </c>
      <c r="R184" s="54" t="str">
        <v>R.0.013A.1</v>
      </c>
      <c r="S184" s="55" t="str">
        <v>Розеточная группа, пом. 013A</v>
      </c>
      <c r="T184" s="56">
        <v>0.12</v>
      </c>
      <c r="U184" s="56">
        <v>0.55000000000000004</v>
      </c>
      <c r="V184" s="42" t="str">
        <v>L3</v>
      </c>
      <c r="W184" s="57" t="str">
        <v>ok</v>
      </c>
      <c r="X184" s="58" t="str">
        <v/>
      </c>
      <c r="Y184" s="75" t="str">
        <v/>
      </c>
      <c r="Z184" s="59">
        <v>0.54696341291648753</v>
      </c>
      <c r="AA184" s="61">
        <v>16</v>
      </c>
      <c r="AB184" s="61">
        <v>25</v>
      </c>
      <c r="AC184" s="61" t="str">
        <v/>
      </c>
      <c r="AD184" s="62" t="str">
        <v>QFD23</v>
      </c>
      <c r="AE184" s="62" t="str">
        <v/>
      </c>
      <c r="AF184" s="34">
        <v>23</v>
      </c>
      <c r="AG184" s="34" t="str">
        <v>QFD23</v>
      </c>
      <c r="AH184" s="34" t="str">
        <v/>
      </c>
      <c r="AI184" s="34" t="str">
        <v/>
      </c>
      <c r="AJ184" s="34" t="str">
        <v>QFD23</v>
      </c>
      <c r="AK184" s="34">
        <v>1</v>
      </c>
      <c r="AL184" s="34" t="str">
        <v>R</v>
      </c>
      <c r="AM184" s="34">
        <v>30</v>
      </c>
      <c r="AN184" s="34">
        <v>0</v>
      </c>
      <c r="AO184" s="34">
        <v>16</v>
      </c>
      <c r="AP184" s="34">
        <v>25</v>
      </c>
      <c r="AQ184" s="34">
        <v>16</v>
      </c>
      <c r="AR184" s="34">
        <v>1</v>
      </c>
      <c r="AS184" s="34">
        <v>1</v>
      </c>
      <c r="AT184" s="34" t="str">
        <v>2P</v>
      </c>
      <c r="AU184" s="34">
        <v>16</v>
      </c>
      <c r="AV184" s="34" t="str">
        <v/>
      </c>
      <c r="AW184" s="34" t="str">
        <v/>
      </c>
      <c r="AX184" s="34" t="str">
        <v/>
      </c>
      <c r="AY184" s="34">
        <v>1</v>
      </c>
      <c r="AZ184" s="34" t="str">
        <v/>
      </c>
      <c r="BA184" s="34">
        <v>0</v>
      </c>
      <c r="BB184" s="34">
        <v>16</v>
      </c>
      <c r="BD184" s="34">
        <v>1</v>
      </c>
      <c r="BE184" s="34">
        <v>0</v>
      </c>
      <c r="BF184" s="34">
        <v>1</v>
      </c>
      <c r="BG184" s="34" t="str">
        <v/>
      </c>
      <c r="BH184" s="34" t="str">
        <v/>
      </c>
      <c r="BI184" s="34" t="str">
        <v/>
      </c>
      <c r="BJ184" s="34" t="str">
        <v/>
      </c>
      <c r="BK184" s="34" t="str">
        <v>SOCKET</v>
      </c>
      <c r="BL184" s="34">
        <v>1</v>
      </c>
      <c r="BM184" s="34" t="str">
        <v/>
      </c>
      <c r="BN184" s="34" t="str">
        <v/>
      </c>
      <c r="BO184" s="34" t="str">
        <v/>
      </c>
      <c r="BP184" s="34" t="str">
        <v/>
      </c>
      <c r="BQ184" s="34" t="str">
        <v>3х2,5</v>
      </c>
      <c r="BR184" s="34" t="str">
        <v/>
      </c>
      <c r="BS184" s="34" t="str">
        <v/>
      </c>
      <c r="BT184" s="34" t="str">
        <v/>
      </c>
      <c r="BU184" s="34">
        <v>0</v>
      </c>
      <c r="BV184" s="34">
        <v>205</v>
      </c>
      <c r="BW184" s="34">
        <v>1</v>
      </c>
      <c r="BX184" s="34">
        <v>0</v>
      </c>
      <c r="BY184" s="34" t="str">
        <v>Розетка</v>
      </c>
      <c r="BZ184">
        <v>9</v>
      </c>
      <c r="CA184" t="str">
        <v>линии</v>
      </c>
    </row>
    <row r="185" spans="1:79" x14ac:dyDescent="0.3">
      <c r="A185" s="39" t="str">
        <v>ЩР-01</v>
      </c>
      <c r="B185" s="42">
        <v>36</v>
      </c>
      <c r="C185" s="42">
        <v>3</v>
      </c>
      <c r="D185" s="75" t="str">
        <v/>
      </c>
      <c r="E185" s="75" t="str">
        <v>авто</v>
      </c>
      <c r="F185" s="76">
        <v>30</v>
      </c>
      <c r="G185" s="47" t="str">
        <v>QFD24</v>
      </c>
      <c r="H185" s="47" t="str">
        <v>2P С16А 30мА</v>
      </c>
      <c r="I185" s="75" t="str">
        <v/>
      </c>
      <c r="J185" s="76" t="str">
        <v/>
      </c>
      <c r="K185" s="76" t="str">
        <v/>
      </c>
      <c r="L185" s="75" t="str">
        <v/>
      </c>
      <c r="M185" s="49" t="str">
        <v/>
      </c>
      <c r="N185" s="76" t="str">
        <v/>
      </c>
      <c r="O185" s="49" t="str">
        <v/>
      </c>
      <c r="P185" s="77" t="str">
        <v>XT24</v>
      </c>
      <c r="Q185" s="53" t="str">
        <v>ВВГнг(А)-LS (3х2,5) L=57-0,12%</v>
      </c>
      <c r="R185" s="54" t="str">
        <v>R.0.013Б.1</v>
      </c>
      <c r="S185" s="55" t="str">
        <v>Розеточная группа, пом. 013Б</v>
      </c>
      <c r="T185" s="56">
        <v>0.06</v>
      </c>
      <c r="U185" s="56">
        <v>0.28000000000000003</v>
      </c>
      <c r="V185" s="42" t="str">
        <v>L3</v>
      </c>
      <c r="W185" s="57" t="str">
        <v>ok</v>
      </c>
      <c r="X185" s="58" t="str">
        <v/>
      </c>
      <c r="Y185" s="75" t="str">
        <v/>
      </c>
      <c r="Z185" s="59">
        <v>0.27348170645824377</v>
      </c>
      <c r="AA185" s="61">
        <v>16</v>
      </c>
      <c r="AB185" s="61">
        <v>25</v>
      </c>
      <c r="AC185" s="61" t="str">
        <v/>
      </c>
      <c r="AD185" s="62" t="str">
        <v>QFD24 → XT24</v>
      </c>
      <c r="AE185" s="62" t="str">
        <v/>
      </c>
      <c r="AF185" s="34">
        <v>24</v>
      </c>
      <c r="AG185" s="34" t="str">
        <v>QFD24</v>
      </c>
      <c r="AH185" s="34" t="str">
        <v/>
      </c>
      <c r="AI185" s="34" t="str">
        <v/>
      </c>
      <c r="AJ185" s="34" t="str">
        <v>QFD24</v>
      </c>
      <c r="AK185" s="34">
        <v>1</v>
      </c>
      <c r="AL185" s="34" t="str">
        <v>R</v>
      </c>
      <c r="AM185" s="34">
        <v>30</v>
      </c>
      <c r="AN185" s="34">
        <v>0</v>
      </c>
      <c r="AO185" s="34">
        <v>16</v>
      </c>
      <c r="AP185" s="34">
        <v>25</v>
      </c>
      <c r="AQ185" s="34">
        <v>16</v>
      </c>
      <c r="AR185" s="34">
        <v>1</v>
      </c>
      <c r="AS185" s="34">
        <v>1</v>
      </c>
      <c r="AT185" s="34" t="str">
        <v>2P</v>
      </c>
      <c r="AU185" s="34">
        <v>16</v>
      </c>
      <c r="AV185" s="34" t="str">
        <v/>
      </c>
      <c r="AW185" s="34" t="str">
        <v/>
      </c>
      <c r="AX185" s="34" t="str">
        <v/>
      </c>
      <c r="AY185" s="34">
        <v>1</v>
      </c>
      <c r="AZ185" s="34" t="str">
        <v/>
      </c>
      <c r="BA185" s="34">
        <v>0</v>
      </c>
      <c r="BB185" s="34">
        <v>16</v>
      </c>
      <c r="BD185" s="34">
        <v>1</v>
      </c>
      <c r="BE185" s="34">
        <v>0</v>
      </c>
      <c r="BF185" s="34">
        <v>1</v>
      </c>
      <c r="BG185" s="34" t="str">
        <v/>
      </c>
      <c r="BH185" s="34" t="str">
        <v/>
      </c>
      <c r="BI185" s="34" t="str">
        <v/>
      </c>
      <c r="BJ185" s="34" t="str">
        <v/>
      </c>
      <c r="BK185" s="34" t="str">
        <v>SOCKET</v>
      </c>
      <c r="BL185" s="34">
        <v>1</v>
      </c>
      <c r="BM185" s="34" t="str">
        <v/>
      </c>
      <c r="BN185" s="34" t="str">
        <v/>
      </c>
      <c r="BO185" s="34" t="str">
        <v/>
      </c>
      <c r="BP185" s="34" t="str">
        <v/>
      </c>
      <c r="BQ185" s="34" t="str">
        <v>3х2,5</v>
      </c>
      <c r="BR185" s="34" t="str">
        <v/>
      </c>
      <c r="BS185" s="34" t="str">
        <v/>
      </c>
      <c r="BT185" s="34" t="str">
        <v/>
      </c>
      <c r="BU185" s="34">
        <v>0</v>
      </c>
      <c r="BV185" s="34">
        <v>206</v>
      </c>
      <c r="BW185" s="34">
        <v>1</v>
      </c>
      <c r="BX185" s="34">
        <v>0</v>
      </c>
      <c r="BY185" s="34" t="str">
        <v>Розетка</v>
      </c>
      <c r="BZ185">
        <v>9</v>
      </c>
      <c r="CA185" t="str">
        <v>линии</v>
      </c>
    </row>
    <row r="186" spans="1:79" x14ac:dyDescent="0.3">
      <c r="A186" s="39" t="str">
        <v>ЩР-01</v>
      </c>
      <c r="B186" s="42">
        <v>37</v>
      </c>
      <c r="C186" s="42">
        <v>3</v>
      </c>
      <c r="D186" s="75" t="str">
        <v/>
      </c>
      <c r="E186" s="75" t="str">
        <v>авто</v>
      </c>
      <c r="F186" s="76">
        <v>30</v>
      </c>
      <c r="G186" s="47" t="str">
        <v>QFD25</v>
      </c>
      <c r="H186" s="47" t="str">
        <v>2P С16А 30мА</v>
      </c>
      <c r="I186" s="75" t="str">
        <v/>
      </c>
      <c r="J186" s="76" t="str">
        <v/>
      </c>
      <c r="K186" s="76" t="str">
        <v/>
      </c>
      <c r="L186" s="75" t="str">
        <v/>
      </c>
      <c r="M186" s="49" t="str">
        <v/>
      </c>
      <c r="N186" s="76" t="str">
        <v/>
      </c>
      <c r="O186" s="49" t="str">
        <v/>
      </c>
      <c r="P186" s="77" t="str">
        <v>XT25</v>
      </c>
      <c r="Q186" s="53" t="str">
        <v>ВВГнг(А)-LS (3х2,5) L=51-0,21%</v>
      </c>
      <c r="R186" s="54" t="str">
        <v>R.0.013Б.2</v>
      </c>
      <c r="S186" s="55" t="str">
        <v>Розеточная группа, пом. 013Б</v>
      </c>
      <c r="T186" s="56">
        <v>0.12</v>
      </c>
      <c r="U186" s="56">
        <v>0.55000000000000004</v>
      </c>
      <c r="V186" s="42" t="str">
        <v>L2</v>
      </c>
      <c r="W186" s="57" t="str">
        <v>ok</v>
      </c>
      <c r="X186" s="58" t="str">
        <v/>
      </c>
      <c r="Y186" s="75" t="str">
        <v/>
      </c>
      <c r="Z186" s="59">
        <v>0.54696341291648753</v>
      </c>
      <c r="AA186" s="61">
        <v>16</v>
      </c>
      <c r="AB186" s="61">
        <v>25</v>
      </c>
      <c r="AC186" s="61" t="str">
        <v/>
      </c>
      <c r="AD186" s="62" t="str">
        <v>QFD25 → XT25</v>
      </c>
      <c r="AE186" s="62" t="str">
        <v/>
      </c>
      <c r="AF186" s="34">
        <v>25</v>
      </c>
      <c r="AG186" s="34" t="str">
        <v>QFD25</v>
      </c>
      <c r="AH186" s="34" t="str">
        <v/>
      </c>
      <c r="AI186" s="34" t="str">
        <v/>
      </c>
      <c r="AJ186" s="34" t="str">
        <v>QFD25</v>
      </c>
      <c r="AK186" s="34">
        <v>1</v>
      </c>
      <c r="AL186" s="34" t="str">
        <v>R</v>
      </c>
      <c r="AM186" s="34">
        <v>30</v>
      </c>
      <c r="AN186" s="34">
        <v>0</v>
      </c>
      <c r="AO186" s="34">
        <v>16</v>
      </c>
      <c r="AP186" s="34">
        <v>25</v>
      </c>
      <c r="AQ186" s="34">
        <v>16</v>
      </c>
      <c r="AR186" s="34">
        <v>1</v>
      </c>
      <c r="AS186" s="34">
        <v>1</v>
      </c>
      <c r="AT186" s="34" t="str">
        <v>2P</v>
      </c>
      <c r="AU186" s="34">
        <v>16</v>
      </c>
      <c r="AV186" s="34" t="str">
        <v/>
      </c>
      <c r="AW186" s="34" t="str">
        <v/>
      </c>
      <c r="AX186" s="34" t="str">
        <v/>
      </c>
      <c r="AY186" s="34">
        <v>1</v>
      </c>
      <c r="AZ186" s="34" t="str">
        <v/>
      </c>
      <c r="BA186" s="34">
        <v>0</v>
      </c>
      <c r="BB186" s="34">
        <v>16</v>
      </c>
      <c r="BD186" s="34">
        <v>1</v>
      </c>
      <c r="BE186" s="34">
        <v>0</v>
      </c>
      <c r="BF186" s="34">
        <v>1</v>
      </c>
      <c r="BG186" s="34" t="str">
        <v/>
      </c>
      <c r="BH186" s="34" t="str">
        <v/>
      </c>
      <c r="BI186" s="34" t="str">
        <v/>
      </c>
      <c r="BJ186" s="34" t="str">
        <v/>
      </c>
      <c r="BK186" s="34" t="str">
        <v>SOCKET</v>
      </c>
      <c r="BL186" s="34">
        <v>1</v>
      </c>
      <c r="BM186" s="34" t="str">
        <v/>
      </c>
      <c r="BN186" s="34" t="str">
        <v/>
      </c>
      <c r="BO186" s="34" t="str">
        <v/>
      </c>
      <c r="BP186" s="34" t="str">
        <v/>
      </c>
      <c r="BQ186" s="34" t="str">
        <v>3х2,5</v>
      </c>
      <c r="BR186" s="34" t="str">
        <v/>
      </c>
      <c r="BS186" s="34" t="str">
        <v/>
      </c>
      <c r="BT186" s="34" t="str">
        <v/>
      </c>
      <c r="BU186" s="34">
        <v>0</v>
      </c>
      <c r="BV186" s="34">
        <v>207</v>
      </c>
      <c r="BW186" s="34">
        <v>1</v>
      </c>
      <c r="BX186" s="34">
        <v>0</v>
      </c>
      <c r="BY186" s="34" t="str">
        <v>Розетка</v>
      </c>
      <c r="BZ186">
        <v>9</v>
      </c>
      <c r="CA186" t="str">
        <v>линии</v>
      </c>
    </row>
    <row r="187" spans="1:79" x14ac:dyDescent="0.3">
      <c r="A187" s="39" t="str">
        <v>ЩР-01</v>
      </c>
      <c r="B187" s="42">
        <v>38</v>
      </c>
      <c r="C187" s="42">
        <v>3</v>
      </c>
      <c r="D187" s="75" t="str">
        <v/>
      </c>
      <c r="E187" s="75" t="str">
        <v>авто</v>
      </c>
      <c r="F187" s="76">
        <v>30</v>
      </c>
      <c r="G187" s="47" t="str">
        <v>QFD26</v>
      </c>
      <c r="H187" s="47" t="str">
        <v>2P С16А 30мА</v>
      </c>
      <c r="I187" s="75" t="str">
        <v/>
      </c>
      <c r="J187" s="76" t="str">
        <v/>
      </c>
      <c r="K187" s="76" t="str">
        <v/>
      </c>
      <c r="L187" s="75" t="str">
        <v/>
      </c>
      <c r="M187" s="49" t="str">
        <v/>
      </c>
      <c r="N187" s="76" t="str">
        <v/>
      </c>
      <c r="O187" s="49" t="str">
        <v/>
      </c>
      <c r="P187" s="77" t="str">
        <v/>
      </c>
      <c r="Q187" s="53" t="str">
        <v>ВВГнг(А)-LS (3х2,5) L=51-0,52%</v>
      </c>
      <c r="R187" s="54" t="str">
        <v>R.0.013Б.3</v>
      </c>
      <c r="S187" s="55" t="str">
        <v>Розеточная группа Цокольный этаж Пом. №013Б Полотенцесушитель</v>
      </c>
      <c r="T187" s="56">
        <v>0.3</v>
      </c>
      <c r="U187" s="56">
        <v>1.37</v>
      </c>
      <c r="V187" s="42" t="str">
        <v>L3</v>
      </c>
      <c r="W187" s="57" t="str">
        <v>ok</v>
      </c>
      <c r="X187" s="58" t="str">
        <v/>
      </c>
      <c r="Y187" s="75" t="str">
        <v/>
      </c>
      <c r="Z187" s="59">
        <v>1.3674085322912188</v>
      </c>
      <c r="AA187" s="61">
        <v>16</v>
      </c>
      <c r="AB187" s="61">
        <v>25</v>
      </c>
      <c r="AC187" s="61" t="str">
        <v/>
      </c>
      <c r="AD187" s="62" t="str">
        <v>QFD26</v>
      </c>
      <c r="AE187" s="62" t="str">
        <v/>
      </c>
      <c r="AF187" s="34">
        <v>26</v>
      </c>
      <c r="AG187" s="34" t="str">
        <v>QFD26</v>
      </c>
      <c r="AH187" s="34" t="str">
        <v/>
      </c>
      <c r="AI187" s="34" t="str">
        <v/>
      </c>
      <c r="AJ187" s="34" t="str">
        <v>QFD26</v>
      </c>
      <c r="AK187" s="34">
        <v>1</v>
      </c>
      <c r="AL187" s="34" t="str">
        <v>R</v>
      </c>
      <c r="AM187" s="34">
        <v>30</v>
      </c>
      <c r="AN187" s="34">
        <v>0</v>
      </c>
      <c r="AO187" s="34">
        <v>16</v>
      </c>
      <c r="AP187" s="34">
        <v>25</v>
      </c>
      <c r="AQ187" s="34">
        <v>16</v>
      </c>
      <c r="AR187" s="34">
        <v>1</v>
      </c>
      <c r="AS187" s="34">
        <v>1</v>
      </c>
      <c r="AT187" s="34" t="str">
        <v>2P</v>
      </c>
      <c r="AU187" s="34">
        <v>16</v>
      </c>
      <c r="AV187" s="34" t="str">
        <v/>
      </c>
      <c r="AW187" s="34" t="str">
        <v/>
      </c>
      <c r="AX187" s="34" t="str">
        <v/>
      </c>
      <c r="AY187" s="34">
        <v>1</v>
      </c>
      <c r="AZ187" s="34" t="str">
        <v/>
      </c>
      <c r="BA187" s="34">
        <v>0</v>
      </c>
      <c r="BB187" s="34">
        <v>16</v>
      </c>
      <c r="BD187" s="34">
        <v>1</v>
      </c>
      <c r="BE187" s="34">
        <v>0</v>
      </c>
      <c r="BF187" s="34">
        <v>1</v>
      </c>
      <c r="BG187" s="34" t="str">
        <v/>
      </c>
      <c r="BH187" s="34" t="str">
        <v/>
      </c>
      <c r="BI187" s="34" t="str">
        <v/>
      </c>
      <c r="BJ187" s="34" t="str">
        <v/>
      </c>
      <c r="BK187" s="34" t="str">
        <v>SOCKET</v>
      </c>
      <c r="BL187" s="34">
        <v>1</v>
      </c>
      <c r="BM187" s="34" t="str">
        <v/>
      </c>
      <c r="BN187" s="34" t="str">
        <v/>
      </c>
      <c r="BO187" s="34" t="str">
        <v/>
      </c>
      <c r="BP187" s="34" t="str">
        <v/>
      </c>
      <c r="BQ187" s="34" t="str">
        <v>3х2,5</v>
      </c>
      <c r="BR187" s="34" t="str">
        <v/>
      </c>
      <c r="BS187" s="34" t="str">
        <v/>
      </c>
      <c r="BT187" s="34" t="str">
        <v/>
      </c>
      <c r="BU187" s="34">
        <v>0</v>
      </c>
      <c r="BV187" s="34">
        <v>208</v>
      </c>
      <c r="BW187" s="34">
        <v>1</v>
      </c>
      <c r="BX187" s="34">
        <v>0</v>
      </c>
      <c r="BY187" s="34" t="str">
        <v>Розетка</v>
      </c>
      <c r="BZ187">
        <v>9</v>
      </c>
      <c r="CA187" t="str">
        <v>линии</v>
      </c>
    </row>
    <row r="188" spans="1:79" x14ac:dyDescent="0.3">
      <c r="A188" s="39" t="str">
        <v>ЩР-01</v>
      </c>
      <c r="B188" s="42">
        <v>39</v>
      </c>
      <c r="C188" s="42">
        <v>3</v>
      </c>
      <c r="D188" s="75" t="str">
        <v/>
      </c>
      <c r="E188" s="75" t="str">
        <v>авто</v>
      </c>
      <c r="F188" s="76">
        <v>30</v>
      </c>
      <c r="G188" s="47" t="str">
        <v>QFD27</v>
      </c>
      <c r="H188" s="47" t="str">
        <v>2P С16А 30мА</v>
      </c>
      <c r="I188" s="75" t="str">
        <v/>
      </c>
      <c r="J188" s="76" t="str">
        <v/>
      </c>
      <c r="K188" s="76" t="str">
        <v/>
      </c>
      <c r="L188" s="75" t="str">
        <v/>
      </c>
      <c r="M188" s="49" t="str">
        <v/>
      </c>
      <c r="N188" s="76" t="str">
        <v/>
      </c>
      <c r="O188" s="49" t="str">
        <v/>
      </c>
      <c r="P188" s="77" t="str">
        <v/>
      </c>
      <c r="Q188" s="53" t="str">
        <v>ВВГнг(А)-LS (3х2,5) L=58-4,33%</v>
      </c>
      <c r="R188" s="54" t="str">
        <v>R.0.013Б.4</v>
      </c>
      <c r="S188" s="55" t="str">
        <v>Розеточная группа Цокольный этаж Пом. №013Б Сушильная машина</v>
      </c>
      <c r="T188" s="56">
        <v>2.2000000000000002</v>
      </c>
      <c r="U188" s="56">
        <v>10.029999999999999</v>
      </c>
      <c r="V188" s="42" t="str">
        <v>L2</v>
      </c>
      <c r="W188" s="57" t="str">
        <v>ok</v>
      </c>
      <c r="X188" s="58" t="str">
        <v/>
      </c>
      <c r="Y188" s="75" t="str">
        <v/>
      </c>
      <c r="Z188" s="59">
        <v>10.027662570135606</v>
      </c>
      <c r="AA188" s="61">
        <v>16</v>
      </c>
      <c r="AB188" s="61">
        <v>25</v>
      </c>
      <c r="AC188" s="61" t="str">
        <v/>
      </c>
      <c r="AD188" s="62" t="str">
        <v>QFD27</v>
      </c>
      <c r="AE188" s="62" t="str">
        <v>потери 4,8 % &gt; 4 %</v>
      </c>
      <c r="AF188" s="34">
        <v>27</v>
      </c>
      <c r="AG188" s="34" t="str">
        <v>QFD27</v>
      </c>
      <c r="AH188" s="34" t="str">
        <v/>
      </c>
      <c r="AI188" s="34" t="str">
        <v/>
      </c>
      <c r="AJ188" s="34" t="str">
        <v>QFD27</v>
      </c>
      <c r="AK188" s="34">
        <v>1</v>
      </c>
      <c r="AL188" s="34" t="str">
        <v>R</v>
      </c>
      <c r="AM188" s="34">
        <v>30</v>
      </c>
      <c r="AN188" s="34">
        <v>0</v>
      </c>
      <c r="AO188" s="34">
        <v>16</v>
      </c>
      <c r="AP188" s="34">
        <v>25</v>
      </c>
      <c r="AQ188" s="34">
        <v>16</v>
      </c>
      <c r="AR188" s="34">
        <v>1</v>
      </c>
      <c r="AS188" s="34">
        <v>1</v>
      </c>
      <c r="AT188" s="34" t="str">
        <v>2P</v>
      </c>
      <c r="AU188" s="34">
        <v>16</v>
      </c>
      <c r="AV188" s="34" t="str">
        <v/>
      </c>
      <c r="AW188" s="34" t="str">
        <v/>
      </c>
      <c r="AX188" s="34" t="str">
        <v/>
      </c>
      <c r="AY188" s="34">
        <v>1</v>
      </c>
      <c r="AZ188" s="34" t="str">
        <v/>
      </c>
      <c r="BA188" s="34">
        <v>0</v>
      </c>
      <c r="BB188" s="34">
        <v>16</v>
      </c>
      <c r="BD188" s="34">
        <v>1</v>
      </c>
      <c r="BE188" s="34">
        <v>0</v>
      </c>
      <c r="BF188" s="34">
        <v>1</v>
      </c>
      <c r="BG188" s="34" t="str">
        <v/>
      </c>
      <c r="BH188" s="34" t="str">
        <v/>
      </c>
      <c r="BI188" s="34" t="str">
        <v/>
      </c>
      <c r="BJ188" s="34" t="str">
        <v/>
      </c>
      <c r="BK188" s="34" t="str">
        <v>SOCKET</v>
      </c>
      <c r="BL188" s="34">
        <v>1</v>
      </c>
      <c r="BM188" s="34" t="str">
        <v/>
      </c>
      <c r="BN188" s="34" t="str">
        <v/>
      </c>
      <c r="BO188" s="34" t="str">
        <v/>
      </c>
      <c r="BP188" s="34" t="str">
        <v/>
      </c>
      <c r="BQ188" s="34" t="str">
        <v>3х2,5</v>
      </c>
      <c r="BR188" s="34" t="str">
        <v/>
      </c>
      <c r="BS188" s="34" t="str">
        <v/>
      </c>
      <c r="BT188" s="34" t="str">
        <v/>
      </c>
      <c r="BU188" s="34">
        <v>1</v>
      </c>
      <c r="BV188" s="34">
        <v>209</v>
      </c>
      <c r="BW188" s="34">
        <v>1</v>
      </c>
      <c r="BX188" s="34">
        <v>0</v>
      </c>
      <c r="BY188" s="34" t="str">
        <v>Розетка</v>
      </c>
      <c r="BZ188">
        <v>9</v>
      </c>
      <c r="CA188" t="str">
        <v>линии</v>
      </c>
    </row>
    <row r="189" spans="1:79" x14ac:dyDescent="0.3">
      <c r="A189" s="39" t="str">
        <v>ЩР-01</v>
      </c>
      <c r="B189" s="42">
        <v>40</v>
      </c>
      <c r="C189" s="42">
        <v>3</v>
      </c>
      <c r="D189" s="75" t="str">
        <v/>
      </c>
      <c r="E189" s="75" t="str">
        <v>авто</v>
      </c>
      <c r="F189" s="76">
        <v>30</v>
      </c>
      <c r="G189" s="47" t="str">
        <v>QFD28</v>
      </c>
      <c r="H189" s="47" t="str">
        <v>2P С16А 30мА</v>
      </c>
      <c r="I189" s="75" t="str">
        <v/>
      </c>
      <c r="J189" s="76" t="str">
        <v/>
      </c>
      <c r="K189" s="76" t="str">
        <v/>
      </c>
      <c r="L189" s="75" t="str">
        <v/>
      </c>
      <c r="M189" s="49" t="str">
        <v/>
      </c>
      <c r="N189" s="76" t="str">
        <v/>
      </c>
      <c r="O189" s="49" t="str">
        <v/>
      </c>
      <c r="P189" s="77" t="str">
        <v/>
      </c>
      <c r="Q189" s="53" t="str">
        <v>ВВГнг(А)-LS (3х2,5) L=72-0,3%</v>
      </c>
      <c r="R189" s="54" t="str">
        <v>R.0.015A.1</v>
      </c>
      <c r="S189" s="55" t="str">
        <v>Розеточная группа, пом. 015A</v>
      </c>
      <c r="T189" s="56">
        <v>0.12</v>
      </c>
      <c r="U189" s="56">
        <v>0.55000000000000004</v>
      </c>
      <c r="V189" s="42" t="str">
        <v>L1</v>
      </c>
      <c r="W189" s="57" t="str">
        <v>ok</v>
      </c>
      <c r="X189" s="58" t="str">
        <v/>
      </c>
      <c r="Y189" s="75" t="str">
        <v/>
      </c>
      <c r="Z189" s="59">
        <v>0.54696341291648753</v>
      </c>
      <c r="AA189" s="61">
        <v>16</v>
      </c>
      <c r="AB189" s="61">
        <v>25</v>
      </c>
      <c r="AC189" s="61" t="str">
        <v/>
      </c>
      <c r="AD189" s="62" t="str">
        <v>QFD28</v>
      </c>
      <c r="AE189" s="62" t="str">
        <v/>
      </c>
      <c r="AF189" s="34">
        <v>28</v>
      </c>
      <c r="AG189" s="34" t="str">
        <v>QFD28</v>
      </c>
      <c r="AH189" s="34" t="str">
        <v/>
      </c>
      <c r="AI189" s="34" t="str">
        <v/>
      </c>
      <c r="AJ189" s="34" t="str">
        <v>QFD28</v>
      </c>
      <c r="AK189" s="34">
        <v>1</v>
      </c>
      <c r="AL189" s="34" t="str">
        <v>R</v>
      </c>
      <c r="AM189" s="34">
        <v>30</v>
      </c>
      <c r="AN189" s="34">
        <v>0</v>
      </c>
      <c r="AO189" s="34">
        <v>16</v>
      </c>
      <c r="AP189" s="34">
        <v>25</v>
      </c>
      <c r="AQ189" s="34">
        <v>16</v>
      </c>
      <c r="AR189" s="34">
        <v>1</v>
      </c>
      <c r="AS189" s="34">
        <v>1</v>
      </c>
      <c r="AT189" s="34" t="str">
        <v>2P</v>
      </c>
      <c r="AU189" s="34">
        <v>16</v>
      </c>
      <c r="AV189" s="34" t="str">
        <v/>
      </c>
      <c r="AW189" s="34" t="str">
        <v/>
      </c>
      <c r="AX189" s="34" t="str">
        <v/>
      </c>
      <c r="AY189" s="34">
        <v>1</v>
      </c>
      <c r="AZ189" s="34" t="str">
        <v/>
      </c>
      <c r="BA189" s="34">
        <v>0</v>
      </c>
      <c r="BB189" s="34">
        <v>16</v>
      </c>
      <c r="BD189" s="34">
        <v>1</v>
      </c>
      <c r="BE189" s="34">
        <v>0</v>
      </c>
      <c r="BF189" s="34">
        <v>1</v>
      </c>
      <c r="BG189" s="34" t="str">
        <v/>
      </c>
      <c r="BH189" s="34" t="str">
        <v/>
      </c>
      <c r="BI189" s="34" t="str">
        <v/>
      </c>
      <c r="BJ189" s="34" t="str">
        <v/>
      </c>
      <c r="BK189" s="34" t="str">
        <v>SOCKET</v>
      </c>
      <c r="BL189" s="34">
        <v>1</v>
      </c>
      <c r="BM189" s="34" t="str">
        <v/>
      </c>
      <c r="BN189" s="34" t="str">
        <v/>
      </c>
      <c r="BO189" s="34" t="str">
        <v/>
      </c>
      <c r="BP189" s="34" t="str">
        <v/>
      </c>
      <c r="BQ189" s="34" t="str">
        <v>3х2,5</v>
      </c>
      <c r="BR189" s="34" t="str">
        <v/>
      </c>
      <c r="BS189" s="34" t="str">
        <v/>
      </c>
      <c r="BT189" s="34" t="str">
        <v/>
      </c>
      <c r="BU189" s="34">
        <v>0</v>
      </c>
      <c r="BV189" s="34">
        <v>210</v>
      </c>
      <c r="BW189" s="34">
        <v>1</v>
      </c>
      <c r="BX189" s="34">
        <v>0</v>
      </c>
      <c r="BY189" s="34" t="str">
        <v>Розетка</v>
      </c>
      <c r="BZ189">
        <v>9</v>
      </c>
      <c r="CA189" t="str">
        <v>линии</v>
      </c>
    </row>
    <row r="190" spans="1:79" x14ac:dyDescent="0.3">
      <c r="A190" s="39" t="str">
        <v>ЩР-01</v>
      </c>
      <c r="B190" s="42">
        <v>41</v>
      </c>
      <c r="C190" s="42">
        <v>3</v>
      </c>
      <c r="D190" s="75" t="str">
        <v/>
      </c>
      <c r="E190" s="75" t="str">
        <v>авто</v>
      </c>
      <c r="F190" s="76">
        <v>30</v>
      </c>
      <c r="G190" s="47" t="str">
        <v>QFD29</v>
      </c>
      <c r="H190" s="47" t="str">
        <v>2P С16А 30мА</v>
      </c>
      <c r="I190" s="75" t="str">
        <v/>
      </c>
      <c r="J190" s="76" t="str">
        <v/>
      </c>
      <c r="K190" s="76" t="str">
        <v/>
      </c>
      <c r="L190" s="75" t="str">
        <v/>
      </c>
      <c r="M190" s="49" t="str">
        <v/>
      </c>
      <c r="N190" s="76" t="str">
        <v/>
      </c>
      <c r="O190" s="49" t="str">
        <v/>
      </c>
      <c r="P190" s="77" t="str">
        <v/>
      </c>
      <c r="Q190" s="53" t="str">
        <v>ВВГнг(А)-LS (3х2,5) L=84-0,69%</v>
      </c>
      <c r="R190" s="54" t="str">
        <v>R.0.017A.1</v>
      </c>
      <c r="S190" s="55" t="str">
        <v>Розеточная группа, пом. 017A</v>
      </c>
      <c r="T190" s="56">
        <v>0.24</v>
      </c>
      <c r="U190" s="56">
        <v>1.1000000000000001</v>
      </c>
      <c r="V190" s="42" t="str">
        <v>L1</v>
      </c>
      <c r="W190" s="57" t="str">
        <v>ok</v>
      </c>
      <c r="X190" s="58" t="str">
        <v/>
      </c>
      <c r="Y190" s="75" t="str">
        <v/>
      </c>
      <c r="Z190" s="59">
        <v>1.0939268258329751</v>
      </c>
      <c r="AA190" s="61">
        <v>16</v>
      </c>
      <c r="AB190" s="61">
        <v>25</v>
      </c>
      <c r="AC190" s="61" t="str">
        <v/>
      </c>
      <c r="AD190" s="62" t="str">
        <v>QFD29</v>
      </c>
      <c r="AE190" s="62" t="str">
        <v/>
      </c>
      <c r="AF190" s="34">
        <v>29</v>
      </c>
      <c r="AG190" s="34" t="str">
        <v>QFD29</v>
      </c>
      <c r="AH190" s="34" t="str">
        <v/>
      </c>
      <c r="AI190" s="34" t="str">
        <v/>
      </c>
      <c r="AJ190" s="34" t="str">
        <v>QFD29</v>
      </c>
      <c r="AK190" s="34">
        <v>1</v>
      </c>
      <c r="AL190" s="34" t="str">
        <v>R</v>
      </c>
      <c r="AM190" s="34">
        <v>30</v>
      </c>
      <c r="AN190" s="34">
        <v>0</v>
      </c>
      <c r="AO190" s="34">
        <v>16</v>
      </c>
      <c r="AP190" s="34">
        <v>25</v>
      </c>
      <c r="AQ190" s="34">
        <v>16</v>
      </c>
      <c r="AR190" s="34">
        <v>1</v>
      </c>
      <c r="AS190" s="34">
        <v>1</v>
      </c>
      <c r="AT190" s="34" t="str">
        <v>2P</v>
      </c>
      <c r="AU190" s="34">
        <v>16</v>
      </c>
      <c r="AV190" s="34" t="str">
        <v/>
      </c>
      <c r="AW190" s="34" t="str">
        <v/>
      </c>
      <c r="AX190" s="34" t="str">
        <v/>
      </c>
      <c r="AY190" s="34">
        <v>1</v>
      </c>
      <c r="AZ190" s="34" t="str">
        <v/>
      </c>
      <c r="BA190" s="34">
        <v>0</v>
      </c>
      <c r="BB190" s="34">
        <v>16</v>
      </c>
      <c r="BD190" s="34">
        <v>1</v>
      </c>
      <c r="BE190" s="34">
        <v>0</v>
      </c>
      <c r="BF190" s="34">
        <v>1</v>
      </c>
      <c r="BG190" s="34" t="str">
        <v/>
      </c>
      <c r="BH190" s="34" t="str">
        <v/>
      </c>
      <c r="BI190" s="34" t="str">
        <v/>
      </c>
      <c r="BJ190" s="34" t="str">
        <v/>
      </c>
      <c r="BK190" s="34" t="str">
        <v>SOCKET</v>
      </c>
      <c r="BL190" s="34">
        <v>1</v>
      </c>
      <c r="BM190" s="34" t="str">
        <v/>
      </c>
      <c r="BN190" s="34" t="str">
        <v/>
      </c>
      <c r="BO190" s="34" t="str">
        <v/>
      </c>
      <c r="BP190" s="34" t="str">
        <v/>
      </c>
      <c r="BQ190" s="34" t="str">
        <v>3х2,5</v>
      </c>
      <c r="BR190" s="34" t="str">
        <v/>
      </c>
      <c r="BS190" s="34" t="str">
        <v/>
      </c>
      <c r="BT190" s="34" t="str">
        <v/>
      </c>
      <c r="BU190" s="34">
        <v>0</v>
      </c>
      <c r="BV190" s="34">
        <v>211</v>
      </c>
      <c r="BW190" s="34">
        <v>1</v>
      </c>
      <c r="BX190" s="34">
        <v>0</v>
      </c>
      <c r="BY190" s="34" t="str">
        <v>Розетка</v>
      </c>
      <c r="BZ190">
        <v>9</v>
      </c>
      <c r="CA190" t="str">
        <v>линии</v>
      </c>
    </row>
    <row r="191" spans="1:79" x14ac:dyDescent="0.3">
      <c r="A191" s="39" t="str">
        <v>ЩР-01</v>
      </c>
      <c r="B191" s="42">
        <v>42</v>
      </c>
      <c r="C191" s="42">
        <v>3</v>
      </c>
      <c r="D191" s="75" t="str">
        <v/>
      </c>
      <c r="E191" s="75" t="str">
        <v>авто</v>
      </c>
      <c r="F191" s="76">
        <v>30</v>
      </c>
      <c r="G191" s="47" t="str">
        <v>QFD30</v>
      </c>
      <c r="H191" s="47" t="str">
        <v>2P С16А 30мА</v>
      </c>
      <c r="I191" s="75" t="str">
        <v/>
      </c>
      <c r="J191" s="76" t="str">
        <v/>
      </c>
      <c r="K191" s="76" t="str">
        <v/>
      </c>
      <c r="L191" s="75" t="str">
        <v/>
      </c>
      <c r="M191" s="49" t="str">
        <v/>
      </c>
      <c r="N191" s="76" t="str">
        <v/>
      </c>
      <c r="O191" s="49" t="str">
        <v/>
      </c>
      <c r="P191" s="77" t="str">
        <v/>
      </c>
      <c r="Q191" s="53" t="str">
        <v>ВВГнг(А)-LS (3х2,5) L=56-0,12%</v>
      </c>
      <c r="R191" s="54" t="str">
        <v>R.0.018A.1</v>
      </c>
      <c r="S191" s="55" t="str">
        <v>Розеточная группа, пом. 018A</v>
      </c>
      <c r="T191" s="56">
        <v>0.06</v>
      </c>
      <c r="U191" s="56">
        <v>0.28000000000000003</v>
      </c>
      <c r="V191" s="42" t="str">
        <v>L1</v>
      </c>
      <c r="W191" s="57" t="str">
        <v>ok</v>
      </c>
      <c r="X191" s="58" t="str">
        <v/>
      </c>
      <c r="Y191" s="75" t="str">
        <v/>
      </c>
      <c r="Z191" s="59">
        <v>0.27348170645824377</v>
      </c>
      <c r="AA191" s="61">
        <v>16</v>
      </c>
      <c r="AB191" s="61">
        <v>25</v>
      </c>
      <c r="AC191" s="61" t="str">
        <v/>
      </c>
      <c r="AD191" s="62" t="str">
        <v>QFD30</v>
      </c>
      <c r="AE191" s="62" t="str">
        <v/>
      </c>
      <c r="AF191" s="34">
        <v>30</v>
      </c>
      <c r="AG191" s="34" t="str">
        <v>QFD30</v>
      </c>
      <c r="AH191" s="34" t="str">
        <v/>
      </c>
      <c r="AI191" s="34" t="str">
        <v/>
      </c>
      <c r="AJ191" s="34" t="str">
        <v>QFD30</v>
      </c>
      <c r="AK191" s="34">
        <v>1</v>
      </c>
      <c r="AL191" s="34" t="str">
        <v>R</v>
      </c>
      <c r="AM191" s="34">
        <v>30</v>
      </c>
      <c r="AN191" s="34">
        <v>0</v>
      </c>
      <c r="AO191" s="34">
        <v>16</v>
      </c>
      <c r="AP191" s="34">
        <v>25</v>
      </c>
      <c r="AQ191" s="34">
        <v>16</v>
      </c>
      <c r="AR191" s="34">
        <v>1</v>
      </c>
      <c r="AS191" s="34">
        <v>1</v>
      </c>
      <c r="AT191" s="34" t="str">
        <v>2P</v>
      </c>
      <c r="AU191" s="34">
        <v>16</v>
      </c>
      <c r="AV191" s="34" t="str">
        <v/>
      </c>
      <c r="AW191" s="34" t="str">
        <v/>
      </c>
      <c r="AX191" s="34" t="str">
        <v/>
      </c>
      <c r="AY191" s="34">
        <v>1</v>
      </c>
      <c r="AZ191" s="34" t="str">
        <v/>
      </c>
      <c r="BA191" s="34">
        <v>0</v>
      </c>
      <c r="BB191" s="34">
        <v>16</v>
      </c>
      <c r="BD191" s="34">
        <v>1</v>
      </c>
      <c r="BE191" s="34">
        <v>0</v>
      </c>
      <c r="BF191" s="34">
        <v>1</v>
      </c>
      <c r="BG191" s="34" t="str">
        <v/>
      </c>
      <c r="BH191" s="34" t="str">
        <v/>
      </c>
      <c r="BI191" s="34" t="str">
        <v/>
      </c>
      <c r="BJ191" s="34" t="str">
        <v/>
      </c>
      <c r="BK191" s="34" t="str">
        <v>SOCKET</v>
      </c>
      <c r="BL191" s="34">
        <v>1</v>
      </c>
      <c r="BM191" s="34" t="str">
        <v/>
      </c>
      <c r="BN191" s="34" t="str">
        <v/>
      </c>
      <c r="BO191" s="34" t="str">
        <v/>
      </c>
      <c r="BP191" s="34" t="str">
        <v/>
      </c>
      <c r="BQ191" s="34" t="str">
        <v>3х2,5</v>
      </c>
      <c r="BR191" s="34" t="str">
        <v/>
      </c>
      <c r="BS191" s="34" t="str">
        <v/>
      </c>
      <c r="BT191" s="34" t="str">
        <v/>
      </c>
      <c r="BU191" s="34">
        <v>0</v>
      </c>
      <c r="BV191" s="34">
        <v>212</v>
      </c>
      <c r="BW191" s="34">
        <v>1</v>
      </c>
      <c r="BX191" s="34">
        <v>0</v>
      </c>
      <c r="BY191" s="34" t="str">
        <v>Розетка</v>
      </c>
      <c r="BZ191">
        <v>9</v>
      </c>
      <c r="CA191" t="str">
        <v>линии</v>
      </c>
    </row>
    <row r="192" spans="1:79" x14ac:dyDescent="0.3">
      <c r="A192" s="39" t="str">
        <v>ЩР-01</v>
      </c>
      <c r="B192" s="42">
        <v>43</v>
      </c>
      <c r="C192" s="42">
        <v>3</v>
      </c>
      <c r="D192" s="75" t="str">
        <v/>
      </c>
      <c r="E192" s="75" t="str">
        <v>авто</v>
      </c>
      <c r="F192" s="76">
        <v>30</v>
      </c>
      <c r="G192" s="47" t="str">
        <v>QFD31</v>
      </c>
      <c r="H192" s="47" t="str">
        <v>2P С16А 30мА</v>
      </c>
      <c r="I192" s="75" t="str">
        <v/>
      </c>
      <c r="J192" s="76" t="str">
        <v/>
      </c>
      <c r="K192" s="76" t="str">
        <v/>
      </c>
      <c r="L192" s="75" t="str">
        <v/>
      </c>
      <c r="M192" s="49" t="str">
        <v/>
      </c>
      <c r="N192" s="76" t="str">
        <v/>
      </c>
      <c r="O192" s="49" t="str">
        <v/>
      </c>
      <c r="P192" s="77" t="str">
        <v/>
      </c>
      <c r="Q192" s="53" t="str">
        <v>ВВГнг(А)-LS (3х2,5) L=33-0,07%</v>
      </c>
      <c r="R192" s="54" t="str">
        <v>R.0.018Б.1</v>
      </c>
      <c r="S192" s="55" t="str">
        <v>Розеточная группа, пом. 018Б</v>
      </c>
      <c r="T192" s="56">
        <v>0.06</v>
      </c>
      <c r="U192" s="56">
        <v>0.28000000000000003</v>
      </c>
      <c r="V192" s="42" t="str">
        <v>L2</v>
      </c>
      <c r="W192" s="57" t="str">
        <v>ok</v>
      </c>
      <c r="X192" s="58" t="str">
        <v/>
      </c>
      <c r="Y192" s="75" t="str">
        <v/>
      </c>
      <c r="Z192" s="59">
        <v>0.27348170645824377</v>
      </c>
      <c r="AA192" s="61">
        <v>16</v>
      </c>
      <c r="AB192" s="61">
        <v>25</v>
      </c>
      <c r="AC192" s="61" t="str">
        <v/>
      </c>
      <c r="AD192" s="62" t="str">
        <v>QFD31</v>
      </c>
      <c r="AE192" s="62" t="str">
        <v/>
      </c>
      <c r="AF192" s="34">
        <v>31</v>
      </c>
      <c r="AG192" s="34" t="str">
        <v>QFD31</v>
      </c>
      <c r="AH192" s="34" t="str">
        <v/>
      </c>
      <c r="AI192" s="34" t="str">
        <v/>
      </c>
      <c r="AJ192" s="34" t="str">
        <v>QFD31</v>
      </c>
      <c r="AK192" s="34">
        <v>1</v>
      </c>
      <c r="AL192" s="34" t="str">
        <v>R</v>
      </c>
      <c r="AM192" s="34">
        <v>30</v>
      </c>
      <c r="AN192" s="34">
        <v>0</v>
      </c>
      <c r="AO192" s="34">
        <v>16</v>
      </c>
      <c r="AP192" s="34">
        <v>25</v>
      </c>
      <c r="AQ192" s="34">
        <v>16</v>
      </c>
      <c r="AR192" s="34">
        <v>1</v>
      </c>
      <c r="AS192" s="34">
        <v>1</v>
      </c>
      <c r="AT192" s="34" t="str">
        <v>2P</v>
      </c>
      <c r="AU192" s="34">
        <v>16</v>
      </c>
      <c r="AV192" s="34" t="str">
        <v/>
      </c>
      <c r="AW192" s="34" t="str">
        <v/>
      </c>
      <c r="AX192" s="34" t="str">
        <v/>
      </c>
      <c r="AY192" s="34">
        <v>1</v>
      </c>
      <c r="AZ192" s="34" t="str">
        <v/>
      </c>
      <c r="BA192" s="34">
        <v>0</v>
      </c>
      <c r="BB192" s="34">
        <v>16</v>
      </c>
      <c r="BD192" s="34">
        <v>1</v>
      </c>
      <c r="BE192" s="34">
        <v>0</v>
      </c>
      <c r="BF192" s="34">
        <v>1</v>
      </c>
      <c r="BG192" s="34" t="str">
        <v/>
      </c>
      <c r="BH192" s="34" t="str">
        <v/>
      </c>
      <c r="BI192" s="34" t="str">
        <v/>
      </c>
      <c r="BJ192" s="34" t="str">
        <v/>
      </c>
      <c r="BK192" s="34" t="str">
        <v>SOCKET</v>
      </c>
      <c r="BL192" s="34">
        <v>1</v>
      </c>
      <c r="BM192" s="34" t="str">
        <v/>
      </c>
      <c r="BN192" s="34" t="str">
        <v/>
      </c>
      <c r="BO192" s="34" t="str">
        <v/>
      </c>
      <c r="BP192" s="34" t="str">
        <v/>
      </c>
      <c r="BQ192" s="34" t="str">
        <v>3х2,5</v>
      </c>
      <c r="BR192" s="34" t="str">
        <v/>
      </c>
      <c r="BS192" s="34" t="str">
        <v/>
      </c>
      <c r="BT192" s="34" t="str">
        <v/>
      </c>
      <c r="BU192" s="34">
        <v>0</v>
      </c>
      <c r="BV192" s="34">
        <v>213</v>
      </c>
      <c r="BW192" s="34">
        <v>1</v>
      </c>
      <c r="BX192" s="34">
        <v>0</v>
      </c>
      <c r="BY192" s="34" t="str">
        <v>Розетка</v>
      </c>
      <c r="BZ192">
        <v>9</v>
      </c>
      <c r="CA192" t="str">
        <v>линии</v>
      </c>
    </row>
    <row r="193" spans="1:79" x14ac:dyDescent="0.3">
      <c r="A193" s="39" t="str">
        <v>ЩР-01</v>
      </c>
      <c r="B193" s="42">
        <v>44</v>
      </c>
      <c r="C193" s="42">
        <v>3</v>
      </c>
      <c r="D193" s="75" t="str">
        <v/>
      </c>
      <c r="E193" s="75" t="str">
        <v>авто</v>
      </c>
      <c r="F193" s="76">
        <v>30</v>
      </c>
      <c r="G193" s="47" t="str">
        <v>QFD32</v>
      </c>
      <c r="H193" s="47" t="str">
        <v>2P С16А 30мА</v>
      </c>
      <c r="I193" s="75" t="str">
        <v/>
      </c>
      <c r="J193" s="76" t="str">
        <v/>
      </c>
      <c r="K193" s="76" t="str">
        <v/>
      </c>
      <c r="L193" s="75" t="str">
        <v/>
      </c>
      <c r="M193" s="49" t="str">
        <v/>
      </c>
      <c r="N193" s="76" t="str">
        <v/>
      </c>
      <c r="O193" s="49" t="str">
        <v/>
      </c>
      <c r="P193" s="77" t="str">
        <v/>
      </c>
      <c r="Q193" s="53" t="str">
        <v>ВВГнг(А)-LS (3х2,5) L=72-0,59%</v>
      </c>
      <c r="R193" s="54" t="str">
        <v>R.0.021A.1</v>
      </c>
      <c r="S193" s="55" t="str">
        <v>Розеточная группа, пом. 021A</v>
      </c>
      <c r="T193" s="56">
        <v>0.24</v>
      </c>
      <c r="U193" s="56">
        <v>1.1000000000000001</v>
      </c>
      <c r="V193" s="42" t="str">
        <v>L3</v>
      </c>
      <c r="W193" s="57" t="str">
        <v>ok</v>
      </c>
      <c r="X193" s="58" t="str">
        <v/>
      </c>
      <c r="Y193" s="75" t="str">
        <v/>
      </c>
      <c r="Z193" s="59">
        <v>1.0939268258329751</v>
      </c>
      <c r="AA193" s="61">
        <v>16</v>
      </c>
      <c r="AB193" s="61">
        <v>25</v>
      </c>
      <c r="AC193" s="61" t="str">
        <v/>
      </c>
      <c r="AD193" s="62" t="str">
        <v>QFD32</v>
      </c>
      <c r="AE193" s="62" t="str">
        <v/>
      </c>
      <c r="AF193" s="34">
        <v>32</v>
      </c>
      <c r="AG193" s="34" t="str">
        <v>QFD32</v>
      </c>
      <c r="AH193" s="34" t="str">
        <v/>
      </c>
      <c r="AI193" s="34" t="str">
        <v/>
      </c>
      <c r="AJ193" s="34" t="str">
        <v>QFD32</v>
      </c>
      <c r="AK193" s="34">
        <v>1</v>
      </c>
      <c r="AL193" s="34" t="str">
        <v>R</v>
      </c>
      <c r="AM193" s="34">
        <v>30</v>
      </c>
      <c r="AN193" s="34">
        <v>0</v>
      </c>
      <c r="AO193" s="34">
        <v>16</v>
      </c>
      <c r="AP193" s="34">
        <v>25</v>
      </c>
      <c r="AQ193" s="34">
        <v>16</v>
      </c>
      <c r="AR193" s="34">
        <v>1</v>
      </c>
      <c r="AS193" s="34">
        <v>1</v>
      </c>
      <c r="AT193" s="34" t="str">
        <v>2P</v>
      </c>
      <c r="AU193" s="34">
        <v>16</v>
      </c>
      <c r="AV193" s="34" t="str">
        <v/>
      </c>
      <c r="AW193" s="34" t="str">
        <v/>
      </c>
      <c r="AX193" s="34" t="str">
        <v/>
      </c>
      <c r="AY193" s="34">
        <v>1</v>
      </c>
      <c r="AZ193" s="34" t="str">
        <v/>
      </c>
      <c r="BA193" s="34">
        <v>0</v>
      </c>
      <c r="BB193" s="34">
        <v>16</v>
      </c>
      <c r="BD193" s="34">
        <v>1</v>
      </c>
      <c r="BE193" s="34">
        <v>0</v>
      </c>
      <c r="BF193" s="34">
        <v>1</v>
      </c>
      <c r="BG193" s="34" t="str">
        <v/>
      </c>
      <c r="BH193" s="34" t="str">
        <v/>
      </c>
      <c r="BI193" s="34" t="str">
        <v/>
      </c>
      <c r="BJ193" s="34" t="str">
        <v/>
      </c>
      <c r="BK193" s="34" t="str">
        <v>SOCKET</v>
      </c>
      <c r="BL193" s="34">
        <v>1</v>
      </c>
      <c r="BM193" s="34" t="str">
        <v/>
      </c>
      <c r="BN193" s="34" t="str">
        <v/>
      </c>
      <c r="BO193" s="34" t="str">
        <v/>
      </c>
      <c r="BP193" s="34" t="str">
        <v/>
      </c>
      <c r="BQ193" s="34" t="str">
        <v>3х2,5</v>
      </c>
      <c r="BR193" s="34" t="str">
        <v/>
      </c>
      <c r="BS193" s="34" t="str">
        <v/>
      </c>
      <c r="BT193" s="34" t="str">
        <v/>
      </c>
      <c r="BU193" s="34">
        <v>0</v>
      </c>
      <c r="BV193" s="34">
        <v>214</v>
      </c>
      <c r="BW193" s="34">
        <v>1</v>
      </c>
      <c r="BX193" s="34">
        <v>0</v>
      </c>
      <c r="BY193" s="34" t="str">
        <v>Розетка</v>
      </c>
      <c r="BZ193">
        <v>9</v>
      </c>
      <c r="CA193" t="str">
        <v>линии</v>
      </c>
    </row>
    <row r="194" spans="1:79" x14ac:dyDescent="0.3">
      <c r="A194" s="39" t="str">
        <v>ЩР-01</v>
      </c>
      <c r="B194" s="42">
        <v>45</v>
      </c>
      <c r="C194" s="42">
        <v>3</v>
      </c>
      <c r="D194" s="75" t="str">
        <v/>
      </c>
      <c r="E194" s="75" t="str">
        <v>авто</v>
      </c>
      <c r="F194" s="76">
        <v>30</v>
      </c>
      <c r="G194" s="47" t="str">
        <v>QFD33</v>
      </c>
      <c r="H194" s="47" t="str">
        <v>2P С16А 30мА</v>
      </c>
      <c r="I194" s="75" t="str">
        <v/>
      </c>
      <c r="J194" s="76" t="str">
        <v/>
      </c>
      <c r="K194" s="76" t="str">
        <v/>
      </c>
      <c r="L194" s="75" t="str">
        <v/>
      </c>
      <c r="M194" s="49" t="str">
        <v/>
      </c>
      <c r="N194" s="76" t="str">
        <v/>
      </c>
      <c r="O194" s="49" t="str">
        <v/>
      </c>
      <c r="P194" s="77" t="str">
        <v/>
      </c>
      <c r="Q194" s="53" t="str">
        <v>ВВГнг(А)-LS (3х2,5) L=54-0,11%</v>
      </c>
      <c r="R194" s="54" t="str">
        <v>R.0.022.1</v>
      </c>
      <c r="S194" s="55" t="str">
        <v>Розеточная группа, пом. 022</v>
      </c>
      <c r="T194" s="56">
        <v>0.06</v>
      </c>
      <c r="U194" s="56">
        <v>0.28000000000000003</v>
      </c>
      <c r="V194" s="42" t="str">
        <v>L3</v>
      </c>
      <c r="W194" s="57" t="str">
        <v>ok</v>
      </c>
      <c r="X194" s="58" t="str">
        <v/>
      </c>
      <c r="Y194" s="75" t="str">
        <v/>
      </c>
      <c r="Z194" s="59">
        <v>0.27348170645824377</v>
      </c>
      <c r="AA194" s="61">
        <v>16</v>
      </c>
      <c r="AB194" s="61">
        <v>25</v>
      </c>
      <c r="AC194" s="61" t="str">
        <v/>
      </c>
      <c r="AD194" s="62" t="str">
        <v>QFD33</v>
      </c>
      <c r="AE194" s="62" t="str">
        <v/>
      </c>
      <c r="AF194" s="34">
        <v>33</v>
      </c>
      <c r="AG194" s="34" t="str">
        <v>QFD33</v>
      </c>
      <c r="AH194" s="34" t="str">
        <v/>
      </c>
      <c r="AI194" s="34" t="str">
        <v/>
      </c>
      <c r="AJ194" s="34" t="str">
        <v>QFD33</v>
      </c>
      <c r="AK194" s="34">
        <v>1</v>
      </c>
      <c r="AL194" s="34" t="str">
        <v>R</v>
      </c>
      <c r="AM194" s="34">
        <v>30</v>
      </c>
      <c r="AN194" s="34">
        <v>0</v>
      </c>
      <c r="AO194" s="34">
        <v>16</v>
      </c>
      <c r="AP194" s="34">
        <v>25</v>
      </c>
      <c r="AQ194" s="34">
        <v>16</v>
      </c>
      <c r="AR194" s="34">
        <v>1</v>
      </c>
      <c r="AS194" s="34">
        <v>1</v>
      </c>
      <c r="AT194" s="34" t="str">
        <v>2P</v>
      </c>
      <c r="AU194" s="34">
        <v>16</v>
      </c>
      <c r="AV194" s="34" t="str">
        <v/>
      </c>
      <c r="AW194" s="34" t="str">
        <v/>
      </c>
      <c r="AX194" s="34" t="str">
        <v/>
      </c>
      <c r="AY194" s="34">
        <v>1</v>
      </c>
      <c r="AZ194" s="34" t="str">
        <v/>
      </c>
      <c r="BA194" s="34">
        <v>0</v>
      </c>
      <c r="BB194" s="34">
        <v>16</v>
      </c>
      <c r="BD194" s="34">
        <v>1</v>
      </c>
      <c r="BE194" s="34">
        <v>0</v>
      </c>
      <c r="BF194" s="34">
        <v>1</v>
      </c>
      <c r="BG194" s="34" t="str">
        <v/>
      </c>
      <c r="BH194" s="34" t="str">
        <v/>
      </c>
      <c r="BI194" s="34" t="str">
        <v/>
      </c>
      <c r="BJ194" s="34" t="str">
        <v/>
      </c>
      <c r="BK194" s="34" t="str">
        <v>SOCKET</v>
      </c>
      <c r="BL194" s="34">
        <v>1</v>
      </c>
      <c r="BM194" s="34" t="str">
        <v/>
      </c>
      <c r="BN194" s="34" t="str">
        <v/>
      </c>
      <c r="BO194" s="34" t="str">
        <v/>
      </c>
      <c r="BP194" s="34" t="str">
        <v/>
      </c>
      <c r="BQ194" s="34" t="str">
        <v>3х2,5</v>
      </c>
      <c r="BR194" s="34" t="str">
        <v/>
      </c>
      <c r="BS194" s="34" t="str">
        <v/>
      </c>
      <c r="BT194" s="34" t="str">
        <v/>
      </c>
      <c r="BU194" s="34">
        <v>0</v>
      </c>
      <c r="BV194" s="34">
        <v>215</v>
      </c>
      <c r="BW194" s="34">
        <v>1</v>
      </c>
      <c r="BX194" s="34">
        <v>0</v>
      </c>
      <c r="BY194" s="34" t="str">
        <v>Розетка</v>
      </c>
      <c r="BZ194">
        <v>9</v>
      </c>
      <c r="CA194" t="str">
        <v>линии</v>
      </c>
    </row>
    <row r="195" spans="1:79" x14ac:dyDescent="0.3">
      <c r="A195" s="39" t="str">
        <v>ЩР-01</v>
      </c>
      <c r="B195" s="42">
        <v>46</v>
      </c>
      <c r="C195" s="42">
        <v>3</v>
      </c>
      <c r="D195" s="75" t="str">
        <v/>
      </c>
      <c r="E195" s="75" t="str">
        <v>авто</v>
      </c>
      <c r="F195" s="76">
        <v>30</v>
      </c>
      <c r="G195" s="47" t="str">
        <v>QFD34</v>
      </c>
      <c r="H195" s="47" t="str">
        <v>2P С16А 30мА</v>
      </c>
      <c r="I195" s="75" t="str">
        <v/>
      </c>
      <c r="J195" s="76" t="str">
        <v/>
      </c>
      <c r="K195" s="76" t="str">
        <v/>
      </c>
      <c r="L195" s="75" t="str">
        <v/>
      </c>
      <c r="M195" s="49" t="str">
        <v/>
      </c>
      <c r="N195" s="76" t="str">
        <v/>
      </c>
      <c r="O195" s="49" t="str">
        <v/>
      </c>
      <c r="P195" s="77" t="str">
        <v/>
      </c>
      <c r="Q195" s="53" t="str">
        <v>ВВГнг(А)-LS (3х2,5) L=63-0,39%</v>
      </c>
      <c r="R195" s="54" t="str">
        <v>R.0.012A.2</v>
      </c>
      <c r="S195" s="55" t="str">
        <v>Розеточная группа, пом. 012A</v>
      </c>
      <c r="T195" s="56">
        <v>0.18</v>
      </c>
      <c r="U195" s="56">
        <v>0.83</v>
      </c>
      <c r="V195" s="42" t="str">
        <v>L1</v>
      </c>
      <c r="W195" s="57" t="str">
        <v>ok</v>
      </c>
      <c r="X195" s="58" t="str">
        <v/>
      </c>
      <c r="Y195" s="75" t="str">
        <v/>
      </c>
      <c r="Z195" s="59">
        <v>0.8204451193747313</v>
      </c>
      <c r="AA195" s="61">
        <v>16</v>
      </c>
      <c r="AB195" s="61">
        <v>25</v>
      </c>
      <c r="AC195" s="61" t="str">
        <v/>
      </c>
      <c r="AD195" s="62" t="str">
        <v>QFD34</v>
      </c>
      <c r="AE195" s="62" t="str">
        <v/>
      </c>
      <c r="AF195" s="34">
        <v>34</v>
      </c>
      <c r="AG195" s="34" t="str">
        <v>QFD34</v>
      </c>
      <c r="AH195" s="34" t="str">
        <v/>
      </c>
      <c r="AI195" s="34" t="str">
        <v/>
      </c>
      <c r="AJ195" s="34" t="str">
        <v>QFD34</v>
      </c>
      <c r="AK195" s="34">
        <v>1</v>
      </c>
      <c r="AL195" s="34" t="str">
        <v>R</v>
      </c>
      <c r="AM195" s="34">
        <v>30</v>
      </c>
      <c r="AN195" s="34">
        <v>0</v>
      </c>
      <c r="AO195" s="34">
        <v>16</v>
      </c>
      <c r="AP195" s="34">
        <v>25</v>
      </c>
      <c r="AQ195" s="34">
        <v>16</v>
      </c>
      <c r="AR195" s="34">
        <v>1</v>
      </c>
      <c r="AS195" s="34">
        <v>1</v>
      </c>
      <c r="AT195" s="34" t="str">
        <v>2P</v>
      </c>
      <c r="AU195" s="34">
        <v>16</v>
      </c>
      <c r="AV195" s="34" t="str">
        <v/>
      </c>
      <c r="AW195" s="34" t="str">
        <v/>
      </c>
      <c r="AX195" s="34" t="str">
        <v/>
      </c>
      <c r="AY195" s="34">
        <v>1</v>
      </c>
      <c r="AZ195" s="34" t="str">
        <v/>
      </c>
      <c r="BA195" s="34">
        <v>0</v>
      </c>
      <c r="BB195" s="34">
        <v>16</v>
      </c>
      <c r="BD195" s="34">
        <v>1</v>
      </c>
      <c r="BE195" s="34">
        <v>0</v>
      </c>
      <c r="BF195" s="34">
        <v>1</v>
      </c>
      <c r="BG195" s="34" t="str">
        <v/>
      </c>
      <c r="BH195" s="34" t="str">
        <v/>
      </c>
      <c r="BI195" s="34" t="str">
        <v/>
      </c>
      <c r="BJ195" s="34" t="str">
        <v/>
      </c>
      <c r="BK195" s="34" t="str">
        <v>SOCKET</v>
      </c>
      <c r="BL195" s="34">
        <v>1</v>
      </c>
      <c r="BM195" s="34" t="str">
        <v/>
      </c>
      <c r="BN195" s="34" t="str">
        <v/>
      </c>
      <c r="BO195" s="34" t="str">
        <v/>
      </c>
      <c r="BP195" s="34" t="str">
        <v/>
      </c>
      <c r="BQ195" s="34" t="str">
        <v>3х2,5</v>
      </c>
      <c r="BR195" s="34" t="str">
        <v/>
      </c>
      <c r="BS195" s="34" t="str">
        <v/>
      </c>
      <c r="BT195" s="34" t="str">
        <v/>
      </c>
      <c r="BU195" s="34">
        <v>0</v>
      </c>
      <c r="BV195" s="34">
        <v>216</v>
      </c>
      <c r="BW195" s="34">
        <v>1</v>
      </c>
      <c r="BX195" s="34">
        <v>0</v>
      </c>
      <c r="BY195" s="34" t="str">
        <v>Розетка</v>
      </c>
      <c r="BZ195">
        <v>9</v>
      </c>
      <c r="CA195" t="str">
        <v>линии</v>
      </c>
    </row>
    <row r="196" spans="1:79" x14ac:dyDescent="0.3">
      <c r="A196" s="39" t="str">
        <v>ЩР-01</v>
      </c>
      <c r="B196" s="42">
        <v>47</v>
      </c>
      <c r="C196" s="42">
        <v>3</v>
      </c>
      <c r="D196" s="75" t="str">
        <v/>
      </c>
      <c r="E196" s="75" t="str">
        <v>авто</v>
      </c>
      <c r="F196" s="76">
        <v>30</v>
      </c>
      <c r="G196" s="47" t="str">
        <v>QFD35</v>
      </c>
      <c r="H196" s="47" t="str">
        <v>2P С16А 30мА</v>
      </c>
      <c r="I196" s="75" t="str">
        <v/>
      </c>
      <c r="J196" s="76" t="str">
        <v/>
      </c>
      <c r="K196" s="76" t="str">
        <v/>
      </c>
      <c r="L196" s="75" t="str">
        <v/>
      </c>
      <c r="M196" s="49" t="str">
        <v/>
      </c>
      <c r="N196" s="76" t="str">
        <v/>
      </c>
      <c r="O196" s="49" t="str">
        <v/>
      </c>
      <c r="P196" s="77" t="str">
        <v/>
      </c>
      <c r="Q196" s="53" t="str">
        <v>ВВГнг(А)-LS (3х2,5) L=51-0,11%</v>
      </c>
      <c r="R196" s="54" t="str">
        <v>R.0.020A.1</v>
      </c>
      <c r="S196" s="55" t="str">
        <v>Розеточная группа, пом. 020A</v>
      </c>
      <c r="T196" s="56">
        <v>0.06</v>
      </c>
      <c r="U196" s="56">
        <v>0.28000000000000003</v>
      </c>
      <c r="V196" s="42" t="str">
        <v>L1</v>
      </c>
      <c r="W196" s="57" t="str">
        <v>ok</v>
      </c>
      <c r="X196" s="58" t="str">
        <v/>
      </c>
      <c r="Y196" s="75" t="str">
        <v/>
      </c>
      <c r="Z196" s="59">
        <v>0.27348170645824377</v>
      </c>
      <c r="AA196" s="61">
        <v>16</v>
      </c>
      <c r="AB196" s="61">
        <v>25</v>
      </c>
      <c r="AC196" s="61" t="str">
        <v/>
      </c>
      <c r="AD196" s="62" t="str">
        <v>QFD35</v>
      </c>
      <c r="AE196" s="62" t="str">
        <v/>
      </c>
      <c r="AF196" s="34">
        <v>35</v>
      </c>
      <c r="AG196" s="34" t="str">
        <v>QFD35</v>
      </c>
      <c r="AH196" s="34" t="str">
        <v/>
      </c>
      <c r="AI196" s="34" t="str">
        <v/>
      </c>
      <c r="AJ196" s="34" t="str">
        <v>QFD35</v>
      </c>
      <c r="AK196" s="34">
        <v>1</v>
      </c>
      <c r="AL196" s="34" t="str">
        <v>R</v>
      </c>
      <c r="AM196" s="34">
        <v>30</v>
      </c>
      <c r="AN196" s="34">
        <v>0</v>
      </c>
      <c r="AO196" s="34">
        <v>16</v>
      </c>
      <c r="AP196" s="34">
        <v>25</v>
      </c>
      <c r="AQ196" s="34">
        <v>16</v>
      </c>
      <c r="AR196" s="34">
        <v>1</v>
      </c>
      <c r="AS196" s="34">
        <v>1</v>
      </c>
      <c r="AT196" s="34" t="str">
        <v>2P</v>
      </c>
      <c r="AU196" s="34">
        <v>16</v>
      </c>
      <c r="AV196" s="34" t="str">
        <v/>
      </c>
      <c r="AW196" s="34" t="str">
        <v/>
      </c>
      <c r="AX196" s="34" t="str">
        <v/>
      </c>
      <c r="AY196" s="34">
        <v>1</v>
      </c>
      <c r="AZ196" s="34" t="str">
        <v/>
      </c>
      <c r="BA196" s="34">
        <v>0</v>
      </c>
      <c r="BB196" s="34">
        <v>16</v>
      </c>
      <c r="BD196" s="34">
        <v>1</v>
      </c>
      <c r="BE196" s="34">
        <v>0</v>
      </c>
      <c r="BF196" s="34">
        <v>1</v>
      </c>
      <c r="BG196" s="34" t="str">
        <v/>
      </c>
      <c r="BH196" s="34" t="str">
        <v/>
      </c>
      <c r="BI196" s="34" t="str">
        <v/>
      </c>
      <c r="BJ196" s="34" t="str">
        <v/>
      </c>
      <c r="BK196" s="34" t="str">
        <v>SOCKET</v>
      </c>
      <c r="BL196" s="34">
        <v>1</v>
      </c>
      <c r="BM196" s="34" t="str">
        <v/>
      </c>
      <c r="BN196" s="34" t="str">
        <v/>
      </c>
      <c r="BO196" s="34" t="str">
        <v/>
      </c>
      <c r="BP196" s="34" t="str">
        <v/>
      </c>
      <c r="BQ196" s="34" t="str">
        <v>3х2,5</v>
      </c>
      <c r="BR196" s="34" t="str">
        <v/>
      </c>
      <c r="BS196" s="34" t="str">
        <v/>
      </c>
      <c r="BT196" s="34" t="str">
        <v/>
      </c>
      <c r="BU196" s="34">
        <v>0</v>
      </c>
      <c r="BV196" s="34">
        <v>217</v>
      </c>
      <c r="BW196" s="34">
        <v>1</v>
      </c>
      <c r="BX196" s="34">
        <v>0</v>
      </c>
      <c r="BY196" s="34" t="str">
        <v>Розетка</v>
      </c>
      <c r="BZ196">
        <v>9</v>
      </c>
      <c r="CA196" t="str">
        <v>линии</v>
      </c>
    </row>
    <row r="197" spans="1:79" x14ac:dyDescent="0.3">
      <c r="A197" s="39" t="str">
        <v>ЩР-01</v>
      </c>
      <c r="B197" s="42">
        <v>53</v>
      </c>
      <c r="C197" s="42">
        <v>4</v>
      </c>
      <c r="D197" s="75" t="str">
        <v/>
      </c>
      <c r="E197" s="75" t="str">
        <v>авто</v>
      </c>
      <c r="F197" s="76" t="str">
        <v/>
      </c>
      <c r="G197" s="47" t="str">
        <v>QF36</v>
      </c>
      <c r="H197" s="47" t="str">
        <v>1P С25А</v>
      </c>
      <c r="I197" s="75" t="str">
        <v/>
      </c>
      <c r="J197" s="76" t="str">
        <v/>
      </c>
      <c r="K197" s="76" t="str">
        <v/>
      </c>
      <c r="L197" s="75" t="str">
        <v/>
      </c>
      <c r="M197" s="49" t="str">
        <v/>
      </c>
      <c r="N197" s="76" t="str">
        <v/>
      </c>
      <c r="O197" s="49" t="str">
        <v/>
      </c>
      <c r="P197" s="77" t="str">
        <v>XT36</v>
      </c>
      <c r="Q197" s="53" t="str">
        <v>ВВГнг(А)-LS (3х6) L=22-1,45%</v>
      </c>
      <c r="R197" s="54" t="str">
        <v>ШТК-1</v>
      </c>
      <c r="S197" s="55" t="str">
        <v>Шкаф телекоммуникационный ШТК-2 Цокольный этаж Пом. №002Т</v>
      </c>
      <c r="T197" s="56">
        <v>4.625</v>
      </c>
      <c r="U197" s="56">
        <v>21.09</v>
      </c>
      <c r="V197" s="42" t="str">
        <v>L1</v>
      </c>
      <c r="W197" s="57" t="str">
        <v>ok</v>
      </c>
      <c r="X197" s="58" t="str">
        <v/>
      </c>
      <c r="Y197" s="75" t="str">
        <v/>
      </c>
      <c r="Z197" s="59">
        <v>21.080881539489624</v>
      </c>
      <c r="AA197" s="61">
        <v>25</v>
      </c>
      <c r="AB197" s="61">
        <v>50</v>
      </c>
      <c r="AC197" s="61" t="str">
        <v/>
      </c>
      <c r="AD197" s="62" t="str">
        <v>QF36 → XT36</v>
      </c>
      <c r="AE197" s="62" t="str">
        <v/>
      </c>
      <c r="AF197" s="34">
        <v>36</v>
      </c>
      <c r="AG197" s="34" t="str">
        <v>QF36</v>
      </c>
      <c r="AH197" s="34" t="str">
        <v/>
      </c>
      <c r="AI197" s="34" t="str">
        <v/>
      </c>
      <c r="AJ197" s="34" t="str">
        <v>QF36</v>
      </c>
      <c r="AK197" s="34">
        <v>1</v>
      </c>
      <c r="AL197" s="34" t="str">
        <v>ШТК-1</v>
      </c>
      <c r="AM197" s="34">
        <v>0</v>
      </c>
      <c r="AN197" s="34">
        <v>0</v>
      </c>
      <c r="AO197" s="34">
        <v>25</v>
      </c>
      <c r="AP197" s="34">
        <v>50</v>
      </c>
      <c r="AQ197" s="34">
        <v>25</v>
      </c>
      <c r="AR197" s="34">
        <v>1</v>
      </c>
      <c r="AS197" s="34">
        <v>0</v>
      </c>
      <c r="AT197" s="34" t="str">
        <v>1P</v>
      </c>
      <c r="AU197" s="34">
        <v>25</v>
      </c>
      <c r="AV197" s="34" t="str">
        <v/>
      </c>
      <c r="AW197" s="34" t="str">
        <v/>
      </c>
      <c r="AX197" s="34" t="str">
        <v/>
      </c>
      <c r="AY197" s="34">
        <v>1</v>
      </c>
      <c r="AZ197" s="34" t="str">
        <v/>
      </c>
      <c r="BA197" s="34">
        <v>0</v>
      </c>
      <c r="BB197" s="34">
        <v>0</v>
      </c>
      <c r="BD197" s="34">
        <v>1</v>
      </c>
      <c r="BE197" s="34">
        <v>0</v>
      </c>
      <c r="BF197" s="34">
        <v>0</v>
      </c>
      <c r="BG197" s="34" t="str">
        <v/>
      </c>
      <c r="BH197" s="34" t="str">
        <v/>
      </c>
      <c r="BI197" s="34" t="str">
        <v/>
      </c>
      <c r="BJ197" s="34" t="str">
        <v/>
      </c>
      <c r="BK197" s="34" t="str">
        <v>BOX</v>
      </c>
      <c r="BL197" s="34">
        <v>1</v>
      </c>
      <c r="BM197" s="34" t="str">
        <v/>
      </c>
      <c r="BN197" s="34" t="str">
        <v/>
      </c>
      <c r="BO197" s="34" t="str">
        <v/>
      </c>
      <c r="BP197" s="34" t="str">
        <v/>
      </c>
      <c r="BQ197" s="34" t="str">
        <v>3х6</v>
      </c>
      <c r="BR197" s="34" t="str">
        <v/>
      </c>
      <c r="BS197" s="34" t="str">
        <v/>
      </c>
      <c r="BT197" s="34" t="str">
        <v/>
      </c>
      <c r="BU197" s="34">
        <v>0</v>
      </c>
      <c r="BV197" s="34">
        <v>218</v>
      </c>
      <c r="BW197" s="34">
        <v>1</v>
      </c>
      <c r="BX197" s="34">
        <v>0</v>
      </c>
      <c r="BY197" s="34" t="str">
        <v/>
      </c>
      <c r="BZ197">
        <v>9</v>
      </c>
      <c r="CA197" t="str">
        <v>линии</v>
      </c>
    </row>
    <row r="198" spans="1:79" x14ac:dyDescent="0.3">
      <c r="A198" s="39" t="str">
        <v>ЩР-01</v>
      </c>
      <c r="B198" s="42">
        <v>54</v>
      </c>
      <c r="C198" s="42">
        <v>4</v>
      </c>
      <c r="D198" s="75" t="str">
        <v/>
      </c>
      <c r="E198" s="75" t="str">
        <v>авто</v>
      </c>
      <c r="F198" s="76" t="str">
        <v/>
      </c>
      <c r="G198" s="47" t="str">
        <v>QF37</v>
      </c>
      <c r="H198" s="47" t="str">
        <v>1P С16А</v>
      </c>
      <c r="I198" s="75" t="str">
        <v/>
      </c>
      <c r="J198" s="76" t="str">
        <v/>
      </c>
      <c r="K198" s="76" t="str">
        <v/>
      </c>
      <c r="L198" s="75" t="str">
        <v/>
      </c>
      <c r="M198" s="49" t="str">
        <v/>
      </c>
      <c r="N198" s="76" t="str">
        <v/>
      </c>
      <c r="O198" s="49" t="str">
        <v/>
      </c>
      <c r="P198" s="77" t="str">
        <v>XT37</v>
      </c>
      <c r="Q198" s="53" t="str">
        <v>ВВГнг(А)-LS (3х2,5) L=25-2,29%</v>
      </c>
      <c r="R198" s="54" t="str">
        <v>ШТК-СОТ.0</v>
      </c>
      <c r="S198" s="55" t="str">
        <v>Шкаф телекоммуникационный ШТК-СОТ.0 Цокольный этаж Пом. №002Т</v>
      </c>
      <c r="T198" s="56">
        <v>2.7</v>
      </c>
      <c r="U198" s="56">
        <v>12.31</v>
      </c>
      <c r="V198" s="42" t="str">
        <v>L2</v>
      </c>
      <c r="W198" s="57" t="str">
        <v>ok</v>
      </c>
      <c r="X198" s="58" t="str">
        <v/>
      </c>
      <c r="Y198" s="75" t="str">
        <v/>
      </c>
      <c r="Z198" s="59">
        <v>12.306676790620971</v>
      </c>
      <c r="AA198" s="61">
        <v>16</v>
      </c>
      <c r="AB198" s="61">
        <v>25</v>
      </c>
      <c r="AC198" s="61" t="str">
        <v/>
      </c>
      <c r="AD198" s="62" t="str">
        <v>QF37 → XT37</v>
      </c>
      <c r="AE198" s="62" t="str">
        <v/>
      </c>
      <c r="AF198" s="34">
        <v>37</v>
      </c>
      <c r="AG198" s="34" t="str">
        <v>QF37</v>
      </c>
      <c r="AH198" s="34" t="str">
        <v/>
      </c>
      <c r="AI198" s="34" t="str">
        <v/>
      </c>
      <c r="AJ198" s="34" t="str">
        <v>QF37</v>
      </c>
      <c r="AK198" s="34">
        <v>1</v>
      </c>
      <c r="AL198" s="34" t="str">
        <v>ШТК-СОТ</v>
      </c>
      <c r="AM198" s="34">
        <v>0</v>
      </c>
      <c r="AN198" s="34">
        <v>0</v>
      </c>
      <c r="AO198" s="34">
        <v>16</v>
      </c>
      <c r="AP198" s="34">
        <v>25</v>
      </c>
      <c r="AQ198" s="34">
        <v>16</v>
      </c>
      <c r="AR198" s="34">
        <v>1</v>
      </c>
      <c r="AS198" s="34">
        <v>0</v>
      </c>
      <c r="AT198" s="34" t="str">
        <v>1P</v>
      </c>
      <c r="AU198" s="34">
        <v>16</v>
      </c>
      <c r="AV198" s="34" t="str">
        <v/>
      </c>
      <c r="AW198" s="34" t="str">
        <v/>
      </c>
      <c r="AX198" s="34" t="str">
        <v/>
      </c>
      <c r="AY198" s="34">
        <v>1</v>
      </c>
      <c r="AZ198" s="34" t="str">
        <v/>
      </c>
      <c r="BA198" s="34">
        <v>0</v>
      </c>
      <c r="BB198" s="34">
        <v>0</v>
      </c>
      <c r="BD198" s="34">
        <v>1</v>
      </c>
      <c r="BE198" s="34">
        <v>0</v>
      </c>
      <c r="BF198" s="34">
        <v>0</v>
      </c>
      <c r="BG198" s="34" t="str">
        <v/>
      </c>
      <c r="BH198" s="34" t="str">
        <v/>
      </c>
      <c r="BI198" s="34" t="str">
        <v/>
      </c>
      <c r="BJ198" s="34" t="str">
        <v/>
      </c>
      <c r="BK198" s="34" t="str">
        <v>BOX</v>
      </c>
      <c r="BL198" s="34">
        <v>1</v>
      </c>
      <c r="BM198" s="34" t="str">
        <v/>
      </c>
      <c r="BN198" s="34" t="str">
        <v/>
      </c>
      <c r="BO198" s="34" t="str">
        <v/>
      </c>
      <c r="BP198" s="34" t="str">
        <v/>
      </c>
      <c r="BQ198" s="34" t="str">
        <v>3х2,5</v>
      </c>
      <c r="BR198" s="34" t="str">
        <v/>
      </c>
      <c r="BS198" s="34" t="str">
        <v/>
      </c>
      <c r="BT198" s="34" t="str">
        <v/>
      </c>
      <c r="BU198" s="34">
        <v>0</v>
      </c>
      <c r="BV198" s="34">
        <v>219</v>
      </c>
      <c r="BW198" s="34">
        <v>1</v>
      </c>
      <c r="BX198" s="34">
        <v>0</v>
      </c>
      <c r="BY198" s="34">
        <v>0</v>
      </c>
      <c r="BZ198">
        <v>9</v>
      </c>
      <c r="CA198" t="str">
        <v>линии</v>
      </c>
    </row>
    <row r="199" spans="1:79" x14ac:dyDescent="0.3">
      <c r="A199" s="39" t="str">
        <v>ЩР-01</v>
      </c>
      <c r="B199" s="42">
        <v>55</v>
      </c>
      <c r="C199" s="42">
        <v>4</v>
      </c>
      <c r="D199" s="75" t="str">
        <v/>
      </c>
      <c r="E199" s="75" t="str">
        <v>авто</v>
      </c>
      <c r="F199" s="76" t="str">
        <v/>
      </c>
      <c r="G199" s="47" t="str">
        <v>QF38</v>
      </c>
      <c r="H199" s="47" t="str">
        <v>1P С16А</v>
      </c>
      <c r="I199" s="75" t="str">
        <v/>
      </c>
      <c r="J199" s="76" t="str">
        <v/>
      </c>
      <c r="K199" s="76" t="str">
        <v/>
      </c>
      <c r="L199" s="75" t="str">
        <v/>
      </c>
      <c r="M199" s="49" t="str">
        <v/>
      </c>
      <c r="N199" s="76" t="str">
        <v/>
      </c>
      <c r="O199" s="49" t="str">
        <v/>
      </c>
      <c r="P199" s="77" t="str">
        <v>XT38</v>
      </c>
      <c r="Q199" s="53" t="str">
        <v>ВВГнг(А)-LS (3х2,5) L=27-2,47%</v>
      </c>
      <c r="R199" s="54" t="str">
        <v>ШТК-ЛВС.0</v>
      </c>
      <c r="S199" s="55" t="str">
        <v>Шкаф телекоммуникационный ШТК-ЛВС.0 Цокольный этаж Пом. №002Т</v>
      </c>
      <c r="T199" s="56">
        <v>2.7</v>
      </c>
      <c r="U199" s="56">
        <v>12.31</v>
      </c>
      <c r="V199" s="42" t="str">
        <v>L3</v>
      </c>
      <c r="W199" s="57" t="str">
        <v>ok</v>
      </c>
      <c r="X199" s="58" t="str">
        <v/>
      </c>
      <c r="Y199" s="75" t="str">
        <v/>
      </c>
      <c r="Z199" s="59">
        <v>12.306676790620971</v>
      </c>
      <c r="AA199" s="61">
        <v>16</v>
      </c>
      <c r="AB199" s="61">
        <v>25</v>
      </c>
      <c r="AC199" s="61" t="str">
        <v/>
      </c>
      <c r="AD199" s="62" t="str">
        <v>QF38 → XT38</v>
      </c>
      <c r="AE199" s="62" t="str">
        <v/>
      </c>
      <c r="AF199" s="34">
        <v>38</v>
      </c>
      <c r="AG199" s="34" t="str">
        <v>QF38</v>
      </c>
      <c r="AH199" s="34" t="str">
        <v/>
      </c>
      <c r="AI199" s="34" t="str">
        <v/>
      </c>
      <c r="AJ199" s="34" t="str">
        <v>QF38</v>
      </c>
      <c r="AK199" s="34">
        <v>1</v>
      </c>
      <c r="AL199" s="34" t="str">
        <v>ШТК-ЛВС</v>
      </c>
      <c r="AM199" s="34">
        <v>0</v>
      </c>
      <c r="AN199" s="34">
        <v>0</v>
      </c>
      <c r="AO199" s="34">
        <v>16</v>
      </c>
      <c r="AP199" s="34">
        <v>25</v>
      </c>
      <c r="AQ199" s="34">
        <v>16</v>
      </c>
      <c r="AR199" s="34">
        <v>1</v>
      </c>
      <c r="AS199" s="34">
        <v>0</v>
      </c>
      <c r="AT199" s="34" t="str">
        <v>1P</v>
      </c>
      <c r="AU199" s="34">
        <v>16</v>
      </c>
      <c r="AV199" s="34" t="str">
        <v/>
      </c>
      <c r="AW199" s="34" t="str">
        <v/>
      </c>
      <c r="AX199" s="34" t="str">
        <v/>
      </c>
      <c r="AY199" s="34">
        <v>1</v>
      </c>
      <c r="AZ199" s="34" t="str">
        <v/>
      </c>
      <c r="BA199" s="34">
        <v>0</v>
      </c>
      <c r="BB199" s="34">
        <v>0</v>
      </c>
      <c r="BD199" s="34">
        <v>1</v>
      </c>
      <c r="BE199" s="34">
        <v>0</v>
      </c>
      <c r="BF199" s="34">
        <v>0</v>
      </c>
      <c r="BG199" s="34" t="str">
        <v/>
      </c>
      <c r="BH199" s="34" t="str">
        <v/>
      </c>
      <c r="BI199" s="34" t="str">
        <v/>
      </c>
      <c r="BJ199" s="34" t="str">
        <v/>
      </c>
      <c r="BK199" s="34" t="str">
        <v>BOX</v>
      </c>
      <c r="BL199" s="34">
        <v>1</v>
      </c>
      <c r="BM199" s="34" t="str">
        <v/>
      </c>
      <c r="BN199" s="34" t="str">
        <v/>
      </c>
      <c r="BO199" s="34" t="str">
        <v/>
      </c>
      <c r="BP199" s="34" t="str">
        <v/>
      </c>
      <c r="BQ199" s="34" t="str">
        <v>3х2,5</v>
      </c>
      <c r="BR199" s="34" t="str">
        <v/>
      </c>
      <c r="BS199" s="34" t="str">
        <v/>
      </c>
      <c r="BT199" s="34" t="str">
        <v/>
      </c>
      <c r="BU199" s="34">
        <v>0</v>
      </c>
      <c r="BV199" s="34">
        <v>220</v>
      </c>
      <c r="BW199" s="34">
        <v>1</v>
      </c>
      <c r="BX199" s="34">
        <v>0</v>
      </c>
      <c r="BY199" s="34">
        <v>0</v>
      </c>
      <c r="BZ199">
        <v>9</v>
      </c>
      <c r="CA199" t="str">
        <v>линии</v>
      </c>
    </row>
    <row r="200" spans="1:79" x14ac:dyDescent="0.3">
      <c r="A200" s="39" t="str">
        <v>ЩР-01</v>
      </c>
      <c r="B200" s="42">
        <v>57</v>
      </c>
      <c r="C200" s="42">
        <v>4</v>
      </c>
      <c r="D200" s="75" t="str">
        <v/>
      </c>
      <c r="E200" s="75" t="str">
        <v>авто</v>
      </c>
      <c r="F200" s="76" t="str">
        <v/>
      </c>
      <c r="G200" s="47" t="str">
        <v>QF39</v>
      </c>
      <c r="H200" s="47" t="str">
        <v>1P С16А</v>
      </c>
      <c r="I200" s="75" t="str">
        <v/>
      </c>
      <c r="J200" s="76" t="str">
        <v/>
      </c>
      <c r="K200" s="76" t="str">
        <v/>
      </c>
      <c r="L200" s="75" t="str">
        <v/>
      </c>
      <c r="M200" s="49" t="str">
        <v/>
      </c>
      <c r="N200" s="76" t="str">
        <v/>
      </c>
      <c r="O200" s="49" t="str">
        <v/>
      </c>
      <c r="P200" s="77" t="str">
        <v>XT39</v>
      </c>
      <c r="Q200" s="53" t="str">
        <v>ВВГнг(А)-LS (3х2,5) L=12-0,13%</v>
      </c>
      <c r="R200" s="54" t="str">
        <v>ЩДК-01</v>
      </c>
      <c r="S200" s="55" t="str">
        <v>Щит контроля доступа ШДК-01 Цокольный этаж Пом. №001Т</v>
      </c>
      <c r="T200" s="56">
        <v>0.3</v>
      </c>
      <c r="U200" s="56">
        <v>1.37</v>
      </c>
      <c r="V200" s="42" t="str">
        <v>L1</v>
      </c>
      <c r="W200" s="57" t="str">
        <v>ok</v>
      </c>
      <c r="X200" s="58" t="str">
        <v/>
      </c>
      <c r="Y200" s="75" t="str">
        <v/>
      </c>
      <c r="Z200" s="59">
        <v>1.3674085322912188</v>
      </c>
      <c r="AA200" s="61">
        <v>6</v>
      </c>
      <c r="AB200" s="61">
        <v>25</v>
      </c>
      <c r="AC200" s="61" t="str">
        <v/>
      </c>
      <c r="AD200" s="62" t="str">
        <v>QF39 → XT39</v>
      </c>
      <c r="AE200" s="62" t="str">
        <v/>
      </c>
      <c r="AF200" s="34">
        <v>39</v>
      </c>
      <c r="AG200" s="34" t="str">
        <v>QF39</v>
      </c>
      <c r="AH200" s="34" t="str">
        <v/>
      </c>
      <c r="AI200" s="34" t="str">
        <v/>
      </c>
      <c r="AJ200" s="34" t="str">
        <v>QF39</v>
      </c>
      <c r="AK200" s="34">
        <v>1</v>
      </c>
      <c r="AL200" s="34" t="str">
        <v>ЩДК-01</v>
      </c>
      <c r="AM200" s="34">
        <v>0</v>
      </c>
      <c r="AN200" s="34">
        <v>0</v>
      </c>
      <c r="AO200" s="34">
        <v>6</v>
      </c>
      <c r="AP200" s="34">
        <v>25</v>
      </c>
      <c r="AQ200" s="34">
        <v>16</v>
      </c>
      <c r="AR200" s="34">
        <v>1</v>
      </c>
      <c r="AS200" s="34">
        <v>0</v>
      </c>
      <c r="AT200" s="34" t="str">
        <v>1P</v>
      </c>
      <c r="AU200" s="34">
        <v>16</v>
      </c>
      <c r="AV200" s="34" t="str">
        <v/>
      </c>
      <c r="AW200" s="34" t="str">
        <v/>
      </c>
      <c r="AX200" s="34" t="str">
        <v/>
      </c>
      <c r="AY200" s="34">
        <v>1</v>
      </c>
      <c r="AZ200" s="34" t="str">
        <v/>
      </c>
      <c r="BA200" s="34">
        <v>0</v>
      </c>
      <c r="BB200" s="34">
        <v>0</v>
      </c>
      <c r="BD200" s="34">
        <v>1</v>
      </c>
      <c r="BE200" s="34">
        <v>0</v>
      </c>
      <c r="BF200" s="34">
        <v>0</v>
      </c>
      <c r="BG200" s="34" t="str">
        <v/>
      </c>
      <c r="BH200" s="34" t="str">
        <v/>
      </c>
      <c r="BI200" s="34" t="str">
        <v/>
      </c>
      <c r="BJ200" s="34" t="str">
        <v/>
      </c>
      <c r="BK200" s="34" t="str">
        <v>BOX</v>
      </c>
      <c r="BL200" s="34">
        <v>1</v>
      </c>
      <c r="BM200" s="34" t="str">
        <v/>
      </c>
      <c r="BN200" s="34" t="str">
        <v/>
      </c>
      <c r="BO200" s="34" t="str">
        <v/>
      </c>
      <c r="BP200" s="34" t="str">
        <v/>
      </c>
      <c r="BQ200" s="34" t="str">
        <v>3х2,5</v>
      </c>
      <c r="BR200" s="34" t="str">
        <v/>
      </c>
      <c r="BS200" s="34" t="str">
        <v/>
      </c>
      <c r="BT200" s="34" t="str">
        <v/>
      </c>
      <c r="BU200" s="34">
        <v>0</v>
      </c>
      <c r="BV200" s="34">
        <v>221</v>
      </c>
      <c r="BW200" s="34">
        <v>1</v>
      </c>
      <c r="BX200" s="34">
        <v>0</v>
      </c>
      <c r="BY200" s="34" t="str">
        <v/>
      </c>
      <c r="BZ200">
        <v>9</v>
      </c>
      <c r="CA200" t="str">
        <v>линии</v>
      </c>
    </row>
    <row r="201" spans="1:79" x14ac:dyDescent="0.3">
      <c r="A201" s="39" t="str">
        <v>ЩР-1</v>
      </c>
      <c r="B201" s="42">
        <v>2</v>
      </c>
      <c r="C201" s="42">
        <v>1</v>
      </c>
      <c r="D201" s="75" t="str">
        <v/>
      </c>
      <c r="E201" s="75" t="str">
        <v>авто</v>
      </c>
      <c r="F201" s="76" t="str">
        <v/>
      </c>
      <c r="G201" s="47" t="str">
        <v/>
      </c>
      <c r="H201" s="47" t="str">
        <v>3P С63А</v>
      </c>
      <c r="I201" s="75" t="str">
        <v/>
      </c>
      <c r="J201" s="76" t="str">
        <v/>
      </c>
      <c r="K201" s="76" t="str">
        <v/>
      </c>
      <c r="L201" s="75" t="str">
        <v/>
      </c>
      <c r="M201" s="49" t="str">
        <v/>
      </c>
      <c r="N201" s="76" t="str">
        <v/>
      </c>
      <c r="O201" s="49" t="str">
        <v/>
      </c>
      <c r="P201" s="77" t="str">
        <v/>
      </c>
      <c r="Q201" s="53" t="str">
        <v>ВВГнг(А)-LS (5х16)</v>
      </c>
      <c r="R201" s="54" t="str">
        <v>Ввод.1</v>
      </c>
      <c r="S201" s="55" t="str">
        <v>Ввод</v>
      </c>
      <c r="T201" s="56">
        <v>34.840000000000003</v>
      </c>
      <c r="U201" s="56">
        <v>30.96</v>
      </c>
      <c r="V201" s="42" t="str">
        <v>L1,L2,L3</v>
      </c>
      <c r="W201" s="57" t="str">
        <v>ok</v>
      </c>
      <c r="X201" s="58" t="str">
        <v/>
      </c>
      <c r="Y201" s="75" t="str">
        <v>вручную</v>
      </c>
      <c r="Z201" s="59">
        <v>30.958664828377682</v>
      </c>
      <c r="AA201" s="61">
        <v>40</v>
      </c>
      <c r="AB201" s="61">
        <v>63</v>
      </c>
      <c r="AC201" s="61" t="str">
        <v/>
      </c>
      <c r="AD201" s="62" t="str">
        <v/>
      </c>
      <c r="AE201" s="62" t="str">
        <v/>
      </c>
      <c r="AF201" s="34" t="str">
        <v/>
      </c>
      <c r="AG201" s="34" t="str">
        <v/>
      </c>
      <c r="AH201" s="34" t="str">
        <v/>
      </c>
      <c r="AI201" s="34" t="str">
        <v/>
      </c>
      <c r="AJ201" s="34" t="str">
        <v/>
      </c>
      <c r="AK201" s="34">
        <v>3</v>
      </c>
      <c r="AL201" s="34" t="str">
        <v>Ввод</v>
      </c>
      <c r="AM201" s="34">
        <v>0</v>
      </c>
      <c r="AN201" s="34">
        <v>0</v>
      </c>
      <c r="AO201" s="34">
        <v>40</v>
      </c>
      <c r="AP201" s="34">
        <v>63</v>
      </c>
      <c r="AQ201" s="34">
        <v>63</v>
      </c>
      <c r="AR201" s="34">
        <v>3</v>
      </c>
      <c r="AS201" s="34">
        <v>0</v>
      </c>
      <c r="AT201" s="34" t="str">
        <v>3P</v>
      </c>
      <c r="AU201" s="34">
        <v>63</v>
      </c>
      <c r="AV201" s="34" t="str">
        <v/>
      </c>
      <c r="AW201" s="34" t="str">
        <v/>
      </c>
      <c r="AX201" s="34" t="str">
        <v/>
      </c>
      <c r="AY201" s="34">
        <v>0</v>
      </c>
      <c r="AZ201" s="34" t="str">
        <v/>
      </c>
      <c r="BA201" s="34">
        <v>0</v>
      </c>
      <c r="BB201" s="34">
        <v>0</v>
      </c>
      <c r="BD201" s="34">
        <v>0</v>
      </c>
      <c r="BE201" s="34">
        <v>0</v>
      </c>
      <c r="BF201" s="34">
        <v>0</v>
      </c>
      <c r="BG201" s="34" t="str">
        <v/>
      </c>
      <c r="BH201" s="34" t="str">
        <v/>
      </c>
      <c r="BI201" s="34" t="str">
        <v/>
      </c>
      <c r="BJ201" s="34" t="str">
        <v/>
      </c>
      <c r="BK201" s="34" t="str">
        <v>BOX</v>
      </c>
      <c r="BL201" s="34">
        <v>1</v>
      </c>
      <c r="BM201" s="34" t="str">
        <v/>
      </c>
      <c r="BN201" s="34" t="str">
        <v/>
      </c>
      <c r="BO201" s="34" t="str">
        <v/>
      </c>
      <c r="BP201" s="34" t="str">
        <v/>
      </c>
      <c r="BQ201" s="34" t="str">
        <v/>
      </c>
      <c r="BR201" s="34" t="str">
        <v/>
      </c>
      <c r="BS201" s="34" t="str">
        <v/>
      </c>
      <c r="BT201" s="34" t="str">
        <v/>
      </c>
      <c r="BU201" s="34">
        <v>0</v>
      </c>
      <c r="BV201" s="34">
        <v>222</v>
      </c>
      <c r="BW201" s="34">
        <v>0</v>
      </c>
      <c r="BX201" s="34">
        <v>0</v>
      </c>
      <c r="BY201" s="34">
        <v>0</v>
      </c>
      <c r="BZ201">
        <v>10</v>
      </c>
      <c r="CA201" t="str">
        <v>вводной узел</v>
      </c>
    </row>
    <row r="202" spans="1:79" x14ac:dyDescent="0.3">
      <c r="A202" s="39" t="str">
        <v>ЩР-1</v>
      </c>
      <c r="B202" s="42">
        <v>9</v>
      </c>
      <c r="C202" s="42">
        <v>1</v>
      </c>
      <c r="D202" s="75" t="str">
        <v/>
      </c>
      <c r="E202" s="75" t="str">
        <v>авто</v>
      </c>
      <c r="F202" s="76">
        <v>30</v>
      </c>
      <c r="G202" s="47" t="str">
        <v>QFD1</v>
      </c>
      <c r="H202" s="47" t="str">
        <v>2P С16А 30мА</v>
      </c>
      <c r="I202" s="75" t="str">
        <v/>
      </c>
      <c r="J202" s="76" t="str">
        <v/>
      </c>
      <c r="K202" s="76" t="str">
        <v/>
      </c>
      <c r="L202" s="75" t="str">
        <v/>
      </c>
      <c r="M202" s="49" t="str">
        <v/>
      </c>
      <c r="N202" s="76" t="str">
        <v/>
      </c>
      <c r="O202" s="49" t="str">
        <v/>
      </c>
      <c r="P202" s="77" t="str">
        <v>XT1</v>
      </c>
      <c r="Q202" s="53" t="str">
        <v>ВВГнг(А)-LS (3х2,5) L=81-0,99%</v>
      </c>
      <c r="R202" s="54" t="str">
        <v>R.1.001A.1</v>
      </c>
      <c r="S202" s="55" t="str">
        <v>Розеточная группа, пом. 001A</v>
      </c>
      <c r="T202" s="56">
        <v>0.36</v>
      </c>
      <c r="U202" s="56">
        <v>1.65</v>
      </c>
      <c r="V202" s="42" t="str">
        <v>L3</v>
      </c>
      <c r="W202" s="57" t="str">
        <v>ok</v>
      </c>
      <c r="X202" s="58" t="str">
        <v/>
      </c>
      <c r="Y202" s="75" t="str">
        <v/>
      </c>
      <c r="Z202" s="59">
        <v>1.6408902387494626</v>
      </c>
      <c r="AA202" s="61">
        <v>16</v>
      </c>
      <c r="AB202" s="61">
        <v>25</v>
      </c>
      <c r="AC202" s="61" t="str">
        <v/>
      </c>
      <c r="AD202" s="62" t="str">
        <v>QFD1 → XT1</v>
      </c>
      <c r="AE202" s="62" t="str">
        <v/>
      </c>
      <c r="AF202" s="34">
        <v>1</v>
      </c>
      <c r="AG202" s="34" t="str">
        <v>QFD1</v>
      </c>
      <c r="AH202" s="34" t="str">
        <v/>
      </c>
      <c r="AI202" s="34" t="str">
        <v/>
      </c>
      <c r="AJ202" s="34" t="str">
        <v>QFD1</v>
      </c>
      <c r="AK202" s="34">
        <v>1</v>
      </c>
      <c r="AL202" s="34" t="str">
        <v>R</v>
      </c>
      <c r="AM202" s="34">
        <v>30</v>
      </c>
      <c r="AN202" s="34">
        <v>0</v>
      </c>
      <c r="AO202" s="34">
        <v>16</v>
      </c>
      <c r="AP202" s="34">
        <v>25</v>
      </c>
      <c r="AQ202" s="34">
        <v>16</v>
      </c>
      <c r="AR202" s="34">
        <v>1</v>
      </c>
      <c r="AS202" s="34">
        <v>1</v>
      </c>
      <c r="AT202" s="34" t="str">
        <v>2P</v>
      </c>
      <c r="AU202" s="34">
        <v>16</v>
      </c>
      <c r="AV202" s="34" t="str">
        <v/>
      </c>
      <c r="AW202" s="34" t="str">
        <v/>
      </c>
      <c r="AX202" s="34" t="str">
        <v/>
      </c>
      <c r="AY202" s="34">
        <v>1</v>
      </c>
      <c r="AZ202" s="34" t="str">
        <v/>
      </c>
      <c r="BA202" s="34">
        <v>0</v>
      </c>
      <c r="BB202" s="34">
        <v>16</v>
      </c>
      <c r="BD202" s="34">
        <v>1</v>
      </c>
      <c r="BE202" s="34">
        <v>0</v>
      </c>
      <c r="BF202" s="34">
        <v>1</v>
      </c>
      <c r="BG202" s="34" t="str">
        <v/>
      </c>
      <c r="BH202" s="34" t="str">
        <v/>
      </c>
      <c r="BI202" s="34" t="str">
        <v/>
      </c>
      <c r="BJ202" s="34" t="str">
        <v/>
      </c>
      <c r="BK202" s="34" t="str">
        <v>SOCKET</v>
      </c>
      <c r="BL202" s="34">
        <v>1</v>
      </c>
      <c r="BM202" s="34" t="str">
        <v/>
      </c>
      <c r="BN202" s="34" t="str">
        <v/>
      </c>
      <c r="BO202" s="34" t="str">
        <v/>
      </c>
      <c r="BP202" s="34" t="str">
        <v/>
      </c>
      <c r="BQ202" s="34" t="str">
        <v>3х2,5</v>
      </c>
      <c r="BR202" s="34" t="str">
        <v/>
      </c>
      <c r="BS202" s="34" t="str">
        <v/>
      </c>
      <c r="BT202" s="34" t="str">
        <v/>
      </c>
      <c r="BU202" s="34">
        <v>0</v>
      </c>
      <c r="BV202" s="34">
        <v>223</v>
      </c>
      <c r="BW202" s="34">
        <v>1</v>
      </c>
      <c r="BX202" s="34">
        <v>0</v>
      </c>
      <c r="BY202" s="34" t="str">
        <v>Розетка</v>
      </c>
      <c r="BZ202">
        <v>10</v>
      </c>
      <c r="CA202" t="str">
        <v>линии</v>
      </c>
    </row>
    <row r="203" spans="1:79" x14ac:dyDescent="0.3">
      <c r="A203" s="39" t="str">
        <v>ЩР-1</v>
      </c>
      <c r="B203" s="42">
        <v>10</v>
      </c>
      <c r="C203" s="42">
        <v>1</v>
      </c>
      <c r="D203" s="75" t="str">
        <v/>
      </c>
      <c r="E203" s="75" t="str">
        <v>авто</v>
      </c>
      <c r="F203" s="76">
        <v>30</v>
      </c>
      <c r="G203" s="47" t="str">
        <v>QFD2</v>
      </c>
      <c r="H203" s="47" t="str">
        <v>2P С16А 30мА</v>
      </c>
      <c r="I203" s="75" t="str">
        <v/>
      </c>
      <c r="J203" s="76" t="str">
        <v/>
      </c>
      <c r="K203" s="76" t="str">
        <v/>
      </c>
      <c r="L203" s="75" t="str">
        <v/>
      </c>
      <c r="M203" s="49" t="str">
        <v/>
      </c>
      <c r="N203" s="76" t="str">
        <v/>
      </c>
      <c r="O203" s="49" t="str">
        <v/>
      </c>
      <c r="P203" s="77" t="str">
        <v>XT2</v>
      </c>
      <c r="Q203" s="53" t="str">
        <v>ВВГнг(А)-LS (3х2,5) L=73-0,3%</v>
      </c>
      <c r="R203" s="54" t="str">
        <v>R.1.001Aб.1</v>
      </c>
      <c r="S203" s="55" t="str">
        <v>Розеточная группа Первый этаж Пом. №001Aб, 002Аб</v>
      </c>
      <c r="T203" s="56">
        <v>0.12</v>
      </c>
      <c r="U203" s="56">
        <v>0.55000000000000004</v>
      </c>
      <c r="V203" s="42" t="str">
        <v>L2</v>
      </c>
      <c r="W203" s="57" t="str">
        <v>ok</v>
      </c>
      <c r="X203" s="58" t="str">
        <v/>
      </c>
      <c r="Y203" s="75" t="str">
        <v/>
      </c>
      <c r="Z203" s="59">
        <v>0.54696341291648753</v>
      </c>
      <c r="AA203" s="61">
        <v>16</v>
      </c>
      <c r="AB203" s="61">
        <v>25</v>
      </c>
      <c r="AC203" s="61" t="str">
        <v/>
      </c>
      <c r="AD203" s="62" t="str">
        <v>QFD2 → XT2</v>
      </c>
      <c r="AE203" s="62" t="str">
        <v/>
      </c>
      <c r="AF203" s="34">
        <v>2</v>
      </c>
      <c r="AG203" s="34" t="str">
        <v>QFD2</v>
      </c>
      <c r="AH203" s="34" t="str">
        <v/>
      </c>
      <c r="AI203" s="34" t="str">
        <v/>
      </c>
      <c r="AJ203" s="34" t="str">
        <v>QFD2</v>
      </c>
      <c r="AK203" s="34">
        <v>1</v>
      </c>
      <c r="AL203" s="34" t="str">
        <v>R</v>
      </c>
      <c r="AM203" s="34">
        <v>30</v>
      </c>
      <c r="AN203" s="34">
        <v>0</v>
      </c>
      <c r="AO203" s="34">
        <v>16</v>
      </c>
      <c r="AP203" s="34">
        <v>25</v>
      </c>
      <c r="AQ203" s="34">
        <v>16</v>
      </c>
      <c r="AR203" s="34">
        <v>1</v>
      </c>
      <c r="AS203" s="34">
        <v>1</v>
      </c>
      <c r="AT203" s="34" t="str">
        <v>2P</v>
      </c>
      <c r="AU203" s="34">
        <v>16</v>
      </c>
      <c r="AV203" s="34" t="str">
        <v/>
      </c>
      <c r="AW203" s="34" t="str">
        <v/>
      </c>
      <c r="AX203" s="34" t="str">
        <v/>
      </c>
      <c r="AY203" s="34">
        <v>1</v>
      </c>
      <c r="AZ203" s="34" t="str">
        <v/>
      </c>
      <c r="BA203" s="34">
        <v>0</v>
      </c>
      <c r="BB203" s="34">
        <v>16</v>
      </c>
      <c r="BD203" s="34">
        <v>1</v>
      </c>
      <c r="BE203" s="34">
        <v>0</v>
      </c>
      <c r="BF203" s="34">
        <v>1</v>
      </c>
      <c r="BG203" s="34" t="str">
        <v/>
      </c>
      <c r="BH203" s="34" t="str">
        <v/>
      </c>
      <c r="BI203" s="34" t="str">
        <v/>
      </c>
      <c r="BJ203" s="34" t="str">
        <v/>
      </c>
      <c r="BK203" s="34" t="str">
        <v>SOCKET</v>
      </c>
      <c r="BL203" s="34">
        <v>1</v>
      </c>
      <c r="BM203" s="34" t="str">
        <v/>
      </c>
      <c r="BN203" s="34" t="str">
        <v/>
      </c>
      <c r="BO203" s="34" t="str">
        <v/>
      </c>
      <c r="BP203" s="34" t="str">
        <v/>
      </c>
      <c r="BQ203" s="34" t="str">
        <v>3х2,5</v>
      </c>
      <c r="BR203" s="34" t="str">
        <v/>
      </c>
      <c r="BS203" s="34" t="str">
        <v/>
      </c>
      <c r="BT203" s="34" t="str">
        <v/>
      </c>
      <c r="BU203" s="34">
        <v>0</v>
      </c>
      <c r="BV203" s="34">
        <v>224</v>
      </c>
      <c r="BW203" s="34">
        <v>1</v>
      </c>
      <c r="BX203" s="34">
        <v>0</v>
      </c>
      <c r="BY203" s="34" t="str">
        <v>Розетка</v>
      </c>
      <c r="BZ203">
        <v>10</v>
      </c>
      <c r="CA203" t="str">
        <v>линии</v>
      </c>
    </row>
    <row r="204" spans="1:79" x14ac:dyDescent="0.3">
      <c r="A204" s="39" t="str">
        <v>ЩР-1</v>
      </c>
      <c r="B204" s="42">
        <v>11</v>
      </c>
      <c r="C204" s="42">
        <v>1</v>
      </c>
      <c r="D204" s="75" t="str">
        <v/>
      </c>
      <c r="E204" s="75" t="str">
        <v>авто</v>
      </c>
      <c r="F204" s="76">
        <v>30</v>
      </c>
      <c r="G204" s="47" t="str">
        <v>QFD3</v>
      </c>
      <c r="H204" s="47" t="str">
        <v>2P С16А 30мА</v>
      </c>
      <c r="I204" s="75" t="str">
        <v/>
      </c>
      <c r="J204" s="76" t="str">
        <v/>
      </c>
      <c r="K204" s="76" t="str">
        <v/>
      </c>
      <c r="L204" s="75" t="str">
        <v/>
      </c>
      <c r="M204" s="49" t="str">
        <v/>
      </c>
      <c r="N204" s="76" t="str">
        <v/>
      </c>
      <c r="O204" s="49" t="str">
        <v/>
      </c>
      <c r="P204" s="77" t="str">
        <v>XT3</v>
      </c>
      <c r="Q204" s="53" t="str">
        <v>ВВГнг(А)-LS (3х2,5) L=59-0,24%</v>
      </c>
      <c r="R204" s="54" t="str">
        <v>R.1.001Г.1</v>
      </c>
      <c r="S204" s="55" t="str">
        <v>Розеточная группа, пом. 001Г</v>
      </c>
      <c r="T204" s="56">
        <v>0.12</v>
      </c>
      <c r="U204" s="56">
        <v>0.55000000000000004</v>
      </c>
      <c r="V204" s="42" t="str">
        <v>L1</v>
      </c>
      <c r="W204" s="57" t="str">
        <v>ok</v>
      </c>
      <c r="X204" s="58" t="str">
        <v/>
      </c>
      <c r="Y204" s="75" t="str">
        <v/>
      </c>
      <c r="Z204" s="59">
        <v>0.54696341291648753</v>
      </c>
      <c r="AA204" s="61">
        <v>16</v>
      </c>
      <c r="AB204" s="61">
        <v>25</v>
      </c>
      <c r="AC204" s="61" t="str">
        <v/>
      </c>
      <c r="AD204" s="62" t="str">
        <v>QFD3 → XT3</v>
      </c>
      <c r="AE204" s="62" t="str">
        <v/>
      </c>
      <c r="AF204" s="34">
        <v>3</v>
      </c>
      <c r="AG204" s="34" t="str">
        <v>QFD3</v>
      </c>
      <c r="AH204" s="34" t="str">
        <v/>
      </c>
      <c r="AI204" s="34" t="str">
        <v/>
      </c>
      <c r="AJ204" s="34" t="str">
        <v>QFD3</v>
      </c>
      <c r="AK204" s="34">
        <v>1</v>
      </c>
      <c r="AL204" s="34" t="str">
        <v>R</v>
      </c>
      <c r="AM204" s="34">
        <v>30</v>
      </c>
      <c r="AN204" s="34">
        <v>0</v>
      </c>
      <c r="AO204" s="34">
        <v>16</v>
      </c>
      <c r="AP204" s="34">
        <v>25</v>
      </c>
      <c r="AQ204" s="34">
        <v>16</v>
      </c>
      <c r="AR204" s="34">
        <v>1</v>
      </c>
      <c r="AS204" s="34">
        <v>1</v>
      </c>
      <c r="AT204" s="34" t="str">
        <v>2P</v>
      </c>
      <c r="AU204" s="34">
        <v>16</v>
      </c>
      <c r="AV204" s="34" t="str">
        <v/>
      </c>
      <c r="AW204" s="34" t="str">
        <v/>
      </c>
      <c r="AX204" s="34" t="str">
        <v/>
      </c>
      <c r="AY204" s="34">
        <v>1</v>
      </c>
      <c r="AZ204" s="34" t="str">
        <v/>
      </c>
      <c r="BA204" s="34">
        <v>0</v>
      </c>
      <c r="BB204" s="34">
        <v>16</v>
      </c>
      <c r="BD204" s="34">
        <v>1</v>
      </c>
      <c r="BE204" s="34">
        <v>0</v>
      </c>
      <c r="BF204" s="34">
        <v>1</v>
      </c>
      <c r="BG204" s="34" t="str">
        <v/>
      </c>
      <c r="BH204" s="34" t="str">
        <v/>
      </c>
      <c r="BI204" s="34" t="str">
        <v/>
      </c>
      <c r="BJ204" s="34" t="str">
        <v/>
      </c>
      <c r="BK204" s="34" t="str">
        <v>SOCKET</v>
      </c>
      <c r="BL204" s="34">
        <v>1</v>
      </c>
      <c r="BM204" s="34" t="str">
        <v/>
      </c>
      <c r="BN204" s="34" t="str">
        <v/>
      </c>
      <c r="BO204" s="34" t="str">
        <v/>
      </c>
      <c r="BP204" s="34" t="str">
        <v/>
      </c>
      <c r="BQ204" s="34" t="str">
        <v>3х2,5</v>
      </c>
      <c r="BR204" s="34" t="str">
        <v/>
      </c>
      <c r="BS204" s="34" t="str">
        <v/>
      </c>
      <c r="BT204" s="34" t="str">
        <v/>
      </c>
      <c r="BU204" s="34">
        <v>0</v>
      </c>
      <c r="BV204" s="34">
        <v>225</v>
      </c>
      <c r="BW204" s="34">
        <v>1</v>
      </c>
      <c r="BX204" s="34">
        <v>0</v>
      </c>
      <c r="BY204" s="34" t="str">
        <v>Розетка</v>
      </c>
      <c r="BZ204">
        <v>10</v>
      </c>
      <c r="CA204" t="str">
        <v>линии</v>
      </c>
    </row>
    <row r="205" spans="1:79" x14ac:dyDescent="0.3">
      <c r="A205" s="39" t="str">
        <v>ЩР-1</v>
      </c>
      <c r="B205" s="42">
        <v>12</v>
      </c>
      <c r="C205" s="42">
        <v>1</v>
      </c>
      <c r="D205" s="75" t="str">
        <v/>
      </c>
      <c r="E205" s="75" t="str">
        <v>авто</v>
      </c>
      <c r="F205" s="76">
        <v>30</v>
      </c>
      <c r="G205" s="47" t="str">
        <v>QFD4</v>
      </c>
      <c r="H205" s="47" t="str">
        <v>2P С16А 30мА</v>
      </c>
      <c r="I205" s="75" t="str">
        <v/>
      </c>
      <c r="J205" s="76" t="str">
        <v/>
      </c>
      <c r="K205" s="76" t="str">
        <v/>
      </c>
      <c r="L205" s="75" t="str">
        <v/>
      </c>
      <c r="M205" s="49" t="str">
        <v/>
      </c>
      <c r="N205" s="76" t="str">
        <v/>
      </c>
      <c r="O205" s="49" t="str">
        <v/>
      </c>
      <c r="P205" s="77" t="str">
        <v>XT4</v>
      </c>
      <c r="Q205" s="53" t="str">
        <v>ВВГнг(А)-LS (3х2,5) L=66-0,41%</v>
      </c>
      <c r="R205" s="54" t="str">
        <v>R.1.002A.1</v>
      </c>
      <c r="S205" s="55" t="str">
        <v>Розеточная группа Первый этаж Пом. №002A, 023А</v>
      </c>
      <c r="T205" s="56">
        <v>0.18</v>
      </c>
      <c r="U205" s="56">
        <v>0.83</v>
      </c>
      <c r="V205" s="42" t="str">
        <v>L3</v>
      </c>
      <c r="W205" s="57" t="str">
        <v>ok</v>
      </c>
      <c r="X205" s="58" t="str">
        <v/>
      </c>
      <c r="Y205" s="75" t="str">
        <v/>
      </c>
      <c r="Z205" s="59">
        <v>0.8204451193747313</v>
      </c>
      <c r="AA205" s="61">
        <v>16</v>
      </c>
      <c r="AB205" s="61">
        <v>25</v>
      </c>
      <c r="AC205" s="61" t="str">
        <v/>
      </c>
      <c r="AD205" s="62" t="str">
        <v>QFD4 → XT4</v>
      </c>
      <c r="AE205" s="62" t="str">
        <v/>
      </c>
      <c r="AF205" s="34">
        <v>4</v>
      </c>
      <c r="AG205" s="34" t="str">
        <v>QFD4</v>
      </c>
      <c r="AH205" s="34" t="str">
        <v/>
      </c>
      <c r="AI205" s="34" t="str">
        <v/>
      </c>
      <c r="AJ205" s="34" t="str">
        <v>QFD4</v>
      </c>
      <c r="AK205" s="34">
        <v>1</v>
      </c>
      <c r="AL205" s="34" t="str">
        <v>R</v>
      </c>
      <c r="AM205" s="34">
        <v>30</v>
      </c>
      <c r="AN205" s="34">
        <v>0</v>
      </c>
      <c r="AO205" s="34">
        <v>16</v>
      </c>
      <c r="AP205" s="34">
        <v>25</v>
      </c>
      <c r="AQ205" s="34">
        <v>16</v>
      </c>
      <c r="AR205" s="34">
        <v>1</v>
      </c>
      <c r="AS205" s="34">
        <v>1</v>
      </c>
      <c r="AT205" s="34" t="str">
        <v>2P</v>
      </c>
      <c r="AU205" s="34">
        <v>16</v>
      </c>
      <c r="AV205" s="34" t="str">
        <v/>
      </c>
      <c r="AW205" s="34" t="str">
        <v/>
      </c>
      <c r="AX205" s="34" t="str">
        <v/>
      </c>
      <c r="AY205" s="34">
        <v>1</v>
      </c>
      <c r="AZ205" s="34" t="str">
        <v/>
      </c>
      <c r="BA205" s="34">
        <v>0</v>
      </c>
      <c r="BB205" s="34">
        <v>16</v>
      </c>
      <c r="BD205" s="34">
        <v>1</v>
      </c>
      <c r="BE205" s="34">
        <v>0</v>
      </c>
      <c r="BF205" s="34">
        <v>1</v>
      </c>
      <c r="BG205" s="34" t="str">
        <v/>
      </c>
      <c r="BH205" s="34" t="str">
        <v/>
      </c>
      <c r="BI205" s="34" t="str">
        <v/>
      </c>
      <c r="BJ205" s="34" t="str">
        <v/>
      </c>
      <c r="BK205" s="34" t="str">
        <v>SOCKET</v>
      </c>
      <c r="BL205" s="34">
        <v>1</v>
      </c>
      <c r="BM205" s="34" t="str">
        <v/>
      </c>
      <c r="BN205" s="34" t="str">
        <v/>
      </c>
      <c r="BO205" s="34" t="str">
        <v/>
      </c>
      <c r="BP205" s="34" t="str">
        <v/>
      </c>
      <c r="BQ205" s="34" t="str">
        <v>3х2,5</v>
      </c>
      <c r="BR205" s="34" t="str">
        <v/>
      </c>
      <c r="BS205" s="34" t="str">
        <v/>
      </c>
      <c r="BT205" s="34" t="str">
        <v/>
      </c>
      <c r="BU205" s="34">
        <v>0</v>
      </c>
      <c r="BV205" s="34">
        <v>226</v>
      </c>
      <c r="BW205" s="34">
        <v>1</v>
      </c>
      <c r="BX205" s="34">
        <v>0</v>
      </c>
      <c r="BY205" s="34" t="str">
        <v>Розетка</v>
      </c>
      <c r="BZ205">
        <v>10</v>
      </c>
      <c r="CA205" t="str">
        <v>линии</v>
      </c>
    </row>
    <row r="206" spans="1:79" x14ac:dyDescent="0.3">
      <c r="A206" s="39" t="str">
        <v>ЩР-1</v>
      </c>
      <c r="B206" s="42">
        <v>13</v>
      </c>
      <c r="C206" s="42">
        <v>1</v>
      </c>
      <c r="D206" s="75" t="str">
        <v/>
      </c>
      <c r="E206" s="75" t="str">
        <v>авто</v>
      </c>
      <c r="F206" s="76">
        <v>30</v>
      </c>
      <c r="G206" s="47" t="str">
        <v>QFD5</v>
      </c>
      <c r="H206" s="47" t="str">
        <v>2P С16А 30мА</v>
      </c>
      <c r="I206" s="75" t="str">
        <v/>
      </c>
      <c r="J206" s="76" t="str">
        <v/>
      </c>
      <c r="K206" s="76" t="str">
        <v/>
      </c>
      <c r="L206" s="75" t="str">
        <v/>
      </c>
      <c r="M206" s="49" t="str">
        <v/>
      </c>
      <c r="N206" s="76" t="str">
        <v/>
      </c>
      <c r="O206" s="49" t="str">
        <v/>
      </c>
      <c r="P206" s="77" t="str">
        <v>XT5</v>
      </c>
      <c r="Q206" s="53" t="str">
        <v>ВВГнг(А)-LS (3х2,5) L=80-0,49%</v>
      </c>
      <c r="R206" s="54" t="str">
        <v>R.1.002Aб.1</v>
      </c>
      <c r="S206" s="55" t="str">
        <v>Розеточная группа, пом. 002Aб</v>
      </c>
      <c r="T206" s="56">
        <v>0.18</v>
      </c>
      <c r="U206" s="56">
        <v>0.83</v>
      </c>
      <c r="V206" s="42" t="str">
        <v>L1</v>
      </c>
      <c r="W206" s="57" t="str">
        <v>ok</v>
      </c>
      <c r="X206" s="58" t="str">
        <v/>
      </c>
      <c r="Y206" s="75" t="str">
        <v/>
      </c>
      <c r="Z206" s="59">
        <v>0.8204451193747313</v>
      </c>
      <c r="AA206" s="61">
        <v>16</v>
      </c>
      <c r="AB206" s="61">
        <v>25</v>
      </c>
      <c r="AC206" s="61" t="str">
        <v/>
      </c>
      <c r="AD206" s="62" t="str">
        <v>QFD5 → XT5</v>
      </c>
      <c r="AE206" s="62" t="str">
        <v/>
      </c>
      <c r="AF206" s="34">
        <v>5</v>
      </c>
      <c r="AG206" s="34" t="str">
        <v>QFD5</v>
      </c>
      <c r="AH206" s="34" t="str">
        <v/>
      </c>
      <c r="AI206" s="34" t="str">
        <v/>
      </c>
      <c r="AJ206" s="34" t="str">
        <v>QFD5</v>
      </c>
      <c r="AK206" s="34">
        <v>1</v>
      </c>
      <c r="AL206" s="34" t="str">
        <v>R</v>
      </c>
      <c r="AM206" s="34">
        <v>30</v>
      </c>
      <c r="AN206" s="34">
        <v>0</v>
      </c>
      <c r="AO206" s="34">
        <v>16</v>
      </c>
      <c r="AP206" s="34">
        <v>25</v>
      </c>
      <c r="AQ206" s="34">
        <v>16</v>
      </c>
      <c r="AR206" s="34">
        <v>1</v>
      </c>
      <c r="AS206" s="34">
        <v>1</v>
      </c>
      <c r="AT206" s="34" t="str">
        <v>2P</v>
      </c>
      <c r="AU206" s="34">
        <v>16</v>
      </c>
      <c r="AV206" s="34" t="str">
        <v/>
      </c>
      <c r="AW206" s="34" t="str">
        <v/>
      </c>
      <c r="AX206" s="34" t="str">
        <v/>
      </c>
      <c r="AY206" s="34">
        <v>1</v>
      </c>
      <c r="AZ206" s="34" t="str">
        <v/>
      </c>
      <c r="BA206" s="34">
        <v>0</v>
      </c>
      <c r="BB206" s="34">
        <v>16</v>
      </c>
      <c r="BD206" s="34">
        <v>1</v>
      </c>
      <c r="BE206" s="34">
        <v>0</v>
      </c>
      <c r="BF206" s="34">
        <v>1</v>
      </c>
      <c r="BG206" s="34" t="str">
        <v/>
      </c>
      <c r="BH206" s="34" t="str">
        <v/>
      </c>
      <c r="BI206" s="34" t="str">
        <v/>
      </c>
      <c r="BJ206" s="34" t="str">
        <v/>
      </c>
      <c r="BK206" s="34" t="str">
        <v>SOCKET</v>
      </c>
      <c r="BL206" s="34">
        <v>1</v>
      </c>
      <c r="BM206" s="34" t="str">
        <v/>
      </c>
      <c r="BN206" s="34" t="str">
        <v/>
      </c>
      <c r="BO206" s="34" t="str">
        <v/>
      </c>
      <c r="BP206" s="34" t="str">
        <v/>
      </c>
      <c r="BQ206" s="34" t="str">
        <v>3х2,5</v>
      </c>
      <c r="BR206" s="34" t="str">
        <v/>
      </c>
      <c r="BS206" s="34" t="str">
        <v/>
      </c>
      <c r="BT206" s="34" t="str">
        <v/>
      </c>
      <c r="BU206" s="34">
        <v>0</v>
      </c>
      <c r="BV206" s="34">
        <v>227</v>
      </c>
      <c r="BW206" s="34">
        <v>1</v>
      </c>
      <c r="BX206" s="34">
        <v>0</v>
      </c>
      <c r="BY206" s="34" t="str">
        <v>Розетка</v>
      </c>
      <c r="BZ206">
        <v>10</v>
      </c>
      <c r="CA206" t="str">
        <v>линии</v>
      </c>
    </row>
    <row r="207" spans="1:79" x14ac:dyDescent="0.3">
      <c r="A207" s="39" t="str">
        <v>ЩР-1</v>
      </c>
      <c r="B207" s="42">
        <v>14</v>
      </c>
      <c r="C207" s="42">
        <v>1</v>
      </c>
      <c r="D207" s="75" t="str">
        <v/>
      </c>
      <c r="E207" s="75" t="str">
        <v>авто</v>
      </c>
      <c r="F207" s="76">
        <v>30</v>
      </c>
      <c r="G207" s="47" t="str">
        <v>QFD6</v>
      </c>
      <c r="H207" s="47" t="str">
        <v>2P С16А 30мА</v>
      </c>
      <c r="I207" s="75" t="str">
        <v/>
      </c>
      <c r="J207" s="76" t="str">
        <v/>
      </c>
      <c r="K207" s="76" t="str">
        <v/>
      </c>
      <c r="L207" s="75" t="str">
        <v/>
      </c>
      <c r="M207" s="49" t="str">
        <v/>
      </c>
      <c r="N207" s="76" t="str">
        <v/>
      </c>
      <c r="O207" s="49" t="str">
        <v/>
      </c>
      <c r="P207" s="77" t="str">
        <v>XT6</v>
      </c>
      <c r="Q207" s="53" t="str">
        <v>ВВГнг(А)-LS (3х2,5) L=30-0,24%</v>
      </c>
      <c r="R207" s="54" t="str">
        <v>R.1.002Б.1</v>
      </c>
      <c r="S207" s="55" t="str">
        <v>Розеточная группа Первый этаж Пом. №002Б Ледогенератор</v>
      </c>
      <c r="T207" s="56">
        <v>0.23</v>
      </c>
      <c r="U207" s="56">
        <v>1.05</v>
      </c>
      <c r="V207" s="42" t="str">
        <v>L3</v>
      </c>
      <c r="W207" s="57" t="str">
        <v>ok</v>
      </c>
      <c r="X207" s="58" t="str">
        <v/>
      </c>
      <c r="Y207" s="75" t="str">
        <v/>
      </c>
      <c r="Z207" s="59">
        <v>1.0483465414232678</v>
      </c>
      <c r="AA207" s="61">
        <v>16</v>
      </c>
      <c r="AB207" s="61">
        <v>25</v>
      </c>
      <c r="AC207" s="61" t="str">
        <v/>
      </c>
      <c r="AD207" s="62" t="str">
        <v>QFD6 → XT6</v>
      </c>
      <c r="AE207" s="62" t="str">
        <v/>
      </c>
      <c r="AF207" s="34">
        <v>6</v>
      </c>
      <c r="AG207" s="34" t="str">
        <v>QFD6</v>
      </c>
      <c r="AH207" s="34" t="str">
        <v/>
      </c>
      <c r="AI207" s="34" t="str">
        <v/>
      </c>
      <c r="AJ207" s="34" t="str">
        <v>QFD6</v>
      </c>
      <c r="AK207" s="34">
        <v>1</v>
      </c>
      <c r="AL207" s="34" t="str">
        <v>R</v>
      </c>
      <c r="AM207" s="34">
        <v>30</v>
      </c>
      <c r="AN207" s="34">
        <v>0</v>
      </c>
      <c r="AO207" s="34">
        <v>16</v>
      </c>
      <c r="AP207" s="34">
        <v>25</v>
      </c>
      <c r="AQ207" s="34">
        <v>16</v>
      </c>
      <c r="AR207" s="34">
        <v>1</v>
      </c>
      <c r="AS207" s="34">
        <v>1</v>
      </c>
      <c r="AT207" s="34" t="str">
        <v>2P</v>
      </c>
      <c r="AU207" s="34">
        <v>16</v>
      </c>
      <c r="AV207" s="34" t="str">
        <v/>
      </c>
      <c r="AW207" s="34" t="str">
        <v/>
      </c>
      <c r="AX207" s="34" t="str">
        <v/>
      </c>
      <c r="AY207" s="34">
        <v>1</v>
      </c>
      <c r="AZ207" s="34" t="str">
        <v/>
      </c>
      <c r="BA207" s="34">
        <v>0</v>
      </c>
      <c r="BB207" s="34">
        <v>16</v>
      </c>
      <c r="BD207" s="34">
        <v>1</v>
      </c>
      <c r="BE207" s="34">
        <v>0</v>
      </c>
      <c r="BF207" s="34">
        <v>1</v>
      </c>
      <c r="BG207" s="34" t="str">
        <v/>
      </c>
      <c r="BH207" s="34" t="str">
        <v/>
      </c>
      <c r="BI207" s="34" t="str">
        <v/>
      </c>
      <c r="BJ207" s="34" t="str">
        <v/>
      </c>
      <c r="BK207" s="34" t="str">
        <v>SOCKET</v>
      </c>
      <c r="BL207" s="34">
        <v>1</v>
      </c>
      <c r="BM207" s="34" t="str">
        <v/>
      </c>
      <c r="BN207" s="34" t="str">
        <v/>
      </c>
      <c r="BO207" s="34" t="str">
        <v/>
      </c>
      <c r="BP207" s="34" t="str">
        <v/>
      </c>
      <c r="BQ207" s="34" t="str">
        <v>3х2,5</v>
      </c>
      <c r="BR207" s="34" t="str">
        <v/>
      </c>
      <c r="BS207" s="34" t="str">
        <v/>
      </c>
      <c r="BT207" s="34" t="str">
        <v/>
      </c>
      <c r="BU207" s="34">
        <v>0</v>
      </c>
      <c r="BV207" s="34">
        <v>228</v>
      </c>
      <c r="BW207" s="34">
        <v>1</v>
      </c>
      <c r="BX207" s="34">
        <v>0</v>
      </c>
      <c r="BY207" s="34" t="str">
        <v>Розетка</v>
      </c>
      <c r="BZ207">
        <v>10</v>
      </c>
      <c r="CA207" t="str">
        <v>линии</v>
      </c>
    </row>
    <row r="208" spans="1:79" x14ac:dyDescent="0.3">
      <c r="A208" s="39" t="str">
        <v>ЩР-1</v>
      </c>
      <c r="B208" s="42">
        <v>15</v>
      </c>
      <c r="C208" s="42">
        <v>1</v>
      </c>
      <c r="D208" s="75" t="str">
        <v/>
      </c>
      <c r="E208" s="75" t="str">
        <v>авто</v>
      </c>
      <c r="F208" s="76">
        <v>30</v>
      </c>
      <c r="G208" s="47" t="str">
        <v>QFD7</v>
      </c>
      <c r="H208" s="47" t="str">
        <v>2P С16А 30мА</v>
      </c>
      <c r="I208" s="75" t="str">
        <v/>
      </c>
      <c r="J208" s="76" t="str">
        <v/>
      </c>
      <c r="K208" s="76" t="str">
        <v/>
      </c>
      <c r="L208" s="75" t="str">
        <v/>
      </c>
      <c r="M208" s="49" t="str">
        <v/>
      </c>
      <c r="N208" s="76" t="str">
        <v/>
      </c>
      <c r="O208" s="49" t="str">
        <v/>
      </c>
      <c r="P208" s="77" t="str">
        <v>XT7</v>
      </c>
      <c r="Q208" s="53" t="str">
        <v>ВВГнг(А)-LS (3х2,5) L=29-0,18%</v>
      </c>
      <c r="R208" s="54" t="str">
        <v>R.1.002Б.2</v>
      </c>
      <c r="S208" s="55" t="str">
        <v>Розеточная группа, пом. 002Б</v>
      </c>
      <c r="T208" s="56">
        <v>0.18</v>
      </c>
      <c r="U208" s="56">
        <v>0.83</v>
      </c>
      <c r="V208" s="42" t="str">
        <v>L3</v>
      </c>
      <c r="W208" s="57" t="str">
        <v>ok</v>
      </c>
      <c r="X208" s="58" t="str">
        <v/>
      </c>
      <c r="Y208" s="75" t="str">
        <v/>
      </c>
      <c r="Z208" s="59">
        <v>0.8204451193747313</v>
      </c>
      <c r="AA208" s="61">
        <v>16</v>
      </c>
      <c r="AB208" s="61">
        <v>25</v>
      </c>
      <c r="AC208" s="61" t="str">
        <v/>
      </c>
      <c r="AD208" s="62" t="str">
        <v>QFD7 → XT7</v>
      </c>
      <c r="AE208" s="62" t="str">
        <v/>
      </c>
      <c r="AF208" s="34">
        <v>7</v>
      </c>
      <c r="AG208" s="34" t="str">
        <v>QFD7</v>
      </c>
      <c r="AH208" s="34" t="str">
        <v/>
      </c>
      <c r="AI208" s="34" t="str">
        <v/>
      </c>
      <c r="AJ208" s="34" t="str">
        <v>QFD7</v>
      </c>
      <c r="AK208" s="34">
        <v>1</v>
      </c>
      <c r="AL208" s="34" t="str">
        <v>R</v>
      </c>
      <c r="AM208" s="34">
        <v>30</v>
      </c>
      <c r="AN208" s="34">
        <v>0</v>
      </c>
      <c r="AO208" s="34">
        <v>16</v>
      </c>
      <c r="AP208" s="34">
        <v>25</v>
      </c>
      <c r="AQ208" s="34">
        <v>16</v>
      </c>
      <c r="AR208" s="34">
        <v>1</v>
      </c>
      <c r="AS208" s="34">
        <v>1</v>
      </c>
      <c r="AT208" s="34" t="str">
        <v>2P</v>
      </c>
      <c r="AU208" s="34">
        <v>16</v>
      </c>
      <c r="AV208" s="34" t="str">
        <v/>
      </c>
      <c r="AW208" s="34" t="str">
        <v/>
      </c>
      <c r="AX208" s="34" t="str">
        <v/>
      </c>
      <c r="AY208" s="34">
        <v>1</v>
      </c>
      <c r="AZ208" s="34" t="str">
        <v/>
      </c>
      <c r="BA208" s="34">
        <v>0</v>
      </c>
      <c r="BB208" s="34">
        <v>16</v>
      </c>
      <c r="BD208" s="34">
        <v>1</v>
      </c>
      <c r="BE208" s="34">
        <v>0</v>
      </c>
      <c r="BF208" s="34">
        <v>1</v>
      </c>
      <c r="BG208" s="34" t="str">
        <v/>
      </c>
      <c r="BH208" s="34" t="str">
        <v/>
      </c>
      <c r="BI208" s="34" t="str">
        <v/>
      </c>
      <c r="BJ208" s="34" t="str">
        <v/>
      </c>
      <c r="BK208" s="34" t="str">
        <v>SOCKET</v>
      </c>
      <c r="BL208" s="34">
        <v>1</v>
      </c>
      <c r="BM208" s="34" t="str">
        <v/>
      </c>
      <c r="BN208" s="34" t="str">
        <v/>
      </c>
      <c r="BO208" s="34" t="str">
        <v/>
      </c>
      <c r="BP208" s="34" t="str">
        <v/>
      </c>
      <c r="BQ208" s="34" t="str">
        <v>3х2,5</v>
      </c>
      <c r="BR208" s="34" t="str">
        <v/>
      </c>
      <c r="BS208" s="34" t="str">
        <v/>
      </c>
      <c r="BT208" s="34" t="str">
        <v/>
      </c>
      <c r="BU208" s="34">
        <v>0</v>
      </c>
      <c r="BV208" s="34">
        <v>229</v>
      </c>
      <c r="BW208" s="34">
        <v>1</v>
      </c>
      <c r="BX208" s="34">
        <v>0</v>
      </c>
      <c r="BY208" s="34" t="str">
        <v>Розетка</v>
      </c>
      <c r="BZ208">
        <v>10</v>
      </c>
      <c r="CA208" t="str">
        <v>линии</v>
      </c>
    </row>
    <row r="209" spans="1:79" x14ac:dyDescent="0.3">
      <c r="A209" s="39" t="str">
        <v>ЩР-1</v>
      </c>
      <c r="B209" s="42">
        <v>16</v>
      </c>
      <c r="C209" s="42">
        <v>1</v>
      </c>
      <c r="D209" s="75" t="str">
        <v/>
      </c>
      <c r="E209" s="75" t="str">
        <v>авто</v>
      </c>
      <c r="F209" s="76">
        <v>30</v>
      </c>
      <c r="G209" s="47" t="str">
        <v>QFD8</v>
      </c>
      <c r="H209" s="47" t="str">
        <v>2P С16А 30мА</v>
      </c>
      <c r="I209" s="75" t="str">
        <v/>
      </c>
      <c r="J209" s="76" t="str">
        <v/>
      </c>
      <c r="K209" s="76" t="str">
        <v/>
      </c>
      <c r="L209" s="75" t="str">
        <v/>
      </c>
      <c r="M209" s="49" t="str">
        <v/>
      </c>
      <c r="N209" s="76" t="str">
        <v/>
      </c>
      <c r="O209" s="49" t="str">
        <v/>
      </c>
      <c r="P209" s="77" t="str">
        <v>XT8</v>
      </c>
      <c r="Q209" s="53" t="str">
        <v>ВВГнг(А)-LS (3х2,5) L=29-0,36%</v>
      </c>
      <c r="R209" s="54" t="str">
        <v>R.1.002Б.3</v>
      </c>
      <c r="S209" s="55" t="str">
        <v>Розеточная группа Первый этаж Пом. №002Б Ледогенератор</v>
      </c>
      <c r="T209" s="56">
        <v>0.36</v>
      </c>
      <c r="U209" s="56">
        <v>1.65</v>
      </c>
      <c r="V209" s="42" t="str">
        <v>L3</v>
      </c>
      <c r="W209" s="57" t="str">
        <v>ok</v>
      </c>
      <c r="X209" s="58" t="str">
        <v/>
      </c>
      <c r="Y209" s="75" t="str">
        <v/>
      </c>
      <c r="Z209" s="59">
        <v>1.6408902387494626</v>
      </c>
      <c r="AA209" s="61">
        <v>16</v>
      </c>
      <c r="AB209" s="61">
        <v>25</v>
      </c>
      <c r="AC209" s="61" t="str">
        <v/>
      </c>
      <c r="AD209" s="62" t="str">
        <v>QFD8 → XT8</v>
      </c>
      <c r="AE209" s="62" t="str">
        <v/>
      </c>
      <c r="AF209" s="34">
        <v>8</v>
      </c>
      <c r="AG209" s="34" t="str">
        <v>QFD8</v>
      </c>
      <c r="AH209" s="34" t="str">
        <v/>
      </c>
      <c r="AI209" s="34" t="str">
        <v/>
      </c>
      <c r="AJ209" s="34" t="str">
        <v>QFD8</v>
      </c>
      <c r="AK209" s="34">
        <v>1</v>
      </c>
      <c r="AL209" s="34" t="str">
        <v>R</v>
      </c>
      <c r="AM209" s="34">
        <v>30</v>
      </c>
      <c r="AN209" s="34">
        <v>0</v>
      </c>
      <c r="AO209" s="34">
        <v>16</v>
      </c>
      <c r="AP209" s="34">
        <v>25</v>
      </c>
      <c r="AQ209" s="34">
        <v>16</v>
      </c>
      <c r="AR209" s="34">
        <v>1</v>
      </c>
      <c r="AS209" s="34">
        <v>1</v>
      </c>
      <c r="AT209" s="34" t="str">
        <v>2P</v>
      </c>
      <c r="AU209" s="34">
        <v>16</v>
      </c>
      <c r="AV209" s="34" t="str">
        <v/>
      </c>
      <c r="AW209" s="34" t="str">
        <v/>
      </c>
      <c r="AX209" s="34" t="str">
        <v/>
      </c>
      <c r="AY209" s="34">
        <v>1</v>
      </c>
      <c r="AZ209" s="34" t="str">
        <v/>
      </c>
      <c r="BA209" s="34">
        <v>0</v>
      </c>
      <c r="BB209" s="34">
        <v>16</v>
      </c>
      <c r="BD209" s="34">
        <v>1</v>
      </c>
      <c r="BE209" s="34">
        <v>0</v>
      </c>
      <c r="BF209" s="34">
        <v>1</v>
      </c>
      <c r="BG209" s="34" t="str">
        <v/>
      </c>
      <c r="BH209" s="34" t="str">
        <v/>
      </c>
      <c r="BI209" s="34" t="str">
        <v/>
      </c>
      <c r="BJ209" s="34" t="str">
        <v/>
      </c>
      <c r="BK209" s="34" t="str">
        <v>SOCKET</v>
      </c>
      <c r="BL209" s="34">
        <v>1</v>
      </c>
      <c r="BM209" s="34" t="str">
        <v/>
      </c>
      <c r="BN209" s="34" t="str">
        <v/>
      </c>
      <c r="BO209" s="34" t="str">
        <v/>
      </c>
      <c r="BP209" s="34" t="str">
        <v/>
      </c>
      <c r="BQ209" s="34" t="str">
        <v>3х2,5</v>
      </c>
      <c r="BR209" s="34" t="str">
        <v/>
      </c>
      <c r="BS209" s="34" t="str">
        <v/>
      </c>
      <c r="BT209" s="34" t="str">
        <v/>
      </c>
      <c r="BU209" s="34">
        <v>0</v>
      </c>
      <c r="BV209" s="34">
        <v>230</v>
      </c>
      <c r="BW209" s="34">
        <v>1</v>
      </c>
      <c r="BX209" s="34">
        <v>0</v>
      </c>
      <c r="BY209" s="34" t="str">
        <v>Розетка</v>
      </c>
      <c r="BZ209">
        <v>10</v>
      </c>
      <c r="CA209" t="str">
        <v>линии</v>
      </c>
    </row>
    <row r="210" spans="1:79" x14ac:dyDescent="0.3">
      <c r="A210" s="39" t="str">
        <v>ЩР-1</v>
      </c>
      <c r="B210" s="42">
        <v>19</v>
      </c>
      <c r="C210" s="42">
        <v>2</v>
      </c>
      <c r="D210" s="75" t="str">
        <v/>
      </c>
      <c r="E210" s="75" t="str">
        <v>авто</v>
      </c>
      <c r="F210" s="76">
        <v>30</v>
      </c>
      <c r="G210" s="47" t="str">
        <v>QFD9</v>
      </c>
      <c r="H210" s="47" t="str">
        <v>2P С16А 30мА</v>
      </c>
      <c r="I210" s="75" t="str">
        <v/>
      </c>
      <c r="J210" s="76" t="str">
        <v/>
      </c>
      <c r="K210" s="76" t="str">
        <v/>
      </c>
      <c r="L210" s="75" t="str">
        <v/>
      </c>
      <c r="M210" s="49" t="str">
        <v/>
      </c>
      <c r="N210" s="76" t="str">
        <v/>
      </c>
      <c r="O210" s="49" t="str">
        <v/>
      </c>
      <c r="P210" s="77" t="str">
        <v/>
      </c>
      <c r="Q210" s="53" t="str">
        <v>ВВГнг(А)-LS (3х2,5) L=17-0,11%</v>
      </c>
      <c r="R210" s="54" t="str">
        <v>R.1.002Б.4</v>
      </c>
      <c r="S210" s="55" t="str">
        <v>Розеточная группа Первый этаж Пом. №002Б Фартук</v>
      </c>
      <c r="T210" s="56">
        <v>0.18</v>
      </c>
      <c r="U210" s="56">
        <v>0.83</v>
      </c>
      <c r="V210" s="42" t="str">
        <v>L2</v>
      </c>
      <c r="W210" s="57" t="str">
        <v>ok</v>
      </c>
      <c r="X210" s="58" t="str">
        <v/>
      </c>
      <c r="Y210" s="75" t="str">
        <v/>
      </c>
      <c r="Z210" s="59">
        <v>0.8204451193747313</v>
      </c>
      <c r="AA210" s="61">
        <v>16</v>
      </c>
      <c r="AB210" s="61">
        <v>25</v>
      </c>
      <c r="AC210" s="61" t="str">
        <v/>
      </c>
      <c r="AD210" s="62" t="str">
        <v>QFD9</v>
      </c>
      <c r="AE210" s="62" t="str">
        <v/>
      </c>
      <c r="AF210" s="34">
        <v>9</v>
      </c>
      <c r="AG210" s="34" t="str">
        <v>QFD9</v>
      </c>
      <c r="AH210" s="34" t="str">
        <v/>
      </c>
      <c r="AI210" s="34" t="str">
        <v/>
      </c>
      <c r="AJ210" s="34" t="str">
        <v>QFD9</v>
      </c>
      <c r="AK210" s="34">
        <v>1</v>
      </c>
      <c r="AL210" s="34" t="str">
        <v>R</v>
      </c>
      <c r="AM210" s="34">
        <v>30</v>
      </c>
      <c r="AN210" s="34">
        <v>0</v>
      </c>
      <c r="AO210" s="34">
        <v>16</v>
      </c>
      <c r="AP210" s="34">
        <v>25</v>
      </c>
      <c r="AQ210" s="34">
        <v>16</v>
      </c>
      <c r="AR210" s="34">
        <v>1</v>
      </c>
      <c r="AS210" s="34">
        <v>1</v>
      </c>
      <c r="AT210" s="34" t="str">
        <v>2P</v>
      </c>
      <c r="AU210" s="34">
        <v>16</v>
      </c>
      <c r="AV210" s="34" t="str">
        <v/>
      </c>
      <c r="AW210" s="34" t="str">
        <v/>
      </c>
      <c r="AX210" s="34" t="str">
        <v/>
      </c>
      <c r="AY210" s="34">
        <v>1</v>
      </c>
      <c r="AZ210" s="34" t="str">
        <v/>
      </c>
      <c r="BA210" s="34">
        <v>0</v>
      </c>
      <c r="BB210" s="34">
        <v>16</v>
      </c>
      <c r="BD210" s="34">
        <v>1</v>
      </c>
      <c r="BE210" s="34">
        <v>0</v>
      </c>
      <c r="BF210" s="34">
        <v>1</v>
      </c>
      <c r="BG210" s="34" t="str">
        <v/>
      </c>
      <c r="BH210" s="34" t="str">
        <v/>
      </c>
      <c r="BI210" s="34" t="str">
        <v/>
      </c>
      <c r="BJ210" s="34" t="str">
        <v/>
      </c>
      <c r="BK210" s="34" t="str">
        <v>SOCKET</v>
      </c>
      <c r="BL210" s="34">
        <v>1</v>
      </c>
      <c r="BM210" s="34" t="str">
        <v/>
      </c>
      <c r="BN210" s="34" t="str">
        <v/>
      </c>
      <c r="BO210" s="34" t="str">
        <v/>
      </c>
      <c r="BP210" s="34" t="str">
        <v/>
      </c>
      <c r="BQ210" s="34" t="str">
        <v>3х2,5</v>
      </c>
      <c r="BR210" s="34" t="str">
        <v/>
      </c>
      <c r="BS210" s="34" t="str">
        <v/>
      </c>
      <c r="BT210" s="34" t="str">
        <v/>
      </c>
      <c r="BU210" s="34">
        <v>0</v>
      </c>
      <c r="BV210" s="34">
        <v>231</v>
      </c>
      <c r="BW210" s="34">
        <v>1</v>
      </c>
      <c r="BX210" s="34">
        <v>0</v>
      </c>
      <c r="BY210" s="34" t="str">
        <v>Розетка</v>
      </c>
      <c r="BZ210">
        <v>10</v>
      </c>
      <c r="CA210" t="str">
        <v>линии</v>
      </c>
    </row>
    <row r="211" spans="1:79" x14ac:dyDescent="0.3">
      <c r="A211" s="39" t="str">
        <v>ЩР-1</v>
      </c>
      <c r="B211" s="42">
        <v>20</v>
      </c>
      <c r="C211" s="42">
        <v>2</v>
      </c>
      <c r="D211" s="75" t="str">
        <v/>
      </c>
      <c r="E211" s="75" t="str">
        <v>авто</v>
      </c>
      <c r="F211" s="76">
        <v>30</v>
      </c>
      <c r="G211" s="47" t="str">
        <v>QFD10</v>
      </c>
      <c r="H211" s="47" t="str">
        <v>2P С20А 30мА</v>
      </c>
      <c r="I211" s="75" t="str">
        <v/>
      </c>
      <c r="J211" s="76" t="str">
        <v/>
      </c>
      <c r="K211" s="76" t="str">
        <v/>
      </c>
      <c r="L211" s="75" t="str">
        <v/>
      </c>
      <c r="M211" s="49" t="str">
        <v/>
      </c>
      <c r="N211" s="76" t="str">
        <v/>
      </c>
      <c r="O211" s="49" t="str">
        <v/>
      </c>
      <c r="P211" s="77" t="str">
        <v>XT10</v>
      </c>
      <c r="Q211" s="53" t="str">
        <v>ВВГнг(А)-LS (3х4) L=22-1,78%</v>
      </c>
      <c r="R211" s="54" t="str">
        <v>R.1.002Б.5</v>
      </c>
      <c r="S211" s="55" t="str">
        <v>Розеточная группа Первый этаж Пом. №002Б ПММ</v>
      </c>
      <c r="T211" s="56">
        <v>3.8</v>
      </c>
      <c r="U211" s="56">
        <v>17.330000000000002</v>
      </c>
      <c r="V211" s="42" t="str">
        <v>L1</v>
      </c>
      <c r="W211" s="57" t="str">
        <v>ok</v>
      </c>
      <c r="X211" s="58" t="str">
        <v/>
      </c>
      <c r="Y211" s="75" t="str">
        <v/>
      </c>
      <c r="Z211" s="59">
        <v>17.320508075688771</v>
      </c>
      <c r="AA211" s="61">
        <v>20</v>
      </c>
      <c r="AB211" s="61">
        <v>32</v>
      </c>
      <c r="AC211" s="61" t="str">
        <v/>
      </c>
      <c r="AD211" s="62" t="str">
        <v>QFD10 → XT10</v>
      </c>
      <c r="AE211" s="62" t="str">
        <v/>
      </c>
      <c r="AF211" s="34">
        <v>10</v>
      </c>
      <c r="AG211" s="34" t="str">
        <v>QFD10</v>
      </c>
      <c r="AH211" s="34" t="str">
        <v/>
      </c>
      <c r="AI211" s="34" t="str">
        <v/>
      </c>
      <c r="AJ211" s="34" t="str">
        <v>QFD10</v>
      </c>
      <c r="AK211" s="34">
        <v>1</v>
      </c>
      <c r="AL211" s="34" t="str">
        <v>R</v>
      </c>
      <c r="AM211" s="34">
        <v>30</v>
      </c>
      <c r="AN211" s="34">
        <v>0</v>
      </c>
      <c r="AO211" s="34">
        <v>20</v>
      </c>
      <c r="AP211" s="34">
        <v>32</v>
      </c>
      <c r="AQ211" s="34">
        <v>20</v>
      </c>
      <c r="AR211" s="34">
        <v>1</v>
      </c>
      <c r="AS211" s="34">
        <v>1</v>
      </c>
      <c r="AT211" s="34" t="str">
        <v>2P</v>
      </c>
      <c r="AU211" s="34">
        <v>20</v>
      </c>
      <c r="AV211" s="34" t="str">
        <v/>
      </c>
      <c r="AW211" s="34" t="str">
        <v/>
      </c>
      <c r="AX211" s="34" t="str">
        <v/>
      </c>
      <c r="AY211" s="34">
        <v>1</v>
      </c>
      <c r="AZ211" s="34" t="str">
        <v/>
      </c>
      <c r="BA211" s="34">
        <v>0</v>
      </c>
      <c r="BB211" s="34">
        <v>16</v>
      </c>
      <c r="BD211" s="34">
        <v>1</v>
      </c>
      <c r="BE211" s="34">
        <v>0</v>
      </c>
      <c r="BF211" s="34">
        <v>1</v>
      </c>
      <c r="BG211" s="34" t="str">
        <v/>
      </c>
      <c r="BH211" s="34" t="str">
        <v/>
      </c>
      <c r="BI211" s="34" t="str">
        <v/>
      </c>
      <c r="BJ211" s="34" t="str">
        <v/>
      </c>
      <c r="BK211" s="34" t="str">
        <v>SOCKET</v>
      </c>
      <c r="BL211" s="34">
        <v>1</v>
      </c>
      <c r="BM211" s="34">
        <v>18</v>
      </c>
      <c r="BN211" s="34" t="str">
        <v/>
      </c>
      <c r="BO211" s="34" t="str">
        <v/>
      </c>
      <c r="BP211" s="34" t="str">
        <v/>
      </c>
      <c r="BQ211" s="34" t="str">
        <v>3х4</v>
      </c>
      <c r="BR211" s="34" t="str">
        <v/>
      </c>
      <c r="BS211" s="34" t="str">
        <v/>
      </c>
      <c r="BT211" s="34" t="str">
        <v/>
      </c>
      <c r="BU211" s="34">
        <v>0</v>
      </c>
      <c r="BV211" s="34">
        <v>232</v>
      </c>
      <c r="BW211" s="34">
        <v>1</v>
      </c>
      <c r="BX211" s="34">
        <v>0</v>
      </c>
      <c r="BY211" s="34" t="str">
        <v>Розетка</v>
      </c>
      <c r="BZ211">
        <v>10</v>
      </c>
      <c r="CA211" t="str">
        <v>линии</v>
      </c>
    </row>
    <row r="212" spans="1:79" x14ac:dyDescent="0.3">
      <c r="A212" s="39" t="str">
        <v>ЩР-1</v>
      </c>
      <c r="B212" s="42">
        <v>21</v>
      </c>
      <c r="C212" s="42">
        <v>2</v>
      </c>
      <c r="D212" s="75" t="str">
        <v/>
      </c>
      <c r="E212" s="75" t="str">
        <v>авто</v>
      </c>
      <c r="F212" s="76">
        <v>30</v>
      </c>
      <c r="G212" s="47" t="str">
        <v>QFD11</v>
      </c>
      <c r="H212" s="47" t="str">
        <v>2P С20А 30мА</v>
      </c>
      <c r="I212" s="75" t="str">
        <v/>
      </c>
      <c r="J212" s="76" t="str">
        <v/>
      </c>
      <c r="K212" s="76" t="str">
        <v/>
      </c>
      <c r="L212" s="75" t="str">
        <v/>
      </c>
      <c r="M212" s="49" t="str">
        <v/>
      </c>
      <c r="N212" s="76" t="str">
        <v/>
      </c>
      <c r="O212" s="49" t="str">
        <v/>
      </c>
      <c r="P212" s="77" t="str">
        <v/>
      </c>
      <c r="Q212" s="53" t="str">
        <v>ВВГнг(А)-LS (3х4) L=22-1,68%</v>
      </c>
      <c r="R212" s="54" t="str">
        <v>R.1.002Б.6</v>
      </c>
      <c r="S212" s="55" t="str">
        <v>Розеточная группа Первый этаж Пом. №002Б Стаканомоечная машина</v>
      </c>
      <c r="T212" s="56">
        <v>3.6</v>
      </c>
      <c r="U212" s="56">
        <v>16.41</v>
      </c>
      <c r="V212" s="42" t="str">
        <v>L3</v>
      </c>
      <c r="W212" s="57" t="str">
        <v>ok</v>
      </c>
      <c r="X212" s="58" t="str">
        <v/>
      </c>
      <c r="Y212" s="75" t="str">
        <v/>
      </c>
      <c r="Z212" s="59">
        <v>16.408902387494628</v>
      </c>
      <c r="AA212" s="61">
        <v>20</v>
      </c>
      <c r="AB212" s="61">
        <v>32</v>
      </c>
      <c r="AC212" s="61" t="str">
        <v/>
      </c>
      <c r="AD212" s="62" t="str">
        <v>QFD11</v>
      </c>
      <c r="AE212" s="62" t="str">
        <v/>
      </c>
      <c r="AF212" s="34">
        <v>11</v>
      </c>
      <c r="AG212" s="34" t="str">
        <v>QFD11</v>
      </c>
      <c r="AH212" s="34" t="str">
        <v/>
      </c>
      <c r="AI212" s="34" t="str">
        <v/>
      </c>
      <c r="AJ212" s="34" t="str">
        <v>QFD11</v>
      </c>
      <c r="AK212" s="34">
        <v>1</v>
      </c>
      <c r="AL212" s="34" t="str">
        <v>R</v>
      </c>
      <c r="AM212" s="34">
        <v>30</v>
      </c>
      <c r="AN212" s="34">
        <v>0</v>
      </c>
      <c r="AO212" s="34">
        <v>20</v>
      </c>
      <c r="AP212" s="34">
        <v>32</v>
      </c>
      <c r="AQ212" s="34">
        <v>20</v>
      </c>
      <c r="AR212" s="34">
        <v>1</v>
      </c>
      <c r="AS212" s="34">
        <v>1</v>
      </c>
      <c r="AT212" s="34" t="str">
        <v>2P</v>
      </c>
      <c r="AU212" s="34">
        <v>20</v>
      </c>
      <c r="AV212" s="34" t="str">
        <v/>
      </c>
      <c r="AW212" s="34" t="str">
        <v/>
      </c>
      <c r="AX212" s="34" t="str">
        <v/>
      </c>
      <c r="AY212" s="34">
        <v>1</v>
      </c>
      <c r="AZ212" s="34" t="str">
        <v/>
      </c>
      <c r="BA212" s="34">
        <v>0</v>
      </c>
      <c r="BB212" s="34">
        <v>16</v>
      </c>
      <c r="BD212" s="34">
        <v>1</v>
      </c>
      <c r="BE212" s="34">
        <v>0</v>
      </c>
      <c r="BF212" s="34">
        <v>1</v>
      </c>
      <c r="BG212" s="34" t="str">
        <v/>
      </c>
      <c r="BH212" s="34" t="str">
        <v/>
      </c>
      <c r="BI212" s="34" t="str">
        <v/>
      </c>
      <c r="BJ212" s="34" t="str">
        <v/>
      </c>
      <c r="BK212" s="34" t="str">
        <v>SOCKET</v>
      </c>
      <c r="BL212" s="34">
        <v>1</v>
      </c>
      <c r="BM212" s="34" t="str">
        <v/>
      </c>
      <c r="BN212" s="34" t="str">
        <v/>
      </c>
      <c r="BO212" s="34" t="str">
        <v/>
      </c>
      <c r="BP212" s="34" t="str">
        <v/>
      </c>
      <c r="BQ212" s="34" t="str">
        <v>3х4</v>
      </c>
      <c r="BR212" s="34" t="str">
        <v/>
      </c>
      <c r="BS212" s="34" t="str">
        <v/>
      </c>
      <c r="BT212" s="34" t="str">
        <v/>
      </c>
      <c r="BU212" s="34">
        <v>0</v>
      </c>
      <c r="BV212" s="34">
        <v>233</v>
      </c>
      <c r="BW212" s="34">
        <v>1</v>
      </c>
      <c r="BX212" s="34">
        <v>0</v>
      </c>
      <c r="BY212" s="34" t="str">
        <v>Розетка</v>
      </c>
      <c r="BZ212">
        <v>10</v>
      </c>
      <c r="CA212" t="str">
        <v>линии</v>
      </c>
    </row>
    <row r="213" spans="1:79" x14ac:dyDescent="0.3">
      <c r="A213" s="39" t="str">
        <v>ЩР-1</v>
      </c>
      <c r="B213" s="42">
        <v>22</v>
      </c>
      <c r="C213" s="42">
        <v>2</v>
      </c>
      <c r="D213" s="75" t="str">
        <v/>
      </c>
      <c r="E213" s="75" t="str">
        <v>авто</v>
      </c>
      <c r="F213" s="76">
        <v>30</v>
      </c>
      <c r="G213" s="47" t="str">
        <v>QFD12</v>
      </c>
      <c r="H213" s="47" t="str">
        <v>2P С16А 30мА</v>
      </c>
      <c r="I213" s="75" t="str">
        <v/>
      </c>
      <c r="J213" s="76" t="str">
        <v/>
      </c>
      <c r="K213" s="76" t="str">
        <v/>
      </c>
      <c r="L213" s="75" t="str">
        <v/>
      </c>
      <c r="M213" s="49" t="str">
        <v/>
      </c>
      <c r="N213" s="76" t="str">
        <v/>
      </c>
      <c r="O213" s="49" t="str">
        <v/>
      </c>
      <c r="P213" s="77" t="str">
        <v/>
      </c>
      <c r="Q213" s="53" t="str">
        <v>ВВГнг(А)-LS (3х2,5) L=22-0,05%</v>
      </c>
      <c r="R213" s="54" t="str">
        <v>R.1.002Б.7</v>
      </c>
      <c r="S213" s="55" t="str">
        <v>Розеточная группа, пом. 002Б</v>
      </c>
      <c r="T213" s="56">
        <v>0.06</v>
      </c>
      <c r="U213" s="56">
        <v>0.28000000000000003</v>
      </c>
      <c r="V213" s="42" t="str">
        <v>L3</v>
      </c>
      <c r="W213" s="57" t="str">
        <v>ok</v>
      </c>
      <c r="X213" s="58" t="str">
        <v/>
      </c>
      <c r="Y213" s="75" t="str">
        <v/>
      </c>
      <c r="Z213" s="59">
        <v>0.27348170645824377</v>
      </c>
      <c r="AA213" s="61">
        <v>16</v>
      </c>
      <c r="AB213" s="61">
        <v>25</v>
      </c>
      <c r="AC213" s="61" t="str">
        <v/>
      </c>
      <c r="AD213" s="62" t="str">
        <v>QFD12</v>
      </c>
      <c r="AE213" s="62" t="str">
        <v/>
      </c>
      <c r="AF213" s="34">
        <v>12</v>
      </c>
      <c r="AG213" s="34" t="str">
        <v>QFD12</v>
      </c>
      <c r="AH213" s="34" t="str">
        <v/>
      </c>
      <c r="AI213" s="34" t="str">
        <v/>
      </c>
      <c r="AJ213" s="34" t="str">
        <v>QFD12</v>
      </c>
      <c r="AK213" s="34">
        <v>1</v>
      </c>
      <c r="AL213" s="34" t="str">
        <v>R</v>
      </c>
      <c r="AM213" s="34">
        <v>30</v>
      </c>
      <c r="AN213" s="34">
        <v>0</v>
      </c>
      <c r="AO213" s="34">
        <v>16</v>
      </c>
      <c r="AP213" s="34">
        <v>25</v>
      </c>
      <c r="AQ213" s="34">
        <v>16</v>
      </c>
      <c r="AR213" s="34">
        <v>1</v>
      </c>
      <c r="AS213" s="34">
        <v>1</v>
      </c>
      <c r="AT213" s="34" t="str">
        <v>2P</v>
      </c>
      <c r="AU213" s="34">
        <v>16</v>
      </c>
      <c r="AV213" s="34" t="str">
        <v/>
      </c>
      <c r="AW213" s="34" t="str">
        <v/>
      </c>
      <c r="AX213" s="34" t="str">
        <v/>
      </c>
      <c r="AY213" s="34">
        <v>1</v>
      </c>
      <c r="AZ213" s="34" t="str">
        <v/>
      </c>
      <c r="BA213" s="34">
        <v>0</v>
      </c>
      <c r="BB213" s="34">
        <v>16</v>
      </c>
      <c r="BD213" s="34">
        <v>1</v>
      </c>
      <c r="BE213" s="34">
        <v>0</v>
      </c>
      <c r="BF213" s="34">
        <v>1</v>
      </c>
      <c r="BG213" s="34" t="str">
        <v/>
      </c>
      <c r="BH213" s="34" t="str">
        <v/>
      </c>
      <c r="BI213" s="34" t="str">
        <v/>
      </c>
      <c r="BJ213" s="34" t="str">
        <v/>
      </c>
      <c r="BK213" s="34" t="str">
        <v>SOCKET</v>
      </c>
      <c r="BL213" s="34">
        <v>1</v>
      </c>
      <c r="BM213" s="34" t="str">
        <v/>
      </c>
      <c r="BN213" s="34" t="str">
        <v/>
      </c>
      <c r="BO213" s="34" t="str">
        <v/>
      </c>
      <c r="BP213" s="34" t="str">
        <v/>
      </c>
      <c r="BQ213" s="34" t="str">
        <v>3х2,5</v>
      </c>
      <c r="BR213" s="34" t="str">
        <v/>
      </c>
      <c r="BS213" s="34" t="str">
        <v/>
      </c>
      <c r="BT213" s="34" t="str">
        <v/>
      </c>
      <c r="BU213" s="34">
        <v>0</v>
      </c>
      <c r="BV213" s="34">
        <v>234</v>
      </c>
      <c r="BW213" s="34">
        <v>1</v>
      </c>
      <c r="BX213" s="34">
        <v>0</v>
      </c>
      <c r="BY213" s="34" t="str">
        <v>Розетка</v>
      </c>
      <c r="BZ213">
        <v>10</v>
      </c>
      <c r="CA213" t="str">
        <v>линии</v>
      </c>
    </row>
    <row r="214" spans="1:79" x14ac:dyDescent="0.3">
      <c r="A214" s="39" t="str">
        <v>ЩР-1</v>
      </c>
      <c r="B214" s="42">
        <v>23</v>
      </c>
      <c r="C214" s="42">
        <v>2</v>
      </c>
      <c r="D214" s="75" t="str">
        <v/>
      </c>
      <c r="E214" s="75" t="str">
        <v>авто</v>
      </c>
      <c r="F214" s="76">
        <v>30</v>
      </c>
      <c r="G214" s="47" t="str">
        <v>QFD13</v>
      </c>
      <c r="H214" s="47" t="str">
        <v>2P С16А 30мА</v>
      </c>
      <c r="I214" s="75" t="str">
        <v/>
      </c>
      <c r="J214" s="76" t="str">
        <v/>
      </c>
      <c r="K214" s="76" t="str">
        <v/>
      </c>
      <c r="L214" s="75" t="str">
        <v/>
      </c>
      <c r="M214" s="49" t="str">
        <v/>
      </c>
      <c r="N214" s="76" t="str">
        <v/>
      </c>
      <c r="O214" s="49" t="str">
        <v/>
      </c>
      <c r="P214" s="77" t="str">
        <v/>
      </c>
      <c r="Q214" s="53" t="str">
        <v>ВВГнг(А)-LS (3х2,5) L=27-0,22%</v>
      </c>
      <c r="R214" s="54" t="str">
        <v>R.1.002Б.8</v>
      </c>
      <c r="S214" s="55" t="str">
        <v>Розеточная группа, пом. 002Б</v>
      </c>
      <c r="T214" s="56">
        <v>0.24</v>
      </c>
      <c r="U214" s="56">
        <v>1.1000000000000001</v>
      </c>
      <c r="V214" s="42" t="str">
        <v>L1</v>
      </c>
      <c r="W214" s="57" t="str">
        <v>ok</v>
      </c>
      <c r="X214" s="58" t="str">
        <v/>
      </c>
      <c r="Y214" s="75" t="str">
        <v/>
      </c>
      <c r="Z214" s="59">
        <v>1.0939268258329751</v>
      </c>
      <c r="AA214" s="61">
        <v>16</v>
      </c>
      <c r="AB214" s="61">
        <v>25</v>
      </c>
      <c r="AC214" s="61" t="str">
        <v/>
      </c>
      <c r="AD214" s="62" t="str">
        <v>QFD13</v>
      </c>
      <c r="AE214" s="62" t="str">
        <v/>
      </c>
      <c r="AF214" s="34">
        <v>13</v>
      </c>
      <c r="AG214" s="34" t="str">
        <v>QFD13</v>
      </c>
      <c r="AH214" s="34" t="str">
        <v/>
      </c>
      <c r="AI214" s="34" t="str">
        <v/>
      </c>
      <c r="AJ214" s="34" t="str">
        <v>QFD13</v>
      </c>
      <c r="AK214" s="34">
        <v>1</v>
      </c>
      <c r="AL214" s="34" t="str">
        <v>R</v>
      </c>
      <c r="AM214" s="34">
        <v>30</v>
      </c>
      <c r="AN214" s="34">
        <v>0</v>
      </c>
      <c r="AO214" s="34">
        <v>16</v>
      </c>
      <c r="AP214" s="34">
        <v>25</v>
      </c>
      <c r="AQ214" s="34">
        <v>16</v>
      </c>
      <c r="AR214" s="34">
        <v>1</v>
      </c>
      <c r="AS214" s="34">
        <v>1</v>
      </c>
      <c r="AT214" s="34" t="str">
        <v>2P</v>
      </c>
      <c r="AU214" s="34">
        <v>16</v>
      </c>
      <c r="AV214" s="34" t="str">
        <v/>
      </c>
      <c r="AW214" s="34" t="str">
        <v/>
      </c>
      <c r="AX214" s="34" t="str">
        <v/>
      </c>
      <c r="AY214" s="34">
        <v>1</v>
      </c>
      <c r="AZ214" s="34" t="str">
        <v/>
      </c>
      <c r="BA214" s="34">
        <v>0</v>
      </c>
      <c r="BB214" s="34">
        <v>16</v>
      </c>
      <c r="BD214" s="34">
        <v>1</v>
      </c>
      <c r="BE214" s="34">
        <v>0</v>
      </c>
      <c r="BF214" s="34">
        <v>1</v>
      </c>
      <c r="BG214" s="34" t="str">
        <v/>
      </c>
      <c r="BH214" s="34" t="str">
        <v/>
      </c>
      <c r="BI214" s="34" t="str">
        <v/>
      </c>
      <c r="BJ214" s="34" t="str">
        <v/>
      </c>
      <c r="BK214" s="34" t="str">
        <v>SOCKET</v>
      </c>
      <c r="BL214" s="34">
        <v>1</v>
      </c>
      <c r="BM214" s="34" t="str">
        <v/>
      </c>
      <c r="BN214" s="34" t="str">
        <v/>
      </c>
      <c r="BO214" s="34" t="str">
        <v/>
      </c>
      <c r="BP214" s="34" t="str">
        <v/>
      </c>
      <c r="BQ214" s="34" t="str">
        <v>3х2,5</v>
      </c>
      <c r="BR214" s="34" t="str">
        <v/>
      </c>
      <c r="BS214" s="34" t="str">
        <v/>
      </c>
      <c r="BT214" s="34" t="str">
        <v/>
      </c>
      <c r="BU214" s="34">
        <v>0</v>
      </c>
      <c r="BV214" s="34">
        <v>235</v>
      </c>
      <c r="BW214" s="34">
        <v>1</v>
      </c>
      <c r="BX214" s="34">
        <v>0</v>
      </c>
      <c r="BY214" s="34" t="str">
        <v>Розетка</v>
      </c>
      <c r="BZ214">
        <v>10</v>
      </c>
      <c r="CA214" t="str">
        <v>линии</v>
      </c>
    </row>
    <row r="215" spans="1:79" x14ac:dyDescent="0.3">
      <c r="A215" s="39" t="str">
        <v>ЩР-1</v>
      </c>
      <c r="B215" s="42">
        <v>24</v>
      </c>
      <c r="C215" s="42">
        <v>2</v>
      </c>
      <c r="D215" s="75" t="str">
        <v/>
      </c>
      <c r="E215" s="75" t="str">
        <v>авто</v>
      </c>
      <c r="F215" s="76">
        <v>30</v>
      </c>
      <c r="G215" s="47" t="str">
        <v>QFD14</v>
      </c>
      <c r="H215" s="47" t="str">
        <v>2P С16А 30мА</v>
      </c>
      <c r="I215" s="75" t="str">
        <v/>
      </c>
      <c r="J215" s="76" t="str">
        <v/>
      </c>
      <c r="K215" s="76" t="str">
        <v/>
      </c>
      <c r="L215" s="75" t="str">
        <v/>
      </c>
      <c r="M215" s="49" t="str">
        <v/>
      </c>
      <c r="N215" s="76" t="str">
        <v/>
      </c>
      <c r="O215" s="49" t="str">
        <v/>
      </c>
      <c r="P215" s="77" t="str">
        <v/>
      </c>
      <c r="Q215" s="53" t="str">
        <v>ВВГнг(А)-LS (3х2,5) L=113-0,92%</v>
      </c>
      <c r="R215" s="54" t="str">
        <v>R.1.002Г.1</v>
      </c>
      <c r="S215" s="55" t="str">
        <v>Розеточная группа, пом. 002Г</v>
      </c>
      <c r="T215" s="56">
        <v>0.24</v>
      </c>
      <c r="U215" s="56">
        <v>1.1000000000000001</v>
      </c>
      <c r="V215" s="42" t="str">
        <v>L3</v>
      </c>
      <c r="W215" s="57" t="str">
        <v>ok</v>
      </c>
      <c r="X215" s="58" t="str">
        <v/>
      </c>
      <c r="Y215" s="75" t="str">
        <v/>
      </c>
      <c r="Z215" s="59">
        <v>1.0939268258329751</v>
      </c>
      <c r="AA215" s="61">
        <v>16</v>
      </c>
      <c r="AB215" s="61">
        <v>25</v>
      </c>
      <c r="AC215" s="61" t="str">
        <v/>
      </c>
      <c r="AD215" s="62" t="str">
        <v>QFD14</v>
      </c>
      <c r="AE215" s="62" t="str">
        <v/>
      </c>
      <c r="AF215" s="34">
        <v>14</v>
      </c>
      <c r="AG215" s="34" t="str">
        <v>QFD14</v>
      </c>
      <c r="AH215" s="34" t="str">
        <v/>
      </c>
      <c r="AI215" s="34" t="str">
        <v/>
      </c>
      <c r="AJ215" s="34" t="str">
        <v>QFD14</v>
      </c>
      <c r="AK215" s="34">
        <v>1</v>
      </c>
      <c r="AL215" s="34" t="str">
        <v>R</v>
      </c>
      <c r="AM215" s="34">
        <v>30</v>
      </c>
      <c r="AN215" s="34">
        <v>0</v>
      </c>
      <c r="AO215" s="34">
        <v>16</v>
      </c>
      <c r="AP215" s="34">
        <v>25</v>
      </c>
      <c r="AQ215" s="34">
        <v>16</v>
      </c>
      <c r="AR215" s="34">
        <v>1</v>
      </c>
      <c r="AS215" s="34">
        <v>1</v>
      </c>
      <c r="AT215" s="34" t="str">
        <v>2P</v>
      </c>
      <c r="AU215" s="34">
        <v>16</v>
      </c>
      <c r="AV215" s="34" t="str">
        <v/>
      </c>
      <c r="AW215" s="34" t="str">
        <v/>
      </c>
      <c r="AX215" s="34" t="str">
        <v/>
      </c>
      <c r="AY215" s="34">
        <v>1</v>
      </c>
      <c r="AZ215" s="34" t="str">
        <v/>
      </c>
      <c r="BA215" s="34">
        <v>0</v>
      </c>
      <c r="BB215" s="34">
        <v>16</v>
      </c>
      <c r="BD215" s="34">
        <v>1</v>
      </c>
      <c r="BE215" s="34">
        <v>0</v>
      </c>
      <c r="BF215" s="34">
        <v>1</v>
      </c>
      <c r="BG215" s="34" t="str">
        <v/>
      </c>
      <c r="BH215" s="34" t="str">
        <v/>
      </c>
      <c r="BI215" s="34" t="str">
        <v/>
      </c>
      <c r="BJ215" s="34" t="str">
        <v/>
      </c>
      <c r="BK215" s="34" t="str">
        <v>SOCKET</v>
      </c>
      <c r="BL215" s="34">
        <v>1</v>
      </c>
      <c r="BM215" s="34" t="str">
        <v/>
      </c>
      <c r="BN215" s="34" t="str">
        <v/>
      </c>
      <c r="BO215" s="34" t="str">
        <v/>
      </c>
      <c r="BP215" s="34" t="str">
        <v/>
      </c>
      <c r="BQ215" s="34" t="str">
        <v>3х2,5</v>
      </c>
      <c r="BR215" s="34" t="str">
        <v/>
      </c>
      <c r="BS215" s="34" t="str">
        <v/>
      </c>
      <c r="BT215" s="34" t="str">
        <v/>
      </c>
      <c r="BU215" s="34">
        <v>0</v>
      </c>
      <c r="BV215" s="34">
        <v>236</v>
      </c>
      <c r="BW215" s="34">
        <v>1</v>
      </c>
      <c r="BX215" s="34">
        <v>0</v>
      </c>
      <c r="BY215" s="34" t="str">
        <v>Розетка</v>
      </c>
      <c r="BZ215">
        <v>10</v>
      </c>
      <c r="CA215" t="str">
        <v>линии</v>
      </c>
    </row>
    <row r="216" spans="1:79" x14ac:dyDescent="0.3">
      <c r="A216" s="39" t="str">
        <v>ЩР-1</v>
      </c>
      <c r="B216" s="42">
        <v>25</v>
      </c>
      <c r="C216" s="42">
        <v>2</v>
      </c>
      <c r="D216" s="75" t="str">
        <v/>
      </c>
      <c r="E216" s="75" t="str">
        <v>авто</v>
      </c>
      <c r="F216" s="76">
        <v>30</v>
      </c>
      <c r="G216" s="47" t="str">
        <v>QFD15</v>
      </c>
      <c r="H216" s="47" t="str">
        <v>2P С16А 30мА</v>
      </c>
      <c r="I216" s="75" t="str">
        <v/>
      </c>
      <c r="J216" s="76" t="str">
        <v/>
      </c>
      <c r="K216" s="76" t="str">
        <v/>
      </c>
      <c r="L216" s="75" t="str">
        <v/>
      </c>
      <c r="M216" s="49" t="str">
        <v/>
      </c>
      <c r="N216" s="76" t="str">
        <v/>
      </c>
      <c r="O216" s="49" t="str">
        <v/>
      </c>
      <c r="P216" s="77" t="str">
        <v/>
      </c>
      <c r="Q216" s="53" t="str">
        <v>ВВГнг(А)-LS (3х2,5) L=60-0,74%</v>
      </c>
      <c r="R216" s="54" t="str">
        <v>R.1.003A.1</v>
      </c>
      <c r="S216" s="55" t="str">
        <v>Розеточная группа, пом. 003A</v>
      </c>
      <c r="T216" s="56">
        <v>0.36</v>
      </c>
      <c r="U216" s="56">
        <v>1.65</v>
      </c>
      <c r="V216" s="42" t="str">
        <v>L2</v>
      </c>
      <c r="W216" s="57" t="str">
        <v>ok</v>
      </c>
      <c r="X216" s="58" t="str">
        <v/>
      </c>
      <c r="Y216" s="75" t="str">
        <v/>
      </c>
      <c r="Z216" s="59">
        <v>1.6408902387494626</v>
      </c>
      <c r="AA216" s="61">
        <v>16</v>
      </c>
      <c r="AB216" s="61">
        <v>25</v>
      </c>
      <c r="AC216" s="61" t="str">
        <v/>
      </c>
      <c r="AD216" s="62" t="str">
        <v>QFD15</v>
      </c>
      <c r="AE216" s="62" t="str">
        <v/>
      </c>
      <c r="AF216" s="34">
        <v>15</v>
      </c>
      <c r="AG216" s="34" t="str">
        <v>QFD15</v>
      </c>
      <c r="AH216" s="34" t="str">
        <v/>
      </c>
      <c r="AI216" s="34" t="str">
        <v/>
      </c>
      <c r="AJ216" s="34" t="str">
        <v>QFD15</v>
      </c>
      <c r="AK216" s="34">
        <v>1</v>
      </c>
      <c r="AL216" s="34" t="str">
        <v>R</v>
      </c>
      <c r="AM216" s="34">
        <v>30</v>
      </c>
      <c r="AN216" s="34">
        <v>0</v>
      </c>
      <c r="AO216" s="34">
        <v>16</v>
      </c>
      <c r="AP216" s="34">
        <v>25</v>
      </c>
      <c r="AQ216" s="34">
        <v>16</v>
      </c>
      <c r="AR216" s="34">
        <v>1</v>
      </c>
      <c r="AS216" s="34">
        <v>1</v>
      </c>
      <c r="AT216" s="34" t="str">
        <v>2P</v>
      </c>
      <c r="AU216" s="34">
        <v>16</v>
      </c>
      <c r="AV216" s="34" t="str">
        <v/>
      </c>
      <c r="AW216" s="34" t="str">
        <v/>
      </c>
      <c r="AX216" s="34" t="str">
        <v/>
      </c>
      <c r="AY216" s="34">
        <v>1</v>
      </c>
      <c r="AZ216" s="34" t="str">
        <v/>
      </c>
      <c r="BA216" s="34">
        <v>0</v>
      </c>
      <c r="BB216" s="34">
        <v>16</v>
      </c>
      <c r="BD216" s="34">
        <v>1</v>
      </c>
      <c r="BE216" s="34">
        <v>0</v>
      </c>
      <c r="BF216" s="34">
        <v>1</v>
      </c>
      <c r="BG216" s="34" t="str">
        <v/>
      </c>
      <c r="BH216" s="34" t="str">
        <v/>
      </c>
      <c r="BI216" s="34" t="str">
        <v/>
      </c>
      <c r="BJ216" s="34" t="str">
        <v/>
      </c>
      <c r="BK216" s="34" t="str">
        <v>SOCKET</v>
      </c>
      <c r="BL216" s="34">
        <v>1</v>
      </c>
      <c r="BM216" s="34" t="str">
        <v/>
      </c>
      <c r="BN216" s="34" t="str">
        <v/>
      </c>
      <c r="BO216" s="34" t="str">
        <v/>
      </c>
      <c r="BP216" s="34" t="str">
        <v/>
      </c>
      <c r="BQ216" s="34" t="str">
        <v>3х2,5</v>
      </c>
      <c r="BR216" s="34" t="str">
        <v/>
      </c>
      <c r="BS216" s="34" t="str">
        <v/>
      </c>
      <c r="BT216" s="34" t="str">
        <v/>
      </c>
      <c r="BU216" s="34">
        <v>0</v>
      </c>
      <c r="BV216" s="34">
        <v>237</v>
      </c>
      <c r="BW216" s="34">
        <v>1</v>
      </c>
      <c r="BX216" s="34">
        <v>0</v>
      </c>
      <c r="BY216" s="34" t="str">
        <v>Розетка</v>
      </c>
      <c r="BZ216">
        <v>10</v>
      </c>
      <c r="CA216" t="str">
        <v>линии</v>
      </c>
    </row>
    <row r="217" spans="1:79" x14ac:dyDescent="0.3">
      <c r="A217" s="39" t="str">
        <v>ЩР-1</v>
      </c>
      <c r="B217" s="42">
        <v>26</v>
      </c>
      <c r="C217" s="42">
        <v>2</v>
      </c>
      <c r="D217" s="75" t="str">
        <v/>
      </c>
      <c r="E217" s="75" t="str">
        <v>авто</v>
      </c>
      <c r="F217" s="76">
        <v>30</v>
      </c>
      <c r="G217" s="47" t="str">
        <v>QFD16</v>
      </c>
      <c r="H217" s="47" t="str">
        <v>2P С16А 30мА</v>
      </c>
      <c r="I217" s="75" t="str">
        <v/>
      </c>
      <c r="J217" s="76" t="str">
        <v/>
      </c>
      <c r="K217" s="76" t="str">
        <v/>
      </c>
      <c r="L217" s="75" t="str">
        <v/>
      </c>
      <c r="M217" s="49" t="str">
        <v/>
      </c>
      <c r="N217" s="76" t="str">
        <v/>
      </c>
      <c r="O217" s="49" t="str">
        <v/>
      </c>
      <c r="P217" s="77" t="str">
        <v/>
      </c>
      <c r="Q217" s="53" t="str">
        <v>ВВГнг(А)-LS (3х2,5) L=75-0,77%</v>
      </c>
      <c r="R217" s="54" t="str">
        <v>R.1.003A.2</v>
      </c>
      <c r="S217" s="55" t="str">
        <v>Розеточная группа, пом. 003A</v>
      </c>
      <c r="T217" s="56">
        <v>0.3</v>
      </c>
      <c r="U217" s="56">
        <v>1.37</v>
      </c>
      <c r="V217" s="42" t="str">
        <v>L3</v>
      </c>
      <c r="W217" s="57" t="str">
        <v>ok</v>
      </c>
      <c r="X217" s="58" t="str">
        <v/>
      </c>
      <c r="Y217" s="75" t="str">
        <v/>
      </c>
      <c r="Z217" s="59">
        <v>1.3674085322912188</v>
      </c>
      <c r="AA217" s="61">
        <v>16</v>
      </c>
      <c r="AB217" s="61">
        <v>25</v>
      </c>
      <c r="AC217" s="61" t="str">
        <v/>
      </c>
      <c r="AD217" s="62" t="str">
        <v>QFD16</v>
      </c>
      <c r="AE217" s="62" t="str">
        <v/>
      </c>
      <c r="AF217" s="34">
        <v>16</v>
      </c>
      <c r="AG217" s="34" t="str">
        <v>QFD16</v>
      </c>
      <c r="AH217" s="34" t="str">
        <v/>
      </c>
      <c r="AI217" s="34" t="str">
        <v/>
      </c>
      <c r="AJ217" s="34" t="str">
        <v>QFD16</v>
      </c>
      <c r="AK217" s="34">
        <v>1</v>
      </c>
      <c r="AL217" s="34" t="str">
        <v>R</v>
      </c>
      <c r="AM217" s="34">
        <v>30</v>
      </c>
      <c r="AN217" s="34">
        <v>0</v>
      </c>
      <c r="AO217" s="34">
        <v>16</v>
      </c>
      <c r="AP217" s="34">
        <v>25</v>
      </c>
      <c r="AQ217" s="34">
        <v>16</v>
      </c>
      <c r="AR217" s="34">
        <v>1</v>
      </c>
      <c r="AS217" s="34">
        <v>1</v>
      </c>
      <c r="AT217" s="34" t="str">
        <v>2P</v>
      </c>
      <c r="AU217" s="34">
        <v>16</v>
      </c>
      <c r="AV217" s="34" t="str">
        <v/>
      </c>
      <c r="AW217" s="34" t="str">
        <v/>
      </c>
      <c r="AX217" s="34" t="str">
        <v/>
      </c>
      <c r="AY217" s="34">
        <v>1</v>
      </c>
      <c r="AZ217" s="34" t="str">
        <v/>
      </c>
      <c r="BA217" s="34">
        <v>0</v>
      </c>
      <c r="BB217" s="34">
        <v>16</v>
      </c>
      <c r="BD217" s="34">
        <v>1</v>
      </c>
      <c r="BE217" s="34">
        <v>0</v>
      </c>
      <c r="BF217" s="34">
        <v>1</v>
      </c>
      <c r="BG217" s="34" t="str">
        <v/>
      </c>
      <c r="BH217" s="34" t="str">
        <v/>
      </c>
      <c r="BI217" s="34" t="str">
        <v/>
      </c>
      <c r="BJ217" s="34" t="str">
        <v/>
      </c>
      <c r="BK217" s="34" t="str">
        <v>SOCKET</v>
      </c>
      <c r="BL217" s="34">
        <v>1</v>
      </c>
      <c r="BM217" s="34" t="str">
        <v/>
      </c>
      <c r="BN217" s="34" t="str">
        <v/>
      </c>
      <c r="BO217" s="34" t="str">
        <v/>
      </c>
      <c r="BP217" s="34" t="str">
        <v/>
      </c>
      <c r="BQ217" s="34" t="str">
        <v>3х2,5</v>
      </c>
      <c r="BR217" s="34" t="str">
        <v/>
      </c>
      <c r="BS217" s="34" t="str">
        <v/>
      </c>
      <c r="BT217" s="34" t="str">
        <v/>
      </c>
      <c r="BU217" s="34">
        <v>0</v>
      </c>
      <c r="BV217" s="34">
        <v>238</v>
      </c>
      <c r="BW217" s="34">
        <v>1</v>
      </c>
      <c r="BX217" s="34">
        <v>0</v>
      </c>
      <c r="BY217" s="34" t="str">
        <v>Розетка</v>
      </c>
      <c r="BZ217">
        <v>10</v>
      </c>
      <c r="CA217" t="str">
        <v>линии</v>
      </c>
    </row>
    <row r="218" spans="1:79" x14ac:dyDescent="0.3">
      <c r="A218" s="39" t="str">
        <v>ЩР-1</v>
      </c>
      <c r="B218" s="42">
        <v>27</v>
      </c>
      <c r="C218" s="42">
        <v>2</v>
      </c>
      <c r="D218" s="75" t="str">
        <v/>
      </c>
      <c r="E218" s="75" t="str">
        <v>авто</v>
      </c>
      <c r="F218" s="76">
        <v>30</v>
      </c>
      <c r="G218" s="47" t="str">
        <v>QFD17</v>
      </c>
      <c r="H218" s="47" t="str">
        <v>2P С16А 30мА</v>
      </c>
      <c r="I218" s="75" t="str">
        <v/>
      </c>
      <c r="J218" s="76" t="str">
        <v/>
      </c>
      <c r="K218" s="76" t="str">
        <v/>
      </c>
      <c r="L218" s="75" t="str">
        <v/>
      </c>
      <c r="M218" s="49" t="str">
        <v/>
      </c>
      <c r="N218" s="76" t="str">
        <v/>
      </c>
      <c r="O218" s="49" t="str">
        <v/>
      </c>
      <c r="P218" s="77" t="str">
        <v/>
      </c>
      <c r="Q218" s="53" t="str">
        <v>ВВГнг(А)-LS (3х2,5) L=107-1,31%</v>
      </c>
      <c r="R218" s="54" t="str">
        <v>R.1.003A.3</v>
      </c>
      <c r="S218" s="55" t="str">
        <v>Розеточная группа, пом. 003A</v>
      </c>
      <c r="T218" s="56">
        <v>0.36</v>
      </c>
      <c r="U218" s="56">
        <v>1.65</v>
      </c>
      <c r="V218" s="42" t="str">
        <v>L1</v>
      </c>
      <c r="W218" s="57" t="str">
        <v>ok</v>
      </c>
      <c r="X218" s="58" t="str">
        <v/>
      </c>
      <c r="Y218" s="75" t="str">
        <v/>
      </c>
      <c r="Z218" s="59">
        <v>1.6408902387494626</v>
      </c>
      <c r="AA218" s="61">
        <v>16</v>
      </c>
      <c r="AB218" s="61">
        <v>25</v>
      </c>
      <c r="AC218" s="61" t="str">
        <v/>
      </c>
      <c r="AD218" s="62" t="str">
        <v>QFD17</v>
      </c>
      <c r="AE218" s="62" t="str">
        <v/>
      </c>
      <c r="AF218" s="34">
        <v>17</v>
      </c>
      <c r="AG218" s="34" t="str">
        <v>QFD17</v>
      </c>
      <c r="AH218" s="34" t="str">
        <v/>
      </c>
      <c r="AI218" s="34" t="str">
        <v/>
      </c>
      <c r="AJ218" s="34" t="str">
        <v>QFD17</v>
      </c>
      <c r="AK218" s="34">
        <v>1</v>
      </c>
      <c r="AL218" s="34" t="str">
        <v>R</v>
      </c>
      <c r="AM218" s="34">
        <v>30</v>
      </c>
      <c r="AN218" s="34">
        <v>0</v>
      </c>
      <c r="AO218" s="34">
        <v>16</v>
      </c>
      <c r="AP218" s="34">
        <v>25</v>
      </c>
      <c r="AQ218" s="34">
        <v>16</v>
      </c>
      <c r="AR218" s="34">
        <v>1</v>
      </c>
      <c r="AS218" s="34">
        <v>1</v>
      </c>
      <c r="AT218" s="34" t="str">
        <v>2P</v>
      </c>
      <c r="AU218" s="34">
        <v>16</v>
      </c>
      <c r="AV218" s="34" t="str">
        <v/>
      </c>
      <c r="AW218" s="34" t="str">
        <v/>
      </c>
      <c r="AX218" s="34" t="str">
        <v/>
      </c>
      <c r="AY218" s="34">
        <v>1</v>
      </c>
      <c r="AZ218" s="34" t="str">
        <v/>
      </c>
      <c r="BA218" s="34">
        <v>0</v>
      </c>
      <c r="BB218" s="34">
        <v>16</v>
      </c>
      <c r="BD218" s="34">
        <v>1</v>
      </c>
      <c r="BE218" s="34">
        <v>0</v>
      </c>
      <c r="BF218" s="34">
        <v>1</v>
      </c>
      <c r="BG218" s="34" t="str">
        <v/>
      </c>
      <c r="BH218" s="34" t="str">
        <v/>
      </c>
      <c r="BI218" s="34" t="str">
        <v/>
      </c>
      <c r="BJ218" s="34" t="str">
        <v/>
      </c>
      <c r="BK218" s="34" t="str">
        <v>SOCKET</v>
      </c>
      <c r="BL218" s="34">
        <v>1</v>
      </c>
      <c r="BM218" s="34" t="str">
        <v/>
      </c>
      <c r="BN218" s="34" t="str">
        <v/>
      </c>
      <c r="BO218" s="34" t="str">
        <v/>
      </c>
      <c r="BP218" s="34" t="str">
        <v/>
      </c>
      <c r="BQ218" s="34" t="str">
        <v>3х2,5</v>
      </c>
      <c r="BR218" s="34" t="str">
        <v/>
      </c>
      <c r="BS218" s="34" t="str">
        <v/>
      </c>
      <c r="BT218" s="34" t="str">
        <v/>
      </c>
      <c r="BU218" s="34">
        <v>0</v>
      </c>
      <c r="BV218" s="34">
        <v>239</v>
      </c>
      <c r="BW218" s="34">
        <v>1</v>
      </c>
      <c r="BX218" s="34">
        <v>0</v>
      </c>
      <c r="BY218" s="34" t="str">
        <v>Розетка</v>
      </c>
      <c r="BZ218">
        <v>10</v>
      </c>
      <c r="CA218" t="str">
        <v>линии</v>
      </c>
    </row>
    <row r="219" spans="1:79" x14ac:dyDescent="0.3">
      <c r="A219" s="39" t="str">
        <v>ЩР-1</v>
      </c>
      <c r="B219" s="42">
        <v>28</v>
      </c>
      <c r="C219" s="42">
        <v>2</v>
      </c>
      <c r="D219" s="75" t="str">
        <v/>
      </c>
      <c r="E219" s="75" t="str">
        <v>авто</v>
      </c>
      <c r="F219" s="76">
        <v>30</v>
      </c>
      <c r="G219" s="47" t="str">
        <v>QFD18</v>
      </c>
      <c r="H219" s="47" t="str">
        <v>2P С16А 30мА</v>
      </c>
      <c r="I219" s="75" t="str">
        <v/>
      </c>
      <c r="J219" s="76" t="str">
        <v/>
      </c>
      <c r="K219" s="76" t="str">
        <v/>
      </c>
      <c r="L219" s="75" t="str">
        <v/>
      </c>
      <c r="M219" s="49" t="str">
        <v/>
      </c>
      <c r="N219" s="76" t="str">
        <v/>
      </c>
      <c r="O219" s="49" t="str">
        <v/>
      </c>
      <c r="P219" s="77" t="str">
        <v/>
      </c>
      <c r="Q219" s="53" t="str">
        <v>ВВГнг(А)-LS (3х2,5) L=69-0,71%</v>
      </c>
      <c r="R219" s="54" t="str">
        <v>R.1.003A2</v>
      </c>
      <c r="S219" s="55" t="str">
        <v>Розеточная группа, пом. 003A2</v>
      </c>
      <c r="T219" s="56">
        <v>0.3</v>
      </c>
      <c r="U219" s="56">
        <v>1.37</v>
      </c>
      <c r="V219" s="42" t="str">
        <v>L1</v>
      </c>
      <c r="W219" s="57" t="str">
        <v>ok</v>
      </c>
      <c r="X219" s="58" t="str">
        <v/>
      </c>
      <c r="Y219" s="75" t="str">
        <v/>
      </c>
      <c r="Z219" s="59">
        <v>1.3674085322912188</v>
      </c>
      <c r="AA219" s="61">
        <v>16</v>
      </c>
      <c r="AB219" s="61">
        <v>25</v>
      </c>
      <c r="AC219" s="61" t="str">
        <v/>
      </c>
      <c r="AD219" s="62" t="str">
        <v>QFD18</v>
      </c>
      <c r="AE219" s="62" t="str">
        <v/>
      </c>
      <c r="AF219" s="34">
        <v>18</v>
      </c>
      <c r="AG219" s="34" t="str">
        <v>QFD18</v>
      </c>
      <c r="AH219" s="34" t="str">
        <v/>
      </c>
      <c r="AI219" s="34" t="str">
        <v/>
      </c>
      <c r="AJ219" s="34" t="str">
        <v>QFD18</v>
      </c>
      <c r="AK219" s="34">
        <v>1</v>
      </c>
      <c r="AL219" s="34" t="str">
        <v>R</v>
      </c>
      <c r="AM219" s="34">
        <v>30</v>
      </c>
      <c r="AN219" s="34">
        <v>0</v>
      </c>
      <c r="AO219" s="34">
        <v>16</v>
      </c>
      <c r="AP219" s="34">
        <v>25</v>
      </c>
      <c r="AQ219" s="34">
        <v>16</v>
      </c>
      <c r="AR219" s="34">
        <v>1</v>
      </c>
      <c r="AS219" s="34">
        <v>1</v>
      </c>
      <c r="AT219" s="34" t="str">
        <v>2P</v>
      </c>
      <c r="AU219" s="34">
        <v>16</v>
      </c>
      <c r="AV219" s="34" t="str">
        <v/>
      </c>
      <c r="AW219" s="34" t="str">
        <v/>
      </c>
      <c r="AX219" s="34" t="str">
        <v/>
      </c>
      <c r="AY219" s="34">
        <v>1</v>
      </c>
      <c r="AZ219" s="34" t="str">
        <v/>
      </c>
      <c r="BA219" s="34">
        <v>0</v>
      </c>
      <c r="BB219" s="34">
        <v>16</v>
      </c>
      <c r="BD219" s="34">
        <v>1</v>
      </c>
      <c r="BE219" s="34">
        <v>0</v>
      </c>
      <c r="BF219" s="34">
        <v>1</v>
      </c>
      <c r="BG219" s="34" t="str">
        <v/>
      </c>
      <c r="BH219" s="34" t="str">
        <v/>
      </c>
      <c r="BI219" s="34" t="str">
        <v/>
      </c>
      <c r="BJ219" s="34" t="str">
        <v/>
      </c>
      <c r="BK219" s="34" t="str">
        <v>SOCKET</v>
      </c>
      <c r="BL219" s="34">
        <v>1</v>
      </c>
      <c r="BM219" s="34" t="str">
        <v/>
      </c>
      <c r="BN219" s="34" t="str">
        <v/>
      </c>
      <c r="BO219" s="34" t="str">
        <v/>
      </c>
      <c r="BP219" s="34" t="str">
        <v/>
      </c>
      <c r="BQ219" s="34" t="str">
        <v>3х2,5</v>
      </c>
      <c r="BR219" s="34" t="str">
        <v/>
      </c>
      <c r="BS219" s="34" t="str">
        <v/>
      </c>
      <c r="BT219" s="34" t="str">
        <v/>
      </c>
      <c r="BU219" s="34">
        <v>0</v>
      </c>
      <c r="BV219" s="34">
        <v>240</v>
      </c>
      <c r="BW219" s="34">
        <v>1</v>
      </c>
      <c r="BX219" s="34">
        <v>0</v>
      </c>
      <c r="BY219" s="34" t="str">
        <v>Розетка</v>
      </c>
      <c r="BZ219">
        <v>10</v>
      </c>
      <c r="CA219" t="str">
        <v>линии</v>
      </c>
    </row>
    <row r="220" spans="1:79" x14ac:dyDescent="0.3">
      <c r="A220" s="39" t="str">
        <v>ЩР-1</v>
      </c>
      <c r="B220" s="42">
        <v>29</v>
      </c>
      <c r="C220" s="42">
        <v>2</v>
      </c>
      <c r="D220" s="75" t="str">
        <v/>
      </c>
      <c r="E220" s="75" t="str">
        <v>авто</v>
      </c>
      <c r="F220" s="76">
        <v>30</v>
      </c>
      <c r="G220" s="47" t="str">
        <v>QFD19</v>
      </c>
      <c r="H220" s="47" t="str">
        <v>2P С16А 30мА</v>
      </c>
      <c r="I220" s="75" t="str">
        <v/>
      </c>
      <c r="J220" s="76" t="str">
        <v/>
      </c>
      <c r="K220" s="76" t="str">
        <v/>
      </c>
      <c r="L220" s="75" t="str">
        <v/>
      </c>
      <c r="M220" s="49" t="str">
        <v/>
      </c>
      <c r="N220" s="76" t="str">
        <v/>
      </c>
      <c r="O220" s="49" t="str">
        <v/>
      </c>
      <c r="P220" s="77" t="str">
        <v/>
      </c>
      <c r="Q220" s="53" t="str">
        <v>ВВГнг(А)-LS (3х2,5) L=81-0,66%</v>
      </c>
      <c r="R220" s="54" t="str">
        <v>R.1.003Aб.1</v>
      </c>
      <c r="S220" s="55" t="str">
        <v>Розеточная группа, пом. 003Aб</v>
      </c>
      <c r="T220" s="56">
        <v>0.24</v>
      </c>
      <c r="U220" s="56">
        <v>1.1000000000000001</v>
      </c>
      <c r="V220" s="42" t="str">
        <v>L2</v>
      </c>
      <c r="W220" s="57" t="str">
        <v>ok</v>
      </c>
      <c r="X220" s="58" t="str">
        <v/>
      </c>
      <c r="Y220" s="75" t="str">
        <v/>
      </c>
      <c r="Z220" s="59">
        <v>1.0939268258329751</v>
      </c>
      <c r="AA220" s="61">
        <v>16</v>
      </c>
      <c r="AB220" s="61">
        <v>25</v>
      </c>
      <c r="AC220" s="61" t="str">
        <v/>
      </c>
      <c r="AD220" s="62" t="str">
        <v>QFD19</v>
      </c>
      <c r="AE220" s="62" t="str">
        <v/>
      </c>
      <c r="AF220" s="34">
        <v>19</v>
      </c>
      <c r="AG220" s="34" t="str">
        <v>QFD19</v>
      </c>
      <c r="AH220" s="34" t="str">
        <v/>
      </c>
      <c r="AI220" s="34" t="str">
        <v/>
      </c>
      <c r="AJ220" s="34" t="str">
        <v>QFD19</v>
      </c>
      <c r="AK220" s="34">
        <v>1</v>
      </c>
      <c r="AL220" s="34" t="str">
        <v>R</v>
      </c>
      <c r="AM220" s="34">
        <v>30</v>
      </c>
      <c r="AN220" s="34">
        <v>0</v>
      </c>
      <c r="AO220" s="34">
        <v>16</v>
      </c>
      <c r="AP220" s="34">
        <v>25</v>
      </c>
      <c r="AQ220" s="34">
        <v>16</v>
      </c>
      <c r="AR220" s="34">
        <v>1</v>
      </c>
      <c r="AS220" s="34">
        <v>1</v>
      </c>
      <c r="AT220" s="34" t="str">
        <v>2P</v>
      </c>
      <c r="AU220" s="34">
        <v>16</v>
      </c>
      <c r="AV220" s="34" t="str">
        <v/>
      </c>
      <c r="AW220" s="34" t="str">
        <v/>
      </c>
      <c r="AX220" s="34" t="str">
        <v/>
      </c>
      <c r="AY220" s="34">
        <v>1</v>
      </c>
      <c r="AZ220" s="34" t="str">
        <v/>
      </c>
      <c r="BA220" s="34">
        <v>0</v>
      </c>
      <c r="BB220" s="34">
        <v>16</v>
      </c>
      <c r="BD220" s="34">
        <v>1</v>
      </c>
      <c r="BE220" s="34">
        <v>0</v>
      </c>
      <c r="BF220" s="34">
        <v>1</v>
      </c>
      <c r="BG220" s="34" t="str">
        <v/>
      </c>
      <c r="BH220" s="34" t="str">
        <v/>
      </c>
      <c r="BI220" s="34" t="str">
        <v/>
      </c>
      <c r="BJ220" s="34" t="str">
        <v/>
      </c>
      <c r="BK220" s="34" t="str">
        <v>SOCKET</v>
      </c>
      <c r="BL220" s="34">
        <v>1</v>
      </c>
      <c r="BM220" s="34" t="str">
        <v/>
      </c>
      <c r="BN220" s="34" t="str">
        <v/>
      </c>
      <c r="BO220" s="34" t="str">
        <v/>
      </c>
      <c r="BP220" s="34" t="str">
        <v/>
      </c>
      <c r="BQ220" s="34" t="str">
        <v>3х2,5</v>
      </c>
      <c r="BR220" s="34" t="str">
        <v/>
      </c>
      <c r="BS220" s="34" t="str">
        <v/>
      </c>
      <c r="BT220" s="34" t="str">
        <v/>
      </c>
      <c r="BU220" s="34">
        <v>0</v>
      </c>
      <c r="BV220" s="34">
        <v>241</v>
      </c>
      <c r="BW220" s="34">
        <v>1</v>
      </c>
      <c r="BX220" s="34">
        <v>0</v>
      </c>
      <c r="BY220" s="34" t="str">
        <v>Розетка</v>
      </c>
      <c r="BZ220">
        <v>10</v>
      </c>
      <c r="CA220" t="str">
        <v>линии</v>
      </c>
    </row>
    <row r="221" spans="1:79" x14ac:dyDescent="0.3">
      <c r="A221" s="39" t="str">
        <v>ЩР-1</v>
      </c>
      <c r="B221" s="42">
        <v>30</v>
      </c>
      <c r="C221" s="42">
        <v>2</v>
      </c>
      <c r="D221" s="75" t="str">
        <v/>
      </c>
      <c r="E221" s="75" t="str">
        <v>авто</v>
      </c>
      <c r="F221" s="76">
        <v>30</v>
      </c>
      <c r="G221" s="47" t="str">
        <v>QFD20</v>
      </c>
      <c r="H221" s="47" t="str">
        <v>2P С16А 30мА</v>
      </c>
      <c r="I221" s="75" t="str">
        <v/>
      </c>
      <c r="J221" s="76" t="str">
        <v/>
      </c>
      <c r="K221" s="76" t="str">
        <v/>
      </c>
      <c r="L221" s="75" t="str">
        <v/>
      </c>
      <c r="M221" s="49" t="str">
        <v/>
      </c>
      <c r="N221" s="76" t="str">
        <v/>
      </c>
      <c r="O221" s="49" t="str">
        <v/>
      </c>
      <c r="P221" s="77" t="str">
        <v/>
      </c>
      <c r="Q221" s="53" t="str">
        <v>ВВГнг(А)-LS (3х2,5) L=28-0,23%</v>
      </c>
      <c r="R221" s="54" t="str">
        <v>R.1.003Б.1</v>
      </c>
      <c r="S221" s="55" t="str">
        <v>Розеточная группа, пом. 003Б</v>
      </c>
      <c r="T221" s="56">
        <v>0.24</v>
      </c>
      <c r="U221" s="56">
        <v>1.1000000000000001</v>
      </c>
      <c r="V221" s="42" t="str">
        <v>L1</v>
      </c>
      <c r="W221" s="57" t="str">
        <v>ok</v>
      </c>
      <c r="X221" s="58" t="str">
        <v/>
      </c>
      <c r="Y221" s="75" t="str">
        <v/>
      </c>
      <c r="Z221" s="59">
        <v>1.0939268258329751</v>
      </c>
      <c r="AA221" s="61">
        <v>16</v>
      </c>
      <c r="AB221" s="61">
        <v>25</v>
      </c>
      <c r="AC221" s="61" t="str">
        <v/>
      </c>
      <c r="AD221" s="62" t="str">
        <v>QFD20</v>
      </c>
      <c r="AE221" s="62" t="str">
        <v/>
      </c>
      <c r="AF221" s="34">
        <v>20</v>
      </c>
      <c r="AG221" s="34" t="str">
        <v>QFD20</v>
      </c>
      <c r="AH221" s="34" t="str">
        <v/>
      </c>
      <c r="AI221" s="34" t="str">
        <v/>
      </c>
      <c r="AJ221" s="34" t="str">
        <v>QFD20</v>
      </c>
      <c r="AK221" s="34">
        <v>1</v>
      </c>
      <c r="AL221" s="34" t="str">
        <v>R</v>
      </c>
      <c r="AM221" s="34">
        <v>30</v>
      </c>
      <c r="AN221" s="34">
        <v>0</v>
      </c>
      <c r="AO221" s="34">
        <v>16</v>
      </c>
      <c r="AP221" s="34">
        <v>25</v>
      </c>
      <c r="AQ221" s="34">
        <v>16</v>
      </c>
      <c r="AR221" s="34">
        <v>1</v>
      </c>
      <c r="AS221" s="34">
        <v>1</v>
      </c>
      <c r="AT221" s="34" t="str">
        <v>2P</v>
      </c>
      <c r="AU221" s="34">
        <v>16</v>
      </c>
      <c r="AV221" s="34" t="str">
        <v/>
      </c>
      <c r="AW221" s="34" t="str">
        <v/>
      </c>
      <c r="AX221" s="34" t="str">
        <v/>
      </c>
      <c r="AY221" s="34">
        <v>1</v>
      </c>
      <c r="AZ221" s="34" t="str">
        <v/>
      </c>
      <c r="BA221" s="34">
        <v>0</v>
      </c>
      <c r="BB221" s="34">
        <v>16</v>
      </c>
      <c r="BD221" s="34">
        <v>1</v>
      </c>
      <c r="BE221" s="34">
        <v>0</v>
      </c>
      <c r="BF221" s="34">
        <v>1</v>
      </c>
      <c r="BG221" s="34" t="str">
        <v/>
      </c>
      <c r="BH221" s="34" t="str">
        <v/>
      </c>
      <c r="BI221" s="34" t="str">
        <v/>
      </c>
      <c r="BJ221" s="34" t="str">
        <v/>
      </c>
      <c r="BK221" s="34" t="str">
        <v>SOCKET</v>
      </c>
      <c r="BL221" s="34">
        <v>1</v>
      </c>
      <c r="BM221" s="34" t="str">
        <v/>
      </c>
      <c r="BN221" s="34" t="str">
        <v/>
      </c>
      <c r="BO221" s="34" t="str">
        <v/>
      </c>
      <c r="BP221" s="34" t="str">
        <v/>
      </c>
      <c r="BQ221" s="34" t="str">
        <v>3х2,5</v>
      </c>
      <c r="BR221" s="34" t="str">
        <v/>
      </c>
      <c r="BS221" s="34" t="str">
        <v/>
      </c>
      <c r="BT221" s="34" t="str">
        <v/>
      </c>
      <c r="BU221" s="34">
        <v>0</v>
      </c>
      <c r="BV221" s="34">
        <v>242</v>
      </c>
      <c r="BW221" s="34">
        <v>1</v>
      </c>
      <c r="BX221" s="34">
        <v>0</v>
      </c>
      <c r="BY221" s="34" t="str">
        <v>Розетка</v>
      </c>
      <c r="BZ221">
        <v>10</v>
      </c>
      <c r="CA221" t="str">
        <v>линии</v>
      </c>
    </row>
    <row r="222" spans="1:79" x14ac:dyDescent="0.3">
      <c r="A222" s="39" t="str">
        <v>ЩР-1</v>
      </c>
      <c r="B222" s="42">
        <v>31</v>
      </c>
      <c r="C222" s="42">
        <v>2</v>
      </c>
      <c r="D222" s="75" t="str">
        <v/>
      </c>
      <c r="E222" s="75" t="str">
        <v>авто</v>
      </c>
      <c r="F222" s="76">
        <v>30</v>
      </c>
      <c r="G222" s="47" t="str">
        <v>QFD21</v>
      </c>
      <c r="H222" s="47" t="str">
        <v>2P С16А 30мА</v>
      </c>
      <c r="I222" s="75" t="str">
        <v/>
      </c>
      <c r="J222" s="76" t="str">
        <v/>
      </c>
      <c r="K222" s="76" t="str">
        <v/>
      </c>
      <c r="L222" s="75" t="str">
        <v/>
      </c>
      <c r="M222" s="49" t="str">
        <v/>
      </c>
      <c r="N222" s="76" t="str">
        <v/>
      </c>
      <c r="O222" s="49" t="str">
        <v/>
      </c>
      <c r="P222" s="77" t="str">
        <v/>
      </c>
      <c r="Q222" s="53" t="str">
        <v>ВВГнг(А)-LS (3х2,5) L=13-0,06%</v>
      </c>
      <c r="R222" s="54" t="str">
        <v>R.1.003Б.2</v>
      </c>
      <c r="S222" s="55" t="str">
        <v>Розеточная группа, пом. 003Б</v>
      </c>
      <c r="T222" s="56">
        <v>0.12</v>
      </c>
      <c r="U222" s="56">
        <v>0.55000000000000004</v>
      </c>
      <c r="V222" s="42" t="str">
        <v>L2</v>
      </c>
      <c r="W222" s="57" t="str">
        <v>ok</v>
      </c>
      <c r="X222" s="58" t="str">
        <v/>
      </c>
      <c r="Y222" s="75" t="str">
        <v/>
      </c>
      <c r="Z222" s="59">
        <v>0.54696341291648753</v>
      </c>
      <c r="AA222" s="61">
        <v>16</v>
      </c>
      <c r="AB222" s="61">
        <v>25</v>
      </c>
      <c r="AC222" s="61" t="str">
        <v/>
      </c>
      <c r="AD222" s="62" t="str">
        <v>QFD21</v>
      </c>
      <c r="AE222" s="62" t="str">
        <v/>
      </c>
      <c r="AF222" s="34">
        <v>21</v>
      </c>
      <c r="AG222" s="34" t="str">
        <v>QFD21</v>
      </c>
      <c r="AH222" s="34" t="str">
        <v/>
      </c>
      <c r="AI222" s="34" t="str">
        <v/>
      </c>
      <c r="AJ222" s="34" t="str">
        <v>QFD21</v>
      </c>
      <c r="AK222" s="34">
        <v>1</v>
      </c>
      <c r="AL222" s="34" t="str">
        <v>R</v>
      </c>
      <c r="AM222" s="34">
        <v>30</v>
      </c>
      <c r="AN222" s="34">
        <v>0</v>
      </c>
      <c r="AO222" s="34">
        <v>16</v>
      </c>
      <c r="AP222" s="34">
        <v>25</v>
      </c>
      <c r="AQ222" s="34">
        <v>16</v>
      </c>
      <c r="AR222" s="34">
        <v>1</v>
      </c>
      <c r="AS222" s="34">
        <v>1</v>
      </c>
      <c r="AT222" s="34" t="str">
        <v>2P</v>
      </c>
      <c r="AU222" s="34">
        <v>16</v>
      </c>
      <c r="AV222" s="34" t="str">
        <v/>
      </c>
      <c r="AW222" s="34" t="str">
        <v/>
      </c>
      <c r="AX222" s="34" t="str">
        <v/>
      </c>
      <c r="AY222" s="34">
        <v>1</v>
      </c>
      <c r="AZ222" s="34" t="str">
        <v/>
      </c>
      <c r="BA222" s="34">
        <v>0</v>
      </c>
      <c r="BB222" s="34">
        <v>16</v>
      </c>
      <c r="BD222" s="34">
        <v>1</v>
      </c>
      <c r="BE222" s="34">
        <v>0</v>
      </c>
      <c r="BF222" s="34">
        <v>1</v>
      </c>
      <c r="BG222" s="34" t="str">
        <v/>
      </c>
      <c r="BH222" s="34" t="str">
        <v/>
      </c>
      <c r="BI222" s="34" t="str">
        <v/>
      </c>
      <c r="BJ222" s="34" t="str">
        <v/>
      </c>
      <c r="BK222" s="34" t="str">
        <v>SOCKET</v>
      </c>
      <c r="BL222" s="34">
        <v>1</v>
      </c>
      <c r="BM222" s="34" t="str">
        <v/>
      </c>
      <c r="BN222" s="34" t="str">
        <v/>
      </c>
      <c r="BO222" s="34" t="str">
        <v/>
      </c>
      <c r="BP222" s="34" t="str">
        <v/>
      </c>
      <c r="BQ222" s="34" t="str">
        <v>3х2,5</v>
      </c>
      <c r="BR222" s="34" t="str">
        <v/>
      </c>
      <c r="BS222" s="34" t="str">
        <v/>
      </c>
      <c r="BT222" s="34" t="str">
        <v/>
      </c>
      <c r="BU222" s="34">
        <v>0</v>
      </c>
      <c r="BV222" s="34">
        <v>243</v>
      </c>
      <c r="BW222" s="34">
        <v>1</v>
      </c>
      <c r="BX222" s="34">
        <v>0</v>
      </c>
      <c r="BY222" s="34" t="str">
        <v>Розетка</v>
      </c>
      <c r="BZ222">
        <v>10</v>
      </c>
      <c r="CA222" t="str">
        <v>линии</v>
      </c>
    </row>
    <row r="223" spans="1:79" x14ac:dyDescent="0.3">
      <c r="A223" s="39" t="str">
        <v>ЩР-1</v>
      </c>
      <c r="B223" s="42">
        <v>32</v>
      </c>
      <c r="C223" s="42">
        <v>2</v>
      </c>
      <c r="D223" s="75" t="str">
        <v/>
      </c>
      <c r="E223" s="75" t="str">
        <v>авто</v>
      </c>
      <c r="F223" s="76">
        <v>30</v>
      </c>
      <c r="G223" s="47" t="str">
        <v>QFD22</v>
      </c>
      <c r="H223" s="47" t="str">
        <v>2P С16А 30мА</v>
      </c>
      <c r="I223" s="75" t="str">
        <v/>
      </c>
      <c r="J223" s="76" t="str">
        <v/>
      </c>
      <c r="K223" s="76" t="str">
        <v/>
      </c>
      <c r="L223" s="75" t="str">
        <v/>
      </c>
      <c r="M223" s="49" t="str">
        <v/>
      </c>
      <c r="N223" s="76" t="str">
        <v/>
      </c>
      <c r="O223" s="49" t="str">
        <v/>
      </c>
      <c r="P223" s="77" t="str">
        <v/>
      </c>
      <c r="Q223" s="53" t="str">
        <v>ВВГнг(А)-LS (3х2,5) L=32-0,07%</v>
      </c>
      <c r="R223" s="54" t="str">
        <v>R.1.003Г.1</v>
      </c>
      <c r="S223" s="55" t="str">
        <v>Розеточная группа, пом. 003Г</v>
      </c>
      <c r="T223" s="56">
        <v>0.06</v>
      </c>
      <c r="U223" s="56">
        <v>0.28000000000000003</v>
      </c>
      <c r="V223" s="42" t="str">
        <v>L2</v>
      </c>
      <c r="W223" s="57" t="str">
        <v>ok</v>
      </c>
      <c r="X223" s="58" t="str">
        <v/>
      </c>
      <c r="Y223" s="75" t="str">
        <v/>
      </c>
      <c r="Z223" s="59">
        <v>0.27348170645824377</v>
      </c>
      <c r="AA223" s="61">
        <v>16</v>
      </c>
      <c r="AB223" s="61">
        <v>25</v>
      </c>
      <c r="AC223" s="61" t="str">
        <v/>
      </c>
      <c r="AD223" s="62" t="str">
        <v>QFD22</v>
      </c>
      <c r="AE223" s="62" t="str">
        <v/>
      </c>
      <c r="AF223" s="34">
        <v>22</v>
      </c>
      <c r="AG223" s="34" t="str">
        <v>QFD22</v>
      </c>
      <c r="AH223" s="34" t="str">
        <v/>
      </c>
      <c r="AI223" s="34" t="str">
        <v/>
      </c>
      <c r="AJ223" s="34" t="str">
        <v>QFD22</v>
      </c>
      <c r="AK223" s="34">
        <v>1</v>
      </c>
      <c r="AL223" s="34" t="str">
        <v>R</v>
      </c>
      <c r="AM223" s="34">
        <v>30</v>
      </c>
      <c r="AN223" s="34">
        <v>0</v>
      </c>
      <c r="AO223" s="34">
        <v>16</v>
      </c>
      <c r="AP223" s="34">
        <v>25</v>
      </c>
      <c r="AQ223" s="34">
        <v>16</v>
      </c>
      <c r="AR223" s="34">
        <v>1</v>
      </c>
      <c r="AS223" s="34">
        <v>1</v>
      </c>
      <c r="AT223" s="34" t="str">
        <v>2P</v>
      </c>
      <c r="AU223" s="34">
        <v>16</v>
      </c>
      <c r="AV223" s="34" t="str">
        <v/>
      </c>
      <c r="AW223" s="34" t="str">
        <v/>
      </c>
      <c r="AX223" s="34" t="str">
        <v/>
      </c>
      <c r="AY223" s="34">
        <v>1</v>
      </c>
      <c r="AZ223" s="34" t="str">
        <v/>
      </c>
      <c r="BA223" s="34">
        <v>0</v>
      </c>
      <c r="BB223" s="34">
        <v>16</v>
      </c>
      <c r="BD223" s="34">
        <v>1</v>
      </c>
      <c r="BE223" s="34">
        <v>0</v>
      </c>
      <c r="BF223" s="34">
        <v>1</v>
      </c>
      <c r="BG223" s="34" t="str">
        <v/>
      </c>
      <c r="BH223" s="34" t="str">
        <v/>
      </c>
      <c r="BI223" s="34" t="str">
        <v/>
      </c>
      <c r="BJ223" s="34" t="str">
        <v/>
      </c>
      <c r="BK223" s="34" t="str">
        <v>SOCKET</v>
      </c>
      <c r="BL223" s="34">
        <v>1</v>
      </c>
      <c r="BM223" s="34" t="str">
        <v/>
      </c>
      <c r="BN223" s="34" t="str">
        <v/>
      </c>
      <c r="BO223" s="34" t="str">
        <v/>
      </c>
      <c r="BP223" s="34" t="str">
        <v/>
      </c>
      <c r="BQ223" s="34" t="str">
        <v>3х2,5</v>
      </c>
      <c r="BR223" s="34" t="str">
        <v/>
      </c>
      <c r="BS223" s="34" t="str">
        <v/>
      </c>
      <c r="BT223" s="34" t="str">
        <v/>
      </c>
      <c r="BU223" s="34">
        <v>0</v>
      </c>
      <c r="BV223" s="34">
        <v>244</v>
      </c>
      <c r="BW223" s="34">
        <v>1</v>
      </c>
      <c r="BX223" s="34">
        <v>0</v>
      </c>
      <c r="BY223" s="34" t="str">
        <v>Розетка</v>
      </c>
      <c r="BZ223">
        <v>10</v>
      </c>
      <c r="CA223" t="str">
        <v>линии</v>
      </c>
    </row>
    <row r="224" spans="1:79" x14ac:dyDescent="0.3">
      <c r="A224" s="39" t="str">
        <v>ЩР-1</v>
      </c>
      <c r="B224" s="42">
        <v>33</v>
      </c>
      <c r="C224" s="42">
        <v>2</v>
      </c>
      <c r="D224" s="75" t="str">
        <v/>
      </c>
      <c r="E224" s="75" t="str">
        <v>авто</v>
      </c>
      <c r="F224" s="76">
        <v>30</v>
      </c>
      <c r="G224" s="47" t="str">
        <v>QFD23</v>
      </c>
      <c r="H224" s="47" t="str">
        <v>2P С16А 30мА</v>
      </c>
      <c r="I224" s="75" t="str">
        <v/>
      </c>
      <c r="J224" s="76" t="str">
        <v/>
      </c>
      <c r="K224" s="76" t="str">
        <v/>
      </c>
      <c r="L224" s="75" t="str">
        <v/>
      </c>
      <c r="M224" s="49" t="str">
        <v/>
      </c>
      <c r="N224" s="76" t="str">
        <v/>
      </c>
      <c r="O224" s="49" t="str">
        <v/>
      </c>
      <c r="P224" s="77" t="str">
        <v/>
      </c>
      <c r="Q224" s="53" t="str">
        <v>ВВГнг(А)-LS (3х2,5) L=75-0,61%</v>
      </c>
      <c r="R224" s="54" t="str">
        <v>R.1.004Aб.1</v>
      </c>
      <c r="S224" s="55" t="str">
        <v>Розеточная группа, пом. 004Aб</v>
      </c>
      <c r="T224" s="56">
        <v>0.24</v>
      </c>
      <c r="U224" s="56">
        <v>1.1000000000000001</v>
      </c>
      <c r="V224" s="42" t="str">
        <v>L3</v>
      </c>
      <c r="W224" s="57" t="str">
        <v>ok</v>
      </c>
      <c r="X224" s="58" t="str">
        <v/>
      </c>
      <c r="Y224" s="75" t="str">
        <v/>
      </c>
      <c r="Z224" s="59">
        <v>1.0939268258329751</v>
      </c>
      <c r="AA224" s="61">
        <v>16</v>
      </c>
      <c r="AB224" s="61">
        <v>25</v>
      </c>
      <c r="AC224" s="61" t="str">
        <v/>
      </c>
      <c r="AD224" s="62" t="str">
        <v>QFD23</v>
      </c>
      <c r="AE224" s="62" t="str">
        <v/>
      </c>
      <c r="AF224" s="34">
        <v>23</v>
      </c>
      <c r="AG224" s="34" t="str">
        <v>QFD23</v>
      </c>
      <c r="AH224" s="34" t="str">
        <v/>
      </c>
      <c r="AI224" s="34" t="str">
        <v/>
      </c>
      <c r="AJ224" s="34" t="str">
        <v>QFD23</v>
      </c>
      <c r="AK224" s="34">
        <v>1</v>
      </c>
      <c r="AL224" s="34" t="str">
        <v>R</v>
      </c>
      <c r="AM224" s="34">
        <v>30</v>
      </c>
      <c r="AN224" s="34">
        <v>0</v>
      </c>
      <c r="AO224" s="34">
        <v>16</v>
      </c>
      <c r="AP224" s="34">
        <v>25</v>
      </c>
      <c r="AQ224" s="34">
        <v>16</v>
      </c>
      <c r="AR224" s="34">
        <v>1</v>
      </c>
      <c r="AS224" s="34">
        <v>1</v>
      </c>
      <c r="AT224" s="34" t="str">
        <v>2P</v>
      </c>
      <c r="AU224" s="34">
        <v>16</v>
      </c>
      <c r="AV224" s="34" t="str">
        <v/>
      </c>
      <c r="AW224" s="34" t="str">
        <v/>
      </c>
      <c r="AX224" s="34" t="str">
        <v/>
      </c>
      <c r="AY224" s="34">
        <v>1</v>
      </c>
      <c r="AZ224" s="34" t="str">
        <v/>
      </c>
      <c r="BA224" s="34">
        <v>0</v>
      </c>
      <c r="BB224" s="34">
        <v>16</v>
      </c>
      <c r="BD224" s="34">
        <v>1</v>
      </c>
      <c r="BE224" s="34">
        <v>0</v>
      </c>
      <c r="BF224" s="34">
        <v>1</v>
      </c>
      <c r="BG224" s="34" t="str">
        <v/>
      </c>
      <c r="BH224" s="34" t="str">
        <v/>
      </c>
      <c r="BI224" s="34" t="str">
        <v/>
      </c>
      <c r="BJ224" s="34" t="str">
        <v/>
      </c>
      <c r="BK224" s="34" t="str">
        <v>SOCKET</v>
      </c>
      <c r="BL224" s="34">
        <v>1</v>
      </c>
      <c r="BM224" s="34" t="str">
        <v/>
      </c>
      <c r="BN224" s="34" t="str">
        <v/>
      </c>
      <c r="BO224" s="34" t="str">
        <v/>
      </c>
      <c r="BP224" s="34" t="str">
        <v/>
      </c>
      <c r="BQ224" s="34" t="str">
        <v>3х2,5</v>
      </c>
      <c r="BR224" s="34" t="str">
        <v/>
      </c>
      <c r="BS224" s="34" t="str">
        <v/>
      </c>
      <c r="BT224" s="34" t="str">
        <v/>
      </c>
      <c r="BU224" s="34">
        <v>0</v>
      </c>
      <c r="BV224" s="34">
        <v>245</v>
      </c>
      <c r="BW224" s="34">
        <v>1</v>
      </c>
      <c r="BX224" s="34">
        <v>0</v>
      </c>
      <c r="BY224" s="34" t="str">
        <v>Розетка</v>
      </c>
      <c r="BZ224">
        <v>10</v>
      </c>
      <c r="CA224" t="str">
        <v>линии</v>
      </c>
    </row>
    <row r="225" spans="1:79" x14ac:dyDescent="0.3">
      <c r="A225" s="39" t="str">
        <v>ЩР-1</v>
      </c>
      <c r="B225" s="42">
        <v>36</v>
      </c>
      <c r="C225" s="42">
        <v>3</v>
      </c>
      <c r="D225" s="75" t="str">
        <v/>
      </c>
      <c r="E225" s="75" t="str">
        <v>авто</v>
      </c>
      <c r="F225" s="76">
        <v>30</v>
      </c>
      <c r="G225" s="47" t="str">
        <v>QFD24</v>
      </c>
      <c r="H225" s="47" t="str">
        <v>2P С16А 30мА</v>
      </c>
      <c r="I225" s="75" t="str">
        <v/>
      </c>
      <c r="J225" s="76" t="str">
        <v/>
      </c>
      <c r="K225" s="76" t="str">
        <v/>
      </c>
      <c r="L225" s="75" t="str">
        <v/>
      </c>
      <c r="M225" s="49" t="str">
        <v/>
      </c>
      <c r="N225" s="76" t="str">
        <v/>
      </c>
      <c r="O225" s="49" t="str">
        <v/>
      </c>
      <c r="P225" s="77" t="str">
        <v>XT24</v>
      </c>
      <c r="Q225" s="53" t="str">
        <v>ВВГнг(А)-LS (3х2,5) L=31-0,07%</v>
      </c>
      <c r="R225" s="54" t="str">
        <v>R.1.005A.1</v>
      </c>
      <c r="S225" s="55" t="str">
        <v>Розеточная группа, пом. 005A</v>
      </c>
      <c r="T225" s="56">
        <v>0.06</v>
      </c>
      <c r="U225" s="56">
        <v>0.28000000000000003</v>
      </c>
      <c r="V225" s="42" t="str">
        <v>L3</v>
      </c>
      <c r="W225" s="57" t="str">
        <v>ok</v>
      </c>
      <c r="X225" s="58" t="str">
        <v/>
      </c>
      <c r="Y225" s="75" t="str">
        <v/>
      </c>
      <c r="Z225" s="59">
        <v>0.27348170645824377</v>
      </c>
      <c r="AA225" s="61">
        <v>16</v>
      </c>
      <c r="AB225" s="61">
        <v>25</v>
      </c>
      <c r="AC225" s="61" t="str">
        <v/>
      </c>
      <c r="AD225" s="62" t="str">
        <v>QFD24 → XT24</v>
      </c>
      <c r="AE225" s="62" t="str">
        <v/>
      </c>
      <c r="AF225" s="34">
        <v>24</v>
      </c>
      <c r="AG225" s="34" t="str">
        <v>QFD24</v>
      </c>
      <c r="AH225" s="34" t="str">
        <v/>
      </c>
      <c r="AI225" s="34" t="str">
        <v/>
      </c>
      <c r="AJ225" s="34" t="str">
        <v>QFD24</v>
      </c>
      <c r="AK225" s="34">
        <v>1</v>
      </c>
      <c r="AL225" s="34" t="str">
        <v>R</v>
      </c>
      <c r="AM225" s="34">
        <v>30</v>
      </c>
      <c r="AN225" s="34">
        <v>0</v>
      </c>
      <c r="AO225" s="34">
        <v>16</v>
      </c>
      <c r="AP225" s="34">
        <v>25</v>
      </c>
      <c r="AQ225" s="34">
        <v>16</v>
      </c>
      <c r="AR225" s="34">
        <v>1</v>
      </c>
      <c r="AS225" s="34">
        <v>1</v>
      </c>
      <c r="AT225" s="34" t="str">
        <v>2P</v>
      </c>
      <c r="AU225" s="34">
        <v>16</v>
      </c>
      <c r="AV225" s="34" t="str">
        <v/>
      </c>
      <c r="AW225" s="34" t="str">
        <v/>
      </c>
      <c r="AX225" s="34" t="str">
        <v/>
      </c>
      <c r="AY225" s="34">
        <v>1</v>
      </c>
      <c r="AZ225" s="34" t="str">
        <v/>
      </c>
      <c r="BA225" s="34">
        <v>0</v>
      </c>
      <c r="BB225" s="34">
        <v>16</v>
      </c>
      <c r="BD225" s="34">
        <v>1</v>
      </c>
      <c r="BE225" s="34">
        <v>0</v>
      </c>
      <c r="BF225" s="34">
        <v>1</v>
      </c>
      <c r="BG225" s="34" t="str">
        <v/>
      </c>
      <c r="BH225" s="34" t="str">
        <v/>
      </c>
      <c r="BI225" s="34" t="str">
        <v/>
      </c>
      <c r="BJ225" s="34" t="str">
        <v/>
      </c>
      <c r="BK225" s="34" t="str">
        <v>SOCKET</v>
      </c>
      <c r="BL225" s="34">
        <v>1</v>
      </c>
      <c r="BM225" s="34" t="str">
        <v/>
      </c>
      <c r="BN225" s="34" t="str">
        <v/>
      </c>
      <c r="BO225" s="34" t="str">
        <v/>
      </c>
      <c r="BP225" s="34" t="str">
        <v/>
      </c>
      <c r="BQ225" s="34" t="str">
        <v>3х2,5</v>
      </c>
      <c r="BR225" s="34" t="str">
        <v/>
      </c>
      <c r="BS225" s="34" t="str">
        <v/>
      </c>
      <c r="BT225" s="34" t="str">
        <v/>
      </c>
      <c r="BU225" s="34">
        <v>0</v>
      </c>
      <c r="BV225" s="34">
        <v>246</v>
      </c>
      <c r="BW225" s="34">
        <v>1</v>
      </c>
      <c r="BX225" s="34">
        <v>0</v>
      </c>
      <c r="BY225" s="34" t="str">
        <v>Розетка</v>
      </c>
      <c r="BZ225">
        <v>10</v>
      </c>
      <c r="CA225" t="str">
        <v>линии</v>
      </c>
    </row>
    <row r="226" spans="1:79" x14ac:dyDescent="0.3">
      <c r="A226" s="39" t="str">
        <v>ЩР-1</v>
      </c>
      <c r="B226" s="42">
        <v>37</v>
      </c>
      <c r="C226" s="42">
        <v>3</v>
      </c>
      <c r="D226" s="75" t="str">
        <v/>
      </c>
      <c r="E226" s="75" t="str">
        <v>авто</v>
      </c>
      <c r="F226" s="76">
        <v>30</v>
      </c>
      <c r="G226" s="47" t="str">
        <v>QFD25</v>
      </c>
      <c r="H226" s="47" t="str">
        <v>2P С16А 30мА</v>
      </c>
      <c r="I226" s="75" t="str">
        <v/>
      </c>
      <c r="J226" s="76" t="str">
        <v/>
      </c>
      <c r="K226" s="76" t="str">
        <v/>
      </c>
      <c r="L226" s="75" t="str">
        <v/>
      </c>
      <c r="M226" s="49" t="str">
        <v/>
      </c>
      <c r="N226" s="76" t="str">
        <v/>
      </c>
      <c r="O226" s="49" t="str">
        <v/>
      </c>
      <c r="P226" s="77" t="str">
        <v>XT25</v>
      </c>
      <c r="Q226" s="53" t="str">
        <v>ВВГнг(А)-LS (3х2,5) L=54-0,22%</v>
      </c>
      <c r="R226" s="54" t="str">
        <v>R.1.006A.1</v>
      </c>
      <c r="S226" s="55" t="str">
        <v>Розеточная группа, пом. 006A</v>
      </c>
      <c r="T226" s="56">
        <v>0.12</v>
      </c>
      <c r="U226" s="56">
        <v>0.55000000000000004</v>
      </c>
      <c r="V226" s="42" t="str">
        <v>L2</v>
      </c>
      <c r="W226" s="57" t="str">
        <v>ok</v>
      </c>
      <c r="X226" s="58" t="str">
        <v/>
      </c>
      <c r="Y226" s="75" t="str">
        <v/>
      </c>
      <c r="Z226" s="59">
        <v>0.54696341291648753</v>
      </c>
      <c r="AA226" s="61">
        <v>16</v>
      </c>
      <c r="AB226" s="61">
        <v>25</v>
      </c>
      <c r="AC226" s="61" t="str">
        <v/>
      </c>
      <c r="AD226" s="62" t="str">
        <v>QFD25 → XT25</v>
      </c>
      <c r="AE226" s="62" t="str">
        <v/>
      </c>
      <c r="AF226" s="34">
        <v>25</v>
      </c>
      <c r="AG226" s="34" t="str">
        <v>QFD25</v>
      </c>
      <c r="AH226" s="34" t="str">
        <v/>
      </c>
      <c r="AI226" s="34" t="str">
        <v/>
      </c>
      <c r="AJ226" s="34" t="str">
        <v>QFD25</v>
      </c>
      <c r="AK226" s="34">
        <v>1</v>
      </c>
      <c r="AL226" s="34" t="str">
        <v>R</v>
      </c>
      <c r="AM226" s="34">
        <v>30</v>
      </c>
      <c r="AN226" s="34">
        <v>0</v>
      </c>
      <c r="AO226" s="34">
        <v>16</v>
      </c>
      <c r="AP226" s="34">
        <v>25</v>
      </c>
      <c r="AQ226" s="34">
        <v>16</v>
      </c>
      <c r="AR226" s="34">
        <v>1</v>
      </c>
      <c r="AS226" s="34">
        <v>1</v>
      </c>
      <c r="AT226" s="34" t="str">
        <v>2P</v>
      </c>
      <c r="AU226" s="34">
        <v>16</v>
      </c>
      <c r="AV226" s="34" t="str">
        <v/>
      </c>
      <c r="AW226" s="34" t="str">
        <v/>
      </c>
      <c r="AX226" s="34" t="str">
        <v/>
      </c>
      <c r="AY226" s="34">
        <v>1</v>
      </c>
      <c r="AZ226" s="34" t="str">
        <v/>
      </c>
      <c r="BA226" s="34">
        <v>0</v>
      </c>
      <c r="BB226" s="34">
        <v>16</v>
      </c>
      <c r="BD226" s="34">
        <v>1</v>
      </c>
      <c r="BE226" s="34">
        <v>0</v>
      </c>
      <c r="BF226" s="34">
        <v>1</v>
      </c>
      <c r="BG226" s="34" t="str">
        <v/>
      </c>
      <c r="BH226" s="34" t="str">
        <v/>
      </c>
      <c r="BI226" s="34" t="str">
        <v/>
      </c>
      <c r="BJ226" s="34" t="str">
        <v/>
      </c>
      <c r="BK226" s="34" t="str">
        <v>SOCKET</v>
      </c>
      <c r="BL226" s="34">
        <v>1</v>
      </c>
      <c r="BM226" s="34" t="str">
        <v/>
      </c>
      <c r="BN226" s="34" t="str">
        <v/>
      </c>
      <c r="BO226" s="34" t="str">
        <v/>
      </c>
      <c r="BP226" s="34" t="str">
        <v/>
      </c>
      <c r="BQ226" s="34" t="str">
        <v>3х2,5</v>
      </c>
      <c r="BR226" s="34" t="str">
        <v/>
      </c>
      <c r="BS226" s="34" t="str">
        <v/>
      </c>
      <c r="BT226" s="34" t="str">
        <v/>
      </c>
      <c r="BU226" s="34">
        <v>0</v>
      </c>
      <c r="BV226" s="34">
        <v>247</v>
      </c>
      <c r="BW226" s="34">
        <v>1</v>
      </c>
      <c r="BX226" s="34">
        <v>0</v>
      </c>
      <c r="BY226" s="34" t="str">
        <v>Розетка</v>
      </c>
      <c r="BZ226">
        <v>10</v>
      </c>
      <c r="CA226" t="str">
        <v>линии</v>
      </c>
    </row>
    <row r="227" spans="1:79" x14ac:dyDescent="0.3">
      <c r="A227" s="39" t="str">
        <v>ЩР-1</v>
      </c>
      <c r="B227" s="42">
        <v>38</v>
      </c>
      <c r="C227" s="42">
        <v>3</v>
      </c>
      <c r="D227" s="75" t="str">
        <v/>
      </c>
      <c r="E227" s="75" t="str">
        <v>авто</v>
      </c>
      <c r="F227" s="76">
        <v>30</v>
      </c>
      <c r="G227" s="47" t="str">
        <v>QFD26</v>
      </c>
      <c r="H227" s="47" t="str">
        <v>2P С16А 30мА</v>
      </c>
      <c r="I227" s="75" t="str">
        <v/>
      </c>
      <c r="J227" s="76" t="str">
        <v/>
      </c>
      <c r="K227" s="76" t="str">
        <v/>
      </c>
      <c r="L227" s="75" t="str">
        <v/>
      </c>
      <c r="M227" s="49" t="str">
        <v/>
      </c>
      <c r="N227" s="76" t="str">
        <v/>
      </c>
      <c r="O227" s="49" t="str">
        <v/>
      </c>
      <c r="P227" s="77" t="str">
        <v/>
      </c>
      <c r="Q227" s="53" t="str">
        <v>ВВГнг(А)-LS (3х2,5) L=106-0,87%</v>
      </c>
      <c r="R227" s="54" t="str">
        <v>R.1.006Aб.1</v>
      </c>
      <c r="S227" s="55" t="str">
        <v>Розеточная группа, пом. 006Aб</v>
      </c>
      <c r="T227" s="56">
        <v>0.24</v>
      </c>
      <c r="U227" s="56">
        <v>1.1000000000000001</v>
      </c>
      <c r="V227" s="42" t="str">
        <v>L2</v>
      </c>
      <c r="W227" s="57" t="str">
        <v>ok</v>
      </c>
      <c r="X227" s="58" t="str">
        <v/>
      </c>
      <c r="Y227" s="75" t="str">
        <v/>
      </c>
      <c r="Z227" s="59">
        <v>1.0939268258329751</v>
      </c>
      <c r="AA227" s="61">
        <v>16</v>
      </c>
      <c r="AB227" s="61">
        <v>25</v>
      </c>
      <c r="AC227" s="61" t="str">
        <v/>
      </c>
      <c r="AD227" s="62" t="str">
        <v>QFD26</v>
      </c>
      <c r="AE227" s="62" t="str">
        <v/>
      </c>
      <c r="AF227" s="34">
        <v>26</v>
      </c>
      <c r="AG227" s="34" t="str">
        <v>QFD26</v>
      </c>
      <c r="AH227" s="34" t="str">
        <v/>
      </c>
      <c r="AI227" s="34" t="str">
        <v/>
      </c>
      <c r="AJ227" s="34" t="str">
        <v>QFD26</v>
      </c>
      <c r="AK227" s="34">
        <v>1</v>
      </c>
      <c r="AL227" s="34" t="str">
        <v>R</v>
      </c>
      <c r="AM227" s="34">
        <v>30</v>
      </c>
      <c r="AN227" s="34">
        <v>0</v>
      </c>
      <c r="AO227" s="34">
        <v>16</v>
      </c>
      <c r="AP227" s="34">
        <v>25</v>
      </c>
      <c r="AQ227" s="34">
        <v>16</v>
      </c>
      <c r="AR227" s="34">
        <v>1</v>
      </c>
      <c r="AS227" s="34">
        <v>1</v>
      </c>
      <c r="AT227" s="34" t="str">
        <v>2P</v>
      </c>
      <c r="AU227" s="34">
        <v>16</v>
      </c>
      <c r="AV227" s="34" t="str">
        <v/>
      </c>
      <c r="AW227" s="34" t="str">
        <v/>
      </c>
      <c r="AX227" s="34" t="str">
        <v/>
      </c>
      <c r="AY227" s="34">
        <v>1</v>
      </c>
      <c r="AZ227" s="34" t="str">
        <v/>
      </c>
      <c r="BA227" s="34">
        <v>0</v>
      </c>
      <c r="BB227" s="34">
        <v>16</v>
      </c>
      <c r="BD227" s="34">
        <v>1</v>
      </c>
      <c r="BE227" s="34">
        <v>0</v>
      </c>
      <c r="BF227" s="34">
        <v>1</v>
      </c>
      <c r="BG227" s="34" t="str">
        <v/>
      </c>
      <c r="BH227" s="34" t="str">
        <v/>
      </c>
      <c r="BI227" s="34" t="str">
        <v/>
      </c>
      <c r="BJ227" s="34" t="str">
        <v/>
      </c>
      <c r="BK227" s="34" t="str">
        <v>SOCKET</v>
      </c>
      <c r="BL227" s="34">
        <v>1</v>
      </c>
      <c r="BM227" s="34" t="str">
        <v/>
      </c>
      <c r="BN227" s="34" t="str">
        <v/>
      </c>
      <c r="BO227" s="34" t="str">
        <v/>
      </c>
      <c r="BP227" s="34" t="str">
        <v/>
      </c>
      <c r="BQ227" s="34" t="str">
        <v>3х2,5</v>
      </c>
      <c r="BR227" s="34" t="str">
        <v/>
      </c>
      <c r="BS227" s="34" t="str">
        <v/>
      </c>
      <c r="BT227" s="34" t="str">
        <v/>
      </c>
      <c r="BU227" s="34">
        <v>0</v>
      </c>
      <c r="BV227" s="34">
        <v>248</v>
      </c>
      <c r="BW227" s="34">
        <v>1</v>
      </c>
      <c r="BX227" s="34">
        <v>0</v>
      </c>
      <c r="BY227" s="34" t="str">
        <v>Розетка</v>
      </c>
      <c r="BZ227">
        <v>10</v>
      </c>
      <c r="CA227" t="str">
        <v>линии</v>
      </c>
    </row>
    <row r="228" spans="1:79" x14ac:dyDescent="0.3">
      <c r="A228" s="39" t="str">
        <v>ЩР-1</v>
      </c>
      <c r="B228" s="42">
        <v>39</v>
      </c>
      <c r="C228" s="42">
        <v>3</v>
      </c>
      <c r="D228" s="75" t="str">
        <v/>
      </c>
      <c r="E228" s="75" t="str">
        <v>авто</v>
      </c>
      <c r="F228" s="76">
        <v>30</v>
      </c>
      <c r="G228" s="47" t="str">
        <v>QFD27</v>
      </c>
      <c r="H228" s="47" t="str">
        <v>2P С16А 30мА</v>
      </c>
      <c r="I228" s="75" t="str">
        <v/>
      </c>
      <c r="J228" s="76" t="str">
        <v/>
      </c>
      <c r="K228" s="76" t="str">
        <v/>
      </c>
      <c r="L228" s="75" t="str">
        <v/>
      </c>
      <c r="M228" s="49" t="str">
        <v/>
      </c>
      <c r="N228" s="76" t="str">
        <v/>
      </c>
      <c r="O228" s="49" t="str">
        <v/>
      </c>
      <c r="P228" s="77" t="str">
        <v/>
      </c>
      <c r="Q228" s="53" t="str">
        <v>ВВГнг(А)-LS (3х2,5) L=124-1,27%</v>
      </c>
      <c r="R228" s="54" t="str">
        <v>R.1.006Aб.2</v>
      </c>
      <c r="S228" s="55" t="str">
        <v>Розеточная группа, пом. 006Aб</v>
      </c>
      <c r="T228" s="56">
        <v>0.3</v>
      </c>
      <c r="U228" s="56">
        <v>1.37</v>
      </c>
      <c r="V228" s="42" t="str">
        <v>L2</v>
      </c>
      <c r="W228" s="57" t="str">
        <v>ok</v>
      </c>
      <c r="X228" s="58" t="str">
        <v/>
      </c>
      <c r="Y228" s="75" t="str">
        <v/>
      </c>
      <c r="Z228" s="59">
        <v>1.3674085322912188</v>
      </c>
      <c r="AA228" s="61">
        <v>16</v>
      </c>
      <c r="AB228" s="61">
        <v>25</v>
      </c>
      <c r="AC228" s="61" t="str">
        <v/>
      </c>
      <c r="AD228" s="62" t="str">
        <v>QFD27</v>
      </c>
      <c r="AE228" s="62" t="str">
        <v/>
      </c>
      <c r="AF228" s="34">
        <v>27</v>
      </c>
      <c r="AG228" s="34" t="str">
        <v>QFD27</v>
      </c>
      <c r="AH228" s="34" t="str">
        <v/>
      </c>
      <c r="AI228" s="34" t="str">
        <v/>
      </c>
      <c r="AJ228" s="34" t="str">
        <v>QFD27</v>
      </c>
      <c r="AK228" s="34">
        <v>1</v>
      </c>
      <c r="AL228" s="34" t="str">
        <v>R</v>
      </c>
      <c r="AM228" s="34">
        <v>30</v>
      </c>
      <c r="AN228" s="34">
        <v>0</v>
      </c>
      <c r="AO228" s="34">
        <v>16</v>
      </c>
      <c r="AP228" s="34">
        <v>25</v>
      </c>
      <c r="AQ228" s="34">
        <v>16</v>
      </c>
      <c r="AR228" s="34">
        <v>1</v>
      </c>
      <c r="AS228" s="34">
        <v>1</v>
      </c>
      <c r="AT228" s="34" t="str">
        <v>2P</v>
      </c>
      <c r="AU228" s="34">
        <v>16</v>
      </c>
      <c r="AV228" s="34" t="str">
        <v/>
      </c>
      <c r="AW228" s="34" t="str">
        <v/>
      </c>
      <c r="AX228" s="34" t="str">
        <v/>
      </c>
      <c r="AY228" s="34">
        <v>1</v>
      </c>
      <c r="AZ228" s="34" t="str">
        <v/>
      </c>
      <c r="BA228" s="34">
        <v>0</v>
      </c>
      <c r="BB228" s="34">
        <v>16</v>
      </c>
      <c r="BD228" s="34">
        <v>1</v>
      </c>
      <c r="BE228" s="34">
        <v>0</v>
      </c>
      <c r="BF228" s="34">
        <v>1</v>
      </c>
      <c r="BG228" s="34" t="str">
        <v/>
      </c>
      <c r="BH228" s="34" t="str">
        <v/>
      </c>
      <c r="BI228" s="34" t="str">
        <v/>
      </c>
      <c r="BJ228" s="34" t="str">
        <v/>
      </c>
      <c r="BK228" s="34" t="str">
        <v>SOCKET</v>
      </c>
      <c r="BL228" s="34">
        <v>1</v>
      </c>
      <c r="BM228" s="34" t="str">
        <v/>
      </c>
      <c r="BN228" s="34" t="str">
        <v/>
      </c>
      <c r="BO228" s="34" t="str">
        <v/>
      </c>
      <c r="BP228" s="34" t="str">
        <v/>
      </c>
      <c r="BQ228" s="34" t="str">
        <v>3х2,5</v>
      </c>
      <c r="BR228" s="34" t="str">
        <v/>
      </c>
      <c r="BS228" s="34" t="str">
        <v/>
      </c>
      <c r="BT228" s="34" t="str">
        <v/>
      </c>
      <c r="BU228" s="34">
        <v>0</v>
      </c>
      <c r="BV228" s="34">
        <v>249</v>
      </c>
      <c r="BW228" s="34">
        <v>1</v>
      </c>
      <c r="BX228" s="34">
        <v>0</v>
      </c>
      <c r="BY228" s="34" t="str">
        <v>Розетка</v>
      </c>
      <c r="BZ228">
        <v>10</v>
      </c>
      <c r="CA228" t="str">
        <v>линии</v>
      </c>
    </row>
    <row r="229" spans="1:79" x14ac:dyDescent="0.3">
      <c r="A229" s="39" t="str">
        <v>ЩР-1</v>
      </c>
      <c r="B229" s="42">
        <v>40</v>
      </c>
      <c r="C229" s="42">
        <v>3</v>
      </c>
      <c r="D229" s="75" t="str">
        <v/>
      </c>
      <c r="E229" s="75" t="str">
        <v>авто</v>
      </c>
      <c r="F229" s="76">
        <v>30</v>
      </c>
      <c r="G229" s="47" t="str">
        <v>QFD28</v>
      </c>
      <c r="H229" s="47" t="str">
        <v>2P С16А 30мА</v>
      </c>
      <c r="I229" s="75" t="str">
        <v/>
      </c>
      <c r="J229" s="76" t="str">
        <v/>
      </c>
      <c r="K229" s="76" t="str">
        <v/>
      </c>
      <c r="L229" s="75" t="str">
        <v/>
      </c>
      <c r="M229" s="49" t="str">
        <v/>
      </c>
      <c r="N229" s="76" t="str">
        <v/>
      </c>
      <c r="O229" s="49" t="str">
        <v/>
      </c>
      <c r="P229" s="77" t="str">
        <v/>
      </c>
      <c r="Q229" s="53" t="str">
        <v>ВВГнг(А)-LS (3х2,5) L=45-0,37%</v>
      </c>
      <c r="R229" s="54" t="str">
        <v>R.1.007A.1</v>
      </c>
      <c r="S229" s="55" t="str">
        <v>Розеточная группа, пом. 007A</v>
      </c>
      <c r="T229" s="56">
        <v>0.24</v>
      </c>
      <c r="U229" s="56">
        <v>1.1000000000000001</v>
      </c>
      <c r="V229" s="42" t="str">
        <v>L2</v>
      </c>
      <c r="W229" s="57" t="str">
        <v>ok</v>
      </c>
      <c r="X229" s="58" t="str">
        <v/>
      </c>
      <c r="Y229" s="75" t="str">
        <v/>
      </c>
      <c r="Z229" s="59">
        <v>1.0939268258329751</v>
      </c>
      <c r="AA229" s="61">
        <v>16</v>
      </c>
      <c r="AB229" s="61">
        <v>25</v>
      </c>
      <c r="AC229" s="61" t="str">
        <v/>
      </c>
      <c r="AD229" s="62" t="str">
        <v>QFD28</v>
      </c>
      <c r="AE229" s="62" t="str">
        <v/>
      </c>
      <c r="AF229" s="34">
        <v>28</v>
      </c>
      <c r="AG229" s="34" t="str">
        <v>QFD28</v>
      </c>
      <c r="AH229" s="34" t="str">
        <v/>
      </c>
      <c r="AI229" s="34" t="str">
        <v/>
      </c>
      <c r="AJ229" s="34" t="str">
        <v>QFD28</v>
      </c>
      <c r="AK229" s="34">
        <v>1</v>
      </c>
      <c r="AL229" s="34" t="str">
        <v>R</v>
      </c>
      <c r="AM229" s="34">
        <v>30</v>
      </c>
      <c r="AN229" s="34">
        <v>0</v>
      </c>
      <c r="AO229" s="34">
        <v>16</v>
      </c>
      <c r="AP229" s="34">
        <v>25</v>
      </c>
      <c r="AQ229" s="34">
        <v>16</v>
      </c>
      <c r="AR229" s="34">
        <v>1</v>
      </c>
      <c r="AS229" s="34">
        <v>1</v>
      </c>
      <c r="AT229" s="34" t="str">
        <v>2P</v>
      </c>
      <c r="AU229" s="34">
        <v>16</v>
      </c>
      <c r="AV229" s="34" t="str">
        <v/>
      </c>
      <c r="AW229" s="34" t="str">
        <v/>
      </c>
      <c r="AX229" s="34" t="str">
        <v/>
      </c>
      <c r="AY229" s="34">
        <v>1</v>
      </c>
      <c r="AZ229" s="34" t="str">
        <v/>
      </c>
      <c r="BA229" s="34">
        <v>0</v>
      </c>
      <c r="BB229" s="34">
        <v>16</v>
      </c>
      <c r="BD229" s="34">
        <v>1</v>
      </c>
      <c r="BE229" s="34">
        <v>0</v>
      </c>
      <c r="BF229" s="34">
        <v>1</v>
      </c>
      <c r="BG229" s="34" t="str">
        <v/>
      </c>
      <c r="BH229" s="34" t="str">
        <v/>
      </c>
      <c r="BI229" s="34" t="str">
        <v/>
      </c>
      <c r="BJ229" s="34" t="str">
        <v/>
      </c>
      <c r="BK229" s="34" t="str">
        <v>SOCKET</v>
      </c>
      <c r="BL229" s="34">
        <v>1</v>
      </c>
      <c r="BM229" s="34" t="str">
        <v/>
      </c>
      <c r="BN229" s="34" t="str">
        <v/>
      </c>
      <c r="BO229" s="34" t="str">
        <v/>
      </c>
      <c r="BP229" s="34" t="str">
        <v/>
      </c>
      <c r="BQ229" s="34" t="str">
        <v>3х2,5</v>
      </c>
      <c r="BR229" s="34" t="str">
        <v/>
      </c>
      <c r="BS229" s="34" t="str">
        <v/>
      </c>
      <c r="BT229" s="34" t="str">
        <v/>
      </c>
      <c r="BU229" s="34">
        <v>0</v>
      </c>
      <c r="BV229" s="34">
        <v>250</v>
      </c>
      <c r="BW229" s="34">
        <v>1</v>
      </c>
      <c r="BX229" s="34">
        <v>0</v>
      </c>
      <c r="BY229" s="34" t="str">
        <v>Розетка</v>
      </c>
      <c r="BZ229">
        <v>10</v>
      </c>
      <c r="CA229" t="str">
        <v>линии</v>
      </c>
    </row>
    <row r="230" spans="1:79" x14ac:dyDescent="0.3">
      <c r="A230" s="39" t="str">
        <v>ЩР-1</v>
      </c>
      <c r="B230" s="42">
        <v>41</v>
      </c>
      <c r="C230" s="42">
        <v>3</v>
      </c>
      <c r="D230" s="75" t="str">
        <v/>
      </c>
      <c r="E230" s="75" t="str">
        <v>авто</v>
      </c>
      <c r="F230" s="76">
        <v>30</v>
      </c>
      <c r="G230" s="47" t="str">
        <v>QFD29</v>
      </c>
      <c r="H230" s="47" t="str">
        <v>2P С16А 30мА</v>
      </c>
      <c r="I230" s="75" t="str">
        <v/>
      </c>
      <c r="J230" s="76" t="str">
        <v/>
      </c>
      <c r="K230" s="76" t="str">
        <v/>
      </c>
      <c r="L230" s="75" t="str">
        <v/>
      </c>
      <c r="M230" s="49" t="str">
        <v/>
      </c>
      <c r="N230" s="76" t="str">
        <v/>
      </c>
      <c r="O230" s="49" t="str">
        <v/>
      </c>
      <c r="P230" s="77" t="str">
        <v/>
      </c>
      <c r="Q230" s="53" t="str">
        <v>ВВГнг(А)-LS (3х2,5) L=51-0,21%</v>
      </c>
      <c r="R230" s="54" t="str">
        <v>R.1.008A.1</v>
      </c>
      <c r="S230" s="55" t="str">
        <v>Розеточная группа, пом. 008A</v>
      </c>
      <c r="T230" s="56">
        <v>0.12</v>
      </c>
      <c r="U230" s="56">
        <v>0.55000000000000004</v>
      </c>
      <c r="V230" s="42" t="str">
        <v>L3</v>
      </c>
      <c r="W230" s="57" t="str">
        <v>ok</v>
      </c>
      <c r="X230" s="58" t="str">
        <v/>
      </c>
      <c r="Y230" s="75" t="str">
        <v/>
      </c>
      <c r="Z230" s="59">
        <v>0.54696341291648753</v>
      </c>
      <c r="AA230" s="61">
        <v>16</v>
      </c>
      <c r="AB230" s="61">
        <v>25</v>
      </c>
      <c r="AC230" s="61" t="str">
        <v/>
      </c>
      <c r="AD230" s="62" t="str">
        <v>QFD29</v>
      </c>
      <c r="AE230" s="62" t="str">
        <v/>
      </c>
      <c r="AF230" s="34">
        <v>29</v>
      </c>
      <c r="AG230" s="34" t="str">
        <v>QFD29</v>
      </c>
      <c r="AH230" s="34" t="str">
        <v/>
      </c>
      <c r="AI230" s="34" t="str">
        <v/>
      </c>
      <c r="AJ230" s="34" t="str">
        <v>QFD29</v>
      </c>
      <c r="AK230" s="34">
        <v>1</v>
      </c>
      <c r="AL230" s="34" t="str">
        <v>R</v>
      </c>
      <c r="AM230" s="34">
        <v>30</v>
      </c>
      <c r="AN230" s="34">
        <v>0</v>
      </c>
      <c r="AO230" s="34">
        <v>16</v>
      </c>
      <c r="AP230" s="34">
        <v>25</v>
      </c>
      <c r="AQ230" s="34">
        <v>16</v>
      </c>
      <c r="AR230" s="34">
        <v>1</v>
      </c>
      <c r="AS230" s="34">
        <v>1</v>
      </c>
      <c r="AT230" s="34" t="str">
        <v>2P</v>
      </c>
      <c r="AU230" s="34">
        <v>16</v>
      </c>
      <c r="AV230" s="34" t="str">
        <v/>
      </c>
      <c r="AW230" s="34" t="str">
        <v/>
      </c>
      <c r="AX230" s="34" t="str">
        <v/>
      </c>
      <c r="AY230" s="34">
        <v>1</v>
      </c>
      <c r="AZ230" s="34" t="str">
        <v/>
      </c>
      <c r="BA230" s="34">
        <v>0</v>
      </c>
      <c r="BB230" s="34">
        <v>16</v>
      </c>
      <c r="BD230" s="34">
        <v>1</v>
      </c>
      <c r="BE230" s="34">
        <v>0</v>
      </c>
      <c r="BF230" s="34">
        <v>1</v>
      </c>
      <c r="BG230" s="34" t="str">
        <v/>
      </c>
      <c r="BH230" s="34" t="str">
        <v/>
      </c>
      <c r="BI230" s="34" t="str">
        <v/>
      </c>
      <c r="BJ230" s="34" t="str">
        <v/>
      </c>
      <c r="BK230" s="34" t="str">
        <v>SOCKET</v>
      </c>
      <c r="BL230" s="34">
        <v>1</v>
      </c>
      <c r="BM230" s="34" t="str">
        <v/>
      </c>
      <c r="BN230" s="34" t="str">
        <v/>
      </c>
      <c r="BO230" s="34" t="str">
        <v/>
      </c>
      <c r="BP230" s="34" t="str">
        <v/>
      </c>
      <c r="BQ230" s="34" t="str">
        <v>3х2,5</v>
      </c>
      <c r="BR230" s="34" t="str">
        <v/>
      </c>
      <c r="BS230" s="34" t="str">
        <v/>
      </c>
      <c r="BT230" s="34" t="str">
        <v/>
      </c>
      <c r="BU230" s="34">
        <v>0</v>
      </c>
      <c r="BV230" s="34">
        <v>251</v>
      </c>
      <c r="BW230" s="34">
        <v>1</v>
      </c>
      <c r="BX230" s="34">
        <v>0</v>
      </c>
      <c r="BY230" s="34" t="str">
        <v>Розетка</v>
      </c>
      <c r="BZ230">
        <v>10</v>
      </c>
      <c r="CA230" t="str">
        <v>линии</v>
      </c>
    </row>
    <row r="231" spans="1:79" x14ac:dyDescent="0.3">
      <c r="A231" s="39" t="str">
        <v>ЩР-1</v>
      </c>
      <c r="B231" s="42">
        <v>42</v>
      </c>
      <c r="C231" s="42">
        <v>3</v>
      </c>
      <c r="D231" s="75" t="str">
        <v/>
      </c>
      <c r="E231" s="75" t="str">
        <v>авто</v>
      </c>
      <c r="F231" s="76">
        <v>30</v>
      </c>
      <c r="G231" s="47" t="str">
        <v>QFD30</v>
      </c>
      <c r="H231" s="47" t="str">
        <v>2P С16А 30мА</v>
      </c>
      <c r="I231" s="75" t="str">
        <v/>
      </c>
      <c r="J231" s="76" t="str">
        <v/>
      </c>
      <c r="K231" s="76" t="str">
        <v/>
      </c>
      <c r="L231" s="75" t="str">
        <v/>
      </c>
      <c r="M231" s="49" t="str">
        <v/>
      </c>
      <c r="N231" s="76" t="str">
        <v/>
      </c>
      <c r="O231" s="49" t="str">
        <v/>
      </c>
      <c r="P231" s="77" t="str">
        <v/>
      </c>
      <c r="Q231" s="53" t="str">
        <v>ВВГнг(А)-LS (3х2,5) L=27-0,17%</v>
      </c>
      <c r="R231" s="54" t="str">
        <v>R.1.009A.1</v>
      </c>
      <c r="S231" s="55" t="str">
        <v>Розеточная группа, пом. 009A</v>
      </c>
      <c r="T231" s="56">
        <v>0.18</v>
      </c>
      <c r="U231" s="56">
        <v>0.83</v>
      </c>
      <c r="V231" s="42" t="str">
        <v>L1</v>
      </c>
      <c r="W231" s="57" t="str">
        <v>ok</v>
      </c>
      <c r="X231" s="58" t="str">
        <v/>
      </c>
      <c r="Y231" s="75" t="str">
        <v/>
      </c>
      <c r="Z231" s="59">
        <v>0.8204451193747313</v>
      </c>
      <c r="AA231" s="61">
        <v>16</v>
      </c>
      <c r="AB231" s="61">
        <v>25</v>
      </c>
      <c r="AC231" s="61" t="str">
        <v/>
      </c>
      <c r="AD231" s="62" t="str">
        <v>QFD30</v>
      </c>
      <c r="AE231" s="62" t="str">
        <v/>
      </c>
      <c r="AF231" s="34">
        <v>30</v>
      </c>
      <c r="AG231" s="34" t="str">
        <v>QFD30</v>
      </c>
      <c r="AH231" s="34" t="str">
        <v/>
      </c>
      <c r="AI231" s="34" t="str">
        <v/>
      </c>
      <c r="AJ231" s="34" t="str">
        <v>QFD30</v>
      </c>
      <c r="AK231" s="34">
        <v>1</v>
      </c>
      <c r="AL231" s="34" t="str">
        <v>R</v>
      </c>
      <c r="AM231" s="34">
        <v>30</v>
      </c>
      <c r="AN231" s="34">
        <v>0</v>
      </c>
      <c r="AO231" s="34">
        <v>16</v>
      </c>
      <c r="AP231" s="34">
        <v>25</v>
      </c>
      <c r="AQ231" s="34">
        <v>16</v>
      </c>
      <c r="AR231" s="34">
        <v>1</v>
      </c>
      <c r="AS231" s="34">
        <v>1</v>
      </c>
      <c r="AT231" s="34" t="str">
        <v>2P</v>
      </c>
      <c r="AU231" s="34">
        <v>16</v>
      </c>
      <c r="AV231" s="34" t="str">
        <v/>
      </c>
      <c r="AW231" s="34" t="str">
        <v/>
      </c>
      <c r="AX231" s="34" t="str">
        <v/>
      </c>
      <c r="AY231" s="34">
        <v>1</v>
      </c>
      <c r="AZ231" s="34" t="str">
        <v/>
      </c>
      <c r="BA231" s="34">
        <v>0</v>
      </c>
      <c r="BB231" s="34">
        <v>16</v>
      </c>
      <c r="BD231" s="34">
        <v>1</v>
      </c>
      <c r="BE231" s="34">
        <v>0</v>
      </c>
      <c r="BF231" s="34">
        <v>1</v>
      </c>
      <c r="BG231" s="34" t="str">
        <v/>
      </c>
      <c r="BH231" s="34" t="str">
        <v/>
      </c>
      <c r="BI231" s="34" t="str">
        <v/>
      </c>
      <c r="BJ231" s="34" t="str">
        <v/>
      </c>
      <c r="BK231" s="34" t="str">
        <v>SOCKET</v>
      </c>
      <c r="BL231" s="34">
        <v>1</v>
      </c>
      <c r="BM231" s="34" t="str">
        <v/>
      </c>
      <c r="BN231" s="34" t="str">
        <v/>
      </c>
      <c r="BO231" s="34" t="str">
        <v/>
      </c>
      <c r="BP231" s="34" t="str">
        <v/>
      </c>
      <c r="BQ231" s="34" t="str">
        <v>3х2,5</v>
      </c>
      <c r="BR231" s="34" t="str">
        <v/>
      </c>
      <c r="BS231" s="34" t="str">
        <v/>
      </c>
      <c r="BT231" s="34" t="str">
        <v/>
      </c>
      <c r="BU231" s="34">
        <v>0</v>
      </c>
      <c r="BV231" s="34">
        <v>252</v>
      </c>
      <c r="BW231" s="34">
        <v>1</v>
      </c>
      <c r="BX231" s="34">
        <v>0</v>
      </c>
      <c r="BY231" s="34" t="str">
        <v>Розетка</v>
      </c>
      <c r="BZ231">
        <v>10</v>
      </c>
      <c r="CA231" t="str">
        <v>линии</v>
      </c>
    </row>
    <row r="232" spans="1:79" x14ac:dyDescent="0.3">
      <c r="A232" s="39" t="str">
        <v>ЩР-1</v>
      </c>
      <c r="B232" s="42">
        <v>43</v>
      </c>
      <c r="C232" s="42">
        <v>3</v>
      </c>
      <c r="D232" s="75" t="str">
        <v/>
      </c>
      <c r="E232" s="75" t="str">
        <v>авто</v>
      </c>
      <c r="F232" s="76">
        <v>30</v>
      </c>
      <c r="G232" s="47" t="str">
        <v>QFD31</v>
      </c>
      <c r="H232" s="47" t="str">
        <v>2P С16А 30мА</v>
      </c>
      <c r="I232" s="75" t="str">
        <v/>
      </c>
      <c r="J232" s="76" t="str">
        <v/>
      </c>
      <c r="K232" s="76" t="str">
        <v/>
      </c>
      <c r="L232" s="75" t="str">
        <v/>
      </c>
      <c r="M232" s="49" t="str">
        <v/>
      </c>
      <c r="N232" s="76" t="str">
        <v/>
      </c>
      <c r="O232" s="49" t="str">
        <v/>
      </c>
      <c r="P232" s="77" t="str">
        <v/>
      </c>
      <c r="Q232" s="53" t="str">
        <v>ВВГнг(А)-LS (3х2,5) L=45-0,37%</v>
      </c>
      <c r="R232" s="54" t="str">
        <v>R.1.010A.1</v>
      </c>
      <c r="S232" s="55" t="str">
        <v>Розеточная группа, пом. 010A</v>
      </c>
      <c r="T232" s="56">
        <v>0.24</v>
      </c>
      <c r="U232" s="56">
        <v>1.1000000000000001</v>
      </c>
      <c r="V232" s="42" t="str">
        <v>L1</v>
      </c>
      <c r="W232" s="57" t="str">
        <v>ok</v>
      </c>
      <c r="X232" s="58" t="str">
        <v/>
      </c>
      <c r="Y232" s="75" t="str">
        <v/>
      </c>
      <c r="Z232" s="59">
        <v>1.0939268258329751</v>
      </c>
      <c r="AA232" s="61">
        <v>16</v>
      </c>
      <c r="AB232" s="61">
        <v>25</v>
      </c>
      <c r="AC232" s="61" t="str">
        <v/>
      </c>
      <c r="AD232" s="62" t="str">
        <v>QFD31</v>
      </c>
      <c r="AE232" s="62" t="str">
        <v/>
      </c>
      <c r="AF232" s="34">
        <v>31</v>
      </c>
      <c r="AG232" s="34" t="str">
        <v>QFD31</v>
      </c>
      <c r="AH232" s="34" t="str">
        <v/>
      </c>
      <c r="AI232" s="34" t="str">
        <v/>
      </c>
      <c r="AJ232" s="34" t="str">
        <v>QFD31</v>
      </c>
      <c r="AK232" s="34">
        <v>1</v>
      </c>
      <c r="AL232" s="34" t="str">
        <v>R</v>
      </c>
      <c r="AM232" s="34">
        <v>30</v>
      </c>
      <c r="AN232" s="34">
        <v>0</v>
      </c>
      <c r="AO232" s="34">
        <v>16</v>
      </c>
      <c r="AP232" s="34">
        <v>25</v>
      </c>
      <c r="AQ232" s="34">
        <v>16</v>
      </c>
      <c r="AR232" s="34">
        <v>1</v>
      </c>
      <c r="AS232" s="34">
        <v>1</v>
      </c>
      <c r="AT232" s="34" t="str">
        <v>2P</v>
      </c>
      <c r="AU232" s="34">
        <v>16</v>
      </c>
      <c r="AV232" s="34" t="str">
        <v/>
      </c>
      <c r="AW232" s="34" t="str">
        <v/>
      </c>
      <c r="AX232" s="34" t="str">
        <v/>
      </c>
      <c r="AY232" s="34">
        <v>1</v>
      </c>
      <c r="AZ232" s="34" t="str">
        <v/>
      </c>
      <c r="BA232" s="34">
        <v>0</v>
      </c>
      <c r="BB232" s="34">
        <v>16</v>
      </c>
      <c r="BD232" s="34">
        <v>1</v>
      </c>
      <c r="BE232" s="34">
        <v>0</v>
      </c>
      <c r="BF232" s="34">
        <v>1</v>
      </c>
      <c r="BG232" s="34" t="str">
        <v/>
      </c>
      <c r="BH232" s="34" t="str">
        <v/>
      </c>
      <c r="BI232" s="34" t="str">
        <v/>
      </c>
      <c r="BJ232" s="34" t="str">
        <v/>
      </c>
      <c r="BK232" s="34" t="str">
        <v>SOCKET</v>
      </c>
      <c r="BL232" s="34">
        <v>1</v>
      </c>
      <c r="BM232" s="34" t="str">
        <v/>
      </c>
      <c r="BN232" s="34" t="str">
        <v/>
      </c>
      <c r="BO232" s="34" t="str">
        <v/>
      </c>
      <c r="BP232" s="34" t="str">
        <v/>
      </c>
      <c r="BQ232" s="34" t="str">
        <v>3х2,5</v>
      </c>
      <c r="BR232" s="34" t="str">
        <v/>
      </c>
      <c r="BS232" s="34" t="str">
        <v/>
      </c>
      <c r="BT232" s="34" t="str">
        <v/>
      </c>
      <c r="BU232" s="34">
        <v>0</v>
      </c>
      <c r="BV232" s="34">
        <v>253</v>
      </c>
      <c r="BW232" s="34">
        <v>1</v>
      </c>
      <c r="BX232" s="34">
        <v>0</v>
      </c>
      <c r="BY232" s="34" t="str">
        <v>Розетка</v>
      </c>
      <c r="BZ232">
        <v>10</v>
      </c>
      <c r="CA232" t="str">
        <v>линии</v>
      </c>
    </row>
    <row r="233" spans="1:79" x14ac:dyDescent="0.3">
      <c r="A233" s="39" t="str">
        <v>ЩР-1</v>
      </c>
      <c r="B233" s="42">
        <v>44</v>
      </c>
      <c r="C233" s="42">
        <v>3</v>
      </c>
      <c r="D233" s="75" t="str">
        <v/>
      </c>
      <c r="E233" s="75" t="str">
        <v>авто</v>
      </c>
      <c r="F233" s="76">
        <v>30</v>
      </c>
      <c r="G233" s="47" t="str">
        <v>QFD32</v>
      </c>
      <c r="H233" s="47" t="str">
        <v>2P С16А 30мА</v>
      </c>
      <c r="I233" s="75" t="str">
        <v/>
      </c>
      <c r="J233" s="76" t="str">
        <v/>
      </c>
      <c r="K233" s="76" t="str">
        <v/>
      </c>
      <c r="L233" s="75" t="str">
        <v/>
      </c>
      <c r="M233" s="49" t="str">
        <v/>
      </c>
      <c r="N233" s="76" t="str">
        <v/>
      </c>
      <c r="O233" s="49" t="str">
        <v/>
      </c>
      <c r="P233" s="77" t="str">
        <v/>
      </c>
      <c r="Q233" s="53" t="str">
        <v>ВВГнг(А)-LS (3х2,5) L=73-1,04%</v>
      </c>
      <c r="R233" s="54" t="str">
        <v>R.1.011A.1</v>
      </c>
      <c r="S233" s="55" t="str">
        <v>Розеточная группа, пом. 011A</v>
      </c>
      <c r="T233" s="56">
        <v>0.42</v>
      </c>
      <c r="U233" s="56">
        <v>1.92</v>
      </c>
      <c r="V233" s="42" t="str">
        <v>L1</v>
      </c>
      <c r="W233" s="57" t="str">
        <v>ok</v>
      </c>
      <c r="X233" s="58" t="str">
        <v/>
      </c>
      <c r="Y233" s="75" t="str">
        <v/>
      </c>
      <c r="Z233" s="59">
        <v>1.9143719452077064</v>
      </c>
      <c r="AA233" s="61">
        <v>16</v>
      </c>
      <c r="AB233" s="61">
        <v>25</v>
      </c>
      <c r="AC233" s="61" t="str">
        <v/>
      </c>
      <c r="AD233" s="62" t="str">
        <v>QFD32</v>
      </c>
      <c r="AE233" s="62" t="str">
        <v/>
      </c>
      <c r="AF233" s="34">
        <v>32</v>
      </c>
      <c r="AG233" s="34" t="str">
        <v>QFD32</v>
      </c>
      <c r="AH233" s="34" t="str">
        <v/>
      </c>
      <c r="AI233" s="34" t="str">
        <v/>
      </c>
      <c r="AJ233" s="34" t="str">
        <v>QFD32</v>
      </c>
      <c r="AK233" s="34">
        <v>1</v>
      </c>
      <c r="AL233" s="34" t="str">
        <v>R</v>
      </c>
      <c r="AM233" s="34">
        <v>30</v>
      </c>
      <c r="AN233" s="34">
        <v>0</v>
      </c>
      <c r="AO233" s="34">
        <v>16</v>
      </c>
      <c r="AP233" s="34">
        <v>25</v>
      </c>
      <c r="AQ233" s="34">
        <v>16</v>
      </c>
      <c r="AR233" s="34">
        <v>1</v>
      </c>
      <c r="AS233" s="34">
        <v>1</v>
      </c>
      <c r="AT233" s="34" t="str">
        <v>2P</v>
      </c>
      <c r="AU233" s="34">
        <v>16</v>
      </c>
      <c r="AV233" s="34" t="str">
        <v/>
      </c>
      <c r="AW233" s="34" t="str">
        <v/>
      </c>
      <c r="AX233" s="34" t="str">
        <v/>
      </c>
      <c r="AY233" s="34">
        <v>1</v>
      </c>
      <c r="AZ233" s="34" t="str">
        <v/>
      </c>
      <c r="BA233" s="34">
        <v>0</v>
      </c>
      <c r="BB233" s="34">
        <v>16</v>
      </c>
      <c r="BD233" s="34">
        <v>1</v>
      </c>
      <c r="BE233" s="34">
        <v>0</v>
      </c>
      <c r="BF233" s="34">
        <v>1</v>
      </c>
      <c r="BG233" s="34" t="str">
        <v/>
      </c>
      <c r="BH233" s="34" t="str">
        <v/>
      </c>
      <c r="BI233" s="34" t="str">
        <v/>
      </c>
      <c r="BJ233" s="34" t="str">
        <v/>
      </c>
      <c r="BK233" s="34" t="str">
        <v>SOCKET</v>
      </c>
      <c r="BL233" s="34">
        <v>1</v>
      </c>
      <c r="BM233" s="34" t="str">
        <v/>
      </c>
      <c r="BN233" s="34" t="str">
        <v/>
      </c>
      <c r="BO233" s="34" t="str">
        <v/>
      </c>
      <c r="BP233" s="34" t="str">
        <v/>
      </c>
      <c r="BQ233" s="34" t="str">
        <v>3х2,5</v>
      </c>
      <c r="BR233" s="34" t="str">
        <v/>
      </c>
      <c r="BS233" s="34" t="str">
        <v/>
      </c>
      <c r="BT233" s="34" t="str">
        <v/>
      </c>
      <c r="BU233" s="34">
        <v>0</v>
      </c>
      <c r="BV233" s="34">
        <v>254</v>
      </c>
      <c r="BW233" s="34">
        <v>1</v>
      </c>
      <c r="BX233" s="34">
        <v>0</v>
      </c>
      <c r="BY233" s="34" t="str">
        <v>Розетка</v>
      </c>
      <c r="BZ233">
        <v>10</v>
      </c>
      <c r="CA233" t="str">
        <v>линии</v>
      </c>
    </row>
    <row r="234" spans="1:79" x14ac:dyDescent="0.3">
      <c r="A234" s="39" t="str">
        <v>ЩР-1</v>
      </c>
      <c r="B234" s="42">
        <v>45</v>
      </c>
      <c r="C234" s="42">
        <v>3</v>
      </c>
      <c r="D234" s="75" t="str">
        <v/>
      </c>
      <c r="E234" s="75" t="str">
        <v>авто</v>
      </c>
      <c r="F234" s="76">
        <v>30</v>
      </c>
      <c r="G234" s="47" t="str">
        <v>QFD33</v>
      </c>
      <c r="H234" s="47" t="str">
        <v>2P С16А 30мА</v>
      </c>
      <c r="I234" s="75" t="str">
        <v/>
      </c>
      <c r="J234" s="76" t="str">
        <v/>
      </c>
      <c r="K234" s="76" t="str">
        <v/>
      </c>
      <c r="L234" s="75" t="str">
        <v/>
      </c>
      <c r="M234" s="49" t="str">
        <v/>
      </c>
      <c r="N234" s="76" t="str">
        <v/>
      </c>
      <c r="O234" s="49" t="str">
        <v/>
      </c>
      <c r="P234" s="77" t="str">
        <v/>
      </c>
      <c r="Q234" s="53" t="str">
        <v>ВВГнг(А)-LS (3х2,5) L=32-0,07%</v>
      </c>
      <c r="R234" s="54" t="str">
        <v>R.1.012.1A.1</v>
      </c>
      <c r="S234" s="55" t="str">
        <v>Розеточная группа, пом. 012</v>
      </c>
      <c r="T234" s="56">
        <v>0.06</v>
      </c>
      <c r="U234" s="56">
        <v>0.28000000000000003</v>
      </c>
      <c r="V234" s="42" t="str">
        <v>L1</v>
      </c>
      <c r="W234" s="57" t="str">
        <v>ok</v>
      </c>
      <c r="X234" s="58" t="str">
        <v/>
      </c>
      <c r="Y234" s="75" t="str">
        <v/>
      </c>
      <c r="Z234" s="59">
        <v>0.27348170645824377</v>
      </c>
      <c r="AA234" s="61">
        <v>16</v>
      </c>
      <c r="AB234" s="61">
        <v>25</v>
      </c>
      <c r="AC234" s="61" t="str">
        <v/>
      </c>
      <c r="AD234" s="62" t="str">
        <v>QFD33</v>
      </c>
      <c r="AE234" s="62" t="str">
        <v/>
      </c>
      <c r="AF234" s="34">
        <v>33</v>
      </c>
      <c r="AG234" s="34" t="str">
        <v>QFD33</v>
      </c>
      <c r="AH234" s="34" t="str">
        <v/>
      </c>
      <c r="AI234" s="34" t="str">
        <v/>
      </c>
      <c r="AJ234" s="34" t="str">
        <v>QFD33</v>
      </c>
      <c r="AK234" s="34">
        <v>1</v>
      </c>
      <c r="AL234" s="34" t="str">
        <v>R</v>
      </c>
      <c r="AM234" s="34">
        <v>30</v>
      </c>
      <c r="AN234" s="34">
        <v>0</v>
      </c>
      <c r="AO234" s="34">
        <v>16</v>
      </c>
      <c r="AP234" s="34">
        <v>25</v>
      </c>
      <c r="AQ234" s="34">
        <v>16</v>
      </c>
      <c r="AR234" s="34">
        <v>1</v>
      </c>
      <c r="AS234" s="34">
        <v>1</v>
      </c>
      <c r="AT234" s="34" t="str">
        <v>2P</v>
      </c>
      <c r="AU234" s="34">
        <v>16</v>
      </c>
      <c r="AV234" s="34" t="str">
        <v/>
      </c>
      <c r="AW234" s="34" t="str">
        <v/>
      </c>
      <c r="AX234" s="34" t="str">
        <v/>
      </c>
      <c r="AY234" s="34">
        <v>1</v>
      </c>
      <c r="AZ234" s="34" t="str">
        <v/>
      </c>
      <c r="BA234" s="34">
        <v>0</v>
      </c>
      <c r="BB234" s="34">
        <v>16</v>
      </c>
      <c r="BD234" s="34">
        <v>1</v>
      </c>
      <c r="BE234" s="34">
        <v>0</v>
      </c>
      <c r="BF234" s="34">
        <v>1</v>
      </c>
      <c r="BG234" s="34" t="str">
        <v/>
      </c>
      <c r="BH234" s="34" t="str">
        <v/>
      </c>
      <c r="BI234" s="34" t="str">
        <v/>
      </c>
      <c r="BJ234" s="34" t="str">
        <v/>
      </c>
      <c r="BK234" s="34" t="str">
        <v>SOCKET</v>
      </c>
      <c r="BL234" s="34">
        <v>1</v>
      </c>
      <c r="BM234" s="34" t="str">
        <v/>
      </c>
      <c r="BN234" s="34" t="str">
        <v/>
      </c>
      <c r="BO234" s="34" t="str">
        <v/>
      </c>
      <c r="BP234" s="34" t="str">
        <v/>
      </c>
      <c r="BQ234" s="34" t="str">
        <v>3х2,5</v>
      </c>
      <c r="BR234" s="34" t="str">
        <v/>
      </c>
      <c r="BS234" s="34" t="str">
        <v/>
      </c>
      <c r="BT234" s="34" t="str">
        <v/>
      </c>
      <c r="BU234" s="34">
        <v>0</v>
      </c>
      <c r="BV234" s="34">
        <v>255</v>
      </c>
      <c r="BW234" s="34">
        <v>1</v>
      </c>
      <c r="BX234" s="34">
        <v>0</v>
      </c>
      <c r="BY234" s="34" t="str">
        <v>Розетка</v>
      </c>
      <c r="BZ234">
        <v>10</v>
      </c>
      <c r="CA234" t="str">
        <v>линии</v>
      </c>
    </row>
    <row r="235" spans="1:79" x14ac:dyDescent="0.3">
      <c r="A235" s="39" t="str">
        <v>ЩР-1</v>
      </c>
      <c r="B235" s="42">
        <v>46</v>
      </c>
      <c r="C235" s="42">
        <v>3</v>
      </c>
      <c r="D235" s="75" t="str">
        <v/>
      </c>
      <c r="E235" s="75" t="str">
        <v>авто</v>
      </c>
      <c r="F235" s="76">
        <v>30</v>
      </c>
      <c r="G235" s="47" t="str">
        <v>QFD34</v>
      </c>
      <c r="H235" s="47" t="str">
        <v>2P С16А 30мА</v>
      </c>
      <c r="I235" s="75" t="str">
        <v/>
      </c>
      <c r="J235" s="76" t="str">
        <v/>
      </c>
      <c r="K235" s="76" t="str">
        <v/>
      </c>
      <c r="L235" s="75" t="str">
        <v/>
      </c>
      <c r="M235" s="49" t="str">
        <v/>
      </c>
      <c r="N235" s="76" t="str">
        <v/>
      </c>
      <c r="O235" s="49" t="str">
        <v/>
      </c>
      <c r="P235" s="77" t="str">
        <v/>
      </c>
      <c r="Q235" s="53" t="str">
        <v>ВВГнг(А)-LS (3х2,5) L=38-0,08%</v>
      </c>
      <c r="R235" s="54" t="str">
        <v>R.1.013A.1</v>
      </c>
      <c r="S235" s="55" t="str">
        <v>Розеточная группа, пом. 013A</v>
      </c>
      <c r="T235" s="56">
        <v>0.06</v>
      </c>
      <c r="U235" s="56">
        <v>0.28000000000000003</v>
      </c>
      <c r="V235" s="42" t="str">
        <v>L1</v>
      </c>
      <c r="W235" s="57" t="str">
        <v>ok</v>
      </c>
      <c r="X235" s="58" t="str">
        <v/>
      </c>
      <c r="Y235" s="75" t="str">
        <v/>
      </c>
      <c r="Z235" s="59">
        <v>0.27348170645824377</v>
      </c>
      <c r="AA235" s="61">
        <v>16</v>
      </c>
      <c r="AB235" s="61">
        <v>25</v>
      </c>
      <c r="AC235" s="61" t="str">
        <v/>
      </c>
      <c r="AD235" s="62" t="str">
        <v>QFD34</v>
      </c>
      <c r="AE235" s="62" t="str">
        <v/>
      </c>
      <c r="AF235" s="34">
        <v>34</v>
      </c>
      <c r="AG235" s="34" t="str">
        <v>QFD34</v>
      </c>
      <c r="AH235" s="34" t="str">
        <v/>
      </c>
      <c r="AI235" s="34" t="str">
        <v/>
      </c>
      <c r="AJ235" s="34" t="str">
        <v>QFD34</v>
      </c>
      <c r="AK235" s="34">
        <v>1</v>
      </c>
      <c r="AL235" s="34" t="str">
        <v>R</v>
      </c>
      <c r="AM235" s="34">
        <v>30</v>
      </c>
      <c r="AN235" s="34">
        <v>0</v>
      </c>
      <c r="AO235" s="34">
        <v>16</v>
      </c>
      <c r="AP235" s="34">
        <v>25</v>
      </c>
      <c r="AQ235" s="34">
        <v>16</v>
      </c>
      <c r="AR235" s="34">
        <v>1</v>
      </c>
      <c r="AS235" s="34">
        <v>1</v>
      </c>
      <c r="AT235" s="34" t="str">
        <v>2P</v>
      </c>
      <c r="AU235" s="34">
        <v>16</v>
      </c>
      <c r="AV235" s="34" t="str">
        <v/>
      </c>
      <c r="AW235" s="34" t="str">
        <v/>
      </c>
      <c r="AX235" s="34" t="str">
        <v/>
      </c>
      <c r="AY235" s="34">
        <v>1</v>
      </c>
      <c r="AZ235" s="34" t="str">
        <v/>
      </c>
      <c r="BA235" s="34">
        <v>0</v>
      </c>
      <c r="BB235" s="34">
        <v>16</v>
      </c>
      <c r="BD235" s="34">
        <v>1</v>
      </c>
      <c r="BE235" s="34">
        <v>0</v>
      </c>
      <c r="BF235" s="34">
        <v>1</v>
      </c>
      <c r="BG235" s="34" t="str">
        <v/>
      </c>
      <c r="BH235" s="34" t="str">
        <v/>
      </c>
      <c r="BI235" s="34" t="str">
        <v/>
      </c>
      <c r="BJ235" s="34" t="str">
        <v/>
      </c>
      <c r="BK235" s="34" t="str">
        <v>SOCKET</v>
      </c>
      <c r="BL235" s="34">
        <v>1</v>
      </c>
      <c r="BM235" s="34" t="str">
        <v/>
      </c>
      <c r="BN235" s="34" t="str">
        <v/>
      </c>
      <c r="BO235" s="34" t="str">
        <v/>
      </c>
      <c r="BP235" s="34" t="str">
        <v/>
      </c>
      <c r="BQ235" s="34" t="str">
        <v>3х2,5</v>
      </c>
      <c r="BR235" s="34" t="str">
        <v/>
      </c>
      <c r="BS235" s="34" t="str">
        <v/>
      </c>
      <c r="BT235" s="34" t="str">
        <v/>
      </c>
      <c r="BU235" s="34">
        <v>0</v>
      </c>
      <c r="BV235" s="34">
        <v>256</v>
      </c>
      <c r="BW235" s="34">
        <v>1</v>
      </c>
      <c r="BX235" s="34">
        <v>0</v>
      </c>
      <c r="BY235" s="34" t="str">
        <v>Розетка</v>
      </c>
      <c r="BZ235">
        <v>10</v>
      </c>
      <c r="CA235" t="str">
        <v>линии</v>
      </c>
    </row>
    <row r="236" spans="1:79" x14ac:dyDescent="0.3">
      <c r="A236" s="39" t="str">
        <v>ЩР-1</v>
      </c>
      <c r="B236" s="42">
        <v>47</v>
      </c>
      <c r="C236" s="42">
        <v>3</v>
      </c>
      <c r="D236" s="75" t="str">
        <v/>
      </c>
      <c r="E236" s="75" t="str">
        <v>авто</v>
      </c>
      <c r="F236" s="76">
        <v>30</v>
      </c>
      <c r="G236" s="47" t="str">
        <v>QFD35</v>
      </c>
      <c r="H236" s="47" t="str">
        <v>2P С16А 30мА</v>
      </c>
      <c r="I236" s="75" t="str">
        <v/>
      </c>
      <c r="J236" s="76" t="str">
        <v/>
      </c>
      <c r="K236" s="76" t="str">
        <v/>
      </c>
      <c r="L236" s="75" t="str">
        <v/>
      </c>
      <c r="M236" s="49" t="str">
        <v/>
      </c>
      <c r="N236" s="76" t="str">
        <v/>
      </c>
      <c r="O236" s="49" t="str">
        <v/>
      </c>
      <c r="P236" s="77" t="str">
        <v/>
      </c>
      <c r="Q236" s="53" t="str">
        <v>ВВГнг(А)-LS (3х2,5) L=22-0,09%</v>
      </c>
      <c r="R236" s="54" t="str">
        <v>R.1.014A.1</v>
      </c>
      <c r="S236" s="55" t="str">
        <v>Розеточная группа, пом. 014A</v>
      </c>
      <c r="T236" s="56">
        <v>0.12</v>
      </c>
      <c r="U236" s="56">
        <v>0.55000000000000004</v>
      </c>
      <c r="V236" s="42" t="str">
        <v>L1</v>
      </c>
      <c r="W236" s="57" t="str">
        <v>ok</v>
      </c>
      <c r="X236" s="58" t="str">
        <v/>
      </c>
      <c r="Y236" s="75" t="str">
        <v/>
      </c>
      <c r="Z236" s="59">
        <v>0.54696341291648753</v>
      </c>
      <c r="AA236" s="61">
        <v>16</v>
      </c>
      <c r="AB236" s="61">
        <v>25</v>
      </c>
      <c r="AC236" s="61" t="str">
        <v/>
      </c>
      <c r="AD236" s="62" t="str">
        <v>QFD35</v>
      </c>
      <c r="AE236" s="62" t="str">
        <v/>
      </c>
      <c r="AF236" s="34">
        <v>35</v>
      </c>
      <c r="AG236" s="34" t="str">
        <v>QFD35</v>
      </c>
      <c r="AH236" s="34" t="str">
        <v/>
      </c>
      <c r="AI236" s="34" t="str">
        <v/>
      </c>
      <c r="AJ236" s="34" t="str">
        <v>QFD35</v>
      </c>
      <c r="AK236" s="34">
        <v>1</v>
      </c>
      <c r="AL236" s="34" t="str">
        <v>R</v>
      </c>
      <c r="AM236" s="34">
        <v>30</v>
      </c>
      <c r="AN236" s="34">
        <v>0</v>
      </c>
      <c r="AO236" s="34">
        <v>16</v>
      </c>
      <c r="AP236" s="34">
        <v>25</v>
      </c>
      <c r="AQ236" s="34">
        <v>16</v>
      </c>
      <c r="AR236" s="34">
        <v>1</v>
      </c>
      <c r="AS236" s="34">
        <v>1</v>
      </c>
      <c r="AT236" s="34" t="str">
        <v>2P</v>
      </c>
      <c r="AU236" s="34">
        <v>16</v>
      </c>
      <c r="AV236" s="34" t="str">
        <v/>
      </c>
      <c r="AW236" s="34" t="str">
        <v/>
      </c>
      <c r="AX236" s="34" t="str">
        <v/>
      </c>
      <c r="AY236" s="34">
        <v>1</v>
      </c>
      <c r="AZ236" s="34" t="str">
        <v/>
      </c>
      <c r="BA236" s="34">
        <v>0</v>
      </c>
      <c r="BB236" s="34">
        <v>16</v>
      </c>
      <c r="BD236" s="34">
        <v>1</v>
      </c>
      <c r="BE236" s="34">
        <v>0</v>
      </c>
      <c r="BF236" s="34">
        <v>1</v>
      </c>
      <c r="BG236" s="34" t="str">
        <v/>
      </c>
      <c r="BH236" s="34" t="str">
        <v/>
      </c>
      <c r="BI236" s="34" t="str">
        <v/>
      </c>
      <c r="BJ236" s="34" t="str">
        <v/>
      </c>
      <c r="BK236" s="34" t="str">
        <v>SOCKET</v>
      </c>
      <c r="BL236" s="34">
        <v>1</v>
      </c>
      <c r="BM236" s="34" t="str">
        <v/>
      </c>
      <c r="BN236" s="34" t="str">
        <v/>
      </c>
      <c r="BO236" s="34" t="str">
        <v/>
      </c>
      <c r="BP236" s="34" t="str">
        <v/>
      </c>
      <c r="BQ236" s="34" t="str">
        <v>3х2,5</v>
      </c>
      <c r="BR236" s="34" t="str">
        <v/>
      </c>
      <c r="BS236" s="34" t="str">
        <v/>
      </c>
      <c r="BT236" s="34" t="str">
        <v/>
      </c>
      <c r="BU236" s="34">
        <v>0</v>
      </c>
      <c r="BV236" s="34">
        <v>257</v>
      </c>
      <c r="BW236" s="34">
        <v>1</v>
      </c>
      <c r="BX236" s="34">
        <v>0</v>
      </c>
      <c r="BY236" s="34" t="str">
        <v>Розетка</v>
      </c>
      <c r="BZ236">
        <v>10</v>
      </c>
      <c r="CA236" t="str">
        <v>линии</v>
      </c>
    </row>
    <row r="237" spans="1:79" x14ac:dyDescent="0.3">
      <c r="A237" s="39" t="str">
        <v>ЩР-1</v>
      </c>
      <c r="B237" s="42">
        <v>48</v>
      </c>
      <c r="C237" s="42">
        <v>3</v>
      </c>
      <c r="D237" s="75" t="str">
        <v/>
      </c>
      <c r="E237" s="75" t="str">
        <v>авто</v>
      </c>
      <c r="F237" s="76">
        <v>30</v>
      </c>
      <c r="G237" s="47" t="str">
        <v>QFD36</v>
      </c>
      <c r="H237" s="47" t="str">
        <v>2P С16А 30мА</v>
      </c>
      <c r="I237" s="75" t="str">
        <v/>
      </c>
      <c r="J237" s="76" t="str">
        <v/>
      </c>
      <c r="K237" s="76" t="str">
        <v/>
      </c>
      <c r="L237" s="75" t="str">
        <v/>
      </c>
      <c r="M237" s="49" t="str">
        <v/>
      </c>
      <c r="N237" s="76" t="str">
        <v/>
      </c>
      <c r="O237" s="49" t="str">
        <v/>
      </c>
      <c r="P237" s="77" t="str">
        <v>XT36</v>
      </c>
      <c r="Q237" s="53" t="str">
        <v>ВВГнг(А)-LS (3х2,5) L=42-0,35%</v>
      </c>
      <c r="R237" s="54" t="str">
        <v>R.1.015A.1</v>
      </c>
      <c r="S237" s="55" t="str">
        <v>Розеточная группа, пом. 015A</v>
      </c>
      <c r="T237" s="56">
        <v>0.24</v>
      </c>
      <c r="U237" s="56">
        <v>1.1000000000000001</v>
      </c>
      <c r="V237" s="42" t="str">
        <v>L3</v>
      </c>
      <c r="W237" s="57" t="str">
        <v>ok</v>
      </c>
      <c r="X237" s="58" t="str">
        <v/>
      </c>
      <c r="Y237" s="75" t="str">
        <v/>
      </c>
      <c r="Z237" s="59">
        <v>1.0939268258329751</v>
      </c>
      <c r="AA237" s="61">
        <v>16</v>
      </c>
      <c r="AB237" s="61">
        <v>25</v>
      </c>
      <c r="AC237" s="61" t="str">
        <v/>
      </c>
      <c r="AD237" s="62" t="str">
        <v>QFD36 → XT36</v>
      </c>
      <c r="AE237" s="62" t="str">
        <v/>
      </c>
      <c r="AF237" s="34">
        <v>36</v>
      </c>
      <c r="AG237" s="34" t="str">
        <v>QFD36</v>
      </c>
      <c r="AH237" s="34" t="str">
        <v/>
      </c>
      <c r="AI237" s="34" t="str">
        <v/>
      </c>
      <c r="AJ237" s="34" t="str">
        <v>QFD36</v>
      </c>
      <c r="AK237" s="34">
        <v>1</v>
      </c>
      <c r="AL237" s="34" t="str">
        <v>R</v>
      </c>
      <c r="AM237" s="34">
        <v>30</v>
      </c>
      <c r="AN237" s="34">
        <v>0</v>
      </c>
      <c r="AO237" s="34">
        <v>16</v>
      </c>
      <c r="AP237" s="34">
        <v>25</v>
      </c>
      <c r="AQ237" s="34">
        <v>16</v>
      </c>
      <c r="AR237" s="34">
        <v>1</v>
      </c>
      <c r="AS237" s="34">
        <v>1</v>
      </c>
      <c r="AT237" s="34" t="str">
        <v>2P</v>
      </c>
      <c r="AU237" s="34">
        <v>16</v>
      </c>
      <c r="AV237" s="34" t="str">
        <v/>
      </c>
      <c r="AW237" s="34" t="str">
        <v/>
      </c>
      <c r="AX237" s="34" t="str">
        <v/>
      </c>
      <c r="AY237" s="34">
        <v>1</v>
      </c>
      <c r="AZ237" s="34" t="str">
        <v/>
      </c>
      <c r="BA237" s="34">
        <v>0</v>
      </c>
      <c r="BB237" s="34">
        <v>16</v>
      </c>
      <c r="BD237" s="34">
        <v>1</v>
      </c>
      <c r="BE237" s="34">
        <v>0</v>
      </c>
      <c r="BF237" s="34">
        <v>1</v>
      </c>
      <c r="BG237" s="34" t="str">
        <v/>
      </c>
      <c r="BH237" s="34" t="str">
        <v/>
      </c>
      <c r="BI237" s="34" t="str">
        <v/>
      </c>
      <c r="BJ237" s="34" t="str">
        <v/>
      </c>
      <c r="BK237" s="34" t="str">
        <v>SOCKET</v>
      </c>
      <c r="BL237" s="34">
        <v>1</v>
      </c>
      <c r="BM237" s="34" t="str">
        <v/>
      </c>
      <c r="BN237" s="34" t="str">
        <v/>
      </c>
      <c r="BO237" s="34" t="str">
        <v/>
      </c>
      <c r="BP237" s="34" t="str">
        <v/>
      </c>
      <c r="BQ237" s="34" t="str">
        <v>3х2,5</v>
      </c>
      <c r="BR237" s="34" t="str">
        <v/>
      </c>
      <c r="BS237" s="34" t="str">
        <v/>
      </c>
      <c r="BT237" s="34" t="str">
        <v/>
      </c>
      <c r="BU237" s="34">
        <v>0</v>
      </c>
      <c r="BV237" s="34">
        <v>258</v>
      </c>
      <c r="BW237" s="34">
        <v>1</v>
      </c>
      <c r="BX237" s="34">
        <v>0</v>
      </c>
      <c r="BY237" s="34" t="str">
        <v>Розетка</v>
      </c>
      <c r="BZ237">
        <v>10</v>
      </c>
      <c r="CA237" t="str">
        <v>линии</v>
      </c>
    </row>
    <row r="238" spans="1:79" x14ac:dyDescent="0.3">
      <c r="A238" s="39" t="str">
        <v>ЩР-1</v>
      </c>
      <c r="B238" s="42">
        <v>49</v>
      </c>
      <c r="C238" s="42">
        <v>3</v>
      </c>
      <c r="D238" s="75" t="str">
        <v/>
      </c>
      <c r="E238" s="75" t="str">
        <v>авто</v>
      </c>
      <c r="F238" s="76">
        <v>30</v>
      </c>
      <c r="G238" s="47" t="str">
        <v>QFD37</v>
      </c>
      <c r="H238" s="47" t="str">
        <v>2P С16А 30мА</v>
      </c>
      <c r="I238" s="75" t="str">
        <v/>
      </c>
      <c r="J238" s="76" t="str">
        <v/>
      </c>
      <c r="K238" s="76" t="str">
        <v/>
      </c>
      <c r="L238" s="75" t="str">
        <v/>
      </c>
      <c r="M238" s="49" t="str">
        <v/>
      </c>
      <c r="N238" s="76" t="str">
        <v/>
      </c>
      <c r="O238" s="49" t="str">
        <v/>
      </c>
      <c r="P238" s="77" t="str">
        <v>XT37</v>
      </c>
      <c r="Q238" s="53" t="str">
        <v>ВВГнг(А)-LS (3х2,5) L=63-1,03%</v>
      </c>
      <c r="R238" s="54" t="str">
        <v>R.1.016A.1</v>
      </c>
      <c r="S238" s="55" t="str">
        <v>Розеточная группа, пом. 016A</v>
      </c>
      <c r="T238" s="56">
        <v>0.48</v>
      </c>
      <c r="U238" s="56">
        <v>2.19</v>
      </c>
      <c r="V238" s="42" t="str">
        <v>L2</v>
      </c>
      <c r="W238" s="57" t="str">
        <v>ok</v>
      </c>
      <c r="X238" s="58" t="str">
        <v/>
      </c>
      <c r="Y238" s="75" t="str">
        <v/>
      </c>
      <c r="Z238" s="59">
        <v>2.1878536516659501</v>
      </c>
      <c r="AA238" s="61">
        <v>16</v>
      </c>
      <c r="AB238" s="61">
        <v>25</v>
      </c>
      <c r="AC238" s="61" t="str">
        <v/>
      </c>
      <c r="AD238" s="62" t="str">
        <v>QFD37 → XT37</v>
      </c>
      <c r="AE238" s="62" t="str">
        <v/>
      </c>
      <c r="AF238" s="34">
        <v>37</v>
      </c>
      <c r="AG238" s="34" t="str">
        <v>QFD37</v>
      </c>
      <c r="AH238" s="34" t="str">
        <v/>
      </c>
      <c r="AI238" s="34" t="str">
        <v/>
      </c>
      <c r="AJ238" s="34" t="str">
        <v>QFD37</v>
      </c>
      <c r="AK238" s="34">
        <v>1</v>
      </c>
      <c r="AL238" s="34" t="str">
        <v>R</v>
      </c>
      <c r="AM238" s="34">
        <v>30</v>
      </c>
      <c r="AN238" s="34">
        <v>0</v>
      </c>
      <c r="AO238" s="34">
        <v>16</v>
      </c>
      <c r="AP238" s="34">
        <v>25</v>
      </c>
      <c r="AQ238" s="34">
        <v>16</v>
      </c>
      <c r="AR238" s="34">
        <v>1</v>
      </c>
      <c r="AS238" s="34">
        <v>1</v>
      </c>
      <c r="AT238" s="34" t="str">
        <v>2P</v>
      </c>
      <c r="AU238" s="34">
        <v>16</v>
      </c>
      <c r="AV238" s="34" t="str">
        <v/>
      </c>
      <c r="AW238" s="34" t="str">
        <v/>
      </c>
      <c r="AX238" s="34" t="str">
        <v/>
      </c>
      <c r="AY238" s="34">
        <v>1</v>
      </c>
      <c r="AZ238" s="34" t="str">
        <v/>
      </c>
      <c r="BA238" s="34">
        <v>0</v>
      </c>
      <c r="BB238" s="34">
        <v>16</v>
      </c>
      <c r="BD238" s="34">
        <v>1</v>
      </c>
      <c r="BE238" s="34">
        <v>0</v>
      </c>
      <c r="BF238" s="34">
        <v>1</v>
      </c>
      <c r="BG238" s="34" t="str">
        <v/>
      </c>
      <c r="BH238" s="34" t="str">
        <v/>
      </c>
      <c r="BI238" s="34" t="str">
        <v/>
      </c>
      <c r="BJ238" s="34" t="str">
        <v/>
      </c>
      <c r="BK238" s="34" t="str">
        <v>SOCKET</v>
      </c>
      <c r="BL238" s="34">
        <v>1</v>
      </c>
      <c r="BM238" s="34" t="str">
        <v/>
      </c>
      <c r="BN238" s="34" t="str">
        <v/>
      </c>
      <c r="BO238" s="34" t="str">
        <v/>
      </c>
      <c r="BP238" s="34" t="str">
        <v/>
      </c>
      <c r="BQ238" s="34" t="str">
        <v>3х2,5</v>
      </c>
      <c r="BR238" s="34" t="str">
        <v/>
      </c>
      <c r="BS238" s="34" t="str">
        <v/>
      </c>
      <c r="BT238" s="34" t="str">
        <v/>
      </c>
      <c r="BU238" s="34">
        <v>0</v>
      </c>
      <c r="BV238" s="34">
        <v>259</v>
      </c>
      <c r="BW238" s="34">
        <v>1</v>
      </c>
      <c r="BX238" s="34">
        <v>0</v>
      </c>
      <c r="BY238" s="34" t="str">
        <v>Розетка</v>
      </c>
      <c r="BZ238">
        <v>10</v>
      </c>
      <c r="CA238" t="str">
        <v>линии</v>
      </c>
    </row>
    <row r="239" spans="1:79" x14ac:dyDescent="0.3">
      <c r="A239" s="39" t="str">
        <v>ЩР-1</v>
      </c>
      <c r="B239" s="42">
        <v>50</v>
      </c>
      <c r="C239" s="42">
        <v>3</v>
      </c>
      <c r="D239" s="75" t="str">
        <v/>
      </c>
      <c r="E239" s="75" t="str">
        <v>авто</v>
      </c>
      <c r="F239" s="76">
        <v>30</v>
      </c>
      <c r="G239" s="47" t="str">
        <v>QFD38</v>
      </c>
      <c r="H239" s="47" t="str">
        <v>2P С16А 30мА</v>
      </c>
      <c r="I239" s="75" t="str">
        <v/>
      </c>
      <c r="J239" s="76" t="str">
        <v/>
      </c>
      <c r="K239" s="76" t="str">
        <v/>
      </c>
      <c r="L239" s="75" t="str">
        <v/>
      </c>
      <c r="M239" s="49" t="str">
        <v/>
      </c>
      <c r="N239" s="76" t="str">
        <v/>
      </c>
      <c r="O239" s="49" t="str">
        <v/>
      </c>
      <c r="P239" s="77" t="str">
        <v>XT38</v>
      </c>
      <c r="Q239" s="53" t="str">
        <v>ВВГнг(А)-LS (3х2,5) L=59-0,48%</v>
      </c>
      <c r="R239" s="54" t="str">
        <v>R.1.017A.1</v>
      </c>
      <c r="S239" s="55" t="str">
        <v>Розеточная группа, пом. 017A</v>
      </c>
      <c r="T239" s="56">
        <v>0.24</v>
      </c>
      <c r="U239" s="56">
        <v>1.1000000000000001</v>
      </c>
      <c r="V239" s="42" t="str">
        <v>L2</v>
      </c>
      <c r="W239" s="57" t="str">
        <v>ok</v>
      </c>
      <c r="X239" s="58" t="str">
        <v/>
      </c>
      <c r="Y239" s="75" t="str">
        <v/>
      </c>
      <c r="Z239" s="59">
        <v>1.0939268258329751</v>
      </c>
      <c r="AA239" s="61">
        <v>16</v>
      </c>
      <c r="AB239" s="61">
        <v>25</v>
      </c>
      <c r="AC239" s="61" t="str">
        <v/>
      </c>
      <c r="AD239" s="62" t="str">
        <v>QFD38 → XT38</v>
      </c>
      <c r="AE239" s="62" t="str">
        <v/>
      </c>
      <c r="AF239" s="34">
        <v>38</v>
      </c>
      <c r="AG239" s="34" t="str">
        <v>QFD38</v>
      </c>
      <c r="AH239" s="34" t="str">
        <v/>
      </c>
      <c r="AI239" s="34" t="str">
        <v/>
      </c>
      <c r="AJ239" s="34" t="str">
        <v>QFD38</v>
      </c>
      <c r="AK239" s="34">
        <v>1</v>
      </c>
      <c r="AL239" s="34" t="str">
        <v>R</v>
      </c>
      <c r="AM239" s="34">
        <v>30</v>
      </c>
      <c r="AN239" s="34">
        <v>0</v>
      </c>
      <c r="AO239" s="34">
        <v>16</v>
      </c>
      <c r="AP239" s="34">
        <v>25</v>
      </c>
      <c r="AQ239" s="34">
        <v>16</v>
      </c>
      <c r="AR239" s="34">
        <v>1</v>
      </c>
      <c r="AS239" s="34">
        <v>1</v>
      </c>
      <c r="AT239" s="34" t="str">
        <v>2P</v>
      </c>
      <c r="AU239" s="34">
        <v>16</v>
      </c>
      <c r="AV239" s="34" t="str">
        <v/>
      </c>
      <c r="AW239" s="34" t="str">
        <v/>
      </c>
      <c r="AX239" s="34" t="str">
        <v/>
      </c>
      <c r="AY239" s="34">
        <v>1</v>
      </c>
      <c r="AZ239" s="34" t="str">
        <v/>
      </c>
      <c r="BA239" s="34">
        <v>0</v>
      </c>
      <c r="BB239" s="34">
        <v>16</v>
      </c>
      <c r="BD239" s="34">
        <v>1</v>
      </c>
      <c r="BE239" s="34">
        <v>0</v>
      </c>
      <c r="BF239" s="34">
        <v>1</v>
      </c>
      <c r="BG239" s="34" t="str">
        <v/>
      </c>
      <c r="BH239" s="34" t="str">
        <v/>
      </c>
      <c r="BI239" s="34" t="str">
        <v/>
      </c>
      <c r="BJ239" s="34" t="str">
        <v/>
      </c>
      <c r="BK239" s="34" t="str">
        <v>SOCKET</v>
      </c>
      <c r="BL239" s="34">
        <v>1</v>
      </c>
      <c r="BM239" s="34" t="str">
        <v/>
      </c>
      <c r="BN239" s="34" t="str">
        <v/>
      </c>
      <c r="BO239" s="34" t="str">
        <v/>
      </c>
      <c r="BP239" s="34" t="str">
        <v/>
      </c>
      <c r="BQ239" s="34" t="str">
        <v>3х2,5</v>
      </c>
      <c r="BR239" s="34" t="str">
        <v/>
      </c>
      <c r="BS239" s="34" t="str">
        <v/>
      </c>
      <c r="BT239" s="34" t="str">
        <v/>
      </c>
      <c r="BU239" s="34">
        <v>0</v>
      </c>
      <c r="BV239" s="34">
        <v>260</v>
      </c>
      <c r="BW239" s="34">
        <v>1</v>
      </c>
      <c r="BX239" s="34">
        <v>0</v>
      </c>
      <c r="BY239" s="34" t="str">
        <v>Розетка</v>
      </c>
      <c r="BZ239">
        <v>10</v>
      </c>
      <c r="CA239" t="str">
        <v>линии</v>
      </c>
    </row>
    <row r="240" spans="1:79" x14ac:dyDescent="0.3">
      <c r="A240" s="39" t="str">
        <v>ЩР-1</v>
      </c>
      <c r="B240" s="42">
        <v>53</v>
      </c>
      <c r="C240" s="42">
        <v>4</v>
      </c>
      <c r="D240" s="75" t="str">
        <v/>
      </c>
      <c r="E240" s="75" t="str">
        <v>авто</v>
      </c>
      <c r="F240" s="76">
        <v>30</v>
      </c>
      <c r="G240" s="47" t="str">
        <v>QFD39</v>
      </c>
      <c r="H240" s="47" t="str">
        <v>2P С16А 30мА</v>
      </c>
      <c r="I240" s="75" t="str">
        <v/>
      </c>
      <c r="J240" s="76" t="str">
        <v/>
      </c>
      <c r="K240" s="76" t="str">
        <v/>
      </c>
      <c r="L240" s="75" t="str">
        <v/>
      </c>
      <c r="M240" s="49" t="str">
        <v/>
      </c>
      <c r="N240" s="76" t="str">
        <v/>
      </c>
      <c r="O240" s="49" t="str">
        <v/>
      </c>
      <c r="P240" s="77" t="str">
        <v>XT39</v>
      </c>
      <c r="Q240" s="53" t="str">
        <v>ВВГнг(А)-LS (3х2,5) L=57-0,47%</v>
      </c>
      <c r="R240" s="54" t="str">
        <v>R.1.017A.2</v>
      </c>
      <c r="S240" s="55" t="str">
        <v>Розеточная группа, пом. 017A</v>
      </c>
      <c r="T240" s="56">
        <v>0.24</v>
      </c>
      <c r="U240" s="56">
        <v>1.1000000000000001</v>
      </c>
      <c r="V240" s="42" t="str">
        <v>L1</v>
      </c>
      <c r="W240" s="57" t="str">
        <v>ok</v>
      </c>
      <c r="X240" s="58" t="str">
        <v/>
      </c>
      <c r="Y240" s="75" t="str">
        <v/>
      </c>
      <c r="Z240" s="59">
        <v>1.0939268258329751</v>
      </c>
      <c r="AA240" s="61">
        <v>16</v>
      </c>
      <c r="AB240" s="61">
        <v>25</v>
      </c>
      <c r="AC240" s="61" t="str">
        <v/>
      </c>
      <c r="AD240" s="62" t="str">
        <v>QFD39 → XT39</v>
      </c>
      <c r="AE240" s="62" t="str">
        <v/>
      </c>
      <c r="AF240" s="34">
        <v>39</v>
      </c>
      <c r="AG240" s="34" t="str">
        <v>QFD39</v>
      </c>
      <c r="AH240" s="34" t="str">
        <v/>
      </c>
      <c r="AI240" s="34" t="str">
        <v/>
      </c>
      <c r="AJ240" s="34" t="str">
        <v>QFD39</v>
      </c>
      <c r="AK240" s="34">
        <v>1</v>
      </c>
      <c r="AL240" s="34" t="str">
        <v>R</v>
      </c>
      <c r="AM240" s="34">
        <v>30</v>
      </c>
      <c r="AN240" s="34">
        <v>0</v>
      </c>
      <c r="AO240" s="34">
        <v>16</v>
      </c>
      <c r="AP240" s="34">
        <v>25</v>
      </c>
      <c r="AQ240" s="34">
        <v>16</v>
      </c>
      <c r="AR240" s="34">
        <v>1</v>
      </c>
      <c r="AS240" s="34">
        <v>1</v>
      </c>
      <c r="AT240" s="34" t="str">
        <v>2P</v>
      </c>
      <c r="AU240" s="34">
        <v>16</v>
      </c>
      <c r="AV240" s="34" t="str">
        <v/>
      </c>
      <c r="AW240" s="34" t="str">
        <v/>
      </c>
      <c r="AX240" s="34" t="str">
        <v/>
      </c>
      <c r="AY240" s="34">
        <v>1</v>
      </c>
      <c r="AZ240" s="34" t="str">
        <v/>
      </c>
      <c r="BA240" s="34">
        <v>0</v>
      </c>
      <c r="BB240" s="34">
        <v>16</v>
      </c>
      <c r="BD240" s="34">
        <v>1</v>
      </c>
      <c r="BE240" s="34">
        <v>0</v>
      </c>
      <c r="BF240" s="34">
        <v>1</v>
      </c>
      <c r="BG240" s="34" t="str">
        <v/>
      </c>
      <c r="BH240" s="34" t="str">
        <v/>
      </c>
      <c r="BI240" s="34" t="str">
        <v/>
      </c>
      <c r="BJ240" s="34" t="str">
        <v/>
      </c>
      <c r="BK240" s="34" t="str">
        <v>SOCKET</v>
      </c>
      <c r="BL240" s="34">
        <v>1</v>
      </c>
      <c r="BM240" s="34" t="str">
        <v/>
      </c>
      <c r="BN240" s="34" t="str">
        <v/>
      </c>
      <c r="BO240" s="34" t="str">
        <v/>
      </c>
      <c r="BP240" s="34" t="str">
        <v/>
      </c>
      <c r="BQ240" s="34" t="str">
        <v>3х2,5</v>
      </c>
      <c r="BR240" s="34" t="str">
        <v/>
      </c>
      <c r="BS240" s="34" t="str">
        <v/>
      </c>
      <c r="BT240" s="34" t="str">
        <v/>
      </c>
      <c r="BU240" s="34">
        <v>0</v>
      </c>
      <c r="BV240" s="34">
        <v>261</v>
      </c>
      <c r="BW240" s="34">
        <v>1</v>
      </c>
      <c r="BX240" s="34">
        <v>0</v>
      </c>
      <c r="BY240" s="34" t="str">
        <v>Розетка</v>
      </c>
      <c r="BZ240">
        <v>10</v>
      </c>
      <c r="CA240" t="str">
        <v>линии</v>
      </c>
    </row>
    <row r="241" spans="1:79" x14ac:dyDescent="0.3">
      <c r="A241" s="39" t="str">
        <v>ЩР-1</v>
      </c>
      <c r="B241" s="42">
        <v>54</v>
      </c>
      <c r="C241" s="42">
        <v>4</v>
      </c>
      <c r="D241" s="75" t="str">
        <v/>
      </c>
      <c r="E241" s="75" t="str">
        <v>авто</v>
      </c>
      <c r="F241" s="76">
        <v>30</v>
      </c>
      <c r="G241" s="47" t="str">
        <v>QFD40</v>
      </c>
      <c r="H241" s="47" t="str">
        <v>2P С16А 30мА</v>
      </c>
      <c r="I241" s="75" t="str">
        <v/>
      </c>
      <c r="J241" s="76" t="str">
        <v/>
      </c>
      <c r="K241" s="76" t="str">
        <v/>
      </c>
      <c r="L241" s="75" t="str">
        <v/>
      </c>
      <c r="M241" s="49" t="str">
        <v/>
      </c>
      <c r="N241" s="76" t="str">
        <v/>
      </c>
      <c r="O241" s="49" t="str">
        <v/>
      </c>
      <c r="P241" s="77" t="str">
        <v>XT40</v>
      </c>
      <c r="Q241" s="53" t="str">
        <v>ВВГнг(А)-LS (3х2,5) L=42-0,18%</v>
      </c>
      <c r="R241" s="54" t="str">
        <v>R.1.018A.1</v>
      </c>
      <c r="S241" s="55" t="str">
        <v>Розеточная группа, пом. 018A</v>
      </c>
      <c r="T241" s="56">
        <v>0.12</v>
      </c>
      <c r="U241" s="56">
        <v>0.55000000000000004</v>
      </c>
      <c r="V241" s="42" t="str">
        <v>L2</v>
      </c>
      <c r="W241" s="57" t="str">
        <v>ok</v>
      </c>
      <c r="X241" s="58" t="str">
        <v/>
      </c>
      <c r="Y241" s="75" t="str">
        <v/>
      </c>
      <c r="Z241" s="59">
        <v>0.54696341291648753</v>
      </c>
      <c r="AA241" s="61">
        <v>16</v>
      </c>
      <c r="AB241" s="61">
        <v>25</v>
      </c>
      <c r="AC241" s="61" t="str">
        <v/>
      </c>
      <c r="AD241" s="62" t="str">
        <v>QFD40 → XT40</v>
      </c>
      <c r="AE241" s="62" t="str">
        <v/>
      </c>
      <c r="AF241" s="34">
        <v>40</v>
      </c>
      <c r="AG241" s="34" t="str">
        <v>QFD40</v>
      </c>
      <c r="AH241" s="34" t="str">
        <v/>
      </c>
      <c r="AI241" s="34" t="str">
        <v/>
      </c>
      <c r="AJ241" s="34" t="str">
        <v>QFD40</v>
      </c>
      <c r="AK241" s="34">
        <v>1</v>
      </c>
      <c r="AL241" s="34" t="str">
        <v>R</v>
      </c>
      <c r="AM241" s="34">
        <v>30</v>
      </c>
      <c r="AN241" s="34">
        <v>0</v>
      </c>
      <c r="AO241" s="34">
        <v>16</v>
      </c>
      <c r="AP241" s="34">
        <v>25</v>
      </c>
      <c r="AQ241" s="34">
        <v>16</v>
      </c>
      <c r="AR241" s="34">
        <v>1</v>
      </c>
      <c r="AS241" s="34">
        <v>1</v>
      </c>
      <c r="AT241" s="34" t="str">
        <v>2P</v>
      </c>
      <c r="AU241" s="34">
        <v>16</v>
      </c>
      <c r="AV241" s="34" t="str">
        <v/>
      </c>
      <c r="AW241" s="34" t="str">
        <v/>
      </c>
      <c r="AX241" s="34" t="str">
        <v/>
      </c>
      <c r="AY241" s="34">
        <v>1</v>
      </c>
      <c r="AZ241" s="34" t="str">
        <v/>
      </c>
      <c r="BA241" s="34">
        <v>0</v>
      </c>
      <c r="BB241" s="34">
        <v>16</v>
      </c>
      <c r="BD241" s="34">
        <v>1</v>
      </c>
      <c r="BE241" s="34">
        <v>0</v>
      </c>
      <c r="BF241" s="34">
        <v>1</v>
      </c>
      <c r="BG241" s="34" t="str">
        <v/>
      </c>
      <c r="BH241" s="34" t="str">
        <v/>
      </c>
      <c r="BI241" s="34" t="str">
        <v/>
      </c>
      <c r="BJ241" s="34" t="str">
        <v/>
      </c>
      <c r="BK241" s="34" t="str">
        <v>SOCKET</v>
      </c>
      <c r="BL241" s="34">
        <v>1</v>
      </c>
      <c r="BM241" s="34" t="str">
        <v/>
      </c>
      <c r="BN241" s="34" t="str">
        <v/>
      </c>
      <c r="BO241" s="34" t="str">
        <v/>
      </c>
      <c r="BP241" s="34" t="str">
        <v/>
      </c>
      <c r="BQ241" s="34" t="str">
        <v>3х2,5</v>
      </c>
      <c r="BR241" s="34" t="str">
        <v/>
      </c>
      <c r="BS241" s="34" t="str">
        <v/>
      </c>
      <c r="BT241" s="34" t="str">
        <v/>
      </c>
      <c r="BU241" s="34">
        <v>0</v>
      </c>
      <c r="BV241" s="34">
        <v>262</v>
      </c>
      <c r="BW241" s="34">
        <v>1</v>
      </c>
      <c r="BX241" s="34">
        <v>0</v>
      </c>
      <c r="BY241" s="34" t="str">
        <v>Розетка</v>
      </c>
      <c r="BZ241">
        <v>10</v>
      </c>
      <c r="CA241" t="str">
        <v>линии</v>
      </c>
    </row>
    <row r="242" spans="1:79" x14ac:dyDescent="0.3">
      <c r="A242" s="39" t="str">
        <v>ЩР-1</v>
      </c>
      <c r="B242" s="42">
        <v>55</v>
      </c>
      <c r="C242" s="42">
        <v>4</v>
      </c>
      <c r="D242" s="75" t="str">
        <v/>
      </c>
      <c r="E242" s="75" t="str">
        <v>авто</v>
      </c>
      <c r="F242" s="76">
        <v>30</v>
      </c>
      <c r="G242" s="47" t="str">
        <v>QFD41</v>
      </c>
      <c r="H242" s="47" t="str">
        <v>2P С16А 30мА</v>
      </c>
      <c r="I242" s="75" t="str">
        <v/>
      </c>
      <c r="J242" s="76" t="str">
        <v/>
      </c>
      <c r="K242" s="76" t="str">
        <v/>
      </c>
      <c r="L242" s="75" t="str">
        <v/>
      </c>
      <c r="M242" s="49" t="str">
        <v/>
      </c>
      <c r="N242" s="76" t="str">
        <v/>
      </c>
      <c r="O242" s="49" t="str">
        <v/>
      </c>
      <c r="P242" s="77" t="str">
        <v>XT41</v>
      </c>
      <c r="Q242" s="53" t="str">
        <v>ВВГнг(А)-LS (3х2,5) L=40-0,05%</v>
      </c>
      <c r="R242" s="54" t="str">
        <v>R.1.019A.1</v>
      </c>
      <c r="S242" s="55" t="str">
        <v>Розеточная группа Первый этаж Пом. №019A Полотенцесушитель</v>
      </c>
      <c r="T242" s="56">
        <v>0.03</v>
      </c>
      <c r="U242" s="56">
        <v>0.14000000000000001</v>
      </c>
      <c r="V242" s="42" t="str">
        <v>L2</v>
      </c>
      <c r="W242" s="57" t="str">
        <v>ok</v>
      </c>
      <c r="X242" s="58" t="str">
        <v/>
      </c>
      <c r="Y242" s="75" t="str">
        <v/>
      </c>
      <c r="Z242" s="59">
        <v>0.13674085322912188</v>
      </c>
      <c r="AA242" s="61">
        <v>16</v>
      </c>
      <c r="AB242" s="61">
        <v>25</v>
      </c>
      <c r="AC242" s="61" t="str">
        <v/>
      </c>
      <c r="AD242" s="62" t="str">
        <v>QFD41 → XT41</v>
      </c>
      <c r="AE242" s="62" t="str">
        <v/>
      </c>
      <c r="AF242" s="34">
        <v>41</v>
      </c>
      <c r="AG242" s="34" t="str">
        <v>QFD41</v>
      </c>
      <c r="AH242" s="34" t="str">
        <v/>
      </c>
      <c r="AI242" s="34" t="str">
        <v/>
      </c>
      <c r="AJ242" s="34" t="str">
        <v>QFD41</v>
      </c>
      <c r="AK242" s="34">
        <v>1</v>
      </c>
      <c r="AL242" s="34" t="str">
        <v>R</v>
      </c>
      <c r="AM242" s="34">
        <v>30</v>
      </c>
      <c r="AN242" s="34">
        <v>0</v>
      </c>
      <c r="AO242" s="34">
        <v>16</v>
      </c>
      <c r="AP242" s="34">
        <v>25</v>
      </c>
      <c r="AQ242" s="34">
        <v>16</v>
      </c>
      <c r="AR242" s="34">
        <v>1</v>
      </c>
      <c r="AS242" s="34">
        <v>1</v>
      </c>
      <c r="AT242" s="34" t="str">
        <v>2P</v>
      </c>
      <c r="AU242" s="34">
        <v>16</v>
      </c>
      <c r="AV242" s="34" t="str">
        <v/>
      </c>
      <c r="AW242" s="34" t="str">
        <v/>
      </c>
      <c r="AX242" s="34" t="str">
        <v/>
      </c>
      <c r="AY242" s="34">
        <v>1</v>
      </c>
      <c r="AZ242" s="34" t="str">
        <v/>
      </c>
      <c r="BA242" s="34">
        <v>0</v>
      </c>
      <c r="BB242" s="34">
        <v>16</v>
      </c>
      <c r="BD242" s="34">
        <v>1</v>
      </c>
      <c r="BE242" s="34">
        <v>0</v>
      </c>
      <c r="BF242" s="34">
        <v>1</v>
      </c>
      <c r="BG242" s="34" t="str">
        <v/>
      </c>
      <c r="BH242" s="34" t="str">
        <v/>
      </c>
      <c r="BI242" s="34" t="str">
        <v/>
      </c>
      <c r="BJ242" s="34" t="str">
        <v/>
      </c>
      <c r="BK242" s="34" t="str">
        <v>SOCKET</v>
      </c>
      <c r="BL242" s="34">
        <v>1</v>
      </c>
      <c r="BM242" s="34" t="str">
        <v/>
      </c>
      <c r="BN242" s="34" t="str">
        <v/>
      </c>
      <c r="BO242" s="34" t="str">
        <v/>
      </c>
      <c r="BP242" s="34" t="str">
        <v/>
      </c>
      <c r="BQ242" s="34" t="str">
        <v>3х2,5</v>
      </c>
      <c r="BR242" s="34" t="str">
        <v/>
      </c>
      <c r="BS242" s="34" t="str">
        <v/>
      </c>
      <c r="BT242" s="34" t="str">
        <v/>
      </c>
      <c r="BU242" s="34">
        <v>0</v>
      </c>
      <c r="BV242" s="34">
        <v>263</v>
      </c>
      <c r="BW242" s="34">
        <v>1</v>
      </c>
      <c r="BX242" s="34">
        <v>0</v>
      </c>
      <c r="BY242" s="34" t="str">
        <v>Розетка</v>
      </c>
      <c r="BZ242">
        <v>10</v>
      </c>
      <c r="CA242" t="str">
        <v>линии</v>
      </c>
    </row>
    <row r="243" spans="1:79" x14ac:dyDescent="0.3">
      <c r="A243" s="39" t="str">
        <v>ЩР-1</v>
      </c>
      <c r="B243" s="42">
        <v>56</v>
      </c>
      <c r="C243" s="42">
        <v>4</v>
      </c>
      <c r="D243" s="75" t="str">
        <v/>
      </c>
      <c r="E243" s="75" t="str">
        <v>авто</v>
      </c>
      <c r="F243" s="76">
        <v>30</v>
      </c>
      <c r="G243" s="47" t="str">
        <v>QFD42</v>
      </c>
      <c r="H243" s="47" t="str">
        <v>2P С16А 30мА</v>
      </c>
      <c r="I243" s="75" t="str">
        <v/>
      </c>
      <c r="J243" s="76" t="str">
        <v/>
      </c>
      <c r="K243" s="76" t="str">
        <v/>
      </c>
      <c r="L243" s="75" t="str">
        <v/>
      </c>
      <c r="M243" s="49" t="str">
        <v/>
      </c>
      <c r="N243" s="76" t="str">
        <v/>
      </c>
      <c r="O243" s="49" t="str">
        <v/>
      </c>
      <c r="P243" s="77" t="str">
        <v>XT42</v>
      </c>
      <c r="Q243" s="53" t="str">
        <v>ВВГнг(А)-LS (3х2,5) L=54-0,22%</v>
      </c>
      <c r="R243" s="54" t="str">
        <v>R.1.020A.2</v>
      </c>
      <c r="S243" s="55" t="str">
        <v>Розеточная группа, пом. 020A</v>
      </c>
      <c r="T243" s="56">
        <v>0.12</v>
      </c>
      <c r="U243" s="56">
        <v>0.55000000000000004</v>
      </c>
      <c r="V243" s="42" t="str">
        <v>L3</v>
      </c>
      <c r="W243" s="57" t="str">
        <v>ok</v>
      </c>
      <c r="X243" s="58" t="str">
        <v/>
      </c>
      <c r="Y243" s="75" t="str">
        <v/>
      </c>
      <c r="Z243" s="59">
        <v>0.54696341291648753</v>
      </c>
      <c r="AA243" s="61">
        <v>16</v>
      </c>
      <c r="AB243" s="61">
        <v>25</v>
      </c>
      <c r="AC243" s="61" t="str">
        <v/>
      </c>
      <c r="AD243" s="62" t="str">
        <v>QFD42 → XT42</v>
      </c>
      <c r="AE243" s="62" t="str">
        <v/>
      </c>
      <c r="AF243" s="34">
        <v>42</v>
      </c>
      <c r="AG243" s="34" t="str">
        <v>QFD42</v>
      </c>
      <c r="AH243" s="34" t="str">
        <v/>
      </c>
      <c r="AI243" s="34" t="str">
        <v/>
      </c>
      <c r="AJ243" s="34" t="str">
        <v>QFD42</v>
      </c>
      <c r="AK243" s="34">
        <v>1</v>
      </c>
      <c r="AL243" s="34" t="str">
        <v>R</v>
      </c>
      <c r="AM243" s="34">
        <v>30</v>
      </c>
      <c r="AN243" s="34">
        <v>0</v>
      </c>
      <c r="AO243" s="34">
        <v>16</v>
      </c>
      <c r="AP243" s="34">
        <v>25</v>
      </c>
      <c r="AQ243" s="34">
        <v>16</v>
      </c>
      <c r="AR243" s="34">
        <v>1</v>
      </c>
      <c r="AS243" s="34">
        <v>1</v>
      </c>
      <c r="AT243" s="34" t="str">
        <v>2P</v>
      </c>
      <c r="AU243" s="34">
        <v>16</v>
      </c>
      <c r="AV243" s="34" t="str">
        <v/>
      </c>
      <c r="AW243" s="34" t="str">
        <v/>
      </c>
      <c r="AX243" s="34" t="str">
        <v/>
      </c>
      <c r="AY243" s="34">
        <v>1</v>
      </c>
      <c r="AZ243" s="34" t="str">
        <v/>
      </c>
      <c r="BA243" s="34">
        <v>0</v>
      </c>
      <c r="BB243" s="34">
        <v>16</v>
      </c>
      <c r="BD243" s="34">
        <v>1</v>
      </c>
      <c r="BE243" s="34">
        <v>0</v>
      </c>
      <c r="BF243" s="34">
        <v>1</v>
      </c>
      <c r="BG243" s="34" t="str">
        <v/>
      </c>
      <c r="BH243" s="34" t="str">
        <v/>
      </c>
      <c r="BI243" s="34" t="str">
        <v/>
      </c>
      <c r="BJ243" s="34" t="str">
        <v/>
      </c>
      <c r="BK243" s="34" t="str">
        <v>SOCKET</v>
      </c>
      <c r="BL243" s="34">
        <v>1</v>
      </c>
      <c r="BM243" s="34" t="str">
        <v/>
      </c>
      <c r="BN243" s="34" t="str">
        <v/>
      </c>
      <c r="BO243" s="34" t="str">
        <v/>
      </c>
      <c r="BP243" s="34" t="str">
        <v/>
      </c>
      <c r="BQ243" s="34" t="str">
        <v>3х2,5</v>
      </c>
      <c r="BR243" s="34" t="str">
        <v/>
      </c>
      <c r="BS243" s="34" t="str">
        <v/>
      </c>
      <c r="BT243" s="34" t="str">
        <v/>
      </c>
      <c r="BU243" s="34">
        <v>0</v>
      </c>
      <c r="BV243" s="34">
        <v>264</v>
      </c>
      <c r="BW243" s="34">
        <v>1</v>
      </c>
      <c r="BX243" s="34">
        <v>0</v>
      </c>
      <c r="BY243" s="34" t="str">
        <v>Розетка</v>
      </c>
      <c r="BZ243">
        <v>10</v>
      </c>
      <c r="CA243" t="str">
        <v>линии</v>
      </c>
    </row>
    <row r="244" spans="1:79" x14ac:dyDescent="0.3">
      <c r="A244" s="39" t="str">
        <v>ЩР-1</v>
      </c>
      <c r="B244" s="42">
        <v>57</v>
      </c>
      <c r="C244" s="42">
        <v>4</v>
      </c>
      <c r="D244" s="75" t="str">
        <v/>
      </c>
      <c r="E244" s="75" t="str">
        <v>авто</v>
      </c>
      <c r="F244" s="76">
        <v>30</v>
      </c>
      <c r="G244" s="47" t="str">
        <v>QFD43</v>
      </c>
      <c r="H244" s="47" t="str">
        <v>2P С16А 30мА</v>
      </c>
      <c r="I244" s="75" t="str">
        <v/>
      </c>
      <c r="J244" s="76" t="str">
        <v/>
      </c>
      <c r="K244" s="76" t="str">
        <v/>
      </c>
      <c r="L244" s="75" t="str">
        <v/>
      </c>
      <c r="M244" s="49" t="str">
        <v/>
      </c>
      <c r="N244" s="76" t="str">
        <v/>
      </c>
      <c r="O244" s="49" t="str">
        <v/>
      </c>
      <c r="P244" s="77" t="str">
        <v>XT43</v>
      </c>
      <c r="Q244" s="53" t="str">
        <v>ВВГнг(А)-LS (3х2,5) L=39-1,99%</v>
      </c>
      <c r="R244" s="54" t="str">
        <v>R.1.021A.1</v>
      </c>
      <c r="S244" s="55" t="str">
        <v>Розеточная группа Первый этаж Пом. №021A Кофемашина</v>
      </c>
      <c r="T244" s="56">
        <v>1.5</v>
      </c>
      <c r="U244" s="56">
        <v>6.84</v>
      </c>
      <c r="V244" s="42" t="str">
        <v>L2</v>
      </c>
      <c r="W244" s="57" t="str">
        <v>ok</v>
      </c>
      <c r="X244" s="58" t="str">
        <v/>
      </c>
      <c r="Y244" s="75" t="str">
        <v/>
      </c>
      <c r="Z244" s="59">
        <v>6.8370426614560946</v>
      </c>
      <c r="AA244" s="61">
        <v>16</v>
      </c>
      <c r="AB244" s="61">
        <v>25</v>
      </c>
      <c r="AC244" s="61" t="str">
        <v/>
      </c>
      <c r="AD244" s="62" t="str">
        <v>QFD43 → XT43</v>
      </c>
      <c r="AE244" s="62" t="str">
        <v/>
      </c>
      <c r="AF244" s="34">
        <v>43</v>
      </c>
      <c r="AG244" s="34" t="str">
        <v>QFD43</v>
      </c>
      <c r="AH244" s="34" t="str">
        <v/>
      </c>
      <c r="AI244" s="34" t="str">
        <v/>
      </c>
      <c r="AJ244" s="34" t="str">
        <v>QFD43</v>
      </c>
      <c r="AK244" s="34">
        <v>1</v>
      </c>
      <c r="AL244" s="34" t="str">
        <v>R</v>
      </c>
      <c r="AM244" s="34">
        <v>30</v>
      </c>
      <c r="AN244" s="34">
        <v>0</v>
      </c>
      <c r="AO244" s="34">
        <v>16</v>
      </c>
      <c r="AP244" s="34">
        <v>25</v>
      </c>
      <c r="AQ244" s="34">
        <v>16</v>
      </c>
      <c r="AR244" s="34">
        <v>1</v>
      </c>
      <c r="AS244" s="34">
        <v>1</v>
      </c>
      <c r="AT244" s="34" t="str">
        <v>2P</v>
      </c>
      <c r="AU244" s="34">
        <v>16</v>
      </c>
      <c r="AV244" s="34" t="str">
        <v/>
      </c>
      <c r="AW244" s="34" t="str">
        <v/>
      </c>
      <c r="AX244" s="34" t="str">
        <v/>
      </c>
      <c r="AY244" s="34">
        <v>1</v>
      </c>
      <c r="AZ244" s="34" t="str">
        <v/>
      </c>
      <c r="BA244" s="34">
        <v>0</v>
      </c>
      <c r="BB244" s="34">
        <v>16</v>
      </c>
      <c r="BD244" s="34">
        <v>1</v>
      </c>
      <c r="BE244" s="34">
        <v>0</v>
      </c>
      <c r="BF244" s="34">
        <v>1</v>
      </c>
      <c r="BG244" s="34" t="str">
        <v/>
      </c>
      <c r="BH244" s="34" t="str">
        <v/>
      </c>
      <c r="BI244" s="34" t="str">
        <v/>
      </c>
      <c r="BJ244" s="34" t="str">
        <v/>
      </c>
      <c r="BK244" s="34" t="str">
        <v>SOCKET</v>
      </c>
      <c r="BL244" s="34">
        <v>1</v>
      </c>
      <c r="BM244" s="34" t="str">
        <v/>
      </c>
      <c r="BN244" s="34" t="str">
        <v/>
      </c>
      <c r="BO244" s="34" t="str">
        <v/>
      </c>
      <c r="BP244" s="34" t="str">
        <v/>
      </c>
      <c r="BQ244" s="34" t="str">
        <v>3х2,5</v>
      </c>
      <c r="BR244" s="34" t="str">
        <v/>
      </c>
      <c r="BS244" s="34" t="str">
        <v/>
      </c>
      <c r="BT244" s="34" t="str">
        <v/>
      </c>
      <c r="BU244" s="34">
        <v>0</v>
      </c>
      <c r="BV244" s="34">
        <v>265</v>
      </c>
      <c r="BW244" s="34">
        <v>1</v>
      </c>
      <c r="BX244" s="34">
        <v>0</v>
      </c>
      <c r="BY244" s="34" t="str">
        <v>Розетка</v>
      </c>
      <c r="BZ244">
        <v>10</v>
      </c>
      <c r="CA244" t="str">
        <v>линии</v>
      </c>
    </row>
    <row r="245" spans="1:79" x14ac:dyDescent="0.3">
      <c r="A245" s="39" t="str">
        <v>ЩР-1</v>
      </c>
      <c r="B245" s="42">
        <v>58</v>
      </c>
      <c r="C245" s="42">
        <v>4</v>
      </c>
      <c r="D245" s="75" t="str">
        <v/>
      </c>
      <c r="E245" s="75" t="str">
        <v>авто</v>
      </c>
      <c r="F245" s="76">
        <v>30</v>
      </c>
      <c r="G245" s="47" t="str">
        <v>QFD44</v>
      </c>
      <c r="H245" s="47" t="str">
        <v>2P С16А 30мА</v>
      </c>
      <c r="I245" s="75" t="str">
        <v/>
      </c>
      <c r="J245" s="76" t="str">
        <v/>
      </c>
      <c r="K245" s="76" t="str">
        <v/>
      </c>
      <c r="L245" s="75" t="str">
        <v/>
      </c>
      <c r="M245" s="49" t="str">
        <v/>
      </c>
      <c r="N245" s="76" t="str">
        <v/>
      </c>
      <c r="O245" s="49" t="str">
        <v/>
      </c>
      <c r="P245" s="77" t="str">
        <v>XT44</v>
      </c>
      <c r="Q245" s="53" t="str">
        <v>ВВГнг(А)-LS (3х2,5) L=42-2,85%</v>
      </c>
      <c r="R245" s="54" t="str">
        <v>R.1.021A.10</v>
      </c>
      <c r="S245" s="55" t="str">
        <v>Розеточная группа Первый этаж Пом. №021A ПММ</v>
      </c>
      <c r="T245" s="56">
        <v>2</v>
      </c>
      <c r="U245" s="56">
        <v>9.1199999999999992</v>
      </c>
      <c r="V245" s="42" t="str">
        <v>L3</v>
      </c>
      <c r="W245" s="57" t="str">
        <v>ok</v>
      </c>
      <c r="X245" s="58" t="str">
        <v/>
      </c>
      <c r="Y245" s="75" t="str">
        <v/>
      </c>
      <c r="Z245" s="59">
        <v>9.1160568819414589</v>
      </c>
      <c r="AA245" s="61">
        <v>16</v>
      </c>
      <c r="AB245" s="61">
        <v>25</v>
      </c>
      <c r="AC245" s="61" t="str">
        <v/>
      </c>
      <c r="AD245" s="62" t="str">
        <v>QFD44 → XT44</v>
      </c>
      <c r="AE245" s="62" t="str">
        <v>потери 4,0 % &gt; 4 %</v>
      </c>
      <c r="AF245" s="34">
        <v>44</v>
      </c>
      <c r="AG245" s="34" t="str">
        <v>QFD44</v>
      </c>
      <c r="AH245" s="34" t="str">
        <v/>
      </c>
      <c r="AI245" s="34" t="str">
        <v/>
      </c>
      <c r="AJ245" s="34" t="str">
        <v>QFD44</v>
      </c>
      <c r="AK245" s="34">
        <v>1</v>
      </c>
      <c r="AL245" s="34" t="str">
        <v>R</v>
      </c>
      <c r="AM245" s="34">
        <v>30</v>
      </c>
      <c r="AN245" s="34">
        <v>0</v>
      </c>
      <c r="AO245" s="34">
        <v>16</v>
      </c>
      <c r="AP245" s="34">
        <v>25</v>
      </c>
      <c r="AQ245" s="34">
        <v>16</v>
      </c>
      <c r="AR245" s="34">
        <v>1</v>
      </c>
      <c r="AS245" s="34">
        <v>1</v>
      </c>
      <c r="AT245" s="34" t="str">
        <v>2P</v>
      </c>
      <c r="AU245" s="34">
        <v>16</v>
      </c>
      <c r="AV245" s="34" t="str">
        <v/>
      </c>
      <c r="AW245" s="34" t="str">
        <v/>
      </c>
      <c r="AX245" s="34" t="str">
        <v/>
      </c>
      <c r="AY245" s="34">
        <v>1</v>
      </c>
      <c r="AZ245" s="34" t="str">
        <v/>
      </c>
      <c r="BA245" s="34">
        <v>0</v>
      </c>
      <c r="BB245" s="34">
        <v>16</v>
      </c>
      <c r="BD245" s="34">
        <v>1</v>
      </c>
      <c r="BE245" s="34">
        <v>0</v>
      </c>
      <c r="BF245" s="34">
        <v>1</v>
      </c>
      <c r="BG245" s="34" t="str">
        <v/>
      </c>
      <c r="BH245" s="34" t="str">
        <v/>
      </c>
      <c r="BI245" s="34" t="str">
        <v/>
      </c>
      <c r="BJ245" s="34" t="str">
        <v/>
      </c>
      <c r="BK245" s="34" t="str">
        <v>SOCKET</v>
      </c>
      <c r="BL245" s="34">
        <v>1</v>
      </c>
      <c r="BM245" s="34" t="str">
        <v/>
      </c>
      <c r="BN245" s="34" t="str">
        <v/>
      </c>
      <c r="BO245" s="34" t="str">
        <v/>
      </c>
      <c r="BP245" s="34" t="str">
        <v/>
      </c>
      <c r="BQ245" s="34" t="str">
        <v>3х2,5</v>
      </c>
      <c r="BR245" s="34" t="str">
        <v/>
      </c>
      <c r="BS245" s="34" t="str">
        <v/>
      </c>
      <c r="BT245" s="34" t="str">
        <v/>
      </c>
      <c r="BU245" s="34">
        <v>1</v>
      </c>
      <c r="BV245" s="34">
        <v>266</v>
      </c>
      <c r="BW245" s="34">
        <v>1</v>
      </c>
      <c r="BX245" s="34">
        <v>0</v>
      </c>
      <c r="BY245" s="34" t="str">
        <v>Розетка</v>
      </c>
      <c r="BZ245">
        <v>10</v>
      </c>
      <c r="CA245" t="str">
        <v>линии</v>
      </c>
    </row>
    <row r="246" spans="1:79" x14ac:dyDescent="0.3">
      <c r="A246" s="39" t="str">
        <v>ЩР-1</v>
      </c>
      <c r="B246" s="42">
        <v>59</v>
      </c>
      <c r="C246" s="42">
        <v>4</v>
      </c>
      <c r="D246" s="75" t="str">
        <v/>
      </c>
      <c r="E246" s="75" t="str">
        <v>авто</v>
      </c>
      <c r="F246" s="76">
        <v>30</v>
      </c>
      <c r="G246" s="47" t="str">
        <v>QFD45</v>
      </c>
      <c r="H246" s="47" t="str">
        <v>2P С16А 30мА</v>
      </c>
      <c r="I246" s="75" t="str">
        <v/>
      </c>
      <c r="J246" s="76" t="str">
        <v/>
      </c>
      <c r="K246" s="76" t="str">
        <v/>
      </c>
      <c r="L246" s="75" t="str">
        <v/>
      </c>
      <c r="M246" s="49" t="str">
        <v/>
      </c>
      <c r="N246" s="76" t="str">
        <v/>
      </c>
      <c r="O246" s="49" t="str">
        <v/>
      </c>
      <c r="P246" s="77" t="str">
        <v>XT45</v>
      </c>
      <c r="Q246" s="53" t="str">
        <v>ВВГнг(А)-LS (3х2,5) L=6-0,04%</v>
      </c>
      <c r="R246" s="54" t="str">
        <v>R.1.021A.11</v>
      </c>
      <c r="S246" s="55" t="str">
        <v>Розеточная группа, пом. 021A</v>
      </c>
      <c r="T246" s="56">
        <v>0.18</v>
      </c>
      <c r="U246" s="56">
        <v>0.83</v>
      </c>
      <c r="V246" s="42" t="str">
        <v>L3</v>
      </c>
      <c r="W246" s="57" t="str">
        <v>ok</v>
      </c>
      <c r="X246" s="58" t="str">
        <v/>
      </c>
      <c r="Y246" s="75" t="str">
        <v/>
      </c>
      <c r="Z246" s="59">
        <v>0.8204451193747313</v>
      </c>
      <c r="AA246" s="61">
        <v>16</v>
      </c>
      <c r="AB246" s="61">
        <v>25</v>
      </c>
      <c r="AC246" s="61" t="str">
        <v/>
      </c>
      <c r="AD246" s="62" t="str">
        <v>QFD45 → XT45</v>
      </c>
      <c r="AE246" s="62" t="str">
        <v/>
      </c>
      <c r="AF246" s="34">
        <v>45</v>
      </c>
      <c r="AG246" s="34" t="str">
        <v>QFD45</v>
      </c>
      <c r="AH246" s="34" t="str">
        <v/>
      </c>
      <c r="AI246" s="34" t="str">
        <v/>
      </c>
      <c r="AJ246" s="34" t="str">
        <v>QFD45</v>
      </c>
      <c r="AK246" s="34">
        <v>1</v>
      </c>
      <c r="AL246" s="34" t="str">
        <v>R</v>
      </c>
      <c r="AM246" s="34">
        <v>30</v>
      </c>
      <c r="AN246" s="34">
        <v>0</v>
      </c>
      <c r="AO246" s="34">
        <v>16</v>
      </c>
      <c r="AP246" s="34">
        <v>25</v>
      </c>
      <c r="AQ246" s="34">
        <v>16</v>
      </c>
      <c r="AR246" s="34">
        <v>1</v>
      </c>
      <c r="AS246" s="34">
        <v>1</v>
      </c>
      <c r="AT246" s="34" t="str">
        <v>2P</v>
      </c>
      <c r="AU246" s="34">
        <v>16</v>
      </c>
      <c r="AV246" s="34" t="str">
        <v/>
      </c>
      <c r="AW246" s="34" t="str">
        <v/>
      </c>
      <c r="AX246" s="34" t="str">
        <v/>
      </c>
      <c r="AY246" s="34">
        <v>1</v>
      </c>
      <c r="AZ246" s="34" t="str">
        <v/>
      </c>
      <c r="BA246" s="34">
        <v>0</v>
      </c>
      <c r="BB246" s="34">
        <v>16</v>
      </c>
      <c r="BD246" s="34">
        <v>1</v>
      </c>
      <c r="BE246" s="34">
        <v>0</v>
      </c>
      <c r="BF246" s="34">
        <v>1</v>
      </c>
      <c r="BG246" s="34" t="str">
        <v/>
      </c>
      <c r="BH246" s="34" t="str">
        <v/>
      </c>
      <c r="BI246" s="34" t="str">
        <v/>
      </c>
      <c r="BJ246" s="34" t="str">
        <v/>
      </c>
      <c r="BK246" s="34" t="str">
        <v>SOCKET</v>
      </c>
      <c r="BL246" s="34">
        <v>1</v>
      </c>
      <c r="BM246" s="34" t="str">
        <v/>
      </c>
      <c r="BN246" s="34" t="str">
        <v/>
      </c>
      <c r="BO246" s="34" t="str">
        <v/>
      </c>
      <c r="BP246" s="34" t="str">
        <v/>
      </c>
      <c r="BQ246" s="34" t="str">
        <v>3х2,5</v>
      </c>
      <c r="BR246" s="34" t="str">
        <v/>
      </c>
      <c r="BS246" s="34" t="str">
        <v/>
      </c>
      <c r="BT246" s="34" t="str">
        <v/>
      </c>
      <c r="BU246" s="34">
        <v>0</v>
      </c>
      <c r="BV246" s="34">
        <v>267</v>
      </c>
      <c r="BW246" s="34">
        <v>1</v>
      </c>
      <c r="BX246" s="34">
        <v>0</v>
      </c>
      <c r="BY246" s="34" t="str">
        <v>Розетка</v>
      </c>
      <c r="BZ246">
        <v>10</v>
      </c>
      <c r="CA246" t="str">
        <v>линии</v>
      </c>
    </row>
    <row r="247" spans="1:79" x14ac:dyDescent="0.3">
      <c r="A247" s="39" t="str">
        <v>ЩР-1</v>
      </c>
      <c r="B247" s="42">
        <v>60</v>
      </c>
      <c r="C247" s="42">
        <v>4</v>
      </c>
      <c r="D247" s="75" t="str">
        <v/>
      </c>
      <c r="E247" s="75" t="str">
        <v>авто</v>
      </c>
      <c r="F247" s="76">
        <v>30</v>
      </c>
      <c r="G247" s="47" t="str">
        <v>QFD46</v>
      </c>
      <c r="H247" s="47" t="str">
        <v>2P С20А 30мА</v>
      </c>
      <c r="I247" s="75" t="str">
        <v/>
      </c>
      <c r="J247" s="76" t="str">
        <v/>
      </c>
      <c r="K247" s="76" t="str">
        <v/>
      </c>
      <c r="L247" s="75" t="str">
        <v/>
      </c>
      <c r="M247" s="49" t="str">
        <v/>
      </c>
      <c r="N247" s="76" t="str">
        <v/>
      </c>
      <c r="O247" s="49" t="str">
        <v/>
      </c>
      <c r="P247" s="77" t="str">
        <v>XT46</v>
      </c>
      <c r="Q247" s="53" t="str">
        <v>ВВГнг(А)-LS (3х4) L=39-3,07%</v>
      </c>
      <c r="R247" s="54" t="str">
        <v>R.1.021A.2</v>
      </c>
      <c r="S247" s="55" t="str">
        <v>Розеточная группа Первый этаж Пом. №021A Духовой шкаф</v>
      </c>
      <c r="T247" s="56">
        <v>3.7</v>
      </c>
      <c r="U247" s="56">
        <v>16.87</v>
      </c>
      <c r="V247" s="42" t="str">
        <v>L2</v>
      </c>
      <c r="W247" s="57" t="str">
        <v>ok</v>
      </c>
      <c r="X247" s="58" t="str">
        <v/>
      </c>
      <c r="Y247" s="75" t="str">
        <v/>
      </c>
      <c r="Z247" s="59">
        <v>16.864705231591699</v>
      </c>
      <c r="AA247" s="61">
        <v>20</v>
      </c>
      <c r="AB247" s="61">
        <v>32</v>
      </c>
      <c r="AC247" s="61" t="str">
        <v/>
      </c>
      <c r="AD247" s="62" t="str">
        <v>QFD46 → XT46</v>
      </c>
      <c r="AE247" s="62" t="str">
        <v>потери 4,3 % &gt; 4 %</v>
      </c>
      <c r="AF247" s="34">
        <v>46</v>
      </c>
      <c r="AG247" s="34" t="str">
        <v>QFD46</v>
      </c>
      <c r="AH247" s="34" t="str">
        <v/>
      </c>
      <c r="AI247" s="34" t="str">
        <v/>
      </c>
      <c r="AJ247" s="34" t="str">
        <v>QFD46</v>
      </c>
      <c r="AK247" s="34">
        <v>1</v>
      </c>
      <c r="AL247" s="34" t="str">
        <v>R</v>
      </c>
      <c r="AM247" s="34">
        <v>30</v>
      </c>
      <c r="AN247" s="34">
        <v>0</v>
      </c>
      <c r="AO247" s="34">
        <v>20</v>
      </c>
      <c r="AP247" s="34">
        <v>32</v>
      </c>
      <c r="AQ247" s="34">
        <v>20</v>
      </c>
      <c r="AR247" s="34">
        <v>1</v>
      </c>
      <c r="AS247" s="34">
        <v>1</v>
      </c>
      <c r="AT247" s="34" t="str">
        <v>2P</v>
      </c>
      <c r="AU247" s="34">
        <v>20</v>
      </c>
      <c r="AV247" s="34" t="str">
        <v/>
      </c>
      <c r="AW247" s="34" t="str">
        <v/>
      </c>
      <c r="AX247" s="34" t="str">
        <v/>
      </c>
      <c r="AY247" s="34">
        <v>1</v>
      </c>
      <c r="AZ247" s="34" t="str">
        <v/>
      </c>
      <c r="BA247" s="34">
        <v>0</v>
      </c>
      <c r="BB247" s="34">
        <v>16</v>
      </c>
      <c r="BD247" s="34">
        <v>1</v>
      </c>
      <c r="BE247" s="34">
        <v>0</v>
      </c>
      <c r="BF247" s="34">
        <v>1</v>
      </c>
      <c r="BG247" s="34" t="str">
        <v/>
      </c>
      <c r="BH247" s="34" t="str">
        <v/>
      </c>
      <c r="BI247" s="34" t="str">
        <v/>
      </c>
      <c r="BJ247" s="34" t="str">
        <v/>
      </c>
      <c r="BK247" s="34" t="str">
        <v>SOCKET</v>
      </c>
      <c r="BL247" s="34">
        <v>1</v>
      </c>
      <c r="BM247" s="34" t="str">
        <v/>
      </c>
      <c r="BN247" s="34" t="str">
        <v/>
      </c>
      <c r="BO247" s="34" t="str">
        <v/>
      </c>
      <c r="BP247" s="34" t="str">
        <v/>
      </c>
      <c r="BQ247" s="34" t="str">
        <v>3х4</v>
      </c>
      <c r="BR247" s="34" t="str">
        <v/>
      </c>
      <c r="BS247" s="34" t="str">
        <v/>
      </c>
      <c r="BT247" s="34" t="str">
        <v/>
      </c>
      <c r="BU247" s="34">
        <v>1</v>
      </c>
      <c r="BV247" s="34">
        <v>268</v>
      </c>
      <c r="BW247" s="34">
        <v>1</v>
      </c>
      <c r="BX247" s="34">
        <v>0</v>
      </c>
      <c r="BY247" s="34" t="str">
        <v>Розетка</v>
      </c>
      <c r="BZ247">
        <v>10</v>
      </c>
      <c r="CA247" t="str">
        <v>линии</v>
      </c>
    </row>
    <row r="248" spans="1:79" x14ac:dyDescent="0.3">
      <c r="A248" s="39" t="str">
        <v>ЩР-1</v>
      </c>
      <c r="B248" s="42">
        <v>61</v>
      </c>
      <c r="C248" s="42">
        <v>4</v>
      </c>
      <c r="D248" s="75" t="str">
        <v/>
      </c>
      <c r="E248" s="75" t="str">
        <v>авто</v>
      </c>
      <c r="F248" s="76">
        <v>30</v>
      </c>
      <c r="G248" s="47" t="str">
        <v>QFD47</v>
      </c>
      <c r="H248" s="47" t="str">
        <v>2P С16А 30мА</v>
      </c>
      <c r="I248" s="75" t="str">
        <v/>
      </c>
      <c r="J248" s="76" t="str">
        <v/>
      </c>
      <c r="K248" s="76" t="str">
        <v/>
      </c>
      <c r="L248" s="75" t="str">
        <v/>
      </c>
      <c r="M248" s="49" t="str">
        <v/>
      </c>
      <c r="N248" s="76" t="str">
        <v/>
      </c>
      <c r="O248" s="49" t="str">
        <v/>
      </c>
      <c r="P248" s="77" t="str">
        <v>XT47</v>
      </c>
      <c r="Q248" s="53" t="str">
        <v>ВВГнг(А)-LS (3х2,5) L=39-2,12%</v>
      </c>
      <c r="R248" s="54" t="str">
        <v>R.1.021A.3</v>
      </c>
      <c r="S248" s="55" t="str">
        <v>Розеточная группа Первый этаж Пом. №021A Микроволновая печь</v>
      </c>
      <c r="T248" s="56">
        <v>1.6</v>
      </c>
      <c r="U248" s="56">
        <v>7.3</v>
      </c>
      <c r="V248" s="42" t="str">
        <v>L1</v>
      </c>
      <c r="W248" s="57" t="str">
        <v>ok</v>
      </c>
      <c r="X248" s="58" t="str">
        <v/>
      </c>
      <c r="Y248" s="75" t="str">
        <v/>
      </c>
      <c r="Z248" s="59">
        <v>7.292845505553168</v>
      </c>
      <c r="AA248" s="61">
        <v>16</v>
      </c>
      <c r="AB248" s="61">
        <v>25</v>
      </c>
      <c r="AC248" s="61" t="str">
        <v/>
      </c>
      <c r="AD248" s="62" t="str">
        <v>QFD47 → XT47</v>
      </c>
      <c r="AE248" s="62" t="str">
        <v/>
      </c>
      <c r="AF248" s="34">
        <v>47</v>
      </c>
      <c r="AG248" s="34" t="str">
        <v>QFD47</v>
      </c>
      <c r="AH248" s="34" t="str">
        <v/>
      </c>
      <c r="AI248" s="34" t="str">
        <v/>
      </c>
      <c r="AJ248" s="34" t="str">
        <v>QFD47</v>
      </c>
      <c r="AK248" s="34">
        <v>1</v>
      </c>
      <c r="AL248" s="34" t="str">
        <v>R</v>
      </c>
      <c r="AM248" s="34">
        <v>30</v>
      </c>
      <c r="AN248" s="34">
        <v>0</v>
      </c>
      <c r="AO248" s="34">
        <v>16</v>
      </c>
      <c r="AP248" s="34">
        <v>25</v>
      </c>
      <c r="AQ248" s="34">
        <v>16</v>
      </c>
      <c r="AR248" s="34">
        <v>1</v>
      </c>
      <c r="AS248" s="34">
        <v>1</v>
      </c>
      <c r="AT248" s="34" t="str">
        <v>2P</v>
      </c>
      <c r="AU248" s="34">
        <v>16</v>
      </c>
      <c r="AV248" s="34" t="str">
        <v/>
      </c>
      <c r="AW248" s="34" t="str">
        <v/>
      </c>
      <c r="AX248" s="34" t="str">
        <v/>
      </c>
      <c r="AY248" s="34">
        <v>1</v>
      </c>
      <c r="AZ248" s="34" t="str">
        <v/>
      </c>
      <c r="BA248" s="34">
        <v>0</v>
      </c>
      <c r="BB248" s="34">
        <v>16</v>
      </c>
      <c r="BD248" s="34">
        <v>1</v>
      </c>
      <c r="BE248" s="34">
        <v>0</v>
      </c>
      <c r="BF248" s="34">
        <v>1</v>
      </c>
      <c r="BG248" s="34" t="str">
        <v/>
      </c>
      <c r="BH248" s="34" t="str">
        <v/>
      </c>
      <c r="BI248" s="34" t="str">
        <v/>
      </c>
      <c r="BJ248" s="34" t="str">
        <v/>
      </c>
      <c r="BK248" s="34" t="str">
        <v>SOCKET</v>
      </c>
      <c r="BL248" s="34">
        <v>1</v>
      </c>
      <c r="BM248" s="34" t="str">
        <v/>
      </c>
      <c r="BN248" s="34" t="str">
        <v/>
      </c>
      <c r="BO248" s="34" t="str">
        <v/>
      </c>
      <c r="BP248" s="34" t="str">
        <v/>
      </c>
      <c r="BQ248" s="34" t="str">
        <v>3х2,5</v>
      </c>
      <c r="BR248" s="34" t="str">
        <v/>
      </c>
      <c r="BS248" s="34" t="str">
        <v/>
      </c>
      <c r="BT248" s="34" t="str">
        <v/>
      </c>
      <c r="BU248" s="34">
        <v>0</v>
      </c>
      <c r="BV248" s="34">
        <v>269</v>
      </c>
      <c r="BW248" s="34">
        <v>1</v>
      </c>
      <c r="BX248" s="34">
        <v>0</v>
      </c>
      <c r="BY248" s="34" t="str">
        <v>Розетка</v>
      </c>
      <c r="BZ248">
        <v>10</v>
      </c>
      <c r="CA248" t="str">
        <v>линии</v>
      </c>
    </row>
    <row r="249" spans="1:79" x14ac:dyDescent="0.3">
      <c r="A249" s="39" t="str">
        <v>ЩР-1</v>
      </c>
      <c r="B249" s="42">
        <v>62</v>
      </c>
      <c r="C249" s="42">
        <v>4</v>
      </c>
      <c r="D249" s="75" t="str">
        <v/>
      </c>
      <c r="E249" s="75" t="str">
        <v>авто</v>
      </c>
      <c r="F249" s="76">
        <v>30</v>
      </c>
      <c r="G249" s="47" t="str">
        <v>QFD48</v>
      </c>
      <c r="H249" s="47" t="str">
        <v>2P С16А 30мА</v>
      </c>
      <c r="I249" s="75" t="str">
        <v/>
      </c>
      <c r="J249" s="76" t="str">
        <v/>
      </c>
      <c r="K249" s="76" t="str">
        <v/>
      </c>
      <c r="L249" s="75" t="str">
        <v/>
      </c>
      <c r="M249" s="49" t="str">
        <v/>
      </c>
      <c r="N249" s="76" t="str">
        <v/>
      </c>
      <c r="O249" s="49" t="str">
        <v/>
      </c>
      <c r="P249" s="77" t="str">
        <v>XT48</v>
      </c>
      <c r="Q249" s="53" t="str">
        <v>ВВГнг(А)-LS (3х2,5) L=42-0,89%</v>
      </c>
      <c r="R249" s="54" t="str">
        <v>R.1.021A.4</v>
      </c>
      <c r="S249" s="55" t="str">
        <v>Розеточная группа Первый этаж Пом. №021A Холодильник, морозильная камера</v>
      </c>
      <c r="T249" s="56">
        <v>0.62</v>
      </c>
      <c r="U249" s="56">
        <v>2.8299999999999996</v>
      </c>
      <c r="V249" s="42" t="str">
        <v>L2</v>
      </c>
      <c r="W249" s="57" t="str">
        <v>ok</v>
      </c>
      <c r="X249" s="58" t="str">
        <v/>
      </c>
      <c r="Y249" s="75" t="str">
        <v/>
      </c>
      <c r="Z249" s="59">
        <v>2.8259776334018523</v>
      </c>
      <c r="AA249" s="61">
        <v>16</v>
      </c>
      <c r="AB249" s="61">
        <v>25</v>
      </c>
      <c r="AC249" s="61" t="str">
        <v/>
      </c>
      <c r="AD249" s="62" t="str">
        <v>QFD48 → XT48</v>
      </c>
      <c r="AE249" s="62" t="str">
        <v/>
      </c>
      <c r="AF249" s="34">
        <v>48</v>
      </c>
      <c r="AG249" s="34" t="str">
        <v>QFD48</v>
      </c>
      <c r="AH249" s="34" t="str">
        <v/>
      </c>
      <c r="AI249" s="34" t="str">
        <v/>
      </c>
      <c r="AJ249" s="34" t="str">
        <v>QFD48</v>
      </c>
      <c r="AK249" s="34">
        <v>1</v>
      </c>
      <c r="AL249" s="34" t="str">
        <v>R</v>
      </c>
      <c r="AM249" s="34">
        <v>30</v>
      </c>
      <c r="AN249" s="34">
        <v>0</v>
      </c>
      <c r="AO249" s="34">
        <v>16</v>
      </c>
      <c r="AP249" s="34">
        <v>25</v>
      </c>
      <c r="AQ249" s="34">
        <v>16</v>
      </c>
      <c r="AR249" s="34">
        <v>1</v>
      </c>
      <c r="AS249" s="34">
        <v>1</v>
      </c>
      <c r="AT249" s="34" t="str">
        <v>2P</v>
      </c>
      <c r="AU249" s="34">
        <v>16</v>
      </c>
      <c r="AV249" s="34" t="str">
        <v/>
      </c>
      <c r="AW249" s="34" t="str">
        <v/>
      </c>
      <c r="AX249" s="34" t="str">
        <v/>
      </c>
      <c r="AY249" s="34">
        <v>1</v>
      </c>
      <c r="AZ249" s="34" t="str">
        <v/>
      </c>
      <c r="BA249" s="34">
        <v>0</v>
      </c>
      <c r="BB249" s="34">
        <v>16</v>
      </c>
      <c r="BD249" s="34">
        <v>1</v>
      </c>
      <c r="BE249" s="34">
        <v>0</v>
      </c>
      <c r="BF249" s="34">
        <v>1</v>
      </c>
      <c r="BG249" s="34" t="str">
        <v/>
      </c>
      <c r="BH249" s="34" t="str">
        <v/>
      </c>
      <c r="BI249" s="34" t="str">
        <v/>
      </c>
      <c r="BJ249" s="34" t="str">
        <v/>
      </c>
      <c r="BK249" s="34" t="str">
        <v>SOCKET</v>
      </c>
      <c r="BL249" s="34">
        <v>1</v>
      </c>
      <c r="BM249" s="34" t="str">
        <v/>
      </c>
      <c r="BN249" s="34" t="str">
        <v/>
      </c>
      <c r="BO249" s="34" t="str">
        <v/>
      </c>
      <c r="BP249" s="34" t="str">
        <v/>
      </c>
      <c r="BQ249" s="34" t="str">
        <v>3х2,5</v>
      </c>
      <c r="BR249" s="34" t="str">
        <v/>
      </c>
      <c r="BS249" s="34" t="str">
        <v/>
      </c>
      <c r="BT249" s="34" t="str">
        <v/>
      </c>
      <c r="BU249" s="34">
        <v>0</v>
      </c>
      <c r="BV249" s="34">
        <v>270</v>
      </c>
      <c r="BW249" s="34">
        <v>1</v>
      </c>
      <c r="BX249" s="34">
        <v>0</v>
      </c>
      <c r="BY249" s="34" t="str">
        <v>Розетка</v>
      </c>
      <c r="BZ249">
        <v>10</v>
      </c>
      <c r="CA249" t="str">
        <v>линии</v>
      </c>
    </row>
    <row r="250" spans="1:79" x14ac:dyDescent="0.3">
      <c r="A250" s="39" t="str">
        <v>ЩР-1</v>
      </c>
      <c r="B250" s="42">
        <v>63</v>
      </c>
      <c r="C250" s="42">
        <v>4</v>
      </c>
      <c r="D250" s="75" t="str">
        <v/>
      </c>
      <c r="E250" s="75" t="str">
        <v>авто</v>
      </c>
      <c r="F250" s="76">
        <v>30</v>
      </c>
      <c r="G250" s="47" t="str">
        <v>QFD49</v>
      </c>
      <c r="H250" s="47" t="str">
        <v>2P С16А 30мА</v>
      </c>
      <c r="I250" s="75" t="str">
        <v/>
      </c>
      <c r="J250" s="76" t="str">
        <v/>
      </c>
      <c r="K250" s="76" t="str">
        <v/>
      </c>
      <c r="L250" s="75" t="str">
        <v/>
      </c>
      <c r="M250" s="49" t="str">
        <v/>
      </c>
      <c r="N250" s="76" t="str">
        <v/>
      </c>
      <c r="O250" s="49" t="str">
        <v/>
      </c>
      <c r="P250" s="77" t="str">
        <v>XT49</v>
      </c>
      <c r="Q250" s="53" t="str">
        <v>ВВГнг(А)-LS (3х2,5) L=42-0,13%</v>
      </c>
      <c r="R250" s="54" t="str">
        <v>R.1.021A.6</v>
      </c>
      <c r="S250" s="55" t="str">
        <v>Розеточная группа Первый этаж Пом. №021A Вывод для вытяжки</v>
      </c>
      <c r="T250" s="56">
        <v>0.09</v>
      </c>
      <c r="U250" s="56">
        <v>0.42</v>
      </c>
      <c r="V250" s="42" t="str">
        <v>L2</v>
      </c>
      <c r="W250" s="57" t="str">
        <v>ok</v>
      </c>
      <c r="X250" s="58" t="str">
        <v/>
      </c>
      <c r="Y250" s="75" t="str">
        <v/>
      </c>
      <c r="Z250" s="59">
        <v>0.41022255968736565</v>
      </c>
      <c r="AA250" s="61">
        <v>16</v>
      </c>
      <c r="AB250" s="61">
        <v>25</v>
      </c>
      <c r="AC250" s="61" t="str">
        <v/>
      </c>
      <c r="AD250" s="62" t="str">
        <v>QFD49 → XT49</v>
      </c>
      <c r="AE250" s="62" t="str">
        <v/>
      </c>
      <c r="AF250" s="34">
        <v>49</v>
      </c>
      <c r="AG250" s="34" t="str">
        <v>QFD49</v>
      </c>
      <c r="AH250" s="34" t="str">
        <v/>
      </c>
      <c r="AI250" s="34" t="str">
        <v/>
      </c>
      <c r="AJ250" s="34" t="str">
        <v>QFD49</v>
      </c>
      <c r="AK250" s="34">
        <v>1</v>
      </c>
      <c r="AL250" s="34" t="str">
        <v>R</v>
      </c>
      <c r="AM250" s="34">
        <v>30</v>
      </c>
      <c r="AN250" s="34">
        <v>0</v>
      </c>
      <c r="AO250" s="34">
        <v>16</v>
      </c>
      <c r="AP250" s="34">
        <v>25</v>
      </c>
      <c r="AQ250" s="34">
        <v>16</v>
      </c>
      <c r="AR250" s="34">
        <v>1</v>
      </c>
      <c r="AS250" s="34">
        <v>1</v>
      </c>
      <c r="AT250" s="34" t="str">
        <v>2P</v>
      </c>
      <c r="AU250" s="34">
        <v>16</v>
      </c>
      <c r="AV250" s="34" t="str">
        <v/>
      </c>
      <c r="AW250" s="34" t="str">
        <v/>
      </c>
      <c r="AX250" s="34" t="str">
        <v/>
      </c>
      <c r="AY250" s="34">
        <v>1</v>
      </c>
      <c r="AZ250" s="34" t="str">
        <v/>
      </c>
      <c r="BA250" s="34">
        <v>0</v>
      </c>
      <c r="BB250" s="34">
        <v>16</v>
      </c>
      <c r="BD250" s="34">
        <v>1</v>
      </c>
      <c r="BE250" s="34">
        <v>0</v>
      </c>
      <c r="BF250" s="34">
        <v>1</v>
      </c>
      <c r="BG250" s="34" t="str">
        <v/>
      </c>
      <c r="BH250" s="34" t="str">
        <v/>
      </c>
      <c r="BI250" s="34" t="str">
        <v/>
      </c>
      <c r="BJ250" s="34" t="str">
        <v/>
      </c>
      <c r="BK250" s="34" t="str">
        <v>SOCKET</v>
      </c>
      <c r="BL250" s="34">
        <v>1</v>
      </c>
      <c r="BM250" s="34" t="str">
        <v/>
      </c>
      <c r="BN250" s="34" t="str">
        <v/>
      </c>
      <c r="BO250" s="34" t="str">
        <v/>
      </c>
      <c r="BP250" s="34" t="str">
        <v/>
      </c>
      <c r="BQ250" s="34" t="str">
        <v>3х2,5</v>
      </c>
      <c r="BR250" s="34" t="str">
        <v/>
      </c>
      <c r="BS250" s="34" t="str">
        <v/>
      </c>
      <c r="BT250" s="34" t="str">
        <v/>
      </c>
      <c r="BU250" s="34">
        <v>0</v>
      </c>
      <c r="BV250" s="34">
        <v>271</v>
      </c>
      <c r="BW250" s="34">
        <v>1</v>
      </c>
      <c r="BX250" s="34">
        <v>0</v>
      </c>
      <c r="BY250" s="34" t="str">
        <v>Розетка</v>
      </c>
      <c r="BZ250">
        <v>10</v>
      </c>
      <c r="CA250" t="str">
        <v>линии</v>
      </c>
    </row>
    <row r="251" spans="1:79" x14ac:dyDescent="0.3">
      <c r="A251" s="39" t="str">
        <v>ЩР-1</v>
      </c>
      <c r="B251" s="42">
        <v>64</v>
      </c>
      <c r="C251" s="42">
        <v>4</v>
      </c>
      <c r="D251" s="75" t="str">
        <v/>
      </c>
      <c r="E251" s="75" t="str">
        <v>авто</v>
      </c>
      <c r="F251" s="76">
        <v>30</v>
      </c>
      <c r="G251" s="47" t="str">
        <v>QFD50</v>
      </c>
      <c r="H251" s="47" t="str">
        <v>4P С16А 30мА</v>
      </c>
      <c r="I251" s="75" t="str">
        <v/>
      </c>
      <c r="J251" s="76" t="str">
        <v/>
      </c>
      <c r="K251" s="76" t="str">
        <v/>
      </c>
      <c r="L251" s="75" t="str">
        <v/>
      </c>
      <c r="M251" s="49" t="str">
        <v/>
      </c>
      <c r="N251" s="76" t="str">
        <v/>
      </c>
      <c r="O251" s="49" t="str">
        <v/>
      </c>
      <c r="P251" s="77" t="str">
        <v>XT50</v>
      </c>
      <c r="Q251" s="53" t="str">
        <v>ВВГнг(А)-LS (5х4) L=42-1,1%</v>
      </c>
      <c r="R251" s="54" t="str">
        <v>R.1.021A.7</v>
      </c>
      <c r="S251" s="55" t="str">
        <v>Розеточная группа Первый этаж Пом. №021A Вывод на варочную панель</v>
      </c>
      <c r="T251" s="56">
        <v>7.36</v>
      </c>
      <c r="U251" s="56">
        <v>11.19</v>
      </c>
      <c r="V251" s="42" t="str">
        <v>L1,L2,L3</v>
      </c>
      <c r="W251" s="57" t="str">
        <v>ok</v>
      </c>
      <c r="X251" s="58" t="str">
        <v/>
      </c>
      <c r="Y251" s="75" t="str">
        <v/>
      </c>
      <c r="Z251" s="59">
        <v>11.182363108514858</v>
      </c>
      <c r="AA251" s="61">
        <v>16</v>
      </c>
      <c r="AB251" s="61">
        <v>32</v>
      </c>
      <c r="AC251" s="61" t="str">
        <v/>
      </c>
      <c r="AD251" s="62" t="str">
        <v>QFD50 → XT50</v>
      </c>
      <c r="AE251" s="62" t="str">
        <v/>
      </c>
      <c r="AF251" s="34">
        <v>50</v>
      </c>
      <c r="AG251" s="34" t="str">
        <v>QFD50</v>
      </c>
      <c r="AH251" s="34" t="str">
        <v/>
      </c>
      <c r="AI251" s="34" t="str">
        <v/>
      </c>
      <c r="AJ251" s="34" t="str">
        <v>QFD50</v>
      </c>
      <c r="AK251" s="34">
        <v>3</v>
      </c>
      <c r="AL251" s="34" t="str">
        <v>R</v>
      </c>
      <c r="AM251" s="34">
        <v>30</v>
      </c>
      <c r="AN251" s="34">
        <v>0</v>
      </c>
      <c r="AO251" s="34">
        <v>16</v>
      </c>
      <c r="AP251" s="34">
        <v>32</v>
      </c>
      <c r="AQ251" s="34">
        <v>16</v>
      </c>
      <c r="AR251" s="34">
        <v>3</v>
      </c>
      <c r="AS251" s="34">
        <v>1</v>
      </c>
      <c r="AT251" s="34" t="str">
        <v>4P</v>
      </c>
      <c r="AU251" s="34">
        <v>16</v>
      </c>
      <c r="AV251" s="34" t="str">
        <v/>
      </c>
      <c r="AW251" s="34" t="str">
        <v/>
      </c>
      <c r="AX251" s="34" t="str">
        <v/>
      </c>
      <c r="AY251" s="34">
        <v>1</v>
      </c>
      <c r="AZ251" s="34" t="str">
        <v/>
      </c>
      <c r="BA251" s="34">
        <v>0</v>
      </c>
      <c r="BB251" s="34">
        <v>16</v>
      </c>
      <c r="BD251" s="34">
        <v>1</v>
      </c>
      <c r="BE251" s="34">
        <v>0</v>
      </c>
      <c r="BF251" s="34">
        <v>1</v>
      </c>
      <c r="BG251" s="34" t="str">
        <v/>
      </c>
      <c r="BH251" s="34" t="str">
        <v/>
      </c>
      <c r="BI251" s="34" t="str">
        <v/>
      </c>
      <c r="BJ251" s="34" t="str">
        <v/>
      </c>
      <c r="BK251" s="34" t="str">
        <v>SOCKET</v>
      </c>
      <c r="BL251" s="34">
        <v>1</v>
      </c>
      <c r="BM251" s="34">
        <v>19</v>
      </c>
      <c r="BN251" s="34" t="str">
        <v/>
      </c>
      <c r="BO251" s="34" t="str">
        <v/>
      </c>
      <c r="BP251" s="34" t="str">
        <v/>
      </c>
      <c r="BQ251" s="34" t="str">
        <v>5х4</v>
      </c>
      <c r="BR251" s="34" t="str">
        <v/>
      </c>
      <c r="BS251" s="34" t="str">
        <v/>
      </c>
      <c r="BT251" s="34" t="str">
        <v/>
      </c>
      <c r="BU251" s="34">
        <v>0</v>
      </c>
      <c r="BV251" s="34">
        <v>272</v>
      </c>
      <c r="BW251" s="34">
        <v>1</v>
      </c>
      <c r="BX251" s="34">
        <v>2</v>
      </c>
      <c r="BY251" s="34" t="str">
        <v>Розетка</v>
      </c>
      <c r="BZ251">
        <v>10</v>
      </c>
      <c r="CA251" t="str">
        <v>линии</v>
      </c>
    </row>
    <row r="252" spans="1:79" x14ac:dyDescent="0.3">
      <c r="A252" s="39" t="str">
        <v>ЩР-1</v>
      </c>
      <c r="B252" s="42">
        <v>65</v>
      </c>
      <c r="C252" s="42">
        <v>4</v>
      </c>
      <c r="D252" s="75" t="str">
        <v/>
      </c>
      <c r="E252" s="75" t="str">
        <v>авто</v>
      </c>
      <c r="F252" s="76">
        <v>30</v>
      </c>
      <c r="G252" s="47" t="str">
        <v>QFD51</v>
      </c>
      <c r="H252" s="47" t="str">
        <v>2P С16А 30мА</v>
      </c>
      <c r="I252" s="75" t="str">
        <v/>
      </c>
      <c r="J252" s="76" t="str">
        <v/>
      </c>
      <c r="K252" s="76" t="str">
        <v/>
      </c>
      <c r="L252" s="75" t="str">
        <v/>
      </c>
      <c r="M252" s="49" t="str">
        <v/>
      </c>
      <c r="N252" s="76" t="str">
        <v/>
      </c>
      <c r="O252" s="49" t="str">
        <v/>
      </c>
      <c r="P252" s="77" t="str">
        <v>XT51</v>
      </c>
      <c r="Q252" s="53" t="str">
        <v>ВВГнг(А)-LS (3х2,5) L=63-0,39%</v>
      </c>
      <c r="R252" s="54" t="str">
        <v>R.1.021A.8</v>
      </c>
      <c r="S252" s="55" t="str">
        <v>Розеточная группа, пом. 021A</v>
      </c>
      <c r="T252" s="56">
        <v>0.18</v>
      </c>
      <c r="U252" s="56">
        <v>0.83</v>
      </c>
      <c r="V252" s="42" t="str">
        <v>L2</v>
      </c>
      <c r="W252" s="57" t="str">
        <v>ok</v>
      </c>
      <c r="X252" s="58" t="str">
        <v/>
      </c>
      <c r="Y252" s="75" t="str">
        <v/>
      </c>
      <c r="Z252" s="59">
        <v>0.8204451193747313</v>
      </c>
      <c r="AA252" s="61">
        <v>16</v>
      </c>
      <c r="AB252" s="61">
        <v>25</v>
      </c>
      <c r="AC252" s="61" t="str">
        <v/>
      </c>
      <c r="AD252" s="62" t="str">
        <v>QFD51 → XT51</v>
      </c>
      <c r="AE252" s="62" t="str">
        <v/>
      </c>
      <c r="AF252" s="34">
        <v>51</v>
      </c>
      <c r="AG252" s="34" t="str">
        <v>QFD51</v>
      </c>
      <c r="AH252" s="34" t="str">
        <v/>
      </c>
      <c r="AI252" s="34" t="str">
        <v/>
      </c>
      <c r="AJ252" s="34" t="str">
        <v>QFD51</v>
      </c>
      <c r="AK252" s="34">
        <v>1</v>
      </c>
      <c r="AL252" s="34" t="str">
        <v>R</v>
      </c>
      <c r="AM252" s="34">
        <v>30</v>
      </c>
      <c r="AN252" s="34">
        <v>0</v>
      </c>
      <c r="AO252" s="34">
        <v>16</v>
      </c>
      <c r="AP252" s="34">
        <v>25</v>
      </c>
      <c r="AQ252" s="34">
        <v>16</v>
      </c>
      <c r="AR252" s="34">
        <v>1</v>
      </c>
      <c r="AS252" s="34">
        <v>1</v>
      </c>
      <c r="AT252" s="34" t="str">
        <v>2P</v>
      </c>
      <c r="AU252" s="34">
        <v>16</v>
      </c>
      <c r="AV252" s="34" t="str">
        <v/>
      </c>
      <c r="AW252" s="34" t="str">
        <v/>
      </c>
      <c r="AX252" s="34" t="str">
        <v/>
      </c>
      <c r="AY252" s="34">
        <v>1</v>
      </c>
      <c r="AZ252" s="34" t="str">
        <v/>
      </c>
      <c r="BA252" s="34">
        <v>0</v>
      </c>
      <c r="BB252" s="34">
        <v>16</v>
      </c>
      <c r="BD252" s="34">
        <v>1</v>
      </c>
      <c r="BE252" s="34">
        <v>0</v>
      </c>
      <c r="BF252" s="34">
        <v>1</v>
      </c>
      <c r="BG252" s="34" t="str">
        <v/>
      </c>
      <c r="BH252" s="34" t="str">
        <v/>
      </c>
      <c r="BI252" s="34" t="str">
        <v/>
      </c>
      <c r="BJ252" s="34" t="str">
        <v/>
      </c>
      <c r="BK252" s="34" t="str">
        <v>SOCKET</v>
      </c>
      <c r="BL252" s="34">
        <v>1</v>
      </c>
      <c r="BM252" s="34" t="str">
        <v/>
      </c>
      <c r="BN252" s="34" t="str">
        <v/>
      </c>
      <c r="BO252" s="34" t="str">
        <v/>
      </c>
      <c r="BP252" s="34" t="str">
        <v/>
      </c>
      <c r="BQ252" s="34" t="str">
        <v>3х2,5</v>
      </c>
      <c r="BR252" s="34" t="str">
        <v/>
      </c>
      <c r="BS252" s="34" t="str">
        <v/>
      </c>
      <c r="BT252" s="34" t="str">
        <v/>
      </c>
      <c r="BU252" s="34">
        <v>0</v>
      </c>
      <c r="BV252" s="34">
        <v>273</v>
      </c>
      <c r="BW252" s="34">
        <v>1</v>
      </c>
      <c r="BX252" s="34">
        <v>0</v>
      </c>
      <c r="BY252" s="34" t="str">
        <v>Розетка</v>
      </c>
      <c r="BZ252">
        <v>10</v>
      </c>
      <c r="CA252" t="str">
        <v>линии</v>
      </c>
    </row>
    <row r="253" spans="1:79" x14ac:dyDescent="0.3">
      <c r="A253" s="39" t="str">
        <v>ЩР-1</v>
      </c>
      <c r="B253" s="42">
        <v>66</v>
      </c>
      <c r="C253" s="42">
        <v>4</v>
      </c>
      <c r="D253" s="75" t="str">
        <v/>
      </c>
      <c r="E253" s="75" t="str">
        <v>авто</v>
      </c>
      <c r="F253" s="76">
        <v>30</v>
      </c>
      <c r="G253" s="47" t="str">
        <v>QFD52</v>
      </c>
      <c r="H253" s="47" t="str">
        <v>2P С16А 30мА</v>
      </c>
      <c r="I253" s="75" t="str">
        <v/>
      </c>
      <c r="J253" s="76" t="str">
        <v/>
      </c>
      <c r="K253" s="76" t="str">
        <v/>
      </c>
      <c r="L253" s="75" t="str">
        <v/>
      </c>
      <c r="M253" s="49" t="str">
        <v/>
      </c>
      <c r="N253" s="76" t="str">
        <v/>
      </c>
      <c r="O253" s="49" t="str">
        <v/>
      </c>
      <c r="P253" s="77" t="str">
        <v>XT52</v>
      </c>
      <c r="Q253" s="53" t="str">
        <v>ВВГнг(А)-LS (3х2,5) L=40-0,95%</v>
      </c>
      <c r="R253" s="54" t="str">
        <v>R.1.021A.9</v>
      </c>
      <c r="S253" s="55" t="str">
        <v>Розеточная группа Первый этаж Пом. №021A Подогреватель пищи и посуды</v>
      </c>
      <c r="T253" s="56">
        <v>0.7</v>
      </c>
      <c r="U253" s="56">
        <v>3.1999999999999997</v>
      </c>
      <c r="V253" s="42" t="str">
        <v>L1</v>
      </c>
      <c r="W253" s="57" t="str">
        <v>ok</v>
      </c>
      <c r="X253" s="58" t="str">
        <v/>
      </c>
      <c r="Y253" s="75" t="str">
        <v/>
      </c>
      <c r="Z253" s="59">
        <v>3.1906199086795106</v>
      </c>
      <c r="AA253" s="61">
        <v>16</v>
      </c>
      <c r="AB253" s="61">
        <v>25</v>
      </c>
      <c r="AC253" s="61" t="str">
        <v/>
      </c>
      <c r="AD253" s="62" t="str">
        <v>QFD52 → XT52</v>
      </c>
      <c r="AE253" s="62" t="str">
        <v/>
      </c>
      <c r="AF253" s="34">
        <v>52</v>
      </c>
      <c r="AG253" s="34" t="str">
        <v>QFD52</v>
      </c>
      <c r="AH253" s="34" t="str">
        <v/>
      </c>
      <c r="AI253" s="34" t="str">
        <v/>
      </c>
      <c r="AJ253" s="34" t="str">
        <v>QFD52</v>
      </c>
      <c r="AK253" s="34">
        <v>1</v>
      </c>
      <c r="AL253" s="34" t="str">
        <v>R</v>
      </c>
      <c r="AM253" s="34">
        <v>30</v>
      </c>
      <c r="AN253" s="34">
        <v>0</v>
      </c>
      <c r="AO253" s="34">
        <v>16</v>
      </c>
      <c r="AP253" s="34">
        <v>25</v>
      </c>
      <c r="AQ253" s="34">
        <v>16</v>
      </c>
      <c r="AR253" s="34">
        <v>1</v>
      </c>
      <c r="AS253" s="34">
        <v>1</v>
      </c>
      <c r="AT253" s="34" t="str">
        <v>2P</v>
      </c>
      <c r="AU253" s="34">
        <v>16</v>
      </c>
      <c r="AV253" s="34" t="str">
        <v/>
      </c>
      <c r="AW253" s="34" t="str">
        <v/>
      </c>
      <c r="AX253" s="34" t="str">
        <v/>
      </c>
      <c r="AY253" s="34">
        <v>1</v>
      </c>
      <c r="AZ253" s="34" t="str">
        <v/>
      </c>
      <c r="BA253" s="34">
        <v>0</v>
      </c>
      <c r="BB253" s="34">
        <v>16</v>
      </c>
      <c r="BD253" s="34">
        <v>1</v>
      </c>
      <c r="BE253" s="34">
        <v>0</v>
      </c>
      <c r="BF253" s="34">
        <v>1</v>
      </c>
      <c r="BG253" s="34" t="str">
        <v/>
      </c>
      <c r="BH253" s="34" t="str">
        <v/>
      </c>
      <c r="BI253" s="34" t="str">
        <v/>
      </c>
      <c r="BJ253" s="34" t="str">
        <v/>
      </c>
      <c r="BK253" s="34" t="str">
        <v>SOCKET</v>
      </c>
      <c r="BL253" s="34">
        <v>1</v>
      </c>
      <c r="BM253" s="34" t="str">
        <v/>
      </c>
      <c r="BN253" s="34" t="str">
        <v/>
      </c>
      <c r="BO253" s="34" t="str">
        <v/>
      </c>
      <c r="BP253" s="34" t="str">
        <v/>
      </c>
      <c r="BQ253" s="34" t="str">
        <v>3х2,5</v>
      </c>
      <c r="BR253" s="34" t="str">
        <v/>
      </c>
      <c r="BS253" s="34" t="str">
        <v/>
      </c>
      <c r="BT253" s="34" t="str">
        <v/>
      </c>
      <c r="BU253" s="34">
        <v>0</v>
      </c>
      <c r="BV253" s="34">
        <v>274</v>
      </c>
      <c r="BW253" s="34">
        <v>1</v>
      </c>
      <c r="BX253" s="34">
        <v>0</v>
      </c>
      <c r="BY253" s="34" t="str">
        <v>Розетка</v>
      </c>
      <c r="BZ253">
        <v>10</v>
      </c>
      <c r="CA253" t="str">
        <v>линии</v>
      </c>
    </row>
    <row r="254" spans="1:79" x14ac:dyDescent="0.3">
      <c r="A254" s="39" t="str">
        <v>ЩР-1</v>
      </c>
      <c r="B254" s="42">
        <v>67</v>
      </c>
      <c r="C254" s="42">
        <v>4</v>
      </c>
      <c r="D254" s="75" t="str">
        <v/>
      </c>
      <c r="E254" s="75" t="str">
        <v>авто</v>
      </c>
      <c r="F254" s="76">
        <v>30</v>
      </c>
      <c r="G254" s="47" t="str">
        <v>QFD53</v>
      </c>
      <c r="H254" s="47" t="str">
        <v>2P С16А 30мА</v>
      </c>
      <c r="I254" s="75" t="str">
        <v/>
      </c>
      <c r="J254" s="76" t="str">
        <v/>
      </c>
      <c r="K254" s="76" t="str">
        <v/>
      </c>
      <c r="L254" s="75" t="str">
        <v/>
      </c>
      <c r="M254" s="49" t="str">
        <v/>
      </c>
      <c r="N254" s="76" t="str">
        <v/>
      </c>
      <c r="O254" s="49" t="str">
        <v/>
      </c>
      <c r="P254" s="77" t="str">
        <v>XT53</v>
      </c>
      <c r="Q254" s="53" t="str">
        <v>ВВГнг(А)-LS (3х2,5) L=9-0,08%</v>
      </c>
      <c r="R254" s="54" t="str">
        <v>R.1.002Б.9</v>
      </c>
      <c r="S254" s="55" t="str">
        <v>Розеточная группа Первый этаж Пом. №002Б Холодильник</v>
      </c>
      <c r="T254" s="56">
        <v>0.23</v>
      </c>
      <c r="U254" s="56">
        <v>1.05</v>
      </c>
      <c r="V254" s="42" t="str">
        <v>L2</v>
      </c>
      <c r="W254" s="57" t="str">
        <v>ok</v>
      </c>
      <c r="X254" s="58" t="str">
        <v/>
      </c>
      <c r="Y254" s="75" t="str">
        <v/>
      </c>
      <c r="Z254" s="59">
        <v>1.0483465414232678</v>
      </c>
      <c r="AA254" s="61">
        <v>16</v>
      </c>
      <c r="AB254" s="61">
        <v>25</v>
      </c>
      <c r="AC254" s="61" t="str">
        <v/>
      </c>
      <c r="AD254" s="62" t="str">
        <v>QFD53 → XT53</v>
      </c>
      <c r="AE254" s="62" t="str">
        <v/>
      </c>
      <c r="AF254" s="34">
        <v>53</v>
      </c>
      <c r="AG254" s="34" t="str">
        <v>QFD53</v>
      </c>
      <c r="AH254" s="34" t="str">
        <v/>
      </c>
      <c r="AI254" s="34" t="str">
        <v/>
      </c>
      <c r="AJ254" s="34" t="str">
        <v>QFD53</v>
      </c>
      <c r="AK254" s="34">
        <v>1</v>
      </c>
      <c r="AL254" s="34" t="str">
        <v>R</v>
      </c>
      <c r="AM254" s="34">
        <v>30</v>
      </c>
      <c r="AN254" s="34">
        <v>0</v>
      </c>
      <c r="AO254" s="34">
        <v>16</v>
      </c>
      <c r="AP254" s="34">
        <v>25</v>
      </c>
      <c r="AQ254" s="34">
        <v>16</v>
      </c>
      <c r="AR254" s="34">
        <v>1</v>
      </c>
      <c r="AS254" s="34">
        <v>1</v>
      </c>
      <c r="AT254" s="34" t="str">
        <v>2P</v>
      </c>
      <c r="AU254" s="34">
        <v>16</v>
      </c>
      <c r="AV254" s="34" t="str">
        <v/>
      </c>
      <c r="AW254" s="34" t="str">
        <v/>
      </c>
      <c r="AX254" s="34" t="str">
        <v/>
      </c>
      <c r="AY254" s="34">
        <v>1</v>
      </c>
      <c r="AZ254" s="34" t="str">
        <v/>
      </c>
      <c r="BA254" s="34">
        <v>0</v>
      </c>
      <c r="BB254" s="34">
        <v>16</v>
      </c>
      <c r="BD254" s="34">
        <v>1</v>
      </c>
      <c r="BE254" s="34">
        <v>0</v>
      </c>
      <c r="BF254" s="34">
        <v>1</v>
      </c>
      <c r="BG254" s="34" t="str">
        <v/>
      </c>
      <c r="BH254" s="34" t="str">
        <v/>
      </c>
      <c r="BI254" s="34" t="str">
        <v/>
      </c>
      <c r="BJ254" s="34" t="str">
        <v/>
      </c>
      <c r="BK254" s="34" t="str">
        <v>SOCKET</v>
      </c>
      <c r="BL254" s="34">
        <v>1</v>
      </c>
      <c r="BM254" s="34" t="str">
        <v/>
      </c>
      <c r="BN254" s="34" t="str">
        <v/>
      </c>
      <c r="BO254" s="34" t="str">
        <v/>
      </c>
      <c r="BP254" s="34" t="str">
        <v/>
      </c>
      <c r="BQ254" s="34" t="str">
        <v>3х2,5</v>
      </c>
      <c r="BR254" s="34" t="str">
        <v/>
      </c>
      <c r="BS254" s="34" t="str">
        <v/>
      </c>
      <c r="BT254" s="34" t="str">
        <v/>
      </c>
      <c r="BU254" s="34">
        <v>0</v>
      </c>
      <c r="BV254" s="34">
        <v>275</v>
      </c>
      <c r="BW254" s="34">
        <v>1</v>
      </c>
      <c r="BX254" s="34">
        <v>0</v>
      </c>
      <c r="BY254" s="34" t="str">
        <v>Розетка</v>
      </c>
      <c r="BZ254">
        <v>10</v>
      </c>
      <c r="CA254" t="str">
        <v>линии</v>
      </c>
    </row>
    <row r="255" spans="1:79" x14ac:dyDescent="0.3">
      <c r="A255" s="39" t="str">
        <v>ЩР-1</v>
      </c>
      <c r="B255" s="42">
        <v>70</v>
      </c>
      <c r="C255" s="42">
        <v>5</v>
      </c>
      <c r="D255" s="75" t="str">
        <v/>
      </c>
      <c r="E255" s="75" t="str">
        <v>авто</v>
      </c>
      <c r="F255" s="76">
        <v>30</v>
      </c>
      <c r="G255" s="47" t="str">
        <v>QFD54</v>
      </c>
      <c r="H255" s="47" t="str">
        <v>2P С16А 30мА</v>
      </c>
      <c r="I255" s="75" t="str">
        <v/>
      </c>
      <c r="J255" s="76" t="str">
        <v/>
      </c>
      <c r="K255" s="76" t="str">
        <v/>
      </c>
      <c r="L255" s="75" t="str">
        <v/>
      </c>
      <c r="M255" s="49" t="str">
        <v/>
      </c>
      <c r="N255" s="76" t="str">
        <v/>
      </c>
      <c r="O255" s="49" t="str">
        <v/>
      </c>
      <c r="P255" s="77" t="str">
        <v>XT54</v>
      </c>
      <c r="Q255" s="53" t="str">
        <v>ВВГнг(А)-LS (3х2,5) L=9-0,04%</v>
      </c>
      <c r="R255" s="54" t="str">
        <v>R.1.002Б.10</v>
      </c>
      <c r="S255" s="55" t="str">
        <v>Розеточная группа, пом. 002Б</v>
      </c>
      <c r="T255" s="56">
        <v>0.12</v>
      </c>
      <c r="U255" s="56">
        <v>0.55000000000000004</v>
      </c>
      <c r="V255" s="42" t="str">
        <v>L1</v>
      </c>
      <c r="W255" s="57" t="str">
        <v>ok</v>
      </c>
      <c r="X255" s="58" t="str">
        <v/>
      </c>
      <c r="Y255" s="75" t="str">
        <v/>
      </c>
      <c r="Z255" s="59">
        <v>0.54696341291648753</v>
      </c>
      <c r="AA255" s="61">
        <v>16</v>
      </c>
      <c r="AB255" s="61">
        <v>25</v>
      </c>
      <c r="AC255" s="61" t="str">
        <v/>
      </c>
      <c r="AD255" s="62" t="str">
        <v>QFD54 → XT54</v>
      </c>
      <c r="AE255" s="62" t="str">
        <v/>
      </c>
      <c r="AF255" s="34">
        <v>54</v>
      </c>
      <c r="AG255" s="34" t="str">
        <v>QFD54</v>
      </c>
      <c r="AH255" s="34" t="str">
        <v/>
      </c>
      <c r="AI255" s="34" t="str">
        <v/>
      </c>
      <c r="AJ255" s="34" t="str">
        <v>QFD54</v>
      </c>
      <c r="AK255" s="34">
        <v>1</v>
      </c>
      <c r="AL255" s="34" t="str">
        <v>R</v>
      </c>
      <c r="AM255" s="34">
        <v>30</v>
      </c>
      <c r="AN255" s="34">
        <v>0</v>
      </c>
      <c r="AO255" s="34">
        <v>16</v>
      </c>
      <c r="AP255" s="34">
        <v>25</v>
      </c>
      <c r="AQ255" s="34">
        <v>16</v>
      </c>
      <c r="AR255" s="34">
        <v>1</v>
      </c>
      <c r="AS255" s="34">
        <v>1</v>
      </c>
      <c r="AT255" s="34" t="str">
        <v>2P</v>
      </c>
      <c r="AU255" s="34">
        <v>16</v>
      </c>
      <c r="AV255" s="34" t="str">
        <v/>
      </c>
      <c r="AW255" s="34" t="str">
        <v/>
      </c>
      <c r="AX255" s="34" t="str">
        <v/>
      </c>
      <c r="AY255" s="34">
        <v>1</v>
      </c>
      <c r="AZ255" s="34" t="str">
        <v/>
      </c>
      <c r="BA255" s="34">
        <v>0</v>
      </c>
      <c r="BB255" s="34">
        <v>16</v>
      </c>
      <c r="BD255" s="34">
        <v>1</v>
      </c>
      <c r="BE255" s="34">
        <v>0</v>
      </c>
      <c r="BF255" s="34">
        <v>1</v>
      </c>
      <c r="BG255" s="34" t="str">
        <v/>
      </c>
      <c r="BH255" s="34" t="str">
        <v/>
      </c>
      <c r="BI255" s="34" t="str">
        <v/>
      </c>
      <c r="BJ255" s="34" t="str">
        <v/>
      </c>
      <c r="BK255" s="34" t="str">
        <v>SOCKET</v>
      </c>
      <c r="BL255" s="34">
        <v>1</v>
      </c>
      <c r="BM255" s="34" t="str">
        <v/>
      </c>
      <c r="BN255" s="34" t="str">
        <v/>
      </c>
      <c r="BO255" s="34" t="str">
        <v/>
      </c>
      <c r="BP255" s="34" t="str">
        <v/>
      </c>
      <c r="BQ255" s="34" t="str">
        <v>3х2,5</v>
      </c>
      <c r="BR255" s="34" t="str">
        <v/>
      </c>
      <c r="BS255" s="34" t="str">
        <v/>
      </c>
      <c r="BT255" s="34" t="str">
        <v/>
      </c>
      <c r="BU255" s="34">
        <v>0</v>
      </c>
      <c r="BV255" s="34">
        <v>276</v>
      </c>
      <c r="BW255" s="34">
        <v>1</v>
      </c>
      <c r="BX255" s="34">
        <v>0</v>
      </c>
      <c r="BY255" s="34" t="str">
        <v>Розетка</v>
      </c>
      <c r="BZ255">
        <v>10</v>
      </c>
      <c r="CA255" t="str">
        <v>линии</v>
      </c>
    </row>
    <row r="256" spans="1:79" x14ac:dyDescent="0.3">
      <c r="A256" s="39" t="str">
        <v>ЩР-1</v>
      </c>
      <c r="B256" s="42">
        <v>71</v>
      </c>
      <c r="C256" s="42">
        <v>5</v>
      </c>
      <c r="D256" s="75" t="str">
        <v/>
      </c>
      <c r="E256" s="75" t="str">
        <v>авто</v>
      </c>
      <c r="F256" s="76">
        <v>30</v>
      </c>
      <c r="G256" s="47" t="str">
        <v>QFD55</v>
      </c>
      <c r="H256" s="47" t="str">
        <v>2P С16А 30мА</v>
      </c>
      <c r="I256" s="75" t="str">
        <v/>
      </c>
      <c r="J256" s="76" t="str">
        <v/>
      </c>
      <c r="K256" s="76" t="str">
        <v/>
      </c>
      <c r="L256" s="75" t="str">
        <v/>
      </c>
      <c r="M256" s="49" t="str">
        <v/>
      </c>
      <c r="N256" s="76" t="str">
        <v/>
      </c>
      <c r="O256" s="49" t="str">
        <v/>
      </c>
      <c r="P256" s="77" t="str">
        <v>XT55</v>
      </c>
      <c r="Q256" s="53" t="str">
        <v>ВВГнг(А)-LS (3х2,5) L=42-0,26%</v>
      </c>
      <c r="R256" s="54" t="str">
        <v>R.1.021A.5</v>
      </c>
      <c r="S256" s="55" t="str">
        <v>Розеточная группа, пом. 021A</v>
      </c>
      <c r="T256" s="56">
        <v>0.18</v>
      </c>
      <c r="U256" s="56">
        <v>0.83</v>
      </c>
      <c r="V256" s="42" t="str">
        <v>L1</v>
      </c>
      <c r="W256" s="57" t="str">
        <v>ok</v>
      </c>
      <c r="X256" s="58" t="str">
        <v/>
      </c>
      <c r="Y256" s="75" t="str">
        <v/>
      </c>
      <c r="Z256" s="59">
        <v>0.8204451193747313</v>
      </c>
      <c r="AA256" s="61">
        <v>16</v>
      </c>
      <c r="AB256" s="61">
        <v>25</v>
      </c>
      <c r="AC256" s="61" t="str">
        <v/>
      </c>
      <c r="AD256" s="62" t="str">
        <v>QFD55 → XT55</v>
      </c>
      <c r="AE256" s="62" t="str">
        <v/>
      </c>
      <c r="AF256" s="34">
        <v>55</v>
      </c>
      <c r="AG256" s="34" t="str">
        <v>QFD55</v>
      </c>
      <c r="AH256" s="34" t="str">
        <v/>
      </c>
      <c r="AI256" s="34" t="str">
        <v/>
      </c>
      <c r="AJ256" s="34" t="str">
        <v>QFD55</v>
      </c>
      <c r="AK256" s="34">
        <v>1</v>
      </c>
      <c r="AL256" s="34" t="str">
        <v>R</v>
      </c>
      <c r="AM256" s="34">
        <v>30</v>
      </c>
      <c r="AN256" s="34">
        <v>0</v>
      </c>
      <c r="AO256" s="34">
        <v>16</v>
      </c>
      <c r="AP256" s="34">
        <v>25</v>
      </c>
      <c r="AQ256" s="34">
        <v>16</v>
      </c>
      <c r="AR256" s="34">
        <v>1</v>
      </c>
      <c r="AS256" s="34">
        <v>1</v>
      </c>
      <c r="AT256" s="34" t="str">
        <v>2P</v>
      </c>
      <c r="AU256" s="34">
        <v>16</v>
      </c>
      <c r="AV256" s="34" t="str">
        <v/>
      </c>
      <c r="AW256" s="34" t="str">
        <v/>
      </c>
      <c r="AX256" s="34" t="str">
        <v/>
      </c>
      <c r="AY256" s="34">
        <v>1</v>
      </c>
      <c r="AZ256" s="34" t="str">
        <v/>
      </c>
      <c r="BA256" s="34">
        <v>0</v>
      </c>
      <c r="BB256" s="34">
        <v>16</v>
      </c>
      <c r="BD256" s="34">
        <v>1</v>
      </c>
      <c r="BE256" s="34">
        <v>0</v>
      </c>
      <c r="BF256" s="34">
        <v>1</v>
      </c>
      <c r="BG256" s="34" t="str">
        <v/>
      </c>
      <c r="BH256" s="34" t="str">
        <v/>
      </c>
      <c r="BI256" s="34" t="str">
        <v/>
      </c>
      <c r="BJ256" s="34" t="str">
        <v/>
      </c>
      <c r="BK256" s="34" t="str">
        <v>SOCKET</v>
      </c>
      <c r="BL256" s="34">
        <v>1</v>
      </c>
      <c r="BM256" s="34" t="str">
        <v/>
      </c>
      <c r="BN256" s="34" t="str">
        <v/>
      </c>
      <c r="BO256" s="34" t="str">
        <v/>
      </c>
      <c r="BP256" s="34" t="str">
        <v/>
      </c>
      <c r="BQ256" s="34" t="str">
        <v>3х2,5</v>
      </c>
      <c r="BR256" s="34" t="str">
        <v/>
      </c>
      <c r="BS256" s="34" t="str">
        <v/>
      </c>
      <c r="BT256" s="34" t="str">
        <v/>
      </c>
      <c r="BU256" s="34">
        <v>0</v>
      </c>
      <c r="BV256" s="34">
        <v>277</v>
      </c>
      <c r="BW256" s="34">
        <v>1</v>
      </c>
      <c r="BX256" s="34">
        <v>0</v>
      </c>
      <c r="BY256" s="34" t="str">
        <v>Розетка</v>
      </c>
      <c r="BZ256">
        <v>10</v>
      </c>
      <c r="CA256" t="str">
        <v>линии</v>
      </c>
    </row>
    <row r="257" spans="1:79" x14ac:dyDescent="0.3">
      <c r="A257" s="39" t="str">
        <v>ЩР-1</v>
      </c>
      <c r="B257" s="42">
        <v>72</v>
      </c>
      <c r="C257" s="42">
        <v>5</v>
      </c>
      <c r="D257" s="75" t="str">
        <v/>
      </c>
      <c r="E257" s="75" t="str">
        <v>авто</v>
      </c>
      <c r="F257" s="76">
        <v>30</v>
      </c>
      <c r="G257" s="47" t="str">
        <v>QFD56</v>
      </c>
      <c r="H257" s="47" t="str">
        <v>2P С16А 30мА</v>
      </c>
      <c r="I257" s="75" t="str">
        <v/>
      </c>
      <c r="J257" s="76" t="str">
        <v/>
      </c>
      <c r="K257" s="76" t="str">
        <v/>
      </c>
      <c r="L257" s="75" t="str">
        <v/>
      </c>
      <c r="M257" s="49" t="str">
        <v/>
      </c>
      <c r="N257" s="76" t="str">
        <v/>
      </c>
      <c r="O257" s="49" t="str">
        <v/>
      </c>
      <c r="P257" s="77" t="str">
        <v>XT56</v>
      </c>
      <c r="Q257" s="53" t="str">
        <v>ВВГнг(А)-LS (3х2,5) L=50-0%</v>
      </c>
      <c r="R257" s="54" t="str">
        <v>R.1.020A.1</v>
      </c>
      <c r="S257" s="55" t="str">
        <v>Розеточная группа Первый этаж Пом. №020A Холодильник, морозильная камера</v>
      </c>
      <c r="T257" s="56">
        <v>0</v>
      </c>
      <c r="U257" s="56">
        <v>0</v>
      </c>
      <c r="V257" s="42" t="str">
        <v>L3</v>
      </c>
      <c r="W257" s="57" t="str">
        <v>ok</v>
      </c>
      <c r="X257" s="58" t="str">
        <v/>
      </c>
      <c r="Y257" s="75" t="str">
        <v/>
      </c>
      <c r="Z257" s="59">
        <v>0</v>
      </c>
      <c r="AA257" s="61">
        <v>16</v>
      </c>
      <c r="AB257" s="61">
        <v>25</v>
      </c>
      <c r="AC257" s="61" t="str">
        <v/>
      </c>
      <c r="AD257" s="62" t="str">
        <v>QFD56 → XT56</v>
      </c>
      <c r="AE257" s="62" t="str">
        <v>нет мощности</v>
      </c>
      <c r="AF257" s="34">
        <v>56</v>
      </c>
      <c r="AG257" s="34" t="str">
        <v>QFD56</v>
      </c>
      <c r="AH257" s="34" t="str">
        <v/>
      </c>
      <c r="AI257" s="34" t="str">
        <v/>
      </c>
      <c r="AJ257" s="34" t="str">
        <v>QFD56</v>
      </c>
      <c r="AK257" s="34">
        <v>1</v>
      </c>
      <c r="AL257" s="34" t="str">
        <v>R</v>
      </c>
      <c r="AM257" s="34">
        <v>30</v>
      </c>
      <c r="AN257" s="34">
        <v>0</v>
      </c>
      <c r="AO257" s="34">
        <v>16</v>
      </c>
      <c r="AP257" s="34">
        <v>25</v>
      </c>
      <c r="AQ257" s="34">
        <v>16</v>
      </c>
      <c r="AR257" s="34">
        <v>1</v>
      </c>
      <c r="AS257" s="34">
        <v>1</v>
      </c>
      <c r="AT257" s="34" t="str">
        <v>2P</v>
      </c>
      <c r="AU257" s="34">
        <v>16</v>
      </c>
      <c r="AV257" s="34" t="str">
        <v/>
      </c>
      <c r="AW257" s="34" t="str">
        <v/>
      </c>
      <c r="AX257" s="34" t="str">
        <v/>
      </c>
      <c r="AY257" s="34">
        <v>1</v>
      </c>
      <c r="AZ257" s="34" t="str">
        <v/>
      </c>
      <c r="BA257" s="34">
        <v>0</v>
      </c>
      <c r="BB257" s="34">
        <v>16</v>
      </c>
      <c r="BD257" s="34">
        <v>1</v>
      </c>
      <c r="BE257" s="34">
        <v>0</v>
      </c>
      <c r="BF257" s="34">
        <v>1</v>
      </c>
      <c r="BG257" s="34" t="str">
        <v/>
      </c>
      <c r="BH257" s="34" t="str">
        <v/>
      </c>
      <c r="BI257" s="34" t="str">
        <v/>
      </c>
      <c r="BJ257" s="34" t="str">
        <v/>
      </c>
      <c r="BK257" s="34" t="str">
        <v>SOCKET</v>
      </c>
      <c r="BL257" s="34">
        <v>1</v>
      </c>
      <c r="BM257" s="34" t="str">
        <v/>
      </c>
      <c r="BN257" s="34" t="str">
        <v/>
      </c>
      <c r="BO257" s="34" t="str">
        <v/>
      </c>
      <c r="BP257" s="34" t="str">
        <v/>
      </c>
      <c r="BQ257" s="34" t="str">
        <v>3х2,5</v>
      </c>
      <c r="BR257" s="34" t="str">
        <v/>
      </c>
      <c r="BS257" s="34" t="str">
        <v/>
      </c>
      <c r="BT257" s="34" t="str">
        <v/>
      </c>
      <c r="BU257" s="34">
        <v>1</v>
      </c>
      <c r="BV257" s="34">
        <v>278</v>
      </c>
      <c r="BW257" s="34">
        <v>1</v>
      </c>
      <c r="BX257" s="34">
        <v>0</v>
      </c>
      <c r="BY257" s="34" t="str">
        <v>Розетка</v>
      </c>
      <c r="BZ257">
        <v>10</v>
      </c>
      <c r="CA257" t="str">
        <v>линии</v>
      </c>
    </row>
    <row r="258" spans="1:79" x14ac:dyDescent="0.3">
      <c r="A258" s="39" t="str">
        <v>ЩР-1</v>
      </c>
      <c r="B258" s="42">
        <v>73</v>
      </c>
      <c r="C258" s="42">
        <v>5</v>
      </c>
      <c r="D258" s="75" t="str">
        <v/>
      </c>
      <c r="E258" s="75" t="str">
        <v>авто</v>
      </c>
      <c r="F258" s="76">
        <v>30</v>
      </c>
      <c r="G258" s="47" t="str">
        <v>QFD57</v>
      </c>
      <c r="H258" s="47" t="str">
        <v>2P С16А 30мА</v>
      </c>
      <c r="I258" s="75" t="str">
        <v/>
      </c>
      <c r="J258" s="76" t="str">
        <v/>
      </c>
      <c r="K258" s="76" t="str">
        <v/>
      </c>
      <c r="L258" s="75" t="str">
        <v/>
      </c>
      <c r="M258" s="49" t="str">
        <v/>
      </c>
      <c r="N258" s="76" t="str">
        <v/>
      </c>
      <c r="O258" s="49" t="str">
        <v/>
      </c>
      <c r="P258" s="77" t="str">
        <v>XT57</v>
      </c>
      <c r="Q258" s="53" t="str">
        <v>ВВГнг(А)-LS (3х2,5) L=66-0,41%</v>
      </c>
      <c r="R258" s="54" t="str">
        <v>R.1.022A.1</v>
      </c>
      <c r="S258" s="55" t="str">
        <v>Розеточная группа, пом. 022A</v>
      </c>
      <c r="T258" s="56">
        <v>0.18</v>
      </c>
      <c r="U258" s="56">
        <v>0.83</v>
      </c>
      <c r="V258" s="42" t="str">
        <v>L3</v>
      </c>
      <c r="W258" s="57" t="str">
        <v>ok</v>
      </c>
      <c r="X258" s="58" t="str">
        <v/>
      </c>
      <c r="Y258" s="75" t="str">
        <v/>
      </c>
      <c r="Z258" s="59">
        <v>0.8204451193747313</v>
      </c>
      <c r="AA258" s="61">
        <v>16</v>
      </c>
      <c r="AB258" s="61">
        <v>25</v>
      </c>
      <c r="AC258" s="61" t="str">
        <v/>
      </c>
      <c r="AD258" s="62" t="str">
        <v>QFD57 → XT57</v>
      </c>
      <c r="AE258" s="62" t="str">
        <v/>
      </c>
      <c r="AF258" s="34">
        <v>57</v>
      </c>
      <c r="AG258" s="34" t="str">
        <v>QFD57</v>
      </c>
      <c r="AH258" s="34" t="str">
        <v/>
      </c>
      <c r="AI258" s="34" t="str">
        <v/>
      </c>
      <c r="AJ258" s="34" t="str">
        <v>QFD57</v>
      </c>
      <c r="AK258" s="34">
        <v>1</v>
      </c>
      <c r="AL258" s="34" t="str">
        <v>R</v>
      </c>
      <c r="AM258" s="34">
        <v>30</v>
      </c>
      <c r="AN258" s="34">
        <v>0</v>
      </c>
      <c r="AO258" s="34">
        <v>16</v>
      </c>
      <c r="AP258" s="34">
        <v>25</v>
      </c>
      <c r="AQ258" s="34">
        <v>16</v>
      </c>
      <c r="AR258" s="34">
        <v>1</v>
      </c>
      <c r="AS258" s="34">
        <v>1</v>
      </c>
      <c r="AT258" s="34" t="str">
        <v>2P</v>
      </c>
      <c r="AU258" s="34">
        <v>16</v>
      </c>
      <c r="AV258" s="34" t="str">
        <v/>
      </c>
      <c r="AW258" s="34" t="str">
        <v/>
      </c>
      <c r="AX258" s="34" t="str">
        <v/>
      </c>
      <c r="AY258" s="34">
        <v>1</v>
      </c>
      <c r="AZ258" s="34" t="str">
        <v/>
      </c>
      <c r="BA258" s="34">
        <v>0</v>
      </c>
      <c r="BB258" s="34">
        <v>16</v>
      </c>
      <c r="BD258" s="34">
        <v>1</v>
      </c>
      <c r="BE258" s="34">
        <v>0</v>
      </c>
      <c r="BF258" s="34">
        <v>1</v>
      </c>
      <c r="BG258" s="34" t="str">
        <v/>
      </c>
      <c r="BH258" s="34" t="str">
        <v/>
      </c>
      <c r="BI258" s="34" t="str">
        <v/>
      </c>
      <c r="BJ258" s="34" t="str">
        <v/>
      </c>
      <c r="BK258" s="34" t="str">
        <v>SOCKET</v>
      </c>
      <c r="BL258" s="34">
        <v>1</v>
      </c>
      <c r="BM258" s="34" t="str">
        <v/>
      </c>
      <c r="BN258" s="34" t="str">
        <v/>
      </c>
      <c r="BO258" s="34" t="str">
        <v/>
      </c>
      <c r="BP258" s="34" t="str">
        <v/>
      </c>
      <c r="BQ258" s="34" t="str">
        <v>3х2,5</v>
      </c>
      <c r="BR258" s="34" t="str">
        <v/>
      </c>
      <c r="BS258" s="34" t="str">
        <v/>
      </c>
      <c r="BT258" s="34" t="str">
        <v/>
      </c>
      <c r="BU258" s="34">
        <v>0</v>
      </c>
      <c r="BV258" s="34">
        <v>279</v>
      </c>
      <c r="BW258" s="34">
        <v>1</v>
      </c>
      <c r="BX258" s="34">
        <v>0</v>
      </c>
      <c r="BY258" s="34" t="str">
        <v>Розетка</v>
      </c>
      <c r="BZ258">
        <v>10</v>
      </c>
      <c r="CA258" t="str">
        <v>линии</v>
      </c>
    </row>
    <row r="259" spans="1:79" x14ac:dyDescent="0.3">
      <c r="A259" s="39" t="str">
        <v>ЩР-1</v>
      </c>
      <c r="B259" s="42">
        <v>75</v>
      </c>
      <c r="C259" s="42">
        <v>5</v>
      </c>
      <c r="D259" s="75" t="str">
        <v/>
      </c>
      <c r="E259" s="75" t="str">
        <v>авто</v>
      </c>
      <c r="F259" s="76" t="str">
        <v/>
      </c>
      <c r="G259" s="47" t="str">
        <v>QF58</v>
      </c>
      <c r="H259" s="47" t="str">
        <v>1P С6А</v>
      </c>
      <c r="I259" s="75" t="str">
        <v/>
      </c>
      <c r="J259" s="76" t="str">
        <v/>
      </c>
      <c r="K259" s="76" t="str">
        <v/>
      </c>
      <c r="L259" s="75" t="str">
        <v/>
      </c>
      <c r="M259" s="49" t="str">
        <v/>
      </c>
      <c r="N259" s="76" t="str">
        <v/>
      </c>
      <c r="O259" s="49" t="str">
        <v/>
      </c>
      <c r="P259" s="77" t="str">
        <v>XT58</v>
      </c>
      <c r="Q259" s="53" t="str">
        <v>ВВГнг(А)-LS (3х2,5) L=11-0,19%</v>
      </c>
      <c r="R259" s="54" t="str">
        <v>ЩКД.1</v>
      </c>
      <c r="S259" s="55" t="str">
        <v>Щит контроля доступа ЩКД-1 Первый этаж Пом. №002Б</v>
      </c>
      <c r="T259" s="56">
        <v>0.5</v>
      </c>
      <c r="U259" s="56">
        <v>2.2799999999999998</v>
      </c>
      <c r="V259" s="42" t="str">
        <v>L3</v>
      </c>
      <c r="W259" s="57" t="str">
        <v>ok</v>
      </c>
      <c r="X259" s="58" t="str">
        <v/>
      </c>
      <c r="Y259" s="75" t="str">
        <v/>
      </c>
      <c r="Z259" s="59">
        <v>2.2790142204853647</v>
      </c>
      <c r="AA259" s="61">
        <v>6</v>
      </c>
      <c r="AB259" s="61">
        <v>25</v>
      </c>
      <c r="AC259" s="61" t="str">
        <v/>
      </c>
      <c r="AD259" s="62" t="str">
        <v>QF58 → XT58</v>
      </c>
      <c r="AE259" s="62" t="str">
        <v/>
      </c>
      <c r="AF259" s="34">
        <v>58</v>
      </c>
      <c r="AG259" s="34" t="str">
        <v>QF58</v>
      </c>
      <c r="AH259" s="34" t="str">
        <v/>
      </c>
      <c r="AI259" s="34" t="str">
        <v/>
      </c>
      <c r="AJ259" s="34" t="str">
        <v>QF58</v>
      </c>
      <c r="AK259" s="34">
        <v>1</v>
      </c>
      <c r="AL259" s="34" t="str">
        <v>ЩКД</v>
      </c>
      <c r="AM259" s="34">
        <v>0</v>
      </c>
      <c r="AN259" s="34">
        <v>0</v>
      </c>
      <c r="AO259" s="34">
        <v>6</v>
      </c>
      <c r="AP259" s="34">
        <v>25</v>
      </c>
      <c r="AQ259" s="34">
        <v>6</v>
      </c>
      <c r="AR259" s="34">
        <v>1</v>
      </c>
      <c r="AS259" s="34">
        <v>0</v>
      </c>
      <c r="AT259" s="34" t="str">
        <v>1P</v>
      </c>
      <c r="AU259" s="34">
        <v>6</v>
      </c>
      <c r="AV259" s="34" t="str">
        <v/>
      </c>
      <c r="AW259" s="34" t="str">
        <v/>
      </c>
      <c r="AX259" s="34" t="str">
        <v/>
      </c>
      <c r="AY259" s="34">
        <v>1</v>
      </c>
      <c r="AZ259" s="34" t="str">
        <v/>
      </c>
      <c r="BA259" s="34">
        <v>0</v>
      </c>
      <c r="BB259" s="34">
        <v>0</v>
      </c>
      <c r="BD259" s="34">
        <v>1</v>
      </c>
      <c r="BE259" s="34">
        <v>0</v>
      </c>
      <c r="BF259" s="34">
        <v>0</v>
      </c>
      <c r="BG259" s="34" t="str">
        <v/>
      </c>
      <c r="BH259" s="34" t="str">
        <v/>
      </c>
      <c r="BI259" s="34" t="str">
        <v/>
      </c>
      <c r="BJ259" s="34" t="str">
        <v/>
      </c>
      <c r="BK259" s="34" t="str">
        <v>BOX</v>
      </c>
      <c r="BL259" s="34">
        <v>1</v>
      </c>
      <c r="BM259" s="34" t="str">
        <v/>
      </c>
      <c r="BN259" s="34" t="str">
        <v/>
      </c>
      <c r="BO259" s="34" t="str">
        <v/>
      </c>
      <c r="BP259" s="34" t="str">
        <v/>
      </c>
      <c r="BQ259" s="34" t="str">
        <v>3х2,5</v>
      </c>
      <c r="BR259" s="34" t="str">
        <v/>
      </c>
      <c r="BS259" s="34" t="str">
        <v/>
      </c>
      <c r="BT259" s="34" t="str">
        <v/>
      </c>
      <c r="BU259" s="34">
        <v>0</v>
      </c>
      <c r="BV259" s="34">
        <v>280</v>
      </c>
      <c r="BW259" s="34">
        <v>1</v>
      </c>
      <c r="BX259" s="34">
        <v>0</v>
      </c>
      <c r="BY259" s="34">
        <v>0</v>
      </c>
      <c r="BZ259">
        <v>10</v>
      </c>
      <c r="CA259" t="str">
        <v>линии</v>
      </c>
    </row>
    <row r="260" spans="1:79" x14ac:dyDescent="0.3">
      <c r="A260" s="39" t="str">
        <v>ЩР-2</v>
      </c>
      <c r="B260" s="42">
        <v>2</v>
      </c>
      <c r="C260" s="42">
        <v>1</v>
      </c>
      <c r="D260" s="75" t="str">
        <v/>
      </c>
      <c r="E260" s="75" t="str">
        <v>авто</v>
      </c>
      <c r="F260" s="76" t="str">
        <v/>
      </c>
      <c r="G260" s="47" t="str">
        <v/>
      </c>
      <c r="H260" s="47" t="str">
        <v>3P С16А</v>
      </c>
      <c r="I260" s="75" t="str">
        <v/>
      </c>
      <c r="J260" s="76" t="str">
        <v/>
      </c>
      <c r="K260" s="76" t="str">
        <v/>
      </c>
      <c r="L260" s="75" t="str">
        <v/>
      </c>
      <c r="M260" s="49" t="str">
        <v/>
      </c>
      <c r="N260" s="76" t="str">
        <v/>
      </c>
      <c r="O260" s="49" t="str">
        <v/>
      </c>
      <c r="P260" s="77" t="str">
        <v/>
      </c>
      <c r="Q260" s="53" t="str">
        <v>ВВГнг(А)-LS (5х4)</v>
      </c>
      <c r="R260" s="54" t="str">
        <v>Ввод.1</v>
      </c>
      <c r="S260" s="55" t="str">
        <v>Ввод</v>
      </c>
      <c r="T260" s="56">
        <v>9.98</v>
      </c>
      <c r="U260" s="56">
        <v>13.7</v>
      </c>
      <c r="V260" s="42" t="str">
        <v>L1,L2,L3</v>
      </c>
      <c r="W260" s="57" t="str">
        <v>ok</v>
      </c>
      <c r="X260" s="58" t="str">
        <v/>
      </c>
      <c r="Y260" s="75" t="str">
        <v>вручную</v>
      </c>
      <c r="Z260" s="59">
        <v>13.694473137501861</v>
      </c>
      <c r="AA260" s="61">
        <v>16</v>
      </c>
      <c r="AB260" s="61">
        <v>32</v>
      </c>
      <c r="AC260" s="61" t="str">
        <v/>
      </c>
      <c r="AD260" s="62" t="str">
        <v/>
      </c>
      <c r="AE260" s="62" t="str">
        <v/>
      </c>
      <c r="AF260" s="34" t="str">
        <v/>
      </c>
      <c r="AG260" s="34" t="str">
        <v/>
      </c>
      <c r="AH260" s="34" t="str">
        <v/>
      </c>
      <c r="AI260" s="34" t="str">
        <v/>
      </c>
      <c r="AJ260" s="34" t="str">
        <v/>
      </c>
      <c r="AK260" s="34">
        <v>4</v>
      </c>
      <c r="AL260" s="34" t="str">
        <v>Ввод</v>
      </c>
      <c r="AM260" s="34">
        <v>0</v>
      </c>
      <c r="AN260" s="34">
        <v>0</v>
      </c>
      <c r="AO260" s="34">
        <v>16</v>
      </c>
      <c r="AP260" s="34">
        <v>32</v>
      </c>
      <c r="AQ260" s="34">
        <v>16</v>
      </c>
      <c r="AR260" s="34">
        <v>4</v>
      </c>
      <c r="AS260" s="34">
        <v>0</v>
      </c>
      <c r="AT260" s="34" t="str">
        <v>3P</v>
      </c>
      <c r="AU260" s="34">
        <v>16</v>
      </c>
      <c r="AV260" s="34" t="str">
        <v/>
      </c>
      <c r="AW260" s="34" t="str">
        <v/>
      </c>
      <c r="AX260" s="34" t="str">
        <v/>
      </c>
      <c r="AY260" s="34">
        <v>0</v>
      </c>
      <c r="AZ260" s="34" t="str">
        <v/>
      </c>
      <c r="BA260" s="34">
        <v>0</v>
      </c>
      <c r="BB260" s="34">
        <v>0</v>
      </c>
      <c r="BD260" s="34">
        <v>0</v>
      </c>
      <c r="BE260" s="34">
        <v>0</v>
      </c>
      <c r="BF260" s="34">
        <v>0</v>
      </c>
      <c r="BG260" s="34" t="str">
        <v/>
      </c>
      <c r="BH260" s="34" t="str">
        <v/>
      </c>
      <c r="BI260" s="34" t="str">
        <v/>
      </c>
      <c r="BJ260" s="34" t="str">
        <v/>
      </c>
      <c r="BK260" s="34" t="str">
        <v>BOX</v>
      </c>
      <c r="BL260" s="34">
        <v>1</v>
      </c>
      <c r="BM260" s="34" t="str">
        <v/>
      </c>
      <c r="BN260" s="34" t="str">
        <v/>
      </c>
      <c r="BO260" s="34" t="str">
        <v/>
      </c>
      <c r="BP260" s="34" t="str">
        <v/>
      </c>
      <c r="BQ260" s="34" t="str">
        <v/>
      </c>
      <c r="BR260" s="34" t="str">
        <v/>
      </c>
      <c r="BS260" s="34" t="str">
        <v/>
      </c>
      <c r="BT260" s="34" t="str">
        <v/>
      </c>
      <c r="BU260" s="34">
        <v>0</v>
      </c>
      <c r="BV260" s="34">
        <v>281</v>
      </c>
      <c r="BW260" s="34">
        <v>0</v>
      </c>
      <c r="BX260" s="34">
        <v>0</v>
      </c>
      <c r="BY260" s="34">
        <v>0</v>
      </c>
      <c r="BZ260">
        <v>11</v>
      </c>
      <c r="CA260" t="str">
        <v>вводной узел</v>
      </c>
    </row>
    <row r="261" spans="1:79" x14ac:dyDescent="0.3">
      <c r="A261" s="39" t="str">
        <v>ЩР-2</v>
      </c>
      <c r="B261" s="42">
        <v>9</v>
      </c>
      <c r="C261" s="42">
        <v>1</v>
      </c>
      <c r="D261" s="75" t="str">
        <v/>
      </c>
      <c r="E261" s="75" t="str">
        <v>авто</v>
      </c>
      <c r="F261" s="76">
        <v>30</v>
      </c>
      <c r="G261" s="47" t="str">
        <v>QFD1</v>
      </c>
      <c r="H261" s="47" t="str">
        <v>2P С16А 30мА</v>
      </c>
      <c r="I261" s="75" t="str">
        <v/>
      </c>
      <c r="J261" s="76" t="str">
        <v/>
      </c>
      <c r="K261" s="76" t="str">
        <v/>
      </c>
      <c r="L261" s="75" t="str">
        <v/>
      </c>
      <c r="M261" s="49" t="str">
        <v/>
      </c>
      <c r="N261" s="76" t="str">
        <v/>
      </c>
      <c r="O261" s="49" t="str">
        <v/>
      </c>
      <c r="P261" s="77" t="str">
        <v>XT1</v>
      </c>
      <c r="Q261" s="53" t="str">
        <v>ВВГнг(А)-LS (3х2,5) L=54-0,33%</v>
      </c>
      <c r="R261" s="54" t="str">
        <v>R.2.002А.1</v>
      </c>
      <c r="S261" s="55" t="str">
        <v>Розеточная группа, пом. 002А</v>
      </c>
      <c r="T261" s="56">
        <v>0.18</v>
      </c>
      <c r="U261" s="56">
        <v>0.83</v>
      </c>
      <c r="V261" s="42" t="str">
        <v>L3</v>
      </c>
      <c r="W261" s="57" t="str">
        <v>ok</v>
      </c>
      <c r="X261" s="58" t="str">
        <v/>
      </c>
      <c r="Y261" s="75" t="str">
        <v/>
      </c>
      <c r="Z261" s="59">
        <v>0.8204451193747313</v>
      </c>
      <c r="AA261" s="61">
        <v>16</v>
      </c>
      <c r="AB261" s="61">
        <v>25</v>
      </c>
      <c r="AC261" s="61" t="str">
        <v/>
      </c>
      <c r="AD261" s="62" t="str">
        <v>QFD1 → XT1</v>
      </c>
      <c r="AE261" s="62" t="str">
        <v/>
      </c>
      <c r="AF261" s="34">
        <v>1</v>
      </c>
      <c r="AG261" s="34" t="str">
        <v>QFD1</v>
      </c>
      <c r="AH261" s="34" t="str">
        <v/>
      </c>
      <c r="AI261" s="34" t="str">
        <v/>
      </c>
      <c r="AJ261" s="34" t="str">
        <v>QFD1</v>
      </c>
      <c r="AK261" s="34">
        <v>1</v>
      </c>
      <c r="AL261" s="34" t="str">
        <v>R</v>
      </c>
      <c r="AM261" s="34">
        <v>30</v>
      </c>
      <c r="AN261" s="34">
        <v>0</v>
      </c>
      <c r="AO261" s="34">
        <v>16</v>
      </c>
      <c r="AP261" s="34">
        <v>25</v>
      </c>
      <c r="AQ261" s="34">
        <v>16</v>
      </c>
      <c r="AR261" s="34">
        <v>1</v>
      </c>
      <c r="AS261" s="34">
        <v>1</v>
      </c>
      <c r="AT261" s="34" t="str">
        <v>2P</v>
      </c>
      <c r="AU261" s="34">
        <v>16</v>
      </c>
      <c r="AV261" s="34" t="str">
        <v/>
      </c>
      <c r="AW261" s="34" t="str">
        <v/>
      </c>
      <c r="AX261" s="34" t="str">
        <v/>
      </c>
      <c r="AY261" s="34">
        <v>1</v>
      </c>
      <c r="AZ261" s="34" t="str">
        <v/>
      </c>
      <c r="BA261" s="34">
        <v>0</v>
      </c>
      <c r="BB261" s="34">
        <v>16</v>
      </c>
      <c r="BD261" s="34">
        <v>1</v>
      </c>
      <c r="BE261" s="34">
        <v>0</v>
      </c>
      <c r="BF261" s="34">
        <v>1</v>
      </c>
      <c r="BG261" s="34" t="str">
        <v/>
      </c>
      <c r="BH261" s="34" t="str">
        <v/>
      </c>
      <c r="BI261" s="34" t="str">
        <v/>
      </c>
      <c r="BJ261" s="34" t="str">
        <v/>
      </c>
      <c r="BK261" s="34" t="str">
        <v>SOCKET</v>
      </c>
      <c r="BL261" s="34">
        <v>1</v>
      </c>
      <c r="BM261" s="34" t="str">
        <v/>
      </c>
      <c r="BN261" s="34" t="str">
        <v/>
      </c>
      <c r="BO261" s="34" t="str">
        <v/>
      </c>
      <c r="BP261" s="34" t="str">
        <v/>
      </c>
      <c r="BQ261" s="34" t="str">
        <v>3х2,5</v>
      </c>
      <c r="BR261" s="34" t="str">
        <v/>
      </c>
      <c r="BS261" s="34" t="str">
        <v/>
      </c>
      <c r="BT261" s="34" t="str">
        <v/>
      </c>
      <c r="BU261" s="34">
        <v>0</v>
      </c>
      <c r="BV261" s="34">
        <v>282</v>
      </c>
      <c r="BW261" s="34">
        <v>1</v>
      </c>
      <c r="BX261" s="34">
        <v>0</v>
      </c>
      <c r="BY261" s="34" t="str">
        <v>Розетка</v>
      </c>
      <c r="BZ261">
        <v>11</v>
      </c>
      <c r="CA261" t="str">
        <v>линии</v>
      </c>
    </row>
    <row r="262" spans="1:79" x14ac:dyDescent="0.3">
      <c r="A262" s="39" t="str">
        <v>ЩР-2</v>
      </c>
      <c r="B262" s="42">
        <v>10</v>
      </c>
      <c r="C262" s="42">
        <v>1</v>
      </c>
      <c r="D262" s="75" t="str">
        <v/>
      </c>
      <c r="E262" s="75" t="str">
        <v>авто</v>
      </c>
      <c r="F262" s="76">
        <v>30</v>
      </c>
      <c r="G262" s="47" t="str">
        <v>QFD2</v>
      </c>
      <c r="H262" s="47" t="str">
        <v>2P С16А 30мА</v>
      </c>
      <c r="I262" s="75" t="str">
        <v/>
      </c>
      <c r="J262" s="76" t="str">
        <v/>
      </c>
      <c r="K262" s="76" t="str">
        <v/>
      </c>
      <c r="L262" s="75" t="str">
        <v/>
      </c>
      <c r="M262" s="49" t="str">
        <v/>
      </c>
      <c r="N262" s="76" t="str">
        <v/>
      </c>
      <c r="O262" s="49" t="str">
        <v/>
      </c>
      <c r="P262" s="77" t="str">
        <v>XT2</v>
      </c>
      <c r="Q262" s="53" t="str">
        <v>ВВГнг(А)-LS (3х2,5) L=62-0,38%</v>
      </c>
      <c r="R262" s="54" t="str">
        <v>R.2.003А.1</v>
      </c>
      <c r="S262" s="55" t="str">
        <v>Розеточная группа, пом. 003А</v>
      </c>
      <c r="T262" s="56">
        <v>0.18</v>
      </c>
      <c r="U262" s="56">
        <v>0.83</v>
      </c>
      <c r="V262" s="42" t="str">
        <v>L1</v>
      </c>
      <c r="W262" s="57" t="str">
        <v>ok</v>
      </c>
      <c r="X262" s="58" t="str">
        <v/>
      </c>
      <c r="Y262" s="75" t="str">
        <v/>
      </c>
      <c r="Z262" s="59">
        <v>0.8204451193747313</v>
      </c>
      <c r="AA262" s="61">
        <v>16</v>
      </c>
      <c r="AB262" s="61">
        <v>25</v>
      </c>
      <c r="AC262" s="61" t="str">
        <v/>
      </c>
      <c r="AD262" s="62" t="str">
        <v>QFD2 → XT2</v>
      </c>
      <c r="AE262" s="62" t="str">
        <v/>
      </c>
      <c r="AF262" s="34">
        <v>2</v>
      </c>
      <c r="AG262" s="34" t="str">
        <v>QFD2</v>
      </c>
      <c r="AH262" s="34" t="str">
        <v/>
      </c>
      <c r="AI262" s="34" t="str">
        <v/>
      </c>
      <c r="AJ262" s="34" t="str">
        <v>QFD2</v>
      </c>
      <c r="AK262" s="34">
        <v>1</v>
      </c>
      <c r="AL262" s="34" t="str">
        <v>R</v>
      </c>
      <c r="AM262" s="34">
        <v>30</v>
      </c>
      <c r="AN262" s="34">
        <v>0</v>
      </c>
      <c r="AO262" s="34">
        <v>16</v>
      </c>
      <c r="AP262" s="34">
        <v>25</v>
      </c>
      <c r="AQ262" s="34">
        <v>16</v>
      </c>
      <c r="AR262" s="34">
        <v>1</v>
      </c>
      <c r="AS262" s="34">
        <v>1</v>
      </c>
      <c r="AT262" s="34" t="str">
        <v>2P</v>
      </c>
      <c r="AU262" s="34">
        <v>16</v>
      </c>
      <c r="AV262" s="34" t="str">
        <v/>
      </c>
      <c r="AW262" s="34" t="str">
        <v/>
      </c>
      <c r="AX262" s="34" t="str">
        <v/>
      </c>
      <c r="AY262" s="34">
        <v>1</v>
      </c>
      <c r="AZ262" s="34" t="str">
        <v/>
      </c>
      <c r="BA262" s="34">
        <v>0</v>
      </c>
      <c r="BB262" s="34">
        <v>16</v>
      </c>
      <c r="BD262" s="34">
        <v>1</v>
      </c>
      <c r="BE262" s="34">
        <v>0</v>
      </c>
      <c r="BF262" s="34">
        <v>1</v>
      </c>
      <c r="BG262" s="34" t="str">
        <v/>
      </c>
      <c r="BH262" s="34" t="str">
        <v/>
      </c>
      <c r="BI262" s="34" t="str">
        <v/>
      </c>
      <c r="BJ262" s="34" t="str">
        <v/>
      </c>
      <c r="BK262" s="34" t="str">
        <v>SOCKET</v>
      </c>
      <c r="BL262" s="34">
        <v>1</v>
      </c>
      <c r="BM262" s="34" t="str">
        <v/>
      </c>
      <c r="BN262" s="34" t="str">
        <v/>
      </c>
      <c r="BO262" s="34" t="str">
        <v/>
      </c>
      <c r="BP262" s="34" t="str">
        <v/>
      </c>
      <c r="BQ262" s="34" t="str">
        <v>3х2,5</v>
      </c>
      <c r="BR262" s="34" t="str">
        <v/>
      </c>
      <c r="BS262" s="34" t="str">
        <v/>
      </c>
      <c r="BT262" s="34" t="str">
        <v/>
      </c>
      <c r="BU262" s="34">
        <v>0</v>
      </c>
      <c r="BV262" s="34">
        <v>283</v>
      </c>
      <c r="BW262" s="34">
        <v>1</v>
      </c>
      <c r="BX262" s="34">
        <v>0</v>
      </c>
      <c r="BY262" s="34" t="str">
        <v>Розетка</v>
      </c>
      <c r="BZ262">
        <v>11</v>
      </c>
      <c r="CA262" t="str">
        <v>линии</v>
      </c>
    </row>
    <row r="263" spans="1:79" x14ac:dyDescent="0.3">
      <c r="A263" s="39" t="str">
        <v>ЩР-2</v>
      </c>
      <c r="B263" s="42">
        <v>11</v>
      </c>
      <c r="C263" s="42">
        <v>1</v>
      </c>
      <c r="D263" s="75" t="str">
        <v/>
      </c>
      <c r="E263" s="75" t="str">
        <v>авто</v>
      </c>
      <c r="F263" s="76">
        <v>30</v>
      </c>
      <c r="G263" s="47" t="str">
        <v>QFD3</v>
      </c>
      <c r="H263" s="47" t="str">
        <v>2P С16А 30мА</v>
      </c>
      <c r="I263" s="75" t="str">
        <v/>
      </c>
      <c r="J263" s="76" t="str">
        <v/>
      </c>
      <c r="K263" s="76" t="str">
        <v/>
      </c>
      <c r="L263" s="75" t="str">
        <v/>
      </c>
      <c r="M263" s="49" t="str">
        <v/>
      </c>
      <c r="N263" s="76" t="str">
        <v/>
      </c>
      <c r="O263" s="49" t="str">
        <v/>
      </c>
      <c r="P263" s="77" t="str">
        <v>XT3</v>
      </c>
      <c r="Q263" s="53" t="str">
        <v>ВВГнг(А)-LS (3х2,5) L=57-0,58%</v>
      </c>
      <c r="R263" s="54" t="str">
        <v>R.2.005А.1</v>
      </c>
      <c r="S263" s="55" t="str">
        <v>Розеточная группа, пом. 005А</v>
      </c>
      <c r="T263" s="56">
        <v>0.3</v>
      </c>
      <c r="U263" s="56">
        <v>1.37</v>
      </c>
      <c r="V263" s="42" t="str">
        <v>L2</v>
      </c>
      <c r="W263" s="57" t="str">
        <v>ok</v>
      </c>
      <c r="X263" s="58" t="str">
        <v/>
      </c>
      <c r="Y263" s="75" t="str">
        <v/>
      </c>
      <c r="Z263" s="59">
        <v>1.3674085322912188</v>
      </c>
      <c r="AA263" s="61">
        <v>16</v>
      </c>
      <c r="AB263" s="61">
        <v>25</v>
      </c>
      <c r="AC263" s="61" t="str">
        <v/>
      </c>
      <c r="AD263" s="62" t="str">
        <v>QFD3 → XT3</v>
      </c>
      <c r="AE263" s="62" t="str">
        <v/>
      </c>
      <c r="AF263" s="34">
        <v>3</v>
      </c>
      <c r="AG263" s="34" t="str">
        <v>QFD3</v>
      </c>
      <c r="AH263" s="34" t="str">
        <v/>
      </c>
      <c r="AI263" s="34" t="str">
        <v/>
      </c>
      <c r="AJ263" s="34" t="str">
        <v>QFD3</v>
      </c>
      <c r="AK263" s="34">
        <v>1</v>
      </c>
      <c r="AL263" s="34" t="str">
        <v>R</v>
      </c>
      <c r="AM263" s="34">
        <v>30</v>
      </c>
      <c r="AN263" s="34">
        <v>0</v>
      </c>
      <c r="AO263" s="34">
        <v>16</v>
      </c>
      <c r="AP263" s="34">
        <v>25</v>
      </c>
      <c r="AQ263" s="34">
        <v>16</v>
      </c>
      <c r="AR263" s="34">
        <v>1</v>
      </c>
      <c r="AS263" s="34">
        <v>1</v>
      </c>
      <c r="AT263" s="34" t="str">
        <v>2P</v>
      </c>
      <c r="AU263" s="34">
        <v>16</v>
      </c>
      <c r="AV263" s="34" t="str">
        <v/>
      </c>
      <c r="AW263" s="34" t="str">
        <v/>
      </c>
      <c r="AX263" s="34" t="str">
        <v/>
      </c>
      <c r="AY263" s="34">
        <v>1</v>
      </c>
      <c r="AZ263" s="34" t="str">
        <v/>
      </c>
      <c r="BA263" s="34">
        <v>0</v>
      </c>
      <c r="BB263" s="34">
        <v>16</v>
      </c>
      <c r="BD263" s="34">
        <v>1</v>
      </c>
      <c r="BE263" s="34">
        <v>0</v>
      </c>
      <c r="BF263" s="34">
        <v>1</v>
      </c>
      <c r="BG263" s="34" t="str">
        <v/>
      </c>
      <c r="BH263" s="34" t="str">
        <v/>
      </c>
      <c r="BI263" s="34" t="str">
        <v/>
      </c>
      <c r="BJ263" s="34" t="str">
        <v/>
      </c>
      <c r="BK263" s="34" t="str">
        <v>SOCKET</v>
      </c>
      <c r="BL263" s="34">
        <v>1</v>
      </c>
      <c r="BM263" s="34" t="str">
        <v/>
      </c>
      <c r="BN263" s="34" t="str">
        <v/>
      </c>
      <c r="BO263" s="34" t="str">
        <v/>
      </c>
      <c r="BP263" s="34" t="str">
        <v/>
      </c>
      <c r="BQ263" s="34" t="str">
        <v>3х2,5</v>
      </c>
      <c r="BR263" s="34" t="str">
        <v/>
      </c>
      <c r="BS263" s="34" t="str">
        <v/>
      </c>
      <c r="BT263" s="34" t="str">
        <v/>
      </c>
      <c r="BU263" s="34">
        <v>0</v>
      </c>
      <c r="BV263" s="34">
        <v>284</v>
      </c>
      <c r="BW263" s="34">
        <v>1</v>
      </c>
      <c r="BX263" s="34">
        <v>0</v>
      </c>
      <c r="BY263" s="34" t="str">
        <v>Розетка</v>
      </c>
      <c r="BZ263">
        <v>11</v>
      </c>
      <c r="CA263" t="str">
        <v>линии</v>
      </c>
    </row>
    <row r="264" spans="1:79" x14ac:dyDescent="0.3">
      <c r="A264" s="39" t="str">
        <v>ЩР-2</v>
      </c>
      <c r="B264" s="42">
        <v>12</v>
      </c>
      <c r="C264" s="42">
        <v>1</v>
      </c>
      <c r="D264" s="75" t="str">
        <v/>
      </c>
      <c r="E264" s="75" t="str">
        <v>авто</v>
      </c>
      <c r="F264" s="76">
        <v>30</v>
      </c>
      <c r="G264" s="47" t="str">
        <v>QFD4</v>
      </c>
      <c r="H264" s="47" t="str">
        <v>2P С16А 30мА</v>
      </c>
      <c r="I264" s="75" t="str">
        <v/>
      </c>
      <c r="J264" s="76" t="str">
        <v/>
      </c>
      <c r="K264" s="76" t="str">
        <v/>
      </c>
      <c r="L264" s="75" t="str">
        <v/>
      </c>
      <c r="M264" s="49" t="str">
        <v/>
      </c>
      <c r="N264" s="76" t="str">
        <v/>
      </c>
      <c r="O264" s="49" t="str">
        <v/>
      </c>
      <c r="P264" s="77" t="str">
        <v>XT4</v>
      </c>
      <c r="Q264" s="53" t="str">
        <v>ВВГнг(А)-LS (3х2,5) L=43-0,35%</v>
      </c>
      <c r="R264" s="54" t="str">
        <v>R.2.005А.2</v>
      </c>
      <c r="S264" s="55" t="str">
        <v>Розеточная группа, пом. 005А</v>
      </c>
      <c r="T264" s="56">
        <v>0.24</v>
      </c>
      <c r="U264" s="56">
        <v>1.1000000000000001</v>
      </c>
      <c r="V264" s="42" t="str">
        <v>L3</v>
      </c>
      <c r="W264" s="57" t="str">
        <v>ok</v>
      </c>
      <c r="X264" s="58" t="str">
        <v/>
      </c>
      <c r="Y264" s="75" t="str">
        <v/>
      </c>
      <c r="Z264" s="59">
        <v>1.0939268258329751</v>
      </c>
      <c r="AA264" s="61">
        <v>16</v>
      </c>
      <c r="AB264" s="61">
        <v>25</v>
      </c>
      <c r="AC264" s="61" t="str">
        <v/>
      </c>
      <c r="AD264" s="62" t="str">
        <v>QFD4 → XT4</v>
      </c>
      <c r="AE264" s="62" t="str">
        <v/>
      </c>
      <c r="AF264" s="34">
        <v>4</v>
      </c>
      <c r="AG264" s="34" t="str">
        <v>QFD4</v>
      </c>
      <c r="AH264" s="34" t="str">
        <v/>
      </c>
      <c r="AI264" s="34" t="str">
        <v/>
      </c>
      <c r="AJ264" s="34" t="str">
        <v>QFD4</v>
      </c>
      <c r="AK264" s="34">
        <v>1</v>
      </c>
      <c r="AL264" s="34" t="str">
        <v>R</v>
      </c>
      <c r="AM264" s="34">
        <v>30</v>
      </c>
      <c r="AN264" s="34">
        <v>0</v>
      </c>
      <c r="AO264" s="34">
        <v>16</v>
      </c>
      <c r="AP264" s="34">
        <v>25</v>
      </c>
      <c r="AQ264" s="34">
        <v>16</v>
      </c>
      <c r="AR264" s="34">
        <v>1</v>
      </c>
      <c r="AS264" s="34">
        <v>1</v>
      </c>
      <c r="AT264" s="34" t="str">
        <v>2P</v>
      </c>
      <c r="AU264" s="34">
        <v>16</v>
      </c>
      <c r="AV264" s="34" t="str">
        <v/>
      </c>
      <c r="AW264" s="34" t="str">
        <v/>
      </c>
      <c r="AX264" s="34" t="str">
        <v/>
      </c>
      <c r="AY264" s="34">
        <v>1</v>
      </c>
      <c r="AZ264" s="34" t="str">
        <v/>
      </c>
      <c r="BA264" s="34">
        <v>0</v>
      </c>
      <c r="BB264" s="34">
        <v>16</v>
      </c>
      <c r="BD264" s="34">
        <v>1</v>
      </c>
      <c r="BE264" s="34">
        <v>0</v>
      </c>
      <c r="BF264" s="34">
        <v>1</v>
      </c>
      <c r="BG264" s="34" t="str">
        <v/>
      </c>
      <c r="BH264" s="34" t="str">
        <v/>
      </c>
      <c r="BI264" s="34" t="str">
        <v/>
      </c>
      <c r="BJ264" s="34" t="str">
        <v/>
      </c>
      <c r="BK264" s="34" t="str">
        <v>SOCKET</v>
      </c>
      <c r="BL264" s="34">
        <v>1</v>
      </c>
      <c r="BM264" s="34" t="str">
        <v/>
      </c>
      <c r="BN264" s="34" t="str">
        <v/>
      </c>
      <c r="BO264" s="34" t="str">
        <v/>
      </c>
      <c r="BP264" s="34" t="str">
        <v/>
      </c>
      <c r="BQ264" s="34" t="str">
        <v>3х2,5</v>
      </c>
      <c r="BR264" s="34" t="str">
        <v/>
      </c>
      <c r="BS264" s="34" t="str">
        <v/>
      </c>
      <c r="BT264" s="34" t="str">
        <v/>
      </c>
      <c r="BU264" s="34">
        <v>0</v>
      </c>
      <c r="BV264" s="34">
        <v>285</v>
      </c>
      <c r="BW264" s="34">
        <v>1</v>
      </c>
      <c r="BX264" s="34">
        <v>0</v>
      </c>
      <c r="BY264" s="34" t="str">
        <v>Розетка</v>
      </c>
      <c r="BZ264">
        <v>11</v>
      </c>
      <c r="CA264" t="str">
        <v>линии</v>
      </c>
    </row>
    <row r="265" spans="1:79" x14ac:dyDescent="0.3">
      <c r="A265" s="39" t="str">
        <v>ЩР-2</v>
      </c>
      <c r="B265" s="42">
        <v>13</v>
      </c>
      <c r="C265" s="42">
        <v>1</v>
      </c>
      <c r="D265" s="75" t="str">
        <v/>
      </c>
      <c r="E265" s="75" t="str">
        <v>авто</v>
      </c>
      <c r="F265" s="76">
        <v>30</v>
      </c>
      <c r="G265" s="47" t="str">
        <v>QFD5</v>
      </c>
      <c r="H265" s="47" t="str">
        <v>2P С16А 30мА</v>
      </c>
      <c r="I265" s="75" t="str">
        <v/>
      </c>
      <c r="J265" s="76" t="str">
        <v/>
      </c>
      <c r="K265" s="76" t="str">
        <v/>
      </c>
      <c r="L265" s="75" t="str">
        <v/>
      </c>
      <c r="M265" s="49" t="str">
        <v/>
      </c>
      <c r="N265" s="76" t="str">
        <v/>
      </c>
      <c r="O265" s="49" t="str">
        <v/>
      </c>
      <c r="P265" s="77" t="str">
        <v>XT5</v>
      </c>
      <c r="Q265" s="53" t="str">
        <v>ВВГнг(А)-LS (3х2,5) L=49-0,1%</v>
      </c>
      <c r="R265" s="54" t="str">
        <v>R.2.006А.1</v>
      </c>
      <c r="S265" s="55" t="str">
        <v>Розеточная группа, пом. 006А</v>
      </c>
      <c r="T265" s="56">
        <v>0.06</v>
      </c>
      <c r="U265" s="56">
        <v>0.28000000000000003</v>
      </c>
      <c r="V265" s="42" t="str">
        <v>L1</v>
      </c>
      <c r="W265" s="57" t="str">
        <v>ok</v>
      </c>
      <c r="X265" s="58" t="str">
        <v/>
      </c>
      <c r="Y265" s="75" t="str">
        <v/>
      </c>
      <c r="Z265" s="59">
        <v>0.27348170645824377</v>
      </c>
      <c r="AA265" s="61">
        <v>16</v>
      </c>
      <c r="AB265" s="61">
        <v>25</v>
      </c>
      <c r="AC265" s="61" t="str">
        <v/>
      </c>
      <c r="AD265" s="62" t="str">
        <v>QFD5 → XT5</v>
      </c>
      <c r="AE265" s="62" t="str">
        <v/>
      </c>
      <c r="AF265" s="34">
        <v>5</v>
      </c>
      <c r="AG265" s="34" t="str">
        <v>QFD5</v>
      </c>
      <c r="AH265" s="34" t="str">
        <v/>
      </c>
      <c r="AI265" s="34" t="str">
        <v/>
      </c>
      <c r="AJ265" s="34" t="str">
        <v>QFD5</v>
      </c>
      <c r="AK265" s="34">
        <v>1</v>
      </c>
      <c r="AL265" s="34" t="str">
        <v>R</v>
      </c>
      <c r="AM265" s="34">
        <v>30</v>
      </c>
      <c r="AN265" s="34">
        <v>0</v>
      </c>
      <c r="AO265" s="34">
        <v>16</v>
      </c>
      <c r="AP265" s="34">
        <v>25</v>
      </c>
      <c r="AQ265" s="34">
        <v>16</v>
      </c>
      <c r="AR265" s="34">
        <v>1</v>
      </c>
      <c r="AS265" s="34">
        <v>1</v>
      </c>
      <c r="AT265" s="34" t="str">
        <v>2P</v>
      </c>
      <c r="AU265" s="34">
        <v>16</v>
      </c>
      <c r="AV265" s="34" t="str">
        <v/>
      </c>
      <c r="AW265" s="34" t="str">
        <v/>
      </c>
      <c r="AX265" s="34" t="str">
        <v/>
      </c>
      <c r="AY265" s="34">
        <v>1</v>
      </c>
      <c r="AZ265" s="34" t="str">
        <v/>
      </c>
      <c r="BA265" s="34">
        <v>0</v>
      </c>
      <c r="BB265" s="34">
        <v>16</v>
      </c>
      <c r="BD265" s="34">
        <v>1</v>
      </c>
      <c r="BE265" s="34">
        <v>0</v>
      </c>
      <c r="BF265" s="34">
        <v>1</v>
      </c>
      <c r="BG265" s="34" t="str">
        <v/>
      </c>
      <c r="BH265" s="34" t="str">
        <v/>
      </c>
      <c r="BI265" s="34" t="str">
        <v/>
      </c>
      <c r="BJ265" s="34" t="str">
        <v/>
      </c>
      <c r="BK265" s="34" t="str">
        <v>SOCKET</v>
      </c>
      <c r="BL265" s="34">
        <v>1</v>
      </c>
      <c r="BM265" s="34" t="str">
        <v/>
      </c>
      <c r="BN265" s="34" t="str">
        <v/>
      </c>
      <c r="BO265" s="34" t="str">
        <v/>
      </c>
      <c r="BP265" s="34" t="str">
        <v/>
      </c>
      <c r="BQ265" s="34" t="str">
        <v>3х2,5</v>
      </c>
      <c r="BR265" s="34" t="str">
        <v/>
      </c>
      <c r="BS265" s="34" t="str">
        <v/>
      </c>
      <c r="BT265" s="34" t="str">
        <v/>
      </c>
      <c r="BU265" s="34">
        <v>0</v>
      </c>
      <c r="BV265" s="34">
        <v>286</v>
      </c>
      <c r="BW265" s="34">
        <v>1</v>
      </c>
      <c r="BX265" s="34">
        <v>0</v>
      </c>
      <c r="BY265" s="34" t="str">
        <v>Розетка</v>
      </c>
      <c r="BZ265">
        <v>11</v>
      </c>
      <c r="CA265" t="str">
        <v>линии</v>
      </c>
    </row>
    <row r="266" spans="1:79" x14ac:dyDescent="0.3">
      <c r="A266" s="39" t="str">
        <v>ЩР-2</v>
      </c>
      <c r="B266" s="42">
        <v>14</v>
      </c>
      <c r="C266" s="42">
        <v>1</v>
      </c>
      <c r="D266" s="75" t="str">
        <v/>
      </c>
      <c r="E266" s="75" t="str">
        <v>авто</v>
      </c>
      <c r="F266" s="76">
        <v>30</v>
      </c>
      <c r="G266" s="47" t="str">
        <v>QFD6</v>
      </c>
      <c r="H266" s="47" t="str">
        <v>2P С16А 30мА</v>
      </c>
      <c r="I266" s="75" t="str">
        <v/>
      </c>
      <c r="J266" s="76" t="str">
        <v/>
      </c>
      <c r="K266" s="76" t="str">
        <v/>
      </c>
      <c r="L266" s="75" t="str">
        <v/>
      </c>
      <c r="M266" s="49" t="str">
        <v/>
      </c>
      <c r="N266" s="76" t="str">
        <v/>
      </c>
      <c r="O266" s="49" t="str">
        <v/>
      </c>
      <c r="P266" s="77" t="str">
        <v>XT6</v>
      </c>
      <c r="Q266" s="53" t="str">
        <v>ВВГнг(А)-LS (3х2,5) L=58-0,71%</v>
      </c>
      <c r="R266" s="54" t="str">
        <v>R.2.009А.1</v>
      </c>
      <c r="S266" s="55" t="str">
        <v>Розеточная группа, пом. 009А</v>
      </c>
      <c r="T266" s="56">
        <v>0.36</v>
      </c>
      <c r="U266" s="56">
        <v>1.65</v>
      </c>
      <c r="V266" s="42" t="str">
        <v>L3</v>
      </c>
      <c r="W266" s="57" t="str">
        <v>ok</v>
      </c>
      <c r="X266" s="58" t="str">
        <v/>
      </c>
      <c r="Y266" s="75" t="str">
        <v/>
      </c>
      <c r="Z266" s="59">
        <v>1.6408902387494626</v>
      </c>
      <c r="AA266" s="61">
        <v>16</v>
      </c>
      <c r="AB266" s="61">
        <v>25</v>
      </c>
      <c r="AC266" s="61" t="str">
        <v/>
      </c>
      <c r="AD266" s="62" t="str">
        <v>QFD6 → XT6</v>
      </c>
      <c r="AE266" s="62" t="str">
        <v/>
      </c>
      <c r="AF266" s="34">
        <v>6</v>
      </c>
      <c r="AG266" s="34" t="str">
        <v>QFD6</v>
      </c>
      <c r="AH266" s="34" t="str">
        <v/>
      </c>
      <c r="AI266" s="34" t="str">
        <v/>
      </c>
      <c r="AJ266" s="34" t="str">
        <v>QFD6</v>
      </c>
      <c r="AK266" s="34">
        <v>1</v>
      </c>
      <c r="AL266" s="34" t="str">
        <v>R</v>
      </c>
      <c r="AM266" s="34">
        <v>30</v>
      </c>
      <c r="AN266" s="34">
        <v>0</v>
      </c>
      <c r="AO266" s="34">
        <v>16</v>
      </c>
      <c r="AP266" s="34">
        <v>25</v>
      </c>
      <c r="AQ266" s="34">
        <v>16</v>
      </c>
      <c r="AR266" s="34">
        <v>1</v>
      </c>
      <c r="AS266" s="34">
        <v>1</v>
      </c>
      <c r="AT266" s="34" t="str">
        <v>2P</v>
      </c>
      <c r="AU266" s="34">
        <v>16</v>
      </c>
      <c r="AV266" s="34" t="str">
        <v/>
      </c>
      <c r="AW266" s="34" t="str">
        <v/>
      </c>
      <c r="AX266" s="34" t="str">
        <v/>
      </c>
      <c r="AY266" s="34">
        <v>1</v>
      </c>
      <c r="AZ266" s="34" t="str">
        <v/>
      </c>
      <c r="BA266" s="34">
        <v>0</v>
      </c>
      <c r="BB266" s="34">
        <v>16</v>
      </c>
      <c r="BD266" s="34">
        <v>1</v>
      </c>
      <c r="BE266" s="34">
        <v>0</v>
      </c>
      <c r="BF266" s="34">
        <v>1</v>
      </c>
      <c r="BG266" s="34" t="str">
        <v/>
      </c>
      <c r="BH266" s="34" t="str">
        <v/>
      </c>
      <c r="BI266" s="34" t="str">
        <v/>
      </c>
      <c r="BJ266" s="34" t="str">
        <v/>
      </c>
      <c r="BK266" s="34" t="str">
        <v>SOCKET</v>
      </c>
      <c r="BL266" s="34">
        <v>1</v>
      </c>
      <c r="BM266" s="34" t="str">
        <v/>
      </c>
      <c r="BN266" s="34" t="str">
        <v/>
      </c>
      <c r="BO266" s="34" t="str">
        <v/>
      </c>
      <c r="BP266" s="34" t="str">
        <v/>
      </c>
      <c r="BQ266" s="34" t="str">
        <v>3х2,5</v>
      </c>
      <c r="BR266" s="34" t="str">
        <v/>
      </c>
      <c r="BS266" s="34" t="str">
        <v/>
      </c>
      <c r="BT266" s="34" t="str">
        <v/>
      </c>
      <c r="BU266" s="34">
        <v>0</v>
      </c>
      <c r="BV266" s="34">
        <v>287</v>
      </c>
      <c r="BW266" s="34">
        <v>1</v>
      </c>
      <c r="BX266" s="34">
        <v>0</v>
      </c>
      <c r="BY266" s="34" t="str">
        <v>Розетка</v>
      </c>
      <c r="BZ266">
        <v>11</v>
      </c>
      <c r="CA266" t="str">
        <v>линии</v>
      </c>
    </row>
    <row r="267" spans="1:79" x14ac:dyDescent="0.3">
      <c r="A267" s="39" t="str">
        <v>ЩР-2</v>
      </c>
      <c r="B267" s="42">
        <v>15</v>
      </c>
      <c r="C267" s="42">
        <v>1</v>
      </c>
      <c r="D267" s="75" t="str">
        <v/>
      </c>
      <c r="E267" s="75" t="str">
        <v>авто</v>
      </c>
      <c r="F267" s="76">
        <v>30</v>
      </c>
      <c r="G267" s="47" t="str">
        <v>QFD7</v>
      </c>
      <c r="H267" s="47" t="str">
        <v>2P С16А 30мА</v>
      </c>
      <c r="I267" s="75" t="str">
        <v/>
      </c>
      <c r="J267" s="76" t="str">
        <v/>
      </c>
      <c r="K267" s="76" t="str">
        <v/>
      </c>
      <c r="L267" s="75" t="str">
        <v/>
      </c>
      <c r="M267" s="49" t="str">
        <v/>
      </c>
      <c r="N267" s="76" t="str">
        <v/>
      </c>
      <c r="O267" s="49" t="str">
        <v/>
      </c>
      <c r="P267" s="77" t="str">
        <v>XT7</v>
      </c>
      <c r="Q267" s="53" t="str">
        <v>ВВГнг(А)-LS (3х2,5) L=38-0,31%</v>
      </c>
      <c r="R267" s="54" t="str">
        <v>R.2.009А.2</v>
      </c>
      <c r="S267" s="55" t="str">
        <v>Розеточная группа, пом. 009А</v>
      </c>
      <c r="T267" s="56">
        <v>0.24</v>
      </c>
      <c r="U267" s="56">
        <v>1.1000000000000001</v>
      </c>
      <c r="V267" s="42" t="str">
        <v>L2</v>
      </c>
      <c r="W267" s="57" t="str">
        <v>ok</v>
      </c>
      <c r="X267" s="58" t="str">
        <v/>
      </c>
      <c r="Y267" s="75" t="str">
        <v/>
      </c>
      <c r="Z267" s="59">
        <v>1.0939268258329751</v>
      </c>
      <c r="AA267" s="61">
        <v>16</v>
      </c>
      <c r="AB267" s="61">
        <v>25</v>
      </c>
      <c r="AC267" s="61" t="str">
        <v/>
      </c>
      <c r="AD267" s="62" t="str">
        <v>QFD7 → XT7</v>
      </c>
      <c r="AE267" s="62" t="str">
        <v/>
      </c>
      <c r="AF267" s="34">
        <v>7</v>
      </c>
      <c r="AG267" s="34" t="str">
        <v>QFD7</v>
      </c>
      <c r="AH267" s="34" t="str">
        <v/>
      </c>
      <c r="AI267" s="34" t="str">
        <v/>
      </c>
      <c r="AJ267" s="34" t="str">
        <v>QFD7</v>
      </c>
      <c r="AK267" s="34">
        <v>1</v>
      </c>
      <c r="AL267" s="34" t="str">
        <v>R</v>
      </c>
      <c r="AM267" s="34">
        <v>30</v>
      </c>
      <c r="AN267" s="34">
        <v>0</v>
      </c>
      <c r="AO267" s="34">
        <v>16</v>
      </c>
      <c r="AP267" s="34">
        <v>25</v>
      </c>
      <c r="AQ267" s="34">
        <v>16</v>
      </c>
      <c r="AR267" s="34">
        <v>1</v>
      </c>
      <c r="AS267" s="34">
        <v>1</v>
      </c>
      <c r="AT267" s="34" t="str">
        <v>2P</v>
      </c>
      <c r="AU267" s="34">
        <v>16</v>
      </c>
      <c r="AV267" s="34" t="str">
        <v/>
      </c>
      <c r="AW267" s="34" t="str">
        <v/>
      </c>
      <c r="AX267" s="34" t="str">
        <v/>
      </c>
      <c r="AY267" s="34">
        <v>1</v>
      </c>
      <c r="AZ267" s="34" t="str">
        <v/>
      </c>
      <c r="BA267" s="34">
        <v>0</v>
      </c>
      <c r="BB267" s="34">
        <v>16</v>
      </c>
      <c r="BD267" s="34">
        <v>1</v>
      </c>
      <c r="BE267" s="34">
        <v>0</v>
      </c>
      <c r="BF267" s="34">
        <v>1</v>
      </c>
      <c r="BG267" s="34" t="str">
        <v/>
      </c>
      <c r="BH267" s="34" t="str">
        <v/>
      </c>
      <c r="BI267" s="34" t="str">
        <v/>
      </c>
      <c r="BJ267" s="34" t="str">
        <v/>
      </c>
      <c r="BK267" s="34" t="str">
        <v>SOCKET</v>
      </c>
      <c r="BL267" s="34">
        <v>1</v>
      </c>
      <c r="BM267" s="34" t="str">
        <v/>
      </c>
      <c r="BN267" s="34" t="str">
        <v/>
      </c>
      <c r="BO267" s="34" t="str">
        <v/>
      </c>
      <c r="BP267" s="34" t="str">
        <v/>
      </c>
      <c r="BQ267" s="34" t="str">
        <v>3х2,5</v>
      </c>
      <c r="BR267" s="34" t="str">
        <v/>
      </c>
      <c r="BS267" s="34" t="str">
        <v/>
      </c>
      <c r="BT267" s="34" t="str">
        <v/>
      </c>
      <c r="BU267" s="34">
        <v>0</v>
      </c>
      <c r="BV267" s="34">
        <v>288</v>
      </c>
      <c r="BW267" s="34">
        <v>1</v>
      </c>
      <c r="BX267" s="34">
        <v>0</v>
      </c>
      <c r="BY267" s="34" t="str">
        <v>Розетка</v>
      </c>
      <c r="BZ267">
        <v>11</v>
      </c>
      <c r="CA267" t="str">
        <v>линии</v>
      </c>
    </row>
    <row r="268" spans="1:79" x14ac:dyDescent="0.3">
      <c r="A268" s="39" t="str">
        <v>ЩР-2</v>
      </c>
      <c r="B268" s="42">
        <v>16</v>
      </c>
      <c r="C268" s="42">
        <v>1</v>
      </c>
      <c r="D268" s="75" t="str">
        <v/>
      </c>
      <c r="E268" s="75" t="str">
        <v>авто</v>
      </c>
      <c r="F268" s="76">
        <v>30</v>
      </c>
      <c r="G268" s="47" t="str">
        <v>QFD8</v>
      </c>
      <c r="H268" s="47" t="str">
        <v>2P С16А 30мА</v>
      </c>
      <c r="I268" s="75" t="str">
        <v/>
      </c>
      <c r="J268" s="76" t="str">
        <v/>
      </c>
      <c r="K268" s="76" t="str">
        <v/>
      </c>
      <c r="L268" s="75" t="str">
        <v/>
      </c>
      <c r="M268" s="49" t="str">
        <v/>
      </c>
      <c r="N268" s="76" t="str">
        <v/>
      </c>
      <c r="O268" s="49" t="str">
        <v/>
      </c>
      <c r="P268" s="77" t="str">
        <v>XT8</v>
      </c>
      <c r="Q268" s="53" t="str">
        <v>ВВГнг(А)-LS (3х2,5) L=35-0,08%</v>
      </c>
      <c r="R268" s="54" t="str">
        <v>R.2.010А.1</v>
      </c>
      <c r="S268" s="55" t="str">
        <v>Розеточная группа, пом. 010А</v>
      </c>
      <c r="T268" s="56">
        <v>0.06</v>
      </c>
      <c r="U268" s="56">
        <v>0.28000000000000003</v>
      </c>
      <c r="V268" s="42" t="str">
        <v>L2</v>
      </c>
      <c r="W268" s="57" t="str">
        <v>ok</v>
      </c>
      <c r="X268" s="58" t="str">
        <v/>
      </c>
      <c r="Y268" s="75" t="str">
        <v/>
      </c>
      <c r="Z268" s="59">
        <v>0.27348170645824377</v>
      </c>
      <c r="AA268" s="61">
        <v>16</v>
      </c>
      <c r="AB268" s="61">
        <v>25</v>
      </c>
      <c r="AC268" s="61" t="str">
        <v/>
      </c>
      <c r="AD268" s="62" t="str">
        <v>QFD8 → XT8</v>
      </c>
      <c r="AE268" s="62" t="str">
        <v/>
      </c>
      <c r="AF268" s="34">
        <v>8</v>
      </c>
      <c r="AG268" s="34" t="str">
        <v>QFD8</v>
      </c>
      <c r="AH268" s="34" t="str">
        <v/>
      </c>
      <c r="AI268" s="34" t="str">
        <v/>
      </c>
      <c r="AJ268" s="34" t="str">
        <v>QFD8</v>
      </c>
      <c r="AK268" s="34">
        <v>1</v>
      </c>
      <c r="AL268" s="34" t="str">
        <v>R</v>
      </c>
      <c r="AM268" s="34">
        <v>30</v>
      </c>
      <c r="AN268" s="34">
        <v>0</v>
      </c>
      <c r="AO268" s="34">
        <v>16</v>
      </c>
      <c r="AP268" s="34">
        <v>25</v>
      </c>
      <c r="AQ268" s="34">
        <v>16</v>
      </c>
      <c r="AR268" s="34">
        <v>1</v>
      </c>
      <c r="AS268" s="34">
        <v>1</v>
      </c>
      <c r="AT268" s="34" t="str">
        <v>2P</v>
      </c>
      <c r="AU268" s="34">
        <v>16</v>
      </c>
      <c r="AV268" s="34" t="str">
        <v/>
      </c>
      <c r="AW268" s="34" t="str">
        <v/>
      </c>
      <c r="AX268" s="34" t="str">
        <v/>
      </c>
      <c r="AY268" s="34">
        <v>1</v>
      </c>
      <c r="AZ268" s="34" t="str">
        <v/>
      </c>
      <c r="BA268" s="34">
        <v>0</v>
      </c>
      <c r="BB268" s="34">
        <v>16</v>
      </c>
      <c r="BD268" s="34">
        <v>1</v>
      </c>
      <c r="BE268" s="34">
        <v>0</v>
      </c>
      <c r="BF268" s="34">
        <v>1</v>
      </c>
      <c r="BG268" s="34" t="str">
        <v/>
      </c>
      <c r="BH268" s="34" t="str">
        <v/>
      </c>
      <c r="BI268" s="34" t="str">
        <v/>
      </c>
      <c r="BJ268" s="34" t="str">
        <v/>
      </c>
      <c r="BK268" s="34" t="str">
        <v>SOCKET</v>
      </c>
      <c r="BL268" s="34">
        <v>1</v>
      </c>
      <c r="BM268" s="34" t="str">
        <v/>
      </c>
      <c r="BN268" s="34" t="str">
        <v/>
      </c>
      <c r="BO268" s="34" t="str">
        <v/>
      </c>
      <c r="BP268" s="34" t="str">
        <v/>
      </c>
      <c r="BQ268" s="34" t="str">
        <v>3х2,5</v>
      </c>
      <c r="BR268" s="34" t="str">
        <v/>
      </c>
      <c r="BS268" s="34" t="str">
        <v/>
      </c>
      <c r="BT268" s="34" t="str">
        <v/>
      </c>
      <c r="BU268" s="34">
        <v>0</v>
      </c>
      <c r="BV268" s="34">
        <v>289</v>
      </c>
      <c r="BW268" s="34">
        <v>1</v>
      </c>
      <c r="BX268" s="34">
        <v>0</v>
      </c>
      <c r="BY268" s="34" t="str">
        <v>Розетка</v>
      </c>
      <c r="BZ268">
        <v>11</v>
      </c>
      <c r="CA268" t="str">
        <v>линии</v>
      </c>
    </row>
    <row r="269" spans="1:79" x14ac:dyDescent="0.3">
      <c r="A269" s="39" t="str">
        <v>ЩР-2</v>
      </c>
      <c r="B269" s="42">
        <v>19</v>
      </c>
      <c r="C269" s="42">
        <v>2</v>
      </c>
      <c r="D269" s="75" t="str">
        <v/>
      </c>
      <c r="E269" s="75" t="str">
        <v>авто</v>
      </c>
      <c r="F269" s="76">
        <v>30</v>
      </c>
      <c r="G269" s="47" t="str">
        <v>QFD9</v>
      </c>
      <c r="H269" s="47" t="str">
        <v>2P С16А 30мА</v>
      </c>
      <c r="I269" s="75" t="str">
        <v/>
      </c>
      <c r="J269" s="76" t="str">
        <v/>
      </c>
      <c r="K269" s="76" t="str">
        <v/>
      </c>
      <c r="L269" s="75" t="str">
        <v/>
      </c>
      <c r="M269" s="49" t="str">
        <v/>
      </c>
      <c r="N269" s="76" t="str">
        <v/>
      </c>
      <c r="O269" s="49" t="str">
        <v/>
      </c>
      <c r="P269" s="77" t="str">
        <v/>
      </c>
      <c r="Q269" s="53" t="str">
        <v>ВВГнг(А)-LS (3х2,5) L=39-0,08%</v>
      </c>
      <c r="R269" s="54" t="str">
        <v>R.2.002Г.1</v>
      </c>
      <c r="S269" s="55" t="str">
        <v>Розеточная группа, пом. 002Г</v>
      </c>
      <c r="T269" s="56">
        <v>0.06</v>
      </c>
      <c r="U269" s="56">
        <v>0.28000000000000003</v>
      </c>
      <c r="V269" s="42" t="str">
        <v>L1</v>
      </c>
      <c r="W269" s="57" t="str">
        <v>ok</v>
      </c>
      <c r="X269" s="58" t="str">
        <v/>
      </c>
      <c r="Y269" s="75" t="str">
        <v/>
      </c>
      <c r="Z269" s="59">
        <v>0.27348170645824377</v>
      </c>
      <c r="AA269" s="61">
        <v>16</v>
      </c>
      <c r="AB269" s="61">
        <v>25</v>
      </c>
      <c r="AC269" s="61" t="str">
        <v/>
      </c>
      <c r="AD269" s="62" t="str">
        <v>QFD9</v>
      </c>
      <c r="AE269" s="62" t="str">
        <v/>
      </c>
      <c r="AF269" s="34">
        <v>9</v>
      </c>
      <c r="AG269" s="34" t="str">
        <v>QFD9</v>
      </c>
      <c r="AH269" s="34" t="str">
        <v/>
      </c>
      <c r="AI269" s="34" t="str">
        <v/>
      </c>
      <c r="AJ269" s="34" t="str">
        <v>QFD9</v>
      </c>
      <c r="AK269" s="34">
        <v>1</v>
      </c>
      <c r="AL269" s="34" t="str">
        <v>R</v>
      </c>
      <c r="AM269" s="34">
        <v>30</v>
      </c>
      <c r="AN269" s="34">
        <v>0</v>
      </c>
      <c r="AO269" s="34">
        <v>16</v>
      </c>
      <c r="AP269" s="34">
        <v>25</v>
      </c>
      <c r="AQ269" s="34">
        <v>16</v>
      </c>
      <c r="AR269" s="34">
        <v>1</v>
      </c>
      <c r="AS269" s="34">
        <v>1</v>
      </c>
      <c r="AT269" s="34" t="str">
        <v>2P</v>
      </c>
      <c r="AU269" s="34">
        <v>16</v>
      </c>
      <c r="AV269" s="34" t="str">
        <v/>
      </c>
      <c r="AW269" s="34" t="str">
        <v/>
      </c>
      <c r="AX269" s="34" t="str">
        <v/>
      </c>
      <c r="AY269" s="34">
        <v>1</v>
      </c>
      <c r="AZ269" s="34" t="str">
        <v/>
      </c>
      <c r="BA269" s="34">
        <v>0</v>
      </c>
      <c r="BB269" s="34">
        <v>16</v>
      </c>
      <c r="BD269" s="34">
        <v>1</v>
      </c>
      <c r="BE269" s="34">
        <v>0</v>
      </c>
      <c r="BF269" s="34">
        <v>1</v>
      </c>
      <c r="BG269" s="34" t="str">
        <v/>
      </c>
      <c r="BH269" s="34" t="str">
        <v/>
      </c>
      <c r="BI269" s="34" t="str">
        <v/>
      </c>
      <c r="BJ269" s="34" t="str">
        <v/>
      </c>
      <c r="BK269" s="34" t="str">
        <v>SOCKET</v>
      </c>
      <c r="BL269" s="34">
        <v>1</v>
      </c>
      <c r="BM269" s="34" t="str">
        <v/>
      </c>
      <c r="BN269" s="34" t="str">
        <v/>
      </c>
      <c r="BO269" s="34" t="str">
        <v/>
      </c>
      <c r="BP269" s="34" t="str">
        <v/>
      </c>
      <c r="BQ269" s="34" t="str">
        <v>3х2,5</v>
      </c>
      <c r="BR269" s="34" t="str">
        <v/>
      </c>
      <c r="BS269" s="34" t="str">
        <v/>
      </c>
      <c r="BT269" s="34" t="str">
        <v/>
      </c>
      <c r="BU269" s="34">
        <v>0</v>
      </c>
      <c r="BV269" s="34">
        <v>290</v>
      </c>
      <c r="BW269" s="34">
        <v>1</v>
      </c>
      <c r="BX269" s="34">
        <v>0</v>
      </c>
      <c r="BY269" s="34" t="str">
        <v>Розетка</v>
      </c>
      <c r="BZ269">
        <v>11</v>
      </c>
      <c r="CA269" t="str">
        <v>линии</v>
      </c>
    </row>
    <row r="270" spans="1:79" x14ac:dyDescent="0.3">
      <c r="A270" s="39" t="str">
        <v>ЩР-2</v>
      </c>
      <c r="B270" s="42">
        <v>20</v>
      </c>
      <c r="C270" s="42">
        <v>2</v>
      </c>
      <c r="D270" s="75" t="str">
        <v/>
      </c>
      <c r="E270" s="75" t="str">
        <v>авто</v>
      </c>
      <c r="F270" s="76">
        <v>30</v>
      </c>
      <c r="G270" s="47" t="str">
        <v>QFD10</v>
      </c>
      <c r="H270" s="47" t="str">
        <v>2P С16А 30мА</v>
      </c>
      <c r="I270" s="75" t="str">
        <v/>
      </c>
      <c r="J270" s="76" t="str">
        <v/>
      </c>
      <c r="K270" s="76" t="str">
        <v/>
      </c>
      <c r="L270" s="75" t="str">
        <v/>
      </c>
      <c r="M270" s="49" t="str">
        <v/>
      </c>
      <c r="N270" s="76" t="str">
        <v/>
      </c>
      <c r="O270" s="49" t="str">
        <v/>
      </c>
      <c r="P270" s="77" t="str">
        <v>XT10</v>
      </c>
      <c r="Q270" s="53" t="str">
        <v>ВВГнг(А)-LS (3х2,5) L=38-0,16%</v>
      </c>
      <c r="R270" s="54" t="str">
        <v>R.2.013А.1</v>
      </c>
      <c r="S270" s="55" t="str">
        <v>Розеточная группа, пом. 013А</v>
      </c>
      <c r="T270" s="56">
        <v>0.12</v>
      </c>
      <c r="U270" s="56">
        <v>0.55000000000000004</v>
      </c>
      <c r="V270" s="42" t="str">
        <v>L3</v>
      </c>
      <c r="W270" s="57" t="str">
        <v>ok</v>
      </c>
      <c r="X270" s="58" t="str">
        <v/>
      </c>
      <c r="Y270" s="75" t="str">
        <v/>
      </c>
      <c r="Z270" s="59">
        <v>0.54696341291648753</v>
      </c>
      <c r="AA270" s="61">
        <v>16</v>
      </c>
      <c r="AB270" s="61">
        <v>25</v>
      </c>
      <c r="AC270" s="61" t="str">
        <v/>
      </c>
      <c r="AD270" s="62" t="str">
        <v>QFD10 → XT10</v>
      </c>
      <c r="AE270" s="62" t="str">
        <v/>
      </c>
      <c r="AF270" s="34">
        <v>10</v>
      </c>
      <c r="AG270" s="34" t="str">
        <v>QFD10</v>
      </c>
      <c r="AH270" s="34" t="str">
        <v/>
      </c>
      <c r="AI270" s="34" t="str">
        <v/>
      </c>
      <c r="AJ270" s="34" t="str">
        <v>QFD10</v>
      </c>
      <c r="AK270" s="34">
        <v>1</v>
      </c>
      <c r="AL270" s="34" t="str">
        <v>R</v>
      </c>
      <c r="AM270" s="34">
        <v>30</v>
      </c>
      <c r="AN270" s="34">
        <v>0</v>
      </c>
      <c r="AO270" s="34">
        <v>16</v>
      </c>
      <c r="AP270" s="34">
        <v>25</v>
      </c>
      <c r="AQ270" s="34">
        <v>16</v>
      </c>
      <c r="AR270" s="34">
        <v>1</v>
      </c>
      <c r="AS270" s="34">
        <v>1</v>
      </c>
      <c r="AT270" s="34" t="str">
        <v>2P</v>
      </c>
      <c r="AU270" s="34">
        <v>16</v>
      </c>
      <c r="AV270" s="34" t="str">
        <v/>
      </c>
      <c r="AW270" s="34" t="str">
        <v/>
      </c>
      <c r="AX270" s="34" t="str">
        <v/>
      </c>
      <c r="AY270" s="34">
        <v>1</v>
      </c>
      <c r="AZ270" s="34" t="str">
        <v/>
      </c>
      <c r="BA270" s="34">
        <v>0</v>
      </c>
      <c r="BB270" s="34">
        <v>16</v>
      </c>
      <c r="BD270" s="34">
        <v>1</v>
      </c>
      <c r="BE270" s="34">
        <v>0</v>
      </c>
      <c r="BF270" s="34">
        <v>1</v>
      </c>
      <c r="BG270" s="34" t="str">
        <v/>
      </c>
      <c r="BH270" s="34" t="str">
        <v/>
      </c>
      <c r="BI270" s="34" t="str">
        <v/>
      </c>
      <c r="BJ270" s="34" t="str">
        <v/>
      </c>
      <c r="BK270" s="34" t="str">
        <v>SOCKET</v>
      </c>
      <c r="BL270" s="34">
        <v>1</v>
      </c>
      <c r="BM270" s="34" t="str">
        <v/>
      </c>
      <c r="BN270" s="34" t="str">
        <v/>
      </c>
      <c r="BO270" s="34" t="str">
        <v/>
      </c>
      <c r="BP270" s="34" t="str">
        <v/>
      </c>
      <c r="BQ270" s="34" t="str">
        <v>3х2,5</v>
      </c>
      <c r="BR270" s="34" t="str">
        <v/>
      </c>
      <c r="BS270" s="34" t="str">
        <v/>
      </c>
      <c r="BT270" s="34" t="str">
        <v/>
      </c>
      <c r="BU270" s="34">
        <v>0</v>
      </c>
      <c r="BV270" s="34">
        <v>291</v>
      </c>
      <c r="BW270" s="34">
        <v>1</v>
      </c>
      <c r="BX270" s="34">
        <v>0</v>
      </c>
      <c r="BY270" s="34" t="str">
        <v>Розетка</v>
      </c>
      <c r="BZ270">
        <v>11</v>
      </c>
      <c r="CA270" t="str">
        <v>линии</v>
      </c>
    </row>
    <row r="271" spans="1:79" x14ac:dyDescent="0.3">
      <c r="A271" s="39" t="str">
        <v>ЩР-2</v>
      </c>
      <c r="B271" s="42">
        <v>21</v>
      </c>
      <c r="C271" s="42">
        <v>2</v>
      </c>
      <c r="D271" s="75" t="str">
        <v/>
      </c>
      <c r="E271" s="75" t="str">
        <v>авто</v>
      </c>
      <c r="F271" s="76">
        <v>30</v>
      </c>
      <c r="G271" s="47" t="str">
        <v>QFD11</v>
      </c>
      <c r="H271" s="47" t="str">
        <v>2P С16А 30мА</v>
      </c>
      <c r="I271" s="75" t="str">
        <v/>
      </c>
      <c r="J271" s="76" t="str">
        <v/>
      </c>
      <c r="K271" s="76" t="str">
        <v/>
      </c>
      <c r="L271" s="75" t="str">
        <v/>
      </c>
      <c r="M271" s="49" t="str">
        <v/>
      </c>
      <c r="N271" s="76" t="str">
        <v/>
      </c>
      <c r="O271" s="49" t="str">
        <v/>
      </c>
      <c r="P271" s="77" t="str">
        <v/>
      </c>
      <c r="Q271" s="53" t="str">
        <v>ВВГнг(А)-LS (3х2,5) L=65-1,19%</v>
      </c>
      <c r="R271" s="54" t="str">
        <v>R.2.014А.1</v>
      </c>
      <c r="S271" s="55" t="str">
        <v>Розеточная группа Второй этаж Пом. №013А, 012А</v>
      </c>
      <c r="T271" s="56">
        <v>0.54</v>
      </c>
      <c r="U271" s="56">
        <v>2.4699999999999998</v>
      </c>
      <c r="V271" s="42" t="str">
        <v>L3</v>
      </c>
      <c r="W271" s="57" t="str">
        <v>ok</v>
      </c>
      <c r="X271" s="58" t="str">
        <v/>
      </c>
      <c r="Y271" s="75" t="str">
        <v/>
      </c>
      <c r="Z271" s="59">
        <v>2.4613353581241939</v>
      </c>
      <c r="AA271" s="61">
        <v>16</v>
      </c>
      <c r="AB271" s="61">
        <v>25</v>
      </c>
      <c r="AC271" s="61" t="str">
        <v/>
      </c>
      <c r="AD271" s="62" t="str">
        <v>QFD11</v>
      </c>
      <c r="AE271" s="62" t="str">
        <v/>
      </c>
      <c r="AF271" s="34">
        <v>11</v>
      </c>
      <c r="AG271" s="34" t="str">
        <v>QFD11</v>
      </c>
      <c r="AH271" s="34" t="str">
        <v/>
      </c>
      <c r="AI271" s="34" t="str">
        <v/>
      </c>
      <c r="AJ271" s="34" t="str">
        <v>QFD11</v>
      </c>
      <c r="AK271" s="34">
        <v>1</v>
      </c>
      <c r="AL271" s="34" t="str">
        <v>R</v>
      </c>
      <c r="AM271" s="34">
        <v>30</v>
      </c>
      <c r="AN271" s="34">
        <v>0</v>
      </c>
      <c r="AO271" s="34">
        <v>16</v>
      </c>
      <c r="AP271" s="34">
        <v>25</v>
      </c>
      <c r="AQ271" s="34">
        <v>16</v>
      </c>
      <c r="AR271" s="34">
        <v>1</v>
      </c>
      <c r="AS271" s="34">
        <v>1</v>
      </c>
      <c r="AT271" s="34" t="str">
        <v>2P</v>
      </c>
      <c r="AU271" s="34">
        <v>16</v>
      </c>
      <c r="AV271" s="34" t="str">
        <v/>
      </c>
      <c r="AW271" s="34" t="str">
        <v/>
      </c>
      <c r="AX271" s="34" t="str">
        <v/>
      </c>
      <c r="AY271" s="34">
        <v>1</v>
      </c>
      <c r="AZ271" s="34" t="str">
        <v/>
      </c>
      <c r="BA271" s="34">
        <v>0</v>
      </c>
      <c r="BB271" s="34">
        <v>16</v>
      </c>
      <c r="BD271" s="34">
        <v>1</v>
      </c>
      <c r="BE271" s="34">
        <v>0</v>
      </c>
      <c r="BF271" s="34">
        <v>1</v>
      </c>
      <c r="BG271" s="34" t="str">
        <v/>
      </c>
      <c r="BH271" s="34" t="str">
        <v/>
      </c>
      <c r="BI271" s="34" t="str">
        <v/>
      </c>
      <c r="BJ271" s="34" t="str">
        <v/>
      </c>
      <c r="BK271" s="34" t="str">
        <v>SOCKET</v>
      </c>
      <c r="BL271" s="34">
        <v>1</v>
      </c>
      <c r="BM271" s="34" t="str">
        <v/>
      </c>
      <c r="BN271" s="34" t="str">
        <v/>
      </c>
      <c r="BO271" s="34" t="str">
        <v/>
      </c>
      <c r="BP271" s="34" t="str">
        <v/>
      </c>
      <c r="BQ271" s="34" t="str">
        <v>3х2,5</v>
      </c>
      <c r="BR271" s="34" t="str">
        <v/>
      </c>
      <c r="BS271" s="34" t="str">
        <v/>
      </c>
      <c r="BT271" s="34" t="str">
        <v/>
      </c>
      <c r="BU271" s="34">
        <v>0</v>
      </c>
      <c r="BV271" s="34">
        <v>292</v>
      </c>
      <c r="BW271" s="34">
        <v>1</v>
      </c>
      <c r="BX271" s="34">
        <v>0</v>
      </c>
      <c r="BY271" s="34" t="str">
        <v>Розетка</v>
      </c>
      <c r="BZ271">
        <v>11</v>
      </c>
      <c r="CA271" t="str">
        <v>линии</v>
      </c>
    </row>
    <row r="272" spans="1:79" x14ac:dyDescent="0.3">
      <c r="A272" s="39" t="str">
        <v>ЩР-2</v>
      </c>
      <c r="B272" s="42">
        <v>22</v>
      </c>
      <c r="C272" s="42">
        <v>2</v>
      </c>
      <c r="D272" s="75" t="str">
        <v/>
      </c>
      <c r="E272" s="75" t="str">
        <v>авто</v>
      </c>
      <c r="F272" s="76">
        <v>30</v>
      </c>
      <c r="G272" s="47" t="str">
        <v>QFD12</v>
      </c>
      <c r="H272" s="47" t="str">
        <v>2P С16А 30мА</v>
      </c>
      <c r="I272" s="75" t="str">
        <v/>
      </c>
      <c r="J272" s="76" t="str">
        <v/>
      </c>
      <c r="K272" s="76" t="str">
        <v/>
      </c>
      <c r="L272" s="75" t="str">
        <v/>
      </c>
      <c r="M272" s="49" t="str">
        <v/>
      </c>
      <c r="N272" s="76" t="str">
        <v/>
      </c>
      <c r="O272" s="49" t="str">
        <v/>
      </c>
      <c r="P272" s="77" t="str">
        <v/>
      </c>
      <c r="Q272" s="53" t="str">
        <v>ВВГнг(А)-LS (3х2,5) L=50-0,31%</v>
      </c>
      <c r="R272" s="54" t="str">
        <v>R.2.014А.2</v>
      </c>
      <c r="S272" s="55" t="str">
        <v>Розеточная группа, пом. 014А</v>
      </c>
      <c r="T272" s="56">
        <v>0.18</v>
      </c>
      <c r="U272" s="56">
        <v>0.83</v>
      </c>
      <c r="V272" s="42" t="str">
        <v>L2</v>
      </c>
      <c r="W272" s="57" t="str">
        <v>ok</v>
      </c>
      <c r="X272" s="58" t="str">
        <v/>
      </c>
      <c r="Y272" s="75" t="str">
        <v/>
      </c>
      <c r="Z272" s="59">
        <v>0.8204451193747313</v>
      </c>
      <c r="AA272" s="61">
        <v>16</v>
      </c>
      <c r="AB272" s="61">
        <v>25</v>
      </c>
      <c r="AC272" s="61" t="str">
        <v/>
      </c>
      <c r="AD272" s="62" t="str">
        <v>QFD12</v>
      </c>
      <c r="AE272" s="62" t="str">
        <v/>
      </c>
      <c r="AF272" s="34">
        <v>12</v>
      </c>
      <c r="AG272" s="34" t="str">
        <v>QFD12</v>
      </c>
      <c r="AH272" s="34" t="str">
        <v/>
      </c>
      <c r="AI272" s="34" t="str">
        <v/>
      </c>
      <c r="AJ272" s="34" t="str">
        <v>QFD12</v>
      </c>
      <c r="AK272" s="34">
        <v>1</v>
      </c>
      <c r="AL272" s="34" t="str">
        <v>R</v>
      </c>
      <c r="AM272" s="34">
        <v>30</v>
      </c>
      <c r="AN272" s="34">
        <v>0</v>
      </c>
      <c r="AO272" s="34">
        <v>16</v>
      </c>
      <c r="AP272" s="34">
        <v>25</v>
      </c>
      <c r="AQ272" s="34">
        <v>16</v>
      </c>
      <c r="AR272" s="34">
        <v>1</v>
      </c>
      <c r="AS272" s="34">
        <v>1</v>
      </c>
      <c r="AT272" s="34" t="str">
        <v>2P</v>
      </c>
      <c r="AU272" s="34">
        <v>16</v>
      </c>
      <c r="AV272" s="34" t="str">
        <v/>
      </c>
      <c r="AW272" s="34" t="str">
        <v/>
      </c>
      <c r="AX272" s="34" t="str">
        <v/>
      </c>
      <c r="AY272" s="34">
        <v>1</v>
      </c>
      <c r="AZ272" s="34" t="str">
        <v/>
      </c>
      <c r="BA272" s="34">
        <v>0</v>
      </c>
      <c r="BB272" s="34">
        <v>16</v>
      </c>
      <c r="BD272" s="34">
        <v>1</v>
      </c>
      <c r="BE272" s="34">
        <v>0</v>
      </c>
      <c r="BF272" s="34">
        <v>1</v>
      </c>
      <c r="BG272" s="34" t="str">
        <v/>
      </c>
      <c r="BH272" s="34" t="str">
        <v/>
      </c>
      <c r="BI272" s="34" t="str">
        <v/>
      </c>
      <c r="BJ272" s="34" t="str">
        <v/>
      </c>
      <c r="BK272" s="34" t="str">
        <v>SOCKET</v>
      </c>
      <c r="BL272" s="34">
        <v>1</v>
      </c>
      <c r="BM272" s="34" t="str">
        <v/>
      </c>
      <c r="BN272" s="34" t="str">
        <v/>
      </c>
      <c r="BO272" s="34" t="str">
        <v/>
      </c>
      <c r="BP272" s="34" t="str">
        <v/>
      </c>
      <c r="BQ272" s="34" t="str">
        <v>3х2,5</v>
      </c>
      <c r="BR272" s="34" t="str">
        <v/>
      </c>
      <c r="BS272" s="34" t="str">
        <v/>
      </c>
      <c r="BT272" s="34" t="str">
        <v/>
      </c>
      <c r="BU272" s="34">
        <v>0</v>
      </c>
      <c r="BV272" s="34">
        <v>293</v>
      </c>
      <c r="BW272" s="34">
        <v>1</v>
      </c>
      <c r="BX272" s="34">
        <v>0</v>
      </c>
      <c r="BY272" s="34" t="str">
        <v>Розетка</v>
      </c>
      <c r="BZ272">
        <v>11</v>
      </c>
      <c r="CA272" t="str">
        <v>линии</v>
      </c>
    </row>
    <row r="273" spans="1:79" x14ac:dyDescent="0.3">
      <c r="A273" s="39" t="str">
        <v>ЩР-2</v>
      </c>
      <c r="B273" s="42">
        <v>23</v>
      </c>
      <c r="C273" s="42">
        <v>2</v>
      </c>
      <c r="D273" s="75" t="str">
        <v/>
      </c>
      <c r="E273" s="75" t="str">
        <v>авто</v>
      </c>
      <c r="F273" s="76">
        <v>30</v>
      </c>
      <c r="G273" s="47" t="str">
        <v>QFD13</v>
      </c>
      <c r="H273" s="47" t="str">
        <v>2P С16А 30мА</v>
      </c>
      <c r="I273" s="75" t="str">
        <v/>
      </c>
      <c r="J273" s="76" t="str">
        <v/>
      </c>
      <c r="K273" s="76" t="str">
        <v/>
      </c>
      <c r="L273" s="75" t="str">
        <v/>
      </c>
      <c r="M273" s="49" t="str">
        <v/>
      </c>
      <c r="N273" s="76" t="str">
        <v/>
      </c>
      <c r="O273" s="49" t="str">
        <v/>
      </c>
      <c r="P273" s="77" t="str">
        <v/>
      </c>
      <c r="Q273" s="53" t="str">
        <v>ВВГнг(А)-LS (3х2,5) L=39-0,16%</v>
      </c>
      <c r="R273" s="54" t="str">
        <v>R.2.015А.1</v>
      </c>
      <c r="S273" s="55" t="str">
        <v>Розеточная группа, пом. 015А</v>
      </c>
      <c r="T273" s="56">
        <v>0.12</v>
      </c>
      <c r="U273" s="56">
        <v>0.55000000000000004</v>
      </c>
      <c r="V273" s="42" t="str">
        <v>L3</v>
      </c>
      <c r="W273" s="57" t="str">
        <v>ok</v>
      </c>
      <c r="X273" s="58" t="str">
        <v/>
      </c>
      <c r="Y273" s="75" t="str">
        <v/>
      </c>
      <c r="Z273" s="59">
        <v>0.54696341291648753</v>
      </c>
      <c r="AA273" s="61">
        <v>16</v>
      </c>
      <c r="AB273" s="61">
        <v>25</v>
      </c>
      <c r="AC273" s="61" t="str">
        <v/>
      </c>
      <c r="AD273" s="62" t="str">
        <v>QFD13</v>
      </c>
      <c r="AE273" s="62" t="str">
        <v/>
      </c>
      <c r="AF273" s="34">
        <v>13</v>
      </c>
      <c r="AG273" s="34" t="str">
        <v>QFD13</v>
      </c>
      <c r="AH273" s="34" t="str">
        <v/>
      </c>
      <c r="AI273" s="34" t="str">
        <v/>
      </c>
      <c r="AJ273" s="34" t="str">
        <v>QFD13</v>
      </c>
      <c r="AK273" s="34">
        <v>1</v>
      </c>
      <c r="AL273" s="34" t="str">
        <v>R</v>
      </c>
      <c r="AM273" s="34">
        <v>30</v>
      </c>
      <c r="AN273" s="34">
        <v>0</v>
      </c>
      <c r="AO273" s="34">
        <v>16</v>
      </c>
      <c r="AP273" s="34">
        <v>25</v>
      </c>
      <c r="AQ273" s="34">
        <v>16</v>
      </c>
      <c r="AR273" s="34">
        <v>1</v>
      </c>
      <c r="AS273" s="34">
        <v>1</v>
      </c>
      <c r="AT273" s="34" t="str">
        <v>2P</v>
      </c>
      <c r="AU273" s="34">
        <v>16</v>
      </c>
      <c r="AV273" s="34" t="str">
        <v/>
      </c>
      <c r="AW273" s="34" t="str">
        <v/>
      </c>
      <c r="AX273" s="34" t="str">
        <v/>
      </c>
      <c r="AY273" s="34">
        <v>1</v>
      </c>
      <c r="AZ273" s="34" t="str">
        <v/>
      </c>
      <c r="BA273" s="34">
        <v>0</v>
      </c>
      <c r="BB273" s="34">
        <v>16</v>
      </c>
      <c r="BD273" s="34">
        <v>1</v>
      </c>
      <c r="BE273" s="34">
        <v>0</v>
      </c>
      <c r="BF273" s="34">
        <v>1</v>
      </c>
      <c r="BG273" s="34" t="str">
        <v/>
      </c>
      <c r="BH273" s="34" t="str">
        <v/>
      </c>
      <c r="BI273" s="34" t="str">
        <v/>
      </c>
      <c r="BJ273" s="34" t="str">
        <v/>
      </c>
      <c r="BK273" s="34" t="str">
        <v>SOCKET</v>
      </c>
      <c r="BL273" s="34">
        <v>1</v>
      </c>
      <c r="BM273" s="34" t="str">
        <v/>
      </c>
      <c r="BN273" s="34" t="str">
        <v/>
      </c>
      <c r="BO273" s="34" t="str">
        <v/>
      </c>
      <c r="BP273" s="34" t="str">
        <v/>
      </c>
      <c r="BQ273" s="34" t="str">
        <v>3х2,5</v>
      </c>
      <c r="BR273" s="34" t="str">
        <v/>
      </c>
      <c r="BS273" s="34" t="str">
        <v/>
      </c>
      <c r="BT273" s="34" t="str">
        <v/>
      </c>
      <c r="BU273" s="34">
        <v>0</v>
      </c>
      <c r="BV273" s="34">
        <v>294</v>
      </c>
      <c r="BW273" s="34">
        <v>1</v>
      </c>
      <c r="BX273" s="34">
        <v>0</v>
      </c>
      <c r="BY273" s="34" t="str">
        <v>Розетка</v>
      </c>
      <c r="BZ273">
        <v>11</v>
      </c>
      <c r="CA273" t="str">
        <v>линии</v>
      </c>
    </row>
    <row r="274" spans="1:79" x14ac:dyDescent="0.3">
      <c r="A274" s="39" t="str">
        <v>ЩР-2</v>
      </c>
      <c r="B274" s="42">
        <v>24</v>
      </c>
      <c r="C274" s="42">
        <v>2</v>
      </c>
      <c r="D274" s="75" t="str">
        <v/>
      </c>
      <c r="E274" s="75" t="str">
        <v>авто</v>
      </c>
      <c r="F274" s="76">
        <v>30</v>
      </c>
      <c r="G274" s="47" t="str">
        <v>QFD14</v>
      </c>
      <c r="H274" s="47" t="str">
        <v>2P С16А 30мА</v>
      </c>
      <c r="I274" s="75" t="str">
        <v/>
      </c>
      <c r="J274" s="76" t="str">
        <v/>
      </c>
      <c r="K274" s="76" t="str">
        <v/>
      </c>
      <c r="L274" s="75" t="str">
        <v/>
      </c>
      <c r="M274" s="49" t="str">
        <v/>
      </c>
      <c r="N274" s="76" t="str">
        <v/>
      </c>
      <c r="O274" s="49" t="str">
        <v/>
      </c>
      <c r="P274" s="77" t="str">
        <v/>
      </c>
      <c r="Q274" s="53" t="str">
        <v>ВВГнг(А)-LS (3х2,5) L=34-0,07%</v>
      </c>
      <c r="R274" s="54" t="str">
        <v>R.2.016А.1</v>
      </c>
      <c r="S274" s="55" t="str">
        <v>Розеточная группа, пом. 016А</v>
      </c>
      <c r="T274" s="56">
        <v>0.06</v>
      </c>
      <c r="U274" s="56">
        <v>0.28000000000000003</v>
      </c>
      <c r="V274" s="42" t="str">
        <v>L2</v>
      </c>
      <c r="W274" s="57" t="str">
        <v>ok</v>
      </c>
      <c r="X274" s="58" t="str">
        <v/>
      </c>
      <c r="Y274" s="75" t="str">
        <v/>
      </c>
      <c r="Z274" s="59">
        <v>0.27348170645824377</v>
      </c>
      <c r="AA274" s="61">
        <v>16</v>
      </c>
      <c r="AB274" s="61">
        <v>25</v>
      </c>
      <c r="AC274" s="61" t="str">
        <v/>
      </c>
      <c r="AD274" s="62" t="str">
        <v>QFD14</v>
      </c>
      <c r="AE274" s="62" t="str">
        <v/>
      </c>
      <c r="AF274" s="34">
        <v>14</v>
      </c>
      <c r="AG274" s="34" t="str">
        <v>QFD14</v>
      </c>
      <c r="AH274" s="34" t="str">
        <v/>
      </c>
      <c r="AI274" s="34" t="str">
        <v/>
      </c>
      <c r="AJ274" s="34" t="str">
        <v>QFD14</v>
      </c>
      <c r="AK274" s="34">
        <v>1</v>
      </c>
      <c r="AL274" s="34" t="str">
        <v>R</v>
      </c>
      <c r="AM274" s="34">
        <v>30</v>
      </c>
      <c r="AN274" s="34">
        <v>0</v>
      </c>
      <c r="AO274" s="34">
        <v>16</v>
      </c>
      <c r="AP274" s="34">
        <v>25</v>
      </c>
      <c r="AQ274" s="34">
        <v>16</v>
      </c>
      <c r="AR274" s="34">
        <v>1</v>
      </c>
      <c r="AS274" s="34">
        <v>1</v>
      </c>
      <c r="AT274" s="34" t="str">
        <v>2P</v>
      </c>
      <c r="AU274" s="34">
        <v>16</v>
      </c>
      <c r="AV274" s="34" t="str">
        <v/>
      </c>
      <c r="AW274" s="34" t="str">
        <v/>
      </c>
      <c r="AX274" s="34" t="str">
        <v/>
      </c>
      <c r="AY274" s="34">
        <v>1</v>
      </c>
      <c r="AZ274" s="34" t="str">
        <v/>
      </c>
      <c r="BA274" s="34">
        <v>0</v>
      </c>
      <c r="BB274" s="34">
        <v>16</v>
      </c>
      <c r="BD274" s="34">
        <v>1</v>
      </c>
      <c r="BE274" s="34">
        <v>0</v>
      </c>
      <c r="BF274" s="34">
        <v>1</v>
      </c>
      <c r="BG274" s="34" t="str">
        <v/>
      </c>
      <c r="BH274" s="34" t="str">
        <v/>
      </c>
      <c r="BI274" s="34" t="str">
        <v/>
      </c>
      <c r="BJ274" s="34" t="str">
        <v/>
      </c>
      <c r="BK274" s="34" t="str">
        <v>SOCKET</v>
      </c>
      <c r="BL274" s="34">
        <v>1</v>
      </c>
      <c r="BM274" s="34" t="str">
        <v/>
      </c>
      <c r="BN274" s="34" t="str">
        <v/>
      </c>
      <c r="BO274" s="34" t="str">
        <v/>
      </c>
      <c r="BP274" s="34" t="str">
        <v/>
      </c>
      <c r="BQ274" s="34" t="str">
        <v>3х2,5</v>
      </c>
      <c r="BR274" s="34" t="str">
        <v/>
      </c>
      <c r="BS274" s="34" t="str">
        <v/>
      </c>
      <c r="BT274" s="34" t="str">
        <v/>
      </c>
      <c r="BU274" s="34">
        <v>0</v>
      </c>
      <c r="BV274" s="34">
        <v>295</v>
      </c>
      <c r="BW274" s="34">
        <v>1</v>
      </c>
      <c r="BX274" s="34">
        <v>0</v>
      </c>
      <c r="BY274" s="34" t="str">
        <v>Розетка</v>
      </c>
      <c r="BZ274">
        <v>11</v>
      </c>
      <c r="CA274" t="str">
        <v>линии</v>
      </c>
    </row>
    <row r="275" spans="1:79" x14ac:dyDescent="0.3">
      <c r="A275" s="39" t="str">
        <v>ЩР-2</v>
      </c>
      <c r="B275" s="42">
        <v>25</v>
      </c>
      <c r="C275" s="42">
        <v>2</v>
      </c>
      <c r="D275" s="75" t="str">
        <v/>
      </c>
      <c r="E275" s="75" t="str">
        <v>авто</v>
      </c>
      <c r="F275" s="76">
        <v>30</v>
      </c>
      <c r="G275" s="47" t="str">
        <v>QFD15</v>
      </c>
      <c r="H275" s="47" t="str">
        <v>2P С16А 30мА</v>
      </c>
      <c r="I275" s="75" t="str">
        <v/>
      </c>
      <c r="J275" s="76" t="str">
        <v/>
      </c>
      <c r="K275" s="76" t="str">
        <v/>
      </c>
      <c r="L275" s="75" t="str">
        <v/>
      </c>
      <c r="M275" s="49" t="str">
        <v/>
      </c>
      <c r="N275" s="76" t="str">
        <v/>
      </c>
      <c r="O275" s="49" t="str">
        <v/>
      </c>
      <c r="P275" s="77" t="str">
        <v/>
      </c>
      <c r="Q275" s="53" t="str">
        <v>ВВГнг(А)-LS (3х2,5) L=54-0,77%</v>
      </c>
      <c r="R275" s="54" t="str">
        <v>R.2.017А.1</v>
      </c>
      <c r="S275" s="55" t="str">
        <v>Розеточная группа, пом. 017А</v>
      </c>
      <c r="T275" s="56">
        <v>0.42</v>
      </c>
      <c r="U275" s="56">
        <v>1.92</v>
      </c>
      <c r="V275" s="42" t="str">
        <v>L2</v>
      </c>
      <c r="W275" s="57" t="str">
        <v>ok</v>
      </c>
      <c r="X275" s="58" t="str">
        <v/>
      </c>
      <c r="Y275" s="75" t="str">
        <v/>
      </c>
      <c r="Z275" s="59">
        <v>1.9143719452077064</v>
      </c>
      <c r="AA275" s="61">
        <v>16</v>
      </c>
      <c r="AB275" s="61">
        <v>25</v>
      </c>
      <c r="AC275" s="61" t="str">
        <v/>
      </c>
      <c r="AD275" s="62" t="str">
        <v>QFD15</v>
      </c>
      <c r="AE275" s="62" t="str">
        <v/>
      </c>
      <c r="AF275" s="34">
        <v>15</v>
      </c>
      <c r="AG275" s="34" t="str">
        <v>QFD15</v>
      </c>
      <c r="AH275" s="34" t="str">
        <v/>
      </c>
      <c r="AI275" s="34" t="str">
        <v/>
      </c>
      <c r="AJ275" s="34" t="str">
        <v>QFD15</v>
      </c>
      <c r="AK275" s="34">
        <v>1</v>
      </c>
      <c r="AL275" s="34" t="str">
        <v>R</v>
      </c>
      <c r="AM275" s="34">
        <v>30</v>
      </c>
      <c r="AN275" s="34">
        <v>0</v>
      </c>
      <c r="AO275" s="34">
        <v>16</v>
      </c>
      <c r="AP275" s="34">
        <v>25</v>
      </c>
      <c r="AQ275" s="34">
        <v>16</v>
      </c>
      <c r="AR275" s="34">
        <v>1</v>
      </c>
      <c r="AS275" s="34">
        <v>1</v>
      </c>
      <c r="AT275" s="34" t="str">
        <v>2P</v>
      </c>
      <c r="AU275" s="34">
        <v>16</v>
      </c>
      <c r="AV275" s="34" t="str">
        <v/>
      </c>
      <c r="AW275" s="34" t="str">
        <v/>
      </c>
      <c r="AX275" s="34" t="str">
        <v/>
      </c>
      <c r="AY275" s="34">
        <v>1</v>
      </c>
      <c r="AZ275" s="34" t="str">
        <v/>
      </c>
      <c r="BA275" s="34">
        <v>0</v>
      </c>
      <c r="BB275" s="34">
        <v>16</v>
      </c>
      <c r="BD275" s="34">
        <v>1</v>
      </c>
      <c r="BE275" s="34">
        <v>0</v>
      </c>
      <c r="BF275" s="34">
        <v>1</v>
      </c>
      <c r="BG275" s="34" t="str">
        <v/>
      </c>
      <c r="BH275" s="34" t="str">
        <v/>
      </c>
      <c r="BI275" s="34" t="str">
        <v/>
      </c>
      <c r="BJ275" s="34" t="str">
        <v/>
      </c>
      <c r="BK275" s="34" t="str">
        <v>SOCKET</v>
      </c>
      <c r="BL275" s="34">
        <v>1</v>
      </c>
      <c r="BM275" s="34" t="str">
        <v/>
      </c>
      <c r="BN275" s="34" t="str">
        <v/>
      </c>
      <c r="BO275" s="34" t="str">
        <v/>
      </c>
      <c r="BP275" s="34" t="str">
        <v/>
      </c>
      <c r="BQ275" s="34" t="str">
        <v>3х2,5</v>
      </c>
      <c r="BR275" s="34" t="str">
        <v/>
      </c>
      <c r="BS275" s="34" t="str">
        <v/>
      </c>
      <c r="BT275" s="34" t="str">
        <v/>
      </c>
      <c r="BU275" s="34">
        <v>0</v>
      </c>
      <c r="BV275" s="34">
        <v>296</v>
      </c>
      <c r="BW275" s="34">
        <v>1</v>
      </c>
      <c r="BX275" s="34">
        <v>0</v>
      </c>
      <c r="BY275" s="34" t="str">
        <v>Розетка</v>
      </c>
      <c r="BZ275">
        <v>11</v>
      </c>
      <c r="CA275" t="str">
        <v>линии</v>
      </c>
    </row>
    <row r="276" spans="1:79" x14ac:dyDescent="0.3">
      <c r="A276" s="39" t="str">
        <v>ЩР-2</v>
      </c>
      <c r="B276" s="42">
        <v>26</v>
      </c>
      <c r="C276" s="42">
        <v>2</v>
      </c>
      <c r="D276" s="75" t="str">
        <v/>
      </c>
      <c r="E276" s="75" t="str">
        <v>авто</v>
      </c>
      <c r="F276" s="76">
        <v>30</v>
      </c>
      <c r="G276" s="47" t="str">
        <v>QFD16</v>
      </c>
      <c r="H276" s="47" t="str">
        <v>2P С16А 30мА</v>
      </c>
      <c r="I276" s="75" t="str">
        <v/>
      </c>
      <c r="J276" s="76" t="str">
        <v/>
      </c>
      <c r="K276" s="76" t="str">
        <v/>
      </c>
      <c r="L276" s="75" t="str">
        <v/>
      </c>
      <c r="M276" s="49" t="str">
        <v/>
      </c>
      <c r="N276" s="76" t="str">
        <v/>
      </c>
      <c r="O276" s="49" t="str">
        <v/>
      </c>
      <c r="P276" s="77" t="str">
        <v/>
      </c>
      <c r="Q276" s="53" t="str">
        <v>ВВГнг(А)-LS (3х2,5) L=55-0,45%</v>
      </c>
      <c r="R276" s="54" t="str">
        <v>R.2.019А.1</v>
      </c>
      <c r="S276" s="55" t="str">
        <v>Розеточная группа, пом. 019А</v>
      </c>
      <c r="T276" s="56">
        <v>0.24</v>
      </c>
      <c r="U276" s="56">
        <v>1.1000000000000001</v>
      </c>
      <c r="V276" s="42" t="str">
        <v>L3</v>
      </c>
      <c r="W276" s="57" t="str">
        <v>ok</v>
      </c>
      <c r="X276" s="58" t="str">
        <v/>
      </c>
      <c r="Y276" s="75" t="str">
        <v/>
      </c>
      <c r="Z276" s="59">
        <v>1.0939268258329751</v>
      </c>
      <c r="AA276" s="61">
        <v>16</v>
      </c>
      <c r="AB276" s="61">
        <v>25</v>
      </c>
      <c r="AC276" s="61" t="str">
        <v/>
      </c>
      <c r="AD276" s="62" t="str">
        <v>QFD16</v>
      </c>
      <c r="AE276" s="62" t="str">
        <v/>
      </c>
      <c r="AF276" s="34">
        <v>16</v>
      </c>
      <c r="AG276" s="34" t="str">
        <v>QFD16</v>
      </c>
      <c r="AH276" s="34" t="str">
        <v/>
      </c>
      <c r="AI276" s="34" t="str">
        <v/>
      </c>
      <c r="AJ276" s="34" t="str">
        <v>QFD16</v>
      </c>
      <c r="AK276" s="34">
        <v>1</v>
      </c>
      <c r="AL276" s="34" t="str">
        <v>R</v>
      </c>
      <c r="AM276" s="34">
        <v>30</v>
      </c>
      <c r="AN276" s="34">
        <v>0</v>
      </c>
      <c r="AO276" s="34">
        <v>16</v>
      </c>
      <c r="AP276" s="34">
        <v>25</v>
      </c>
      <c r="AQ276" s="34">
        <v>16</v>
      </c>
      <c r="AR276" s="34">
        <v>1</v>
      </c>
      <c r="AS276" s="34">
        <v>1</v>
      </c>
      <c r="AT276" s="34" t="str">
        <v>2P</v>
      </c>
      <c r="AU276" s="34">
        <v>16</v>
      </c>
      <c r="AV276" s="34" t="str">
        <v/>
      </c>
      <c r="AW276" s="34" t="str">
        <v/>
      </c>
      <c r="AX276" s="34" t="str">
        <v/>
      </c>
      <c r="AY276" s="34">
        <v>1</v>
      </c>
      <c r="AZ276" s="34" t="str">
        <v/>
      </c>
      <c r="BA276" s="34">
        <v>0</v>
      </c>
      <c r="BB276" s="34">
        <v>16</v>
      </c>
      <c r="BD276" s="34">
        <v>1</v>
      </c>
      <c r="BE276" s="34">
        <v>0</v>
      </c>
      <c r="BF276" s="34">
        <v>1</v>
      </c>
      <c r="BG276" s="34" t="str">
        <v/>
      </c>
      <c r="BH276" s="34" t="str">
        <v/>
      </c>
      <c r="BI276" s="34" t="str">
        <v/>
      </c>
      <c r="BJ276" s="34" t="str">
        <v/>
      </c>
      <c r="BK276" s="34" t="str">
        <v>SOCKET</v>
      </c>
      <c r="BL276" s="34">
        <v>1</v>
      </c>
      <c r="BM276" s="34" t="str">
        <v/>
      </c>
      <c r="BN276" s="34" t="str">
        <v/>
      </c>
      <c r="BO276" s="34" t="str">
        <v/>
      </c>
      <c r="BP276" s="34" t="str">
        <v/>
      </c>
      <c r="BQ276" s="34" t="str">
        <v>3х2,5</v>
      </c>
      <c r="BR276" s="34" t="str">
        <v/>
      </c>
      <c r="BS276" s="34" t="str">
        <v/>
      </c>
      <c r="BT276" s="34" t="str">
        <v/>
      </c>
      <c r="BU276" s="34">
        <v>0</v>
      </c>
      <c r="BV276" s="34">
        <v>297</v>
      </c>
      <c r="BW276" s="34">
        <v>1</v>
      </c>
      <c r="BX276" s="34">
        <v>0</v>
      </c>
      <c r="BY276" s="34" t="str">
        <v>Розетка</v>
      </c>
      <c r="BZ276">
        <v>11</v>
      </c>
      <c r="CA276" t="str">
        <v>линии</v>
      </c>
    </row>
    <row r="277" spans="1:79" x14ac:dyDescent="0.3">
      <c r="A277" s="39" t="str">
        <v>ЩР-2</v>
      </c>
      <c r="B277" s="42">
        <v>27</v>
      </c>
      <c r="C277" s="42">
        <v>2</v>
      </c>
      <c r="D277" s="75" t="str">
        <v/>
      </c>
      <c r="E277" s="75" t="str">
        <v>авто</v>
      </c>
      <c r="F277" s="76">
        <v>30</v>
      </c>
      <c r="G277" s="47" t="str">
        <v>QFD17</v>
      </c>
      <c r="H277" s="47" t="str">
        <v>2P С16А 30мА</v>
      </c>
      <c r="I277" s="75" t="str">
        <v/>
      </c>
      <c r="J277" s="76" t="str">
        <v/>
      </c>
      <c r="K277" s="76" t="str">
        <v/>
      </c>
      <c r="L277" s="75" t="str">
        <v/>
      </c>
      <c r="M277" s="49" t="str">
        <v/>
      </c>
      <c r="N277" s="76" t="str">
        <v/>
      </c>
      <c r="O277" s="49" t="str">
        <v/>
      </c>
      <c r="P277" s="77" t="str">
        <v/>
      </c>
      <c r="Q277" s="53" t="str">
        <v>ВВГнг(А)-LS (3х2,5) L=88-1,97%</v>
      </c>
      <c r="R277" s="54" t="str">
        <v>R.2.019А.2</v>
      </c>
      <c r="S277" s="55" t="str">
        <v>Розеточная группа, пом. 019А</v>
      </c>
      <c r="T277" s="56">
        <v>0.65999999999999992</v>
      </c>
      <c r="U277" s="56">
        <v>3.01</v>
      </c>
      <c r="V277" s="42" t="str">
        <v>L3</v>
      </c>
      <c r="W277" s="57" t="str">
        <v>ok</v>
      </c>
      <c r="X277" s="58" t="str">
        <v/>
      </c>
      <c r="Y277" s="75" t="str">
        <v/>
      </c>
      <c r="Z277" s="59">
        <v>3.008298771040681</v>
      </c>
      <c r="AA277" s="61">
        <v>16</v>
      </c>
      <c r="AB277" s="61">
        <v>25</v>
      </c>
      <c r="AC277" s="61" t="str">
        <v/>
      </c>
      <c r="AD277" s="62" t="str">
        <v>QFD17</v>
      </c>
      <c r="AE277" s="62" t="str">
        <v/>
      </c>
      <c r="AF277" s="34">
        <v>17</v>
      </c>
      <c r="AG277" s="34" t="str">
        <v>QFD17</v>
      </c>
      <c r="AH277" s="34" t="str">
        <v/>
      </c>
      <c r="AI277" s="34" t="str">
        <v/>
      </c>
      <c r="AJ277" s="34" t="str">
        <v>QFD17</v>
      </c>
      <c r="AK277" s="34">
        <v>1</v>
      </c>
      <c r="AL277" s="34" t="str">
        <v>R</v>
      </c>
      <c r="AM277" s="34">
        <v>30</v>
      </c>
      <c r="AN277" s="34">
        <v>0</v>
      </c>
      <c r="AO277" s="34">
        <v>16</v>
      </c>
      <c r="AP277" s="34">
        <v>25</v>
      </c>
      <c r="AQ277" s="34">
        <v>16</v>
      </c>
      <c r="AR277" s="34">
        <v>1</v>
      </c>
      <c r="AS277" s="34">
        <v>1</v>
      </c>
      <c r="AT277" s="34" t="str">
        <v>2P</v>
      </c>
      <c r="AU277" s="34">
        <v>16</v>
      </c>
      <c r="AV277" s="34" t="str">
        <v/>
      </c>
      <c r="AW277" s="34" t="str">
        <v/>
      </c>
      <c r="AX277" s="34" t="str">
        <v/>
      </c>
      <c r="AY277" s="34">
        <v>1</v>
      </c>
      <c r="AZ277" s="34" t="str">
        <v/>
      </c>
      <c r="BA277" s="34">
        <v>0</v>
      </c>
      <c r="BB277" s="34">
        <v>16</v>
      </c>
      <c r="BD277" s="34">
        <v>1</v>
      </c>
      <c r="BE277" s="34">
        <v>0</v>
      </c>
      <c r="BF277" s="34">
        <v>1</v>
      </c>
      <c r="BG277" s="34" t="str">
        <v/>
      </c>
      <c r="BH277" s="34" t="str">
        <v/>
      </c>
      <c r="BI277" s="34" t="str">
        <v/>
      </c>
      <c r="BJ277" s="34" t="str">
        <v/>
      </c>
      <c r="BK277" s="34" t="str">
        <v>SOCKET</v>
      </c>
      <c r="BL277" s="34">
        <v>1</v>
      </c>
      <c r="BM277" s="34" t="str">
        <v/>
      </c>
      <c r="BN277" s="34" t="str">
        <v/>
      </c>
      <c r="BO277" s="34" t="str">
        <v/>
      </c>
      <c r="BP277" s="34" t="str">
        <v/>
      </c>
      <c r="BQ277" s="34" t="str">
        <v>3х2,5</v>
      </c>
      <c r="BR277" s="34" t="str">
        <v/>
      </c>
      <c r="BS277" s="34" t="str">
        <v/>
      </c>
      <c r="BT277" s="34" t="str">
        <v/>
      </c>
      <c r="BU277" s="34">
        <v>0</v>
      </c>
      <c r="BV277" s="34">
        <v>298</v>
      </c>
      <c r="BW277" s="34">
        <v>1</v>
      </c>
      <c r="BX277" s="34">
        <v>0</v>
      </c>
      <c r="BY277" s="34" t="str">
        <v>Розетка</v>
      </c>
      <c r="BZ277">
        <v>11</v>
      </c>
      <c r="CA277" t="str">
        <v>линии</v>
      </c>
    </row>
    <row r="278" spans="1:79" x14ac:dyDescent="0.3">
      <c r="A278" s="39" t="str">
        <v>ЩР-2</v>
      </c>
      <c r="B278" s="42">
        <v>28</v>
      </c>
      <c r="C278" s="42">
        <v>2</v>
      </c>
      <c r="D278" s="75" t="str">
        <v/>
      </c>
      <c r="E278" s="75" t="str">
        <v>авто</v>
      </c>
      <c r="F278" s="76">
        <v>30</v>
      </c>
      <c r="G278" s="47" t="str">
        <v>QFD18</v>
      </c>
      <c r="H278" s="47" t="str">
        <v>2P С16А 30мА</v>
      </c>
      <c r="I278" s="75" t="str">
        <v/>
      </c>
      <c r="J278" s="76" t="str">
        <v/>
      </c>
      <c r="K278" s="76" t="str">
        <v/>
      </c>
      <c r="L278" s="75" t="str">
        <v/>
      </c>
      <c r="M278" s="49" t="str">
        <v/>
      </c>
      <c r="N278" s="76" t="str">
        <v/>
      </c>
      <c r="O278" s="49" t="str">
        <v/>
      </c>
      <c r="P278" s="77" t="str">
        <v/>
      </c>
      <c r="Q278" s="53" t="str">
        <v>ВВГнг(А)-LS (3х2,5) L=63-0,39%</v>
      </c>
      <c r="R278" s="54" t="str">
        <v>R.2.020А.1</v>
      </c>
      <c r="S278" s="55" t="str">
        <v>Розеточная группа, пом. 020А</v>
      </c>
      <c r="T278" s="56">
        <v>0.18</v>
      </c>
      <c r="U278" s="56">
        <v>0.83</v>
      </c>
      <c r="V278" s="42" t="str">
        <v>L3</v>
      </c>
      <c r="W278" s="57" t="str">
        <v>ok</v>
      </c>
      <c r="X278" s="58" t="str">
        <v/>
      </c>
      <c r="Y278" s="75" t="str">
        <v/>
      </c>
      <c r="Z278" s="59">
        <v>0.8204451193747313</v>
      </c>
      <c r="AA278" s="61">
        <v>16</v>
      </c>
      <c r="AB278" s="61">
        <v>25</v>
      </c>
      <c r="AC278" s="61" t="str">
        <v/>
      </c>
      <c r="AD278" s="62" t="str">
        <v>QFD18</v>
      </c>
      <c r="AE278" s="62" t="str">
        <v/>
      </c>
      <c r="AF278" s="34">
        <v>18</v>
      </c>
      <c r="AG278" s="34" t="str">
        <v>QFD18</v>
      </c>
      <c r="AH278" s="34" t="str">
        <v/>
      </c>
      <c r="AI278" s="34" t="str">
        <v/>
      </c>
      <c r="AJ278" s="34" t="str">
        <v>QFD18</v>
      </c>
      <c r="AK278" s="34">
        <v>1</v>
      </c>
      <c r="AL278" s="34" t="str">
        <v>R</v>
      </c>
      <c r="AM278" s="34">
        <v>30</v>
      </c>
      <c r="AN278" s="34">
        <v>0</v>
      </c>
      <c r="AO278" s="34">
        <v>16</v>
      </c>
      <c r="AP278" s="34">
        <v>25</v>
      </c>
      <c r="AQ278" s="34">
        <v>16</v>
      </c>
      <c r="AR278" s="34">
        <v>1</v>
      </c>
      <c r="AS278" s="34">
        <v>1</v>
      </c>
      <c r="AT278" s="34" t="str">
        <v>2P</v>
      </c>
      <c r="AU278" s="34">
        <v>16</v>
      </c>
      <c r="AV278" s="34" t="str">
        <v/>
      </c>
      <c r="AW278" s="34" t="str">
        <v/>
      </c>
      <c r="AX278" s="34" t="str">
        <v/>
      </c>
      <c r="AY278" s="34">
        <v>1</v>
      </c>
      <c r="AZ278" s="34" t="str">
        <v/>
      </c>
      <c r="BA278" s="34">
        <v>0</v>
      </c>
      <c r="BB278" s="34">
        <v>16</v>
      </c>
      <c r="BD278" s="34">
        <v>1</v>
      </c>
      <c r="BE278" s="34">
        <v>0</v>
      </c>
      <c r="BF278" s="34">
        <v>1</v>
      </c>
      <c r="BG278" s="34" t="str">
        <v/>
      </c>
      <c r="BH278" s="34" t="str">
        <v/>
      </c>
      <c r="BI278" s="34" t="str">
        <v/>
      </c>
      <c r="BJ278" s="34" t="str">
        <v/>
      </c>
      <c r="BK278" s="34" t="str">
        <v>SOCKET</v>
      </c>
      <c r="BL278" s="34">
        <v>1</v>
      </c>
      <c r="BM278" s="34" t="str">
        <v/>
      </c>
      <c r="BN278" s="34" t="str">
        <v/>
      </c>
      <c r="BO278" s="34" t="str">
        <v/>
      </c>
      <c r="BP278" s="34" t="str">
        <v/>
      </c>
      <c r="BQ278" s="34" t="str">
        <v>3х2,5</v>
      </c>
      <c r="BR278" s="34" t="str">
        <v/>
      </c>
      <c r="BS278" s="34" t="str">
        <v/>
      </c>
      <c r="BT278" s="34" t="str">
        <v/>
      </c>
      <c r="BU278" s="34">
        <v>0</v>
      </c>
      <c r="BV278" s="34">
        <v>299</v>
      </c>
      <c r="BW278" s="34">
        <v>1</v>
      </c>
      <c r="BX278" s="34">
        <v>0</v>
      </c>
      <c r="BY278" s="34" t="str">
        <v>Розетка</v>
      </c>
      <c r="BZ278">
        <v>11</v>
      </c>
      <c r="CA278" t="str">
        <v>линии</v>
      </c>
    </row>
    <row r="279" spans="1:79" x14ac:dyDescent="0.3">
      <c r="A279" s="39" t="str">
        <v>ЩР-2</v>
      </c>
      <c r="B279" s="42">
        <v>29</v>
      </c>
      <c r="C279" s="42">
        <v>2</v>
      </c>
      <c r="D279" s="75" t="str">
        <v/>
      </c>
      <c r="E279" s="75" t="str">
        <v>авто</v>
      </c>
      <c r="F279" s="76">
        <v>30</v>
      </c>
      <c r="G279" s="47" t="str">
        <v>QFD19</v>
      </c>
      <c r="H279" s="47" t="str">
        <v>2P С16А 30мА</v>
      </c>
      <c r="I279" s="75" t="str">
        <v/>
      </c>
      <c r="J279" s="76" t="str">
        <v/>
      </c>
      <c r="K279" s="76" t="str">
        <v/>
      </c>
      <c r="L279" s="75" t="str">
        <v/>
      </c>
      <c r="M279" s="49" t="str">
        <v/>
      </c>
      <c r="N279" s="76" t="str">
        <v/>
      </c>
      <c r="O279" s="49" t="str">
        <v/>
      </c>
      <c r="P279" s="77" t="str">
        <v/>
      </c>
      <c r="Q279" s="53" t="str">
        <v>ВВГнг(А)-LS (3х2,5) L=44-0,36%</v>
      </c>
      <c r="R279" s="54" t="str">
        <v>R.2.022Б.1</v>
      </c>
      <c r="S279" s="55" t="str">
        <v>Розеточная группа, пом. 022Б</v>
      </c>
      <c r="T279" s="56">
        <v>0.24</v>
      </c>
      <c r="U279" s="56">
        <v>1.1000000000000001</v>
      </c>
      <c r="V279" s="42" t="str">
        <v>L2</v>
      </c>
      <c r="W279" s="57" t="str">
        <v>ok</v>
      </c>
      <c r="X279" s="58" t="str">
        <v/>
      </c>
      <c r="Y279" s="75" t="str">
        <v/>
      </c>
      <c r="Z279" s="59">
        <v>1.0939268258329751</v>
      </c>
      <c r="AA279" s="61">
        <v>16</v>
      </c>
      <c r="AB279" s="61">
        <v>25</v>
      </c>
      <c r="AC279" s="61" t="str">
        <v/>
      </c>
      <c r="AD279" s="62" t="str">
        <v>QFD19</v>
      </c>
      <c r="AE279" s="62" t="str">
        <v/>
      </c>
      <c r="AF279" s="34">
        <v>19</v>
      </c>
      <c r="AG279" s="34" t="str">
        <v>QFD19</v>
      </c>
      <c r="AH279" s="34" t="str">
        <v/>
      </c>
      <c r="AI279" s="34" t="str">
        <v/>
      </c>
      <c r="AJ279" s="34" t="str">
        <v>QFD19</v>
      </c>
      <c r="AK279" s="34">
        <v>1</v>
      </c>
      <c r="AL279" s="34" t="str">
        <v>R</v>
      </c>
      <c r="AM279" s="34">
        <v>30</v>
      </c>
      <c r="AN279" s="34">
        <v>0</v>
      </c>
      <c r="AO279" s="34">
        <v>16</v>
      </c>
      <c r="AP279" s="34">
        <v>25</v>
      </c>
      <c r="AQ279" s="34">
        <v>16</v>
      </c>
      <c r="AR279" s="34">
        <v>1</v>
      </c>
      <c r="AS279" s="34">
        <v>1</v>
      </c>
      <c r="AT279" s="34" t="str">
        <v>2P</v>
      </c>
      <c r="AU279" s="34">
        <v>16</v>
      </c>
      <c r="AV279" s="34" t="str">
        <v/>
      </c>
      <c r="AW279" s="34" t="str">
        <v/>
      </c>
      <c r="AX279" s="34" t="str">
        <v/>
      </c>
      <c r="AY279" s="34">
        <v>1</v>
      </c>
      <c r="AZ279" s="34" t="str">
        <v/>
      </c>
      <c r="BA279" s="34">
        <v>0</v>
      </c>
      <c r="BB279" s="34">
        <v>16</v>
      </c>
      <c r="BD279" s="34">
        <v>1</v>
      </c>
      <c r="BE279" s="34">
        <v>0</v>
      </c>
      <c r="BF279" s="34">
        <v>1</v>
      </c>
      <c r="BG279" s="34" t="str">
        <v/>
      </c>
      <c r="BH279" s="34" t="str">
        <v/>
      </c>
      <c r="BI279" s="34" t="str">
        <v/>
      </c>
      <c r="BJ279" s="34" t="str">
        <v/>
      </c>
      <c r="BK279" s="34" t="str">
        <v>SOCKET</v>
      </c>
      <c r="BL279" s="34">
        <v>1</v>
      </c>
      <c r="BM279" s="34" t="str">
        <v/>
      </c>
      <c r="BN279" s="34" t="str">
        <v/>
      </c>
      <c r="BO279" s="34" t="str">
        <v/>
      </c>
      <c r="BP279" s="34" t="str">
        <v/>
      </c>
      <c r="BQ279" s="34" t="str">
        <v>3х2,5</v>
      </c>
      <c r="BR279" s="34" t="str">
        <v/>
      </c>
      <c r="BS279" s="34" t="str">
        <v/>
      </c>
      <c r="BT279" s="34" t="str">
        <v/>
      </c>
      <c r="BU279" s="34">
        <v>0</v>
      </c>
      <c r="BV279" s="34">
        <v>300</v>
      </c>
      <c r="BW279" s="34">
        <v>1</v>
      </c>
      <c r="BX279" s="34">
        <v>0</v>
      </c>
      <c r="BY279" s="34" t="str">
        <v>Розетка</v>
      </c>
      <c r="BZ279">
        <v>11</v>
      </c>
      <c r="CA279" t="str">
        <v>линии</v>
      </c>
    </row>
    <row r="280" spans="1:79" x14ac:dyDescent="0.3">
      <c r="A280" s="39" t="str">
        <v>ЩР-2</v>
      </c>
      <c r="B280" s="42">
        <v>30</v>
      </c>
      <c r="C280" s="42">
        <v>2</v>
      </c>
      <c r="D280" s="75" t="str">
        <v/>
      </c>
      <c r="E280" s="75" t="str">
        <v>авто</v>
      </c>
      <c r="F280" s="76">
        <v>30</v>
      </c>
      <c r="G280" s="47" t="str">
        <v>QFD20</v>
      </c>
      <c r="H280" s="47" t="str">
        <v>2P С16А 30мА</v>
      </c>
      <c r="I280" s="75" t="str">
        <v/>
      </c>
      <c r="J280" s="76" t="str">
        <v/>
      </c>
      <c r="K280" s="76" t="str">
        <v/>
      </c>
      <c r="L280" s="75" t="str">
        <v/>
      </c>
      <c r="M280" s="49" t="str">
        <v/>
      </c>
      <c r="N280" s="76" t="str">
        <v/>
      </c>
      <c r="O280" s="49" t="str">
        <v/>
      </c>
      <c r="P280" s="77" t="str">
        <v/>
      </c>
      <c r="Q280" s="53" t="str">
        <v>ВВГнг(А)-LS (3х2,5) L=87-0,54%</v>
      </c>
      <c r="R280" s="54" t="str">
        <v>R.2.001.1</v>
      </c>
      <c r="S280" s="55" t="str">
        <v>Розеточная группа, пом. 001</v>
      </c>
      <c r="T280" s="56">
        <v>0.18</v>
      </c>
      <c r="U280" s="56">
        <v>0.83</v>
      </c>
      <c r="V280" s="42" t="str">
        <v>L1</v>
      </c>
      <c r="W280" s="57" t="str">
        <v>ok</v>
      </c>
      <c r="X280" s="58" t="str">
        <v/>
      </c>
      <c r="Y280" s="75" t="str">
        <v/>
      </c>
      <c r="Z280" s="59">
        <v>0.8204451193747313</v>
      </c>
      <c r="AA280" s="61">
        <v>16</v>
      </c>
      <c r="AB280" s="61">
        <v>25</v>
      </c>
      <c r="AC280" s="61" t="str">
        <v/>
      </c>
      <c r="AD280" s="62" t="str">
        <v>QFD20</v>
      </c>
      <c r="AE280" s="62" t="str">
        <v/>
      </c>
      <c r="AF280" s="34">
        <v>20</v>
      </c>
      <c r="AG280" s="34" t="str">
        <v>QFD20</v>
      </c>
      <c r="AH280" s="34" t="str">
        <v/>
      </c>
      <c r="AI280" s="34" t="str">
        <v/>
      </c>
      <c r="AJ280" s="34" t="str">
        <v>QFD20</v>
      </c>
      <c r="AK280" s="34">
        <v>1</v>
      </c>
      <c r="AL280" s="34" t="str">
        <v>R</v>
      </c>
      <c r="AM280" s="34">
        <v>30</v>
      </c>
      <c r="AN280" s="34">
        <v>0</v>
      </c>
      <c r="AO280" s="34">
        <v>16</v>
      </c>
      <c r="AP280" s="34">
        <v>25</v>
      </c>
      <c r="AQ280" s="34">
        <v>16</v>
      </c>
      <c r="AR280" s="34">
        <v>1</v>
      </c>
      <c r="AS280" s="34">
        <v>1</v>
      </c>
      <c r="AT280" s="34" t="str">
        <v>2P</v>
      </c>
      <c r="AU280" s="34">
        <v>16</v>
      </c>
      <c r="AV280" s="34" t="str">
        <v/>
      </c>
      <c r="AW280" s="34" t="str">
        <v/>
      </c>
      <c r="AX280" s="34" t="str">
        <v/>
      </c>
      <c r="AY280" s="34">
        <v>1</v>
      </c>
      <c r="AZ280" s="34" t="str">
        <v/>
      </c>
      <c r="BA280" s="34">
        <v>0</v>
      </c>
      <c r="BB280" s="34">
        <v>16</v>
      </c>
      <c r="BD280" s="34">
        <v>1</v>
      </c>
      <c r="BE280" s="34">
        <v>0</v>
      </c>
      <c r="BF280" s="34">
        <v>1</v>
      </c>
      <c r="BG280" s="34" t="str">
        <v/>
      </c>
      <c r="BH280" s="34" t="str">
        <v/>
      </c>
      <c r="BI280" s="34" t="str">
        <v/>
      </c>
      <c r="BJ280" s="34" t="str">
        <v/>
      </c>
      <c r="BK280" s="34" t="str">
        <v>SOCKET</v>
      </c>
      <c r="BL280" s="34">
        <v>1</v>
      </c>
      <c r="BM280" s="34" t="str">
        <v/>
      </c>
      <c r="BN280" s="34" t="str">
        <v/>
      </c>
      <c r="BO280" s="34" t="str">
        <v/>
      </c>
      <c r="BP280" s="34" t="str">
        <v/>
      </c>
      <c r="BQ280" s="34" t="str">
        <v>3х2,5</v>
      </c>
      <c r="BR280" s="34" t="str">
        <v/>
      </c>
      <c r="BS280" s="34" t="str">
        <v/>
      </c>
      <c r="BT280" s="34" t="str">
        <v/>
      </c>
      <c r="BU280" s="34">
        <v>0</v>
      </c>
      <c r="BV280" s="34">
        <v>301</v>
      </c>
      <c r="BW280" s="34">
        <v>1</v>
      </c>
      <c r="BX280" s="34">
        <v>0</v>
      </c>
      <c r="BY280" s="34" t="str">
        <v>Розетка</v>
      </c>
      <c r="BZ280">
        <v>11</v>
      </c>
      <c r="CA280" t="str">
        <v>линии</v>
      </c>
    </row>
    <row r="281" spans="1:79" x14ac:dyDescent="0.3">
      <c r="A281" s="39" t="str">
        <v>ЩР-2</v>
      </c>
      <c r="B281" s="42">
        <v>31</v>
      </c>
      <c r="C281" s="42">
        <v>2</v>
      </c>
      <c r="D281" s="75" t="str">
        <v/>
      </c>
      <c r="E281" s="75" t="str">
        <v>авто</v>
      </c>
      <c r="F281" s="76">
        <v>30</v>
      </c>
      <c r="G281" s="47" t="str">
        <v>QFD21</v>
      </c>
      <c r="H281" s="47" t="str">
        <v>2P С16А 30мА</v>
      </c>
      <c r="I281" s="75" t="str">
        <v/>
      </c>
      <c r="J281" s="76" t="str">
        <v/>
      </c>
      <c r="K281" s="76" t="str">
        <v/>
      </c>
      <c r="L281" s="75" t="str">
        <v/>
      </c>
      <c r="M281" s="49" t="str">
        <v/>
      </c>
      <c r="N281" s="76" t="str">
        <v/>
      </c>
      <c r="O281" s="49" t="str">
        <v/>
      </c>
      <c r="P281" s="77" t="str">
        <v/>
      </c>
      <c r="Q281" s="53" t="str">
        <v>ВВГнг(А)-LS (3х2,5) L=47-0,2%</v>
      </c>
      <c r="R281" s="54" t="str">
        <v>R.2.003Г.1</v>
      </c>
      <c r="S281" s="55" t="str">
        <v>Розеточная группа, пом. 003Г</v>
      </c>
      <c r="T281" s="56">
        <v>0.12</v>
      </c>
      <c r="U281" s="56">
        <v>0.55000000000000004</v>
      </c>
      <c r="V281" s="42" t="str">
        <v>L1</v>
      </c>
      <c r="W281" s="57" t="str">
        <v>ok</v>
      </c>
      <c r="X281" s="58" t="str">
        <v/>
      </c>
      <c r="Y281" s="75" t="str">
        <v/>
      </c>
      <c r="Z281" s="59">
        <v>0.54696341291648753</v>
      </c>
      <c r="AA281" s="61">
        <v>16</v>
      </c>
      <c r="AB281" s="61">
        <v>25</v>
      </c>
      <c r="AC281" s="61" t="str">
        <v/>
      </c>
      <c r="AD281" s="62" t="str">
        <v>QFD21</v>
      </c>
      <c r="AE281" s="62" t="str">
        <v/>
      </c>
      <c r="AF281" s="34">
        <v>21</v>
      </c>
      <c r="AG281" s="34" t="str">
        <v>QFD21</v>
      </c>
      <c r="AH281" s="34" t="str">
        <v/>
      </c>
      <c r="AI281" s="34" t="str">
        <v/>
      </c>
      <c r="AJ281" s="34" t="str">
        <v>QFD21</v>
      </c>
      <c r="AK281" s="34">
        <v>1</v>
      </c>
      <c r="AL281" s="34" t="str">
        <v>R</v>
      </c>
      <c r="AM281" s="34">
        <v>30</v>
      </c>
      <c r="AN281" s="34">
        <v>0</v>
      </c>
      <c r="AO281" s="34">
        <v>16</v>
      </c>
      <c r="AP281" s="34">
        <v>25</v>
      </c>
      <c r="AQ281" s="34">
        <v>16</v>
      </c>
      <c r="AR281" s="34">
        <v>1</v>
      </c>
      <c r="AS281" s="34">
        <v>1</v>
      </c>
      <c r="AT281" s="34" t="str">
        <v>2P</v>
      </c>
      <c r="AU281" s="34">
        <v>16</v>
      </c>
      <c r="AV281" s="34" t="str">
        <v/>
      </c>
      <c r="AW281" s="34" t="str">
        <v/>
      </c>
      <c r="AX281" s="34" t="str">
        <v/>
      </c>
      <c r="AY281" s="34">
        <v>1</v>
      </c>
      <c r="AZ281" s="34" t="str">
        <v/>
      </c>
      <c r="BA281" s="34">
        <v>0</v>
      </c>
      <c r="BB281" s="34">
        <v>16</v>
      </c>
      <c r="BD281" s="34">
        <v>1</v>
      </c>
      <c r="BE281" s="34">
        <v>0</v>
      </c>
      <c r="BF281" s="34">
        <v>1</v>
      </c>
      <c r="BG281" s="34" t="str">
        <v/>
      </c>
      <c r="BH281" s="34" t="str">
        <v/>
      </c>
      <c r="BI281" s="34" t="str">
        <v/>
      </c>
      <c r="BJ281" s="34" t="str">
        <v/>
      </c>
      <c r="BK281" s="34" t="str">
        <v>SOCKET</v>
      </c>
      <c r="BL281" s="34">
        <v>1</v>
      </c>
      <c r="BM281" s="34" t="str">
        <v/>
      </c>
      <c r="BN281" s="34" t="str">
        <v/>
      </c>
      <c r="BO281" s="34" t="str">
        <v/>
      </c>
      <c r="BP281" s="34" t="str">
        <v/>
      </c>
      <c r="BQ281" s="34" t="str">
        <v>3х2,5</v>
      </c>
      <c r="BR281" s="34" t="str">
        <v/>
      </c>
      <c r="BS281" s="34" t="str">
        <v/>
      </c>
      <c r="BT281" s="34" t="str">
        <v/>
      </c>
      <c r="BU281" s="34">
        <v>0</v>
      </c>
      <c r="BV281" s="34">
        <v>302</v>
      </c>
      <c r="BW281" s="34">
        <v>1</v>
      </c>
      <c r="BX281" s="34">
        <v>0</v>
      </c>
      <c r="BY281" s="34" t="str">
        <v>Розетка</v>
      </c>
      <c r="BZ281">
        <v>11</v>
      </c>
      <c r="CA281" t="str">
        <v>линии</v>
      </c>
    </row>
    <row r="282" spans="1:79" x14ac:dyDescent="0.3">
      <c r="A282" s="39" t="str">
        <v>ЩР-2</v>
      </c>
      <c r="B282" s="42">
        <v>32</v>
      </c>
      <c r="C282" s="42">
        <v>2</v>
      </c>
      <c r="D282" s="75" t="str">
        <v/>
      </c>
      <c r="E282" s="75" t="str">
        <v>авто</v>
      </c>
      <c r="F282" s="76">
        <v>30</v>
      </c>
      <c r="G282" s="47" t="str">
        <v>QFD22</v>
      </c>
      <c r="H282" s="47" t="str">
        <v>2P С16А 30мА</v>
      </c>
      <c r="I282" s="75" t="str">
        <v/>
      </c>
      <c r="J282" s="76" t="str">
        <v/>
      </c>
      <c r="K282" s="76" t="str">
        <v/>
      </c>
      <c r="L282" s="75" t="str">
        <v/>
      </c>
      <c r="M282" s="49" t="str">
        <v/>
      </c>
      <c r="N282" s="76" t="str">
        <v/>
      </c>
      <c r="O282" s="49" t="str">
        <v/>
      </c>
      <c r="P282" s="77" t="str">
        <v/>
      </c>
      <c r="Q282" s="53" t="str">
        <v>ВВГнг(А)-LS (3х2,5) L=40-0,17%</v>
      </c>
      <c r="R282" s="54" t="str">
        <v>R.2.005А.3</v>
      </c>
      <c r="S282" s="55" t="str">
        <v>Розеточная группа, пом. 005А</v>
      </c>
      <c r="T282" s="56">
        <v>0.12</v>
      </c>
      <c r="U282" s="56">
        <v>0.55000000000000004</v>
      </c>
      <c r="V282" s="42" t="str">
        <v>L2</v>
      </c>
      <c r="W282" s="57" t="str">
        <v>ok</v>
      </c>
      <c r="X282" s="58" t="str">
        <v/>
      </c>
      <c r="Y282" s="75" t="str">
        <v/>
      </c>
      <c r="Z282" s="59">
        <v>0.54696341291648753</v>
      </c>
      <c r="AA282" s="61">
        <v>16</v>
      </c>
      <c r="AB282" s="61">
        <v>25</v>
      </c>
      <c r="AC282" s="61" t="str">
        <v/>
      </c>
      <c r="AD282" s="62" t="str">
        <v>QFD22</v>
      </c>
      <c r="AE282" s="62" t="str">
        <v/>
      </c>
      <c r="AF282" s="34">
        <v>22</v>
      </c>
      <c r="AG282" s="34" t="str">
        <v>QFD22</v>
      </c>
      <c r="AH282" s="34" t="str">
        <v/>
      </c>
      <c r="AI282" s="34" t="str">
        <v/>
      </c>
      <c r="AJ282" s="34" t="str">
        <v>QFD22</v>
      </c>
      <c r="AK282" s="34">
        <v>1</v>
      </c>
      <c r="AL282" s="34" t="str">
        <v>R</v>
      </c>
      <c r="AM282" s="34">
        <v>30</v>
      </c>
      <c r="AN282" s="34">
        <v>0</v>
      </c>
      <c r="AO282" s="34">
        <v>16</v>
      </c>
      <c r="AP282" s="34">
        <v>25</v>
      </c>
      <c r="AQ282" s="34">
        <v>16</v>
      </c>
      <c r="AR282" s="34">
        <v>1</v>
      </c>
      <c r="AS282" s="34">
        <v>1</v>
      </c>
      <c r="AT282" s="34" t="str">
        <v>2P</v>
      </c>
      <c r="AU282" s="34">
        <v>16</v>
      </c>
      <c r="AV282" s="34" t="str">
        <v/>
      </c>
      <c r="AW282" s="34" t="str">
        <v/>
      </c>
      <c r="AX282" s="34" t="str">
        <v/>
      </c>
      <c r="AY282" s="34">
        <v>1</v>
      </c>
      <c r="AZ282" s="34" t="str">
        <v/>
      </c>
      <c r="BA282" s="34">
        <v>0</v>
      </c>
      <c r="BB282" s="34">
        <v>16</v>
      </c>
      <c r="BD282" s="34">
        <v>1</v>
      </c>
      <c r="BE282" s="34">
        <v>0</v>
      </c>
      <c r="BF282" s="34">
        <v>1</v>
      </c>
      <c r="BG282" s="34" t="str">
        <v/>
      </c>
      <c r="BH282" s="34" t="str">
        <v/>
      </c>
      <c r="BI282" s="34" t="str">
        <v/>
      </c>
      <c r="BJ282" s="34" t="str">
        <v/>
      </c>
      <c r="BK282" s="34" t="str">
        <v>SOCKET</v>
      </c>
      <c r="BL282" s="34">
        <v>1</v>
      </c>
      <c r="BM282" s="34" t="str">
        <v/>
      </c>
      <c r="BN282" s="34" t="str">
        <v/>
      </c>
      <c r="BO282" s="34" t="str">
        <v/>
      </c>
      <c r="BP282" s="34" t="str">
        <v/>
      </c>
      <c r="BQ282" s="34" t="str">
        <v>3х2,5</v>
      </c>
      <c r="BR282" s="34" t="str">
        <v/>
      </c>
      <c r="BS282" s="34" t="str">
        <v/>
      </c>
      <c r="BT282" s="34" t="str">
        <v/>
      </c>
      <c r="BU282" s="34">
        <v>0</v>
      </c>
      <c r="BV282" s="34">
        <v>303</v>
      </c>
      <c r="BW282" s="34">
        <v>1</v>
      </c>
      <c r="BX282" s="34">
        <v>0</v>
      </c>
      <c r="BY282" s="34" t="str">
        <v>Розетка</v>
      </c>
      <c r="BZ282">
        <v>11</v>
      </c>
      <c r="CA282" t="str">
        <v>линии</v>
      </c>
    </row>
    <row r="283" spans="1:79" x14ac:dyDescent="0.3">
      <c r="A283" s="39" t="str">
        <v>ЩР-2</v>
      </c>
      <c r="B283" s="42">
        <v>33</v>
      </c>
      <c r="C283" s="42">
        <v>2</v>
      </c>
      <c r="D283" s="75" t="str">
        <v/>
      </c>
      <c r="E283" s="75" t="str">
        <v>авто</v>
      </c>
      <c r="F283" s="76">
        <v>30</v>
      </c>
      <c r="G283" s="47" t="str">
        <v>QFD23</v>
      </c>
      <c r="H283" s="47" t="str">
        <v>2P С16А 30мА</v>
      </c>
      <c r="I283" s="75" t="str">
        <v/>
      </c>
      <c r="J283" s="76" t="str">
        <v/>
      </c>
      <c r="K283" s="76" t="str">
        <v/>
      </c>
      <c r="L283" s="75" t="str">
        <v/>
      </c>
      <c r="M283" s="49" t="str">
        <v/>
      </c>
      <c r="N283" s="76" t="str">
        <v/>
      </c>
      <c r="O283" s="49" t="str">
        <v/>
      </c>
      <c r="P283" s="77" t="str">
        <v/>
      </c>
      <c r="Q283" s="53" t="str">
        <v>ВВГнг(А)-LS (3х2,5) L=35-0,08%</v>
      </c>
      <c r="R283" s="54" t="str">
        <v>R.2.009А.3</v>
      </c>
      <c r="S283" s="55" t="str">
        <v>Розеточная группа, пом. 009А</v>
      </c>
      <c r="T283" s="56">
        <v>0.06</v>
      </c>
      <c r="U283" s="56">
        <v>0.28000000000000003</v>
      </c>
      <c r="V283" s="42" t="str">
        <v>L3</v>
      </c>
      <c r="W283" s="57" t="str">
        <v>ok</v>
      </c>
      <c r="X283" s="58" t="str">
        <v/>
      </c>
      <c r="Y283" s="75" t="str">
        <v/>
      </c>
      <c r="Z283" s="59">
        <v>0.27348170645824377</v>
      </c>
      <c r="AA283" s="61">
        <v>16</v>
      </c>
      <c r="AB283" s="61">
        <v>25</v>
      </c>
      <c r="AC283" s="61" t="str">
        <v/>
      </c>
      <c r="AD283" s="62" t="str">
        <v>QFD23</v>
      </c>
      <c r="AE283" s="62" t="str">
        <v/>
      </c>
      <c r="AF283" s="34">
        <v>23</v>
      </c>
      <c r="AG283" s="34" t="str">
        <v>QFD23</v>
      </c>
      <c r="AH283" s="34" t="str">
        <v/>
      </c>
      <c r="AI283" s="34" t="str">
        <v/>
      </c>
      <c r="AJ283" s="34" t="str">
        <v>QFD23</v>
      </c>
      <c r="AK283" s="34">
        <v>1</v>
      </c>
      <c r="AL283" s="34" t="str">
        <v>R</v>
      </c>
      <c r="AM283" s="34">
        <v>30</v>
      </c>
      <c r="AN283" s="34">
        <v>0</v>
      </c>
      <c r="AO283" s="34">
        <v>16</v>
      </c>
      <c r="AP283" s="34">
        <v>25</v>
      </c>
      <c r="AQ283" s="34">
        <v>16</v>
      </c>
      <c r="AR283" s="34">
        <v>1</v>
      </c>
      <c r="AS283" s="34">
        <v>1</v>
      </c>
      <c r="AT283" s="34" t="str">
        <v>2P</v>
      </c>
      <c r="AU283" s="34">
        <v>16</v>
      </c>
      <c r="AV283" s="34" t="str">
        <v/>
      </c>
      <c r="AW283" s="34" t="str">
        <v/>
      </c>
      <c r="AX283" s="34" t="str">
        <v/>
      </c>
      <c r="AY283" s="34">
        <v>1</v>
      </c>
      <c r="AZ283" s="34" t="str">
        <v/>
      </c>
      <c r="BA283" s="34">
        <v>0</v>
      </c>
      <c r="BB283" s="34">
        <v>16</v>
      </c>
      <c r="BD283" s="34">
        <v>1</v>
      </c>
      <c r="BE283" s="34">
        <v>0</v>
      </c>
      <c r="BF283" s="34">
        <v>1</v>
      </c>
      <c r="BG283" s="34" t="str">
        <v/>
      </c>
      <c r="BH283" s="34" t="str">
        <v/>
      </c>
      <c r="BI283" s="34" t="str">
        <v/>
      </c>
      <c r="BJ283" s="34" t="str">
        <v/>
      </c>
      <c r="BK283" s="34" t="str">
        <v>SOCKET</v>
      </c>
      <c r="BL283" s="34">
        <v>1</v>
      </c>
      <c r="BM283" s="34" t="str">
        <v/>
      </c>
      <c r="BN283" s="34" t="str">
        <v/>
      </c>
      <c r="BO283" s="34" t="str">
        <v/>
      </c>
      <c r="BP283" s="34" t="str">
        <v/>
      </c>
      <c r="BQ283" s="34" t="str">
        <v>3х2,5</v>
      </c>
      <c r="BR283" s="34" t="str">
        <v/>
      </c>
      <c r="BS283" s="34" t="str">
        <v/>
      </c>
      <c r="BT283" s="34" t="str">
        <v/>
      </c>
      <c r="BU283" s="34">
        <v>0</v>
      </c>
      <c r="BV283" s="34">
        <v>304</v>
      </c>
      <c r="BW283" s="34">
        <v>1</v>
      </c>
      <c r="BX283" s="34">
        <v>0</v>
      </c>
      <c r="BY283" s="34" t="str">
        <v>Розетка</v>
      </c>
      <c r="BZ283">
        <v>11</v>
      </c>
      <c r="CA283" t="str">
        <v>линии</v>
      </c>
    </row>
    <row r="284" spans="1:79" x14ac:dyDescent="0.3">
      <c r="A284" s="39" t="str">
        <v>ЩР-2</v>
      </c>
      <c r="B284" s="42">
        <v>36</v>
      </c>
      <c r="C284" s="42">
        <v>3</v>
      </c>
      <c r="D284" s="75" t="str">
        <v/>
      </c>
      <c r="E284" s="75" t="str">
        <v>авто</v>
      </c>
      <c r="F284" s="76">
        <v>30</v>
      </c>
      <c r="G284" s="47" t="str">
        <v>QFD24</v>
      </c>
      <c r="H284" s="47" t="str">
        <v>2P С16А 30мА</v>
      </c>
      <c r="I284" s="75" t="str">
        <v/>
      </c>
      <c r="J284" s="76" t="str">
        <v/>
      </c>
      <c r="K284" s="76" t="str">
        <v/>
      </c>
      <c r="L284" s="75" t="str">
        <v/>
      </c>
      <c r="M284" s="49" t="str">
        <v/>
      </c>
      <c r="N284" s="76" t="str">
        <v/>
      </c>
      <c r="O284" s="49" t="str">
        <v/>
      </c>
      <c r="P284" s="77" t="str">
        <v>XT24</v>
      </c>
      <c r="Q284" s="53" t="str">
        <v>ВВГнг(А)-LS (3х2,5) L=59-0,24%</v>
      </c>
      <c r="R284" s="54" t="str">
        <v>R.2.020А.2</v>
      </c>
      <c r="S284" s="55" t="str">
        <v>Розеточная группа, пом. 020А</v>
      </c>
      <c r="T284" s="56">
        <v>0.12</v>
      </c>
      <c r="U284" s="56">
        <v>0.55000000000000004</v>
      </c>
      <c r="V284" s="42" t="str">
        <v>L3</v>
      </c>
      <c r="W284" s="57" t="str">
        <v>ok</v>
      </c>
      <c r="X284" s="58" t="str">
        <v/>
      </c>
      <c r="Y284" s="75" t="str">
        <v/>
      </c>
      <c r="Z284" s="59">
        <v>0.54696341291648753</v>
      </c>
      <c r="AA284" s="61">
        <v>16</v>
      </c>
      <c r="AB284" s="61">
        <v>25</v>
      </c>
      <c r="AC284" s="61" t="str">
        <v/>
      </c>
      <c r="AD284" s="62" t="str">
        <v>QFD24 → XT24</v>
      </c>
      <c r="AE284" s="62" t="str">
        <v/>
      </c>
      <c r="AF284" s="34">
        <v>24</v>
      </c>
      <c r="AG284" s="34" t="str">
        <v>QFD24</v>
      </c>
      <c r="AH284" s="34" t="str">
        <v/>
      </c>
      <c r="AI284" s="34" t="str">
        <v/>
      </c>
      <c r="AJ284" s="34" t="str">
        <v>QFD24</v>
      </c>
      <c r="AK284" s="34">
        <v>1</v>
      </c>
      <c r="AL284" s="34" t="str">
        <v>R</v>
      </c>
      <c r="AM284" s="34">
        <v>30</v>
      </c>
      <c r="AN284" s="34">
        <v>0</v>
      </c>
      <c r="AO284" s="34">
        <v>16</v>
      </c>
      <c r="AP284" s="34">
        <v>25</v>
      </c>
      <c r="AQ284" s="34">
        <v>16</v>
      </c>
      <c r="AR284" s="34">
        <v>1</v>
      </c>
      <c r="AS284" s="34">
        <v>1</v>
      </c>
      <c r="AT284" s="34" t="str">
        <v>2P</v>
      </c>
      <c r="AU284" s="34">
        <v>16</v>
      </c>
      <c r="AV284" s="34" t="str">
        <v/>
      </c>
      <c r="AW284" s="34" t="str">
        <v/>
      </c>
      <c r="AX284" s="34" t="str">
        <v/>
      </c>
      <c r="AY284" s="34">
        <v>1</v>
      </c>
      <c r="AZ284" s="34" t="str">
        <v/>
      </c>
      <c r="BA284" s="34">
        <v>0</v>
      </c>
      <c r="BB284" s="34">
        <v>16</v>
      </c>
      <c r="BD284" s="34">
        <v>1</v>
      </c>
      <c r="BE284" s="34">
        <v>0</v>
      </c>
      <c r="BF284" s="34">
        <v>1</v>
      </c>
      <c r="BG284" s="34" t="str">
        <v/>
      </c>
      <c r="BH284" s="34" t="str">
        <v/>
      </c>
      <c r="BI284" s="34" t="str">
        <v/>
      </c>
      <c r="BJ284" s="34" t="str">
        <v/>
      </c>
      <c r="BK284" s="34" t="str">
        <v>SOCKET</v>
      </c>
      <c r="BL284" s="34">
        <v>1</v>
      </c>
      <c r="BM284" s="34" t="str">
        <v/>
      </c>
      <c r="BN284" s="34" t="str">
        <v/>
      </c>
      <c r="BO284" s="34" t="str">
        <v/>
      </c>
      <c r="BP284" s="34" t="str">
        <v/>
      </c>
      <c r="BQ284" s="34" t="str">
        <v>3х2,5</v>
      </c>
      <c r="BR284" s="34" t="str">
        <v/>
      </c>
      <c r="BS284" s="34" t="str">
        <v/>
      </c>
      <c r="BT284" s="34" t="str">
        <v/>
      </c>
      <c r="BU284" s="34">
        <v>0</v>
      </c>
      <c r="BV284" s="34">
        <v>305</v>
      </c>
      <c r="BW284" s="34">
        <v>1</v>
      </c>
      <c r="BX284" s="34">
        <v>0</v>
      </c>
      <c r="BY284" s="34" t="str">
        <v>Розетка</v>
      </c>
      <c r="BZ284">
        <v>11</v>
      </c>
      <c r="CA284" t="str">
        <v>линии</v>
      </c>
    </row>
    <row r="285" spans="1:79" x14ac:dyDescent="0.3">
      <c r="A285" s="39" t="str">
        <v>ЩР-2</v>
      </c>
      <c r="B285" s="42">
        <v>37</v>
      </c>
      <c r="C285" s="42">
        <v>3</v>
      </c>
      <c r="D285" s="75" t="str">
        <v/>
      </c>
      <c r="E285" s="75" t="str">
        <v>авто</v>
      </c>
      <c r="F285" s="76">
        <v>30</v>
      </c>
      <c r="G285" s="47" t="str">
        <v>QFD25</v>
      </c>
      <c r="H285" s="47" t="str">
        <v>2P С16А 30мА</v>
      </c>
      <c r="I285" s="75" t="str">
        <v/>
      </c>
      <c r="J285" s="76" t="str">
        <v/>
      </c>
      <c r="K285" s="76" t="str">
        <v/>
      </c>
      <c r="L285" s="75" t="str">
        <v/>
      </c>
      <c r="M285" s="49" t="str">
        <v/>
      </c>
      <c r="N285" s="76" t="str">
        <v/>
      </c>
      <c r="O285" s="49" t="str">
        <v/>
      </c>
      <c r="P285" s="77" t="str">
        <v>XT25</v>
      </c>
      <c r="Q285" s="53" t="str">
        <v>ВВГнг(А)-LS (3х2,5) L=22-0,05%</v>
      </c>
      <c r="R285" s="54" t="str">
        <v>R.3.001T.1</v>
      </c>
      <c r="S285" s="55" t="str">
        <v>Розеточная группа, пом. 001T</v>
      </c>
      <c r="T285" s="56">
        <v>0.06</v>
      </c>
      <c r="U285" s="56">
        <v>0.28000000000000003</v>
      </c>
      <c r="V285" s="42" t="str">
        <v>L1</v>
      </c>
      <c r="W285" s="57" t="str">
        <v>ok</v>
      </c>
      <c r="X285" s="58" t="str">
        <v/>
      </c>
      <c r="Y285" s="75" t="str">
        <v/>
      </c>
      <c r="Z285" s="59">
        <v>0.27348170645824377</v>
      </c>
      <c r="AA285" s="61">
        <v>16</v>
      </c>
      <c r="AB285" s="61">
        <v>25</v>
      </c>
      <c r="AC285" s="61" t="str">
        <v/>
      </c>
      <c r="AD285" s="62" t="str">
        <v>QFD25 → XT25</v>
      </c>
      <c r="AE285" s="62" t="str">
        <v/>
      </c>
      <c r="AF285" s="34">
        <v>25</v>
      </c>
      <c r="AG285" s="34" t="str">
        <v>QFD25</v>
      </c>
      <c r="AH285" s="34" t="str">
        <v/>
      </c>
      <c r="AI285" s="34" t="str">
        <v/>
      </c>
      <c r="AJ285" s="34" t="str">
        <v>QFD25</v>
      </c>
      <c r="AK285" s="34">
        <v>1</v>
      </c>
      <c r="AL285" s="34" t="str">
        <v>R</v>
      </c>
      <c r="AM285" s="34">
        <v>30</v>
      </c>
      <c r="AN285" s="34">
        <v>0</v>
      </c>
      <c r="AO285" s="34">
        <v>16</v>
      </c>
      <c r="AP285" s="34">
        <v>25</v>
      </c>
      <c r="AQ285" s="34">
        <v>16</v>
      </c>
      <c r="AR285" s="34">
        <v>1</v>
      </c>
      <c r="AS285" s="34">
        <v>1</v>
      </c>
      <c r="AT285" s="34" t="str">
        <v>2P</v>
      </c>
      <c r="AU285" s="34">
        <v>16</v>
      </c>
      <c r="AV285" s="34" t="str">
        <v/>
      </c>
      <c r="AW285" s="34" t="str">
        <v/>
      </c>
      <c r="AX285" s="34" t="str">
        <v/>
      </c>
      <c r="AY285" s="34">
        <v>1</v>
      </c>
      <c r="AZ285" s="34" t="str">
        <v/>
      </c>
      <c r="BA285" s="34">
        <v>0</v>
      </c>
      <c r="BB285" s="34">
        <v>16</v>
      </c>
      <c r="BD285" s="34">
        <v>1</v>
      </c>
      <c r="BE285" s="34">
        <v>0</v>
      </c>
      <c r="BF285" s="34">
        <v>1</v>
      </c>
      <c r="BG285" s="34" t="str">
        <v/>
      </c>
      <c r="BH285" s="34" t="str">
        <v/>
      </c>
      <c r="BI285" s="34" t="str">
        <v/>
      </c>
      <c r="BJ285" s="34" t="str">
        <v/>
      </c>
      <c r="BK285" s="34" t="str">
        <v>SOCKET</v>
      </c>
      <c r="BL285" s="34">
        <v>1</v>
      </c>
      <c r="BM285" s="34" t="str">
        <v/>
      </c>
      <c r="BN285" s="34" t="str">
        <v/>
      </c>
      <c r="BO285" s="34" t="str">
        <v/>
      </c>
      <c r="BP285" s="34" t="str">
        <v/>
      </c>
      <c r="BQ285" s="34" t="str">
        <v>3х2,5</v>
      </c>
      <c r="BR285" s="34" t="str">
        <v/>
      </c>
      <c r="BS285" s="34" t="str">
        <v/>
      </c>
      <c r="BT285" s="34" t="str">
        <v/>
      </c>
      <c r="BU285" s="34">
        <v>0</v>
      </c>
      <c r="BV285" s="34">
        <v>306</v>
      </c>
      <c r="BW285" s="34">
        <v>1</v>
      </c>
      <c r="BX285" s="34">
        <v>0</v>
      </c>
      <c r="BY285" s="34" t="str">
        <v>Розетка</v>
      </c>
      <c r="BZ285">
        <v>11</v>
      </c>
      <c r="CA285" t="str">
        <v>линии</v>
      </c>
    </row>
    <row r="286" spans="1:79" x14ac:dyDescent="0.3">
      <c r="A286" s="39" t="str">
        <v>ЩР-2</v>
      </c>
      <c r="B286" s="42">
        <v>38</v>
      </c>
      <c r="C286" s="42">
        <v>3</v>
      </c>
      <c r="D286" s="75" t="str">
        <v/>
      </c>
      <c r="E286" s="75" t="str">
        <v>авто</v>
      </c>
      <c r="F286" s="76">
        <v>30</v>
      </c>
      <c r="G286" s="47" t="str">
        <v>QFD26</v>
      </c>
      <c r="H286" s="47" t="str">
        <v>2P С16А 30мА</v>
      </c>
      <c r="I286" s="75" t="str">
        <v/>
      </c>
      <c r="J286" s="76" t="str">
        <v/>
      </c>
      <c r="K286" s="76" t="str">
        <v/>
      </c>
      <c r="L286" s="75" t="str">
        <v/>
      </c>
      <c r="M286" s="49" t="str">
        <v/>
      </c>
      <c r="N286" s="76" t="str">
        <v/>
      </c>
      <c r="O286" s="49" t="str">
        <v/>
      </c>
      <c r="P286" s="77" t="str">
        <v/>
      </c>
      <c r="Q286" s="53" t="str">
        <v>ВВГнг(А)-LS (3х2,5) L=41-0,25%</v>
      </c>
      <c r="R286" s="54" t="str">
        <v>R.3.001Б.1</v>
      </c>
      <c r="S286" s="55" t="str">
        <v>Розеточная группа, пом. 001Б</v>
      </c>
      <c r="T286" s="56">
        <v>0.18</v>
      </c>
      <c r="U286" s="56">
        <v>0.83</v>
      </c>
      <c r="V286" s="42" t="str">
        <v>L2</v>
      </c>
      <c r="W286" s="57" t="str">
        <v>ok</v>
      </c>
      <c r="X286" s="58" t="str">
        <v/>
      </c>
      <c r="Y286" s="75" t="str">
        <v/>
      </c>
      <c r="Z286" s="59">
        <v>0.8204451193747313</v>
      </c>
      <c r="AA286" s="61">
        <v>16</v>
      </c>
      <c r="AB286" s="61">
        <v>25</v>
      </c>
      <c r="AC286" s="61" t="str">
        <v/>
      </c>
      <c r="AD286" s="62" t="str">
        <v>QFD26</v>
      </c>
      <c r="AE286" s="62" t="str">
        <v/>
      </c>
      <c r="AF286" s="34">
        <v>26</v>
      </c>
      <c r="AG286" s="34" t="str">
        <v>QFD26</v>
      </c>
      <c r="AH286" s="34" t="str">
        <v/>
      </c>
      <c r="AI286" s="34" t="str">
        <v/>
      </c>
      <c r="AJ286" s="34" t="str">
        <v>QFD26</v>
      </c>
      <c r="AK286" s="34">
        <v>1</v>
      </c>
      <c r="AL286" s="34" t="str">
        <v>R</v>
      </c>
      <c r="AM286" s="34">
        <v>30</v>
      </c>
      <c r="AN286" s="34">
        <v>0</v>
      </c>
      <c r="AO286" s="34">
        <v>16</v>
      </c>
      <c r="AP286" s="34">
        <v>25</v>
      </c>
      <c r="AQ286" s="34">
        <v>16</v>
      </c>
      <c r="AR286" s="34">
        <v>1</v>
      </c>
      <c r="AS286" s="34">
        <v>1</v>
      </c>
      <c r="AT286" s="34" t="str">
        <v>2P</v>
      </c>
      <c r="AU286" s="34">
        <v>16</v>
      </c>
      <c r="AV286" s="34" t="str">
        <v/>
      </c>
      <c r="AW286" s="34" t="str">
        <v/>
      </c>
      <c r="AX286" s="34" t="str">
        <v/>
      </c>
      <c r="AY286" s="34">
        <v>1</v>
      </c>
      <c r="AZ286" s="34" t="str">
        <v/>
      </c>
      <c r="BA286" s="34">
        <v>0</v>
      </c>
      <c r="BB286" s="34">
        <v>16</v>
      </c>
      <c r="BD286" s="34">
        <v>1</v>
      </c>
      <c r="BE286" s="34">
        <v>0</v>
      </c>
      <c r="BF286" s="34">
        <v>1</v>
      </c>
      <c r="BG286" s="34" t="str">
        <v/>
      </c>
      <c r="BH286" s="34" t="str">
        <v/>
      </c>
      <c r="BI286" s="34" t="str">
        <v/>
      </c>
      <c r="BJ286" s="34" t="str">
        <v/>
      </c>
      <c r="BK286" s="34" t="str">
        <v>SOCKET</v>
      </c>
      <c r="BL286" s="34">
        <v>1</v>
      </c>
      <c r="BM286" s="34" t="str">
        <v/>
      </c>
      <c r="BN286" s="34" t="str">
        <v/>
      </c>
      <c r="BO286" s="34" t="str">
        <v/>
      </c>
      <c r="BP286" s="34" t="str">
        <v/>
      </c>
      <c r="BQ286" s="34" t="str">
        <v>3х2,5</v>
      </c>
      <c r="BR286" s="34" t="str">
        <v/>
      </c>
      <c r="BS286" s="34" t="str">
        <v/>
      </c>
      <c r="BT286" s="34" t="str">
        <v/>
      </c>
      <c r="BU286" s="34">
        <v>0</v>
      </c>
      <c r="BV286" s="34">
        <v>307</v>
      </c>
      <c r="BW286" s="34">
        <v>1</v>
      </c>
      <c r="BX286" s="34">
        <v>0</v>
      </c>
      <c r="BY286" s="34" t="str">
        <v>Розетка</v>
      </c>
      <c r="BZ286">
        <v>11</v>
      </c>
      <c r="CA286" t="str">
        <v>линии</v>
      </c>
    </row>
    <row r="287" spans="1:79" x14ac:dyDescent="0.3">
      <c r="A287" s="39" t="str">
        <v>ЩР-2</v>
      </c>
      <c r="B287" s="42">
        <v>40</v>
      </c>
      <c r="C287" s="42">
        <v>3</v>
      </c>
      <c r="D287" s="75" t="str">
        <v/>
      </c>
      <c r="E287" s="75" t="str">
        <v>авто</v>
      </c>
      <c r="F287" s="76" t="str">
        <v/>
      </c>
      <c r="G287" s="47" t="str">
        <v>QF27</v>
      </c>
      <c r="H287" s="47" t="str">
        <v>1P С16А</v>
      </c>
      <c r="I287" s="75" t="str">
        <v/>
      </c>
      <c r="J287" s="76" t="str">
        <v/>
      </c>
      <c r="K287" s="76" t="str">
        <v/>
      </c>
      <c r="L287" s="75" t="str">
        <v/>
      </c>
      <c r="M287" s="49" t="str">
        <v/>
      </c>
      <c r="N287" s="76" t="str">
        <v/>
      </c>
      <c r="O287" s="49" t="str">
        <v/>
      </c>
      <c r="P287" s="77" t="str">
        <v/>
      </c>
      <c r="Q287" s="53" t="str">
        <v>ВВГнг(А)-LS (3х2,5) L=38-1,94%</v>
      </c>
      <c r="R287" s="54" t="str">
        <v>ШТК-2</v>
      </c>
      <c r="S287" s="55" t="str">
        <v>Шкаф телекоммуникационный ШТК-2  Тех. Этаж Пом №004T</v>
      </c>
      <c r="T287" s="56">
        <v>1.5</v>
      </c>
      <c r="U287" s="56">
        <v>6.84</v>
      </c>
      <c r="V287" s="42" t="str">
        <v>L2</v>
      </c>
      <c r="W287" s="57" t="str">
        <v>ok</v>
      </c>
      <c r="X287" s="58" t="str">
        <v/>
      </c>
      <c r="Y287" s="75" t="str">
        <v/>
      </c>
      <c r="Z287" s="59">
        <v>6.8370426614560946</v>
      </c>
      <c r="AA287" s="61">
        <v>10</v>
      </c>
      <c r="AB287" s="61">
        <v>25</v>
      </c>
      <c r="AC287" s="61" t="str">
        <v/>
      </c>
      <c r="AD287" s="62" t="str">
        <v>QF27</v>
      </c>
      <c r="AE287" s="62" t="str">
        <v/>
      </c>
      <c r="AF287" s="34">
        <v>27</v>
      </c>
      <c r="AG287" s="34" t="str">
        <v>QF27</v>
      </c>
      <c r="AH287" s="34" t="str">
        <v/>
      </c>
      <c r="AI287" s="34" t="str">
        <v/>
      </c>
      <c r="AJ287" s="34" t="str">
        <v>QF27</v>
      </c>
      <c r="AK287" s="34">
        <v>1</v>
      </c>
      <c r="AL287" s="34" t="str">
        <v>ШТК-2</v>
      </c>
      <c r="AM287" s="34">
        <v>0</v>
      </c>
      <c r="AN287" s="34">
        <v>0</v>
      </c>
      <c r="AO287" s="34">
        <v>10</v>
      </c>
      <c r="AP287" s="34">
        <v>25</v>
      </c>
      <c r="AQ287" s="34">
        <v>16</v>
      </c>
      <c r="AR287" s="34">
        <v>1</v>
      </c>
      <c r="AS287" s="34">
        <v>0</v>
      </c>
      <c r="AT287" s="34" t="str">
        <v>1P</v>
      </c>
      <c r="AU287" s="34">
        <v>16</v>
      </c>
      <c r="AV287" s="34" t="str">
        <v/>
      </c>
      <c r="AW287" s="34" t="str">
        <v/>
      </c>
      <c r="AX287" s="34" t="str">
        <v/>
      </c>
      <c r="AY287" s="34">
        <v>1</v>
      </c>
      <c r="AZ287" s="34" t="str">
        <v/>
      </c>
      <c r="BA287" s="34">
        <v>0</v>
      </c>
      <c r="BB287" s="34">
        <v>0</v>
      </c>
      <c r="BD287" s="34">
        <v>1</v>
      </c>
      <c r="BE287" s="34">
        <v>0</v>
      </c>
      <c r="BF287" s="34">
        <v>0</v>
      </c>
      <c r="BG287" s="34" t="str">
        <v/>
      </c>
      <c r="BH287" s="34" t="str">
        <v/>
      </c>
      <c r="BI287" s="34" t="str">
        <v/>
      </c>
      <c r="BJ287" s="34" t="str">
        <v/>
      </c>
      <c r="BK287" s="34" t="str">
        <v>BOX</v>
      </c>
      <c r="BL287" s="34">
        <v>1</v>
      </c>
      <c r="BM287" s="34" t="str">
        <v/>
      </c>
      <c r="BN287" s="34" t="str">
        <v/>
      </c>
      <c r="BO287" s="34" t="str">
        <v/>
      </c>
      <c r="BP287" s="34" t="str">
        <v/>
      </c>
      <c r="BQ287" s="34" t="str">
        <v>3х2,5</v>
      </c>
      <c r="BR287" s="34" t="str">
        <v/>
      </c>
      <c r="BS287" s="34" t="str">
        <v/>
      </c>
      <c r="BT287" s="34" t="str">
        <v/>
      </c>
      <c r="BU287" s="34">
        <v>0</v>
      </c>
      <c r="BV287" s="34">
        <v>308</v>
      </c>
      <c r="BW287" s="34">
        <v>1</v>
      </c>
      <c r="BX287" s="34">
        <v>0</v>
      </c>
      <c r="BY287" s="34" t="str">
        <v/>
      </c>
      <c r="BZ287">
        <v>11</v>
      </c>
      <c r="CA287" t="str">
        <v>линии</v>
      </c>
    </row>
    <row r="288" spans="1:79" x14ac:dyDescent="0.3">
      <c r="A288" s="39" t="str">
        <v>ЩР-2</v>
      </c>
      <c r="B288" s="42">
        <v>41</v>
      </c>
      <c r="C288" s="42">
        <v>3</v>
      </c>
      <c r="D288" s="75" t="str">
        <v/>
      </c>
      <c r="E288" s="75" t="str">
        <v>авто</v>
      </c>
      <c r="F288" s="76" t="str">
        <v/>
      </c>
      <c r="G288" s="47" t="str">
        <v>QF28</v>
      </c>
      <c r="H288" s="47" t="str">
        <v>1P С16А</v>
      </c>
      <c r="I288" s="75" t="str">
        <v/>
      </c>
      <c r="J288" s="76" t="str">
        <v/>
      </c>
      <c r="K288" s="76" t="str">
        <v/>
      </c>
      <c r="L288" s="75" t="str">
        <v/>
      </c>
      <c r="M288" s="49" t="str">
        <v/>
      </c>
      <c r="N288" s="76" t="str">
        <v/>
      </c>
      <c r="O288" s="49" t="str">
        <v/>
      </c>
      <c r="P288" s="77" t="str">
        <v/>
      </c>
      <c r="Q288" s="53" t="str">
        <v>ВВГнг(А)-LS (3х2,5) L=39-3,57%</v>
      </c>
      <c r="R288" s="54" t="str">
        <v>ШТК-ЛВС.3</v>
      </c>
      <c r="S288" s="55" t="str">
        <v>Шкаф телекоммуникационный ШТК-2  Тех. Этаж Пом №004T</v>
      </c>
      <c r="T288" s="56">
        <v>2.7</v>
      </c>
      <c r="U288" s="56">
        <v>12.31</v>
      </c>
      <c r="V288" s="42" t="str">
        <v>L1</v>
      </c>
      <c r="W288" s="57" t="str">
        <v>ok</v>
      </c>
      <c r="X288" s="58" t="str">
        <v/>
      </c>
      <c r="Y288" s="75" t="str">
        <v/>
      </c>
      <c r="Z288" s="59">
        <v>12.306676790620971</v>
      </c>
      <c r="AA288" s="61">
        <v>16</v>
      </c>
      <c r="AB288" s="61">
        <v>25</v>
      </c>
      <c r="AC288" s="61" t="str">
        <v/>
      </c>
      <c r="AD288" s="62" t="str">
        <v>QF28</v>
      </c>
      <c r="AE288" s="62" t="str">
        <v>потери 5,4 % &gt; 4 %</v>
      </c>
      <c r="AF288" s="34">
        <v>28</v>
      </c>
      <c r="AG288" s="34" t="str">
        <v>QF28</v>
      </c>
      <c r="AH288" s="34" t="str">
        <v/>
      </c>
      <c r="AI288" s="34" t="str">
        <v/>
      </c>
      <c r="AJ288" s="34" t="str">
        <v>QF28</v>
      </c>
      <c r="AK288" s="34">
        <v>1</v>
      </c>
      <c r="AL288" s="34" t="str">
        <v>ШТК-ЛВС</v>
      </c>
      <c r="AM288" s="34">
        <v>0</v>
      </c>
      <c r="AN288" s="34">
        <v>0</v>
      </c>
      <c r="AO288" s="34">
        <v>16</v>
      </c>
      <c r="AP288" s="34">
        <v>25</v>
      </c>
      <c r="AQ288" s="34">
        <v>16</v>
      </c>
      <c r="AR288" s="34">
        <v>1</v>
      </c>
      <c r="AS288" s="34">
        <v>0</v>
      </c>
      <c r="AT288" s="34" t="str">
        <v>1P</v>
      </c>
      <c r="AU288" s="34">
        <v>16</v>
      </c>
      <c r="AV288" s="34" t="str">
        <v/>
      </c>
      <c r="AW288" s="34" t="str">
        <v/>
      </c>
      <c r="AX288" s="34" t="str">
        <v/>
      </c>
      <c r="AY288" s="34">
        <v>1</v>
      </c>
      <c r="AZ288" s="34" t="str">
        <v/>
      </c>
      <c r="BA288" s="34">
        <v>0</v>
      </c>
      <c r="BB288" s="34">
        <v>0</v>
      </c>
      <c r="BD288" s="34">
        <v>1</v>
      </c>
      <c r="BE288" s="34">
        <v>0</v>
      </c>
      <c r="BF288" s="34">
        <v>0</v>
      </c>
      <c r="BG288" s="34" t="str">
        <v/>
      </c>
      <c r="BH288" s="34" t="str">
        <v/>
      </c>
      <c r="BI288" s="34" t="str">
        <v/>
      </c>
      <c r="BJ288" s="34" t="str">
        <v/>
      </c>
      <c r="BK288" s="34" t="str">
        <v>BOX</v>
      </c>
      <c r="BL288" s="34">
        <v>1</v>
      </c>
      <c r="BM288" s="34" t="str">
        <v/>
      </c>
      <c r="BN288" s="34" t="str">
        <v/>
      </c>
      <c r="BO288" s="34" t="str">
        <v/>
      </c>
      <c r="BP288" s="34" t="str">
        <v/>
      </c>
      <c r="BQ288" s="34" t="str">
        <v>3х2,5</v>
      </c>
      <c r="BR288" s="34" t="str">
        <v/>
      </c>
      <c r="BS288" s="34" t="str">
        <v/>
      </c>
      <c r="BT288" s="34" t="str">
        <v/>
      </c>
      <c r="BU288" s="34">
        <v>1</v>
      </c>
      <c r="BV288" s="34">
        <v>309</v>
      </c>
      <c r="BW288" s="34">
        <v>1</v>
      </c>
      <c r="BX288" s="34">
        <v>0</v>
      </c>
      <c r="BY288" s="34">
        <v>0</v>
      </c>
      <c r="BZ288">
        <v>11</v>
      </c>
      <c r="CA288" t="str">
        <v>линии</v>
      </c>
    </row>
    <row r="289" spans="1:79" x14ac:dyDescent="0.3">
      <c r="A289" s="39" t="str">
        <v>ЩР-2</v>
      </c>
      <c r="B289" s="42">
        <v>43</v>
      </c>
      <c r="C289" s="42">
        <v>3</v>
      </c>
      <c r="D289" s="75" t="str">
        <v/>
      </c>
      <c r="E289" s="75" t="str">
        <v>авто</v>
      </c>
      <c r="F289" s="76" t="str">
        <v/>
      </c>
      <c r="G289" s="47" t="str">
        <v>QF29</v>
      </c>
      <c r="H289" s="47" t="str">
        <v>1P С16А</v>
      </c>
      <c r="I289" s="75" t="str">
        <v/>
      </c>
      <c r="J289" s="76" t="str">
        <v/>
      </c>
      <c r="K289" s="76" t="str">
        <v/>
      </c>
      <c r="L289" s="75" t="str">
        <v/>
      </c>
      <c r="M289" s="49" t="str">
        <v/>
      </c>
      <c r="N289" s="76" t="str">
        <v/>
      </c>
      <c r="O289" s="49" t="str">
        <v/>
      </c>
      <c r="P289" s="77" t="str">
        <v/>
      </c>
      <c r="Q289" s="53" t="str">
        <v>ВВГнг(А)-LS (3х2,5) L=8-0,14%</v>
      </c>
      <c r="R289" s="54" t="str">
        <v>ШКД.3</v>
      </c>
      <c r="S289" s="55" t="str">
        <v>Щит контроля доступа ЩКД-2  Тех. Этаж Пом №001T</v>
      </c>
      <c r="T289" s="56">
        <v>0.5</v>
      </c>
      <c r="U289" s="56">
        <v>2.2799999999999998</v>
      </c>
      <c r="V289" s="42" t="str">
        <v>L3</v>
      </c>
      <c r="W289" s="57" t="str">
        <v>ok</v>
      </c>
      <c r="X289" s="58" t="str">
        <v/>
      </c>
      <c r="Y289" s="75" t="str">
        <v/>
      </c>
      <c r="Z289" s="59">
        <v>2.2790142204853647</v>
      </c>
      <c r="AA289" s="61">
        <v>6</v>
      </c>
      <c r="AB289" s="61">
        <v>25</v>
      </c>
      <c r="AC289" s="61" t="str">
        <v/>
      </c>
      <c r="AD289" s="62" t="str">
        <v>QF29</v>
      </c>
      <c r="AE289" s="62" t="str">
        <v/>
      </c>
      <c r="AF289" s="34">
        <v>29</v>
      </c>
      <c r="AG289" s="34" t="str">
        <v>QF29</v>
      </c>
      <c r="AH289" s="34" t="str">
        <v/>
      </c>
      <c r="AI289" s="34" t="str">
        <v/>
      </c>
      <c r="AJ289" s="34" t="str">
        <v>QF29</v>
      </c>
      <c r="AK289" s="34">
        <v>1</v>
      </c>
      <c r="AL289" s="34" t="str">
        <v>ШКД</v>
      </c>
      <c r="AM289" s="34">
        <v>0</v>
      </c>
      <c r="AN289" s="34">
        <v>0</v>
      </c>
      <c r="AO289" s="34">
        <v>6</v>
      </c>
      <c r="AP289" s="34">
        <v>25</v>
      </c>
      <c r="AQ289" s="34">
        <v>16</v>
      </c>
      <c r="AR289" s="34">
        <v>1</v>
      </c>
      <c r="AS289" s="34">
        <v>0</v>
      </c>
      <c r="AT289" s="34" t="str">
        <v>1P</v>
      </c>
      <c r="AU289" s="34">
        <v>16</v>
      </c>
      <c r="AV289" s="34" t="str">
        <v/>
      </c>
      <c r="AW289" s="34" t="str">
        <v/>
      </c>
      <c r="AX289" s="34" t="str">
        <v/>
      </c>
      <c r="AY289" s="34">
        <v>1</v>
      </c>
      <c r="AZ289" s="34" t="str">
        <v/>
      </c>
      <c r="BA289" s="34">
        <v>0</v>
      </c>
      <c r="BB289" s="34">
        <v>0</v>
      </c>
      <c r="BD289" s="34">
        <v>1</v>
      </c>
      <c r="BE289" s="34">
        <v>0</v>
      </c>
      <c r="BF289" s="34">
        <v>0</v>
      </c>
      <c r="BG289" s="34" t="str">
        <v/>
      </c>
      <c r="BH289" s="34" t="str">
        <v/>
      </c>
      <c r="BI289" s="34" t="str">
        <v/>
      </c>
      <c r="BJ289" s="34" t="str">
        <v/>
      </c>
      <c r="BK289" s="34" t="str">
        <v>BOX</v>
      </c>
      <c r="BL289" s="34">
        <v>1</v>
      </c>
      <c r="BM289" s="34" t="str">
        <v/>
      </c>
      <c r="BN289" s="34" t="str">
        <v/>
      </c>
      <c r="BO289" s="34" t="str">
        <v/>
      </c>
      <c r="BP289" s="34" t="str">
        <v/>
      </c>
      <c r="BQ289" s="34" t="str">
        <v>3х2,5</v>
      </c>
      <c r="BR289" s="34" t="str">
        <v/>
      </c>
      <c r="BS289" s="34" t="str">
        <v/>
      </c>
      <c r="BT289" s="34" t="str">
        <v/>
      </c>
      <c r="BU289" s="34">
        <v>0</v>
      </c>
      <c r="BV289" s="34">
        <v>310</v>
      </c>
      <c r="BW289" s="34">
        <v>1</v>
      </c>
      <c r="BX289" s="34">
        <v>0</v>
      </c>
      <c r="BY289" s="34" t="str">
        <v/>
      </c>
      <c r="BZ289">
        <v>11</v>
      </c>
      <c r="CA289" t="str">
        <v>линии</v>
      </c>
    </row>
    <row r="290" spans="1:79" x14ac:dyDescent="0.3">
      <c r="A290" s="39" t="str">
        <v>ЩС-Б</v>
      </c>
      <c r="B290" s="42">
        <v>2</v>
      </c>
      <c r="C290" s="42">
        <v>1</v>
      </c>
      <c r="D290" s="75" t="str">
        <v/>
      </c>
      <c r="E290" s="75" t="str">
        <v>авто</v>
      </c>
      <c r="F290" s="76" t="str">
        <v/>
      </c>
      <c r="G290" s="47" t="str">
        <v/>
      </c>
      <c r="H290" s="47" t="str">
        <v>3P С40А</v>
      </c>
      <c r="I290" s="75" t="str">
        <v/>
      </c>
      <c r="J290" s="76" t="str">
        <v/>
      </c>
      <c r="K290" s="76" t="str">
        <v/>
      </c>
      <c r="L290" s="75" t="str">
        <v/>
      </c>
      <c r="M290" s="49" t="str">
        <v/>
      </c>
      <c r="N290" s="76" t="str">
        <v/>
      </c>
      <c r="O290" s="49" t="str">
        <v/>
      </c>
      <c r="P290" s="77" t="str">
        <v/>
      </c>
      <c r="Q290" s="53" t="str">
        <v>ВВГнг(А)-LS (5х10) L=51-0,92%</v>
      </c>
      <c r="R290" s="54" t="str">
        <v>Ввод.1</v>
      </c>
      <c r="S290" s="55" t="str">
        <v>Вводной кабель шлейф 1</v>
      </c>
      <c r="T290" s="56">
        <v>24.990000000000002</v>
      </c>
      <c r="U290" s="56">
        <v>22.55</v>
      </c>
      <c r="V290" s="42" t="str">
        <v>L1,L2,L3</v>
      </c>
      <c r="W290" s="57" t="str">
        <v>ok</v>
      </c>
      <c r="X290" s="58" t="str">
        <v/>
      </c>
      <c r="Y290" s="75" t="str">
        <v>вручную</v>
      </c>
      <c r="Z290" s="59">
        <v>22.54372379226367</v>
      </c>
      <c r="AA290" s="61">
        <v>32</v>
      </c>
      <c r="AB290" s="61">
        <v>50</v>
      </c>
      <c r="AC290" s="61" t="str">
        <v/>
      </c>
      <c r="AD290" s="62" t="str">
        <v/>
      </c>
      <c r="AE290" s="62" t="str">
        <v/>
      </c>
      <c r="AF290" s="34" t="str">
        <v/>
      </c>
      <c r="AG290" s="34" t="str">
        <v/>
      </c>
      <c r="AH290" s="34" t="str">
        <v/>
      </c>
      <c r="AI290" s="34" t="str">
        <v/>
      </c>
      <c r="AJ290" s="34" t="str">
        <v/>
      </c>
      <c r="AK290" s="34">
        <v>3</v>
      </c>
      <c r="AL290" s="34" t="str">
        <v>Ввод</v>
      </c>
      <c r="AM290" s="34">
        <v>0</v>
      </c>
      <c r="AN290" s="34">
        <v>0</v>
      </c>
      <c r="AO290" s="34">
        <v>32</v>
      </c>
      <c r="AP290" s="34">
        <v>50</v>
      </c>
      <c r="AQ290" s="34">
        <v>40</v>
      </c>
      <c r="AR290" s="34">
        <v>3</v>
      </c>
      <c r="AS290" s="34">
        <v>0</v>
      </c>
      <c r="AT290" s="34" t="str">
        <v>3P</v>
      </c>
      <c r="AU290" s="34">
        <v>40</v>
      </c>
      <c r="AV290" s="34" t="str">
        <v/>
      </c>
      <c r="AW290" s="34" t="str">
        <v/>
      </c>
      <c r="AX290" s="34" t="str">
        <v/>
      </c>
      <c r="AY290" s="34">
        <v>0</v>
      </c>
      <c r="AZ290" s="34" t="str">
        <v/>
      </c>
      <c r="BA290" s="34">
        <v>0</v>
      </c>
      <c r="BB290" s="34">
        <v>0</v>
      </c>
      <c r="BD290" s="34">
        <v>0</v>
      </c>
      <c r="BE290" s="34">
        <v>0</v>
      </c>
      <c r="BF290" s="34">
        <v>0</v>
      </c>
      <c r="BG290" s="34" t="str">
        <v/>
      </c>
      <c r="BH290" s="34" t="str">
        <v/>
      </c>
      <c r="BI290" s="34" t="str">
        <v/>
      </c>
      <c r="BJ290" s="34" t="str">
        <v/>
      </c>
      <c r="BK290" s="34" t="str">
        <v>BOX</v>
      </c>
      <c r="BL290" s="34">
        <v>1</v>
      </c>
      <c r="BM290" s="34" t="str">
        <v/>
      </c>
      <c r="BN290" s="34" t="str">
        <v/>
      </c>
      <c r="BO290" s="34" t="str">
        <v/>
      </c>
      <c r="BP290" s="34" t="str">
        <v/>
      </c>
      <c r="BQ290" s="34" t="str">
        <v/>
      </c>
      <c r="BR290" s="34" t="str">
        <v/>
      </c>
      <c r="BS290" s="34" t="str">
        <v/>
      </c>
      <c r="BT290" s="34" t="str">
        <v/>
      </c>
      <c r="BU290" s="34">
        <v>0</v>
      </c>
      <c r="BV290" s="34">
        <v>311</v>
      </c>
      <c r="BW290" s="34">
        <v>0</v>
      </c>
      <c r="BX290" s="34">
        <v>0</v>
      </c>
      <c r="BY290" s="34">
        <v>0</v>
      </c>
      <c r="BZ290">
        <v>12</v>
      </c>
      <c r="CA290" t="str">
        <v>вводной узел</v>
      </c>
    </row>
    <row r="291" spans="1:79" x14ac:dyDescent="0.3">
      <c r="A291" s="39" t="str">
        <v>ЩС-Б</v>
      </c>
      <c r="B291" s="42">
        <v>12</v>
      </c>
      <c r="C291" s="42">
        <v>1</v>
      </c>
      <c r="D291" s="75" t="str">
        <v/>
      </c>
      <c r="E291" s="75" t="str">
        <v>авто</v>
      </c>
      <c r="F291" s="76" t="str">
        <v/>
      </c>
      <c r="G291" s="47" t="str">
        <v>QF1</v>
      </c>
      <c r="H291" s="47" t="str">
        <v>3P С20А</v>
      </c>
      <c r="I291" s="75" t="str">
        <v/>
      </c>
      <c r="J291" s="76" t="str">
        <v/>
      </c>
      <c r="K291" s="76" t="str">
        <v/>
      </c>
      <c r="L291" s="75" t="str">
        <v/>
      </c>
      <c r="M291" s="49" t="str">
        <v/>
      </c>
      <c r="N291" s="76" t="str">
        <v/>
      </c>
      <c r="O291" s="49" t="str">
        <v/>
      </c>
      <c r="P291" s="77" t="str">
        <v>XT1</v>
      </c>
      <c r="Q291" s="53" t="str">
        <v>ВВГнг(А)-LS (5х4) L=21-0,94%</v>
      </c>
      <c r="R291" s="54" t="str">
        <v>Э.1</v>
      </c>
      <c r="S291" s="55" t="str">
        <v>Управляющий электрощит бассейна Подвальный этаж Пом. 002Тб</v>
      </c>
      <c r="T291" s="56">
        <v>12.45</v>
      </c>
      <c r="U291" s="56">
        <v>22.470000000000002</v>
      </c>
      <c r="V291" s="42" t="str">
        <v>L1,L2,L3</v>
      </c>
      <c r="W291" s="57" t="str">
        <v>ПЕРЕГРУЗ</v>
      </c>
      <c r="X291" s="58" t="str">
        <v/>
      </c>
      <c r="Y291" s="75" t="str">
        <v/>
      </c>
      <c r="Z291" s="59">
        <v>22.462533910658877</v>
      </c>
      <c r="AA291" s="61">
        <v>25</v>
      </c>
      <c r="AB291" s="61">
        <v>32</v>
      </c>
      <c r="AC291" s="61" t="str">
        <v/>
      </c>
      <c r="AD291" s="62" t="str">
        <v>QF1 → XT1</v>
      </c>
      <c r="AE291" s="62" t="str">
        <v>ПЕРЕГРУЗ</v>
      </c>
      <c r="AF291" s="34">
        <v>1</v>
      </c>
      <c r="AG291" s="34" t="str">
        <v>QF1</v>
      </c>
      <c r="AH291" s="34" t="str">
        <v/>
      </c>
      <c r="AI291" s="34" t="str">
        <v/>
      </c>
      <c r="AJ291" s="34" t="str">
        <v>QF1</v>
      </c>
      <c r="AK291" s="34">
        <v>3</v>
      </c>
      <c r="AL291" s="34" t="str">
        <v>Э</v>
      </c>
      <c r="AM291" s="34">
        <v>0</v>
      </c>
      <c r="AN291" s="34">
        <v>0</v>
      </c>
      <c r="AO291" s="34">
        <v>25</v>
      </c>
      <c r="AP291" s="34">
        <v>32</v>
      </c>
      <c r="AQ291" s="34">
        <v>20</v>
      </c>
      <c r="AR291" s="34">
        <v>3</v>
      </c>
      <c r="AS291" s="34">
        <v>0</v>
      </c>
      <c r="AT291" s="34" t="str">
        <v>3P</v>
      </c>
      <c r="AU291" s="34">
        <v>20</v>
      </c>
      <c r="AV291" s="34" t="str">
        <v/>
      </c>
      <c r="AW291" s="34" t="str">
        <v/>
      </c>
      <c r="AX291" s="34" t="str">
        <v/>
      </c>
      <c r="AY291" s="34">
        <v>1</v>
      </c>
      <c r="AZ291" s="34" t="str">
        <v/>
      </c>
      <c r="BA291" s="34">
        <v>0</v>
      </c>
      <c r="BB291" s="34">
        <v>0</v>
      </c>
      <c r="BD291" s="34">
        <v>1</v>
      </c>
      <c r="BE291" s="34">
        <v>0</v>
      </c>
      <c r="BF291" s="34">
        <v>0</v>
      </c>
      <c r="BG291" s="34" t="str">
        <v/>
      </c>
      <c r="BH291" s="34" t="str">
        <v/>
      </c>
      <c r="BI291" s="34" t="str">
        <v/>
      </c>
      <c r="BJ291" s="34" t="str">
        <v/>
      </c>
      <c r="BK291" s="34" t="str">
        <v>BOX</v>
      </c>
      <c r="BL291" s="34">
        <v>1</v>
      </c>
      <c r="BM291" s="34" t="str">
        <v/>
      </c>
      <c r="BN291" s="34" t="str">
        <v/>
      </c>
      <c r="BO291" s="34" t="str">
        <v/>
      </c>
      <c r="BP291" s="34" t="str">
        <v/>
      </c>
      <c r="BQ291" s="34" t="str">
        <v>5х4</v>
      </c>
      <c r="BR291" s="34" t="str">
        <v/>
      </c>
      <c r="BS291" s="34" t="str">
        <v/>
      </c>
      <c r="BT291" s="34" t="str">
        <v/>
      </c>
      <c r="BU291" s="34">
        <v>2</v>
      </c>
      <c r="BV291" s="34">
        <v>312</v>
      </c>
      <c r="BW291" s="34">
        <v>1</v>
      </c>
      <c r="BX291" s="34">
        <v>2</v>
      </c>
      <c r="BY291" s="34">
        <v>0</v>
      </c>
      <c r="BZ291">
        <v>12</v>
      </c>
      <c r="CA291" t="str">
        <v>линии</v>
      </c>
    </row>
    <row r="292" spans="1:79" x14ac:dyDescent="0.3">
      <c r="A292" s="39" t="str">
        <v>ЩС-Б</v>
      </c>
      <c r="B292" s="42">
        <v>13</v>
      </c>
      <c r="C292" s="42">
        <v>1</v>
      </c>
      <c r="D292" s="75" t="str">
        <v/>
      </c>
      <c r="E292" s="75" t="str">
        <v>авто</v>
      </c>
      <c r="F292" s="76" t="str">
        <v/>
      </c>
      <c r="G292" s="47" t="str">
        <v>QF2</v>
      </c>
      <c r="H292" s="47" t="str">
        <v>3P С16А</v>
      </c>
      <c r="I292" s="75" t="str">
        <v/>
      </c>
      <c r="J292" s="76" t="str">
        <v/>
      </c>
      <c r="K292" s="76" t="str">
        <v/>
      </c>
      <c r="L292" s="75" t="str">
        <v/>
      </c>
      <c r="M292" s="49" t="str">
        <v/>
      </c>
      <c r="N292" s="76" t="str">
        <v/>
      </c>
      <c r="O292" s="49" t="str">
        <v/>
      </c>
      <c r="P292" s="77" t="str">
        <v>XT2</v>
      </c>
      <c r="Q292" s="53" t="str">
        <v>ВВГнг(А)-LS (5х2,5) L=40-1,06%</v>
      </c>
      <c r="R292" s="54" t="str">
        <v>Э.2</v>
      </c>
      <c r="S292" s="55" t="str">
        <v>Горячая купель Подвальный этаж Пом. 002Тб</v>
      </c>
      <c r="T292" s="56">
        <v>4.6500000000000004</v>
      </c>
      <c r="U292" s="56">
        <v>8.39</v>
      </c>
      <c r="V292" s="42" t="str">
        <v>L1,L2,L3</v>
      </c>
      <c r="W292" s="57" t="str">
        <v>ok</v>
      </c>
      <c r="X292" s="58" t="str">
        <v/>
      </c>
      <c r="Y292" s="75" t="str">
        <v/>
      </c>
      <c r="Z292" s="59">
        <v>8.3896210991617508</v>
      </c>
      <c r="AA292" s="61">
        <v>10</v>
      </c>
      <c r="AB292" s="61">
        <v>20</v>
      </c>
      <c r="AC292" s="61" t="str">
        <v/>
      </c>
      <c r="AD292" s="62" t="str">
        <v>QF2 → XT2</v>
      </c>
      <c r="AE292" s="62" t="str">
        <v/>
      </c>
      <c r="AF292" s="34">
        <v>2</v>
      </c>
      <c r="AG292" s="34" t="str">
        <v>QF2</v>
      </c>
      <c r="AH292" s="34" t="str">
        <v/>
      </c>
      <c r="AI292" s="34" t="str">
        <v/>
      </c>
      <c r="AJ292" s="34" t="str">
        <v>QF2</v>
      </c>
      <c r="AK292" s="34">
        <v>3</v>
      </c>
      <c r="AL292" s="34" t="str">
        <v>Э</v>
      </c>
      <c r="AM292" s="34">
        <v>0</v>
      </c>
      <c r="AN292" s="34">
        <v>0</v>
      </c>
      <c r="AO292" s="34">
        <v>10</v>
      </c>
      <c r="AP292" s="34">
        <v>20</v>
      </c>
      <c r="AQ292" s="34">
        <v>16</v>
      </c>
      <c r="AR292" s="34">
        <v>3</v>
      </c>
      <c r="AS292" s="34">
        <v>0</v>
      </c>
      <c r="AT292" s="34" t="str">
        <v>3P</v>
      </c>
      <c r="AU292" s="34">
        <v>16</v>
      </c>
      <c r="AV292" s="34" t="str">
        <v/>
      </c>
      <c r="AW292" s="34" t="str">
        <v/>
      </c>
      <c r="AX292" s="34" t="str">
        <v/>
      </c>
      <c r="AY292" s="34">
        <v>1</v>
      </c>
      <c r="AZ292" s="34" t="str">
        <v/>
      </c>
      <c r="BA292" s="34">
        <v>0</v>
      </c>
      <c r="BB292" s="34">
        <v>0</v>
      </c>
      <c r="BD292" s="34">
        <v>1</v>
      </c>
      <c r="BE292" s="34">
        <v>0</v>
      </c>
      <c r="BF292" s="34">
        <v>0</v>
      </c>
      <c r="BG292" s="34" t="str">
        <v/>
      </c>
      <c r="BH292" s="34" t="str">
        <v/>
      </c>
      <c r="BI292" s="34" t="str">
        <v/>
      </c>
      <c r="BJ292" s="34" t="str">
        <v/>
      </c>
      <c r="BK292" s="34" t="str">
        <v>BOX</v>
      </c>
      <c r="BL292" s="34">
        <v>1</v>
      </c>
      <c r="BM292" s="34" t="str">
        <v/>
      </c>
      <c r="BN292" s="34" t="str">
        <v/>
      </c>
      <c r="BO292" s="34" t="str">
        <v/>
      </c>
      <c r="BP292" s="34" t="str">
        <v/>
      </c>
      <c r="BQ292" s="34" t="str">
        <v>5х2,5</v>
      </c>
      <c r="BR292" s="34" t="str">
        <v/>
      </c>
      <c r="BS292" s="34" t="str">
        <v/>
      </c>
      <c r="BT292" s="34" t="str">
        <v/>
      </c>
      <c r="BU292" s="34">
        <v>0</v>
      </c>
      <c r="BV292" s="34">
        <v>313</v>
      </c>
      <c r="BW292" s="34">
        <v>1</v>
      </c>
      <c r="BX292" s="34">
        <v>2</v>
      </c>
      <c r="BY292" s="34">
        <v>0</v>
      </c>
      <c r="BZ292">
        <v>12</v>
      </c>
      <c r="CA292" t="str">
        <v>линии</v>
      </c>
    </row>
    <row r="293" spans="1:79" x14ac:dyDescent="0.3">
      <c r="A293" s="39" t="str">
        <v>ЩС-Б</v>
      </c>
      <c r="B293" s="42">
        <v>14</v>
      </c>
      <c r="C293" s="42">
        <v>1</v>
      </c>
      <c r="D293" s="75" t="str">
        <v/>
      </c>
      <c r="E293" s="75" t="str">
        <v>авто</v>
      </c>
      <c r="F293" s="76" t="str">
        <v/>
      </c>
      <c r="G293" s="47" t="str">
        <v>QF3</v>
      </c>
      <c r="H293" s="47" t="str">
        <v>3P С16А</v>
      </c>
      <c r="I293" s="75" t="str">
        <v/>
      </c>
      <c r="J293" s="76" t="str">
        <v/>
      </c>
      <c r="K293" s="76" t="str">
        <v/>
      </c>
      <c r="L293" s="75" t="str">
        <v/>
      </c>
      <c r="M293" s="49" t="str">
        <v/>
      </c>
      <c r="N293" s="76" t="str">
        <v/>
      </c>
      <c r="O293" s="49" t="str">
        <v/>
      </c>
      <c r="P293" s="77" t="str">
        <v>XT3</v>
      </c>
      <c r="Q293" s="53" t="str">
        <v>ВВГнг(А)-LS (5х2,5) L=30-1,35%</v>
      </c>
      <c r="R293" s="54" t="str">
        <v>Э.3</v>
      </c>
      <c r="S293" s="55" t="str">
        <v>Холодная купель Подвальный этаж Пом. 002Тб</v>
      </c>
      <c r="T293" s="56">
        <v>7.89</v>
      </c>
      <c r="U293" s="56">
        <v>14.24</v>
      </c>
      <c r="V293" s="42" t="str">
        <v>L1,L2,L3</v>
      </c>
      <c r="W293" s="57" t="str">
        <v>ok</v>
      </c>
      <c r="X293" s="58" t="str">
        <v/>
      </c>
      <c r="Y293" s="75" t="str">
        <v/>
      </c>
      <c r="Z293" s="59">
        <v>14.23529257470671</v>
      </c>
      <c r="AA293" s="61">
        <v>16</v>
      </c>
      <c r="AB293" s="61">
        <v>20</v>
      </c>
      <c r="AC293" s="61" t="str">
        <v/>
      </c>
      <c r="AD293" s="62" t="str">
        <v>QF3 → XT3</v>
      </c>
      <c r="AE293" s="62" t="str">
        <v/>
      </c>
      <c r="AF293" s="34">
        <v>3</v>
      </c>
      <c r="AG293" s="34" t="str">
        <v>QF3</v>
      </c>
      <c r="AH293" s="34" t="str">
        <v/>
      </c>
      <c r="AI293" s="34" t="str">
        <v/>
      </c>
      <c r="AJ293" s="34" t="str">
        <v>QF3</v>
      </c>
      <c r="AK293" s="34">
        <v>3</v>
      </c>
      <c r="AL293" s="34" t="str">
        <v>Э</v>
      </c>
      <c r="AM293" s="34">
        <v>0</v>
      </c>
      <c r="AN293" s="34">
        <v>0</v>
      </c>
      <c r="AO293" s="34">
        <v>16</v>
      </c>
      <c r="AP293" s="34">
        <v>20</v>
      </c>
      <c r="AQ293" s="34">
        <v>16</v>
      </c>
      <c r="AR293" s="34">
        <v>3</v>
      </c>
      <c r="AS293" s="34">
        <v>0</v>
      </c>
      <c r="AT293" s="34" t="str">
        <v>3P</v>
      </c>
      <c r="AU293" s="34">
        <v>16</v>
      </c>
      <c r="AV293" s="34" t="str">
        <v/>
      </c>
      <c r="AW293" s="34" t="str">
        <v/>
      </c>
      <c r="AX293" s="34" t="str">
        <v/>
      </c>
      <c r="AY293" s="34">
        <v>1</v>
      </c>
      <c r="AZ293" s="34" t="str">
        <v/>
      </c>
      <c r="BA293" s="34">
        <v>0</v>
      </c>
      <c r="BB293" s="34">
        <v>0</v>
      </c>
      <c r="BD293" s="34">
        <v>1</v>
      </c>
      <c r="BE293" s="34">
        <v>0</v>
      </c>
      <c r="BF293" s="34">
        <v>0</v>
      </c>
      <c r="BG293" s="34" t="str">
        <v/>
      </c>
      <c r="BH293" s="34" t="str">
        <v/>
      </c>
      <c r="BI293" s="34" t="str">
        <v/>
      </c>
      <c r="BJ293" s="34" t="str">
        <v/>
      </c>
      <c r="BK293" s="34" t="str">
        <v>BOX</v>
      </c>
      <c r="BL293" s="34">
        <v>1</v>
      </c>
      <c r="BM293" s="34" t="str">
        <v/>
      </c>
      <c r="BN293" s="34" t="str">
        <v/>
      </c>
      <c r="BO293" s="34" t="str">
        <v/>
      </c>
      <c r="BP293" s="34" t="str">
        <v/>
      </c>
      <c r="BQ293" s="34" t="str">
        <v>5х2,5</v>
      </c>
      <c r="BR293" s="34" t="str">
        <v/>
      </c>
      <c r="BS293" s="34" t="str">
        <v/>
      </c>
      <c r="BT293" s="34" t="str">
        <v/>
      </c>
      <c r="BU293" s="34">
        <v>0</v>
      </c>
      <c r="BV293" s="34">
        <v>314</v>
      </c>
      <c r="BW293" s="34">
        <v>1</v>
      </c>
      <c r="BX293" s="34">
        <v>2</v>
      </c>
      <c r="BY293" s="34">
        <v>0</v>
      </c>
      <c r="BZ293">
        <v>12</v>
      </c>
      <c r="CA293" t="str">
        <v>линии</v>
      </c>
    </row>
    <row r="294" spans="1:79" x14ac:dyDescent="0.3">
      <c r="A294" s="39" t="str">
        <v>ЩС-ВК.001</v>
      </c>
      <c r="B294" s="42">
        <v>2</v>
      </c>
      <c r="C294" s="42">
        <v>1</v>
      </c>
      <c r="D294" s="75" t="str">
        <v/>
      </c>
      <c r="E294" s="75" t="str">
        <v>авто</v>
      </c>
      <c r="F294" s="76" t="str">
        <v/>
      </c>
      <c r="G294" s="47" t="str">
        <v/>
      </c>
      <c r="H294" s="47" t="str">
        <v>1P С20А</v>
      </c>
      <c r="I294" s="75" t="str">
        <v/>
      </c>
      <c r="J294" s="76" t="str">
        <v/>
      </c>
      <c r="K294" s="76" t="str">
        <v/>
      </c>
      <c r="L294" s="75" t="str">
        <v/>
      </c>
      <c r="M294" s="49" t="str">
        <v/>
      </c>
      <c r="N294" s="76" t="str">
        <v/>
      </c>
      <c r="O294" s="49" t="str">
        <v/>
      </c>
      <c r="P294" s="77" t="str">
        <v/>
      </c>
      <c r="Q294" s="53" t="str">
        <v>ВВГнг(А)-LS (3х4) L=50-2,03%</v>
      </c>
      <c r="R294" s="54" t="str">
        <v>Ввод.1</v>
      </c>
      <c r="S294" s="55" t="str">
        <v>Вводной кабель шлейф 1</v>
      </c>
      <c r="T294" s="56">
        <v>3.8000000000000003</v>
      </c>
      <c r="U294" s="56">
        <v>10.29</v>
      </c>
      <c r="V294" s="42" t="str">
        <v>L2</v>
      </c>
      <c r="W294" s="57" t="str">
        <v>ok</v>
      </c>
      <c r="X294" s="58" t="str">
        <v/>
      </c>
      <c r="Y294" s="75" t="str">
        <v>вручную</v>
      </c>
      <c r="Z294" s="59">
        <v>10.28405166994021</v>
      </c>
      <c r="AA294" s="61">
        <v>16</v>
      </c>
      <c r="AB294" s="61">
        <v>32</v>
      </c>
      <c r="AC294" s="61" t="str">
        <v/>
      </c>
      <c r="AD294" s="62" t="str">
        <v/>
      </c>
      <c r="AE294" s="62" t="str">
        <v>потери 4,2 % &gt; 4 %</v>
      </c>
      <c r="AF294" s="34" t="str">
        <v/>
      </c>
      <c r="AG294" s="34" t="str">
        <v/>
      </c>
      <c r="AH294" s="34" t="str">
        <v/>
      </c>
      <c r="AI294" s="34" t="str">
        <v/>
      </c>
      <c r="AJ294" s="34" t="str">
        <v/>
      </c>
      <c r="AK294" s="34">
        <v>1</v>
      </c>
      <c r="AL294" s="34" t="str">
        <v>Ввод</v>
      </c>
      <c r="AM294" s="34">
        <v>0</v>
      </c>
      <c r="AN294" s="34">
        <v>0</v>
      </c>
      <c r="AO294" s="34">
        <v>16</v>
      </c>
      <c r="AP294" s="34">
        <v>32</v>
      </c>
      <c r="AQ294" s="34">
        <v>20</v>
      </c>
      <c r="AR294" s="34">
        <v>1</v>
      </c>
      <c r="AS294" s="34">
        <v>0</v>
      </c>
      <c r="AT294" s="34" t="str">
        <v>1P</v>
      </c>
      <c r="AU294" s="34">
        <v>20</v>
      </c>
      <c r="AV294" s="34" t="str">
        <v/>
      </c>
      <c r="AW294" s="34" t="str">
        <v/>
      </c>
      <c r="AX294" s="34" t="str">
        <v/>
      </c>
      <c r="AY294" s="34">
        <v>0</v>
      </c>
      <c r="AZ294" s="34" t="str">
        <v/>
      </c>
      <c r="BA294" s="34">
        <v>0</v>
      </c>
      <c r="BB294" s="34">
        <v>0</v>
      </c>
      <c r="BD294" s="34">
        <v>0</v>
      </c>
      <c r="BE294" s="34">
        <v>0</v>
      </c>
      <c r="BF294" s="34">
        <v>0</v>
      </c>
      <c r="BG294" s="34" t="str">
        <v/>
      </c>
      <c r="BH294" s="34" t="str">
        <v/>
      </c>
      <c r="BI294" s="34" t="str">
        <v/>
      </c>
      <c r="BJ294" s="34" t="str">
        <v/>
      </c>
      <c r="BK294" s="34" t="str">
        <v>BOX</v>
      </c>
      <c r="BL294" s="34">
        <v>1</v>
      </c>
      <c r="BM294" s="34" t="str">
        <v/>
      </c>
      <c r="BN294" s="34" t="str">
        <v/>
      </c>
      <c r="BO294" s="34" t="str">
        <v/>
      </c>
      <c r="BP294" s="34" t="str">
        <v/>
      </c>
      <c r="BQ294" s="34" t="str">
        <v/>
      </c>
      <c r="BR294" s="34" t="str">
        <v/>
      </c>
      <c r="BS294" s="34" t="str">
        <v/>
      </c>
      <c r="BT294" s="34" t="str">
        <v/>
      </c>
      <c r="BU294" s="34">
        <v>1</v>
      </c>
      <c r="BV294" s="34">
        <v>315</v>
      </c>
      <c r="BW294" s="34">
        <v>0</v>
      </c>
      <c r="BX294" s="34">
        <v>0</v>
      </c>
      <c r="BY294" s="34">
        <v>0</v>
      </c>
      <c r="BZ294">
        <v>13</v>
      </c>
      <c r="CA294" t="str">
        <v>вводной узел</v>
      </c>
    </row>
    <row r="295" spans="1:79" x14ac:dyDescent="0.3">
      <c r="A295" s="39" t="str">
        <v>ЩС-ВК.001</v>
      </c>
      <c r="B295" s="42">
        <v>10</v>
      </c>
      <c r="C295" s="42">
        <v>1</v>
      </c>
      <c r="D295" s="75" t="str">
        <v/>
      </c>
      <c r="E295" s="75" t="str">
        <v>авто</v>
      </c>
      <c r="F295" s="76" t="str">
        <v/>
      </c>
      <c r="G295" s="47" t="str">
        <v>QF1</v>
      </c>
      <c r="H295" s="47" t="str">
        <v>1P С16А</v>
      </c>
      <c r="I295" s="75" t="str">
        <v/>
      </c>
      <c r="J295" s="76" t="str">
        <v/>
      </c>
      <c r="K295" s="76" t="str">
        <v/>
      </c>
      <c r="L295" s="75" t="str">
        <v/>
      </c>
      <c r="M295" s="49" t="str">
        <v/>
      </c>
      <c r="N295" s="76" t="str">
        <v/>
      </c>
      <c r="O295" s="49" t="str">
        <v/>
      </c>
      <c r="P295" s="77" t="str">
        <v>XT1</v>
      </c>
      <c r="Q295" s="53" t="str">
        <v>ВВГнг(А)-LS (3х2,5) L=21-0,43%</v>
      </c>
      <c r="R295" s="54" t="str">
        <v>НВК.00.003Т.2</v>
      </c>
      <c r="S295" s="55" t="str">
        <v>Насос дренажный, пом. 003Т</v>
      </c>
      <c r="T295" s="56">
        <v>0.6</v>
      </c>
      <c r="U295" s="56">
        <v>3.25</v>
      </c>
      <c r="V295" s="42" t="str">
        <v>L1</v>
      </c>
      <c r="W295" s="57" t="str">
        <v>ok</v>
      </c>
      <c r="X295" s="58" t="str">
        <v/>
      </c>
      <c r="Y295" s="75" t="str">
        <v/>
      </c>
      <c r="Z295" s="59">
        <v>3.2475952641916441</v>
      </c>
      <c r="AA295" s="61">
        <v>6</v>
      </c>
      <c r="AB295" s="61">
        <v>25</v>
      </c>
      <c r="AC295" s="61" t="str">
        <v/>
      </c>
      <c r="AD295" s="62" t="str">
        <v>QF1 → XT1</v>
      </c>
      <c r="AE295" s="62" t="str">
        <v/>
      </c>
      <c r="AF295" s="34">
        <v>1</v>
      </c>
      <c r="AG295" s="34" t="str">
        <v>QF1</v>
      </c>
      <c r="AH295" s="34" t="str">
        <v/>
      </c>
      <c r="AI295" s="34" t="str">
        <v/>
      </c>
      <c r="AJ295" s="34" t="str">
        <v>QF1</v>
      </c>
      <c r="AK295" s="34">
        <v>1</v>
      </c>
      <c r="AL295" s="34" t="str">
        <v>НВК</v>
      </c>
      <c r="AM295" s="34">
        <v>0</v>
      </c>
      <c r="AN295" s="34">
        <v>0</v>
      </c>
      <c r="AO295" s="34">
        <v>6</v>
      </c>
      <c r="AP295" s="34">
        <v>25</v>
      </c>
      <c r="AQ295" s="34">
        <v>16</v>
      </c>
      <c r="AR295" s="34">
        <v>1</v>
      </c>
      <c r="AS295" s="34">
        <v>0</v>
      </c>
      <c r="AT295" s="34" t="str">
        <v>1P</v>
      </c>
      <c r="AU295" s="34">
        <v>16</v>
      </c>
      <c r="AV295" s="34" t="str">
        <v/>
      </c>
      <c r="AW295" s="34" t="str">
        <v/>
      </c>
      <c r="AX295" s="34" t="str">
        <v/>
      </c>
      <c r="AY295" s="34">
        <v>1</v>
      </c>
      <c r="AZ295" s="34" t="str">
        <v/>
      </c>
      <c r="BA295" s="34">
        <v>0</v>
      </c>
      <c r="BB295" s="34">
        <v>0</v>
      </c>
      <c r="BD295" s="34">
        <v>1</v>
      </c>
      <c r="BE295" s="34">
        <v>0</v>
      </c>
      <c r="BF295" s="34">
        <v>0</v>
      </c>
      <c r="BG295" s="34" t="str">
        <v/>
      </c>
      <c r="BH295" s="34" t="str">
        <v/>
      </c>
      <c r="BI295" s="34" t="str">
        <v/>
      </c>
      <c r="BJ295" s="34" t="str">
        <v/>
      </c>
      <c r="BK295" s="34" t="str">
        <v>BOX</v>
      </c>
      <c r="BL295" s="34">
        <v>1</v>
      </c>
      <c r="BM295" s="34" t="str">
        <v/>
      </c>
      <c r="BN295" s="34" t="str">
        <v/>
      </c>
      <c r="BO295" s="34" t="str">
        <v/>
      </c>
      <c r="BP295" s="34" t="str">
        <v/>
      </c>
      <c r="BQ295" s="34" t="str">
        <v>3х2,5</v>
      </c>
      <c r="BR295" s="34" t="str">
        <v/>
      </c>
      <c r="BS295" s="34" t="str">
        <v/>
      </c>
      <c r="BT295" s="34" t="str">
        <v/>
      </c>
      <c r="BU295" s="34">
        <v>0</v>
      </c>
      <c r="BV295" s="34">
        <v>316</v>
      </c>
      <c r="BW295" s="34">
        <v>1</v>
      </c>
      <c r="BX295" s="34">
        <v>0</v>
      </c>
      <c r="BY295" s="34">
        <v>0</v>
      </c>
      <c r="BZ295">
        <v>13</v>
      </c>
      <c r="CA295" t="str">
        <v>линии</v>
      </c>
    </row>
    <row r="296" spans="1:79" x14ac:dyDescent="0.3">
      <c r="A296" s="39" t="str">
        <v>ЩС-ВК.001</v>
      </c>
      <c r="B296" s="42">
        <v>11</v>
      </c>
      <c r="C296" s="42">
        <v>1</v>
      </c>
      <c r="D296" s="75" t="str">
        <v/>
      </c>
      <c r="E296" s="75" t="str">
        <v>авто</v>
      </c>
      <c r="F296" s="76" t="str">
        <v/>
      </c>
      <c r="G296" s="47" t="str">
        <v>QF2</v>
      </c>
      <c r="H296" s="47" t="str">
        <v>1P С16А</v>
      </c>
      <c r="I296" s="75" t="str">
        <v/>
      </c>
      <c r="J296" s="76" t="str">
        <v/>
      </c>
      <c r="K296" s="76" t="str">
        <v/>
      </c>
      <c r="L296" s="75" t="str">
        <v/>
      </c>
      <c r="M296" s="49" t="str">
        <v/>
      </c>
      <c r="N296" s="76" t="str">
        <v/>
      </c>
      <c r="O296" s="49" t="str">
        <v/>
      </c>
      <c r="P296" s="77" t="str">
        <v>XT2</v>
      </c>
      <c r="Q296" s="53" t="str">
        <v>ВВГнг(А)-LS (3х2,5) L=21-0,43%</v>
      </c>
      <c r="R296" s="54" t="str">
        <v>НВК.00.003Т.1</v>
      </c>
      <c r="S296" s="55" t="str">
        <v>Насос дренажный, пом. 003Т</v>
      </c>
      <c r="T296" s="56">
        <v>0.6</v>
      </c>
      <c r="U296" s="56">
        <v>3.25</v>
      </c>
      <c r="V296" s="42" t="str">
        <v>L1</v>
      </c>
      <c r="W296" s="57" t="str">
        <v>ok</v>
      </c>
      <c r="X296" s="58" t="str">
        <v/>
      </c>
      <c r="Y296" s="75" t="str">
        <v/>
      </c>
      <c r="Z296" s="59">
        <v>3.2475952641916441</v>
      </c>
      <c r="AA296" s="61">
        <v>6</v>
      </c>
      <c r="AB296" s="61">
        <v>25</v>
      </c>
      <c r="AC296" s="61" t="str">
        <v/>
      </c>
      <c r="AD296" s="62" t="str">
        <v>QF2 → XT2</v>
      </c>
      <c r="AE296" s="62" t="str">
        <v/>
      </c>
      <c r="AF296" s="34">
        <v>2</v>
      </c>
      <c r="AG296" s="34" t="str">
        <v>QF2</v>
      </c>
      <c r="AH296" s="34" t="str">
        <v/>
      </c>
      <c r="AI296" s="34" t="str">
        <v/>
      </c>
      <c r="AJ296" s="34" t="str">
        <v>QF2</v>
      </c>
      <c r="AK296" s="34">
        <v>1</v>
      </c>
      <c r="AL296" s="34" t="str">
        <v>НВК</v>
      </c>
      <c r="AM296" s="34">
        <v>0</v>
      </c>
      <c r="AN296" s="34">
        <v>0</v>
      </c>
      <c r="AO296" s="34">
        <v>6</v>
      </c>
      <c r="AP296" s="34">
        <v>25</v>
      </c>
      <c r="AQ296" s="34">
        <v>16</v>
      </c>
      <c r="AR296" s="34">
        <v>1</v>
      </c>
      <c r="AS296" s="34">
        <v>0</v>
      </c>
      <c r="AT296" s="34" t="str">
        <v>1P</v>
      </c>
      <c r="AU296" s="34">
        <v>16</v>
      </c>
      <c r="AV296" s="34" t="str">
        <v/>
      </c>
      <c r="AW296" s="34" t="str">
        <v/>
      </c>
      <c r="AX296" s="34" t="str">
        <v/>
      </c>
      <c r="AY296" s="34">
        <v>1</v>
      </c>
      <c r="AZ296" s="34" t="str">
        <v/>
      </c>
      <c r="BA296" s="34">
        <v>0</v>
      </c>
      <c r="BB296" s="34">
        <v>0</v>
      </c>
      <c r="BD296" s="34">
        <v>1</v>
      </c>
      <c r="BE296" s="34">
        <v>0</v>
      </c>
      <c r="BF296" s="34">
        <v>0</v>
      </c>
      <c r="BG296" s="34" t="str">
        <v/>
      </c>
      <c r="BH296" s="34" t="str">
        <v/>
      </c>
      <c r="BI296" s="34" t="str">
        <v/>
      </c>
      <c r="BJ296" s="34" t="str">
        <v/>
      </c>
      <c r="BK296" s="34" t="str">
        <v>BOX</v>
      </c>
      <c r="BL296" s="34">
        <v>1</v>
      </c>
      <c r="BM296" s="34" t="str">
        <v/>
      </c>
      <c r="BN296" s="34" t="str">
        <v/>
      </c>
      <c r="BO296" s="34" t="str">
        <v/>
      </c>
      <c r="BP296" s="34" t="str">
        <v/>
      </c>
      <c r="BQ296" s="34" t="str">
        <v>3х2,5</v>
      </c>
      <c r="BR296" s="34" t="str">
        <v/>
      </c>
      <c r="BS296" s="34" t="str">
        <v/>
      </c>
      <c r="BT296" s="34" t="str">
        <v/>
      </c>
      <c r="BU296" s="34">
        <v>0</v>
      </c>
      <c r="BV296" s="34">
        <v>317</v>
      </c>
      <c r="BW296" s="34">
        <v>1</v>
      </c>
      <c r="BX296" s="34">
        <v>0</v>
      </c>
      <c r="BY296" s="34">
        <v>0</v>
      </c>
      <c r="BZ296">
        <v>13</v>
      </c>
      <c r="CA296" t="str">
        <v>линии</v>
      </c>
    </row>
    <row r="297" spans="1:79" x14ac:dyDescent="0.3">
      <c r="A297" s="39" t="str">
        <v>ЩС-ВК.001</v>
      </c>
      <c r="B297" s="42">
        <v>12</v>
      </c>
      <c r="C297" s="42">
        <v>1</v>
      </c>
      <c r="D297" s="75" t="str">
        <v/>
      </c>
      <c r="E297" s="75" t="str">
        <v>авто</v>
      </c>
      <c r="F297" s="76" t="str">
        <v/>
      </c>
      <c r="G297" s="47" t="str">
        <v>QF3</v>
      </c>
      <c r="H297" s="47" t="str">
        <v>1P С16А</v>
      </c>
      <c r="I297" s="75" t="str">
        <v/>
      </c>
      <c r="J297" s="76" t="str">
        <v/>
      </c>
      <c r="K297" s="76" t="str">
        <v/>
      </c>
      <c r="L297" s="75" t="str">
        <v/>
      </c>
      <c r="M297" s="49" t="str">
        <v/>
      </c>
      <c r="N297" s="76" t="str">
        <v/>
      </c>
      <c r="O297" s="49" t="str">
        <v/>
      </c>
      <c r="P297" s="77" t="str">
        <v>XT3</v>
      </c>
      <c r="Q297" s="53" t="str">
        <v>ВВГнг(А)-LS (3х2,5) L=22-0,45%</v>
      </c>
      <c r="R297" s="54" t="str">
        <v>НВК.00.005Т.4</v>
      </c>
      <c r="S297" s="55" t="str">
        <v>Насос дренажный, пом. 005Т</v>
      </c>
      <c r="T297" s="56">
        <v>0.6</v>
      </c>
      <c r="U297" s="56">
        <v>3.25</v>
      </c>
      <c r="V297" s="42" t="str">
        <v>L1</v>
      </c>
      <c r="W297" s="57" t="str">
        <v>ok</v>
      </c>
      <c r="X297" s="58" t="str">
        <v/>
      </c>
      <c r="Y297" s="75" t="str">
        <v/>
      </c>
      <c r="Z297" s="59">
        <v>3.2475952641916441</v>
      </c>
      <c r="AA297" s="61">
        <v>6</v>
      </c>
      <c r="AB297" s="61">
        <v>25</v>
      </c>
      <c r="AC297" s="61" t="str">
        <v/>
      </c>
      <c r="AD297" s="62" t="str">
        <v>QF3 → XT3</v>
      </c>
      <c r="AE297" s="62" t="str">
        <v/>
      </c>
      <c r="AF297" s="34">
        <v>3</v>
      </c>
      <c r="AG297" s="34" t="str">
        <v>QF3</v>
      </c>
      <c r="AH297" s="34" t="str">
        <v/>
      </c>
      <c r="AI297" s="34" t="str">
        <v/>
      </c>
      <c r="AJ297" s="34" t="str">
        <v>QF3</v>
      </c>
      <c r="AK297" s="34">
        <v>1</v>
      </c>
      <c r="AL297" s="34" t="str">
        <v>НВК</v>
      </c>
      <c r="AM297" s="34">
        <v>0</v>
      </c>
      <c r="AN297" s="34">
        <v>0</v>
      </c>
      <c r="AO297" s="34">
        <v>6</v>
      </c>
      <c r="AP297" s="34">
        <v>25</v>
      </c>
      <c r="AQ297" s="34">
        <v>16</v>
      </c>
      <c r="AR297" s="34">
        <v>1</v>
      </c>
      <c r="AS297" s="34">
        <v>0</v>
      </c>
      <c r="AT297" s="34" t="str">
        <v>1P</v>
      </c>
      <c r="AU297" s="34">
        <v>16</v>
      </c>
      <c r="AV297" s="34" t="str">
        <v/>
      </c>
      <c r="AW297" s="34" t="str">
        <v/>
      </c>
      <c r="AX297" s="34" t="str">
        <v/>
      </c>
      <c r="AY297" s="34">
        <v>1</v>
      </c>
      <c r="AZ297" s="34" t="str">
        <v/>
      </c>
      <c r="BA297" s="34">
        <v>0</v>
      </c>
      <c r="BB297" s="34">
        <v>0</v>
      </c>
      <c r="BD297" s="34">
        <v>1</v>
      </c>
      <c r="BE297" s="34">
        <v>0</v>
      </c>
      <c r="BF297" s="34">
        <v>0</v>
      </c>
      <c r="BG297" s="34" t="str">
        <v/>
      </c>
      <c r="BH297" s="34" t="str">
        <v/>
      </c>
      <c r="BI297" s="34" t="str">
        <v/>
      </c>
      <c r="BJ297" s="34" t="str">
        <v/>
      </c>
      <c r="BK297" s="34" t="str">
        <v>BOX</v>
      </c>
      <c r="BL297" s="34">
        <v>1</v>
      </c>
      <c r="BM297" s="34" t="str">
        <v/>
      </c>
      <c r="BN297" s="34" t="str">
        <v/>
      </c>
      <c r="BO297" s="34" t="str">
        <v/>
      </c>
      <c r="BP297" s="34" t="str">
        <v/>
      </c>
      <c r="BQ297" s="34" t="str">
        <v>3х2,5</v>
      </c>
      <c r="BR297" s="34" t="str">
        <v/>
      </c>
      <c r="BS297" s="34" t="str">
        <v/>
      </c>
      <c r="BT297" s="34" t="str">
        <v/>
      </c>
      <c r="BU297" s="34">
        <v>0</v>
      </c>
      <c r="BV297" s="34">
        <v>318</v>
      </c>
      <c r="BW297" s="34">
        <v>1</v>
      </c>
      <c r="BX297" s="34">
        <v>0</v>
      </c>
      <c r="BY297" s="34">
        <v>0</v>
      </c>
      <c r="BZ297">
        <v>13</v>
      </c>
      <c r="CA297" t="str">
        <v>линии</v>
      </c>
    </row>
    <row r="298" spans="1:79" x14ac:dyDescent="0.3">
      <c r="A298" s="39" t="str">
        <v>ЩС-ВК.001</v>
      </c>
      <c r="B298" s="42">
        <v>13</v>
      </c>
      <c r="C298" s="42">
        <v>1</v>
      </c>
      <c r="D298" s="75" t="str">
        <v/>
      </c>
      <c r="E298" s="75" t="str">
        <v>авто</v>
      </c>
      <c r="F298" s="76" t="str">
        <v/>
      </c>
      <c r="G298" s="47" t="str">
        <v>QF4</v>
      </c>
      <c r="H298" s="47" t="str">
        <v>1P С16А</v>
      </c>
      <c r="I298" s="75" t="str">
        <v/>
      </c>
      <c r="J298" s="76" t="str">
        <v/>
      </c>
      <c r="K298" s="76" t="str">
        <v/>
      </c>
      <c r="L298" s="75" t="str">
        <v/>
      </c>
      <c r="M298" s="49" t="str">
        <v/>
      </c>
      <c r="N298" s="76" t="str">
        <v/>
      </c>
      <c r="O298" s="49" t="str">
        <v/>
      </c>
      <c r="P298" s="77" t="str">
        <v>XT4</v>
      </c>
      <c r="Q298" s="53" t="str">
        <v>ВВГнг(А)-LS (3х2,5) L=22-0,45%</v>
      </c>
      <c r="R298" s="54" t="str">
        <v>НВК.00.005Т.3</v>
      </c>
      <c r="S298" s="55" t="str">
        <v>Насос дренажный, пом. 005Т</v>
      </c>
      <c r="T298" s="56">
        <v>0.6</v>
      </c>
      <c r="U298" s="56">
        <v>3.25</v>
      </c>
      <c r="V298" s="42" t="str">
        <v>L1</v>
      </c>
      <c r="W298" s="57" t="str">
        <v>ok</v>
      </c>
      <c r="X298" s="58" t="str">
        <v/>
      </c>
      <c r="Y298" s="75" t="str">
        <v/>
      </c>
      <c r="Z298" s="59">
        <v>3.2475952641916441</v>
      </c>
      <c r="AA298" s="61">
        <v>6</v>
      </c>
      <c r="AB298" s="61">
        <v>25</v>
      </c>
      <c r="AC298" s="61" t="str">
        <v/>
      </c>
      <c r="AD298" s="62" t="str">
        <v>QF4 → XT4</v>
      </c>
      <c r="AE298" s="62" t="str">
        <v/>
      </c>
      <c r="AF298" s="34">
        <v>4</v>
      </c>
      <c r="AG298" s="34" t="str">
        <v>QF4</v>
      </c>
      <c r="AH298" s="34" t="str">
        <v/>
      </c>
      <c r="AI298" s="34" t="str">
        <v/>
      </c>
      <c r="AJ298" s="34" t="str">
        <v>QF4</v>
      </c>
      <c r="AK298" s="34">
        <v>1</v>
      </c>
      <c r="AL298" s="34" t="str">
        <v>НВК</v>
      </c>
      <c r="AM298" s="34">
        <v>0</v>
      </c>
      <c r="AN298" s="34">
        <v>0</v>
      </c>
      <c r="AO298" s="34">
        <v>6</v>
      </c>
      <c r="AP298" s="34">
        <v>25</v>
      </c>
      <c r="AQ298" s="34">
        <v>16</v>
      </c>
      <c r="AR298" s="34">
        <v>1</v>
      </c>
      <c r="AS298" s="34">
        <v>0</v>
      </c>
      <c r="AT298" s="34" t="str">
        <v>1P</v>
      </c>
      <c r="AU298" s="34">
        <v>16</v>
      </c>
      <c r="AV298" s="34" t="str">
        <v/>
      </c>
      <c r="AW298" s="34" t="str">
        <v/>
      </c>
      <c r="AX298" s="34" t="str">
        <v/>
      </c>
      <c r="AY298" s="34">
        <v>1</v>
      </c>
      <c r="AZ298" s="34" t="str">
        <v/>
      </c>
      <c r="BA298" s="34">
        <v>0</v>
      </c>
      <c r="BB298" s="34">
        <v>0</v>
      </c>
      <c r="BD298" s="34">
        <v>1</v>
      </c>
      <c r="BE298" s="34">
        <v>0</v>
      </c>
      <c r="BF298" s="34">
        <v>0</v>
      </c>
      <c r="BG298" s="34" t="str">
        <v/>
      </c>
      <c r="BH298" s="34" t="str">
        <v/>
      </c>
      <c r="BI298" s="34" t="str">
        <v/>
      </c>
      <c r="BJ298" s="34" t="str">
        <v/>
      </c>
      <c r="BK298" s="34" t="str">
        <v>BOX</v>
      </c>
      <c r="BL298" s="34">
        <v>1</v>
      </c>
      <c r="BM298" s="34" t="str">
        <v/>
      </c>
      <c r="BN298" s="34" t="str">
        <v/>
      </c>
      <c r="BO298" s="34" t="str">
        <v/>
      </c>
      <c r="BP298" s="34" t="str">
        <v/>
      </c>
      <c r="BQ298" s="34" t="str">
        <v>3х2,5</v>
      </c>
      <c r="BR298" s="34" t="str">
        <v/>
      </c>
      <c r="BS298" s="34" t="str">
        <v/>
      </c>
      <c r="BT298" s="34" t="str">
        <v/>
      </c>
      <c r="BU298" s="34">
        <v>0</v>
      </c>
      <c r="BV298" s="34">
        <v>319</v>
      </c>
      <c r="BW298" s="34">
        <v>1</v>
      </c>
      <c r="BX298" s="34">
        <v>0</v>
      </c>
      <c r="BY298" s="34">
        <v>0</v>
      </c>
      <c r="BZ298">
        <v>13</v>
      </c>
      <c r="CA298" t="str">
        <v>линии</v>
      </c>
    </row>
    <row r="299" spans="1:79" x14ac:dyDescent="0.3">
      <c r="A299" s="39" t="str">
        <v>ЩС-ВК.001</v>
      </c>
      <c r="B299" s="42">
        <v>14</v>
      </c>
      <c r="C299" s="42">
        <v>1</v>
      </c>
      <c r="D299" s="75" t="str">
        <v/>
      </c>
      <c r="E299" s="75" t="str">
        <v>авто</v>
      </c>
      <c r="F299" s="76" t="str">
        <v/>
      </c>
      <c r="G299" s="47" t="str">
        <v>QF5</v>
      </c>
      <c r="H299" s="47" t="str">
        <v>1P С16А</v>
      </c>
      <c r="I299" s="75" t="str">
        <v/>
      </c>
      <c r="J299" s="76" t="str">
        <v/>
      </c>
      <c r="K299" s="76" t="str">
        <v/>
      </c>
      <c r="L299" s="75" t="str">
        <v/>
      </c>
      <c r="M299" s="49" t="str">
        <v/>
      </c>
      <c r="N299" s="76" t="str">
        <v/>
      </c>
      <c r="O299" s="49" t="str">
        <v/>
      </c>
      <c r="P299" s="77" t="str">
        <v>XT5</v>
      </c>
      <c r="Q299" s="53" t="str">
        <v>ВВГнг(А)-LS (3х2,5) L=14-0,29%</v>
      </c>
      <c r="R299" s="54" t="str">
        <v>НВК.00.005Т.1</v>
      </c>
      <c r="S299" s="55" t="str">
        <v>Насос дренажный, пом. 005Т</v>
      </c>
      <c r="T299" s="56">
        <v>0.6</v>
      </c>
      <c r="U299" s="56">
        <v>3.25</v>
      </c>
      <c r="V299" s="42" t="str">
        <v>L1</v>
      </c>
      <c r="W299" s="57" t="str">
        <v>ok</v>
      </c>
      <c r="X299" s="58" t="str">
        <v/>
      </c>
      <c r="Y299" s="75" t="str">
        <v/>
      </c>
      <c r="Z299" s="59">
        <v>3.2475952641916441</v>
      </c>
      <c r="AA299" s="61">
        <v>6</v>
      </c>
      <c r="AB299" s="61">
        <v>25</v>
      </c>
      <c r="AC299" s="61" t="str">
        <v/>
      </c>
      <c r="AD299" s="62" t="str">
        <v>QF5 → XT5</v>
      </c>
      <c r="AE299" s="62" t="str">
        <v/>
      </c>
      <c r="AF299" s="34">
        <v>5</v>
      </c>
      <c r="AG299" s="34" t="str">
        <v>QF5</v>
      </c>
      <c r="AH299" s="34" t="str">
        <v/>
      </c>
      <c r="AI299" s="34" t="str">
        <v/>
      </c>
      <c r="AJ299" s="34" t="str">
        <v>QF5</v>
      </c>
      <c r="AK299" s="34">
        <v>1</v>
      </c>
      <c r="AL299" s="34" t="str">
        <v>НВК</v>
      </c>
      <c r="AM299" s="34">
        <v>0</v>
      </c>
      <c r="AN299" s="34">
        <v>0</v>
      </c>
      <c r="AO299" s="34">
        <v>6</v>
      </c>
      <c r="AP299" s="34">
        <v>25</v>
      </c>
      <c r="AQ299" s="34">
        <v>16</v>
      </c>
      <c r="AR299" s="34">
        <v>1</v>
      </c>
      <c r="AS299" s="34">
        <v>0</v>
      </c>
      <c r="AT299" s="34" t="str">
        <v>1P</v>
      </c>
      <c r="AU299" s="34">
        <v>16</v>
      </c>
      <c r="AV299" s="34" t="str">
        <v/>
      </c>
      <c r="AW299" s="34" t="str">
        <v/>
      </c>
      <c r="AX299" s="34" t="str">
        <v/>
      </c>
      <c r="AY299" s="34">
        <v>1</v>
      </c>
      <c r="AZ299" s="34" t="str">
        <v/>
      </c>
      <c r="BA299" s="34">
        <v>0</v>
      </c>
      <c r="BB299" s="34">
        <v>0</v>
      </c>
      <c r="BD299" s="34">
        <v>1</v>
      </c>
      <c r="BE299" s="34">
        <v>0</v>
      </c>
      <c r="BF299" s="34">
        <v>0</v>
      </c>
      <c r="BG299" s="34" t="str">
        <v/>
      </c>
      <c r="BH299" s="34" t="str">
        <v/>
      </c>
      <c r="BI299" s="34" t="str">
        <v/>
      </c>
      <c r="BJ299" s="34" t="str">
        <v/>
      </c>
      <c r="BK299" s="34" t="str">
        <v>BOX</v>
      </c>
      <c r="BL299" s="34">
        <v>1</v>
      </c>
      <c r="BM299" s="34" t="str">
        <v/>
      </c>
      <c r="BN299" s="34" t="str">
        <v/>
      </c>
      <c r="BO299" s="34" t="str">
        <v/>
      </c>
      <c r="BP299" s="34" t="str">
        <v/>
      </c>
      <c r="BQ299" s="34" t="str">
        <v>3х2,5</v>
      </c>
      <c r="BR299" s="34" t="str">
        <v/>
      </c>
      <c r="BS299" s="34" t="str">
        <v/>
      </c>
      <c r="BT299" s="34" t="str">
        <v/>
      </c>
      <c r="BU299" s="34">
        <v>0</v>
      </c>
      <c r="BV299" s="34">
        <v>320</v>
      </c>
      <c r="BW299" s="34">
        <v>1</v>
      </c>
      <c r="BX299" s="34">
        <v>0</v>
      </c>
      <c r="BY299" s="34">
        <v>0</v>
      </c>
      <c r="BZ299">
        <v>13</v>
      </c>
      <c r="CA299" t="str">
        <v>линии</v>
      </c>
    </row>
    <row r="300" spans="1:79" x14ac:dyDescent="0.3">
      <c r="A300" s="39" t="str">
        <v>ЩС-ВК.001</v>
      </c>
      <c r="B300" s="42">
        <v>15</v>
      </c>
      <c r="C300" s="42">
        <v>1</v>
      </c>
      <c r="D300" s="75" t="str">
        <v/>
      </c>
      <c r="E300" s="75" t="str">
        <v>авто</v>
      </c>
      <c r="F300" s="76" t="str">
        <v/>
      </c>
      <c r="G300" s="47" t="str">
        <v>QF6</v>
      </c>
      <c r="H300" s="47" t="str">
        <v>1P С16А</v>
      </c>
      <c r="I300" s="75" t="str">
        <v/>
      </c>
      <c r="J300" s="76" t="str">
        <v/>
      </c>
      <c r="K300" s="76" t="str">
        <v/>
      </c>
      <c r="L300" s="75" t="str">
        <v/>
      </c>
      <c r="M300" s="49" t="str">
        <v/>
      </c>
      <c r="N300" s="76" t="str">
        <v/>
      </c>
      <c r="O300" s="49" t="str">
        <v/>
      </c>
      <c r="P300" s="77" t="str">
        <v>XT6</v>
      </c>
      <c r="Q300" s="53" t="str">
        <v>ВВГнг(А)-LS (3х2,5) L=14-0,29%</v>
      </c>
      <c r="R300" s="54" t="str">
        <v>НВК.00.005Т.2</v>
      </c>
      <c r="S300" s="55" t="str">
        <v>Насос дренажный, пом. 005Т</v>
      </c>
      <c r="T300" s="56">
        <v>0.6</v>
      </c>
      <c r="U300" s="56">
        <v>3.25</v>
      </c>
      <c r="V300" s="42" t="str">
        <v>L1</v>
      </c>
      <c r="W300" s="57" t="str">
        <v>ok</v>
      </c>
      <c r="X300" s="58" t="str">
        <v/>
      </c>
      <c r="Y300" s="75" t="str">
        <v/>
      </c>
      <c r="Z300" s="59">
        <v>3.2475952641916441</v>
      </c>
      <c r="AA300" s="61">
        <v>6</v>
      </c>
      <c r="AB300" s="61">
        <v>25</v>
      </c>
      <c r="AC300" s="61" t="str">
        <v/>
      </c>
      <c r="AD300" s="62" t="str">
        <v>QF6 → XT6</v>
      </c>
      <c r="AE300" s="62" t="str">
        <v/>
      </c>
      <c r="AF300" s="34">
        <v>6</v>
      </c>
      <c r="AG300" s="34" t="str">
        <v>QF6</v>
      </c>
      <c r="AH300" s="34" t="str">
        <v/>
      </c>
      <c r="AI300" s="34" t="str">
        <v/>
      </c>
      <c r="AJ300" s="34" t="str">
        <v>QF6</v>
      </c>
      <c r="AK300" s="34">
        <v>1</v>
      </c>
      <c r="AL300" s="34" t="str">
        <v>НВК</v>
      </c>
      <c r="AM300" s="34">
        <v>0</v>
      </c>
      <c r="AN300" s="34">
        <v>0</v>
      </c>
      <c r="AO300" s="34">
        <v>6</v>
      </c>
      <c r="AP300" s="34">
        <v>25</v>
      </c>
      <c r="AQ300" s="34">
        <v>16</v>
      </c>
      <c r="AR300" s="34">
        <v>1</v>
      </c>
      <c r="AS300" s="34">
        <v>0</v>
      </c>
      <c r="AT300" s="34" t="str">
        <v>1P</v>
      </c>
      <c r="AU300" s="34">
        <v>16</v>
      </c>
      <c r="AV300" s="34" t="str">
        <v/>
      </c>
      <c r="AW300" s="34" t="str">
        <v/>
      </c>
      <c r="AX300" s="34" t="str">
        <v/>
      </c>
      <c r="AY300" s="34">
        <v>1</v>
      </c>
      <c r="AZ300" s="34" t="str">
        <v/>
      </c>
      <c r="BA300" s="34">
        <v>0</v>
      </c>
      <c r="BB300" s="34">
        <v>0</v>
      </c>
      <c r="BD300" s="34">
        <v>1</v>
      </c>
      <c r="BE300" s="34">
        <v>0</v>
      </c>
      <c r="BF300" s="34">
        <v>0</v>
      </c>
      <c r="BG300" s="34" t="str">
        <v/>
      </c>
      <c r="BH300" s="34" t="str">
        <v/>
      </c>
      <c r="BI300" s="34" t="str">
        <v/>
      </c>
      <c r="BJ300" s="34" t="str">
        <v/>
      </c>
      <c r="BK300" s="34" t="str">
        <v>BOX</v>
      </c>
      <c r="BL300" s="34">
        <v>1</v>
      </c>
      <c r="BM300" s="34" t="str">
        <v/>
      </c>
      <c r="BN300" s="34" t="str">
        <v/>
      </c>
      <c r="BO300" s="34" t="str">
        <v/>
      </c>
      <c r="BP300" s="34" t="str">
        <v/>
      </c>
      <c r="BQ300" s="34" t="str">
        <v>3х2,5</v>
      </c>
      <c r="BR300" s="34" t="str">
        <v/>
      </c>
      <c r="BS300" s="34" t="str">
        <v/>
      </c>
      <c r="BT300" s="34" t="str">
        <v/>
      </c>
      <c r="BU300" s="34">
        <v>0</v>
      </c>
      <c r="BV300" s="34">
        <v>321</v>
      </c>
      <c r="BW300" s="34">
        <v>1</v>
      </c>
      <c r="BX300" s="34">
        <v>0</v>
      </c>
      <c r="BY300" s="34">
        <v>0</v>
      </c>
      <c r="BZ300">
        <v>13</v>
      </c>
      <c r="CA300" t="str">
        <v>линии</v>
      </c>
    </row>
    <row r="301" spans="1:79" x14ac:dyDescent="0.3">
      <c r="A301" s="39" t="str">
        <v>ЩС-ВК.001</v>
      </c>
      <c r="B301" s="42">
        <v>16</v>
      </c>
      <c r="C301" s="42">
        <v>1</v>
      </c>
      <c r="D301" s="75" t="str">
        <v/>
      </c>
      <c r="E301" s="75" t="str">
        <v>авто</v>
      </c>
      <c r="F301" s="76" t="str">
        <v/>
      </c>
      <c r="G301" s="47" t="str">
        <v>QF7</v>
      </c>
      <c r="H301" s="47" t="str">
        <v>1P С16А</v>
      </c>
      <c r="I301" s="75" t="str">
        <v/>
      </c>
      <c r="J301" s="76" t="str">
        <v/>
      </c>
      <c r="K301" s="76" t="str">
        <v/>
      </c>
      <c r="L301" s="75" t="str">
        <v/>
      </c>
      <c r="M301" s="49" t="str">
        <v/>
      </c>
      <c r="N301" s="76" t="str">
        <v/>
      </c>
      <c r="O301" s="49" t="str">
        <v/>
      </c>
      <c r="P301" s="77" t="str">
        <v>XT7</v>
      </c>
      <c r="Q301" s="53" t="str">
        <v>ВВГнг(А)-LS (3х2,5) L=22-0,15%</v>
      </c>
      <c r="R301" s="54" t="str">
        <v>НВК.00.002Т.1</v>
      </c>
      <c r="S301" s="55" t="str">
        <v>циркуляционный насос Подвальный этаж Пом. №002Т</v>
      </c>
      <c r="T301" s="56">
        <v>0.2</v>
      </c>
      <c r="U301" s="56">
        <v>1.0900000000000001</v>
      </c>
      <c r="V301" s="42" t="str">
        <v>L1</v>
      </c>
      <c r="W301" s="57" t="str">
        <v>ok</v>
      </c>
      <c r="X301" s="58" t="str">
        <v/>
      </c>
      <c r="Y301" s="75" t="str">
        <v/>
      </c>
      <c r="Z301" s="59">
        <v>1.0825317547305482</v>
      </c>
      <c r="AA301" s="61">
        <v>6</v>
      </c>
      <c r="AB301" s="61">
        <v>25</v>
      </c>
      <c r="AC301" s="61" t="str">
        <v/>
      </c>
      <c r="AD301" s="62" t="str">
        <v>QF7 → XT7</v>
      </c>
      <c r="AE301" s="62" t="str">
        <v/>
      </c>
      <c r="AF301" s="34">
        <v>7</v>
      </c>
      <c r="AG301" s="34" t="str">
        <v>QF7</v>
      </c>
      <c r="AH301" s="34" t="str">
        <v/>
      </c>
      <c r="AI301" s="34" t="str">
        <v/>
      </c>
      <c r="AJ301" s="34" t="str">
        <v>QF7</v>
      </c>
      <c r="AK301" s="34">
        <v>1</v>
      </c>
      <c r="AL301" s="34" t="str">
        <v>НВК</v>
      </c>
      <c r="AM301" s="34">
        <v>0</v>
      </c>
      <c r="AN301" s="34">
        <v>0</v>
      </c>
      <c r="AO301" s="34">
        <v>6</v>
      </c>
      <c r="AP301" s="34">
        <v>25</v>
      </c>
      <c r="AQ301" s="34">
        <v>16</v>
      </c>
      <c r="AR301" s="34">
        <v>1</v>
      </c>
      <c r="AS301" s="34">
        <v>0</v>
      </c>
      <c r="AT301" s="34" t="str">
        <v>1P</v>
      </c>
      <c r="AU301" s="34">
        <v>16</v>
      </c>
      <c r="AV301" s="34" t="str">
        <v/>
      </c>
      <c r="AW301" s="34" t="str">
        <v/>
      </c>
      <c r="AX301" s="34" t="str">
        <v/>
      </c>
      <c r="AY301" s="34">
        <v>1</v>
      </c>
      <c r="AZ301" s="34" t="str">
        <v/>
      </c>
      <c r="BA301" s="34">
        <v>0</v>
      </c>
      <c r="BB301" s="34">
        <v>0</v>
      </c>
      <c r="BD301" s="34">
        <v>1</v>
      </c>
      <c r="BE301" s="34">
        <v>0</v>
      </c>
      <c r="BF301" s="34">
        <v>0</v>
      </c>
      <c r="BG301" s="34" t="str">
        <v/>
      </c>
      <c r="BH301" s="34" t="str">
        <v/>
      </c>
      <c r="BI301" s="34" t="str">
        <v/>
      </c>
      <c r="BJ301" s="34" t="str">
        <v/>
      </c>
      <c r="BK301" s="34" t="str">
        <v>BOX</v>
      </c>
      <c r="BL301" s="34">
        <v>1</v>
      </c>
      <c r="BM301" s="34" t="str">
        <v/>
      </c>
      <c r="BN301" s="34" t="str">
        <v/>
      </c>
      <c r="BO301" s="34" t="str">
        <v/>
      </c>
      <c r="BP301" s="34" t="str">
        <v/>
      </c>
      <c r="BQ301" s="34" t="str">
        <v>3х2,5</v>
      </c>
      <c r="BR301" s="34" t="str">
        <v/>
      </c>
      <c r="BS301" s="34" t="str">
        <v/>
      </c>
      <c r="BT301" s="34" t="str">
        <v/>
      </c>
      <c r="BU301" s="34">
        <v>0</v>
      </c>
      <c r="BV301" s="34">
        <v>322</v>
      </c>
      <c r="BW301" s="34">
        <v>1</v>
      </c>
      <c r="BX301" s="34">
        <v>0</v>
      </c>
      <c r="BY301" s="34">
        <v>0</v>
      </c>
      <c r="BZ301">
        <v>13</v>
      </c>
      <c r="CA301" t="str">
        <v>линии</v>
      </c>
    </row>
    <row r="302" spans="1:79" x14ac:dyDescent="0.3">
      <c r="A302" s="39" t="str">
        <v>ЩС-ВК.002</v>
      </c>
      <c r="B302" s="42">
        <v>2</v>
      </c>
      <c r="C302" s="42">
        <v>1</v>
      </c>
      <c r="D302" s="75" t="str">
        <v/>
      </c>
      <c r="E302" s="75" t="str">
        <v>авто</v>
      </c>
      <c r="F302" s="76" t="str">
        <v/>
      </c>
      <c r="G302" s="47" t="str">
        <v/>
      </c>
      <c r="H302" s="47" t="str">
        <v>1P С20А</v>
      </c>
      <c r="I302" s="75" t="str">
        <v/>
      </c>
      <c r="J302" s="76" t="str">
        <v/>
      </c>
      <c r="K302" s="76" t="str">
        <v/>
      </c>
      <c r="L302" s="75" t="str">
        <v/>
      </c>
      <c r="M302" s="49" t="str">
        <v/>
      </c>
      <c r="N302" s="76" t="str">
        <v/>
      </c>
      <c r="O302" s="49" t="str">
        <v/>
      </c>
      <c r="P302" s="77" t="str">
        <v/>
      </c>
      <c r="Q302" s="53" t="str">
        <v>ВВГнг(А)-LS (3х4) L=51-1,84%</v>
      </c>
      <c r="R302" s="54" t="str">
        <v>Ввод.1</v>
      </c>
      <c r="S302" s="55" t="str">
        <v>Вводной кабель шлейф 1</v>
      </c>
      <c r="T302" s="56">
        <v>2.4</v>
      </c>
      <c r="U302" s="56">
        <v>9.1</v>
      </c>
      <c r="V302" s="42" t="str">
        <v>L2</v>
      </c>
      <c r="W302" s="57" t="str">
        <v>ok</v>
      </c>
      <c r="X302" s="58" t="str">
        <v/>
      </c>
      <c r="Y302" s="75" t="str">
        <v>вручную</v>
      </c>
      <c r="Z302" s="59">
        <v>9.0932667397366043</v>
      </c>
      <c r="AA302" s="61">
        <v>16</v>
      </c>
      <c r="AB302" s="61">
        <v>32</v>
      </c>
      <c r="AC302" s="61" t="str">
        <v/>
      </c>
      <c r="AD302" s="62" t="str">
        <v/>
      </c>
      <c r="AE302" s="62" t="str">
        <v/>
      </c>
      <c r="AF302" s="34" t="str">
        <v/>
      </c>
      <c r="AG302" s="34" t="str">
        <v/>
      </c>
      <c r="AH302" s="34" t="str">
        <v/>
      </c>
      <c r="AI302" s="34" t="str">
        <v/>
      </c>
      <c r="AJ302" s="34" t="str">
        <v/>
      </c>
      <c r="AK302" s="34">
        <v>1</v>
      </c>
      <c r="AL302" s="34" t="str">
        <v>Ввод</v>
      </c>
      <c r="AM302" s="34">
        <v>0</v>
      </c>
      <c r="AN302" s="34">
        <v>0</v>
      </c>
      <c r="AO302" s="34">
        <v>16</v>
      </c>
      <c r="AP302" s="34">
        <v>32</v>
      </c>
      <c r="AQ302" s="34">
        <v>20</v>
      </c>
      <c r="AR302" s="34">
        <v>1</v>
      </c>
      <c r="AS302" s="34">
        <v>0</v>
      </c>
      <c r="AT302" s="34" t="str">
        <v>1P</v>
      </c>
      <c r="AU302" s="34">
        <v>20</v>
      </c>
      <c r="AV302" s="34" t="str">
        <v/>
      </c>
      <c r="AW302" s="34" t="str">
        <v/>
      </c>
      <c r="AX302" s="34" t="str">
        <v/>
      </c>
      <c r="AY302" s="34">
        <v>0</v>
      </c>
      <c r="AZ302" s="34" t="str">
        <v/>
      </c>
      <c r="BA302" s="34">
        <v>0</v>
      </c>
      <c r="BB302" s="34">
        <v>0</v>
      </c>
      <c r="BD302" s="34">
        <v>0</v>
      </c>
      <c r="BE302" s="34">
        <v>0</v>
      </c>
      <c r="BF302" s="34">
        <v>0</v>
      </c>
      <c r="BG302" s="34" t="str">
        <v/>
      </c>
      <c r="BH302" s="34" t="str">
        <v/>
      </c>
      <c r="BI302" s="34" t="str">
        <v/>
      </c>
      <c r="BJ302" s="34" t="str">
        <v/>
      </c>
      <c r="BK302" s="34" t="str">
        <v>BOX</v>
      </c>
      <c r="BL302" s="34">
        <v>1</v>
      </c>
      <c r="BM302" s="34" t="str">
        <v/>
      </c>
      <c r="BN302" s="34" t="str">
        <v/>
      </c>
      <c r="BO302" s="34" t="str">
        <v/>
      </c>
      <c r="BP302" s="34" t="str">
        <v/>
      </c>
      <c r="BQ302" s="34" t="str">
        <v/>
      </c>
      <c r="BR302" s="34" t="str">
        <v/>
      </c>
      <c r="BS302" s="34" t="str">
        <v/>
      </c>
      <c r="BT302" s="34" t="str">
        <v/>
      </c>
      <c r="BU302" s="34">
        <v>0</v>
      </c>
      <c r="BV302" s="34">
        <v>323</v>
      </c>
      <c r="BW302" s="34">
        <v>0</v>
      </c>
      <c r="BX302" s="34">
        <v>0</v>
      </c>
      <c r="BY302" s="34">
        <v>0</v>
      </c>
      <c r="BZ302">
        <v>14</v>
      </c>
      <c r="CA302" t="str">
        <v>вводной узел</v>
      </c>
    </row>
    <row r="303" spans="1:79" x14ac:dyDescent="0.3">
      <c r="A303" s="39" t="str">
        <v>ЩС-ВК.002</v>
      </c>
      <c r="B303" s="42">
        <v>12</v>
      </c>
      <c r="C303" s="42">
        <v>1</v>
      </c>
      <c r="D303" s="75" t="str">
        <v/>
      </c>
      <c r="E303" s="75" t="str">
        <v>авто</v>
      </c>
      <c r="F303" s="76" t="str">
        <v/>
      </c>
      <c r="G303" s="47" t="str">
        <v>QF1</v>
      </c>
      <c r="H303" s="47" t="str">
        <v>1P С16А</v>
      </c>
      <c r="I303" s="75" t="str">
        <v/>
      </c>
      <c r="J303" s="76" t="str">
        <v/>
      </c>
      <c r="K303" s="76" t="str">
        <v/>
      </c>
      <c r="L303" s="75" t="str">
        <v/>
      </c>
      <c r="M303" s="49" t="str">
        <v/>
      </c>
      <c r="N303" s="76" t="str">
        <v/>
      </c>
      <c r="O303" s="49" t="str">
        <v/>
      </c>
      <c r="P303" s="77" t="str">
        <v>XT1</v>
      </c>
      <c r="Q303" s="53" t="str">
        <v>ВВГнг(А)-LS (3х2,5) L=37-0,76%</v>
      </c>
      <c r="R303" s="54" t="str">
        <v>НВК.00.002Тб.3</v>
      </c>
      <c r="S303" s="55" t="str">
        <v>Насос дренажный, пом. 002Тб</v>
      </c>
      <c r="T303" s="56">
        <v>0.6</v>
      </c>
      <c r="U303" s="56">
        <v>3.25</v>
      </c>
      <c r="V303" s="42" t="str">
        <v>L1</v>
      </c>
      <c r="W303" s="57" t="str">
        <v>ok</v>
      </c>
      <c r="X303" s="58" t="str">
        <v/>
      </c>
      <c r="Y303" s="75" t="str">
        <v/>
      </c>
      <c r="Z303" s="59">
        <v>3.2475952641916441</v>
      </c>
      <c r="AA303" s="61">
        <v>6</v>
      </c>
      <c r="AB303" s="61">
        <v>25</v>
      </c>
      <c r="AC303" s="61" t="str">
        <v/>
      </c>
      <c r="AD303" s="62" t="str">
        <v>QF1 → XT1</v>
      </c>
      <c r="AE303" s="62" t="str">
        <v/>
      </c>
      <c r="AF303" s="34">
        <v>1</v>
      </c>
      <c r="AG303" s="34" t="str">
        <v>QF1</v>
      </c>
      <c r="AH303" s="34" t="str">
        <v/>
      </c>
      <c r="AI303" s="34" t="str">
        <v/>
      </c>
      <c r="AJ303" s="34" t="str">
        <v>QF1</v>
      </c>
      <c r="AK303" s="34">
        <v>1</v>
      </c>
      <c r="AL303" s="34" t="str">
        <v>НВК</v>
      </c>
      <c r="AM303" s="34">
        <v>0</v>
      </c>
      <c r="AN303" s="34">
        <v>0</v>
      </c>
      <c r="AO303" s="34">
        <v>6</v>
      </c>
      <c r="AP303" s="34">
        <v>25</v>
      </c>
      <c r="AQ303" s="34">
        <v>16</v>
      </c>
      <c r="AR303" s="34">
        <v>1</v>
      </c>
      <c r="AS303" s="34">
        <v>0</v>
      </c>
      <c r="AT303" s="34" t="str">
        <v>1P</v>
      </c>
      <c r="AU303" s="34">
        <v>16</v>
      </c>
      <c r="AV303" s="34" t="str">
        <v/>
      </c>
      <c r="AW303" s="34" t="str">
        <v/>
      </c>
      <c r="AX303" s="34" t="str">
        <v/>
      </c>
      <c r="AY303" s="34">
        <v>1</v>
      </c>
      <c r="AZ303" s="34" t="str">
        <v/>
      </c>
      <c r="BA303" s="34">
        <v>0</v>
      </c>
      <c r="BB303" s="34">
        <v>0</v>
      </c>
      <c r="BD303" s="34">
        <v>1</v>
      </c>
      <c r="BE303" s="34">
        <v>0</v>
      </c>
      <c r="BF303" s="34">
        <v>0</v>
      </c>
      <c r="BG303" s="34" t="str">
        <v/>
      </c>
      <c r="BH303" s="34" t="str">
        <v/>
      </c>
      <c r="BI303" s="34" t="str">
        <v/>
      </c>
      <c r="BJ303" s="34" t="str">
        <v/>
      </c>
      <c r="BK303" s="34" t="str">
        <v>BOX</v>
      </c>
      <c r="BL303" s="34">
        <v>1</v>
      </c>
      <c r="BM303" s="34" t="str">
        <v/>
      </c>
      <c r="BN303" s="34" t="str">
        <v/>
      </c>
      <c r="BO303" s="34" t="str">
        <v/>
      </c>
      <c r="BP303" s="34" t="str">
        <v/>
      </c>
      <c r="BQ303" s="34" t="str">
        <v>3х2,5</v>
      </c>
      <c r="BR303" s="34" t="str">
        <v/>
      </c>
      <c r="BS303" s="34" t="str">
        <v/>
      </c>
      <c r="BT303" s="34" t="str">
        <v/>
      </c>
      <c r="BU303" s="34">
        <v>0</v>
      </c>
      <c r="BV303" s="34">
        <v>324</v>
      </c>
      <c r="BW303" s="34">
        <v>1</v>
      </c>
      <c r="BX303" s="34">
        <v>0</v>
      </c>
      <c r="BY303" s="34">
        <v>0</v>
      </c>
      <c r="BZ303">
        <v>14</v>
      </c>
      <c r="CA303" t="str">
        <v>линии</v>
      </c>
    </row>
    <row r="304" spans="1:79" x14ac:dyDescent="0.3">
      <c r="A304" s="39" t="str">
        <v>ЩС-ВК.002</v>
      </c>
      <c r="B304" s="42">
        <v>13</v>
      </c>
      <c r="C304" s="42">
        <v>1</v>
      </c>
      <c r="D304" s="75" t="str">
        <v/>
      </c>
      <c r="E304" s="75" t="str">
        <v>авто</v>
      </c>
      <c r="F304" s="76" t="str">
        <v/>
      </c>
      <c r="G304" s="47" t="str">
        <v>QF2</v>
      </c>
      <c r="H304" s="47" t="str">
        <v>1P С16А</v>
      </c>
      <c r="I304" s="75" t="str">
        <v/>
      </c>
      <c r="J304" s="76" t="str">
        <v/>
      </c>
      <c r="K304" s="76" t="str">
        <v/>
      </c>
      <c r="L304" s="75" t="str">
        <v/>
      </c>
      <c r="M304" s="49" t="str">
        <v/>
      </c>
      <c r="N304" s="76" t="str">
        <v/>
      </c>
      <c r="O304" s="49" t="str">
        <v/>
      </c>
      <c r="P304" s="77" t="str">
        <v>XT2</v>
      </c>
      <c r="Q304" s="53" t="str">
        <v>ВВГнг(А)-LS (3х2,5) L=36-0,74%</v>
      </c>
      <c r="R304" s="54" t="str">
        <v>НВК.00.002Тб.4</v>
      </c>
      <c r="S304" s="55" t="str">
        <v>Насос дренажный, пом. 002Тб</v>
      </c>
      <c r="T304" s="56">
        <v>0.6</v>
      </c>
      <c r="U304" s="56">
        <v>3.25</v>
      </c>
      <c r="V304" s="42" t="str">
        <v>L1</v>
      </c>
      <c r="W304" s="57" t="str">
        <v>ok</v>
      </c>
      <c r="X304" s="58" t="str">
        <v/>
      </c>
      <c r="Y304" s="75" t="str">
        <v/>
      </c>
      <c r="Z304" s="59">
        <v>3.2475952641916441</v>
      </c>
      <c r="AA304" s="61">
        <v>6</v>
      </c>
      <c r="AB304" s="61">
        <v>25</v>
      </c>
      <c r="AC304" s="61" t="str">
        <v/>
      </c>
      <c r="AD304" s="62" t="str">
        <v>QF2 → XT2</v>
      </c>
      <c r="AE304" s="62" t="str">
        <v/>
      </c>
      <c r="AF304" s="34">
        <v>2</v>
      </c>
      <c r="AG304" s="34" t="str">
        <v>QF2</v>
      </c>
      <c r="AH304" s="34" t="str">
        <v/>
      </c>
      <c r="AI304" s="34" t="str">
        <v/>
      </c>
      <c r="AJ304" s="34" t="str">
        <v>QF2</v>
      </c>
      <c r="AK304" s="34">
        <v>1</v>
      </c>
      <c r="AL304" s="34" t="str">
        <v>НВК</v>
      </c>
      <c r="AM304" s="34">
        <v>0</v>
      </c>
      <c r="AN304" s="34">
        <v>0</v>
      </c>
      <c r="AO304" s="34">
        <v>6</v>
      </c>
      <c r="AP304" s="34">
        <v>25</v>
      </c>
      <c r="AQ304" s="34">
        <v>16</v>
      </c>
      <c r="AR304" s="34">
        <v>1</v>
      </c>
      <c r="AS304" s="34">
        <v>0</v>
      </c>
      <c r="AT304" s="34" t="str">
        <v>1P</v>
      </c>
      <c r="AU304" s="34">
        <v>16</v>
      </c>
      <c r="AV304" s="34" t="str">
        <v/>
      </c>
      <c r="AW304" s="34" t="str">
        <v/>
      </c>
      <c r="AX304" s="34" t="str">
        <v/>
      </c>
      <c r="AY304" s="34">
        <v>1</v>
      </c>
      <c r="AZ304" s="34" t="str">
        <v/>
      </c>
      <c r="BA304" s="34">
        <v>0</v>
      </c>
      <c r="BB304" s="34">
        <v>0</v>
      </c>
      <c r="BD304" s="34">
        <v>1</v>
      </c>
      <c r="BE304" s="34">
        <v>0</v>
      </c>
      <c r="BF304" s="34">
        <v>0</v>
      </c>
      <c r="BG304" s="34" t="str">
        <v/>
      </c>
      <c r="BH304" s="34" t="str">
        <v/>
      </c>
      <c r="BI304" s="34" t="str">
        <v/>
      </c>
      <c r="BJ304" s="34" t="str">
        <v/>
      </c>
      <c r="BK304" s="34" t="str">
        <v>BOX</v>
      </c>
      <c r="BL304" s="34">
        <v>1</v>
      </c>
      <c r="BM304" s="34" t="str">
        <v/>
      </c>
      <c r="BN304" s="34" t="str">
        <v/>
      </c>
      <c r="BO304" s="34" t="str">
        <v/>
      </c>
      <c r="BP304" s="34" t="str">
        <v/>
      </c>
      <c r="BQ304" s="34" t="str">
        <v>3х2,5</v>
      </c>
      <c r="BR304" s="34" t="str">
        <v/>
      </c>
      <c r="BS304" s="34" t="str">
        <v/>
      </c>
      <c r="BT304" s="34" t="str">
        <v/>
      </c>
      <c r="BU304" s="34">
        <v>0</v>
      </c>
      <c r="BV304" s="34">
        <v>325</v>
      </c>
      <c r="BW304" s="34">
        <v>1</v>
      </c>
      <c r="BX304" s="34">
        <v>0</v>
      </c>
      <c r="BY304" s="34">
        <v>0</v>
      </c>
      <c r="BZ304">
        <v>14</v>
      </c>
      <c r="CA304" t="str">
        <v>линии</v>
      </c>
    </row>
    <row r="305" spans="1:79" x14ac:dyDescent="0.3">
      <c r="A305" s="39" t="str">
        <v>ЩС-ВК.002</v>
      </c>
      <c r="B305" s="42">
        <v>14</v>
      </c>
      <c r="C305" s="42">
        <v>1</v>
      </c>
      <c r="D305" s="75" t="str">
        <v/>
      </c>
      <c r="E305" s="75" t="str">
        <v>авто</v>
      </c>
      <c r="F305" s="76" t="str">
        <v/>
      </c>
      <c r="G305" s="47" t="str">
        <v>QF3</v>
      </c>
      <c r="H305" s="47" t="str">
        <v>1P С16А</v>
      </c>
      <c r="I305" s="75" t="str">
        <v/>
      </c>
      <c r="J305" s="76" t="str">
        <v/>
      </c>
      <c r="K305" s="76" t="str">
        <v/>
      </c>
      <c r="L305" s="75" t="str">
        <v/>
      </c>
      <c r="M305" s="49" t="str">
        <v/>
      </c>
      <c r="N305" s="76" t="str">
        <v/>
      </c>
      <c r="O305" s="49" t="str">
        <v/>
      </c>
      <c r="P305" s="77" t="str">
        <v>XT3</v>
      </c>
      <c r="Q305" s="53" t="str">
        <v>ВВГнг(А)-LS (3х2,5) L=13-0,27%</v>
      </c>
      <c r="R305" s="54" t="str">
        <v>НВК.00.002Тб.2</v>
      </c>
      <c r="S305" s="55" t="str">
        <v>Насос дренажный, пом. 002Тб</v>
      </c>
      <c r="T305" s="56">
        <v>0.6</v>
      </c>
      <c r="U305" s="56">
        <v>3.25</v>
      </c>
      <c r="V305" s="42" t="str">
        <v>L1</v>
      </c>
      <c r="W305" s="57" t="str">
        <v>ok</v>
      </c>
      <c r="X305" s="58" t="str">
        <v/>
      </c>
      <c r="Y305" s="75" t="str">
        <v/>
      </c>
      <c r="Z305" s="59">
        <v>3.2475952641916441</v>
      </c>
      <c r="AA305" s="61">
        <v>6</v>
      </c>
      <c r="AB305" s="61">
        <v>25</v>
      </c>
      <c r="AC305" s="61" t="str">
        <v/>
      </c>
      <c r="AD305" s="62" t="str">
        <v>QF3 → XT3</v>
      </c>
      <c r="AE305" s="62" t="str">
        <v/>
      </c>
      <c r="AF305" s="34">
        <v>3</v>
      </c>
      <c r="AG305" s="34" t="str">
        <v>QF3</v>
      </c>
      <c r="AH305" s="34" t="str">
        <v/>
      </c>
      <c r="AI305" s="34" t="str">
        <v/>
      </c>
      <c r="AJ305" s="34" t="str">
        <v>QF3</v>
      </c>
      <c r="AK305" s="34">
        <v>1</v>
      </c>
      <c r="AL305" s="34" t="str">
        <v>НВК</v>
      </c>
      <c r="AM305" s="34">
        <v>0</v>
      </c>
      <c r="AN305" s="34">
        <v>0</v>
      </c>
      <c r="AO305" s="34">
        <v>6</v>
      </c>
      <c r="AP305" s="34">
        <v>25</v>
      </c>
      <c r="AQ305" s="34">
        <v>16</v>
      </c>
      <c r="AR305" s="34">
        <v>1</v>
      </c>
      <c r="AS305" s="34">
        <v>0</v>
      </c>
      <c r="AT305" s="34" t="str">
        <v>1P</v>
      </c>
      <c r="AU305" s="34">
        <v>16</v>
      </c>
      <c r="AV305" s="34" t="str">
        <v/>
      </c>
      <c r="AW305" s="34" t="str">
        <v/>
      </c>
      <c r="AX305" s="34" t="str">
        <v/>
      </c>
      <c r="AY305" s="34">
        <v>1</v>
      </c>
      <c r="AZ305" s="34" t="str">
        <v/>
      </c>
      <c r="BA305" s="34">
        <v>0</v>
      </c>
      <c r="BB305" s="34">
        <v>0</v>
      </c>
      <c r="BD305" s="34">
        <v>1</v>
      </c>
      <c r="BE305" s="34">
        <v>0</v>
      </c>
      <c r="BF305" s="34">
        <v>0</v>
      </c>
      <c r="BG305" s="34" t="str">
        <v/>
      </c>
      <c r="BH305" s="34" t="str">
        <v/>
      </c>
      <c r="BI305" s="34" t="str">
        <v/>
      </c>
      <c r="BJ305" s="34" t="str">
        <v/>
      </c>
      <c r="BK305" s="34" t="str">
        <v>BOX</v>
      </c>
      <c r="BL305" s="34">
        <v>1</v>
      </c>
      <c r="BM305" s="34" t="str">
        <v/>
      </c>
      <c r="BN305" s="34" t="str">
        <v/>
      </c>
      <c r="BO305" s="34" t="str">
        <v/>
      </c>
      <c r="BP305" s="34" t="str">
        <v/>
      </c>
      <c r="BQ305" s="34" t="str">
        <v>3х2,5</v>
      </c>
      <c r="BR305" s="34" t="str">
        <v/>
      </c>
      <c r="BS305" s="34" t="str">
        <v/>
      </c>
      <c r="BT305" s="34" t="str">
        <v/>
      </c>
      <c r="BU305" s="34">
        <v>0</v>
      </c>
      <c r="BV305" s="34">
        <v>326</v>
      </c>
      <c r="BW305" s="34">
        <v>1</v>
      </c>
      <c r="BX305" s="34">
        <v>0</v>
      </c>
      <c r="BY305" s="34">
        <v>0</v>
      </c>
      <c r="BZ305">
        <v>14</v>
      </c>
      <c r="CA305" t="str">
        <v>линии</v>
      </c>
    </row>
    <row r="306" spans="1:79" x14ac:dyDescent="0.3">
      <c r="A306" s="39" t="str">
        <v>ЩС-ВК.002</v>
      </c>
      <c r="B306" s="42">
        <v>15</v>
      </c>
      <c r="C306" s="42">
        <v>1</v>
      </c>
      <c r="D306" s="75" t="str">
        <v/>
      </c>
      <c r="E306" s="75" t="str">
        <v>авто</v>
      </c>
      <c r="F306" s="76" t="str">
        <v/>
      </c>
      <c r="G306" s="47" t="str">
        <v>QF4</v>
      </c>
      <c r="H306" s="47" t="str">
        <v>1P С16А</v>
      </c>
      <c r="I306" s="75" t="str">
        <v/>
      </c>
      <c r="J306" s="76" t="str">
        <v/>
      </c>
      <c r="K306" s="76" t="str">
        <v/>
      </c>
      <c r="L306" s="75" t="str">
        <v/>
      </c>
      <c r="M306" s="49" t="str">
        <v/>
      </c>
      <c r="N306" s="76" t="str">
        <v/>
      </c>
      <c r="O306" s="49" t="str">
        <v/>
      </c>
      <c r="P306" s="77" t="str">
        <v>XT4</v>
      </c>
      <c r="Q306" s="53" t="str">
        <v>ВВГнг(А)-LS (3х2,5) L=13-0,27%</v>
      </c>
      <c r="R306" s="54" t="str">
        <v>НВК.00.002Тб.1</v>
      </c>
      <c r="S306" s="55" t="str">
        <v>Насос дренажный, пом. 002Тб</v>
      </c>
      <c r="T306" s="56">
        <v>0.6</v>
      </c>
      <c r="U306" s="56">
        <v>3.25</v>
      </c>
      <c r="V306" s="42" t="str">
        <v>L1</v>
      </c>
      <c r="W306" s="57" t="str">
        <v>ok</v>
      </c>
      <c r="X306" s="58" t="str">
        <v/>
      </c>
      <c r="Y306" s="75" t="str">
        <v/>
      </c>
      <c r="Z306" s="59">
        <v>3.2475952641916441</v>
      </c>
      <c r="AA306" s="61">
        <v>6</v>
      </c>
      <c r="AB306" s="61">
        <v>25</v>
      </c>
      <c r="AC306" s="61" t="str">
        <v/>
      </c>
      <c r="AD306" s="62" t="str">
        <v>QF4 → XT4</v>
      </c>
      <c r="AE306" s="62" t="str">
        <v/>
      </c>
      <c r="AF306" s="34">
        <v>4</v>
      </c>
      <c r="AG306" s="34" t="str">
        <v>QF4</v>
      </c>
      <c r="AH306" s="34" t="str">
        <v/>
      </c>
      <c r="AI306" s="34" t="str">
        <v/>
      </c>
      <c r="AJ306" s="34" t="str">
        <v>QF4</v>
      </c>
      <c r="AK306" s="34">
        <v>1</v>
      </c>
      <c r="AL306" s="34" t="str">
        <v>НВК</v>
      </c>
      <c r="AM306" s="34">
        <v>0</v>
      </c>
      <c r="AN306" s="34">
        <v>0</v>
      </c>
      <c r="AO306" s="34">
        <v>6</v>
      </c>
      <c r="AP306" s="34">
        <v>25</v>
      </c>
      <c r="AQ306" s="34">
        <v>16</v>
      </c>
      <c r="AR306" s="34">
        <v>1</v>
      </c>
      <c r="AS306" s="34">
        <v>0</v>
      </c>
      <c r="AT306" s="34" t="str">
        <v>1P</v>
      </c>
      <c r="AU306" s="34">
        <v>16</v>
      </c>
      <c r="AV306" s="34" t="str">
        <v/>
      </c>
      <c r="AW306" s="34" t="str">
        <v/>
      </c>
      <c r="AX306" s="34" t="str">
        <v/>
      </c>
      <c r="AY306" s="34">
        <v>1</v>
      </c>
      <c r="AZ306" s="34" t="str">
        <v/>
      </c>
      <c r="BA306" s="34">
        <v>0</v>
      </c>
      <c r="BB306" s="34">
        <v>0</v>
      </c>
      <c r="BD306" s="34">
        <v>1</v>
      </c>
      <c r="BE306" s="34">
        <v>0</v>
      </c>
      <c r="BF306" s="34">
        <v>0</v>
      </c>
      <c r="BG306" s="34" t="str">
        <v/>
      </c>
      <c r="BH306" s="34" t="str">
        <v/>
      </c>
      <c r="BI306" s="34" t="str">
        <v/>
      </c>
      <c r="BJ306" s="34" t="str">
        <v/>
      </c>
      <c r="BK306" s="34" t="str">
        <v>BOX</v>
      </c>
      <c r="BL306" s="34">
        <v>1</v>
      </c>
      <c r="BM306" s="34" t="str">
        <v/>
      </c>
      <c r="BN306" s="34" t="str">
        <v/>
      </c>
      <c r="BO306" s="34" t="str">
        <v/>
      </c>
      <c r="BP306" s="34" t="str">
        <v/>
      </c>
      <c r="BQ306" s="34" t="str">
        <v>3х2,5</v>
      </c>
      <c r="BR306" s="34" t="str">
        <v/>
      </c>
      <c r="BS306" s="34" t="str">
        <v/>
      </c>
      <c r="BT306" s="34" t="str">
        <v/>
      </c>
      <c r="BU306" s="34">
        <v>0</v>
      </c>
      <c r="BV306" s="34">
        <v>327</v>
      </c>
      <c r="BW306" s="34">
        <v>1</v>
      </c>
      <c r="BX306" s="34">
        <v>0</v>
      </c>
      <c r="BY306" s="34">
        <v>0</v>
      </c>
      <c r="BZ306">
        <v>14</v>
      </c>
      <c r="CA306" t="str">
        <v>линии</v>
      </c>
    </row>
    <row r="307" spans="1:79" x14ac:dyDescent="0.3">
      <c r="A307" s="39" t="str">
        <v>ЩС-ВК.003</v>
      </c>
      <c r="B307" s="42">
        <v>2</v>
      </c>
      <c r="C307" s="42">
        <v>1</v>
      </c>
      <c r="D307" s="75" t="str">
        <v/>
      </c>
      <c r="E307" s="75" t="str">
        <v>авто</v>
      </c>
      <c r="F307" s="76" t="str">
        <v/>
      </c>
      <c r="G307" s="47" t="str">
        <v/>
      </c>
      <c r="H307" s="47" t="str">
        <v>3P С20А</v>
      </c>
      <c r="I307" s="75" t="str">
        <v/>
      </c>
      <c r="J307" s="76" t="str">
        <v/>
      </c>
      <c r="K307" s="76" t="str">
        <v/>
      </c>
      <c r="L307" s="75" t="str">
        <v/>
      </c>
      <c r="M307" s="49" t="str">
        <v/>
      </c>
      <c r="N307" s="76" t="str">
        <v/>
      </c>
      <c r="O307" s="49" t="str">
        <v/>
      </c>
      <c r="P307" s="77" t="str">
        <v/>
      </c>
      <c r="Q307" s="53" t="str">
        <v>ВВГнг(А)-LS (3х4) L=53-1,72%</v>
      </c>
      <c r="R307" s="54" t="str">
        <v>Ввод.1</v>
      </c>
      <c r="S307" s="55" t="str">
        <v>Вводной кабель шлейф 1</v>
      </c>
      <c r="T307" s="56">
        <v>4.34</v>
      </c>
      <c r="U307" s="56">
        <v>16.450000000000003</v>
      </c>
      <c r="V307" s="42" t="str">
        <v>L1,L2,L3</v>
      </c>
      <c r="W307" s="57" t="str">
        <v>ok</v>
      </c>
      <c r="X307" s="58" t="str">
        <v/>
      </c>
      <c r="Y307" s="75" t="str">
        <v>вручную</v>
      </c>
      <c r="Z307" s="59">
        <v>16.443657354357025</v>
      </c>
      <c r="AA307" s="61">
        <v>20</v>
      </c>
      <c r="AB307" s="61">
        <v>32</v>
      </c>
      <c r="AC307" s="61" t="str">
        <v/>
      </c>
      <c r="AD307" s="62" t="str">
        <v/>
      </c>
      <c r="AE307" s="62" t="str">
        <v>потери 5,2 % &gt; 4 %</v>
      </c>
      <c r="AF307" s="34" t="str">
        <v/>
      </c>
      <c r="AG307" s="34" t="str">
        <v/>
      </c>
      <c r="AH307" s="34" t="str">
        <v/>
      </c>
      <c r="AI307" s="34" t="str">
        <v/>
      </c>
      <c r="AJ307" s="34" t="str">
        <v/>
      </c>
      <c r="AK307" s="34">
        <v>3</v>
      </c>
      <c r="AL307" s="34" t="str">
        <v>Ввод</v>
      </c>
      <c r="AM307" s="34">
        <v>0</v>
      </c>
      <c r="AN307" s="34">
        <v>0</v>
      </c>
      <c r="AO307" s="34">
        <v>20</v>
      </c>
      <c r="AP307" s="34">
        <v>32</v>
      </c>
      <c r="AQ307" s="34">
        <v>20</v>
      </c>
      <c r="AR307" s="34">
        <v>3</v>
      </c>
      <c r="AS307" s="34">
        <v>0</v>
      </c>
      <c r="AT307" s="34" t="str">
        <v>3P</v>
      </c>
      <c r="AU307" s="34">
        <v>20</v>
      </c>
      <c r="AV307" s="34" t="str">
        <v/>
      </c>
      <c r="AW307" s="34" t="str">
        <v/>
      </c>
      <c r="AX307" s="34" t="str">
        <v/>
      </c>
      <c r="AY307" s="34">
        <v>0</v>
      </c>
      <c r="AZ307" s="34" t="str">
        <v/>
      </c>
      <c r="BA307" s="34">
        <v>0</v>
      </c>
      <c r="BB307" s="34">
        <v>0</v>
      </c>
      <c r="BD307" s="34">
        <v>0</v>
      </c>
      <c r="BE307" s="34">
        <v>0</v>
      </c>
      <c r="BF307" s="34">
        <v>0</v>
      </c>
      <c r="BG307" s="34" t="str">
        <v/>
      </c>
      <c r="BH307" s="34" t="str">
        <v/>
      </c>
      <c r="BI307" s="34" t="str">
        <v/>
      </c>
      <c r="BJ307" s="34" t="str">
        <v/>
      </c>
      <c r="BK307" s="34" t="str">
        <v>BOX</v>
      </c>
      <c r="BL307" s="34">
        <v>1</v>
      </c>
      <c r="BM307" s="34" t="str">
        <v/>
      </c>
      <c r="BN307" s="34" t="str">
        <v/>
      </c>
      <c r="BO307" s="34" t="str">
        <v/>
      </c>
      <c r="BP307" s="34" t="str">
        <v/>
      </c>
      <c r="BQ307" s="34" t="str">
        <v/>
      </c>
      <c r="BR307" s="34" t="str">
        <v/>
      </c>
      <c r="BS307" s="34" t="str">
        <v/>
      </c>
      <c r="BT307" s="34" t="str">
        <v/>
      </c>
      <c r="BU307" s="34">
        <v>1</v>
      </c>
      <c r="BV307" s="34">
        <v>328</v>
      </c>
      <c r="BW307" s="34">
        <v>0</v>
      </c>
      <c r="BX307" s="34">
        <v>0</v>
      </c>
      <c r="BY307" s="34">
        <v>0</v>
      </c>
      <c r="BZ307">
        <v>15</v>
      </c>
      <c r="CA307" t="str">
        <v>вводной узел</v>
      </c>
    </row>
    <row r="308" spans="1:79" x14ac:dyDescent="0.3">
      <c r="A308" s="39" t="str">
        <v>ЩС-ВК.003</v>
      </c>
      <c r="B308" s="42">
        <v>12</v>
      </c>
      <c r="C308" s="42">
        <v>1</v>
      </c>
      <c r="D308" s="75" t="str">
        <v/>
      </c>
      <c r="E308" s="75" t="str">
        <v>авто</v>
      </c>
      <c r="F308" s="76" t="str">
        <v/>
      </c>
      <c r="G308" s="47" t="str">
        <v>QF1</v>
      </c>
      <c r="H308" s="47" t="str">
        <v>1P С16А</v>
      </c>
      <c r="I308" s="75" t="str">
        <v/>
      </c>
      <c r="J308" s="76" t="str">
        <v/>
      </c>
      <c r="K308" s="76" t="str">
        <v/>
      </c>
      <c r="L308" s="75" t="str">
        <v/>
      </c>
      <c r="M308" s="49" t="str">
        <v/>
      </c>
      <c r="N308" s="76" t="str">
        <v/>
      </c>
      <c r="O308" s="49" t="str">
        <v/>
      </c>
      <c r="P308" s="77" t="str">
        <v>XT1</v>
      </c>
      <c r="Q308" s="53" t="str">
        <v>ВВГнг(А)-LS (3х2,5) L=16-0,33%</v>
      </c>
      <c r="R308" s="54" t="str">
        <v>НВК.00.006Т.2</v>
      </c>
      <c r="S308" s="55" t="str">
        <v>Насос дренажный, пом. 006Т</v>
      </c>
      <c r="T308" s="56">
        <v>0.6</v>
      </c>
      <c r="U308" s="56">
        <v>3.25</v>
      </c>
      <c r="V308" s="42" t="str">
        <v>L3</v>
      </c>
      <c r="W308" s="57" t="str">
        <v>ok</v>
      </c>
      <c r="X308" s="58" t="str">
        <v/>
      </c>
      <c r="Y308" s="75" t="str">
        <v/>
      </c>
      <c r="Z308" s="59">
        <v>3.2475952641916441</v>
      </c>
      <c r="AA308" s="61">
        <v>6</v>
      </c>
      <c r="AB308" s="61">
        <v>25</v>
      </c>
      <c r="AC308" s="61" t="str">
        <v/>
      </c>
      <c r="AD308" s="62" t="str">
        <v>QF1 → XT1</v>
      </c>
      <c r="AE308" s="62" t="str">
        <v/>
      </c>
      <c r="AF308" s="34">
        <v>1</v>
      </c>
      <c r="AG308" s="34" t="str">
        <v>QF1</v>
      </c>
      <c r="AH308" s="34" t="str">
        <v/>
      </c>
      <c r="AI308" s="34" t="str">
        <v/>
      </c>
      <c r="AJ308" s="34" t="str">
        <v>QF1</v>
      </c>
      <c r="AK308" s="34">
        <v>1</v>
      </c>
      <c r="AL308" s="34" t="str">
        <v>НВК</v>
      </c>
      <c r="AM308" s="34">
        <v>0</v>
      </c>
      <c r="AN308" s="34">
        <v>0</v>
      </c>
      <c r="AO308" s="34">
        <v>6</v>
      </c>
      <c r="AP308" s="34">
        <v>25</v>
      </c>
      <c r="AQ308" s="34">
        <v>16</v>
      </c>
      <c r="AR308" s="34">
        <v>1</v>
      </c>
      <c r="AS308" s="34">
        <v>0</v>
      </c>
      <c r="AT308" s="34" t="str">
        <v>1P</v>
      </c>
      <c r="AU308" s="34">
        <v>16</v>
      </c>
      <c r="AV308" s="34" t="str">
        <v/>
      </c>
      <c r="AW308" s="34" t="str">
        <v/>
      </c>
      <c r="AX308" s="34" t="str">
        <v/>
      </c>
      <c r="AY308" s="34">
        <v>1</v>
      </c>
      <c r="AZ308" s="34" t="str">
        <v/>
      </c>
      <c r="BA308" s="34">
        <v>0</v>
      </c>
      <c r="BB308" s="34">
        <v>0</v>
      </c>
      <c r="BD308" s="34">
        <v>1</v>
      </c>
      <c r="BE308" s="34">
        <v>0</v>
      </c>
      <c r="BF308" s="34">
        <v>0</v>
      </c>
      <c r="BG308" s="34" t="str">
        <v/>
      </c>
      <c r="BH308" s="34" t="str">
        <v/>
      </c>
      <c r="BI308" s="34" t="str">
        <v/>
      </c>
      <c r="BJ308" s="34" t="str">
        <v/>
      </c>
      <c r="BK308" s="34" t="str">
        <v>BOX</v>
      </c>
      <c r="BL308" s="34">
        <v>1</v>
      </c>
      <c r="BM308" s="34" t="str">
        <v/>
      </c>
      <c r="BN308" s="34" t="str">
        <v/>
      </c>
      <c r="BO308" s="34" t="str">
        <v/>
      </c>
      <c r="BP308" s="34" t="str">
        <v/>
      </c>
      <c r="BQ308" s="34" t="str">
        <v>3х2,5</v>
      </c>
      <c r="BR308" s="34" t="str">
        <v/>
      </c>
      <c r="BS308" s="34" t="str">
        <v/>
      </c>
      <c r="BT308" s="34" t="str">
        <v/>
      </c>
      <c r="BU308" s="34">
        <v>0</v>
      </c>
      <c r="BV308" s="34">
        <v>329</v>
      </c>
      <c r="BW308" s="34">
        <v>1</v>
      </c>
      <c r="BX308" s="34">
        <v>0</v>
      </c>
      <c r="BY308" s="34">
        <v>0</v>
      </c>
      <c r="BZ308">
        <v>15</v>
      </c>
      <c r="CA308" t="str">
        <v>линии</v>
      </c>
    </row>
    <row r="309" spans="1:79" x14ac:dyDescent="0.3">
      <c r="A309" s="39" t="str">
        <v>ЩС-ВК.003</v>
      </c>
      <c r="B309" s="42">
        <v>13</v>
      </c>
      <c r="C309" s="42">
        <v>1</v>
      </c>
      <c r="D309" s="75" t="str">
        <v/>
      </c>
      <c r="E309" s="75" t="str">
        <v>авто</v>
      </c>
      <c r="F309" s="76" t="str">
        <v/>
      </c>
      <c r="G309" s="47" t="str">
        <v>QF2</v>
      </c>
      <c r="H309" s="47" t="str">
        <v>1P С16А</v>
      </c>
      <c r="I309" s="75" t="str">
        <v/>
      </c>
      <c r="J309" s="76" t="str">
        <v/>
      </c>
      <c r="K309" s="76" t="str">
        <v/>
      </c>
      <c r="L309" s="75" t="str">
        <v/>
      </c>
      <c r="M309" s="49" t="str">
        <v/>
      </c>
      <c r="N309" s="76" t="str">
        <v/>
      </c>
      <c r="O309" s="49" t="str">
        <v/>
      </c>
      <c r="P309" s="77" t="str">
        <v>XT2</v>
      </c>
      <c r="Q309" s="53" t="str">
        <v>ВВГнг(А)-LS (3х2,5) L=15-0,31%</v>
      </c>
      <c r="R309" s="54" t="str">
        <v>НВК.00.006Т.1</v>
      </c>
      <c r="S309" s="55" t="str">
        <v>Насос дренажный, пом. 006Т</v>
      </c>
      <c r="T309" s="56">
        <v>0.6</v>
      </c>
      <c r="U309" s="56">
        <v>3.25</v>
      </c>
      <c r="V309" s="42" t="str">
        <v>L3</v>
      </c>
      <c r="W309" s="57" t="str">
        <v>ok</v>
      </c>
      <c r="X309" s="58" t="str">
        <v/>
      </c>
      <c r="Y309" s="75" t="str">
        <v/>
      </c>
      <c r="Z309" s="59">
        <v>3.2475952641916441</v>
      </c>
      <c r="AA309" s="61">
        <v>6</v>
      </c>
      <c r="AB309" s="61">
        <v>25</v>
      </c>
      <c r="AC309" s="61" t="str">
        <v/>
      </c>
      <c r="AD309" s="62" t="str">
        <v>QF2 → XT2</v>
      </c>
      <c r="AE309" s="62" t="str">
        <v/>
      </c>
      <c r="AF309" s="34">
        <v>2</v>
      </c>
      <c r="AG309" s="34" t="str">
        <v>QF2</v>
      </c>
      <c r="AH309" s="34" t="str">
        <v/>
      </c>
      <c r="AI309" s="34" t="str">
        <v/>
      </c>
      <c r="AJ309" s="34" t="str">
        <v>QF2</v>
      </c>
      <c r="AK309" s="34">
        <v>1</v>
      </c>
      <c r="AL309" s="34" t="str">
        <v>НВК</v>
      </c>
      <c r="AM309" s="34">
        <v>0</v>
      </c>
      <c r="AN309" s="34">
        <v>0</v>
      </c>
      <c r="AO309" s="34">
        <v>6</v>
      </c>
      <c r="AP309" s="34">
        <v>25</v>
      </c>
      <c r="AQ309" s="34">
        <v>16</v>
      </c>
      <c r="AR309" s="34">
        <v>1</v>
      </c>
      <c r="AS309" s="34">
        <v>0</v>
      </c>
      <c r="AT309" s="34" t="str">
        <v>1P</v>
      </c>
      <c r="AU309" s="34">
        <v>16</v>
      </c>
      <c r="AV309" s="34" t="str">
        <v/>
      </c>
      <c r="AW309" s="34" t="str">
        <v/>
      </c>
      <c r="AX309" s="34" t="str">
        <v/>
      </c>
      <c r="AY309" s="34">
        <v>1</v>
      </c>
      <c r="AZ309" s="34" t="str">
        <v/>
      </c>
      <c r="BA309" s="34">
        <v>0</v>
      </c>
      <c r="BB309" s="34">
        <v>0</v>
      </c>
      <c r="BD309" s="34">
        <v>1</v>
      </c>
      <c r="BE309" s="34">
        <v>0</v>
      </c>
      <c r="BF309" s="34">
        <v>0</v>
      </c>
      <c r="BG309" s="34" t="str">
        <v/>
      </c>
      <c r="BH309" s="34" t="str">
        <v/>
      </c>
      <c r="BI309" s="34" t="str">
        <v/>
      </c>
      <c r="BJ309" s="34" t="str">
        <v/>
      </c>
      <c r="BK309" s="34" t="str">
        <v>BOX</v>
      </c>
      <c r="BL309" s="34">
        <v>1</v>
      </c>
      <c r="BM309" s="34" t="str">
        <v/>
      </c>
      <c r="BN309" s="34" t="str">
        <v/>
      </c>
      <c r="BO309" s="34" t="str">
        <v/>
      </c>
      <c r="BP309" s="34" t="str">
        <v/>
      </c>
      <c r="BQ309" s="34" t="str">
        <v>3х2,5</v>
      </c>
      <c r="BR309" s="34" t="str">
        <v/>
      </c>
      <c r="BS309" s="34" t="str">
        <v/>
      </c>
      <c r="BT309" s="34" t="str">
        <v/>
      </c>
      <c r="BU309" s="34">
        <v>0</v>
      </c>
      <c r="BV309" s="34">
        <v>330</v>
      </c>
      <c r="BW309" s="34">
        <v>1</v>
      </c>
      <c r="BX309" s="34">
        <v>0</v>
      </c>
      <c r="BY309" s="34">
        <v>0</v>
      </c>
      <c r="BZ309">
        <v>15</v>
      </c>
      <c r="CA309" t="str">
        <v>линии</v>
      </c>
    </row>
    <row r="310" spans="1:79" x14ac:dyDescent="0.3">
      <c r="A310" s="39" t="str">
        <v>ЩС-ВК.003</v>
      </c>
      <c r="B310" s="42">
        <v>14</v>
      </c>
      <c r="C310" s="42">
        <v>1</v>
      </c>
      <c r="D310" s="75" t="str">
        <v/>
      </c>
      <c r="E310" s="75" t="str">
        <v>авто</v>
      </c>
      <c r="F310" s="76" t="str">
        <v/>
      </c>
      <c r="G310" s="47" t="str">
        <v>QF3</v>
      </c>
      <c r="H310" s="47" t="str">
        <v>1P С16А</v>
      </c>
      <c r="I310" s="75" t="str">
        <v/>
      </c>
      <c r="J310" s="76" t="str">
        <v/>
      </c>
      <c r="K310" s="76" t="str">
        <v/>
      </c>
      <c r="L310" s="75" t="str">
        <v/>
      </c>
      <c r="M310" s="49" t="str">
        <v/>
      </c>
      <c r="N310" s="76" t="str">
        <v/>
      </c>
      <c r="O310" s="49" t="str">
        <v/>
      </c>
      <c r="P310" s="77" t="str">
        <v>XT3</v>
      </c>
      <c r="Q310" s="53" t="str">
        <v>ВВГнг(А)-LS (3х2,5) L=12-1,03%</v>
      </c>
      <c r="R310" s="54" t="str">
        <v>ЖУ.1</v>
      </c>
      <c r="S310" s="55" t="str">
        <v>Жироулавливатель Подвальный этаж Пом. №006Т</v>
      </c>
      <c r="T310" s="56">
        <v>2.5</v>
      </c>
      <c r="U310" s="56">
        <v>13.54</v>
      </c>
      <c r="V310" s="42" t="str">
        <v>L3</v>
      </c>
      <c r="W310" s="57" t="str">
        <v>ok</v>
      </c>
      <c r="X310" s="58" t="str">
        <v/>
      </c>
      <c r="Y310" s="75" t="str">
        <v/>
      </c>
      <c r="Z310" s="59">
        <v>13.531646934131851</v>
      </c>
      <c r="AA310" s="61">
        <v>16</v>
      </c>
      <c r="AB310" s="61">
        <v>25</v>
      </c>
      <c r="AC310" s="61" t="str">
        <v/>
      </c>
      <c r="AD310" s="62" t="str">
        <v>QF3 → XT3</v>
      </c>
      <c r="AE310" s="62" t="str">
        <v>потери 4,5 % &gt; 4 %</v>
      </c>
      <c r="AF310" s="34">
        <v>3</v>
      </c>
      <c r="AG310" s="34" t="str">
        <v>QF3</v>
      </c>
      <c r="AH310" s="34" t="str">
        <v/>
      </c>
      <c r="AI310" s="34" t="str">
        <v/>
      </c>
      <c r="AJ310" s="34" t="str">
        <v>QF3</v>
      </c>
      <c r="AK310" s="34">
        <v>1</v>
      </c>
      <c r="AL310" s="34" t="str">
        <v>ЖУ</v>
      </c>
      <c r="AM310" s="34">
        <v>0</v>
      </c>
      <c r="AN310" s="34">
        <v>0</v>
      </c>
      <c r="AO310" s="34">
        <v>16</v>
      </c>
      <c r="AP310" s="34">
        <v>25</v>
      </c>
      <c r="AQ310" s="34">
        <v>16</v>
      </c>
      <c r="AR310" s="34">
        <v>1</v>
      </c>
      <c r="AS310" s="34">
        <v>0</v>
      </c>
      <c r="AT310" s="34" t="str">
        <v>1P</v>
      </c>
      <c r="AU310" s="34">
        <v>16</v>
      </c>
      <c r="AV310" s="34" t="str">
        <v/>
      </c>
      <c r="AW310" s="34" t="str">
        <v/>
      </c>
      <c r="AX310" s="34" t="str">
        <v/>
      </c>
      <c r="AY310" s="34">
        <v>1</v>
      </c>
      <c r="AZ310" s="34" t="str">
        <v/>
      </c>
      <c r="BA310" s="34">
        <v>0</v>
      </c>
      <c r="BB310" s="34">
        <v>0</v>
      </c>
      <c r="BD310" s="34">
        <v>1</v>
      </c>
      <c r="BE310" s="34">
        <v>0</v>
      </c>
      <c r="BF310" s="34">
        <v>0</v>
      </c>
      <c r="BG310" s="34" t="str">
        <v/>
      </c>
      <c r="BH310" s="34" t="str">
        <v/>
      </c>
      <c r="BI310" s="34" t="str">
        <v/>
      </c>
      <c r="BJ310" s="34" t="str">
        <v/>
      </c>
      <c r="BK310" s="34" t="str">
        <v>BOX</v>
      </c>
      <c r="BL310" s="34">
        <v>1</v>
      </c>
      <c r="BM310" s="34" t="str">
        <v/>
      </c>
      <c r="BN310" s="34" t="str">
        <v/>
      </c>
      <c r="BO310" s="34" t="str">
        <v/>
      </c>
      <c r="BP310" s="34" t="str">
        <v/>
      </c>
      <c r="BQ310" s="34" t="str">
        <v>3х2,5</v>
      </c>
      <c r="BR310" s="34" t="str">
        <v/>
      </c>
      <c r="BS310" s="34" t="str">
        <v/>
      </c>
      <c r="BT310" s="34" t="str">
        <v/>
      </c>
      <c r="BU310" s="34">
        <v>1</v>
      </c>
      <c r="BV310" s="34">
        <v>331</v>
      </c>
      <c r="BW310" s="34">
        <v>1</v>
      </c>
      <c r="BX310" s="34">
        <v>0</v>
      </c>
      <c r="BY310" s="34">
        <v>0</v>
      </c>
      <c r="BZ310">
        <v>15</v>
      </c>
      <c r="CA310" t="str">
        <v>линии</v>
      </c>
    </row>
    <row r="311" spans="1:79" x14ac:dyDescent="0.3">
      <c r="A311" s="39" t="str">
        <v>ЩС-ВК.003</v>
      </c>
      <c r="B311" s="42">
        <v>15</v>
      </c>
      <c r="C311" s="42">
        <v>1</v>
      </c>
      <c r="D311" s="75" t="str">
        <v/>
      </c>
      <c r="E311" s="75" t="str">
        <v>авто</v>
      </c>
      <c r="F311" s="76">
        <v>30</v>
      </c>
      <c r="G311" s="47" t="str">
        <v>QFD4</v>
      </c>
      <c r="H311" s="47" t="str">
        <v>2P С16А 30мА</v>
      </c>
      <c r="I311" s="75" t="str">
        <v/>
      </c>
      <c r="J311" s="76" t="str">
        <v/>
      </c>
      <c r="K311" s="76" t="str">
        <v/>
      </c>
      <c r="L311" s="75" t="str">
        <v/>
      </c>
      <c r="M311" s="49" t="str">
        <v/>
      </c>
      <c r="N311" s="76" t="str">
        <v/>
      </c>
      <c r="O311" s="49" t="str">
        <v/>
      </c>
      <c r="P311" s="77" t="str">
        <v>XT4</v>
      </c>
      <c r="Q311" s="53" t="str">
        <v>ВВГнг(А)-LS (3х2,5) L=31-0,68%</v>
      </c>
      <c r="R311" s="54" t="str">
        <v>R.00.002Б.3</v>
      </c>
      <c r="S311" s="55" t="str">
        <v>Сололифт Подвальный этаж Пом. №002Б</v>
      </c>
      <c r="T311" s="56">
        <v>0.64</v>
      </c>
      <c r="U311" s="56">
        <v>3.4699999999999998</v>
      </c>
      <c r="V311" s="42" t="str">
        <v>L3</v>
      </c>
      <c r="W311" s="57" t="str">
        <v>ok</v>
      </c>
      <c r="X311" s="58" t="str">
        <v/>
      </c>
      <c r="Y311" s="75" t="str">
        <v/>
      </c>
      <c r="Z311" s="59">
        <v>3.4641016151377539</v>
      </c>
      <c r="AA311" s="61">
        <v>16</v>
      </c>
      <c r="AB311" s="61">
        <v>25</v>
      </c>
      <c r="AC311" s="61" t="str">
        <v/>
      </c>
      <c r="AD311" s="62" t="str">
        <v>QFD4 → XT4</v>
      </c>
      <c r="AE311" s="62" t="str">
        <v>потери 4,1 % &gt; 4 %</v>
      </c>
      <c r="AF311" s="34">
        <v>4</v>
      </c>
      <c r="AG311" s="34" t="str">
        <v>QFD4</v>
      </c>
      <c r="AH311" s="34" t="str">
        <v/>
      </c>
      <c r="AI311" s="34" t="str">
        <v/>
      </c>
      <c r="AJ311" s="34" t="str">
        <v>QFD4</v>
      </c>
      <c r="AK311" s="34">
        <v>1</v>
      </c>
      <c r="AL311" s="34" t="str">
        <v>R</v>
      </c>
      <c r="AM311" s="34">
        <v>30</v>
      </c>
      <c r="AN311" s="34">
        <v>0</v>
      </c>
      <c r="AO311" s="34">
        <v>16</v>
      </c>
      <c r="AP311" s="34">
        <v>25</v>
      </c>
      <c r="AQ311" s="34">
        <v>16</v>
      </c>
      <c r="AR311" s="34">
        <v>1</v>
      </c>
      <c r="AS311" s="34">
        <v>1</v>
      </c>
      <c r="AT311" s="34" t="str">
        <v>2P</v>
      </c>
      <c r="AU311" s="34">
        <v>16</v>
      </c>
      <c r="AV311" s="34" t="str">
        <v/>
      </c>
      <c r="AW311" s="34" t="str">
        <v/>
      </c>
      <c r="AX311" s="34" t="str">
        <v/>
      </c>
      <c r="AY311" s="34">
        <v>1</v>
      </c>
      <c r="AZ311" s="34" t="str">
        <v/>
      </c>
      <c r="BA311" s="34">
        <v>0</v>
      </c>
      <c r="BB311" s="34">
        <v>16</v>
      </c>
      <c r="BD311" s="34">
        <v>1</v>
      </c>
      <c r="BE311" s="34">
        <v>0</v>
      </c>
      <c r="BF311" s="34">
        <v>1</v>
      </c>
      <c r="BG311" s="34" t="str">
        <v/>
      </c>
      <c r="BH311" s="34" t="str">
        <v/>
      </c>
      <c r="BI311" s="34" t="str">
        <v/>
      </c>
      <c r="BJ311" s="34" t="str">
        <v/>
      </c>
      <c r="BK311" s="34" t="str">
        <v>SOCKET</v>
      </c>
      <c r="BL311" s="34">
        <v>1</v>
      </c>
      <c r="BM311" s="34" t="str">
        <v/>
      </c>
      <c r="BN311" s="34" t="str">
        <v/>
      </c>
      <c r="BO311" s="34" t="str">
        <v/>
      </c>
      <c r="BP311" s="34" t="str">
        <v/>
      </c>
      <c r="BQ311" s="34" t="str">
        <v>3х2,5</v>
      </c>
      <c r="BR311" s="34" t="str">
        <v/>
      </c>
      <c r="BS311" s="34" t="str">
        <v/>
      </c>
      <c r="BT311" s="34" t="str">
        <v/>
      </c>
      <c r="BU311" s="34">
        <v>1</v>
      </c>
      <c r="BV311" s="34">
        <v>332</v>
      </c>
      <c r="BW311" s="34">
        <v>1</v>
      </c>
      <c r="BX311" s="34">
        <v>0</v>
      </c>
      <c r="BY311" s="34" t="str">
        <v>Розетка</v>
      </c>
      <c r="BZ311">
        <v>15</v>
      </c>
      <c r="CA311" t="str">
        <v>линии</v>
      </c>
    </row>
    <row r="312" spans="1:79" x14ac:dyDescent="0.3">
      <c r="A312" s="39" t="str">
        <v>ЩСПЗ-ЖД</v>
      </c>
      <c r="B312" s="42">
        <v>2</v>
      </c>
      <c r="C312" s="42">
        <v>1</v>
      </c>
      <c r="D312" s="75" t="str">
        <v/>
      </c>
      <c r="E312" s="75" t="str">
        <v>авто</v>
      </c>
      <c r="F312" s="76" t="str">
        <v/>
      </c>
      <c r="G312" s="47" t="str">
        <v/>
      </c>
      <c r="H312" s="47" t="str">
        <v>3P С16А</v>
      </c>
      <c r="I312" s="75" t="str">
        <v/>
      </c>
      <c r="J312" s="76" t="str">
        <v/>
      </c>
      <c r="K312" s="76" t="str">
        <v/>
      </c>
      <c r="L312" s="75" t="str">
        <v/>
      </c>
      <c r="M312" s="49" t="str">
        <v/>
      </c>
      <c r="N312" s="76" t="str">
        <v/>
      </c>
      <c r="O312" s="49" t="str">
        <v/>
      </c>
      <c r="P312" s="77" t="str">
        <v/>
      </c>
      <c r="Q312" s="53" t="str">
        <v>ВВГнг(А)-FRLS (5х2,5) L=16-0,22%</v>
      </c>
      <c r="R312" s="54" t="str">
        <v>Ввод.1</v>
      </c>
      <c r="S312" s="55" t="str">
        <v>Вводной кабель №1</v>
      </c>
      <c r="T312" s="56">
        <v>1.6</v>
      </c>
      <c r="U312" s="56">
        <v>3.65</v>
      </c>
      <c r="V312" s="42" t="str">
        <v>L1,L2,L3</v>
      </c>
      <c r="W312" s="57" t="str">
        <v>ok</v>
      </c>
      <c r="X312" s="58" t="str">
        <v/>
      </c>
      <c r="Y312" s="75" t="str">
        <v>вручную</v>
      </c>
      <c r="Z312" s="59">
        <v>3.646422752776584</v>
      </c>
      <c r="AA312" s="61">
        <v>6</v>
      </c>
      <c r="AB312" s="61">
        <v>20</v>
      </c>
      <c r="AC312" s="61" t="str">
        <v/>
      </c>
      <c r="AD312" s="62" t="str">
        <v/>
      </c>
      <c r="AE312" s="62" t="str">
        <v/>
      </c>
      <c r="AF312" s="34" t="str">
        <v/>
      </c>
      <c r="AG312" s="34" t="str">
        <v/>
      </c>
      <c r="AH312" s="34" t="str">
        <v/>
      </c>
      <c r="AI312" s="34" t="str">
        <v/>
      </c>
      <c r="AJ312" s="34" t="str">
        <v/>
      </c>
      <c r="AK312" s="34">
        <v>3</v>
      </c>
      <c r="AL312" s="34" t="str">
        <v>Ввод</v>
      </c>
      <c r="AM312" s="34">
        <v>0</v>
      </c>
      <c r="AN312" s="34">
        <v>0</v>
      </c>
      <c r="AO312" s="34">
        <v>6</v>
      </c>
      <c r="AP312" s="34">
        <v>20</v>
      </c>
      <c r="AQ312" s="34">
        <v>16</v>
      </c>
      <c r="AR312" s="34">
        <v>3</v>
      </c>
      <c r="AS312" s="34">
        <v>0</v>
      </c>
      <c r="AT312" s="34" t="str">
        <v>3P</v>
      </c>
      <c r="AU312" s="34">
        <v>16</v>
      </c>
      <c r="AV312" s="34" t="str">
        <v/>
      </c>
      <c r="AW312" s="34" t="str">
        <v/>
      </c>
      <c r="AX312" s="34" t="str">
        <v/>
      </c>
      <c r="AY312" s="34">
        <v>0</v>
      </c>
      <c r="AZ312" s="34" t="str">
        <v/>
      </c>
      <c r="BA312" s="34">
        <v>0</v>
      </c>
      <c r="BB312" s="34">
        <v>0</v>
      </c>
      <c r="BD312" s="34">
        <v>0</v>
      </c>
      <c r="BE312" s="34">
        <v>0</v>
      </c>
      <c r="BF312" s="34">
        <v>0</v>
      </c>
      <c r="BG312" s="34" t="str">
        <v/>
      </c>
      <c r="BH312" s="34" t="str">
        <v/>
      </c>
      <c r="BI312" s="34" t="str">
        <v/>
      </c>
      <c r="BJ312" s="34" t="str">
        <v/>
      </c>
      <c r="BK312" s="34" t="str">
        <v>BOX</v>
      </c>
      <c r="BL312" s="34">
        <v>1</v>
      </c>
      <c r="BM312" s="34" t="str">
        <v/>
      </c>
      <c r="BN312" s="34" t="str">
        <v/>
      </c>
      <c r="BO312" s="34" t="str">
        <v/>
      </c>
      <c r="BP312" s="34" t="str">
        <v/>
      </c>
      <c r="BQ312" s="34" t="str">
        <v/>
      </c>
      <c r="BR312" s="34" t="str">
        <v/>
      </c>
      <c r="BS312" s="34" t="str">
        <v/>
      </c>
      <c r="BT312" s="34" t="str">
        <v/>
      </c>
      <c r="BU312" s="34">
        <v>0</v>
      </c>
      <c r="BV312" s="34">
        <v>333</v>
      </c>
      <c r="BW312" s="34">
        <v>0</v>
      </c>
      <c r="BX312" s="34">
        <v>0</v>
      </c>
      <c r="BY312" s="34">
        <v>0</v>
      </c>
      <c r="BZ312">
        <v>16</v>
      </c>
      <c r="CA312" t="str">
        <v>вводной узел</v>
      </c>
    </row>
    <row r="313" spans="1:79" x14ac:dyDescent="0.3">
      <c r="A313" s="39" t="str">
        <v>ЩСПЗ-ЖД</v>
      </c>
      <c r="B313" s="42">
        <v>3</v>
      </c>
      <c r="C313" s="42">
        <v>1</v>
      </c>
      <c r="D313" s="75" t="str">
        <v/>
      </c>
      <c r="E313" s="75" t="str">
        <v>авто</v>
      </c>
      <c r="F313" s="76" t="str">
        <v/>
      </c>
      <c r="G313" s="47" t="str">
        <v/>
      </c>
      <c r="H313" s="47" t="str">
        <v>3P С16А</v>
      </c>
      <c r="I313" s="75" t="str">
        <v/>
      </c>
      <c r="J313" s="76" t="str">
        <v/>
      </c>
      <c r="K313" s="76" t="str">
        <v/>
      </c>
      <c r="L313" s="75" t="str">
        <v/>
      </c>
      <c r="M313" s="49" t="str">
        <v/>
      </c>
      <c r="N313" s="76" t="str">
        <v/>
      </c>
      <c r="O313" s="49" t="str">
        <v/>
      </c>
      <c r="P313" s="77" t="str">
        <v/>
      </c>
      <c r="Q313" s="53" t="str">
        <v>ВВГнг(А)-FRLS (5х2,5) L=16-0,22%</v>
      </c>
      <c r="R313" s="54" t="str">
        <v>Ввод.2</v>
      </c>
      <c r="S313" s="55" t="str">
        <v>Вводной кабель №2</v>
      </c>
      <c r="T313" s="56">
        <v>1.6</v>
      </c>
      <c r="U313" s="56">
        <v>3.65</v>
      </c>
      <c r="V313" s="42" t="str">
        <v>L1,L2,L3</v>
      </c>
      <c r="W313" s="57" t="str">
        <v>ok</v>
      </c>
      <c r="X313" s="58" t="str">
        <v/>
      </c>
      <c r="Y313" s="75" t="str">
        <v>вручную</v>
      </c>
      <c r="Z313" s="59">
        <v>3.646422752776584</v>
      </c>
      <c r="AA313" s="61">
        <v>6</v>
      </c>
      <c r="AB313" s="61">
        <v>20</v>
      </c>
      <c r="AC313" s="61" t="str">
        <v/>
      </c>
      <c r="AD313" s="62" t="str">
        <v/>
      </c>
      <c r="AE313" s="62" t="str">
        <v/>
      </c>
      <c r="AF313" s="34" t="str">
        <v/>
      </c>
      <c r="AG313" s="34" t="str">
        <v/>
      </c>
      <c r="AH313" s="34" t="str">
        <v/>
      </c>
      <c r="AI313" s="34" t="str">
        <v/>
      </c>
      <c r="AJ313" s="34" t="str">
        <v/>
      </c>
      <c r="AK313" s="34">
        <v>3</v>
      </c>
      <c r="AL313" s="34" t="str">
        <v>Ввод</v>
      </c>
      <c r="AM313" s="34">
        <v>0</v>
      </c>
      <c r="AN313" s="34">
        <v>0</v>
      </c>
      <c r="AO313" s="34">
        <v>6</v>
      </c>
      <c r="AP313" s="34">
        <v>20</v>
      </c>
      <c r="AQ313" s="34">
        <v>16</v>
      </c>
      <c r="AR313" s="34">
        <v>3</v>
      </c>
      <c r="AS313" s="34">
        <v>0</v>
      </c>
      <c r="AT313" s="34" t="str">
        <v>3P</v>
      </c>
      <c r="AU313" s="34">
        <v>16</v>
      </c>
      <c r="AV313" s="34" t="str">
        <v/>
      </c>
      <c r="AW313" s="34" t="str">
        <v/>
      </c>
      <c r="AX313" s="34" t="str">
        <v/>
      </c>
      <c r="AY313" s="34">
        <v>0</v>
      </c>
      <c r="AZ313" s="34" t="str">
        <v/>
      </c>
      <c r="BA313" s="34">
        <v>0</v>
      </c>
      <c r="BB313" s="34">
        <v>0</v>
      </c>
      <c r="BD313" s="34">
        <v>0</v>
      </c>
      <c r="BE313" s="34">
        <v>0</v>
      </c>
      <c r="BF313" s="34">
        <v>0</v>
      </c>
      <c r="BG313" s="34" t="str">
        <v/>
      </c>
      <c r="BH313" s="34" t="str">
        <v/>
      </c>
      <c r="BI313" s="34" t="str">
        <v/>
      </c>
      <c r="BJ313" s="34" t="str">
        <v/>
      </c>
      <c r="BK313" s="34" t="str">
        <v>BOX</v>
      </c>
      <c r="BL313" s="34">
        <v>1</v>
      </c>
      <c r="BM313" s="34" t="str">
        <v/>
      </c>
      <c r="BN313" s="34" t="str">
        <v/>
      </c>
      <c r="BO313" s="34" t="str">
        <v/>
      </c>
      <c r="BP313" s="34" t="str">
        <v/>
      </c>
      <c r="BQ313" s="34" t="str">
        <v/>
      </c>
      <c r="BR313" s="34" t="str">
        <v/>
      </c>
      <c r="BS313" s="34" t="str">
        <v/>
      </c>
      <c r="BT313" s="34" t="str">
        <v/>
      </c>
      <c r="BU313" s="34">
        <v>0</v>
      </c>
      <c r="BV313" s="34">
        <v>334</v>
      </c>
      <c r="BW313" s="34">
        <v>0</v>
      </c>
      <c r="BX313" s="34">
        <v>0</v>
      </c>
      <c r="BY313" s="34">
        <v>0</v>
      </c>
      <c r="BZ313">
        <v>16</v>
      </c>
      <c r="CA313" t="str">
        <v>вводной узел</v>
      </c>
    </row>
    <row r="314" spans="1:79" x14ac:dyDescent="0.3">
      <c r="A314" s="39" t="str">
        <v>ЩСПЗ-ЖД</v>
      </c>
      <c r="B314" s="42">
        <v>13</v>
      </c>
      <c r="C314" s="42">
        <v>1</v>
      </c>
      <c r="D314" s="75" t="str">
        <v/>
      </c>
      <c r="E314" s="75" t="str">
        <v>авто</v>
      </c>
      <c r="F314" s="76" t="str">
        <v/>
      </c>
      <c r="G314" s="47" t="str">
        <v>QF1</v>
      </c>
      <c r="H314" s="47" t="str">
        <v>1P С16А</v>
      </c>
      <c r="I314" s="75" t="str">
        <v/>
      </c>
      <c r="J314" s="76" t="str">
        <v/>
      </c>
      <c r="K314" s="76" t="str">
        <v/>
      </c>
      <c r="L314" s="75" t="str">
        <v/>
      </c>
      <c r="M314" s="49" t="str">
        <v/>
      </c>
      <c r="N314" s="76" t="str">
        <v/>
      </c>
      <c r="O314" s="49" t="str">
        <v/>
      </c>
      <c r="P314" s="77" t="str">
        <v>XT1</v>
      </c>
      <c r="Q314" s="53" t="str">
        <v>ВВГнг(А)-FRLS (3х2,5) L=46-0,63%</v>
      </c>
      <c r="R314" s="54" t="str">
        <v>FCP1-2</v>
      </c>
      <c r="S314" s="55" t="str">
        <v>шкаф пожарной сигнализации  Подвальный этаж Пом. №007Т</v>
      </c>
      <c r="T314" s="56">
        <v>0.4</v>
      </c>
      <c r="U314" s="56">
        <v>1.83</v>
      </c>
      <c r="V314" s="42" t="str">
        <v>L1</v>
      </c>
      <c r="W314" s="57" t="str">
        <v>ok</v>
      </c>
      <c r="X314" s="58" t="str">
        <v/>
      </c>
      <c r="Y314" s="75" t="str">
        <v/>
      </c>
      <c r="Z314" s="59">
        <v>1.823211376388292</v>
      </c>
      <c r="AA314" s="61">
        <v>6</v>
      </c>
      <c r="AB314" s="61">
        <v>25</v>
      </c>
      <c r="AC314" s="61" t="str">
        <v/>
      </c>
      <c r="AD314" s="62" t="str">
        <v>QF1 → XT1</v>
      </c>
      <c r="AE314" s="62" t="str">
        <v/>
      </c>
      <c r="AF314" s="34">
        <v>1</v>
      </c>
      <c r="AG314" s="34" t="str">
        <v>QF1</v>
      </c>
      <c r="AH314" s="34" t="str">
        <v/>
      </c>
      <c r="AI314" s="34" t="str">
        <v/>
      </c>
      <c r="AJ314" s="34" t="str">
        <v>QF1</v>
      </c>
      <c r="AK314" s="34">
        <v>1</v>
      </c>
      <c r="AL314" s="34" t="str">
        <v>FCP1-2</v>
      </c>
      <c r="AM314" s="34">
        <v>0</v>
      </c>
      <c r="AN314" s="34">
        <v>0</v>
      </c>
      <c r="AO314" s="34">
        <v>6</v>
      </c>
      <c r="AP314" s="34">
        <v>25</v>
      </c>
      <c r="AQ314" s="34">
        <v>16</v>
      </c>
      <c r="AR314" s="34">
        <v>1</v>
      </c>
      <c r="AS314" s="34">
        <v>0</v>
      </c>
      <c r="AT314" s="34" t="str">
        <v>1P</v>
      </c>
      <c r="AU314" s="34">
        <v>16</v>
      </c>
      <c r="AV314" s="34" t="str">
        <v/>
      </c>
      <c r="AW314" s="34" t="str">
        <v/>
      </c>
      <c r="AX314" s="34" t="str">
        <v/>
      </c>
      <c r="AY314" s="34">
        <v>1</v>
      </c>
      <c r="AZ314" s="34" t="str">
        <v/>
      </c>
      <c r="BA314" s="34">
        <v>0</v>
      </c>
      <c r="BB314" s="34">
        <v>0</v>
      </c>
      <c r="BD314" s="34">
        <v>1</v>
      </c>
      <c r="BE314" s="34">
        <v>0</v>
      </c>
      <c r="BF314" s="34">
        <v>0</v>
      </c>
      <c r="BG314" s="34" t="str">
        <v/>
      </c>
      <c r="BH314" s="34" t="str">
        <v/>
      </c>
      <c r="BI314" s="34" t="str">
        <v/>
      </c>
      <c r="BJ314" s="34" t="str">
        <v/>
      </c>
      <c r="BK314" s="34" t="str">
        <v>BOX</v>
      </c>
      <c r="BL314" s="34">
        <v>1</v>
      </c>
      <c r="BM314" s="34" t="str">
        <v/>
      </c>
      <c r="BN314" s="34" t="str">
        <v/>
      </c>
      <c r="BO314" s="34" t="str">
        <v/>
      </c>
      <c r="BP314" s="34" t="str">
        <v/>
      </c>
      <c r="BQ314" s="34" t="str">
        <v>3х2,5</v>
      </c>
      <c r="BR314" s="34" t="str">
        <v/>
      </c>
      <c r="BS314" s="34" t="str">
        <v/>
      </c>
      <c r="BT314" s="34" t="str">
        <v/>
      </c>
      <c r="BU314" s="34">
        <v>0</v>
      </c>
      <c r="BV314" s="34">
        <v>335</v>
      </c>
      <c r="BW314" s="34">
        <v>1</v>
      </c>
      <c r="BX314" s="34">
        <v>0</v>
      </c>
      <c r="BY314" s="34" t="str">
        <v/>
      </c>
      <c r="BZ314">
        <v>16</v>
      </c>
      <c r="CA314" t="str">
        <v>линии</v>
      </c>
    </row>
    <row r="315" spans="1:79" x14ac:dyDescent="0.3">
      <c r="A315" s="39" t="str">
        <v>ЩСПЗ-ЖД</v>
      </c>
      <c r="B315" s="42">
        <v>14</v>
      </c>
      <c r="C315" s="42">
        <v>1</v>
      </c>
      <c r="D315" s="75" t="str">
        <v/>
      </c>
      <c r="E315" s="75" t="str">
        <v>авто</v>
      </c>
      <c r="F315" s="76" t="str">
        <v/>
      </c>
      <c r="G315" s="47" t="str">
        <v>QF2</v>
      </c>
      <c r="H315" s="47" t="str">
        <v>1P С16А</v>
      </c>
      <c r="I315" s="75" t="str">
        <v/>
      </c>
      <c r="J315" s="76" t="str">
        <v/>
      </c>
      <c r="K315" s="76" t="str">
        <v/>
      </c>
      <c r="L315" s="75" t="str">
        <v/>
      </c>
      <c r="M315" s="49" t="str">
        <v/>
      </c>
      <c r="N315" s="76" t="str">
        <v/>
      </c>
      <c r="O315" s="49" t="str">
        <v/>
      </c>
      <c r="P315" s="77" t="str">
        <v>XT2</v>
      </c>
      <c r="Q315" s="53" t="str">
        <v>ВВГнг(А)-FRLS (3х2,5) L=31-0,43%</v>
      </c>
      <c r="R315" s="54" t="str">
        <v>ENC1-11</v>
      </c>
      <c r="S315" s="55" t="str">
        <v>шкаф системы оповещения и управления эвакуацией Цокольный этаж Пом. №002Т</v>
      </c>
      <c r="T315" s="56">
        <v>0.4</v>
      </c>
      <c r="U315" s="56">
        <v>1.83</v>
      </c>
      <c r="V315" s="42" t="str">
        <v>L2</v>
      </c>
      <c r="W315" s="57" t="str">
        <v>ok</v>
      </c>
      <c r="X315" s="58" t="str">
        <v/>
      </c>
      <c r="Y315" s="75" t="str">
        <v/>
      </c>
      <c r="Z315" s="59">
        <v>1.823211376388292</v>
      </c>
      <c r="AA315" s="61">
        <v>6</v>
      </c>
      <c r="AB315" s="61">
        <v>25</v>
      </c>
      <c r="AC315" s="61" t="str">
        <v/>
      </c>
      <c r="AD315" s="62" t="str">
        <v>QF2 → XT2</v>
      </c>
      <c r="AE315" s="62" t="str">
        <v/>
      </c>
      <c r="AF315" s="34">
        <v>2</v>
      </c>
      <c r="AG315" s="34" t="str">
        <v>QF2</v>
      </c>
      <c r="AH315" s="34" t="str">
        <v/>
      </c>
      <c r="AI315" s="34" t="str">
        <v/>
      </c>
      <c r="AJ315" s="34" t="str">
        <v>QF2</v>
      </c>
      <c r="AK315" s="34">
        <v>1</v>
      </c>
      <c r="AL315" s="34" t="str">
        <v>ENC1-11</v>
      </c>
      <c r="AM315" s="34">
        <v>0</v>
      </c>
      <c r="AN315" s="34">
        <v>0</v>
      </c>
      <c r="AO315" s="34">
        <v>6</v>
      </c>
      <c r="AP315" s="34">
        <v>25</v>
      </c>
      <c r="AQ315" s="34">
        <v>16</v>
      </c>
      <c r="AR315" s="34">
        <v>1</v>
      </c>
      <c r="AS315" s="34">
        <v>0</v>
      </c>
      <c r="AT315" s="34" t="str">
        <v>1P</v>
      </c>
      <c r="AU315" s="34">
        <v>16</v>
      </c>
      <c r="AV315" s="34" t="str">
        <v/>
      </c>
      <c r="AW315" s="34" t="str">
        <v/>
      </c>
      <c r="AX315" s="34" t="str">
        <v/>
      </c>
      <c r="AY315" s="34">
        <v>1</v>
      </c>
      <c r="AZ315" s="34" t="str">
        <v/>
      </c>
      <c r="BA315" s="34">
        <v>0</v>
      </c>
      <c r="BB315" s="34">
        <v>0</v>
      </c>
      <c r="BD315" s="34">
        <v>1</v>
      </c>
      <c r="BE315" s="34">
        <v>0</v>
      </c>
      <c r="BF315" s="34">
        <v>0</v>
      </c>
      <c r="BG315" s="34" t="str">
        <v/>
      </c>
      <c r="BH315" s="34" t="str">
        <v/>
      </c>
      <c r="BI315" s="34" t="str">
        <v/>
      </c>
      <c r="BJ315" s="34" t="str">
        <v/>
      </c>
      <c r="BK315" s="34" t="str">
        <v>BOX</v>
      </c>
      <c r="BL315" s="34">
        <v>1</v>
      </c>
      <c r="BM315" s="34" t="str">
        <v/>
      </c>
      <c r="BN315" s="34" t="str">
        <v/>
      </c>
      <c r="BO315" s="34" t="str">
        <v/>
      </c>
      <c r="BP315" s="34" t="str">
        <v/>
      </c>
      <c r="BQ315" s="34" t="str">
        <v>3х2,5</v>
      </c>
      <c r="BR315" s="34" t="str">
        <v/>
      </c>
      <c r="BS315" s="34" t="str">
        <v/>
      </c>
      <c r="BT315" s="34" t="str">
        <v/>
      </c>
      <c r="BU315" s="34">
        <v>0</v>
      </c>
      <c r="BV315" s="34">
        <v>336</v>
      </c>
      <c r="BW315" s="34">
        <v>1</v>
      </c>
      <c r="BX315" s="34">
        <v>0</v>
      </c>
      <c r="BY315" s="34" t="str">
        <v/>
      </c>
      <c r="BZ315">
        <v>16</v>
      </c>
      <c r="CA315" t="str">
        <v>линии</v>
      </c>
    </row>
    <row r="316" spans="1:79" x14ac:dyDescent="0.3">
      <c r="A316" s="39" t="str">
        <v>ЩСПЗ-ЖД</v>
      </c>
      <c r="B316" s="42">
        <v>15</v>
      </c>
      <c r="C316" s="42">
        <v>1</v>
      </c>
      <c r="D316" s="75" t="str">
        <v/>
      </c>
      <c r="E316" s="75" t="str">
        <v>авто</v>
      </c>
      <c r="F316" s="76" t="str">
        <v/>
      </c>
      <c r="G316" s="47" t="str">
        <v>QF3</v>
      </c>
      <c r="H316" s="47" t="str">
        <v>1P С16А</v>
      </c>
      <c r="I316" s="75" t="str">
        <v/>
      </c>
      <c r="J316" s="76" t="str">
        <v/>
      </c>
      <c r="K316" s="76" t="str">
        <v/>
      </c>
      <c r="L316" s="75" t="str">
        <v/>
      </c>
      <c r="M316" s="49" t="str">
        <v/>
      </c>
      <c r="N316" s="76" t="str">
        <v/>
      </c>
      <c r="O316" s="49" t="str">
        <v/>
      </c>
      <c r="P316" s="77" t="str">
        <v>XT3</v>
      </c>
      <c r="Q316" s="53" t="str">
        <v>ВВГнг(А)-FRLS (3х2,5) L=31-0,43%</v>
      </c>
      <c r="R316" s="54" t="str">
        <v>FCP1-1</v>
      </c>
      <c r="S316" s="55" t="str">
        <v>шкаф пожарной сигнализации Цокольный этаж Пом. №002Т</v>
      </c>
      <c r="T316" s="56">
        <v>0.4</v>
      </c>
      <c r="U316" s="56">
        <v>1.83</v>
      </c>
      <c r="V316" s="42" t="str">
        <v>L3</v>
      </c>
      <c r="W316" s="57" t="str">
        <v>ok</v>
      </c>
      <c r="X316" s="58" t="str">
        <v/>
      </c>
      <c r="Y316" s="75" t="str">
        <v/>
      </c>
      <c r="Z316" s="59">
        <v>1.823211376388292</v>
      </c>
      <c r="AA316" s="61">
        <v>6</v>
      </c>
      <c r="AB316" s="61">
        <v>25</v>
      </c>
      <c r="AC316" s="61" t="str">
        <v/>
      </c>
      <c r="AD316" s="62" t="str">
        <v>QF3 → XT3</v>
      </c>
      <c r="AE316" s="62" t="str">
        <v/>
      </c>
      <c r="AF316" s="34">
        <v>3</v>
      </c>
      <c r="AG316" s="34" t="str">
        <v>QF3</v>
      </c>
      <c r="AH316" s="34" t="str">
        <v/>
      </c>
      <c r="AI316" s="34" t="str">
        <v/>
      </c>
      <c r="AJ316" s="34" t="str">
        <v>QF3</v>
      </c>
      <c r="AK316" s="34">
        <v>1</v>
      </c>
      <c r="AL316" s="34" t="str">
        <v>FCP1-1</v>
      </c>
      <c r="AM316" s="34">
        <v>0</v>
      </c>
      <c r="AN316" s="34">
        <v>0</v>
      </c>
      <c r="AO316" s="34">
        <v>6</v>
      </c>
      <c r="AP316" s="34">
        <v>25</v>
      </c>
      <c r="AQ316" s="34">
        <v>16</v>
      </c>
      <c r="AR316" s="34">
        <v>1</v>
      </c>
      <c r="AS316" s="34">
        <v>0</v>
      </c>
      <c r="AT316" s="34" t="str">
        <v>1P</v>
      </c>
      <c r="AU316" s="34">
        <v>16</v>
      </c>
      <c r="AV316" s="34" t="str">
        <v/>
      </c>
      <c r="AW316" s="34" t="str">
        <v/>
      </c>
      <c r="AX316" s="34" t="str">
        <v/>
      </c>
      <c r="AY316" s="34">
        <v>1</v>
      </c>
      <c r="AZ316" s="34" t="str">
        <v/>
      </c>
      <c r="BA316" s="34">
        <v>0</v>
      </c>
      <c r="BB316" s="34">
        <v>0</v>
      </c>
      <c r="BD316" s="34">
        <v>1</v>
      </c>
      <c r="BE316" s="34">
        <v>0</v>
      </c>
      <c r="BF316" s="34">
        <v>0</v>
      </c>
      <c r="BG316" s="34" t="str">
        <v/>
      </c>
      <c r="BH316" s="34" t="str">
        <v/>
      </c>
      <c r="BI316" s="34" t="str">
        <v/>
      </c>
      <c r="BJ316" s="34" t="str">
        <v/>
      </c>
      <c r="BK316" s="34" t="str">
        <v>BOX</v>
      </c>
      <c r="BL316" s="34">
        <v>1</v>
      </c>
      <c r="BM316" s="34" t="str">
        <v/>
      </c>
      <c r="BN316" s="34" t="str">
        <v/>
      </c>
      <c r="BO316" s="34" t="str">
        <v/>
      </c>
      <c r="BP316" s="34" t="str">
        <v/>
      </c>
      <c r="BQ316" s="34" t="str">
        <v>3х2,5</v>
      </c>
      <c r="BR316" s="34" t="str">
        <v/>
      </c>
      <c r="BS316" s="34" t="str">
        <v/>
      </c>
      <c r="BT316" s="34" t="str">
        <v/>
      </c>
      <c r="BU316" s="34">
        <v>0</v>
      </c>
      <c r="BV316" s="34">
        <v>337</v>
      </c>
      <c r="BW316" s="34">
        <v>1</v>
      </c>
      <c r="BX316" s="34">
        <v>0</v>
      </c>
      <c r="BY316" s="34" t="str">
        <v/>
      </c>
      <c r="BZ316">
        <v>16</v>
      </c>
      <c r="CA316" t="str">
        <v>линии</v>
      </c>
    </row>
    <row r="317" spans="1:79" x14ac:dyDescent="0.3">
      <c r="A317" s="39" t="str">
        <v>ЩСПЗ-ЖД</v>
      </c>
      <c r="B317" s="42">
        <v>16</v>
      </c>
      <c r="C317" s="42">
        <v>1</v>
      </c>
      <c r="D317" s="75" t="str">
        <v/>
      </c>
      <c r="E317" s="75" t="str">
        <v>авто</v>
      </c>
      <c r="F317" s="76" t="str">
        <v/>
      </c>
      <c r="G317" s="47" t="str">
        <v>QF4</v>
      </c>
      <c r="H317" s="47" t="str">
        <v>1P С16А</v>
      </c>
      <c r="I317" s="75" t="str">
        <v/>
      </c>
      <c r="J317" s="76" t="str">
        <v/>
      </c>
      <c r="K317" s="76" t="str">
        <v/>
      </c>
      <c r="L317" s="75" t="str">
        <v/>
      </c>
      <c r="M317" s="49" t="str">
        <v/>
      </c>
      <c r="N317" s="76" t="str">
        <v/>
      </c>
      <c r="O317" s="49" t="str">
        <v/>
      </c>
      <c r="P317" s="77" t="str">
        <v>XT4</v>
      </c>
      <c r="Q317" s="53" t="str">
        <v>ВВГнг(А)-FRLS (3х2,5) L=80-1,09%</v>
      </c>
      <c r="R317" s="54" t="str">
        <v>FCP13</v>
      </c>
      <c r="S317" s="55" t="str">
        <v>шкаф пожарной сигнализации Тех. этаж Пом. №004Т</v>
      </c>
      <c r="T317" s="56">
        <v>0.4</v>
      </c>
      <c r="U317" s="56">
        <v>1.83</v>
      </c>
      <c r="V317" s="42" t="str">
        <v>L1</v>
      </c>
      <c r="W317" s="57" t="str">
        <v>ok</v>
      </c>
      <c r="X317" s="58" t="str">
        <v/>
      </c>
      <c r="Y317" s="75" t="str">
        <v/>
      </c>
      <c r="Z317" s="59">
        <v>1.823211376388292</v>
      </c>
      <c r="AA317" s="61">
        <v>6</v>
      </c>
      <c r="AB317" s="61">
        <v>25</v>
      </c>
      <c r="AC317" s="61" t="str">
        <v/>
      </c>
      <c r="AD317" s="62" t="str">
        <v>QF4 → XT4</v>
      </c>
      <c r="AE317" s="62" t="str">
        <v/>
      </c>
      <c r="AF317" s="34">
        <v>4</v>
      </c>
      <c r="AG317" s="34" t="str">
        <v>QF4</v>
      </c>
      <c r="AH317" s="34" t="str">
        <v/>
      </c>
      <c r="AI317" s="34" t="str">
        <v/>
      </c>
      <c r="AJ317" s="34" t="str">
        <v>QF4</v>
      </c>
      <c r="AK317" s="34">
        <v>1</v>
      </c>
      <c r="AL317" s="34" t="str">
        <v>FCP13</v>
      </c>
      <c r="AM317" s="34">
        <v>0</v>
      </c>
      <c r="AN317" s="34">
        <v>0</v>
      </c>
      <c r="AO317" s="34">
        <v>6</v>
      </c>
      <c r="AP317" s="34">
        <v>25</v>
      </c>
      <c r="AQ317" s="34">
        <v>16</v>
      </c>
      <c r="AR317" s="34">
        <v>1</v>
      </c>
      <c r="AS317" s="34">
        <v>0</v>
      </c>
      <c r="AT317" s="34" t="str">
        <v>1P</v>
      </c>
      <c r="AU317" s="34">
        <v>16</v>
      </c>
      <c r="AV317" s="34" t="str">
        <v/>
      </c>
      <c r="AW317" s="34" t="str">
        <v/>
      </c>
      <c r="AX317" s="34" t="str">
        <v/>
      </c>
      <c r="AY317" s="34">
        <v>1</v>
      </c>
      <c r="AZ317" s="34" t="str">
        <v/>
      </c>
      <c r="BA317" s="34">
        <v>0</v>
      </c>
      <c r="BB317" s="34">
        <v>0</v>
      </c>
      <c r="BD317" s="34">
        <v>1</v>
      </c>
      <c r="BE317" s="34">
        <v>0</v>
      </c>
      <c r="BF317" s="34">
        <v>0</v>
      </c>
      <c r="BG317" s="34" t="str">
        <v/>
      </c>
      <c r="BH317" s="34" t="str">
        <v/>
      </c>
      <c r="BI317" s="34" t="str">
        <v/>
      </c>
      <c r="BJ317" s="34" t="str">
        <v/>
      </c>
      <c r="BK317" s="34" t="str">
        <v>BOX</v>
      </c>
      <c r="BL317" s="34">
        <v>1</v>
      </c>
      <c r="BM317" s="34" t="str">
        <v/>
      </c>
      <c r="BN317" s="34" t="str">
        <v/>
      </c>
      <c r="BO317" s="34" t="str">
        <v/>
      </c>
      <c r="BP317" s="34" t="str">
        <v/>
      </c>
      <c r="BQ317" s="34" t="str">
        <v>3х2,5</v>
      </c>
      <c r="BR317" s="34" t="str">
        <v/>
      </c>
      <c r="BS317" s="34" t="str">
        <v/>
      </c>
      <c r="BT317" s="34" t="str">
        <v/>
      </c>
      <c r="BU317" s="34">
        <v>0</v>
      </c>
      <c r="BV317" s="34">
        <v>338</v>
      </c>
      <c r="BW317" s="34">
        <v>1</v>
      </c>
      <c r="BX317" s="34">
        <v>0</v>
      </c>
      <c r="BY317" s="34" t="str">
        <v/>
      </c>
      <c r="BZ317">
        <v>16</v>
      </c>
      <c r="CA317" t="str">
        <v>линии</v>
      </c>
    </row>
    <row r="318" spans="1:79" x14ac:dyDescent="0.3">
      <c r="A318" s="39" t="str">
        <v>ЩУОВ</v>
      </c>
      <c r="B318" s="42">
        <v>2</v>
      </c>
      <c r="C318" s="42">
        <v>1</v>
      </c>
      <c r="D318" s="75" t="str">
        <v/>
      </c>
      <c r="E318" s="75" t="str">
        <v>авто</v>
      </c>
      <c r="F318" s="76" t="str">
        <v/>
      </c>
      <c r="G318" s="47" t="str">
        <v/>
      </c>
      <c r="H318" s="47" t="str">
        <v>3P С32А</v>
      </c>
      <c r="I318" s="75" t="str">
        <v/>
      </c>
      <c r="J318" s="76" t="str">
        <v/>
      </c>
      <c r="K318" s="76" t="str">
        <v/>
      </c>
      <c r="L318" s="75" t="str">
        <v/>
      </c>
      <c r="M318" s="49" t="str">
        <v/>
      </c>
      <c r="N318" s="76" t="str">
        <v/>
      </c>
      <c r="O318" s="49" t="str">
        <v/>
      </c>
      <c r="P318" s="77" t="str">
        <v/>
      </c>
      <c r="Q318" s="53" t="str">
        <v>ВВГнг(А)-LS (5х6) L=50-2,4%</v>
      </c>
      <c r="R318" s="54" t="str">
        <v>Ввод.1</v>
      </c>
      <c r="S318" s="55" t="str">
        <v>Вводной кабель шлейф 1</v>
      </c>
      <c r="T318" s="56">
        <v>16.439999999999998</v>
      </c>
      <c r="U318" s="56">
        <v>30.770000000000003</v>
      </c>
      <c r="V318" s="42" t="str">
        <v>L1,L2,L3</v>
      </c>
      <c r="W318" s="57" t="str">
        <v>ok</v>
      </c>
      <c r="X318" s="58" t="str">
        <v/>
      </c>
      <c r="Y318" s="75" t="str">
        <v>вручную</v>
      </c>
      <c r="Z318" s="59">
        <v>30.766691976552419</v>
      </c>
      <c r="AA318" s="61">
        <v>40</v>
      </c>
      <c r="AB318" s="61">
        <v>32</v>
      </c>
      <c r="AC318" s="61" t="str">
        <v/>
      </c>
      <c r="AD318" s="62" t="str">
        <v/>
      </c>
      <c r="AE318" s="62" t="str">
        <v>потери 4,9 % &gt; 4 %</v>
      </c>
      <c r="AF318" s="34" t="str">
        <v/>
      </c>
      <c r="AG318" s="34" t="str">
        <v/>
      </c>
      <c r="AH318" s="34" t="str">
        <v/>
      </c>
      <c r="AI318" s="34" t="str">
        <v/>
      </c>
      <c r="AJ318" s="34" t="str">
        <v/>
      </c>
      <c r="AK318" s="34">
        <v>3</v>
      </c>
      <c r="AL318" s="34" t="str">
        <v>Ввод</v>
      </c>
      <c r="AM318" s="34">
        <v>0</v>
      </c>
      <c r="AN318" s="34">
        <v>0</v>
      </c>
      <c r="AO318" s="34">
        <v>40</v>
      </c>
      <c r="AP318" s="34">
        <v>32</v>
      </c>
      <c r="AQ318" s="34">
        <v>32</v>
      </c>
      <c r="AR318" s="34">
        <v>3</v>
      </c>
      <c r="AS318" s="34">
        <v>0</v>
      </c>
      <c r="AT318" s="34" t="str">
        <v>3P</v>
      </c>
      <c r="AU318" s="34">
        <v>32</v>
      </c>
      <c r="AV318" s="34" t="str">
        <v/>
      </c>
      <c r="AW318" s="34" t="str">
        <v/>
      </c>
      <c r="AX318" s="34" t="str">
        <v/>
      </c>
      <c r="AY318" s="34">
        <v>0</v>
      </c>
      <c r="AZ318" s="34" t="str">
        <v/>
      </c>
      <c r="BA318" s="34">
        <v>0</v>
      </c>
      <c r="BB318" s="34">
        <v>0</v>
      </c>
      <c r="BD318" s="34">
        <v>0</v>
      </c>
      <c r="BE318" s="34">
        <v>0</v>
      </c>
      <c r="BF318" s="34">
        <v>0</v>
      </c>
      <c r="BG318" s="34" t="str">
        <v/>
      </c>
      <c r="BH318" s="34" t="str">
        <v/>
      </c>
      <c r="BI318" s="34" t="str">
        <v/>
      </c>
      <c r="BJ318" s="34" t="str">
        <v/>
      </c>
      <c r="BK318" s="34" t="str">
        <v>BOX</v>
      </c>
      <c r="BL318" s="34">
        <v>1</v>
      </c>
      <c r="BM318" s="34" t="str">
        <v/>
      </c>
      <c r="BN318" s="34" t="str">
        <v/>
      </c>
      <c r="BO318" s="34" t="str">
        <v/>
      </c>
      <c r="BP318" s="34" t="str">
        <v/>
      </c>
      <c r="BQ318" s="34" t="str">
        <v/>
      </c>
      <c r="BR318" s="34" t="str">
        <v/>
      </c>
      <c r="BS318" s="34" t="str">
        <v/>
      </c>
      <c r="BT318" s="34" t="str">
        <v/>
      </c>
      <c r="BU318" s="34">
        <v>1</v>
      </c>
      <c r="BV318" s="34">
        <v>339</v>
      </c>
      <c r="BW318" s="34">
        <v>0</v>
      </c>
      <c r="BX318" s="34">
        <v>0</v>
      </c>
      <c r="BY318" s="34">
        <v>0</v>
      </c>
      <c r="BZ318">
        <v>17</v>
      </c>
      <c r="CA318" t="str">
        <v>вводной узел</v>
      </c>
    </row>
    <row r="319" spans="1:79" x14ac:dyDescent="0.3">
      <c r="A319" s="39" t="str">
        <v>ЩУОВ</v>
      </c>
      <c r="B319" s="42">
        <v>11</v>
      </c>
      <c r="C319" s="42">
        <v>1</v>
      </c>
      <c r="D319" s="75" t="str">
        <v/>
      </c>
      <c r="E319" s="75" t="str">
        <v>авто</v>
      </c>
      <c r="F319" s="76" t="str">
        <v/>
      </c>
      <c r="G319" s="47" t="str">
        <v>QF1</v>
      </c>
      <c r="H319" s="47" t="str">
        <v>1P С6А</v>
      </c>
      <c r="I319" s="75" t="str">
        <v/>
      </c>
      <c r="J319" s="76" t="str">
        <v/>
      </c>
      <c r="K319" s="76" t="str">
        <v/>
      </c>
      <c r="L319" s="75" t="str">
        <v/>
      </c>
      <c r="M319" s="49" t="str">
        <v/>
      </c>
      <c r="N319" s="76" t="str">
        <v/>
      </c>
      <c r="O319" s="49" t="str">
        <v/>
      </c>
      <c r="P319" s="77" t="str">
        <v>XT1</v>
      </c>
      <c r="Q319" s="53" t="str">
        <v>МКЭШнг(A)-LS (2х0,75) L=24-0%</v>
      </c>
      <c r="R319" s="54" t="str">
        <v>DW.1</v>
      </c>
      <c r="S319" s="55" t="str">
        <v/>
      </c>
      <c r="T319" s="56">
        <v>0</v>
      </c>
      <c r="U319" s="56">
        <v>0</v>
      </c>
      <c r="V319" s="42" t="str">
        <v>L2</v>
      </c>
      <c r="W319" s="57" t="str">
        <v>ok</v>
      </c>
      <c r="X319" s="58" t="str">
        <v/>
      </c>
      <c r="Y319" s="75" t="str">
        <v/>
      </c>
      <c r="Z319" s="59">
        <v>0</v>
      </c>
      <c r="AA319" s="61">
        <v>6</v>
      </c>
      <c r="AB319" s="61" t="str">
        <v/>
      </c>
      <c r="AC319" s="61" t="str">
        <v/>
      </c>
      <c r="AD319" s="62" t="str">
        <v>QF1 → XT1</v>
      </c>
      <c r="AE319" s="62" t="str">
        <v>нет мощности</v>
      </c>
      <c r="AF319" s="34">
        <v>1</v>
      </c>
      <c r="AG319" s="34" t="str">
        <v>QF1</v>
      </c>
      <c r="AH319" s="34" t="str">
        <v/>
      </c>
      <c r="AI319" s="34" t="str">
        <v/>
      </c>
      <c r="AJ319" s="34" t="str">
        <v>QF1</v>
      </c>
      <c r="AK319" s="34">
        <v>1</v>
      </c>
      <c r="AL319" s="34" t="str">
        <v>DW</v>
      </c>
      <c r="AM319" s="34">
        <v>0</v>
      </c>
      <c r="AN319" s="34">
        <v>0</v>
      </c>
      <c r="AO319" s="34">
        <v>6</v>
      </c>
      <c r="AP319" s="34" t="str">
        <v/>
      </c>
      <c r="AQ319" s="34">
        <v>6</v>
      </c>
      <c r="AR319" s="34">
        <v>1</v>
      </c>
      <c r="AS319" s="34">
        <v>0</v>
      </c>
      <c r="AT319" s="34" t="str">
        <v>1P</v>
      </c>
      <c r="AU319" s="34">
        <v>6</v>
      </c>
      <c r="AV319" s="34" t="str">
        <v/>
      </c>
      <c r="AW319" s="34" t="str">
        <v/>
      </c>
      <c r="AX319" s="34" t="str">
        <v/>
      </c>
      <c r="AY319" s="34">
        <v>1</v>
      </c>
      <c r="AZ319" s="34" t="str">
        <v/>
      </c>
      <c r="BA319" s="34">
        <v>0</v>
      </c>
      <c r="BB319" s="34">
        <v>0</v>
      </c>
      <c r="BD319" s="34">
        <v>1</v>
      </c>
      <c r="BE319" s="34">
        <v>0</v>
      </c>
      <c r="BF319" s="34">
        <v>0</v>
      </c>
      <c r="BG319" s="34" t="str">
        <v/>
      </c>
      <c r="BH319" s="34" t="str">
        <v/>
      </c>
      <c r="BI319" s="34" t="str">
        <v/>
      </c>
      <c r="BJ319" s="34" t="str">
        <v/>
      </c>
      <c r="BK319" s="34" t="str">
        <v>BOX</v>
      </c>
      <c r="BL319" s="34">
        <v>1</v>
      </c>
      <c r="BM319" s="34" t="str">
        <v/>
      </c>
      <c r="BN319" s="34" t="str">
        <v/>
      </c>
      <c r="BO319" s="34" t="str">
        <v/>
      </c>
      <c r="BP319" s="34" t="str">
        <v/>
      </c>
      <c r="BQ319" s="34" t="str">
        <v>2х0,75</v>
      </c>
      <c r="BR319" s="34">
        <v>14</v>
      </c>
      <c r="BS319" s="34" t="str">
        <v/>
      </c>
      <c r="BT319" s="34" t="str">
        <v/>
      </c>
      <c r="BU319" s="34">
        <v>1</v>
      </c>
      <c r="BV319" s="34">
        <v>340</v>
      </c>
      <c r="BW319" s="34">
        <v>1</v>
      </c>
      <c r="BX319" s="34">
        <v>0</v>
      </c>
      <c r="BY319" s="34" t="str">
        <v/>
      </c>
      <c r="BZ319">
        <v>17</v>
      </c>
      <c r="CA319" t="str">
        <v>линии</v>
      </c>
    </row>
    <row r="320" spans="1:79" x14ac:dyDescent="0.3">
      <c r="A320" s="39" t="str">
        <v>ЩУОВ</v>
      </c>
      <c r="B320" s="42">
        <v>12</v>
      </c>
      <c r="C320" s="42">
        <v>1</v>
      </c>
      <c r="D320" s="75" t="str">
        <v/>
      </c>
      <c r="E320" s="75" t="str">
        <v>авто</v>
      </c>
      <c r="F320" s="76" t="str">
        <v/>
      </c>
      <c r="G320" s="47" t="str">
        <v>QF2</v>
      </c>
      <c r="H320" s="47" t="str">
        <v>1P С6А</v>
      </c>
      <c r="I320" s="75" t="str">
        <v/>
      </c>
      <c r="J320" s="76" t="str">
        <v/>
      </c>
      <c r="K320" s="76" t="str">
        <v/>
      </c>
      <c r="L320" s="75" t="str">
        <v/>
      </c>
      <c r="M320" s="49" t="str">
        <v/>
      </c>
      <c r="N320" s="76" t="str">
        <v/>
      </c>
      <c r="O320" s="49" t="str">
        <v/>
      </c>
      <c r="P320" s="77" t="str">
        <v>XT2</v>
      </c>
      <c r="Q320" s="53" t="str">
        <v>МКЭШнг(A)-LS (2х0,75) L=19-0%</v>
      </c>
      <c r="R320" s="54" t="str">
        <v>DT.1</v>
      </c>
      <c r="S320" s="55" t="str">
        <v/>
      </c>
      <c r="T320" s="56">
        <v>0</v>
      </c>
      <c r="U320" s="56">
        <v>0</v>
      </c>
      <c r="V320" s="42" t="str">
        <v>L2</v>
      </c>
      <c r="W320" s="57" t="str">
        <v>ok</v>
      </c>
      <c r="X320" s="58" t="str">
        <v/>
      </c>
      <c r="Y320" s="75" t="str">
        <v/>
      </c>
      <c r="Z320" s="59">
        <v>0</v>
      </c>
      <c r="AA320" s="61">
        <v>6</v>
      </c>
      <c r="AB320" s="61" t="str">
        <v/>
      </c>
      <c r="AC320" s="61" t="str">
        <v/>
      </c>
      <c r="AD320" s="62" t="str">
        <v>QF2 → XT2</v>
      </c>
      <c r="AE320" s="62" t="str">
        <v>нет мощности</v>
      </c>
      <c r="AF320" s="34">
        <v>2</v>
      </c>
      <c r="AG320" s="34" t="str">
        <v>QF2</v>
      </c>
      <c r="AH320" s="34" t="str">
        <v/>
      </c>
      <c r="AI320" s="34" t="str">
        <v/>
      </c>
      <c r="AJ320" s="34" t="str">
        <v>QF2</v>
      </c>
      <c r="AK320" s="34">
        <v>1</v>
      </c>
      <c r="AL320" s="34" t="str">
        <v>DT</v>
      </c>
      <c r="AM320" s="34">
        <v>0</v>
      </c>
      <c r="AN320" s="34">
        <v>0</v>
      </c>
      <c r="AO320" s="34">
        <v>6</v>
      </c>
      <c r="AP320" s="34" t="str">
        <v/>
      </c>
      <c r="AQ320" s="34">
        <v>6</v>
      </c>
      <c r="AR320" s="34">
        <v>1</v>
      </c>
      <c r="AS320" s="34">
        <v>0</v>
      </c>
      <c r="AT320" s="34" t="str">
        <v>1P</v>
      </c>
      <c r="AU320" s="34">
        <v>6</v>
      </c>
      <c r="AV320" s="34" t="str">
        <v/>
      </c>
      <c r="AW320" s="34" t="str">
        <v/>
      </c>
      <c r="AX320" s="34" t="str">
        <v/>
      </c>
      <c r="AY320" s="34">
        <v>1</v>
      </c>
      <c r="AZ320" s="34" t="str">
        <v/>
      </c>
      <c r="BA320" s="34">
        <v>0</v>
      </c>
      <c r="BB320" s="34">
        <v>0</v>
      </c>
      <c r="BD320" s="34">
        <v>1</v>
      </c>
      <c r="BE320" s="34">
        <v>0</v>
      </c>
      <c r="BF320" s="34">
        <v>0</v>
      </c>
      <c r="BG320" s="34" t="str">
        <v/>
      </c>
      <c r="BH320" s="34" t="str">
        <v/>
      </c>
      <c r="BI320" s="34" t="str">
        <v/>
      </c>
      <c r="BJ320" s="34" t="str">
        <v/>
      </c>
      <c r="BK320" s="34" t="str">
        <v>BOX</v>
      </c>
      <c r="BL320" s="34">
        <v>1</v>
      </c>
      <c r="BM320" s="34" t="str">
        <v/>
      </c>
      <c r="BN320" s="34" t="str">
        <v/>
      </c>
      <c r="BO320" s="34" t="str">
        <v/>
      </c>
      <c r="BP320" s="34" t="str">
        <v/>
      </c>
      <c r="BQ320" s="34" t="str">
        <v>2х0,75</v>
      </c>
      <c r="BR320" s="34" t="str">
        <v/>
      </c>
      <c r="BS320" s="34" t="str">
        <v/>
      </c>
      <c r="BT320" s="34" t="str">
        <v/>
      </c>
      <c r="BU320" s="34">
        <v>1</v>
      </c>
      <c r="BV320" s="34">
        <v>341</v>
      </c>
      <c r="BW320" s="34">
        <v>1</v>
      </c>
      <c r="BX320" s="34">
        <v>0</v>
      </c>
      <c r="BY320" s="34" t="str">
        <v/>
      </c>
      <c r="BZ320">
        <v>17</v>
      </c>
      <c r="CA320" t="str">
        <v>линии</v>
      </c>
    </row>
    <row r="321" spans="1:79" x14ac:dyDescent="0.3">
      <c r="A321" s="39" t="str">
        <v>ЩУОВ</v>
      </c>
      <c r="B321" s="42">
        <v>19</v>
      </c>
      <c r="C321" s="42">
        <v>2</v>
      </c>
      <c r="D321" s="75" t="str">
        <v/>
      </c>
      <c r="E321" s="75" t="str">
        <v>авто</v>
      </c>
      <c r="F321" s="76" t="str">
        <v/>
      </c>
      <c r="G321" s="47" t="str">
        <v>QF3</v>
      </c>
      <c r="H321" s="47" t="str">
        <v>1P С16А</v>
      </c>
      <c r="I321" s="75" t="str">
        <v/>
      </c>
      <c r="J321" s="76" t="str">
        <v/>
      </c>
      <c r="K321" s="76" t="str">
        <v/>
      </c>
      <c r="L321" s="75" t="str">
        <v/>
      </c>
      <c r="M321" s="49" t="str">
        <v/>
      </c>
      <c r="N321" s="76" t="str">
        <v/>
      </c>
      <c r="O321" s="49" t="str">
        <v/>
      </c>
      <c r="P321" s="77" t="str">
        <v/>
      </c>
      <c r="Q321" s="53" t="str">
        <v>ВВГнг(А)-LS (3х4) L=95-4,78%</v>
      </c>
      <c r="R321" s="54" t="str">
        <v>OV.2.002Г.1</v>
      </c>
      <c r="S321" s="55" t="str">
        <v/>
      </c>
      <c r="T321" s="56">
        <v>2.37</v>
      </c>
      <c r="U321" s="56">
        <v>10.81</v>
      </c>
      <c r="V321" s="42" t="str">
        <v>L1</v>
      </c>
      <c r="W321" s="57" t="str">
        <v>ok</v>
      </c>
      <c r="X321" s="58" t="str">
        <v/>
      </c>
      <c r="Y321" s="75" t="str">
        <v/>
      </c>
      <c r="Z321" s="59">
        <v>10.80252740510063</v>
      </c>
      <c r="AA321" s="61">
        <v>16</v>
      </c>
      <c r="AB321" s="61">
        <v>32</v>
      </c>
      <c r="AC321" s="61" t="str">
        <v/>
      </c>
      <c r="AD321" s="62" t="str">
        <v>QF3</v>
      </c>
      <c r="AE321" s="62" t="str">
        <v>потери 7,3 % &gt; 4 %</v>
      </c>
      <c r="AF321" s="34">
        <v>3</v>
      </c>
      <c r="AG321" s="34" t="str">
        <v>QF3</v>
      </c>
      <c r="AH321" s="34" t="str">
        <v/>
      </c>
      <c r="AI321" s="34" t="str">
        <v/>
      </c>
      <c r="AJ321" s="34" t="str">
        <v>QF3</v>
      </c>
      <c r="AK321" s="34">
        <v>1</v>
      </c>
      <c r="AL321" s="34" t="str">
        <v>OV</v>
      </c>
      <c r="AM321" s="34">
        <v>0</v>
      </c>
      <c r="AN321" s="34">
        <v>0</v>
      </c>
      <c r="AO321" s="34">
        <v>16</v>
      </c>
      <c r="AP321" s="34">
        <v>32</v>
      </c>
      <c r="AQ321" s="34">
        <v>16</v>
      </c>
      <c r="AR321" s="34">
        <v>1</v>
      </c>
      <c r="AS321" s="34">
        <v>0</v>
      </c>
      <c r="AT321" s="34" t="str">
        <v>1P</v>
      </c>
      <c r="AU321" s="34">
        <v>16</v>
      </c>
      <c r="AV321" s="34" t="str">
        <v/>
      </c>
      <c r="AW321" s="34" t="str">
        <v/>
      </c>
      <c r="AX321" s="34" t="str">
        <v/>
      </c>
      <c r="AY321" s="34">
        <v>1</v>
      </c>
      <c r="AZ321" s="34" t="str">
        <v/>
      </c>
      <c r="BA321" s="34">
        <v>0</v>
      </c>
      <c r="BB321" s="34">
        <v>0</v>
      </c>
      <c r="BD321" s="34">
        <v>1</v>
      </c>
      <c r="BE321" s="34">
        <v>0</v>
      </c>
      <c r="BF321" s="34">
        <v>0</v>
      </c>
      <c r="BG321" s="34" t="str">
        <v/>
      </c>
      <c r="BH321" s="34" t="str">
        <v/>
      </c>
      <c r="BI321" s="34" t="str">
        <v/>
      </c>
      <c r="BJ321" s="34" t="str">
        <v/>
      </c>
      <c r="BK321" s="34" t="str">
        <v>BOX</v>
      </c>
      <c r="BL321" s="34">
        <v>1</v>
      </c>
      <c r="BM321" s="34" t="str">
        <v/>
      </c>
      <c r="BN321" s="34" t="str">
        <v/>
      </c>
      <c r="BO321" s="34" t="str">
        <v/>
      </c>
      <c r="BP321" s="34" t="str">
        <v/>
      </c>
      <c r="BQ321" s="34" t="str">
        <v>3х4</v>
      </c>
      <c r="BR321" s="34" t="str">
        <v/>
      </c>
      <c r="BS321" s="34" t="str">
        <v/>
      </c>
      <c r="BT321" s="34" t="str">
        <v/>
      </c>
      <c r="BU321" s="34">
        <v>1</v>
      </c>
      <c r="BV321" s="34">
        <v>342</v>
      </c>
      <c r="BW321" s="34">
        <v>1</v>
      </c>
      <c r="BX321" s="34">
        <v>0</v>
      </c>
      <c r="BY321" s="34" t="str">
        <v/>
      </c>
      <c r="BZ321">
        <v>17</v>
      </c>
      <c r="CA321" t="str">
        <v>линии</v>
      </c>
    </row>
    <row r="322" spans="1:79" x14ac:dyDescent="0.3">
      <c r="A322" s="39" t="str">
        <v>ЩУОВ</v>
      </c>
      <c r="B322" s="42">
        <v>20</v>
      </c>
      <c r="C322" s="42">
        <v>2</v>
      </c>
      <c r="D322" s="75" t="str">
        <v/>
      </c>
      <c r="E322" s="75" t="str">
        <v>авто</v>
      </c>
      <c r="F322" s="76" t="str">
        <v/>
      </c>
      <c r="G322" s="47" t="str">
        <v>QF4</v>
      </c>
      <c r="H322" s="47" t="str">
        <v>1P С16А</v>
      </c>
      <c r="I322" s="75" t="str">
        <v/>
      </c>
      <c r="J322" s="76" t="str">
        <v/>
      </c>
      <c r="K322" s="76" t="str">
        <v/>
      </c>
      <c r="L322" s="75" t="str">
        <v/>
      </c>
      <c r="M322" s="49" t="str">
        <v/>
      </c>
      <c r="N322" s="76" t="str">
        <v/>
      </c>
      <c r="O322" s="49" t="str">
        <v/>
      </c>
      <c r="P322" s="77" t="str">
        <v>XT4</v>
      </c>
      <c r="Q322" s="53" t="str">
        <v>ВВГнг(А)-LS (3х2,5) L=44-1,44%</v>
      </c>
      <c r="R322" s="54" t="str">
        <v>OV.2.003Г.1</v>
      </c>
      <c r="S322" s="55" t="str">
        <v/>
      </c>
      <c r="T322" s="56">
        <v>0.96</v>
      </c>
      <c r="U322" s="56">
        <v>4.38</v>
      </c>
      <c r="V322" s="42" t="str">
        <v>L2</v>
      </c>
      <c r="W322" s="57" t="str">
        <v>ok</v>
      </c>
      <c r="X322" s="58" t="str">
        <v/>
      </c>
      <c r="Y322" s="75" t="str">
        <v/>
      </c>
      <c r="Z322" s="59">
        <v>4.3757073033319003</v>
      </c>
      <c r="AA322" s="61">
        <v>6</v>
      </c>
      <c r="AB322" s="61">
        <v>25</v>
      </c>
      <c r="AC322" s="61" t="str">
        <v/>
      </c>
      <c r="AD322" s="62" t="str">
        <v>QF4 → XT4</v>
      </c>
      <c r="AE322" s="62" t="str">
        <v/>
      </c>
      <c r="AF322" s="34">
        <v>4</v>
      </c>
      <c r="AG322" s="34" t="str">
        <v>QF4</v>
      </c>
      <c r="AH322" s="34" t="str">
        <v/>
      </c>
      <c r="AI322" s="34" t="str">
        <v/>
      </c>
      <c r="AJ322" s="34" t="str">
        <v>QF4</v>
      </c>
      <c r="AK322" s="34">
        <v>1</v>
      </c>
      <c r="AL322" s="34" t="str">
        <v>OV</v>
      </c>
      <c r="AM322" s="34">
        <v>0</v>
      </c>
      <c r="AN322" s="34">
        <v>0</v>
      </c>
      <c r="AO322" s="34">
        <v>6</v>
      </c>
      <c r="AP322" s="34">
        <v>25</v>
      </c>
      <c r="AQ322" s="34">
        <v>16</v>
      </c>
      <c r="AR322" s="34">
        <v>1</v>
      </c>
      <c r="AS322" s="34">
        <v>0</v>
      </c>
      <c r="AT322" s="34" t="str">
        <v>1P</v>
      </c>
      <c r="AU322" s="34">
        <v>16</v>
      </c>
      <c r="AV322" s="34" t="str">
        <v/>
      </c>
      <c r="AW322" s="34" t="str">
        <v/>
      </c>
      <c r="AX322" s="34" t="str">
        <v/>
      </c>
      <c r="AY322" s="34">
        <v>1</v>
      </c>
      <c r="AZ322" s="34" t="str">
        <v/>
      </c>
      <c r="BA322" s="34">
        <v>0</v>
      </c>
      <c r="BB322" s="34">
        <v>0</v>
      </c>
      <c r="BD322" s="34">
        <v>1</v>
      </c>
      <c r="BE322" s="34">
        <v>0</v>
      </c>
      <c r="BF322" s="34">
        <v>0</v>
      </c>
      <c r="BG322" s="34" t="str">
        <v/>
      </c>
      <c r="BH322" s="34" t="str">
        <v/>
      </c>
      <c r="BI322" s="34" t="str">
        <v/>
      </c>
      <c r="BJ322" s="34" t="str">
        <v/>
      </c>
      <c r="BK322" s="34" t="str">
        <v>BOX</v>
      </c>
      <c r="BL322" s="34">
        <v>1</v>
      </c>
      <c r="BM322" s="34" t="str">
        <v/>
      </c>
      <c r="BN322" s="34" t="str">
        <v/>
      </c>
      <c r="BO322" s="34" t="str">
        <v/>
      </c>
      <c r="BP322" s="34" t="str">
        <v/>
      </c>
      <c r="BQ322" s="34" t="str">
        <v>3х2,5</v>
      </c>
      <c r="BR322" s="34" t="str">
        <v/>
      </c>
      <c r="BS322" s="34" t="str">
        <v/>
      </c>
      <c r="BT322" s="34" t="str">
        <v/>
      </c>
      <c r="BU322" s="34">
        <v>0</v>
      </c>
      <c r="BV322" s="34">
        <v>343</v>
      </c>
      <c r="BW322" s="34">
        <v>1</v>
      </c>
      <c r="BX322" s="34">
        <v>0</v>
      </c>
      <c r="BY322" s="34" t="str">
        <v/>
      </c>
      <c r="BZ322">
        <v>17</v>
      </c>
      <c r="CA322" t="str">
        <v>линии</v>
      </c>
    </row>
    <row r="323" spans="1:79" x14ac:dyDescent="0.3">
      <c r="A323" s="39" t="str">
        <v>ЩУОВ</v>
      </c>
      <c r="B323" s="42">
        <v>21</v>
      </c>
      <c r="C323" s="42">
        <v>2</v>
      </c>
      <c r="D323" s="75" t="str">
        <v/>
      </c>
      <c r="E323" s="75" t="str">
        <v>авто</v>
      </c>
      <c r="F323" s="76" t="str">
        <v/>
      </c>
      <c r="G323" s="47" t="str">
        <v>QF5</v>
      </c>
      <c r="H323" s="47" t="str">
        <v>1P С16А</v>
      </c>
      <c r="I323" s="75" t="str">
        <v/>
      </c>
      <c r="J323" s="76" t="str">
        <v/>
      </c>
      <c r="K323" s="76" t="str">
        <v/>
      </c>
      <c r="L323" s="75" t="str">
        <v/>
      </c>
      <c r="M323" s="49" t="str">
        <v/>
      </c>
      <c r="N323" s="76" t="str">
        <v/>
      </c>
      <c r="O323" s="49" t="str">
        <v/>
      </c>
      <c r="P323" s="77" t="str">
        <v/>
      </c>
      <c r="Q323" s="53" t="str">
        <v>ВВГнг(А)-LS (3х6) L=97-3,51%</v>
      </c>
      <c r="R323" s="54" t="str">
        <v>OV.2.1.1</v>
      </c>
      <c r="S323" s="55" t="str">
        <v>Обогревл ливнестоков Кровля бассейна</v>
      </c>
      <c r="T323" s="56">
        <v>2.5499999999999998</v>
      </c>
      <c r="U323" s="56">
        <v>11.629999999999999</v>
      </c>
      <c r="V323" s="42" t="str">
        <v>L1</v>
      </c>
      <c r="W323" s="57" t="str">
        <v>ok</v>
      </c>
      <c r="X323" s="58" t="str">
        <v/>
      </c>
      <c r="Y323" s="75" t="str">
        <v/>
      </c>
      <c r="Z323" s="59">
        <v>11.62297252447536</v>
      </c>
      <c r="AA323" s="61">
        <v>16</v>
      </c>
      <c r="AB323" s="61">
        <v>50</v>
      </c>
      <c r="AC323" s="61" t="str">
        <v/>
      </c>
      <c r="AD323" s="62" t="str">
        <v>QF5</v>
      </c>
      <c r="AE323" s="62" t="str">
        <v>потери 6,0 % &gt; 4 %</v>
      </c>
      <c r="AF323" s="34">
        <v>5</v>
      </c>
      <c r="AG323" s="34" t="str">
        <v>QF5</v>
      </c>
      <c r="AH323" s="34" t="str">
        <v/>
      </c>
      <c r="AI323" s="34" t="str">
        <v/>
      </c>
      <c r="AJ323" s="34" t="str">
        <v>QF5</v>
      </c>
      <c r="AK323" s="34">
        <v>1</v>
      </c>
      <c r="AL323" s="34" t="str">
        <v>OV</v>
      </c>
      <c r="AM323" s="34">
        <v>0</v>
      </c>
      <c r="AN323" s="34">
        <v>0</v>
      </c>
      <c r="AO323" s="34">
        <v>16</v>
      </c>
      <c r="AP323" s="34">
        <v>50</v>
      </c>
      <c r="AQ323" s="34">
        <v>16</v>
      </c>
      <c r="AR323" s="34">
        <v>1</v>
      </c>
      <c r="AS323" s="34">
        <v>0</v>
      </c>
      <c r="AT323" s="34" t="str">
        <v>1P</v>
      </c>
      <c r="AU323" s="34">
        <v>16</v>
      </c>
      <c r="AV323" s="34" t="str">
        <v/>
      </c>
      <c r="AW323" s="34" t="str">
        <v/>
      </c>
      <c r="AX323" s="34" t="str">
        <v/>
      </c>
      <c r="AY323" s="34">
        <v>1</v>
      </c>
      <c r="AZ323" s="34" t="str">
        <v/>
      </c>
      <c r="BA323" s="34">
        <v>0</v>
      </c>
      <c r="BB323" s="34">
        <v>0</v>
      </c>
      <c r="BD323" s="34">
        <v>1</v>
      </c>
      <c r="BE323" s="34">
        <v>0</v>
      </c>
      <c r="BF323" s="34">
        <v>0</v>
      </c>
      <c r="BG323" s="34" t="str">
        <v/>
      </c>
      <c r="BH323" s="34" t="str">
        <v/>
      </c>
      <c r="BI323" s="34" t="str">
        <v/>
      </c>
      <c r="BJ323" s="34" t="str">
        <v/>
      </c>
      <c r="BK323" s="34" t="str">
        <v>BOX</v>
      </c>
      <c r="BL323" s="34">
        <v>1</v>
      </c>
      <c r="BM323" s="34" t="str">
        <v/>
      </c>
      <c r="BN323" s="34" t="str">
        <v/>
      </c>
      <c r="BO323" s="34" t="str">
        <v/>
      </c>
      <c r="BP323" s="34" t="str">
        <v/>
      </c>
      <c r="BQ323" s="34" t="str">
        <v>3х6</v>
      </c>
      <c r="BR323" s="34" t="str">
        <v/>
      </c>
      <c r="BS323" s="34" t="str">
        <v/>
      </c>
      <c r="BT323" s="34" t="str">
        <v/>
      </c>
      <c r="BU323" s="34">
        <v>1</v>
      </c>
      <c r="BV323" s="34">
        <v>344</v>
      </c>
      <c r="BW323" s="34">
        <v>1</v>
      </c>
      <c r="BX323" s="34">
        <v>0</v>
      </c>
      <c r="BY323" s="34" t="str">
        <v/>
      </c>
      <c r="BZ323">
        <v>17</v>
      </c>
      <c r="CA323" t="str">
        <v>линии</v>
      </c>
    </row>
    <row r="324" spans="1:79" x14ac:dyDescent="0.3">
      <c r="A324" s="39" t="str">
        <v>ЩУОВ</v>
      </c>
      <c r="B324" s="42">
        <v>22</v>
      </c>
      <c r="C324" s="42">
        <v>2</v>
      </c>
      <c r="D324" s="75" t="str">
        <v/>
      </c>
      <c r="E324" s="75" t="str">
        <v>авто</v>
      </c>
      <c r="F324" s="76" t="str">
        <v/>
      </c>
      <c r="G324" s="47" t="str">
        <v>QF6</v>
      </c>
      <c r="H324" s="47" t="str">
        <v>1P С16А</v>
      </c>
      <c r="I324" s="75" t="str">
        <v/>
      </c>
      <c r="J324" s="76" t="str">
        <v/>
      </c>
      <c r="K324" s="76" t="str">
        <v/>
      </c>
      <c r="L324" s="75" t="str">
        <v/>
      </c>
      <c r="M324" s="49" t="str">
        <v/>
      </c>
      <c r="N324" s="76" t="str">
        <v/>
      </c>
      <c r="O324" s="49" t="str">
        <v/>
      </c>
      <c r="P324" s="77" t="str">
        <v/>
      </c>
      <c r="Q324" s="53" t="str">
        <v>ВВГнг(А)-LS (3х4) L=84-3,64%</v>
      </c>
      <c r="R324" s="54" t="str">
        <v>OV.2.1.2</v>
      </c>
      <c r="S324" s="55" t="str">
        <v>Обогревл ливнестоков Второй этаж</v>
      </c>
      <c r="T324" s="56">
        <v>2.04</v>
      </c>
      <c r="U324" s="56">
        <v>9.2999999999999989</v>
      </c>
      <c r="V324" s="42" t="str">
        <v>L3</v>
      </c>
      <c r="W324" s="57" t="str">
        <v>ok</v>
      </c>
      <c r="X324" s="58" t="str">
        <v/>
      </c>
      <c r="Y324" s="75" t="str">
        <v/>
      </c>
      <c r="Z324" s="59">
        <v>9.298378019580289</v>
      </c>
      <c r="AA324" s="61">
        <v>16</v>
      </c>
      <c r="AB324" s="61">
        <v>32</v>
      </c>
      <c r="AC324" s="61" t="str">
        <v/>
      </c>
      <c r="AD324" s="62" t="str">
        <v>QF6</v>
      </c>
      <c r="AE324" s="62" t="str">
        <v>потери 6,1 % &gt; 4 %</v>
      </c>
      <c r="AF324" s="34">
        <v>6</v>
      </c>
      <c r="AG324" s="34" t="str">
        <v>QF6</v>
      </c>
      <c r="AH324" s="34" t="str">
        <v/>
      </c>
      <c r="AI324" s="34" t="str">
        <v/>
      </c>
      <c r="AJ324" s="34" t="str">
        <v>QF6</v>
      </c>
      <c r="AK324" s="34">
        <v>1</v>
      </c>
      <c r="AL324" s="34" t="str">
        <v>OV</v>
      </c>
      <c r="AM324" s="34">
        <v>0</v>
      </c>
      <c r="AN324" s="34">
        <v>0</v>
      </c>
      <c r="AO324" s="34">
        <v>16</v>
      </c>
      <c r="AP324" s="34">
        <v>32</v>
      </c>
      <c r="AQ324" s="34">
        <v>16</v>
      </c>
      <c r="AR324" s="34">
        <v>1</v>
      </c>
      <c r="AS324" s="34">
        <v>0</v>
      </c>
      <c r="AT324" s="34" t="str">
        <v>1P</v>
      </c>
      <c r="AU324" s="34">
        <v>16</v>
      </c>
      <c r="AV324" s="34" t="str">
        <v/>
      </c>
      <c r="AW324" s="34" t="str">
        <v/>
      </c>
      <c r="AX324" s="34" t="str">
        <v/>
      </c>
      <c r="AY324" s="34">
        <v>1</v>
      </c>
      <c r="AZ324" s="34" t="str">
        <v/>
      </c>
      <c r="BA324" s="34">
        <v>0</v>
      </c>
      <c r="BB324" s="34">
        <v>0</v>
      </c>
      <c r="BD324" s="34">
        <v>1</v>
      </c>
      <c r="BE324" s="34">
        <v>0</v>
      </c>
      <c r="BF324" s="34">
        <v>0</v>
      </c>
      <c r="BG324" s="34" t="str">
        <v/>
      </c>
      <c r="BH324" s="34" t="str">
        <v/>
      </c>
      <c r="BI324" s="34" t="str">
        <v/>
      </c>
      <c r="BJ324" s="34" t="str">
        <v/>
      </c>
      <c r="BK324" s="34" t="str">
        <v>BOX</v>
      </c>
      <c r="BL324" s="34">
        <v>1</v>
      </c>
      <c r="BM324" s="34" t="str">
        <v/>
      </c>
      <c r="BN324" s="34" t="str">
        <v/>
      </c>
      <c r="BO324" s="34" t="str">
        <v/>
      </c>
      <c r="BP324" s="34" t="str">
        <v/>
      </c>
      <c r="BQ324" s="34" t="str">
        <v>3х4</v>
      </c>
      <c r="BR324" s="34" t="str">
        <v/>
      </c>
      <c r="BS324" s="34" t="str">
        <v/>
      </c>
      <c r="BT324" s="34" t="str">
        <v/>
      </c>
      <c r="BU324" s="34">
        <v>1</v>
      </c>
      <c r="BV324" s="34">
        <v>345</v>
      </c>
      <c r="BW324" s="34">
        <v>1</v>
      </c>
      <c r="BX324" s="34">
        <v>0</v>
      </c>
      <c r="BY324" s="34" t="str">
        <v/>
      </c>
      <c r="BZ324">
        <v>17</v>
      </c>
      <c r="CA324" t="str">
        <v>линии</v>
      </c>
    </row>
    <row r="325" spans="1:79" x14ac:dyDescent="0.3">
      <c r="A325" s="39" t="str">
        <v>ЩУОВ</v>
      </c>
      <c r="B325" s="42">
        <v>23</v>
      </c>
      <c r="C325" s="42">
        <v>2</v>
      </c>
      <c r="D325" s="75" t="str">
        <v/>
      </c>
      <c r="E325" s="75" t="str">
        <v>авто</v>
      </c>
      <c r="F325" s="76" t="str">
        <v/>
      </c>
      <c r="G325" s="47" t="str">
        <v>QF7</v>
      </c>
      <c r="H325" s="47" t="str">
        <v>1P С16А</v>
      </c>
      <c r="I325" s="75" t="str">
        <v/>
      </c>
      <c r="J325" s="76" t="str">
        <v/>
      </c>
      <c r="K325" s="76" t="str">
        <v/>
      </c>
      <c r="L325" s="75" t="str">
        <v/>
      </c>
      <c r="M325" s="49" t="str">
        <v/>
      </c>
      <c r="N325" s="76" t="str">
        <v/>
      </c>
      <c r="O325" s="49" t="str">
        <v/>
      </c>
      <c r="P325" s="77" t="str">
        <v/>
      </c>
      <c r="Q325" s="53" t="str">
        <v>ВВГнг(А)-LS (3х2,5) L=44-0,99%</v>
      </c>
      <c r="R325" s="54" t="str">
        <v>OV.2.1.3</v>
      </c>
      <c r="S325" s="55" t="str">
        <v>Обогревл ливнестоков Второй этаж</v>
      </c>
      <c r="T325" s="56">
        <v>0.66</v>
      </c>
      <c r="U325" s="56">
        <v>3.01</v>
      </c>
      <c r="V325" s="42" t="str">
        <v>L3</v>
      </c>
      <c r="W325" s="57" t="str">
        <v>ok</v>
      </c>
      <c r="X325" s="58" t="str">
        <v/>
      </c>
      <c r="Y325" s="75" t="str">
        <v/>
      </c>
      <c r="Z325" s="59">
        <v>3.0082987710406814</v>
      </c>
      <c r="AA325" s="61">
        <v>6</v>
      </c>
      <c r="AB325" s="61">
        <v>25</v>
      </c>
      <c r="AC325" s="61" t="str">
        <v/>
      </c>
      <c r="AD325" s="62" t="str">
        <v>QF7</v>
      </c>
      <c r="AE325" s="62" t="str">
        <v/>
      </c>
      <c r="AF325" s="34">
        <v>7</v>
      </c>
      <c r="AG325" s="34" t="str">
        <v>QF7</v>
      </c>
      <c r="AH325" s="34" t="str">
        <v/>
      </c>
      <c r="AI325" s="34" t="str">
        <v/>
      </c>
      <c r="AJ325" s="34" t="str">
        <v>QF7</v>
      </c>
      <c r="AK325" s="34">
        <v>1</v>
      </c>
      <c r="AL325" s="34" t="str">
        <v>OV</v>
      </c>
      <c r="AM325" s="34">
        <v>0</v>
      </c>
      <c r="AN325" s="34">
        <v>0</v>
      </c>
      <c r="AO325" s="34">
        <v>6</v>
      </c>
      <c r="AP325" s="34">
        <v>25</v>
      </c>
      <c r="AQ325" s="34">
        <v>16</v>
      </c>
      <c r="AR325" s="34">
        <v>1</v>
      </c>
      <c r="AS325" s="34">
        <v>0</v>
      </c>
      <c r="AT325" s="34" t="str">
        <v>1P</v>
      </c>
      <c r="AU325" s="34">
        <v>16</v>
      </c>
      <c r="AV325" s="34" t="str">
        <v/>
      </c>
      <c r="AW325" s="34" t="str">
        <v/>
      </c>
      <c r="AX325" s="34" t="str">
        <v/>
      </c>
      <c r="AY325" s="34">
        <v>1</v>
      </c>
      <c r="AZ325" s="34" t="str">
        <v/>
      </c>
      <c r="BA325" s="34">
        <v>0</v>
      </c>
      <c r="BB325" s="34">
        <v>0</v>
      </c>
      <c r="BD325" s="34">
        <v>1</v>
      </c>
      <c r="BE325" s="34">
        <v>0</v>
      </c>
      <c r="BF325" s="34">
        <v>0</v>
      </c>
      <c r="BG325" s="34" t="str">
        <v/>
      </c>
      <c r="BH325" s="34" t="str">
        <v/>
      </c>
      <c r="BI325" s="34" t="str">
        <v/>
      </c>
      <c r="BJ325" s="34" t="str">
        <v/>
      </c>
      <c r="BK325" s="34" t="str">
        <v>BOX</v>
      </c>
      <c r="BL325" s="34">
        <v>1</v>
      </c>
      <c r="BM325" s="34" t="str">
        <v/>
      </c>
      <c r="BN325" s="34" t="str">
        <v/>
      </c>
      <c r="BO325" s="34" t="str">
        <v/>
      </c>
      <c r="BP325" s="34" t="str">
        <v/>
      </c>
      <c r="BQ325" s="34" t="str">
        <v>3х2,5</v>
      </c>
      <c r="BR325" s="34" t="str">
        <v/>
      </c>
      <c r="BS325" s="34" t="str">
        <v/>
      </c>
      <c r="BT325" s="34" t="str">
        <v/>
      </c>
      <c r="BU325" s="34">
        <v>0</v>
      </c>
      <c r="BV325" s="34">
        <v>346</v>
      </c>
      <c r="BW325" s="34">
        <v>1</v>
      </c>
      <c r="BX325" s="34">
        <v>0</v>
      </c>
      <c r="BY325" s="34" t="str">
        <v/>
      </c>
      <c r="BZ325">
        <v>17</v>
      </c>
      <c r="CA325" t="str">
        <v>линии</v>
      </c>
    </row>
    <row r="326" spans="1:79" x14ac:dyDescent="0.3">
      <c r="A326" s="39" t="str">
        <v>ЩУОВ</v>
      </c>
      <c r="B326" s="42">
        <v>24</v>
      </c>
      <c r="C326" s="42">
        <v>2</v>
      </c>
      <c r="D326" s="75" t="str">
        <v/>
      </c>
      <c r="E326" s="75" t="str">
        <v>авто</v>
      </c>
      <c r="F326" s="76" t="str">
        <v/>
      </c>
      <c r="G326" s="47" t="str">
        <v>QF8</v>
      </c>
      <c r="H326" s="47" t="str">
        <v>1P С16А</v>
      </c>
      <c r="I326" s="75" t="str">
        <v/>
      </c>
      <c r="J326" s="76" t="str">
        <v/>
      </c>
      <c r="K326" s="76" t="str">
        <v/>
      </c>
      <c r="L326" s="75" t="str">
        <v/>
      </c>
      <c r="M326" s="49" t="str">
        <v/>
      </c>
      <c r="N326" s="76" t="str">
        <v/>
      </c>
      <c r="O326" s="49" t="str">
        <v/>
      </c>
      <c r="P326" s="77" t="str">
        <v/>
      </c>
      <c r="Q326" s="53" t="str">
        <v>ВВГнг(А)-LS (3х2,5) L=40-2,61%</v>
      </c>
      <c r="R326" s="54" t="str">
        <v>OV.4.1.1</v>
      </c>
      <c r="S326" s="55" t="str">
        <v>Обогревл ливнестоков Кровля</v>
      </c>
      <c r="T326" s="56">
        <v>1.92</v>
      </c>
      <c r="U326" s="56">
        <v>8.76</v>
      </c>
      <c r="V326" s="42" t="str">
        <v>L3</v>
      </c>
      <c r="W326" s="57" t="str">
        <v>ok</v>
      </c>
      <c r="X326" s="58" t="str">
        <v/>
      </c>
      <c r="Y326" s="75" t="str">
        <v/>
      </c>
      <c r="Z326" s="59">
        <v>8.7514146066638006</v>
      </c>
      <c r="AA326" s="61">
        <v>10</v>
      </c>
      <c r="AB326" s="61">
        <v>25</v>
      </c>
      <c r="AC326" s="61" t="str">
        <v/>
      </c>
      <c r="AD326" s="62" t="str">
        <v>QF8</v>
      </c>
      <c r="AE326" s="62" t="str">
        <v>потери 5,1 % &gt; 4 %</v>
      </c>
      <c r="AF326" s="34">
        <v>8</v>
      </c>
      <c r="AG326" s="34" t="str">
        <v>QF8</v>
      </c>
      <c r="AH326" s="34" t="str">
        <v/>
      </c>
      <c r="AI326" s="34" t="str">
        <v/>
      </c>
      <c r="AJ326" s="34" t="str">
        <v>QF8</v>
      </c>
      <c r="AK326" s="34">
        <v>1</v>
      </c>
      <c r="AL326" s="34" t="str">
        <v>OV</v>
      </c>
      <c r="AM326" s="34">
        <v>0</v>
      </c>
      <c r="AN326" s="34">
        <v>0</v>
      </c>
      <c r="AO326" s="34">
        <v>10</v>
      </c>
      <c r="AP326" s="34">
        <v>25</v>
      </c>
      <c r="AQ326" s="34">
        <v>16</v>
      </c>
      <c r="AR326" s="34">
        <v>1</v>
      </c>
      <c r="AS326" s="34">
        <v>0</v>
      </c>
      <c r="AT326" s="34" t="str">
        <v>1P</v>
      </c>
      <c r="AU326" s="34">
        <v>16</v>
      </c>
      <c r="AV326" s="34" t="str">
        <v/>
      </c>
      <c r="AW326" s="34" t="str">
        <v/>
      </c>
      <c r="AX326" s="34" t="str">
        <v/>
      </c>
      <c r="AY326" s="34">
        <v>1</v>
      </c>
      <c r="AZ326" s="34" t="str">
        <v/>
      </c>
      <c r="BA326" s="34">
        <v>0</v>
      </c>
      <c r="BB326" s="34">
        <v>0</v>
      </c>
      <c r="BD326" s="34">
        <v>1</v>
      </c>
      <c r="BE326" s="34">
        <v>0</v>
      </c>
      <c r="BF326" s="34">
        <v>0</v>
      </c>
      <c r="BG326" s="34" t="str">
        <v/>
      </c>
      <c r="BH326" s="34" t="str">
        <v/>
      </c>
      <c r="BI326" s="34" t="str">
        <v/>
      </c>
      <c r="BJ326" s="34" t="str">
        <v/>
      </c>
      <c r="BK326" s="34" t="str">
        <v>BOX</v>
      </c>
      <c r="BL326" s="34">
        <v>1</v>
      </c>
      <c r="BM326" s="34" t="str">
        <v/>
      </c>
      <c r="BN326" s="34" t="str">
        <v/>
      </c>
      <c r="BO326" s="34" t="str">
        <v/>
      </c>
      <c r="BP326" s="34" t="str">
        <v/>
      </c>
      <c r="BQ326" s="34" t="str">
        <v>3х2,5</v>
      </c>
      <c r="BR326" s="34" t="str">
        <v/>
      </c>
      <c r="BS326" s="34" t="str">
        <v/>
      </c>
      <c r="BT326" s="34" t="str">
        <v/>
      </c>
      <c r="BU326" s="34">
        <v>1</v>
      </c>
      <c r="BV326" s="34">
        <v>347</v>
      </c>
      <c r="BW326" s="34">
        <v>1</v>
      </c>
      <c r="BX326" s="34">
        <v>0</v>
      </c>
      <c r="BY326" s="34" t="str">
        <v/>
      </c>
      <c r="BZ326">
        <v>17</v>
      </c>
      <c r="CA326" t="str">
        <v>линии</v>
      </c>
    </row>
    <row r="327" spans="1:79" x14ac:dyDescent="0.3">
      <c r="A327" s="39" t="str">
        <v>ЩУОВ</v>
      </c>
      <c r="B327" s="42">
        <v>25</v>
      </c>
      <c r="C327" s="42">
        <v>2</v>
      </c>
      <c r="D327" s="75" t="str">
        <v/>
      </c>
      <c r="E327" s="75" t="str">
        <v>авто</v>
      </c>
      <c r="F327" s="76" t="str">
        <v/>
      </c>
      <c r="G327" s="47" t="str">
        <v>QF9</v>
      </c>
      <c r="H327" s="47" t="str">
        <v>1P С16А</v>
      </c>
      <c r="I327" s="75" t="str">
        <v/>
      </c>
      <c r="J327" s="76" t="str">
        <v/>
      </c>
      <c r="K327" s="76" t="str">
        <v/>
      </c>
      <c r="L327" s="75" t="str">
        <v/>
      </c>
      <c r="M327" s="49" t="str">
        <v/>
      </c>
      <c r="N327" s="76" t="str">
        <v/>
      </c>
      <c r="O327" s="49" t="str">
        <v/>
      </c>
      <c r="P327" s="77" t="str">
        <v/>
      </c>
      <c r="Q327" s="53" t="str">
        <v>ВВГнг(А)-LS (3х2,5) L=50-3,1%</v>
      </c>
      <c r="R327" s="54" t="str">
        <v>OV.4.1.2</v>
      </c>
      <c r="S327" s="55" t="str">
        <v>Обогревл ливнестоков Кровля</v>
      </c>
      <c r="T327" s="56">
        <v>1.83</v>
      </c>
      <c r="U327" s="56">
        <v>8.35</v>
      </c>
      <c r="V327" s="42" t="str">
        <v>L1</v>
      </c>
      <c r="W327" s="57" t="str">
        <v>ok</v>
      </c>
      <c r="X327" s="58" t="str">
        <v/>
      </c>
      <c r="Y327" s="75" t="str">
        <v/>
      </c>
      <c r="Z327" s="59">
        <v>8.3411920469764347</v>
      </c>
      <c r="AA327" s="61">
        <v>10</v>
      </c>
      <c r="AB327" s="61">
        <v>25</v>
      </c>
      <c r="AC327" s="61" t="str">
        <v/>
      </c>
      <c r="AD327" s="62" t="str">
        <v>QF9</v>
      </c>
      <c r="AE327" s="62" t="str">
        <v>потери 5,6 % &gt; 4 %</v>
      </c>
      <c r="AF327" s="34">
        <v>9</v>
      </c>
      <c r="AG327" s="34" t="str">
        <v>QF9</v>
      </c>
      <c r="AH327" s="34" t="str">
        <v/>
      </c>
      <c r="AI327" s="34" t="str">
        <v/>
      </c>
      <c r="AJ327" s="34" t="str">
        <v>QF9</v>
      </c>
      <c r="AK327" s="34">
        <v>1</v>
      </c>
      <c r="AL327" s="34" t="str">
        <v>OV</v>
      </c>
      <c r="AM327" s="34">
        <v>0</v>
      </c>
      <c r="AN327" s="34">
        <v>0</v>
      </c>
      <c r="AO327" s="34">
        <v>10</v>
      </c>
      <c r="AP327" s="34">
        <v>25</v>
      </c>
      <c r="AQ327" s="34">
        <v>16</v>
      </c>
      <c r="AR327" s="34">
        <v>1</v>
      </c>
      <c r="AS327" s="34">
        <v>0</v>
      </c>
      <c r="AT327" s="34" t="str">
        <v>1P</v>
      </c>
      <c r="AU327" s="34">
        <v>16</v>
      </c>
      <c r="AV327" s="34" t="str">
        <v/>
      </c>
      <c r="AW327" s="34" t="str">
        <v/>
      </c>
      <c r="AX327" s="34" t="str">
        <v/>
      </c>
      <c r="AY327" s="34">
        <v>1</v>
      </c>
      <c r="AZ327" s="34" t="str">
        <v/>
      </c>
      <c r="BA327" s="34">
        <v>0</v>
      </c>
      <c r="BB327" s="34">
        <v>0</v>
      </c>
      <c r="BD327" s="34">
        <v>1</v>
      </c>
      <c r="BE327" s="34">
        <v>0</v>
      </c>
      <c r="BF327" s="34">
        <v>0</v>
      </c>
      <c r="BG327" s="34" t="str">
        <v/>
      </c>
      <c r="BH327" s="34" t="str">
        <v/>
      </c>
      <c r="BI327" s="34" t="str">
        <v/>
      </c>
      <c r="BJ327" s="34" t="str">
        <v/>
      </c>
      <c r="BK327" s="34" t="str">
        <v>BOX</v>
      </c>
      <c r="BL327" s="34">
        <v>1</v>
      </c>
      <c r="BM327" s="34" t="str">
        <v/>
      </c>
      <c r="BN327" s="34" t="str">
        <v/>
      </c>
      <c r="BO327" s="34" t="str">
        <v/>
      </c>
      <c r="BP327" s="34" t="str">
        <v/>
      </c>
      <c r="BQ327" s="34" t="str">
        <v>3х2,5</v>
      </c>
      <c r="BR327" s="34" t="str">
        <v/>
      </c>
      <c r="BS327" s="34" t="str">
        <v/>
      </c>
      <c r="BT327" s="34" t="str">
        <v/>
      </c>
      <c r="BU327" s="34">
        <v>1</v>
      </c>
      <c r="BV327" s="34">
        <v>348</v>
      </c>
      <c r="BW327" s="34">
        <v>1</v>
      </c>
      <c r="BX327" s="34">
        <v>0</v>
      </c>
      <c r="BY327" s="34" t="str">
        <v/>
      </c>
      <c r="BZ327">
        <v>17</v>
      </c>
      <c r="CA327" t="str">
        <v>линии</v>
      </c>
    </row>
    <row r="328" spans="1:79" x14ac:dyDescent="0.3">
      <c r="A328" s="39" t="str">
        <v>ЩУОВ</v>
      </c>
      <c r="B328" s="42">
        <v>26</v>
      </c>
      <c r="C328" s="42">
        <v>2</v>
      </c>
      <c r="D328" s="75" t="str">
        <v/>
      </c>
      <c r="E328" s="75" t="str">
        <v>авто</v>
      </c>
      <c r="F328" s="76" t="str">
        <v/>
      </c>
      <c r="G328" s="47" t="str">
        <v>QF10</v>
      </c>
      <c r="H328" s="47" t="str">
        <v>1P С16А</v>
      </c>
      <c r="I328" s="75" t="str">
        <v/>
      </c>
      <c r="J328" s="76" t="str">
        <v/>
      </c>
      <c r="K328" s="76" t="str">
        <v/>
      </c>
      <c r="L328" s="75" t="str">
        <v/>
      </c>
      <c r="M328" s="49" t="str">
        <v/>
      </c>
      <c r="N328" s="76" t="str">
        <v/>
      </c>
      <c r="O328" s="49" t="str">
        <v/>
      </c>
      <c r="P328" s="77" t="str">
        <v/>
      </c>
      <c r="Q328" s="53" t="str">
        <v>ВВГнг(А)-LS (3х4) L=83-3,44%</v>
      </c>
      <c r="R328" s="54" t="str">
        <v>OV.4.1.3</v>
      </c>
      <c r="S328" s="55" t="str">
        <v>Обогревл ливнестоков Кровля</v>
      </c>
      <c r="T328" s="56">
        <v>1.95</v>
      </c>
      <c r="U328" s="56">
        <v>8.89</v>
      </c>
      <c r="V328" s="42" t="str">
        <v>L2</v>
      </c>
      <c r="W328" s="57" t="str">
        <v>ok</v>
      </c>
      <c r="X328" s="58" t="str">
        <v/>
      </c>
      <c r="Y328" s="75" t="str">
        <v/>
      </c>
      <c r="Z328" s="59">
        <v>8.8881554598929231</v>
      </c>
      <c r="AA328" s="61">
        <v>10</v>
      </c>
      <c r="AB328" s="61">
        <v>32</v>
      </c>
      <c r="AC328" s="61" t="str">
        <v/>
      </c>
      <c r="AD328" s="62" t="str">
        <v>QF10</v>
      </c>
      <c r="AE328" s="62" t="str">
        <v>потери 5,9 % &gt; 4 %</v>
      </c>
      <c r="AF328" s="34">
        <v>10</v>
      </c>
      <c r="AG328" s="34" t="str">
        <v>QF10</v>
      </c>
      <c r="AH328" s="34" t="str">
        <v/>
      </c>
      <c r="AI328" s="34" t="str">
        <v/>
      </c>
      <c r="AJ328" s="34" t="str">
        <v>QF10</v>
      </c>
      <c r="AK328" s="34">
        <v>1</v>
      </c>
      <c r="AL328" s="34" t="str">
        <v>OV</v>
      </c>
      <c r="AM328" s="34">
        <v>0</v>
      </c>
      <c r="AN328" s="34">
        <v>0</v>
      </c>
      <c r="AO328" s="34">
        <v>10</v>
      </c>
      <c r="AP328" s="34">
        <v>32</v>
      </c>
      <c r="AQ328" s="34">
        <v>16</v>
      </c>
      <c r="AR328" s="34">
        <v>1</v>
      </c>
      <c r="AS328" s="34">
        <v>0</v>
      </c>
      <c r="AT328" s="34" t="str">
        <v>1P</v>
      </c>
      <c r="AU328" s="34">
        <v>16</v>
      </c>
      <c r="AV328" s="34" t="str">
        <v/>
      </c>
      <c r="AW328" s="34" t="str">
        <v/>
      </c>
      <c r="AX328" s="34" t="str">
        <v/>
      </c>
      <c r="AY328" s="34">
        <v>1</v>
      </c>
      <c r="AZ328" s="34" t="str">
        <v/>
      </c>
      <c r="BA328" s="34">
        <v>0</v>
      </c>
      <c r="BB328" s="34">
        <v>0</v>
      </c>
      <c r="BD328" s="34">
        <v>1</v>
      </c>
      <c r="BE328" s="34">
        <v>0</v>
      </c>
      <c r="BF328" s="34">
        <v>0</v>
      </c>
      <c r="BG328" s="34" t="str">
        <v/>
      </c>
      <c r="BH328" s="34" t="str">
        <v/>
      </c>
      <c r="BI328" s="34" t="str">
        <v/>
      </c>
      <c r="BJ328" s="34" t="str">
        <v/>
      </c>
      <c r="BK328" s="34" t="str">
        <v>BOX</v>
      </c>
      <c r="BL328" s="34">
        <v>1</v>
      </c>
      <c r="BM328" s="34" t="str">
        <v/>
      </c>
      <c r="BN328" s="34" t="str">
        <v/>
      </c>
      <c r="BO328" s="34" t="str">
        <v/>
      </c>
      <c r="BP328" s="34" t="str">
        <v/>
      </c>
      <c r="BQ328" s="34" t="str">
        <v>3х4</v>
      </c>
      <c r="BR328" s="34" t="str">
        <v/>
      </c>
      <c r="BS328" s="34" t="str">
        <v/>
      </c>
      <c r="BT328" s="34" t="str">
        <v/>
      </c>
      <c r="BU328" s="34">
        <v>1</v>
      </c>
      <c r="BV328" s="34">
        <v>349</v>
      </c>
      <c r="BW328" s="34">
        <v>1</v>
      </c>
      <c r="BX328" s="34">
        <v>0</v>
      </c>
      <c r="BY328" s="34" t="str">
        <v/>
      </c>
      <c r="BZ328">
        <v>17</v>
      </c>
      <c r="CA328" t="str">
        <v>линии</v>
      </c>
    </row>
    <row r="329" spans="1:79" x14ac:dyDescent="0.3">
      <c r="A329" s="39" t="str">
        <v>ЩУОВ</v>
      </c>
      <c r="B329" s="42">
        <v>27</v>
      </c>
      <c r="C329" s="42">
        <v>2</v>
      </c>
      <c r="D329" s="75" t="str">
        <v/>
      </c>
      <c r="E329" s="75" t="str">
        <v>авто</v>
      </c>
      <c r="F329" s="76" t="str">
        <v/>
      </c>
      <c r="G329" s="47" t="str">
        <v>QF11</v>
      </c>
      <c r="H329" s="47" t="str">
        <v>1P С16А</v>
      </c>
      <c r="I329" s="75" t="str">
        <v/>
      </c>
      <c r="J329" s="76" t="str">
        <v/>
      </c>
      <c r="K329" s="76" t="str">
        <v/>
      </c>
      <c r="L329" s="75" t="str">
        <v/>
      </c>
      <c r="M329" s="49" t="str">
        <v/>
      </c>
      <c r="N329" s="76" t="str">
        <v/>
      </c>
      <c r="O329" s="49" t="str">
        <v/>
      </c>
      <c r="P329" s="77" t="str">
        <v/>
      </c>
      <c r="Q329" s="53" t="str">
        <v>ВВГнг(А)-LS (3х2,5) L=66-4,83%</v>
      </c>
      <c r="R329" s="54" t="str">
        <v>OV.4.1.4</v>
      </c>
      <c r="S329" s="55" t="str">
        <v>Обогревл ливнестоков Кровля</v>
      </c>
      <c r="T329" s="56">
        <v>2.16</v>
      </c>
      <c r="U329" s="56">
        <v>9.85</v>
      </c>
      <c r="V329" s="42" t="str">
        <v>L2</v>
      </c>
      <c r="W329" s="57" t="str">
        <v>ok</v>
      </c>
      <c r="X329" s="58" t="str">
        <v/>
      </c>
      <c r="Y329" s="75" t="str">
        <v/>
      </c>
      <c r="Z329" s="59">
        <v>9.8453414324967756</v>
      </c>
      <c r="AA329" s="61">
        <v>16</v>
      </c>
      <c r="AB329" s="61">
        <v>25</v>
      </c>
      <c r="AC329" s="61" t="str">
        <v/>
      </c>
      <c r="AD329" s="62" t="str">
        <v>QF11</v>
      </c>
      <c r="AE329" s="62" t="str">
        <v>потери 7,3 % &gt; 4 %</v>
      </c>
      <c r="AF329" s="34">
        <v>11</v>
      </c>
      <c r="AG329" s="34" t="str">
        <v>QF11</v>
      </c>
      <c r="AH329" s="34" t="str">
        <v/>
      </c>
      <c r="AI329" s="34" t="str">
        <v/>
      </c>
      <c r="AJ329" s="34" t="str">
        <v>QF11</v>
      </c>
      <c r="AK329" s="34">
        <v>1</v>
      </c>
      <c r="AL329" s="34" t="str">
        <v>OV</v>
      </c>
      <c r="AM329" s="34">
        <v>0</v>
      </c>
      <c r="AN329" s="34">
        <v>0</v>
      </c>
      <c r="AO329" s="34">
        <v>16</v>
      </c>
      <c r="AP329" s="34">
        <v>25</v>
      </c>
      <c r="AQ329" s="34">
        <v>16</v>
      </c>
      <c r="AR329" s="34">
        <v>1</v>
      </c>
      <c r="AS329" s="34">
        <v>0</v>
      </c>
      <c r="AT329" s="34" t="str">
        <v>1P</v>
      </c>
      <c r="AU329" s="34">
        <v>16</v>
      </c>
      <c r="AV329" s="34" t="str">
        <v/>
      </c>
      <c r="AW329" s="34" t="str">
        <v/>
      </c>
      <c r="AX329" s="34" t="str">
        <v/>
      </c>
      <c r="AY329" s="34">
        <v>1</v>
      </c>
      <c r="AZ329" s="34" t="str">
        <v/>
      </c>
      <c r="BA329" s="34">
        <v>0</v>
      </c>
      <c r="BB329" s="34">
        <v>0</v>
      </c>
      <c r="BD329" s="34">
        <v>1</v>
      </c>
      <c r="BE329" s="34">
        <v>0</v>
      </c>
      <c r="BF329" s="34">
        <v>0</v>
      </c>
      <c r="BG329" s="34" t="str">
        <v/>
      </c>
      <c r="BH329" s="34" t="str">
        <v/>
      </c>
      <c r="BI329" s="34" t="str">
        <v/>
      </c>
      <c r="BJ329" s="34" t="str">
        <v/>
      </c>
      <c r="BK329" s="34" t="str">
        <v>BOX</v>
      </c>
      <c r="BL329" s="34">
        <v>1</v>
      </c>
      <c r="BM329" s="34" t="str">
        <v/>
      </c>
      <c r="BN329" s="34" t="str">
        <v/>
      </c>
      <c r="BO329" s="34" t="str">
        <v/>
      </c>
      <c r="BP329" s="34" t="str">
        <v/>
      </c>
      <c r="BQ329" s="34" t="str">
        <v>3х2,5</v>
      </c>
      <c r="BR329" s="34" t="str">
        <v/>
      </c>
      <c r="BS329" s="34" t="str">
        <v/>
      </c>
      <c r="BT329" s="34" t="str">
        <v/>
      </c>
      <c r="BU329" s="34">
        <v>1</v>
      </c>
      <c r="BV329" s="34">
        <v>350</v>
      </c>
      <c r="BW329" s="34">
        <v>1</v>
      </c>
      <c r="BX329" s="34">
        <v>0</v>
      </c>
      <c r="BY329" s="34" t="str">
        <v/>
      </c>
      <c r="BZ329">
        <v>17</v>
      </c>
      <c r="CA329" t="str">
        <v>линии</v>
      </c>
    </row>
    <row r="330" spans="1:79" x14ac:dyDescent="0.3">
      <c r="A330" s="39"/>
      <c r="B330" s="42"/>
      <c r="C330" s="42"/>
      <c r="D330" s="75"/>
      <c r="E330" s="75"/>
      <c r="F330" s="76"/>
      <c r="G330" s="47"/>
      <c r="H330" s="47"/>
      <c r="I330" s="75"/>
      <c r="J330" s="76"/>
      <c r="K330" s="76"/>
      <c r="L330" s="75"/>
      <c r="M330" s="49"/>
      <c r="N330" s="76"/>
      <c r="O330" s="49"/>
      <c r="P330" s="77"/>
      <c r="Q330" s="53"/>
      <c r="R330" s="54"/>
      <c r="S330" s="55"/>
      <c r="T330" s="56"/>
      <c r="U330" s="56"/>
      <c r="V330" s="42"/>
      <c r="W330" s="57"/>
      <c r="X330" s="58"/>
      <c r="Y330" s="75"/>
      <c r="Z330" s="59"/>
      <c r="AA330" s="61"/>
      <c r="AB330" s="61"/>
      <c r="AC330" s="61"/>
      <c r="AD330" s="62"/>
      <c r="AE330" s="62"/>
      <c r="AF330" s="34"/>
      <c r="AG330" s="34"/>
      <c r="AH330" s="34"/>
      <c r="AI330" s="34"/>
      <c r="AJ330" s="34"/>
      <c r="AK330" s="34"/>
      <c r="AL330" s="34"/>
      <c r="AM330" s="34"/>
      <c r="AN330" s="34"/>
      <c r="AO330" s="34"/>
      <c r="AP330" s="34"/>
      <c r="AQ330" s="34"/>
      <c r="AR330" s="34"/>
      <c r="AS330" s="34"/>
      <c r="AT330" s="34"/>
      <c r="AU330" s="34"/>
      <c r="AV330" s="34"/>
      <c r="AW330" s="34"/>
      <c r="AX330" s="34"/>
      <c r="AY330" s="34"/>
      <c r="AZ330" s="34"/>
      <c r="BA330" s="34"/>
      <c r="BB330" s="34"/>
      <c r="BD330" s="34"/>
      <c r="BE330" s="34"/>
      <c r="BF330" s="34"/>
      <c r="BG330" s="34"/>
      <c r="BH330" s="34"/>
      <c r="BI330" s="34"/>
      <c r="BJ330" s="34"/>
      <c r="BK330" s="34"/>
      <c r="BL330" s="34"/>
      <c r="BM330" s="34"/>
      <c r="BN330" s="34"/>
      <c r="BO330" s="34"/>
      <c r="BP330" s="34"/>
      <c r="BQ330" s="34"/>
      <c r="BR330" s="34"/>
      <c r="BS330" s="34"/>
      <c r="BT330" s="34"/>
      <c r="BU330" s="34"/>
      <c r="BV330" s="34"/>
      <c r="BW330" s="34"/>
      <c r="BX330" s="34"/>
      <c r="BY330" s="34"/>
    </row>
    <row r="331" spans="1:79" x14ac:dyDescent="0.3">
      <c r="A331" s="39"/>
      <c r="B331" s="42"/>
      <c r="C331" s="42"/>
      <c r="D331" s="75"/>
      <c r="E331" s="75"/>
      <c r="F331" s="76"/>
      <c r="G331" s="47"/>
      <c r="H331" s="47"/>
      <c r="I331" s="75"/>
      <c r="J331" s="76"/>
      <c r="K331" s="76"/>
      <c r="L331" s="75"/>
      <c r="M331" s="49"/>
      <c r="N331" s="76"/>
      <c r="O331" s="49"/>
      <c r="P331" s="77"/>
      <c r="Q331" s="53"/>
      <c r="R331" s="54"/>
      <c r="S331" s="55"/>
      <c r="T331" s="56"/>
      <c r="U331" s="56"/>
      <c r="V331" s="42"/>
      <c r="W331" s="57"/>
      <c r="X331" s="58"/>
      <c r="Y331" s="75"/>
      <c r="Z331" s="59"/>
      <c r="AA331" s="61"/>
      <c r="AB331" s="61"/>
      <c r="AC331" s="61"/>
      <c r="AD331" s="62"/>
      <c r="AE331" s="62"/>
      <c r="AF331" s="34"/>
      <c r="AG331" s="34"/>
      <c r="AH331" s="34"/>
      <c r="AI331" s="34"/>
      <c r="AJ331" s="34"/>
      <c r="AK331" s="34"/>
      <c r="AL331" s="34"/>
      <c r="AM331" s="34"/>
      <c r="AN331" s="34"/>
      <c r="AO331" s="34"/>
      <c r="AP331" s="34"/>
      <c r="AQ331" s="34"/>
      <c r="AR331" s="34"/>
      <c r="AS331" s="34"/>
      <c r="AT331" s="34"/>
      <c r="AU331" s="34"/>
      <c r="AV331" s="34"/>
      <c r="AW331" s="34"/>
      <c r="AX331" s="34"/>
      <c r="AY331" s="34"/>
      <c r="AZ331" s="34"/>
      <c r="BA331" s="34"/>
      <c r="BB331" s="34"/>
      <c r="BD331" s="34"/>
      <c r="BE331" s="34"/>
      <c r="BF331" s="34"/>
      <c r="BG331" s="34"/>
      <c r="BH331" s="34"/>
      <c r="BI331" s="34"/>
      <c r="BJ331" s="34"/>
      <c r="BK331" s="34"/>
      <c r="BL331" s="34"/>
      <c r="BM331" s="34"/>
      <c r="BN331" s="34"/>
      <c r="BO331" s="34"/>
      <c r="BP331" s="34"/>
      <c r="BQ331" s="34"/>
      <c r="BR331" s="34"/>
      <c r="BS331" s="34"/>
      <c r="BT331" s="34"/>
      <c r="BU331" s="34"/>
      <c r="BV331" s="34"/>
      <c r="BW331" s="34"/>
      <c r="BX331" s="34"/>
      <c r="BY331" s="34"/>
    </row>
    <row r="332" spans="1:79" x14ac:dyDescent="0.3">
      <c r="A332" s="39"/>
      <c r="B332" s="42"/>
      <c r="C332" s="42"/>
      <c r="D332" s="75"/>
      <c r="E332" s="75"/>
      <c r="F332" s="76"/>
      <c r="G332" s="47"/>
      <c r="H332" s="47"/>
      <c r="I332" s="75"/>
      <c r="J332" s="76"/>
      <c r="K332" s="76"/>
      <c r="L332" s="75"/>
      <c r="M332" s="49"/>
      <c r="N332" s="76"/>
      <c r="O332" s="49"/>
      <c r="P332" s="77"/>
      <c r="Q332" s="53"/>
      <c r="R332" s="54"/>
      <c r="S332" s="55"/>
      <c r="T332" s="56"/>
      <c r="U332" s="56"/>
      <c r="V332" s="42"/>
      <c r="W332" s="57"/>
      <c r="X332" s="58"/>
      <c r="Y332" s="75"/>
      <c r="Z332" s="59"/>
      <c r="AA332" s="61"/>
      <c r="AB332" s="61"/>
      <c r="AC332" s="61"/>
      <c r="AD332" s="62"/>
      <c r="AE332" s="62"/>
      <c r="AF332" s="34"/>
      <c r="AG332" s="34"/>
      <c r="AH332" s="34"/>
      <c r="AI332" s="34"/>
      <c r="AJ332" s="34"/>
      <c r="AK332" s="34"/>
      <c r="AL332" s="34"/>
      <c r="AM332" s="34"/>
      <c r="AN332" s="34"/>
      <c r="AO332" s="34"/>
      <c r="AP332" s="34"/>
      <c r="AQ332" s="34"/>
      <c r="AR332" s="34"/>
      <c r="AS332" s="34"/>
      <c r="AT332" s="34"/>
      <c r="AU332" s="34"/>
      <c r="AV332" s="34"/>
      <c r="AW332" s="34"/>
      <c r="AX332" s="34"/>
      <c r="AY332" s="34"/>
      <c r="AZ332" s="34"/>
      <c r="BA332" s="34"/>
      <c r="BB332" s="34"/>
      <c r="BD332" s="34"/>
      <c r="BE332" s="34"/>
      <c r="BF332" s="34"/>
      <c r="BG332" s="34"/>
      <c r="BH332" s="34"/>
      <c r="BI332" s="34"/>
      <c r="BJ332" s="34"/>
      <c r="BK332" s="34"/>
      <c r="BL332" s="34"/>
      <c r="BM332" s="34"/>
      <c r="BN332" s="34"/>
      <c r="BO332" s="34"/>
      <c r="BP332" s="34"/>
      <c r="BQ332" s="34"/>
      <c r="BR332" s="34"/>
      <c r="BS332" s="34"/>
      <c r="BT332" s="34"/>
      <c r="BU332" s="34"/>
      <c r="BV332" s="34"/>
      <c r="BW332" s="34"/>
      <c r="BX332" s="34"/>
      <c r="BY332" s="34"/>
    </row>
    <row r="333" spans="1:79" x14ac:dyDescent="0.3">
      <c r="A333" s="39"/>
      <c r="B333" s="42"/>
      <c r="C333" s="42"/>
      <c r="D333" s="75"/>
      <c r="E333" s="75"/>
      <c r="F333" s="76"/>
      <c r="G333" s="47"/>
      <c r="H333" s="47"/>
      <c r="I333" s="75"/>
      <c r="J333" s="76"/>
      <c r="K333" s="76"/>
      <c r="L333" s="75"/>
      <c r="M333" s="49"/>
      <c r="N333" s="76"/>
      <c r="O333" s="49"/>
      <c r="P333" s="77"/>
      <c r="Q333" s="53"/>
      <c r="R333" s="54"/>
      <c r="S333" s="55"/>
      <c r="T333" s="56"/>
      <c r="U333" s="56"/>
      <c r="V333" s="42"/>
      <c r="W333" s="57"/>
      <c r="X333" s="58"/>
      <c r="Y333" s="75"/>
      <c r="Z333" s="59"/>
      <c r="AA333" s="61"/>
      <c r="AB333" s="61"/>
      <c r="AC333" s="61"/>
      <c r="AD333" s="62"/>
      <c r="AE333" s="62"/>
      <c r="AF333" s="34"/>
      <c r="AG333" s="34"/>
      <c r="AH333" s="34"/>
      <c r="AI333" s="34"/>
      <c r="AJ333" s="34"/>
      <c r="AK333" s="34"/>
      <c r="AL333" s="34"/>
      <c r="AM333" s="34"/>
      <c r="AN333" s="34"/>
      <c r="AO333" s="34"/>
      <c r="AP333" s="34"/>
      <c r="AQ333" s="34"/>
      <c r="AR333" s="34"/>
      <c r="AS333" s="34"/>
      <c r="AT333" s="34"/>
      <c r="AU333" s="34"/>
      <c r="AV333" s="34"/>
      <c r="AW333" s="34"/>
      <c r="AX333" s="34"/>
      <c r="AY333" s="34"/>
      <c r="AZ333" s="34"/>
      <c r="BA333" s="34"/>
      <c r="BB333" s="34"/>
      <c r="BD333" s="34"/>
      <c r="BE333" s="34"/>
      <c r="BF333" s="34"/>
      <c r="BG333" s="34"/>
      <c r="BH333" s="34"/>
      <c r="BI333" s="34"/>
      <c r="BJ333" s="34"/>
      <c r="BK333" s="34"/>
      <c r="BL333" s="34"/>
      <c r="BM333" s="34"/>
      <c r="BN333" s="34"/>
      <c r="BO333" s="34"/>
      <c r="BP333" s="34"/>
      <c r="BQ333" s="34"/>
      <c r="BR333" s="34"/>
      <c r="BS333" s="34"/>
      <c r="BT333" s="34"/>
      <c r="BU333" s="34"/>
      <c r="BV333" s="34"/>
      <c r="BW333" s="34"/>
      <c r="BX333" s="34"/>
      <c r="BY333" s="34"/>
    </row>
    <row r="334" spans="1:79" x14ac:dyDescent="0.3">
      <c r="A334" s="39"/>
      <c r="B334" s="42"/>
      <c r="C334" s="42"/>
      <c r="D334" s="75"/>
      <c r="E334" s="75"/>
      <c r="F334" s="76"/>
      <c r="G334" s="47"/>
      <c r="H334" s="47"/>
      <c r="I334" s="75"/>
      <c r="J334" s="76"/>
      <c r="K334" s="76"/>
      <c r="L334" s="75"/>
      <c r="M334" s="49"/>
      <c r="N334" s="76"/>
      <c r="O334" s="49"/>
      <c r="P334" s="77"/>
      <c r="Q334" s="53"/>
      <c r="R334" s="54"/>
      <c r="S334" s="55"/>
      <c r="T334" s="56"/>
      <c r="U334" s="56"/>
      <c r="V334" s="42"/>
      <c r="W334" s="57"/>
      <c r="X334" s="58"/>
      <c r="Y334" s="75"/>
      <c r="Z334" s="59"/>
      <c r="AA334" s="61"/>
      <c r="AB334" s="61"/>
      <c r="AC334" s="61"/>
      <c r="AD334" s="62"/>
      <c r="AE334" s="62"/>
      <c r="AF334" s="34"/>
      <c r="AG334" s="34"/>
      <c r="AH334" s="34"/>
      <c r="AI334" s="34"/>
      <c r="AJ334" s="34"/>
      <c r="AK334" s="34"/>
      <c r="AL334" s="34"/>
      <c r="AM334" s="34"/>
      <c r="AN334" s="34"/>
      <c r="AO334" s="34"/>
      <c r="AP334" s="34"/>
      <c r="AQ334" s="34"/>
      <c r="AR334" s="34"/>
      <c r="AS334" s="34"/>
      <c r="AT334" s="34"/>
      <c r="AU334" s="34"/>
      <c r="AV334" s="34"/>
      <c r="AW334" s="34"/>
      <c r="AX334" s="34"/>
      <c r="AY334" s="34"/>
      <c r="AZ334" s="34"/>
      <c r="BA334" s="34"/>
      <c r="BB334" s="34"/>
      <c r="BD334" s="34"/>
      <c r="BE334" s="34"/>
      <c r="BF334" s="34"/>
      <c r="BG334" s="34"/>
      <c r="BH334" s="34"/>
      <c r="BI334" s="34"/>
      <c r="BJ334" s="34"/>
      <c r="BK334" s="34"/>
      <c r="BL334" s="34"/>
      <c r="BM334" s="34"/>
      <c r="BN334" s="34"/>
      <c r="BO334" s="34"/>
      <c r="BP334" s="34"/>
      <c r="BQ334" s="34"/>
      <c r="BR334" s="34"/>
      <c r="BS334" s="34"/>
      <c r="BT334" s="34"/>
      <c r="BU334" s="34"/>
      <c r="BV334" s="34"/>
      <c r="BW334" s="34"/>
      <c r="BX334" s="34"/>
      <c r="BY334" s="34"/>
    </row>
    <row r="335" spans="1:79" x14ac:dyDescent="0.3">
      <c r="A335" s="39"/>
      <c r="B335" s="42"/>
      <c r="C335" s="42"/>
      <c r="D335" s="75"/>
      <c r="E335" s="75"/>
      <c r="F335" s="76"/>
      <c r="G335" s="47"/>
      <c r="H335" s="47"/>
      <c r="I335" s="75"/>
      <c r="J335" s="76"/>
      <c r="K335" s="76"/>
      <c r="L335" s="75"/>
      <c r="M335" s="49"/>
      <c r="N335" s="76"/>
      <c r="O335" s="49"/>
      <c r="P335" s="77"/>
      <c r="Q335" s="53"/>
      <c r="R335" s="54"/>
      <c r="S335" s="55"/>
      <c r="T335" s="56"/>
      <c r="U335" s="56"/>
      <c r="V335" s="42"/>
      <c r="W335" s="57"/>
      <c r="X335" s="58"/>
      <c r="Y335" s="75"/>
      <c r="Z335" s="59"/>
      <c r="AA335" s="61"/>
      <c r="AB335" s="61"/>
      <c r="AC335" s="61"/>
      <c r="AD335" s="62"/>
      <c r="AE335" s="62"/>
      <c r="AF335" s="34"/>
      <c r="AG335" s="34"/>
      <c r="AH335" s="34"/>
      <c r="AI335" s="34"/>
      <c r="AJ335" s="34"/>
      <c r="AK335" s="34"/>
      <c r="AL335" s="34"/>
      <c r="AM335" s="34"/>
      <c r="AN335" s="34"/>
      <c r="AO335" s="34"/>
      <c r="AP335" s="34"/>
      <c r="AQ335" s="34"/>
      <c r="AR335" s="34"/>
      <c r="AS335" s="34"/>
      <c r="AT335" s="34"/>
      <c r="AU335" s="34"/>
      <c r="AV335" s="34"/>
      <c r="AW335" s="34"/>
      <c r="AX335" s="34"/>
      <c r="AY335" s="34"/>
      <c r="AZ335" s="34"/>
      <c r="BA335" s="34"/>
      <c r="BB335" s="34"/>
      <c r="BD335" s="34"/>
      <c r="BE335" s="34"/>
      <c r="BF335" s="34"/>
      <c r="BG335" s="34"/>
      <c r="BH335" s="34"/>
      <c r="BI335" s="34"/>
      <c r="BJ335" s="34"/>
      <c r="BK335" s="34"/>
      <c r="BL335" s="34"/>
      <c r="BM335" s="34"/>
      <c r="BN335" s="34"/>
      <c r="BO335" s="34"/>
      <c r="BP335" s="34"/>
      <c r="BQ335" s="34"/>
      <c r="BR335" s="34"/>
      <c r="BS335" s="34"/>
      <c r="BT335" s="34"/>
      <c r="BU335" s="34"/>
      <c r="BV335" s="34"/>
      <c r="BW335" s="34"/>
      <c r="BX335" s="34"/>
      <c r="BY335" s="34"/>
    </row>
    <row r="336" spans="1:79" x14ac:dyDescent="0.3">
      <c r="A336" s="39"/>
      <c r="B336" s="42"/>
      <c r="C336" s="42"/>
      <c r="D336" s="75"/>
      <c r="E336" s="75"/>
      <c r="F336" s="76"/>
      <c r="G336" s="47"/>
      <c r="H336" s="47"/>
      <c r="I336" s="75"/>
      <c r="J336" s="76"/>
      <c r="K336" s="76"/>
      <c r="L336" s="75"/>
      <c r="M336" s="49"/>
      <c r="N336" s="76"/>
      <c r="O336" s="49"/>
      <c r="P336" s="77"/>
      <c r="Q336" s="53"/>
      <c r="R336" s="54"/>
      <c r="S336" s="55"/>
      <c r="T336" s="56"/>
      <c r="U336" s="56"/>
      <c r="V336" s="42"/>
      <c r="W336" s="57"/>
      <c r="X336" s="58"/>
      <c r="Y336" s="75"/>
      <c r="Z336" s="59"/>
      <c r="AA336" s="61"/>
      <c r="AB336" s="61"/>
      <c r="AC336" s="61"/>
      <c r="AD336" s="62"/>
      <c r="AE336" s="62"/>
      <c r="AF336" s="34"/>
      <c r="AG336" s="34"/>
      <c r="AH336" s="34"/>
      <c r="AI336" s="34"/>
      <c r="AJ336" s="34"/>
      <c r="AK336" s="34"/>
      <c r="AL336" s="34"/>
      <c r="AM336" s="34"/>
      <c r="AN336" s="34"/>
      <c r="AO336" s="34"/>
      <c r="AP336" s="34"/>
      <c r="AQ336" s="34"/>
      <c r="AR336" s="34"/>
      <c r="AS336" s="34"/>
      <c r="AT336" s="34"/>
      <c r="AU336" s="34"/>
      <c r="AV336" s="34"/>
      <c r="AW336" s="34"/>
      <c r="AX336" s="34"/>
      <c r="AY336" s="34"/>
      <c r="AZ336" s="34"/>
      <c r="BA336" s="34"/>
      <c r="BB336" s="34"/>
      <c r="BD336" s="34"/>
      <c r="BE336" s="34"/>
      <c r="BF336" s="34"/>
      <c r="BG336" s="34"/>
      <c r="BH336" s="34"/>
      <c r="BI336" s="34"/>
      <c r="BJ336" s="34"/>
      <c r="BK336" s="34"/>
      <c r="BL336" s="34"/>
      <c r="BM336" s="34"/>
      <c r="BN336" s="34"/>
      <c r="BO336" s="34"/>
      <c r="BP336" s="34"/>
      <c r="BQ336" s="34"/>
      <c r="BR336" s="34"/>
      <c r="BS336" s="34"/>
      <c r="BT336" s="34"/>
      <c r="BU336" s="34"/>
      <c r="BV336" s="34"/>
      <c r="BW336" s="34"/>
      <c r="BX336" s="34"/>
      <c r="BY336" s="34"/>
    </row>
    <row r="337" spans="1:77" x14ac:dyDescent="0.3">
      <c r="A337" s="39"/>
      <c r="B337" s="42"/>
      <c r="C337" s="42"/>
      <c r="D337" s="75"/>
      <c r="E337" s="75"/>
      <c r="F337" s="76"/>
      <c r="G337" s="47"/>
      <c r="H337" s="47"/>
      <c r="I337" s="75"/>
      <c r="J337" s="76"/>
      <c r="K337" s="76"/>
      <c r="L337" s="75"/>
      <c r="M337" s="49"/>
      <c r="N337" s="76"/>
      <c r="O337" s="49"/>
      <c r="P337" s="77"/>
      <c r="Q337" s="53"/>
      <c r="R337" s="54"/>
      <c r="S337" s="55"/>
      <c r="T337" s="56"/>
      <c r="U337" s="56"/>
      <c r="V337" s="42"/>
      <c r="W337" s="57"/>
      <c r="X337" s="58"/>
      <c r="Y337" s="75"/>
      <c r="Z337" s="59"/>
      <c r="AA337" s="61"/>
      <c r="AB337" s="61"/>
      <c r="AC337" s="61"/>
      <c r="AD337" s="62"/>
      <c r="AE337" s="62"/>
      <c r="AF337" s="34"/>
      <c r="AG337" s="34"/>
      <c r="AH337" s="34"/>
      <c r="AI337" s="34"/>
      <c r="AJ337" s="34"/>
      <c r="AK337" s="34"/>
      <c r="AL337" s="34"/>
      <c r="AM337" s="34"/>
      <c r="AN337" s="34"/>
      <c r="AO337" s="34"/>
      <c r="AP337" s="34"/>
      <c r="AQ337" s="34"/>
      <c r="AR337" s="34"/>
      <c r="AS337" s="34"/>
      <c r="AT337" s="34"/>
      <c r="AU337" s="34"/>
      <c r="AV337" s="34"/>
      <c r="AW337" s="34"/>
      <c r="AX337" s="34"/>
      <c r="AY337" s="34"/>
      <c r="AZ337" s="34"/>
      <c r="BA337" s="34"/>
      <c r="BB337" s="34"/>
      <c r="BD337" s="34"/>
      <c r="BE337" s="34"/>
      <c r="BF337" s="34"/>
      <c r="BG337" s="34"/>
      <c r="BH337" s="34"/>
      <c r="BI337" s="34"/>
      <c r="BJ337" s="34"/>
      <c r="BK337" s="34"/>
      <c r="BL337" s="34"/>
      <c r="BM337" s="34"/>
      <c r="BN337" s="34"/>
      <c r="BO337" s="34"/>
      <c r="BP337" s="34"/>
      <c r="BQ337" s="34"/>
      <c r="BR337" s="34"/>
      <c r="BS337" s="34"/>
      <c r="BT337" s="34"/>
      <c r="BU337" s="34"/>
      <c r="BV337" s="34"/>
      <c r="BW337" s="34"/>
      <c r="BX337" s="34"/>
      <c r="BY337" s="34"/>
    </row>
    <row r="338" spans="1:77" x14ac:dyDescent="0.3">
      <c r="A338" s="39"/>
      <c r="B338" s="42"/>
      <c r="C338" s="42"/>
      <c r="D338" s="75"/>
      <c r="E338" s="75"/>
      <c r="F338" s="76"/>
      <c r="G338" s="47"/>
      <c r="H338" s="47"/>
      <c r="I338" s="75"/>
      <c r="J338" s="76"/>
      <c r="K338" s="76"/>
      <c r="L338" s="75"/>
      <c r="M338" s="49"/>
      <c r="N338" s="76"/>
      <c r="O338" s="49"/>
      <c r="P338" s="77"/>
      <c r="Q338" s="53"/>
      <c r="R338" s="54"/>
      <c r="S338" s="55"/>
      <c r="T338" s="56"/>
      <c r="U338" s="56"/>
      <c r="V338" s="42"/>
      <c r="W338" s="57"/>
      <c r="X338" s="58"/>
      <c r="Y338" s="75"/>
      <c r="Z338" s="59"/>
      <c r="AA338" s="61"/>
      <c r="AB338" s="61"/>
      <c r="AC338" s="61"/>
      <c r="AD338" s="62"/>
      <c r="AE338" s="62"/>
      <c r="AF338" s="34"/>
      <c r="AG338" s="34"/>
      <c r="AH338" s="34"/>
      <c r="AI338" s="34"/>
      <c r="AJ338" s="34"/>
      <c r="AK338" s="34"/>
      <c r="AL338" s="34"/>
      <c r="AM338" s="34"/>
      <c r="AN338" s="34"/>
      <c r="AO338" s="34"/>
      <c r="AP338" s="34"/>
      <c r="AQ338" s="34"/>
      <c r="AR338" s="34"/>
      <c r="AS338" s="34"/>
      <c r="AT338" s="34"/>
      <c r="AU338" s="34"/>
      <c r="AV338" s="34"/>
      <c r="AW338" s="34"/>
      <c r="AX338" s="34"/>
      <c r="AY338" s="34"/>
      <c r="AZ338" s="34"/>
      <c r="BA338" s="34"/>
      <c r="BB338" s="34"/>
      <c r="BD338" s="34"/>
      <c r="BE338" s="34"/>
      <c r="BF338" s="34"/>
      <c r="BG338" s="34"/>
      <c r="BH338" s="34"/>
      <c r="BI338" s="34"/>
      <c r="BJ338" s="34"/>
      <c r="BK338" s="34"/>
      <c r="BL338" s="34"/>
      <c r="BM338" s="34"/>
      <c r="BN338" s="34"/>
      <c r="BO338" s="34"/>
      <c r="BP338" s="34"/>
      <c r="BQ338" s="34"/>
      <c r="BR338" s="34"/>
      <c r="BS338" s="34"/>
      <c r="BT338" s="34"/>
      <c r="BU338" s="34"/>
      <c r="BV338" s="34"/>
      <c r="BW338" s="34"/>
      <c r="BX338" s="34"/>
      <c r="BY338" s="34"/>
    </row>
    <row r="339" spans="1:77" x14ac:dyDescent="0.3">
      <c r="A339" s="39"/>
      <c r="B339" s="42"/>
      <c r="C339" s="42"/>
      <c r="D339" s="75"/>
      <c r="E339" s="75"/>
      <c r="F339" s="76"/>
      <c r="G339" s="47"/>
      <c r="H339" s="47"/>
      <c r="I339" s="75"/>
      <c r="J339" s="76"/>
      <c r="K339" s="76"/>
      <c r="L339" s="75"/>
      <c r="M339" s="49"/>
      <c r="N339" s="76"/>
      <c r="O339" s="49"/>
      <c r="P339" s="77"/>
      <c r="Q339" s="53"/>
      <c r="R339" s="54"/>
      <c r="S339" s="55"/>
      <c r="T339" s="56"/>
      <c r="U339" s="56"/>
      <c r="V339" s="42"/>
      <c r="W339" s="57"/>
      <c r="X339" s="58"/>
      <c r="Y339" s="75"/>
      <c r="Z339" s="59"/>
      <c r="AA339" s="61"/>
      <c r="AB339" s="61"/>
      <c r="AC339" s="61"/>
      <c r="AD339" s="62"/>
      <c r="AE339" s="62"/>
      <c r="AF339" s="34"/>
      <c r="AG339" s="34"/>
      <c r="AH339" s="34"/>
      <c r="AI339" s="34"/>
      <c r="AJ339" s="34"/>
      <c r="AK339" s="34"/>
      <c r="AL339" s="34"/>
      <c r="AM339" s="34"/>
      <c r="AN339" s="34"/>
      <c r="AO339" s="34"/>
      <c r="AP339" s="34"/>
      <c r="AQ339" s="34"/>
      <c r="AR339" s="34"/>
      <c r="AS339" s="34"/>
      <c r="AT339" s="34"/>
      <c r="AU339" s="34"/>
      <c r="AV339" s="34"/>
      <c r="AW339" s="34"/>
      <c r="AX339" s="34"/>
      <c r="AY339" s="34"/>
      <c r="AZ339" s="34"/>
      <c r="BA339" s="34"/>
      <c r="BB339" s="34"/>
      <c r="BD339" s="34"/>
      <c r="BE339" s="34"/>
      <c r="BF339" s="34"/>
      <c r="BG339" s="34"/>
      <c r="BH339" s="34"/>
      <c r="BI339" s="34"/>
      <c r="BJ339" s="34"/>
      <c r="BK339" s="34"/>
      <c r="BL339" s="34"/>
      <c r="BM339" s="34"/>
      <c r="BN339" s="34"/>
      <c r="BO339" s="34"/>
      <c r="BP339" s="34"/>
      <c r="BQ339" s="34"/>
      <c r="BR339" s="34"/>
      <c r="BS339" s="34"/>
      <c r="BT339" s="34"/>
      <c r="BU339" s="34"/>
      <c r="BV339" s="34"/>
      <c r="BW339" s="34"/>
      <c r="BX339" s="34"/>
      <c r="BY339" s="34"/>
    </row>
    <row r="340" spans="1:77" x14ac:dyDescent="0.3">
      <c r="A340" s="39"/>
      <c r="B340" s="42"/>
      <c r="C340" s="42"/>
      <c r="D340" s="75"/>
      <c r="E340" s="75"/>
      <c r="F340" s="76"/>
      <c r="G340" s="47"/>
      <c r="H340" s="47"/>
      <c r="I340" s="75"/>
      <c r="J340" s="76"/>
      <c r="K340" s="76"/>
      <c r="L340" s="75"/>
      <c r="M340" s="49"/>
      <c r="N340" s="76"/>
      <c r="O340" s="49"/>
      <c r="P340" s="77"/>
      <c r="Q340" s="53"/>
      <c r="R340" s="54"/>
      <c r="S340" s="55"/>
      <c r="T340" s="56"/>
      <c r="U340" s="56"/>
      <c r="V340" s="42"/>
      <c r="W340" s="57"/>
      <c r="X340" s="58"/>
      <c r="Y340" s="75"/>
      <c r="Z340" s="59"/>
      <c r="AA340" s="61"/>
      <c r="AB340" s="61"/>
      <c r="AC340" s="61"/>
      <c r="AD340" s="62"/>
      <c r="AE340" s="62"/>
      <c r="AF340" s="34"/>
      <c r="AG340" s="34"/>
      <c r="AH340" s="34"/>
      <c r="AI340" s="34"/>
      <c r="AJ340" s="34"/>
      <c r="AK340" s="34"/>
      <c r="AL340" s="34"/>
      <c r="AM340" s="34"/>
      <c r="AN340" s="34"/>
      <c r="AO340" s="34"/>
      <c r="AP340" s="34"/>
      <c r="AQ340" s="34"/>
      <c r="AR340" s="34"/>
      <c r="AS340" s="34"/>
      <c r="AT340" s="34"/>
      <c r="AU340" s="34"/>
      <c r="AV340" s="34"/>
      <c r="AW340" s="34"/>
      <c r="AX340" s="34"/>
      <c r="AY340" s="34"/>
      <c r="AZ340" s="34"/>
      <c r="BA340" s="34"/>
      <c r="BB340" s="34"/>
      <c r="BD340" s="34"/>
      <c r="BE340" s="34"/>
      <c r="BF340" s="34"/>
      <c r="BG340" s="34"/>
      <c r="BH340" s="34"/>
      <c r="BI340" s="34"/>
      <c r="BJ340" s="34"/>
      <c r="BK340" s="34"/>
      <c r="BL340" s="34"/>
      <c r="BM340" s="34"/>
      <c r="BN340" s="34"/>
      <c r="BO340" s="34"/>
      <c r="BP340" s="34"/>
      <c r="BQ340" s="34"/>
      <c r="BR340" s="34"/>
      <c r="BS340" s="34"/>
      <c r="BT340" s="34"/>
      <c r="BU340" s="34"/>
      <c r="BV340" s="34"/>
      <c r="BW340" s="34"/>
      <c r="BX340" s="34"/>
      <c r="BY340" s="34"/>
    </row>
    <row r="341" spans="1:77" x14ac:dyDescent="0.3">
      <c r="A341" s="39"/>
      <c r="B341" s="42"/>
      <c r="C341" s="42"/>
      <c r="D341" s="75"/>
      <c r="E341" s="75"/>
      <c r="F341" s="76"/>
      <c r="G341" s="47"/>
      <c r="H341" s="47"/>
      <c r="I341" s="75"/>
      <c r="J341" s="76"/>
      <c r="K341" s="76"/>
      <c r="L341" s="75"/>
      <c r="M341" s="49"/>
      <c r="N341" s="76"/>
      <c r="O341" s="49"/>
      <c r="P341" s="77"/>
      <c r="Q341" s="53"/>
      <c r="R341" s="54"/>
      <c r="S341" s="55"/>
      <c r="T341" s="56"/>
      <c r="U341" s="56"/>
      <c r="V341" s="42"/>
      <c r="W341" s="57"/>
      <c r="X341" s="58"/>
      <c r="Y341" s="75"/>
      <c r="Z341" s="59"/>
      <c r="AA341" s="61"/>
      <c r="AB341" s="61"/>
      <c r="AC341" s="61"/>
      <c r="AD341" s="62"/>
      <c r="AE341" s="62"/>
      <c r="AF341" s="34"/>
      <c r="AG341" s="34"/>
      <c r="AH341" s="34"/>
      <c r="AI341" s="34"/>
      <c r="AJ341" s="34"/>
      <c r="AK341" s="34"/>
      <c r="AL341" s="34"/>
      <c r="AM341" s="34"/>
      <c r="AN341" s="34"/>
      <c r="AO341" s="34"/>
      <c r="AP341" s="34"/>
      <c r="AQ341" s="34"/>
      <c r="AR341" s="34"/>
      <c r="AS341" s="34"/>
      <c r="AT341" s="34"/>
      <c r="AU341" s="34"/>
      <c r="AV341" s="34"/>
      <c r="AW341" s="34"/>
      <c r="AX341" s="34"/>
      <c r="AY341" s="34"/>
      <c r="AZ341" s="34"/>
      <c r="BA341" s="34"/>
      <c r="BB341" s="34"/>
      <c r="BD341" s="34"/>
      <c r="BE341" s="34"/>
      <c r="BF341" s="34"/>
      <c r="BG341" s="34"/>
      <c r="BH341" s="34"/>
      <c r="BI341" s="34"/>
      <c r="BJ341" s="34"/>
      <c r="BK341" s="34"/>
      <c r="BL341" s="34"/>
      <c r="BM341" s="34"/>
      <c r="BN341" s="34"/>
      <c r="BO341" s="34"/>
      <c r="BP341" s="34"/>
      <c r="BQ341" s="34"/>
      <c r="BR341" s="34"/>
      <c r="BS341" s="34"/>
      <c r="BT341" s="34"/>
      <c r="BU341" s="34"/>
      <c r="BV341" s="34"/>
      <c r="BW341" s="34"/>
      <c r="BX341" s="34"/>
      <c r="BY341" s="34"/>
    </row>
    <row r="342" spans="1:77" x14ac:dyDescent="0.3">
      <c r="A342" s="39"/>
      <c r="B342" s="42"/>
      <c r="C342" s="42"/>
      <c r="D342" s="75"/>
      <c r="E342" s="75"/>
      <c r="F342" s="76"/>
      <c r="G342" s="47"/>
      <c r="H342" s="47"/>
      <c r="I342" s="75"/>
      <c r="J342" s="76"/>
      <c r="K342" s="76"/>
      <c r="L342" s="75"/>
      <c r="M342" s="49"/>
      <c r="N342" s="76"/>
      <c r="O342" s="49"/>
      <c r="P342" s="77"/>
      <c r="Q342" s="53"/>
      <c r="R342" s="54"/>
      <c r="S342" s="55"/>
      <c r="T342" s="56"/>
      <c r="U342" s="56"/>
      <c r="V342" s="42"/>
      <c r="W342" s="57"/>
      <c r="X342" s="58"/>
      <c r="Y342" s="75"/>
      <c r="Z342" s="59"/>
      <c r="AA342" s="61"/>
      <c r="AB342" s="61"/>
      <c r="AC342" s="61"/>
      <c r="AD342" s="62"/>
      <c r="AE342" s="62"/>
      <c r="AF342" s="34"/>
      <c r="AG342" s="34"/>
      <c r="AH342" s="34"/>
      <c r="AI342" s="34"/>
      <c r="AJ342" s="34"/>
      <c r="AK342" s="34"/>
      <c r="AL342" s="34"/>
      <c r="AM342" s="34"/>
      <c r="AN342" s="34"/>
      <c r="AO342" s="34"/>
      <c r="AP342" s="34"/>
      <c r="AQ342" s="34"/>
      <c r="AR342" s="34"/>
      <c r="AS342" s="34"/>
      <c r="AT342" s="34"/>
      <c r="AU342" s="34"/>
      <c r="AV342" s="34"/>
      <c r="AW342" s="34"/>
      <c r="AX342" s="34"/>
      <c r="AY342" s="34"/>
      <c r="AZ342" s="34"/>
      <c r="BA342" s="34"/>
      <c r="BB342" s="34"/>
      <c r="BD342" s="34"/>
      <c r="BE342" s="34"/>
      <c r="BF342" s="34"/>
      <c r="BG342" s="34"/>
      <c r="BH342" s="34"/>
      <c r="BI342" s="34"/>
      <c r="BJ342" s="34"/>
      <c r="BK342" s="34"/>
      <c r="BL342" s="34"/>
      <c r="BM342" s="34"/>
      <c r="BN342" s="34"/>
      <c r="BO342" s="34"/>
      <c r="BP342" s="34"/>
      <c r="BQ342" s="34"/>
      <c r="BR342" s="34"/>
      <c r="BS342" s="34"/>
      <c r="BT342" s="34"/>
      <c r="BU342" s="34"/>
      <c r="BV342" s="34"/>
      <c r="BW342" s="34"/>
      <c r="BX342" s="34"/>
      <c r="BY342" s="34"/>
    </row>
    <row r="343" spans="1:77" x14ac:dyDescent="0.3">
      <c r="A343" s="39"/>
      <c r="B343" s="42"/>
      <c r="C343" s="42"/>
      <c r="D343" s="75"/>
      <c r="E343" s="75"/>
      <c r="F343" s="76"/>
      <c r="G343" s="47"/>
      <c r="H343" s="47"/>
      <c r="I343" s="75"/>
      <c r="J343" s="76"/>
      <c r="K343" s="76"/>
      <c r="L343" s="75"/>
      <c r="M343" s="49"/>
      <c r="N343" s="76"/>
      <c r="O343" s="49"/>
      <c r="P343" s="77"/>
      <c r="Q343" s="53"/>
      <c r="R343" s="54"/>
      <c r="S343" s="55"/>
      <c r="T343" s="56"/>
      <c r="U343" s="56"/>
      <c r="V343" s="42"/>
      <c r="W343" s="57"/>
      <c r="X343" s="58"/>
      <c r="Y343" s="75"/>
      <c r="Z343" s="59"/>
      <c r="AA343" s="61"/>
      <c r="AB343" s="61"/>
      <c r="AC343" s="61"/>
      <c r="AD343" s="62"/>
      <c r="AE343" s="62"/>
      <c r="AF343" s="34"/>
      <c r="AG343" s="34"/>
      <c r="AH343" s="34"/>
      <c r="AI343" s="34"/>
      <c r="AJ343" s="34"/>
      <c r="AK343" s="34"/>
      <c r="AL343" s="34"/>
      <c r="AM343" s="34"/>
      <c r="AN343" s="34"/>
      <c r="AO343" s="34"/>
      <c r="AP343" s="34"/>
      <c r="AQ343" s="34"/>
      <c r="AR343" s="34"/>
      <c r="AS343" s="34"/>
      <c r="AT343" s="34"/>
      <c r="AU343" s="34"/>
      <c r="AV343" s="34"/>
      <c r="AW343" s="34"/>
      <c r="AX343" s="34"/>
      <c r="AY343" s="34"/>
      <c r="AZ343" s="34"/>
      <c r="BA343" s="34"/>
      <c r="BB343" s="34"/>
      <c r="BD343" s="34"/>
      <c r="BE343" s="34"/>
      <c r="BF343" s="34"/>
      <c r="BG343" s="34"/>
      <c r="BH343" s="34"/>
      <c r="BI343" s="34"/>
      <c r="BJ343" s="34"/>
      <c r="BK343" s="34"/>
      <c r="BL343" s="34"/>
      <c r="BM343" s="34"/>
      <c r="BN343" s="34"/>
      <c r="BO343" s="34"/>
      <c r="BP343" s="34"/>
      <c r="BQ343" s="34"/>
      <c r="BR343" s="34"/>
      <c r="BS343" s="34"/>
      <c r="BT343" s="34"/>
      <c r="BU343" s="34"/>
      <c r="BV343" s="34"/>
      <c r="BW343" s="34"/>
      <c r="BX343" s="34"/>
      <c r="BY343" s="34"/>
    </row>
    <row r="344" spans="1:77" x14ac:dyDescent="0.3">
      <c r="A344" s="39"/>
      <c r="B344" s="42"/>
      <c r="C344" s="42"/>
      <c r="D344" s="75"/>
      <c r="E344" s="75"/>
      <c r="F344" s="76"/>
      <c r="G344" s="47"/>
      <c r="H344" s="47"/>
      <c r="I344" s="75"/>
      <c r="J344" s="76"/>
      <c r="K344" s="76"/>
      <c r="L344" s="75"/>
      <c r="M344" s="49"/>
      <c r="N344" s="76"/>
      <c r="O344" s="49"/>
      <c r="P344" s="77"/>
      <c r="Q344" s="53"/>
      <c r="R344" s="54"/>
      <c r="S344" s="55"/>
      <c r="T344" s="56"/>
      <c r="U344" s="56"/>
      <c r="V344" s="42"/>
      <c r="W344" s="57"/>
      <c r="X344" s="58"/>
      <c r="Y344" s="75"/>
      <c r="Z344" s="59"/>
      <c r="AA344" s="61"/>
      <c r="AB344" s="61"/>
      <c r="AC344" s="61"/>
      <c r="AD344" s="62"/>
      <c r="AE344" s="62"/>
      <c r="AF344" s="34"/>
      <c r="AG344" s="34"/>
      <c r="AH344" s="34"/>
      <c r="AI344" s="34"/>
      <c r="AJ344" s="34"/>
      <c r="AK344" s="34"/>
      <c r="AL344" s="34"/>
      <c r="AM344" s="34"/>
      <c r="AN344" s="34"/>
      <c r="AO344" s="34"/>
      <c r="AP344" s="34"/>
      <c r="AQ344" s="34"/>
      <c r="AR344" s="34"/>
      <c r="AS344" s="34"/>
      <c r="AT344" s="34"/>
      <c r="AU344" s="34"/>
      <c r="AV344" s="34"/>
      <c r="AW344" s="34"/>
      <c r="AX344" s="34"/>
      <c r="AY344" s="34"/>
      <c r="AZ344" s="34"/>
      <c r="BA344" s="34"/>
      <c r="BB344" s="34"/>
      <c r="BD344" s="34"/>
      <c r="BE344" s="34"/>
      <c r="BF344" s="34"/>
      <c r="BG344" s="34"/>
      <c r="BH344" s="34"/>
      <c r="BI344" s="34"/>
      <c r="BJ344" s="34"/>
      <c r="BK344" s="34"/>
      <c r="BL344" s="34"/>
      <c r="BM344" s="34"/>
      <c r="BN344" s="34"/>
      <c r="BO344" s="34"/>
      <c r="BP344" s="34"/>
      <c r="BQ344" s="34"/>
      <c r="BR344" s="34"/>
      <c r="BS344" s="34"/>
      <c r="BT344" s="34"/>
      <c r="BU344" s="34"/>
      <c r="BV344" s="34"/>
      <c r="BW344" s="34"/>
      <c r="BX344" s="34"/>
      <c r="BY344" s="34"/>
    </row>
    <row r="345" spans="1:77" x14ac:dyDescent="0.3">
      <c r="A345" s="39"/>
      <c r="B345" s="42"/>
      <c r="C345" s="42"/>
      <c r="D345" s="75"/>
      <c r="E345" s="75"/>
      <c r="F345" s="76"/>
      <c r="G345" s="47"/>
      <c r="H345" s="47"/>
      <c r="I345" s="75"/>
      <c r="J345" s="76"/>
      <c r="K345" s="76"/>
      <c r="L345" s="75"/>
      <c r="M345" s="49"/>
      <c r="N345" s="76"/>
      <c r="O345" s="49"/>
      <c r="P345" s="77"/>
      <c r="Q345" s="53"/>
      <c r="R345" s="54"/>
      <c r="S345" s="55"/>
      <c r="T345" s="56"/>
      <c r="U345" s="56"/>
      <c r="V345" s="42"/>
      <c r="W345" s="57"/>
      <c r="X345" s="58"/>
      <c r="Y345" s="75"/>
      <c r="Z345" s="59"/>
      <c r="AA345" s="61"/>
      <c r="AB345" s="61"/>
      <c r="AC345" s="61"/>
      <c r="AD345" s="62"/>
      <c r="AE345" s="62"/>
      <c r="AF345" s="34"/>
      <c r="AG345" s="34"/>
      <c r="AH345" s="34"/>
      <c r="AI345" s="34"/>
      <c r="AJ345" s="34"/>
      <c r="AK345" s="34"/>
      <c r="AL345" s="34"/>
      <c r="AM345" s="34"/>
      <c r="AN345" s="34"/>
      <c r="AO345" s="34"/>
      <c r="AP345" s="34"/>
      <c r="AQ345" s="34"/>
      <c r="AR345" s="34"/>
      <c r="AS345" s="34"/>
      <c r="AT345" s="34"/>
      <c r="AU345" s="34"/>
      <c r="AV345" s="34"/>
      <c r="AW345" s="34"/>
      <c r="AX345" s="34"/>
      <c r="AY345" s="34"/>
      <c r="AZ345" s="34"/>
      <c r="BA345" s="34"/>
      <c r="BB345" s="34"/>
      <c r="BD345" s="34"/>
      <c r="BE345" s="34"/>
      <c r="BF345" s="34"/>
      <c r="BG345" s="34"/>
      <c r="BH345" s="34"/>
      <c r="BI345" s="34"/>
      <c r="BJ345" s="34"/>
      <c r="BK345" s="34"/>
      <c r="BL345" s="34"/>
      <c r="BM345" s="34"/>
      <c r="BN345" s="34"/>
      <c r="BO345" s="34"/>
      <c r="BP345" s="34"/>
      <c r="BQ345" s="34"/>
      <c r="BR345" s="34"/>
      <c r="BS345" s="34"/>
      <c r="BT345" s="34"/>
      <c r="BU345" s="34"/>
      <c r="BV345" s="34"/>
      <c r="BW345" s="34"/>
      <c r="BX345" s="34"/>
      <c r="BY345" s="34"/>
    </row>
    <row r="346" spans="1:77" x14ac:dyDescent="0.3">
      <c r="A346" s="39"/>
      <c r="B346" s="42"/>
      <c r="C346" s="42"/>
      <c r="D346" s="75"/>
      <c r="E346" s="75"/>
      <c r="F346" s="76"/>
      <c r="G346" s="47"/>
      <c r="H346" s="47"/>
      <c r="I346" s="75"/>
      <c r="J346" s="76"/>
      <c r="K346" s="76"/>
      <c r="L346" s="75"/>
      <c r="M346" s="49"/>
      <c r="N346" s="76"/>
      <c r="O346" s="49"/>
      <c r="P346" s="77"/>
      <c r="Q346" s="53"/>
      <c r="R346" s="54"/>
      <c r="S346" s="55"/>
      <c r="T346" s="56"/>
      <c r="U346" s="56"/>
      <c r="V346" s="42"/>
      <c r="W346" s="57"/>
      <c r="X346" s="58"/>
      <c r="Y346" s="75"/>
      <c r="Z346" s="59"/>
      <c r="AA346" s="61"/>
      <c r="AB346" s="61"/>
      <c r="AC346" s="61"/>
      <c r="AD346" s="62"/>
      <c r="AE346" s="62"/>
      <c r="AF346" s="34"/>
      <c r="AG346" s="34"/>
      <c r="AH346" s="34"/>
      <c r="AI346" s="34"/>
      <c r="AJ346" s="34"/>
      <c r="AK346" s="34"/>
      <c r="AL346" s="34"/>
      <c r="AM346" s="34"/>
      <c r="AN346" s="34"/>
      <c r="AO346" s="34"/>
      <c r="AP346" s="34"/>
      <c r="AQ346" s="34"/>
      <c r="AR346" s="34"/>
      <c r="AS346" s="34"/>
      <c r="AT346" s="34"/>
      <c r="AU346" s="34"/>
      <c r="AV346" s="34"/>
      <c r="AW346" s="34"/>
      <c r="AX346" s="34"/>
      <c r="AY346" s="34"/>
      <c r="AZ346" s="34"/>
      <c r="BA346" s="34"/>
      <c r="BB346" s="34"/>
      <c r="BD346" s="34"/>
      <c r="BE346" s="34"/>
      <c r="BF346" s="34"/>
      <c r="BG346" s="34"/>
      <c r="BH346" s="34"/>
      <c r="BI346" s="34"/>
      <c r="BJ346" s="34"/>
      <c r="BK346" s="34"/>
      <c r="BL346" s="34"/>
      <c r="BM346" s="34"/>
      <c r="BN346" s="34"/>
      <c r="BO346" s="34"/>
      <c r="BP346" s="34"/>
      <c r="BQ346" s="34"/>
      <c r="BR346" s="34"/>
      <c r="BS346" s="34"/>
      <c r="BT346" s="34"/>
      <c r="BU346" s="34"/>
      <c r="BV346" s="34"/>
      <c r="BW346" s="34"/>
      <c r="BX346" s="34"/>
      <c r="BY346" s="34"/>
    </row>
    <row r="347" spans="1:77" x14ac:dyDescent="0.3">
      <c r="A347" s="39"/>
      <c r="B347" s="42"/>
      <c r="C347" s="42"/>
      <c r="D347" s="75"/>
      <c r="E347" s="75"/>
      <c r="F347" s="76"/>
      <c r="G347" s="47"/>
      <c r="H347" s="47"/>
      <c r="I347" s="75"/>
      <c r="J347" s="76"/>
      <c r="K347" s="76"/>
      <c r="L347" s="75"/>
      <c r="M347" s="49"/>
      <c r="N347" s="76"/>
      <c r="O347" s="49"/>
      <c r="P347" s="77"/>
      <c r="Q347" s="53"/>
      <c r="R347" s="54"/>
      <c r="S347" s="55"/>
      <c r="T347" s="56"/>
      <c r="U347" s="56"/>
      <c r="V347" s="42"/>
      <c r="W347" s="57"/>
      <c r="X347" s="58"/>
      <c r="Y347" s="75"/>
      <c r="Z347" s="59"/>
      <c r="AA347" s="61"/>
      <c r="AB347" s="61"/>
      <c r="AC347" s="61"/>
      <c r="AD347" s="62"/>
      <c r="AE347" s="62"/>
      <c r="AF347" s="34"/>
      <c r="AG347" s="34"/>
      <c r="AH347" s="34"/>
      <c r="AI347" s="34"/>
      <c r="AJ347" s="34"/>
      <c r="AK347" s="34"/>
      <c r="AL347" s="34"/>
      <c r="AM347" s="34"/>
      <c r="AN347" s="34"/>
      <c r="AO347" s="34"/>
      <c r="AP347" s="34"/>
      <c r="AQ347" s="34"/>
      <c r="AR347" s="34"/>
      <c r="AS347" s="34"/>
      <c r="AT347" s="34"/>
      <c r="AU347" s="34"/>
      <c r="AV347" s="34"/>
      <c r="AW347" s="34"/>
      <c r="AX347" s="34"/>
      <c r="AY347" s="34"/>
      <c r="AZ347" s="34"/>
      <c r="BA347" s="34"/>
      <c r="BB347" s="34"/>
      <c r="BD347" s="34"/>
      <c r="BE347" s="34"/>
      <c r="BF347" s="34"/>
      <c r="BG347" s="34"/>
      <c r="BH347" s="34"/>
      <c r="BI347" s="34"/>
      <c r="BJ347" s="34"/>
      <c r="BK347" s="34"/>
      <c r="BL347" s="34"/>
      <c r="BM347" s="34"/>
      <c r="BN347" s="34"/>
      <c r="BO347" s="34"/>
      <c r="BP347" s="34"/>
      <c r="BQ347" s="34"/>
      <c r="BR347" s="34"/>
      <c r="BS347" s="34"/>
      <c r="BT347" s="34"/>
      <c r="BU347" s="34"/>
      <c r="BV347" s="34"/>
      <c r="BW347" s="34"/>
      <c r="BX347" s="34"/>
      <c r="BY347" s="34"/>
    </row>
    <row r="348" spans="1:77" x14ac:dyDescent="0.3">
      <c r="A348" s="39"/>
      <c r="B348" s="42"/>
      <c r="C348" s="42"/>
      <c r="D348" s="75"/>
      <c r="E348" s="75"/>
      <c r="F348" s="76"/>
      <c r="G348" s="47"/>
      <c r="H348" s="47"/>
      <c r="I348" s="75"/>
      <c r="J348" s="76"/>
      <c r="K348" s="76"/>
      <c r="L348" s="75"/>
      <c r="M348" s="49"/>
      <c r="N348" s="76"/>
      <c r="O348" s="49"/>
      <c r="P348" s="77"/>
      <c r="Q348" s="53"/>
      <c r="R348" s="54"/>
      <c r="S348" s="55"/>
      <c r="T348" s="56"/>
      <c r="U348" s="56"/>
      <c r="V348" s="42"/>
      <c r="W348" s="57"/>
      <c r="X348" s="58"/>
      <c r="Y348" s="75"/>
      <c r="Z348" s="59"/>
      <c r="AA348" s="61"/>
      <c r="AB348" s="61"/>
      <c r="AC348" s="61"/>
      <c r="AD348" s="62"/>
      <c r="AE348" s="62"/>
      <c r="AF348" s="34"/>
      <c r="AG348" s="34"/>
      <c r="AH348" s="34"/>
      <c r="AI348" s="34"/>
      <c r="AJ348" s="34"/>
      <c r="AK348" s="34"/>
      <c r="AL348" s="34"/>
      <c r="AM348" s="34"/>
      <c r="AN348" s="34"/>
      <c r="AO348" s="34"/>
      <c r="AP348" s="34"/>
      <c r="AQ348" s="34"/>
      <c r="AR348" s="34"/>
      <c r="AS348" s="34"/>
      <c r="AT348" s="34"/>
      <c r="AU348" s="34"/>
      <c r="AV348" s="34"/>
      <c r="AW348" s="34"/>
      <c r="AX348" s="34"/>
      <c r="AY348" s="34"/>
      <c r="AZ348" s="34"/>
      <c r="BA348" s="34"/>
      <c r="BB348" s="34"/>
      <c r="BD348" s="34"/>
      <c r="BE348" s="34"/>
      <c r="BF348" s="34"/>
      <c r="BG348" s="34"/>
      <c r="BH348" s="34"/>
      <c r="BI348" s="34"/>
      <c r="BJ348" s="34"/>
      <c r="BK348" s="34"/>
      <c r="BL348" s="34"/>
      <c r="BM348" s="34"/>
      <c r="BN348" s="34"/>
      <c r="BO348" s="34"/>
      <c r="BP348" s="34"/>
      <c r="BQ348" s="34"/>
      <c r="BR348" s="34"/>
      <c r="BS348" s="34"/>
      <c r="BT348" s="34"/>
      <c r="BU348" s="34"/>
      <c r="BV348" s="34"/>
      <c r="BW348" s="34"/>
      <c r="BX348" s="34"/>
      <c r="BY348" s="34"/>
    </row>
    <row r="349" spans="1:77" x14ac:dyDescent="0.3">
      <c r="A349" s="39"/>
      <c r="B349" s="42"/>
      <c r="C349" s="42"/>
      <c r="D349" s="75"/>
      <c r="E349" s="75"/>
      <c r="F349" s="76"/>
      <c r="G349" s="47"/>
      <c r="H349" s="47"/>
      <c r="I349" s="75"/>
      <c r="J349" s="76"/>
      <c r="K349" s="76"/>
      <c r="L349" s="75"/>
      <c r="M349" s="49"/>
      <c r="N349" s="76"/>
      <c r="O349" s="49"/>
      <c r="P349" s="77"/>
      <c r="Q349" s="53"/>
      <c r="R349" s="54"/>
      <c r="S349" s="55"/>
      <c r="T349" s="56"/>
      <c r="U349" s="56"/>
      <c r="V349" s="42"/>
      <c r="W349" s="57"/>
      <c r="X349" s="58"/>
      <c r="Y349" s="75"/>
      <c r="Z349" s="59"/>
      <c r="AA349" s="61"/>
      <c r="AB349" s="61"/>
      <c r="AC349" s="61"/>
      <c r="AD349" s="62"/>
      <c r="AE349" s="62"/>
      <c r="AF349" s="34"/>
      <c r="AG349" s="34"/>
      <c r="AH349" s="34"/>
      <c r="AI349" s="34"/>
      <c r="AJ349" s="34"/>
      <c r="AK349" s="34"/>
      <c r="AL349" s="34"/>
      <c r="AM349" s="34"/>
      <c r="AN349" s="34"/>
      <c r="AO349" s="34"/>
      <c r="AP349" s="34"/>
      <c r="AQ349" s="34"/>
      <c r="AR349" s="34"/>
      <c r="AS349" s="34"/>
      <c r="AT349" s="34"/>
      <c r="AU349" s="34"/>
      <c r="AV349" s="34"/>
      <c r="AW349" s="34"/>
      <c r="AX349" s="34"/>
      <c r="AY349" s="34"/>
      <c r="AZ349" s="34"/>
      <c r="BA349" s="34"/>
      <c r="BB349" s="34"/>
      <c r="BD349" s="34"/>
      <c r="BE349" s="34"/>
      <c r="BF349" s="34"/>
      <c r="BG349" s="34"/>
      <c r="BH349" s="34"/>
      <c r="BI349" s="34"/>
      <c r="BJ349" s="34"/>
      <c r="BK349" s="34"/>
      <c r="BL349" s="34"/>
      <c r="BM349" s="34"/>
      <c r="BN349" s="34"/>
      <c r="BO349" s="34"/>
      <c r="BP349" s="34"/>
      <c r="BQ349" s="34"/>
      <c r="BR349" s="34"/>
      <c r="BS349" s="34"/>
      <c r="BT349" s="34"/>
      <c r="BU349" s="34"/>
      <c r="BV349" s="34"/>
      <c r="BW349" s="34"/>
      <c r="BX349" s="34"/>
      <c r="BY349" s="34"/>
    </row>
    <row r="350" spans="1:77" x14ac:dyDescent="0.3">
      <c r="A350" s="39"/>
      <c r="B350" s="42"/>
      <c r="C350" s="42"/>
      <c r="D350" s="75"/>
      <c r="E350" s="75"/>
      <c r="F350" s="76"/>
      <c r="G350" s="47"/>
      <c r="H350" s="47"/>
      <c r="I350" s="75"/>
      <c r="J350" s="76"/>
      <c r="K350" s="76"/>
      <c r="L350" s="75"/>
      <c r="M350" s="49"/>
      <c r="N350" s="76"/>
      <c r="O350" s="49"/>
      <c r="P350" s="77"/>
      <c r="Q350" s="53"/>
      <c r="R350" s="54"/>
      <c r="S350" s="55"/>
      <c r="T350" s="56"/>
      <c r="U350" s="56"/>
      <c r="V350" s="42"/>
      <c r="W350" s="57"/>
      <c r="X350" s="58"/>
      <c r="Y350" s="75"/>
      <c r="Z350" s="59"/>
      <c r="AA350" s="61"/>
      <c r="AB350" s="61"/>
      <c r="AC350" s="61"/>
      <c r="AD350" s="62"/>
      <c r="AE350" s="62"/>
      <c r="AF350" s="34"/>
      <c r="AG350" s="34"/>
      <c r="AH350" s="34"/>
      <c r="AI350" s="34"/>
      <c r="AJ350" s="34"/>
      <c r="AK350" s="34"/>
      <c r="AL350" s="34"/>
      <c r="AM350" s="34"/>
      <c r="AN350" s="34"/>
      <c r="AO350" s="34"/>
      <c r="AP350" s="34"/>
      <c r="AQ350" s="34"/>
      <c r="AR350" s="34"/>
      <c r="AS350" s="34"/>
      <c r="AT350" s="34"/>
      <c r="AU350" s="34"/>
      <c r="AV350" s="34"/>
      <c r="AW350" s="34"/>
      <c r="AX350" s="34"/>
      <c r="AY350" s="34"/>
      <c r="AZ350" s="34"/>
      <c r="BA350" s="34"/>
      <c r="BB350" s="34"/>
      <c r="BD350" s="34"/>
      <c r="BE350" s="34"/>
      <c r="BF350" s="34"/>
      <c r="BG350" s="34"/>
      <c r="BH350" s="34"/>
      <c r="BI350" s="34"/>
      <c r="BJ350" s="34"/>
      <c r="BK350" s="34"/>
      <c r="BL350" s="34"/>
      <c r="BM350" s="34"/>
      <c r="BN350" s="34"/>
      <c r="BO350" s="34"/>
      <c r="BP350" s="34"/>
      <c r="BQ350" s="34"/>
      <c r="BR350" s="34"/>
      <c r="BS350" s="34"/>
      <c r="BT350" s="34"/>
      <c r="BU350" s="34"/>
      <c r="BV350" s="34"/>
      <c r="BW350" s="34"/>
      <c r="BX350" s="34"/>
      <c r="BY350" s="34"/>
    </row>
    <row r="351" spans="1:77" x14ac:dyDescent="0.3">
      <c r="A351" s="39"/>
      <c r="B351" s="42"/>
      <c r="C351" s="42"/>
      <c r="D351" s="75"/>
      <c r="E351" s="75"/>
      <c r="F351" s="76"/>
      <c r="G351" s="47"/>
      <c r="H351" s="47"/>
      <c r="I351" s="75"/>
      <c r="J351" s="76"/>
      <c r="K351" s="76"/>
      <c r="L351" s="75"/>
      <c r="M351" s="49"/>
      <c r="N351" s="76"/>
      <c r="O351" s="49"/>
      <c r="P351" s="77"/>
      <c r="Q351" s="53"/>
      <c r="R351" s="54"/>
      <c r="S351" s="55"/>
      <c r="T351" s="56"/>
      <c r="U351" s="56"/>
      <c r="V351" s="42"/>
      <c r="W351" s="57"/>
      <c r="X351" s="58"/>
      <c r="Y351" s="75"/>
      <c r="Z351" s="59"/>
      <c r="AA351" s="61"/>
      <c r="AB351" s="61"/>
      <c r="AC351" s="61"/>
      <c r="AD351" s="62"/>
      <c r="AE351" s="62"/>
      <c r="AF351" s="34"/>
      <c r="AG351" s="34"/>
      <c r="AH351" s="34"/>
      <c r="AI351" s="34"/>
      <c r="AJ351" s="34"/>
      <c r="AK351" s="34"/>
      <c r="AL351" s="34"/>
      <c r="AM351" s="34"/>
      <c r="AN351" s="34"/>
      <c r="AO351" s="34"/>
      <c r="AP351" s="34"/>
      <c r="AQ351" s="34"/>
      <c r="AR351" s="34"/>
      <c r="AS351" s="34"/>
      <c r="AT351" s="34"/>
      <c r="AU351" s="34"/>
      <c r="AV351" s="34"/>
      <c r="AW351" s="34"/>
      <c r="AX351" s="34"/>
      <c r="AY351" s="34"/>
      <c r="AZ351" s="34"/>
      <c r="BA351" s="34"/>
      <c r="BB351" s="34"/>
      <c r="BD351" s="34"/>
      <c r="BE351" s="34"/>
      <c r="BF351" s="34"/>
      <c r="BG351" s="34"/>
      <c r="BH351" s="34"/>
      <c r="BI351" s="34"/>
      <c r="BJ351" s="34"/>
      <c r="BK351" s="34"/>
      <c r="BL351" s="34"/>
      <c r="BM351" s="34"/>
      <c r="BN351" s="34"/>
      <c r="BO351" s="34"/>
      <c r="BP351" s="34"/>
      <c r="BQ351" s="34"/>
      <c r="BR351" s="34"/>
      <c r="BS351" s="34"/>
      <c r="BT351" s="34"/>
      <c r="BU351" s="34"/>
      <c r="BV351" s="34"/>
      <c r="BW351" s="34"/>
      <c r="BX351" s="34"/>
      <c r="BY351" s="34"/>
    </row>
    <row r="352" spans="1:77" x14ac:dyDescent="0.3">
      <c r="A352" s="39"/>
      <c r="B352" s="42"/>
      <c r="C352" s="42"/>
      <c r="D352" s="75"/>
      <c r="E352" s="75"/>
      <c r="F352" s="76"/>
      <c r="G352" s="47"/>
      <c r="H352" s="47"/>
      <c r="I352" s="75"/>
      <c r="J352" s="76"/>
      <c r="K352" s="76"/>
      <c r="L352" s="75"/>
      <c r="M352" s="49"/>
      <c r="N352" s="76"/>
      <c r="O352" s="49"/>
      <c r="P352" s="77"/>
      <c r="Q352" s="53"/>
      <c r="R352" s="54"/>
      <c r="S352" s="55"/>
      <c r="T352" s="56"/>
      <c r="U352" s="56"/>
      <c r="V352" s="42"/>
      <c r="W352" s="57"/>
      <c r="X352" s="58"/>
      <c r="Y352" s="75"/>
      <c r="Z352" s="59"/>
      <c r="AA352" s="61"/>
      <c r="AB352" s="61"/>
      <c r="AC352" s="61"/>
      <c r="AD352" s="62"/>
      <c r="AE352" s="62"/>
      <c r="AF352" s="34"/>
      <c r="AG352" s="34"/>
      <c r="AH352" s="34"/>
      <c r="AI352" s="34"/>
      <c r="AJ352" s="34"/>
      <c r="AK352" s="34"/>
      <c r="AL352" s="34"/>
      <c r="AM352" s="34"/>
      <c r="AN352" s="34"/>
      <c r="AO352" s="34"/>
      <c r="AP352" s="34"/>
      <c r="AQ352" s="34"/>
      <c r="AR352" s="34"/>
      <c r="AS352" s="34"/>
      <c r="AT352" s="34"/>
      <c r="AU352" s="34"/>
      <c r="AV352" s="34"/>
      <c r="AW352" s="34"/>
      <c r="AX352" s="34"/>
      <c r="AY352" s="34"/>
      <c r="AZ352" s="34"/>
      <c r="BA352" s="34"/>
      <c r="BB352" s="34"/>
      <c r="BD352" s="34"/>
      <c r="BE352" s="34"/>
      <c r="BF352" s="34"/>
      <c r="BG352" s="34"/>
      <c r="BH352" s="34"/>
      <c r="BI352" s="34"/>
      <c r="BJ352" s="34"/>
      <c r="BK352" s="34"/>
      <c r="BL352" s="34"/>
      <c r="BM352" s="34"/>
      <c r="BN352" s="34"/>
      <c r="BO352" s="34"/>
      <c r="BP352" s="34"/>
      <c r="BQ352" s="34"/>
      <c r="BR352" s="34"/>
      <c r="BS352" s="34"/>
      <c r="BT352" s="34"/>
      <c r="BU352" s="34"/>
      <c r="BV352" s="34"/>
      <c r="BW352" s="34"/>
      <c r="BX352" s="34"/>
      <c r="BY352" s="34"/>
    </row>
    <row r="353" spans="1:77" x14ac:dyDescent="0.3">
      <c r="A353" s="39"/>
      <c r="B353" s="42"/>
      <c r="C353" s="42"/>
      <c r="D353" s="75"/>
      <c r="E353" s="75"/>
      <c r="F353" s="76"/>
      <c r="G353" s="47"/>
      <c r="H353" s="47"/>
      <c r="I353" s="75"/>
      <c r="J353" s="76"/>
      <c r="K353" s="76"/>
      <c r="L353" s="75"/>
      <c r="M353" s="49"/>
      <c r="N353" s="76"/>
      <c r="O353" s="49"/>
      <c r="P353" s="77"/>
      <c r="Q353" s="53"/>
      <c r="R353" s="54"/>
      <c r="S353" s="55"/>
      <c r="T353" s="56"/>
      <c r="U353" s="56"/>
      <c r="V353" s="42"/>
      <c r="W353" s="57"/>
      <c r="X353" s="58"/>
      <c r="Y353" s="75"/>
      <c r="Z353" s="59"/>
      <c r="AA353" s="61"/>
      <c r="AB353" s="61"/>
      <c r="AC353" s="61"/>
      <c r="AD353" s="62"/>
      <c r="AE353" s="62"/>
      <c r="AF353" s="34"/>
      <c r="AG353" s="34"/>
      <c r="AH353" s="34"/>
      <c r="AI353" s="34"/>
      <c r="AJ353" s="34"/>
      <c r="AK353" s="34"/>
      <c r="AL353" s="34"/>
      <c r="AM353" s="34"/>
      <c r="AN353" s="34"/>
      <c r="AO353" s="34"/>
      <c r="AP353" s="34"/>
      <c r="AQ353" s="34"/>
      <c r="AR353" s="34"/>
      <c r="AS353" s="34"/>
      <c r="AT353" s="34"/>
      <c r="AU353" s="34"/>
      <c r="AV353" s="34"/>
      <c r="AW353" s="34"/>
      <c r="AX353" s="34"/>
      <c r="AY353" s="34"/>
      <c r="AZ353" s="34"/>
      <c r="BA353" s="34"/>
      <c r="BB353" s="34"/>
      <c r="BD353" s="34"/>
      <c r="BE353" s="34"/>
      <c r="BF353" s="34"/>
      <c r="BG353" s="34"/>
      <c r="BH353" s="34"/>
      <c r="BI353" s="34"/>
      <c r="BJ353" s="34"/>
      <c r="BK353" s="34"/>
      <c r="BL353" s="34"/>
      <c r="BM353" s="34"/>
      <c r="BN353" s="34"/>
      <c r="BO353" s="34"/>
      <c r="BP353" s="34"/>
      <c r="BQ353" s="34"/>
      <c r="BR353" s="34"/>
      <c r="BS353" s="34"/>
      <c r="BT353" s="34"/>
      <c r="BU353" s="34"/>
      <c r="BV353" s="34"/>
      <c r="BW353" s="34"/>
      <c r="BX353" s="34"/>
      <c r="BY353" s="34"/>
    </row>
    <row r="354" spans="1:77" x14ac:dyDescent="0.3">
      <c r="A354" s="39"/>
      <c r="B354" s="42"/>
      <c r="C354" s="42"/>
      <c r="D354" s="75"/>
      <c r="E354" s="75"/>
      <c r="F354" s="76"/>
      <c r="G354" s="47"/>
      <c r="H354" s="47"/>
      <c r="I354" s="75"/>
      <c r="J354" s="76"/>
      <c r="K354" s="76"/>
      <c r="L354" s="75"/>
      <c r="M354" s="49"/>
      <c r="N354" s="76"/>
      <c r="O354" s="49"/>
      <c r="P354" s="77"/>
      <c r="Q354" s="53"/>
      <c r="R354" s="54"/>
      <c r="S354" s="55"/>
      <c r="T354" s="56"/>
      <c r="U354" s="56"/>
      <c r="V354" s="42"/>
      <c r="W354" s="57"/>
      <c r="X354" s="58"/>
      <c r="Y354" s="75"/>
      <c r="Z354" s="59"/>
      <c r="AA354" s="61"/>
      <c r="AB354" s="61"/>
      <c r="AC354" s="61"/>
      <c r="AD354" s="62"/>
      <c r="AE354" s="62"/>
      <c r="AF354" s="34"/>
      <c r="AG354" s="34"/>
      <c r="AH354" s="34"/>
      <c r="AI354" s="34"/>
      <c r="AJ354" s="34"/>
      <c r="AK354" s="34"/>
      <c r="AL354" s="34"/>
      <c r="AM354" s="34"/>
      <c r="AN354" s="34"/>
      <c r="AO354" s="34"/>
      <c r="AP354" s="34"/>
      <c r="AQ354" s="34"/>
      <c r="AR354" s="34"/>
      <c r="AS354" s="34"/>
      <c r="AT354" s="34"/>
      <c r="AU354" s="34"/>
      <c r="AV354" s="34"/>
      <c r="AW354" s="34"/>
      <c r="AX354" s="34"/>
      <c r="AY354" s="34"/>
      <c r="AZ354" s="34"/>
      <c r="BA354" s="34"/>
      <c r="BB354" s="34"/>
      <c r="BD354" s="34"/>
      <c r="BE354" s="34"/>
      <c r="BF354" s="34"/>
      <c r="BG354" s="34"/>
      <c r="BH354" s="34"/>
      <c r="BI354" s="34"/>
      <c r="BJ354" s="34"/>
      <c r="BK354" s="34"/>
      <c r="BL354" s="34"/>
      <c r="BM354" s="34"/>
      <c r="BN354" s="34"/>
      <c r="BO354" s="34"/>
      <c r="BP354" s="34"/>
      <c r="BQ354" s="34"/>
      <c r="BR354" s="34"/>
      <c r="BS354" s="34"/>
      <c r="BT354" s="34"/>
      <c r="BU354" s="34"/>
      <c r="BV354" s="34"/>
      <c r="BW354" s="34"/>
      <c r="BX354" s="34"/>
      <c r="BY354" s="34"/>
    </row>
    <row r="355" spans="1:77" x14ac:dyDescent="0.3">
      <c r="A355" s="39"/>
      <c r="B355" s="42"/>
      <c r="C355" s="42"/>
      <c r="D355" s="75"/>
      <c r="E355" s="75"/>
      <c r="F355" s="76"/>
      <c r="G355" s="47"/>
      <c r="H355" s="47"/>
      <c r="I355" s="75"/>
      <c r="J355" s="76"/>
      <c r="K355" s="76"/>
      <c r="L355" s="75"/>
      <c r="M355" s="49"/>
      <c r="N355" s="76"/>
      <c r="O355" s="49"/>
      <c r="P355" s="77"/>
      <c r="Q355" s="53"/>
      <c r="R355" s="54"/>
      <c r="S355" s="55"/>
      <c r="T355" s="56"/>
      <c r="U355" s="56"/>
      <c r="V355" s="42"/>
      <c r="W355" s="57"/>
      <c r="X355" s="58"/>
      <c r="Y355" s="75"/>
      <c r="Z355" s="59"/>
      <c r="AA355" s="61"/>
      <c r="AB355" s="61"/>
      <c r="AC355" s="61"/>
      <c r="AD355" s="62"/>
      <c r="AE355" s="62"/>
      <c r="AF355" s="34"/>
      <c r="AG355" s="34"/>
      <c r="AH355" s="34"/>
      <c r="AI355" s="34"/>
      <c r="AJ355" s="34"/>
      <c r="AK355" s="34"/>
      <c r="AL355" s="34"/>
      <c r="AM355" s="34"/>
      <c r="AN355" s="34"/>
      <c r="AO355" s="34"/>
      <c r="AP355" s="34"/>
      <c r="AQ355" s="34"/>
      <c r="AR355" s="34"/>
      <c r="AS355" s="34"/>
      <c r="AT355" s="34"/>
      <c r="AU355" s="34"/>
      <c r="AV355" s="34"/>
      <c r="AW355" s="34"/>
      <c r="AX355" s="34"/>
      <c r="AY355" s="34"/>
      <c r="AZ355" s="34"/>
      <c r="BA355" s="34"/>
      <c r="BB355" s="34"/>
      <c r="BD355" s="34"/>
      <c r="BE355" s="34"/>
      <c r="BF355" s="34"/>
      <c r="BG355" s="34"/>
      <c r="BH355" s="34"/>
      <c r="BI355" s="34"/>
      <c r="BJ355" s="34"/>
      <c r="BK355" s="34"/>
      <c r="BL355" s="34"/>
      <c r="BM355" s="34"/>
      <c r="BN355" s="34"/>
      <c r="BO355" s="34"/>
      <c r="BP355" s="34"/>
      <c r="BQ355" s="34"/>
      <c r="BR355" s="34"/>
      <c r="BS355" s="34"/>
      <c r="BT355" s="34"/>
      <c r="BU355" s="34"/>
      <c r="BV355" s="34"/>
      <c r="BW355" s="34"/>
      <c r="BX355" s="34"/>
      <c r="BY355" s="34"/>
    </row>
    <row r="356" spans="1:77" x14ac:dyDescent="0.3">
      <c r="A356" s="39"/>
      <c r="B356" s="42"/>
      <c r="C356" s="42"/>
      <c r="D356" s="75"/>
      <c r="E356" s="75"/>
      <c r="F356" s="76"/>
      <c r="G356" s="47"/>
      <c r="H356" s="47"/>
      <c r="I356" s="75"/>
      <c r="J356" s="76"/>
      <c r="K356" s="76"/>
      <c r="L356" s="75"/>
      <c r="M356" s="49"/>
      <c r="N356" s="76"/>
      <c r="O356" s="49"/>
      <c r="P356" s="77"/>
      <c r="Q356" s="53"/>
      <c r="R356" s="54"/>
      <c r="S356" s="55"/>
      <c r="T356" s="56"/>
      <c r="U356" s="56"/>
      <c r="V356" s="42"/>
      <c r="W356" s="57"/>
      <c r="X356" s="58"/>
      <c r="Y356" s="75"/>
      <c r="Z356" s="59"/>
      <c r="AA356" s="61"/>
      <c r="AB356" s="61"/>
      <c r="AC356" s="61"/>
      <c r="AD356" s="62"/>
      <c r="AE356" s="62"/>
      <c r="AF356" s="34"/>
      <c r="AG356" s="34"/>
      <c r="AH356" s="34"/>
      <c r="AI356" s="34"/>
      <c r="AJ356" s="34"/>
      <c r="AK356" s="34"/>
      <c r="AL356" s="34"/>
      <c r="AM356" s="34"/>
      <c r="AN356" s="34"/>
      <c r="AO356" s="34"/>
      <c r="AP356" s="34"/>
      <c r="AQ356" s="34"/>
      <c r="AR356" s="34"/>
      <c r="AS356" s="34"/>
      <c r="AT356" s="34"/>
      <c r="AU356" s="34"/>
      <c r="AV356" s="34"/>
      <c r="AW356" s="34"/>
      <c r="AX356" s="34"/>
      <c r="AY356" s="34"/>
      <c r="AZ356" s="34"/>
      <c r="BA356" s="34"/>
      <c r="BB356" s="34"/>
      <c r="BD356" s="34"/>
      <c r="BE356" s="34"/>
      <c r="BF356" s="34"/>
      <c r="BG356" s="34"/>
      <c r="BH356" s="34"/>
      <c r="BI356" s="34"/>
      <c r="BJ356" s="34"/>
      <c r="BK356" s="34"/>
      <c r="BL356" s="34"/>
      <c r="BM356" s="34"/>
      <c r="BN356" s="34"/>
      <c r="BO356" s="34"/>
      <c r="BP356" s="34"/>
      <c r="BQ356" s="34"/>
      <c r="BR356" s="34"/>
      <c r="BS356" s="34"/>
      <c r="BT356" s="34"/>
      <c r="BU356" s="34"/>
      <c r="BV356" s="34"/>
      <c r="BW356" s="34"/>
      <c r="BX356" s="34"/>
      <c r="BY356" s="34"/>
    </row>
    <row r="357" spans="1:77" x14ac:dyDescent="0.3">
      <c r="A357" s="39"/>
      <c r="B357" s="42"/>
      <c r="C357" s="42"/>
      <c r="D357" s="75"/>
      <c r="E357" s="75"/>
      <c r="F357" s="76"/>
      <c r="G357" s="47"/>
      <c r="H357" s="47"/>
      <c r="I357" s="75"/>
      <c r="J357" s="76"/>
      <c r="K357" s="76"/>
      <c r="L357" s="75"/>
      <c r="M357" s="49"/>
      <c r="N357" s="76"/>
      <c r="O357" s="49"/>
      <c r="P357" s="77"/>
      <c r="Q357" s="53"/>
      <c r="R357" s="54"/>
      <c r="S357" s="55"/>
      <c r="T357" s="56"/>
      <c r="U357" s="56"/>
      <c r="V357" s="42"/>
      <c r="W357" s="57"/>
      <c r="X357" s="58"/>
      <c r="Y357" s="75"/>
      <c r="Z357" s="59"/>
      <c r="AA357" s="61"/>
      <c r="AB357" s="61"/>
      <c r="AC357" s="61"/>
      <c r="AD357" s="62"/>
      <c r="AE357" s="62"/>
      <c r="AF357" s="34"/>
      <c r="AG357" s="34"/>
      <c r="AH357" s="34"/>
      <c r="AI357" s="34"/>
      <c r="AJ357" s="34"/>
      <c r="AK357" s="34"/>
      <c r="AL357" s="34"/>
      <c r="AM357" s="34"/>
      <c r="AN357" s="34"/>
      <c r="AO357" s="34"/>
      <c r="AP357" s="34"/>
      <c r="AQ357" s="34"/>
      <c r="AR357" s="34"/>
      <c r="AS357" s="34"/>
      <c r="AT357" s="34"/>
      <c r="AU357" s="34"/>
      <c r="AV357" s="34"/>
      <c r="AW357" s="34"/>
      <c r="AX357" s="34"/>
      <c r="AY357" s="34"/>
      <c r="AZ357" s="34"/>
      <c r="BA357" s="34"/>
      <c r="BB357" s="34"/>
      <c r="BD357" s="34"/>
      <c r="BE357" s="34"/>
      <c r="BF357" s="34"/>
      <c r="BG357" s="34"/>
      <c r="BH357" s="34"/>
      <c r="BI357" s="34"/>
      <c r="BJ357" s="34"/>
      <c r="BK357" s="34"/>
      <c r="BL357" s="34"/>
      <c r="BM357" s="34"/>
      <c r="BN357" s="34"/>
      <c r="BO357" s="34"/>
      <c r="BP357" s="34"/>
      <c r="BQ357" s="34"/>
      <c r="BR357" s="34"/>
      <c r="BS357" s="34"/>
      <c r="BT357" s="34"/>
      <c r="BU357" s="34"/>
      <c r="BV357" s="34"/>
      <c r="BW357" s="34"/>
      <c r="BX357" s="34"/>
      <c r="BY357" s="34"/>
    </row>
    <row r="358" spans="1:77" x14ac:dyDescent="0.3">
      <c r="A358" s="39"/>
      <c r="B358" s="42"/>
      <c r="C358" s="42"/>
      <c r="D358" s="75"/>
      <c r="E358" s="75"/>
      <c r="F358" s="76"/>
      <c r="G358" s="47"/>
      <c r="H358" s="47"/>
      <c r="I358" s="75"/>
      <c r="J358" s="76"/>
      <c r="K358" s="76"/>
      <c r="L358" s="75"/>
      <c r="M358" s="49"/>
      <c r="N358" s="76"/>
      <c r="O358" s="49"/>
      <c r="P358" s="77"/>
      <c r="Q358" s="53"/>
      <c r="R358" s="54"/>
      <c r="S358" s="55"/>
      <c r="T358" s="56"/>
      <c r="U358" s="56"/>
      <c r="V358" s="42"/>
      <c r="W358" s="57"/>
      <c r="X358" s="58"/>
      <c r="Y358" s="75"/>
      <c r="Z358" s="59"/>
      <c r="AA358" s="61"/>
      <c r="AB358" s="61"/>
      <c r="AC358" s="61"/>
      <c r="AD358" s="62"/>
      <c r="AE358" s="62"/>
      <c r="AF358" s="34"/>
      <c r="AG358" s="34"/>
      <c r="AH358" s="34"/>
      <c r="AI358" s="34"/>
      <c r="AJ358" s="34"/>
      <c r="AK358" s="34"/>
      <c r="AL358" s="34"/>
      <c r="AM358" s="34"/>
      <c r="AN358" s="34"/>
      <c r="AO358" s="34"/>
      <c r="AP358" s="34"/>
      <c r="AQ358" s="34"/>
      <c r="AR358" s="34"/>
      <c r="AS358" s="34"/>
      <c r="AT358" s="34"/>
      <c r="AU358" s="34"/>
      <c r="AV358" s="34"/>
      <c r="AW358" s="34"/>
      <c r="AX358" s="34"/>
      <c r="AY358" s="34"/>
      <c r="AZ358" s="34"/>
      <c r="BA358" s="34"/>
      <c r="BB358" s="34"/>
      <c r="BD358" s="34"/>
      <c r="BE358" s="34"/>
      <c r="BF358" s="34"/>
      <c r="BG358" s="34"/>
      <c r="BH358" s="34"/>
      <c r="BI358" s="34"/>
      <c r="BJ358" s="34"/>
      <c r="BK358" s="34"/>
      <c r="BL358" s="34"/>
      <c r="BM358" s="34"/>
      <c r="BN358" s="34"/>
      <c r="BO358" s="34"/>
      <c r="BP358" s="34"/>
      <c r="BQ358" s="34"/>
      <c r="BR358" s="34"/>
      <c r="BS358" s="34"/>
      <c r="BT358" s="34"/>
      <c r="BU358" s="34"/>
      <c r="BV358" s="34"/>
      <c r="BW358" s="34"/>
      <c r="BX358" s="34"/>
      <c r="BY358" s="34"/>
    </row>
    <row r="359" spans="1:77" x14ac:dyDescent="0.3">
      <c r="A359" s="39"/>
      <c r="B359" s="42"/>
      <c r="C359" s="42"/>
      <c r="D359" s="75"/>
      <c r="E359" s="75"/>
      <c r="F359" s="76"/>
      <c r="G359" s="47"/>
      <c r="H359" s="47"/>
      <c r="I359" s="75"/>
      <c r="J359" s="76"/>
      <c r="K359" s="76"/>
      <c r="L359" s="75"/>
      <c r="M359" s="49"/>
      <c r="N359" s="76"/>
      <c r="O359" s="49"/>
      <c r="P359" s="77"/>
      <c r="Q359" s="53"/>
      <c r="R359" s="54"/>
      <c r="S359" s="55"/>
      <c r="T359" s="56"/>
      <c r="U359" s="56"/>
      <c r="V359" s="42"/>
      <c r="W359" s="57"/>
      <c r="X359" s="58"/>
      <c r="Y359" s="75"/>
      <c r="Z359" s="59"/>
      <c r="AA359" s="61"/>
      <c r="AB359" s="61"/>
      <c r="AC359" s="61"/>
      <c r="AD359" s="62"/>
      <c r="AE359" s="62"/>
      <c r="AF359" s="34"/>
      <c r="AG359" s="34"/>
      <c r="AH359" s="34"/>
      <c r="AI359" s="34"/>
      <c r="AJ359" s="34"/>
      <c r="AK359" s="34"/>
      <c r="AL359" s="34"/>
      <c r="AM359" s="34"/>
      <c r="AN359" s="34"/>
      <c r="AO359" s="34"/>
      <c r="AP359" s="34"/>
      <c r="AQ359" s="34"/>
      <c r="AR359" s="34"/>
      <c r="AS359" s="34"/>
      <c r="AT359" s="34"/>
      <c r="AU359" s="34"/>
      <c r="AV359" s="34"/>
      <c r="AW359" s="34"/>
      <c r="AX359" s="34"/>
      <c r="AY359" s="34"/>
      <c r="AZ359" s="34"/>
      <c r="BA359" s="34"/>
      <c r="BB359" s="34"/>
      <c r="BD359" s="34"/>
      <c r="BE359" s="34"/>
      <c r="BF359" s="34"/>
      <c r="BG359" s="34"/>
      <c r="BH359" s="34"/>
      <c r="BI359" s="34"/>
      <c r="BJ359" s="34"/>
      <c r="BK359" s="34"/>
      <c r="BL359" s="34"/>
      <c r="BM359" s="34"/>
      <c r="BN359" s="34"/>
      <c r="BO359" s="34"/>
      <c r="BP359" s="34"/>
      <c r="BQ359" s="34"/>
      <c r="BR359" s="34"/>
      <c r="BS359" s="34"/>
      <c r="BT359" s="34"/>
      <c r="BU359" s="34"/>
      <c r="BV359" s="34"/>
      <c r="BW359" s="34"/>
      <c r="BX359" s="34"/>
      <c r="BY359" s="34"/>
    </row>
    <row r="360" spans="1:77" x14ac:dyDescent="0.3">
      <c r="A360" s="39"/>
      <c r="B360" s="42"/>
      <c r="C360" s="42"/>
      <c r="D360" s="75"/>
      <c r="E360" s="75"/>
      <c r="F360" s="76"/>
      <c r="G360" s="47"/>
      <c r="H360" s="47"/>
      <c r="I360" s="75"/>
      <c r="J360" s="76"/>
      <c r="K360" s="76"/>
      <c r="L360" s="75"/>
      <c r="M360" s="49"/>
      <c r="N360" s="76"/>
      <c r="O360" s="49"/>
      <c r="P360" s="77"/>
      <c r="Q360" s="53"/>
      <c r="R360" s="54"/>
      <c r="S360" s="55"/>
      <c r="T360" s="56"/>
      <c r="U360" s="56"/>
      <c r="V360" s="42"/>
      <c r="W360" s="57"/>
      <c r="X360" s="58"/>
      <c r="Y360" s="75"/>
      <c r="Z360" s="59"/>
      <c r="AA360" s="61"/>
      <c r="AB360" s="61"/>
      <c r="AC360" s="61"/>
      <c r="AD360" s="62"/>
      <c r="AE360" s="62"/>
      <c r="AF360" s="34"/>
      <c r="AG360" s="34"/>
      <c r="AH360" s="34"/>
      <c r="AI360" s="34"/>
      <c r="AJ360" s="34"/>
      <c r="AK360" s="34"/>
      <c r="AL360" s="34"/>
      <c r="AM360" s="34"/>
      <c r="AN360" s="34"/>
      <c r="AO360" s="34"/>
      <c r="AP360" s="34"/>
      <c r="AQ360" s="34"/>
      <c r="AR360" s="34"/>
      <c r="AS360" s="34"/>
      <c r="AT360" s="34"/>
      <c r="AU360" s="34"/>
      <c r="AV360" s="34"/>
      <c r="AW360" s="34"/>
      <c r="AX360" s="34"/>
      <c r="AY360" s="34"/>
      <c r="AZ360" s="34"/>
      <c r="BA360" s="34"/>
      <c r="BB360" s="34"/>
      <c r="BD360" s="34"/>
      <c r="BE360" s="34"/>
      <c r="BF360" s="34"/>
      <c r="BG360" s="34"/>
      <c r="BH360" s="34"/>
      <c r="BI360" s="34"/>
      <c r="BJ360" s="34"/>
      <c r="BK360" s="34"/>
      <c r="BL360" s="34"/>
      <c r="BM360" s="34"/>
      <c r="BN360" s="34"/>
      <c r="BO360" s="34"/>
      <c r="BP360" s="34"/>
      <c r="BQ360" s="34"/>
      <c r="BR360" s="34"/>
      <c r="BS360" s="34"/>
      <c r="BT360" s="34"/>
      <c r="BU360" s="34"/>
      <c r="BV360" s="34"/>
      <c r="BW360" s="34"/>
      <c r="BX360" s="34"/>
      <c r="BY360" s="34"/>
    </row>
    <row r="361" spans="1:77" x14ac:dyDescent="0.3">
      <c r="A361" s="39"/>
      <c r="B361" s="42"/>
      <c r="C361" s="42"/>
      <c r="D361" s="75"/>
      <c r="E361" s="75"/>
      <c r="F361" s="76"/>
      <c r="G361" s="47"/>
      <c r="H361" s="47"/>
      <c r="I361" s="75"/>
      <c r="J361" s="76"/>
      <c r="K361" s="76"/>
      <c r="L361" s="75"/>
      <c r="M361" s="49"/>
      <c r="N361" s="76"/>
      <c r="O361" s="49"/>
      <c r="P361" s="77"/>
      <c r="Q361" s="53"/>
      <c r="R361" s="54"/>
      <c r="S361" s="55"/>
      <c r="T361" s="56"/>
      <c r="U361" s="56"/>
      <c r="V361" s="42"/>
      <c r="W361" s="57"/>
      <c r="X361" s="58"/>
      <c r="Y361" s="75"/>
      <c r="Z361" s="59"/>
      <c r="AA361" s="61"/>
      <c r="AB361" s="61"/>
      <c r="AC361" s="61"/>
      <c r="AD361" s="62"/>
      <c r="AE361" s="62"/>
      <c r="AF361" s="34"/>
      <c r="AG361" s="34"/>
      <c r="AH361" s="34"/>
      <c r="AI361" s="34"/>
      <c r="AJ361" s="34"/>
      <c r="AK361" s="34"/>
      <c r="AL361" s="34"/>
      <c r="AM361" s="34"/>
      <c r="AN361" s="34"/>
      <c r="AO361" s="34"/>
      <c r="AP361" s="34"/>
      <c r="AQ361" s="34"/>
      <c r="AR361" s="34"/>
      <c r="AS361" s="34"/>
      <c r="AT361" s="34"/>
      <c r="AU361" s="34"/>
      <c r="AV361" s="34"/>
      <c r="AW361" s="34"/>
      <c r="AX361" s="34"/>
      <c r="AY361" s="34"/>
      <c r="AZ361" s="34"/>
      <c r="BA361" s="34"/>
      <c r="BB361" s="34"/>
      <c r="BD361" s="34"/>
      <c r="BE361" s="34"/>
      <c r="BF361" s="34"/>
      <c r="BG361" s="34"/>
      <c r="BH361" s="34"/>
      <c r="BI361" s="34"/>
      <c r="BJ361" s="34"/>
      <c r="BK361" s="34"/>
      <c r="BL361" s="34"/>
      <c r="BM361" s="34"/>
      <c r="BN361" s="34"/>
      <c r="BO361" s="34"/>
      <c r="BP361" s="34"/>
      <c r="BQ361" s="34"/>
      <c r="BR361" s="34"/>
      <c r="BS361" s="34"/>
      <c r="BT361" s="34"/>
      <c r="BU361" s="34"/>
      <c r="BV361" s="34"/>
      <c r="BW361" s="34"/>
      <c r="BX361" s="34"/>
      <c r="BY361" s="34"/>
    </row>
    <row r="362" spans="1:77" x14ac:dyDescent="0.3">
      <c r="A362" s="39"/>
      <c r="B362" s="42"/>
      <c r="C362" s="42"/>
      <c r="D362" s="75"/>
      <c r="E362" s="75"/>
      <c r="F362" s="76"/>
      <c r="G362" s="47"/>
      <c r="H362" s="47"/>
      <c r="I362" s="75"/>
      <c r="J362" s="76"/>
      <c r="K362" s="76"/>
      <c r="L362" s="75"/>
      <c r="M362" s="49"/>
      <c r="N362" s="76"/>
      <c r="O362" s="49"/>
      <c r="P362" s="77"/>
      <c r="Q362" s="53"/>
      <c r="R362" s="54"/>
      <c r="S362" s="55"/>
      <c r="T362" s="56"/>
      <c r="U362" s="56"/>
      <c r="V362" s="42"/>
      <c r="W362" s="57"/>
      <c r="X362" s="58"/>
      <c r="Y362" s="75"/>
      <c r="Z362" s="59"/>
      <c r="AA362" s="61"/>
      <c r="AB362" s="61"/>
      <c r="AC362" s="61"/>
      <c r="AD362" s="62"/>
      <c r="AE362" s="62"/>
      <c r="AF362" s="34"/>
      <c r="AG362" s="34"/>
      <c r="AH362" s="34"/>
      <c r="AI362" s="34"/>
      <c r="AJ362" s="34"/>
      <c r="AK362" s="34"/>
      <c r="AL362" s="34"/>
      <c r="AM362" s="34"/>
      <c r="AN362" s="34"/>
      <c r="AO362" s="34"/>
      <c r="AP362" s="34"/>
      <c r="AQ362" s="34"/>
      <c r="AR362" s="34"/>
      <c r="AS362" s="34"/>
      <c r="AT362" s="34"/>
      <c r="AU362" s="34"/>
      <c r="AV362" s="34"/>
      <c r="AW362" s="34"/>
      <c r="AX362" s="34"/>
      <c r="AY362" s="34"/>
      <c r="AZ362" s="34"/>
      <c r="BA362" s="34"/>
      <c r="BB362" s="34"/>
      <c r="BD362" s="34"/>
      <c r="BE362" s="34"/>
      <c r="BF362" s="34"/>
      <c r="BG362" s="34"/>
      <c r="BH362" s="34"/>
      <c r="BI362" s="34"/>
      <c r="BJ362" s="34"/>
      <c r="BK362" s="34"/>
      <c r="BL362" s="34"/>
      <c r="BM362" s="34"/>
      <c r="BN362" s="34"/>
      <c r="BO362" s="34"/>
      <c r="BP362" s="34"/>
      <c r="BQ362" s="34"/>
      <c r="BR362" s="34"/>
      <c r="BS362" s="34"/>
      <c r="BT362" s="34"/>
      <c r="BU362" s="34"/>
      <c r="BV362" s="34"/>
      <c r="BW362" s="34"/>
      <c r="BX362" s="34"/>
      <c r="BY362" s="34"/>
    </row>
    <row r="363" spans="1:77" x14ac:dyDescent="0.3">
      <c r="A363" s="39"/>
      <c r="B363" s="42"/>
      <c r="C363" s="42"/>
      <c r="D363" s="75"/>
      <c r="E363" s="75"/>
      <c r="F363" s="76"/>
      <c r="G363" s="47"/>
      <c r="H363" s="47"/>
      <c r="I363" s="75"/>
      <c r="J363" s="76"/>
      <c r="K363" s="76"/>
      <c r="L363" s="75"/>
      <c r="M363" s="49"/>
      <c r="N363" s="76"/>
      <c r="O363" s="49"/>
      <c r="P363" s="77"/>
      <c r="Q363" s="53"/>
      <c r="R363" s="54"/>
      <c r="S363" s="55"/>
      <c r="T363" s="56"/>
      <c r="U363" s="56"/>
      <c r="V363" s="42"/>
      <c r="W363" s="57"/>
      <c r="X363" s="58"/>
      <c r="Y363" s="75"/>
      <c r="Z363" s="59"/>
      <c r="AA363" s="61"/>
      <c r="AB363" s="61"/>
      <c r="AC363" s="61"/>
      <c r="AD363" s="62"/>
      <c r="AE363" s="62"/>
      <c r="AF363" s="34"/>
      <c r="AG363" s="34"/>
      <c r="AH363" s="34"/>
      <c r="AI363" s="34"/>
      <c r="AJ363" s="34"/>
      <c r="AK363" s="34"/>
      <c r="AL363" s="34"/>
      <c r="AM363" s="34"/>
      <c r="AN363" s="34"/>
      <c r="AO363" s="34"/>
      <c r="AP363" s="34"/>
      <c r="AQ363" s="34"/>
      <c r="AR363" s="34"/>
      <c r="AS363" s="34"/>
      <c r="AT363" s="34"/>
      <c r="AU363" s="34"/>
      <c r="AV363" s="34"/>
      <c r="AW363" s="34"/>
      <c r="AX363" s="34"/>
      <c r="AY363" s="34"/>
      <c r="AZ363" s="34"/>
      <c r="BA363" s="34"/>
      <c r="BB363" s="34"/>
      <c r="BD363" s="34"/>
      <c r="BE363" s="34"/>
      <c r="BF363" s="34"/>
      <c r="BG363" s="34"/>
      <c r="BH363" s="34"/>
      <c r="BI363" s="34"/>
      <c r="BJ363" s="34"/>
      <c r="BK363" s="34"/>
      <c r="BL363" s="34"/>
      <c r="BM363" s="34"/>
      <c r="BN363" s="34"/>
      <c r="BO363" s="34"/>
      <c r="BP363" s="34"/>
      <c r="BQ363" s="34"/>
      <c r="BR363" s="34"/>
      <c r="BS363" s="34"/>
      <c r="BT363" s="34"/>
      <c r="BU363" s="34"/>
      <c r="BV363" s="34"/>
      <c r="BW363" s="34"/>
      <c r="BX363" s="34"/>
      <c r="BY363" s="34"/>
    </row>
    <row r="364" spans="1:77" x14ac:dyDescent="0.3">
      <c r="A364" s="39"/>
      <c r="B364" s="42"/>
      <c r="C364" s="42"/>
      <c r="D364" s="75"/>
      <c r="E364" s="75"/>
      <c r="F364" s="76"/>
      <c r="G364" s="47"/>
      <c r="H364" s="47"/>
      <c r="I364" s="75"/>
      <c r="J364" s="76"/>
      <c r="K364" s="76"/>
      <c r="L364" s="75"/>
      <c r="M364" s="49"/>
      <c r="N364" s="76"/>
      <c r="O364" s="49"/>
      <c r="P364" s="77"/>
      <c r="Q364" s="53"/>
      <c r="R364" s="54"/>
      <c r="S364" s="55"/>
      <c r="T364" s="56"/>
      <c r="U364" s="56"/>
      <c r="V364" s="42"/>
      <c r="W364" s="57"/>
      <c r="X364" s="58"/>
      <c r="Y364" s="75"/>
      <c r="Z364" s="59"/>
      <c r="AA364" s="61"/>
      <c r="AB364" s="61"/>
      <c r="AC364" s="61"/>
      <c r="AD364" s="62"/>
      <c r="AE364" s="62"/>
      <c r="AF364" s="34"/>
      <c r="AG364" s="34"/>
      <c r="AH364" s="34"/>
      <c r="AI364" s="34"/>
      <c r="AJ364" s="34"/>
      <c r="AK364" s="34"/>
      <c r="AL364" s="34"/>
      <c r="AM364" s="34"/>
      <c r="AN364" s="34"/>
      <c r="AO364" s="34"/>
      <c r="AP364" s="34"/>
      <c r="AQ364" s="34"/>
      <c r="AR364" s="34"/>
      <c r="AS364" s="34"/>
      <c r="AT364" s="34"/>
      <c r="AU364" s="34"/>
      <c r="AV364" s="34"/>
      <c r="AW364" s="34"/>
      <c r="AX364" s="34"/>
      <c r="AY364" s="34"/>
      <c r="AZ364" s="34"/>
      <c r="BA364" s="34"/>
      <c r="BB364" s="34"/>
      <c r="BD364" s="34"/>
      <c r="BE364" s="34"/>
      <c r="BF364" s="34"/>
      <c r="BG364" s="34"/>
      <c r="BH364" s="34"/>
      <c r="BI364" s="34"/>
      <c r="BJ364" s="34"/>
      <c r="BK364" s="34"/>
      <c r="BL364" s="34"/>
      <c r="BM364" s="34"/>
      <c r="BN364" s="34"/>
      <c r="BO364" s="34"/>
      <c r="BP364" s="34"/>
      <c r="BQ364" s="34"/>
      <c r="BR364" s="34"/>
      <c r="BS364" s="34"/>
      <c r="BT364" s="34"/>
      <c r="BU364" s="34"/>
      <c r="BV364" s="34"/>
      <c r="BW364" s="34"/>
      <c r="BX364" s="34"/>
      <c r="BY364" s="34"/>
    </row>
    <row r="365" spans="1:77" x14ac:dyDescent="0.3">
      <c r="A365" s="39"/>
      <c r="B365" s="42"/>
      <c r="C365" s="42"/>
      <c r="D365" s="75"/>
      <c r="E365" s="75"/>
      <c r="F365" s="76"/>
      <c r="G365" s="47"/>
      <c r="H365" s="47"/>
      <c r="I365" s="75"/>
      <c r="J365" s="76"/>
      <c r="K365" s="76"/>
      <c r="L365" s="75"/>
      <c r="M365" s="49"/>
      <c r="N365" s="76"/>
      <c r="O365" s="49"/>
      <c r="P365" s="77"/>
      <c r="Q365" s="53"/>
      <c r="R365" s="54"/>
      <c r="S365" s="55"/>
      <c r="T365" s="56"/>
      <c r="U365" s="56"/>
      <c r="V365" s="42"/>
      <c r="W365" s="57"/>
      <c r="X365" s="58"/>
      <c r="Y365" s="75"/>
      <c r="Z365" s="59"/>
      <c r="AA365" s="61"/>
      <c r="AB365" s="61"/>
      <c r="AC365" s="61"/>
      <c r="AD365" s="62"/>
      <c r="AE365" s="62"/>
      <c r="AF365" s="34"/>
      <c r="AG365" s="34"/>
      <c r="AH365" s="34"/>
      <c r="AI365" s="34"/>
      <c r="AJ365" s="34"/>
      <c r="AK365" s="34"/>
      <c r="AL365" s="34"/>
      <c r="AM365" s="34"/>
      <c r="AN365" s="34"/>
      <c r="AO365" s="34"/>
      <c r="AP365" s="34"/>
      <c r="AQ365" s="34"/>
      <c r="AR365" s="34"/>
      <c r="AS365" s="34"/>
      <c r="AT365" s="34"/>
      <c r="AU365" s="34"/>
      <c r="AV365" s="34"/>
      <c r="AW365" s="34"/>
      <c r="AX365" s="34"/>
      <c r="AY365" s="34"/>
      <c r="AZ365" s="34"/>
      <c r="BA365" s="34"/>
      <c r="BB365" s="34"/>
      <c r="BD365" s="34"/>
      <c r="BE365" s="34"/>
      <c r="BF365" s="34"/>
      <c r="BG365" s="34"/>
      <c r="BH365" s="34"/>
      <c r="BI365" s="34"/>
      <c r="BJ365" s="34"/>
      <c r="BK365" s="34"/>
      <c r="BL365" s="34"/>
      <c r="BM365" s="34"/>
      <c r="BN365" s="34"/>
      <c r="BO365" s="34"/>
      <c r="BP365" s="34"/>
      <c r="BQ365" s="34"/>
      <c r="BR365" s="34"/>
      <c r="BS365" s="34"/>
      <c r="BT365" s="34"/>
      <c r="BU365" s="34"/>
      <c r="BV365" s="34"/>
      <c r="BW365" s="34"/>
      <c r="BX365" s="34"/>
      <c r="BY365" s="34"/>
    </row>
    <row r="366" spans="1:77" x14ac:dyDescent="0.3">
      <c r="A366" s="39"/>
      <c r="B366" s="42"/>
      <c r="C366" s="42"/>
      <c r="D366" s="75"/>
      <c r="E366" s="75"/>
      <c r="F366" s="76"/>
      <c r="G366" s="47"/>
      <c r="H366" s="47"/>
      <c r="I366" s="75"/>
      <c r="J366" s="76"/>
      <c r="K366" s="76"/>
      <c r="L366" s="75"/>
      <c r="M366" s="49"/>
      <c r="N366" s="76"/>
      <c r="O366" s="49"/>
      <c r="P366" s="77"/>
      <c r="Q366" s="53"/>
      <c r="R366" s="54"/>
      <c r="S366" s="55"/>
      <c r="T366" s="56"/>
      <c r="U366" s="56"/>
      <c r="V366" s="42"/>
      <c r="W366" s="57"/>
      <c r="X366" s="58"/>
      <c r="Y366" s="75"/>
      <c r="Z366" s="59"/>
      <c r="AA366" s="61"/>
      <c r="AB366" s="61"/>
      <c r="AC366" s="61"/>
      <c r="AD366" s="62"/>
      <c r="AE366" s="62"/>
      <c r="AF366" s="34"/>
      <c r="AG366" s="34"/>
      <c r="AH366" s="34"/>
      <c r="AI366" s="34"/>
      <c r="AJ366" s="34"/>
      <c r="AK366" s="34"/>
      <c r="AL366" s="34"/>
      <c r="AM366" s="34"/>
      <c r="AN366" s="34"/>
      <c r="AO366" s="34"/>
      <c r="AP366" s="34"/>
      <c r="AQ366" s="34"/>
      <c r="AR366" s="34"/>
      <c r="AS366" s="34"/>
      <c r="AT366" s="34"/>
      <c r="AU366" s="34"/>
      <c r="AV366" s="34"/>
      <c r="AW366" s="34"/>
      <c r="AX366" s="34"/>
      <c r="AY366" s="34"/>
      <c r="AZ366" s="34"/>
      <c r="BA366" s="34"/>
      <c r="BB366" s="34"/>
      <c r="BD366" s="34"/>
      <c r="BE366" s="34"/>
      <c r="BF366" s="34"/>
      <c r="BG366" s="34"/>
      <c r="BH366" s="34"/>
      <c r="BI366" s="34"/>
      <c r="BJ366" s="34"/>
      <c r="BK366" s="34"/>
      <c r="BL366" s="34"/>
      <c r="BM366" s="34"/>
      <c r="BN366" s="34"/>
      <c r="BO366" s="34"/>
      <c r="BP366" s="34"/>
      <c r="BQ366" s="34"/>
      <c r="BR366" s="34"/>
      <c r="BS366" s="34"/>
      <c r="BT366" s="34"/>
      <c r="BU366" s="34"/>
      <c r="BV366" s="34"/>
      <c r="BW366" s="34"/>
      <c r="BX366" s="34"/>
      <c r="BY366" s="34"/>
    </row>
    <row r="367" spans="1:77" x14ac:dyDescent="0.3">
      <c r="A367" s="39"/>
      <c r="B367" s="42"/>
      <c r="C367" s="42"/>
      <c r="D367" s="75"/>
      <c r="E367" s="75"/>
      <c r="F367" s="76"/>
      <c r="G367" s="47"/>
      <c r="H367" s="47"/>
      <c r="I367" s="75"/>
      <c r="J367" s="76"/>
      <c r="K367" s="76"/>
      <c r="L367" s="75"/>
      <c r="M367" s="49"/>
      <c r="N367" s="76"/>
      <c r="O367" s="49"/>
      <c r="P367" s="77"/>
      <c r="Q367" s="53"/>
      <c r="R367" s="54"/>
      <c r="S367" s="55"/>
      <c r="T367" s="56"/>
      <c r="U367" s="56"/>
      <c r="V367" s="42"/>
      <c r="W367" s="57"/>
      <c r="X367" s="58"/>
      <c r="Y367" s="75"/>
      <c r="Z367" s="59"/>
      <c r="AA367" s="61"/>
      <c r="AB367" s="61"/>
      <c r="AC367" s="61"/>
      <c r="AD367" s="62"/>
      <c r="AE367" s="62"/>
      <c r="AF367" s="34"/>
      <c r="AG367" s="34"/>
      <c r="AH367" s="34"/>
      <c r="AI367" s="34"/>
      <c r="AJ367" s="34"/>
      <c r="AK367" s="34"/>
      <c r="AL367" s="34"/>
      <c r="AM367" s="34"/>
      <c r="AN367" s="34"/>
      <c r="AO367" s="34"/>
      <c r="AP367" s="34"/>
      <c r="AQ367" s="34"/>
      <c r="AR367" s="34"/>
      <c r="AS367" s="34"/>
      <c r="AT367" s="34"/>
      <c r="AU367" s="34"/>
      <c r="AV367" s="34"/>
      <c r="AW367" s="34"/>
      <c r="AX367" s="34"/>
      <c r="AY367" s="34"/>
      <c r="AZ367" s="34"/>
      <c r="BA367" s="34"/>
      <c r="BB367" s="34"/>
      <c r="BD367" s="34"/>
      <c r="BE367" s="34"/>
      <c r="BF367" s="34"/>
      <c r="BG367" s="34"/>
      <c r="BH367" s="34"/>
      <c r="BI367" s="34"/>
      <c r="BJ367" s="34"/>
      <c r="BK367" s="34"/>
      <c r="BL367" s="34"/>
      <c r="BM367" s="34"/>
      <c r="BN367" s="34"/>
      <c r="BO367" s="34"/>
      <c r="BP367" s="34"/>
      <c r="BQ367" s="34"/>
      <c r="BR367" s="34"/>
      <c r="BS367" s="34"/>
      <c r="BT367" s="34"/>
      <c r="BU367" s="34"/>
      <c r="BV367" s="34"/>
      <c r="BW367" s="34"/>
      <c r="BX367" s="34"/>
      <c r="BY367" s="34"/>
    </row>
    <row r="368" spans="1:77" x14ac:dyDescent="0.3">
      <c r="A368" s="39"/>
      <c r="B368" s="42"/>
      <c r="C368" s="42"/>
      <c r="D368" s="75"/>
      <c r="E368" s="75"/>
      <c r="F368" s="76"/>
      <c r="G368" s="47"/>
      <c r="H368" s="47"/>
      <c r="I368" s="75"/>
      <c r="J368" s="76"/>
      <c r="K368" s="76"/>
      <c r="L368" s="75"/>
      <c r="M368" s="49"/>
      <c r="N368" s="76"/>
      <c r="O368" s="49"/>
      <c r="P368" s="77"/>
      <c r="Q368" s="53"/>
      <c r="R368" s="54"/>
      <c r="S368" s="55"/>
      <c r="T368" s="56"/>
      <c r="U368" s="56"/>
      <c r="V368" s="42"/>
      <c r="W368" s="57"/>
      <c r="X368" s="58"/>
      <c r="Y368" s="75"/>
      <c r="Z368" s="59"/>
      <c r="AA368" s="61"/>
      <c r="AB368" s="61"/>
      <c r="AC368" s="61"/>
      <c r="AD368" s="62"/>
      <c r="AE368" s="62"/>
      <c r="AF368" s="34"/>
      <c r="AG368" s="34"/>
      <c r="AH368" s="34"/>
      <c r="AI368" s="34"/>
      <c r="AJ368" s="34"/>
      <c r="AK368" s="34"/>
      <c r="AL368" s="34"/>
      <c r="AM368" s="34"/>
      <c r="AN368" s="34"/>
      <c r="AO368" s="34"/>
      <c r="AP368" s="34"/>
      <c r="AQ368" s="34"/>
      <c r="AR368" s="34"/>
      <c r="AS368" s="34"/>
      <c r="AT368" s="34"/>
      <c r="AU368" s="34"/>
      <c r="AV368" s="34"/>
      <c r="AW368" s="34"/>
      <c r="AX368" s="34"/>
      <c r="AY368" s="34"/>
      <c r="AZ368" s="34"/>
      <c r="BA368" s="34"/>
      <c r="BB368" s="34"/>
      <c r="BD368" s="34"/>
      <c r="BE368" s="34"/>
      <c r="BF368" s="34"/>
      <c r="BG368" s="34"/>
      <c r="BH368" s="34"/>
      <c r="BI368" s="34"/>
      <c r="BJ368" s="34"/>
      <c r="BK368" s="34"/>
      <c r="BL368" s="34"/>
      <c r="BM368" s="34"/>
      <c r="BN368" s="34"/>
      <c r="BO368" s="34"/>
      <c r="BP368" s="34"/>
      <c r="BQ368" s="34"/>
      <c r="BR368" s="34"/>
      <c r="BS368" s="34"/>
      <c r="BT368" s="34"/>
      <c r="BU368" s="34"/>
      <c r="BV368" s="34"/>
      <c r="BW368" s="34"/>
      <c r="BX368" s="34"/>
      <c r="BY368" s="34"/>
    </row>
    <row r="369" spans="1:77" x14ac:dyDescent="0.3">
      <c r="A369" s="39"/>
      <c r="B369" s="42"/>
      <c r="C369" s="42"/>
      <c r="D369" s="75"/>
      <c r="E369" s="75"/>
      <c r="F369" s="76"/>
      <c r="G369" s="47"/>
      <c r="H369" s="47"/>
      <c r="I369" s="75"/>
      <c r="J369" s="76"/>
      <c r="K369" s="76"/>
      <c r="L369" s="75"/>
      <c r="M369" s="49"/>
      <c r="N369" s="76"/>
      <c r="O369" s="49"/>
      <c r="P369" s="77"/>
      <c r="Q369" s="53"/>
      <c r="R369" s="54"/>
      <c r="S369" s="55"/>
      <c r="T369" s="56"/>
      <c r="U369" s="56"/>
      <c r="V369" s="42"/>
      <c r="W369" s="57"/>
      <c r="X369" s="58"/>
      <c r="Y369" s="75"/>
      <c r="Z369" s="59"/>
      <c r="AA369" s="61"/>
      <c r="AB369" s="61"/>
      <c r="AC369" s="61"/>
      <c r="AD369" s="62"/>
      <c r="AE369" s="62"/>
      <c r="AF369" s="34"/>
      <c r="AG369" s="34"/>
      <c r="AH369" s="34"/>
      <c r="AI369" s="34"/>
      <c r="AJ369" s="34"/>
      <c r="AK369" s="34"/>
      <c r="AL369" s="34"/>
      <c r="AM369" s="34"/>
      <c r="AN369" s="34"/>
      <c r="AO369" s="34"/>
      <c r="AP369" s="34"/>
      <c r="AQ369" s="34"/>
      <c r="AR369" s="34"/>
      <c r="AS369" s="34"/>
      <c r="AT369" s="34"/>
      <c r="AU369" s="34"/>
      <c r="AV369" s="34"/>
      <c r="AW369" s="34"/>
      <c r="AX369" s="34"/>
      <c r="AY369" s="34"/>
      <c r="AZ369" s="34"/>
      <c r="BA369" s="34"/>
      <c r="BB369" s="34"/>
      <c r="BD369" s="34"/>
      <c r="BE369" s="34"/>
      <c r="BF369" s="34"/>
      <c r="BG369" s="34"/>
      <c r="BH369" s="34"/>
      <c r="BI369" s="34"/>
      <c r="BJ369" s="34"/>
      <c r="BK369" s="34"/>
      <c r="BL369" s="34"/>
      <c r="BM369" s="34"/>
      <c r="BN369" s="34"/>
      <c r="BO369" s="34"/>
      <c r="BP369" s="34"/>
      <c r="BQ369" s="34"/>
      <c r="BR369" s="34"/>
      <c r="BS369" s="34"/>
      <c r="BT369" s="34"/>
      <c r="BU369" s="34"/>
      <c r="BV369" s="34"/>
      <c r="BW369" s="34"/>
      <c r="BX369" s="34"/>
      <c r="BY369" s="34"/>
    </row>
    <row r="370" spans="1:77" x14ac:dyDescent="0.3">
      <c r="A370" s="39"/>
      <c r="B370" s="42"/>
      <c r="C370" s="42"/>
      <c r="D370" s="75"/>
      <c r="E370" s="75"/>
      <c r="F370" s="76"/>
      <c r="G370" s="47"/>
      <c r="H370" s="47"/>
      <c r="I370" s="75"/>
      <c r="J370" s="76"/>
      <c r="K370" s="76"/>
      <c r="L370" s="75"/>
      <c r="M370" s="49"/>
      <c r="N370" s="76"/>
      <c r="O370" s="49"/>
      <c r="P370" s="77"/>
      <c r="Q370" s="53"/>
      <c r="R370" s="54"/>
      <c r="S370" s="55"/>
      <c r="T370" s="56"/>
      <c r="U370" s="56"/>
      <c r="V370" s="42"/>
      <c r="W370" s="57"/>
      <c r="X370" s="58"/>
      <c r="Y370" s="75"/>
      <c r="Z370" s="59"/>
      <c r="AA370" s="61"/>
      <c r="AB370" s="61"/>
      <c r="AC370" s="61"/>
      <c r="AD370" s="62"/>
      <c r="AE370" s="62"/>
      <c r="AF370" s="34"/>
      <c r="AG370" s="34"/>
      <c r="AH370" s="34"/>
      <c r="AI370" s="34"/>
      <c r="AJ370" s="34"/>
      <c r="AK370" s="34"/>
      <c r="AL370" s="34"/>
      <c r="AM370" s="34"/>
      <c r="AN370" s="34"/>
      <c r="AO370" s="34"/>
      <c r="AP370" s="34"/>
      <c r="AQ370" s="34"/>
      <c r="AR370" s="34"/>
      <c r="AS370" s="34"/>
      <c r="AT370" s="34"/>
      <c r="AU370" s="34"/>
      <c r="AV370" s="34"/>
      <c r="AW370" s="34"/>
      <c r="AX370" s="34"/>
      <c r="AY370" s="34"/>
      <c r="AZ370" s="34"/>
      <c r="BA370" s="34"/>
      <c r="BB370" s="34"/>
      <c r="BD370" s="34"/>
      <c r="BE370" s="34"/>
      <c r="BF370" s="34"/>
      <c r="BG370" s="34"/>
      <c r="BH370" s="34"/>
      <c r="BI370" s="34"/>
      <c r="BJ370" s="34"/>
      <c r="BK370" s="34"/>
      <c r="BL370" s="34"/>
      <c r="BM370" s="34"/>
      <c r="BN370" s="34"/>
      <c r="BO370" s="34"/>
      <c r="BP370" s="34"/>
      <c r="BQ370" s="34"/>
      <c r="BR370" s="34"/>
      <c r="BS370" s="34"/>
      <c r="BT370" s="34"/>
      <c r="BU370" s="34"/>
      <c r="BV370" s="34"/>
      <c r="BW370" s="34"/>
      <c r="BX370" s="34"/>
      <c r="BY370" s="34"/>
    </row>
    <row r="371" spans="1:77" x14ac:dyDescent="0.3">
      <c r="A371" s="39"/>
      <c r="B371" s="42"/>
      <c r="C371" s="42"/>
      <c r="D371" s="75"/>
      <c r="E371" s="75"/>
      <c r="F371" s="76"/>
      <c r="G371" s="47"/>
      <c r="H371" s="47"/>
      <c r="I371" s="75"/>
      <c r="J371" s="76"/>
      <c r="K371" s="76"/>
      <c r="L371" s="75"/>
      <c r="M371" s="49"/>
      <c r="N371" s="76"/>
      <c r="O371" s="49"/>
      <c r="P371" s="77"/>
      <c r="Q371" s="53"/>
      <c r="R371" s="54"/>
      <c r="S371" s="55"/>
      <c r="T371" s="56"/>
      <c r="U371" s="56"/>
      <c r="V371" s="42"/>
      <c r="W371" s="57"/>
      <c r="X371" s="58"/>
      <c r="Y371" s="75"/>
      <c r="Z371" s="59"/>
      <c r="AA371" s="61"/>
      <c r="AB371" s="61"/>
      <c r="AC371" s="61"/>
      <c r="AD371" s="62"/>
      <c r="AE371" s="62"/>
      <c r="AF371" s="34"/>
      <c r="AG371" s="34"/>
      <c r="AH371" s="34"/>
      <c r="AI371" s="34"/>
      <c r="AJ371" s="34"/>
      <c r="AK371" s="34"/>
      <c r="AL371" s="34"/>
      <c r="AM371" s="34"/>
      <c r="AN371" s="34"/>
      <c r="AO371" s="34"/>
      <c r="AP371" s="34"/>
      <c r="AQ371" s="34"/>
      <c r="AR371" s="34"/>
      <c r="AS371" s="34"/>
      <c r="AT371" s="34"/>
      <c r="AU371" s="34"/>
      <c r="AV371" s="34"/>
      <c r="AW371" s="34"/>
      <c r="AX371" s="34"/>
      <c r="AY371" s="34"/>
      <c r="AZ371" s="34"/>
      <c r="BA371" s="34"/>
      <c r="BB371" s="34"/>
      <c r="BD371" s="34"/>
      <c r="BE371" s="34"/>
      <c r="BF371" s="34"/>
      <c r="BG371" s="34"/>
      <c r="BH371" s="34"/>
      <c r="BI371" s="34"/>
      <c r="BJ371" s="34"/>
      <c r="BK371" s="34"/>
      <c r="BL371" s="34"/>
      <c r="BM371" s="34"/>
      <c r="BN371" s="34"/>
      <c r="BO371" s="34"/>
      <c r="BP371" s="34"/>
      <c r="BQ371" s="34"/>
      <c r="BR371" s="34"/>
      <c r="BS371" s="34"/>
      <c r="BT371" s="34"/>
      <c r="BU371" s="34"/>
      <c r="BV371" s="34"/>
      <c r="BW371" s="34"/>
      <c r="BX371" s="34"/>
      <c r="BY371" s="34"/>
    </row>
    <row r="372" spans="1:77" x14ac:dyDescent="0.3">
      <c r="A372" s="39"/>
      <c r="B372" s="42"/>
      <c r="C372" s="42"/>
      <c r="D372" s="75"/>
      <c r="E372" s="75"/>
      <c r="F372" s="76"/>
      <c r="G372" s="47"/>
      <c r="H372" s="47"/>
      <c r="I372" s="75"/>
      <c r="J372" s="76"/>
      <c r="K372" s="76"/>
      <c r="L372" s="75"/>
      <c r="M372" s="49"/>
      <c r="N372" s="76"/>
      <c r="O372" s="49"/>
      <c r="P372" s="77"/>
      <c r="Q372" s="53"/>
      <c r="R372" s="54"/>
      <c r="S372" s="55"/>
      <c r="T372" s="56"/>
      <c r="U372" s="56"/>
      <c r="V372" s="42"/>
      <c r="W372" s="57"/>
      <c r="X372" s="58"/>
      <c r="Y372" s="75"/>
      <c r="Z372" s="59"/>
      <c r="AA372" s="61"/>
      <c r="AB372" s="61"/>
      <c r="AC372" s="61"/>
      <c r="AD372" s="62"/>
      <c r="AE372" s="62"/>
      <c r="AF372" s="34"/>
      <c r="AG372" s="34"/>
      <c r="AH372" s="34"/>
      <c r="AI372" s="34"/>
      <c r="AJ372" s="34"/>
      <c r="AK372" s="34"/>
      <c r="AL372" s="34"/>
      <c r="AM372" s="34"/>
      <c r="AN372" s="34"/>
      <c r="AO372" s="34"/>
      <c r="AP372" s="34"/>
      <c r="AQ372" s="34"/>
      <c r="AR372" s="34"/>
      <c r="AS372" s="34"/>
      <c r="AT372" s="34"/>
      <c r="AU372" s="34"/>
      <c r="AV372" s="34"/>
      <c r="AW372" s="34"/>
      <c r="AX372" s="34"/>
      <c r="AY372" s="34"/>
      <c r="AZ372" s="34"/>
      <c r="BA372" s="34"/>
      <c r="BB372" s="34"/>
      <c r="BD372" s="34"/>
      <c r="BE372" s="34"/>
      <c r="BF372" s="34"/>
      <c r="BG372" s="34"/>
      <c r="BH372" s="34"/>
      <c r="BI372" s="34"/>
      <c r="BJ372" s="34"/>
      <c r="BK372" s="34"/>
      <c r="BL372" s="34"/>
      <c r="BM372" s="34"/>
      <c r="BN372" s="34"/>
      <c r="BO372" s="34"/>
      <c r="BP372" s="34"/>
      <c r="BQ372" s="34"/>
      <c r="BR372" s="34"/>
      <c r="BS372" s="34"/>
      <c r="BT372" s="34"/>
      <c r="BU372" s="34"/>
      <c r="BV372" s="34"/>
      <c r="BW372" s="34"/>
      <c r="BX372" s="34"/>
      <c r="BY372" s="34"/>
    </row>
    <row r="373" spans="1:77" x14ac:dyDescent="0.3">
      <c r="A373" s="39"/>
      <c r="B373" s="42"/>
      <c r="C373" s="42"/>
      <c r="D373" s="75"/>
      <c r="E373" s="75"/>
      <c r="F373" s="76"/>
      <c r="G373" s="47"/>
      <c r="H373" s="47"/>
      <c r="I373" s="75"/>
      <c r="J373" s="76"/>
      <c r="K373" s="76"/>
      <c r="L373" s="75"/>
      <c r="M373" s="49"/>
      <c r="N373" s="76"/>
      <c r="O373" s="49"/>
      <c r="P373" s="77"/>
      <c r="Q373" s="53"/>
      <c r="R373" s="54"/>
      <c r="S373" s="55"/>
      <c r="T373" s="56"/>
      <c r="U373" s="56"/>
      <c r="V373" s="42"/>
      <c r="W373" s="57"/>
      <c r="X373" s="58"/>
      <c r="Y373" s="75"/>
      <c r="Z373" s="59"/>
      <c r="AA373" s="61"/>
      <c r="AB373" s="61"/>
      <c r="AC373" s="61"/>
      <c r="AD373" s="62"/>
      <c r="AE373" s="62"/>
      <c r="AF373" s="34"/>
      <c r="AG373" s="34"/>
      <c r="AH373" s="34"/>
      <c r="AI373" s="34"/>
      <c r="AJ373" s="34"/>
      <c r="AK373" s="34"/>
      <c r="AL373" s="34"/>
      <c r="AM373" s="34"/>
      <c r="AN373" s="34"/>
      <c r="AO373" s="34"/>
      <c r="AP373" s="34"/>
      <c r="AQ373" s="34"/>
      <c r="AR373" s="34"/>
      <c r="AS373" s="34"/>
      <c r="AT373" s="34"/>
      <c r="AU373" s="34"/>
      <c r="AV373" s="34"/>
      <c r="AW373" s="34"/>
      <c r="AX373" s="34"/>
      <c r="AY373" s="34"/>
      <c r="AZ373" s="34"/>
      <c r="BA373" s="34"/>
      <c r="BB373" s="34"/>
      <c r="BD373" s="34"/>
      <c r="BE373" s="34"/>
      <c r="BF373" s="34"/>
      <c r="BG373" s="34"/>
      <c r="BH373" s="34"/>
      <c r="BI373" s="34"/>
      <c r="BJ373" s="34"/>
      <c r="BK373" s="34"/>
      <c r="BL373" s="34"/>
      <c r="BM373" s="34"/>
      <c r="BN373" s="34"/>
      <c r="BO373" s="34"/>
      <c r="BP373" s="34"/>
      <c r="BQ373" s="34"/>
      <c r="BR373" s="34"/>
      <c r="BS373" s="34"/>
      <c r="BT373" s="34"/>
      <c r="BU373" s="34"/>
      <c r="BV373" s="34"/>
      <c r="BW373" s="34"/>
      <c r="BX373" s="34"/>
      <c r="BY373" s="34"/>
    </row>
    <row r="374" spans="1:77" x14ac:dyDescent="0.3">
      <c r="A374" s="39"/>
      <c r="B374" s="42"/>
      <c r="C374" s="42"/>
      <c r="D374" s="75"/>
      <c r="E374" s="75"/>
      <c r="F374" s="76"/>
      <c r="G374" s="47"/>
      <c r="H374" s="47"/>
      <c r="I374" s="75"/>
      <c r="J374" s="76"/>
      <c r="K374" s="76"/>
      <c r="L374" s="75"/>
      <c r="M374" s="49"/>
      <c r="N374" s="76"/>
      <c r="O374" s="49"/>
      <c r="P374" s="77"/>
      <c r="Q374" s="53"/>
      <c r="R374" s="54"/>
      <c r="S374" s="55"/>
      <c r="T374" s="56"/>
      <c r="U374" s="56"/>
      <c r="V374" s="42"/>
      <c r="W374" s="57"/>
      <c r="X374" s="58"/>
      <c r="Y374" s="75"/>
      <c r="Z374" s="59"/>
      <c r="AA374" s="61"/>
      <c r="AB374" s="61"/>
      <c r="AC374" s="61"/>
      <c r="AD374" s="62"/>
      <c r="AE374" s="62"/>
      <c r="AF374" s="34"/>
      <c r="AG374" s="34"/>
      <c r="AH374" s="34"/>
      <c r="AI374" s="34"/>
      <c r="AJ374" s="34"/>
      <c r="AK374" s="34"/>
      <c r="AL374" s="34"/>
      <c r="AM374" s="34"/>
      <c r="AN374" s="34"/>
      <c r="AO374" s="34"/>
      <c r="AP374" s="34"/>
      <c r="AQ374" s="34"/>
      <c r="AR374" s="34"/>
      <c r="AS374" s="34"/>
      <c r="AT374" s="34"/>
      <c r="AU374" s="34"/>
      <c r="AV374" s="34"/>
      <c r="AW374" s="34"/>
      <c r="AX374" s="34"/>
      <c r="AY374" s="34"/>
      <c r="AZ374" s="34"/>
      <c r="BA374" s="34"/>
      <c r="BB374" s="34"/>
      <c r="BD374" s="34"/>
      <c r="BE374" s="34"/>
      <c r="BF374" s="34"/>
      <c r="BG374" s="34"/>
      <c r="BH374" s="34"/>
      <c r="BI374" s="34"/>
      <c r="BJ374" s="34"/>
      <c r="BK374" s="34"/>
      <c r="BL374" s="34"/>
      <c r="BM374" s="34"/>
      <c r="BN374" s="34"/>
      <c r="BO374" s="34"/>
      <c r="BP374" s="34"/>
      <c r="BQ374" s="34"/>
      <c r="BR374" s="34"/>
      <c r="BS374" s="34"/>
      <c r="BT374" s="34"/>
      <c r="BU374" s="34"/>
      <c r="BV374" s="34"/>
      <c r="BW374" s="34"/>
      <c r="BX374" s="34"/>
      <c r="BY374" s="34"/>
    </row>
    <row r="375" spans="1:77" x14ac:dyDescent="0.3">
      <c r="A375" s="39"/>
      <c r="B375" s="42"/>
      <c r="C375" s="42"/>
      <c r="D375" s="75"/>
      <c r="E375" s="75"/>
      <c r="F375" s="76"/>
      <c r="G375" s="47"/>
      <c r="H375" s="47"/>
      <c r="I375" s="75"/>
      <c r="J375" s="76"/>
      <c r="K375" s="76"/>
      <c r="L375" s="75"/>
      <c r="M375" s="49"/>
      <c r="N375" s="76"/>
      <c r="O375" s="49"/>
      <c r="P375" s="77"/>
      <c r="Q375" s="53"/>
      <c r="R375" s="54"/>
      <c r="S375" s="55"/>
      <c r="T375" s="56"/>
      <c r="U375" s="56"/>
      <c r="V375" s="42"/>
      <c r="W375" s="57"/>
      <c r="X375" s="58"/>
      <c r="Y375" s="75"/>
      <c r="Z375" s="59"/>
      <c r="AA375" s="61"/>
      <c r="AB375" s="61"/>
      <c r="AC375" s="61"/>
      <c r="AD375" s="62"/>
      <c r="AE375" s="62"/>
      <c r="AF375" s="34"/>
      <c r="AG375" s="34"/>
      <c r="AH375" s="34"/>
      <c r="AI375" s="34"/>
      <c r="AJ375" s="34"/>
      <c r="AK375" s="34"/>
      <c r="AL375" s="34"/>
      <c r="AM375" s="34"/>
      <c r="AN375" s="34"/>
      <c r="AO375" s="34"/>
      <c r="AP375" s="34"/>
      <c r="AQ375" s="34"/>
      <c r="AR375" s="34"/>
      <c r="AS375" s="34"/>
      <c r="AT375" s="34"/>
      <c r="AU375" s="34"/>
      <c r="AV375" s="34"/>
      <c r="AW375" s="34"/>
      <c r="AX375" s="34"/>
      <c r="AY375" s="34"/>
      <c r="AZ375" s="34"/>
      <c r="BA375" s="34"/>
      <c r="BB375" s="34"/>
      <c r="BD375" s="34"/>
      <c r="BE375" s="34"/>
      <c r="BF375" s="34"/>
      <c r="BG375" s="34"/>
      <c r="BH375" s="34"/>
      <c r="BI375" s="34"/>
      <c r="BJ375" s="34"/>
      <c r="BK375" s="34"/>
      <c r="BL375" s="34"/>
      <c r="BM375" s="34"/>
      <c r="BN375" s="34"/>
      <c r="BO375" s="34"/>
      <c r="BP375" s="34"/>
      <c r="BQ375" s="34"/>
      <c r="BR375" s="34"/>
      <c r="BS375" s="34"/>
      <c r="BT375" s="34"/>
      <c r="BU375" s="34"/>
      <c r="BV375" s="34"/>
      <c r="BW375" s="34"/>
      <c r="BX375" s="34"/>
      <c r="BY375" s="34"/>
    </row>
    <row r="376" spans="1:77" x14ac:dyDescent="0.3">
      <c r="A376" s="39"/>
      <c r="B376" s="42"/>
      <c r="C376" s="42"/>
      <c r="D376" s="75"/>
      <c r="E376" s="75"/>
      <c r="F376" s="76"/>
      <c r="G376" s="47"/>
      <c r="H376" s="47"/>
      <c r="I376" s="75"/>
      <c r="J376" s="76"/>
      <c r="K376" s="76"/>
      <c r="L376" s="75"/>
      <c r="M376" s="49"/>
      <c r="N376" s="76"/>
      <c r="O376" s="49"/>
      <c r="P376" s="77"/>
      <c r="Q376" s="53"/>
      <c r="R376" s="54"/>
      <c r="S376" s="55"/>
      <c r="T376" s="56"/>
      <c r="U376" s="56"/>
      <c r="V376" s="42"/>
      <c r="W376" s="57"/>
      <c r="X376" s="58"/>
      <c r="Y376" s="75"/>
      <c r="Z376" s="59"/>
      <c r="AA376" s="61"/>
      <c r="AB376" s="61"/>
      <c r="AC376" s="61"/>
      <c r="AD376" s="62"/>
      <c r="AE376" s="62"/>
      <c r="AF376" s="34"/>
      <c r="AG376" s="34"/>
      <c r="AH376" s="34"/>
      <c r="AI376" s="34"/>
      <c r="AJ376" s="34"/>
      <c r="AK376" s="34"/>
      <c r="AL376" s="34"/>
      <c r="AM376" s="34"/>
      <c r="AN376" s="34"/>
      <c r="AO376" s="34"/>
      <c r="AP376" s="34"/>
      <c r="AQ376" s="34"/>
      <c r="AR376" s="34"/>
      <c r="AS376" s="34"/>
      <c r="AT376" s="34"/>
      <c r="AU376" s="34"/>
      <c r="AV376" s="34"/>
      <c r="AW376" s="34"/>
      <c r="AX376" s="34"/>
      <c r="AY376" s="34"/>
      <c r="AZ376" s="34"/>
      <c r="BA376" s="34"/>
      <c r="BB376" s="34"/>
      <c r="BD376" s="34"/>
      <c r="BE376" s="34"/>
      <c r="BF376" s="34"/>
      <c r="BG376" s="34"/>
      <c r="BH376" s="34"/>
      <c r="BI376" s="34"/>
      <c r="BJ376" s="34"/>
      <c r="BK376" s="34"/>
      <c r="BL376" s="34"/>
      <c r="BM376" s="34"/>
      <c r="BN376" s="34"/>
      <c r="BO376" s="34"/>
      <c r="BP376" s="34"/>
      <c r="BQ376" s="34"/>
      <c r="BR376" s="34"/>
      <c r="BS376" s="34"/>
      <c r="BT376" s="34"/>
      <c r="BU376" s="34"/>
      <c r="BV376" s="34"/>
      <c r="BW376" s="34"/>
      <c r="BX376" s="34"/>
      <c r="BY376" s="34"/>
    </row>
    <row r="377" spans="1:77" x14ac:dyDescent="0.3">
      <c r="A377" s="39"/>
      <c r="B377" s="42"/>
      <c r="C377" s="42"/>
      <c r="D377" s="75"/>
      <c r="E377" s="75"/>
      <c r="F377" s="76"/>
      <c r="G377" s="47"/>
      <c r="H377" s="47"/>
      <c r="I377" s="75"/>
      <c r="J377" s="76"/>
      <c r="K377" s="76"/>
      <c r="L377" s="75"/>
      <c r="M377" s="49"/>
      <c r="N377" s="76"/>
      <c r="O377" s="49"/>
      <c r="P377" s="77"/>
      <c r="Q377" s="53"/>
      <c r="R377" s="54"/>
      <c r="S377" s="55"/>
      <c r="T377" s="56"/>
      <c r="U377" s="56"/>
      <c r="V377" s="42"/>
      <c r="W377" s="57"/>
      <c r="X377" s="58"/>
      <c r="Y377" s="75"/>
      <c r="Z377" s="59"/>
      <c r="AA377" s="61"/>
      <c r="AB377" s="61"/>
      <c r="AC377" s="61"/>
      <c r="AD377" s="62"/>
      <c r="AE377" s="62"/>
      <c r="AF377" s="34"/>
      <c r="AG377" s="34"/>
      <c r="AH377" s="34"/>
      <c r="AI377" s="34"/>
      <c r="AJ377" s="34"/>
      <c r="AK377" s="34"/>
      <c r="AL377" s="34"/>
      <c r="AM377" s="34"/>
      <c r="AN377" s="34"/>
      <c r="AO377" s="34"/>
      <c r="AP377" s="34"/>
      <c r="AQ377" s="34"/>
      <c r="AR377" s="34"/>
      <c r="AS377" s="34"/>
      <c r="AT377" s="34"/>
      <c r="AU377" s="34"/>
      <c r="AV377" s="34"/>
      <c r="AW377" s="34"/>
      <c r="AX377" s="34"/>
      <c r="AY377" s="34"/>
      <c r="AZ377" s="34"/>
      <c r="BA377" s="34"/>
      <c r="BB377" s="34"/>
      <c r="BD377" s="34"/>
      <c r="BE377" s="34"/>
      <c r="BF377" s="34"/>
      <c r="BG377" s="34"/>
      <c r="BH377" s="34"/>
      <c r="BI377" s="34"/>
      <c r="BJ377" s="34"/>
      <c r="BK377" s="34"/>
      <c r="BL377" s="34"/>
      <c r="BM377" s="34"/>
      <c r="BN377" s="34"/>
      <c r="BO377" s="34"/>
      <c r="BP377" s="34"/>
      <c r="BQ377" s="34"/>
      <c r="BR377" s="34"/>
      <c r="BS377" s="34"/>
      <c r="BT377" s="34"/>
      <c r="BU377" s="34"/>
      <c r="BV377" s="34"/>
      <c r="BW377" s="34"/>
      <c r="BX377" s="34"/>
      <c r="BY377" s="34"/>
    </row>
    <row r="378" spans="1:77" x14ac:dyDescent="0.3">
      <c r="A378" s="39"/>
      <c r="B378" s="42"/>
      <c r="C378" s="42"/>
      <c r="D378" s="75"/>
      <c r="E378" s="75"/>
      <c r="F378" s="76"/>
      <c r="G378" s="47"/>
      <c r="H378" s="47"/>
      <c r="I378" s="75"/>
      <c r="J378" s="76"/>
      <c r="K378" s="76"/>
      <c r="L378" s="75"/>
      <c r="M378" s="49"/>
      <c r="N378" s="76"/>
      <c r="O378" s="49"/>
      <c r="P378" s="77"/>
      <c r="Q378" s="53"/>
      <c r="R378" s="54"/>
      <c r="S378" s="55"/>
      <c r="T378" s="56"/>
      <c r="U378" s="56"/>
      <c r="V378" s="42"/>
      <c r="W378" s="57"/>
      <c r="X378" s="58"/>
      <c r="Y378" s="75"/>
      <c r="Z378" s="59"/>
      <c r="AA378" s="61"/>
      <c r="AB378" s="61"/>
      <c r="AC378" s="61"/>
      <c r="AD378" s="62"/>
      <c r="AE378" s="62"/>
      <c r="AF378" s="34"/>
      <c r="AG378" s="34"/>
      <c r="AH378" s="34"/>
      <c r="AI378" s="34"/>
      <c r="AJ378" s="34"/>
      <c r="AK378" s="34"/>
      <c r="AL378" s="34"/>
      <c r="AM378" s="34"/>
      <c r="AN378" s="34"/>
      <c r="AO378" s="34"/>
      <c r="AP378" s="34"/>
      <c r="AQ378" s="34"/>
      <c r="AR378" s="34"/>
      <c r="AS378" s="34"/>
      <c r="AT378" s="34"/>
      <c r="AU378" s="34"/>
      <c r="AV378" s="34"/>
      <c r="AW378" s="34"/>
      <c r="AX378" s="34"/>
      <c r="AY378" s="34"/>
      <c r="AZ378" s="34"/>
      <c r="BA378" s="34"/>
      <c r="BB378" s="34"/>
      <c r="BD378" s="34"/>
      <c r="BE378" s="34"/>
      <c r="BF378" s="34"/>
      <c r="BG378" s="34"/>
      <c r="BH378" s="34"/>
      <c r="BI378" s="34"/>
      <c r="BJ378" s="34"/>
      <c r="BK378" s="34"/>
      <c r="BL378" s="34"/>
      <c r="BM378" s="34"/>
      <c r="BN378" s="34"/>
      <c r="BO378" s="34"/>
      <c r="BP378" s="34"/>
      <c r="BQ378" s="34"/>
      <c r="BR378" s="34"/>
      <c r="BS378" s="34"/>
      <c r="BT378" s="34"/>
      <c r="BU378" s="34"/>
      <c r="BV378" s="34"/>
      <c r="BW378" s="34"/>
      <c r="BX378" s="34"/>
      <c r="BY378" s="34"/>
    </row>
    <row r="379" spans="1:77" x14ac:dyDescent="0.3">
      <c r="A379" s="39"/>
      <c r="B379" s="42"/>
      <c r="C379" s="42"/>
      <c r="D379" s="75"/>
      <c r="E379" s="75"/>
      <c r="F379" s="76"/>
      <c r="G379" s="47"/>
      <c r="H379" s="47"/>
      <c r="I379" s="75"/>
      <c r="J379" s="76"/>
      <c r="K379" s="76"/>
      <c r="L379" s="75"/>
      <c r="M379" s="49"/>
      <c r="N379" s="76"/>
      <c r="O379" s="49"/>
      <c r="P379" s="77"/>
      <c r="Q379" s="53"/>
      <c r="R379" s="54"/>
      <c r="S379" s="55"/>
      <c r="T379" s="56"/>
      <c r="U379" s="56"/>
      <c r="V379" s="42"/>
      <c r="W379" s="57"/>
      <c r="X379" s="58"/>
      <c r="Y379" s="75"/>
      <c r="Z379" s="59"/>
      <c r="AA379" s="61"/>
      <c r="AB379" s="61"/>
      <c r="AC379" s="61"/>
      <c r="AD379" s="62"/>
      <c r="AE379" s="62"/>
      <c r="AF379" s="34"/>
      <c r="AG379" s="34"/>
      <c r="AH379" s="34"/>
      <c r="AI379" s="34"/>
      <c r="AJ379" s="34"/>
      <c r="AK379" s="34"/>
      <c r="AL379" s="34"/>
      <c r="AM379" s="34"/>
      <c r="AN379" s="34"/>
      <c r="AO379" s="34"/>
      <c r="AP379" s="34"/>
      <c r="AQ379" s="34"/>
      <c r="AR379" s="34"/>
      <c r="AS379" s="34"/>
      <c r="AT379" s="34"/>
      <c r="AU379" s="34"/>
      <c r="AV379" s="34"/>
      <c r="AW379" s="34"/>
      <c r="AX379" s="34"/>
      <c r="AY379" s="34"/>
      <c r="AZ379" s="34"/>
      <c r="BA379" s="34"/>
      <c r="BB379" s="34"/>
      <c r="BD379" s="34"/>
      <c r="BE379" s="34"/>
      <c r="BF379" s="34"/>
      <c r="BG379" s="34"/>
      <c r="BH379" s="34"/>
      <c r="BI379" s="34"/>
      <c r="BJ379" s="34"/>
      <c r="BK379" s="34"/>
      <c r="BL379" s="34"/>
      <c r="BM379" s="34"/>
      <c r="BN379" s="34"/>
      <c r="BO379" s="34"/>
      <c r="BP379" s="34"/>
      <c r="BQ379" s="34"/>
      <c r="BR379" s="34"/>
      <c r="BS379" s="34"/>
      <c r="BT379" s="34"/>
      <c r="BU379" s="34"/>
      <c r="BV379" s="34"/>
      <c r="BW379" s="34"/>
      <c r="BX379" s="34"/>
      <c r="BY379" s="34"/>
    </row>
    <row r="380" spans="1:77" x14ac:dyDescent="0.3">
      <c r="A380" s="39"/>
      <c r="B380" s="42"/>
      <c r="C380" s="42"/>
      <c r="D380" s="75"/>
      <c r="E380" s="75"/>
      <c r="F380" s="76"/>
      <c r="G380" s="47"/>
      <c r="H380" s="47"/>
      <c r="I380" s="75"/>
      <c r="J380" s="76"/>
      <c r="K380" s="76"/>
      <c r="L380" s="75"/>
      <c r="M380" s="49"/>
      <c r="N380" s="76"/>
      <c r="O380" s="49"/>
      <c r="P380" s="77"/>
      <c r="Q380" s="53"/>
      <c r="R380" s="54"/>
      <c r="S380" s="55"/>
      <c r="T380" s="56"/>
      <c r="U380" s="56"/>
      <c r="V380" s="42"/>
      <c r="W380" s="57"/>
      <c r="X380" s="58"/>
      <c r="Y380" s="75"/>
      <c r="Z380" s="59"/>
      <c r="AA380" s="61"/>
      <c r="AB380" s="61"/>
      <c r="AC380" s="61"/>
      <c r="AD380" s="62"/>
      <c r="AE380" s="62"/>
      <c r="AF380" s="34"/>
      <c r="AG380" s="34"/>
      <c r="AH380" s="34"/>
      <c r="AI380" s="34"/>
      <c r="AJ380" s="34"/>
      <c r="AK380" s="34"/>
      <c r="AL380" s="34"/>
      <c r="AM380" s="34"/>
      <c r="AN380" s="34"/>
      <c r="AO380" s="34"/>
      <c r="AP380" s="34"/>
      <c r="AQ380" s="34"/>
      <c r="AR380" s="34"/>
      <c r="AS380" s="34"/>
      <c r="AT380" s="34"/>
      <c r="AU380" s="34"/>
      <c r="AV380" s="34"/>
      <c r="AW380" s="34"/>
      <c r="AX380" s="34"/>
      <c r="AY380" s="34"/>
      <c r="AZ380" s="34"/>
      <c r="BA380" s="34"/>
      <c r="BB380" s="34"/>
      <c r="BD380" s="34"/>
      <c r="BE380" s="34"/>
      <c r="BF380" s="34"/>
      <c r="BG380" s="34"/>
      <c r="BH380" s="34"/>
      <c r="BI380" s="34"/>
      <c r="BJ380" s="34"/>
      <c r="BK380" s="34"/>
      <c r="BL380" s="34"/>
      <c r="BM380" s="34"/>
      <c r="BN380" s="34"/>
      <c r="BO380" s="34"/>
      <c r="BP380" s="34"/>
      <c r="BQ380" s="34"/>
      <c r="BR380" s="34"/>
      <c r="BS380" s="34"/>
      <c r="BT380" s="34"/>
      <c r="BU380" s="34"/>
      <c r="BV380" s="34"/>
      <c r="BW380" s="34"/>
      <c r="BX380" s="34"/>
      <c r="BY380" s="34"/>
    </row>
    <row r="381" spans="1:77" x14ac:dyDescent="0.3">
      <c r="A381" s="39"/>
      <c r="B381" s="42"/>
      <c r="C381" s="42"/>
      <c r="D381" s="75"/>
      <c r="E381" s="75"/>
      <c r="F381" s="76"/>
      <c r="G381" s="47"/>
      <c r="H381" s="47"/>
      <c r="I381" s="75"/>
      <c r="J381" s="76"/>
      <c r="K381" s="76"/>
      <c r="L381" s="75"/>
      <c r="M381" s="49"/>
      <c r="N381" s="76"/>
      <c r="O381" s="49"/>
      <c r="P381" s="77"/>
      <c r="Q381" s="53"/>
      <c r="R381" s="54"/>
      <c r="S381" s="55"/>
      <c r="T381" s="56"/>
      <c r="U381" s="56"/>
      <c r="V381" s="42"/>
      <c r="W381" s="57"/>
      <c r="X381" s="58"/>
      <c r="Y381" s="75"/>
      <c r="Z381" s="59"/>
      <c r="AA381" s="61"/>
      <c r="AB381" s="61"/>
      <c r="AC381" s="61"/>
      <c r="AD381" s="62"/>
      <c r="AE381" s="62"/>
      <c r="AF381" s="34"/>
      <c r="AG381" s="34"/>
      <c r="AH381" s="34"/>
      <c r="AI381" s="34"/>
      <c r="AJ381" s="34"/>
      <c r="AK381" s="34"/>
      <c r="AL381" s="34"/>
      <c r="AM381" s="34"/>
      <c r="AN381" s="34"/>
      <c r="AO381" s="34"/>
      <c r="AP381" s="34"/>
      <c r="AQ381" s="34"/>
      <c r="AR381" s="34"/>
      <c r="AS381" s="34"/>
      <c r="AT381" s="34"/>
      <c r="AU381" s="34"/>
      <c r="AV381" s="34"/>
      <c r="AW381" s="34"/>
      <c r="AX381" s="34"/>
      <c r="AY381" s="34"/>
      <c r="AZ381" s="34"/>
      <c r="BA381" s="34"/>
      <c r="BB381" s="34"/>
      <c r="BD381" s="34"/>
      <c r="BE381" s="34"/>
      <c r="BF381" s="34"/>
      <c r="BG381" s="34"/>
      <c r="BH381" s="34"/>
      <c r="BI381" s="34"/>
      <c r="BJ381" s="34"/>
      <c r="BK381" s="34"/>
      <c r="BL381" s="34"/>
      <c r="BM381" s="34"/>
      <c r="BN381" s="34"/>
      <c r="BO381" s="34"/>
      <c r="BP381" s="34"/>
      <c r="BQ381" s="34"/>
      <c r="BR381" s="34"/>
      <c r="BS381" s="34"/>
      <c r="BT381" s="34"/>
      <c r="BU381" s="34"/>
      <c r="BV381" s="34"/>
      <c r="BW381" s="34"/>
      <c r="BX381" s="34"/>
      <c r="BY381" s="34"/>
    </row>
    <row r="382" spans="1:77" x14ac:dyDescent="0.3">
      <c r="A382" s="39"/>
      <c r="B382" s="42"/>
      <c r="C382" s="42"/>
      <c r="D382" s="75"/>
      <c r="E382" s="75"/>
      <c r="F382" s="76"/>
      <c r="G382" s="47"/>
      <c r="H382" s="47"/>
      <c r="I382" s="75"/>
      <c r="J382" s="76"/>
      <c r="K382" s="76"/>
      <c r="L382" s="75"/>
      <c r="M382" s="49"/>
      <c r="N382" s="76"/>
      <c r="O382" s="49"/>
      <c r="P382" s="77"/>
      <c r="Q382" s="53"/>
      <c r="R382" s="54"/>
      <c r="S382" s="55"/>
      <c r="T382" s="56"/>
      <c r="U382" s="56"/>
      <c r="V382" s="42"/>
      <c r="W382" s="57"/>
      <c r="X382" s="58"/>
      <c r="Y382" s="75"/>
      <c r="Z382" s="59"/>
      <c r="AA382" s="61"/>
      <c r="AB382" s="61"/>
      <c r="AC382" s="61"/>
      <c r="AD382" s="62"/>
      <c r="AE382" s="62"/>
      <c r="AF382" s="34"/>
      <c r="AG382" s="34"/>
      <c r="AH382" s="34"/>
      <c r="AI382" s="34"/>
      <c r="AJ382" s="34"/>
      <c r="AK382" s="34"/>
      <c r="AL382" s="34"/>
      <c r="AM382" s="34"/>
      <c r="AN382" s="34"/>
      <c r="AO382" s="34"/>
      <c r="AP382" s="34"/>
      <c r="AQ382" s="34"/>
      <c r="AR382" s="34"/>
      <c r="AS382" s="34"/>
      <c r="AT382" s="34"/>
      <c r="AU382" s="34"/>
      <c r="AV382" s="34"/>
      <c r="AW382" s="34"/>
      <c r="AX382" s="34"/>
      <c r="AY382" s="34"/>
      <c r="AZ382" s="34"/>
      <c r="BA382" s="34"/>
      <c r="BB382" s="34"/>
      <c r="BD382" s="34"/>
      <c r="BE382" s="34"/>
      <c r="BF382" s="34"/>
      <c r="BG382" s="34"/>
      <c r="BH382" s="34"/>
      <c r="BI382" s="34"/>
      <c r="BJ382" s="34"/>
      <c r="BK382" s="34"/>
      <c r="BL382" s="34"/>
      <c r="BM382" s="34"/>
      <c r="BN382" s="34"/>
      <c r="BO382" s="34"/>
      <c r="BP382" s="34"/>
      <c r="BQ382" s="34"/>
      <c r="BR382" s="34"/>
      <c r="BS382" s="34"/>
      <c r="BT382" s="34"/>
      <c r="BU382" s="34"/>
      <c r="BV382" s="34"/>
      <c r="BW382" s="34"/>
      <c r="BX382" s="34"/>
      <c r="BY382" s="34"/>
    </row>
    <row r="383" spans="1:77" x14ac:dyDescent="0.3">
      <c r="A383" s="39"/>
      <c r="B383" s="42"/>
      <c r="C383" s="42"/>
      <c r="D383" s="75"/>
      <c r="E383" s="75"/>
      <c r="F383" s="76"/>
      <c r="G383" s="47"/>
      <c r="H383" s="47"/>
      <c r="I383" s="75"/>
      <c r="J383" s="76"/>
      <c r="K383" s="76"/>
      <c r="L383" s="75"/>
      <c r="M383" s="49"/>
      <c r="N383" s="76"/>
      <c r="O383" s="49"/>
      <c r="P383" s="77"/>
      <c r="Q383" s="53"/>
      <c r="R383" s="54"/>
      <c r="S383" s="55"/>
      <c r="T383" s="56"/>
      <c r="U383" s="56"/>
      <c r="V383" s="42"/>
      <c r="W383" s="57"/>
      <c r="X383" s="58"/>
      <c r="Y383" s="75"/>
      <c r="Z383" s="59"/>
      <c r="AA383" s="61"/>
      <c r="AB383" s="61"/>
      <c r="AC383" s="61"/>
      <c r="AD383" s="62"/>
      <c r="AE383" s="62"/>
      <c r="AF383" s="34"/>
      <c r="AG383" s="34"/>
      <c r="AH383" s="34"/>
      <c r="AI383" s="34"/>
      <c r="AJ383" s="34"/>
      <c r="AK383" s="34"/>
      <c r="AL383" s="34"/>
      <c r="AM383" s="34"/>
      <c r="AN383" s="34"/>
      <c r="AO383" s="34"/>
      <c r="AP383" s="34"/>
      <c r="AQ383" s="34"/>
      <c r="AR383" s="34"/>
      <c r="AS383" s="34"/>
      <c r="AT383" s="34"/>
      <c r="AU383" s="34"/>
      <c r="AV383" s="34"/>
      <c r="AW383" s="34"/>
      <c r="AX383" s="34"/>
      <c r="AY383" s="34"/>
      <c r="AZ383" s="34"/>
      <c r="BA383" s="34"/>
      <c r="BB383" s="34"/>
      <c r="BD383" s="34"/>
      <c r="BE383" s="34"/>
      <c r="BF383" s="34"/>
      <c r="BG383" s="34"/>
      <c r="BH383" s="34"/>
      <c r="BI383" s="34"/>
      <c r="BJ383" s="34"/>
      <c r="BK383" s="34"/>
      <c r="BL383" s="34"/>
      <c r="BM383" s="34"/>
      <c r="BN383" s="34"/>
      <c r="BO383" s="34"/>
      <c r="BP383" s="34"/>
      <c r="BQ383" s="34"/>
      <c r="BR383" s="34"/>
      <c r="BS383" s="34"/>
      <c r="BT383" s="34"/>
      <c r="BU383" s="34"/>
      <c r="BV383" s="34"/>
      <c r="BW383" s="34"/>
      <c r="BX383" s="34"/>
      <c r="BY383" s="34"/>
    </row>
    <row r="384" spans="1:77" x14ac:dyDescent="0.3">
      <c r="A384" s="39"/>
      <c r="B384" s="42"/>
      <c r="C384" s="42"/>
      <c r="D384" s="75"/>
      <c r="E384" s="75"/>
      <c r="F384" s="76"/>
      <c r="G384" s="47"/>
      <c r="H384" s="47"/>
      <c r="I384" s="75"/>
      <c r="J384" s="76"/>
      <c r="K384" s="76"/>
      <c r="L384" s="75"/>
      <c r="M384" s="49"/>
      <c r="N384" s="76"/>
      <c r="O384" s="49"/>
      <c r="P384" s="77"/>
      <c r="Q384" s="53"/>
      <c r="R384" s="54"/>
      <c r="S384" s="55"/>
      <c r="T384" s="56"/>
      <c r="U384" s="56"/>
      <c r="V384" s="42"/>
      <c r="W384" s="57"/>
      <c r="X384" s="58"/>
      <c r="Y384" s="75"/>
      <c r="Z384" s="59"/>
      <c r="AA384" s="61"/>
      <c r="AB384" s="61"/>
      <c r="AC384" s="61"/>
      <c r="AD384" s="62"/>
      <c r="AE384" s="62"/>
      <c r="AF384" s="34"/>
      <c r="AG384" s="34"/>
      <c r="AH384" s="34"/>
      <c r="AI384" s="34"/>
      <c r="AJ384" s="34"/>
      <c r="AK384" s="34"/>
      <c r="AL384" s="34"/>
      <c r="AM384" s="34"/>
      <c r="AN384" s="34"/>
      <c r="AO384" s="34"/>
      <c r="AP384" s="34"/>
      <c r="AQ384" s="34"/>
      <c r="AR384" s="34"/>
      <c r="AS384" s="34"/>
      <c r="AT384" s="34"/>
      <c r="AU384" s="34"/>
      <c r="AV384" s="34"/>
      <c r="AW384" s="34"/>
      <c r="AX384" s="34"/>
      <c r="AY384" s="34"/>
      <c r="AZ384" s="34"/>
      <c r="BA384" s="34"/>
      <c r="BB384" s="34"/>
      <c r="BD384" s="34"/>
      <c r="BE384" s="34"/>
      <c r="BF384" s="34"/>
      <c r="BG384" s="34"/>
      <c r="BH384" s="34"/>
      <c r="BI384" s="34"/>
      <c r="BJ384" s="34"/>
      <c r="BK384" s="34"/>
      <c r="BL384" s="34"/>
      <c r="BM384" s="34"/>
      <c r="BN384" s="34"/>
      <c r="BO384" s="34"/>
      <c r="BP384" s="34"/>
      <c r="BQ384" s="34"/>
      <c r="BR384" s="34"/>
      <c r="BS384" s="34"/>
      <c r="BT384" s="34"/>
      <c r="BU384" s="34"/>
      <c r="BV384" s="34"/>
      <c r="BW384" s="34"/>
      <c r="BX384" s="34"/>
      <c r="BY384" s="34"/>
    </row>
    <row r="385" spans="1:77" x14ac:dyDescent="0.3">
      <c r="A385" s="39"/>
      <c r="B385" s="42"/>
      <c r="C385" s="42"/>
      <c r="D385" s="75"/>
      <c r="E385" s="75"/>
      <c r="F385" s="76"/>
      <c r="G385" s="47"/>
      <c r="H385" s="47"/>
      <c r="I385" s="75"/>
      <c r="J385" s="76"/>
      <c r="K385" s="76"/>
      <c r="L385" s="75"/>
      <c r="M385" s="49"/>
      <c r="N385" s="76"/>
      <c r="O385" s="49"/>
      <c r="P385" s="77"/>
      <c r="Q385" s="53"/>
      <c r="R385" s="54"/>
      <c r="S385" s="55"/>
      <c r="T385" s="56"/>
      <c r="U385" s="56"/>
      <c r="V385" s="42"/>
      <c r="W385" s="57"/>
      <c r="X385" s="58"/>
      <c r="Y385" s="75"/>
      <c r="Z385" s="59"/>
      <c r="AA385" s="61"/>
      <c r="AB385" s="61"/>
      <c r="AC385" s="61"/>
      <c r="AD385" s="62"/>
      <c r="AE385" s="62"/>
      <c r="AF385" s="34"/>
      <c r="AG385" s="34"/>
      <c r="AH385" s="34"/>
      <c r="AI385" s="34"/>
      <c r="AJ385" s="34"/>
      <c r="AK385" s="34"/>
      <c r="AL385" s="34"/>
      <c r="AM385" s="34"/>
      <c r="AN385" s="34"/>
      <c r="AO385" s="34"/>
      <c r="AP385" s="34"/>
      <c r="AQ385" s="34"/>
      <c r="AR385" s="34"/>
      <c r="AS385" s="34"/>
      <c r="AT385" s="34"/>
      <c r="AU385" s="34"/>
      <c r="AV385" s="34"/>
      <c r="AW385" s="34"/>
      <c r="AX385" s="34"/>
      <c r="AY385" s="34"/>
      <c r="AZ385" s="34"/>
      <c r="BA385" s="34"/>
      <c r="BB385" s="34"/>
      <c r="BD385" s="34"/>
      <c r="BE385" s="34"/>
      <c r="BF385" s="34"/>
      <c r="BG385" s="34"/>
      <c r="BH385" s="34"/>
      <c r="BI385" s="34"/>
      <c r="BJ385" s="34"/>
      <c r="BK385" s="34"/>
      <c r="BL385" s="34"/>
      <c r="BM385" s="34"/>
      <c r="BN385" s="34"/>
      <c r="BO385" s="34"/>
      <c r="BP385" s="34"/>
      <c r="BQ385" s="34"/>
      <c r="BR385" s="34"/>
      <c r="BS385" s="34"/>
      <c r="BT385" s="34"/>
      <c r="BU385" s="34"/>
      <c r="BV385" s="34"/>
      <c r="BW385" s="34"/>
      <c r="BX385" s="34"/>
      <c r="BY385" s="34"/>
    </row>
    <row r="386" spans="1:77" x14ac:dyDescent="0.3">
      <c r="A386" s="39"/>
      <c r="B386" s="42"/>
      <c r="C386" s="42"/>
      <c r="D386" s="75"/>
      <c r="E386" s="75"/>
      <c r="F386" s="76"/>
      <c r="G386" s="47"/>
      <c r="H386" s="47"/>
      <c r="I386" s="75"/>
      <c r="J386" s="76"/>
      <c r="K386" s="76"/>
      <c r="L386" s="75"/>
      <c r="M386" s="49"/>
      <c r="N386" s="76"/>
      <c r="O386" s="49"/>
      <c r="P386" s="77"/>
      <c r="Q386" s="53"/>
      <c r="R386" s="54"/>
      <c r="S386" s="55"/>
      <c r="T386" s="56"/>
      <c r="U386" s="56"/>
      <c r="V386" s="42"/>
      <c r="W386" s="57"/>
      <c r="X386" s="58"/>
      <c r="Y386" s="75"/>
      <c r="Z386" s="59"/>
      <c r="AA386" s="61"/>
      <c r="AB386" s="61"/>
      <c r="AC386" s="61"/>
      <c r="AD386" s="62"/>
      <c r="AE386" s="62"/>
      <c r="AF386" s="34"/>
      <c r="AG386" s="34"/>
      <c r="AH386" s="34"/>
      <c r="AI386" s="34"/>
      <c r="AJ386" s="34"/>
      <c r="AK386" s="34"/>
      <c r="AL386" s="34"/>
      <c r="AM386" s="34"/>
      <c r="AN386" s="34"/>
      <c r="AO386" s="34"/>
      <c r="AP386" s="34"/>
      <c r="AQ386" s="34"/>
      <c r="AR386" s="34"/>
      <c r="AS386" s="34"/>
      <c r="AT386" s="34"/>
      <c r="AU386" s="34"/>
      <c r="AV386" s="34"/>
      <c r="AW386" s="34"/>
      <c r="AX386" s="34"/>
      <c r="AY386" s="34"/>
      <c r="AZ386" s="34"/>
      <c r="BA386" s="34"/>
      <c r="BB386" s="34"/>
      <c r="BD386" s="34"/>
      <c r="BE386" s="34"/>
      <c r="BF386" s="34"/>
      <c r="BG386" s="34"/>
      <c r="BH386" s="34"/>
      <c r="BI386" s="34"/>
      <c r="BJ386" s="34"/>
      <c r="BK386" s="34"/>
      <c r="BL386" s="34"/>
      <c r="BM386" s="34"/>
      <c r="BN386" s="34"/>
      <c r="BO386" s="34"/>
      <c r="BP386" s="34"/>
      <c r="BQ386" s="34"/>
      <c r="BR386" s="34"/>
      <c r="BS386" s="34"/>
      <c r="BT386" s="34"/>
      <c r="BU386" s="34"/>
      <c r="BV386" s="34"/>
      <c r="BW386" s="34"/>
      <c r="BX386" s="34"/>
      <c r="BY386" s="34"/>
    </row>
    <row r="387" spans="1:77" x14ac:dyDescent="0.3">
      <c r="A387" s="39"/>
      <c r="B387" s="42"/>
      <c r="C387" s="42"/>
      <c r="D387" s="75"/>
      <c r="E387" s="75"/>
      <c r="F387" s="76"/>
      <c r="G387" s="47"/>
      <c r="H387" s="47"/>
      <c r="I387" s="75"/>
      <c r="J387" s="76"/>
      <c r="K387" s="76"/>
      <c r="L387" s="75"/>
      <c r="M387" s="49"/>
      <c r="N387" s="76"/>
      <c r="O387" s="49"/>
      <c r="P387" s="77"/>
      <c r="Q387" s="53"/>
      <c r="R387" s="54"/>
      <c r="S387" s="55"/>
      <c r="T387" s="56"/>
      <c r="U387" s="56"/>
      <c r="V387" s="42"/>
      <c r="W387" s="57"/>
      <c r="X387" s="58"/>
      <c r="Y387" s="75"/>
      <c r="Z387" s="59"/>
      <c r="AA387" s="61"/>
      <c r="AB387" s="61"/>
      <c r="AC387" s="61"/>
      <c r="AD387" s="62"/>
      <c r="AE387" s="62"/>
      <c r="AF387" s="34"/>
      <c r="AG387" s="34"/>
      <c r="AH387" s="34"/>
      <c r="AI387" s="34"/>
      <c r="AJ387" s="34"/>
      <c r="AK387" s="34"/>
      <c r="AL387" s="34"/>
      <c r="AM387" s="34"/>
      <c r="AN387" s="34"/>
      <c r="AO387" s="34"/>
      <c r="AP387" s="34"/>
      <c r="AQ387" s="34"/>
      <c r="AR387" s="34"/>
      <c r="AS387" s="34"/>
      <c r="AT387" s="34"/>
      <c r="AU387" s="34"/>
      <c r="AV387" s="34"/>
      <c r="AW387" s="34"/>
      <c r="AX387" s="34"/>
      <c r="AY387" s="34"/>
      <c r="AZ387" s="34"/>
      <c r="BA387" s="34"/>
      <c r="BB387" s="34"/>
      <c r="BD387" s="34"/>
      <c r="BE387" s="34"/>
      <c r="BF387" s="34"/>
      <c r="BG387" s="34"/>
      <c r="BH387" s="34"/>
      <c r="BI387" s="34"/>
      <c r="BJ387" s="34"/>
      <c r="BK387" s="34"/>
      <c r="BL387" s="34"/>
      <c r="BM387" s="34"/>
      <c r="BN387" s="34"/>
      <c r="BO387" s="34"/>
      <c r="BP387" s="34"/>
      <c r="BQ387" s="34"/>
      <c r="BR387" s="34"/>
      <c r="BS387" s="34"/>
      <c r="BT387" s="34"/>
      <c r="BU387" s="34"/>
      <c r="BV387" s="34"/>
      <c r="BW387" s="34"/>
      <c r="BX387" s="34"/>
      <c r="BY387" s="34"/>
    </row>
    <row r="388" spans="1:77" x14ac:dyDescent="0.3">
      <c r="A388" s="39"/>
      <c r="B388" s="42"/>
      <c r="C388" s="42"/>
      <c r="D388" s="75"/>
      <c r="E388" s="75"/>
      <c r="F388" s="76"/>
      <c r="G388" s="47"/>
      <c r="H388" s="47"/>
      <c r="I388" s="75"/>
      <c r="J388" s="76"/>
      <c r="K388" s="76"/>
      <c r="L388" s="75"/>
      <c r="M388" s="49"/>
      <c r="N388" s="76"/>
      <c r="O388" s="49"/>
      <c r="P388" s="77"/>
      <c r="Q388" s="53"/>
      <c r="R388" s="54"/>
      <c r="S388" s="55"/>
      <c r="T388" s="56"/>
      <c r="U388" s="56"/>
      <c r="V388" s="42"/>
      <c r="W388" s="57"/>
      <c r="X388" s="58"/>
      <c r="Y388" s="75"/>
      <c r="Z388" s="59"/>
      <c r="AA388" s="61"/>
      <c r="AB388" s="61"/>
      <c r="AC388" s="61"/>
      <c r="AD388" s="62"/>
      <c r="AE388" s="62"/>
      <c r="AF388" s="34"/>
      <c r="AG388" s="34"/>
      <c r="AH388" s="34"/>
      <c r="AI388" s="34"/>
      <c r="AJ388" s="34"/>
      <c r="AK388" s="34"/>
      <c r="AL388" s="34"/>
      <c r="AM388" s="34"/>
      <c r="AN388" s="34"/>
      <c r="AO388" s="34"/>
      <c r="AP388" s="34"/>
      <c r="AQ388" s="34"/>
      <c r="AR388" s="34"/>
      <c r="AS388" s="34"/>
      <c r="AT388" s="34"/>
      <c r="AU388" s="34"/>
      <c r="AV388" s="34"/>
      <c r="AW388" s="34"/>
      <c r="AX388" s="34"/>
      <c r="AY388" s="34"/>
      <c r="AZ388" s="34"/>
      <c r="BA388" s="34"/>
      <c r="BB388" s="34"/>
      <c r="BD388" s="34"/>
      <c r="BE388" s="34"/>
      <c r="BF388" s="34"/>
      <c r="BG388" s="34"/>
      <c r="BH388" s="34"/>
      <c r="BI388" s="34"/>
      <c r="BJ388" s="34"/>
      <c r="BK388" s="34"/>
      <c r="BL388" s="34"/>
      <c r="BM388" s="34"/>
      <c r="BN388" s="34"/>
      <c r="BO388" s="34"/>
      <c r="BP388" s="34"/>
      <c r="BQ388" s="34"/>
      <c r="BR388" s="34"/>
      <c r="BS388" s="34"/>
      <c r="BT388" s="34"/>
      <c r="BU388" s="34"/>
      <c r="BV388" s="34"/>
      <c r="BW388" s="34"/>
      <c r="BX388" s="34"/>
      <c r="BY388" s="34"/>
    </row>
    <row r="389" spans="1:77" x14ac:dyDescent="0.3">
      <c r="A389" s="39"/>
      <c r="B389" s="42"/>
      <c r="C389" s="42"/>
      <c r="D389" s="75"/>
      <c r="E389" s="75"/>
      <c r="F389" s="76"/>
      <c r="G389" s="47"/>
      <c r="H389" s="47"/>
      <c r="I389" s="75"/>
      <c r="J389" s="76"/>
      <c r="K389" s="76"/>
      <c r="L389" s="75"/>
      <c r="M389" s="49"/>
      <c r="N389" s="76"/>
      <c r="O389" s="49"/>
      <c r="P389" s="77"/>
      <c r="Q389" s="53"/>
      <c r="R389" s="54"/>
      <c r="S389" s="55"/>
      <c r="T389" s="56"/>
      <c r="U389" s="56"/>
      <c r="V389" s="42"/>
      <c r="W389" s="57"/>
      <c r="X389" s="58"/>
      <c r="Y389" s="75"/>
      <c r="Z389" s="59"/>
      <c r="AA389" s="61"/>
      <c r="AB389" s="61"/>
      <c r="AC389" s="61"/>
      <c r="AD389" s="62"/>
      <c r="AE389" s="62"/>
      <c r="AF389" s="34"/>
      <c r="AG389" s="34"/>
      <c r="AH389" s="34"/>
      <c r="AI389" s="34"/>
      <c r="AJ389" s="34"/>
      <c r="AK389" s="34"/>
      <c r="AL389" s="34"/>
      <c r="AM389" s="34"/>
      <c r="AN389" s="34"/>
      <c r="AO389" s="34"/>
      <c r="AP389" s="34"/>
      <c r="AQ389" s="34"/>
      <c r="AR389" s="34"/>
      <c r="AS389" s="34"/>
      <c r="AT389" s="34"/>
      <c r="AU389" s="34"/>
      <c r="AV389" s="34"/>
      <c r="AW389" s="34"/>
      <c r="AX389" s="34"/>
      <c r="AY389" s="34"/>
      <c r="AZ389" s="34"/>
      <c r="BA389" s="34"/>
      <c r="BB389" s="34"/>
      <c r="BD389" s="34"/>
      <c r="BE389" s="34"/>
      <c r="BF389" s="34"/>
      <c r="BG389" s="34"/>
      <c r="BH389" s="34"/>
      <c r="BI389" s="34"/>
      <c r="BJ389" s="34"/>
      <c r="BK389" s="34"/>
      <c r="BL389" s="34"/>
      <c r="BM389" s="34"/>
      <c r="BN389" s="34"/>
      <c r="BO389" s="34"/>
      <c r="BP389" s="34"/>
      <c r="BQ389" s="34"/>
      <c r="BR389" s="34"/>
      <c r="BS389" s="34"/>
      <c r="BT389" s="34"/>
      <c r="BU389" s="34"/>
      <c r="BV389" s="34"/>
      <c r="BW389" s="34"/>
      <c r="BX389" s="34"/>
      <c r="BY389" s="34"/>
    </row>
    <row r="390" spans="1:77" x14ac:dyDescent="0.3">
      <c r="A390" s="39"/>
      <c r="B390" s="42"/>
      <c r="C390" s="42"/>
      <c r="D390" s="75"/>
      <c r="E390" s="75"/>
      <c r="F390" s="76"/>
      <c r="G390" s="47"/>
      <c r="H390" s="47"/>
      <c r="I390" s="75"/>
      <c r="J390" s="76"/>
      <c r="K390" s="76"/>
      <c r="L390" s="75"/>
      <c r="M390" s="49"/>
      <c r="N390" s="76"/>
      <c r="O390" s="49"/>
      <c r="P390" s="77"/>
      <c r="Q390" s="53"/>
      <c r="R390" s="54"/>
      <c r="S390" s="55"/>
      <c r="T390" s="56"/>
      <c r="U390" s="56"/>
      <c r="V390" s="42"/>
      <c r="W390" s="57"/>
      <c r="X390" s="58"/>
      <c r="Y390" s="75"/>
      <c r="Z390" s="59"/>
      <c r="AA390" s="61"/>
      <c r="AB390" s="61"/>
      <c r="AC390" s="61"/>
      <c r="AD390" s="62"/>
      <c r="AE390" s="62"/>
      <c r="AF390" s="34"/>
      <c r="AG390" s="34"/>
      <c r="AH390" s="34"/>
      <c r="AI390" s="34"/>
      <c r="AJ390" s="34"/>
      <c r="AK390" s="34"/>
      <c r="AL390" s="34"/>
      <c r="AM390" s="34"/>
      <c r="AN390" s="34"/>
      <c r="AO390" s="34"/>
      <c r="AP390" s="34"/>
      <c r="AQ390" s="34"/>
      <c r="AR390" s="34"/>
      <c r="AS390" s="34"/>
      <c r="AT390" s="34"/>
      <c r="AU390" s="34"/>
      <c r="AV390" s="34"/>
      <c r="AW390" s="34"/>
      <c r="AX390" s="34"/>
      <c r="AY390" s="34"/>
      <c r="AZ390" s="34"/>
      <c r="BA390" s="34"/>
      <c r="BB390" s="34"/>
      <c r="BD390" s="34"/>
      <c r="BE390" s="34"/>
      <c r="BF390" s="34"/>
      <c r="BG390" s="34"/>
      <c r="BH390" s="34"/>
      <c r="BI390" s="34"/>
      <c r="BJ390" s="34"/>
      <c r="BK390" s="34"/>
      <c r="BL390" s="34"/>
      <c r="BM390" s="34"/>
      <c r="BN390" s="34"/>
      <c r="BO390" s="34"/>
      <c r="BP390" s="34"/>
      <c r="BQ390" s="34"/>
      <c r="BR390" s="34"/>
      <c r="BS390" s="34"/>
      <c r="BT390" s="34"/>
      <c r="BU390" s="34"/>
      <c r="BV390" s="34"/>
      <c r="BW390" s="34"/>
      <c r="BX390" s="34"/>
      <c r="BY390" s="34"/>
    </row>
    <row r="391" spans="1:77" x14ac:dyDescent="0.3">
      <c r="A391" s="39"/>
      <c r="B391" s="42"/>
      <c r="C391" s="42"/>
      <c r="D391" s="75"/>
      <c r="E391" s="75"/>
      <c r="F391" s="76"/>
      <c r="G391" s="47"/>
      <c r="H391" s="47"/>
      <c r="I391" s="75"/>
      <c r="J391" s="76"/>
      <c r="K391" s="76"/>
      <c r="L391" s="75"/>
      <c r="M391" s="49"/>
      <c r="N391" s="76"/>
      <c r="O391" s="49"/>
      <c r="P391" s="77"/>
      <c r="Q391" s="53"/>
      <c r="R391" s="54"/>
      <c r="S391" s="55"/>
      <c r="T391" s="56"/>
      <c r="U391" s="56"/>
      <c r="V391" s="42"/>
      <c r="W391" s="57"/>
      <c r="X391" s="58"/>
      <c r="Y391" s="75"/>
      <c r="Z391" s="59"/>
      <c r="AA391" s="61"/>
      <c r="AB391" s="61"/>
      <c r="AC391" s="61"/>
      <c r="AD391" s="62"/>
      <c r="AE391" s="62"/>
      <c r="AF391" s="34"/>
      <c r="AG391" s="34"/>
      <c r="AH391" s="34"/>
      <c r="AI391" s="34"/>
      <c r="AJ391" s="34"/>
      <c r="AK391" s="34"/>
      <c r="AL391" s="34"/>
      <c r="AM391" s="34"/>
      <c r="AN391" s="34"/>
      <c r="AO391" s="34"/>
      <c r="AP391" s="34"/>
      <c r="AQ391" s="34"/>
      <c r="AR391" s="34"/>
      <c r="AS391" s="34"/>
      <c r="AT391" s="34"/>
      <c r="AU391" s="34"/>
      <c r="AV391" s="34"/>
      <c r="AW391" s="34"/>
      <c r="AX391" s="34"/>
      <c r="AY391" s="34"/>
      <c r="AZ391" s="34"/>
      <c r="BA391" s="34"/>
      <c r="BB391" s="34"/>
      <c r="BD391" s="34"/>
      <c r="BE391" s="34"/>
      <c r="BF391" s="34"/>
      <c r="BG391" s="34"/>
      <c r="BH391" s="34"/>
      <c r="BI391" s="34"/>
      <c r="BJ391" s="34"/>
      <c r="BK391" s="34"/>
      <c r="BL391" s="34"/>
      <c r="BM391" s="34"/>
      <c r="BN391" s="34"/>
      <c r="BO391" s="34"/>
      <c r="BP391" s="34"/>
      <c r="BQ391" s="34"/>
      <c r="BR391" s="34"/>
      <c r="BS391" s="34"/>
      <c r="BT391" s="34"/>
      <c r="BU391" s="34"/>
      <c r="BV391" s="34"/>
      <c r="BW391" s="34"/>
      <c r="BX391" s="34"/>
      <c r="BY391" s="34"/>
    </row>
    <row r="392" spans="1:77" x14ac:dyDescent="0.3">
      <c r="A392" s="39"/>
      <c r="B392" s="42"/>
      <c r="C392" s="42"/>
      <c r="D392" s="75"/>
      <c r="E392" s="75"/>
      <c r="F392" s="76"/>
      <c r="G392" s="47"/>
      <c r="H392" s="47"/>
      <c r="I392" s="75"/>
      <c r="J392" s="76"/>
      <c r="K392" s="76"/>
      <c r="L392" s="75"/>
      <c r="M392" s="49"/>
      <c r="N392" s="76"/>
      <c r="O392" s="49"/>
      <c r="P392" s="77"/>
      <c r="Q392" s="53"/>
      <c r="R392" s="54"/>
      <c r="S392" s="55"/>
      <c r="T392" s="56"/>
      <c r="U392" s="56"/>
      <c r="V392" s="42"/>
      <c r="W392" s="57"/>
      <c r="X392" s="58"/>
      <c r="Y392" s="75"/>
      <c r="Z392" s="59"/>
      <c r="AA392" s="61"/>
      <c r="AB392" s="61"/>
      <c r="AC392" s="61"/>
      <c r="AD392" s="62"/>
      <c r="AE392" s="62"/>
      <c r="AF392" s="34"/>
      <c r="AG392" s="34"/>
      <c r="AH392" s="34"/>
      <c r="AI392" s="34"/>
      <c r="AJ392" s="34"/>
      <c r="AK392" s="34"/>
      <c r="AL392" s="34"/>
      <c r="AM392" s="34"/>
      <c r="AN392" s="34"/>
      <c r="AO392" s="34"/>
      <c r="AP392" s="34"/>
      <c r="AQ392" s="34"/>
      <c r="AR392" s="34"/>
      <c r="AS392" s="34"/>
      <c r="AT392" s="34"/>
      <c r="AU392" s="34"/>
      <c r="AV392" s="34"/>
      <c r="AW392" s="34"/>
      <c r="AX392" s="34"/>
      <c r="AY392" s="34"/>
      <c r="AZ392" s="34"/>
      <c r="BA392" s="34"/>
      <c r="BB392" s="34"/>
      <c r="BD392" s="34"/>
      <c r="BE392" s="34"/>
      <c r="BF392" s="34"/>
      <c r="BG392" s="34"/>
      <c r="BH392" s="34"/>
      <c r="BI392" s="34"/>
      <c r="BJ392" s="34"/>
      <c r="BK392" s="34"/>
      <c r="BL392" s="34"/>
      <c r="BM392" s="34"/>
      <c r="BN392" s="34"/>
      <c r="BO392" s="34"/>
      <c r="BP392" s="34"/>
      <c r="BQ392" s="34"/>
      <c r="BR392" s="34"/>
      <c r="BS392" s="34"/>
      <c r="BT392" s="34"/>
      <c r="BU392" s="34"/>
      <c r="BV392" s="34"/>
      <c r="BW392" s="34"/>
      <c r="BX392" s="34"/>
      <c r="BY392" s="34"/>
    </row>
    <row r="393" spans="1:77" x14ac:dyDescent="0.3">
      <c r="A393" s="39"/>
      <c r="B393" s="42"/>
      <c r="C393" s="42"/>
      <c r="D393" s="75"/>
      <c r="E393" s="75"/>
      <c r="F393" s="76"/>
      <c r="G393" s="47"/>
      <c r="H393" s="47"/>
      <c r="I393" s="75"/>
      <c r="J393" s="76"/>
      <c r="K393" s="76"/>
      <c r="L393" s="75"/>
      <c r="M393" s="49"/>
      <c r="N393" s="76"/>
      <c r="O393" s="49"/>
      <c r="P393" s="77"/>
      <c r="Q393" s="53"/>
      <c r="R393" s="54"/>
      <c r="S393" s="55"/>
      <c r="T393" s="56"/>
      <c r="U393" s="56"/>
      <c r="V393" s="42"/>
      <c r="W393" s="57"/>
      <c r="X393" s="58"/>
      <c r="Y393" s="75"/>
      <c r="Z393" s="59"/>
      <c r="AA393" s="61"/>
      <c r="AB393" s="61"/>
      <c r="AC393" s="61"/>
      <c r="AD393" s="62"/>
      <c r="AE393" s="62"/>
      <c r="AF393" s="34"/>
      <c r="AG393" s="34"/>
      <c r="AH393" s="34"/>
      <c r="AI393" s="34"/>
      <c r="AJ393" s="34"/>
      <c r="AK393" s="34"/>
      <c r="AL393" s="34"/>
      <c r="AM393" s="34"/>
      <c r="AN393" s="34"/>
      <c r="AO393" s="34"/>
      <c r="AP393" s="34"/>
      <c r="AQ393" s="34"/>
      <c r="AR393" s="34"/>
      <c r="AS393" s="34"/>
      <c r="AT393" s="34"/>
      <c r="AU393" s="34"/>
      <c r="AV393" s="34"/>
      <c r="AW393" s="34"/>
      <c r="AX393" s="34"/>
      <c r="AY393" s="34"/>
      <c r="AZ393" s="34"/>
      <c r="BA393" s="34"/>
      <c r="BB393" s="34"/>
      <c r="BD393" s="34"/>
      <c r="BE393" s="34"/>
      <c r="BF393" s="34"/>
      <c r="BG393" s="34"/>
      <c r="BH393" s="34"/>
      <c r="BI393" s="34"/>
      <c r="BJ393" s="34"/>
      <c r="BK393" s="34"/>
      <c r="BL393" s="34"/>
      <c r="BM393" s="34"/>
      <c r="BN393" s="34"/>
      <c r="BO393" s="34"/>
      <c r="BP393" s="34"/>
      <c r="BQ393" s="34"/>
      <c r="BR393" s="34"/>
      <c r="BS393" s="34"/>
      <c r="BT393" s="34"/>
      <c r="BU393" s="34"/>
      <c r="BV393" s="34"/>
      <c r="BW393" s="34"/>
      <c r="BX393" s="34"/>
      <c r="BY393" s="34"/>
    </row>
    <row r="394" spans="1:77" x14ac:dyDescent="0.3">
      <c r="A394" s="39"/>
      <c r="B394" s="42"/>
      <c r="C394" s="42"/>
      <c r="D394" s="75"/>
      <c r="E394" s="75"/>
      <c r="F394" s="76"/>
      <c r="G394" s="47"/>
      <c r="H394" s="47"/>
      <c r="I394" s="75"/>
      <c r="J394" s="76"/>
      <c r="K394" s="76"/>
      <c r="L394" s="75"/>
      <c r="M394" s="49"/>
      <c r="N394" s="76"/>
      <c r="O394" s="49"/>
      <c r="P394" s="77"/>
      <c r="Q394" s="53"/>
      <c r="R394" s="54"/>
      <c r="S394" s="55"/>
      <c r="T394" s="56"/>
      <c r="U394" s="56"/>
      <c r="V394" s="42"/>
      <c r="W394" s="57"/>
      <c r="X394" s="58"/>
      <c r="Y394" s="75"/>
      <c r="Z394" s="59"/>
      <c r="AA394" s="61"/>
      <c r="AB394" s="61"/>
      <c r="AC394" s="61"/>
      <c r="AD394" s="62"/>
      <c r="AE394" s="62"/>
      <c r="AF394" s="34"/>
      <c r="AG394" s="34"/>
      <c r="AH394" s="34"/>
      <c r="AI394" s="34"/>
      <c r="AJ394" s="34"/>
      <c r="AK394" s="34"/>
      <c r="AL394" s="34"/>
      <c r="AM394" s="34"/>
      <c r="AN394" s="34"/>
      <c r="AO394" s="34"/>
      <c r="AP394" s="34"/>
      <c r="AQ394" s="34"/>
      <c r="AR394" s="34"/>
      <c r="AS394" s="34"/>
      <c r="AT394" s="34"/>
      <c r="AU394" s="34"/>
      <c r="AV394" s="34"/>
      <c r="AW394" s="34"/>
      <c r="AX394" s="34"/>
      <c r="AY394" s="34"/>
      <c r="AZ394" s="34"/>
      <c r="BA394" s="34"/>
      <c r="BB394" s="34"/>
      <c r="BD394" s="34"/>
      <c r="BE394" s="34"/>
      <c r="BF394" s="34"/>
      <c r="BG394" s="34"/>
      <c r="BH394" s="34"/>
      <c r="BI394" s="34"/>
      <c r="BJ394" s="34"/>
      <c r="BK394" s="34"/>
      <c r="BL394" s="34"/>
      <c r="BM394" s="34"/>
      <c r="BN394" s="34"/>
      <c r="BO394" s="34"/>
      <c r="BP394" s="34"/>
      <c r="BQ394" s="34"/>
      <c r="BR394" s="34"/>
      <c r="BS394" s="34"/>
      <c r="BT394" s="34"/>
      <c r="BU394" s="34"/>
      <c r="BV394" s="34"/>
      <c r="BW394" s="34"/>
      <c r="BX394" s="34"/>
      <c r="BY394" s="34"/>
    </row>
    <row r="395" spans="1:77" x14ac:dyDescent="0.3">
      <c r="A395" s="39"/>
      <c r="B395" s="42"/>
      <c r="C395" s="42"/>
      <c r="D395" s="75"/>
      <c r="E395" s="75"/>
      <c r="F395" s="76"/>
      <c r="G395" s="47"/>
      <c r="H395" s="47"/>
      <c r="I395" s="75"/>
      <c r="J395" s="76"/>
      <c r="K395" s="76"/>
      <c r="L395" s="75"/>
      <c r="M395" s="49"/>
      <c r="N395" s="76"/>
      <c r="O395" s="49"/>
      <c r="P395" s="77"/>
      <c r="Q395" s="53"/>
      <c r="R395" s="54"/>
      <c r="S395" s="55"/>
      <c r="T395" s="56"/>
      <c r="U395" s="56"/>
      <c r="V395" s="42"/>
      <c r="W395" s="57"/>
      <c r="X395" s="58"/>
      <c r="Y395" s="75"/>
      <c r="Z395" s="59"/>
      <c r="AA395" s="61"/>
      <c r="AB395" s="61"/>
      <c r="AC395" s="61"/>
      <c r="AD395" s="62"/>
      <c r="AE395" s="62"/>
      <c r="AF395" s="34"/>
      <c r="AG395" s="34"/>
      <c r="AH395" s="34"/>
      <c r="AI395" s="34"/>
      <c r="AJ395" s="34"/>
      <c r="AK395" s="34"/>
      <c r="AL395" s="34"/>
      <c r="AM395" s="34"/>
      <c r="AN395" s="34"/>
      <c r="AO395" s="34"/>
      <c r="AP395" s="34"/>
      <c r="AQ395" s="34"/>
      <c r="AR395" s="34"/>
      <c r="AS395" s="34"/>
      <c r="AT395" s="34"/>
      <c r="AU395" s="34"/>
      <c r="AV395" s="34"/>
      <c r="AW395" s="34"/>
      <c r="AX395" s="34"/>
      <c r="AY395" s="34"/>
      <c r="AZ395" s="34"/>
      <c r="BA395" s="34"/>
      <c r="BB395" s="34"/>
      <c r="BD395" s="34"/>
      <c r="BE395" s="34"/>
      <c r="BF395" s="34"/>
      <c r="BG395" s="34"/>
      <c r="BH395" s="34"/>
      <c r="BI395" s="34"/>
      <c r="BJ395" s="34"/>
      <c r="BK395" s="34"/>
      <c r="BL395" s="34"/>
      <c r="BM395" s="34"/>
      <c r="BN395" s="34"/>
      <c r="BO395" s="34"/>
      <c r="BP395" s="34"/>
      <c r="BQ395" s="34"/>
      <c r="BR395" s="34"/>
      <c r="BS395" s="34"/>
      <c r="BT395" s="34"/>
      <c r="BU395" s="34"/>
      <c r="BV395" s="34"/>
      <c r="BW395" s="34"/>
      <c r="BX395" s="34"/>
      <c r="BY395" s="34"/>
    </row>
    <row r="396" spans="1:77" x14ac:dyDescent="0.3">
      <c r="A396" s="39"/>
      <c r="B396" s="42"/>
      <c r="C396" s="42"/>
      <c r="D396" s="75"/>
      <c r="E396" s="75"/>
      <c r="F396" s="76"/>
      <c r="G396" s="47"/>
      <c r="H396" s="47"/>
      <c r="I396" s="75"/>
      <c r="J396" s="76"/>
      <c r="K396" s="76"/>
      <c r="L396" s="75"/>
      <c r="M396" s="49"/>
      <c r="N396" s="76"/>
      <c r="O396" s="49"/>
      <c r="P396" s="77"/>
      <c r="Q396" s="53"/>
      <c r="R396" s="54"/>
      <c r="S396" s="55"/>
      <c r="T396" s="56"/>
      <c r="U396" s="56"/>
      <c r="V396" s="42"/>
      <c r="W396" s="57"/>
      <c r="X396" s="58"/>
      <c r="Y396" s="75"/>
      <c r="Z396" s="59"/>
      <c r="AA396" s="61"/>
      <c r="AB396" s="61"/>
      <c r="AC396" s="61"/>
      <c r="AD396" s="62"/>
      <c r="AE396" s="62"/>
      <c r="AF396" s="34"/>
      <c r="AG396" s="34"/>
      <c r="AH396" s="34"/>
      <c r="AI396" s="34"/>
      <c r="AJ396" s="34"/>
      <c r="AK396" s="34"/>
      <c r="AL396" s="34"/>
      <c r="AM396" s="34"/>
      <c r="AN396" s="34"/>
      <c r="AO396" s="34"/>
      <c r="AP396" s="34"/>
      <c r="AQ396" s="34"/>
      <c r="AR396" s="34"/>
      <c r="AS396" s="34"/>
      <c r="AT396" s="34"/>
      <c r="AU396" s="34"/>
      <c r="AV396" s="34"/>
      <c r="AW396" s="34"/>
      <c r="AX396" s="34"/>
      <c r="AY396" s="34"/>
      <c r="AZ396" s="34"/>
      <c r="BA396" s="34"/>
      <c r="BB396" s="34"/>
      <c r="BD396" s="34"/>
      <c r="BE396" s="34"/>
      <c r="BF396" s="34"/>
      <c r="BG396" s="34"/>
      <c r="BH396" s="34"/>
      <c r="BI396" s="34"/>
      <c r="BJ396" s="34"/>
      <c r="BK396" s="34"/>
      <c r="BL396" s="34"/>
      <c r="BM396" s="34"/>
      <c r="BN396" s="34"/>
      <c r="BO396" s="34"/>
      <c r="BP396" s="34"/>
      <c r="BQ396" s="34"/>
      <c r="BR396" s="34"/>
      <c r="BS396" s="34"/>
      <c r="BT396" s="34"/>
      <c r="BU396" s="34"/>
      <c r="BV396" s="34"/>
      <c r="BW396" s="34"/>
      <c r="BX396" s="34"/>
      <c r="BY396" s="34"/>
    </row>
    <row r="397" spans="1:77" x14ac:dyDescent="0.3">
      <c r="A397" s="39"/>
      <c r="B397" s="42"/>
      <c r="C397" s="42"/>
      <c r="D397" s="75"/>
      <c r="E397" s="75"/>
      <c r="F397" s="76"/>
      <c r="G397" s="47"/>
      <c r="H397" s="47"/>
      <c r="I397" s="75"/>
      <c r="J397" s="76"/>
      <c r="K397" s="76"/>
      <c r="L397" s="75"/>
      <c r="M397" s="49"/>
      <c r="N397" s="76"/>
      <c r="O397" s="49"/>
      <c r="P397" s="77"/>
      <c r="Q397" s="53"/>
      <c r="R397" s="54"/>
      <c r="S397" s="55"/>
      <c r="T397" s="56"/>
      <c r="U397" s="56"/>
      <c r="V397" s="42"/>
      <c r="W397" s="57"/>
      <c r="X397" s="58"/>
      <c r="Y397" s="75"/>
      <c r="Z397" s="59"/>
      <c r="AA397" s="61"/>
      <c r="AB397" s="61"/>
      <c r="AC397" s="61"/>
      <c r="AD397" s="62"/>
      <c r="AE397" s="62"/>
      <c r="AF397" s="34"/>
      <c r="AG397" s="34"/>
      <c r="AH397" s="34"/>
      <c r="AI397" s="34"/>
      <c r="AJ397" s="34"/>
      <c r="AK397" s="34"/>
      <c r="AL397" s="34"/>
      <c r="AM397" s="34"/>
      <c r="AN397" s="34"/>
      <c r="AO397" s="34"/>
      <c r="AP397" s="34"/>
      <c r="AQ397" s="34"/>
      <c r="AR397" s="34"/>
      <c r="AS397" s="34"/>
      <c r="AT397" s="34"/>
      <c r="AU397" s="34"/>
      <c r="AV397" s="34"/>
      <c r="AW397" s="34"/>
      <c r="AX397" s="34"/>
      <c r="AY397" s="34"/>
      <c r="AZ397" s="34"/>
      <c r="BA397" s="34"/>
      <c r="BB397" s="34"/>
      <c r="BD397" s="34"/>
      <c r="BE397" s="34"/>
      <c r="BF397" s="34"/>
      <c r="BG397" s="34"/>
      <c r="BH397" s="34"/>
      <c r="BI397" s="34"/>
      <c r="BJ397" s="34"/>
      <c r="BK397" s="34"/>
      <c r="BL397" s="34"/>
      <c r="BM397" s="34"/>
      <c r="BN397" s="34"/>
      <c r="BO397" s="34"/>
      <c r="BP397" s="34"/>
      <c r="BQ397" s="34"/>
      <c r="BR397" s="34"/>
      <c r="BS397" s="34"/>
      <c r="BT397" s="34"/>
      <c r="BU397" s="34"/>
      <c r="BV397" s="34"/>
      <c r="BW397" s="34"/>
      <c r="BX397" s="34"/>
      <c r="BY397" s="34"/>
    </row>
    <row r="398" spans="1:77" x14ac:dyDescent="0.3">
      <c r="A398" s="39"/>
      <c r="B398" s="42"/>
      <c r="C398" s="42"/>
      <c r="D398" s="75"/>
      <c r="E398" s="75"/>
      <c r="F398" s="76"/>
      <c r="G398" s="47"/>
      <c r="H398" s="47"/>
      <c r="I398" s="75"/>
      <c r="J398" s="76"/>
      <c r="K398" s="76"/>
      <c r="L398" s="75"/>
      <c r="M398" s="49"/>
      <c r="N398" s="76"/>
      <c r="O398" s="49"/>
      <c r="P398" s="77"/>
      <c r="Q398" s="53"/>
      <c r="R398" s="54"/>
      <c r="S398" s="55"/>
      <c r="T398" s="56"/>
      <c r="U398" s="56"/>
      <c r="V398" s="42"/>
      <c r="W398" s="57"/>
      <c r="X398" s="58"/>
      <c r="Y398" s="75"/>
      <c r="Z398" s="59"/>
      <c r="AA398" s="61"/>
      <c r="AB398" s="61"/>
      <c r="AC398" s="61"/>
      <c r="AD398" s="62"/>
      <c r="AE398" s="62"/>
      <c r="AF398" s="34"/>
      <c r="AG398" s="34"/>
      <c r="AH398" s="34"/>
      <c r="AI398" s="34"/>
      <c r="AJ398" s="34"/>
      <c r="AK398" s="34"/>
      <c r="AL398" s="34"/>
      <c r="AM398" s="34"/>
      <c r="AN398" s="34"/>
      <c r="AO398" s="34"/>
      <c r="AP398" s="34"/>
      <c r="AQ398" s="34"/>
      <c r="AR398" s="34"/>
      <c r="AS398" s="34"/>
      <c r="AT398" s="34"/>
      <c r="AU398" s="34"/>
      <c r="AV398" s="34"/>
      <c r="AW398" s="34"/>
      <c r="AX398" s="34"/>
      <c r="AY398" s="34"/>
      <c r="AZ398" s="34"/>
      <c r="BA398" s="34"/>
      <c r="BB398" s="34"/>
      <c r="BD398" s="34"/>
      <c r="BE398" s="34"/>
      <c r="BF398" s="34"/>
      <c r="BG398" s="34"/>
      <c r="BH398" s="34"/>
      <c r="BI398" s="34"/>
      <c r="BJ398" s="34"/>
      <c r="BK398" s="34"/>
      <c r="BL398" s="34"/>
      <c r="BM398" s="34"/>
      <c r="BN398" s="34"/>
      <c r="BO398" s="34"/>
      <c r="BP398" s="34"/>
      <c r="BQ398" s="34"/>
      <c r="BR398" s="34"/>
      <c r="BS398" s="34"/>
      <c r="BT398" s="34"/>
      <c r="BU398" s="34"/>
      <c r="BV398" s="34"/>
      <c r="BW398" s="34"/>
      <c r="BX398" s="34"/>
      <c r="BY398" s="34"/>
    </row>
    <row r="399" spans="1:77" x14ac:dyDescent="0.3">
      <c r="A399" s="39"/>
      <c r="B399" s="42"/>
      <c r="C399" s="42"/>
      <c r="D399" s="75"/>
      <c r="E399" s="75"/>
      <c r="F399" s="76"/>
      <c r="G399" s="47"/>
      <c r="H399" s="47"/>
      <c r="I399" s="75"/>
      <c r="J399" s="76"/>
      <c r="K399" s="76"/>
      <c r="L399" s="75"/>
      <c r="M399" s="49"/>
      <c r="N399" s="76"/>
      <c r="O399" s="49"/>
      <c r="P399" s="77"/>
      <c r="Q399" s="53"/>
      <c r="R399" s="54"/>
      <c r="S399" s="55"/>
      <c r="T399" s="56"/>
      <c r="U399" s="56"/>
      <c r="V399" s="42"/>
      <c r="W399" s="57"/>
      <c r="X399" s="58"/>
      <c r="Y399" s="75"/>
      <c r="Z399" s="59"/>
      <c r="AA399" s="61"/>
      <c r="AB399" s="61"/>
      <c r="AC399" s="61"/>
      <c r="AD399" s="62"/>
      <c r="AE399" s="62"/>
      <c r="AF399" s="34"/>
      <c r="AG399" s="34"/>
      <c r="AH399" s="34"/>
      <c r="AI399" s="34"/>
      <c r="AJ399" s="34"/>
      <c r="AK399" s="34"/>
      <c r="AL399" s="34"/>
      <c r="AM399" s="34"/>
      <c r="AN399" s="34"/>
      <c r="AO399" s="34"/>
      <c r="AP399" s="34"/>
      <c r="AQ399" s="34"/>
      <c r="AR399" s="34"/>
      <c r="AS399" s="34"/>
      <c r="AT399" s="34"/>
      <c r="AU399" s="34"/>
      <c r="AV399" s="34"/>
      <c r="AW399" s="34"/>
      <c r="AX399" s="34"/>
      <c r="AY399" s="34"/>
      <c r="AZ399" s="34"/>
      <c r="BA399" s="34"/>
      <c r="BB399" s="34"/>
      <c r="BD399" s="34"/>
      <c r="BE399" s="34"/>
      <c r="BF399" s="34"/>
      <c r="BG399" s="34"/>
      <c r="BH399" s="34"/>
      <c r="BI399" s="34"/>
      <c r="BJ399" s="34"/>
      <c r="BK399" s="34"/>
      <c r="BL399" s="34"/>
      <c r="BM399" s="34"/>
      <c r="BN399" s="34"/>
      <c r="BO399" s="34"/>
      <c r="BP399" s="34"/>
      <c r="BQ399" s="34"/>
      <c r="BR399" s="34"/>
      <c r="BS399" s="34"/>
      <c r="BT399" s="34"/>
      <c r="BU399" s="34"/>
      <c r="BV399" s="34"/>
      <c r="BW399" s="34"/>
      <c r="BX399" s="34"/>
      <c r="BY399" s="34"/>
    </row>
    <row r="400" spans="1:77" x14ac:dyDescent="0.3">
      <c r="A400" s="39"/>
      <c r="B400" s="42"/>
      <c r="C400" s="42"/>
      <c r="D400" s="75"/>
      <c r="E400" s="75"/>
      <c r="F400" s="76"/>
      <c r="G400" s="47"/>
      <c r="H400" s="47"/>
      <c r="I400" s="75"/>
      <c r="J400" s="76"/>
      <c r="K400" s="76"/>
      <c r="L400" s="75"/>
      <c r="M400" s="49"/>
      <c r="N400" s="76"/>
      <c r="O400" s="49"/>
      <c r="P400" s="77"/>
      <c r="Q400" s="53"/>
      <c r="R400" s="54"/>
      <c r="S400" s="55"/>
      <c r="T400" s="56"/>
      <c r="U400" s="56"/>
      <c r="V400" s="42"/>
      <c r="W400" s="57"/>
      <c r="X400" s="58"/>
      <c r="Y400" s="75"/>
      <c r="Z400" s="59"/>
      <c r="AA400" s="61"/>
      <c r="AB400" s="61"/>
      <c r="AC400" s="61"/>
      <c r="AD400" s="62"/>
      <c r="AE400" s="62"/>
      <c r="AF400" s="34"/>
      <c r="AG400" s="34"/>
      <c r="AH400" s="34"/>
      <c r="AI400" s="34"/>
      <c r="AJ400" s="34"/>
      <c r="AK400" s="34"/>
      <c r="AL400" s="34"/>
      <c r="AM400" s="34"/>
      <c r="AN400" s="34"/>
      <c r="AO400" s="34"/>
      <c r="AP400" s="34"/>
      <c r="AQ400" s="34"/>
      <c r="AR400" s="34"/>
      <c r="AS400" s="34"/>
      <c r="AT400" s="34"/>
      <c r="AU400" s="34"/>
      <c r="AV400" s="34"/>
      <c r="AW400" s="34"/>
      <c r="AX400" s="34"/>
      <c r="AY400" s="34"/>
      <c r="AZ400" s="34"/>
      <c r="BA400" s="34"/>
      <c r="BB400" s="34"/>
      <c r="BD400" s="34"/>
      <c r="BE400" s="34"/>
      <c r="BF400" s="34"/>
      <c r="BG400" s="34"/>
      <c r="BH400" s="34"/>
      <c r="BI400" s="34"/>
      <c r="BJ400" s="34"/>
      <c r="BK400" s="34"/>
      <c r="BL400" s="34"/>
      <c r="BM400" s="34"/>
      <c r="BN400" s="34"/>
      <c r="BO400" s="34"/>
      <c r="BP400" s="34"/>
      <c r="BQ400" s="34"/>
      <c r="BR400" s="34"/>
      <c r="BS400" s="34"/>
      <c r="BT400" s="34"/>
      <c r="BU400" s="34"/>
      <c r="BV400" s="34"/>
      <c r="BW400" s="34"/>
      <c r="BX400" s="34"/>
      <c r="BY400" s="34"/>
    </row>
    <row r="401" spans="1:77" x14ac:dyDescent="0.3">
      <c r="A401" s="39"/>
      <c r="B401" s="42"/>
      <c r="C401" s="42"/>
      <c r="D401" s="75"/>
      <c r="E401" s="75"/>
      <c r="F401" s="76"/>
      <c r="G401" s="47"/>
      <c r="H401" s="47"/>
      <c r="I401" s="75"/>
      <c r="J401" s="76"/>
      <c r="K401" s="76"/>
      <c r="L401" s="75"/>
      <c r="M401" s="49"/>
      <c r="N401" s="76"/>
      <c r="O401" s="49"/>
      <c r="P401" s="77"/>
      <c r="Q401" s="53"/>
      <c r="R401" s="54"/>
      <c r="S401" s="55"/>
      <c r="T401" s="56"/>
      <c r="U401" s="56"/>
      <c r="V401" s="42"/>
      <c r="W401" s="57"/>
      <c r="X401" s="58"/>
      <c r="Y401" s="75"/>
      <c r="Z401" s="59"/>
      <c r="AA401" s="61"/>
      <c r="AB401" s="61"/>
      <c r="AC401" s="61"/>
      <c r="AD401" s="62"/>
      <c r="AE401" s="62"/>
      <c r="AF401" s="34"/>
      <c r="AG401" s="34"/>
      <c r="AH401" s="34"/>
      <c r="AI401" s="34"/>
      <c r="AJ401" s="34"/>
      <c r="AK401" s="34"/>
      <c r="AL401" s="34"/>
      <c r="AM401" s="34"/>
      <c r="AN401" s="34"/>
      <c r="AO401" s="34"/>
      <c r="AP401" s="34"/>
      <c r="AQ401" s="34"/>
      <c r="AR401" s="34"/>
      <c r="AS401" s="34"/>
      <c r="AT401" s="34"/>
      <c r="AU401" s="34"/>
      <c r="AV401" s="34"/>
      <c r="AW401" s="34"/>
      <c r="AX401" s="34"/>
      <c r="AY401" s="34"/>
      <c r="AZ401" s="34"/>
      <c r="BA401" s="34"/>
      <c r="BB401" s="34"/>
      <c r="BD401" s="34"/>
      <c r="BE401" s="34"/>
      <c r="BF401" s="34"/>
      <c r="BG401" s="34"/>
      <c r="BH401" s="34"/>
      <c r="BI401" s="34"/>
      <c r="BJ401" s="34"/>
      <c r="BK401" s="34"/>
      <c r="BL401" s="34"/>
      <c r="BM401" s="34"/>
      <c r="BN401" s="34"/>
      <c r="BO401" s="34"/>
      <c r="BP401" s="34"/>
      <c r="BQ401" s="34"/>
      <c r="BR401" s="34"/>
      <c r="BS401" s="34"/>
      <c r="BT401" s="34"/>
      <c r="BU401" s="34"/>
      <c r="BV401" s="34"/>
      <c r="BW401" s="34"/>
      <c r="BX401" s="34"/>
      <c r="BY401" s="34"/>
    </row>
    <row r="402" spans="1:77" x14ac:dyDescent="0.3">
      <c r="A402" s="39"/>
      <c r="B402" s="42"/>
      <c r="C402" s="42"/>
      <c r="D402" s="75"/>
      <c r="E402" s="75"/>
      <c r="F402" s="76"/>
      <c r="G402" s="47"/>
      <c r="H402" s="47"/>
      <c r="I402" s="75"/>
      <c r="J402" s="76"/>
      <c r="K402" s="76"/>
      <c r="L402" s="75"/>
      <c r="M402" s="49"/>
      <c r="N402" s="76"/>
      <c r="O402" s="49"/>
      <c r="P402" s="77"/>
      <c r="Q402" s="53"/>
      <c r="R402" s="54"/>
      <c r="S402" s="55"/>
      <c r="T402" s="56"/>
      <c r="U402" s="56"/>
      <c r="V402" s="42"/>
      <c r="W402" s="57"/>
      <c r="X402" s="58"/>
      <c r="Y402" s="75"/>
      <c r="Z402" s="59"/>
      <c r="AA402" s="61"/>
      <c r="AB402" s="61"/>
      <c r="AC402" s="61"/>
      <c r="AD402" s="62"/>
      <c r="AE402" s="62"/>
      <c r="AF402" s="34"/>
      <c r="AG402" s="34"/>
      <c r="AH402" s="34"/>
      <c r="AI402" s="34"/>
      <c r="AJ402" s="34"/>
      <c r="AK402" s="34"/>
      <c r="AL402" s="34"/>
      <c r="AM402" s="34"/>
      <c r="AN402" s="34"/>
      <c r="AO402" s="34"/>
      <c r="AP402" s="34"/>
      <c r="AQ402" s="34"/>
      <c r="AR402" s="34"/>
      <c r="AS402" s="34"/>
      <c r="AT402" s="34"/>
      <c r="AU402" s="34"/>
      <c r="AV402" s="34"/>
      <c r="AW402" s="34"/>
      <c r="AX402" s="34"/>
      <c r="AY402" s="34"/>
      <c r="AZ402" s="34"/>
      <c r="BA402" s="34"/>
      <c r="BB402" s="34"/>
      <c r="BD402" s="34"/>
      <c r="BE402" s="34"/>
      <c r="BF402" s="34"/>
      <c r="BG402" s="34"/>
      <c r="BH402" s="34"/>
      <c r="BI402" s="34"/>
      <c r="BJ402" s="34"/>
      <c r="BK402" s="34"/>
      <c r="BL402" s="34"/>
      <c r="BM402" s="34"/>
      <c r="BN402" s="34"/>
      <c r="BO402" s="34"/>
      <c r="BP402" s="34"/>
      <c r="BQ402" s="34"/>
      <c r="BR402" s="34"/>
      <c r="BS402" s="34"/>
      <c r="BT402" s="34"/>
      <c r="BU402" s="34"/>
      <c r="BV402" s="34"/>
      <c r="BW402" s="34"/>
      <c r="BX402" s="34"/>
      <c r="BY402" s="34"/>
    </row>
    <row r="403" spans="1:77" x14ac:dyDescent="0.3">
      <c r="A403" s="39"/>
      <c r="B403" s="42"/>
      <c r="C403" s="42"/>
      <c r="D403" s="75"/>
      <c r="E403" s="75"/>
      <c r="F403" s="76"/>
      <c r="G403" s="47"/>
      <c r="H403" s="47"/>
      <c r="I403" s="75"/>
      <c r="J403" s="76"/>
      <c r="K403" s="76"/>
      <c r="L403" s="75"/>
      <c r="M403" s="49"/>
      <c r="N403" s="76"/>
      <c r="O403" s="49"/>
      <c r="P403" s="77"/>
      <c r="Q403" s="53"/>
      <c r="R403" s="54"/>
      <c r="S403" s="55"/>
      <c r="T403" s="56"/>
      <c r="U403" s="56"/>
      <c r="V403" s="42"/>
      <c r="W403" s="57"/>
      <c r="X403" s="58"/>
      <c r="Y403" s="75"/>
      <c r="Z403" s="59"/>
      <c r="AA403" s="61"/>
      <c r="AB403" s="61"/>
      <c r="AC403" s="61"/>
      <c r="AD403" s="62"/>
      <c r="AE403" s="62"/>
      <c r="AF403" s="34"/>
      <c r="AG403" s="34"/>
      <c r="AH403" s="34"/>
      <c r="AI403" s="34"/>
      <c r="AJ403" s="34"/>
      <c r="AK403" s="34"/>
      <c r="AL403" s="34"/>
      <c r="AM403" s="34"/>
      <c r="AN403" s="34"/>
      <c r="AO403" s="34"/>
      <c r="AP403" s="34"/>
      <c r="AQ403" s="34"/>
      <c r="AR403" s="34"/>
      <c r="AS403" s="34"/>
      <c r="AT403" s="34"/>
      <c r="AU403" s="34"/>
      <c r="AV403" s="34"/>
      <c r="AW403" s="34"/>
      <c r="AX403" s="34"/>
      <c r="AY403" s="34"/>
      <c r="AZ403" s="34"/>
      <c r="BA403" s="34"/>
      <c r="BB403" s="34"/>
      <c r="BD403" s="34"/>
      <c r="BE403" s="34"/>
      <c r="BF403" s="34"/>
      <c r="BG403" s="34"/>
      <c r="BH403" s="34"/>
      <c r="BI403" s="34"/>
      <c r="BJ403" s="34"/>
      <c r="BK403" s="34"/>
      <c r="BL403" s="34"/>
      <c r="BM403" s="34"/>
      <c r="BN403" s="34"/>
      <c r="BO403" s="34"/>
      <c r="BP403" s="34"/>
      <c r="BQ403" s="34"/>
      <c r="BR403" s="34"/>
      <c r="BS403" s="34"/>
      <c r="BT403" s="34"/>
      <c r="BU403" s="34"/>
      <c r="BV403" s="34"/>
      <c r="BW403" s="34"/>
      <c r="BX403" s="34"/>
      <c r="BY403" s="34"/>
    </row>
    <row r="404" spans="1:77" x14ac:dyDescent="0.3">
      <c r="A404" s="39"/>
      <c r="B404" s="42"/>
      <c r="C404" s="42"/>
      <c r="D404" s="75"/>
      <c r="E404" s="75"/>
      <c r="F404" s="76"/>
      <c r="G404" s="47"/>
      <c r="H404" s="47"/>
      <c r="I404" s="75"/>
      <c r="J404" s="76"/>
      <c r="K404" s="76"/>
      <c r="L404" s="75"/>
      <c r="M404" s="49"/>
      <c r="N404" s="76"/>
      <c r="O404" s="49"/>
      <c r="P404" s="77"/>
      <c r="Q404" s="53"/>
      <c r="R404" s="54"/>
      <c r="S404" s="55"/>
      <c r="T404" s="56"/>
      <c r="U404" s="56"/>
      <c r="V404" s="42"/>
      <c r="W404" s="57"/>
      <c r="X404" s="58"/>
      <c r="Y404" s="75"/>
      <c r="Z404" s="59"/>
      <c r="AA404" s="61"/>
      <c r="AB404" s="61"/>
      <c r="AC404" s="61"/>
      <c r="AD404" s="62"/>
      <c r="AE404" s="62"/>
      <c r="AF404" s="34"/>
      <c r="AG404" s="34"/>
      <c r="AH404" s="34"/>
      <c r="AI404" s="34"/>
      <c r="AJ404" s="34"/>
      <c r="AK404" s="34"/>
      <c r="AL404" s="34"/>
      <c r="AM404" s="34"/>
      <c r="AN404" s="34"/>
      <c r="AO404" s="34"/>
      <c r="AP404" s="34"/>
      <c r="AQ404" s="34"/>
      <c r="AR404" s="34"/>
      <c r="AS404" s="34"/>
      <c r="AT404" s="34"/>
      <c r="AU404" s="34"/>
      <c r="AV404" s="34"/>
      <c r="AW404" s="34"/>
      <c r="AX404" s="34"/>
      <c r="AY404" s="34"/>
      <c r="AZ404" s="34"/>
      <c r="BA404" s="34"/>
      <c r="BB404" s="34"/>
      <c r="BD404" s="34"/>
      <c r="BE404" s="34"/>
      <c r="BF404" s="34"/>
      <c r="BG404" s="34"/>
      <c r="BH404" s="34"/>
      <c r="BI404" s="34"/>
      <c r="BJ404" s="34"/>
      <c r="BK404" s="34"/>
      <c r="BL404" s="34"/>
      <c r="BM404" s="34"/>
      <c r="BN404" s="34"/>
      <c r="BO404" s="34"/>
      <c r="BP404" s="34"/>
      <c r="BQ404" s="34"/>
      <c r="BR404" s="34"/>
      <c r="BS404" s="34"/>
      <c r="BT404" s="34"/>
      <c r="BU404" s="34"/>
      <c r="BV404" s="34"/>
      <c r="BW404" s="34"/>
      <c r="BX404" s="34"/>
      <c r="BY404" s="34"/>
    </row>
    <row r="405" spans="1:77" x14ac:dyDescent="0.3">
      <c r="A405" s="39"/>
      <c r="B405" s="42"/>
      <c r="C405" s="42"/>
      <c r="D405" s="75"/>
      <c r="E405" s="75"/>
      <c r="F405" s="76"/>
      <c r="G405" s="47"/>
      <c r="H405" s="47"/>
      <c r="I405" s="75"/>
      <c r="J405" s="76"/>
      <c r="K405" s="76"/>
      <c r="L405" s="75"/>
      <c r="M405" s="49"/>
      <c r="N405" s="76"/>
      <c r="O405" s="49"/>
      <c r="P405" s="77"/>
      <c r="Q405" s="53"/>
      <c r="R405" s="54"/>
      <c r="S405" s="55"/>
      <c r="T405" s="56"/>
      <c r="U405" s="56"/>
      <c r="V405" s="42"/>
      <c r="W405" s="57"/>
      <c r="X405" s="58"/>
      <c r="Y405" s="75"/>
      <c r="Z405" s="59"/>
      <c r="AA405" s="61"/>
      <c r="AB405" s="61"/>
      <c r="AC405" s="61"/>
      <c r="AD405" s="62"/>
      <c r="AE405" s="62"/>
      <c r="AF405" s="34"/>
      <c r="AG405" s="34"/>
      <c r="AH405" s="34"/>
      <c r="AI405" s="34"/>
      <c r="AJ405" s="34"/>
      <c r="AK405" s="34"/>
      <c r="AL405" s="34"/>
      <c r="AM405" s="34"/>
      <c r="AN405" s="34"/>
      <c r="AO405" s="34"/>
      <c r="AP405" s="34"/>
      <c r="AQ405" s="34"/>
      <c r="AR405" s="34"/>
      <c r="AS405" s="34"/>
      <c r="AT405" s="34"/>
      <c r="AU405" s="34"/>
      <c r="AV405" s="34"/>
      <c r="AW405" s="34"/>
      <c r="AX405" s="34"/>
      <c r="AY405" s="34"/>
      <c r="AZ405" s="34"/>
      <c r="BA405" s="34"/>
      <c r="BB405" s="34"/>
      <c r="BD405" s="34"/>
      <c r="BE405" s="34"/>
      <c r="BF405" s="34"/>
      <c r="BG405" s="34"/>
      <c r="BH405" s="34"/>
      <c r="BI405" s="34"/>
      <c r="BJ405" s="34"/>
      <c r="BK405" s="34"/>
      <c r="BL405" s="34"/>
      <c r="BM405" s="34"/>
      <c r="BN405" s="34"/>
      <c r="BO405" s="34"/>
      <c r="BP405" s="34"/>
      <c r="BQ405" s="34"/>
      <c r="BR405" s="34"/>
      <c r="BS405" s="34"/>
      <c r="BT405" s="34"/>
      <c r="BU405" s="34"/>
      <c r="BV405" s="34"/>
      <c r="BW405" s="34"/>
      <c r="BX405" s="34"/>
      <c r="BY405" s="34"/>
    </row>
    <row r="406" spans="1:77" x14ac:dyDescent="0.3">
      <c r="A406" s="39"/>
      <c r="B406" s="42"/>
      <c r="C406" s="42"/>
      <c r="D406" s="75"/>
      <c r="E406" s="75"/>
      <c r="F406" s="76"/>
      <c r="G406" s="47"/>
      <c r="H406" s="47"/>
      <c r="I406" s="75"/>
      <c r="J406" s="76"/>
      <c r="K406" s="76"/>
      <c r="L406" s="75"/>
      <c r="M406" s="49"/>
      <c r="N406" s="76"/>
      <c r="O406" s="49"/>
      <c r="P406" s="77"/>
      <c r="Q406" s="53"/>
      <c r="R406" s="54"/>
      <c r="S406" s="55"/>
      <c r="T406" s="56"/>
      <c r="U406" s="56"/>
      <c r="V406" s="42"/>
      <c r="W406" s="57"/>
      <c r="X406" s="58"/>
      <c r="Y406" s="75"/>
      <c r="Z406" s="59"/>
      <c r="AA406" s="61"/>
      <c r="AB406" s="61"/>
      <c r="AC406" s="61"/>
      <c r="AD406" s="62"/>
      <c r="AE406" s="62"/>
      <c r="AF406" s="34"/>
      <c r="AG406" s="34"/>
      <c r="AH406" s="34"/>
      <c r="AI406" s="34"/>
      <c r="AJ406" s="34"/>
      <c r="AK406" s="34"/>
      <c r="AL406" s="34"/>
      <c r="AM406" s="34"/>
      <c r="AN406" s="34"/>
      <c r="AO406" s="34"/>
      <c r="AP406" s="34"/>
      <c r="AQ406" s="34"/>
      <c r="AR406" s="34"/>
      <c r="AS406" s="34"/>
      <c r="AT406" s="34"/>
      <c r="AU406" s="34"/>
      <c r="AV406" s="34"/>
      <c r="AW406" s="34"/>
      <c r="AX406" s="34"/>
      <c r="AY406" s="34"/>
      <c r="AZ406" s="34"/>
      <c r="BA406" s="34"/>
      <c r="BB406" s="34"/>
      <c r="BD406" s="34"/>
      <c r="BE406" s="34"/>
      <c r="BF406" s="34"/>
      <c r="BG406" s="34"/>
      <c r="BH406" s="34"/>
      <c r="BI406" s="34"/>
      <c r="BJ406" s="34"/>
      <c r="BK406" s="34"/>
      <c r="BL406" s="34"/>
      <c r="BM406" s="34"/>
      <c r="BN406" s="34"/>
      <c r="BO406" s="34"/>
      <c r="BP406" s="34"/>
      <c r="BQ406" s="34"/>
      <c r="BR406" s="34"/>
      <c r="BS406" s="34"/>
      <c r="BT406" s="34"/>
      <c r="BU406" s="34"/>
      <c r="BV406" s="34"/>
      <c r="BW406" s="34"/>
      <c r="BX406" s="34"/>
      <c r="BY406" s="34"/>
    </row>
    <row r="407" spans="1:77" x14ac:dyDescent="0.3">
      <c r="A407" s="39"/>
      <c r="B407" s="42"/>
      <c r="C407" s="42"/>
      <c r="D407" s="75"/>
      <c r="E407" s="75"/>
      <c r="F407" s="76"/>
      <c r="G407" s="47"/>
      <c r="H407" s="47"/>
      <c r="I407" s="75"/>
      <c r="J407" s="76"/>
      <c r="K407" s="76"/>
      <c r="L407" s="75"/>
      <c r="M407" s="49"/>
      <c r="N407" s="76"/>
      <c r="O407" s="49"/>
      <c r="P407" s="77"/>
      <c r="Q407" s="53"/>
      <c r="R407" s="54"/>
      <c r="S407" s="55"/>
      <c r="T407" s="56"/>
      <c r="U407" s="56"/>
      <c r="V407" s="42"/>
      <c r="W407" s="57"/>
      <c r="X407" s="58"/>
      <c r="Y407" s="75"/>
      <c r="Z407" s="59"/>
      <c r="AA407" s="61"/>
      <c r="AB407" s="61"/>
      <c r="AC407" s="61"/>
      <c r="AD407" s="62"/>
      <c r="AE407" s="62"/>
      <c r="AF407" s="34"/>
      <c r="AG407" s="34"/>
      <c r="AH407" s="34"/>
      <c r="AI407" s="34"/>
      <c r="AJ407" s="34"/>
      <c r="AK407" s="34"/>
      <c r="AL407" s="34"/>
      <c r="AM407" s="34"/>
      <c r="AN407" s="34"/>
      <c r="AO407" s="34"/>
      <c r="AP407" s="34"/>
      <c r="AQ407" s="34"/>
      <c r="AR407" s="34"/>
      <c r="AS407" s="34"/>
      <c r="AT407" s="34"/>
      <c r="AU407" s="34"/>
      <c r="AV407" s="34"/>
      <c r="AW407" s="34"/>
      <c r="AX407" s="34"/>
      <c r="AY407" s="34"/>
      <c r="AZ407" s="34"/>
      <c r="BA407" s="34"/>
      <c r="BB407" s="34"/>
      <c r="BD407" s="34"/>
      <c r="BE407" s="34"/>
      <c r="BF407" s="34"/>
      <c r="BG407" s="34"/>
      <c r="BH407" s="34"/>
      <c r="BI407" s="34"/>
      <c r="BJ407" s="34"/>
      <c r="BK407" s="34"/>
      <c r="BL407" s="34"/>
      <c r="BM407" s="34"/>
      <c r="BN407" s="34"/>
      <c r="BO407" s="34"/>
      <c r="BP407" s="34"/>
      <c r="BQ407" s="34"/>
      <c r="BR407" s="34"/>
      <c r="BS407" s="34"/>
      <c r="BT407" s="34"/>
      <c r="BU407" s="34"/>
      <c r="BV407" s="34"/>
      <c r="BW407" s="34"/>
      <c r="BX407" s="34"/>
      <c r="BY407" s="34"/>
    </row>
    <row r="408" spans="1:77" x14ac:dyDescent="0.3">
      <c r="A408" s="39"/>
      <c r="B408" s="42"/>
      <c r="C408" s="42"/>
      <c r="D408" s="75"/>
      <c r="E408" s="75"/>
      <c r="F408" s="76"/>
      <c r="G408" s="47"/>
      <c r="H408" s="47"/>
      <c r="I408" s="75"/>
      <c r="J408" s="76"/>
      <c r="K408" s="76"/>
      <c r="L408" s="75"/>
      <c r="M408" s="49"/>
      <c r="N408" s="76"/>
      <c r="O408" s="49"/>
      <c r="P408" s="77"/>
      <c r="Q408" s="53"/>
      <c r="R408" s="54"/>
      <c r="S408" s="55"/>
      <c r="T408" s="56"/>
      <c r="U408" s="56"/>
      <c r="V408" s="42"/>
      <c r="W408" s="57"/>
      <c r="X408" s="58"/>
      <c r="Y408" s="75"/>
      <c r="Z408" s="59"/>
      <c r="AA408" s="61"/>
      <c r="AB408" s="61"/>
      <c r="AC408" s="61"/>
      <c r="AD408" s="62"/>
      <c r="AE408" s="62"/>
      <c r="AF408" s="34"/>
      <c r="AG408" s="34"/>
      <c r="AH408" s="34"/>
      <c r="AI408" s="34"/>
      <c r="AJ408" s="34"/>
      <c r="AK408" s="34"/>
      <c r="AL408" s="34"/>
      <c r="AM408" s="34"/>
      <c r="AN408" s="34"/>
      <c r="AO408" s="34"/>
      <c r="AP408" s="34"/>
      <c r="AQ408" s="34"/>
      <c r="AR408" s="34"/>
      <c r="AS408" s="34"/>
      <c r="AT408" s="34"/>
      <c r="AU408" s="34"/>
      <c r="AV408" s="34"/>
      <c r="AW408" s="34"/>
      <c r="AX408" s="34"/>
      <c r="AY408" s="34"/>
      <c r="AZ408" s="34"/>
      <c r="BA408" s="34"/>
      <c r="BB408" s="34"/>
      <c r="BD408" s="34"/>
      <c r="BE408" s="34"/>
      <c r="BF408" s="34"/>
      <c r="BG408" s="34"/>
      <c r="BH408" s="34"/>
      <c r="BI408" s="34"/>
      <c r="BJ408" s="34"/>
      <c r="BK408" s="34"/>
      <c r="BL408" s="34"/>
      <c r="BM408" s="34"/>
      <c r="BN408" s="34"/>
      <c r="BO408" s="34"/>
      <c r="BP408" s="34"/>
      <c r="BQ408" s="34"/>
      <c r="BR408" s="34"/>
      <c r="BS408" s="34"/>
      <c r="BT408" s="34"/>
      <c r="BU408" s="34"/>
      <c r="BV408" s="34"/>
      <c r="BW408" s="34"/>
      <c r="BX408" s="34"/>
      <c r="BY408" s="34"/>
    </row>
    <row r="409" spans="1:77" x14ac:dyDescent="0.3">
      <c r="A409" s="39"/>
      <c r="B409" s="42"/>
      <c r="C409" s="42"/>
      <c r="D409" s="75"/>
      <c r="E409" s="75"/>
      <c r="F409" s="76"/>
      <c r="G409" s="47"/>
      <c r="H409" s="47"/>
      <c r="I409" s="75"/>
      <c r="J409" s="76"/>
      <c r="K409" s="76"/>
      <c r="L409" s="75"/>
      <c r="M409" s="49"/>
      <c r="N409" s="76"/>
      <c r="O409" s="49"/>
      <c r="P409" s="77"/>
      <c r="Q409" s="53"/>
      <c r="R409" s="54"/>
      <c r="S409" s="55"/>
      <c r="T409" s="56"/>
      <c r="U409" s="56"/>
      <c r="V409" s="42"/>
      <c r="W409" s="57"/>
      <c r="X409" s="58"/>
      <c r="Y409" s="75"/>
      <c r="Z409" s="59"/>
      <c r="AA409" s="61"/>
      <c r="AB409" s="61"/>
      <c r="AC409" s="61"/>
      <c r="AD409" s="62"/>
      <c r="AE409" s="62"/>
      <c r="AF409" s="34"/>
      <c r="AG409" s="34"/>
      <c r="AH409" s="34"/>
      <c r="AI409" s="34"/>
      <c r="AJ409" s="34"/>
      <c r="AK409" s="34"/>
      <c r="AL409" s="34"/>
      <c r="AM409" s="34"/>
      <c r="AN409" s="34"/>
      <c r="AO409" s="34"/>
      <c r="AP409" s="34"/>
      <c r="AQ409" s="34"/>
      <c r="AR409" s="34"/>
      <c r="AS409" s="34"/>
      <c r="AT409" s="34"/>
      <c r="AU409" s="34"/>
      <c r="AV409" s="34"/>
      <c r="AW409" s="34"/>
      <c r="AX409" s="34"/>
      <c r="AY409" s="34"/>
      <c r="AZ409" s="34"/>
      <c r="BA409" s="34"/>
      <c r="BB409" s="34"/>
      <c r="BD409" s="34"/>
      <c r="BE409" s="34"/>
      <c r="BF409" s="34"/>
      <c r="BG409" s="34"/>
      <c r="BH409" s="34"/>
      <c r="BI409" s="34"/>
      <c r="BJ409" s="34"/>
      <c r="BK409" s="34"/>
      <c r="BL409" s="34"/>
      <c r="BM409" s="34"/>
      <c r="BN409" s="34"/>
      <c r="BO409" s="34"/>
      <c r="BP409" s="34"/>
      <c r="BQ409" s="34"/>
      <c r="BR409" s="34"/>
      <c r="BS409" s="34"/>
      <c r="BT409" s="34"/>
      <c r="BU409" s="34"/>
      <c r="BV409" s="34"/>
      <c r="BW409" s="34"/>
      <c r="BX409" s="34"/>
      <c r="BY409" s="34"/>
    </row>
    <row r="410" spans="1:77" x14ac:dyDescent="0.3">
      <c r="A410" s="39"/>
      <c r="B410" s="42"/>
      <c r="C410" s="42"/>
      <c r="D410" s="75"/>
      <c r="E410" s="75"/>
      <c r="F410" s="76"/>
      <c r="G410" s="47"/>
      <c r="H410" s="47"/>
      <c r="I410" s="75"/>
      <c r="J410" s="76"/>
      <c r="K410" s="76"/>
      <c r="L410" s="75"/>
      <c r="M410" s="49"/>
      <c r="N410" s="76"/>
      <c r="O410" s="49"/>
      <c r="P410" s="77"/>
      <c r="Q410" s="53"/>
      <c r="R410" s="54"/>
      <c r="S410" s="55"/>
      <c r="T410" s="56"/>
      <c r="U410" s="56"/>
      <c r="V410" s="42"/>
      <c r="W410" s="57"/>
      <c r="X410" s="58"/>
      <c r="Y410" s="75"/>
      <c r="Z410" s="59"/>
      <c r="AA410" s="61"/>
      <c r="AB410" s="61"/>
      <c r="AC410" s="61"/>
      <c r="AD410" s="62"/>
      <c r="AE410" s="62"/>
      <c r="AF410" s="34"/>
      <c r="AG410" s="34"/>
      <c r="AH410" s="34"/>
      <c r="AI410" s="34"/>
      <c r="AJ410" s="34"/>
      <c r="AK410" s="34"/>
      <c r="AL410" s="34"/>
      <c r="AM410" s="34"/>
      <c r="AN410" s="34"/>
      <c r="AO410" s="34"/>
      <c r="AP410" s="34"/>
      <c r="AQ410" s="34"/>
      <c r="AR410" s="34"/>
      <c r="AS410" s="34"/>
      <c r="AT410" s="34"/>
      <c r="AU410" s="34"/>
      <c r="AV410" s="34"/>
      <c r="AW410" s="34"/>
      <c r="AX410" s="34"/>
      <c r="AY410" s="34"/>
      <c r="AZ410" s="34"/>
      <c r="BA410" s="34"/>
      <c r="BB410" s="34"/>
      <c r="BD410" s="34"/>
      <c r="BE410" s="34"/>
      <c r="BF410" s="34"/>
      <c r="BG410" s="34"/>
      <c r="BH410" s="34"/>
      <c r="BI410" s="34"/>
      <c r="BJ410" s="34"/>
      <c r="BK410" s="34"/>
      <c r="BL410" s="34"/>
      <c r="BM410" s="34"/>
      <c r="BN410" s="34"/>
      <c r="BO410" s="34"/>
      <c r="BP410" s="34"/>
      <c r="BQ410" s="34"/>
      <c r="BR410" s="34"/>
      <c r="BS410" s="34"/>
      <c r="BT410" s="34"/>
      <c r="BU410" s="34"/>
      <c r="BV410" s="34"/>
      <c r="BW410" s="34"/>
      <c r="BX410" s="34"/>
      <c r="BY410" s="34"/>
    </row>
    <row r="411" spans="1:77" x14ac:dyDescent="0.3">
      <c r="A411" s="39"/>
      <c r="B411" s="42"/>
      <c r="C411" s="42"/>
      <c r="D411" s="75"/>
      <c r="E411" s="75"/>
      <c r="F411" s="76"/>
      <c r="G411" s="47"/>
      <c r="H411" s="47"/>
      <c r="I411" s="75"/>
      <c r="J411" s="76"/>
      <c r="K411" s="76"/>
      <c r="L411" s="75"/>
      <c r="M411" s="49"/>
      <c r="N411" s="76"/>
      <c r="O411" s="49"/>
      <c r="P411" s="77"/>
      <c r="Q411" s="53"/>
      <c r="R411" s="54"/>
      <c r="S411" s="55"/>
      <c r="T411" s="56"/>
      <c r="U411" s="56"/>
      <c r="V411" s="42"/>
      <c r="W411" s="57"/>
      <c r="X411" s="58"/>
      <c r="Y411" s="75"/>
      <c r="Z411" s="59"/>
      <c r="AA411" s="61"/>
      <c r="AB411" s="61"/>
      <c r="AC411" s="61"/>
      <c r="AD411" s="62"/>
      <c r="AE411" s="62"/>
      <c r="AF411" s="34"/>
      <c r="AG411" s="34"/>
      <c r="AH411" s="34"/>
      <c r="AI411" s="34"/>
      <c r="AJ411" s="34"/>
      <c r="AK411" s="34"/>
      <c r="AL411" s="34"/>
      <c r="AM411" s="34"/>
      <c r="AN411" s="34"/>
      <c r="AO411" s="34"/>
      <c r="AP411" s="34"/>
      <c r="AQ411" s="34"/>
      <c r="AR411" s="34"/>
      <c r="AS411" s="34"/>
      <c r="AT411" s="34"/>
      <c r="AU411" s="34"/>
      <c r="AV411" s="34"/>
      <c r="AW411" s="34"/>
      <c r="AX411" s="34"/>
      <c r="AY411" s="34"/>
      <c r="AZ411" s="34"/>
      <c r="BA411" s="34"/>
      <c r="BB411" s="34"/>
      <c r="BD411" s="34"/>
      <c r="BE411" s="34"/>
      <c r="BF411" s="34"/>
      <c r="BG411" s="34"/>
      <c r="BH411" s="34"/>
      <c r="BI411" s="34"/>
      <c r="BJ411" s="34"/>
      <c r="BK411" s="34"/>
      <c r="BL411" s="34"/>
      <c r="BM411" s="34"/>
      <c r="BN411" s="34"/>
      <c r="BO411" s="34"/>
      <c r="BP411" s="34"/>
      <c r="BQ411" s="34"/>
      <c r="BR411" s="34"/>
      <c r="BS411" s="34"/>
      <c r="BT411" s="34"/>
      <c r="BU411" s="34"/>
      <c r="BV411" s="34"/>
      <c r="BW411" s="34"/>
      <c r="BX411" s="34"/>
      <c r="BY411" s="34"/>
    </row>
    <row r="412" spans="1:77" x14ac:dyDescent="0.3">
      <c r="A412" s="39"/>
      <c r="B412" s="42"/>
      <c r="C412" s="42"/>
      <c r="D412" s="75"/>
      <c r="E412" s="75"/>
      <c r="F412" s="76"/>
      <c r="G412" s="47"/>
      <c r="H412" s="47"/>
      <c r="I412" s="75"/>
      <c r="J412" s="76"/>
      <c r="K412" s="76"/>
      <c r="L412" s="75"/>
      <c r="M412" s="49"/>
      <c r="N412" s="76"/>
      <c r="O412" s="49"/>
      <c r="P412" s="77"/>
      <c r="Q412" s="53"/>
      <c r="R412" s="54"/>
      <c r="S412" s="55"/>
      <c r="T412" s="56"/>
      <c r="U412" s="56"/>
      <c r="V412" s="42"/>
      <c r="W412" s="57"/>
      <c r="X412" s="58"/>
      <c r="Y412" s="75"/>
      <c r="Z412" s="59"/>
      <c r="AA412" s="61"/>
      <c r="AB412" s="61"/>
      <c r="AC412" s="61"/>
      <c r="AD412" s="62"/>
      <c r="AE412" s="62"/>
      <c r="AF412" s="34"/>
      <c r="AG412" s="34"/>
      <c r="AH412" s="34"/>
      <c r="AI412" s="34"/>
      <c r="AJ412" s="34"/>
      <c r="AK412" s="34"/>
      <c r="AL412" s="34"/>
      <c r="AM412" s="34"/>
      <c r="AN412" s="34"/>
      <c r="AO412" s="34"/>
      <c r="AP412" s="34"/>
      <c r="AQ412" s="34"/>
      <c r="AR412" s="34"/>
      <c r="AS412" s="34"/>
      <c r="AT412" s="34"/>
      <c r="AU412" s="34"/>
      <c r="AV412" s="34"/>
      <c r="AW412" s="34"/>
      <c r="AX412" s="34"/>
      <c r="AY412" s="34"/>
      <c r="AZ412" s="34"/>
      <c r="BA412" s="34"/>
      <c r="BB412" s="34"/>
      <c r="BD412" s="34"/>
      <c r="BE412" s="34"/>
      <c r="BF412" s="34"/>
      <c r="BG412" s="34"/>
      <c r="BH412" s="34"/>
      <c r="BI412" s="34"/>
      <c r="BJ412" s="34"/>
      <c r="BK412" s="34"/>
      <c r="BL412" s="34"/>
      <c r="BM412" s="34"/>
      <c r="BN412" s="34"/>
      <c r="BO412" s="34"/>
      <c r="BP412" s="34"/>
      <c r="BQ412" s="34"/>
      <c r="BR412" s="34"/>
      <c r="BS412" s="34"/>
      <c r="BT412" s="34"/>
      <c r="BU412" s="34"/>
      <c r="BV412" s="34"/>
      <c r="BW412" s="34"/>
      <c r="BX412" s="34"/>
      <c r="BY412" s="34"/>
    </row>
    <row r="413" spans="1:77" x14ac:dyDescent="0.3">
      <c r="A413" s="39"/>
      <c r="B413" s="42"/>
      <c r="C413" s="42"/>
      <c r="D413" s="75"/>
      <c r="E413" s="75"/>
      <c r="F413" s="76"/>
      <c r="G413" s="47"/>
      <c r="H413" s="47"/>
      <c r="I413" s="75"/>
      <c r="J413" s="76"/>
      <c r="K413" s="76"/>
      <c r="L413" s="75"/>
      <c r="M413" s="49"/>
      <c r="N413" s="76"/>
      <c r="O413" s="49"/>
      <c r="P413" s="77"/>
      <c r="Q413" s="53"/>
      <c r="R413" s="54"/>
      <c r="S413" s="55"/>
      <c r="T413" s="56"/>
      <c r="U413" s="56"/>
      <c r="V413" s="42"/>
      <c r="W413" s="57"/>
      <c r="X413" s="58"/>
      <c r="Y413" s="75"/>
      <c r="Z413" s="59"/>
      <c r="AA413" s="61"/>
      <c r="AB413" s="61"/>
      <c r="AC413" s="61"/>
      <c r="AD413" s="62"/>
      <c r="AE413" s="62"/>
      <c r="AF413" s="34"/>
      <c r="AG413" s="34"/>
      <c r="AH413" s="34"/>
      <c r="AI413" s="34"/>
      <c r="AJ413" s="34"/>
      <c r="AK413" s="34"/>
      <c r="AL413" s="34"/>
      <c r="AM413" s="34"/>
      <c r="AN413" s="34"/>
      <c r="AO413" s="34"/>
      <c r="AP413" s="34"/>
      <c r="AQ413" s="34"/>
      <c r="AR413" s="34"/>
      <c r="AS413" s="34"/>
      <c r="AT413" s="34"/>
      <c r="AU413" s="34"/>
      <c r="AV413" s="34"/>
      <c r="AW413" s="34"/>
      <c r="AX413" s="34"/>
      <c r="AY413" s="34"/>
      <c r="AZ413" s="34"/>
      <c r="BA413" s="34"/>
      <c r="BB413" s="34"/>
      <c r="BD413" s="34"/>
      <c r="BE413" s="34"/>
      <c r="BF413" s="34"/>
      <c r="BG413" s="34"/>
      <c r="BH413" s="34"/>
      <c r="BI413" s="34"/>
      <c r="BJ413" s="34"/>
      <c r="BK413" s="34"/>
      <c r="BL413" s="34"/>
      <c r="BM413" s="34"/>
      <c r="BN413" s="34"/>
      <c r="BO413" s="34"/>
      <c r="BP413" s="34"/>
      <c r="BQ413" s="34"/>
      <c r="BR413" s="34"/>
      <c r="BS413" s="34"/>
      <c r="BT413" s="34"/>
      <c r="BU413" s="34"/>
      <c r="BV413" s="34"/>
      <c r="BW413" s="34"/>
      <c r="BX413" s="34"/>
      <c r="BY413" s="34"/>
    </row>
    <row r="414" spans="1:77" x14ac:dyDescent="0.3">
      <c r="A414" s="39"/>
      <c r="B414" s="42"/>
      <c r="C414" s="42"/>
      <c r="D414" s="75"/>
      <c r="E414" s="75"/>
      <c r="F414" s="76"/>
      <c r="G414" s="47"/>
      <c r="H414" s="47"/>
      <c r="I414" s="75"/>
      <c r="J414" s="76"/>
      <c r="K414" s="76"/>
      <c r="L414" s="75"/>
      <c r="M414" s="49"/>
      <c r="N414" s="76"/>
      <c r="O414" s="49"/>
      <c r="P414" s="77"/>
      <c r="Q414" s="53"/>
      <c r="R414" s="54"/>
      <c r="S414" s="55"/>
      <c r="T414" s="56"/>
      <c r="U414" s="56"/>
      <c r="V414" s="42"/>
      <c r="W414" s="57"/>
      <c r="X414" s="58"/>
      <c r="Y414" s="75"/>
      <c r="Z414" s="59"/>
      <c r="AA414" s="61"/>
      <c r="AB414" s="61"/>
      <c r="AC414" s="61"/>
      <c r="AD414" s="62"/>
      <c r="AE414" s="62"/>
      <c r="AF414" s="34"/>
      <c r="AG414" s="34"/>
      <c r="AH414" s="34"/>
      <c r="AI414" s="34"/>
      <c r="AJ414" s="34"/>
      <c r="AK414" s="34"/>
      <c r="AL414" s="34"/>
      <c r="AM414" s="34"/>
      <c r="AN414" s="34"/>
      <c r="AO414" s="34"/>
      <c r="AP414" s="34"/>
      <c r="AQ414" s="34"/>
      <c r="AR414" s="34"/>
      <c r="AS414" s="34"/>
      <c r="AT414" s="34"/>
      <c r="AU414" s="34"/>
      <c r="AV414" s="34"/>
      <c r="AW414" s="34"/>
      <c r="AX414" s="34"/>
      <c r="AY414" s="34"/>
      <c r="AZ414" s="34"/>
      <c r="BA414" s="34"/>
      <c r="BB414" s="34"/>
      <c r="BD414" s="34"/>
      <c r="BE414" s="34"/>
      <c r="BF414" s="34"/>
      <c r="BG414" s="34"/>
      <c r="BH414" s="34"/>
      <c r="BI414" s="34"/>
      <c r="BJ414" s="34"/>
      <c r="BK414" s="34"/>
      <c r="BL414" s="34"/>
      <c r="BM414" s="34"/>
      <c r="BN414" s="34"/>
      <c r="BO414" s="34"/>
      <c r="BP414" s="34"/>
      <c r="BQ414" s="34"/>
      <c r="BR414" s="34"/>
      <c r="BS414" s="34"/>
      <c r="BT414" s="34"/>
      <c r="BU414" s="34"/>
      <c r="BV414" s="34"/>
      <c r="BW414" s="34"/>
      <c r="BX414" s="34"/>
      <c r="BY414" s="34"/>
    </row>
    <row r="415" spans="1:77" x14ac:dyDescent="0.3">
      <c r="A415" s="39"/>
      <c r="B415" s="42"/>
      <c r="C415" s="42"/>
      <c r="D415" s="75"/>
      <c r="E415" s="75"/>
      <c r="F415" s="76"/>
      <c r="G415" s="47"/>
      <c r="H415" s="47"/>
      <c r="I415" s="75"/>
      <c r="J415" s="76"/>
      <c r="K415" s="76"/>
      <c r="L415" s="75"/>
      <c r="M415" s="49"/>
      <c r="N415" s="76"/>
      <c r="O415" s="49"/>
      <c r="P415" s="77"/>
      <c r="Q415" s="53"/>
      <c r="R415" s="54"/>
      <c r="S415" s="55"/>
      <c r="T415" s="56"/>
      <c r="U415" s="56"/>
      <c r="V415" s="42"/>
      <c r="W415" s="57"/>
      <c r="X415" s="58"/>
      <c r="Y415" s="75"/>
      <c r="Z415" s="59"/>
      <c r="AA415" s="61"/>
      <c r="AB415" s="61"/>
      <c r="AC415" s="61"/>
      <c r="AD415" s="62"/>
      <c r="AE415" s="62"/>
      <c r="AF415" s="34"/>
      <c r="AG415" s="34"/>
      <c r="AH415" s="34"/>
      <c r="AI415" s="34"/>
      <c r="AJ415" s="34"/>
      <c r="AK415" s="34"/>
      <c r="AL415" s="34"/>
      <c r="AM415" s="34"/>
      <c r="AN415" s="34"/>
      <c r="AO415" s="34"/>
      <c r="AP415" s="34"/>
      <c r="AQ415" s="34"/>
      <c r="AR415" s="34"/>
      <c r="AS415" s="34"/>
      <c r="AT415" s="34"/>
      <c r="AU415" s="34"/>
      <c r="AV415" s="34"/>
      <c r="AW415" s="34"/>
      <c r="AX415" s="34"/>
      <c r="AY415" s="34"/>
      <c r="AZ415" s="34"/>
      <c r="BA415" s="34"/>
      <c r="BB415" s="34"/>
      <c r="BD415" s="34"/>
      <c r="BE415" s="34"/>
      <c r="BF415" s="34"/>
      <c r="BG415" s="34"/>
      <c r="BH415" s="34"/>
      <c r="BI415" s="34"/>
      <c r="BJ415" s="34"/>
      <c r="BK415" s="34"/>
      <c r="BL415" s="34"/>
      <c r="BM415" s="34"/>
      <c r="BN415" s="34"/>
      <c r="BO415" s="34"/>
      <c r="BP415" s="34"/>
      <c r="BQ415" s="34"/>
      <c r="BR415" s="34"/>
      <c r="BS415" s="34"/>
      <c r="BT415" s="34"/>
      <c r="BU415" s="34"/>
      <c r="BV415" s="34"/>
      <c r="BW415" s="34"/>
      <c r="BX415" s="34"/>
      <c r="BY415" s="34"/>
    </row>
    <row r="416" spans="1:77" x14ac:dyDescent="0.3">
      <c r="A416" s="39"/>
      <c r="B416" s="42"/>
      <c r="C416" s="42"/>
      <c r="D416" s="75"/>
      <c r="E416" s="75"/>
      <c r="F416" s="76"/>
      <c r="G416" s="47"/>
      <c r="H416" s="47"/>
      <c r="I416" s="75"/>
      <c r="J416" s="76"/>
      <c r="K416" s="76"/>
      <c r="L416" s="75"/>
      <c r="M416" s="49"/>
      <c r="N416" s="76"/>
      <c r="O416" s="49"/>
      <c r="P416" s="77"/>
      <c r="Q416" s="53"/>
      <c r="R416" s="54"/>
      <c r="S416" s="55"/>
      <c r="T416" s="56"/>
      <c r="U416" s="56"/>
      <c r="V416" s="42"/>
      <c r="W416" s="57"/>
      <c r="X416" s="58"/>
      <c r="Y416" s="75"/>
      <c r="Z416" s="59"/>
      <c r="AA416" s="61"/>
      <c r="AB416" s="61"/>
      <c r="AC416" s="61"/>
      <c r="AD416" s="62"/>
      <c r="AE416" s="62"/>
      <c r="AF416" s="34"/>
      <c r="AG416" s="34"/>
      <c r="AH416" s="34"/>
      <c r="AI416" s="34"/>
      <c r="AJ416" s="34"/>
      <c r="AK416" s="34"/>
      <c r="AL416" s="34"/>
      <c r="AM416" s="34"/>
      <c r="AN416" s="34"/>
      <c r="AO416" s="34"/>
      <c r="AP416" s="34"/>
      <c r="AQ416" s="34"/>
      <c r="AR416" s="34"/>
      <c r="AS416" s="34"/>
      <c r="AT416" s="34"/>
      <c r="AU416" s="34"/>
      <c r="AV416" s="34"/>
      <c r="AW416" s="34"/>
      <c r="AX416" s="34"/>
      <c r="AY416" s="34"/>
      <c r="AZ416" s="34"/>
      <c r="BA416" s="34"/>
      <c r="BB416" s="34"/>
      <c r="BD416" s="34"/>
      <c r="BE416" s="34"/>
      <c r="BF416" s="34"/>
      <c r="BG416" s="34"/>
      <c r="BH416" s="34"/>
      <c r="BI416" s="34"/>
      <c r="BJ416" s="34"/>
      <c r="BK416" s="34"/>
      <c r="BL416" s="34"/>
      <c r="BM416" s="34"/>
      <c r="BN416" s="34"/>
      <c r="BO416" s="34"/>
      <c r="BP416" s="34"/>
      <c r="BQ416" s="34"/>
      <c r="BR416" s="34"/>
      <c r="BS416" s="34"/>
      <c r="BT416" s="34"/>
      <c r="BU416" s="34"/>
      <c r="BV416" s="34"/>
      <c r="BW416" s="34"/>
      <c r="BX416" s="34"/>
      <c r="BY416" s="34"/>
    </row>
    <row r="417" spans="1:77" x14ac:dyDescent="0.3">
      <c r="A417" s="39"/>
      <c r="B417" s="42"/>
      <c r="C417" s="42"/>
      <c r="D417" s="75"/>
      <c r="E417" s="75"/>
      <c r="F417" s="76"/>
      <c r="G417" s="47"/>
      <c r="H417" s="47"/>
      <c r="I417" s="75"/>
      <c r="J417" s="76"/>
      <c r="K417" s="76"/>
      <c r="L417" s="75"/>
      <c r="M417" s="49"/>
      <c r="N417" s="76"/>
      <c r="O417" s="49"/>
      <c r="P417" s="77"/>
      <c r="Q417" s="53"/>
      <c r="R417" s="54"/>
      <c r="S417" s="55"/>
      <c r="T417" s="56"/>
      <c r="U417" s="56"/>
      <c r="V417" s="42"/>
      <c r="W417" s="57"/>
      <c r="X417" s="58"/>
      <c r="Y417" s="75"/>
      <c r="Z417" s="59"/>
      <c r="AA417" s="61"/>
      <c r="AB417" s="61"/>
      <c r="AC417" s="61"/>
      <c r="AD417" s="62"/>
      <c r="AE417" s="62"/>
      <c r="AF417" s="34"/>
      <c r="AG417" s="34"/>
      <c r="AH417" s="34"/>
      <c r="AI417" s="34"/>
      <c r="AJ417" s="34"/>
      <c r="AK417" s="34"/>
      <c r="AL417" s="34"/>
      <c r="AM417" s="34"/>
      <c r="AN417" s="34"/>
      <c r="AO417" s="34"/>
      <c r="AP417" s="34"/>
      <c r="AQ417" s="34"/>
      <c r="AR417" s="34"/>
      <c r="AS417" s="34"/>
      <c r="AT417" s="34"/>
      <c r="AU417" s="34"/>
      <c r="AV417" s="34"/>
      <c r="AW417" s="34"/>
      <c r="AX417" s="34"/>
      <c r="AY417" s="34"/>
      <c r="AZ417" s="34"/>
      <c r="BA417" s="34"/>
      <c r="BB417" s="34"/>
      <c r="BD417" s="34"/>
      <c r="BE417" s="34"/>
      <c r="BF417" s="34"/>
      <c r="BG417" s="34"/>
      <c r="BH417" s="34"/>
      <c r="BI417" s="34"/>
      <c r="BJ417" s="34"/>
      <c r="BK417" s="34"/>
      <c r="BL417" s="34"/>
      <c r="BM417" s="34"/>
      <c r="BN417" s="34"/>
      <c r="BO417" s="34"/>
      <c r="BP417" s="34"/>
      <c r="BQ417" s="34"/>
      <c r="BR417" s="34"/>
      <c r="BS417" s="34"/>
      <c r="BT417" s="34"/>
      <c r="BU417" s="34"/>
      <c r="BV417" s="34"/>
      <c r="BW417" s="34"/>
      <c r="BX417" s="34"/>
      <c r="BY417" s="34"/>
    </row>
    <row r="418" spans="1:77" x14ac:dyDescent="0.3">
      <c r="A418" s="39"/>
      <c r="B418" s="42"/>
      <c r="C418" s="42"/>
      <c r="D418" s="75"/>
      <c r="E418" s="75"/>
      <c r="F418" s="76"/>
      <c r="G418" s="47"/>
      <c r="H418" s="47"/>
      <c r="I418" s="75"/>
      <c r="J418" s="76"/>
      <c r="K418" s="76"/>
      <c r="L418" s="75"/>
      <c r="M418" s="49"/>
      <c r="N418" s="76"/>
      <c r="O418" s="49"/>
      <c r="P418" s="77"/>
      <c r="Q418" s="53"/>
      <c r="R418" s="54"/>
      <c r="S418" s="55"/>
      <c r="T418" s="56"/>
      <c r="U418" s="56"/>
      <c r="V418" s="42"/>
      <c r="W418" s="57"/>
      <c r="X418" s="58"/>
      <c r="Y418" s="75"/>
      <c r="Z418" s="59"/>
      <c r="AA418" s="61"/>
      <c r="AB418" s="61"/>
      <c r="AC418" s="61"/>
      <c r="AD418" s="62"/>
      <c r="AE418" s="62"/>
      <c r="AF418" s="34"/>
      <c r="AG418" s="34"/>
      <c r="AH418" s="34"/>
      <c r="AI418" s="34"/>
      <c r="AJ418" s="34"/>
      <c r="AK418" s="34"/>
      <c r="AL418" s="34"/>
      <c r="AM418" s="34"/>
      <c r="AN418" s="34"/>
      <c r="AO418" s="34"/>
      <c r="AP418" s="34"/>
      <c r="AQ418" s="34"/>
      <c r="AR418" s="34"/>
      <c r="AS418" s="34"/>
      <c r="AT418" s="34"/>
      <c r="AU418" s="34"/>
      <c r="AV418" s="34"/>
      <c r="AW418" s="34"/>
      <c r="AX418" s="34"/>
      <c r="AY418" s="34"/>
      <c r="AZ418" s="34"/>
      <c r="BA418" s="34"/>
      <c r="BB418" s="34"/>
      <c r="BD418" s="34"/>
      <c r="BE418" s="34"/>
      <c r="BF418" s="34"/>
      <c r="BG418" s="34"/>
      <c r="BH418" s="34"/>
      <c r="BI418" s="34"/>
      <c r="BJ418" s="34"/>
      <c r="BK418" s="34"/>
      <c r="BL418" s="34"/>
      <c r="BM418" s="34"/>
      <c r="BN418" s="34"/>
      <c r="BO418" s="34"/>
      <c r="BP418" s="34"/>
      <c r="BQ418" s="34"/>
      <c r="BR418" s="34"/>
      <c r="BS418" s="34"/>
      <c r="BT418" s="34"/>
      <c r="BU418" s="34"/>
      <c r="BV418" s="34"/>
      <c r="BW418" s="34"/>
      <c r="BX418" s="34"/>
      <c r="BY418" s="34"/>
    </row>
    <row r="419" spans="1:77" x14ac:dyDescent="0.3">
      <c r="A419" s="39"/>
      <c r="B419" s="42"/>
      <c r="C419" s="42"/>
      <c r="D419" s="75"/>
      <c r="E419" s="75"/>
      <c r="F419" s="76"/>
      <c r="G419" s="47"/>
      <c r="H419" s="47"/>
      <c r="I419" s="75"/>
      <c r="J419" s="76"/>
      <c r="K419" s="76"/>
      <c r="L419" s="75"/>
      <c r="M419" s="49"/>
      <c r="N419" s="76"/>
      <c r="O419" s="49"/>
      <c r="P419" s="77"/>
      <c r="Q419" s="53"/>
      <c r="R419" s="54"/>
      <c r="S419" s="55"/>
      <c r="T419" s="56"/>
      <c r="U419" s="56"/>
      <c r="V419" s="42"/>
      <c r="W419" s="57"/>
      <c r="X419" s="58"/>
      <c r="Y419" s="75"/>
      <c r="Z419" s="59"/>
      <c r="AA419" s="61"/>
      <c r="AB419" s="61"/>
      <c r="AC419" s="61"/>
      <c r="AD419" s="62"/>
      <c r="AE419" s="62"/>
      <c r="AF419" s="34"/>
      <c r="AG419" s="34"/>
      <c r="AH419" s="34"/>
      <c r="AI419" s="34"/>
      <c r="AJ419" s="34"/>
      <c r="AK419" s="34"/>
      <c r="AL419" s="34"/>
      <c r="AM419" s="34"/>
      <c r="AN419" s="34"/>
      <c r="AO419" s="34"/>
      <c r="AP419" s="34"/>
      <c r="AQ419" s="34"/>
      <c r="AR419" s="34"/>
      <c r="AS419" s="34"/>
      <c r="AT419" s="34"/>
      <c r="AU419" s="34"/>
      <c r="AV419" s="34"/>
      <c r="AW419" s="34"/>
      <c r="AX419" s="34"/>
      <c r="AY419" s="34"/>
      <c r="AZ419" s="34"/>
      <c r="BA419" s="34"/>
      <c r="BB419" s="34"/>
      <c r="BD419" s="34"/>
      <c r="BE419" s="34"/>
      <c r="BF419" s="34"/>
      <c r="BG419" s="34"/>
      <c r="BH419" s="34"/>
      <c r="BI419" s="34"/>
      <c r="BJ419" s="34"/>
      <c r="BK419" s="34"/>
      <c r="BL419" s="34"/>
      <c r="BM419" s="34"/>
      <c r="BN419" s="34"/>
      <c r="BO419" s="34"/>
      <c r="BP419" s="34"/>
      <c r="BQ419" s="34"/>
      <c r="BR419" s="34"/>
      <c r="BS419" s="34"/>
      <c r="BT419" s="34"/>
      <c r="BU419" s="34"/>
      <c r="BV419" s="34"/>
      <c r="BW419" s="34"/>
      <c r="BX419" s="34"/>
      <c r="BY419" s="34"/>
    </row>
    <row r="420" spans="1:77" x14ac:dyDescent="0.3">
      <c r="A420" s="39"/>
      <c r="B420" s="42"/>
      <c r="C420" s="42"/>
      <c r="D420" s="75"/>
      <c r="E420" s="75"/>
      <c r="F420" s="76"/>
      <c r="G420" s="47"/>
      <c r="H420" s="47"/>
      <c r="I420" s="75"/>
      <c r="J420" s="76"/>
      <c r="K420" s="76"/>
      <c r="L420" s="75"/>
      <c r="M420" s="49"/>
      <c r="N420" s="76"/>
      <c r="O420" s="49"/>
      <c r="P420" s="77"/>
      <c r="Q420" s="53"/>
      <c r="R420" s="54"/>
      <c r="S420" s="55"/>
      <c r="T420" s="56"/>
      <c r="U420" s="56"/>
      <c r="V420" s="42"/>
      <c r="W420" s="57"/>
      <c r="X420" s="58"/>
      <c r="Y420" s="75"/>
      <c r="Z420" s="59"/>
      <c r="AA420" s="61"/>
      <c r="AB420" s="61"/>
      <c r="AC420" s="61"/>
      <c r="AD420" s="62"/>
      <c r="AE420" s="62"/>
      <c r="AF420" s="34"/>
      <c r="AG420" s="34"/>
      <c r="AH420" s="34"/>
      <c r="AI420" s="34"/>
      <c r="AJ420" s="34"/>
      <c r="AK420" s="34"/>
      <c r="AL420" s="34"/>
      <c r="AM420" s="34"/>
      <c r="AN420" s="34"/>
      <c r="AO420" s="34"/>
      <c r="AP420" s="34"/>
      <c r="AQ420" s="34"/>
      <c r="AR420" s="34"/>
      <c r="AS420" s="34"/>
      <c r="AT420" s="34"/>
      <c r="AU420" s="34"/>
      <c r="AV420" s="34"/>
      <c r="AW420" s="34"/>
      <c r="AX420" s="34"/>
      <c r="AY420" s="34"/>
      <c r="AZ420" s="34"/>
      <c r="BA420" s="34"/>
      <c r="BB420" s="34"/>
      <c r="BD420" s="34"/>
      <c r="BE420" s="34"/>
      <c r="BF420" s="34"/>
      <c r="BG420" s="34"/>
      <c r="BH420" s="34"/>
      <c r="BI420" s="34"/>
      <c r="BJ420" s="34"/>
      <c r="BK420" s="34"/>
      <c r="BL420" s="34"/>
      <c r="BM420" s="34"/>
      <c r="BN420" s="34"/>
      <c r="BO420" s="34"/>
      <c r="BP420" s="34"/>
      <c r="BQ420" s="34"/>
      <c r="BR420" s="34"/>
      <c r="BS420" s="34"/>
      <c r="BT420" s="34"/>
      <c r="BU420" s="34"/>
      <c r="BV420" s="34"/>
      <c r="BW420" s="34"/>
      <c r="BX420" s="34"/>
      <c r="BY420" s="34"/>
    </row>
    <row r="421" spans="1:77" x14ac:dyDescent="0.3">
      <c r="A421" s="39"/>
      <c r="B421" s="42"/>
      <c r="C421" s="42"/>
      <c r="D421" s="75"/>
      <c r="E421" s="75"/>
      <c r="F421" s="76"/>
      <c r="G421" s="47"/>
      <c r="H421" s="47"/>
      <c r="I421" s="75"/>
      <c r="J421" s="76"/>
      <c r="K421" s="76"/>
      <c r="L421" s="75"/>
      <c r="M421" s="49"/>
      <c r="N421" s="76"/>
      <c r="O421" s="49"/>
      <c r="P421" s="77"/>
      <c r="Q421" s="53"/>
      <c r="R421" s="54"/>
      <c r="S421" s="55"/>
      <c r="T421" s="56"/>
      <c r="U421" s="56"/>
      <c r="V421" s="42"/>
      <c r="W421" s="57"/>
      <c r="X421" s="58"/>
      <c r="Y421" s="75"/>
      <c r="Z421" s="59"/>
      <c r="AA421" s="61"/>
      <c r="AB421" s="61"/>
      <c r="AC421" s="61"/>
      <c r="AD421" s="62"/>
      <c r="AE421" s="62"/>
      <c r="AF421" s="34"/>
      <c r="AG421" s="34"/>
      <c r="AH421" s="34"/>
      <c r="AI421" s="34"/>
      <c r="AJ421" s="34"/>
      <c r="AK421" s="34"/>
      <c r="AL421" s="34"/>
      <c r="AM421" s="34"/>
      <c r="AN421" s="34"/>
      <c r="AO421" s="34"/>
      <c r="AP421" s="34"/>
      <c r="AQ421" s="34"/>
      <c r="AR421" s="34"/>
      <c r="AS421" s="34"/>
      <c r="AT421" s="34"/>
      <c r="AU421" s="34"/>
      <c r="AV421" s="34"/>
      <c r="AW421" s="34"/>
      <c r="AX421" s="34"/>
      <c r="AY421" s="34"/>
      <c r="AZ421" s="34"/>
      <c r="BA421" s="34"/>
      <c r="BB421" s="34"/>
      <c r="BD421" s="34"/>
      <c r="BE421" s="34"/>
      <c r="BF421" s="34"/>
      <c r="BG421" s="34"/>
      <c r="BH421" s="34"/>
      <c r="BI421" s="34"/>
      <c r="BJ421" s="34"/>
      <c r="BK421" s="34"/>
      <c r="BL421" s="34"/>
      <c r="BM421" s="34"/>
      <c r="BN421" s="34"/>
      <c r="BO421" s="34"/>
      <c r="BP421" s="34"/>
      <c r="BQ421" s="34"/>
      <c r="BR421" s="34"/>
      <c r="BS421" s="34"/>
      <c r="BT421" s="34"/>
      <c r="BU421" s="34"/>
      <c r="BV421" s="34"/>
      <c r="BW421" s="34"/>
      <c r="BX421" s="34"/>
      <c r="BY421" s="34"/>
    </row>
    <row r="422" spans="1:77" x14ac:dyDescent="0.3">
      <c r="A422" s="39"/>
      <c r="B422" s="42"/>
      <c r="C422" s="42"/>
      <c r="D422" s="75"/>
      <c r="E422" s="75"/>
      <c r="F422" s="76"/>
      <c r="G422" s="47"/>
      <c r="H422" s="47"/>
      <c r="I422" s="75"/>
      <c r="J422" s="76"/>
      <c r="K422" s="76"/>
      <c r="L422" s="75"/>
      <c r="M422" s="49"/>
      <c r="N422" s="76"/>
      <c r="O422" s="49"/>
      <c r="P422" s="77"/>
      <c r="Q422" s="53"/>
      <c r="R422" s="54"/>
      <c r="S422" s="55"/>
      <c r="T422" s="56"/>
      <c r="U422" s="56"/>
      <c r="V422" s="42"/>
      <c r="W422" s="57"/>
      <c r="X422" s="58"/>
      <c r="Y422" s="75"/>
      <c r="Z422" s="59"/>
      <c r="AA422" s="61"/>
      <c r="AB422" s="61"/>
      <c r="AC422" s="61"/>
      <c r="AD422" s="62"/>
      <c r="AE422" s="62"/>
      <c r="AF422" s="34"/>
      <c r="AG422" s="34"/>
      <c r="AH422" s="34"/>
      <c r="AI422" s="34"/>
      <c r="AJ422" s="34"/>
      <c r="AK422" s="34"/>
      <c r="AL422" s="34"/>
      <c r="AM422" s="34"/>
      <c r="AN422" s="34"/>
      <c r="AO422" s="34"/>
      <c r="AP422" s="34"/>
      <c r="AQ422" s="34"/>
      <c r="AR422" s="34"/>
      <c r="AS422" s="34"/>
      <c r="AT422" s="34"/>
      <c r="AU422" s="34"/>
      <c r="AV422" s="34"/>
      <c r="AW422" s="34"/>
      <c r="AX422" s="34"/>
      <c r="AY422" s="34"/>
      <c r="AZ422" s="34"/>
      <c r="BA422" s="34"/>
      <c r="BB422" s="34"/>
      <c r="BD422" s="34"/>
      <c r="BE422" s="34"/>
      <c r="BF422" s="34"/>
      <c r="BG422" s="34"/>
      <c r="BH422" s="34"/>
      <c r="BI422" s="34"/>
      <c r="BJ422" s="34"/>
      <c r="BK422" s="34"/>
      <c r="BL422" s="34"/>
      <c r="BM422" s="34"/>
      <c r="BN422" s="34"/>
      <c r="BO422" s="34"/>
      <c r="BP422" s="34"/>
      <c r="BQ422" s="34"/>
      <c r="BR422" s="34"/>
      <c r="BS422" s="34"/>
      <c r="BT422" s="34"/>
      <c r="BU422" s="34"/>
      <c r="BV422" s="34"/>
      <c r="BW422" s="34"/>
      <c r="BX422" s="34"/>
      <c r="BY422" s="34"/>
    </row>
    <row r="423" spans="1:77" x14ac:dyDescent="0.3">
      <c r="A423" s="39"/>
      <c r="B423" s="42"/>
      <c r="C423" s="42"/>
      <c r="D423" s="75"/>
      <c r="E423" s="75"/>
      <c r="F423" s="76"/>
      <c r="G423" s="47"/>
      <c r="H423" s="47"/>
      <c r="I423" s="75"/>
      <c r="J423" s="76"/>
      <c r="K423" s="76"/>
      <c r="L423" s="75"/>
      <c r="M423" s="49"/>
      <c r="N423" s="76"/>
      <c r="O423" s="49"/>
      <c r="P423" s="77"/>
      <c r="Q423" s="53"/>
      <c r="R423" s="54"/>
      <c r="S423" s="55"/>
      <c r="T423" s="56"/>
      <c r="U423" s="56"/>
      <c r="V423" s="42"/>
      <c r="W423" s="57"/>
      <c r="X423" s="58"/>
      <c r="Y423" s="75"/>
      <c r="Z423" s="59"/>
      <c r="AA423" s="61"/>
      <c r="AB423" s="61"/>
      <c r="AC423" s="61"/>
      <c r="AD423" s="62"/>
      <c r="AE423" s="62"/>
      <c r="AF423" s="34"/>
      <c r="AG423" s="34"/>
      <c r="AH423" s="34"/>
      <c r="AI423" s="34"/>
      <c r="AJ423" s="34"/>
      <c r="AK423" s="34"/>
      <c r="AL423" s="34"/>
      <c r="AM423" s="34"/>
      <c r="AN423" s="34"/>
      <c r="AO423" s="34"/>
      <c r="AP423" s="34"/>
      <c r="AQ423" s="34"/>
      <c r="AR423" s="34"/>
      <c r="AS423" s="34"/>
      <c r="AT423" s="34"/>
      <c r="AU423" s="34"/>
      <c r="AV423" s="34"/>
      <c r="AW423" s="34"/>
      <c r="AX423" s="34"/>
      <c r="AY423" s="34"/>
      <c r="AZ423" s="34"/>
      <c r="BA423" s="34"/>
      <c r="BB423" s="34"/>
      <c r="BD423" s="34"/>
      <c r="BE423" s="34"/>
      <c r="BF423" s="34"/>
      <c r="BG423" s="34"/>
      <c r="BH423" s="34"/>
      <c r="BI423" s="34"/>
      <c r="BJ423" s="34"/>
      <c r="BK423" s="34"/>
      <c r="BL423" s="34"/>
      <c r="BM423" s="34"/>
      <c r="BN423" s="34"/>
      <c r="BO423" s="34"/>
      <c r="BP423" s="34"/>
      <c r="BQ423" s="34"/>
      <c r="BR423" s="34"/>
      <c r="BS423" s="34"/>
      <c r="BT423" s="34"/>
      <c r="BU423" s="34"/>
      <c r="BV423" s="34"/>
      <c r="BW423" s="34"/>
      <c r="BX423" s="34"/>
      <c r="BY423" s="34"/>
    </row>
    <row r="424" spans="1:77" x14ac:dyDescent="0.3">
      <c r="A424" s="39"/>
      <c r="B424" s="42"/>
      <c r="C424" s="42"/>
      <c r="D424" s="75"/>
      <c r="E424" s="75"/>
      <c r="F424" s="76"/>
      <c r="G424" s="47"/>
      <c r="H424" s="47"/>
      <c r="I424" s="75"/>
      <c r="J424" s="76"/>
      <c r="K424" s="76"/>
      <c r="L424" s="75"/>
      <c r="M424" s="49"/>
      <c r="N424" s="76"/>
      <c r="O424" s="49"/>
      <c r="P424" s="77"/>
      <c r="Q424" s="53"/>
      <c r="R424" s="54"/>
      <c r="S424" s="55"/>
      <c r="T424" s="56"/>
      <c r="U424" s="56"/>
      <c r="V424" s="42"/>
      <c r="W424" s="57"/>
      <c r="X424" s="58"/>
      <c r="Y424" s="75"/>
      <c r="Z424" s="59"/>
      <c r="AA424" s="61"/>
      <c r="AB424" s="61"/>
      <c r="AC424" s="61"/>
      <c r="AD424" s="62"/>
      <c r="AE424" s="62"/>
      <c r="AF424" s="34"/>
      <c r="AG424" s="34"/>
      <c r="AH424" s="34"/>
      <c r="AI424" s="34"/>
      <c r="AJ424" s="34"/>
      <c r="AK424" s="34"/>
      <c r="AL424" s="34"/>
      <c r="AM424" s="34"/>
      <c r="AN424" s="34"/>
      <c r="AO424" s="34"/>
      <c r="AP424" s="34"/>
      <c r="AQ424" s="34"/>
      <c r="AR424" s="34"/>
      <c r="AS424" s="34"/>
      <c r="AT424" s="34"/>
      <c r="AU424" s="34"/>
      <c r="AV424" s="34"/>
      <c r="AW424" s="34"/>
      <c r="AX424" s="34"/>
      <c r="AY424" s="34"/>
      <c r="AZ424" s="34"/>
      <c r="BA424" s="34"/>
      <c r="BB424" s="34"/>
      <c r="BD424" s="34"/>
      <c r="BE424" s="34"/>
      <c r="BF424" s="34"/>
      <c r="BG424" s="34"/>
      <c r="BH424" s="34"/>
      <c r="BI424" s="34"/>
      <c r="BJ424" s="34"/>
      <c r="BK424" s="34"/>
      <c r="BL424" s="34"/>
      <c r="BM424" s="34"/>
      <c r="BN424" s="34"/>
      <c r="BO424" s="34"/>
      <c r="BP424" s="34"/>
      <c r="BQ424" s="34"/>
      <c r="BR424" s="34"/>
      <c r="BS424" s="34"/>
      <c r="BT424" s="34"/>
      <c r="BU424" s="34"/>
      <c r="BV424" s="34"/>
      <c r="BW424" s="34"/>
      <c r="BX424" s="34"/>
      <c r="BY424" s="34"/>
    </row>
    <row r="425" spans="1:77" x14ac:dyDescent="0.3">
      <c r="A425" s="39"/>
      <c r="B425" s="42"/>
      <c r="C425" s="42"/>
      <c r="D425" s="75"/>
      <c r="E425" s="75"/>
      <c r="F425" s="76"/>
      <c r="G425" s="47"/>
      <c r="H425" s="47"/>
      <c r="I425" s="75"/>
      <c r="J425" s="76"/>
      <c r="K425" s="76"/>
      <c r="L425" s="75"/>
      <c r="M425" s="49"/>
      <c r="N425" s="76"/>
      <c r="O425" s="49"/>
      <c r="P425" s="77"/>
      <c r="Q425" s="53"/>
      <c r="R425" s="54"/>
      <c r="S425" s="55"/>
      <c r="T425" s="56"/>
      <c r="U425" s="56"/>
      <c r="V425" s="42"/>
      <c r="W425" s="57"/>
      <c r="X425" s="58"/>
      <c r="Y425" s="75"/>
      <c r="Z425" s="59"/>
      <c r="AA425" s="61"/>
      <c r="AB425" s="61"/>
      <c r="AC425" s="61"/>
      <c r="AD425" s="62"/>
      <c r="AE425" s="62"/>
      <c r="AF425" s="34"/>
      <c r="AG425" s="34"/>
      <c r="AH425" s="34"/>
      <c r="AI425" s="34"/>
      <c r="AJ425" s="34"/>
      <c r="AK425" s="34"/>
      <c r="AL425" s="34"/>
      <c r="AM425" s="34"/>
      <c r="AN425" s="34"/>
      <c r="AO425" s="34"/>
      <c r="AP425" s="34"/>
      <c r="AQ425" s="34"/>
      <c r="AR425" s="34"/>
      <c r="AS425" s="34"/>
      <c r="AT425" s="34"/>
      <c r="AU425" s="34"/>
      <c r="AV425" s="34"/>
      <c r="AW425" s="34"/>
      <c r="AX425" s="34"/>
      <c r="AY425" s="34"/>
      <c r="AZ425" s="34"/>
      <c r="BA425" s="34"/>
      <c r="BB425" s="34"/>
      <c r="BD425" s="34"/>
      <c r="BE425" s="34"/>
      <c r="BF425" s="34"/>
      <c r="BG425" s="34"/>
      <c r="BH425" s="34"/>
      <c r="BI425" s="34"/>
      <c r="BJ425" s="34"/>
      <c r="BK425" s="34"/>
      <c r="BL425" s="34"/>
      <c r="BM425" s="34"/>
      <c r="BN425" s="34"/>
      <c r="BO425" s="34"/>
      <c r="BP425" s="34"/>
      <c r="BQ425" s="34"/>
      <c r="BR425" s="34"/>
      <c r="BS425" s="34"/>
      <c r="BT425" s="34"/>
      <c r="BU425" s="34"/>
      <c r="BV425" s="34"/>
      <c r="BW425" s="34"/>
      <c r="BX425" s="34"/>
      <c r="BY425" s="34"/>
    </row>
    <row r="426" spans="1:77" x14ac:dyDescent="0.3">
      <c r="A426" s="39"/>
      <c r="B426" s="42"/>
      <c r="C426" s="42"/>
      <c r="D426" s="75"/>
      <c r="E426" s="75"/>
      <c r="F426" s="76"/>
      <c r="G426" s="47"/>
      <c r="H426" s="47"/>
      <c r="I426" s="75"/>
      <c r="J426" s="76"/>
      <c r="K426" s="76"/>
      <c r="L426" s="75"/>
      <c r="M426" s="49"/>
      <c r="N426" s="76"/>
      <c r="O426" s="49"/>
      <c r="P426" s="77"/>
      <c r="Q426" s="53"/>
      <c r="R426" s="54"/>
      <c r="S426" s="55"/>
      <c r="T426" s="56"/>
      <c r="U426" s="56"/>
      <c r="V426" s="42"/>
      <c r="W426" s="57"/>
      <c r="X426" s="58"/>
      <c r="Y426" s="75"/>
      <c r="Z426" s="59"/>
      <c r="AA426" s="61"/>
      <c r="AB426" s="61"/>
      <c r="AC426" s="61"/>
      <c r="AD426" s="62"/>
      <c r="AE426" s="62"/>
      <c r="AF426" s="34"/>
      <c r="AG426" s="34"/>
      <c r="AH426" s="34"/>
      <c r="AI426" s="34"/>
      <c r="AJ426" s="34"/>
      <c r="AK426" s="34"/>
      <c r="AL426" s="34"/>
      <c r="AM426" s="34"/>
      <c r="AN426" s="34"/>
      <c r="AO426" s="34"/>
      <c r="AP426" s="34"/>
      <c r="AQ426" s="34"/>
      <c r="AR426" s="34"/>
      <c r="AS426" s="34"/>
      <c r="AT426" s="34"/>
      <c r="AU426" s="34"/>
      <c r="AV426" s="34"/>
      <c r="AW426" s="34"/>
      <c r="AX426" s="34"/>
      <c r="AY426" s="34"/>
      <c r="AZ426" s="34"/>
      <c r="BA426" s="34"/>
      <c r="BB426" s="34"/>
      <c r="BD426" s="34"/>
      <c r="BE426" s="34"/>
      <c r="BF426" s="34"/>
      <c r="BG426" s="34"/>
      <c r="BH426" s="34"/>
      <c r="BI426" s="34"/>
      <c r="BJ426" s="34"/>
      <c r="BK426" s="34"/>
      <c r="BL426" s="34"/>
      <c r="BM426" s="34"/>
      <c r="BN426" s="34"/>
      <c r="BO426" s="34"/>
      <c r="BP426" s="34"/>
      <c r="BQ426" s="34"/>
      <c r="BR426" s="34"/>
      <c r="BS426" s="34"/>
      <c r="BT426" s="34"/>
      <c r="BU426" s="34"/>
      <c r="BV426" s="34"/>
      <c r="BW426" s="34"/>
      <c r="BX426" s="34"/>
      <c r="BY426" s="34"/>
    </row>
    <row r="427" spans="1:77" x14ac:dyDescent="0.3">
      <c r="A427" s="39"/>
      <c r="B427" s="42"/>
      <c r="C427" s="42"/>
      <c r="D427" s="75"/>
      <c r="E427" s="75"/>
      <c r="F427" s="76"/>
      <c r="G427" s="47"/>
      <c r="H427" s="47"/>
      <c r="I427" s="75"/>
      <c r="J427" s="76"/>
      <c r="K427" s="76"/>
      <c r="L427" s="75"/>
      <c r="M427" s="49"/>
      <c r="N427" s="76"/>
      <c r="O427" s="49"/>
      <c r="P427" s="77"/>
      <c r="Q427" s="53"/>
      <c r="R427" s="54"/>
      <c r="S427" s="55"/>
      <c r="T427" s="56"/>
      <c r="U427" s="56"/>
      <c r="V427" s="42"/>
      <c r="W427" s="57"/>
      <c r="X427" s="58"/>
      <c r="Y427" s="75"/>
      <c r="Z427" s="59"/>
      <c r="AA427" s="61"/>
      <c r="AB427" s="61"/>
      <c r="AC427" s="61"/>
      <c r="AD427" s="62"/>
      <c r="AE427" s="62"/>
      <c r="AF427" s="34"/>
      <c r="AG427" s="34"/>
      <c r="AH427" s="34"/>
      <c r="AI427" s="34"/>
      <c r="AJ427" s="34"/>
      <c r="AK427" s="34"/>
      <c r="AL427" s="34"/>
      <c r="AM427" s="34"/>
      <c r="AN427" s="34"/>
      <c r="AO427" s="34"/>
      <c r="AP427" s="34"/>
      <c r="AQ427" s="34"/>
      <c r="AR427" s="34"/>
      <c r="AS427" s="34"/>
      <c r="AT427" s="34"/>
      <c r="AU427" s="34"/>
      <c r="AV427" s="34"/>
      <c r="AW427" s="34"/>
      <c r="AX427" s="34"/>
      <c r="AY427" s="34"/>
      <c r="AZ427" s="34"/>
      <c r="BA427" s="34"/>
      <c r="BB427" s="34"/>
      <c r="BD427" s="34"/>
      <c r="BE427" s="34"/>
      <c r="BF427" s="34"/>
      <c r="BG427" s="34"/>
      <c r="BH427" s="34"/>
      <c r="BI427" s="34"/>
      <c r="BJ427" s="34"/>
      <c r="BK427" s="34"/>
      <c r="BL427" s="34"/>
      <c r="BM427" s="34"/>
      <c r="BN427" s="34"/>
      <c r="BO427" s="34"/>
      <c r="BP427" s="34"/>
      <c r="BQ427" s="34"/>
      <c r="BR427" s="34"/>
      <c r="BS427" s="34"/>
      <c r="BT427" s="34"/>
      <c r="BU427" s="34"/>
      <c r="BV427" s="34"/>
      <c r="BW427" s="34"/>
      <c r="BX427" s="34"/>
      <c r="BY427" s="34"/>
    </row>
    <row r="428" spans="1:77" x14ac:dyDescent="0.3">
      <c r="A428" s="39"/>
      <c r="B428" s="42"/>
      <c r="C428" s="42"/>
      <c r="D428" s="75"/>
      <c r="E428" s="75"/>
      <c r="F428" s="76"/>
      <c r="G428" s="47"/>
      <c r="H428" s="47"/>
      <c r="I428" s="75"/>
      <c r="J428" s="76"/>
      <c r="K428" s="76"/>
      <c r="L428" s="75"/>
      <c r="M428" s="49"/>
      <c r="N428" s="76"/>
      <c r="O428" s="49"/>
      <c r="P428" s="77"/>
      <c r="Q428" s="53"/>
      <c r="R428" s="54"/>
      <c r="S428" s="55"/>
      <c r="T428" s="56"/>
      <c r="U428" s="56"/>
      <c r="V428" s="42"/>
      <c r="W428" s="57"/>
      <c r="X428" s="58"/>
      <c r="Y428" s="75"/>
      <c r="Z428" s="59"/>
      <c r="AA428" s="61"/>
      <c r="AB428" s="61"/>
      <c r="AC428" s="61"/>
      <c r="AD428" s="62"/>
      <c r="AE428" s="62"/>
      <c r="AF428" s="34"/>
      <c r="AG428" s="34"/>
      <c r="AH428" s="34"/>
      <c r="AI428" s="34"/>
      <c r="AJ428" s="34"/>
      <c r="AK428" s="34"/>
      <c r="AL428" s="34"/>
      <c r="AM428" s="34"/>
      <c r="AN428" s="34"/>
      <c r="AO428" s="34"/>
      <c r="AP428" s="34"/>
      <c r="AQ428" s="34"/>
      <c r="AR428" s="34"/>
      <c r="AS428" s="34"/>
      <c r="AT428" s="34"/>
      <c r="AU428" s="34"/>
      <c r="AV428" s="34"/>
      <c r="AW428" s="34"/>
      <c r="AX428" s="34"/>
      <c r="AY428" s="34"/>
      <c r="AZ428" s="34"/>
      <c r="BA428" s="34"/>
      <c r="BB428" s="34"/>
      <c r="BD428" s="34"/>
      <c r="BE428" s="34"/>
      <c r="BF428" s="34"/>
      <c r="BG428" s="34"/>
      <c r="BH428" s="34"/>
      <c r="BI428" s="34"/>
      <c r="BJ428" s="34"/>
      <c r="BK428" s="34"/>
      <c r="BL428" s="34"/>
      <c r="BM428" s="34"/>
      <c r="BN428" s="34"/>
      <c r="BO428" s="34"/>
      <c r="BP428" s="34"/>
      <c r="BQ428" s="34"/>
      <c r="BR428" s="34"/>
      <c r="BS428" s="34"/>
      <c r="BT428" s="34"/>
      <c r="BU428" s="34"/>
      <c r="BV428" s="34"/>
      <c r="BW428" s="34"/>
      <c r="BX428" s="34"/>
      <c r="BY428" s="34"/>
    </row>
    <row r="429" spans="1:77" x14ac:dyDescent="0.3">
      <c r="A429" s="39"/>
      <c r="B429" s="42"/>
      <c r="C429" s="42"/>
      <c r="D429" s="75"/>
      <c r="E429" s="75"/>
      <c r="F429" s="76"/>
      <c r="G429" s="47"/>
      <c r="H429" s="47"/>
      <c r="I429" s="75"/>
      <c r="J429" s="76"/>
      <c r="K429" s="76"/>
      <c r="L429" s="75"/>
      <c r="M429" s="49"/>
      <c r="N429" s="76"/>
      <c r="O429" s="49"/>
      <c r="P429" s="77"/>
      <c r="Q429" s="53"/>
      <c r="R429" s="54"/>
      <c r="S429" s="55"/>
      <c r="T429" s="56"/>
      <c r="U429" s="56"/>
      <c r="V429" s="42"/>
      <c r="W429" s="57"/>
      <c r="X429" s="58"/>
      <c r="Y429" s="75"/>
      <c r="Z429" s="59"/>
      <c r="AA429" s="61"/>
      <c r="AB429" s="61"/>
      <c r="AC429" s="61"/>
      <c r="AD429" s="62"/>
      <c r="AE429" s="62"/>
      <c r="AF429" s="34"/>
      <c r="AG429" s="34"/>
      <c r="AH429" s="34"/>
      <c r="AI429" s="34"/>
      <c r="AJ429" s="34"/>
      <c r="AK429" s="34"/>
      <c r="AL429" s="34"/>
      <c r="AM429" s="34"/>
      <c r="AN429" s="34"/>
      <c r="AO429" s="34"/>
      <c r="AP429" s="34"/>
      <c r="AQ429" s="34"/>
      <c r="AR429" s="34"/>
      <c r="AS429" s="34"/>
      <c r="AT429" s="34"/>
      <c r="AU429" s="34"/>
      <c r="AV429" s="34"/>
      <c r="AW429" s="34"/>
      <c r="AX429" s="34"/>
      <c r="AY429" s="34"/>
      <c r="AZ429" s="34"/>
      <c r="BA429" s="34"/>
      <c r="BB429" s="34"/>
      <c r="BD429" s="34"/>
      <c r="BE429" s="34"/>
      <c r="BF429" s="34"/>
      <c r="BG429" s="34"/>
      <c r="BH429" s="34"/>
      <c r="BI429" s="34"/>
      <c r="BJ429" s="34"/>
      <c r="BK429" s="34"/>
      <c r="BL429" s="34"/>
      <c r="BM429" s="34"/>
      <c r="BN429" s="34"/>
      <c r="BO429" s="34"/>
      <c r="BP429" s="34"/>
      <c r="BQ429" s="34"/>
      <c r="BR429" s="34"/>
      <c r="BS429" s="34"/>
      <c r="BT429" s="34"/>
      <c r="BU429" s="34"/>
      <c r="BV429" s="34"/>
      <c r="BW429" s="34"/>
      <c r="BX429" s="34"/>
      <c r="BY429" s="34"/>
    </row>
    <row r="430" spans="1:77" x14ac:dyDescent="0.3">
      <c r="A430" s="39"/>
      <c r="B430" s="42"/>
      <c r="C430" s="42"/>
      <c r="D430" s="75"/>
      <c r="E430" s="75"/>
      <c r="F430" s="76"/>
      <c r="G430" s="47"/>
      <c r="H430" s="47"/>
      <c r="I430" s="75"/>
      <c r="J430" s="76"/>
      <c r="K430" s="76"/>
      <c r="L430" s="75"/>
      <c r="M430" s="49"/>
      <c r="N430" s="76"/>
      <c r="O430" s="49"/>
      <c r="P430" s="77"/>
      <c r="Q430" s="53"/>
      <c r="R430" s="54"/>
      <c r="S430" s="55"/>
      <c r="T430" s="56"/>
      <c r="U430" s="56"/>
      <c r="V430" s="42"/>
      <c r="W430" s="57"/>
      <c r="X430" s="58"/>
      <c r="Y430" s="75"/>
      <c r="Z430" s="59"/>
      <c r="AA430" s="61"/>
      <c r="AB430" s="61"/>
      <c r="AC430" s="61"/>
      <c r="AD430" s="62"/>
      <c r="AE430" s="62"/>
      <c r="AF430" s="34"/>
      <c r="AG430" s="34"/>
      <c r="AH430" s="34"/>
      <c r="AI430" s="34"/>
      <c r="AJ430" s="34"/>
      <c r="AK430" s="34"/>
      <c r="AL430" s="34"/>
      <c r="AM430" s="34"/>
      <c r="AN430" s="34"/>
      <c r="AO430" s="34"/>
      <c r="AP430" s="34"/>
      <c r="AQ430" s="34"/>
      <c r="AR430" s="34"/>
      <c r="AS430" s="34"/>
      <c r="AT430" s="34"/>
      <c r="AU430" s="34"/>
      <c r="AV430" s="34"/>
      <c r="AW430" s="34"/>
      <c r="AX430" s="34"/>
      <c r="AY430" s="34"/>
      <c r="AZ430" s="34"/>
      <c r="BA430" s="34"/>
      <c r="BB430" s="34"/>
      <c r="BD430" s="34"/>
      <c r="BE430" s="34"/>
      <c r="BF430" s="34"/>
      <c r="BG430" s="34"/>
      <c r="BH430" s="34"/>
      <c r="BI430" s="34"/>
      <c r="BJ430" s="34"/>
      <c r="BK430" s="34"/>
      <c r="BL430" s="34"/>
      <c r="BM430" s="34"/>
      <c r="BN430" s="34"/>
      <c r="BO430" s="34"/>
      <c r="BP430" s="34"/>
      <c r="BQ430" s="34"/>
      <c r="BR430" s="34"/>
      <c r="BS430" s="34"/>
      <c r="BT430" s="34"/>
      <c r="BU430" s="34"/>
      <c r="BV430" s="34"/>
      <c r="BW430" s="34"/>
      <c r="BX430" s="34"/>
      <c r="BY430" s="34"/>
    </row>
    <row r="431" spans="1:77" x14ac:dyDescent="0.3">
      <c r="A431" s="39"/>
      <c r="B431" s="42"/>
      <c r="C431" s="42"/>
      <c r="D431" s="75"/>
      <c r="E431" s="75"/>
      <c r="F431" s="76"/>
      <c r="G431" s="47"/>
      <c r="H431" s="47"/>
      <c r="I431" s="75"/>
      <c r="J431" s="76"/>
      <c r="K431" s="76"/>
      <c r="L431" s="75"/>
      <c r="M431" s="49"/>
      <c r="N431" s="76"/>
      <c r="O431" s="49"/>
      <c r="P431" s="77"/>
      <c r="Q431" s="53"/>
      <c r="R431" s="54"/>
      <c r="S431" s="55"/>
      <c r="T431" s="56"/>
      <c r="U431" s="56"/>
      <c r="V431" s="42"/>
      <c r="W431" s="57"/>
      <c r="X431" s="58"/>
      <c r="Y431" s="75"/>
      <c r="Z431" s="59"/>
      <c r="AA431" s="61"/>
      <c r="AB431" s="61"/>
      <c r="AC431" s="61"/>
      <c r="AD431" s="62"/>
      <c r="AE431" s="62"/>
      <c r="AF431" s="34"/>
      <c r="AG431" s="34"/>
      <c r="AH431" s="34"/>
      <c r="AI431" s="34"/>
      <c r="AJ431" s="34"/>
      <c r="AK431" s="34"/>
      <c r="AL431" s="34"/>
      <c r="AM431" s="34"/>
      <c r="AN431" s="34"/>
      <c r="AO431" s="34"/>
      <c r="AP431" s="34"/>
      <c r="AQ431" s="34"/>
      <c r="AR431" s="34"/>
      <c r="AS431" s="34"/>
      <c r="AT431" s="34"/>
      <c r="AU431" s="34"/>
      <c r="AV431" s="34"/>
      <c r="AW431" s="34"/>
      <c r="AX431" s="34"/>
      <c r="AY431" s="34"/>
      <c r="AZ431" s="34"/>
      <c r="BA431" s="34"/>
      <c r="BB431" s="34"/>
      <c r="BD431" s="34"/>
      <c r="BE431" s="34"/>
      <c r="BF431" s="34"/>
      <c r="BG431" s="34"/>
      <c r="BH431" s="34"/>
      <c r="BI431" s="34"/>
      <c r="BJ431" s="34"/>
      <c r="BK431" s="34"/>
      <c r="BL431" s="34"/>
      <c r="BM431" s="34"/>
      <c r="BN431" s="34"/>
      <c r="BO431" s="34"/>
      <c r="BP431" s="34"/>
      <c r="BQ431" s="34"/>
      <c r="BR431" s="34"/>
      <c r="BS431" s="34"/>
      <c r="BT431" s="34"/>
      <c r="BU431" s="34"/>
      <c r="BV431" s="34"/>
      <c r="BW431" s="34"/>
      <c r="BX431" s="34"/>
      <c r="BY431" s="34"/>
    </row>
    <row r="432" spans="1:77" x14ac:dyDescent="0.3">
      <c r="A432" s="39"/>
      <c r="B432" s="42"/>
      <c r="C432" s="42"/>
      <c r="D432" s="75"/>
      <c r="E432" s="75"/>
      <c r="F432" s="76"/>
      <c r="G432" s="47"/>
      <c r="H432" s="47"/>
      <c r="I432" s="75"/>
      <c r="J432" s="76"/>
      <c r="K432" s="76"/>
      <c r="L432" s="75"/>
      <c r="M432" s="49"/>
      <c r="N432" s="76"/>
      <c r="O432" s="49"/>
      <c r="P432" s="77"/>
      <c r="Q432" s="53"/>
      <c r="R432" s="54"/>
      <c r="S432" s="55"/>
      <c r="T432" s="56"/>
      <c r="U432" s="56"/>
      <c r="V432" s="42"/>
      <c r="W432" s="57"/>
      <c r="X432" s="58"/>
      <c r="Y432" s="75"/>
      <c r="Z432" s="59"/>
      <c r="AA432" s="61"/>
      <c r="AB432" s="61"/>
      <c r="AC432" s="61"/>
      <c r="AD432" s="62"/>
      <c r="AE432" s="62"/>
      <c r="AF432" s="34"/>
      <c r="AG432" s="34"/>
      <c r="AH432" s="34"/>
      <c r="AI432" s="34"/>
      <c r="AJ432" s="34"/>
      <c r="AK432" s="34"/>
      <c r="AL432" s="34"/>
      <c r="AM432" s="34"/>
      <c r="AN432" s="34"/>
      <c r="AO432" s="34"/>
      <c r="AP432" s="34"/>
      <c r="AQ432" s="34"/>
      <c r="AR432" s="34"/>
      <c r="AS432" s="34"/>
      <c r="AT432" s="34"/>
      <c r="AU432" s="34"/>
      <c r="AV432" s="34"/>
      <c r="AW432" s="34"/>
      <c r="AX432" s="34"/>
      <c r="AY432" s="34"/>
      <c r="AZ432" s="34"/>
      <c r="BA432" s="34"/>
      <c r="BB432" s="34"/>
      <c r="BD432" s="34"/>
      <c r="BE432" s="34"/>
      <c r="BF432" s="34"/>
      <c r="BG432" s="34"/>
      <c r="BH432" s="34"/>
      <c r="BI432" s="34"/>
      <c r="BJ432" s="34"/>
      <c r="BK432" s="34"/>
      <c r="BL432" s="34"/>
      <c r="BM432" s="34"/>
      <c r="BN432" s="34"/>
      <c r="BO432" s="34"/>
      <c r="BP432" s="34"/>
      <c r="BQ432" s="34"/>
      <c r="BR432" s="34"/>
      <c r="BS432" s="34"/>
      <c r="BT432" s="34"/>
      <c r="BU432" s="34"/>
      <c r="BV432" s="34"/>
      <c r="BW432" s="34"/>
      <c r="BX432" s="34"/>
      <c r="BY432" s="34"/>
    </row>
    <row r="433" spans="1:77" x14ac:dyDescent="0.3">
      <c r="A433" s="39"/>
      <c r="B433" s="42"/>
      <c r="C433" s="42"/>
      <c r="D433" s="75"/>
      <c r="E433" s="75"/>
      <c r="F433" s="76"/>
      <c r="G433" s="47"/>
      <c r="H433" s="47"/>
      <c r="I433" s="75"/>
      <c r="J433" s="76"/>
      <c r="K433" s="76"/>
      <c r="L433" s="75"/>
      <c r="M433" s="49"/>
      <c r="N433" s="76"/>
      <c r="O433" s="49"/>
      <c r="P433" s="77"/>
      <c r="Q433" s="53"/>
      <c r="R433" s="54"/>
      <c r="S433" s="55"/>
      <c r="T433" s="56"/>
      <c r="U433" s="56"/>
      <c r="V433" s="42"/>
      <c r="W433" s="57"/>
      <c r="X433" s="58"/>
      <c r="Y433" s="75"/>
      <c r="Z433" s="59"/>
      <c r="AA433" s="61"/>
      <c r="AB433" s="61"/>
      <c r="AC433" s="61"/>
      <c r="AD433" s="62"/>
      <c r="AE433" s="62"/>
      <c r="AF433" s="34"/>
      <c r="AG433" s="34"/>
      <c r="AH433" s="34"/>
      <c r="AI433" s="34"/>
      <c r="AJ433" s="34"/>
      <c r="AK433" s="34"/>
      <c r="AL433" s="34"/>
      <c r="AM433" s="34"/>
      <c r="AN433" s="34"/>
      <c r="AO433" s="34"/>
      <c r="AP433" s="34"/>
      <c r="AQ433" s="34"/>
      <c r="AR433" s="34"/>
      <c r="AS433" s="34"/>
      <c r="AT433" s="34"/>
      <c r="AU433" s="34"/>
      <c r="AV433" s="34"/>
      <c r="AW433" s="34"/>
      <c r="AX433" s="34"/>
      <c r="AY433" s="34"/>
      <c r="AZ433" s="34"/>
      <c r="BA433" s="34"/>
      <c r="BB433" s="34"/>
      <c r="BD433" s="34"/>
      <c r="BE433" s="34"/>
      <c r="BF433" s="34"/>
      <c r="BG433" s="34"/>
      <c r="BH433" s="34"/>
      <c r="BI433" s="34"/>
      <c r="BJ433" s="34"/>
      <c r="BK433" s="34"/>
      <c r="BL433" s="34"/>
      <c r="BM433" s="34"/>
      <c r="BN433" s="34"/>
      <c r="BO433" s="34"/>
      <c r="BP433" s="34"/>
      <c r="BQ433" s="34"/>
      <c r="BR433" s="34"/>
      <c r="BS433" s="34"/>
      <c r="BT433" s="34"/>
      <c r="BU433" s="34"/>
      <c r="BV433" s="34"/>
      <c r="BW433" s="34"/>
      <c r="BX433" s="34"/>
      <c r="BY433" s="34"/>
    </row>
    <row r="434" spans="1:77" x14ac:dyDescent="0.3">
      <c r="A434" s="39"/>
      <c r="B434" s="42"/>
      <c r="C434" s="42"/>
      <c r="D434" s="75"/>
      <c r="E434" s="75"/>
      <c r="F434" s="76"/>
      <c r="G434" s="47"/>
      <c r="H434" s="47"/>
      <c r="I434" s="75"/>
      <c r="J434" s="76"/>
      <c r="K434" s="76"/>
      <c r="L434" s="75"/>
      <c r="M434" s="49"/>
      <c r="N434" s="76"/>
      <c r="O434" s="49"/>
      <c r="P434" s="77"/>
      <c r="Q434" s="53"/>
      <c r="R434" s="54"/>
      <c r="S434" s="55"/>
      <c r="T434" s="56"/>
      <c r="U434" s="56"/>
      <c r="V434" s="42"/>
      <c r="W434" s="57"/>
      <c r="X434" s="58"/>
      <c r="Y434" s="75"/>
      <c r="Z434" s="59"/>
      <c r="AA434" s="61"/>
      <c r="AB434" s="61"/>
      <c r="AC434" s="61"/>
      <c r="AD434" s="62"/>
      <c r="AE434" s="62"/>
      <c r="AF434" s="34"/>
      <c r="AG434" s="34"/>
      <c r="AH434" s="34"/>
      <c r="AI434" s="34"/>
      <c r="AJ434" s="34"/>
      <c r="AK434" s="34"/>
      <c r="AL434" s="34"/>
      <c r="AM434" s="34"/>
      <c r="AN434" s="34"/>
      <c r="AO434" s="34"/>
      <c r="AP434" s="34"/>
      <c r="AQ434" s="34"/>
      <c r="AR434" s="34"/>
      <c r="AS434" s="34"/>
      <c r="AT434" s="34"/>
      <c r="AU434" s="34"/>
      <c r="AV434" s="34"/>
      <c r="AW434" s="34"/>
      <c r="AX434" s="34"/>
      <c r="AY434" s="34"/>
      <c r="AZ434" s="34"/>
      <c r="BA434" s="34"/>
      <c r="BB434" s="34"/>
      <c r="BD434" s="34"/>
      <c r="BE434" s="34"/>
      <c r="BF434" s="34"/>
      <c r="BG434" s="34"/>
      <c r="BH434" s="34"/>
      <c r="BI434" s="34"/>
      <c r="BJ434" s="34"/>
      <c r="BK434" s="34"/>
      <c r="BL434" s="34"/>
      <c r="BM434" s="34"/>
      <c r="BN434" s="34"/>
      <c r="BO434" s="34"/>
      <c r="BP434" s="34"/>
      <c r="BQ434" s="34"/>
      <c r="BR434" s="34"/>
      <c r="BS434" s="34"/>
      <c r="BT434" s="34"/>
      <c r="BU434" s="34"/>
      <c r="BV434" s="34"/>
      <c r="BW434" s="34"/>
      <c r="BX434" s="34"/>
      <c r="BY434" s="34"/>
    </row>
    <row r="435" spans="1:77" x14ac:dyDescent="0.3">
      <c r="A435" s="39"/>
      <c r="B435" s="42"/>
      <c r="C435" s="42"/>
      <c r="D435" s="75"/>
      <c r="E435" s="75"/>
      <c r="F435" s="76"/>
      <c r="G435" s="47"/>
      <c r="H435" s="47"/>
      <c r="I435" s="75"/>
      <c r="J435" s="76"/>
      <c r="K435" s="76"/>
      <c r="L435" s="75"/>
      <c r="M435" s="49"/>
      <c r="N435" s="76"/>
      <c r="O435" s="49"/>
      <c r="P435" s="77"/>
      <c r="Q435" s="53"/>
      <c r="R435" s="54"/>
      <c r="S435" s="55"/>
      <c r="T435" s="56"/>
      <c r="U435" s="56"/>
      <c r="V435" s="42"/>
      <c r="W435" s="57"/>
      <c r="X435" s="58"/>
      <c r="Y435" s="75"/>
      <c r="Z435" s="59"/>
      <c r="AA435" s="61"/>
      <c r="AB435" s="61"/>
      <c r="AC435" s="61"/>
      <c r="AD435" s="62"/>
      <c r="AE435" s="62"/>
      <c r="AF435" s="34"/>
      <c r="AG435" s="34"/>
      <c r="AH435" s="34"/>
      <c r="AI435" s="34"/>
      <c r="AJ435" s="34"/>
      <c r="AK435" s="34"/>
      <c r="AL435" s="34"/>
      <c r="AM435" s="34"/>
      <c r="AN435" s="34"/>
      <c r="AO435" s="34"/>
      <c r="AP435" s="34"/>
      <c r="AQ435" s="34"/>
      <c r="AR435" s="34"/>
      <c r="AS435" s="34"/>
      <c r="AT435" s="34"/>
      <c r="AU435" s="34"/>
      <c r="AV435" s="34"/>
      <c r="AW435" s="34"/>
      <c r="AX435" s="34"/>
      <c r="AY435" s="34"/>
      <c r="AZ435" s="34"/>
      <c r="BA435" s="34"/>
      <c r="BB435" s="34"/>
      <c r="BD435" s="34"/>
      <c r="BE435" s="34"/>
      <c r="BF435" s="34"/>
      <c r="BG435" s="34"/>
      <c r="BH435" s="34"/>
      <c r="BI435" s="34"/>
      <c r="BJ435" s="34"/>
      <c r="BK435" s="34"/>
      <c r="BL435" s="34"/>
      <c r="BM435" s="34"/>
      <c r="BN435" s="34"/>
      <c r="BO435" s="34"/>
      <c r="BP435" s="34"/>
      <c r="BQ435" s="34"/>
      <c r="BR435" s="34"/>
      <c r="BS435" s="34"/>
      <c r="BT435" s="34"/>
      <c r="BU435" s="34"/>
      <c r="BV435" s="34"/>
      <c r="BW435" s="34"/>
      <c r="BX435" s="34"/>
      <c r="BY435" s="34"/>
    </row>
    <row r="436" spans="1:77" x14ac:dyDescent="0.3">
      <c r="A436" s="39"/>
      <c r="B436" s="42"/>
      <c r="C436" s="42"/>
      <c r="D436" s="75"/>
      <c r="E436" s="75"/>
      <c r="F436" s="76"/>
      <c r="G436" s="47"/>
      <c r="H436" s="47"/>
      <c r="I436" s="75"/>
      <c r="J436" s="76"/>
      <c r="K436" s="76"/>
      <c r="L436" s="75"/>
      <c r="M436" s="49"/>
      <c r="N436" s="76"/>
      <c r="O436" s="49"/>
      <c r="P436" s="77"/>
      <c r="Q436" s="53"/>
      <c r="R436" s="54"/>
      <c r="S436" s="55"/>
      <c r="T436" s="56"/>
      <c r="U436" s="56"/>
      <c r="V436" s="42"/>
      <c r="W436" s="57"/>
      <c r="X436" s="58"/>
      <c r="Y436" s="75"/>
      <c r="Z436" s="59"/>
      <c r="AA436" s="61"/>
      <c r="AB436" s="61"/>
      <c r="AC436" s="61"/>
      <c r="AD436" s="62"/>
      <c r="AE436" s="62"/>
      <c r="AF436" s="34"/>
      <c r="AG436" s="34"/>
      <c r="AH436" s="34"/>
      <c r="AI436" s="34"/>
      <c r="AJ436" s="34"/>
      <c r="AK436" s="34"/>
      <c r="AL436" s="34"/>
      <c r="AM436" s="34"/>
      <c r="AN436" s="34"/>
      <c r="AO436" s="34"/>
      <c r="AP436" s="34"/>
      <c r="AQ436" s="34"/>
      <c r="AR436" s="34"/>
      <c r="AS436" s="34"/>
      <c r="AT436" s="34"/>
      <c r="AU436" s="34"/>
      <c r="AV436" s="34"/>
      <c r="AW436" s="34"/>
      <c r="AX436" s="34"/>
      <c r="AY436" s="34"/>
      <c r="AZ436" s="34"/>
      <c r="BA436" s="34"/>
      <c r="BB436" s="34"/>
      <c r="BD436" s="34"/>
      <c r="BE436" s="34"/>
      <c r="BF436" s="34"/>
      <c r="BG436" s="34"/>
      <c r="BH436" s="34"/>
      <c r="BI436" s="34"/>
      <c r="BJ436" s="34"/>
      <c r="BK436" s="34"/>
      <c r="BL436" s="34"/>
      <c r="BM436" s="34"/>
      <c r="BN436" s="34"/>
      <c r="BO436" s="34"/>
      <c r="BP436" s="34"/>
      <c r="BQ436" s="34"/>
      <c r="BR436" s="34"/>
      <c r="BS436" s="34"/>
      <c r="BT436" s="34"/>
      <c r="BU436" s="34"/>
      <c r="BV436" s="34"/>
      <c r="BW436" s="34"/>
      <c r="BX436" s="34"/>
      <c r="BY436" s="34"/>
    </row>
    <row r="437" spans="1:77" x14ac:dyDescent="0.3">
      <c r="A437" s="39"/>
      <c r="B437" s="42"/>
      <c r="C437" s="42"/>
      <c r="D437" s="75"/>
      <c r="E437" s="75"/>
      <c r="F437" s="76"/>
      <c r="G437" s="47"/>
      <c r="H437" s="47"/>
      <c r="I437" s="75"/>
      <c r="J437" s="76"/>
      <c r="K437" s="76"/>
      <c r="L437" s="75"/>
      <c r="M437" s="49"/>
      <c r="N437" s="76"/>
      <c r="O437" s="49"/>
      <c r="P437" s="77"/>
      <c r="Q437" s="53"/>
      <c r="R437" s="54"/>
      <c r="S437" s="55"/>
      <c r="T437" s="56"/>
      <c r="U437" s="56"/>
      <c r="V437" s="42"/>
      <c r="W437" s="57"/>
      <c r="X437" s="58"/>
      <c r="Y437" s="75"/>
      <c r="Z437" s="59"/>
      <c r="AA437" s="61"/>
      <c r="AB437" s="61"/>
      <c r="AC437" s="61"/>
      <c r="AD437" s="62"/>
      <c r="AE437" s="62"/>
      <c r="AF437" s="34"/>
      <c r="AG437" s="34"/>
      <c r="AH437" s="34"/>
      <c r="AI437" s="34"/>
      <c r="AJ437" s="34"/>
      <c r="AK437" s="34"/>
      <c r="AL437" s="34"/>
      <c r="AM437" s="34"/>
      <c r="AN437" s="34"/>
      <c r="AO437" s="34"/>
      <c r="AP437" s="34"/>
      <c r="AQ437" s="34"/>
      <c r="AR437" s="34"/>
      <c r="AS437" s="34"/>
      <c r="AT437" s="34"/>
      <c r="AU437" s="34"/>
      <c r="AV437" s="34"/>
      <c r="AW437" s="34"/>
      <c r="AX437" s="34"/>
      <c r="AY437" s="34"/>
      <c r="AZ437" s="34"/>
      <c r="BA437" s="34"/>
      <c r="BB437" s="34"/>
      <c r="BD437" s="34"/>
      <c r="BE437" s="34"/>
      <c r="BF437" s="34"/>
      <c r="BG437" s="34"/>
      <c r="BH437" s="34"/>
      <c r="BI437" s="34"/>
      <c r="BJ437" s="34"/>
      <c r="BK437" s="34"/>
      <c r="BL437" s="34"/>
      <c r="BM437" s="34"/>
      <c r="BN437" s="34"/>
      <c r="BO437" s="34"/>
      <c r="BP437" s="34"/>
      <c r="BQ437" s="34"/>
      <c r="BR437" s="34"/>
      <c r="BS437" s="34"/>
      <c r="BT437" s="34"/>
      <c r="BU437" s="34"/>
      <c r="BV437" s="34"/>
      <c r="BW437" s="34"/>
      <c r="BX437" s="34"/>
      <c r="BY437" s="34"/>
    </row>
    <row r="438" spans="1:77" x14ac:dyDescent="0.3">
      <c r="A438" s="39"/>
      <c r="B438" s="42"/>
      <c r="C438" s="42"/>
      <c r="D438" s="75"/>
      <c r="E438" s="75"/>
      <c r="F438" s="76"/>
      <c r="G438" s="47"/>
      <c r="H438" s="47"/>
      <c r="I438" s="75"/>
      <c r="J438" s="76"/>
      <c r="K438" s="76"/>
      <c r="L438" s="75"/>
      <c r="M438" s="49"/>
      <c r="N438" s="76"/>
      <c r="O438" s="49"/>
      <c r="P438" s="77"/>
      <c r="Q438" s="53"/>
      <c r="R438" s="54"/>
      <c r="S438" s="55"/>
      <c r="T438" s="56"/>
      <c r="U438" s="56"/>
      <c r="V438" s="42"/>
      <c r="W438" s="57"/>
      <c r="X438" s="58"/>
      <c r="Y438" s="75"/>
      <c r="Z438" s="59"/>
      <c r="AA438" s="61"/>
      <c r="AB438" s="61"/>
      <c r="AC438" s="61"/>
      <c r="AD438" s="62"/>
      <c r="AE438" s="62"/>
      <c r="AF438" s="34"/>
      <c r="AG438" s="34"/>
      <c r="AH438" s="34"/>
      <c r="AI438" s="34"/>
      <c r="AJ438" s="34"/>
      <c r="AK438" s="34"/>
      <c r="AL438" s="34"/>
      <c r="AM438" s="34"/>
      <c r="AN438" s="34"/>
      <c r="AO438" s="34"/>
      <c r="AP438" s="34"/>
      <c r="AQ438" s="34"/>
      <c r="AR438" s="34"/>
      <c r="AS438" s="34"/>
      <c r="AT438" s="34"/>
      <c r="AU438" s="34"/>
      <c r="AV438" s="34"/>
      <c r="AW438" s="34"/>
      <c r="AX438" s="34"/>
      <c r="AY438" s="34"/>
      <c r="AZ438" s="34"/>
      <c r="BA438" s="34"/>
      <c r="BB438" s="34"/>
      <c r="BD438" s="34"/>
      <c r="BE438" s="34"/>
      <c r="BF438" s="34"/>
      <c r="BG438" s="34"/>
      <c r="BH438" s="34"/>
      <c r="BI438" s="34"/>
      <c r="BJ438" s="34"/>
      <c r="BK438" s="34"/>
      <c r="BL438" s="34"/>
      <c r="BM438" s="34"/>
      <c r="BN438" s="34"/>
      <c r="BO438" s="34"/>
      <c r="BP438" s="34"/>
      <c r="BQ438" s="34"/>
      <c r="BR438" s="34"/>
      <c r="BS438" s="34"/>
      <c r="BT438" s="34"/>
      <c r="BU438" s="34"/>
      <c r="BV438" s="34"/>
      <c r="BW438" s="34"/>
      <c r="BX438" s="34"/>
      <c r="BY438" s="34"/>
    </row>
    <row r="439" spans="1:77" x14ac:dyDescent="0.3">
      <c r="A439" s="39"/>
      <c r="B439" s="42"/>
      <c r="C439" s="42"/>
      <c r="D439" s="75"/>
      <c r="E439" s="75"/>
      <c r="F439" s="76"/>
      <c r="G439" s="47"/>
      <c r="H439" s="47"/>
      <c r="I439" s="75"/>
      <c r="J439" s="76"/>
      <c r="K439" s="76"/>
      <c r="L439" s="75"/>
      <c r="M439" s="49"/>
      <c r="N439" s="76"/>
      <c r="O439" s="49"/>
      <c r="P439" s="77"/>
      <c r="Q439" s="53"/>
      <c r="R439" s="54"/>
      <c r="S439" s="55"/>
      <c r="T439" s="56"/>
      <c r="U439" s="56"/>
      <c r="V439" s="42"/>
      <c r="W439" s="57"/>
      <c r="X439" s="58"/>
      <c r="Y439" s="75"/>
      <c r="Z439" s="59"/>
      <c r="AA439" s="61"/>
      <c r="AB439" s="61"/>
      <c r="AC439" s="61"/>
      <c r="AD439" s="62"/>
      <c r="AE439" s="62"/>
      <c r="AF439" s="34"/>
      <c r="AG439" s="34"/>
      <c r="AH439" s="34"/>
      <c r="AI439" s="34"/>
      <c r="AJ439" s="34"/>
      <c r="AK439" s="34"/>
      <c r="AL439" s="34"/>
      <c r="AM439" s="34"/>
      <c r="AN439" s="34"/>
      <c r="AO439" s="34"/>
      <c r="AP439" s="34"/>
      <c r="AQ439" s="34"/>
      <c r="AR439" s="34"/>
      <c r="AS439" s="34"/>
      <c r="AT439" s="34"/>
      <c r="AU439" s="34"/>
      <c r="AV439" s="34"/>
      <c r="AW439" s="34"/>
      <c r="AX439" s="34"/>
      <c r="AY439" s="34"/>
      <c r="AZ439" s="34"/>
      <c r="BA439" s="34"/>
      <c r="BB439" s="34"/>
      <c r="BD439" s="34"/>
      <c r="BE439" s="34"/>
      <c r="BF439" s="34"/>
      <c r="BG439" s="34"/>
      <c r="BH439" s="34"/>
      <c r="BI439" s="34"/>
      <c r="BJ439" s="34"/>
      <c r="BK439" s="34"/>
      <c r="BL439" s="34"/>
      <c r="BM439" s="34"/>
      <c r="BN439" s="34"/>
      <c r="BO439" s="34"/>
      <c r="BP439" s="34"/>
      <c r="BQ439" s="34"/>
      <c r="BR439" s="34"/>
      <c r="BS439" s="34"/>
      <c r="BT439" s="34"/>
      <c r="BU439" s="34"/>
      <c r="BV439" s="34"/>
      <c r="BW439" s="34"/>
      <c r="BX439" s="34"/>
      <c r="BY439" s="34"/>
    </row>
    <row r="440" spans="1:77" x14ac:dyDescent="0.3">
      <c r="A440" s="39"/>
      <c r="B440" s="42"/>
      <c r="C440" s="42"/>
      <c r="D440" s="75"/>
      <c r="E440" s="75"/>
      <c r="F440" s="76"/>
      <c r="G440" s="47"/>
      <c r="H440" s="47"/>
      <c r="I440" s="75"/>
      <c r="J440" s="76"/>
      <c r="K440" s="76"/>
      <c r="L440" s="75"/>
      <c r="M440" s="49"/>
      <c r="N440" s="76"/>
      <c r="O440" s="49"/>
      <c r="P440" s="77"/>
      <c r="Q440" s="53"/>
      <c r="R440" s="54"/>
      <c r="S440" s="55"/>
      <c r="T440" s="56"/>
      <c r="U440" s="56"/>
      <c r="V440" s="42"/>
      <c r="W440" s="57"/>
      <c r="X440" s="58"/>
      <c r="Y440" s="75"/>
      <c r="Z440" s="59"/>
      <c r="AA440" s="61"/>
      <c r="AB440" s="61"/>
      <c r="AC440" s="61"/>
      <c r="AD440" s="62"/>
      <c r="AE440" s="62"/>
      <c r="AF440" s="34"/>
      <c r="AG440" s="34"/>
      <c r="AH440" s="34"/>
      <c r="AI440" s="34"/>
      <c r="AJ440" s="34"/>
      <c r="AK440" s="34"/>
      <c r="AL440" s="34"/>
      <c r="AM440" s="34"/>
      <c r="AN440" s="34"/>
      <c r="AO440" s="34"/>
      <c r="AP440" s="34"/>
      <c r="AQ440" s="34"/>
      <c r="AR440" s="34"/>
      <c r="AS440" s="34"/>
      <c r="AT440" s="34"/>
      <c r="AU440" s="34"/>
      <c r="AV440" s="34"/>
      <c r="AW440" s="34"/>
      <c r="AX440" s="34"/>
      <c r="AY440" s="34"/>
      <c r="AZ440" s="34"/>
      <c r="BA440" s="34"/>
      <c r="BB440" s="34"/>
      <c r="BD440" s="34"/>
      <c r="BE440" s="34"/>
      <c r="BF440" s="34"/>
      <c r="BG440" s="34"/>
      <c r="BH440" s="34"/>
      <c r="BI440" s="34"/>
      <c r="BJ440" s="34"/>
      <c r="BK440" s="34"/>
      <c r="BL440" s="34"/>
      <c r="BM440" s="34"/>
      <c r="BN440" s="34"/>
      <c r="BO440" s="34"/>
      <c r="BP440" s="34"/>
      <c r="BQ440" s="34"/>
      <c r="BR440" s="34"/>
      <c r="BS440" s="34"/>
      <c r="BT440" s="34"/>
      <c r="BU440" s="34"/>
      <c r="BV440" s="34"/>
      <c r="BW440" s="34"/>
      <c r="BX440" s="34"/>
      <c r="BY440" s="34"/>
    </row>
    <row r="441" spans="1:77" x14ac:dyDescent="0.3">
      <c r="A441" s="39"/>
      <c r="B441" s="42"/>
      <c r="C441" s="42"/>
      <c r="D441" s="75"/>
      <c r="E441" s="75"/>
      <c r="F441" s="76"/>
      <c r="G441" s="47"/>
      <c r="H441" s="47"/>
      <c r="I441" s="75"/>
      <c r="J441" s="76"/>
      <c r="K441" s="76"/>
      <c r="L441" s="75"/>
      <c r="M441" s="49"/>
      <c r="N441" s="76"/>
      <c r="O441" s="49"/>
      <c r="P441" s="77"/>
      <c r="Q441" s="53"/>
      <c r="R441" s="54"/>
      <c r="S441" s="55"/>
      <c r="T441" s="56"/>
      <c r="U441" s="56"/>
      <c r="V441" s="42"/>
      <c r="W441" s="57"/>
      <c r="X441" s="58"/>
      <c r="Y441" s="75"/>
      <c r="Z441" s="59"/>
      <c r="AA441" s="61"/>
      <c r="AB441" s="61"/>
      <c r="AC441" s="61"/>
      <c r="AD441" s="62"/>
      <c r="AE441" s="62"/>
      <c r="AF441" s="34"/>
      <c r="AG441" s="34"/>
      <c r="AH441" s="34"/>
      <c r="AI441" s="34"/>
      <c r="AJ441" s="34"/>
      <c r="AK441" s="34"/>
      <c r="AL441" s="34"/>
      <c r="AM441" s="34"/>
      <c r="AN441" s="34"/>
      <c r="AO441" s="34"/>
      <c r="AP441" s="34"/>
      <c r="AQ441" s="34"/>
      <c r="AR441" s="34"/>
      <c r="AS441" s="34"/>
      <c r="AT441" s="34"/>
      <c r="AU441" s="34"/>
      <c r="AV441" s="34"/>
      <c r="AW441" s="34"/>
      <c r="AX441" s="34"/>
      <c r="AY441" s="34"/>
      <c r="AZ441" s="34"/>
      <c r="BA441" s="34"/>
      <c r="BB441" s="34"/>
      <c r="BD441" s="34"/>
      <c r="BE441" s="34"/>
      <c r="BF441" s="34"/>
      <c r="BG441" s="34"/>
      <c r="BH441" s="34"/>
      <c r="BI441" s="34"/>
      <c r="BJ441" s="34"/>
      <c r="BK441" s="34"/>
      <c r="BL441" s="34"/>
      <c r="BM441" s="34"/>
      <c r="BN441" s="34"/>
      <c r="BO441" s="34"/>
      <c r="BP441" s="34"/>
      <c r="BQ441" s="34"/>
      <c r="BR441" s="34"/>
      <c r="BS441" s="34"/>
      <c r="BT441" s="34"/>
      <c r="BU441" s="34"/>
      <c r="BV441" s="34"/>
      <c r="BW441" s="34"/>
      <c r="BX441" s="34"/>
      <c r="BY441" s="34"/>
    </row>
    <row r="442" spans="1:77" x14ac:dyDescent="0.3">
      <c r="A442" s="39"/>
      <c r="B442" s="42"/>
      <c r="C442" s="42"/>
      <c r="D442" s="75"/>
      <c r="E442" s="75"/>
      <c r="F442" s="76"/>
      <c r="G442" s="47"/>
      <c r="H442" s="47"/>
      <c r="I442" s="75"/>
      <c r="J442" s="76"/>
      <c r="K442" s="76"/>
      <c r="L442" s="75"/>
      <c r="M442" s="49"/>
      <c r="N442" s="76"/>
      <c r="O442" s="49"/>
      <c r="P442" s="77"/>
      <c r="Q442" s="53"/>
      <c r="R442" s="54"/>
      <c r="S442" s="55"/>
      <c r="T442" s="56"/>
      <c r="U442" s="56"/>
      <c r="V442" s="42"/>
      <c r="W442" s="57"/>
      <c r="X442" s="58"/>
      <c r="Y442" s="75"/>
      <c r="Z442" s="59"/>
      <c r="AA442" s="61"/>
      <c r="AB442" s="61"/>
      <c r="AC442" s="61"/>
      <c r="AD442" s="62"/>
      <c r="AE442" s="62"/>
      <c r="AF442" s="34"/>
      <c r="AG442" s="34"/>
      <c r="AH442" s="34"/>
      <c r="AI442" s="34"/>
      <c r="AJ442" s="34"/>
      <c r="AK442" s="34"/>
      <c r="AL442" s="34"/>
      <c r="AM442" s="34"/>
      <c r="AN442" s="34"/>
      <c r="AO442" s="34"/>
      <c r="AP442" s="34"/>
      <c r="AQ442" s="34"/>
      <c r="AR442" s="34"/>
      <c r="AS442" s="34"/>
      <c r="AT442" s="34"/>
      <c r="AU442" s="34"/>
      <c r="AV442" s="34"/>
      <c r="AW442" s="34"/>
      <c r="AX442" s="34"/>
      <c r="AY442" s="34"/>
      <c r="AZ442" s="34"/>
      <c r="BA442" s="34"/>
      <c r="BB442" s="34"/>
      <c r="BD442" s="34"/>
      <c r="BE442" s="34"/>
      <c r="BF442" s="34"/>
      <c r="BG442" s="34"/>
      <c r="BH442" s="34"/>
      <c r="BI442" s="34"/>
      <c r="BJ442" s="34"/>
      <c r="BK442" s="34"/>
      <c r="BL442" s="34"/>
      <c r="BM442" s="34"/>
      <c r="BN442" s="34"/>
      <c r="BO442" s="34"/>
      <c r="BP442" s="34"/>
      <c r="BQ442" s="34"/>
      <c r="BR442" s="34"/>
      <c r="BS442" s="34"/>
      <c r="BT442" s="34"/>
      <c r="BU442" s="34"/>
      <c r="BV442" s="34"/>
      <c r="BW442" s="34"/>
      <c r="BX442" s="34"/>
      <c r="BY442" s="34"/>
    </row>
    <row r="443" spans="1:77" x14ac:dyDescent="0.3">
      <c r="A443" s="39"/>
      <c r="B443" s="42"/>
      <c r="C443" s="42"/>
      <c r="D443" s="75"/>
      <c r="E443" s="75"/>
      <c r="F443" s="76"/>
      <c r="G443" s="47"/>
      <c r="H443" s="47"/>
      <c r="I443" s="75"/>
      <c r="J443" s="76"/>
      <c r="K443" s="76"/>
      <c r="L443" s="75"/>
      <c r="M443" s="49"/>
      <c r="N443" s="76"/>
      <c r="O443" s="49"/>
      <c r="P443" s="77"/>
      <c r="Q443" s="53"/>
      <c r="R443" s="54"/>
      <c r="S443" s="55"/>
      <c r="T443" s="56"/>
      <c r="U443" s="56"/>
      <c r="V443" s="42"/>
      <c r="W443" s="57"/>
      <c r="X443" s="58"/>
      <c r="Y443" s="75"/>
      <c r="Z443" s="59"/>
      <c r="AA443" s="61"/>
      <c r="AB443" s="61"/>
      <c r="AC443" s="61"/>
      <c r="AD443" s="62"/>
      <c r="AE443" s="62"/>
      <c r="AF443" s="34"/>
      <c r="AG443" s="34"/>
      <c r="AH443" s="34"/>
      <c r="AI443" s="34"/>
      <c r="AJ443" s="34"/>
      <c r="AK443" s="34"/>
      <c r="AL443" s="34"/>
      <c r="AM443" s="34"/>
      <c r="AN443" s="34"/>
      <c r="AO443" s="34"/>
      <c r="AP443" s="34"/>
      <c r="AQ443" s="34"/>
      <c r="AR443" s="34"/>
      <c r="AS443" s="34"/>
      <c r="AT443" s="34"/>
      <c r="AU443" s="34"/>
      <c r="AV443" s="34"/>
      <c r="AW443" s="34"/>
      <c r="AX443" s="34"/>
      <c r="AY443" s="34"/>
      <c r="AZ443" s="34"/>
      <c r="BA443" s="34"/>
      <c r="BB443" s="34"/>
      <c r="BD443" s="34"/>
      <c r="BE443" s="34"/>
      <c r="BF443" s="34"/>
      <c r="BG443" s="34"/>
      <c r="BH443" s="34"/>
      <c r="BI443" s="34"/>
      <c r="BJ443" s="34"/>
      <c r="BK443" s="34"/>
      <c r="BL443" s="34"/>
      <c r="BM443" s="34"/>
      <c r="BN443" s="34"/>
      <c r="BO443" s="34"/>
      <c r="BP443" s="34"/>
      <c r="BQ443" s="34"/>
      <c r="BR443" s="34"/>
      <c r="BS443" s="34"/>
      <c r="BT443" s="34"/>
      <c r="BU443" s="34"/>
      <c r="BV443" s="34"/>
      <c r="BW443" s="34"/>
      <c r="BX443" s="34"/>
      <c r="BY443" s="34"/>
    </row>
    <row r="444" spans="1:77" x14ac:dyDescent="0.3">
      <c r="A444" s="39"/>
      <c r="B444" s="42"/>
      <c r="C444" s="42"/>
      <c r="D444" s="75"/>
      <c r="E444" s="75"/>
      <c r="F444" s="76"/>
      <c r="G444" s="47"/>
      <c r="H444" s="47"/>
      <c r="I444" s="75"/>
      <c r="J444" s="76"/>
      <c r="K444" s="76"/>
      <c r="L444" s="75"/>
      <c r="M444" s="49"/>
      <c r="N444" s="76"/>
      <c r="O444" s="49"/>
      <c r="P444" s="77"/>
      <c r="Q444" s="53"/>
      <c r="R444" s="54"/>
      <c r="S444" s="55"/>
      <c r="T444" s="56"/>
      <c r="U444" s="56"/>
      <c r="V444" s="42"/>
      <c r="W444" s="57"/>
      <c r="X444" s="58"/>
      <c r="Y444" s="75"/>
      <c r="Z444" s="59"/>
      <c r="AA444" s="61"/>
      <c r="AB444" s="61"/>
      <c r="AC444" s="61"/>
      <c r="AD444" s="62"/>
      <c r="AE444" s="62"/>
      <c r="AF444" s="34"/>
      <c r="AG444" s="34"/>
      <c r="AH444" s="34"/>
      <c r="AI444" s="34"/>
      <c r="AJ444" s="34"/>
      <c r="AK444" s="34"/>
      <c r="AL444" s="34"/>
      <c r="AM444" s="34"/>
      <c r="AN444" s="34"/>
      <c r="AO444" s="34"/>
      <c r="AP444" s="34"/>
      <c r="AQ444" s="34"/>
      <c r="AR444" s="34"/>
      <c r="AS444" s="34"/>
      <c r="AT444" s="34"/>
      <c r="AU444" s="34"/>
      <c r="AV444" s="34"/>
      <c r="AW444" s="34"/>
      <c r="AX444" s="34"/>
      <c r="AY444" s="34"/>
      <c r="AZ444" s="34"/>
      <c r="BA444" s="34"/>
      <c r="BB444" s="34"/>
      <c r="BD444" s="34"/>
      <c r="BE444" s="34"/>
      <c r="BF444" s="34"/>
      <c r="BG444" s="34"/>
      <c r="BH444" s="34"/>
      <c r="BI444" s="34"/>
      <c r="BJ444" s="34"/>
      <c r="BK444" s="34"/>
      <c r="BL444" s="34"/>
      <c r="BM444" s="34"/>
      <c r="BN444" s="34"/>
      <c r="BO444" s="34"/>
      <c r="BP444" s="34"/>
      <c r="BQ444" s="34"/>
      <c r="BR444" s="34"/>
      <c r="BS444" s="34"/>
      <c r="BT444" s="34"/>
      <c r="BU444" s="34"/>
      <c r="BV444" s="34"/>
      <c r="BW444" s="34"/>
      <c r="BX444" s="34"/>
      <c r="BY444" s="34"/>
    </row>
    <row r="445" spans="1:77" x14ac:dyDescent="0.3">
      <c r="A445" s="39"/>
      <c r="B445" s="42"/>
      <c r="C445" s="42"/>
      <c r="D445" s="75"/>
      <c r="E445" s="75"/>
      <c r="F445" s="76"/>
      <c r="G445" s="47"/>
      <c r="H445" s="47"/>
      <c r="I445" s="75"/>
      <c r="J445" s="76"/>
      <c r="K445" s="76"/>
      <c r="L445" s="75"/>
      <c r="M445" s="49"/>
      <c r="N445" s="76"/>
      <c r="O445" s="49"/>
      <c r="P445" s="77"/>
      <c r="Q445" s="53"/>
      <c r="R445" s="54"/>
      <c r="S445" s="55"/>
      <c r="T445" s="56"/>
      <c r="U445" s="56"/>
      <c r="V445" s="42"/>
      <c r="W445" s="57"/>
      <c r="X445" s="58"/>
      <c r="Y445" s="75"/>
      <c r="Z445" s="59"/>
      <c r="AA445" s="61"/>
      <c r="AB445" s="61"/>
      <c r="AC445" s="61"/>
      <c r="AD445" s="62"/>
      <c r="AE445" s="62"/>
      <c r="AF445" s="34"/>
      <c r="AG445" s="34"/>
      <c r="AH445" s="34"/>
      <c r="AI445" s="34"/>
      <c r="AJ445" s="34"/>
      <c r="AK445" s="34"/>
      <c r="AL445" s="34"/>
      <c r="AM445" s="34"/>
      <c r="AN445" s="34"/>
      <c r="AO445" s="34"/>
      <c r="AP445" s="34"/>
      <c r="AQ445" s="34"/>
      <c r="AR445" s="34"/>
      <c r="AS445" s="34"/>
      <c r="AT445" s="34"/>
      <c r="AU445" s="34"/>
      <c r="AV445" s="34"/>
      <c r="AW445" s="34"/>
      <c r="AX445" s="34"/>
      <c r="AY445" s="34"/>
      <c r="AZ445" s="34"/>
      <c r="BA445" s="34"/>
      <c r="BB445" s="34"/>
      <c r="BD445" s="34"/>
      <c r="BE445" s="34"/>
      <c r="BF445" s="34"/>
      <c r="BG445" s="34"/>
      <c r="BH445" s="34"/>
      <c r="BI445" s="34"/>
      <c r="BJ445" s="34"/>
      <c r="BK445" s="34"/>
      <c r="BL445" s="34"/>
      <c r="BM445" s="34"/>
      <c r="BN445" s="34"/>
      <c r="BO445" s="34"/>
      <c r="BP445" s="34"/>
      <c r="BQ445" s="34"/>
      <c r="BR445" s="34"/>
      <c r="BS445" s="34"/>
      <c r="BT445" s="34"/>
      <c r="BU445" s="34"/>
      <c r="BV445" s="34"/>
      <c r="BW445" s="34"/>
      <c r="BX445" s="34"/>
      <c r="BY445" s="34"/>
    </row>
    <row r="446" spans="1:77" x14ac:dyDescent="0.3">
      <c r="A446" s="39"/>
      <c r="B446" s="42"/>
      <c r="C446" s="42"/>
      <c r="D446" s="75"/>
      <c r="E446" s="75"/>
      <c r="F446" s="76"/>
      <c r="G446" s="47"/>
      <c r="H446" s="47"/>
      <c r="I446" s="75"/>
      <c r="J446" s="76"/>
      <c r="K446" s="76"/>
      <c r="L446" s="75"/>
      <c r="M446" s="49"/>
      <c r="N446" s="76"/>
      <c r="O446" s="49"/>
      <c r="P446" s="77"/>
      <c r="Q446" s="53"/>
      <c r="R446" s="54"/>
      <c r="S446" s="55"/>
      <c r="T446" s="56"/>
      <c r="U446" s="56"/>
      <c r="V446" s="42"/>
      <c r="W446" s="57"/>
      <c r="X446" s="58"/>
      <c r="Y446" s="75"/>
      <c r="Z446" s="59"/>
      <c r="AA446" s="61"/>
      <c r="AB446" s="61"/>
      <c r="AC446" s="61"/>
      <c r="AD446" s="62"/>
      <c r="AE446" s="62"/>
      <c r="AF446" s="34"/>
      <c r="AG446" s="34"/>
      <c r="AH446" s="34"/>
      <c r="AI446" s="34"/>
      <c r="AJ446" s="34"/>
      <c r="AK446" s="34"/>
      <c r="AL446" s="34"/>
      <c r="AM446" s="34"/>
      <c r="AN446" s="34"/>
      <c r="AO446" s="34"/>
      <c r="AP446" s="34"/>
      <c r="AQ446" s="34"/>
      <c r="AR446" s="34"/>
      <c r="AS446" s="34"/>
      <c r="AT446" s="34"/>
      <c r="AU446" s="34"/>
      <c r="AV446" s="34"/>
      <c r="AW446" s="34"/>
      <c r="AX446" s="34"/>
      <c r="AY446" s="34"/>
      <c r="AZ446" s="34"/>
      <c r="BA446" s="34"/>
      <c r="BB446" s="34"/>
      <c r="BD446" s="34"/>
      <c r="BE446" s="34"/>
      <c r="BF446" s="34"/>
      <c r="BG446" s="34"/>
      <c r="BH446" s="34"/>
      <c r="BI446" s="34"/>
      <c r="BJ446" s="34"/>
      <c r="BK446" s="34"/>
      <c r="BL446" s="34"/>
      <c r="BM446" s="34"/>
      <c r="BN446" s="34"/>
      <c r="BO446" s="34"/>
      <c r="BP446" s="34"/>
      <c r="BQ446" s="34"/>
      <c r="BR446" s="34"/>
      <c r="BS446" s="34"/>
      <c r="BT446" s="34"/>
      <c r="BU446" s="34"/>
      <c r="BV446" s="34"/>
      <c r="BW446" s="34"/>
      <c r="BX446" s="34"/>
      <c r="BY446" s="34"/>
    </row>
    <row r="447" spans="1:77" x14ac:dyDescent="0.3">
      <c r="A447" s="39"/>
      <c r="B447" s="42"/>
      <c r="C447" s="42"/>
      <c r="D447" s="75"/>
      <c r="E447" s="75"/>
      <c r="F447" s="76"/>
      <c r="G447" s="47"/>
      <c r="H447" s="47"/>
      <c r="I447" s="75"/>
      <c r="J447" s="76"/>
      <c r="K447" s="76"/>
      <c r="L447" s="75"/>
      <c r="M447" s="49"/>
      <c r="N447" s="76"/>
      <c r="O447" s="49"/>
      <c r="P447" s="77"/>
      <c r="Q447" s="53"/>
      <c r="R447" s="54"/>
      <c r="S447" s="55"/>
      <c r="T447" s="56"/>
      <c r="U447" s="56"/>
      <c r="V447" s="42"/>
      <c r="W447" s="57"/>
      <c r="X447" s="58"/>
      <c r="Y447" s="75"/>
      <c r="Z447" s="59"/>
      <c r="AA447" s="61"/>
      <c r="AB447" s="61"/>
      <c r="AC447" s="61"/>
      <c r="AD447" s="62"/>
      <c r="AE447" s="62"/>
      <c r="AF447" s="34"/>
      <c r="AG447" s="34"/>
      <c r="AH447" s="34"/>
      <c r="AI447" s="34"/>
      <c r="AJ447" s="34"/>
      <c r="AK447" s="34"/>
      <c r="AL447" s="34"/>
      <c r="AM447" s="34"/>
      <c r="AN447" s="34"/>
      <c r="AO447" s="34"/>
      <c r="AP447" s="34"/>
      <c r="AQ447" s="34"/>
      <c r="AR447" s="34"/>
      <c r="AS447" s="34"/>
      <c r="AT447" s="34"/>
      <c r="AU447" s="34"/>
      <c r="AV447" s="34"/>
      <c r="AW447" s="34"/>
      <c r="AX447" s="34"/>
      <c r="AY447" s="34"/>
      <c r="AZ447" s="34"/>
      <c r="BA447" s="34"/>
      <c r="BB447" s="34"/>
      <c r="BD447" s="34"/>
      <c r="BE447" s="34"/>
      <c r="BF447" s="34"/>
      <c r="BG447" s="34"/>
      <c r="BH447" s="34"/>
      <c r="BI447" s="34"/>
      <c r="BJ447" s="34"/>
      <c r="BK447" s="34"/>
      <c r="BL447" s="34"/>
      <c r="BM447" s="34"/>
      <c r="BN447" s="34"/>
      <c r="BO447" s="34"/>
      <c r="BP447" s="34"/>
      <c r="BQ447" s="34"/>
      <c r="BR447" s="34"/>
      <c r="BS447" s="34"/>
      <c r="BT447" s="34"/>
      <c r="BU447" s="34"/>
      <c r="BV447" s="34"/>
      <c r="BW447" s="34"/>
      <c r="BX447" s="34"/>
      <c r="BY447" s="34"/>
    </row>
    <row r="448" spans="1:77" x14ac:dyDescent="0.3">
      <c r="A448" s="39"/>
      <c r="B448" s="42"/>
      <c r="C448" s="42"/>
      <c r="D448" s="75"/>
      <c r="E448" s="75"/>
      <c r="F448" s="76"/>
      <c r="G448" s="47"/>
      <c r="H448" s="47"/>
      <c r="I448" s="75"/>
      <c r="J448" s="76"/>
      <c r="K448" s="76"/>
      <c r="L448" s="75"/>
      <c r="M448" s="49"/>
      <c r="N448" s="76"/>
      <c r="O448" s="49"/>
      <c r="P448" s="77"/>
      <c r="Q448" s="53"/>
      <c r="R448" s="54"/>
      <c r="S448" s="55"/>
      <c r="T448" s="56"/>
      <c r="U448" s="56"/>
      <c r="V448" s="42"/>
      <c r="W448" s="57"/>
      <c r="X448" s="58"/>
      <c r="Y448" s="75"/>
      <c r="Z448" s="59"/>
      <c r="AA448" s="61"/>
      <c r="AB448" s="61"/>
      <c r="AC448" s="61"/>
      <c r="AD448" s="62"/>
      <c r="AE448" s="62"/>
      <c r="AF448" s="34"/>
      <c r="AG448" s="34"/>
      <c r="AH448" s="34"/>
      <c r="AI448" s="34"/>
      <c r="AJ448" s="34"/>
      <c r="AK448" s="34"/>
      <c r="AL448" s="34"/>
      <c r="AM448" s="34"/>
      <c r="AN448" s="34"/>
      <c r="AO448" s="34"/>
      <c r="AP448" s="34"/>
      <c r="AQ448" s="34"/>
      <c r="AR448" s="34"/>
      <c r="AS448" s="34"/>
      <c r="AT448" s="34"/>
      <c r="AU448" s="34"/>
      <c r="AV448" s="34"/>
      <c r="AW448" s="34"/>
      <c r="AX448" s="34"/>
      <c r="AY448" s="34"/>
      <c r="AZ448" s="34"/>
      <c r="BA448" s="34"/>
      <c r="BB448" s="34"/>
      <c r="BD448" s="34"/>
      <c r="BE448" s="34"/>
      <c r="BF448" s="34"/>
      <c r="BG448" s="34"/>
      <c r="BH448" s="34"/>
      <c r="BI448" s="34"/>
      <c r="BJ448" s="34"/>
      <c r="BK448" s="34"/>
      <c r="BL448" s="34"/>
      <c r="BM448" s="34"/>
      <c r="BN448" s="34"/>
      <c r="BO448" s="34"/>
      <c r="BP448" s="34"/>
      <c r="BQ448" s="34"/>
      <c r="BR448" s="34"/>
      <c r="BS448" s="34"/>
      <c r="BT448" s="34"/>
      <c r="BU448" s="34"/>
      <c r="BV448" s="34"/>
      <c r="BW448" s="34"/>
      <c r="BX448" s="34"/>
      <c r="BY448" s="34"/>
    </row>
    <row r="449" spans="1:77" x14ac:dyDescent="0.3">
      <c r="A449" s="39"/>
      <c r="B449" s="42"/>
      <c r="C449" s="42"/>
      <c r="D449" s="75"/>
      <c r="E449" s="75"/>
      <c r="F449" s="76"/>
      <c r="G449" s="47"/>
      <c r="H449" s="47"/>
      <c r="I449" s="75"/>
      <c r="J449" s="76"/>
      <c r="K449" s="76"/>
      <c r="L449" s="75"/>
      <c r="M449" s="49"/>
      <c r="N449" s="76"/>
      <c r="O449" s="49"/>
      <c r="P449" s="77"/>
      <c r="Q449" s="53"/>
      <c r="R449" s="54"/>
      <c r="S449" s="55"/>
      <c r="T449" s="56"/>
      <c r="U449" s="56"/>
      <c r="V449" s="42"/>
      <c r="W449" s="57"/>
      <c r="X449" s="58"/>
      <c r="Y449" s="75"/>
      <c r="Z449" s="59"/>
      <c r="AA449" s="61"/>
      <c r="AB449" s="61"/>
      <c r="AC449" s="61"/>
      <c r="AD449" s="62"/>
      <c r="AE449" s="62"/>
      <c r="AF449" s="34"/>
      <c r="AG449" s="34"/>
      <c r="AH449" s="34"/>
      <c r="AI449" s="34"/>
      <c r="AJ449" s="34"/>
      <c r="AK449" s="34"/>
      <c r="AL449" s="34"/>
      <c r="AM449" s="34"/>
      <c r="AN449" s="34"/>
      <c r="AO449" s="34"/>
      <c r="AP449" s="34"/>
      <c r="AQ449" s="34"/>
      <c r="AR449" s="34"/>
      <c r="AS449" s="34"/>
      <c r="AT449" s="34"/>
      <c r="AU449" s="34"/>
      <c r="AV449" s="34"/>
      <c r="AW449" s="34"/>
      <c r="AX449" s="34"/>
      <c r="AY449" s="34"/>
      <c r="AZ449" s="34"/>
      <c r="BA449" s="34"/>
      <c r="BB449" s="34"/>
      <c r="BD449" s="34"/>
      <c r="BE449" s="34"/>
      <c r="BF449" s="34"/>
      <c r="BG449" s="34"/>
      <c r="BH449" s="34"/>
      <c r="BI449" s="34"/>
      <c r="BJ449" s="34"/>
      <c r="BK449" s="34"/>
      <c r="BL449" s="34"/>
      <c r="BM449" s="34"/>
      <c r="BN449" s="34"/>
      <c r="BO449" s="34"/>
      <c r="BP449" s="34"/>
      <c r="BQ449" s="34"/>
      <c r="BR449" s="34"/>
      <c r="BS449" s="34"/>
      <c r="BT449" s="34"/>
      <c r="BU449" s="34"/>
      <c r="BV449" s="34"/>
      <c r="BW449" s="34"/>
      <c r="BX449" s="34"/>
      <c r="BY449" s="34"/>
    </row>
    <row r="450" spans="1:77" x14ac:dyDescent="0.3">
      <c r="A450" s="39"/>
      <c r="B450" s="42"/>
      <c r="C450" s="42"/>
      <c r="D450" s="75"/>
      <c r="E450" s="75"/>
      <c r="F450" s="76"/>
      <c r="G450" s="47"/>
      <c r="H450" s="47"/>
      <c r="I450" s="75"/>
      <c r="J450" s="76"/>
      <c r="K450" s="76"/>
      <c r="L450" s="75"/>
      <c r="M450" s="49"/>
      <c r="N450" s="76"/>
      <c r="O450" s="49"/>
      <c r="P450" s="77"/>
      <c r="Q450" s="53"/>
      <c r="R450" s="54"/>
      <c r="S450" s="55"/>
      <c r="T450" s="56"/>
      <c r="U450" s="56"/>
      <c r="V450" s="42"/>
      <c r="W450" s="57"/>
      <c r="X450" s="58"/>
      <c r="Y450" s="75"/>
      <c r="Z450" s="59"/>
      <c r="AA450" s="61"/>
      <c r="AB450" s="61"/>
      <c r="AC450" s="61"/>
      <c r="AD450" s="62"/>
      <c r="AE450" s="62"/>
      <c r="AF450" s="34"/>
      <c r="AG450" s="34"/>
      <c r="AH450" s="34"/>
      <c r="AI450" s="34"/>
      <c r="AJ450" s="34"/>
      <c r="AK450" s="34"/>
      <c r="AL450" s="34"/>
      <c r="AM450" s="34"/>
      <c r="AN450" s="34"/>
      <c r="AO450" s="34"/>
      <c r="AP450" s="34"/>
      <c r="AQ450" s="34"/>
      <c r="AR450" s="34"/>
      <c r="AS450" s="34"/>
      <c r="AT450" s="34"/>
      <c r="AU450" s="34"/>
      <c r="AV450" s="34"/>
      <c r="AW450" s="34"/>
      <c r="AX450" s="34"/>
      <c r="AY450" s="34"/>
      <c r="AZ450" s="34"/>
      <c r="BA450" s="34"/>
      <c r="BB450" s="34"/>
      <c r="BD450" s="34"/>
      <c r="BE450" s="34"/>
      <c r="BF450" s="34"/>
      <c r="BG450" s="34"/>
      <c r="BH450" s="34"/>
      <c r="BI450" s="34"/>
      <c r="BJ450" s="34"/>
      <c r="BK450" s="34"/>
      <c r="BL450" s="34"/>
      <c r="BM450" s="34"/>
      <c r="BN450" s="34"/>
      <c r="BO450" s="34"/>
      <c r="BP450" s="34"/>
      <c r="BQ450" s="34"/>
      <c r="BR450" s="34"/>
      <c r="BS450" s="34"/>
      <c r="BT450" s="34"/>
      <c r="BU450" s="34"/>
      <c r="BV450" s="34"/>
      <c r="BW450" s="34"/>
      <c r="BX450" s="34"/>
      <c r="BY450" s="34"/>
    </row>
    <row r="451" spans="1:77" x14ac:dyDescent="0.3">
      <c r="A451" s="39"/>
      <c r="B451" s="42"/>
      <c r="C451" s="42"/>
      <c r="D451" s="75"/>
      <c r="E451" s="75"/>
      <c r="F451" s="76"/>
      <c r="G451" s="47"/>
      <c r="H451" s="47"/>
      <c r="I451" s="75"/>
      <c r="J451" s="76"/>
      <c r="K451" s="76"/>
      <c r="L451" s="75"/>
      <c r="M451" s="49"/>
      <c r="N451" s="76"/>
      <c r="O451" s="49"/>
      <c r="P451" s="77"/>
      <c r="Q451" s="53"/>
      <c r="R451" s="54"/>
      <c r="S451" s="55"/>
      <c r="T451" s="56"/>
      <c r="U451" s="56"/>
      <c r="V451" s="42"/>
      <c r="W451" s="57"/>
      <c r="X451" s="58"/>
      <c r="Y451" s="75"/>
      <c r="Z451" s="59"/>
      <c r="AA451" s="61"/>
      <c r="AB451" s="61"/>
      <c r="AC451" s="61"/>
      <c r="AD451" s="62"/>
      <c r="AE451" s="62"/>
      <c r="AF451" s="34"/>
      <c r="AG451" s="34"/>
      <c r="AH451" s="34"/>
      <c r="AI451" s="34"/>
      <c r="AJ451" s="34"/>
      <c r="AK451" s="34"/>
      <c r="AL451" s="34"/>
      <c r="AM451" s="34"/>
      <c r="AN451" s="34"/>
      <c r="AO451" s="34"/>
      <c r="AP451" s="34"/>
      <c r="AQ451" s="34"/>
      <c r="AR451" s="34"/>
      <c r="AS451" s="34"/>
      <c r="AT451" s="34"/>
      <c r="AU451" s="34"/>
      <c r="AV451" s="34"/>
      <c r="AW451" s="34"/>
      <c r="AX451" s="34"/>
      <c r="AY451" s="34"/>
      <c r="AZ451" s="34"/>
      <c r="BA451" s="34"/>
      <c r="BB451" s="34"/>
      <c r="BD451" s="34"/>
      <c r="BE451" s="34"/>
      <c r="BF451" s="34"/>
      <c r="BG451" s="34"/>
      <c r="BH451" s="34"/>
      <c r="BI451" s="34"/>
      <c r="BJ451" s="34"/>
      <c r="BK451" s="34"/>
      <c r="BL451" s="34"/>
      <c r="BM451" s="34"/>
      <c r="BN451" s="34"/>
      <c r="BO451" s="34"/>
      <c r="BP451" s="34"/>
      <c r="BQ451" s="34"/>
      <c r="BR451" s="34"/>
      <c r="BS451" s="34"/>
      <c r="BT451" s="34"/>
      <c r="BU451" s="34"/>
      <c r="BV451" s="34"/>
      <c r="BW451" s="34"/>
      <c r="BX451" s="34"/>
      <c r="BY451" s="34"/>
    </row>
    <row r="452" spans="1:77" x14ac:dyDescent="0.3">
      <c r="A452" s="39"/>
      <c r="B452" s="42"/>
      <c r="C452" s="42"/>
      <c r="D452" s="75"/>
      <c r="E452" s="75"/>
      <c r="F452" s="76"/>
      <c r="G452" s="47"/>
      <c r="H452" s="47"/>
      <c r="I452" s="75"/>
      <c r="J452" s="76"/>
      <c r="K452" s="76"/>
      <c r="L452" s="75"/>
      <c r="M452" s="49"/>
      <c r="N452" s="76"/>
      <c r="O452" s="49"/>
      <c r="P452" s="77"/>
      <c r="Q452" s="53"/>
      <c r="R452" s="54"/>
      <c r="S452" s="55"/>
      <c r="T452" s="56"/>
      <c r="U452" s="56"/>
      <c r="V452" s="42"/>
      <c r="W452" s="57"/>
      <c r="X452" s="58"/>
      <c r="Y452" s="75"/>
      <c r="Z452" s="59"/>
      <c r="AA452" s="61"/>
      <c r="AB452" s="61"/>
      <c r="AC452" s="61"/>
      <c r="AD452" s="62"/>
      <c r="AE452" s="62"/>
      <c r="AF452" s="34"/>
      <c r="AG452" s="34"/>
      <c r="AH452" s="34"/>
      <c r="AI452" s="34"/>
      <c r="AJ452" s="34"/>
      <c r="AK452" s="34"/>
      <c r="AL452" s="34"/>
      <c r="AM452" s="34"/>
      <c r="AN452" s="34"/>
      <c r="AO452" s="34"/>
      <c r="AP452" s="34"/>
      <c r="AQ452" s="34"/>
      <c r="AR452" s="34"/>
      <c r="AS452" s="34"/>
      <c r="AT452" s="34"/>
      <c r="AU452" s="34"/>
      <c r="AV452" s="34"/>
      <c r="AW452" s="34"/>
      <c r="AX452" s="34"/>
      <c r="AY452" s="34"/>
      <c r="AZ452" s="34"/>
      <c r="BA452" s="34"/>
      <c r="BB452" s="34"/>
      <c r="BD452" s="34"/>
      <c r="BE452" s="34"/>
      <c r="BF452" s="34"/>
      <c r="BG452" s="34"/>
      <c r="BH452" s="34"/>
      <c r="BI452" s="34"/>
      <c r="BJ452" s="34"/>
      <c r="BK452" s="34"/>
      <c r="BL452" s="34"/>
      <c r="BM452" s="34"/>
      <c r="BN452" s="34"/>
      <c r="BO452" s="34"/>
      <c r="BP452" s="34"/>
      <c r="BQ452" s="34"/>
      <c r="BR452" s="34"/>
      <c r="BS452" s="34"/>
      <c r="BT452" s="34"/>
      <c r="BU452" s="34"/>
      <c r="BV452" s="34"/>
      <c r="BW452" s="34"/>
      <c r="BX452" s="34"/>
      <c r="BY452" s="34"/>
    </row>
    <row r="453" spans="1:77" x14ac:dyDescent="0.3">
      <c r="A453" s="39"/>
      <c r="B453" s="42"/>
      <c r="C453" s="42"/>
      <c r="D453" s="75"/>
      <c r="E453" s="75"/>
      <c r="F453" s="76"/>
      <c r="G453" s="47"/>
      <c r="H453" s="47"/>
      <c r="I453" s="75"/>
      <c r="J453" s="76"/>
      <c r="K453" s="76"/>
      <c r="L453" s="75"/>
      <c r="M453" s="49"/>
      <c r="N453" s="76"/>
      <c r="O453" s="49"/>
      <c r="P453" s="77"/>
      <c r="Q453" s="53"/>
      <c r="R453" s="54"/>
      <c r="S453" s="55"/>
      <c r="T453" s="56"/>
      <c r="U453" s="56"/>
      <c r="V453" s="42"/>
      <c r="W453" s="57"/>
      <c r="X453" s="58"/>
      <c r="Y453" s="75"/>
      <c r="Z453" s="59"/>
      <c r="AA453" s="61"/>
      <c r="AB453" s="61"/>
      <c r="AC453" s="61"/>
      <c r="AD453" s="62"/>
      <c r="AE453" s="62"/>
      <c r="AF453" s="34"/>
      <c r="AG453" s="34"/>
      <c r="AH453" s="34"/>
      <c r="AI453" s="34"/>
      <c r="AJ453" s="34"/>
      <c r="AK453" s="34"/>
      <c r="AL453" s="34"/>
      <c r="AM453" s="34"/>
      <c r="AN453" s="34"/>
      <c r="AO453" s="34"/>
      <c r="AP453" s="34"/>
      <c r="AQ453" s="34"/>
      <c r="AR453" s="34"/>
      <c r="AS453" s="34"/>
      <c r="AT453" s="34"/>
      <c r="AU453" s="34"/>
      <c r="AV453" s="34"/>
      <c r="AW453" s="34"/>
      <c r="AX453" s="34"/>
      <c r="AY453" s="34"/>
      <c r="AZ453" s="34"/>
      <c r="BA453" s="34"/>
      <c r="BB453" s="34"/>
      <c r="BD453" s="34"/>
      <c r="BE453" s="34"/>
      <c r="BF453" s="34"/>
      <c r="BG453" s="34"/>
      <c r="BH453" s="34"/>
      <c r="BI453" s="34"/>
      <c r="BJ453" s="34"/>
      <c r="BK453" s="34"/>
      <c r="BL453" s="34"/>
      <c r="BM453" s="34"/>
      <c r="BN453" s="34"/>
      <c r="BO453" s="34"/>
      <c r="BP453" s="34"/>
      <c r="BQ453" s="34"/>
      <c r="BR453" s="34"/>
      <c r="BS453" s="34"/>
      <c r="BT453" s="34"/>
      <c r="BU453" s="34"/>
      <c r="BV453" s="34"/>
      <c r="BW453" s="34"/>
      <c r="BX453" s="34"/>
      <c r="BY453" s="34"/>
    </row>
    <row r="454" spans="1:77" x14ac:dyDescent="0.3">
      <c r="A454" s="39"/>
      <c r="B454" s="42"/>
      <c r="C454" s="42"/>
      <c r="D454" s="75"/>
      <c r="E454" s="75"/>
      <c r="F454" s="76"/>
      <c r="G454" s="47"/>
      <c r="H454" s="47"/>
      <c r="I454" s="75"/>
      <c r="J454" s="76"/>
      <c r="K454" s="76"/>
      <c r="L454" s="75"/>
      <c r="M454" s="49"/>
      <c r="N454" s="76"/>
      <c r="O454" s="49"/>
      <c r="P454" s="77"/>
      <c r="Q454" s="53"/>
      <c r="R454" s="54"/>
      <c r="S454" s="55"/>
      <c r="T454" s="56"/>
      <c r="U454" s="56"/>
      <c r="V454" s="42"/>
      <c r="W454" s="57"/>
      <c r="X454" s="58"/>
      <c r="Y454" s="75"/>
      <c r="Z454" s="59"/>
      <c r="AA454" s="61"/>
      <c r="AB454" s="61"/>
      <c r="AC454" s="61"/>
      <c r="AD454" s="62"/>
      <c r="AE454" s="62"/>
      <c r="AF454" s="34"/>
      <c r="AG454" s="34"/>
      <c r="AH454" s="34"/>
      <c r="AI454" s="34"/>
      <c r="AJ454" s="34"/>
      <c r="AK454" s="34"/>
      <c r="AL454" s="34"/>
      <c r="AM454" s="34"/>
      <c r="AN454" s="34"/>
      <c r="AO454" s="34"/>
      <c r="AP454" s="34"/>
      <c r="AQ454" s="34"/>
      <c r="AR454" s="34"/>
      <c r="AS454" s="34"/>
      <c r="AT454" s="34"/>
      <c r="AU454" s="34"/>
      <c r="AV454" s="34"/>
      <c r="AW454" s="34"/>
      <c r="AX454" s="34"/>
      <c r="AY454" s="34"/>
      <c r="AZ454" s="34"/>
      <c r="BA454" s="34"/>
      <c r="BB454" s="34"/>
      <c r="BD454" s="34"/>
      <c r="BE454" s="34"/>
      <c r="BF454" s="34"/>
      <c r="BG454" s="34"/>
      <c r="BH454" s="34"/>
      <c r="BI454" s="34"/>
      <c r="BJ454" s="34"/>
      <c r="BK454" s="34"/>
      <c r="BL454" s="34"/>
      <c r="BM454" s="34"/>
      <c r="BN454" s="34"/>
      <c r="BO454" s="34"/>
      <c r="BP454" s="34"/>
      <c r="BQ454" s="34"/>
      <c r="BR454" s="34"/>
      <c r="BS454" s="34"/>
      <c r="BT454" s="34"/>
      <c r="BU454" s="34"/>
      <c r="BV454" s="34"/>
      <c r="BW454" s="34"/>
      <c r="BX454" s="34"/>
      <c r="BY454" s="34"/>
    </row>
    <row r="455" spans="1:77" x14ac:dyDescent="0.3">
      <c r="A455" s="39"/>
      <c r="B455" s="42"/>
      <c r="C455" s="42"/>
      <c r="D455" s="75"/>
      <c r="E455" s="75"/>
      <c r="F455" s="76"/>
      <c r="G455" s="47"/>
      <c r="H455" s="47"/>
      <c r="I455" s="75"/>
      <c r="J455" s="76"/>
      <c r="K455" s="76"/>
      <c r="L455" s="75"/>
      <c r="M455" s="49"/>
      <c r="N455" s="76"/>
      <c r="O455" s="49"/>
      <c r="P455" s="77"/>
      <c r="Q455" s="53"/>
      <c r="R455" s="54"/>
      <c r="S455" s="55"/>
      <c r="T455" s="56"/>
      <c r="U455" s="56"/>
      <c r="V455" s="42"/>
      <c r="W455" s="57"/>
      <c r="X455" s="58"/>
      <c r="Y455" s="75"/>
      <c r="Z455" s="59"/>
      <c r="AA455" s="61"/>
      <c r="AB455" s="61"/>
      <c r="AC455" s="61"/>
      <c r="AD455" s="62"/>
      <c r="AE455" s="62"/>
      <c r="AF455" s="34"/>
      <c r="AG455" s="34"/>
      <c r="AH455" s="34"/>
      <c r="AI455" s="34"/>
      <c r="AJ455" s="34"/>
      <c r="AK455" s="34"/>
      <c r="AL455" s="34"/>
      <c r="AM455" s="34"/>
      <c r="AN455" s="34"/>
      <c r="AO455" s="34"/>
      <c r="AP455" s="34"/>
      <c r="AQ455" s="34"/>
      <c r="AR455" s="34"/>
      <c r="AS455" s="34"/>
      <c r="AT455" s="34"/>
      <c r="AU455" s="34"/>
      <c r="AV455" s="34"/>
      <c r="AW455" s="34"/>
      <c r="AX455" s="34"/>
      <c r="AY455" s="34"/>
      <c r="AZ455" s="34"/>
      <c r="BA455" s="34"/>
      <c r="BB455" s="34"/>
      <c r="BD455" s="34"/>
      <c r="BE455" s="34"/>
      <c r="BF455" s="34"/>
      <c r="BG455" s="34"/>
      <c r="BH455" s="34"/>
      <c r="BI455" s="34"/>
      <c r="BJ455" s="34"/>
      <c r="BK455" s="34"/>
      <c r="BL455" s="34"/>
      <c r="BM455" s="34"/>
      <c r="BN455" s="34"/>
      <c r="BO455" s="34"/>
      <c r="BP455" s="34"/>
      <c r="BQ455" s="34"/>
      <c r="BR455" s="34"/>
      <c r="BS455" s="34"/>
      <c r="BT455" s="34"/>
      <c r="BU455" s="34"/>
      <c r="BV455" s="34"/>
      <c r="BW455" s="34"/>
      <c r="BX455" s="34"/>
      <c r="BY455" s="34"/>
    </row>
    <row r="456" spans="1:77" x14ac:dyDescent="0.3">
      <c r="A456" s="39"/>
      <c r="B456" s="42"/>
      <c r="C456" s="42"/>
      <c r="D456" s="75"/>
      <c r="E456" s="75"/>
      <c r="F456" s="76"/>
      <c r="G456" s="47"/>
      <c r="H456" s="47"/>
      <c r="I456" s="75"/>
      <c r="J456" s="76"/>
      <c r="K456" s="76"/>
      <c r="L456" s="75"/>
      <c r="M456" s="49"/>
      <c r="N456" s="76"/>
      <c r="O456" s="49"/>
      <c r="P456" s="77"/>
      <c r="Q456" s="53"/>
      <c r="R456" s="54"/>
      <c r="S456" s="55"/>
      <c r="T456" s="56"/>
      <c r="U456" s="56"/>
      <c r="V456" s="42"/>
      <c r="W456" s="57"/>
      <c r="X456" s="58"/>
      <c r="Y456" s="75"/>
      <c r="Z456" s="59"/>
      <c r="AA456" s="61"/>
      <c r="AB456" s="61"/>
      <c r="AC456" s="61"/>
      <c r="AD456" s="62"/>
      <c r="AE456" s="62"/>
      <c r="AF456" s="34"/>
      <c r="AG456" s="34"/>
      <c r="AH456" s="34"/>
      <c r="AI456" s="34"/>
      <c r="AJ456" s="34"/>
      <c r="AK456" s="34"/>
      <c r="AL456" s="34"/>
      <c r="AM456" s="34"/>
      <c r="AN456" s="34"/>
      <c r="AO456" s="34"/>
      <c r="AP456" s="34"/>
      <c r="AQ456" s="34"/>
      <c r="AR456" s="34"/>
      <c r="AS456" s="34"/>
      <c r="AT456" s="34"/>
      <c r="AU456" s="34"/>
      <c r="AV456" s="34"/>
      <c r="AW456" s="34"/>
      <c r="AX456" s="34"/>
      <c r="AY456" s="34"/>
      <c r="AZ456" s="34"/>
      <c r="BA456" s="34"/>
      <c r="BB456" s="34"/>
      <c r="BD456" s="34"/>
      <c r="BE456" s="34"/>
      <c r="BF456" s="34"/>
      <c r="BG456" s="34"/>
      <c r="BH456" s="34"/>
      <c r="BI456" s="34"/>
      <c r="BJ456" s="34"/>
      <c r="BK456" s="34"/>
      <c r="BL456" s="34"/>
      <c r="BM456" s="34"/>
      <c r="BN456" s="34"/>
      <c r="BO456" s="34"/>
      <c r="BP456" s="34"/>
      <c r="BQ456" s="34"/>
      <c r="BR456" s="34"/>
      <c r="BS456" s="34"/>
      <c r="BT456" s="34"/>
      <c r="BU456" s="34"/>
      <c r="BV456" s="34"/>
      <c r="BW456" s="34"/>
      <c r="BX456" s="34"/>
      <c r="BY456" s="34"/>
    </row>
    <row r="457" spans="1:77" x14ac:dyDescent="0.3">
      <c r="A457" s="39"/>
      <c r="B457" s="42"/>
      <c r="C457" s="42"/>
      <c r="D457" s="75"/>
      <c r="E457" s="75"/>
      <c r="F457" s="76"/>
      <c r="G457" s="47"/>
      <c r="H457" s="47"/>
      <c r="I457" s="75"/>
      <c r="J457" s="76"/>
      <c r="K457" s="76"/>
      <c r="L457" s="75"/>
      <c r="M457" s="49"/>
      <c r="N457" s="76"/>
      <c r="O457" s="49"/>
      <c r="P457" s="77"/>
      <c r="Q457" s="53"/>
      <c r="R457" s="54"/>
      <c r="S457" s="55"/>
      <c r="T457" s="56"/>
      <c r="U457" s="56"/>
      <c r="V457" s="42"/>
      <c r="W457" s="57"/>
      <c r="X457" s="58"/>
      <c r="Y457" s="75"/>
      <c r="Z457" s="59"/>
      <c r="AA457" s="61"/>
      <c r="AB457" s="61"/>
      <c r="AC457" s="61"/>
      <c r="AD457" s="62"/>
      <c r="AE457" s="62"/>
      <c r="AF457" s="34"/>
      <c r="AG457" s="34"/>
      <c r="AH457" s="34"/>
      <c r="AI457" s="34"/>
      <c r="AJ457" s="34"/>
      <c r="AK457" s="34"/>
      <c r="AL457" s="34"/>
      <c r="AM457" s="34"/>
      <c r="AN457" s="34"/>
      <c r="AO457" s="34"/>
      <c r="AP457" s="34"/>
      <c r="AQ457" s="34"/>
      <c r="AR457" s="34"/>
      <c r="AS457" s="34"/>
      <c r="AT457" s="34"/>
      <c r="AU457" s="34"/>
      <c r="AV457" s="34"/>
      <c r="AW457" s="34"/>
      <c r="AX457" s="34"/>
      <c r="AY457" s="34"/>
      <c r="AZ457" s="34"/>
      <c r="BA457" s="34"/>
      <c r="BB457" s="34"/>
      <c r="BD457" s="34"/>
      <c r="BE457" s="34"/>
      <c r="BF457" s="34"/>
      <c r="BG457" s="34"/>
      <c r="BH457" s="34"/>
      <c r="BI457" s="34"/>
      <c r="BJ457" s="34"/>
      <c r="BK457" s="34"/>
      <c r="BL457" s="34"/>
      <c r="BM457" s="34"/>
      <c r="BN457" s="34"/>
      <c r="BO457" s="34"/>
      <c r="BP457" s="34"/>
      <c r="BQ457" s="34"/>
      <c r="BR457" s="34"/>
      <c r="BS457" s="34"/>
      <c r="BT457" s="34"/>
      <c r="BU457" s="34"/>
      <c r="BV457" s="34"/>
      <c r="BW457" s="34"/>
      <c r="BX457" s="34"/>
      <c r="BY457" s="34"/>
    </row>
    <row r="458" spans="1:77" x14ac:dyDescent="0.3">
      <c r="A458" s="39"/>
      <c r="B458" s="42"/>
      <c r="C458" s="42"/>
      <c r="D458" s="75"/>
      <c r="E458" s="75"/>
      <c r="F458" s="76"/>
      <c r="G458" s="47"/>
      <c r="H458" s="47"/>
      <c r="I458" s="75"/>
      <c r="J458" s="76"/>
      <c r="K458" s="76"/>
      <c r="L458" s="75"/>
      <c r="M458" s="49"/>
      <c r="N458" s="76"/>
      <c r="O458" s="49"/>
      <c r="P458" s="77"/>
      <c r="Q458" s="53"/>
      <c r="R458" s="54"/>
      <c r="S458" s="55"/>
      <c r="T458" s="56"/>
      <c r="U458" s="56"/>
      <c r="V458" s="42"/>
      <c r="W458" s="57"/>
      <c r="X458" s="58"/>
      <c r="Y458" s="75"/>
      <c r="Z458" s="59"/>
      <c r="AA458" s="61"/>
      <c r="AB458" s="61"/>
      <c r="AC458" s="61"/>
      <c r="AD458" s="62"/>
      <c r="AE458" s="62"/>
      <c r="AF458" s="34"/>
      <c r="AG458" s="34"/>
      <c r="AH458" s="34"/>
      <c r="AI458" s="34"/>
      <c r="AJ458" s="34"/>
      <c r="AK458" s="34"/>
      <c r="AL458" s="34"/>
      <c r="AM458" s="34"/>
      <c r="AN458" s="34"/>
      <c r="AO458" s="34"/>
      <c r="AP458" s="34"/>
      <c r="AQ458" s="34"/>
      <c r="AR458" s="34"/>
      <c r="AS458" s="34"/>
      <c r="AT458" s="34"/>
      <c r="AU458" s="34"/>
      <c r="AV458" s="34"/>
      <c r="AW458" s="34"/>
      <c r="AX458" s="34"/>
      <c r="AY458" s="34"/>
      <c r="AZ458" s="34"/>
      <c r="BA458" s="34"/>
      <c r="BB458" s="34"/>
      <c r="BD458" s="34"/>
      <c r="BE458" s="34"/>
      <c r="BF458" s="34"/>
      <c r="BG458" s="34"/>
      <c r="BH458" s="34"/>
      <c r="BI458" s="34"/>
      <c r="BJ458" s="34"/>
      <c r="BK458" s="34"/>
      <c r="BL458" s="34"/>
      <c r="BM458" s="34"/>
      <c r="BN458" s="34"/>
      <c r="BO458" s="34"/>
      <c r="BP458" s="34"/>
      <c r="BQ458" s="34"/>
      <c r="BR458" s="34"/>
      <c r="BS458" s="34"/>
      <c r="BT458" s="34"/>
      <c r="BU458" s="34"/>
      <c r="BV458" s="34"/>
      <c r="BW458" s="34"/>
      <c r="BX458" s="34"/>
      <c r="BY458" s="34"/>
    </row>
    <row r="459" spans="1:77" x14ac:dyDescent="0.3">
      <c r="A459" s="39"/>
      <c r="B459" s="42"/>
      <c r="C459" s="42"/>
      <c r="D459" s="75"/>
      <c r="E459" s="75"/>
      <c r="F459" s="76"/>
      <c r="G459" s="47"/>
      <c r="H459" s="47"/>
      <c r="I459" s="75"/>
      <c r="J459" s="76"/>
      <c r="K459" s="76"/>
      <c r="L459" s="75"/>
      <c r="M459" s="49"/>
      <c r="N459" s="76"/>
      <c r="O459" s="49"/>
      <c r="P459" s="77"/>
      <c r="Q459" s="53"/>
      <c r="R459" s="54"/>
      <c r="S459" s="55"/>
      <c r="T459" s="56"/>
      <c r="U459" s="56"/>
      <c r="V459" s="42"/>
      <c r="W459" s="57"/>
      <c r="X459" s="58"/>
      <c r="Y459" s="75"/>
      <c r="Z459" s="59"/>
      <c r="AA459" s="61"/>
      <c r="AB459" s="61"/>
      <c r="AC459" s="61"/>
      <c r="AD459" s="62"/>
      <c r="AE459" s="62"/>
      <c r="AF459" s="34"/>
      <c r="AG459" s="34"/>
      <c r="AH459" s="34"/>
      <c r="AI459" s="34"/>
      <c r="AJ459" s="34"/>
      <c r="AK459" s="34"/>
      <c r="AL459" s="34"/>
      <c r="AM459" s="34"/>
      <c r="AN459" s="34"/>
      <c r="AO459" s="34"/>
      <c r="AP459" s="34"/>
      <c r="AQ459" s="34"/>
      <c r="AR459" s="34"/>
      <c r="AS459" s="34"/>
      <c r="AT459" s="34"/>
      <c r="AU459" s="34"/>
      <c r="AV459" s="34"/>
      <c r="AW459" s="34"/>
      <c r="AX459" s="34"/>
      <c r="AY459" s="34"/>
      <c r="AZ459" s="34"/>
      <c r="BA459" s="34"/>
      <c r="BB459" s="34"/>
      <c r="BD459" s="34"/>
      <c r="BE459" s="34"/>
      <c r="BF459" s="34"/>
      <c r="BG459" s="34"/>
      <c r="BH459" s="34"/>
      <c r="BI459" s="34"/>
      <c r="BJ459" s="34"/>
      <c r="BK459" s="34"/>
      <c r="BL459" s="34"/>
      <c r="BM459" s="34"/>
      <c r="BN459" s="34"/>
      <c r="BO459" s="34"/>
      <c r="BP459" s="34"/>
      <c r="BQ459" s="34"/>
      <c r="BR459" s="34"/>
      <c r="BS459" s="34"/>
      <c r="BT459" s="34"/>
      <c r="BU459" s="34"/>
      <c r="BV459" s="34"/>
      <c r="BW459" s="34"/>
      <c r="BX459" s="34"/>
      <c r="BY459" s="34"/>
    </row>
    <row r="460" spans="1:77" x14ac:dyDescent="0.3">
      <c r="A460" s="39"/>
      <c r="B460" s="42"/>
      <c r="C460" s="42"/>
      <c r="D460" s="75"/>
      <c r="E460" s="75"/>
      <c r="F460" s="76"/>
      <c r="G460" s="47"/>
      <c r="H460" s="47"/>
      <c r="I460" s="75"/>
      <c r="J460" s="76"/>
      <c r="K460" s="76"/>
      <c r="L460" s="75"/>
      <c r="M460" s="49"/>
      <c r="N460" s="76"/>
      <c r="O460" s="49"/>
      <c r="P460" s="77"/>
      <c r="Q460" s="53"/>
      <c r="R460" s="54"/>
      <c r="S460" s="55"/>
      <c r="T460" s="56"/>
      <c r="U460" s="56"/>
      <c r="V460" s="42"/>
      <c r="W460" s="57"/>
      <c r="X460" s="58"/>
      <c r="Y460" s="75"/>
      <c r="Z460" s="59"/>
      <c r="AA460" s="61"/>
      <c r="AB460" s="61"/>
      <c r="AC460" s="61"/>
      <c r="AD460" s="62"/>
      <c r="AE460" s="62"/>
      <c r="AF460" s="34"/>
      <c r="AG460" s="34"/>
      <c r="AH460" s="34"/>
      <c r="AI460" s="34"/>
      <c r="AJ460" s="34"/>
      <c r="AK460" s="34"/>
      <c r="AL460" s="34"/>
      <c r="AM460" s="34"/>
      <c r="AN460" s="34"/>
      <c r="AO460" s="34"/>
      <c r="AP460" s="34"/>
      <c r="AQ460" s="34"/>
      <c r="AR460" s="34"/>
      <c r="AS460" s="34"/>
      <c r="AT460" s="34"/>
      <c r="AU460" s="34"/>
      <c r="AV460" s="34"/>
      <c r="AW460" s="34"/>
      <c r="AX460" s="34"/>
      <c r="AY460" s="34"/>
      <c r="AZ460" s="34"/>
      <c r="BA460" s="34"/>
      <c r="BB460" s="34"/>
      <c r="BD460" s="34"/>
      <c r="BE460" s="34"/>
      <c r="BF460" s="34"/>
      <c r="BG460" s="34"/>
      <c r="BH460" s="34"/>
      <c r="BI460" s="34"/>
      <c r="BJ460" s="34"/>
      <c r="BK460" s="34"/>
      <c r="BL460" s="34"/>
      <c r="BM460" s="34"/>
      <c r="BN460" s="34"/>
      <c r="BO460" s="34"/>
      <c r="BP460" s="34"/>
      <c r="BQ460" s="34"/>
      <c r="BR460" s="34"/>
      <c r="BS460" s="34"/>
      <c r="BT460" s="34"/>
      <c r="BU460" s="34"/>
      <c r="BV460" s="34"/>
      <c r="BW460" s="34"/>
      <c r="BX460" s="34"/>
      <c r="BY460" s="34"/>
    </row>
    <row r="461" spans="1:77" x14ac:dyDescent="0.3">
      <c r="A461" s="39"/>
      <c r="B461" s="42"/>
      <c r="C461" s="42"/>
      <c r="D461" s="75"/>
      <c r="E461" s="75"/>
      <c r="F461" s="76"/>
      <c r="G461" s="47"/>
      <c r="H461" s="47"/>
      <c r="I461" s="75"/>
      <c r="J461" s="76"/>
      <c r="K461" s="76"/>
      <c r="L461" s="75"/>
      <c r="M461" s="49"/>
      <c r="N461" s="76"/>
      <c r="O461" s="49"/>
      <c r="P461" s="77"/>
      <c r="Q461" s="53"/>
      <c r="R461" s="54"/>
      <c r="S461" s="55"/>
      <c r="T461" s="56"/>
      <c r="U461" s="56"/>
      <c r="V461" s="42"/>
      <c r="W461" s="57"/>
      <c r="X461" s="58"/>
      <c r="Y461" s="75"/>
      <c r="Z461" s="59"/>
      <c r="AA461" s="61"/>
      <c r="AB461" s="61"/>
      <c r="AC461" s="61"/>
      <c r="AD461" s="62"/>
      <c r="AE461" s="62"/>
      <c r="AF461" s="34"/>
      <c r="AG461" s="34"/>
      <c r="AH461" s="34"/>
      <c r="AI461" s="34"/>
      <c r="AJ461" s="34"/>
      <c r="AK461" s="34"/>
      <c r="AL461" s="34"/>
      <c r="AM461" s="34"/>
      <c r="AN461" s="34"/>
      <c r="AO461" s="34"/>
      <c r="AP461" s="34"/>
      <c r="AQ461" s="34"/>
      <c r="AR461" s="34"/>
      <c r="AS461" s="34"/>
      <c r="AT461" s="34"/>
      <c r="AU461" s="34"/>
      <c r="AV461" s="34"/>
      <c r="AW461" s="34"/>
      <c r="AX461" s="34"/>
      <c r="AY461" s="34"/>
      <c r="AZ461" s="34"/>
      <c r="BA461" s="34"/>
      <c r="BB461" s="34"/>
      <c r="BD461" s="34"/>
      <c r="BE461" s="34"/>
      <c r="BF461" s="34"/>
      <c r="BG461" s="34"/>
      <c r="BH461" s="34"/>
      <c r="BI461" s="34"/>
      <c r="BJ461" s="34"/>
      <c r="BK461" s="34"/>
      <c r="BL461" s="34"/>
      <c r="BM461" s="34"/>
      <c r="BN461" s="34"/>
      <c r="BO461" s="34"/>
      <c r="BP461" s="34"/>
      <c r="BQ461" s="34"/>
      <c r="BR461" s="34"/>
      <c r="BS461" s="34"/>
      <c r="BT461" s="34"/>
      <c r="BU461" s="34"/>
      <c r="BV461" s="34"/>
      <c r="BW461" s="34"/>
      <c r="BX461" s="34"/>
      <c r="BY461" s="34"/>
    </row>
    <row r="462" spans="1:77" x14ac:dyDescent="0.3">
      <c r="A462" s="39"/>
      <c r="B462" s="42"/>
      <c r="C462" s="42"/>
      <c r="D462" s="75"/>
      <c r="E462" s="75"/>
      <c r="F462" s="76"/>
      <c r="G462" s="47"/>
      <c r="H462" s="47"/>
      <c r="I462" s="75"/>
      <c r="J462" s="76"/>
      <c r="K462" s="76"/>
      <c r="L462" s="75"/>
      <c r="M462" s="49"/>
      <c r="N462" s="76"/>
      <c r="O462" s="49"/>
      <c r="P462" s="77"/>
      <c r="Q462" s="53"/>
      <c r="R462" s="54"/>
      <c r="S462" s="55"/>
      <c r="T462" s="56"/>
      <c r="U462" s="56"/>
      <c r="V462" s="42"/>
      <c r="W462" s="57"/>
      <c r="X462" s="58"/>
      <c r="Y462" s="75"/>
      <c r="Z462" s="59"/>
      <c r="AA462" s="61"/>
      <c r="AB462" s="61"/>
      <c r="AC462" s="61"/>
      <c r="AD462" s="62"/>
      <c r="AE462" s="62"/>
      <c r="AF462" s="34"/>
      <c r="AG462" s="34"/>
      <c r="AH462" s="34"/>
      <c r="AI462" s="34"/>
      <c r="AJ462" s="34"/>
      <c r="AK462" s="34"/>
      <c r="AL462" s="34"/>
      <c r="AM462" s="34"/>
      <c r="AN462" s="34"/>
      <c r="AO462" s="34"/>
      <c r="AP462" s="34"/>
      <c r="AQ462" s="34"/>
      <c r="AR462" s="34"/>
      <c r="AS462" s="34"/>
      <c r="AT462" s="34"/>
      <c r="AU462" s="34"/>
      <c r="AV462" s="34"/>
      <c r="AW462" s="34"/>
      <c r="AX462" s="34"/>
      <c r="AY462" s="34"/>
      <c r="AZ462" s="34"/>
      <c r="BA462" s="34"/>
      <c r="BB462" s="34"/>
      <c r="BD462" s="34"/>
      <c r="BE462" s="34"/>
      <c r="BF462" s="34"/>
      <c r="BG462" s="34"/>
      <c r="BH462" s="34"/>
      <c r="BI462" s="34"/>
      <c r="BJ462" s="34"/>
      <c r="BK462" s="34"/>
      <c r="BL462" s="34"/>
      <c r="BM462" s="34"/>
      <c r="BN462" s="34"/>
      <c r="BO462" s="34"/>
      <c r="BP462" s="34"/>
      <c r="BQ462" s="34"/>
      <c r="BR462" s="34"/>
      <c r="BS462" s="34"/>
      <c r="BT462" s="34"/>
      <c r="BU462" s="34"/>
      <c r="BV462" s="34"/>
      <c r="BW462" s="34"/>
      <c r="BX462" s="34"/>
      <c r="BY462" s="34"/>
    </row>
    <row r="463" spans="1:77" x14ac:dyDescent="0.3">
      <c r="A463" s="39"/>
      <c r="B463" s="42"/>
      <c r="C463" s="42"/>
      <c r="D463" s="75"/>
      <c r="E463" s="75"/>
      <c r="F463" s="76"/>
      <c r="G463" s="47"/>
      <c r="H463" s="47"/>
      <c r="I463" s="75"/>
      <c r="J463" s="76"/>
      <c r="K463" s="76"/>
      <c r="L463" s="75"/>
      <c r="M463" s="49"/>
      <c r="N463" s="76"/>
      <c r="O463" s="49"/>
      <c r="P463" s="77"/>
      <c r="Q463" s="53"/>
      <c r="R463" s="54"/>
      <c r="S463" s="55"/>
      <c r="T463" s="56"/>
      <c r="U463" s="56"/>
      <c r="V463" s="42"/>
      <c r="W463" s="57"/>
      <c r="X463" s="58"/>
      <c r="Y463" s="75"/>
      <c r="Z463" s="59"/>
      <c r="AA463" s="61"/>
      <c r="AB463" s="61"/>
      <c r="AC463" s="61"/>
      <c r="AD463" s="62"/>
      <c r="AE463" s="62"/>
      <c r="AF463" s="34"/>
      <c r="AG463" s="34"/>
      <c r="AH463" s="34"/>
      <c r="AI463" s="34"/>
      <c r="AJ463" s="34"/>
      <c r="AK463" s="34"/>
      <c r="AL463" s="34"/>
      <c r="AM463" s="34"/>
      <c r="AN463" s="34"/>
      <c r="AO463" s="34"/>
      <c r="AP463" s="34"/>
      <c r="AQ463" s="34"/>
      <c r="AR463" s="34"/>
      <c r="AS463" s="34"/>
      <c r="AT463" s="34"/>
      <c r="AU463" s="34"/>
      <c r="AV463" s="34"/>
      <c r="AW463" s="34"/>
      <c r="AX463" s="34"/>
      <c r="AY463" s="34"/>
      <c r="AZ463" s="34"/>
      <c r="BA463" s="34"/>
      <c r="BB463" s="34"/>
      <c r="BD463" s="34"/>
      <c r="BE463" s="34"/>
      <c r="BF463" s="34"/>
      <c r="BG463" s="34"/>
      <c r="BH463" s="34"/>
      <c r="BI463" s="34"/>
      <c r="BJ463" s="34"/>
      <c r="BK463" s="34"/>
      <c r="BL463" s="34"/>
      <c r="BM463" s="34"/>
      <c r="BN463" s="34"/>
      <c r="BO463" s="34"/>
      <c r="BP463" s="34"/>
      <c r="BQ463" s="34"/>
      <c r="BR463" s="34"/>
      <c r="BS463" s="34"/>
      <c r="BT463" s="34"/>
      <c r="BU463" s="34"/>
      <c r="BV463" s="34"/>
      <c r="BW463" s="34"/>
      <c r="BX463" s="34"/>
      <c r="BY463" s="34"/>
    </row>
    <row r="464" spans="1:77" x14ac:dyDescent="0.3">
      <c r="A464" s="39"/>
      <c r="B464" s="42"/>
      <c r="C464" s="42"/>
      <c r="D464" s="75"/>
      <c r="E464" s="75"/>
      <c r="F464" s="76"/>
      <c r="G464" s="47"/>
      <c r="H464" s="47"/>
      <c r="I464" s="75"/>
      <c r="J464" s="76"/>
      <c r="K464" s="76"/>
      <c r="L464" s="75"/>
      <c r="M464" s="49"/>
      <c r="N464" s="76"/>
      <c r="O464" s="49"/>
      <c r="P464" s="77"/>
      <c r="Q464" s="53"/>
      <c r="R464" s="54"/>
      <c r="S464" s="55"/>
      <c r="T464" s="56"/>
      <c r="U464" s="56"/>
      <c r="V464" s="42"/>
      <c r="W464" s="57"/>
      <c r="X464" s="58"/>
      <c r="Y464" s="75"/>
      <c r="Z464" s="59"/>
      <c r="AA464" s="61"/>
      <c r="AB464" s="61"/>
      <c r="AC464" s="61"/>
      <c r="AD464" s="62"/>
      <c r="AE464" s="62"/>
      <c r="AF464" s="34"/>
      <c r="AG464" s="34"/>
      <c r="AH464" s="34"/>
      <c r="AI464" s="34"/>
      <c r="AJ464" s="34"/>
      <c r="AK464" s="34"/>
      <c r="AL464" s="34"/>
      <c r="AM464" s="34"/>
      <c r="AN464" s="34"/>
      <c r="AO464" s="34"/>
      <c r="AP464" s="34"/>
      <c r="AQ464" s="34"/>
      <c r="AR464" s="34"/>
      <c r="AS464" s="34"/>
      <c r="AT464" s="34"/>
      <c r="AU464" s="34"/>
      <c r="AV464" s="34"/>
      <c r="AW464" s="34"/>
      <c r="AX464" s="34"/>
      <c r="AY464" s="34"/>
      <c r="AZ464" s="34"/>
      <c r="BA464" s="34"/>
      <c r="BB464" s="34"/>
      <c r="BD464" s="34"/>
      <c r="BE464" s="34"/>
      <c r="BF464" s="34"/>
      <c r="BG464" s="34"/>
      <c r="BH464" s="34"/>
      <c r="BI464" s="34"/>
      <c r="BJ464" s="34"/>
      <c r="BK464" s="34"/>
      <c r="BL464" s="34"/>
      <c r="BM464" s="34"/>
      <c r="BN464" s="34"/>
      <c r="BO464" s="34"/>
      <c r="BP464" s="34"/>
      <c r="BQ464" s="34"/>
      <c r="BR464" s="34"/>
      <c r="BS464" s="34"/>
      <c r="BT464" s="34"/>
      <c r="BU464" s="34"/>
      <c r="BV464" s="34"/>
      <c r="BW464" s="34"/>
      <c r="BX464" s="34"/>
      <c r="BY464" s="34"/>
    </row>
    <row r="465" spans="1:77" x14ac:dyDescent="0.3">
      <c r="A465" s="39"/>
      <c r="B465" s="42"/>
      <c r="C465" s="42"/>
      <c r="D465" s="75"/>
      <c r="E465" s="75"/>
      <c r="F465" s="76"/>
      <c r="G465" s="47"/>
      <c r="H465" s="47"/>
      <c r="I465" s="75"/>
      <c r="J465" s="76"/>
      <c r="K465" s="76"/>
      <c r="L465" s="75"/>
      <c r="M465" s="49"/>
      <c r="N465" s="76"/>
      <c r="O465" s="49"/>
      <c r="P465" s="77"/>
      <c r="Q465" s="53"/>
      <c r="R465" s="54"/>
      <c r="S465" s="55"/>
      <c r="T465" s="56"/>
      <c r="U465" s="56"/>
      <c r="V465" s="42"/>
      <c r="W465" s="57"/>
      <c r="X465" s="58"/>
      <c r="Y465" s="75"/>
      <c r="Z465" s="59"/>
      <c r="AA465" s="61"/>
      <c r="AB465" s="61"/>
      <c r="AC465" s="61"/>
      <c r="AD465" s="62"/>
      <c r="AE465" s="62"/>
      <c r="AF465" s="34"/>
      <c r="AG465" s="34"/>
      <c r="AH465" s="34"/>
      <c r="AI465" s="34"/>
      <c r="AJ465" s="34"/>
      <c r="AK465" s="34"/>
      <c r="AL465" s="34"/>
      <c r="AM465" s="34"/>
      <c r="AN465" s="34"/>
      <c r="AO465" s="34"/>
      <c r="AP465" s="34"/>
      <c r="AQ465" s="34"/>
      <c r="AR465" s="34"/>
      <c r="AS465" s="34"/>
      <c r="AT465" s="34"/>
      <c r="AU465" s="34"/>
      <c r="AV465" s="34"/>
      <c r="AW465" s="34"/>
      <c r="AX465" s="34"/>
      <c r="AY465" s="34"/>
      <c r="AZ465" s="34"/>
      <c r="BA465" s="34"/>
      <c r="BB465" s="34"/>
      <c r="BD465" s="34"/>
      <c r="BE465" s="34"/>
      <c r="BF465" s="34"/>
      <c r="BG465" s="34"/>
      <c r="BH465" s="34"/>
      <c r="BI465" s="34"/>
      <c r="BJ465" s="34"/>
      <c r="BK465" s="34"/>
      <c r="BL465" s="34"/>
      <c r="BM465" s="34"/>
      <c r="BN465" s="34"/>
      <c r="BO465" s="34"/>
      <c r="BP465" s="34"/>
      <c r="BQ465" s="34"/>
      <c r="BR465" s="34"/>
      <c r="BS465" s="34"/>
      <c r="BT465" s="34"/>
      <c r="BU465" s="34"/>
      <c r="BV465" s="34"/>
      <c r="BW465" s="34"/>
      <c r="BX465" s="34"/>
      <c r="BY465" s="34"/>
    </row>
    <row r="466" spans="1:77" x14ac:dyDescent="0.3">
      <c r="A466" s="39"/>
      <c r="B466" s="42"/>
      <c r="C466" s="42"/>
      <c r="D466" s="75"/>
      <c r="E466" s="75"/>
      <c r="F466" s="76"/>
      <c r="G466" s="47"/>
      <c r="H466" s="47"/>
      <c r="I466" s="75"/>
      <c r="J466" s="76"/>
      <c r="K466" s="76"/>
      <c r="L466" s="75"/>
      <c r="M466" s="49"/>
      <c r="N466" s="76"/>
      <c r="O466" s="49"/>
      <c r="P466" s="77"/>
      <c r="Q466" s="53"/>
      <c r="R466" s="54"/>
      <c r="S466" s="55"/>
      <c r="T466" s="56"/>
      <c r="U466" s="56"/>
      <c r="V466" s="42"/>
      <c r="W466" s="57"/>
      <c r="X466" s="58"/>
      <c r="Y466" s="75"/>
      <c r="Z466" s="59"/>
      <c r="AA466" s="61"/>
      <c r="AB466" s="61"/>
      <c r="AC466" s="61"/>
      <c r="AD466" s="62"/>
      <c r="AE466" s="62"/>
      <c r="AF466" s="34"/>
      <c r="AG466" s="34"/>
      <c r="AH466" s="34"/>
      <c r="AI466" s="34"/>
      <c r="AJ466" s="34"/>
      <c r="AK466" s="34"/>
      <c r="AL466" s="34"/>
      <c r="AM466" s="34"/>
      <c r="AN466" s="34"/>
      <c r="AO466" s="34"/>
      <c r="AP466" s="34"/>
      <c r="AQ466" s="34"/>
      <c r="AR466" s="34"/>
      <c r="AS466" s="34"/>
      <c r="AT466" s="34"/>
      <c r="AU466" s="34"/>
      <c r="AV466" s="34"/>
      <c r="AW466" s="34"/>
      <c r="AX466" s="34"/>
      <c r="AY466" s="34"/>
      <c r="AZ466" s="34"/>
      <c r="BA466" s="34"/>
      <c r="BB466" s="34"/>
      <c r="BD466" s="34"/>
      <c r="BE466" s="34"/>
      <c r="BF466" s="34"/>
      <c r="BG466" s="34"/>
      <c r="BH466" s="34"/>
      <c r="BI466" s="34"/>
      <c r="BJ466" s="34"/>
      <c r="BK466" s="34"/>
      <c r="BL466" s="34"/>
      <c r="BM466" s="34"/>
      <c r="BN466" s="34"/>
      <c r="BO466" s="34"/>
      <c r="BP466" s="34"/>
      <c r="BQ466" s="34"/>
      <c r="BR466" s="34"/>
      <c r="BS466" s="34"/>
      <c r="BT466" s="34"/>
      <c r="BU466" s="34"/>
      <c r="BV466" s="34"/>
      <c r="BW466" s="34"/>
      <c r="BX466" s="34"/>
      <c r="BY466" s="34"/>
    </row>
    <row r="467" spans="1:77" x14ac:dyDescent="0.3">
      <c r="A467" s="39"/>
      <c r="B467" s="42"/>
      <c r="C467" s="42"/>
      <c r="D467" s="75"/>
      <c r="E467" s="75"/>
      <c r="F467" s="76"/>
      <c r="G467" s="47"/>
      <c r="H467" s="47"/>
      <c r="I467" s="75"/>
      <c r="J467" s="76"/>
      <c r="K467" s="76"/>
      <c r="L467" s="75"/>
      <c r="M467" s="49"/>
      <c r="N467" s="76"/>
      <c r="O467" s="49"/>
      <c r="P467" s="77"/>
      <c r="Q467" s="53"/>
      <c r="R467" s="54"/>
      <c r="S467" s="55"/>
      <c r="T467" s="56"/>
      <c r="U467" s="56"/>
      <c r="V467" s="42"/>
      <c r="W467" s="57"/>
      <c r="X467" s="58"/>
      <c r="Y467" s="75"/>
      <c r="Z467" s="59"/>
      <c r="AA467" s="61"/>
      <c r="AB467" s="61"/>
      <c r="AC467" s="61"/>
      <c r="AD467" s="62"/>
      <c r="AE467" s="62"/>
      <c r="AF467" s="34"/>
      <c r="AG467" s="34"/>
      <c r="AH467" s="34"/>
      <c r="AI467" s="34"/>
      <c r="AJ467" s="34"/>
      <c r="AK467" s="34"/>
      <c r="AL467" s="34"/>
      <c r="AM467" s="34"/>
      <c r="AN467" s="34"/>
      <c r="AO467" s="34"/>
      <c r="AP467" s="34"/>
      <c r="AQ467" s="34"/>
      <c r="AR467" s="34"/>
      <c r="AS467" s="34"/>
      <c r="AT467" s="34"/>
      <c r="AU467" s="34"/>
      <c r="AV467" s="34"/>
      <c r="AW467" s="34"/>
      <c r="AX467" s="34"/>
      <c r="AY467" s="34"/>
      <c r="AZ467" s="34"/>
      <c r="BA467" s="34"/>
      <c r="BB467" s="34"/>
      <c r="BD467" s="34"/>
      <c r="BE467" s="34"/>
      <c r="BF467" s="34"/>
      <c r="BG467" s="34"/>
      <c r="BH467" s="34"/>
      <c r="BI467" s="34"/>
      <c r="BJ467" s="34"/>
      <c r="BK467" s="34"/>
      <c r="BL467" s="34"/>
      <c r="BM467" s="34"/>
      <c r="BN467" s="34"/>
      <c r="BO467" s="34"/>
      <c r="BP467" s="34"/>
      <c r="BQ467" s="34"/>
      <c r="BR467" s="34"/>
      <c r="BS467" s="34"/>
      <c r="BT467" s="34"/>
      <c r="BU467" s="34"/>
      <c r="BV467" s="34"/>
      <c r="BW467" s="34"/>
      <c r="BX467" s="34"/>
      <c r="BY467" s="34"/>
    </row>
    <row r="468" spans="1:77" x14ac:dyDescent="0.3">
      <c r="A468" s="39"/>
      <c r="B468" s="42"/>
      <c r="C468" s="42"/>
      <c r="D468" s="75"/>
      <c r="E468" s="75"/>
      <c r="F468" s="76"/>
      <c r="G468" s="47"/>
      <c r="H468" s="47"/>
      <c r="I468" s="75"/>
      <c r="J468" s="76"/>
      <c r="K468" s="76"/>
      <c r="L468" s="75"/>
      <c r="M468" s="49"/>
      <c r="N468" s="76"/>
      <c r="O468" s="49"/>
      <c r="P468" s="77"/>
      <c r="Q468" s="53"/>
      <c r="R468" s="54"/>
      <c r="S468" s="55"/>
      <c r="T468" s="56"/>
      <c r="U468" s="56"/>
      <c r="V468" s="42"/>
      <c r="W468" s="57"/>
      <c r="X468" s="58"/>
      <c r="Y468" s="75"/>
      <c r="Z468" s="59"/>
      <c r="AA468" s="61"/>
      <c r="AB468" s="61"/>
      <c r="AC468" s="61"/>
      <c r="AD468" s="62"/>
      <c r="AE468" s="62"/>
      <c r="AF468" s="34"/>
      <c r="AG468" s="34"/>
      <c r="AH468" s="34"/>
      <c r="AI468" s="34"/>
      <c r="AJ468" s="34"/>
      <c r="AK468" s="34"/>
      <c r="AL468" s="34"/>
      <c r="AM468" s="34"/>
      <c r="AN468" s="34"/>
      <c r="AO468" s="34"/>
      <c r="AP468" s="34"/>
      <c r="AQ468" s="34"/>
      <c r="AR468" s="34"/>
      <c r="AS468" s="34"/>
      <c r="AT468" s="34"/>
      <c r="AU468" s="34"/>
      <c r="AV468" s="34"/>
      <c r="AW468" s="34"/>
      <c r="AX468" s="34"/>
      <c r="AY468" s="34"/>
      <c r="AZ468" s="34"/>
      <c r="BA468" s="34"/>
      <c r="BB468" s="34"/>
      <c r="BD468" s="34"/>
      <c r="BE468" s="34"/>
      <c r="BF468" s="34"/>
      <c r="BG468" s="34"/>
      <c r="BH468" s="34"/>
      <c r="BI468" s="34"/>
      <c r="BJ468" s="34"/>
      <c r="BK468" s="34"/>
      <c r="BL468" s="34"/>
      <c r="BM468" s="34"/>
      <c r="BN468" s="34"/>
      <c r="BO468" s="34"/>
      <c r="BP468" s="34"/>
      <c r="BQ468" s="34"/>
      <c r="BR468" s="34"/>
      <c r="BS468" s="34"/>
      <c r="BT468" s="34"/>
      <c r="BU468" s="34"/>
      <c r="BV468" s="34"/>
      <c r="BW468" s="34"/>
      <c r="BX468" s="34"/>
      <c r="BY468" s="34"/>
    </row>
    <row r="469" spans="1:77" x14ac:dyDescent="0.3">
      <c r="A469" s="39"/>
      <c r="B469" s="42"/>
      <c r="C469" s="42"/>
      <c r="D469" s="75"/>
      <c r="E469" s="75"/>
      <c r="F469" s="76"/>
      <c r="G469" s="47"/>
      <c r="H469" s="47"/>
      <c r="I469" s="75"/>
      <c r="J469" s="76"/>
      <c r="K469" s="76"/>
      <c r="L469" s="75"/>
      <c r="M469" s="49"/>
      <c r="N469" s="76"/>
      <c r="O469" s="49"/>
      <c r="P469" s="77"/>
      <c r="Q469" s="53"/>
      <c r="R469" s="54"/>
      <c r="S469" s="55"/>
      <c r="T469" s="56"/>
      <c r="U469" s="56"/>
      <c r="V469" s="42"/>
      <c r="W469" s="57"/>
      <c r="X469" s="58"/>
      <c r="Y469" s="75"/>
      <c r="Z469" s="59"/>
      <c r="AA469" s="61"/>
      <c r="AB469" s="61"/>
      <c r="AC469" s="61"/>
      <c r="AD469" s="62"/>
      <c r="AE469" s="62"/>
      <c r="AF469" s="34"/>
      <c r="AG469" s="34"/>
      <c r="AH469" s="34"/>
      <c r="AI469" s="34"/>
      <c r="AJ469" s="34"/>
      <c r="AK469" s="34"/>
      <c r="AL469" s="34"/>
      <c r="AM469" s="34"/>
      <c r="AN469" s="34"/>
      <c r="AO469" s="34"/>
      <c r="AP469" s="34"/>
      <c r="AQ469" s="34"/>
      <c r="AR469" s="34"/>
      <c r="AS469" s="34"/>
      <c r="AT469" s="34"/>
      <c r="AU469" s="34"/>
      <c r="AV469" s="34"/>
      <c r="AW469" s="34"/>
      <c r="AX469" s="34"/>
      <c r="AY469" s="34"/>
      <c r="AZ469" s="34"/>
      <c r="BA469" s="34"/>
      <c r="BB469" s="34"/>
      <c r="BD469" s="34"/>
      <c r="BE469" s="34"/>
      <c r="BF469" s="34"/>
      <c r="BG469" s="34"/>
      <c r="BH469" s="34"/>
      <c r="BI469" s="34"/>
      <c r="BJ469" s="34"/>
      <c r="BK469" s="34"/>
      <c r="BL469" s="34"/>
      <c r="BM469" s="34"/>
      <c r="BN469" s="34"/>
      <c r="BO469" s="34"/>
      <c r="BP469" s="34"/>
      <c r="BQ469" s="34"/>
      <c r="BR469" s="34"/>
      <c r="BS469" s="34"/>
      <c r="BT469" s="34"/>
      <c r="BU469" s="34"/>
      <c r="BV469" s="34"/>
      <c r="BW469" s="34"/>
      <c r="BX469" s="34"/>
      <c r="BY469" s="34"/>
    </row>
    <row r="470" spans="1:77" x14ac:dyDescent="0.3">
      <c r="A470" s="39"/>
      <c r="B470" s="42"/>
      <c r="C470" s="42"/>
      <c r="D470" s="75"/>
      <c r="E470" s="75"/>
      <c r="F470" s="76"/>
      <c r="G470" s="47"/>
      <c r="H470" s="47"/>
      <c r="I470" s="75"/>
      <c r="J470" s="76"/>
      <c r="K470" s="76"/>
      <c r="L470" s="75"/>
      <c r="M470" s="49"/>
      <c r="N470" s="76"/>
      <c r="O470" s="49"/>
      <c r="P470" s="77"/>
      <c r="Q470" s="53"/>
      <c r="R470" s="54"/>
      <c r="S470" s="55"/>
      <c r="T470" s="56"/>
      <c r="U470" s="56"/>
      <c r="V470" s="42"/>
      <c r="W470" s="57"/>
      <c r="X470" s="58"/>
      <c r="Y470" s="75"/>
      <c r="Z470" s="59"/>
      <c r="AA470" s="61"/>
      <c r="AB470" s="61"/>
      <c r="AC470" s="61"/>
      <c r="AD470" s="62"/>
      <c r="AE470" s="62"/>
      <c r="AF470" s="34"/>
      <c r="AG470" s="34"/>
      <c r="AH470" s="34"/>
      <c r="AI470" s="34"/>
      <c r="AJ470" s="34"/>
      <c r="AK470" s="34"/>
      <c r="AL470" s="34"/>
      <c r="AM470" s="34"/>
      <c r="AN470" s="34"/>
      <c r="AO470" s="34"/>
      <c r="AP470" s="34"/>
      <c r="AQ470" s="34"/>
      <c r="AR470" s="34"/>
      <c r="AS470" s="34"/>
      <c r="AT470" s="34"/>
      <c r="AU470" s="34"/>
      <c r="AV470" s="34"/>
      <c r="AW470" s="34"/>
      <c r="AX470" s="34"/>
      <c r="AY470" s="34"/>
      <c r="AZ470" s="34"/>
      <c r="BA470" s="34"/>
      <c r="BB470" s="34"/>
      <c r="BD470" s="34"/>
      <c r="BE470" s="34"/>
      <c r="BF470" s="34"/>
      <c r="BG470" s="34"/>
      <c r="BH470" s="34"/>
      <c r="BI470" s="34"/>
      <c r="BJ470" s="34"/>
      <c r="BK470" s="34"/>
      <c r="BL470" s="34"/>
      <c r="BM470" s="34"/>
      <c r="BN470" s="34"/>
      <c r="BO470" s="34"/>
      <c r="BP470" s="34"/>
      <c r="BQ470" s="34"/>
      <c r="BR470" s="34"/>
      <c r="BS470" s="34"/>
      <c r="BT470" s="34"/>
      <c r="BU470" s="34"/>
      <c r="BV470" s="34"/>
      <c r="BW470" s="34"/>
      <c r="BX470" s="34"/>
      <c r="BY470" s="34"/>
    </row>
    <row r="471" spans="1:77" x14ac:dyDescent="0.3">
      <c r="A471" s="39"/>
      <c r="B471" s="42"/>
      <c r="C471" s="42"/>
      <c r="D471" s="75"/>
      <c r="E471" s="75"/>
      <c r="F471" s="76"/>
      <c r="G471" s="47"/>
      <c r="H471" s="47"/>
      <c r="I471" s="75"/>
      <c r="J471" s="76"/>
      <c r="K471" s="76"/>
      <c r="L471" s="75"/>
      <c r="M471" s="49"/>
      <c r="N471" s="76"/>
      <c r="O471" s="49"/>
      <c r="P471" s="77"/>
      <c r="Q471" s="53"/>
      <c r="R471" s="54"/>
      <c r="S471" s="55"/>
      <c r="T471" s="56"/>
      <c r="U471" s="56"/>
      <c r="V471" s="42"/>
      <c r="W471" s="57"/>
      <c r="X471" s="58"/>
      <c r="Y471" s="75"/>
      <c r="Z471" s="59"/>
      <c r="AA471" s="61"/>
      <c r="AB471" s="61"/>
      <c r="AC471" s="61"/>
      <c r="AD471" s="62"/>
      <c r="AE471" s="62"/>
      <c r="AF471" s="34"/>
      <c r="AG471" s="34"/>
      <c r="AH471" s="34"/>
      <c r="AI471" s="34"/>
      <c r="AJ471" s="34"/>
      <c r="AK471" s="34"/>
      <c r="AL471" s="34"/>
      <c r="AM471" s="34"/>
      <c r="AN471" s="34"/>
      <c r="AO471" s="34"/>
      <c r="AP471" s="34"/>
      <c r="AQ471" s="34"/>
      <c r="AR471" s="34"/>
      <c r="AS471" s="34"/>
      <c r="AT471" s="34"/>
      <c r="AU471" s="34"/>
      <c r="AV471" s="34"/>
      <c r="AW471" s="34"/>
      <c r="AX471" s="34"/>
      <c r="AY471" s="34"/>
      <c r="AZ471" s="34"/>
      <c r="BA471" s="34"/>
      <c r="BB471" s="34"/>
      <c r="BD471" s="34"/>
      <c r="BE471" s="34"/>
      <c r="BF471" s="34"/>
      <c r="BG471" s="34"/>
      <c r="BH471" s="34"/>
      <c r="BI471" s="34"/>
      <c r="BJ471" s="34"/>
      <c r="BK471" s="34"/>
      <c r="BL471" s="34"/>
      <c r="BM471" s="34"/>
      <c r="BN471" s="34"/>
      <c r="BO471" s="34"/>
      <c r="BP471" s="34"/>
      <c r="BQ471" s="34"/>
      <c r="BR471" s="34"/>
      <c r="BS471" s="34"/>
      <c r="BT471" s="34"/>
      <c r="BU471" s="34"/>
      <c r="BV471" s="34"/>
      <c r="BW471" s="34"/>
      <c r="BX471" s="34"/>
      <c r="BY471" s="34"/>
    </row>
    <row r="472" spans="1:77" x14ac:dyDescent="0.3">
      <c r="A472" s="39"/>
      <c r="B472" s="42"/>
      <c r="C472" s="42"/>
      <c r="D472" s="75"/>
      <c r="E472" s="75"/>
      <c r="F472" s="76"/>
      <c r="G472" s="47"/>
      <c r="H472" s="47"/>
      <c r="I472" s="75"/>
      <c r="J472" s="76"/>
      <c r="K472" s="76"/>
      <c r="L472" s="75"/>
      <c r="M472" s="49"/>
      <c r="N472" s="76"/>
      <c r="O472" s="49"/>
      <c r="P472" s="77"/>
      <c r="Q472" s="53"/>
      <c r="R472" s="54"/>
      <c r="S472" s="55"/>
      <c r="T472" s="56"/>
      <c r="U472" s="56"/>
      <c r="V472" s="42"/>
      <c r="W472" s="57"/>
      <c r="X472" s="58"/>
      <c r="Y472" s="75"/>
      <c r="Z472" s="59"/>
      <c r="AA472" s="61"/>
      <c r="AB472" s="61"/>
      <c r="AC472" s="61"/>
      <c r="AD472" s="62"/>
      <c r="AE472" s="62"/>
      <c r="AF472" s="34"/>
      <c r="AG472" s="34"/>
      <c r="AH472" s="34"/>
      <c r="AI472" s="34"/>
      <c r="AJ472" s="34"/>
      <c r="AK472" s="34"/>
      <c r="AL472" s="34"/>
      <c r="AM472" s="34"/>
      <c r="AN472" s="34"/>
      <c r="AO472" s="34"/>
      <c r="AP472" s="34"/>
      <c r="AQ472" s="34"/>
      <c r="AR472" s="34"/>
      <c r="AS472" s="34"/>
      <c r="AT472" s="34"/>
      <c r="AU472" s="34"/>
      <c r="AV472" s="34"/>
      <c r="AW472" s="34"/>
      <c r="AX472" s="34"/>
      <c r="AY472" s="34"/>
      <c r="AZ472" s="34"/>
      <c r="BA472" s="34"/>
      <c r="BB472" s="34"/>
      <c r="BD472" s="34"/>
      <c r="BE472" s="34"/>
      <c r="BF472" s="34"/>
      <c r="BG472" s="34"/>
      <c r="BH472" s="34"/>
      <c r="BI472" s="34"/>
      <c r="BJ472" s="34"/>
      <c r="BK472" s="34"/>
      <c r="BL472" s="34"/>
      <c r="BM472" s="34"/>
      <c r="BN472" s="34"/>
      <c r="BO472" s="34"/>
      <c r="BP472" s="34"/>
      <c r="BQ472" s="34"/>
      <c r="BR472" s="34"/>
      <c r="BS472" s="34"/>
      <c r="BT472" s="34"/>
      <c r="BU472" s="34"/>
      <c r="BV472" s="34"/>
      <c r="BW472" s="34"/>
      <c r="BX472" s="34"/>
      <c r="BY472" s="34"/>
    </row>
    <row r="473" spans="1:77" x14ac:dyDescent="0.3">
      <c r="A473" s="39"/>
      <c r="B473" s="42"/>
      <c r="C473" s="42"/>
      <c r="D473" s="75"/>
      <c r="E473" s="75"/>
      <c r="F473" s="76"/>
      <c r="G473" s="47"/>
      <c r="H473" s="47"/>
      <c r="I473" s="75"/>
      <c r="J473" s="76"/>
      <c r="K473" s="76"/>
      <c r="L473" s="75"/>
      <c r="M473" s="49"/>
      <c r="N473" s="76"/>
      <c r="O473" s="49"/>
      <c r="P473" s="77"/>
      <c r="Q473" s="53"/>
      <c r="R473" s="54"/>
      <c r="S473" s="55"/>
      <c r="T473" s="56"/>
      <c r="U473" s="56"/>
      <c r="V473" s="42"/>
      <c r="W473" s="57"/>
      <c r="X473" s="58"/>
      <c r="Y473" s="75"/>
      <c r="Z473" s="59"/>
      <c r="AA473" s="61"/>
      <c r="AB473" s="61"/>
      <c r="AC473" s="61"/>
      <c r="AD473" s="62"/>
      <c r="AE473" s="62"/>
      <c r="AF473" s="34"/>
      <c r="AG473" s="34"/>
      <c r="AH473" s="34"/>
      <c r="AI473" s="34"/>
      <c r="AJ473" s="34"/>
      <c r="AK473" s="34"/>
      <c r="AL473" s="34"/>
      <c r="AM473" s="34"/>
      <c r="AN473" s="34"/>
      <c r="AO473" s="34"/>
      <c r="AP473" s="34"/>
      <c r="AQ473" s="34"/>
      <c r="AR473" s="34"/>
      <c r="AS473" s="34"/>
      <c r="AT473" s="34"/>
      <c r="AU473" s="34"/>
      <c r="AV473" s="34"/>
      <c r="AW473" s="34"/>
      <c r="AX473" s="34"/>
      <c r="AY473" s="34"/>
      <c r="AZ473" s="34"/>
      <c r="BA473" s="34"/>
      <c r="BB473" s="34"/>
      <c r="BD473" s="34"/>
      <c r="BE473" s="34"/>
      <c r="BF473" s="34"/>
      <c r="BG473" s="34"/>
      <c r="BH473" s="34"/>
      <c r="BI473" s="34"/>
      <c r="BJ473" s="34"/>
      <c r="BK473" s="34"/>
      <c r="BL473" s="34"/>
      <c r="BM473" s="34"/>
      <c r="BN473" s="34"/>
      <c r="BO473" s="34"/>
      <c r="BP473" s="34"/>
      <c r="BQ473" s="34"/>
      <c r="BR473" s="34"/>
      <c r="BS473" s="34"/>
      <c r="BT473" s="34"/>
      <c r="BU473" s="34"/>
      <c r="BV473" s="34"/>
      <c r="BW473" s="34"/>
      <c r="BX473" s="34"/>
      <c r="BY473" s="34"/>
    </row>
    <row r="474" spans="1:77" x14ac:dyDescent="0.3">
      <c r="A474" s="39"/>
      <c r="B474" s="42"/>
      <c r="C474" s="42"/>
      <c r="D474" s="75"/>
      <c r="E474" s="75"/>
      <c r="F474" s="76"/>
      <c r="G474" s="47"/>
      <c r="H474" s="47"/>
      <c r="I474" s="75"/>
      <c r="J474" s="76"/>
      <c r="K474" s="76"/>
      <c r="L474" s="75"/>
      <c r="M474" s="49"/>
      <c r="N474" s="76"/>
      <c r="O474" s="49"/>
      <c r="P474" s="77"/>
      <c r="Q474" s="53"/>
      <c r="R474" s="54"/>
      <c r="S474" s="55"/>
      <c r="T474" s="56"/>
      <c r="U474" s="56"/>
      <c r="V474" s="42"/>
      <c r="W474" s="57"/>
      <c r="X474" s="58"/>
      <c r="Y474" s="75"/>
      <c r="Z474" s="59"/>
      <c r="AA474" s="61"/>
      <c r="AB474" s="61"/>
      <c r="AC474" s="61"/>
      <c r="AD474" s="62"/>
      <c r="AE474" s="62"/>
      <c r="AF474" s="34"/>
      <c r="AG474" s="34"/>
      <c r="AH474" s="34"/>
      <c r="AI474" s="34"/>
      <c r="AJ474" s="34"/>
      <c r="AK474" s="34"/>
      <c r="AL474" s="34"/>
      <c r="AM474" s="34"/>
      <c r="AN474" s="34"/>
      <c r="AO474" s="34"/>
      <c r="AP474" s="34"/>
      <c r="AQ474" s="34"/>
      <c r="AR474" s="34"/>
      <c r="AS474" s="34"/>
      <c r="AT474" s="34"/>
      <c r="AU474" s="34"/>
      <c r="AV474" s="34"/>
      <c r="AW474" s="34"/>
      <c r="AX474" s="34"/>
      <c r="AY474" s="34"/>
      <c r="AZ474" s="34"/>
      <c r="BA474" s="34"/>
      <c r="BB474" s="34"/>
      <c r="BD474" s="34"/>
      <c r="BE474" s="34"/>
      <c r="BF474" s="34"/>
      <c r="BG474" s="34"/>
      <c r="BH474" s="34"/>
      <c r="BI474" s="34"/>
      <c r="BJ474" s="34"/>
      <c r="BK474" s="34"/>
      <c r="BL474" s="34"/>
      <c r="BM474" s="34"/>
      <c r="BN474" s="34"/>
      <c r="BO474" s="34"/>
      <c r="BP474" s="34"/>
      <c r="BQ474" s="34"/>
      <c r="BR474" s="34"/>
      <c r="BS474" s="34"/>
      <c r="BT474" s="34"/>
      <c r="BU474" s="34"/>
      <c r="BV474" s="34"/>
      <c r="BW474" s="34"/>
      <c r="BX474" s="34"/>
      <c r="BY474" s="34"/>
    </row>
    <row r="475" spans="1:77" x14ac:dyDescent="0.3">
      <c r="A475" s="39"/>
      <c r="B475" s="42"/>
      <c r="C475" s="42"/>
      <c r="D475" s="75"/>
      <c r="E475" s="75"/>
      <c r="F475" s="76"/>
      <c r="G475" s="47"/>
      <c r="H475" s="47"/>
      <c r="I475" s="75"/>
      <c r="J475" s="76"/>
      <c r="K475" s="76"/>
      <c r="L475" s="75"/>
      <c r="M475" s="49"/>
      <c r="N475" s="76"/>
      <c r="O475" s="49"/>
      <c r="P475" s="77"/>
      <c r="Q475" s="53"/>
      <c r="R475" s="54"/>
      <c r="S475" s="55"/>
      <c r="T475" s="56"/>
      <c r="U475" s="56"/>
      <c r="V475" s="42"/>
      <c r="W475" s="57"/>
      <c r="X475" s="58"/>
      <c r="Y475" s="75"/>
      <c r="Z475" s="59"/>
      <c r="AA475" s="61"/>
      <c r="AB475" s="61"/>
      <c r="AC475" s="61"/>
      <c r="AD475" s="62"/>
      <c r="AE475" s="62"/>
      <c r="AF475" s="34"/>
      <c r="AG475" s="34"/>
      <c r="AH475" s="34"/>
      <c r="AI475" s="34"/>
      <c r="AJ475" s="34"/>
      <c r="AK475" s="34"/>
      <c r="AL475" s="34"/>
      <c r="AM475" s="34"/>
      <c r="AN475" s="34"/>
      <c r="AO475" s="34"/>
      <c r="AP475" s="34"/>
      <c r="AQ475" s="34"/>
      <c r="AR475" s="34"/>
      <c r="AS475" s="34"/>
      <c r="AT475" s="34"/>
      <c r="AU475" s="34"/>
      <c r="AV475" s="34"/>
      <c r="AW475" s="34"/>
      <c r="AX475" s="34"/>
      <c r="AY475" s="34"/>
      <c r="AZ475" s="34"/>
      <c r="BA475" s="34"/>
      <c r="BB475" s="34"/>
      <c r="BD475" s="34"/>
      <c r="BE475" s="34"/>
      <c r="BF475" s="34"/>
      <c r="BG475" s="34"/>
      <c r="BH475" s="34"/>
      <c r="BI475" s="34"/>
      <c r="BJ475" s="34"/>
      <c r="BK475" s="34"/>
      <c r="BL475" s="34"/>
      <c r="BM475" s="34"/>
      <c r="BN475" s="34"/>
      <c r="BO475" s="34"/>
      <c r="BP475" s="34"/>
      <c r="BQ475" s="34"/>
      <c r="BR475" s="34"/>
      <c r="BS475" s="34"/>
      <c r="BT475" s="34"/>
      <c r="BU475" s="34"/>
      <c r="BV475" s="34"/>
      <c r="BW475" s="34"/>
      <c r="BX475" s="34"/>
      <c r="BY475" s="34"/>
    </row>
    <row r="476" spans="1:77" x14ac:dyDescent="0.3">
      <c r="A476" s="39"/>
      <c r="B476" s="42"/>
      <c r="C476" s="42"/>
      <c r="D476" s="75"/>
      <c r="E476" s="75"/>
      <c r="F476" s="76"/>
      <c r="G476" s="47"/>
      <c r="H476" s="47"/>
      <c r="I476" s="75"/>
      <c r="J476" s="76"/>
      <c r="K476" s="76"/>
      <c r="L476" s="75"/>
      <c r="M476" s="49"/>
      <c r="N476" s="76"/>
      <c r="O476" s="49"/>
      <c r="P476" s="77"/>
      <c r="Q476" s="53"/>
      <c r="R476" s="54"/>
      <c r="S476" s="55"/>
      <c r="T476" s="56"/>
      <c r="U476" s="56"/>
      <c r="V476" s="42"/>
      <c r="W476" s="57"/>
      <c r="X476" s="58"/>
      <c r="Y476" s="75"/>
      <c r="Z476" s="59"/>
      <c r="AA476" s="61"/>
      <c r="AB476" s="61"/>
      <c r="AC476" s="61"/>
      <c r="AD476" s="62"/>
      <c r="AE476" s="62"/>
      <c r="AF476" s="34"/>
      <c r="AG476" s="34"/>
      <c r="AH476" s="34"/>
      <c r="AI476" s="34"/>
      <c r="AJ476" s="34"/>
      <c r="AK476" s="34"/>
      <c r="AL476" s="34"/>
      <c r="AM476" s="34"/>
      <c r="AN476" s="34"/>
      <c r="AO476" s="34"/>
      <c r="AP476" s="34"/>
      <c r="AQ476" s="34"/>
      <c r="AR476" s="34"/>
      <c r="AS476" s="34"/>
      <c r="AT476" s="34"/>
      <c r="AU476" s="34"/>
      <c r="AV476" s="34"/>
      <c r="AW476" s="34"/>
      <c r="AX476" s="34"/>
      <c r="AY476" s="34"/>
      <c r="AZ476" s="34"/>
      <c r="BA476" s="34"/>
      <c r="BB476" s="34"/>
      <c r="BD476" s="34"/>
      <c r="BE476" s="34"/>
      <c r="BF476" s="34"/>
      <c r="BG476" s="34"/>
      <c r="BH476" s="34"/>
      <c r="BI476" s="34"/>
      <c r="BJ476" s="34"/>
      <c r="BK476" s="34"/>
      <c r="BL476" s="34"/>
      <c r="BM476" s="34"/>
      <c r="BN476" s="34"/>
      <c r="BO476" s="34"/>
      <c r="BP476" s="34"/>
      <c r="BQ476" s="34"/>
      <c r="BR476" s="34"/>
      <c r="BS476" s="34"/>
      <c r="BT476" s="34"/>
      <c r="BU476" s="34"/>
      <c r="BV476" s="34"/>
      <c r="BW476" s="34"/>
      <c r="BX476" s="34"/>
      <c r="BY476" s="34"/>
    </row>
    <row r="477" spans="1:77" x14ac:dyDescent="0.3">
      <c r="A477" s="39"/>
      <c r="B477" s="42"/>
      <c r="C477" s="42"/>
      <c r="D477" s="75"/>
      <c r="E477" s="75"/>
      <c r="F477" s="76"/>
      <c r="G477" s="47"/>
      <c r="H477" s="47"/>
      <c r="I477" s="75"/>
      <c r="J477" s="76"/>
      <c r="K477" s="76"/>
      <c r="L477" s="75"/>
      <c r="M477" s="49"/>
      <c r="N477" s="76"/>
      <c r="O477" s="49"/>
      <c r="P477" s="77"/>
      <c r="Q477" s="53"/>
      <c r="R477" s="54"/>
      <c r="S477" s="55"/>
      <c r="T477" s="56"/>
      <c r="U477" s="56"/>
      <c r="V477" s="42"/>
      <c r="W477" s="57"/>
      <c r="X477" s="58"/>
      <c r="Y477" s="75"/>
      <c r="Z477" s="59"/>
      <c r="AA477" s="61"/>
      <c r="AB477" s="61"/>
      <c r="AC477" s="61"/>
      <c r="AD477" s="62"/>
      <c r="AE477" s="62"/>
      <c r="AF477" s="34"/>
      <c r="AG477" s="34"/>
      <c r="AH477" s="34"/>
      <c r="AI477" s="34"/>
      <c r="AJ477" s="34"/>
      <c r="AK477" s="34"/>
      <c r="AL477" s="34"/>
      <c r="AM477" s="34"/>
      <c r="AN477" s="34"/>
      <c r="AO477" s="34"/>
      <c r="AP477" s="34"/>
      <c r="AQ477" s="34"/>
      <c r="AR477" s="34"/>
      <c r="AS477" s="34"/>
      <c r="AT477" s="34"/>
      <c r="AU477" s="34"/>
      <c r="AV477" s="34"/>
      <c r="AW477" s="34"/>
      <c r="AX477" s="34"/>
      <c r="AY477" s="34"/>
      <c r="AZ477" s="34"/>
      <c r="BA477" s="34"/>
      <c r="BB477" s="34"/>
      <c r="BD477" s="34"/>
      <c r="BE477" s="34"/>
      <c r="BF477" s="34"/>
      <c r="BG477" s="34"/>
      <c r="BH477" s="34"/>
      <c r="BI477" s="34"/>
      <c r="BJ477" s="34"/>
      <c r="BK477" s="34"/>
      <c r="BL477" s="34"/>
      <c r="BM477" s="34"/>
      <c r="BN477" s="34"/>
      <c r="BO477" s="34"/>
      <c r="BP477" s="34"/>
      <c r="BQ477" s="34"/>
      <c r="BR477" s="34"/>
      <c r="BS477" s="34"/>
      <c r="BT477" s="34"/>
      <c r="BU477" s="34"/>
      <c r="BV477" s="34"/>
      <c r="BW477" s="34"/>
      <c r="BX477" s="34"/>
      <c r="BY477" s="34"/>
    </row>
    <row r="478" spans="1:77" x14ac:dyDescent="0.3">
      <c r="A478" s="39"/>
      <c r="B478" s="42"/>
      <c r="C478" s="42"/>
      <c r="D478" s="75"/>
      <c r="E478" s="75"/>
      <c r="F478" s="76"/>
      <c r="G478" s="47"/>
      <c r="H478" s="47"/>
      <c r="I478" s="75"/>
      <c r="J478" s="76"/>
      <c r="K478" s="76"/>
      <c r="L478" s="75"/>
      <c r="M478" s="49"/>
      <c r="N478" s="76"/>
      <c r="O478" s="49"/>
      <c r="P478" s="77"/>
      <c r="Q478" s="53"/>
      <c r="R478" s="54"/>
      <c r="S478" s="55"/>
      <c r="T478" s="56"/>
      <c r="U478" s="56"/>
      <c r="V478" s="42"/>
      <c r="W478" s="57"/>
      <c r="X478" s="58"/>
      <c r="Y478" s="75"/>
      <c r="Z478" s="59"/>
      <c r="AA478" s="61"/>
      <c r="AB478" s="61"/>
      <c r="AC478" s="61"/>
      <c r="AD478" s="62"/>
      <c r="AE478" s="62"/>
      <c r="AF478" s="34"/>
      <c r="AG478" s="34"/>
      <c r="AH478" s="34"/>
      <c r="AI478" s="34"/>
      <c r="AJ478" s="34"/>
      <c r="AK478" s="34"/>
      <c r="AL478" s="34"/>
      <c r="AM478" s="34"/>
      <c r="AN478" s="34"/>
      <c r="AO478" s="34"/>
      <c r="AP478" s="34"/>
      <c r="AQ478" s="34"/>
      <c r="AR478" s="34"/>
      <c r="AS478" s="34"/>
      <c r="AT478" s="34"/>
      <c r="AU478" s="34"/>
      <c r="AV478" s="34"/>
      <c r="AW478" s="34"/>
      <c r="AX478" s="34"/>
      <c r="AY478" s="34"/>
      <c r="AZ478" s="34"/>
      <c r="BA478" s="34"/>
      <c r="BB478" s="34"/>
      <c r="BD478" s="34"/>
      <c r="BE478" s="34"/>
      <c r="BF478" s="34"/>
      <c r="BG478" s="34"/>
      <c r="BH478" s="34"/>
      <c r="BI478" s="34"/>
      <c r="BJ478" s="34"/>
      <c r="BK478" s="34"/>
      <c r="BL478" s="34"/>
      <c r="BM478" s="34"/>
      <c r="BN478" s="34"/>
      <c r="BO478" s="34"/>
      <c r="BP478" s="34"/>
      <c r="BQ478" s="34"/>
      <c r="BR478" s="34"/>
      <c r="BS478" s="34"/>
      <c r="BT478" s="34"/>
      <c r="BU478" s="34"/>
      <c r="BV478" s="34"/>
      <c r="BW478" s="34"/>
      <c r="BX478" s="34"/>
      <c r="BY478" s="34"/>
    </row>
    <row r="479" spans="1:77" x14ac:dyDescent="0.3">
      <c r="A479" s="39"/>
      <c r="B479" s="42"/>
      <c r="C479" s="42"/>
      <c r="D479" s="75"/>
      <c r="E479" s="75"/>
      <c r="F479" s="76"/>
      <c r="G479" s="47"/>
      <c r="H479" s="47"/>
      <c r="I479" s="75"/>
      <c r="J479" s="76"/>
      <c r="K479" s="76"/>
      <c r="L479" s="75"/>
      <c r="M479" s="49"/>
      <c r="N479" s="76"/>
      <c r="O479" s="49"/>
      <c r="P479" s="77"/>
      <c r="Q479" s="53"/>
      <c r="R479" s="54"/>
      <c r="S479" s="55"/>
      <c r="T479" s="56"/>
      <c r="U479" s="56"/>
      <c r="V479" s="42"/>
      <c r="W479" s="57"/>
      <c r="X479" s="58"/>
      <c r="Y479" s="75"/>
      <c r="Z479" s="59"/>
      <c r="AA479" s="61"/>
      <c r="AB479" s="61"/>
      <c r="AC479" s="61"/>
      <c r="AD479" s="62"/>
      <c r="AE479" s="62"/>
      <c r="AF479" s="34"/>
      <c r="AG479" s="34"/>
      <c r="AH479" s="34"/>
      <c r="AI479" s="34"/>
      <c r="AJ479" s="34"/>
      <c r="AK479" s="34"/>
      <c r="AL479" s="34"/>
      <c r="AM479" s="34"/>
      <c r="AN479" s="34"/>
      <c r="AO479" s="34"/>
      <c r="AP479" s="34"/>
      <c r="AQ479" s="34"/>
      <c r="AR479" s="34"/>
      <c r="AS479" s="34"/>
      <c r="AT479" s="34"/>
      <c r="AU479" s="34"/>
      <c r="AV479" s="34"/>
      <c r="AW479" s="34"/>
      <c r="AX479" s="34"/>
      <c r="AY479" s="34"/>
      <c r="AZ479" s="34"/>
      <c r="BA479" s="34"/>
      <c r="BB479" s="34"/>
      <c r="BD479" s="34"/>
      <c r="BE479" s="34"/>
      <c r="BF479" s="34"/>
      <c r="BG479" s="34"/>
      <c r="BH479" s="34"/>
      <c r="BI479" s="34"/>
      <c r="BJ479" s="34"/>
      <c r="BK479" s="34"/>
      <c r="BL479" s="34"/>
      <c r="BM479" s="34"/>
      <c r="BN479" s="34"/>
      <c r="BO479" s="34"/>
      <c r="BP479" s="34"/>
      <c r="BQ479" s="34"/>
      <c r="BR479" s="34"/>
      <c r="BS479" s="34"/>
      <c r="BT479" s="34"/>
      <c r="BU479" s="34"/>
      <c r="BV479" s="34"/>
      <c r="BW479" s="34"/>
      <c r="BX479" s="34"/>
      <c r="BY479" s="34"/>
    </row>
    <row r="480" spans="1:77" x14ac:dyDescent="0.3">
      <c r="A480" s="39"/>
      <c r="B480" s="42"/>
      <c r="C480" s="42"/>
      <c r="D480" s="75"/>
      <c r="E480" s="75"/>
      <c r="F480" s="76"/>
      <c r="G480" s="47"/>
      <c r="H480" s="47"/>
      <c r="I480" s="75"/>
      <c r="J480" s="76"/>
      <c r="K480" s="76"/>
      <c r="L480" s="75"/>
      <c r="M480" s="49"/>
      <c r="N480" s="76"/>
      <c r="O480" s="49"/>
      <c r="P480" s="77"/>
      <c r="Q480" s="53"/>
      <c r="R480" s="54"/>
      <c r="S480" s="55"/>
      <c r="T480" s="56"/>
      <c r="U480" s="56"/>
      <c r="V480" s="42"/>
      <c r="W480" s="57"/>
      <c r="X480" s="58"/>
      <c r="Y480" s="75"/>
      <c r="Z480" s="59"/>
      <c r="AA480" s="61"/>
      <c r="AB480" s="61"/>
      <c r="AC480" s="61"/>
      <c r="AD480" s="62"/>
      <c r="AE480" s="62"/>
      <c r="AF480" s="34"/>
      <c r="AG480" s="34"/>
      <c r="AH480" s="34"/>
      <c r="AI480" s="34"/>
      <c r="AJ480" s="34"/>
      <c r="AK480" s="34"/>
      <c r="AL480" s="34"/>
      <c r="AM480" s="34"/>
      <c r="AN480" s="34"/>
      <c r="AO480" s="34"/>
      <c r="AP480" s="34"/>
      <c r="AQ480" s="34"/>
      <c r="AR480" s="34"/>
      <c r="AS480" s="34"/>
      <c r="AT480" s="34"/>
      <c r="AU480" s="34"/>
      <c r="AV480" s="34"/>
      <c r="AW480" s="34"/>
      <c r="AX480" s="34"/>
      <c r="AY480" s="34"/>
      <c r="AZ480" s="34"/>
      <c r="BA480" s="34"/>
      <c r="BB480" s="34"/>
      <c r="BD480" s="34"/>
      <c r="BE480" s="34"/>
      <c r="BF480" s="34"/>
      <c r="BG480" s="34"/>
      <c r="BH480" s="34"/>
      <c r="BI480" s="34"/>
      <c r="BJ480" s="34"/>
      <c r="BK480" s="34"/>
      <c r="BL480" s="34"/>
      <c r="BM480" s="34"/>
      <c r="BN480" s="34"/>
      <c r="BO480" s="34"/>
      <c r="BP480" s="34"/>
      <c r="BQ480" s="34"/>
      <c r="BR480" s="34"/>
      <c r="BS480" s="34"/>
      <c r="BT480" s="34"/>
      <c r="BU480" s="34"/>
      <c r="BV480" s="34"/>
      <c r="BW480" s="34"/>
      <c r="BX480" s="34"/>
      <c r="BY480" s="34"/>
    </row>
    <row r="481" spans="1:77" x14ac:dyDescent="0.3">
      <c r="A481" s="39"/>
      <c r="B481" s="42"/>
      <c r="C481" s="42"/>
      <c r="D481" s="75"/>
      <c r="E481" s="75"/>
      <c r="F481" s="76"/>
      <c r="G481" s="47"/>
      <c r="H481" s="47"/>
      <c r="I481" s="75"/>
      <c r="J481" s="76"/>
      <c r="K481" s="76"/>
      <c r="L481" s="75"/>
      <c r="M481" s="49"/>
      <c r="N481" s="76"/>
      <c r="O481" s="49"/>
      <c r="P481" s="77"/>
      <c r="Q481" s="53"/>
      <c r="R481" s="54"/>
      <c r="S481" s="55"/>
      <c r="T481" s="56"/>
      <c r="U481" s="56"/>
      <c r="V481" s="42"/>
      <c r="W481" s="57"/>
      <c r="X481" s="58"/>
      <c r="Y481" s="75"/>
      <c r="Z481" s="59"/>
      <c r="AA481" s="61"/>
      <c r="AB481" s="61"/>
      <c r="AC481" s="61"/>
      <c r="AD481" s="62"/>
      <c r="AE481" s="62"/>
      <c r="AF481" s="34"/>
      <c r="AG481" s="34"/>
      <c r="AH481" s="34"/>
      <c r="AI481" s="34"/>
      <c r="AJ481" s="34"/>
      <c r="AK481" s="34"/>
      <c r="AL481" s="34"/>
      <c r="AM481" s="34"/>
      <c r="AN481" s="34"/>
      <c r="AO481" s="34"/>
      <c r="AP481" s="34"/>
      <c r="AQ481" s="34"/>
      <c r="AR481" s="34"/>
      <c r="AS481" s="34"/>
      <c r="AT481" s="34"/>
      <c r="AU481" s="34"/>
      <c r="AV481" s="34"/>
      <c r="AW481" s="34"/>
      <c r="AX481" s="34"/>
      <c r="AY481" s="34"/>
      <c r="AZ481" s="34"/>
      <c r="BA481" s="34"/>
      <c r="BB481" s="34"/>
      <c r="BD481" s="34"/>
      <c r="BE481" s="34"/>
      <c r="BF481" s="34"/>
      <c r="BG481" s="34"/>
      <c r="BH481" s="34"/>
      <c r="BI481" s="34"/>
      <c r="BJ481" s="34"/>
      <c r="BK481" s="34"/>
      <c r="BL481" s="34"/>
      <c r="BM481" s="34"/>
      <c r="BN481" s="34"/>
      <c r="BO481" s="34"/>
      <c r="BP481" s="34"/>
      <c r="BQ481" s="34"/>
      <c r="BR481" s="34"/>
      <c r="BS481" s="34"/>
      <c r="BT481" s="34"/>
      <c r="BU481" s="34"/>
      <c r="BV481" s="34"/>
      <c r="BW481" s="34"/>
      <c r="BX481" s="34"/>
      <c r="BY481" s="34"/>
    </row>
    <row r="482" spans="1:77" x14ac:dyDescent="0.3">
      <c r="A482" s="39"/>
      <c r="B482" s="42"/>
      <c r="C482" s="42"/>
      <c r="D482" s="75"/>
      <c r="E482" s="75"/>
      <c r="F482" s="76"/>
      <c r="G482" s="47"/>
      <c r="H482" s="47"/>
      <c r="I482" s="75"/>
      <c r="J482" s="76"/>
      <c r="K482" s="76"/>
      <c r="L482" s="75"/>
      <c r="M482" s="49"/>
      <c r="N482" s="76"/>
      <c r="O482" s="49"/>
      <c r="P482" s="77"/>
      <c r="Q482" s="53"/>
      <c r="R482" s="54"/>
      <c r="S482" s="55"/>
      <c r="T482" s="56"/>
      <c r="U482" s="56"/>
      <c r="V482" s="42"/>
      <c r="W482" s="57"/>
      <c r="X482" s="58"/>
      <c r="Y482" s="75"/>
      <c r="Z482" s="59"/>
      <c r="AA482" s="61"/>
      <c r="AB482" s="61"/>
      <c r="AC482" s="61"/>
      <c r="AD482" s="62"/>
      <c r="AE482" s="62"/>
      <c r="AF482" s="34"/>
      <c r="AG482" s="34"/>
      <c r="AH482" s="34"/>
      <c r="AI482" s="34"/>
      <c r="AJ482" s="34"/>
      <c r="AK482" s="34"/>
      <c r="AL482" s="34"/>
      <c r="AM482" s="34"/>
      <c r="AN482" s="34"/>
      <c r="AO482" s="34"/>
      <c r="AP482" s="34"/>
      <c r="AQ482" s="34"/>
      <c r="AR482" s="34"/>
      <c r="AS482" s="34"/>
      <c r="AT482" s="34"/>
      <c r="AU482" s="34"/>
      <c r="AV482" s="34"/>
      <c r="AW482" s="34"/>
      <c r="AX482" s="34"/>
      <c r="AY482" s="34"/>
      <c r="AZ482" s="34"/>
      <c r="BA482" s="34"/>
      <c r="BB482" s="34"/>
      <c r="BD482" s="34"/>
      <c r="BE482" s="34"/>
      <c r="BF482" s="34"/>
      <c r="BG482" s="34"/>
      <c r="BH482" s="34"/>
      <c r="BI482" s="34"/>
      <c r="BJ482" s="34"/>
      <c r="BK482" s="34"/>
      <c r="BL482" s="34"/>
      <c r="BM482" s="34"/>
      <c r="BN482" s="34"/>
      <c r="BO482" s="34"/>
      <c r="BP482" s="34"/>
      <c r="BQ482" s="34"/>
      <c r="BR482" s="34"/>
      <c r="BS482" s="34"/>
      <c r="BT482" s="34"/>
      <c r="BU482" s="34"/>
      <c r="BV482" s="34"/>
      <c r="BW482" s="34"/>
      <c r="BX482" s="34"/>
      <c r="BY482" s="34"/>
    </row>
    <row r="483" spans="1:77" x14ac:dyDescent="0.3">
      <c r="A483" s="39"/>
      <c r="B483" s="42"/>
      <c r="C483" s="42"/>
      <c r="D483" s="75"/>
      <c r="E483" s="75"/>
      <c r="F483" s="76"/>
      <c r="G483" s="47"/>
      <c r="H483" s="47"/>
      <c r="I483" s="75"/>
      <c r="J483" s="76"/>
      <c r="K483" s="76"/>
      <c r="L483" s="75"/>
      <c r="M483" s="49"/>
      <c r="N483" s="76"/>
      <c r="O483" s="49"/>
      <c r="P483" s="77"/>
      <c r="Q483" s="53"/>
      <c r="R483" s="54"/>
      <c r="S483" s="55"/>
      <c r="T483" s="56"/>
      <c r="U483" s="56"/>
      <c r="V483" s="42"/>
      <c r="W483" s="57"/>
      <c r="X483" s="58"/>
      <c r="Y483" s="75"/>
      <c r="Z483" s="59"/>
      <c r="AA483" s="61"/>
      <c r="AB483" s="61"/>
      <c r="AC483" s="61"/>
      <c r="AD483" s="62"/>
      <c r="AE483" s="62"/>
      <c r="AF483" s="34"/>
      <c r="AG483" s="34"/>
      <c r="AH483" s="34"/>
      <c r="AI483" s="34"/>
      <c r="AJ483" s="34"/>
      <c r="AK483" s="34"/>
      <c r="AL483" s="34"/>
      <c r="AM483" s="34"/>
      <c r="AN483" s="34"/>
      <c r="AO483" s="34"/>
      <c r="AP483" s="34"/>
      <c r="AQ483" s="34"/>
      <c r="AR483" s="34"/>
      <c r="AS483" s="34"/>
      <c r="AT483" s="34"/>
      <c r="AU483" s="34"/>
      <c r="AV483" s="34"/>
      <c r="AW483" s="34"/>
      <c r="AX483" s="34"/>
      <c r="AY483" s="34"/>
      <c r="AZ483" s="34"/>
      <c r="BA483" s="34"/>
      <c r="BB483" s="34"/>
      <c r="BD483" s="34"/>
      <c r="BE483" s="34"/>
      <c r="BF483" s="34"/>
      <c r="BG483" s="34"/>
      <c r="BH483" s="34"/>
      <c r="BI483" s="34"/>
      <c r="BJ483" s="34"/>
      <c r="BK483" s="34"/>
      <c r="BL483" s="34"/>
      <c r="BM483" s="34"/>
      <c r="BN483" s="34"/>
      <c r="BO483" s="34"/>
      <c r="BP483" s="34"/>
      <c r="BQ483" s="34"/>
      <c r="BR483" s="34"/>
      <c r="BS483" s="34"/>
      <c r="BT483" s="34"/>
      <c r="BU483" s="34"/>
      <c r="BV483" s="34"/>
      <c r="BW483" s="34"/>
      <c r="BX483" s="34"/>
      <c r="BY483" s="34"/>
    </row>
    <row r="484" spans="1:77" x14ac:dyDescent="0.3">
      <c r="A484" s="39"/>
      <c r="B484" s="42"/>
      <c r="C484" s="42"/>
      <c r="D484" s="75"/>
      <c r="E484" s="75"/>
      <c r="F484" s="76"/>
      <c r="G484" s="47"/>
      <c r="H484" s="47"/>
      <c r="I484" s="75"/>
      <c r="J484" s="76"/>
      <c r="K484" s="76"/>
      <c r="L484" s="75"/>
      <c r="M484" s="49"/>
      <c r="N484" s="76"/>
      <c r="O484" s="49"/>
      <c r="P484" s="77"/>
      <c r="Q484" s="53"/>
      <c r="R484" s="54"/>
      <c r="S484" s="55"/>
      <c r="T484" s="56"/>
      <c r="U484" s="56"/>
      <c r="V484" s="42"/>
      <c r="W484" s="57"/>
      <c r="X484" s="58"/>
      <c r="Y484" s="75"/>
      <c r="Z484" s="59"/>
      <c r="AA484" s="61"/>
      <c r="AB484" s="61"/>
      <c r="AC484" s="61"/>
      <c r="AD484" s="62"/>
      <c r="AE484" s="62"/>
      <c r="AF484" s="34"/>
      <c r="AG484" s="34"/>
      <c r="AH484" s="34"/>
      <c r="AI484" s="34"/>
      <c r="AJ484" s="34"/>
      <c r="AK484" s="34"/>
      <c r="AL484" s="34"/>
      <c r="AM484" s="34"/>
      <c r="AN484" s="34"/>
      <c r="AO484" s="34"/>
      <c r="AP484" s="34"/>
      <c r="AQ484" s="34"/>
      <c r="AR484" s="34"/>
      <c r="AS484" s="34"/>
      <c r="AT484" s="34"/>
      <c r="AU484" s="34"/>
      <c r="AV484" s="34"/>
      <c r="AW484" s="34"/>
      <c r="AX484" s="34"/>
      <c r="AY484" s="34"/>
      <c r="AZ484" s="34"/>
      <c r="BA484" s="34"/>
      <c r="BB484" s="34"/>
      <c r="BD484" s="34"/>
      <c r="BE484" s="34"/>
      <c r="BF484" s="34"/>
      <c r="BG484" s="34"/>
      <c r="BH484" s="34"/>
      <c r="BI484" s="34"/>
      <c r="BJ484" s="34"/>
      <c r="BK484" s="34"/>
      <c r="BL484" s="34"/>
      <c r="BM484" s="34"/>
      <c r="BN484" s="34"/>
      <c r="BO484" s="34"/>
      <c r="BP484" s="34"/>
      <c r="BQ484" s="34"/>
      <c r="BR484" s="34"/>
      <c r="BS484" s="34"/>
      <c r="BT484" s="34"/>
      <c r="BU484" s="34"/>
      <c r="BV484" s="34"/>
      <c r="BW484" s="34"/>
      <c r="BX484" s="34"/>
      <c r="BY484" s="34"/>
    </row>
    <row r="485" spans="1:77" x14ac:dyDescent="0.3">
      <c r="A485" s="39"/>
      <c r="B485" s="42"/>
      <c r="C485" s="42"/>
      <c r="D485" s="75"/>
      <c r="E485" s="75"/>
      <c r="F485" s="76"/>
      <c r="G485" s="47"/>
      <c r="H485" s="47"/>
      <c r="I485" s="75"/>
      <c r="J485" s="76"/>
      <c r="K485" s="76"/>
      <c r="L485" s="75"/>
      <c r="M485" s="49"/>
      <c r="N485" s="76"/>
      <c r="O485" s="49"/>
      <c r="P485" s="77"/>
      <c r="Q485" s="53"/>
      <c r="R485" s="54"/>
      <c r="S485" s="55"/>
      <c r="T485" s="56"/>
      <c r="U485" s="56"/>
      <c r="V485" s="42"/>
      <c r="W485" s="57"/>
      <c r="X485" s="58"/>
      <c r="Y485" s="75"/>
      <c r="Z485" s="59"/>
      <c r="AA485" s="61"/>
      <c r="AB485" s="61"/>
      <c r="AC485" s="61"/>
      <c r="AD485" s="62"/>
      <c r="AE485" s="62"/>
      <c r="AF485" s="34"/>
      <c r="AG485" s="34"/>
      <c r="AH485" s="34"/>
      <c r="AI485" s="34"/>
      <c r="AJ485" s="34"/>
      <c r="AK485" s="34"/>
      <c r="AL485" s="34"/>
      <c r="AM485" s="34"/>
      <c r="AN485" s="34"/>
      <c r="AO485" s="34"/>
      <c r="AP485" s="34"/>
      <c r="AQ485" s="34"/>
      <c r="AR485" s="34"/>
      <c r="AS485" s="34"/>
      <c r="AT485" s="34"/>
      <c r="AU485" s="34"/>
      <c r="AV485" s="34"/>
      <c r="AW485" s="34"/>
      <c r="AX485" s="34"/>
      <c r="AY485" s="34"/>
      <c r="AZ485" s="34"/>
      <c r="BA485" s="34"/>
      <c r="BB485" s="34"/>
      <c r="BD485" s="34"/>
      <c r="BE485" s="34"/>
      <c r="BF485" s="34"/>
      <c r="BG485" s="34"/>
      <c r="BH485" s="34"/>
      <c r="BI485" s="34"/>
      <c r="BJ485" s="34"/>
      <c r="BK485" s="34"/>
      <c r="BL485" s="34"/>
      <c r="BM485" s="34"/>
      <c r="BN485" s="34"/>
      <c r="BO485" s="34"/>
      <c r="BP485" s="34"/>
      <c r="BQ485" s="34"/>
      <c r="BR485" s="34"/>
      <c r="BS485" s="34"/>
      <c r="BT485" s="34"/>
      <c r="BU485" s="34"/>
      <c r="BV485" s="34"/>
      <c r="BW485" s="34"/>
      <c r="BX485" s="34"/>
      <c r="BY485" s="34"/>
    </row>
    <row r="486" spans="1:77" x14ac:dyDescent="0.3">
      <c r="A486" s="39"/>
      <c r="B486" s="42"/>
      <c r="C486" s="42"/>
      <c r="D486" s="75"/>
      <c r="E486" s="75"/>
      <c r="F486" s="76"/>
      <c r="G486" s="47"/>
      <c r="H486" s="47"/>
      <c r="I486" s="75"/>
      <c r="J486" s="76"/>
      <c r="K486" s="76"/>
      <c r="L486" s="75"/>
      <c r="M486" s="49"/>
      <c r="N486" s="76"/>
      <c r="O486" s="49"/>
      <c r="P486" s="77"/>
      <c r="Q486" s="53"/>
      <c r="R486" s="54"/>
      <c r="S486" s="55"/>
      <c r="T486" s="56"/>
      <c r="U486" s="56"/>
      <c r="V486" s="42"/>
      <c r="W486" s="57"/>
      <c r="X486" s="58"/>
      <c r="Y486" s="75"/>
      <c r="Z486" s="59"/>
      <c r="AA486" s="61"/>
      <c r="AB486" s="61"/>
      <c r="AC486" s="61"/>
      <c r="AD486" s="62"/>
      <c r="AE486" s="62"/>
      <c r="AF486" s="34"/>
      <c r="AG486" s="34"/>
      <c r="AH486" s="34"/>
      <c r="AI486" s="34"/>
      <c r="AJ486" s="34"/>
      <c r="AK486" s="34"/>
      <c r="AL486" s="34"/>
      <c r="AM486" s="34"/>
      <c r="AN486" s="34"/>
      <c r="AO486" s="34"/>
      <c r="AP486" s="34"/>
      <c r="AQ486" s="34"/>
      <c r="AR486" s="34"/>
      <c r="AS486" s="34"/>
      <c r="AT486" s="34"/>
      <c r="AU486" s="34"/>
      <c r="AV486" s="34"/>
      <c r="AW486" s="34"/>
      <c r="AX486" s="34"/>
      <c r="AY486" s="34"/>
      <c r="AZ486" s="34"/>
      <c r="BA486" s="34"/>
      <c r="BB486" s="34"/>
      <c r="BD486" s="34"/>
      <c r="BE486" s="34"/>
      <c r="BF486" s="34"/>
      <c r="BG486" s="34"/>
      <c r="BH486" s="34"/>
      <c r="BI486" s="34"/>
      <c r="BJ486" s="34"/>
      <c r="BK486" s="34"/>
      <c r="BL486" s="34"/>
      <c r="BM486" s="34"/>
      <c r="BN486" s="34"/>
      <c r="BO486" s="34"/>
      <c r="BP486" s="34"/>
      <c r="BQ486" s="34"/>
      <c r="BR486" s="34"/>
      <c r="BS486" s="34"/>
      <c r="BT486" s="34"/>
      <c r="BU486" s="34"/>
      <c r="BV486" s="34"/>
      <c r="BW486" s="34"/>
      <c r="BX486" s="34"/>
      <c r="BY486" s="34"/>
    </row>
    <row r="487" spans="1:77" x14ac:dyDescent="0.3">
      <c r="A487" s="39"/>
      <c r="B487" s="42"/>
      <c r="C487" s="42"/>
      <c r="D487" s="75"/>
      <c r="E487" s="75"/>
      <c r="F487" s="76"/>
      <c r="G487" s="47"/>
      <c r="H487" s="47"/>
      <c r="I487" s="75"/>
      <c r="J487" s="76"/>
      <c r="K487" s="76"/>
      <c r="L487" s="75"/>
      <c r="M487" s="49"/>
      <c r="N487" s="76"/>
      <c r="O487" s="49"/>
      <c r="P487" s="77"/>
      <c r="Q487" s="53"/>
      <c r="R487" s="54"/>
      <c r="S487" s="55"/>
      <c r="T487" s="56"/>
      <c r="U487" s="56"/>
      <c r="V487" s="42"/>
      <c r="W487" s="57"/>
      <c r="X487" s="58"/>
      <c r="Y487" s="75"/>
      <c r="Z487" s="59"/>
      <c r="AA487" s="61"/>
      <c r="AB487" s="61"/>
      <c r="AC487" s="61"/>
      <c r="AD487" s="62"/>
      <c r="AE487" s="62"/>
      <c r="AF487" s="34"/>
      <c r="AG487" s="34"/>
      <c r="AH487" s="34"/>
      <c r="AI487" s="34"/>
      <c r="AJ487" s="34"/>
      <c r="AK487" s="34"/>
      <c r="AL487" s="34"/>
      <c r="AM487" s="34"/>
      <c r="AN487" s="34"/>
      <c r="AO487" s="34"/>
      <c r="AP487" s="34"/>
      <c r="AQ487" s="34"/>
      <c r="AR487" s="34"/>
      <c r="AS487" s="34"/>
      <c r="AT487" s="34"/>
      <c r="AU487" s="34"/>
      <c r="AV487" s="34"/>
      <c r="AW487" s="34"/>
      <c r="AX487" s="34"/>
      <c r="AY487" s="34"/>
      <c r="AZ487" s="34"/>
      <c r="BA487" s="34"/>
      <c r="BB487" s="34"/>
      <c r="BD487" s="34"/>
      <c r="BE487" s="34"/>
      <c r="BF487" s="34"/>
      <c r="BG487" s="34"/>
      <c r="BH487" s="34"/>
      <c r="BI487" s="34"/>
      <c r="BJ487" s="34"/>
      <c r="BK487" s="34"/>
      <c r="BL487" s="34"/>
      <c r="BM487" s="34"/>
      <c r="BN487" s="34"/>
      <c r="BO487" s="34"/>
      <c r="BP487" s="34"/>
      <c r="BQ487" s="34"/>
      <c r="BR487" s="34"/>
      <c r="BS487" s="34"/>
      <c r="BT487" s="34"/>
      <c r="BU487" s="34"/>
      <c r="BV487" s="34"/>
      <c r="BW487" s="34"/>
      <c r="BX487" s="34"/>
      <c r="BY487" s="34"/>
    </row>
    <row r="488" spans="1:77" x14ac:dyDescent="0.3">
      <c r="A488" s="39"/>
      <c r="B488" s="42"/>
      <c r="C488" s="42"/>
      <c r="D488" s="75"/>
      <c r="E488" s="75"/>
      <c r="F488" s="76"/>
      <c r="G488" s="47"/>
      <c r="H488" s="47"/>
      <c r="I488" s="75"/>
      <c r="J488" s="76"/>
      <c r="K488" s="76"/>
      <c r="L488" s="75"/>
      <c r="M488" s="49"/>
      <c r="N488" s="76"/>
      <c r="O488" s="49"/>
      <c r="P488" s="77"/>
      <c r="Q488" s="53"/>
      <c r="R488" s="54"/>
      <c r="S488" s="55"/>
      <c r="T488" s="56"/>
      <c r="U488" s="56"/>
      <c r="V488" s="42"/>
      <c r="W488" s="57"/>
      <c r="X488" s="58"/>
      <c r="Y488" s="75"/>
      <c r="Z488" s="59"/>
      <c r="AA488" s="61"/>
      <c r="AB488" s="61"/>
      <c r="AC488" s="61"/>
      <c r="AD488" s="62"/>
      <c r="AE488" s="62"/>
      <c r="AF488" s="34"/>
      <c r="AG488" s="34"/>
      <c r="AH488" s="34"/>
      <c r="AI488" s="34"/>
      <c r="AJ488" s="34"/>
      <c r="AK488" s="34"/>
      <c r="AL488" s="34"/>
      <c r="AM488" s="34"/>
      <c r="AN488" s="34"/>
      <c r="AO488" s="34"/>
      <c r="AP488" s="34"/>
      <c r="AQ488" s="34"/>
      <c r="AR488" s="34"/>
      <c r="AS488" s="34"/>
      <c r="AT488" s="34"/>
      <c r="AU488" s="34"/>
      <c r="AV488" s="34"/>
      <c r="AW488" s="34"/>
      <c r="AX488" s="34"/>
      <c r="AY488" s="34"/>
      <c r="AZ488" s="34"/>
      <c r="BA488" s="34"/>
      <c r="BB488" s="34"/>
      <c r="BD488" s="34"/>
      <c r="BE488" s="34"/>
      <c r="BF488" s="34"/>
      <c r="BG488" s="34"/>
      <c r="BH488" s="34"/>
      <c r="BI488" s="34"/>
      <c r="BJ488" s="34"/>
      <c r="BK488" s="34"/>
      <c r="BL488" s="34"/>
      <c r="BM488" s="34"/>
      <c r="BN488" s="34"/>
      <c r="BO488" s="34"/>
      <c r="BP488" s="34"/>
      <c r="BQ488" s="34"/>
      <c r="BR488" s="34"/>
      <c r="BS488" s="34"/>
      <c r="BT488" s="34"/>
      <c r="BU488" s="34"/>
      <c r="BV488" s="34"/>
      <c r="BW488" s="34"/>
      <c r="BX488" s="34"/>
      <c r="BY488" s="34"/>
    </row>
    <row r="489" spans="1:77" x14ac:dyDescent="0.3">
      <c r="A489" s="39"/>
      <c r="B489" s="42"/>
      <c r="C489" s="42"/>
      <c r="D489" s="75"/>
      <c r="E489" s="75"/>
      <c r="F489" s="76"/>
      <c r="G489" s="47"/>
      <c r="H489" s="47"/>
      <c r="I489" s="75"/>
      <c r="J489" s="76"/>
      <c r="K489" s="76"/>
      <c r="L489" s="75"/>
      <c r="M489" s="49"/>
      <c r="N489" s="76"/>
      <c r="O489" s="49"/>
      <c r="P489" s="77"/>
      <c r="Q489" s="53"/>
      <c r="R489" s="54"/>
      <c r="S489" s="55"/>
      <c r="T489" s="56"/>
      <c r="U489" s="56"/>
      <c r="V489" s="42"/>
      <c r="W489" s="57"/>
      <c r="X489" s="58"/>
      <c r="Y489" s="75"/>
      <c r="Z489" s="59"/>
      <c r="AA489" s="61"/>
      <c r="AB489" s="61"/>
      <c r="AC489" s="61"/>
      <c r="AD489" s="62"/>
      <c r="AE489" s="62"/>
      <c r="AF489" s="34"/>
      <c r="AG489" s="34"/>
      <c r="AH489" s="34"/>
      <c r="AI489" s="34"/>
      <c r="AJ489" s="34"/>
      <c r="AK489" s="34"/>
      <c r="AL489" s="34"/>
      <c r="AM489" s="34"/>
      <c r="AN489" s="34"/>
      <c r="AO489" s="34"/>
      <c r="AP489" s="34"/>
      <c r="AQ489" s="34"/>
      <c r="AR489" s="34"/>
      <c r="AS489" s="34"/>
      <c r="AT489" s="34"/>
      <c r="AU489" s="34"/>
      <c r="AV489" s="34"/>
      <c r="AW489" s="34"/>
      <c r="AX489" s="34"/>
      <c r="AY489" s="34"/>
      <c r="AZ489" s="34"/>
      <c r="BA489" s="34"/>
      <c r="BB489" s="34"/>
      <c r="BD489" s="34"/>
      <c r="BE489" s="34"/>
      <c r="BF489" s="34"/>
      <c r="BG489" s="34"/>
      <c r="BH489" s="34"/>
      <c r="BI489" s="34"/>
      <c r="BJ489" s="34"/>
      <c r="BK489" s="34"/>
      <c r="BL489" s="34"/>
      <c r="BM489" s="34"/>
      <c r="BN489" s="34"/>
      <c r="BO489" s="34"/>
      <c r="BP489" s="34"/>
      <c r="BQ489" s="34"/>
      <c r="BR489" s="34"/>
      <c r="BS489" s="34"/>
      <c r="BT489" s="34"/>
      <c r="BU489" s="34"/>
      <c r="BV489" s="34"/>
      <c r="BW489" s="34"/>
      <c r="BX489" s="34"/>
      <c r="BY489" s="34"/>
    </row>
    <row r="490" spans="1:77" x14ac:dyDescent="0.3">
      <c r="A490" s="39"/>
      <c r="B490" s="42"/>
      <c r="C490" s="42"/>
      <c r="D490" s="75"/>
      <c r="E490" s="75"/>
      <c r="F490" s="76"/>
      <c r="G490" s="47"/>
      <c r="H490" s="47"/>
      <c r="I490" s="75"/>
      <c r="J490" s="76"/>
      <c r="K490" s="76"/>
      <c r="L490" s="75"/>
      <c r="M490" s="49"/>
      <c r="N490" s="76"/>
      <c r="O490" s="49"/>
      <c r="P490" s="77"/>
      <c r="Q490" s="53"/>
      <c r="R490" s="54"/>
      <c r="S490" s="55"/>
      <c r="T490" s="56"/>
      <c r="U490" s="56"/>
      <c r="V490" s="42"/>
      <c r="W490" s="57"/>
      <c r="X490" s="58"/>
      <c r="Y490" s="75"/>
      <c r="Z490" s="59"/>
      <c r="AA490" s="61"/>
      <c r="AB490" s="61"/>
      <c r="AC490" s="61"/>
      <c r="AD490" s="62"/>
      <c r="AE490" s="62"/>
      <c r="AF490" s="34"/>
      <c r="AG490" s="34"/>
      <c r="AH490" s="34"/>
      <c r="AI490" s="34"/>
      <c r="AJ490" s="34"/>
      <c r="AK490" s="34"/>
      <c r="AL490" s="34"/>
      <c r="AM490" s="34"/>
      <c r="AN490" s="34"/>
      <c r="AO490" s="34"/>
      <c r="AP490" s="34"/>
      <c r="AQ490" s="34"/>
      <c r="AR490" s="34"/>
      <c r="AS490" s="34"/>
      <c r="AT490" s="34"/>
      <c r="AU490" s="34"/>
      <c r="AV490" s="34"/>
      <c r="AW490" s="34"/>
      <c r="AX490" s="34"/>
      <c r="AY490" s="34"/>
      <c r="AZ490" s="34"/>
      <c r="BA490" s="34"/>
      <c r="BB490" s="34"/>
      <c r="BD490" s="34"/>
      <c r="BE490" s="34"/>
      <c r="BF490" s="34"/>
      <c r="BG490" s="34"/>
      <c r="BH490" s="34"/>
      <c r="BI490" s="34"/>
      <c r="BJ490" s="34"/>
      <c r="BK490" s="34"/>
      <c r="BL490" s="34"/>
      <c r="BM490" s="34"/>
      <c r="BN490" s="34"/>
      <c r="BO490" s="34"/>
      <c r="BP490" s="34"/>
      <c r="BQ490" s="34"/>
      <c r="BR490" s="34"/>
      <c r="BS490" s="34"/>
      <c r="BT490" s="34"/>
      <c r="BU490" s="34"/>
      <c r="BV490" s="34"/>
      <c r="BW490" s="34"/>
      <c r="BX490" s="34"/>
      <c r="BY490" s="34"/>
    </row>
    <row r="491" spans="1:77" x14ac:dyDescent="0.3">
      <c r="A491" s="39"/>
      <c r="B491" s="42"/>
      <c r="C491" s="42"/>
      <c r="D491" s="75"/>
      <c r="E491" s="75"/>
      <c r="F491" s="76"/>
      <c r="G491" s="47"/>
      <c r="H491" s="47"/>
      <c r="I491" s="75"/>
      <c r="J491" s="76"/>
      <c r="K491" s="76"/>
      <c r="L491" s="75"/>
      <c r="M491" s="49"/>
      <c r="N491" s="76"/>
      <c r="O491" s="49"/>
      <c r="P491" s="77"/>
      <c r="Q491" s="53"/>
      <c r="R491" s="54"/>
      <c r="S491" s="55"/>
      <c r="T491" s="56"/>
      <c r="U491" s="56"/>
      <c r="V491" s="42"/>
      <c r="W491" s="57"/>
      <c r="X491" s="58"/>
      <c r="Y491" s="75"/>
      <c r="Z491" s="59"/>
      <c r="AA491" s="61"/>
      <c r="AB491" s="61"/>
      <c r="AC491" s="61"/>
      <c r="AD491" s="62"/>
      <c r="AE491" s="62"/>
      <c r="AF491" s="34"/>
      <c r="AG491" s="34"/>
      <c r="AH491" s="34"/>
      <c r="AI491" s="34"/>
      <c r="AJ491" s="34"/>
      <c r="AK491" s="34"/>
      <c r="AL491" s="34"/>
      <c r="AM491" s="34"/>
      <c r="AN491" s="34"/>
      <c r="AO491" s="34"/>
      <c r="AP491" s="34"/>
      <c r="AQ491" s="34"/>
      <c r="AR491" s="34"/>
      <c r="AS491" s="34"/>
      <c r="AT491" s="34"/>
      <c r="AU491" s="34"/>
      <c r="AV491" s="34"/>
      <c r="AW491" s="34"/>
      <c r="AX491" s="34"/>
      <c r="AY491" s="34"/>
      <c r="AZ491" s="34"/>
      <c r="BA491" s="34"/>
      <c r="BB491" s="34"/>
      <c r="BD491" s="34"/>
      <c r="BE491" s="34"/>
      <c r="BF491" s="34"/>
      <c r="BG491" s="34"/>
      <c r="BH491" s="34"/>
      <c r="BI491" s="34"/>
      <c r="BJ491" s="34"/>
      <c r="BK491" s="34"/>
      <c r="BL491" s="34"/>
      <c r="BM491" s="34"/>
      <c r="BN491" s="34"/>
      <c r="BO491" s="34"/>
      <c r="BP491" s="34"/>
      <c r="BQ491" s="34"/>
      <c r="BR491" s="34"/>
      <c r="BS491" s="34"/>
      <c r="BT491" s="34"/>
      <c r="BU491" s="34"/>
      <c r="BV491" s="34"/>
      <c r="BW491" s="34"/>
      <c r="BX491" s="34"/>
      <c r="BY491" s="34"/>
    </row>
    <row r="492" spans="1:77" x14ac:dyDescent="0.3">
      <c r="A492" s="39"/>
      <c r="B492" s="42"/>
      <c r="C492" s="42"/>
      <c r="D492" s="75"/>
      <c r="E492" s="75"/>
      <c r="F492" s="76"/>
      <c r="G492" s="47"/>
      <c r="H492" s="47"/>
      <c r="I492" s="75"/>
      <c r="J492" s="76"/>
      <c r="K492" s="76"/>
      <c r="L492" s="75"/>
      <c r="M492" s="49"/>
      <c r="N492" s="76"/>
      <c r="O492" s="49"/>
      <c r="P492" s="77"/>
      <c r="Q492" s="53"/>
      <c r="R492" s="54"/>
      <c r="S492" s="55"/>
      <c r="T492" s="56"/>
      <c r="U492" s="56"/>
      <c r="V492" s="42"/>
      <c r="W492" s="57"/>
      <c r="X492" s="58"/>
      <c r="Y492" s="75"/>
      <c r="Z492" s="59"/>
      <c r="AA492" s="61"/>
      <c r="AB492" s="61"/>
      <c r="AC492" s="61"/>
      <c r="AD492" s="62"/>
      <c r="AE492" s="62"/>
      <c r="AF492" s="34"/>
      <c r="AG492" s="34"/>
      <c r="AH492" s="34"/>
      <c r="AI492" s="34"/>
      <c r="AJ492" s="34"/>
      <c r="AK492" s="34"/>
      <c r="AL492" s="34"/>
      <c r="AM492" s="34"/>
      <c r="AN492" s="34"/>
      <c r="AO492" s="34"/>
      <c r="AP492" s="34"/>
      <c r="AQ492" s="34"/>
      <c r="AR492" s="34"/>
      <c r="AS492" s="34"/>
      <c r="AT492" s="34"/>
      <c r="AU492" s="34"/>
      <c r="AV492" s="34"/>
      <c r="AW492" s="34"/>
      <c r="AX492" s="34"/>
      <c r="AY492" s="34"/>
      <c r="AZ492" s="34"/>
      <c r="BA492" s="34"/>
      <c r="BB492" s="34"/>
      <c r="BD492" s="34"/>
      <c r="BE492" s="34"/>
      <c r="BF492" s="34"/>
      <c r="BG492" s="34"/>
      <c r="BH492" s="34"/>
      <c r="BI492" s="34"/>
      <c r="BJ492" s="34"/>
      <c r="BK492" s="34"/>
      <c r="BL492" s="34"/>
      <c r="BM492" s="34"/>
      <c r="BN492" s="34"/>
      <c r="BO492" s="34"/>
      <c r="BP492" s="34"/>
      <c r="BQ492" s="34"/>
      <c r="BR492" s="34"/>
      <c r="BS492" s="34"/>
      <c r="BT492" s="34"/>
      <c r="BU492" s="34"/>
      <c r="BV492" s="34"/>
      <c r="BW492" s="34"/>
      <c r="BX492" s="34"/>
      <c r="BY492" s="34"/>
    </row>
    <row r="493" spans="1:77" x14ac:dyDescent="0.3">
      <c r="A493" s="39"/>
      <c r="B493" s="42"/>
      <c r="C493" s="42"/>
      <c r="D493" s="75"/>
      <c r="E493" s="75"/>
      <c r="F493" s="76"/>
      <c r="G493" s="47"/>
      <c r="H493" s="47"/>
      <c r="I493" s="75"/>
      <c r="J493" s="76"/>
      <c r="K493" s="76"/>
      <c r="L493" s="75"/>
      <c r="M493" s="49"/>
      <c r="N493" s="76"/>
      <c r="O493" s="49"/>
      <c r="P493" s="77"/>
      <c r="Q493" s="53"/>
      <c r="R493" s="54"/>
      <c r="S493" s="55"/>
      <c r="T493" s="56"/>
      <c r="U493" s="56"/>
      <c r="V493" s="42"/>
      <c r="W493" s="57"/>
      <c r="X493" s="58"/>
      <c r="Y493" s="75"/>
      <c r="Z493" s="59"/>
      <c r="AA493" s="61"/>
      <c r="AB493" s="61"/>
      <c r="AC493" s="61"/>
      <c r="AD493" s="62"/>
      <c r="AE493" s="62"/>
      <c r="AF493" s="34"/>
      <c r="AG493" s="34"/>
      <c r="AH493" s="34"/>
      <c r="AI493" s="34"/>
      <c r="AJ493" s="34"/>
      <c r="AK493" s="34"/>
      <c r="AL493" s="34"/>
      <c r="AM493" s="34"/>
      <c r="AN493" s="34"/>
      <c r="AO493" s="34"/>
      <c r="AP493" s="34"/>
      <c r="AQ493" s="34"/>
      <c r="AR493" s="34"/>
      <c r="AS493" s="34"/>
      <c r="AT493" s="34"/>
      <c r="AU493" s="34"/>
      <c r="AV493" s="34"/>
      <c r="AW493" s="34"/>
      <c r="AX493" s="34"/>
      <c r="AY493" s="34"/>
      <c r="AZ493" s="34"/>
      <c r="BA493" s="34"/>
      <c r="BB493" s="34"/>
      <c r="BD493" s="34"/>
      <c r="BE493" s="34"/>
      <c r="BF493" s="34"/>
      <c r="BG493" s="34"/>
      <c r="BH493" s="34"/>
      <c r="BI493" s="34"/>
      <c r="BJ493" s="34"/>
      <c r="BK493" s="34"/>
      <c r="BL493" s="34"/>
      <c r="BM493" s="34"/>
      <c r="BN493" s="34"/>
      <c r="BO493" s="34"/>
      <c r="BP493" s="34"/>
      <c r="BQ493" s="34"/>
      <c r="BR493" s="34"/>
      <c r="BS493" s="34"/>
      <c r="BT493" s="34"/>
      <c r="BU493" s="34"/>
      <c r="BV493" s="34"/>
      <c r="BW493" s="34"/>
      <c r="BX493" s="34"/>
      <c r="BY493" s="34"/>
    </row>
    <row r="494" spans="1:77" x14ac:dyDescent="0.3">
      <c r="A494" s="39"/>
      <c r="B494" s="42"/>
      <c r="C494" s="42"/>
      <c r="D494" s="75"/>
      <c r="E494" s="75"/>
      <c r="F494" s="76"/>
      <c r="G494" s="47"/>
      <c r="H494" s="47"/>
      <c r="I494" s="75"/>
      <c r="J494" s="76"/>
      <c r="K494" s="76"/>
      <c r="L494" s="75"/>
      <c r="M494" s="49"/>
      <c r="N494" s="76"/>
      <c r="O494" s="49"/>
      <c r="P494" s="77"/>
      <c r="Q494" s="53"/>
      <c r="R494" s="54"/>
      <c r="S494" s="55"/>
      <c r="T494" s="56"/>
      <c r="U494" s="56"/>
      <c r="V494" s="42"/>
      <c r="W494" s="57"/>
      <c r="X494" s="58"/>
      <c r="Y494" s="75"/>
      <c r="Z494" s="59"/>
      <c r="AA494" s="61"/>
      <c r="AB494" s="61"/>
      <c r="AC494" s="61"/>
      <c r="AD494" s="62"/>
      <c r="AE494" s="62"/>
      <c r="AF494" s="34"/>
      <c r="AG494" s="34"/>
      <c r="AH494" s="34"/>
      <c r="AI494" s="34"/>
      <c r="AJ494" s="34"/>
      <c r="AK494" s="34"/>
      <c r="AL494" s="34"/>
      <c r="AM494" s="34"/>
      <c r="AN494" s="34"/>
      <c r="AO494" s="34"/>
      <c r="AP494" s="34"/>
      <c r="AQ494" s="34"/>
      <c r="AR494" s="34"/>
      <c r="AS494" s="34"/>
      <c r="AT494" s="34"/>
      <c r="AU494" s="34"/>
      <c r="AV494" s="34"/>
      <c r="AW494" s="34"/>
      <c r="AX494" s="34"/>
      <c r="AY494" s="34"/>
      <c r="AZ494" s="34"/>
      <c r="BA494" s="34"/>
      <c r="BB494" s="34"/>
      <c r="BD494" s="34"/>
      <c r="BE494" s="34"/>
      <c r="BF494" s="34"/>
      <c r="BG494" s="34"/>
      <c r="BH494" s="34"/>
      <c r="BI494" s="34"/>
      <c r="BJ494" s="34"/>
      <c r="BK494" s="34"/>
      <c r="BL494" s="34"/>
      <c r="BM494" s="34"/>
      <c r="BN494" s="34"/>
      <c r="BO494" s="34"/>
      <c r="BP494" s="34"/>
      <c r="BQ494" s="34"/>
      <c r="BR494" s="34"/>
      <c r="BS494" s="34"/>
      <c r="BT494" s="34"/>
      <c r="BU494" s="34"/>
      <c r="BV494" s="34"/>
      <c r="BW494" s="34"/>
      <c r="BX494" s="34"/>
      <c r="BY494" s="34"/>
    </row>
    <row r="495" spans="1:77" x14ac:dyDescent="0.3">
      <c r="A495" s="39"/>
      <c r="B495" s="42"/>
      <c r="C495" s="42"/>
      <c r="D495" s="75"/>
      <c r="E495" s="75"/>
      <c r="F495" s="76"/>
      <c r="G495" s="47"/>
      <c r="H495" s="47"/>
      <c r="I495" s="75"/>
      <c r="J495" s="76"/>
      <c r="K495" s="76"/>
      <c r="L495" s="75"/>
      <c r="M495" s="49"/>
      <c r="N495" s="76"/>
      <c r="O495" s="49"/>
      <c r="P495" s="77"/>
      <c r="Q495" s="53"/>
      <c r="R495" s="54"/>
      <c r="S495" s="55"/>
      <c r="T495" s="56"/>
      <c r="U495" s="56"/>
      <c r="V495" s="42"/>
      <c r="W495" s="57"/>
      <c r="X495" s="58"/>
      <c r="Y495" s="75"/>
      <c r="Z495" s="59"/>
      <c r="AA495" s="61"/>
      <c r="AB495" s="61"/>
      <c r="AC495" s="61"/>
      <c r="AD495" s="62"/>
      <c r="AE495" s="62"/>
      <c r="AF495" s="34"/>
      <c r="AG495" s="34"/>
      <c r="AH495" s="34"/>
      <c r="AI495" s="34"/>
      <c r="AJ495" s="34"/>
      <c r="AK495" s="34"/>
      <c r="AL495" s="34"/>
      <c r="AM495" s="34"/>
      <c r="AN495" s="34"/>
      <c r="AO495" s="34"/>
      <c r="AP495" s="34"/>
      <c r="AQ495" s="34"/>
      <c r="AR495" s="34"/>
      <c r="AS495" s="34"/>
      <c r="AT495" s="34"/>
      <c r="AU495" s="34"/>
      <c r="AV495" s="34"/>
      <c r="AW495" s="34"/>
      <c r="AX495" s="34"/>
      <c r="AY495" s="34"/>
      <c r="AZ495" s="34"/>
      <c r="BA495" s="34"/>
      <c r="BB495" s="34"/>
      <c r="BD495" s="34"/>
      <c r="BE495" s="34"/>
      <c r="BF495" s="34"/>
      <c r="BG495" s="34"/>
      <c r="BH495" s="34"/>
      <c r="BI495" s="34"/>
      <c r="BJ495" s="34"/>
      <c r="BK495" s="34"/>
      <c r="BL495" s="34"/>
      <c r="BM495" s="34"/>
      <c r="BN495" s="34"/>
      <c r="BO495" s="34"/>
      <c r="BP495" s="34"/>
      <c r="BQ495" s="34"/>
      <c r="BR495" s="34"/>
      <c r="BS495" s="34"/>
      <c r="BT495" s="34"/>
      <c r="BU495" s="34"/>
      <c r="BV495" s="34"/>
      <c r="BW495" s="34"/>
      <c r="BX495" s="34"/>
      <c r="BY495" s="34"/>
    </row>
    <row r="496" spans="1:77" x14ac:dyDescent="0.3">
      <c r="A496" s="39"/>
      <c r="B496" s="42"/>
      <c r="C496" s="42"/>
      <c r="D496" s="75"/>
      <c r="E496" s="75"/>
      <c r="F496" s="76"/>
      <c r="G496" s="47"/>
      <c r="H496" s="47"/>
      <c r="I496" s="75"/>
      <c r="J496" s="76"/>
      <c r="K496" s="76"/>
      <c r="L496" s="75"/>
      <c r="M496" s="49"/>
      <c r="N496" s="76"/>
      <c r="O496" s="49"/>
      <c r="P496" s="77"/>
      <c r="Q496" s="53"/>
      <c r="R496" s="54"/>
      <c r="S496" s="55"/>
      <c r="T496" s="56"/>
      <c r="U496" s="56"/>
      <c r="V496" s="42"/>
      <c r="W496" s="57"/>
      <c r="X496" s="58"/>
      <c r="Y496" s="75"/>
      <c r="Z496" s="59"/>
      <c r="AA496" s="61"/>
      <c r="AB496" s="61"/>
      <c r="AC496" s="61"/>
      <c r="AD496" s="62"/>
      <c r="AE496" s="62"/>
      <c r="AF496" s="34"/>
      <c r="AG496" s="34"/>
      <c r="AH496" s="34"/>
      <c r="AI496" s="34"/>
      <c r="AJ496" s="34"/>
      <c r="AK496" s="34"/>
      <c r="AL496" s="34"/>
      <c r="AM496" s="34"/>
      <c r="AN496" s="34"/>
      <c r="AO496" s="34"/>
      <c r="AP496" s="34"/>
      <c r="AQ496" s="34"/>
      <c r="AR496" s="34"/>
      <c r="AS496" s="34"/>
      <c r="AT496" s="34"/>
      <c r="AU496" s="34"/>
      <c r="AV496" s="34"/>
      <c r="AW496" s="34"/>
      <c r="AX496" s="34"/>
      <c r="AY496" s="34"/>
      <c r="AZ496" s="34"/>
      <c r="BA496" s="34"/>
      <c r="BB496" s="34"/>
      <c r="BD496" s="34"/>
      <c r="BE496" s="34"/>
      <c r="BF496" s="34"/>
      <c r="BG496" s="34"/>
      <c r="BH496" s="34"/>
      <c r="BI496" s="34"/>
      <c r="BJ496" s="34"/>
      <c r="BK496" s="34"/>
      <c r="BL496" s="34"/>
      <c r="BM496" s="34"/>
      <c r="BN496" s="34"/>
      <c r="BO496" s="34"/>
      <c r="BP496" s="34"/>
      <c r="BQ496" s="34"/>
      <c r="BR496" s="34"/>
      <c r="BS496" s="34"/>
      <c r="BT496" s="34"/>
      <c r="BU496" s="34"/>
      <c r="BV496" s="34"/>
      <c r="BW496" s="34"/>
      <c r="BX496" s="34"/>
      <c r="BY496" s="34"/>
    </row>
    <row r="497" spans="1:77" x14ac:dyDescent="0.3">
      <c r="A497" s="39"/>
      <c r="B497" s="42"/>
      <c r="C497" s="42"/>
      <c r="D497" s="75"/>
      <c r="E497" s="75"/>
      <c r="F497" s="76"/>
      <c r="G497" s="47"/>
      <c r="H497" s="47"/>
      <c r="I497" s="75"/>
      <c r="J497" s="76"/>
      <c r="K497" s="76"/>
      <c r="L497" s="75"/>
      <c r="M497" s="49"/>
      <c r="N497" s="76"/>
      <c r="O497" s="49"/>
      <c r="P497" s="77"/>
      <c r="Q497" s="53"/>
      <c r="R497" s="54"/>
      <c r="S497" s="55"/>
      <c r="T497" s="56"/>
      <c r="U497" s="56"/>
      <c r="V497" s="42"/>
      <c r="W497" s="57"/>
      <c r="X497" s="58"/>
      <c r="Y497" s="75"/>
      <c r="Z497" s="59"/>
      <c r="AA497" s="61"/>
      <c r="AB497" s="61"/>
      <c r="AC497" s="61"/>
      <c r="AD497" s="62"/>
      <c r="AE497" s="62"/>
      <c r="AF497" s="34"/>
      <c r="AG497" s="34"/>
      <c r="AH497" s="34"/>
      <c r="AI497" s="34"/>
      <c r="AJ497" s="34"/>
      <c r="AK497" s="34"/>
      <c r="AL497" s="34"/>
      <c r="AM497" s="34"/>
      <c r="AN497" s="34"/>
      <c r="AO497" s="34"/>
      <c r="AP497" s="34"/>
      <c r="AQ497" s="34"/>
      <c r="AR497" s="34"/>
      <c r="AS497" s="34"/>
      <c r="AT497" s="34"/>
      <c r="AU497" s="34"/>
      <c r="AV497" s="34"/>
      <c r="AW497" s="34"/>
      <c r="AX497" s="34"/>
      <c r="AY497" s="34"/>
      <c r="AZ497" s="34"/>
      <c r="BA497" s="34"/>
      <c r="BB497" s="34"/>
      <c r="BD497" s="34"/>
      <c r="BE497" s="34"/>
      <c r="BF497" s="34"/>
      <c r="BG497" s="34"/>
      <c r="BH497" s="34"/>
      <c r="BI497" s="34"/>
      <c r="BJ497" s="34"/>
      <c r="BK497" s="34"/>
      <c r="BL497" s="34"/>
      <c r="BM497" s="34"/>
      <c r="BN497" s="34"/>
      <c r="BO497" s="34"/>
      <c r="BP497" s="34"/>
      <c r="BQ497" s="34"/>
      <c r="BR497" s="34"/>
      <c r="BS497" s="34"/>
      <c r="BT497" s="34"/>
      <c r="BU497" s="34"/>
      <c r="BV497" s="34"/>
      <c r="BW497" s="34"/>
      <c r="BX497" s="34"/>
      <c r="BY497" s="34"/>
    </row>
    <row r="498" spans="1:77" x14ac:dyDescent="0.3">
      <c r="A498" s="39"/>
      <c r="B498" s="42"/>
      <c r="C498" s="42"/>
      <c r="D498" s="75"/>
      <c r="E498" s="75"/>
      <c r="F498" s="76"/>
      <c r="G498" s="47"/>
      <c r="H498" s="47"/>
      <c r="I498" s="75"/>
      <c r="J498" s="76"/>
      <c r="K498" s="76"/>
      <c r="L498" s="75"/>
      <c r="M498" s="49"/>
      <c r="N498" s="76"/>
      <c r="O498" s="49"/>
      <c r="P498" s="77"/>
      <c r="Q498" s="53"/>
      <c r="R498" s="54"/>
      <c r="S498" s="55"/>
      <c r="T498" s="56"/>
      <c r="U498" s="56"/>
      <c r="V498" s="42"/>
      <c r="W498" s="57"/>
      <c r="X498" s="58"/>
      <c r="Y498" s="75"/>
      <c r="Z498" s="59"/>
      <c r="AA498" s="61"/>
      <c r="AB498" s="61"/>
      <c r="AC498" s="61"/>
      <c r="AD498" s="62"/>
      <c r="AE498" s="62"/>
      <c r="AF498" s="34"/>
      <c r="AG498" s="34"/>
      <c r="AH498" s="34"/>
      <c r="AI498" s="34"/>
      <c r="AJ498" s="34"/>
      <c r="AK498" s="34"/>
      <c r="AL498" s="34"/>
      <c r="AM498" s="34"/>
      <c r="AN498" s="34"/>
      <c r="AO498" s="34"/>
      <c r="AP498" s="34"/>
      <c r="AQ498" s="34"/>
      <c r="AR498" s="34"/>
      <c r="AS498" s="34"/>
      <c r="AT498" s="34"/>
      <c r="AU498" s="34"/>
      <c r="AV498" s="34"/>
      <c r="AW498" s="34"/>
      <c r="AX498" s="34"/>
      <c r="AY498" s="34"/>
      <c r="AZ498" s="34"/>
      <c r="BA498" s="34"/>
      <c r="BB498" s="34"/>
      <c r="BD498" s="34"/>
      <c r="BE498" s="34"/>
      <c r="BF498" s="34"/>
      <c r="BG498" s="34"/>
      <c r="BH498" s="34"/>
      <c r="BI498" s="34"/>
      <c r="BJ498" s="34"/>
      <c r="BK498" s="34"/>
      <c r="BL498" s="34"/>
      <c r="BM498" s="34"/>
      <c r="BN498" s="34"/>
      <c r="BO498" s="34"/>
      <c r="BP498" s="34"/>
      <c r="BQ498" s="34"/>
      <c r="BR498" s="34"/>
      <c r="BS498" s="34"/>
      <c r="BT498" s="34"/>
      <c r="BU498" s="34"/>
      <c r="BV498" s="34"/>
      <c r="BW498" s="34"/>
      <c r="BX498" s="34"/>
      <c r="BY498" s="34"/>
    </row>
    <row r="499" spans="1:77" x14ac:dyDescent="0.3">
      <c r="A499" s="39"/>
      <c r="B499" s="42"/>
      <c r="C499" s="42"/>
      <c r="D499" s="75"/>
      <c r="E499" s="75"/>
      <c r="F499" s="76"/>
      <c r="G499" s="47"/>
      <c r="H499" s="47"/>
      <c r="I499" s="75"/>
      <c r="J499" s="76"/>
      <c r="K499" s="76"/>
      <c r="L499" s="75"/>
      <c r="M499" s="49"/>
      <c r="N499" s="76"/>
      <c r="O499" s="49"/>
      <c r="P499" s="77"/>
      <c r="Q499" s="53"/>
      <c r="R499" s="54"/>
      <c r="S499" s="55"/>
      <c r="T499" s="56"/>
      <c r="U499" s="56"/>
      <c r="V499" s="42"/>
      <c r="W499" s="57"/>
      <c r="X499" s="58"/>
      <c r="Y499" s="75"/>
      <c r="Z499" s="59"/>
      <c r="AA499" s="61"/>
      <c r="AB499" s="61"/>
      <c r="AC499" s="61"/>
      <c r="AD499" s="62"/>
      <c r="AE499" s="62"/>
      <c r="AF499" s="34"/>
      <c r="AG499" s="34"/>
      <c r="AH499" s="34"/>
      <c r="AI499" s="34"/>
      <c r="AJ499" s="34"/>
      <c r="AK499" s="34"/>
      <c r="AL499" s="34"/>
      <c r="AM499" s="34"/>
      <c r="AN499" s="34"/>
      <c r="AO499" s="34"/>
      <c r="AP499" s="34"/>
      <c r="AQ499" s="34"/>
      <c r="AR499" s="34"/>
      <c r="AS499" s="34"/>
      <c r="AT499" s="34"/>
      <c r="AU499" s="34"/>
      <c r="AV499" s="34"/>
      <c r="AW499" s="34"/>
      <c r="AX499" s="34"/>
      <c r="AY499" s="34"/>
      <c r="AZ499" s="34"/>
      <c r="BA499" s="34"/>
      <c r="BB499" s="34"/>
      <c r="BD499" s="34"/>
      <c r="BE499" s="34"/>
      <c r="BF499" s="34"/>
      <c r="BG499" s="34"/>
      <c r="BH499" s="34"/>
      <c r="BI499" s="34"/>
      <c r="BJ499" s="34"/>
      <c r="BK499" s="34"/>
      <c r="BL499" s="34"/>
      <c r="BM499" s="34"/>
      <c r="BN499" s="34"/>
      <c r="BO499" s="34"/>
      <c r="BP499" s="34"/>
      <c r="BQ499" s="34"/>
      <c r="BR499" s="34"/>
      <c r="BS499" s="34"/>
      <c r="BT499" s="34"/>
      <c r="BU499" s="34"/>
      <c r="BV499" s="34"/>
      <c r="BW499" s="34"/>
      <c r="BX499" s="34"/>
      <c r="BY499" s="34"/>
    </row>
    <row r="500" spans="1:77" x14ac:dyDescent="0.3">
      <c r="A500" s="39"/>
      <c r="B500" s="42"/>
      <c r="C500" s="42"/>
      <c r="D500" s="75"/>
      <c r="E500" s="75"/>
      <c r="F500" s="76"/>
      <c r="G500" s="47"/>
      <c r="H500" s="47"/>
      <c r="I500" s="75"/>
      <c r="J500" s="76"/>
      <c r="K500" s="76"/>
      <c r="L500" s="75"/>
      <c r="M500" s="49"/>
      <c r="N500" s="76"/>
      <c r="O500" s="49"/>
      <c r="P500" s="77"/>
      <c r="Q500" s="53"/>
      <c r="R500" s="54"/>
      <c r="S500" s="55"/>
      <c r="T500" s="56"/>
      <c r="U500" s="56"/>
      <c r="V500" s="42"/>
      <c r="W500" s="57"/>
      <c r="X500" s="58"/>
      <c r="Y500" s="75"/>
      <c r="Z500" s="59"/>
      <c r="AA500" s="61"/>
      <c r="AB500" s="61"/>
      <c r="AC500" s="61"/>
      <c r="AD500" s="62"/>
      <c r="AE500" s="62"/>
      <c r="AF500" s="34"/>
      <c r="AG500" s="34"/>
      <c r="AH500" s="34"/>
      <c r="AI500" s="34"/>
      <c r="AJ500" s="34"/>
      <c r="AK500" s="34"/>
      <c r="AL500" s="34"/>
      <c r="AM500" s="34"/>
      <c r="AN500" s="34"/>
      <c r="AO500" s="34"/>
      <c r="AP500" s="34"/>
      <c r="AQ500" s="34"/>
      <c r="AR500" s="34"/>
      <c r="AS500" s="34"/>
      <c r="AT500" s="34"/>
      <c r="AU500" s="34"/>
      <c r="AV500" s="34"/>
      <c r="AW500" s="34"/>
      <c r="AX500" s="34"/>
      <c r="AY500" s="34"/>
      <c r="AZ500" s="34"/>
      <c r="BA500" s="34"/>
      <c r="BB500" s="34"/>
      <c r="BD500" s="34"/>
      <c r="BE500" s="34"/>
      <c r="BF500" s="34"/>
      <c r="BG500" s="34"/>
      <c r="BH500" s="34"/>
      <c r="BI500" s="34"/>
      <c r="BJ500" s="34"/>
      <c r="BK500" s="34"/>
      <c r="BL500" s="34"/>
      <c r="BM500" s="34"/>
      <c r="BN500" s="34"/>
      <c r="BO500" s="34"/>
      <c r="BP500" s="34"/>
      <c r="BQ500" s="34"/>
      <c r="BR500" s="34"/>
      <c r="BS500" s="34"/>
      <c r="BT500" s="34"/>
      <c r="BU500" s="34"/>
      <c r="BV500" s="34"/>
      <c r="BW500" s="34"/>
      <c r="BX500" s="34"/>
      <c r="BY500" s="34"/>
    </row>
    <row r="501" spans="1:77" x14ac:dyDescent="0.3">
      <c r="A501" s="39"/>
      <c r="B501" s="42"/>
      <c r="C501" s="42"/>
      <c r="D501" s="75"/>
      <c r="E501" s="75"/>
      <c r="F501" s="76"/>
      <c r="G501" s="47"/>
      <c r="H501" s="47"/>
      <c r="I501" s="75"/>
      <c r="J501" s="76"/>
      <c r="K501" s="76"/>
      <c r="L501" s="75"/>
      <c r="M501" s="49"/>
      <c r="N501" s="76"/>
      <c r="O501" s="49"/>
      <c r="P501" s="77"/>
      <c r="Q501" s="53"/>
      <c r="R501" s="54"/>
      <c r="S501" s="55"/>
      <c r="T501" s="56"/>
      <c r="U501" s="56"/>
      <c r="V501" s="42"/>
      <c r="W501" s="57"/>
      <c r="X501" s="58"/>
      <c r="Y501" s="75"/>
      <c r="Z501" s="59"/>
      <c r="AA501" s="61"/>
      <c r="AB501" s="61"/>
      <c r="AC501" s="61"/>
      <c r="AD501" s="62"/>
      <c r="AE501" s="62"/>
      <c r="AF501" s="34"/>
      <c r="AG501" s="34"/>
      <c r="AH501" s="34"/>
      <c r="AI501" s="34"/>
      <c r="AJ501" s="34"/>
      <c r="AK501" s="34"/>
      <c r="AL501" s="34"/>
      <c r="AM501" s="34"/>
      <c r="AN501" s="34"/>
      <c r="AO501" s="34"/>
      <c r="AP501" s="34"/>
      <c r="AQ501" s="34"/>
      <c r="AR501" s="34"/>
      <c r="AS501" s="34"/>
      <c r="AT501" s="34"/>
      <c r="AU501" s="34"/>
      <c r="AV501" s="34"/>
      <c r="AW501" s="34"/>
      <c r="AX501" s="34"/>
      <c r="AY501" s="34"/>
      <c r="AZ501" s="34"/>
      <c r="BA501" s="34"/>
      <c r="BB501" s="34"/>
      <c r="BD501" s="34"/>
      <c r="BE501" s="34"/>
      <c r="BF501" s="34"/>
      <c r="BG501" s="34"/>
      <c r="BH501" s="34"/>
      <c r="BI501" s="34"/>
      <c r="BJ501" s="34"/>
      <c r="BK501" s="34"/>
      <c r="BL501" s="34"/>
      <c r="BM501" s="34"/>
      <c r="BN501" s="34"/>
      <c r="BO501" s="34"/>
      <c r="BP501" s="34"/>
      <c r="BQ501" s="34"/>
      <c r="BR501" s="34"/>
      <c r="BS501" s="34"/>
      <c r="BT501" s="34"/>
      <c r="BU501" s="34"/>
      <c r="BV501" s="34"/>
      <c r="BW501" s="34"/>
      <c r="BX501" s="34"/>
      <c r="BY501" s="34"/>
    </row>
    <row r="502" spans="1:77" x14ac:dyDescent="0.3">
      <c r="A502" s="39"/>
      <c r="B502" s="42"/>
      <c r="C502" s="42"/>
      <c r="D502" s="75"/>
      <c r="E502" s="75"/>
      <c r="F502" s="76"/>
      <c r="G502" s="47"/>
      <c r="H502" s="47"/>
      <c r="I502" s="75"/>
      <c r="J502" s="76"/>
      <c r="K502" s="76"/>
      <c r="L502" s="75"/>
      <c r="M502" s="49"/>
      <c r="N502" s="76"/>
      <c r="O502" s="49"/>
      <c r="P502" s="77"/>
      <c r="Q502" s="53"/>
      <c r="R502" s="54"/>
      <c r="S502" s="55"/>
      <c r="T502" s="56"/>
      <c r="U502" s="56"/>
      <c r="V502" s="42"/>
      <c r="W502" s="57"/>
      <c r="X502" s="58"/>
      <c r="Y502" s="75"/>
      <c r="Z502" s="59"/>
      <c r="AA502" s="61"/>
      <c r="AB502" s="61"/>
      <c r="AC502" s="61"/>
      <c r="AD502" s="62"/>
      <c r="AE502" s="62"/>
      <c r="AF502" s="34"/>
      <c r="AG502" s="34"/>
      <c r="AH502" s="34"/>
      <c r="AI502" s="34"/>
      <c r="AJ502" s="34"/>
      <c r="AK502" s="34"/>
      <c r="AL502" s="34"/>
      <c r="AM502" s="34"/>
      <c r="AN502" s="34"/>
      <c r="AO502" s="34"/>
      <c r="AP502" s="34"/>
      <c r="AQ502" s="34"/>
      <c r="AR502" s="34"/>
      <c r="AS502" s="34"/>
      <c r="AT502" s="34"/>
      <c r="AU502" s="34"/>
      <c r="AV502" s="34"/>
      <c r="AW502" s="34"/>
      <c r="AX502" s="34"/>
      <c r="AY502" s="34"/>
      <c r="AZ502" s="34"/>
      <c r="BA502" s="34"/>
      <c r="BB502" s="34"/>
      <c r="BD502" s="34"/>
      <c r="BE502" s="34"/>
      <c r="BF502" s="34"/>
      <c r="BG502" s="34"/>
      <c r="BH502" s="34"/>
      <c r="BI502" s="34"/>
      <c r="BJ502" s="34"/>
      <c r="BK502" s="34"/>
      <c r="BL502" s="34"/>
      <c r="BM502" s="34"/>
      <c r="BN502" s="34"/>
      <c r="BO502" s="34"/>
      <c r="BP502" s="34"/>
      <c r="BQ502" s="34"/>
      <c r="BR502" s="34"/>
      <c r="BS502" s="34"/>
      <c r="BT502" s="34"/>
      <c r="BU502" s="34"/>
      <c r="BV502" s="34"/>
      <c r="BW502" s="34"/>
      <c r="BX502" s="34"/>
      <c r="BY502" s="34"/>
    </row>
    <row r="503" spans="1:77" x14ac:dyDescent="0.3">
      <c r="A503" s="39"/>
      <c r="B503" s="42"/>
      <c r="C503" s="42"/>
      <c r="D503" s="75"/>
      <c r="E503" s="75"/>
      <c r="F503" s="76"/>
      <c r="G503" s="47"/>
      <c r="H503" s="47"/>
      <c r="I503" s="75"/>
      <c r="J503" s="76"/>
      <c r="K503" s="76"/>
      <c r="L503" s="75"/>
      <c r="M503" s="49"/>
      <c r="N503" s="76"/>
      <c r="O503" s="49"/>
      <c r="P503" s="77"/>
      <c r="Q503" s="53"/>
      <c r="R503" s="54"/>
      <c r="S503" s="55"/>
      <c r="T503" s="56"/>
      <c r="U503" s="56"/>
      <c r="V503" s="42"/>
      <c r="W503" s="57"/>
      <c r="X503" s="58"/>
      <c r="Y503" s="75"/>
      <c r="Z503" s="59"/>
      <c r="AA503" s="61"/>
      <c r="AB503" s="61"/>
      <c r="AC503" s="61"/>
      <c r="AD503" s="62"/>
      <c r="AE503" s="62"/>
      <c r="AF503" s="34"/>
      <c r="AG503" s="34"/>
      <c r="AH503" s="34"/>
      <c r="AI503" s="34"/>
      <c r="AJ503" s="34"/>
      <c r="AK503" s="34"/>
      <c r="AL503" s="34"/>
      <c r="AM503" s="34"/>
      <c r="AN503" s="34"/>
      <c r="AO503" s="34"/>
      <c r="AP503" s="34"/>
      <c r="AQ503" s="34"/>
      <c r="AR503" s="34"/>
      <c r="AS503" s="34"/>
      <c r="AT503" s="34"/>
      <c r="AU503" s="34"/>
      <c r="AV503" s="34"/>
      <c r="AW503" s="34"/>
      <c r="AX503" s="34"/>
      <c r="AY503" s="34"/>
      <c r="AZ503" s="34"/>
      <c r="BA503" s="34"/>
      <c r="BB503" s="34"/>
      <c r="BD503" s="34"/>
      <c r="BE503" s="34"/>
      <c r="BF503" s="34"/>
      <c r="BG503" s="34"/>
      <c r="BH503" s="34"/>
      <c r="BI503" s="34"/>
      <c r="BJ503" s="34"/>
      <c r="BK503" s="34"/>
      <c r="BL503" s="34"/>
      <c r="BM503" s="34"/>
      <c r="BN503" s="34"/>
      <c r="BO503" s="34"/>
      <c r="BP503" s="34"/>
      <c r="BQ503" s="34"/>
      <c r="BR503" s="34"/>
      <c r="BS503" s="34"/>
      <c r="BT503" s="34"/>
      <c r="BU503" s="34"/>
      <c r="BV503" s="34"/>
      <c r="BW503" s="34"/>
      <c r="BX503" s="34"/>
      <c r="BY503" s="34"/>
    </row>
    <row r="504" spans="1:77" x14ac:dyDescent="0.3">
      <c r="A504" s="39"/>
      <c r="B504" s="42"/>
      <c r="C504" s="42"/>
      <c r="D504" s="75"/>
      <c r="E504" s="75"/>
      <c r="F504" s="76"/>
      <c r="G504" s="47"/>
      <c r="H504" s="47"/>
      <c r="I504" s="75"/>
      <c r="J504" s="76"/>
      <c r="K504" s="76"/>
      <c r="L504" s="75"/>
      <c r="M504" s="49"/>
      <c r="N504" s="76"/>
      <c r="O504" s="49"/>
      <c r="P504" s="77"/>
      <c r="Q504" s="53"/>
      <c r="R504" s="54"/>
      <c r="S504" s="55"/>
      <c r="T504" s="56"/>
      <c r="U504" s="56"/>
      <c r="V504" s="42"/>
      <c r="W504" s="57"/>
      <c r="X504" s="58"/>
      <c r="Y504" s="75"/>
      <c r="Z504" s="59"/>
      <c r="AA504" s="61"/>
      <c r="AB504" s="61"/>
      <c r="AC504" s="61"/>
      <c r="AD504" s="62"/>
      <c r="AE504" s="62"/>
      <c r="AF504" s="34"/>
      <c r="AG504" s="34"/>
      <c r="AH504" s="34"/>
      <c r="AI504" s="34"/>
      <c r="AJ504" s="34"/>
      <c r="AK504" s="34"/>
      <c r="AL504" s="34"/>
      <c r="AM504" s="34"/>
      <c r="AN504" s="34"/>
      <c r="AO504" s="34"/>
      <c r="AP504" s="34"/>
      <c r="AQ504" s="34"/>
      <c r="AR504" s="34"/>
      <c r="AS504" s="34"/>
      <c r="AT504" s="34"/>
      <c r="AU504" s="34"/>
      <c r="AV504" s="34"/>
      <c r="AW504" s="34"/>
      <c r="AX504" s="34"/>
      <c r="AY504" s="34"/>
      <c r="AZ504" s="34"/>
      <c r="BA504" s="34"/>
      <c r="BB504" s="34"/>
      <c r="BD504" s="34"/>
      <c r="BE504" s="34"/>
      <c r="BF504" s="34"/>
      <c r="BG504" s="34"/>
      <c r="BH504" s="34"/>
      <c r="BI504" s="34"/>
      <c r="BJ504" s="34"/>
      <c r="BK504" s="34"/>
      <c r="BL504" s="34"/>
      <c r="BM504" s="34"/>
      <c r="BN504" s="34"/>
      <c r="BO504" s="34"/>
      <c r="BP504" s="34"/>
      <c r="BQ504" s="34"/>
      <c r="BR504" s="34"/>
      <c r="BS504" s="34"/>
      <c r="BT504" s="34"/>
      <c r="BU504" s="34"/>
      <c r="BV504" s="34"/>
      <c r="BW504" s="34"/>
      <c r="BX504" s="34"/>
      <c r="BY504" s="34"/>
    </row>
    <row r="505" spans="1:77" x14ac:dyDescent="0.3">
      <c r="A505" s="39"/>
      <c r="B505" s="42"/>
      <c r="C505" s="42"/>
      <c r="D505" s="75"/>
      <c r="E505" s="75"/>
      <c r="F505" s="76"/>
      <c r="G505" s="47"/>
      <c r="H505" s="47"/>
      <c r="I505" s="75"/>
      <c r="J505" s="76"/>
      <c r="K505" s="76"/>
      <c r="L505" s="75"/>
      <c r="M505" s="49"/>
      <c r="N505" s="76"/>
      <c r="O505" s="49"/>
      <c r="P505" s="77"/>
      <c r="Q505" s="53"/>
      <c r="R505" s="54"/>
      <c r="S505" s="55"/>
      <c r="T505" s="56"/>
      <c r="U505" s="56"/>
      <c r="V505" s="42"/>
      <c r="W505" s="57"/>
      <c r="X505" s="58"/>
      <c r="Y505" s="75"/>
      <c r="Z505" s="59"/>
      <c r="AA505" s="61"/>
      <c r="AB505" s="61"/>
      <c r="AC505" s="61"/>
      <c r="AD505" s="62"/>
      <c r="AE505" s="62"/>
      <c r="AF505" s="34"/>
      <c r="AG505" s="34"/>
      <c r="AH505" s="34"/>
      <c r="AI505" s="34"/>
      <c r="AJ505" s="34"/>
      <c r="AK505" s="34"/>
      <c r="AL505" s="34"/>
      <c r="AM505" s="34"/>
      <c r="AN505" s="34"/>
      <c r="AO505" s="34"/>
      <c r="AP505" s="34"/>
      <c r="AQ505" s="34"/>
      <c r="AR505" s="34"/>
      <c r="AS505" s="34"/>
      <c r="AT505" s="34"/>
      <c r="AU505" s="34"/>
      <c r="AV505" s="34"/>
      <c r="AW505" s="34"/>
      <c r="AX505" s="34"/>
      <c r="AY505" s="34"/>
      <c r="AZ505" s="34"/>
      <c r="BA505" s="34"/>
      <c r="BB505" s="34"/>
      <c r="BD505" s="34"/>
      <c r="BE505" s="34"/>
      <c r="BF505" s="34"/>
      <c r="BG505" s="34"/>
      <c r="BH505" s="34"/>
      <c r="BI505" s="34"/>
      <c r="BJ505" s="34"/>
      <c r="BK505" s="34"/>
      <c r="BL505" s="34"/>
      <c r="BM505" s="34"/>
      <c r="BN505" s="34"/>
      <c r="BO505" s="34"/>
      <c r="BP505" s="34"/>
      <c r="BQ505" s="34"/>
      <c r="BR505" s="34"/>
      <c r="BS505" s="34"/>
      <c r="BT505" s="34"/>
      <c r="BU505" s="34"/>
      <c r="BV505" s="34"/>
      <c r="BW505" s="34"/>
      <c r="BX505" s="34"/>
      <c r="BY505" s="34"/>
    </row>
    <row r="506" spans="1:77" x14ac:dyDescent="0.3">
      <c r="A506" s="39"/>
      <c r="B506" s="42"/>
      <c r="C506" s="42"/>
      <c r="D506" s="75"/>
      <c r="E506" s="75"/>
      <c r="F506" s="76"/>
      <c r="G506" s="47"/>
      <c r="H506" s="47"/>
      <c r="I506" s="75"/>
      <c r="J506" s="76"/>
      <c r="K506" s="76"/>
      <c r="L506" s="75"/>
      <c r="M506" s="49"/>
      <c r="N506" s="76"/>
      <c r="O506" s="49"/>
      <c r="P506" s="77"/>
      <c r="Q506" s="53"/>
      <c r="R506" s="54"/>
      <c r="S506" s="55"/>
      <c r="T506" s="56"/>
      <c r="U506" s="56"/>
      <c r="V506" s="42"/>
      <c r="W506" s="57"/>
      <c r="X506" s="58"/>
      <c r="Y506" s="75"/>
      <c r="Z506" s="59"/>
      <c r="AA506" s="61"/>
      <c r="AB506" s="61"/>
      <c r="AC506" s="61"/>
      <c r="AD506" s="62"/>
      <c r="AE506" s="62"/>
      <c r="AF506" s="34"/>
      <c r="AG506" s="34"/>
      <c r="AH506" s="34"/>
      <c r="AI506" s="34"/>
      <c r="AJ506" s="34"/>
      <c r="AK506" s="34"/>
      <c r="AL506" s="34"/>
      <c r="AM506" s="34"/>
      <c r="AN506" s="34"/>
      <c r="AO506" s="34"/>
      <c r="AP506" s="34"/>
      <c r="AQ506" s="34"/>
      <c r="AR506" s="34"/>
      <c r="AS506" s="34"/>
      <c r="AT506" s="34"/>
      <c r="AU506" s="34"/>
      <c r="AV506" s="34"/>
      <c r="AW506" s="34"/>
      <c r="AX506" s="34"/>
      <c r="AY506" s="34"/>
      <c r="AZ506" s="34"/>
      <c r="BA506" s="34"/>
      <c r="BB506" s="34"/>
      <c r="BD506" s="34"/>
      <c r="BE506" s="34"/>
      <c r="BF506" s="34"/>
      <c r="BG506" s="34"/>
      <c r="BH506" s="34"/>
      <c r="BI506" s="34"/>
      <c r="BJ506" s="34"/>
      <c r="BK506" s="34"/>
      <c r="BL506" s="34"/>
      <c r="BM506" s="34"/>
      <c r="BN506" s="34"/>
      <c r="BO506" s="34"/>
      <c r="BP506" s="34"/>
      <c r="BQ506" s="34"/>
      <c r="BR506" s="34"/>
      <c r="BS506" s="34"/>
      <c r="BT506" s="34"/>
      <c r="BU506" s="34"/>
      <c r="BV506" s="34"/>
      <c r="BW506" s="34"/>
      <c r="BX506" s="34"/>
      <c r="BY506" s="34"/>
    </row>
    <row r="507" spans="1:77" x14ac:dyDescent="0.3">
      <c r="A507" s="39"/>
      <c r="B507" s="42"/>
      <c r="C507" s="42"/>
      <c r="D507" s="75"/>
      <c r="E507" s="75"/>
      <c r="F507" s="76"/>
      <c r="G507" s="47"/>
      <c r="H507" s="47"/>
      <c r="I507" s="75"/>
      <c r="J507" s="76"/>
      <c r="K507" s="76"/>
      <c r="L507" s="75"/>
      <c r="M507" s="49"/>
      <c r="N507" s="76"/>
      <c r="O507" s="49"/>
      <c r="P507" s="77"/>
      <c r="Q507" s="53"/>
      <c r="R507" s="54"/>
      <c r="S507" s="55"/>
      <c r="T507" s="56"/>
      <c r="U507" s="56"/>
      <c r="V507" s="42"/>
      <c r="W507" s="57"/>
      <c r="X507" s="58"/>
      <c r="Y507" s="75"/>
      <c r="Z507" s="59"/>
      <c r="AA507" s="61"/>
      <c r="AB507" s="61"/>
      <c r="AC507" s="61"/>
      <c r="AD507" s="62"/>
      <c r="AE507" s="62"/>
      <c r="AF507" s="34"/>
      <c r="AG507" s="34"/>
      <c r="AH507" s="34"/>
      <c r="AI507" s="34"/>
      <c r="AJ507" s="34"/>
      <c r="AK507" s="34"/>
      <c r="AL507" s="34"/>
      <c r="AM507" s="34"/>
      <c r="AN507" s="34"/>
      <c r="AO507" s="34"/>
      <c r="AP507" s="34"/>
      <c r="AQ507" s="34"/>
      <c r="AR507" s="34"/>
      <c r="AS507" s="34"/>
      <c r="AT507" s="34"/>
      <c r="AU507" s="34"/>
      <c r="AV507" s="34"/>
      <c r="AW507" s="34"/>
      <c r="AX507" s="34"/>
      <c r="AY507" s="34"/>
      <c r="AZ507" s="34"/>
      <c r="BA507" s="34"/>
      <c r="BB507" s="34"/>
      <c r="BD507" s="34"/>
      <c r="BE507" s="34"/>
      <c r="BF507" s="34"/>
      <c r="BG507" s="34"/>
      <c r="BH507" s="34"/>
      <c r="BI507" s="34"/>
      <c r="BJ507" s="34"/>
      <c r="BK507" s="34"/>
      <c r="BL507" s="34"/>
      <c r="BM507" s="34"/>
      <c r="BN507" s="34"/>
      <c r="BO507" s="34"/>
      <c r="BP507" s="34"/>
      <c r="BQ507" s="34"/>
      <c r="BR507" s="34"/>
      <c r="BS507" s="34"/>
      <c r="BT507" s="34"/>
      <c r="BU507" s="34"/>
      <c r="BV507" s="34"/>
      <c r="BW507" s="34"/>
      <c r="BX507" s="34"/>
      <c r="BY507" s="34"/>
    </row>
    <row r="508" spans="1:77" x14ac:dyDescent="0.3">
      <c r="A508" s="39"/>
      <c r="B508" s="42"/>
      <c r="C508" s="42"/>
      <c r="D508" s="75"/>
      <c r="E508" s="75"/>
      <c r="F508" s="76"/>
      <c r="G508" s="47"/>
      <c r="H508" s="47"/>
      <c r="I508" s="75"/>
      <c r="J508" s="76"/>
      <c r="K508" s="76"/>
      <c r="L508" s="75"/>
      <c r="M508" s="49"/>
      <c r="N508" s="76"/>
      <c r="O508" s="49"/>
      <c r="P508" s="77"/>
      <c r="Q508" s="53"/>
      <c r="R508" s="54"/>
      <c r="S508" s="55"/>
      <c r="T508" s="56"/>
      <c r="U508" s="56"/>
      <c r="V508" s="42"/>
      <c r="W508" s="57"/>
      <c r="X508" s="58"/>
      <c r="Y508" s="75"/>
      <c r="Z508" s="59"/>
      <c r="AA508" s="61"/>
      <c r="AB508" s="61"/>
      <c r="AC508" s="61"/>
      <c r="AD508" s="62"/>
      <c r="AE508" s="62"/>
      <c r="AF508" s="34"/>
      <c r="AG508" s="34"/>
      <c r="AH508" s="34"/>
      <c r="AI508" s="34"/>
      <c r="AJ508" s="34"/>
      <c r="AK508" s="34"/>
      <c r="AL508" s="34"/>
      <c r="AM508" s="34"/>
      <c r="AN508" s="34"/>
      <c r="AO508" s="34"/>
      <c r="AP508" s="34"/>
      <c r="AQ508" s="34"/>
      <c r="AR508" s="34"/>
      <c r="AS508" s="34"/>
      <c r="AT508" s="34"/>
      <c r="AU508" s="34"/>
      <c r="AV508" s="34"/>
      <c r="AW508" s="34"/>
      <c r="AX508" s="34"/>
      <c r="AY508" s="34"/>
      <c r="AZ508" s="34"/>
      <c r="BA508" s="34"/>
      <c r="BB508" s="34"/>
      <c r="BD508" s="34"/>
      <c r="BE508" s="34"/>
      <c r="BF508" s="34"/>
      <c r="BG508" s="34"/>
      <c r="BH508" s="34"/>
      <c r="BI508" s="34"/>
      <c r="BJ508" s="34"/>
      <c r="BK508" s="34"/>
      <c r="BL508" s="34"/>
      <c r="BM508" s="34"/>
      <c r="BN508" s="34"/>
      <c r="BO508" s="34"/>
      <c r="BP508" s="34"/>
      <c r="BQ508" s="34"/>
      <c r="BR508" s="34"/>
      <c r="BS508" s="34"/>
      <c r="BT508" s="34"/>
      <c r="BU508" s="34"/>
      <c r="BV508" s="34"/>
      <c r="BW508" s="34"/>
      <c r="BX508" s="34"/>
      <c r="BY508" s="34"/>
    </row>
    <row r="509" spans="1:77" x14ac:dyDescent="0.3">
      <c r="A509" s="39"/>
      <c r="B509" s="42"/>
      <c r="C509" s="42"/>
      <c r="D509" s="75"/>
      <c r="E509" s="75"/>
      <c r="F509" s="76"/>
      <c r="G509" s="47"/>
      <c r="H509" s="47"/>
      <c r="I509" s="75"/>
      <c r="J509" s="76"/>
      <c r="K509" s="76"/>
      <c r="L509" s="75"/>
      <c r="M509" s="49"/>
      <c r="N509" s="76"/>
      <c r="O509" s="49"/>
      <c r="P509" s="77"/>
      <c r="Q509" s="53"/>
      <c r="R509" s="54"/>
      <c r="S509" s="55"/>
      <c r="T509" s="56"/>
      <c r="U509" s="56"/>
      <c r="V509" s="42"/>
      <c r="W509" s="57"/>
      <c r="X509" s="58"/>
      <c r="Y509" s="75"/>
      <c r="Z509" s="59"/>
      <c r="AA509" s="61"/>
      <c r="AB509" s="61"/>
      <c r="AC509" s="61"/>
      <c r="AD509" s="62"/>
      <c r="AE509" s="62"/>
      <c r="AF509" s="34"/>
      <c r="AG509" s="34"/>
      <c r="AH509" s="34"/>
      <c r="AI509" s="34"/>
      <c r="AJ509" s="34"/>
      <c r="AK509" s="34"/>
      <c r="AL509" s="34"/>
      <c r="AM509" s="34"/>
      <c r="AN509" s="34"/>
      <c r="AO509" s="34"/>
      <c r="AP509" s="34"/>
      <c r="AQ509" s="34"/>
      <c r="AR509" s="34"/>
      <c r="AS509" s="34"/>
      <c r="AT509" s="34"/>
      <c r="AU509" s="34"/>
      <c r="AV509" s="34"/>
      <c r="AW509" s="34"/>
      <c r="AX509" s="34"/>
      <c r="AY509" s="34"/>
      <c r="AZ509" s="34"/>
      <c r="BA509" s="34"/>
      <c r="BB509" s="34"/>
      <c r="BD509" s="34"/>
      <c r="BE509" s="34"/>
      <c r="BF509" s="34"/>
      <c r="BG509" s="34"/>
      <c r="BH509" s="34"/>
      <c r="BI509" s="34"/>
      <c r="BJ509" s="34"/>
      <c r="BK509" s="34"/>
      <c r="BL509" s="34"/>
      <c r="BM509" s="34"/>
      <c r="BN509" s="34"/>
      <c r="BO509" s="34"/>
      <c r="BP509" s="34"/>
      <c r="BQ509" s="34"/>
      <c r="BR509" s="34"/>
      <c r="BS509" s="34"/>
      <c r="BT509" s="34"/>
      <c r="BU509" s="34"/>
      <c r="BV509" s="34"/>
      <c r="BW509" s="34"/>
      <c r="BX509" s="34"/>
      <c r="BY509" s="34"/>
    </row>
    <row r="510" spans="1:77" x14ac:dyDescent="0.3">
      <c r="A510" s="39"/>
      <c r="B510" s="42"/>
      <c r="C510" s="42"/>
      <c r="D510" s="75"/>
      <c r="E510" s="75"/>
      <c r="F510" s="76"/>
      <c r="G510" s="47"/>
      <c r="H510" s="47"/>
      <c r="I510" s="75"/>
      <c r="J510" s="76"/>
      <c r="K510" s="76"/>
      <c r="L510" s="75"/>
      <c r="M510" s="49"/>
      <c r="N510" s="76"/>
      <c r="O510" s="49"/>
      <c r="P510" s="77"/>
      <c r="Q510" s="53"/>
      <c r="R510" s="54"/>
      <c r="S510" s="55"/>
      <c r="T510" s="56"/>
      <c r="U510" s="56"/>
      <c r="V510" s="42"/>
      <c r="W510" s="57"/>
      <c r="X510" s="58"/>
      <c r="Y510" s="75"/>
      <c r="Z510" s="59"/>
      <c r="AA510" s="61"/>
      <c r="AB510" s="61"/>
      <c r="AC510" s="61"/>
      <c r="AD510" s="62"/>
      <c r="AE510" s="62"/>
      <c r="AF510" s="34"/>
      <c r="AG510" s="34"/>
      <c r="AH510" s="34"/>
      <c r="AI510" s="34"/>
      <c r="AJ510" s="34"/>
      <c r="AK510" s="34"/>
      <c r="AL510" s="34"/>
      <c r="AM510" s="34"/>
      <c r="AN510" s="34"/>
      <c r="AO510" s="34"/>
      <c r="AP510" s="34"/>
      <c r="AQ510" s="34"/>
      <c r="AR510" s="34"/>
      <c r="AS510" s="34"/>
      <c r="AT510" s="34"/>
      <c r="AU510" s="34"/>
      <c r="AV510" s="34"/>
      <c r="AW510" s="34"/>
      <c r="AX510" s="34"/>
      <c r="AY510" s="34"/>
      <c r="AZ510" s="34"/>
      <c r="BA510" s="34"/>
      <c r="BB510" s="34"/>
      <c r="BD510" s="34"/>
      <c r="BE510" s="34"/>
      <c r="BF510" s="34"/>
      <c r="BG510" s="34"/>
      <c r="BH510" s="34"/>
      <c r="BI510" s="34"/>
      <c r="BJ510" s="34"/>
      <c r="BK510" s="34"/>
      <c r="BL510" s="34"/>
      <c r="BM510" s="34"/>
      <c r="BN510" s="34"/>
      <c r="BO510" s="34"/>
      <c r="BP510" s="34"/>
      <c r="BQ510" s="34"/>
      <c r="BR510" s="34"/>
      <c r="BS510" s="34"/>
      <c r="BT510" s="34"/>
      <c r="BU510" s="34"/>
      <c r="BV510" s="34"/>
      <c r="BW510" s="34"/>
      <c r="BX510" s="34"/>
      <c r="BY510" s="34"/>
    </row>
    <row r="511" spans="1:77" x14ac:dyDescent="0.3">
      <c r="A511" s="39"/>
      <c r="B511" s="42"/>
      <c r="C511" s="42"/>
      <c r="D511" s="75"/>
      <c r="E511" s="75"/>
      <c r="F511" s="76"/>
      <c r="G511" s="47"/>
      <c r="H511" s="47"/>
      <c r="I511" s="75"/>
      <c r="J511" s="76"/>
      <c r="K511" s="76"/>
      <c r="L511" s="75"/>
      <c r="M511" s="49"/>
      <c r="N511" s="76"/>
      <c r="O511" s="49"/>
      <c r="P511" s="77"/>
      <c r="Q511" s="53"/>
      <c r="R511" s="54"/>
      <c r="S511" s="55"/>
      <c r="T511" s="56"/>
      <c r="U511" s="56"/>
      <c r="V511" s="42"/>
      <c r="W511" s="57"/>
      <c r="X511" s="58"/>
      <c r="Y511" s="75"/>
      <c r="Z511" s="59"/>
      <c r="AA511" s="61"/>
      <c r="AB511" s="61"/>
      <c r="AC511" s="61"/>
      <c r="AD511" s="62"/>
      <c r="AE511" s="62"/>
      <c r="AF511" s="34"/>
      <c r="AG511" s="34"/>
      <c r="AH511" s="34"/>
      <c r="AI511" s="34"/>
      <c r="AJ511" s="34"/>
      <c r="AK511" s="34"/>
      <c r="AL511" s="34"/>
      <c r="AM511" s="34"/>
      <c r="AN511" s="34"/>
      <c r="AO511" s="34"/>
      <c r="AP511" s="34"/>
      <c r="AQ511" s="34"/>
      <c r="AR511" s="34"/>
      <c r="AS511" s="34"/>
      <c r="AT511" s="34"/>
      <c r="AU511" s="34"/>
      <c r="AV511" s="34"/>
      <c r="AW511" s="34"/>
      <c r="AX511" s="34"/>
      <c r="AY511" s="34"/>
      <c r="AZ511" s="34"/>
      <c r="BA511" s="34"/>
      <c r="BB511" s="34"/>
      <c r="BD511" s="34"/>
      <c r="BE511" s="34"/>
      <c r="BF511" s="34"/>
      <c r="BG511" s="34"/>
      <c r="BH511" s="34"/>
      <c r="BI511" s="34"/>
      <c r="BJ511" s="34"/>
      <c r="BK511" s="34"/>
      <c r="BL511" s="34"/>
      <c r="BM511" s="34"/>
      <c r="BN511" s="34"/>
      <c r="BO511" s="34"/>
      <c r="BP511" s="34"/>
      <c r="BQ511" s="34"/>
      <c r="BR511" s="34"/>
      <c r="BS511" s="34"/>
      <c r="BT511" s="34"/>
      <c r="BU511" s="34"/>
      <c r="BV511" s="34"/>
      <c r="BW511" s="34"/>
      <c r="BX511" s="34"/>
      <c r="BY511" s="34"/>
    </row>
    <row r="512" spans="1:77" x14ac:dyDescent="0.3">
      <c r="A512" s="39"/>
      <c r="B512" s="42"/>
      <c r="C512" s="42"/>
      <c r="D512" s="75"/>
      <c r="E512" s="75"/>
      <c r="F512" s="76"/>
      <c r="G512" s="47"/>
      <c r="H512" s="47"/>
      <c r="I512" s="75"/>
      <c r="J512" s="76"/>
      <c r="K512" s="76"/>
      <c r="L512" s="75"/>
      <c r="M512" s="49"/>
      <c r="N512" s="76"/>
      <c r="O512" s="49"/>
      <c r="P512" s="77"/>
      <c r="Q512" s="53"/>
      <c r="R512" s="54"/>
      <c r="S512" s="55"/>
      <c r="T512" s="56"/>
      <c r="U512" s="56"/>
      <c r="V512" s="42"/>
      <c r="W512" s="57"/>
      <c r="X512" s="58"/>
      <c r="Y512" s="75"/>
      <c r="Z512" s="59"/>
      <c r="AA512" s="61"/>
      <c r="AB512" s="61"/>
      <c r="AC512" s="61"/>
      <c r="AD512" s="62"/>
      <c r="AE512" s="62"/>
      <c r="AF512" s="34"/>
      <c r="AG512" s="34"/>
      <c r="AH512" s="34"/>
      <c r="AI512" s="34"/>
      <c r="AJ512" s="34"/>
      <c r="AK512" s="34"/>
      <c r="AL512" s="34"/>
      <c r="AM512" s="34"/>
      <c r="AN512" s="34"/>
      <c r="AO512" s="34"/>
      <c r="AP512" s="34"/>
      <c r="AQ512" s="34"/>
      <c r="AR512" s="34"/>
      <c r="AS512" s="34"/>
      <c r="AT512" s="34"/>
      <c r="AU512" s="34"/>
      <c r="AV512" s="34"/>
      <c r="AW512" s="34"/>
      <c r="AX512" s="34"/>
      <c r="AY512" s="34"/>
      <c r="AZ512" s="34"/>
      <c r="BA512" s="34"/>
      <c r="BB512" s="34"/>
      <c r="BD512" s="34"/>
      <c r="BE512" s="34"/>
      <c r="BF512" s="34"/>
      <c r="BG512" s="34"/>
      <c r="BH512" s="34"/>
      <c r="BI512" s="34"/>
      <c r="BJ512" s="34"/>
      <c r="BK512" s="34"/>
      <c r="BL512" s="34"/>
      <c r="BM512" s="34"/>
      <c r="BN512" s="34"/>
      <c r="BO512" s="34"/>
      <c r="BP512" s="34"/>
      <c r="BQ512" s="34"/>
      <c r="BR512" s="34"/>
      <c r="BS512" s="34"/>
      <c r="BT512" s="34"/>
      <c r="BU512" s="34"/>
      <c r="BV512" s="34"/>
      <c r="BW512" s="34"/>
      <c r="BX512" s="34"/>
      <c r="BY512" s="34"/>
    </row>
    <row r="513" spans="1:77" x14ac:dyDescent="0.3">
      <c r="A513" s="39"/>
      <c r="B513" s="42"/>
      <c r="C513" s="42"/>
      <c r="D513" s="75"/>
      <c r="E513" s="75"/>
      <c r="F513" s="76"/>
      <c r="G513" s="47"/>
      <c r="H513" s="47"/>
      <c r="I513" s="75"/>
      <c r="J513" s="76"/>
      <c r="K513" s="76"/>
      <c r="L513" s="75"/>
      <c r="M513" s="49"/>
      <c r="N513" s="76"/>
      <c r="O513" s="49"/>
      <c r="P513" s="77"/>
      <c r="Q513" s="53"/>
      <c r="R513" s="54"/>
      <c r="S513" s="55"/>
      <c r="T513" s="56"/>
      <c r="U513" s="56"/>
      <c r="V513" s="42"/>
      <c r="W513" s="57"/>
      <c r="X513" s="58"/>
      <c r="Y513" s="75"/>
      <c r="Z513" s="59"/>
      <c r="AA513" s="61"/>
      <c r="AB513" s="61"/>
      <c r="AC513" s="61"/>
      <c r="AD513" s="62"/>
      <c r="AE513" s="62"/>
      <c r="AF513" s="34"/>
      <c r="AG513" s="34"/>
      <c r="AH513" s="34"/>
      <c r="AI513" s="34"/>
      <c r="AJ513" s="34"/>
      <c r="AK513" s="34"/>
      <c r="AL513" s="34"/>
      <c r="AM513" s="34"/>
      <c r="AN513" s="34"/>
      <c r="AO513" s="34"/>
      <c r="AP513" s="34"/>
      <c r="AQ513" s="34"/>
      <c r="AR513" s="34"/>
      <c r="AS513" s="34"/>
      <c r="AT513" s="34"/>
      <c r="AU513" s="34"/>
      <c r="AV513" s="34"/>
      <c r="AW513" s="34"/>
      <c r="AX513" s="34"/>
      <c r="AY513" s="34"/>
      <c r="AZ513" s="34"/>
      <c r="BA513" s="34"/>
      <c r="BB513" s="34"/>
      <c r="BD513" s="34"/>
      <c r="BE513" s="34"/>
      <c r="BF513" s="34"/>
      <c r="BG513" s="34"/>
      <c r="BH513" s="34"/>
      <c r="BI513" s="34"/>
      <c r="BJ513" s="34"/>
      <c r="BK513" s="34"/>
      <c r="BL513" s="34"/>
      <c r="BM513" s="34"/>
      <c r="BN513" s="34"/>
      <c r="BO513" s="34"/>
      <c r="BP513" s="34"/>
      <c r="BQ513" s="34"/>
      <c r="BR513" s="34"/>
      <c r="BS513" s="34"/>
      <c r="BT513" s="34"/>
      <c r="BU513" s="34"/>
      <c r="BV513" s="34"/>
      <c r="BW513" s="34"/>
      <c r="BX513" s="34"/>
      <c r="BY513" s="34"/>
    </row>
    <row r="514" spans="1:77" x14ac:dyDescent="0.3">
      <c r="A514" s="39"/>
      <c r="B514" s="42"/>
      <c r="C514" s="42"/>
      <c r="D514" s="75"/>
      <c r="E514" s="75"/>
      <c r="F514" s="76"/>
      <c r="G514" s="47"/>
      <c r="H514" s="47"/>
      <c r="I514" s="75"/>
      <c r="J514" s="76"/>
      <c r="K514" s="76"/>
      <c r="L514" s="75"/>
      <c r="M514" s="49"/>
      <c r="N514" s="76"/>
      <c r="O514" s="49"/>
      <c r="P514" s="77"/>
      <c r="Q514" s="53"/>
      <c r="R514" s="54"/>
      <c r="S514" s="55"/>
      <c r="T514" s="56"/>
      <c r="U514" s="56"/>
      <c r="V514" s="42"/>
      <c r="W514" s="57"/>
      <c r="X514" s="58"/>
      <c r="Y514" s="75"/>
      <c r="Z514" s="59"/>
      <c r="AA514" s="61"/>
      <c r="AB514" s="61"/>
      <c r="AC514" s="61"/>
      <c r="AD514" s="62"/>
      <c r="AE514" s="62"/>
      <c r="AF514" s="34"/>
      <c r="AG514" s="34"/>
      <c r="AH514" s="34"/>
      <c r="AI514" s="34"/>
      <c r="AJ514" s="34"/>
      <c r="AK514" s="34"/>
      <c r="AL514" s="34"/>
      <c r="AM514" s="34"/>
      <c r="AN514" s="34"/>
      <c r="AO514" s="34"/>
      <c r="AP514" s="34"/>
      <c r="AQ514" s="34"/>
      <c r="AR514" s="34"/>
      <c r="AS514" s="34"/>
      <c r="AT514" s="34"/>
      <c r="AU514" s="34"/>
      <c r="AV514" s="34"/>
      <c r="AW514" s="34"/>
      <c r="AX514" s="34"/>
      <c r="AY514" s="34"/>
      <c r="AZ514" s="34"/>
      <c r="BA514" s="34"/>
      <c r="BB514" s="34"/>
      <c r="BD514" s="34"/>
      <c r="BE514" s="34"/>
      <c r="BF514" s="34"/>
      <c r="BG514" s="34"/>
      <c r="BH514" s="34"/>
      <c r="BI514" s="34"/>
      <c r="BJ514" s="34"/>
      <c r="BK514" s="34"/>
      <c r="BL514" s="34"/>
      <c r="BM514" s="34"/>
      <c r="BN514" s="34"/>
      <c r="BO514" s="34"/>
      <c r="BP514" s="34"/>
      <c r="BQ514" s="34"/>
      <c r="BR514" s="34"/>
      <c r="BS514" s="34"/>
      <c r="BT514" s="34"/>
      <c r="BU514" s="34"/>
      <c r="BV514" s="34"/>
      <c r="BW514" s="34"/>
      <c r="BX514" s="34"/>
      <c r="BY514" s="34"/>
    </row>
    <row r="515" spans="1:77" x14ac:dyDescent="0.3">
      <c r="A515" s="39"/>
      <c r="B515" s="42"/>
      <c r="C515" s="42"/>
      <c r="D515" s="75"/>
      <c r="E515" s="75"/>
      <c r="F515" s="76"/>
      <c r="G515" s="47"/>
      <c r="H515" s="47"/>
      <c r="I515" s="75"/>
      <c r="J515" s="76"/>
      <c r="K515" s="76"/>
      <c r="L515" s="75"/>
      <c r="M515" s="49"/>
      <c r="N515" s="76"/>
      <c r="O515" s="49"/>
      <c r="P515" s="77"/>
      <c r="Q515" s="53"/>
      <c r="R515" s="54"/>
      <c r="S515" s="55"/>
      <c r="T515" s="56"/>
      <c r="U515" s="56"/>
      <c r="V515" s="42"/>
      <c r="W515" s="57"/>
      <c r="X515" s="58"/>
      <c r="Y515" s="75"/>
      <c r="Z515" s="59"/>
      <c r="AA515" s="61"/>
      <c r="AB515" s="61"/>
      <c r="AC515" s="61"/>
      <c r="AD515" s="62"/>
      <c r="AE515" s="62"/>
      <c r="AF515" s="34"/>
      <c r="AG515" s="34"/>
      <c r="AH515" s="34"/>
      <c r="AI515" s="34"/>
      <c r="AJ515" s="34"/>
      <c r="AK515" s="34"/>
      <c r="AL515" s="34"/>
      <c r="AM515" s="34"/>
      <c r="AN515" s="34"/>
      <c r="AO515" s="34"/>
      <c r="AP515" s="34"/>
      <c r="AQ515" s="34"/>
      <c r="AR515" s="34"/>
      <c r="AS515" s="34"/>
      <c r="AT515" s="34"/>
      <c r="AU515" s="34"/>
      <c r="AV515" s="34"/>
      <c r="AW515" s="34"/>
      <c r="AX515" s="34"/>
      <c r="AY515" s="34"/>
      <c r="AZ515" s="34"/>
      <c r="BA515" s="34"/>
      <c r="BB515" s="34"/>
      <c r="BD515" s="34"/>
      <c r="BE515" s="34"/>
      <c r="BF515" s="34"/>
      <c r="BG515" s="34"/>
      <c r="BH515" s="34"/>
      <c r="BI515" s="34"/>
      <c r="BJ515" s="34"/>
      <c r="BK515" s="34"/>
      <c r="BL515" s="34"/>
      <c r="BM515" s="34"/>
      <c r="BN515" s="34"/>
      <c r="BO515" s="34"/>
      <c r="BP515" s="34"/>
      <c r="BQ515" s="34"/>
      <c r="BR515" s="34"/>
      <c r="BS515" s="34"/>
      <c r="BT515" s="34"/>
      <c r="BU515" s="34"/>
      <c r="BV515" s="34"/>
      <c r="BW515" s="34"/>
      <c r="BX515" s="34"/>
      <c r="BY515" s="34"/>
    </row>
    <row r="516" spans="1:77" x14ac:dyDescent="0.3">
      <c r="A516" s="39"/>
      <c r="B516" s="42"/>
      <c r="C516" s="42"/>
      <c r="D516" s="75"/>
      <c r="E516" s="75"/>
      <c r="F516" s="76"/>
      <c r="G516" s="47"/>
      <c r="H516" s="47"/>
      <c r="I516" s="75"/>
      <c r="J516" s="76"/>
      <c r="K516" s="76"/>
      <c r="L516" s="75"/>
      <c r="M516" s="49"/>
      <c r="N516" s="76"/>
      <c r="O516" s="49"/>
      <c r="P516" s="77"/>
      <c r="Q516" s="53"/>
      <c r="R516" s="54"/>
      <c r="S516" s="55"/>
      <c r="T516" s="56"/>
      <c r="U516" s="56"/>
      <c r="V516" s="42"/>
      <c r="W516" s="57"/>
      <c r="X516" s="58"/>
      <c r="Y516" s="75"/>
      <c r="Z516" s="59"/>
      <c r="AA516" s="61"/>
      <c r="AB516" s="61"/>
      <c r="AC516" s="61"/>
      <c r="AD516" s="62"/>
      <c r="AE516" s="62"/>
      <c r="AF516" s="34"/>
      <c r="AG516" s="34"/>
      <c r="AH516" s="34"/>
      <c r="AI516" s="34"/>
      <c r="AJ516" s="34"/>
      <c r="AK516" s="34"/>
      <c r="AL516" s="34"/>
      <c r="AM516" s="34"/>
      <c r="AN516" s="34"/>
      <c r="AO516" s="34"/>
      <c r="AP516" s="34"/>
      <c r="AQ516" s="34"/>
      <c r="AR516" s="34"/>
      <c r="AS516" s="34"/>
      <c r="AT516" s="34"/>
      <c r="AU516" s="34"/>
      <c r="AV516" s="34"/>
      <c r="AW516" s="34"/>
      <c r="AX516" s="34"/>
      <c r="AY516" s="34"/>
      <c r="AZ516" s="34"/>
      <c r="BA516" s="34"/>
      <c r="BB516" s="34"/>
      <c r="BD516" s="34"/>
      <c r="BE516" s="34"/>
      <c r="BF516" s="34"/>
      <c r="BG516" s="34"/>
      <c r="BH516" s="34"/>
      <c r="BI516" s="34"/>
      <c r="BJ516" s="34"/>
      <c r="BK516" s="34"/>
      <c r="BL516" s="34"/>
      <c r="BM516" s="34"/>
      <c r="BN516" s="34"/>
      <c r="BO516" s="34"/>
      <c r="BP516" s="34"/>
      <c r="BQ516" s="34"/>
      <c r="BR516" s="34"/>
      <c r="BS516" s="34"/>
      <c r="BT516" s="34"/>
      <c r="BU516" s="34"/>
      <c r="BV516" s="34"/>
      <c r="BW516" s="34"/>
      <c r="BX516" s="34"/>
      <c r="BY516" s="34"/>
    </row>
    <row r="517" spans="1:77" x14ac:dyDescent="0.3">
      <c r="A517" s="39"/>
      <c r="B517" s="42"/>
      <c r="C517" s="42"/>
      <c r="D517" s="75"/>
      <c r="E517" s="75"/>
      <c r="F517" s="76"/>
      <c r="G517" s="47"/>
      <c r="H517" s="47"/>
      <c r="I517" s="75"/>
      <c r="J517" s="76"/>
      <c r="K517" s="76"/>
      <c r="L517" s="75"/>
      <c r="M517" s="49"/>
      <c r="N517" s="76"/>
      <c r="O517" s="49"/>
      <c r="P517" s="77"/>
      <c r="Q517" s="53"/>
      <c r="R517" s="54"/>
      <c r="S517" s="55"/>
      <c r="T517" s="56"/>
      <c r="U517" s="56"/>
      <c r="V517" s="42"/>
      <c r="W517" s="57"/>
      <c r="X517" s="58"/>
      <c r="Y517" s="75"/>
      <c r="Z517" s="59"/>
      <c r="AA517" s="61"/>
      <c r="AB517" s="61"/>
      <c r="AC517" s="61"/>
      <c r="AD517" s="62"/>
      <c r="AE517" s="62"/>
      <c r="AF517" s="34"/>
      <c r="AG517" s="34"/>
      <c r="AH517" s="34"/>
      <c r="AI517" s="34"/>
      <c r="AJ517" s="34"/>
      <c r="AK517" s="34"/>
      <c r="AL517" s="34"/>
      <c r="AM517" s="34"/>
      <c r="AN517" s="34"/>
      <c r="AO517" s="34"/>
      <c r="AP517" s="34"/>
      <c r="AQ517" s="34"/>
      <c r="AR517" s="34"/>
      <c r="AS517" s="34"/>
      <c r="AT517" s="34"/>
      <c r="AU517" s="34"/>
      <c r="AV517" s="34"/>
      <c r="AW517" s="34"/>
      <c r="AX517" s="34"/>
      <c r="AY517" s="34"/>
      <c r="AZ517" s="34"/>
      <c r="BA517" s="34"/>
      <c r="BB517" s="34"/>
      <c r="BD517" s="34"/>
      <c r="BE517" s="34"/>
      <c r="BF517" s="34"/>
      <c r="BG517" s="34"/>
      <c r="BH517" s="34"/>
      <c r="BI517" s="34"/>
      <c r="BJ517" s="34"/>
      <c r="BK517" s="34"/>
      <c r="BL517" s="34"/>
      <c r="BM517" s="34"/>
      <c r="BN517" s="34"/>
      <c r="BO517" s="34"/>
      <c r="BP517" s="34"/>
      <c r="BQ517" s="34"/>
      <c r="BR517" s="34"/>
      <c r="BS517" s="34"/>
      <c r="BT517" s="34"/>
      <c r="BU517" s="34"/>
      <c r="BV517" s="34"/>
      <c r="BW517" s="34"/>
      <c r="BX517" s="34"/>
      <c r="BY517" s="34"/>
    </row>
    <row r="518" spans="1:77" x14ac:dyDescent="0.3">
      <c r="A518" s="39"/>
      <c r="B518" s="42"/>
      <c r="C518" s="42"/>
      <c r="D518" s="75"/>
      <c r="E518" s="75"/>
      <c r="F518" s="76"/>
      <c r="G518" s="47"/>
      <c r="H518" s="47"/>
      <c r="I518" s="75"/>
      <c r="J518" s="76"/>
      <c r="K518" s="76"/>
      <c r="L518" s="75"/>
      <c r="M518" s="49"/>
      <c r="N518" s="76"/>
      <c r="O518" s="49"/>
      <c r="P518" s="77"/>
      <c r="Q518" s="53"/>
      <c r="R518" s="54"/>
      <c r="S518" s="55"/>
      <c r="T518" s="56"/>
      <c r="U518" s="56"/>
      <c r="V518" s="42"/>
      <c r="W518" s="57"/>
      <c r="X518" s="58"/>
      <c r="Y518" s="75"/>
      <c r="Z518" s="59"/>
      <c r="AA518" s="61"/>
      <c r="AB518" s="61"/>
      <c r="AC518" s="61"/>
      <c r="AD518" s="62"/>
      <c r="AE518" s="62"/>
      <c r="AF518" s="34"/>
      <c r="AG518" s="34"/>
      <c r="AH518" s="34"/>
      <c r="AI518" s="34"/>
      <c r="AJ518" s="34"/>
      <c r="AK518" s="34"/>
      <c r="AL518" s="34"/>
      <c r="AM518" s="34"/>
      <c r="AN518" s="34"/>
      <c r="AO518" s="34"/>
      <c r="AP518" s="34"/>
      <c r="AQ518" s="34"/>
      <c r="AR518" s="34"/>
      <c r="AS518" s="34"/>
      <c r="AT518" s="34"/>
      <c r="AU518" s="34"/>
      <c r="AV518" s="34"/>
      <c r="AW518" s="34"/>
      <c r="AX518" s="34"/>
      <c r="AY518" s="34"/>
      <c r="AZ518" s="34"/>
      <c r="BA518" s="34"/>
      <c r="BB518" s="34"/>
      <c r="BD518" s="34"/>
      <c r="BE518" s="34"/>
      <c r="BF518" s="34"/>
      <c r="BG518" s="34"/>
      <c r="BH518" s="34"/>
      <c r="BI518" s="34"/>
      <c r="BJ518" s="34"/>
      <c r="BK518" s="34"/>
      <c r="BL518" s="34"/>
      <c r="BM518" s="34"/>
      <c r="BN518" s="34"/>
      <c r="BO518" s="34"/>
      <c r="BP518" s="34"/>
      <c r="BQ518" s="34"/>
      <c r="BR518" s="34"/>
      <c r="BS518" s="34"/>
      <c r="BT518" s="34"/>
      <c r="BU518" s="34"/>
      <c r="BV518" s="34"/>
      <c r="BW518" s="34"/>
      <c r="BX518" s="34"/>
      <c r="BY518" s="34"/>
    </row>
    <row r="519" spans="1:77" x14ac:dyDescent="0.3">
      <c r="A519" s="39"/>
      <c r="B519" s="42"/>
      <c r="C519" s="42"/>
      <c r="D519" s="75"/>
      <c r="E519" s="75"/>
      <c r="F519" s="76"/>
      <c r="G519" s="47"/>
      <c r="H519" s="47"/>
      <c r="I519" s="75"/>
      <c r="J519" s="76"/>
      <c r="K519" s="76"/>
      <c r="L519" s="75"/>
      <c r="M519" s="49"/>
      <c r="N519" s="76"/>
      <c r="O519" s="49"/>
      <c r="P519" s="77"/>
      <c r="Q519" s="53"/>
      <c r="R519" s="54"/>
      <c r="S519" s="55"/>
      <c r="T519" s="56"/>
      <c r="U519" s="56"/>
      <c r="V519" s="42"/>
      <c r="W519" s="57"/>
      <c r="X519" s="58"/>
      <c r="Y519" s="75"/>
      <c r="Z519" s="59"/>
      <c r="AA519" s="61"/>
      <c r="AB519" s="61"/>
      <c r="AC519" s="61"/>
      <c r="AD519" s="62"/>
      <c r="AE519" s="62"/>
      <c r="AF519" s="34"/>
      <c r="AG519" s="34"/>
      <c r="AH519" s="34"/>
      <c r="AI519" s="34"/>
      <c r="AJ519" s="34"/>
      <c r="AK519" s="34"/>
      <c r="AL519" s="34"/>
      <c r="AM519" s="34"/>
      <c r="AN519" s="34"/>
      <c r="AO519" s="34"/>
      <c r="AP519" s="34"/>
      <c r="AQ519" s="34"/>
      <c r="AR519" s="34"/>
      <c r="AS519" s="34"/>
      <c r="AT519" s="34"/>
      <c r="AU519" s="34"/>
      <c r="AV519" s="34"/>
      <c r="AW519" s="34"/>
      <c r="AX519" s="34"/>
      <c r="AY519" s="34"/>
      <c r="AZ519" s="34"/>
      <c r="BA519" s="34"/>
      <c r="BB519" s="34"/>
      <c r="BD519" s="34"/>
      <c r="BE519" s="34"/>
      <c r="BF519" s="34"/>
      <c r="BG519" s="34"/>
      <c r="BH519" s="34"/>
      <c r="BI519" s="34"/>
      <c r="BJ519" s="34"/>
      <c r="BK519" s="34"/>
      <c r="BL519" s="34"/>
      <c r="BM519" s="34"/>
      <c r="BN519" s="34"/>
      <c r="BO519" s="34"/>
      <c r="BP519" s="34"/>
      <c r="BQ519" s="34"/>
      <c r="BR519" s="34"/>
      <c r="BS519" s="34"/>
      <c r="BT519" s="34"/>
      <c r="BU519" s="34"/>
      <c r="BV519" s="34"/>
      <c r="BW519" s="34"/>
      <c r="BX519" s="34"/>
      <c r="BY519" s="34"/>
    </row>
    <row r="520" spans="1:77" x14ac:dyDescent="0.3">
      <c r="A520" s="39"/>
      <c r="B520" s="42"/>
      <c r="C520" s="42"/>
      <c r="D520" s="75"/>
      <c r="E520" s="75"/>
      <c r="F520" s="76"/>
      <c r="G520" s="47"/>
      <c r="H520" s="47"/>
      <c r="I520" s="75"/>
      <c r="J520" s="76"/>
      <c r="K520" s="76"/>
      <c r="L520" s="75"/>
      <c r="M520" s="49"/>
      <c r="N520" s="76"/>
      <c r="O520" s="49"/>
      <c r="P520" s="77"/>
      <c r="Q520" s="53"/>
      <c r="R520" s="54"/>
      <c r="S520" s="55"/>
      <c r="T520" s="56"/>
      <c r="U520" s="56"/>
      <c r="V520" s="42"/>
      <c r="W520" s="57"/>
      <c r="X520" s="58"/>
      <c r="Y520" s="75"/>
      <c r="Z520" s="59"/>
      <c r="AA520" s="61"/>
      <c r="AB520" s="61"/>
      <c r="AC520" s="61"/>
      <c r="AD520" s="62"/>
      <c r="AE520" s="62"/>
      <c r="AF520" s="34"/>
      <c r="AG520" s="34"/>
      <c r="AH520" s="34"/>
      <c r="AI520" s="34"/>
      <c r="AJ520" s="34"/>
      <c r="AK520" s="34"/>
      <c r="AL520" s="34"/>
      <c r="AM520" s="34"/>
      <c r="AN520" s="34"/>
      <c r="AO520" s="34"/>
      <c r="AP520" s="34"/>
      <c r="AQ520" s="34"/>
      <c r="AR520" s="34"/>
      <c r="AS520" s="34"/>
      <c r="AT520" s="34"/>
      <c r="AU520" s="34"/>
      <c r="AV520" s="34"/>
      <c r="AW520" s="34"/>
      <c r="AX520" s="34"/>
      <c r="AY520" s="34"/>
      <c r="AZ520" s="34"/>
      <c r="BA520" s="34"/>
      <c r="BB520" s="34"/>
      <c r="BD520" s="34"/>
      <c r="BE520" s="34"/>
      <c r="BF520" s="34"/>
      <c r="BG520" s="34"/>
      <c r="BH520" s="34"/>
      <c r="BI520" s="34"/>
      <c r="BJ520" s="34"/>
      <c r="BK520" s="34"/>
      <c r="BL520" s="34"/>
      <c r="BM520" s="34"/>
      <c r="BN520" s="34"/>
      <c r="BO520" s="34"/>
      <c r="BP520" s="34"/>
      <c r="BQ520" s="34"/>
      <c r="BR520" s="34"/>
      <c r="BS520" s="34"/>
      <c r="BT520" s="34"/>
      <c r="BU520" s="34"/>
      <c r="BV520" s="34"/>
      <c r="BW520" s="34"/>
      <c r="BX520" s="34"/>
      <c r="BY520" s="34"/>
    </row>
    <row r="521" spans="1:77" x14ac:dyDescent="0.3">
      <c r="A521" s="39"/>
      <c r="B521" s="42"/>
      <c r="C521" s="42"/>
      <c r="D521" s="75"/>
      <c r="E521" s="75"/>
      <c r="F521" s="76"/>
      <c r="G521" s="47"/>
      <c r="H521" s="47"/>
      <c r="I521" s="75"/>
      <c r="J521" s="76"/>
      <c r="K521" s="76"/>
      <c r="L521" s="75"/>
      <c r="M521" s="49"/>
      <c r="N521" s="76"/>
      <c r="O521" s="49"/>
      <c r="P521" s="77"/>
      <c r="Q521" s="53"/>
      <c r="R521" s="54"/>
      <c r="S521" s="55"/>
      <c r="T521" s="56"/>
      <c r="U521" s="56"/>
      <c r="V521" s="42"/>
      <c r="W521" s="57"/>
      <c r="X521" s="58"/>
      <c r="Y521" s="75"/>
      <c r="Z521" s="59"/>
      <c r="AA521" s="61"/>
      <c r="AB521" s="61"/>
      <c r="AC521" s="61"/>
      <c r="AD521" s="62"/>
      <c r="AE521" s="62"/>
      <c r="AF521" s="34"/>
      <c r="AG521" s="34"/>
      <c r="AH521" s="34"/>
      <c r="AI521" s="34"/>
      <c r="AJ521" s="34"/>
      <c r="AK521" s="34"/>
      <c r="AL521" s="34"/>
      <c r="AM521" s="34"/>
      <c r="AN521" s="34"/>
      <c r="AO521" s="34"/>
      <c r="AP521" s="34"/>
      <c r="AQ521" s="34"/>
      <c r="AR521" s="34"/>
      <c r="AS521" s="34"/>
      <c r="AT521" s="34"/>
      <c r="AU521" s="34"/>
      <c r="AV521" s="34"/>
      <c r="AW521" s="34"/>
      <c r="AX521" s="34"/>
      <c r="AY521" s="34"/>
      <c r="AZ521" s="34"/>
      <c r="BA521" s="34"/>
      <c r="BB521" s="34"/>
      <c r="BD521" s="34"/>
      <c r="BE521" s="34"/>
      <c r="BF521" s="34"/>
      <c r="BG521" s="34"/>
      <c r="BH521" s="34"/>
      <c r="BI521" s="34"/>
      <c r="BJ521" s="34"/>
      <c r="BK521" s="34"/>
      <c r="BL521" s="34"/>
      <c r="BM521" s="34"/>
      <c r="BN521" s="34"/>
      <c r="BO521" s="34"/>
      <c r="BP521" s="34"/>
      <c r="BQ521" s="34"/>
      <c r="BR521" s="34"/>
      <c r="BS521" s="34"/>
      <c r="BT521" s="34"/>
      <c r="BU521" s="34"/>
      <c r="BV521" s="34"/>
      <c r="BW521" s="34"/>
      <c r="BX521" s="34"/>
      <c r="BY521" s="34"/>
    </row>
    <row r="522" spans="1:77" x14ac:dyDescent="0.3">
      <c r="A522" s="39"/>
      <c r="B522" s="42"/>
      <c r="C522" s="42"/>
      <c r="D522" s="75"/>
      <c r="E522" s="75"/>
      <c r="F522" s="76"/>
      <c r="G522" s="47"/>
      <c r="H522" s="47"/>
      <c r="I522" s="75"/>
      <c r="J522" s="76"/>
      <c r="K522" s="76"/>
      <c r="L522" s="75"/>
      <c r="M522" s="49"/>
      <c r="N522" s="76"/>
      <c r="O522" s="49"/>
      <c r="P522" s="77"/>
      <c r="Q522" s="53"/>
      <c r="R522" s="54"/>
      <c r="S522" s="55"/>
      <c r="T522" s="56"/>
      <c r="U522" s="56"/>
      <c r="V522" s="42"/>
      <c r="W522" s="57"/>
      <c r="X522" s="58"/>
      <c r="Y522" s="75"/>
      <c r="Z522" s="59"/>
      <c r="AA522" s="61"/>
      <c r="AB522" s="61"/>
      <c r="AC522" s="61"/>
      <c r="AD522" s="62"/>
      <c r="AE522" s="62"/>
      <c r="AF522" s="34"/>
      <c r="AG522" s="34"/>
      <c r="AH522" s="34"/>
      <c r="AI522" s="34"/>
      <c r="AJ522" s="34"/>
      <c r="AK522" s="34"/>
      <c r="AL522" s="34"/>
      <c r="AM522" s="34"/>
      <c r="AN522" s="34"/>
      <c r="AO522" s="34"/>
      <c r="AP522" s="34"/>
      <c r="AQ522" s="34"/>
      <c r="AR522" s="34"/>
      <c r="AS522" s="34"/>
      <c r="AT522" s="34"/>
      <c r="AU522" s="34"/>
      <c r="AV522" s="34"/>
      <c r="AW522" s="34"/>
      <c r="AX522" s="34"/>
      <c r="AY522" s="34"/>
      <c r="AZ522" s="34"/>
      <c r="BA522" s="34"/>
      <c r="BB522" s="34"/>
      <c r="BD522" s="34"/>
      <c r="BE522" s="34"/>
      <c r="BF522" s="34"/>
      <c r="BG522" s="34"/>
      <c r="BH522" s="34"/>
      <c r="BI522" s="34"/>
      <c r="BJ522" s="34"/>
      <c r="BK522" s="34"/>
      <c r="BL522" s="34"/>
      <c r="BM522" s="34"/>
      <c r="BN522" s="34"/>
      <c r="BO522" s="34"/>
      <c r="BP522" s="34"/>
      <c r="BQ522" s="34"/>
      <c r="BR522" s="34"/>
      <c r="BS522" s="34"/>
      <c r="BT522" s="34"/>
      <c r="BU522" s="34"/>
      <c r="BV522" s="34"/>
      <c r="BW522" s="34"/>
      <c r="BX522" s="34"/>
      <c r="BY522" s="34"/>
    </row>
    <row r="523" spans="1:77" x14ac:dyDescent="0.3">
      <c r="A523" s="39"/>
      <c r="B523" s="42"/>
      <c r="C523" s="42"/>
      <c r="D523" s="75"/>
      <c r="E523" s="75"/>
      <c r="F523" s="76"/>
      <c r="G523" s="47"/>
      <c r="H523" s="47"/>
      <c r="I523" s="75"/>
      <c r="J523" s="76"/>
      <c r="K523" s="76"/>
      <c r="L523" s="75"/>
      <c r="M523" s="49"/>
      <c r="N523" s="76"/>
      <c r="O523" s="49"/>
      <c r="P523" s="77"/>
      <c r="Q523" s="53"/>
      <c r="R523" s="54"/>
      <c r="S523" s="55"/>
      <c r="T523" s="56"/>
      <c r="U523" s="56"/>
      <c r="V523" s="42"/>
      <c r="W523" s="57"/>
      <c r="X523" s="58"/>
      <c r="Y523" s="75"/>
      <c r="Z523" s="59"/>
      <c r="AA523" s="61"/>
      <c r="AB523" s="61"/>
      <c r="AC523" s="61"/>
      <c r="AD523" s="62"/>
      <c r="AE523" s="62"/>
      <c r="AF523" s="34"/>
      <c r="AG523" s="34"/>
      <c r="AH523" s="34"/>
      <c r="AI523" s="34"/>
      <c r="AJ523" s="34"/>
      <c r="AK523" s="34"/>
      <c r="AL523" s="34"/>
      <c r="AM523" s="34"/>
      <c r="AN523" s="34"/>
      <c r="AO523" s="34"/>
      <c r="AP523" s="34"/>
      <c r="AQ523" s="34"/>
      <c r="AR523" s="34"/>
      <c r="AS523" s="34"/>
      <c r="AT523" s="34"/>
      <c r="AU523" s="34"/>
      <c r="AV523" s="34"/>
      <c r="AW523" s="34"/>
      <c r="AX523" s="34"/>
      <c r="AY523" s="34"/>
      <c r="AZ523" s="34"/>
      <c r="BA523" s="34"/>
      <c r="BB523" s="34"/>
      <c r="BD523" s="34"/>
      <c r="BE523" s="34"/>
      <c r="BF523" s="34"/>
      <c r="BG523" s="34"/>
      <c r="BH523" s="34"/>
      <c r="BI523" s="34"/>
      <c r="BJ523" s="34"/>
      <c r="BK523" s="34"/>
      <c r="BL523" s="34"/>
      <c r="BM523" s="34"/>
      <c r="BN523" s="34"/>
      <c r="BO523" s="34"/>
      <c r="BP523" s="34"/>
      <c r="BQ523" s="34"/>
      <c r="BR523" s="34"/>
      <c r="BS523" s="34"/>
      <c r="BT523" s="34"/>
      <c r="BU523" s="34"/>
      <c r="BV523" s="34"/>
      <c r="BW523" s="34"/>
      <c r="BX523" s="34"/>
      <c r="BY523" s="34"/>
    </row>
    <row r="524" spans="1:77" x14ac:dyDescent="0.3">
      <c r="A524" s="39"/>
      <c r="B524" s="42"/>
      <c r="C524" s="42"/>
      <c r="D524" s="75"/>
      <c r="E524" s="75"/>
      <c r="F524" s="76"/>
      <c r="G524" s="47"/>
      <c r="H524" s="47"/>
      <c r="I524" s="75"/>
      <c r="J524" s="76"/>
      <c r="K524" s="76"/>
      <c r="L524" s="75"/>
      <c r="M524" s="49"/>
      <c r="N524" s="76"/>
      <c r="O524" s="49"/>
      <c r="P524" s="77"/>
      <c r="Q524" s="53"/>
      <c r="R524" s="54"/>
      <c r="S524" s="55"/>
      <c r="T524" s="56"/>
      <c r="U524" s="56"/>
      <c r="V524" s="42"/>
      <c r="W524" s="57"/>
      <c r="X524" s="58"/>
      <c r="Y524" s="75"/>
      <c r="Z524" s="59"/>
      <c r="AA524" s="61"/>
      <c r="AB524" s="61"/>
      <c r="AC524" s="61"/>
      <c r="AD524" s="62"/>
      <c r="AE524" s="62"/>
      <c r="AF524" s="34"/>
      <c r="AG524" s="34"/>
      <c r="AH524" s="34"/>
      <c r="AI524" s="34"/>
      <c r="AJ524" s="34"/>
      <c r="AK524" s="34"/>
      <c r="AL524" s="34"/>
      <c r="AM524" s="34"/>
      <c r="AN524" s="34"/>
      <c r="AO524" s="34"/>
      <c r="AP524" s="34"/>
      <c r="AQ524" s="34"/>
      <c r="AR524" s="34"/>
      <c r="AS524" s="34"/>
      <c r="AT524" s="34"/>
      <c r="AU524" s="34"/>
      <c r="AV524" s="34"/>
      <c r="AW524" s="34"/>
      <c r="AX524" s="34"/>
      <c r="AY524" s="34"/>
      <c r="AZ524" s="34"/>
      <c r="BA524" s="34"/>
      <c r="BB524" s="34"/>
      <c r="BD524" s="34"/>
      <c r="BE524" s="34"/>
      <c r="BF524" s="34"/>
      <c r="BG524" s="34"/>
      <c r="BH524" s="34"/>
      <c r="BI524" s="34"/>
      <c r="BJ524" s="34"/>
      <c r="BK524" s="34"/>
      <c r="BL524" s="34"/>
      <c r="BM524" s="34"/>
      <c r="BN524" s="34"/>
      <c r="BO524" s="34"/>
      <c r="BP524" s="34"/>
      <c r="BQ524" s="34"/>
      <c r="BR524" s="34"/>
      <c r="BS524" s="34"/>
      <c r="BT524" s="34"/>
      <c r="BU524" s="34"/>
      <c r="BV524" s="34"/>
      <c r="BW524" s="34"/>
      <c r="BX524" s="34"/>
      <c r="BY524" s="34"/>
    </row>
    <row r="525" spans="1:77" x14ac:dyDescent="0.3">
      <c r="A525" s="39"/>
      <c r="B525" s="42"/>
      <c r="C525" s="42"/>
      <c r="D525" s="75"/>
      <c r="E525" s="75"/>
      <c r="F525" s="76"/>
      <c r="G525" s="47"/>
      <c r="H525" s="47"/>
      <c r="I525" s="75"/>
      <c r="J525" s="76"/>
      <c r="K525" s="76"/>
      <c r="L525" s="75"/>
      <c r="M525" s="49"/>
      <c r="N525" s="76"/>
      <c r="O525" s="49"/>
      <c r="P525" s="77"/>
      <c r="Q525" s="53"/>
      <c r="R525" s="54"/>
      <c r="S525" s="55"/>
      <c r="T525" s="56"/>
      <c r="U525" s="56"/>
      <c r="V525" s="42"/>
      <c r="W525" s="57"/>
      <c r="X525" s="58"/>
      <c r="Y525" s="75"/>
      <c r="Z525" s="59"/>
      <c r="AA525" s="61"/>
      <c r="AB525" s="61"/>
      <c r="AC525" s="61"/>
      <c r="AD525" s="62"/>
      <c r="AE525" s="62"/>
      <c r="AF525" s="34"/>
      <c r="AG525" s="34"/>
      <c r="AH525" s="34"/>
      <c r="AI525" s="34"/>
      <c r="AJ525" s="34"/>
      <c r="AK525" s="34"/>
      <c r="AL525" s="34"/>
      <c r="AM525" s="34"/>
      <c r="AN525" s="34"/>
      <c r="AO525" s="34"/>
      <c r="AP525" s="34"/>
      <c r="AQ525" s="34"/>
      <c r="AR525" s="34"/>
      <c r="AS525" s="34"/>
      <c r="AT525" s="34"/>
      <c r="AU525" s="34"/>
      <c r="AV525" s="34"/>
      <c r="AW525" s="34"/>
      <c r="AX525" s="34"/>
      <c r="AY525" s="34"/>
      <c r="AZ525" s="34"/>
      <c r="BA525" s="34"/>
      <c r="BB525" s="34"/>
      <c r="BD525" s="34"/>
      <c r="BE525" s="34"/>
      <c r="BF525" s="34"/>
      <c r="BG525" s="34"/>
      <c r="BH525" s="34"/>
      <c r="BI525" s="34"/>
      <c r="BJ525" s="34"/>
      <c r="BK525" s="34"/>
      <c r="BL525" s="34"/>
      <c r="BM525" s="34"/>
      <c r="BN525" s="34"/>
      <c r="BO525" s="34"/>
      <c r="BP525" s="34"/>
      <c r="BQ525" s="34"/>
      <c r="BR525" s="34"/>
      <c r="BS525" s="34"/>
      <c r="BT525" s="34"/>
      <c r="BU525" s="34"/>
      <c r="BV525" s="34"/>
      <c r="BW525" s="34"/>
      <c r="BX525" s="34"/>
      <c r="BY525" s="34"/>
    </row>
    <row r="526" spans="1:77" x14ac:dyDescent="0.3">
      <c r="A526" s="39"/>
      <c r="B526" s="42"/>
      <c r="C526" s="42"/>
      <c r="D526" s="75"/>
      <c r="E526" s="75"/>
      <c r="F526" s="76"/>
      <c r="G526" s="47"/>
      <c r="H526" s="47"/>
      <c r="I526" s="75"/>
      <c r="J526" s="76"/>
      <c r="K526" s="76"/>
      <c r="L526" s="75"/>
      <c r="M526" s="49"/>
      <c r="N526" s="76"/>
      <c r="O526" s="49"/>
      <c r="P526" s="77"/>
      <c r="Q526" s="53"/>
      <c r="R526" s="54"/>
      <c r="S526" s="55"/>
      <c r="T526" s="56"/>
      <c r="U526" s="56"/>
      <c r="V526" s="42"/>
      <c r="W526" s="57"/>
      <c r="X526" s="58"/>
      <c r="Y526" s="75"/>
      <c r="Z526" s="59"/>
      <c r="AA526" s="61"/>
      <c r="AB526" s="61"/>
      <c r="AC526" s="61"/>
      <c r="AD526" s="62"/>
      <c r="AE526" s="62"/>
      <c r="AF526" s="34"/>
      <c r="AG526" s="34"/>
      <c r="AH526" s="34"/>
      <c r="AI526" s="34"/>
      <c r="AJ526" s="34"/>
      <c r="AK526" s="34"/>
      <c r="AL526" s="34"/>
      <c r="AM526" s="34"/>
      <c r="AN526" s="34"/>
      <c r="AO526" s="34"/>
      <c r="AP526" s="34"/>
      <c r="AQ526" s="34"/>
      <c r="AR526" s="34"/>
      <c r="AS526" s="34"/>
      <c r="AT526" s="34"/>
      <c r="AU526" s="34"/>
      <c r="AV526" s="34"/>
      <c r="AW526" s="34"/>
      <c r="AX526" s="34"/>
      <c r="AY526" s="34"/>
      <c r="AZ526" s="34"/>
      <c r="BA526" s="34"/>
      <c r="BB526" s="34"/>
      <c r="BD526" s="34"/>
      <c r="BE526" s="34"/>
      <c r="BF526" s="34"/>
      <c r="BG526" s="34"/>
      <c r="BH526" s="34"/>
      <c r="BI526" s="34"/>
      <c r="BJ526" s="34"/>
      <c r="BK526" s="34"/>
      <c r="BL526" s="34"/>
      <c r="BM526" s="34"/>
      <c r="BN526" s="34"/>
      <c r="BO526" s="34"/>
      <c r="BP526" s="34"/>
      <c r="BQ526" s="34"/>
      <c r="BR526" s="34"/>
      <c r="BS526" s="34"/>
      <c r="BT526" s="34"/>
      <c r="BU526" s="34"/>
      <c r="BV526" s="34"/>
      <c r="BW526" s="34"/>
      <c r="BX526" s="34"/>
      <c r="BY526" s="34"/>
    </row>
    <row r="527" spans="1:77" x14ac:dyDescent="0.3">
      <c r="A527" s="39"/>
      <c r="B527" s="42"/>
      <c r="C527" s="42"/>
      <c r="D527" s="75"/>
      <c r="E527" s="75"/>
      <c r="F527" s="76"/>
      <c r="G527" s="47"/>
      <c r="H527" s="47"/>
      <c r="I527" s="75"/>
      <c r="J527" s="76"/>
      <c r="K527" s="76"/>
      <c r="L527" s="75"/>
      <c r="M527" s="49"/>
      <c r="N527" s="76"/>
      <c r="O527" s="49"/>
      <c r="P527" s="77"/>
      <c r="Q527" s="53"/>
      <c r="R527" s="54"/>
      <c r="S527" s="55"/>
      <c r="T527" s="56"/>
      <c r="U527" s="56"/>
      <c r="V527" s="42"/>
      <c r="W527" s="57"/>
      <c r="X527" s="58"/>
      <c r="Y527" s="75"/>
      <c r="Z527" s="59"/>
      <c r="AA527" s="61"/>
      <c r="AB527" s="61"/>
      <c r="AC527" s="61"/>
      <c r="AD527" s="62"/>
      <c r="AE527" s="62"/>
      <c r="AF527" s="34"/>
      <c r="AG527" s="34"/>
      <c r="AH527" s="34"/>
      <c r="AI527" s="34"/>
      <c r="AJ527" s="34"/>
      <c r="AK527" s="34"/>
      <c r="AL527" s="34"/>
      <c r="AM527" s="34"/>
      <c r="AN527" s="34"/>
      <c r="AO527" s="34"/>
      <c r="AP527" s="34"/>
      <c r="AQ527" s="34"/>
      <c r="AR527" s="34"/>
      <c r="AS527" s="34"/>
      <c r="AT527" s="34"/>
      <c r="AU527" s="34"/>
      <c r="AV527" s="34"/>
      <c r="AW527" s="34"/>
      <c r="AX527" s="34"/>
      <c r="AY527" s="34"/>
      <c r="AZ527" s="34"/>
      <c r="BA527" s="34"/>
      <c r="BB527" s="34"/>
      <c r="BD527" s="34"/>
      <c r="BE527" s="34"/>
      <c r="BF527" s="34"/>
      <c r="BG527" s="34"/>
      <c r="BH527" s="34"/>
      <c r="BI527" s="34"/>
      <c r="BJ527" s="34"/>
      <c r="BK527" s="34"/>
      <c r="BL527" s="34"/>
      <c r="BM527" s="34"/>
      <c r="BN527" s="34"/>
      <c r="BO527" s="34"/>
      <c r="BP527" s="34"/>
      <c r="BQ527" s="34"/>
      <c r="BR527" s="34"/>
      <c r="BS527" s="34"/>
      <c r="BT527" s="34"/>
      <c r="BU527" s="34"/>
      <c r="BV527" s="34"/>
      <c r="BW527" s="34"/>
      <c r="BX527" s="34"/>
      <c r="BY527" s="34"/>
    </row>
    <row r="528" spans="1:77" x14ac:dyDescent="0.3">
      <c r="A528" s="39"/>
      <c r="B528" s="42"/>
      <c r="C528" s="42"/>
      <c r="D528" s="75"/>
      <c r="E528" s="75"/>
      <c r="F528" s="76"/>
      <c r="G528" s="47"/>
      <c r="H528" s="47"/>
      <c r="I528" s="75"/>
      <c r="J528" s="76"/>
      <c r="K528" s="76"/>
      <c r="L528" s="75"/>
      <c r="M528" s="49"/>
      <c r="N528" s="76"/>
      <c r="O528" s="49"/>
      <c r="P528" s="77"/>
      <c r="Q528" s="53"/>
      <c r="R528" s="54"/>
      <c r="S528" s="55"/>
      <c r="T528" s="56"/>
      <c r="U528" s="56"/>
      <c r="V528" s="42"/>
      <c r="W528" s="57"/>
      <c r="X528" s="58"/>
      <c r="Y528" s="75"/>
      <c r="Z528" s="59"/>
      <c r="AA528" s="61"/>
      <c r="AB528" s="61"/>
      <c r="AC528" s="61"/>
      <c r="AD528" s="62"/>
      <c r="AE528" s="62"/>
      <c r="AF528" s="34"/>
      <c r="AG528" s="34"/>
      <c r="AH528" s="34"/>
      <c r="AI528" s="34"/>
      <c r="AJ528" s="34"/>
      <c r="AK528" s="34"/>
      <c r="AL528" s="34"/>
      <c r="AM528" s="34"/>
      <c r="AN528" s="34"/>
      <c r="AO528" s="34"/>
      <c r="AP528" s="34"/>
      <c r="AQ528" s="34"/>
      <c r="AR528" s="34"/>
      <c r="AS528" s="34"/>
      <c r="AT528" s="34"/>
      <c r="AU528" s="34"/>
      <c r="AV528" s="34"/>
      <c r="AW528" s="34"/>
      <c r="AX528" s="34"/>
      <c r="AY528" s="34"/>
      <c r="AZ528" s="34"/>
      <c r="BA528" s="34"/>
      <c r="BB528" s="34"/>
      <c r="BD528" s="34"/>
      <c r="BE528" s="34"/>
      <c r="BF528" s="34"/>
      <c r="BG528" s="34"/>
      <c r="BH528" s="34"/>
      <c r="BI528" s="34"/>
      <c r="BJ528" s="34"/>
      <c r="BK528" s="34"/>
      <c r="BL528" s="34"/>
      <c r="BM528" s="34"/>
      <c r="BN528" s="34"/>
      <c r="BO528" s="34"/>
      <c r="BP528" s="34"/>
      <c r="BQ528" s="34"/>
      <c r="BR528" s="34"/>
      <c r="BS528" s="34"/>
      <c r="BT528" s="34"/>
      <c r="BU528" s="34"/>
      <c r="BV528" s="34"/>
      <c r="BW528" s="34"/>
      <c r="BX528" s="34"/>
      <c r="BY528" s="34"/>
    </row>
    <row r="529" spans="1:77" x14ac:dyDescent="0.3">
      <c r="A529" s="39"/>
      <c r="B529" s="42"/>
      <c r="C529" s="42"/>
      <c r="D529" s="75"/>
      <c r="E529" s="75"/>
      <c r="F529" s="76"/>
      <c r="G529" s="47"/>
      <c r="H529" s="47"/>
      <c r="I529" s="75"/>
      <c r="J529" s="76"/>
      <c r="K529" s="76"/>
      <c r="L529" s="75"/>
      <c r="M529" s="49"/>
      <c r="N529" s="76"/>
      <c r="O529" s="49"/>
      <c r="P529" s="77"/>
      <c r="Q529" s="53"/>
      <c r="R529" s="54"/>
      <c r="S529" s="55"/>
      <c r="T529" s="56"/>
      <c r="U529" s="56"/>
      <c r="V529" s="42"/>
      <c r="W529" s="57"/>
      <c r="X529" s="58"/>
      <c r="Y529" s="75"/>
      <c r="Z529" s="59"/>
      <c r="AA529" s="61"/>
      <c r="AB529" s="61"/>
      <c r="AC529" s="61"/>
      <c r="AD529" s="62"/>
      <c r="AE529" s="62"/>
      <c r="AF529" s="34"/>
      <c r="AG529" s="34"/>
      <c r="AH529" s="34"/>
      <c r="AI529" s="34"/>
      <c r="AJ529" s="34"/>
      <c r="AK529" s="34"/>
      <c r="AL529" s="34"/>
      <c r="AM529" s="34"/>
      <c r="AN529" s="34"/>
      <c r="AO529" s="34"/>
      <c r="AP529" s="34"/>
      <c r="AQ529" s="34"/>
      <c r="AR529" s="34"/>
      <c r="AS529" s="34"/>
      <c r="AT529" s="34"/>
      <c r="AU529" s="34"/>
      <c r="AV529" s="34"/>
      <c r="AW529" s="34"/>
      <c r="AX529" s="34"/>
      <c r="AY529" s="34"/>
      <c r="AZ529" s="34"/>
      <c r="BA529" s="34"/>
      <c r="BB529" s="34"/>
      <c r="BD529" s="34"/>
      <c r="BE529" s="34"/>
      <c r="BF529" s="34"/>
      <c r="BG529" s="34"/>
      <c r="BH529" s="34"/>
      <c r="BI529" s="34"/>
      <c r="BJ529" s="34"/>
      <c r="BK529" s="34"/>
      <c r="BL529" s="34"/>
      <c r="BM529" s="34"/>
      <c r="BN529" s="34"/>
      <c r="BO529" s="34"/>
      <c r="BP529" s="34"/>
      <c r="BQ529" s="34"/>
      <c r="BR529" s="34"/>
      <c r="BS529" s="34"/>
      <c r="BT529" s="34"/>
      <c r="BU529" s="34"/>
      <c r="BV529" s="34"/>
      <c r="BW529" s="34"/>
      <c r="BX529" s="34"/>
      <c r="BY529" s="34"/>
    </row>
    <row r="530" spans="1:77" x14ac:dyDescent="0.3">
      <c r="A530" s="39"/>
      <c r="B530" s="42"/>
      <c r="C530" s="42"/>
      <c r="D530" s="75"/>
      <c r="E530" s="75"/>
      <c r="F530" s="76"/>
      <c r="G530" s="47"/>
      <c r="H530" s="47"/>
      <c r="I530" s="75"/>
      <c r="J530" s="76"/>
      <c r="K530" s="76"/>
      <c r="L530" s="75"/>
      <c r="M530" s="49"/>
      <c r="N530" s="76"/>
      <c r="O530" s="49"/>
      <c r="P530" s="77"/>
      <c r="Q530" s="53"/>
      <c r="R530" s="54"/>
      <c r="S530" s="55"/>
      <c r="T530" s="56"/>
      <c r="U530" s="56"/>
      <c r="V530" s="42"/>
      <c r="W530" s="57"/>
      <c r="X530" s="58"/>
      <c r="Y530" s="75"/>
      <c r="Z530" s="59"/>
      <c r="AA530" s="61"/>
      <c r="AB530" s="61"/>
      <c r="AC530" s="61"/>
      <c r="AD530" s="62"/>
      <c r="AE530" s="62"/>
      <c r="AF530" s="34"/>
      <c r="AG530" s="34"/>
      <c r="AH530" s="34"/>
      <c r="AI530" s="34"/>
      <c r="AJ530" s="34"/>
      <c r="AK530" s="34"/>
      <c r="AL530" s="34"/>
      <c r="AM530" s="34"/>
      <c r="AN530" s="34"/>
      <c r="AO530" s="34"/>
      <c r="AP530" s="34"/>
      <c r="AQ530" s="34"/>
      <c r="AR530" s="34"/>
      <c r="AS530" s="34"/>
      <c r="AT530" s="34"/>
      <c r="AU530" s="34"/>
      <c r="AV530" s="34"/>
      <c r="AW530" s="34"/>
      <c r="AX530" s="34"/>
      <c r="AY530" s="34"/>
      <c r="AZ530" s="34"/>
      <c r="BA530" s="34"/>
      <c r="BB530" s="34"/>
      <c r="BD530" s="34"/>
      <c r="BE530" s="34"/>
      <c r="BF530" s="34"/>
      <c r="BG530" s="34"/>
      <c r="BH530" s="34"/>
      <c r="BI530" s="34"/>
      <c r="BJ530" s="34"/>
      <c r="BK530" s="34"/>
      <c r="BL530" s="34"/>
      <c r="BM530" s="34"/>
      <c r="BN530" s="34"/>
      <c r="BO530" s="34"/>
      <c r="BP530" s="34"/>
      <c r="BQ530" s="34"/>
      <c r="BR530" s="34"/>
      <c r="BS530" s="34"/>
      <c r="BT530" s="34"/>
      <c r="BU530" s="34"/>
      <c r="BV530" s="34"/>
      <c r="BW530" s="34"/>
      <c r="BX530" s="34"/>
      <c r="BY530" s="34"/>
    </row>
    <row r="531" spans="1:77" x14ac:dyDescent="0.3">
      <c r="A531" s="39"/>
      <c r="B531" s="42"/>
      <c r="C531" s="42"/>
      <c r="D531" s="75"/>
      <c r="E531" s="75"/>
      <c r="F531" s="76"/>
      <c r="G531" s="47"/>
      <c r="H531" s="47"/>
      <c r="I531" s="75"/>
      <c r="J531" s="76"/>
      <c r="K531" s="76"/>
      <c r="L531" s="75"/>
      <c r="M531" s="49"/>
      <c r="N531" s="76"/>
      <c r="O531" s="49"/>
      <c r="P531" s="77"/>
      <c r="Q531" s="53"/>
      <c r="R531" s="54"/>
      <c r="S531" s="55"/>
      <c r="T531" s="56"/>
      <c r="U531" s="56"/>
      <c r="V531" s="42"/>
      <c r="W531" s="57"/>
      <c r="X531" s="58"/>
      <c r="Y531" s="75"/>
      <c r="Z531" s="59"/>
      <c r="AA531" s="61"/>
      <c r="AB531" s="61"/>
      <c r="AC531" s="61"/>
      <c r="AD531" s="62"/>
      <c r="AE531" s="62"/>
      <c r="AF531" s="34"/>
      <c r="AG531" s="34"/>
      <c r="AH531" s="34"/>
      <c r="AI531" s="34"/>
      <c r="AJ531" s="34"/>
      <c r="AK531" s="34"/>
      <c r="AL531" s="34"/>
      <c r="AM531" s="34"/>
      <c r="AN531" s="34"/>
      <c r="AO531" s="34"/>
      <c r="AP531" s="34"/>
      <c r="AQ531" s="34"/>
      <c r="AR531" s="34"/>
      <c r="AS531" s="34"/>
      <c r="AT531" s="34"/>
      <c r="AU531" s="34"/>
      <c r="AV531" s="34"/>
      <c r="AW531" s="34"/>
      <c r="AX531" s="34"/>
      <c r="AY531" s="34"/>
      <c r="AZ531" s="34"/>
      <c r="BA531" s="34"/>
      <c r="BB531" s="34"/>
      <c r="BD531" s="34"/>
      <c r="BE531" s="34"/>
      <c r="BF531" s="34"/>
      <c r="BG531" s="34"/>
      <c r="BH531" s="34"/>
      <c r="BI531" s="34"/>
      <c r="BJ531" s="34"/>
      <c r="BK531" s="34"/>
      <c r="BL531" s="34"/>
      <c r="BM531" s="34"/>
      <c r="BN531" s="34"/>
      <c r="BO531" s="34"/>
      <c r="BP531" s="34"/>
      <c r="BQ531" s="34"/>
      <c r="BR531" s="34"/>
      <c r="BS531" s="34"/>
      <c r="BT531" s="34"/>
      <c r="BU531" s="34"/>
      <c r="BV531" s="34"/>
      <c r="BW531" s="34"/>
      <c r="BX531" s="34"/>
      <c r="BY531" s="34"/>
    </row>
    <row r="532" spans="1:77" x14ac:dyDescent="0.3">
      <c r="A532" s="39"/>
      <c r="B532" s="42"/>
      <c r="C532" s="42"/>
      <c r="D532" s="75"/>
      <c r="E532" s="75"/>
      <c r="F532" s="76"/>
      <c r="G532" s="47"/>
      <c r="H532" s="47"/>
      <c r="I532" s="75"/>
      <c r="J532" s="76"/>
      <c r="K532" s="76"/>
      <c r="L532" s="75"/>
      <c r="M532" s="49"/>
      <c r="N532" s="76"/>
      <c r="O532" s="49"/>
      <c r="P532" s="77"/>
      <c r="Q532" s="53"/>
      <c r="R532" s="54"/>
      <c r="S532" s="55"/>
      <c r="T532" s="56"/>
      <c r="U532" s="56"/>
      <c r="V532" s="42"/>
      <c r="W532" s="57"/>
      <c r="X532" s="58"/>
      <c r="Y532" s="75"/>
      <c r="Z532" s="59"/>
      <c r="AA532" s="61"/>
      <c r="AB532" s="61"/>
      <c r="AC532" s="61"/>
      <c r="AD532" s="62"/>
      <c r="AE532" s="62"/>
      <c r="AF532" s="34"/>
      <c r="AG532" s="34"/>
      <c r="AH532" s="34"/>
      <c r="AI532" s="34"/>
      <c r="AJ532" s="34"/>
      <c r="AK532" s="34"/>
      <c r="AL532" s="34"/>
      <c r="AM532" s="34"/>
      <c r="AN532" s="34"/>
      <c r="AO532" s="34"/>
      <c r="AP532" s="34"/>
      <c r="AQ532" s="34"/>
      <c r="AR532" s="34"/>
      <c r="AS532" s="34"/>
      <c r="AT532" s="34"/>
      <c r="AU532" s="34"/>
      <c r="AV532" s="34"/>
      <c r="AW532" s="34"/>
      <c r="AX532" s="34"/>
      <c r="AY532" s="34"/>
      <c r="AZ532" s="34"/>
      <c r="BA532" s="34"/>
      <c r="BB532" s="34"/>
      <c r="BD532" s="34"/>
      <c r="BE532" s="34"/>
      <c r="BF532" s="34"/>
      <c r="BG532" s="34"/>
      <c r="BH532" s="34"/>
      <c r="BI532" s="34"/>
      <c r="BJ532" s="34"/>
      <c r="BK532" s="34"/>
      <c r="BL532" s="34"/>
      <c r="BM532" s="34"/>
      <c r="BN532" s="34"/>
      <c r="BO532" s="34"/>
      <c r="BP532" s="34"/>
      <c r="BQ532" s="34"/>
      <c r="BR532" s="34"/>
      <c r="BS532" s="34"/>
      <c r="BT532" s="34"/>
      <c r="BU532" s="34"/>
      <c r="BV532" s="34"/>
      <c r="BW532" s="34"/>
      <c r="BX532" s="34"/>
      <c r="BY532" s="34"/>
    </row>
    <row r="533" spans="1:77" x14ac:dyDescent="0.3">
      <c r="A533" s="39"/>
      <c r="B533" s="42"/>
      <c r="C533" s="42"/>
      <c r="D533" s="75"/>
      <c r="E533" s="75"/>
      <c r="F533" s="76"/>
      <c r="G533" s="47"/>
      <c r="H533" s="47"/>
      <c r="I533" s="75"/>
      <c r="J533" s="76"/>
      <c r="K533" s="76"/>
      <c r="L533" s="75"/>
      <c r="M533" s="49"/>
      <c r="N533" s="76"/>
      <c r="O533" s="49"/>
      <c r="P533" s="77"/>
      <c r="Q533" s="53"/>
      <c r="R533" s="54"/>
      <c r="S533" s="55"/>
      <c r="T533" s="56"/>
      <c r="U533" s="56"/>
      <c r="V533" s="42"/>
      <c r="W533" s="57"/>
      <c r="X533" s="58"/>
      <c r="Y533" s="75"/>
      <c r="Z533" s="59"/>
      <c r="AA533" s="61"/>
      <c r="AB533" s="61"/>
      <c r="AC533" s="61"/>
      <c r="AD533" s="62"/>
      <c r="AE533" s="62"/>
      <c r="AF533" s="34"/>
      <c r="AG533" s="34"/>
      <c r="AH533" s="34"/>
      <c r="AI533" s="34"/>
      <c r="AJ533" s="34"/>
      <c r="AK533" s="34"/>
      <c r="AL533" s="34"/>
      <c r="AM533" s="34"/>
      <c r="AN533" s="34"/>
      <c r="AO533" s="34"/>
      <c r="AP533" s="34"/>
      <c r="AQ533" s="34"/>
      <c r="AR533" s="34"/>
      <c r="AS533" s="34"/>
      <c r="AT533" s="34"/>
      <c r="AU533" s="34"/>
      <c r="AV533" s="34"/>
      <c r="AW533" s="34"/>
      <c r="AX533" s="34"/>
      <c r="AY533" s="34"/>
      <c r="AZ533" s="34"/>
      <c r="BA533" s="34"/>
      <c r="BB533" s="34"/>
      <c r="BD533" s="34"/>
      <c r="BE533" s="34"/>
      <c r="BF533" s="34"/>
      <c r="BG533" s="34"/>
      <c r="BH533" s="34"/>
      <c r="BI533" s="34"/>
      <c r="BJ533" s="34"/>
      <c r="BK533" s="34"/>
      <c r="BL533" s="34"/>
      <c r="BM533" s="34"/>
      <c r="BN533" s="34"/>
      <c r="BO533" s="34"/>
      <c r="BP533" s="34"/>
      <c r="BQ533" s="34"/>
      <c r="BR533" s="34"/>
      <c r="BS533" s="34"/>
      <c r="BT533" s="34"/>
      <c r="BU533" s="34"/>
      <c r="BV533" s="34"/>
      <c r="BW533" s="34"/>
      <c r="BX533" s="34"/>
      <c r="BY533" s="34"/>
    </row>
    <row r="534" spans="1:77" x14ac:dyDescent="0.3">
      <c r="A534" s="39"/>
      <c r="B534" s="42"/>
      <c r="C534" s="42"/>
      <c r="D534" s="75"/>
      <c r="E534" s="75"/>
      <c r="F534" s="76"/>
      <c r="G534" s="47"/>
      <c r="H534" s="47"/>
      <c r="I534" s="75"/>
      <c r="J534" s="76"/>
      <c r="K534" s="76"/>
      <c r="L534" s="75"/>
      <c r="M534" s="49"/>
      <c r="N534" s="76"/>
      <c r="O534" s="49"/>
      <c r="P534" s="77"/>
      <c r="Q534" s="53"/>
      <c r="R534" s="54"/>
      <c r="S534" s="55"/>
      <c r="T534" s="56"/>
      <c r="U534" s="56"/>
      <c r="V534" s="42"/>
      <c r="W534" s="57"/>
      <c r="X534" s="58"/>
      <c r="Y534" s="75"/>
      <c r="Z534" s="59"/>
      <c r="AA534" s="61"/>
      <c r="AB534" s="61"/>
      <c r="AC534" s="61"/>
      <c r="AD534" s="62"/>
      <c r="AE534" s="62"/>
      <c r="AF534" s="34"/>
      <c r="AG534" s="34"/>
      <c r="AH534" s="34"/>
      <c r="AI534" s="34"/>
      <c r="AJ534" s="34"/>
      <c r="AK534" s="34"/>
      <c r="AL534" s="34"/>
      <c r="AM534" s="34"/>
      <c r="AN534" s="34"/>
      <c r="AO534" s="34"/>
      <c r="AP534" s="34"/>
      <c r="AQ534" s="34"/>
      <c r="AR534" s="34"/>
      <c r="AS534" s="34"/>
      <c r="AT534" s="34"/>
      <c r="AU534" s="34"/>
      <c r="AV534" s="34"/>
      <c r="AW534" s="34"/>
      <c r="AX534" s="34"/>
      <c r="AY534" s="34"/>
      <c r="AZ534" s="34"/>
      <c r="BA534" s="34"/>
      <c r="BB534" s="34"/>
      <c r="BD534" s="34"/>
      <c r="BE534" s="34"/>
      <c r="BF534" s="34"/>
      <c r="BG534" s="34"/>
      <c r="BH534" s="34"/>
      <c r="BI534" s="34"/>
      <c r="BJ534" s="34"/>
      <c r="BK534" s="34"/>
      <c r="BL534" s="34"/>
      <c r="BM534" s="34"/>
      <c r="BN534" s="34"/>
      <c r="BO534" s="34"/>
      <c r="BP534" s="34"/>
      <c r="BQ534" s="34"/>
      <c r="BR534" s="34"/>
      <c r="BS534" s="34"/>
      <c r="BT534" s="34"/>
      <c r="BU534" s="34"/>
      <c r="BV534" s="34"/>
      <c r="BW534" s="34"/>
      <c r="BX534" s="34"/>
      <c r="BY534" s="34"/>
    </row>
    <row r="535" spans="1:77" x14ac:dyDescent="0.3">
      <c r="A535" s="39"/>
      <c r="B535" s="42"/>
      <c r="C535" s="42"/>
      <c r="D535" s="75"/>
      <c r="E535" s="75"/>
      <c r="F535" s="76"/>
      <c r="G535" s="47"/>
      <c r="H535" s="47"/>
      <c r="I535" s="75"/>
      <c r="J535" s="76"/>
      <c r="K535" s="76"/>
      <c r="L535" s="75"/>
      <c r="M535" s="49"/>
      <c r="N535" s="76"/>
      <c r="O535" s="49"/>
      <c r="P535" s="77"/>
      <c r="Q535" s="53"/>
      <c r="R535" s="54"/>
      <c r="S535" s="55"/>
      <c r="T535" s="56"/>
      <c r="U535" s="56"/>
      <c r="V535" s="42"/>
      <c r="W535" s="57"/>
      <c r="X535" s="58"/>
      <c r="Y535" s="75"/>
      <c r="Z535" s="59"/>
      <c r="AA535" s="61"/>
      <c r="AB535" s="61"/>
      <c r="AC535" s="61"/>
      <c r="AD535" s="62"/>
      <c r="AE535" s="62"/>
      <c r="AF535" s="34"/>
      <c r="AG535" s="34"/>
      <c r="AH535" s="34"/>
      <c r="AI535" s="34"/>
      <c r="AJ535" s="34"/>
      <c r="AK535" s="34"/>
      <c r="AL535" s="34"/>
      <c r="AM535" s="34"/>
      <c r="AN535" s="34"/>
      <c r="AO535" s="34"/>
      <c r="AP535" s="34"/>
      <c r="AQ535" s="34"/>
      <c r="AR535" s="34"/>
      <c r="AS535" s="34"/>
      <c r="AT535" s="34"/>
      <c r="AU535" s="34"/>
      <c r="AV535" s="34"/>
      <c r="AW535" s="34"/>
      <c r="AX535" s="34"/>
      <c r="AY535" s="34"/>
      <c r="AZ535" s="34"/>
      <c r="BA535" s="34"/>
      <c r="BB535" s="34"/>
      <c r="BD535" s="34"/>
      <c r="BE535" s="34"/>
      <c r="BF535" s="34"/>
      <c r="BG535" s="34"/>
      <c r="BH535" s="34"/>
      <c r="BI535" s="34"/>
      <c r="BJ535" s="34"/>
      <c r="BK535" s="34"/>
      <c r="BL535" s="34"/>
      <c r="BM535" s="34"/>
      <c r="BN535" s="34"/>
      <c r="BO535" s="34"/>
      <c r="BP535" s="34"/>
      <c r="BQ535" s="34"/>
      <c r="BR535" s="34"/>
      <c r="BS535" s="34"/>
      <c r="BT535" s="34"/>
      <c r="BU535" s="34"/>
      <c r="BV535" s="34"/>
      <c r="BW535" s="34"/>
      <c r="BX535" s="34"/>
      <c r="BY535" s="34"/>
    </row>
    <row r="536" spans="1:77" x14ac:dyDescent="0.3">
      <c r="A536" s="39"/>
      <c r="B536" s="42"/>
      <c r="C536" s="42"/>
      <c r="D536" s="75"/>
      <c r="E536" s="75"/>
      <c r="F536" s="76"/>
      <c r="G536" s="47"/>
      <c r="H536" s="47"/>
      <c r="I536" s="75"/>
      <c r="J536" s="76"/>
      <c r="K536" s="76"/>
      <c r="L536" s="75"/>
      <c r="M536" s="49"/>
      <c r="N536" s="76"/>
      <c r="O536" s="49"/>
      <c r="P536" s="77"/>
      <c r="Q536" s="53"/>
      <c r="R536" s="54"/>
      <c r="S536" s="55"/>
      <c r="T536" s="56"/>
      <c r="U536" s="56"/>
      <c r="V536" s="42"/>
      <c r="W536" s="57"/>
      <c r="X536" s="58"/>
      <c r="Y536" s="75"/>
      <c r="Z536" s="59"/>
      <c r="AA536" s="61"/>
      <c r="AB536" s="61"/>
      <c r="AC536" s="61"/>
      <c r="AD536" s="62"/>
      <c r="AE536" s="62"/>
      <c r="AF536" s="34"/>
      <c r="AG536" s="34"/>
      <c r="AH536" s="34"/>
      <c r="AI536" s="34"/>
      <c r="AJ536" s="34"/>
      <c r="AK536" s="34"/>
      <c r="AL536" s="34"/>
      <c r="AM536" s="34"/>
      <c r="AN536" s="34"/>
      <c r="AO536" s="34"/>
      <c r="AP536" s="34"/>
      <c r="AQ536" s="34"/>
      <c r="AR536" s="34"/>
      <c r="AS536" s="34"/>
      <c r="AT536" s="34"/>
      <c r="AU536" s="34"/>
      <c r="AV536" s="34"/>
      <c r="AW536" s="34"/>
      <c r="AX536" s="34"/>
      <c r="AY536" s="34"/>
      <c r="AZ536" s="34"/>
      <c r="BA536" s="34"/>
      <c r="BB536" s="34"/>
      <c r="BD536" s="34"/>
      <c r="BE536" s="34"/>
      <c r="BF536" s="34"/>
      <c r="BG536" s="34"/>
      <c r="BH536" s="34"/>
      <c r="BI536" s="34"/>
      <c r="BJ536" s="34"/>
      <c r="BK536" s="34"/>
      <c r="BL536" s="34"/>
      <c r="BM536" s="34"/>
      <c r="BN536" s="34"/>
      <c r="BO536" s="34"/>
      <c r="BP536" s="34"/>
      <c r="BQ536" s="34"/>
      <c r="BR536" s="34"/>
      <c r="BS536" s="34"/>
      <c r="BT536" s="34"/>
      <c r="BU536" s="34"/>
      <c r="BV536" s="34"/>
      <c r="BW536" s="34"/>
      <c r="BX536" s="34"/>
      <c r="BY536" s="34"/>
    </row>
    <row r="537" spans="1:77" x14ac:dyDescent="0.3">
      <c r="A537" s="39"/>
      <c r="B537" s="42"/>
      <c r="C537" s="42"/>
      <c r="D537" s="75"/>
      <c r="E537" s="75"/>
      <c r="F537" s="76"/>
      <c r="G537" s="47"/>
      <c r="H537" s="47"/>
      <c r="I537" s="75"/>
      <c r="J537" s="76"/>
      <c r="K537" s="76"/>
      <c r="L537" s="75"/>
      <c r="M537" s="49"/>
      <c r="N537" s="76"/>
      <c r="O537" s="49"/>
      <c r="P537" s="77"/>
      <c r="Q537" s="53"/>
      <c r="R537" s="54"/>
      <c r="S537" s="55"/>
      <c r="T537" s="56"/>
      <c r="U537" s="56"/>
      <c r="V537" s="42"/>
      <c r="W537" s="57"/>
      <c r="X537" s="58"/>
      <c r="Y537" s="75"/>
      <c r="Z537" s="59"/>
      <c r="AA537" s="61"/>
      <c r="AB537" s="61"/>
      <c r="AC537" s="61"/>
      <c r="AD537" s="62"/>
      <c r="AE537" s="62"/>
      <c r="AF537" s="34"/>
      <c r="AG537" s="34"/>
      <c r="AH537" s="34"/>
      <c r="AI537" s="34"/>
      <c r="AJ537" s="34"/>
      <c r="AK537" s="34"/>
      <c r="AL537" s="34"/>
      <c r="AM537" s="34"/>
      <c r="AN537" s="34"/>
      <c r="AO537" s="34"/>
      <c r="AP537" s="34"/>
      <c r="AQ537" s="34"/>
      <c r="AR537" s="34"/>
      <c r="AS537" s="34"/>
      <c r="AT537" s="34"/>
      <c r="AU537" s="34"/>
      <c r="AV537" s="34"/>
      <c r="AW537" s="34"/>
      <c r="AX537" s="34"/>
      <c r="AY537" s="34"/>
      <c r="AZ537" s="34"/>
      <c r="BA537" s="34"/>
      <c r="BB537" s="34"/>
      <c r="BD537" s="34"/>
      <c r="BE537" s="34"/>
      <c r="BF537" s="34"/>
      <c r="BG537" s="34"/>
      <c r="BH537" s="34"/>
      <c r="BI537" s="34"/>
      <c r="BJ537" s="34"/>
      <c r="BK537" s="34"/>
      <c r="BL537" s="34"/>
      <c r="BM537" s="34"/>
      <c r="BN537" s="34"/>
      <c r="BO537" s="34"/>
      <c r="BP537" s="34"/>
      <c r="BQ537" s="34"/>
      <c r="BR537" s="34"/>
      <c r="BS537" s="34"/>
      <c r="BT537" s="34"/>
      <c r="BU537" s="34"/>
      <c r="BV537" s="34"/>
      <c r="BW537" s="34"/>
      <c r="BX537" s="34"/>
      <c r="BY537" s="34"/>
    </row>
    <row r="538" spans="1:77" x14ac:dyDescent="0.3">
      <c r="A538" s="39"/>
      <c r="B538" s="42"/>
      <c r="C538" s="42"/>
      <c r="D538" s="75"/>
      <c r="E538" s="75"/>
      <c r="F538" s="76"/>
      <c r="G538" s="47"/>
      <c r="H538" s="47"/>
      <c r="I538" s="75"/>
      <c r="J538" s="76"/>
      <c r="K538" s="76"/>
      <c r="L538" s="75"/>
      <c r="M538" s="49"/>
      <c r="N538" s="76"/>
      <c r="O538" s="49"/>
      <c r="P538" s="77"/>
      <c r="Q538" s="53"/>
      <c r="R538" s="54"/>
      <c r="S538" s="55"/>
      <c r="T538" s="56"/>
      <c r="U538" s="56"/>
      <c r="V538" s="42"/>
      <c r="W538" s="57"/>
      <c r="X538" s="58"/>
      <c r="Y538" s="75"/>
      <c r="Z538" s="59"/>
      <c r="AA538" s="61"/>
      <c r="AB538" s="61"/>
      <c r="AC538" s="61"/>
      <c r="AD538" s="62"/>
      <c r="AE538" s="62"/>
      <c r="AF538" s="34"/>
      <c r="AG538" s="34"/>
      <c r="AH538" s="34"/>
      <c r="AI538" s="34"/>
      <c r="AJ538" s="34"/>
      <c r="AK538" s="34"/>
      <c r="AL538" s="34"/>
      <c r="AM538" s="34"/>
      <c r="AN538" s="34"/>
      <c r="AO538" s="34"/>
      <c r="AP538" s="34"/>
      <c r="AQ538" s="34"/>
      <c r="AR538" s="34"/>
      <c r="AS538" s="34"/>
      <c r="AT538" s="34"/>
      <c r="AU538" s="34"/>
      <c r="AV538" s="34"/>
      <c r="AW538" s="34"/>
      <c r="AX538" s="34"/>
      <c r="AY538" s="34"/>
      <c r="AZ538" s="34"/>
      <c r="BA538" s="34"/>
      <c r="BB538" s="34"/>
      <c r="BD538" s="34"/>
      <c r="BE538" s="34"/>
      <c r="BF538" s="34"/>
      <c r="BG538" s="34"/>
      <c r="BH538" s="34"/>
      <c r="BI538" s="34"/>
      <c r="BJ538" s="34"/>
      <c r="BK538" s="34"/>
      <c r="BL538" s="34"/>
      <c r="BM538" s="34"/>
      <c r="BN538" s="34"/>
      <c r="BO538" s="34"/>
      <c r="BP538" s="34"/>
      <c r="BQ538" s="34"/>
      <c r="BR538" s="34"/>
      <c r="BS538" s="34"/>
      <c r="BT538" s="34"/>
      <c r="BU538" s="34"/>
      <c r="BV538" s="34"/>
      <c r="BW538" s="34"/>
      <c r="BX538" s="34"/>
      <c r="BY538" s="34"/>
    </row>
    <row r="539" spans="1:77" x14ac:dyDescent="0.3">
      <c r="A539" s="39"/>
      <c r="B539" s="42"/>
      <c r="C539" s="42"/>
      <c r="D539" s="75"/>
      <c r="E539" s="75"/>
      <c r="F539" s="76"/>
      <c r="G539" s="47"/>
      <c r="H539" s="47"/>
      <c r="I539" s="75"/>
      <c r="J539" s="76"/>
      <c r="K539" s="76"/>
      <c r="L539" s="75"/>
      <c r="M539" s="49"/>
      <c r="N539" s="76"/>
      <c r="O539" s="49"/>
      <c r="P539" s="77"/>
      <c r="Q539" s="53"/>
      <c r="R539" s="54"/>
      <c r="S539" s="55"/>
      <c r="T539" s="56"/>
      <c r="U539" s="56"/>
      <c r="V539" s="42"/>
      <c r="W539" s="57"/>
      <c r="X539" s="58"/>
      <c r="Y539" s="75"/>
      <c r="Z539" s="59"/>
      <c r="AA539" s="61"/>
      <c r="AB539" s="61"/>
      <c r="AC539" s="61"/>
      <c r="AD539" s="62"/>
      <c r="AE539" s="62"/>
      <c r="AF539" s="34"/>
      <c r="AG539" s="34"/>
      <c r="AH539" s="34"/>
      <c r="AI539" s="34"/>
      <c r="AJ539" s="34"/>
      <c r="AK539" s="34"/>
      <c r="AL539" s="34"/>
      <c r="AM539" s="34"/>
      <c r="AN539" s="34"/>
      <c r="AO539" s="34"/>
      <c r="AP539" s="34"/>
      <c r="AQ539" s="34"/>
      <c r="AR539" s="34"/>
      <c r="AS539" s="34"/>
      <c r="AT539" s="34"/>
      <c r="AU539" s="34"/>
      <c r="AV539" s="34"/>
      <c r="AW539" s="34"/>
      <c r="AX539" s="34"/>
      <c r="AY539" s="34"/>
      <c r="AZ539" s="34"/>
      <c r="BA539" s="34"/>
      <c r="BB539" s="34"/>
      <c r="BD539" s="34"/>
      <c r="BE539" s="34"/>
      <c r="BF539" s="34"/>
      <c r="BG539" s="34"/>
      <c r="BH539" s="34"/>
      <c r="BI539" s="34"/>
      <c r="BJ539" s="34"/>
      <c r="BK539" s="34"/>
      <c r="BL539" s="34"/>
      <c r="BM539" s="34"/>
      <c r="BN539" s="34"/>
      <c r="BO539" s="34"/>
      <c r="BP539" s="34"/>
      <c r="BQ539" s="34"/>
      <c r="BR539" s="34"/>
      <c r="BS539" s="34"/>
      <c r="BT539" s="34"/>
      <c r="BU539" s="34"/>
      <c r="BV539" s="34"/>
      <c r="BW539" s="34"/>
      <c r="BX539" s="34"/>
      <c r="BY539" s="34"/>
    </row>
    <row r="540" spans="1:77" x14ac:dyDescent="0.3">
      <c r="A540" s="39"/>
      <c r="B540" s="42"/>
      <c r="C540" s="42"/>
      <c r="D540" s="75"/>
      <c r="E540" s="75"/>
      <c r="F540" s="76"/>
      <c r="G540" s="47"/>
      <c r="H540" s="47"/>
      <c r="I540" s="75"/>
      <c r="J540" s="76"/>
      <c r="K540" s="76"/>
      <c r="L540" s="75"/>
      <c r="M540" s="49"/>
      <c r="N540" s="76"/>
      <c r="O540" s="49"/>
      <c r="P540" s="77"/>
      <c r="Q540" s="53"/>
      <c r="R540" s="54"/>
      <c r="S540" s="55"/>
      <c r="T540" s="56"/>
      <c r="U540" s="56"/>
      <c r="V540" s="42"/>
      <c r="W540" s="57"/>
      <c r="X540" s="58"/>
      <c r="Y540" s="75"/>
      <c r="Z540" s="59"/>
      <c r="AA540" s="61"/>
      <c r="AB540" s="61"/>
      <c r="AC540" s="61"/>
      <c r="AD540" s="62"/>
      <c r="AE540" s="62"/>
      <c r="AF540" s="34"/>
      <c r="AG540" s="34"/>
      <c r="AH540" s="34"/>
      <c r="AI540" s="34"/>
      <c r="AJ540" s="34"/>
      <c r="AK540" s="34"/>
      <c r="AL540" s="34"/>
      <c r="AM540" s="34"/>
      <c r="AN540" s="34"/>
      <c r="AO540" s="34"/>
      <c r="AP540" s="34"/>
      <c r="AQ540" s="34"/>
      <c r="AR540" s="34"/>
      <c r="AS540" s="34"/>
      <c r="AT540" s="34"/>
      <c r="AU540" s="34"/>
      <c r="AV540" s="34"/>
      <c r="AW540" s="34"/>
      <c r="AX540" s="34"/>
      <c r="AY540" s="34"/>
      <c r="AZ540" s="34"/>
      <c r="BA540" s="34"/>
      <c r="BB540" s="34"/>
      <c r="BD540" s="34"/>
      <c r="BE540" s="34"/>
      <c r="BF540" s="34"/>
      <c r="BG540" s="34"/>
      <c r="BH540" s="34"/>
      <c r="BI540" s="34"/>
      <c r="BJ540" s="34"/>
      <c r="BK540" s="34"/>
      <c r="BL540" s="34"/>
      <c r="BM540" s="34"/>
      <c r="BN540" s="34"/>
      <c r="BO540" s="34"/>
      <c r="BP540" s="34"/>
      <c r="BQ540" s="34"/>
      <c r="BR540" s="34"/>
      <c r="BS540" s="34"/>
      <c r="BT540" s="34"/>
      <c r="BU540" s="34"/>
      <c r="BV540" s="34"/>
      <c r="BW540" s="34"/>
      <c r="BX540" s="34"/>
      <c r="BY540" s="34"/>
    </row>
    <row r="541" spans="1:77" x14ac:dyDescent="0.3">
      <c r="A541" s="39"/>
      <c r="B541" s="42"/>
      <c r="C541" s="42"/>
      <c r="D541" s="75"/>
      <c r="E541" s="75"/>
      <c r="F541" s="76"/>
      <c r="G541" s="47"/>
      <c r="H541" s="47"/>
      <c r="I541" s="75"/>
      <c r="J541" s="76"/>
      <c r="K541" s="76"/>
      <c r="L541" s="75"/>
      <c r="M541" s="49"/>
      <c r="N541" s="76"/>
      <c r="O541" s="49"/>
      <c r="P541" s="77"/>
      <c r="Q541" s="53"/>
      <c r="R541" s="54"/>
      <c r="S541" s="55"/>
      <c r="T541" s="56"/>
      <c r="U541" s="56"/>
      <c r="V541" s="42"/>
      <c r="W541" s="57"/>
      <c r="X541" s="58"/>
      <c r="Y541" s="75"/>
      <c r="Z541" s="59"/>
      <c r="AA541" s="61"/>
      <c r="AB541" s="61"/>
      <c r="AC541" s="61"/>
      <c r="AD541" s="62"/>
      <c r="AE541" s="62"/>
      <c r="AF541" s="34"/>
      <c r="AG541" s="34"/>
      <c r="AH541" s="34"/>
      <c r="AI541" s="34"/>
      <c r="AJ541" s="34"/>
      <c r="AK541" s="34"/>
      <c r="AL541" s="34"/>
      <c r="AM541" s="34"/>
      <c r="AN541" s="34"/>
      <c r="AO541" s="34"/>
      <c r="AP541" s="34"/>
      <c r="AQ541" s="34"/>
      <c r="AR541" s="34"/>
      <c r="AS541" s="34"/>
      <c r="AT541" s="34"/>
      <c r="AU541" s="34"/>
      <c r="AV541" s="34"/>
      <c r="AW541" s="34"/>
      <c r="AX541" s="34"/>
      <c r="AY541" s="34"/>
      <c r="AZ541" s="34"/>
      <c r="BA541" s="34"/>
      <c r="BB541" s="34"/>
      <c r="BD541" s="34"/>
      <c r="BE541" s="34"/>
      <c r="BF541" s="34"/>
      <c r="BG541" s="34"/>
      <c r="BH541" s="34"/>
      <c r="BI541" s="34"/>
      <c r="BJ541" s="34"/>
      <c r="BK541" s="34"/>
      <c r="BL541" s="34"/>
      <c r="BM541" s="34"/>
      <c r="BN541" s="34"/>
      <c r="BO541" s="34"/>
      <c r="BP541" s="34"/>
      <c r="BQ541" s="34"/>
      <c r="BR541" s="34"/>
      <c r="BS541" s="34"/>
      <c r="BT541" s="34"/>
      <c r="BU541" s="34"/>
      <c r="BV541" s="34"/>
      <c r="BW541" s="34"/>
      <c r="BX541" s="34"/>
      <c r="BY541" s="34"/>
    </row>
    <row r="542" spans="1:77" x14ac:dyDescent="0.3">
      <c r="A542" s="39"/>
      <c r="B542" s="42"/>
      <c r="C542" s="42"/>
      <c r="D542" s="75"/>
      <c r="E542" s="75"/>
      <c r="F542" s="76"/>
      <c r="G542" s="47"/>
      <c r="H542" s="47"/>
      <c r="I542" s="75"/>
      <c r="J542" s="76"/>
      <c r="K542" s="76"/>
      <c r="L542" s="75"/>
      <c r="M542" s="49"/>
      <c r="N542" s="76"/>
      <c r="O542" s="49"/>
      <c r="P542" s="77"/>
      <c r="Q542" s="53"/>
      <c r="R542" s="54"/>
      <c r="S542" s="55"/>
      <c r="T542" s="56"/>
      <c r="U542" s="56"/>
      <c r="V542" s="42"/>
      <c r="W542" s="57"/>
      <c r="X542" s="58"/>
      <c r="Y542" s="75"/>
      <c r="Z542" s="59"/>
      <c r="AA542" s="61"/>
      <c r="AB542" s="61"/>
      <c r="AC542" s="61"/>
      <c r="AD542" s="62"/>
      <c r="AE542" s="62"/>
      <c r="AF542" s="34"/>
      <c r="AG542" s="34"/>
      <c r="AH542" s="34"/>
      <c r="AI542" s="34"/>
      <c r="AJ542" s="34"/>
      <c r="AK542" s="34"/>
      <c r="AL542" s="34"/>
      <c r="AM542" s="34"/>
      <c r="AN542" s="34"/>
      <c r="AO542" s="34"/>
      <c r="AP542" s="34"/>
      <c r="AQ542" s="34"/>
      <c r="AR542" s="34"/>
      <c r="AS542" s="34"/>
      <c r="AT542" s="34"/>
      <c r="AU542" s="34"/>
      <c r="AV542" s="34"/>
      <c r="AW542" s="34"/>
      <c r="AX542" s="34"/>
      <c r="AY542" s="34"/>
      <c r="AZ542" s="34"/>
      <c r="BA542" s="34"/>
      <c r="BB542" s="34"/>
      <c r="BD542" s="34"/>
      <c r="BE542" s="34"/>
      <c r="BF542" s="34"/>
      <c r="BG542" s="34"/>
      <c r="BH542" s="34"/>
      <c r="BI542" s="34"/>
      <c r="BJ542" s="34"/>
      <c r="BK542" s="34"/>
      <c r="BL542" s="34"/>
      <c r="BM542" s="34"/>
      <c r="BN542" s="34"/>
      <c r="BO542" s="34"/>
      <c r="BP542" s="34"/>
      <c r="BQ542" s="34"/>
      <c r="BR542" s="34"/>
      <c r="BS542" s="34"/>
      <c r="BT542" s="34"/>
      <c r="BU542" s="34"/>
      <c r="BV542" s="34"/>
      <c r="BW542" s="34"/>
      <c r="BX542" s="34"/>
      <c r="BY542" s="34"/>
    </row>
    <row r="543" spans="1:77" x14ac:dyDescent="0.3">
      <c r="A543" s="39"/>
      <c r="B543" s="42"/>
      <c r="C543" s="42"/>
      <c r="D543" s="75"/>
      <c r="E543" s="75"/>
      <c r="F543" s="76"/>
      <c r="G543" s="47"/>
      <c r="H543" s="47"/>
      <c r="I543" s="75"/>
      <c r="J543" s="76"/>
      <c r="K543" s="76"/>
      <c r="L543" s="75"/>
      <c r="M543" s="49"/>
      <c r="N543" s="76"/>
      <c r="O543" s="49"/>
      <c r="P543" s="77"/>
      <c r="Q543" s="53"/>
      <c r="R543" s="54"/>
      <c r="S543" s="55"/>
      <c r="T543" s="56"/>
      <c r="U543" s="56"/>
      <c r="V543" s="42"/>
      <c r="W543" s="57"/>
      <c r="X543" s="58"/>
      <c r="Y543" s="75"/>
      <c r="Z543" s="59"/>
      <c r="AA543" s="61"/>
      <c r="AB543" s="61"/>
      <c r="AC543" s="61"/>
      <c r="AD543" s="62"/>
      <c r="AE543" s="62"/>
      <c r="AF543" s="34"/>
      <c r="AG543" s="34"/>
      <c r="AH543" s="34"/>
      <c r="AI543" s="34"/>
      <c r="AJ543" s="34"/>
      <c r="AK543" s="34"/>
      <c r="AL543" s="34"/>
      <c r="AM543" s="34"/>
      <c r="AN543" s="34"/>
      <c r="AO543" s="34"/>
      <c r="AP543" s="34"/>
      <c r="AQ543" s="34"/>
      <c r="AR543" s="34"/>
      <c r="AS543" s="34"/>
      <c r="AT543" s="34"/>
      <c r="AU543" s="34"/>
      <c r="AV543" s="34"/>
      <c r="AW543" s="34"/>
      <c r="AX543" s="34"/>
      <c r="AY543" s="34"/>
      <c r="AZ543" s="34"/>
      <c r="BA543" s="34"/>
      <c r="BB543" s="34"/>
      <c r="BD543" s="34"/>
      <c r="BE543" s="34"/>
      <c r="BF543" s="34"/>
      <c r="BG543" s="34"/>
      <c r="BH543" s="34"/>
      <c r="BI543" s="34"/>
      <c r="BJ543" s="34"/>
      <c r="BK543" s="34"/>
      <c r="BL543" s="34"/>
      <c r="BM543" s="34"/>
      <c r="BN543" s="34"/>
      <c r="BO543" s="34"/>
      <c r="BP543" s="34"/>
      <c r="BQ543" s="34"/>
      <c r="BR543" s="34"/>
      <c r="BS543" s="34"/>
      <c r="BT543" s="34"/>
      <c r="BU543" s="34"/>
      <c r="BV543" s="34"/>
      <c r="BW543" s="34"/>
      <c r="BX543" s="34"/>
      <c r="BY543" s="34"/>
    </row>
    <row r="544" spans="1:77" x14ac:dyDescent="0.3">
      <c r="A544" s="39"/>
      <c r="B544" s="42"/>
      <c r="C544" s="42"/>
      <c r="D544" s="75"/>
      <c r="E544" s="75"/>
      <c r="F544" s="76"/>
      <c r="G544" s="47"/>
      <c r="H544" s="47"/>
      <c r="I544" s="75"/>
      <c r="J544" s="76"/>
      <c r="K544" s="76"/>
      <c r="L544" s="75"/>
      <c r="M544" s="49"/>
      <c r="N544" s="76"/>
      <c r="O544" s="49"/>
      <c r="P544" s="77"/>
      <c r="Q544" s="53"/>
      <c r="R544" s="54"/>
      <c r="S544" s="55"/>
      <c r="T544" s="56"/>
      <c r="U544" s="56"/>
      <c r="V544" s="42"/>
      <c r="W544" s="57"/>
      <c r="X544" s="58"/>
      <c r="Y544" s="75"/>
      <c r="Z544" s="59"/>
      <c r="AA544" s="61"/>
      <c r="AB544" s="61"/>
      <c r="AC544" s="61"/>
      <c r="AD544" s="62"/>
      <c r="AE544" s="62"/>
      <c r="AF544" s="34"/>
      <c r="AG544" s="34"/>
      <c r="AH544" s="34"/>
      <c r="AI544" s="34"/>
      <c r="AJ544" s="34"/>
      <c r="AK544" s="34"/>
      <c r="AL544" s="34"/>
      <c r="AM544" s="34"/>
      <c r="AN544" s="34"/>
      <c r="AO544" s="34"/>
      <c r="AP544" s="34"/>
      <c r="AQ544" s="34"/>
      <c r="AR544" s="34"/>
      <c r="AS544" s="34"/>
      <c r="AT544" s="34"/>
      <c r="AU544" s="34"/>
      <c r="AV544" s="34"/>
      <c r="AW544" s="34"/>
      <c r="AX544" s="34"/>
      <c r="AY544" s="34"/>
      <c r="AZ544" s="34"/>
      <c r="BA544" s="34"/>
      <c r="BB544" s="34"/>
      <c r="BD544" s="34"/>
      <c r="BE544" s="34"/>
      <c r="BF544" s="34"/>
      <c r="BG544" s="34"/>
      <c r="BH544" s="34"/>
      <c r="BI544" s="34"/>
      <c r="BJ544" s="34"/>
      <c r="BK544" s="34"/>
      <c r="BL544" s="34"/>
      <c r="BM544" s="34"/>
      <c r="BN544" s="34"/>
      <c r="BO544" s="34"/>
      <c r="BP544" s="34"/>
      <c r="BQ544" s="34"/>
      <c r="BR544" s="34"/>
      <c r="BS544" s="34"/>
      <c r="BT544" s="34"/>
      <c r="BU544" s="34"/>
      <c r="BV544" s="34"/>
      <c r="BW544" s="34"/>
      <c r="BX544" s="34"/>
      <c r="BY544" s="34"/>
    </row>
    <row r="545" spans="1:77" x14ac:dyDescent="0.3">
      <c r="A545" s="39"/>
      <c r="B545" s="42"/>
      <c r="C545" s="42"/>
      <c r="D545" s="75"/>
      <c r="E545" s="75"/>
      <c r="F545" s="76"/>
      <c r="G545" s="47"/>
      <c r="H545" s="47"/>
      <c r="I545" s="75"/>
      <c r="J545" s="76"/>
      <c r="K545" s="76"/>
      <c r="L545" s="75"/>
      <c r="M545" s="49"/>
      <c r="N545" s="76"/>
      <c r="O545" s="49"/>
      <c r="P545" s="77"/>
      <c r="Q545" s="53"/>
      <c r="R545" s="54"/>
      <c r="S545" s="55"/>
      <c r="T545" s="56"/>
      <c r="U545" s="56"/>
      <c r="V545" s="42"/>
      <c r="W545" s="57"/>
      <c r="X545" s="58"/>
      <c r="Y545" s="75"/>
      <c r="Z545" s="59"/>
      <c r="AA545" s="61"/>
      <c r="AB545" s="61"/>
      <c r="AC545" s="61"/>
      <c r="AD545" s="62"/>
      <c r="AE545" s="62"/>
      <c r="AF545" s="34"/>
      <c r="AG545" s="34"/>
      <c r="AH545" s="34"/>
      <c r="AI545" s="34"/>
      <c r="AJ545" s="34"/>
      <c r="AK545" s="34"/>
      <c r="AL545" s="34"/>
      <c r="AM545" s="34"/>
      <c r="AN545" s="34"/>
      <c r="AO545" s="34"/>
      <c r="AP545" s="34"/>
      <c r="AQ545" s="34"/>
      <c r="AR545" s="34"/>
      <c r="AS545" s="34"/>
      <c r="AT545" s="34"/>
      <c r="AU545" s="34"/>
      <c r="AV545" s="34"/>
      <c r="AW545" s="34"/>
      <c r="AX545" s="34"/>
      <c r="AY545" s="34"/>
      <c r="AZ545" s="34"/>
      <c r="BA545" s="34"/>
      <c r="BB545" s="34"/>
      <c r="BD545" s="34"/>
      <c r="BE545" s="34"/>
      <c r="BF545" s="34"/>
      <c r="BG545" s="34"/>
      <c r="BH545" s="34"/>
      <c r="BI545" s="34"/>
      <c r="BJ545" s="34"/>
      <c r="BK545" s="34"/>
      <c r="BL545" s="34"/>
      <c r="BM545" s="34"/>
      <c r="BN545" s="34"/>
      <c r="BO545" s="34"/>
      <c r="BP545" s="34"/>
      <c r="BQ545" s="34"/>
      <c r="BR545" s="34"/>
      <c r="BS545" s="34"/>
      <c r="BT545" s="34"/>
      <c r="BU545" s="34"/>
      <c r="BV545" s="34"/>
      <c r="BW545" s="34"/>
      <c r="BX545" s="34"/>
      <c r="BY545" s="34"/>
    </row>
    <row r="546" spans="1:77" x14ac:dyDescent="0.3">
      <c r="A546" s="39"/>
      <c r="B546" s="42"/>
      <c r="C546" s="42"/>
      <c r="D546" s="75"/>
      <c r="E546" s="75"/>
      <c r="F546" s="76"/>
      <c r="G546" s="47"/>
      <c r="H546" s="47"/>
      <c r="I546" s="75"/>
      <c r="J546" s="76"/>
      <c r="K546" s="76"/>
      <c r="L546" s="75"/>
      <c r="M546" s="49"/>
      <c r="N546" s="76"/>
      <c r="O546" s="49"/>
      <c r="P546" s="77"/>
      <c r="Q546" s="53"/>
      <c r="R546" s="54"/>
      <c r="S546" s="55"/>
      <c r="T546" s="56"/>
      <c r="U546" s="56"/>
      <c r="V546" s="42"/>
      <c r="W546" s="57"/>
      <c r="X546" s="58"/>
      <c r="Y546" s="75"/>
      <c r="Z546" s="59"/>
      <c r="AA546" s="61"/>
      <c r="AB546" s="61"/>
      <c r="AC546" s="61"/>
      <c r="AD546" s="62"/>
      <c r="AE546" s="62"/>
      <c r="AF546" s="34"/>
      <c r="AG546" s="34"/>
      <c r="AH546" s="34"/>
      <c r="AI546" s="34"/>
      <c r="AJ546" s="34"/>
      <c r="AK546" s="34"/>
      <c r="AL546" s="34"/>
      <c r="AM546" s="34"/>
      <c r="AN546" s="34"/>
      <c r="AO546" s="34"/>
      <c r="AP546" s="34"/>
      <c r="AQ546" s="34"/>
      <c r="AR546" s="34"/>
      <c r="AS546" s="34"/>
      <c r="AT546" s="34"/>
      <c r="AU546" s="34"/>
      <c r="AV546" s="34"/>
      <c r="AW546" s="34"/>
      <c r="AX546" s="34"/>
      <c r="AY546" s="34"/>
      <c r="AZ546" s="34"/>
      <c r="BA546" s="34"/>
      <c r="BB546" s="34"/>
      <c r="BD546" s="34"/>
      <c r="BE546" s="34"/>
      <c r="BF546" s="34"/>
      <c r="BG546" s="34"/>
      <c r="BH546" s="34"/>
      <c r="BI546" s="34"/>
      <c r="BJ546" s="34"/>
      <c r="BK546" s="34"/>
      <c r="BL546" s="34"/>
      <c r="BM546" s="34"/>
      <c r="BN546" s="34"/>
      <c r="BO546" s="34"/>
      <c r="BP546" s="34"/>
      <c r="BQ546" s="34"/>
      <c r="BR546" s="34"/>
      <c r="BS546" s="34"/>
      <c r="BT546" s="34"/>
      <c r="BU546" s="34"/>
      <c r="BV546" s="34"/>
      <c r="BW546" s="34"/>
      <c r="BX546" s="34"/>
      <c r="BY546" s="34"/>
    </row>
    <row r="547" spans="1:77" x14ac:dyDescent="0.3">
      <c r="A547" s="39"/>
      <c r="B547" s="42"/>
      <c r="C547" s="42"/>
      <c r="D547" s="75"/>
      <c r="E547" s="75"/>
      <c r="F547" s="76"/>
      <c r="G547" s="47"/>
      <c r="H547" s="47"/>
      <c r="I547" s="75"/>
      <c r="J547" s="76"/>
      <c r="K547" s="76"/>
      <c r="L547" s="75"/>
      <c r="M547" s="49"/>
      <c r="N547" s="76"/>
      <c r="O547" s="49"/>
      <c r="P547" s="77"/>
      <c r="Q547" s="53"/>
      <c r="R547" s="54"/>
      <c r="S547" s="55"/>
      <c r="T547" s="56"/>
      <c r="U547" s="56"/>
      <c r="V547" s="42"/>
      <c r="W547" s="57"/>
      <c r="X547" s="58"/>
      <c r="Y547" s="75"/>
      <c r="Z547" s="59"/>
      <c r="AA547" s="61"/>
      <c r="AB547" s="61"/>
      <c r="AC547" s="61"/>
      <c r="AD547" s="62"/>
      <c r="AE547" s="62"/>
      <c r="AF547" s="34"/>
      <c r="AG547" s="34"/>
      <c r="AH547" s="34"/>
      <c r="AI547" s="34"/>
      <c r="AJ547" s="34"/>
      <c r="AK547" s="34"/>
      <c r="AL547" s="34"/>
      <c r="AM547" s="34"/>
      <c r="AN547" s="34"/>
      <c r="AO547" s="34"/>
      <c r="AP547" s="34"/>
      <c r="AQ547" s="34"/>
      <c r="AR547" s="34"/>
      <c r="AS547" s="34"/>
      <c r="AT547" s="34"/>
      <c r="AU547" s="34"/>
      <c r="AV547" s="34"/>
      <c r="AW547" s="34"/>
      <c r="AX547" s="34"/>
      <c r="AY547" s="34"/>
      <c r="AZ547" s="34"/>
      <c r="BA547" s="34"/>
      <c r="BB547" s="34"/>
      <c r="BD547" s="34"/>
      <c r="BE547" s="34"/>
      <c r="BF547" s="34"/>
      <c r="BG547" s="34"/>
      <c r="BH547" s="34"/>
      <c r="BI547" s="34"/>
      <c r="BJ547" s="34"/>
      <c r="BK547" s="34"/>
      <c r="BL547" s="34"/>
      <c r="BM547" s="34"/>
      <c r="BN547" s="34"/>
      <c r="BO547" s="34"/>
      <c r="BP547" s="34"/>
      <c r="BQ547" s="34"/>
      <c r="BR547" s="34"/>
      <c r="BS547" s="34"/>
      <c r="BT547" s="34"/>
      <c r="BU547" s="34"/>
      <c r="BV547" s="34"/>
      <c r="BW547" s="34"/>
      <c r="BX547" s="34"/>
      <c r="BY547" s="34"/>
    </row>
    <row r="548" spans="1:77" x14ac:dyDescent="0.3">
      <c r="A548" s="39"/>
      <c r="B548" s="42"/>
      <c r="C548" s="42"/>
      <c r="D548" s="75"/>
      <c r="E548" s="75"/>
      <c r="F548" s="76"/>
      <c r="G548" s="47"/>
      <c r="H548" s="47"/>
      <c r="I548" s="75"/>
      <c r="J548" s="76"/>
      <c r="K548" s="76"/>
      <c r="L548" s="75"/>
      <c r="M548" s="49"/>
      <c r="N548" s="76"/>
      <c r="O548" s="49"/>
      <c r="P548" s="77"/>
      <c r="Q548" s="53"/>
      <c r="R548" s="54"/>
      <c r="S548" s="55"/>
      <c r="T548" s="56"/>
      <c r="U548" s="56"/>
      <c r="V548" s="42"/>
      <c r="W548" s="57"/>
      <c r="X548" s="58"/>
      <c r="Y548" s="75"/>
      <c r="Z548" s="59"/>
      <c r="AA548" s="61"/>
      <c r="AB548" s="61"/>
      <c r="AC548" s="61"/>
      <c r="AD548" s="62"/>
      <c r="AE548" s="62"/>
      <c r="AF548" s="34"/>
      <c r="AG548" s="34"/>
      <c r="AH548" s="34"/>
      <c r="AI548" s="34"/>
      <c r="AJ548" s="34"/>
      <c r="AK548" s="34"/>
      <c r="AL548" s="34"/>
      <c r="AM548" s="34"/>
      <c r="AN548" s="34"/>
      <c r="AO548" s="34"/>
      <c r="AP548" s="34"/>
      <c r="AQ548" s="34"/>
      <c r="AR548" s="34"/>
      <c r="AS548" s="34"/>
      <c r="AT548" s="34"/>
      <c r="AU548" s="34"/>
      <c r="AV548" s="34"/>
      <c r="AW548" s="34"/>
      <c r="AX548" s="34"/>
      <c r="AY548" s="34"/>
      <c r="AZ548" s="34"/>
      <c r="BA548" s="34"/>
      <c r="BB548" s="34"/>
      <c r="BD548" s="34"/>
      <c r="BE548" s="34"/>
      <c r="BF548" s="34"/>
      <c r="BG548" s="34"/>
      <c r="BH548" s="34"/>
      <c r="BI548" s="34"/>
      <c r="BJ548" s="34"/>
      <c r="BK548" s="34"/>
      <c r="BL548" s="34"/>
      <c r="BM548" s="34"/>
      <c r="BN548" s="34"/>
      <c r="BO548" s="34"/>
      <c r="BP548" s="34"/>
      <c r="BQ548" s="34"/>
      <c r="BR548" s="34"/>
      <c r="BS548" s="34"/>
      <c r="BT548" s="34"/>
      <c r="BU548" s="34"/>
      <c r="BV548" s="34"/>
      <c r="BW548" s="34"/>
      <c r="BX548" s="34"/>
      <c r="BY548" s="34"/>
    </row>
    <row r="549" spans="1:77" x14ac:dyDescent="0.3">
      <c r="A549" s="39"/>
      <c r="B549" s="42"/>
      <c r="C549" s="42"/>
      <c r="D549" s="75"/>
      <c r="E549" s="75"/>
      <c r="F549" s="76"/>
      <c r="G549" s="47"/>
      <c r="H549" s="47"/>
      <c r="I549" s="75"/>
      <c r="J549" s="76"/>
      <c r="K549" s="76"/>
      <c r="L549" s="75"/>
      <c r="M549" s="49"/>
      <c r="N549" s="76"/>
      <c r="O549" s="49"/>
      <c r="P549" s="77"/>
      <c r="Q549" s="53"/>
      <c r="R549" s="54"/>
      <c r="S549" s="55"/>
      <c r="T549" s="56"/>
      <c r="U549" s="56"/>
      <c r="V549" s="42"/>
      <c r="W549" s="57"/>
      <c r="X549" s="58"/>
      <c r="Y549" s="75"/>
      <c r="Z549" s="59"/>
      <c r="AA549" s="61"/>
      <c r="AB549" s="61"/>
      <c r="AC549" s="61"/>
      <c r="AD549" s="62"/>
      <c r="AE549" s="62"/>
      <c r="AF549" s="34"/>
      <c r="AG549" s="34"/>
      <c r="AH549" s="34"/>
      <c r="AI549" s="34"/>
      <c r="AJ549" s="34"/>
      <c r="AK549" s="34"/>
      <c r="AL549" s="34"/>
      <c r="AM549" s="34"/>
      <c r="AN549" s="34"/>
      <c r="AO549" s="34"/>
      <c r="AP549" s="34"/>
      <c r="AQ549" s="34"/>
      <c r="AR549" s="34"/>
      <c r="AS549" s="34"/>
      <c r="AT549" s="34"/>
      <c r="AU549" s="34"/>
      <c r="AV549" s="34"/>
      <c r="AW549" s="34"/>
      <c r="AX549" s="34"/>
      <c r="AY549" s="34"/>
      <c r="AZ549" s="34"/>
      <c r="BA549" s="34"/>
      <c r="BB549" s="34"/>
      <c r="BD549" s="34"/>
      <c r="BE549" s="34"/>
      <c r="BF549" s="34"/>
      <c r="BG549" s="34"/>
      <c r="BH549" s="34"/>
      <c r="BI549" s="34"/>
      <c r="BJ549" s="34"/>
      <c r="BK549" s="34"/>
      <c r="BL549" s="34"/>
      <c r="BM549" s="34"/>
      <c r="BN549" s="34"/>
      <c r="BO549" s="34"/>
      <c r="BP549" s="34"/>
      <c r="BQ549" s="34"/>
      <c r="BR549" s="34"/>
      <c r="BS549" s="34"/>
      <c r="BT549" s="34"/>
      <c r="BU549" s="34"/>
      <c r="BV549" s="34"/>
      <c r="BW549" s="34"/>
      <c r="BX549" s="34"/>
      <c r="BY549" s="34"/>
    </row>
    <row r="550" spans="1:77" x14ac:dyDescent="0.3">
      <c r="A550" s="39"/>
      <c r="B550" s="42"/>
      <c r="C550" s="42"/>
      <c r="D550" s="75"/>
      <c r="E550" s="75"/>
      <c r="F550" s="76"/>
      <c r="G550" s="47"/>
      <c r="H550" s="47"/>
      <c r="I550" s="75"/>
      <c r="J550" s="76"/>
      <c r="K550" s="76"/>
      <c r="L550" s="75"/>
      <c r="M550" s="49"/>
      <c r="N550" s="76"/>
      <c r="O550" s="49"/>
      <c r="P550" s="77"/>
      <c r="Q550" s="53"/>
      <c r="R550" s="54"/>
      <c r="S550" s="55"/>
      <c r="T550" s="56"/>
      <c r="U550" s="56"/>
      <c r="V550" s="42"/>
      <c r="W550" s="57"/>
      <c r="X550" s="58"/>
      <c r="Y550" s="75"/>
      <c r="Z550" s="59"/>
      <c r="AA550" s="61"/>
      <c r="AB550" s="61"/>
      <c r="AC550" s="61"/>
      <c r="AD550" s="62"/>
      <c r="AE550" s="62"/>
      <c r="AF550" s="34"/>
      <c r="AG550" s="34"/>
      <c r="AH550" s="34"/>
      <c r="AI550" s="34"/>
      <c r="AJ550" s="34"/>
      <c r="AK550" s="34"/>
      <c r="AL550" s="34"/>
      <c r="AM550" s="34"/>
      <c r="AN550" s="34"/>
      <c r="AO550" s="34"/>
      <c r="AP550" s="34"/>
      <c r="AQ550" s="34"/>
      <c r="AR550" s="34"/>
      <c r="AS550" s="34"/>
      <c r="AT550" s="34"/>
      <c r="AU550" s="34"/>
      <c r="AV550" s="34"/>
      <c r="AW550" s="34"/>
      <c r="AX550" s="34"/>
      <c r="AY550" s="34"/>
      <c r="AZ550" s="34"/>
      <c r="BA550" s="34"/>
      <c r="BB550" s="34"/>
      <c r="BD550" s="34"/>
      <c r="BE550" s="34"/>
      <c r="BF550" s="34"/>
      <c r="BG550" s="34"/>
      <c r="BH550" s="34"/>
      <c r="BI550" s="34"/>
      <c r="BJ550" s="34"/>
      <c r="BK550" s="34"/>
      <c r="BL550" s="34"/>
      <c r="BM550" s="34"/>
      <c r="BN550" s="34"/>
      <c r="BO550" s="34"/>
      <c r="BP550" s="34"/>
      <c r="BQ550" s="34"/>
      <c r="BR550" s="34"/>
      <c r="BS550" s="34"/>
      <c r="BT550" s="34"/>
      <c r="BU550" s="34"/>
      <c r="BV550" s="34"/>
      <c r="BW550" s="34"/>
      <c r="BX550" s="34"/>
      <c r="BY550" s="34"/>
    </row>
    <row r="551" spans="1:77" x14ac:dyDescent="0.3">
      <c r="A551" s="39"/>
      <c r="B551" s="42"/>
      <c r="C551" s="42"/>
      <c r="D551" s="75"/>
      <c r="E551" s="75"/>
      <c r="F551" s="76"/>
      <c r="G551" s="47"/>
      <c r="H551" s="47"/>
      <c r="I551" s="75"/>
      <c r="J551" s="76"/>
      <c r="K551" s="76"/>
      <c r="L551" s="75"/>
      <c r="M551" s="49"/>
      <c r="N551" s="76"/>
      <c r="O551" s="49"/>
      <c r="P551" s="77"/>
      <c r="Q551" s="53"/>
      <c r="R551" s="54"/>
      <c r="S551" s="55"/>
      <c r="T551" s="56"/>
      <c r="U551" s="56"/>
      <c r="V551" s="42"/>
      <c r="W551" s="57"/>
      <c r="X551" s="58"/>
      <c r="Y551" s="75"/>
      <c r="Z551" s="59"/>
      <c r="AA551" s="61"/>
      <c r="AB551" s="61"/>
      <c r="AC551" s="61"/>
      <c r="AD551" s="62"/>
      <c r="AE551" s="62"/>
      <c r="AF551" s="34"/>
      <c r="AG551" s="34"/>
      <c r="AH551" s="34"/>
      <c r="AI551" s="34"/>
      <c r="AJ551" s="34"/>
      <c r="AK551" s="34"/>
      <c r="AL551" s="34"/>
      <c r="AM551" s="34"/>
      <c r="AN551" s="34"/>
      <c r="AO551" s="34"/>
      <c r="AP551" s="34"/>
      <c r="AQ551" s="34"/>
      <c r="AR551" s="34"/>
      <c r="AS551" s="34"/>
      <c r="AT551" s="34"/>
      <c r="AU551" s="34"/>
      <c r="AV551" s="34"/>
      <c r="AW551" s="34"/>
      <c r="AX551" s="34"/>
      <c r="AY551" s="34"/>
      <c r="AZ551" s="34"/>
      <c r="BA551" s="34"/>
      <c r="BB551" s="34"/>
      <c r="BD551" s="34"/>
      <c r="BE551" s="34"/>
      <c r="BF551" s="34"/>
      <c r="BG551" s="34"/>
      <c r="BH551" s="34"/>
      <c r="BI551" s="34"/>
      <c r="BJ551" s="34"/>
      <c r="BK551" s="34"/>
      <c r="BL551" s="34"/>
      <c r="BM551" s="34"/>
      <c r="BN551" s="34"/>
      <c r="BO551" s="34"/>
      <c r="BP551" s="34"/>
      <c r="BQ551" s="34"/>
      <c r="BR551" s="34"/>
      <c r="BS551" s="34"/>
      <c r="BT551" s="34"/>
      <c r="BU551" s="34"/>
      <c r="BV551" s="34"/>
      <c r="BW551" s="34"/>
      <c r="BX551" s="34"/>
      <c r="BY551" s="34"/>
    </row>
    <row r="552" spans="1:77" x14ac:dyDescent="0.3">
      <c r="A552" s="39"/>
      <c r="B552" s="42"/>
      <c r="C552" s="42"/>
      <c r="D552" s="75"/>
      <c r="E552" s="75"/>
      <c r="F552" s="76"/>
      <c r="G552" s="47"/>
      <c r="H552" s="47"/>
      <c r="I552" s="75"/>
      <c r="J552" s="76"/>
      <c r="K552" s="76"/>
      <c r="L552" s="75"/>
      <c r="M552" s="49"/>
      <c r="N552" s="76"/>
      <c r="O552" s="49"/>
      <c r="P552" s="77"/>
      <c r="Q552" s="53"/>
      <c r="R552" s="54"/>
      <c r="S552" s="55"/>
      <c r="T552" s="56"/>
      <c r="U552" s="56"/>
      <c r="V552" s="42"/>
      <c r="W552" s="57"/>
      <c r="X552" s="58"/>
      <c r="Y552" s="75"/>
      <c r="Z552" s="59"/>
      <c r="AA552" s="61"/>
      <c r="AB552" s="61"/>
      <c r="AC552" s="61"/>
      <c r="AD552" s="62"/>
      <c r="AE552" s="62"/>
      <c r="AF552" s="34"/>
      <c r="AG552" s="34"/>
      <c r="AH552" s="34"/>
      <c r="AI552" s="34"/>
      <c r="AJ552" s="34"/>
      <c r="AK552" s="34"/>
      <c r="AL552" s="34"/>
      <c r="AM552" s="34"/>
      <c r="AN552" s="34"/>
      <c r="AO552" s="34"/>
      <c r="AP552" s="34"/>
      <c r="AQ552" s="34"/>
      <c r="AR552" s="34"/>
      <c r="AS552" s="34"/>
      <c r="AT552" s="34"/>
      <c r="AU552" s="34"/>
      <c r="AV552" s="34"/>
      <c r="AW552" s="34"/>
      <c r="AX552" s="34"/>
      <c r="AY552" s="34"/>
      <c r="AZ552" s="34"/>
      <c r="BA552" s="34"/>
      <c r="BB552" s="34"/>
      <c r="BD552" s="34"/>
      <c r="BE552" s="34"/>
      <c r="BF552" s="34"/>
      <c r="BG552" s="34"/>
      <c r="BH552" s="34"/>
      <c r="BI552" s="34"/>
      <c r="BJ552" s="34"/>
      <c r="BK552" s="34"/>
      <c r="BL552" s="34"/>
      <c r="BM552" s="34"/>
      <c r="BN552" s="34"/>
      <c r="BO552" s="34"/>
      <c r="BP552" s="34"/>
      <c r="BQ552" s="34"/>
      <c r="BR552" s="34"/>
      <c r="BS552" s="34"/>
      <c r="BT552" s="34"/>
      <c r="BU552" s="34"/>
      <c r="BV552" s="34"/>
      <c r="BW552" s="34"/>
      <c r="BX552" s="34"/>
      <c r="BY552" s="34"/>
    </row>
    <row r="553" spans="1:77" x14ac:dyDescent="0.3">
      <c r="A553" s="39"/>
      <c r="B553" s="42"/>
      <c r="C553" s="42"/>
      <c r="D553" s="75"/>
      <c r="E553" s="75"/>
      <c r="F553" s="76"/>
      <c r="G553" s="47"/>
      <c r="H553" s="47"/>
      <c r="I553" s="75"/>
      <c r="J553" s="76"/>
      <c r="K553" s="76"/>
      <c r="L553" s="75"/>
      <c r="M553" s="49"/>
      <c r="N553" s="76"/>
      <c r="O553" s="49"/>
      <c r="P553" s="77"/>
      <c r="Q553" s="53"/>
      <c r="R553" s="54"/>
      <c r="S553" s="55"/>
      <c r="T553" s="56"/>
      <c r="U553" s="56"/>
      <c r="V553" s="42"/>
      <c r="W553" s="57"/>
      <c r="X553" s="58"/>
      <c r="Y553" s="75"/>
      <c r="Z553" s="59"/>
      <c r="AA553" s="61"/>
      <c r="AB553" s="61"/>
      <c r="AC553" s="61"/>
      <c r="AD553" s="62"/>
      <c r="AE553" s="62"/>
      <c r="AF553" s="34"/>
      <c r="AG553" s="34"/>
      <c r="AH553" s="34"/>
      <c r="AI553" s="34"/>
      <c r="AJ553" s="34"/>
      <c r="AK553" s="34"/>
      <c r="AL553" s="34"/>
      <c r="AM553" s="34"/>
      <c r="AN553" s="34"/>
      <c r="AO553" s="34"/>
      <c r="AP553" s="34"/>
      <c r="AQ553" s="34"/>
      <c r="AR553" s="34"/>
      <c r="AS553" s="34"/>
      <c r="AT553" s="34"/>
      <c r="AU553" s="34"/>
      <c r="AV553" s="34"/>
      <c r="AW553" s="34"/>
      <c r="AX553" s="34"/>
      <c r="AY553" s="34"/>
      <c r="AZ553" s="34"/>
      <c r="BA553" s="34"/>
      <c r="BB553" s="34"/>
      <c r="BD553" s="34"/>
      <c r="BE553" s="34"/>
      <c r="BF553" s="34"/>
      <c r="BG553" s="34"/>
      <c r="BH553" s="34"/>
      <c r="BI553" s="34"/>
      <c r="BJ553" s="34"/>
      <c r="BK553" s="34"/>
      <c r="BL553" s="34"/>
      <c r="BM553" s="34"/>
      <c r="BN553" s="34"/>
      <c r="BO553" s="34"/>
      <c r="BP553" s="34"/>
      <c r="BQ553" s="34"/>
      <c r="BR553" s="34"/>
      <c r="BS553" s="34"/>
      <c r="BT553" s="34"/>
      <c r="BU553" s="34"/>
      <c r="BV553" s="34"/>
      <c r="BW553" s="34"/>
      <c r="BX553" s="34"/>
      <c r="BY553" s="34"/>
    </row>
    <row r="554" spans="1:77" x14ac:dyDescent="0.3">
      <c r="A554" s="39"/>
      <c r="B554" s="42"/>
      <c r="C554" s="42"/>
      <c r="D554" s="75"/>
      <c r="E554" s="75"/>
      <c r="F554" s="76"/>
      <c r="G554" s="47"/>
      <c r="H554" s="47"/>
      <c r="I554" s="75"/>
      <c r="J554" s="76"/>
      <c r="K554" s="76"/>
      <c r="L554" s="75"/>
      <c r="M554" s="49"/>
      <c r="N554" s="76"/>
      <c r="O554" s="49"/>
      <c r="P554" s="77"/>
      <c r="Q554" s="53"/>
      <c r="R554" s="54"/>
      <c r="S554" s="55"/>
      <c r="T554" s="56"/>
      <c r="U554" s="56"/>
      <c r="V554" s="42"/>
      <c r="W554" s="57"/>
      <c r="X554" s="58"/>
      <c r="Y554" s="75"/>
      <c r="Z554" s="59"/>
      <c r="AA554" s="61"/>
      <c r="AB554" s="61"/>
      <c r="AC554" s="61"/>
      <c r="AD554" s="62"/>
      <c r="AE554" s="62"/>
      <c r="AF554" s="34"/>
      <c r="AG554" s="34"/>
      <c r="AH554" s="34"/>
      <c r="AI554" s="34"/>
      <c r="AJ554" s="34"/>
      <c r="AK554" s="34"/>
      <c r="AL554" s="34"/>
      <c r="AM554" s="34"/>
      <c r="AN554" s="34"/>
      <c r="AO554" s="34"/>
      <c r="AP554" s="34"/>
      <c r="AQ554" s="34"/>
      <c r="AR554" s="34"/>
      <c r="AS554" s="34"/>
      <c r="AT554" s="34"/>
      <c r="AU554" s="34"/>
      <c r="AV554" s="34"/>
      <c r="AW554" s="34"/>
      <c r="AX554" s="34"/>
      <c r="AY554" s="34"/>
      <c r="AZ554" s="34"/>
      <c r="BA554" s="34"/>
      <c r="BB554" s="34"/>
      <c r="BD554" s="34"/>
      <c r="BE554" s="34"/>
      <c r="BF554" s="34"/>
      <c r="BG554" s="34"/>
      <c r="BH554" s="34"/>
      <c r="BI554" s="34"/>
      <c r="BJ554" s="34"/>
      <c r="BK554" s="34"/>
      <c r="BL554" s="34"/>
      <c r="BM554" s="34"/>
      <c r="BN554" s="34"/>
      <c r="BO554" s="34"/>
      <c r="BP554" s="34"/>
      <c r="BQ554" s="34"/>
      <c r="BR554" s="34"/>
      <c r="BS554" s="34"/>
      <c r="BT554" s="34"/>
      <c r="BU554" s="34"/>
      <c r="BV554" s="34"/>
      <c r="BW554" s="34"/>
      <c r="BX554" s="34"/>
      <c r="BY554" s="34"/>
    </row>
    <row r="555" spans="1:77" x14ac:dyDescent="0.3">
      <c r="A555" s="39"/>
      <c r="B555" s="42"/>
      <c r="C555" s="42"/>
      <c r="D555" s="75"/>
      <c r="E555" s="75"/>
      <c r="F555" s="76"/>
      <c r="G555" s="47"/>
      <c r="H555" s="47"/>
      <c r="I555" s="75"/>
      <c r="J555" s="76"/>
      <c r="K555" s="76"/>
      <c r="L555" s="75"/>
      <c r="M555" s="49"/>
      <c r="N555" s="76"/>
      <c r="O555" s="49"/>
      <c r="P555" s="77"/>
      <c r="Q555" s="53"/>
      <c r="R555" s="54"/>
      <c r="S555" s="55"/>
      <c r="T555" s="56"/>
      <c r="U555" s="56"/>
      <c r="V555" s="42"/>
      <c r="W555" s="57"/>
      <c r="X555" s="58"/>
      <c r="Y555" s="75"/>
      <c r="Z555" s="59"/>
      <c r="AA555" s="61"/>
      <c r="AB555" s="61"/>
      <c r="AC555" s="61"/>
      <c r="AD555" s="62"/>
      <c r="AE555" s="62"/>
      <c r="AF555" s="34"/>
      <c r="AG555" s="34"/>
      <c r="AH555" s="34"/>
      <c r="AI555" s="34"/>
      <c r="AJ555" s="34"/>
      <c r="AK555" s="34"/>
      <c r="AL555" s="34"/>
      <c r="AM555" s="34"/>
      <c r="AN555" s="34"/>
      <c r="AO555" s="34"/>
      <c r="AP555" s="34"/>
      <c r="AQ555" s="34"/>
      <c r="AR555" s="34"/>
      <c r="AS555" s="34"/>
      <c r="AT555" s="34"/>
      <c r="AU555" s="34"/>
      <c r="AV555" s="34"/>
      <c r="AW555" s="34"/>
      <c r="AX555" s="34"/>
      <c r="AY555" s="34"/>
      <c r="AZ555" s="34"/>
      <c r="BA555" s="34"/>
      <c r="BB555" s="34"/>
      <c r="BD555" s="34"/>
      <c r="BE555" s="34"/>
      <c r="BF555" s="34"/>
      <c r="BG555" s="34"/>
      <c r="BH555" s="34"/>
      <c r="BI555" s="34"/>
      <c r="BJ555" s="34"/>
      <c r="BK555" s="34"/>
      <c r="BL555" s="34"/>
      <c r="BM555" s="34"/>
      <c r="BN555" s="34"/>
      <c r="BO555" s="34"/>
      <c r="BP555" s="34"/>
      <c r="BQ555" s="34"/>
      <c r="BR555" s="34"/>
      <c r="BS555" s="34"/>
      <c r="BT555" s="34"/>
      <c r="BU555" s="34"/>
      <c r="BV555" s="34"/>
      <c r="BW555" s="34"/>
      <c r="BX555" s="34"/>
      <c r="BY555" s="34"/>
    </row>
    <row r="556" spans="1:77" x14ac:dyDescent="0.3">
      <c r="A556" s="39"/>
      <c r="B556" s="42"/>
      <c r="C556" s="42"/>
      <c r="D556" s="75"/>
      <c r="E556" s="75"/>
      <c r="F556" s="76"/>
      <c r="G556" s="47"/>
      <c r="H556" s="47"/>
      <c r="I556" s="75"/>
      <c r="J556" s="76"/>
      <c r="K556" s="76"/>
      <c r="L556" s="75"/>
      <c r="M556" s="49"/>
      <c r="N556" s="76"/>
      <c r="O556" s="49"/>
      <c r="P556" s="77"/>
      <c r="Q556" s="53"/>
      <c r="R556" s="54"/>
      <c r="S556" s="55"/>
      <c r="T556" s="56"/>
      <c r="U556" s="56"/>
      <c r="V556" s="42"/>
      <c r="W556" s="57"/>
      <c r="X556" s="58"/>
      <c r="Y556" s="75"/>
      <c r="Z556" s="59"/>
      <c r="AA556" s="61"/>
      <c r="AB556" s="61"/>
      <c r="AC556" s="61"/>
      <c r="AD556" s="62"/>
      <c r="AE556" s="62"/>
      <c r="AF556" s="34"/>
      <c r="AG556" s="34"/>
      <c r="AH556" s="34"/>
      <c r="AI556" s="34"/>
      <c r="AJ556" s="34"/>
      <c r="AK556" s="34"/>
      <c r="AL556" s="34"/>
      <c r="AM556" s="34"/>
      <c r="AN556" s="34"/>
      <c r="AO556" s="34"/>
      <c r="AP556" s="34"/>
      <c r="AQ556" s="34"/>
      <c r="AR556" s="34"/>
      <c r="AS556" s="34"/>
      <c r="AT556" s="34"/>
      <c r="AU556" s="34"/>
      <c r="AV556" s="34"/>
      <c r="AW556" s="34"/>
      <c r="AX556" s="34"/>
      <c r="AY556" s="34"/>
      <c r="AZ556" s="34"/>
      <c r="BA556" s="34"/>
      <c r="BB556" s="34"/>
      <c r="BD556" s="34"/>
      <c r="BE556" s="34"/>
      <c r="BF556" s="34"/>
      <c r="BG556" s="34"/>
      <c r="BH556" s="34"/>
      <c r="BI556" s="34"/>
      <c r="BJ556" s="34"/>
      <c r="BK556" s="34"/>
      <c r="BL556" s="34"/>
      <c r="BM556" s="34"/>
      <c r="BN556" s="34"/>
      <c r="BO556" s="34"/>
      <c r="BP556" s="34"/>
      <c r="BQ556" s="34"/>
      <c r="BR556" s="34"/>
      <c r="BS556" s="34"/>
      <c r="BT556" s="34"/>
      <c r="BU556" s="34"/>
      <c r="BV556" s="34"/>
      <c r="BW556" s="34"/>
      <c r="BX556" s="34"/>
      <c r="BY556" s="34"/>
    </row>
    <row r="557" spans="1:77" x14ac:dyDescent="0.3">
      <c r="A557" s="39"/>
      <c r="B557" s="42"/>
      <c r="C557" s="42"/>
      <c r="D557" s="75"/>
      <c r="E557" s="75"/>
      <c r="F557" s="76"/>
      <c r="G557" s="47"/>
      <c r="H557" s="47"/>
      <c r="I557" s="75"/>
      <c r="J557" s="76"/>
      <c r="K557" s="76"/>
      <c r="L557" s="75"/>
      <c r="M557" s="49"/>
      <c r="N557" s="76"/>
      <c r="O557" s="49"/>
      <c r="P557" s="77"/>
      <c r="Q557" s="53"/>
      <c r="R557" s="54"/>
      <c r="S557" s="55"/>
      <c r="T557" s="56"/>
      <c r="U557" s="56"/>
      <c r="V557" s="42"/>
      <c r="W557" s="57"/>
      <c r="X557" s="58"/>
      <c r="Y557" s="75"/>
      <c r="Z557" s="59"/>
      <c r="AA557" s="61"/>
      <c r="AB557" s="61"/>
      <c r="AC557" s="61"/>
      <c r="AD557" s="62"/>
      <c r="AE557" s="62"/>
      <c r="AF557" s="34"/>
      <c r="AG557" s="34"/>
      <c r="AH557" s="34"/>
      <c r="AI557" s="34"/>
      <c r="AJ557" s="34"/>
      <c r="AK557" s="34"/>
      <c r="AL557" s="34"/>
      <c r="AM557" s="34"/>
      <c r="AN557" s="34"/>
      <c r="AO557" s="34"/>
      <c r="AP557" s="34"/>
      <c r="AQ557" s="34"/>
      <c r="AR557" s="34"/>
      <c r="AS557" s="34"/>
      <c r="AT557" s="34"/>
      <c r="AU557" s="34"/>
      <c r="AV557" s="34"/>
      <c r="AW557" s="34"/>
      <c r="AX557" s="34"/>
      <c r="AY557" s="34"/>
      <c r="AZ557" s="34"/>
      <c r="BA557" s="34"/>
      <c r="BB557" s="34"/>
      <c r="BD557" s="34"/>
      <c r="BE557" s="34"/>
      <c r="BF557" s="34"/>
      <c r="BG557" s="34"/>
      <c r="BH557" s="34"/>
      <c r="BI557" s="34"/>
      <c r="BJ557" s="34"/>
      <c r="BK557" s="34"/>
      <c r="BL557" s="34"/>
      <c r="BM557" s="34"/>
      <c r="BN557" s="34"/>
      <c r="BO557" s="34"/>
      <c r="BP557" s="34"/>
      <c r="BQ557" s="34"/>
      <c r="BR557" s="34"/>
      <c r="BS557" s="34"/>
      <c r="BT557" s="34"/>
      <c r="BU557" s="34"/>
      <c r="BV557" s="34"/>
      <c r="BW557" s="34"/>
      <c r="BX557" s="34"/>
      <c r="BY557" s="34"/>
    </row>
    <row r="558" spans="1:77" x14ac:dyDescent="0.3">
      <c r="A558" s="39"/>
      <c r="B558" s="42"/>
      <c r="C558" s="42"/>
      <c r="D558" s="75"/>
      <c r="E558" s="75"/>
      <c r="F558" s="76"/>
      <c r="G558" s="47"/>
      <c r="H558" s="47"/>
      <c r="I558" s="75"/>
      <c r="J558" s="76"/>
      <c r="K558" s="76"/>
      <c r="L558" s="75"/>
      <c r="M558" s="49"/>
      <c r="N558" s="76"/>
      <c r="O558" s="49"/>
      <c r="P558" s="77"/>
      <c r="Q558" s="53"/>
      <c r="R558" s="54"/>
      <c r="S558" s="55"/>
      <c r="T558" s="56"/>
      <c r="U558" s="56"/>
      <c r="V558" s="42"/>
      <c r="W558" s="57"/>
      <c r="X558" s="58"/>
      <c r="Y558" s="75"/>
      <c r="Z558" s="59"/>
      <c r="AA558" s="61"/>
      <c r="AB558" s="61"/>
      <c r="AC558" s="61"/>
      <c r="AD558" s="62"/>
      <c r="AE558" s="62"/>
      <c r="AF558" s="34"/>
      <c r="AG558" s="34"/>
      <c r="AH558" s="34"/>
      <c r="AI558" s="34"/>
      <c r="AJ558" s="34"/>
      <c r="AK558" s="34"/>
      <c r="AL558" s="34"/>
      <c r="AM558" s="34"/>
      <c r="AN558" s="34"/>
      <c r="AO558" s="34"/>
      <c r="AP558" s="34"/>
      <c r="AQ558" s="34"/>
      <c r="AR558" s="34"/>
      <c r="AS558" s="34"/>
      <c r="AT558" s="34"/>
      <c r="AU558" s="34"/>
      <c r="AV558" s="34"/>
      <c r="AW558" s="34"/>
      <c r="AX558" s="34"/>
      <c r="AY558" s="34"/>
      <c r="AZ558" s="34"/>
      <c r="BA558" s="34"/>
      <c r="BB558" s="34"/>
      <c r="BD558" s="34"/>
      <c r="BE558" s="34"/>
      <c r="BF558" s="34"/>
      <c r="BG558" s="34"/>
      <c r="BH558" s="34"/>
      <c r="BI558" s="34"/>
      <c r="BJ558" s="34"/>
      <c r="BK558" s="34"/>
      <c r="BL558" s="34"/>
      <c r="BM558" s="34"/>
      <c r="BN558" s="34"/>
      <c r="BO558" s="34"/>
      <c r="BP558" s="34"/>
      <c r="BQ558" s="34"/>
      <c r="BR558" s="34"/>
      <c r="BS558" s="34"/>
      <c r="BT558" s="34"/>
      <c r="BU558" s="34"/>
      <c r="BV558" s="34"/>
      <c r="BW558" s="34"/>
      <c r="BX558" s="34"/>
      <c r="BY558" s="34"/>
    </row>
    <row r="559" spans="1:77" x14ac:dyDescent="0.3">
      <c r="A559" s="39"/>
      <c r="B559" s="42"/>
      <c r="C559" s="42"/>
      <c r="D559" s="75"/>
      <c r="E559" s="75"/>
      <c r="F559" s="76"/>
      <c r="G559" s="47"/>
      <c r="H559" s="47"/>
      <c r="I559" s="75"/>
      <c r="J559" s="76"/>
      <c r="K559" s="76"/>
      <c r="L559" s="75"/>
      <c r="M559" s="49"/>
      <c r="N559" s="76"/>
      <c r="O559" s="49"/>
      <c r="P559" s="77"/>
      <c r="Q559" s="53"/>
      <c r="R559" s="54"/>
      <c r="S559" s="55"/>
      <c r="T559" s="56"/>
      <c r="U559" s="56"/>
      <c r="V559" s="42"/>
      <c r="W559" s="57"/>
      <c r="X559" s="58"/>
      <c r="Y559" s="75"/>
      <c r="Z559" s="59"/>
      <c r="AA559" s="61"/>
      <c r="AB559" s="61"/>
      <c r="AC559" s="61"/>
      <c r="AD559" s="62"/>
      <c r="AE559" s="62"/>
      <c r="AF559" s="34"/>
      <c r="AG559" s="34"/>
      <c r="AH559" s="34"/>
      <c r="AI559" s="34"/>
      <c r="AJ559" s="34"/>
      <c r="AK559" s="34"/>
      <c r="AL559" s="34"/>
      <c r="AM559" s="34"/>
      <c r="AN559" s="34"/>
      <c r="AO559" s="34"/>
      <c r="AP559" s="34"/>
      <c r="AQ559" s="34"/>
      <c r="AR559" s="34"/>
      <c r="AS559" s="34"/>
      <c r="AT559" s="34"/>
      <c r="AU559" s="34"/>
      <c r="AV559" s="34"/>
      <c r="AW559" s="34"/>
      <c r="AX559" s="34"/>
      <c r="AY559" s="34"/>
      <c r="AZ559" s="34"/>
      <c r="BA559" s="34"/>
      <c r="BB559" s="34"/>
      <c r="BD559" s="34"/>
      <c r="BE559" s="34"/>
      <c r="BF559" s="34"/>
      <c r="BG559" s="34"/>
      <c r="BH559" s="34"/>
      <c r="BI559" s="34"/>
      <c r="BJ559" s="34"/>
      <c r="BK559" s="34"/>
      <c r="BL559" s="34"/>
      <c r="BM559" s="34"/>
      <c r="BN559" s="34"/>
      <c r="BO559" s="34"/>
      <c r="BP559" s="34"/>
      <c r="BQ559" s="34"/>
      <c r="BR559" s="34"/>
      <c r="BS559" s="34"/>
      <c r="BT559" s="34"/>
      <c r="BU559" s="34"/>
      <c r="BV559" s="34"/>
      <c r="BW559" s="34"/>
      <c r="BX559" s="34"/>
      <c r="BY559" s="34"/>
    </row>
    <row r="560" spans="1:77" x14ac:dyDescent="0.3">
      <c r="A560" s="39"/>
      <c r="B560" s="42"/>
      <c r="C560" s="42"/>
      <c r="D560" s="75"/>
      <c r="E560" s="75"/>
      <c r="F560" s="76"/>
      <c r="G560" s="47"/>
      <c r="H560" s="47"/>
      <c r="I560" s="75"/>
      <c r="J560" s="76"/>
      <c r="K560" s="76"/>
      <c r="L560" s="75"/>
      <c r="M560" s="49"/>
      <c r="N560" s="76"/>
      <c r="O560" s="49"/>
      <c r="P560" s="77"/>
      <c r="Q560" s="53"/>
      <c r="R560" s="54"/>
      <c r="S560" s="55"/>
      <c r="T560" s="56"/>
      <c r="U560" s="56"/>
      <c r="V560" s="42"/>
      <c r="W560" s="57"/>
      <c r="X560" s="58"/>
      <c r="Y560" s="75"/>
      <c r="Z560" s="59"/>
      <c r="AA560" s="61"/>
      <c r="AB560" s="61"/>
      <c r="AC560" s="61"/>
      <c r="AD560" s="62"/>
      <c r="AE560" s="62"/>
      <c r="AF560" s="34"/>
      <c r="AG560" s="34"/>
      <c r="AH560" s="34"/>
      <c r="AI560" s="34"/>
      <c r="AJ560" s="34"/>
      <c r="AK560" s="34"/>
      <c r="AL560" s="34"/>
      <c r="AM560" s="34"/>
      <c r="AN560" s="34"/>
      <c r="AO560" s="34"/>
      <c r="AP560" s="34"/>
      <c r="AQ560" s="34"/>
      <c r="AR560" s="34"/>
      <c r="AS560" s="34"/>
      <c r="AT560" s="34"/>
      <c r="AU560" s="34"/>
      <c r="AV560" s="34"/>
      <c r="AW560" s="34"/>
      <c r="AX560" s="34"/>
      <c r="AY560" s="34"/>
      <c r="AZ560" s="34"/>
      <c r="BA560" s="34"/>
      <c r="BB560" s="34"/>
      <c r="BD560" s="34"/>
      <c r="BE560" s="34"/>
      <c r="BF560" s="34"/>
      <c r="BG560" s="34"/>
      <c r="BH560" s="34"/>
      <c r="BI560" s="34"/>
      <c r="BJ560" s="34"/>
      <c r="BK560" s="34"/>
      <c r="BL560" s="34"/>
      <c r="BM560" s="34"/>
      <c r="BN560" s="34"/>
      <c r="BO560" s="34"/>
      <c r="BP560" s="34"/>
      <c r="BQ560" s="34"/>
      <c r="BR560" s="34"/>
      <c r="BS560" s="34"/>
      <c r="BT560" s="34"/>
      <c r="BU560" s="34"/>
      <c r="BV560" s="34"/>
      <c r="BW560" s="34"/>
      <c r="BX560" s="34"/>
      <c r="BY560" s="34"/>
    </row>
    <row r="561" spans="1:77" x14ac:dyDescent="0.3">
      <c r="A561" s="39"/>
      <c r="B561" s="42"/>
      <c r="C561" s="42"/>
      <c r="D561" s="75"/>
      <c r="E561" s="75"/>
      <c r="F561" s="76"/>
      <c r="G561" s="47"/>
      <c r="H561" s="47"/>
      <c r="I561" s="75"/>
      <c r="J561" s="76"/>
      <c r="K561" s="76"/>
      <c r="L561" s="75"/>
      <c r="M561" s="49"/>
      <c r="N561" s="76"/>
      <c r="O561" s="49"/>
      <c r="P561" s="77"/>
      <c r="Q561" s="53"/>
      <c r="R561" s="54"/>
      <c r="S561" s="55"/>
      <c r="T561" s="56"/>
      <c r="U561" s="56"/>
      <c r="V561" s="42"/>
      <c r="W561" s="57"/>
      <c r="X561" s="58"/>
      <c r="Y561" s="75"/>
      <c r="Z561" s="59"/>
      <c r="AA561" s="61"/>
      <c r="AB561" s="61"/>
      <c r="AC561" s="61"/>
      <c r="AD561" s="62"/>
      <c r="AE561" s="62"/>
      <c r="AF561" s="34"/>
      <c r="AG561" s="34"/>
      <c r="AH561" s="34"/>
      <c r="AI561" s="34"/>
      <c r="AJ561" s="34"/>
      <c r="AK561" s="34"/>
      <c r="AL561" s="34"/>
      <c r="AM561" s="34"/>
      <c r="AN561" s="34"/>
      <c r="AO561" s="34"/>
      <c r="AP561" s="34"/>
      <c r="AQ561" s="34"/>
      <c r="AR561" s="34"/>
      <c r="AS561" s="34"/>
      <c r="AT561" s="34"/>
      <c r="AU561" s="34"/>
      <c r="AV561" s="34"/>
      <c r="AW561" s="34"/>
      <c r="AX561" s="34"/>
      <c r="AY561" s="34"/>
      <c r="AZ561" s="34"/>
      <c r="BA561" s="34"/>
      <c r="BB561" s="34"/>
      <c r="BD561" s="34"/>
      <c r="BE561" s="34"/>
      <c r="BF561" s="34"/>
      <c r="BG561" s="34"/>
      <c r="BH561" s="34"/>
      <c r="BI561" s="34"/>
      <c r="BJ561" s="34"/>
      <c r="BK561" s="34"/>
      <c r="BL561" s="34"/>
      <c r="BM561" s="34"/>
      <c r="BN561" s="34"/>
      <c r="BO561" s="34"/>
      <c r="BP561" s="34"/>
      <c r="BQ561" s="34"/>
      <c r="BR561" s="34"/>
      <c r="BS561" s="34"/>
      <c r="BT561" s="34"/>
      <c r="BU561" s="34"/>
      <c r="BV561" s="34"/>
      <c r="BW561" s="34"/>
      <c r="BX561" s="34"/>
      <c r="BY561" s="34"/>
    </row>
    <row r="562" spans="1:77" x14ac:dyDescent="0.3">
      <c r="A562" s="39"/>
      <c r="B562" s="42"/>
      <c r="C562" s="42"/>
      <c r="D562" s="75"/>
      <c r="E562" s="75"/>
      <c r="F562" s="76"/>
      <c r="G562" s="47"/>
      <c r="H562" s="47"/>
      <c r="I562" s="75"/>
      <c r="J562" s="76"/>
      <c r="K562" s="76"/>
      <c r="L562" s="75"/>
      <c r="M562" s="49"/>
      <c r="N562" s="76"/>
      <c r="O562" s="49"/>
      <c r="P562" s="77"/>
      <c r="Q562" s="53"/>
      <c r="R562" s="54"/>
      <c r="S562" s="55"/>
      <c r="T562" s="56"/>
      <c r="U562" s="56"/>
      <c r="V562" s="42"/>
      <c r="W562" s="57"/>
      <c r="X562" s="58"/>
      <c r="Y562" s="75"/>
      <c r="Z562" s="59"/>
      <c r="AA562" s="61"/>
      <c r="AB562" s="61"/>
      <c r="AC562" s="61"/>
      <c r="AD562" s="62"/>
      <c r="AE562" s="62"/>
      <c r="AF562" s="34"/>
      <c r="AG562" s="34"/>
      <c r="AH562" s="34"/>
      <c r="AI562" s="34"/>
      <c r="AJ562" s="34"/>
      <c r="AK562" s="34"/>
      <c r="AL562" s="34"/>
      <c r="AM562" s="34"/>
      <c r="AN562" s="34"/>
      <c r="AO562" s="34"/>
      <c r="AP562" s="34"/>
      <c r="AQ562" s="34"/>
      <c r="AR562" s="34"/>
      <c r="AS562" s="34"/>
      <c r="AT562" s="34"/>
      <c r="AU562" s="34"/>
      <c r="AV562" s="34"/>
      <c r="AW562" s="34"/>
      <c r="AX562" s="34"/>
      <c r="AY562" s="34"/>
      <c r="AZ562" s="34"/>
      <c r="BA562" s="34"/>
      <c r="BB562" s="34"/>
      <c r="BD562" s="34"/>
      <c r="BE562" s="34"/>
      <c r="BF562" s="34"/>
      <c r="BG562" s="34"/>
      <c r="BH562" s="34"/>
      <c r="BI562" s="34"/>
      <c r="BJ562" s="34"/>
      <c r="BK562" s="34"/>
      <c r="BL562" s="34"/>
      <c r="BM562" s="34"/>
      <c r="BN562" s="34"/>
      <c r="BO562" s="34"/>
      <c r="BP562" s="34"/>
      <c r="BQ562" s="34"/>
      <c r="BR562" s="34"/>
      <c r="BS562" s="34"/>
      <c r="BT562" s="34"/>
      <c r="BU562" s="34"/>
      <c r="BV562" s="34"/>
      <c r="BW562" s="34"/>
      <c r="BX562" s="34"/>
      <c r="BY562" s="34"/>
    </row>
    <row r="563" spans="1:77" x14ac:dyDescent="0.3">
      <c r="A563" s="39"/>
      <c r="B563" s="42"/>
      <c r="C563" s="42"/>
      <c r="D563" s="75"/>
      <c r="E563" s="75"/>
      <c r="F563" s="76"/>
      <c r="G563" s="47"/>
      <c r="H563" s="47"/>
      <c r="I563" s="75"/>
      <c r="J563" s="76"/>
      <c r="K563" s="76"/>
      <c r="L563" s="75"/>
      <c r="M563" s="49"/>
      <c r="N563" s="76"/>
      <c r="O563" s="49"/>
      <c r="P563" s="77"/>
      <c r="Q563" s="53"/>
      <c r="R563" s="54"/>
      <c r="S563" s="55"/>
      <c r="T563" s="56"/>
      <c r="U563" s="56"/>
      <c r="V563" s="42"/>
      <c r="W563" s="57"/>
      <c r="X563" s="58"/>
      <c r="Y563" s="75"/>
      <c r="Z563" s="59"/>
      <c r="AA563" s="61"/>
      <c r="AB563" s="61"/>
      <c r="AC563" s="61"/>
      <c r="AD563" s="62"/>
      <c r="AE563" s="62"/>
      <c r="AF563" s="34"/>
      <c r="AG563" s="34"/>
      <c r="AH563" s="34"/>
      <c r="AI563" s="34"/>
      <c r="AJ563" s="34"/>
      <c r="AK563" s="34"/>
      <c r="AL563" s="34"/>
      <c r="AM563" s="34"/>
      <c r="AN563" s="34"/>
      <c r="AO563" s="34"/>
      <c r="AP563" s="34"/>
      <c r="AQ563" s="34"/>
      <c r="AR563" s="34"/>
      <c r="AS563" s="34"/>
      <c r="AT563" s="34"/>
      <c r="AU563" s="34"/>
      <c r="AV563" s="34"/>
      <c r="AW563" s="34"/>
      <c r="AX563" s="34"/>
      <c r="AY563" s="34"/>
      <c r="AZ563" s="34"/>
      <c r="BA563" s="34"/>
      <c r="BB563" s="34"/>
      <c r="BD563" s="34"/>
      <c r="BE563" s="34"/>
      <c r="BF563" s="34"/>
      <c r="BG563" s="34"/>
      <c r="BH563" s="34"/>
      <c r="BI563" s="34"/>
      <c r="BJ563" s="34"/>
      <c r="BK563" s="34"/>
      <c r="BL563" s="34"/>
      <c r="BM563" s="34"/>
      <c r="BN563" s="34"/>
      <c r="BO563" s="34"/>
      <c r="BP563" s="34"/>
      <c r="BQ563" s="34"/>
      <c r="BR563" s="34"/>
      <c r="BS563" s="34"/>
      <c r="BT563" s="34"/>
      <c r="BU563" s="34"/>
      <c r="BV563" s="34"/>
      <c r="BW563" s="34"/>
      <c r="BX563" s="34"/>
      <c r="BY563" s="34"/>
    </row>
    <row r="564" spans="1:77" x14ac:dyDescent="0.3">
      <c r="A564" s="39"/>
      <c r="B564" s="42"/>
      <c r="C564" s="42"/>
      <c r="D564" s="75"/>
      <c r="E564" s="75"/>
      <c r="F564" s="76"/>
      <c r="G564" s="47"/>
      <c r="H564" s="47"/>
      <c r="I564" s="75"/>
      <c r="J564" s="76"/>
      <c r="K564" s="76"/>
      <c r="L564" s="75"/>
      <c r="M564" s="49"/>
      <c r="N564" s="76"/>
      <c r="O564" s="49"/>
      <c r="P564" s="77"/>
      <c r="Q564" s="53"/>
      <c r="R564" s="54"/>
      <c r="S564" s="55"/>
      <c r="T564" s="56"/>
      <c r="U564" s="56"/>
      <c r="V564" s="42"/>
      <c r="W564" s="57"/>
      <c r="X564" s="58"/>
      <c r="Y564" s="75"/>
      <c r="Z564" s="59"/>
      <c r="AA564" s="61"/>
      <c r="AB564" s="61"/>
      <c r="AC564" s="61"/>
      <c r="AD564" s="62"/>
      <c r="AE564" s="62"/>
      <c r="AF564" s="34"/>
      <c r="AG564" s="34"/>
      <c r="AH564" s="34"/>
      <c r="AI564" s="34"/>
      <c r="AJ564" s="34"/>
      <c r="AK564" s="34"/>
      <c r="AL564" s="34"/>
      <c r="AM564" s="34"/>
      <c r="AN564" s="34"/>
      <c r="AO564" s="34"/>
      <c r="AP564" s="34"/>
      <c r="AQ564" s="34"/>
      <c r="AR564" s="34"/>
      <c r="AS564" s="34"/>
      <c r="AT564" s="34"/>
      <c r="AU564" s="34"/>
      <c r="AV564" s="34"/>
      <c r="AW564" s="34"/>
      <c r="AX564" s="34"/>
      <c r="AY564" s="34"/>
      <c r="AZ564" s="34"/>
      <c r="BA564" s="34"/>
      <c r="BB564" s="34"/>
      <c r="BD564" s="34"/>
      <c r="BE564" s="34"/>
      <c r="BF564" s="34"/>
      <c r="BG564" s="34"/>
      <c r="BH564" s="34"/>
      <c r="BI564" s="34"/>
      <c r="BJ564" s="34"/>
      <c r="BK564" s="34"/>
      <c r="BL564" s="34"/>
      <c r="BM564" s="34"/>
      <c r="BN564" s="34"/>
      <c r="BO564" s="34"/>
      <c r="BP564" s="34"/>
      <c r="BQ564" s="34"/>
      <c r="BR564" s="34"/>
      <c r="BS564" s="34"/>
      <c r="BT564" s="34"/>
      <c r="BU564" s="34"/>
      <c r="BV564" s="34"/>
      <c r="BW564" s="34"/>
      <c r="BX564" s="34"/>
      <c r="BY564" s="34"/>
    </row>
    <row r="565" spans="1:77" x14ac:dyDescent="0.3">
      <c r="A565" s="39"/>
      <c r="B565" s="42"/>
      <c r="C565" s="42"/>
      <c r="D565" s="75"/>
      <c r="E565" s="75"/>
      <c r="F565" s="76"/>
      <c r="G565" s="47"/>
      <c r="H565" s="47"/>
      <c r="I565" s="75"/>
      <c r="J565" s="76"/>
      <c r="K565" s="76"/>
      <c r="L565" s="75"/>
      <c r="M565" s="49"/>
      <c r="N565" s="76"/>
      <c r="O565" s="49"/>
      <c r="P565" s="77"/>
      <c r="Q565" s="53"/>
      <c r="R565" s="54"/>
      <c r="S565" s="55"/>
      <c r="T565" s="56"/>
      <c r="U565" s="56"/>
      <c r="V565" s="42"/>
      <c r="W565" s="57"/>
      <c r="X565" s="58"/>
      <c r="Y565" s="75"/>
      <c r="Z565" s="59"/>
      <c r="AA565" s="61"/>
      <c r="AB565" s="61"/>
      <c r="AC565" s="61"/>
      <c r="AD565" s="62"/>
      <c r="AE565" s="62"/>
      <c r="AF565" s="34"/>
      <c r="AG565" s="34"/>
      <c r="AH565" s="34"/>
      <c r="AI565" s="34"/>
      <c r="AJ565" s="34"/>
      <c r="AK565" s="34"/>
      <c r="AL565" s="34"/>
      <c r="AM565" s="34"/>
      <c r="AN565" s="34"/>
      <c r="AO565" s="34"/>
      <c r="AP565" s="34"/>
      <c r="AQ565" s="34"/>
      <c r="AR565" s="34"/>
      <c r="AS565" s="34"/>
      <c r="AT565" s="34"/>
      <c r="AU565" s="34"/>
      <c r="AV565" s="34"/>
      <c r="AW565" s="34"/>
      <c r="AX565" s="34"/>
      <c r="AY565" s="34"/>
      <c r="AZ565" s="34"/>
      <c r="BA565" s="34"/>
      <c r="BB565" s="34"/>
      <c r="BD565" s="34"/>
      <c r="BE565" s="34"/>
      <c r="BF565" s="34"/>
      <c r="BG565" s="34"/>
      <c r="BH565" s="34"/>
      <c r="BI565" s="34"/>
      <c r="BJ565" s="34"/>
      <c r="BK565" s="34"/>
      <c r="BL565" s="34"/>
      <c r="BM565" s="34"/>
      <c r="BN565" s="34"/>
      <c r="BO565" s="34"/>
      <c r="BP565" s="34"/>
      <c r="BQ565" s="34"/>
      <c r="BR565" s="34"/>
      <c r="BS565" s="34"/>
      <c r="BT565" s="34"/>
      <c r="BU565" s="34"/>
      <c r="BV565" s="34"/>
      <c r="BW565" s="34"/>
      <c r="BX565" s="34"/>
      <c r="BY565" s="34"/>
    </row>
    <row r="566" spans="1:77" x14ac:dyDescent="0.3">
      <c r="A566" s="39"/>
      <c r="B566" s="42"/>
      <c r="C566" s="42"/>
      <c r="D566" s="75"/>
      <c r="E566" s="75"/>
      <c r="F566" s="76"/>
      <c r="G566" s="47"/>
      <c r="H566" s="47"/>
      <c r="I566" s="75"/>
      <c r="J566" s="76"/>
      <c r="K566" s="76"/>
      <c r="L566" s="75"/>
      <c r="M566" s="49"/>
      <c r="N566" s="76"/>
      <c r="O566" s="49"/>
      <c r="P566" s="77"/>
      <c r="Q566" s="53"/>
      <c r="R566" s="54"/>
      <c r="S566" s="55"/>
      <c r="T566" s="56"/>
      <c r="U566" s="56"/>
      <c r="V566" s="42"/>
      <c r="W566" s="57"/>
      <c r="X566" s="58"/>
      <c r="Y566" s="75"/>
      <c r="Z566" s="59"/>
      <c r="AA566" s="61"/>
      <c r="AB566" s="61"/>
      <c r="AC566" s="61"/>
      <c r="AD566" s="62"/>
      <c r="AE566" s="62"/>
      <c r="AF566" s="34"/>
      <c r="AG566" s="34"/>
      <c r="AH566" s="34"/>
      <c r="AI566" s="34"/>
      <c r="AJ566" s="34"/>
      <c r="AK566" s="34"/>
      <c r="AL566" s="34"/>
      <c r="AM566" s="34"/>
      <c r="AN566" s="34"/>
      <c r="AO566" s="34"/>
      <c r="AP566" s="34"/>
      <c r="AQ566" s="34"/>
      <c r="AR566" s="34"/>
      <c r="AS566" s="34"/>
      <c r="AT566" s="34"/>
      <c r="AU566" s="34"/>
      <c r="AV566" s="34"/>
      <c r="AW566" s="34"/>
      <c r="AX566" s="34"/>
      <c r="AY566" s="34"/>
      <c r="AZ566" s="34"/>
      <c r="BA566" s="34"/>
      <c r="BB566" s="34"/>
      <c r="BD566" s="34"/>
      <c r="BE566" s="34"/>
      <c r="BF566" s="34"/>
      <c r="BG566" s="34"/>
      <c r="BH566" s="34"/>
      <c r="BI566" s="34"/>
      <c r="BJ566" s="34"/>
      <c r="BK566" s="34"/>
      <c r="BL566" s="34"/>
      <c r="BM566" s="34"/>
      <c r="BN566" s="34"/>
      <c r="BO566" s="34"/>
      <c r="BP566" s="34"/>
      <c r="BQ566" s="34"/>
      <c r="BR566" s="34"/>
      <c r="BS566" s="34"/>
      <c r="BT566" s="34"/>
      <c r="BU566" s="34"/>
      <c r="BV566" s="34"/>
      <c r="BW566" s="34"/>
      <c r="BX566" s="34"/>
      <c r="BY566" s="34"/>
    </row>
    <row r="567" spans="1:77" x14ac:dyDescent="0.3">
      <c r="A567" s="39"/>
      <c r="B567" s="42"/>
      <c r="C567" s="42"/>
      <c r="D567" s="75"/>
      <c r="E567" s="75"/>
      <c r="F567" s="76"/>
      <c r="G567" s="47"/>
      <c r="H567" s="47"/>
      <c r="I567" s="75"/>
      <c r="J567" s="76"/>
      <c r="K567" s="76"/>
      <c r="L567" s="75"/>
      <c r="M567" s="49"/>
      <c r="N567" s="76"/>
      <c r="O567" s="49"/>
      <c r="P567" s="77"/>
      <c r="Q567" s="53"/>
      <c r="R567" s="54"/>
      <c r="S567" s="55"/>
      <c r="T567" s="56"/>
      <c r="U567" s="56"/>
      <c r="V567" s="42"/>
      <c r="W567" s="57"/>
      <c r="X567" s="58"/>
      <c r="Y567" s="75"/>
      <c r="Z567" s="59"/>
      <c r="AA567" s="61"/>
      <c r="AB567" s="61"/>
      <c r="AC567" s="61"/>
      <c r="AD567" s="62"/>
      <c r="AE567" s="62"/>
      <c r="AF567" s="34"/>
      <c r="AG567" s="34"/>
      <c r="AH567" s="34"/>
      <c r="AI567" s="34"/>
      <c r="AJ567" s="34"/>
      <c r="AK567" s="34"/>
      <c r="AL567" s="34"/>
      <c r="AM567" s="34"/>
      <c r="AN567" s="34"/>
      <c r="AO567" s="34"/>
      <c r="AP567" s="34"/>
      <c r="AQ567" s="34"/>
      <c r="AR567" s="34"/>
      <c r="AS567" s="34"/>
      <c r="AT567" s="34"/>
      <c r="AU567" s="34"/>
      <c r="AV567" s="34"/>
      <c r="AW567" s="34"/>
      <c r="AX567" s="34"/>
      <c r="AY567" s="34"/>
      <c r="AZ567" s="34"/>
      <c r="BA567" s="34"/>
      <c r="BB567" s="34"/>
      <c r="BD567" s="34"/>
      <c r="BE567" s="34"/>
      <c r="BF567" s="34"/>
      <c r="BG567" s="34"/>
      <c r="BH567" s="34"/>
      <c r="BI567" s="34"/>
      <c r="BJ567" s="34"/>
      <c r="BK567" s="34"/>
      <c r="BL567" s="34"/>
      <c r="BM567" s="34"/>
      <c r="BN567" s="34"/>
      <c r="BO567" s="34"/>
      <c r="BP567" s="34"/>
      <c r="BQ567" s="34"/>
      <c r="BR567" s="34"/>
      <c r="BS567" s="34"/>
      <c r="BT567" s="34"/>
      <c r="BU567" s="34"/>
      <c r="BV567" s="34"/>
      <c r="BW567" s="34"/>
      <c r="BX567" s="34"/>
      <c r="BY567" s="34"/>
    </row>
    <row r="568" spans="1:77" x14ac:dyDescent="0.3">
      <c r="A568" s="39"/>
      <c r="B568" s="42"/>
      <c r="C568" s="42"/>
      <c r="D568" s="75"/>
      <c r="E568" s="75"/>
      <c r="F568" s="76"/>
      <c r="G568" s="47"/>
      <c r="H568" s="47"/>
      <c r="I568" s="75"/>
      <c r="J568" s="76"/>
      <c r="K568" s="76"/>
      <c r="L568" s="75"/>
      <c r="M568" s="49"/>
      <c r="N568" s="76"/>
      <c r="O568" s="49"/>
      <c r="P568" s="77"/>
      <c r="Q568" s="53"/>
      <c r="R568" s="54"/>
      <c r="S568" s="55"/>
      <c r="T568" s="56"/>
      <c r="U568" s="56"/>
      <c r="V568" s="42"/>
      <c r="W568" s="57"/>
      <c r="X568" s="58"/>
      <c r="Y568" s="75"/>
      <c r="Z568" s="59"/>
      <c r="AA568" s="61"/>
      <c r="AB568" s="61"/>
      <c r="AC568" s="61"/>
      <c r="AD568" s="62"/>
      <c r="AE568" s="62"/>
      <c r="AF568" s="34"/>
      <c r="AG568" s="34"/>
      <c r="AH568" s="34"/>
      <c r="AI568" s="34"/>
      <c r="AJ568" s="34"/>
      <c r="AK568" s="34"/>
      <c r="AL568" s="34"/>
      <c r="AM568" s="34"/>
      <c r="AN568" s="34"/>
      <c r="AO568" s="34"/>
      <c r="AP568" s="34"/>
      <c r="AQ568" s="34"/>
      <c r="AR568" s="34"/>
      <c r="AS568" s="34"/>
      <c r="AT568" s="34"/>
      <c r="AU568" s="34"/>
      <c r="AV568" s="34"/>
      <c r="AW568" s="34"/>
      <c r="AX568" s="34"/>
      <c r="AY568" s="34"/>
      <c r="AZ568" s="34"/>
      <c r="BA568" s="34"/>
      <c r="BB568" s="34"/>
      <c r="BD568" s="34"/>
      <c r="BE568" s="34"/>
      <c r="BF568" s="34"/>
      <c r="BG568" s="34"/>
      <c r="BH568" s="34"/>
      <c r="BI568" s="34"/>
      <c r="BJ568" s="34"/>
      <c r="BK568" s="34"/>
      <c r="BL568" s="34"/>
      <c r="BM568" s="34"/>
      <c r="BN568" s="34"/>
      <c r="BO568" s="34"/>
      <c r="BP568" s="34"/>
      <c r="BQ568" s="34"/>
      <c r="BR568" s="34"/>
      <c r="BS568" s="34"/>
      <c r="BT568" s="34"/>
      <c r="BU568" s="34"/>
      <c r="BV568" s="34"/>
      <c r="BW568" s="34"/>
      <c r="BX568" s="34"/>
      <c r="BY568" s="34"/>
    </row>
    <row r="569" spans="1:77" x14ac:dyDescent="0.3">
      <c r="A569" s="39"/>
      <c r="B569" s="42"/>
      <c r="C569" s="42"/>
      <c r="D569" s="75"/>
      <c r="E569" s="75"/>
      <c r="F569" s="76"/>
      <c r="G569" s="47"/>
      <c r="H569" s="47"/>
      <c r="I569" s="75"/>
      <c r="J569" s="76"/>
      <c r="K569" s="76"/>
      <c r="L569" s="75"/>
      <c r="M569" s="49"/>
      <c r="N569" s="76"/>
      <c r="O569" s="49"/>
      <c r="P569" s="77"/>
      <c r="Q569" s="53"/>
      <c r="R569" s="54"/>
      <c r="S569" s="55"/>
      <c r="T569" s="56"/>
      <c r="U569" s="56"/>
      <c r="V569" s="42"/>
      <c r="W569" s="57"/>
      <c r="X569" s="58"/>
      <c r="Y569" s="75"/>
      <c r="Z569" s="59"/>
      <c r="AA569" s="61"/>
      <c r="AB569" s="61"/>
      <c r="AC569" s="61"/>
      <c r="AD569" s="62"/>
      <c r="AE569" s="62"/>
      <c r="AF569" s="34"/>
      <c r="AG569" s="34"/>
      <c r="AH569" s="34"/>
      <c r="AI569" s="34"/>
      <c r="AJ569" s="34"/>
      <c r="AK569" s="34"/>
      <c r="AL569" s="34"/>
      <c r="AM569" s="34"/>
      <c r="AN569" s="34"/>
      <c r="AO569" s="34"/>
      <c r="AP569" s="34"/>
      <c r="AQ569" s="34"/>
      <c r="AR569" s="34"/>
      <c r="AS569" s="34"/>
      <c r="AT569" s="34"/>
      <c r="AU569" s="34"/>
      <c r="AV569" s="34"/>
      <c r="AW569" s="34"/>
      <c r="AX569" s="34"/>
      <c r="AY569" s="34"/>
      <c r="AZ569" s="34"/>
      <c r="BA569" s="34"/>
      <c r="BB569" s="34"/>
      <c r="BD569" s="34"/>
      <c r="BE569" s="34"/>
      <c r="BF569" s="34"/>
      <c r="BG569" s="34"/>
      <c r="BH569" s="34"/>
      <c r="BI569" s="34"/>
      <c r="BJ569" s="34"/>
      <c r="BK569" s="34"/>
      <c r="BL569" s="34"/>
      <c r="BM569" s="34"/>
      <c r="BN569" s="34"/>
      <c r="BO569" s="34"/>
      <c r="BP569" s="34"/>
      <c r="BQ569" s="34"/>
      <c r="BR569" s="34"/>
      <c r="BS569" s="34"/>
      <c r="BT569" s="34"/>
      <c r="BU569" s="34"/>
      <c r="BV569" s="34"/>
      <c r="BW569" s="34"/>
      <c r="BX569" s="34"/>
      <c r="BY569" s="34"/>
    </row>
    <row r="570" spans="1:77" x14ac:dyDescent="0.3">
      <c r="A570" s="39"/>
      <c r="B570" s="42"/>
      <c r="C570" s="42"/>
      <c r="D570" s="75"/>
      <c r="E570" s="75"/>
      <c r="F570" s="76"/>
      <c r="G570" s="47"/>
      <c r="H570" s="47"/>
      <c r="I570" s="75"/>
      <c r="J570" s="76"/>
      <c r="K570" s="76"/>
      <c r="L570" s="75"/>
      <c r="M570" s="49"/>
      <c r="N570" s="76"/>
      <c r="O570" s="49"/>
      <c r="P570" s="77"/>
      <c r="Q570" s="53"/>
      <c r="R570" s="54"/>
      <c r="S570" s="55"/>
      <c r="T570" s="56"/>
      <c r="U570" s="56"/>
      <c r="V570" s="42"/>
      <c r="W570" s="57"/>
      <c r="X570" s="58"/>
      <c r="Y570" s="75"/>
      <c r="Z570" s="59"/>
      <c r="AA570" s="61"/>
      <c r="AB570" s="61"/>
      <c r="AC570" s="61"/>
      <c r="AD570" s="62"/>
      <c r="AE570" s="62"/>
      <c r="AF570" s="34"/>
      <c r="AG570" s="34"/>
      <c r="AH570" s="34"/>
      <c r="AI570" s="34"/>
      <c r="AJ570" s="34"/>
      <c r="AK570" s="34"/>
      <c r="AL570" s="34"/>
      <c r="AM570" s="34"/>
      <c r="AN570" s="34"/>
      <c r="AO570" s="34"/>
      <c r="AP570" s="34"/>
      <c r="AQ570" s="34"/>
      <c r="AR570" s="34"/>
      <c r="AS570" s="34"/>
      <c r="AT570" s="34"/>
      <c r="AU570" s="34"/>
      <c r="AV570" s="34"/>
      <c r="AW570" s="34"/>
      <c r="AX570" s="34"/>
      <c r="AY570" s="34"/>
      <c r="AZ570" s="34"/>
      <c r="BA570" s="34"/>
      <c r="BB570" s="34"/>
      <c r="BD570" s="34"/>
      <c r="BE570" s="34"/>
      <c r="BF570" s="34"/>
      <c r="BG570" s="34"/>
      <c r="BH570" s="34"/>
      <c r="BI570" s="34"/>
      <c r="BJ570" s="34"/>
      <c r="BK570" s="34"/>
      <c r="BL570" s="34"/>
      <c r="BM570" s="34"/>
      <c r="BN570" s="34"/>
      <c r="BO570" s="34"/>
      <c r="BP570" s="34"/>
      <c r="BQ570" s="34"/>
      <c r="BR570" s="34"/>
      <c r="BS570" s="34"/>
      <c r="BT570" s="34"/>
      <c r="BU570" s="34"/>
      <c r="BV570" s="34"/>
      <c r="BW570" s="34"/>
      <c r="BX570" s="34"/>
      <c r="BY570" s="34"/>
    </row>
    <row r="571" spans="1:77" x14ac:dyDescent="0.3">
      <c r="A571" s="39"/>
      <c r="B571" s="42"/>
      <c r="C571" s="42"/>
      <c r="D571" s="75"/>
      <c r="E571" s="75"/>
      <c r="F571" s="76"/>
      <c r="G571" s="47"/>
      <c r="H571" s="47"/>
      <c r="I571" s="75"/>
      <c r="J571" s="76"/>
      <c r="K571" s="76"/>
      <c r="L571" s="75"/>
      <c r="M571" s="49"/>
      <c r="N571" s="76"/>
      <c r="O571" s="49"/>
      <c r="P571" s="77"/>
      <c r="Q571" s="53"/>
      <c r="R571" s="54"/>
      <c r="S571" s="55"/>
      <c r="T571" s="56"/>
      <c r="U571" s="56"/>
      <c r="V571" s="42"/>
      <c r="W571" s="57"/>
      <c r="X571" s="58"/>
      <c r="Y571" s="75"/>
      <c r="Z571" s="59"/>
      <c r="AA571" s="61"/>
      <c r="AB571" s="61"/>
      <c r="AC571" s="61"/>
      <c r="AD571" s="62"/>
      <c r="AE571" s="62"/>
      <c r="AF571" s="34"/>
      <c r="AG571" s="34"/>
      <c r="AH571" s="34"/>
      <c r="AI571" s="34"/>
      <c r="AJ571" s="34"/>
      <c r="AK571" s="34"/>
      <c r="AL571" s="34"/>
      <c r="AM571" s="34"/>
      <c r="AN571" s="34"/>
      <c r="AO571" s="34"/>
      <c r="AP571" s="34"/>
      <c r="AQ571" s="34"/>
      <c r="AR571" s="34"/>
      <c r="AS571" s="34"/>
      <c r="AT571" s="34"/>
      <c r="AU571" s="34"/>
      <c r="AV571" s="34"/>
      <c r="AW571" s="34"/>
      <c r="AX571" s="34"/>
      <c r="AY571" s="34"/>
      <c r="AZ571" s="34"/>
      <c r="BA571" s="34"/>
      <c r="BB571" s="34"/>
      <c r="BD571" s="34"/>
      <c r="BE571" s="34"/>
      <c r="BF571" s="34"/>
      <c r="BG571" s="34"/>
      <c r="BH571" s="34"/>
      <c r="BI571" s="34"/>
      <c r="BJ571" s="34"/>
      <c r="BK571" s="34"/>
      <c r="BL571" s="34"/>
      <c r="BM571" s="34"/>
      <c r="BN571" s="34"/>
      <c r="BO571" s="34"/>
      <c r="BP571" s="34"/>
      <c r="BQ571" s="34"/>
      <c r="BR571" s="34"/>
      <c r="BS571" s="34"/>
      <c r="BT571" s="34"/>
      <c r="BU571" s="34"/>
      <c r="BV571" s="34"/>
      <c r="BW571" s="34"/>
      <c r="BX571" s="34"/>
      <c r="BY571" s="34"/>
    </row>
    <row r="572" spans="1:77" x14ac:dyDescent="0.3">
      <c r="A572" s="39"/>
      <c r="B572" s="42"/>
      <c r="C572" s="42"/>
      <c r="D572" s="75"/>
      <c r="E572" s="75"/>
      <c r="F572" s="76"/>
      <c r="G572" s="47"/>
      <c r="H572" s="47"/>
      <c r="I572" s="75"/>
      <c r="J572" s="76"/>
      <c r="K572" s="76"/>
      <c r="L572" s="75"/>
      <c r="M572" s="49"/>
      <c r="N572" s="76"/>
      <c r="O572" s="49"/>
      <c r="P572" s="77"/>
      <c r="Q572" s="53"/>
      <c r="R572" s="54"/>
      <c r="S572" s="55"/>
      <c r="T572" s="56"/>
      <c r="U572" s="56"/>
      <c r="V572" s="42"/>
      <c r="W572" s="57"/>
      <c r="X572" s="58"/>
      <c r="Y572" s="75"/>
      <c r="Z572" s="59"/>
      <c r="AA572" s="61"/>
      <c r="AB572" s="61"/>
      <c r="AC572" s="61"/>
      <c r="AD572" s="62"/>
      <c r="AE572" s="62"/>
      <c r="AF572" s="34"/>
      <c r="AG572" s="34"/>
      <c r="AH572" s="34"/>
      <c r="AI572" s="34"/>
      <c r="AJ572" s="34"/>
      <c r="AK572" s="34"/>
      <c r="AL572" s="34"/>
      <c r="AM572" s="34"/>
      <c r="AN572" s="34"/>
      <c r="AO572" s="34"/>
      <c r="AP572" s="34"/>
      <c r="AQ572" s="34"/>
      <c r="AR572" s="34"/>
      <c r="AS572" s="34"/>
      <c r="AT572" s="34"/>
      <c r="AU572" s="34"/>
      <c r="AV572" s="34"/>
      <c r="AW572" s="34"/>
      <c r="AX572" s="34"/>
      <c r="AY572" s="34"/>
      <c r="AZ572" s="34"/>
      <c r="BA572" s="34"/>
      <c r="BB572" s="34"/>
      <c r="BD572" s="34"/>
      <c r="BE572" s="34"/>
      <c r="BF572" s="34"/>
      <c r="BG572" s="34"/>
      <c r="BH572" s="34"/>
      <c r="BI572" s="34"/>
      <c r="BJ572" s="34"/>
      <c r="BK572" s="34"/>
      <c r="BL572" s="34"/>
      <c r="BM572" s="34"/>
      <c r="BN572" s="34"/>
      <c r="BO572" s="34"/>
      <c r="BP572" s="34"/>
      <c r="BQ572" s="34"/>
      <c r="BR572" s="34"/>
      <c r="BS572" s="34"/>
      <c r="BT572" s="34"/>
      <c r="BU572" s="34"/>
      <c r="BV572" s="34"/>
      <c r="BW572" s="34"/>
      <c r="BX572" s="34"/>
      <c r="BY572" s="34"/>
    </row>
    <row r="573" spans="1:77" x14ac:dyDescent="0.3">
      <c r="A573" s="39"/>
      <c r="B573" s="42"/>
      <c r="C573" s="42"/>
      <c r="D573" s="75"/>
      <c r="E573" s="75"/>
      <c r="F573" s="76"/>
      <c r="G573" s="47"/>
      <c r="H573" s="47"/>
      <c r="I573" s="75"/>
      <c r="J573" s="76"/>
      <c r="K573" s="76"/>
      <c r="L573" s="75"/>
      <c r="M573" s="49"/>
      <c r="N573" s="76"/>
      <c r="O573" s="49"/>
      <c r="P573" s="77"/>
      <c r="Q573" s="53"/>
      <c r="R573" s="54"/>
      <c r="S573" s="55"/>
      <c r="T573" s="56"/>
      <c r="U573" s="56"/>
      <c r="V573" s="42"/>
      <c r="W573" s="57"/>
      <c r="X573" s="58"/>
      <c r="Y573" s="75"/>
      <c r="Z573" s="59"/>
      <c r="AA573" s="61"/>
      <c r="AB573" s="61"/>
      <c r="AC573" s="61"/>
      <c r="AD573" s="62"/>
      <c r="AE573" s="62"/>
      <c r="AF573" s="34"/>
      <c r="AG573" s="34"/>
      <c r="AH573" s="34"/>
      <c r="AI573" s="34"/>
      <c r="AJ573" s="34"/>
      <c r="AK573" s="34"/>
      <c r="AL573" s="34"/>
      <c r="AM573" s="34"/>
      <c r="AN573" s="34"/>
      <c r="AO573" s="34"/>
      <c r="AP573" s="34"/>
      <c r="AQ573" s="34"/>
      <c r="AR573" s="34"/>
      <c r="AS573" s="34"/>
      <c r="AT573" s="34"/>
      <c r="AU573" s="34"/>
      <c r="AV573" s="34"/>
      <c r="AW573" s="34"/>
      <c r="AX573" s="34"/>
      <c r="AY573" s="34"/>
      <c r="AZ573" s="34"/>
      <c r="BA573" s="34"/>
      <c r="BB573" s="34"/>
      <c r="BD573" s="34"/>
      <c r="BE573" s="34"/>
      <c r="BF573" s="34"/>
      <c r="BG573" s="34"/>
      <c r="BH573" s="34"/>
      <c r="BI573" s="34"/>
      <c r="BJ573" s="34"/>
      <c r="BK573" s="34"/>
      <c r="BL573" s="34"/>
      <c r="BM573" s="34"/>
      <c r="BN573" s="34"/>
      <c r="BO573" s="34"/>
      <c r="BP573" s="34"/>
      <c r="BQ573" s="34"/>
      <c r="BR573" s="34"/>
      <c r="BS573" s="34"/>
      <c r="BT573" s="34"/>
      <c r="BU573" s="34"/>
      <c r="BV573" s="34"/>
      <c r="BW573" s="34"/>
      <c r="BX573" s="34"/>
      <c r="BY573" s="34"/>
    </row>
    <row r="574" spans="1:77" x14ac:dyDescent="0.3">
      <c r="A574" s="39"/>
      <c r="B574" s="42"/>
      <c r="C574" s="42"/>
      <c r="D574" s="75"/>
      <c r="E574" s="75"/>
      <c r="F574" s="76"/>
      <c r="G574" s="47"/>
      <c r="H574" s="47"/>
      <c r="I574" s="75"/>
      <c r="J574" s="76"/>
      <c r="K574" s="76"/>
      <c r="L574" s="75"/>
      <c r="M574" s="49"/>
      <c r="N574" s="76"/>
      <c r="O574" s="49"/>
      <c r="P574" s="77"/>
      <c r="Q574" s="53"/>
      <c r="R574" s="54"/>
      <c r="S574" s="55"/>
      <c r="T574" s="56"/>
      <c r="U574" s="56"/>
      <c r="V574" s="42"/>
      <c r="W574" s="57"/>
      <c r="X574" s="58"/>
      <c r="Y574" s="75"/>
      <c r="Z574" s="59"/>
      <c r="AA574" s="61"/>
      <c r="AB574" s="61"/>
      <c r="AC574" s="61"/>
      <c r="AD574" s="62"/>
      <c r="AE574" s="62"/>
      <c r="AF574" s="34"/>
      <c r="AG574" s="34"/>
      <c r="AH574" s="34"/>
      <c r="AI574" s="34"/>
      <c r="AJ574" s="34"/>
      <c r="AK574" s="34"/>
      <c r="AL574" s="34"/>
      <c r="AM574" s="34"/>
      <c r="AN574" s="34"/>
      <c r="AO574" s="34"/>
      <c r="AP574" s="34"/>
      <c r="AQ574" s="34"/>
      <c r="AR574" s="34"/>
      <c r="AS574" s="34"/>
      <c r="AT574" s="34"/>
      <c r="AU574" s="34"/>
      <c r="AV574" s="34"/>
      <c r="AW574" s="34"/>
      <c r="AX574" s="34"/>
      <c r="AY574" s="34"/>
      <c r="AZ574" s="34"/>
      <c r="BA574" s="34"/>
      <c r="BB574" s="34"/>
      <c r="BD574" s="34"/>
      <c r="BE574" s="34"/>
      <c r="BF574" s="34"/>
      <c r="BG574" s="34"/>
      <c r="BH574" s="34"/>
      <c r="BI574" s="34"/>
      <c r="BJ574" s="34"/>
      <c r="BK574" s="34"/>
      <c r="BL574" s="34"/>
      <c r="BM574" s="34"/>
      <c r="BN574" s="34"/>
      <c r="BO574" s="34"/>
      <c r="BP574" s="34"/>
      <c r="BQ574" s="34"/>
      <c r="BR574" s="34"/>
      <c r="BS574" s="34"/>
      <c r="BT574" s="34"/>
      <c r="BU574" s="34"/>
      <c r="BV574" s="34"/>
      <c r="BW574" s="34"/>
      <c r="BX574" s="34"/>
      <c r="BY574" s="34"/>
    </row>
    <row r="575" spans="1:77" x14ac:dyDescent="0.3">
      <c r="A575" s="39"/>
      <c r="B575" s="42"/>
      <c r="C575" s="42"/>
      <c r="D575" s="75"/>
      <c r="E575" s="75"/>
      <c r="F575" s="76"/>
      <c r="G575" s="47"/>
      <c r="H575" s="47"/>
      <c r="I575" s="75"/>
      <c r="J575" s="76"/>
      <c r="K575" s="76"/>
      <c r="L575" s="75"/>
      <c r="M575" s="49"/>
      <c r="N575" s="76"/>
      <c r="O575" s="49"/>
      <c r="P575" s="77"/>
      <c r="Q575" s="53"/>
      <c r="R575" s="54"/>
      <c r="S575" s="55"/>
      <c r="T575" s="56"/>
      <c r="U575" s="56"/>
      <c r="V575" s="42"/>
      <c r="W575" s="57"/>
      <c r="X575" s="58"/>
      <c r="Y575" s="75"/>
      <c r="Z575" s="59"/>
      <c r="AA575" s="61"/>
      <c r="AB575" s="61"/>
      <c r="AC575" s="61"/>
      <c r="AD575" s="62"/>
      <c r="AE575" s="62"/>
      <c r="AF575" s="34"/>
      <c r="AG575" s="34"/>
      <c r="AH575" s="34"/>
      <c r="AI575" s="34"/>
      <c r="AJ575" s="34"/>
      <c r="AK575" s="34"/>
      <c r="AL575" s="34"/>
      <c r="AM575" s="34"/>
      <c r="AN575" s="34"/>
      <c r="AO575" s="34"/>
      <c r="AP575" s="34"/>
      <c r="AQ575" s="34"/>
      <c r="AR575" s="34"/>
      <c r="AS575" s="34"/>
      <c r="AT575" s="34"/>
      <c r="AU575" s="34"/>
      <c r="AV575" s="34"/>
      <c r="AW575" s="34"/>
      <c r="AX575" s="34"/>
      <c r="AY575" s="34"/>
      <c r="AZ575" s="34"/>
      <c r="BA575" s="34"/>
      <c r="BB575" s="34"/>
      <c r="BD575" s="34"/>
      <c r="BE575" s="34"/>
      <c r="BF575" s="34"/>
      <c r="BG575" s="34"/>
      <c r="BH575" s="34"/>
      <c r="BI575" s="34"/>
      <c r="BJ575" s="34"/>
      <c r="BK575" s="34"/>
      <c r="BL575" s="34"/>
      <c r="BM575" s="34"/>
      <c r="BN575" s="34"/>
      <c r="BO575" s="34"/>
      <c r="BP575" s="34"/>
      <c r="BQ575" s="34"/>
      <c r="BR575" s="34"/>
      <c r="BS575" s="34"/>
      <c r="BT575" s="34"/>
      <c r="BU575" s="34"/>
      <c r="BV575" s="34"/>
      <c r="BW575" s="34"/>
      <c r="BX575" s="34"/>
      <c r="BY575" s="34"/>
    </row>
    <row r="576" spans="1:77" x14ac:dyDescent="0.3">
      <c r="A576" s="39"/>
      <c r="B576" s="42"/>
      <c r="C576" s="42"/>
      <c r="D576" s="75"/>
      <c r="E576" s="75"/>
      <c r="F576" s="76"/>
      <c r="G576" s="47"/>
      <c r="H576" s="47"/>
      <c r="I576" s="75"/>
      <c r="J576" s="76"/>
      <c r="K576" s="76"/>
      <c r="L576" s="75"/>
      <c r="M576" s="49"/>
      <c r="N576" s="76"/>
      <c r="O576" s="49"/>
      <c r="P576" s="77"/>
      <c r="Q576" s="53"/>
      <c r="R576" s="54"/>
      <c r="S576" s="55"/>
      <c r="T576" s="56"/>
      <c r="U576" s="56"/>
      <c r="V576" s="42"/>
      <c r="W576" s="57"/>
      <c r="X576" s="58"/>
      <c r="Y576" s="75"/>
      <c r="Z576" s="59"/>
      <c r="AA576" s="61"/>
      <c r="AB576" s="61"/>
      <c r="AC576" s="61"/>
      <c r="AD576" s="62"/>
      <c r="AE576" s="62"/>
      <c r="AF576" s="34"/>
      <c r="AG576" s="34"/>
      <c r="AH576" s="34"/>
      <c r="AI576" s="34"/>
      <c r="AJ576" s="34"/>
      <c r="AK576" s="34"/>
      <c r="AL576" s="34"/>
      <c r="AM576" s="34"/>
      <c r="AN576" s="34"/>
      <c r="AO576" s="34"/>
      <c r="AP576" s="34"/>
      <c r="AQ576" s="34"/>
      <c r="AR576" s="34"/>
      <c r="AS576" s="34"/>
      <c r="AT576" s="34"/>
      <c r="AU576" s="34"/>
      <c r="AV576" s="34"/>
      <c r="AW576" s="34"/>
      <c r="AX576" s="34"/>
      <c r="AY576" s="34"/>
      <c r="AZ576" s="34"/>
      <c r="BA576" s="34"/>
      <c r="BB576" s="34"/>
      <c r="BD576" s="34"/>
      <c r="BE576" s="34"/>
      <c r="BF576" s="34"/>
      <c r="BG576" s="34"/>
      <c r="BH576" s="34"/>
      <c r="BI576" s="34"/>
      <c r="BJ576" s="34"/>
      <c r="BK576" s="34"/>
      <c r="BL576" s="34"/>
      <c r="BM576" s="34"/>
      <c r="BN576" s="34"/>
      <c r="BO576" s="34"/>
      <c r="BP576" s="34"/>
      <c r="BQ576" s="34"/>
      <c r="BR576" s="34"/>
      <c r="BS576" s="34"/>
      <c r="BT576" s="34"/>
      <c r="BU576" s="34"/>
      <c r="BV576" s="34"/>
      <c r="BW576" s="34"/>
      <c r="BX576" s="34"/>
      <c r="BY576" s="34"/>
    </row>
    <row r="577" spans="1:77" x14ac:dyDescent="0.3">
      <c r="A577" s="39"/>
      <c r="B577" s="42"/>
      <c r="C577" s="42"/>
      <c r="D577" s="75"/>
      <c r="E577" s="75"/>
      <c r="F577" s="76"/>
      <c r="G577" s="47"/>
      <c r="H577" s="47"/>
      <c r="I577" s="75"/>
      <c r="J577" s="76"/>
      <c r="K577" s="76"/>
      <c r="L577" s="75"/>
      <c r="M577" s="49"/>
      <c r="N577" s="76"/>
      <c r="O577" s="49"/>
      <c r="P577" s="77"/>
      <c r="Q577" s="53"/>
      <c r="R577" s="54"/>
      <c r="S577" s="55"/>
      <c r="T577" s="56"/>
      <c r="U577" s="56"/>
      <c r="V577" s="42"/>
      <c r="W577" s="57"/>
      <c r="X577" s="58"/>
      <c r="Y577" s="75"/>
      <c r="Z577" s="59"/>
      <c r="AA577" s="61"/>
      <c r="AB577" s="61"/>
      <c r="AC577" s="61"/>
      <c r="AD577" s="62"/>
      <c r="AE577" s="62"/>
      <c r="AF577" s="34"/>
      <c r="AG577" s="34"/>
      <c r="AH577" s="34"/>
      <c r="AI577" s="34"/>
      <c r="AJ577" s="34"/>
      <c r="AK577" s="34"/>
      <c r="AL577" s="34"/>
      <c r="AM577" s="34"/>
      <c r="AN577" s="34"/>
      <c r="AO577" s="34"/>
      <c r="AP577" s="34"/>
      <c r="AQ577" s="34"/>
      <c r="AR577" s="34"/>
      <c r="AS577" s="34"/>
      <c r="AT577" s="34"/>
      <c r="AU577" s="34"/>
      <c r="AV577" s="34"/>
      <c r="AW577" s="34"/>
      <c r="AX577" s="34"/>
      <c r="AY577" s="34"/>
      <c r="AZ577" s="34"/>
      <c r="BA577" s="34"/>
      <c r="BB577" s="34"/>
      <c r="BD577" s="34"/>
      <c r="BE577" s="34"/>
      <c r="BF577" s="34"/>
      <c r="BG577" s="34"/>
      <c r="BH577" s="34"/>
      <c r="BI577" s="34"/>
      <c r="BJ577" s="34"/>
      <c r="BK577" s="34"/>
      <c r="BL577" s="34"/>
      <c r="BM577" s="34"/>
      <c r="BN577" s="34"/>
      <c r="BO577" s="34"/>
      <c r="BP577" s="34"/>
      <c r="BQ577" s="34"/>
      <c r="BR577" s="34"/>
      <c r="BS577" s="34"/>
      <c r="BT577" s="34"/>
      <c r="BU577" s="34"/>
      <c r="BV577" s="34"/>
      <c r="BW577" s="34"/>
      <c r="BX577" s="34"/>
      <c r="BY577" s="34"/>
    </row>
    <row r="578" spans="1:77" x14ac:dyDescent="0.3">
      <c r="A578" s="39"/>
      <c r="B578" s="42"/>
      <c r="C578" s="42"/>
      <c r="D578" s="75"/>
      <c r="E578" s="75"/>
      <c r="F578" s="76"/>
      <c r="G578" s="47"/>
      <c r="H578" s="47"/>
      <c r="I578" s="75"/>
      <c r="J578" s="76"/>
      <c r="K578" s="76"/>
      <c r="L578" s="75"/>
      <c r="M578" s="49"/>
      <c r="N578" s="76"/>
      <c r="O578" s="49"/>
      <c r="P578" s="77"/>
      <c r="Q578" s="53"/>
      <c r="R578" s="54"/>
      <c r="S578" s="55"/>
      <c r="T578" s="56"/>
      <c r="U578" s="56"/>
      <c r="V578" s="42"/>
      <c r="W578" s="57"/>
      <c r="X578" s="58"/>
      <c r="Y578" s="75"/>
      <c r="Z578" s="59"/>
      <c r="AA578" s="61"/>
      <c r="AB578" s="61"/>
      <c r="AC578" s="61"/>
      <c r="AD578" s="62"/>
      <c r="AE578" s="62"/>
      <c r="AF578" s="34"/>
      <c r="AG578" s="34"/>
      <c r="AH578" s="34"/>
      <c r="AI578" s="34"/>
      <c r="AJ578" s="34"/>
      <c r="AK578" s="34"/>
      <c r="AL578" s="34"/>
      <c r="AM578" s="34"/>
      <c r="AN578" s="34"/>
      <c r="AO578" s="34"/>
      <c r="AP578" s="34"/>
      <c r="AQ578" s="34"/>
      <c r="AR578" s="34"/>
      <c r="AS578" s="34"/>
      <c r="AT578" s="34"/>
      <c r="AU578" s="34"/>
      <c r="AV578" s="34"/>
      <c r="AW578" s="34"/>
      <c r="AX578" s="34"/>
      <c r="AY578" s="34"/>
      <c r="AZ578" s="34"/>
      <c r="BA578" s="34"/>
      <c r="BB578" s="34"/>
      <c r="BD578" s="34"/>
      <c r="BE578" s="34"/>
      <c r="BF578" s="34"/>
      <c r="BG578" s="34"/>
      <c r="BH578" s="34"/>
      <c r="BI578" s="34"/>
      <c r="BJ578" s="34"/>
      <c r="BK578" s="34"/>
      <c r="BL578" s="34"/>
      <c r="BM578" s="34"/>
      <c r="BN578" s="34"/>
      <c r="BO578" s="34"/>
      <c r="BP578" s="34"/>
      <c r="BQ578" s="34"/>
      <c r="BR578" s="34"/>
      <c r="BS578" s="34"/>
      <c r="BT578" s="34"/>
      <c r="BU578" s="34"/>
      <c r="BV578" s="34"/>
      <c r="BW578" s="34"/>
      <c r="BX578" s="34"/>
      <c r="BY578" s="34"/>
    </row>
    <row r="579" spans="1:77" x14ac:dyDescent="0.3">
      <c r="A579" s="39"/>
      <c r="B579" s="42"/>
      <c r="C579" s="42"/>
      <c r="D579" s="75"/>
      <c r="E579" s="75"/>
      <c r="F579" s="76"/>
      <c r="G579" s="47"/>
      <c r="H579" s="47"/>
      <c r="I579" s="75"/>
      <c r="J579" s="76"/>
      <c r="K579" s="76"/>
      <c r="L579" s="75"/>
      <c r="M579" s="49"/>
      <c r="N579" s="76"/>
      <c r="O579" s="49"/>
      <c r="P579" s="77"/>
      <c r="Q579" s="53"/>
      <c r="R579" s="54"/>
      <c r="S579" s="55"/>
      <c r="T579" s="56"/>
      <c r="U579" s="56"/>
      <c r="V579" s="42"/>
      <c r="W579" s="57"/>
      <c r="X579" s="58"/>
      <c r="Y579" s="75"/>
      <c r="Z579" s="59"/>
      <c r="AA579" s="61"/>
      <c r="AB579" s="61"/>
      <c r="AC579" s="61"/>
      <c r="AD579" s="62"/>
      <c r="AE579" s="62"/>
      <c r="AF579" s="34"/>
      <c r="AG579" s="34"/>
      <c r="AH579" s="34"/>
      <c r="AI579" s="34"/>
      <c r="AJ579" s="34"/>
      <c r="AK579" s="34"/>
      <c r="AL579" s="34"/>
      <c r="AM579" s="34"/>
      <c r="AN579" s="34"/>
      <c r="AO579" s="34"/>
      <c r="AP579" s="34"/>
      <c r="AQ579" s="34"/>
      <c r="AR579" s="34"/>
      <c r="AS579" s="34"/>
      <c r="AT579" s="34"/>
      <c r="AU579" s="34"/>
      <c r="AV579" s="34"/>
      <c r="AW579" s="34"/>
      <c r="AX579" s="34"/>
      <c r="AY579" s="34"/>
      <c r="AZ579" s="34"/>
      <c r="BA579" s="34"/>
      <c r="BB579" s="34"/>
      <c r="BD579" s="34"/>
      <c r="BE579" s="34"/>
      <c r="BF579" s="34"/>
      <c r="BG579" s="34"/>
      <c r="BH579" s="34"/>
      <c r="BI579" s="34"/>
      <c r="BJ579" s="34"/>
      <c r="BK579" s="34"/>
      <c r="BL579" s="34"/>
      <c r="BM579" s="34"/>
      <c r="BN579" s="34"/>
      <c r="BO579" s="34"/>
      <c r="BP579" s="34"/>
      <c r="BQ579" s="34"/>
      <c r="BR579" s="34"/>
      <c r="BS579" s="34"/>
      <c r="BT579" s="34"/>
      <c r="BU579" s="34"/>
      <c r="BV579" s="34"/>
      <c r="BW579" s="34"/>
      <c r="BX579" s="34"/>
      <c r="BY579" s="34"/>
    </row>
    <row r="580" spans="1:77" x14ac:dyDescent="0.3">
      <c r="A580" s="39"/>
      <c r="B580" s="42"/>
      <c r="C580" s="42"/>
      <c r="D580" s="75"/>
      <c r="E580" s="75"/>
      <c r="F580" s="76"/>
      <c r="G580" s="47"/>
      <c r="H580" s="47"/>
      <c r="I580" s="75"/>
      <c r="J580" s="76"/>
      <c r="K580" s="76"/>
      <c r="L580" s="75"/>
      <c r="M580" s="49"/>
      <c r="N580" s="76"/>
      <c r="O580" s="49"/>
      <c r="P580" s="77"/>
      <c r="Q580" s="53"/>
      <c r="R580" s="54"/>
      <c r="S580" s="55"/>
      <c r="T580" s="56"/>
      <c r="U580" s="56"/>
      <c r="V580" s="42"/>
      <c r="W580" s="57"/>
      <c r="X580" s="58"/>
      <c r="Y580" s="75"/>
      <c r="Z580" s="59"/>
      <c r="AA580" s="61"/>
      <c r="AB580" s="61"/>
      <c r="AC580" s="61"/>
      <c r="AD580" s="62"/>
      <c r="AE580" s="62"/>
      <c r="AF580" s="34"/>
      <c r="AG580" s="34"/>
      <c r="AH580" s="34"/>
      <c r="AI580" s="34"/>
      <c r="AJ580" s="34"/>
      <c r="AK580" s="34"/>
      <c r="AL580" s="34"/>
      <c r="AM580" s="34"/>
      <c r="AN580" s="34"/>
      <c r="AO580" s="34"/>
      <c r="AP580" s="34"/>
      <c r="AQ580" s="34"/>
      <c r="AR580" s="34"/>
      <c r="AS580" s="34"/>
      <c r="AT580" s="34"/>
      <c r="AU580" s="34"/>
      <c r="AV580" s="34"/>
      <c r="AW580" s="34"/>
      <c r="AX580" s="34"/>
      <c r="AY580" s="34"/>
      <c r="AZ580" s="34"/>
      <c r="BA580" s="34"/>
      <c r="BB580" s="34"/>
      <c r="BD580" s="34"/>
      <c r="BE580" s="34"/>
      <c r="BF580" s="34"/>
      <c r="BG580" s="34"/>
      <c r="BH580" s="34"/>
      <c r="BI580" s="34"/>
      <c r="BJ580" s="34"/>
      <c r="BK580" s="34"/>
      <c r="BL580" s="34"/>
      <c r="BM580" s="34"/>
      <c r="BN580" s="34"/>
      <c r="BO580" s="34"/>
      <c r="BP580" s="34"/>
      <c r="BQ580" s="34"/>
      <c r="BR580" s="34"/>
      <c r="BS580" s="34"/>
      <c r="BT580" s="34"/>
      <c r="BU580" s="34"/>
      <c r="BV580" s="34"/>
      <c r="BW580" s="34"/>
      <c r="BX580" s="34"/>
      <c r="BY580" s="34"/>
    </row>
    <row r="581" spans="1:77" x14ac:dyDescent="0.3">
      <c r="A581" s="39"/>
      <c r="B581" s="42"/>
      <c r="C581" s="42"/>
      <c r="D581" s="75"/>
      <c r="E581" s="75"/>
      <c r="F581" s="76"/>
      <c r="G581" s="47"/>
      <c r="H581" s="47"/>
      <c r="I581" s="75"/>
      <c r="J581" s="76"/>
      <c r="K581" s="76"/>
      <c r="L581" s="75"/>
      <c r="M581" s="49"/>
      <c r="N581" s="76"/>
      <c r="O581" s="49"/>
      <c r="P581" s="77"/>
      <c r="Q581" s="53"/>
      <c r="R581" s="54"/>
      <c r="S581" s="55"/>
      <c r="T581" s="56"/>
      <c r="U581" s="56"/>
      <c r="V581" s="42"/>
      <c r="W581" s="57"/>
      <c r="X581" s="58"/>
      <c r="Y581" s="75"/>
      <c r="Z581" s="59"/>
      <c r="AA581" s="61"/>
      <c r="AB581" s="61"/>
      <c r="AC581" s="61"/>
      <c r="AD581" s="62"/>
      <c r="AE581" s="62"/>
      <c r="AF581" s="34"/>
      <c r="AG581" s="34"/>
      <c r="AH581" s="34"/>
      <c r="AI581" s="34"/>
      <c r="AJ581" s="34"/>
      <c r="AK581" s="34"/>
      <c r="AL581" s="34"/>
      <c r="AM581" s="34"/>
      <c r="AN581" s="34"/>
      <c r="AO581" s="34"/>
      <c r="AP581" s="34"/>
      <c r="AQ581" s="34"/>
      <c r="AR581" s="34"/>
      <c r="AS581" s="34"/>
      <c r="AT581" s="34"/>
      <c r="AU581" s="34"/>
      <c r="AV581" s="34"/>
      <c r="AW581" s="34"/>
      <c r="AX581" s="34"/>
      <c r="AY581" s="34"/>
      <c r="AZ581" s="34"/>
      <c r="BA581" s="34"/>
      <c r="BB581" s="34"/>
      <c r="BD581" s="34"/>
      <c r="BE581" s="34"/>
      <c r="BF581" s="34"/>
      <c r="BG581" s="34"/>
      <c r="BH581" s="34"/>
      <c r="BI581" s="34"/>
      <c r="BJ581" s="34"/>
      <c r="BK581" s="34"/>
      <c r="BL581" s="34"/>
      <c r="BM581" s="34"/>
      <c r="BN581" s="34"/>
      <c r="BO581" s="34"/>
      <c r="BP581" s="34"/>
      <c r="BQ581" s="34"/>
      <c r="BR581" s="34"/>
      <c r="BS581" s="34"/>
      <c r="BT581" s="34"/>
      <c r="BU581" s="34"/>
      <c r="BV581" s="34"/>
      <c r="BW581" s="34"/>
      <c r="BX581" s="34"/>
      <c r="BY581" s="34"/>
    </row>
    <row r="582" spans="1:77" x14ac:dyDescent="0.3">
      <c r="A582" s="39"/>
      <c r="B582" s="42"/>
      <c r="C582" s="42"/>
      <c r="D582" s="75"/>
      <c r="E582" s="75"/>
      <c r="F582" s="76"/>
      <c r="G582" s="47"/>
      <c r="H582" s="47"/>
      <c r="I582" s="75"/>
      <c r="J582" s="76"/>
      <c r="K582" s="76"/>
      <c r="L582" s="75"/>
      <c r="M582" s="49"/>
      <c r="N582" s="76"/>
      <c r="O582" s="49"/>
      <c r="P582" s="77"/>
      <c r="Q582" s="53"/>
      <c r="R582" s="54"/>
      <c r="S582" s="55"/>
      <c r="T582" s="56"/>
      <c r="U582" s="56"/>
      <c r="V582" s="42"/>
      <c r="W582" s="57"/>
      <c r="X582" s="58"/>
      <c r="Y582" s="75"/>
      <c r="Z582" s="59"/>
      <c r="AA582" s="61"/>
      <c r="AB582" s="61"/>
      <c r="AC582" s="61"/>
      <c r="AD582" s="62"/>
      <c r="AE582" s="62"/>
      <c r="AF582" s="34"/>
      <c r="AG582" s="34"/>
      <c r="AH582" s="34"/>
      <c r="AI582" s="34"/>
      <c r="AJ582" s="34"/>
      <c r="AK582" s="34"/>
      <c r="AL582" s="34"/>
      <c r="AM582" s="34"/>
      <c r="AN582" s="34"/>
      <c r="AO582" s="34"/>
      <c r="AP582" s="34"/>
      <c r="AQ582" s="34"/>
      <c r="AR582" s="34"/>
      <c r="AS582" s="34"/>
      <c r="AT582" s="34"/>
      <c r="AU582" s="34"/>
      <c r="AV582" s="34"/>
      <c r="AW582" s="34"/>
      <c r="AX582" s="34"/>
      <c r="AY582" s="34"/>
      <c r="AZ582" s="34"/>
      <c r="BA582" s="34"/>
      <c r="BB582" s="34"/>
      <c r="BD582" s="34"/>
      <c r="BE582" s="34"/>
      <c r="BF582" s="34"/>
      <c r="BG582" s="34"/>
      <c r="BH582" s="34"/>
      <c r="BI582" s="34"/>
      <c r="BJ582" s="34"/>
      <c r="BK582" s="34"/>
      <c r="BL582" s="34"/>
      <c r="BM582" s="34"/>
      <c r="BN582" s="34"/>
      <c r="BO582" s="34"/>
      <c r="BP582" s="34"/>
      <c r="BQ582" s="34"/>
      <c r="BR582" s="34"/>
      <c r="BS582" s="34"/>
      <c r="BT582" s="34"/>
      <c r="BU582" s="34"/>
      <c r="BV582" s="34"/>
      <c r="BW582" s="34"/>
      <c r="BX582" s="34"/>
      <c r="BY582" s="34"/>
    </row>
    <row r="583" spans="1:77" x14ac:dyDescent="0.3">
      <c r="A583" s="39"/>
      <c r="B583" s="42"/>
      <c r="C583" s="42"/>
      <c r="D583" s="75"/>
      <c r="E583" s="75"/>
      <c r="F583" s="76"/>
      <c r="G583" s="47"/>
      <c r="H583" s="47"/>
      <c r="I583" s="75"/>
      <c r="J583" s="76"/>
      <c r="K583" s="76"/>
      <c r="L583" s="75"/>
      <c r="M583" s="49"/>
      <c r="N583" s="76"/>
      <c r="O583" s="49"/>
      <c r="P583" s="77"/>
      <c r="Q583" s="53"/>
      <c r="R583" s="54"/>
      <c r="S583" s="55"/>
      <c r="T583" s="56"/>
      <c r="U583" s="56"/>
      <c r="V583" s="42"/>
      <c r="W583" s="57"/>
      <c r="X583" s="58"/>
      <c r="Y583" s="75"/>
      <c r="Z583" s="59"/>
      <c r="AA583" s="61"/>
      <c r="AB583" s="61"/>
      <c r="AC583" s="61"/>
      <c r="AD583" s="62"/>
      <c r="AE583" s="62"/>
      <c r="AF583" s="34"/>
      <c r="AG583" s="34"/>
      <c r="AH583" s="34"/>
      <c r="AI583" s="34"/>
      <c r="AJ583" s="34"/>
      <c r="AK583" s="34"/>
      <c r="AL583" s="34"/>
      <c r="AM583" s="34"/>
      <c r="AN583" s="34"/>
      <c r="AO583" s="34"/>
      <c r="AP583" s="34"/>
      <c r="AQ583" s="34"/>
      <c r="AR583" s="34"/>
      <c r="AS583" s="34"/>
      <c r="AT583" s="34"/>
      <c r="AU583" s="34"/>
      <c r="AV583" s="34"/>
      <c r="AW583" s="34"/>
      <c r="AX583" s="34"/>
      <c r="AY583" s="34"/>
      <c r="AZ583" s="34"/>
      <c r="BA583" s="34"/>
      <c r="BB583" s="34"/>
      <c r="BD583" s="34"/>
      <c r="BE583" s="34"/>
      <c r="BF583" s="34"/>
      <c r="BG583" s="34"/>
      <c r="BH583" s="34"/>
      <c r="BI583" s="34"/>
      <c r="BJ583" s="34"/>
      <c r="BK583" s="34"/>
      <c r="BL583" s="34"/>
      <c r="BM583" s="34"/>
      <c r="BN583" s="34"/>
      <c r="BO583" s="34"/>
      <c r="BP583" s="34"/>
      <c r="BQ583" s="34"/>
      <c r="BR583" s="34"/>
      <c r="BS583" s="34"/>
      <c r="BT583" s="34"/>
      <c r="BU583" s="34"/>
      <c r="BV583" s="34"/>
      <c r="BW583" s="34"/>
      <c r="BX583" s="34"/>
      <c r="BY583" s="34"/>
    </row>
    <row r="584" spans="1:77" x14ac:dyDescent="0.3">
      <c r="A584" s="39"/>
      <c r="B584" s="42"/>
      <c r="C584" s="42"/>
      <c r="D584" s="75"/>
      <c r="E584" s="75"/>
      <c r="F584" s="76"/>
      <c r="G584" s="47"/>
      <c r="H584" s="47"/>
      <c r="I584" s="75"/>
      <c r="J584" s="76"/>
      <c r="K584" s="76"/>
      <c r="L584" s="75"/>
      <c r="M584" s="49"/>
      <c r="N584" s="76"/>
      <c r="O584" s="49"/>
      <c r="P584" s="77"/>
      <c r="Q584" s="53"/>
      <c r="R584" s="54"/>
      <c r="S584" s="55"/>
      <c r="T584" s="56"/>
      <c r="U584" s="56"/>
      <c r="V584" s="42"/>
      <c r="W584" s="57"/>
      <c r="X584" s="58"/>
      <c r="Y584" s="75"/>
      <c r="Z584" s="59"/>
      <c r="AA584" s="61"/>
      <c r="AB584" s="61"/>
      <c r="AC584" s="61"/>
      <c r="AD584" s="62"/>
      <c r="AE584" s="62"/>
      <c r="AF584" s="34"/>
      <c r="AG584" s="34"/>
      <c r="AH584" s="34"/>
      <c r="AI584" s="34"/>
      <c r="AJ584" s="34"/>
      <c r="AK584" s="34"/>
      <c r="AL584" s="34"/>
      <c r="AM584" s="34"/>
      <c r="AN584" s="34"/>
      <c r="AO584" s="34"/>
      <c r="AP584" s="34"/>
      <c r="AQ584" s="34"/>
      <c r="AR584" s="34"/>
      <c r="AS584" s="34"/>
      <c r="AT584" s="34"/>
      <c r="AU584" s="34"/>
      <c r="AV584" s="34"/>
      <c r="AW584" s="34"/>
      <c r="AX584" s="34"/>
      <c r="AY584" s="34"/>
      <c r="AZ584" s="34"/>
      <c r="BA584" s="34"/>
      <c r="BB584" s="34"/>
      <c r="BD584" s="34"/>
      <c r="BE584" s="34"/>
      <c r="BF584" s="34"/>
      <c r="BG584" s="34"/>
      <c r="BH584" s="34"/>
      <c r="BI584" s="34"/>
      <c r="BJ584" s="34"/>
      <c r="BK584" s="34"/>
      <c r="BL584" s="34"/>
      <c r="BM584" s="34"/>
      <c r="BN584" s="34"/>
      <c r="BO584" s="34"/>
      <c r="BP584" s="34"/>
      <c r="BQ584" s="34"/>
      <c r="BR584" s="34"/>
      <c r="BS584" s="34"/>
      <c r="BT584" s="34"/>
      <c r="BU584" s="34"/>
      <c r="BV584" s="34"/>
      <c r="BW584" s="34"/>
      <c r="BX584" s="34"/>
      <c r="BY584" s="34"/>
    </row>
    <row r="585" spans="1:77" x14ac:dyDescent="0.3">
      <c r="A585" s="39"/>
      <c r="B585" s="42"/>
      <c r="C585" s="42"/>
      <c r="D585" s="75"/>
      <c r="E585" s="75"/>
      <c r="F585" s="76"/>
      <c r="G585" s="47"/>
      <c r="H585" s="47"/>
      <c r="I585" s="75"/>
      <c r="J585" s="76"/>
      <c r="K585" s="76"/>
      <c r="L585" s="75"/>
      <c r="M585" s="49"/>
      <c r="N585" s="76"/>
      <c r="O585" s="49"/>
      <c r="P585" s="77"/>
      <c r="Q585" s="53"/>
      <c r="R585" s="54"/>
      <c r="S585" s="55"/>
      <c r="T585" s="56"/>
      <c r="U585" s="56"/>
      <c r="V585" s="42"/>
      <c r="W585" s="57"/>
      <c r="X585" s="58"/>
      <c r="Y585" s="75"/>
      <c r="Z585" s="59"/>
      <c r="AA585" s="61"/>
      <c r="AB585" s="61"/>
      <c r="AC585" s="61"/>
      <c r="AD585" s="62"/>
      <c r="AE585" s="62"/>
      <c r="AF585" s="34"/>
      <c r="AG585" s="34"/>
      <c r="AH585" s="34"/>
      <c r="AI585" s="34"/>
      <c r="AJ585" s="34"/>
      <c r="AK585" s="34"/>
      <c r="AL585" s="34"/>
      <c r="AM585" s="34"/>
      <c r="AN585" s="34"/>
      <c r="AO585" s="34"/>
      <c r="AP585" s="34"/>
      <c r="AQ585" s="34"/>
      <c r="AR585" s="34"/>
      <c r="AS585" s="34"/>
      <c r="AT585" s="34"/>
      <c r="AU585" s="34"/>
      <c r="AV585" s="34"/>
      <c r="AW585" s="34"/>
      <c r="AX585" s="34"/>
      <c r="AY585" s="34"/>
      <c r="AZ585" s="34"/>
      <c r="BA585" s="34"/>
      <c r="BB585" s="34"/>
      <c r="BD585" s="34"/>
      <c r="BE585" s="34"/>
      <c r="BF585" s="34"/>
      <c r="BG585" s="34"/>
      <c r="BH585" s="34"/>
      <c r="BI585" s="34"/>
      <c r="BJ585" s="34"/>
      <c r="BK585" s="34"/>
      <c r="BL585" s="34"/>
      <c r="BM585" s="34"/>
      <c r="BN585" s="34"/>
      <c r="BO585" s="34"/>
      <c r="BP585" s="34"/>
      <c r="BQ585" s="34"/>
      <c r="BR585" s="34"/>
      <c r="BS585" s="34"/>
      <c r="BT585" s="34"/>
      <c r="BU585" s="34"/>
      <c r="BV585" s="34"/>
      <c r="BW585" s="34"/>
      <c r="BX585" s="34"/>
      <c r="BY585" s="34"/>
    </row>
    <row r="586" spans="1:77" x14ac:dyDescent="0.3">
      <c r="A586" s="39"/>
      <c r="B586" s="42"/>
      <c r="C586" s="42"/>
      <c r="D586" s="75"/>
      <c r="E586" s="75"/>
      <c r="F586" s="76"/>
      <c r="G586" s="47"/>
      <c r="H586" s="47"/>
      <c r="I586" s="75"/>
      <c r="J586" s="76"/>
      <c r="K586" s="76"/>
      <c r="L586" s="75"/>
      <c r="M586" s="49"/>
      <c r="N586" s="76"/>
      <c r="O586" s="49"/>
      <c r="P586" s="77"/>
      <c r="Q586" s="53"/>
      <c r="R586" s="54"/>
      <c r="S586" s="55"/>
      <c r="T586" s="56"/>
      <c r="U586" s="56"/>
      <c r="V586" s="42"/>
      <c r="W586" s="57"/>
      <c r="X586" s="58"/>
      <c r="Y586" s="75"/>
      <c r="Z586" s="59"/>
      <c r="AA586" s="61"/>
      <c r="AB586" s="61"/>
      <c r="AC586" s="61"/>
      <c r="AD586" s="62"/>
      <c r="AE586" s="62"/>
      <c r="AF586" s="34"/>
      <c r="AG586" s="34"/>
      <c r="AH586" s="34"/>
      <c r="AI586" s="34"/>
      <c r="AJ586" s="34"/>
      <c r="AK586" s="34"/>
      <c r="AL586" s="34"/>
      <c r="AM586" s="34"/>
      <c r="AN586" s="34"/>
      <c r="AO586" s="34"/>
      <c r="AP586" s="34"/>
      <c r="AQ586" s="34"/>
      <c r="AR586" s="34"/>
      <c r="AS586" s="34"/>
      <c r="AT586" s="34"/>
      <c r="AU586" s="34"/>
      <c r="AV586" s="34"/>
      <c r="AW586" s="34"/>
      <c r="AX586" s="34"/>
      <c r="AY586" s="34"/>
      <c r="AZ586" s="34"/>
      <c r="BA586" s="34"/>
      <c r="BB586" s="34"/>
      <c r="BD586" s="34"/>
      <c r="BE586" s="34"/>
      <c r="BF586" s="34"/>
      <c r="BG586" s="34"/>
      <c r="BH586" s="34"/>
      <c r="BI586" s="34"/>
      <c r="BJ586" s="34"/>
      <c r="BK586" s="34"/>
      <c r="BL586" s="34"/>
      <c r="BM586" s="34"/>
      <c r="BN586" s="34"/>
      <c r="BO586" s="34"/>
      <c r="BP586" s="34"/>
      <c r="BQ586" s="34"/>
      <c r="BR586" s="34"/>
      <c r="BS586" s="34"/>
      <c r="BT586" s="34"/>
      <c r="BU586" s="34"/>
      <c r="BV586" s="34"/>
      <c r="BW586" s="34"/>
      <c r="BX586" s="34"/>
      <c r="BY586" s="34"/>
    </row>
    <row r="587" spans="1:77" x14ac:dyDescent="0.3">
      <c r="A587" s="39"/>
      <c r="B587" s="42"/>
      <c r="C587" s="42"/>
      <c r="D587" s="75"/>
      <c r="E587" s="75"/>
      <c r="F587" s="76"/>
      <c r="G587" s="47"/>
      <c r="H587" s="47"/>
      <c r="I587" s="75"/>
      <c r="J587" s="76"/>
      <c r="K587" s="76"/>
      <c r="L587" s="75"/>
      <c r="M587" s="49"/>
      <c r="N587" s="76"/>
      <c r="O587" s="49"/>
      <c r="P587" s="77"/>
      <c r="Q587" s="53"/>
      <c r="R587" s="54"/>
      <c r="S587" s="55"/>
      <c r="T587" s="56"/>
      <c r="U587" s="56"/>
      <c r="V587" s="42"/>
      <c r="W587" s="57"/>
      <c r="X587" s="58"/>
      <c r="Y587" s="75"/>
      <c r="Z587" s="59"/>
      <c r="AA587" s="61"/>
      <c r="AB587" s="61"/>
      <c r="AC587" s="61"/>
      <c r="AD587" s="62"/>
      <c r="AE587" s="62"/>
      <c r="AF587" s="34"/>
      <c r="AG587" s="34"/>
      <c r="AH587" s="34"/>
      <c r="AI587" s="34"/>
      <c r="AJ587" s="34"/>
      <c r="AK587" s="34"/>
      <c r="AL587" s="34"/>
      <c r="AM587" s="34"/>
      <c r="AN587" s="34"/>
      <c r="AO587" s="34"/>
      <c r="AP587" s="34"/>
      <c r="AQ587" s="34"/>
      <c r="AR587" s="34"/>
      <c r="AS587" s="34"/>
      <c r="AT587" s="34"/>
      <c r="AU587" s="34"/>
      <c r="AV587" s="34"/>
      <c r="AW587" s="34"/>
      <c r="AX587" s="34"/>
      <c r="AY587" s="34"/>
      <c r="AZ587" s="34"/>
      <c r="BA587" s="34"/>
      <c r="BB587" s="34"/>
      <c r="BD587" s="34"/>
      <c r="BE587" s="34"/>
      <c r="BF587" s="34"/>
      <c r="BG587" s="34"/>
      <c r="BH587" s="34"/>
      <c r="BI587" s="34"/>
      <c r="BJ587" s="34"/>
      <c r="BK587" s="34"/>
      <c r="BL587" s="34"/>
      <c r="BM587" s="34"/>
      <c r="BN587" s="34"/>
      <c r="BO587" s="34"/>
      <c r="BP587" s="34"/>
      <c r="BQ587" s="34"/>
      <c r="BR587" s="34"/>
      <c r="BS587" s="34"/>
      <c r="BT587" s="34"/>
      <c r="BU587" s="34"/>
      <c r="BV587" s="34"/>
      <c r="BW587" s="34"/>
      <c r="BX587" s="34"/>
      <c r="BY587" s="34"/>
    </row>
    <row r="588" spans="1:77" x14ac:dyDescent="0.3">
      <c r="A588" s="39"/>
      <c r="B588" s="42"/>
      <c r="C588" s="42"/>
      <c r="D588" s="75"/>
      <c r="E588" s="75"/>
      <c r="F588" s="76"/>
      <c r="G588" s="47"/>
      <c r="H588" s="47"/>
      <c r="I588" s="75"/>
      <c r="J588" s="76"/>
      <c r="K588" s="76"/>
      <c r="L588" s="75"/>
      <c r="M588" s="49"/>
      <c r="N588" s="76"/>
      <c r="O588" s="49"/>
      <c r="P588" s="77"/>
      <c r="Q588" s="53"/>
      <c r="R588" s="54"/>
      <c r="S588" s="55"/>
      <c r="T588" s="56"/>
      <c r="U588" s="56"/>
      <c r="V588" s="42"/>
      <c r="W588" s="57"/>
      <c r="X588" s="58"/>
      <c r="Y588" s="75"/>
      <c r="Z588" s="59"/>
      <c r="AA588" s="61"/>
      <c r="AB588" s="61"/>
      <c r="AC588" s="61"/>
      <c r="AD588" s="62"/>
      <c r="AE588" s="62"/>
      <c r="AF588" s="34"/>
      <c r="AG588" s="34"/>
      <c r="AH588" s="34"/>
      <c r="AI588" s="34"/>
      <c r="AJ588" s="34"/>
      <c r="AK588" s="34"/>
      <c r="AL588" s="34"/>
      <c r="AM588" s="34"/>
      <c r="AN588" s="34"/>
      <c r="AO588" s="34"/>
      <c r="AP588" s="34"/>
      <c r="AQ588" s="34"/>
      <c r="AR588" s="34"/>
      <c r="AS588" s="34"/>
      <c r="AT588" s="34"/>
      <c r="AU588" s="34"/>
      <c r="AV588" s="34"/>
      <c r="AW588" s="34"/>
      <c r="AX588" s="34"/>
      <c r="AY588" s="34"/>
      <c r="AZ588" s="34"/>
      <c r="BA588" s="34"/>
      <c r="BB588" s="34"/>
      <c r="BD588" s="34"/>
      <c r="BE588" s="34"/>
      <c r="BF588" s="34"/>
      <c r="BG588" s="34"/>
      <c r="BH588" s="34"/>
      <c r="BI588" s="34"/>
      <c r="BJ588" s="34"/>
      <c r="BK588" s="34"/>
      <c r="BL588" s="34"/>
      <c r="BM588" s="34"/>
      <c r="BN588" s="34"/>
      <c r="BO588" s="34"/>
      <c r="BP588" s="34"/>
      <c r="BQ588" s="34"/>
      <c r="BR588" s="34"/>
      <c r="BS588" s="34"/>
      <c r="BT588" s="34"/>
      <c r="BU588" s="34"/>
      <c r="BV588" s="34"/>
      <c r="BW588" s="34"/>
      <c r="BX588" s="34"/>
      <c r="BY588" s="34"/>
    </row>
    <row r="589" spans="1:77" x14ac:dyDescent="0.3">
      <c r="A589" s="39"/>
      <c r="B589" s="42"/>
      <c r="C589" s="42"/>
      <c r="D589" s="75"/>
      <c r="E589" s="75"/>
      <c r="F589" s="76"/>
      <c r="G589" s="47"/>
      <c r="H589" s="47"/>
      <c r="I589" s="75"/>
      <c r="J589" s="76"/>
      <c r="K589" s="76"/>
      <c r="L589" s="75"/>
      <c r="M589" s="49"/>
      <c r="N589" s="76"/>
      <c r="O589" s="49"/>
      <c r="P589" s="77"/>
      <c r="Q589" s="53"/>
      <c r="R589" s="54"/>
      <c r="S589" s="55"/>
      <c r="T589" s="56"/>
      <c r="U589" s="56"/>
      <c r="V589" s="42"/>
      <c r="W589" s="57"/>
      <c r="X589" s="58"/>
      <c r="Y589" s="75"/>
      <c r="Z589" s="59"/>
      <c r="AA589" s="61"/>
      <c r="AB589" s="61"/>
      <c r="AC589" s="61"/>
      <c r="AD589" s="62"/>
      <c r="AE589" s="62"/>
      <c r="AF589" s="34"/>
      <c r="AG589" s="34"/>
      <c r="AH589" s="34"/>
      <c r="AI589" s="34"/>
      <c r="AJ589" s="34"/>
      <c r="AK589" s="34"/>
      <c r="AL589" s="34"/>
      <c r="AM589" s="34"/>
      <c r="AN589" s="34"/>
      <c r="AO589" s="34"/>
      <c r="AP589" s="34"/>
      <c r="AQ589" s="34"/>
      <c r="AR589" s="34"/>
      <c r="AS589" s="34"/>
      <c r="AT589" s="34"/>
      <c r="AU589" s="34"/>
      <c r="AV589" s="34"/>
      <c r="AW589" s="34"/>
      <c r="AX589" s="34"/>
      <c r="AY589" s="34"/>
      <c r="AZ589" s="34"/>
      <c r="BA589" s="34"/>
      <c r="BB589" s="34"/>
      <c r="BD589" s="34"/>
      <c r="BE589" s="34"/>
      <c r="BF589" s="34"/>
      <c r="BG589" s="34"/>
      <c r="BH589" s="34"/>
      <c r="BI589" s="34"/>
      <c r="BJ589" s="34"/>
      <c r="BK589" s="34"/>
      <c r="BL589" s="34"/>
      <c r="BM589" s="34"/>
      <c r="BN589" s="34"/>
      <c r="BO589" s="34"/>
      <c r="BP589" s="34"/>
      <c r="BQ589" s="34"/>
      <c r="BR589" s="34"/>
      <c r="BS589" s="34"/>
      <c r="BT589" s="34"/>
      <c r="BU589" s="34"/>
      <c r="BV589" s="34"/>
      <c r="BW589" s="34"/>
      <c r="BX589" s="34"/>
      <c r="BY589" s="34"/>
    </row>
    <row r="590" spans="1:77" x14ac:dyDescent="0.3">
      <c r="A590" s="39"/>
      <c r="B590" s="42"/>
      <c r="C590" s="42"/>
      <c r="D590" s="75"/>
      <c r="E590" s="75"/>
      <c r="F590" s="76"/>
      <c r="G590" s="47"/>
      <c r="H590" s="47"/>
      <c r="I590" s="75"/>
      <c r="J590" s="76"/>
      <c r="K590" s="76"/>
      <c r="L590" s="75"/>
      <c r="M590" s="49"/>
      <c r="N590" s="76"/>
      <c r="O590" s="49"/>
      <c r="P590" s="77"/>
      <c r="Q590" s="53"/>
      <c r="R590" s="54"/>
      <c r="S590" s="55"/>
      <c r="T590" s="56"/>
      <c r="U590" s="56"/>
      <c r="V590" s="42"/>
      <c r="W590" s="57"/>
      <c r="X590" s="58"/>
      <c r="Y590" s="75"/>
      <c r="Z590" s="59"/>
      <c r="AA590" s="61"/>
      <c r="AB590" s="61"/>
      <c r="AC590" s="61"/>
      <c r="AD590" s="62"/>
      <c r="AE590" s="62"/>
      <c r="AF590" s="34"/>
      <c r="AG590" s="34"/>
      <c r="AH590" s="34"/>
      <c r="AI590" s="34"/>
      <c r="AJ590" s="34"/>
      <c r="AK590" s="34"/>
      <c r="AL590" s="34"/>
      <c r="AM590" s="34"/>
      <c r="AN590" s="34"/>
      <c r="AO590" s="34"/>
      <c r="AP590" s="34"/>
      <c r="AQ590" s="34"/>
      <c r="AR590" s="34"/>
      <c r="AS590" s="34"/>
      <c r="AT590" s="34"/>
      <c r="AU590" s="34"/>
      <c r="AV590" s="34"/>
      <c r="AW590" s="34"/>
      <c r="AX590" s="34"/>
      <c r="AY590" s="34"/>
      <c r="AZ590" s="34"/>
      <c r="BA590" s="34"/>
      <c r="BB590" s="34"/>
      <c r="BD590" s="34"/>
      <c r="BE590" s="34"/>
      <c r="BF590" s="34"/>
      <c r="BG590" s="34"/>
      <c r="BH590" s="34"/>
      <c r="BI590" s="34"/>
      <c r="BJ590" s="34"/>
      <c r="BK590" s="34"/>
      <c r="BL590" s="34"/>
      <c r="BM590" s="34"/>
      <c r="BN590" s="34"/>
      <c r="BO590" s="34"/>
      <c r="BP590" s="34"/>
      <c r="BQ590" s="34"/>
      <c r="BR590" s="34"/>
      <c r="BS590" s="34"/>
      <c r="BT590" s="34"/>
      <c r="BU590" s="34"/>
      <c r="BV590" s="34"/>
      <c r="BW590" s="34"/>
      <c r="BX590" s="34"/>
      <c r="BY590" s="34"/>
    </row>
    <row r="591" spans="1:77" x14ac:dyDescent="0.3">
      <c r="A591" s="39"/>
      <c r="B591" s="42"/>
      <c r="C591" s="42"/>
      <c r="D591" s="75"/>
      <c r="E591" s="75"/>
      <c r="F591" s="76"/>
      <c r="G591" s="47"/>
      <c r="H591" s="47"/>
      <c r="I591" s="75"/>
      <c r="J591" s="76"/>
      <c r="K591" s="76"/>
      <c r="L591" s="75"/>
      <c r="M591" s="49"/>
      <c r="N591" s="76"/>
      <c r="O591" s="49"/>
      <c r="P591" s="77"/>
      <c r="Q591" s="53"/>
      <c r="R591" s="54"/>
      <c r="S591" s="55"/>
      <c r="T591" s="56"/>
      <c r="U591" s="56"/>
      <c r="V591" s="42"/>
      <c r="W591" s="57"/>
      <c r="X591" s="58"/>
      <c r="Y591" s="75"/>
      <c r="Z591" s="59"/>
      <c r="AA591" s="61"/>
      <c r="AB591" s="61"/>
      <c r="AC591" s="61"/>
      <c r="AD591" s="62"/>
      <c r="AE591" s="62"/>
      <c r="AF591" s="34"/>
      <c r="AG591" s="34"/>
      <c r="AH591" s="34"/>
      <c r="AI591" s="34"/>
      <c r="AJ591" s="34"/>
      <c r="AK591" s="34"/>
      <c r="AL591" s="34"/>
      <c r="AM591" s="34"/>
      <c r="AN591" s="34"/>
      <c r="AO591" s="34"/>
      <c r="AP591" s="34"/>
      <c r="AQ591" s="34"/>
      <c r="AR591" s="34"/>
      <c r="AS591" s="34"/>
      <c r="AT591" s="34"/>
      <c r="AU591" s="34"/>
      <c r="AV591" s="34"/>
      <c r="AW591" s="34"/>
      <c r="AX591" s="34"/>
      <c r="AY591" s="34"/>
      <c r="AZ591" s="34"/>
      <c r="BA591" s="34"/>
      <c r="BB591" s="34"/>
      <c r="BD591" s="34"/>
      <c r="BE591" s="34"/>
      <c r="BF591" s="34"/>
      <c r="BG591" s="34"/>
      <c r="BH591" s="34"/>
      <c r="BI591" s="34"/>
      <c r="BJ591" s="34"/>
      <c r="BK591" s="34"/>
      <c r="BL591" s="34"/>
      <c r="BM591" s="34"/>
      <c r="BN591" s="34"/>
      <c r="BO591" s="34"/>
      <c r="BP591" s="34"/>
      <c r="BQ591" s="34"/>
      <c r="BR591" s="34"/>
      <c r="BS591" s="34"/>
      <c r="BT591" s="34"/>
      <c r="BU591" s="34"/>
      <c r="BV591" s="34"/>
      <c r="BW591" s="34"/>
      <c r="BX591" s="34"/>
      <c r="BY591" s="34"/>
    </row>
    <row r="592" spans="1:77" x14ac:dyDescent="0.3">
      <c r="A592" s="39"/>
      <c r="B592" s="42"/>
      <c r="C592" s="42"/>
      <c r="D592" s="75"/>
      <c r="E592" s="75"/>
      <c r="F592" s="76"/>
      <c r="G592" s="47"/>
      <c r="H592" s="47"/>
      <c r="I592" s="75"/>
      <c r="J592" s="76"/>
      <c r="K592" s="76"/>
      <c r="L592" s="75"/>
      <c r="M592" s="49"/>
      <c r="N592" s="76"/>
      <c r="O592" s="49"/>
      <c r="P592" s="77"/>
      <c r="Q592" s="53"/>
      <c r="R592" s="54"/>
      <c r="S592" s="55"/>
      <c r="T592" s="56"/>
      <c r="U592" s="56"/>
      <c r="V592" s="42"/>
      <c r="W592" s="57"/>
      <c r="X592" s="58"/>
      <c r="Y592" s="75"/>
      <c r="Z592" s="59"/>
      <c r="AA592" s="61"/>
      <c r="AB592" s="61"/>
      <c r="AC592" s="61"/>
      <c r="AD592" s="62"/>
      <c r="AE592" s="62"/>
      <c r="AF592" s="34"/>
      <c r="AG592" s="34"/>
      <c r="AH592" s="34"/>
      <c r="AI592" s="34"/>
      <c r="AJ592" s="34"/>
      <c r="AK592" s="34"/>
      <c r="AL592" s="34"/>
      <c r="AM592" s="34"/>
      <c r="AN592" s="34"/>
      <c r="AO592" s="34"/>
      <c r="AP592" s="34"/>
      <c r="AQ592" s="34"/>
      <c r="AR592" s="34"/>
      <c r="AS592" s="34"/>
      <c r="AT592" s="34"/>
      <c r="AU592" s="34"/>
      <c r="AV592" s="34"/>
      <c r="AW592" s="34"/>
      <c r="AX592" s="34"/>
      <c r="AY592" s="34"/>
      <c r="AZ592" s="34"/>
      <c r="BA592" s="34"/>
      <c r="BB592" s="34"/>
      <c r="BD592" s="34"/>
      <c r="BE592" s="34"/>
      <c r="BF592" s="34"/>
      <c r="BG592" s="34"/>
      <c r="BH592" s="34"/>
      <c r="BI592" s="34"/>
      <c r="BJ592" s="34"/>
      <c r="BK592" s="34"/>
      <c r="BL592" s="34"/>
      <c r="BM592" s="34"/>
      <c r="BN592" s="34"/>
      <c r="BO592" s="34"/>
      <c r="BP592" s="34"/>
      <c r="BQ592" s="34"/>
      <c r="BR592" s="34"/>
      <c r="BS592" s="34"/>
      <c r="BT592" s="34"/>
      <c r="BU592" s="34"/>
      <c r="BV592" s="34"/>
      <c r="BW592" s="34"/>
      <c r="BX592" s="34"/>
      <c r="BY592" s="34"/>
    </row>
    <row r="593" spans="1:77" x14ac:dyDescent="0.3">
      <c r="A593" s="39"/>
      <c r="B593" s="42"/>
      <c r="C593" s="42"/>
      <c r="D593" s="75"/>
      <c r="E593" s="75"/>
      <c r="F593" s="76"/>
      <c r="G593" s="47"/>
      <c r="H593" s="47"/>
      <c r="I593" s="75"/>
      <c r="J593" s="76"/>
      <c r="K593" s="76"/>
      <c r="L593" s="75"/>
      <c r="M593" s="49"/>
      <c r="N593" s="76"/>
      <c r="O593" s="49"/>
      <c r="P593" s="77"/>
      <c r="Q593" s="53"/>
      <c r="R593" s="54"/>
      <c r="S593" s="55"/>
      <c r="T593" s="56"/>
      <c r="U593" s="56"/>
      <c r="V593" s="42"/>
      <c r="W593" s="57"/>
      <c r="X593" s="58"/>
      <c r="Y593" s="75"/>
      <c r="Z593" s="59"/>
      <c r="AA593" s="61"/>
      <c r="AB593" s="61"/>
      <c r="AC593" s="61"/>
      <c r="AD593" s="62"/>
      <c r="AE593" s="62"/>
      <c r="AF593" s="34"/>
      <c r="AG593" s="34"/>
      <c r="AH593" s="34"/>
      <c r="AI593" s="34"/>
      <c r="AJ593" s="34"/>
      <c r="AK593" s="34"/>
      <c r="AL593" s="34"/>
      <c r="AM593" s="34"/>
      <c r="AN593" s="34"/>
      <c r="AO593" s="34"/>
      <c r="AP593" s="34"/>
      <c r="AQ593" s="34"/>
      <c r="AR593" s="34"/>
      <c r="AS593" s="34"/>
      <c r="AT593" s="34"/>
      <c r="AU593" s="34"/>
      <c r="AV593" s="34"/>
      <c r="AW593" s="34"/>
      <c r="AX593" s="34"/>
      <c r="AY593" s="34"/>
      <c r="AZ593" s="34"/>
      <c r="BA593" s="34"/>
      <c r="BB593" s="34"/>
      <c r="BD593" s="34"/>
      <c r="BE593" s="34"/>
      <c r="BF593" s="34"/>
      <c r="BG593" s="34"/>
      <c r="BH593" s="34"/>
      <c r="BI593" s="34"/>
      <c r="BJ593" s="34"/>
      <c r="BK593" s="34"/>
      <c r="BL593" s="34"/>
      <c r="BM593" s="34"/>
      <c r="BN593" s="34"/>
      <c r="BO593" s="34"/>
      <c r="BP593" s="34"/>
      <c r="BQ593" s="34"/>
      <c r="BR593" s="34"/>
      <c r="BS593" s="34"/>
      <c r="BT593" s="34"/>
      <c r="BU593" s="34"/>
      <c r="BV593" s="34"/>
      <c r="BW593" s="34"/>
      <c r="BX593" s="34"/>
      <c r="BY593" s="34"/>
    </row>
    <row r="594" spans="1:77" x14ac:dyDescent="0.3">
      <c r="A594" s="39"/>
      <c r="B594" s="42"/>
      <c r="C594" s="42"/>
      <c r="D594" s="75"/>
      <c r="E594" s="75"/>
      <c r="F594" s="76"/>
      <c r="G594" s="47"/>
      <c r="H594" s="47"/>
      <c r="I594" s="75"/>
      <c r="J594" s="76"/>
      <c r="K594" s="76"/>
      <c r="L594" s="75"/>
      <c r="M594" s="49"/>
      <c r="N594" s="76"/>
      <c r="O594" s="49"/>
      <c r="P594" s="77"/>
      <c r="Q594" s="53"/>
      <c r="R594" s="54"/>
      <c r="S594" s="55"/>
      <c r="T594" s="56"/>
      <c r="U594" s="56"/>
      <c r="V594" s="42"/>
      <c r="W594" s="57"/>
      <c r="X594" s="58"/>
      <c r="Y594" s="75"/>
      <c r="Z594" s="59"/>
      <c r="AA594" s="61"/>
      <c r="AB594" s="61"/>
      <c r="AC594" s="61"/>
      <c r="AD594" s="62"/>
      <c r="AE594" s="62"/>
      <c r="AF594" s="34"/>
      <c r="AG594" s="34"/>
      <c r="AH594" s="34"/>
      <c r="AI594" s="34"/>
      <c r="AJ594" s="34"/>
      <c r="AK594" s="34"/>
      <c r="AL594" s="34"/>
      <c r="AM594" s="34"/>
      <c r="AN594" s="34"/>
      <c r="AO594" s="34"/>
      <c r="AP594" s="34"/>
      <c r="AQ594" s="34"/>
      <c r="AR594" s="34"/>
      <c r="AS594" s="34"/>
      <c r="AT594" s="34"/>
      <c r="AU594" s="34"/>
      <c r="AV594" s="34"/>
      <c r="AW594" s="34"/>
      <c r="AX594" s="34"/>
      <c r="AY594" s="34"/>
      <c r="AZ594" s="34"/>
      <c r="BA594" s="34"/>
      <c r="BB594" s="34"/>
      <c r="BD594" s="34"/>
      <c r="BE594" s="34"/>
      <c r="BF594" s="34"/>
      <c r="BG594" s="34"/>
      <c r="BH594" s="34"/>
      <c r="BI594" s="34"/>
      <c r="BJ594" s="34"/>
      <c r="BK594" s="34"/>
      <c r="BL594" s="34"/>
      <c r="BM594" s="34"/>
      <c r="BN594" s="34"/>
      <c r="BO594" s="34"/>
      <c r="BP594" s="34"/>
      <c r="BQ594" s="34"/>
      <c r="BR594" s="34"/>
      <c r="BS594" s="34"/>
      <c r="BT594" s="34"/>
      <c r="BU594" s="34"/>
      <c r="BV594" s="34"/>
      <c r="BW594" s="34"/>
      <c r="BX594" s="34"/>
      <c r="BY594" s="34"/>
    </row>
    <row r="595" spans="1:77" x14ac:dyDescent="0.3">
      <c r="A595" s="39"/>
      <c r="B595" s="42"/>
      <c r="C595" s="42"/>
      <c r="D595" s="75"/>
      <c r="E595" s="75"/>
      <c r="F595" s="76"/>
      <c r="G595" s="47"/>
      <c r="H595" s="47"/>
      <c r="I595" s="75"/>
      <c r="J595" s="76"/>
      <c r="K595" s="76"/>
      <c r="L595" s="75"/>
      <c r="M595" s="49"/>
      <c r="N595" s="76"/>
      <c r="O595" s="49"/>
      <c r="P595" s="77"/>
      <c r="Q595" s="53"/>
      <c r="R595" s="54"/>
      <c r="S595" s="55"/>
      <c r="T595" s="56"/>
      <c r="U595" s="56"/>
      <c r="V595" s="42"/>
      <c r="W595" s="57"/>
      <c r="X595" s="58"/>
      <c r="Y595" s="75"/>
      <c r="Z595" s="59"/>
      <c r="AA595" s="61"/>
      <c r="AB595" s="61"/>
      <c r="AC595" s="61"/>
      <c r="AD595" s="62"/>
      <c r="AE595" s="62"/>
      <c r="AF595" s="34"/>
      <c r="AG595" s="34"/>
      <c r="AH595" s="34"/>
      <c r="AI595" s="34"/>
      <c r="AJ595" s="34"/>
      <c r="AK595" s="34"/>
      <c r="AL595" s="34"/>
      <c r="AM595" s="34"/>
      <c r="AN595" s="34"/>
      <c r="AO595" s="34"/>
      <c r="AP595" s="34"/>
      <c r="AQ595" s="34"/>
      <c r="AR595" s="34"/>
      <c r="AS595" s="34"/>
      <c r="AT595" s="34"/>
      <c r="AU595" s="34"/>
      <c r="AV595" s="34"/>
      <c r="AW595" s="34"/>
      <c r="AX595" s="34"/>
      <c r="AY595" s="34"/>
      <c r="AZ595" s="34"/>
      <c r="BA595" s="34"/>
      <c r="BB595" s="34"/>
      <c r="BD595" s="34"/>
      <c r="BE595" s="34"/>
      <c r="BF595" s="34"/>
      <c r="BG595" s="34"/>
      <c r="BH595" s="34"/>
      <c r="BI595" s="34"/>
      <c r="BJ595" s="34"/>
      <c r="BK595" s="34"/>
      <c r="BL595" s="34"/>
      <c r="BM595" s="34"/>
      <c r="BN595" s="34"/>
      <c r="BO595" s="34"/>
      <c r="BP595" s="34"/>
      <c r="BQ595" s="34"/>
      <c r="BR595" s="34"/>
      <c r="BS595" s="34"/>
      <c r="BT595" s="34"/>
      <c r="BU595" s="34"/>
      <c r="BV595" s="34"/>
      <c r="BW595" s="34"/>
      <c r="BX595" s="34"/>
      <c r="BY595" s="34"/>
    </row>
    <row r="596" spans="1:77" x14ac:dyDescent="0.3">
      <c r="A596" s="39"/>
      <c r="B596" s="42"/>
      <c r="C596" s="42"/>
      <c r="D596" s="75"/>
      <c r="E596" s="75"/>
      <c r="F596" s="76"/>
      <c r="G596" s="47"/>
      <c r="H596" s="47"/>
      <c r="I596" s="75"/>
      <c r="J596" s="76"/>
      <c r="K596" s="76"/>
      <c r="L596" s="75"/>
      <c r="M596" s="49"/>
      <c r="N596" s="76"/>
      <c r="O596" s="49"/>
      <c r="P596" s="77"/>
      <c r="Q596" s="53"/>
      <c r="R596" s="54"/>
      <c r="S596" s="55"/>
      <c r="T596" s="56"/>
      <c r="U596" s="56"/>
      <c r="V596" s="42"/>
      <c r="W596" s="57"/>
      <c r="X596" s="58"/>
      <c r="Y596" s="75"/>
      <c r="Z596" s="59"/>
      <c r="AA596" s="61"/>
      <c r="AB596" s="61"/>
      <c r="AC596" s="61"/>
      <c r="AD596" s="62"/>
      <c r="AE596" s="62"/>
      <c r="AF596" s="34"/>
      <c r="AG596" s="34"/>
      <c r="AH596" s="34"/>
      <c r="AI596" s="34"/>
      <c r="AJ596" s="34"/>
      <c r="AK596" s="34"/>
      <c r="AL596" s="34"/>
      <c r="AM596" s="34"/>
      <c r="AN596" s="34"/>
      <c r="AO596" s="34"/>
      <c r="AP596" s="34"/>
      <c r="AQ596" s="34"/>
      <c r="AR596" s="34"/>
      <c r="AS596" s="34"/>
      <c r="AT596" s="34"/>
      <c r="AU596" s="34"/>
      <c r="AV596" s="34"/>
      <c r="AW596" s="34"/>
      <c r="AX596" s="34"/>
      <c r="AY596" s="34"/>
      <c r="AZ596" s="34"/>
      <c r="BA596" s="34"/>
      <c r="BB596" s="34"/>
      <c r="BD596" s="34"/>
      <c r="BE596" s="34"/>
      <c r="BF596" s="34"/>
      <c r="BG596" s="34"/>
      <c r="BH596" s="34"/>
      <c r="BI596" s="34"/>
      <c r="BJ596" s="34"/>
      <c r="BK596" s="34"/>
      <c r="BL596" s="34"/>
      <c r="BM596" s="34"/>
      <c r="BN596" s="34"/>
      <c r="BO596" s="34"/>
      <c r="BP596" s="34"/>
      <c r="BQ596" s="34"/>
      <c r="BR596" s="34"/>
      <c r="BS596" s="34"/>
      <c r="BT596" s="34"/>
      <c r="BU596" s="34"/>
      <c r="BV596" s="34"/>
      <c r="BW596" s="34"/>
      <c r="BX596" s="34"/>
      <c r="BY596" s="34"/>
    </row>
    <row r="597" spans="1:77" x14ac:dyDescent="0.3">
      <c r="A597" s="39"/>
      <c r="B597" s="42"/>
      <c r="C597" s="42"/>
      <c r="D597" s="75"/>
      <c r="E597" s="75"/>
      <c r="F597" s="76"/>
      <c r="G597" s="47"/>
      <c r="H597" s="47"/>
      <c r="I597" s="75"/>
      <c r="J597" s="76"/>
      <c r="K597" s="76"/>
      <c r="L597" s="75"/>
      <c r="M597" s="49"/>
      <c r="N597" s="76"/>
      <c r="O597" s="49"/>
      <c r="P597" s="77"/>
      <c r="Q597" s="53"/>
      <c r="R597" s="54"/>
      <c r="S597" s="55"/>
      <c r="T597" s="56"/>
      <c r="U597" s="56"/>
      <c r="V597" s="42"/>
      <c r="W597" s="57"/>
      <c r="X597" s="58"/>
      <c r="Y597" s="75"/>
      <c r="Z597" s="59"/>
      <c r="AA597" s="61"/>
      <c r="AB597" s="61"/>
      <c r="AC597" s="61"/>
      <c r="AD597" s="62"/>
      <c r="AE597" s="62"/>
      <c r="AF597" s="34"/>
      <c r="AG597" s="34"/>
      <c r="AH597" s="34"/>
      <c r="AI597" s="34"/>
      <c r="AJ597" s="34"/>
      <c r="AK597" s="34"/>
      <c r="AL597" s="34"/>
      <c r="AM597" s="34"/>
      <c r="AN597" s="34"/>
      <c r="AO597" s="34"/>
      <c r="AP597" s="34"/>
      <c r="AQ597" s="34"/>
      <c r="AR597" s="34"/>
      <c r="AS597" s="34"/>
      <c r="AT597" s="34"/>
      <c r="AU597" s="34"/>
      <c r="AV597" s="34"/>
      <c r="AW597" s="34"/>
      <c r="AX597" s="34"/>
      <c r="AY597" s="34"/>
      <c r="AZ597" s="34"/>
      <c r="BA597" s="34"/>
      <c r="BB597" s="34"/>
      <c r="BD597" s="34"/>
      <c r="BE597" s="34"/>
      <c r="BF597" s="34"/>
      <c r="BG597" s="34"/>
      <c r="BH597" s="34"/>
      <c r="BI597" s="34"/>
      <c r="BJ597" s="34"/>
      <c r="BK597" s="34"/>
      <c r="BL597" s="34"/>
      <c r="BM597" s="34"/>
      <c r="BN597" s="34"/>
      <c r="BO597" s="34"/>
      <c r="BP597" s="34"/>
      <c r="BQ597" s="34"/>
      <c r="BR597" s="34"/>
      <c r="BS597" s="34"/>
      <c r="BT597" s="34"/>
      <c r="BU597" s="34"/>
      <c r="BV597" s="34"/>
      <c r="BW597" s="34"/>
      <c r="BX597" s="34"/>
      <c r="BY597" s="34"/>
    </row>
    <row r="598" spans="1:77" x14ac:dyDescent="0.3">
      <c r="A598" s="39"/>
      <c r="B598" s="42"/>
      <c r="C598" s="42"/>
      <c r="D598" s="75"/>
      <c r="E598" s="75"/>
      <c r="F598" s="76"/>
      <c r="G598" s="47"/>
      <c r="H598" s="47"/>
      <c r="I598" s="75"/>
      <c r="J598" s="76"/>
      <c r="K598" s="76"/>
      <c r="L598" s="75"/>
      <c r="M598" s="49"/>
      <c r="N598" s="76"/>
      <c r="O598" s="49"/>
      <c r="P598" s="77"/>
      <c r="Q598" s="53"/>
      <c r="R598" s="54"/>
      <c r="S598" s="55"/>
      <c r="T598" s="56"/>
      <c r="U598" s="56"/>
      <c r="V598" s="42"/>
      <c r="W598" s="57"/>
      <c r="X598" s="58"/>
      <c r="Y598" s="75"/>
      <c r="Z598" s="59"/>
      <c r="AA598" s="61"/>
      <c r="AB598" s="61"/>
      <c r="AC598" s="61"/>
      <c r="AD598" s="62"/>
      <c r="AE598" s="62"/>
      <c r="AF598" s="34"/>
      <c r="AG598" s="34"/>
      <c r="AH598" s="34"/>
      <c r="AI598" s="34"/>
      <c r="AJ598" s="34"/>
      <c r="AK598" s="34"/>
      <c r="AL598" s="34"/>
      <c r="AM598" s="34"/>
      <c r="AN598" s="34"/>
      <c r="AO598" s="34"/>
      <c r="AP598" s="34"/>
      <c r="AQ598" s="34"/>
      <c r="AR598" s="34"/>
      <c r="AS598" s="34"/>
      <c r="AT598" s="34"/>
      <c r="AU598" s="34"/>
      <c r="AV598" s="34"/>
      <c r="AW598" s="34"/>
      <c r="AX598" s="34"/>
      <c r="AY598" s="34"/>
      <c r="AZ598" s="34"/>
      <c r="BA598" s="34"/>
      <c r="BB598" s="34"/>
      <c r="BD598" s="34"/>
      <c r="BE598" s="34"/>
      <c r="BF598" s="34"/>
      <c r="BG598" s="34"/>
      <c r="BH598" s="34"/>
      <c r="BI598" s="34"/>
      <c r="BJ598" s="34"/>
      <c r="BK598" s="34"/>
      <c r="BL598" s="34"/>
      <c r="BM598" s="34"/>
      <c r="BN598" s="34"/>
      <c r="BO598" s="34"/>
      <c r="BP598" s="34"/>
      <c r="BQ598" s="34"/>
      <c r="BR598" s="34"/>
      <c r="BS598" s="34"/>
      <c r="BT598" s="34"/>
      <c r="BU598" s="34"/>
      <c r="BV598" s="34"/>
      <c r="BW598" s="34"/>
      <c r="BX598" s="34"/>
      <c r="BY598" s="34"/>
    </row>
    <row r="599" spans="1:77" x14ac:dyDescent="0.3">
      <c r="A599" s="39"/>
      <c r="B599" s="42"/>
      <c r="C599" s="42"/>
      <c r="D599" s="75"/>
      <c r="E599" s="75"/>
      <c r="F599" s="76"/>
      <c r="G599" s="47"/>
      <c r="H599" s="47"/>
      <c r="I599" s="75"/>
      <c r="J599" s="76"/>
      <c r="K599" s="76"/>
      <c r="L599" s="75"/>
      <c r="M599" s="49"/>
      <c r="N599" s="76"/>
      <c r="O599" s="49"/>
      <c r="P599" s="77"/>
      <c r="Q599" s="53"/>
      <c r="R599" s="54"/>
      <c r="S599" s="55"/>
      <c r="T599" s="56"/>
      <c r="U599" s="56"/>
      <c r="V599" s="42"/>
      <c r="W599" s="57"/>
      <c r="X599" s="58"/>
      <c r="Y599" s="75"/>
      <c r="Z599" s="59"/>
      <c r="AA599" s="61"/>
      <c r="AB599" s="61"/>
      <c r="AC599" s="61"/>
      <c r="AD599" s="62"/>
      <c r="AE599" s="62"/>
      <c r="AF599" s="34"/>
      <c r="AG599" s="34"/>
      <c r="AH599" s="34"/>
      <c r="AI599" s="34"/>
      <c r="AJ599" s="34"/>
      <c r="AK599" s="34"/>
      <c r="AL599" s="34"/>
      <c r="AM599" s="34"/>
      <c r="AN599" s="34"/>
      <c r="AO599" s="34"/>
      <c r="AP599" s="34"/>
      <c r="AQ599" s="34"/>
      <c r="AR599" s="34"/>
      <c r="AS599" s="34"/>
      <c r="AT599" s="34"/>
      <c r="AU599" s="34"/>
      <c r="AV599" s="34"/>
      <c r="AW599" s="34"/>
      <c r="AX599" s="34"/>
      <c r="AY599" s="34"/>
      <c r="AZ599" s="34"/>
      <c r="BA599" s="34"/>
      <c r="BB599" s="34"/>
      <c r="BD599" s="34"/>
      <c r="BE599" s="34"/>
      <c r="BF599" s="34"/>
      <c r="BG599" s="34"/>
      <c r="BH599" s="34"/>
      <c r="BI599" s="34"/>
      <c r="BJ599" s="34"/>
      <c r="BK599" s="34"/>
      <c r="BL599" s="34"/>
      <c r="BM599" s="34"/>
      <c r="BN599" s="34"/>
      <c r="BO599" s="34"/>
      <c r="BP599" s="34"/>
      <c r="BQ599" s="34"/>
      <c r="BR599" s="34"/>
      <c r="BS599" s="34"/>
      <c r="BT599" s="34"/>
      <c r="BU599" s="34"/>
      <c r="BV599" s="34"/>
      <c r="BW599" s="34"/>
      <c r="BX599" s="34"/>
      <c r="BY599" s="34"/>
    </row>
    <row r="600" spans="1:77" x14ac:dyDescent="0.3">
      <c r="A600" s="39"/>
      <c r="B600" s="42"/>
      <c r="C600" s="42"/>
      <c r="D600" s="75"/>
      <c r="E600" s="75"/>
      <c r="F600" s="76"/>
      <c r="G600" s="47"/>
      <c r="H600" s="47"/>
      <c r="I600" s="75"/>
      <c r="J600" s="76"/>
      <c r="K600" s="76"/>
      <c r="L600" s="75"/>
      <c r="M600" s="49"/>
      <c r="N600" s="76"/>
      <c r="O600" s="49"/>
      <c r="P600" s="77"/>
      <c r="Q600" s="53"/>
      <c r="R600" s="54"/>
      <c r="S600" s="55"/>
      <c r="T600" s="56"/>
      <c r="U600" s="56"/>
      <c r="V600" s="42"/>
      <c r="W600" s="57"/>
      <c r="X600" s="58"/>
      <c r="Y600" s="75"/>
      <c r="Z600" s="59"/>
      <c r="AA600" s="61"/>
      <c r="AB600" s="61"/>
      <c r="AC600" s="61"/>
      <c r="AD600" s="62"/>
      <c r="AE600" s="62"/>
      <c r="AF600" s="34"/>
      <c r="AG600" s="34"/>
      <c r="AH600" s="34"/>
      <c r="AI600" s="34"/>
      <c r="AJ600" s="34"/>
      <c r="AK600" s="34"/>
      <c r="AL600" s="34"/>
      <c r="AM600" s="34"/>
      <c r="AN600" s="34"/>
      <c r="AO600" s="34"/>
      <c r="AP600" s="34"/>
      <c r="AQ600" s="34"/>
      <c r="AR600" s="34"/>
      <c r="AS600" s="34"/>
      <c r="AT600" s="34"/>
      <c r="AU600" s="34"/>
      <c r="AV600" s="34"/>
      <c r="AW600" s="34"/>
      <c r="AX600" s="34"/>
      <c r="AY600" s="34"/>
      <c r="AZ600" s="34"/>
      <c r="BA600" s="34"/>
      <c r="BB600" s="34"/>
      <c r="BD600" s="34"/>
      <c r="BE600" s="34"/>
      <c r="BF600" s="34"/>
      <c r="BG600" s="34"/>
      <c r="BH600" s="34"/>
      <c r="BI600" s="34"/>
      <c r="BJ600" s="34"/>
      <c r="BK600" s="34"/>
      <c r="BL600" s="34"/>
      <c r="BM600" s="34"/>
      <c r="BN600" s="34"/>
      <c r="BO600" s="34"/>
      <c r="BP600" s="34"/>
      <c r="BQ600" s="34"/>
      <c r="BR600" s="34"/>
      <c r="BS600" s="34"/>
      <c r="BT600" s="34"/>
      <c r="BU600" s="34"/>
      <c r="BV600" s="34"/>
      <c r="BW600" s="34"/>
      <c r="BX600" s="34"/>
      <c r="BY600" s="34"/>
    </row>
    <row r="601" spans="1:77" x14ac:dyDescent="0.3">
      <c r="A601" s="39"/>
      <c r="B601" s="42"/>
      <c r="C601" s="42"/>
      <c r="D601" s="75"/>
      <c r="E601" s="75"/>
      <c r="F601" s="76"/>
      <c r="G601" s="47"/>
      <c r="H601" s="47"/>
      <c r="I601" s="75"/>
      <c r="J601" s="76"/>
      <c r="K601" s="76"/>
      <c r="L601" s="75"/>
      <c r="M601" s="49"/>
      <c r="N601" s="76"/>
      <c r="O601" s="49"/>
      <c r="P601" s="77"/>
      <c r="Q601" s="53"/>
      <c r="R601" s="54"/>
      <c r="S601" s="55"/>
      <c r="T601" s="56"/>
      <c r="U601" s="56"/>
      <c r="V601" s="42"/>
      <c r="W601" s="57"/>
      <c r="X601" s="58"/>
      <c r="Y601" s="75"/>
      <c r="Z601" s="59"/>
      <c r="AA601" s="61"/>
      <c r="AB601" s="61"/>
      <c r="AC601" s="61"/>
      <c r="AD601" s="62"/>
      <c r="AE601" s="62"/>
      <c r="AF601" s="34"/>
      <c r="AG601" s="34"/>
      <c r="AH601" s="34"/>
      <c r="AI601" s="34"/>
      <c r="AJ601" s="34"/>
      <c r="AK601" s="34"/>
      <c r="AL601" s="34"/>
      <c r="AM601" s="34"/>
      <c r="AN601" s="34"/>
      <c r="AO601" s="34"/>
      <c r="AP601" s="34"/>
      <c r="AQ601" s="34"/>
      <c r="AR601" s="34"/>
      <c r="AS601" s="34"/>
      <c r="AT601" s="34"/>
      <c r="AU601" s="34"/>
      <c r="AV601" s="34"/>
      <c r="AW601" s="34"/>
      <c r="AX601" s="34"/>
      <c r="AY601" s="34"/>
      <c r="AZ601" s="34"/>
      <c r="BA601" s="34"/>
      <c r="BB601" s="34"/>
      <c r="BD601" s="34"/>
      <c r="BE601" s="34"/>
      <c r="BF601" s="34"/>
      <c r="BG601" s="34"/>
      <c r="BH601" s="34"/>
      <c r="BI601" s="34"/>
      <c r="BJ601" s="34"/>
      <c r="BK601" s="34"/>
      <c r="BL601" s="34"/>
      <c r="BM601" s="34"/>
      <c r="BN601" s="34"/>
      <c r="BO601" s="34"/>
      <c r="BP601" s="34"/>
      <c r="BQ601" s="34"/>
      <c r="BR601" s="34"/>
      <c r="BS601" s="34"/>
      <c r="BT601" s="34"/>
      <c r="BU601" s="34"/>
      <c r="BV601" s="34"/>
      <c r="BW601" s="34"/>
      <c r="BX601" s="34"/>
      <c r="BY601" s="34"/>
    </row>
    <row r="602" spans="1:77" x14ac:dyDescent="0.3">
      <c r="A602" s="39"/>
      <c r="B602" s="42"/>
      <c r="C602" s="42"/>
      <c r="D602" s="75"/>
      <c r="E602" s="75"/>
      <c r="F602" s="76"/>
      <c r="G602" s="47"/>
      <c r="H602" s="47"/>
      <c r="I602" s="75"/>
      <c r="J602" s="76"/>
      <c r="K602" s="76"/>
      <c r="L602" s="75"/>
      <c r="M602" s="49"/>
      <c r="N602" s="76"/>
      <c r="O602" s="49"/>
      <c r="P602" s="77"/>
      <c r="Q602" s="53"/>
      <c r="R602" s="54"/>
      <c r="S602" s="55"/>
      <c r="T602" s="56"/>
      <c r="U602" s="56"/>
      <c r="V602" s="42"/>
      <c r="W602" s="57"/>
      <c r="X602" s="58"/>
      <c r="Y602" s="75"/>
      <c r="Z602" s="59"/>
      <c r="AA602" s="61"/>
      <c r="AB602" s="61"/>
      <c r="AC602" s="61"/>
      <c r="AD602" s="62"/>
      <c r="AE602" s="62"/>
      <c r="AF602" s="34"/>
      <c r="AG602" s="34"/>
      <c r="AH602" s="34"/>
      <c r="AI602" s="34"/>
      <c r="AJ602" s="34"/>
      <c r="AK602" s="34"/>
      <c r="AL602" s="34"/>
      <c r="AM602" s="34"/>
      <c r="AN602" s="34"/>
      <c r="AO602" s="34"/>
      <c r="AP602" s="34"/>
      <c r="AQ602" s="34"/>
      <c r="AR602" s="34"/>
      <c r="AS602" s="34"/>
      <c r="AT602" s="34"/>
      <c r="AU602" s="34"/>
      <c r="AV602" s="34"/>
      <c r="AW602" s="34"/>
      <c r="AX602" s="34"/>
      <c r="AY602" s="34"/>
      <c r="AZ602" s="34"/>
      <c r="BA602" s="34"/>
      <c r="BB602" s="34"/>
      <c r="BD602" s="34"/>
      <c r="BE602" s="34"/>
      <c r="BF602" s="34"/>
      <c r="BG602" s="34"/>
      <c r="BH602" s="34"/>
      <c r="BI602" s="34"/>
      <c r="BJ602" s="34"/>
      <c r="BK602" s="34"/>
      <c r="BL602" s="34"/>
      <c r="BM602" s="34"/>
      <c r="BN602" s="34"/>
      <c r="BO602" s="34"/>
      <c r="BP602" s="34"/>
      <c r="BQ602" s="34"/>
      <c r="BR602" s="34"/>
      <c r="BS602" s="34"/>
      <c r="BT602" s="34"/>
      <c r="BU602" s="34"/>
      <c r="BV602" s="34"/>
      <c r="BW602" s="34"/>
      <c r="BX602" s="34"/>
      <c r="BY602" s="34"/>
    </row>
    <row r="603" spans="1:77" x14ac:dyDescent="0.3">
      <c r="A603" s="39"/>
      <c r="B603" s="42"/>
      <c r="C603" s="42"/>
      <c r="D603" s="75"/>
      <c r="E603" s="75"/>
      <c r="F603" s="76"/>
      <c r="G603" s="47"/>
      <c r="H603" s="47"/>
      <c r="I603" s="75"/>
      <c r="J603" s="76"/>
      <c r="K603" s="76"/>
      <c r="L603" s="75"/>
      <c r="M603" s="49"/>
      <c r="N603" s="76"/>
      <c r="O603" s="49"/>
      <c r="P603" s="77"/>
      <c r="Q603" s="53"/>
      <c r="R603" s="54"/>
      <c r="S603" s="55"/>
      <c r="T603" s="56"/>
      <c r="U603" s="56"/>
      <c r="V603" s="42"/>
      <c r="W603" s="57"/>
      <c r="X603" s="58"/>
      <c r="Y603" s="75"/>
      <c r="Z603" s="59"/>
      <c r="AA603" s="61"/>
      <c r="AB603" s="61"/>
      <c r="AC603" s="61"/>
      <c r="AD603" s="62"/>
      <c r="AE603" s="62"/>
      <c r="AF603" s="34"/>
      <c r="AG603" s="34"/>
      <c r="AH603" s="34"/>
      <c r="AI603" s="34"/>
      <c r="AJ603" s="34"/>
      <c r="AK603" s="34"/>
      <c r="AL603" s="34"/>
      <c r="AM603" s="34"/>
      <c r="AN603" s="34"/>
      <c r="AO603" s="34"/>
      <c r="AP603" s="34"/>
      <c r="AQ603" s="34"/>
      <c r="AR603" s="34"/>
      <c r="AS603" s="34"/>
      <c r="AT603" s="34"/>
      <c r="AU603" s="34"/>
      <c r="AV603" s="34"/>
      <c r="AW603" s="34"/>
      <c r="AX603" s="34"/>
      <c r="AY603" s="34"/>
      <c r="AZ603" s="34"/>
      <c r="BA603" s="34"/>
      <c r="BB603" s="34"/>
      <c r="BD603" s="34"/>
      <c r="BE603" s="34"/>
      <c r="BF603" s="34"/>
      <c r="BG603" s="34"/>
      <c r="BH603" s="34"/>
      <c r="BI603" s="34"/>
      <c r="BJ603" s="34"/>
      <c r="BK603" s="34"/>
      <c r="BL603" s="34"/>
      <c r="BM603" s="34"/>
      <c r="BN603" s="34"/>
      <c r="BO603" s="34"/>
      <c r="BP603" s="34"/>
      <c r="BQ603" s="34"/>
      <c r="BR603" s="34"/>
      <c r="BS603" s="34"/>
      <c r="BT603" s="34"/>
      <c r="BU603" s="34"/>
      <c r="BV603" s="34"/>
      <c r="BW603" s="34"/>
      <c r="BX603" s="34"/>
      <c r="BY603" s="34"/>
    </row>
    <row r="604" spans="1:77" x14ac:dyDescent="0.3">
      <c r="A604" s="39"/>
      <c r="B604" s="42"/>
      <c r="C604" s="42"/>
      <c r="D604" s="75"/>
      <c r="E604" s="75"/>
      <c r="F604" s="76"/>
      <c r="G604" s="47"/>
      <c r="H604" s="47"/>
      <c r="I604" s="75"/>
      <c r="J604" s="76"/>
      <c r="K604" s="76"/>
      <c r="L604" s="75"/>
      <c r="M604" s="49"/>
      <c r="N604" s="76"/>
      <c r="O604" s="49"/>
      <c r="P604" s="77"/>
      <c r="Q604" s="53"/>
      <c r="R604" s="54"/>
      <c r="S604" s="55"/>
      <c r="T604" s="56"/>
      <c r="U604" s="56"/>
      <c r="V604" s="42"/>
      <c r="W604" s="57"/>
      <c r="X604" s="58"/>
      <c r="Y604" s="75"/>
      <c r="Z604" s="59"/>
      <c r="AA604" s="61"/>
      <c r="AB604" s="61"/>
      <c r="AC604" s="61"/>
      <c r="AD604" s="62"/>
      <c r="AE604" s="62"/>
      <c r="AF604" s="34"/>
      <c r="AG604" s="34"/>
      <c r="AH604" s="34"/>
      <c r="AI604" s="34"/>
      <c r="AJ604" s="34"/>
      <c r="AK604" s="34"/>
      <c r="AL604" s="34"/>
      <c r="AM604" s="34"/>
      <c r="AN604" s="34"/>
      <c r="AO604" s="34"/>
      <c r="AP604" s="34"/>
      <c r="AQ604" s="34"/>
      <c r="AR604" s="34"/>
      <c r="AS604" s="34"/>
      <c r="AT604" s="34"/>
      <c r="AU604" s="34"/>
      <c r="AV604" s="34"/>
      <c r="AW604" s="34"/>
      <c r="AX604" s="34"/>
      <c r="AY604" s="34"/>
      <c r="AZ604" s="34"/>
      <c r="BA604" s="34"/>
      <c r="BB604" s="34"/>
      <c r="BD604" s="34"/>
      <c r="BE604" s="34"/>
      <c r="BF604" s="34"/>
      <c r="BG604" s="34"/>
      <c r="BH604" s="34"/>
      <c r="BI604" s="34"/>
      <c r="BJ604" s="34"/>
      <c r="BK604" s="34"/>
      <c r="BL604" s="34"/>
      <c r="BM604" s="34"/>
      <c r="BN604" s="34"/>
      <c r="BO604" s="34"/>
      <c r="BP604" s="34"/>
      <c r="BQ604" s="34"/>
      <c r="BR604" s="34"/>
      <c r="BS604" s="34"/>
      <c r="BT604" s="34"/>
      <c r="BU604" s="34"/>
      <c r="BV604" s="34"/>
      <c r="BW604" s="34"/>
      <c r="BX604" s="34"/>
      <c r="BY604" s="34"/>
    </row>
    <row r="605" spans="1:77" x14ac:dyDescent="0.3">
      <c r="A605" s="39"/>
      <c r="B605" s="42"/>
      <c r="C605" s="42"/>
      <c r="D605" s="75"/>
      <c r="E605" s="75"/>
      <c r="F605" s="76"/>
      <c r="G605" s="47"/>
      <c r="H605" s="47"/>
      <c r="I605" s="75"/>
      <c r="J605" s="76"/>
      <c r="K605" s="76"/>
      <c r="L605" s="75"/>
      <c r="M605" s="49"/>
      <c r="N605" s="76"/>
      <c r="O605" s="49"/>
      <c r="P605" s="77"/>
      <c r="Q605" s="53"/>
      <c r="R605" s="54"/>
      <c r="S605" s="55"/>
      <c r="T605" s="56"/>
      <c r="U605" s="56"/>
      <c r="V605" s="42"/>
      <c r="W605" s="57"/>
      <c r="X605" s="58"/>
      <c r="Y605" s="75"/>
      <c r="Z605" s="59"/>
      <c r="AA605" s="61"/>
      <c r="AB605" s="61"/>
      <c r="AC605" s="61"/>
      <c r="AD605" s="62"/>
      <c r="AE605" s="62"/>
      <c r="AF605" s="34"/>
      <c r="AG605" s="34"/>
      <c r="AH605" s="34"/>
      <c r="AI605" s="34"/>
      <c r="AJ605" s="34"/>
      <c r="AK605" s="34"/>
      <c r="AL605" s="34"/>
      <c r="AM605" s="34"/>
      <c r="AN605" s="34"/>
      <c r="AO605" s="34"/>
      <c r="AP605" s="34"/>
      <c r="AQ605" s="34"/>
      <c r="AR605" s="34"/>
      <c r="AS605" s="34"/>
      <c r="AT605" s="34"/>
      <c r="AU605" s="34"/>
      <c r="AV605" s="34"/>
      <c r="AW605" s="34"/>
      <c r="AX605" s="34"/>
      <c r="AY605" s="34"/>
      <c r="AZ605" s="34"/>
      <c r="BA605" s="34"/>
      <c r="BB605" s="34"/>
      <c r="BD605" s="34"/>
      <c r="BE605" s="34"/>
      <c r="BF605" s="34"/>
      <c r="BG605" s="34"/>
      <c r="BH605" s="34"/>
      <c r="BI605" s="34"/>
      <c r="BJ605" s="34"/>
      <c r="BK605" s="34"/>
      <c r="BL605" s="34"/>
      <c r="BM605" s="34"/>
      <c r="BN605" s="34"/>
      <c r="BO605" s="34"/>
      <c r="BP605" s="34"/>
      <c r="BQ605" s="34"/>
      <c r="BR605" s="34"/>
      <c r="BS605" s="34"/>
      <c r="BT605" s="34"/>
      <c r="BU605" s="34"/>
      <c r="BV605" s="34"/>
      <c r="BW605" s="34"/>
      <c r="BX605" s="34"/>
      <c r="BY605" s="34"/>
    </row>
    <row r="606" spans="1:77" x14ac:dyDescent="0.3">
      <c r="A606" s="39"/>
      <c r="B606" s="42"/>
      <c r="C606" s="42"/>
      <c r="D606" s="75"/>
      <c r="E606" s="75"/>
      <c r="F606" s="76"/>
      <c r="G606" s="47"/>
      <c r="H606" s="47"/>
      <c r="I606" s="75"/>
      <c r="J606" s="76"/>
      <c r="K606" s="76"/>
      <c r="L606" s="75"/>
      <c r="M606" s="49"/>
      <c r="N606" s="76"/>
      <c r="O606" s="49"/>
      <c r="P606" s="77"/>
      <c r="Q606" s="53"/>
      <c r="R606" s="54"/>
      <c r="S606" s="55"/>
      <c r="T606" s="56"/>
      <c r="U606" s="56"/>
      <c r="V606" s="42"/>
      <c r="W606" s="57"/>
      <c r="X606" s="58"/>
      <c r="Y606" s="75"/>
      <c r="Z606" s="59"/>
      <c r="AA606" s="61"/>
      <c r="AB606" s="61"/>
      <c r="AC606" s="61"/>
      <c r="AD606" s="62"/>
      <c r="AE606" s="62"/>
      <c r="AF606" s="34"/>
      <c r="AG606" s="34"/>
      <c r="AH606" s="34"/>
      <c r="AI606" s="34"/>
      <c r="AJ606" s="34"/>
      <c r="AK606" s="34"/>
      <c r="AL606" s="34"/>
      <c r="AM606" s="34"/>
      <c r="AN606" s="34"/>
      <c r="AO606" s="34"/>
      <c r="AP606" s="34"/>
      <c r="AQ606" s="34"/>
      <c r="AR606" s="34"/>
      <c r="AS606" s="34"/>
      <c r="AT606" s="34"/>
      <c r="AU606" s="34"/>
      <c r="AV606" s="34"/>
      <c r="AW606" s="34"/>
      <c r="AX606" s="34"/>
      <c r="AY606" s="34"/>
      <c r="AZ606" s="34"/>
      <c r="BA606" s="34"/>
      <c r="BB606" s="34"/>
      <c r="BD606" s="34"/>
      <c r="BE606" s="34"/>
      <c r="BF606" s="34"/>
      <c r="BG606" s="34"/>
      <c r="BH606" s="34"/>
      <c r="BI606" s="34"/>
      <c r="BJ606" s="34"/>
      <c r="BK606" s="34"/>
      <c r="BL606" s="34"/>
      <c r="BM606" s="34"/>
      <c r="BN606" s="34"/>
      <c r="BO606" s="34"/>
      <c r="BP606" s="34"/>
      <c r="BQ606" s="34"/>
      <c r="BR606" s="34"/>
      <c r="BS606" s="34"/>
      <c r="BT606" s="34"/>
      <c r="BU606" s="34"/>
      <c r="BV606" s="34"/>
      <c r="BW606" s="34"/>
      <c r="BX606" s="34"/>
      <c r="BY606" s="34"/>
    </row>
    <row r="607" spans="1:77" x14ac:dyDescent="0.3">
      <c r="A607" s="39"/>
      <c r="B607" s="42"/>
      <c r="C607" s="42"/>
      <c r="D607" s="75"/>
      <c r="E607" s="75"/>
      <c r="F607" s="76"/>
      <c r="G607" s="47"/>
      <c r="H607" s="47"/>
      <c r="I607" s="75"/>
      <c r="J607" s="76"/>
      <c r="K607" s="76"/>
      <c r="L607" s="75"/>
      <c r="M607" s="49"/>
      <c r="N607" s="76"/>
      <c r="O607" s="49"/>
      <c r="P607" s="77"/>
      <c r="Q607" s="53"/>
      <c r="R607" s="54"/>
      <c r="S607" s="55"/>
      <c r="T607" s="56"/>
      <c r="U607" s="56"/>
      <c r="V607" s="42"/>
      <c r="W607" s="57"/>
      <c r="X607" s="58"/>
      <c r="Y607" s="75"/>
      <c r="Z607" s="59"/>
      <c r="AA607" s="61"/>
      <c r="AB607" s="61"/>
      <c r="AC607" s="61"/>
      <c r="AD607" s="62"/>
      <c r="AE607" s="62"/>
      <c r="AF607" s="34"/>
      <c r="AG607" s="34"/>
      <c r="AH607" s="34"/>
      <c r="AI607" s="34"/>
      <c r="AJ607" s="34"/>
      <c r="AK607" s="34"/>
      <c r="AL607" s="34"/>
      <c r="AM607" s="34"/>
      <c r="AN607" s="34"/>
      <c r="AO607" s="34"/>
      <c r="AP607" s="34"/>
      <c r="AQ607" s="34"/>
      <c r="AR607" s="34"/>
      <c r="AS607" s="34"/>
      <c r="AT607" s="34"/>
      <c r="AU607" s="34"/>
      <c r="AV607" s="34"/>
      <c r="AW607" s="34"/>
      <c r="AX607" s="34"/>
      <c r="AY607" s="34"/>
      <c r="AZ607" s="34"/>
      <c r="BA607" s="34"/>
      <c r="BB607" s="34"/>
      <c r="BD607" s="34"/>
      <c r="BE607" s="34"/>
      <c r="BF607" s="34"/>
      <c r="BG607" s="34"/>
      <c r="BH607" s="34"/>
      <c r="BI607" s="34"/>
      <c r="BJ607" s="34"/>
      <c r="BK607" s="34"/>
      <c r="BL607" s="34"/>
      <c r="BM607" s="34"/>
      <c r="BN607" s="34"/>
      <c r="BO607" s="34"/>
      <c r="BP607" s="34"/>
      <c r="BQ607" s="34"/>
      <c r="BR607" s="34"/>
      <c r="BS607" s="34"/>
      <c r="BT607" s="34"/>
      <c r="BU607" s="34"/>
      <c r="BV607" s="34"/>
      <c r="BW607" s="34"/>
      <c r="BX607" s="34"/>
      <c r="BY607" s="34"/>
    </row>
    <row r="608" spans="1:77" x14ac:dyDescent="0.3">
      <c r="A608" s="39"/>
      <c r="B608" s="42"/>
      <c r="C608" s="42"/>
      <c r="D608" s="75"/>
      <c r="E608" s="75"/>
      <c r="F608" s="76"/>
      <c r="G608" s="47"/>
      <c r="H608" s="47"/>
      <c r="I608" s="75"/>
      <c r="J608" s="76"/>
      <c r="K608" s="76"/>
      <c r="L608" s="75"/>
      <c r="M608" s="49"/>
      <c r="N608" s="76"/>
      <c r="O608" s="49"/>
      <c r="P608" s="77"/>
      <c r="Q608" s="53"/>
      <c r="R608" s="54"/>
      <c r="S608" s="55"/>
      <c r="T608" s="56"/>
      <c r="U608" s="56"/>
      <c r="V608" s="42"/>
      <c r="W608" s="57"/>
      <c r="X608" s="58"/>
      <c r="Y608" s="75"/>
      <c r="Z608" s="59"/>
      <c r="AA608" s="61"/>
      <c r="AB608" s="61"/>
      <c r="AC608" s="61"/>
      <c r="AD608" s="62"/>
      <c r="AE608" s="62"/>
      <c r="AF608" s="34"/>
      <c r="AG608" s="34"/>
      <c r="AH608" s="34"/>
      <c r="AI608" s="34"/>
      <c r="AJ608" s="34"/>
      <c r="AK608" s="34"/>
      <c r="AL608" s="34"/>
      <c r="AM608" s="34"/>
      <c r="AN608" s="34"/>
      <c r="AO608" s="34"/>
      <c r="AP608" s="34"/>
      <c r="AQ608" s="34"/>
      <c r="AR608" s="34"/>
      <c r="AS608" s="34"/>
      <c r="AT608" s="34"/>
      <c r="AU608" s="34"/>
      <c r="AV608" s="34"/>
      <c r="AW608" s="34"/>
      <c r="AX608" s="34"/>
      <c r="AY608" s="34"/>
      <c r="AZ608" s="34"/>
      <c r="BA608" s="34"/>
      <c r="BB608" s="34"/>
      <c r="BD608" s="34"/>
      <c r="BE608" s="34"/>
      <c r="BF608" s="34"/>
      <c r="BG608" s="34"/>
      <c r="BH608" s="34"/>
      <c r="BI608" s="34"/>
      <c r="BJ608" s="34"/>
      <c r="BK608" s="34"/>
      <c r="BL608" s="34"/>
      <c r="BM608" s="34"/>
      <c r="BN608" s="34"/>
      <c r="BO608" s="34"/>
      <c r="BP608" s="34"/>
      <c r="BQ608" s="34"/>
      <c r="BR608" s="34"/>
      <c r="BS608" s="34"/>
      <c r="BT608" s="34"/>
      <c r="BU608" s="34"/>
      <c r="BV608" s="34"/>
      <c r="BW608" s="34"/>
      <c r="BX608" s="34"/>
      <c r="BY608" s="34"/>
    </row>
    <row r="609" spans="1:77" x14ac:dyDescent="0.3">
      <c r="A609" s="39"/>
      <c r="B609" s="42"/>
      <c r="C609" s="42"/>
      <c r="D609" s="75"/>
      <c r="E609" s="75"/>
      <c r="F609" s="76"/>
      <c r="G609" s="47"/>
      <c r="H609" s="47"/>
      <c r="I609" s="75"/>
      <c r="J609" s="76"/>
      <c r="K609" s="76"/>
      <c r="L609" s="75"/>
      <c r="M609" s="49"/>
      <c r="N609" s="76"/>
      <c r="O609" s="49"/>
      <c r="P609" s="77"/>
      <c r="Q609" s="53"/>
      <c r="R609" s="54"/>
      <c r="S609" s="55"/>
      <c r="T609" s="56"/>
      <c r="U609" s="56"/>
      <c r="V609" s="42"/>
      <c r="W609" s="57"/>
      <c r="X609" s="58"/>
      <c r="Y609" s="75"/>
      <c r="Z609" s="59"/>
      <c r="AA609" s="61"/>
      <c r="AB609" s="61"/>
      <c r="AC609" s="61"/>
      <c r="AD609" s="62"/>
      <c r="AE609" s="62"/>
      <c r="AF609" s="34"/>
      <c r="AG609" s="34"/>
      <c r="AH609" s="34"/>
      <c r="AI609" s="34"/>
      <c r="AJ609" s="34"/>
      <c r="AK609" s="34"/>
      <c r="AL609" s="34"/>
      <c r="AM609" s="34"/>
      <c r="AN609" s="34"/>
      <c r="AO609" s="34"/>
      <c r="AP609" s="34"/>
      <c r="AQ609" s="34"/>
      <c r="AR609" s="34"/>
      <c r="AS609" s="34"/>
      <c r="AT609" s="34"/>
      <c r="AU609" s="34"/>
      <c r="AV609" s="34"/>
      <c r="AW609" s="34"/>
      <c r="AX609" s="34"/>
      <c r="AY609" s="34"/>
      <c r="AZ609" s="34"/>
      <c r="BA609" s="34"/>
      <c r="BB609" s="34"/>
      <c r="BD609" s="34"/>
      <c r="BE609" s="34"/>
      <c r="BF609" s="34"/>
      <c r="BG609" s="34"/>
      <c r="BH609" s="34"/>
      <c r="BI609" s="34"/>
      <c r="BJ609" s="34"/>
      <c r="BK609" s="34"/>
      <c r="BL609" s="34"/>
      <c r="BM609" s="34"/>
      <c r="BN609" s="34"/>
      <c r="BO609" s="34"/>
      <c r="BP609" s="34"/>
      <c r="BQ609" s="34"/>
      <c r="BR609" s="34"/>
      <c r="BS609" s="34"/>
      <c r="BT609" s="34"/>
      <c r="BU609" s="34"/>
      <c r="BV609" s="34"/>
      <c r="BW609" s="34"/>
      <c r="BX609" s="34"/>
      <c r="BY609" s="34"/>
    </row>
    <row r="610" spans="1:77" x14ac:dyDescent="0.3">
      <c r="A610" s="39"/>
      <c r="B610" s="42"/>
      <c r="C610" s="42"/>
      <c r="D610" s="75"/>
      <c r="E610" s="75"/>
      <c r="F610" s="76"/>
      <c r="G610" s="47"/>
      <c r="H610" s="47"/>
      <c r="I610" s="75"/>
      <c r="J610" s="76"/>
      <c r="K610" s="76"/>
      <c r="L610" s="75"/>
      <c r="M610" s="49"/>
      <c r="N610" s="76"/>
      <c r="O610" s="49"/>
      <c r="P610" s="77"/>
      <c r="Q610" s="53"/>
      <c r="R610" s="54"/>
      <c r="S610" s="55"/>
      <c r="T610" s="56"/>
      <c r="U610" s="56"/>
      <c r="V610" s="42"/>
      <c r="W610" s="57"/>
      <c r="X610" s="58"/>
      <c r="Y610" s="75"/>
      <c r="Z610" s="59"/>
      <c r="AA610" s="61"/>
      <c r="AB610" s="61"/>
      <c r="AC610" s="61"/>
      <c r="AD610" s="62"/>
      <c r="AE610" s="62"/>
      <c r="AF610" s="34"/>
      <c r="AG610" s="34"/>
      <c r="AH610" s="34"/>
      <c r="AI610" s="34"/>
      <c r="AJ610" s="34"/>
      <c r="AK610" s="34"/>
      <c r="AL610" s="34"/>
      <c r="AM610" s="34"/>
      <c r="AN610" s="34"/>
      <c r="AO610" s="34"/>
      <c r="AP610" s="34"/>
      <c r="AQ610" s="34"/>
      <c r="AR610" s="34"/>
      <c r="AS610" s="34"/>
      <c r="AT610" s="34"/>
      <c r="AU610" s="34"/>
      <c r="AV610" s="34"/>
      <c r="AW610" s="34"/>
      <c r="AX610" s="34"/>
      <c r="AY610" s="34"/>
      <c r="AZ610" s="34"/>
      <c r="BA610" s="34"/>
      <c r="BB610" s="34"/>
      <c r="BD610" s="34"/>
      <c r="BE610" s="34"/>
      <c r="BF610" s="34"/>
      <c r="BG610" s="34"/>
      <c r="BH610" s="34"/>
      <c r="BI610" s="34"/>
      <c r="BJ610" s="34"/>
      <c r="BK610" s="34"/>
      <c r="BL610" s="34"/>
      <c r="BM610" s="34"/>
      <c r="BN610" s="34"/>
      <c r="BO610" s="34"/>
      <c r="BP610" s="34"/>
      <c r="BQ610" s="34"/>
      <c r="BR610" s="34"/>
      <c r="BS610" s="34"/>
      <c r="BT610" s="34"/>
      <c r="BU610" s="34"/>
      <c r="BV610" s="34"/>
      <c r="BW610" s="34"/>
      <c r="BX610" s="34"/>
      <c r="BY610" s="34"/>
    </row>
    <row r="611" spans="1:77" x14ac:dyDescent="0.3">
      <c r="A611" s="39"/>
      <c r="B611" s="42"/>
      <c r="C611" s="42"/>
      <c r="D611" s="75"/>
      <c r="E611" s="75"/>
      <c r="F611" s="76"/>
      <c r="G611" s="47"/>
      <c r="H611" s="47"/>
      <c r="I611" s="75"/>
      <c r="J611" s="76"/>
      <c r="K611" s="76"/>
      <c r="L611" s="75"/>
      <c r="M611" s="49"/>
      <c r="N611" s="76"/>
      <c r="O611" s="49"/>
      <c r="P611" s="77"/>
      <c r="Q611" s="53"/>
      <c r="R611" s="54"/>
      <c r="S611" s="55"/>
      <c r="T611" s="56"/>
      <c r="U611" s="56"/>
      <c r="V611" s="42"/>
      <c r="W611" s="57"/>
      <c r="X611" s="58"/>
      <c r="Y611" s="75"/>
      <c r="Z611" s="59"/>
      <c r="AA611" s="61"/>
      <c r="AB611" s="61"/>
      <c r="AC611" s="61"/>
      <c r="AD611" s="62"/>
      <c r="AE611" s="62"/>
      <c r="AF611" s="34"/>
      <c r="AG611" s="34"/>
      <c r="AH611" s="34"/>
      <c r="AI611" s="34"/>
      <c r="AJ611" s="34"/>
      <c r="AK611" s="34"/>
      <c r="AL611" s="34"/>
      <c r="AM611" s="34"/>
      <c r="AN611" s="34"/>
      <c r="AO611" s="34"/>
      <c r="AP611" s="34"/>
      <c r="AQ611" s="34"/>
      <c r="AR611" s="34"/>
      <c r="AS611" s="34"/>
      <c r="AT611" s="34"/>
      <c r="AU611" s="34"/>
      <c r="AV611" s="34"/>
      <c r="AW611" s="34"/>
      <c r="AX611" s="34"/>
      <c r="AY611" s="34"/>
      <c r="AZ611" s="34"/>
      <c r="BA611" s="34"/>
      <c r="BB611" s="34"/>
      <c r="BD611" s="34"/>
      <c r="BE611" s="34"/>
      <c r="BF611" s="34"/>
      <c r="BG611" s="34"/>
      <c r="BH611" s="34"/>
      <c r="BI611" s="34"/>
      <c r="BJ611" s="34"/>
      <c r="BK611" s="34"/>
      <c r="BL611" s="34"/>
      <c r="BM611" s="34"/>
      <c r="BN611" s="34"/>
      <c r="BO611" s="34"/>
      <c r="BP611" s="34"/>
      <c r="BQ611" s="34"/>
      <c r="BR611" s="34"/>
      <c r="BS611" s="34"/>
      <c r="BT611" s="34"/>
      <c r="BU611" s="34"/>
      <c r="BV611" s="34"/>
      <c r="BW611" s="34"/>
      <c r="BX611" s="34"/>
      <c r="BY611" s="34"/>
    </row>
    <row r="612" spans="1:77" x14ac:dyDescent="0.3">
      <c r="A612" s="39"/>
      <c r="B612" s="42"/>
      <c r="C612" s="42"/>
      <c r="D612" s="75"/>
      <c r="E612" s="75"/>
      <c r="F612" s="76"/>
      <c r="G612" s="47"/>
      <c r="H612" s="47"/>
      <c r="I612" s="75"/>
      <c r="J612" s="76"/>
      <c r="K612" s="76"/>
      <c r="L612" s="75"/>
      <c r="M612" s="49"/>
      <c r="N612" s="76"/>
      <c r="O612" s="49"/>
      <c r="P612" s="77"/>
      <c r="Q612" s="53"/>
      <c r="R612" s="54"/>
      <c r="S612" s="55"/>
      <c r="T612" s="56"/>
      <c r="U612" s="56"/>
      <c r="V612" s="42"/>
      <c r="W612" s="57"/>
      <c r="X612" s="58"/>
      <c r="Y612" s="75"/>
      <c r="Z612" s="59"/>
      <c r="AA612" s="61"/>
      <c r="AB612" s="61"/>
      <c r="AC612" s="61"/>
      <c r="AD612" s="62"/>
      <c r="AE612" s="62"/>
      <c r="AF612" s="34"/>
      <c r="AG612" s="34"/>
      <c r="AH612" s="34"/>
      <c r="AI612" s="34"/>
      <c r="AJ612" s="34"/>
      <c r="AK612" s="34"/>
      <c r="AL612" s="34"/>
      <c r="AM612" s="34"/>
      <c r="AN612" s="34"/>
      <c r="AO612" s="34"/>
      <c r="AP612" s="34"/>
      <c r="AQ612" s="34"/>
      <c r="AR612" s="34"/>
      <c r="AS612" s="34"/>
      <c r="AT612" s="34"/>
      <c r="AU612" s="34"/>
      <c r="AV612" s="34"/>
      <c r="AW612" s="34"/>
      <c r="AX612" s="34"/>
      <c r="AY612" s="34"/>
      <c r="AZ612" s="34"/>
      <c r="BA612" s="34"/>
      <c r="BB612" s="34"/>
      <c r="BD612" s="34"/>
      <c r="BE612" s="34"/>
      <c r="BF612" s="34"/>
      <c r="BG612" s="34"/>
      <c r="BH612" s="34"/>
      <c r="BI612" s="34"/>
      <c r="BJ612" s="34"/>
      <c r="BK612" s="34"/>
      <c r="BL612" s="34"/>
      <c r="BM612" s="34"/>
      <c r="BN612" s="34"/>
      <c r="BO612" s="34"/>
      <c r="BP612" s="34"/>
      <c r="BQ612" s="34"/>
      <c r="BR612" s="34"/>
      <c r="BS612" s="34"/>
      <c r="BT612" s="34"/>
      <c r="BU612" s="34"/>
      <c r="BV612" s="34"/>
      <c r="BW612" s="34"/>
      <c r="BX612" s="34"/>
      <c r="BY612" s="34"/>
    </row>
    <row r="613" spans="1:77" x14ac:dyDescent="0.3">
      <c r="A613" s="39"/>
      <c r="B613" s="42"/>
      <c r="C613" s="42"/>
      <c r="D613" s="75"/>
      <c r="E613" s="75"/>
      <c r="F613" s="76"/>
      <c r="G613" s="47"/>
      <c r="H613" s="47"/>
      <c r="I613" s="75"/>
      <c r="J613" s="76"/>
      <c r="K613" s="76"/>
      <c r="L613" s="75"/>
      <c r="M613" s="49"/>
      <c r="N613" s="76"/>
      <c r="O613" s="49"/>
      <c r="P613" s="77"/>
      <c r="Q613" s="53"/>
      <c r="R613" s="54"/>
      <c r="S613" s="55"/>
      <c r="T613" s="56"/>
      <c r="U613" s="56"/>
      <c r="V613" s="42"/>
      <c r="W613" s="57"/>
      <c r="X613" s="58"/>
      <c r="Y613" s="75"/>
      <c r="Z613" s="59"/>
      <c r="AA613" s="61"/>
      <c r="AB613" s="61"/>
      <c r="AC613" s="61"/>
      <c r="AD613" s="62"/>
      <c r="AE613" s="62"/>
      <c r="AF613" s="34"/>
      <c r="AG613" s="34"/>
      <c r="AH613" s="34"/>
      <c r="AI613" s="34"/>
      <c r="AJ613" s="34"/>
      <c r="AK613" s="34"/>
      <c r="AL613" s="34"/>
      <c r="AM613" s="34"/>
      <c r="AN613" s="34"/>
      <c r="AO613" s="34"/>
      <c r="AP613" s="34"/>
      <c r="AQ613" s="34"/>
      <c r="AR613" s="34"/>
      <c r="AS613" s="34"/>
      <c r="AT613" s="34"/>
      <c r="AU613" s="34"/>
      <c r="AV613" s="34"/>
      <c r="AW613" s="34"/>
      <c r="AX613" s="34"/>
      <c r="AY613" s="34"/>
      <c r="AZ613" s="34"/>
      <c r="BA613" s="34"/>
      <c r="BB613" s="34"/>
      <c r="BD613" s="34"/>
      <c r="BE613" s="34"/>
      <c r="BF613" s="34"/>
      <c r="BG613" s="34"/>
      <c r="BH613" s="34"/>
      <c r="BI613" s="34"/>
      <c r="BJ613" s="34"/>
      <c r="BK613" s="34"/>
      <c r="BL613" s="34"/>
      <c r="BM613" s="34"/>
      <c r="BN613" s="34"/>
      <c r="BO613" s="34"/>
      <c r="BP613" s="34"/>
      <c r="BQ613" s="34"/>
      <c r="BR613" s="34"/>
      <c r="BS613" s="34"/>
      <c r="BT613" s="34"/>
      <c r="BU613" s="34"/>
      <c r="BV613" s="34"/>
      <c r="BW613" s="34"/>
      <c r="BX613" s="34"/>
      <c r="BY613" s="34"/>
    </row>
    <row r="614" spans="1:77" x14ac:dyDescent="0.3">
      <c r="A614" s="39"/>
      <c r="B614" s="42"/>
      <c r="C614" s="42"/>
      <c r="D614" s="75"/>
      <c r="E614" s="75"/>
      <c r="F614" s="76"/>
      <c r="G614" s="47"/>
      <c r="H614" s="47"/>
      <c r="I614" s="75"/>
      <c r="J614" s="76"/>
      <c r="K614" s="76"/>
      <c r="L614" s="75"/>
      <c r="M614" s="49"/>
      <c r="N614" s="76"/>
      <c r="O614" s="49"/>
      <c r="P614" s="77"/>
      <c r="Q614" s="53"/>
      <c r="R614" s="54"/>
      <c r="S614" s="55"/>
      <c r="T614" s="56"/>
      <c r="U614" s="56"/>
      <c r="V614" s="42"/>
      <c r="W614" s="57"/>
      <c r="X614" s="58"/>
      <c r="Y614" s="75"/>
      <c r="Z614" s="59"/>
      <c r="AA614" s="61"/>
      <c r="AB614" s="61"/>
      <c r="AC614" s="61"/>
      <c r="AD614" s="62"/>
      <c r="AE614" s="62"/>
      <c r="AF614" s="34"/>
      <c r="AG614" s="34"/>
      <c r="AH614" s="34"/>
      <c r="AI614" s="34"/>
      <c r="AJ614" s="34"/>
      <c r="AK614" s="34"/>
      <c r="AL614" s="34"/>
      <c r="AM614" s="34"/>
      <c r="AN614" s="34"/>
      <c r="AO614" s="34"/>
      <c r="AP614" s="34"/>
      <c r="AQ614" s="34"/>
      <c r="AR614" s="34"/>
      <c r="AS614" s="34"/>
      <c r="AT614" s="34"/>
      <c r="AU614" s="34"/>
      <c r="AV614" s="34"/>
      <c r="AW614" s="34"/>
      <c r="AX614" s="34"/>
      <c r="AY614" s="34"/>
      <c r="AZ614" s="34"/>
      <c r="BA614" s="34"/>
      <c r="BB614" s="34"/>
      <c r="BD614" s="34"/>
      <c r="BE614" s="34"/>
      <c r="BF614" s="34"/>
      <c r="BG614" s="34"/>
      <c r="BH614" s="34"/>
      <c r="BI614" s="34"/>
      <c r="BJ614" s="34"/>
      <c r="BK614" s="34"/>
      <c r="BL614" s="34"/>
      <c r="BM614" s="34"/>
      <c r="BN614" s="34"/>
      <c r="BO614" s="34"/>
      <c r="BP614" s="34"/>
      <c r="BQ614" s="34"/>
      <c r="BR614" s="34"/>
      <c r="BS614" s="34"/>
      <c r="BT614" s="34"/>
      <c r="BU614" s="34"/>
      <c r="BV614" s="34"/>
      <c r="BW614" s="34"/>
      <c r="BX614" s="34"/>
      <c r="BY614" s="34"/>
    </row>
    <row r="615" spans="1:77" x14ac:dyDescent="0.3">
      <c r="A615" s="39"/>
      <c r="B615" s="42"/>
      <c r="C615" s="42"/>
      <c r="D615" s="75"/>
      <c r="E615" s="75"/>
      <c r="F615" s="76"/>
      <c r="G615" s="47"/>
      <c r="H615" s="47"/>
      <c r="I615" s="75"/>
      <c r="J615" s="76"/>
      <c r="K615" s="76"/>
      <c r="L615" s="75"/>
      <c r="M615" s="49"/>
      <c r="N615" s="76"/>
      <c r="O615" s="49"/>
      <c r="P615" s="77"/>
      <c r="Q615" s="53"/>
      <c r="R615" s="54"/>
      <c r="S615" s="55"/>
      <c r="T615" s="56"/>
      <c r="U615" s="56"/>
      <c r="V615" s="42"/>
      <c r="W615" s="57"/>
      <c r="X615" s="58"/>
      <c r="Y615" s="75"/>
      <c r="Z615" s="59"/>
      <c r="AA615" s="61"/>
      <c r="AB615" s="61"/>
      <c r="AC615" s="61"/>
      <c r="AD615" s="62"/>
      <c r="AE615" s="62"/>
      <c r="AF615" s="34"/>
      <c r="AG615" s="34"/>
      <c r="AH615" s="34"/>
      <c r="AI615" s="34"/>
      <c r="AJ615" s="34"/>
      <c r="AK615" s="34"/>
      <c r="AL615" s="34"/>
      <c r="AM615" s="34"/>
      <c r="AN615" s="34"/>
      <c r="AO615" s="34"/>
      <c r="AP615" s="34"/>
      <c r="AQ615" s="34"/>
      <c r="AR615" s="34"/>
      <c r="AS615" s="34"/>
      <c r="AT615" s="34"/>
      <c r="AU615" s="34"/>
      <c r="AV615" s="34"/>
      <c r="AW615" s="34"/>
      <c r="AX615" s="34"/>
      <c r="AY615" s="34"/>
      <c r="AZ615" s="34"/>
      <c r="BA615" s="34"/>
      <c r="BB615" s="34"/>
      <c r="BD615" s="34"/>
      <c r="BE615" s="34"/>
      <c r="BF615" s="34"/>
      <c r="BG615" s="34"/>
      <c r="BH615" s="34"/>
      <c r="BI615" s="34"/>
      <c r="BJ615" s="34"/>
      <c r="BK615" s="34"/>
      <c r="BL615" s="34"/>
      <c r="BM615" s="34"/>
      <c r="BN615" s="34"/>
      <c r="BO615" s="34"/>
      <c r="BP615" s="34"/>
      <c r="BQ615" s="34"/>
      <c r="BR615" s="34"/>
      <c r="BS615" s="34"/>
      <c r="BT615" s="34"/>
      <c r="BU615" s="34"/>
      <c r="BV615" s="34"/>
      <c r="BW615" s="34"/>
      <c r="BX615" s="34"/>
      <c r="BY615" s="34"/>
    </row>
    <row r="616" spans="1:77" x14ac:dyDescent="0.3">
      <c r="A616" s="39"/>
      <c r="B616" s="42"/>
      <c r="C616" s="42"/>
      <c r="D616" s="75"/>
      <c r="E616" s="75"/>
      <c r="F616" s="76"/>
      <c r="G616" s="47"/>
      <c r="H616" s="47"/>
      <c r="I616" s="75"/>
      <c r="J616" s="76"/>
      <c r="K616" s="76"/>
      <c r="L616" s="75"/>
      <c r="M616" s="49"/>
      <c r="N616" s="76"/>
      <c r="O616" s="49"/>
      <c r="P616" s="77"/>
      <c r="Q616" s="53"/>
      <c r="R616" s="54"/>
      <c r="S616" s="55"/>
      <c r="T616" s="56"/>
      <c r="U616" s="56"/>
      <c r="V616" s="42"/>
      <c r="W616" s="57"/>
      <c r="X616" s="58"/>
      <c r="Y616" s="75"/>
      <c r="Z616" s="59"/>
      <c r="AA616" s="61"/>
      <c r="AB616" s="61"/>
      <c r="AC616" s="61"/>
      <c r="AD616" s="62"/>
      <c r="AE616" s="62"/>
      <c r="AF616" s="34"/>
      <c r="AG616" s="34"/>
      <c r="AH616" s="34"/>
      <c r="AI616" s="34"/>
      <c r="AJ616" s="34"/>
      <c r="AK616" s="34"/>
      <c r="AL616" s="34"/>
      <c r="AM616" s="34"/>
      <c r="AN616" s="34"/>
      <c r="AO616" s="34"/>
      <c r="AP616" s="34"/>
      <c r="AQ616" s="34"/>
      <c r="AR616" s="34"/>
      <c r="AS616" s="34"/>
      <c r="AT616" s="34"/>
      <c r="AU616" s="34"/>
      <c r="AV616" s="34"/>
      <c r="AW616" s="34"/>
      <c r="AX616" s="34"/>
      <c r="AY616" s="34"/>
      <c r="AZ616" s="34"/>
      <c r="BA616" s="34"/>
      <c r="BB616" s="34"/>
      <c r="BD616" s="34"/>
      <c r="BE616" s="34"/>
      <c r="BF616" s="34"/>
      <c r="BG616" s="34"/>
      <c r="BH616" s="34"/>
      <c r="BI616" s="34"/>
      <c r="BJ616" s="34"/>
      <c r="BK616" s="34"/>
      <c r="BL616" s="34"/>
      <c r="BM616" s="34"/>
      <c r="BN616" s="34"/>
      <c r="BO616" s="34"/>
      <c r="BP616" s="34"/>
      <c r="BQ616" s="34"/>
      <c r="BR616" s="34"/>
      <c r="BS616" s="34"/>
      <c r="BT616" s="34"/>
      <c r="BU616" s="34"/>
      <c r="BV616" s="34"/>
      <c r="BW616" s="34"/>
      <c r="BX616" s="34"/>
      <c r="BY616" s="34"/>
    </row>
    <row r="617" spans="1:77" x14ac:dyDescent="0.3">
      <c r="A617" s="39"/>
      <c r="B617" s="42"/>
      <c r="C617" s="42"/>
      <c r="D617" s="75"/>
      <c r="E617" s="75"/>
      <c r="F617" s="76"/>
      <c r="G617" s="47"/>
      <c r="H617" s="47"/>
      <c r="I617" s="75"/>
      <c r="J617" s="76"/>
      <c r="K617" s="76"/>
      <c r="L617" s="75"/>
      <c r="M617" s="49"/>
      <c r="N617" s="76"/>
      <c r="O617" s="49"/>
      <c r="P617" s="77"/>
      <c r="Q617" s="53"/>
      <c r="R617" s="54"/>
      <c r="S617" s="55"/>
      <c r="T617" s="56"/>
      <c r="U617" s="56"/>
      <c r="V617" s="42"/>
      <c r="W617" s="57"/>
      <c r="X617" s="58"/>
      <c r="Y617" s="75"/>
      <c r="Z617" s="59"/>
      <c r="AA617" s="61"/>
      <c r="AB617" s="61"/>
      <c r="AC617" s="61"/>
      <c r="AD617" s="62"/>
      <c r="AE617" s="62"/>
      <c r="AF617" s="34"/>
      <c r="AG617" s="34"/>
      <c r="AH617" s="34"/>
      <c r="AI617" s="34"/>
      <c r="AJ617" s="34"/>
      <c r="AK617" s="34"/>
      <c r="AL617" s="34"/>
      <c r="AM617" s="34"/>
      <c r="AN617" s="34"/>
      <c r="AO617" s="34"/>
      <c r="AP617" s="34"/>
      <c r="AQ617" s="34"/>
      <c r="AR617" s="34"/>
      <c r="AS617" s="34"/>
      <c r="AT617" s="34"/>
      <c r="AU617" s="34"/>
      <c r="AV617" s="34"/>
      <c r="AW617" s="34"/>
      <c r="AX617" s="34"/>
      <c r="AY617" s="34"/>
      <c r="AZ617" s="34"/>
      <c r="BA617" s="34"/>
      <c r="BB617" s="34"/>
      <c r="BD617" s="34"/>
      <c r="BE617" s="34"/>
      <c r="BF617" s="34"/>
      <c r="BG617" s="34"/>
      <c r="BH617" s="34"/>
      <c r="BI617" s="34"/>
      <c r="BJ617" s="34"/>
      <c r="BK617" s="34"/>
      <c r="BL617" s="34"/>
      <c r="BM617" s="34"/>
      <c r="BN617" s="34"/>
      <c r="BO617" s="34"/>
      <c r="BP617" s="34"/>
      <c r="BQ617" s="34"/>
      <c r="BR617" s="34"/>
      <c r="BS617" s="34"/>
      <c r="BT617" s="34"/>
      <c r="BU617" s="34"/>
      <c r="BV617" s="34"/>
      <c r="BW617" s="34"/>
      <c r="BX617" s="34"/>
      <c r="BY617" s="34"/>
    </row>
    <row r="618" spans="1:77" x14ac:dyDescent="0.3">
      <c r="A618" s="39"/>
      <c r="B618" s="42"/>
      <c r="C618" s="42"/>
      <c r="D618" s="75"/>
      <c r="E618" s="75"/>
      <c r="F618" s="76"/>
      <c r="G618" s="47"/>
      <c r="H618" s="47"/>
      <c r="I618" s="75"/>
      <c r="J618" s="76"/>
      <c r="K618" s="76"/>
      <c r="L618" s="75"/>
      <c r="M618" s="49"/>
      <c r="N618" s="76"/>
      <c r="O618" s="49"/>
      <c r="P618" s="77"/>
      <c r="Q618" s="53"/>
      <c r="R618" s="54"/>
      <c r="S618" s="55"/>
      <c r="T618" s="56"/>
      <c r="U618" s="56"/>
      <c r="V618" s="42"/>
      <c r="W618" s="57"/>
      <c r="X618" s="58"/>
      <c r="Y618" s="75"/>
      <c r="Z618" s="59"/>
      <c r="AA618" s="61"/>
      <c r="AB618" s="61"/>
      <c r="AC618" s="61"/>
      <c r="AD618" s="62"/>
      <c r="AE618" s="62"/>
      <c r="AF618" s="34"/>
      <c r="AG618" s="34"/>
      <c r="AH618" s="34"/>
      <c r="AI618" s="34"/>
      <c r="AJ618" s="34"/>
      <c r="AK618" s="34"/>
      <c r="AL618" s="34"/>
      <c r="AM618" s="34"/>
      <c r="AN618" s="34"/>
      <c r="AO618" s="34"/>
      <c r="AP618" s="34"/>
      <c r="AQ618" s="34"/>
      <c r="AR618" s="34"/>
      <c r="AS618" s="34"/>
      <c r="AT618" s="34"/>
      <c r="AU618" s="34"/>
      <c r="AV618" s="34"/>
      <c r="AW618" s="34"/>
      <c r="AX618" s="34"/>
      <c r="AY618" s="34"/>
      <c r="AZ618" s="34"/>
      <c r="BA618" s="34"/>
      <c r="BB618" s="34"/>
      <c r="BD618" s="34"/>
      <c r="BE618" s="34"/>
      <c r="BF618" s="34"/>
      <c r="BG618" s="34"/>
      <c r="BH618" s="34"/>
      <c r="BI618" s="34"/>
      <c r="BJ618" s="34"/>
      <c r="BK618" s="34"/>
      <c r="BL618" s="34"/>
      <c r="BM618" s="34"/>
      <c r="BN618" s="34"/>
      <c r="BO618" s="34"/>
      <c r="BP618" s="34"/>
      <c r="BQ618" s="34"/>
      <c r="BR618" s="34"/>
      <c r="BS618" s="34"/>
      <c r="BT618" s="34"/>
      <c r="BU618" s="34"/>
      <c r="BV618" s="34"/>
      <c r="BW618" s="34"/>
      <c r="BX618" s="34"/>
      <c r="BY618" s="34"/>
    </row>
    <row r="619" spans="1:77" x14ac:dyDescent="0.3">
      <c r="A619" s="39"/>
      <c r="B619" s="42"/>
      <c r="C619" s="42"/>
      <c r="D619" s="75"/>
      <c r="E619" s="75"/>
      <c r="F619" s="76"/>
      <c r="G619" s="47"/>
      <c r="H619" s="47"/>
      <c r="I619" s="75"/>
      <c r="J619" s="76"/>
      <c r="K619" s="76"/>
      <c r="L619" s="75"/>
      <c r="M619" s="49"/>
      <c r="N619" s="76"/>
      <c r="O619" s="49"/>
      <c r="P619" s="77"/>
      <c r="Q619" s="53"/>
      <c r="R619" s="54"/>
      <c r="S619" s="55"/>
      <c r="T619" s="56"/>
      <c r="U619" s="56"/>
      <c r="V619" s="42"/>
      <c r="W619" s="57"/>
      <c r="X619" s="58"/>
      <c r="Y619" s="75"/>
      <c r="Z619" s="59"/>
      <c r="AA619" s="61"/>
      <c r="AB619" s="61"/>
      <c r="AC619" s="61"/>
      <c r="AD619" s="62"/>
      <c r="AE619" s="62"/>
      <c r="AF619" s="34"/>
      <c r="AG619" s="34"/>
      <c r="AH619" s="34"/>
      <c r="AI619" s="34"/>
      <c r="AJ619" s="34"/>
      <c r="AK619" s="34"/>
      <c r="AL619" s="34"/>
      <c r="AM619" s="34"/>
      <c r="AN619" s="34"/>
      <c r="AO619" s="34"/>
      <c r="AP619" s="34"/>
      <c r="AQ619" s="34"/>
      <c r="AR619" s="34"/>
      <c r="AS619" s="34"/>
      <c r="AT619" s="34"/>
      <c r="AU619" s="34"/>
      <c r="AV619" s="34"/>
      <c r="AW619" s="34"/>
      <c r="AX619" s="34"/>
      <c r="AY619" s="34"/>
      <c r="AZ619" s="34"/>
      <c r="BA619" s="34"/>
      <c r="BB619" s="34"/>
      <c r="BD619" s="34"/>
      <c r="BE619" s="34"/>
      <c r="BF619" s="34"/>
      <c r="BG619" s="34"/>
      <c r="BH619" s="34"/>
      <c r="BI619" s="34"/>
      <c r="BJ619" s="34"/>
      <c r="BK619" s="34"/>
      <c r="BL619" s="34"/>
      <c r="BM619" s="34"/>
      <c r="BN619" s="34"/>
      <c r="BO619" s="34"/>
      <c r="BP619" s="34"/>
      <c r="BQ619" s="34"/>
      <c r="BR619" s="34"/>
      <c r="BS619" s="34"/>
      <c r="BT619" s="34"/>
      <c r="BU619" s="34"/>
      <c r="BV619" s="34"/>
      <c r="BW619" s="34"/>
      <c r="BX619" s="34"/>
      <c r="BY619" s="34"/>
    </row>
    <row r="620" spans="1:77" x14ac:dyDescent="0.3">
      <c r="A620" s="39"/>
      <c r="B620" s="42"/>
      <c r="C620" s="42"/>
      <c r="D620" s="75"/>
      <c r="E620" s="75"/>
      <c r="F620" s="76"/>
      <c r="G620" s="47"/>
      <c r="H620" s="47"/>
      <c r="I620" s="75"/>
      <c r="J620" s="76"/>
      <c r="K620" s="76"/>
      <c r="L620" s="75"/>
      <c r="M620" s="49"/>
      <c r="N620" s="76"/>
      <c r="O620" s="49"/>
      <c r="P620" s="77"/>
      <c r="Q620" s="53"/>
      <c r="R620" s="54"/>
      <c r="S620" s="55"/>
      <c r="T620" s="56"/>
      <c r="U620" s="56"/>
      <c r="V620" s="42"/>
      <c r="W620" s="57"/>
      <c r="X620" s="58"/>
      <c r="Y620" s="75"/>
      <c r="Z620" s="59"/>
      <c r="AA620" s="61"/>
      <c r="AB620" s="61"/>
      <c r="AC620" s="61"/>
      <c r="AD620" s="62"/>
      <c r="AE620" s="62"/>
      <c r="AF620" s="34"/>
      <c r="AG620" s="34"/>
      <c r="AH620" s="34"/>
      <c r="AI620" s="34"/>
      <c r="AJ620" s="34"/>
      <c r="AK620" s="34"/>
      <c r="AL620" s="34"/>
      <c r="AM620" s="34"/>
      <c r="AN620" s="34"/>
      <c r="AO620" s="34"/>
      <c r="AP620" s="34"/>
      <c r="AQ620" s="34"/>
      <c r="AR620" s="34"/>
      <c r="AS620" s="34"/>
      <c r="AT620" s="34"/>
      <c r="AU620" s="34"/>
      <c r="AV620" s="34"/>
      <c r="AW620" s="34"/>
      <c r="AX620" s="34"/>
      <c r="AY620" s="34"/>
      <c r="AZ620" s="34"/>
      <c r="BA620" s="34"/>
      <c r="BB620" s="34"/>
      <c r="BD620" s="34"/>
      <c r="BE620" s="34"/>
      <c r="BF620" s="34"/>
      <c r="BG620" s="34"/>
      <c r="BH620" s="34"/>
      <c r="BI620" s="34"/>
      <c r="BJ620" s="34"/>
      <c r="BK620" s="34"/>
      <c r="BL620" s="34"/>
      <c r="BM620" s="34"/>
      <c r="BN620" s="34"/>
      <c r="BO620" s="34"/>
      <c r="BP620" s="34"/>
      <c r="BQ620" s="34"/>
      <c r="BR620" s="34"/>
      <c r="BS620" s="34"/>
      <c r="BT620" s="34"/>
      <c r="BU620" s="34"/>
      <c r="BV620" s="34"/>
      <c r="BW620" s="34"/>
      <c r="BX620" s="34"/>
      <c r="BY620" s="34"/>
    </row>
    <row r="621" spans="1:77" x14ac:dyDescent="0.3">
      <c r="A621" s="39"/>
      <c r="B621" s="42"/>
      <c r="C621" s="42"/>
      <c r="D621" s="75"/>
      <c r="E621" s="75"/>
      <c r="F621" s="76"/>
      <c r="G621" s="47"/>
      <c r="H621" s="47"/>
      <c r="I621" s="75"/>
      <c r="J621" s="76"/>
      <c r="K621" s="76"/>
      <c r="L621" s="75"/>
      <c r="M621" s="49"/>
      <c r="N621" s="76"/>
      <c r="O621" s="49"/>
      <c r="P621" s="77"/>
      <c r="Q621" s="53"/>
      <c r="R621" s="54"/>
      <c r="S621" s="55"/>
      <c r="T621" s="56"/>
      <c r="U621" s="56"/>
      <c r="V621" s="42"/>
      <c r="W621" s="57"/>
      <c r="X621" s="58"/>
      <c r="Y621" s="75"/>
      <c r="Z621" s="59"/>
      <c r="AA621" s="61"/>
      <c r="AB621" s="61"/>
      <c r="AC621" s="61"/>
      <c r="AD621" s="62"/>
      <c r="AE621" s="62"/>
      <c r="AF621" s="34"/>
      <c r="AG621" s="34"/>
      <c r="AH621" s="34"/>
      <c r="AI621" s="34"/>
      <c r="AJ621" s="34"/>
      <c r="AK621" s="34"/>
      <c r="AL621" s="34"/>
      <c r="AM621" s="34"/>
      <c r="AN621" s="34"/>
      <c r="AO621" s="34"/>
      <c r="AP621" s="34"/>
      <c r="AQ621" s="34"/>
      <c r="AR621" s="34"/>
      <c r="AS621" s="34"/>
      <c r="AT621" s="34"/>
      <c r="AU621" s="34"/>
      <c r="AV621" s="34"/>
      <c r="AW621" s="34"/>
      <c r="AX621" s="34"/>
      <c r="AY621" s="34"/>
      <c r="AZ621" s="34"/>
      <c r="BA621" s="34"/>
      <c r="BB621" s="34"/>
      <c r="BD621" s="34"/>
      <c r="BE621" s="34"/>
      <c r="BF621" s="34"/>
      <c r="BG621" s="34"/>
      <c r="BH621" s="34"/>
      <c r="BI621" s="34"/>
      <c r="BJ621" s="34"/>
      <c r="BK621" s="34"/>
      <c r="BL621" s="34"/>
      <c r="BM621" s="34"/>
      <c r="BN621" s="34"/>
      <c r="BO621" s="34"/>
      <c r="BP621" s="34"/>
      <c r="BQ621" s="34"/>
      <c r="BR621" s="34"/>
      <c r="BS621" s="34"/>
      <c r="BT621" s="34"/>
      <c r="BU621" s="34"/>
      <c r="BV621" s="34"/>
      <c r="BW621" s="34"/>
      <c r="BX621" s="34"/>
      <c r="BY621" s="34"/>
    </row>
    <row r="622" spans="1:77" x14ac:dyDescent="0.3">
      <c r="A622" s="39"/>
      <c r="B622" s="42"/>
      <c r="C622" s="42"/>
      <c r="D622" s="75"/>
      <c r="E622" s="75"/>
      <c r="F622" s="76"/>
      <c r="G622" s="47"/>
      <c r="H622" s="47"/>
      <c r="I622" s="75"/>
      <c r="J622" s="76"/>
      <c r="K622" s="76"/>
      <c r="L622" s="75"/>
      <c r="M622" s="49"/>
      <c r="N622" s="76"/>
      <c r="O622" s="49"/>
      <c r="P622" s="77"/>
      <c r="Q622" s="53"/>
      <c r="R622" s="54"/>
      <c r="S622" s="55"/>
      <c r="T622" s="56"/>
      <c r="U622" s="56"/>
      <c r="V622" s="42"/>
      <c r="W622" s="57"/>
      <c r="X622" s="58"/>
      <c r="Y622" s="75"/>
      <c r="Z622" s="59"/>
      <c r="AA622" s="61"/>
      <c r="AB622" s="61"/>
      <c r="AC622" s="61"/>
      <c r="AD622" s="62"/>
      <c r="AE622" s="62"/>
      <c r="AF622" s="34"/>
      <c r="AG622" s="34"/>
      <c r="AH622" s="34"/>
      <c r="AI622" s="34"/>
      <c r="AJ622" s="34"/>
      <c r="AK622" s="34"/>
      <c r="AL622" s="34"/>
      <c r="AM622" s="34"/>
      <c r="AN622" s="34"/>
      <c r="AO622" s="34"/>
      <c r="AP622" s="34"/>
      <c r="AQ622" s="34"/>
      <c r="AR622" s="34"/>
      <c r="AS622" s="34"/>
      <c r="AT622" s="34"/>
      <c r="AU622" s="34"/>
      <c r="AV622" s="34"/>
      <c r="AW622" s="34"/>
      <c r="AX622" s="34"/>
      <c r="AY622" s="34"/>
      <c r="AZ622" s="34"/>
      <c r="BA622" s="34"/>
      <c r="BB622" s="34"/>
      <c r="BD622" s="34"/>
      <c r="BE622" s="34"/>
      <c r="BF622" s="34"/>
      <c r="BG622" s="34"/>
      <c r="BH622" s="34"/>
      <c r="BI622" s="34"/>
      <c r="BJ622" s="34"/>
      <c r="BK622" s="34"/>
      <c r="BL622" s="34"/>
      <c r="BM622" s="34"/>
      <c r="BN622" s="34"/>
      <c r="BO622" s="34"/>
      <c r="BP622" s="34"/>
      <c r="BQ622" s="34"/>
      <c r="BR622" s="34"/>
      <c r="BS622" s="34"/>
      <c r="BT622" s="34"/>
      <c r="BU622" s="34"/>
      <c r="BV622" s="34"/>
      <c r="BW622" s="34"/>
      <c r="BX622" s="34"/>
      <c r="BY622" s="34"/>
    </row>
    <row r="623" spans="1:77" x14ac:dyDescent="0.3">
      <c r="A623" s="39"/>
      <c r="B623" s="42"/>
      <c r="C623" s="42"/>
      <c r="D623" s="75"/>
      <c r="E623" s="75"/>
      <c r="F623" s="76"/>
      <c r="G623" s="47"/>
      <c r="H623" s="47"/>
      <c r="I623" s="75"/>
      <c r="J623" s="76"/>
      <c r="K623" s="76"/>
      <c r="L623" s="75"/>
      <c r="M623" s="49"/>
      <c r="N623" s="76"/>
      <c r="O623" s="49"/>
      <c r="P623" s="77"/>
      <c r="Q623" s="53"/>
      <c r="R623" s="54"/>
      <c r="S623" s="55"/>
      <c r="T623" s="56"/>
      <c r="U623" s="56"/>
      <c r="V623" s="42"/>
      <c r="W623" s="57"/>
      <c r="X623" s="58"/>
      <c r="Y623" s="75"/>
      <c r="Z623" s="59"/>
      <c r="AA623" s="61"/>
      <c r="AB623" s="61"/>
      <c r="AC623" s="61"/>
      <c r="AD623" s="62"/>
      <c r="AE623" s="62"/>
      <c r="AF623" s="34"/>
      <c r="AG623" s="34"/>
      <c r="AH623" s="34"/>
      <c r="AI623" s="34"/>
      <c r="AJ623" s="34"/>
      <c r="AK623" s="34"/>
      <c r="AL623" s="34"/>
      <c r="AM623" s="34"/>
      <c r="AN623" s="34"/>
      <c r="AO623" s="34"/>
      <c r="AP623" s="34"/>
      <c r="AQ623" s="34"/>
      <c r="AR623" s="34"/>
      <c r="AS623" s="34"/>
      <c r="AT623" s="34"/>
      <c r="AU623" s="34"/>
      <c r="AV623" s="34"/>
      <c r="AW623" s="34"/>
      <c r="AX623" s="34"/>
      <c r="AY623" s="34"/>
      <c r="AZ623" s="34"/>
      <c r="BA623" s="34"/>
      <c r="BB623" s="34"/>
      <c r="BD623" s="34"/>
      <c r="BE623" s="34"/>
      <c r="BF623" s="34"/>
      <c r="BG623" s="34"/>
      <c r="BH623" s="34"/>
      <c r="BI623" s="34"/>
      <c r="BJ623" s="34"/>
      <c r="BK623" s="34"/>
      <c r="BL623" s="34"/>
      <c r="BM623" s="34"/>
      <c r="BN623" s="34"/>
      <c r="BO623" s="34"/>
      <c r="BP623" s="34"/>
      <c r="BQ623" s="34"/>
      <c r="BR623" s="34"/>
      <c r="BS623" s="34"/>
      <c r="BT623" s="34"/>
      <c r="BU623" s="34"/>
      <c r="BV623" s="34"/>
      <c r="BW623" s="34"/>
      <c r="BX623" s="34"/>
      <c r="BY623" s="34"/>
    </row>
    <row r="624" spans="1:77" x14ac:dyDescent="0.3">
      <c r="A624" s="39"/>
      <c r="B624" s="42"/>
      <c r="C624" s="42"/>
      <c r="D624" s="75"/>
      <c r="E624" s="75"/>
      <c r="F624" s="76"/>
      <c r="G624" s="47"/>
      <c r="H624" s="47"/>
      <c r="I624" s="75"/>
      <c r="J624" s="76"/>
      <c r="K624" s="76"/>
      <c r="L624" s="75"/>
      <c r="M624" s="49"/>
      <c r="N624" s="76"/>
      <c r="O624" s="49"/>
      <c r="P624" s="77"/>
      <c r="Q624" s="53"/>
      <c r="R624" s="54"/>
      <c r="S624" s="55"/>
      <c r="T624" s="56"/>
      <c r="U624" s="56"/>
      <c r="V624" s="42"/>
      <c r="W624" s="57"/>
      <c r="X624" s="58"/>
      <c r="Y624" s="75"/>
      <c r="Z624" s="59"/>
      <c r="AA624" s="61"/>
      <c r="AB624" s="61"/>
      <c r="AC624" s="61"/>
      <c r="AD624" s="62"/>
      <c r="AE624" s="62"/>
      <c r="AF624" s="34"/>
      <c r="AG624" s="34"/>
      <c r="AH624" s="34"/>
      <c r="AI624" s="34"/>
      <c r="AJ624" s="34"/>
      <c r="AK624" s="34"/>
      <c r="AL624" s="34"/>
      <c r="AM624" s="34"/>
      <c r="AN624" s="34"/>
      <c r="AO624" s="34"/>
      <c r="AP624" s="34"/>
      <c r="AQ624" s="34"/>
      <c r="AR624" s="34"/>
      <c r="AS624" s="34"/>
      <c r="AT624" s="34"/>
      <c r="AU624" s="34"/>
      <c r="AV624" s="34"/>
      <c r="AW624" s="34"/>
      <c r="AX624" s="34"/>
      <c r="AY624" s="34"/>
      <c r="AZ624" s="34"/>
      <c r="BA624" s="34"/>
      <c r="BB624" s="34"/>
      <c r="BD624" s="34"/>
      <c r="BE624" s="34"/>
      <c r="BF624" s="34"/>
      <c r="BG624" s="34"/>
      <c r="BH624" s="34"/>
      <c r="BI624" s="34"/>
      <c r="BJ624" s="34"/>
      <c r="BK624" s="34"/>
      <c r="BL624" s="34"/>
      <c r="BM624" s="34"/>
      <c r="BN624" s="34"/>
      <c r="BO624" s="34"/>
      <c r="BP624" s="34"/>
      <c r="BQ624" s="34"/>
      <c r="BR624" s="34"/>
      <c r="BS624" s="34"/>
      <c r="BT624" s="34"/>
      <c r="BU624" s="34"/>
      <c r="BV624" s="34"/>
      <c r="BW624" s="34"/>
      <c r="BX624" s="34"/>
      <c r="BY624" s="34"/>
    </row>
    <row r="625" spans="1:77" x14ac:dyDescent="0.3">
      <c r="A625" s="39"/>
      <c r="B625" s="42"/>
      <c r="C625" s="42"/>
      <c r="D625" s="75"/>
      <c r="E625" s="75"/>
      <c r="F625" s="76"/>
      <c r="G625" s="47"/>
      <c r="H625" s="47"/>
      <c r="I625" s="75"/>
      <c r="J625" s="76"/>
      <c r="K625" s="76"/>
      <c r="L625" s="75"/>
      <c r="M625" s="49"/>
      <c r="N625" s="76"/>
      <c r="O625" s="49"/>
      <c r="P625" s="77"/>
      <c r="Q625" s="53"/>
      <c r="R625" s="54"/>
      <c r="S625" s="55"/>
      <c r="T625" s="56"/>
      <c r="U625" s="56"/>
      <c r="V625" s="42"/>
      <c r="W625" s="57"/>
      <c r="X625" s="58"/>
      <c r="Y625" s="75"/>
      <c r="Z625" s="59"/>
      <c r="AA625" s="61"/>
      <c r="AB625" s="61"/>
      <c r="AC625" s="61"/>
      <c r="AD625" s="62"/>
      <c r="AE625" s="62"/>
      <c r="AF625" s="34"/>
      <c r="AG625" s="34"/>
      <c r="AH625" s="34"/>
      <c r="AI625" s="34"/>
      <c r="AJ625" s="34"/>
      <c r="AK625" s="34"/>
      <c r="AL625" s="34"/>
      <c r="AM625" s="34"/>
      <c r="AN625" s="34"/>
      <c r="AO625" s="34"/>
      <c r="AP625" s="34"/>
      <c r="AQ625" s="34"/>
      <c r="AR625" s="34"/>
      <c r="AS625" s="34"/>
      <c r="AT625" s="34"/>
      <c r="AU625" s="34"/>
      <c r="AV625" s="34"/>
      <c r="AW625" s="34"/>
      <c r="AX625" s="34"/>
      <c r="AY625" s="34"/>
      <c r="AZ625" s="34"/>
      <c r="BA625" s="34"/>
      <c r="BB625" s="34"/>
      <c r="BD625" s="34"/>
      <c r="BE625" s="34"/>
      <c r="BF625" s="34"/>
      <c r="BG625" s="34"/>
      <c r="BH625" s="34"/>
      <c r="BI625" s="34"/>
      <c r="BJ625" s="34"/>
      <c r="BK625" s="34"/>
      <c r="BL625" s="34"/>
      <c r="BM625" s="34"/>
      <c r="BN625" s="34"/>
      <c r="BO625" s="34"/>
      <c r="BP625" s="34"/>
      <c r="BQ625" s="34"/>
      <c r="BR625" s="34"/>
      <c r="BS625" s="34"/>
      <c r="BT625" s="34"/>
      <c r="BU625" s="34"/>
      <c r="BV625" s="34"/>
      <c r="BW625" s="34"/>
      <c r="BX625" s="34"/>
      <c r="BY625" s="34"/>
    </row>
    <row r="626" spans="1:77" x14ac:dyDescent="0.3">
      <c r="A626" s="39"/>
      <c r="B626" s="42"/>
      <c r="C626" s="42"/>
      <c r="D626" s="75"/>
      <c r="E626" s="75"/>
      <c r="F626" s="76"/>
      <c r="G626" s="47"/>
      <c r="H626" s="47"/>
      <c r="I626" s="75"/>
      <c r="J626" s="76"/>
      <c r="K626" s="76"/>
      <c r="L626" s="75"/>
      <c r="M626" s="49"/>
      <c r="N626" s="76"/>
      <c r="O626" s="49"/>
      <c r="P626" s="77"/>
      <c r="Q626" s="53"/>
      <c r="R626" s="54"/>
      <c r="S626" s="55"/>
      <c r="T626" s="56"/>
      <c r="U626" s="56"/>
      <c r="V626" s="42"/>
      <c r="W626" s="57"/>
      <c r="X626" s="58"/>
      <c r="Y626" s="75"/>
      <c r="Z626" s="59"/>
      <c r="AA626" s="61"/>
      <c r="AB626" s="61"/>
      <c r="AC626" s="61"/>
      <c r="AD626" s="62"/>
      <c r="AE626" s="62"/>
      <c r="AF626" s="34"/>
      <c r="AG626" s="34"/>
      <c r="AH626" s="34"/>
      <c r="AI626" s="34"/>
      <c r="AJ626" s="34"/>
      <c r="AK626" s="34"/>
      <c r="AL626" s="34"/>
      <c r="AM626" s="34"/>
      <c r="AN626" s="34"/>
      <c r="AO626" s="34"/>
      <c r="AP626" s="34"/>
      <c r="AQ626" s="34"/>
      <c r="AR626" s="34"/>
      <c r="AS626" s="34"/>
      <c r="AT626" s="34"/>
      <c r="AU626" s="34"/>
      <c r="AV626" s="34"/>
      <c r="AW626" s="34"/>
      <c r="AX626" s="34"/>
      <c r="AY626" s="34"/>
      <c r="AZ626" s="34"/>
      <c r="BA626" s="34"/>
      <c r="BB626" s="34"/>
      <c r="BD626" s="34"/>
      <c r="BE626" s="34"/>
      <c r="BF626" s="34"/>
      <c r="BG626" s="34"/>
      <c r="BH626" s="34"/>
      <c r="BI626" s="34"/>
      <c r="BJ626" s="34"/>
      <c r="BK626" s="34"/>
      <c r="BL626" s="34"/>
      <c r="BM626" s="34"/>
      <c r="BN626" s="34"/>
      <c r="BO626" s="34"/>
      <c r="BP626" s="34"/>
      <c r="BQ626" s="34"/>
      <c r="BR626" s="34"/>
      <c r="BS626" s="34"/>
      <c r="BT626" s="34"/>
      <c r="BU626" s="34"/>
      <c r="BV626" s="34"/>
      <c r="BW626" s="34"/>
      <c r="BX626" s="34"/>
      <c r="BY626" s="34"/>
    </row>
    <row r="627" spans="1:77" x14ac:dyDescent="0.3">
      <c r="A627" s="39"/>
      <c r="B627" s="42"/>
      <c r="C627" s="42"/>
      <c r="D627" s="75"/>
      <c r="E627" s="75"/>
      <c r="F627" s="76"/>
      <c r="G627" s="47"/>
      <c r="H627" s="47"/>
      <c r="I627" s="75"/>
      <c r="J627" s="76"/>
      <c r="K627" s="76"/>
      <c r="L627" s="75"/>
      <c r="M627" s="49"/>
      <c r="N627" s="76"/>
      <c r="O627" s="49"/>
      <c r="P627" s="77"/>
      <c r="Q627" s="53"/>
      <c r="R627" s="54"/>
      <c r="S627" s="55"/>
      <c r="T627" s="56"/>
      <c r="U627" s="56"/>
      <c r="V627" s="42"/>
      <c r="W627" s="57"/>
      <c r="X627" s="58"/>
      <c r="Y627" s="75"/>
      <c r="Z627" s="59"/>
      <c r="AA627" s="61"/>
      <c r="AB627" s="61"/>
      <c r="AC627" s="61"/>
      <c r="AD627" s="62"/>
      <c r="AE627" s="62"/>
      <c r="AF627" s="34"/>
      <c r="AG627" s="34"/>
      <c r="AH627" s="34"/>
      <c r="AI627" s="34"/>
      <c r="AJ627" s="34"/>
      <c r="AK627" s="34"/>
      <c r="AL627" s="34"/>
      <c r="AM627" s="34"/>
      <c r="AN627" s="34"/>
      <c r="AO627" s="34"/>
      <c r="AP627" s="34"/>
      <c r="AQ627" s="34"/>
      <c r="AR627" s="34"/>
      <c r="AS627" s="34"/>
      <c r="AT627" s="34"/>
      <c r="AU627" s="34"/>
      <c r="AV627" s="34"/>
      <c r="AW627" s="34"/>
      <c r="AX627" s="34"/>
      <c r="AY627" s="34"/>
      <c r="AZ627" s="34"/>
      <c r="BA627" s="34"/>
      <c r="BB627" s="34"/>
      <c r="BD627" s="34"/>
      <c r="BE627" s="34"/>
      <c r="BF627" s="34"/>
      <c r="BG627" s="34"/>
      <c r="BH627" s="34"/>
      <c r="BI627" s="34"/>
      <c r="BJ627" s="34"/>
      <c r="BK627" s="34"/>
      <c r="BL627" s="34"/>
      <c r="BM627" s="34"/>
      <c r="BN627" s="34"/>
      <c r="BO627" s="34"/>
      <c r="BP627" s="34"/>
      <c r="BQ627" s="34"/>
      <c r="BR627" s="34"/>
      <c r="BS627" s="34"/>
      <c r="BT627" s="34"/>
      <c r="BU627" s="34"/>
      <c r="BV627" s="34"/>
      <c r="BW627" s="34"/>
      <c r="BX627" s="34"/>
      <c r="BY627" s="34"/>
    </row>
    <row r="628" spans="1:77" x14ac:dyDescent="0.3">
      <c r="A628" s="39"/>
      <c r="B628" s="42"/>
      <c r="C628" s="42"/>
      <c r="D628" s="75"/>
      <c r="E628" s="75"/>
      <c r="F628" s="76"/>
      <c r="G628" s="47"/>
      <c r="H628" s="47"/>
      <c r="I628" s="75"/>
      <c r="J628" s="76"/>
      <c r="K628" s="76"/>
      <c r="L628" s="75"/>
      <c r="M628" s="49"/>
      <c r="N628" s="76"/>
      <c r="O628" s="49"/>
      <c r="P628" s="77"/>
      <c r="Q628" s="53"/>
      <c r="R628" s="54"/>
      <c r="S628" s="55"/>
      <c r="T628" s="56"/>
      <c r="U628" s="56"/>
      <c r="V628" s="42"/>
      <c r="W628" s="57"/>
      <c r="X628" s="58"/>
      <c r="Y628" s="75"/>
      <c r="Z628" s="59"/>
      <c r="AA628" s="61"/>
      <c r="AB628" s="61"/>
      <c r="AC628" s="61"/>
      <c r="AD628" s="62"/>
      <c r="AE628" s="62"/>
      <c r="AF628" s="34"/>
      <c r="AG628" s="34"/>
      <c r="AH628" s="34"/>
      <c r="AI628" s="34"/>
      <c r="AJ628" s="34"/>
      <c r="AK628" s="34"/>
      <c r="AL628" s="34"/>
      <c r="AM628" s="34"/>
      <c r="AN628" s="34"/>
      <c r="AO628" s="34"/>
      <c r="AP628" s="34"/>
      <c r="AQ628" s="34"/>
      <c r="AR628" s="34"/>
      <c r="AS628" s="34"/>
      <c r="AT628" s="34"/>
      <c r="AU628" s="34"/>
      <c r="AV628" s="34"/>
      <c r="AW628" s="34"/>
      <c r="AX628" s="34"/>
      <c r="AY628" s="34"/>
      <c r="AZ628" s="34"/>
      <c r="BA628" s="34"/>
      <c r="BB628" s="34"/>
      <c r="BD628" s="34"/>
      <c r="BE628" s="34"/>
      <c r="BF628" s="34"/>
      <c r="BG628" s="34"/>
      <c r="BH628" s="34"/>
      <c r="BI628" s="34"/>
      <c r="BJ628" s="34"/>
      <c r="BK628" s="34"/>
      <c r="BL628" s="34"/>
      <c r="BM628" s="34"/>
      <c r="BN628" s="34"/>
      <c r="BO628" s="34"/>
      <c r="BP628" s="34"/>
      <c r="BQ628" s="34"/>
      <c r="BR628" s="34"/>
      <c r="BS628" s="34"/>
      <c r="BT628" s="34"/>
      <c r="BU628" s="34"/>
      <c r="BV628" s="34"/>
      <c r="BW628" s="34"/>
      <c r="BX628" s="34"/>
      <c r="BY628" s="34"/>
    </row>
    <row r="629" spans="1:77" x14ac:dyDescent="0.3">
      <c r="A629" s="39"/>
      <c r="B629" s="42"/>
      <c r="C629" s="42"/>
      <c r="D629" s="75"/>
      <c r="E629" s="75"/>
      <c r="F629" s="76"/>
      <c r="G629" s="47"/>
      <c r="H629" s="47"/>
      <c r="I629" s="75"/>
      <c r="J629" s="76"/>
      <c r="K629" s="76"/>
      <c r="L629" s="75"/>
      <c r="M629" s="49"/>
      <c r="N629" s="76"/>
      <c r="O629" s="49"/>
      <c r="P629" s="77"/>
      <c r="Q629" s="53"/>
      <c r="R629" s="54"/>
      <c r="S629" s="55"/>
      <c r="T629" s="56"/>
      <c r="U629" s="56"/>
      <c r="V629" s="42"/>
      <c r="W629" s="57"/>
      <c r="X629" s="58"/>
      <c r="Y629" s="75"/>
      <c r="Z629" s="59"/>
      <c r="AA629" s="61"/>
      <c r="AB629" s="61"/>
      <c r="AC629" s="61"/>
      <c r="AD629" s="62"/>
      <c r="AE629" s="62"/>
      <c r="AF629" s="34"/>
      <c r="AG629" s="34"/>
      <c r="AH629" s="34"/>
      <c r="AI629" s="34"/>
      <c r="AJ629" s="34"/>
      <c r="AK629" s="34"/>
      <c r="AL629" s="34"/>
      <c r="AM629" s="34"/>
      <c r="AN629" s="34"/>
      <c r="AO629" s="34"/>
      <c r="AP629" s="34"/>
      <c r="AQ629" s="34"/>
      <c r="AR629" s="34"/>
      <c r="AS629" s="34"/>
      <c r="AT629" s="34"/>
      <c r="AU629" s="34"/>
      <c r="AV629" s="34"/>
      <c r="AW629" s="34"/>
      <c r="AX629" s="34"/>
      <c r="AY629" s="34"/>
      <c r="AZ629" s="34"/>
      <c r="BA629" s="34"/>
      <c r="BB629" s="34"/>
      <c r="BD629" s="34"/>
      <c r="BE629" s="34"/>
      <c r="BF629" s="34"/>
      <c r="BG629" s="34"/>
      <c r="BH629" s="34"/>
      <c r="BI629" s="34"/>
      <c r="BJ629" s="34"/>
      <c r="BK629" s="34"/>
      <c r="BL629" s="34"/>
      <c r="BM629" s="34"/>
      <c r="BN629" s="34"/>
      <c r="BO629" s="34"/>
      <c r="BP629" s="34"/>
      <c r="BQ629" s="34"/>
      <c r="BR629" s="34"/>
      <c r="BS629" s="34"/>
      <c r="BT629" s="34"/>
      <c r="BU629" s="34"/>
      <c r="BV629" s="34"/>
      <c r="BW629" s="34"/>
      <c r="BX629" s="34"/>
      <c r="BY629" s="34"/>
    </row>
    <row r="630" spans="1:77" x14ac:dyDescent="0.3">
      <c r="A630" s="39"/>
      <c r="B630" s="42"/>
      <c r="C630" s="42"/>
      <c r="D630" s="75"/>
      <c r="E630" s="75"/>
      <c r="F630" s="76"/>
      <c r="G630" s="47"/>
      <c r="H630" s="47"/>
      <c r="I630" s="75"/>
      <c r="J630" s="76"/>
      <c r="K630" s="76"/>
      <c r="L630" s="75"/>
      <c r="M630" s="49"/>
      <c r="N630" s="76"/>
      <c r="O630" s="49"/>
      <c r="P630" s="77"/>
      <c r="Q630" s="53"/>
      <c r="R630" s="54"/>
      <c r="S630" s="55"/>
      <c r="T630" s="56"/>
      <c r="U630" s="56"/>
      <c r="V630" s="42"/>
      <c r="W630" s="57"/>
      <c r="X630" s="58"/>
      <c r="Y630" s="75"/>
      <c r="Z630" s="59"/>
      <c r="AA630" s="61"/>
      <c r="AB630" s="61"/>
      <c r="AC630" s="61"/>
      <c r="AD630" s="62"/>
      <c r="AE630" s="62"/>
      <c r="AF630" s="34"/>
      <c r="AG630" s="34"/>
      <c r="AH630" s="34"/>
      <c r="AI630" s="34"/>
      <c r="AJ630" s="34"/>
      <c r="AK630" s="34"/>
      <c r="AL630" s="34"/>
      <c r="AM630" s="34"/>
      <c r="AN630" s="34"/>
      <c r="AO630" s="34"/>
      <c r="AP630" s="34"/>
      <c r="AQ630" s="34"/>
      <c r="AR630" s="34"/>
      <c r="AS630" s="34"/>
      <c r="AT630" s="34"/>
      <c r="AU630" s="34"/>
      <c r="AV630" s="34"/>
      <c r="AW630" s="34"/>
      <c r="AX630" s="34"/>
      <c r="AY630" s="34"/>
      <c r="AZ630" s="34"/>
      <c r="BA630" s="34"/>
      <c r="BB630" s="34"/>
      <c r="BD630" s="34"/>
      <c r="BE630" s="34"/>
      <c r="BF630" s="34"/>
      <c r="BG630" s="34"/>
      <c r="BH630" s="34"/>
      <c r="BI630" s="34"/>
      <c r="BJ630" s="34"/>
      <c r="BK630" s="34"/>
      <c r="BL630" s="34"/>
      <c r="BM630" s="34"/>
      <c r="BN630" s="34"/>
      <c r="BO630" s="34"/>
      <c r="BP630" s="34"/>
      <c r="BQ630" s="34"/>
      <c r="BR630" s="34"/>
      <c r="BS630" s="34"/>
      <c r="BT630" s="34"/>
      <c r="BU630" s="34"/>
      <c r="BV630" s="34"/>
      <c r="BW630" s="34"/>
      <c r="BX630" s="34"/>
      <c r="BY630" s="34"/>
    </row>
    <row r="631" spans="1:77" x14ac:dyDescent="0.3">
      <c r="A631" s="39"/>
      <c r="B631" s="42"/>
      <c r="C631" s="42"/>
      <c r="D631" s="75"/>
      <c r="E631" s="75"/>
      <c r="F631" s="76"/>
      <c r="G631" s="47"/>
      <c r="H631" s="47"/>
      <c r="I631" s="75"/>
      <c r="J631" s="76"/>
      <c r="K631" s="76"/>
      <c r="L631" s="75"/>
      <c r="M631" s="49"/>
      <c r="N631" s="76"/>
      <c r="O631" s="49"/>
      <c r="P631" s="77"/>
      <c r="Q631" s="53"/>
      <c r="R631" s="54"/>
      <c r="S631" s="55"/>
      <c r="T631" s="56"/>
      <c r="U631" s="56"/>
      <c r="V631" s="42"/>
      <c r="W631" s="57"/>
      <c r="X631" s="58"/>
      <c r="Y631" s="75"/>
      <c r="Z631" s="59"/>
      <c r="AA631" s="61"/>
      <c r="AB631" s="61"/>
      <c r="AC631" s="61"/>
      <c r="AD631" s="62"/>
      <c r="AE631" s="62"/>
      <c r="AF631" s="34"/>
      <c r="AG631" s="34"/>
      <c r="AH631" s="34"/>
      <c r="AI631" s="34"/>
      <c r="AJ631" s="34"/>
      <c r="AK631" s="34"/>
      <c r="AL631" s="34"/>
      <c r="AM631" s="34"/>
      <c r="AN631" s="34"/>
      <c r="AO631" s="34"/>
      <c r="AP631" s="34"/>
      <c r="AQ631" s="34"/>
      <c r="AR631" s="34"/>
      <c r="AS631" s="34"/>
      <c r="AT631" s="34"/>
      <c r="AU631" s="34"/>
      <c r="AV631" s="34"/>
      <c r="AW631" s="34"/>
      <c r="AX631" s="34"/>
      <c r="AY631" s="34"/>
      <c r="AZ631" s="34"/>
      <c r="BA631" s="34"/>
      <c r="BB631" s="34"/>
      <c r="BD631" s="34"/>
      <c r="BE631" s="34"/>
      <c r="BF631" s="34"/>
      <c r="BG631" s="34"/>
      <c r="BH631" s="34"/>
      <c r="BI631" s="34"/>
      <c r="BJ631" s="34"/>
      <c r="BK631" s="34"/>
      <c r="BL631" s="34"/>
      <c r="BM631" s="34"/>
      <c r="BN631" s="34"/>
      <c r="BO631" s="34"/>
      <c r="BP631" s="34"/>
      <c r="BQ631" s="34"/>
      <c r="BR631" s="34"/>
      <c r="BS631" s="34"/>
      <c r="BT631" s="34"/>
      <c r="BU631" s="34"/>
      <c r="BV631" s="34"/>
      <c r="BW631" s="34"/>
      <c r="BX631" s="34"/>
      <c r="BY631" s="34"/>
    </row>
    <row r="632" spans="1:77" x14ac:dyDescent="0.3">
      <c r="A632" s="39"/>
      <c r="B632" s="42"/>
      <c r="C632" s="42"/>
      <c r="D632" s="75"/>
      <c r="E632" s="75"/>
      <c r="F632" s="76"/>
      <c r="G632" s="47"/>
      <c r="H632" s="47"/>
      <c r="I632" s="75"/>
      <c r="J632" s="76"/>
      <c r="K632" s="76"/>
      <c r="L632" s="75"/>
      <c r="M632" s="49"/>
      <c r="N632" s="76"/>
      <c r="O632" s="49"/>
      <c r="P632" s="77"/>
      <c r="Q632" s="53"/>
      <c r="R632" s="54"/>
      <c r="S632" s="55"/>
      <c r="T632" s="56"/>
      <c r="U632" s="56"/>
      <c r="V632" s="42"/>
      <c r="W632" s="57"/>
      <c r="X632" s="58"/>
      <c r="Y632" s="75"/>
      <c r="Z632" s="59"/>
      <c r="AA632" s="61"/>
      <c r="AB632" s="61"/>
      <c r="AC632" s="61"/>
      <c r="AD632" s="62"/>
      <c r="AE632" s="62"/>
      <c r="AF632" s="34"/>
      <c r="AG632" s="34"/>
      <c r="AH632" s="34"/>
      <c r="AI632" s="34"/>
      <c r="AJ632" s="34"/>
      <c r="AK632" s="34"/>
      <c r="AL632" s="34"/>
      <c r="AM632" s="34"/>
      <c r="AN632" s="34"/>
      <c r="AO632" s="34"/>
      <c r="AP632" s="34"/>
      <c r="AQ632" s="34"/>
      <c r="AR632" s="34"/>
      <c r="AS632" s="34"/>
      <c r="AT632" s="34"/>
      <c r="AU632" s="34"/>
      <c r="AV632" s="34"/>
      <c r="AW632" s="34"/>
      <c r="AX632" s="34"/>
      <c r="AY632" s="34"/>
      <c r="AZ632" s="34"/>
      <c r="BA632" s="34"/>
      <c r="BB632" s="34"/>
      <c r="BD632" s="34"/>
      <c r="BE632" s="34"/>
      <c r="BF632" s="34"/>
      <c r="BG632" s="34"/>
      <c r="BH632" s="34"/>
      <c r="BI632" s="34"/>
      <c r="BJ632" s="34"/>
      <c r="BK632" s="34"/>
      <c r="BL632" s="34"/>
      <c r="BM632" s="34"/>
      <c r="BN632" s="34"/>
      <c r="BO632" s="34"/>
      <c r="BP632" s="34"/>
      <c r="BQ632" s="34"/>
      <c r="BR632" s="34"/>
      <c r="BS632" s="34"/>
      <c r="BT632" s="34"/>
      <c r="BU632" s="34"/>
      <c r="BV632" s="34"/>
      <c r="BW632" s="34"/>
      <c r="BX632" s="34"/>
      <c r="BY632" s="34"/>
    </row>
    <row r="633" spans="1:77" x14ac:dyDescent="0.3">
      <c r="A633" s="39"/>
      <c r="B633" s="42"/>
      <c r="C633" s="42"/>
      <c r="D633" s="75"/>
      <c r="E633" s="75"/>
      <c r="F633" s="76"/>
      <c r="G633" s="47"/>
      <c r="H633" s="47"/>
      <c r="I633" s="75"/>
      <c r="J633" s="76"/>
      <c r="K633" s="76"/>
      <c r="L633" s="75"/>
      <c r="M633" s="49"/>
      <c r="N633" s="76"/>
      <c r="O633" s="49"/>
      <c r="P633" s="77"/>
      <c r="Q633" s="53"/>
      <c r="R633" s="54"/>
      <c r="S633" s="55"/>
      <c r="T633" s="56"/>
      <c r="U633" s="56"/>
      <c r="V633" s="42"/>
      <c r="W633" s="57"/>
      <c r="X633" s="58"/>
      <c r="Y633" s="75"/>
      <c r="Z633" s="59"/>
      <c r="AA633" s="61"/>
      <c r="AB633" s="61"/>
      <c r="AC633" s="61"/>
      <c r="AD633" s="62"/>
      <c r="AE633" s="62"/>
      <c r="AF633" s="34"/>
      <c r="AG633" s="34"/>
      <c r="AH633" s="34"/>
      <c r="AI633" s="34"/>
      <c r="AJ633" s="34"/>
      <c r="AK633" s="34"/>
      <c r="AL633" s="34"/>
      <c r="AM633" s="34"/>
      <c r="AN633" s="34"/>
      <c r="AO633" s="34"/>
      <c r="AP633" s="34"/>
      <c r="AQ633" s="34"/>
      <c r="AR633" s="34"/>
      <c r="AS633" s="34"/>
      <c r="AT633" s="34"/>
      <c r="AU633" s="34"/>
      <c r="AV633" s="34"/>
      <c r="AW633" s="34"/>
      <c r="AX633" s="34"/>
      <c r="AY633" s="34"/>
      <c r="AZ633" s="34"/>
      <c r="BA633" s="34"/>
      <c r="BB633" s="34"/>
      <c r="BD633" s="34"/>
      <c r="BE633" s="34"/>
      <c r="BF633" s="34"/>
      <c r="BG633" s="34"/>
      <c r="BH633" s="34"/>
      <c r="BI633" s="34"/>
      <c r="BJ633" s="34"/>
      <c r="BK633" s="34"/>
      <c r="BL633" s="34"/>
      <c r="BM633" s="34"/>
      <c r="BN633" s="34"/>
      <c r="BO633" s="34"/>
      <c r="BP633" s="34"/>
      <c r="BQ633" s="34"/>
      <c r="BR633" s="34"/>
      <c r="BS633" s="34"/>
      <c r="BT633" s="34"/>
      <c r="BU633" s="34"/>
      <c r="BV633" s="34"/>
      <c r="BW633" s="34"/>
      <c r="BX633" s="34"/>
      <c r="BY633" s="34"/>
    </row>
    <row r="634" spans="1:77" x14ac:dyDescent="0.3">
      <c r="A634" s="39"/>
      <c r="B634" s="42"/>
      <c r="C634" s="42"/>
      <c r="D634" s="75"/>
      <c r="E634" s="75"/>
      <c r="F634" s="76"/>
      <c r="G634" s="47"/>
      <c r="H634" s="47"/>
      <c r="I634" s="75"/>
      <c r="J634" s="76"/>
      <c r="K634" s="76"/>
      <c r="L634" s="75"/>
      <c r="M634" s="49"/>
      <c r="N634" s="76"/>
      <c r="O634" s="49"/>
      <c r="P634" s="77"/>
      <c r="Q634" s="53"/>
      <c r="R634" s="54"/>
      <c r="S634" s="55"/>
      <c r="T634" s="56"/>
      <c r="U634" s="56"/>
      <c r="V634" s="42"/>
      <c r="W634" s="57"/>
      <c r="X634" s="58"/>
      <c r="Y634" s="75"/>
      <c r="Z634" s="59"/>
      <c r="AA634" s="61"/>
      <c r="AB634" s="61"/>
      <c r="AC634" s="61"/>
      <c r="AD634" s="62"/>
      <c r="AE634" s="62"/>
      <c r="AF634" s="34"/>
      <c r="AG634" s="34"/>
      <c r="AH634" s="34"/>
      <c r="AI634" s="34"/>
      <c r="AJ634" s="34"/>
      <c r="AK634" s="34"/>
      <c r="AL634" s="34"/>
      <c r="AM634" s="34"/>
      <c r="AN634" s="34"/>
      <c r="AO634" s="34"/>
      <c r="AP634" s="34"/>
      <c r="AQ634" s="34"/>
      <c r="AR634" s="34"/>
      <c r="AS634" s="34"/>
      <c r="AT634" s="34"/>
      <c r="AU634" s="34"/>
      <c r="AV634" s="34"/>
      <c r="AW634" s="34"/>
      <c r="AX634" s="34"/>
      <c r="AY634" s="34"/>
      <c r="AZ634" s="34"/>
      <c r="BA634" s="34"/>
      <c r="BB634" s="34"/>
      <c r="BD634" s="34"/>
      <c r="BE634" s="34"/>
      <c r="BF634" s="34"/>
      <c r="BG634" s="34"/>
      <c r="BH634" s="34"/>
      <c r="BI634" s="34"/>
      <c r="BJ634" s="34"/>
      <c r="BK634" s="34"/>
      <c r="BL634" s="34"/>
      <c r="BM634" s="34"/>
      <c r="BN634" s="34"/>
      <c r="BO634" s="34"/>
      <c r="BP634" s="34"/>
      <c r="BQ634" s="34"/>
      <c r="BR634" s="34"/>
      <c r="BS634" s="34"/>
      <c r="BT634" s="34"/>
      <c r="BU634" s="34"/>
      <c r="BV634" s="34"/>
      <c r="BW634" s="34"/>
      <c r="BX634" s="34"/>
      <c r="BY634" s="34"/>
    </row>
    <row r="635" spans="1:77" x14ac:dyDescent="0.3">
      <c r="A635" s="39"/>
      <c r="B635" s="42"/>
      <c r="C635" s="42"/>
      <c r="D635" s="75"/>
      <c r="E635" s="75"/>
      <c r="F635" s="76"/>
      <c r="G635" s="47"/>
      <c r="H635" s="47"/>
      <c r="I635" s="75"/>
      <c r="J635" s="76"/>
      <c r="K635" s="76"/>
      <c r="L635" s="75"/>
      <c r="M635" s="49"/>
      <c r="N635" s="76"/>
      <c r="O635" s="49"/>
      <c r="P635" s="77"/>
      <c r="Q635" s="53"/>
      <c r="R635" s="54"/>
      <c r="S635" s="55"/>
      <c r="T635" s="56"/>
      <c r="U635" s="56"/>
      <c r="V635" s="42"/>
      <c r="W635" s="57"/>
      <c r="X635" s="58"/>
      <c r="Y635" s="75"/>
      <c r="Z635" s="59"/>
      <c r="AA635" s="61"/>
      <c r="AB635" s="61"/>
      <c r="AC635" s="61"/>
      <c r="AD635" s="62"/>
      <c r="AE635" s="62"/>
      <c r="AF635" s="34"/>
      <c r="AG635" s="34"/>
      <c r="AH635" s="34"/>
      <c r="AI635" s="34"/>
      <c r="AJ635" s="34"/>
      <c r="AK635" s="34"/>
      <c r="AL635" s="34"/>
      <c r="AM635" s="34"/>
      <c r="AN635" s="34"/>
      <c r="AO635" s="34"/>
      <c r="AP635" s="34"/>
      <c r="AQ635" s="34"/>
      <c r="AR635" s="34"/>
      <c r="AS635" s="34"/>
      <c r="AT635" s="34"/>
      <c r="AU635" s="34"/>
      <c r="AV635" s="34"/>
      <c r="AW635" s="34"/>
      <c r="AX635" s="34"/>
      <c r="AY635" s="34"/>
      <c r="AZ635" s="34"/>
      <c r="BA635" s="34"/>
      <c r="BB635" s="34"/>
      <c r="BD635" s="34"/>
      <c r="BE635" s="34"/>
      <c r="BF635" s="34"/>
      <c r="BG635" s="34"/>
      <c r="BH635" s="34"/>
      <c r="BI635" s="34"/>
      <c r="BJ635" s="34"/>
      <c r="BK635" s="34"/>
      <c r="BL635" s="34"/>
      <c r="BM635" s="34"/>
      <c r="BN635" s="34"/>
      <c r="BO635" s="34"/>
      <c r="BP635" s="34"/>
      <c r="BQ635" s="34"/>
      <c r="BR635" s="34"/>
      <c r="BS635" s="34"/>
      <c r="BT635" s="34"/>
      <c r="BU635" s="34"/>
      <c r="BV635" s="34"/>
      <c r="BW635" s="34"/>
      <c r="BX635" s="34"/>
      <c r="BY635" s="34"/>
    </row>
    <row r="636" spans="1:77" x14ac:dyDescent="0.3">
      <c r="A636" s="39"/>
      <c r="B636" s="42"/>
      <c r="C636" s="42"/>
      <c r="D636" s="75"/>
      <c r="E636" s="75"/>
      <c r="F636" s="76"/>
      <c r="G636" s="47"/>
      <c r="H636" s="47"/>
      <c r="I636" s="75"/>
      <c r="J636" s="76"/>
      <c r="K636" s="76"/>
      <c r="L636" s="75"/>
      <c r="M636" s="49"/>
      <c r="N636" s="76"/>
      <c r="O636" s="49"/>
      <c r="P636" s="77"/>
      <c r="Q636" s="53"/>
      <c r="R636" s="54"/>
      <c r="S636" s="55"/>
      <c r="T636" s="56"/>
      <c r="U636" s="56"/>
      <c r="V636" s="42"/>
      <c r="W636" s="57"/>
      <c r="X636" s="58"/>
      <c r="Y636" s="75"/>
      <c r="Z636" s="59"/>
      <c r="AA636" s="61"/>
      <c r="AB636" s="61"/>
      <c r="AC636" s="61"/>
      <c r="AD636" s="62"/>
      <c r="AE636" s="62"/>
      <c r="AF636" s="34"/>
      <c r="AG636" s="34"/>
      <c r="AH636" s="34"/>
      <c r="AI636" s="34"/>
      <c r="AJ636" s="34"/>
      <c r="AK636" s="34"/>
      <c r="AL636" s="34"/>
      <c r="AM636" s="34"/>
      <c r="AN636" s="34"/>
      <c r="AO636" s="34"/>
      <c r="AP636" s="34"/>
      <c r="AQ636" s="34"/>
      <c r="AR636" s="34"/>
      <c r="AS636" s="34"/>
      <c r="AT636" s="34"/>
      <c r="AU636" s="34"/>
      <c r="AV636" s="34"/>
      <c r="AW636" s="34"/>
      <c r="AX636" s="34"/>
      <c r="AY636" s="34"/>
      <c r="AZ636" s="34"/>
      <c r="BA636" s="34"/>
      <c r="BB636" s="34"/>
      <c r="BD636" s="34"/>
      <c r="BE636" s="34"/>
      <c r="BF636" s="34"/>
      <c r="BG636" s="34"/>
      <c r="BH636" s="34"/>
      <c r="BI636" s="34"/>
      <c r="BJ636" s="34"/>
      <c r="BK636" s="34"/>
      <c r="BL636" s="34"/>
      <c r="BM636" s="34"/>
      <c r="BN636" s="34"/>
      <c r="BO636" s="34"/>
      <c r="BP636" s="34"/>
      <c r="BQ636" s="34"/>
      <c r="BR636" s="34"/>
      <c r="BS636" s="34"/>
      <c r="BT636" s="34"/>
      <c r="BU636" s="34"/>
      <c r="BV636" s="34"/>
      <c r="BW636" s="34"/>
      <c r="BX636" s="34"/>
      <c r="BY636" s="34"/>
    </row>
    <row r="637" spans="1:77" x14ac:dyDescent="0.3">
      <c r="A637" s="39"/>
      <c r="B637" s="42"/>
      <c r="C637" s="42"/>
      <c r="D637" s="75"/>
      <c r="E637" s="75"/>
      <c r="F637" s="76"/>
      <c r="G637" s="47"/>
      <c r="H637" s="47"/>
      <c r="I637" s="75"/>
      <c r="J637" s="76"/>
      <c r="K637" s="76"/>
      <c r="L637" s="75"/>
      <c r="M637" s="49"/>
      <c r="N637" s="76"/>
      <c r="O637" s="49"/>
      <c r="P637" s="77"/>
      <c r="Q637" s="53"/>
      <c r="R637" s="54"/>
      <c r="S637" s="55"/>
      <c r="T637" s="56"/>
      <c r="U637" s="56"/>
      <c r="V637" s="42"/>
      <c r="W637" s="57"/>
      <c r="X637" s="58"/>
      <c r="Y637" s="75"/>
      <c r="Z637" s="59"/>
      <c r="AA637" s="61"/>
      <c r="AB637" s="61"/>
      <c r="AC637" s="61"/>
      <c r="AD637" s="62"/>
      <c r="AE637" s="62"/>
      <c r="AF637" s="34"/>
      <c r="AG637" s="34"/>
      <c r="AH637" s="34"/>
      <c r="AI637" s="34"/>
      <c r="AJ637" s="34"/>
      <c r="AK637" s="34"/>
      <c r="AL637" s="34"/>
      <c r="AM637" s="34"/>
      <c r="AN637" s="34"/>
      <c r="AO637" s="34"/>
      <c r="AP637" s="34"/>
      <c r="AQ637" s="34"/>
      <c r="AR637" s="34"/>
      <c r="AS637" s="34"/>
      <c r="AT637" s="34"/>
      <c r="AU637" s="34"/>
      <c r="AV637" s="34"/>
      <c r="AW637" s="34"/>
      <c r="AX637" s="34"/>
      <c r="AY637" s="34"/>
      <c r="AZ637" s="34"/>
      <c r="BA637" s="34"/>
      <c r="BB637" s="34"/>
      <c r="BD637" s="34"/>
      <c r="BE637" s="34"/>
      <c r="BF637" s="34"/>
      <c r="BG637" s="34"/>
      <c r="BH637" s="34"/>
      <c r="BI637" s="34"/>
      <c r="BJ637" s="34"/>
      <c r="BK637" s="34"/>
      <c r="BL637" s="34"/>
      <c r="BM637" s="34"/>
      <c r="BN637" s="34"/>
      <c r="BO637" s="34"/>
      <c r="BP637" s="34"/>
      <c r="BQ637" s="34"/>
      <c r="BR637" s="34"/>
      <c r="BS637" s="34"/>
      <c r="BT637" s="34"/>
      <c r="BU637" s="34"/>
      <c r="BV637" s="34"/>
      <c r="BW637" s="34"/>
      <c r="BX637" s="34"/>
      <c r="BY637" s="34"/>
    </row>
    <row r="638" spans="1:77" x14ac:dyDescent="0.3">
      <c r="A638" s="39"/>
      <c r="B638" s="42"/>
      <c r="C638" s="42"/>
      <c r="D638" s="75"/>
      <c r="E638" s="75"/>
      <c r="F638" s="76"/>
      <c r="G638" s="47"/>
      <c r="H638" s="47"/>
      <c r="I638" s="75"/>
      <c r="J638" s="76"/>
      <c r="K638" s="76"/>
      <c r="L638" s="75"/>
      <c r="M638" s="49"/>
      <c r="N638" s="76"/>
      <c r="O638" s="49"/>
      <c r="P638" s="77"/>
      <c r="Q638" s="53"/>
      <c r="R638" s="54"/>
      <c r="S638" s="55"/>
      <c r="T638" s="56"/>
      <c r="U638" s="56"/>
      <c r="V638" s="42"/>
      <c r="W638" s="57"/>
      <c r="X638" s="58"/>
      <c r="Y638" s="75"/>
      <c r="Z638" s="59"/>
      <c r="AA638" s="61"/>
      <c r="AB638" s="61"/>
      <c r="AC638" s="61"/>
      <c r="AD638" s="62"/>
      <c r="AE638" s="62"/>
      <c r="AF638" s="34"/>
      <c r="AG638" s="34"/>
      <c r="AH638" s="34"/>
      <c r="AI638" s="34"/>
      <c r="AJ638" s="34"/>
      <c r="AK638" s="34"/>
      <c r="AL638" s="34"/>
      <c r="AM638" s="34"/>
      <c r="AN638" s="34"/>
      <c r="AO638" s="34"/>
      <c r="AP638" s="34"/>
      <c r="AQ638" s="34"/>
      <c r="AR638" s="34"/>
      <c r="AS638" s="34"/>
      <c r="AT638" s="34"/>
      <c r="AU638" s="34"/>
      <c r="AV638" s="34"/>
      <c r="AW638" s="34"/>
      <c r="AX638" s="34"/>
      <c r="AY638" s="34"/>
      <c r="AZ638" s="34"/>
      <c r="BA638" s="34"/>
      <c r="BB638" s="34"/>
      <c r="BD638" s="34"/>
      <c r="BE638" s="34"/>
      <c r="BF638" s="34"/>
      <c r="BG638" s="34"/>
      <c r="BH638" s="34"/>
      <c r="BI638" s="34"/>
      <c r="BJ638" s="34"/>
      <c r="BK638" s="34"/>
      <c r="BL638" s="34"/>
      <c r="BM638" s="34"/>
      <c r="BN638" s="34"/>
      <c r="BO638" s="34"/>
      <c r="BP638" s="34"/>
      <c r="BQ638" s="34"/>
      <c r="BR638" s="34"/>
      <c r="BS638" s="34"/>
      <c r="BT638" s="34"/>
      <c r="BU638" s="34"/>
      <c r="BV638" s="34"/>
      <c r="BW638" s="34"/>
      <c r="BX638" s="34"/>
      <c r="BY638" s="34"/>
    </row>
    <row r="639" spans="1:77" x14ac:dyDescent="0.3">
      <c r="A639" s="39"/>
      <c r="B639" s="42"/>
      <c r="C639" s="42"/>
      <c r="D639" s="75"/>
      <c r="E639" s="75"/>
      <c r="F639" s="76"/>
      <c r="G639" s="47"/>
      <c r="H639" s="47"/>
      <c r="I639" s="75"/>
      <c r="J639" s="76"/>
      <c r="K639" s="76"/>
      <c r="L639" s="75"/>
      <c r="M639" s="49"/>
      <c r="N639" s="76"/>
      <c r="O639" s="49"/>
      <c r="P639" s="77"/>
      <c r="Q639" s="53"/>
      <c r="R639" s="54"/>
      <c r="S639" s="55"/>
      <c r="T639" s="56"/>
      <c r="U639" s="56"/>
      <c r="V639" s="42"/>
      <c r="W639" s="57"/>
      <c r="X639" s="58"/>
      <c r="Y639" s="75"/>
      <c r="Z639" s="59"/>
      <c r="AA639" s="61"/>
      <c r="AB639" s="61"/>
      <c r="AC639" s="61"/>
      <c r="AD639" s="62"/>
      <c r="AE639" s="62"/>
      <c r="AF639" s="34"/>
      <c r="AG639" s="34"/>
      <c r="AH639" s="34"/>
      <c r="AI639" s="34"/>
      <c r="AJ639" s="34"/>
      <c r="AK639" s="34"/>
      <c r="AL639" s="34"/>
      <c r="AM639" s="34"/>
      <c r="AN639" s="34"/>
      <c r="AO639" s="34"/>
      <c r="AP639" s="34"/>
      <c r="AQ639" s="34"/>
      <c r="AR639" s="34"/>
      <c r="AS639" s="34"/>
      <c r="AT639" s="34"/>
      <c r="AU639" s="34"/>
      <c r="AV639" s="34"/>
      <c r="AW639" s="34"/>
      <c r="AX639" s="34"/>
      <c r="AY639" s="34"/>
      <c r="AZ639" s="34"/>
      <c r="BA639" s="34"/>
      <c r="BB639" s="34"/>
      <c r="BD639" s="34"/>
      <c r="BE639" s="34"/>
      <c r="BF639" s="34"/>
      <c r="BG639" s="34"/>
      <c r="BH639" s="34"/>
      <c r="BI639" s="34"/>
      <c r="BJ639" s="34"/>
      <c r="BK639" s="34"/>
      <c r="BL639" s="34"/>
      <c r="BM639" s="34"/>
      <c r="BN639" s="34"/>
      <c r="BO639" s="34"/>
      <c r="BP639" s="34"/>
      <c r="BQ639" s="34"/>
      <c r="BR639" s="34"/>
      <c r="BS639" s="34"/>
      <c r="BT639" s="34"/>
      <c r="BU639" s="34"/>
      <c r="BV639" s="34"/>
      <c r="BW639" s="34"/>
      <c r="BX639" s="34"/>
      <c r="BY639" s="34"/>
    </row>
    <row r="640" spans="1:77" x14ac:dyDescent="0.3">
      <c r="A640" s="39"/>
      <c r="B640" s="42"/>
      <c r="C640" s="42"/>
      <c r="D640" s="75"/>
      <c r="E640" s="75"/>
      <c r="F640" s="76"/>
      <c r="G640" s="47"/>
      <c r="H640" s="47"/>
      <c r="I640" s="75"/>
      <c r="J640" s="76"/>
      <c r="K640" s="76"/>
      <c r="L640" s="75"/>
      <c r="M640" s="49"/>
      <c r="N640" s="76"/>
      <c r="O640" s="49"/>
      <c r="P640" s="77"/>
      <c r="Q640" s="53"/>
      <c r="R640" s="54"/>
      <c r="S640" s="55"/>
      <c r="T640" s="56"/>
      <c r="U640" s="56"/>
      <c r="V640" s="42"/>
      <c r="W640" s="57"/>
      <c r="X640" s="58"/>
      <c r="Y640" s="75"/>
      <c r="Z640" s="59"/>
      <c r="AA640" s="61"/>
      <c r="AB640" s="61"/>
      <c r="AC640" s="61"/>
      <c r="AD640" s="62"/>
      <c r="AE640" s="62"/>
      <c r="AF640" s="34"/>
      <c r="AG640" s="34"/>
      <c r="AH640" s="34"/>
      <c r="AI640" s="34"/>
      <c r="AJ640" s="34"/>
      <c r="AK640" s="34"/>
      <c r="AL640" s="34"/>
      <c r="AM640" s="34"/>
      <c r="AN640" s="34"/>
      <c r="AO640" s="34"/>
      <c r="AP640" s="34"/>
      <c r="AQ640" s="34"/>
      <c r="AR640" s="34"/>
      <c r="AS640" s="34"/>
      <c r="AT640" s="34"/>
      <c r="AU640" s="34"/>
      <c r="AV640" s="34"/>
      <c r="AW640" s="34"/>
      <c r="AX640" s="34"/>
      <c r="AY640" s="34"/>
      <c r="AZ640" s="34"/>
      <c r="BA640" s="34"/>
      <c r="BB640" s="34"/>
      <c r="BD640" s="34"/>
      <c r="BE640" s="34"/>
      <c r="BF640" s="34"/>
      <c r="BG640" s="34"/>
      <c r="BH640" s="34"/>
      <c r="BI640" s="34"/>
      <c r="BJ640" s="34"/>
      <c r="BK640" s="34"/>
      <c r="BL640" s="34"/>
      <c r="BM640" s="34"/>
      <c r="BN640" s="34"/>
      <c r="BO640" s="34"/>
      <c r="BP640" s="34"/>
      <c r="BQ640" s="34"/>
      <c r="BR640" s="34"/>
      <c r="BS640" s="34"/>
      <c r="BT640" s="34"/>
      <c r="BU640" s="34"/>
      <c r="BV640" s="34"/>
      <c r="BW640" s="34"/>
      <c r="BX640" s="34"/>
      <c r="BY640" s="34"/>
    </row>
    <row r="641" spans="1:77" x14ac:dyDescent="0.3">
      <c r="A641" s="39"/>
      <c r="B641" s="42"/>
      <c r="C641" s="42"/>
      <c r="D641" s="75"/>
      <c r="E641" s="75"/>
      <c r="F641" s="76"/>
      <c r="G641" s="47"/>
      <c r="H641" s="47"/>
      <c r="I641" s="75"/>
      <c r="J641" s="76"/>
      <c r="K641" s="76"/>
      <c r="L641" s="75"/>
      <c r="M641" s="49"/>
      <c r="N641" s="76"/>
      <c r="O641" s="49"/>
      <c r="P641" s="77"/>
      <c r="Q641" s="53"/>
      <c r="R641" s="54"/>
      <c r="S641" s="55"/>
      <c r="T641" s="56"/>
      <c r="U641" s="56"/>
      <c r="V641" s="42"/>
      <c r="W641" s="57"/>
      <c r="X641" s="58"/>
      <c r="Y641" s="75"/>
      <c r="Z641" s="59"/>
      <c r="AA641" s="61"/>
      <c r="AB641" s="61"/>
      <c r="AC641" s="61"/>
      <c r="AD641" s="62"/>
      <c r="AE641" s="62"/>
      <c r="AF641" s="34"/>
      <c r="AG641" s="34"/>
      <c r="AH641" s="34"/>
      <c r="AI641" s="34"/>
      <c r="AJ641" s="34"/>
      <c r="AK641" s="34"/>
      <c r="AL641" s="34"/>
      <c r="AM641" s="34"/>
      <c r="AN641" s="34"/>
      <c r="AO641" s="34"/>
      <c r="AP641" s="34"/>
      <c r="AQ641" s="34"/>
      <c r="AR641" s="34"/>
      <c r="AS641" s="34"/>
      <c r="AT641" s="34"/>
      <c r="AU641" s="34"/>
      <c r="AV641" s="34"/>
      <c r="AW641" s="34"/>
      <c r="AX641" s="34"/>
      <c r="AY641" s="34"/>
      <c r="AZ641" s="34"/>
      <c r="BA641" s="34"/>
      <c r="BB641" s="34"/>
      <c r="BD641" s="34"/>
      <c r="BE641" s="34"/>
      <c r="BF641" s="34"/>
      <c r="BG641" s="34"/>
      <c r="BH641" s="34"/>
      <c r="BI641" s="34"/>
      <c r="BJ641" s="34"/>
      <c r="BK641" s="34"/>
      <c r="BL641" s="34"/>
      <c r="BM641" s="34"/>
      <c r="BN641" s="34"/>
      <c r="BO641" s="34"/>
      <c r="BP641" s="34"/>
      <c r="BQ641" s="34"/>
      <c r="BR641" s="34"/>
      <c r="BS641" s="34"/>
      <c r="BT641" s="34"/>
      <c r="BU641" s="34"/>
      <c r="BV641" s="34"/>
      <c r="BW641" s="34"/>
      <c r="BX641" s="34"/>
      <c r="BY641" s="34"/>
    </row>
    <row r="642" spans="1:77" x14ac:dyDescent="0.3">
      <c r="A642" s="39"/>
      <c r="B642" s="42"/>
      <c r="C642" s="42"/>
      <c r="D642" s="75"/>
      <c r="E642" s="75"/>
      <c r="F642" s="76"/>
      <c r="G642" s="47"/>
      <c r="H642" s="47"/>
      <c r="I642" s="75"/>
      <c r="J642" s="76"/>
      <c r="K642" s="76"/>
      <c r="L642" s="75"/>
      <c r="M642" s="49"/>
      <c r="N642" s="76"/>
      <c r="O642" s="49"/>
      <c r="P642" s="77"/>
      <c r="Q642" s="53"/>
      <c r="R642" s="54"/>
      <c r="S642" s="55"/>
      <c r="T642" s="56"/>
      <c r="U642" s="56"/>
      <c r="V642" s="42"/>
      <c r="W642" s="57"/>
      <c r="X642" s="58"/>
      <c r="Y642" s="75"/>
      <c r="Z642" s="59"/>
      <c r="AA642" s="61"/>
      <c r="AB642" s="61"/>
      <c r="AC642" s="61"/>
      <c r="AD642" s="62"/>
      <c r="AE642" s="62"/>
      <c r="AF642" s="34"/>
      <c r="AG642" s="34"/>
      <c r="AH642" s="34"/>
      <c r="AI642" s="34"/>
      <c r="AJ642" s="34"/>
      <c r="AK642" s="34"/>
      <c r="AL642" s="34"/>
      <c r="AM642" s="34"/>
      <c r="AN642" s="34"/>
      <c r="AO642" s="34"/>
      <c r="AP642" s="34"/>
      <c r="AQ642" s="34"/>
      <c r="AR642" s="34"/>
      <c r="AS642" s="34"/>
      <c r="AT642" s="34"/>
      <c r="AU642" s="34"/>
      <c r="AV642" s="34"/>
      <c r="AW642" s="34"/>
      <c r="AX642" s="34"/>
      <c r="AY642" s="34"/>
      <c r="AZ642" s="34"/>
      <c r="BA642" s="34"/>
      <c r="BB642" s="34"/>
      <c r="BD642" s="34"/>
      <c r="BE642" s="34"/>
      <c r="BF642" s="34"/>
      <c r="BG642" s="34"/>
      <c r="BH642" s="34"/>
      <c r="BI642" s="34"/>
      <c r="BJ642" s="34"/>
      <c r="BK642" s="34"/>
      <c r="BL642" s="34"/>
      <c r="BM642" s="34"/>
      <c r="BN642" s="34"/>
      <c r="BO642" s="34"/>
      <c r="BP642" s="34"/>
      <c r="BQ642" s="34"/>
      <c r="BR642" s="34"/>
      <c r="BS642" s="34"/>
      <c r="BT642" s="34"/>
      <c r="BU642" s="34"/>
      <c r="BV642" s="34"/>
      <c r="BW642" s="34"/>
      <c r="BX642" s="34"/>
      <c r="BY642" s="34"/>
    </row>
    <row r="643" spans="1:77" x14ac:dyDescent="0.3">
      <c r="A643" s="39"/>
      <c r="B643" s="42"/>
      <c r="C643" s="42"/>
      <c r="D643" s="75"/>
      <c r="E643" s="75"/>
      <c r="F643" s="76"/>
      <c r="G643" s="47"/>
      <c r="H643" s="47"/>
      <c r="I643" s="75"/>
      <c r="J643" s="76"/>
      <c r="K643" s="76"/>
      <c r="L643" s="75"/>
      <c r="M643" s="49"/>
      <c r="N643" s="76"/>
      <c r="O643" s="49"/>
      <c r="P643" s="77"/>
      <c r="Q643" s="53"/>
      <c r="R643" s="54"/>
      <c r="S643" s="55"/>
      <c r="T643" s="56"/>
      <c r="U643" s="56"/>
      <c r="V643" s="42"/>
      <c r="W643" s="57"/>
      <c r="X643" s="58"/>
      <c r="Y643" s="75"/>
      <c r="Z643" s="59"/>
      <c r="AA643" s="61"/>
      <c r="AB643" s="61"/>
      <c r="AC643" s="61"/>
      <c r="AD643" s="62"/>
      <c r="AE643" s="62"/>
      <c r="AF643" s="34"/>
      <c r="AG643" s="34"/>
      <c r="AH643" s="34"/>
      <c r="AI643" s="34"/>
      <c r="AJ643" s="34"/>
      <c r="AK643" s="34"/>
      <c r="AL643" s="34"/>
      <c r="AM643" s="34"/>
      <c r="AN643" s="34"/>
      <c r="AO643" s="34"/>
      <c r="AP643" s="34"/>
      <c r="AQ643" s="34"/>
      <c r="AR643" s="34"/>
      <c r="AS643" s="34"/>
      <c r="AT643" s="34"/>
      <c r="AU643" s="34"/>
      <c r="AV643" s="34"/>
      <c r="AW643" s="34"/>
      <c r="AX643" s="34"/>
      <c r="AY643" s="34"/>
      <c r="AZ643" s="34"/>
      <c r="BA643" s="34"/>
      <c r="BB643" s="34"/>
      <c r="BD643" s="34"/>
      <c r="BE643" s="34"/>
      <c r="BF643" s="34"/>
      <c r="BG643" s="34"/>
      <c r="BH643" s="34"/>
      <c r="BI643" s="34"/>
      <c r="BJ643" s="34"/>
      <c r="BK643" s="34"/>
      <c r="BL643" s="34"/>
      <c r="BM643" s="34"/>
      <c r="BN643" s="34"/>
      <c r="BO643" s="34"/>
      <c r="BP643" s="34"/>
      <c r="BQ643" s="34"/>
      <c r="BR643" s="34"/>
      <c r="BS643" s="34"/>
      <c r="BT643" s="34"/>
      <c r="BU643" s="34"/>
      <c r="BV643" s="34"/>
      <c r="BW643" s="34"/>
      <c r="BX643" s="34"/>
      <c r="BY643" s="34"/>
    </row>
    <row r="644" spans="1:77" x14ac:dyDescent="0.3">
      <c r="A644" s="39"/>
      <c r="B644" s="42"/>
      <c r="C644" s="42"/>
      <c r="D644" s="75"/>
      <c r="E644" s="75"/>
      <c r="F644" s="76"/>
      <c r="G644" s="47"/>
      <c r="H644" s="47"/>
      <c r="I644" s="75"/>
      <c r="J644" s="76"/>
      <c r="K644" s="76"/>
      <c r="L644" s="75"/>
      <c r="M644" s="49"/>
      <c r="N644" s="76"/>
      <c r="O644" s="49"/>
      <c r="P644" s="77"/>
      <c r="Q644" s="53"/>
      <c r="R644" s="54"/>
      <c r="S644" s="55"/>
      <c r="T644" s="56"/>
      <c r="U644" s="56"/>
      <c r="V644" s="42"/>
      <c r="W644" s="57"/>
      <c r="X644" s="58"/>
      <c r="Y644" s="75"/>
      <c r="Z644" s="59"/>
      <c r="AA644" s="61"/>
      <c r="AB644" s="61"/>
      <c r="AC644" s="61"/>
      <c r="AD644" s="62"/>
      <c r="AE644" s="62"/>
      <c r="AF644" s="34"/>
      <c r="AG644" s="34"/>
      <c r="AH644" s="34"/>
      <c r="AI644" s="34"/>
      <c r="AJ644" s="34"/>
      <c r="AK644" s="34"/>
      <c r="AL644" s="34"/>
      <c r="AM644" s="34"/>
      <c r="AN644" s="34"/>
      <c r="AO644" s="34"/>
      <c r="AP644" s="34"/>
      <c r="AQ644" s="34"/>
      <c r="AR644" s="34"/>
      <c r="AS644" s="34"/>
      <c r="AT644" s="34"/>
      <c r="AU644" s="34"/>
      <c r="AV644" s="34"/>
      <c r="AW644" s="34"/>
      <c r="AX644" s="34"/>
      <c r="AY644" s="34"/>
      <c r="AZ644" s="34"/>
      <c r="BA644" s="34"/>
      <c r="BB644" s="34"/>
      <c r="BD644" s="34"/>
      <c r="BE644" s="34"/>
      <c r="BF644" s="34"/>
      <c r="BG644" s="34"/>
      <c r="BH644" s="34"/>
      <c r="BI644" s="34"/>
      <c r="BJ644" s="34"/>
      <c r="BK644" s="34"/>
      <c r="BL644" s="34"/>
      <c r="BM644" s="34"/>
      <c r="BN644" s="34"/>
      <c r="BO644" s="34"/>
      <c r="BP644" s="34"/>
      <c r="BQ644" s="34"/>
      <c r="BR644" s="34"/>
      <c r="BS644" s="34"/>
      <c r="BT644" s="34"/>
      <c r="BU644" s="34"/>
      <c r="BV644" s="34"/>
      <c r="BW644" s="34"/>
      <c r="BX644" s="34"/>
      <c r="BY644" s="34"/>
    </row>
    <row r="645" spans="1:77" x14ac:dyDescent="0.3">
      <c r="A645" s="39"/>
      <c r="B645" s="42"/>
      <c r="C645" s="42"/>
      <c r="D645" s="75"/>
      <c r="E645" s="75"/>
      <c r="F645" s="76"/>
      <c r="G645" s="47"/>
      <c r="H645" s="47"/>
      <c r="I645" s="75"/>
      <c r="J645" s="76"/>
      <c r="K645" s="76"/>
      <c r="L645" s="75"/>
      <c r="M645" s="49"/>
      <c r="N645" s="76"/>
      <c r="O645" s="49"/>
      <c r="P645" s="77"/>
      <c r="Q645" s="53"/>
      <c r="R645" s="54"/>
      <c r="S645" s="55"/>
      <c r="T645" s="56"/>
      <c r="U645" s="56"/>
      <c r="V645" s="42"/>
      <c r="W645" s="57"/>
      <c r="X645" s="58"/>
      <c r="Y645" s="75"/>
      <c r="Z645" s="59"/>
      <c r="AA645" s="61"/>
      <c r="AB645" s="61"/>
      <c r="AC645" s="61"/>
      <c r="AD645" s="62"/>
      <c r="AE645" s="62"/>
      <c r="AF645" s="34"/>
      <c r="AG645" s="34"/>
      <c r="AH645" s="34"/>
      <c r="AI645" s="34"/>
      <c r="AJ645" s="34"/>
      <c r="AK645" s="34"/>
      <c r="AL645" s="34"/>
      <c r="AM645" s="34"/>
      <c r="AN645" s="34"/>
      <c r="AO645" s="34"/>
      <c r="AP645" s="34"/>
      <c r="AQ645" s="34"/>
      <c r="AR645" s="34"/>
      <c r="AS645" s="34"/>
      <c r="AT645" s="34"/>
      <c r="AU645" s="34"/>
      <c r="AV645" s="34"/>
      <c r="AW645" s="34"/>
      <c r="AX645" s="34"/>
      <c r="AY645" s="34"/>
      <c r="AZ645" s="34"/>
      <c r="BA645" s="34"/>
      <c r="BB645" s="34"/>
      <c r="BD645" s="34"/>
      <c r="BE645" s="34"/>
      <c r="BF645" s="34"/>
      <c r="BG645" s="34"/>
      <c r="BH645" s="34"/>
      <c r="BI645" s="34"/>
      <c r="BJ645" s="34"/>
      <c r="BK645" s="34"/>
      <c r="BL645" s="34"/>
      <c r="BM645" s="34"/>
      <c r="BN645" s="34"/>
      <c r="BO645" s="34"/>
      <c r="BP645" s="34"/>
      <c r="BQ645" s="34"/>
      <c r="BR645" s="34"/>
      <c r="BS645" s="34"/>
      <c r="BT645" s="34"/>
      <c r="BU645" s="34"/>
      <c r="BV645" s="34"/>
      <c r="BW645" s="34"/>
      <c r="BX645" s="34"/>
      <c r="BY645" s="34"/>
    </row>
    <row r="646" spans="1:77" x14ac:dyDescent="0.3">
      <c r="A646" s="39"/>
      <c r="B646" s="42"/>
      <c r="C646" s="42"/>
      <c r="D646" s="75"/>
      <c r="E646" s="75"/>
      <c r="F646" s="76"/>
      <c r="G646" s="47"/>
      <c r="H646" s="47"/>
      <c r="I646" s="75"/>
      <c r="J646" s="76"/>
      <c r="K646" s="76"/>
      <c r="L646" s="75"/>
      <c r="M646" s="49"/>
      <c r="N646" s="76"/>
      <c r="O646" s="49"/>
      <c r="P646" s="77"/>
      <c r="Q646" s="53"/>
      <c r="R646" s="54"/>
      <c r="S646" s="55"/>
      <c r="T646" s="56"/>
      <c r="U646" s="56"/>
      <c r="V646" s="42"/>
      <c r="W646" s="57"/>
      <c r="X646" s="58"/>
      <c r="Y646" s="75"/>
      <c r="Z646" s="59"/>
      <c r="AA646" s="61"/>
      <c r="AB646" s="61"/>
      <c r="AC646" s="61"/>
      <c r="AD646" s="62"/>
      <c r="AE646" s="62"/>
      <c r="AF646" s="34"/>
      <c r="AG646" s="34"/>
      <c r="AH646" s="34"/>
      <c r="AI646" s="34"/>
      <c r="AJ646" s="34"/>
      <c r="AK646" s="34"/>
      <c r="AL646" s="34"/>
      <c r="AM646" s="34"/>
      <c r="AN646" s="34"/>
      <c r="AO646" s="34"/>
      <c r="AP646" s="34"/>
      <c r="AQ646" s="34"/>
      <c r="AR646" s="34"/>
      <c r="AS646" s="34"/>
      <c r="AT646" s="34"/>
      <c r="AU646" s="34"/>
      <c r="AV646" s="34"/>
      <c r="AW646" s="34"/>
      <c r="AX646" s="34"/>
      <c r="AY646" s="34"/>
      <c r="AZ646" s="34"/>
      <c r="BA646" s="34"/>
      <c r="BB646" s="34"/>
      <c r="BD646" s="34"/>
      <c r="BE646" s="34"/>
      <c r="BF646" s="34"/>
      <c r="BG646" s="34"/>
      <c r="BH646" s="34"/>
      <c r="BI646" s="34"/>
      <c r="BJ646" s="34"/>
      <c r="BK646" s="34"/>
      <c r="BL646" s="34"/>
      <c r="BM646" s="34"/>
      <c r="BN646" s="34"/>
      <c r="BO646" s="34"/>
      <c r="BP646" s="34"/>
      <c r="BQ646" s="34"/>
      <c r="BR646" s="34"/>
      <c r="BS646" s="34"/>
      <c r="BT646" s="34"/>
      <c r="BU646" s="34"/>
      <c r="BV646" s="34"/>
      <c r="BW646" s="34"/>
      <c r="BX646" s="34"/>
      <c r="BY646" s="34"/>
    </row>
    <row r="647" spans="1:77" x14ac:dyDescent="0.3">
      <c r="A647" s="39"/>
      <c r="B647" s="42"/>
      <c r="C647" s="42"/>
      <c r="D647" s="75"/>
      <c r="E647" s="75"/>
      <c r="F647" s="76"/>
      <c r="G647" s="47"/>
      <c r="H647" s="47"/>
      <c r="I647" s="75"/>
      <c r="J647" s="76"/>
      <c r="K647" s="76"/>
      <c r="L647" s="75"/>
      <c r="M647" s="49"/>
      <c r="N647" s="76"/>
      <c r="O647" s="49"/>
      <c r="P647" s="77"/>
      <c r="Q647" s="53"/>
      <c r="R647" s="54"/>
      <c r="S647" s="55"/>
      <c r="T647" s="56"/>
      <c r="U647" s="56"/>
      <c r="V647" s="42"/>
      <c r="W647" s="57"/>
      <c r="X647" s="58"/>
      <c r="Y647" s="75"/>
      <c r="Z647" s="59"/>
      <c r="AA647" s="61"/>
      <c r="AB647" s="61"/>
      <c r="AC647" s="61"/>
      <c r="AD647" s="62"/>
      <c r="AE647" s="62"/>
      <c r="AF647" s="34"/>
      <c r="AG647" s="34"/>
      <c r="AH647" s="34"/>
      <c r="AI647" s="34"/>
      <c r="AJ647" s="34"/>
      <c r="AK647" s="34"/>
      <c r="AL647" s="34"/>
      <c r="AM647" s="34"/>
      <c r="AN647" s="34"/>
      <c r="AO647" s="34"/>
      <c r="AP647" s="34"/>
      <c r="AQ647" s="34"/>
      <c r="AR647" s="34"/>
      <c r="AS647" s="34"/>
      <c r="AT647" s="34"/>
      <c r="AU647" s="34"/>
      <c r="AV647" s="34"/>
      <c r="AW647" s="34"/>
      <c r="AX647" s="34"/>
      <c r="AY647" s="34"/>
      <c r="AZ647" s="34"/>
      <c r="BA647" s="34"/>
      <c r="BB647" s="34"/>
      <c r="BD647" s="34"/>
      <c r="BE647" s="34"/>
      <c r="BF647" s="34"/>
      <c r="BG647" s="34"/>
      <c r="BH647" s="34"/>
      <c r="BI647" s="34"/>
      <c r="BJ647" s="34"/>
      <c r="BK647" s="34"/>
      <c r="BL647" s="34"/>
      <c r="BM647" s="34"/>
      <c r="BN647" s="34"/>
      <c r="BO647" s="34"/>
      <c r="BP647" s="34"/>
      <c r="BQ647" s="34"/>
      <c r="BR647" s="34"/>
      <c r="BS647" s="34"/>
      <c r="BT647" s="34"/>
      <c r="BU647" s="34"/>
      <c r="BV647" s="34"/>
      <c r="BW647" s="34"/>
      <c r="BX647" s="34"/>
      <c r="BY647" s="34"/>
    </row>
    <row r="648" spans="1:77" x14ac:dyDescent="0.3">
      <c r="A648" s="39"/>
      <c r="B648" s="42"/>
      <c r="C648" s="42"/>
      <c r="D648" s="75"/>
      <c r="E648" s="75"/>
      <c r="F648" s="76"/>
      <c r="G648" s="47"/>
      <c r="H648" s="47"/>
      <c r="I648" s="75"/>
      <c r="J648" s="76"/>
      <c r="K648" s="76"/>
      <c r="L648" s="75"/>
      <c r="M648" s="49"/>
      <c r="N648" s="76"/>
      <c r="O648" s="49"/>
      <c r="P648" s="77"/>
      <c r="Q648" s="53"/>
      <c r="R648" s="54"/>
      <c r="S648" s="55"/>
      <c r="T648" s="56"/>
      <c r="U648" s="56"/>
      <c r="V648" s="42"/>
      <c r="W648" s="57"/>
      <c r="X648" s="58"/>
      <c r="Y648" s="75"/>
      <c r="Z648" s="59"/>
      <c r="AA648" s="61"/>
      <c r="AB648" s="61"/>
      <c r="AC648" s="61"/>
      <c r="AD648" s="62"/>
      <c r="AE648" s="62"/>
      <c r="AF648" s="34"/>
      <c r="AG648" s="34"/>
      <c r="AH648" s="34"/>
      <c r="AI648" s="34"/>
      <c r="AJ648" s="34"/>
      <c r="AK648" s="34"/>
      <c r="AL648" s="34"/>
      <c r="AM648" s="34"/>
      <c r="AN648" s="34"/>
      <c r="AO648" s="34"/>
      <c r="AP648" s="34"/>
      <c r="AQ648" s="34"/>
      <c r="AR648" s="34"/>
      <c r="AS648" s="34"/>
      <c r="AT648" s="34"/>
      <c r="AU648" s="34"/>
      <c r="AV648" s="34"/>
      <c r="AW648" s="34"/>
      <c r="AX648" s="34"/>
      <c r="AY648" s="34"/>
      <c r="AZ648" s="34"/>
      <c r="BA648" s="34"/>
      <c r="BB648" s="34"/>
      <c r="BD648" s="34"/>
      <c r="BE648" s="34"/>
      <c r="BF648" s="34"/>
      <c r="BG648" s="34"/>
      <c r="BH648" s="34"/>
      <c r="BI648" s="34"/>
      <c r="BJ648" s="34"/>
      <c r="BK648" s="34"/>
      <c r="BL648" s="34"/>
      <c r="BM648" s="34"/>
      <c r="BN648" s="34"/>
      <c r="BO648" s="34"/>
      <c r="BP648" s="34"/>
      <c r="BQ648" s="34"/>
      <c r="BR648" s="34"/>
      <c r="BS648" s="34"/>
      <c r="BT648" s="34"/>
      <c r="BU648" s="34"/>
      <c r="BV648" s="34"/>
      <c r="BW648" s="34"/>
      <c r="BX648" s="34"/>
      <c r="BY648" s="34"/>
    </row>
    <row r="649" spans="1:77" x14ac:dyDescent="0.3">
      <c r="A649" s="39"/>
      <c r="B649" s="42"/>
      <c r="C649" s="42"/>
      <c r="D649" s="75"/>
      <c r="E649" s="75"/>
      <c r="F649" s="76"/>
      <c r="G649" s="47"/>
      <c r="H649" s="47"/>
      <c r="I649" s="75"/>
      <c r="J649" s="76"/>
      <c r="K649" s="76"/>
      <c r="L649" s="75"/>
      <c r="M649" s="49"/>
      <c r="N649" s="76"/>
      <c r="O649" s="49"/>
      <c r="P649" s="77"/>
      <c r="Q649" s="53"/>
      <c r="R649" s="54"/>
      <c r="S649" s="55"/>
      <c r="T649" s="56"/>
      <c r="U649" s="56"/>
      <c r="V649" s="42"/>
      <c r="W649" s="57"/>
      <c r="X649" s="58"/>
      <c r="Y649" s="75"/>
      <c r="Z649" s="59"/>
      <c r="AA649" s="61"/>
      <c r="AB649" s="61"/>
      <c r="AC649" s="61"/>
      <c r="AD649" s="62"/>
      <c r="AE649" s="62"/>
      <c r="AF649" s="34"/>
      <c r="AG649" s="34"/>
      <c r="AH649" s="34"/>
      <c r="AI649" s="34"/>
      <c r="AJ649" s="34"/>
      <c r="AK649" s="34"/>
      <c r="AL649" s="34"/>
      <c r="AM649" s="34"/>
      <c r="AN649" s="34"/>
      <c r="AO649" s="34"/>
      <c r="AP649" s="34"/>
      <c r="AQ649" s="34"/>
      <c r="AR649" s="34"/>
      <c r="AS649" s="34"/>
      <c r="AT649" s="34"/>
      <c r="AU649" s="34"/>
      <c r="AV649" s="34"/>
      <c r="AW649" s="34"/>
      <c r="AX649" s="34"/>
      <c r="AY649" s="34"/>
      <c r="AZ649" s="34"/>
      <c r="BA649" s="34"/>
      <c r="BB649" s="34"/>
      <c r="BD649" s="34"/>
      <c r="BE649" s="34"/>
      <c r="BF649" s="34"/>
      <c r="BG649" s="34"/>
      <c r="BH649" s="34"/>
      <c r="BI649" s="34"/>
      <c r="BJ649" s="34"/>
      <c r="BK649" s="34"/>
      <c r="BL649" s="34"/>
      <c r="BM649" s="34"/>
      <c r="BN649" s="34"/>
      <c r="BO649" s="34"/>
      <c r="BP649" s="34"/>
      <c r="BQ649" s="34"/>
      <c r="BR649" s="34"/>
      <c r="BS649" s="34"/>
      <c r="BT649" s="34"/>
      <c r="BU649" s="34"/>
      <c r="BV649" s="34"/>
      <c r="BW649" s="34"/>
      <c r="BX649" s="34"/>
      <c r="BY649" s="34"/>
    </row>
    <row r="650" spans="1:77" x14ac:dyDescent="0.3">
      <c r="A650" s="39"/>
      <c r="B650" s="42"/>
      <c r="C650" s="42"/>
      <c r="D650" s="75"/>
      <c r="E650" s="75"/>
      <c r="F650" s="76"/>
      <c r="G650" s="47"/>
      <c r="H650" s="47"/>
      <c r="I650" s="75"/>
      <c r="J650" s="76"/>
      <c r="K650" s="76"/>
      <c r="L650" s="75"/>
      <c r="M650" s="49"/>
      <c r="N650" s="76"/>
      <c r="O650" s="49"/>
      <c r="P650" s="77"/>
      <c r="Q650" s="53"/>
      <c r="R650" s="54"/>
      <c r="S650" s="55"/>
      <c r="T650" s="56"/>
      <c r="U650" s="56"/>
      <c r="V650" s="42"/>
      <c r="W650" s="57"/>
      <c r="X650" s="58"/>
      <c r="Y650" s="75"/>
      <c r="Z650" s="59"/>
      <c r="AA650" s="61"/>
      <c r="AB650" s="61"/>
      <c r="AC650" s="61"/>
      <c r="AD650" s="62"/>
      <c r="AE650" s="62"/>
      <c r="AF650" s="34"/>
      <c r="AG650" s="34"/>
      <c r="AH650" s="34"/>
      <c r="AI650" s="34"/>
      <c r="AJ650" s="34"/>
      <c r="AK650" s="34"/>
      <c r="AL650" s="34"/>
      <c r="AM650" s="34"/>
      <c r="AN650" s="34"/>
      <c r="AO650" s="34"/>
      <c r="AP650" s="34"/>
      <c r="AQ650" s="34"/>
      <c r="AR650" s="34"/>
      <c r="AS650" s="34"/>
      <c r="AT650" s="34"/>
      <c r="AU650" s="34"/>
      <c r="AV650" s="34"/>
      <c r="AW650" s="34"/>
      <c r="AX650" s="34"/>
      <c r="AY650" s="34"/>
      <c r="AZ650" s="34"/>
      <c r="BA650" s="34"/>
      <c r="BB650" s="34"/>
      <c r="BD650" s="34"/>
      <c r="BE650" s="34"/>
      <c r="BF650" s="34"/>
      <c r="BG650" s="34"/>
      <c r="BH650" s="34"/>
      <c r="BI650" s="34"/>
      <c r="BJ650" s="34"/>
      <c r="BK650" s="34"/>
      <c r="BL650" s="34"/>
      <c r="BM650" s="34"/>
      <c r="BN650" s="34"/>
      <c r="BO650" s="34"/>
      <c r="BP650" s="34"/>
      <c r="BQ650" s="34"/>
      <c r="BR650" s="34"/>
      <c r="BS650" s="34"/>
      <c r="BT650" s="34"/>
      <c r="BU650" s="34"/>
      <c r="BV650" s="34"/>
      <c r="BW650" s="34"/>
      <c r="BX650" s="34"/>
      <c r="BY650" s="34"/>
    </row>
    <row r="651" spans="1:77" x14ac:dyDescent="0.3">
      <c r="A651" s="39"/>
      <c r="B651" s="42"/>
      <c r="C651" s="42"/>
      <c r="D651" s="75"/>
      <c r="E651" s="75"/>
      <c r="F651" s="76"/>
      <c r="G651" s="47"/>
      <c r="H651" s="47"/>
      <c r="I651" s="75"/>
      <c r="J651" s="76"/>
      <c r="K651" s="76"/>
      <c r="L651" s="75"/>
      <c r="M651" s="49"/>
      <c r="N651" s="76"/>
      <c r="O651" s="49"/>
      <c r="P651" s="77"/>
      <c r="Q651" s="53"/>
      <c r="R651" s="54"/>
      <c r="S651" s="55"/>
      <c r="T651" s="56"/>
      <c r="U651" s="56"/>
      <c r="V651" s="42"/>
      <c r="W651" s="57"/>
      <c r="X651" s="58"/>
      <c r="Y651" s="75"/>
      <c r="Z651" s="59"/>
      <c r="AA651" s="61"/>
      <c r="AB651" s="61"/>
      <c r="AC651" s="61"/>
      <c r="AD651" s="62"/>
      <c r="AE651" s="62"/>
      <c r="AF651" s="34"/>
      <c r="AG651" s="34"/>
      <c r="AH651" s="34"/>
      <c r="AI651" s="34"/>
      <c r="AJ651" s="34"/>
      <c r="AK651" s="34"/>
      <c r="AL651" s="34"/>
      <c r="AM651" s="34"/>
      <c r="AN651" s="34"/>
      <c r="AO651" s="34"/>
      <c r="AP651" s="34"/>
      <c r="AQ651" s="34"/>
      <c r="AR651" s="34"/>
      <c r="AS651" s="34"/>
      <c r="AT651" s="34"/>
      <c r="AU651" s="34"/>
      <c r="AV651" s="34"/>
      <c r="AW651" s="34"/>
      <c r="AX651" s="34"/>
      <c r="AY651" s="34"/>
      <c r="AZ651" s="34"/>
      <c r="BA651" s="34"/>
      <c r="BB651" s="34"/>
      <c r="BD651" s="34"/>
      <c r="BE651" s="34"/>
      <c r="BF651" s="34"/>
      <c r="BG651" s="34"/>
      <c r="BH651" s="34"/>
      <c r="BI651" s="34"/>
      <c r="BJ651" s="34"/>
      <c r="BK651" s="34"/>
      <c r="BL651" s="34"/>
      <c r="BM651" s="34"/>
      <c r="BN651" s="34"/>
      <c r="BO651" s="34"/>
      <c r="BP651" s="34"/>
      <c r="BQ651" s="34"/>
      <c r="BR651" s="34"/>
      <c r="BS651" s="34"/>
      <c r="BT651" s="34"/>
      <c r="BU651" s="34"/>
      <c r="BV651" s="34"/>
      <c r="BW651" s="34"/>
      <c r="BX651" s="34"/>
      <c r="BY651" s="34"/>
    </row>
    <row r="652" spans="1:77" x14ac:dyDescent="0.3">
      <c r="A652" s="39"/>
      <c r="B652" s="42"/>
      <c r="C652" s="42"/>
      <c r="D652" s="75"/>
      <c r="E652" s="75"/>
      <c r="F652" s="76"/>
      <c r="G652" s="47"/>
      <c r="H652" s="47"/>
      <c r="I652" s="75"/>
      <c r="J652" s="76"/>
      <c r="K652" s="76"/>
      <c r="L652" s="75"/>
      <c r="M652" s="49"/>
      <c r="N652" s="76"/>
      <c r="O652" s="49"/>
      <c r="P652" s="77"/>
      <c r="Q652" s="53"/>
      <c r="R652" s="54"/>
      <c r="S652" s="55"/>
      <c r="T652" s="56"/>
      <c r="U652" s="56"/>
      <c r="V652" s="42"/>
      <c r="W652" s="57"/>
      <c r="X652" s="58"/>
      <c r="Y652" s="75"/>
      <c r="Z652" s="59"/>
      <c r="AA652" s="61"/>
      <c r="AB652" s="61"/>
      <c r="AC652" s="61"/>
      <c r="AD652" s="62"/>
      <c r="AE652" s="62"/>
      <c r="AF652" s="34"/>
      <c r="AG652" s="34"/>
      <c r="AH652" s="34"/>
      <c r="AI652" s="34"/>
      <c r="AJ652" s="34"/>
      <c r="AK652" s="34"/>
      <c r="AL652" s="34"/>
      <c r="AM652" s="34"/>
      <c r="AN652" s="34"/>
      <c r="AO652" s="34"/>
      <c r="AP652" s="34"/>
      <c r="AQ652" s="34"/>
      <c r="AR652" s="34"/>
      <c r="AS652" s="34"/>
      <c r="AT652" s="34"/>
      <c r="AU652" s="34"/>
      <c r="AV652" s="34"/>
      <c r="AW652" s="34"/>
      <c r="AX652" s="34"/>
      <c r="AY652" s="34"/>
      <c r="AZ652" s="34"/>
      <c r="BA652" s="34"/>
      <c r="BB652" s="34"/>
      <c r="BD652" s="34"/>
      <c r="BE652" s="34"/>
      <c r="BF652" s="34"/>
      <c r="BG652" s="34"/>
      <c r="BH652" s="34"/>
      <c r="BI652" s="34"/>
      <c r="BJ652" s="34"/>
      <c r="BK652" s="34"/>
      <c r="BL652" s="34"/>
      <c r="BM652" s="34"/>
      <c r="BN652" s="34"/>
      <c r="BO652" s="34"/>
      <c r="BP652" s="34"/>
      <c r="BQ652" s="34"/>
      <c r="BR652" s="34"/>
      <c r="BS652" s="34"/>
      <c r="BT652" s="34"/>
      <c r="BU652" s="34"/>
      <c r="BV652" s="34"/>
      <c r="BW652" s="34"/>
      <c r="BX652" s="34"/>
      <c r="BY652" s="34"/>
    </row>
    <row r="653" spans="1:77" x14ac:dyDescent="0.3">
      <c r="A653" s="39"/>
      <c r="B653" s="42"/>
      <c r="C653" s="42"/>
      <c r="D653" s="75"/>
      <c r="E653" s="75"/>
      <c r="F653" s="76"/>
      <c r="G653" s="47"/>
      <c r="H653" s="47"/>
      <c r="I653" s="75"/>
      <c r="J653" s="76"/>
      <c r="K653" s="76"/>
      <c r="L653" s="75"/>
      <c r="M653" s="49"/>
      <c r="N653" s="76"/>
      <c r="O653" s="49"/>
      <c r="P653" s="77"/>
      <c r="Q653" s="53"/>
      <c r="R653" s="54"/>
      <c r="S653" s="55"/>
      <c r="T653" s="56"/>
      <c r="U653" s="56"/>
      <c r="V653" s="42"/>
      <c r="W653" s="57"/>
      <c r="X653" s="58"/>
      <c r="Y653" s="75"/>
      <c r="Z653" s="59"/>
      <c r="AA653" s="61"/>
      <c r="AB653" s="61"/>
      <c r="AC653" s="61"/>
      <c r="AD653" s="62"/>
      <c r="AE653" s="62"/>
      <c r="AF653" s="34"/>
      <c r="AG653" s="34"/>
      <c r="AH653" s="34"/>
      <c r="AI653" s="34"/>
      <c r="AJ653" s="34"/>
      <c r="AK653" s="34"/>
      <c r="AL653" s="34"/>
      <c r="AM653" s="34"/>
      <c r="AN653" s="34"/>
      <c r="AO653" s="34"/>
      <c r="AP653" s="34"/>
      <c r="AQ653" s="34"/>
      <c r="AR653" s="34"/>
      <c r="AS653" s="34"/>
      <c r="AT653" s="34"/>
      <c r="AU653" s="34"/>
      <c r="AV653" s="34"/>
      <c r="AW653" s="34"/>
      <c r="AX653" s="34"/>
      <c r="AY653" s="34"/>
      <c r="AZ653" s="34"/>
      <c r="BA653" s="34"/>
      <c r="BB653" s="34"/>
      <c r="BD653" s="34"/>
      <c r="BE653" s="34"/>
      <c r="BF653" s="34"/>
      <c r="BG653" s="34"/>
      <c r="BH653" s="34"/>
      <c r="BI653" s="34"/>
      <c r="BJ653" s="34"/>
      <c r="BK653" s="34"/>
      <c r="BL653" s="34"/>
      <c r="BM653" s="34"/>
      <c r="BN653" s="34"/>
      <c r="BO653" s="34"/>
      <c r="BP653" s="34"/>
      <c r="BQ653" s="34"/>
      <c r="BR653" s="34"/>
      <c r="BS653" s="34"/>
      <c r="BT653" s="34"/>
      <c r="BU653" s="34"/>
      <c r="BV653" s="34"/>
      <c r="BW653" s="34"/>
      <c r="BX653" s="34"/>
      <c r="BY653" s="34"/>
    </row>
    <row r="654" spans="1:77" x14ac:dyDescent="0.3">
      <c r="A654" s="39"/>
      <c r="B654" s="42"/>
      <c r="C654" s="42"/>
      <c r="D654" s="75"/>
      <c r="E654" s="75"/>
      <c r="F654" s="76"/>
      <c r="G654" s="47"/>
      <c r="H654" s="47"/>
      <c r="I654" s="75"/>
      <c r="J654" s="76"/>
      <c r="K654" s="76"/>
      <c r="L654" s="75"/>
      <c r="M654" s="49"/>
      <c r="N654" s="76"/>
      <c r="O654" s="49"/>
      <c r="P654" s="77"/>
      <c r="Q654" s="53"/>
      <c r="R654" s="54"/>
      <c r="S654" s="55"/>
      <c r="T654" s="56"/>
      <c r="U654" s="56"/>
      <c r="V654" s="42"/>
      <c r="W654" s="57"/>
      <c r="X654" s="58"/>
      <c r="Y654" s="75"/>
      <c r="Z654" s="59"/>
      <c r="AA654" s="61"/>
      <c r="AB654" s="61"/>
      <c r="AC654" s="61"/>
      <c r="AD654" s="62"/>
      <c r="AE654" s="62"/>
      <c r="AF654" s="34"/>
      <c r="AG654" s="34"/>
      <c r="AH654" s="34"/>
      <c r="AI654" s="34"/>
      <c r="AJ654" s="34"/>
      <c r="AK654" s="34"/>
      <c r="AL654" s="34"/>
      <c r="AM654" s="34"/>
      <c r="AN654" s="34"/>
      <c r="AO654" s="34"/>
      <c r="AP654" s="34"/>
      <c r="AQ654" s="34"/>
      <c r="AR654" s="34"/>
      <c r="AS654" s="34"/>
      <c r="AT654" s="34"/>
      <c r="AU654" s="34"/>
      <c r="AV654" s="34"/>
      <c r="AW654" s="34"/>
      <c r="AX654" s="34"/>
      <c r="AY654" s="34"/>
      <c r="AZ654" s="34"/>
      <c r="BA654" s="34"/>
      <c r="BB654" s="34"/>
      <c r="BD654" s="34"/>
      <c r="BE654" s="34"/>
      <c r="BF654" s="34"/>
      <c r="BG654" s="34"/>
      <c r="BH654" s="34"/>
      <c r="BI654" s="34"/>
      <c r="BJ654" s="34"/>
      <c r="BK654" s="34"/>
      <c r="BL654" s="34"/>
      <c r="BM654" s="34"/>
      <c r="BN654" s="34"/>
      <c r="BO654" s="34"/>
      <c r="BP654" s="34"/>
      <c r="BQ654" s="34"/>
      <c r="BR654" s="34"/>
      <c r="BS654" s="34"/>
      <c r="BT654" s="34"/>
      <c r="BU654" s="34"/>
      <c r="BV654" s="34"/>
      <c r="BW654" s="34"/>
      <c r="BX654" s="34"/>
      <c r="BY654" s="34"/>
    </row>
    <row r="655" spans="1:77" x14ac:dyDescent="0.3">
      <c r="A655" s="39"/>
      <c r="B655" s="42"/>
      <c r="C655" s="42"/>
      <c r="D655" s="75"/>
      <c r="E655" s="75"/>
      <c r="F655" s="76"/>
      <c r="G655" s="47"/>
      <c r="H655" s="47"/>
      <c r="I655" s="75"/>
      <c r="J655" s="76"/>
      <c r="K655" s="76"/>
      <c r="L655" s="75"/>
      <c r="M655" s="49"/>
      <c r="N655" s="76"/>
      <c r="O655" s="49"/>
      <c r="P655" s="77"/>
      <c r="Q655" s="53"/>
      <c r="R655" s="54"/>
      <c r="S655" s="55"/>
      <c r="T655" s="56"/>
      <c r="U655" s="56"/>
      <c r="V655" s="42"/>
      <c r="W655" s="57"/>
      <c r="X655" s="58"/>
      <c r="Y655" s="75"/>
      <c r="Z655" s="59"/>
      <c r="AA655" s="61"/>
      <c r="AB655" s="61"/>
      <c r="AC655" s="61"/>
      <c r="AD655" s="62"/>
      <c r="AE655" s="62"/>
      <c r="AF655" s="34"/>
      <c r="AG655" s="34"/>
      <c r="AH655" s="34"/>
      <c r="AI655" s="34"/>
      <c r="AJ655" s="34"/>
      <c r="AK655" s="34"/>
      <c r="AL655" s="34"/>
      <c r="AM655" s="34"/>
      <c r="AN655" s="34"/>
      <c r="AO655" s="34"/>
      <c r="AP655" s="34"/>
      <c r="AQ655" s="34"/>
      <c r="AR655" s="34"/>
      <c r="AS655" s="34"/>
      <c r="AT655" s="34"/>
      <c r="AU655" s="34"/>
      <c r="AV655" s="34"/>
      <c r="AW655" s="34"/>
      <c r="AX655" s="34"/>
      <c r="AY655" s="34"/>
      <c r="AZ655" s="34"/>
      <c r="BA655" s="34"/>
      <c r="BB655" s="34"/>
      <c r="BD655" s="34"/>
      <c r="BE655" s="34"/>
      <c r="BF655" s="34"/>
      <c r="BG655" s="34"/>
      <c r="BH655" s="34"/>
      <c r="BI655" s="34"/>
      <c r="BJ655" s="34"/>
      <c r="BK655" s="34"/>
      <c r="BL655" s="34"/>
      <c r="BM655" s="34"/>
      <c r="BN655" s="34"/>
      <c r="BO655" s="34"/>
      <c r="BP655" s="34"/>
      <c r="BQ655" s="34"/>
      <c r="BR655" s="34"/>
      <c r="BS655" s="34"/>
      <c r="BT655" s="34"/>
      <c r="BU655" s="34"/>
      <c r="BV655" s="34"/>
      <c r="BW655" s="34"/>
      <c r="BX655" s="34"/>
      <c r="BY655" s="34"/>
    </row>
    <row r="656" spans="1:77" x14ac:dyDescent="0.3">
      <c r="A656" s="39"/>
      <c r="B656" s="42"/>
      <c r="C656" s="42"/>
      <c r="D656" s="75"/>
      <c r="E656" s="75"/>
      <c r="F656" s="76"/>
      <c r="G656" s="47"/>
      <c r="H656" s="47"/>
      <c r="I656" s="75"/>
      <c r="J656" s="76"/>
      <c r="K656" s="76"/>
      <c r="L656" s="75"/>
      <c r="M656" s="49"/>
      <c r="N656" s="76"/>
      <c r="O656" s="49"/>
      <c r="P656" s="77"/>
      <c r="Q656" s="53"/>
      <c r="R656" s="54"/>
      <c r="S656" s="55"/>
      <c r="T656" s="56"/>
      <c r="U656" s="56"/>
      <c r="V656" s="42"/>
      <c r="W656" s="57"/>
      <c r="X656" s="58"/>
      <c r="Y656" s="75"/>
      <c r="Z656" s="59"/>
      <c r="AA656" s="61"/>
      <c r="AB656" s="61"/>
      <c r="AC656" s="61"/>
      <c r="AD656" s="62"/>
      <c r="AE656" s="62"/>
      <c r="AF656" s="34"/>
      <c r="AG656" s="34"/>
      <c r="AH656" s="34"/>
      <c r="AI656" s="34"/>
      <c r="AJ656" s="34"/>
      <c r="AK656" s="34"/>
      <c r="AL656" s="34"/>
      <c r="AM656" s="34"/>
      <c r="AN656" s="34"/>
      <c r="AO656" s="34"/>
      <c r="AP656" s="34"/>
      <c r="AQ656" s="34"/>
      <c r="AR656" s="34"/>
      <c r="AS656" s="34"/>
      <c r="AT656" s="34"/>
      <c r="AU656" s="34"/>
      <c r="AV656" s="34"/>
      <c r="AW656" s="34"/>
      <c r="AX656" s="34"/>
      <c r="AY656" s="34"/>
      <c r="AZ656" s="34"/>
      <c r="BA656" s="34"/>
      <c r="BB656" s="34"/>
      <c r="BD656" s="34"/>
      <c r="BE656" s="34"/>
      <c r="BF656" s="34"/>
      <c r="BG656" s="34"/>
      <c r="BH656" s="34"/>
      <c r="BI656" s="34"/>
      <c r="BJ656" s="34"/>
      <c r="BK656" s="34"/>
      <c r="BL656" s="34"/>
      <c r="BM656" s="34"/>
      <c r="BN656" s="34"/>
      <c r="BO656" s="34"/>
      <c r="BP656" s="34"/>
      <c r="BQ656" s="34"/>
      <c r="BR656" s="34"/>
      <c r="BS656" s="34"/>
      <c r="BT656" s="34"/>
      <c r="BU656" s="34"/>
      <c r="BV656" s="34"/>
      <c r="BW656" s="34"/>
      <c r="BX656" s="34"/>
      <c r="BY656" s="34"/>
    </row>
    <row r="657" spans="1:77" x14ac:dyDescent="0.3">
      <c r="A657" s="39"/>
      <c r="B657" s="42"/>
      <c r="C657" s="42"/>
      <c r="D657" s="75"/>
      <c r="E657" s="75"/>
      <c r="F657" s="76"/>
      <c r="G657" s="47"/>
      <c r="H657" s="47"/>
      <c r="I657" s="75"/>
      <c r="J657" s="76"/>
      <c r="K657" s="76"/>
      <c r="L657" s="75"/>
      <c r="M657" s="49"/>
      <c r="N657" s="76"/>
      <c r="O657" s="49"/>
      <c r="P657" s="77"/>
      <c r="Q657" s="53"/>
      <c r="R657" s="54"/>
      <c r="S657" s="55"/>
      <c r="T657" s="56"/>
      <c r="U657" s="56"/>
      <c r="V657" s="42"/>
      <c r="W657" s="57"/>
      <c r="X657" s="58"/>
      <c r="Y657" s="75"/>
      <c r="Z657" s="59"/>
      <c r="AA657" s="61"/>
      <c r="AB657" s="61"/>
      <c r="AC657" s="61"/>
      <c r="AD657" s="62"/>
      <c r="AE657" s="62"/>
      <c r="AF657" s="34"/>
      <c r="AG657" s="34"/>
      <c r="AH657" s="34"/>
      <c r="AI657" s="34"/>
      <c r="AJ657" s="34"/>
      <c r="AK657" s="34"/>
      <c r="AL657" s="34"/>
      <c r="AM657" s="34"/>
      <c r="AN657" s="34"/>
      <c r="AO657" s="34"/>
      <c r="AP657" s="34"/>
      <c r="AQ657" s="34"/>
      <c r="AR657" s="34"/>
      <c r="AS657" s="34"/>
      <c r="AT657" s="34"/>
      <c r="AU657" s="34"/>
      <c r="AV657" s="34"/>
      <c r="AW657" s="34"/>
      <c r="AX657" s="34"/>
      <c r="AY657" s="34"/>
      <c r="AZ657" s="34"/>
      <c r="BA657" s="34"/>
      <c r="BB657" s="34"/>
      <c r="BD657" s="34"/>
      <c r="BE657" s="34"/>
      <c r="BF657" s="34"/>
      <c r="BG657" s="34"/>
      <c r="BH657" s="34"/>
      <c r="BI657" s="34"/>
      <c r="BJ657" s="34"/>
      <c r="BK657" s="34"/>
      <c r="BL657" s="34"/>
      <c r="BM657" s="34"/>
      <c r="BN657" s="34"/>
      <c r="BO657" s="34"/>
      <c r="BP657" s="34"/>
      <c r="BQ657" s="34"/>
      <c r="BR657" s="34"/>
      <c r="BS657" s="34"/>
      <c r="BT657" s="34"/>
      <c r="BU657" s="34"/>
      <c r="BV657" s="34"/>
      <c r="BW657" s="34"/>
      <c r="BX657" s="34"/>
      <c r="BY657" s="34"/>
    </row>
    <row r="658" spans="1:77" x14ac:dyDescent="0.3">
      <c r="A658" s="39"/>
      <c r="B658" s="42"/>
      <c r="C658" s="42"/>
      <c r="D658" s="75"/>
      <c r="E658" s="75"/>
      <c r="F658" s="76"/>
      <c r="G658" s="47"/>
      <c r="H658" s="47"/>
      <c r="I658" s="75"/>
      <c r="J658" s="76"/>
      <c r="K658" s="76"/>
      <c r="L658" s="75"/>
      <c r="M658" s="49"/>
      <c r="N658" s="76"/>
      <c r="O658" s="49"/>
      <c r="P658" s="77"/>
      <c r="Q658" s="53"/>
      <c r="R658" s="54"/>
      <c r="S658" s="55"/>
      <c r="T658" s="56"/>
      <c r="U658" s="56"/>
      <c r="V658" s="42"/>
      <c r="W658" s="57"/>
      <c r="X658" s="58"/>
      <c r="Y658" s="75"/>
      <c r="Z658" s="59"/>
      <c r="AA658" s="61"/>
      <c r="AB658" s="61"/>
      <c r="AC658" s="61"/>
      <c r="AD658" s="62"/>
      <c r="AE658" s="62"/>
      <c r="AF658" s="34"/>
      <c r="AG658" s="34"/>
      <c r="AH658" s="34"/>
      <c r="AI658" s="34"/>
      <c r="AJ658" s="34"/>
      <c r="AK658" s="34"/>
      <c r="AL658" s="34"/>
      <c r="AM658" s="34"/>
      <c r="AN658" s="34"/>
      <c r="AO658" s="34"/>
      <c r="AP658" s="34"/>
      <c r="AQ658" s="34"/>
      <c r="AR658" s="34"/>
      <c r="AS658" s="34"/>
      <c r="AT658" s="34"/>
      <c r="AU658" s="34"/>
      <c r="AV658" s="34"/>
      <c r="AW658" s="34"/>
      <c r="AX658" s="34"/>
      <c r="AY658" s="34"/>
      <c r="AZ658" s="34"/>
      <c r="BA658" s="34"/>
      <c r="BB658" s="34"/>
      <c r="BD658" s="34"/>
      <c r="BE658" s="34"/>
      <c r="BF658" s="34"/>
      <c r="BG658" s="34"/>
      <c r="BH658" s="34"/>
      <c r="BI658" s="34"/>
      <c r="BJ658" s="34"/>
      <c r="BK658" s="34"/>
      <c r="BL658" s="34"/>
      <c r="BM658" s="34"/>
      <c r="BN658" s="34"/>
      <c r="BO658" s="34"/>
      <c r="BP658" s="34"/>
      <c r="BQ658" s="34"/>
      <c r="BR658" s="34"/>
      <c r="BS658" s="34"/>
      <c r="BT658" s="34"/>
      <c r="BU658" s="34"/>
      <c r="BV658" s="34"/>
      <c r="BW658" s="34"/>
      <c r="BX658" s="34"/>
      <c r="BY658" s="34"/>
    </row>
    <row r="659" spans="1:77" x14ac:dyDescent="0.3">
      <c r="A659" s="39"/>
      <c r="B659" s="42"/>
      <c r="C659" s="42"/>
      <c r="D659" s="75"/>
      <c r="E659" s="75"/>
      <c r="F659" s="76"/>
      <c r="G659" s="47"/>
      <c r="H659" s="47"/>
      <c r="I659" s="75"/>
      <c r="J659" s="76"/>
      <c r="K659" s="76"/>
      <c r="L659" s="75"/>
      <c r="M659" s="49"/>
      <c r="N659" s="76"/>
      <c r="O659" s="49"/>
      <c r="P659" s="77"/>
      <c r="Q659" s="53"/>
      <c r="R659" s="54"/>
      <c r="S659" s="55"/>
      <c r="T659" s="56"/>
      <c r="U659" s="56"/>
      <c r="V659" s="42"/>
      <c r="W659" s="57"/>
      <c r="X659" s="58"/>
      <c r="Y659" s="75"/>
      <c r="Z659" s="59"/>
      <c r="AA659" s="61"/>
      <c r="AB659" s="61"/>
      <c r="AC659" s="61"/>
      <c r="AD659" s="62"/>
      <c r="AE659" s="62"/>
      <c r="AF659" s="34"/>
      <c r="AG659" s="34"/>
      <c r="AH659" s="34"/>
      <c r="AI659" s="34"/>
      <c r="AJ659" s="34"/>
      <c r="AK659" s="34"/>
      <c r="AL659" s="34"/>
      <c r="AM659" s="34"/>
      <c r="AN659" s="34"/>
      <c r="AO659" s="34"/>
      <c r="AP659" s="34"/>
      <c r="AQ659" s="34"/>
      <c r="AR659" s="34"/>
      <c r="AS659" s="34"/>
      <c r="AT659" s="34"/>
      <c r="AU659" s="34"/>
      <c r="AV659" s="34"/>
      <c r="AW659" s="34"/>
      <c r="AX659" s="34"/>
      <c r="AY659" s="34"/>
      <c r="AZ659" s="34"/>
      <c r="BA659" s="34"/>
      <c r="BB659" s="34"/>
      <c r="BD659" s="34"/>
      <c r="BE659" s="34"/>
      <c r="BF659" s="34"/>
      <c r="BG659" s="34"/>
      <c r="BH659" s="34"/>
      <c r="BI659" s="34"/>
      <c r="BJ659" s="34"/>
      <c r="BK659" s="34"/>
      <c r="BL659" s="34"/>
      <c r="BM659" s="34"/>
      <c r="BN659" s="34"/>
      <c r="BO659" s="34"/>
      <c r="BP659" s="34"/>
      <c r="BQ659" s="34"/>
      <c r="BR659" s="34"/>
      <c r="BS659" s="34"/>
      <c r="BT659" s="34"/>
      <c r="BU659" s="34"/>
      <c r="BV659" s="34"/>
      <c r="BW659" s="34"/>
      <c r="BX659" s="34"/>
      <c r="BY659" s="34"/>
    </row>
    <row r="660" spans="1:77" x14ac:dyDescent="0.3">
      <c r="A660" s="39"/>
      <c r="B660" s="42"/>
      <c r="C660" s="42"/>
      <c r="D660" s="75"/>
      <c r="E660" s="75"/>
      <c r="F660" s="76"/>
      <c r="G660" s="47"/>
      <c r="H660" s="47"/>
      <c r="I660" s="75"/>
      <c r="J660" s="76"/>
      <c r="K660" s="76"/>
      <c r="L660" s="75"/>
      <c r="M660" s="49"/>
      <c r="N660" s="76"/>
      <c r="O660" s="49"/>
      <c r="P660" s="77"/>
      <c r="Q660" s="53"/>
      <c r="R660" s="54"/>
      <c r="S660" s="55"/>
      <c r="T660" s="56"/>
      <c r="U660" s="56"/>
      <c r="V660" s="42"/>
      <c r="W660" s="57"/>
      <c r="X660" s="58"/>
      <c r="Y660" s="75"/>
      <c r="Z660" s="59"/>
      <c r="AA660" s="61"/>
      <c r="AB660" s="61"/>
      <c r="AC660" s="61"/>
      <c r="AD660" s="62"/>
      <c r="AE660" s="62"/>
      <c r="AF660" s="34"/>
      <c r="AG660" s="34"/>
      <c r="AH660" s="34"/>
      <c r="AI660" s="34"/>
      <c r="AJ660" s="34"/>
      <c r="AK660" s="34"/>
      <c r="AL660" s="34"/>
      <c r="AM660" s="34"/>
      <c r="AN660" s="34"/>
      <c r="AO660" s="34"/>
      <c r="AP660" s="34"/>
      <c r="AQ660" s="34"/>
      <c r="AR660" s="34"/>
      <c r="AS660" s="34"/>
      <c r="AT660" s="34"/>
      <c r="AU660" s="34"/>
      <c r="AV660" s="34"/>
      <c r="AW660" s="34"/>
      <c r="AX660" s="34"/>
      <c r="AY660" s="34"/>
      <c r="AZ660" s="34"/>
      <c r="BA660" s="34"/>
      <c r="BB660" s="34"/>
      <c r="BD660" s="34"/>
      <c r="BE660" s="34"/>
      <c r="BF660" s="34"/>
      <c r="BG660" s="34"/>
      <c r="BH660" s="34"/>
      <c r="BI660" s="34"/>
      <c r="BJ660" s="34"/>
      <c r="BK660" s="34"/>
      <c r="BL660" s="34"/>
      <c r="BM660" s="34"/>
      <c r="BN660" s="34"/>
      <c r="BO660" s="34"/>
      <c r="BP660" s="34"/>
      <c r="BQ660" s="34"/>
      <c r="BR660" s="34"/>
      <c r="BS660" s="34"/>
      <c r="BT660" s="34"/>
      <c r="BU660" s="34"/>
      <c r="BV660" s="34"/>
      <c r="BW660" s="34"/>
      <c r="BX660" s="34"/>
      <c r="BY660" s="34"/>
    </row>
    <row r="661" spans="1:77" x14ac:dyDescent="0.3">
      <c r="A661" s="39"/>
      <c r="B661" s="42"/>
      <c r="C661" s="42"/>
      <c r="D661" s="75"/>
      <c r="E661" s="75"/>
      <c r="F661" s="76"/>
      <c r="G661" s="47"/>
      <c r="H661" s="47"/>
      <c r="I661" s="75"/>
      <c r="J661" s="76"/>
      <c r="K661" s="76"/>
      <c r="L661" s="75"/>
      <c r="M661" s="49"/>
      <c r="N661" s="76"/>
      <c r="O661" s="49"/>
      <c r="P661" s="77"/>
      <c r="Q661" s="53"/>
      <c r="R661" s="54"/>
      <c r="S661" s="55"/>
      <c r="T661" s="56"/>
      <c r="U661" s="56"/>
      <c r="V661" s="42"/>
      <c r="W661" s="57"/>
      <c r="X661" s="58"/>
      <c r="Y661" s="75"/>
      <c r="Z661" s="59"/>
      <c r="AA661" s="61"/>
      <c r="AB661" s="61"/>
      <c r="AC661" s="61"/>
      <c r="AD661" s="62"/>
      <c r="AE661" s="62"/>
      <c r="AF661" s="34"/>
      <c r="AG661" s="34"/>
      <c r="AH661" s="34"/>
      <c r="AI661" s="34"/>
      <c r="AJ661" s="34"/>
      <c r="AK661" s="34"/>
      <c r="AL661" s="34"/>
      <c r="AM661" s="34"/>
      <c r="AN661" s="34"/>
      <c r="AO661" s="34"/>
      <c r="AP661" s="34"/>
      <c r="AQ661" s="34"/>
      <c r="AR661" s="34"/>
      <c r="AS661" s="34"/>
      <c r="AT661" s="34"/>
      <c r="AU661" s="34"/>
      <c r="AV661" s="34"/>
      <c r="AW661" s="34"/>
      <c r="AX661" s="34"/>
      <c r="AY661" s="34"/>
      <c r="AZ661" s="34"/>
      <c r="BA661" s="34"/>
      <c r="BB661" s="34"/>
      <c r="BD661" s="34"/>
      <c r="BE661" s="34"/>
      <c r="BF661" s="34"/>
      <c r="BG661" s="34"/>
      <c r="BH661" s="34"/>
      <c r="BI661" s="34"/>
      <c r="BJ661" s="34"/>
      <c r="BK661" s="34"/>
      <c r="BL661" s="34"/>
      <c r="BM661" s="34"/>
      <c r="BN661" s="34"/>
      <c r="BO661" s="34"/>
      <c r="BP661" s="34"/>
      <c r="BQ661" s="34"/>
      <c r="BR661" s="34"/>
      <c r="BS661" s="34"/>
      <c r="BT661" s="34"/>
      <c r="BU661" s="34"/>
      <c r="BV661" s="34"/>
      <c r="BW661" s="34"/>
      <c r="BX661" s="34"/>
      <c r="BY661" s="34"/>
    </row>
    <row r="662" spans="1:77" x14ac:dyDescent="0.3">
      <c r="A662" s="39"/>
      <c r="B662" s="42"/>
      <c r="C662" s="42"/>
      <c r="D662" s="75"/>
      <c r="E662" s="75"/>
      <c r="F662" s="76"/>
      <c r="G662" s="47"/>
      <c r="H662" s="47"/>
      <c r="I662" s="75"/>
      <c r="J662" s="76"/>
      <c r="K662" s="76"/>
      <c r="L662" s="75"/>
      <c r="M662" s="49"/>
      <c r="N662" s="76"/>
      <c r="O662" s="49"/>
      <c r="P662" s="77"/>
      <c r="Q662" s="53"/>
      <c r="R662" s="54"/>
      <c r="S662" s="55"/>
      <c r="T662" s="56"/>
      <c r="U662" s="56"/>
      <c r="V662" s="42"/>
      <c r="W662" s="57"/>
      <c r="X662" s="58"/>
      <c r="Y662" s="75"/>
      <c r="Z662" s="59"/>
      <c r="AA662" s="61"/>
      <c r="AB662" s="61"/>
      <c r="AC662" s="61"/>
      <c r="AD662" s="62"/>
      <c r="AE662" s="62"/>
      <c r="AF662" s="34"/>
      <c r="AG662" s="34"/>
      <c r="AH662" s="34"/>
      <c r="AI662" s="34"/>
      <c r="AJ662" s="34"/>
      <c r="AK662" s="34"/>
      <c r="AL662" s="34"/>
      <c r="AM662" s="34"/>
      <c r="AN662" s="34"/>
      <c r="AO662" s="34"/>
      <c r="AP662" s="34"/>
      <c r="AQ662" s="34"/>
      <c r="AR662" s="34"/>
      <c r="AS662" s="34"/>
      <c r="AT662" s="34"/>
      <c r="AU662" s="34"/>
      <c r="AV662" s="34"/>
      <c r="AW662" s="34"/>
      <c r="AX662" s="34"/>
      <c r="AY662" s="34"/>
      <c r="AZ662" s="34"/>
      <c r="BA662" s="34"/>
      <c r="BB662" s="34"/>
      <c r="BD662" s="34"/>
      <c r="BE662" s="34"/>
      <c r="BF662" s="34"/>
      <c r="BG662" s="34"/>
      <c r="BH662" s="34"/>
      <c r="BI662" s="34"/>
      <c r="BJ662" s="34"/>
      <c r="BK662" s="34"/>
      <c r="BL662" s="34"/>
      <c r="BM662" s="34"/>
      <c r="BN662" s="34"/>
      <c r="BO662" s="34"/>
      <c r="BP662" s="34"/>
      <c r="BQ662" s="34"/>
      <c r="BR662" s="34"/>
      <c r="BS662" s="34"/>
      <c r="BT662" s="34"/>
      <c r="BU662" s="34"/>
      <c r="BV662" s="34"/>
      <c r="BW662" s="34"/>
      <c r="BX662" s="34"/>
      <c r="BY662" s="34"/>
    </row>
    <row r="663" spans="1:77" x14ac:dyDescent="0.3">
      <c r="A663" s="39"/>
      <c r="B663" s="42"/>
      <c r="C663" s="42"/>
      <c r="D663" s="75"/>
      <c r="E663" s="75"/>
      <c r="F663" s="76"/>
      <c r="G663" s="47"/>
      <c r="H663" s="47"/>
      <c r="I663" s="75"/>
      <c r="J663" s="76"/>
      <c r="K663" s="76"/>
      <c r="L663" s="75"/>
      <c r="M663" s="49"/>
      <c r="N663" s="76"/>
      <c r="O663" s="49"/>
      <c r="P663" s="77"/>
      <c r="Q663" s="53"/>
      <c r="R663" s="54"/>
      <c r="S663" s="55"/>
      <c r="T663" s="56"/>
      <c r="U663" s="56"/>
      <c r="V663" s="42"/>
      <c r="W663" s="57"/>
      <c r="X663" s="58"/>
      <c r="Y663" s="75"/>
      <c r="Z663" s="59"/>
      <c r="AA663" s="61"/>
      <c r="AB663" s="61"/>
      <c r="AC663" s="61"/>
      <c r="AD663" s="62"/>
      <c r="AE663" s="62"/>
      <c r="AF663" s="34"/>
      <c r="AG663" s="34"/>
      <c r="AH663" s="34"/>
      <c r="AI663" s="34"/>
      <c r="AJ663" s="34"/>
      <c r="AK663" s="34"/>
      <c r="AL663" s="34"/>
      <c r="AM663" s="34"/>
      <c r="AN663" s="34"/>
      <c r="AO663" s="34"/>
      <c r="AP663" s="34"/>
      <c r="AQ663" s="34"/>
      <c r="AR663" s="34"/>
      <c r="AS663" s="34"/>
      <c r="AT663" s="34"/>
      <c r="AU663" s="34"/>
      <c r="AV663" s="34"/>
      <c r="AW663" s="34"/>
      <c r="AX663" s="34"/>
      <c r="AY663" s="34"/>
      <c r="AZ663" s="34"/>
      <c r="BA663" s="34"/>
      <c r="BB663" s="34"/>
      <c r="BD663" s="34"/>
      <c r="BE663" s="34"/>
      <c r="BF663" s="34"/>
      <c r="BG663" s="34"/>
      <c r="BH663" s="34"/>
      <c r="BI663" s="34"/>
      <c r="BJ663" s="34"/>
      <c r="BK663" s="34"/>
      <c r="BL663" s="34"/>
      <c r="BM663" s="34"/>
      <c r="BN663" s="34"/>
      <c r="BO663" s="34"/>
      <c r="BP663" s="34"/>
      <c r="BQ663" s="34"/>
      <c r="BR663" s="34"/>
      <c r="BS663" s="34"/>
      <c r="BT663" s="34"/>
      <c r="BU663" s="34"/>
      <c r="BV663" s="34"/>
      <c r="BW663" s="34"/>
      <c r="BX663" s="34"/>
      <c r="BY663" s="34"/>
    </row>
    <row r="664" spans="1:77" x14ac:dyDescent="0.3">
      <c r="A664" s="39"/>
      <c r="B664" s="42"/>
      <c r="C664" s="42"/>
      <c r="D664" s="75"/>
      <c r="E664" s="75"/>
      <c r="F664" s="76"/>
      <c r="G664" s="47"/>
      <c r="H664" s="47"/>
      <c r="I664" s="75"/>
      <c r="J664" s="76"/>
      <c r="K664" s="76"/>
      <c r="L664" s="75"/>
      <c r="M664" s="49"/>
      <c r="N664" s="76"/>
      <c r="O664" s="49"/>
      <c r="P664" s="77"/>
      <c r="Q664" s="53"/>
      <c r="R664" s="54"/>
      <c r="S664" s="55"/>
      <c r="T664" s="56"/>
      <c r="U664" s="56"/>
      <c r="V664" s="42"/>
      <c r="W664" s="57"/>
      <c r="X664" s="58"/>
      <c r="Y664" s="75"/>
      <c r="Z664" s="59"/>
      <c r="AA664" s="61"/>
      <c r="AB664" s="61"/>
      <c r="AC664" s="61"/>
      <c r="AD664" s="62"/>
      <c r="AE664" s="62"/>
      <c r="AF664" s="34"/>
      <c r="AG664" s="34"/>
      <c r="AH664" s="34"/>
      <c r="AI664" s="34"/>
      <c r="AJ664" s="34"/>
      <c r="AK664" s="34"/>
      <c r="AL664" s="34"/>
      <c r="AM664" s="34"/>
      <c r="AN664" s="34"/>
      <c r="AO664" s="34"/>
      <c r="AP664" s="34"/>
      <c r="AQ664" s="34"/>
      <c r="AR664" s="34"/>
      <c r="AS664" s="34"/>
      <c r="AT664" s="34"/>
      <c r="AU664" s="34"/>
      <c r="AV664" s="34"/>
      <c r="AW664" s="34"/>
      <c r="AX664" s="34"/>
      <c r="AY664" s="34"/>
      <c r="AZ664" s="34"/>
      <c r="BA664" s="34"/>
      <c r="BB664" s="34"/>
      <c r="BD664" s="34"/>
      <c r="BE664" s="34"/>
      <c r="BF664" s="34"/>
      <c r="BG664" s="34"/>
      <c r="BH664" s="34"/>
      <c r="BI664" s="34"/>
      <c r="BJ664" s="34"/>
      <c r="BK664" s="34"/>
      <c r="BL664" s="34"/>
      <c r="BM664" s="34"/>
      <c r="BN664" s="34"/>
      <c r="BO664" s="34"/>
      <c r="BP664" s="34"/>
      <c r="BQ664" s="34"/>
      <c r="BR664" s="34"/>
      <c r="BS664" s="34"/>
      <c r="BT664" s="34"/>
      <c r="BU664" s="34"/>
      <c r="BV664" s="34"/>
      <c r="BW664" s="34"/>
      <c r="BX664" s="34"/>
      <c r="BY664" s="34"/>
    </row>
    <row r="665" spans="1:77" x14ac:dyDescent="0.3">
      <c r="A665" s="39"/>
      <c r="B665" s="42"/>
      <c r="C665" s="42"/>
      <c r="D665" s="75"/>
      <c r="E665" s="75"/>
      <c r="F665" s="76"/>
      <c r="G665" s="47"/>
      <c r="H665" s="47"/>
      <c r="I665" s="75"/>
      <c r="J665" s="76"/>
      <c r="K665" s="76"/>
      <c r="L665" s="75"/>
      <c r="M665" s="49"/>
      <c r="N665" s="76"/>
      <c r="O665" s="49"/>
      <c r="P665" s="77"/>
      <c r="Q665" s="53"/>
      <c r="R665" s="54"/>
      <c r="S665" s="55"/>
      <c r="T665" s="56"/>
      <c r="U665" s="56"/>
      <c r="V665" s="42"/>
      <c r="W665" s="57"/>
      <c r="X665" s="58"/>
      <c r="Y665" s="75"/>
      <c r="Z665" s="59"/>
      <c r="AA665" s="61"/>
      <c r="AB665" s="61"/>
      <c r="AC665" s="61"/>
      <c r="AD665" s="62"/>
      <c r="AE665" s="62"/>
      <c r="AF665" s="34"/>
      <c r="AG665" s="34"/>
      <c r="AH665" s="34"/>
      <c r="AI665" s="34"/>
      <c r="AJ665" s="34"/>
      <c r="AK665" s="34"/>
      <c r="AL665" s="34"/>
      <c r="AM665" s="34"/>
      <c r="AN665" s="34"/>
      <c r="AO665" s="34"/>
      <c r="AP665" s="34"/>
      <c r="AQ665" s="34"/>
      <c r="AR665" s="34"/>
      <c r="AS665" s="34"/>
      <c r="AT665" s="34"/>
      <c r="AU665" s="34"/>
      <c r="AV665" s="34"/>
      <c r="AW665" s="34"/>
      <c r="AX665" s="34"/>
      <c r="AY665" s="34"/>
      <c r="AZ665" s="34"/>
      <c r="BA665" s="34"/>
      <c r="BB665" s="34"/>
      <c r="BD665" s="34"/>
      <c r="BE665" s="34"/>
      <c r="BF665" s="34"/>
      <c r="BG665" s="34"/>
      <c r="BH665" s="34"/>
      <c r="BI665" s="34"/>
      <c r="BJ665" s="34"/>
      <c r="BK665" s="34"/>
      <c r="BL665" s="34"/>
      <c r="BM665" s="34"/>
      <c r="BN665" s="34"/>
      <c r="BO665" s="34"/>
      <c r="BP665" s="34"/>
      <c r="BQ665" s="34"/>
      <c r="BR665" s="34"/>
      <c r="BS665" s="34"/>
      <c r="BT665" s="34"/>
      <c r="BU665" s="34"/>
      <c r="BV665" s="34"/>
      <c r="BW665" s="34"/>
      <c r="BX665" s="34"/>
      <c r="BY665" s="34"/>
    </row>
    <row r="666" spans="1:77" x14ac:dyDescent="0.3">
      <c r="A666" s="39"/>
      <c r="B666" s="42"/>
      <c r="C666" s="42"/>
      <c r="D666" s="75"/>
      <c r="E666" s="75"/>
      <c r="F666" s="76"/>
      <c r="G666" s="47"/>
      <c r="H666" s="47"/>
      <c r="I666" s="75"/>
      <c r="J666" s="76"/>
      <c r="K666" s="76"/>
      <c r="L666" s="75"/>
      <c r="M666" s="49"/>
      <c r="N666" s="76"/>
      <c r="O666" s="49"/>
      <c r="P666" s="77"/>
      <c r="Q666" s="53"/>
      <c r="R666" s="54"/>
      <c r="S666" s="55"/>
      <c r="T666" s="56"/>
      <c r="U666" s="56"/>
      <c r="V666" s="42"/>
      <c r="W666" s="57"/>
      <c r="X666" s="58"/>
      <c r="Y666" s="75"/>
      <c r="Z666" s="59"/>
      <c r="AA666" s="61"/>
      <c r="AB666" s="61"/>
      <c r="AC666" s="61"/>
      <c r="AD666" s="62"/>
      <c r="AE666" s="62"/>
      <c r="AF666" s="34"/>
      <c r="AG666" s="34"/>
      <c r="AH666" s="34"/>
      <c r="AI666" s="34"/>
      <c r="AJ666" s="34"/>
      <c r="AK666" s="34"/>
      <c r="AL666" s="34"/>
      <c r="AM666" s="34"/>
      <c r="AN666" s="34"/>
      <c r="AO666" s="34"/>
      <c r="AP666" s="34"/>
      <c r="AQ666" s="34"/>
      <c r="AR666" s="34"/>
      <c r="AS666" s="34"/>
      <c r="AT666" s="34"/>
      <c r="AU666" s="34"/>
      <c r="AV666" s="34"/>
      <c r="AW666" s="34"/>
      <c r="AX666" s="34"/>
      <c r="AY666" s="34"/>
      <c r="AZ666" s="34"/>
      <c r="BA666" s="34"/>
      <c r="BB666" s="34"/>
      <c r="BD666" s="34"/>
      <c r="BE666" s="34"/>
      <c r="BF666" s="34"/>
      <c r="BG666" s="34"/>
      <c r="BH666" s="34"/>
      <c r="BI666" s="34"/>
      <c r="BJ666" s="34"/>
      <c r="BK666" s="34"/>
      <c r="BL666" s="34"/>
      <c r="BM666" s="34"/>
      <c r="BN666" s="34"/>
      <c r="BO666" s="34"/>
      <c r="BP666" s="34"/>
      <c r="BQ666" s="34"/>
      <c r="BR666" s="34"/>
      <c r="BS666" s="34"/>
      <c r="BT666" s="34"/>
      <c r="BU666" s="34"/>
      <c r="BV666" s="34"/>
      <c r="BW666" s="34"/>
      <c r="BX666" s="34"/>
      <c r="BY666" s="34"/>
    </row>
    <row r="667" spans="1:77" x14ac:dyDescent="0.3">
      <c r="A667" s="39"/>
      <c r="B667" s="42"/>
      <c r="C667" s="42"/>
      <c r="D667" s="75"/>
      <c r="E667" s="75"/>
      <c r="F667" s="76"/>
      <c r="G667" s="47"/>
      <c r="H667" s="47"/>
      <c r="I667" s="75"/>
      <c r="J667" s="76"/>
      <c r="K667" s="76"/>
      <c r="L667" s="75"/>
      <c r="M667" s="49"/>
      <c r="N667" s="76"/>
      <c r="O667" s="49"/>
      <c r="P667" s="77"/>
      <c r="Q667" s="53"/>
      <c r="R667" s="54"/>
      <c r="S667" s="55"/>
      <c r="T667" s="56"/>
      <c r="U667" s="56"/>
      <c r="V667" s="42"/>
      <c r="W667" s="57"/>
      <c r="X667" s="58"/>
      <c r="Y667" s="75"/>
      <c r="Z667" s="59"/>
      <c r="AA667" s="61"/>
      <c r="AB667" s="61"/>
      <c r="AC667" s="61"/>
      <c r="AD667" s="62"/>
      <c r="AE667" s="62"/>
      <c r="AF667" s="34"/>
      <c r="AG667" s="34"/>
      <c r="AH667" s="34"/>
      <c r="AI667" s="34"/>
      <c r="AJ667" s="34"/>
      <c r="AK667" s="34"/>
      <c r="AL667" s="34"/>
      <c r="AM667" s="34"/>
      <c r="AN667" s="34"/>
      <c r="AO667" s="34"/>
      <c r="AP667" s="34"/>
      <c r="AQ667" s="34"/>
      <c r="AR667" s="34"/>
      <c r="AS667" s="34"/>
      <c r="AT667" s="34"/>
      <c r="AU667" s="34"/>
      <c r="AV667" s="34"/>
      <c r="AW667" s="34"/>
      <c r="AX667" s="34"/>
      <c r="AY667" s="34"/>
      <c r="AZ667" s="34"/>
      <c r="BA667" s="34"/>
      <c r="BB667" s="34"/>
      <c r="BD667" s="34"/>
      <c r="BE667" s="34"/>
      <c r="BF667" s="34"/>
      <c r="BG667" s="34"/>
      <c r="BH667" s="34"/>
      <c r="BI667" s="34"/>
      <c r="BJ667" s="34"/>
      <c r="BK667" s="34"/>
      <c r="BL667" s="34"/>
      <c r="BM667" s="34"/>
      <c r="BN667" s="34"/>
      <c r="BO667" s="34"/>
      <c r="BP667" s="34"/>
      <c r="BQ667" s="34"/>
      <c r="BR667" s="34"/>
      <c r="BS667" s="34"/>
      <c r="BT667" s="34"/>
      <c r="BU667" s="34"/>
      <c r="BV667" s="34"/>
      <c r="BW667" s="34"/>
      <c r="BX667" s="34"/>
      <c r="BY667" s="34"/>
    </row>
    <row r="668" spans="1:77" x14ac:dyDescent="0.3">
      <c r="A668" s="39"/>
      <c r="B668" s="42"/>
      <c r="C668" s="42"/>
      <c r="D668" s="75"/>
      <c r="E668" s="75"/>
      <c r="F668" s="76"/>
      <c r="G668" s="47"/>
      <c r="H668" s="47"/>
      <c r="I668" s="75"/>
      <c r="J668" s="76"/>
      <c r="K668" s="76"/>
      <c r="L668" s="75"/>
      <c r="M668" s="49"/>
      <c r="N668" s="76"/>
      <c r="O668" s="49"/>
      <c r="P668" s="77"/>
      <c r="Q668" s="53"/>
      <c r="R668" s="54"/>
      <c r="S668" s="55"/>
      <c r="T668" s="56"/>
      <c r="U668" s="56"/>
      <c r="V668" s="42"/>
      <c r="W668" s="57"/>
      <c r="X668" s="58"/>
      <c r="Y668" s="75"/>
      <c r="Z668" s="59"/>
      <c r="AA668" s="61"/>
      <c r="AB668" s="61"/>
      <c r="AC668" s="61"/>
      <c r="AD668" s="62"/>
      <c r="AE668" s="62"/>
      <c r="AF668" s="34"/>
      <c r="AG668" s="34"/>
      <c r="AH668" s="34"/>
      <c r="AI668" s="34"/>
      <c r="AJ668" s="34"/>
      <c r="AK668" s="34"/>
      <c r="AL668" s="34"/>
      <c r="AM668" s="34"/>
      <c r="AN668" s="34"/>
      <c r="AO668" s="34"/>
      <c r="AP668" s="34"/>
      <c r="AQ668" s="34"/>
      <c r="AR668" s="34"/>
      <c r="AS668" s="34"/>
      <c r="AT668" s="34"/>
      <c r="AU668" s="34"/>
      <c r="AV668" s="34"/>
      <c r="AW668" s="34"/>
      <c r="AX668" s="34"/>
      <c r="AY668" s="34"/>
      <c r="AZ668" s="34"/>
      <c r="BA668" s="34"/>
      <c r="BB668" s="34"/>
      <c r="BD668" s="34"/>
      <c r="BE668" s="34"/>
      <c r="BF668" s="34"/>
      <c r="BG668" s="34"/>
      <c r="BH668" s="34"/>
      <c r="BI668" s="34"/>
      <c r="BJ668" s="34"/>
      <c r="BK668" s="34"/>
      <c r="BL668" s="34"/>
      <c r="BM668" s="34"/>
      <c r="BN668" s="34"/>
      <c r="BO668" s="34"/>
      <c r="BP668" s="34"/>
      <c r="BQ668" s="34"/>
      <c r="BR668" s="34"/>
      <c r="BS668" s="34"/>
      <c r="BT668" s="34"/>
      <c r="BU668" s="34"/>
      <c r="BV668" s="34"/>
      <c r="BW668" s="34"/>
      <c r="BX668" s="34"/>
      <c r="BY668" s="34"/>
    </row>
    <row r="669" spans="1:77" x14ac:dyDescent="0.3">
      <c r="A669" s="39"/>
      <c r="B669" s="42"/>
      <c r="C669" s="42"/>
      <c r="D669" s="75"/>
      <c r="E669" s="75"/>
      <c r="F669" s="76"/>
      <c r="G669" s="47"/>
      <c r="H669" s="47"/>
      <c r="I669" s="75"/>
      <c r="J669" s="76"/>
      <c r="K669" s="76"/>
      <c r="L669" s="75"/>
      <c r="M669" s="49"/>
      <c r="N669" s="76"/>
      <c r="O669" s="49"/>
      <c r="P669" s="77"/>
      <c r="Q669" s="53"/>
      <c r="R669" s="54"/>
      <c r="S669" s="55"/>
      <c r="T669" s="56"/>
      <c r="U669" s="56"/>
      <c r="V669" s="42"/>
      <c r="W669" s="57"/>
      <c r="X669" s="58"/>
      <c r="Y669" s="75"/>
      <c r="Z669" s="59"/>
      <c r="AA669" s="61"/>
      <c r="AB669" s="61"/>
      <c r="AC669" s="61"/>
      <c r="AD669" s="62"/>
      <c r="AE669" s="62"/>
      <c r="AF669" s="34"/>
      <c r="AG669" s="34"/>
      <c r="AH669" s="34"/>
      <c r="AI669" s="34"/>
      <c r="AJ669" s="34"/>
      <c r="AK669" s="34"/>
      <c r="AL669" s="34"/>
      <c r="AM669" s="34"/>
      <c r="AN669" s="34"/>
      <c r="AO669" s="34"/>
      <c r="AP669" s="34"/>
      <c r="AQ669" s="34"/>
      <c r="AR669" s="34"/>
      <c r="AS669" s="34"/>
      <c r="AT669" s="34"/>
      <c r="AU669" s="34"/>
      <c r="AV669" s="34"/>
      <c r="AW669" s="34"/>
      <c r="AX669" s="34"/>
      <c r="AY669" s="34"/>
      <c r="AZ669" s="34"/>
      <c r="BA669" s="34"/>
      <c r="BB669" s="34"/>
      <c r="BD669" s="34"/>
      <c r="BE669" s="34"/>
      <c r="BF669" s="34"/>
      <c r="BG669" s="34"/>
      <c r="BH669" s="34"/>
      <c r="BI669" s="34"/>
      <c r="BJ669" s="34"/>
      <c r="BK669" s="34"/>
      <c r="BL669" s="34"/>
      <c r="BM669" s="34"/>
      <c r="BN669" s="34"/>
      <c r="BO669" s="34"/>
      <c r="BP669" s="34"/>
      <c r="BQ669" s="34"/>
      <c r="BR669" s="34"/>
      <c r="BS669" s="34"/>
      <c r="BT669" s="34"/>
      <c r="BU669" s="34"/>
      <c r="BV669" s="34"/>
      <c r="BW669" s="34"/>
      <c r="BX669" s="34"/>
      <c r="BY669" s="34"/>
    </row>
    <row r="670" spans="1:77" x14ac:dyDescent="0.3">
      <c r="A670" s="39"/>
      <c r="B670" s="42"/>
      <c r="C670" s="42"/>
      <c r="D670" s="75"/>
      <c r="E670" s="75"/>
      <c r="F670" s="76"/>
      <c r="G670" s="47"/>
      <c r="H670" s="47"/>
      <c r="I670" s="75"/>
      <c r="J670" s="76"/>
      <c r="K670" s="76"/>
      <c r="L670" s="75"/>
      <c r="M670" s="49"/>
      <c r="N670" s="76"/>
      <c r="O670" s="49"/>
      <c r="P670" s="77"/>
      <c r="Q670" s="53"/>
      <c r="R670" s="54"/>
      <c r="S670" s="55"/>
      <c r="T670" s="56"/>
      <c r="U670" s="56"/>
      <c r="V670" s="42"/>
      <c r="W670" s="57"/>
      <c r="X670" s="58"/>
      <c r="Y670" s="75"/>
      <c r="Z670" s="59"/>
      <c r="AA670" s="61"/>
      <c r="AB670" s="61"/>
      <c r="AC670" s="61"/>
      <c r="AD670" s="62"/>
      <c r="AE670" s="62"/>
      <c r="AF670" s="34"/>
      <c r="AG670" s="34"/>
      <c r="AH670" s="34"/>
      <c r="AI670" s="34"/>
      <c r="AJ670" s="34"/>
      <c r="AK670" s="34"/>
      <c r="AL670" s="34"/>
      <c r="AM670" s="34"/>
      <c r="AN670" s="34"/>
      <c r="AO670" s="34"/>
      <c r="AP670" s="34"/>
      <c r="AQ670" s="34"/>
      <c r="AR670" s="34"/>
      <c r="AS670" s="34"/>
      <c r="AT670" s="34"/>
      <c r="AU670" s="34"/>
      <c r="AV670" s="34"/>
      <c r="AW670" s="34"/>
      <c r="AX670" s="34"/>
      <c r="AY670" s="34"/>
      <c r="AZ670" s="34"/>
      <c r="BA670" s="34"/>
      <c r="BB670" s="34"/>
      <c r="BD670" s="34"/>
      <c r="BE670" s="34"/>
      <c r="BF670" s="34"/>
      <c r="BG670" s="34"/>
      <c r="BH670" s="34"/>
      <c r="BI670" s="34"/>
      <c r="BJ670" s="34"/>
      <c r="BK670" s="34"/>
      <c r="BL670" s="34"/>
      <c r="BM670" s="34"/>
      <c r="BN670" s="34"/>
      <c r="BO670" s="34"/>
      <c r="BP670" s="34"/>
      <c r="BQ670" s="34"/>
      <c r="BR670" s="34"/>
      <c r="BS670" s="34"/>
      <c r="BT670" s="34"/>
      <c r="BU670" s="34"/>
      <c r="BV670" s="34"/>
      <c r="BW670" s="34"/>
      <c r="BX670" s="34"/>
      <c r="BY670" s="34"/>
    </row>
    <row r="671" spans="1:77" x14ac:dyDescent="0.3">
      <c r="A671" s="39"/>
      <c r="B671" s="42"/>
      <c r="C671" s="42"/>
      <c r="D671" s="75"/>
      <c r="E671" s="75"/>
      <c r="F671" s="76"/>
      <c r="G671" s="47"/>
      <c r="H671" s="47"/>
      <c r="I671" s="75"/>
      <c r="J671" s="76"/>
      <c r="K671" s="76"/>
      <c r="L671" s="75"/>
      <c r="M671" s="49"/>
      <c r="N671" s="76"/>
      <c r="O671" s="49"/>
      <c r="P671" s="77"/>
      <c r="Q671" s="53"/>
      <c r="R671" s="54"/>
      <c r="S671" s="55"/>
      <c r="T671" s="56"/>
      <c r="U671" s="56"/>
      <c r="V671" s="42"/>
      <c r="W671" s="57"/>
      <c r="X671" s="58"/>
      <c r="Y671" s="75"/>
      <c r="Z671" s="59"/>
      <c r="AA671" s="61"/>
      <c r="AB671" s="61"/>
      <c r="AC671" s="61"/>
      <c r="AD671" s="62"/>
      <c r="AE671" s="62"/>
      <c r="AF671" s="34"/>
      <c r="AG671" s="34"/>
      <c r="AH671" s="34"/>
      <c r="AI671" s="34"/>
      <c r="AJ671" s="34"/>
      <c r="AK671" s="34"/>
      <c r="AL671" s="34"/>
      <c r="AM671" s="34"/>
      <c r="AN671" s="34"/>
      <c r="AO671" s="34"/>
      <c r="AP671" s="34"/>
      <c r="AQ671" s="34"/>
      <c r="AR671" s="34"/>
      <c r="AS671" s="34"/>
      <c r="AT671" s="34"/>
      <c r="AU671" s="34"/>
      <c r="AV671" s="34"/>
      <c r="AW671" s="34"/>
      <c r="AX671" s="34"/>
      <c r="AY671" s="34"/>
      <c r="AZ671" s="34"/>
      <c r="BA671" s="34"/>
      <c r="BB671" s="34"/>
      <c r="BD671" s="34"/>
      <c r="BE671" s="34"/>
      <c r="BF671" s="34"/>
      <c r="BG671" s="34"/>
      <c r="BH671" s="34"/>
      <c r="BI671" s="34"/>
      <c r="BJ671" s="34"/>
      <c r="BK671" s="34"/>
      <c r="BL671" s="34"/>
      <c r="BM671" s="34"/>
      <c r="BN671" s="34"/>
      <c r="BO671" s="34"/>
      <c r="BP671" s="34"/>
      <c r="BQ671" s="34"/>
      <c r="BR671" s="34"/>
      <c r="BS671" s="34"/>
      <c r="BT671" s="34"/>
      <c r="BU671" s="34"/>
      <c r="BV671" s="34"/>
      <c r="BW671" s="34"/>
      <c r="BX671" s="34"/>
      <c r="BY671" s="34"/>
    </row>
    <row r="672" spans="1:77" x14ac:dyDescent="0.3">
      <c r="A672" s="39"/>
      <c r="B672" s="42"/>
      <c r="C672" s="42"/>
      <c r="D672" s="75"/>
      <c r="E672" s="75"/>
      <c r="F672" s="76"/>
      <c r="G672" s="47"/>
      <c r="H672" s="47"/>
      <c r="I672" s="75"/>
      <c r="J672" s="76"/>
      <c r="K672" s="76"/>
      <c r="L672" s="75"/>
      <c r="M672" s="49"/>
      <c r="N672" s="76"/>
      <c r="O672" s="49"/>
      <c r="P672" s="77"/>
      <c r="Q672" s="53"/>
      <c r="R672" s="54"/>
      <c r="S672" s="55"/>
      <c r="T672" s="56"/>
      <c r="U672" s="56"/>
      <c r="V672" s="42"/>
      <c r="W672" s="57"/>
      <c r="X672" s="58"/>
      <c r="Y672" s="75"/>
      <c r="Z672" s="59"/>
      <c r="AA672" s="61"/>
      <c r="AB672" s="61"/>
      <c r="AC672" s="61"/>
      <c r="AD672" s="62"/>
      <c r="AE672" s="62"/>
      <c r="AF672" s="34"/>
      <c r="AG672" s="34"/>
      <c r="AH672" s="34"/>
      <c r="AI672" s="34"/>
      <c r="AJ672" s="34"/>
      <c r="AK672" s="34"/>
      <c r="AL672" s="34"/>
      <c r="AM672" s="34"/>
      <c r="AN672" s="34"/>
      <c r="AO672" s="34"/>
      <c r="AP672" s="34"/>
      <c r="AQ672" s="34"/>
      <c r="AR672" s="34"/>
      <c r="AS672" s="34"/>
      <c r="AT672" s="34"/>
      <c r="AU672" s="34"/>
      <c r="AV672" s="34"/>
      <c r="AW672" s="34"/>
      <c r="AX672" s="34"/>
      <c r="AY672" s="34"/>
      <c r="AZ672" s="34"/>
      <c r="BA672" s="34"/>
      <c r="BB672" s="34"/>
      <c r="BD672" s="34"/>
      <c r="BE672" s="34"/>
      <c r="BF672" s="34"/>
      <c r="BG672" s="34"/>
      <c r="BH672" s="34"/>
      <c r="BI672" s="34"/>
      <c r="BJ672" s="34"/>
      <c r="BK672" s="34"/>
      <c r="BL672" s="34"/>
      <c r="BM672" s="34"/>
      <c r="BN672" s="34"/>
      <c r="BO672" s="34"/>
      <c r="BP672" s="34"/>
      <c r="BQ672" s="34"/>
      <c r="BR672" s="34"/>
      <c r="BS672" s="34"/>
      <c r="BT672" s="34"/>
      <c r="BU672" s="34"/>
      <c r="BV672" s="34"/>
      <c r="BW672" s="34"/>
      <c r="BX672" s="34"/>
      <c r="BY672" s="34"/>
    </row>
    <row r="673" spans="1:77" x14ac:dyDescent="0.3">
      <c r="A673" s="39"/>
      <c r="B673" s="42"/>
      <c r="C673" s="42"/>
      <c r="D673" s="75"/>
      <c r="E673" s="75"/>
      <c r="F673" s="76"/>
      <c r="G673" s="47"/>
      <c r="H673" s="47"/>
      <c r="I673" s="75"/>
      <c r="J673" s="76"/>
      <c r="K673" s="76"/>
      <c r="L673" s="75"/>
      <c r="M673" s="49"/>
      <c r="N673" s="76"/>
      <c r="O673" s="49"/>
      <c r="P673" s="77"/>
      <c r="Q673" s="53"/>
      <c r="R673" s="54"/>
      <c r="S673" s="55"/>
      <c r="T673" s="56"/>
      <c r="U673" s="56"/>
      <c r="V673" s="42"/>
      <c r="W673" s="57"/>
      <c r="X673" s="58"/>
      <c r="Y673" s="75"/>
      <c r="Z673" s="59"/>
      <c r="AA673" s="61"/>
      <c r="AB673" s="61"/>
      <c r="AC673" s="61"/>
      <c r="AD673" s="62"/>
      <c r="AE673" s="62"/>
      <c r="AF673" s="34"/>
      <c r="AG673" s="34"/>
      <c r="AH673" s="34"/>
      <c r="AI673" s="34"/>
      <c r="AJ673" s="34"/>
      <c r="AK673" s="34"/>
      <c r="AL673" s="34"/>
      <c r="AM673" s="34"/>
      <c r="AN673" s="34"/>
      <c r="AO673" s="34"/>
      <c r="AP673" s="34"/>
      <c r="AQ673" s="34"/>
      <c r="AR673" s="34"/>
      <c r="AS673" s="34"/>
      <c r="AT673" s="34"/>
      <c r="AU673" s="34"/>
      <c r="AV673" s="34"/>
      <c r="AW673" s="34"/>
      <c r="AX673" s="34"/>
      <c r="AY673" s="34"/>
      <c r="AZ673" s="34"/>
      <c r="BA673" s="34"/>
      <c r="BB673" s="34"/>
      <c r="BD673" s="34"/>
      <c r="BE673" s="34"/>
      <c r="BF673" s="34"/>
      <c r="BG673" s="34"/>
      <c r="BH673" s="34"/>
      <c r="BI673" s="34"/>
      <c r="BJ673" s="34"/>
      <c r="BK673" s="34"/>
      <c r="BL673" s="34"/>
      <c r="BM673" s="34"/>
      <c r="BN673" s="34"/>
      <c r="BO673" s="34"/>
      <c r="BP673" s="34"/>
      <c r="BQ673" s="34"/>
      <c r="BR673" s="34"/>
      <c r="BS673" s="34"/>
      <c r="BT673" s="34"/>
      <c r="BU673" s="34"/>
      <c r="BV673" s="34"/>
      <c r="BW673" s="34"/>
      <c r="BX673" s="34"/>
      <c r="BY673" s="34"/>
    </row>
    <row r="674" spans="1:77" x14ac:dyDescent="0.3">
      <c r="A674" s="39"/>
      <c r="B674" s="42"/>
      <c r="C674" s="42"/>
      <c r="D674" s="75"/>
      <c r="E674" s="75"/>
      <c r="F674" s="76"/>
      <c r="G674" s="47"/>
      <c r="H674" s="47"/>
      <c r="I674" s="75"/>
      <c r="J674" s="76"/>
      <c r="K674" s="76"/>
      <c r="L674" s="75"/>
      <c r="M674" s="49"/>
      <c r="N674" s="76"/>
      <c r="O674" s="49"/>
      <c r="P674" s="77"/>
      <c r="Q674" s="53"/>
      <c r="R674" s="54"/>
      <c r="S674" s="55"/>
      <c r="T674" s="56"/>
      <c r="U674" s="56"/>
      <c r="V674" s="42"/>
      <c r="W674" s="57"/>
      <c r="X674" s="58"/>
      <c r="Y674" s="75"/>
      <c r="Z674" s="59"/>
      <c r="AA674" s="61"/>
      <c r="AB674" s="61"/>
      <c r="AC674" s="61"/>
      <c r="AD674" s="62"/>
      <c r="AE674" s="62"/>
      <c r="AF674" s="34"/>
      <c r="AG674" s="34"/>
      <c r="AH674" s="34"/>
      <c r="AI674" s="34"/>
      <c r="AJ674" s="34"/>
      <c r="AK674" s="34"/>
      <c r="AL674" s="34"/>
      <c r="AM674" s="34"/>
      <c r="AN674" s="34"/>
      <c r="AO674" s="34"/>
      <c r="AP674" s="34"/>
      <c r="AQ674" s="34"/>
      <c r="AR674" s="34"/>
      <c r="AS674" s="34"/>
      <c r="AT674" s="34"/>
      <c r="AU674" s="34"/>
      <c r="AV674" s="34"/>
      <c r="AW674" s="34"/>
      <c r="AX674" s="34"/>
      <c r="AY674" s="34"/>
      <c r="AZ674" s="34"/>
      <c r="BA674" s="34"/>
      <c r="BB674" s="34"/>
      <c r="BD674" s="34"/>
      <c r="BE674" s="34"/>
      <c r="BF674" s="34"/>
      <c r="BG674" s="34"/>
      <c r="BH674" s="34"/>
      <c r="BI674" s="34"/>
      <c r="BJ674" s="34"/>
      <c r="BK674" s="34"/>
      <c r="BL674" s="34"/>
      <c r="BM674" s="34"/>
      <c r="BN674" s="34"/>
      <c r="BO674" s="34"/>
      <c r="BP674" s="34"/>
      <c r="BQ674" s="34"/>
      <c r="BR674" s="34"/>
      <c r="BS674" s="34"/>
      <c r="BT674" s="34"/>
      <c r="BU674" s="34"/>
      <c r="BV674" s="34"/>
      <c r="BW674" s="34"/>
      <c r="BX674" s="34"/>
      <c r="BY674" s="34"/>
    </row>
    <row r="675" spans="1:77" x14ac:dyDescent="0.3">
      <c r="A675" s="39"/>
      <c r="B675" s="42"/>
      <c r="C675" s="42"/>
      <c r="D675" s="75"/>
      <c r="E675" s="75"/>
      <c r="F675" s="76"/>
      <c r="G675" s="47"/>
      <c r="H675" s="47"/>
      <c r="I675" s="75"/>
      <c r="J675" s="76"/>
      <c r="K675" s="76"/>
      <c r="L675" s="75"/>
      <c r="M675" s="49"/>
      <c r="N675" s="76"/>
      <c r="O675" s="49"/>
      <c r="P675" s="77"/>
      <c r="Q675" s="53"/>
      <c r="R675" s="54"/>
      <c r="S675" s="55"/>
      <c r="T675" s="56"/>
      <c r="U675" s="56"/>
      <c r="V675" s="42"/>
      <c r="W675" s="57"/>
      <c r="X675" s="58"/>
      <c r="Y675" s="75"/>
      <c r="Z675" s="59"/>
      <c r="AA675" s="61"/>
      <c r="AB675" s="61"/>
      <c r="AC675" s="61"/>
      <c r="AD675" s="62"/>
      <c r="AE675" s="62"/>
      <c r="AF675" s="34"/>
      <c r="AG675" s="34"/>
      <c r="AH675" s="34"/>
      <c r="AI675" s="34"/>
      <c r="AJ675" s="34"/>
      <c r="AK675" s="34"/>
      <c r="AL675" s="34"/>
      <c r="AM675" s="34"/>
      <c r="AN675" s="34"/>
      <c r="AO675" s="34"/>
      <c r="AP675" s="34"/>
      <c r="AQ675" s="34"/>
      <c r="AR675" s="34"/>
      <c r="AS675" s="34"/>
      <c r="AT675" s="34"/>
      <c r="AU675" s="34"/>
      <c r="AV675" s="34"/>
      <c r="AW675" s="34"/>
      <c r="AX675" s="34"/>
      <c r="AY675" s="34"/>
      <c r="AZ675" s="34"/>
      <c r="BA675" s="34"/>
      <c r="BB675" s="34"/>
      <c r="BD675" s="34"/>
      <c r="BE675" s="34"/>
      <c r="BF675" s="34"/>
      <c r="BG675" s="34"/>
      <c r="BH675" s="34"/>
      <c r="BI675" s="34"/>
      <c r="BJ675" s="34"/>
      <c r="BK675" s="34"/>
      <c r="BL675" s="34"/>
      <c r="BM675" s="34"/>
      <c r="BN675" s="34"/>
      <c r="BO675" s="34"/>
      <c r="BP675" s="34"/>
      <c r="BQ675" s="34"/>
      <c r="BR675" s="34"/>
      <c r="BS675" s="34"/>
      <c r="BT675" s="34"/>
      <c r="BU675" s="34"/>
      <c r="BV675" s="34"/>
      <c r="BW675" s="34"/>
      <c r="BX675" s="34"/>
      <c r="BY675" s="34"/>
    </row>
    <row r="676" spans="1:77" x14ac:dyDescent="0.3">
      <c r="A676" s="39"/>
      <c r="B676" s="42"/>
      <c r="C676" s="42"/>
      <c r="D676" s="75"/>
      <c r="E676" s="75"/>
      <c r="F676" s="76"/>
      <c r="G676" s="47"/>
      <c r="H676" s="47"/>
      <c r="I676" s="75"/>
      <c r="J676" s="76"/>
      <c r="K676" s="76"/>
      <c r="L676" s="75"/>
      <c r="M676" s="49"/>
      <c r="N676" s="76"/>
      <c r="O676" s="49"/>
      <c r="P676" s="77"/>
      <c r="Q676" s="53"/>
      <c r="R676" s="54"/>
      <c r="S676" s="55"/>
      <c r="T676" s="56"/>
      <c r="U676" s="56"/>
      <c r="V676" s="42"/>
      <c r="W676" s="57"/>
      <c r="X676" s="58"/>
      <c r="Y676" s="75"/>
      <c r="Z676" s="59"/>
      <c r="AA676" s="61"/>
      <c r="AB676" s="61"/>
      <c r="AC676" s="61"/>
      <c r="AD676" s="62"/>
      <c r="AE676" s="62"/>
      <c r="AF676" s="34"/>
      <c r="AG676" s="34"/>
      <c r="AH676" s="34"/>
      <c r="AI676" s="34"/>
      <c r="AJ676" s="34"/>
      <c r="AK676" s="34"/>
      <c r="AL676" s="34"/>
      <c r="AM676" s="34"/>
      <c r="AN676" s="34"/>
      <c r="AO676" s="34"/>
      <c r="AP676" s="34"/>
      <c r="AQ676" s="34"/>
      <c r="AR676" s="34"/>
      <c r="AS676" s="34"/>
      <c r="AT676" s="34"/>
      <c r="AU676" s="34"/>
      <c r="AV676" s="34"/>
      <c r="AW676" s="34"/>
      <c r="AX676" s="34"/>
      <c r="AY676" s="34"/>
      <c r="AZ676" s="34"/>
      <c r="BA676" s="34"/>
      <c r="BB676" s="34"/>
      <c r="BD676" s="34"/>
      <c r="BE676" s="34"/>
      <c r="BF676" s="34"/>
      <c r="BG676" s="34"/>
      <c r="BH676" s="34"/>
      <c r="BI676" s="34"/>
      <c r="BJ676" s="34"/>
      <c r="BK676" s="34"/>
      <c r="BL676" s="34"/>
      <c r="BM676" s="34"/>
      <c r="BN676" s="34"/>
      <c r="BO676" s="34"/>
      <c r="BP676" s="34"/>
      <c r="BQ676" s="34"/>
      <c r="BR676" s="34"/>
      <c r="BS676" s="34"/>
      <c r="BT676" s="34"/>
      <c r="BU676" s="34"/>
      <c r="BV676" s="34"/>
      <c r="BW676" s="34"/>
      <c r="BX676" s="34"/>
      <c r="BY676" s="34"/>
    </row>
    <row r="677" spans="1:77" x14ac:dyDescent="0.3">
      <c r="A677" s="39"/>
      <c r="B677" s="42"/>
      <c r="C677" s="42"/>
      <c r="D677" s="75"/>
      <c r="E677" s="75"/>
      <c r="F677" s="76"/>
      <c r="G677" s="47"/>
      <c r="H677" s="47"/>
      <c r="I677" s="75"/>
      <c r="J677" s="76"/>
      <c r="K677" s="76"/>
      <c r="L677" s="75"/>
      <c r="M677" s="49"/>
      <c r="N677" s="76"/>
      <c r="O677" s="49"/>
      <c r="P677" s="77"/>
      <c r="Q677" s="53"/>
      <c r="R677" s="54"/>
      <c r="S677" s="55"/>
      <c r="T677" s="56"/>
      <c r="U677" s="56"/>
      <c r="V677" s="42"/>
      <c r="W677" s="57"/>
      <c r="X677" s="58"/>
      <c r="Y677" s="75"/>
      <c r="Z677" s="59"/>
      <c r="AA677" s="61"/>
      <c r="AB677" s="61"/>
      <c r="AC677" s="61"/>
      <c r="AD677" s="62"/>
      <c r="AE677" s="62"/>
      <c r="AF677" s="34"/>
      <c r="AG677" s="34"/>
      <c r="AH677" s="34"/>
      <c r="AI677" s="34"/>
      <c r="AJ677" s="34"/>
      <c r="AK677" s="34"/>
      <c r="AL677" s="34"/>
      <c r="AM677" s="34"/>
      <c r="AN677" s="34"/>
      <c r="AO677" s="34"/>
      <c r="AP677" s="34"/>
      <c r="AQ677" s="34"/>
      <c r="AR677" s="34"/>
      <c r="AS677" s="34"/>
      <c r="AT677" s="34"/>
      <c r="AU677" s="34"/>
      <c r="AV677" s="34"/>
      <c r="AW677" s="34"/>
      <c r="AX677" s="34"/>
      <c r="AY677" s="34"/>
      <c r="AZ677" s="34"/>
      <c r="BA677" s="34"/>
      <c r="BB677" s="34"/>
      <c r="BD677" s="34"/>
      <c r="BE677" s="34"/>
      <c r="BF677" s="34"/>
      <c r="BG677" s="34"/>
      <c r="BH677" s="34"/>
      <c r="BI677" s="34"/>
      <c r="BJ677" s="34"/>
      <c r="BK677" s="34"/>
      <c r="BL677" s="34"/>
      <c r="BM677" s="34"/>
      <c r="BN677" s="34"/>
      <c r="BO677" s="34"/>
      <c r="BP677" s="34"/>
      <c r="BQ677" s="34"/>
      <c r="BR677" s="34"/>
      <c r="BS677" s="34"/>
      <c r="BT677" s="34"/>
      <c r="BU677" s="34"/>
      <c r="BV677" s="34"/>
      <c r="BW677" s="34"/>
      <c r="BX677" s="34"/>
      <c r="BY677" s="34"/>
    </row>
    <row r="678" spans="1:77" x14ac:dyDescent="0.3">
      <c r="A678" s="39"/>
      <c r="B678" s="42"/>
      <c r="C678" s="42"/>
      <c r="D678" s="75"/>
      <c r="E678" s="75"/>
      <c r="F678" s="76"/>
      <c r="G678" s="47"/>
      <c r="H678" s="47"/>
      <c r="I678" s="75"/>
      <c r="J678" s="76"/>
      <c r="K678" s="76"/>
      <c r="L678" s="75"/>
      <c r="M678" s="49"/>
      <c r="N678" s="76"/>
      <c r="O678" s="49"/>
      <c r="P678" s="77"/>
      <c r="Q678" s="53"/>
      <c r="R678" s="54"/>
      <c r="S678" s="55"/>
      <c r="T678" s="56"/>
      <c r="U678" s="56"/>
      <c r="V678" s="42"/>
      <c r="W678" s="57"/>
      <c r="X678" s="58"/>
      <c r="Y678" s="75"/>
      <c r="Z678" s="59"/>
      <c r="AA678" s="61"/>
      <c r="AB678" s="61"/>
      <c r="AC678" s="61"/>
      <c r="AD678" s="62"/>
      <c r="AE678" s="62"/>
      <c r="AF678" s="34"/>
      <c r="AG678" s="34"/>
      <c r="AH678" s="34"/>
      <c r="AI678" s="34"/>
      <c r="AJ678" s="34"/>
      <c r="AK678" s="34"/>
      <c r="AL678" s="34"/>
      <c r="AM678" s="34"/>
      <c r="AN678" s="34"/>
      <c r="AO678" s="34"/>
      <c r="AP678" s="34"/>
      <c r="AQ678" s="34"/>
      <c r="AR678" s="34"/>
      <c r="AS678" s="34"/>
      <c r="AT678" s="34"/>
      <c r="AU678" s="34"/>
      <c r="AV678" s="34"/>
      <c r="AW678" s="34"/>
      <c r="AX678" s="34"/>
      <c r="AY678" s="34"/>
      <c r="AZ678" s="34"/>
      <c r="BA678" s="34"/>
      <c r="BB678" s="34"/>
      <c r="BD678" s="34"/>
      <c r="BE678" s="34"/>
      <c r="BF678" s="34"/>
      <c r="BG678" s="34"/>
      <c r="BH678" s="34"/>
      <c r="BI678" s="34"/>
      <c r="BJ678" s="34"/>
      <c r="BK678" s="34"/>
      <c r="BL678" s="34"/>
      <c r="BM678" s="34"/>
      <c r="BN678" s="34"/>
      <c r="BO678" s="34"/>
      <c r="BP678" s="34"/>
      <c r="BQ678" s="34"/>
      <c r="BR678" s="34"/>
      <c r="BS678" s="34"/>
      <c r="BT678" s="34"/>
      <c r="BU678" s="34"/>
      <c r="BV678" s="34"/>
      <c r="BW678" s="34"/>
      <c r="BX678" s="34"/>
      <c r="BY678" s="34"/>
    </row>
    <row r="679" spans="1:77" x14ac:dyDescent="0.3">
      <c r="A679" s="39"/>
      <c r="B679" s="42"/>
      <c r="C679" s="42"/>
      <c r="D679" s="75"/>
      <c r="E679" s="75"/>
      <c r="F679" s="76"/>
      <c r="G679" s="47"/>
      <c r="H679" s="47"/>
      <c r="I679" s="75"/>
      <c r="J679" s="76"/>
      <c r="K679" s="76"/>
      <c r="L679" s="75"/>
      <c r="M679" s="49"/>
      <c r="N679" s="76"/>
      <c r="O679" s="49"/>
      <c r="P679" s="77"/>
      <c r="Q679" s="53"/>
      <c r="R679" s="54"/>
      <c r="S679" s="55"/>
      <c r="T679" s="56"/>
      <c r="U679" s="56"/>
      <c r="V679" s="42"/>
      <c r="W679" s="57"/>
      <c r="X679" s="58"/>
      <c r="Y679" s="75"/>
      <c r="Z679" s="59"/>
      <c r="AA679" s="61"/>
      <c r="AB679" s="61"/>
      <c r="AC679" s="61"/>
      <c r="AD679" s="62"/>
      <c r="AE679" s="62"/>
      <c r="AF679" s="34"/>
      <c r="AG679" s="34"/>
      <c r="AH679" s="34"/>
      <c r="AI679" s="34"/>
      <c r="AJ679" s="34"/>
      <c r="AK679" s="34"/>
      <c r="AL679" s="34"/>
      <c r="AM679" s="34"/>
      <c r="AN679" s="34"/>
      <c r="AO679" s="34"/>
      <c r="AP679" s="34"/>
      <c r="AQ679" s="34"/>
      <c r="AR679" s="34"/>
      <c r="AS679" s="34"/>
      <c r="AT679" s="34"/>
      <c r="AU679" s="34"/>
      <c r="AV679" s="34"/>
      <c r="AW679" s="34"/>
      <c r="AX679" s="34"/>
      <c r="AY679" s="34"/>
      <c r="AZ679" s="34"/>
      <c r="BA679" s="34"/>
      <c r="BB679" s="34"/>
      <c r="BD679" s="34"/>
      <c r="BE679" s="34"/>
      <c r="BF679" s="34"/>
      <c r="BG679" s="34"/>
      <c r="BH679" s="34"/>
      <c r="BI679" s="34"/>
      <c r="BJ679" s="34"/>
      <c r="BK679" s="34"/>
      <c r="BL679" s="34"/>
      <c r="BM679" s="34"/>
      <c r="BN679" s="34"/>
      <c r="BO679" s="34"/>
      <c r="BP679" s="34"/>
      <c r="BQ679" s="34"/>
      <c r="BR679" s="34"/>
      <c r="BS679" s="34"/>
      <c r="BT679" s="34"/>
      <c r="BU679" s="34"/>
      <c r="BV679" s="34"/>
      <c r="BW679" s="34"/>
      <c r="BX679" s="34"/>
      <c r="BY679" s="34"/>
    </row>
    <row r="680" spans="1:77" x14ac:dyDescent="0.3">
      <c r="A680" s="39"/>
      <c r="B680" s="42"/>
      <c r="C680" s="42"/>
      <c r="D680" s="75"/>
      <c r="E680" s="75"/>
      <c r="F680" s="76"/>
      <c r="G680" s="47"/>
      <c r="H680" s="47"/>
      <c r="I680" s="75"/>
      <c r="J680" s="76"/>
      <c r="K680" s="76"/>
      <c r="L680" s="75"/>
      <c r="M680" s="49"/>
      <c r="N680" s="76"/>
      <c r="O680" s="49"/>
      <c r="P680" s="77"/>
      <c r="Q680" s="53"/>
      <c r="R680" s="54"/>
      <c r="S680" s="55"/>
      <c r="T680" s="56"/>
      <c r="U680" s="56"/>
      <c r="V680" s="42"/>
      <c r="W680" s="57"/>
      <c r="X680" s="58"/>
      <c r="Y680" s="75"/>
      <c r="Z680" s="59"/>
      <c r="AA680" s="61"/>
      <c r="AB680" s="61"/>
      <c r="AC680" s="61"/>
      <c r="AD680" s="62"/>
      <c r="AE680" s="62"/>
      <c r="AF680" s="34"/>
      <c r="AG680" s="34"/>
      <c r="AH680" s="34"/>
      <c r="AI680" s="34"/>
      <c r="AJ680" s="34"/>
      <c r="AK680" s="34"/>
      <c r="AL680" s="34"/>
      <c r="AM680" s="34"/>
      <c r="AN680" s="34"/>
      <c r="AO680" s="34"/>
      <c r="AP680" s="34"/>
      <c r="AQ680" s="34"/>
      <c r="AR680" s="34"/>
      <c r="AS680" s="34"/>
      <c r="AT680" s="34"/>
      <c r="AU680" s="34"/>
      <c r="AV680" s="34"/>
      <c r="AW680" s="34"/>
      <c r="AX680" s="34"/>
      <c r="AY680" s="34"/>
      <c r="AZ680" s="34"/>
      <c r="BA680" s="34"/>
      <c r="BB680" s="34"/>
      <c r="BD680" s="34"/>
      <c r="BE680" s="34"/>
      <c r="BF680" s="34"/>
      <c r="BG680" s="34"/>
      <c r="BH680" s="34"/>
      <c r="BI680" s="34"/>
      <c r="BJ680" s="34"/>
      <c r="BK680" s="34"/>
      <c r="BL680" s="34"/>
      <c r="BM680" s="34"/>
      <c r="BN680" s="34"/>
      <c r="BO680" s="34"/>
      <c r="BP680" s="34"/>
      <c r="BQ680" s="34"/>
      <c r="BR680" s="34"/>
      <c r="BS680" s="34"/>
      <c r="BT680" s="34"/>
      <c r="BU680" s="34"/>
      <c r="BV680" s="34"/>
      <c r="BW680" s="34"/>
      <c r="BX680" s="34"/>
      <c r="BY680" s="34"/>
    </row>
    <row r="681" spans="1:77" x14ac:dyDescent="0.3">
      <c r="A681" s="39"/>
      <c r="B681" s="42"/>
      <c r="C681" s="42"/>
      <c r="D681" s="75"/>
      <c r="E681" s="75"/>
      <c r="F681" s="76"/>
      <c r="G681" s="47"/>
      <c r="H681" s="47"/>
      <c r="I681" s="75"/>
      <c r="J681" s="76"/>
      <c r="K681" s="76"/>
      <c r="L681" s="75"/>
      <c r="M681" s="49"/>
      <c r="N681" s="76"/>
      <c r="O681" s="49"/>
      <c r="P681" s="77"/>
      <c r="Q681" s="53"/>
      <c r="R681" s="54"/>
      <c r="S681" s="55"/>
      <c r="T681" s="56"/>
      <c r="U681" s="56"/>
      <c r="V681" s="42"/>
      <c r="W681" s="57"/>
      <c r="X681" s="58"/>
      <c r="Y681" s="75"/>
      <c r="Z681" s="59"/>
      <c r="AA681" s="61"/>
      <c r="AB681" s="61"/>
      <c r="AC681" s="61"/>
      <c r="AD681" s="62"/>
      <c r="AE681" s="62"/>
      <c r="AF681" s="34"/>
      <c r="AG681" s="34"/>
      <c r="AH681" s="34"/>
      <c r="AI681" s="34"/>
      <c r="AJ681" s="34"/>
      <c r="AK681" s="34"/>
      <c r="AL681" s="34"/>
      <c r="AM681" s="34"/>
      <c r="AN681" s="34"/>
      <c r="AO681" s="34"/>
      <c r="AP681" s="34"/>
      <c r="AQ681" s="34"/>
      <c r="AR681" s="34"/>
      <c r="AS681" s="34"/>
      <c r="AT681" s="34"/>
      <c r="AU681" s="34"/>
      <c r="AV681" s="34"/>
      <c r="AW681" s="34"/>
      <c r="AX681" s="34"/>
      <c r="AY681" s="34"/>
      <c r="AZ681" s="34"/>
      <c r="BA681" s="34"/>
      <c r="BB681" s="34"/>
      <c r="BD681" s="34"/>
      <c r="BE681" s="34"/>
      <c r="BF681" s="34"/>
      <c r="BG681" s="34"/>
      <c r="BH681" s="34"/>
      <c r="BI681" s="34"/>
      <c r="BJ681" s="34"/>
      <c r="BK681" s="34"/>
      <c r="BL681" s="34"/>
      <c r="BM681" s="34"/>
      <c r="BN681" s="34"/>
      <c r="BO681" s="34"/>
      <c r="BP681" s="34"/>
      <c r="BQ681" s="34"/>
      <c r="BR681" s="34"/>
      <c r="BS681" s="34"/>
      <c r="BT681" s="34"/>
      <c r="BU681" s="34"/>
      <c r="BV681" s="34"/>
      <c r="BW681" s="34"/>
      <c r="BX681" s="34"/>
      <c r="BY681" s="34"/>
    </row>
    <row r="682" spans="1:77" x14ac:dyDescent="0.3">
      <c r="A682" s="39"/>
      <c r="B682" s="42"/>
      <c r="C682" s="42"/>
      <c r="D682" s="75"/>
      <c r="E682" s="75"/>
      <c r="F682" s="76"/>
      <c r="G682" s="47"/>
      <c r="H682" s="47"/>
      <c r="I682" s="75"/>
      <c r="J682" s="76"/>
      <c r="K682" s="76"/>
      <c r="L682" s="75"/>
      <c r="M682" s="49"/>
      <c r="N682" s="76"/>
      <c r="O682" s="49"/>
      <c r="P682" s="77"/>
      <c r="Q682" s="53"/>
      <c r="R682" s="54"/>
      <c r="S682" s="55"/>
      <c r="T682" s="56"/>
      <c r="U682" s="56"/>
      <c r="V682" s="42"/>
      <c r="W682" s="57"/>
      <c r="X682" s="58"/>
      <c r="Y682" s="75"/>
      <c r="Z682" s="59"/>
      <c r="AA682" s="61"/>
      <c r="AB682" s="61"/>
      <c r="AC682" s="61"/>
      <c r="AD682" s="62"/>
      <c r="AE682" s="62"/>
      <c r="AF682" s="34"/>
      <c r="AG682" s="34"/>
      <c r="AH682" s="34"/>
      <c r="AI682" s="34"/>
      <c r="AJ682" s="34"/>
      <c r="AK682" s="34"/>
      <c r="AL682" s="34"/>
      <c r="AM682" s="34"/>
      <c r="AN682" s="34"/>
      <c r="AO682" s="34"/>
      <c r="AP682" s="34"/>
      <c r="AQ682" s="34"/>
      <c r="AR682" s="34"/>
      <c r="AS682" s="34"/>
      <c r="AT682" s="34"/>
      <c r="AU682" s="34"/>
      <c r="AV682" s="34"/>
      <c r="AW682" s="34"/>
      <c r="AX682" s="34"/>
      <c r="AY682" s="34"/>
      <c r="AZ682" s="34"/>
      <c r="BA682" s="34"/>
      <c r="BB682" s="34"/>
      <c r="BD682" s="34"/>
      <c r="BE682" s="34"/>
      <c r="BF682" s="34"/>
      <c r="BG682" s="34"/>
      <c r="BH682" s="34"/>
      <c r="BI682" s="34"/>
      <c r="BJ682" s="34"/>
      <c r="BK682" s="34"/>
      <c r="BL682" s="34"/>
      <c r="BM682" s="34"/>
      <c r="BN682" s="34"/>
      <c r="BO682" s="34"/>
      <c r="BP682" s="34"/>
      <c r="BQ682" s="34"/>
      <c r="BR682" s="34"/>
      <c r="BS682" s="34"/>
      <c r="BT682" s="34"/>
      <c r="BU682" s="34"/>
      <c r="BV682" s="34"/>
      <c r="BW682" s="34"/>
      <c r="BX682" s="34"/>
      <c r="BY682" s="34"/>
    </row>
    <row r="683" spans="1:77" x14ac:dyDescent="0.3">
      <c r="A683" s="39"/>
      <c r="B683" s="42"/>
      <c r="C683" s="42"/>
      <c r="D683" s="75"/>
      <c r="E683" s="75"/>
      <c r="F683" s="76"/>
      <c r="G683" s="47"/>
      <c r="H683" s="47"/>
      <c r="I683" s="75"/>
      <c r="J683" s="76"/>
      <c r="K683" s="76"/>
      <c r="L683" s="75"/>
      <c r="M683" s="49"/>
      <c r="N683" s="76"/>
      <c r="O683" s="49"/>
      <c r="P683" s="77"/>
      <c r="Q683" s="53"/>
      <c r="R683" s="54"/>
      <c r="S683" s="55"/>
      <c r="T683" s="56"/>
      <c r="U683" s="56"/>
      <c r="V683" s="42"/>
      <c r="W683" s="57"/>
      <c r="X683" s="58"/>
      <c r="Y683" s="75"/>
      <c r="Z683" s="59"/>
      <c r="AA683" s="61"/>
      <c r="AB683" s="61"/>
      <c r="AC683" s="61"/>
      <c r="AD683" s="62"/>
      <c r="AE683" s="62"/>
      <c r="AF683" s="34"/>
      <c r="AG683" s="34"/>
      <c r="AH683" s="34"/>
      <c r="AI683" s="34"/>
      <c r="AJ683" s="34"/>
      <c r="AK683" s="34"/>
      <c r="AL683" s="34"/>
      <c r="AM683" s="34"/>
      <c r="AN683" s="34"/>
      <c r="AO683" s="34"/>
      <c r="AP683" s="34"/>
      <c r="AQ683" s="34"/>
      <c r="AR683" s="34"/>
      <c r="AS683" s="34"/>
      <c r="AT683" s="34"/>
      <c r="AU683" s="34"/>
      <c r="AV683" s="34"/>
      <c r="AW683" s="34"/>
      <c r="AX683" s="34"/>
      <c r="AY683" s="34"/>
      <c r="AZ683" s="34"/>
      <c r="BA683" s="34"/>
      <c r="BB683" s="34"/>
      <c r="BD683" s="34"/>
      <c r="BE683" s="34"/>
      <c r="BF683" s="34"/>
      <c r="BG683" s="34"/>
      <c r="BH683" s="34"/>
      <c r="BI683" s="34"/>
      <c r="BJ683" s="34"/>
      <c r="BK683" s="34"/>
      <c r="BL683" s="34"/>
      <c r="BM683" s="34"/>
      <c r="BN683" s="34"/>
      <c r="BO683" s="34"/>
      <c r="BP683" s="34"/>
      <c r="BQ683" s="34"/>
      <c r="BR683" s="34"/>
      <c r="BS683" s="34"/>
      <c r="BT683" s="34"/>
      <c r="BU683" s="34"/>
      <c r="BV683" s="34"/>
      <c r="BW683" s="34"/>
      <c r="BX683" s="34"/>
      <c r="BY683" s="34"/>
    </row>
    <row r="684" spans="1:77" x14ac:dyDescent="0.3">
      <c r="A684" s="39"/>
      <c r="B684" s="42"/>
      <c r="C684" s="42"/>
      <c r="D684" s="75"/>
      <c r="E684" s="75"/>
      <c r="F684" s="76"/>
      <c r="G684" s="47"/>
      <c r="H684" s="47"/>
      <c r="I684" s="75"/>
      <c r="J684" s="76"/>
      <c r="K684" s="76"/>
      <c r="L684" s="75"/>
      <c r="M684" s="49"/>
      <c r="N684" s="76"/>
      <c r="O684" s="49"/>
      <c r="P684" s="77"/>
      <c r="Q684" s="53"/>
      <c r="R684" s="54"/>
      <c r="S684" s="55"/>
      <c r="T684" s="56"/>
      <c r="U684" s="56"/>
      <c r="V684" s="42"/>
      <c r="W684" s="57"/>
      <c r="X684" s="58"/>
      <c r="Y684" s="75"/>
      <c r="Z684" s="59"/>
      <c r="AA684" s="61"/>
      <c r="AB684" s="61"/>
      <c r="AC684" s="61"/>
      <c r="AD684" s="62"/>
      <c r="AE684" s="62"/>
      <c r="AF684" s="34"/>
      <c r="AG684" s="34"/>
      <c r="AH684" s="34"/>
      <c r="AI684" s="34"/>
      <c r="AJ684" s="34"/>
      <c r="AK684" s="34"/>
      <c r="AL684" s="34"/>
      <c r="AM684" s="34"/>
      <c r="AN684" s="34"/>
      <c r="AO684" s="34"/>
      <c r="AP684" s="34"/>
      <c r="AQ684" s="34"/>
      <c r="AR684" s="34"/>
      <c r="AS684" s="34"/>
      <c r="AT684" s="34"/>
      <c r="AU684" s="34"/>
      <c r="AV684" s="34"/>
      <c r="AW684" s="34"/>
      <c r="AX684" s="34"/>
      <c r="AY684" s="34"/>
      <c r="AZ684" s="34"/>
      <c r="BA684" s="34"/>
      <c r="BB684" s="34"/>
      <c r="BD684" s="34"/>
      <c r="BE684" s="34"/>
      <c r="BF684" s="34"/>
      <c r="BG684" s="34"/>
      <c r="BH684" s="34"/>
      <c r="BI684" s="34"/>
      <c r="BJ684" s="34"/>
      <c r="BK684" s="34"/>
      <c r="BL684" s="34"/>
      <c r="BM684" s="34"/>
      <c r="BN684" s="34"/>
      <c r="BO684" s="34"/>
      <c r="BP684" s="34"/>
      <c r="BQ684" s="34"/>
      <c r="BR684" s="34"/>
      <c r="BS684" s="34"/>
      <c r="BT684" s="34"/>
      <c r="BU684" s="34"/>
      <c r="BV684" s="34"/>
      <c r="BW684" s="34"/>
      <c r="BX684" s="34"/>
      <c r="BY684" s="34"/>
    </row>
    <row r="685" spans="1:77" x14ac:dyDescent="0.3">
      <c r="A685" s="39"/>
      <c r="B685" s="42"/>
      <c r="C685" s="42"/>
      <c r="D685" s="75"/>
      <c r="E685" s="75"/>
      <c r="F685" s="76"/>
      <c r="G685" s="47"/>
      <c r="H685" s="47"/>
      <c r="I685" s="75"/>
      <c r="J685" s="76"/>
      <c r="K685" s="76"/>
      <c r="L685" s="75"/>
      <c r="M685" s="49"/>
      <c r="N685" s="76"/>
      <c r="O685" s="49"/>
      <c r="P685" s="77"/>
      <c r="Q685" s="53"/>
      <c r="R685" s="54"/>
      <c r="S685" s="55"/>
      <c r="T685" s="56"/>
      <c r="U685" s="56"/>
      <c r="V685" s="42"/>
      <c r="W685" s="57"/>
      <c r="X685" s="58"/>
      <c r="Y685" s="75"/>
      <c r="Z685" s="59"/>
      <c r="AA685" s="61"/>
      <c r="AB685" s="61"/>
      <c r="AC685" s="61"/>
      <c r="AD685" s="62"/>
      <c r="AE685" s="62"/>
      <c r="AF685" s="34"/>
      <c r="AG685" s="34"/>
      <c r="AH685" s="34"/>
      <c r="AI685" s="34"/>
      <c r="AJ685" s="34"/>
      <c r="AK685" s="34"/>
      <c r="AL685" s="34"/>
      <c r="AM685" s="34"/>
      <c r="AN685" s="34"/>
      <c r="AO685" s="34"/>
      <c r="AP685" s="34"/>
      <c r="AQ685" s="34"/>
      <c r="AR685" s="34"/>
      <c r="AS685" s="34"/>
      <c r="AT685" s="34"/>
      <c r="AU685" s="34"/>
      <c r="AV685" s="34"/>
      <c r="AW685" s="34"/>
      <c r="AX685" s="34"/>
      <c r="AY685" s="34"/>
      <c r="AZ685" s="34"/>
      <c r="BA685" s="34"/>
      <c r="BB685" s="34"/>
      <c r="BD685" s="34"/>
      <c r="BE685" s="34"/>
      <c r="BF685" s="34"/>
      <c r="BG685" s="34"/>
      <c r="BH685" s="34"/>
      <c r="BI685" s="34"/>
      <c r="BJ685" s="34"/>
      <c r="BK685" s="34"/>
      <c r="BL685" s="34"/>
      <c r="BM685" s="34"/>
      <c r="BN685" s="34"/>
      <c r="BO685" s="34"/>
      <c r="BP685" s="34"/>
      <c r="BQ685" s="34"/>
      <c r="BR685" s="34"/>
      <c r="BS685" s="34"/>
      <c r="BT685" s="34"/>
      <c r="BU685" s="34"/>
      <c r="BV685" s="34"/>
      <c r="BW685" s="34"/>
      <c r="BX685" s="34"/>
      <c r="BY685" s="34"/>
    </row>
    <row r="686" spans="1:77" x14ac:dyDescent="0.3">
      <c r="A686" s="39"/>
      <c r="B686" s="42"/>
      <c r="C686" s="42"/>
      <c r="D686" s="75"/>
      <c r="E686" s="75"/>
      <c r="F686" s="76"/>
      <c r="G686" s="47"/>
      <c r="H686" s="47"/>
      <c r="I686" s="75"/>
      <c r="J686" s="76"/>
      <c r="K686" s="76"/>
      <c r="L686" s="75"/>
      <c r="M686" s="49"/>
      <c r="N686" s="76"/>
      <c r="O686" s="49"/>
      <c r="P686" s="77"/>
      <c r="Q686" s="53"/>
      <c r="R686" s="54"/>
      <c r="S686" s="55"/>
      <c r="T686" s="56"/>
      <c r="U686" s="56"/>
      <c r="V686" s="42"/>
      <c r="W686" s="57"/>
      <c r="X686" s="58"/>
      <c r="Y686" s="75"/>
      <c r="Z686" s="59"/>
      <c r="AA686" s="61"/>
      <c r="AB686" s="61"/>
      <c r="AC686" s="61"/>
      <c r="AD686" s="62"/>
      <c r="AE686" s="62"/>
      <c r="AF686" s="34"/>
      <c r="AG686" s="34"/>
      <c r="AH686" s="34"/>
      <c r="AI686" s="34"/>
      <c r="AJ686" s="34"/>
      <c r="AK686" s="34"/>
      <c r="AL686" s="34"/>
      <c r="AM686" s="34"/>
      <c r="AN686" s="34"/>
      <c r="AO686" s="34"/>
      <c r="AP686" s="34"/>
      <c r="AQ686" s="34"/>
      <c r="AR686" s="34"/>
      <c r="AS686" s="34"/>
      <c r="AT686" s="34"/>
      <c r="AU686" s="34"/>
      <c r="AV686" s="34"/>
      <c r="AW686" s="34"/>
      <c r="AX686" s="34"/>
      <c r="AY686" s="34"/>
      <c r="AZ686" s="34"/>
      <c r="BA686" s="34"/>
      <c r="BB686" s="34"/>
      <c r="BD686" s="34"/>
      <c r="BE686" s="34"/>
      <c r="BF686" s="34"/>
      <c r="BG686" s="34"/>
      <c r="BH686" s="34"/>
      <c r="BI686" s="34"/>
      <c r="BJ686" s="34"/>
      <c r="BK686" s="34"/>
      <c r="BL686" s="34"/>
      <c r="BM686" s="34"/>
      <c r="BN686" s="34"/>
      <c r="BO686" s="34"/>
      <c r="BP686" s="34"/>
      <c r="BQ686" s="34"/>
      <c r="BR686" s="34"/>
      <c r="BS686" s="34"/>
      <c r="BT686" s="34"/>
      <c r="BU686" s="34"/>
      <c r="BV686" s="34"/>
      <c r="BW686" s="34"/>
      <c r="BX686" s="34"/>
      <c r="BY686" s="34"/>
    </row>
    <row r="687" spans="1:77" x14ac:dyDescent="0.3">
      <c r="A687" s="39"/>
      <c r="B687" s="42"/>
      <c r="C687" s="42"/>
      <c r="D687" s="75"/>
      <c r="E687" s="75"/>
      <c r="F687" s="76"/>
      <c r="G687" s="47"/>
      <c r="H687" s="47"/>
      <c r="I687" s="75"/>
      <c r="J687" s="76"/>
      <c r="K687" s="76"/>
      <c r="L687" s="75"/>
      <c r="M687" s="49"/>
      <c r="N687" s="76"/>
      <c r="O687" s="49"/>
      <c r="P687" s="77"/>
      <c r="Q687" s="53"/>
      <c r="R687" s="54"/>
      <c r="S687" s="55"/>
      <c r="T687" s="56"/>
      <c r="U687" s="56"/>
      <c r="V687" s="42"/>
      <c r="W687" s="57"/>
      <c r="X687" s="58"/>
      <c r="Y687" s="75"/>
      <c r="Z687" s="59"/>
      <c r="AA687" s="61"/>
      <c r="AB687" s="61"/>
      <c r="AC687" s="61"/>
      <c r="AD687" s="62"/>
      <c r="AE687" s="62"/>
      <c r="AF687" s="34"/>
      <c r="AG687" s="34"/>
      <c r="AH687" s="34"/>
      <c r="AI687" s="34"/>
      <c r="AJ687" s="34"/>
      <c r="AK687" s="34"/>
      <c r="AL687" s="34"/>
      <c r="AM687" s="34"/>
      <c r="AN687" s="34"/>
      <c r="AO687" s="34"/>
      <c r="AP687" s="34"/>
      <c r="AQ687" s="34"/>
      <c r="AR687" s="34"/>
      <c r="AS687" s="34"/>
      <c r="AT687" s="34"/>
      <c r="AU687" s="34"/>
      <c r="AV687" s="34"/>
      <c r="AW687" s="34"/>
      <c r="AX687" s="34"/>
      <c r="AY687" s="34"/>
      <c r="AZ687" s="34"/>
      <c r="BA687" s="34"/>
      <c r="BB687" s="34"/>
      <c r="BD687" s="34"/>
      <c r="BE687" s="34"/>
      <c r="BF687" s="34"/>
      <c r="BG687" s="34"/>
      <c r="BH687" s="34"/>
      <c r="BI687" s="34"/>
      <c r="BJ687" s="34"/>
      <c r="BK687" s="34"/>
      <c r="BL687" s="34"/>
      <c r="BM687" s="34"/>
      <c r="BN687" s="34"/>
      <c r="BO687" s="34"/>
      <c r="BP687" s="34"/>
      <c r="BQ687" s="34"/>
      <c r="BR687" s="34"/>
      <c r="BS687" s="34"/>
      <c r="BT687" s="34"/>
      <c r="BU687" s="34"/>
      <c r="BV687" s="34"/>
      <c r="BW687" s="34"/>
      <c r="BX687" s="34"/>
      <c r="BY687" s="34"/>
    </row>
    <row r="688" spans="1:77" x14ac:dyDescent="0.3">
      <c r="A688" s="39"/>
      <c r="B688" s="42"/>
      <c r="C688" s="42"/>
      <c r="D688" s="75"/>
      <c r="E688" s="75"/>
      <c r="F688" s="76"/>
      <c r="G688" s="47"/>
      <c r="H688" s="47"/>
      <c r="I688" s="75"/>
      <c r="J688" s="76"/>
      <c r="K688" s="76"/>
      <c r="L688" s="75"/>
      <c r="M688" s="49"/>
      <c r="N688" s="76"/>
      <c r="O688" s="49"/>
      <c r="P688" s="77"/>
      <c r="Q688" s="53"/>
      <c r="R688" s="54"/>
      <c r="S688" s="55"/>
      <c r="T688" s="56"/>
      <c r="U688" s="56"/>
      <c r="V688" s="42"/>
      <c r="W688" s="57"/>
      <c r="X688" s="58"/>
      <c r="Y688" s="75"/>
      <c r="Z688" s="59"/>
      <c r="AA688" s="61"/>
      <c r="AB688" s="61"/>
      <c r="AC688" s="61"/>
      <c r="AD688" s="62"/>
      <c r="AE688" s="62"/>
      <c r="AF688" s="34"/>
      <c r="AG688" s="34"/>
      <c r="AH688" s="34"/>
      <c r="AI688" s="34"/>
      <c r="AJ688" s="34"/>
      <c r="AK688" s="34"/>
      <c r="AL688" s="34"/>
      <c r="AM688" s="34"/>
      <c r="AN688" s="34"/>
      <c r="AO688" s="34"/>
      <c r="AP688" s="34"/>
      <c r="AQ688" s="34"/>
      <c r="AR688" s="34"/>
      <c r="AS688" s="34"/>
      <c r="AT688" s="34"/>
      <c r="AU688" s="34"/>
      <c r="AV688" s="34"/>
      <c r="AW688" s="34"/>
      <c r="AX688" s="34"/>
      <c r="AY688" s="34"/>
      <c r="AZ688" s="34"/>
      <c r="BA688" s="34"/>
      <c r="BB688" s="34"/>
      <c r="BD688" s="34"/>
      <c r="BE688" s="34"/>
      <c r="BF688" s="34"/>
      <c r="BG688" s="34"/>
      <c r="BH688" s="34"/>
      <c r="BI688" s="34"/>
      <c r="BJ688" s="34"/>
      <c r="BK688" s="34"/>
      <c r="BL688" s="34"/>
      <c r="BM688" s="34"/>
      <c r="BN688" s="34"/>
      <c r="BO688" s="34"/>
      <c r="BP688" s="34"/>
      <c r="BQ688" s="34"/>
      <c r="BR688" s="34"/>
      <c r="BS688" s="34"/>
      <c r="BT688" s="34"/>
      <c r="BU688" s="34"/>
      <c r="BV688" s="34"/>
      <c r="BW688" s="34"/>
      <c r="BX688" s="34"/>
      <c r="BY688" s="34"/>
    </row>
    <row r="689" spans="1:77" x14ac:dyDescent="0.3">
      <c r="A689" s="39"/>
      <c r="B689" s="42"/>
      <c r="C689" s="42"/>
      <c r="D689" s="75"/>
      <c r="E689" s="75"/>
      <c r="F689" s="76"/>
      <c r="G689" s="47"/>
      <c r="H689" s="47"/>
      <c r="I689" s="75"/>
      <c r="J689" s="76"/>
      <c r="K689" s="76"/>
      <c r="L689" s="75"/>
      <c r="M689" s="49"/>
      <c r="N689" s="76"/>
      <c r="O689" s="49"/>
      <c r="P689" s="77"/>
      <c r="Q689" s="53"/>
      <c r="R689" s="54"/>
      <c r="S689" s="55"/>
      <c r="T689" s="56"/>
      <c r="U689" s="56"/>
      <c r="V689" s="42"/>
      <c r="W689" s="57"/>
      <c r="X689" s="58"/>
      <c r="Y689" s="75"/>
      <c r="Z689" s="59"/>
      <c r="AA689" s="61"/>
      <c r="AB689" s="61"/>
      <c r="AC689" s="61"/>
      <c r="AD689" s="62"/>
      <c r="AE689" s="62"/>
      <c r="AF689" s="34"/>
      <c r="AG689" s="34"/>
      <c r="AH689" s="34"/>
      <c r="AI689" s="34"/>
      <c r="AJ689" s="34"/>
      <c r="AK689" s="34"/>
      <c r="AL689" s="34"/>
      <c r="AM689" s="34"/>
      <c r="AN689" s="34"/>
      <c r="AO689" s="34"/>
      <c r="AP689" s="34"/>
      <c r="AQ689" s="34"/>
      <c r="AR689" s="34"/>
      <c r="AS689" s="34"/>
      <c r="AT689" s="34"/>
      <c r="AU689" s="34"/>
      <c r="AV689" s="34"/>
      <c r="AW689" s="34"/>
      <c r="AX689" s="34"/>
      <c r="AY689" s="34"/>
      <c r="AZ689" s="34"/>
      <c r="BA689" s="34"/>
      <c r="BB689" s="34"/>
      <c r="BD689" s="34"/>
      <c r="BE689" s="34"/>
      <c r="BF689" s="34"/>
      <c r="BG689" s="34"/>
      <c r="BH689" s="34"/>
      <c r="BI689" s="34"/>
      <c r="BJ689" s="34"/>
      <c r="BK689" s="34"/>
      <c r="BL689" s="34"/>
      <c r="BM689" s="34"/>
      <c r="BN689" s="34"/>
      <c r="BO689" s="34"/>
      <c r="BP689" s="34"/>
      <c r="BQ689" s="34"/>
      <c r="BR689" s="34"/>
      <c r="BS689" s="34"/>
      <c r="BT689" s="34"/>
      <c r="BU689" s="34"/>
      <c r="BV689" s="34"/>
      <c r="BW689" s="34"/>
      <c r="BX689" s="34"/>
      <c r="BY689" s="34"/>
    </row>
    <row r="690" spans="1:77" x14ac:dyDescent="0.3">
      <c r="A690" s="39"/>
      <c r="B690" s="42"/>
      <c r="C690" s="42"/>
      <c r="D690" s="75"/>
      <c r="E690" s="75"/>
      <c r="F690" s="76"/>
      <c r="G690" s="47"/>
      <c r="H690" s="47"/>
      <c r="I690" s="75"/>
      <c r="J690" s="76"/>
      <c r="K690" s="76"/>
      <c r="L690" s="75"/>
      <c r="M690" s="49"/>
      <c r="N690" s="76"/>
      <c r="O690" s="49"/>
      <c r="P690" s="77"/>
      <c r="Q690" s="53"/>
      <c r="R690" s="54"/>
      <c r="S690" s="55"/>
      <c r="T690" s="56"/>
      <c r="U690" s="56"/>
      <c r="V690" s="42"/>
      <c r="W690" s="57"/>
      <c r="X690" s="58"/>
      <c r="Y690" s="75"/>
      <c r="Z690" s="59"/>
      <c r="AA690" s="61"/>
      <c r="AB690" s="61"/>
      <c r="AC690" s="61"/>
      <c r="AD690" s="62"/>
      <c r="AE690" s="62"/>
      <c r="AF690" s="34"/>
      <c r="AG690" s="34"/>
      <c r="AH690" s="34"/>
      <c r="AI690" s="34"/>
      <c r="AJ690" s="34"/>
      <c r="AK690" s="34"/>
      <c r="AL690" s="34"/>
      <c r="AM690" s="34"/>
      <c r="AN690" s="34"/>
      <c r="AO690" s="34"/>
      <c r="AP690" s="34"/>
      <c r="AQ690" s="34"/>
      <c r="AR690" s="34"/>
      <c r="AS690" s="34"/>
      <c r="AT690" s="34"/>
      <c r="AU690" s="34"/>
      <c r="AV690" s="34"/>
      <c r="AW690" s="34"/>
      <c r="AX690" s="34"/>
      <c r="AY690" s="34"/>
      <c r="AZ690" s="34"/>
      <c r="BA690" s="34"/>
      <c r="BB690" s="34"/>
      <c r="BD690" s="34"/>
      <c r="BE690" s="34"/>
      <c r="BF690" s="34"/>
      <c r="BG690" s="34"/>
      <c r="BH690" s="34"/>
      <c r="BI690" s="34"/>
      <c r="BJ690" s="34"/>
      <c r="BK690" s="34"/>
      <c r="BL690" s="34"/>
      <c r="BM690" s="34"/>
      <c r="BN690" s="34"/>
      <c r="BO690" s="34"/>
      <c r="BP690" s="34"/>
      <c r="BQ690" s="34"/>
      <c r="BR690" s="34"/>
      <c r="BS690" s="34"/>
      <c r="BT690" s="34"/>
      <c r="BU690" s="34"/>
      <c r="BV690" s="34"/>
      <c r="BW690" s="34"/>
      <c r="BX690" s="34"/>
      <c r="BY690" s="34"/>
    </row>
    <row r="691" spans="1:77" x14ac:dyDescent="0.3">
      <c r="A691" s="39"/>
      <c r="B691" s="42"/>
      <c r="C691" s="42"/>
      <c r="D691" s="75"/>
      <c r="E691" s="75"/>
      <c r="F691" s="76"/>
      <c r="G691" s="47"/>
      <c r="H691" s="47"/>
      <c r="I691" s="75"/>
      <c r="J691" s="76"/>
      <c r="K691" s="76"/>
      <c r="L691" s="75"/>
      <c r="M691" s="49"/>
      <c r="N691" s="76"/>
      <c r="O691" s="49"/>
      <c r="P691" s="77"/>
      <c r="Q691" s="53"/>
      <c r="R691" s="54"/>
      <c r="S691" s="55"/>
      <c r="T691" s="56"/>
      <c r="U691" s="56"/>
      <c r="V691" s="42"/>
      <c r="W691" s="57"/>
      <c r="X691" s="58"/>
      <c r="Y691" s="75"/>
      <c r="Z691" s="59"/>
      <c r="AA691" s="61"/>
      <c r="AB691" s="61"/>
      <c r="AC691" s="61"/>
      <c r="AD691" s="62"/>
      <c r="AE691" s="62"/>
      <c r="AF691" s="34"/>
      <c r="AG691" s="34"/>
      <c r="AH691" s="34"/>
      <c r="AI691" s="34"/>
      <c r="AJ691" s="34"/>
      <c r="AK691" s="34"/>
      <c r="AL691" s="34"/>
      <c r="AM691" s="34"/>
      <c r="AN691" s="34"/>
      <c r="AO691" s="34"/>
      <c r="AP691" s="34"/>
      <c r="AQ691" s="34"/>
      <c r="AR691" s="34"/>
      <c r="AS691" s="34"/>
      <c r="AT691" s="34"/>
      <c r="AU691" s="34"/>
      <c r="AV691" s="34"/>
      <c r="AW691" s="34"/>
      <c r="AX691" s="34"/>
      <c r="AY691" s="34"/>
      <c r="AZ691" s="34"/>
      <c r="BA691" s="34"/>
      <c r="BB691" s="34"/>
      <c r="BD691" s="34"/>
      <c r="BE691" s="34"/>
      <c r="BF691" s="34"/>
      <c r="BG691" s="34"/>
      <c r="BH691" s="34"/>
      <c r="BI691" s="34"/>
      <c r="BJ691" s="34"/>
      <c r="BK691" s="34"/>
      <c r="BL691" s="34"/>
      <c r="BM691" s="34"/>
      <c r="BN691" s="34"/>
      <c r="BO691" s="34"/>
      <c r="BP691" s="34"/>
      <c r="BQ691" s="34"/>
      <c r="BR691" s="34"/>
      <c r="BS691" s="34"/>
      <c r="BT691" s="34"/>
      <c r="BU691" s="34"/>
      <c r="BV691" s="34"/>
      <c r="BW691" s="34"/>
      <c r="BX691" s="34"/>
      <c r="BY691" s="34"/>
    </row>
    <row r="692" spans="1:77" x14ac:dyDescent="0.3">
      <c r="A692" s="39"/>
      <c r="B692" s="42"/>
      <c r="C692" s="42"/>
      <c r="D692" s="75"/>
      <c r="E692" s="75"/>
      <c r="F692" s="76"/>
      <c r="G692" s="47"/>
      <c r="H692" s="47"/>
      <c r="I692" s="75"/>
      <c r="J692" s="76"/>
      <c r="K692" s="76"/>
      <c r="L692" s="75"/>
      <c r="M692" s="49"/>
      <c r="N692" s="76"/>
      <c r="O692" s="49"/>
      <c r="P692" s="77"/>
      <c r="Q692" s="53"/>
      <c r="R692" s="54"/>
      <c r="S692" s="55"/>
      <c r="T692" s="56"/>
      <c r="U692" s="56"/>
      <c r="V692" s="42"/>
      <c r="W692" s="57"/>
      <c r="X692" s="58"/>
      <c r="Y692" s="75"/>
      <c r="Z692" s="59"/>
      <c r="AA692" s="61"/>
      <c r="AB692" s="61"/>
      <c r="AC692" s="61"/>
      <c r="AD692" s="62"/>
      <c r="AE692" s="62"/>
      <c r="AF692" s="34"/>
      <c r="AG692" s="34"/>
      <c r="AH692" s="34"/>
      <c r="AI692" s="34"/>
      <c r="AJ692" s="34"/>
      <c r="AK692" s="34"/>
      <c r="AL692" s="34"/>
      <c r="AM692" s="34"/>
      <c r="AN692" s="34"/>
      <c r="AO692" s="34"/>
      <c r="AP692" s="34"/>
      <c r="AQ692" s="34"/>
      <c r="AR692" s="34"/>
      <c r="AS692" s="34"/>
      <c r="AT692" s="34"/>
      <c r="AU692" s="34"/>
      <c r="AV692" s="34"/>
      <c r="AW692" s="34"/>
      <c r="AX692" s="34"/>
      <c r="AY692" s="34"/>
      <c r="AZ692" s="34"/>
      <c r="BA692" s="34"/>
      <c r="BB692" s="34"/>
      <c r="BD692" s="34"/>
      <c r="BE692" s="34"/>
      <c r="BF692" s="34"/>
      <c r="BG692" s="34"/>
      <c r="BH692" s="34"/>
      <c r="BI692" s="34"/>
      <c r="BJ692" s="34"/>
      <c r="BK692" s="34"/>
      <c r="BL692" s="34"/>
      <c r="BM692" s="34"/>
      <c r="BN692" s="34"/>
      <c r="BO692" s="34"/>
      <c r="BP692" s="34"/>
      <c r="BQ692" s="34"/>
      <c r="BR692" s="34"/>
      <c r="BS692" s="34"/>
      <c r="BT692" s="34"/>
      <c r="BU692" s="34"/>
      <c r="BV692" s="34"/>
      <c r="BW692" s="34"/>
      <c r="BX692" s="34"/>
      <c r="BY692" s="34"/>
    </row>
    <row r="693" spans="1:77" x14ac:dyDescent="0.3">
      <c r="A693" s="39"/>
      <c r="B693" s="42"/>
      <c r="C693" s="42"/>
      <c r="D693" s="75"/>
      <c r="E693" s="75"/>
      <c r="F693" s="76"/>
      <c r="G693" s="47"/>
      <c r="H693" s="47"/>
      <c r="I693" s="75"/>
      <c r="J693" s="76"/>
      <c r="K693" s="76"/>
      <c r="L693" s="75"/>
      <c r="M693" s="49"/>
      <c r="N693" s="76"/>
      <c r="O693" s="49"/>
      <c r="P693" s="77"/>
      <c r="Q693" s="53"/>
      <c r="R693" s="54"/>
      <c r="S693" s="55"/>
      <c r="T693" s="56"/>
      <c r="U693" s="56"/>
      <c r="V693" s="42"/>
      <c r="W693" s="57"/>
      <c r="X693" s="58"/>
      <c r="Y693" s="75"/>
      <c r="Z693" s="59"/>
      <c r="AA693" s="61"/>
      <c r="AB693" s="61"/>
      <c r="AC693" s="61"/>
      <c r="AD693" s="62"/>
      <c r="AE693" s="62"/>
      <c r="AF693" s="34"/>
      <c r="AG693" s="34"/>
      <c r="AH693" s="34"/>
      <c r="AI693" s="34"/>
      <c r="AJ693" s="34"/>
      <c r="AK693" s="34"/>
      <c r="AL693" s="34"/>
      <c r="AM693" s="34"/>
      <c r="AN693" s="34"/>
      <c r="AO693" s="34"/>
      <c r="AP693" s="34"/>
      <c r="AQ693" s="34"/>
      <c r="AR693" s="34"/>
      <c r="AS693" s="34"/>
      <c r="AT693" s="34"/>
      <c r="AU693" s="34"/>
      <c r="AV693" s="34"/>
      <c r="AW693" s="34"/>
      <c r="AX693" s="34"/>
      <c r="AY693" s="34"/>
      <c r="AZ693" s="34"/>
      <c r="BA693" s="34"/>
      <c r="BB693" s="34"/>
      <c r="BD693" s="34"/>
      <c r="BE693" s="34"/>
      <c r="BF693" s="34"/>
      <c r="BG693" s="34"/>
      <c r="BH693" s="34"/>
      <c r="BI693" s="34"/>
      <c r="BJ693" s="34"/>
      <c r="BK693" s="34"/>
      <c r="BL693" s="34"/>
      <c r="BM693" s="34"/>
      <c r="BN693" s="34"/>
      <c r="BO693" s="34"/>
      <c r="BP693" s="34"/>
      <c r="BQ693" s="34"/>
      <c r="BR693" s="34"/>
      <c r="BS693" s="34"/>
      <c r="BT693" s="34"/>
      <c r="BU693" s="34"/>
      <c r="BV693" s="34"/>
      <c r="BW693" s="34"/>
      <c r="BX693" s="34"/>
      <c r="BY693" s="34"/>
    </row>
    <row r="694" spans="1:77" x14ac:dyDescent="0.3">
      <c r="A694" s="39"/>
      <c r="B694" s="42"/>
      <c r="C694" s="42"/>
      <c r="D694" s="75"/>
      <c r="E694" s="75"/>
      <c r="F694" s="76"/>
      <c r="G694" s="47"/>
      <c r="H694" s="47"/>
      <c r="I694" s="75"/>
      <c r="J694" s="76"/>
      <c r="K694" s="76"/>
      <c r="L694" s="75"/>
      <c r="M694" s="49"/>
      <c r="N694" s="76"/>
      <c r="O694" s="49"/>
      <c r="P694" s="77"/>
      <c r="Q694" s="53"/>
      <c r="R694" s="54"/>
      <c r="S694" s="55"/>
      <c r="T694" s="56"/>
      <c r="U694" s="56"/>
      <c r="V694" s="42"/>
      <c r="W694" s="57"/>
      <c r="X694" s="58"/>
      <c r="Y694" s="75"/>
      <c r="Z694" s="59"/>
      <c r="AA694" s="61"/>
      <c r="AB694" s="61"/>
      <c r="AC694" s="61"/>
      <c r="AD694" s="62"/>
      <c r="AE694" s="62"/>
      <c r="AF694" s="34"/>
      <c r="AG694" s="34"/>
      <c r="AH694" s="34"/>
      <c r="AI694" s="34"/>
      <c r="AJ694" s="34"/>
      <c r="AK694" s="34"/>
      <c r="AL694" s="34"/>
      <c r="AM694" s="34"/>
      <c r="AN694" s="34"/>
      <c r="AO694" s="34"/>
      <c r="AP694" s="34"/>
      <c r="AQ694" s="34"/>
      <c r="AR694" s="34"/>
      <c r="AS694" s="34"/>
      <c r="AT694" s="34"/>
      <c r="AU694" s="34"/>
      <c r="AV694" s="34"/>
      <c r="AW694" s="34"/>
      <c r="AX694" s="34"/>
      <c r="AY694" s="34"/>
      <c r="AZ694" s="34"/>
      <c r="BA694" s="34"/>
      <c r="BB694" s="34"/>
      <c r="BD694" s="34"/>
      <c r="BE694" s="34"/>
      <c r="BF694" s="34"/>
      <c r="BG694" s="34"/>
      <c r="BH694" s="34"/>
      <c r="BI694" s="34"/>
      <c r="BJ694" s="34"/>
      <c r="BK694" s="34"/>
      <c r="BL694" s="34"/>
      <c r="BM694" s="34"/>
      <c r="BN694" s="34"/>
      <c r="BO694" s="34"/>
      <c r="BP694" s="34"/>
      <c r="BQ694" s="34"/>
      <c r="BR694" s="34"/>
      <c r="BS694" s="34"/>
      <c r="BT694" s="34"/>
      <c r="BU694" s="34"/>
      <c r="BV694" s="34"/>
      <c r="BW694" s="34"/>
      <c r="BX694" s="34"/>
      <c r="BY694" s="34"/>
    </row>
    <row r="695" spans="1:77" x14ac:dyDescent="0.3">
      <c r="A695" s="39"/>
      <c r="B695" s="42"/>
      <c r="C695" s="42"/>
      <c r="D695" s="75"/>
      <c r="E695" s="75"/>
      <c r="F695" s="76"/>
      <c r="G695" s="47"/>
      <c r="H695" s="47"/>
      <c r="I695" s="75"/>
      <c r="J695" s="76"/>
      <c r="K695" s="76"/>
      <c r="L695" s="75"/>
      <c r="M695" s="49"/>
      <c r="N695" s="76"/>
      <c r="O695" s="49"/>
      <c r="P695" s="77"/>
      <c r="Q695" s="53"/>
      <c r="R695" s="54"/>
      <c r="S695" s="55"/>
      <c r="T695" s="56"/>
      <c r="U695" s="56"/>
      <c r="V695" s="42"/>
      <c r="W695" s="57"/>
      <c r="X695" s="58"/>
      <c r="Y695" s="75"/>
      <c r="Z695" s="59"/>
      <c r="AA695" s="61"/>
      <c r="AB695" s="61"/>
      <c r="AC695" s="61"/>
      <c r="AD695" s="62"/>
      <c r="AE695" s="62"/>
      <c r="AF695" s="34"/>
      <c r="AG695" s="34"/>
      <c r="AH695" s="34"/>
      <c r="AI695" s="34"/>
      <c r="AJ695" s="34"/>
      <c r="AK695" s="34"/>
      <c r="AL695" s="34"/>
      <c r="AM695" s="34"/>
      <c r="AN695" s="34"/>
      <c r="AO695" s="34"/>
      <c r="AP695" s="34"/>
      <c r="AQ695" s="34"/>
      <c r="AR695" s="34"/>
      <c r="AS695" s="34"/>
      <c r="AT695" s="34"/>
      <c r="AU695" s="34"/>
      <c r="AV695" s="34"/>
      <c r="AW695" s="34"/>
      <c r="AX695" s="34"/>
      <c r="AY695" s="34"/>
      <c r="AZ695" s="34"/>
      <c r="BA695" s="34"/>
      <c r="BB695" s="34"/>
      <c r="BD695" s="34"/>
      <c r="BE695" s="34"/>
      <c r="BF695" s="34"/>
      <c r="BG695" s="34"/>
      <c r="BH695" s="34"/>
      <c r="BI695" s="34"/>
      <c r="BJ695" s="34"/>
      <c r="BK695" s="34"/>
      <c r="BL695" s="34"/>
      <c r="BM695" s="34"/>
      <c r="BN695" s="34"/>
      <c r="BO695" s="34"/>
      <c r="BP695" s="34"/>
      <c r="BQ695" s="34"/>
      <c r="BR695" s="34"/>
      <c r="BS695" s="34"/>
      <c r="BT695" s="34"/>
      <c r="BU695" s="34"/>
      <c r="BV695" s="34"/>
      <c r="BW695" s="34"/>
      <c r="BX695" s="34"/>
      <c r="BY695" s="34"/>
    </row>
    <row r="696" spans="1:77" x14ac:dyDescent="0.3">
      <c r="A696" s="39"/>
      <c r="B696" s="42"/>
      <c r="C696" s="42"/>
      <c r="D696" s="75"/>
      <c r="E696" s="75"/>
      <c r="F696" s="76"/>
      <c r="G696" s="47"/>
      <c r="H696" s="47"/>
      <c r="I696" s="75"/>
      <c r="J696" s="76"/>
      <c r="K696" s="76"/>
      <c r="L696" s="75"/>
      <c r="M696" s="49"/>
      <c r="N696" s="76"/>
      <c r="O696" s="49"/>
      <c r="P696" s="77"/>
      <c r="Q696" s="53"/>
      <c r="R696" s="54"/>
      <c r="S696" s="55"/>
      <c r="T696" s="56"/>
      <c r="U696" s="56"/>
      <c r="V696" s="42"/>
      <c r="W696" s="57"/>
      <c r="X696" s="58"/>
      <c r="Y696" s="75"/>
      <c r="Z696" s="59"/>
      <c r="AA696" s="61"/>
      <c r="AB696" s="61"/>
      <c r="AC696" s="61"/>
      <c r="AD696" s="62"/>
      <c r="AE696" s="62"/>
      <c r="AF696" s="34"/>
      <c r="AG696" s="34"/>
      <c r="AH696" s="34"/>
      <c r="AI696" s="34"/>
      <c r="AJ696" s="34"/>
      <c r="AK696" s="34"/>
      <c r="AL696" s="34"/>
      <c r="AM696" s="34"/>
      <c r="AN696" s="34"/>
      <c r="AO696" s="34"/>
      <c r="AP696" s="34"/>
      <c r="AQ696" s="34"/>
      <c r="AR696" s="34"/>
      <c r="AS696" s="34"/>
      <c r="AT696" s="34"/>
      <c r="AU696" s="34"/>
      <c r="AV696" s="34"/>
      <c r="AW696" s="34"/>
      <c r="AX696" s="34"/>
      <c r="AY696" s="34"/>
      <c r="AZ696" s="34"/>
      <c r="BA696" s="34"/>
      <c r="BB696" s="34"/>
      <c r="BD696" s="34"/>
      <c r="BE696" s="34"/>
      <c r="BF696" s="34"/>
      <c r="BG696" s="34"/>
      <c r="BH696" s="34"/>
      <c r="BI696" s="34"/>
      <c r="BJ696" s="34"/>
      <c r="BK696" s="34"/>
      <c r="BL696" s="34"/>
      <c r="BM696" s="34"/>
      <c r="BN696" s="34"/>
      <c r="BO696" s="34"/>
      <c r="BP696" s="34"/>
      <c r="BQ696" s="34"/>
      <c r="BR696" s="34"/>
      <c r="BS696" s="34"/>
      <c r="BT696" s="34"/>
      <c r="BU696" s="34"/>
      <c r="BV696" s="34"/>
      <c r="BW696" s="34"/>
      <c r="BX696" s="34"/>
      <c r="BY696" s="34"/>
    </row>
    <row r="697" spans="1:77" x14ac:dyDescent="0.3">
      <c r="A697" s="39"/>
      <c r="B697" s="42"/>
      <c r="C697" s="42"/>
      <c r="D697" s="75"/>
      <c r="E697" s="75"/>
      <c r="F697" s="76"/>
      <c r="G697" s="47"/>
      <c r="H697" s="47"/>
      <c r="I697" s="75"/>
      <c r="J697" s="76"/>
      <c r="K697" s="76"/>
      <c r="L697" s="75"/>
      <c r="M697" s="49"/>
      <c r="N697" s="76"/>
      <c r="O697" s="49"/>
      <c r="P697" s="77"/>
      <c r="Q697" s="53"/>
      <c r="R697" s="54"/>
      <c r="S697" s="55"/>
      <c r="T697" s="56"/>
      <c r="U697" s="56"/>
      <c r="V697" s="42"/>
      <c r="W697" s="57"/>
      <c r="X697" s="58"/>
      <c r="Y697" s="75"/>
      <c r="Z697" s="59"/>
      <c r="AA697" s="61"/>
      <c r="AB697" s="61"/>
      <c r="AC697" s="61"/>
      <c r="AD697" s="62"/>
      <c r="AE697" s="62"/>
      <c r="AF697" s="34"/>
      <c r="AG697" s="34"/>
      <c r="AH697" s="34"/>
      <c r="AI697" s="34"/>
      <c r="AJ697" s="34"/>
      <c r="AK697" s="34"/>
      <c r="AL697" s="34"/>
      <c r="AM697" s="34"/>
      <c r="AN697" s="34"/>
      <c r="AO697" s="34"/>
      <c r="AP697" s="34"/>
      <c r="AQ697" s="34"/>
      <c r="AR697" s="34"/>
      <c r="AS697" s="34"/>
      <c r="AT697" s="34"/>
      <c r="AU697" s="34"/>
      <c r="AV697" s="34"/>
      <c r="AW697" s="34"/>
      <c r="AX697" s="34"/>
      <c r="AY697" s="34"/>
      <c r="AZ697" s="34"/>
      <c r="BA697" s="34"/>
      <c r="BB697" s="34"/>
      <c r="BD697" s="34"/>
      <c r="BE697" s="34"/>
      <c r="BF697" s="34"/>
      <c r="BG697" s="34"/>
      <c r="BH697" s="34"/>
      <c r="BI697" s="34"/>
      <c r="BJ697" s="34"/>
      <c r="BK697" s="34"/>
      <c r="BL697" s="34"/>
      <c r="BM697" s="34"/>
      <c r="BN697" s="34"/>
      <c r="BO697" s="34"/>
      <c r="BP697" s="34"/>
      <c r="BQ697" s="34"/>
      <c r="BR697" s="34"/>
      <c r="BS697" s="34"/>
      <c r="BT697" s="34"/>
      <c r="BU697" s="34"/>
      <c r="BV697" s="34"/>
      <c r="BW697" s="34"/>
      <c r="BX697" s="34"/>
      <c r="BY697" s="34"/>
    </row>
    <row r="698" spans="1:77" x14ac:dyDescent="0.3">
      <c r="A698" s="39"/>
      <c r="B698" s="42"/>
      <c r="C698" s="42"/>
      <c r="D698" s="75"/>
      <c r="E698" s="75"/>
      <c r="F698" s="76"/>
      <c r="G698" s="47"/>
      <c r="H698" s="47"/>
      <c r="I698" s="75"/>
      <c r="J698" s="76"/>
      <c r="K698" s="76"/>
      <c r="L698" s="75"/>
      <c r="M698" s="49"/>
      <c r="N698" s="76"/>
      <c r="O698" s="49"/>
      <c r="P698" s="77"/>
      <c r="Q698" s="53"/>
      <c r="R698" s="54"/>
      <c r="S698" s="55"/>
      <c r="T698" s="56"/>
      <c r="U698" s="56"/>
      <c r="V698" s="42"/>
      <c r="W698" s="57"/>
      <c r="X698" s="58"/>
      <c r="Y698" s="75"/>
      <c r="Z698" s="59"/>
      <c r="AA698" s="61"/>
      <c r="AB698" s="61"/>
      <c r="AC698" s="61"/>
      <c r="AD698" s="62"/>
      <c r="AE698" s="62"/>
      <c r="AF698" s="34"/>
      <c r="AG698" s="34"/>
      <c r="AH698" s="34"/>
      <c r="AI698" s="34"/>
      <c r="AJ698" s="34"/>
      <c r="AK698" s="34"/>
      <c r="AL698" s="34"/>
      <c r="AM698" s="34"/>
      <c r="AN698" s="34"/>
      <c r="AO698" s="34"/>
      <c r="AP698" s="34"/>
      <c r="AQ698" s="34"/>
      <c r="AR698" s="34"/>
      <c r="AS698" s="34"/>
      <c r="AT698" s="34"/>
      <c r="AU698" s="34"/>
      <c r="AV698" s="34"/>
      <c r="AW698" s="34"/>
      <c r="AX698" s="34"/>
      <c r="AY698" s="34"/>
      <c r="AZ698" s="34"/>
      <c r="BA698" s="34"/>
      <c r="BB698" s="34"/>
      <c r="BD698" s="34"/>
      <c r="BE698" s="34"/>
      <c r="BF698" s="34"/>
      <c r="BG698" s="34"/>
      <c r="BH698" s="34"/>
      <c r="BI698" s="34"/>
      <c r="BJ698" s="34"/>
      <c r="BK698" s="34"/>
      <c r="BL698" s="34"/>
      <c r="BM698" s="34"/>
      <c r="BN698" s="34"/>
      <c r="BO698" s="34"/>
      <c r="BP698" s="34"/>
      <c r="BQ698" s="34"/>
      <c r="BR698" s="34"/>
      <c r="BS698" s="34"/>
      <c r="BT698" s="34"/>
      <c r="BU698" s="34"/>
      <c r="BV698" s="34"/>
      <c r="BW698" s="34"/>
      <c r="BX698" s="34"/>
      <c r="BY698" s="34"/>
    </row>
    <row r="699" spans="1:77" x14ac:dyDescent="0.3">
      <c r="A699" s="39"/>
      <c r="B699" s="42"/>
      <c r="C699" s="42"/>
      <c r="D699" s="75"/>
      <c r="E699" s="75"/>
      <c r="F699" s="76"/>
      <c r="G699" s="47"/>
      <c r="H699" s="47"/>
      <c r="I699" s="75"/>
      <c r="J699" s="76"/>
      <c r="K699" s="76"/>
      <c r="L699" s="75"/>
      <c r="M699" s="49"/>
      <c r="N699" s="76"/>
      <c r="O699" s="49"/>
      <c r="P699" s="77"/>
      <c r="Q699" s="53"/>
      <c r="R699" s="54"/>
      <c r="S699" s="55"/>
      <c r="T699" s="56"/>
      <c r="U699" s="56"/>
      <c r="V699" s="42"/>
      <c r="W699" s="57"/>
      <c r="X699" s="58"/>
      <c r="Y699" s="75"/>
      <c r="Z699" s="59"/>
      <c r="AA699" s="61"/>
      <c r="AB699" s="61"/>
      <c r="AC699" s="61"/>
      <c r="AD699" s="62"/>
      <c r="AE699" s="62"/>
      <c r="AF699" s="34"/>
      <c r="AG699" s="34"/>
      <c r="AH699" s="34"/>
      <c r="AI699" s="34"/>
      <c r="AJ699" s="34"/>
      <c r="AK699" s="34"/>
      <c r="AL699" s="34"/>
      <c r="AM699" s="34"/>
      <c r="AN699" s="34"/>
      <c r="AO699" s="34"/>
      <c r="AP699" s="34"/>
      <c r="AQ699" s="34"/>
      <c r="AR699" s="34"/>
      <c r="AS699" s="34"/>
      <c r="AT699" s="34"/>
      <c r="AU699" s="34"/>
      <c r="AV699" s="34"/>
      <c r="AW699" s="34"/>
      <c r="AX699" s="34"/>
      <c r="AY699" s="34"/>
      <c r="AZ699" s="34"/>
      <c r="BA699" s="34"/>
      <c r="BB699" s="34"/>
      <c r="BD699" s="34"/>
      <c r="BE699" s="34"/>
      <c r="BF699" s="34"/>
      <c r="BG699" s="34"/>
      <c r="BH699" s="34"/>
      <c r="BI699" s="34"/>
      <c r="BJ699" s="34"/>
      <c r="BK699" s="34"/>
      <c r="BL699" s="34"/>
      <c r="BM699" s="34"/>
      <c r="BN699" s="34"/>
      <c r="BO699" s="34"/>
      <c r="BP699" s="34"/>
      <c r="BQ699" s="34"/>
      <c r="BR699" s="34"/>
      <c r="BS699" s="34"/>
      <c r="BT699" s="34"/>
      <c r="BU699" s="34"/>
      <c r="BV699" s="34"/>
      <c r="BW699" s="34"/>
      <c r="BX699" s="34"/>
      <c r="BY699" s="34"/>
    </row>
    <row r="700" spans="1:77" x14ac:dyDescent="0.3">
      <c r="A700" s="39"/>
      <c r="B700" s="42"/>
      <c r="C700" s="42"/>
      <c r="D700" s="75"/>
      <c r="E700" s="75"/>
      <c r="F700" s="76"/>
      <c r="G700" s="47"/>
      <c r="H700" s="47"/>
      <c r="I700" s="75"/>
      <c r="J700" s="76"/>
      <c r="K700" s="76"/>
      <c r="L700" s="75"/>
      <c r="M700" s="49"/>
      <c r="N700" s="76"/>
      <c r="O700" s="49"/>
      <c r="P700" s="77"/>
      <c r="Q700" s="53"/>
      <c r="R700" s="54"/>
      <c r="S700" s="55"/>
      <c r="T700" s="56"/>
      <c r="U700" s="56"/>
      <c r="V700" s="42"/>
      <c r="W700" s="57"/>
      <c r="X700" s="58"/>
      <c r="Y700" s="75"/>
      <c r="Z700" s="59"/>
      <c r="AA700" s="61"/>
      <c r="AB700" s="61"/>
      <c r="AC700" s="61"/>
      <c r="AD700" s="62"/>
      <c r="AE700" s="62"/>
      <c r="AF700" s="34"/>
      <c r="AG700" s="34"/>
      <c r="AH700" s="34"/>
      <c r="AI700" s="34"/>
      <c r="AJ700" s="34"/>
      <c r="AK700" s="34"/>
      <c r="AL700" s="34"/>
      <c r="AM700" s="34"/>
      <c r="AN700" s="34"/>
      <c r="AO700" s="34"/>
      <c r="AP700" s="34"/>
      <c r="AQ700" s="34"/>
      <c r="AR700" s="34"/>
      <c r="AS700" s="34"/>
      <c r="AT700" s="34"/>
      <c r="AU700" s="34"/>
      <c r="AV700" s="34"/>
      <c r="AW700" s="34"/>
      <c r="AX700" s="34"/>
      <c r="AY700" s="34"/>
      <c r="AZ700" s="34"/>
      <c r="BA700" s="34"/>
      <c r="BB700" s="34"/>
      <c r="BD700" s="34"/>
      <c r="BE700" s="34"/>
      <c r="BF700" s="34"/>
      <c r="BG700" s="34"/>
      <c r="BH700" s="34"/>
      <c r="BI700" s="34"/>
      <c r="BJ700" s="34"/>
      <c r="BK700" s="34"/>
      <c r="BL700" s="34"/>
      <c r="BM700" s="34"/>
      <c r="BN700" s="34"/>
      <c r="BO700" s="34"/>
      <c r="BP700" s="34"/>
      <c r="BQ700" s="34"/>
      <c r="BR700" s="34"/>
      <c r="BS700" s="34"/>
      <c r="BT700" s="34"/>
      <c r="BU700" s="34"/>
      <c r="BV700" s="34"/>
      <c r="BW700" s="34"/>
      <c r="BX700" s="34"/>
      <c r="BY700" s="34"/>
    </row>
    <row r="701" spans="1:77" x14ac:dyDescent="0.3">
      <c r="A701" s="39"/>
      <c r="B701" s="42"/>
      <c r="C701" s="42"/>
      <c r="D701" s="75"/>
      <c r="E701" s="75"/>
      <c r="F701" s="76"/>
      <c r="G701" s="47"/>
      <c r="H701" s="47"/>
      <c r="I701" s="75"/>
      <c r="J701" s="76"/>
      <c r="K701" s="76"/>
      <c r="L701" s="75"/>
      <c r="M701" s="49"/>
      <c r="N701" s="76"/>
      <c r="O701" s="49"/>
      <c r="P701" s="77"/>
      <c r="Q701" s="53"/>
      <c r="R701" s="54"/>
      <c r="S701" s="55"/>
      <c r="T701" s="56"/>
      <c r="U701" s="56"/>
      <c r="V701" s="42"/>
      <c r="W701" s="57"/>
      <c r="X701" s="58"/>
      <c r="Y701" s="75"/>
      <c r="Z701" s="59"/>
      <c r="AA701" s="61"/>
      <c r="AB701" s="61"/>
      <c r="AC701" s="61"/>
      <c r="AD701" s="62"/>
      <c r="AE701" s="62"/>
      <c r="AF701" s="34"/>
      <c r="AG701" s="34"/>
      <c r="AH701" s="34"/>
      <c r="AI701" s="34"/>
      <c r="AJ701" s="34"/>
      <c r="AK701" s="34"/>
      <c r="AL701" s="34"/>
      <c r="AM701" s="34"/>
      <c r="AN701" s="34"/>
      <c r="AO701" s="34"/>
      <c r="AP701" s="34"/>
      <c r="AQ701" s="34"/>
      <c r="AR701" s="34"/>
      <c r="AS701" s="34"/>
      <c r="AT701" s="34"/>
      <c r="AU701" s="34"/>
      <c r="AV701" s="34"/>
      <c r="AW701" s="34"/>
      <c r="AX701" s="34"/>
      <c r="AY701" s="34"/>
      <c r="AZ701" s="34"/>
      <c r="BA701" s="34"/>
      <c r="BB701" s="34"/>
      <c r="BD701" s="34"/>
      <c r="BE701" s="34"/>
      <c r="BF701" s="34"/>
      <c r="BG701" s="34"/>
      <c r="BH701" s="34"/>
      <c r="BI701" s="34"/>
      <c r="BJ701" s="34"/>
      <c r="BK701" s="34"/>
      <c r="BL701" s="34"/>
      <c r="BM701" s="34"/>
      <c r="BN701" s="34"/>
      <c r="BO701" s="34"/>
      <c r="BP701" s="34"/>
      <c r="BQ701" s="34"/>
      <c r="BR701" s="34"/>
      <c r="BS701" s="34"/>
      <c r="BT701" s="34"/>
      <c r="BU701" s="34"/>
      <c r="BV701" s="34"/>
      <c r="BW701" s="34"/>
      <c r="BX701" s="34"/>
      <c r="BY701" s="34"/>
    </row>
    <row r="702" spans="1:77" x14ac:dyDescent="0.3">
      <c r="A702" s="39"/>
      <c r="B702" s="42"/>
      <c r="C702" s="42"/>
      <c r="D702" s="75"/>
      <c r="E702" s="75"/>
      <c r="F702" s="76"/>
      <c r="G702" s="47"/>
      <c r="H702" s="47"/>
      <c r="I702" s="75"/>
      <c r="J702" s="76"/>
      <c r="K702" s="76"/>
      <c r="L702" s="75"/>
      <c r="M702" s="49"/>
      <c r="N702" s="76"/>
      <c r="O702" s="49"/>
      <c r="P702" s="77"/>
      <c r="Q702" s="53"/>
      <c r="R702" s="54"/>
      <c r="S702" s="55"/>
      <c r="T702" s="56"/>
      <c r="U702" s="56"/>
      <c r="V702" s="42"/>
      <c r="W702" s="57"/>
      <c r="X702" s="58"/>
      <c r="Y702" s="75"/>
      <c r="Z702" s="59"/>
      <c r="AA702" s="61"/>
      <c r="AB702" s="61"/>
      <c r="AC702" s="61"/>
      <c r="AD702" s="62"/>
      <c r="AE702" s="62"/>
      <c r="AF702" s="34"/>
      <c r="AG702" s="34"/>
      <c r="AH702" s="34"/>
      <c r="AI702" s="34"/>
      <c r="AJ702" s="34"/>
      <c r="AK702" s="34"/>
      <c r="AL702" s="34"/>
      <c r="AM702" s="34"/>
      <c r="AN702" s="34"/>
      <c r="AO702" s="34"/>
      <c r="AP702" s="34"/>
      <c r="AQ702" s="34"/>
      <c r="AR702" s="34"/>
      <c r="AS702" s="34"/>
      <c r="AT702" s="34"/>
      <c r="AU702" s="34"/>
      <c r="AV702" s="34"/>
      <c r="AW702" s="34"/>
      <c r="AX702" s="34"/>
      <c r="AY702" s="34"/>
      <c r="AZ702" s="34"/>
      <c r="BA702" s="34"/>
      <c r="BB702" s="34"/>
      <c r="BD702" s="34"/>
      <c r="BE702" s="34"/>
      <c r="BF702" s="34"/>
      <c r="BG702" s="34"/>
      <c r="BH702" s="34"/>
      <c r="BI702" s="34"/>
      <c r="BJ702" s="34"/>
      <c r="BK702" s="34"/>
      <c r="BL702" s="34"/>
      <c r="BM702" s="34"/>
      <c r="BN702" s="34"/>
      <c r="BO702" s="34"/>
      <c r="BP702" s="34"/>
      <c r="BQ702" s="34"/>
      <c r="BR702" s="34"/>
      <c r="BS702" s="34"/>
      <c r="BT702" s="34"/>
      <c r="BU702" s="34"/>
      <c r="BV702" s="34"/>
      <c r="BW702" s="34"/>
      <c r="BX702" s="34"/>
      <c r="BY702" s="34"/>
    </row>
    <row r="703" spans="1:77" x14ac:dyDescent="0.3">
      <c r="A703" s="39"/>
      <c r="B703" s="42"/>
      <c r="C703" s="42"/>
      <c r="D703" s="75"/>
      <c r="E703" s="75"/>
      <c r="F703" s="76"/>
      <c r="G703" s="47"/>
      <c r="H703" s="47"/>
      <c r="I703" s="75"/>
      <c r="J703" s="76"/>
      <c r="K703" s="76"/>
      <c r="L703" s="75"/>
      <c r="M703" s="49"/>
      <c r="N703" s="76"/>
      <c r="O703" s="49"/>
      <c r="P703" s="77"/>
      <c r="Q703" s="53"/>
      <c r="R703" s="54"/>
      <c r="S703" s="55"/>
      <c r="T703" s="56"/>
      <c r="U703" s="56"/>
      <c r="V703" s="42"/>
      <c r="W703" s="57"/>
      <c r="X703" s="58"/>
      <c r="Y703" s="75"/>
      <c r="Z703" s="59"/>
      <c r="AA703" s="61"/>
      <c r="AB703" s="61"/>
      <c r="AC703" s="61"/>
      <c r="AD703" s="62"/>
      <c r="AE703" s="62"/>
      <c r="AF703" s="34"/>
      <c r="AG703" s="34"/>
      <c r="AH703" s="34"/>
      <c r="AI703" s="34"/>
      <c r="AJ703" s="34"/>
      <c r="AK703" s="34"/>
      <c r="AL703" s="34"/>
      <c r="AM703" s="34"/>
      <c r="AN703" s="34"/>
      <c r="AO703" s="34"/>
      <c r="AP703" s="34"/>
      <c r="AQ703" s="34"/>
      <c r="AR703" s="34"/>
      <c r="AS703" s="34"/>
      <c r="AT703" s="34"/>
      <c r="AU703" s="34"/>
      <c r="AV703" s="34"/>
      <c r="AW703" s="34"/>
      <c r="AX703" s="34"/>
      <c r="AY703" s="34"/>
      <c r="AZ703" s="34"/>
      <c r="BA703" s="34"/>
      <c r="BB703" s="34"/>
      <c r="BD703" s="34"/>
      <c r="BE703" s="34"/>
      <c r="BF703" s="34"/>
      <c r="BG703" s="34"/>
      <c r="BH703" s="34"/>
      <c r="BI703" s="34"/>
      <c r="BJ703" s="34"/>
      <c r="BK703" s="34"/>
      <c r="BL703" s="34"/>
      <c r="BM703" s="34"/>
      <c r="BN703" s="34"/>
      <c r="BO703" s="34"/>
      <c r="BP703" s="34"/>
      <c r="BQ703" s="34"/>
      <c r="BR703" s="34"/>
      <c r="BS703" s="34"/>
      <c r="BT703" s="34"/>
      <c r="BU703" s="34"/>
      <c r="BV703" s="34"/>
      <c r="BW703" s="34"/>
      <c r="BX703" s="34"/>
      <c r="BY703" s="34"/>
    </row>
    <row r="704" spans="1:77" x14ac:dyDescent="0.3">
      <c r="A704" s="39"/>
      <c r="B704" s="42"/>
      <c r="C704" s="42"/>
      <c r="D704" s="75"/>
      <c r="E704" s="75"/>
      <c r="F704" s="76"/>
      <c r="G704" s="47"/>
      <c r="H704" s="47"/>
      <c r="I704" s="75"/>
      <c r="J704" s="76"/>
      <c r="K704" s="76"/>
      <c r="L704" s="75"/>
      <c r="M704" s="49"/>
      <c r="N704" s="76"/>
      <c r="O704" s="49"/>
      <c r="P704" s="77"/>
      <c r="Q704" s="53"/>
      <c r="R704" s="54"/>
      <c r="S704" s="55"/>
      <c r="T704" s="56"/>
      <c r="U704" s="56"/>
      <c r="V704" s="42"/>
      <c r="W704" s="57"/>
      <c r="X704" s="58"/>
      <c r="Y704" s="75"/>
      <c r="Z704" s="59"/>
      <c r="AA704" s="61"/>
      <c r="AB704" s="61"/>
      <c r="AC704" s="61"/>
      <c r="AD704" s="62"/>
      <c r="AE704" s="62"/>
      <c r="AF704" s="34"/>
      <c r="AG704" s="34"/>
      <c r="AH704" s="34"/>
      <c r="AI704" s="34"/>
      <c r="AJ704" s="34"/>
      <c r="AK704" s="34"/>
      <c r="AL704" s="34"/>
      <c r="AM704" s="34"/>
      <c r="AN704" s="34"/>
      <c r="AO704" s="34"/>
      <c r="AP704" s="34"/>
      <c r="AQ704" s="34"/>
      <c r="AR704" s="34"/>
      <c r="AS704" s="34"/>
      <c r="AT704" s="34"/>
      <c r="AU704" s="34"/>
      <c r="AV704" s="34"/>
      <c r="AW704" s="34"/>
      <c r="AX704" s="34"/>
      <c r="AY704" s="34"/>
      <c r="AZ704" s="34"/>
      <c r="BA704" s="34"/>
      <c r="BB704" s="34"/>
      <c r="BD704" s="34"/>
      <c r="BE704" s="34"/>
      <c r="BF704" s="34"/>
      <c r="BG704" s="34"/>
      <c r="BH704" s="34"/>
      <c r="BI704" s="34"/>
      <c r="BJ704" s="34"/>
      <c r="BK704" s="34"/>
      <c r="BL704" s="34"/>
      <c r="BM704" s="34"/>
      <c r="BN704" s="34"/>
      <c r="BO704" s="34"/>
      <c r="BP704" s="34"/>
      <c r="BQ704" s="34"/>
      <c r="BR704" s="34"/>
      <c r="BS704" s="34"/>
      <c r="BT704" s="34"/>
      <c r="BU704" s="34"/>
      <c r="BV704" s="34"/>
      <c r="BW704" s="34"/>
      <c r="BX704" s="34"/>
      <c r="BY704" s="34"/>
    </row>
    <row r="705" spans="1:77" x14ac:dyDescent="0.3">
      <c r="A705" s="39"/>
      <c r="B705" s="42"/>
      <c r="C705" s="42"/>
      <c r="D705" s="75"/>
      <c r="E705" s="75"/>
      <c r="F705" s="76"/>
      <c r="G705" s="47"/>
      <c r="H705" s="47"/>
      <c r="I705" s="75"/>
      <c r="J705" s="76"/>
      <c r="K705" s="76"/>
      <c r="L705" s="75"/>
      <c r="M705" s="49"/>
      <c r="N705" s="76"/>
      <c r="O705" s="49"/>
      <c r="P705" s="77"/>
      <c r="Q705" s="53"/>
      <c r="R705" s="54"/>
      <c r="S705" s="55"/>
      <c r="T705" s="56"/>
      <c r="U705" s="56"/>
      <c r="V705" s="42"/>
      <c r="W705" s="57"/>
      <c r="X705" s="58"/>
      <c r="Y705" s="75"/>
      <c r="Z705" s="59"/>
      <c r="AA705" s="61"/>
      <c r="AB705" s="61"/>
      <c r="AC705" s="61"/>
      <c r="AD705" s="62"/>
      <c r="AE705" s="62"/>
      <c r="AF705" s="34"/>
      <c r="AG705" s="34"/>
      <c r="AH705" s="34"/>
      <c r="AI705" s="34"/>
      <c r="AJ705" s="34"/>
      <c r="AK705" s="34"/>
      <c r="AL705" s="34"/>
      <c r="AM705" s="34"/>
      <c r="AN705" s="34"/>
      <c r="AO705" s="34"/>
      <c r="AP705" s="34"/>
      <c r="AQ705" s="34"/>
      <c r="AR705" s="34"/>
      <c r="AS705" s="34"/>
      <c r="AT705" s="34"/>
      <c r="AU705" s="34"/>
      <c r="AV705" s="34"/>
      <c r="AW705" s="34"/>
      <c r="AX705" s="34"/>
      <c r="AY705" s="34"/>
      <c r="AZ705" s="34"/>
      <c r="BA705" s="34"/>
      <c r="BB705" s="34"/>
      <c r="BD705" s="34"/>
      <c r="BE705" s="34"/>
      <c r="BF705" s="34"/>
      <c r="BG705" s="34"/>
      <c r="BH705" s="34"/>
      <c r="BI705" s="34"/>
      <c r="BJ705" s="34"/>
      <c r="BK705" s="34"/>
      <c r="BL705" s="34"/>
      <c r="BM705" s="34"/>
      <c r="BN705" s="34"/>
      <c r="BO705" s="34"/>
      <c r="BP705" s="34"/>
      <c r="BQ705" s="34"/>
      <c r="BR705" s="34"/>
      <c r="BS705" s="34"/>
      <c r="BT705" s="34"/>
      <c r="BU705" s="34"/>
      <c r="BV705" s="34"/>
      <c r="BW705" s="34"/>
      <c r="BX705" s="34"/>
      <c r="BY705" s="34"/>
    </row>
    <row r="706" spans="1:77" x14ac:dyDescent="0.3">
      <c r="A706" s="39"/>
      <c r="B706" s="42"/>
      <c r="C706" s="42"/>
      <c r="D706" s="75"/>
      <c r="E706" s="75"/>
      <c r="F706" s="76"/>
      <c r="G706" s="47"/>
      <c r="H706" s="47"/>
      <c r="I706" s="75"/>
      <c r="J706" s="76"/>
      <c r="K706" s="76"/>
      <c r="L706" s="75"/>
      <c r="M706" s="49"/>
      <c r="N706" s="76"/>
      <c r="O706" s="49"/>
      <c r="P706" s="77"/>
      <c r="Q706" s="53"/>
      <c r="R706" s="54"/>
      <c r="S706" s="55"/>
      <c r="T706" s="56"/>
      <c r="U706" s="56"/>
      <c r="V706" s="42"/>
      <c r="W706" s="57"/>
      <c r="X706" s="58"/>
      <c r="Y706" s="75"/>
      <c r="Z706" s="59"/>
      <c r="AA706" s="61"/>
      <c r="AB706" s="61"/>
      <c r="AC706" s="61"/>
      <c r="AD706" s="62"/>
      <c r="AE706" s="62"/>
      <c r="AF706" s="34"/>
      <c r="AG706" s="34"/>
      <c r="AH706" s="34"/>
      <c r="AI706" s="34"/>
      <c r="AJ706" s="34"/>
      <c r="AK706" s="34"/>
      <c r="AL706" s="34"/>
      <c r="AM706" s="34"/>
      <c r="AN706" s="34"/>
      <c r="AO706" s="34"/>
      <c r="AP706" s="34"/>
      <c r="AQ706" s="34"/>
      <c r="AR706" s="34"/>
      <c r="AS706" s="34"/>
      <c r="AT706" s="34"/>
      <c r="AU706" s="34"/>
      <c r="AV706" s="34"/>
      <c r="AW706" s="34"/>
      <c r="AX706" s="34"/>
      <c r="AY706" s="34"/>
      <c r="AZ706" s="34"/>
      <c r="BA706" s="34"/>
      <c r="BB706" s="34"/>
      <c r="BD706" s="34"/>
      <c r="BE706" s="34"/>
      <c r="BF706" s="34"/>
      <c r="BG706" s="34"/>
      <c r="BH706" s="34"/>
      <c r="BI706" s="34"/>
      <c r="BJ706" s="34"/>
      <c r="BK706" s="34"/>
      <c r="BL706" s="34"/>
      <c r="BM706" s="34"/>
      <c r="BN706" s="34"/>
      <c r="BO706" s="34"/>
      <c r="BP706" s="34"/>
      <c r="BQ706" s="34"/>
      <c r="BR706" s="34"/>
      <c r="BS706" s="34"/>
      <c r="BT706" s="34"/>
      <c r="BU706" s="34"/>
      <c r="BV706" s="34"/>
      <c r="BW706" s="34"/>
      <c r="BX706" s="34"/>
      <c r="BY706" s="34"/>
    </row>
    <row r="707" spans="1:77" x14ac:dyDescent="0.3">
      <c r="A707" s="39"/>
      <c r="B707" s="42"/>
      <c r="C707" s="42"/>
      <c r="D707" s="75"/>
      <c r="E707" s="75"/>
      <c r="F707" s="76"/>
      <c r="G707" s="47"/>
      <c r="H707" s="47"/>
      <c r="I707" s="75"/>
      <c r="J707" s="76"/>
      <c r="K707" s="76"/>
      <c r="L707" s="75"/>
      <c r="M707" s="49"/>
      <c r="N707" s="76"/>
      <c r="O707" s="49"/>
      <c r="P707" s="77"/>
      <c r="Q707" s="53"/>
      <c r="R707" s="54"/>
      <c r="S707" s="55"/>
      <c r="T707" s="56"/>
      <c r="U707" s="56"/>
      <c r="V707" s="42"/>
      <c r="W707" s="57"/>
      <c r="X707" s="58"/>
      <c r="Y707" s="75"/>
      <c r="Z707" s="59"/>
      <c r="AA707" s="61"/>
      <c r="AB707" s="61"/>
      <c r="AC707" s="61"/>
      <c r="AD707" s="62"/>
      <c r="AE707" s="62"/>
      <c r="AF707" s="34"/>
      <c r="AG707" s="34"/>
      <c r="AH707" s="34"/>
      <c r="AI707" s="34"/>
      <c r="AJ707" s="34"/>
      <c r="AK707" s="34"/>
      <c r="AL707" s="34"/>
      <c r="AM707" s="34"/>
      <c r="AN707" s="34"/>
      <c r="AO707" s="34"/>
      <c r="AP707" s="34"/>
      <c r="AQ707" s="34"/>
      <c r="AR707" s="34"/>
      <c r="AS707" s="34"/>
      <c r="AT707" s="34"/>
      <c r="AU707" s="34"/>
      <c r="AV707" s="34"/>
      <c r="AW707" s="34"/>
      <c r="AX707" s="34"/>
      <c r="AY707" s="34"/>
      <c r="AZ707" s="34"/>
      <c r="BA707" s="34"/>
      <c r="BB707" s="34"/>
      <c r="BD707" s="34"/>
      <c r="BE707" s="34"/>
      <c r="BF707" s="34"/>
      <c r="BG707" s="34"/>
      <c r="BH707" s="34"/>
      <c r="BI707" s="34"/>
      <c r="BJ707" s="34"/>
      <c r="BK707" s="34"/>
      <c r="BL707" s="34"/>
      <c r="BM707" s="34"/>
      <c r="BN707" s="34"/>
      <c r="BO707" s="34"/>
      <c r="BP707" s="34"/>
      <c r="BQ707" s="34"/>
      <c r="BR707" s="34"/>
      <c r="BS707" s="34"/>
      <c r="BT707" s="34"/>
      <c r="BU707" s="34"/>
      <c r="BV707" s="34"/>
      <c r="BW707" s="34"/>
      <c r="BX707" s="34"/>
      <c r="BY707" s="34"/>
    </row>
    <row r="708" spans="1:77" x14ac:dyDescent="0.3">
      <c r="A708" s="39"/>
      <c r="B708" s="42"/>
      <c r="C708" s="42"/>
      <c r="D708" s="75"/>
      <c r="E708" s="75"/>
      <c r="F708" s="76"/>
      <c r="G708" s="47"/>
      <c r="H708" s="47"/>
      <c r="I708" s="75"/>
      <c r="J708" s="76"/>
      <c r="K708" s="76"/>
      <c r="L708" s="75"/>
      <c r="M708" s="49"/>
      <c r="N708" s="76"/>
      <c r="O708" s="49"/>
      <c r="P708" s="77"/>
      <c r="Q708" s="53"/>
      <c r="R708" s="54"/>
      <c r="S708" s="55"/>
      <c r="T708" s="56"/>
      <c r="U708" s="56"/>
      <c r="V708" s="42"/>
      <c r="W708" s="57"/>
      <c r="X708" s="58"/>
      <c r="Y708" s="75"/>
      <c r="Z708" s="59"/>
      <c r="AA708" s="61"/>
      <c r="AB708" s="61"/>
      <c r="AC708" s="61"/>
      <c r="AD708" s="62"/>
      <c r="AE708" s="62"/>
      <c r="AF708" s="34"/>
      <c r="AG708" s="34"/>
      <c r="AH708" s="34"/>
      <c r="AI708" s="34"/>
      <c r="AJ708" s="34"/>
      <c r="AK708" s="34"/>
      <c r="AL708" s="34"/>
      <c r="AM708" s="34"/>
      <c r="AN708" s="34"/>
      <c r="AO708" s="34"/>
      <c r="AP708" s="34"/>
      <c r="AQ708" s="34"/>
      <c r="AR708" s="34"/>
      <c r="AS708" s="34"/>
      <c r="AT708" s="34"/>
      <c r="AU708" s="34"/>
      <c r="AV708" s="34"/>
      <c r="AW708" s="34"/>
      <c r="AX708" s="34"/>
      <c r="AY708" s="34"/>
      <c r="AZ708" s="34"/>
      <c r="BA708" s="34"/>
      <c r="BB708" s="34"/>
      <c r="BD708" s="34"/>
      <c r="BE708" s="34"/>
      <c r="BF708" s="34"/>
      <c r="BG708" s="34"/>
      <c r="BH708" s="34"/>
      <c r="BI708" s="34"/>
      <c r="BJ708" s="34"/>
      <c r="BK708" s="34"/>
      <c r="BL708" s="34"/>
      <c r="BM708" s="34"/>
      <c r="BN708" s="34"/>
      <c r="BO708" s="34"/>
      <c r="BP708" s="34"/>
      <c r="BQ708" s="34"/>
      <c r="BR708" s="34"/>
      <c r="BS708" s="34"/>
      <c r="BT708" s="34"/>
      <c r="BU708" s="34"/>
      <c r="BV708" s="34"/>
      <c r="BW708" s="34"/>
      <c r="BX708" s="34"/>
      <c r="BY708" s="34"/>
    </row>
    <row r="709" spans="1:77" x14ac:dyDescent="0.3">
      <c r="A709" s="39"/>
      <c r="B709" s="42"/>
      <c r="C709" s="42"/>
      <c r="D709" s="75"/>
      <c r="E709" s="75"/>
      <c r="F709" s="76"/>
      <c r="G709" s="47"/>
      <c r="H709" s="47"/>
      <c r="I709" s="75"/>
      <c r="J709" s="76"/>
      <c r="K709" s="76"/>
      <c r="L709" s="75"/>
      <c r="M709" s="49"/>
      <c r="N709" s="76"/>
      <c r="O709" s="49"/>
      <c r="P709" s="77"/>
      <c r="Q709" s="53"/>
      <c r="R709" s="54"/>
      <c r="S709" s="55"/>
      <c r="T709" s="56"/>
      <c r="U709" s="56"/>
      <c r="V709" s="42"/>
      <c r="W709" s="57"/>
      <c r="X709" s="58"/>
      <c r="Y709" s="75"/>
      <c r="Z709" s="59"/>
      <c r="AA709" s="61"/>
      <c r="AB709" s="61"/>
      <c r="AC709" s="61"/>
      <c r="AD709" s="62"/>
      <c r="AE709" s="62"/>
      <c r="AF709" s="34"/>
      <c r="AG709" s="34"/>
      <c r="AH709" s="34"/>
      <c r="AI709" s="34"/>
      <c r="AJ709" s="34"/>
      <c r="AK709" s="34"/>
      <c r="AL709" s="34"/>
      <c r="AM709" s="34"/>
      <c r="AN709" s="34"/>
      <c r="AO709" s="34"/>
      <c r="AP709" s="34"/>
      <c r="AQ709" s="34"/>
      <c r="AR709" s="34"/>
      <c r="AS709" s="34"/>
      <c r="AT709" s="34"/>
      <c r="AU709" s="34"/>
      <c r="AV709" s="34"/>
      <c r="AW709" s="34"/>
      <c r="AX709" s="34"/>
      <c r="AY709" s="34"/>
      <c r="AZ709" s="34"/>
      <c r="BA709" s="34"/>
      <c r="BB709" s="34"/>
      <c r="BD709" s="34"/>
      <c r="BE709" s="34"/>
      <c r="BF709" s="34"/>
      <c r="BG709" s="34"/>
      <c r="BH709" s="34"/>
      <c r="BI709" s="34"/>
      <c r="BJ709" s="34"/>
      <c r="BK709" s="34"/>
      <c r="BL709" s="34"/>
      <c r="BM709" s="34"/>
      <c r="BN709" s="34"/>
      <c r="BO709" s="34"/>
      <c r="BP709" s="34"/>
      <c r="BQ709" s="34"/>
      <c r="BR709" s="34"/>
      <c r="BS709" s="34"/>
      <c r="BT709" s="34"/>
      <c r="BU709" s="34"/>
      <c r="BV709" s="34"/>
      <c r="BW709" s="34"/>
      <c r="BX709" s="34"/>
      <c r="BY709" s="34"/>
    </row>
    <row r="710" spans="1:77" x14ac:dyDescent="0.3">
      <c r="A710" s="39"/>
      <c r="B710" s="42"/>
      <c r="C710" s="42"/>
      <c r="D710" s="75"/>
      <c r="E710" s="75"/>
      <c r="F710" s="76"/>
      <c r="G710" s="47"/>
      <c r="H710" s="47"/>
      <c r="I710" s="75"/>
      <c r="J710" s="76"/>
      <c r="K710" s="76"/>
      <c r="L710" s="75"/>
      <c r="M710" s="49"/>
      <c r="N710" s="76"/>
      <c r="O710" s="49"/>
      <c r="P710" s="77"/>
      <c r="Q710" s="53"/>
      <c r="R710" s="54"/>
      <c r="S710" s="55"/>
      <c r="T710" s="56"/>
      <c r="U710" s="56"/>
      <c r="V710" s="42"/>
      <c r="W710" s="57"/>
      <c r="X710" s="58"/>
      <c r="Y710" s="75"/>
      <c r="Z710" s="59"/>
      <c r="AA710" s="61"/>
      <c r="AB710" s="61"/>
      <c r="AC710" s="61"/>
      <c r="AD710" s="62"/>
      <c r="AE710" s="62"/>
      <c r="AF710" s="34"/>
      <c r="AG710" s="34"/>
      <c r="AH710" s="34"/>
      <c r="AI710" s="34"/>
      <c r="AJ710" s="34"/>
      <c r="AK710" s="34"/>
      <c r="AL710" s="34"/>
      <c r="AM710" s="34"/>
      <c r="AN710" s="34"/>
      <c r="AO710" s="34"/>
      <c r="AP710" s="34"/>
      <c r="AQ710" s="34"/>
      <c r="AR710" s="34"/>
      <c r="AS710" s="34"/>
      <c r="AT710" s="34"/>
      <c r="AU710" s="34"/>
      <c r="AV710" s="34"/>
      <c r="AW710" s="34"/>
      <c r="AX710" s="34"/>
      <c r="AY710" s="34"/>
      <c r="AZ710" s="34"/>
      <c r="BA710" s="34"/>
      <c r="BB710" s="34"/>
      <c r="BD710" s="34"/>
      <c r="BE710" s="34"/>
      <c r="BF710" s="34"/>
      <c r="BG710" s="34"/>
      <c r="BH710" s="34"/>
      <c r="BI710" s="34"/>
      <c r="BJ710" s="34"/>
      <c r="BK710" s="34"/>
      <c r="BL710" s="34"/>
      <c r="BM710" s="34"/>
      <c r="BN710" s="34"/>
      <c r="BO710" s="34"/>
      <c r="BP710" s="34"/>
      <c r="BQ710" s="34"/>
      <c r="BR710" s="34"/>
      <c r="BS710" s="34"/>
      <c r="BT710" s="34"/>
      <c r="BU710" s="34"/>
      <c r="BV710" s="34"/>
      <c r="BW710" s="34"/>
      <c r="BX710" s="34"/>
      <c r="BY710" s="34"/>
    </row>
    <row r="711" spans="1:77" x14ac:dyDescent="0.3">
      <c r="A711" s="39"/>
      <c r="B711" s="42"/>
      <c r="C711" s="42"/>
      <c r="D711" s="75"/>
      <c r="E711" s="75"/>
      <c r="F711" s="76"/>
      <c r="G711" s="47"/>
      <c r="H711" s="47"/>
      <c r="I711" s="75"/>
      <c r="J711" s="76"/>
      <c r="K711" s="76"/>
      <c r="L711" s="75"/>
      <c r="M711" s="49"/>
      <c r="N711" s="76"/>
      <c r="O711" s="49"/>
      <c r="P711" s="77"/>
      <c r="Q711" s="53"/>
      <c r="R711" s="54"/>
      <c r="S711" s="55"/>
      <c r="T711" s="56"/>
      <c r="U711" s="56"/>
      <c r="V711" s="42"/>
      <c r="W711" s="57"/>
      <c r="X711" s="58"/>
      <c r="Y711" s="75"/>
      <c r="Z711" s="59"/>
      <c r="AA711" s="61"/>
      <c r="AB711" s="61"/>
      <c r="AC711" s="61"/>
      <c r="AD711" s="62"/>
      <c r="AE711" s="62"/>
      <c r="AF711" s="34"/>
      <c r="AG711" s="34"/>
      <c r="AH711" s="34"/>
      <c r="AI711" s="34"/>
      <c r="AJ711" s="34"/>
      <c r="AK711" s="34"/>
      <c r="AL711" s="34"/>
      <c r="AM711" s="34"/>
      <c r="AN711" s="34"/>
      <c r="AO711" s="34"/>
      <c r="AP711" s="34"/>
      <c r="AQ711" s="34"/>
      <c r="AR711" s="34"/>
      <c r="AS711" s="34"/>
      <c r="AT711" s="34"/>
      <c r="AU711" s="34"/>
      <c r="AV711" s="34"/>
      <c r="AW711" s="34"/>
      <c r="AX711" s="34"/>
      <c r="AY711" s="34"/>
      <c r="AZ711" s="34"/>
      <c r="BA711" s="34"/>
      <c r="BB711" s="34"/>
      <c r="BD711" s="34"/>
      <c r="BE711" s="34"/>
      <c r="BF711" s="34"/>
      <c r="BG711" s="34"/>
      <c r="BH711" s="34"/>
      <c r="BI711" s="34"/>
      <c r="BJ711" s="34"/>
      <c r="BK711" s="34"/>
      <c r="BL711" s="34"/>
      <c r="BM711" s="34"/>
      <c r="BN711" s="34"/>
      <c r="BO711" s="34"/>
      <c r="BP711" s="34"/>
      <c r="BQ711" s="34"/>
      <c r="BR711" s="34"/>
      <c r="BS711" s="34"/>
      <c r="BT711" s="34"/>
      <c r="BU711" s="34"/>
      <c r="BV711" s="34"/>
      <c r="BW711" s="34"/>
      <c r="BX711" s="34"/>
      <c r="BY711" s="34"/>
    </row>
    <row r="712" spans="1:77" x14ac:dyDescent="0.3">
      <c r="A712" s="39"/>
      <c r="B712" s="42"/>
      <c r="C712" s="42"/>
      <c r="D712" s="75"/>
      <c r="E712" s="75"/>
      <c r="F712" s="76"/>
      <c r="G712" s="47"/>
      <c r="H712" s="47"/>
      <c r="I712" s="75"/>
      <c r="J712" s="76"/>
      <c r="K712" s="76"/>
      <c r="L712" s="75"/>
      <c r="M712" s="49"/>
      <c r="N712" s="76"/>
      <c r="O712" s="49"/>
      <c r="P712" s="77"/>
      <c r="Q712" s="53"/>
      <c r="R712" s="54"/>
      <c r="S712" s="55"/>
      <c r="T712" s="56"/>
      <c r="U712" s="56"/>
      <c r="V712" s="42"/>
      <c r="W712" s="57"/>
      <c r="X712" s="58"/>
      <c r="Y712" s="75"/>
      <c r="Z712" s="59"/>
      <c r="AA712" s="61"/>
      <c r="AB712" s="61"/>
      <c r="AC712" s="61"/>
      <c r="AD712" s="62"/>
      <c r="AE712" s="62"/>
      <c r="AF712" s="34"/>
      <c r="AG712" s="34"/>
      <c r="AH712" s="34"/>
      <c r="AI712" s="34"/>
      <c r="AJ712" s="34"/>
      <c r="AK712" s="34"/>
      <c r="AL712" s="34"/>
      <c r="AM712" s="34"/>
      <c r="AN712" s="34"/>
      <c r="AO712" s="34"/>
      <c r="AP712" s="34"/>
      <c r="AQ712" s="34"/>
      <c r="AR712" s="34"/>
      <c r="AS712" s="34"/>
      <c r="AT712" s="34"/>
      <c r="AU712" s="34"/>
      <c r="AV712" s="34"/>
      <c r="AW712" s="34"/>
      <c r="AX712" s="34"/>
      <c r="AY712" s="34"/>
      <c r="AZ712" s="34"/>
      <c r="BA712" s="34"/>
      <c r="BB712" s="34"/>
      <c r="BD712" s="34"/>
      <c r="BE712" s="34"/>
      <c r="BF712" s="34"/>
      <c r="BG712" s="34"/>
      <c r="BH712" s="34"/>
      <c r="BI712" s="34"/>
      <c r="BJ712" s="34"/>
      <c r="BK712" s="34"/>
      <c r="BL712" s="34"/>
      <c r="BM712" s="34"/>
      <c r="BN712" s="34"/>
      <c r="BO712" s="34"/>
      <c r="BP712" s="34"/>
      <c r="BQ712" s="34"/>
      <c r="BR712" s="34"/>
      <c r="BS712" s="34"/>
      <c r="BT712" s="34"/>
      <c r="BU712" s="34"/>
      <c r="BV712" s="34"/>
      <c r="BW712" s="34"/>
      <c r="BX712" s="34"/>
      <c r="BY712" s="34"/>
    </row>
    <row r="713" spans="1:77" x14ac:dyDescent="0.3">
      <c r="A713" s="39"/>
      <c r="B713" s="42"/>
      <c r="C713" s="42"/>
      <c r="D713" s="75"/>
      <c r="E713" s="75"/>
      <c r="F713" s="76"/>
      <c r="G713" s="47"/>
      <c r="H713" s="47"/>
      <c r="I713" s="75"/>
      <c r="J713" s="76"/>
      <c r="K713" s="76"/>
      <c r="L713" s="75"/>
      <c r="M713" s="49"/>
      <c r="N713" s="76"/>
      <c r="O713" s="49"/>
      <c r="P713" s="77"/>
      <c r="Q713" s="53"/>
      <c r="R713" s="54"/>
      <c r="S713" s="55"/>
      <c r="T713" s="56"/>
      <c r="U713" s="56"/>
      <c r="V713" s="42"/>
      <c r="W713" s="57"/>
      <c r="X713" s="58"/>
      <c r="Y713" s="75"/>
      <c r="Z713" s="59"/>
      <c r="AA713" s="61"/>
      <c r="AB713" s="61"/>
      <c r="AC713" s="61"/>
      <c r="AD713" s="62"/>
      <c r="AE713" s="62"/>
      <c r="AF713" s="34"/>
      <c r="AG713" s="34"/>
      <c r="AH713" s="34"/>
      <c r="AI713" s="34"/>
      <c r="AJ713" s="34"/>
      <c r="AK713" s="34"/>
      <c r="AL713" s="34"/>
      <c r="AM713" s="34"/>
      <c r="AN713" s="34"/>
      <c r="AO713" s="34"/>
      <c r="AP713" s="34"/>
      <c r="AQ713" s="34"/>
      <c r="AR713" s="34"/>
      <c r="AS713" s="34"/>
      <c r="AT713" s="34"/>
      <c r="AU713" s="34"/>
      <c r="AV713" s="34"/>
      <c r="AW713" s="34"/>
      <c r="AX713" s="34"/>
      <c r="AY713" s="34"/>
      <c r="AZ713" s="34"/>
      <c r="BA713" s="34"/>
      <c r="BB713" s="34"/>
      <c r="BD713" s="34"/>
      <c r="BE713" s="34"/>
      <c r="BF713" s="34"/>
      <c r="BG713" s="34"/>
      <c r="BH713" s="34"/>
      <c r="BI713" s="34"/>
      <c r="BJ713" s="34"/>
      <c r="BK713" s="34"/>
      <c r="BL713" s="34"/>
      <c r="BM713" s="34"/>
      <c r="BN713" s="34"/>
      <c r="BO713" s="34"/>
      <c r="BP713" s="34"/>
      <c r="BQ713" s="34"/>
      <c r="BR713" s="34"/>
      <c r="BS713" s="34"/>
      <c r="BT713" s="34"/>
      <c r="BU713" s="34"/>
      <c r="BV713" s="34"/>
      <c r="BW713" s="34"/>
      <c r="BX713" s="34"/>
      <c r="BY713" s="34"/>
    </row>
    <row r="714" spans="1:77" x14ac:dyDescent="0.3">
      <c r="A714" s="39"/>
      <c r="B714" s="42"/>
      <c r="C714" s="42"/>
      <c r="D714" s="75"/>
      <c r="E714" s="75"/>
      <c r="F714" s="76"/>
      <c r="G714" s="47"/>
      <c r="H714" s="47"/>
      <c r="I714" s="75"/>
      <c r="J714" s="76"/>
      <c r="K714" s="76"/>
      <c r="L714" s="75"/>
      <c r="M714" s="49"/>
      <c r="N714" s="76"/>
      <c r="O714" s="49"/>
      <c r="P714" s="77"/>
      <c r="Q714" s="53"/>
      <c r="R714" s="54"/>
      <c r="S714" s="55"/>
      <c r="T714" s="56"/>
      <c r="U714" s="56"/>
      <c r="V714" s="42"/>
      <c r="W714" s="57"/>
      <c r="X714" s="58"/>
      <c r="Y714" s="75"/>
      <c r="Z714" s="59"/>
      <c r="AA714" s="61"/>
      <c r="AB714" s="61"/>
      <c r="AC714" s="61"/>
      <c r="AD714" s="62"/>
      <c r="AE714" s="62"/>
      <c r="AF714" s="34"/>
      <c r="AG714" s="34"/>
      <c r="AH714" s="34"/>
      <c r="AI714" s="34"/>
      <c r="AJ714" s="34"/>
      <c r="AK714" s="34"/>
      <c r="AL714" s="34"/>
      <c r="AM714" s="34"/>
      <c r="AN714" s="34"/>
      <c r="AO714" s="34"/>
      <c r="AP714" s="34"/>
      <c r="AQ714" s="34"/>
      <c r="AR714" s="34"/>
      <c r="AS714" s="34"/>
      <c r="AT714" s="34"/>
      <c r="AU714" s="34"/>
      <c r="AV714" s="34"/>
      <c r="AW714" s="34"/>
      <c r="AX714" s="34"/>
      <c r="AY714" s="34"/>
      <c r="AZ714" s="34"/>
      <c r="BA714" s="34"/>
      <c r="BB714" s="34"/>
      <c r="BD714" s="34"/>
      <c r="BE714" s="34"/>
      <c r="BF714" s="34"/>
      <c r="BG714" s="34"/>
      <c r="BH714" s="34"/>
      <c r="BI714" s="34"/>
      <c r="BJ714" s="34"/>
      <c r="BK714" s="34"/>
      <c r="BL714" s="34"/>
      <c r="BM714" s="34"/>
      <c r="BN714" s="34"/>
      <c r="BO714" s="34"/>
      <c r="BP714" s="34"/>
      <c r="BQ714" s="34"/>
      <c r="BR714" s="34"/>
      <c r="BS714" s="34"/>
      <c r="BT714" s="34"/>
      <c r="BU714" s="34"/>
      <c r="BV714" s="34"/>
      <c r="BW714" s="34"/>
      <c r="BX714" s="34"/>
      <c r="BY714" s="34"/>
    </row>
    <row r="715" spans="1:77" x14ac:dyDescent="0.3">
      <c r="A715" s="39"/>
      <c r="B715" s="42"/>
      <c r="C715" s="42"/>
      <c r="D715" s="75"/>
      <c r="E715" s="75"/>
      <c r="F715" s="76"/>
      <c r="G715" s="47"/>
      <c r="H715" s="47"/>
      <c r="I715" s="75"/>
      <c r="J715" s="76"/>
      <c r="K715" s="76"/>
      <c r="L715" s="75"/>
      <c r="M715" s="49"/>
      <c r="N715" s="76"/>
      <c r="O715" s="49"/>
      <c r="P715" s="77"/>
      <c r="Q715" s="53"/>
      <c r="R715" s="54"/>
      <c r="S715" s="55"/>
      <c r="T715" s="56"/>
      <c r="U715" s="56"/>
      <c r="V715" s="42"/>
      <c r="W715" s="57"/>
      <c r="X715" s="58"/>
      <c r="Y715" s="75"/>
      <c r="Z715" s="59"/>
      <c r="AA715" s="61"/>
      <c r="AB715" s="61"/>
      <c r="AC715" s="61"/>
      <c r="AD715" s="62"/>
      <c r="AE715" s="62"/>
      <c r="AF715" s="34"/>
      <c r="AG715" s="34"/>
      <c r="AH715" s="34"/>
      <c r="AI715" s="34"/>
      <c r="AJ715" s="34"/>
      <c r="AK715" s="34"/>
      <c r="AL715" s="34"/>
      <c r="AM715" s="34"/>
      <c r="AN715" s="34"/>
      <c r="AO715" s="34"/>
      <c r="AP715" s="34"/>
      <c r="AQ715" s="34"/>
      <c r="AR715" s="34"/>
      <c r="AS715" s="34"/>
      <c r="AT715" s="34"/>
      <c r="AU715" s="34"/>
      <c r="AV715" s="34"/>
      <c r="AW715" s="34"/>
      <c r="AX715" s="34"/>
      <c r="AY715" s="34"/>
      <c r="AZ715" s="34"/>
      <c r="BA715" s="34"/>
      <c r="BB715" s="34"/>
      <c r="BD715" s="34"/>
      <c r="BE715" s="34"/>
      <c r="BF715" s="34"/>
      <c r="BG715" s="34"/>
      <c r="BH715" s="34"/>
      <c r="BI715" s="34"/>
      <c r="BJ715" s="34"/>
      <c r="BK715" s="34"/>
      <c r="BL715" s="34"/>
      <c r="BM715" s="34"/>
      <c r="BN715" s="34"/>
      <c r="BO715" s="34"/>
      <c r="BP715" s="34"/>
      <c r="BQ715" s="34"/>
      <c r="BR715" s="34"/>
      <c r="BS715" s="34"/>
      <c r="BT715" s="34"/>
      <c r="BU715" s="34"/>
      <c r="BV715" s="34"/>
      <c r="BW715" s="34"/>
      <c r="BX715" s="34"/>
      <c r="BY715" s="34"/>
    </row>
    <row r="716" spans="1:77" x14ac:dyDescent="0.3">
      <c r="A716" s="39"/>
      <c r="B716" s="42"/>
      <c r="C716" s="42"/>
      <c r="D716" s="75"/>
      <c r="E716" s="75"/>
      <c r="F716" s="76"/>
      <c r="G716" s="47"/>
      <c r="H716" s="47"/>
      <c r="I716" s="75"/>
      <c r="J716" s="76"/>
      <c r="K716" s="76"/>
      <c r="L716" s="75"/>
      <c r="M716" s="49"/>
      <c r="N716" s="76"/>
      <c r="O716" s="49"/>
      <c r="P716" s="77"/>
      <c r="Q716" s="53"/>
      <c r="R716" s="54"/>
      <c r="S716" s="55"/>
      <c r="T716" s="56"/>
      <c r="U716" s="56"/>
      <c r="V716" s="42"/>
      <c r="W716" s="57"/>
      <c r="X716" s="58"/>
      <c r="Y716" s="75"/>
      <c r="Z716" s="59"/>
      <c r="AA716" s="61"/>
      <c r="AB716" s="61"/>
      <c r="AC716" s="61"/>
      <c r="AD716" s="62"/>
      <c r="AE716" s="62"/>
      <c r="AF716" s="34"/>
      <c r="AG716" s="34"/>
      <c r="AH716" s="34"/>
      <c r="AI716" s="34"/>
      <c r="AJ716" s="34"/>
      <c r="AK716" s="34"/>
      <c r="AL716" s="34"/>
      <c r="AM716" s="34"/>
      <c r="AN716" s="34"/>
      <c r="AO716" s="34"/>
      <c r="AP716" s="34"/>
      <c r="AQ716" s="34"/>
      <c r="AR716" s="34"/>
      <c r="AS716" s="34"/>
      <c r="AT716" s="34"/>
      <c r="AU716" s="34"/>
      <c r="AV716" s="34"/>
      <c r="AW716" s="34"/>
      <c r="AX716" s="34"/>
      <c r="AY716" s="34"/>
      <c r="AZ716" s="34"/>
      <c r="BA716" s="34"/>
      <c r="BB716" s="34"/>
      <c r="BD716" s="34"/>
      <c r="BE716" s="34"/>
      <c r="BF716" s="34"/>
      <c r="BG716" s="34"/>
      <c r="BH716" s="34"/>
      <c r="BI716" s="34"/>
      <c r="BJ716" s="34"/>
      <c r="BK716" s="34"/>
      <c r="BL716" s="34"/>
      <c r="BM716" s="34"/>
      <c r="BN716" s="34"/>
      <c r="BO716" s="34"/>
      <c r="BP716" s="34"/>
      <c r="BQ716" s="34"/>
      <c r="BR716" s="34"/>
      <c r="BS716" s="34"/>
      <c r="BT716" s="34"/>
      <c r="BU716" s="34"/>
      <c r="BV716" s="34"/>
      <c r="BW716" s="34"/>
      <c r="BX716" s="34"/>
      <c r="BY716" s="34"/>
    </row>
    <row r="717" spans="1:77" x14ac:dyDescent="0.3">
      <c r="A717" s="39"/>
      <c r="B717" s="42"/>
      <c r="C717" s="42"/>
      <c r="D717" s="75"/>
      <c r="E717" s="75"/>
      <c r="F717" s="76"/>
      <c r="G717" s="47"/>
      <c r="H717" s="47"/>
      <c r="I717" s="75"/>
      <c r="J717" s="76"/>
      <c r="K717" s="76"/>
      <c r="L717" s="75"/>
      <c r="M717" s="49"/>
      <c r="N717" s="76"/>
      <c r="O717" s="49"/>
      <c r="P717" s="77"/>
      <c r="Q717" s="53"/>
      <c r="R717" s="54"/>
      <c r="S717" s="55"/>
      <c r="T717" s="56"/>
      <c r="U717" s="56"/>
      <c r="V717" s="42"/>
      <c r="W717" s="57"/>
      <c r="X717" s="58"/>
      <c r="Y717" s="75"/>
      <c r="Z717" s="59"/>
      <c r="AA717" s="61"/>
      <c r="AB717" s="61"/>
      <c r="AC717" s="61"/>
      <c r="AD717" s="62"/>
      <c r="AE717" s="62"/>
      <c r="AF717" s="34"/>
      <c r="AG717" s="34"/>
      <c r="AH717" s="34"/>
      <c r="AI717" s="34"/>
      <c r="AJ717" s="34"/>
      <c r="AK717" s="34"/>
      <c r="AL717" s="34"/>
      <c r="AM717" s="34"/>
      <c r="AN717" s="34"/>
      <c r="AO717" s="34"/>
      <c r="AP717" s="34"/>
      <c r="AQ717" s="34"/>
      <c r="AR717" s="34"/>
      <c r="AS717" s="34"/>
      <c r="AT717" s="34"/>
      <c r="AU717" s="34"/>
      <c r="AV717" s="34"/>
      <c r="AW717" s="34"/>
      <c r="AX717" s="34"/>
      <c r="AY717" s="34"/>
      <c r="AZ717" s="34"/>
      <c r="BA717" s="34"/>
      <c r="BB717" s="34"/>
      <c r="BD717" s="34"/>
      <c r="BE717" s="34"/>
      <c r="BF717" s="34"/>
      <c r="BG717" s="34"/>
      <c r="BH717" s="34"/>
      <c r="BI717" s="34"/>
      <c r="BJ717" s="34"/>
      <c r="BK717" s="34"/>
      <c r="BL717" s="34"/>
      <c r="BM717" s="34"/>
      <c r="BN717" s="34"/>
      <c r="BO717" s="34"/>
      <c r="BP717" s="34"/>
      <c r="BQ717" s="34"/>
      <c r="BR717" s="34"/>
      <c r="BS717" s="34"/>
      <c r="BT717" s="34"/>
      <c r="BU717" s="34"/>
      <c r="BV717" s="34"/>
      <c r="BW717" s="34"/>
      <c r="BX717" s="34"/>
      <c r="BY717" s="34"/>
    </row>
    <row r="718" spans="1:77" x14ac:dyDescent="0.3">
      <c r="A718" s="39"/>
      <c r="B718" s="42"/>
      <c r="C718" s="42"/>
      <c r="D718" s="75"/>
      <c r="E718" s="75"/>
      <c r="F718" s="76"/>
      <c r="G718" s="47"/>
      <c r="H718" s="47"/>
      <c r="I718" s="75"/>
      <c r="J718" s="76"/>
      <c r="K718" s="76"/>
      <c r="L718" s="75"/>
      <c r="M718" s="49"/>
      <c r="N718" s="76"/>
      <c r="O718" s="49"/>
      <c r="P718" s="77"/>
      <c r="Q718" s="53"/>
      <c r="R718" s="54"/>
      <c r="S718" s="55"/>
      <c r="T718" s="56"/>
      <c r="U718" s="56"/>
      <c r="V718" s="42"/>
      <c r="W718" s="57"/>
      <c r="X718" s="58"/>
      <c r="Y718" s="75"/>
      <c r="Z718" s="59"/>
      <c r="AA718" s="61"/>
      <c r="AB718" s="61"/>
      <c r="AC718" s="61"/>
      <c r="AD718" s="62"/>
      <c r="AE718" s="62"/>
      <c r="AF718" s="34"/>
      <c r="AG718" s="34"/>
      <c r="AH718" s="34"/>
      <c r="AI718" s="34"/>
      <c r="AJ718" s="34"/>
      <c r="AK718" s="34"/>
      <c r="AL718" s="34"/>
      <c r="AM718" s="34"/>
      <c r="AN718" s="34"/>
      <c r="AO718" s="34"/>
      <c r="AP718" s="34"/>
      <c r="AQ718" s="34"/>
      <c r="AR718" s="34"/>
      <c r="AS718" s="34"/>
      <c r="AT718" s="34"/>
      <c r="AU718" s="34"/>
      <c r="AV718" s="34"/>
      <c r="AW718" s="34"/>
      <c r="AX718" s="34"/>
      <c r="AY718" s="34"/>
      <c r="AZ718" s="34"/>
      <c r="BA718" s="34"/>
      <c r="BB718" s="34"/>
      <c r="BD718" s="34"/>
      <c r="BE718" s="34"/>
      <c r="BF718" s="34"/>
      <c r="BG718" s="34"/>
      <c r="BH718" s="34"/>
      <c r="BI718" s="34"/>
      <c r="BJ718" s="34"/>
      <c r="BK718" s="34"/>
      <c r="BL718" s="34"/>
      <c r="BM718" s="34"/>
      <c r="BN718" s="34"/>
      <c r="BO718" s="34"/>
      <c r="BP718" s="34"/>
      <c r="BQ718" s="34"/>
      <c r="BR718" s="34"/>
      <c r="BS718" s="34"/>
      <c r="BT718" s="34"/>
      <c r="BU718" s="34"/>
      <c r="BV718" s="34"/>
      <c r="BW718" s="34"/>
      <c r="BX718" s="34"/>
      <c r="BY718" s="34"/>
    </row>
    <row r="719" spans="1:77" x14ac:dyDescent="0.3">
      <c r="A719" s="39"/>
      <c r="B719" s="42"/>
      <c r="C719" s="42"/>
      <c r="D719" s="75"/>
      <c r="E719" s="75"/>
      <c r="F719" s="76"/>
      <c r="G719" s="47"/>
      <c r="H719" s="47"/>
      <c r="I719" s="75"/>
      <c r="J719" s="76"/>
      <c r="K719" s="76"/>
      <c r="L719" s="75"/>
      <c r="M719" s="49"/>
      <c r="N719" s="76"/>
      <c r="O719" s="49"/>
      <c r="P719" s="77"/>
      <c r="Q719" s="53"/>
      <c r="R719" s="54"/>
      <c r="S719" s="55"/>
      <c r="T719" s="56"/>
      <c r="U719" s="56"/>
      <c r="V719" s="42"/>
      <c r="W719" s="57"/>
      <c r="X719" s="58"/>
      <c r="Y719" s="75"/>
      <c r="Z719" s="59"/>
      <c r="AA719" s="61"/>
      <c r="AB719" s="61"/>
      <c r="AC719" s="61"/>
      <c r="AD719" s="62"/>
      <c r="AE719" s="62"/>
      <c r="AF719" s="34"/>
      <c r="AG719" s="34"/>
      <c r="AH719" s="34"/>
      <c r="AI719" s="34"/>
      <c r="AJ719" s="34"/>
      <c r="AK719" s="34"/>
      <c r="AL719" s="34"/>
      <c r="AM719" s="34"/>
      <c r="AN719" s="34"/>
      <c r="AO719" s="34"/>
      <c r="AP719" s="34"/>
      <c r="AQ719" s="34"/>
      <c r="AR719" s="34"/>
      <c r="AS719" s="34"/>
      <c r="AT719" s="34"/>
      <c r="AU719" s="34"/>
      <c r="AV719" s="34"/>
      <c r="AW719" s="34"/>
      <c r="AX719" s="34"/>
      <c r="AY719" s="34"/>
      <c r="AZ719" s="34"/>
      <c r="BA719" s="34"/>
      <c r="BB719" s="34"/>
      <c r="BD719" s="34"/>
      <c r="BE719" s="34"/>
      <c r="BF719" s="34"/>
      <c r="BG719" s="34"/>
      <c r="BH719" s="34"/>
      <c r="BI719" s="34"/>
      <c r="BJ719" s="34"/>
      <c r="BK719" s="34"/>
      <c r="BL719" s="34"/>
      <c r="BM719" s="34"/>
      <c r="BN719" s="34"/>
      <c r="BO719" s="34"/>
      <c r="BP719" s="34"/>
      <c r="BQ719" s="34"/>
      <c r="BR719" s="34"/>
      <c r="BS719" s="34"/>
      <c r="BT719" s="34"/>
      <c r="BU719" s="34"/>
      <c r="BV719" s="34"/>
      <c r="BW719" s="34"/>
      <c r="BX719" s="34"/>
      <c r="BY719" s="34"/>
    </row>
    <row r="720" spans="1:77" x14ac:dyDescent="0.3">
      <c r="A720" s="39"/>
      <c r="B720" s="42"/>
      <c r="C720" s="42"/>
      <c r="D720" s="75"/>
      <c r="E720" s="75"/>
      <c r="F720" s="76"/>
      <c r="G720" s="47"/>
      <c r="H720" s="47"/>
      <c r="I720" s="75"/>
      <c r="J720" s="76"/>
      <c r="K720" s="76"/>
      <c r="L720" s="75"/>
      <c r="M720" s="49"/>
      <c r="N720" s="76"/>
      <c r="O720" s="49"/>
      <c r="P720" s="77"/>
      <c r="Q720" s="53"/>
      <c r="R720" s="54"/>
      <c r="S720" s="55"/>
      <c r="T720" s="56"/>
      <c r="U720" s="56"/>
      <c r="V720" s="42"/>
      <c r="W720" s="57"/>
      <c r="X720" s="58"/>
      <c r="Y720" s="75"/>
      <c r="Z720" s="59"/>
      <c r="AA720" s="61"/>
      <c r="AB720" s="61"/>
      <c r="AC720" s="61"/>
      <c r="AD720" s="62"/>
      <c r="AE720" s="62"/>
      <c r="AF720" s="34"/>
      <c r="AG720" s="34"/>
      <c r="AH720" s="34"/>
      <c r="AI720" s="34"/>
      <c r="AJ720" s="34"/>
      <c r="AK720" s="34"/>
      <c r="AL720" s="34"/>
      <c r="AM720" s="34"/>
      <c r="AN720" s="34"/>
      <c r="AO720" s="34"/>
      <c r="AP720" s="34"/>
      <c r="AQ720" s="34"/>
      <c r="AR720" s="34"/>
      <c r="AS720" s="34"/>
      <c r="AT720" s="34"/>
      <c r="AU720" s="34"/>
      <c r="AV720" s="34"/>
      <c r="AW720" s="34"/>
      <c r="AX720" s="34"/>
      <c r="AY720" s="34"/>
      <c r="AZ720" s="34"/>
      <c r="BA720" s="34"/>
      <c r="BB720" s="34"/>
      <c r="BD720" s="34"/>
      <c r="BE720" s="34"/>
      <c r="BF720" s="34"/>
      <c r="BG720" s="34"/>
      <c r="BH720" s="34"/>
      <c r="BI720" s="34"/>
      <c r="BJ720" s="34"/>
      <c r="BK720" s="34"/>
      <c r="BL720" s="34"/>
      <c r="BM720" s="34"/>
      <c r="BN720" s="34"/>
      <c r="BO720" s="34"/>
      <c r="BP720" s="34"/>
      <c r="BQ720" s="34"/>
      <c r="BR720" s="34"/>
      <c r="BS720" s="34"/>
      <c r="BT720" s="34"/>
      <c r="BU720" s="34"/>
      <c r="BV720" s="34"/>
      <c r="BW720" s="34"/>
      <c r="BX720" s="34"/>
      <c r="BY720" s="34"/>
    </row>
    <row r="721" spans="1:77" x14ac:dyDescent="0.3">
      <c r="A721" s="39"/>
      <c r="B721" s="42"/>
      <c r="C721" s="42"/>
      <c r="D721" s="75"/>
      <c r="E721" s="75"/>
      <c r="F721" s="76"/>
      <c r="G721" s="47"/>
      <c r="H721" s="47"/>
      <c r="I721" s="75"/>
      <c r="J721" s="76"/>
      <c r="K721" s="76"/>
      <c r="L721" s="75"/>
      <c r="M721" s="49"/>
      <c r="N721" s="76"/>
      <c r="O721" s="49"/>
      <c r="P721" s="77"/>
      <c r="Q721" s="53"/>
      <c r="R721" s="54"/>
      <c r="S721" s="55"/>
      <c r="T721" s="56"/>
      <c r="U721" s="56"/>
      <c r="V721" s="42"/>
      <c r="W721" s="57"/>
      <c r="X721" s="58"/>
      <c r="Y721" s="75"/>
      <c r="Z721" s="59"/>
      <c r="AA721" s="61"/>
      <c r="AB721" s="61"/>
      <c r="AC721" s="61"/>
      <c r="AD721" s="62"/>
      <c r="AE721" s="62"/>
      <c r="AF721" s="34"/>
      <c r="AG721" s="34"/>
      <c r="AH721" s="34"/>
      <c r="AI721" s="34"/>
      <c r="AJ721" s="34"/>
      <c r="AK721" s="34"/>
      <c r="AL721" s="34"/>
      <c r="AM721" s="34"/>
      <c r="AN721" s="34"/>
      <c r="AO721" s="34"/>
      <c r="AP721" s="34"/>
      <c r="AQ721" s="34"/>
      <c r="AR721" s="34"/>
      <c r="AS721" s="34"/>
      <c r="AT721" s="34"/>
      <c r="AU721" s="34"/>
      <c r="AV721" s="34"/>
      <c r="AW721" s="34"/>
      <c r="AX721" s="34"/>
      <c r="AY721" s="34"/>
      <c r="AZ721" s="34"/>
      <c r="BA721" s="34"/>
      <c r="BB721" s="34"/>
      <c r="BD721" s="34"/>
      <c r="BE721" s="34"/>
      <c r="BF721" s="34"/>
      <c r="BG721" s="34"/>
      <c r="BH721" s="34"/>
      <c r="BI721" s="34"/>
      <c r="BJ721" s="34"/>
      <c r="BK721" s="34"/>
      <c r="BL721" s="34"/>
      <c r="BM721" s="34"/>
      <c r="BN721" s="34"/>
      <c r="BO721" s="34"/>
      <c r="BP721" s="34"/>
      <c r="BQ721" s="34"/>
      <c r="BR721" s="34"/>
      <c r="BS721" s="34"/>
      <c r="BT721" s="34"/>
      <c r="BU721" s="34"/>
      <c r="BV721" s="34"/>
      <c r="BW721" s="34"/>
      <c r="BX721" s="34"/>
      <c r="BY721" s="34"/>
    </row>
    <row r="722" spans="1:77" x14ac:dyDescent="0.3">
      <c r="A722" s="39"/>
      <c r="B722" s="42"/>
      <c r="C722" s="42"/>
      <c r="D722" s="75"/>
      <c r="E722" s="75"/>
      <c r="F722" s="76"/>
      <c r="G722" s="47"/>
      <c r="H722" s="47"/>
      <c r="I722" s="75"/>
      <c r="J722" s="76"/>
      <c r="K722" s="76"/>
      <c r="L722" s="75"/>
      <c r="M722" s="49"/>
      <c r="N722" s="76"/>
      <c r="O722" s="49"/>
      <c r="P722" s="77"/>
      <c r="Q722" s="53"/>
      <c r="R722" s="54"/>
      <c r="S722" s="55"/>
      <c r="T722" s="56"/>
      <c r="U722" s="56"/>
      <c r="V722" s="42"/>
      <c r="W722" s="57"/>
      <c r="X722" s="58"/>
      <c r="Y722" s="75"/>
      <c r="Z722" s="59"/>
      <c r="AA722" s="61"/>
      <c r="AB722" s="61"/>
      <c r="AC722" s="61"/>
      <c r="AD722" s="62"/>
      <c r="AE722" s="62"/>
      <c r="AF722" s="34"/>
      <c r="AG722" s="34"/>
      <c r="AH722" s="34"/>
      <c r="AI722" s="34"/>
      <c r="AJ722" s="34"/>
      <c r="AK722" s="34"/>
      <c r="AL722" s="34"/>
      <c r="AM722" s="34"/>
      <c r="AN722" s="34"/>
      <c r="AO722" s="34"/>
      <c r="AP722" s="34"/>
      <c r="AQ722" s="34"/>
      <c r="AR722" s="34"/>
      <c r="AS722" s="34"/>
      <c r="AT722" s="34"/>
      <c r="AU722" s="34"/>
      <c r="AV722" s="34"/>
      <c r="AW722" s="34"/>
      <c r="AX722" s="34"/>
      <c r="AY722" s="34"/>
      <c r="AZ722" s="34"/>
      <c r="BA722" s="34"/>
      <c r="BB722" s="34"/>
      <c r="BD722" s="34"/>
      <c r="BE722" s="34"/>
      <c r="BF722" s="34"/>
      <c r="BG722" s="34"/>
      <c r="BH722" s="34"/>
      <c r="BI722" s="34"/>
      <c r="BJ722" s="34"/>
      <c r="BK722" s="34"/>
      <c r="BL722" s="34"/>
      <c r="BM722" s="34"/>
      <c r="BN722" s="34"/>
      <c r="BO722" s="34"/>
      <c r="BP722" s="34"/>
      <c r="BQ722" s="34"/>
      <c r="BR722" s="34"/>
      <c r="BS722" s="34"/>
      <c r="BT722" s="34"/>
      <c r="BU722" s="34"/>
      <c r="BV722" s="34"/>
      <c r="BW722" s="34"/>
      <c r="BX722" s="34"/>
      <c r="BY722" s="34"/>
    </row>
    <row r="723" spans="1:77" x14ac:dyDescent="0.3">
      <c r="A723" s="39"/>
      <c r="B723" s="42"/>
      <c r="C723" s="42"/>
      <c r="D723" s="75"/>
      <c r="E723" s="75"/>
      <c r="F723" s="76"/>
      <c r="G723" s="47"/>
      <c r="H723" s="47"/>
      <c r="I723" s="75"/>
      <c r="J723" s="76"/>
      <c r="K723" s="76"/>
      <c r="L723" s="75"/>
      <c r="M723" s="49"/>
      <c r="N723" s="76"/>
      <c r="O723" s="49"/>
      <c r="P723" s="77"/>
      <c r="Q723" s="53"/>
      <c r="R723" s="54"/>
      <c r="S723" s="55"/>
      <c r="T723" s="56"/>
      <c r="U723" s="56"/>
      <c r="V723" s="42"/>
      <c r="W723" s="57"/>
      <c r="X723" s="58"/>
      <c r="Y723" s="75"/>
      <c r="Z723" s="59"/>
      <c r="AA723" s="61"/>
      <c r="AB723" s="61"/>
      <c r="AC723" s="61"/>
      <c r="AD723" s="62"/>
      <c r="AE723" s="62"/>
      <c r="AF723" s="34"/>
      <c r="AG723" s="34"/>
      <c r="AH723" s="34"/>
      <c r="AI723" s="34"/>
      <c r="AJ723" s="34"/>
      <c r="AK723" s="34"/>
      <c r="AL723" s="34"/>
      <c r="AM723" s="34"/>
      <c r="AN723" s="34"/>
      <c r="AO723" s="34"/>
      <c r="AP723" s="34"/>
      <c r="AQ723" s="34"/>
      <c r="AR723" s="34"/>
      <c r="AS723" s="34"/>
      <c r="AT723" s="34"/>
      <c r="AU723" s="34"/>
      <c r="AV723" s="34"/>
      <c r="AW723" s="34"/>
      <c r="AX723" s="34"/>
      <c r="AY723" s="34"/>
      <c r="AZ723" s="34"/>
      <c r="BA723" s="34"/>
      <c r="BB723" s="34"/>
      <c r="BD723" s="34"/>
      <c r="BE723" s="34"/>
      <c r="BF723" s="34"/>
      <c r="BG723" s="34"/>
      <c r="BH723" s="34"/>
      <c r="BI723" s="34"/>
      <c r="BJ723" s="34"/>
      <c r="BK723" s="34"/>
      <c r="BL723" s="34"/>
      <c r="BM723" s="34"/>
      <c r="BN723" s="34"/>
      <c r="BO723" s="34"/>
      <c r="BP723" s="34"/>
      <c r="BQ723" s="34"/>
      <c r="BR723" s="34"/>
      <c r="BS723" s="34"/>
      <c r="BT723" s="34"/>
      <c r="BU723" s="34"/>
      <c r="BV723" s="34"/>
      <c r="BW723" s="34"/>
      <c r="BX723" s="34"/>
      <c r="BY723" s="34"/>
    </row>
    <row r="724" spans="1:77" x14ac:dyDescent="0.3">
      <c r="A724" s="39"/>
      <c r="B724" s="42"/>
      <c r="C724" s="42"/>
      <c r="D724" s="75"/>
      <c r="E724" s="75"/>
      <c r="F724" s="76"/>
      <c r="G724" s="47"/>
      <c r="H724" s="47"/>
      <c r="I724" s="75"/>
      <c r="J724" s="76"/>
      <c r="K724" s="76"/>
      <c r="L724" s="75"/>
      <c r="M724" s="49"/>
      <c r="N724" s="76"/>
      <c r="O724" s="49"/>
      <c r="P724" s="77"/>
      <c r="Q724" s="53"/>
      <c r="R724" s="54"/>
      <c r="S724" s="55"/>
      <c r="T724" s="56"/>
      <c r="U724" s="56"/>
      <c r="V724" s="42"/>
      <c r="W724" s="57"/>
      <c r="X724" s="58"/>
      <c r="Y724" s="75"/>
      <c r="Z724" s="59"/>
      <c r="AA724" s="61"/>
      <c r="AB724" s="61"/>
      <c r="AC724" s="61"/>
      <c r="AD724" s="62"/>
      <c r="AE724" s="62"/>
      <c r="AF724" s="34"/>
      <c r="AG724" s="34"/>
      <c r="AH724" s="34"/>
      <c r="AI724" s="34"/>
      <c r="AJ724" s="34"/>
      <c r="AK724" s="34"/>
      <c r="AL724" s="34"/>
      <c r="AM724" s="34"/>
      <c r="AN724" s="34"/>
      <c r="AO724" s="34"/>
      <c r="AP724" s="34"/>
      <c r="AQ724" s="34"/>
      <c r="AR724" s="34"/>
      <c r="AS724" s="34"/>
      <c r="AT724" s="34"/>
      <c r="AU724" s="34"/>
      <c r="AV724" s="34"/>
      <c r="AW724" s="34"/>
      <c r="AX724" s="34"/>
      <c r="AY724" s="34"/>
      <c r="AZ724" s="34"/>
      <c r="BA724" s="34"/>
      <c r="BB724" s="34"/>
      <c r="BD724" s="34"/>
      <c r="BE724" s="34"/>
      <c r="BF724" s="34"/>
      <c r="BG724" s="34"/>
      <c r="BH724" s="34"/>
      <c r="BI724" s="34"/>
      <c r="BJ724" s="34"/>
      <c r="BK724" s="34"/>
      <c r="BL724" s="34"/>
      <c r="BM724" s="34"/>
      <c r="BN724" s="34"/>
      <c r="BO724" s="34"/>
      <c r="BP724" s="34"/>
      <c r="BQ724" s="34"/>
      <c r="BR724" s="34"/>
      <c r="BS724" s="34"/>
      <c r="BT724" s="34"/>
      <c r="BU724" s="34"/>
      <c r="BV724" s="34"/>
      <c r="BW724" s="34"/>
      <c r="BX724" s="34"/>
      <c r="BY724" s="34"/>
    </row>
    <row r="725" spans="1:77" x14ac:dyDescent="0.3">
      <c r="A725" s="39"/>
      <c r="B725" s="42"/>
      <c r="C725" s="42"/>
      <c r="D725" s="75"/>
      <c r="E725" s="75"/>
      <c r="F725" s="76"/>
      <c r="G725" s="47"/>
      <c r="H725" s="47"/>
      <c r="I725" s="75"/>
      <c r="J725" s="76"/>
      <c r="K725" s="76"/>
      <c r="L725" s="75"/>
      <c r="M725" s="49"/>
      <c r="N725" s="76"/>
      <c r="O725" s="49"/>
      <c r="P725" s="77"/>
      <c r="Q725" s="53"/>
      <c r="R725" s="54"/>
      <c r="S725" s="55"/>
      <c r="T725" s="56"/>
      <c r="U725" s="56"/>
      <c r="V725" s="42"/>
      <c r="W725" s="57"/>
      <c r="X725" s="58"/>
      <c r="Y725" s="75"/>
      <c r="Z725" s="59"/>
      <c r="AA725" s="61"/>
      <c r="AB725" s="61"/>
      <c r="AC725" s="61"/>
      <c r="AD725" s="62"/>
      <c r="AE725" s="62"/>
      <c r="AF725" s="34"/>
      <c r="AG725" s="34"/>
      <c r="AH725" s="34"/>
      <c r="AI725" s="34"/>
      <c r="AJ725" s="34"/>
      <c r="AK725" s="34"/>
      <c r="AL725" s="34"/>
      <c r="AM725" s="34"/>
      <c r="AN725" s="34"/>
      <c r="AO725" s="34"/>
      <c r="AP725" s="34"/>
      <c r="AQ725" s="34"/>
      <c r="AR725" s="34"/>
      <c r="AS725" s="34"/>
      <c r="AT725" s="34"/>
      <c r="AU725" s="34"/>
      <c r="AV725" s="34"/>
      <c r="AW725" s="34"/>
      <c r="AX725" s="34"/>
      <c r="AY725" s="34"/>
      <c r="AZ725" s="34"/>
      <c r="BA725" s="34"/>
      <c r="BB725" s="34"/>
      <c r="BD725" s="34"/>
      <c r="BE725" s="34"/>
      <c r="BF725" s="34"/>
      <c r="BG725" s="34"/>
      <c r="BH725" s="34"/>
      <c r="BI725" s="34"/>
      <c r="BJ725" s="34"/>
      <c r="BK725" s="34"/>
      <c r="BL725" s="34"/>
      <c r="BM725" s="34"/>
      <c r="BN725" s="34"/>
      <c r="BO725" s="34"/>
      <c r="BP725" s="34"/>
      <c r="BQ725" s="34"/>
      <c r="BR725" s="34"/>
      <c r="BS725" s="34"/>
      <c r="BT725" s="34"/>
      <c r="BU725" s="34"/>
      <c r="BV725" s="34"/>
      <c r="BW725" s="34"/>
      <c r="BX725" s="34"/>
      <c r="BY725" s="34"/>
    </row>
    <row r="726" spans="1:77" x14ac:dyDescent="0.3">
      <c r="A726" s="39"/>
      <c r="B726" s="42"/>
      <c r="C726" s="42"/>
      <c r="D726" s="75"/>
      <c r="E726" s="75"/>
      <c r="F726" s="76"/>
      <c r="G726" s="47"/>
      <c r="H726" s="47"/>
      <c r="I726" s="75"/>
      <c r="J726" s="76"/>
      <c r="K726" s="76"/>
      <c r="L726" s="75"/>
      <c r="M726" s="49"/>
      <c r="N726" s="76"/>
      <c r="O726" s="49"/>
      <c r="P726" s="77"/>
      <c r="Q726" s="53"/>
      <c r="R726" s="54"/>
      <c r="S726" s="55"/>
      <c r="T726" s="56"/>
      <c r="U726" s="56"/>
      <c r="V726" s="42"/>
      <c r="W726" s="57"/>
      <c r="X726" s="58"/>
      <c r="Y726" s="75"/>
      <c r="Z726" s="59"/>
      <c r="AA726" s="61"/>
      <c r="AB726" s="61"/>
      <c r="AC726" s="61"/>
      <c r="AD726" s="62"/>
      <c r="AE726" s="62"/>
      <c r="AF726" s="34"/>
      <c r="AG726" s="34"/>
      <c r="AH726" s="34"/>
      <c r="AI726" s="34"/>
      <c r="AJ726" s="34"/>
      <c r="AK726" s="34"/>
      <c r="AL726" s="34"/>
      <c r="AM726" s="34"/>
      <c r="AN726" s="34"/>
      <c r="AO726" s="34"/>
      <c r="AP726" s="34"/>
      <c r="AQ726" s="34"/>
      <c r="AR726" s="34"/>
      <c r="AS726" s="34"/>
      <c r="AT726" s="34"/>
      <c r="AU726" s="34"/>
      <c r="AV726" s="34"/>
      <c r="AW726" s="34"/>
      <c r="AX726" s="34"/>
      <c r="AY726" s="34"/>
      <c r="AZ726" s="34"/>
      <c r="BA726" s="34"/>
      <c r="BB726" s="34"/>
      <c r="BD726" s="34"/>
      <c r="BE726" s="34"/>
      <c r="BF726" s="34"/>
      <c r="BG726" s="34"/>
      <c r="BH726" s="34"/>
      <c r="BI726" s="34"/>
      <c r="BJ726" s="34"/>
      <c r="BK726" s="34"/>
      <c r="BL726" s="34"/>
      <c r="BM726" s="34"/>
      <c r="BN726" s="34"/>
      <c r="BO726" s="34"/>
      <c r="BP726" s="34"/>
      <c r="BQ726" s="34"/>
      <c r="BR726" s="34"/>
      <c r="BS726" s="34"/>
      <c r="BT726" s="34"/>
      <c r="BU726" s="34"/>
      <c r="BV726" s="34"/>
      <c r="BW726" s="34"/>
      <c r="BX726" s="34"/>
      <c r="BY726" s="34"/>
    </row>
    <row r="727" spans="1:77" x14ac:dyDescent="0.3">
      <c r="A727" s="39"/>
      <c r="B727" s="42"/>
      <c r="C727" s="42"/>
      <c r="D727" s="75"/>
      <c r="E727" s="75"/>
      <c r="F727" s="76"/>
      <c r="G727" s="47"/>
      <c r="H727" s="47"/>
      <c r="I727" s="75"/>
      <c r="J727" s="76"/>
      <c r="K727" s="76"/>
      <c r="L727" s="75"/>
      <c r="M727" s="49"/>
      <c r="N727" s="76"/>
      <c r="O727" s="49"/>
      <c r="P727" s="77"/>
      <c r="Q727" s="53"/>
      <c r="R727" s="54"/>
      <c r="S727" s="55"/>
      <c r="T727" s="56"/>
      <c r="U727" s="56"/>
      <c r="V727" s="42"/>
      <c r="W727" s="57"/>
      <c r="X727" s="58"/>
      <c r="Y727" s="75"/>
      <c r="Z727" s="59"/>
      <c r="AA727" s="61"/>
      <c r="AB727" s="61"/>
      <c r="AC727" s="61"/>
      <c r="AD727" s="62"/>
      <c r="AE727" s="62"/>
      <c r="AF727" s="34"/>
      <c r="AG727" s="34"/>
      <c r="AH727" s="34"/>
      <c r="AI727" s="34"/>
      <c r="AJ727" s="34"/>
      <c r="AK727" s="34"/>
      <c r="AL727" s="34"/>
      <c r="AM727" s="34"/>
      <c r="AN727" s="34"/>
      <c r="AO727" s="34"/>
      <c r="AP727" s="34"/>
      <c r="AQ727" s="34"/>
      <c r="AR727" s="34"/>
      <c r="AS727" s="34"/>
      <c r="AT727" s="34"/>
      <c r="AU727" s="34"/>
      <c r="AV727" s="34"/>
      <c r="AW727" s="34"/>
      <c r="AX727" s="34"/>
      <c r="AY727" s="34"/>
      <c r="AZ727" s="34"/>
      <c r="BA727" s="34"/>
      <c r="BB727" s="34"/>
      <c r="BD727" s="34"/>
      <c r="BE727" s="34"/>
      <c r="BF727" s="34"/>
      <c r="BG727" s="34"/>
      <c r="BH727" s="34"/>
      <c r="BI727" s="34"/>
      <c r="BJ727" s="34"/>
      <c r="BK727" s="34"/>
      <c r="BL727" s="34"/>
      <c r="BM727" s="34"/>
      <c r="BN727" s="34"/>
      <c r="BO727" s="34"/>
      <c r="BP727" s="34"/>
      <c r="BQ727" s="34"/>
      <c r="BR727" s="34"/>
      <c r="BS727" s="34"/>
      <c r="BT727" s="34"/>
      <c r="BU727" s="34"/>
      <c r="BV727" s="34"/>
      <c r="BW727" s="34"/>
      <c r="BX727" s="34"/>
      <c r="BY727" s="34"/>
    </row>
    <row r="728" spans="1:77" x14ac:dyDescent="0.3">
      <c r="A728" s="39"/>
      <c r="B728" s="42"/>
      <c r="C728" s="42"/>
      <c r="D728" s="75"/>
      <c r="E728" s="75"/>
      <c r="F728" s="76"/>
      <c r="G728" s="47"/>
      <c r="H728" s="47"/>
      <c r="I728" s="75"/>
      <c r="J728" s="76"/>
      <c r="K728" s="76"/>
      <c r="L728" s="75"/>
      <c r="M728" s="49"/>
      <c r="N728" s="76"/>
      <c r="O728" s="49"/>
      <c r="P728" s="77"/>
      <c r="Q728" s="53"/>
      <c r="R728" s="54"/>
      <c r="S728" s="55"/>
      <c r="T728" s="56"/>
      <c r="U728" s="56"/>
      <c r="V728" s="42"/>
      <c r="W728" s="57"/>
      <c r="X728" s="58"/>
      <c r="Y728" s="75"/>
      <c r="Z728" s="59"/>
      <c r="AA728" s="61"/>
      <c r="AB728" s="61"/>
      <c r="AC728" s="61"/>
      <c r="AD728" s="62"/>
      <c r="AE728" s="62"/>
      <c r="AF728" s="34"/>
      <c r="AG728" s="34"/>
      <c r="AH728" s="34"/>
      <c r="AI728" s="34"/>
      <c r="AJ728" s="34"/>
      <c r="AK728" s="34"/>
      <c r="AL728" s="34"/>
      <c r="AM728" s="34"/>
      <c r="AN728" s="34"/>
      <c r="AO728" s="34"/>
      <c r="AP728" s="34"/>
      <c r="AQ728" s="34"/>
      <c r="AR728" s="34"/>
      <c r="AS728" s="34"/>
      <c r="AT728" s="34"/>
      <c r="AU728" s="34"/>
      <c r="AV728" s="34"/>
      <c r="AW728" s="34"/>
      <c r="AX728" s="34"/>
      <c r="AY728" s="34"/>
      <c r="AZ728" s="34"/>
      <c r="BA728" s="34"/>
      <c r="BB728" s="34"/>
      <c r="BD728" s="34"/>
      <c r="BE728" s="34"/>
      <c r="BF728" s="34"/>
      <c r="BG728" s="34"/>
      <c r="BH728" s="34"/>
      <c r="BI728" s="34"/>
      <c r="BJ728" s="34"/>
      <c r="BK728" s="34"/>
      <c r="BL728" s="34"/>
      <c r="BM728" s="34"/>
      <c r="BN728" s="34"/>
      <c r="BO728" s="34"/>
      <c r="BP728" s="34"/>
      <c r="BQ728" s="34"/>
      <c r="BR728" s="34"/>
      <c r="BS728" s="34"/>
      <c r="BT728" s="34"/>
      <c r="BU728" s="34"/>
      <c r="BV728" s="34"/>
      <c r="BW728" s="34"/>
      <c r="BX728" s="34"/>
      <c r="BY728" s="34"/>
    </row>
    <row r="729" spans="1:77" x14ac:dyDescent="0.3">
      <c r="A729" s="39"/>
      <c r="B729" s="42"/>
      <c r="C729" s="42"/>
      <c r="D729" s="75"/>
      <c r="E729" s="75"/>
      <c r="F729" s="76"/>
      <c r="G729" s="47"/>
      <c r="H729" s="47"/>
      <c r="I729" s="75"/>
      <c r="J729" s="76"/>
      <c r="K729" s="76"/>
      <c r="L729" s="75"/>
      <c r="M729" s="49"/>
      <c r="N729" s="76"/>
      <c r="O729" s="49"/>
      <c r="P729" s="77"/>
      <c r="Q729" s="53"/>
      <c r="R729" s="54"/>
      <c r="S729" s="55"/>
      <c r="T729" s="56"/>
      <c r="U729" s="56"/>
      <c r="V729" s="42"/>
      <c r="W729" s="57"/>
      <c r="X729" s="58"/>
      <c r="Y729" s="75"/>
      <c r="Z729" s="59"/>
      <c r="AA729" s="61"/>
      <c r="AB729" s="61"/>
      <c r="AC729" s="61"/>
      <c r="AD729" s="62"/>
      <c r="AE729" s="62"/>
      <c r="AF729" s="34"/>
      <c r="AG729" s="34"/>
      <c r="AH729" s="34"/>
      <c r="AI729" s="34"/>
      <c r="AJ729" s="34"/>
      <c r="AK729" s="34"/>
      <c r="AL729" s="34"/>
      <c r="AM729" s="34"/>
      <c r="AN729" s="34"/>
      <c r="AO729" s="34"/>
      <c r="AP729" s="34"/>
      <c r="AQ729" s="34"/>
      <c r="AR729" s="34"/>
      <c r="AS729" s="34"/>
      <c r="AT729" s="34"/>
      <c r="AU729" s="34"/>
      <c r="AV729" s="34"/>
      <c r="AW729" s="34"/>
      <c r="AX729" s="34"/>
      <c r="AY729" s="34"/>
      <c r="AZ729" s="34"/>
      <c r="BA729" s="34"/>
      <c r="BB729" s="34"/>
      <c r="BD729" s="34"/>
      <c r="BE729" s="34"/>
      <c r="BF729" s="34"/>
      <c r="BG729" s="34"/>
      <c r="BH729" s="34"/>
      <c r="BI729" s="34"/>
      <c r="BJ729" s="34"/>
      <c r="BK729" s="34"/>
      <c r="BL729" s="34"/>
      <c r="BM729" s="34"/>
      <c r="BN729" s="34"/>
      <c r="BO729" s="34"/>
      <c r="BP729" s="34"/>
      <c r="BQ729" s="34"/>
      <c r="BR729" s="34"/>
      <c r="BS729" s="34"/>
      <c r="BT729" s="34"/>
      <c r="BU729" s="34"/>
      <c r="BV729" s="34"/>
      <c r="BW729" s="34"/>
      <c r="BX729" s="34"/>
      <c r="BY729" s="34"/>
    </row>
    <row r="730" spans="1:77" x14ac:dyDescent="0.3">
      <c r="A730" s="39"/>
      <c r="B730" s="42"/>
      <c r="C730" s="42"/>
      <c r="D730" s="75"/>
      <c r="E730" s="75"/>
      <c r="F730" s="76"/>
      <c r="G730" s="47"/>
      <c r="H730" s="47"/>
      <c r="I730" s="75"/>
      <c r="J730" s="76"/>
      <c r="K730" s="76"/>
      <c r="L730" s="75"/>
      <c r="M730" s="49"/>
      <c r="N730" s="76"/>
      <c r="O730" s="49"/>
      <c r="P730" s="77"/>
      <c r="Q730" s="53"/>
      <c r="R730" s="54"/>
      <c r="S730" s="55"/>
      <c r="T730" s="56"/>
      <c r="U730" s="56"/>
      <c r="V730" s="42"/>
      <c r="W730" s="57"/>
      <c r="X730" s="58"/>
      <c r="Y730" s="75"/>
      <c r="Z730" s="59"/>
      <c r="AA730" s="61"/>
      <c r="AB730" s="61"/>
      <c r="AC730" s="61"/>
      <c r="AD730" s="62"/>
      <c r="AE730" s="62"/>
      <c r="AF730" s="34"/>
      <c r="AG730" s="34"/>
      <c r="AH730" s="34"/>
      <c r="AI730" s="34"/>
      <c r="AJ730" s="34"/>
      <c r="AK730" s="34"/>
      <c r="AL730" s="34"/>
      <c r="AM730" s="34"/>
      <c r="AN730" s="34"/>
      <c r="AO730" s="34"/>
      <c r="AP730" s="34"/>
      <c r="AQ730" s="34"/>
      <c r="AR730" s="34"/>
      <c r="AS730" s="34"/>
      <c r="AT730" s="34"/>
      <c r="AU730" s="34"/>
      <c r="AV730" s="34"/>
      <c r="AW730" s="34"/>
      <c r="AX730" s="34"/>
      <c r="AY730" s="34"/>
      <c r="AZ730" s="34"/>
      <c r="BA730" s="34"/>
      <c r="BB730" s="34"/>
      <c r="BD730" s="34"/>
      <c r="BE730" s="34"/>
      <c r="BF730" s="34"/>
      <c r="BG730" s="34"/>
      <c r="BH730" s="34"/>
      <c r="BI730" s="34"/>
      <c r="BJ730" s="34"/>
      <c r="BK730" s="34"/>
      <c r="BL730" s="34"/>
      <c r="BM730" s="34"/>
      <c r="BN730" s="34"/>
      <c r="BO730" s="34"/>
      <c r="BP730" s="34"/>
      <c r="BQ730" s="34"/>
      <c r="BR730" s="34"/>
      <c r="BS730" s="34"/>
      <c r="BT730" s="34"/>
      <c r="BU730" s="34"/>
      <c r="BV730" s="34"/>
      <c r="BW730" s="34"/>
      <c r="BX730" s="34"/>
      <c r="BY730" s="34"/>
    </row>
    <row r="731" spans="1:77" x14ac:dyDescent="0.3">
      <c r="A731" s="39"/>
      <c r="B731" s="42"/>
      <c r="C731" s="42"/>
      <c r="D731" s="75"/>
      <c r="E731" s="75"/>
      <c r="F731" s="76"/>
      <c r="G731" s="47"/>
      <c r="H731" s="47"/>
      <c r="I731" s="75"/>
      <c r="J731" s="76"/>
      <c r="K731" s="76"/>
      <c r="L731" s="75"/>
      <c r="M731" s="49"/>
      <c r="N731" s="76"/>
      <c r="O731" s="49"/>
      <c r="P731" s="77"/>
      <c r="Q731" s="53"/>
      <c r="R731" s="54"/>
      <c r="S731" s="55"/>
      <c r="T731" s="56"/>
      <c r="U731" s="56"/>
      <c r="V731" s="42"/>
      <c r="W731" s="57"/>
      <c r="X731" s="58"/>
      <c r="Y731" s="75"/>
      <c r="Z731" s="59"/>
      <c r="AA731" s="61"/>
      <c r="AB731" s="61"/>
      <c r="AC731" s="61"/>
      <c r="AD731" s="62"/>
      <c r="AE731" s="62"/>
      <c r="AF731" s="34"/>
      <c r="AG731" s="34"/>
      <c r="AH731" s="34"/>
      <c r="AI731" s="34"/>
      <c r="AJ731" s="34"/>
      <c r="AK731" s="34"/>
      <c r="AL731" s="34"/>
      <c r="AM731" s="34"/>
      <c r="AN731" s="34"/>
      <c r="AO731" s="34"/>
      <c r="AP731" s="34"/>
      <c r="AQ731" s="34"/>
      <c r="AR731" s="34"/>
      <c r="AS731" s="34"/>
      <c r="AT731" s="34"/>
      <c r="AU731" s="34"/>
      <c r="AV731" s="34"/>
      <c r="AW731" s="34"/>
      <c r="AX731" s="34"/>
      <c r="AY731" s="34"/>
      <c r="AZ731" s="34"/>
      <c r="BA731" s="34"/>
      <c r="BB731" s="34"/>
      <c r="BD731" s="34"/>
      <c r="BE731" s="34"/>
      <c r="BF731" s="34"/>
      <c r="BG731" s="34"/>
      <c r="BH731" s="34"/>
      <c r="BI731" s="34"/>
      <c r="BJ731" s="34"/>
      <c r="BK731" s="34"/>
      <c r="BL731" s="34"/>
      <c r="BM731" s="34"/>
      <c r="BN731" s="34"/>
      <c r="BO731" s="34"/>
      <c r="BP731" s="34"/>
      <c r="BQ731" s="34"/>
      <c r="BR731" s="34"/>
      <c r="BS731" s="34"/>
      <c r="BT731" s="34"/>
      <c r="BU731" s="34"/>
      <c r="BV731" s="34"/>
      <c r="BW731" s="34"/>
      <c r="BX731" s="34"/>
      <c r="BY731" s="34"/>
    </row>
    <row r="732" spans="1:77" x14ac:dyDescent="0.3">
      <c r="A732" s="39"/>
      <c r="B732" s="42"/>
      <c r="C732" s="42"/>
      <c r="D732" s="75"/>
      <c r="E732" s="75"/>
      <c r="F732" s="76"/>
      <c r="G732" s="47"/>
      <c r="H732" s="47"/>
      <c r="I732" s="75"/>
      <c r="J732" s="76"/>
      <c r="K732" s="76"/>
      <c r="L732" s="75"/>
      <c r="M732" s="49"/>
      <c r="N732" s="76"/>
      <c r="O732" s="49"/>
      <c r="P732" s="77"/>
      <c r="Q732" s="53"/>
      <c r="R732" s="54"/>
      <c r="S732" s="55"/>
      <c r="T732" s="56"/>
      <c r="U732" s="56"/>
      <c r="V732" s="42"/>
      <c r="W732" s="57"/>
      <c r="X732" s="58"/>
      <c r="Y732" s="75"/>
      <c r="Z732" s="59"/>
      <c r="AA732" s="61"/>
      <c r="AB732" s="61"/>
      <c r="AC732" s="61"/>
      <c r="AD732" s="62"/>
      <c r="AE732" s="62"/>
      <c r="AF732" s="34"/>
      <c r="AG732" s="34"/>
      <c r="AH732" s="34"/>
      <c r="AI732" s="34"/>
      <c r="AJ732" s="34"/>
      <c r="AK732" s="34"/>
      <c r="AL732" s="34"/>
      <c r="AM732" s="34"/>
      <c r="AN732" s="34"/>
      <c r="AO732" s="34"/>
      <c r="AP732" s="34"/>
      <c r="AQ732" s="34"/>
      <c r="AR732" s="34"/>
      <c r="AS732" s="34"/>
      <c r="AT732" s="34"/>
      <c r="AU732" s="34"/>
      <c r="AV732" s="34"/>
      <c r="AW732" s="34"/>
      <c r="AX732" s="34"/>
      <c r="AY732" s="34"/>
      <c r="AZ732" s="34"/>
      <c r="BA732" s="34"/>
      <c r="BB732" s="34"/>
      <c r="BD732" s="34"/>
      <c r="BE732" s="34"/>
      <c r="BF732" s="34"/>
      <c r="BG732" s="34"/>
      <c r="BH732" s="34"/>
      <c r="BI732" s="34"/>
      <c r="BJ732" s="34"/>
      <c r="BK732" s="34"/>
      <c r="BL732" s="34"/>
      <c r="BM732" s="34"/>
      <c r="BN732" s="34"/>
      <c r="BO732" s="34"/>
      <c r="BP732" s="34"/>
      <c r="BQ732" s="34"/>
      <c r="BR732" s="34"/>
      <c r="BS732" s="34"/>
      <c r="BT732" s="34"/>
      <c r="BU732" s="34"/>
      <c r="BV732" s="34"/>
      <c r="BW732" s="34"/>
      <c r="BX732" s="34"/>
      <c r="BY732" s="34"/>
    </row>
    <row r="733" spans="1:77" x14ac:dyDescent="0.3">
      <c r="A733" s="39"/>
      <c r="B733" s="42"/>
      <c r="C733" s="42"/>
      <c r="D733" s="75"/>
      <c r="E733" s="75"/>
      <c r="F733" s="76"/>
      <c r="G733" s="47"/>
      <c r="H733" s="47"/>
      <c r="I733" s="75"/>
      <c r="J733" s="76"/>
      <c r="K733" s="76"/>
      <c r="L733" s="75"/>
      <c r="M733" s="49"/>
      <c r="N733" s="76"/>
      <c r="O733" s="49"/>
      <c r="P733" s="77"/>
      <c r="Q733" s="53"/>
      <c r="R733" s="54"/>
      <c r="S733" s="55"/>
      <c r="T733" s="56"/>
      <c r="U733" s="56"/>
      <c r="V733" s="42"/>
      <c r="W733" s="57"/>
      <c r="X733" s="58"/>
      <c r="Y733" s="75"/>
      <c r="Z733" s="59"/>
      <c r="AA733" s="61"/>
      <c r="AB733" s="61"/>
      <c r="AC733" s="61"/>
      <c r="AD733" s="62"/>
      <c r="AE733" s="62"/>
      <c r="AF733" s="34"/>
      <c r="AG733" s="34"/>
      <c r="AH733" s="34"/>
      <c r="AI733" s="34"/>
      <c r="AJ733" s="34"/>
      <c r="AK733" s="34"/>
      <c r="AL733" s="34"/>
      <c r="AM733" s="34"/>
      <c r="AN733" s="34"/>
      <c r="AO733" s="34"/>
      <c r="AP733" s="34"/>
      <c r="AQ733" s="34"/>
      <c r="AR733" s="34"/>
      <c r="AS733" s="34"/>
      <c r="AT733" s="34"/>
      <c r="AU733" s="34"/>
      <c r="AV733" s="34"/>
      <c r="AW733" s="34"/>
      <c r="AX733" s="34"/>
      <c r="AY733" s="34"/>
      <c r="AZ733" s="34"/>
      <c r="BA733" s="34"/>
      <c r="BB733" s="34"/>
      <c r="BD733" s="34"/>
      <c r="BE733" s="34"/>
      <c r="BF733" s="34"/>
      <c r="BG733" s="34"/>
      <c r="BH733" s="34"/>
      <c r="BI733" s="34"/>
      <c r="BJ733" s="34"/>
      <c r="BK733" s="34"/>
      <c r="BL733" s="34"/>
      <c r="BM733" s="34"/>
      <c r="BN733" s="34"/>
      <c r="BO733" s="34"/>
      <c r="BP733" s="34"/>
      <c r="BQ733" s="34"/>
      <c r="BR733" s="34"/>
      <c r="BS733" s="34"/>
      <c r="BT733" s="34"/>
      <c r="BU733" s="34"/>
      <c r="BV733" s="34"/>
      <c r="BW733" s="34"/>
      <c r="BX733" s="34"/>
      <c r="BY733" s="34"/>
    </row>
    <row r="734" spans="1:77" x14ac:dyDescent="0.3">
      <c r="A734" s="39"/>
      <c r="B734" s="42"/>
      <c r="C734" s="42"/>
      <c r="D734" s="75"/>
      <c r="E734" s="75"/>
      <c r="F734" s="76"/>
      <c r="G734" s="47"/>
      <c r="H734" s="47"/>
      <c r="I734" s="75"/>
      <c r="J734" s="76"/>
      <c r="K734" s="76"/>
      <c r="L734" s="75"/>
      <c r="M734" s="49"/>
      <c r="N734" s="76"/>
      <c r="O734" s="49"/>
      <c r="P734" s="77"/>
      <c r="Q734" s="53"/>
      <c r="R734" s="54"/>
      <c r="S734" s="55"/>
      <c r="T734" s="56"/>
      <c r="U734" s="56"/>
      <c r="V734" s="42"/>
      <c r="W734" s="57"/>
      <c r="X734" s="58"/>
      <c r="Y734" s="75"/>
      <c r="Z734" s="59"/>
      <c r="AA734" s="61"/>
      <c r="AB734" s="61"/>
      <c r="AC734" s="61"/>
      <c r="AD734" s="62"/>
      <c r="AE734" s="62"/>
      <c r="AF734" s="34"/>
      <c r="AG734" s="34"/>
      <c r="AH734" s="34"/>
      <c r="AI734" s="34"/>
      <c r="AJ734" s="34"/>
      <c r="AK734" s="34"/>
      <c r="AL734" s="34"/>
      <c r="AM734" s="34"/>
      <c r="AN734" s="34"/>
      <c r="AO734" s="34"/>
      <c r="AP734" s="34"/>
      <c r="AQ734" s="34"/>
      <c r="AR734" s="34"/>
      <c r="AS734" s="34"/>
      <c r="AT734" s="34"/>
      <c r="AU734" s="34"/>
      <c r="AV734" s="34"/>
      <c r="AW734" s="34"/>
      <c r="AX734" s="34"/>
      <c r="AY734" s="34"/>
      <c r="AZ734" s="34"/>
      <c r="BA734" s="34"/>
      <c r="BB734" s="34"/>
      <c r="BD734" s="34"/>
      <c r="BE734" s="34"/>
      <c r="BF734" s="34"/>
      <c r="BG734" s="34"/>
      <c r="BH734" s="34"/>
      <c r="BI734" s="34"/>
      <c r="BJ734" s="34"/>
      <c r="BK734" s="34"/>
      <c r="BL734" s="34"/>
      <c r="BM734" s="34"/>
      <c r="BN734" s="34"/>
      <c r="BO734" s="34"/>
      <c r="BP734" s="34"/>
      <c r="BQ734" s="34"/>
      <c r="BR734" s="34"/>
      <c r="BS734" s="34"/>
      <c r="BT734" s="34"/>
      <c r="BU734" s="34"/>
      <c r="BV734" s="34"/>
      <c r="BW734" s="34"/>
      <c r="BX734" s="34"/>
      <c r="BY734" s="34"/>
    </row>
    <row r="735" spans="1:77" x14ac:dyDescent="0.3">
      <c r="A735" s="39"/>
      <c r="B735" s="42"/>
      <c r="C735" s="42"/>
      <c r="D735" s="75"/>
      <c r="E735" s="75"/>
      <c r="F735" s="76"/>
      <c r="G735" s="47"/>
      <c r="H735" s="47"/>
      <c r="I735" s="75"/>
      <c r="J735" s="76"/>
      <c r="K735" s="76"/>
      <c r="L735" s="75"/>
      <c r="M735" s="49"/>
      <c r="N735" s="76"/>
      <c r="O735" s="49"/>
      <c r="P735" s="77"/>
      <c r="Q735" s="53"/>
      <c r="R735" s="54"/>
      <c r="S735" s="55"/>
      <c r="T735" s="56"/>
      <c r="U735" s="56"/>
      <c r="V735" s="42"/>
      <c r="W735" s="57"/>
      <c r="X735" s="58"/>
      <c r="Y735" s="75"/>
      <c r="Z735" s="59"/>
      <c r="AA735" s="61"/>
      <c r="AB735" s="61"/>
      <c r="AC735" s="61"/>
      <c r="AD735" s="62"/>
      <c r="AE735" s="62"/>
      <c r="AF735" s="34"/>
      <c r="AG735" s="34"/>
      <c r="AH735" s="34"/>
      <c r="AI735" s="34"/>
      <c r="AJ735" s="34"/>
      <c r="AK735" s="34"/>
      <c r="AL735" s="34"/>
      <c r="AM735" s="34"/>
      <c r="AN735" s="34"/>
      <c r="AO735" s="34"/>
      <c r="AP735" s="34"/>
      <c r="AQ735" s="34"/>
      <c r="AR735" s="34"/>
      <c r="AS735" s="34"/>
      <c r="AT735" s="34"/>
      <c r="AU735" s="34"/>
      <c r="AV735" s="34"/>
      <c r="AW735" s="34"/>
      <c r="AX735" s="34"/>
      <c r="AY735" s="34"/>
      <c r="AZ735" s="34"/>
      <c r="BA735" s="34"/>
      <c r="BB735" s="34"/>
      <c r="BD735" s="34"/>
      <c r="BE735" s="34"/>
      <c r="BF735" s="34"/>
      <c r="BG735" s="34"/>
      <c r="BH735" s="34"/>
      <c r="BI735" s="34"/>
      <c r="BJ735" s="34"/>
      <c r="BK735" s="34"/>
      <c r="BL735" s="34"/>
      <c r="BM735" s="34"/>
      <c r="BN735" s="34"/>
      <c r="BO735" s="34"/>
      <c r="BP735" s="34"/>
      <c r="BQ735" s="34"/>
      <c r="BR735" s="34"/>
      <c r="BS735" s="34"/>
      <c r="BT735" s="34"/>
      <c r="BU735" s="34"/>
      <c r="BV735" s="34"/>
      <c r="BW735" s="34"/>
      <c r="BX735" s="34"/>
      <c r="BY735" s="34"/>
    </row>
    <row r="736" spans="1:77" x14ac:dyDescent="0.3">
      <c r="A736" s="39"/>
      <c r="B736" s="42"/>
      <c r="C736" s="42"/>
      <c r="D736" s="75"/>
      <c r="E736" s="75"/>
      <c r="F736" s="76"/>
      <c r="G736" s="47"/>
      <c r="H736" s="47"/>
      <c r="I736" s="75"/>
      <c r="J736" s="76"/>
      <c r="K736" s="76"/>
      <c r="L736" s="75"/>
      <c r="M736" s="49"/>
      <c r="N736" s="76"/>
      <c r="O736" s="49"/>
      <c r="P736" s="77"/>
      <c r="Q736" s="53"/>
      <c r="R736" s="54"/>
      <c r="S736" s="55"/>
      <c r="T736" s="56"/>
      <c r="U736" s="56"/>
      <c r="V736" s="42"/>
      <c r="W736" s="57"/>
      <c r="X736" s="58"/>
      <c r="Y736" s="75"/>
      <c r="Z736" s="59"/>
      <c r="AA736" s="61"/>
      <c r="AB736" s="61"/>
      <c r="AC736" s="61"/>
      <c r="AD736" s="62"/>
      <c r="AE736" s="62"/>
      <c r="AF736" s="34"/>
      <c r="AG736" s="34"/>
      <c r="AH736" s="34"/>
      <c r="AI736" s="34"/>
      <c r="AJ736" s="34"/>
      <c r="AK736" s="34"/>
      <c r="AL736" s="34"/>
      <c r="AM736" s="34"/>
      <c r="AN736" s="34"/>
      <c r="AO736" s="34"/>
      <c r="AP736" s="34"/>
      <c r="AQ736" s="34"/>
      <c r="AR736" s="34"/>
      <c r="AS736" s="34"/>
      <c r="AT736" s="34"/>
      <c r="AU736" s="34"/>
      <c r="AV736" s="34"/>
      <c r="AW736" s="34"/>
      <c r="AX736" s="34"/>
      <c r="AY736" s="34"/>
      <c r="AZ736" s="34"/>
      <c r="BA736" s="34"/>
      <c r="BB736" s="34"/>
      <c r="BD736" s="34"/>
      <c r="BE736" s="34"/>
      <c r="BF736" s="34"/>
      <c r="BG736" s="34"/>
      <c r="BH736" s="34"/>
      <c r="BI736" s="34"/>
      <c r="BJ736" s="34"/>
      <c r="BK736" s="34"/>
      <c r="BL736" s="34"/>
      <c r="BM736" s="34"/>
      <c r="BN736" s="34"/>
      <c r="BO736" s="34"/>
      <c r="BP736" s="34"/>
      <c r="BQ736" s="34"/>
      <c r="BR736" s="34"/>
      <c r="BS736" s="34"/>
      <c r="BT736" s="34"/>
      <c r="BU736" s="34"/>
      <c r="BV736" s="34"/>
      <c r="BW736" s="34"/>
      <c r="BX736" s="34"/>
      <c r="BY736" s="34"/>
    </row>
    <row r="737" spans="1:77" x14ac:dyDescent="0.3">
      <c r="A737" s="39"/>
      <c r="B737" s="42"/>
      <c r="C737" s="42"/>
      <c r="D737" s="75"/>
      <c r="E737" s="75"/>
      <c r="F737" s="76"/>
      <c r="G737" s="47"/>
      <c r="H737" s="47"/>
      <c r="I737" s="75"/>
      <c r="J737" s="76"/>
      <c r="K737" s="76"/>
      <c r="L737" s="75"/>
      <c r="M737" s="49"/>
      <c r="N737" s="76"/>
      <c r="O737" s="49"/>
      <c r="P737" s="77"/>
      <c r="Q737" s="53"/>
      <c r="R737" s="54"/>
      <c r="S737" s="55"/>
      <c r="T737" s="56"/>
      <c r="U737" s="56"/>
      <c r="V737" s="42"/>
      <c r="W737" s="57"/>
      <c r="X737" s="58"/>
      <c r="Y737" s="75"/>
      <c r="Z737" s="59"/>
      <c r="AA737" s="61"/>
      <c r="AB737" s="61"/>
      <c r="AC737" s="61"/>
      <c r="AD737" s="62"/>
      <c r="AE737" s="62"/>
      <c r="AF737" s="34"/>
      <c r="AG737" s="34"/>
      <c r="AH737" s="34"/>
      <c r="AI737" s="34"/>
      <c r="AJ737" s="34"/>
      <c r="AK737" s="34"/>
      <c r="AL737" s="34"/>
      <c r="AM737" s="34"/>
      <c r="AN737" s="34"/>
      <c r="AO737" s="34"/>
      <c r="AP737" s="34"/>
      <c r="AQ737" s="34"/>
      <c r="AR737" s="34"/>
      <c r="AS737" s="34"/>
      <c r="AT737" s="34"/>
      <c r="AU737" s="34"/>
      <c r="AV737" s="34"/>
      <c r="AW737" s="34"/>
      <c r="AX737" s="34"/>
      <c r="AY737" s="34"/>
      <c r="AZ737" s="34"/>
      <c r="BA737" s="34"/>
      <c r="BB737" s="34"/>
      <c r="BD737" s="34"/>
      <c r="BE737" s="34"/>
      <c r="BF737" s="34"/>
      <c r="BG737" s="34"/>
      <c r="BH737" s="34"/>
      <c r="BI737" s="34"/>
      <c r="BJ737" s="34"/>
      <c r="BK737" s="34"/>
      <c r="BL737" s="34"/>
      <c r="BM737" s="34"/>
      <c r="BN737" s="34"/>
      <c r="BO737" s="34"/>
      <c r="BP737" s="34"/>
      <c r="BQ737" s="34"/>
      <c r="BR737" s="34"/>
      <c r="BS737" s="34"/>
      <c r="BT737" s="34"/>
      <c r="BU737" s="34"/>
      <c r="BV737" s="34"/>
      <c r="BW737" s="34"/>
      <c r="BX737" s="34"/>
      <c r="BY737" s="34"/>
    </row>
    <row r="738" spans="1:77" x14ac:dyDescent="0.3">
      <c r="A738" s="39"/>
      <c r="B738" s="42"/>
      <c r="C738" s="42"/>
      <c r="D738" s="75"/>
      <c r="E738" s="75"/>
      <c r="F738" s="76"/>
      <c r="G738" s="47"/>
      <c r="H738" s="47"/>
      <c r="I738" s="75"/>
      <c r="J738" s="76"/>
      <c r="K738" s="76"/>
      <c r="L738" s="75"/>
      <c r="M738" s="49"/>
      <c r="N738" s="76"/>
      <c r="O738" s="49"/>
      <c r="P738" s="77"/>
      <c r="Q738" s="53"/>
      <c r="R738" s="54"/>
      <c r="S738" s="55"/>
      <c r="T738" s="56"/>
      <c r="U738" s="56"/>
      <c r="V738" s="42"/>
      <c r="W738" s="57"/>
      <c r="X738" s="58"/>
      <c r="Y738" s="75"/>
      <c r="Z738" s="59"/>
      <c r="AA738" s="61"/>
      <c r="AB738" s="61"/>
      <c r="AC738" s="61"/>
      <c r="AD738" s="62"/>
      <c r="AE738" s="62"/>
      <c r="AF738" s="34"/>
      <c r="AG738" s="34"/>
      <c r="AH738" s="34"/>
      <c r="AI738" s="34"/>
      <c r="AJ738" s="34"/>
      <c r="AK738" s="34"/>
      <c r="AL738" s="34"/>
      <c r="AM738" s="34"/>
      <c r="AN738" s="34"/>
      <c r="AO738" s="34"/>
      <c r="AP738" s="34"/>
      <c r="AQ738" s="34"/>
      <c r="AR738" s="34"/>
      <c r="AS738" s="34"/>
      <c r="AT738" s="34"/>
      <c r="AU738" s="34"/>
      <c r="AV738" s="34"/>
      <c r="AW738" s="34"/>
      <c r="AX738" s="34"/>
      <c r="AY738" s="34"/>
      <c r="AZ738" s="34"/>
      <c r="BA738" s="34"/>
      <c r="BB738" s="34"/>
      <c r="BD738" s="34"/>
      <c r="BE738" s="34"/>
      <c r="BF738" s="34"/>
      <c r="BG738" s="34"/>
      <c r="BH738" s="34"/>
      <c r="BI738" s="34"/>
      <c r="BJ738" s="34"/>
      <c r="BK738" s="34"/>
      <c r="BL738" s="34"/>
      <c r="BM738" s="34"/>
      <c r="BN738" s="34"/>
      <c r="BO738" s="34"/>
      <c r="BP738" s="34"/>
      <c r="BQ738" s="34"/>
      <c r="BR738" s="34"/>
      <c r="BS738" s="34"/>
      <c r="BT738" s="34"/>
      <c r="BU738" s="34"/>
      <c r="BV738" s="34"/>
      <c r="BW738" s="34"/>
      <c r="BX738" s="34"/>
      <c r="BY738" s="34"/>
    </row>
    <row r="739" spans="1:77" x14ac:dyDescent="0.3">
      <c r="A739" s="39"/>
      <c r="B739" s="42"/>
      <c r="C739" s="42"/>
      <c r="D739" s="75"/>
      <c r="E739" s="75"/>
      <c r="F739" s="76"/>
      <c r="G739" s="47"/>
      <c r="H739" s="47"/>
      <c r="I739" s="75"/>
      <c r="J739" s="76"/>
      <c r="K739" s="76"/>
      <c r="L739" s="75"/>
      <c r="M739" s="49"/>
      <c r="N739" s="76"/>
      <c r="O739" s="49"/>
      <c r="P739" s="77"/>
      <c r="Q739" s="53"/>
      <c r="R739" s="54"/>
      <c r="S739" s="55"/>
      <c r="T739" s="56"/>
      <c r="U739" s="56"/>
      <c r="V739" s="42"/>
      <c r="W739" s="57"/>
      <c r="X739" s="58"/>
      <c r="Y739" s="75"/>
      <c r="Z739" s="59"/>
      <c r="AA739" s="61"/>
      <c r="AB739" s="61"/>
      <c r="AC739" s="61"/>
      <c r="AD739" s="62"/>
      <c r="AE739" s="62"/>
      <c r="AF739" s="34"/>
      <c r="AG739" s="34"/>
      <c r="AH739" s="34"/>
      <c r="AI739" s="34"/>
      <c r="AJ739" s="34"/>
      <c r="AK739" s="34"/>
      <c r="AL739" s="34"/>
      <c r="AM739" s="34"/>
      <c r="AN739" s="34"/>
      <c r="AO739" s="34"/>
      <c r="AP739" s="34"/>
      <c r="AQ739" s="34"/>
      <c r="AR739" s="34"/>
      <c r="AS739" s="34"/>
      <c r="AT739" s="34"/>
      <c r="AU739" s="34"/>
      <c r="AV739" s="34"/>
      <c r="AW739" s="34"/>
      <c r="AX739" s="34"/>
      <c r="AY739" s="34"/>
      <c r="AZ739" s="34"/>
      <c r="BA739" s="34"/>
      <c r="BB739" s="34"/>
      <c r="BD739" s="34"/>
      <c r="BE739" s="34"/>
      <c r="BF739" s="34"/>
      <c r="BG739" s="34"/>
      <c r="BH739" s="34"/>
      <c r="BI739" s="34"/>
      <c r="BJ739" s="34"/>
      <c r="BK739" s="34"/>
      <c r="BL739" s="34"/>
      <c r="BM739" s="34"/>
      <c r="BN739" s="34"/>
      <c r="BO739" s="34"/>
      <c r="BP739" s="34"/>
      <c r="BQ739" s="34"/>
      <c r="BR739" s="34"/>
      <c r="BS739" s="34"/>
      <c r="BT739" s="34"/>
      <c r="BU739" s="34"/>
      <c r="BV739" s="34"/>
      <c r="BW739" s="34"/>
      <c r="BX739" s="34"/>
      <c r="BY739" s="34"/>
    </row>
    <row r="740" spans="1:77" x14ac:dyDescent="0.3">
      <c r="A740" s="39"/>
      <c r="B740" s="42"/>
      <c r="C740" s="42"/>
      <c r="D740" s="75"/>
      <c r="E740" s="75"/>
      <c r="F740" s="76"/>
      <c r="G740" s="47"/>
      <c r="H740" s="47"/>
      <c r="I740" s="75"/>
      <c r="J740" s="76"/>
      <c r="K740" s="76"/>
      <c r="L740" s="75"/>
      <c r="M740" s="49"/>
      <c r="N740" s="76"/>
      <c r="O740" s="49"/>
      <c r="P740" s="77"/>
      <c r="Q740" s="53"/>
      <c r="R740" s="54"/>
      <c r="S740" s="55"/>
      <c r="T740" s="56"/>
      <c r="U740" s="56"/>
      <c r="V740" s="42"/>
      <c r="W740" s="57"/>
      <c r="X740" s="58"/>
      <c r="Y740" s="75"/>
      <c r="Z740" s="59"/>
      <c r="AA740" s="61"/>
      <c r="AB740" s="61"/>
      <c r="AC740" s="61"/>
      <c r="AD740" s="62"/>
      <c r="AE740" s="62"/>
      <c r="AF740" s="34"/>
      <c r="AG740" s="34"/>
      <c r="AH740" s="34"/>
      <c r="AI740" s="34"/>
      <c r="AJ740" s="34"/>
      <c r="AK740" s="34"/>
      <c r="AL740" s="34"/>
      <c r="AM740" s="34"/>
      <c r="AN740" s="34"/>
      <c r="AO740" s="34"/>
      <c r="AP740" s="34"/>
      <c r="AQ740" s="34"/>
      <c r="AR740" s="34"/>
      <c r="AS740" s="34"/>
      <c r="AT740" s="34"/>
      <c r="AU740" s="34"/>
      <c r="AV740" s="34"/>
      <c r="AW740" s="34"/>
      <c r="AX740" s="34"/>
      <c r="AY740" s="34"/>
      <c r="AZ740" s="34"/>
      <c r="BA740" s="34"/>
      <c r="BB740" s="34"/>
      <c r="BD740" s="34"/>
      <c r="BE740" s="34"/>
      <c r="BF740" s="34"/>
      <c r="BG740" s="34"/>
      <c r="BH740" s="34"/>
      <c r="BI740" s="34"/>
      <c r="BJ740" s="34"/>
      <c r="BK740" s="34"/>
      <c r="BL740" s="34"/>
      <c r="BM740" s="34"/>
      <c r="BN740" s="34"/>
      <c r="BO740" s="34"/>
      <c r="BP740" s="34"/>
      <c r="BQ740" s="34"/>
      <c r="BR740" s="34"/>
      <c r="BS740" s="34"/>
      <c r="BT740" s="34"/>
      <c r="BU740" s="34"/>
      <c r="BV740" s="34"/>
      <c r="BW740" s="34"/>
      <c r="BX740" s="34"/>
      <c r="BY740" s="34"/>
    </row>
    <row r="741" spans="1:77" x14ac:dyDescent="0.3">
      <c r="A741" s="39"/>
      <c r="B741" s="42"/>
      <c r="C741" s="42"/>
      <c r="D741" s="75"/>
      <c r="E741" s="75"/>
      <c r="F741" s="76"/>
      <c r="G741" s="47"/>
      <c r="H741" s="47"/>
      <c r="I741" s="75"/>
      <c r="J741" s="76"/>
      <c r="K741" s="76"/>
      <c r="L741" s="75"/>
      <c r="M741" s="49"/>
      <c r="N741" s="76"/>
      <c r="O741" s="49"/>
      <c r="P741" s="77"/>
      <c r="Q741" s="53"/>
      <c r="R741" s="54"/>
      <c r="S741" s="55"/>
      <c r="T741" s="56"/>
      <c r="U741" s="56"/>
      <c r="V741" s="42"/>
      <c r="W741" s="57"/>
      <c r="X741" s="58"/>
      <c r="Y741" s="75"/>
      <c r="Z741" s="59"/>
      <c r="AA741" s="61"/>
      <c r="AB741" s="61"/>
      <c r="AC741" s="61"/>
      <c r="AD741" s="62"/>
      <c r="AE741" s="62"/>
      <c r="AF741" s="34"/>
      <c r="AG741" s="34"/>
      <c r="AH741" s="34"/>
      <c r="AI741" s="34"/>
      <c r="AJ741" s="34"/>
      <c r="AK741" s="34"/>
      <c r="AL741" s="34"/>
      <c r="AM741" s="34"/>
      <c r="AN741" s="34"/>
      <c r="AO741" s="34"/>
      <c r="AP741" s="34"/>
      <c r="AQ741" s="34"/>
      <c r="AR741" s="34"/>
      <c r="AS741" s="34"/>
      <c r="AT741" s="34"/>
      <c r="AU741" s="34"/>
      <c r="AV741" s="34"/>
      <c r="AW741" s="34"/>
      <c r="AX741" s="34"/>
      <c r="AY741" s="34"/>
      <c r="AZ741" s="34"/>
      <c r="BA741" s="34"/>
      <c r="BB741" s="34"/>
      <c r="BD741" s="34"/>
      <c r="BE741" s="34"/>
      <c r="BF741" s="34"/>
      <c r="BG741" s="34"/>
      <c r="BH741" s="34"/>
      <c r="BI741" s="34"/>
      <c r="BJ741" s="34"/>
      <c r="BK741" s="34"/>
      <c r="BL741" s="34"/>
      <c r="BM741" s="34"/>
      <c r="BN741" s="34"/>
      <c r="BO741" s="34"/>
      <c r="BP741" s="34"/>
      <c r="BQ741" s="34"/>
      <c r="BR741" s="34"/>
      <c r="BS741" s="34"/>
      <c r="BT741" s="34"/>
      <c r="BU741" s="34"/>
      <c r="BV741" s="34"/>
      <c r="BW741" s="34"/>
      <c r="BX741" s="34"/>
      <c r="BY741" s="34"/>
    </row>
    <row r="742" spans="1:77" x14ac:dyDescent="0.3">
      <c r="A742" s="39"/>
      <c r="B742" s="42"/>
      <c r="C742" s="42"/>
      <c r="D742" s="75"/>
      <c r="E742" s="75"/>
      <c r="F742" s="76"/>
      <c r="G742" s="47"/>
      <c r="H742" s="47"/>
      <c r="I742" s="75"/>
      <c r="J742" s="76"/>
      <c r="K742" s="76"/>
      <c r="L742" s="75"/>
      <c r="M742" s="49"/>
      <c r="N742" s="76"/>
      <c r="O742" s="49"/>
      <c r="P742" s="77"/>
      <c r="Q742" s="53"/>
      <c r="R742" s="54"/>
      <c r="S742" s="55"/>
      <c r="T742" s="56"/>
      <c r="U742" s="56"/>
      <c r="V742" s="42"/>
      <c r="W742" s="57"/>
      <c r="X742" s="58"/>
      <c r="Y742" s="75"/>
      <c r="Z742" s="59"/>
      <c r="AA742" s="61"/>
      <c r="AB742" s="61"/>
      <c r="AC742" s="61"/>
      <c r="AD742" s="62"/>
      <c r="AE742" s="62"/>
      <c r="AF742" s="34"/>
      <c r="AG742" s="34"/>
      <c r="AH742" s="34"/>
      <c r="AI742" s="34"/>
      <c r="AJ742" s="34"/>
      <c r="AK742" s="34"/>
      <c r="AL742" s="34"/>
      <c r="AM742" s="34"/>
      <c r="AN742" s="34"/>
      <c r="AO742" s="34"/>
      <c r="AP742" s="34"/>
      <c r="AQ742" s="34"/>
      <c r="AR742" s="34"/>
      <c r="AS742" s="34"/>
      <c r="AT742" s="34"/>
      <c r="AU742" s="34"/>
      <c r="AV742" s="34"/>
      <c r="AW742" s="34"/>
      <c r="AX742" s="34"/>
      <c r="AY742" s="34"/>
      <c r="AZ742" s="34"/>
      <c r="BA742" s="34"/>
      <c r="BB742" s="34"/>
      <c r="BD742" s="34"/>
      <c r="BE742" s="34"/>
      <c r="BF742" s="34"/>
      <c r="BG742" s="34"/>
      <c r="BH742" s="34"/>
      <c r="BI742" s="34"/>
      <c r="BJ742" s="34"/>
      <c r="BK742" s="34"/>
      <c r="BL742" s="34"/>
      <c r="BM742" s="34"/>
      <c r="BN742" s="34"/>
      <c r="BO742" s="34"/>
      <c r="BP742" s="34"/>
      <c r="BQ742" s="34"/>
      <c r="BR742" s="34"/>
      <c r="BS742" s="34"/>
      <c r="BT742" s="34"/>
      <c r="BU742" s="34"/>
      <c r="BV742" s="34"/>
      <c r="BW742" s="34"/>
      <c r="BX742" s="34"/>
      <c r="BY742" s="34"/>
    </row>
    <row r="743" spans="1:77" x14ac:dyDescent="0.3">
      <c r="A743" s="39"/>
      <c r="B743" s="42"/>
      <c r="C743" s="42"/>
      <c r="D743" s="75"/>
      <c r="E743" s="75"/>
      <c r="F743" s="76"/>
      <c r="G743" s="47"/>
      <c r="H743" s="47"/>
      <c r="I743" s="75"/>
      <c r="J743" s="76"/>
      <c r="K743" s="76"/>
      <c r="L743" s="75"/>
      <c r="M743" s="49"/>
      <c r="N743" s="76"/>
      <c r="O743" s="49"/>
      <c r="P743" s="77"/>
      <c r="Q743" s="53"/>
      <c r="R743" s="54"/>
      <c r="S743" s="55"/>
      <c r="T743" s="56"/>
      <c r="U743" s="56"/>
      <c r="V743" s="42"/>
      <c r="W743" s="57"/>
      <c r="X743" s="58"/>
      <c r="Y743" s="75"/>
      <c r="Z743" s="59"/>
      <c r="AA743" s="61"/>
      <c r="AB743" s="61"/>
      <c r="AC743" s="61"/>
      <c r="AD743" s="62"/>
      <c r="AE743" s="62"/>
      <c r="AF743" s="34"/>
      <c r="AG743" s="34"/>
      <c r="AH743" s="34"/>
      <c r="AI743" s="34"/>
      <c r="AJ743" s="34"/>
      <c r="AK743" s="34"/>
      <c r="AL743" s="34"/>
      <c r="AM743" s="34"/>
      <c r="AN743" s="34"/>
      <c r="AO743" s="34"/>
      <c r="AP743" s="34"/>
      <c r="AQ743" s="34"/>
      <c r="AR743" s="34"/>
      <c r="AS743" s="34"/>
      <c r="AT743" s="34"/>
      <c r="AU743" s="34"/>
      <c r="AV743" s="34"/>
      <c r="AW743" s="34"/>
      <c r="AX743" s="34"/>
      <c r="AY743" s="34"/>
      <c r="AZ743" s="34"/>
      <c r="BA743" s="34"/>
      <c r="BB743" s="34"/>
      <c r="BD743" s="34"/>
      <c r="BE743" s="34"/>
      <c r="BF743" s="34"/>
      <c r="BG743" s="34"/>
      <c r="BH743" s="34"/>
      <c r="BI743" s="34"/>
      <c r="BJ743" s="34"/>
      <c r="BK743" s="34"/>
      <c r="BL743" s="34"/>
      <c r="BM743" s="34"/>
      <c r="BN743" s="34"/>
      <c r="BO743" s="34"/>
      <c r="BP743" s="34"/>
      <c r="BQ743" s="34"/>
      <c r="BR743" s="34"/>
      <c r="BS743" s="34"/>
      <c r="BT743" s="34"/>
      <c r="BU743" s="34"/>
      <c r="BV743" s="34"/>
      <c r="BW743" s="34"/>
      <c r="BX743" s="34"/>
      <c r="BY743" s="34"/>
    </row>
    <row r="744" spans="1:77" x14ac:dyDescent="0.3">
      <c r="A744" s="39"/>
      <c r="B744" s="42"/>
      <c r="C744" s="42"/>
      <c r="D744" s="75"/>
      <c r="E744" s="75"/>
      <c r="F744" s="76"/>
      <c r="G744" s="47"/>
      <c r="H744" s="47"/>
      <c r="I744" s="75"/>
      <c r="J744" s="76"/>
      <c r="K744" s="76"/>
      <c r="L744" s="75"/>
      <c r="M744" s="49"/>
      <c r="N744" s="76"/>
      <c r="O744" s="49"/>
      <c r="P744" s="77"/>
      <c r="Q744" s="53"/>
      <c r="R744" s="54"/>
      <c r="S744" s="55"/>
      <c r="T744" s="56"/>
      <c r="U744" s="56"/>
      <c r="V744" s="42"/>
      <c r="W744" s="57"/>
      <c r="X744" s="58"/>
      <c r="Y744" s="75"/>
      <c r="Z744" s="59"/>
      <c r="AA744" s="61"/>
      <c r="AB744" s="61"/>
      <c r="AC744" s="61"/>
      <c r="AD744" s="62"/>
      <c r="AE744" s="62"/>
      <c r="AF744" s="34"/>
      <c r="AG744" s="34"/>
      <c r="AH744" s="34"/>
      <c r="AI744" s="34"/>
      <c r="AJ744" s="34"/>
      <c r="AK744" s="34"/>
      <c r="AL744" s="34"/>
      <c r="AM744" s="34"/>
      <c r="AN744" s="34"/>
      <c r="AO744" s="34"/>
      <c r="AP744" s="34"/>
      <c r="AQ744" s="34"/>
      <c r="AR744" s="34"/>
      <c r="AS744" s="34"/>
      <c r="AT744" s="34"/>
      <c r="AU744" s="34"/>
      <c r="AV744" s="34"/>
      <c r="AW744" s="34"/>
      <c r="AX744" s="34"/>
      <c r="AY744" s="34"/>
      <c r="AZ744" s="34"/>
      <c r="BA744" s="34"/>
      <c r="BB744" s="34"/>
      <c r="BD744" s="34"/>
      <c r="BE744" s="34"/>
      <c r="BF744" s="34"/>
      <c r="BG744" s="34"/>
      <c r="BH744" s="34"/>
      <c r="BI744" s="34"/>
      <c r="BJ744" s="34"/>
      <c r="BK744" s="34"/>
      <c r="BL744" s="34"/>
      <c r="BM744" s="34"/>
      <c r="BN744" s="34"/>
      <c r="BO744" s="34"/>
      <c r="BP744" s="34"/>
      <c r="BQ744" s="34"/>
      <c r="BR744" s="34"/>
      <c r="BS744" s="34"/>
      <c r="BT744" s="34"/>
      <c r="BU744" s="34"/>
      <c r="BV744" s="34"/>
      <c r="BW744" s="34"/>
      <c r="BX744" s="34"/>
      <c r="BY744" s="34"/>
    </row>
    <row r="745" spans="1:77" x14ac:dyDescent="0.3">
      <c r="A745" s="39"/>
      <c r="B745" s="42"/>
      <c r="C745" s="42"/>
      <c r="D745" s="75"/>
      <c r="E745" s="75"/>
      <c r="F745" s="76"/>
      <c r="G745" s="47"/>
      <c r="H745" s="47"/>
      <c r="I745" s="75"/>
      <c r="J745" s="76"/>
      <c r="K745" s="76"/>
      <c r="L745" s="75"/>
      <c r="M745" s="49"/>
      <c r="N745" s="76"/>
      <c r="O745" s="49"/>
      <c r="P745" s="77"/>
      <c r="Q745" s="53"/>
      <c r="R745" s="54"/>
      <c r="S745" s="55"/>
      <c r="T745" s="56"/>
      <c r="U745" s="56"/>
      <c r="V745" s="42"/>
      <c r="W745" s="57"/>
      <c r="X745" s="58"/>
      <c r="Y745" s="75"/>
      <c r="Z745" s="59"/>
      <c r="AA745" s="61"/>
      <c r="AB745" s="61"/>
      <c r="AC745" s="61"/>
      <c r="AD745" s="62"/>
      <c r="AE745" s="62"/>
      <c r="AF745" s="34"/>
      <c r="AG745" s="34"/>
      <c r="AH745" s="34"/>
      <c r="AI745" s="34"/>
      <c r="AJ745" s="34"/>
      <c r="AK745" s="34"/>
      <c r="AL745" s="34"/>
      <c r="AM745" s="34"/>
      <c r="AN745" s="34"/>
      <c r="AO745" s="34"/>
      <c r="AP745" s="34"/>
      <c r="AQ745" s="34"/>
      <c r="AR745" s="34"/>
      <c r="AS745" s="34"/>
      <c r="AT745" s="34"/>
      <c r="AU745" s="34"/>
      <c r="AV745" s="34"/>
      <c r="AW745" s="34"/>
      <c r="AX745" s="34"/>
      <c r="AY745" s="34"/>
      <c r="AZ745" s="34"/>
      <c r="BA745" s="34"/>
      <c r="BB745" s="34"/>
      <c r="BD745" s="34"/>
      <c r="BE745" s="34"/>
      <c r="BF745" s="34"/>
      <c r="BG745" s="34"/>
      <c r="BH745" s="34"/>
      <c r="BI745" s="34"/>
      <c r="BJ745" s="34"/>
      <c r="BK745" s="34"/>
      <c r="BL745" s="34"/>
      <c r="BM745" s="34"/>
      <c r="BN745" s="34"/>
      <c r="BO745" s="34"/>
      <c r="BP745" s="34"/>
      <c r="BQ745" s="34"/>
      <c r="BR745" s="34"/>
      <c r="BS745" s="34"/>
      <c r="BT745" s="34"/>
      <c r="BU745" s="34"/>
      <c r="BV745" s="34"/>
      <c r="BW745" s="34"/>
      <c r="BX745" s="34"/>
      <c r="BY745" s="34"/>
    </row>
    <row r="746" spans="1:77" x14ac:dyDescent="0.3">
      <c r="A746" s="39"/>
      <c r="B746" s="42"/>
      <c r="C746" s="42"/>
      <c r="D746" s="75"/>
      <c r="E746" s="75"/>
      <c r="F746" s="76"/>
      <c r="G746" s="47"/>
      <c r="H746" s="47"/>
      <c r="I746" s="75"/>
      <c r="J746" s="76"/>
      <c r="K746" s="76"/>
      <c r="L746" s="75"/>
      <c r="M746" s="49"/>
      <c r="N746" s="76"/>
      <c r="O746" s="49"/>
      <c r="P746" s="77"/>
      <c r="Q746" s="53"/>
      <c r="R746" s="54"/>
      <c r="S746" s="55"/>
      <c r="T746" s="56"/>
      <c r="U746" s="56"/>
      <c r="V746" s="42"/>
      <c r="W746" s="57"/>
      <c r="X746" s="58"/>
      <c r="Y746" s="75"/>
      <c r="Z746" s="59"/>
      <c r="AA746" s="61"/>
      <c r="AB746" s="61"/>
      <c r="AC746" s="61"/>
      <c r="AD746" s="62"/>
      <c r="AE746" s="62"/>
      <c r="AF746" s="34"/>
      <c r="AG746" s="34"/>
      <c r="AH746" s="34"/>
      <c r="AI746" s="34"/>
      <c r="AJ746" s="34"/>
      <c r="AK746" s="34"/>
      <c r="AL746" s="34"/>
      <c r="AM746" s="34"/>
      <c r="AN746" s="34"/>
      <c r="AO746" s="34"/>
      <c r="AP746" s="34"/>
      <c r="AQ746" s="34"/>
      <c r="AR746" s="34"/>
      <c r="AS746" s="34"/>
      <c r="AT746" s="34"/>
      <c r="AU746" s="34"/>
      <c r="AV746" s="34"/>
      <c r="AW746" s="34"/>
      <c r="AX746" s="34"/>
      <c r="AY746" s="34"/>
      <c r="AZ746" s="34"/>
      <c r="BA746" s="34"/>
      <c r="BB746" s="34"/>
      <c r="BD746" s="34"/>
      <c r="BE746" s="34"/>
      <c r="BF746" s="34"/>
      <c r="BG746" s="34"/>
      <c r="BH746" s="34"/>
      <c r="BI746" s="34"/>
      <c r="BJ746" s="34"/>
      <c r="BK746" s="34"/>
      <c r="BL746" s="34"/>
      <c r="BM746" s="34"/>
      <c r="BN746" s="34"/>
      <c r="BO746" s="34"/>
      <c r="BP746" s="34"/>
      <c r="BQ746" s="34"/>
      <c r="BR746" s="34"/>
      <c r="BS746" s="34"/>
      <c r="BT746" s="34"/>
      <c r="BU746" s="34"/>
      <c r="BV746" s="34"/>
      <c r="BW746" s="34"/>
      <c r="BX746" s="34"/>
      <c r="BY746" s="34"/>
    </row>
    <row r="747" spans="1:77" x14ac:dyDescent="0.3">
      <c r="A747" s="39"/>
      <c r="B747" s="42"/>
      <c r="C747" s="42"/>
      <c r="D747" s="75"/>
      <c r="E747" s="75"/>
      <c r="F747" s="76"/>
      <c r="G747" s="47"/>
      <c r="H747" s="47"/>
      <c r="I747" s="75"/>
      <c r="J747" s="76"/>
      <c r="K747" s="76"/>
      <c r="L747" s="75"/>
      <c r="M747" s="49"/>
      <c r="N747" s="76"/>
      <c r="O747" s="49"/>
      <c r="P747" s="77"/>
      <c r="Q747" s="53"/>
      <c r="R747" s="54"/>
      <c r="S747" s="55"/>
      <c r="T747" s="56"/>
      <c r="U747" s="56"/>
      <c r="V747" s="42"/>
      <c r="W747" s="57"/>
      <c r="X747" s="58"/>
      <c r="Y747" s="75"/>
      <c r="Z747" s="59"/>
      <c r="AA747" s="61"/>
      <c r="AB747" s="61"/>
      <c r="AC747" s="61"/>
      <c r="AD747" s="62"/>
      <c r="AE747" s="62"/>
      <c r="AF747" s="34"/>
      <c r="AG747" s="34"/>
      <c r="AH747" s="34"/>
      <c r="AI747" s="34"/>
      <c r="AJ747" s="34"/>
      <c r="AK747" s="34"/>
      <c r="AL747" s="34"/>
      <c r="AM747" s="34"/>
      <c r="AN747" s="34"/>
      <c r="AO747" s="34"/>
      <c r="AP747" s="34"/>
      <c r="AQ747" s="34"/>
      <c r="AR747" s="34"/>
      <c r="AS747" s="34"/>
      <c r="AT747" s="34"/>
      <c r="AU747" s="34"/>
      <c r="AV747" s="34"/>
      <c r="AW747" s="34"/>
      <c r="AX747" s="34"/>
      <c r="AY747" s="34"/>
      <c r="AZ747" s="34"/>
      <c r="BA747" s="34"/>
      <c r="BB747" s="34"/>
      <c r="BD747" s="34"/>
      <c r="BE747" s="34"/>
      <c r="BF747" s="34"/>
      <c r="BG747" s="34"/>
      <c r="BH747" s="34"/>
      <c r="BI747" s="34"/>
      <c r="BJ747" s="34"/>
      <c r="BK747" s="34"/>
      <c r="BL747" s="34"/>
      <c r="BM747" s="34"/>
      <c r="BN747" s="34"/>
      <c r="BO747" s="34"/>
      <c r="BP747" s="34"/>
      <c r="BQ747" s="34"/>
      <c r="BR747" s="34"/>
      <c r="BS747" s="34"/>
      <c r="BT747" s="34"/>
      <c r="BU747" s="34"/>
      <c r="BV747" s="34"/>
      <c r="BW747" s="34"/>
      <c r="BX747" s="34"/>
      <c r="BY747" s="34"/>
    </row>
    <row r="748" spans="1:77" x14ac:dyDescent="0.3">
      <c r="A748" s="39"/>
      <c r="B748" s="42"/>
      <c r="C748" s="42"/>
      <c r="D748" s="75"/>
      <c r="E748" s="75"/>
      <c r="F748" s="76"/>
      <c r="G748" s="47"/>
      <c r="H748" s="47"/>
      <c r="I748" s="75"/>
      <c r="J748" s="76"/>
      <c r="K748" s="76"/>
      <c r="L748" s="75"/>
      <c r="M748" s="49"/>
      <c r="N748" s="76"/>
      <c r="O748" s="49"/>
      <c r="P748" s="77"/>
      <c r="Q748" s="53"/>
      <c r="R748" s="54"/>
      <c r="S748" s="55"/>
      <c r="T748" s="56"/>
      <c r="U748" s="56"/>
      <c r="V748" s="42"/>
      <c r="W748" s="57"/>
      <c r="X748" s="58"/>
      <c r="Y748" s="75"/>
      <c r="Z748" s="59"/>
      <c r="AA748" s="61"/>
      <c r="AB748" s="61"/>
      <c r="AC748" s="61"/>
      <c r="AD748" s="62"/>
      <c r="AE748" s="62"/>
      <c r="AF748" s="34"/>
      <c r="AG748" s="34"/>
      <c r="AH748" s="34"/>
      <c r="AI748" s="34"/>
      <c r="AJ748" s="34"/>
      <c r="AK748" s="34"/>
      <c r="AL748" s="34"/>
      <c r="AM748" s="34"/>
      <c r="AN748" s="34"/>
      <c r="AO748" s="34"/>
      <c r="AP748" s="34"/>
      <c r="AQ748" s="34"/>
      <c r="AR748" s="34"/>
      <c r="AS748" s="34"/>
      <c r="AT748" s="34"/>
      <c r="AU748" s="34"/>
      <c r="AV748" s="34"/>
      <c r="AW748" s="34"/>
      <c r="AX748" s="34"/>
      <c r="AY748" s="34"/>
      <c r="AZ748" s="34"/>
      <c r="BA748" s="34"/>
      <c r="BB748" s="34"/>
      <c r="BD748" s="34"/>
      <c r="BE748" s="34"/>
      <c r="BF748" s="34"/>
      <c r="BG748" s="34"/>
      <c r="BH748" s="34"/>
      <c r="BI748" s="34"/>
      <c r="BJ748" s="34"/>
      <c r="BK748" s="34"/>
      <c r="BL748" s="34"/>
      <c r="BM748" s="34"/>
      <c r="BN748" s="34"/>
      <c r="BO748" s="34"/>
      <c r="BP748" s="34"/>
      <c r="BQ748" s="34"/>
      <c r="BR748" s="34"/>
      <c r="BS748" s="34"/>
      <c r="BT748" s="34"/>
      <c r="BU748" s="34"/>
      <c r="BV748" s="34"/>
      <c r="BW748" s="34"/>
      <c r="BX748" s="34"/>
      <c r="BY748" s="34"/>
    </row>
    <row r="749" spans="1:77" x14ac:dyDescent="0.3">
      <c r="A749" s="39"/>
      <c r="B749" s="42"/>
      <c r="C749" s="42"/>
      <c r="D749" s="75"/>
      <c r="E749" s="75"/>
      <c r="F749" s="76"/>
      <c r="G749" s="47"/>
      <c r="H749" s="47"/>
      <c r="I749" s="75"/>
      <c r="J749" s="76"/>
      <c r="K749" s="76"/>
      <c r="L749" s="75"/>
      <c r="M749" s="49"/>
      <c r="N749" s="76"/>
      <c r="O749" s="49"/>
      <c r="P749" s="77"/>
      <c r="Q749" s="53"/>
      <c r="R749" s="54"/>
      <c r="S749" s="55"/>
      <c r="T749" s="56"/>
      <c r="U749" s="56"/>
      <c r="V749" s="42"/>
      <c r="W749" s="57"/>
      <c r="X749" s="58"/>
      <c r="Y749" s="75"/>
      <c r="Z749" s="59"/>
      <c r="AA749" s="61"/>
      <c r="AB749" s="61"/>
      <c r="AC749" s="61"/>
      <c r="AD749" s="62"/>
      <c r="AE749" s="62"/>
      <c r="AF749" s="34"/>
      <c r="AG749" s="34"/>
      <c r="AH749" s="34"/>
      <c r="AI749" s="34"/>
      <c r="AJ749" s="34"/>
      <c r="AK749" s="34"/>
      <c r="AL749" s="34"/>
      <c r="AM749" s="34"/>
      <c r="AN749" s="34"/>
      <c r="AO749" s="34"/>
      <c r="AP749" s="34"/>
      <c r="AQ749" s="34"/>
      <c r="AR749" s="34"/>
      <c r="AS749" s="34"/>
      <c r="AT749" s="34"/>
      <c r="AU749" s="34"/>
      <c r="AV749" s="34"/>
      <c r="AW749" s="34"/>
      <c r="AX749" s="34"/>
      <c r="AY749" s="34"/>
      <c r="AZ749" s="34"/>
      <c r="BA749" s="34"/>
      <c r="BB749" s="34"/>
      <c r="BD749" s="34"/>
      <c r="BE749" s="34"/>
      <c r="BF749" s="34"/>
      <c r="BG749" s="34"/>
      <c r="BH749" s="34"/>
      <c r="BI749" s="34"/>
      <c r="BJ749" s="34"/>
      <c r="BK749" s="34"/>
      <c r="BL749" s="34"/>
      <c r="BM749" s="34"/>
      <c r="BN749" s="34"/>
      <c r="BO749" s="34"/>
      <c r="BP749" s="34"/>
      <c r="BQ749" s="34"/>
      <c r="BR749" s="34"/>
      <c r="BS749" s="34"/>
      <c r="BT749" s="34"/>
      <c r="BU749" s="34"/>
      <c r="BV749" s="34"/>
      <c r="BW749" s="34"/>
      <c r="BX749" s="34"/>
      <c r="BY749" s="34"/>
    </row>
    <row r="750" spans="1:77" x14ac:dyDescent="0.3">
      <c r="A750" s="39"/>
      <c r="B750" s="42"/>
      <c r="C750" s="42"/>
      <c r="D750" s="75"/>
      <c r="E750" s="75"/>
      <c r="F750" s="76"/>
      <c r="G750" s="47"/>
      <c r="H750" s="47"/>
      <c r="I750" s="75"/>
      <c r="J750" s="76"/>
      <c r="K750" s="76"/>
      <c r="L750" s="75"/>
      <c r="M750" s="49"/>
      <c r="N750" s="76"/>
      <c r="O750" s="49"/>
      <c r="P750" s="77"/>
      <c r="Q750" s="53"/>
      <c r="R750" s="54"/>
      <c r="S750" s="55"/>
      <c r="T750" s="56"/>
      <c r="U750" s="56"/>
      <c r="V750" s="42"/>
      <c r="W750" s="57"/>
      <c r="X750" s="58"/>
      <c r="Y750" s="75"/>
      <c r="Z750" s="59"/>
      <c r="AA750" s="61"/>
      <c r="AB750" s="61"/>
      <c r="AC750" s="61"/>
      <c r="AD750" s="62"/>
      <c r="AE750" s="62"/>
      <c r="AF750" s="34"/>
      <c r="AG750" s="34"/>
      <c r="AH750" s="34"/>
      <c r="AI750" s="34"/>
      <c r="AJ750" s="34"/>
      <c r="AK750" s="34"/>
      <c r="AL750" s="34"/>
      <c r="AM750" s="34"/>
      <c r="AN750" s="34"/>
      <c r="AO750" s="34"/>
      <c r="AP750" s="34"/>
      <c r="AQ750" s="34"/>
      <c r="AR750" s="34"/>
      <c r="AS750" s="34"/>
      <c r="AT750" s="34"/>
      <c r="AU750" s="34"/>
      <c r="AV750" s="34"/>
      <c r="AW750" s="34"/>
      <c r="AX750" s="34"/>
      <c r="AY750" s="34"/>
      <c r="AZ750" s="34"/>
      <c r="BA750" s="34"/>
      <c r="BB750" s="34"/>
      <c r="BD750" s="34"/>
      <c r="BE750" s="34"/>
      <c r="BF750" s="34"/>
      <c r="BG750" s="34"/>
      <c r="BH750" s="34"/>
      <c r="BI750" s="34"/>
      <c r="BJ750" s="34"/>
      <c r="BK750" s="34"/>
      <c r="BL750" s="34"/>
      <c r="BM750" s="34"/>
      <c r="BN750" s="34"/>
      <c r="BO750" s="34"/>
      <c r="BP750" s="34"/>
      <c r="BQ750" s="34"/>
      <c r="BR750" s="34"/>
      <c r="BS750" s="34"/>
      <c r="BT750" s="34"/>
      <c r="BU750" s="34"/>
      <c r="BV750" s="34"/>
      <c r="BW750" s="34"/>
      <c r="BX750" s="34"/>
      <c r="BY750" s="34"/>
    </row>
    <row r="751" spans="1:77" x14ac:dyDescent="0.3">
      <c r="A751" s="39"/>
      <c r="B751" s="42"/>
      <c r="C751" s="42"/>
      <c r="D751" s="75"/>
      <c r="E751" s="75"/>
      <c r="F751" s="76"/>
      <c r="G751" s="47"/>
      <c r="H751" s="47"/>
      <c r="I751" s="75"/>
      <c r="J751" s="76"/>
      <c r="K751" s="76"/>
      <c r="L751" s="75"/>
      <c r="M751" s="49"/>
      <c r="N751" s="76"/>
      <c r="O751" s="49"/>
      <c r="P751" s="77"/>
      <c r="Q751" s="53"/>
      <c r="R751" s="54"/>
      <c r="S751" s="55"/>
      <c r="T751" s="56"/>
      <c r="U751" s="56"/>
      <c r="V751" s="42"/>
      <c r="W751" s="57"/>
      <c r="X751" s="58"/>
      <c r="Y751" s="75"/>
      <c r="Z751" s="59"/>
      <c r="AA751" s="61"/>
      <c r="AB751" s="61"/>
      <c r="AC751" s="61"/>
      <c r="AD751" s="62"/>
      <c r="AE751" s="62"/>
      <c r="AF751" s="34"/>
      <c r="AG751" s="34"/>
      <c r="AH751" s="34"/>
      <c r="AI751" s="34"/>
      <c r="AJ751" s="34"/>
      <c r="AK751" s="34"/>
      <c r="AL751" s="34"/>
      <c r="AM751" s="34"/>
      <c r="AN751" s="34"/>
      <c r="AO751" s="34"/>
      <c r="AP751" s="34"/>
      <c r="AQ751" s="34"/>
      <c r="AR751" s="34"/>
      <c r="AS751" s="34"/>
      <c r="AT751" s="34"/>
      <c r="AU751" s="34"/>
      <c r="AV751" s="34"/>
      <c r="AW751" s="34"/>
      <c r="AX751" s="34"/>
      <c r="AY751" s="34"/>
      <c r="AZ751" s="34"/>
      <c r="BA751" s="34"/>
      <c r="BB751" s="34"/>
      <c r="BD751" s="34"/>
      <c r="BE751" s="34"/>
      <c r="BF751" s="34"/>
      <c r="BG751" s="34"/>
      <c r="BH751" s="34"/>
      <c r="BI751" s="34"/>
      <c r="BJ751" s="34"/>
      <c r="BK751" s="34"/>
      <c r="BL751" s="34"/>
      <c r="BM751" s="34"/>
      <c r="BN751" s="34"/>
      <c r="BO751" s="34"/>
      <c r="BP751" s="34"/>
      <c r="BQ751" s="34"/>
      <c r="BR751" s="34"/>
      <c r="BS751" s="34"/>
      <c r="BT751" s="34"/>
      <c r="BU751" s="34"/>
      <c r="BV751" s="34"/>
      <c r="BW751" s="34"/>
      <c r="BX751" s="34"/>
      <c r="BY751" s="34"/>
    </row>
    <row r="752" spans="1:77" x14ac:dyDescent="0.3">
      <c r="A752" s="39"/>
      <c r="B752" s="42"/>
      <c r="C752" s="42"/>
      <c r="D752" s="75"/>
      <c r="E752" s="75"/>
      <c r="F752" s="76"/>
      <c r="G752" s="47"/>
      <c r="H752" s="47"/>
      <c r="I752" s="75"/>
      <c r="J752" s="76"/>
      <c r="K752" s="76"/>
      <c r="L752" s="75"/>
      <c r="M752" s="49"/>
      <c r="N752" s="76"/>
      <c r="O752" s="49"/>
      <c r="P752" s="77"/>
      <c r="Q752" s="53"/>
      <c r="R752" s="54"/>
      <c r="S752" s="55"/>
      <c r="T752" s="56"/>
      <c r="U752" s="56"/>
      <c r="V752" s="42"/>
      <c r="W752" s="57"/>
      <c r="X752" s="58"/>
      <c r="Y752" s="75"/>
      <c r="Z752" s="59"/>
      <c r="AA752" s="61"/>
      <c r="AB752" s="61"/>
      <c r="AC752" s="61"/>
      <c r="AD752" s="62"/>
      <c r="AE752" s="62"/>
      <c r="AF752" s="34"/>
      <c r="AG752" s="34"/>
      <c r="AH752" s="34"/>
      <c r="AI752" s="34"/>
      <c r="AJ752" s="34"/>
      <c r="AK752" s="34"/>
      <c r="AL752" s="34"/>
      <c r="AM752" s="34"/>
      <c r="AN752" s="34"/>
      <c r="AO752" s="34"/>
      <c r="AP752" s="34"/>
      <c r="AQ752" s="34"/>
      <c r="AR752" s="34"/>
      <c r="AS752" s="34"/>
      <c r="AT752" s="34"/>
      <c r="AU752" s="34"/>
      <c r="AV752" s="34"/>
      <c r="AW752" s="34"/>
      <c r="AX752" s="34"/>
      <c r="AY752" s="34"/>
      <c r="AZ752" s="34"/>
      <c r="BA752" s="34"/>
      <c r="BB752" s="34"/>
      <c r="BD752" s="34"/>
      <c r="BE752" s="34"/>
      <c r="BF752" s="34"/>
      <c r="BG752" s="34"/>
      <c r="BH752" s="34"/>
      <c r="BI752" s="34"/>
      <c r="BJ752" s="34"/>
      <c r="BK752" s="34"/>
      <c r="BL752" s="34"/>
      <c r="BM752" s="34"/>
      <c r="BN752" s="34"/>
      <c r="BO752" s="34"/>
      <c r="BP752" s="34"/>
      <c r="BQ752" s="34"/>
      <c r="BR752" s="34"/>
      <c r="BS752" s="34"/>
      <c r="BT752" s="34"/>
      <c r="BU752" s="34"/>
      <c r="BV752" s="34"/>
      <c r="BW752" s="34"/>
      <c r="BX752" s="34"/>
      <c r="BY752" s="34"/>
    </row>
    <row r="753" spans="1:77" x14ac:dyDescent="0.3">
      <c r="A753" s="39"/>
      <c r="B753" s="42"/>
      <c r="C753" s="42"/>
      <c r="D753" s="75"/>
      <c r="E753" s="75"/>
      <c r="F753" s="76"/>
      <c r="G753" s="47"/>
      <c r="H753" s="47"/>
      <c r="I753" s="75"/>
      <c r="J753" s="76"/>
      <c r="K753" s="76"/>
      <c r="L753" s="75"/>
      <c r="M753" s="49"/>
      <c r="N753" s="76"/>
      <c r="O753" s="49"/>
      <c r="P753" s="77"/>
      <c r="Q753" s="53"/>
      <c r="R753" s="54"/>
      <c r="S753" s="55"/>
      <c r="T753" s="56"/>
      <c r="U753" s="56"/>
      <c r="V753" s="42"/>
      <c r="W753" s="57"/>
      <c r="X753" s="58"/>
      <c r="Y753" s="75"/>
      <c r="Z753" s="59"/>
      <c r="AA753" s="61"/>
      <c r="AB753" s="61"/>
      <c r="AC753" s="61"/>
      <c r="AD753" s="62"/>
      <c r="AE753" s="62"/>
      <c r="AF753" s="34"/>
      <c r="AG753" s="34"/>
      <c r="AH753" s="34"/>
      <c r="AI753" s="34"/>
      <c r="AJ753" s="34"/>
      <c r="AK753" s="34"/>
      <c r="AL753" s="34"/>
      <c r="AM753" s="34"/>
      <c r="AN753" s="34"/>
      <c r="AO753" s="34"/>
      <c r="AP753" s="34"/>
      <c r="AQ753" s="34"/>
      <c r="AR753" s="34"/>
      <c r="AS753" s="34"/>
      <c r="AT753" s="34"/>
      <c r="AU753" s="34"/>
      <c r="AV753" s="34"/>
      <c r="AW753" s="34"/>
      <c r="AX753" s="34"/>
      <c r="AY753" s="34"/>
      <c r="AZ753" s="34"/>
      <c r="BA753" s="34"/>
      <c r="BB753" s="34"/>
      <c r="BD753" s="34"/>
      <c r="BE753" s="34"/>
      <c r="BF753" s="34"/>
      <c r="BG753" s="34"/>
      <c r="BH753" s="34"/>
      <c r="BI753" s="34"/>
      <c r="BJ753" s="34"/>
      <c r="BK753" s="34"/>
      <c r="BL753" s="34"/>
      <c r="BM753" s="34"/>
      <c r="BN753" s="34"/>
      <c r="BO753" s="34"/>
      <c r="BP753" s="34"/>
      <c r="BQ753" s="34"/>
      <c r="BR753" s="34"/>
      <c r="BS753" s="34"/>
      <c r="BT753" s="34"/>
      <c r="BU753" s="34"/>
      <c r="BV753" s="34"/>
      <c r="BW753" s="34"/>
      <c r="BX753" s="34"/>
      <c r="BY753" s="34"/>
    </row>
    <row r="754" spans="1:77" x14ac:dyDescent="0.3">
      <c r="A754" s="39"/>
      <c r="B754" s="42"/>
      <c r="C754" s="42"/>
      <c r="D754" s="75"/>
      <c r="E754" s="75"/>
      <c r="F754" s="76"/>
      <c r="G754" s="47"/>
      <c r="H754" s="47"/>
      <c r="I754" s="75"/>
      <c r="J754" s="76"/>
      <c r="K754" s="76"/>
      <c r="L754" s="75"/>
      <c r="M754" s="49"/>
      <c r="N754" s="76"/>
      <c r="O754" s="49"/>
      <c r="P754" s="77"/>
      <c r="Q754" s="53"/>
      <c r="R754" s="54"/>
      <c r="S754" s="55"/>
      <c r="T754" s="56"/>
      <c r="U754" s="56"/>
      <c r="V754" s="42"/>
      <c r="W754" s="57"/>
      <c r="X754" s="58"/>
      <c r="Y754" s="75"/>
      <c r="Z754" s="59"/>
      <c r="AA754" s="61"/>
      <c r="AB754" s="61"/>
      <c r="AC754" s="61"/>
      <c r="AD754" s="62"/>
      <c r="AE754" s="62"/>
      <c r="AF754" s="34"/>
      <c r="AG754" s="34"/>
      <c r="AH754" s="34"/>
      <c r="AI754" s="34"/>
      <c r="AJ754" s="34"/>
      <c r="AK754" s="34"/>
      <c r="AL754" s="34"/>
      <c r="AM754" s="34"/>
      <c r="AN754" s="34"/>
      <c r="AO754" s="34"/>
      <c r="AP754" s="34"/>
      <c r="AQ754" s="34"/>
      <c r="AR754" s="34"/>
      <c r="AS754" s="34"/>
      <c r="AT754" s="34"/>
      <c r="AU754" s="34"/>
      <c r="AV754" s="34"/>
      <c r="AW754" s="34"/>
      <c r="AX754" s="34"/>
      <c r="AY754" s="34"/>
      <c r="AZ754" s="34"/>
      <c r="BA754" s="34"/>
      <c r="BB754" s="34"/>
      <c r="BD754" s="34"/>
      <c r="BE754" s="34"/>
      <c r="BF754" s="34"/>
      <c r="BG754" s="34"/>
      <c r="BH754" s="34"/>
      <c r="BI754" s="34"/>
      <c r="BJ754" s="34"/>
      <c r="BK754" s="34"/>
      <c r="BL754" s="34"/>
      <c r="BM754" s="34"/>
      <c r="BN754" s="34"/>
      <c r="BO754" s="34"/>
      <c r="BP754" s="34"/>
      <c r="BQ754" s="34"/>
      <c r="BR754" s="34"/>
      <c r="BS754" s="34"/>
      <c r="BT754" s="34"/>
      <c r="BU754" s="34"/>
      <c r="BV754" s="34"/>
      <c r="BW754" s="34"/>
      <c r="BX754" s="34"/>
      <c r="BY754" s="34"/>
    </row>
    <row r="755" spans="1:77" x14ac:dyDescent="0.3">
      <c r="A755" s="39"/>
      <c r="B755" s="42"/>
      <c r="C755" s="42"/>
      <c r="D755" s="75"/>
      <c r="E755" s="75"/>
      <c r="F755" s="76"/>
      <c r="G755" s="47"/>
      <c r="H755" s="47"/>
      <c r="I755" s="75"/>
      <c r="J755" s="76"/>
      <c r="K755" s="76"/>
      <c r="L755" s="75"/>
      <c r="M755" s="49"/>
      <c r="N755" s="76"/>
      <c r="O755" s="49"/>
      <c r="P755" s="77"/>
      <c r="Q755" s="53"/>
      <c r="R755" s="54"/>
      <c r="S755" s="55"/>
      <c r="T755" s="56"/>
      <c r="U755" s="56"/>
      <c r="V755" s="42"/>
      <c r="W755" s="57"/>
      <c r="X755" s="58"/>
      <c r="Y755" s="75"/>
      <c r="Z755" s="59"/>
      <c r="AA755" s="61"/>
      <c r="AB755" s="61"/>
      <c r="AC755" s="61"/>
      <c r="AD755" s="62"/>
      <c r="AE755" s="62"/>
      <c r="AF755" s="34"/>
      <c r="AG755" s="34"/>
      <c r="AH755" s="34"/>
      <c r="AI755" s="34"/>
      <c r="AJ755" s="34"/>
      <c r="AK755" s="34"/>
      <c r="AL755" s="34"/>
      <c r="AM755" s="34"/>
      <c r="AN755" s="34"/>
      <c r="AO755" s="34"/>
      <c r="AP755" s="34"/>
      <c r="AQ755" s="34"/>
      <c r="AR755" s="34"/>
      <c r="AS755" s="34"/>
      <c r="AT755" s="34"/>
      <c r="AU755" s="34"/>
      <c r="AV755" s="34"/>
      <c r="AW755" s="34"/>
      <c r="AX755" s="34"/>
      <c r="AY755" s="34"/>
      <c r="AZ755" s="34"/>
      <c r="BA755" s="34"/>
      <c r="BB755" s="34"/>
      <c r="BD755" s="34"/>
      <c r="BE755" s="34"/>
      <c r="BF755" s="34"/>
      <c r="BG755" s="34"/>
      <c r="BH755" s="34"/>
      <c r="BI755" s="34"/>
      <c r="BJ755" s="34"/>
      <c r="BK755" s="34"/>
      <c r="BL755" s="34"/>
      <c r="BM755" s="34"/>
      <c r="BN755" s="34"/>
      <c r="BO755" s="34"/>
      <c r="BP755" s="34"/>
      <c r="BQ755" s="34"/>
      <c r="BR755" s="34"/>
      <c r="BS755" s="34"/>
      <c r="BT755" s="34"/>
      <c r="BU755" s="34"/>
      <c r="BV755" s="34"/>
      <c r="BW755" s="34"/>
      <c r="BX755" s="34"/>
      <c r="BY755" s="34"/>
    </row>
    <row r="756" spans="1:77" x14ac:dyDescent="0.3">
      <c r="A756" s="39"/>
      <c r="B756" s="42"/>
      <c r="C756" s="42"/>
      <c r="D756" s="75"/>
      <c r="E756" s="75"/>
      <c r="F756" s="76"/>
      <c r="G756" s="47"/>
      <c r="H756" s="47"/>
      <c r="I756" s="75"/>
      <c r="J756" s="76"/>
      <c r="K756" s="76"/>
      <c r="L756" s="75"/>
      <c r="M756" s="49"/>
      <c r="N756" s="76"/>
      <c r="O756" s="49"/>
      <c r="P756" s="77"/>
      <c r="Q756" s="53"/>
      <c r="R756" s="54"/>
      <c r="S756" s="55"/>
      <c r="T756" s="56"/>
      <c r="U756" s="56"/>
      <c r="V756" s="42"/>
      <c r="W756" s="57"/>
      <c r="X756" s="58"/>
      <c r="Y756" s="75"/>
      <c r="Z756" s="59"/>
      <c r="AA756" s="61"/>
      <c r="AB756" s="61"/>
      <c r="AC756" s="61"/>
      <c r="AD756" s="62"/>
      <c r="AE756" s="62"/>
      <c r="AF756" s="34"/>
      <c r="AG756" s="34"/>
      <c r="AH756" s="34"/>
      <c r="AI756" s="34"/>
      <c r="AJ756" s="34"/>
      <c r="AK756" s="34"/>
      <c r="AL756" s="34"/>
      <c r="AM756" s="34"/>
      <c r="AN756" s="34"/>
      <c r="AO756" s="34"/>
      <c r="AP756" s="34"/>
      <c r="AQ756" s="34"/>
      <c r="AR756" s="34"/>
      <c r="AS756" s="34"/>
      <c r="AT756" s="34"/>
      <c r="AU756" s="34"/>
      <c r="AV756" s="34"/>
      <c r="AW756" s="34"/>
      <c r="AX756" s="34"/>
      <c r="AY756" s="34"/>
      <c r="AZ756" s="34"/>
      <c r="BA756" s="34"/>
      <c r="BB756" s="34"/>
      <c r="BD756" s="34"/>
      <c r="BE756" s="34"/>
      <c r="BF756" s="34"/>
      <c r="BG756" s="34"/>
      <c r="BH756" s="34"/>
      <c r="BI756" s="34"/>
      <c r="BJ756" s="34"/>
      <c r="BK756" s="34"/>
      <c r="BL756" s="34"/>
      <c r="BM756" s="34"/>
      <c r="BN756" s="34"/>
      <c r="BO756" s="34"/>
      <c r="BP756" s="34"/>
      <c r="BQ756" s="34"/>
      <c r="BR756" s="34"/>
      <c r="BS756" s="34"/>
      <c r="BT756" s="34"/>
      <c r="BU756" s="34"/>
      <c r="BV756" s="34"/>
      <c r="BW756" s="34"/>
      <c r="BX756" s="34"/>
      <c r="BY756" s="34"/>
    </row>
    <row r="757" spans="1:77" x14ac:dyDescent="0.3">
      <c r="A757" s="39"/>
      <c r="B757" s="42"/>
      <c r="C757" s="42"/>
      <c r="D757" s="75"/>
      <c r="E757" s="75"/>
      <c r="F757" s="76"/>
      <c r="G757" s="47"/>
      <c r="H757" s="47"/>
      <c r="I757" s="75"/>
      <c r="J757" s="76"/>
      <c r="K757" s="76"/>
      <c r="L757" s="75"/>
      <c r="M757" s="49"/>
      <c r="N757" s="76"/>
      <c r="O757" s="49"/>
      <c r="P757" s="77"/>
      <c r="Q757" s="53"/>
      <c r="R757" s="54"/>
      <c r="S757" s="55"/>
      <c r="T757" s="56"/>
      <c r="U757" s="56"/>
      <c r="V757" s="42"/>
      <c r="W757" s="57"/>
      <c r="X757" s="58"/>
      <c r="Y757" s="75"/>
      <c r="Z757" s="59"/>
      <c r="AA757" s="61"/>
      <c r="AB757" s="61"/>
      <c r="AC757" s="61"/>
      <c r="AD757" s="62"/>
      <c r="AE757" s="62"/>
      <c r="AF757" s="34"/>
      <c r="AG757" s="34"/>
      <c r="AH757" s="34"/>
      <c r="AI757" s="34"/>
      <c r="AJ757" s="34"/>
      <c r="AK757" s="34"/>
      <c r="AL757" s="34"/>
      <c r="AM757" s="34"/>
      <c r="AN757" s="34"/>
      <c r="AO757" s="34"/>
      <c r="AP757" s="34"/>
      <c r="AQ757" s="34"/>
      <c r="AR757" s="34"/>
      <c r="AS757" s="34"/>
      <c r="AT757" s="34"/>
      <c r="AU757" s="34"/>
      <c r="AV757" s="34"/>
      <c r="AW757" s="34"/>
      <c r="AX757" s="34"/>
      <c r="AY757" s="34"/>
      <c r="AZ757" s="34"/>
      <c r="BA757" s="34"/>
      <c r="BB757" s="34"/>
      <c r="BD757" s="34"/>
      <c r="BE757" s="34"/>
      <c r="BF757" s="34"/>
      <c r="BG757" s="34"/>
      <c r="BH757" s="34"/>
      <c r="BI757" s="34"/>
      <c r="BJ757" s="34"/>
      <c r="BK757" s="34"/>
      <c r="BL757" s="34"/>
      <c r="BM757" s="34"/>
      <c r="BN757" s="34"/>
      <c r="BO757" s="34"/>
      <c r="BP757" s="34"/>
      <c r="BQ757" s="34"/>
      <c r="BR757" s="34"/>
      <c r="BS757" s="34"/>
      <c r="BT757" s="34"/>
      <c r="BU757" s="34"/>
      <c r="BV757" s="34"/>
      <c r="BW757" s="34"/>
      <c r="BX757" s="34"/>
      <c r="BY757" s="34"/>
    </row>
    <row r="758" spans="1:77" x14ac:dyDescent="0.3">
      <c r="A758" s="39"/>
      <c r="B758" s="42"/>
      <c r="C758" s="42"/>
      <c r="D758" s="75"/>
      <c r="E758" s="75"/>
      <c r="F758" s="76"/>
      <c r="G758" s="47"/>
      <c r="H758" s="47"/>
      <c r="I758" s="75"/>
      <c r="J758" s="76"/>
      <c r="K758" s="76"/>
      <c r="L758" s="75"/>
      <c r="M758" s="49"/>
      <c r="N758" s="76"/>
      <c r="O758" s="49"/>
      <c r="P758" s="77"/>
      <c r="Q758" s="53"/>
      <c r="R758" s="54"/>
      <c r="S758" s="55"/>
      <c r="T758" s="56"/>
      <c r="U758" s="56"/>
      <c r="V758" s="42"/>
      <c r="W758" s="57"/>
      <c r="X758" s="58"/>
      <c r="Y758" s="75"/>
      <c r="Z758" s="59"/>
      <c r="AA758" s="61"/>
      <c r="AB758" s="61"/>
      <c r="AC758" s="61"/>
      <c r="AD758" s="62"/>
      <c r="AE758" s="62"/>
      <c r="AF758" s="34"/>
      <c r="AG758" s="34"/>
      <c r="AH758" s="34"/>
      <c r="AI758" s="34"/>
      <c r="AJ758" s="34"/>
      <c r="AK758" s="34"/>
      <c r="AL758" s="34"/>
      <c r="AM758" s="34"/>
      <c r="AN758" s="34"/>
      <c r="AO758" s="34"/>
      <c r="AP758" s="34"/>
      <c r="AQ758" s="34"/>
      <c r="AR758" s="34"/>
      <c r="AS758" s="34"/>
      <c r="AT758" s="34"/>
      <c r="AU758" s="34"/>
      <c r="AV758" s="34"/>
      <c r="AW758" s="34"/>
      <c r="AX758" s="34"/>
      <c r="AY758" s="34"/>
      <c r="AZ758" s="34"/>
      <c r="BA758" s="34"/>
      <c r="BB758" s="34"/>
      <c r="BD758" s="34"/>
      <c r="BE758" s="34"/>
      <c r="BF758" s="34"/>
      <c r="BG758" s="34"/>
      <c r="BH758" s="34"/>
      <c r="BI758" s="34"/>
      <c r="BJ758" s="34"/>
      <c r="BK758" s="34"/>
      <c r="BL758" s="34"/>
      <c r="BM758" s="34"/>
      <c r="BN758" s="34"/>
      <c r="BO758" s="34"/>
      <c r="BP758" s="34"/>
      <c r="BQ758" s="34"/>
      <c r="BR758" s="34"/>
      <c r="BS758" s="34"/>
      <c r="BT758" s="34"/>
      <c r="BU758" s="34"/>
      <c r="BV758" s="34"/>
      <c r="BW758" s="34"/>
      <c r="BX758" s="34"/>
      <c r="BY758" s="34"/>
    </row>
    <row r="759" spans="1:77" x14ac:dyDescent="0.3">
      <c r="A759" s="39"/>
      <c r="B759" s="42"/>
      <c r="C759" s="42"/>
      <c r="D759" s="75"/>
      <c r="E759" s="75"/>
      <c r="F759" s="76"/>
      <c r="G759" s="47"/>
      <c r="H759" s="47"/>
      <c r="I759" s="75"/>
      <c r="J759" s="76"/>
      <c r="K759" s="76"/>
      <c r="L759" s="75"/>
      <c r="M759" s="49"/>
      <c r="N759" s="76"/>
      <c r="O759" s="49"/>
      <c r="P759" s="77"/>
      <c r="Q759" s="53"/>
      <c r="R759" s="54"/>
      <c r="S759" s="55"/>
      <c r="T759" s="56"/>
      <c r="U759" s="56"/>
      <c r="V759" s="42"/>
      <c r="W759" s="57"/>
      <c r="X759" s="58"/>
      <c r="Y759" s="75"/>
      <c r="Z759" s="59"/>
      <c r="AA759" s="61"/>
      <c r="AB759" s="61"/>
      <c r="AC759" s="61"/>
      <c r="AD759" s="62"/>
      <c r="AE759" s="62"/>
      <c r="AF759" s="34"/>
      <c r="AG759" s="34"/>
      <c r="AH759" s="34"/>
      <c r="AI759" s="34"/>
      <c r="AJ759" s="34"/>
      <c r="AK759" s="34"/>
      <c r="AL759" s="34"/>
      <c r="AM759" s="34"/>
      <c r="AN759" s="34"/>
      <c r="AO759" s="34"/>
      <c r="AP759" s="34"/>
      <c r="AQ759" s="34"/>
      <c r="AR759" s="34"/>
      <c r="AS759" s="34"/>
      <c r="AT759" s="34"/>
      <c r="AU759" s="34"/>
      <c r="AV759" s="34"/>
      <c r="AW759" s="34"/>
      <c r="AX759" s="34"/>
      <c r="AY759" s="34"/>
      <c r="AZ759" s="34"/>
      <c r="BA759" s="34"/>
      <c r="BB759" s="34"/>
      <c r="BD759" s="34"/>
      <c r="BE759" s="34"/>
      <c r="BF759" s="34"/>
      <c r="BG759" s="34"/>
      <c r="BH759" s="34"/>
      <c r="BI759" s="34"/>
      <c r="BJ759" s="34"/>
      <c r="BK759" s="34"/>
      <c r="BL759" s="34"/>
      <c r="BM759" s="34"/>
      <c r="BN759" s="34"/>
      <c r="BO759" s="34"/>
      <c r="BP759" s="34"/>
      <c r="BQ759" s="34"/>
      <c r="BR759" s="34"/>
      <c r="BS759" s="34"/>
      <c r="BT759" s="34"/>
      <c r="BU759" s="34"/>
      <c r="BV759" s="34"/>
      <c r="BW759" s="34"/>
      <c r="BX759" s="34"/>
      <c r="BY759" s="34"/>
    </row>
    <row r="760" spans="1:77" x14ac:dyDescent="0.3">
      <c r="A760" s="39"/>
      <c r="B760" s="42"/>
      <c r="C760" s="42"/>
      <c r="D760" s="75"/>
      <c r="E760" s="75"/>
      <c r="F760" s="76"/>
      <c r="G760" s="47"/>
      <c r="H760" s="47"/>
      <c r="I760" s="75"/>
      <c r="J760" s="76"/>
      <c r="K760" s="76"/>
      <c r="L760" s="75"/>
      <c r="M760" s="49"/>
      <c r="N760" s="76"/>
      <c r="O760" s="49"/>
      <c r="P760" s="77"/>
      <c r="Q760" s="53"/>
      <c r="R760" s="54"/>
      <c r="S760" s="55"/>
      <c r="T760" s="56"/>
      <c r="U760" s="56"/>
      <c r="V760" s="42"/>
      <c r="W760" s="57"/>
      <c r="X760" s="58"/>
      <c r="Y760" s="75"/>
      <c r="Z760" s="59"/>
      <c r="AA760" s="61"/>
      <c r="AB760" s="61"/>
      <c r="AC760" s="61"/>
      <c r="AD760" s="62"/>
      <c r="AE760" s="62"/>
      <c r="AF760" s="34"/>
      <c r="AG760" s="34"/>
      <c r="AH760" s="34"/>
      <c r="AI760" s="34"/>
      <c r="AJ760" s="34"/>
      <c r="AK760" s="34"/>
      <c r="AL760" s="34"/>
      <c r="AM760" s="34"/>
      <c r="AN760" s="34"/>
      <c r="AO760" s="34"/>
      <c r="AP760" s="34"/>
      <c r="AQ760" s="34"/>
      <c r="AR760" s="34"/>
      <c r="AS760" s="34"/>
      <c r="AT760" s="34"/>
      <c r="AU760" s="34"/>
      <c r="AV760" s="34"/>
      <c r="AW760" s="34"/>
      <c r="AX760" s="34"/>
      <c r="AY760" s="34"/>
      <c r="AZ760" s="34"/>
      <c r="BA760" s="34"/>
      <c r="BB760" s="34"/>
      <c r="BD760" s="34"/>
      <c r="BE760" s="34"/>
      <c r="BF760" s="34"/>
      <c r="BG760" s="34"/>
      <c r="BH760" s="34"/>
      <c r="BI760" s="34"/>
      <c r="BJ760" s="34"/>
      <c r="BK760" s="34"/>
      <c r="BL760" s="34"/>
      <c r="BM760" s="34"/>
      <c r="BN760" s="34"/>
      <c r="BO760" s="34"/>
      <c r="BP760" s="34"/>
      <c r="BQ760" s="34"/>
      <c r="BR760" s="34"/>
      <c r="BS760" s="34"/>
      <c r="BT760" s="34"/>
      <c r="BU760" s="34"/>
      <c r="BV760" s="34"/>
      <c r="BW760" s="34"/>
      <c r="BX760" s="34"/>
      <c r="BY760" s="34"/>
    </row>
    <row r="761" spans="1:77" x14ac:dyDescent="0.3">
      <c r="A761" s="39"/>
      <c r="B761" s="42"/>
      <c r="C761" s="42"/>
      <c r="D761" s="75"/>
      <c r="E761" s="75"/>
      <c r="F761" s="76"/>
      <c r="G761" s="47"/>
      <c r="H761" s="47"/>
      <c r="I761" s="75"/>
      <c r="J761" s="76"/>
      <c r="K761" s="76"/>
      <c r="L761" s="75"/>
      <c r="M761" s="49"/>
      <c r="N761" s="76"/>
      <c r="O761" s="49"/>
      <c r="P761" s="77"/>
      <c r="Q761" s="53"/>
      <c r="R761" s="54"/>
      <c r="S761" s="55"/>
      <c r="T761" s="56"/>
      <c r="U761" s="56"/>
      <c r="V761" s="42"/>
      <c r="W761" s="57"/>
      <c r="X761" s="58"/>
      <c r="Y761" s="75"/>
      <c r="Z761" s="59"/>
      <c r="AA761" s="61"/>
      <c r="AB761" s="61"/>
      <c r="AC761" s="61"/>
      <c r="AD761" s="62"/>
      <c r="AE761" s="62"/>
      <c r="AF761" s="34"/>
      <c r="AG761" s="34"/>
      <c r="AH761" s="34"/>
      <c r="AI761" s="34"/>
      <c r="AJ761" s="34"/>
      <c r="AK761" s="34"/>
      <c r="AL761" s="34"/>
      <c r="AM761" s="34"/>
      <c r="AN761" s="34"/>
      <c r="AO761" s="34"/>
      <c r="AP761" s="34"/>
      <c r="AQ761" s="34"/>
      <c r="AR761" s="34"/>
      <c r="AS761" s="34"/>
      <c r="AT761" s="34"/>
      <c r="AU761" s="34"/>
      <c r="AV761" s="34"/>
      <c r="AW761" s="34"/>
      <c r="AX761" s="34"/>
      <c r="AY761" s="34"/>
      <c r="AZ761" s="34"/>
      <c r="BA761" s="34"/>
      <c r="BB761" s="34"/>
      <c r="BD761" s="34"/>
      <c r="BE761" s="34"/>
      <c r="BF761" s="34"/>
      <c r="BG761" s="34"/>
      <c r="BH761" s="34"/>
      <c r="BI761" s="34"/>
      <c r="BJ761" s="34"/>
      <c r="BK761" s="34"/>
      <c r="BL761" s="34"/>
      <c r="BM761" s="34"/>
      <c r="BN761" s="34"/>
      <c r="BO761" s="34"/>
      <c r="BP761" s="34"/>
      <c r="BQ761" s="34"/>
      <c r="BR761" s="34"/>
      <c r="BS761" s="34"/>
      <c r="BT761" s="34"/>
      <c r="BU761" s="34"/>
      <c r="BV761" s="34"/>
      <c r="BW761" s="34"/>
      <c r="BX761" s="34"/>
      <c r="BY761" s="34"/>
    </row>
    <row r="762" spans="1:77" x14ac:dyDescent="0.3">
      <c r="A762" s="39"/>
      <c r="B762" s="42"/>
      <c r="C762" s="42"/>
      <c r="D762" s="75"/>
      <c r="E762" s="75"/>
      <c r="F762" s="76"/>
      <c r="G762" s="47"/>
      <c r="H762" s="47"/>
      <c r="I762" s="75"/>
      <c r="J762" s="76"/>
      <c r="K762" s="76"/>
      <c r="L762" s="75"/>
      <c r="M762" s="49"/>
      <c r="N762" s="76"/>
      <c r="O762" s="49"/>
      <c r="P762" s="77"/>
      <c r="Q762" s="53"/>
      <c r="R762" s="54"/>
      <c r="S762" s="55"/>
      <c r="T762" s="56"/>
      <c r="U762" s="56"/>
      <c r="V762" s="42"/>
      <c r="W762" s="57"/>
      <c r="X762" s="58"/>
      <c r="Y762" s="75"/>
      <c r="Z762" s="59"/>
      <c r="AA762" s="61"/>
      <c r="AB762" s="61"/>
      <c r="AC762" s="61"/>
      <c r="AD762" s="62"/>
      <c r="AE762" s="62"/>
      <c r="AF762" s="34"/>
      <c r="AG762" s="34"/>
      <c r="AH762" s="34"/>
      <c r="AI762" s="34"/>
      <c r="AJ762" s="34"/>
      <c r="AK762" s="34"/>
      <c r="AL762" s="34"/>
      <c r="AM762" s="34"/>
      <c r="AN762" s="34"/>
      <c r="AO762" s="34"/>
      <c r="AP762" s="34"/>
      <c r="AQ762" s="34"/>
      <c r="AR762" s="34"/>
      <c r="AS762" s="34"/>
      <c r="AT762" s="34"/>
      <c r="AU762" s="34"/>
      <c r="AV762" s="34"/>
      <c r="AW762" s="34"/>
      <c r="AX762" s="34"/>
      <c r="AY762" s="34"/>
      <c r="AZ762" s="34"/>
      <c r="BA762" s="34"/>
      <c r="BB762" s="34"/>
      <c r="BD762" s="34"/>
      <c r="BE762" s="34"/>
      <c r="BF762" s="34"/>
      <c r="BG762" s="34"/>
      <c r="BH762" s="34"/>
      <c r="BI762" s="34"/>
      <c r="BJ762" s="34"/>
      <c r="BK762" s="34"/>
      <c r="BL762" s="34"/>
      <c r="BM762" s="34"/>
      <c r="BN762" s="34"/>
      <c r="BO762" s="34"/>
      <c r="BP762" s="34"/>
      <c r="BQ762" s="34"/>
      <c r="BR762" s="34"/>
      <c r="BS762" s="34"/>
      <c r="BT762" s="34"/>
      <c r="BU762" s="34"/>
      <c r="BV762" s="34"/>
      <c r="BW762" s="34"/>
      <c r="BX762" s="34"/>
      <c r="BY762" s="34"/>
    </row>
    <row r="763" spans="1:77" x14ac:dyDescent="0.3">
      <c r="A763" s="39"/>
      <c r="B763" s="42"/>
      <c r="C763" s="42"/>
      <c r="D763" s="75"/>
      <c r="E763" s="75"/>
      <c r="F763" s="76"/>
      <c r="G763" s="47"/>
      <c r="H763" s="47"/>
      <c r="I763" s="75"/>
      <c r="J763" s="76"/>
      <c r="K763" s="76"/>
      <c r="L763" s="75"/>
      <c r="M763" s="49"/>
      <c r="N763" s="76"/>
      <c r="O763" s="49"/>
      <c r="P763" s="77"/>
      <c r="Q763" s="53"/>
      <c r="R763" s="54"/>
      <c r="S763" s="55"/>
      <c r="T763" s="56"/>
      <c r="U763" s="56"/>
      <c r="V763" s="42"/>
      <c r="W763" s="57"/>
      <c r="X763" s="58"/>
      <c r="Y763" s="75"/>
      <c r="Z763" s="59"/>
      <c r="AA763" s="61"/>
      <c r="AB763" s="61"/>
      <c r="AC763" s="61"/>
      <c r="AD763" s="62"/>
      <c r="AE763" s="62"/>
      <c r="AF763" s="34"/>
      <c r="AG763" s="34"/>
      <c r="AH763" s="34"/>
      <c r="AI763" s="34"/>
      <c r="AJ763" s="34"/>
      <c r="AK763" s="34"/>
      <c r="AL763" s="34"/>
      <c r="AM763" s="34"/>
      <c r="AN763" s="34"/>
      <c r="AO763" s="34"/>
      <c r="AP763" s="34"/>
      <c r="AQ763" s="34"/>
      <c r="AR763" s="34"/>
      <c r="AS763" s="34"/>
      <c r="AT763" s="34"/>
      <c r="AU763" s="34"/>
      <c r="AV763" s="34"/>
      <c r="AW763" s="34"/>
      <c r="AX763" s="34"/>
      <c r="AY763" s="34"/>
      <c r="AZ763" s="34"/>
      <c r="BA763" s="34"/>
      <c r="BB763" s="34"/>
      <c r="BD763" s="34"/>
      <c r="BE763" s="34"/>
      <c r="BF763" s="34"/>
      <c r="BG763" s="34"/>
      <c r="BH763" s="34"/>
      <c r="BI763" s="34"/>
      <c r="BJ763" s="34"/>
      <c r="BK763" s="34"/>
      <c r="BL763" s="34"/>
      <c r="BM763" s="34"/>
      <c r="BN763" s="34"/>
      <c r="BO763" s="34"/>
      <c r="BP763" s="34"/>
      <c r="BQ763" s="34"/>
      <c r="BR763" s="34"/>
      <c r="BS763" s="34"/>
      <c r="BT763" s="34"/>
      <c r="BU763" s="34"/>
      <c r="BV763" s="34"/>
      <c r="BW763" s="34"/>
      <c r="BX763" s="34"/>
      <c r="BY763" s="34"/>
    </row>
    <row r="764" spans="1:77" x14ac:dyDescent="0.3">
      <c r="A764" s="39"/>
      <c r="B764" s="42"/>
      <c r="C764" s="42"/>
      <c r="D764" s="75"/>
      <c r="E764" s="75"/>
      <c r="F764" s="76"/>
      <c r="G764" s="47"/>
      <c r="H764" s="47"/>
      <c r="I764" s="75"/>
      <c r="J764" s="76"/>
      <c r="K764" s="76"/>
      <c r="L764" s="75"/>
      <c r="M764" s="49"/>
      <c r="N764" s="76"/>
      <c r="O764" s="49"/>
      <c r="P764" s="77"/>
      <c r="Q764" s="53"/>
      <c r="R764" s="54"/>
      <c r="S764" s="55"/>
      <c r="T764" s="56"/>
      <c r="U764" s="56"/>
      <c r="V764" s="42"/>
      <c r="W764" s="57"/>
      <c r="X764" s="58"/>
      <c r="Y764" s="75"/>
      <c r="Z764" s="59"/>
      <c r="AA764" s="61"/>
      <c r="AB764" s="61"/>
      <c r="AC764" s="61"/>
      <c r="AD764" s="62"/>
      <c r="AE764" s="62"/>
      <c r="AF764" s="34"/>
      <c r="AG764" s="34"/>
      <c r="AH764" s="34"/>
      <c r="AI764" s="34"/>
      <c r="AJ764" s="34"/>
      <c r="AK764" s="34"/>
      <c r="AL764" s="34"/>
      <c r="AM764" s="34"/>
      <c r="AN764" s="34"/>
      <c r="AO764" s="34"/>
      <c r="AP764" s="34"/>
      <c r="AQ764" s="34"/>
      <c r="AR764" s="34"/>
      <c r="AS764" s="34"/>
      <c r="AT764" s="34"/>
      <c r="AU764" s="34"/>
      <c r="AV764" s="34"/>
      <c r="AW764" s="34"/>
      <c r="AX764" s="34"/>
      <c r="AY764" s="34"/>
      <c r="AZ764" s="34"/>
      <c r="BA764" s="34"/>
      <c r="BB764" s="34"/>
      <c r="BD764" s="34"/>
      <c r="BE764" s="34"/>
      <c r="BF764" s="34"/>
      <c r="BG764" s="34"/>
      <c r="BH764" s="34"/>
      <c r="BI764" s="34"/>
      <c r="BJ764" s="34"/>
      <c r="BK764" s="34"/>
      <c r="BL764" s="34"/>
      <c r="BM764" s="34"/>
      <c r="BN764" s="34"/>
      <c r="BO764" s="34"/>
      <c r="BP764" s="34"/>
      <c r="BQ764" s="34"/>
      <c r="BR764" s="34"/>
      <c r="BS764" s="34"/>
      <c r="BT764" s="34"/>
      <c r="BU764" s="34"/>
      <c r="BV764" s="34"/>
      <c r="BW764" s="34"/>
      <c r="BX764" s="34"/>
      <c r="BY764" s="34"/>
    </row>
    <row r="765" spans="1:77" x14ac:dyDescent="0.3">
      <c r="A765" s="39"/>
      <c r="B765" s="42"/>
      <c r="C765" s="42"/>
      <c r="D765" s="75"/>
      <c r="E765" s="75"/>
      <c r="F765" s="76"/>
      <c r="G765" s="47"/>
      <c r="H765" s="47"/>
      <c r="I765" s="75"/>
      <c r="J765" s="76"/>
      <c r="K765" s="76"/>
      <c r="L765" s="75"/>
      <c r="M765" s="49"/>
      <c r="N765" s="76"/>
      <c r="O765" s="49"/>
      <c r="P765" s="77"/>
      <c r="Q765" s="53"/>
      <c r="R765" s="54"/>
      <c r="S765" s="55"/>
      <c r="T765" s="56"/>
      <c r="U765" s="56"/>
      <c r="V765" s="42"/>
      <c r="W765" s="57"/>
      <c r="X765" s="58"/>
      <c r="Y765" s="75"/>
      <c r="Z765" s="59"/>
      <c r="AA765" s="61"/>
      <c r="AB765" s="61"/>
      <c r="AC765" s="61"/>
      <c r="AD765" s="62"/>
      <c r="AE765" s="62"/>
      <c r="AF765" s="34"/>
      <c r="AG765" s="34"/>
      <c r="AH765" s="34"/>
      <c r="AI765" s="34"/>
      <c r="AJ765" s="34"/>
      <c r="AK765" s="34"/>
      <c r="AL765" s="34"/>
      <c r="AM765" s="34"/>
      <c r="AN765" s="34"/>
      <c r="AO765" s="34"/>
      <c r="AP765" s="34"/>
      <c r="AQ765" s="34"/>
      <c r="AR765" s="34"/>
      <c r="AS765" s="34"/>
      <c r="AT765" s="34"/>
      <c r="AU765" s="34"/>
      <c r="AV765" s="34"/>
      <c r="AW765" s="34"/>
      <c r="AX765" s="34"/>
      <c r="AY765" s="34"/>
      <c r="AZ765" s="34"/>
      <c r="BA765" s="34"/>
      <c r="BB765" s="34"/>
      <c r="BD765" s="34"/>
      <c r="BE765" s="34"/>
      <c r="BF765" s="34"/>
      <c r="BG765" s="34"/>
      <c r="BH765" s="34"/>
      <c r="BI765" s="34"/>
      <c r="BJ765" s="34"/>
      <c r="BK765" s="34"/>
      <c r="BL765" s="34"/>
      <c r="BM765" s="34"/>
      <c r="BN765" s="34"/>
      <c r="BO765" s="34"/>
      <c r="BP765" s="34"/>
      <c r="BQ765" s="34"/>
      <c r="BR765" s="34"/>
      <c r="BS765" s="34"/>
      <c r="BT765" s="34"/>
      <c r="BU765" s="34"/>
      <c r="BV765" s="34"/>
      <c r="BW765" s="34"/>
      <c r="BX765" s="34"/>
      <c r="BY765" s="34"/>
    </row>
    <row r="766" spans="1:77" x14ac:dyDescent="0.3">
      <c r="A766" s="39"/>
      <c r="B766" s="42"/>
      <c r="C766" s="42"/>
      <c r="D766" s="75"/>
      <c r="E766" s="75"/>
      <c r="F766" s="76"/>
      <c r="G766" s="47"/>
      <c r="H766" s="47"/>
      <c r="I766" s="75"/>
      <c r="J766" s="76"/>
      <c r="K766" s="76"/>
      <c r="L766" s="75"/>
      <c r="M766" s="49"/>
      <c r="N766" s="76"/>
      <c r="O766" s="49"/>
      <c r="P766" s="77"/>
      <c r="Q766" s="53"/>
      <c r="R766" s="54"/>
      <c r="S766" s="55"/>
      <c r="T766" s="56"/>
      <c r="U766" s="56"/>
      <c r="V766" s="42"/>
      <c r="W766" s="57"/>
      <c r="X766" s="58"/>
      <c r="Y766" s="75"/>
      <c r="Z766" s="59"/>
      <c r="AA766" s="61"/>
      <c r="AB766" s="61"/>
      <c r="AC766" s="61"/>
      <c r="AD766" s="62"/>
      <c r="AE766" s="62"/>
      <c r="AF766" s="34"/>
      <c r="AG766" s="34"/>
      <c r="AH766" s="34"/>
      <c r="AI766" s="34"/>
      <c r="AJ766" s="34"/>
      <c r="AK766" s="34"/>
      <c r="AL766" s="34"/>
      <c r="AM766" s="34"/>
      <c r="AN766" s="34"/>
      <c r="AO766" s="34"/>
      <c r="AP766" s="34"/>
      <c r="AQ766" s="34"/>
      <c r="AR766" s="34"/>
      <c r="AS766" s="34"/>
      <c r="AT766" s="34"/>
      <c r="AU766" s="34"/>
      <c r="AV766" s="34"/>
      <c r="AW766" s="34"/>
      <c r="AX766" s="34"/>
      <c r="AY766" s="34"/>
      <c r="AZ766" s="34"/>
      <c r="BA766" s="34"/>
      <c r="BB766" s="34"/>
      <c r="BD766" s="34"/>
      <c r="BE766" s="34"/>
      <c r="BF766" s="34"/>
      <c r="BG766" s="34"/>
      <c r="BH766" s="34"/>
      <c r="BI766" s="34"/>
      <c r="BJ766" s="34"/>
      <c r="BK766" s="34"/>
      <c r="BL766" s="34"/>
      <c r="BM766" s="34"/>
      <c r="BN766" s="34"/>
      <c r="BO766" s="34"/>
      <c r="BP766" s="34"/>
      <c r="BQ766" s="34"/>
      <c r="BR766" s="34"/>
      <c r="BS766" s="34"/>
      <c r="BT766" s="34"/>
      <c r="BU766" s="34"/>
      <c r="BV766" s="34"/>
      <c r="BW766" s="34"/>
      <c r="BX766" s="34"/>
      <c r="BY766" s="34"/>
    </row>
    <row r="767" spans="1:77" x14ac:dyDescent="0.3">
      <c r="A767" s="39"/>
      <c r="B767" s="42"/>
      <c r="C767" s="42"/>
      <c r="D767" s="75"/>
      <c r="E767" s="75"/>
      <c r="F767" s="76"/>
      <c r="G767" s="47"/>
      <c r="H767" s="47"/>
      <c r="I767" s="75"/>
      <c r="J767" s="76"/>
      <c r="K767" s="76"/>
      <c r="L767" s="75"/>
      <c r="M767" s="49"/>
      <c r="N767" s="76"/>
      <c r="O767" s="49"/>
      <c r="P767" s="77"/>
      <c r="Q767" s="53"/>
      <c r="R767" s="54"/>
      <c r="S767" s="55"/>
      <c r="T767" s="56"/>
      <c r="U767" s="56"/>
      <c r="V767" s="42"/>
      <c r="W767" s="57"/>
      <c r="X767" s="58"/>
      <c r="Y767" s="75"/>
      <c r="Z767" s="59"/>
      <c r="AA767" s="61"/>
      <c r="AB767" s="61"/>
      <c r="AC767" s="61"/>
      <c r="AD767" s="62"/>
      <c r="AE767" s="62"/>
      <c r="AF767" s="34"/>
      <c r="AG767" s="34"/>
      <c r="AH767" s="34"/>
      <c r="AI767" s="34"/>
      <c r="AJ767" s="34"/>
      <c r="AK767" s="34"/>
      <c r="AL767" s="34"/>
      <c r="AM767" s="34"/>
      <c r="AN767" s="34"/>
      <c r="AO767" s="34"/>
      <c r="AP767" s="34"/>
      <c r="AQ767" s="34"/>
      <c r="AR767" s="34"/>
      <c r="AS767" s="34"/>
      <c r="AT767" s="34"/>
      <c r="AU767" s="34"/>
      <c r="AV767" s="34"/>
      <c r="AW767" s="34"/>
      <c r="AX767" s="34"/>
      <c r="AY767" s="34"/>
      <c r="AZ767" s="34"/>
      <c r="BA767" s="34"/>
      <c r="BB767" s="34"/>
      <c r="BD767" s="34"/>
      <c r="BE767" s="34"/>
      <c r="BF767" s="34"/>
      <c r="BG767" s="34"/>
      <c r="BH767" s="34"/>
      <c r="BI767" s="34"/>
      <c r="BJ767" s="34"/>
      <c r="BK767" s="34"/>
      <c r="BL767" s="34"/>
      <c r="BM767" s="34"/>
      <c r="BN767" s="34"/>
      <c r="BO767" s="34"/>
      <c r="BP767" s="34"/>
      <c r="BQ767" s="34"/>
      <c r="BR767" s="34"/>
      <c r="BS767" s="34"/>
      <c r="BT767" s="34"/>
      <c r="BU767" s="34"/>
      <c r="BV767" s="34"/>
      <c r="BW767" s="34"/>
      <c r="BX767" s="34"/>
      <c r="BY767" s="34"/>
    </row>
    <row r="768" spans="1:77" x14ac:dyDescent="0.3">
      <c r="A768" s="39"/>
      <c r="B768" s="42"/>
      <c r="C768" s="42"/>
      <c r="D768" s="75"/>
      <c r="E768" s="75"/>
      <c r="F768" s="76"/>
      <c r="G768" s="47"/>
      <c r="H768" s="47"/>
      <c r="I768" s="75"/>
      <c r="J768" s="76"/>
      <c r="K768" s="76"/>
      <c r="L768" s="75"/>
      <c r="M768" s="49"/>
      <c r="N768" s="76"/>
      <c r="O768" s="49"/>
      <c r="P768" s="77"/>
      <c r="Q768" s="53"/>
      <c r="R768" s="54"/>
      <c r="S768" s="55"/>
      <c r="T768" s="56"/>
      <c r="U768" s="56"/>
      <c r="V768" s="42"/>
      <c r="W768" s="57"/>
      <c r="X768" s="58"/>
      <c r="Y768" s="75"/>
      <c r="Z768" s="59"/>
      <c r="AA768" s="61"/>
      <c r="AB768" s="61"/>
      <c r="AC768" s="61"/>
      <c r="AD768" s="62"/>
      <c r="AE768" s="62"/>
      <c r="AF768" s="34"/>
      <c r="AG768" s="34"/>
      <c r="AH768" s="34"/>
      <c r="AI768" s="34"/>
      <c r="AJ768" s="34"/>
      <c r="AK768" s="34"/>
      <c r="AL768" s="34"/>
      <c r="AM768" s="34"/>
      <c r="AN768" s="34"/>
      <c r="AO768" s="34"/>
      <c r="AP768" s="34"/>
      <c r="AQ768" s="34"/>
      <c r="AR768" s="34"/>
      <c r="AS768" s="34"/>
      <c r="AT768" s="34"/>
      <c r="AU768" s="34"/>
      <c r="AV768" s="34"/>
      <c r="AW768" s="34"/>
      <c r="AX768" s="34"/>
      <c r="AY768" s="34"/>
      <c r="AZ768" s="34"/>
      <c r="BA768" s="34"/>
      <c r="BB768" s="34"/>
      <c r="BD768" s="34"/>
      <c r="BE768" s="34"/>
      <c r="BF768" s="34"/>
      <c r="BG768" s="34"/>
      <c r="BH768" s="34"/>
      <c r="BI768" s="34"/>
      <c r="BJ768" s="34"/>
      <c r="BK768" s="34"/>
      <c r="BL768" s="34"/>
      <c r="BM768" s="34"/>
      <c r="BN768" s="34"/>
      <c r="BO768" s="34"/>
      <c r="BP768" s="34"/>
      <c r="BQ768" s="34"/>
      <c r="BR768" s="34"/>
      <c r="BS768" s="34"/>
      <c r="BT768" s="34"/>
      <c r="BU768" s="34"/>
      <c r="BV768" s="34"/>
      <c r="BW768" s="34"/>
      <c r="BX768" s="34"/>
      <c r="BY768" s="34"/>
    </row>
    <row r="769" spans="1:77" x14ac:dyDescent="0.3">
      <c r="A769" s="39"/>
      <c r="B769" s="42"/>
      <c r="C769" s="42"/>
      <c r="D769" s="75"/>
      <c r="E769" s="75"/>
      <c r="F769" s="76"/>
      <c r="G769" s="47"/>
      <c r="H769" s="47"/>
      <c r="I769" s="75"/>
      <c r="J769" s="76"/>
      <c r="K769" s="76"/>
      <c r="L769" s="75"/>
      <c r="M769" s="49"/>
      <c r="N769" s="76"/>
      <c r="O769" s="49"/>
      <c r="P769" s="77"/>
      <c r="Q769" s="53"/>
      <c r="R769" s="54"/>
      <c r="S769" s="55"/>
      <c r="T769" s="56"/>
      <c r="U769" s="56"/>
      <c r="V769" s="42"/>
      <c r="W769" s="57"/>
      <c r="X769" s="58"/>
      <c r="Y769" s="75"/>
      <c r="Z769" s="59"/>
      <c r="AA769" s="61"/>
      <c r="AB769" s="61"/>
      <c r="AC769" s="61"/>
      <c r="AD769" s="62"/>
      <c r="AE769" s="62"/>
      <c r="AF769" s="34"/>
      <c r="AG769" s="34"/>
      <c r="AH769" s="34"/>
      <c r="AI769" s="34"/>
      <c r="AJ769" s="34"/>
      <c r="AK769" s="34"/>
      <c r="AL769" s="34"/>
      <c r="AM769" s="34"/>
      <c r="AN769" s="34"/>
      <c r="AO769" s="34"/>
      <c r="AP769" s="34"/>
      <c r="AQ769" s="34"/>
      <c r="AR769" s="34"/>
      <c r="AS769" s="34"/>
      <c r="AT769" s="34"/>
      <c r="AU769" s="34"/>
      <c r="AV769" s="34"/>
      <c r="AW769" s="34"/>
      <c r="AX769" s="34"/>
      <c r="AY769" s="34"/>
      <c r="AZ769" s="34"/>
      <c r="BA769" s="34"/>
      <c r="BB769" s="34"/>
      <c r="BD769" s="34"/>
      <c r="BE769" s="34"/>
      <c r="BF769" s="34"/>
      <c r="BG769" s="34"/>
      <c r="BH769" s="34"/>
      <c r="BI769" s="34"/>
      <c r="BJ769" s="34"/>
      <c r="BK769" s="34"/>
      <c r="BL769" s="34"/>
      <c r="BM769" s="34"/>
      <c r="BN769" s="34"/>
      <c r="BO769" s="34"/>
      <c r="BP769" s="34"/>
      <c r="BQ769" s="34"/>
      <c r="BR769" s="34"/>
      <c r="BS769" s="34"/>
      <c r="BT769" s="34"/>
      <c r="BU769" s="34"/>
      <c r="BV769" s="34"/>
      <c r="BW769" s="34"/>
      <c r="BX769" s="34"/>
      <c r="BY769" s="34"/>
    </row>
    <row r="770" spans="1:77" x14ac:dyDescent="0.3">
      <c r="A770" s="39"/>
      <c r="B770" s="42"/>
      <c r="C770" s="42"/>
      <c r="D770" s="75"/>
      <c r="E770" s="75"/>
      <c r="F770" s="76"/>
      <c r="G770" s="47"/>
      <c r="H770" s="47"/>
      <c r="I770" s="75"/>
      <c r="J770" s="76"/>
      <c r="K770" s="76"/>
      <c r="L770" s="75"/>
      <c r="M770" s="49"/>
      <c r="N770" s="76"/>
      <c r="O770" s="49"/>
      <c r="P770" s="77"/>
      <c r="Q770" s="53"/>
      <c r="R770" s="54"/>
      <c r="S770" s="55"/>
      <c r="T770" s="56"/>
      <c r="U770" s="56"/>
      <c r="V770" s="42"/>
      <c r="W770" s="57"/>
      <c r="X770" s="58"/>
      <c r="Y770" s="75"/>
      <c r="Z770" s="59"/>
      <c r="AA770" s="61"/>
      <c r="AB770" s="61"/>
      <c r="AC770" s="61"/>
      <c r="AD770" s="62"/>
      <c r="AE770" s="62"/>
      <c r="AF770" s="34"/>
      <c r="AG770" s="34"/>
      <c r="AH770" s="34"/>
      <c r="AI770" s="34"/>
      <c r="AJ770" s="34"/>
      <c r="AK770" s="34"/>
      <c r="AL770" s="34"/>
      <c r="AM770" s="34"/>
      <c r="AN770" s="34"/>
      <c r="AO770" s="34"/>
      <c r="AP770" s="34"/>
      <c r="AQ770" s="34"/>
      <c r="AR770" s="34"/>
      <c r="AS770" s="34"/>
      <c r="AT770" s="34"/>
      <c r="AU770" s="34"/>
      <c r="AV770" s="34"/>
      <c r="AW770" s="34"/>
      <c r="AX770" s="34"/>
      <c r="AY770" s="34"/>
      <c r="AZ770" s="34"/>
      <c r="BA770" s="34"/>
      <c r="BB770" s="34"/>
      <c r="BD770" s="34"/>
      <c r="BE770" s="34"/>
      <c r="BF770" s="34"/>
      <c r="BG770" s="34"/>
      <c r="BH770" s="34"/>
      <c r="BI770" s="34"/>
      <c r="BJ770" s="34"/>
      <c r="BK770" s="34"/>
      <c r="BL770" s="34"/>
      <c r="BM770" s="34"/>
      <c r="BN770" s="34"/>
      <c r="BO770" s="34"/>
      <c r="BP770" s="34"/>
      <c r="BQ770" s="34"/>
      <c r="BR770" s="34"/>
      <c r="BS770" s="34"/>
      <c r="BT770" s="34"/>
      <c r="BU770" s="34"/>
      <c r="BV770" s="34"/>
      <c r="BW770" s="34"/>
      <c r="BX770" s="34"/>
      <c r="BY770" s="34"/>
    </row>
    <row r="771" spans="1:77" x14ac:dyDescent="0.3">
      <c r="A771" s="39"/>
      <c r="B771" s="42"/>
      <c r="C771" s="42"/>
      <c r="D771" s="75"/>
      <c r="E771" s="75"/>
      <c r="F771" s="76"/>
      <c r="G771" s="47"/>
      <c r="H771" s="47"/>
      <c r="I771" s="75"/>
      <c r="J771" s="76"/>
      <c r="K771" s="76"/>
      <c r="L771" s="75"/>
      <c r="M771" s="49"/>
      <c r="N771" s="76"/>
      <c r="O771" s="49"/>
      <c r="P771" s="77"/>
      <c r="Q771" s="53"/>
      <c r="R771" s="54"/>
      <c r="S771" s="55"/>
      <c r="T771" s="56"/>
      <c r="U771" s="56"/>
      <c r="V771" s="42"/>
      <c r="W771" s="57"/>
      <c r="X771" s="58"/>
      <c r="Y771" s="75"/>
      <c r="Z771" s="59"/>
      <c r="AA771" s="61"/>
      <c r="AB771" s="61"/>
      <c r="AC771" s="61"/>
      <c r="AD771" s="62"/>
      <c r="AE771" s="62"/>
      <c r="AF771" s="34"/>
      <c r="AG771" s="34"/>
      <c r="AH771" s="34"/>
      <c r="AI771" s="34"/>
      <c r="AJ771" s="34"/>
      <c r="AK771" s="34"/>
      <c r="AL771" s="34"/>
      <c r="AM771" s="34"/>
      <c r="AN771" s="34"/>
      <c r="AO771" s="34"/>
      <c r="AP771" s="34"/>
      <c r="AQ771" s="34"/>
      <c r="AR771" s="34"/>
      <c r="AS771" s="34"/>
      <c r="AT771" s="34"/>
      <c r="AU771" s="34"/>
      <c r="AV771" s="34"/>
      <c r="AW771" s="34"/>
      <c r="AX771" s="34"/>
      <c r="AY771" s="34"/>
      <c r="AZ771" s="34"/>
      <c r="BA771" s="34"/>
      <c r="BB771" s="34"/>
      <c r="BD771" s="34"/>
      <c r="BE771" s="34"/>
      <c r="BF771" s="34"/>
      <c r="BG771" s="34"/>
      <c r="BH771" s="34"/>
      <c r="BI771" s="34"/>
      <c r="BJ771" s="34"/>
      <c r="BK771" s="34"/>
      <c r="BL771" s="34"/>
      <c r="BM771" s="34"/>
      <c r="BN771" s="34"/>
      <c r="BO771" s="34"/>
      <c r="BP771" s="34"/>
      <c r="BQ771" s="34"/>
      <c r="BR771" s="34"/>
      <c r="BS771" s="34"/>
      <c r="BT771" s="34"/>
      <c r="BU771" s="34"/>
      <c r="BV771" s="34"/>
      <c r="BW771" s="34"/>
      <c r="BX771" s="34"/>
      <c r="BY771" s="34"/>
    </row>
    <row r="772" spans="1:77" x14ac:dyDescent="0.3">
      <c r="A772" s="39"/>
      <c r="B772" s="42"/>
      <c r="C772" s="42"/>
      <c r="D772" s="75"/>
      <c r="E772" s="75"/>
      <c r="F772" s="76"/>
      <c r="G772" s="47"/>
      <c r="H772" s="47"/>
      <c r="I772" s="75"/>
      <c r="J772" s="76"/>
      <c r="K772" s="76"/>
      <c r="L772" s="75"/>
      <c r="M772" s="49"/>
      <c r="N772" s="76"/>
      <c r="O772" s="49"/>
      <c r="P772" s="77"/>
      <c r="Q772" s="53"/>
      <c r="R772" s="54"/>
      <c r="S772" s="55"/>
      <c r="T772" s="56"/>
      <c r="U772" s="56"/>
      <c r="V772" s="42"/>
      <c r="W772" s="57"/>
      <c r="X772" s="58"/>
      <c r="Y772" s="75"/>
      <c r="Z772" s="59"/>
      <c r="AA772" s="61"/>
      <c r="AB772" s="61"/>
      <c r="AC772" s="61"/>
      <c r="AD772" s="62"/>
      <c r="AE772" s="62"/>
      <c r="AF772" s="34"/>
      <c r="AG772" s="34"/>
      <c r="AH772" s="34"/>
      <c r="AI772" s="34"/>
      <c r="AJ772" s="34"/>
      <c r="AK772" s="34"/>
      <c r="AL772" s="34"/>
      <c r="AM772" s="34"/>
      <c r="AN772" s="34"/>
      <c r="AO772" s="34"/>
      <c r="AP772" s="34"/>
      <c r="AQ772" s="34"/>
      <c r="AR772" s="34"/>
      <c r="AS772" s="34"/>
      <c r="AT772" s="34"/>
      <c r="AU772" s="34"/>
      <c r="AV772" s="34"/>
      <c r="AW772" s="34"/>
      <c r="AX772" s="34"/>
      <c r="AY772" s="34"/>
      <c r="AZ772" s="34"/>
      <c r="BA772" s="34"/>
      <c r="BB772" s="34"/>
      <c r="BD772" s="34"/>
      <c r="BE772" s="34"/>
      <c r="BF772" s="34"/>
      <c r="BG772" s="34"/>
      <c r="BH772" s="34"/>
      <c r="BI772" s="34"/>
      <c r="BJ772" s="34"/>
      <c r="BK772" s="34"/>
      <c r="BL772" s="34"/>
      <c r="BM772" s="34"/>
      <c r="BN772" s="34"/>
      <c r="BO772" s="34"/>
      <c r="BP772" s="34"/>
      <c r="BQ772" s="34"/>
      <c r="BR772" s="34"/>
      <c r="BS772" s="34"/>
      <c r="BT772" s="34"/>
      <c r="BU772" s="34"/>
      <c r="BV772" s="34"/>
      <c r="BW772" s="34"/>
      <c r="BX772" s="34"/>
      <c r="BY772" s="34"/>
    </row>
    <row r="773" spans="1:77" x14ac:dyDescent="0.3">
      <c r="A773" s="39"/>
      <c r="B773" s="42"/>
      <c r="C773" s="42"/>
      <c r="D773" s="75"/>
      <c r="E773" s="75"/>
      <c r="F773" s="76"/>
      <c r="G773" s="47"/>
      <c r="H773" s="47"/>
      <c r="I773" s="75"/>
      <c r="J773" s="76"/>
      <c r="K773" s="76"/>
      <c r="L773" s="75"/>
      <c r="M773" s="49"/>
      <c r="N773" s="76"/>
      <c r="O773" s="49"/>
      <c r="P773" s="77"/>
      <c r="Q773" s="53"/>
      <c r="R773" s="54"/>
      <c r="S773" s="55"/>
      <c r="T773" s="56"/>
      <c r="U773" s="56"/>
      <c r="V773" s="42"/>
      <c r="W773" s="57"/>
      <c r="X773" s="58"/>
      <c r="Y773" s="75"/>
      <c r="Z773" s="59"/>
      <c r="AA773" s="61"/>
      <c r="AB773" s="61"/>
      <c r="AC773" s="61"/>
      <c r="AD773" s="62"/>
      <c r="AE773" s="62"/>
      <c r="AF773" s="34"/>
      <c r="AG773" s="34"/>
      <c r="AH773" s="34"/>
      <c r="AI773" s="34"/>
      <c r="AJ773" s="34"/>
      <c r="AK773" s="34"/>
      <c r="AL773" s="34"/>
      <c r="AM773" s="34"/>
      <c r="AN773" s="34"/>
      <c r="AO773" s="34"/>
      <c r="AP773" s="34"/>
      <c r="AQ773" s="34"/>
      <c r="AR773" s="34"/>
      <c r="AS773" s="34"/>
      <c r="AT773" s="34"/>
      <c r="AU773" s="34"/>
      <c r="AV773" s="34"/>
      <c r="AW773" s="34"/>
      <c r="AX773" s="34"/>
      <c r="AY773" s="34"/>
      <c r="AZ773" s="34"/>
      <c r="BA773" s="34"/>
      <c r="BB773" s="34"/>
      <c r="BD773" s="34"/>
      <c r="BE773" s="34"/>
      <c r="BF773" s="34"/>
      <c r="BG773" s="34"/>
      <c r="BH773" s="34"/>
      <c r="BI773" s="34"/>
      <c r="BJ773" s="34"/>
      <c r="BK773" s="34"/>
      <c r="BL773" s="34"/>
      <c r="BM773" s="34"/>
      <c r="BN773" s="34"/>
      <c r="BO773" s="34"/>
      <c r="BP773" s="34"/>
      <c r="BQ773" s="34"/>
      <c r="BR773" s="34"/>
      <c r="BS773" s="34"/>
      <c r="BT773" s="34"/>
      <c r="BU773" s="34"/>
      <c r="BV773" s="34"/>
      <c r="BW773" s="34"/>
      <c r="BX773" s="34"/>
      <c r="BY773" s="34"/>
    </row>
    <row r="774" spans="1:77" x14ac:dyDescent="0.3">
      <c r="A774" s="39"/>
      <c r="B774" s="42"/>
      <c r="C774" s="42"/>
      <c r="D774" s="75"/>
      <c r="E774" s="75"/>
      <c r="F774" s="76"/>
      <c r="G774" s="47"/>
      <c r="H774" s="47"/>
      <c r="I774" s="75"/>
      <c r="J774" s="76"/>
      <c r="K774" s="76"/>
      <c r="L774" s="75"/>
      <c r="M774" s="49"/>
      <c r="N774" s="76"/>
      <c r="O774" s="49"/>
      <c r="P774" s="77"/>
      <c r="Q774" s="53"/>
      <c r="R774" s="54"/>
      <c r="S774" s="55"/>
      <c r="T774" s="56"/>
      <c r="U774" s="56"/>
      <c r="V774" s="42"/>
      <c r="W774" s="57"/>
      <c r="X774" s="58"/>
      <c r="Y774" s="75"/>
      <c r="Z774" s="59"/>
      <c r="AA774" s="61"/>
      <c r="AB774" s="61"/>
      <c r="AC774" s="61"/>
      <c r="AD774" s="62"/>
      <c r="AE774" s="62"/>
      <c r="AF774" s="34"/>
      <c r="AG774" s="34"/>
      <c r="AH774" s="34"/>
      <c r="AI774" s="34"/>
      <c r="AJ774" s="34"/>
      <c r="AK774" s="34"/>
      <c r="AL774" s="34"/>
      <c r="AM774" s="34"/>
      <c r="AN774" s="34"/>
      <c r="AO774" s="34"/>
      <c r="AP774" s="34"/>
      <c r="AQ774" s="34"/>
      <c r="AR774" s="34"/>
      <c r="AS774" s="34"/>
      <c r="AT774" s="34"/>
      <c r="AU774" s="34"/>
      <c r="AV774" s="34"/>
      <c r="AW774" s="34"/>
      <c r="AX774" s="34"/>
      <c r="AY774" s="34"/>
      <c r="AZ774" s="34"/>
      <c r="BA774" s="34"/>
      <c r="BB774" s="34"/>
      <c r="BD774" s="34"/>
      <c r="BE774" s="34"/>
      <c r="BF774" s="34"/>
      <c r="BG774" s="34"/>
      <c r="BH774" s="34"/>
      <c r="BI774" s="34"/>
      <c r="BJ774" s="34"/>
      <c r="BK774" s="34"/>
      <c r="BL774" s="34"/>
      <c r="BM774" s="34"/>
      <c r="BN774" s="34"/>
      <c r="BO774" s="34"/>
      <c r="BP774" s="34"/>
      <c r="BQ774" s="34"/>
      <c r="BR774" s="34"/>
      <c r="BS774" s="34"/>
      <c r="BT774" s="34"/>
      <c r="BU774" s="34"/>
      <c r="BV774" s="34"/>
      <c r="BW774" s="34"/>
      <c r="BX774" s="34"/>
      <c r="BY774" s="34"/>
    </row>
    <row r="775" spans="1:77" x14ac:dyDescent="0.3">
      <c r="A775" s="39"/>
      <c r="B775" s="42"/>
      <c r="C775" s="42"/>
      <c r="D775" s="75"/>
      <c r="E775" s="75"/>
      <c r="F775" s="76"/>
      <c r="G775" s="47"/>
      <c r="H775" s="47"/>
      <c r="I775" s="75"/>
      <c r="J775" s="76"/>
      <c r="K775" s="76"/>
      <c r="L775" s="75"/>
      <c r="M775" s="49"/>
      <c r="N775" s="76"/>
      <c r="O775" s="49"/>
      <c r="P775" s="77"/>
      <c r="Q775" s="53"/>
      <c r="R775" s="54"/>
      <c r="S775" s="55"/>
      <c r="T775" s="56"/>
      <c r="U775" s="56"/>
      <c r="V775" s="42"/>
      <c r="W775" s="57"/>
      <c r="X775" s="58"/>
      <c r="Y775" s="75"/>
      <c r="Z775" s="59"/>
      <c r="AA775" s="61"/>
      <c r="AB775" s="61"/>
      <c r="AC775" s="61"/>
      <c r="AD775" s="62"/>
      <c r="AE775" s="62"/>
      <c r="AF775" s="34"/>
      <c r="AG775" s="34"/>
      <c r="AH775" s="34"/>
      <c r="AI775" s="34"/>
      <c r="AJ775" s="34"/>
      <c r="AK775" s="34"/>
      <c r="AL775" s="34"/>
      <c r="AM775" s="34"/>
      <c r="AN775" s="34"/>
      <c r="AO775" s="34"/>
      <c r="AP775" s="34"/>
      <c r="AQ775" s="34"/>
      <c r="AR775" s="34"/>
      <c r="AS775" s="34"/>
      <c r="AT775" s="34"/>
      <c r="AU775" s="34"/>
      <c r="AV775" s="34"/>
      <c r="AW775" s="34"/>
      <c r="AX775" s="34"/>
      <c r="AY775" s="34"/>
      <c r="AZ775" s="34"/>
      <c r="BA775" s="34"/>
      <c r="BB775" s="34"/>
      <c r="BD775" s="34"/>
      <c r="BE775" s="34"/>
      <c r="BF775" s="34"/>
      <c r="BG775" s="34"/>
      <c r="BH775" s="34"/>
      <c r="BI775" s="34"/>
      <c r="BJ775" s="34"/>
      <c r="BK775" s="34"/>
      <c r="BL775" s="34"/>
      <c r="BM775" s="34"/>
      <c r="BN775" s="34"/>
      <c r="BO775" s="34"/>
      <c r="BP775" s="34"/>
      <c r="BQ775" s="34"/>
      <c r="BR775" s="34"/>
      <c r="BS775" s="34"/>
      <c r="BT775" s="34"/>
      <c r="BU775" s="34"/>
      <c r="BV775" s="34"/>
      <c r="BW775" s="34"/>
      <c r="BX775" s="34"/>
      <c r="BY775" s="34"/>
    </row>
    <row r="776" spans="1:77" x14ac:dyDescent="0.3">
      <c r="A776" s="39"/>
      <c r="B776" s="42"/>
      <c r="C776" s="42"/>
      <c r="D776" s="75"/>
      <c r="E776" s="75"/>
      <c r="F776" s="76"/>
      <c r="G776" s="47"/>
      <c r="H776" s="47"/>
      <c r="I776" s="75"/>
      <c r="J776" s="76"/>
      <c r="K776" s="76"/>
      <c r="L776" s="75"/>
      <c r="M776" s="49"/>
      <c r="N776" s="76"/>
      <c r="O776" s="49"/>
      <c r="P776" s="77"/>
      <c r="Q776" s="53"/>
      <c r="R776" s="54"/>
      <c r="S776" s="55"/>
      <c r="T776" s="56"/>
      <c r="U776" s="56"/>
      <c r="V776" s="42"/>
      <c r="W776" s="57"/>
      <c r="X776" s="58"/>
      <c r="Y776" s="75"/>
      <c r="Z776" s="59"/>
      <c r="AA776" s="61"/>
      <c r="AB776" s="61"/>
      <c r="AC776" s="61"/>
      <c r="AD776" s="62"/>
      <c r="AE776" s="62"/>
      <c r="AF776" s="34"/>
      <c r="AG776" s="34"/>
      <c r="AH776" s="34"/>
      <c r="AI776" s="34"/>
      <c r="AJ776" s="34"/>
      <c r="AK776" s="34"/>
      <c r="AL776" s="34"/>
      <c r="AM776" s="34"/>
      <c r="AN776" s="34"/>
      <c r="AO776" s="34"/>
      <c r="AP776" s="34"/>
      <c r="AQ776" s="34"/>
      <c r="AR776" s="34"/>
      <c r="AS776" s="34"/>
      <c r="AT776" s="34"/>
      <c r="AU776" s="34"/>
      <c r="AV776" s="34"/>
      <c r="AW776" s="34"/>
      <c r="AX776" s="34"/>
      <c r="AY776" s="34"/>
      <c r="AZ776" s="34"/>
      <c r="BA776" s="34"/>
      <c r="BB776" s="34"/>
      <c r="BD776" s="34"/>
      <c r="BE776" s="34"/>
      <c r="BF776" s="34"/>
      <c r="BG776" s="34"/>
      <c r="BH776" s="34"/>
      <c r="BI776" s="34"/>
      <c r="BJ776" s="34"/>
      <c r="BK776" s="34"/>
      <c r="BL776" s="34"/>
      <c r="BM776" s="34"/>
      <c r="BN776" s="34"/>
      <c r="BO776" s="34"/>
      <c r="BP776" s="34"/>
      <c r="BQ776" s="34"/>
      <c r="BR776" s="34"/>
      <c r="BS776" s="34"/>
      <c r="BT776" s="34"/>
      <c r="BU776" s="34"/>
      <c r="BV776" s="34"/>
      <c r="BW776" s="34"/>
      <c r="BX776" s="34"/>
      <c r="BY776" s="34"/>
    </row>
    <row r="777" spans="1:77" x14ac:dyDescent="0.3">
      <c r="A777" s="39"/>
      <c r="B777" s="42"/>
      <c r="C777" s="42"/>
      <c r="D777" s="75"/>
      <c r="E777" s="75"/>
      <c r="F777" s="76"/>
      <c r="G777" s="47"/>
      <c r="H777" s="47"/>
      <c r="I777" s="75"/>
      <c r="J777" s="76"/>
      <c r="K777" s="76"/>
      <c r="L777" s="75"/>
      <c r="M777" s="49"/>
      <c r="N777" s="76"/>
      <c r="O777" s="49"/>
      <c r="P777" s="77"/>
      <c r="Q777" s="53"/>
      <c r="R777" s="54"/>
      <c r="S777" s="55"/>
      <c r="T777" s="56"/>
      <c r="U777" s="56"/>
      <c r="V777" s="42"/>
      <c r="W777" s="57"/>
      <c r="X777" s="58"/>
      <c r="Y777" s="75"/>
      <c r="Z777" s="59"/>
      <c r="AA777" s="61"/>
      <c r="AB777" s="61"/>
      <c r="AC777" s="61"/>
      <c r="AD777" s="62"/>
      <c r="AE777" s="62"/>
      <c r="AF777" s="34"/>
      <c r="AG777" s="34"/>
      <c r="AH777" s="34"/>
      <c r="AI777" s="34"/>
      <c r="AJ777" s="34"/>
      <c r="AK777" s="34"/>
      <c r="AL777" s="34"/>
      <c r="AM777" s="34"/>
      <c r="AN777" s="34"/>
      <c r="AO777" s="34"/>
      <c r="AP777" s="34"/>
      <c r="AQ777" s="34"/>
      <c r="AR777" s="34"/>
      <c r="AS777" s="34"/>
      <c r="AT777" s="34"/>
      <c r="AU777" s="34"/>
      <c r="AV777" s="34"/>
      <c r="AW777" s="34"/>
      <c r="AX777" s="34"/>
      <c r="AY777" s="34"/>
      <c r="AZ777" s="34"/>
      <c r="BA777" s="34"/>
      <c r="BB777" s="34"/>
      <c r="BD777" s="34"/>
      <c r="BE777" s="34"/>
      <c r="BF777" s="34"/>
      <c r="BG777" s="34"/>
      <c r="BH777" s="34"/>
      <c r="BI777" s="34"/>
      <c r="BJ777" s="34"/>
      <c r="BK777" s="34"/>
      <c r="BL777" s="34"/>
      <c r="BM777" s="34"/>
      <c r="BN777" s="34"/>
      <c r="BO777" s="34"/>
      <c r="BP777" s="34"/>
      <c r="BQ777" s="34"/>
      <c r="BR777" s="34"/>
      <c r="BS777" s="34"/>
      <c r="BT777" s="34"/>
      <c r="BU777" s="34"/>
      <c r="BV777" s="34"/>
      <c r="BW777" s="34"/>
      <c r="BX777" s="34"/>
      <c r="BY777" s="34"/>
    </row>
    <row r="778" spans="1:77" x14ac:dyDescent="0.3">
      <c r="A778" s="39"/>
      <c r="B778" s="42"/>
      <c r="C778" s="42"/>
      <c r="D778" s="75"/>
      <c r="E778" s="75"/>
      <c r="F778" s="76"/>
      <c r="G778" s="47"/>
      <c r="H778" s="47"/>
      <c r="I778" s="75"/>
      <c r="J778" s="76"/>
      <c r="K778" s="76"/>
      <c r="L778" s="75"/>
      <c r="M778" s="49"/>
      <c r="N778" s="76"/>
      <c r="O778" s="49"/>
      <c r="P778" s="77"/>
      <c r="Q778" s="53"/>
      <c r="R778" s="54"/>
      <c r="S778" s="55"/>
      <c r="T778" s="56"/>
      <c r="U778" s="56"/>
      <c r="V778" s="42"/>
      <c r="W778" s="57"/>
      <c r="X778" s="58"/>
      <c r="Y778" s="75"/>
      <c r="Z778" s="59"/>
      <c r="AA778" s="61"/>
      <c r="AB778" s="61"/>
      <c r="AC778" s="61"/>
      <c r="AD778" s="62"/>
      <c r="AE778" s="62"/>
      <c r="AF778" s="34"/>
      <c r="AG778" s="34"/>
      <c r="AH778" s="34"/>
      <c r="AI778" s="34"/>
      <c r="AJ778" s="34"/>
      <c r="AK778" s="34"/>
      <c r="AL778" s="34"/>
      <c r="AM778" s="34"/>
      <c r="AN778" s="34"/>
      <c r="AO778" s="34"/>
      <c r="AP778" s="34"/>
      <c r="AQ778" s="34"/>
      <c r="AR778" s="34"/>
      <c r="AS778" s="34"/>
      <c r="AT778" s="34"/>
      <c r="AU778" s="34"/>
      <c r="AV778" s="34"/>
      <c r="AW778" s="34"/>
      <c r="AX778" s="34"/>
      <c r="AY778" s="34"/>
      <c r="AZ778" s="34"/>
      <c r="BA778" s="34"/>
      <c r="BB778" s="34"/>
      <c r="BD778" s="34"/>
      <c r="BE778" s="34"/>
      <c r="BF778" s="34"/>
      <c r="BG778" s="34"/>
      <c r="BH778" s="34"/>
      <c r="BI778" s="34"/>
      <c r="BJ778" s="34"/>
      <c r="BK778" s="34"/>
      <c r="BL778" s="34"/>
      <c r="BM778" s="34"/>
      <c r="BN778" s="34"/>
      <c r="BO778" s="34"/>
      <c r="BP778" s="34"/>
      <c r="BQ778" s="34"/>
      <c r="BR778" s="34"/>
      <c r="BS778" s="34"/>
      <c r="BT778" s="34"/>
      <c r="BU778" s="34"/>
      <c r="BV778" s="34"/>
      <c r="BW778" s="34"/>
      <c r="BX778" s="34"/>
      <c r="BY778" s="34"/>
    </row>
    <row r="779" spans="1:77" x14ac:dyDescent="0.3">
      <c r="A779" s="39"/>
      <c r="B779" s="42"/>
      <c r="C779" s="42"/>
      <c r="D779" s="75"/>
      <c r="E779" s="75"/>
      <c r="F779" s="76"/>
      <c r="G779" s="47"/>
      <c r="H779" s="47"/>
      <c r="I779" s="75"/>
      <c r="J779" s="76"/>
      <c r="K779" s="76"/>
      <c r="L779" s="75"/>
      <c r="M779" s="49"/>
      <c r="N779" s="76"/>
      <c r="O779" s="49"/>
      <c r="P779" s="77"/>
      <c r="Q779" s="53"/>
      <c r="R779" s="54"/>
      <c r="S779" s="55"/>
      <c r="T779" s="56"/>
      <c r="U779" s="56"/>
      <c r="V779" s="42"/>
      <c r="W779" s="57"/>
      <c r="X779" s="58"/>
      <c r="Y779" s="75"/>
      <c r="Z779" s="59"/>
      <c r="AA779" s="61"/>
      <c r="AB779" s="61"/>
      <c r="AC779" s="61"/>
      <c r="AD779" s="62"/>
      <c r="AE779" s="62"/>
      <c r="AF779" s="34"/>
      <c r="AG779" s="34"/>
      <c r="AH779" s="34"/>
      <c r="AI779" s="34"/>
      <c r="AJ779" s="34"/>
      <c r="AK779" s="34"/>
      <c r="AL779" s="34"/>
      <c r="AM779" s="34"/>
      <c r="AN779" s="34"/>
      <c r="AO779" s="34"/>
      <c r="AP779" s="34"/>
      <c r="AQ779" s="34"/>
      <c r="AR779" s="34"/>
      <c r="AS779" s="34"/>
      <c r="AT779" s="34"/>
      <c r="AU779" s="34"/>
      <c r="AV779" s="34"/>
      <c r="AW779" s="34"/>
      <c r="AX779" s="34"/>
      <c r="AY779" s="34"/>
      <c r="AZ779" s="34"/>
      <c r="BA779" s="34"/>
      <c r="BB779" s="34"/>
      <c r="BD779" s="34"/>
      <c r="BE779" s="34"/>
      <c r="BF779" s="34"/>
      <c r="BG779" s="34"/>
      <c r="BH779" s="34"/>
      <c r="BI779" s="34"/>
      <c r="BJ779" s="34"/>
      <c r="BK779" s="34"/>
      <c r="BL779" s="34"/>
      <c r="BM779" s="34"/>
      <c r="BN779" s="34"/>
      <c r="BO779" s="34"/>
      <c r="BP779" s="34"/>
      <c r="BQ779" s="34"/>
      <c r="BR779" s="34"/>
      <c r="BS779" s="34"/>
      <c r="BT779" s="34"/>
      <c r="BU779" s="34"/>
      <c r="BV779" s="34"/>
      <c r="BW779" s="34"/>
      <c r="BX779" s="34"/>
      <c r="BY779" s="34"/>
    </row>
    <row r="780" spans="1:77" x14ac:dyDescent="0.3">
      <c r="A780" s="39"/>
      <c r="B780" s="42"/>
      <c r="C780" s="42"/>
      <c r="D780" s="75"/>
      <c r="E780" s="75"/>
      <c r="F780" s="76"/>
      <c r="G780" s="47"/>
      <c r="H780" s="47"/>
      <c r="I780" s="75"/>
      <c r="J780" s="76"/>
      <c r="K780" s="76"/>
      <c r="L780" s="75"/>
      <c r="M780" s="49"/>
      <c r="N780" s="76"/>
      <c r="O780" s="49"/>
      <c r="P780" s="77"/>
      <c r="Q780" s="53"/>
      <c r="R780" s="54"/>
      <c r="S780" s="55"/>
      <c r="T780" s="56"/>
      <c r="U780" s="56"/>
      <c r="V780" s="42"/>
      <c r="W780" s="57"/>
      <c r="X780" s="58"/>
      <c r="Y780" s="75"/>
      <c r="Z780" s="59"/>
      <c r="AA780" s="61"/>
      <c r="AB780" s="61"/>
      <c r="AC780" s="61"/>
      <c r="AD780" s="62"/>
      <c r="AE780" s="62"/>
      <c r="AF780" s="34"/>
      <c r="AG780" s="34"/>
      <c r="AH780" s="34"/>
      <c r="AI780" s="34"/>
      <c r="AJ780" s="34"/>
      <c r="AK780" s="34"/>
      <c r="AL780" s="34"/>
      <c r="AM780" s="34"/>
      <c r="AN780" s="34"/>
      <c r="AO780" s="34"/>
      <c r="AP780" s="34"/>
      <c r="AQ780" s="34"/>
      <c r="AR780" s="34"/>
      <c r="AS780" s="34"/>
      <c r="AT780" s="34"/>
      <c r="AU780" s="34"/>
      <c r="AV780" s="34"/>
      <c r="AW780" s="34"/>
      <c r="AX780" s="34"/>
      <c r="AY780" s="34"/>
      <c r="AZ780" s="34"/>
      <c r="BA780" s="34"/>
      <c r="BB780" s="34"/>
      <c r="BD780" s="34"/>
      <c r="BE780" s="34"/>
      <c r="BF780" s="34"/>
      <c r="BG780" s="34"/>
      <c r="BH780" s="34"/>
      <c r="BI780" s="34"/>
      <c r="BJ780" s="34"/>
      <c r="BK780" s="34"/>
      <c r="BL780" s="34"/>
      <c r="BM780" s="34"/>
      <c r="BN780" s="34"/>
      <c r="BO780" s="34"/>
      <c r="BP780" s="34"/>
      <c r="BQ780" s="34"/>
      <c r="BR780" s="34"/>
      <c r="BS780" s="34"/>
      <c r="BT780" s="34"/>
      <c r="BU780" s="34"/>
      <c r="BV780" s="34"/>
      <c r="BW780" s="34"/>
      <c r="BX780" s="34"/>
      <c r="BY780" s="34"/>
    </row>
    <row r="781" spans="1:77" x14ac:dyDescent="0.3">
      <c r="A781" s="39"/>
      <c r="B781" s="42"/>
      <c r="C781" s="42"/>
      <c r="D781" s="75"/>
      <c r="E781" s="75"/>
      <c r="F781" s="76"/>
      <c r="G781" s="47"/>
      <c r="H781" s="47"/>
      <c r="I781" s="75"/>
      <c r="J781" s="76"/>
      <c r="K781" s="76"/>
      <c r="L781" s="75"/>
      <c r="M781" s="49"/>
      <c r="N781" s="76"/>
      <c r="O781" s="49"/>
      <c r="P781" s="77"/>
      <c r="Q781" s="53"/>
      <c r="R781" s="54"/>
      <c r="S781" s="55"/>
      <c r="T781" s="56"/>
      <c r="U781" s="56"/>
      <c r="V781" s="42"/>
      <c r="W781" s="57"/>
      <c r="X781" s="58"/>
      <c r="Y781" s="75"/>
      <c r="Z781" s="59"/>
      <c r="AA781" s="61"/>
      <c r="AB781" s="61"/>
      <c r="AC781" s="61"/>
      <c r="AD781" s="62"/>
      <c r="AE781" s="62"/>
      <c r="AF781" s="34"/>
      <c r="AG781" s="34"/>
      <c r="AH781" s="34"/>
      <c r="AI781" s="34"/>
      <c r="AJ781" s="34"/>
      <c r="AK781" s="34"/>
      <c r="AL781" s="34"/>
      <c r="AM781" s="34"/>
      <c r="AN781" s="34"/>
      <c r="AO781" s="34"/>
      <c r="AP781" s="34"/>
      <c r="AQ781" s="34"/>
      <c r="AR781" s="34"/>
      <c r="AS781" s="34"/>
      <c r="AT781" s="34"/>
      <c r="AU781" s="34"/>
      <c r="AV781" s="34"/>
      <c r="AW781" s="34"/>
      <c r="AX781" s="34"/>
      <c r="AY781" s="34"/>
      <c r="AZ781" s="34"/>
      <c r="BA781" s="34"/>
      <c r="BB781" s="34"/>
      <c r="BD781" s="34"/>
      <c r="BE781" s="34"/>
      <c r="BF781" s="34"/>
      <c r="BG781" s="34"/>
      <c r="BH781" s="34"/>
      <c r="BI781" s="34"/>
      <c r="BJ781" s="34"/>
      <c r="BK781" s="34"/>
      <c r="BL781" s="34"/>
      <c r="BM781" s="34"/>
      <c r="BN781" s="34"/>
      <c r="BO781" s="34"/>
      <c r="BP781" s="34"/>
      <c r="BQ781" s="34"/>
      <c r="BR781" s="34"/>
      <c r="BS781" s="34"/>
      <c r="BT781" s="34"/>
      <c r="BU781" s="34"/>
      <c r="BV781" s="34"/>
      <c r="BW781" s="34"/>
      <c r="BX781" s="34"/>
      <c r="BY781" s="34"/>
    </row>
    <row r="782" spans="1:77" x14ac:dyDescent="0.3">
      <c r="A782" s="39"/>
      <c r="B782" s="42"/>
      <c r="C782" s="42"/>
      <c r="D782" s="75"/>
      <c r="E782" s="75"/>
      <c r="F782" s="76"/>
      <c r="G782" s="47"/>
      <c r="H782" s="47"/>
      <c r="I782" s="75"/>
      <c r="J782" s="76"/>
      <c r="K782" s="76"/>
      <c r="L782" s="75"/>
      <c r="M782" s="49"/>
      <c r="N782" s="76"/>
      <c r="O782" s="49"/>
      <c r="P782" s="77"/>
      <c r="Q782" s="53"/>
      <c r="R782" s="54"/>
      <c r="S782" s="55"/>
      <c r="T782" s="56"/>
      <c r="U782" s="56"/>
      <c r="V782" s="42"/>
      <c r="W782" s="57"/>
      <c r="X782" s="58"/>
      <c r="Y782" s="75"/>
      <c r="Z782" s="59"/>
      <c r="AA782" s="61"/>
      <c r="AB782" s="61"/>
      <c r="AC782" s="61"/>
      <c r="AD782" s="62"/>
      <c r="AE782" s="62"/>
      <c r="AF782" s="34"/>
      <c r="AG782" s="34"/>
      <c r="AH782" s="34"/>
      <c r="AI782" s="34"/>
      <c r="AJ782" s="34"/>
      <c r="AK782" s="34"/>
      <c r="AL782" s="34"/>
      <c r="AM782" s="34"/>
      <c r="AN782" s="34"/>
      <c r="AO782" s="34"/>
      <c r="AP782" s="34"/>
      <c r="AQ782" s="34"/>
      <c r="AR782" s="34"/>
      <c r="AS782" s="34"/>
      <c r="AT782" s="34"/>
      <c r="AU782" s="34"/>
      <c r="AV782" s="34"/>
      <c r="AW782" s="34"/>
      <c r="AX782" s="34"/>
      <c r="AY782" s="34"/>
      <c r="AZ782" s="34"/>
      <c r="BA782" s="34"/>
      <c r="BB782" s="34"/>
      <c r="BD782" s="34"/>
      <c r="BE782" s="34"/>
      <c r="BF782" s="34"/>
      <c r="BG782" s="34"/>
      <c r="BH782" s="34"/>
      <c r="BI782" s="34"/>
      <c r="BJ782" s="34"/>
      <c r="BK782" s="34"/>
      <c r="BL782" s="34"/>
      <c r="BM782" s="34"/>
      <c r="BN782" s="34"/>
      <c r="BO782" s="34"/>
      <c r="BP782" s="34"/>
      <c r="BQ782" s="34"/>
      <c r="BR782" s="34"/>
      <c r="BS782" s="34"/>
      <c r="BT782" s="34"/>
      <c r="BU782" s="34"/>
      <c r="BV782" s="34"/>
      <c r="BW782" s="34"/>
      <c r="BX782" s="34"/>
      <c r="BY782" s="34"/>
    </row>
    <row r="783" spans="1:77" x14ac:dyDescent="0.3">
      <c r="A783" s="39"/>
      <c r="B783" s="42"/>
      <c r="C783" s="42"/>
      <c r="D783" s="75"/>
      <c r="E783" s="75"/>
      <c r="F783" s="76"/>
      <c r="G783" s="47"/>
      <c r="H783" s="47"/>
      <c r="I783" s="75"/>
      <c r="J783" s="76"/>
      <c r="K783" s="76"/>
      <c r="L783" s="75"/>
      <c r="M783" s="49"/>
      <c r="N783" s="76"/>
      <c r="O783" s="49"/>
      <c r="P783" s="77"/>
      <c r="Q783" s="53"/>
      <c r="R783" s="54"/>
      <c r="S783" s="55"/>
      <c r="T783" s="56"/>
      <c r="U783" s="56"/>
      <c r="V783" s="42"/>
      <c r="W783" s="57"/>
      <c r="X783" s="58"/>
      <c r="Y783" s="75"/>
      <c r="Z783" s="59"/>
      <c r="AA783" s="61"/>
      <c r="AB783" s="61"/>
      <c r="AC783" s="61"/>
      <c r="AD783" s="62"/>
      <c r="AE783" s="62"/>
      <c r="AF783" s="34"/>
      <c r="AG783" s="34"/>
      <c r="AH783" s="34"/>
      <c r="AI783" s="34"/>
      <c r="AJ783" s="34"/>
      <c r="AK783" s="34"/>
      <c r="AL783" s="34"/>
      <c r="AM783" s="34"/>
      <c r="AN783" s="34"/>
      <c r="AO783" s="34"/>
      <c r="AP783" s="34"/>
      <c r="AQ783" s="34"/>
      <c r="AR783" s="34"/>
      <c r="AS783" s="34"/>
      <c r="AT783" s="34"/>
      <c r="AU783" s="34"/>
      <c r="AV783" s="34"/>
      <c r="AW783" s="34"/>
      <c r="AX783" s="34"/>
      <c r="AY783" s="34"/>
      <c r="AZ783" s="34"/>
      <c r="BA783" s="34"/>
      <c r="BB783" s="34"/>
      <c r="BD783" s="34"/>
      <c r="BE783" s="34"/>
      <c r="BF783" s="34"/>
      <c r="BG783" s="34"/>
      <c r="BH783" s="34"/>
      <c r="BI783" s="34"/>
      <c r="BJ783" s="34"/>
      <c r="BK783" s="34"/>
      <c r="BL783" s="34"/>
      <c r="BM783" s="34"/>
      <c r="BN783" s="34"/>
      <c r="BO783" s="34"/>
      <c r="BP783" s="34"/>
      <c r="BQ783" s="34"/>
      <c r="BR783" s="34"/>
      <c r="BS783" s="34"/>
      <c r="BT783" s="34"/>
      <c r="BU783" s="34"/>
      <c r="BV783" s="34"/>
      <c r="BW783" s="34"/>
      <c r="BX783" s="34"/>
      <c r="BY783" s="34"/>
    </row>
    <row r="784" spans="1:77" x14ac:dyDescent="0.3">
      <c r="A784" s="39"/>
      <c r="B784" s="42"/>
      <c r="C784" s="42"/>
      <c r="D784" s="75"/>
      <c r="E784" s="75"/>
      <c r="F784" s="76"/>
      <c r="G784" s="47"/>
      <c r="H784" s="47"/>
      <c r="I784" s="75"/>
      <c r="J784" s="76"/>
      <c r="K784" s="76"/>
      <c r="L784" s="75"/>
      <c r="M784" s="49"/>
      <c r="N784" s="76"/>
      <c r="O784" s="49"/>
      <c r="P784" s="77"/>
      <c r="Q784" s="53"/>
      <c r="R784" s="54"/>
      <c r="S784" s="55"/>
      <c r="T784" s="56"/>
      <c r="U784" s="56"/>
      <c r="V784" s="42"/>
      <c r="W784" s="57"/>
      <c r="X784" s="58"/>
      <c r="Y784" s="75"/>
      <c r="Z784" s="59"/>
      <c r="AA784" s="61"/>
      <c r="AB784" s="61"/>
      <c r="AC784" s="61"/>
      <c r="AD784" s="62"/>
      <c r="AE784" s="62"/>
      <c r="AF784" s="34"/>
      <c r="AG784" s="34"/>
      <c r="AH784" s="34"/>
      <c r="AI784" s="34"/>
      <c r="AJ784" s="34"/>
      <c r="AK784" s="34"/>
      <c r="AL784" s="34"/>
      <c r="AM784" s="34"/>
      <c r="AN784" s="34"/>
      <c r="AO784" s="34"/>
      <c r="AP784" s="34"/>
      <c r="AQ784" s="34"/>
      <c r="AR784" s="34"/>
      <c r="AS784" s="34"/>
      <c r="AT784" s="34"/>
      <c r="AU784" s="34"/>
      <c r="AV784" s="34"/>
      <c r="AW784" s="34"/>
      <c r="AX784" s="34"/>
      <c r="AY784" s="34"/>
      <c r="AZ784" s="34"/>
      <c r="BA784" s="34"/>
      <c r="BB784" s="34"/>
      <c r="BD784" s="34"/>
      <c r="BE784" s="34"/>
      <c r="BF784" s="34"/>
      <c r="BG784" s="34"/>
      <c r="BH784" s="34"/>
      <c r="BI784" s="34"/>
      <c r="BJ784" s="34"/>
      <c r="BK784" s="34"/>
      <c r="BL784" s="34"/>
      <c r="BM784" s="34"/>
      <c r="BN784" s="34"/>
      <c r="BO784" s="34"/>
      <c r="BP784" s="34"/>
      <c r="BQ784" s="34"/>
      <c r="BR784" s="34"/>
      <c r="BS784" s="34"/>
      <c r="BT784" s="34"/>
      <c r="BU784" s="34"/>
      <c r="BV784" s="34"/>
      <c r="BW784" s="34"/>
      <c r="BX784" s="34"/>
      <c r="BY784" s="34"/>
    </row>
    <row r="785" spans="1:77" x14ac:dyDescent="0.3">
      <c r="A785" s="39"/>
      <c r="B785" s="42"/>
      <c r="C785" s="42"/>
      <c r="D785" s="75"/>
      <c r="E785" s="75"/>
      <c r="F785" s="76"/>
      <c r="G785" s="47"/>
      <c r="H785" s="47"/>
      <c r="I785" s="75"/>
      <c r="J785" s="76"/>
      <c r="K785" s="76"/>
      <c r="L785" s="75"/>
      <c r="M785" s="49"/>
      <c r="N785" s="76"/>
      <c r="O785" s="49"/>
      <c r="P785" s="77"/>
      <c r="Q785" s="53"/>
      <c r="R785" s="54"/>
      <c r="S785" s="55"/>
      <c r="T785" s="56"/>
      <c r="U785" s="56"/>
      <c r="V785" s="42"/>
      <c r="W785" s="57"/>
      <c r="X785" s="58"/>
      <c r="Y785" s="75"/>
      <c r="Z785" s="59"/>
      <c r="AA785" s="61"/>
      <c r="AB785" s="61"/>
      <c r="AC785" s="61"/>
      <c r="AD785" s="62"/>
      <c r="AE785" s="62"/>
      <c r="AF785" s="34"/>
      <c r="AG785" s="34"/>
      <c r="AH785" s="34"/>
      <c r="AI785" s="34"/>
      <c r="AJ785" s="34"/>
      <c r="AK785" s="34"/>
      <c r="AL785" s="34"/>
      <c r="AM785" s="34"/>
      <c r="AN785" s="34"/>
      <c r="AO785" s="34"/>
      <c r="AP785" s="34"/>
      <c r="AQ785" s="34"/>
      <c r="AR785" s="34"/>
      <c r="AS785" s="34"/>
      <c r="AT785" s="34"/>
      <c r="AU785" s="34"/>
      <c r="AV785" s="34"/>
      <c r="AW785" s="34"/>
      <c r="AX785" s="34"/>
      <c r="AY785" s="34"/>
      <c r="AZ785" s="34"/>
      <c r="BA785" s="34"/>
      <c r="BB785" s="34"/>
      <c r="BD785" s="34"/>
      <c r="BE785" s="34"/>
      <c r="BF785" s="34"/>
      <c r="BG785" s="34"/>
      <c r="BH785" s="34"/>
      <c r="BI785" s="34"/>
      <c r="BJ785" s="34"/>
      <c r="BK785" s="34"/>
      <c r="BL785" s="34"/>
      <c r="BM785" s="34"/>
      <c r="BN785" s="34"/>
      <c r="BO785" s="34"/>
      <c r="BP785" s="34"/>
      <c r="BQ785" s="34"/>
      <c r="BR785" s="34"/>
      <c r="BS785" s="34"/>
      <c r="BT785" s="34"/>
      <c r="BU785" s="34"/>
      <c r="BV785" s="34"/>
      <c r="BW785" s="34"/>
      <c r="BX785" s="34"/>
      <c r="BY785" s="34"/>
    </row>
    <row r="786" spans="1:77" x14ac:dyDescent="0.3">
      <c r="A786" s="39"/>
      <c r="B786" s="42"/>
      <c r="C786" s="42"/>
      <c r="D786" s="75"/>
      <c r="E786" s="75"/>
      <c r="F786" s="76"/>
      <c r="G786" s="47"/>
      <c r="H786" s="47"/>
      <c r="I786" s="75"/>
      <c r="J786" s="76"/>
      <c r="K786" s="76"/>
      <c r="L786" s="75"/>
      <c r="M786" s="49"/>
      <c r="N786" s="76"/>
      <c r="O786" s="49"/>
      <c r="P786" s="77"/>
      <c r="Q786" s="53"/>
      <c r="R786" s="54"/>
      <c r="S786" s="55"/>
      <c r="T786" s="56"/>
      <c r="U786" s="56"/>
      <c r="V786" s="42"/>
      <c r="W786" s="57"/>
      <c r="X786" s="58"/>
      <c r="Y786" s="75"/>
      <c r="Z786" s="59"/>
      <c r="AA786" s="61"/>
      <c r="AB786" s="61"/>
      <c r="AC786" s="61"/>
      <c r="AD786" s="62"/>
      <c r="AE786" s="62"/>
      <c r="AF786" s="34"/>
      <c r="AG786" s="34"/>
      <c r="AH786" s="34"/>
      <c r="AI786" s="34"/>
      <c r="AJ786" s="34"/>
      <c r="AK786" s="34"/>
      <c r="AL786" s="34"/>
      <c r="AM786" s="34"/>
      <c r="AN786" s="34"/>
      <c r="AO786" s="34"/>
      <c r="AP786" s="34"/>
      <c r="AQ786" s="34"/>
      <c r="AR786" s="34"/>
      <c r="AS786" s="34"/>
      <c r="AT786" s="34"/>
      <c r="AU786" s="34"/>
      <c r="AV786" s="34"/>
      <c r="AW786" s="34"/>
      <c r="AX786" s="34"/>
      <c r="AY786" s="34"/>
      <c r="AZ786" s="34"/>
      <c r="BA786" s="34"/>
      <c r="BB786" s="34"/>
      <c r="BD786" s="34"/>
      <c r="BE786" s="34"/>
      <c r="BF786" s="34"/>
      <c r="BG786" s="34"/>
      <c r="BH786" s="34"/>
      <c r="BI786" s="34"/>
      <c r="BJ786" s="34"/>
      <c r="BK786" s="34"/>
      <c r="BL786" s="34"/>
      <c r="BM786" s="34"/>
      <c r="BN786" s="34"/>
      <c r="BO786" s="34"/>
      <c r="BP786" s="34"/>
      <c r="BQ786" s="34"/>
      <c r="BR786" s="34"/>
      <c r="BS786" s="34"/>
      <c r="BT786" s="34"/>
      <c r="BU786" s="34"/>
      <c r="BV786" s="34"/>
      <c r="BW786" s="34"/>
      <c r="BX786" s="34"/>
      <c r="BY786" s="34"/>
    </row>
    <row r="787" spans="1:77" x14ac:dyDescent="0.3">
      <c r="A787" s="39"/>
      <c r="B787" s="42"/>
      <c r="C787" s="42"/>
      <c r="D787" s="75"/>
      <c r="E787" s="75"/>
      <c r="F787" s="76"/>
      <c r="G787" s="47"/>
      <c r="H787" s="47"/>
      <c r="I787" s="75"/>
      <c r="J787" s="76"/>
      <c r="K787" s="76"/>
      <c r="L787" s="75"/>
      <c r="M787" s="49"/>
      <c r="N787" s="76"/>
      <c r="O787" s="49"/>
      <c r="P787" s="77"/>
      <c r="Q787" s="53"/>
      <c r="R787" s="54"/>
      <c r="S787" s="55"/>
      <c r="T787" s="56"/>
      <c r="U787" s="56"/>
      <c r="V787" s="42"/>
      <c r="W787" s="57"/>
      <c r="X787" s="58"/>
      <c r="Y787" s="75"/>
      <c r="Z787" s="59"/>
      <c r="AA787" s="61"/>
      <c r="AB787" s="61"/>
      <c r="AC787" s="61"/>
      <c r="AD787" s="62"/>
      <c r="AE787" s="62"/>
      <c r="AF787" s="34"/>
      <c r="AG787" s="34"/>
      <c r="AH787" s="34"/>
      <c r="AI787" s="34"/>
      <c r="AJ787" s="34"/>
      <c r="AK787" s="34"/>
      <c r="AL787" s="34"/>
      <c r="AM787" s="34"/>
      <c r="AN787" s="34"/>
      <c r="AO787" s="34"/>
      <c r="AP787" s="34"/>
      <c r="AQ787" s="34"/>
      <c r="AR787" s="34"/>
      <c r="AS787" s="34"/>
      <c r="AT787" s="34"/>
      <c r="AU787" s="34"/>
      <c r="AV787" s="34"/>
      <c r="AW787" s="34"/>
      <c r="AX787" s="34"/>
      <c r="AY787" s="34"/>
      <c r="AZ787" s="34"/>
      <c r="BA787" s="34"/>
      <c r="BB787" s="34"/>
      <c r="BD787" s="34"/>
      <c r="BE787" s="34"/>
      <c r="BF787" s="34"/>
      <c r="BG787" s="34"/>
      <c r="BH787" s="34"/>
      <c r="BI787" s="34"/>
      <c r="BJ787" s="34"/>
      <c r="BK787" s="34"/>
      <c r="BL787" s="34"/>
      <c r="BM787" s="34"/>
      <c r="BN787" s="34"/>
      <c r="BO787" s="34"/>
      <c r="BP787" s="34"/>
      <c r="BQ787" s="34"/>
      <c r="BR787" s="34"/>
      <c r="BS787" s="34"/>
      <c r="BT787" s="34"/>
      <c r="BU787" s="34"/>
      <c r="BV787" s="34"/>
      <c r="BW787" s="34"/>
      <c r="BX787" s="34"/>
      <c r="BY787" s="34"/>
    </row>
    <row r="788" spans="1:77" x14ac:dyDescent="0.3">
      <c r="A788" s="39"/>
      <c r="B788" s="42"/>
      <c r="C788" s="42"/>
      <c r="D788" s="75"/>
      <c r="E788" s="75"/>
      <c r="F788" s="76"/>
      <c r="G788" s="47"/>
      <c r="H788" s="47"/>
      <c r="I788" s="75"/>
      <c r="J788" s="76"/>
      <c r="K788" s="76"/>
      <c r="L788" s="75"/>
      <c r="M788" s="49"/>
      <c r="N788" s="76"/>
      <c r="O788" s="49"/>
      <c r="P788" s="77"/>
      <c r="Q788" s="53"/>
      <c r="R788" s="54"/>
      <c r="S788" s="55"/>
      <c r="T788" s="56"/>
      <c r="U788" s="56"/>
      <c r="V788" s="42"/>
      <c r="W788" s="57"/>
      <c r="X788" s="58"/>
      <c r="Y788" s="75"/>
      <c r="Z788" s="59"/>
      <c r="AA788" s="61"/>
      <c r="AB788" s="61"/>
      <c r="AC788" s="61"/>
      <c r="AD788" s="62"/>
      <c r="AE788" s="62"/>
      <c r="AF788" s="34"/>
      <c r="AG788" s="34"/>
      <c r="AH788" s="34"/>
      <c r="AI788" s="34"/>
      <c r="AJ788" s="34"/>
      <c r="AK788" s="34"/>
      <c r="AL788" s="34"/>
      <c r="AM788" s="34"/>
      <c r="AN788" s="34"/>
      <c r="AO788" s="34"/>
      <c r="AP788" s="34"/>
      <c r="AQ788" s="34"/>
      <c r="AR788" s="34"/>
      <c r="AS788" s="34"/>
      <c r="AT788" s="34"/>
      <c r="AU788" s="34"/>
      <c r="AV788" s="34"/>
      <c r="AW788" s="34"/>
      <c r="AX788" s="34"/>
      <c r="AY788" s="34"/>
      <c r="AZ788" s="34"/>
      <c r="BA788" s="34"/>
      <c r="BB788" s="34"/>
      <c r="BD788" s="34"/>
      <c r="BE788" s="34"/>
      <c r="BF788" s="34"/>
      <c r="BG788" s="34"/>
      <c r="BH788" s="34"/>
      <c r="BI788" s="34"/>
      <c r="BJ788" s="34"/>
      <c r="BK788" s="34"/>
      <c r="BL788" s="34"/>
      <c r="BM788" s="34"/>
      <c r="BN788" s="34"/>
      <c r="BO788" s="34"/>
      <c r="BP788" s="34"/>
      <c r="BQ788" s="34"/>
      <c r="BR788" s="34"/>
      <c r="BS788" s="34"/>
      <c r="BT788" s="34"/>
      <c r="BU788" s="34"/>
      <c r="BV788" s="34"/>
      <c r="BW788" s="34"/>
      <c r="BX788" s="34"/>
      <c r="BY788" s="34"/>
    </row>
    <row r="789" spans="1:77" x14ac:dyDescent="0.3">
      <c r="A789" s="39"/>
      <c r="B789" s="42"/>
      <c r="C789" s="42"/>
      <c r="D789" s="75"/>
      <c r="E789" s="75"/>
      <c r="F789" s="76"/>
      <c r="G789" s="47"/>
      <c r="H789" s="47"/>
      <c r="I789" s="75"/>
      <c r="J789" s="76"/>
      <c r="K789" s="76"/>
      <c r="L789" s="75"/>
      <c r="M789" s="49"/>
      <c r="N789" s="76"/>
      <c r="O789" s="49"/>
      <c r="P789" s="77"/>
      <c r="Q789" s="53"/>
      <c r="R789" s="54"/>
      <c r="S789" s="55"/>
      <c r="T789" s="56"/>
      <c r="U789" s="56"/>
      <c r="V789" s="42"/>
      <c r="W789" s="57"/>
      <c r="X789" s="58"/>
      <c r="Y789" s="75"/>
      <c r="Z789" s="59"/>
      <c r="AA789" s="61"/>
      <c r="AB789" s="61"/>
      <c r="AC789" s="61"/>
      <c r="AD789" s="62"/>
      <c r="AE789" s="62"/>
      <c r="AF789" s="34"/>
      <c r="AG789" s="34"/>
      <c r="AH789" s="34"/>
      <c r="AI789" s="34"/>
      <c r="AJ789" s="34"/>
      <c r="AK789" s="34"/>
      <c r="AL789" s="34"/>
      <c r="AM789" s="34"/>
      <c r="AN789" s="34"/>
      <c r="AO789" s="34"/>
      <c r="AP789" s="34"/>
      <c r="AQ789" s="34"/>
      <c r="AR789" s="34"/>
      <c r="AS789" s="34"/>
      <c r="AT789" s="34"/>
      <c r="AU789" s="34"/>
      <c r="AV789" s="34"/>
      <c r="AW789" s="34"/>
      <c r="AX789" s="34"/>
      <c r="AY789" s="34"/>
      <c r="AZ789" s="34"/>
      <c r="BA789" s="34"/>
      <c r="BB789" s="34"/>
      <c r="BD789" s="34"/>
      <c r="BE789" s="34"/>
      <c r="BF789" s="34"/>
      <c r="BG789" s="34"/>
      <c r="BH789" s="34"/>
      <c r="BI789" s="34"/>
      <c r="BJ789" s="34"/>
      <c r="BK789" s="34"/>
      <c r="BL789" s="34"/>
      <c r="BM789" s="34"/>
      <c r="BN789" s="34"/>
      <c r="BO789" s="34"/>
      <c r="BP789" s="34"/>
      <c r="BQ789" s="34"/>
      <c r="BR789" s="34"/>
      <c r="BS789" s="34"/>
      <c r="BT789" s="34"/>
      <c r="BU789" s="34"/>
      <c r="BV789" s="34"/>
      <c r="BW789" s="34"/>
      <c r="BX789" s="34"/>
      <c r="BY789" s="34"/>
    </row>
    <row r="790" spans="1:77" x14ac:dyDescent="0.3">
      <c r="A790" s="39"/>
      <c r="B790" s="42"/>
      <c r="C790" s="42"/>
      <c r="D790" s="75"/>
      <c r="E790" s="75"/>
      <c r="F790" s="76"/>
      <c r="G790" s="47"/>
      <c r="H790" s="47"/>
      <c r="I790" s="75"/>
      <c r="J790" s="76"/>
      <c r="K790" s="76"/>
      <c r="L790" s="75"/>
      <c r="M790" s="49"/>
      <c r="N790" s="76"/>
      <c r="O790" s="49"/>
      <c r="P790" s="77"/>
      <c r="Q790" s="53"/>
      <c r="R790" s="54"/>
      <c r="S790" s="55"/>
      <c r="T790" s="56"/>
      <c r="U790" s="56"/>
      <c r="V790" s="42"/>
      <c r="W790" s="57"/>
      <c r="X790" s="58"/>
      <c r="Y790" s="75"/>
      <c r="Z790" s="59"/>
      <c r="AA790" s="61"/>
      <c r="AB790" s="61"/>
      <c r="AC790" s="61"/>
      <c r="AD790" s="62"/>
      <c r="AE790" s="62"/>
      <c r="AF790" s="34"/>
      <c r="AG790" s="34"/>
      <c r="AH790" s="34"/>
      <c r="AI790" s="34"/>
      <c r="AJ790" s="34"/>
      <c r="AK790" s="34"/>
      <c r="AL790" s="34"/>
      <c r="AM790" s="34"/>
      <c r="AN790" s="34"/>
      <c r="AO790" s="34"/>
      <c r="AP790" s="34"/>
      <c r="AQ790" s="34"/>
      <c r="AR790" s="34"/>
      <c r="AS790" s="34"/>
      <c r="AT790" s="34"/>
      <c r="AU790" s="34"/>
      <c r="AV790" s="34"/>
      <c r="AW790" s="34"/>
      <c r="AX790" s="34"/>
      <c r="AY790" s="34"/>
      <c r="AZ790" s="34"/>
      <c r="BA790" s="34"/>
      <c r="BB790" s="34"/>
      <c r="BD790" s="34"/>
      <c r="BE790" s="34"/>
      <c r="BF790" s="34"/>
      <c r="BG790" s="34"/>
      <c r="BH790" s="34"/>
      <c r="BI790" s="34"/>
      <c r="BJ790" s="34"/>
      <c r="BK790" s="34"/>
      <c r="BL790" s="34"/>
      <c r="BM790" s="34"/>
      <c r="BN790" s="34"/>
      <c r="BO790" s="34"/>
      <c r="BP790" s="34"/>
      <c r="BQ790" s="34"/>
      <c r="BR790" s="34"/>
      <c r="BS790" s="34"/>
      <c r="BT790" s="34"/>
      <c r="BU790" s="34"/>
      <c r="BV790" s="34"/>
      <c r="BW790" s="34"/>
      <c r="BX790" s="34"/>
      <c r="BY790" s="34"/>
    </row>
    <row r="791" spans="1:77" x14ac:dyDescent="0.3">
      <c r="A791" s="39"/>
      <c r="B791" s="42"/>
      <c r="C791" s="42"/>
      <c r="D791" s="75"/>
      <c r="E791" s="75"/>
      <c r="F791" s="76"/>
      <c r="G791" s="47"/>
      <c r="H791" s="47"/>
      <c r="I791" s="75"/>
      <c r="J791" s="76"/>
      <c r="K791" s="76"/>
      <c r="L791" s="75"/>
      <c r="M791" s="49"/>
      <c r="N791" s="76"/>
      <c r="O791" s="49"/>
      <c r="P791" s="77"/>
      <c r="Q791" s="53"/>
      <c r="R791" s="54"/>
      <c r="S791" s="55"/>
      <c r="T791" s="56"/>
      <c r="U791" s="56"/>
      <c r="V791" s="42"/>
      <c r="W791" s="57"/>
      <c r="X791" s="58"/>
      <c r="Y791" s="75"/>
      <c r="Z791" s="59"/>
      <c r="AA791" s="61"/>
      <c r="AB791" s="61"/>
      <c r="AC791" s="61"/>
      <c r="AD791" s="62"/>
      <c r="AE791" s="62"/>
      <c r="AF791" s="34"/>
      <c r="AG791" s="34"/>
      <c r="AH791" s="34"/>
      <c r="AI791" s="34"/>
      <c r="AJ791" s="34"/>
      <c r="AK791" s="34"/>
      <c r="AL791" s="34"/>
      <c r="AM791" s="34"/>
      <c r="AN791" s="34"/>
      <c r="AO791" s="34"/>
      <c r="AP791" s="34"/>
      <c r="AQ791" s="34"/>
      <c r="AR791" s="34"/>
      <c r="AS791" s="34"/>
      <c r="AT791" s="34"/>
      <c r="AU791" s="34"/>
      <c r="AV791" s="34"/>
      <c r="AW791" s="34"/>
      <c r="AX791" s="34"/>
      <c r="AY791" s="34"/>
      <c r="AZ791" s="34"/>
      <c r="BA791" s="34"/>
      <c r="BB791" s="34"/>
      <c r="BD791" s="34"/>
      <c r="BE791" s="34"/>
      <c r="BF791" s="34"/>
      <c r="BG791" s="34"/>
      <c r="BH791" s="34"/>
      <c r="BI791" s="34"/>
      <c r="BJ791" s="34"/>
      <c r="BK791" s="34"/>
      <c r="BL791" s="34"/>
      <c r="BM791" s="34"/>
      <c r="BN791" s="34"/>
      <c r="BO791" s="34"/>
      <c r="BP791" s="34"/>
      <c r="BQ791" s="34"/>
      <c r="BR791" s="34"/>
      <c r="BS791" s="34"/>
      <c r="BT791" s="34"/>
      <c r="BU791" s="34"/>
      <c r="BV791" s="34"/>
      <c r="BW791" s="34"/>
      <c r="BX791" s="34"/>
      <c r="BY791" s="34"/>
    </row>
    <row r="792" spans="1:77" x14ac:dyDescent="0.3">
      <c r="A792" s="39"/>
      <c r="B792" s="42"/>
      <c r="C792" s="42"/>
      <c r="D792" s="75"/>
      <c r="E792" s="75"/>
      <c r="F792" s="76"/>
      <c r="G792" s="47"/>
      <c r="H792" s="47"/>
      <c r="I792" s="75"/>
      <c r="J792" s="76"/>
      <c r="K792" s="76"/>
      <c r="L792" s="75"/>
      <c r="M792" s="49"/>
      <c r="N792" s="76"/>
      <c r="O792" s="49"/>
      <c r="P792" s="77"/>
      <c r="Q792" s="53"/>
      <c r="R792" s="54"/>
      <c r="S792" s="55"/>
      <c r="T792" s="56"/>
      <c r="U792" s="56"/>
      <c r="V792" s="42"/>
      <c r="W792" s="57"/>
      <c r="X792" s="58"/>
      <c r="Y792" s="75"/>
      <c r="Z792" s="59"/>
      <c r="AA792" s="61"/>
      <c r="AB792" s="61"/>
      <c r="AC792" s="61"/>
      <c r="AD792" s="62"/>
      <c r="AE792" s="62"/>
      <c r="AF792" s="34"/>
      <c r="AG792" s="34"/>
      <c r="AH792" s="34"/>
      <c r="AI792" s="34"/>
      <c r="AJ792" s="34"/>
      <c r="AK792" s="34"/>
      <c r="AL792" s="34"/>
      <c r="AM792" s="34"/>
      <c r="AN792" s="34"/>
      <c r="AO792" s="34"/>
      <c r="AP792" s="34"/>
      <c r="AQ792" s="34"/>
      <c r="AR792" s="34"/>
      <c r="AS792" s="34"/>
      <c r="AT792" s="34"/>
      <c r="AU792" s="34"/>
      <c r="AV792" s="34"/>
      <c r="AW792" s="34"/>
      <c r="AX792" s="34"/>
      <c r="AY792" s="34"/>
      <c r="AZ792" s="34"/>
      <c r="BA792" s="34"/>
      <c r="BB792" s="34"/>
      <c r="BD792" s="34"/>
      <c r="BE792" s="34"/>
      <c r="BF792" s="34"/>
      <c r="BG792" s="34"/>
      <c r="BH792" s="34"/>
      <c r="BI792" s="34"/>
      <c r="BJ792" s="34"/>
      <c r="BK792" s="34"/>
      <c r="BL792" s="34"/>
      <c r="BM792" s="34"/>
      <c r="BN792" s="34"/>
      <c r="BO792" s="34"/>
      <c r="BP792" s="34"/>
      <c r="BQ792" s="34"/>
      <c r="BR792" s="34"/>
      <c r="BS792" s="34"/>
      <c r="BT792" s="34"/>
      <c r="BU792" s="34"/>
      <c r="BV792" s="34"/>
      <c r="BW792" s="34"/>
      <c r="BX792" s="34"/>
      <c r="BY792" s="34"/>
    </row>
    <row r="793" spans="1:77" x14ac:dyDescent="0.3">
      <c r="A793" s="39"/>
      <c r="B793" s="42"/>
      <c r="C793" s="42"/>
      <c r="D793" s="75"/>
      <c r="E793" s="75"/>
      <c r="F793" s="76"/>
      <c r="G793" s="47"/>
      <c r="H793" s="47"/>
      <c r="I793" s="75"/>
      <c r="J793" s="76"/>
      <c r="K793" s="76"/>
      <c r="L793" s="75"/>
      <c r="M793" s="49"/>
      <c r="N793" s="76"/>
      <c r="O793" s="49"/>
      <c r="P793" s="77"/>
      <c r="Q793" s="53"/>
      <c r="R793" s="54"/>
      <c r="S793" s="55"/>
      <c r="T793" s="56"/>
      <c r="U793" s="56"/>
      <c r="V793" s="42"/>
      <c r="W793" s="57"/>
      <c r="X793" s="58"/>
      <c r="Y793" s="75"/>
      <c r="Z793" s="59"/>
      <c r="AA793" s="61"/>
      <c r="AB793" s="61"/>
      <c r="AC793" s="61"/>
      <c r="AD793" s="62"/>
      <c r="AE793" s="62"/>
      <c r="AF793" s="34"/>
      <c r="AG793" s="34"/>
      <c r="AH793" s="34"/>
      <c r="AI793" s="34"/>
      <c r="AJ793" s="34"/>
      <c r="AK793" s="34"/>
      <c r="AL793" s="34"/>
      <c r="AM793" s="34"/>
      <c r="AN793" s="34"/>
      <c r="AO793" s="34"/>
      <c r="AP793" s="34"/>
      <c r="AQ793" s="34"/>
      <c r="AR793" s="34"/>
      <c r="AS793" s="34"/>
      <c r="AT793" s="34"/>
      <c r="AU793" s="34"/>
      <c r="AV793" s="34"/>
      <c r="AW793" s="34"/>
      <c r="AX793" s="34"/>
      <c r="AY793" s="34"/>
      <c r="AZ793" s="34"/>
      <c r="BA793" s="34"/>
      <c r="BB793" s="34"/>
      <c r="BD793" s="34"/>
      <c r="BE793" s="34"/>
      <c r="BF793" s="34"/>
      <c r="BG793" s="34"/>
      <c r="BH793" s="34"/>
      <c r="BI793" s="34"/>
      <c r="BJ793" s="34"/>
      <c r="BK793" s="34"/>
      <c r="BL793" s="34"/>
      <c r="BM793" s="34"/>
      <c r="BN793" s="34"/>
      <c r="BO793" s="34"/>
      <c r="BP793" s="34"/>
      <c r="BQ793" s="34"/>
      <c r="BR793" s="34"/>
      <c r="BS793" s="34"/>
      <c r="BT793" s="34"/>
      <c r="BU793" s="34"/>
      <c r="BV793" s="34"/>
      <c r="BW793" s="34"/>
      <c r="BX793" s="34"/>
      <c r="BY793" s="34"/>
    </row>
    <row r="794" spans="1:77" x14ac:dyDescent="0.3">
      <c r="A794" s="39"/>
      <c r="B794" s="42"/>
      <c r="C794" s="42"/>
      <c r="D794" s="75"/>
      <c r="E794" s="75"/>
      <c r="F794" s="76"/>
      <c r="G794" s="47"/>
      <c r="H794" s="47"/>
      <c r="I794" s="75"/>
      <c r="J794" s="76"/>
      <c r="K794" s="76"/>
      <c r="L794" s="75"/>
      <c r="M794" s="49"/>
      <c r="N794" s="76"/>
      <c r="O794" s="49"/>
      <c r="P794" s="77"/>
      <c r="Q794" s="53"/>
      <c r="R794" s="54"/>
      <c r="S794" s="55"/>
      <c r="T794" s="56"/>
      <c r="U794" s="56"/>
      <c r="V794" s="42"/>
      <c r="W794" s="57"/>
      <c r="X794" s="58"/>
      <c r="Y794" s="75"/>
      <c r="Z794" s="59"/>
      <c r="AA794" s="61"/>
      <c r="AB794" s="61"/>
      <c r="AC794" s="61"/>
      <c r="AD794" s="62"/>
      <c r="AE794" s="62"/>
      <c r="AF794" s="34"/>
      <c r="AG794" s="34"/>
      <c r="AH794" s="34"/>
      <c r="AI794" s="34"/>
      <c r="AJ794" s="34"/>
      <c r="AK794" s="34"/>
      <c r="AL794" s="34"/>
      <c r="AM794" s="34"/>
      <c r="AN794" s="34"/>
      <c r="AO794" s="34"/>
      <c r="AP794" s="34"/>
      <c r="AQ794" s="34"/>
      <c r="AR794" s="34"/>
      <c r="AS794" s="34"/>
      <c r="AT794" s="34"/>
      <c r="AU794" s="34"/>
      <c r="AV794" s="34"/>
      <c r="AW794" s="34"/>
      <c r="AX794" s="34"/>
      <c r="AY794" s="34"/>
      <c r="AZ794" s="34"/>
      <c r="BA794" s="34"/>
      <c r="BB794" s="34"/>
      <c r="BD794" s="34"/>
      <c r="BE794" s="34"/>
      <c r="BF794" s="34"/>
      <c r="BG794" s="34"/>
      <c r="BH794" s="34"/>
      <c r="BI794" s="34"/>
      <c r="BJ794" s="34"/>
      <c r="BK794" s="34"/>
      <c r="BL794" s="34"/>
      <c r="BM794" s="34"/>
      <c r="BN794" s="34"/>
      <c r="BO794" s="34"/>
      <c r="BP794" s="34"/>
      <c r="BQ794" s="34"/>
      <c r="BR794" s="34"/>
      <c r="BS794" s="34"/>
      <c r="BT794" s="34"/>
      <c r="BU794" s="34"/>
      <c r="BV794" s="34"/>
      <c r="BW794" s="34"/>
      <c r="BX794" s="34"/>
      <c r="BY794" s="34"/>
    </row>
    <row r="795" spans="1:77" x14ac:dyDescent="0.3">
      <c r="A795" s="39"/>
      <c r="B795" s="42"/>
      <c r="C795" s="42"/>
      <c r="D795" s="75"/>
      <c r="E795" s="75"/>
      <c r="F795" s="76"/>
      <c r="G795" s="47"/>
      <c r="H795" s="47"/>
      <c r="I795" s="75"/>
      <c r="J795" s="76"/>
      <c r="K795" s="76"/>
      <c r="L795" s="75"/>
      <c r="M795" s="49"/>
      <c r="N795" s="76"/>
      <c r="O795" s="49"/>
      <c r="P795" s="77"/>
      <c r="Q795" s="53"/>
      <c r="R795" s="54"/>
      <c r="S795" s="55"/>
      <c r="T795" s="56"/>
      <c r="U795" s="56"/>
      <c r="V795" s="42"/>
      <c r="W795" s="57"/>
      <c r="X795" s="58"/>
      <c r="Y795" s="75"/>
      <c r="Z795" s="59"/>
      <c r="AA795" s="61"/>
      <c r="AB795" s="61"/>
      <c r="AC795" s="61"/>
      <c r="AD795" s="62"/>
      <c r="AE795" s="62"/>
      <c r="AF795" s="34"/>
      <c r="AG795" s="34"/>
      <c r="AH795" s="34"/>
      <c r="AI795" s="34"/>
      <c r="AJ795" s="34"/>
      <c r="AK795" s="34"/>
      <c r="AL795" s="34"/>
      <c r="AM795" s="34"/>
      <c r="AN795" s="34"/>
      <c r="AO795" s="34"/>
      <c r="AP795" s="34"/>
      <c r="AQ795" s="34"/>
      <c r="AR795" s="34"/>
      <c r="AS795" s="34"/>
      <c r="AT795" s="34"/>
      <c r="AU795" s="34"/>
      <c r="AV795" s="34"/>
      <c r="AW795" s="34"/>
      <c r="AX795" s="34"/>
      <c r="AY795" s="34"/>
      <c r="AZ795" s="34"/>
      <c r="BA795" s="34"/>
      <c r="BB795" s="34"/>
      <c r="BD795" s="34"/>
      <c r="BE795" s="34"/>
      <c r="BF795" s="34"/>
      <c r="BG795" s="34"/>
      <c r="BH795" s="34"/>
      <c r="BI795" s="34"/>
      <c r="BJ795" s="34"/>
      <c r="BK795" s="34"/>
      <c r="BL795" s="34"/>
      <c r="BM795" s="34"/>
      <c r="BN795" s="34"/>
      <c r="BO795" s="34"/>
      <c r="BP795" s="34"/>
      <c r="BQ795" s="34"/>
      <c r="BR795" s="34"/>
      <c r="BS795" s="34"/>
      <c r="BT795" s="34"/>
      <c r="BU795" s="34"/>
      <c r="BV795" s="34"/>
      <c r="BW795" s="34"/>
      <c r="BX795" s="34"/>
      <c r="BY795" s="34"/>
    </row>
    <row r="796" spans="1:77" x14ac:dyDescent="0.3">
      <c r="A796" s="39"/>
      <c r="B796" s="42"/>
      <c r="C796" s="42"/>
      <c r="D796" s="75"/>
      <c r="E796" s="75"/>
      <c r="F796" s="76"/>
      <c r="G796" s="47"/>
      <c r="H796" s="47"/>
      <c r="I796" s="75"/>
      <c r="J796" s="76"/>
      <c r="K796" s="76"/>
      <c r="L796" s="75"/>
      <c r="M796" s="49"/>
      <c r="N796" s="76"/>
      <c r="O796" s="49"/>
      <c r="P796" s="77"/>
      <c r="Q796" s="53"/>
      <c r="R796" s="54"/>
      <c r="S796" s="55"/>
      <c r="T796" s="56"/>
      <c r="U796" s="56"/>
      <c r="V796" s="42"/>
      <c r="W796" s="57"/>
      <c r="X796" s="58"/>
      <c r="Y796" s="75"/>
      <c r="Z796" s="59"/>
      <c r="AA796" s="61"/>
      <c r="AB796" s="61"/>
      <c r="AC796" s="61"/>
      <c r="AD796" s="62"/>
      <c r="AE796" s="62"/>
      <c r="AF796" s="34"/>
      <c r="AG796" s="34"/>
      <c r="AH796" s="34"/>
      <c r="AI796" s="34"/>
      <c r="AJ796" s="34"/>
      <c r="AK796" s="34"/>
      <c r="AL796" s="34"/>
      <c r="AM796" s="34"/>
      <c r="AN796" s="34"/>
      <c r="AO796" s="34"/>
      <c r="AP796" s="34"/>
      <c r="AQ796" s="34"/>
      <c r="AR796" s="34"/>
      <c r="AS796" s="34"/>
      <c r="AT796" s="34"/>
      <c r="AU796" s="34"/>
      <c r="AV796" s="34"/>
      <c r="AW796" s="34"/>
      <c r="AX796" s="34"/>
      <c r="AY796" s="34"/>
      <c r="AZ796" s="34"/>
      <c r="BA796" s="34"/>
      <c r="BB796" s="34"/>
      <c r="BD796" s="34"/>
      <c r="BE796" s="34"/>
      <c r="BF796" s="34"/>
      <c r="BG796" s="34"/>
      <c r="BH796" s="34"/>
      <c r="BI796" s="34"/>
      <c r="BJ796" s="34"/>
      <c r="BK796" s="34"/>
      <c r="BL796" s="34"/>
      <c r="BM796" s="34"/>
      <c r="BN796" s="34"/>
      <c r="BO796" s="34"/>
      <c r="BP796" s="34"/>
      <c r="BQ796" s="34"/>
      <c r="BR796" s="34"/>
      <c r="BS796" s="34"/>
      <c r="BT796" s="34"/>
      <c r="BU796" s="34"/>
      <c r="BV796" s="34"/>
      <c r="BW796" s="34"/>
      <c r="BX796" s="34"/>
      <c r="BY796" s="34"/>
    </row>
    <row r="797" spans="1:77" x14ac:dyDescent="0.3">
      <c r="A797" s="39"/>
      <c r="B797" s="42"/>
      <c r="C797" s="42"/>
      <c r="D797" s="75"/>
      <c r="E797" s="75"/>
      <c r="F797" s="76"/>
      <c r="G797" s="47"/>
      <c r="H797" s="47"/>
      <c r="I797" s="75"/>
      <c r="J797" s="76"/>
      <c r="K797" s="76"/>
      <c r="L797" s="75"/>
      <c r="M797" s="49"/>
      <c r="N797" s="76"/>
      <c r="O797" s="49"/>
      <c r="P797" s="77"/>
      <c r="Q797" s="53"/>
      <c r="R797" s="54"/>
      <c r="S797" s="55"/>
      <c r="T797" s="56"/>
      <c r="U797" s="56"/>
      <c r="V797" s="42"/>
      <c r="W797" s="57"/>
      <c r="X797" s="58"/>
      <c r="Y797" s="75"/>
      <c r="Z797" s="59"/>
      <c r="AA797" s="61"/>
      <c r="AB797" s="61"/>
      <c r="AC797" s="61"/>
      <c r="AD797" s="62"/>
      <c r="AE797" s="62"/>
      <c r="AF797" s="34"/>
      <c r="AG797" s="34"/>
      <c r="AH797" s="34"/>
      <c r="AI797" s="34"/>
      <c r="AJ797" s="34"/>
      <c r="AK797" s="34"/>
      <c r="AL797" s="34"/>
      <c r="AM797" s="34"/>
      <c r="AN797" s="34"/>
      <c r="AO797" s="34"/>
      <c r="AP797" s="34"/>
      <c r="AQ797" s="34"/>
      <c r="AR797" s="34"/>
      <c r="AS797" s="34"/>
      <c r="AT797" s="34"/>
      <c r="AU797" s="34"/>
      <c r="AV797" s="34"/>
      <c r="AW797" s="34"/>
      <c r="AX797" s="34"/>
      <c r="AY797" s="34"/>
      <c r="AZ797" s="34"/>
      <c r="BA797" s="34"/>
      <c r="BB797" s="34"/>
      <c r="BD797" s="34"/>
      <c r="BE797" s="34"/>
      <c r="BF797" s="34"/>
      <c r="BG797" s="34"/>
      <c r="BH797" s="34"/>
      <c r="BI797" s="34"/>
      <c r="BJ797" s="34"/>
      <c r="BK797" s="34"/>
      <c r="BL797" s="34"/>
      <c r="BM797" s="34"/>
      <c r="BN797" s="34"/>
      <c r="BO797" s="34"/>
      <c r="BP797" s="34"/>
      <c r="BQ797" s="34"/>
      <c r="BR797" s="34"/>
      <c r="BS797" s="34"/>
      <c r="BT797" s="34"/>
      <c r="BU797" s="34"/>
      <c r="BV797" s="34"/>
      <c r="BW797" s="34"/>
      <c r="BX797" s="34"/>
      <c r="BY797" s="34"/>
    </row>
    <row r="798" spans="1:77" x14ac:dyDescent="0.3">
      <c r="A798" s="39"/>
      <c r="B798" s="42"/>
      <c r="C798" s="42"/>
      <c r="D798" s="75"/>
      <c r="E798" s="75"/>
      <c r="F798" s="76"/>
      <c r="G798" s="47"/>
      <c r="H798" s="47"/>
      <c r="I798" s="75"/>
      <c r="J798" s="76"/>
      <c r="K798" s="76"/>
      <c r="L798" s="75"/>
      <c r="M798" s="49"/>
      <c r="N798" s="76"/>
      <c r="O798" s="49"/>
      <c r="P798" s="77"/>
      <c r="Q798" s="53"/>
      <c r="R798" s="54"/>
      <c r="S798" s="55"/>
      <c r="T798" s="56"/>
      <c r="U798" s="56"/>
      <c r="V798" s="42"/>
      <c r="W798" s="57"/>
      <c r="X798" s="58"/>
      <c r="Y798" s="75"/>
      <c r="Z798" s="59"/>
      <c r="AA798" s="61"/>
      <c r="AB798" s="61"/>
      <c r="AC798" s="61"/>
      <c r="AD798" s="62"/>
      <c r="AE798" s="62"/>
      <c r="AF798" s="34"/>
      <c r="AG798" s="34"/>
      <c r="AH798" s="34"/>
      <c r="AI798" s="34"/>
      <c r="AJ798" s="34"/>
      <c r="AK798" s="34"/>
      <c r="AL798" s="34"/>
      <c r="AM798" s="34"/>
      <c r="AN798" s="34"/>
      <c r="AO798" s="34"/>
      <c r="AP798" s="34"/>
      <c r="AQ798" s="34"/>
      <c r="AR798" s="34"/>
      <c r="AS798" s="34"/>
      <c r="AT798" s="34"/>
      <c r="AU798" s="34"/>
      <c r="AV798" s="34"/>
      <c r="AW798" s="34"/>
      <c r="AX798" s="34"/>
      <c r="AY798" s="34"/>
      <c r="AZ798" s="34"/>
      <c r="BA798" s="34"/>
      <c r="BB798" s="34"/>
      <c r="BD798" s="34"/>
      <c r="BE798" s="34"/>
      <c r="BF798" s="34"/>
      <c r="BG798" s="34"/>
      <c r="BH798" s="34"/>
      <c r="BI798" s="34"/>
      <c r="BJ798" s="34"/>
      <c r="BK798" s="34"/>
      <c r="BL798" s="34"/>
      <c r="BM798" s="34"/>
      <c r="BN798" s="34"/>
      <c r="BO798" s="34"/>
      <c r="BP798" s="34"/>
      <c r="BQ798" s="34"/>
      <c r="BR798" s="34"/>
      <c r="BS798" s="34"/>
      <c r="BT798" s="34"/>
      <c r="BU798" s="34"/>
      <c r="BV798" s="34"/>
      <c r="BW798" s="34"/>
      <c r="BX798" s="34"/>
      <c r="BY798" s="34"/>
    </row>
    <row r="799" spans="1:77" x14ac:dyDescent="0.3">
      <c r="A799" s="39"/>
      <c r="B799" s="42"/>
      <c r="C799" s="42"/>
      <c r="D799" s="75"/>
      <c r="E799" s="75"/>
      <c r="F799" s="76"/>
      <c r="G799" s="47"/>
      <c r="H799" s="47"/>
      <c r="I799" s="75"/>
      <c r="J799" s="76"/>
      <c r="K799" s="76"/>
      <c r="L799" s="75"/>
      <c r="M799" s="49"/>
      <c r="N799" s="76"/>
      <c r="O799" s="49"/>
      <c r="P799" s="77"/>
      <c r="Q799" s="53"/>
      <c r="R799" s="54"/>
      <c r="S799" s="55"/>
      <c r="T799" s="56"/>
      <c r="U799" s="56"/>
      <c r="V799" s="42"/>
      <c r="W799" s="57"/>
      <c r="X799" s="58"/>
      <c r="Y799" s="75"/>
      <c r="Z799" s="59"/>
      <c r="AA799" s="61"/>
      <c r="AB799" s="61"/>
      <c r="AC799" s="61"/>
      <c r="AD799" s="62"/>
      <c r="AE799" s="62"/>
      <c r="AF799" s="34"/>
      <c r="AG799" s="34"/>
      <c r="AH799" s="34"/>
      <c r="AI799" s="34"/>
      <c r="AJ799" s="34"/>
      <c r="AK799" s="34"/>
      <c r="AL799" s="34"/>
      <c r="AM799" s="34"/>
      <c r="AN799" s="34"/>
      <c r="AO799" s="34"/>
      <c r="AP799" s="34"/>
      <c r="AQ799" s="34"/>
      <c r="AR799" s="34"/>
      <c r="AS799" s="34"/>
      <c r="AT799" s="34"/>
      <c r="AU799" s="34"/>
      <c r="AV799" s="34"/>
      <c r="AW799" s="34"/>
      <c r="AX799" s="34"/>
      <c r="AY799" s="34"/>
      <c r="AZ799" s="34"/>
      <c r="BA799" s="34"/>
      <c r="BB799" s="34"/>
      <c r="BD799" s="34"/>
      <c r="BE799" s="34"/>
      <c r="BF799" s="34"/>
      <c r="BG799" s="34"/>
      <c r="BH799" s="34"/>
      <c r="BI799" s="34"/>
      <c r="BJ799" s="34"/>
      <c r="BK799" s="34"/>
      <c r="BL799" s="34"/>
      <c r="BM799" s="34"/>
      <c r="BN799" s="34"/>
      <c r="BO799" s="34"/>
      <c r="BP799" s="34"/>
      <c r="BQ799" s="34"/>
      <c r="BR799" s="34"/>
      <c r="BS799" s="34"/>
      <c r="BT799" s="34"/>
      <c r="BU799" s="34"/>
      <c r="BV799" s="34"/>
      <c r="BW799" s="34"/>
      <c r="BX799" s="34"/>
      <c r="BY799" s="34"/>
    </row>
    <row r="800" spans="1:77" x14ac:dyDescent="0.3">
      <c r="A800" s="39"/>
      <c r="B800" s="42"/>
      <c r="C800" s="42"/>
      <c r="D800" s="75"/>
      <c r="E800" s="75"/>
      <c r="F800" s="76"/>
      <c r="G800" s="47"/>
      <c r="H800" s="47"/>
      <c r="I800" s="75"/>
      <c r="J800" s="76"/>
      <c r="K800" s="76"/>
      <c r="L800" s="75"/>
      <c r="M800" s="49"/>
      <c r="N800" s="76"/>
      <c r="O800" s="49"/>
      <c r="P800" s="77"/>
      <c r="Q800" s="53"/>
      <c r="R800" s="54"/>
      <c r="S800" s="55"/>
      <c r="T800" s="56"/>
      <c r="U800" s="56"/>
      <c r="V800" s="42"/>
      <c r="W800" s="57"/>
      <c r="X800" s="58"/>
      <c r="Y800" s="75"/>
      <c r="Z800" s="59"/>
      <c r="AA800" s="61"/>
      <c r="AB800" s="61"/>
      <c r="AC800" s="61"/>
      <c r="AD800" s="62"/>
      <c r="AE800" s="62"/>
      <c r="AF800" s="34"/>
      <c r="AG800" s="34"/>
      <c r="AH800" s="34"/>
      <c r="AI800" s="34"/>
      <c r="AJ800" s="34"/>
      <c r="AK800" s="34"/>
      <c r="AL800" s="34"/>
      <c r="AM800" s="34"/>
      <c r="AN800" s="34"/>
      <c r="AO800" s="34"/>
      <c r="AP800" s="34"/>
      <c r="AQ800" s="34"/>
      <c r="AR800" s="34"/>
      <c r="AS800" s="34"/>
      <c r="AT800" s="34"/>
      <c r="AU800" s="34"/>
      <c r="AV800" s="34"/>
      <c r="AW800" s="34"/>
      <c r="AX800" s="34"/>
      <c r="AY800" s="34"/>
      <c r="AZ800" s="34"/>
      <c r="BA800" s="34"/>
      <c r="BB800" s="34"/>
      <c r="BD800" s="34"/>
      <c r="BE800" s="34"/>
      <c r="BF800" s="34"/>
      <c r="BG800" s="34"/>
      <c r="BH800" s="34"/>
      <c r="BI800" s="34"/>
      <c r="BJ800" s="34"/>
      <c r="BK800" s="34"/>
      <c r="BL800" s="34"/>
      <c r="BM800" s="34"/>
      <c r="BN800" s="34"/>
      <c r="BO800" s="34"/>
      <c r="BP800" s="34"/>
      <c r="BQ800" s="34"/>
      <c r="BR800" s="34"/>
      <c r="BS800" s="34"/>
      <c r="BT800" s="34"/>
      <c r="BU800" s="34"/>
      <c r="BV800" s="34"/>
      <c r="BW800" s="34"/>
      <c r="BX800" s="34"/>
      <c r="BY800" s="34"/>
    </row>
    <row r="801" spans="1:77" x14ac:dyDescent="0.3">
      <c r="A801" s="39"/>
      <c r="B801" s="42"/>
      <c r="C801" s="42"/>
      <c r="D801" s="75"/>
      <c r="E801" s="75"/>
      <c r="F801" s="76"/>
      <c r="G801" s="47"/>
      <c r="H801" s="47"/>
      <c r="I801" s="75"/>
      <c r="J801" s="76"/>
      <c r="K801" s="76"/>
      <c r="L801" s="75"/>
      <c r="M801" s="49"/>
      <c r="N801" s="76"/>
      <c r="O801" s="49"/>
      <c r="P801" s="77"/>
      <c r="Q801" s="53"/>
      <c r="R801" s="54"/>
      <c r="S801" s="55"/>
      <c r="T801" s="56"/>
      <c r="U801" s="56"/>
      <c r="V801" s="42"/>
      <c r="W801" s="57"/>
      <c r="X801" s="58"/>
      <c r="Y801" s="75"/>
      <c r="Z801" s="59"/>
      <c r="AA801" s="61"/>
      <c r="AB801" s="61"/>
      <c r="AC801" s="61"/>
      <c r="AD801" s="62"/>
      <c r="AE801" s="62"/>
      <c r="AF801" s="34"/>
      <c r="AG801" s="34"/>
      <c r="AH801" s="34"/>
      <c r="AI801" s="34"/>
      <c r="AJ801" s="34"/>
      <c r="AK801" s="34"/>
      <c r="AL801" s="34"/>
      <c r="AM801" s="34"/>
      <c r="AN801" s="34"/>
      <c r="AO801" s="34"/>
      <c r="AP801" s="34"/>
      <c r="AQ801" s="34"/>
      <c r="AR801" s="34"/>
      <c r="AS801" s="34"/>
      <c r="AT801" s="34"/>
      <c r="AU801" s="34"/>
      <c r="AV801" s="34"/>
      <c r="AW801" s="34"/>
      <c r="AX801" s="34"/>
      <c r="AY801" s="34"/>
      <c r="AZ801" s="34"/>
      <c r="BA801" s="34"/>
      <c r="BB801" s="34"/>
      <c r="BD801" s="34"/>
      <c r="BE801" s="34"/>
      <c r="BF801" s="34"/>
      <c r="BG801" s="34"/>
      <c r="BH801" s="34"/>
      <c r="BI801" s="34"/>
      <c r="BJ801" s="34"/>
      <c r="BK801" s="34"/>
      <c r="BL801" s="34"/>
      <c r="BM801" s="34"/>
      <c r="BN801" s="34"/>
      <c r="BO801" s="34"/>
      <c r="BP801" s="34"/>
      <c r="BQ801" s="34"/>
      <c r="BR801" s="34"/>
      <c r="BS801" s="34"/>
      <c r="BT801" s="34"/>
      <c r="BU801" s="34"/>
      <c r="BV801" s="34"/>
      <c r="BW801" s="34"/>
      <c r="BX801" s="34"/>
      <c r="BY801" s="34"/>
    </row>
    <row r="802" spans="1:77" x14ac:dyDescent="0.3">
      <c r="A802" s="39"/>
      <c r="B802" s="42"/>
      <c r="C802" s="42"/>
      <c r="D802" s="75"/>
      <c r="E802" s="75"/>
      <c r="F802" s="76"/>
      <c r="G802" s="47"/>
      <c r="H802" s="47"/>
      <c r="I802" s="75"/>
      <c r="J802" s="76"/>
      <c r="K802" s="76"/>
      <c r="L802" s="75"/>
      <c r="M802" s="49"/>
      <c r="N802" s="76"/>
      <c r="O802" s="49"/>
      <c r="P802" s="77"/>
      <c r="Q802" s="53"/>
      <c r="R802" s="54"/>
      <c r="S802" s="55"/>
      <c r="T802" s="56"/>
      <c r="U802" s="56"/>
      <c r="V802" s="42"/>
      <c r="W802" s="57"/>
      <c r="X802" s="58"/>
      <c r="Y802" s="75"/>
      <c r="Z802" s="59"/>
      <c r="AA802" s="61"/>
      <c r="AB802" s="61"/>
      <c r="AC802" s="61"/>
      <c r="AD802" s="62"/>
      <c r="AE802" s="62"/>
      <c r="AF802" s="34"/>
      <c r="AG802" s="34"/>
      <c r="AH802" s="34"/>
      <c r="AI802" s="34"/>
      <c r="AJ802" s="34"/>
      <c r="AK802" s="34"/>
      <c r="AL802" s="34"/>
      <c r="AM802" s="34"/>
      <c r="AN802" s="34"/>
      <c r="AO802" s="34"/>
      <c r="AP802" s="34"/>
      <c r="AQ802" s="34"/>
      <c r="AR802" s="34"/>
      <c r="AS802" s="34"/>
      <c r="AT802" s="34"/>
      <c r="AU802" s="34"/>
      <c r="AV802" s="34"/>
      <c r="AW802" s="34"/>
      <c r="AX802" s="34"/>
      <c r="AY802" s="34"/>
      <c r="AZ802" s="34"/>
      <c r="BA802" s="34"/>
      <c r="BB802" s="34"/>
      <c r="BD802" s="34"/>
      <c r="BE802" s="34"/>
      <c r="BF802" s="34"/>
      <c r="BG802" s="34"/>
      <c r="BH802" s="34"/>
      <c r="BI802" s="34"/>
      <c r="BJ802" s="34"/>
      <c r="BK802" s="34"/>
      <c r="BL802" s="34"/>
      <c r="BM802" s="34"/>
      <c r="BN802" s="34"/>
      <c r="BO802" s="34"/>
      <c r="BP802" s="34"/>
      <c r="BQ802" s="34"/>
      <c r="BR802" s="34"/>
      <c r="BS802" s="34"/>
      <c r="BT802" s="34"/>
      <c r="BU802" s="34"/>
      <c r="BV802" s="34"/>
      <c r="BW802" s="34"/>
      <c r="BX802" s="34"/>
      <c r="BY802" s="34"/>
    </row>
    <row r="803" spans="1:77" x14ac:dyDescent="0.3">
      <c r="A803" s="39"/>
      <c r="B803" s="42"/>
      <c r="C803" s="42"/>
      <c r="D803" s="75"/>
      <c r="E803" s="75"/>
      <c r="F803" s="76"/>
      <c r="G803" s="47"/>
      <c r="H803" s="47"/>
      <c r="I803" s="75"/>
      <c r="J803" s="76"/>
      <c r="K803" s="76"/>
      <c r="L803" s="75"/>
      <c r="M803" s="49"/>
      <c r="N803" s="76"/>
      <c r="O803" s="49"/>
      <c r="P803" s="77"/>
      <c r="Q803" s="53"/>
      <c r="R803" s="54"/>
      <c r="S803" s="55"/>
      <c r="T803" s="56"/>
      <c r="U803" s="56"/>
      <c r="V803" s="42"/>
      <c r="W803" s="57"/>
      <c r="X803" s="58"/>
      <c r="Y803" s="75"/>
      <c r="Z803" s="59"/>
      <c r="AA803" s="61"/>
      <c r="AB803" s="61"/>
      <c r="AC803" s="61"/>
      <c r="AD803" s="62"/>
      <c r="AE803" s="62"/>
      <c r="AF803" s="34"/>
      <c r="AG803" s="34"/>
      <c r="AH803" s="34"/>
      <c r="AI803" s="34"/>
      <c r="AJ803" s="34"/>
      <c r="AK803" s="34"/>
      <c r="AL803" s="34"/>
      <c r="AM803" s="34"/>
      <c r="AN803" s="34"/>
      <c r="AO803" s="34"/>
      <c r="AP803" s="34"/>
      <c r="AQ803" s="34"/>
      <c r="AR803" s="34"/>
      <c r="AS803" s="34"/>
      <c r="AT803" s="34"/>
      <c r="AU803" s="34"/>
      <c r="AV803" s="34"/>
      <c r="AW803" s="34"/>
      <c r="AX803" s="34"/>
      <c r="AY803" s="34"/>
      <c r="AZ803" s="34"/>
      <c r="BA803" s="34"/>
      <c r="BB803" s="34"/>
      <c r="BD803" s="34"/>
      <c r="BE803" s="34"/>
      <c r="BF803" s="34"/>
      <c r="BG803" s="34"/>
      <c r="BH803" s="34"/>
      <c r="BI803" s="34"/>
      <c r="BJ803" s="34"/>
      <c r="BK803" s="34"/>
      <c r="BL803" s="34"/>
      <c r="BM803" s="34"/>
      <c r="BN803" s="34"/>
      <c r="BO803" s="34"/>
      <c r="BP803" s="34"/>
      <c r="BQ803" s="34"/>
      <c r="BR803" s="34"/>
      <c r="BS803" s="34"/>
      <c r="BT803" s="34"/>
      <c r="BU803" s="34"/>
      <c r="BV803" s="34"/>
      <c r="BW803" s="34"/>
      <c r="BX803" s="34"/>
      <c r="BY803" s="34"/>
    </row>
    <row r="804" spans="1:77" x14ac:dyDescent="0.3">
      <c r="A804" s="39"/>
      <c r="B804" s="42"/>
      <c r="C804" s="42"/>
      <c r="D804" s="75"/>
      <c r="E804" s="75"/>
      <c r="F804" s="76"/>
      <c r="G804" s="47"/>
      <c r="H804" s="47"/>
      <c r="I804" s="75"/>
      <c r="J804" s="76"/>
      <c r="K804" s="76"/>
      <c r="L804" s="75"/>
      <c r="M804" s="49"/>
      <c r="N804" s="76"/>
      <c r="O804" s="49"/>
      <c r="P804" s="77"/>
      <c r="Q804" s="53"/>
      <c r="R804" s="54"/>
      <c r="S804" s="55"/>
      <c r="T804" s="56"/>
      <c r="U804" s="56"/>
      <c r="V804" s="42"/>
      <c r="W804" s="57"/>
      <c r="X804" s="58"/>
      <c r="Y804" s="75"/>
      <c r="Z804" s="59"/>
      <c r="AA804" s="61"/>
      <c r="AB804" s="61"/>
      <c r="AC804" s="61"/>
      <c r="AD804" s="62"/>
      <c r="AE804" s="62"/>
      <c r="AF804" s="34"/>
      <c r="AG804" s="34"/>
      <c r="AH804" s="34"/>
      <c r="AI804" s="34"/>
      <c r="AJ804" s="34"/>
      <c r="AK804" s="34"/>
      <c r="AL804" s="34"/>
      <c r="AM804" s="34"/>
      <c r="AN804" s="34"/>
      <c r="AO804" s="34"/>
      <c r="AP804" s="34"/>
      <c r="AQ804" s="34"/>
      <c r="AR804" s="34"/>
      <c r="AS804" s="34"/>
      <c r="AT804" s="34"/>
      <c r="AU804" s="34"/>
      <c r="AV804" s="34"/>
      <c r="AW804" s="34"/>
      <c r="AX804" s="34"/>
      <c r="AY804" s="34"/>
      <c r="AZ804" s="34"/>
      <c r="BA804" s="34"/>
      <c r="BB804" s="34"/>
      <c r="BD804" s="34"/>
      <c r="BE804" s="34"/>
      <c r="BF804" s="34"/>
      <c r="BG804" s="34"/>
      <c r="BH804" s="34"/>
      <c r="BI804" s="34"/>
      <c r="BJ804" s="34"/>
      <c r="BK804" s="34"/>
      <c r="BL804" s="34"/>
      <c r="BM804" s="34"/>
      <c r="BN804" s="34"/>
      <c r="BO804" s="34"/>
      <c r="BP804" s="34"/>
      <c r="BQ804" s="34"/>
      <c r="BR804" s="34"/>
      <c r="BS804" s="34"/>
      <c r="BT804" s="34"/>
      <c r="BU804" s="34"/>
      <c r="BV804" s="34"/>
      <c r="BW804" s="34"/>
      <c r="BX804" s="34"/>
      <c r="BY804" s="34"/>
    </row>
    <row r="805" spans="1:77" x14ac:dyDescent="0.3">
      <c r="A805" s="39"/>
      <c r="B805" s="42"/>
      <c r="C805" s="42"/>
      <c r="D805" s="75"/>
      <c r="E805" s="75"/>
      <c r="F805" s="76"/>
      <c r="G805" s="47"/>
      <c r="H805" s="47"/>
      <c r="I805" s="75"/>
      <c r="J805" s="76"/>
      <c r="K805" s="76"/>
      <c r="L805" s="75"/>
      <c r="M805" s="49"/>
      <c r="N805" s="76"/>
      <c r="O805" s="49"/>
      <c r="P805" s="77"/>
      <c r="Q805" s="53"/>
      <c r="R805" s="54"/>
      <c r="S805" s="55"/>
      <c r="T805" s="56"/>
      <c r="U805" s="56"/>
      <c r="V805" s="42"/>
      <c r="W805" s="57"/>
      <c r="X805" s="58"/>
      <c r="Y805" s="75"/>
      <c r="Z805" s="59"/>
      <c r="AA805" s="61"/>
      <c r="AB805" s="61"/>
      <c r="AC805" s="61"/>
      <c r="AD805" s="62"/>
      <c r="AE805" s="62"/>
      <c r="AF805" s="34"/>
      <c r="AG805" s="34"/>
      <c r="AH805" s="34"/>
      <c r="AI805" s="34"/>
      <c r="AJ805" s="34"/>
      <c r="AK805" s="34"/>
      <c r="AL805" s="34"/>
      <c r="AM805" s="34"/>
      <c r="AN805" s="34"/>
      <c r="AO805" s="34"/>
      <c r="AP805" s="34"/>
      <c r="AQ805" s="34"/>
      <c r="AR805" s="34"/>
      <c r="AS805" s="34"/>
      <c r="AT805" s="34"/>
      <c r="AU805" s="34"/>
      <c r="AV805" s="34"/>
      <c r="AW805" s="34"/>
      <c r="AX805" s="34"/>
      <c r="AY805" s="34"/>
      <c r="AZ805" s="34"/>
      <c r="BA805" s="34"/>
      <c r="BB805" s="34"/>
      <c r="BD805" s="34"/>
      <c r="BE805" s="34"/>
      <c r="BF805" s="34"/>
      <c r="BG805" s="34"/>
      <c r="BH805" s="34"/>
      <c r="BI805" s="34"/>
      <c r="BJ805" s="34"/>
      <c r="BK805" s="34"/>
      <c r="BL805" s="34"/>
      <c r="BM805" s="34"/>
      <c r="BN805" s="34"/>
      <c r="BO805" s="34"/>
      <c r="BP805" s="34"/>
      <c r="BQ805" s="34"/>
      <c r="BR805" s="34"/>
      <c r="BS805" s="34"/>
      <c r="BT805" s="34"/>
      <c r="BU805" s="34"/>
      <c r="BV805" s="34"/>
      <c r="BW805" s="34"/>
      <c r="BX805" s="34"/>
      <c r="BY805" s="34"/>
    </row>
    <row r="806" spans="1:77" x14ac:dyDescent="0.3">
      <c r="A806" s="39"/>
      <c r="B806" s="42"/>
      <c r="C806" s="42"/>
      <c r="D806" s="75"/>
      <c r="E806" s="75"/>
      <c r="F806" s="76"/>
      <c r="G806" s="47"/>
      <c r="H806" s="47"/>
      <c r="I806" s="75"/>
      <c r="J806" s="76"/>
      <c r="K806" s="76"/>
      <c r="L806" s="75"/>
      <c r="M806" s="49"/>
      <c r="N806" s="76"/>
      <c r="O806" s="49"/>
      <c r="P806" s="77"/>
      <c r="Q806" s="53"/>
      <c r="R806" s="54"/>
      <c r="S806" s="55"/>
      <c r="T806" s="56"/>
      <c r="U806" s="56"/>
      <c r="V806" s="42"/>
      <c r="W806" s="57"/>
      <c r="X806" s="58"/>
      <c r="Y806" s="75"/>
      <c r="Z806" s="59"/>
      <c r="AA806" s="61"/>
      <c r="AB806" s="61"/>
      <c r="AC806" s="61"/>
      <c r="AD806" s="62"/>
      <c r="AE806" s="62"/>
      <c r="AF806" s="34"/>
      <c r="AG806" s="34"/>
      <c r="AH806" s="34"/>
      <c r="AI806" s="34"/>
      <c r="AJ806" s="34"/>
      <c r="AK806" s="34"/>
      <c r="AL806" s="34"/>
      <c r="AM806" s="34"/>
      <c r="AN806" s="34"/>
      <c r="AO806" s="34"/>
      <c r="AP806" s="34"/>
      <c r="AQ806" s="34"/>
      <c r="AR806" s="34"/>
      <c r="AS806" s="34"/>
      <c r="AT806" s="34"/>
      <c r="AU806" s="34"/>
      <c r="AV806" s="34"/>
      <c r="AW806" s="34"/>
      <c r="AX806" s="34"/>
      <c r="AY806" s="34"/>
      <c r="AZ806" s="34"/>
      <c r="BA806" s="34"/>
      <c r="BB806" s="34"/>
      <c r="BD806" s="34"/>
      <c r="BE806" s="34"/>
      <c r="BF806" s="34"/>
      <c r="BG806" s="34"/>
      <c r="BH806" s="34"/>
      <c r="BI806" s="34"/>
      <c r="BJ806" s="34"/>
      <c r="BK806" s="34"/>
      <c r="BL806" s="34"/>
      <c r="BM806" s="34"/>
      <c r="BN806" s="34"/>
      <c r="BO806" s="34"/>
      <c r="BP806" s="34"/>
      <c r="BQ806" s="34"/>
      <c r="BR806" s="34"/>
      <c r="BS806" s="34"/>
      <c r="BT806" s="34"/>
      <c r="BU806" s="34"/>
      <c r="BV806" s="34"/>
      <c r="BW806" s="34"/>
      <c r="BX806" s="34"/>
      <c r="BY806" s="34"/>
    </row>
    <row r="807" spans="1:77" x14ac:dyDescent="0.3">
      <c r="A807" s="39"/>
      <c r="B807" s="42"/>
      <c r="C807" s="42"/>
      <c r="D807" s="75"/>
      <c r="E807" s="75"/>
      <c r="F807" s="76"/>
      <c r="G807" s="47"/>
      <c r="H807" s="47"/>
      <c r="I807" s="75"/>
      <c r="J807" s="76"/>
      <c r="K807" s="76"/>
      <c r="L807" s="75"/>
      <c r="M807" s="49"/>
      <c r="N807" s="76"/>
      <c r="O807" s="49"/>
      <c r="P807" s="77"/>
      <c r="Q807" s="53"/>
      <c r="R807" s="54"/>
      <c r="S807" s="55"/>
      <c r="T807" s="56"/>
      <c r="U807" s="56"/>
      <c r="V807" s="42"/>
      <c r="W807" s="57"/>
      <c r="X807" s="58"/>
      <c r="Y807" s="75"/>
      <c r="Z807" s="59"/>
      <c r="AA807" s="61"/>
      <c r="AB807" s="61"/>
      <c r="AC807" s="61"/>
      <c r="AD807" s="62"/>
      <c r="AE807" s="62"/>
      <c r="AF807" s="34"/>
      <c r="AG807" s="34"/>
      <c r="AH807" s="34"/>
      <c r="AI807" s="34"/>
      <c r="AJ807" s="34"/>
      <c r="AK807" s="34"/>
      <c r="AL807" s="34"/>
      <c r="AM807" s="34"/>
      <c r="AN807" s="34"/>
      <c r="AO807" s="34"/>
      <c r="AP807" s="34"/>
      <c r="AQ807" s="34"/>
      <c r="AR807" s="34"/>
      <c r="AS807" s="34"/>
      <c r="AT807" s="34"/>
      <c r="AU807" s="34"/>
      <c r="AV807" s="34"/>
      <c r="AW807" s="34"/>
      <c r="AX807" s="34"/>
      <c r="AY807" s="34"/>
      <c r="AZ807" s="34"/>
      <c r="BA807" s="34"/>
      <c r="BB807" s="34"/>
      <c r="BD807" s="34"/>
      <c r="BE807" s="34"/>
      <c r="BF807" s="34"/>
      <c r="BG807" s="34"/>
      <c r="BH807" s="34"/>
      <c r="BI807" s="34"/>
      <c r="BJ807" s="34"/>
      <c r="BK807" s="34"/>
      <c r="BL807" s="34"/>
      <c r="BM807" s="34"/>
      <c r="BN807" s="34"/>
      <c r="BO807" s="34"/>
      <c r="BP807" s="34"/>
      <c r="BQ807" s="34"/>
      <c r="BR807" s="34"/>
      <c r="BS807" s="34"/>
      <c r="BT807" s="34"/>
      <c r="BU807" s="34"/>
      <c r="BV807" s="34"/>
      <c r="BW807" s="34"/>
      <c r="BX807" s="34"/>
      <c r="BY807" s="34"/>
    </row>
    <row r="808" spans="1:77" x14ac:dyDescent="0.3">
      <c r="A808" s="39"/>
      <c r="B808" s="42"/>
      <c r="C808" s="42"/>
      <c r="D808" s="75"/>
      <c r="E808" s="75"/>
      <c r="F808" s="76"/>
      <c r="G808" s="47"/>
      <c r="H808" s="47"/>
      <c r="I808" s="75"/>
      <c r="J808" s="76"/>
      <c r="K808" s="76"/>
      <c r="L808" s="75"/>
      <c r="M808" s="49"/>
      <c r="N808" s="76"/>
      <c r="O808" s="49"/>
      <c r="P808" s="77"/>
      <c r="Q808" s="53"/>
      <c r="R808" s="54"/>
      <c r="S808" s="55"/>
      <c r="T808" s="56"/>
      <c r="U808" s="56"/>
      <c r="V808" s="42"/>
      <c r="W808" s="57"/>
      <c r="X808" s="58"/>
      <c r="Y808" s="75"/>
      <c r="Z808" s="59"/>
      <c r="AA808" s="61"/>
      <c r="AB808" s="61"/>
      <c r="AC808" s="61"/>
      <c r="AD808" s="62"/>
      <c r="AE808" s="62"/>
      <c r="AF808" s="34"/>
      <c r="AG808" s="34"/>
      <c r="AH808" s="34"/>
      <c r="AI808" s="34"/>
      <c r="AJ808" s="34"/>
      <c r="AK808" s="34"/>
      <c r="AL808" s="34"/>
      <c r="AM808" s="34"/>
      <c r="AN808" s="34"/>
      <c r="AO808" s="34"/>
      <c r="AP808" s="34"/>
      <c r="AQ808" s="34"/>
      <c r="AR808" s="34"/>
      <c r="AS808" s="34"/>
      <c r="AT808" s="34"/>
      <c r="AU808" s="34"/>
      <c r="AV808" s="34"/>
      <c r="AW808" s="34"/>
      <c r="AX808" s="34"/>
      <c r="AY808" s="34"/>
      <c r="AZ808" s="34"/>
      <c r="BA808" s="34"/>
      <c r="BB808" s="34"/>
      <c r="BD808" s="34"/>
      <c r="BE808" s="34"/>
      <c r="BF808" s="34"/>
      <c r="BG808" s="34"/>
      <c r="BH808" s="34"/>
      <c r="BI808" s="34"/>
      <c r="BJ808" s="34"/>
      <c r="BK808" s="34"/>
      <c r="BL808" s="34"/>
      <c r="BM808" s="34"/>
      <c r="BN808" s="34"/>
      <c r="BO808" s="34"/>
      <c r="BP808" s="34"/>
      <c r="BQ808" s="34"/>
      <c r="BR808" s="34"/>
      <c r="BS808" s="34"/>
      <c r="BT808" s="34"/>
      <c r="BU808" s="34"/>
      <c r="BV808" s="34"/>
      <c r="BW808" s="34"/>
      <c r="BX808" s="34"/>
      <c r="BY808" s="34"/>
    </row>
    <row r="809" spans="1:77" x14ac:dyDescent="0.3">
      <c r="A809" s="39"/>
      <c r="B809" s="42"/>
      <c r="C809" s="42"/>
      <c r="D809" s="75"/>
      <c r="E809" s="75"/>
      <c r="F809" s="76"/>
      <c r="G809" s="47"/>
      <c r="H809" s="47"/>
      <c r="I809" s="75"/>
      <c r="J809" s="76"/>
      <c r="K809" s="76"/>
      <c r="L809" s="75"/>
      <c r="M809" s="49"/>
      <c r="N809" s="76"/>
      <c r="O809" s="49"/>
      <c r="P809" s="77"/>
      <c r="Q809" s="53"/>
      <c r="R809" s="54"/>
      <c r="S809" s="55"/>
      <c r="T809" s="56"/>
      <c r="U809" s="56"/>
      <c r="V809" s="42"/>
      <c r="W809" s="57"/>
      <c r="X809" s="58"/>
      <c r="Y809" s="75"/>
      <c r="Z809" s="59"/>
      <c r="AA809" s="61"/>
      <c r="AB809" s="61"/>
      <c r="AC809" s="61"/>
      <c r="AD809" s="62"/>
      <c r="AE809" s="62"/>
      <c r="AF809" s="34"/>
      <c r="AG809" s="34"/>
      <c r="AH809" s="34"/>
      <c r="AI809" s="34"/>
      <c r="AJ809" s="34"/>
      <c r="AK809" s="34"/>
      <c r="AL809" s="34"/>
      <c r="AM809" s="34"/>
      <c r="AN809" s="34"/>
      <c r="AO809" s="34"/>
      <c r="AP809" s="34"/>
      <c r="AQ809" s="34"/>
      <c r="AR809" s="34"/>
      <c r="AS809" s="34"/>
      <c r="AT809" s="34"/>
      <c r="AU809" s="34"/>
      <c r="AV809" s="34"/>
      <c r="AW809" s="34"/>
      <c r="AX809" s="34"/>
      <c r="AY809" s="34"/>
      <c r="AZ809" s="34"/>
      <c r="BA809" s="34"/>
      <c r="BB809" s="34"/>
      <c r="BD809" s="34"/>
      <c r="BE809" s="34"/>
      <c r="BF809" s="34"/>
      <c r="BG809" s="34"/>
      <c r="BH809" s="34"/>
      <c r="BI809" s="34"/>
      <c r="BJ809" s="34"/>
      <c r="BK809" s="34"/>
      <c r="BL809" s="34"/>
      <c r="BM809" s="34"/>
      <c r="BN809" s="34"/>
      <c r="BO809" s="34"/>
      <c r="BP809" s="34"/>
      <c r="BQ809" s="34"/>
      <c r="BR809" s="34"/>
      <c r="BS809" s="34"/>
      <c r="BT809" s="34"/>
      <c r="BU809" s="34"/>
      <c r="BV809" s="34"/>
      <c r="BW809" s="34"/>
      <c r="BX809" s="34"/>
      <c r="BY809" s="34"/>
    </row>
    <row r="810" spans="1:77" x14ac:dyDescent="0.3">
      <c r="A810" s="39"/>
      <c r="B810" s="42"/>
      <c r="C810" s="42"/>
      <c r="D810" s="75"/>
      <c r="E810" s="75"/>
      <c r="F810" s="76"/>
      <c r="G810" s="47"/>
      <c r="H810" s="47"/>
      <c r="I810" s="75"/>
      <c r="J810" s="76"/>
      <c r="K810" s="76"/>
      <c r="L810" s="75"/>
      <c r="M810" s="49"/>
      <c r="N810" s="76"/>
      <c r="O810" s="49"/>
      <c r="P810" s="77"/>
      <c r="Q810" s="53"/>
      <c r="R810" s="54"/>
      <c r="S810" s="55"/>
      <c r="T810" s="56"/>
      <c r="U810" s="56"/>
      <c r="V810" s="42"/>
      <c r="W810" s="57"/>
      <c r="X810" s="58"/>
      <c r="Y810" s="75"/>
      <c r="Z810" s="59"/>
      <c r="AA810" s="61"/>
      <c r="AB810" s="61"/>
      <c r="AC810" s="61"/>
      <c r="AD810" s="62"/>
      <c r="AE810" s="62"/>
      <c r="AF810" s="34"/>
      <c r="AG810" s="34"/>
      <c r="AH810" s="34"/>
      <c r="AI810" s="34"/>
      <c r="AJ810" s="34"/>
      <c r="AK810" s="34"/>
      <c r="AL810" s="34"/>
      <c r="AM810" s="34"/>
      <c r="AN810" s="34"/>
      <c r="AO810" s="34"/>
      <c r="AP810" s="34"/>
      <c r="AQ810" s="34"/>
      <c r="AR810" s="34"/>
      <c r="AS810" s="34"/>
      <c r="AT810" s="34"/>
      <c r="AU810" s="34"/>
      <c r="AV810" s="34"/>
      <c r="AW810" s="34"/>
      <c r="AX810" s="34"/>
      <c r="AY810" s="34"/>
      <c r="AZ810" s="34"/>
      <c r="BA810" s="34"/>
      <c r="BB810" s="34"/>
      <c r="BD810" s="34"/>
      <c r="BE810" s="34"/>
      <c r="BF810" s="34"/>
      <c r="BG810" s="34"/>
      <c r="BH810" s="34"/>
      <c r="BI810" s="34"/>
      <c r="BJ810" s="34"/>
      <c r="BK810" s="34"/>
      <c r="BL810" s="34"/>
      <c r="BM810" s="34"/>
      <c r="BN810" s="34"/>
      <c r="BO810" s="34"/>
      <c r="BP810" s="34"/>
      <c r="BQ810" s="34"/>
      <c r="BR810" s="34"/>
      <c r="BS810" s="34"/>
      <c r="BT810" s="34"/>
      <c r="BU810" s="34"/>
      <c r="BV810" s="34"/>
      <c r="BW810" s="34"/>
      <c r="BX810" s="34"/>
      <c r="BY810" s="34"/>
    </row>
    <row r="811" spans="1:77" x14ac:dyDescent="0.3">
      <c r="A811" s="39"/>
      <c r="B811" s="42"/>
      <c r="C811" s="42"/>
      <c r="D811" s="75"/>
      <c r="E811" s="75"/>
      <c r="F811" s="76"/>
      <c r="G811" s="47"/>
      <c r="H811" s="47"/>
      <c r="I811" s="75"/>
      <c r="J811" s="76"/>
      <c r="K811" s="76"/>
      <c r="L811" s="75"/>
      <c r="M811" s="49"/>
      <c r="N811" s="76"/>
      <c r="O811" s="49"/>
      <c r="P811" s="77"/>
      <c r="Q811" s="53"/>
      <c r="R811" s="54"/>
      <c r="S811" s="55"/>
      <c r="T811" s="56"/>
      <c r="U811" s="56"/>
      <c r="V811" s="42"/>
      <c r="W811" s="57"/>
      <c r="X811" s="58"/>
      <c r="Y811" s="75"/>
      <c r="Z811" s="59"/>
      <c r="AA811" s="61"/>
      <c r="AB811" s="61"/>
      <c r="AC811" s="61"/>
      <c r="AD811" s="62"/>
      <c r="AE811" s="62"/>
      <c r="AF811" s="34"/>
      <c r="AG811" s="34"/>
      <c r="AH811" s="34"/>
      <c r="AI811" s="34"/>
      <c r="AJ811" s="34"/>
      <c r="AK811" s="34"/>
      <c r="AL811" s="34"/>
      <c r="AM811" s="34"/>
      <c r="AN811" s="34"/>
      <c r="AO811" s="34"/>
      <c r="AP811" s="34"/>
      <c r="AQ811" s="34"/>
      <c r="AR811" s="34"/>
      <c r="AS811" s="34"/>
      <c r="AT811" s="34"/>
      <c r="AU811" s="34"/>
      <c r="AV811" s="34"/>
      <c r="AW811" s="34"/>
      <c r="AX811" s="34"/>
      <c r="AY811" s="34"/>
      <c r="AZ811" s="34"/>
      <c r="BA811" s="34"/>
      <c r="BB811" s="34"/>
      <c r="BD811" s="34"/>
      <c r="BE811" s="34"/>
      <c r="BF811" s="34"/>
      <c r="BG811" s="34"/>
      <c r="BH811" s="34"/>
      <c r="BI811" s="34"/>
      <c r="BJ811" s="34"/>
      <c r="BK811" s="34"/>
      <c r="BL811" s="34"/>
      <c r="BM811" s="34"/>
      <c r="BN811" s="34"/>
      <c r="BO811" s="34"/>
      <c r="BP811" s="34"/>
      <c r="BQ811" s="34"/>
      <c r="BR811" s="34"/>
      <c r="BS811" s="34"/>
      <c r="BT811" s="34"/>
      <c r="BU811" s="34"/>
      <c r="BV811" s="34"/>
      <c r="BW811" s="34"/>
      <c r="BX811" s="34"/>
      <c r="BY811" s="34"/>
    </row>
    <row r="812" spans="1:77" x14ac:dyDescent="0.3">
      <c r="A812" s="39"/>
      <c r="B812" s="42"/>
      <c r="C812" s="42"/>
      <c r="D812" s="75"/>
      <c r="E812" s="75"/>
      <c r="F812" s="76"/>
      <c r="G812" s="47"/>
      <c r="H812" s="47"/>
      <c r="I812" s="75"/>
      <c r="J812" s="76"/>
      <c r="K812" s="76"/>
      <c r="L812" s="75"/>
      <c r="M812" s="49"/>
      <c r="N812" s="76"/>
      <c r="O812" s="49"/>
      <c r="P812" s="77"/>
      <c r="Q812" s="53"/>
      <c r="R812" s="54"/>
      <c r="S812" s="55"/>
      <c r="T812" s="56"/>
      <c r="U812" s="56"/>
      <c r="V812" s="42"/>
      <c r="W812" s="57"/>
      <c r="X812" s="58"/>
      <c r="Y812" s="75"/>
      <c r="Z812" s="59"/>
      <c r="AA812" s="61"/>
      <c r="AB812" s="61"/>
      <c r="AC812" s="61"/>
      <c r="AD812" s="62"/>
      <c r="AE812" s="62"/>
      <c r="AF812" s="34"/>
      <c r="AG812" s="34"/>
      <c r="AH812" s="34"/>
      <c r="AI812" s="34"/>
      <c r="AJ812" s="34"/>
      <c r="AK812" s="34"/>
      <c r="AL812" s="34"/>
      <c r="AM812" s="34"/>
      <c r="AN812" s="34"/>
      <c r="AO812" s="34"/>
      <c r="AP812" s="34"/>
      <c r="AQ812" s="34"/>
      <c r="AR812" s="34"/>
      <c r="AS812" s="34"/>
      <c r="AT812" s="34"/>
      <c r="AU812" s="34"/>
      <c r="AV812" s="34"/>
      <c r="AW812" s="34"/>
      <c r="AX812" s="34"/>
      <c r="AY812" s="34"/>
      <c r="AZ812" s="34"/>
      <c r="BA812" s="34"/>
      <c r="BB812" s="34"/>
      <c r="BD812" s="34"/>
      <c r="BE812" s="34"/>
      <c r="BF812" s="34"/>
      <c r="BG812" s="34"/>
      <c r="BH812" s="34"/>
      <c r="BI812" s="34"/>
      <c r="BJ812" s="34"/>
      <c r="BK812" s="34"/>
      <c r="BL812" s="34"/>
      <c r="BM812" s="34"/>
      <c r="BN812" s="34"/>
      <c r="BO812" s="34"/>
      <c r="BP812" s="34"/>
      <c r="BQ812" s="34"/>
      <c r="BR812" s="34"/>
      <c r="BS812" s="34"/>
      <c r="BT812" s="34"/>
      <c r="BU812" s="34"/>
      <c r="BV812" s="34"/>
      <c r="BW812" s="34"/>
      <c r="BX812" s="34"/>
      <c r="BY812" s="34"/>
    </row>
    <row r="813" spans="1:77" x14ac:dyDescent="0.3">
      <c r="A813" s="39"/>
      <c r="B813" s="42"/>
      <c r="C813" s="42"/>
      <c r="D813" s="75"/>
      <c r="E813" s="75"/>
      <c r="F813" s="76"/>
      <c r="G813" s="47"/>
      <c r="H813" s="47"/>
      <c r="I813" s="75"/>
      <c r="J813" s="76"/>
      <c r="K813" s="76"/>
      <c r="L813" s="75"/>
      <c r="M813" s="49"/>
      <c r="N813" s="76"/>
      <c r="O813" s="49"/>
      <c r="P813" s="77"/>
      <c r="Q813" s="53"/>
      <c r="R813" s="54"/>
      <c r="S813" s="55"/>
      <c r="T813" s="56"/>
      <c r="U813" s="56"/>
      <c r="V813" s="42"/>
      <c r="W813" s="57"/>
      <c r="X813" s="58"/>
      <c r="Y813" s="75"/>
      <c r="Z813" s="59"/>
      <c r="AA813" s="61"/>
      <c r="AB813" s="61"/>
      <c r="AC813" s="61"/>
      <c r="AD813" s="62"/>
      <c r="AE813" s="62"/>
      <c r="AF813" s="34"/>
      <c r="AG813" s="34"/>
      <c r="AH813" s="34"/>
      <c r="AI813" s="34"/>
      <c r="AJ813" s="34"/>
      <c r="AK813" s="34"/>
      <c r="AL813" s="34"/>
      <c r="AM813" s="34"/>
      <c r="AN813" s="34"/>
      <c r="AO813" s="34"/>
      <c r="AP813" s="34"/>
      <c r="AQ813" s="34"/>
      <c r="AR813" s="34"/>
      <c r="AS813" s="34"/>
      <c r="AT813" s="34"/>
      <c r="AU813" s="34"/>
      <c r="AV813" s="34"/>
      <c r="AW813" s="34"/>
      <c r="AX813" s="34"/>
      <c r="AY813" s="34"/>
      <c r="AZ813" s="34"/>
      <c r="BA813" s="34"/>
      <c r="BB813" s="34"/>
      <c r="BD813" s="34"/>
      <c r="BE813" s="34"/>
      <c r="BF813" s="34"/>
      <c r="BG813" s="34"/>
      <c r="BH813" s="34"/>
      <c r="BI813" s="34"/>
      <c r="BJ813" s="34"/>
      <c r="BK813" s="34"/>
      <c r="BL813" s="34"/>
      <c r="BM813" s="34"/>
      <c r="BN813" s="34"/>
      <c r="BO813" s="34"/>
      <c r="BP813" s="34"/>
      <c r="BQ813" s="34"/>
      <c r="BR813" s="34"/>
      <c r="BS813" s="34"/>
      <c r="BT813" s="34"/>
      <c r="BU813" s="34"/>
      <c r="BV813" s="34"/>
      <c r="BW813" s="34"/>
      <c r="BX813" s="34"/>
      <c r="BY813" s="34"/>
    </row>
    <row r="814" spans="1:77" x14ac:dyDescent="0.3">
      <c r="A814" s="39"/>
      <c r="B814" s="42"/>
      <c r="C814" s="42"/>
      <c r="D814" s="75"/>
      <c r="E814" s="75"/>
      <c r="F814" s="76"/>
      <c r="G814" s="47"/>
      <c r="H814" s="47"/>
      <c r="I814" s="75"/>
      <c r="J814" s="76"/>
      <c r="K814" s="76"/>
      <c r="L814" s="75"/>
      <c r="M814" s="49"/>
      <c r="N814" s="76"/>
      <c r="O814" s="49"/>
      <c r="P814" s="77"/>
      <c r="Q814" s="53"/>
      <c r="R814" s="54"/>
      <c r="S814" s="55"/>
      <c r="T814" s="56"/>
      <c r="U814" s="56"/>
      <c r="V814" s="42"/>
      <c r="W814" s="57"/>
      <c r="X814" s="58"/>
      <c r="Y814" s="75"/>
      <c r="Z814" s="59"/>
      <c r="AA814" s="61"/>
      <c r="AB814" s="61"/>
      <c r="AC814" s="61"/>
      <c r="AD814" s="62"/>
      <c r="AE814" s="62"/>
      <c r="AF814" s="34"/>
      <c r="AG814" s="34"/>
      <c r="AH814" s="34"/>
      <c r="AI814" s="34"/>
      <c r="AJ814" s="34"/>
      <c r="AK814" s="34"/>
      <c r="AL814" s="34"/>
      <c r="AM814" s="34"/>
      <c r="AN814" s="34"/>
      <c r="AO814" s="34"/>
      <c r="AP814" s="34"/>
      <c r="AQ814" s="34"/>
      <c r="AR814" s="34"/>
      <c r="AS814" s="34"/>
      <c r="AT814" s="34"/>
      <c r="AU814" s="34"/>
      <c r="AV814" s="34"/>
      <c r="AW814" s="34"/>
      <c r="AX814" s="34"/>
      <c r="AY814" s="34"/>
      <c r="AZ814" s="34"/>
      <c r="BA814" s="34"/>
      <c r="BB814" s="34"/>
      <c r="BD814" s="34"/>
      <c r="BE814" s="34"/>
      <c r="BF814" s="34"/>
      <c r="BG814" s="34"/>
      <c r="BH814" s="34"/>
      <c r="BI814" s="34"/>
      <c r="BJ814" s="34"/>
      <c r="BK814" s="34"/>
      <c r="BL814" s="34"/>
      <c r="BM814" s="34"/>
      <c r="BN814" s="34"/>
      <c r="BO814" s="34"/>
      <c r="BP814" s="34"/>
      <c r="BQ814" s="34"/>
      <c r="BR814" s="34"/>
      <c r="BS814" s="34"/>
      <c r="BT814" s="34"/>
      <c r="BU814" s="34"/>
      <c r="BV814" s="34"/>
      <c r="BW814" s="34"/>
      <c r="BX814" s="34"/>
      <c r="BY814" s="34"/>
    </row>
    <row r="815" spans="1:77" x14ac:dyDescent="0.3">
      <c r="A815" s="39"/>
      <c r="B815" s="42"/>
      <c r="C815" s="42"/>
      <c r="D815" s="75"/>
      <c r="E815" s="75"/>
      <c r="F815" s="76"/>
      <c r="G815" s="47"/>
      <c r="H815" s="47"/>
      <c r="I815" s="75"/>
      <c r="J815" s="76"/>
      <c r="K815" s="76"/>
      <c r="L815" s="75"/>
      <c r="M815" s="49"/>
      <c r="N815" s="76"/>
      <c r="O815" s="49"/>
      <c r="P815" s="77"/>
      <c r="Q815" s="53"/>
      <c r="R815" s="54"/>
      <c r="S815" s="55"/>
      <c r="T815" s="56"/>
      <c r="U815" s="56"/>
      <c r="V815" s="42"/>
      <c r="W815" s="57"/>
      <c r="X815" s="58"/>
      <c r="Y815" s="75"/>
      <c r="Z815" s="59"/>
      <c r="AA815" s="61"/>
      <c r="AB815" s="61"/>
      <c r="AC815" s="61"/>
      <c r="AD815" s="62"/>
      <c r="AE815" s="62"/>
      <c r="AF815" s="34"/>
      <c r="AG815" s="34"/>
      <c r="AH815" s="34"/>
      <c r="AI815" s="34"/>
      <c r="AJ815" s="34"/>
      <c r="AK815" s="34"/>
      <c r="AL815" s="34"/>
      <c r="AM815" s="34"/>
      <c r="AN815" s="34"/>
      <c r="AO815" s="34"/>
      <c r="AP815" s="34"/>
      <c r="AQ815" s="34"/>
      <c r="AR815" s="34"/>
      <c r="AS815" s="34"/>
      <c r="AT815" s="34"/>
      <c r="AU815" s="34"/>
      <c r="AV815" s="34"/>
      <c r="AW815" s="34"/>
      <c r="AX815" s="34"/>
      <c r="AY815" s="34"/>
      <c r="AZ815" s="34"/>
      <c r="BA815" s="34"/>
      <c r="BB815" s="34"/>
      <c r="BD815" s="34"/>
      <c r="BE815" s="34"/>
      <c r="BF815" s="34"/>
      <c r="BG815" s="34"/>
      <c r="BH815" s="34"/>
      <c r="BI815" s="34"/>
      <c r="BJ815" s="34"/>
      <c r="BK815" s="34"/>
      <c r="BL815" s="34"/>
      <c r="BM815" s="34"/>
      <c r="BN815" s="34"/>
      <c r="BO815" s="34"/>
      <c r="BP815" s="34"/>
      <c r="BQ815" s="34"/>
      <c r="BR815" s="34"/>
      <c r="BS815" s="34"/>
      <c r="BT815" s="34"/>
      <c r="BU815" s="34"/>
      <c r="BV815" s="34"/>
      <c r="BW815" s="34"/>
      <c r="BX815" s="34"/>
      <c r="BY815" s="34"/>
    </row>
    <row r="816" spans="1:77" x14ac:dyDescent="0.3">
      <c r="A816" s="39"/>
      <c r="B816" s="42"/>
      <c r="C816" s="42"/>
      <c r="D816" s="75"/>
      <c r="E816" s="75"/>
      <c r="F816" s="76"/>
      <c r="G816" s="47"/>
      <c r="H816" s="47"/>
      <c r="I816" s="75"/>
      <c r="J816" s="76"/>
      <c r="K816" s="76"/>
      <c r="L816" s="75"/>
      <c r="M816" s="49"/>
      <c r="N816" s="76"/>
      <c r="O816" s="49"/>
      <c r="P816" s="77"/>
      <c r="Q816" s="53"/>
      <c r="R816" s="54"/>
      <c r="S816" s="55"/>
      <c r="T816" s="56"/>
      <c r="U816" s="56"/>
      <c r="V816" s="42"/>
      <c r="W816" s="57"/>
      <c r="X816" s="58"/>
      <c r="Y816" s="75"/>
      <c r="Z816" s="59"/>
      <c r="AA816" s="61"/>
      <c r="AB816" s="61"/>
      <c r="AC816" s="61"/>
      <c r="AD816" s="62"/>
      <c r="AE816" s="62"/>
      <c r="AF816" s="34"/>
      <c r="AG816" s="34"/>
      <c r="AH816" s="34"/>
      <c r="AI816" s="34"/>
      <c r="AJ816" s="34"/>
      <c r="AK816" s="34"/>
      <c r="AL816" s="34"/>
      <c r="AM816" s="34"/>
      <c r="AN816" s="34"/>
      <c r="AO816" s="34"/>
      <c r="AP816" s="34"/>
      <c r="AQ816" s="34"/>
      <c r="AR816" s="34"/>
      <c r="AS816" s="34"/>
      <c r="AT816" s="34"/>
      <c r="AU816" s="34"/>
      <c r="AV816" s="34"/>
      <c r="AW816" s="34"/>
      <c r="AX816" s="34"/>
      <c r="AY816" s="34"/>
      <c r="AZ816" s="34"/>
      <c r="BA816" s="34"/>
      <c r="BB816" s="34"/>
      <c r="BD816" s="34"/>
      <c r="BE816" s="34"/>
      <c r="BF816" s="34"/>
      <c r="BG816" s="34"/>
      <c r="BH816" s="34"/>
      <c r="BI816" s="34"/>
      <c r="BJ816" s="34"/>
      <c r="BK816" s="34"/>
      <c r="BL816" s="34"/>
      <c r="BM816" s="34"/>
      <c r="BN816" s="34"/>
      <c r="BO816" s="34"/>
      <c r="BP816" s="34"/>
      <c r="BQ816" s="34"/>
      <c r="BR816" s="34"/>
      <c r="BS816" s="34"/>
      <c r="BT816" s="34"/>
      <c r="BU816" s="34"/>
      <c r="BV816" s="34"/>
      <c r="BW816" s="34"/>
      <c r="BX816" s="34"/>
      <c r="BY816" s="34"/>
    </row>
    <row r="817" spans="1:77" x14ac:dyDescent="0.3">
      <c r="A817" s="39"/>
      <c r="B817" s="42"/>
      <c r="C817" s="42"/>
      <c r="D817" s="75"/>
      <c r="E817" s="75"/>
      <c r="F817" s="76"/>
      <c r="G817" s="47"/>
      <c r="H817" s="47"/>
      <c r="I817" s="75"/>
      <c r="J817" s="76"/>
      <c r="K817" s="76"/>
      <c r="L817" s="75"/>
      <c r="M817" s="49"/>
      <c r="N817" s="76"/>
      <c r="O817" s="49"/>
      <c r="P817" s="77"/>
      <c r="Q817" s="53"/>
      <c r="R817" s="54"/>
      <c r="S817" s="55"/>
      <c r="T817" s="56"/>
      <c r="U817" s="56"/>
      <c r="V817" s="42"/>
      <c r="W817" s="57"/>
      <c r="X817" s="58"/>
      <c r="Y817" s="75"/>
      <c r="Z817" s="59"/>
      <c r="AA817" s="61"/>
      <c r="AB817" s="61"/>
      <c r="AC817" s="61"/>
      <c r="AD817" s="62"/>
      <c r="AE817" s="62"/>
      <c r="AF817" s="34"/>
      <c r="AG817" s="34"/>
      <c r="AH817" s="34"/>
      <c r="AI817" s="34"/>
      <c r="AJ817" s="34"/>
      <c r="AK817" s="34"/>
      <c r="AL817" s="34"/>
      <c r="AM817" s="34"/>
      <c r="AN817" s="34"/>
      <c r="AO817" s="34"/>
      <c r="AP817" s="34"/>
      <c r="AQ817" s="34"/>
      <c r="AR817" s="34"/>
      <c r="AS817" s="34"/>
      <c r="AT817" s="34"/>
      <c r="AU817" s="34"/>
      <c r="AV817" s="34"/>
      <c r="AW817" s="34"/>
      <c r="AX817" s="34"/>
      <c r="AY817" s="34"/>
      <c r="AZ817" s="34"/>
      <c r="BA817" s="34"/>
      <c r="BB817" s="34"/>
      <c r="BD817" s="34"/>
      <c r="BE817" s="34"/>
      <c r="BF817" s="34"/>
      <c r="BG817" s="34"/>
      <c r="BH817" s="34"/>
      <c r="BI817" s="34"/>
      <c r="BJ817" s="34"/>
      <c r="BK817" s="34"/>
      <c r="BL817" s="34"/>
      <c r="BM817" s="34"/>
      <c r="BN817" s="34"/>
      <c r="BO817" s="34"/>
      <c r="BP817" s="34"/>
      <c r="BQ817" s="34"/>
      <c r="BR817" s="34"/>
      <c r="BS817" s="34"/>
      <c r="BT817" s="34"/>
      <c r="BU817" s="34"/>
      <c r="BV817" s="34"/>
      <c r="BW817" s="34"/>
      <c r="BX817" s="34"/>
      <c r="BY817" s="34"/>
    </row>
    <row r="818" spans="1:77" x14ac:dyDescent="0.3">
      <c r="A818" s="39"/>
      <c r="B818" s="42"/>
      <c r="C818" s="42"/>
      <c r="D818" s="75"/>
      <c r="E818" s="75"/>
      <c r="F818" s="76"/>
      <c r="G818" s="47"/>
      <c r="H818" s="47"/>
      <c r="I818" s="75"/>
      <c r="J818" s="76"/>
      <c r="K818" s="76"/>
      <c r="L818" s="75"/>
      <c r="M818" s="49"/>
      <c r="N818" s="76"/>
      <c r="O818" s="49"/>
      <c r="P818" s="77"/>
      <c r="Q818" s="53"/>
      <c r="R818" s="54"/>
      <c r="S818" s="55"/>
      <c r="T818" s="56"/>
      <c r="U818" s="56"/>
      <c r="V818" s="42"/>
      <c r="W818" s="57"/>
      <c r="X818" s="58"/>
      <c r="Y818" s="75"/>
      <c r="Z818" s="59"/>
      <c r="AA818" s="61"/>
      <c r="AB818" s="61"/>
      <c r="AC818" s="61"/>
      <c r="AD818" s="62"/>
      <c r="AE818" s="62"/>
      <c r="AF818" s="34"/>
      <c r="AG818" s="34"/>
      <c r="AH818" s="34"/>
      <c r="AI818" s="34"/>
      <c r="AJ818" s="34"/>
      <c r="AK818" s="34"/>
      <c r="AL818" s="34"/>
      <c r="AM818" s="34"/>
      <c r="AN818" s="34"/>
      <c r="AO818" s="34"/>
      <c r="AP818" s="34"/>
      <c r="AQ818" s="34"/>
      <c r="AR818" s="34"/>
      <c r="AS818" s="34"/>
      <c r="AT818" s="34"/>
      <c r="AU818" s="34"/>
      <c r="AV818" s="34"/>
      <c r="AW818" s="34"/>
      <c r="AX818" s="34"/>
      <c r="AY818" s="34"/>
      <c r="AZ818" s="34"/>
      <c r="BA818" s="34"/>
      <c r="BB818" s="34"/>
      <c r="BD818" s="34"/>
      <c r="BE818" s="34"/>
      <c r="BF818" s="34"/>
      <c r="BG818" s="34"/>
      <c r="BH818" s="34"/>
      <c r="BI818" s="34"/>
      <c r="BJ818" s="34"/>
      <c r="BK818" s="34"/>
      <c r="BL818" s="34"/>
      <c r="BM818" s="34"/>
      <c r="BN818" s="34"/>
      <c r="BO818" s="34"/>
      <c r="BP818" s="34"/>
      <c r="BQ818" s="34"/>
      <c r="BR818" s="34"/>
      <c r="BS818" s="34"/>
      <c r="BT818" s="34"/>
      <c r="BU818" s="34"/>
      <c r="BV818" s="34"/>
      <c r="BW818" s="34"/>
      <c r="BX818" s="34"/>
      <c r="BY818" s="34"/>
    </row>
    <row r="819" spans="1:77" x14ac:dyDescent="0.3">
      <c r="A819" s="39"/>
      <c r="B819" s="42"/>
      <c r="C819" s="42"/>
      <c r="D819" s="75"/>
      <c r="E819" s="75"/>
      <c r="F819" s="76"/>
      <c r="G819" s="47"/>
      <c r="H819" s="47"/>
      <c r="I819" s="75"/>
      <c r="J819" s="76"/>
      <c r="K819" s="76"/>
      <c r="L819" s="75"/>
      <c r="M819" s="49"/>
      <c r="N819" s="76"/>
      <c r="O819" s="49"/>
      <c r="P819" s="77"/>
      <c r="Q819" s="53"/>
      <c r="R819" s="54"/>
      <c r="S819" s="55"/>
      <c r="T819" s="56"/>
      <c r="U819" s="56"/>
      <c r="V819" s="42"/>
      <c r="W819" s="57"/>
      <c r="X819" s="58"/>
      <c r="Y819" s="75"/>
      <c r="Z819" s="59"/>
      <c r="AA819" s="61"/>
      <c r="AB819" s="61"/>
      <c r="AC819" s="61"/>
      <c r="AD819" s="62"/>
      <c r="AE819" s="62"/>
      <c r="AF819" s="34"/>
      <c r="AG819" s="34"/>
      <c r="AH819" s="34"/>
      <c r="AI819" s="34"/>
      <c r="AJ819" s="34"/>
      <c r="AK819" s="34"/>
      <c r="AL819" s="34"/>
      <c r="AM819" s="34"/>
      <c r="AN819" s="34"/>
      <c r="AO819" s="34"/>
      <c r="AP819" s="34"/>
      <c r="AQ819" s="34"/>
      <c r="AR819" s="34"/>
      <c r="AS819" s="34"/>
      <c r="AT819" s="34"/>
      <c r="AU819" s="34"/>
      <c r="AV819" s="34"/>
      <c r="AW819" s="34"/>
      <c r="AX819" s="34"/>
      <c r="AY819" s="34"/>
      <c r="AZ819" s="34"/>
      <c r="BA819" s="34"/>
      <c r="BB819" s="34"/>
      <c r="BD819" s="34"/>
      <c r="BE819" s="34"/>
      <c r="BF819" s="34"/>
      <c r="BG819" s="34"/>
      <c r="BH819" s="34"/>
      <c r="BI819" s="34"/>
      <c r="BJ819" s="34"/>
      <c r="BK819" s="34"/>
      <c r="BL819" s="34"/>
      <c r="BM819" s="34"/>
      <c r="BN819" s="34"/>
      <c r="BO819" s="34"/>
      <c r="BP819" s="34"/>
      <c r="BQ819" s="34"/>
      <c r="BR819" s="34"/>
      <c r="BS819" s="34"/>
      <c r="BT819" s="34"/>
      <c r="BU819" s="34"/>
      <c r="BV819" s="34"/>
      <c r="BW819" s="34"/>
      <c r="BX819" s="34"/>
      <c r="BY819" s="34"/>
    </row>
    <row r="820" spans="1:77" x14ac:dyDescent="0.3">
      <c r="A820" s="39"/>
      <c r="B820" s="42"/>
      <c r="C820" s="42"/>
      <c r="D820" s="75"/>
      <c r="E820" s="75"/>
      <c r="F820" s="76"/>
      <c r="G820" s="47"/>
      <c r="H820" s="47"/>
      <c r="I820" s="75"/>
      <c r="J820" s="76"/>
      <c r="K820" s="76"/>
      <c r="L820" s="75"/>
      <c r="M820" s="49"/>
      <c r="N820" s="76"/>
      <c r="O820" s="49"/>
      <c r="P820" s="77"/>
      <c r="Q820" s="53"/>
      <c r="R820" s="54"/>
      <c r="S820" s="55"/>
      <c r="T820" s="56"/>
      <c r="U820" s="56"/>
      <c r="V820" s="42"/>
      <c r="W820" s="57"/>
      <c r="X820" s="58"/>
      <c r="Y820" s="75"/>
      <c r="Z820" s="59"/>
      <c r="AA820" s="61"/>
      <c r="AB820" s="61"/>
      <c r="AC820" s="61"/>
      <c r="AD820" s="62"/>
      <c r="AE820" s="62"/>
      <c r="AF820" s="34"/>
      <c r="AG820" s="34"/>
      <c r="AH820" s="34"/>
      <c r="AI820" s="34"/>
      <c r="AJ820" s="34"/>
      <c r="AK820" s="34"/>
      <c r="AL820" s="34"/>
      <c r="AM820" s="34"/>
      <c r="AN820" s="34"/>
      <c r="AO820" s="34"/>
      <c r="AP820" s="34"/>
      <c r="AQ820" s="34"/>
      <c r="AR820" s="34"/>
      <c r="AS820" s="34"/>
      <c r="AT820" s="34"/>
      <c r="AU820" s="34"/>
      <c r="AV820" s="34"/>
      <c r="AW820" s="34"/>
      <c r="AX820" s="34"/>
      <c r="AY820" s="34"/>
      <c r="AZ820" s="34"/>
      <c r="BA820" s="34"/>
      <c r="BB820" s="34"/>
      <c r="BD820" s="34"/>
      <c r="BE820" s="34"/>
      <c r="BF820" s="34"/>
      <c r="BG820" s="34"/>
      <c r="BH820" s="34"/>
      <c r="BI820" s="34"/>
      <c r="BJ820" s="34"/>
      <c r="BK820" s="34"/>
      <c r="BL820" s="34"/>
      <c r="BM820" s="34"/>
      <c r="BN820" s="34"/>
      <c r="BO820" s="34"/>
      <c r="BP820" s="34"/>
      <c r="BQ820" s="34"/>
      <c r="BR820" s="34"/>
      <c r="BS820" s="34"/>
      <c r="BT820" s="34"/>
      <c r="BU820" s="34"/>
      <c r="BV820" s="34"/>
      <c r="BW820" s="34"/>
      <c r="BX820" s="34"/>
      <c r="BY820" s="34"/>
    </row>
    <row r="821" spans="1:77" x14ac:dyDescent="0.3">
      <c r="A821" s="39"/>
      <c r="B821" s="42"/>
      <c r="C821" s="42"/>
      <c r="D821" s="75"/>
      <c r="E821" s="75"/>
      <c r="F821" s="76"/>
      <c r="G821" s="47"/>
      <c r="H821" s="47"/>
      <c r="I821" s="75"/>
      <c r="J821" s="76"/>
      <c r="K821" s="76"/>
      <c r="L821" s="75"/>
      <c r="M821" s="49"/>
      <c r="N821" s="76"/>
      <c r="O821" s="49"/>
      <c r="P821" s="77"/>
      <c r="Q821" s="53"/>
      <c r="R821" s="54"/>
      <c r="S821" s="55"/>
      <c r="T821" s="56"/>
      <c r="U821" s="56"/>
      <c r="V821" s="42"/>
      <c r="W821" s="57"/>
      <c r="X821" s="58"/>
      <c r="Y821" s="75"/>
      <c r="Z821" s="59"/>
      <c r="AA821" s="61"/>
      <c r="AB821" s="61"/>
      <c r="AC821" s="61"/>
      <c r="AD821" s="62"/>
      <c r="AE821" s="62"/>
      <c r="AF821" s="34"/>
      <c r="AG821" s="34"/>
      <c r="AH821" s="34"/>
      <c r="AI821" s="34"/>
      <c r="AJ821" s="34"/>
      <c r="AK821" s="34"/>
      <c r="AL821" s="34"/>
      <c r="AM821" s="34"/>
      <c r="AN821" s="34"/>
      <c r="AO821" s="34"/>
      <c r="AP821" s="34"/>
      <c r="AQ821" s="34"/>
      <c r="AR821" s="34"/>
      <c r="AS821" s="34"/>
      <c r="AT821" s="34"/>
      <c r="AU821" s="34"/>
      <c r="AV821" s="34"/>
      <c r="AW821" s="34"/>
      <c r="AX821" s="34"/>
      <c r="AY821" s="34"/>
      <c r="AZ821" s="34"/>
      <c r="BA821" s="34"/>
      <c r="BB821" s="34"/>
      <c r="BD821" s="34"/>
      <c r="BE821" s="34"/>
      <c r="BF821" s="34"/>
      <c r="BG821" s="34"/>
      <c r="BH821" s="34"/>
      <c r="BI821" s="34"/>
      <c r="BJ821" s="34"/>
      <c r="BK821" s="34"/>
      <c r="BL821" s="34"/>
      <c r="BM821" s="34"/>
      <c r="BN821" s="34"/>
      <c r="BO821" s="34"/>
      <c r="BP821" s="34"/>
      <c r="BQ821" s="34"/>
      <c r="BR821" s="34"/>
      <c r="BS821" s="34"/>
      <c r="BT821" s="34"/>
      <c r="BU821" s="34"/>
      <c r="BV821" s="34"/>
      <c r="BW821" s="34"/>
      <c r="BX821" s="34"/>
      <c r="BY821" s="34"/>
    </row>
    <row r="822" spans="1:77" x14ac:dyDescent="0.3">
      <c r="A822" s="39"/>
      <c r="B822" s="42"/>
      <c r="C822" s="42"/>
      <c r="D822" s="75"/>
      <c r="E822" s="75"/>
      <c r="F822" s="76"/>
      <c r="G822" s="47"/>
      <c r="H822" s="47"/>
      <c r="I822" s="75"/>
      <c r="J822" s="76"/>
      <c r="K822" s="76"/>
      <c r="L822" s="75"/>
      <c r="M822" s="49"/>
      <c r="N822" s="76"/>
      <c r="O822" s="49"/>
      <c r="P822" s="77"/>
      <c r="Q822" s="53"/>
      <c r="R822" s="54"/>
      <c r="S822" s="55"/>
      <c r="T822" s="56"/>
      <c r="U822" s="56"/>
      <c r="V822" s="42"/>
      <c r="W822" s="57"/>
      <c r="X822" s="58"/>
      <c r="Y822" s="75"/>
      <c r="Z822" s="59"/>
      <c r="AA822" s="61"/>
      <c r="AB822" s="61"/>
      <c r="AC822" s="61"/>
      <c r="AD822" s="62"/>
      <c r="AE822" s="62"/>
      <c r="AF822" s="34"/>
      <c r="AG822" s="34"/>
      <c r="AH822" s="34"/>
      <c r="AI822" s="34"/>
      <c r="AJ822" s="34"/>
      <c r="AK822" s="34"/>
      <c r="AL822" s="34"/>
      <c r="AM822" s="34"/>
      <c r="AN822" s="34"/>
      <c r="AO822" s="34"/>
      <c r="AP822" s="34"/>
      <c r="AQ822" s="34"/>
      <c r="AR822" s="34"/>
      <c r="AS822" s="34"/>
      <c r="AT822" s="34"/>
      <c r="AU822" s="34"/>
      <c r="AV822" s="34"/>
      <c r="AW822" s="34"/>
      <c r="AX822" s="34"/>
      <c r="AY822" s="34"/>
      <c r="AZ822" s="34"/>
      <c r="BA822" s="34"/>
      <c r="BB822" s="34"/>
      <c r="BD822" s="34"/>
      <c r="BE822" s="34"/>
      <c r="BF822" s="34"/>
      <c r="BG822" s="34"/>
      <c r="BH822" s="34"/>
      <c r="BI822" s="34"/>
      <c r="BJ822" s="34"/>
      <c r="BK822" s="34"/>
      <c r="BL822" s="34"/>
      <c r="BM822" s="34"/>
      <c r="BN822" s="34"/>
      <c r="BO822" s="34"/>
      <c r="BP822" s="34"/>
      <c r="BQ822" s="34"/>
      <c r="BR822" s="34"/>
      <c r="BS822" s="34"/>
      <c r="BT822" s="34"/>
      <c r="BU822" s="34"/>
      <c r="BV822" s="34"/>
      <c r="BW822" s="34"/>
      <c r="BX822" s="34"/>
      <c r="BY822" s="34"/>
    </row>
    <row r="823" spans="1:77" x14ac:dyDescent="0.3">
      <c r="A823" s="39"/>
      <c r="B823" s="42"/>
      <c r="C823" s="42"/>
      <c r="D823" s="75"/>
      <c r="E823" s="75"/>
      <c r="F823" s="76"/>
      <c r="G823" s="47"/>
      <c r="H823" s="47"/>
      <c r="I823" s="75"/>
      <c r="J823" s="76"/>
      <c r="K823" s="76"/>
      <c r="L823" s="75"/>
      <c r="M823" s="49"/>
      <c r="N823" s="76"/>
      <c r="O823" s="49"/>
      <c r="P823" s="77"/>
      <c r="Q823" s="53"/>
      <c r="R823" s="54"/>
      <c r="S823" s="55"/>
      <c r="T823" s="56"/>
      <c r="U823" s="56"/>
      <c r="V823" s="42"/>
      <c r="W823" s="57"/>
      <c r="X823" s="58"/>
      <c r="Y823" s="75"/>
      <c r="Z823" s="59"/>
      <c r="AA823" s="61"/>
      <c r="AB823" s="61"/>
      <c r="AC823" s="61"/>
      <c r="AD823" s="62"/>
      <c r="AE823" s="62"/>
      <c r="AF823" s="34"/>
      <c r="AG823" s="34"/>
      <c r="AH823" s="34"/>
      <c r="AI823" s="34"/>
      <c r="AJ823" s="34"/>
      <c r="AK823" s="34"/>
      <c r="AL823" s="34"/>
      <c r="AM823" s="34"/>
      <c r="AN823" s="34"/>
      <c r="AO823" s="34"/>
      <c r="AP823" s="34"/>
      <c r="AQ823" s="34"/>
      <c r="AR823" s="34"/>
      <c r="AS823" s="34"/>
      <c r="AT823" s="34"/>
      <c r="AU823" s="34"/>
      <c r="AV823" s="34"/>
      <c r="AW823" s="34"/>
      <c r="AX823" s="34"/>
      <c r="AY823" s="34"/>
      <c r="AZ823" s="34"/>
      <c r="BA823" s="34"/>
      <c r="BB823" s="34"/>
      <c r="BD823" s="34"/>
      <c r="BE823" s="34"/>
      <c r="BF823" s="34"/>
      <c r="BG823" s="34"/>
      <c r="BH823" s="34"/>
      <c r="BI823" s="34"/>
      <c r="BJ823" s="34"/>
      <c r="BK823" s="34"/>
      <c r="BL823" s="34"/>
      <c r="BM823" s="34"/>
      <c r="BN823" s="34"/>
      <c r="BO823" s="34"/>
      <c r="BP823" s="34"/>
      <c r="BQ823" s="34"/>
      <c r="BR823" s="34"/>
      <c r="BS823" s="34"/>
      <c r="BT823" s="34"/>
      <c r="BU823" s="34"/>
      <c r="BV823" s="34"/>
      <c r="BW823" s="34"/>
      <c r="BX823" s="34"/>
      <c r="BY823" s="34"/>
    </row>
    <row r="824" spans="1:77" x14ac:dyDescent="0.3">
      <c r="A824" s="39"/>
      <c r="B824" s="42"/>
      <c r="C824" s="42"/>
      <c r="D824" s="75"/>
      <c r="E824" s="75"/>
      <c r="F824" s="76"/>
      <c r="G824" s="47"/>
      <c r="H824" s="47"/>
      <c r="I824" s="75"/>
      <c r="J824" s="76"/>
      <c r="K824" s="76"/>
      <c r="L824" s="75"/>
      <c r="M824" s="49"/>
      <c r="N824" s="76"/>
      <c r="O824" s="49"/>
      <c r="P824" s="77"/>
      <c r="Q824" s="53"/>
      <c r="R824" s="54"/>
      <c r="S824" s="55"/>
      <c r="T824" s="56"/>
      <c r="U824" s="56"/>
      <c r="V824" s="42"/>
      <c r="W824" s="57"/>
      <c r="X824" s="58"/>
      <c r="Y824" s="75"/>
      <c r="Z824" s="59"/>
      <c r="AA824" s="61"/>
      <c r="AB824" s="61"/>
      <c r="AC824" s="61"/>
      <c r="AD824" s="62"/>
      <c r="AE824" s="62"/>
      <c r="AF824" s="34"/>
      <c r="AG824" s="34"/>
      <c r="AH824" s="34"/>
      <c r="AI824" s="34"/>
      <c r="AJ824" s="34"/>
      <c r="AK824" s="34"/>
      <c r="AL824" s="34"/>
      <c r="AM824" s="34"/>
      <c r="AN824" s="34"/>
      <c r="AO824" s="34"/>
      <c r="AP824" s="34"/>
      <c r="AQ824" s="34"/>
      <c r="AR824" s="34"/>
      <c r="AS824" s="34"/>
      <c r="AT824" s="34"/>
      <c r="AU824" s="34"/>
      <c r="AV824" s="34"/>
      <c r="AW824" s="34"/>
      <c r="AX824" s="34"/>
      <c r="AY824" s="34"/>
      <c r="AZ824" s="34"/>
      <c r="BA824" s="34"/>
      <c r="BB824" s="34"/>
      <c r="BD824" s="34"/>
      <c r="BE824" s="34"/>
      <c r="BF824" s="34"/>
      <c r="BG824" s="34"/>
      <c r="BH824" s="34"/>
      <c r="BI824" s="34"/>
      <c r="BJ824" s="34"/>
      <c r="BK824" s="34"/>
      <c r="BL824" s="34"/>
      <c r="BM824" s="34"/>
      <c r="BN824" s="34"/>
      <c r="BO824" s="34"/>
      <c r="BP824" s="34"/>
      <c r="BQ824" s="34"/>
      <c r="BR824" s="34"/>
      <c r="BS824" s="34"/>
      <c r="BT824" s="34"/>
      <c r="BU824" s="34"/>
      <c r="BV824" s="34"/>
      <c r="BW824" s="34"/>
      <c r="BX824" s="34"/>
      <c r="BY824" s="34"/>
    </row>
    <row r="825" spans="1:77" x14ac:dyDescent="0.3">
      <c r="A825" s="39"/>
      <c r="B825" s="42"/>
      <c r="C825" s="42"/>
      <c r="D825" s="75"/>
      <c r="E825" s="75"/>
      <c r="F825" s="76"/>
      <c r="G825" s="47"/>
      <c r="H825" s="47"/>
      <c r="I825" s="75"/>
      <c r="J825" s="76"/>
      <c r="K825" s="76"/>
      <c r="L825" s="75"/>
      <c r="M825" s="49"/>
      <c r="N825" s="76"/>
      <c r="O825" s="49"/>
      <c r="P825" s="77"/>
      <c r="Q825" s="53"/>
      <c r="R825" s="54"/>
      <c r="S825" s="55"/>
      <c r="T825" s="56"/>
      <c r="U825" s="56"/>
      <c r="V825" s="42"/>
      <c r="W825" s="57"/>
      <c r="X825" s="58"/>
      <c r="Y825" s="75"/>
      <c r="Z825" s="59"/>
      <c r="AA825" s="61"/>
      <c r="AB825" s="61"/>
      <c r="AC825" s="61"/>
      <c r="AD825" s="62"/>
      <c r="AE825" s="62"/>
      <c r="AF825" s="34"/>
      <c r="AG825" s="34"/>
      <c r="AH825" s="34"/>
      <c r="AI825" s="34"/>
      <c r="AJ825" s="34"/>
      <c r="AK825" s="34"/>
      <c r="AL825" s="34"/>
      <c r="AM825" s="34"/>
      <c r="AN825" s="34"/>
      <c r="AO825" s="34"/>
      <c r="AP825" s="34"/>
      <c r="AQ825" s="34"/>
      <c r="AR825" s="34"/>
      <c r="AS825" s="34"/>
      <c r="AT825" s="34"/>
      <c r="AU825" s="34"/>
      <c r="AV825" s="34"/>
      <c r="AW825" s="34"/>
      <c r="AX825" s="34"/>
      <c r="AY825" s="34"/>
      <c r="AZ825" s="34"/>
      <c r="BA825" s="34"/>
      <c r="BB825" s="34"/>
      <c r="BD825" s="34"/>
      <c r="BE825" s="34"/>
      <c r="BF825" s="34"/>
      <c r="BG825" s="34"/>
      <c r="BH825" s="34"/>
      <c r="BI825" s="34"/>
      <c r="BJ825" s="34"/>
      <c r="BK825" s="34"/>
      <c r="BL825" s="34"/>
      <c r="BM825" s="34"/>
      <c r="BN825" s="34"/>
      <c r="BO825" s="34"/>
      <c r="BP825" s="34"/>
      <c r="BQ825" s="34"/>
      <c r="BR825" s="34"/>
      <c r="BS825" s="34"/>
      <c r="BT825" s="34"/>
      <c r="BU825" s="34"/>
      <c r="BV825" s="34"/>
      <c r="BW825" s="34"/>
      <c r="BX825" s="34"/>
      <c r="BY825" s="34"/>
    </row>
    <row r="826" spans="1:77" x14ac:dyDescent="0.3">
      <c r="A826" s="39"/>
      <c r="B826" s="42"/>
      <c r="C826" s="42"/>
      <c r="D826" s="75"/>
      <c r="E826" s="75"/>
      <c r="F826" s="76"/>
      <c r="G826" s="47"/>
      <c r="H826" s="47"/>
      <c r="I826" s="75"/>
      <c r="J826" s="76"/>
      <c r="K826" s="76"/>
      <c r="L826" s="75"/>
      <c r="M826" s="49"/>
      <c r="N826" s="76"/>
      <c r="O826" s="49"/>
      <c r="P826" s="77"/>
      <c r="Q826" s="53"/>
      <c r="R826" s="54"/>
      <c r="S826" s="55"/>
      <c r="T826" s="56"/>
      <c r="U826" s="56"/>
      <c r="V826" s="42"/>
      <c r="W826" s="57"/>
      <c r="X826" s="58"/>
      <c r="Y826" s="75"/>
      <c r="Z826" s="59"/>
      <c r="AA826" s="61"/>
      <c r="AB826" s="61"/>
      <c r="AC826" s="61"/>
      <c r="AD826" s="62"/>
      <c r="AE826" s="62"/>
      <c r="AF826" s="34"/>
      <c r="AG826" s="34"/>
      <c r="AH826" s="34"/>
      <c r="AI826" s="34"/>
      <c r="AJ826" s="34"/>
      <c r="AK826" s="34"/>
      <c r="AL826" s="34"/>
      <c r="AM826" s="34"/>
      <c r="AN826" s="34"/>
      <c r="AO826" s="34"/>
      <c r="AP826" s="34"/>
      <c r="AQ826" s="34"/>
      <c r="AR826" s="34"/>
      <c r="AS826" s="34"/>
      <c r="AT826" s="34"/>
      <c r="AU826" s="34"/>
      <c r="AV826" s="34"/>
      <c r="AW826" s="34"/>
      <c r="AX826" s="34"/>
      <c r="AY826" s="34"/>
      <c r="AZ826" s="34"/>
      <c r="BA826" s="34"/>
      <c r="BB826" s="34"/>
      <c r="BD826" s="34"/>
      <c r="BE826" s="34"/>
      <c r="BF826" s="34"/>
      <c r="BG826" s="34"/>
      <c r="BH826" s="34"/>
      <c r="BI826" s="34"/>
      <c r="BJ826" s="34"/>
      <c r="BK826" s="34"/>
      <c r="BL826" s="34"/>
      <c r="BM826" s="34"/>
      <c r="BN826" s="34"/>
      <c r="BO826" s="34"/>
      <c r="BP826" s="34"/>
      <c r="BQ826" s="34"/>
      <c r="BR826" s="34"/>
      <c r="BS826" s="34"/>
      <c r="BT826" s="34"/>
      <c r="BU826" s="34"/>
      <c r="BV826" s="34"/>
      <c r="BW826" s="34"/>
      <c r="BX826" s="34"/>
      <c r="BY826" s="34"/>
    </row>
    <row r="827" spans="1:77" x14ac:dyDescent="0.3">
      <c r="A827" s="39"/>
      <c r="B827" s="42"/>
      <c r="C827" s="42"/>
      <c r="D827" s="75"/>
      <c r="E827" s="75"/>
      <c r="F827" s="76"/>
      <c r="G827" s="47"/>
      <c r="H827" s="47"/>
      <c r="I827" s="75"/>
      <c r="J827" s="76"/>
      <c r="K827" s="76"/>
      <c r="L827" s="75"/>
      <c r="M827" s="49"/>
      <c r="N827" s="76"/>
      <c r="O827" s="49"/>
      <c r="P827" s="77"/>
      <c r="Q827" s="53"/>
      <c r="R827" s="54"/>
      <c r="S827" s="55"/>
      <c r="T827" s="56"/>
      <c r="U827" s="56"/>
      <c r="V827" s="42"/>
      <c r="W827" s="57"/>
      <c r="X827" s="58"/>
      <c r="Y827" s="75"/>
      <c r="Z827" s="59"/>
      <c r="AA827" s="61"/>
      <c r="AB827" s="61"/>
      <c r="AC827" s="61"/>
      <c r="AD827" s="62"/>
      <c r="AE827" s="62"/>
      <c r="AF827" s="34"/>
      <c r="AG827" s="34"/>
      <c r="AH827" s="34"/>
      <c r="AI827" s="34"/>
      <c r="AJ827" s="34"/>
      <c r="AK827" s="34"/>
      <c r="AL827" s="34"/>
      <c r="AM827" s="34"/>
      <c r="AN827" s="34"/>
      <c r="AO827" s="34"/>
      <c r="AP827" s="34"/>
      <c r="AQ827" s="34"/>
      <c r="AR827" s="34"/>
      <c r="AS827" s="34"/>
      <c r="AT827" s="34"/>
      <c r="AU827" s="34"/>
      <c r="AV827" s="34"/>
      <c r="AW827" s="34"/>
      <c r="AX827" s="34"/>
      <c r="AY827" s="34"/>
      <c r="AZ827" s="34"/>
      <c r="BA827" s="34"/>
      <c r="BB827" s="34"/>
      <c r="BD827" s="34"/>
      <c r="BE827" s="34"/>
      <c r="BF827" s="34"/>
      <c r="BG827" s="34"/>
      <c r="BH827" s="34"/>
      <c r="BI827" s="34"/>
      <c r="BJ827" s="34"/>
      <c r="BK827" s="34"/>
      <c r="BL827" s="34"/>
      <c r="BM827" s="34"/>
      <c r="BN827" s="34"/>
      <c r="BO827" s="34"/>
      <c r="BP827" s="34"/>
      <c r="BQ827" s="34"/>
      <c r="BR827" s="34"/>
      <c r="BS827" s="34"/>
      <c r="BT827" s="34"/>
      <c r="BU827" s="34"/>
      <c r="BV827" s="34"/>
      <c r="BW827" s="34"/>
      <c r="BX827" s="34"/>
      <c r="BY827" s="34"/>
    </row>
    <row r="828" spans="1:77" x14ac:dyDescent="0.3">
      <c r="A828" s="39"/>
      <c r="B828" s="42"/>
      <c r="C828" s="42"/>
      <c r="D828" s="75"/>
      <c r="E828" s="75"/>
      <c r="F828" s="76"/>
      <c r="G828" s="47"/>
      <c r="H828" s="47"/>
      <c r="I828" s="75"/>
      <c r="J828" s="76"/>
      <c r="K828" s="76"/>
      <c r="L828" s="75"/>
      <c r="M828" s="49"/>
      <c r="N828" s="76"/>
      <c r="O828" s="49"/>
      <c r="P828" s="77"/>
      <c r="Q828" s="53"/>
      <c r="R828" s="54"/>
      <c r="S828" s="55"/>
      <c r="T828" s="56"/>
      <c r="U828" s="56"/>
      <c r="V828" s="42"/>
      <c r="W828" s="57"/>
      <c r="X828" s="58"/>
      <c r="Y828" s="75"/>
      <c r="Z828" s="59"/>
      <c r="AA828" s="61"/>
      <c r="AB828" s="61"/>
      <c r="AC828" s="61"/>
      <c r="AD828" s="62"/>
      <c r="AE828" s="62"/>
      <c r="AF828" s="34"/>
      <c r="AG828" s="34"/>
      <c r="AH828" s="34"/>
      <c r="AI828" s="34"/>
      <c r="AJ828" s="34"/>
      <c r="AK828" s="34"/>
      <c r="AL828" s="34"/>
      <c r="AM828" s="34"/>
      <c r="AN828" s="34"/>
      <c r="AO828" s="34"/>
      <c r="AP828" s="34"/>
      <c r="AQ828" s="34"/>
      <c r="AR828" s="34"/>
      <c r="AS828" s="34"/>
      <c r="AT828" s="34"/>
      <c r="AU828" s="34"/>
      <c r="AV828" s="34"/>
      <c r="AW828" s="34"/>
      <c r="AX828" s="34"/>
      <c r="AY828" s="34"/>
      <c r="AZ828" s="34"/>
      <c r="BA828" s="34"/>
      <c r="BB828" s="34"/>
      <c r="BD828" s="34"/>
      <c r="BE828" s="34"/>
      <c r="BF828" s="34"/>
      <c r="BG828" s="34"/>
      <c r="BH828" s="34"/>
      <c r="BI828" s="34"/>
      <c r="BJ828" s="34"/>
      <c r="BK828" s="34"/>
      <c r="BL828" s="34"/>
      <c r="BM828" s="34"/>
      <c r="BN828" s="34"/>
      <c r="BO828" s="34"/>
      <c r="BP828" s="34"/>
      <c r="BQ828" s="34"/>
      <c r="BR828" s="34"/>
      <c r="BS828" s="34"/>
      <c r="BT828" s="34"/>
      <c r="BU828" s="34"/>
      <c r="BV828" s="34"/>
      <c r="BW828" s="34"/>
      <c r="BX828" s="34"/>
      <c r="BY828" s="34"/>
    </row>
    <row r="829" spans="1:77" x14ac:dyDescent="0.3">
      <c r="A829" s="39"/>
      <c r="B829" s="42"/>
      <c r="C829" s="42"/>
      <c r="D829" s="75"/>
      <c r="E829" s="75"/>
      <c r="F829" s="76"/>
      <c r="G829" s="47"/>
      <c r="H829" s="47"/>
      <c r="I829" s="75"/>
      <c r="J829" s="76"/>
      <c r="K829" s="76"/>
      <c r="L829" s="75"/>
      <c r="M829" s="49"/>
      <c r="N829" s="76"/>
      <c r="O829" s="49"/>
      <c r="P829" s="77"/>
      <c r="Q829" s="53"/>
      <c r="R829" s="54"/>
      <c r="S829" s="55"/>
      <c r="T829" s="56"/>
      <c r="U829" s="56"/>
      <c r="V829" s="42"/>
      <c r="W829" s="57"/>
      <c r="X829" s="58"/>
      <c r="Y829" s="75"/>
      <c r="Z829" s="59"/>
      <c r="AA829" s="61"/>
      <c r="AB829" s="61"/>
      <c r="AC829" s="61"/>
      <c r="AD829" s="62"/>
      <c r="AE829" s="62"/>
      <c r="AF829" s="34"/>
      <c r="AG829" s="34"/>
      <c r="AH829" s="34"/>
      <c r="AI829" s="34"/>
      <c r="AJ829" s="34"/>
      <c r="AK829" s="34"/>
      <c r="AL829" s="34"/>
      <c r="AM829" s="34"/>
      <c r="AN829" s="34"/>
      <c r="AO829" s="34"/>
      <c r="AP829" s="34"/>
      <c r="AQ829" s="34"/>
      <c r="AR829" s="34"/>
      <c r="AS829" s="34"/>
      <c r="AT829" s="34"/>
      <c r="AU829" s="34"/>
      <c r="AV829" s="34"/>
      <c r="AW829" s="34"/>
      <c r="AX829" s="34"/>
      <c r="AY829" s="34"/>
      <c r="AZ829" s="34"/>
      <c r="BA829" s="34"/>
      <c r="BB829" s="34"/>
      <c r="BD829" s="34"/>
      <c r="BE829" s="34"/>
      <c r="BF829" s="34"/>
      <c r="BG829" s="34"/>
      <c r="BH829" s="34"/>
      <c r="BI829" s="34"/>
      <c r="BJ829" s="34"/>
      <c r="BK829" s="34"/>
      <c r="BL829" s="34"/>
      <c r="BM829" s="34"/>
      <c r="BN829" s="34"/>
      <c r="BO829" s="34"/>
      <c r="BP829" s="34"/>
      <c r="BQ829" s="34"/>
      <c r="BR829" s="34"/>
      <c r="BS829" s="34"/>
      <c r="BT829" s="34"/>
      <c r="BU829" s="34"/>
      <c r="BV829" s="34"/>
      <c r="BW829" s="34"/>
      <c r="BX829" s="34"/>
      <c r="BY829" s="34"/>
    </row>
    <row r="830" spans="1:77" x14ac:dyDescent="0.3">
      <c r="A830" s="39"/>
      <c r="B830" s="42"/>
      <c r="C830" s="42"/>
      <c r="D830" s="75"/>
      <c r="E830" s="75"/>
      <c r="F830" s="76"/>
      <c r="G830" s="47"/>
      <c r="H830" s="47"/>
      <c r="I830" s="75"/>
      <c r="J830" s="76"/>
      <c r="K830" s="76"/>
      <c r="L830" s="75"/>
      <c r="M830" s="49"/>
      <c r="N830" s="76"/>
      <c r="O830" s="49"/>
      <c r="P830" s="77"/>
      <c r="Q830" s="53"/>
      <c r="R830" s="54"/>
      <c r="S830" s="55"/>
      <c r="T830" s="56"/>
      <c r="U830" s="56"/>
      <c r="V830" s="42"/>
      <c r="W830" s="57"/>
      <c r="X830" s="58"/>
      <c r="Y830" s="75"/>
      <c r="Z830" s="59"/>
      <c r="AA830" s="61"/>
      <c r="AB830" s="61"/>
      <c r="AC830" s="61"/>
      <c r="AD830" s="62"/>
      <c r="AE830" s="62"/>
      <c r="AF830" s="34"/>
      <c r="AG830" s="34"/>
      <c r="AH830" s="34"/>
      <c r="AI830" s="34"/>
      <c r="AJ830" s="34"/>
      <c r="AK830" s="34"/>
      <c r="AL830" s="34"/>
      <c r="AM830" s="34"/>
      <c r="AN830" s="34"/>
      <c r="AO830" s="34"/>
      <c r="AP830" s="34"/>
      <c r="AQ830" s="34"/>
      <c r="AR830" s="34"/>
      <c r="AS830" s="34"/>
      <c r="AT830" s="34"/>
      <c r="AU830" s="34"/>
      <c r="AV830" s="34"/>
      <c r="AW830" s="34"/>
      <c r="AX830" s="34"/>
      <c r="AY830" s="34"/>
      <c r="AZ830" s="34"/>
      <c r="BA830" s="34"/>
      <c r="BB830" s="34"/>
      <c r="BD830" s="34"/>
      <c r="BE830" s="34"/>
      <c r="BF830" s="34"/>
      <c r="BG830" s="34"/>
      <c r="BH830" s="34"/>
      <c r="BI830" s="34"/>
      <c r="BJ830" s="34"/>
      <c r="BK830" s="34"/>
      <c r="BL830" s="34"/>
      <c r="BM830" s="34"/>
      <c r="BN830" s="34"/>
      <c r="BO830" s="34"/>
      <c r="BP830" s="34"/>
      <c r="BQ830" s="34"/>
      <c r="BR830" s="34"/>
      <c r="BS830" s="34"/>
      <c r="BT830" s="34"/>
      <c r="BU830" s="34"/>
      <c r="BV830" s="34"/>
      <c r="BW830" s="34"/>
      <c r="BX830" s="34"/>
      <c r="BY830" s="34"/>
    </row>
    <row r="831" spans="1:77" x14ac:dyDescent="0.3">
      <c r="A831" s="39"/>
      <c r="B831" s="42"/>
      <c r="C831" s="42"/>
      <c r="D831" s="75"/>
      <c r="E831" s="75"/>
      <c r="F831" s="76"/>
      <c r="G831" s="47"/>
      <c r="H831" s="47"/>
      <c r="I831" s="75"/>
      <c r="J831" s="76"/>
      <c r="K831" s="76"/>
      <c r="L831" s="75"/>
      <c r="M831" s="49"/>
      <c r="N831" s="76"/>
      <c r="O831" s="49"/>
      <c r="P831" s="77"/>
      <c r="Q831" s="53"/>
      <c r="R831" s="54"/>
      <c r="S831" s="55"/>
      <c r="T831" s="56"/>
      <c r="U831" s="56"/>
      <c r="V831" s="42"/>
      <c r="W831" s="57"/>
      <c r="X831" s="58"/>
      <c r="Y831" s="75"/>
      <c r="Z831" s="59"/>
      <c r="AA831" s="61"/>
      <c r="AB831" s="61"/>
      <c r="AC831" s="61"/>
      <c r="AD831" s="62"/>
      <c r="AE831" s="62"/>
      <c r="AF831" s="34"/>
      <c r="AG831" s="34"/>
      <c r="AH831" s="34"/>
      <c r="AI831" s="34"/>
      <c r="AJ831" s="34"/>
      <c r="AK831" s="34"/>
      <c r="AL831" s="34"/>
      <c r="AM831" s="34"/>
      <c r="AN831" s="34"/>
      <c r="AO831" s="34"/>
      <c r="AP831" s="34"/>
      <c r="AQ831" s="34"/>
      <c r="AR831" s="34"/>
      <c r="AS831" s="34"/>
      <c r="AT831" s="34"/>
      <c r="AU831" s="34"/>
      <c r="AV831" s="34"/>
      <c r="AW831" s="34"/>
      <c r="AX831" s="34"/>
      <c r="AY831" s="34"/>
      <c r="AZ831" s="34"/>
      <c r="BA831" s="34"/>
      <c r="BB831" s="34"/>
      <c r="BD831" s="34"/>
      <c r="BE831" s="34"/>
      <c r="BF831" s="34"/>
      <c r="BG831" s="34"/>
      <c r="BH831" s="34"/>
      <c r="BI831" s="34"/>
      <c r="BJ831" s="34"/>
      <c r="BK831" s="34"/>
      <c r="BL831" s="34"/>
      <c r="BM831" s="34"/>
      <c r="BN831" s="34"/>
      <c r="BO831" s="34"/>
      <c r="BP831" s="34"/>
      <c r="BQ831" s="34"/>
      <c r="BR831" s="34"/>
      <c r="BS831" s="34"/>
      <c r="BT831" s="34"/>
      <c r="BU831" s="34"/>
      <c r="BV831" s="34"/>
      <c r="BW831" s="34"/>
      <c r="BX831" s="34"/>
      <c r="BY831" s="34"/>
    </row>
    <row r="832" spans="1:77" x14ac:dyDescent="0.3">
      <c r="A832" s="39"/>
      <c r="B832" s="42"/>
      <c r="C832" s="42"/>
      <c r="D832" s="75"/>
      <c r="E832" s="75"/>
      <c r="F832" s="76"/>
      <c r="G832" s="47"/>
      <c r="H832" s="47"/>
      <c r="I832" s="75"/>
      <c r="J832" s="76"/>
      <c r="K832" s="76"/>
      <c r="L832" s="75"/>
      <c r="M832" s="49"/>
      <c r="N832" s="76"/>
      <c r="O832" s="49"/>
      <c r="P832" s="77"/>
      <c r="Q832" s="53"/>
      <c r="R832" s="54"/>
      <c r="S832" s="55"/>
      <c r="T832" s="56"/>
      <c r="U832" s="56"/>
      <c r="V832" s="42"/>
      <c r="W832" s="57"/>
      <c r="X832" s="58"/>
      <c r="Y832" s="75"/>
      <c r="Z832" s="59"/>
      <c r="AA832" s="61"/>
      <c r="AB832" s="61"/>
      <c r="AC832" s="61"/>
      <c r="AD832" s="62"/>
      <c r="AE832" s="62"/>
      <c r="AF832" s="34"/>
      <c r="AG832" s="34"/>
      <c r="AH832" s="34"/>
      <c r="AI832" s="34"/>
      <c r="AJ832" s="34"/>
      <c r="AK832" s="34"/>
      <c r="AL832" s="34"/>
      <c r="AM832" s="34"/>
      <c r="AN832" s="34"/>
      <c r="AO832" s="34"/>
      <c r="AP832" s="34"/>
      <c r="AQ832" s="34"/>
      <c r="AR832" s="34"/>
      <c r="AS832" s="34"/>
      <c r="AT832" s="34"/>
      <c r="AU832" s="34"/>
      <c r="AV832" s="34"/>
      <c r="AW832" s="34"/>
      <c r="AX832" s="34"/>
      <c r="AY832" s="34"/>
      <c r="AZ832" s="34"/>
      <c r="BA832" s="34"/>
      <c r="BB832" s="34"/>
      <c r="BD832" s="34"/>
      <c r="BE832" s="34"/>
      <c r="BF832" s="34"/>
      <c r="BG832" s="34"/>
      <c r="BH832" s="34"/>
      <c r="BI832" s="34"/>
      <c r="BJ832" s="34"/>
      <c r="BK832" s="34"/>
      <c r="BL832" s="34"/>
      <c r="BM832" s="34"/>
      <c r="BN832" s="34"/>
      <c r="BO832" s="34"/>
      <c r="BP832" s="34"/>
      <c r="BQ832" s="34"/>
      <c r="BR832" s="34"/>
      <c r="BS832" s="34"/>
      <c r="BT832" s="34"/>
      <c r="BU832" s="34"/>
      <c r="BV832" s="34"/>
      <c r="BW832" s="34"/>
      <c r="BX832" s="34"/>
      <c r="BY832" s="34"/>
    </row>
    <row r="833" spans="1:77" x14ac:dyDescent="0.3">
      <c r="A833" s="39"/>
      <c r="B833" s="42"/>
      <c r="C833" s="42"/>
      <c r="D833" s="75"/>
      <c r="E833" s="75"/>
      <c r="F833" s="76"/>
      <c r="G833" s="47"/>
      <c r="H833" s="47"/>
      <c r="I833" s="75"/>
      <c r="J833" s="76"/>
      <c r="K833" s="76"/>
      <c r="L833" s="75"/>
      <c r="M833" s="49"/>
      <c r="N833" s="76"/>
      <c r="O833" s="49"/>
      <c r="P833" s="77"/>
      <c r="Q833" s="53"/>
      <c r="R833" s="54"/>
      <c r="S833" s="55"/>
      <c r="T833" s="56"/>
      <c r="U833" s="56"/>
      <c r="V833" s="42"/>
      <c r="W833" s="57"/>
      <c r="X833" s="58"/>
      <c r="Y833" s="75"/>
      <c r="Z833" s="59"/>
      <c r="AA833" s="61"/>
      <c r="AB833" s="61"/>
      <c r="AC833" s="61"/>
      <c r="AD833" s="62"/>
      <c r="AE833" s="62"/>
      <c r="AF833" s="34"/>
      <c r="AG833" s="34"/>
      <c r="AH833" s="34"/>
      <c r="AI833" s="34"/>
      <c r="AJ833" s="34"/>
      <c r="AK833" s="34"/>
      <c r="AL833" s="34"/>
      <c r="AM833" s="34"/>
      <c r="AN833" s="34"/>
      <c r="AO833" s="34"/>
      <c r="AP833" s="34"/>
      <c r="AQ833" s="34"/>
      <c r="AR833" s="34"/>
      <c r="AS833" s="34"/>
      <c r="AT833" s="34"/>
      <c r="AU833" s="34"/>
      <c r="AV833" s="34"/>
      <c r="AW833" s="34"/>
      <c r="AX833" s="34"/>
      <c r="AY833" s="34"/>
      <c r="AZ833" s="34"/>
      <c r="BA833" s="34"/>
      <c r="BB833" s="34"/>
      <c r="BD833" s="34"/>
      <c r="BE833" s="34"/>
      <c r="BF833" s="34"/>
      <c r="BG833" s="34"/>
      <c r="BH833" s="34"/>
      <c r="BI833" s="34"/>
      <c r="BJ833" s="34"/>
      <c r="BK833" s="34"/>
      <c r="BL833" s="34"/>
      <c r="BM833" s="34"/>
      <c r="BN833" s="34"/>
      <c r="BO833" s="34"/>
      <c r="BP833" s="34"/>
      <c r="BQ833" s="34"/>
      <c r="BR833" s="34"/>
      <c r="BS833" s="34"/>
      <c r="BT833" s="34"/>
      <c r="BU833" s="34"/>
      <c r="BV833" s="34"/>
      <c r="BW833" s="34"/>
      <c r="BX833" s="34"/>
      <c r="BY833" s="34"/>
    </row>
    <row r="834" spans="1:77" x14ac:dyDescent="0.3">
      <c r="A834" s="39"/>
      <c r="B834" s="42"/>
      <c r="C834" s="42"/>
      <c r="D834" s="75"/>
      <c r="E834" s="75"/>
      <c r="F834" s="76"/>
      <c r="G834" s="47"/>
      <c r="H834" s="47"/>
      <c r="I834" s="75"/>
      <c r="J834" s="76"/>
      <c r="K834" s="76"/>
      <c r="L834" s="75"/>
      <c r="M834" s="49"/>
      <c r="N834" s="76"/>
      <c r="O834" s="49"/>
      <c r="P834" s="77"/>
      <c r="Q834" s="53"/>
      <c r="R834" s="54"/>
      <c r="S834" s="55"/>
      <c r="T834" s="56"/>
      <c r="U834" s="56"/>
      <c r="V834" s="42"/>
      <c r="W834" s="57"/>
      <c r="X834" s="58"/>
      <c r="Y834" s="75"/>
      <c r="Z834" s="59"/>
      <c r="AA834" s="61"/>
      <c r="AB834" s="61"/>
      <c r="AC834" s="61"/>
      <c r="AD834" s="62"/>
      <c r="AE834" s="62"/>
      <c r="AF834" s="34"/>
      <c r="AG834" s="34"/>
      <c r="AH834" s="34"/>
      <c r="AI834" s="34"/>
      <c r="AJ834" s="34"/>
      <c r="AK834" s="34"/>
      <c r="AL834" s="34"/>
      <c r="AM834" s="34"/>
      <c r="AN834" s="34"/>
      <c r="AO834" s="34"/>
      <c r="AP834" s="34"/>
      <c r="AQ834" s="34"/>
      <c r="AR834" s="34"/>
      <c r="AS834" s="34"/>
      <c r="AT834" s="34"/>
      <c r="AU834" s="34"/>
      <c r="AV834" s="34"/>
      <c r="AW834" s="34"/>
      <c r="AX834" s="34"/>
      <c r="AY834" s="34"/>
      <c r="AZ834" s="34"/>
      <c r="BA834" s="34"/>
      <c r="BB834" s="34"/>
      <c r="BD834" s="34"/>
      <c r="BE834" s="34"/>
      <c r="BF834" s="34"/>
      <c r="BG834" s="34"/>
      <c r="BH834" s="34"/>
      <c r="BI834" s="34"/>
      <c r="BJ834" s="34"/>
      <c r="BK834" s="34"/>
      <c r="BL834" s="34"/>
      <c r="BM834" s="34"/>
      <c r="BN834" s="34"/>
      <c r="BO834" s="34"/>
      <c r="BP834" s="34"/>
      <c r="BQ834" s="34"/>
      <c r="BR834" s="34"/>
      <c r="BS834" s="34"/>
      <c r="BT834" s="34"/>
      <c r="BU834" s="34"/>
      <c r="BV834" s="34"/>
      <c r="BW834" s="34"/>
      <c r="BX834" s="34"/>
      <c r="BY834" s="34"/>
    </row>
    <row r="835" spans="1:77" x14ac:dyDescent="0.3">
      <c r="A835" s="39"/>
      <c r="B835" s="42"/>
      <c r="C835" s="42"/>
      <c r="D835" s="75"/>
      <c r="E835" s="75"/>
      <c r="F835" s="76"/>
      <c r="G835" s="47"/>
      <c r="H835" s="47"/>
      <c r="I835" s="75"/>
      <c r="J835" s="76"/>
      <c r="K835" s="76"/>
      <c r="L835" s="75"/>
      <c r="M835" s="49"/>
      <c r="N835" s="76"/>
      <c r="O835" s="49"/>
      <c r="P835" s="77"/>
      <c r="Q835" s="53"/>
      <c r="R835" s="54"/>
      <c r="S835" s="55"/>
      <c r="T835" s="56"/>
      <c r="U835" s="56"/>
      <c r="V835" s="42"/>
      <c r="W835" s="57"/>
      <c r="X835" s="58"/>
      <c r="Y835" s="75"/>
      <c r="Z835" s="59"/>
      <c r="AA835" s="61"/>
      <c r="AB835" s="61"/>
      <c r="AC835" s="61"/>
      <c r="AD835" s="62"/>
      <c r="AE835" s="62"/>
      <c r="AF835" s="34"/>
      <c r="AG835" s="34"/>
      <c r="AH835" s="34"/>
      <c r="AI835" s="34"/>
      <c r="AJ835" s="34"/>
      <c r="AK835" s="34"/>
      <c r="AL835" s="34"/>
      <c r="AM835" s="34"/>
      <c r="AN835" s="34"/>
      <c r="AO835" s="34"/>
      <c r="AP835" s="34"/>
      <c r="AQ835" s="34"/>
      <c r="AR835" s="34"/>
      <c r="AS835" s="34"/>
      <c r="AT835" s="34"/>
      <c r="AU835" s="34"/>
      <c r="AV835" s="34"/>
      <c r="AW835" s="34"/>
      <c r="AX835" s="34"/>
      <c r="AY835" s="34"/>
      <c r="AZ835" s="34"/>
      <c r="BA835" s="34"/>
      <c r="BB835" s="34"/>
      <c r="BD835" s="34"/>
      <c r="BE835" s="34"/>
      <c r="BF835" s="34"/>
      <c r="BG835" s="34"/>
      <c r="BH835" s="34"/>
      <c r="BI835" s="34"/>
      <c r="BJ835" s="34"/>
      <c r="BK835" s="34"/>
      <c r="BL835" s="34"/>
      <c r="BM835" s="34"/>
      <c r="BN835" s="34"/>
      <c r="BO835" s="34"/>
      <c r="BP835" s="34"/>
      <c r="BQ835" s="34"/>
      <c r="BR835" s="34"/>
      <c r="BS835" s="34"/>
      <c r="BT835" s="34"/>
      <c r="BU835" s="34"/>
      <c r="BV835" s="34"/>
      <c r="BW835" s="34"/>
      <c r="BX835" s="34"/>
      <c r="BY835" s="34"/>
    </row>
    <row r="836" spans="1:77" x14ac:dyDescent="0.3">
      <c r="A836" s="39"/>
      <c r="B836" s="42"/>
      <c r="C836" s="42"/>
      <c r="D836" s="75"/>
      <c r="E836" s="75"/>
      <c r="F836" s="76"/>
      <c r="G836" s="47"/>
      <c r="H836" s="47"/>
      <c r="I836" s="75"/>
      <c r="J836" s="76"/>
      <c r="K836" s="76"/>
      <c r="L836" s="75"/>
      <c r="M836" s="49"/>
      <c r="N836" s="76"/>
      <c r="O836" s="49"/>
      <c r="P836" s="77"/>
      <c r="Q836" s="53"/>
      <c r="R836" s="54"/>
      <c r="S836" s="55"/>
      <c r="T836" s="56"/>
      <c r="U836" s="56"/>
      <c r="V836" s="42"/>
      <c r="W836" s="57"/>
      <c r="X836" s="58"/>
      <c r="Y836" s="75"/>
      <c r="Z836" s="59"/>
      <c r="AA836" s="61"/>
      <c r="AB836" s="61"/>
      <c r="AC836" s="61"/>
      <c r="AD836" s="62"/>
      <c r="AE836" s="62"/>
      <c r="AF836" s="34"/>
      <c r="AG836" s="34"/>
      <c r="AH836" s="34"/>
      <c r="AI836" s="34"/>
      <c r="AJ836" s="34"/>
      <c r="AK836" s="34"/>
      <c r="AL836" s="34"/>
      <c r="AM836" s="34"/>
      <c r="AN836" s="34"/>
      <c r="AO836" s="34"/>
      <c r="AP836" s="34"/>
      <c r="AQ836" s="34"/>
      <c r="AR836" s="34"/>
      <c r="AS836" s="34"/>
      <c r="AT836" s="34"/>
      <c r="AU836" s="34"/>
      <c r="AV836" s="34"/>
      <c r="AW836" s="34"/>
      <c r="AX836" s="34"/>
      <c r="AY836" s="34"/>
      <c r="AZ836" s="34"/>
      <c r="BA836" s="34"/>
      <c r="BB836" s="34"/>
      <c r="BD836" s="34"/>
      <c r="BE836" s="34"/>
      <c r="BF836" s="34"/>
      <c r="BG836" s="34"/>
      <c r="BH836" s="34"/>
      <c r="BI836" s="34"/>
      <c r="BJ836" s="34"/>
      <c r="BK836" s="34"/>
      <c r="BL836" s="34"/>
      <c r="BM836" s="34"/>
      <c r="BN836" s="34"/>
      <c r="BO836" s="34"/>
      <c r="BP836" s="34"/>
      <c r="BQ836" s="34"/>
      <c r="BR836" s="34"/>
      <c r="BS836" s="34"/>
      <c r="BT836" s="34"/>
      <c r="BU836" s="34"/>
      <c r="BV836" s="34"/>
      <c r="BW836" s="34"/>
      <c r="BX836" s="34"/>
      <c r="BY836" s="34"/>
    </row>
    <row r="837" spans="1:77" x14ac:dyDescent="0.3">
      <c r="A837" s="39"/>
      <c r="B837" s="42"/>
      <c r="C837" s="42"/>
      <c r="D837" s="75"/>
      <c r="E837" s="75"/>
      <c r="F837" s="76"/>
      <c r="G837" s="47"/>
      <c r="H837" s="47"/>
      <c r="I837" s="75"/>
      <c r="J837" s="76"/>
      <c r="K837" s="76"/>
      <c r="L837" s="75"/>
      <c r="M837" s="49"/>
      <c r="N837" s="76"/>
      <c r="O837" s="49"/>
      <c r="P837" s="77"/>
      <c r="Q837" s="53"/>
      <c r="R837" s="54"/>
      <c r="S837" s="55"/>
      <c r="T837" s="56"/>
      <c r="U837" s="56"/>
      <c r="V837" s="42"/>
      <c r="W837" s="57"/>
      <c r="X837" s="58"/>
      <c r="Y837" s="75"/>
      <c r="Z837" s="59"/>
      <c r="AA837" s="61"/>
      <c r="AB837" s="61"/>
      <c r="AC837" s="61"/>
      <c r="AD837" s="62"/>
      <c r="AE837" s="62"/>
      <c r="AF837" s="34"/>
      <c r="AG837" s="34"/>
      <c r="AH837" s="34"/>
      <c r="AI837" s="34"/>
      <c r="AJ837" s="34"/>
      <c r="AK837" s="34"/>
      <c r="AL837" s="34"/>
      <c r="AM837" s="34"/>
      <c r="AN837" s="34"/>
      <c r="AO837" s="34"/>
      <c r="AP837" s="34"/>
      <c r="AQ837" s="34"/>
      <c r="AR837" s="34"/>
      <c r="AS837" s="34"/>
      <c r="AT837" s="34"/>
      <c r="AU837" s="34"/>
      <c r="AV837" s="34"/>
      <c r="AW837" s="34"/>
      <c r="AX837" s="34"/>
      <c r="AY837" s="34"/>
      <c r="AZ837" s="34"/>
      <c r="BA837" s="34"/>
      <c r="BB837" s="34"/>
      <c r="BD837" s="34"/>
      <c r="BE837" s="34"/>
      <c r="BF837" s="34"/>
      <c r="BG837" s="34"/>
      <c r="BH837" s="34"/>
      <c r="BI837" s="34"/>
      <c r="BJ837" s="34"/>
      <c r="BK837" s="34"/>
      <c r="BL837" s="34"/>
      <c r="BM837" s="34"/>
      <c r="BN837" s="34"/>
      <c r="BO837" s="34"/>
      <c r="BP837" s="34"/>
      <c r="BQ837" s="34"/>
      <c r="BR837" s="34"/>
      <c r="BS837" s="34"/>
      <c r="BT837" s="34"/>
      <c r="BU837" s="34"/>
      <c r="BV837" s="34"/>
      <c r="BW837" s="34"/>
      <c r="BX837" s="34"/>
      <c r="BY837" s="34"/>
    </row>
    <row r="838" spans="1:77" x14ac:dyDescent="0.3">
      <c r="A838" s="39"/>
      <c r="B838" s="42"/>
      <c r="C838" s="42"/>
      <c r="D838" s="75"/>
      <c r="E838" s="75"/>
      <c r="F838" s="76"/>
      <c r="G838" s="47"/>
      <c r="H838" s="47"/>
      <c r="I838" s="75"/>
      <c r="J838" s="76"/>
      <c r="K838" s="76"/>
      <c r="L838" s="75"/>
      <c r="M838" s="49"/>
      <c r="N838" s="76"/>
      <c r="O838" s="49"/>
      <c r="P838" s="77"/>
      <c r="Q838" s="53"/>
      <c r="R838" s="54"/>
      <c r="S838" s="55"/>
      <c r="T838" s="56"/>
      <c r="U838" s="56"/>
      <c r="V838" s="42"/>
      <c r="W838" s="57"/>
      <c r="X838" s="58"/>
      <c r="Y838" s="75"/>
      <c r="Z838" s="59"/>
      <c r="AA838" s="61"/>
      <c r="AB838" s="61"/>
      <c r="AC838" s="61"/>
      <c r="AD838" s="62"/>
      <c r="AE838" s="62"/>
      <c r="AF838" s="34"/>
      <c r="AG838" s="34"/>
      <c r="AH838" s="34"/>
      <c r="AI838" s="34"/>
      <c r="AJ838" s="34"/>
      <c r="AK838" s="34"/>
      <c r="AL838" s="34"/>
      <c r="AM838" s="34"/>
      <c r="AN838" s="34"/>
      <c r="AO838" s="34"/>
      <c r="AP838" s="34"/>
      <c r="AQ838" s="34"/>
      <c r="AR838" s="34"/>
      <c r="AS838" s="34"/>
      <c r="AT838" s="34"/>
      <c r="AU838" s="34"/>
      <c r="AV838" s="34"/>
      <c r="AW838" s="34"/>
      <c r="AX838" s="34"/>
      <c r="AY838" s="34"/>
      <c r="AZ838" s="34"/>
      <c r="BA838" s="34"/>
      <c r="BB838" s="34"/>
      <c r="BD838" s="34"/>
      <c r="BE838" s="34"/>
      <c r="BF838" s="34"/>
      <c r="BG838" s="34"/>
      <c r="BH838" s="34"/>
      <c r="BI838" s="34"/>
      <c r="BJ838" s="34"/>
      <c r="BK838" s="34"/>
      <c r="BL838" s="34"/>
      <c r="BM838" s="34"/>
      <c r="BN838" s="34"/>
      <c r="BO838" s="34"/>
      <c r="BP838" s="34"/>
      <c r="BQ838" s="34"/>
      <c r="BR838" s="34"/>
      <c r="BS838" s="34"/>
      <c r="BT838" s="34"/>
      <c r="BU838" s="34"/>
      <c r="BV838" s="34"/>
      <c r="BW838" s="34"/>
      <c r="BX838" s="34"/>
      <c r="BY838" s="34"/>
    </row>
    <row r="839" spans="1:77" x14ac:dyDescent="0.3">
      <c r="A839" s="39"/>
      <c r="B839" s="42"/>
      <c r="C839" s="42"/>
      <c r="D839" s="75"/>
      <c r="E839" s="75"/>
      <c r="F839" s="76"/>
      <c r="G839" s="47"/>
      <c r="H839" s="47"/>
      <c r="I839" s="75"/>
      <c r="J839" s="76"/>
      <c r="K839" s="76"/>
      <c r="L839" s="75"/>
      <c r="M839" s="49"/>
      <c r="N839" s="76"/>
      <c r="O839" s="49"/>
      <c r="P839" s="77"/>
      <c r="Q839" s="53"/>
      <c r="R839" s="54"/>
      <c r="S839" s="55"/>
      <c r="T839" s="56"/>
      <c r="U839" s="56"/>
      <c r="V839" s="42"/>
      <c r="W839" s="57"/>
      <c r="X839" s="58"/>
      <c r="Y839" s="75"/>
      <c r="Z839" s="59"/>
      <c r="AA839" s="61"/>
      <c r="AB839" s="61"/>
      <c r="AC839" s="61"/>
      <c r="AD839" s="62"/>
      <c r="AE839" s="62"/>
      <c r="AF839" s="34"/>
      <c r="AG839" s="34"/>
      <c r="AH839" s="34"/>
      <c r="AI839" s="34"/>
      <c r="AJ839" s="34"/>
      <c r="AK839" s="34"/>
      <c r="AL839" s="34"/>
      <c r="AM839" s="34"/>
      <c r="AN839" s="34"/>
      <c r="AO839" s="34"/>
      <c r="AP839" s="34"/>
      <c r="AQ839" s="34"/>
      <c r="AR839" s="34"/>
      <c r="AS839" s="34"/>
      <c r="AT839" s="34"/>
      <c r="AU839" s="34"/>
      <c r="AV839" s="34"/>
      <c r="AW839" s="34"/>
      <c r="AX839" s="34"/>
      <c r="AY839" s="34"/>
      <c r="AZ839" s="34"/>
      <c r="BA839" s="34"/>
      <c r="BB839" s="34"/>
      <c r="BD839" s="34"/>
      <c r="BE839" s="34"/>
      <c r="BF839" s="34"/>
      <c r="BG839" s="34"/>
      <c r="BH839" s="34"/>
      <c r="BI839" s="34"/>
      <c r="BJ839" s="34"/>
      <c r="BK839" s="34"/>
      <c r="BL839" s="34"/>
      <c r="BM839" s="34"/>
      <c r="BN839" s="34"/>
      <c r="BO839" s="34"/>
      <c r="BP839" s="34"/>
      <c r="BQ839" s="34"/>
      <c r="BR839" s="34"/>
      <c r="BS839" s="34"/>
      <c r="BT839" s="34"/>
      <c r="BU839" s="34"/>
      <c r="BV839" s="34"/>
      <c r="BW839" s="34"/>
      <c r="BX839" s="34"/>
      <c r="BY839" s="34"/>
    </row>
    <row r="840" spans="1:77" x14ac:dyDescent="0.3">
      <c r="A840" s="39"/>
      <c r="B840" s="42"/>
      <c r="C840" s="42"/>
      <c r="D840" s="75"/>
      <c r="E840" s="75"/>
      <c r="F840" s="76"/>
      <c r="G840" s="47"/>
      <c r="H840" s="47"/>
      <c r="I840" s="75"/>
      <c r="J840" s="76"/>
      <c r="K840" s="76"/>
      <c r="L840" s="75"/>
      <c r="M840" s="49"/>
      <c r="N840" s="76"/>
      <c r="O840" s="49"/>
      <c r="P840" s="77"/>
      <c r="Q840" s="53"/>
      <c r="R840" s="54"/>
      <c r="S840" s="55"/>
      <c r="T840" s="56"/>
      <c r="U840" s="56"/>
      <c r="V840" s="42"/>
      <c r="W840" s="57"/>
      <c r="X840" s="58"/>
      <c r="Y840" s="75"/>
      <c r="Z840" s="59"/>
      <c r="AA840" s="61"/>
      <c r="AB840" s="61"/>
      <c r="AC840" s="61"/>
      <c r="AD840" s="62"/>
      <c r="AE840" s="62"/>
      <c r="AF840" s="34"/>
      <c r="AG840" s="34"/>
      <c r="AH840" s="34"/>
      <c r="AI840" s="34"/>
      <c r="AJ840" s="34"/>
      <c r="AK840" s="34"/>
      <c r="AL840" s="34"/>
      <c r="AM840" s="34"/>
      <c r="AN840" s="34"/>
      <c r="AO840" s="34"/>
      <c r="AP840" s="34"/>
      <c r="AQ840" s="34"/>
      <c r="AR840" s="34"/>
      <c r="AS840" s="34"/>
      <c r="AT840" s="34"/>
      <c r="AU840" s="34"/>
      <c r="AV840" s="34"/>
      <c r="AW840" s="34"/>
      <c r="AX840" s="34"/>
      <c r="AY840" s="34"/>
      <c r="AZ840" s="34"/>
      <c r="BA840" s="34"/>
      <c r="BB840" s="34"/>
      <c r="BD840" s="34"/>
      <c r="BE840" s="34"/>
      <c r="BF840" s="34"/>
      <c r="BG840" s="34"/>
      <c r="BH840" s="34"/>
      <c r="BI840" s="34"/>
      <c r="BJ840" s="34"/>
      <c r="BK840" s="34"/>
      <c r="BL840" s="34"/>
      <c r="BM840" s="34"/>
      <c r="BN840" s="34"/>
      <c r="BO840" s="34"/>
      <c r="BP840" s="34"/>
      <c r="BQ840" s="34"/>
      <c r="BR840" s="34"/>
      <c r="BS840" s="34"/>
      <c r="BT840" s="34"/>
      <c r="BU840" s="34"/>
      <c r="BV840" s="34"/>
      <c r="BW840" s="34"/>
      <c r="BX840" s="34"/>
      <c r="BY840" s="34"/>
    </row>
    <row r="841" spans="1:77" x14ac:dyDescent="0.3">
      <c r="A841" s="39"/>
      <c r="B841" s="42"/>
      <c r="C841" s="42"/>
      <c r="D841" s="75"/>
      <c r="E841" s="75"/>
      <c r="F841" s="76"/>
      <c r="G841" s="47"/>
      <c r="H841" s="47"/>
      <c r="I841" s="75"/>
      <c r="J841" s="76"/>
      <c r="K841" s="76"/>
      <c r="L841" s="75"/>
      <c r="M841" s="49"/>
      <c r="N841" s="76"/>
      <c r="O841" s="49"/>
      <c r="P841" s="77"/>
      <c r="Q841" s="53"/>
      <c r="R841" s="54"/>
      <c r="S841" s="55"/>
      <c r="T841" s="56"/>
      <c r="U841" s="56"/>
      <c r="V841" s="42"/>
      <c r="W841" s="57"/>
      <c r="X841" s="58"/>
      <c r="Y841" s="75"/>
      <c r="Z841" s="59"/>
      <c r="AA841" s="61"/>
      <c r="AB841" s="61"/>
      <c r="AC841" s="61"/>
      <c r="AD841" s="62"/>
      <c r="AE841" s="62"/>
      <c r="AF841" s="34"/>
      <c r="AG841" s="34"/>
      <c r="AH841" s="34"/>
      <c r="AI841" s="34"/>
      <c r="AJ841" s="34"/>
      <c r="AK841" s="34"/>
      <c r="AL841" s="34"/>
      <c r="AM841" s="34"/>
      <c r="AN841" s="34"/>
      <c r="AO841" s="34"/>
      <c r="AP841" s="34"/>
      <c r="AQ841" s="34"/>
      <c r="AR841" s="34"/>
      <c r="AS841" s="34"/>
      <c r="AT841" s="34"/>
      <c r="AU841" s="34"/>
      <c r="AV841" s="34"/>
      <c r="AW841" s="34"/>
      <c r="AX841" s="34"/>
      <c r="AY841" s="34"/>
      <c r="AZ841" s="34"/>
      <c r="BA841" s="34"/>
      <c r="BB841" s="34"/>
      <c r="BD841" s="34"/>
      <c r="BE841" s="34"/>
      <c r="BF841" s="34"/>
      <c r="BG841" s="34"/>
      <c r="BH841" s="34"/>
      <c r="BI841" s="34"/>
      <c r="BJ841" s="34"/>
      <c r="BK841" s="34"/>
      <c r="BL841" s="34"/>
      <c r="BM841" s="34"/>
      <c r="BN841" s="34"/>
      <c r="BO841" s="34"/>
      <c r="BP841" s="34"/>
      <c r="BQ841" s="34"/>
      <c r="BR841" s="34"/>
      <c r="BS841" s="34"/>
      <c r="BT841" s="34"/>
      <c r="BU841" s="34"/>
      <c r="BV841" s="34"/>
      <c r="BW841" s="34"/>
      <c r="BX841" s="34"/>
      <c r="BY841" s="34"/>
    </row>
    <row r="842" spans="1:77" x14ac:dyDescent="0.3">
      <c r="A842" s="39"/>
      <c r="B842" s="42"/>
      <c r="C842" s="42"/>
      <c r="D842" s="75"/>
      <c r="E842" s="75"/>
      <c r="F842" s="76"/>
      <c r="G842" s="47"/>
      <c r="H842" s="47"/>
      <c r="I842" s="75"/>
      <c r="J842" s="76"/>
      <c r="K842" s="76"/>
      <c r="L842" s="75"/>
      <c r="M842" s="49"/>
      <c r="N842" s="76"/>
      <c r="O842" s="49"/>
      <c r="P842" s="77"/>
      <c r="Q842" s="53"/>
      <c r="R842" s="54"/>
      <c r="S842" s="55"/>
      <c r="T842" s="56"/>
      <c r="U842" s="56"/>
      <c r="V842" s="42"/>
      <c r="W842" s="57"/>
      <c r="X842" s="58"/>
      <c r="Y842" s="75"/>
      <c r="Z842" s="59"/>
      <c r="AA842" s="61"/>
      <c r="AB842" s="61"/>
      <c r="AC842" s="61"/>
      <c r="AD842" s="62"/>
      <c r="AE842" s="62"/>
      <c r="AF842" s="34"/>
      <c r="AG842" s="34"/>
      <c r="AH842" s="34"/>
      <c r="AI842" s="34"/>
      <c r="AJ842" s="34"/>
      <c r="AK842" s="34"/>
      <c r="AL842" s="34"/>
      <c r="AM842" s="34"/>
      <c r="AN842" s="34"/>
      <c r="AO842" s="34"/>
      <c r="AP842" s="34"/>
      <c r="AQ842" s="34"/>
      <c r="AR842" s="34"/>
      <c r="AS842" s="34"/>
      <c r="AT842" s="34"/>
      <c r="AU842" s="34"/>
      <c r="AV842" s="34"/>
      <c r="AW842" s="34"/>
      <c r="AX842" s="34"/>
      <c r="AY842" s="34"/>
      <c r="AZ842" s="34"/>
      <c r="BA842" s="34"/>
      <c r="BB842" s="34"/>
      <c r="BD842" s="34"/>
      <c r="BE842" s="34"/>
      <c r="BF842" s="34"/>
      <c r="BG842" s="34"/>
      <c r="BH842" s="34"/>
      <c r="BI842" s="34"/>
      <c r="BJ842" s="34"/>
      <c r="BK842" s="34"/>
      <c r="BL842" s="34"/>
      <c r="BM842" s="34"/>
      <c r="BN842" s="34"/>
      <c r="BO842" s="34"/>
      <c r="BP842" s="34"/>
      <c r="BQ842" s="34"/>
      <c r="BR842" s="34"/>
      <c r="BS842" s="34"/>
      <c r="BT842" s="34"/>
      <c r="BU842" s="34"/>
      <c r="BV842" s="34"/>
      <c r="BW842" s="34"/>
      <c r="BX842" s="34"/>
      <c r="BY842" s="34"/>
    </row>
    <row r="843" spans="1:77" x14ac:dyDescent="0.3">
      <c r="A843" s="39"/>
      <c r="B843" s="42"/>
      <c r="C843" s="42"/>
      <c r="D843" s="75"/>
      <c r="E843" s="75"/>
      <c r="F843" s="76"/>
      <c r="G843" s="47"/>
      <c r="H843" s="47"/>
      <c r="I843" s="75"/>
      <c r="J843" s="76"/>
      <c r="K843" s="76"/>
      <c r="L843" s="75"/>
      <c r="M843" s="49"/>
      <c r="N843" s="76"/>
      <c r="O843" s="49"/>
      <c r="P843" s="77"/>
      <c r="Q843" s="53"/>
      <c r="R843" s="54"/>
      <c r="S843" s="55"/>
      <c r="T843" s="56"/>
      <c r="U843" s="56"/>
      <c r="V843" s="42"/>
      <c r="W843" s="57"/>
      <c r="X843" s="58"/>
      <c r="Y843" s="75"/>
      <c r="Z843" s="59"/>
      <c r="AA843" s="61"/>
      <c r="AB843" s="61"/>
      <c r="AC843" s="61"/>
      <c r="AD843" s="62"/>
      <c r="AE843" s="62"/>
      <c r="AF843" s="34"/>
      <c r="AG843" s="34"/>
      <c r="AH843" s="34"/>
      <c r="AI843" s="34"/>
      <c r="AJ843" s="34"/>
      <c r="AK843" s="34"/>
      <c r="AL843" s="34"/>
      <c r="AM843" s="34"/>
      <c r="AN843" s="34"/>
      <c r="AO843" s="34"/>
      <c r="AP843" s="34"/>
      <c r="AQ843" s="34"/>
      <c r="AR843" s="34"/>
      <c r="AS843" s="34"/>
      <c r="AT843" s="34"/>
      <c r="AU843" s="34"/>
      <c r="AV843" s="34"/>
      <c r="AW843" s="34"/>
      <c r="AX843" s="34"/>
      <c r="AY843" s="34"/>
      <c r="AZ843" s="34"/>
      <c r="BA843" s="34"/>
      <c r="BB843" s="34"/>
      <c r="BD843" s="34"/>
      <c r="BE843" s="34"/>
      <c r="BF843" s="34"/>
      <c r="BG843" s="34"/>
      <c r="BH843" s="34"/>
      <c r="BI843" s="34"/>
      <c r="BJ843" s="34"/>
      <c r="BK843" s="34"/>
      <c r="BL843" s="34"/>
      <c r="BM843" s="34"/>
      <c r="BN843" s="34"/>
      <c r="BO843" s="34"/>
      <c r="BP843" s="34"/>
      <c r="BQ843" s="34"/>
      <c r="BR843" s="34"/>
      <c r="BS843" s="34"/>
      <c r="BT843" s="34"/>
      <c r="BU843" s="34"/>
      <c r="BV843" s="34"/>
      <c r="BW843" s="34"/>
      <c r="BX843" s="34"/>
      <c r="BY843" s="34"/>
    </row>
    <row r="844" spans="1:77" x14ac:dyDescent="0.3">
      <c r="A844" s="39"/>
      <c r="B844" s="42"/>
      <c r="C844" s="42"/>
      <c r="D844" s="75"/>
      <c r="E844" s="75"/>
      <c r="F844" s="76"/>
      <c r="G844" s="47"/>
      <c r="H844" s="47"/>
      <c r="I844" s="75"/>
      <c r="J844" s="76"/>
      <c r="K844" s="76"/>
      <c r="L844" s="75"/>
      <c r="M844" s="49"/>
      <c r="N844" s="76"/>
      <c r="O844" s="49"/>
      <c r="P844" s="77"/>
      <c r="Q844" s="53"/>
      <c r="R844" s="54"/>
      <c r="S844" s="55"/>
      <c r="T844" s="56"/>
      <c r="U844" s="56"/>
      <c r="V844" s="42"/>
      <c r="W844" s="57"/>
      <c r="X844" s="58"/>
      <c r="Y844" s="75"/>
      <c r="Z844" s="59"/>
      <c r="AA844" s="61"/>
      <c r="AB844" s="61"/>
      <c r="AC844" s="61"/>
      <c r="AD844" s="62"/>
      <c r="AE844" s="62"/>
      <c r="AF844" s="34"/>
      <c r="AG844" s="34"/>
      <c r="AH844" s="34"/>
      <c r="AI844" s="34"/>
      <c r="AJ844" s="34"/>
      <c r="AK844" s="34"/>
      <c r="AL844" s="34"/>
      <c r="AM844" s="34"/>
      <c r="AN844" s="34"/>
      <c r="AO844" s="34"/>
      <c r="AP844" s="34"/>
      <c r="AQ844" s="34"/>
      <c r="AR844" s="34"/>
      <c r="AS844" s="34"/>
      <c r="AT844" s="34"/>
      <c r="AU844" s="34"/>
      <c r="AV844" s="34"/>
      <c r="AW844" s="34"/>
      <c r="AX844" s="34"/>
      <c r="AY844" s="34"/>
      <c r="AZ844" s="34"/>
      <c r="BA844" s="34"/>
      <c r="BB844" s="34"/>
      <c r="BD844" s="34"/>
      <c r="BE844" s="34"/>
      <c r="BF844" s="34"/>
      <c r="BG844" s="34"/>
      <c r="BH844" s="34"/>
      <c r="BI844" s="34"/>
      <c r="BJ844" s="34"/>
      <c r="BK844" s="34"/>
      <c r="BL844" s="34"/>
      <c r="BM844" s="34"/>
      <c r="BN844" s="34"/>
      <c r="BO844" s="34"/>
      <c r="BP844" s="34"/>
      <c r="BQ844" s="34"/>
      <c r="BR844" s="34"/>
      <c r="BS844" s="34"/>
      <c r="BT844" s="34"/>
      <c r="BU844" s="34"/>
      <c r="BV844" s="34"/>
      <c r="BW844" s="34"/>
      <c r="BX844" s="34"/>
      <c r="BY844" s="34"/>
    </row>
    <row r="845" spans="1:77" x14ac:dyDescent="0.3">
      <c r="A845" s="39"/>
      <c r="B845" s="42"/>
      <c r="C845" s="42"/>
      <c r="D845" s="75"/>
      <c r="E845" s="75"/>
      <c r="F845" s="76"/>
      <c r="G845" s="47"/>
      <c r="H845" s="47"/>
      <c r="I845" s="75"/>
      <c r="J845" s="76"/>
      <c r="K845" s="76"/>
      <c r="L845" s="75"/>
      <c r="M845" s="49"/>
      <c r="N845" s="76"/>
      <c r="O845" s="49"/>
      <c r="P845" s="77"/>
      <c r="Q845" s="53"/>
      <c r="R845" s="54"/>
      <c r="S845" s="55"/>
      <c r="T845" s="56"/>
      <c r="U845" s="56"/>
      <c r="V845" s="42"/>
      <c r="W845" s="57"/>
      <c r="X845" s="58"/>
      <c r="Y845" s="75"/>
      <c r="Z845" s="59"/>
      <c r="AA845" s="61"/>
      <c r="AB845" s="61"/>
      <c r="AC845" s="61"/>
      <c r="AD845" s="62"/>
      <c r="AE845" s="62"/>
      <c r="AF845" s="34"/>
      <c r="AG845" s="34"/>
      <c r="AH845" s="34"/>
      <c r="AI845" s="34"/>
      <c r="AJ845" s="34"/>
      <c r="AK845" s="34"/>
      <c r="AL845" s="34"/>
      <c r="AM845" s="34"/>
      <c r="AN845" s="34"/>
      <c r="AO845" s="34"/>
      <c r="AP845" s="34"/>
      <c r="AQ845" s="34"/>
      <c r="AR845" s="34"/>
      <c r="AS845" s="34"/>
      <c r="AT845" s="34"/>
      <c r="AU845" s="34"/>
      <c r="AV845" s="34"/>
      <c r="AW845" s="34"/>
      <c r="AX845" s="34"/>
      <c r="AY845" s="34"/>
      <c r="AZ845" s="34"/>
      <c r="BA845" s="34"/>
      <c r="BB845" s="34"/>
      <c r="BD845" s="34"/>
      <c r="BE845" s="34"/>
      <c r="BF845" s="34"/>
      <c r="BG845" s="34"/>
      <c r="BH845" s="34"/>
      <c r="BI845" s="34"/>
      <c r="BJ845" s="34"/>
      <c r="BK845" s="34"/>
      <c r="BL845" s="34"/>
      <c r="BM845" s="34"/>
      <c r="BN845" s="34"/>
      <c r="BO845" s="34"/>
      <c r="BP845" s="34"/>
      <c r="BQ845" s="34"/>
      <c r="BR845" s="34"/>
      <c r="BS845" s="34"/>
      <c r="BT845" s="34"/>
      <c r="BU845" s="34"/>
      <c r="BV845" s="34"/>
      <c r="BW845" s="34"/>
      <c r="BX845" s="34"/>
      <c r="BY845" s="34"/>
    </row>
    <row r="846" spans="1:77" x14ac:dyDescent="0.3">
      <c r="A846" s="39"/>
      <c r="B846" s="42"/>
      <c r="C846" s="42"/>
      <c r="D846" s="75"/>
      <c r="E846" s="75"/>
      <c r="F846" s="76"/>
      <c r="G846" s="47"/>
      <c r="H846" s="47"/>
      <c r="I846" s="75"/>
      <c r="J846" s="76"/>
      <c r="K846" s="76"/>
      <c r="L846" s="75"/>
      <c r="M846" s="49"/>
      <c r="N846" s="76"/>
      <c r="O846" s="49"/>
      <c r="P846" s="77"/>
      <c r="Q846" s="53"/>
      <c r="R846" s="54"/>
      <c r="S846" s="55"/>
      <c r="T846" s="56"/>
      <c r="U846" s="56"/>
      <c r="V846" s="42"/>
      <c r="W846" s="57"/>
      <c r="X846" s="58"/>
      <c r="Y846" s="75"/>
      <c r="Z846" s="59"/>
      <c r="AA846" s="61"/>
      <c r="AB846" s="61"/>
      <c r="AC846" s="61"/>
      <c r="AD846" s="62"/>
      <c r="AE846" s="62"/>
      <c r="AF846" s="34"/>
      <c r="AG846" s="34"/>
      <c r="AH846" s="34"/>
      <c r="AI846" s="34"/>
      <c r="AJ846" s="34"/>
      <c r="AK846" s="34"/>
      <c r="AL846" s="34"/>
      <c r="AM846" s="34"/>
      <c r="AN846" s="34"/>
      <c r="AO846" s="34"/>
      <c r="AP846" s="34"/>
      <c r="AQ846" s="34"/>
      <c r="AR846" s="34"/>
      <c r="AS846" s="34"/>
      <c r="AT846" s="34"/>
      <c r="AU846" s="34"/>
      <c r="AV846" s="34"/>
      <c r="AW846" s="34"/>
      <c r="AX846" s="34"/>
      <c r="AY846" s="34"/>
      <c r="AZ846" s="34"/>
      <c r="BA846" s="34"/>
      <c r="BB846" s="34"/>
      <c r="BD846" s="34"/>
      <c r="BE846" s="34"/>
      <c r="BF846" s="34"/>
      <c r="BG846" s="34"/>
      <c r="BH846" s="34"/>
      <c r="BI846" s="34"/>
      <c r="BJ846" s="34"/>
      <c r="BK846" s="34"/>
      <c r="BL846" s="34"/>
      <c r="BM846" s="34"/>
      <c r="BN846" s="34"/>
      <c r="BO846" s="34"/>
      <c r="BP846" s="34"/>
      <c r="BQ846" s="34"/>
      <c r="BR846" s="34"/>
      <c r="BS846" s="34"/>
      <c r="BT846" s="34"/>
      <c r="BU846" s="34"/>
      <c r="BV846" s="34"/>
      <c r="BW846" s="34"/>
      <c r="BX846" s="34"/>
      <c r="BY846" s="34"/>
    </row>
    <row r="847" spans="1:77" x14ac:dyDescent="0.3">
      <c r="A847" s="39"/>
      <c r="B847" s="42"/>
      <c r="C847" s="42"/>
      <c r="D847" s="75"/>
      <c r="E847" s="75"/>
      <c r="F847" s="76"/>
      <c r="G847" s="47"/>
      <c r="H847" s="47"/>
      <c r="I847" s="75"/>
      <c r="J847" s="76"/>
      <c r="K847" s="76"/>
      <c r="L847" s="75"/>
      <c r="M847" s="49"/>
      <c r="N847" s="76"/>
      <c r="O847" s="49"/>
      <c r="P847" s="77"/>
      <c r="Q847" s="53"/>
      <c r="R847" s="54"/>
      <c r="S847" s="55"/>
      <c r="T847" s="56"/>
      <c r="U847" s="56"/>
      <c r="V847" s="42"/>
      <c r="W847" s="57"/>
      <c r="X847" s="58"/>
      <c r="Y847" s="75"/>
      <c r="Z847" s="59"/>
      <c r="AA847" s="61"/>
      <c r="AB847" s="61"/>
      <c r="AC847" s="61"/>
      <c r="AD847" s="62"/>
      <c r="AE847" s="62"/>
      <c r="AF847" s="34"/>
      <c r="AG847" s="34"/>
      <c r="AH847" s="34"/>
      <c r="AI847" s="34"/>
      <c r="AJ847" s="34"/>
      <c r="AK847" s="34"/>
      <c r="AL847" s="34"/>
      <c r="AM847" s="34"/>
      <c r="AN847" s="34"/>
      <c r="AO847" s="34"/>
      <c r="AP847" s="34"/>
      <c r="AQ847" s="34"/>
      <c r="AR847" s="34"/>
      <c r="AS847" s="34"/>
      <c r="AT847" s="34"/>
      <c r="AU847" s="34"/>
      <c r="AV847" s="34"/>
      <c r="AW847" s="34"/>
      <c r="AX847" s="34"/>
      <c r="AY847" s="34"/>
      <c r="AZ847" s="34"/>
      <c r="BA847" s="34"/>
      <c r="BB847" s="34"/>
      <c r="BD847" s="34"/>
      <c r="BE847" s="34"/>
      <c r="BF847" s="34"/>
      <c r="BG847" s="34"/>
      <c r="BH847" s="34"/>
      <c r="BI847" s="34"/>
      <c r="BJ847" s="34"/>
      <c r="BK847" s="34"/>
      <c r="BL847" s="34"/>
      <c r="BM847" s="34"/>
      <c r="BN847" s="34"/>
      <c r="BO847" s="34"/>
      <c r="BP847" s="34"/>
      <c r="BQ847" s="34"/>
      <c r="BR847" s="34"/>
      <c r="BS847" s="34"/>
      <c r="BT847" s="34"/>
      <c r="BU847" s="34"/>
      <c r="BV847" s="34"/>
      <c r="BW847" s="34"/>
      <c r="BX847" s="34"/>
      <c r="BY847" s="34"/>
    </row>
    <row r="848" spans="1:77" x14ac:dyDescent="0.3">
      <c r="A848" s="39"/>
      <c r="B848" s="42"/>
      <c r="C848" s="42"/>
      <c r="D848" s="75"/>
      <c r="E848" s="75"/>
      <c r="F848" s="76"/>
      <c r="G848" s="47"/>
      <c r="H848" s="47"/>
      <c r="I848" s="75"/>
      <c r="J848" s="76"/>
      <c r="K848" s="76"/>
      <c r="L848" s="75"/>
      <c r="M848" s="49"/>
      <c r="N848" s="76"/>
      <c r="O848" s="49"/>
      <c r="P848" s="77"/>
      <c r="Q848" s="53"/>
      <c r="R848" s="54"/>
      <c r="S848" s="55"/>
      <c r="T848" s="56"/>
      <c r="U848" s="56"/>
      <c r="V848" s="42"/>
      <c r="W848" s="57"/>
      <c r="X848" s="58"/>
      <c r="Y848" s="75"/>
      <c r="Z848" s="59"/>
      <c r="AA848" s="61"/>
      <c r="AB848" s="61"/>
      <c r="AC848" s="61"/>
      <c r="AD848" s="62"/>
      <c r="AE848" s="62"/>
      <c r="AF848" s="34"/>
      <c r="AG848" s="34"/>
      <c r="AH848" s="34"/>
      <c r="AI848" s="34"/>
      <c r="AJ848" s="34"/>
      <c r="AK848" s="34"/>
      <c r="AL848" s="34"/>
      <c r="AM848" s="34"/>
      <c r="AN848" s="34"/>
      <c r="AO848" s="34"/>
      <c r="AP848" s="34"/>
      <c r="AQ848" s="34"/>
      <c r="AR848" s="34"/>
      <c r="AS848" s="34"/>
      <c r="AT848" s="34"/>
      <c r="AU848" s="34"/>
      <c r="AV848" s="34"/>
      <c r="AW848" s="34"/>
      <c r="AX848" s="34"/>
      <c r="AY848" s="34"/>
      <c r="AZ848" s="34"/>
      <c r="BA848" s="34"/>
      <c r="BB848" s="34"/>
      <c r="BD848" s="34"/>
      <c r="BE848" s="34"/>
      <c r="BF848" s="34"/>
      <c r="BG848" s="34"/>
      <c r="BH848" s="34"/>
      <c r="BI848" s="34"/>
      <c r="BJ848" s="34"/>
      <c r="BK848" s="34"/>
      <c r="BL848" s="34"/>
      <c r="BM848" s="34"/>
      <c r="BN848" s="34"/>
      <c r="BO848" s="34"/>
      <c r="BP848" s="34"/>
      <c r="BQ848" s="34"/>
      <c r="BR848" s="34"/>
      <c r="BS848" s="34"/>
      <c r="BT848" s="34"/>
      <c r="BU848" s="34"/>
      <c r="BV848" s="34"/>
      <c r="BW848" s="34"/>
      <c r="BX848" s="34"/>
      <c r="BY848" s="34"/>
    </row>
    <row r="849" spans="1:77" x14ac:dyDescent="0.3">
      <c r="A849" s="39"/>
      <c r="B849" s="42"/>
      <c r="C849" s="42"/>
      <c r="D849" s="75"/>
      <c r="E849" s="75"/>
      <c r="F849" s="76"/>
      <c r="G849" s="47"/>
      <c r="H849" s="47"/>
      <c r="I849" s="75"/>
      <c r="J849" s="76"/>
      <c r="K849" s="76"/>
      <c r="L849" s="75"/>
      <c r="M849" s="49"/>
      <c r="N849" s="76"/>
      <c r="O849" s="49"/>
      <c r="P849" s="77"/>
      <c r="Q849" s="53"/>
      <c r="R849" s="54"/>
      <c r="S849" s="55"/>
      <c r="T849" s="56"/>
      <c r="U849" s="56"/>
      <c r="V849" s="42"/>
      <c r="W849" s="57"/>
      <c r="X849" s="58"/>
      <c r="Y849" s="75"/>
      <c r="Z849" s="59"/>
      <c r="AA849" s="61"/>
      <c r="AB849" s="61"/>
      <c r="AC849" s="61"/>
      <c r="AD849" s="62"/>
      <c r="AE849" s="62"/>
      <c r="AF849" s="34"/>
      <c r="AG849" s="34"/>
      <c r="AH849" s="34"/>
      <c r="AI849" s="34"/>
      <c r="AJ849" s="34"/>
      <c r="AK849" s="34"/>
      <c r="AL849" s="34"/>
      <c r="AM849" s="34"/>
      <c r="AN849" s="34"/>
      <c r="AO849" s="34"/>
      <c r="AP849" s="34"/>
      <c r="AQ849" s="34"/>
      <c r="AR849" s="34"/>
      <c r="AS849" s="34"/>
      <c r="AT849" s="34"/>
      <c r="AU849" s="34"/>
      <c r="AV849" s="34"/>
      <c r="AW849" s="34"/>
      <c r="AX849" s="34"/>
      <c r="AY849" s="34"/>
      <c r="AZ849" s="34"/>
      <c r="BA849" s="34"/>
      <c r="BB849" s="34"/>
      <c r="BD849" s="34"/>
      <c r="BE849" s="34"/>
      <c r="BF849" s="34"/>
      <c r="BG849" s="34"/>
      <c r="BH849" s="34"/>
      <c r="BI849" s="34"/>
      <c r="BJ849" s="34"/>
      <c r="BK849" s="34"/>
      <c r="BL849" s="34"/>
      <c r="BM849" s="34"/>
      <c r="BN849" s="34"/>
      <c r="BO849" s="34"/>
      <c r="BP849" s="34"/>
      <c r="BQ849" s="34"/>
      <c r="BR849" s="34"/>
      <c r="BS849" s="34"/>
      <c r="BT849" s="34"/>
      <c r="BU849" s="34"/>
      <c r="BV849" s="34"/>
      <c r="BW849" s="34"/>
      <c r="BX849" s="34"/>
      <c r="BY849" s="34"/>
    </row>
    <row r="850" spans="1:77" x14ac:dyDescent="0.3">
      <c r="A850" s="39"/>
      <c r="B850" s="42"/>
      <c r="C850" s="42"/>
      <c r="D850" s="75"/>
      <c r="E850" s="75"/>
      <c r="F850" s="76"/>
      <c r="G850" s="47"/>
      <c r="H850" s="47"/>
      <c r="I850" s="75"/>
      <c r="J850" s="76"/>
      <c r="K850" s="76"/>
      <c r="L850" s="75"/>
      <c r="M850" s="49"/>
      <c r="N850" s="76"/>
      <c r="O850" s="49"/>
      <c r="P850" s="77"/>
      <c r="Q850" s="53"/>
      <c r="R850" s="54"/>
      <c r="S850" s="55"/>
      <c r="T850" s="56"/>
      <c r="U850" s="56"/>
      <c r="V850" s="42"/>
      <c r="W850" s="57"/>
      <c r="X850" s="58"/>
      <c r="Y850" s="75"/>
      <c r="Z850" s="59"/>
      <c r="AA850" s="61"/>
      <c r="AB850" s="61"/>
      <c r="AC850" s="61"/>
      <c r="AD850" s="62"/>
      <c r="AE850" s="62"/>
      <c r="AF850" s="34"/>
      <c r="AG850" s="34"/>
      <c r="AH850" s="34"/>
      <c r="AI850" s="34"/>
      <c r="AJ850" s="34"/>
      <c r="AK850" s="34"/>
      <c r="AL850" s="34"/>
      <c r="AM850" s="34"/>
      <c r="AN850" s="34"/>
      <c r="AO850" s="34"/>
      <c r="AP850" s="34"/>
      <c r="AQ850" s="34"/>
      <c r="AR850" s="34"/>
      <c r="AS850" s="34"/>
      <c r="AT850" s="34"/>
      <c r="AU850" s="34"/>
      <c r="AV850" s="34"/>
      <c r="AW850" s="34"/>
      <c r="AX850" s="34"/>
      <c r="AY850" s="34"/>
      <c r="AZ850" s="34"/>
      <c r="BA850" s="34"/>
      <c r="BB850" s="34"/>
      <c r="BD850" s="34"/>
      <c r="BE850" s="34"/>
      <c r="BF850" s="34"/>
      <c r="BG850" s="34"/>
      <c r="BH850" s="34"/>
      <c r="BI850" s="34"/>
      <c r="BJ850" s="34"/>
      <c r="BK850" s="34"/>
      <c r="BL850" s="34"/>
      <c r="BM850" s="34"/>
      <c r="BN850" s="34"/>
      <c r="BO850" s="34"/>
      <c r="BP850" s="34"/>
      <c r="BQ850" s="34"/>
      <c r="BR850" s="34"/>
      <c r="BS850" s="34"/>
      <c r="BT850" s="34"/>
      <c r="BU850" s="34"/>
      <c r="BV850" s="34"/>
      <c r="BW850" s="34"/>
      <c r="BX850" s="34"/>
      <c r="BY850" s="34"/>
    </row>
    <row r="851" spans="1:77" x14ac:dyDescent="0.3">
      <c r="A851" s="39"/>
      <c r="B851" s="42"/>
      <c r="C851" s="42"/>
      <c r="D851" s="75"/>
      <c r="E851" s="75"/>
      <c r="F851" s="76"/>
      <c r="G851" s="47"/>
      <c r="H851" s="47"/>
      <c r="I851" s="75"/>
      <c r="J851" s="76"/>
      <c r="K851" s="76"/>
      <c r="L851" s="75"/>
      <c r="M851" s="49"/>
      <c r="N851" s="76"/>
      <c r="O851" s="49"/>
      <c r="P851" s="77"/>
      <c r="Q851" s="53"/>
      <c r="R851" s="54"/>
      <c r="S851" s="55"/>
      <c r="T851" s="56"/>
      <c r="U851" s="56"/>
      <c r="V851" s="42"/>
      <c r="W851" s="57"/>
      <c r="X851" s="58"/>
      <c r="Y851" s="75"/>
      <c r="Z851" s="59"/>
      <c r="AA851" s="61"/>
      <c r="AB851" s="61"/>
      <c r="AC851" s="61"/>
      <c r="AD851" s="62"/>
      <c r="AE851" s="62"/>
      <c r="AF851" s="34"/>
      <c r="AG851" s="34"/>
      <c r="AH851" s="34"/>
      <c r="AI851" s="34"/>
      <c r="AJ851" s="34"/>
      <c r="AK851" s="34"/>
      <c r="AL851" s="34"/>
      <c r="AM851" s="34"/>
      <c r="AN851" s="34"/>
      <c r="AO851" s="34"/>
      <c r="AP851" s="34"/>
      <c r="AQ851" s="34"/>
      <c r="AR851" s="34"/>
      <c r="AS851" s="34"/>
      <c r="AT851" s="34"/>
      <c r="AU851" s="34"/>
      <c r="AV851" s="34"/>
      <c r="AW851" s="34"/>
      <c r="AX851" s="34"/>
      <c r="AY851" s="34"/>
      <c r="AZ851" s="34"/>
      <c r="BA851" s="34"/>
      <c r="BB851" s="34"/>
      <c r="BD851" s="34"/>
      <c r="BE851" s="34"/>
      <c r="BF851" s="34"/>
      <c r="BG851" s="34"/>
      <c r="BH851" s="34"/>
      <c r="BI851" s="34"/>
      <c r="BJ851" s="34"/>
      <c r="BK851" s="34"/>
      <c r="BL851" s="34"/>
      <c r="BM851" s="34"/>
      <c r="BN851" s="34"/>
      <c r="BO851" s="34"/>
      <c r="BP851" s="34"/>
      <c r="BQ851" s="34"/>
      <c r="BR851" s="34"/>
      <c r="BS851" s="34"/>
      <c r="BT851" s="34"/>
      <c r="BU851" s="34"/>
      <c r="BV851" s="34"/>
      <c r="BW851" s="34"/>
      <c r="BX851" s="34"/>
      <c r="BY851" s="34"/>
    </row>
    <row r="852" spans="1:77" x14ac:dyDescent="0.3">
      <c r="A852" s="39"/>
      <c r="B852" s="42"/>
      <c r="C852" s="42"/>
      <c r="D852" s="75"/>
      <c r="E852" s="75"/>
      <c r="F852" s="76"/>
      <c r="G852" s="47"/>
      <c r="H852" s="47"/>
      <c r="I852" s="75"/>
      <c r="J852" s="76"/>
      <c r="K852" s="76"/>
      <c r="L852" s="75"/>
      <c r="M852" s="49"/>
      <c r="N852" s="76"/>
      <c r="O852" s="49"/>
      <c r="P852" s="77"/>
      <c r="Q852" s="53"/>
      <c r="R852" s="54"/>
      <c r="S852" s="55"/>
      <c r="T852" s="56"/>
      <c r="U852" s="56"/>
      <c r="V852" s="42"/>
      <c r="W852" s="57"/>
      <c r="X852" s="58"/>
      <c r="Y852" s="75"/>
      <c r="Z852" s="59"/>
      <c r="AA852" s="61"/>
      <c r="AB852" s="61"/>
      <c r="AC852" s="61"/>
      <c r="AD852" s="62"/>
      <c r="AE852" s="62"/>
      <c r="AF852" s="34"/>
      <c r="AG852" s="34"/>
      <c r="AH852" s="34"/>
      <c r="AI852" s="34"/>
      <c r="AJ852" s="34"/>
      <c r="AK852" s="34"/>
      <c r="AL852" s="34"/>
      <c r="AM852" s="34"/>
      <c r="AN852" s="34"/>
      <c r="AO852" s="34"/>
      <c r="AP852" s="34"/>
      <c r="AQ852" s="34"/>
      <c r="AR852" s="34"/>
      <c r="AS852" s="34"/>
      <c r="AT852" s="34"/>
      <c r="AU852" s="34"/>
      <c r="AV852" s="34"/>
      <c r="AW852" s="34"/>
      <c r="AX852" s="34"/>
      <c r="AY852" s="34"/>
      <c r="AZ852" s="34"/>
      <c r="BA852" s="34"/>
      <c r="BB852" s="34"/>
      <c r="BD852" s="34"/>
      <c r="BE852" s="34"/>
      <c r="BF852" s="34"/>
      <c r="BG852" s="34"/>
      <c r="BH852" s="34"/>
      <c r="BI852" s="34"/>
      <c r="BJ852" s="34"/>
      <c r="BK852" s="34"/>
      <c r="BL852" s="34"/>
      <c r="BM852" s="34"/>
      <c r="BN852" s="34"/>
      <c r="BO852" s="34"/>
      <c r="BP852" s="34"/>
      <c r="BQ852" s="34"/>
      <c r="BR852" s="34"/>
      <c r="BS852" s="34"/>
      <c r="BT852" s="34"/>
      <c r="BU852" s="34"/>
      <c r="BV852" s="34"/>
      <c r="BW852" s="34"/>
      <c r="BX852" s="34"/>
      <c r="BY852" s="34"/>
    </row>
    <row r="853" spans="1:77" x14ac:dyDescent="0.3">
      <c r="A853" s="39"/>
      <c r="B853" s="42"/>
      <c r="C853" s="42"/>
      <c r="D853" s="75"/>
      <c r="E853" s="75"/>
      <c r="F853" s="76"/>
      <c r="G853" s="47"/>
      <c r="H853" s="47"/>
      <c r="I853" s="75"/>
      <c r="J853" s="76"/>
      <c r="K853" s="76"/>
      <c r="L853" s="75"/>
      <c r="M853" s="49"/>
      <c r="N853" s="76"/>
      <c r="O853" s="49"/>
      <c r="P853" s="77"/>
      <c r="Q853" s="53"/>
      <c r="R853" s="54"/>
      <c r="S853" s="55"/>
      <c r="T853" s="56"/>
      <c r="U853" s="56"/>
      <c r="V853" s="42"/>
      <c r="W853" s="57"/>
      <c r="X853" s="58"/>
      <c r="Y853" s="75"/>
      <c r="Z853" s="59"/>
      <c r="AA853" s="61"/>
      <c r="AB853" s="61"/>
      <c r="AC853" s="61"/>
      <c r="AD853" s="62"/>
      <c r="AE853" s="62"/>
      <c r="AF853" s="34"/>
      <c r="AG853" s="34"/>
      <c r="AH853" s="34"/>
      <c r="AI853" s="34"/>
      <c r="AJ853" s="34"/>
      <c r="AK853" s="34"/>
      <c r="AL853" s="34"/>
      <c r="AM853" s="34"/>
      <c r="AN853" s="34"/>
      <c r="AO853" s="34"/>
      <c r="AP853" s="34"/>
      <c r="AQ853" s="34"/>
      <c r="AR853" s="34"/>
      <c r="AS853" s="34"/>
      <c r="AT853" s="34"/>
      <c r="AU853" s="34"/>
      <c r="AV853" s="34"/>
      <c r="AW853" s="34"/>
      <c r="AX853" s="34"/>
      <c r="AY853" s="34"/>
      <c r="AZ853" s="34"/>
      <c r="BA853" s="34"/>
      <c r="BB853" s="34"/>
      <c r="BD853" s="34"/>
      <c r="BE853" s="34"/>
      <c r="BF853" s="34"/>
      <c r="BG853" s="34"/>
      <c r="BH853" s="34"/>
      <c r="BI853" s="34"/>
      <c r="BJ853" s="34"/>
      <c r="BK853" s="34"/>
      <c r="BL853" s="34"/>
      <c r="BM853" s="34"/>
      <c r="BN853" s="34"/>
      <c r="BO853" s="34"/>
      <c r="BP853" s="34"/>
      <c r="BQ853" s="34"/>
      <c r="BR853" s="34"/>
      <c r="BS853" s="34"/>
      <c r="BT853" s="34"/>
      <c r="BU853" s="34"/>
      <c r="BV853" s="34"/>
      <c r="BW853" s="34"/>
      <c r="BX853" s="34"/>
      <c r="BY853" s="34"/>
    </row>
    <row r="854" spans="1:77" x14ac:dyDescent="0.3">
      <c r="A854" s="39"/>
      <c r="B854" s="42"/>
      <c r="C854" s="42"/>
      <c r="D854" s="75"/>
      <c r="E854" s="75"/>
      <c r="F854" s="76"/>
      <c r="G854" s="47"/>
      <c r="H854" s="47"/>
      <c r="I854" s="75"/>
      <c r="J854" s="76"/>
      <c r="K854" s="76"/>
      <c r="L854" s="75"/>
      <c r="M854" s="49"/>
      <c r="N854" s="76"/>
      <c r="O854" s="49"/>
      <c r="P854" s="77"/>
      <c r="Q854" s="53"/>
      <c r="R854" s="54"/>
      <c r="S854" s="55"/>
      <c r="T854" s="56"/>
      <c r="U854" s="56"/>
      <c r="V854" s="42"/>
      <c r="W854" s="57"/>
      <c r="X854" s="58"/>
      <c r="Y854" s="75"/>
      <c r="Z854" s="59"/>
      <c r="AA854" s="61"/>
      <c r="AB854" s="61"/>
      <c r="AC854" s="61"/>
      <c r="AD854" s="62"/>
      <c r="AE854" s="62"/>
      <c r="AF854" s="34"/>
      <c r="AG854" s="34"/>
      <c r="AH854" s="34"/>
      <c r="AI854" s="34"/>
      <c r="AJ854" s="34"/>
      <c r="AK854" s="34"/>
      <c r="AL854" s="34"/>
      <c r="AM854" s="34"/>
      <c r="AN854" s="34"/>
      <c r="AO854" s="34"/>
      <c r="AP854" s="34"/>
      <c r="AQ854" s="34"/>
      <c r="AR854" s="34"/>
      <c r="AS854" s="34"/>
      <c r="AT854" s="34"/>
      <c r="AU854" s="34"/>
      <c r="AV854" s="34"/>
      <c r="AW854" s="34"/>
      <c r="AX854" s="34"/>
      <c r="AY854" s="34"/>
      <c r="AZ854" s="34"/>
      <c r="BA854" s="34"/>
      <c r="BB854" s="34"/>
      <c r="BD854" s="34"/>
      <c r="BE854" s="34"/>
      <c r="BF854" s="34"/>
      <c r="BG854" s="34"/>
      <c r="BH854" s="34"/>
      <c r="BI854" s="34"/>
      <c r="BJ854" s="34"/>
      <c r="BK854" s="34"/>
      <c r="BL854" s="34"/>
      <c r="BM854" s="34"/>
      <c r="BN854" s="34"/>
      <c r="BO854" s="34"/>
      <c r="BP854" s="34"/>
      <c r="BQ854" s="34"/>
      <c r="BR854" s="34"/>
      <c r="BS854" s="34"/>
      <c r="BT854" s="34"/>
      <c r="BU854" s="34"/>
      <c r="BV854" s="34"/>
      <c r="BW854" s="34"/>
      <c r="BX854" s="34"/>
      <c r="BY854" s="34"/>
    </row>
    <row r="855" spans="1:77" x14ac:dyDescent="0.3">
      <c r="A855" s="39"/>
      <c r="B855" s="42"/>
      <c r="C855" s="42"/>
      <c r="D855" s="75"/>
      <c r="E855" s="75"/>
      <c r="F855" s="76"/>
      <c r="G855" s="47"/>
      <c r="H855" s="47"/>
      <c r="I855" s="75"/>
      <c r="J855" s="76"/>
      <c r="K855" s="76"/>
      <c r="L855" s="75"/>
      <c r="M855" s="49"/>
      <c r="N855" s="76"/>
      <c r="O855" s="49"/>
      <c r="P855" s="77"/>
      <c r="Q855" s="53"/>
      <c r="R855" s="54"/>
      <c r="S855" s="55"/>
      <c r="T855" s="56"/>
      <c r="U855" s="56"/>
      <c r="V855" s="42"/>
      <c r="W855" s="57"/>
      <c r="X855" s="58"/>
      <c r="Y855" s="75"/>
      <c r="Z855" s="59"/>
      <c r="AA855" s="61"/>
      <c r="AB855" s="61"/>
      <c r="AC855" s="61"/>
      <c r="AD855" s="62"/>
      <c r="AE855" s="62"/>
      <c r="AF855" s="34"/>
      <c r="AG855" s="34"/>
      <c r="AH855" s="34"/>
      <c r="AI855" s="34"/>
      <c r="AJ855" s="34"/>
      <c r="AK855" s="34"/>
      <c r="AL855" s="34"/>
      <c r="AM855" s="34"/>
      <c r="AN855" s="34"/>
      <c r="AO855" s="34"/>
      <c r="AP855" s="34"/>
      <c r="AQ855" s="34"/>
      <c r="AR855" s="34"/>
      <c r="AS855" s="34"/>
      <c r="AT855" s="34"/>
      <c r="AU855" s="34"/>
      <c r="AV855" s="34"/>
      <c r="AW855" s="34"/>
      <c r="AX855" s="34"/>
      <c r="AY855" s="34"/>
      <c r="AZ855" s="34"/>
      <c r="BA855" s="34"/>
      <c r="BB855" s="34"/>
      <c r="BD855" s="34"/>
      <c r="BE855" s="34"/>
      <c r="BF855" s="34"/>
      <c r="BG855" s="34"/>
      <c r="BH855" s="34"/>
      <c r="BI855" s="34"/>
      <c r="BJ855" s="34"/>
      <c r="BK855" s="34"/>
      <c r="BL855" s="34"/>
      <c r="BM855" s="34"/>
      <c r="BN855" s="34"/>
      <c r="BO855" s="34"/>
      <c r="BP855" s="34"/>
      <c r="BQ855" s="34"/>
      <c r="BR855" s="34"/>
      <c r="BS855" s="34"/>
      <c r="BT855" s="34"/>
      <c r="BU855" s="34"/>
      <c r="BV855" s="34"/>
      <c r="BW855" s="34"/>
      <c r="BX855" s="34"/>
      <c r="BY855" s="34"/>
    </row>
    <row r="856" spans="1:77" x14ac:dyDescent="0.3">
      <c r="A856" s="39"/>
      <c r="B856" s="42"/>
      <c r="C856" s="42"/>
      <c r="D856" s="75"/>
      <c r="E856" s="75"/>
      <c r="F856" s="76"/>
      <c r="G856" s="47"/>
      <c r="H856" s="47"/>
      <c r="I856" s="75"/>
      <c r="J856" s="76"/>
      <c r="K856" s="76"/>
      <c r="L856" s="75"/>
      <c r="M856" s="49"/>
      <c r="N856" s="76"/>
      <c r="O856" s="49"/>
      <c r="P856" s="77"/>
      <c r="Q856" s="53"/>
      <c r="R856" s="54"/>
      <c r="S856" s="55"/>
      <c r="T856" s="56"/>
      <c r="U856" s="56"/>
      <c r="V856" s="42"/>
      <c r="W856" s="57"/>
      <c r="X856" s="58"/>
      <c r="Y856" s="75"/>
      <c r="Z856" s="59"/>
      <c r="AA856" s="61"/>
      <c r="AB856" s="61"/>
      <c r="AC856" s="61"/>
      <c r="AD856" s="62"/>
      <c r="AE856" s="62"/>
      <c r="AF856" s="34"/>
      <c r="AG856" s="34"/>
      <c r="AH856" s="34"/>
      <c r="AI856" s="34"/>
      <c r="AJ856" s="34"/>
      <c r="AK856" s="34"/>
      <c r="AL856" s="34"/>
      <c r="AM856" s="34"/>
      <c r="AN856" s="34"/>
      <c r="AO856" s="34"/>
      <c r="AP856" s="34"/>
      <c r="AQ856" s="34"/>
      <c r="AR856" s="34"/>
      <c r="AS856" s="34"/>
      <c r="AT856" s="34"/>
      <c r="AU856" s="34"/>
      <c r="AV856" s="34"/>
      <c r="AW856" s="34"/>
      <c r="AX856" s="34"/>
      <c r="AY856" s="34"/>
      <c r="AZ856" s="34"/>
      <c r="BA856" s="34"/>
      <c r="BB856" s="34"/>
      <c r="BD856" s="34"/>
      <c r="BE856" s="34"/>
      <c r="BF856" s="34"/>
      <c r="BG856" s="34"/>
      <c r="BH856" s="34"/>
      <c r="BI856" s="34"/>
      <c r="BJ856" s="34"/>
      <c r="BK856" s="34"/>
      <c r="BL856" s="34"/>
      <c r="BM856" s="34"/>
      <c r="BN856" s="34"/>
      <c r="BO856" s="34"/>
      <c r="BP856" s="34"/>
      <c r="BQ856" s="34"/>
      <c r="BR856" s="34"/>
      <c r="BS856" s="34"/>
      <c r="BT856" s="34"/>
      <c r="BU856" s="34"/>
      <c r="BV856" s="34"/>
      <c r="BW856" s="34"/>
      <c r="BX856" s="34"/>
      <c r="BY856" s="34"/>
    </row>
    <row r="857" spans="1:77" x14ac:dyDescent="0.3">
      <c r="A857" s="39"/>
      <c r="B857" s="42"/>
      <c r="C857" s="42"/>
      <c r="D857" s="75"/>
      <c r="E857" s="75"/>
      <c r="F857" s="76"/>
      <c r="G857" s="47"/>
      <c r="H857" s="47"/>
      <c r="I857" s="75"/>
      <c r="J857" s="76"/>
      <c r="K857" s="76"/>
      <c r="L857" s="75"/>
      <c r="M857" s="49"/>
      <c r="N857" s="76"/>
      <c r="O857" s="49"/>
      <c r="P857" s="77"/>
      <c r="Q857" s="53"/>
      <c r="R857" s="54"/>
      <c r="S857" s="55"/>
      <c r="T857" s="56"/>
      <c r="U857" s="56"/>
      <c r="V857" s="42"/>
      <c r="W857" s="57"/>
      <c r="X857" s="58"/>
      <c r="Y857" s="75"/>
      <c r="Z857" s="59"/>
      <c r="AA857" s="61"/>
      <c r="AB857" s="61"/>
      <c r="AC857" s="61"/>
      <c r="AD857" s="62"/>
      <c r="AE857" s="62"/>
      <c r="AF857" s="34"/>
      <c r="AG857" s="34"/>
      <c r="AH857" s="34"/>
      <c r="AI857" s="34"/>
      <c r="AJ857" s="34"/>
      <c r="AK857" s="34"/>
      <c r="AL857" s="34"/>
      <c r="AM857" s="34"/>
      <c r="AN857" s="34"/>
      <c r="AO857" s="34"/>
      <c r="AP857" s="34"/>
      <c r="AQ857" s="34"/>
      <c r="AR857" s="34"/>
      <c r="AS857" s="34"/>
      <c r="AT857" s="34"/>
      <c r="AU857" s="34"/>
      <c r="AV857" s="34"/>
      <c r="AW857" s="34"/>
      <c r="AX857" s="34"/>
      <c r="AY857" s="34"/>
      <c r="AZ857" s="34"/>
      <c r="BA857" s="34"/>
      <c r="BB857" s="34"/>
      <c r="BD857" s="34"/>
      <c r="BE857" s="34"/>
      <c r="BF857" s="34"/>
      <c r="BG857" s="34"/>
      <c r="BH857" s="34"/>
      <c r="BI857" s="34"/>
      <c r="BJ857" s="34"/>
      <c r="BK857" s="34"/>
      <c r="BL857" s="34"/>
      <c r="BM857" s="34"/>
      <c r="BN857" s="34"/>
      <c r="BO857" s="34"/>
      <c r="BP857" s="34"/>
      <c r="BQ857" s="34"/>
      <c r="BR857" s="34"/>
      <c r="BS857" s="34"/>
      <c r="BT857" s="34"/>
      <c r="BU857" s="34"/>
      <c r="BV857" s="34"/>
      <c r="BW857" s="34"/>
      <c r="BX857" s="34"/>
      <c r="BY857" s="34"/>
    </row>
    <row r="858" spans="1:77" x14ac:dyDescent="0.3">
      <c r="A858" s="39"/>
      <c r="B858" s="42"/>
      <c r="C858" s="42"/>
      <c r="D858" s="75"/>
      <c r="E858" s="75"/>
      <c r="F858" s="76"/>
      <c r="G858" s="47"/>
      <c r="H858" s="47"/>
      <c r="I858" s="75"/>
      <c r="J858" s="76"/>
      <c r="K858" s="76"/>
      <c r="L858" s="75"/>
      <c r="M858" s="49"/>
      <c r="N858" s="76"/>
      <c r="O858" s="49"/>
      <c r="P858" s="77"/>
      <c r="Q858" s="53"/>
      <c r="R858" s="54"/>
      <c r="S858" s="55"/>
      <c r="T858" s="56"/>
      <c r="U858" s="56"/>
      <c r="V858" s="42"/>
      <c r="W858" s="57"/>
      <c r="X858" s="58"/>
      <c r="Y858" s="75"/>
      <c r="Z858" s="59"/>
      <c r="AA858" s="61"/>
      <c r="AB858" s="61"/>
      <c r="AC858" s="61"/>
      <c r="AD858" s="62"/>
      <c r="AE858" s="62"/>
      <c r="AF858" s="34"/>
      <c r="AG858" s="34"/>
      <c r="AH858" s="34"/>
      <c r="AI858" s="34"/>
      <c r="AJ858" s="34"/>
      <c r="AK858" s="34"/>
      <c r="AL858" s="34"/>
      <c r="AM858" s="34"/>
      <c r="AN858" s="34"/>
      <c r="AO858" s="34"/>
      <c r="AP858" s="34"/>
      <c r="AQ858" s="34"/>
      <c r="AR858" s="34"/>
      <c r="AS858" s="34"/>
      <c r="AT858" s="34"/>
      <c r="AU858" s="34"/>
      <c r="AV858" s="34"/>
      <c r="AW858" s="34"/>
      <c r="AX858" s="34"/>
      <c r="AY858" s="34"/>
      <c r="AZ858" s="34"/>
      <c r="BA858" s="34"/>
      <c r="BB858" s="34"/>
      <c r="BD858" s="34"/>
      <c r="BE858" s="34"/>
      <c r="BF858" s="34"/>
      <c r="BG858" s="34"/>
      <c r="BH858" s="34"/>
      <c r="BI858" s="34"/>
      <c r="BJ858" s="34"/>
      <c r="BK858" s="34"/>
      <c r="BL858" s="34"/>
      <c r="BM858" s="34"/>
      <c r="BN858" s="34"/>
      <c r="BO858" s="34"/>
      <c r="BP858" s="34"/>
      <c r="BQ858" s="34"/>
      <c r="BR858" s="34"/>
      <c r="BS858" s="34"/>
      <c r="BT858" s="34"/>
      <c r="BU858" s="34"/>
      <c r="BV858" s="34"/>
      <c r="BW858" s="34"/>
      <c r="BX858" s="34"/>
      <c r="BY858" s="34"/>
    </row>
    <row r="859" spans="1:77" x14ac:dyDescent="0.3">
      <c r="A859" s="39"/>
      <c r="B859" s="42"/>
      <c r="C859" s="42"/>
      <c r="D859" s="75"/>
      <c r="E859" s="75"/>
      <c r="F859" s="76"/>
      <c r="G859" s="47"/>
      <c r="H859" s="47"/>
      <c r="I859" s="75"/>
      <c r="J859" s="76"/>
      <c r="K859" s="76"/>
      <c r="L859" s="75"/>
      <c r="M859" s="49"/>
      <c r="N859" s="76"/>
      <c r="O859" s="49"/>
      <c r="P859" s="77"/>
      <c r="Q859" s="53"/>
      <c r="R859" s="54"/>
      <c r="S859" s="55"/>
      <c r="T859" s="56"/>
      <c r="U859" s="56"/>
      <c r="V859" s="42"/>
      <c r="W859" s="57"/>
      <c r="X859" s="58"/>
      <c r="Y859" s="75"/>
      <c r="Z859" s="59"/>
      <c r="AA859" s="61"/>
      <c r="AB859" s="61"/>
      <c r="AC859" s="61"/>
      <c r="AD859" s="62"/>
      <c r="AE859" s="62"/>
      <c r="AF859" s="34"/>
      <c r="AG859" s="34"/>
      <c r="AH859" s="34"/>
      <c r="AI859" s="34"/>
      <c r="AJ859" s="34"/>
      <c r="AK859" s="34"/>
      <c r="AL859" s="34"/>
      <c r="AM859" s="34"/>
      <c r="AN859" s="34"/>
      <c r="AO859" s="34"/>
      <c r="AP859" s="34"/>
      <c r="AQ859" s="34"/>
      <c r="AR859" s="34"/>
      <c r="AS859" s="34"/>
      <c r="AT859" s="34"/>
      <c r="AU859" s="34"/>
      <c r="AV859" s="34"/>
      <c r="AW859" s="34"/>
      <c r="AX859" s="34"/>
      <c r="AY859" s="34"/>
      <c r="AZ859" s="34"/>
      <c r="BA859" s="34"/>
      <c r="BB859" s="34"/>
      <c r="BD859" s="34"/>
      <c r="BE859" s="34"/>
      <c r="BF859" s="34"/>
      <c r="BG859" s="34"/>
      <c r="BH859" s="34"/>
      <c r="BI859" s="34"/>
      <c r="BJ859" s="34"/>
      <c r="BK859" s="34"/>
      <c r="BL859" s="34"/>
      <c r="BM859" s="34"/>
      <c r="BN859" s="34"/>
      <c r="BO859" s="34"/>
      <c r="BP859" s="34"/>
      <c r="BQ859" s="34"/>
      <c r="BR859" s="34"/>
      <c r="BS859" s="34"/>
      <c r="BT859" s="34"/>
      <c r="BU859" s="34"/>
      <c r="BV859" s="34"/>
      <c r="BW859" s="34"/>
      <c r="BX859" s="34"/>
      <c r="BY859" s="34"/>
    </row>
    <row r="860" spans="1:77" x14ac:dyDescent="0.3">
      <c r="A860" s="39"/>
      <c r="B860" s="42"/>
      <c r="C860" s="42"/>
      <c r="D860" s="75"/>
      <c r="E860" s="75"/>
      <c r="F860" s="76"/>
      <c r="G860" s="47"/>
      <c r="H860" s="47"/>
      <c r="I860" s="75"/>
      <c r="J860" s="76"/>
      <c r="K860" s="76"/>
      <c r="L860" s="75"/>
      <c r="M860" s="49"/>
      <c r="N860" s="76"/>
      <c r="O860" s="49"/>
      <c r="P860" s="77"/>
      <c r="Q860" s="53"/>
      <c r="R860" s="54"/>
      <c r="S860" s="55"/>
      <c r="T860" s="56"/>
      <c r="U860" s="56"/>
      <c r="V860" s="42"/>
      <c r="W860" s="57"/>
      <c r="X860" s="58"/>
      <c r="Y860" s="75"/>
      <c r="Z860" s="59"/>
      <c r="AA860" s="61"/>
      <c r="AB860" s="61"/>
      <c r="AC860" s="61"/>
      <c r="AD860" s="62"/>
      <c r="AE860" s="62"/>
      <c r="AF860" s="34"/>
      <c r="AG860" s="34"/>
      <c r="AH860" s="34"/>
      <c r="AI860" s="34"/>
      <c r="AJ860" s="34"/>
      <c r="AK860" s="34"/>
      <c r="AL860" s="34"/>
      <c r="AM860" s="34"/>
      <c r="AN860" s="34"/>
      <c r="AO860" s="34"/>
      <c r="AP860" s="34"/>
      <c r="AQ860" s="34"/>
      <c r="AR860" s="34"/>
      <c r="AS860" s="34"/>
      <c r="AT860" s="34"/>
      <c r="AU860" s="34"/>
      <c r="AV860" s="34"/>
      <c r="AW860" s="34"/>
      <c r="AX860" s="34"/>
      <c r="AY860" s="34"/>
      <c r="AZ860" s="34"/>
      <c r="BA860" s="34"/>
      <c r="BB860" s="34"/>
      <c r="BD860" s="34"/>
      <c r="BE860" s="34"/>
      <c r="BF860" s="34"/>
      <c r="BG860" s="34"/>
      <c r="BH860" s="34"/>
      <c r="BI860" s="34"/>
      <c r="BJ860" s="34"/>
      <c r="BK860" s="34"/>
      <c r="BL860" s="34"/>
      <c r="BM860" s="34"/>
      <c r="BN860" s="34"/>
      <c r="BO860" s="34"/>
      <c r="BP860" s="34"/>
      <c r="BQ860" s="34"/>
      <c r="BR860" s="34"/>
      <c r="BS860" s="34"/>
      <c r="BT860" s="34"/>
      <c r="BU860" s="34"/>
      <c r="BV860" s="34"/>
      <c r="BW860" s="34"/>
      <c r="BX860" s="34"/>
      <c r="BY860" s="34"/>
    </row>
    <row r="861" spans="1:77" x14ac:dyDescent="0.3">
      <c r="A861" s="39"/>
      <c r="B861" s="42"/>
      <c r="C861" s="42"/>
      <c r="D861" s="75"/>
      <c r="E861" s="75"/>
      <c r="F861" s="76"/>
      <c r="G861" s="47"/>
      <c r="H861" s="47"/>
      <c r="I861" s="75"/>
      <c r="J861" s="76"/>
      <c r="K861" s="76"/>
      <c r="L861" s="75"/>
      <c r="M861" s="49"/>
      <c r="N861" s="76"/>
      <c r="O861" s="49"/>
      <c r="P861" s="77"/>
      <c r="Q861" s="53"/>
      <c r="R861" s="54"/>
      <c r="S861" s="55"/>
      <c r="T861" s="56"/>
      <c r="U861" s="56"/>
      <c r="V861" s="42"/>
      <c r="W861" s="57"/>
      <c r="X861" s="58"/>
      <c r="Y861" s="75"/>
      <c r="Z861" s="59"/>
      <c r="AA861" s="61"/>
      <c r="AB861" s="61"/>
      <c r="AC861" s="61"/>
      <c r="AD861" s="62"/>
      <c r="AE861" s="62"/>
      <c r="AF861" s="34"/>
      <c r="AG861" s="34"/>
      <c r="AH861" s="34"/>
      <c r="AI861" s="34"/>
      <c r="AJ861" s="34"/>
      <c r="AK861" s="34"/>
      <c r="AL861" s="34"/>
      <c r="AM861" s="34"/>
      <c r="AN861" s="34"/>
      <c r="AO861" s="34"/>
      <c r="AP861" s="34"/>
      <c r="AQ861" s="34"/>
      <c r="AR861" s="34"/>
      <c r="AS861" s="34"/>
      <c r="AT861" s="34"/>
      <c r="AU861" s="34"/>
      <c r="AV861" s="34"/>
      <c r="AW861" s="34"/>
      <c r="AX861" s="34"/>
      <c r="AY861" s="34"/>
      <c r="AZ861" s="34"/>
      <c r="BA861" s="34"/>
      <c r="BB861" s="34"/>
      <c r="BD861" s="34"/>
      <c r="BE861" s="34"/>
      <c r="BF861" s="34"/>
      <c r="BG861" s="34"/>
      <c r="BH861" s="34"/>
      <c r="BI861" s="34"/>
      <c r="BJ861" s="34"/>
      <c r="BK861" s="34"/>
      <c r="BL861" s="34"/>
      <c r="BM861" s="34"/>
      <c r="BN861" s="34"/>
      <c r="BO861" s="34"/>
      <c r="BP861" s="34"/>
      <c r="BQ861" s="34"/>
      <c r="BR861" s="34"/>
      <c r="BS861" s="34"/>
      <c r="BT861" s="34"/>
      <c r="BU861" s="34"/>
      <c r="BV861" s="34"/>
      <c r="BW861" s="34"/>
      <c r="BX861" s="34"/>
      <c r="BY861" s="34"/>
    </row>
    <row r="862" spans="1:77" x14ac:dyDescent="0.3">
      <c r="A862" s="39"/>
      <c r="B862" s="42"/>
      <c r="C862" s="42"/>
      <c r="D862" s="75"/>
      <c r="E862" s="75"/>
      <c r="F862" s="76"/>
      <c r="G862" s="47"/>
      <c r="H862" s="47"/>
      <c r="I862" s="75"/>
      <c r="J862" s="76"/>
      <c r="K862" s="76"/>
      <c r="L862" s="75"/>
      <c r="M862" s="49"/>
      <c r="N862" s="76"/>
      <c r="O862" s="49"/>
      <c r="P862" s="77"/>
      <c r="Q862" s="53"/>
      <c r="R862" s="54"/>
      <c r="S862" s="55"/>
      <c r="T862" s="56"/>
      <c r="U862" s="56"/>
      <c r="V862" s="42"/>
      <c r="W862" s="57"/>
      <c r="X862" s="58"/>
      <c r="Y862" s="75"/>
      <c r="Z862" s="59"/>
      <c r="AA862" s="61"/>
      <c r="AB862" s="61"/>
      <c r="AC862" s="61"/>
      <c r="AD862" s="62"/>
      <c r="AE862" s="62"/>
      <c r="AF862" s="34"/>
      <c r="AG862" s="34"/>
      <c r="AH862" s="34"/>
      <c r="AI862" s="34"/>
      <c r="AJ862" s="34"/>
      <c r="AK862" s="34"/>
      <c r="AL862" s="34"/>
      <c r="AM862" s="34"/>
      <c r="AN862" s="34"/>
      <c r="AO862" s="34"/>
      <c r="AP862" s="34"/>
      <c r="AQ862" s="34"/>
      <c r="AR862" s="34"/>
      <c r="AS862" s="34"/>
      <c r="AT862" s="34"/>
      <c r="AU862" s="34"/>
      <c r="AV862" s="34"/>
      <c r="AW862" s="34"/>
      <c r="AX862" s="34"/>
      <c r="AY862" s="34"/>
      <c r="AZ862" s="34"/>
      <c r="BA862" s="34"/>
      <c r="BB862" s="34"/>
      <c r="BD862" s="34"/>
      <c r="BE862" s="34"/>
      <c r="BF862" s="34"/>
      <c r="BG862" s="34"/>
      <c r="BH862" s="34"/>
      <c r="BI862" s="34"/>
      <c r="BJ862" s="34"/>
      <c r="BK862" s="34"/>
      <c r="BL862" s="34"/>
      <c r="BM862" s="34"/>
      <c r="BN862" s="34"/>
      <c r="BO862" s="34"/>
      <c r="BP862" s="34"/>
      <c r="BQ862" s="34"/>
      <c r="BR862" s="34"/>
      <c r="BS862" s="34"/>
      <c r="BT862" s="34"/>
      <c r="BU862" s="34"/>
      <c r="BV862" s="34"/>
      <c r="BW862" s="34"/>
      <c r="BX862" s="34"/>
      <c r="BY862" s="34"/>
    </row>
    <row r="863" spans="1:77" x14ac:dyDescent="0.3">
      <c r="A863" s="39"/>
      <c r="B863" s="42"/>
      <c r="C863" s="42"/>
      <c r="D863" s="75"/>
      <c r="E863" s="75"/>
      <c r="F863" s="76"/>
      <c r="G863" s="47"/>
      <c r="H863" s="47"/>
      <c r="I863" s="75"/>
      <c r="J863" s="76"/>
      <c r="K863" s="76"/>
      <c r="L863" s="75"/>
      <c r="M863" s="49"/>
      <c r="N863" s="76"/>
      <c r="O863" s="49"/>
      <c r="P863" s="77"/>
      <c r="Q863" s="53"/>
      <c r="R863" s="54"/>
      <c r="S863" s="55"/>
      <c r="T863" s="56"/>
      <c r="U863" s="56"/>
      <c r="V863" s="42"/>
      <c r="W863" s="57"/>
      <c r="X863" s="58"/>
      <c r="Y863" s="75"/>
      <c r="Z863" s="59"/>
      <c r="AA863" s="61"/>
      <c r="AB863" s="61"/>
      <c r="AC863" s="61"/>
      <c r="AD863" s="62"/>
      <c r="AE863" s="62"/>
      <c r="AF863" s="34"/>
      <c r="AG863" s="34"/>
      <c r="AH863" s="34"/>
      <c r="AI863" s="34"/>
      <c r="AJ863" s="34"/>
      <c r="AK863" s="34"/>
      <c r="AL863" s="34"/>
      <c r="AM863" s="34"/>
      <c r="AN863" s="34"/>
      <c r="AO863" s="34"/>
      <c r="AP863" s="34"/>
      <c r="AQ863" s="34"/>
      <c r="AR863" s="34"/>
      <c r="AS863" s="34"/>
      <c r="AT863" s="34"/>
      <c r="AU863" s="34"/>
      <c r="AV863" s="34"/>
      <c r="AW863" s="34"/>
      <c r="AX863" s="34"/>
      <c r="AY863" s="34"/>
      <c r="AZ863" s="34"/>
      <c r="BA863" s="34"/>
      <c r="BB863" s="34"/>
      <c r="BD863" s="34"/>
      <c r="BE863" s="34"/>
      <c r="BF863" s="34"/>
      <c r="BG863" s="34"/>
      <c r="BH863" s="34"/>
      <c r="BI863" s="34"/>
      <c r="BJ863" s="34"/>
      <c r="BK863" s="34"/>
      <c r="BL863" s="34"/>
      <c r="BM863" s="34"/>
      <c r="BN863" s="34"/>
      <c r="BO863" s="34"/>
      <c r="BP863" s="34"/>
      <c r="BQ863" s="34"/>
      <c r="BR863" s="34"/>
      <c r="BS863" s="34"/>
      <c r="BT863" s="34"/>
      <c r="BU863" s="34"/>
      <c r="BV863" s="34"/>
      <c r="BW863" s="34"/>
      <c r="BX863" s="34"/>
      <c r="BY863" s="34"/>
    </row>
    <row r="864" spans="1:77" x14ac:dyDescent="0.3">
      <c r="A864" s="39"/>
      <c r="B864" s="42"/>
      <c r="C864" s="42"/>
      <c r="D864" s="75"/>
      <c r="E864" s="75"/>
      <c r="F864" s="76"/>
      <c r="G864" s="47"/>
      <c r="H864" s="47"/>
      <c r="I864" s="75"/>
      <c r="J864" s="76"/>
      <c r="K864" s="76"/>
      <c r="L864" s="75"/>
      <c r="M864" s="49"/>
      <c r="N864" s="76"/>
      <c r="O864" s="49"/>
      <c r="P864" s="77"/>
      <c r="Q864" s="53"/>
      <c r="R864" s="54"/>
      <c r="S864" s="55"/>
      <c r="T864" s="56"/>
      <c r="U864" s="56"/>
      <c r="V864" s="42"/>
      <c r="W864" s="57"/>
      <c r="X864" s="58"/>
      <c r="Y864" s="75"/>
      <c r="Z864" s="59"/>
      <c r="AA864" s="61"/>
      <c r="AB864" s="61"/>
      <c r="AC864" s="61"/>
      <c r="AD864" s="62"/>
      <c r="AE864" s="62"/>
      <c r="AF864" s="34"/>
      <c r="AG864" s="34"/>
      <c r="AH864" s="34"/>
      <c r="AI864" s="34"/>
      <c r="AJ864" s="34"/>
      <c r="AK864" s="34"/>
      <c r="AL864" s="34"/>
      <c r="AM864" s="34"/>
      <c r="AN864" s="34"/>
      <c r="AO864" s="34"/>
      <c r="AP864" s="34"/>
      <c r="AQ864" s="34"/>
      <c r="AR864" s="34"/>
      <c r="AS864" s="34"/>
      <c r="AT864" s="34"/>
      <c r="AU864" s="34"/>
      <c r="AV864" s="34"/>
      <c r="AW864" s="34"/>
      <c r="AX864" s="34"/>
      <c r="AY864" s="34"/>
      <c r="AZ864" s="34"/>
      <c r="BA864" s="34"/>
      <c r="BB864" s="34"/>
      <c r="BD864" s="34"/>
      <c r="BE864" s="34"/>
      <c r="BF864" s="34"/>
      <c r="BG864" s="34"/>
      <c r="BH864" s="34"/>
      <c r="BI864" s="34"/>
      <c r="BJ864" s="34"/>
      <c r="BK864" s="34"/>
      <c r="BL864" s="34"/>
      <c r="BM864" s="34"/>
      <c r="BN864" s="34"/>
      <c r="BO864" s="34"/>
      <c r="BP864" s="34"/>
      <c r="BQ864" s="34"/>
      <c r="BR864" s="34"/>
      <c r="BS864" s="34"/>
      <c r="BT864" s="34"/>
      <c r="BU864" s="34"/>
      <c r="BV864" s="34"/>
      <c r="BW864" s="34"/>
      <c r="BX864" s="34"/>
      <c r="BY864" s="34"/>
    </row>
    <row r="865" spans="1:77" x14ac:dyDescent="0.3">
      <c r="A865" s="39"/>
      <c r="B865" s="42"/>
      <c r="C865" s="42"/>
      <c r="D865" s="75"/>
      <c r="E865" s="75"/>
      <c r="F865" s="76"/>
      <c r="G865" s="47"/>
      <c r="H865" s="47"/>
      <c r="I865" s="75"/>
      <c r="J865" s="76"/>
      <c r="K865" s="76"/>
      <c r="L865" s="75"/>
      <c r="M865" s="49"/>
      <c r="N865" s="76"/>
      <c r="O865" s="49"/>
      <c r="P865" s="77"/>
      <c r="Q865" s="53"/>
      <c r="R865" s="54"/>
      <c r="S865" s="55"/>
      <c r="T865" s="56"/>
      <c r="U865" s="56"/>
      <c r="V865" s="42"/>
      <c r="W865" s="57"/>
      <c r="X865" s="58"/>
      <c r="Y865" s="75"/>
      <c r="Z865" s="59"/>
      <c r="AA865" s="61"/>
      <c r="AB865" s="61"/>
      <c r="AC865" s="61"/>
      <c r="AD865" s="62"/>
      <c r="AE865" s="62"/>
      <c r="AF865" s="34"/>
      <c r="AG865" s="34"/>
      <c r="AH865" s="34"/>
      <c r="AI865" s="34"/>
      <c r="AJ865" s="34"/>
      <c r="AK865" s="34"/>
      <c r="AL865" s="34"/>
      <c r="AM865" s="34"/>
      <c r="AN865" s="34"/>
      <c r="AO865" s="34"/>
      <c r="AP865" s="34"/>
      <c r="AQ865" s="34"/>
      <c r="AR865" s="34"/>
      <c r="AS865" s="34"/>
      <c r="AT865" s="34"/>
      <c r="AU865" s="34"/>
      <c r="AV865" s="34"/>
      <c r="AW865" s="34"/>
      <c r="AX865" s="34"/>
      <c r="AY865" s="34"/>
      <c r="AZ865" s="34"/>
      <c r="BA865" s="34"/>
      <c r="BB865" s="34"/>
      <c r="BD865" s="34"/>
      <c r="BE865" s="34"/>
      <c r="BF865" s="34"/>
      <c r="BG865" s="34"/>
      <c r="BH865" s="34"/>
      <c r="BI865" s="34"/>
      <c r="BJ865" s="34"/>
      <c r="BK865" s="34"/>
      <c r="BL865" s="34"/>
      <c r="BM865" s="34"/>
      <c r="BN865" s="34"/>
      <c r="BO865" s="34"/>
      <c r="BP865" s="34"/>
      <c r="BQ865" s="34"/>
      <c r="BR865" s="34"/>
      <c r="BS865" s="34"/>
      <c r="BT865" s="34"/>
      <c r="BU865" s="34"/>
      <c r="BV865" s="34"/>
      <c r="BW865" s="34"/>
      <c r="BX865" s="34"/>
      <c r="BY865" s="34"/>
    </row>
    <row r="866" spans="1:77" x14ac:dyDescent="0.3">
      <c r="A866" s="39"/>
      <c r="B866" s="42"/>
      <c r="C866" s="42"/>
      <c r="D866" s="75"/>
      <c r="E866" s="75"/>
      <c r="F866" s="76"/>
      <c r="G866" s="47"/>
      <c r="H866" s="47"/>
      <c r="I866" s="75"/>
      <c r="J866" s="76"/>
      <c r="K866" s="76"/>
      <c r="L866" s="75"/>
      <c r="M866" s="49"/>
      <c r="N866" s="76"/>
      <c r="O866" s="49"/>
      <c r="P866" s="77"/>
      <c r="Q866" s="53"/>
      <c r="R866" s="54"/>
      <c r="S866" s="55"/>
      <c r="T866" s="56"/>
      <c r="U866" s="56"/>
      <c r="V866" s="42"/>
      <c r="W866" s="57"/>
      <c r="X866" s="58"/>
      <c r="Y866" s="75"/>
      <c r="Z866" s="59"/>
      <c r="AA866" s="61"/>
      <c r="AB866" s="61"/>
      <c r="AC866" s="61"/>
      <c r="AD866" s="62"/>
      <c r="AE866" s="62"/>
      <c r="AF866" s="34"/>
      <c r="AG866" s="34"/>
      <c r="AH866" s="34"/>
      <c r="AI866" s="34"/>
      <c r="AJ866" s="34"/>
      <c r="AK866" s="34"/>
      <c r="AL866" s="34"/>
      <c r="AM866" s="34"/>
      <c r="AN866" s="34"/>
      <c r="AO866" s="34"/>
      <c r="AP866" s="34"/>
      <c r="AQ866" s="34"/>
      <c r="AR866" s="34"/>
      <c r="AS866" s="34"/>
      <c r="AT866" s="34"/>
      <c r="AU866" s="34"/>
      <c r="AV866" s="34"/>
      <c r="AW866" s="34"/>
      <c r="AX866" s="34"/>
      <c r="AY866" s="34"/>
      <c r="AZ866" s="34"/>
      <c r="BA866" s="34"/>
      <c r="BB866" s="34"/>
      <c r="BD866" s="34"/>
      <c r="BE866" s="34"/>
      <c r="BF866" s="34"/>
      <c r="BG866" s="34"/>
      <c r="BH866" s="34"/>
      <c r="BI866" s="34"/>
      <c r="BJ866" s="34"/>
      <c r="BK866" s="34"/>
      <c r="BL866" s="34"/>
      <c r="BM866" s="34"/>
      <c r="BN866" s="34"/>
      <c r="BO866" s="34"/>
      <c r="BP866" s="34"/>
      <c r="BQ866" s="34"/>
      <c r="BR866" s="34"/>
      <c r="BS866" s="34"/>
      <c r="BT866" s="34"/>
      <c r="BU866" s="34"/>
      <c r="BV866" s="34"/>
      <c r="BW866" s="34"/>
      <c r="BX866" s="34"/>
      <c r="BY866" s="34"/>
    </row>
    <row r="867" spans="1:77" x14ac:dyDescent="0.3">
      <c r="A867" s="39"/>
      <c r="B867" s="42"/>
      <c r="C867" s="42"/>
      <c r="D867" s="75"/>
      <c r="E867" s="75"/>
      <c r="F867" s="76"/>
      <c r="G867" s="47"/>
      <c r="H867" s="47"/>
      <c r="I867" s="75"/>
      <c r="J867" s="76"/>
      <c r="K867" s="76"/>
      <c r="L867" s="75"/>
      <c r="M867" s="49"/>
      <c r="N867" s="76"/>
      <c r="O867" s="49"/>
      <c r="P867" s="77"/>
      <c r="Q867" s="53"/>
      <c r="R867" s="54"/>
      <c r="S867" s="55"/>
      <c r="T867" s="56"/>
      <c r="U867" s="56"/>
      <c r="V867" s="42"/>
      <c r="W867" s="57"/>
      <c r="X867" s="58"/>
      <c r="Y867" s="75"/>
      <c r="Z867" s="59"/>
      <c r="AA867" s="61"/>
      <c r="AB867" s="61"/>
      <c r="AC867" s="61"/>
      <c r="AD867" s="62"/>
      <c r="AE867" s="62"/>
      <c r="AF867" s="34"/>
      <c r="AG867" s="34"/>
      <c r="AH867" s="34"/>
      <c r="AI867" s="34"/>
      <c r="AJ867" s="34"/>
      <c r="AK867" s="34"/>
      <c r="AL867" s="34"/>
      <c r="AM867" s="34"/>
      <c r="AN867" s="34"/>
      <c r="AO867" s="34"/>
      <c r="AP867" s="34"/>
      <c r="AQ867" s="34"/>
      <c r="AR867" s="34"/>
      <c r="AS867" s="34"/>
      <c r="AT867" s="34"/>
      <c r="AU867" s="34"/>
      <c r="AV867" s="34"/>
      <c r="AW867" s="34"/>
      <c r="AX867" s="34"/>
      <c r="AY867" s="34"/>
      <c r="AZ867" s="34"/>
      <c r="BA867" s="34"/>
      <c r="BB867" s="34"/>
      <c r="BD867" s="34"/>
      <c r="BE867" s="34"/>
      <c r="BF867" s="34"/>
      <c r="BG867" s="34"/>
      <c r="BH867" s="34"/>
      <c r="BI867" s="34"/>
      <c r="BJ867" s="34"/>
      <c r="BK867" s="34"/>
      <c r="BL867" s="34"/>
      <c r="BM867" s="34"/>
      <c r="BN867" s="34"/>
      <c r="BO867" s="34"/>
      <c r="BP867" s="34"/>
      <c r="BQ867" s="34"/>
      <c r="BR867" s="34"/>
      <c r="BS867" s="34"/>
      <c r="BT867" s="34"/>
      <c r="BU867" s="34"/>
      <c r="BV867" s="34"/>
      <c r="BW867" s="34"/>
      <c r="BX867" s="34"/>
      <c r="BY867" s="34"/>
    </row>
    <row r="868" spans="1:77" x14ac:dyDescent="0.3">
      <c r="A868" s="39"/>
      <c r="B868" s="42"/>
      <c r="C868" s="42"/>
      <c r="D868" s="75"/>
      <c r="E868" s="75"/>
      <c r="F868" s="76"/>
      <c r="G868" s="47"/>
      <c r="H868" s="47"/>
      <c r="I868" s="75"/>
      <c r="J868" s="76"/>
      <c r="K868" s="76"/>
      <c r="L868" s="75"/>
      <c r="M868" s="49"/>
      <c r="N868" s="76"/>
      <c r="O868" s="49"/>
      <c r="P868" s="77"/>
      <c r="Q868" s="53"/>
      <c r="R868" s="54"/>
      <c r="S868" s="55"/>
      <c r="T868" s="56"/>
      <c r="U868" s="56"/>
      <c r="V868" s="42"/>
      <c r="W868" s="57"/>
      <c r="X868" s="58"/>
      <c r="Y868" s="75"/>
      <c r="Z868" s="59"/>
      <c r="AA868" s="61"/>
      <c r="AB868" s="61"/>
      <c r="AC868" s="61"/>
      <c r="AD868" s="62"/>
      <c r="AE868" s="62"/>
      <c r="AF868" s="34"/>
      <c r="AG868" s="34"/>
      <c r="AH868" s="34"/>
      <c r="AI868" s="34"/>
      <c r="AJ868" s="34"/>
      <c r="AK868" s="34"/>
      <c r="AL868" s="34"/>
      <c r="AM868" s="34"/>
      <c r="AN868" s="34"/>
      <c r="AO868" s="34"/>
      <c r="AP868" s="34"/>
      <c r="AQ868" s="34"/>
      <c r="AR868" s="34"/>
      <c r="AS868" s="34"/>
      <c r="AT868" s="34"/>
      <c r="AU868" s="34"/>
      <c r="AV868" s="34"/>
      <c r="AW868" s="34"/>
      <c r="AX868" s="34"/>
      <c r="AY868" s="34"/>
      <c r="AZ868" s="34"/>
      <c r="BA868" s="34"/>
      <c r="BB868" s="34"/>
      <c r="BD868" s="34"/>
      <c r="BE868" s="34"/>
      <c r="BF868" s="34"/>
      <c r="BG868" s="34"/>
      <c r="BH868" s="34"/>
      <c r="BI868" s="34"/>
      <c r="BJ868" s="34"/>
      <c r="BK868" s="34"/>
      <c r="BL868" s="34"/>
      <c r="BM868" s="34"/>
      <c r="BN868" s="34"/>
      <c r="BO868" s="34"/>
      <c r="BP868" s="34"/>
      <c r="BQ868" s="34"/>
      <c r="BR868" s="34"/>
      <c r="BS868" s="34"/>
      <c r="BT868" s="34"/>
      <c r="BU868" s="34"/>
      <c r="BV868" s="34"/>
      <c r="BW868" s="34"/>
      <c r="BX868" s="34"/>
      <c r="BY868" s="34"/>
    </row>
    <row r="869" spans="1:77" x14ac:dyDescent="0.3">
      <c r="A869" s="39"/>
      <c r="B869" s="42"/>
      <c r="C869" s="42"/>
      <c r="D869" s="75"/>
      <c r="E869" s="75"/>
      <c r="F869" s="76"/>
      <c r="G869" s="47"/>
      <c r="H869" s="47"/>
      <c r="I869" s="75"/>
      <c r="J869" s="76"/>
      <c r="K869" s="76"/>
      <c r="L869" s="75"/>
      <c r="M869" s="49"/>
      <c r="N869" s="76"/>
      <c r="O869" s="49"/>
      <c r="P869" s="77"/>
      <c r="Q869" s="53"/>
      <c r="R869" s="54"/>
      <c r="S869" s="55"/>
      <c r="T869" s="56"/>
      <c r="U869" s="56"/>
      <c r="V869" s="42"/>
      <c r="W869" s="57"/>
      <c r="X869" s="58"/>
      <c r="Y869" s="75"/>
      <c r="Z869" s="59"/>
      <c r="AA869" s="61"/>
      <c r="AB869" s="61"/>
      <c r="AC869" s="61"/>
      <c r="AD869" s="62"/>
      <c r="AE869" s="62"/>
      <c r="AF869" s="34"/>
      <c r="AG869" s="34"/>
      <c r="AH869" s="34"/>
      <c r="AI869" s="34"/>
      <c r="AJ869" s="34"/>
      <c r="AK869" s="34"/>
      <c r="AL869" s="34"/>
      <c r="AM869" s="34"/>
      <c r="AN869" s="34"/>
      <c r="AO869" s="34"/>
      <c r="AP869" s="34"/>
      <c r="AQ869" s="34"/>
      <c r="AR869" s="34"/>
      <c r="AS869" s="34"/>
      <c r="AT869" s="34"/>
      <c r="AU869" s="34"/>
      <c r="AV869" s="34"/>
      <c r="AW869" s="34"/>
      <c r="AX869" s="34"/>
      <c r="AY869" s="34"/>
      <c r="AZ869" s="34"/>
      <c r="BA869" s="34"/>
      <c r="BB869" s="34"/>
      <c r="BD869" s="34"/>
      <c r="BE869" s="34"/>
      <c r="BF869" s="34"/>
      <c r="BG869" s="34"/>
      <c r="BH869" s="34"/>
      <c r="BI869" s="34"/>
      <c r="BJ869" s="34"/>
      <c r="BK869" s="34"/>
      <c r="BL869" s="34"/>
      <c r="BM869" s="34"/>
      <c r="BN869" s="34"/>
      <c r="BO869" s="34"/>
      <c r="BP869" s="34"/>
      <c r="BQ869" s="34"/>
      <c r="BR869" s="34"/>
      <c r="BS869" s="34"/>
      <c r="BT869" s="34"/>
      <c r="BU869" s="34"/>
      <c r="BV869" s="34"/>
      <c r="BW869" s="34"/>
      <c r="BX869" s="34"/>
      <c r="BY869" s="34"/>
    </row>
    <row r="870" spans="1:77" x14ac:dyDescent="0.3">
      <c r="A870" s="39"/>
      <c r="B870" s="42"/>
      <c r="C870" s="42"/>
      <c r="D870" s="75"/>
      <c r="E870" s="75"/>
      <c r="F870" s="76"/>
      <c r="G870" s="47"/>
      <c r="H870" s="47"/>
      <c r="I870" s="75"/>
      <c r="J870" s="76"/>
      <c r="K870" s="76"/>
      <c r="L870" s="75"/>
      <c r="M870" s="49"/>
      <c r="N870" s="76"/>
      <c r="O870" s="49"/>
      <c r="P870" s="77"/>
      <c r="Q870" s="53"/>
      <c r="R870" s="54"/>
      <c r="S870" s="55"/>
      <c r="T870" s="56"/>
      <c r="U870" s="56"/>
      <c r="V870" s="42"/>
      <c r="W870" s="57"/>
      <c r="X870" s="58"/>
      <c r="Y870" s="75"/>
      <c r="Z870" s="59"/>
      <c r="AA870" s="61"/>
      <c r="AB870" s="61"/>
      <c r="AC870" s="61"/>
      <c r="AD870" s="62"/>
      <c r="AE870" s="62"/>
      <c r="AF870" s="34"/>
      <c r="AG870" s="34"/>
      <c r="AH870" s="34"/>
      <c r="AI870" s="34"/>
      <c r="AJ870" s="34"/>
      <c r="AK870" s="34"/>
      <c r="AL870" s="34"/>
      <c r="AM870" s="34"/>
      <c r="AN870" s="34"/>
      <c r="AO870" s="34"/>
      <c r="AP870" s="34"/>
      <c r="AQ870" s="34"/>
      <c r="AR870" s="34"/>
      <c r="AS870" s="34"/>
      <c r="AT870" s="34"/>
      <c r="AU870" s="34"/>
      <c r="AV870" s="34"/>
      <c r="AW870" s="34"/>
      <c r="AX870" s="34"/>
      <c r="AY870" s="34"/>
      <c r="AZ870" s="34"/>
      <c r="BA870" s="34"/>
      <c r="BB870" s="34"/>
      <c r="BD870" s="34"/>
      <c r="BE870" s="34"/>
      <c r="BF870" s="34"/>
      <c r="BG870" s="34"/>
      <c r="BH870" s="34"/>
      <c r="BI870" s="34"/>
      <c r="BJ870" s="34"/>
      <c r="BK870" s="34"/>
      <c r="BL870" s="34"/>
      <c r="BM870" s="34"/>
      <c r="BN870" s="34"/>
      <c r="BO870" s="34"/>
      <c r="BP870" s="34"/>
      <c r="BQ870" s="34"/>
      <c r="BR870" s="34"/>
      <c r="BS870" s="34"/>
      <c r="BT870" s="34"/>
      <c r="BU870" s="34"/>
      <c r="BV870" s="34"/>
      <c r="BW870" s="34"/>
      <c r="BX870" s="34"/>
      <c r="BY870" s="34"/>
    </row>
    <row r="871" spans="1:77" x14ac:dyDescent="0.3">
      <c r="A871" s="39"/>
      <c r="B871" s="42"/>
      <c r="C871" s="42"/>
      <c r="D871" s="75"/>
      <c r="E871" s="75"/>
      <c r="F871" s="76"/>
      <c r="G871" s="47"/>
      <c r="H871" s="47"/>
      <c r="I871" s="75"/>
      <c r="J871" s="76"/>
      <c r="K871" s="76"/>
      <c r="L871" s="75"/>
      <c r="M871" s="49"/>
      <c r="N871" s="76"/>
      <c r="O871" s="49"/>
      <c r="P871" s="77"/>
      <c r="Q871" s="53"/>
      <c r="R871" s="54"/>
      <c r="S871" s="55"/>
      <c r="T871" s="56"/>
      <c r="U871" s="56"/>
      <c r="V871" s="42"/>
      <c r="W871" s="57"/>
      <c r="X871" s="58"/>
      <c r="Y871" s="75"/>
      <c r="Z871" s="59"/>
      <c r="AA871" s="61"/>
      <c r="AB871" s="61"/>
      <c r="AC871" s="61"/>
      <c r="AD871" s="62"/>
      <c r="AE871" s="62"/>
      <c r="AF871" s="34"/>
      <c r="AG871" s="34"/>
      <c r="AH871" s="34"/>
      <c r="AI871" s="34"/>
      <c r="AJ871" s="34"/>
      <c r="AK871" s="34"/>
      <c r="AL871" s="34"/>
      <c r="AM871" s="34"/>
      <c r="AN871" s="34"/>
      <c r="AO871" s="34"/>
      <c r="AP871" s="34"/>
      <c r="AQ871" s="34"/>
      <c r="AR871" s="34"/>
      <c r="AS871" s="34"/>
      <c r="AT871" s="34"/>
      <c r="AU871" s="34"/>
      <c r="AV871" s="34"/>
      <c r="AW871" s="34"/>
      <c r="AX871" s="34"/>
      <c r="AY871" s="34"/>
      <c r="AZ871" s="34"/>
      <c r="BA871" s="34"/>
      <c r="BB871" s="34"/>
      <c r="BD871" s="34"/>
      <c r="BE871" s="34"/>
      <c r="BF871" s="34"/>
      <c r="BG871" s="34"/>
      <c r="BH871" s="34"/>
      <c r="BI871" s="34"/>
      <c r="BJ871" s="34"/>
      <c r="BK871" s="34"/>
      <c r="BL871" s="34"/>
      <c r="BM871" s="34"/>
      <c r="BN871" s="34"/>
      <c r="BO871" s="34"/>
      <c r="BP871" s="34"/>
      <c r="BQ871" s="34"/>
      <c r="BR871" s="34"/>
      <c r="BS871" s="34"/>
      <c r="BT871" s="34"/>
      <c r="BU871" s="34"/>
      <c r="BV871" s="34"/>
      <c r="BW871" s="34"/>
      <c r="BX871" s="34"/>
      <c r="BY871" s="34"/>
    </row>
    <row r="872" spans="1:77" x14ac:dyDescent="0.3">
      <c r="A872" s="39"/>
      <c r="B872" s="42"/>
      <c r="C872" s="42"/>
      <c r="D872" s="75"/>
      <c r="E872" s="75"/>
      <c r="F872" s="76"/>
      <c r="G872" s="47"/>
      <c r="H872" s="47"/>
      <c r="I872" s="75"/>
      <c r="J872" s="76"/>
      <c r="K872" s="76"/>
      <c r="L872" s="75"/>
      <c r="M872" s="49"/>
      <c r="N872" s="76"/>
      <c r="O872" s="49"/>
      <c r="P872" s="77"/>
      <c r="Q872" s="53"/>
      <c r="R872" s="54"/>
      <c r="S872" s="55"/>
      <c r="T872" s="56"/>
      <c r="U872" s="56"/>
      <c r="V872" s="42"/>
      <c r="W872" s="57"/>
      <c r="X872" s="58"/>
      <c r="Y872" s="75"/>
      <c r="Z872" s="59"/>
      <c r="AA872" s="61"/>
      <c r="AB872" s="61"/>
      <c r="AC872" s="61"/>
      <c r="AD872" s="62"/>
      <c r="AE872" s="62"/>
      <c r="AF872" s="34"/>
      <c r="AG872" s="34"/>
      <c r="AH872" s="34"/>
      <c r="AI872" s="34"/>
      <c r="AJ872" s="34"/>
      <c r="AK872" s="34"/>
      <c r="AL872" s="34"/>
      <c r="AM872" s="34"/>
      <c r="AN872" s="34"/>
      <c r="AO872" s="34"/>
      <c r="AP872" s="34"/>
      <c r="AQ872" s="34"/>
      <c r="AR872" s="34"/>
      <c r="AS872" s="34"/>
      <c r="AT872" s="34"/>
      <c r="AU872" s="34"/>
      <c r="AV872" s="34"/>
      <c r="AW872" s="34"/>
      <c r="AX872" s="34"/>
      <c r="AY872" s="34"/>
      <c r="AZ872" s="34"/>
      <c r="BA872" s="34"/>
      <c r="BB872" s="34"/>
      <c r="BD872" s="34"/>
      <c r="BE872" s="34"/>
      <c r="BF872" s="34"/>
      <c r="BG872" s="34"/>
      <c r="BH872" s="34"/>
      <c r="BI872" s="34"/>
      <c r="BJ872" s="34"/>
      <c r="BK872" s="34"/>
      <c r="BL872" s="34"/>
      <c r="BM872" s="34"/>
      <c r="BN872" s="34"/>
      <c r="BO872" s="34"/>
      <c r="BP872" s="34"/>
      <c r="BQ872" s="34"/>
      <c r="BR872" s="34"/>
      <c r="BS872" s="34"/>
      <c r="BT872" s="34"/>
      <c r="BU872" s="34"/>
      <c r="BV872" s="34"/>
      <c r="BW872" s="34"/>
      <c r="BX872" s="34"/>
      <c r="BY872" s="34"/>
    </row>
    <row r="873" spans="1:77" x14ac:dyDescent="0.3">
      <c r="A873" s="39"/>
      <c r="B873" s="42"/>
      <c r="C873" s="42"/>
      <c r="D873" s="75"/>
      <c r="E873" s="75"/>
      <c r="F873" s="76"/>
      <c r="G873" s="47"/>
      <c r="H873" s="47"/>
      <c r="I873" s="75"/>
      <c r="J873" s="76"/>
      <c r="K873" s="76"/>
      <c r="L873" s="75"/>
      <c r="M873" s="49"/>
      <c r="N873" s="76"/>
      <c r="O873" s="49"/>
      <c r="P873" s="77"/>
      <c r="Q873" s="53"/>
      <c r="R873" s="54"/>
      <c r="S873" s="55"/>
      <c r="T873" s="56"/>
      <c r="U873" s="56"/>
      <c r="V873" s="42"/>
      <c r="W873" s="57"/>
      <c r="X873" s="58"/>
      <c r="Y873" s="75"/>
      <c r="Z873" s="59"/>
      <c r="AA873" s="61"/>
      <c r="AB873" s="61"/>
      <c r="AC873" s="61"/>
      <c r="AD873" s="62"/>
      <c r="AE873" s="62"/>
      <c r="AF873" s="34"/>
      <c r="AG873" s="34"/>
      <c r="AH873" s="34"/>
      <c r="AI873" s="34"/>
      <c r="AJ873" s="34"/>
      <c r="AK873" s="34"/>
      <c r="AL873" s="34"/>
      <c r="AM873" s="34"/>
      <c r="AN873" s="34"/>
      <c r="AO873" s="34"/>
      <c r="AP873" s="34"/>
      <c r="AQ873" s="34"/>
      <c r="AR873" s="34"/>
      <c r="AS873" s="34"/>
      <c r="AT873" s="34"/>
      <c r="AU873" s="34"/>
      <c r="AV873" s="34"/>
      <c r="AW873" s="34"/>
      <c r="AX873" s="34"/>
      <c r="AY873" s="34"/>
      <c r="AZ873" s="34"/>
      <c r="BA873" s="34"/>
      <c r="BB873" s="34"/>
      <c r="BD873" s="34"/>
      <c r="BE873" s="34"/>
      <c r="BF873" s="34"/>
      <c r="BG873" s="34"/>
      <c r="BH873" s="34"/>
      <c r="BI873" s="34"/>
      <c r="BJ873" s="34"/>
      <c r="BK873" s="34"/>
      <c r="BL873" s="34"/>
      <c r="BM873" s="34"/>
      <c r="BN873" s="34"/>
      <c r="BO873" s="34"/>
      <c r="BP873" s="34"/>
      <c r="BQ873" s="34"/>
      <c r="BR873" s="34"/>
      <c r="BS873" s="34"/>
      <c r="BT873" s="34"/>
      <c r="BU873" s="34"/>
      <c r="BV873" s="34"/>
      <c r="BW873" s="34"/>
      <c r="BX873" s="34"/>
      <c r="BY873" s="34"/>
    </row>
    <row r="874" spans="1:77" x14ac:dyDescent="0.3">
      <c r="A874" s="39"/>
      <c r="B874" s="42"/>
      <c r="C874" s="42"/>
      <c r="D874" s="75"/>
      <c r="E874" s="75"/>
      <c r="F874" s="76"/>
      <c r="G874" s="47"/>
      <c r="H874" s="47"/>
      <c r="I874" s="75"/>
      <c r="J874" s="76"/>
      <c r="K874" s="76"/>
      <c r="L874" s="75"/>
      <c r="M874" s="49"/>
      <c r="N874" s="76"/>
      <c r="O874" s="49"/>
      <c r="P874" s="77"/>
      <c r="Q874" s="53"/>
      <c r="R874" s="54"/>
      <c r="S874" s="55"/>
      <c r="T874" s="56"/>
      <c r="U874" s="56"/>
      <c r="V874" s="42"/>
      <c r="W874" s="57"/>
      <c r="X874" s="58"/>
      <c r="Y874" s="75"/>
      <c r="Z874" s="59"/>
      <c r="AA874" s="61"/>
      <c r="AB874" s="61"/>
      <c r="AC874" s="61"/>
      <c r="AD874" s="62"/>
      <c r="AE874" s="62"/>
      <c r="AF874" s="34"/>
      <c r="AG874" s="34"/>
      <c r="AH874" s="34"/>
      <c r="AI874" s="34"/>
      <c r="AJ874" s="34"/>
      <c r="AK874" s="34"/>
      <c r="AL874" s="34"/>
      <c r="AM874" s="34"/>
      <c r="AN874" s="34"/>
      <c r="AO874" s="34"/>
      <c r="AP874" s="34"/>
      <c r="AQ874" s="34"/>
      <c r="AR874" s="34"/>
      <c r="AS874" s="34"/>
      <c r="AT874" s="34"/>
      <c r="AU874" s="34"/>
      <c r="AV874" s="34"/>
      <c r="AW874" s="34"/>
      <c r="AX874" s="34"/>
      <c r="AY874" s="34"/>
      <c r="AZ874" s="34"/>
      <c r="BA874" s="34"/>
      <c r="BB874" s="34"/>
      <c r="BD874" s="34"/>
      <c r="BE874" s="34"/>
      <c r="BF874" s="34"/>
      <c r="BG874" s="34"/>
      <c r="BH874" s="34"/>
      <c r="BI874" s="34"/>
      <c r="BJ874" s="34"/>
      <c r="BK874" s="34"/>
      <c r="BL874" s="34"/>
      <c r="BM874" s="34"/>
      <c r="BN874" s="34"/>
      <c r="BO874" s="34"/>
      <c r="BP874" s="34"/>
      <c r="BQ874" s="34"/>
      <c r="BR874" s="34"/>
      <c r="BS874" s="34"/>
      <c r="BT874" s="34"/>
      <c r="BU874" s="34"/>
      <c r="BV874" s="34"/>
      <c r="BW874" s="34"/>
      <c r="BX874" s="34"/>
      <c r="BY874" s="34"/>
    </row>
    <row r="875" spans="1:77" x14ac:dyDescent="0.3">
      <c r="A875" s="39"/>
      <c r="B875" s="42"/>
      <c r="C875" s="42"/>
      <c r="D875" s="75"/>
      <c r="E875" s="75"/>
      <c r="F875" s="76"/>
      <c r="G875" s="47"/>
      <c r="H875" s="47"/>
      <c r="I875" s="75"/>
      <c r="J875" s="76"/>
      <c r="K875" s="76"/>
      <c r="L875" s="75"/>
      <c r="M875" s="49"/>
      <c r="N875" s="76"/>
      <c r="O875" s="49"/>
      <c r="P875" s="77"/>
      <c r="Q875" s="53"/>
      <c r="R875" s="54"/>
      <c r="S875" s="55"/>
      <c r="T875" s="56"/>
      <c r="U875" s="56"/>
      <c r="V875" s="42"/>
      <c r="W875" s="57"/>
      <c r="X875" s="58"/>
      <c r="Y875" s="75"/>
      <c r="Z875" s="59"/>
      <c r="AA875" s="61"/>
      <c r="AB875" s="61"/>
      <c r="AC875" s="61"/>
      <c r="AD875" s="62"/>
      <c r="AE875" s="62"/>
      <c r="AF875" s="34"/>
      <c r="AG875" s="34"/>
      <c r="AH875" s="34"/>
      <c r="AI875" s="34"/>
      <c r="AJ875" s="34"/>
      <c r="AK875" s="34"/>
      <c r="AL875" s="34"/>
      <c r="AM875" s="34"/>
      <c r="AN875" s="34"/>
      <c r="AO875" s="34"/>
      <c r="AP875" s="34"/>
      <c r="AQ875" s="34"/>
      <c r="AR875" s="34"/>
      <c r="AS875" s="34"/>
      <c r="AT875" s="34"/>
      <c r="AU875" s="34"/>
      <c r="AV875" s="34"/>
      <c r="AW875" s="34"/>
      <c r="AX875" s="34"/>
      <c r="AY875" s="34"/>
      <c r="AZ875" s="34"/>
      <c r="BA875" s="34"/>
      <c r="BB875" s="34"/>
      <c r="BD875" s="34"/>
      <c r="BE875" s="34"/>
      <c r="BF875" s="34"/>
      <c r="BG875" s="34"/>
      <c r="BH875" s="34"/>
      <c r="BI875" s="34"/>
      <c r="BJ875" s="34"/>
      <c r="BK875" s="34"/>
      <c r="BL875" s="34"/>
      <c r="BM875" s="34"/>
      <c r="BN875" s="34"/>
      <c r="BO875" s="34"/>
      <c r="BP875" s="34"/>
      <c r="BQ875" s="34"/>
      <c r="BR875" s="34"/>
      <c r="BS875" s="34"/>
      <c r="BT875" s="34"/>
      <c r="BU875" s="34"/>
      <c r="BV875" s="34"/>
      <c r="BW875" s="34"/>
      <c r="BX875" s="34"/>
      <c r="BY875" s="34"/>
    </row>
    <row r="876" spans="1:77" x14ac:dyDescent="0.3">
      <c r="A876" s="39"/>
      <c r="B876" s="42"/>
      <c r="C876" s="42"/>
      <c r="D876" s="75"/>
      <c r="E876" s="75"/>
      <c r="F876" s="76"/>
      <c r="G876" s="47"/>
      <c r="H876" s="47"/>
      <c r="I876" s="75"/>
      <c r="J876" s="76"/>
      <c r="K876" s="76"/>
      <c r="L876" s="75"/>
      <c r="M876" s="49"/>
      <c r="N876" s="76"/>
      <c r="O876" s="49"/>
      <c r="P876" s="77"/>
      <c r="Q876" s="53"/>
      <c r="R876" s="54"/>
      <c r="S876" s="55"/>
      <c r="T876" s="56"/>
      <c r="U876" s="56"/>
      <c r="V876" s="42"/>
      <c r="W876" s="57"/>
      <c r="X876" s="58"/>
      <c r="Y876" s="75"/>
      <c r="Z876" s="59"/>
      <c r="AA876" s="61"/>
      <c r="AB876" s="61"/>
      <c r="AC876" s="61"/>
      <c r="AD876" s="62"/>
      <c r="AE876" s="62"/>
      <c r="AF876" s="34"/>
      <c r="AG876" s="34"/>
      <c r="AH876" s="34"/>
      <c r="AI876" s="34"/>
      <c r="AJ876" s="34"/>
      <c r="AK876" s="34"/>
      <c r="AL876" s="34"/>
      <c r="AM876" s="34"/>
      <c r="AN876" s="34"/>
      <c r="AO876" s="34"/>
      <c r="AP876" s="34"/>
      <c r="AQ876" s="34"/>
      <c r="AR876" s="34"/>
      <c r="AS876" s="34"/>
      <c r="AT876" s="34"/>
      <c r="AU876" s="34"/>
      <c r="AV876" s="34"/>
      <c r="AW876" s="34"/>
      <c r="AX876" s="34"/>
      <c r="AY876" s="34"/>
      <c r="AZ876" s="34"/>
      <c r="BA876" s="34"/>
      <c r="BB876" s="34"/>
      <c r="BD876" s="34"/>
      <c r="BE876" s="34"/>
      <c r="BF876" s="34"/>
      <c r="BG876" s="34"/>
      <c r="BH876" s="34"/>
      <c r="BI876" s="34"/>
      <c r="BJ876" s="34"/>
      <c r="BK876" s="34"/>
      <c r="BL876" s="34"/>
      <c r="BM876" s="34"/>
      <c r="BN876" s="34"/>
      <c r="BO876" s="34"/>
      <c r="BP876" s="34"/>
      <c r="BQ876" s="34"/>
      <c r="BR876" s="34"/>
      <c r="BS876" s="34"/>
      <c r="BT876" s="34"/>
      <c r="BU876" s="34"/>
      <c r="BV876" s="34"/>
      <c r="BW876" s="34"/>
      <c r="BX876" s="34"/>
      <c r="BY876" s="34"/>
    </row>
    <row r="877" spans="1:77" x14ac:dyDescent="0.3">
      <c r="A877" s="39"/>
      <c r="B877" s="42"/>
      <c r="C877" s="42"/>
      <c r="D877" s="75"/>
      <c r="E877" s="75"/>
      <c r="F877" s="76"/>
      <c r="G877" s="47"/>
      <c r="H877" s="47"/>
      <c r="I877" s="75"/>
      <c r="J877" s="76"/>
      <c r="K877" s="76"/>
      <c r="L877" s="75"/>
      <c r="M877" s="49"/>
      <c r="N877" s="76"/>
      <c r="O877" s="49"/>
      <c r="P877" s="77"/>
      <c r="Q877" s="53"/>
      <c r="R877" s="54"/>
      <c r="S877" s="55"/>
      <c r="T877" s="56"/>
      <c r="U877" s="56"/>
      <c r="V877" s="42"/>
      <c r="W877" s="57"/>
      <c r="X877" s="58"/>
      <c r="Y877" s="75"/>
      <c r="Z877" s="59"/>
      <c r="AA877" s="61"/>
      <c r="AB877" s="61"/>
      <c r="AC877" s="61"/>
      <c r="AD877" s="62"/>
      <c r="AE877" s="62"/>
      <c r="AF877" s="34"/>
      <c r="AG877" s="34"/>
      <c r="AH877" s="34"/>
      <c r="AI877" s="34"/>
      <c r="AJ877" s="34"/>
      <c r="AK877" s="34"/>
      <c r="AL877" s="34"/>
      <c r="AM877" s="34"/>
      <c r="AN877" s="34"/>
      <c r="AO877" s="34"/>
      <c r="AP877" s="34"/>
      <c r="AQ877" s="34"/>
      <c r="AR877" s="34"/>
      <c r="AS877" s="34"/>
      <c r="AT877" s="34"/>
      <c r="AU877" s="34"/>
      <c r="AV877" s="34"/>
      <c r="AW877" s="34"/>
      <c r="AX877" s="34"/>
      <c r="AY877" s="34"/>
      <c r="AZ877" s="34"/>
      <c r="BA877" s="34"/>
      <c r="BB877" s="34"/>
      <c r="BD877" s="34"/>
      <c r="BE877" s="34"/>
      <c r="BF877" s="34"/>
      <c r="BG877" s="34"/>
      <c r="BH877" s="34"/>
      <c r="BI877" s="34"/>
      <c r="BJ877" s="34"/>
      <c r="BK877" s="34"/>
      <c r="BL877" s="34"/>
      <c r="BM877" s="34"/>
      <c r="BN877" s="34"/>
      <c r="BO877" s="34"/>
      <c r="BP877" s="34"/>
      <c r="BQ877" s="34"/>
      <c r="BR877" s="34"/>
      <c r="BS877" s="34"/>
      <c r="BT877" s="34"/>
      <c r="BU877" s="34"/>
      <c r="BV877" s="34"/>
      <c r="BW877" s="34"/>
      <c r="BX877" s="34"/>
      <c r="BY877" s="34"/>
    </row>
    <row r="878" spans="1:77" x14ac:dyDescent="0.3">
      <c r="A878" s="39"/>
      <c r="B878" s="42"/>
      <c r="C878" s="42"/>
      <c r="D878" s="75"/>
      <c r="E878" s="75"/>
      <c r="F878" s="76"/>
      <c r="G878" s="47"/>
      <c r="H878" s="47"/>
      <c r="I878" s="75"/>
      <c r="J878" s="76"/>
      <c r="K878" s="76"/>
      <c r="L878" s="75"/>
      <c r="M878" s="49"/>
      <c r="N878" s="76"/>
      <c r="O878" s="49"/>
      <c r="P878" s="77"/>
      <c r="Q878" s="53"/>
      <c r="R878" s="54"/>
      <c r="S878" s="55"/>
      <c r="T878" s="56"/>
      <c r="U878" s="56"/>
      <c r="V878" s="42"/>
      <c r="W878" s="57"/>
      <c r="X878" s="58"/>
      <c r="Y878" s="75"/>
      <c r="Z878" s="59"/>
      <c r="AA878" s="61"/>
      <c r="AB878" s="61"/>
      <c r="AC878" s="61"/>
      <c r="AD878" s="62"/>
      <c r="AE878" s="62"/>
      <c r="AF878" s="34"/>
      <c r="AG878" s="34"/>
      <c r="AH878" s="34"/>
      <c r="AI878" s="34"/>
      <c r="AJ878" s="34"/>
      <c r="AK878" s="34"/>
      <c r="AL878" s="34"/>
      <c r="AM878" s="34"/>
      <c r="AN878" s="34"/>
      <c r="AO878" s="34"/>
      <c r="AP878" s="34"/>
      <c r="AQ878" s="34"/>
      <c r="AR878" s="34"/>
      <c r="AS878" s="34"/>
      <c r="AT878" s="34"/>
      <c r="AU878" s="34"/>
      <c r="AV878" s="34"/>
      <c r="AW878" s="34"/>
      <c r="AX878" s="34"/>
      <c r="AY878" s="34"/>
      <c r="AZ878" s="34"/>
      <c r="BA878" s="34"/>
      <c r="BB878" s="34"/>
      <c r="BD878" s="34"/>
      <c r="BE878" s="34"/>
      <c r="BF878" s="34"/>
      <c r="BG878" s="34"/>
      <c r="BH878" s="34"/>
      <c r="BI878" s="34"/>
      <c r="BJ878" s="34"/>
      <c r="BK878" s="34"/>
      <c r="BL878" s="34"/>
      <c r="BM878" s="34"/>
      <c r="BN878" s="34"/>
      <c r="BO878" s="34"/>
      <c r="BP878" s="34"/>
      <c r="BQ878" s="34"/>
      <c r="BR878" s="34"/>
      <c r="BS878" s="34"/>
      <c r="BT878" s="34"/>
      <c r="BU878" s="34"/>
      <c r="BV878" s="34"/>
      <c r="BW878" s="34"/>
      <c r="BX878" s="34"/>
      <c r="BY878" s="34"/>
    </row>
    <row r="879" spans="1:77" x14ac:dyDescent="0.3">
      <c r="A879" s="39"/>
      <c r="B879" s="42"/>
      <c r="C879" s="42"/>
      <c r="D879" s="75"/>
      <c r="E879" s="75"/>
      <c r="F879" s="76"/>
      <c r="G879" s="47"/>
      <c r="H879" s="47"/>
      <c r="I879" s="75"/>
      <c r="J879" s="76"/>
      <c r="K879" s="76"/>
      <c r="L879" s="75"/>
      <c r="M879" s="49"/>
      <c r="N879" s="76"/>
      <c r="O879" s="49"/>
      <c r="P879" s="77"/>
      <c r="Q879" s="53"/>
      <c r="R879" s="54"/>
      <c r="S879" s="55"/>
      <c r="T879" s="56"/>
      <c r="U879" s="56"/>
      <c r="V879" s="42"/>
      <c r="W879" s="57"/>
      <c r="X879" s="58"/>
      <c r="Y879" s="75"/>
      <c r="Z879" s="59"/>
      <c r="AA879" s="61"/>
      <c r="AB879" s="61"/>
      <c r="AC879" s="61"/>
      <c r="AD879" s="62"/>
      <c r="AE879" s="62"/>
      <c r="AF879" s="34"/>
      <c r="AG879" s="34"/>
      <c r="AH879" s="34"/>
      <c r="AI879" s="34"/>
      <c r="AJ879" s="34"/>
      <c r="AK879" s="34"/>
      <c r="AL879" s="34"/>
      <c r="AM879" s="34"/>
      <c r="AN879" s="34"/>
      <c r="AO879" s="34"/>
      <c r="AP879" s="34"/>
      <c r="AQ879" s="34"/>
      <c r="AR879" s="34"/>
      <c r="AS879" s="34"/>
      <c r="AT879" s="34"/>
      <c r="AU879" s="34"/>
      <c r="AV879" s="34"/>
      <c r="AW879" s="34"/>
      <c r="AX879" s="34"/>
      <c r="AY879" s="34"/>
      <c r="AZ879" s="34"/>
      <c r="BA879" s="34"/>
      <c r="BB879" s="34"/>
      <c r="BD879" s="34"/>
      <c r="BE879" s="34"/>
      <c r="BF879" s="34"/>
      <c r="BG879" s="34"/>
      <c r="BH879" s="34"/>
      <c r="BI879" s="34"/>
      <c r="BJ879" s="34"/>
      <c r="BK879" s="34"/>
      <c r="BL879" s="34"/>
      <c r="BM879" s="34"/>
      <c r="BN879" s="34"/>
      <c r="BO879" s="34"/>
      <c r="BP879" s="34"/>
      <c r="BQ879" s="34"/>
      <c r="BR879" s="34"/>
      <c r="BS879" s="34"/>
      <c r="BT879" s="34"/>
      <c r="BU879" s="34"/>
      <c r="BV879" s="34"/>
      <c r="BW879" s="34"/>
      <c r="BX879" s="34"/>
      <c r="BY879" s="34"/>
    </row>
    <row r="880" spans="1:77" x14ac:dyDescent="0.3">
      <c r="A880" s="39"/>
      <c r="B880" s="42"/>
      <c r="C880" s="42"/>
      <c r="D880" s="75"/>
      <c r="E880" s="75"/>
      <c r="F880" s="76"/>
      <c r="G880" s="47"/>
      <c r="H880" s="47"/>
      <c r="I880" s="75"/>
      <c r="J880" s="76"/>
      <c r="K880" s="76"/>
      <c r="L880" s="75"/>
      <c r="M880" s="49"/>
      <c r="N880" s="76"/>
      <c r="O880" s="49"/>
      <c r="P880" s="77"/>
      <c r="Q880" s="53"/>
      <c r="R880" s="54"/>
      <c r="S880" s="55"/>
      <c r="T880" s="56"/>
      <c r="U880" s="56"/>
      <c r="V880" s="42"/>
      <c r="W880" s="57"/>
      <c r="X880" s="58"/>
      <c r="Y880" s="75"/>
      <c r="Z880" s="59"/>
      <c r="AA880" s="61"/>
      <c r="AB880" s="61"/>
      <c r="AC880" s="61"/>
      <c r="AD880" s="62"/>
      <c r="AE880" s="62"/>
      <c r="AF880" s="34"/>
      <c r="AG880" s="34"/>
      <c r="AH880" s="34"/>
      <c r="AI880" s="34"/>
      <c r="AJ880" s="34"/>
      <c r="AK880" s="34"/>
      <c r="AL880" s="34"/>
      <c r="AM880" s="34"/>
      <c r="AN880" s="34"/>
      <c r="AO880" s="34"/>
      <c r="AP880" s="34"/>
      <c r="AQ880" s="34"/>
      <c r="AR880" s="34"/>
      <c r="AS880" s="34"/>
      <c r="AT880" s="34"/>
      <c r="AU880" s="34"/>
      <c r="AV880" s="34"/>
      <c r="AW880" s="34"/>
      <c r="AX880" s="34"/>
      <c r="AY880" s="34"/>
      <c r="AZ880" s="34"/>
      <c r="BA880" s="34"/>
      <c r="BB880" s="34"/>
      <c r="BD880" s="34"/>
      <c r="BE880" s="34"/>
      <c r="BF880" s="34"/>
      <c r="BG880" s="34"/>
      <c r="BH880" s="34"/>
      <c r="BI880" s="34"/>
      <c r="BJ880" s="34"/>
      <c r="BK880" s="34"/>
      <c r="BL880" s="34"/>
      <c r="BM880" s="34"/>
      <c r="BN880" s="34"/>
      <c r="BO880" s="34"/>
      <c r="BP880" s="34"/>
      <c r="BQ880" s="34"/>
      <c r="BR880" s="34"/>
      <c r="BS880" s="34"/>
      <c r="BT880" s="34"/>
      <c r="BU880" s="34"/>
      <c r="BV880" s="34"/>
      <c r="BW880" s="34"/>
      <c r="BX880" s="34"/>
      <c r="BY880" s="34"/>
    </row>
    <row r="881" spans="1:77" x14ac:dyDescent="0.3">
      <c r="A881" s="39"/>
      <c r="B881" s="42"/>
      <c r="C881" s="42"/>
      <c r="D881" s="75"/>
      <c r="E881" s="75"/>
      <c r="F881" s="76"/>
      <c r="G881" s="47"/>
      <c r="H881" s="47"/>
      <c r="I881" s="75"/>
      <c r="J881" s="76"/>
      <c r="K881" s="76"/>
      <c r="L881" s="75"/>
      <c r="M881" s="49"/>
      <c r="N881" s="76"/>
      <c r="O881" s="49"/>
      <c r="P881" s="77"/>
      <c r="Q881" s="53"/>
      <c r="R881" s="54"/>
      <c r="S881" s="55"/>
      <c r="T881" s="56"/>
      <c r="U881" s="56"/>
      <c r="V881" s="42"/>
      <c r="W881" s="57"/>
      <c r="X881" s="58"/>
      <c r="Y881" s="75"/>
      <c r="Z881" s="59"/>
      <c r="AA881" s="61"/>
      <c r="AB881" s="61"/>
      <c r="AC881" s="61"/>
      <c r="AD881" s="62"/>
      <c r="AE881" s="62"/>
      <c r="AF881" s="34"/>
      <c r="AG881" s="34"/>
      <c r="AH881" s="34"/>
      <c r="AI881" s="34"/>
      <c r="AJ881" s="34"/>
      <c r="AK881" s="34"/>
      <c r="AL881" s="34"/>
      <c r="AM881" s="34"/>
      <c r="AN881" s="34"/>
      <c r="AO881" s="34"/>
      <c r="AP881" s="34"/>
      <c r="AQ881" s="34"/>
      <c r="AR881" s="34"/>
      <c r="AS881" s="34"/>
      <c r="AT881" s="34"/>
      <c r="AU881" s="34"/>
      <c r="AV881" s="34"/>
      <c r="AW881" s="34"/>
      <c r="AX881" s="34"/>
      <c r="AY881" s="34"/>
      <c r="AZ881" s="34"/>
      <c r="BA881" s="34"/>
      <c r="BB881" s="34"/>
      <c r="BD881" s="34"/>
      <c r="BE881" s="34"/>
      <c r="BF881" s="34"/>
      <c r="BG881" s="34"/>
      <c r="BH881" s="34"/>
      <c r="BI881" s="34"/>
      <c r="BJ881" s="34"/>
      <c r="BK881" s="34"/>
      <c r="BL881" s="34"/>
      <c r="BM881" s="34"/>
      <c r="BN881" s="34"/>
      <c r="BO881" s="34"/>
      <c r="BP881" s="34"/>
      <c r="BQ881" s="34"/>
      <c r="BR881" s="34"/>
      <c r="BS881" s="34"/>
      <c r="BT881" s="34"/>
      <c r="BU881" s="34"/>
      <c r="BV881" s="34"/>
      <c r="BW881" s="34"/>
      <c r="BX881" s="34"/>
      <c r="BY881" s="34"/>
    </row>
    <row r="882" spans="1:77" x14ac:dyDescent="0.3">
      <c r="A882" s="39"/>
      <c r="B882" s="42"/>
      <c r="C882" s="42"/>
      <c r="D882" s="75"/>
      <c r="E882" s="75"/>
      <c r="F882" s="76"/>
      <c r="G882" s="47"/>
      <c r="H882" s="47"/>
      <c r="I882" s="75"/>
      <c r="J882" s="76"/>
      <c r="K882" s="76"/>
      <c r="L882" s="75"/>
      <c r="M882" s="49"/>
      <c r="N882" s="76"/>
      <c r="O882" s="49"/>
      <c r="P882" s="77"/>
      <c r="Q882" s="53"/>
      <c r="R882" s="54"/>
      <c r="S882" s="55"/>
      <c r="T882" s="56"/>
      <c r="U882" s="56"/>
      <c r="V882" s="42"/>
      <c r="W882" s="57"/>
      <c r="X882" s="58"/>
      <c r="Y882" s="75"/>
      <c r="Z882" s="59"/>
      <c r="AA882" s="61"/>
      <c r="AB882" s="61"/>
      <c r="AC882" s="61"/>
      <c r="AD882" s="62"/>
      <c r="AE882" s="62"/>
      <c r="AF882" s="34"/>
      <c r="AG882" s="34"/>
      <c r="AH882" s="34"/>
      <c r="AI882" s="34"/>
      <c r="AJ882" s="34"/>
      <c r="AK882" s="34"/>
      <c r="AL882" s="34"/>
      <c r="AM882" s="34"/>
      <c r="AN882" s="34"/>
      <c r="AO882" s="34"/>
      <c r="AP882" s="34"/>
      <c r="AQ882" s="34"/>
      <c r="AR882" s="34"/>
      <c r="AS882" s="34"/>
      <c r="AT882" s="34"/>
      <c r="AU882" s="34"/>
      <c r="AV882" s="34"/>
      <c r="AW882" s="34"/>
      <c r="AX882" s="34"/>
      <c r="AY882" s="34"/>
      <c r="AZ882" s="34"/>
      <c r="BA882" s="34"/>
      <c r="BB882" s="34"/>
      <c r="BD882" s="34"/>
      <c r="BE882" s="34"/>
      <c r="BF882" s="34"/>
      <c r="BG882" s="34"/>
      <c r="BH882" s="34"/>
      <c r="BI882" s="34"/>
      <c r="BJ882" s="34"/>
      <c r="BK882" s="34"/>
      <c r="BL882" s="34"/>
      <c r="BM882" s="34"/>
      <c r="BN882" s="34"/>
      <c r="BO882" s="34"/>
      <c r="BP882" s="34"/>
      <c r="BQ882" s="34"/>
      <c r="BR882" s="34"/>
      <c r="BS882" s="34"/>
      <c r="BT882" s="34"/>
      <c r="BU882" s="34"/>
      <c r="BV882" s="34"/>
      <c r="BW882" s="34"/>
      <c r="BX882" s="34"/>
      <c r="BY882" s="34"/>
    </row>
    <row r="883" spans="1:77" x14ac:dyDescent="0.3">
      <c r="A883" s="39"/>
      <c r="B883" s="42"/>
      <c r="C883" s="42"/>
      <c r="D883" s="75"/>
      <c r="E883" s="75"/>
      <c r="F883" s="76"/>
      <c r="G883" s="47"/>
      <c r="H883" s="47"/>
      <c r="I883" s="75"/>
      <c r="J883" s="76"/>
      <c r="K883" s="76"/>
      <c r="L883" s="75"/>
      <c r="M883" s="49"/>
      <c r="N883" s="76"/>
      <c r="O883" s="49"/>
      <c r="P883" s="77"/>
      <c r="Q883" s="53"/>
      <c r="R883" s="54"/>
      <c r="S883" s="55"/>
      <c r="T883" s="56"/>
      <c r="U883" s="56"/>
      <c r="V883" s="42"/>
      <c r="W883" s="57"/>
      <c r="X883" s="58"/>
      <c r="Y883" s="75"/>
      <c r="Z883" s="59"/>
      <c r="AA883" s="61"/>
      <c r="AB883" s="61"/>
      <c r="AC883" s="61"/>
      <c r="AD883" s="62"/>
      <c r="AE883" s="62"/>
      <c r="AF883" s="34"/>
      <c r="AG883" s="34"/>
      <c r="AH883" s="34"/>
      <c r="AI883" s="34"/>
      <c r="AJ883" s="34"/>
      <c r="AK883" s="34"/>
      <c r="AL883" s="34"/>
      <c r="AM883" s="34"/>
      <c r="AN883" s="34"/>
      <c r="AO883" s="34"/>
      <c r="AP883" s="34"/>
      <c r="AQ883" s="34"/>
      <c r="AR883" s="34"/>
      <c r="AS883" s="34"/>
      <c r="AT883" s="34"/>
      <c r="AU883" s="34"/>
      <c r="AV883" s="34"/>
      <c r="AW883" s="34"/>
      <c r="AX883" s="34"/>
      <c r="AY883" s="34"/>
      <c r="AZ883" s="34"/>
      <c r="BA883" s="34"/>
      <c r="BB883" s="34"/>
      <c r="BD883" s="34"/>
      <c r="BE883" s="34"/>
      <c r="BF883" s="34"/>
      <c r="BG883" s="34"/>
      <c r="BH883" s="34"/>
      <c r="BI883" s="34"/>
      <c r="BJ883" s="34"/>
      <c r="BK883" s="34"/>
      <c r="BL883" s="34"/>
      <c r="BM883" s="34"/>
      <c r="BN883" s="34"/>
      <c r="BO883" s="34"/>
      <c r="BP883" s="34"/>
      <c r="BQ883" s="34"/>
      <c r="BR883" s="34"/>
      <c r="BS883" s="34"/>
      <c r="BT883" s="34"/>
      <c r="BU883" s="34"/>
      <c r="BV883" s="34"/>
      <c r="BW883" s="34"/>
      <c r="BX883" s="34"/>
      <c r="BY883" s="34"/>
    </row>
    <row r="884" spans="1:77" x14ac:dyDescent="0.3">
      <c r="A884" s="39"/>
      <c r="B884" s="42"/>
      <c r="C884" s="42"/>
      <c r="D884" s="75"/>
      <c r="E884" s="75"/>
      <c r="F884" s="76"/>
      <c r="G884" s="47"/>
      <c r="H884" s="47"/>
      <c r="I884" s="75"/>
      <c r="J884" s="76"/>
      <c r="K884" s="76"/>
      <c r="L884" s="75"/>
      <c r="M884" s="49"/>
      <c r="N884" s="76"/>
      <c r="O884" s="49"/>
      <c r="P884" s="77"/>
      <c r="Q884" s="53"/>
      <c r="R884" s="54"/>
      <c r="S884" s="55"/>
      <c r="T884" s="56"/>
      <c r="U884" s="56"/>
      <c r="V884" s="42"/>
      <c r="W884" s="57"/>
      <c r="X884" s="58"/>
      <c r="Y884" s="75"/>
      <c r="Z884" s="59"/>
      <c r="AA884" s="61"/>
      <c r="AB884" s="61"/>
      <c r="AC884" s="61"/>
      <c r="AD884" s="62"/>
      <c r="AE884" s="62"/>
      <c r="AF884" s="34"/>
      <c r="AG884" s="34"/>
      <c r="AH884" s="34"/>
      <c r="AI884" s="34"/>
      <c r="AJ884" s="34"/>
      <c r="AK884" s="34"/>
      <c r="AL884" s="34"/>
      <c r="AM884" s="34"/>
      <c r="AN884" s="34"/>
      <c r="AO884" s="34"/>
      <c r="AP884" s="34"/>
      <c r="AQ884" s="34"/>
      <c r="AR884" s="34"/>
      <c r="AS884" s="34"/>
      <c r="AT884" s="34"/>
      <c r="AU884" s="34"/>
      <c r="AV884" s="34"/>
      <c r="AW884" s="34"/>
      <c r="AX884" s="34"/>
      <c r="AY884" s="34"/>
      <c r="AZ884" s="34"/>
      <c r="BA884" s="34"/>
      <c r="BB884" s="34"/>
      <c r="BD884" s="34"/>
      <c r="BE884" s="34"/>
      <c r="BF884" s="34"/>
      <c r="BG884" s="34"/>
      <c r="BH884" s="34"/>
      <c r="BI884" s="34"/>
      <c r="BJ884" s="34"/>
      <c r="BK884" s="34"/>
      <c r="BL884" s="34"/>
      <c r="BM884" s="34"/>
      <c r="BN884" s="34"/>
      <c r="BO884" s="34"/>
      <c r="BP884" s="34"/>
      <c r="BQ884" s="34"/>
      <c r="BR884" s="34"/>
      <c r="BS884" s="34"/>
      <c r="BT884" s="34"/>
      <c r="BU884" s="34"/>
      <c r="BV884" s="34"/>
      <c r="BW884" s="34"/>
      <c r="BX884" s="34"/>
      <c r="BY884" s="34"/>
    </row>
    <row r="885" spans="1:77" x14ac:dyDescent="0.3">
      <c r="A885" s="39"/>
      <c r="B885" s="42"/>
      <c r="C885" s="42"/>
      <c r="D885" s="75"/>
      <c r="E885" s="75"/>
      <c r="F885" s="76"/>
      <c r="G885" s="47"/>
      <c r="H885" s="47"/>
      <c r="I885" s="75"/>
      <c r="J885" s="76"/>
      <c r="K885" s="76"/>
      <c r="L885" s="75"/>
      <c r="M885" s="49"/>
      <c r="N885" s="76"/>
      <c r="O885" s="49"/>
      <c r="P885" s="77"/>
      <c r="Q885" s="53"/>
      <c r="R885" s="54"/>
      <c r="S885" s="55"/>
      <c r="T885" s="56"/>
      <c r="U885" s="56"/>
      <c r="V885" s="42"/>
      <c r="W885" s="57"/>
      <c r="X885" s="58"/>
      <c r="Y885" s="75"/>
      <c r="Z885" s="59"/>
      <c r="AA885" s="61"/>
      <c r="AB885" s="61"/>
      <c r="AC885" s="61"/>
      <c r="AD885" s="62"/>
      <c r="AE885" s="62"/>
      <c r="AF885" s="34"/>
      <c r="AG885" s="34"/>
      <c r="AH885" s="34"/>
      <c r="AI885" s="34"/>
      <c r="AJ885" s="34"/>
      <c r="AK885" s="34"/>
      <c r="AL885" s="34"/>
      <c r="AM885" s="34"/>
      <c r="AN885" s="34"/>
      <c r="AO885" s="34"/>
      <c r="AP885" s="34"/>
      <c r="AQ885" s="34"/>
      <c r="AR885" s="34"/>
      <c r="AS885" s="34"/>
      <c r="AT885" s="34"/>
      <c r="AU885" s="34"/>
      <c r="AV885" s="34"/>
      <c r="AW885" s="34"/>
      <c r="AX885" s="34"/>
      <c r="AY885" s="34"/>
      <c r="AZ885" s="34"/>
      <c r="BA885" s="34"/>
      <c r="BB885" s="34"/>
      <c r="BD885" s="34"/>
      <c r="BE885" s="34"/>
      <c r="BF885" s="34"/>
      <c r="BG885" s="34"/>
      <c r="BH885" s="34"/>
      <c r="BI885" s="34"/>
      <c r="BJ885" s="34"/>
      <c r="BK885" s="34"/>
      <c r="BL885" s="34"/>
      <c r="BM885" s="34"/>
      <c r="BN885" s="34"/>
      <c r="BO885" s="34"/>
      <c r="BP885" s="34"/>
      <c r="BQ885" s="34"/>
      <c r="BR885" s="34"/>
      <c r="BS885" s="34"/>
      <c r="BT885" s="34"/>
      <c r="BU885" s="34"/>
      <c r="BV885" s="34"/>
      <c r="BW885" s="34"/>
      <c r="BX885" s="34"/>
      <c r="BY885" s="34"/>
    </row>
    <row r="886" spans="1:77" x14ac:dyDescent="0.3">
      <c r="A886" s="39"/>
      <c r="B886" s="42"/>
      <c r="C886" s="42"/>
      <c r="D886" s="75"/>
      <c r="E886" s="75"/>
      <c r="F886" s="76"/>
      <c r="G886" s="47"/>
      <c r="H886" s="47"/>
      <c r="I886" s="75"/>
      <c r="J886" s="76"/>
      <c r="K886" s="76"/>
      <c r="L886" s="75"/>
      <c r="M886" s="49"/>
      <c r="N886" s="76"/>
      <c r="O886" s="49"/>
      <c r="P886" s="77"/>
      <c r="Q886" s="53"/>
      <c r="R886" s="54"/>
      <c r="S886" s="55"/>
      <c r="T886" s="56"/>
      <c r="U886" s="56"/>
      <c r="V886" s="42"/>
      <c r="W886" s="57"/>
      <c r="X886" s="58"/>
      <c r="Y886" s="75"/>
      <c r="Z886" s="59"/>
      <c r="AA886" s="61"/>
      <c r="AB886" s="61"/>
      <c r="AC886" s="61"/>
      <c r="AD886" s="62"/>
      <c r="AE886" s="62"/>
      <c r="AF886" s="34"/>
      <c r="AG886" s="34"/>
      <c r="AH886" s="34"/>
      <c r="AI886" s="34"/>
      <c r="AJ886" s="34"/>
      <c r="AK886" s="34"/>
      <c r="AL886" s="34"/>
      <c r="AM886" s="34"/>
      <c r="AN886" s="34"/>
      <c r="AO886" s="34"/>
      <c r="AP886" s="34"/>
      <c r="AQ886" s="34"/>
      <c r="AR886" s="34"/>
      <c r="AS886" s="34"/>
      <c r="AT886" s="34"/>
      <c r="AU886" s="34"/>
      <c r="AV886" s="34"/>
      <c r="AW886" s="34"/>
      <c r="AX886" s="34"/>
      <c r="AY886" s="34"/>
      <c r="AZ886" s="34"/>
      <c r="BA886" s="34"/>
      <c r="BB886" s="34"/>
      <c r="BD886" s="34"/>
      <c r="BE886" s="34"/>
      <c r="BF886" s="34"/>
      <c r="BG886" s="34"/>
      <c r="BH886" s="34"/>
      <c r="BI886" s="34"/>
      <c r="BJ886" s="34"/>
      <c r="BK886" s="34"/>
      <c r="BL886" s="34"/>
      <c r="BM886" s="34"/>
      <c r="BN886" s="34"/>
      <c r="BO886" s="34"/>
      <c r="BP886" s="34"/>
      <c r="BQ886" s="34"/>
      <c r="BR886" s="34"/>
      <c r="BS886" s="34"/>
      <c r="BT886" s="34"/>
      <c r="BU886" s="34"/>
      <c r="BV886" s="34"/>
      <c r="BW886" s="34"/>
      <c r="BX886" s="34"/>
      <c r="BY886" s="34"/>
    </row>
    <row r="887" spans="1:77" x14ac:dyDescent="0.3">
      <c r="A887" s="39"/>
      <c r="B887" s="42"/>
      <c r="C887" s="42"/>
      <c r="D887" s="75"/>
      <c r="E887" s="75"/>
      <c r="F887" s="76"/>
      <c r="G887" s="47"/>
      <c r="H887" s="47"/>
      <c r="I887" s="75"/>
      <c r="J887" s="76"/>
      <c r="K887" s="76"/>
      <c r="L887" s="75"/>
      <c r="M887" s="49"/>
      <c r="N887" s="76"/>
      <c r="O887" s="49"/>
      <c r="P887" s="77"/>
      <c r="Q887" s="53"/>
      <c r="R887" s="54"/>
      <c r="S887" s="55"/>
      <c r="T887" s="56"/>
      <c r="U887" s="56"/>
      <c r="V887" s="42"/>
      <c r="W887" s="57"/>
      <c r="X887" s="58"/>
      <c r="Y887" s="75"/>
      <c r="Z887" s="59"/>
      <c r="AA887" s="61"/>
      <c r="AB887" s="61"/>
      <c r="AC887" s="61"/>
      <c r="AD887" s="62"/>
      <c r="AE887" s="62"/>
      <c r="AF887" s="34"/>
      <c r="AG887" s="34"/>
      <c r="AH887" s="34"/>
      <c r="AI887" s="34"/>
      <c r="AJ887" s="34"/>
      <c r="AK887" s="34"/>
      <c r="AL887" s="34"/>
      <c r="AM887" s="34"/>
      <c r="AN887" s="34"/>
      <c r="AO887" s="34"/>
      <c r="AP887" s="34"/>
      <c r="AQ887" s="34"/>
      <c r="AR887" s="34"/>
      <c r="AS887" s="34"/>
      <c r="AT887" s="34"/>
      <c r="AU887" s="34"/>
      <c r="AV887" s="34"/>
      <c r="AW887" s="34"/>
      <c r="AX887" s="34"/>
      <c r="AY887" s="34"/>
      <c r="AZ887" s="34"/>
      <c r="BA887" s="34"/>
      <c r="BB887" s="34"/>
      <c r="BD887" s="34"/>
      <c r="BE887" s="34"/>
      <c r="BF887" s="34"/>
      <c r="BG887" s="34"/>
      <c r="BH887" s="34"/>
      <c r="BI887" s="34"/>
      <c r="BJ887" s="34"/>
      <c r="BK887" s="34"/>
      <c r="BL887" s="34"/>
      <c r="BM887" s="34"/>
      <c r="BN887" s="34"/>
      <c r="BO887" s="34"/>
      <c r="BP887" s="34"/>
      <c r="BQ887" s="34"/>
      <c r="BR887" s="34"/>
      <c r="BS887" s="34"/>
      <c r="BT887" s="34"/>
      <c r="BU887" s="34"/>
      <c r="BV887" s="34"/>
      <c r="BW887" s="34"/>
      <c r="BX887" s="34"/>
      <c r="BY887" s="34"/>
    </row>
    <row r="888" spans="1:77" x14ac:dyDescent="0.3">
      <c r="A888" s="39"/>
      <c r="B888" s="42"/>
      <c r="C888" s="42"/>
      <c r="D888" s="75"/>
      <c r="E888" s="75"/>
      <c r="F888" s="76"/>
      <c r="G888" s="47"/>
      <c r="H888" s="47"/>
      <c r="I888" s="75"/>
      <c r="J888" s="76"/>
      <c r="K888" s="76"/>
      <c r="L888" s="75"/>
      <c r="M888" s="49"/>
      <c r="N888" s="76"/>
      <c r="O888" s="49"/>
      <c r="P888" s="77"/>
      <c r="Q888" s="53"/>
      <c r="R888" s="54"/>
      <c r="S888" s="55"/>
      <c r="T888" s="56"/>
      <c r="U888" s="56"/>
      <c r="V888" s="42"/>
      <c r="W888" s="57"/>
      <c r="X888" s="58"/>
      <c r="Y888" s="75"/>
      <c r="Z888" s="59"/>
      <c r="AA888" s="61"/>
      <c r="AB888" s="61"/>
      <c r="AC888" s="61"/>
      <c r="AD888" s="62"/>
      <c r="AE888" s="62"/>
      <c r="AF888" s="34"/>
      <c r="AG888" s="34"/>
      <c r="AH888" s="34"/>
      <c r="AI888" s="34"/>
      <c r="AJ888" s="34"/>
      <c r="AK888" s="34"/>
      <c r="AL888" s="34"/>
      <c r="AM888" s="34"/>
      <c r="AN888" s="34"/>
      <c r="AO888" s="34"/>
      <c r="AP888" s="34"/>
      <c r="AQ888" s="34"/>
      <c r="AR888" s="34"/>
      <c r="AS888" s="34"/>
      <c r="AT888" s="34"/>
      <c r="AU888" s="34"/>
      <c r="AV888" s="34"/>
      <c r="AW888" s="34"/>
      <c r="AX888" s="34"/>
      <c r="AY888" s="34"/>
      <c r="AZ888" s="34"/>
      <c r="BA888" s="34"/>
      <c r="BB888" s="34"/>
      <c r="BD888" s="34"/>
      <c r="BE888" s="34"/>
      <c r="BF888" s="34"/>
      <c r="BG888" s="34"/>
      <c r="BH888" s="34"/>
      <c r="BI888" s="34"/>
      <c r="BJ888" s="34"/>
      <c r="BK888" s="34"/>
      <c r="BL888" s="34"/>
      <c r="BM888" s="34"/>
      <c r="BN888" s="34"/>
      <c r="BO888" s="34"/>
      <c r="BP888" s="34"/>
      <c r="BQ888" s="34"/>
      <c r="BR888" s="34"/>
      <c r="BS888" s="34"/>
      <c r="BT888" s="34"/>
      <c r="BU888" s="34"/>
      <c r="BV888" s="34"/>
      <c r="BW888" s="34"/>
      <c r="BX888" s="34"/>
      <c r="BY888" s="34"/>
    </row>
    <row r="889" spans="1:77" x14ac:dyDescent="0.3">
      <c r="A889" s="39"/>
      <c r="B889" s="42"/>
      <c r="C889" s="42"/>
      <c r="D889" s="75"/>
      <c r="E889" s="75"/>
      <c r="F889" s="76"/>
      <c r="G889" s="47"/>
      <c r="H889" s="47"/>
      <c r="I889" s="75"/>
      <c r="J889" s="76"/>
      <c r="K889" s="76"/>
      <c r="L889" s="75"/>
      <c r="M889" s="49"/>
      <c r="N889" s="76"/>
      <c r="O889" s="49"/>
      <c r="P889" s="77"/>
      <c r="Q889" s="53"/>
      <c r="R889" s="54"/>
      <c r="S889" s="55"/>
      <c r="T889" s="56"/>
      <c r="U889" s="56"/>
      <c r="V889" s="42"/>
      <c r="W889" s="57"/>
      <c r="X889" s="58"/>
      <c r="Y889" s="75"/>
      <c r="Z889" s="59"/>
      <c r="AA889" s="61"/>
      <c r="AB889" s="61"/>
      <c r="AC889" s="61"/>
      <c r="AD889" s="62"/>
      <c r="AE889" s="62"/>
      <c r="AF889" s="34"/>
      <c r="AG889" s="34"/>
      <c r="AH889" s="34"/>
      <c r="AI889" s="34"/>
      <c r="AJ889" s="34"/>
      <c r="AK889" s="34"/>
      <c r="AL889" s="34"/>
      <c r="AM889" s="34"/>
      <c r="AN889" s="34"/>
      <c r="AO889" s="34"/>
      <c r="AP889" s="34"/>
      <c r="AQ889" s="34"/>
      <c r="AR889" s="34"/>
      <c r="AS889" s="34"/>
      <c r="AT889" s="34"/>
      <c r="AU889" s="34"/>
      <c r="AV889" s="34"/>
      <c r="AW889" s="34"/>
      <c r="AX889" s="34"/>
      <c r="AY889" s="34"/>
      <c r="AZ889" s="34"/>
      <c r="BA889" s="34"/>
      <c r="BB889" s="34"/>
      <c r="BD889" s="34"/>
      <c r="BE889" s="34"/>
      <c r="BF889" s="34"/>
      <c r="BG889" s="34"/>
      <c r="BH889" s="34"/>
      <c r="BI889" s="34"/>
      <c r="BJ889" s="34"/>
      <c r="BK889" s="34"/>
      <c r="BL889" s="34"/>
      <c r="BM889" s="34"/>
      <c r="BN889" s="34"/>
      <c r="BO889" s="34"/>
      <c r="BP889" s="34"/>
      <c r="BQ889" s="34"/>
      <c r="BR889" s="34"/>
      <c r="BS889" s="34"/>
      <c r="BT889" s="34"/>
      <c r="BU889" s="34"/>
      <c r="BV889" s="34"/>
      <c r="BW889" s="34"/>
      <c r="BX889" s="34"/>
      <c r="BY889" s="34"/>
    </row>
    <row r="890" spans="1:77" x14ac:dyDescent="0.3">
      <c r="A890" s="39"/>
      <c r="B890" s="42"/>
      <c r="C890" s="42"/>
      <c r="D890" s="75"/>
      <c r="E890" s="75"/>
      <c r="F890" s="76"/>
      <c r="G890" s="47"/>
      <c r="H890" s="47"/>
      <c r="I890" s="75"/>
      <c r="J890" s="76"/>
      <c r="K890" s="76"/>
      <c r="L890" s="75"/>
      <c r="M890" s="49"/>
      <c r="N890" s="76"/>
      <c r="O890" s="49"/>
      <c r="P890" s="77"/>
      <c r="Q890" s="53"/>
      <c r="R890" s="54"/>
      <c r="S890" s="55"/>
      <c r="T890" s="56"/>
      <c r="U890" s="56"/>
      <c r="V890" s="42"/>
      <c r="W890" s="57"/>
      <c r="X890" s="58"/>
      <c r="Y890" s="75"/>
      <c r="Z890" s="59"/>
      <c r="AA890" s="61"/>
      <c r="AB890" s="61"/>
      <c r="AC890" s="61"/>
      <c r="AD890" s="62"/>
      <c r="AE890" s="62"/>
      <c r="AF890" s="34"/>
      <c r="AG890" s="34"/>
      <c r="AH890" s="34"/>
      <c r="AI890" s="34"/>
      <c r="AJ890" s="34"/>
      <c r="AK890" s="34"/>
      <c r="AL890" s="34"/>
      <c r="AM890" s="34"/>
      <c r="AN890" s="34"/>
      <c r="AO890" s="34"/>
      <c r="AP890" s="34"/>
      <c r="AQ890" s="34"/>
      <c r="AR890" s="34"/>
      <c r="AS890" s="34"/>
      <c r="AT890" s="34"/>
      <c r="AU890" s="34"/>
      <c r="AV890" s="34"/>
      <c r="AW890" s="34"/>
      <c r="AX890" s="34"/>
      <c r="AY890" s="34"/>
      <c r="AZ890" s="34"/>
      <c r="BA890" s="34"/>
      <c r="BB890" s="34"/>
      <c r="BD890" s="34"/>
      <c r="BE890" s="34"/>
      <c r="BF890" s="34"/>
      <c r="BG890" s="34"/>
      <c r="BH890" s="34"/>
      <c r="BI890" s="34"/>
      <c r="BJ890" s="34"/>
      <c r="BK890" s="34"/>
      <c r="BL890" s="34"/>
      <c r="BM890" s="34"/>
      <c r="BN890" s="34"/>
      <c r="BO890" s="34"/>
      <c r="BP890" s="34"/>
      <c r="BQ890" s="34"/>
      <c r="BR890" s="34"/>
      <c r="BS890" s="34"/>
      <c r="BT890" s="34"/>
      <c r="BU890" s="34"/>
      <c r="BV890" s="34"/>
      <c r="BW890" s="34"/>
      <c r="BX890" s="34"/>
      <c r="BY890" s="34"/>
    </row>
    <row r="891" spans="1:77" x14ac:dyDescent="0.3">
      <c r="A891" s="39"/>
      <c r="B891" s="42"/>
      <c r="C891" s="42"/>
      <c r="D891" s="75"/>
      <c r="E891" s="75"/>
      <c r="F891" s="76"/>
      <c r="G891" s="47"/>
      <c r="H891" s="47"/>
      <c r="I891" s="75"/>
      <c r="J891" s="76"/>
      <c r="K891" s="76"/>
      <c r="L891" s="75"/>
      <c r="M891" s="49"/>
      <c r="N891" s="76"/>
      <c r="O891" s="49"/>
      <c r="P891" s="77"/>
      <c r="Q891" s="53"/>
      <c r="R891" s="54"/>
      <c r="S891" s="55"/>
      <c r="T891" s="56"/>
      <c r="U891" s="56"/>
      <c r="V891" s="42"/>
      <c r="W891" s="57"/>
      <c r="X891" s="58"/>
      <c r="Y891" s="75"/>
      <c r="Z891" s="59"/>
      <c r="AA891" s="61"/>
      <c r="AB891" s="61"/>
      <c r="AC891" s="61"/>
      <c r="AD891" s="62"/>
      <c r="AE891" s="62"/>
      <c r="AF891" s="34"/>
      <c r="AG891" s="34"/>
      <c r="AH891" s="34"/>
      <c r="AI891" s="34"/>
      <c r="AJ891" s="34"/>
      <c r="AK891" s="34"/>
      <c r="AL891" s="34"/>
      <c r="AM891" s="34"/>
      <c r="AN891" s="34"/>
      <c r="AO891" s="34"/>
      <c r="AP891" s="34"/>
      <c r="AQ891" s="34"/>
      <c r="AR891" s="34"/>
      <c r="AS891" s="34"/>
      <c r="AT891" s="34"/>
      <c r="AU891" s="34"/>
      <c r="AV891" s="34"/>
      <c r="AW891" s="34"/>
      <c r="AX891" s="34"/>
      <c r="AY891" s="34"/>
      <c r="AZ891" s="34"/>
      <c r="BA891" s="34"/>
      <c r="BB891" s="34"/>
      <c r="BD891" s="34"/>
      <c r="BE891" s="34"/>
      <c r="BF891" s="34"/>
      <c r="BG891" s="34"/>
      <c r="BH891" s="34"/>
      <c r="BI891" s="34"/>
      <c r="BJ891" s="34"/>
      <c r="BK891" s="34"/>
      <c r="BL891" s="34"/>
      <c r="BM891" s="34"/>
      <c r="BN891" s="34"/>
      <c r="BO891" s="34"/>
      <c r="BP891" s="34"/>
      <c r="BQ891" s="34"/>
      <c r="BR891" s="34"/>
      <c r="BS891" s="34"/>
      <c r="BT891" s="34"/>
      <c r="BU891" s="34"/>
      <c r="BV891" s="34"/>
      <c r="BW891" s="34"/>
      <c r="BX891" s="34"/>
      <c r="BY891" s="34"/>
    </row>
    <row r="892" spans="1:77" x14ac:dyDescent="0.3">
      <c r="A892" s="39"/>
      <c r="B892" s="42"/>
      <c r="C892" s="42"/>
      <c r="D892" s="75"/>
      <c r="E892" s="75"/>
      <c r="F892" s="76"/>
      <c r="G892" s="47"/>
      <c r="H892" s="47"/>
      <c r="I892" s="75"/>
      <c r="J892" s="76"/>
      <c r="K892" s="76"/>
      <c r="L892" s="75"/>
      <c r="M892" s="49"/>
      <c r="N892" s="76"/>
      <c r="O892" s="49"/>
      <c r="P892" s="77"/>
      <c r="Q892" s="53"/>
      <c r="R892" s="54"/>
      <c r="S892" s="55"/>
      <c r="T892" s="56"/>
      <c r="U892" s="56"/>
      <c r="V892" s="42"/>
      <c r="W892" s="57"/>
      <c r="X892" s="58"/>
      <c r="Y892" s="75"/>
      <c r="Z892" s="59"/>
      <c r="AA892" s="61"/>
      <c r="AB892" s="61"/>
      <c r="AC892" s="61"/>
      <c r="AD892" s="62"/>
      <c r="AE892" s="62"/>
      <c r="AF892" s="34"/>
      <c r="AG892" s="34"/>
      <c r="AH892" s="34"/>
      <c r="AI892" s="34"/>
      <c r="AJ892" s="34"/>
      <c r="AK892" s="34"/>
      <c r="AL892" s="34"/>
      <c r="AM892" s="34"/>
      <c r="AN892" s="34"/>
      <c r="AO892" s="34"/>
      <c r="AP892" s="34"/>
      <c r="AQ892" s="34"/>
      <c r="AR892" s="34"/>
      <c r="AS892" s="34"/>
      <c r="AT892" s="34"/>
      <c r="AU892" s="34"/>
      <c r="AV892" s="34"/>
      <c r="AW892" s="34"/>
      <c r="AX892" s="34"/>
      <c r="AY892" s="34"/>
      <c r="AZ892" s="34"/>
      <c r="BA892" s="34"/>
      <c r="BB892" s="34"/>
      <c r="BD892" s="34"/>
      <c r="BE892" s="34"/>
      <c r="BF892" s="34"/>
      <c r="BG892" s="34"/>
      <c r="BH892" s="34"/>
      <c r="BI892" s="34"/>
      <c r="BJ892" s="34"/>
      <c r="BK892" s="34"/>
      <c r="BL892" s="34"/>
      <c r="BM892" s="34"/>
      <c r="BN892" s="34"/>
      <c r="BO892" s="34"/>
      <c r="BP892" s="34"/>
      <c r="BQ892" s="34"/>
      <c r="BR892" s="34"/>
      <c r="BS892" s="34"/>
      <c r="BT892" s="34"/>
      <c r="BU892" s="34"/>
      <c r="BV892" s="34"/>
      <c r="BW892" s="34"/>
      <c r="BX892" s="34"/>
      <c r="BY892" s="34"/>
    </row>
    <row r="893" spans="1:77" x14ac:dyDescent="0.3">
      <c r="A893" s="39"/>
      <c r="B893" s="42"/>
      <c r="C893" s="42"/>
      <c r="D893" s="75"/>
      <c r="E893" s="75"/>
      <c r="F893" s="76"/>
      <c r="G893" s="47"/>
      <c r="H893" s="47"/>
      <c r="I893" s="75"/>
      <c r="J893" s="76"/>
      <c r="K893" s="76"/>
      <c r="L893" s="75"/>
      <c r="M893" s="49"/>
      <c r="N893" s="76"/>
      <c r="O893" s="49"/>
      <c r="P893" s="77"/>
      <c r="Q893" s="53"/>
      <c r="R893" s="54"/>
      <c r="S893" s="55"/>
      <c r="T893" s="56"/>
      <c r="U893" s="56"/>
      <c r="V893" s="42"/>
      <c r="W893" s="57"/>
      <c r="X893" s="58"/>
      <c r="Y893" s="75"/>
      <c r="Z893" s="59"/>
      <c r="AA893" s="61"/>
      <c r="AB893" s="61"/>
      <c r="AC893" s="61"/>
      <c r="AD893" s="62"/>
      <c r="AE893" s="62"/>
      <c r="AF893" s="34"/>
      <c r="AG893" s="34"/>
      <c r="AH893" s="34"/>
      <c r="AI893" s="34"/>
      <c r="AJ893" s="34"/>
      <c r="AK893" s="34"/>
      <c r="AL893" s="34"/>
      <c r="AM893" s="34"/>
      <c r="AN893" s="34"/>
      <c r="AO893" s="34"/>
      <c r="AP893" s="34"/>
      <c r="AQ893" s="34"/>
      <c r="AR893" s="34"/>
      <c r="AS893" s="34"/>
      <c r="AT893" s="34"/>
      <c r="AU893" s="34"/>
      <c r="AV893" s="34"/>
      <c r="AW893" s="34"/>
      <c r="AX893" s="34"/>
      <c r="AY893" s="34"/>
      <c r="AZ893" s="34"/>
      <c r="BA893" s="34"/>
      <c r="BB893" s="34"/>
      <c r="BD893" s="34"/>
      <c r="BE893" s="34"/>
      <c r="BF893" s="34"/>
      <c r="BG893" s="34"/>
      <c r="BH893" s="34"/>
      <c r="BI893" s="34"/>
      <c r="BJ893" s="34"/>
      <c r="BK893" s="34"/>
      <c r="BL893" s="34"/>
      <c r="BM893" s="34"/>
      <c r="BN893" s="34"/>
      <c r="BO893" s="34"/>
      <c r="BP893" s="34"/>
      <c r="BQ893" s="34"/>
      <c r="BR893" s="34"/>
      <c r="BS893" s="34"/>
      <c r="BT893" s="34"/>
      <c r="BU893" s="34"/>
      <c r="BV893" s="34"/>
      <c r="BW893" s="34"/>
      <c r="BX893" s="34"/>
      <c r="BY893" s="34"/>
    </row>
    <row r="894" spans="1:77" x14ac:dyDescent="0.3">
      <c r="A894" s="39"/>
      <c r="B894" s="42"/>
      <c r="C894" s="42"/>
      <c r="D894" s="75"/>
      <c r="E894" s="75"/>
      <c r="F894" s="76"/>
      <c r="G894" s="47"/>
      <c r="H894" s="47"/>
      <c r="I894" s="75"/>
      <c r="J894" s="76"/>
      <c r="K894" s="76"/>
      <c r="L894" s="75"/>
      <c r="M894" s="49"/>
      <c r="N894" s="76"/>
      <c r="O894" s="49"/>
      <c r="P894" s="77"/>
      <c r="Q894" s="53"/>
      <c r="R894" s="54"/>
      <c r="S894" s="55"/>
      <c r="T894" s="56"/>
      <c r="U894" s="56"/>
      <c r="V894" s="42"/>
      <c r="W894" s="57"/>
      <c r="X894" s="58"/>
      <c r="Y894" s="75"/>
      <c r="Z894" s="59"/>
      <c r="AA894" s="61"/>
      <c r="AB894" s="61"/>
      <c r="AC894" s="61"/>
      <c r="AD894" s="62"/>
      <c r="AE894" s="62"/>
      <c r="AF894" s="34"/>
      <c r="AG894" s="34"/>
      <c r="AH894" s="34"/>
      <c r="AI894" s="34"/>
      <c r="AJ894" s="34"/>
      <c r="AK894" s="34"/>
      <c r="AL894" s="34"/>
      <c r="AM894" s="34"/>
      <c r="AN894" s="34"/>
      <c r="AO894" s="34"/>
      <c r="AP894" s="34"/>
      <c r="AQ894" s="34"/>
      <c r="AR894" s="34"/>
      <c r="AS894" s="34"/>
      <c r="AT894" s="34"/>
      <c r="AU894" s="34"/>
      <c r="AV894" s="34"/>
      <c r="AW894" s="34"/>
      <c r="AX894" s="34"/>
      <c r="AY894" s="34"/>
      <c r="AZ894" s="34"/>
      <c r="BA894" s="34"/>
      <c r="BB894" s="34"/>
      <c r="BD894" s="34"/>
      <c r="BE894" s="34"/>
      <c r="BF894" s="34"/>
      <c r="BG894" s="34"/>
      <c r="BH894" s="34"/>
      <c r="BI894" s="34"/>
      <c r="BJ894" s="34"/>
      <c r="BK894" s="34"/>
      <c r="BL894" s="34"/>
      <c r="BM894" s="34"/>
      <c r="BN894" s="34"/>
      <c r="BO894" s="34"/>
      <c r="BP894" s="34"/>
      <c r="BQ894" s="34"/>
      <c r="BR894" s="34"/>
      <c r="BS894" s="34"/>
      <c r="BT894" s="34"/>
      <c r="BU894" s="34"/>
      <c r="BV894" s="34"/>
      <c r="BW894" s="34"/>
      <c r="BX894" s="34"/>
      <c r="BY894" s="34"/>
    </row>
    <row r="895" spans="1:77" x14ac:dyDescent="0.3">
      <c r="A895" s="39"/>
      <c r="B895" s="42"/>
      <c r="C895" s="42"/>
      <c r="D895" s="75"/>
      <c r="E895" s="75"/>
      <c r="F895" s="76"/>
      <c r="G895" s="47"/>
      <c r="H895" s="47"/>
      <c r="I895" s="75"/>
      <c r="J895" s="76"/>
      <c r="K895" s="76"/>
      <c r="L895" s="75"/>
      <c r="M895" s="49"/>
      <c r="N895" s="76"/>
      <c r="O895" s="49"/>
      <c r="P895" s="77"/>
      <c r="Q895" s="53"/>
      <c r="R895" s="54"/>
      <c r="S895" s="55"/>
      <c r="T895" s="56"/>
      <c r="U895" s="56"/>
      <c r="V895" s="42"/>
      <c r="W895" s="57"/>
      <c r="X895" s="58"/>
      <c r="Y895" s="75"/>
      <c r="Z895" s="59"/>
      <c r="AA895" s="61"/>
      <c r="AB895" s="61"/>
      <c r="AC895" s="61"/>
      <c r="AD895" s="62"/>
      <c r="AE895" s="62"/>
      <c r="AF895" s="34"/>
      <c r="AG895" s="34"/>
      <c r="AH895" s="34"/>
      <c r="AI895" s="34"/>
      <c r="AJ895" s="34"/>
      <c r="AK895" s="34"/>
      <c r="AL895" s="34"/>
      <c r="AM895" s="34"/>
      <c r="AN895" s="34"/>
      <c r="AO895" s="34"/>
      <c r="AP895" s="34"/>
      <c r="AQ895" s="34"/>
      <c r="AR895" s="34"/>
      <c r="AS895" s="34"/>
      <c r="AT895" s="34"/>
      <c r="AU895" s="34"/>
      <c r="AV895" s="34"/>
      <c r="AW895" s="34"/>
      <c r="AX895" s="34"/>
      <c r="AY895" s="34"/>
      <c r="AZ895" s="34"/>
      <c r="BA895" s="34"/>
      <c r="BB895" s="34"/>
      <c r="BD895" s="34"/>
      <c r="BE895" s="34"/>
      <c r="BF895" s="34"/>
      <c r="BG895" s="34"/>
      <c r="BH895" s="34"/>
      <c r="BI895" s="34"/>
      <c r="BJ895" s="34"/>
      <c r="BK895" s="34"/>
      <c r="BL895" s="34"/>
      <c r="BM895" s="34"/>
      <c r="BN895" s="34"/>
      <c r="BO895" s="34"/>
      <c r="BP895" s="34"/>
      <c r="BQ895" s="34"/>
      <c r="BR895" s="34"/>
      <c r="BS895" s="34"/>
      <c r="BT895" s="34"/>
      <c r="BU895" s="34"/>
      <c r="BV895" s="34"/>
      <c r="BW895" s="34"/>
      <c r="BX895" s="34"/>
      <c r="BY895" s="34"/>
    </row>
    <row r="896" spans="1:77" x14ac:dyDescent="0.3">
      <c r="A896" s="39"/>
      <c r="B896" s="42"/>
      <c r="C896" s="42"/>
      <c r="D896" s="75"/>
      <c r="E896" s="75"/>
      <c r="F896" s="76"/>
      <c r="G896" s="47"/>
      <c r="H896" s="47"/>
      <c r="I896" s="75"/>
      <c r="J896" s="76"/>
      <c r="K896" s="76"/>
      <c r="L896" s="75"/>
      <c r="M896" s="49"/>
      <c r="N896" s="76"/>
      <c r="O896" s="49"/>
      <c r="P896" s="77"/>
      <c r="Q896" s="53"/>
      <c r="R896" s="54"/>
      <c r="S896" s="55"/>
      <c r="T896" s="56"/>
      <c r="U896" s="56"/>
      <c r="V896" s="42"/>
      <c r="W896" s="57"/>
      <c r="X896" s="58"/>
      <c r="Y896" s="75"/>
      <c r="Z896" s="59"/>
      <c r="AA896" s="61"/>
      <c r="AB896" s="61"/>
      <c r="AC896" s="61"/>
      <c r="AD896" s="62"/>
      <c r="AE896" s="62"/>
      <c r="AF896" s="34"/>
      <c r="AG896" s="34"/>
      <c r="AH896" s="34"/>
      <c r="AI896" s="34"/>
      <c r="AJ896" s="34"/>
      <c r="AK896" s="34"/>
      <c r="AL896" s="34"/>
      <c r="AM896" s="34"/>
      <c r="AN896" s="34"/>
      <c r="AO896" s="34"/>
      <c r="AP896" s="34"/>
      <c r="AQ896" s="34"/>
      <c r="AR896" s="34"/>
      <c r="AS896" s="34"/>
      <c r="AT896" s="34"/>
      <c r="AU896" s="34"/>
      <c r="AV896" s="34"/>
      <c r="AW896" s="34"/>
      <c r="AX896" s="34"/>
      <c r="AY896" s="34"/>
      <c r="AZ896" s="34"/>
      <c r="BA896" s="34"/>
      <c r="BB896" s="34"/>
      <c r="BD896" s="34"/>
      <c r="BE896" s="34"/>
      <c r="BF896" s="34"/>
      <c r="BG896" s="34"/>
      <c r="BH896" s="34"/>
      <c r="BI896" s="34"/>
      <c r="BJ896" s="34"/>
      <c r="BK896" s="34"/>
      <c r="BL896" s="34"/>
      <c r="BM896" s="34"/>
      <c r="BN896" s="34"/>
      <c r="BO896" s="34"/>
      <c r="BP896" s="34"/>
      <c r="BQ896" s="34"/>
      <c r="BR896" s="34"/>
      <c r="BS896" s="34"/>
      <c r="BT896" s="34"/>
      <c r="BU896" s="34"/>
      <c r="BV896" s="34"/>
      <c r="BW896" s="34"/>
      <c r="BX896" s="34"/>
      <c r="BY896" s="34"/>
    </row>
    <row r="897" spans="1:77" x14ac:dyDescent="0.3">
      <c r="A897" s="39"/>
      <c r="B897" s="42"/>
      <c r="C897" s="42"/>
      <c r="D897" s="75"/>
      <c r="E897" s="75"/>
      <c r="F897" s="76"/>
      <c r="G897" s="47"/>
      <c r="H897" s="47"/>
      <c r="I897" s="75"/>
      <c r="J897" s="76"/>
      <c r="K897" s="76"/>
      <c r="L897" s="75"/>
      <c r="M897" s="49"/>
      <c r="N897" s="76"/>
      <c r="O897" s="49"/>
      <c r="P897" s="77"/>
      <c r="Q897" s="53"/>
      <c r="R897" s="54"/>
      <c r="S897" s="55"/>
      <c r="T897" s="56"/>
      <c r="U897" s="56"/>
      <c r="V897" s="42"/>
      <c r="W897" s="57"/>
      <c r="X897" s="58"/>
      <c r="Y897" s="75"/>
      <c r="Z897" s="59"/>
      <c r="AA897" s="61"/>
      <c r="AB897" s="61"/>
      <c r="AC897" s="61"/>
      <c r="AD897" s="62"/>
      <c r="AE897" s="62"/>
      <c r="AF897" s="34"/>
      <c r="AG897" s="34"/>
      <c r="AH897" s="34"/>
      <c r="AI897" s="34"/>
      <c r="AJ897" s="34"/>
      <c r="AK897" s="34"/>
      <c r="AL897" s="34"/>
      <c r="AM897" s="34"/>
      <c r="AN897" s="34"/>
      <c r="AO897" s="34"/>
      <c r="AP897" s="34"/>
      <c r="AQ897" s="34"/>
      <c r="AR897" s="34"/>
      <c r="AS897" s="34"/>
      <c r="AT897" s="34"/>
      <c r="AU897" s="34"/>
      <c r="AV897" s="34"/>
      <c r="AW897" s="34"/>
      <c r="AX897" s="34"/>
      <c r="AY897" s="34"/>
      <c r="AZ897" s="34"/>
      <c r="BA897" s="34"/>
      <c r="BB897" s="34"/>
      <c r="BD897" s="34"/>
      <c r="BE897" s="34"/>
      <c r="BF897" s="34"/>
      <c r="BG897" s="34"/>
      <c r="BH897" s="34"/>
      <c r="BI897" s="34"/>
      <c r="BJ897" s="34"/>
      <c r="BK897" s="34"/>
      <c r="BL897" s="34"/>
      <c r="BM897" s="34"/>
      <c r="BN897" s="34"/>
      <c r="BO897" s="34"/>
      <c r="BP897" s="34"/>
      <c r="BQ897" s="34"/>
      <c r="BR897" s="34"/>
      <c r="BS897" s="34"/>
      <c r="BT897" s="34"/>
      <c r="BU897" s="34"/>
      <c r="BV897" s="34"/>
      <c r="BW897" s="34"/>
      <c r="BX897" s="34"/>
      <c r="BY897" s="34"/>
    </row>
    <row r="898" spans="1:77" x14ac:dyDescent="0.3">
      <c r="A898" s="39"/>
      <c r="B898" s="42"/>
      <c r="C898" s="42"/>
      <c r="D898" s="75"/>
      <c r="E898" s="75"/>
      <c r="F898" s="76"/>
      <c r="G898" s="47"/>
      <c r="H898" s="47"/>
      <c r="I898" s="75"/>
      <c r="J898" s="76"/>
      <c r="K898" s="76"/>
      <c r="L898" s="75"/>
      <c r="M898" s="49"/>
      <c r="N898" s="76"/>
      <c r="O898" s="49"/>
      <c r="P898" s="77"/>
      <c r="Q898" s="53"/>
      <c r="R898" s="54"/>
      <c r="S898" s="55"/>
      <c r="T898" s="56"/>
      <c r="U898" s="56"/>
      <c r="V898" s="42"/>
      <c r="W898" s="57"/>
      <c r="X898" s="58"/>
      <c r="Y898" s="75"/>
      <c r="Z898" s="59"/>
      <c r="AA898" s="61"/>
      <c r="AB898" s="61"/>
      <c r="AC898" s="61"/>
      <c r="AD898" s="62"/>
      <c r="AE898" s="62"/>
      <c r="AF898" s="34"/>
      <c r="AG898" s="34"/>
      <c r="AH898" s="34"/>
      <c r="AI898" s="34"/>
      <c r="AJ898" s="34"/>
      <c r="AK898" s="34"/>
      <c r="AL898" s="34"/>
      <c r="AM898" s="34"/>
      <c r="AN898" s="34"/>
      <c r="AO898" s="34"/>
      <c r="AP898" s="34"/>
      <c r="AQ898" s="34"/>
      <c r="AR898" s="34"/>
      <c r="AS898" s="34"/>
      <c r="AT898" s="34"/>
      <c r="AU898" s="34"/>
      <c r="AV898" s="34"/>
      <c r="AW898" s="34"/>
      <c r="AX898" s="34"/>
      <c r="AY898" s="34"/>
      <c r="AZ898" s="34"/>
      <c r="BA898" s="34"/>
      <c r="BB898" s="34"/>
      <c r="BD898" s="34"/>
      <c r="BE898" s="34"/>
      <c r="BF898" s="34"/>
      <c r="BG898" s="34"/>
      <c r="BH898" s="34"/>
      <c r="BI898" s="34"/>
      <c r="BJ898" s="34"/>
      <c r="BK898" s="34"/>
      <c r="BL898" s="34"/>
      <c r="BM898" s="34"/>
      <c r="BN898" s="34"/>
      <c r="BO898" s="34"/>
      <c r="BP898" s="34"/>
      <c r="BQ898" s="34"/>
      <c r="BR898" s="34"/>
      <c r="BS898" s="34"/>
      <c r="BT898" s="34"/>
      <c r="BU898" s="34"/>
      <c r="BV898" s="34"/>
      <c r="BW898" s="34"/>
      <c r="BX898" s="34"/>
      <c r="BY898" s="34"/>
    </row>
    <row r="899" spans="1:77" x14ac:dyDescent="0.3">
      <c r="A899" s="39"/>
      <c r="B899" s="42"/>
      <c r="C899" s="42"/>
      <c r="D899" s="75"/>
      <c r="E899" s="75"/>
      <c r="F899" s="76"/>
      <c r="G899" s="47"/>
      <c r="H899" s="47"/>
      <c r="I899" s="75"/>
      <c r="J899" s="76"/>
      <c r="K899" s="76"/>
      <c r="L899" s="75"/>
      <c r="M899" s="49"/>
      <c r="N899" s="76"/>
      <c r="O899" s="49"/>
      <c r="P899" s="77"/>
      <c r="Q899" s="53"/>
      <c r="R899" s="54"/>
      <c r="S899" s="55"/>
      <c r="T899" s="56"/>
      <c r="U899" s="56"/>
      <c r="V899" s="42"/>
      <c r="W899" s="57"/>
      <c r="X899" s="58"/>
      <c r="Y899" s="75"/>
      <c r="Z899" s="59"/>
      <c r="AA899" s="61"/>
      <c r="AB899" s="61"/>
      <c r="AC899" s="61"/>
      <c r="AD899" s="62"/>
      <c r="AE899" s="62"/>
      <c r="AF899" s="34"/>
      <c r="AG899" s="34"/>
      <c r="AH899" s="34"/>
      <c r="AI899" s="34"/>
      <c r="AJ899" s="34"/>
      <c r="AK899" s="34"/>
      <c r="AL899" s="34"/>
      <c r="AM899" s="34"/>
      <c r="AN899" s="34"/>
      <c r="AO899" s="34"/>
      <c r="AP899" s="34"/>
      <c r="AQ899" s="34"/>
      <c r="AR899" s="34"/>
      <c r="AS899" s="34"/>
      <c r="AT899" s="34"/>
      <c r="AU899" s="34"/>
      <c r="AV899" s="34"/>
      <c r="AW899" s="34"/>
      <c r="AX899" s="34"/>
      <c r="AY899" s="34"/>
      <c r="AZ899" s="34"/>
      <c r="BA899" s="34"/>
      <c r="BB899" s="34"/>
      <c r="BD899" s="34"/>
      <c r="BE899" s="34"/>
      <c r="BF899" s="34"/>
      <c r="BG899" s="34"/>
      <c r="BH899" s="34"/>
      <c r="BI899" s="34"/>
      <c r="BJ899" s="34"/>
      <c r="BK899" s="34"/>
      <c r="BL899" s="34"/>
      <c r="BM899" s="34"/>
      <c r="BN899" s="34"/>
      <c r="BO899" s="34"/>
      <c r="BP899" s="34"/>
      <c r="BQ899" s="34"/>
      <c r="BR899" s="34"/>
      <c r="BS899" s="34"/>
      <c r="BT899" s="34"/>
      <c r="BU899" s="34"/>
      <c r="BV899" s="34"/>
      <c r="BW899" s="34"/>
      <c r="BX899" s="34"/>
      <c r="BY899" s="34"/>
    </row>
    <row r="900" spans="1:77" x14ac:dyDescent="0.3">
      <c r="A900" s="39"/>
      <c r="B900" s="42"/>
      <c r="C900" s="42"/>
      <c r="D900" s="75"/>
      <c r="E900" s="75"/>
      <c r="F900" s="76"/>
      <c r="G900" s="47"/>
      <c r="H900" s="47"/>
      <c r="I900" s="75"/>
      <c r="J900" s="76"/>
      <c r="K900" s="76"/>
      <c r="L900" s="75"/>
      <c r="M900" s="49"/>
      <c r="N900" s="76"/>
      <c r="O900" s="49"/>
      <c r="P900" s="77"/>
      <c r="Q900" s="53"/>
      <c r="R900" s="54"/>
      <c r="S900" s="55"/>
      <c r="T900" s="56"/>
      <c r="U900" s="56"/>
      <c r="V900" s="42"/>
      <c r="W900" s="57"/>
      <c r="X900" s="58"/>
      <c r="Y900" s="75"/>
      <c r="Z900" s="59"/>
      <c r="AA900" s="61"/>
      <c r="AB900" s="61"/>
      <c r="AC900" s="61"/>
      <c r="AD900" s="62"/>
      <c r="AE900" s="62"/>
      <c r="AF900" s="34"/>
      <c r="AG900" s="34"/>
      <c r="AH900" s="34"/>
      <c r="AI900" s="34"/>
      <c r="AJ900" s="34"/>
      <c r="AK900" s="34"/>
      <c r="AL900" s="34"/>
      <c r="AM900" s="34"/>
      <c r="AN900" s="34"/>
      <c r="AO900" s="34"/>
      <c r="AP900" s="34"/>
      <c r="AQ900" s="34"/>
      <c r="AR900" s="34"/>
      <c r="AS900" s="34"/>
      <c r="AT900" s="34"/>
      <c r="AU900" s="34"/>
      <c r="AV900" s="34"/>
      <c r="AW900" s="34"/>
      <c r="AX900" s="34"/>
      <c r="AY900" s="34"/>
      <c r="AZ900" s="34"/>
      <c r="BA900" s="34"/>
      <c r="BB900" s="34"/>
      <c r="BD900" s="34"/>
      <c r="BE900" s="34"/>
      <c r="BF900" s="34"/>
      <c r="BG900" s="34"/>
      <c r="BH900" s="34"/>
      <c r="BI900" s="34"/>
      <c r="BJ900" s="34"/>
      <c r="BK900" s="34"/>
      <c r="BL900" s="34"/>
      <c r="BM900" s="34"/>
      <c r="BN900" s="34"/>
      <c r="BO900" s="34"/>
      <c r="BP900" s="34"/>
      <c r="BQ900" s="34"/>
      <c r="BR900" s="34"/>
      <c r="BS900" s="34"/>
      <c r="BT900" s="34"/>
      <c r="BU900" s="34"/>
      <c r="BV900" s="34"/>
      <c r="BW900" s="34"/>
      <c r="BX900" s="34"/>
      <c r="BY900" s="34"/>
    </row>
    <row r="901" spans="1:77" x14ac:dyDescent="0.3">
      <c r="A901" s="39"/>
      <c r="B901" s="42"/>
      <c r="C901" s="42"/>
      <c r="D901" s="75"/>
      <c r="E901" s="75"/>
      <c r="F901" s="76"/>
      <c r="G901" s="47"/>
      <c r="H901" s="47"/>
      <c r="I901" s="75"/>
      <c r="J901" s="76"/>
      <c r="K901" s="76"/>
      <c r="L901" s="75"/>
      <c r="M901" s="49"/>
      <c r="N901" s="76"/>
      <c r="O901" s="49"/>
      <c r="P901" s="77"/>
      <c r="Q901" s="53"/>
      <c r="R901" s="54"/>
      <c r="S901" s="55"/>
      <c r="T901" s="56"/>
      <c r="U901" s="56"/>
      <c r="V901" s="42"/>
      <c r="W901" s="57"/>
      <c r="X901" s="58"/>
      <c r="Y901" s="75"/>
      <c r="Z901" s="59"/>
      <c r="AA901" s="61"/>
      <c r="AB901" s="61"/>
      <c r="AC901" s="61"/>
      <c r="AD901" s="62"/>
      <c r="AE901" s="62"/>
      <c r="AF901" s="34"/>
      <c r="AG901" s="34"/>
      <c r="AH901" s="34"/>
      <c r="AI901" s="34"/>
      <c r="AJ901" s="34"/>
      <c r="AK901" s="34"/>
      <c r="AL901" s="34"/>
      <c r="AM901" s="34"/>
      <c r="AN901" s="34"/>
      <c r="AO901" s="34"/>
      <c r="AP901" s="34"/>
      <c r="AQ901" s="34"/>
      <c r="AR901" s="34"/>
      <c r="AS901" s="34"/>
      <c r="AT901" s="34"/>
      <c r="AU901" s="34"/>
      <c r="AV901" s="34"/>
      <c r="AW901" s="34"/>
      <c r="AX901" s="34"/>
      <c r="AY901" s="34"/>
      <c r="AZ901" s="34"/>
      <c r="BA901" s="34"/>
      <c r="BB901" s="34"/>
      <c r="BD901" s="34"/>
      <c r="BE901" s="34"/>
      <c r="BF901" s="34"/>
      <c r="BG901" s="34"/>
      <c r="BH901" s="34"/>
      <c r="BI901" s="34"/>
      <c r="BJ901" s="34"/>
      <c r="BK901" s="34"/>
      <c r="BL901" s="34"/>
      <c r="BM901" s="34"/>
      <c r="BN901" s="34"/>
      <c r="BO901" s="34"/>
      <c r="BP901" s="34"/>
      <c r="BQ901" s="34"/>
      <c r="BR901" s="34"/>
      <c r="BS901" s="34"/>
      <c r="BT901" s="34"/>
      <c r="BU901" s="34"/>
      <c r="BV901" s="34"/>
      <c r="BW901" s="34"/>
      <c r="BX901" s="34"/>
      <c r="BY901" s="34"/>
    </row>
    <row r="902" spans="1:77" x14ac:dyDescent="0.3">
      <c r="A902" s="39"/>
      <c r="B902" s="42"/>
      <c r="C902" s="42"/>
      <c r="D902" s="75"/>
      <c r="E902" s="75"/>
      <c r="F902" s="76"/>
      <c r="G902" s="47"/>
      <c r="H902" s="47"/>
      <c r="I902" s="75"/>
      <c r="J902" s="76"/>
      <c r="K902" s="76"/>
      <c r="L902" s="75"/>
      <c r="M902" s="49"/>
      <c r="N902" s="76"/>
      <c r="O902" s="49"/>
      <c r="P902" s="77"/>
      <c r="Q902" s="53"/>
      <c r="R902" s="54"/>
      <c r="S902" s="55"/>
      <c r="T902" s="56"/>
      <c r="U902" s="56"/>
      <c r="V902" s="42"/>
      <c r="W902" s="57"/>
      <c r="X902" s="58"/>
      <c r="Y902" s="75"/>
      <c r="Z902" s="59"/>
      <c r="AA902" s="61"/>
      <c r="AB902" s="61"/>
      <c r="AC902" s="61"/>
      <c r="AD902" s="62"/>
      <c r="AE902" s="62"/>
      <c r="AF902" s="34"/>
      <c r="AG902" s="34"/>
      <c r="AH902" s="34"/>
      <c r="AI902" s="34"/>
      <c r="AJ902" s="34"/>
      <c r="AK902" s="34"/>
      <c r="AL902" s="34"/>
      <c r="AM902" s="34"/>
      <c r="AN902" s="34"/>
      <c r="AO902" s="34"/>
      <c r="AP902" s="34"/>
      <c r="AQ902" s="34"/>
      <c r="AR902" s="34"/>
      <c r="AS902" s="34"/>
      <c r="AT902" s="34"/>
      <c r="AU902" s="34"/>
      <c r="AV902" s="34"/>
      <c r="AW902" s="34"/>
      <c r="AX902" s="34"/>
      <c r="AY902" s="34"/>
      <c r="AZ902" s="34"/>
      <c r="BA902" s="34"/>
      <c r="BB902" s="34"/>
      <c r="BD902" s="34"/>
      <c r="BE902" s="34"/>
      <c r="BF902" s="34"/>
      <c r="BG902" s="34"/>
      <c r="BH902" s="34"/>
      <c r="BI902" s="34"/>
      <c r="BJ902" s="34"/>
      <c r="BK902" s="34"/>
      <c r="BL902" s="34"/>
      <c r="BM902" s="34"/>
      <c r="BN902" s="34"/>
      <c r="BO902" s="34"/>
      <c r="BP902" s="34"/>
      <c r="BQ902" s="34"/>
      <c r="BR902" s="34"/>
      <c r="BS902" s="34"/>
      <c r="BT902" s="34"/>
      <c r="BU902" s="34"/>
      <c r="BV902" s="34"/>
      <c r="BW902" s="34"/>
      <c r="BX902" s="34"/>
      <c r="BY902" s="34"/>
    </row>
    <row r="903" spans="1:77" x14ac:dyDescent="0.3">
      <c r="A903" s="39"/>
      <c r="B903" s="42"/>
      <c r="C903" s="42"/>
      <c r="D903" s="75"/>
      <c r="E903" s="75"/>
      <c r="F903" s="76"/>
      <c r="G903" s="47"/>
      <c r="H903" s="47"/>
      <c r="I903" s="75"/>
      <c r="J903" s="76"/>
      <c r="K903" s="76"/>
      <c r="L903" s="75"/>
      <c r="M903" s="49"/>
      <c r="N903" s="76"/>
      <c r="O903" s="49"/>
      <c r="P903" s="77"/>
      <c r="Q903" s="53"/>
      <c r="R903" s="54"/>
      <c r="S903" s="55"/>
      <c r="T903" s="56"/>
      <c r="U903" s="56"/>
      <c r="V903" s="42"/>
      <c r="W903" s="57"/>
      <c r="X903" s="58"/>
      <c r="Y903" s="75"/>
      <c r="Z903" s="59"/>
      <c r="AA903" s="61"/>
      <c r="AB903" s="61"/>
      <c r="AC903" s="61"/>
      <c r="AD903" s="62"/>
      <c r="AE903" s="62"/>
      <c r="AF903" s="34"/>
      <c r="AG903" s="34"/>
      <c r="AH903" s="34"/>
      <c r="AI903" s="34"/>
      <c r="AJ903" s="34"/>
      <c r="AK903" s="34"/>
      <c r="AL903" s="34"/>
      <c r="AM903" s="34"/>
      <c r="AN903" s="34"/>
      <c r="AO903" s="34"/>
      <c r="AP903" s="34"/>
      <c r="AQ903" s="34"/>
      <c r="AR903" s="34"/>
      <c r="AS903" s="34"/>
      <c r="AT903" s="34"/>
      <c r="AU903" s="34"/>
      <c r="AV903" s="34"/>
      <c r="AW903" s="34"/>
      <c r="AX903" s="34"/>
      <c r="AY903" s="34"/>
      <c r="AZ903" s="34"/>
      <c r="BA903" s="34"/>
      <c r="BB903" s="34"/>
      <c r="BD903" s="34"/>
      <c r="BE903" s="34"/>
      <c r="BF903" s="34"/>
      <c r="BG903" s="34"/>
      <c r="BH903" s="34"/>
      <c r="BI903" s="34"/>
      <c r="BJ903" s="34"/>
      <c r="BK903" s="34"/>
      <c r="BL903" s="34"/>
      <c r="BM903" s="34"/>
      <c r="BN903" s="34"/>
      <c r="BO903" s="34"/>
      <c r="BP903" s="34"/>
      <c r="BQ903" s="34"/>
      <c r="BR903" s="34"/>
      <c r="BS903" s="34"/>
      <c r="BT903" s="34"/>
      <c r="BU903" s="34"/>
      <c r="BV903" s="34"/>
      <c r="BW903" s="34"/>
      <c r="BX903" s="34"/>
      <c r="BY903" s="34"/>
    </row>
    <row r="904" spans="1:77" x14ac:dyDescent="0.3">
      <c r="A904" s="39"/>
      <c r="B904" s="42"/>
      <c r="C904" s="42"/>
      <c r="D904" s="75"/>
      <c r="E904" s="75"/>
      <c r="F904" s="76"/>
      <c r="G904" s="47"/>
      <c r="H904" s="47"/>
      <c r="I904" s="75"/>
      <c r="J904" s="76"/>
      <c r="K904" s="76"/>
      <c r="L904" s="75"/>
      <c r="M904" s="49"/>
      <c r="N904" s="76"/>
      <c r="O904" s="49"/>
      <c r="P904" s="77"/>
      <c r="Q904" s="53"/>
      <c r="R904" s="54"/>
      <c r="S904" s="55"/>
      <c r="T904" s="56"/>
      <c r="U904" s="56"/>
      <c r="V904" s="42"/>
      <c r="W904" s="57"/>
      <c r="X904" s="58"/>
      <c r="Y904" s="75"/>
      <c r="Z904" s="59"/>
      <c r="AA904" s="61"/>
      <c r="AB904" s="61"/>
      <c r="AC904" s="61"/>
      <c r="AD904" s="62"/>
      <c r="AE904" s="62"/>
      <c r="AF904" s="34"/>
      <c r="AG904" s="34"/>
      <c r="AH904" s="34"/>
      <c r="AI904" s="34"/>
      <c r="AJ904" s="34"/>
      <c r="AK904" s="34"/>
      <c r="AL904" s="34"/>
      <c r="AM904" s="34"/>
      <c r="AN904" s="34"/>
      <c r="AO904" s="34"/>
      <c r="AP904" s="34"/>
      <c r="AQ904" s="34"/>
      <c r="AR904" s="34"/>
      <c r="AS904" s="34"/>
      <c r="AT904" s="34"/>
      <c r="AU904" s="34"/>
      <c r="AV904" s="34"/>
      <c r="AW904" s="34"/>
      <c r="AX904" s="34"/>
      <c r="AY904" s="34"/>
      <c r="AZ904" s="34"/>
      <c r="BA904" s="34"/>
      <c r="BB904" s="34"/>
      <c r="BD904" s="34"/>
      <c r="BE904" s="34"/>
      <c r="BF904" s="34"/>
      <c r="BG904" s="34"/>
      <c r="BH904" s="34"/>
      <c r="BI904" s="34"/>
      <c r="BJ904" s="34"/>
      <c r="BK904" s="34"/>
      <c r="BL904" s="34"/>
      <c r="BM904" s="34"/>
      <c r="BN904" s="34"/>
      <c r="BO904" s="34"/>
      <c r="BP904" s="34"/>
      <c r="BQ904" s="34"/>
      <c r="BR904" s="34"/>
      <c r="BS904" s="34"/>
      <c r="BT904" s="34"/>
      <c r="BU904" s="34"/>
      <c r="BV904" s="34"/>
      <c r="BW904" s="34"/>
      <c r="BX904" s="34"/>
      <c r="BY904" s="34"/>
    </row>
    <row r="905" spans="1:77" x14ac:dyDescent="0.3">
      <c r="A905" s="39"/>
      <c r="B905" s="42"/>
      <c r="C905" s="42"/>
      <c r="D905" s="75"/>
      <c r="E905" s="75"/>
      <c r="F905" s="76"/>
      <c r="G905" s="47"/>
      <c r="H905" s="47"/>
      <c r="I905" s="75"/>
      <c r="J905" s="76"/>
      <c r="K905" s="76"/>
      <c r="L905" s="75"/>
      <c r="M905" s="49"/>
      <c r="N905" s="76"/>
      <c r="O905" s="49"/>
      <c r="P905" s="77"/>
      <c r="Q905" s="53"/>
      <c r="R905" s="54"/>
      <c r="S905" s="55"/>
      <c r="T905" s="56"/>
      <c r="U905" s="56"/>
      <c r="V905" s="42"/>
      <c r="W905" s="57"/>
      <c r="X905" s="58"/>
      <c r="Y905" s="75"/>
      <c r="Z905" s="59"/>
      <c r="AA905" s="61"/>
      <c r="AB905" s="61"/>
      <c r="AC905" s="61"/>
      <c r="AD905" s="62"/>
      <c r="AE905" s="62"/>
      <c r="AF905" s="34"/>
      <c r="AG905" s="34"/>
      <c r="AH905" s="34"/>
      <c r="AI905" s="34"/>
      <c r="AJ905" s="34"/>
      <c r="AK905" s="34"/>
      <c r="AL905" s="34"/>
      <c r="AM905" s="34"/>
      <c r="AN905" s="34"/>
      <c r="AO905" s="34"/>
      <c r="AP905" s="34"/>
      <c r="AQ905" s="34"/>
      <c r="AR905" s="34"/>
      <c r="AS905" s="34"/>
      <c r="AT905" s="34"/>
      <c r="AU905" s="34"/>
      <c r="AV905" s="34"/>
      <c r="AW905" s="34"/>
      <c r="AX905" s="34"/>
      <c r="AY905" s="34"/>
      <c r="AZ905" s="34"/>
      <c r="BA905" s="34"/>
      <c r="BB905" s="34"/>
      <c r="BD905" s="34"/>
      <c r="BE905" s="34"/>
      <c r="BF905" s="34"/>
      <c r="BG905" s="34"/>
      <c r="BH905" s="34"/>
      <c r="BI905" s="34"/>
      <c r="BJ905" s="34"/>
      <c r="BK905" s="34"/>
      <c r="BL905" s="34"/>
      <c r="BM905" s="34"/>
      <c r="BN905" s="34"/>
      <c r="BO905" s="34"/>
      <c r="BP905" s="34"/>
      <c r="BQ905" s="34"/>
      <c r="BR905" s="34"/>
      <c r="BS905" s="34"/>
      <c r="BT905" s="34"/>
      <c r="BU905" s="34"/>
      <c r="BV905" s="34"/>
      <c r="BW905" s="34"/>
      <c r="BX905" s="34"/>
      <c r="BY905" s="34"/>
    </row>
    <row r="906" spans="1:77" x14ac:dyDescent="0.3">
      <c r="A906" s="39"/>
      <c r="B906" s="42"/>
      <c r="C906" s="42"/>
      <c r="D906" s="75"/>
      <c r="E906" s="75"/>
      <c r="F906" s="76"/>
      <c r="G906" s="47"/>
      <c r="H906" s="47"/>
      <c r="I906" s="75"/>
      <c r="J906" s="76"/>
      <c r="K906" s="76"/>
      <c r="L906" s="75"/>
      <c r="M906" s="49"/>
      <c r="N906" s="76"/>
      <c r="O906" s="49"/>
      <c r="P906" s="77"/>
      <c r="Q906" s="53"/>
      <c r="R906" s="54"/>
      <c r="S906" s="55"/>
      <c r="T906" s="56"/>
      <c r="U906" s="56"/>
      <c r="V906" s="42"/>
      <c r="W906" s="57"/>
      <c r="X906" s="58"/>
      <c r="Y906" s="75"/>
      <c r="Z906" s="59"/>
      <c r="AA906" s="61"/>
      <c r="AB906" s="61"/>
      <c r="AC906" s="61"/>
      <c r="AD906" s="62"/>
      <c r="AE906" s="62"/>
      <c r="AF906" s="34"/>
      <c r="AG906" s="34"/>
      <c r="AH906" s="34"/>
      <c r="AI906" s="34"/>
      <c r="AJ906" s="34"/>
      <c r="AK906" s="34"/>
      <c r="AL906" s="34"/>
      <c r="AM906" s="34"/>
      <c r="AN906" s="34"/>
      <c r="AO906" s="34"/>
      <c r="AP906" s="34"/>
      <c r="AQ906" s="34"/>
      <c r="AR906" s="34"/>
      <c r="AS906" s="34"/>
      <c r="AT906" s="34"/>
      <c r="AU906" s="34"/>
      <c r="AV906" s="34"/>
      <c r="AW906" s="34"/>
      <c r="AX906" s="34"/>
      <c r="AY906" s="34"/>
      <c r="AZ906" s="34"/>
      <c r="BA906" s="34"/>
      <c r="BB906" s="34"/>
      <c r="BD906" s="34"/>
      <c r="BE906" s="34"/>
      <c r="BF906" s="34"/>
      <c r="BG906" s="34"/>
      <c r="BH906" s="34"/>
      <c r="BI906" s="34"/>
      <c r="BJ906" s="34"/>
      <c r="BK906" s="34"/>
      <c r="BL906" s="34"/>
      <c r="BM906" s="34"/>
      <c r="BN906" s="34"/>
      <c r="BO906" s="34"/>
      <c r="BP906" s="34"/>
      <c r="BQ906" s="34"/>
      <c r="BR906" s="34"/>
      <c r="BS906" s="34"/>
      <c r="BT906" s="34"/>
      <c r="BU906" s="34"/>
      <c r="BV906" s="34"/>
      <c r="BW906" s="34"/>
      <c r="BX906" s="34"/>
      <c r="BY906" s="34"/>
    </row>
    <row r="907" spans="1:77" x14ac:dyDescent="0.3">
      <c r="A907" s="39"/>
      <c r="B907" s="42"/>
      <c r="C907" s="42"/>
      <c r="D907" s="75"/>
      <c r="E907" s="75"/>
      <c r="F907" s="76"/>
      <c r="G907" s="47"/>
      <c r="H907" s="47"/>
      <c r="I907" s="75"/>
      <c r="J907" s="76"/>
      <c r="K907" s="76"/>
      <c r="L907" s="75"/>
      <c r="M907" s="49"/>
      <c r="N907" s="76"/>
      <c r="O907" s="49"/>
      <c r="P907" s="77"/>
      <c r="Q907" s="53"/>
      <c r="R907" s="54"/>
      <c r="S907" s="55"/>
      <c r="T907" s="56"/>
      <c r="U907" s="56"/>
      <c r="V907" s="42"/>
      <c r="W907" s="57"/>
      <c r="X907" s="58"/>
      <c r="Y907" s="75"/>
      <c r="Z907" s="59"/>
      <c r="AA907" s="61"/>
      <c r="AB907" s="61"/>
      <c r="AC907" s="61"/>
      <c r="AD907" s="62"/>
      <c r="AE907" s="62"/>
      <c r="AF907" s="34"/>
      <c r="AG907" s="34"/>
      <c r="AH907" s="34"/>
      <c r="AI907" s="34"/>
      <c r="AJ907" s="34"/>
      <c r="AK907" s="34"/>
      <c r="AL907" s="34"/>
      <c r="AM907" s="34"/>
      <c r="AN907" s="34"/>
      <c r="AO907" s="34"/>
      <c r="AP907" s="34"/>
      <c r="AQ907" s="34"/>
      <c r="AR907" s="34"/>
      <c r="AS907" s="34"/>
      <c r="AT907" s="34"/>
      <c r="AU907" s="34"/>
      <c r="AV907" s="34"/>
      <c r="AW907" s="34"/>
      <c r="AX907" s="34"/>
      <c r="AY907" s="34"/>
      <c r="AZ907" s="34"/>
      <c r="BA907" s="34"/>
      <c r="BB907" s="34"/>
      <c r="BD907" s="34"/>
      <c r="BE907" s="34"/>
      <c r="BF907" s="34"/>
      <c r="BG907" s="34"/>
      <c r="BH907" s="34"/>
      <c r="BI907" s="34"/>
      <c r="BJ907" s="34"/>
      <c r="BK907" s="34"/>
      <c r="BL907" s="34"/>
      <c r="BM907" s="34"/>
      <c r="BN907" s="34"/>
      <c r="BO907" s="34"/>
      <c r="BP907" s="34"/>
      <c r="BQ907" s="34"/>
      <c r="BR907" s="34"/>
      <c r="BS907" s="34"/>
      <c r="BT907" s="34"/>
      <c r="BU907" s="34"/>
      <c r="BV907" s="34"/>
      <c r="BW907" s="34"/>
      <c r="BX907" s="34"/>
      <c r="BY907" s="34"/>
    </row>
    <row r="908" spans="1:77" x14ac:dyDescent="0.3">
      <c r="A908" s="39"/>
      <c r="B908" s="42"/>
      <c r="C908" s="42"/>
      <c r="D908" s="75"/>
      <c r="E908" s="75"/>
      <c r="F908" s="76"/>
      <c r="G908" s="47"/>
      <c r="H908" s="47"/>
      <c r="I908" s="75"/>
      <c r="J908" s="76"/>
      <c r="K908" s="76"/>
      <c r="L908" s="75"/>
      <c r="M908" s="49"/>
      <c r="N908" s="76"/>
      <c r="O908" s="49"/>
      <c r="P908" s="77"/>
      <c r="Q908" s="53"/>
      <c r="R908" s="54"/>
      <c r="S908" s="55"/>
      <c r="T908" s="56"/>
      <c r="U908" s="56"/>
      <c r="V908" s="42"/>
      <c r="W908" s="57"/>
      <c r="X908" s="58"/>
      <c r="Y908" s="75"/>
      <c r="Z908" s="59"/>
      <c r="AA908" s="61"/>
      <c r="AB908" s="61"/>
      <c r="AC908" s="61"/>
      <c r="AD908" s="62"/>
      <c r="AE908" s="62"/>
      <c r="AF908" s="34"/>
      <c r="AG908" s="34"/>
      <c r="AH908" s="34"/>
      <c r="AI908" s="34"/>
      <c r="AJ908" s="34"/>
      <c r="AK908" s="34"/>
      <c r="AL908" s="34"/>
      <c r="AM908" s="34"/>
      <c r="AN908" s="34"/>
      <c r="AO908" s="34"/>
      <c r="AP908" s="34"/>
      <c r="AQ908" s="34"/>
      <c r="AR908" s="34"/>
      <c r="AS908" s="34"/>
      <c r="AT908" s="34"/>
      <c r="AU908" s="34"/>
      <c r="AV908" s="34"/>
      <c r="AW908" s="34"/>
      <c r="AX908" s="34"/>
      <c r="AY908" s="34"/>
      <c r="AZ908" s="34"/>
      <c r="BA908" s="34"/>
      <c r="BB908" s="34"/>
      <c r="BD908" s="34"/>
      <c r="BE908" s="34"/>
      <c r="BF908" s="34"/>
      <c r="BG908" s="34"/>
      <c r="BH908" s="34"/>
      <c r="BI908" s="34"/>
      <c r="BJ908" s="34"/>
      <c r="BK908" s="34"/>
      <c r="BL908" s="34"/>
      <c r="BM908" s="34"/>
      <c r="BN908" s="34"/>
      <c r="BO908" s="34"/>
      <c r="BP908" s="34"/>
      <c r="BQ908" s="34"/>
      <c r="BR908" s="34"/>
      <c r="BS908" s="34"/>
      <c r="BT908" s="34"/>
      <c r="BU908" s="34"/>
      <c r="BV908" s="34"/>
      <c r="BW908" s="34"/>
      <c r="BX908" s="34"/>
      <c r="BY908" s="34"/>
    </row>
    <row r="909" spans="1:77" x14ac:dyDescent="0.3">
      <c r="A909" s="39"/>
      <c r="B909" s="42"/>
      <c r="C909" s="42"/>
      <c r="D909" s="75"/>
      <c r="E909" s="75"/>
      <c r="F909" s="76"/>
      <c r="G909" s="47"/>
      <c r="H909" s="47"/>
      <c r="I909" s="75"/>
      <c r="J909" s="76"/>
      <c r="K909" s="76"/>
      <c r="L909" s="75"/>
      <c r="M909" s="49"/>
      <c r="N909" s="76"/>
      <c r="O909" s="49"/>
      <c r="P909" s="77"/>
      <c r="Q909" s="53"/>
      <c r="R909" s="54"/>
      <c r="S909" s="55"/>
      <c r="T909" s="56"/>
      <c r="U909" s="56"/>
      <c r="V909" s="42"/>
      <c r="W909" s="57"/>
      <c r="X909" s="58"/>
      <c r="Y909" s="75"/>
      <c r="Z909" s="59"/>
      <c r="AA909" s="61"/>
      <c r="AB909" s="61"/>
      <c r="AC909" s="61"/>
      <c r="AD909" s="62"/>
      <c r="AE909" s="62"/>
      <c r="AF909" s="34"/>
      <c r="AG909" s="34"/>
      <c r="AH909" s="34"/>
      <c r="AI909" s="34"/>
      <c r="AJ909" s="34"/>
      <c r="AK909" s="34"/>
      <c r="AL909" s="34"/>
      <c r="AM909" s="34"/>
      <c r="AN909" s="34"/>
      <c r="AO909" s="34"/>
      <c r="AP909" s="34"/>
      <c r="AQ909" s="34"/>
      <c r="AR909" s="34"/>
      <c r="AS909" s="34"/>
      <c r="AT909" s="34"/>
      <c r="AU909" s="34"/>
      <c r="AV909" s="34"/>
      <c r="AW909" s="34"/>
      <c r="AX909" s="34"/>
      <c r="AY909" s="34"/>
      <c r="AZ909" s="34"/>
      <c r="BA909" s="34"/>
      <c r="BB909" s="34"/>
      <c r="BD909" s="34"/>
      <c r="BE909" s="34"/>
      <c r="BF909" s="34"/>
      <c r="BG909" s="34"/>
      <c r="BH909" s="34"/>
      <c r="BI909" s="34"/>
      <c r="BJ909" s="34"/>
      <c r="BK909" s="34"/>
      <c r="BL909" s="34"/>
      <c r="BM909" s="34"/>
      <c r="BN909" s="34"/>
      <c r="BO909" s="34"/>
      <c r="BP909" s="34"/>
      <c r="BQ909" s="34"/>
      <c r="BR909" s="34"/>
      <c r="BS909" s="34"/>
      <c r="BT909" s="34"/>
      <c r="BU909" s="34"/>
      <c r="BV909" s="34"/>
      <c r="BW909" s="34"/>
      <c r="BX909" s="34"/>
      <c r="BY909" s="34"/>
    </row>
    <row r="910" spans="1:77" x14ac:dyDescent="0.3">
      <c r="A910" s="39"/>
      <c r="B910" s="42"/>
      <c r="C910" s="42"/>
      <c r="D910" s="75"/>
      <c r="E910" s="75"/>
      <c r="F910" s="76"/>
      <c r="G910" s="47"/>
      <c r="H910" s="47"/>
      <c r="I910" s="75"/>
      <c r="J910" s="76"/>
      <c r="K910" s="76"/>
      <c r="L910" s="75"/>
      <c r="M910" s="49"/>
      <c r="N910" s="76"/>
      <c r="O910" s="49"/>
      <c r="P910" s="77"/>
      <c r="Q910" s="53"/>
      <c r="R910" s="54"/>
      <c r="S910" s="55"/>
      <c r="T910" s="56"/>
      <c r="U910" s="56"/>
      <c r="V910" s="42"/>
      <c r="W910" s="57"/>
      <c r="X910" s="58"/>
      <c r="Y910" s="75"/>
      <c r="Z910" s="59"/>
      <c r="AA910" s="61"/>
      <c r="AB910" s="61"/>
      <c r="AC910" s="61"/>
      <c r="AD910" s="62"/>
      <c r="AE910" s="62"/>
      <c r="AF910" s="34"/>
      <c r="AG910" s="34"/>
      <c r="AH910" s="34"/>
      <c r="AI910" s="34"/>
      <c r="AJ910" s="34"/>
      <c r="AK910" s="34"/>
      <c r="AL910" s="34"/>
      <c r="AM910" s="34"/>
      <c r="AN910" s="34"/>
      <c r="AO910" s="34"/>
      <c r="AP910" s="34"/>
      <c r="AQ910" s="34"/>
      <c r="AR910" s="34"/>
      <c r="AS910" s="34"/>
      <c r="AT910" s="34"/>
      <c r="AU910" s="34"/>
      <c r="AV910" s="34"/>
      <c r="AW910" s="34"/>
      <c r="AX910" s="34"/>
      <c r="AY910" s="34"/>
      <c r="AZ910" s="34"/>
      <c r="BA910" s="34"/>
      <c r="BB910" s="34"/>
      <c r="BD910" s="34"/>
      <c r="BE910" s="34"/>
      <c r="BF910" s="34"/>
      <c r="BG910" s="34"/>
      <c r="BH910" s="34"/>
      <c r="BI910" s="34"/>
      <c r="BJ910" s="34"/>
      <c r="BK910" s="34"/>
      <c r="BL910" s="34"/>
      <c r="BM910" s="34"/>
      <c r="BN910" s="34"/>
      <c r="BO910" s="34"/>
      <c r="BP910" s="34"/>
      <c r="BQ910" s="34"/>
      <c r="BR910" s="34"/>
      <c r="BS910" s="34"/>
      <c r="BT910" s="34"/>
      <c r="BU910" s="34"/>
      <c r="BV910" s="34"/>
      <c r="BW910" s="34"/>
      <c r="BX910" s="34"/>
      <c r="BY910" s="34"/>
    </row>
    <row r="911" spans="1:77" x14ac:dyDescent="0.3">
      <c r="A911" s="39"/>
      <c r="B911" s="42"/>
      <c r="C911" s="42"/>
      <c r="D911" s="75"/>
      <c r="E911" s="75"/>
      <c r="F911" s="76"/>
      <c r="G911" s="47"/>
      <c r="H911" s="47"/>
      <c r="I911" s="75"/>
      <c r="J911" s="76"/>
      <c r="K911" s="76"/>
      <c r="L911" s="75"/>
      <c r="M911" s="49"/>
      <c r="N911" s="76"/>
      <c r="O911" s="49"/>
      <c r="P911" s="77"/>
      <c r="Q911" s="53"/>
      <c r="R911" s="54"/>
      <c r="S911" s="55"/>
      <c r="T911" s="56"/>
      <c r="U911" s="56"/>
      <c r="V911" s="42"/>
      <c r="W911" s="57"/>
      <c r="X911" s="58"/>
      <c r="Y911" s="75"/>
      <c r="Z911" s="59"/>
      <c r="AA911" s="61"/>
      <c r="AB911" s="61"/>
      <c r="AC911" s="61"/>
      <c r="AD911" s="62"/>
      <c r="AE911" s="62"/>
      <c r="AF911" s="34"/>
      <c r="AG911" s="34"/>
      <c r="AH911" s="34"/>
      <c r="AI911" s="34"/>
      <c r="AJ911" s="34"/>
      <c r="AK911" s="34"/>
      <c r="AL911" s="34"/>
      <c r="AM911" s="34"/>
      <c r="AN911" s="34"/>
      <c r="AO911" s="34"/>
      <c r="AP911" s="34"/>
      <c r="AQ911" s="34"/>
      <c r="AR911" s="34"/>
      <c r="AS911" s="34"/>
      <c r="AT911" s="34"/>
      <c r="AU911" s="34"/>
      <c r="AV911" s="34"/>
      <c r="AW911" s="34"/>
      <c r="AX911" s="34"/>
      <c r="AY911" s="34"/>
      <c r="AZ911" s="34"/>
      <c r="BA911" s="34"/>
      <c r="BB911" s="34"/>
      <c r="BD911" s="34"/>
      <c r="BE911" s="34"/>
      <c r="BF911" s="34"/>
      <c r="BG911" s="34"/>
      <c r="BH911" s="34"/>
      <c r="BI911" s="34"/>
      <c r="BJ911" s="34"/>
      <c r="BK911" s="34"/>
      <c r="BL911" s="34"/>
      <c r="BM911" s="34"/>
      <c r="BN911" s="34"/>
      <c r="BO911" s="34"/>
      <c r="BP911" s="34"/>
      <c r="BQ911" s="34"/>
      <c r="BR911" s="34"/>
      <c r="BS911" s="34"/>
      <c r="BT911" s="34"/>
      <c r="BU911" s="34"/>
      <c r="BV911" s="34"/>
      <c r="BW911" s="34"/>
      <c r="BX911" s="34"/>
      <c r="BY911" s="34"/>
    </row>
    <row r="912" spans="1:77" x14ac:dyDescent="0.3">
      <c r="A912" s="39"/>
      <c r="B912" s="42"/>
      <c r="C912" s="42"/>
      <c r="D912" s="75"/>
      <c r="E912" s="75"/>
      <c r="F912" s="76"/>
      <c r="G912" s="47"/>
      <c r="H912" s="47"/>
      <c r="I912" s="75"/>
      <c r="J912" s="76"/>
      <c r="K912" s="76"/>
      <c r="L912" s="75"/>
      <c r="M912" s="49"/>
      <c r="N912" s="76"/>
      <c r="O912" s="49"/>
      <c r="P912" s="77"/>
      <c r="Q912" s="53"/>
      <c r="R912" s="54"/>
      <c r="S912" s="55"/>
      <c r="T912" s="56"/>
      <c r="U912" s="56"/>
      <c r="V912" s="42"/>
      <c r="W912" s="57"/>
      <c r="X912" s="58"/>
      <c r="Y912" s="75"/>
      <c r="Z912" s="59"/>
      <c r="AA912" s="61"/>
      <c r="AB912" s="61"/>
      <c r="AC912" s="61"/>
      <c r="AD912" s="62"/>
      <c r="AE912" s="62"/>
      <c r="AF912" s="34"/>
      <c r="AG912" s="34"/>
      <c r="AH912" s="34"/>
      <c r="AI912" s="34"/>
      <c r="AJ912" s="34"/>
      <c r="AK912" s="34"/>
      <c r="AL912" s="34"/>
      <c r="AM912" s="34"/>
      <c r="AN912" s="34"/>
      <c r="AO912" s="34"/>
      <c r="AP912" s="34"/>
      <c r="AQ912" s="34"/>
      <c r="AR912" s="34"/>
      <c r="AS912" s="34"/>
      <c r="AT912" s="34"/>
      <c r="AU912" s="34"/>
      <c r="AV912" s="34"/>
      <c r="AW912" s="34"/>
      <c r="AX912" s="34"/>
      <c r="AY912" s="34"/>
      <c r="AZ912" s="34"/>
      <c r="BA912" s="34"/>
      <c r="BB912" s="34"/>
      <c r="BD912" s="34"/>
      <c r="BE912" s="34"/>
      <c r="BF912" s="34"/>
      <c r="BG912" s="34"/>
      <c r="BH912" s="34"/>
      <c r="BI912" s="34"/>
      <c r="BJ912" s="34"/>
      <c r="BK912" s="34"/>
      <c r="BL912" s="34"/>
      <c r="BM912" s="34"/>
      <c r="BN912" s="34"/>
      <c r="BO912" s="34"/>
      <c r="BP912" s="34"/>
      <c r="BQ912" s="34"/>
      <c r="BR912" s="34"/>
      <c r="BS912" s="34"/>
      <c r="BT912" s="34"/>
      <c r="BU912" s="34"/>
      <c r="BV912" s="34"/>
      <c r="BW912" s="34"/>
      <c r="BX912" s="34"/>
      <c r="BY912" s="34"/>
    </row>
    <row r="913" spans="1:77" x14ac:dyDescent="0.3">
      <c r="A913" s="39"/>
      <c r="B913" s="42"/>
      <c r="C913" s="42"/>
      <c r="D913" s="75"/>
      <c r="E913" s="75"/>
      <c r="F913" s="76"/>
      <c r="G913" s="47"/>
      <c r="H913" s="47"/>
      <c r="I913" s="75"/>
      <c r="J913" s="76"/>
      <c r="K913" s="76"/>
      <c r="L913" s="75"/>
      <c r="M913" s="49"/>
      <c r="N913" s="76"/>
      <c r="O913" s="49"/>
      <c r="P913" s="77"/>
      <c r="Q913" s="53"/>
      <c r="R913" s="54"/>
      <c r="S913" s="55"/>
      <c r="T913" s="56"/>
      <c r="U913" s="56"/>
      <c r="V913" s="42"/>
      <c r="W913" s="57"/>
      <c r="X913" s="58"/>
      <c r="Y913" s="75"/>
      <c r="Z913" s="59"/>
      <c r="AA913" s="61"/>
      <c r="AB913" s="61"/>
      <c r="AC913" s="61"/>
      <c r="AD913" s="62"/>
      <c r="AE913" s="62"/>
      <c r="AF913" s="34"/>
      <c r="AG913" s="34"/>
      <c r="AH913" s="34"/>
      <c r="AI913" s="34"/>
      <c r="AJ913" s="34"/>
      <c r="AK913" s="34"/>
      <c r="AL913" s="34"/>
      <c r="AM913" s="34"/>
      <c r="AN913" s="34"/>
      <c r="AO913" s="34"/>
      <c r="AP913" s="34"/>
      <c r="AQ913" s="34"/>
      <c r="AR913" s="34"/>
      <c r="AS913" s="34"/>
      <c r="AT913" s="34"/>
      <c r="AU913" s="34"/>
      <c r="AV913" s="34"/>
      <c r="AW913" s="34"/>
      <c r="AX913" s="34"/>
      <c r="AY913" s="34"/>
      <c r="AZ913" s="34"/>
      <c r="BA913" s="34"/>
      <c r="BB913" s="34"/>
      <c r="BD913" s="34"/>
      <c r="BE913" s="34"/>
      <c r="BF913" s="34"/>
      <c r="BG913" s="34"/>
      <c r="BH913" s="34"/>
      <c r="BI913" s="34"/>
      <c r="BJ913" s="34"/>
      <c r="BK913" s="34"/>
      <c r="BL913" s="34"/>
      <c r="BM913" s="34"/>
      <c r="BN913" s="34"/>
      <c r="BO913" s="34"/>
      <c r="BP913" s="34"/>
      <c r="BQ913" s="34"/>
      <c r="BR913" s="34"/>
      <c r="BS913" s="34"/>
      <c r="BT913" s="34"/>
      <c r="BU913" s="34"/>
      <c r="BV913" s="34"/>
      <c r="BW913" s="34"/>
      <c r="BX913" s="34"/>
      <c r="BY913" s="34"/>
    </row>
    <row r="914" spans="1:77" x14ac:dyDescent="0.3">
      <c r="A914" s="39"/>
      <c r="B914" s="42"/>
      <c r="C914" s="42"/>
      <c r="D914" s="75"/>
      <c r="E914" s="75"/>
      <c r="F914" s="76"/>
      <c r="G914" s="47"/>
      <c r="H914" s="47"/>
      <c r="I914" s="75"/>
      <c r="J914" s="76"/>
      <c r="K914" s="76"/>
      <c r="L914" s="75"/>
      <c r="M914" s="49"/>
      <c r="N914" s="76"/>
      <c r="O914" s="49"/>
      <c r="P914" s="77"/>
      <c r="Q914" s="53"/>
      <c r="R914" s="54"/>
      <c r="S914" s="55"/>
      <c r="T914" s="56"/>
      <c r="U914" s="56"/>
      <c r="V914" s="42"/>
      <c r="W914" s="57"/>
      <c r="X914" s="58"/>
      <c r="Y914" s="75"/>
      <c r="Z914" s="59"/>
      <c r="AA914" s="61"/>
      <c r="AB914" s="61"/>
      <c r="AC914" s="61"/>
      <c r="AD914" s="62"/>
      <c r="AE914" s="62"/>
      <c r="AF914" s="34"/>
      <c r="AG914" s="34"/>
      <c r="AH914" s="34"/>
      <c r="AI914" s="34"/>
      <c r="AJ914" s="34"/>
      <c r="AK914" s="34"/>
      <c r="AL914" s="34"/>
      <c r="AM914" s="34"/>
      <c r="AN914" s="34"/>
      <c r="AO914" s="34"/>
      <c r="AP914" s="34"/>
      <c r="AQ914" s="34"/>
      <c r="AR914" s="34"/>
      <c r="AS914" s="34"/>
      <c r="AT914" s="34"/>
      <c r="AU914" s="34"/>
      <c r="AV914" s="34"/>
      <c r="AW914" s="34"/>
      <c r="AX914" s="34"/>
      <c r="AY914" s="34"/>
      <c r="AZ914" s="34"/>
      <c r="BA914" s="34"/>
      <c r="BB914" s="34"/>
      <c r="BD914" s="34"/>
      <c r="BE914" s="34"/>
      <c r="BF914" s="34"/>
      <c r="BG914" s="34"/>
      <c r="BH914" s="34"/>
      <c r="BI914" s="34"/>
      <c r="BJ914" s="34"/>
      <c r="BK914" s="34"/>
      <c r="BL914" s="34"/>
      <c r="BM914" s="34"/>
      <c r="BN914" s="34"/>
      <c r="BO914" s="34"/>
      <c r="BP914" s="34"/>
      <c r="BQ914" s="34"/>
      <c r="BR914" s="34"/>
      <c r="BS914" s="34"/>
      <c r="BT914" s="34"/>
      <c r="BU914" s="34"/>
      <c r="BV914" s="34"/>
      <c r="BW914" s="34"/>
      <c r="BX914" s="34"/>
      <c r="BY914" s="34"/>
    </row>
    <row r="915" spans="1:77" x14ac:dyDescent="0.3">
      <c r="A915" s="39"/>
      <c r="B915" s="42"/>
      <c r="C915" s="42"/>
      <c r="D915" s="75"/>
      <c r="E915" s="75"/>
      <c r="F915" s="76"/>
      <c r="G915" s="47"/>
      <c r="H915" s="47"/>
      <c r="I915" s="75"/>
      <c r="J915" s="76"/>
      <c r="K915" s="76"/>
      <c r="L915" s="75"/>
      <c r="M915" s="49"/>
      <c r="N915" s="76"/>
      <c r="O915" s="49"/>
      <c r="P915" s="77"/>
      <c r="Q915" s="53"/>
      <c r="R915" s="54"/>
      <c r="S915" s="55"/>
      <c r="T915" s="56"/>
      <c r="U915" s="56"/>
      <c r="V915" s="42"/>
      <c r="W915" s="57"/>
      <c r="X915" s="58"/>
      <c r="Y915" s="75"/>
      <c r="Z915" s="59"/>
      <c r="AA915" s="61"/>
      <c r="AB915" s="61"/>
      <c r="AC915" s="61"/>
      <c r="AD915" s="62"/>
      <c r="AE915" s="62"/>
      <c r="AF915" s="34"/>
      <c r="AG915" s="34"/>
      <c r="AH915" s="34"/>
      <c r="AI915" s="34"/>
      <c r="AJ915" s="34"/>
      <c r="AK915" s="34"/>
      <c r="AL915" s="34"/>
      <c r="AM915" s="34"/>
      <c r="AN915" s="34"/>
      <c r="AO915" s="34"/>
      <c r="AP915" s="34"/>
      <c r="AQ915" s="34"/>
      <c r="AR915" s="34"/>
      <c r="AS915" s="34"/>
      <c r="AT915" s="34"/>
      <c r="AU915" s="34"/>
      <c r="AV915" s="34"/>
      <c r="AW915" s="34"/>
      <c r="AX915" s="34"/>
      <c r="AY915" s="34"/>
      <c r="AZ915" s="34"/>
      <c r="BA915" s="34"/>
      <c r="BB915" s="34"/>
      <c r="BD915" s="34"/>
      <c r="BE915" s="34"/>
      <c r="BF915" s="34"/>
      <c r="BG915" s="34"/>
      <c r="BH915" s="34"/>
      <c r="BI915" s="34"/>
      <c r="BJ915" s="34"/>
      <c r="BK915" s="34"/>
      <c r="BL915" s="34"/>
      <c r="BM915" s="34"/>
      <c r="BN915" s="34"/>
      <c r="BO915" s="34"/>
      <c r="BP915" s="34"/>
      <c r="BQ915" s="34"/>
      <c r="BR915" s="34"/>
      <c r="BS915" s="34"/>
      <c r="BT915" s="34"/>
      <c r="BU915" s="34"/>
      <c r="BV915" s="34"/>
      <c r="BW915" s="34"/>
      <c r="BX915" s="34"/>
      <c r="BY915" s="34"/>
    </row>
    <row r="916" spans="1:77" x14ac:dyDescent="0.3">
      <c r="A916" s="39"/>
      <c r="B916" s="42"/>
      <c r="C916" s="42"/>
      <c r="D916" s="75"/>
      <c r="E916" s="75"/>
      <c r="F916" s="76"/>
      <c r="G916" s="47"/>
      <c r="H916" s="47"/>
      <c r="I916" s="75"/>
      <c r="J916" s="76"/>
      <c r="K916" s="76"/>
      <c r="L916" s="75"/>
      <c r="M916" s="49"/>
      <c r="N916" s="76"/>
      <c r="O916" s="49"/>
      <c r="P916" s="77"/>
      <c r="Q916" s="53"/>
      <c r="R916" s="54"/>
      <c r="S916" s="55"/>
      <c r="T916" s="56"/>
      <c r="U916" s="56"/>
      <c r="V916" s="42"/>
      <c r="W916" s="57"/>
      <c r="X916" s="58"/>
      <c r="Y916" s="75"/>
      <c r="Z916" s="59"/>
      <c r="AA916" s="61"/>
      <c r="AB916" s="61"/>
      <c r="AC916" s="61"/>
      <c r="AD916" s="62"/>
      <c r="AE916" s="62"/>
      <c r="AF916" s="34"/>
      <c r="AG916" s="34"/>
      <c r="AH916" s="34"/>
      <c r="AI916" s="34"/>
      <c r="AJ916" s="34"/>
      <c r="AK916" s="34"/>
      <c r="AL916" s="34"/>
      <c r="AM916" s="34"/>
      <c r="AN916" s="34"/>
      <c r="AO916" s="34"/>
      <c r="AP916" s="34"/>
      <c r="AQ916" s="34"/>
      <c r="AR916" s="34"/>
      <c r="AS916" s="34"/>
      <c r="AT916" s="34"/>
      <c r="AU916" s="34"/>
      <c r="AV916" s="34"/>
      <c r="AW916" s="34"/>
      <c r="AX916" s="34"/>
      <c r="AY916" s="34"/>
      <c r="AZ916" s="34"/>
      <c r="BA916" s="34"/>
      <c r="BB916" s="34"/>
      <c r="BD916" s="34"/>
      <c r="BE916" s="34"/>
      <c r="BF916" s="34"/>
      <c r="BG916" s="34"/>
      <c r="BH916" s="34"/>
      <c r="BI916" s="34"/>
      <c r="BJ916" s="34"/>
      <c r="BK916" s="34"/>
      <c r="BL916" s="34"/>
      <c r="BM916" s="34"/>
      <c r="BN916" s="34"/>
      <c r="BO916" s="34"/>
      <c r="BP916" s="34"/>
      <c r="BQ916" s="34"/>
      <c r="BR916" s="34"/>
      <c r="BS916" s="34"/>
      <c r="BT916" s="34"/>
      <c r="BU916" s="34"/>
      <c r="BV916" s="34"/>
      <c r="BW916" s="34"/>
      <c r="BX916" s="34"/>
      <c r="BY916" s="34"/>
    </row>
    <row r="917" spans="1:77" x14ac:dyDescent="0.3">
      <c r="A917" s="39"/>
      <c r="B917" s="42"/>
      <c r="C917" s="42"/>
      <c r="D917" s="75"/>
      <c r="E917" s="75"/>
      <c r="F917" s="76"/>
      <c r="G917" s="47"/>
      <c r="H917" s="47"/>
      <c r="I917" s="75"/>
      <c r="J917" s="76"/>
      <c r="K917" s="76"/>
      <c r="L917" s="75"/>
      <c r="M917" s="49"/>
      <c r="N917" s="76"/>
      <c r="O917" s="49"/>
      <c r="P917" s="77"/>
      <c r="Q917" s="53"/>
      <c r="R917" s="54"/>
      <c r="S917" s="55"/>
      <c r="T917" s="56"/>
      <c r="U917" s="56"/>
      <c r="V917" s="42"/>
      <c r="W917" s="57"/>
      <c r="X917" s="58"/>
      <c r="Y917" s="75"/>
      <c r="Z917" s="59"/>
      <c r="AA917" s="61"/>
      <c r="AB917" s="61"/>
      <c r="AC917" s="61"/>
      <c r="AD917" s="62"/>
      <c r="AE917" s="62"/>
      <c r="AF917" s="34"/>
      <c r="AG917" s="34"/>
      <c r="AH917" s="34"/>
      <c r="AI917" s="34"/>
      <c r="AJ917" s="34"/>
      <c r="AK917" s="34"/>
      <c r="AL917" s="34"/>
      <c r="AM917" s="34"/>
      <c r="AN917" s="34"/>
      <c r="AO917" s="34"/>
      <c r="AP917" s="34"/>
      <c r="AQ917" s="34"/>
      <c r="AR917" s="34"/>
      <c r="AS917" s="34"/>
      <c r="AT917" s="34"/>
      <c r="AU917" s="34"/>
      <c r="AV917" s="34"/>
      <c r="AW917" s="34"/>
      <c r="AX917" s="34"/>
      <c r="AY917" s="34"/>
      <c r="AZ917" s="34"/>
      <c r="BA917" s="34"/>
      <c r="BB917" s="34"/>
      <c r="BD917" s="34"/>
      <c r="BE917" s="34"/>
      <c r="BF917" s="34"/>
      <c r="BG917" s="34"/>
      <c r="BH917" s="34"/>
      <c r="BI917" s="34"/>
      <c r="BJ917" s="34"/>
      <c r="BK917" s="34"/>
      <c r="BL917" s="34"/>
      <c r="BM917" s="34"/>
      <c r="BN917" s="34"/>
      <c r="BO917" s="34"/>
      <c r="BP917" s="34"/>
      <c r="BQ917" s="34"/>
      <c r="BR917" s="34"/>
      <c r="BS917" s="34"/>
      <c r="BT917" s="34"/>
      <c r="BU917" s="34"/>
      <c r="BV917" s="34"/>
      <c r="BW917" s="34"/>
      <c r="BX917" s="34"/>
      <c r="BY917" s="34"/>
    </row>
    <row r="918" spans="1:77" x14ac:dyDescent="0.3">
      <c r="A918" s="39"/>
      <c r="B918" s="42"/>
      <c r="C918" s="42"/>
      <c r="D918" s="75"/>
      <c r="E918" s="75"/>
      <c r="F918" s="76"/>
      <c r="G918" s="47"/>
      <c r="H918" s="47"/>
      <c r="I918" s="75"/>
      <c r="J918" s="76"/>
      <c r="K918" s="76"/>
      <c r="L918" s="75"/>
      <c r="M918" s="49"/>
      <c r="N918" s="76"/>
      <c r="O918" s="49"/>
      <c r="P918" s="77"/>
      <c r="Q918" s="53"/>
      <c r="R918" s="54"/>
      <c r="S918" s="55"/>
      <c r="T918" s="56"/>
      <c r="U918" s="56"/>
      <c r="V918" s="42"/>
      <c r="W918" s="57"/>
      <c r="X918" s="58"/>
      <c r="Y918" s="75"/>
      <c r="Z918" s="59"/>
      <c r="AA918" s="61"/>
      <c r="AB918" s="61"/>
      <c r="AC918" s="61"/>
      <c r="AD918" s="62"/>
      <c r="AE918" s="62"/>
      <c r="AF918" s="34"/>
      <c r="AG918" s="34"/>
      <c r="AH918" s="34"/>
      <c r="AI918" s="34"/>
      <c r="AJ918" s="34"/>
      <c r="AK918" s="34"/>
      <c r="AL918" s="34"/>
      <c r="AM918" s="34"/>
      <c r="AN918" s="34"/>
      <c r="AO918" s="34"/>
      <c r="AP918" s="34"/>
      <c r="AQ918" s="34"/>
      <c r="AR918" s="34"/>
      <c r="AS918" s="34"/>
      <c r="AT918" s="34"/>
      <c r="AU918" s="34"/>
      <c r="AV918" s="34"/>
      <c r="AW918" s="34"/>
      <c r="AX918" s="34"/>
      <c r="AY918" s="34"/>
      <c r="AZ918" s="34"/>
      <c r="BA918" s="34"/>
      <c r="BB918" s="34"/>
      <c r="BD918" s="34"/>
      <c r="BE918" s="34"/>
      <c r="BF918" s="34"/>
      <c r="BG918" s="34"/>
      <c r="BH918" s="34"/>
      <c r="BI918" s="34"/>
      <c r="BJ918" s="34"/>
      <c r="BK918" s="34"/>
      <c r="BL918" s="34"/>
      <c r="BM918" s="34"/>
      <c r="BN918" s="34"/>
      <c r="BO918" s="34"/>
      <c r="BP918" s="34"/>
      <c r="BQ918" s="34"/>
      <c r="BR918" s="34"/>
      <c r="BS918" s="34"/>
      <c r="BT918" s="34"/>
      <c r="BU918" s="34"/>
      <c r="BV918" s="34"/>
      <c r="BW918" s="34"/>
      <c r="BX918" s="34"/>
      <c r="BY918" s="34"/>
    </row>
    <row r="919" spans="1:77" x14ac:dyDescent="0.3">
      <c r="A919" s="39"/>
      <c r="B919" s="42"/>
      <c r="C919" s="42"/>
      <c r="D919" s="75"/>
      <c r="E919" s="75"/>
      <c r="F919" s="76"/>
      <c r="G919" s="47"/>
      <c r="H919" s="47"/>
      <c r="I919" s="75"/>
      <c r="J919" s="76"/>
      <c r="K919" s="76"/>
      <c r="L919" s="75"/>
      <c r="M919" s="49"/>
      <c r="N919" s="76"/>
      <c r="O919" s="49"/>
      <c r="P919" s="77"/>
      <c r="Q919" s="53"/>
      <c r="R919" s="54"/>
      <c r="S919" s="55"/>
      <c r="T919" s="56"/>
      <c r="U919" s="56"/>
      <c r="V919" s="42"/>
      <c r="W919" s="57"/>
      <c r="X919" s="58"/>
      <c r="Y919" s="75"/>
      <c r="Z919" s="59"/>
      <c r="AA919" s="61"/>
      <c r="AB919" s="61"/>
      <c r="AC919" s="61"/>
      <c r="AD919" s="62"/>
      <c r="AE919" s="62"/>
      <c r="AF919" s="34"/>
      <c r="AG919" s="34"/>
      <c r="AH919" s="34"/>
      <c r="AI919" s="34"/>
      <c r="AJ919" s="34"/>
      <c r="AK919" s="34"/>
      <c r="AL919" s="34"/>
      <c r="AM919" s="34"/>
      <c r="AN919" s="34"/>
      <c r="AO919" s="34"/>
      <c r="AP919" s="34"/>
      <c r="AQ919" s="34"/>
      <c r="AR919" s="34"/>
      <c r="AS919" s="34"/>
      <c r="AT919" s="34"/>
      <c r="AU919" s="34"/>
      <c r="AV919" s="34"/>
      <c r="AW919" s="34"/>
      <c r="AX919" s="34"/>
      <c r="AY919" s="34"/>
      <c r="AZ919" s="34"/>
      <c r="BA919" s="34"/>
      <c r="BB919" s="34"/>
      <c r="BD919" s="34"/>
      <c r="BE919" s="34"/>
      <c r="BF919" s="34"/>
      <c r="BG919" s="34"/>
      <c r="BH919" s="34"/>
      <c r="BI919" s="34"/>
      <c r="BJ919" s="34"/>
      <c r="BK919" s="34"/>
      <c r="BL919" s="34"/>
      <c r="BM919" s="34"/>
      <c r="BN919" s="34"/>
      <c r="BO919" s="34"/>
      <c r="BP919" s="34"/>
      <c r="BQ919" s="34"/>
      <c r="BR919" s="34"/>
      <c r="BS919" s="34"/>
      <c r="BT919" s="34"/>
      <c r="BU919" s="34"/>
      <c r="BV919" s="34"/>
      <c r="BW919" s="34"/>
      <c r="BX919" s="34"/>
      <c r="BY919" s="34"/>
    </row>
    <row r="920" spans="1:77" x14ac:dyDescent="0.3">
      <c r="A920" s="39"/>
      <c r="B920" s="42"/>
      <c r="C920" s="42"/>
      <c r="D920" s="75"/>
      <c r="E920" s="75"/>
      <c r="F920" s="76"/>
      <c r="G920" s="47"/>
      <c r="H920" s="47"/>
      <c r="I920" s="75"/>
      <c r="J920" s="76"/>
      <c r="K920" s="76"/>
      <c r="L920" s="75"/>
      <c r="M920" s="49"/>
      <c r="N920" s="76"/>
      <c r="O920" s="49"/>
      <c r="P920" s="77"/>
      <c r="Q920" s="53"/>
      <c r="R920" s="54"/>
      <c r="S920" s="55"/>
      <c r="T920" s="56"/>
      <c r="U920" s="56"/>
      <c r="V920" s="42"/>
      <c r="W920" s="57"/>
      <c r="X920" s="58"/>
      <c r="Y920" s="75"/>
      <c r="Z920" s="59"/>
      <c r="AA920" s="61"/>
      <c r="AB920" s="61"/>
      <c r="AC920" s="61"/>
      <c r="AD920" s="62"/>
      <c r="AE920" s="62"/>
      <c r="AF920" s="34"/>
      <c r="AG920" s="34"/>
      <c r="AH920" s="34"/>
      <c r="AI920" s="34"/>
      <c r="AJ920" s="34"/>
      <c r="AK920" s="34"/>
      <c r="AL920" s="34"/>
      <c r="AM920" s="34"/>
      <c r="AN920" s="34"/>
      <c r="AO920" s="34"/>
      <c r="AP920" s="34"/>
      <c r="AQ920" s="34"/>
      <c r="AR920" s="34"/>
      <c r="AS920" s="34"/>
      <c r="AT920" s="34"/>
      <c r="AU920" s="34"/>
      <c r="AV920" s="34"/>
      <c r="AW920" s="34"/>
      <c r="AX920" s="34"/>
      <c r="AY920" s="34"/>
      <c r="AZ920" s="34"/>
      <c r="BA920" s="34"/>
      <c r="BB920" s="34"/>
      <c r="BD920" s="34"/>
      <c r="BE920" s="34"/>
      <c r="BF920" s="34"/>
      <c r="BG920" s="34"/>
      <c r="BH920" s="34"/>
      <c r="BI920" s="34"/>
      <c r="BJ920" s="34"/>
      <c r="BK920" s="34"/>
      <c r="BL920" s="34"/>
      <c r="BM920" s="34"/>
      <c r="BN920" s="34"/>
      <c r="BO920" s="34"/>
      <c r="BP920" s="34"/>
      <c r="BQ920" s="34"/>
      <c r="BR920" s="34"/>
      <c r="BS920" s="34"/>
      <c r="BT920" s="34"/>
      <c r="BU920" s="34"/>
      <c r="BV920" s="34"/>
      <c r="BW920" s="34"/>
      <c r="BX920" s="34"/>
      <c r="BY920" s="34"/>
    </row>
    <row r="921" spans="1:77" x14ac:dyDescent="0.3">
      <c r="A921" s="39"/>
      <c r="B921" s="42"/>
      <c r="C921" s="42"/>
      <c r="D921" s="75"/>
      <c r="E921" s="75"/>
      <c r="F921" s="76"/>
      <c r="G921" s="47"/>
      <c r="H921" s="47"/>
      <c r="I921" s="75"/>
      <c r="J921" s="76"/>
      <c r="K921" s="76"/>
      <c r="L921" s="75"/>
      <c r="M921" s="49"/>
      <c r="N921" s="76"/>
      <c r="O921" s="49"/>
      <c r="P921" s="77"/>
      <c r="Q921" s="53"/>
      <c r="R921" s="54"/>
      <c r="S921" s="55"/>
      <c r="T921" s="56"/>
      <c r="U921" s="56"/>
      <c r="V921" s="42"/>
      <c r="W921" s="57"/>
      <c r="X921" s="58"/>
      <c r="Y921" s="75"/>
      <c r="Z921" s="59"/>
      <c r="AA921" s="61"/>
      <c r="AB921" s="61"/>
      <c r="AC921" s="61"/>
      <c r="AD921" s="62"/>
      <c r="AE921" s="62"/>
      <c r="AF921" s="34"/>
      <c r="AG921" s="34"/>
      <c r="AH921" s="34"/>
      <c r="AI921" s="34"/>
      <c r="AJ921" s="34"/>
      <c r="AK921" s="34"/>
      <c r="AL921" s="34"/>
      <c r="AM921" s="34"/>
      <c r="AN921" s="34"/>
      <c r="AO921" s="34"/>
      <c r="AP921" s="34"/>
      <c r="AQ921" s="34"/>
      <c r="AR921" s="34"/>
      <c r="AS921" s="34"/>
      <c r="AT921" s="34"/>
      <c r="AU921" s="34"/>
      <c r="AV921" s="34"/>
      <c r="AW921" s="34"/>
      <c r="AX921" s="34"/>
      <c r="AY921" s="34"/>
      <c r="AZ921" s="34"/>
      <c r="BA921" s="34"/>
      <c r="BB921" s="34"/>
      <c r="BD921" s="34"/>
      <c r="BE921" s="34"/>
      <c r="BF921" s="34"/>
      <c r="BG921" s="34"/>
      <c r="BH921" s="34"/>
      <c r="BI921" s="34"/>
      <c r="BJ921" s="34"/>
      <c r="BK921" s="34"/>
      <c r="BL921" s="34"/>
      <c r="BM921" s="34"/>
      <c r="BN921" s="34"/>
      <c r="BO921" s="34"/>
      <c r="BP921" s="34"/>
      <c r="BQ921" s="34"/>
      <c r="BR921" s="34"/>
      <c r="BS921" s="34"/>
      <c r="BT921" s="34"/>
      <c r="BU921" s="34"/>
      <c r="BV921" s="34"/>
      <c r="BW921" s="34"/>
      <c r="BX921" s="34"/>
      <c r="BY921" s="34"/>
    </row>
    <row r="922" spans="1:77" x14ac:dyDescent="0.3">
      <c r="A922" s="39"/>
      <c r="B922" s="42"/>
      <c r="C922" s="42"/>
      <c r="D922" s="75"/>
      <c r="E922" s="75"/>
      <c r="F922" s="76"/>
      <c r="G922" s="47"/>
      <c r="H922" s="47"/>
      <c r="I922" s="75"/>
      <c r="J922" s="76"/>
      <c r="K922" s="76"/>
      <c r="L922" s="75"/>
      <c r="M922" s="49"/>
      <c r="N922" s="76"/>
      <c r="O922" s="49"/>
      <c r="P922" s="77"/>
      <c r="Q922" s="53"/>
      <c r="R922" s="54"/>
      <c r="S922" s="55"/>
      <c r="T922" s="56"/>
      <c r="U922" s="56"/>
      <c r="V922" s="42"/>
      <c r="W922" s="57"/>
      <c r="X922" s="58"/>
      <c r="Y922" s="75"/>
      <c r="Z922" s="59"/>
      <c r="AA922" s="61"/>
      <c r="AB922" s="61"/>
      <c r="AC922" s="61"/>
      <c r="AD922" s="62"/>
      <c r="AE922" s="62"/>
      <c r="AF922" s="34"/>
      <c r="AG922" s="34"/>
      <c r="AH922" s="34"/>
      <c r="AI922" s="34"/>
      <c r="AJ922" s="34"/>
      <c r="AK922" s="34"/>
      <c r="AL922" s="34"/>
      <c r="AM922" s="34"/>
      <c r="AN922" s="34"/>
      <c r="AO922" s="34"/>
      <c r="AP922" s="34"/>
      <c r="AQ922" s="34"/>
      <c r="AR922" s="34"/>
      <c r="AS922" s="34"/>
      <c r="AT922" s="34"/>
      <c r="AU922" s="34"/>
      <c r="AV922" s="34"/>
      <c r="AW922" s="34"/>
      <c r="AX922" s="34"/>
      <c r="AY922" s="34"/>
      <c r="AZ922" s="34"/>
      <c r="BA922" s="34"/>
      <c r="BB922" s="34"/>
      <c r="BD922" s="34"/>
      <c r="BE922" s="34"/>
      <c r="BF922" s="34"/>
      <c r="BG922" s="34"/>
      <c r="BH922" s="34"/>
      <c r="BI922" s="34"/>
      <c r="BJ922" s="34"/>
      <c r="BK922" s="34"/>
      <c r="BL922" s="34"/>
      <c r="BM922" s="34"/>
      <c r="BN922" s="34"/>
      <c r="BO922" s="34"/>
      <c r="BP922" s="34"/>
      <c r="BQ922" s="34"/>
      <c r="BR922" s="34"/>
      <c r="BS922" s="34"/>
      <c r="BT922" s="34"/>
      <c r="BU922" s="34"/>
      <c r="BV922" s="34"/>
      <c r="BW922" s="34"/>
      <c r="BX922" s="34"/>
      <c r="BY922" s="34"/>
    </row>
    <row r="923" spans="1:77" x14ac:dyDescent="0.3">
      <c r="A923" s="39"/>
      <c r="B923" s="42"/>
      <c r="C923" s="42"/>
      <c r="D923" s="75"/>
      <c r="E923" s="75"/>
      <c r="F923" s="76"/>
      <c r="G923" s="47"/>
      <c r="H923" s="47"/>
      <c r="I923" s="75"/>
      <c r="J923" s="76"/>
      <c r="K923" s="76"/>
      <c r="L923" s="75"/>
      <c r="M923" s="49"/>
      <c r="N923" s="76"/>
      <c r="O923" s="49"/>
      <c r="P923" s="77"/>
      <c r="Q923" s="53"/>
      <c r="R923" s="54"/>
      <c r="S923" s="55"/>
      <c r="T923" s="56"/>
      <c r="U923" s="56"/>
      <c r="V923" s="42"/>
      <c r="W923" s="57"/>
      <c r="X923" s="58"/>
      <c r="Y923" s="75"/>
      <c r="Z923" s="59"/>
      <c r="AA923" s="61"/>
      <c r="AB923" s="61"/>
      <c r="AC923" s="61"/>
      <c r="AD923" s="62"/>
      <c r="AE923" s="62"/>
      <c r="AF923" s="34"/>
      <c r="AG923" s="34"/>
      <c r="AH923" s="34"/>
      <c r="AI923" s="34"/>
      <c r="AJ923" s="34"/>
      <c r="AK923" s="34"/>
      <c r="AL923" s="34"/>
      <c r="AM923" s="34"/>
      <c r="AN923" s="34"/>
      <c r="AO923" s="34"/>
      <c r="AP923" s="34"/>
      <c r="AQ923" s="34"/>
      <c r="AR923" s="34"/>
      <c r="AS923" s="34"/>
      <c r="AT923" s="34"/>
      <c r="AU923" s="34"/>
      <c r="AV923" s="34"/>
      <c r="AW923" s="34"/>
      <c r="AX923" s="34"/>
      <c r="AY923" s="34"/>
      <c r="AZ923" s="34"/>
      <c r="BA923" s="34"/>
      <c r="BB923" s="34"/>
      <c r="BD923" s="34"/>
      <c r="BE923" s="34"/>
      <c r="BF923" s="34"/>
      <c r="BG923" s="34"/>
      <c r="BH923" s="34"/>
      <c r="BI923" s="34"/>
      <c r="BJ923" s="34"/>
      <c r="BK923" s="34"/>
      <c r="BL923" s="34"/>
      <c r="BM923" s="34"/>
      <c r="BN923" s="34"/>
      <c r="BO923" s="34"/>
      <c r="BP923" s="34"/>
      <c r="BQ923" s="34"/>
      <c r="BR923" s="34"/>
      <c r="BS923" s="34"/>
      <c r="BT923" s="34"/>
      <c r="BU923" s="34"/>
      <c r="BV923" s="34"/>
      <c r="BW923" s="34"/>
      <c r="BX923" s="34"/>
      <c r="BY923" s="34"/>
    </row>
    <row r="924" spans="1:77" x14ac:dyDescent="0.3">
      <c r="A924" s="39"/>
      <c r="B924" s="42"/>
      <c r="C924" s="42"/>
      <c r="D924" s="75"/>
      <c r="E924" s="75"/>
      <c r="F924" s="76"/>
      <c r="G924" s="47"/>
      <c r="H924" s="47"/>
      <c r="I924" s="75"/>
      <c r="J924" s="76"/>
      <c r="K924" s="76"/>
      <c r="L924" s="75"/>
      <c r="M924" s="49"/>
      <c r="N924" s="76"/>
      <c r="O924" s="49"/>
      <c r="P924" s="77"/>
      <c r="Q924" s="53"/>
      <c r="R924" s="54"/>
      <c r="S924" s="55"/>
      <c r="T924" s="56"/>
      <c r="U924" s="56"/>
      <c r="V924" s="42"/>
      <c r="W924" s="57"/>
      <c r="X924" s="58"/>
      <c r="Y924" s="75"/>
      <c r="Z924" s="59"/>
      <c r="AA924" s="61"/>
      <c r="AB924" s="61"/>
      <c r="AC924" s="61"/>
      <c r="AD924" s="62"/>
      <c r="AE924" s="62"/>
      <c r="AF924" s="34"/>
      <c r="AG924" s="34"/>
      <c r="AH924" s="34"/>
      <c r="AI924" s="34"/>
      <c r="AJ924" s="34"/>
      <c r="AK924" s="34"/>
      <c r="AL924" s="34"/>
      <c r="AM924" s="34"/>
      <c r="AN924" s="34"/>
      <c r="AO924" s="34"/>
      <c r="AP924" s="34"/>
      <c r="AQ924" s="34"/>
      <c r="AR924" s="34"/>
      <c r="AS924" s="34"/>
      <c r="AT924" s="34"/>
      <c r="AU924" s="34"/>
      <c r="AV924" s="34"/>
      <c r="AW924" s="34"/>
      <c r="AX924" s="34"/>
      <c r="AY924" s="34"/>
      <c r="AZ924" s="34"/>
      <c r="BA924" s="34"/>
      <c r="BB924" s="34"/>
      <c r="BD924" s="34"/>
      <c r="BE924" s="34"/>
      <c r="BF924" s="34"/>
      <c r="BG924" s="34"/>
      <c r="BH924" s="34"/>
      <c r="BI924" s="34"/>
      <c r="BJ924" s="34"/>
      <c r="BK924" s="34"/>
      <c r="BL924" s="34"/>
      <c r="BM924" s="34"/>
      <c r="BN924" s="34"/>
      <c r="BO924" s="34"/>
      <c r="BP924" s="34"/>
      <c r="BQ924" s="34"/>
      <c r="BR924" s="34"/>
      <c r="BS924" s="34"/>
      <c r="BT924" s="34"/>
      <c r="BU924" s="34"/>
      <c r="BV924" s="34"/>
      <c r="BW924" s="34"/>
      <c r="BX924" s="34"/>
      <c r="BY924" s="34"/>
    </row>
    <row r="925" spans="1:77" x14ac:dyDescent="0.3">
      <c r="A925" s="39"/>
      <c r="B925" s="42"/>
      <c r="C925" s="42"/>
      <c r="D925" s="75"/>
      <c r="E925" s="75"/>
      <c r="F925" s="76"/>
      <c r="G925" s="47"/>
      <c r="H925" s="47"/>
      <c r="I925" s="75"/>
      <c r="J925" s="76"/>
      <c r="K925" s="76"/>
      <c r="L925" s="75"/>
      <c r="M925" s="49"/>
      <c r="N925" s="76"/>
      <c r="O925" s="49"/>
      <c r="P925" s="77"/>
      <c r="Q925" s="53"/>
      <c r="R925" s="54"/>
      <c r="S925" s="55"/>
      <c r="T925" s="56"/>
      <c r="U925" s="56"/>
      <c r="V925" s="42"/>
      <c r="W925" s="57"/>
      <c r="X925" s="58"/>
      <c r="Y925" s="75"/>
      <c r="Z925" s="59"/>
      <c r="AA925" s="61"/>
      <c r="AB925" s="61"/>
      <c r="AC925" s="61"/>
      <c r="AD925" s="62"/>
      <c r="AE925" s="62"/>
      <c r="AF925" s="34"/>
      <c r="AG925" s="34"/>
      <c r="AH925" s="34"/>
      <c r="AI925" s="34"/>
      <c r="AJ925" s="34"/>
      <c r="AK925" s="34"/>
      <c r="AL925" s="34"/>
      <c r="AM925" s="34"/>
      <c r="AN925" s="34"/>
      <c r="AO925" s="34"/>
      <c r="AP925" s="34"/>
      <c r="AQ925" s="34"/>
      <c r="AR925" s="34"/>
      <c r="AS925" s="34"/>
      <c r="AT925" s="34"/>
      <c r="AU925" s="34"/>
      <c r="AV925" s="34"/>
      <c r="AW925" s="34"/>
      <c r="AX925" s="34"/>
      <c r="AY925" s="34"/>
      <c r="AZ925" s="34"/>
      <c r="BA925" s="34"/>
      <c r="BB925" s="34"/>
      <c r="BD925" s="34"/>
      <c r="BE925" s="34"/>
      <c r="BF925" s="34"/>
      <c r="BG925" s="34"/>
      <c r="BH925" s="34"/>
      <c r="BI925" s="34"/>
      <c r="BJ925" s="34"/>
      <c r="BK925" s="34"/>
      <c r="BL925" s="34"/>
      <c r="BM925" s="34"/>
      <c r="BN925" s="34"/>
      <c r="BO925" s="34"/>
      <c r="BP925" s="34"/>
      <c r="BQ925" s="34"/>
      <c r="BR925" s="34"/>
      <c r="BS925" s="34"/>
      <c r="BT925" s="34"/>
      <c r="BU925" s="34"/>
      <c r="BV925" s="34"/>
      <c r="BW925" s="34"/>
      <c r="BX925" s="34"/>
      <c r="BY925" s="34"/>
    </row>
    <row r="926" spans="1:77" x14ac:dyDescent="0.3">
      <c r="A926" s="39"/>
      <c r="B926" s="42"/>
      <c r="C926" s="42"/>
      <c r="D926" s="75"/>
      <c r="E926" s="75"/>
      <c r="F926" s="76"/>
      <c r="G926" s="47"/>
      <c r="H926" s="47"/>
      <c r="I926" s="75"/>
      <c r="J926" s="76"/>
      <c r="K926" s="76"/>
      <c r="L926" s="75"/>
      <c r="M926" s="49"/>
      <c r="N926" s="76"/>
      <c r="O926" s="49"/>
      <c r="P926" s="77"/>
      <c r="Q926" s="53"/>
      <c r="R926" s="54"/>
      <c r="S926" s="55"/>
      <c r="T926" s="56"/>
      <c r="U926" s="56"/>
      <c r="V926" s="42"/>
      <c r="W926" s="57"/>
      <c r="X926" s="58"/>
      <c r="Y926" s="75"/>
      <c r="Z926" s="59"/>
      <c r="AA926" s="61"/>
      <c r="AB926" s="61"/>
      <c r="AC926" s="61"/>
      <c r="AD926" s="62"/>
      <c r="AE926" s="62"/>
      <c r="AF926" s="34"/>
      <c r="AG926" s="34"/>
      <c r="AH926" s="34"/>
      <c r="AI926" s="34"/>
      <c r="AJ926" s="34"/>
      <c r="AK926" s="34"/>
      <c r="AL926" s="34"/>
      <c r="AM926" s="34"/>
      <c r="AN926" s="34"/>
      <c r="AO926" s="34"/>
      <c r="AP926" s="34"/>
      <c r="AQ926" s="34"/>
      <c r="AR926" s="34"/>
      <c r="AS926" s="34"/>
      <c r="AT926" s="34"/>
      <c r="AU926" s="34"/>
      <c r="AV926" s="34"/>
      <c r="AW926" s="34"/>
      <c r="AX926" s="34"/>
      <c r="AY926" s="34"/>
      <c r="AZ926" s="34"/>
      <c r="BA926" s="34"/>
      <c r="BB926" s="34"/>
      <c r="BD926" s="34"/>
      <c r="BE926" s="34"/>
      <c r="BF926" s="34"/>
      <c r="BG926" s="34"/>
      <c r="BH926" s="34"/>
      <c r="BI926" s="34"/>
      <c r="BJ926" s="34"/>
      <c r="BK926" s="34"/>
      <c r="BL926" s="34"/>
      <c r="BM926" s="34"/>
      <c r="BN926" s="34"/>
      <c r="BO926" s="34"/>
      <c r="BP926" s="34"/>
      <c r="BQ926" s="34"/>
      <c r="BR926" s="34"/>
      <c r="BS926" s="34"/>
      <c r="BT926" s="34"/>
      <c r="BU926" s="34"/>
      <c r="BV926" s="34"/>
      <c r="BW926" s="34"/>
      <c r="BX926" s="34"/>
      <c r="BY926" s="34"/>
    </row>
    <row r="927" spans="1:77" x14ac:dyDescent="0.3">
      <c r="A927" s="39"/>
      <c r="B927" s="42"/>
      <c r="C927" s="42"/>
      <c r="D927" s="75"/>
      <c r="E927" s="75"/>
      <c r="F927" s="76"/>
      <c r="G927" s="47"/>
      <c r="H927" s="47"/>
      <c r="I927" s="75"/>
      <c r="J927" s="76"/>
      <c r="K927" s="76"/>
      <c r="L927" s="75"/>
      <c r="M927" s="49"/>
      <c r="N927" s="76"/>
      <c r="O927" s="49"/>
      <c r="P927" s="77"/>
      <c r="Q927" s="53"/>
      <c r="R927" s="54"/>
      <c r="S927" s="55"/>
      <c r="T927" s="56"/>
      <c r="U927" s="56"/>
      <c r="V927" s="42"/>
      <c r="W927" s="57"/>
      <c r="X927" s="58"/>
      <c r="Y927" s="75"/>
      <c r="Z927" s="59"/>
      <c r="AA927" s="61"/>
      <c r="AB927" s="61"/>
      <c r="AC927" s="61"/>
      <c r="AD927" s="62"/>
      <c r="AE927" s="62"/>
      <c r="AF927" s="34"/>
      <c r="AG927" s="34"/>
      <c r="AH927" s="34"/>
      <c r="AI927" s="34"/>
      <c r="AJ927" s="34"/>
      <c r="AK927" s="34"/>
      <c r="AL927" s="34"/>
      <c r="AM927" s="34"/>
      <c r="AN927" s="34"/>
      <c r="AO927" s="34"/>
      <c r="AP927" s="34"/>
      <c r="AQ927" s="34"/>
      <c r="AR927" s="34"/>
      <c r="AS927" s="34"/>
      <c r="AT927" s="34"/>
      <c r="AU927" s="34"/>
      <c r="AV927" s="34"/>
      <c r="AW927" s="34"/>
      <c r="AX927" s="34"/>
      <c r="AY927" s="34"/>
      <c r="AZ927" s="34"/>
      <c r="BA927" s="34"/>
      <c r="BB927" s="34"/>
      <c r="BD927" s="34"/>
      <c r="BE927" s="34"/>
      <c r="BF927" s="34"/>
      <c r="BG927" s="34"/>
      <c r="BH927" s="34"/>
      <c r="BI927" s="34"/>
      <c r="BJ927" s="34"/>
      <c r="BK927" s="34"/>
      <c r="BL927" s="34"/>
      <c r="BM927" s="34"/>
      <c r="BN927" s="34"/>
      <c r="BO927" s="34"/>
      <c r="BP927" s="34"/>
      <c r="BQ927" s="34"/>
      <c r="BR927" s="34"/>
      <c r="BS927" s="34"/>
      <c r="BT927" s="34"/>
      <c r="BU927" s="34"/>
      <c r="BV927" s="34"/>
      <c r="BW927" s="34"/>
      <c r="BX927" s="34"/>
      <c r="BY927" s="34"/>
    </row>
    <row r="928" spans="1:77" x14ac:dyDescent="0.3">
      <c r="A928" s="39"/>
      <c r="B928" s="42"/>
      <c r="C928" s="42"/>
      <c r="D928" s="75"/>
      <c r="E928" s="75"/>
      <c r="F928" s="76"/>
      <c r="G928" s="47"/>
      <c r="H928" s="47"/>
      <c r="I928" s="75"/>
      <c r="J928" s="76"/>
      <c r="K928" s="76"/>
      <c r="L928" s="75"/>
      <c r="M928" s="49"/>
      <c r="N928" s="76"/>
      <c r="O928" s="49"/>
      <c r="P928" s="77"/>
      <c r="Q928" s="53"/>
      <c r="R928" s="54"/>
      <c r="S928" s="55"/>
      <c r="T928" s="56"/>
      <c r="U928" s="56"/>
      <c r="V928" s="42"/>
      <c r="W928" s="57"/>
      <c r="X928" s="58"/>
      <c r="Y928" s="75"/>
      <c r="Z928" s="59"/>
      <c r="AA928" s="61"/>
      <c r="AB928" s="61"/>
      <c r="AC928" s="61"/>
      <c r="AD928" s="62"/>
      <c r="AE928" s="62"/>
      <c r="AF928" s="34"/>
      <c r="AG928" s="34"/>
      <c r="AH928" s="34"/>
      <c r="AI928" s="34"/>
      <c r="AJ928" s="34"/>
      <c r="AK928" s="34"/>
      <c r="AL928" s="34"/>
      <c r="AM928" s="34"/>
      <c r="AN928" s="34"/>
      <c r="AO928" s="34"/>
      <c r="AP928" s="34"/>
      <c r="AQ928" s="34"/>
      <c r="AR928" s="34"/>
      <c r="AS928" s="34"/>
      <c r="AT928" s="34"/>
      <c r="AU928" s="34"/>
      <c r="AV928" s="34"/>
      <c r="AW928" s="34"/>
      <c r="AX928" s="34"/>
      <c r="AY928" s="34"/>
      <c r="AZ928" s="34"/>
      <c r="BA928" s="34"/>
      <c r="BB928" s="34"/>
      <c r="BD928" s="34"/>
      <c r="BE928" s="34"/>
      <c r="BF928" s="34"/>
      <c r="BG928" s="34"/>
      <c r="BH928" s="34"/>
      <c r="BI928" s="34"/>
      <c r="BJ928" s="34"/>
      <c r="BK928" s="34"/>
      <c r="BL928" s="34"/>
      <c r="BM928" s="34"/>
      <c r="BN928" s="34"/>
      <c r="BO928" s="34"/>
      <c r="BP928" s="34"/>
      <c r="BQ928" s="34"/>
      <c r="BR928" s="34"/>
      <c r="BS928" s="34"/>
      <c r="BT928" s="34"/>
      <c r="BU928" s="34"/>
      <c r="BV928" s="34"/>
      <c r="BW928" s="34"/>
      <c r="BX928" s="34"/>
      <c r="BY928" s="34"/>
    </row>
    <row r="929" spans="1:77" x14ac:dyDescent="0.3">
      <c r="A929" s="39"/>
      <c r="B929" s="42"/>
      <c r="C929" s="42"/>
      <c r="D929" s="75"/>
      <c r="E929" s="75"/>
      <c r="F929" s="76"/>
      <c r="G929" s="47"/>
      <c r="H929" s="47"/>
      <c r="I929" s="75"/>
      <c r="J929" s="76"/>
      <c r="K929" s="76"/>
      <c r="L929" s="75"/>
      <c r="M929" s="49"/>
      <c r="N929" s="76"/>
      <c r="O929" s="49"/>
      <c r="P929" s="77"/>
      <c r="Q929" s="53"/>
      <c r="R929" s="54"/>
      <c r="S929" s="55"/>
      <c r="T929" s="56"/>
      <c r="U929" s="56"/>
      <c r="V929" s="42"/>
      <c r="W929" s="57"/>
      <c r="X929" s="58"/>
      <c r="Y929" s="75"/>
      <c r="Z929" s="59"/>
      <c r="AA929" s="61"/>
      <c r="AB929" s="61"/>
      <c r="AC929" s="61"/>
      <c r="AD929" s="62"/>
      <c r="AE929" s="62"/>
      <c r="AF929" s="34"/>
      <c r="AG929" s="34"/>
      <c r="AH929" s="34"/>
      <c r="AI929" s="34"/>
      <c r="AJ929" s="34"/>
      <c r="AK929" s="34"/>
      <c r="AL929" s="34"/>
      <c r="AM929" s="34"/>
      <c r="AN929" s="34"/>
      <c r="AO929" s="34"/>
      <c r="AP929" s="34"/>
      <c r="AQ929" s="34"/>
      <c r="AR929" s="34"/>
      <c r="AS929" s="34"/>
      <c r="AT929" s="34"/>
      <c r="AU929" s="34"/>
      <c r="AV929" s="34"/>
      <c r="AW929" s="34"/>
      <c r="AX929" s="34"/>
      <c r="AY929" s="34"/>
      <c r="AZ929" s="34"/>
      <c r="BA929" s="34"/>
      <c r="BB929" s="34"/>
      <c r="BD929" s="34"/>
      <c r="BE929" s="34"/>
      <c r="BF929" s="34"/>
      <c r="BG929" s="34"/>
      <c r="BH929" s="34"/>
      <c r="BI929" s="34"/>
      <c r="BJ929" s="34"/>
      <c r="BK929" s="34"/>
      <c r="BL929" s="34"/>
      <c r="BM929" s="34"/>
      <c r="BN929" s="34"/>
      <c r="BO929" s="34"/>
      <c r="BP929" s="34"/>
      <c r="BQ929" s="34"/>
      <c r="BR929" s="34"/>
      <c r="BS929" s="34"/>
      <c r="BT929" s="34"/>
      <c r="BU929" s="34"/>
      <c r="BV929" s="34"/>
      <c r="BW929" s="34"/>
      <c r="BX929" s="34"/>
      <c r="BY929" s="34"/>
    </row>
    <row r="930" spans="1:77" x14ac:dyDescent="0.3">
      <c r="A930" s="39"/>
      <c r="B930" s="42"/>
      <c r="C930" s="42"/>
      <c r="D930" s="75"/>
      <c r="E930" s="75"/>
      <c r="F930" s="76"/>
      <c r="G930" s="47"/>
      <c r="H930" s="47"/>
      <c r="I930" s="75"/>
      <c r="J930" s="76"/>
      <c r="K930" s="76"/>
      <c r="L930" s="75"/>
      <c r="M930" s="49"/>
      <c r="N930" s="76"/>
      <c r="O930" s="49"/>
      <c r="P930" s="77"/>
      <c r="Q930" s="53"/>
      <c r="R930" s="54"/>
      <c r="S930" s="55"/>
      <c r="T930" s="56"/>
      <c r="U930" s="56"/>
      <c r="V930" s="42"/>
      <c r="W930" s="57"/>
      <c r="X930" s="58"/>
      <c r="Y930" s="75"/>
      <c r="Z930" s="59"/>
      <c r="AA930" s="61"/>
      <c r="AB930" s="61"/>
      <c r="AC930" s="61"/>
      <c r="AD930" s="62"/>
      <c r="AE930" s="62"/>
      <c r="AF930" s="34"/>
      <c r="AG930" s="34"/>
      <c r="AH930" s="34"/>
      <c r="AI930" s="34"/>
      <c r="AJ930" s="34"/>
      <c r="AK930" s="34"/>
      <c r="AL930" s="34"/>
      <c r="AM930" s="34"/>
      <c r="AN930" s="34"/>
      <c r="AO930" s="34"/>
      <c r="AP930" s="34"/>
      <c r="AQ930" s="34"/>
      <c r="AR930" s="34"/>
      <c r="AS930" s="34"/>
      <c r="AT930" s="34"/>
      <c r="AU930" s="34"/>
      <c r="AV930" s="34"/>
      <c r="AW930" s="34"/>
      <c r="AX930" s="34"/>
      <c r="AY930" s="34"/>
      <c r="AZ930" s="34"/>
      <c r="BA930" s="34"/>
      <c r="BB930" s="34"/>
      <c r="BD930" s="34"/>
      <c r="BE930" s="34"/>
      <c r="BF930" s="34"/>
      <c r="BG930" s="34"/>
      <c r="BH930" s="34"/>
      <c r="BI930" s="34"/>
      <c r="BJ930" s="34"/>
      <c r="BK930" s="34"/>
      <c r="BL930" s="34"/>
      <c r="BM930" s="34"/>
      <c r="BN930" s="34"/>
      <c r="BO930" s="34"/>
      <c r="BP930" s="34"/>
      <c r="BQ930" s="34"/>
      <c r="BR930" s="34"/>
      <c r="BS930" s="34"/>
      <c r="BT930" s="34"/>
      <c r="BU930" s="34"/>
      <c r="BV930" s="34"/>
      <c r="BW930" s="34"/>
      <c r="BX930" s="34"/>
      <c r="BY930" s="34"/>
    </row>
    <row r="931" spans="1:77" x14ac:dyDescent="0.3">
      <c r="A931" s="39"/>
      <c r="B931" s="42"/>
      <c r="C931" s="42"/>
      <c r="D931" s="75"/>
      <c r="E931" s="75"/>
      <c r="F931" s="76"/>
      <c r="G931" s="47"/>
      <c r="H931" s="47"/>
      <c r="I931" s="75"/>
      <c r="J931" s="76"/>
      <c r="K931" s="76"/>
      <c r="L931" s="75"/>
      <c r="M931" s="49"/>
      <c r="N931" s="76"/>
      <c r="O931" s="49"/>
      <c r="P931" s="77"/>
      <c r="Q931" s="53"/>
      <c r="R931" s="54"/>
      <c r="S931" s="55"/>
      <c r="T931" s="56"/>
      <c r="U931" s="56"/>
      <c r="V931" s="42"/>
      <c r="W931" s="57"/>
      <c r="X931" s="58"/>
      <c r="Y931" s="75"/>
      <c r="Z931" s="59"/>
      <c r="AA931" s="61"/>
      <c r="AB931" s="61"/>
      <c r="AC931" s="61"/>
      <c r="AD931" s="62"/>
      <c r="AE931" s="62"/>
      <c r="AF931" s="34"/>
      <c r="AG931" s="34"/>
      <c r="AH931" s="34"/>
      <c r="AI931" s="34"/>
      <c r="AJ931" s="34"/>
      <c r="AK931" s="34"/>
      <c r="AL931" s="34"/>
      <c r="AM931" s="34"/>
      <c r="AN931" s="34"/>
      <c r="AO931" s="34"/>
      <c r="AP931" s="34"/>
      <c r="AQ931" s="34"/>
      <c r="AR931" s="34"/>
      <c r="AS931" s="34"/>
      <c r="AT931" s="34"/>
      <c r="AU931" s="34"/>
      <c r="AV931" s="34"/>
      <c r="AW931" s="34"/>
      <c r="AX931" s="34"/>
      <c r="AY931" s="34"/>
      <c r="AZ931" s="34"/>
      <c r="BA931" s="34"/>
      <c r="BB931" s="34"/>
      <c r="BD931" s="34"/>
      <c r="BE931" s="34"/>
      <c r="BF931" s="34"/>
      <c r="BG931" s="34"/>
      <c r="BH931" s="34"/>
      <c r="BI931" s="34"/>
      <c r="BJ931" s="34"/>
      <c r="BK931" s="34"/>
      <c r="BL931" s="34"/>
      <c r="BM931" s="34"/>
      <c r="BN931" s="34"/>
      <c r="BO931" s="34"/>
      <c r="BP931" s="34"/>
      <c r="BQ931" s="34"/>
      <c r="BR931" s="34"/>
      <c r="BS931" s="34"/>
      <c r="BT931" s="34"/>
      <c r="BU931" s="34"/>
      <c r="BV931" s="34"/>
      <c r="BW931" s="34"/>
      <c r="BX931" s="34"/>
      <c r="BY931" s="34"/>
    </row>
    <row r="932" spans="1:77" x14ac:dyDescent="0.3">
      <c r="A932" s="39"/>
      <c r="B932" s="42"/>
      <c r="C932" s="42"/>
      <c r="D932" s="75"/>
      <c r="E932" s="75"/>
      <c r="F932" s="76"/>
      <c r="G932" s="47"/>
      <c r="H932" s="47"/>
      <c r="I932" s="75"/>
      <c r="J932" s="76"/>
      <c r="K932" s="76"/>
      <c r="L932" s="75"/>
      <c r="M932" s="49"/>
      <c r="N932" s="76"/>
      <c r="O932" s="49"/>
      <c r="P932" s="77"/>
      <c r="Q932" s="53"/>
      <c r="R932" s="54"/>
      <c r="S932" s="55"/>
      <c r="T932" s="56"/>
      <c r="U932" s="56"/>
      <c r="V932" s="42"/>
      <c r="W932" s="57"/>
      <c r="X932" s="58"/>
      <c r="Y932" s="75"/>
      <c r="Z932" s="59"/>
      <c r="AA932" s="61"/>
      <c r="AB932" s="61"/>
      <c r="AC932" s="61"/>
      <c r="AD932" s="62"/>
      <c r="AE932" s="62"/>
      <c r="AF932" s="34"/>
      <c r="AG932" s="34"/>
      <c r="AH932" s="34"/>
      <c r="AI932" s="34"/>
      <c r="AJ932" s="34"/>
      <c r="AK932" s="34"/>
      <c r="AL932" s="34"/>
      <c r="AM932" s="34"/>
      <c r="AN932" s="34"/>
      <c r="AO932" s="34"/>
      <c r="AP932" s="34"/>
      <c r="AQ932" s="34"/>
      <c r="AR932" s="34"/>
      <c r="AS932" s="34"/>
      <c r="AT932" s="34"/>
      <c r="AU932" s="34"/>
      <c r="AV932" s="34"/>
      <c r="AW932" s="34"/>
      <c r="AX932" s="34"/>
      <c r="AY932" s="34"/>
      <c r="AZ932" s="34"/>
      <c r="BA932" s="34"/>
      <c r="BB932" s="34"/>
      <c r="BD932" s="34"/>
      <c r="BE932" s="34"/>
      <c r="BF932" s="34"/>
      <c r="BG932" s="34"/>
      <c r="BH932" s="34"/>
      <c r="BI932" s="34"/>
      <c r="BJ932" s="34"/>
      <c r="BK932" s="34"/>
      <c r="BL932" s="34"/>
      <c r="BM932" s="34"/>
      <c r="BN932" s="34"/>
      <c r="BO932" s="34"/>
      <c r="BP932" s="34"/>
      <c r="BQ932" s="34"/>
      <c r="BR932" s="34"/>
      <c r="BS932" s="34"/>
      <c r="BT932" s="34"/>
      <c r="BU932" s="34"/>
      <c r="BV932" s="34"/>
      <c r="BW932" s="34"/>
      <c r="BX932" s="34"/>
      <c r="BY932" s="34"/>
    </row>
    <row r="933" spans="1:77" x14ac:dyDescent="0.3">
      <c r="A933" s="39"/>
      <c r="B933" s="42"/>
      <c r="C933" s="42"/>
      <c r="D933" s="75"/>
      <c r="E933" s="75"/>
      <c r="F933" s="76"/>
      <c r="G933" s="47"/>
      <c r="H933" s="47"/>
      <c r="I933" s="75"/>
      <c r="J933" s="76"/>
      <c r="K933" s="76"/>
      <c r="L933" s="75"/>
      <c r="M933" s="49"/>
      <c r="N933" s="76"/>
      <c r="O933" s="49"/>
      <c r="P933" s="77"/>
      <c r="Q933" s="53"/>
      <c r="R933" s="54"/>
      <c r="S933" s="55"/>
      <c r="T933" s="56"/>
      <c r="U933" s="56"/>
      <c r="V933" s="42"/>
      <c r="W933" s="57"/>
      <c r="X933" s="58"/>
      <c r="Y933" s="75"/>
      <c r="Z933" s="59"/>
      <c r="AA933" s="61"/>
      <c r="AB933" s="61"/>
      <c r="AC933" s="61"/>
      <c r="AD933" s="62"/>
      <c r="AE933" s="62"/>
      <c r="AF933" s="34"/>
      <c r="AG933" s="34"/>
      <c r="AH933" s="34"/>
      <c r="AI933" s="34"/>
      <c r="AJ933" s="34"/>
      <c r="AK933" s="34"/>
      <c r="AL933" s="34"/>
      <c r="AM933" s="34"/>
      <c r="AN933" s="34"/>
      <c r="AO933" s="34"/>
      <c r="AP933" s="34"/>
      <c r="AQ933" s="34"/>
      <c r="AR933" s="34"/>
      <c r="AS933" s="34"/>
      <c r="AT933" s="34"/>
      <c r="AU933" s="34"/>
      <c r="AV933" s="34"/>
      <c r="AW933" s="34"/>
      <c r="AX933" s="34"/>
      <c r="AY933" s="34"/>
      <c r="AZ933" s="34"/>
      <c r="BA933" s="34"/>
      <c r="BB933" s="34"/>
      <c r="BD933" s="34"/>
      <c r="BE933" s="34"/>
      <c r="BF933" s="34"/>
      <c r="BG933" s="34"/>
      <c r="BH933" s="34"/>
      <c r="BI933" s="34"/>
      <c r="BJ933" s="34"/>
      <c r="BK933" s="34"/>
      <c r="BL933" s="34"/>
      <c r="BM933" s="34"/>
      <c r="BN933" s="34"/>
      <c r="BO933" s="34"/>
      <c r="BP933" s="34"/>
      <c r="BQ933" s="34"/>
      <c r="BR933" s="34"/>
      <c r="BS933" s="34"/>
      <c r="BT933" s="34"/>
      <c r="BU933" s="34"/>
      <c r="BV933" s="34"/>
      <c r="BW933" s="34"/>
      <c r="BX933" s="34"/>
      <c r="BY933" s="34"/>
    </row>
    <row r="934" spans="1:77" x14ac:dyDescent="0.3">
      <c r="A934" s="39"/>
      <c r="B934" s="42"/>
      <c r="C934" s="42"/>
      <c r="D934" s="75"/>
      <c r="E934" s="75"/>
      <c r="F934" s="76"/>
      <c r="G934" s="47"/>
      <c r="H934" s="47"/>
      <c r="I934" s="75"/>
      <c r="J934" s="76"/>
      <c r="K934" s="76"/>
      <c r="L934" s="75"/>
      <c r="M934" s="49"/>
      <c r="N934" s="76"/>
      <c r="O934" s="49"/>
      <c r="P934" s="77"/>
      <c r="Q934" s="53"/>
      <c r="R934" s="54"/>
      <c r="S934" s="55"/>
      <c r="T934" s="56"/>
      <c r="U934" s="56"/>
      <c r="V934" s="42"/>
      <c r="W934" s="57"/>
      <c r="X934" s="58"/>
      <c r="Y934" s="75"/>
      <c r="Z934" s="59"/>
      <c r="AA934" s="61"/>
      <c r="AB934" s="61"/>
      <c r="AC934" s="61"/>
      <c r="AD934" s="62"/>
      <c r="AE934" s="62"/>
      <c r="AF934" s="34"/>
      <c r="AG934" s="34"/>
      <c r="AH934" s="34"/>
      <c r="AI934" s="34"/>
      <c r="AJ934" s="34"/>
      <c r="AK934" s="34"/>
      <c r="AL934" s="34"/>
      <c r="AM934" s="34"/>
      <c r="AN934" s="34"/>
      <c r="AO934" s="34"/>
      <c r="AP934" s="34"/>
      <c r="AQ934" s="34"/>
      <c r="AR934" s="34"/>
      <c r="AS934" s="34"/>
      <c r="AT934" s="34"/>
      <c r="AU934" s="34"/>
      <c r="AV934" s="34"/>
      <c r="AW934" s="34"/>
      <c r="AX934" s="34"/>
      <c r="AY934" s="34"/>
      <c r="AZ934" s="34"/>
      <c r="BA934" s="34"/>
      <c r="BB934" s="34"/>
      <c r="BD934" s="34"/>
      <c r="BE934" s="34"/>
      <c r="BF934" s="34"/>
      <c r="BG934" s="34"/>
      <c r="BH934" s="34"/>
      <c r="BI934" s="34"/>
      <c r="BJ934" s="34"/>
      <c r="BK934" s="34"/>
      <c r="BL934" s="34"/>
      <c r="BM934" s="34"/>
      <c r="BN934" s="34"/>
      <c r="BO934" s="34"/>
      <c r="BP934" s="34"/>
      <c r="BQ934" s="34"/>
      <c r="BR934" s="34"/>
      <c r="BS934" s="34"/>
      <c r="BT934" s="34"/>
      <c r="BU934" s="34"/>
      <c r="BV934" s="34"/>
      <c r="BW934" s="34"/>
      <c r="BX934" s="34"/>
      <c r="BY934" s="34"/>
    </row>
    <row r="935" spans="1:77" x14ac:dyDescent="0.3">
      <c r="A935" s="39"/>
      <c r="B935" s="42"/>
      <c r="C935" s="42"/>
      <c r="D935" s="75"/>
      <c r="E935" s="75"/>
      <c r="F935" s="76"/>
      <c r="G935" s="47"/>
      <c r="H935" s="47"/>
      <c r="I935" s="75"/>
      <c r="J935" s="76"/>
      <c r="K935" s="76"/>
      <c r="L935" s="75"/>
      <c r="M935" s="49"/>
      <c r="N935" s="76"/>
      <c r="O935" s="49"/>
      <c r="P935" s="77"/>
      <c r="Q935" s="53"/>
      <c r="R935" s="54"/>
      <c r="S935" s="55"/>
      <c r="T935" s="56"/>
      <c r="U935" s="56"/>
      <c r="V935" s="42"/>
      <c r="W935" s="57"/>
      <c r="X935" s="58"/>
      <c r="Y935" s="75"/>
      <c r="Z935" s="59"/>
      <c r="AA935" s="61"/>
      <c r="AB935" s="61"/>
      <c r="AC935" s="61"/>
      <c r="AD935" s="62"/>
      <c r="AE935" s="62"/>
      <c r="AF935" s="34"/>
      <c r="AG935" s="34"/>
      <c r="AH935" s="34"/>
      <c r="AI935" s="34"/>
      <c r="AJ935" s="34"/>
      <c r="AK935" s="34"/>
      <c r="AL935" s="34"/>
      <c r="AM935" s="34"/>
      <c r="AN935" s="34"/>
      <c r="AO935" s="34"/>
      <c r="AP935" s="34"/>
      <c r="AQ935" s="34"/>
      <c r="AR935" s="34"/>
      <c r="AS935" s="34"/>
      <c r="AT935" s="34"/>
      <c r="AU935" s="34"/>
      <c r="AV935" s="34"/>
      <c r="AW935" s="34"/>
      <c r="AX935" s="34"/>
      <c r="AY935" s="34"/>
      <c r="AZ935" s="34"/>
      <c r="BA935" s="34"/>
      <c r="BB935" s="34"/>
      <c r="BD935" s="34"/>
      <c r="BE935" s="34"/>
      <c r="BF935" s="34"/>
      <c r="BG935" s="34"/>
      <c r="BH935" s="34"/>
      <c r="BI935" s="34"/>
      <c r="BJ935" s="34"/>
      <c r="BK935" s="34"/>
      <c r="BL935" s="34"/>
      <c r="BM935" s="34"/>
      <c r="BN935" s="34"/>
      <c r="BO935" s="34"/>
      <c r="BP935" s="34"/>
      <c r="BQ935" s="34"/>
      <c r="BR935" s="34"/>
      <c r="BS935" s="34"/>
      <c r="BT935" s="34"/>
      <c r="BU935" s="34"/>
      <c r="BV935" s="34"/>
      <c r="BW935" s="34"/>
      <c r="BX935" s="34"/>
      <c r="BY935" s="34"/>
    </row>
    <row r="936" spans="1:77" x14ac:dyDescent="0.3">
      <c r="A936" s="39"/>
      <c r="B936" s="42"/>
      <c r="C936" s="42"/>
      <c r="D936" s="75"/>
      <c r="E936" s="75"/>
      <c r="F936" s="76"/>
      <c r="G936" s="47"/>
      <c r="H936" s="47"/>
      <c r="I936" s="75"/>
      <c r="J936" s="76"/>
      <c r="K936" s="76"/>
      <c r="L936" s="75"/>
      <c r="M936" s="49"/>
      <c r="N936" s="76"/>
      <c r="O936" s="49"/>
      <c r="P936" s="77"/>
      <c r="Q936" s="53"/>
      <c r="R936" s="54"/>
      <c r="S936" s="55"/>
      <c r="T936" s="56"/>
      <c r="U936" s="56"/>
      <c r="V936" s="42"/>
      <c r="W936" s="57"/>
      <c r="X936" s="58"/>
      <c r="Y936" s="75"/>
      <c r="Z936" s="59"/>
      <c r="AA936" s="61"/>
      <c r="AB936" s="61"/>
      <c r="AC936" s="61"/>
      <c r="AD936" s="62"/>
      <c r="AE936" s="62"/>
      <c r="AF936" s="34"/>
      <c r="AG936" s="34"/>
      <c r="AH936" s="34"/>
      <c r="AI936" s="34"/>
      <c r="AJ936" s="34"/>
      <c r="AK936" s="34"/>
      <c r="AL936" s="34"/>
      <c r="AM936" s="34"/>
      <c r="AN936" s="34"/>
      <c r="AO936" s="34"/>
      <c r="AP936" s="34"/>
      <c r="AQ936" s="34"/>
      <c r="AR936" s="34"/>
      <c r="AS936" s="34"/>
      <c r="AT936" s="34"/>
      <c r="AU936" s="34"/>
      <c r="AV936" s="34"/>
      <c r="AW936" s="34"/>
      <c r="AX936" s="34"/>
      <c r="AY936" s="34"/>
      <c r="AZ936" s="34"/>
      <c r="BA936" s="34"/>
      <c r="BB936" s="34"/>
      <c r="BD936" s="34"/>
      <c r="BE936" s="34"/>
      <c r="BF936" s="34"/>
      <c r="BG936" s="34"/>
      <c r="BH936" s="34"/>
      <c r="BI936" s="34"/>
      <c r="BJ936" s="34"/>
      <c r="BK936" s="34"/>
      <c r="BL936" s="34"/>
      <c r="BM936" s="34"/>
      <c r="BN936" s="34"/>
      <c r="BO936" s="34"/>
      <c r="BP936" s="34"/>
      <c r="BQ936" s="34"/>
      <c r="BR936" s="34"/>
      <c r="BS936" s="34"/>
      <c r="BT936" s="34"/>
      <c r="BU936" s="34"/>
      <c r="BV936" s="34"/>
      <c r="BW936" s="34"/>
      <c r="BX936" s="34"/>
      <c r="BY936" s="34"/>
    </row>
    <row r="937" spans="1:77" x14ac:dyDescent="0.3">
      <c r="A937" s="39"/>
      <c r="B937" s="42"/>
      <c r="C937" s="42"/>
      <c r="D937" s="75"/>
      <c r="E937" s="75"/>
      <c r="F937" s="76"/>
      <c r="G937" s="47"/>
      <c r="H937" s="47"/>
      <c r="I937" s="75"/>
      <c r="J937" s="76"/>
      <c r="K937" s="76"/>
      <c r="L937" s="75"/>
      <c r="M937" s="49"/>
      <c r="N937" s="76"/>
      <c r="O937" s="49"/>
      <c r="P937" s="77"/>
      <c r="Q937" s="53"/>
      <c r="R937" s="54"/>
      <c r="S937" s="55"/>
      <c r="T937" s="56"/>
      <c r="U937" s="56"/>
      <c r="V937" s="42"/>
      <c r="W937" s="57"/>
      <c r="X937" s="58"/>
      <c r="Y937" s="75"/>
      <c r="Z937" s="59"/>
      <c r="AA937" s="61"/>
      <c r="AB937" s="61"/>
      <c r="AC937" s="61"/>
      <c r="AD937" s="62"/>
      <c r="AE937" s="62"/>
      <c r="AF937" s="34"/>
      <c r="AG937" s="34"/>
      <c r="AH937" s="34"/>
      <c r="AI937" s="34"/>
      <c r="AJ937" s="34"/>
      <c r="AK937" s="34"/>
      <c r="AL937" s="34"/>
      <c r="AM937" s="34"/>
      <c r="AN937" s="34"/>
      <c r="AO937" s="34"/>
      <c r="AP937" s="34"/>
      <c r="AQ937" s="34"/>
      <c r="AR937" s="34"/>
      <c r="AS937" s="34"/>
      <c r="AT937" s="34"/>
      <c r="AU937" s="34"/>
      <c r="AV937" s="34"/>
      <c r="AW937" s="34"/>
      <c r="AX937" s="34"/>
      <c r="AY937" s="34"/>
      <c r="AZ937" s="34"/>
      <c r="BA937" s="34"/>
      <c r="BB937" s="34"/>
      <c r="BD937" s="34"/>
      <c r="BE937" s="34"/>
      <c r="BF937" s="34"/>
      <c r="BG937" s="34"/>
      <c r="BH937" s="34"/>
      <c r="BI937" s="34"/>
      <c r="BJ937" s="34"/>
      <c r="BK937" s="34"/>
      <c r="BL937" s="34"/>
      <c r="BM937" s="34"/>
      <c r="BN937" s="34"/>
      <c r="BO937" s="34"/>
      <c r="BP937" s="34"/>
      <c r="BQ937" s="34"/>
      <c r="BR937" s="34"/>
      <c r="BS937" s="34"/>
      <c r="BT937" s="34"/>
      <c r="BU937" s="34"/>
      <c r="BV937" s="34"/>
      <c r="BW937" s="34"/>
      <c r="BX937" s="34"/>
      <c r="BY937" s="34"/>
    </row>
    <row r="938" spans="1:77" x14ac:dyDescent="0.3">
      <c r="A938" s="39"/>
      <c r="B938" s="42"/>
      <c r="C938" s="42"/>
      <c r="D938" s="75"/>
      <c r="E938" s="75"/>
      <c r="F938" s="76"/>
      <c r="G938" s="47"/>
      <c r="H938" s="47"/>
      <c r="I938" s="75"/>
      <c r="J938" s="76"/>
      <c r="K938" s="76"/>
      <c r="L938" s="75"/>
      <c r="M938" s="49"/>
      <c r="N938" s="76"/>
      <c r="O938" s="49"/>
      <c r="P938" s="77"/>
      <c r="Q938" s="53"/>
      <c r="R938" s="54"/>
      <c r="S938" s="55"/>
      <c r="T938" s="56"/>
      <c r="U938" s="56"/>
      <c r="V938" s="42"/>
      <c r="W938" s="57"/>
      <c r="X938" s="58"/>
      <c r="Y938" s="75"/>
      <c r="Z938" s="59"/>
      <c r="AA938" s="61"/>
      <c r="AB938" s="61"/>
      <c r="AC938" s="61"/>
      <c r="AD938" s="62"/>
      <c r="AE938" s="62"/>
      <c r="AF938" s="34"/>
      <c r="AG938" s="34"/>
      <c r="AH938" s="34"/>
      <c r="AI938" s="34"/>
      <c r="AJ938" s="34"/>
      <c r="AK938" s="34"/>
      <c r="AL938" s="34"/>
      <c r="AM938" s="34"/>
      <c r="AN938" s="34"/>
      <c r="AO938" s="34"/>
      <c r="AP938" s="34"/>
      <c r="AQ938" s="34"/>
      <c r="AR938" s="34"/>
      <c r="AS938" s="34"/>
      <c r="AT938" s="34"/>
      <c r="AU938" s="34"/>
      <c r="AV938" s="34"/>
      <c r="AW938" s="34"/>
      <c r="AX938" s="34"/>
      <c r="AY938" s="34"/>
      <c r="AZ938" s="34"/>
      <c r="BA938" s="34"/>
      <c r="BB938" s="34"/>
      <c r="BD938" s="34"/>
      <c r="BE938" s="34"/>
      <c r="BF938" s="34"/>
      <c r="BG938" s="34"/>
      <c r="BH938" s="34"/>
      <c r="BI938" s="34"/>
      <c r="BJ938" s="34"/>
      <c r="BK938" s="34"/>
      <c r="BL938" s="34"/>
      <c r="BM938" s="34"/>
      <c r="BN938" s="34"/>
      <c r="BO938" s="34"/>
      <c r="BP938" s="34"/>
      <c r="BQ938" s="34"/>
      <c r="BR938" s="34"/>
      <c r="BS938" s="34"/>
      <c r="BT938" s="34"/>
      <c r="BU938" s="34"/>
      <c r="BV938" s="34"/>
      <c r="BW938" s="34"/>
      <c r="BX938" s="34"/>
      <c r="BY938" s="34"/>
    </row>
    <row r="939" spans="1:77" x14ac:dyDescent="0.3">
      <c r="A939" s="39"/>
      <c r="B939" s="42"/>
      <c r="C939" s="42"/>
      <c r="D939" s="75"/>
      <c r="E939" s="75"/>
      <c r="F939" s="76"/>
      <c r="G939" s="47"/>
      <c r="H939" s="47"/>
      <c r="I939" s="75"/>
      <c r="J939" s="76"/>
      <c r="K939" s="76"/>
      <c r="L939" s="75"/>
      <c r="M939" s="49"/>
      <c r="N939" s="76"/>
      <c r="O939" s="49"/>
      <c r="P939" s="77"/>
      <c r="Q939" s="53"/>
      <c r="R939" s="54"/>
      <c r="S939" s="55"/>
      <c r="T939" s="56"/>
      <c r="U939" s="56"/>
      <c r="V939" s="42"/>
      <c r="W939" s="57"/>
      <c r="X939" s="58"/>
      <c r="Y939" s="75"/>
      <c r="Z939" s="59"/>
      <c r="AA939" s="61"/>
      <c r="AB939" s="61"/>
      <c r="AC939" s="61"/>
      <c r="AD939" s="62"/>
      <c r="AE939" s="62"/>
      <c r="AF939" s="34"/>
      <c r="AG939" s="34"/>
      <c r="AH939" s="34"/>
      <c r="AI939" s="34"/>
      <c r="AJ939" s="34"/>
      <c r="AK939" s="34"/>
      <c r="AL939" s="34"/>
      <c r="AM939" s="34"/>
      <c r="AN939" s="34"/>
      <c r="AO939" s="34"/>
      <c r="AP939" s="34"/>
      <c r="AQ939" s="34"/>
      <c r="AR939" s="34"/>
      <c r="AS939" s="34"/>
      <c r="AT939" s="34"/>
      <c r="AU939" s="34"/>
      <c r="AV939" s="34"/>
      <c r="AW939" s="34"/>
      <c r="AX939" s="34"/>
      <c r="AY939" s="34"/>
      <c r="AZ939" s="34"/>
      <c r="BA939" s="34"/>
      <c r="BB939" s="34"/>
      <c r="BD939" s="34"/>
      <c r="BE939" s="34"/>
      <c r="BF939" s="34"/>
      <c r="BG939" s="34"/>
      <c r="BH939" s="34"/>
      <c r="BI939" s="34"/>
      <c r="BJ939" s="34"/>
      <c r="BK939" s="34"/>
      <c r="BL939" s="34"/>
      <c r="BM939" s="34"/>
      <c r="BN939" s="34"/>
      <c r="BO939" s="34"/>
      <c r="BP939" s="34"/>
      <c r="BQ939" s="34"/>
      <c r="BR939" s="34"/>
      <c r="BS939" s="34"/>
      <c r="BT939" s="34"/>
      <c r="BU939" s="34"/>
      <c r="BV939" s="34"/>
      <c r="BW939" s="34"/>
      <c r="BX939" s="34"/>
      <c r="BY939" s="34"/>
    </row>
    <row r="940" spans="1:77" x14ac:dyDescent="0.3">
      <c r="A940" s="39"/>
      <c r="B940" s="42"/>
      <c r="C940" s="42"/>
      <c r="D940" s="75"/>
      <c r="E940" s="75"/>
      <c r="F940" s="76"/>
      <c r="G940" s="47"/>
      <c r="H940" s="47"/>
      <c r="I940" s="75"/>
      <c r="J940" s="76"/>
      <c r="K940" s="76"/>
      <c r="L940" s="75"/>
      <c r="M940" s="49"/>
      <c r="N940" s="76"/>
      <c r="O940" s="49"/>
      <c r="P940" s="77"/>
      <c r="Q940" s="53"/>
      <c r="R940" s="54"/>
      <c r="S940" s="55"/>
      <c r="T940" s="56"/>
      <c r="U940" s="56"/>
      <c r="V940" s="42"/>
      <c r="W940" s="57"/>
      <c r="X940" s="58"/>
      <c r="Y940" s="75"/>
      <c r="Z940" s="59"/>
      <c r="AA940" s="61"/>
      <c r="AB940" s="61"/>
      <c r="AC940" s="61"/>
      <c r="AD940" s="62"/>
      <c r="AE940" s="62"/>
      <c r="AF940" s="34"/>
      <c r="AG940" s="34"/>
      <c r="AH940" s="34"/>
      <c r="AI940" s="34"/>
      <c r="AJ940" s="34"/>
      <c r="AK940" s="34"/>
      <c r="AL940" s="34"/>
      <c r="AM940" s="34"/>
      <c r="AN940" s="34"/>
      <c r="AO940" s="34"/>
      <c r="AP940" s="34"/>
      <c r="AQ940" s="34"/>
      <c r="AR940" s="34"/>
      <c r="AS940" s="34"/>
      <c r="AT940" s="34"/>
      <c r="AU940" s="34"/>
      <c r="AV940" s="34"/>
      <c r="AW940" s="34"/>
      <c r="AX940" s="34"/>
      <c r="AY940" s="34"/>
      <c r="AZ940" s="34"/>
      <c r="BA940" s="34"/>
      <c r="BB940" s="34"/>
      <c r="BD940" s="34"/>
      <c r="BE940" s="34"/>
      <c r="BF940" s="34"/>
      <c r="BG940" s="34"/>
      <c r="BH940" s="34"/>
      <c r="BI940" s="34"/>
      <c r="BJ940" s="34"/>
      <c r="BK940" s="34"/>
      <c r="BL940" s="34"/>
      <c r="BM940" s="34"/>
      <c r="BN940" s="34"/>
      <c r="BO940" s="34"/>
      <c r="BP940" s="34"/>
      <c r="BQ940" s="34"/>
      <c r="BR940" s="34"/>
      <c r="BS940" s="34"/>
      <c r="BT940" s="34"/>
      <c r="BU940" s="34"/>
      <c r="BV940" s="34"/>
      <c r="BW940" s="34"/>
      <c r="BX940" s="34"/>
      <c r="BY940" s="34"/>
    </row>
    <row r="941" spans="1:77" x14ac:dyDescent="0.3">
      <c r="A941" s="39"/>
      <c r="B941" s="42"/>
      <c r="C941" s="42"/>
      <c r="D941" s="75"/>
      <c r="E941" s="75"/>
      <c r="F941" s="76"/>
      <c r="G941" s="47"/>
      <c r="H941" s="47"/>
      <c r="I941" s="75"/>
      <c r="J941" s="76"/>
      <c r="K941" s="76"/>
      <c r="L941" s="75"/>
      <c r="M941" s="49"/>
      <c r="N941" s="76"/>
      <c r="O941" s="49"/>
      <c r="P941" s="77"/>
      <c r="Q941" s="53"/>
      <c r="R941" s="54"/>
      <c r="S941" s="55"/>
      <c r="T941" s="56"/>
      <c r="U941" s="56"/>
      <c r="V941" s="42"/>
      <c r="W941" s="57"/>
      <c r="X941" s="58"/>
      <c r="Y941" s="75"/>
      <c r="Z941" s="59"/>
      <c r="AA941" s="61"/>
      <c r="AB941" s="61"/>
      <c r="AC941" s="61"/>
      <c r="AD941" s="62"/>
      <c r="AE941" s="62"/>
      <c r="AF941" s="34"/>
      <c r="AG941" s="34"/>
      <c r="AH941" s="34"/>
      <c r="AI941" s="34"/>
      <c r="AJ941" s="34"/>
      <c r="AK941" s="34"/>
      <c r="AL941" s="34"/>
      <c r="AM941" s="34"/>
      <c r="AN941" s="34"/>
      <c r="AO941" s="34"/>
      <c r="AP941" s="34"/>
      <c r="AQ941" s="34"/>
      <c r="AR941" s="34"/>
      <c r="AS941" s="34"/>
      <c r="AT941" s="34"/>
      <c r="AU941" s="34"/>
      <c r="AV941" s="34"/>
      <c r="AW941" s="34"/>
      <c r="AX941" s="34"/>
      <c r="AY941" s="34"/>
      <c r="AZ941" s="34"/>
      <c r="BA941" s="34"/>
      <c r="BB941" s="34"/>
      <c r="BD941" s="34"/>
      <c r="BE941" s="34"/>
      <c r="BF941" s="34"/>
      <c r="BG941" s="34"/>
      <c r="BH941" s="34"/>
      <c r="BI941" s="34"/>
      <c r="BJ941" s="34"/>
      <c r="BK941" s="34"/>
      <c r="BL941" s="34"/>
      <c r="BM941" s="34"/>
      <c r="BN941" s="34"/>
      <c r="BO941" s="34"/>
      <c r="BP941" s="34"/>
      <c r="BQ941" s="34"/>
      <c r="BR941" s="34"/>
      <c r="BS941" s="34"/>
      <c r="BT941" s="34"/>
      <c r="BU941" s="34"/>
      <c r="BV941" s="34"/>
      <c r="BW941" s="34"/>
      <c r="BX941" s="34"/>
      <c r="BY941" s="34"/>
    </row>
    <row r="942" spans="1:77" x14ac:dyDescent="0.3">
      <c r="A942" s="39"/>
      <c r="B942" s="42"/>
      <c r="C942" s="42"/>
      <c r="D942" s="75"/>
      <c r="E942" s="75"/>
      <c r="F942" s="76"/>
      <c r="G942" s="47"/>
      <c r="H942" s="47"/>
      <c r="I942" s="75"/>
      <c r="J942" s="76"/>
      <c r="K942" s="76"/>
      <c r="L942" s="75"/>
      <c r="M942" s="49"/>
      <c r="N942" s="76"/>
      <c r="O942" s="49"/>
      <c r="P942" s="77"/>
      <c r="Q942" s="53"/>
      <c r="R942" s="54"/>
      <c r="S942" s="55"/>
      <c r="T942" s="56"/>
      <c r="U942" s="56"/>
      <c r="V942" s="42"/>
      <c r="W942" s="57"/>
      <c r="X942" s="58"/>
      <c r="Y942" s="75"/>
      <c r="Z942" s="59"/>
      <c r="AA942" s="61"/>
      <c r="AB942" s="61"/>
      <c r="AC942" s="61"/>
      <c r="AD942" s="62"/>
      <c r="AE942" s="62"/>
      <c r="AF942" s="34"/>
      <c r="AG942" s="34"/>
      <c r="AH942" s="34"/>
      <c r="AI942" s="34"/>
      <c r="AJ942" s="34"/>
      <c r="AK942" s="34"/>
      <c r="AL942" s="34"/>
      <c r="AM942" s="34"/>
      <c r="AN942" s="34"/>
      <c r="AO942" s="34"/>
      <c r="AP942" s="34"/>
      <c r="AQ942" s="34"/>
      <c r="AR942" s="34"/>
      <c r="AS942" s="34"/>
      <c r="AT942" s="34"/>
      <c r="AU942" s="34"/>
      <c r="AV942" s="34"/>
      <c r="AW942" s="34"/>
      <c r="AX942" s="34"/>
      <c r="AY942" s="34"/>
      <c r="AZ942" s="34"/>
      <c r="BA942" s="34"/>
      <c r="BB942" s="34"/>
      <c r="BD942" s="34"/>
      <c r="BE942" s="34"/>
      <c r="BF942" s="34"/>
      <c r="BG942" s="34"/>
      <c r="BH942" s="34"/>
      <c r="BI942" s="34"/>
      <c r="BJ942" s="34"/>
      <c r="BK942" s="34"/>
      <c r="BL942" s="34"/>
      <c r="BM942" s="34"/>
      <c r="BN942" s="34"/>
      <c r="BO942" s="34"/>
      <c r="BP942" s="34"/>
      <c r="BQ942" s="34"/>
      <c r="BR942" s="34"/>
      <c r="BS942" s="34"/>
      <c r="BT942" s="34"/>
      <c r="BU942" s="34"/>
      <c r="BV942" s="34"/>
      <c r="BW942" s="34"/>
      <c r="BX942" s="34"/>
      <c r="BY942" s="34"/>
    </row>
    <row r="943" spans="1:77" x14ac:dyDescent="0.3">
      <c r="A943" s="39"/>
      <c r="B943" s="42"/>
      <c r="C943" s="42"/>
      <c r="D943" s="75"/>
      <c r="E943" s="75"/>
      <c r="F943" s="76"/>
      <c r="G943" s="47"/>
      <c r="H943" s="47"/>
      <c r="I943" s="75"/>
      <c r="J943" s="76"/>
      <c r="K943" s="76"/>
      <c r="L943" s="75"/>
      <c r="M943" s="49"/>
      <c r="N943" s="76"/>
      <c r="O943" s="49"/>
      <c r="P943" s="77"/>
      <c r="Q943" s="53"/>
      <c r="R943" s="54"/>
      <c r="S943" s="55"/>
      <c r="T943" s="56"/>
      <c r="U943" s="56"/>
      <c r="V943" s="42"/>
      <c r="W943" s="57"/>
      <c r="X943" s="58"/>
      <c r="Y943" s="75"/>
      <c r="Z943" s="59"/>
      <c r="AA943" s="61"/>
      <c r="AB943" s="61"/>
      <c r="AC943" s="61"/>
      <c r="AD943" s="62"/>
      <c r="AE943" s="62"/>
      <c r="AF943" s="34"/>
      <c r="AG943" s="34"/>
      <c r="AH943" s="34"/>
      <c r="AI943" s="34"/>
      <c r="AJ943" s="34"/>
      <c r="AK943" s="34"/>
      <c r="AL943" s="34"/>
      <c r="AM943" s="34"/>
      <c r="AN943" s="34"/>
      <c r="AO943" s="34"/>
      <c r="AP943" s="34"/>
      <c r="AQ943" s="34"/>
      <c r="AR943" s="34"/>
      <c r="AS943" s="34"/>
      <c r="AT943" s="34"/>
      <c r="AU943" s="34"/>
      <c r="AV943" s="34"/>
      <c r="AW943" s="34"/>
      <c r="AX943" s="34"/>
      <c r="AY943" s="34"/>
      <c r="AZ943" s="34"/>
      <c r="BA943" s="34"/>
      <c r="BB943" s="34"/>
      <c r="BD943" s="34"/>
      <c r="BE943" s="34"/>
      <c r="BF943" s="34"/>
      <c r="BG943" s="34"/>
      <c r="BH943" s="34"/>
      <c r="BI943" s="34"/>
      <c r="BJ943" s="34"/>
      <c r="BK943" s="34"/>
      <c r="BL943" s="34"/>
      <c r="BM943" s="34"/>
      <c r="BN943" s="34"/>
      <c r="BO943" s="34"/>
      <c r="BP943" s="34"/>
      <c r="BQ943" s="34"/>
      <c r="BR943" s="34"/>
      <c r="BS943" s="34"/>
      <c r="BT943" s="34"/>
      <c r="BU943" s="34"/>
      <c r="BV943" s="34"/>
      <c r="BW943" s="34"/>
      <c r="BX943" s="34"/>
      <c r="BY943" s="34"/>
    </row>
    <row r="944" spans="1:77" x14ac:dyDescent="0.3">
      <c r="A944" s="39"/>
      <c r="B944" s="42"/>
      <c r="C944" s="42"/>
      <c r="D944" s="75"/>
      <c r="E944" s="75"/>
      <c r="F944" s="76"/>
      <c r="G944" s="47"/>
      <c r="H944" s="47"/>
      <c r="I944" s="75"/>
      <c r="J944" s="76"/>
      <c r="K944" s="76"/>
      <c r="L944" s="75"/>
      <c r="M944" s="49"/>
      <c r="N944" s="76"/>
      <c r="O944" s="49"/>
      <c r="P944" s="77"/>
      <c r="Q944" s="53"/>
      <c r="R944" s="54"/>
      <c r="S944" s="55"/>
      <c r="T944" s="56"/>
      <c r="U944" s="56"/>
      <c r="V944" s="42"/>
      <c r="W944" s="57"/>
      <c r="X944" s="58"/>
      <c r="Y944" s="75"/>
      <c r="Z944" s="59"/>
      <c r="AA944" s="61"/>
      <c r="AB944" s="61"/>
      <c r="AC944" s="61"/>
      <c r="AD944" s="62"/>
      <c r="AE944" s="62"/>
      <c r="AF944" s="34"/>
      <c r="AG944" s="34"/>
      <c r="AH944" s="34"/>
      <c r="AI944" s="34"/>
      <c r="AJ944" s="34"/>
      <c r="AK944" s="34"/>
      <c r="AL944" s="34"/>
      <c r="AM944" s="34"/>
      <c r="AN944" s="34"/>
      <c r="AO944" s="34"/>
      <c r="AP944" s="34"/>
      <c r="AQ944" s="34"/>
      <c r="AR944" s="34"/>
      <c r="AS944" s="34"/>
      <c r="AT944" s="34"/>
      <c r="AU944" s="34"/>
      <c r="AV944" s="34"/>
      <c r="AW944" s="34"/>
      <c r="AX944" s="34"/>
      <c r="AY944" s="34"/>
      <c r="AZ944" s="34"/>
      <c r="BA944" s="34"/>
      <c r="BB944" s="34"/>
      <c r="BD944" s="34"/>
      <c r="BE944" s="34"/>
      <c r="BF944" s="34"/>
      <c r="BG944" s="34"/>
      <c r="BH944" s="34"/>
      <c r="BI944" s="34"/>
      <c r="BJ944" s="34"/>
      <c r="BK944" s="34"/>
      <c r="BL944" s="34"/>
      <c r="BM944" s="34"/>
      <c r="BN944" s="34"/>
      <c r="BO944" s="34"/>
      <c r="BP944" s="34"/>
      <c r="BQ944" s="34"/>
      <c r="BR944" s="34"/>
      <c r="BS944" s="34"/>
      <c r="BT944" s="34"/>
      <c r="BU944" s="34"/>
      <c r="BV944" s="34"/>
      <c r="BW944" s="34"/>
      <c r="BX944" s="34"/>
      <c r="BY944" s="34"/>
    </row>
    <row r="945" spans="1:77" x14ac:dyDescent="0.3">
      <c r="A945" s="39"/>
      <c r="B945" s="42"/>
      <c r="C945" s="42"/>
      <c r="D945" s="75"/>
      <c r="E945" s="75"/>
      <c r="F945" s="76"/>
      <c r="G945" s="47"/>
      <c r="H945" s="47"/>
      <c r="I945" s="75"/>
      <c r="J945" s="76"/>
      <c r="K945" s="76"/>
      <c r="L945" s="75"/>
      <c r="M945" s="49"/>
      <c r="N945" s="76"/>
      <c r="O945" s="49"/>
      <c r="P945" s="77"/>
      <c r="Q945" s="53"/>
      <c r="R945" s="54"/>
      <c r="S945" s="55"/>
      <c r="T945" s="56"/>
      <c r="U945" s="56"/>
      <c r="V945" s="42"/>
      <c r="W945" s="57"/>
      <c r="X945" s="58"/>
      <c r="Y945" s="75"/>
      <c r="Z945" s="59"/>
      <c r="AA945" s="61"/>
      <c r="AB945" s="61"/>
      <c r="AC945" s="61"/>
      <c r="AD945" s="62"/>
      <c r="AE945" s="62"/>
      <c r="AF945" s="34"/>
      <c r="AG945" s="34"/>
      <c r="AH945" s="34"/>
      <c r="AI945" s="34"/>
      <c r="AJ945" s="34"/>
      <c r="AK945" s="34"/>
      <c r="AL945" s="34"/>
      <c r="AM945" s="34"/>
      <c r="AN945" s="34"/>
      <c r="AO945" s="34"/>
      <c r="AP945" s="34"/>
      <c r="AQ945" s="34"/>
      <c r="AR945" s="34"/>
      <c r="AS945" s="34"/>
      <c r="AT945" s="34"/>
      <c r="AU945" s="34"/>
      <c r="AV945" s="34"/>
      <c r="AW945" s="34"/>
      <c r="AX945" s="34"/>
      <c r="AY945" s="34"/>
      <c r="AZ945" s="34"/>
      <c r="BA945" s="34"/>
      <c r="BB945" s="34"/>
      <c r="BD945" s="34"/>
      <c r="BE945" s="34"/>
      <c r="BF945" s="34"/>
      <c r="BG945" s="34"/>
      <c r="BH945" s="34"/>
      <c r="BI945" s="34"/>
      <c r="BJ945" s="34"/>
      <c r="BK945" s="34"/>
      <c r="BL945" s="34"/>
      <c r="BM945" s="34"/>
      <c r="BN945" s="34"/>
      <c r="BO945" s="34"/>
      <c r="BP945" s="34"/>
      <c r="BQ945" s="34"/>
      <c r="BR945" s="34"/>
      <c r="BS945" s="34"/>
      <c r="BT945" s="34"/>
      <c r="BU945" s="34"/>
      <c r="BV945" s="34"/>
      <c r="BW945" s="34"/>
      <c r="BX945" s="34"/>
      <c r="BY945" s="34"/>
    </row>
    <row r="946" spans="1:77" x14ac:dyDescent="0.3">
      <c r="A946" s="39"/>
      <c r="B946" s="42"/>
      <c r="C946" s="42"/>
      <c r="D946" s="75"/>
      <c r="E946" s="75"/>
      <c r="F946" s="76"/>
      <c r="G946" s="47"/>
      <c r="H946" s="47"/>
      <c r="I946" s="75"/>
      <c r="J946" s="76"/>
      <c r="K946" s="76"/>
      <c r="L946" s="75"/>
      <c r="M946" s="49"/>
      <c r="N946" s="76"/>
      <c r="O946" s="49"/>
      <c r="P946" s="77"/>
      <c r="Q946" s="53"/>
      <c r="R946" s="54"/>
      <c r="S946" s="55"/>
      <c r="T946" s="56"/>
      <c r="U946" s="56"/>
      <c r="V946" s="42"/>
      <c r="W946" s="57"/>
      <c r="X946" s="58"/>
      <c r="Y946" s="75"/>
      <c r="Z946" s="59"/>
      <c r="AA946" s="61"/>
      <c r="AB946" s="61"/>
      <c r="AC946" s="61"/>
      <c r="AD946" s="62"/>
      <c r="AE946" s="62"/>
      <c r="AF946" s="34"/>
      <c r="AG946" s="34"/>
      <c r="AH946" s="34"/>
      <c r="AI946" s="34"/>
      <c r="AJ946" s="34"/>
      <c r="AK946" s="34"/>
      <c r="AL946" s="34"/>
      <c r="AM946" s="34"/>
      <c r="AN946" s="34"/>
      <c r="AO946" s="34"/>
      <c r="AP946" s="34"/>
      <c r="AQ946" s="34"/>
      <c r="AR946" s="34"/>
      <c r="AS946" s="34"/>
      <c r="AT946" s="34"/>
      <c r="AU946" s="34"/>
      <c r="AV946" s="34"/>
      <c r="AW946" s="34"/>
      <c r="AX946" s="34"/>
      <c r="AY946" s="34"/>
      <c r="AZ946" s="34"/>
      <c r="BA946" s="34"/>
      <c r="BB946" s="34"/>
      <c r="BD946" s="34"/>
      <c r="BE946" s="34"/>
      <c r="BF946" s="34"/>
      <c r="BG946" s="34"/>
      <c r="BH946" s="34"/>
      <c r="BI946" s="34"/>
      <c r="BJ946" s="34"/>
      <c r="BK946" s="34"/>
      <c r="BL946" s="34"/>
      <c r="BM946" s="34"/>
      <c r="BN946" s="34"/>
      <c r="BO946" s="34"/>
      <c r="BP946" s="34"/>
      <c r="BQ946" s="34"/>
      <c r="BR946" s="34"/>
      <c r="BS946" s="34"/>
      <c r="BT946" s="34"/>
      <c r="BU946" s="34"/>
      <c r="BV946" s="34"/>
      <c r="BW946" s="34"/>
      <c r="BX946" s="34"/>
      <c r="BY946" s="34"/>
    </row>
    <row r="947" spans="1:77" x14ac:dyDescent="0.3">
      <c r="A947" s="39"/>
      <c r="B947" s="42"/>
      <c r="C947" s="42"/>
      <c r="D947" s="75"/>
      <c r="E947" s="75"/>
      <c r="F947" s="76"/>
      <c r="G947" s="47"/>
      <c r="H947" s="47"/>
      <c r="I947" s="75"/>
      <c r="J947" s="76"/>
      <c r="K947" s="76"/>
      <c r="L947" s="75"/>
      <c r="M947" s="49"/>
      <c r="N947" s="76"/>
      <c r="O947" s="49"/>
      <c r="P947" s="77"/>
      <c r="Q947" s="53"/>
      <c r="R947" s="54"/>
      <c r="S947" s="55"/>
      <c r="T947" s="56"/>
      <c r="U947" s="56"/>
      <c r="V947" s="42"/>
      <c r="W947" s="57"/>
      <c r="X947" s="58"/>
      <c r="Y947" s="75"/>
      <c r="Z947" s="59"/>
      <c r="AA947" s="61"/>
      <c r="AB947" s="61"/>
      <c r="AC947" s="61"/>
      <c r="AD947" s="62"/>
      <c r="AE947" s="62"/>
      <c r="AF947" s="34"/>
      <c r="AG947" s="34"/>
      <c r="AH947" s="34"/>
      <c r="AI947" s="34"/>
      <c r="AJ947" s="34"/>
      <c r="AK947" s="34"/>
      <c r="AL947" s="34"/>
      <c r="AM947" s="34"/>
      <c r="AN947" s="34"/>
      <c r="AO947" s="34"/>
      <c r="AP947" s="34"/>
      <c r="AQ947" s="34"/>
      <c r="AR947" s="34"/>
      <c r="AS947" s="34"/>
      <c r="AT947" s="34"/>
      <c r="AU947" s="34"/>
      <c r="AV947" s="34"/>
      <c r="AW947" s="34"/>
      <c r="AX947" s="34"/>
      <c r="AY947" s="34"/>
      <c r="AZ947" s="34"/>
      <c r="BA947" s="34"/>
      <c r="BB947" s="34"/>
      <c r="BD947" s="34"/>
      <c r="BE947" s="34"/>
      <c r="BF947" s="34"/>
      <c r="BG947" s="34"/>
      <c r="BH947" s="34"/>
      <c r="BI947" s="34"/>
      <c r="BJ947" s="34"/>
      <c r="BK947" s="34"/>
      <c r="BL947" s="34"/>
      <c r="BM947" s="34"/>
      <c r="BN947" s="34"/>
      <c r="BO947" s="34"/>
      <c r="BP947" s="34"/>
      <c r="BQ947" s="34"/>
      <c r="BR947" s="34"/>
      <c r="BS947" s="34"/>
      <c r="BT947" s="34"/>
      <c r="BU947" s="34"/>
      <c r="BV947" s="34"/>
      <c r="BW947" s="34"/>
      <c r="BX947" s="34"/>
      <c r="BY947" s="34"/>
    </row>
    <row r="948" spans="1:77" x14ac:dyDescent="0.3">
      <c r="A948" s="39"/>
      <c r="B948" s="42"/>
      <c r="C948" s="42"/>
      <c r="D948" s="75"/>
      <c r="E948" s="75"/>
      <c r="F948" s="76"/>
      <c r="G948" s="47"/>
      <c r="H948" s="47"/>
      <c r="I948" s="75"/>
      <c r="J948" s="76"/>
      <c r="K948" s="76"/>
      <c r="L948" s="75"/>
      <c r="M948" s="49"/>
      <c r="N948" s="76"/>
      <c r="O948" s="49"/>
      <c r="P948" s="77"/>
      <c r="Q948" s="53"/>
      <c r="R948" s="54"/>
      <c r="S948" s="55"/>
      <c r="T948" s="56"/>
      <c r="U948" s="56"/>
      <c r="V948" s="42"/>
      <c r="W948" s="57"/>
      <c r="X948" s="58"/>
      <c r="Y948" s="75"/>
      <c r="Z948" s="59"/>
      <c r="AA948" s="61"/>
      <c r="AB948" s="61"/>
      <c r="AC948" s="61"/>
      <c r="AD948" s="62"/>
      <c r="AE948" s="62"/>
      <c r="AF948" s="34"/>
      <c r="AG948" s="34"/>
      <c r="AH948" s="34"/>
      <c r="AI948" s="34"/>
      <c r="AJ948" s="34"/>
      <c r="AK948" s="34"/>
      <c r="AL948" s="34"/>
      <c r="AM948" s="34"/>
      <c r="AN948" s="34"/>
      <c r="AO948" s="34"/>
      <c r="AP948" s="34"/>
      <c r="AQ948" s="34"/>
      <c r="AR948" s="34"/>
      <c r="AS948" s="34"/>
      <c r="AT948" s="34"/>
      <c r="AU948" s="34"/>
      <c r="AV948" s="34"/>
      <c r="AW948" s="34"/>
      <c r="AX948" s="34"/>
      <c r="AY948" s="34"/>
      <c r="AZ948" s="34"/>
      <c r="BA948" s="34"/>
      <c r="BB948" s="34"/>
      <c r="BD948" s="34"/>
      <c r="BE948" s="34"/>
      <c r="BF948" s="34"/>
      <c r="BG948" s="34"/>
      <c r="BH948" s="34"/>
      <c r="BI948" s="34"/>
      <c r="BJ948" s="34"/>
      <c r="BK948" s="34"/>
      <c r="BL948" s="34"/>
      <c r="BM948" s="34"/>
      <c r="BN948" s="34"/>
      <c r="BO948" s="34"/>
      <c r="BP948" s="34"/>
      <c r="BQ948" s="34"/>
      <c r="BR948" s="34"/>
      <c r="BS948" s="34"/>
      <c r="BT948" s="34"/>
      <c r="BU948" s="34"/>
      <c r="BV948" s="34"/>
      <c r="BW948" s="34"/>
      <c r="BX948" s="34"/>
      <c r="BY948" s="34"/>
    </row>
    <row r="949" spans="1:77" x14ac:dyDescent="0.3">
      <c r="A949" s="39"/>
      <c r="B949" s="42"/>
      <c r="C949" s="42"/>
      <c r="D949" s="75"/>
      <c r="E949" s="75"/>
      <c r="F949" s="76"/>
      <c r="G949" s="47"/>
      <c r="H949" s="47"/>
      <c r="I949" s="75"/>
      <c r="J949" s="76"/>
      <c r="K949" s="76"/>
      <c r="L949" s="75"/>
      <c r="M949" s="49"/>
      <c r="N949" s="76"/>
      <c r="O949" s="49"/>
      <c r="P949" s="77"/>
      <c r="Q949" s="53"/>
      <c r="R949" s="54"/>
      <c r="S949" s="55"/>
      <c r="T949" s="56"/>
      <c r="U949" s="56"/>
      <c r="V949" s="42"/>
      <c r="W949" s="57"/>
      <c r="X949" s="58"/>
      <c r="Y949" s="75"/>
      <c r="Z949" s="59"/>
      <c r="AA949" s="61"/>
      <c r="AB949" s="61"/>
      <c r="AC949" s="61"/>
      <c r="AD949" s="62"/>
      <c r="AE949" s="62"/>
      <c r="AF949" s="34"/>
      <c r="AG949" s="34"/>
      <c r="AH949" s="34"/>
      <c r="AI949" s="34"/>
      <c r="AJ949" s="34"/>
      <c r="AK949" s="34"/>
      <c r="AL949" s="34"/>
      <c r="AM949" s="34"/>
      <c r="AN949" s="34"/>
      <c r="AO949" s="34"/>
      <c r="AP949" s="34"/>
      <c r="AQ949" s="34"/>
      <c r="AR949" s="34"/>
      <c r="AS949" s="34"/>
      <c r="AT949" s="34"/>
      <c r="AU949" s="34"/>
      <c r="AV949" s="34"/>
      <c r="AW949" s="34"/>
      <c r="AX949" s="34"/>
      <c r="AY949" s="34"/>
      <c r="AZ949" s="34"/>
      <c r="BA949" s="34"/>
      <c r="BB949" s="34"/>
      <c r="BD949" s="34"/>
      <c r="BE949" s="34"/>
      <c r="BF949" s="34"/>
      <c r="BG949" s="34"/>
      <c r="BH949" s="34"/>
      <c r="BI949" s="34"/>
      <c r="BJ949" s="34"/>
      <c r="BK949" s="34"/>
      <c r="BL949" s="34"/>
      <c r="BM949" s="34"/>
      <c r="BN949" s="34"/>
      <c r="BO949" s="34"/>
      <c r="BP949" s="34"/>
      <c r="BQ949" s="34"/>
      <c r="BR949" s="34"/>
      <c r="BS949" s="34"/>
      <c r="BT949" s="34"/>
      <c r="BU949" s="34"/>
      <c r="BV949" s="34"/>
      <c r="BW949" s="34"/>
      <c r="BX949" s="34"/>
      <c r="BY949" s="34"/>
    </row>
    <row r="950" spans="1:77" x14ac:dyDescent="0.3">
      <c r="A950" s="39"/>
      <c r="B950" s="42"/>
      <c r="C950" s="42"/>
      <c r="D950" s="75"/>
      <c r="E950" s="75"/>
      <c r="F950" s="76"/>
      <c r="G950" s="47"/>
      <c r="H950" s="47"/>
      <c r="I950" s="75"/>
      <c r="J950" s="76"/>
      <c r="K950" s="76"/>
      <c r="L950" s="75"/>
      <c r="M950" s="49"/>
      <c r="N950" s="76"/>
      <c r="O950" s="49"/>
      <c r="P950" s="77"/>
      <c r="Q950" s="53"/>
      <c r="R950" s="54"/>
      <c r="S950" s="55"/>
      <c r="T950" s="56"/>
      <c r="U950" s="56"/>
      <c r="V950" s="42"/>
      <c r="W950" s="57"/>
      <c r="X950" s="58"/>
      <c r="Y950" s="75"/>
      <c r="Z950" s="59"/>
      <c r="AA950" s="61"/>
      <c r="AB950" s="61"/>
      <c r="AC950" s="61"/>
      <c r="AD950" s="62"/>
      <c r="AE950" s="62"/>
      <c r="AF950" s="34"/>
      <c r="AG950" s="34"/>
      <c r="AH950" s="34"/>
      <c r="AI950" s="34"/>
      <c r="AJ950" s="34"/>
      <c r="AK950" s="34"/>
      <c r="AL950" s="34"/>
      <c r="AM950" s="34"/>
      <c r="AN950" s="34"/>
      <c r="AO950" s="34"/>
      <c r="AP950" s="34"/>
      <c r="AQ950" s="34"/>
      <c r="AR950" s="34"/>
      <c r="AS950" s="34"/>
      <c r="AT950" s="34"/>
      <c r="AU950" s="34"/>
      <c r="AV950" s="34"/>
      <c r="AW950" s="34"/>
      <c r="AX950" s="34"/>
      <c r="AY950" s="34"/>
      <c r="AZ950" s="34"/>
      <c r="BA950" s="34"/>
      <c r="BB950" s="34"/>
      <c r="BD950" s="34"/>
      <c r="BE950" s="34"/>
      <c r="BF950" s="34"/>
      <c r="BG950" s="34"/>
      <c r="BH950" s="34"/>
      <c r="BI950" s="34"/>
      <c r="BJ950" s="34"/>
      <c r="BK950" s="34"/>
      <c r="BL950" s="34"/>
      <c r="BM950" s="34"/>
      <c r="BN950" s="34"/>
      <c r="BO950" s="34"/>
      <c r="BP950" s="34"/>
      <c r="BQ950" s="34"/>
      <c r="BR950" s="34"/>
      <c r="BS950" s="34"/>
      <c r="BT950" s="34"/>
      <c r="BU950" s="34"/>
      <c r="BV950" s="34"/>
      <c r="BW950" s="34"/>
      <c r="BX950" s="34"/>
      <c r="BY950" s="34"/>
    </row>
    <row r="951" spans="1:77" x14ac:dyDescent="0.3">
      <c r="A951" s="39"/>
      <c r="B951" s="42"/>
      <c r="C951" s="42"/>
      <c r="D951" s="75"/>
      <c r="E951" s="75"/>
      <c r="F951" s="76"/>
      <c r="G951" s="47"/>
      <c r="H951" s="47"/>
      <c r="I951" s="75"/>
      <c r="J951" s="76"/>
      <c r="K951" s="76"/>
      <c r="L951" s="75"/>
      <c r="M951" s="49"/>
      <c r="N951" s="76"/>
      <c r="O951" s="49"/>
      <c r="P951" s="77"/>
      <c r="Q951" s="53"/>
      <c r="R951" s="54"/>
      <c r="S951" s="55"/>
      <c r="T951" s="56"/>
      <c r="U951" s="56"/>
      <c r="V951" s="42"/>
      <c r="W951" s="57"/>
      <c r="X951" s="58"/>
      <c r="Y951" s="75"/>
      <c r="Z951" s="59"/>
      <c r="AA951" s="61"/>
      <c r="AB951" s="61"/>
      <c r="AC951" s="61"/>
      <c r="AD951" s="62"/>
      <c r="AE951" s="62"/>
      <c r="AF951" s="34"/>
      <c r="AG951" s="34"/>
      <c r="AH951" s="34"/>
      <c r="AI951" s="34"/>
      <c r="AJ951" s="34"/>
      <c r="AK951" s="34"/>
      <c r="AL951" s="34"/>
      <c r="AM951" s="34"/>
      <c r="AN951" s="34"/>
      <c r="AO951" s="34"/>
      <c r="AP951" s="34"/>
      <c r="AQ951" s="34"/>
      <c r="AR951" s="34"/>
      <c r="AS951" s="34"/>
      <c r="AT951" s="34"/>
      <c r="AU951" s="34"/>
      <c r="AV951" s="34"/>
      <c r="AW951" s="34"/>
      <c r="AX951" s="34"/>
      <c r="AY951" s="34"/>
      <c r="AZ951" s="34"/>
      <c r="BA951" s="34"/>
      <c r="BB951" s="34"/>
      <c r="BD951" s="34"/>
      <c r="BE951" s="34"/>
      <c r="BF951" s="34"/>
      <c r="BG951" s="34"/>
      <c r="BH951" s="34"/>
      <c r="BI951" s="34"/>
      <c r="BJ951" s="34"/>
      <c r="BK951" s="34"/>
      <c r="BL951" s="34"/>
      <c r="BM951" s="34"/>
      <c r="BN951" s="34"/>
      <c r="BO951" s="34"/>
      <c r="BP951" s="34"/>
      <c r="BQ951" s="34"/>
      <c r="BR951" s="34"/>
      <c r="BS951" s="34"/>
      <c r="BT951" s="34"/>
      <c r="BU951" s="34"/>
      <c r="BV951" s="34"/>
      <c r="BW951" s="34"/>
      <c r="BX951" s="34"/>
      <c r="BY951" s="34"/>
    </row>
    <row r="952" spans="1:77" x14ac:dyDescent="0.3">
      <c r="A952" s="39"/>
      <c r="B952" s="42"/>
      <c r="C952" s="42"/>
      <c r="D952" s="75"/>
      <c r="E952" s="75"/>
      <c r="F952" s="76"/>
      <c r="G952" s="47"/>
      <c r="H952" s="47"/>
      <c r="I952" s="75"/>
      <c r="J952" s="76"/>
      <c r="K952" s="76"/>
      <c r="L952" s="75"/>
      <c r="M952" s="49"/>
      <c r="N952" s="76"/>
      <c r="O952" s="49"/>
      <c r="P952" s="77"/>
      <c r="Q952" s="53"/>
      <c r="R952" s="54"/>
      <c r="S952" s="55"/>
      <c r="T952" s="56"/>
      <c r="U952" s="56"/>
      <c r="V952" s="42"/>
      <c r="W952" s="57"/>
      <c r="X952" s="58"/>
      <c r="Y952" s="75"/>
      <c r="Z952" s="59"/>
      <c r="AA952" s="61"/>
      <c r="AB952" s="61"/>
      <c r="AC952" s="61"/>
      <c r="AD952" s="62"/>
      <c r="AE952" s="62"/>
      <c r="AF952" s="34"/>
      <c r="AG952" s="34"/>
      <c r="AH952" s="34"/>
      <c r="AI952" s="34"/>
      <c r="AJ952" s="34"/>
      <c r="AK952" s="34"/>
      <c r="AL952" s="34"/>
      <c r="AM952" s="34"/>
      <c r="AN952" s="34"/>
      <c r="AO952" s="34"/>
      <c r="AP952" s="34"/>
      <c r="AQ952" s="34"/>
      <c r="AR952" s="34"/>
      <c r="AS952" s="34"/>
      <c r="AT952" s="34"/>
      <c r="AU952" s="34"/>
      <c r="AV952" s="34"/>
      <c r="AW952" s="34"/>
      <c r="AX952" s="34"/>
      <c r="AY952" s="34"/>
      <c r="AZ952" s="34"/>
      <c r="BA952" s="34"/>
      <c r="BB952" s="34"/>
      <c r="BD952" s="34"/>
      <c r="BE952" s="34"/>
      <c r="BF952" s="34"/>
      <c r="BG952" s="34"/>
      <c r="BH952" s="34"/>
      <c r="BI952" s="34"/>
      <c r="BJ952" s="34"/>
      <c r="BK952" s="34"/>
      <c r="BL952" s="34"/>
      <c r="BM952" s="34"/>
      <c r="BN952" s="34"/>
      <c r="BO952" s="34"/>
      <c r="BP952" s="34"/>
      <c r="BQ952" s="34"/>
      <c r="BR952" s="34"/>
      <c r="BS952" s="34"/>
      <c r="BT952" s="34"/>
      <c r="BU952" s="34"/>
      <c r="BV952" s="34"/>
      <c r="BW952" s="34"/>
      <c r="BX952" s="34"/>
      <c r="BY952" s="34"/>
    </row>
    <row r="953" spans="1:77" x14ac:dyDescent="0.3">
      <c r="A953" s="39"/>
      <c r="B953" s="42"/>
      <c r="C953" s="42"/>
      <c r="D953" s="75"/>
      <c r="E953" s="75"/>
      <c r="F953" s="76"/>
      <c r="G953" s="47"/>
      <c r="H953" s="47"/>
      <c r="I953" s="75"/>
      <c r="J953" s="76"/>
      <c r="K953" s="76"/>
      <c r="L953" s="75"/>
      <c r="M953" s="49"/>
      <c r="N953" s="76"/>
      <c r="O953" s="49"/>
      <c r="P953" s="77"/>
      <c r="Q953" s="53"/>
      <c r="R953" s="54"/>
      <c r="S953" s="55"/>
      <c r="T953" s="56"/>
      <c r="U953" s="56"/>
      <c r="V953" s="42"/>
      <c r="W953" s="57"/>
      <c r="X953" s="58"/>
      <c r="Y953" s="75"/>
      <c r="Z953" s="59"/>
      <c r="AA953" s="61"/>
      <c r="AB953" s="61"/>
      <c r="AC953" s="61"/>
      <c r="AD953" s="62"/>
      <c r="AE953" s="62"/>
      <c r="AF953" s="34"/>
      <c r="AG953" s="34"/>
      <c r="AH953" s="34"/>
      <c r="AI953" s="34"/>
      <c r="AJ953" s="34"/>
      <c r="AK953" s="34"/>
      <c r="AL953" s="34"/>
      <c r="AM953" s="34"/>
      <c r="AN953" s="34"/>
      <c r="AO953" s="34"/>
      <c r="AP953" s="34"/>
      <c r="AQ953" s="34"/>
      <c r="AR953" s="34"/>
      <c r="AS953" s="34"/>
      <c r="AT953" s="34"/>
      <c r="AU953" s="34"/>
      <c r="AV953" s="34"/>
      <c r="AW953" s="34"/>
      <c r="AX953" s="34"/>
      <c r="AY953" s="34"/>
      <c r="AZ953" s="34"/>
      <c r="BA953" s="34"/>
      <c r="BB953" s="34"/>
      <c r="BD953" s="34"/>
      <c r="BE953" s="34"/>
      <c r="BF953" s="34"/>
      <c r="BG953" s="34"/>
      <c r="BH953" s="34"/>
      <c r="BI953" s="34"/>
      <c r="BJ953" s="34"/>
      <c r="BK953" s="34"/>
      <c r="BL953" s="34"/>
      <c r="BM953" s="34"/>
      <c r="BN953" s="34"/>
      <c r="BO953" s="34"/>
      <c r="BP953" s="34"/>
      <c r="BQ953" s="34"/>
      <c r="BR953" s="34"/>
      <c r="BS953" s="34"/>
      <c r="BT953" s="34"/>
      <c r="BU953" s="34"/>
      <c r="BV953" s="34"/>
      <c r="BW953" s="34"/>
      <c r="BX953" s="34"/>
      <c r="BY953" s="34"/>
    </row>
    <row r="954" spans="1:77" x14ac:dyDescent="0.3">
      <c r="A954" s="39"/>
      <c r="B954" s="42"/>
      <c r="C954" s="42"/>
      <c r="D954" s="75"/>
      <c r="E954" s="75"/>
      <c r="F954" s="76"/>
      <c r="G954" s="47"/>
      <c r="H954" s="47"/>
      <c r="I954" s="75"/>
      <c r="J954" s="76"/>
      <c r="K954" s="76"/>
      <c r="L954" s="75"/>
      <c r="M954" s="49"/>
      <c r="N954" s="76"/>
      <c r="O954" s="49"/>
      <c r="P954" s="77"/>
      <c r="Q954" s="53"/>
      <c r="R954" s="54"/>
      <c r="S954" s="55"/>
      <c r="T954" s="56"/>
      <c r="U954" s="56"/>
      <c r="V954" s="42"/>
      <c r="W954" s="57"/>
      <c r="X954" s="58"/>
      <c r="Y954" s="75"/>
      <c r="Z954" s="59"/>
      <c r="AA954" s="61"/>
      <c r="AB954" s="61"/>
      <c r="AC954" s="61"/>
      <c r="AD954" s="62"/>
      <c r="AE954" s="62"/>
      <c r="AF954" s="34"/>
      <c r="AG954" s="34"/>
      <c r="AH954" s="34"/>
      <c r="AI954" s="34"/>
      <c r="AJ954" s="34"/>
      <c r="AK954" s="34"/>
      <c r="AL954" s="34"/>
      <c r="AM954" s="34"/>
      <c r="AN954" s="34"/>
      <c r="AO954" s="34"/>
      <c r="AP954" s="34"/>
      <c r="AQ954" s="34"/>
      <c r="AR954" s="34"/>
      <c r="AS954" s="34"/>
      <c r="AT954" s="34"/>
      <c r="AU954" s="34"/>
      <c r="AV954" s="34"/>
      <c r="AW954" s="34"/>
      <c r="AX954" s="34"/>
      <c r="AY954" s="34"/>
      <c r="AZ954" s="34"/>
      <c r="BA954" s="34"/>
      <c r="BB954" s="34"/>
      <c r="BD954" s="34"/>
      <c r="BE954" s="34"/>
      <c r="BF954" s="34"/>
      <c r="BG954" s="34"/>
      <c r="BH954" s="34"/>
      <c r="BI954" s="34"/>
      <c r="BJ954" s="34"/>
      <c r="BK954" s="34"/>
      <c r="BL954" s="34"/>
      <c r="BM954" s="34"/>
      <c r="BN954" s="34"/>
      <c r="BO954" s="34"/>
      <c r="BP954" s="34"/>
      <c r="BQ954" s="34"/>
      <c r="BR954" s="34"/>
      <c r="BS954" s="34"/>
      <c r="BT954" s="34"/>
      <c r="BU954" s="34"/>
      <c r="BV954" s="34"/>
      <c r="BW954" s="34"/>
      <c r="BX954" s="34"/>
      <c r="BY954" s="34"/>
    </row>
    <row r="955" spans="1:77" x14ac:dyDescent="0.3">
      <c r="A955" s="39"/>
      <c r="B955" s="42"/>
      <c r="C955" s="42"/>
      <c r="D955" s="75"/>
      <c r="E955" s="75"/>
      <c r="F955" s="76"/>
      <c r="G955" s="47"/>
      <c r="H955" s="47"/>
      <c r="I955" s="75"/>
      <c r="J955" s="76"/>
      <c r="K955" s="76"/>
      <c r="L955" s="75"/>
      <c r="M955" s="49"/>
      <c r="N955" s="76"/>
      <c r="O955" s="49"/>
      <c r="P955" s="77"/>
      <c r="Q955" s="53"/>
      <c r="R955" s="54"/>
      <c r="S955" s="55"/>
      <c r="T955" s="56"/>
      <c r="U955" s="56"/>
      <c r="V955" s="42"/>
      <c r="W955" s="57"/>
      <c r="X955" s="58"/>
      <c r="Y955" s="75"/>
      <c r="Z955" s="59"/>
      <c r="AA955" s="61"/>
      <c r="AB955" s="61"/>
      <c r="AC955" s="61"/>
      <c r="AD955" s="62"/>
      <c r="AE955" s="62"/>
      <c r="AF955" s="34"/>
      <c r="AG955" s="34"/>
      <c r="AH955" s="34"/>
      <c r="AI955" s="34"/>
      <c r="AJ955" s="34"/>
      <c r="AK955" s="34"/>
      <c r="AL955" s="34"/>
      <c r="AM955" s="34"/>
      <c r="AN955" s="34"/>
      <c r="AO955" s="34"/>
      <c r="AP955" s="34"/>
      <c r="AQ955" s="34"/>
      <c r="AR955" s="34"/>
      <c r="AS955" s="34"/>
      <c r="AT955" s="34"/>
      <c r="AU955" s="34"/>
      <c r="AV955" s="34"/>
      <c r="AW955" s="34"/>
      <c r="AX955" s="34"/>
      <c r="AY955" s="34"/>
      <c r="AZ955" s="34"/>
      <c r="BA955" s="34"/>
      <c r="BB955" s="34"/>
      <c r="BD955" s="34"/>
      <c r="BE955" s="34"/>
      <c r="BF955" s="34"/>
      <c r="BG955" s="34"/>
      <c r="BH955" s="34"/>
      <c r="BI955" s="34"/>
      <c r="BJ955" s="34"/>
      <c r="BK955" s="34"/>
      <c r="BL955" s="34"/>
      <c r="BM955" s="34"/>
      <c r="BN955" s="34"/>
      <c r="BO955" s="34"/>
      <c r="BP955" s="34"/>
      <c r="BQ955" s="34"/>
      <c r="BR955" s="34"/>
      <c r="BS955" s="34"/>
      <c r="BT955" s="34"/>
      <c r="BU955" s="34"/>
      <c r="BV955" s="34"/>
      <c r="BW955" s="34"/>
      <c r="BX955" s="34"/>
      <c r="BY955" s="34"/>
    </row>
    <row r="956" spans="1:77" x14ac:dyDescent="0.3">
      <c r="A956" s="39"/>
      <c r="B956" s="42"/>
      <c r="C956" s="42"/>
      <c r="D956" s="75"/>
      <c r="E956" s="75"/>
      <c r="F956" s="76"/>
      <c r="G956" s="47"/>
      <c r="H956" s="47"/>
      <c r="I956" s="75"/>
      <c r="J956" s="76"/>
      <c r="K956" s="76"/>
      <c r="L956" s="75"/>
      <c r="M956" s="49"/>
      <c r="N956" s="76"/>
      <c r="O956" s="49"/>
      <c r="P956" s="77"/>
      <c r="Q956" s="53"/>
      <c r="R956" s="54"/>
      <c r="S956" s="55"/>
      <c r="T956" s="56"/>
      <c r="U956" s="56"/>
      <c r="V956" s="42"/>
      <c r="W956" s="57"/>
      <c r="X956" s="58"/>
      <c r="Y956" s="75"/>
      <c r="Z956" s="59"/>
      <c r="AA956" s="61"/>
      <c r="AB956" s="61"/>
      <c r="AC956" s="61"/>
      <c r="AD956" s="62"/>
      <c r="AE956" s="62"/>
      <c r="AF956" s="34"/>
      <c r="AG956" s="34"/>
      <c r="AH956" s="34"/>
      <c r="AI956" s="34"/>
      <c r="AJ956" s="34"/>
      <c r="AK956" s="34"/>
      <c r="AL956" s="34"/>
      <c r="AM956" s="34"/>
      <c r="AN956" s="34"/>
      <c r="AO956" s="34"/>
      <c r="AP956" s="34"/>
      <c r="AQ956" s="34"/>
      <c r="AR956" s="34"/>
      <c r="AS956" s="34"/>
      <c r="AT956" s="34"/>
      <c r="AU956" s="34"/>
      <c r="AV956" s="34"/>
      <c r="AW956" s="34"/>
      <c r="AX956" s="34"/>
      <c r="AY956" s="34"/>
      <c r="AZ956" s="34"/>
      <c r="BA956" s="34"/>
      <c r="BB956" s="34"/>
      <c r="BD956" s="34"/>
      <c r="BE956" s="34"/>
      <c r="BF956" s="34"/>
      <c r="BG956" s="34"/>
      <c r="BH956" s="34"/>
      <c r="BI956" s="34"/>
      <c r="BJ956" s="34"/>
      <c r="BK956" s="34"/>
      <c r="BL956" s="34"/>
      <c r="BM956" s="34"/>
      <c r="BN956" s="34"/>
      <c r="BO956" s="34"/>
      <c r="BP956" s="34"/>
      <c r="BQ956" s="34"/>
      <c r="BR956" s="34"/>
      <c r="BS956" s="34"/>
      <c r="BT956" s="34"/>
      <c r="BU956" s="34"/>
      <c r="BV956" s="34"/>
      <c r="BW956" s="34"/>
      <c r="BX956" s="34"/>
      <c r="BY956" s="34"/>
    </row>
    <row r="957" spans="1:77" x14ac:dyDescent="0.3">
      <c r="A957" s="39"/>
      <c r="B957" s="42"/>
      <c r="C957" s="42"/>
      <c r="D957" s="75"/>
      <c r="E957" s="75"/>
      <c r="F957" s="76"/>
      <c r="G957" s="47"/>
      <c r="H957" s="47"/>
      <c r="I957" s="75"/>
      <c r="J957" s="76"/>
      <c r="K957" s="76"/>
      <c r="L957" s="75"/>
      <c r="M957" s="49"/>
      <c r="N957" s="76"/>
      <c r="O957" s="49"/>
      <c r="P957" s="77"/>
      <c r="Q957" s="53"/>
      <c r="R957" s="54"/>
      <c r="S957" s="55"/>
      <c r="T957" s="56"/>
      <c r="U957" s="56"/>
      <c r="V957" s="42"/>
      <c r="W957" s="57"/>
      <c r="X957" s="58"/>
      <c r="Y957" s="75"/>
      <c r="Z957" s="59"/>
      <c r="AA957" s="61"/>
      <c r="AB957" s="61"/>
      <c r="AC957" s="61"/>
      <c r="AD957" s="62"/>
      <c r="AE957" s="62"/>
      <c r="AF957" s="34"/>
      <c r="AG957" s="34"/>
      <c r="AH957" s="34"/>
      <c r="AI957" s="34"/>
      <c r="AJ957" s="34"/>
      <c r="AK957" s="34"/>
      <c r="AL957" s="34"/>
      <c r="AM957" s="34"/>
      <c r="AN957" s="34"/>
      <c r="AO957" s="34"/>
      <c r="AP957" s="34"/>
      <c r="AQ957" s="34"/>
      <c r="AR957" s="34"/>
      <c r="AS957" s="34"/>
      <c r="AT957" s="34"/>
      <c r="AU957" s="34"/>
      <c r="AV957" s="34"/>
      <c r="AW957" s="34"/>
      <c r="AX957" s="34"/>
      <c r="AY957" s="34"/>
      <c r="AZ957" s="34"/>
      <c r="BA957" s="34"/>
      <c r="BB957" s="34"/>
      <c r="BD957" s="34"/>
      <c r="BE957" s="34"/>
      <c r="BF957" s="34"/>
      <c r="BG957" s="34"/>
      <c r="BH957" s="34"/>
      <c r="BI957" s="34"/>
      <c r="BJ957" s="34"/>
      <c r="BK957" s="34"/>
      <c r="BL957" s="34"/>
      <c r="BM957" s="34"/>
      <c r="BN957" s="34"/>
      <c r="BO957" s="34"/>
      <c r="BP957" s="34"/>
      <c r="BQ957" s="34"/>
      <c r="BR957" s="34"/>
      <c r="BS957" s="34"/>
      <c r="BT957" s="34"/>
      <c r="BU957" s="34"/>
      <c r="BV957" s="34"/>
      <c r="BW957" s="34"/>
      <c r="BX957" s="34"/>
      <c r="BY957" s="34"/>
    </row>
    <row r="958" spans="1:77" x14ac:dyDescent="0.3">
      <c r="A958" s="39"/>
      <c r="B958" s="42"/>
      <c r="C958" s="42"/>
      <c r="D958" s="75"/>
      <c r="E958" s="75"/>
      <c r="F958" s="76"/>
      <c r="G958" s="47"/>
      <c r="H958" s="47"/>
      <c r="I958" s="75"/>
      <c r="J958" s="76"/>
      <c r="K958" s="76"/>
      <c r="L958" s="75"/>
      <c r="M958" s="49"/>
      <c r="N958" s="76"/>
      <c r="O958" s="49"/>
      <c r="P958" s="77"/>
      <c r="Q958" s="53"/>
      <c r="R958" s="54"/>
      <c r="S958" s="55"/>
      <c r="T958" s="56"/>
      <c r="U958" s="56"/>
      <c r="V958" s="42"/>
      <c r="W958" s="57"/>
      <c r="X958" s="58"/>
      <c r="Y958" s="75"/>
      <c r="Z958" s="59"/>
      <c r="AA958" s="61"/>
      <c r="AB958" s="61"/>
      <c r="AC958" s="61"/>
      <c r="AD958" s="62"/>
      <c r="AE958" s="62"/>
      <c r="AF958" s="34"/>
      <c r="AG958" s="34"/>
      <c r="AH958" s="34"/>
      <c r="AI958" s="34"/>
      <c r="AJ958" s="34"/>
      <c r="AK958" s="34"/>
      <c r="AL958" s="34"/>
      <c r="AM958" s="34"/>
      <c r="AN958" s="34"/>
      <c r="AO958" s="34"/>
      <c r="AP958" s="34"/>
      <c r="AQ958" s="34"/>
      <c r="AR958" s="34"/>
      <c r="AS958" s="34"/>
      <c r="AT958" s="34"/>
      <c r="AU958" s="34"/>
      <c r="AV958" s="34"/>
      <c r="AW958" s="34"/>
      <c r="AX958" s="34"/>
      <c r="AY958" s="34"/>
      <c r="AZ958" s="34"/>
      <c r="BA958" s="34"/>
      <c r="BB958" s="34"/>
      <c r="BD958" s="34"/>
      <c r="BE958" s="34"/>
      <c r="BF958" s="34"/>
      <c r="BG958" s="34"/>
      <c r="BH958" s="34"/>
      <c r="BI958" s="34"/>
      <c r="BJ958" s="34"/>
      <c r="BK958" s="34"/>
      <c r="BL958" s="34"/>
      <c r="BM958" s="34"/>
      <c r="BN958" s="34"/>
      <c r="BO958" s="34"/>
      <c r="BP958" s="34"/>
      <c r="BQ958" s="34"/>
      <c r="BR958" s="34"/>
      <c r="BS958" s="34"/>
      <c r="BT958" s="34"/>
      <c r="BU958" s="34"/>
      <c r="BV958" s="34"/>
      <c r="BW958" s="34"/>
      <c r="BX958" s="34"/>
      <c r="BY958" s="34"/>
    </row>
    <row r="959" spans="1:77" x14ac:dyDescent="0.3">
      <c r="A959" s="39"/>
      <c r="B959" s="42"/>
      <c r="C959" s="42"/>
      <c r="D959" s="75"/>
      <c r="E959" s="75"/>
      <c r="F959" s="76"/>
      <c r="G959" s="47"/>
      <c r="H959" s="47"/>
      <c r="I959" s="75"/>
      <c r="J959" s="76"/>
      <c r="K959" s="76"/>
      <c r="L959" s="75"/>
      <c r="M959" s="49"/>
      <c r="N959" s="76"/>
      <c r="O959" s="49"/>
      <c r="P959" s="77"/>
      <c r="Q959" s="53"/>
      <c r="R959" s="54"/>
      <c r="S959" s="55"/>
      <c r="T959" s="56"/>
      <c r="U959" s="56"/>
      <c r="V959" s="42"/>
      <c r="W959" s="57"/>
      <c r="X959" s="58"/>
      <c r="Y959" s="75"/>
      <c r="Z959" s="59"/>
      <c r="AA959" s="61"/>
      <c r="AB959" s="61"/>
      <c r="AC959" s="61"/>
      <c r="AD959" s="62"/>
      <c r="AE959" s="62"/>
      <c r="AF959" s="34"/>
      <c r="AG959" s="34"/>
      <c r="AH959" s="34"/>
      <c r="AI959" s="34"/>
      <c r="AJ959" s="34"/>
      <c r="AK959" s="34"/>
      <c r="AL959" s="34"/>
      <c r="AM959" s="34"/>
      <c r="AN959" s="34"/>
      <c r="AO959" s="34"/>
      <c r="AP959" s="34"/>
      <c r="AQ959" s="34"/>
      <c r="AR959" s="34"/>
      <c r="AS959" s="34"/>
      <c r="AT959" s="34"/>
      <c r="AU959" s="34"/>
      <c r="AV959" s="34"/>
      <c r="AW959" s="34"/>
      <c r="AX959" s="34"/>
      <c r="AY959" s="34"/>
      <c r="AZ959" s="34"/>
      <c r="BA959" s="34"/>
      <c r="BB959" s="34"/>
      <c r="BD959" s="34"/>
      <c r="BE959" s="34"/>
      <c r="BF959" s="34"/>
      <c r="BG959" s="34"/>
      <c r="BH959" s="34"/>
      <c r="BI959" s="34"/>
      <c r="BJ959" s="34"/>
      <c r="BK959" s="34"/>
      <c r="BL959" s="34"/>
      <c r="BM959" s="34"/>
      <c r="BN959" s="34"/>
      <c r="BO959" s="34"/>
      <c r="BP959" s="34"/>
      <c r="BQ959" s="34"/>
      <c r="BR959" s="34"/>
      <c r="BS959" s="34"/>
      <c r="BT959" s="34"/>
      <c r="BU959" s="34"/>
      <c r="BV959" s="34"/>
      <c r="BW959" s="34"/>
      <c r="BX959" s="34"/>
      <c r="BY959" s="34"/>
    </row>
    <row r="960" spans="1:77" x14ac:dyDescent="0.3">
      <c r="A960" s="39"/>
      <c r="B960" s="42"/>
      <c r="C960" s="42"/>
      <c r="D960" s="75"/>
      <c r="E960" s="75"/>
      <c r="F960" s="76"/>
      <c r="G960" s="47"/>
      <c r="H960" s="47"/>
      <c r="I960" s="75"/>
      <c r="J960" s="76"/>
      <c r="K960" s="76"/>
      <c r="L960" s="75"/>
      <c r="M960" s="49"/>
      <c r="N960" s="76"/>
      <c r="O960" s="49"/>
      <c r="P960" s="77"/>
      <c r="Q960" s="53"/>
      <c r="R960" s="54"/>
      <c r="S960" s="55"/>
      <c r="T960" s="56"/>
      <c r="U960" s="56"/>
      <c r="V960" s="42"/>
      <c r="W960" s="57"/>
      <c r="X960" s="58"/>
      <c r="Y960" s="75"/>
      <c r="Z960" s="59"/>
      <c r="AA960" s="61"/>
      <c r="AB960" s="61"/>
      <c r="AC960" s="61"/>
      <c r="AD960" s="62"/>
      <c r="AE960" s="62"/>
      <c r="AF960" s="34"/>
      <c r="AG960" s="34"/>
      <c r="AH960" s="34"/>
      <c r="AI960" s="34"/>
      <c r="AJ960" s="34"/>
      <c r="AK960" s="34"/>
      <c r="AL960" s="34"/>
      <c r="AM960" s="34"/>
      <c r="AN960" s="34"/>
      <c r="AO960" s="34"/>
      <c r="AP960" s="34"/>
      <c r="AQ960" s="34"/>
      <c r="AR960" s="34"/>
      <c r="AS960" s="34"/>
      <c r="AT960" s="34"/>
      <c r="AU960" s="34"/>
      <c r="AV960" s="34"/>
      <c r="AW960" s="34"/>
      <c r="AX960" s="34"/>
      <c r="AY960" s="34"/>
      <c r="AZ960" s="34"/>
      <c r="BA960" s="34"/>
      <c r="BB960" s="34"/>
      <c r="BD960" s="34"/>
      <c r="BE960" s="34"/>
      <c r="BF960" s="34"/>
      <c r="BG960" s="34"/>
      <c r="BH960" s="34"/>
      <c r="BI960" s="34"/>
      <c r="BJ960" s="34"/>
      <c r="BK960" s="34"/>
      <c r="BL960" s="34"/>
      <c r="BM960" s="34"/>
      <c r="BN960" s="34"/>
      <c r="BO960" s="34"/>
      <c r="BP960" s="34"/>
      <c r="BQ960" s="34"/>
      <c r="BR960" s="34"/>
      <c r="BS960" s="34"/>
      <c r="BT960" s="34"/>
      <c r="BU960" s="34"/>
      <c r="BV960" s="34"/>
      <c r="BW960" s="34"/>
      <c r="BX960" s="34"/>
      <c r="BY960" s="34"/>
    </row>
    <row r="961" spans="1:77" x14ac:dyDescent="0.3">
      <c r="A961" s="39"/>
      <c r="B961" s="42"/>
      <c r="C961" s="42"/>
      <c r="D961" s="75"/>
      <c r="E961" s="75"/>
      <c r="F961" s="76"/>
      <c r="G961" s="47"/>
      <c r="H961" s="47"/>
      <c r="I961" s="75"/>
      <c r="J961" s="76"/>
      <c r="K961" s="76"/>
      <c r="L961" s="75"/>
      <c r="M961" s="49"/>
      <c r="N961" s="76"/>
      <c r="O961" s="49"/>
      <c r="P961" s="77"/>
      <c r="Q961" s="53"/>
      <c r="R961" s="54"/>
      <c r="S961" s="55"/>
      <c r="T961" s="56"/>
      <c r="U961" s="56"/>
      <c r="V961" s="42"/>
      <c r="W961" s="57"/>
      <c r="X961" s="58"/>
      <c r="Y961" s="75"/>
      <c r="Z961" s="59"/>
      <c r="AA961" s="61"/>
      <c r="AB961" s="61"/>
      <c r="AC961" s="61"/>
      <c r="AD961" s="62"/>
      <c r="AE961" s="62"/>
      <c r="AF961" s="34"/>
      <c r="AG961" s="34"/>
      <c r="AH961" s="34"/>
      <c r="AI961" s="34"/>
      <c r="AJ961" s="34"/>
      <c r="AK961" s="34"/>
      <c r="AL961" s="34"/>
      <c r="AM961" s="34"/>
      <c r="AN961" s="34"/>
      <c r="AO961" s="34"/>
      <c r="AP961" s="34"/>
      <c r="AQ961" s="34"/>
      <c r="AR961" s="34"/>
      <c r="AS961" s="34"/>
      <c r="AT961" s="34"/>
      <c r="AU961" s="34"/>
      <c r="AV961" s="34"/>
      <c r="AW961" s="34"/>
      <c r="AX961" s="34"/>
      <c r="AY961" s="34"/>
      <c r="AZ961" s="34"/>
      <c r="BA961" s="34"/>
      <c r="BB961" s="34"/>
      <c r="BD961" s="34"/>
      <c r="BE961" s="34"/>
      <c r="BF961" s="34"/>
      <c r="BG961" s="34"/>
      <c r="BH961" s="34"/>
      <c r="BI961" s="34"/>
      <c r="BJ961" s="34"/>
      <c r="BK961" s="34"/>
      <c r="BL961" s="34"/>
      <c r="BM961" s="34"/>
      <c r="BN961" s="34"/>
      <c r="BO961" s="34"/>
      <c r="BP961" s="34"/>
      <c r="BQ961" s="34"/>
      <c r="BR961" s="34"/>
      <c r="BS961" s="34"/>
      <c r="BT961" s="34"/>
      <c r="BU961" s="34"/>
      <c r="BV961" s="34"/>
      <c r="BW961" s="34"/>
      <c r="BX961" s="34"/>
      <c r="BY961" s="34"/>
    </row>
    <row r="962" spans="1:77" x14ac:dyDescent="0.3">
      <c r="A962" s="39"/>
      <c r="B962" s="42"/>
      <c r="C962" s="42"/>
      <c r="D962" s="75"/>
      <c r="E962" s="75"/>
      <c r="F962" s="76"/>
      <c r="G962" s="47"/>
      <c r="H962" s="47"/>
      <c r="I962" s="75"/>
      <c r="J962" s="76"/>
      <c r="K962" s="76"/>
      <c r="L962" s="75"/>
      <c r="M962" s="49"/>
      <c r="N962" s="76"/>
      <c r="O962" s="49"/>
      <c r="P962" s="77"/>
      <c r="Q962" s="53"/>
      <c r="R962" s="54"/>
      <c r="S962" s="55"/>
      <c r="T962" s="56"/>
      <c r="U962" s="56"/>
      <c r="V962" s="42"/>
      <c r="W962" s="57"/>
      <c r="X962" s="58"/>
      <c r="Y962" s="75"/>
      <c r="Z962" s="59"/>
      <c r="AA962" s="61"/>
      <c r="AB962" s="61"/>
      <c r="AC962" s="61"/>
      <c r="AD962" s="62"/>
      <c r="AE962" s="62"/>
      <c r="AF962" s="34"/>
      <c r="AG962" s="34"/>
      <c r="AH962" s="34"/>
      <c r="AI962" s="34"/>
      <c r="AJ962" s="34"/>
      <c r="AK962" s="34"/>
      <c r="AL962" s="34"/>
      <c r="AM962" s="34"/>
      <c r="AN962" s="34"/>
      <c r="AO962" s="34"/>
      <c r="AP962" s="34"/>
      <c r="AQ962" s="34"/>
      <c r="AR962" s="34"/>
      <c r="AS962" s="34"/>
      <c r="AT962" s="34"/>
      <c r="AU962" s="34"/>
      <c r="AV962" s="34"/>
      <c r="AW962" s="34"/>
      <c r="AX962" s="34"/>
      <c r="AY962" s="34"/>
      <c r="AZ962" s="34"/>
      <c r="BA962" s="34"/>
      <c r="BB962" s="34"/>
      <c r="BD962" s="34"/>
      <c r="BE962" s="34"/>
      <c r="BF962" s="34"/>
      <c r="BG962" s="34"/>
      <c r="BH962" s="34"/>
      <c r="BI962" s="34"/>
      <c r="BJ962" s="34"/>
      <c r="BK962" s="34"/>
      <c r="BL962" s="34"/>
      <c r="BM962" s="34"/>
      <c r="BN962" s="34"/>
      <c r="BO962" s="34"/>
      <c r="BP962" s="34"/>
      <c r="BQ962" s="34"/>
      <c r="BR962" s="34"/>
      <c r="BS962" s="34"/>
      <c r="BT962" s="34"/>
      <c r="BU962" s="34"/>
      <c r="BV962" s="34"/>
      <c r="BW962" s="34"/>
      <c r="BX962" s="34"/>
      <c r="BY962" s="34"/>
    </row>
    <row r="963" spans="1:77" x14ac:dyDescent="0.3">
      <c r="A963" s="39"/>
      <c r="B963" s="42"/>
      <c r="C963" s="42"/>
      <c r="D963" s="75"/>
      <c r="E963" s="75"/>
      <c r="F963" s="76"/>
      <c r="G963" s="47"/>
      <c r="H963" s="47"/>
      <c r="I963" s="75"/>
      <c r="J963" s="76"/>
      <c r="K963" s="76"/>
      <c r="L963" s="75"/>
      <c r="M963" s="49"/>
      <c r="N963" s="76"/>
      <c r="O963" s="49"/>
      <c r="P963" s="77"/>
      <c r="Q963" s="53"/>
      <c r="R963" s="54"/>
      <c r="S963" s="55"/>
      <c r="T963" s="56"/>
      <c r="U963" s="56"/>
      <c r="V963" s="42"/>
      <c r="W963" s="57"/>
      <c r="X963" s="58"/>
      <c r="Y963" s="75"/>
      <c r="Z963" s="59"/>
      <c r="AA963" s="61"/>
      <c r="AB963" s="61"/>
      <c r="AC963" s="61"/>
      <c r="AD963" s="62"/>
      <c r="AE963" s="62"/>
      <c r="AF963" s="34"/>
      <c r="AG963" s="34"/>
      <c r="AH963" s="34"/>
      <c r="AI963" s="34"/>
      <c r="AJ963" s="34"/>
      <c r="AK963" s="34"/>
      <c r="AL963" s="34"/>
      <c r="AM963" s="34"/>
      <c r="AN963" s="34"/>
      <c r="AO963" s="34"/>
      <c r="AP963" s="34"/>
      <c r="AQ963" s="34"/>
      <c r="AR963" s="34"/>
      <c r="AS963" s="34"/>
      <c r="AT963" s="34"/>
      <c r="AU963" s="34"/>
      <c r="AV963" s="34"/>
      <c r="AW963" s="34"/>
      <c r="AX963" s="34"/>
      <c r="AY963" s="34"/>
      <c r="AZ963" s="34"/>
      <c r="BA963" s="34"/>
      <c r="BB963" s="34"/>
      <c r="BD963" s="34"/>
      <c r="BE963" s="34"/>
      <c r="BF963" s="34"/>
      <c r="BG963" s="34"/>
      <c r="BH963" s="34"/>
      <c r="BI963" s="34"/>
      <c r="BJ963" s="34"/>
      <c r="BK963" s="34"/>
      <c r="BL963" s="34"/>
      <c r="BM963" s="34"/>
      <c r="BN963" s="34"/>
      <c r="BO963" s="34"/>
      <c r="BP963" s="34"/>
      <c r="BQ963" s="34"/>
      <c r="BR963" s="34"/>
      <c r="BS963" s="34"/>
      <c r="BT963" s="34"/>
      <c r="BU963" s="34"/>
      <c r="BV963" s="34"/>
      <c r="BW963" s="34"/>
      <c r="BX963" s="34"/>
      <c r="BY963" s="34"/>
    </row>
    <row r="964" spans="1:77" x14ac:dyDescent="0.3">
      <c r="A964" s="39"/>
      <c r="B964" s="42"/>
      <c r="C964" s="42"/>
      <c r="D964" s="75"/>
      <c r="E964" s="75"/>
      <c r="F964" s="76"/>
      <c r="G964" s="47"/>
      <c r="H964" s="47"/>
      <c r="I964" s="75"/>
      <c r="J964" s="76"/>
      <c r="K964" s="76"/>
      <c r="L964" s="75"/>
      <c r="M964" s="49"/>
      <c r="N964" s="76"/>
      <c r="O964" s="49"/>
      <c r="P964" s="77"/>
      <c r="Q964" s="53"/>
      <c r="R964" s="54"/>
      <c r="S964" s="55"/>
      <c r="T964" s="56"/>
      <c r="U964" s="56"/>
      <c r="V964" s="42"/>
      <c r="W964" s="57"/>
      <c r="X964" s="58"/>
      <c r="Y964" s="75"/>
      <c r="Z964" s="59"/>
      <c r="AA964" s="61"/>
      <c r="AB964" s="61"/>
      <c r="AC964" s="61"/>
      <c r="AD964" s="62"/>
      <c r="AE964" s="62"/>
      <c r="AF964" s="34"/>
      <c r="AG964" s="34"/>
      <c r="AH964" s="34"/>
      <c r="AI964" s="34"/>
      <c r="AJ964" s="34"/>
      <c r="AK964" s="34"/>
      <c r="AL964" s="34"/>
      <c r="AM964" s="34"/>
      <c r="AN964" s="34"/>
      <c r="AO964" s="34"/>
      <c r="AP964" s="34"/>
      <c r="AQ964" s="34"/>
      <c r="AR964" s="34"/>
      <c r="AS964" s="34"/>
      <c r="AT964" s="34"/>
      <c r="AU964" s="34"/>
      <c r="AV964" s="34"/>
      <c r="AW964" s="34"/>
      <c r="AX964" s="34"/>
      <c r="AY964" s="34"/>
      <c r="AZ964" s="34"/>
      <c r="BA964" s="34"/>
      <c r="BB964" s="34"/>
      <c r="BD964" s="34"/>
      <c r="BE964" s="34"/>
      <c r="BF964" s="34"/>
      <c r="BG964" s="34"/>
      <c r="BH964" s="34"/>
      <c r="BI964" s="34"/>
      <c r="BJ964" s="34"/>
      <c r="BK964" s="34"/>
      <c r="BL964" s="34"/>
      <c r="BM964" s="34"/>
      <c r="BN964" s="34"/>
      <c r="BO964" s="34"/>
      <c r="BP964" s="34"/>
      <c r="BQ964" s="34"/>
      <c r="BR964" s="34"/>
      <c r="BS964" s="34"/>
      <c r="BT964" s="34"/>
      <c r="BU964" s="34"/>
      <c r="BV964" s="34"/>
      <c r="BW964" s="34"/>
      <c r="BX964" s="34"/>
      <c r="BY964" s="34"/>
    </row>
    <row r="965" spans="1:77" x14ac:dyDescent="0.3">
      <c r="A965" s="39"/>
      <c r="B965" s="42"/>
      <c r="C965" s="42"/>
      <c r="D965" s="75"/>
      <c r="E965" s="75"/>
      <c r="F965" s="76"/>
      <c r="G965" s="47"/>
      <c r="H965" s="47"/>
      <c r="I965" s="75"/>
      <c r="J965" s="76"/>
      <c r="K965" s="76"/>
      <c r="L965" s="75"/>
      <c r="M965" s="49"/>
      <c r="N965" s="76"/>
      <c r="O965" s="49"/>
      <c r="P965" s="77"/>
      <c r="Q965" s="53"/>
      <c r="R965" s="54"/>
      <c r="S965" s="55"/>
      <c r="T965" s="56"/>
      <c r="U965" s="56"/>
      <c r="V965" s="42"/>
      <c r="W965" s="57"/>
      <c r="X965" s="58"/>
      <c r="Y965" s="75"/>
      <c r="Z965" s="59"/>
      <c r="AA965" s="61"/>
      <c r="AB965" s="61"/>
      <c r="AC965" s="61"/>
      <c r="AD965" s="62"/>
      <c r="AE965" s="62"/>
      <c r="AF965" s="34"/>
      <c r="AG965" s="34"/>
      <c r="AH965" s="34"/>
      <c r="AI965" s="34"/>
      <c r="AJ965" s="34"/>
      <c r="AK965" s="34"/>
      <c r="AL965" s="34"/>
      <c r="AM965" s="34"/>
      <c r="AN965" s="34"/>
      <c r="AO965" s="34"/>
      <c r="AP965" s="34"/>
      <c r="AQ965" s="34"/>
      <c r="AR965" s="34"/>
      <c r="AS965" s="34"/>
      <c r="AT965" s="34"/>
      <c r="AU965" s="34"/>
      <c r="AV965" s="34"/>
      <c r="AW965" s="34"/>
      <c r="AX965" s="34"/>
      <c r="AY965" s="34"/>
      <c r="AZ965" s="34"/>
      <c r="BA965" s="34"/>
      <c r="BB965" s="34"/>
      <c r="BD965" s="34"/>
      <c r="BE965" s="34"/>
      <c r="BF965" s="34"/>
      <c r="BG965" s="34"/>
      <c r="BH965" s="34"/>
      <c r="BI965" s="34"/>
      <c r="BJ965" s="34"/>
      <c r="BK965" s="34"/>
      <c r="BL965" s="34"/>
      <c r="BM965" s="34"/>
      <c r="BN965" s="34"/>
      <c r="BO965" s="34"/>
      <c r="BP965" s="34"/>
      <c r="BQ965" s="34"/>
      <c r="BR965" s="34"/>
      <c r="BS965" s="34"/>
      <c r="BT965" s="34"/>
      <c r="BU965" s="34"/>
      <c r="BV965" s="34"/>
      <c r="BW965" s="34"/>
      <c r="BX965" s="34"/>
      <c r="BY965" s="34"/>
    </row>
    <row r="966" spans="1:77" x14ac:dyDescent="0.3">
      <c r="A966" s="39"/>
      <c r="B966" s="42"/>
      <c r="C966" s="42"/>
      <c r="D966" s="75"/>
      <c r="E966" s="75"/>
      <c r="F966" s="76"/>
      <c r="G966" s="47"/>
      <c r="H966" s="47"/>
      <c r="I966" s="75"/>
      <c r="J966" s="76"/>
      <c r="K966" s="76"/>
      <c r="L966" s="75"/>
      <c r="M966" s="49"/>
      <c r="N966" s="76"/>
      <c r="O966" s="49"/>
      <c r="P966" s="77"/>
      <c r="Q966" s="53"/>
      <c r="R966" s="54"/>
      <c r="S966" s="55"/>
      <c r="T966" s="56"/>
      <c r="U966" s="56"/>
      <c r="V966" s="42"/>
      <c r="W966" s="57"/>
      <c r="X966" s="58"/>
      <c r="Y966" s="75"/>
      <c r="Z966" s="59"/>
      <c r="AA966" s="61"/>
      <c r="AB966" s="61"/>
      <c r="AC966" s="61"/>
      <c r="AD966" s="62"/>
      <c r="AE966" s="62"/>
      <c r="AF966" s="34"/>
      <c r="AG966" s="34"/>
      <c r="AH966" s="34"/>
      <c r="AI966" s="34"/>
      <c r="AJ966" s="34"/>
      <c r="AK966" s="34"/>
      <c r="AL966" s="34"/>
      <c r="AM966" s="34"/>
      <c r="AN966" s="34"/>
      <c r="AO966" s="34"/>
      <c r="AP966" s="34"/>
      <c r="AQ966" s="34"/>
      <c r="AR966" s="34"/>
      <c r="AS966" s="34"/>
      <c r="AT966" s="34"/>
      <c r="AU966" s="34"/>
      <c r="AV966" s="34"/>
      <c r="AW966" s="34"/>
      <c r="AX966" s="34"/>
      <c r="AY966" s="34"/>
      <c r="AZ966" s="34"/>
      <c r="BA966" s="34"/>
      <c r="BB966" s="34"/>
      <c r="BD966" s="34"/>
      <c r="BE966" s="34"/>
      <c r="BF966" s="34"/>
      <c r="BG966" s="34"/>
      <c r="BH966" s="34"/>
      <c r="BI966" s="34"/>
      <c r="BJ966" s="34"/>
      <c r="BK966" s="34"/>
      <c r="BL966" s="34"/>
      <c r="BM966" s="34"/>
      <c r="BN966" s="34"/>
      <c r="BO966" s="34"/>
      <c r="BP966" s="34"/>
      <c r="BQ966" s="34"/>
      <c r="BR966" s="34"/>
      <c r="BS966" s="34"/>
      <c r="BT966" s="34"/>
      <c r="BU966" s="34"/>
      <c r="BV966" s="34"/>
      <c r="BW966" s="34"/>
      <c r="BX966" s="34"/>
      <c r="BY966" s="34"/>
    </row>
    <row r="967" spans="1:77" x14ac:dyDescent="0.3">
      <c r="A967" s="39"/>
      <c r="B967" s="42"/>
      <c r="C967" s="42"/>
      <c r="D967" s="75"/>
      <c r="E967" s="75"/>
      <c r="F967" s="76"/>
      <c r="G967" s="47"/>
      <c r="H967" s="47"/>
      <c r="I967" s="75"/>
      <c r="J967" s="76"/>
      <c r="K967" s="76"/>
      <c r="L967" s="75"/>
      <c r="M967" s="49"/>
      <c r="N967" s="76"/>
      <c r="O967" s="49"/>
      <c r="P967" s="77"/>
      <c r="Q967" s="53"/>
      <c r="R967" s="54"/>
      <c r="S967" s="55"/>
      <c r="T967" s="56"/>
      <c r="U967" s="56"/>
      <c r="V967" s="42"/>
      <c r="W967" s="57"/>
      <c r="X967" s="58"/>
      <c r="Y967" s="75"/>
      <c r="Z967" s="59"/>
      <c r="AA967" s="61"/>
      <c r="AB967" s="61"/>
      <c r="AC967" s="61"/>
      <c r="AD967" s="62"/>
      <c r="AE967" s="62"/>
      <c r="AF967" s="34"/>
      <c r="AG967" s="34"/>
      <c r="AH967" s="34"/>
      <c r="AI967" s="34"/>
      <c r="AJ967" s="34"/>
      <c r="AK967" s="34"/>
      <c r="AL967" s="34"/>
      <c r="AM967" s="34"/>
      <c r="AN967" s="34"/>
      <c r="AO967" s="34"/>
      <c r="AP967" s="34"/>
      <c r="AQ967" s="34"/>
      <c r="AR967" s="34"/>
      <c r="AS967" s="34"/>
      <c r="AT967" s="34"/>
      <c r="AU967" s="34"/>
      <c r="AV967" s="34"/>
      <c r="AW967" s="34"/>
      <c r="AX967" s="34"/>
      <c r="AY967" s="34"/>
      <c r="AZ967" s="34"/>
      <c r="BA967" s="34"/>
      <c r="BB967" s="34"/>
      <c r="BD967" s="34"/>
      <c r="BE967" s="34"/>
      <c r="BF967" s="34"/>
      <c r="BG967" s="34"/>
      <c r="BH967" s="34"/>
      <c r="BI967" s="34"/>
      <c r="BJ967" s="34"/>
      <c r="BK967" s="34"/>
      <c r="BL967" s="34"/>
      <c r="BM967" s="34"/>
      <c r="BN967" s="34"/>
      <c r="BO967" s="34"/>
      <c r="BP967" s="34"/>
      <c r="BQ967" s="34"/>
      <c r="BR967" s="34"/>
      <c r="BS967" s="34"/>
      <c r="BT967" s="34"/>
      <c r="BU967" s="34"/>
      <c r="BV967" s="34"/>
      <c r="BW967" s="34"/>
      <c r="BX967" s="34"/>
      <c r="BY967" s="34"/>
    </row>
    <row r="968" spans="1:77" x14ac:dyDescent="0.3">
      <c r="A968" s="39"/>
      <c r="B968" s="42"/>
      <c r="C968" s="42"/>
      <c r="D968" s="75"/>
      <c r="E968" s="75"/>
      <c r="F968" s="76"/>
      <c r="G968" s="47"/>
      <c r="H968" s="47"/>
      <c r="I968" s="75"/>
      <c r="J968" s="76"/>
      <c r="K968" s="76"/>
      <c r="L968" s="75"/>
      <c r="M968" s="49"/>
      <c r="N968" s="76"/>
      <c r="O968" s="49"/>
      <c r="P968" s="77"/>
      <c r="Q968" s="53"/>
      <c r="R968" s="54"/>
      <c r="S968" s="55"/>
      <c r="T968" s="56"/>
      <c r="U968" s="56"/>
      <c r="V968" s="42"/>
      <c r="W968" s="57"/>
      <c r="X968" s="58"/>
      <c r="Y968" s="75"/>
      <c r="Z968" s="59"/>
      <c r="AA968" s="61"/>
      <c r="AB968" s="61"/>
      <c r="AC968" s="61"/>
      <c r="AD968" s="62"/>
      <c r="AE968" s="62"/>
      <c r="AF968" s="34"/>
      <c r="AG968" s="34"/>
      <c r="AH968" s="34"/>
      <c r="AI968" s="34"/>
      <c r="AJ968" s="34"/>
      <c r="AK968" s="34"/>
      <c r="AL968" s="34"/>
      <c r="AM968" s="34"/>
      <c r="AN968" s="34"/>
      <c r="AO968" s="34"/>
      <c r="AP968" s="34"/>
      <c r="AQ968" s="34"/>
      <c r="AR968" s="34"/>
      <c r="AS968" s="34"/>
      <c r="AT968" s="34"/>
      <c r="AU968" s="34"/>
      <c r="AV968" s="34"/>
      <c r="AW968" s="34"/>
      <c r="AX968" s="34"/>
      <c r="AY968" s="34"/>
      <c r="AZ968" s="34"/>
      <c r="BA968" s="34"/>
      <c r="BB968" s="34"/>
      <c r="BD968" s="34"/>
      <c r="BE968" s="34"/>
      <c r="BF968" s="34"/>
      <c r="BG968" s="34"/>
      <c r="BH968" s="34"/>
      <c r="BI968" s="34"/>
      <c r="BJ968" s="34"/>
      <c r="BK968" s="34"/>
      <c r="BL968" s="34"/>
      <c r="BM968" s="34"/>
      <c r="BN968" s="34"/>
      <c r="BO968" s="34"/>
      <c r="BP968" s="34"/>
      <c r="BQ968" s="34"/>
      <c r="BR968" s="34"/>
      <c r="BS968" s="34"/>
      <c r="BT968" s="34"/>
      <c r="BU968" s="34"/>
      <c r="BV968" s="34"/>
      <c r="BW968" s="34"/>
      <c r="BX968" s="34"/>
      <c r="BY968" s="34"/>
    </row>
    <row r="969" spans="1:77" x14ac:dyDescent="0.3">
      <c r="A969" s="39"/>
      <c r="B969" s="42"/>
      <c r="C969" s="42"/>
      <c r="D969" s="75"/>
      <c r="E969" s="75"/>
      <c r="F969" s="76"/>
      <c r="G969" s="47"/>
      <c r="H969" s="47"/>
      <c r="I969" s="75"/>
      <c r="J969" s="76"/>
      <c r="K969" s="76"/>
      <c r="L969" s="75"/>
      <c r="M969" s="49"/>
      <c r="N969" s="76"/>
      <c r="O969" s="49"/>
      <c r="P969" s="77"/>
      <c r="Q969" s="53"/>
      <c r="R969" s="54"/>
      <c r="S969" s="55"/>
      <c r="T969" s="56"/>
      <c r="U969" s="56"/>
      <c r="V969" s="42"/>
      <c r="W969" s="57"/>
      <c r="X969" s="58"/>
      <c r="Y969" s="75"/>
      <c r="Z969" s="59"/>
      <c r="AA969" s="61"/>
      <c r="AB969" s="61"/>
      <c r="AC969" s="61"/>
      <c r="AD969" s="62"/>
      <c r="AE969" s="62"/>
      <c r="AF969" s="34"/>
      <c r="AG969" s="34"/>
      <c r="AH969" s="34"/>
      <c r="AI969" s="34"/>
      <c r="AJ969" s="34"/>
      <c r="AK969" s="34"/>
      <c r="AL969" s="34"/>
      <c r="AM969" s="34"/>
      <c r="AN969" s="34"/>
      <c r="AO969" s="34"/>
      <c r="AP969" s="34"/>
      <c r="AQ969" s="34"/>
      <c r="AR969" s="34"/>
      <c r="AS969" s="34"/>
      <c r="AT969" s="34"/>
      <c r="AU969" s="34"/>
      <c r="AV969" s="34"/>
      <c r="AW969" s="34"/>
      <c r="AX969" s="34"/>
      <c r="AY969" s="34"/>
      <c r="AZ969" s="34"/>
      <c r="BA969" s="34"/>
      <c r="BB969" s="34"/>
      <c r="BD969" s="34"/>
      <c r="BE969" s="34"/>
      <c r="BF969" s="34"/>
      <c r="BG969" s="34"/>
      <c r="BH969" s="34"/>
      <c r="BI969" s="34"/>
      <c r="BJ969" s="34"/>
      <c r="BK969" s="34"/>
      <c r="BL969" s="34"/>
      <c r="BM969" s="34"/>
      <c r="BN969" s="34"/>
      <c r="BO969" s="34"/>
      <c r="BP969" s="34"/>
      <c r="BQ969" s="34"/>
      <c r="BR969" s="34"/>
      <c r="BS969" s="34"/>
      <c r="BT969" s="34"/>
      <c r="BU969" s="34"/>
      <c r="BV969" s="34"/>
      <c r="BW969" s="34"/>
      <c r="BX969" s="34"/>
      <c r="BY969" s="34"/>
    </row>
    <row r="970" spans="1:77" x14ac:dyDescent="0.3">
      <c r="A970" s="39"/>
      <c r="B970" s="42"/>
      <c r="C970" s="42"/>
      <c r="D970" s="75"/>
      <c r="E970" s="75"/>
      <c r="F970" s="76"/>
      <c r="G970" s="47"/>
      <c r="H970" s="47"/>
      <c r="I970" s="75"/>
      <c r="J970" s="76"/>
      <c r="K970" s="76"/>
      <c r="L970" s="75"/>
      <c r="M970" s="49"/>
      <c r="N970" s="76"/>
      <c r="O970" s="49"/>
      <c r="P970" s="77"/>
      <c r="Q970" s="53"/>
      <c r="R970" s="54"/>
      <c r="S970" s="55"/>
      <c r="T970" s="56"/>
      <c r="U970" s="56"/>
      <c r="V970" s="42"/>
      <c r="W970" s="57"/>
      <c r="X970" s="58"/>
      <c r="Y970" s="75"/>
      <c r="Z970" s="59"/>
      <c r="AA970" s="61"/>
      <c r="AB970" s="61"/>
      <c r="AC970" s="61"/>
      <c r="AD970" s="62"/>
      <c r="AE970" s="62"/>
      <c r="AF970" s="34"/>
      <c r="AG970" s="34"/>
      <c r="AH970" s="34"/>
      <c r="AI970" s="34"/>
      <c r="AJ970" s="34"/>
      <c r="AK970" s="34"/>
      <c r="AL970" s="34"/>
      <c r="AM970" s="34"/>
      <c r="AN970" s="34"/>
      <c r="AO970" s="34"/>
      <c r="AP970" s="34"/>
      <c r="AQ970" s="34"/>
      <c r="AR970" s="34"/>
      <c r="AS970" s="34"/>
      <c r="AT970" s="34"/>
      <c r="AU970" s="34"/>
      <c r="AV970" s="34"/>
      <c r="AW970" s="34"/>
      <c r="AX970" s="34"/>
      <c r="AY970" s="34"/>
      <c r="AZ970" s="34"/>
      <c r="BA970" s="34"/>
      <c r="BB970" s="34"/>
      <c r="BD970" s="34"/>
      <c r="BE970" s="34"/>
      <c r="BF970" s="34"/>
      <c r="BG970" s="34"/>
      <c r="BH970" s="34"/>
      <c r="BI970" s="34"/>
      <c r="BJ970" s="34"/>
      <c r="BK970" s="34"/>
      <c r="BL970" s="34"/>
      <c r="BM970" s="34"/>
      <c r="BN970" s="34"/>
      <c r="BO970" s="34"/>
      <c r="BP970" s="34"/>
      <c r="BQ970" s="34"/>
      <c r="BR970" s="34"/>
      <c r="BS970" s="34"/>
      <c r="BT970" s="34"/>
      <c r="BU970" s="34"/>
      <c r="BV970" s="34"/>
      <c r="BW970" s="34"/>
      <c r="BX970" s="34"/>
      <c r="BY970" s="34"/>
    </row>
    <row r="971" spans="1:77" x14ac:dyDescent="0.3">
      <c r="A971" s="39"/>
      <c r="B971" s="42"/>
      <c r="C971" s="42"/>
      <c r="D971" s="75"/>
      <c r="E971" s="75"/>
      <c r="F971" s="76"/>
      <c r="G971" s="47"/>
      <c r="H971" s="47"/>
      <c r="I971" s="75"/>
      <c r="J971" s="76"/>
      <c r="K971" s="76"/>
      <c r="L971" s="75"/>
      <c r="M971" s="49"/>
      <c r="N971" s="76"/>
      <c r="O971" s="49"/>
      <c r="P971" s="77"/>
      <c r="Q971" s="53"/>
      <c r="R971" s="54"/>
      <c r="S971" s="55"/>
      <c r="T971" s="56"/>
      <c r="U971" s="56"/>
      <c r="V971" s="42"/>
      <c r="W971" s="57"/>
      <c r="X971" s="58"/>
      <c r="Y971" s="75"/>
      <c r="Z971" s="59"/>
      <c r="AA971" s="61"/>
      <c r="AB971" s="61"/>
      <c r="AC971" s="61"/>
      <c r="AD971" s="62"/>
      <c r="AE971" s="62"/>
      <c r="AF971" s="34"/>
      <c r="AG971" s="34"/>
      <c r="AH971" s="34"/>
      <c r="AI971" s="34"/>
      <c r="AJ971" s="34"/>
      <c r="AK971" s="34"/>
      <c r="AL971" s="34"/>
      <c r="AM971" s="34"/>
      <c r="AN971" s="34"/>
      <c r="AO971" s="34"/>
      <c r="AP971" s="34"/>
      <c r="AQ971" s="34"/>
      <c r="AR971" s="34"/>
      <c r="AS971" s="34"/>
      <c r="AT971" s="34"/>
      <c r="AU971" s="34"/>
      <c r="AV971" s="34"/>
      <c r="AW971" s="34"/>
      <c r="AX971" s="34"/>
      <c r="AY971" s="34"/>
      <c r="AZ971" s="34"/>
      <c r="BA971" s="34"/>
      <c r="BB971" s="34"/>
      <c r="BD971" s="34"/>
      <c r="BE971" s="34"/>
      <c r="BF971" s="34"/>
      <c r="BG971" s="34"/>
      <c r="BH971" s="34"/>
      <c r="BI971" s="34"/>
      <c r="BJ971" s="34"/>
      <c r="BK971" s="34"/>
      <c r="BL971" s="34"/>
      <c r="BM971" s="34"/>
      <c r="BN971" s="34"/>
      <c r="BO971" s="34"/>
      <c r="BP971" s="34"/>
      <c r="BQ971" s="34"/>
      <c r="BR971" s="34"/>
      <c r="BS971" s="34"/>
      <c r="BT971" s="34"/>
      <c r="BU971" s="34"/>
      <c r="BV971" s="34"/>
      <c r="BW971" s="34"/>
      <c r="BX971" s="34"/>
      <c r="BY971" s="34"/>
    </row>
    <row r="972" spans="1:77" x14ac:dyDescent="0.3">
      <c r="A972" s="39"/>
      <c r="B972" s="42"/>
      <c r="C972" s="42"/>
      <c r="D972" s="75"/>
      <c r="E972" s="75"/>
      <c r="F972" s="76"/>
      <c r="G972" s="47"/>
      <c r="H972" s="47"/>
      <c r="I972" s="75"/>
      <c r="J972" s="76"/>
      <c r="K972" s="76"/>
      <c r="L972" s="75"/>
      <c r="M972" s="49"/>
      <c r="N972" s="76"/>
      <c r="O972" s="49"/>
      <c r="P972" s="77"/>
      <c r="Q972" s="53"/>
      <c r="R972" s="54"/>
      <c r="S972" s="55"/>
      <c r="T972" s="56"/>
      <c r="U972" s="56"/>
      <c r="V972" s="42"/>
      <c r="W972" s="57"/>
      <c r="X972" s="58"/>
      <c r="Y972" s="75"/>
      <c r="Z972" s="59"/>
      <c r="AA972" s="61"/>
      <c r="AB972" s="61"/>
      <c r="AC972" s="61"/>
      <c r="AD972" s="62"/>
      <c r="AE972" s="62"/>
      <c r="AF972" s="34"/>
      <c r="AG972" s="34"/>
      <c r="AH972" s="34"/>
      <c r="AI972" s="34"/>
      <c r="AJ972" s="34"/>
      <c r="AK972" s="34"/>
      <c r="AL972" s="34"/>
      <c r="AM972" s="34"/>
      <c r="AN972" s="34"/>
      <c r="AO972" s="34"/>
      <c r="AP972" s="34"/>
      <c r="AQ972" s="34"/>
      <c r="AR972" s="34"/>
      <c r="AS972" s="34"/>
      <c r="AT972" s="34"/>
      <c r="AU972" s="34"/>
      <c r="AV972" s="34"/>
      <c r="AW972" s="34"/>
      <c r="AX972" s="34"/>
      <c r="AY972" s="34"/>
      <c r="AZ972" s="34"/>
      <c r="BA972" s="34"/>
      <c r="BB972" s="34"/>
      <c r="BD972" s="34"/>
      <c r="BE972" s="34"/>
      <c r="BF972" s="34"/>
      <c r="BG972" s="34"/>
      <c r="BH972" s="34"/>
      <c r="BI972" s="34"/>
      <c r="BJ972" s="34"/>
      <c r="BK972" s="34"/>
      <c r="BL972" s="34"/>
      <c r="BM972" s="34"/>
      <c r="BN972" s="34"/>
      <c r="BO972" s="34"/>
      <c r="BP972" s="34"/>
      <c r="BQ972" s="34"/>
      <c r="BR972" s="34"/>
      <c r="BS972" s="34"/>
      <c r="BT972" s="34"/>
      <c r="BU972" s="34"/>
      <c r="BV972" s="34"/>
      <c r="BW972" s="34"/>
      <c r="BX972" s="34"/>
      <c r="BY972" s="34"/>
    </row>
    <row r="973" spans="1:77" x14ac:dyDescent="0.3">
      <c r="A973" s="39"/>
      <c r="B973" s="42"/>
      <c r="C973" s="42"/>
      <c r="D973" s="75"/>
      <c r="E973" s="75"/>
      <c r="F973" s="76"/>
      <c r="G973" s="47"/>
      <c r="H973" s="47"/>
      <c r="I973" s="75"/>
      <c r="J973" s="76"/>
      <c r="K973" s="76"/>
      <c r="L973" s="75"/>
      <c r="M973" s="49"/>
      <c r="N973" s="76"/>
      <c r="O973" s="49"/>
      <c r="P973" s="77"/>
      <c r="Q973" s="53"/>
      <c r="R973" s="54"/>
      <c r="S973" s="55"/>
      <c r="T973" s="56"/>
      <c r="U973" s="56"/>
      <c r="V973" s="42"/>
      <c r="W973" s="57"/>
      <c r="X973" s="58"/>
      <c r="Y973" s="75"/>
      <c r="Z973" s="59"/>
      <c r="AA973" s="61"/>
      <c r="AB973" s="61"/>
      <c r="AC973" s="61"/>
      <c r="AD973" s="62"/>
      <c r="AE973" s="62"/>
      <c r="AF973" s="34"/>
      <c r="AG973" s="34"/>
      <c r="AH973" s="34"/>
      <c r="AI973" s="34"/>
      <c r="AJ973" s="34"/>
      <c r="AK973" s="34"/>
      <c r="AL973" s="34"/>
      <c r="AM973" s="34"/>
      <c r="AN973" s="34"/>
      <c r="AO973" s="34"/>
      <c r="AP973" s="34"/>
      <c r="AQ973" s="34"/>
      <c r="AR973" s="34"/>
      <c r="AS973" s="34"/>
      <c r="AT973" s="34"/>
      <c r="AU973" s="34"/>
      <c r="AV973" s="34"/>
      <c r="AW973" s="34"/>
      <c r="AX973" s="34"/>
      <c r="AY973" s="34"/>
      <c r="AZ973" s="34"/>
      <c r="BA973" s="34"/>
      <c r="BB973" s="34"/>
      <c r="BD973" s="34"/>
      <c r="BE973" s="34"/>
      <c r="BF973" s="34"/>
      <c r="BG973" s="34"/>
      <c r="BH973" s="34"/>
      <c r="BI973" s="34"/>
      <c r="BJ973" s="34"/>
      <c r="BK973" s="34"/>
      <c r="BL973" s="34"/>
      <c r="BM973" s="34"/>
      <c r="BN973" s="34"/>
      <c r="BO973" s="34"/>
      <c r="BP973" s="34"/>
      <c r="BQ973" s="34"/>
      <c r="BR973" s="34"/>
      <c r="BS973" s="34"/>
      <c r="BT973" s="34"/>
      <c r="BU973" s="34"/>
      <c r="BV973" s="34"/>
      <c r="BW973" s="34"/>
      <c r="BX973" s="34"/>
      <c r="BY973" s="34"/>
    </row>
    <row r="974" spans="1:77" x14ac:dyDescent="0.3">
      <c r="A974" s="39"/>
      <c r="B974" s="42"/>
      <c r="C974" s="42"/>
      <c r="D974" s="75"/>
      <c r="E974" s="75"/>
      <c r="F974" s="76"/>
      <c r="G974" s="47"/>
      <c r="H974" s="47"/>
      <c r="I974" s="75"/>
      <c r="J974" s="76"/>
      <c r="K974" s="76"/>
      <c r="L974" s="75"/>
      <c r="M974" s="49"/>
      <c r="N974" s="76"/>
      <c r="O974" s="49"/>
      <c r="P974" s="77"/>
      <c r="Q974" s="53"/>
      <c r="R974" s="54"/>
      <c r="S974" s="55"/>
      <c r="T974" s="56"/>
      <c r="U974" s="56"/>
      <c r="V974" s="42"/>
      <c r="W974" s="57"/>
      <c r="X974" s="58"/>
      <c r="Y974" s="75"/>
      <c r="Z974" s="59"/>
      <c r="AA974" s="61"/>
      <c r="AB974" s="61"/>
      <c r="AC974" s="61"/>
      <c r="AD974" s="62"/>
      <c r="AE974" s="62"/>
      <c r="AF974" s="34"/>
      <c r="AG974" s="34"/>
      <c r="AH974" s="34"/>
      <c r="AI974" s="34"/>
      <c r="AJ974" s="34"/>
      <c r="AK974" s="34"/>
      <c r="AL974" s="34"/>
      <c r="AM974" s="34"/>
      <c r="AN974" s="34"/>
      <c r="AO974" s="34"/>
      <c r="AP974" s="34"/>
      <c r="AQ974" s="34"/>
      <c r="AR974" s="34"/>
      <c r="AS974" s="34"/>
      <c r="AT974" s="34"/>
      <c r="AU974" s="34"/>
      <c r="AV974" s="34"/>
      <c r="AW974" s="34"/>
      <c r="AX974" s="34"/>
      <c r="AY974" s="34"/>
      <c r="AZ974" s="34"/>
      <c r="BA974" s="34"/>
      <c r="BB974" s="34"/>
      <c r="BD974" s="34"/>
      <c r="BE974" s="34"/>
      <c r="BF974" s="34"/>
      <c r="BG974" s="34"/>
      <c r="BH974" s="34"/>
      <c r="BI974" s="34"/>
      <c r="BJ974" s="34"/>
      <c r="BK974" s="34"/>
      <c r="BL974" s="34"/>
      <c r="BM974" s="34"/>
      <c r="BN974" s="34"/>
      <c r="BO974" s="34"/>
      <c r="BP974" s="34"/>
      <c r="BQ974" s="34"/>
      <c r="BR974" s="34"/>
      <c r="BS974" s="34"/>
      <c r="BT974" s="34"/>
      <c r="BU974" s="34"/>
      <c r="BV974" s="34"/>
      <c r="BW974" s="34"/>
      <c r="BX974" s="34"/>
      <c r="BY974" s="34"/>
    </row>
    <row r="975" spans="1:77" x14ac:dyDescent="0.3">
      <c r="A975" s="39"/>
      <c r="B975" s="42"/>
      <c r="C975" s="42"/>
      <c r="D975" s="75"/>
      <c r="E975" s="75"/>
      <c r="F975" s="76"/>
      <c r="G975" s="47"/>
      <c r="H975" s="47"/>
      <c r="I975" s="75"/>
      <c r="J975" s="76"/>
      <c r="K975" s="76"/>
      <c r="L975" s="75"/>
      <c r="M975" s="49"/>
      <c r="N975" s="76"/>
      <c r="O975" s="49"/>
      <c r="P975" s="77"/>
      <c r="Q975" s="53"/>
      <c r="R975" s="54"/>
      <c r="S975" s="55"/>
      <c r="T975" s="56"/>
      <c r="U975" s="56"/>
      <c r="V975" s="42"/>
      <c r="W975" s="57"/>
      <c r="X975" s="58"/>
      <c r="Y975" s="75"/>
      <c r="Z975" s="59"/>
      <c r="AA975" s="61"/>
      <c r="AB975" s="61"/>
      <c r="AC975" s="61"/>
      <c r="AD975" s="62"/>
      <c r="AE975" s="62"/>
      <c r="AF975" s="34"/>
      <c r="AG975" s="34"/>
      <c r="AH975" s="34"/>
      <c r="AI975" s="34"/>
      <c r="AJ975" s="34"/>
      <c r="AK975" s="34"/>
      <c r="AL975" s="34"/>
      <c r="AM975" s="34"/>
      <c r="AN975" s="34"/>
      <c r="AO975" s="34"/>
      <c r="AP975" s="34"/>
      <c r="AQ975" s="34"/>
      <c r="AR975" s="34"/>
      <c r="AS975" s="34"/>
      <c r="AT975" s="34"/>
      <c r="AU975" s="34"/>
      <c r="AV975" s="34"/>
      <c r="AW975" s="34"/>
      <c r="AX975" s="34"/>
      <c r="AY975" s="34"/>
      <c r="AZ975" s="34"/>
      <c r="BA975" s="34"/>
      <c r="BB975" s="34"/>
      <c r="BD975" s="34"/>
      <c r="BE975" s="34"/>
      <c r="BF975" s="34"/>
      <c r="BG975" s="34"/>
      <c r="BH975" s="34"/>
      <c r="BI975" s="34"/>
      <c r="BJ975" s="34"/>
      <c r="BK975" s="34"/>
      <c r="BL975" s="34"/>
      <c r="BM975" s="34"/>
      <c r="BN975" s="34"/>
      <c r="BO975" s="34"/>
      <c r="BP975" s="34"/>
      <c r="BQ975" s="34"/>
      <c r="BR975" s="34"/>
      <c r="BS975" s="34"/>
      <c r="BT975" s="34"/>
      <c r="BU975" s="34"/>
      <c r="BV975" s="34"/>
      <c r="BW975" s="34"/>
      <c r="BX975" s="34"/>
      <c r="BY975" s="34"/>
    </row>
    <row r="976" spans="1:77" x14ac:dyDescent="0.3">
      <c r="A976" s="39"/>
      <c r="B976" s="42"/>
      <c r="C976" s="42"/>
      <c r="D976" s="75"/>
      <c r="E976" s="75"/>
      <c r="F976" s="76"/>
      <c r="G976" s="47"/>
      <c r="H976" s="47"/>
      <c r="I976" s="75"/>
      <c r="J976" s="76"/>
      <c r="K976" s="76"/>
      <c r="L976" s="75"/>
      <c r="M976" s="49"/>
      <c r="N976" s="76"/>
      <c r="O976" s="49"/>
      <c r="P976" s="77"/>
      <c r="Q976" s="53"/>
      <c r="R976" s="54"/>
      <c r="S976" s="55"/>
      <c r="T976" s="56"/>
      <c r="U976" s="56"/>
      <c r="V976" s="42"/>
      <c r="W976" s="57"/>
      <c r="X976" s="58"/>
      <c r="Y976" s="75"/>
      <c r="Z976" s="59"/>
      <c r="AA976" s="61"/>
      <c r="AB976" s="61"/>
      <c r="AC976" s="61"/>
      <c r="AD976" s="62"/>
      <c r="AE976" s="62"/>
      <c r="AF976" s="34"/>
      <c r="AG976" s="34"/>
      <c r="AH976" s="34"/>
      <c r="AI976" s="34"/>
      <c r="AJ976" s="34"/>
      <c r="AK976" s="34"/>
      <c r="AL976" s="34"/>
      <c r="AM976" s="34"/>
      <c r="AN976" s="34"/>
      <c r="AO976" s="34"/>
      <c r="AP976" s="34"/>
      <c r="AQ976" s="34"/>
      <c r="AR976" s="34"/>
      <c r="AS976" s="34"/>
      <c r="AT976" s="34"/>
      <c r="AU976" s="34"/>
      <c r="AV976" s="34"/>
      <c r="AW976" s="34"/>
      <c r="AX976" s="34"/>
      <c r="AY976" s="34"/>
      <c r="AZ976" s="34"/>
      <c r="BA976" s="34"/>
      <c r="BB976" s="34"/>
      <c r="BD976" s="34"/>
      <c r="BE976" s="34"/>
      <c r="BF976" s="34"/>
      <c r="BG976" s="34"/>
      <c r="BH976" s="34"/>
      <c r="BI976" s="34"/>
      <c r="BJ976" s="34"/>
      <c r="BK976" s="34"/>
      <c r="BL976" s="34"/>
      <c r="BM976" s="34"/>
      <c r="BN976" s="34"/>
      <c r="BO976" s="34"/>
      <c r="BP976" s="34"/>
      <c r="BQ976" s="34"/>
      <c r="BR976" s="34"/>
      <c r="BS976" s="34"/>
      <c r="BT976" s="34"/>
      <c r="BU976" s="34"/>
      <c r="BV976" s="34"/>
      <c r="BW976" s="34"/>
      <c r="BX976" s="34"/>
      <c r="BY976" s="34"/>
    </row>
    <row r="977" spans="1:77" x14ac:dyDescent="0.3">
      <c r="A977" s="39"/>
      <c r="B977" s="42"/>
      <c r="C977" s="42"/>
      <c r="D977" s="75"/>
      <c r="E977" s="75"/>
      <c r="F977" s="76"/>
      <c r="G977" s="47"/>
      <c r="H977" s="47"/>
      <c r="I977" s="75"/>
      <c r="J977" s="76"/>
      <c r="K977" s="76"/>
      <c r="L977" s="75"/>
      <c r="M977" s="49"/>
      <c r="N977" s="76"/>
      <c r="O977" s="49"/>
      <c r="P977" s="77"/>
      <c r="Q977" s="53"/>
      <c r="R977" s="54"/>
      <c r="S977" s="55"/>
      <c r="T977" s="56"/>
      <c r="U977" s="56"/>
      <c r="V977" s="42"/>
      <c r="W977" s="57"/>
      <c r="X977" s="58"/>
      <c r="Y977" s="75"/>
      <c r="Z977" s="59"/>
      <c r="AA977" s="61"/>
      <c r="AB977" s="61"/>
      <c r="AC977" s="61"/>
      <c r="AD977" s="62"/>
      <c r="AE977" s="62"/>
      <c r="AF977" s="34"/>
      <c r="AG977" s="34"/>
      <c r="AH977" s="34"/>
      <c r="AI977" s="34"/>
      <c r="AJ977" s="34"/>
      <c r="AK977" s="34"/>
      <c r="AL977" s="34"/>
      <c r="AM977" s="34"/>
      <c r="AN977" s="34"/>
      <c r="AO977" s="34"/>
      <c r="AP977" s="34"/>
      <c r="AQ977" s="34"/>
      <c r="AR977" s="34"/>
      <c r="AS977" s="34"/>
      <c r="AT977" s="34"/>
      <c r="AU977" s="34"/>
      <c r="AV977" s="34"/>
      <c r="AW977" s="34"/>
      <c r="AX977" s="34"/>
      <c r="AY977" s="34"/>
      <c r="AZ977" s="34"/>
      <c r="BA977" s="34"/>
      <c r="BB977" s="34"/>
      <c r="BD977" s="34"/>
      <c r="BE977" s="34"/>
      <c r="BF977" s="34"/>
      <c r="BG977" s="34"/>
      <c r="BH977" s="34"/>
      <c r="BI977" s="34"/>
      <c r="BJ977" s="34"/>
      <c r="BK977" s="34"/>
      <c r="BL977" s="34"/>
      <c r="BM977" s="34"/>
      <c r="BN977" s="34"/>
      <c r="BO977" s="34"/>
      <c r="BP977" s="34"/>
      <c r="BQ977" s="34"/>
      <c r="BR977" s="34"/>
      <c r="BS977" s="34"/>
      <c r="BT977" s="34"/>
      <c r="BU977" s="34"/>
      <c r="BV977" s="34"/>
      <c r="BW977" s="34"/>
      <c r="BX977" s="34"/>
      <c r="BY977" s="34"/>
    </row>
    <row r="978" spans="1:77" x14ac:dyDescent="0.3">
      <c r="A978" s="39"/>
      <c r="B978" s="42"/>
      <c r="C978" s="42"/>
      <c r="D978" s="75"/>
      <c r="E978" s="75"/>
      <c r="F978" s="76"/>
      <c r="G978" s="47"/>
      <c r="H978" s="47"/>
      <c r="I978" s="75"/>
      <c r="J978" s="76"/>
      <c r="K978" s="76"/>
      <c r="L978" s="75"/>
      <c r="M978" s="49"/>
      <c r="N978" s="76"/>
      <c r="O978" s="49"/>
      <c r="P978" s="77"/>
      <c r="Q978" s="53"/>
      <c r="R978" s="54"/>
      <c r="S978" s="55"/>
      <c r="T978" s="56"/>
      <c r="U978" s="56"/>
      <c r="V978" s="42"/>
      <c r="W978" s="57"/>
      <c r="X978" s="58"/>
      <c r="Y978" s="75"/>
      <c r="Z978" s="59"/>
      <c r="AA978" s="61"/>
      <c r="AB978" s="61"/>
      <c r="AC978" s="61"/>
      <c r="AD978" s="62"/>
      <c r="AE978" s="62"/>
      <c r="AF978" s="34"/>
      <c r="AG978" s="34"/>
      <c r="AH978" s="34"/>
      <c r="AI978" s="34"/>
      <c r="AJ978" s="34"/>
      <c r="AK978" s="34"/>
      <c r="AL978" s="34"/>
      <c r="AM978" s="34"/>
      <c r="AN978" s="34"/>
      <c r="AO978" s="34"/>
      <c r="AP978" s="34"/>
      <c r="AQ978" s="34"/>
      <c r="AR978" s="34"/>
      <c r="AS978" s="34"/>
      <c r="AT978" s="34"/>
      <c r="AU978" s="34"/>
      <c r="AV978" s="34"/>
      <c r="AW978" s="34"/>
      <c r="AX978" s="34"/>
      <c r="AY978" s="34"/>
      <c r="AZ978" s="34"/>
      <c r="BA978" s="34"/>
      <c r="BB978" s="34"/>
      <c r="BD978" s="34"/>
      <c r="BE978" s="34"/>
      <c r="BF978" s="34"/>
      <c r="BG978" s="34"/>
      <c r="BH978" s="34"/>
      <c r="BI978" s="34"/>
      <c r="BJ978" s="34"/>
      <c r="BK978" s="34"/>
      <c r="BL978" s="34"/>
      <c r="BM978" s="34"/>
      <c r="BN978" s="34"/>
      <c r="BO978" s="34"/>
      <c r="BP978" s="34"/>
      <c r="BQ978" s="34"/>
      <c r="BR978" s="34"/>
      <c r="BS978" s="34"/>
      <c r="BT978" s="34"/>
      <c r="BU978" s="34"/>
      <c r="BV978" s="34"/>
      <c r="BW978" s="34"/>
      <c r="BX978" s="34"/>
      <c r="BY978" s="34"/>
    </row>
    <row r="979" spans="1:77" x14ac:dyDescent="0.3">
      <c r="A979" s="39"/>
      <c r="B979" s="42"/>
      <c r="C979" s="42"/>
      <c r="D979" s="75"/>
      <c r="E979" s="75"/>
      <c r="F979" s="76"/>
      <c r="G979" s="47"/>
      <c r="H979" s="47"/>
      <c r="I979" s="75"/>
      <c r="J979" s="76"/>
      <c r="K979" s="76"/>
      <c r="L979" s="75"/>
      <c r="M979" s="49"/>
      <c r="N979" s="76"/>
      <c r="O979" s="49"/>
      <c r="P979" s="77"/>
      <c r="Q979" s="53"/>
      <c r="R979" s="54"/>
      <c r="S979" s="55"/>
      <c r="T979" s="56"/>
      <c r="U979" s="56"/>
      <c r="V979" s="42"/>
      <c r="W979" s="57"/>
      <c r="X979" s="58"/>
      <c r="Y979" s="75"/>
      <c r="Z979" s="59"/>
      <c r="AA979" s="61"/>
      <c r="AB979" s="61"/>
      <c r="AC979" s="61"/>
      <c r="AD979" s="62"/>
      <c r="AE979" s="62"/>
      <c r="AF979" s="34"/>
      <c r="AG979" s="34"/>
      <c r="AH979" s="34"/>
      <c r="AI979" s="34"/>
      <c r="AJ979" s="34"/>
      <c r="AK979" s="34"/>
      <c r="AL979" s="34"/>
      <c r="AM979" s="34"/>
      <c r="AN979" s="34"/>
      <c r="AO979" s="34"/>
      <c r="AP979" s="34"/>
      <c r="AQ979" s="34"/>
      <c r="AR979" s="34"/>
      <c r="AS979" s="34"/>
      <c r="AT979" s="34"/>
      <c r="AU979" s="34"/>
      <c r="AV979" s="34"/>
      <c r="AW979" s="34"/>
      <c r="AX979" s="34"/>
      <c r="AY979" s="34"/>
      <c r="AZ979" s="34"/>
      <c r="BA979" s="34"/>
      <c r="BB979" s="34"/>
      <c r="BD979" s="34"/>
      <c r="BE979" s="34"/>
      <c r="BF979" s="34"/>
      <c r="BG979" s="34"/>
      <c r="BH979" s="34"/>
      <c r="BI979" s="34"/>
      <c r="BJ979" s="34"/>
      <c r="BK979" s="34"/>
      <c r="BL979" s="34"/>
      <c r="BM979" s="34"/>
      <c r="BN979" s="34"/>
      <c r="BO979" s="34"/>
      <c r="BP979" s="34"/>
      <c r="BQ979" s="34"/>
      <c r="BR979" s="34"/>
      <c r="BS979" s="34"/>
      <c r="BT979" s="34"/>
      <c r="BU979" s="34"/>
      <c r="BV979" s="34"/>
      <c r="BW979" s="34"/>
      <c r="BX979" s="34"/>
      <c r="BY979" s="34"/>
    </row>
    <row r="980" spans="1:77" x14ac:dyDescent="0.3">
      <c r="A980" s="39"/>
      <c r="B980" s="42"/>
      <c r="C980" s="42"/>
      <c r="D980" s="75"/>
      <c r="E980" s="75"/>
      <c r="F980" s="76"/>
      <c r="G980" s="47"/>
      <c r="H980" s="47"/>
      <c r="I980" s="75"/>
      <c r="J980" s="76"/>
      <c r="K980" s="76"/>
      <c r="L980" s="75"/>
      <c r="M980" s="49"/>
      <c r="N980" s="76"/>
      <c r="O980" s="49"/>
      <c r="P980" s="77"/>
      <c r="Q980" s="53"/>
      <c r="R980" s="54"/>
      <c r="S980" s="55"/>
      <c r="T980" s="56"/>
      <c r="U980" s="56"/>
      <c r="V980" s="42"/>
      <c r="W980" s="57"/>
      <c r="X980" s="58"/>
      <c r="Y980" s="75"/>
      <c r="Z980" s="59"/>
      <c r="AA980" s="61"/>
      <c r="AB980" s="61"/>
      <c r="AC980" s="61"/>
      <c r="AD980" s="62"/>
      <c r="AE980" s="62"/>
      <c r="AF980" s="34"/>
      <c r="AG980" s="34"/>
      <c r="AH980" s="34"/>
      <c r="AI980" s="34"/>
      <c r="AJ980" s="34"/>
      <c r="AK980" s="34"/>
      <c r="AL980" s="34"/>
      <c r="AM980" s="34"/>
      <c r="AN980" s="34"/>
      <c r="AO980" s="34"/>
      <c r="AP980" s="34"/>
      <c r="AQ980" s="34"/>
      <c r="AR980" s="34"/>
      <c r="AS980" s="34"/>
      <c r="AT980" s="34"/>
      <c r="AU980" s="34"/>
      <c r="AV980" s="34"/>
      <c r="AW980" s="34"/>
      <c r="AX980" s="34"/>
      <c r="AY980" s="34"/>
      <c r="AZ980" s="34"/>
      <c r="BA980" s="34"/>
      <c r="BB980" s="34"/>
      <c r="BD980" s="34"/>
      <c r="BE980" s="34"/>
      <c r="BF980" s="34"/>
      <c r="BG980" s="34"/>
      <c r="BH980" s="34"/>
      <c r="BI980" s="34"/>
      <c r="BJ980" s="34"/>
      <c r="BK980" s="34"/>
      <c r="BL980" s="34"/>
      <c r="BM980" s="34"/>
      <c r="BN980" s="34"/>
      <c r="BO980" s="34"/>
      <c r="BP980" s="34"/>
      <c r="BQ980" s="34"/>
      <c r="BR980" s="34"/>
      <c r="BS980" s="34"/>
      <c r="BT980" s="34"/>
      <c r="BU980" s="34"/>
      <c r="BV980" s="34"/>
      <c r="BW980" s="34"/>
      <c r="BX980" s="34"/>
      <c r="BY980" s="34"/>
    </row>
    <row r="981" spans="1:77" x14ac:dyDescent="0.3">
      <c r="A981" s="39"/>
      <c r="B981" s="42"/>
      <c r="C981" s="42"/>
      <c r="D981" s="75"/>
      <c r="E981" s="75"/>
      <c r="F981" s="76"/>
      <c r="G981" s="47"/>
      <c r="H981" s="47"/>
      <c r="I981" s="75"/>
      <c r="J981" s="76"/>
      <c r="K981" s="76"/>
      <c r="L981" s="75"/>
      <c r="M981" s="49"/>
      <c r="N981" s="76"/>
      <c r="O981" s="49"/>
      <c r="P981" s="77"/>
      <c r="Q981" s="53"/>
      <c r="R981" s="54"/>
      <c r="S981" s="55"/>
      <c r="T981" s="56"/>
      <c r="U981" s="56"/>
      <c r="V981" s="42"/>
      <c r="W981" s="57"/>
      <c r="X981" s="58"/>
      <c r="Y981" s="75"/>
      <c r="Z981" s="59"/>
      <c r="AA981" s="61"/>
      <c r="AB981" s="61"/>
      <c r="AC981" s="61"/>
      <c r="AD981" s="62"/>
      <c r="AE981" s="62"/>
      <c r="AF981" s="34"/>
      <c r="AG981" s="34"/>
      <c r="AH981" s="34"/>
      <c r="AI981" s="34"/>
      <c r="AJ981" s="34"/>
      <c r="AK981" s="34"/>
      <c r="AL981" s="34"/>
      <c r="AM981" s="34"/>
      <c r="AN981" s="34"/>
      <c r="AO981" s="34"/>
      <c r="AP981" s="34"/>
      <c r="AQ981" s="34"/>
      <c r="AR981" s="34"/>
      <c r="AS981" s="34"/>
      <c r="AT981" s="34"/>
      <c r="AU981" s="34"/>
      <c r="AV981" s="34"/>
      <c r="AW981" s="34"/>
      <c r="AX981" s="34"/>
      <c r="AY981" s="34"/>
      <c r="AZ981" s="34"/>
      <c r="BA981" s="34"/>
      <c r="BB981" s="34"/>
      <c r="BD981" s="34"/>
      <c r="BE981" s="34"/>
      <c r="BF981" s="34"/>
      <c r="BG981" s="34"/>
      <c r="BH981" s="34"/>
      <c r="BI981" s="34"/>
      <c r="BJ981" s="34"/>
      <c r="BK981" s="34"/>
      <c r="BL981" s="34"/>
      <c r="BM981" s="34"/>
      <c r="BN981" s="34"/>
      <c r="BO981" s="34"/>
      <c r="BP981" s="34"/>
      <c r="BQ981" s="34"/>
      <c r="BR981" s="34"/>
      <c r="BS981" s="34"/>
      <c r="BT981" s="34"/>
      <c r="BU981" s="34"/>
      <c r="BV981" s="34"/>
      <c r="BW981" s="34"/>
      <c r="BX981" s="34"/>
      <c r="BY981" s="34"/>
    </row>
    <row r="982" spans="1:77" x14ac:dyDescent="0.3">
      <c r="A982" s="39"/>
      <c r="B982" s="42"/>
      <c r="C982" s="42"/>
      <c r="D982" s="75"/>
      <c r="E982" s="75"/>
      <c r="F982" s="76"/>
      <c r="G982" s="47"/>
      <c r="H982" s="47"/>
      <c r="I982" s="75"/>
      <c r="J982" s="76"/>
      <c r="K982" s="76"/>
      <c r="L982" s="75"/>
      <c r="M982" s="49"/>
      <c r="N982" s="76"/>
      <c r="O982" s="49"/>
      <c r="P982" s="77"/>
      <c r="Q982" s="53"/>
      <c r="R982" s="54"/>
      <c r="S982" s="55"/>
      <c r="T982" s="56"/>
      <c r="U982" s="56"/>
      <c r="V982" s="42"/>
      <c r="W982" s="57"/>
      <c r="X982" s="58"/>
      <c r="Y982" s="75"/>
      <c r="Z982" s="59"/>
      <c r="AA982" s="61"/>
      <c r="AB982" s="61"/>
      <c r="AC982" s="61"/>
      <c r="AD982" s="62"/>
      <c r="AE982" s="62"/>
      <c r="AF982" s="34"/>
      <c r="AG982" s="34"/>
      <c r="AH982" s="34"/>
      <c r="AI982" s="34"/>
      <c r="AJ982" s="34"/>
      <c r="AK982" s="34"/>
      <c r="AL982" s="34"/>
      <c r="AM982" s="34"/>
      <c r="AN982" s="34"/>
      <c r="AO982" s="34"/>
      <c r="AP982" s="34"/>
      <c r="AQ982" s="34"/>
      <c r="AR982" s="34"/>
      <c r="AS982" s="34"/>
      <c r="AT982" s="34"/>
      <c r="AU982" s="34"/>
      <c r="AV982" s="34"/>
      <c r="AW982" s="34"/>
      <c r="AX982" s="34"/>
      <c r="AY982" s="34"/>
      <c r="AZ982" s="34"/>
      <c r="BA982" s="34"/>
      <c r="BB982" s="34"/>
      <c r="BD982" s="34"/>
      <c r="BE982" s="34"/>
      <c r="BF982" s="34"/>
      <c r="BG982" s="34"/>
      <c r="BH982" s="34"/>
      <c r="BI982" s="34"/>
      <c r="BJ982" s="34"/>
      <c r="BK982" s="34"/>
      <c r="BL982" s="34"/>
      <c r="BM982" s="34"/>
      <c r="BN982" s="34"/>
      <c r="BO982" s="34"/>
      <c r="BP982" s="34"/>
      <c r="BQ982" s="34"/>
      <c r="BR982" s="34"/>
      <c r="BS982" s="34"/>
      <c r="BT982" s="34"/>
      <c r="BU982" s="34"/>
      <c r="BV982" s="34"/>
      <c r="BW982" s="34"/>
      <c r="BX982" s="34"/>
      <c r="BY982" s="34"/>
    </row>
    <row r="983" spans="1:77" x14ac:dyDescent="0.3">
      <c r="A983" s="39"/>
      <c r="B983" s="42"/>
      <c r="C983" s="42"/>
      <c r="D983" s="75"/>
      <c r="E983" s="75"/>
      <c r="F983" s="76"/>
      <c r="G983" s="47"/>
      <c r="H983" s="47"/>
      <c r="I983" s="75"/>
      <c r="J983" s="76"/>
      <c r="K983" s="76"/>
      <c r="L983" s="75"/>
      <c r="M983" s="49"/>
      <c r="N983" s="76"/>
      <c r="O983" s="49"/>
      <c r="P983" s="77"/>
      <c r="Q983" s="53"/>
      <c r="R983" s="54"/>
      <c r="S983" s="55"/>
      <c r="T983" s="56"/>
      <c r="U983" s="56"/>
      <c r="V983" s="42"/>
      <c r="W983" s="57"/>
      <c r="X983" s="58"/>
      <c r="Y983" s="75"/>
      <c r="Z983" s="59"/>
      <c r="AA983" s="61"/>
      <c r="AB983" s="61"/>
      <c r="AC983" s="61"/>
      <c r="AD983" s="62"/>
      <c r="AE983" s="62"/>
      <c r="AF983" s="34"/>
      <c r="AG983" s="34"/>
      <c r="AH983" s="34"/>
      <c r="AI983" s="34"/>
      <c r="AJ983" s="34"/>
      <c r="AK983" s="34"/>
      <c r="AL983" s="34"/>
      <c r="AM983" s="34"/>
      <c r="AN983" s="34"/>
      <c r="AO983" s="34"/>
      <c r="AP983" s="34"/>
      <c r="AQ983" s="34"/>
      <c r="AR983" s="34"/>
      <c r="AS983" s="34"/>
      <c r="AT983" s="34"/>
      <c r="AU983" s="34"/>
      <c r="AV983" s="34"/>
      <c r="AW983" s="34"/>
      <c r="AX983" s="34"/>
      <c r="AY983" s="34"/>
      <c r="AZ983" s="34"/>
      <c r="BA983" s="34"/>
      <c r="BB983" s="34"/>
      <c r="BD983" s="34"/>
      <c r="BE983" s="34"/>
      <c r="BF983" s="34"/>
      <c r="BG983" s="34"/>
      <c r="BH983" s="34"/>
      <c r="BI983" s="34"/>
      <c r="BJ983" s="34"/>
      <c r="BK983" s="34"/>
      <c r="BL983" s="34"/>
      <c r="BM983" s="34"/>
      <c r="BN983" s="34"/>
      <c r="BO983" s="34"/>
      <c r="BP983" s="34"/>
      <c r="BQ983" s="34"/>
      <c r="BR983" s="34"/>
      <c r="BS983" s="34"/>
      <c r="BT983" s="34"/>
      <c r="BU983" s="34"/>
      <c r="BV983" s="34"/>
      <c r="BW983" s="34"/>
      <c r="BX983" s="34"/>
      <c r="BY983" s="34"/>
    </row>
    <row r="984" spans="1:77" x14ac:dyDescent="0.3">
      <c r="A984" s="39"/>
      <c r="B984" s="42"/>
      <c r="C984" s="42"/>
      <c r="D984" s="75"/>
      <c r="E984" s="75"/>
      <c r="F984" s="76"/>
      <c r="G984" s="47"/>
      <c r="H984" s="47"/>
      <c r="I984" s="75"/>
      <c r="J984" s="76"/>
      <c r="K984" s="76"/>
      <c r="L984" s="75"/>
      <c r="M984" s="49"/>
      <c r="N984" s="76"/>
      <c r="O984" s="49"/>
      <c r="P984" s="77"/>
      <c r="Q984" s="53"/>
      <c r="R984" s="54"/>
      <c r="S984" s="55"/>
      <c r="T984" s="56"/>
      <c r="U984" s="56"/>
      <c r="V984" s="42"/>
      <c r="W984" s="57"/>
      <c r="X984" s="58"/>
      <c r="Y984" s="75"/>
      <c r="Z984" s="59"/>
      <c r="AA984" s="61"/>
      <c r="AB984" s="61"/>
      <c r="AC984" s="61"/>
      <c r="AD984" s="62"/>
      <c r="AE984" s="62"/>
      <c r="AF984" s="34"/>
      <c r="AG984" s="34"/>
      <c r="AH984" s="34"/>
      <c r="AI984" s="34"/>
      <c r="AJ984" s="34"/>
      <c r="AK984" s="34"/>
      <c r="AL984" s="34"/>
      <c r="AM984" s="34"/>
      <c r="AN984" s="34"/>
      <c r="AO984" s="34"/>
      <c r="AP984" s="34"/>
      <c r="AQ984" s="34"/>
      <c r="AR984" s="34"/>
      <c r="AS984" s="34"/>
      <c r="AT984" s="34"/>
      <c r="AU984" s="34"/>
      <c r="AV984" s="34"/>
      <c r="AW984" s="34"/>
      <c r="AX984" s="34"/>
      <c r="AY984" s="34"/>
      <c r="AZ984" s="34"/>
      <c r="BA984" s="34"/>
      <c r="BB984" s="34"/>
      <c r="BD984" s="34"/>
      <c r="BE984" s="34"/>
      <c r="BF984" s="34"/>
      <c r="BG984" s="34"/>
      <c r="BH984" s="34"/>
      <c r="BI984" s="34"/>
      <c r="BJ984" s="34"/>
      <c r="BK984" s="34"/>
      <c r="BL984" s="34"/>
      <c r="BM984" s="34"/>
      <c r="BN984" s="34"/>
      <c r="BO984" s="34"/>
      <c r="BP984" s="34"/>
      <c r="BQ984" s="34"/>
      <c r="BR984" s="34"/>
      <c r="BS984" s="34"/>
      <c r="BT984" s="34"/>
      <c r="BU984" s="34"/>
      <c r="BV984" s="34"/>
      <c r="BW984" s="34"/>
      <c r="BX984" s="34"/>
      <c r="BY984" s="34"/>
    </row>
    <row r="985" spans="1:77" x14ac:dyDescent="0.3">
      <c r="A985" s="39"/>
      <c r="B985" s="42"/>
      <c r="C985" s="42"/>
      <c r="D985" s="75"/>
      <c r="E985" s="75"/>
      <c r="F985" s="76"/>
      <c r="G985" s="47"/>
      <c r="H985" s="47"/>
      <c r="I985" s="75"/>
      <c r="J985" s="76"/>
      <c r="K985" s="76"/>
      <c r="L985" s="75"/>
      <c r="M985" s="49"/>
      <c r="N985" s="76"/>
      <c r="O985" s="49"/>
      <c r="P985" s="77"/>
      <c r="Q985" s="53"/>
      <c r="R985" s="54"/>
      <c r="S985" s="55"/>
      <c r="T985" s="56"/>
      <c r="U985" s="56"/>
      <c r="V985" s="42"/>
      <c r="W985" s="57"/>
      <c r="X985" s="58"/>
      <c r="Y985" s="75"/>
      <c r="Z985" s="59"/>
      <c r="AA985" s="61"/>
      <c r="AB985" s="61"/>
      <c r="AC985" s="61"/>
      <c r="AD985" s="62"/>
      <c r="AE985" s="62"/>
      <c r="AF985" s="34"/>
      <c r="AG985" s="34"/>
      <c r="AH985" s="34"/>
      <c r="AI985" s="34"/>
      <c r="AJ985" s="34"/>
      <c r="AK985" s="34"/>
      <c r="AL985" s="34"/>
      <c r="AM985" s="34"/>
      <c r="AN985" s="34"/>
      <c r="AO985" s="34"/>
      <c r="AP985" s="34"/>
      <c r="AQ985" s="34"/>
      <c r="AR985" s="34"/>
      <c r="AS985" s="34"/>
      <c r="AT985" s="34"/>
      <c r="AU985" s="34"/>
      <c r="AV985" s="34"/>
      <c r="AW985" s="34"/>
      <c r="AX985" s="34"/>
      <c r="AY985" s="34"/>
      <c r="AZ985" s="34"/>
      <c r="BA985" s="34"/>
      <c r="BB985" s="34"/>
      <c r="BD985" s="34"/>
      <c r="BE985" s="34"/>
      <c r="BF985" s="34"/>
      <c r="BG985" s="34"/>
      <c r="BH985" s="34"/>
      <c r="BI985" s="34"/>
      <c r="BJ985" s="34"/>
      <c r="BK985" s="34"/>
      <c r="BL985" s="34"/>
      <c r="BM985" s="34"/>
      <c r="BN985" s="34"/>
      <c r="BO985" s="34"/>
      <c r="BP985" s="34"/>
      <c r="BQ985" s="34"/>
      <c r="BR985" s="34"/>
      <c r="BS985" s="34"/>
      <c r="BT985" s="34"/>
      <c r="BU985" s="34"/>
      <c r="BV985" s="34"/>
      <c r="BW985" s="34"/>
      <c r="BX985" s="34"/>
      <c r="BY985" s="34"/>
    </row>
    <row r="986" spans="1:77" x14ac:dyDescent="0.3">
      <c r="A986" s="39"/>
      <c r="B986" s="42"/>
      <c r="C986" s="42"/>
      <c r="D986" s="75"/>
      <c r="E986" s="75"/>
      <c r="F986" s="76"/>
      <c r="G986" s="47"/>
      <c r="H986" s="47"/>
      <c r="I986" s="75"/>
      <c r="J986" s="76"/>
      <c r="K986" s="76"/>
      <c r="L986" s="75"/>
      <c r="M986" s="49"/>
      <c r="N986" s="76"/>
      <c r="O986" s="49"/>
      <c r="P986" s="77"/>
      <c r="Q986" s="53"/>
      <c r="R986" s="54"/>
      <c r="S986" s="55"/>
      <c r="T986" s="56"/>
      <c r="U986" s="56"/>
      <c r="V986" s="42"/>
      <c r="W986" s="57"/>
      <c r="X986" s="58"/>
      <c r="Y986" s="75"/>
      <c r="Z986" s="59"/>
      <c r="AA986" s="61"/>
      <c r="AB986" s="61"/>
      <c r="AC986" s="61"/>
      <c r="AD986" s="62"/>
      <c r="AE986" s="62"/>
      <c r="AF986" s="34"/>
      <c r="AG986" s="34"/>
      <c r="AH986" s="34"/>
      <c r="AI986" s="34"/>
      <c r="AJ986" s="34"/>
      <c r="AK986" s="34"/>
      <c r="AL986" s="34"/>
      <c r="AM986" s="34"/>
      <c r="AN986" s="34"/>
      <c r="AO986" s="34"/>
      <c r="AP986" s="34"/>
      <c r="AQ986" s="34"/>
      <c r="AR986" s="34"/>
      <c r="AS986" s="34"/>
      <c r="AT986" s="34"/>
      <c r="AU986" s="34"/>
      <c r="AV986" s="34"/>
      <c r="AW986" s="34"/>
      <c r="AX986" s="34"/>
      <c r="AY986" s="34"/>
      <c r="AZ986" s="34"/>
      <c r="BA986" s="34"/>
      <c r="BB986" s="34"/>
      <c r="BD986" s="34"/>
      <c r="BE986" s="34"/>
      <c r="BF986" s="34"/>
      <c r="BG986" s="34"/>
      <c r="BH986" s="34"/>
      <c r="BI986" s="34"/>
      <c r="BJ986" s="34"/>
      <c r="BK986" s="34"/>
      <c r="BL986" s="34"/>
      <c r="BM986" s="34"/>
      <c r="BN986" s="34"/>
      <c r="BO986" s="34"/>
      <c r="BP986" s="34"/>
      <c r="BQ986" s="34"/>
      <c r="BR986" s="34"/>
      <c r="BS986" s="34"/>
      <c r="BT986" s="34"/>
      <c r="BU986" s="34"/>
      <c r="BV986" s="34"/>
      <c r="BW986" s="34"/>
      <c r="BX986" s="34"/>
      <c r="BY986" s="34"/>
    </row>
    <row r="987" spans="1:77" x14ac:dyDescent="0.3">
      <c r="A987" s="39"/>
      <c r="B987" s="42"/>
      <c r="C987" s="42"/>
      <c r="D987" s="75"/>
      <c r="E987" s="75"/>
      <c r="F987" s="76"/>
      <c r="G987" s="47"/>
      <c r="H987" s="47"/>
      <c r="I987" s="75"/>
      <c r="J987" s="76"/>
      <c r="K987" s="76"/>
      <c r="L987" s="75"/>
      <c r="M987" s="49"/>
      <c r="N987" s="76"/>
      <c r="O987" s="49"/>
      <c r="P987" s="77"/>
      <c r="Q987" s="53"/>
      <c r="R987" s="54"/>
      <c r="S987" s="55"/>
      <c r="T987" s="56"/>
      <c r="U987" s="56"/>
      <c r="V987" s="42"/>
      <c r="W987" s="57"/>
      <c r="X987" s="58"/>
      <c r="Y987" s="75"/>
      <c r="Z987" s="59"/>
      <c r="AA987" s="61"/>
      <c r="AB987" s="61"/>
      <c r="AC987" s="61"/>
      <c r="AD987" s="62"/>
      <c r="AE987" s="62"/>
      <c r="AF987" s="34"/>
      <c r="AG987" s="34"/>
      <c r="AH987" s="34"/>
      <c r="AI987" s="34"/>
      <c r="AJ987" s="34"/>
      <c r="AK987" s="34"/>
      <c r="AL987" s="34"/>
      <c r="AM987" s="34"/>
      <c r="AN987" s="34"/>
      <c r="AO987" s="34"/>
      <c r="AP987" s="34"/>
      <c r="AQ987" s="34"/>
      <c r="AR987" s="34"/>
      <c r="AS987" s="34"/>
      <c r="AT987" s="34"/>
      <c r="AU987" s="34"/>
      <c r="AV987" s="34"/>
      <c r="AW987" s="34"/>
      <c r="AX987" s="34"/>
      <c r="AY987" s="34"/>
      <c r="AZ987" s="34"/>
      <c r="BA987" s="34"/>
      <c r="BB987" s="34"/>
      <c r="BD987" s="34"/>
      <c r="BE987" s="34"/>
      <c r="BF987" s="34"/>
      <c r="BG987" s="34"/>
      <c r="BH987" s="34"/>
      <c r="BI987" s="34"/>
      <c r="BJ987" s="34"/>
      <c r="BK987" s="34"/>
      <c r="BL987" s="34"/>
      <c r="BM987" s="34"/>
      <c r="BN987" s="34"/>
      <c r="BO987" s="34"/>
      <c r="BP987" s="34"/>
      <c r="BQ987" s="34"/>
      <c r="BR987" s="34"/>
      <c r="BS987" s="34"/>
      <c r="BT987" s="34"/>
      <c r="BU987" s="34"/>
      <c r="BV987" s="34"/>
      <c r="BW987" s="34"/>
      <c r="BX987" s="34"/>
      <c r="BY987" s="34"/>
    </row>
    <row r="988" spans="1:77" x14ac:dyDescent="0.3">
      <c r="A988" s="39"/>
      <c r="B988" s="42"/>
      <c r="C988" s="42"/>
      <c r="D988" s="75"/>
      <c r="E988" s="75"/>
      <c r="F988" s="76"/>
      <c r="G988" s="47"/>
      <c r="H988" s="47"/>
      <c r="I988" s="75"/>
      <c r="J988" s="76"/>
      <c r="K988" s="76"/>
      <c r="L988" s="75"/>
      <c r="M988" s="49"/>
      <c r="N988" s="76"/>
      <c r="O988" s="49"/>
      <c r="P988" s="77"/>
      <c r="Q988" s="53"/>
      <c r="R988" s="54"/>
      <c r="S988" s="55"/>
      <c r="T988" s="56"/>
      <c r="U988" s="56"/>
      <c r="V988" s="42"/>
      <c r="W988" s="57"/>
      <c r="X988" s="58"/>
      <c r="Y988" s="75"/>
      <c r="Z988" s="59"/>
      <c r="AA988" s="61"/>
      <c r="AB988" s="61"/>
      <c r="AC988" s="61"/>
      <c r="AD988" s="62"/>
      <c r="AE988" s="62"/>
      <c r="AF988" s="34"/>
      <c r="AG988" s="34"/>
      <c r="AH988" s="34"/>
      <c r="AI988" s="34"/>
      <c r="AJ988" s="34"/>
      <c r="AK988" s="34"/>
      <c r="AL988" s="34"/>
      <c r="AM988" s="34"/>
      <c r="AN988" s="34"/>
      <c r="AO988" s="34"/>
      <c r="AP988" s="34"/>
      <c r="AQ988" s="34"/>
      <c r="AR988" s="34"/>
      <c r="AS988" s="34"/>
      <c r="AT988" s="34"/>
      <c r="AU988" s="34"/>
      <c r="AV988" s="34"/>
      <c r="AW988" s="34"/>
      <c r="AX988" s="34"/>
      <c r="AY988" s="34"/>
      <c r="AZ988" s="34"/>
      <c r="BA988" s="34"/>
      <c r="BB988" s="34"/>
      <c r="BD988" s="34"/>
      <c r="BE988" s="34"/>
      <c r="BF988" s="34"/>
      <c r="BG988" s="34"/>
      <c r="BH988" s="34"/>
      <c r="BI988" s="34"/>
      <c r="BJ988" s="34"/>
      <c r="BK988" s="34"/>
      <c r="BL988" s="34"/>
      <c r="BM988" s="34"/>
      <c r="BN988" s="34"/>
      <c r="BO988" s="34"/>
      <c r="BP988" s="34"/>
      <c r="BQ988" s="34"/>
      <c r="BR988" s="34"/>
      <c r="BS988" s="34"/>
      <c r="BT988" s="34"/>
      <c r="BU988" s="34"/>
      <c r="BV988" s="34"/>
      <c r="BW988" s="34"/>
      <c r="BX988" s="34"/>
      <c r="BY988" s="34"/>
    </row>
    <row r="989" spans="1:77" x14ac:dyDescent="0.3">
      <c r="A989" s="39"/>
      <c r="B989" s="42"/>
      <c r="C989" s="42"/>
      <c r="D989" s="75"/>
      <c r="E989" s="75"/>
      <c r="F989" s="76"/>
      <c r="G989" s="47"/>
      <c r="H989" s="47"/>
      <c r="I989" s="75"/>
      <c r="J989" s="76"/>
      <c r="K989" s="76"/>
      <c r="L989" s="75"/>
      <c r="M989" s="49"/>
      <c r="N989" s="76"/>
      <c r="O989" s="49"/>
      <c r="P989" s="77"/>
      <c r="Q989" s="53"/>
      <c r="R989" s="54"/>
      <c r="S989" s="55"/>
      <c r="T989" s="56"/>
      <c r="U989" s="56"/>
      <c r="V989" s="42"/>
      <c r="W989" s="57"/>
      <c r="X989" s="58"/>
      <c r="Y989" s="75"/>
      <c r="Z989" s="59"/>
      <c r="AA989" s="61"/>
      <c r="AB989" s="61"/>
      <c r="AC989" s="61"/>
      <c r="AD989" s="62"/>
      <c r="AE989" s="62"/>
      <c r="AF989" s="34"/>
      <c r="AG989" s="34"/>
      <c r="AH989" s="34"/>
      <c r="AI989" s="34"/>
      <c r="AJ989" s="34"/>
      <c r="AK989" s="34"/>
      <c r="AL989" s="34"/>
      <c r="AM989" s="34"/>
      <c r="AN989" s="34"/>
      <c r="AO989" s="34"/>
      <c r="AP989" s="34"/>
      <c r="AQ989" s="34"/>
      <c r="AR989" s="34"/>
      <c r="AS989" s="34"/>
      <c r="AT989" s="34"/>
      <c r="AU989" s="34"/>
      <c r="AV989" s="34"/>
      <c r="AW989" s="34"/>
      <c r="AX989" s="34"/>
      <c r="AY989" s="34"/>
      <c r="AZ989" s="34"/>
      <c r="BA989" s="34"/>
      <c r="BB989" s="34"/>
      <c r="BD989" s="34"/>
      <c r="BE989" s="34"/>
      <c r="BF989" s="34"/>
      <c r="BG989" s="34"/>
      <c r="BH989" s="34"/>
      <c r="BI989" s="34"/>
      <c r="BJ989" s="34"/>
      <c r="BK989" s="34"/>
      <c r="BL989" s="34"/>
      <c r="BM989" s="34"/>
      <c r="BN989" s="34"/>
      <c r="BO989" s="34"/>
      <c r="BP989" s="34"/>
      <c r="BQ989" s="34"/>
      <c r="BR989" s="34"/>
      <c r="BS989" s="34"/>
      <c r="BT989" s="34"/>
      <c r="BU989" s="34"/>
      <c r="BV989" s="34"/>
      <c r="BW989" s="34"/>
      <c r="BX989" s="34"/>
      <c r="BY989" s="34"/>
    </row>
    <row r="990" spans="1:77" x14ac:dyDescent="0.3">
      <c r="A990" s="39"/>
      <c r="B990" s="42"/>
      <c r="C990" s="42"/>
      <c r="D990" s="75"/>
      <c r="E990" s="75"/>
      <c r="F990" s="76"/>
      <c r="G990" s="47"/>
      <c r="H990" s="47"/>
      <c r="I990" s="75"/>
      <c r="J990" s="76"/>
      <c r="K990" s="76"/>
      <c r="L990" s="75"/>
      <c r="M990" s="49"/>
      <c r="N990" s="76"/>
      <c r="O990" s="49"/>
      <c r="P990" s="77"/>
      <c r="Q990" s="53"/>
      <c r="R990" s="54"/>
      <c r="S990" s="55"/>
      <c r="T990" s="56"/>
      <c r="U990" s="56"/>
      <c r="V990" s="42"/>
      <c r="W990" s="57"/>
      <c r="X990" s="58"/>
      <c r="Y990" s="75"/>
      <c r="Z990" s="59"/>
      <c r="AA990" s="61"/>
      <c r="AB990" s="61"/>
      <c r="AC990" s="61"/>
      <c r="AD990" s="62"/>
      <c r="AE990" s="62"/>
      <c r="AF990" s="34"/>
      <c r="AG990" s="34"/>
      <c r="AH990" s="34"/>
      <c r="AI990" s="34"/>
      <c r="AJ990" s="34"/>
      <c r="AK990" s="34"/>
      <c r="AL990" s="34"/>
      <c r="AM990" s="34"/>
      <c r="AN990" s="34"/>
      <c r="AO990" s="34"/>
      <c r="AP990" s="34"/>
      <c r="AQ990" s="34"/>
      <c r="AR990" s="34"/>
      <c r="AS990" s="34"/>
      <c r="AT990" s="34"/>
      <c r="AU990" s="34"/>
      <c r="AV990" s="34"/>
      <c r="AW990" s="34"/>
      <c r="AX990" s="34"/>
      <c r="AY990" s="34"/>
      <c r="AZ990" s="34"/>
      <c r="BA990" s="34"/>
      <c r="BB990" s="34"/>
      <c r="BD990" s="34"/>
      <c r="BE990" s="34"/>
      <c r="BF990" s="34"/>
      <c r="BG990" s="34"/>
      <c r="BH990" s="34"/>
      <c r="BI990" s="34"/>
      <c r="BJ990" s="34"/>
      <c r="BK990" s="34"/>
      <c r="BL990" s="34"/>
      <c r="BM990" s="34"/>
      <c r="BN990" s="34"/>
      <c r="BO990" s="34"/>
      <c r="BP990" s="34"/>
      <c r="BQ990" s="34"/>
      <c r="BR990" s="34"/>
      <c r="BS990" s="34"/>
      <c r="BT990" s="34"/>
      <c r="BU990" s="34"/>
      <c r="BV990" s="34"/>
      <c r="BW990" s="34"/>
      <c r="BX990" s="34"/>
      <c r="BY990" s="34"/>
    </row>
    <row r="991" spans="1:77" x14ac:dyDescent="0.3">
      <c r="A991" s="39"/>
      <c r="B991" s="42"/>
      <c r="C991" s="42"/>
      <c r="D991" s="75"/>
      <c r="E991" s="75"/>
      <c r="F991" s="76"/>
      <c r="G991" s="47"/>
      <c r="H991" s="47"/>
      <c r="I991" s="75"/>
      <c r="J991" s="76"/>
      <c r="K991" s="76"/>
      <c r="L991" s="75"/>
      <c r="M991" s="49"/>
      <c r="N991" s="76"/>
      <c r="O991" s="49"/>
      <c r="P991" s="77"/>
      <c r="Q991" s="53"/>
      <c r="R991" s="54"/>
      <c r="S991" s="55"/>
      <c r="T991" s="56"/>
      <c r="U991" s="56"/>
      <c r="V991" s="42"/>
      <c r="W991" s="57"/>
      <c r="X991" s="58"/>
      <c r="Y991" s="75"/>
      <c r="Z991" s="59"/>
      <c r="AA991" s="61"/>
      <c r="AB991" s="61"/>
      <c r="AC991" s="61"/>
      <c r="AD991" s="62"/>
      <c r="AE991" s="62"/>
      <c r="AF991" s="34"/>
      <c r="AG991" s="34"/>
      <c r="AH991" s="34"/>
      <c r="AI991" s="34"/>
      <c r="AJ991" s="34"/>
      <c r="AK991" s="34"/>
      <c r="AL991" s="34"/>
      <c r="AM991" s="34"/>
      <c r="AN991" s="34"/>
      <c r="AO991" s="34"/>
      <c r="AP991" s="34"/>
      <c r="AQ991" s="34"/>
      <c r="AR991" s="34"/>
      <c r="AS991" s="34"/>
      <c r="AT991" s="34"/>
      <c r="AU991" s="34"/>
      <c r="AV991" s="34"/>
      <c r="AW991" s="34"/>
      <c r="AX991" s="34"/>
      <c r="AY991" s="34"/>
      <c r="AZ991" s="34"/>
      <c r="BA991" s="34"/>
      <c r="BB991" s="34"/>
      <c r="BD991" s="34"/>
      <c r="BE991" s="34"/>
      <c r="BF991" s="34"/>
      <c r="BG991" s="34"/>
      <c r="BH991" s="34"/>
      <c r="BI991" s="34"/>
      <c r="BJ991" s="34"/>
      <c r="BK991" s="34"/>
      <c r="BL991" s="34"/>
      <c r="BM991" s="34"/>
      <c r="BN991" s="34"/>
      <c r="BO991" s="34"/>
      <c r="BP991" s="34"/>
      <c r="BQ991" s="34"/>
      <c r="BR991" s="34"/>
      <c r="BS991" s="34"/>
      <c r="BT991" s="34"/>
      <c r="BU991" s="34"/>
      <c r="BV991" s="34"/>
      <c r="BW991" s="34"/>
      <c r="BX991" s="34"/>
      <c r="BY991" s="34"/>
    </row>
    <row r="992" spans="1:77" x14ac:dyDescent="0.3">
      <c r="A992" s="39"/>
      <c r="B992" s="42"/>
      <c r="C992" s="42"/>
      <c r="D992" s="75"/>
      <c r="E992" s="75"/>
      <c r="F992" s="76"/>
      <c r="G992" s="47"/>
      <c r="H992" s="47"/>
      <c r="I992" s="75"/>
      <c r="J992" s="76"/>
      <c r="K992" s="76"/>
      <c r="L992" s="75"/>
      <c r="M992" s="49"/>
      <c r="N992" s="76"/>
      <c r="O992" s="49"/>
      <c r="P992" s="77"/>
      <c r="Q992" s="53"/>
      <c r="R992" s="54"/>
      <c r="S992" s="55"/>
      <c r="T992" s="56"/>
      <c r="U992" s="56"/>
      <c r="V992" s="42"/>
      <c r="W992" s="57"/>
      <c r="X992" s="58"/>
      <c r="Y992" s="75"/>
      <c r="Z992" s="59"/>
      <c r="AA992" s="61"/>
      <c r="AB992" s="61"/>
      <c r="AC992" s="61"/>
      <c r="AD992" s="62"/>
      <c r="AE992" s="62"/>
      <c r="AF992" s="34"/>
      <c r="AG992" s="34"/>
      <c r="AH992" s="34"/>
      <c r="AI992" s="34"/>
      <c r="AJ992" s="34"/>
      <c r="AK992" s="34"/>
      <c r="AL992" s="34"/>
      <c r="AM992" s="34"/>
      <c r="AN992" s="34"/>
      <c r="AO992" s="34"/>
      <c r="AP992" s="34"/>
      <c r="AQ992" s="34"/>
      <c r="AR992" s="34"/>
      <c r="AS992" s="34"/>
      <c r="AT992" s="34"/>
      <c r="AU992" s="34"/>
      <c r="AV992" s="34"/>
      <c r="AW992" s="34"/>
      <c r="AX992" s="34"/>
      <c r="AY992" s="34"/>
      <c r="AZ992" s="34"/>
      <c r="BA992" s="34"/>
      <c r="BB992" s="34"/>
      <c r="BD992" s="34"/>
      <c r="BE992" s="34"/>
      <c r="BF992" s="34"/>
      <c r="BG992" s="34"/>
      <c r="BH992" s="34"/>
      <c r="BI992" s="34"/>
      <c r="BJ992" s="34"/>
      <c r="BK992" s="34"/>
      <c r="BL992" s="34"/>
      <c r="BM992" s="34"/>
      <c r="BN992" s="34"/>
      <c r="BO992" s="34"/>
      <c r="BP992" s="34"/>
      <c r="BQ992" s="34"/>
      <c r="BR992" s="34"/>
      <c r="BS992" s="34"/>
      <c r="BT992" s="34"/>
      <c r="BU992" s="34"/>
      <c r="BV992" s="34"/>
      <c r="BW992" s="34"/>
      <c r="BX992" s="34"/>
      <c r="BY992" s="34"/>
    </row>
    <row r="993" spans="1:77" x14ac:dyDescent="0.3">
      <c r="A993" s="39"/>
      <c r="B993" s="42"/>
      <c r="C993" s="42"/>
      <c r="D993" s="75"/>
      <c r="E993" s="75"/>
      <c r="F993" s="76"/>
      <c r="G993" s="47"/>
      <c r="H993" s="47"/>
      <c r="I993" s="75"/>
      <c r="J993" s="76"/>
      <c r="K993" s="76"/>
      <c r="L993" s="75"/>
      <c r="M993" s="49"/>
      <c r="N993" s="76"/>
      <c r="O993" s="49"/>
      <c r="P993" s="77"/>
      <c r="Q993" s="53"/>
      <c r="R993" s="54"/>
      <c r="S993" s="55"/>
      <c r="T993" s="56"/>
      <c r="U993" s="56"/>
      <c r="V993" s="42"/>
      <c r="W993" s="57"/>
      <c r="X993" s="58"/>
      <c r="Y993" s="75"/>
      <c r="Z993" s="59"/>
      <c r="AA993" s="61"/>
      <c r="AB993" s="61"/>
      <c r="AC993" s="61"/>
      <c r="AD993" s="62"/>
      <c r="AE993" s="62"/>
      <c r="AF993" s="34"/>
      <c r="AG993" s="34"/>
      <c r="AH993" s="34"/>
      <c r="AI993" s="34"/>
      <c r="AJ993" s="34"/>
      <c r="AK993" s="34"/>
      <c r="AL993" s="34"/>
      <c r="AM993" s="34"/>
      <c r="AN993" s="34"/>
      <c r="AO993" s="34"/>
      <c r="AP993" s="34"/>
      <c r="AQ993" s="34"/>
      <c r="AR993" s="34"/>
      <c r="AS993" s="34"/>
      <c r="AT993" s="34"/>
      <c r="AU993" s="34"/>
      <c r="AV993" s="34"/>
      <c r="AW993" s="34"/>
      <c r="AX993" s="34"/>
      <c r="AY993" s="34"/>
      <c r="AZ993" s="34"/>
      <c r="BA993" s="34"/>
      <c r="BB993" s="34"/>
      <c r="BD993" s="34"/>
      <c r="BE993" s="34"/>
      <c r="BF993" s="34"/>
      <c r="BG993" s="34"/>
      <c r="BH993" s="34"/>
      <c r="BI993" s="34"/>
      <c r="BJ993" s="34"/>
      <c r="BK993" s="34"/>
      <c r="BL993" s="34"/>
      <c r="BM993" s="34"/>
      <c r="BN993" s="34"/>
      <c r="BO993" s="34"/>
      <c r="BP993" s="34"/>
      <c r="BQ993" s="34"/>
      <c r="BR993" s="34"/>
      <c r="BS993" s="34"/>
      <c r="BT993" s="34"/>
      <c r="BU993" s="34"/>
      <c r="BV993" s="34"/>
      <c r="BW993" s="34"/>
      <c r="BX993" s="34"/>
      <c r="BY993" s="34"/>
    </row>
    <row r="994" spans="1:77" x14ac:dyDescent="0.3">
      <c r="A994" s="39"/>
      <c r="B994" s="42"/>
      <c r="C994" s="42"/>
      <c r="D994" s="75"/>
      <c r="E994" s="75"/>
      <c r="F994" s="76"/>
      <c r="G994" s="47"/>
      <c r="H994" s="47"/>
      <c r="I994" s="75"/>
      <c r="J994" s="76"/>
      <c r="K994" s="76"/>
      <c r="L994" s="75"/>
      <c r="M994" s="49"/>
      <c r="N994" s="76"/>
      <c r="O994" s="49"/>
      <c r="P994" s="77"/>
      <c r="Q994" s="53"/>
      <c r="R994" s="54"/>
      <c r="S994" s="55"/>
      <c r="T994" s="56"/>
      <c r="U994" s="56"/>
      <c r="V994" s="42"/>
      <c r="W994" s="57"/>
      <c r="X994" s="58"/>
      <c r="Y994" s="75"/>
      <c r="Z994" s="59"/>
      <c r="AA994" s="61"/>
      <c r="AB994" s="61"/>
      <c r="AC994" s="61"/>
      <c r="AD994" s="62"/>
      <c r="AE994" s="62"/>
      <c r="AF994" s="34"/>
      <c r="AG994" s="34"/>
      <c r="AH994" s="34"/>
      <c r="AI994" s="34"/>
      <c r="AJ994" s="34"/>
      <c r="AK994" s="34"/>
      <c r="AL994" s="34"/>
      <c r="AM994" s="34"/>
      <c r="AN994" s="34"/>
      <c r="AO994" s="34"/>
      <c r="AP994" s="34"/>
      <c r="AQ994" s="34"/>
      <c r="AR994" s="34"/>
      <c r="AS994" s="34"/>
      <c r="AT994" s="34"/>
      <c r="AU994" s="34"/>
      <c r="AV994" s="34"/>
      <c r="AW994" s="34"/>
      <c r="AX994" s="34"/>
      <c r="AY994" s="34"/>
      <c r="AZ994" s="34"/>
      <c r="BA994" s="34"/>
      <c r="BB994" s="34"/>
      <c r="BD994" s="34"/>
      <c r="BE994" s="34"/>
      <c r="BF994" s="34"/>
      <c r="BG994" s="34"/>
      <c r="BH994" s="34"/>
      <c r="BI994" s="34"/>
      <c r="BJ994" s="34"/>
      <c r="BK994" s="34"/>
      <c r="BL994" s="34"/>
      <c r="BM994" s="34"/>
      <c r="BN994" s="34"/>
      <c r="BO994" s="34"/>
      <c r="BP994" s="34"/>
      <c r="BQ994" s="34"/>
      <c r="BR994" s="34"/>
      <c r="BS994" s="34"/>
      <c r="BT994" s="34"/>
      <c r="BU994" s="34"/>
      <c r="BV994" s="34"/>
      <c r="BW994" s="34"/>
      <c r="BX994" s="34"/>
      <c r="BY994" s="34"/>
    </row>
    <row r="995" spans="1:77" x14ac:dyDescent="0.3">
      <c r="A995" s="39"/>
      <c r="B995" s="42"/>
      <c r="C995" s="42"/>
      <c r="D995" s="75"/>
      <c r="E995" s="75"/>
      <c r="F995" s="76"/>
      <c r="G995" s="47"/>
      <c r="H995" s="47"/>
      <c r="I995" s="75"/>
      <c r="J995" s="76"/>
      <c r="K995" s="76"/>
      <c r="L995" s="75"/>
      <c r="M995" s="49"/>
      <c r="N995" s="76"/>
      <c r="O995" s="49"/>
      <c r="P995" s="77"/>
      <c r="Q995" s="53"/>
      <c r="R995" s="54"/>
      <c r="S995" s="55"/>
      <c r="T995" s="56"/>
      <c r="U995" s="56"/>
      <c r="V995" s="42"/>
      <c r="W995" s="57"/>
      <c r="X995" s="58"/>
      <c r="Y995" s="75"/>
      <c r="Z995" s="59"/>
      <c r="AA995" s="61"/>
      <c r="AB995" s="61"/>
      <c r="AC995" s="61"/>
      <c r="AD995" s="62"/>
      <c r="AE995" s="62"/>
      <c r="AF995" s="34"/>
      <c r="AG995" s="34"/>
      <c r="AH995" s="34"/>
      <c r="AI995" s="34"/>
      <c r="AJ995" s="34"/>
      <c r="AK995" s="34"/>
      <c r="AL995" s="34"/>
      <c r="AM995" s="34"/>
      <c r="AN995" s="34"/>
      <c r="AO995" s="34"/>
      <c r="AP995" s="34"/>
      <c r="AQ995" s="34"/>
      <c r="AR995" s="34"/>
      <c r="AS995" s="34"/>
      <c r="AT995" s="34"/>
      <c r="AU995" s="34"/>
      <c r="AV995" s="34"/>
      <c r="AW995" s="34"/>
      <c r="AX995" s="34"/>
      <c r="AY995" s="34"/>
      <c r="AZ995" s="34"/>
      <c r="BA995" s="34"/>
      <c r="BB995" s="34"/>
      <c r="BD995" s="34"/>
      <c r="BE995" s="34"/>
      <c r="BF995" s="34"/>
      <c r="BG995" s="34"/>
      <c r="BH995" s="34"/>
      <c r="BI995" s="34"/>
      <c r="BJ995" s="34"/>
      <c r="BK995" s="34"/>
      <c r="BL995" s="34"/>
      <c r="BM995" s="34"/>
      <c r="BN995" s="34"/>
      <c r="BO995" s="34"/>
      <c r="BP995" s="34"/>
      <c r="BQ995" s="34"/>
      <c r="BR995" s="34"/>
      <c r="BS995" s="34"/>
      <c r="BT995" s="34"/>
      <c r="BU995" s="34"/>
      <c r="BV995" s="34"/>
      <c r="BW995" s="34"/>
      <c r="BX995" s="34"/>
      <c r="BY995" s="34"/>
    </row>
    <row r="996" spans="1:77" x14ac:dyDescent="0.3">
      <c r="A996" s="39"/>
      <c r="B996" s="42"/>
      <c r="C996" s="42"/>
      <c r="D996" s="75"/>
      <c r="E996" s="75"/>
      <c r="F996" s="76"/>
      <c r="G996" s="47"/>
      <c r="H996" s="47"/>
      <c r="I996" s="75"/>
      <c r="J996" s="76"/>
      <c r="K996" s="76"/>
      <c r="L996" s="75"/>
      <c r="M996" s="49"/>
      <c r="N996" s="76"/>
      <c r="O996" s="49"/>
      <c r="P996" s="77"/>
      <c r="Q996" s="53"/>
      <c r="R996" s="54"/>
      <c r="S996" s="55"/>
      <c r="T996" s="56"/>
      <c r="U996" s="56"/>
      <c r="V996" s="42"/>
      <c r="W996" s="57"/>
      <c r="X996" s="58"/>
      <c r="Y996" s="75"/>
      <c r="Z996" s="59"/>
      <c r="AA996" s="61"/>
      <c r="AB996" s="61"/>
      <c r="AC996" s="61"/>
      <c r="AD996" s="62"/>
      <c r="AE996" s="62"/>
      <c r="AF996" s="34"/>
      <c r="AG996" s="34"/>
      <c r="AH996" s="34"/>
      <c r="AI996" s="34"/>
      <c r="AJ996" s="34"/>
      <c r="AK996" s="34"/>
      <c r="AL996" s="34"/>
      <c r="AM996" s="34"/>
      <c r="AN996" s="34"/>
      <c r="AO996" s="34"/>
      <c r="AP996" s="34"/>
      <c r="AQ996" s="34"/>
      <c r="AR996" s="34"/>
      <c r="AS996" s="34"/>
      <c r="AT996" s="34"/>
      <c r="AU996" s="34"/>
      <c r="AV996" s="34"/>
      <c r="AW996" s="34"/>
      <c r="AX996" s="34"/>
      <c r="AY996" s="34"/>
      <c r="AZ996" s="34"/>
      <c r="BA996" s="34"/>
      <c r="BB996" s="34"/>
      <c r="BD996" s="34"/>
      <c r="BE996" s="34"/>
      <c r="BF996" s="34"/>
      <c r="BG996" s="34"/>
      <c r="BH996" s="34"/>
      <c r="BI996" s="34"/>
      <c r="BJ996" s="34"/>
      <c r="BK996" s="34"/>
      <c r="BL996" s="34"/>
      <c r="BM996" s="34"/>
      <c r="BN996" s="34"/>
      <c r="BO996" s="34"/>
      <c r="BP996" s="34"/>
      <c r="BQ996" s="34"/>
      <c r="BR996" s="34"/>
      <c r="BS996" s="34"/>
      <c r="BT996" s="34"/>
      <c r="BU996" s="34"/>
      <c r="BV996" s="34"/>
      <c r="BW996" s="34"/>
      <c r="BX996" s="34"/>
      <c r="BY996" s="34"/>
    </row>
    <row r="997" spans="1:77" x14ac:dyDescent="0.3">
      <c r="A997" s="39"/>
      <c r="B997" s="42"/>
      <c r="C997" s="42"/>
      <c r="D997" s="75"/>
      <c r="E997" s="75"/>
      <c r="F997" s="76"/>
      <c r="G997" s="47"/>
      <c r="H997" s="47"/>
      <c r="I997" s="75"/>
      <c r="J997" s="76"/>
      <c r="K997" s="76"/>
      <c r="L997" s="75"/>
      <c r="M997" s="49"/>
      <c r="N997" s="76"/>
      <c r="O997" s="49"/>
      <c r="P997" s="77"/>
      <c r="Q997" s="53"/>
      <c r="R997" s="54"/>
      <c r="S997" s="55"/>
      <c r="T997" s="56"/>
      <c r="U997" s="56"/>
      <c r="V997" s="42"/>
      <c r="W997" s="57"/>
      <c r="X997" s="58"/>
      <c r="Y997" s="75"/>
      <c r="Z997" s="59"/>
      <c r="AA997" s="61"/>
      <c r="AB997" s="61"/>
      <c r="AC997" s="61"/>
      <c r="AD997" s="62"/>
      <c r="AE997" s="62"/>
      <c r="AF997" s="34"/>
      <c r="AG997" s="34"/>
      <c r="AH997" s="34"/>
      <c r="AI997" s="34"/>
      <c r="AJ997" s="34"/>
      <c r="AK997" s="34"/>
      <c r="AL997" s="34"/>
      <c r="AM997" s="34"/>
      <c r="AN997" s="34"/>
      <c r="AO997" s="34"/>
      <c r="AP997" s="34"/>
      <c r="AQ997" s="34"/>
      <c r="AR997" s="34"/>
      <c r="AS997" s="34"/>
      <c r="AT997" s="34"/>
      <c r="AU997" s="34"/>
      <c r="AV997" s="34"/>
      <c r="AW997" s="34"/>
      <c r="AX997" s="34"/>
      <c r="AY997" s="34"/>
      <c r="AZ997" s="34"/>
      <c r="BA997" s="34"/>
      <c r="BB997" s="34"/>
      <c r="BD997" s="34"/>
      <c r="BE997" s="34"/>
      <c r="BF997" s="34"/>
      <c r="BG997" s="34"/>
      <c r="BH997" s="34"/>
      <c r="BI997" s="34"/>
      <c r="BJ997" s="34"/>
      <c r="BK997" s="34"/>
      <c r="BL997" s="34"/>
      <c r="BM997" s="34"/>
      <c r="BN997" s="34"/>
      <c r="BO997" s="34"/>
      <c r="BP997" s="34"/>
      <c r="BQ997" s="34"/>
      <c r="BR997" s="34"/>
      <c r="BS997" s="34"/>
      <c r="BT997" s="34"/>
      <c r="BU997" s="34"/>
      <c r="BV997" s="34"/>
      <c r="BW997" s="34"/>
      <c r="BX997" s="34"/>
      <c r="BY997" s="34"/>
    </row>
    <row r="998" spans="1:77" x14ac:dyDescent="0.3">
      <c r="A998" s="39"/>
      <c r="B998" s="42"/>
      <c r="C998" s="42"/>
      <c r="D998" s="75"/>
      <c r="E998" s="75"/>
      <c r="F998" s="76"/>
      <c r="G998" s="47"/>
      <c r="H998" s="47"/>
      <c r="I998" s="75"/>
      <c r="J998" s="76"/>
      <c r="K998" s="76"/>
      <c r="L998" s="75"/>
      <c r="M998" s="49"/>
      <c r="N998" s="76"/>
      <c r="O998" s="49"/>
      <c r="P998" s="77"/>
      <c r="Q998" s="53"/>
      <c r="R998" s="54"/>
      <c r="S998" s="55"/>
      <c r="T998" s="56"/>
      <c r="U998" s="56"/>
      <c r="V998" s="42"/>
      <c r="W998" s="57"/>
      <c r="X998" s="58"/>
      <c r="Y998" s="75"/>
      <c r="Z998" s="59"/>
      <c r="AA998" s="61"/>
      <c r="AB998" s="61"/>
      <c r="AC998" s="61"/>
      <c r="AD998" s="62"/>
      <c r="AE998" s="62"/>
      <c r="AF998" s="34"/>
      <c r="AG998" s="34"/>
      <c r="AH998" s="34"/>
      <c r="AI998" s="34"/>
      <c r="AJ998" s="34"/>
      <c r="AK998" s="34"/>
      <c r="AL998" s="34"/>
      <c r="AM998" s="34"/>
      <c r="AN998" s="34"/>
      <c r="AO998" s="34"/>
      <c r="AP998" s="34"/>
      <c r="AQ998" s="34"/>
      <c r="AR998" s="34"/>
      <c r="AS998" s="34"/>
      <c r="AT998" s="34"/>
      <c r="AU998" s="34"/>
      <c r="AV998" s="34"/>
      <c r="AW998" s="34"/>
      <c r="AX998" s="34"/>
      <c r="AY998" s="34"/>
      <c r="AZ998" s="34"/>
      <c r="BA998" s="34"/>
      <c r="BB998" s="34"/>
      <c r="BD998" s="34"/>
      <c r="BE998" s="34"/>
      <c r="BF998" s="34"/>
      <c r="BG998" s="34"/>
      <c r="BH998" s="34"/>
      <c r="BI998" s="34"/>
      <c r="BJ998" s="34"/>
      <c r="BK998" s="34"/>
      <c r="BL998" s="34"/>
      <c r="BM998" s="34"/>
      <c r="BN998" s="34"/>
      <c r="BO998" s="34"/>
      <c r="BP998" s="34"/>
      <c r="BQ998" s="34"/>
      <c r="BR998" s="34"/>
      <c r="BS998" s="34"/>
      <c r="BT998" s="34"/>
      <c r="BU998" s="34"/>
      <c r="BV998" s="34"/>
      <c r="BW998" s="34"/>
      <c r="BX998" s="34"/>
      <c r="BY998" s="34"/>
    </row>
    <row r="999" spans="1:77" x14ac:dyDescent="0.3">
      <c r="A999" s="39"/>
      <c r="B999" s="42"/>
      <c r="C999" s="42"/>
      <c r="D999" s="75"/>
      <c r="E999" s="75"/>
      <c r="F999" s="76"/>
      <c r="G999" s="47"/>
      <c r="H999" s="47"/>
      <c r="I999" s="75"/>
      <c r="J999" s="76"/>
      <c r="K999" s="76"/>
      <c r="L999" s="75"/>
      <c r="M999" s="49"/>
      <c r="N999" s="76"/>
      <c r="O999" s="49"/>
      <c r="P999" s="77"/>
      <c r="Q999" s="53"/>
      <c r="R999" s="54"/>
      <c r="S999" s="55"/>
      <c r="T999" s="56"/>
      <c r="U999" s="56"/>
      <c r="V999" s="42"/>
      <c r="W999" s="57"/>
      <c r="X999" s="58"/>
      <c r="Y999" s="75"/>
      <c r="Z999" s="59"/>
      <c r="AA999" s="61"/>
      <c r="AB999" s="61"/>
      <c r="AC999" s="61"/>
      <c r="AD999" s="62"/>
      <c r="AE999" s="62"/>
      <c r="AF999" s="34"/>
      <c r="AG999" s="34"/>
      <c r="AH999" s="34"/>
      <c r="AI999" s="34"/>
      <c r="AJ999" s="34"/>
      <c r="AK999" s="34"/>
      <c r="AL999" s="34"/>
      <c r="AM999" s="34"/>
      <c r="AN999" s="34"/>
      <c r="AO999" s="34"/>
      <c r="AP999" s="34"/>
      <c r="AQ999" s="34"/>
      <c r="AR999" s="34"/>
      <c r="AS999" s="34"/>
      <c r="AT999" s="34"/>
      <c r="AU999" s="34"/>
      <c r="AV999" s="34"/>
      <c r="AW999" s="34"/>
      <c r="AX999" s="34"/>
      <c r="AY999" s="34"/>
      <c r="AZ999" s="34"/>
      <c r="BA999" s="34"/>
      <c r="BB999" s="34"/>
      <c r="BD999" s="34"/>
      <c r="BE999" s="34"/>
      <c r="BF999" s="34"/>
      <c r="BG999" s="34"/>
      <c r="BH999" s="34"/>
      <c r="BI999" s="34"/>
      <c r="BJ999" s="34"/>
      <c r="BK999" s="34"/>
      <c r="BL999" s="34"/>
      <c r="BM999" s="34"/>
      <c r="BN999" s="34"/>
      <c r="BO999" s="34"/>
      <c r="BP999" s="34"/>
      <c r="BQ999" s="34"/>
      <c r="BR999" s="34"/>
      <c r="BS999" s="34"/>
      <c r="BT999" s="34"/>
      <c r="BU999" s="34"/>
      <c r="BV999" s="34"/>
      <c r="BW999" s="34"/>
      <c r="BX999" s="34"/>
      <c r="BY999" s="34"/>
    </row>
    <row r="1000" spans="1:77" x14ac:dyDescent="0.3">
      <c r="A1000" s="39"/>
      <c r="B1000" s="42"/>
      <c r="C1000" s="42"/>
      <c r="D1000" s="75"/>
      <c r="E1000" s="75"/>
      <c r="F1000" s="76"/>
      <c r="G1000" s="47"/>
      <c r="H1000" s="47"/>
      <c r="I1000" s="75"/>
      <c r="J1000" s="76"/>
      <c r="K1000" s="76"/>
      <c r="L1000" s="75"/>
      <c r="M1000" s="49"/>
      <c r="N1000" s="76"/>
      <c r="O1000" s="49"/>
      <c r="P1000" s="77"/>
      <c r="Q1000" s="53"/>
      <c r="R1000" s="54"/>
      <c r="S1000" s="55"/>
      <c r="T1000" s="56"/>
      <c r="U1000" s="56"/>
      <c r="V1000" s="42"/>
      <c r="W1000" s="57"/>
      <c r="X1000" s="58"/>
      <c r="Y1000" s="75"/>
      <c r="Z1000" s="59"/>
      <c r="AA1000" s="61"/>
      <c r="AB1000" s="61"/>
      <c r="AC1000" s="61"/>
      <c r="AD1000" s="62"/>
      <c r="AE1000" s="62"/>
      <c r="AF1000" s="34"/>
      <c r="AG1000" s="34"/>
      <c r="AH1000" s="34"/>
      <c r="AI1000" s="34"/>
      <c r="AJ1000" s="34"/>
      <c r="AK1000" s="34"/>
      <c r="AL1000" s="34"/>
      <c r="AM1000" s="34"/>
      <c r="AN1000" s="34"/>
      <c r="AO1000" s="34"/>
      <c r="AP1000" s="34"/>
      <c r="AQ1000" s="34"/>
      <c r="AR1000" s="34"/>
      <c r="AS1000" s="34"/>
      <c r="AT1000" s="34"/>
      <c r="AU1000" s="34"/>
      <c r="AV1000" s="34"/>
      <c r="AW1000" s="34"/>
      <c r="AX1000" s="34"/>
      <c r="AY1000" s="34"/>
      <c r="AZ1000" s="34"/>
      <c r="BA1000" s="34"/>
      <c r="BB1000" s="34"/>
      <c r="BD1000" s="34"/>
      <c r="BE1000" s="34"/>
      <c r="BF1000" s="34"/>
      <c r="BG1000" s="34"/>
      <c r="BH1000" s="34"/>
      <c r="BI1000" s="34"/>
      <c r="BJ1000" s="34"/>
      <c r="BK1000" s="34"/>
      <c r="BL1000" s="34"/>
      <c r="BM1000" s="34"/>
      <c r="BN1000" s="34"/>
      <c r="BO1000" s="34"/>
      <c r="BP1000" s="34"/>
      <c r="BQ1000" s="34"/>
      <c r="BR1000" s="34"/>
      <c r="BS1000" s="34"/>
      <c r="BT1000" s="34"/>
      <c r="BU1000" s="34"/>
      <c r="BV1000" s="34"/>
      <c r="BW1000" s="34"/>
      <c r="BX1000" s="34"/>
      <c r="BY1000" s="34"/>
    </row>
  </sheetData>
  <sheetProtection formatCells="0" formatColumns="0" formatRows="0" sort="0" autoFilter="0"/>
  <autoFilter ref="A2:AD1000" xr:uid="{00000000-0009-0000-0000-000004000000}"/>
  <mergeCells count="7">
    <mergeCell ref="W1:X1"/>
    <mergeCell ref="Y1:AD1"/>
    <mergeCell ref="A1:C1"/>
    <mergeCell ref="E1:H1"/>
    <mergeCell ref="I1:K1"/>
    <mergeCell ref="L1:O1"/>
    <mergeCell ref="R1:V1"/>
  </mergeCells>
  <phoneticPr fontId="3" type="noConversion"/>
  <conditionalFormatting sqref="A3:CA3000">
    <cfRule type="expression" dxfId="3" priority="1" stopIfTrue="1">
      <formula>$CA3="вводной узел"</formula>
    </cfRule>
    <cfRule type="expression" dxfId="2" priority="2" stopIfTrue="1">
      <formula>ODD($BZ3)</formula>
    </cfRule>
    <cfRule type="expression" dxfId="1" priority="3" stopIfTrue="1">
      <formula>AND($A3&lt;&gt;"",$A3&lt;&gt;$A2)</formula>
    </cfRule>
  </conditionalFormatting>
  <dataValidations count="6">
    <dataValidation type="list" allowBlank="1" sqref="E3:E1000" xr:uid="{00000000-0002-0000-0500-000000000000}">
      <formula1>Список_автоматов</formula1>
    </dataValidation>
    <dataValidation type="list" allowBlank="1" sqref="F3:F1000" xr:uid="{00000000-0002-0000-0500-000001000000}">
      <formula1>"да,нет"</formula1>
    </dataValidation>
    <dataValidation type="list" allowBlank="1" sqref="I3:K1000" xr:uid="{00000000-0002-0000-0500-000002000000}">
      <formula1>Список_аппаратов</formula1>
    </dataValidation>
    <dataValidation type="list" allowBlank="1" sqref="L3:L1000" xr:uid="{00000000-0002-0000-0500-000003000000}">
      <formula1>Список_модулей</formula1>
    </dataValidation>
    <dataValidation type="list" allowBlank="1" sqref="N3:N1000" xr:uid="{00000000-0002-0000-0500-000004000000}">
      <formula1>"+,=,р,б/к"</formula1>
    </dataValidation>
    <dataValidation type="list" allowBlank="1" sqref="Y3:Y1000" xr:uid="{00000000-0002-0000-0500-000005000000}">
      <formula1>"вручную"</formula1>
    </dataValidation>
  </dataValidations>
  <pageMargins left="0.4" right="0.4" top="0.5" bottom="0.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460DF-5547-4C44-98CC-F4B5A8B0B139}">
  <sheetPr codeName="Лист20">
    <tabColor rgb="FFA6A6A6"/>
  </sheetPr>
  <dimension ref="B1:AF503"/>
  <sheetViews>
    <sheetView workbookViewId="0"/>
  </sheetViews>
  <sheetFormatPr defaultRowHeight="14.4" x14ac:dyDescent="0.3"/>
  <cols>
    <col min="2" max="2" width="18.109375" customWidth="1"/>
    <col min="3" max="3" width="7" bestFit="1" customWidth="1"/>
    <col min="4" max="4" width="9" bestFit="1" customWidth="1"/>
    <col min="5" max="6" width="6.109375" bestFit="1" customWidth="1"/>
    <col min="8" max="8" width="8.5546875" bestFit="1" customWidth="1"/>
    <col min="10" max="10" width="8.5546875" bestFit="1" customWidth="1"/>
    <col min="11" max="11" width="9.5546875" bestFit="1" customWidth="1"/>
    <col min="13" max="13" width="14.5546875" bestFit="1" customWidth="1"/>
    <col min="17" max="17" width="19.33203125" customWidth="1"/>
    <col min="18" max="18" width="15" customWidth="1"/>
    <col min="20" max="20" width="20.88671875" style="22" bestFit="1" customWidth="1"/>
    <col min="21" max="21" width="19" bestFit="1" customWidth="1"/>
    <col min="22" max="22" width="17.33203125" bestFit="1" customWidth="1"/>
    <col min="23" max="24" width="17.33203125" customWidth="1"/>
    <col min="26" max="26" width="10.88671875" bestFit="1" customWidth="1"/>
    <col min="27" max="27" width="7.88671875" bestFit="1" customWidth="1"/>
    <col min="30" max="30" width="11.33203125" bestFit="1" customWidth="1"/>
    <col min="31" max="31" width="10.88671875" bestFit="1" customWidth="1"/>
  </cols>
  <sheetData>
    <row r="1" spans="2:32" x14ac:dyDescent="0.3">
      <c r="T1" s="22">
        <v>1</v>
      </c>
      <c r="U1">
        <v>2</v>
      </c>
      <c r="V1">
        <v>3</v>
      </c>
      <c r="W1">
        <v>4</v>
      </c>
      <c r="X1">
        <v>5</v>
      </c>
    </row>
    <row r="2" spans="2:32" x14ac:dyDescent="0.3">
      <c r="B2" s="3" t="s">
        <v>156</v>
      </c>
      <c r="C2" s="20"/>
      <c r="D2" s="20"/>
      <c r="E2" s="20"/>
      <c r="F2" s="20"/>
      <c r="M2" s="3" t="s">
        <v>157</v>
      </c>
      <c r="Q2" s="3" t="s">
        <v>167</v>
      </c>
      <c r="Z2" s="3" t="s">
        <v>174</v>
      </c>
      <c r="AA2" t="s">
        <v>175</v>
      </c>
      <c r="AD2" s="3" t="s">
        <v>173</v>
      </c>
      <c r="AE2" t="s">
        <v>176</v>
      </c>
    </row>
    <row r="3" spans="2:32" x14ac:dyDescent="0.3">
      <c r="B3" s="3" t="s">
        <v>1</v>
      </c>
      <c r="C3" s="3" t="s">
        <v>162</v>
      </c>
      <c r="D3" s="3" t="s">
        <v>163</v>
      </c>
      <c r="E3" s="3" t="s">
        <v>164</v>
      </c>
      <c r="F3" s="3" t="s">
        <v>165</v>
      </c>
      <c r="G3" s="3" t="s">
        <v>153</v>
      </c>
      <c r="H3" s="3" t="s">
        <v>159</v>
      </c>
      <c r="I3" s="3" t="s">
        <v>154</v>
      </c>
      <c r="J3" s="3" t="s">
        <v>158</v>
      </c>
      <c r="K3" s="3" t="s">
        <v>155</v>
      </c>
      <c r="M3" s="3" t="s">
        <v>1</v>
      </c>
      <c r="N3" s="3" t="s">
        <v>160</v>
      </c>
      <c r="O3" s="3" t="s">
        <v>161</v>
      </c>
      <c r="Q3" s="3" t="s">
        <v>24</v>
      </c>
      <c r="R3" s="3" t="s">
        <v>168</v>
      </c>
      <c r="S3" s="3" t="s">
        <v>3</v>
      </c>
      <c r="T3" s="3" t="s">
        <v>9</v>
      </c>
      <c r="U3" s="3" t="s">
        <v>169</v>
      </c>
      <c r="V3" s="3" t="s">
        <v>187</v>
      </c>
      <c r="W3" s="3" t="s">
        <v>197</v>
      </c>
      <c r="X3" s="3" t="s">
        <v>198</v>
      </c>
      <c r="Z3" s="3" t="s">
        <v>172</v>
      </c>
      <c r="AA3" s="3" t="s">
        <v>152</v>
      </c>
      <c r="AB3" s="3" t="s">
        <v>171</v>
      </c>
      <c r="AD3" s="3" t="s">
        <v>172</v>
      </c>
      <c r="AE3" s="3" t="s">
        <v>152</v>
      </c>
      <c r="AF3" s="3" t="s">
        <v>171</v>
      </c>
    </row>
    <row r="4" spans="2:32" x14ac:dyDescent="0.3">
      <c r="B4" s="3">
        <v>0.09</v>
      </c>
      <c r="C4" s="3">
        <v>0.37</v>
      </c>
      <c r="D4" s="3">
        <v>1.67</v>
      </c>
      <c r="E4" s="3">
        <f>ROUNDUP(B4/G4/K4/0.22,2)</f>
        <v>0.85</v>
      </c>
      <c r="F4" s="3">
        <f>ROUNDUP(E4*J4,2)</f>
        <v>2.98</v>
      </c>
      <c r="G4" s="3">
        <v>0.56999999999999995</v>
      </c>
      <c r="H4" s="3">
        <v>4.5</v>
      </c>
      <c r="I4" s="3">
        <v>0.65</v>
      </c>
      <c r="J4" s="3">
        <v>3.5</v>
      </c>
      <c r="K4" s="3">
        <v>0.85</v>
      </c>
      <c r="M4" s="3">
        <v>0.01</v>
      </c>
      <c r="N4" s="3">
        <v>40</v>
      </c>
      <c r="O4" s="3">
        <v>0.11</v>
      </c>
      <c r="Q4" s="3" t="s">
        <v>12</v>
      </c>
      <c r="R4" s="3">
        <v>1</v>
      </c>
      <c r="S4" s="3">
        <v>1.5</v>
      </c>
      <c r="T4" s="21" t="str">
        <f>Q4&amp;" ("&amp;R4&amp;"х"&amp;S4&amp;")"</f>
        <v>ВВГнг(А)-LS (1х1,5)</v>
      </c>
      <c r="U4" s="3">
        <v>5.4</v>
      </c>
      <c r="V4" s="3">
        <f>IF((U4*1.2)&lt;14,14,U4*1.2)</f>
        <v>14</v>
      </c>
      <c r="W4" s="3" t="str">
        <f>"Ø"&amp;VLOOKUP(V4,$Z$4:$AA$10,2,TRUE)</f>
        <v>Ø20</v>
      </c>
      <c r="X4" s="3" t="str">
        <f>"Ø"&amp;VLOOKUP(V4,$AD$4:$AE$10,2,TRUE)</f>
        <v>Ø20</v>
      </c>
      <c r="Z4" s="3">
        <v>0</v>
      </c>
      <c r="AA4" s="3">
        <v>16</v>
      </c>
      <c r="AB4" s="3">
        <v>16</v>
      </c>
      <c r="AD4" s="3">
        <v>0</v>
      </c>
      <c r="AE4" s="3">
        <v>16</v>
      </c>
      <c r="AF4" s="3">
        <v>16</v>
      </c>
    </row>
    <row r="5" spans="2:32" x14ac:dyDescent="0.3">
      <c r="B5" s="3">
        <v>0.12</v>
      </c>
      <c r="C5" s="3">
        <v>0.49</v>
      </c>
      <c r="D5" s="3">
        <v>2.4500000000000002</v>
      </c>
      <c r="E5" s="3">
        <f t="shared" ref="E5:E16" si="0">ROUNDUP(B5/G5/K5/0.22,2)</f>
        <v>1.1300000000000001</v>
      </c>
      <c r="F5" s="3">
        <f t="shared" ref="F5:F16" si="1">ROUNDUP(E5*J5,2)</f>
        <v>3.96</v>
      </c>
      <c r="G5" s="3">
        <v>0.56999999999999995</v>
      </c>
      <c r="H5" s="3">
        <v>5</v>
      </c>
      <c r="I5" s="3">
        <v>0.66</v>
      </c>
      <c r="J5" s="3">
        <v>3.5</v>
      </c>
      <c r="K5" s="3">
        <v>0.85</v>
      </c>
      <c r="M5" s="3">
        <v>1.2E-2</v>
      </c>
      <c r="N5" s="3">
        <v>40</v>
      </c>
      <c r="O5" s="3">
        <v>0.13</v>
      </c>
      <c r="Q5" s="3" t="s">
        <v>12</v>
      </c>
      <c r="R5" s="3">
        <v>2</v>
      </c>
      <c r="S5" s="3">
        <v>1.5</v>
      </c>
      <c r="T5" s="21" t="str">
        <f t="shared" ref="T5:T23" si="2">Q5&amp;" ("&amp;R5&amp;"х"&amp;S5&amp;")"</f>
        <v>ВВГнг(А)-LS (2х1,5)</v>
      </c>
      <c r="U5" s="3">
        <v>9</v>
      </c>
      <c r="V5" s="3">
        <f t="shared" ref="V5:V68" si="3">IF((U5*1.2)&lt;14,14,U5*1.2)</f>
        <v>14</v>
      </c>
      <c r="W5" s="3" t="str">
        <f t="shared" ref="W5:W68" si="4">"Ø"&amp;VLOOKUP(V5,$Z$4:$AA$10,2,TRUE)</f>
        <v>Ø20</v>
      </c>
      <c r="X5" s="3" t="str">
        <f t="shared" ref="X5:X68" si="5">"Ø"&amp;VLOOKUP(V5,$AD$4:$AE$10,2,TRUE)</f>
        <v>Ø20</v>
      </c>
      <c r="Z5" s="3">
        <v>11.5</v>
      </c>
      <c r="AA5" s="3">
        <v>20</v>
      </c>
      <c r="AB5" s="3">
        <v>20</v>
      </c>
      <c r="AD5" s="3">
        <v>11.3</v>
      </c>
      <c r="AE5" s="3">
        <v>20</v>
      </c>
      <c r="AF5" s="3">
        <v>20</v>
      </c>
    </row>
    <row r="6" spans="2:32" x14ac:dyDescent="0.3">
      <c r="B6" s="3">
        <v>0.18</v>
      </c>
      <c r="C6" s="3">
        <v>0.67</v>
      </c>
      <c r="D6" s="3">
        <v>3.35</v>
      </c>
      <c r="E6" s="3">
        <f t="shared" si="0"/>
        <v>1.57</v>
      </c>
      <c r="F6" s="3">
        <f t="shared" si="1"/>
        <v>5.5</v>
      </c>
      <c r="G6" s="3">
        <v>0.6</v>
      </c>
      <c r="H6" s="3">
        <v>5</v>
      </c>
      <c r="I6" s="3">
        <v>0.68</v>
      </c>
      <c r="J6" s="3">
        <v>3.5</v>
      </c>
      <c r="K6" s="3">
        <v>0.87</v>
      </c>
      <c r="M6" s="3">
        <v>1.4999999999999999E-2</v>
      </c>
      <c r="N6" s="3">
        <v>45</v>
      </c>
      <c r="O6" s="3">
        <v>0.16</v>
      </c>
      <c r="Q6" s="3" t="s">
        <v>12</v>
      </c>
      <c r="R6" s="3">
        <v>3</v>
      </c>
      <c r="S6" s="3">
        <v>1.5</v>
      </c>
      <c r="T6" s="21" t="str">
        <f t="shared" si="2"/>
        <v>ВВГнг(А)-LS (3х1,5)</v>
      </c>
      <c r="U6" s="3">
        <v>9.4</v>
      </c>
      <c r="V6" s="3">
        <f t="shared" si="3"/>
        <v>14</v>
      </c>
      <c r="W6" s="3" t="str">
        <f t="shared" si="4"/>
        <v>Ø20</v>
      </c>
      <c r="X6" s="3" t="str">
        <f t="shared" si="5"/>
        <v>Ø20</v>
      </c>
      <c r="Z6" s="3">
        <v>14.9</v>
      </c>
      <c r="AA6" s="3">
        <v>25</v>
      </c>
      <c r="AB6" s="3">
        <v>25</v>
      </c>
      <c r="AD6" s="3">
        <v>14.5</v>
      </c>
      <c r="AE6" s="3">
        <v>25</v>
      </c>
      <c r="AF6" s="3">
        <v>25</v>
      </c>
    </row>
    <row r="7" spans="2:32" x14ac:dyDescent="0.3">
      <c r="B7" s="3">
        <v>0.25</v>
      </c>
      <c r="C7" s="3">
        <v>0.87</v>
      </c>
      <c r="D7" s="3">
        <v>4.3499999999999996</v>
      </c>
      <c r="E7" s="3">
        <f t="shared" si="0"/>
        <v>1.95</v>
      </c>
      <c r="F7" s="3">
        <f t="shared" si="1"/>
        <v>6.83</v>
      </c>
      <c r="G7" s="3">
        <v>0.65</v>
      </c>
      <c r="H7" s="3">
        <v>5</v>
      </c>
      <c r="I7" s="3">
        <v>0.67</v>
      </c>
      <c r="J7" s="3">
        <v>3.5</v>
      </c>
      <c r="K7" s="3">
        <v>0.9</v>
      </c>
      <c r="M7" s="3">
        <v>0.02</v>
      </c>
      <c r="N7" s="3">
        <v>45</v>
      </c>
      <c r="O7" s="3">
        <v>0.22</v>
      </c>
      <c r="Q7" s="3" t="s">
        <v>12</v>
      </c>
      <c r="R7" s="3">
        <v>4</v>
      </c>
      <c r="S7" s="3">
        <v>1.5</v>
      </c>
      <c r="T7" s="21" t="str">
        <f t="shared" si="2"/>
        <v>ВВГнг(А)-LS (4х1,5)</v>
      </c>
      <c r="U7" s="3">
        <v>10.199999999999999</v>
      </c>
      <c r="V7" s="3">
        <f t="shared" si="3"/>
        <v>14</v>
      </c>
      <c r="W7" s="3" t="str">
        <f t="shared" si="4"/>
        <v>Ø20</v>
      </c>
      <c r="X7" s="3" t="str">
        <f t="shared" si="5"/>
        <v>Ø20</v>
      </c>
      <c r="Z7" s="3">
        <v>19</v>
      </c>
      <c r="AA7" s="3">
        <v>32</v>
      </c>
      <c r="AB7" s="3">
        <v>32</v>
      </c>
      <c r="AD7" s="3">
        <v>18.7</v>
      </c>
      <c r="AE7" s="3">
        <v>32</v>
      </c>
      <c r="AF7" s="3">
        <v>32</v>
      </c>
    </row>
    <row r="8" spans="2:32" x14ac:dyDescent="0.3">
      <c r="B8" s="3">
        <v>0.37</v>
      </c>
      <c r="C8" s="3">
        <v>1.18</v>
      </c>
      <c r="D8" s="3">
        <v>5.8999999999999995</v>
      </c>
      <c r="E8" s="3">
        <f t="shared" si="0"/>
        <v>2.69</v>
      </c>
      <c r="F8" s="3">
        <f t="shared" si="1"/>
        <v>9.42</v>
      </c>
      <c r="G8" s="3">
        <v>0.68</v>
      </c>
      <c r="H8" s="3">
        <v>5</v>
      </c>
      <c r="I8" s="3">
        <v>0.7</v>
      </c>
      <c r="J8" s="3">
        <v>3.5</v>
      </c>
      <c r="K8" s="3">
        <v>0.92</v>
      </c>
      <c r="M8" s="3">
        <v>0.03</v>
      </c>
      <c r="N8" s="3">
        <v>50</v>
      </c>
      <c r="O8" s="3">
        <v>0.31</v>
      </c>
      <c r="Q8" s="3" t="s">
        <v>12</v>
      </c>
      <c r="R8" s="3">
        <v>5</v>
      </c>
      <c r="S8" s="3">
        <v>1.5</v>
      </c>
      <c r="T8" s="21" t="str">
        <f t="shared" si="2"/>
        <v>ВВГнг(А)-LS (5х1,5)</v>
      </c>
      <c r="U8" s="3">
        <v>11</v>
      </c>
      <c r="V8" s="3">
        <f t="shared" si="3"/>
        <v>14</v>
      </c>
      <c r="W8" s="3" t="str">
        <f t="shared" si="4"/>
        <v>Ø20</v>
      </c>
      <c r="X8" s="3" t="str">
        <f t="shared" si="5"/>
        <v>Ø20</v>
      </c>
      <c r="Z8" s="3">
        <v>24.9</v>
      </c>
      <c r="AA8" s="3">
        <v>40</v>
      </c>
      <c r="AB8" s="3">
        <v>40</v>
      </c>
      <c r="AD8" s="3">
        <v>24.3</v>
      </c>
      <c r="AE8" s="3">
        <v>40</v>
      </c>
      <c r="AF8" s="3">
        <v>40</v>
      </c>
    </row>
    <row r="9" spans="2:32" x14ac:dyDescent="0.3">
      <c r="B9" s="3">
        <v>0.55000000000000004</v>
      </c>
      <c r="C9" s="3">
        <v>1.66</v>
      </c>
      <c r="D9" s="3">
        <v>8.2999999999999989</v>
      </c>
      <c r="E9" s="3">
        <f t="shared" si="0"/>
        <v>3.7899999999999996</v>
      </c>
      <c r="F9" s="3">
        <f t="shared" si="1"/>
        <v>13.27</v>
      </c>
      <c r="G9" s="3">
        <v>0.71</v>
      </c>
      <c r="H9" s="3">
        <v>5</v>
      </c>
      <c r="I9" s="3">
        <v>0.71</v>
      </c>
      <c r="J9" s="3">
        <v>3.5</v>
      </c>
      <c r="K9" s="3">
        <v>0.93</v>
      </c>
      <c r="M9" s="3">
        <v>3.5999999999999997E-2</v>
      </c>
      <c r="N9" s="3">
        <v>50</v>
      </c>
      <c r="O9" s="3">
        <v>0.38</v>
      </c>
      <c r="Q9" s="3" t="s">
        <v>12</v>
      </c>
      <c r="R9" s="3">
        <v>1</v>
      </c>
      <c r="S9" s="3">
        <v>2.5</v>
      </c>
      <c r="T9" s="21" t="str">
        <f t="shared" si="2"/>
        <v>ВВГнг(А)-LS (1х2,5)</v>
      </c>
      <c r="U9" s="3">
        <v>5.8</v>
      </c>
      <c r="V9" s="3">
        <f t="shared" si="3"/>
        <v>14</v>
      </c>
      <c r="W9" s="3" t="str">
        <f t="shared" si="4"/>
        <v>Ø20</v>
      </c>
      <c r="X9" s="3" t="str">
        <f t="shared" si="5"/>
        <v>Ø20</v>
      </c>
      <c r="Z9" s="3">
        <v>31.8</v>
      </c>
      <c r="AA9" s="3">
        <v>50</v>
      </c>
      <c r="AB9" s="3">
        <v>50</v>
      </c>
      <c r="AD9" s="3">
        <v>30.7</v>
      </c>
      <c r="AE9" s="3">
        <v>50</v>
      </c>
      <c r="AF9" s="3">
        <v>50</v>
      </c>
    </row>
    <row r="10" spans="2:32" x14ac:dyDescent="0.3">
      <c r="B10" s="3">
        <v>0.75</v>
      </c>
      <c r="C10" s="3">
        <v>2.08</v>
      </c>
      <c r="D10" s="3">
        <v>10.4</v>
      </c>
      <c r="E10" s="3">
        <f t="shared" si="0"/>
        <v>4.97</v>
      </c>
      <c r="F10" s="3">
        <f t="shared" si="1"/>
        <v>17.400000000000002</v>
      </c>
      <c r="G10" s="3">
        <v>0.73</v>
      </c>
      <c r="H10" s="3">
        <v>5</v>
      </c>
      <c r="I10" s="3">
        <v>0.75</v>
      </c>
      <c r="J10" s="3">
        <v>3.5</v>
      </c>
      <c r="K10" s="3">
        <v>0.94</v>
      </c>
      <c r="M10" s="3">
        <v>0.04</v>
      </c>
      <c r="N10" s="3">
        <v>50</v>
      </c>
      <c r="O10" s="3">
        <v>0.4</v>
      </c>
      <c r="Q10" s="3" t="s">
        <v>12</v>
      </c>
      <c r="R10" s="3">
        <v>2</v>
      </c>
      <c r="S10" s="3">
        <v>2.5</v>
      </c>
      <c r="T10" s="21" t="str">
        <f t="shared" si="2"/>
        <v>ВВГнг(А)-LS (2х2,5)</v>
      </c>
      <c r="U10" s="3">
        <v>9.6999999999999993</v>
      </c>
      <c r="V10" s="3">
        <f t="shared" si="3"/>
        <v>14</v>
      </c>
      <c r="W10" s="3" t="str">
        <f t="shared" si="4"/>
        <v>Ø20</v>
      </c>
      <c r="X10" s="3" t="str">
        <f t="shared" si="5"/>
        <v>Ø20</v>
      </c>
      <c r="Z10" s="3">
        <v>40.200000000000003</v>
      </c>
      <c r="AA10" s="3" t="s">
        <v>199</v>
      </c>
      <c r="AB10" s="3" t="s">
        <v>199</v>
      </c>
      <c r="AD10" s="3">
        <v>38.9</v>
      </c>
      <c r="AE10" s="3" t="s">
        <v>199</v>
      </c>
      <c r="AF10" s="3" t="s">
        <v>199</v>
      </c>
    </row>
    <row r="11" spans="2:32" x14ac:dyDescent="0.3">
      <c r="B11" s="3">
        <v>1.1000000000000001</v>
      </c>
      <c r="C11" s="3">
        <v>2.85</v>
      </c>
      <c r="D11" s="3">
        <v>14.25</v>
      </c>
      <c r="E11" s="3">
        <f t="shared" si="0"/>
        <v>6.91</v>
      </c>
      <c r="F11" s="3">
        <f t="shared" si="1"/>
        <v>24.19</v>
      </c>
      <c r="G11" s="3">
        <v>0.76200000000000001</v>
      </c>
      <c r="H11" s="3">
        <v>5</v>
      </c>
      <c r="I11" s="3">
        <v>0.77</v>
      </c>
      <c r="J11" s="3">
        <v>3.5</v>
      </c>
      <c r="K11" s="3">
        <v>0.95</v>
      </c>
      <c r="M11" s="3">
        <v>4.4999999999999998E-2</v>
      </c>
      <c r="N11" s="3">
        <v>50</v>
      </c>
      <c r="O11" s="3">
        <v>0.45</v>
      </c>
      <c r="Q11" s="3" t="s">
        <v>12</v>
      </c>
      <c r="R11" s="3">
        <v>3</v>
      </c>
      <c r="S11" s="3">
        <v>2.5</v>
      </c>
      <c r="T11" s="21" t="str">
        <f t="shared" si="2"/>
        <v>ВВГнг(А)-LS (3х2,5)</v>
      </c>
      <c r="U11" s="3">
        <v>10.199999999999999</v>
      </c>
      <c r="V11" s="3">
        <f t="shared" si="3"/>
        <v>14</v>
      </c>
      <c r="W11" s="3" t="str">
        <f t="shared" si="4"/>
        <v>Ø20</v>
      </c>
      <c r="X11" s="3" t="str">
        <f t="shared" si="5"/>
        <v>Ø20</v>
      </c>
    </row>
    <row r="12" spans="2:32" x14ac:dyDescent="0.3">
      <c r="B12" s="3">
        <v>1.5</v>
      </c>
      <c r="C12" s="3">
        <v>3.63</v>
      </c>
      <c r="D12" s="3">
        <v>19.239999999999998</v>
      </c>
      <c r="E12" s="3">
        <f t="shared" si="0"/>
        <v>9.15</v>
      </c>
      <c r="F12" s="3">
        <f t="shared" si="1"/>
        <v>32.03</v>
      </c>
      <c r="G12" s="3">
        <v>0.78500000000000003</v>
      </c>
      <c r="H12" s="3">
        <v>5.3</v>
      </c>
      <c r="I12" s="3">
        <v>0.8</v>
      </c>
      <c r="J12" s="3">
        <v>3.5</v>
      </c>
      <c r="K12" s="3">
        <v>0.95</v>
      </c>
      <c r="M12" s="3">
        <v>0.06</v>
      </c>
      <c r="N12" s="3">
        <v>50</v>
      </c>
      <c r="O12" s="3">
        <v>0.75</v>
      </c>
      <c r="Q12" s="3" t="s">
        <v>12</v>
      </c>
      <c r="R12" s="3">
        <v>4</v>
      </c>
      <c r="S12" s="3">
        <v>2.5</v>
      </c>
      <c r="T12" s="21" t="str">
        <f t="shared" si="2"/>
        <v>ВВГнг(А)-LS (4х2,5)</v>
      </c>
      <c r="U12" s="3">
        <v>11.1</v>
      </c>
      <c r="V12" s="3">
        <f t="shared" si="3"/>
        <v>14</v>
      </c>
      <c r="W12" s="3" t="str">
        <f t="shared" si="4"/>
        <v>Ø20</v>
      </c>
      <c r="X12" s="3" t="str">
        <f t="shared" si="5"/>
        <v>Ø20</v>
      </c>
    </row>
    <row r="13" spans="2:32" x14ac:dyDescent="0.3">
      <c r="B13" s="3">
        <v>2.2000000000000002</v>
      </c>
      <c r="C13" s="3">
        <v>5.29</v>
      </c>
      <c r="D13" s="3">
        <v>31.740000000000002</v>
      </c>
      <c r="E13" s="3">
        <f t="shared" si="0"/>
        <v>13.16</v>
      </c>
      <c r="F13" s="3">
        <f t="shared" si="1"/>
        <v>46.06</v>
      </c>
      <c r="G13" s="3">
        <v>0.8</v>
      </c>
      <c r="H13" s="3">
        <v>6</v>
      </c>
      <c r="I13" s="3">
        <v>0.79</v>
      </c>
      <c r="J13" s="3">
        <v>3.5</v>
      </c>
      <c r="K13" s="3">
        <v>0.95</v>
      </c>
      <c r="M13" s="3">
        <v>0.08</v>
      </c>
      <c r="N13" s="3">
        <v>50</v>
      </c>
      <c r="O13" s="3">
        <v>0.81</v>
      </c>
      <c r="Q13" s="3" t="s">
        <v>12</v>
      </c>
      <c r="R13" s="3">
        <v>5</v>
      </c>
      <c r="S13" s="3">
        <v>2.5</v>
      </c>
      <c r="T13" s="21" t="str">
        <f t="shared" si="2"/>
        <v>ВВГнг(А)-LS (5х2,5)</v>
      </c>
      <c r="U13" s="3">
        <v>12</v>
      </c>
      <c r="V13" s="3">
        <f t="shared" si="3"/>
        <v>14.399999999999999</v>
      </c>
      <c r="W13" s="3" t="str">
        <f t="shared" si="4"/>
        <v>Ø20</v>
      </c>
      <c r="X13" s="3" t="str">
        <f t="shared" si="5"/>
        <v>Ø20</v>
      </c>
    </row>
    <row r="14" spans="2:32" x14ac:dyDescent="0.3">
      <c r="B14" s="3">
        <v>3</v>
      </c>
      <c r="C14" s="3">
        <v>6.73</v>
      </c>
      <c r="D14" s="3">
        <v>47.11</v>
      </c>
      <c r="E14" s="3">
        <f t="shared" si="0"/>
        <v>17.380000000000003</v>
      </c>
      <c r="F14" s="3">
        <f t="shared" si="1"/>
        <v>60.83</v>
      </c>
      <c r="G14" s="3">
        <v>0.82599999999999996</v>
      </c>
      <c r="H14" s="3">
        <v>7</v>
      </c>
      <c r="I14" s="3">
        <v>0.82</v>
      </c>
      <c r="J14" s="3">
        <v>3.5</v>
      </c>
      <c r="K14" s="3">
        <v>0.95</v>
      </c>
      <c r="M14" s="3">
        <v>0.1</v>
      </c>
      <c r="N14" s="3">
        <v>50</v>
      </c>
      <c r="O14" s="3">
        <v>1</v>
      </c>
      <c r="Q14" s="3" t="s">
        <v>12</v>
      </c>
      <c r="R14" s="3">
        <v>1</v>
      </c>
      <c r="S14" s="3">
        <v>4</v>
      </c>
      <c r="T14" s="21" t="str">
        <f t="shared" si="2"/>
        <v>ВВГнг(А)-LS (1х4)</v>
      </c>
      <c r="U14" s="3">
        <v>6.6</v>
      </c>
      <c r="V14" s="3">
        <f t="shared" si="3"/>
        <v>14</v>
      </c>
      <c r="W14" s="3" t="str">
        <f t="shared" si="4"/>
        <v>Ø20</v>
      </c>
      <c r="X14" s="3" t="str">
        <f t="shared" si="5"/>
        <v>Ø20</v>
      </c>
    </row>
    <row r="15" spans="2:32" x14ac:dyDescent="0.3">
      <c r="B15" s="3">
        <v>3.7</v>
      </c>
      <c r="C15" s="3">
        <v>8.1199999999999992</v>
      </c>
      <c r="D15" s="3">
        <v>56.839999999999996</v>
      </c>
      <c r="E15" s="3">
        <f t="shared" si="0"/>
        <v>21.23</v>
      </c>
      <c r="F15" s="3">
        <f t="shared" si="1"/>
        <v>74.31</v>
      </c>
      <c r="G15" s="3">
        <v>0.83400000000000007</v>
      </c>
      <c r="H15" s="3">
        <v>7</v>
      </c>
      <c r="I15" s="3">
        <v>0.83</v>
      </c>
      <c r="J15" s="3">
        <v>3.5</v>
      </c>
      <c r="K15" s="3">
        <v>0.95</v>
      </c>
      <c r="M15" s="3">
        <v>0.15</v>
      </c>
      <c r="N15" s="3">
        <v>65</v>
      </c>
      <c r="O15" s="3">
        <v>1.6</v>
      </c>
      <c r="Q15" s="3" t="s">
        <v>12</v>
      </c>
      <c r="R15" s="3">
        <v>2</v>
      </c>
      <c r="S15" s="3">
        <v>4</v>
      </c>
      <c r="T15" s="21" t="str">
        <f t="shared" si="2"/>
        <v>ВВГнг(А)-LS (2х4)</v>
      </c>
      <c r="U15" s="3">
        <v>11.4</v>
      </c>
      <c r="V15" s="3">
        <f t="shared" si="3"/>
        <v>14</v>
      </c>
      <c r="W15" s="3" t="str">
        <f t="shared" si="4"/>
        <v>Ø20</v>
      </c>
      <c r="X15" s="3" t="str">
        <f t="shared" si="5"/>
        <v>Ø20</v>
      </c>
    </row>
    <row r="16" spans="2:32" x14ac:dyDescent="0.3">
      <c r="B16" s="3">
        <v>4</v>
      </c>
      <c r="C16" s="3">
        <v>8.59</v>
      </c>
      <c r="D16" s="3">
        <v>60.129999999999995</v>
      </c>
      <c r="E16" s="3">
        <f t="shared" si="0"/>
        <v>22.740000000000002</v>
      </c>
      <c r="F16" s="3">
        <f t="shared" si="1"/>
        <v>79.59</v>
      </c>
      <c r="G16" s="3">
        <v>0.84200000000000008</v>
      </c>
      <c r="H16" s="3">
        <v>7</v>
      </c>
      <c r="I16" s="3">
        <v>0.84</v>
      </c>
      <c r="J16" s="3">
        <v>3.5</v>
      </c>
      <c r="K16" s="3">
        <v>0.95</v>
      </c>
      <c r="M16" s="3">
        <v>0.2</v>
      </c>
      <c r="N16" s="3">
        <v>65</v>
      </c>
      <c r="O16" s="3">
        <v>2</v>
      </c>
      <c r="Q16" s="3" t="s">
        <v>12</v>
      </c>
      <c r="R16" s="3">
        <v>3</v>
      </c>
      <c r="S16" s="3">
        <v>4</v>
      </c>
      <c r="T16" s="21" t="str">
        <f t="shared" si="2"/>
        <v>ВВГнг(А)-LS (3х4)</v>
      </c>
      <c r="U16" s="3">
        <v>12.1</v>
      </c>
      <c r="V16" s="3">
        <f t="shared" si="3"/>
        <v>14.52</v>
      </c>
      <c r="W16" s="3" t="str">
        <f t="shared" si="4"/>
        <v>Ø20</v>
      </c>
      <c r="X16" s="3" t="str">
        <f t="shared" si="5"/>
        <v>Ø25</v>
      </c>
    </row>
    <row r="17" spans="2:24" x14ac:dyDescent="0.3">
      <c r="B17" s="3">
        <v>5.5</v>
      </c>
      <c r="C17" s="3">
        <v>11.34</v>
      </c>
      <c r="D17" s="3">
        <v>79.38</v>
      </c>
      <c r="E17" s="3">
        <f t="shared" ref="E17" si="6">ROUNDUP(B17/G17/K17/0.22,2)</f>
        <v>30.71</v>
      </c>
      <c r="F17" s="3">
        <f t="shared" ref="F17" si="7">ROUNDUP(E17*J17,2)</f>
        <v>199.62</v>
      </c>
      <c r="G17" s="3">
        <v>0.85699999999999998</v>
      </c>
      <c r="H17" s="3">
        <v>7</v>
      </c>
      <c r="I17" s="3">
        <v>0.86</v>
      </c>
      <c r="J17" s="3">
        <v>6.5</v>
      </c>
      <c r="K17" s="3">
        <v>0.95</v>
      </c>
      <c r="M17" s="3">
        <v>0.25</v>
      </c>
      <c r="N17" s="3">
        <v>65</v>
      </c>
      <c r="O17" s="3">
        <v>2.6</v>
      </c>
      <c r="Q17" s="3" t="s">
        <v>12</v>
      </c>
      <c r="R17" s="3">
        <v>4</v>
      </c>
      <c r="S17" s="3">
        <v>4</v>
      </c>
      <c r="T17" s="21" t="str">
        <f t="shared" si="2"/>
        <v>ВВГнг(А)-LS (4х4)</v>
      </c>
      <c r="U17" s="3">
        <v>13.2</v>
      </c>
      <c r="V17" s="3">
        <f t="shared" si="3"/>
        <v>15.839999999999998</v>
      </c>
      <c r="W17" s="3" t="str">
        <f t="shared" si="4"/>
        <v>Ø25</v>
      </c>
      <c r="X17" s="3" t="str">
        <f t="shared" si="5"/>
        <v>Ø25</v>
      </c>
    </row>
    <row r="18" spans="2:24" x14ac:dyDescent="0.3">
      <c r="B18" s="3">
        <v>7.5</v>
      </c>
      <c r="C18" s="3">
        <v>15.23</v>
      </c>
      <c r="D18" s="3">
        <v>114.26</v>
      </c>
      <c r="E18" s="3"/>
      <c r="F18" s="3"/>
      <c r="G18" s="3">
        <v>0.87</v>
      </c>
      <c r="H18" s="3">
        <v>7.5</v>
      </c>
      <c r="I18" s="3">
        <v>0.86</v>
      </c>
      <c r="J18" s="3"/>
      <c r="K18" s="3"/>
      <c r="M18" s="3">
        <v>0.3</v>
      </c>
      <c r="N18" s="3">
        <v>70</v>
      </c>
      <c r="O18" s="3">
        <v>2.8</v>
      </c>
      <c r="Q18" s="3" t="s">
        <v>12</v>
      </c>
      <c r="R18" s="3">
        <v>5</v>
      </c>
      <c r="S18" s="3">
        <v>4</v>
      </c>
      <c r="T18" s="21" t="str">
        <f t="shared" si="2"/>
        <v>ВВГнг(А)-LS (5х4)</v>
      </c>
      <c r="U18" s="3">
        <v>14.4</v>
      </c>
      <c r="V18" s="3">
        <f t="shared" si="3"/>
        <v>17.28</v>
      </c>
      <c r="W18" s="3" t="str">
        <f t="shared" si="4"/>
        <v>Ø25</v>
      </c>
      <c r="X18" s="3" t="str">
        <f t="shared" si="5"/>
        <v>Ø25</v>
      </c>
    </row>
    <row r="19" spans="2:24" x14ac:dyDescent="0.3">
      <c r="B19" s="3">
        <v>9.1999999999999993</v>
      </c>
      <c r="C19" s="3">
        <v>18.79</v>
      </c>
      <c r="D19" s="3">
        <v>131.53</v>
      </c>
      <c r="E19" s="3"/>
      <c r="F19" s="3"/>
      <c r="G19" s="3">
        <v>0.875</v>
      </c>
      <c r="H19" s="3">
        <v>7</v>
      </c>
      <c r="I19" s="3">
        <v>0.85</v>
      </c>
      <c r="J19" s="3"/>
      <c r="K19" s="3"/>
      <c r="M19" s="3">
        <v>0.4</v>
      </c>
      <c r="N19" s="3">
        <v>70</v>
      </c>
      <c r="O19" s="3">
        <v>3.6</v>
      </c>
      <c r="Q19" s="3" t="s">
        <v>12</v>
      </c>
      <c r="R19" s="3">
        <v>1</v>
      </c>
      <c r="S19" s="3">
        <v>6</v>
      </c>
      <c r="T19" s="21" t="str">
        <f t="shared" si="2"/>
        <v>ВВГнг(А)-LS (1х6)</v>
      </c>
      <c r="U19" s="3">
        <v>7.1</v>
      </c>
      <c r="V19" s="3">
        <f t="shared" si="3"/>
        <v>14</v>
      </c>
      <c r="W19" s="3" t="str">
        <f t="shared" si="4"/>
        <v>Ø20</v>
      </c>
      <c r="X19" s="3" t="str">
        <f t="shared" si="5"/>
        <v>Ø20</v>
      </c>
    </row>
    <row r="20" spans="2:24" x14ac:dyDescent="0.3">
      <c r="B20" s="3">
        <v>11</v>
      </c>
      <c r="C20" s="3">
        <v>22.24</v>
      </c>
      <c r="D20" s="3">
        <v>166.79999999999998</v>
      </c>
      <c r="E20" s="3"/>
      <c r="F20" s="3"/>
      <c r="G20" s="3">
        <v>0.88400000000000001</v>
      </c>
      <c r="H20" s="3">
        <v>7.5</v>
      </c>
      <c r="I20" s="3">
        <v>0.85</v>
      </c>
      <c r="J20" s="3"/>
      <c r="K20" s="3"/>
      <c r="Q20" s="3" t="s">
        <v>12</v>
      </c>
      <c r="R20" s="3">
        <v>2</v>
      </c>
      <c r="S20" s="3">
        <v>6</v>
      </c>
      <c r="T20" s="21" t="str">
        <f t="shared" si="2"/>
        <v>ВВГнг(А)-LS (2х6)</v>
      </c>
      <c r="U20" s="3">
        <v>12.4</v>
      </c>
      <c r="V20" s="3">
        <f t="shared" si="3"/>
        <v>14.879999999999999</v>
      </c>
      <c r="W20" s="3" t="str">
        <f t="shared" si="4"/>
        <v>Ø20</v>
      </c>
      <c r="X20" s="3" t="str">
        <f t="shared" si="5"/>
        <v>Ø25</v>
      </c>
    </row>
    <row r="21" spans="2:24" x14ac:dyDescent="0.3">
      <c r="B21" s="3">
        <v>15</v>
      </c>
      <c r="C21" s="3">
        <v>29.3</v>
      </c>
      <c r="D21" s="3">
        <v>205.1</v>
      </c>
      <c r="E21" s="3"/>
      <c r="F21" s="3"/>
      <c r="G21" s="3">
        <v>0.89400000000000002</v>
      </c>
      <c r="H21" s="3">
        <v>7</v>
      </c>
      <c r="I21" s="3">
        <v>0.87</v>
      </c>
      <c r="J21" s="3"/>
      <c r="K21" s="3"/>
      <c r="Q21" s="3" t="s">
        <v>12</v>
      </c>
      <c r="R21" s="3">
        <v>3</v>
      </c>
      <c r="S21" s="3">
        <v>6</v>
      </c>
      <c r="T21" s="21" t="str">
        <f t="shared" si="2"/>
        <v>ВВГнг(А)-LS (3х6)</v>
      </c>
      <c r="U21" s="3">
        <v>13.1</v>
      </c>
      <c r="V21" s="3">
        <f t="shared" si="3"/>
        <v>15.719999999999999</v>
      </c>
      <c r="W21" s="3" t="str">
        <f t="shared" si="4"/>
        <v>Ø25</v>
      </c>
      <c r="X21" s="3" t="str">
        <f t="shared" si="5"/>
        <v>Ø25</v>
      </c>
    </row>
    <row r="22" spans="2:24" x14ac:dyDescent="0.3">
      <c r="B22" s="3">
        <v>18.5</v>
      </c>
      <c r="C22" s="3">
        <v>35.9</v>
      </c>
      <c r="D22" s="3">
        <v>251.29999999999998</v>
      </c>
      <c r="E22" s="3"/>
      <c r="F22" s="3"/>
      <c r="G22" s="3">
        <v>0.9</v>
      </c>
      <c r="H22" s="3">
        <v>7</v>
      </c>
      <c r="I22" s="3">
        <v>0.87</v>
      </c>
      <c r="J22" s="3"/>
      <c r="K22" s="3"/>
      <c r="Q22" s="3" t="s">
        <v>12</v>
      </c>
      <c r="R22" s="3">
        <v>4</v>
      </c>
      <c r="S22" s="3">
        <v>6</v>
      </c>
      <c r="T22" s="21" t="str">
        <f t="shared" si="2"/>
        <v>ВВГнг(А)-LS (4х6)</v>
      </c>
      <c r="U22" s="3">
        <v>14.4</v>
      </c>
      <c r="V22" s="3">
        <f t="shared" si="3"/>
        <v>17.28</v>
      </c>
      <c r="W22" s="3" t="str">
        <f t="shared" si="4"/>
        <v>Ø25</v>
      </c>
      <c r="X22" s="3" t="str">
        <f t="shared" si="5"/>
        <v>Ø25</v>
      </c>
    </row>
    <row r="23" spans="2:24" x14ac:dyDescent="0.3">
      <c r="B23" s="3">
        <v>22</v>
      </c>
      <c r="C23" s="3">
        <v>42.45</v>
      </c>
      <c r="D23" s="3">
        <v>297.15000000000003</v>
      </c>
      <c r="E23" s="3"/>
      <c r="F23" s="3"/>
      <c r="G23" s="3">
        <v>0.90500000000000003</v>
      </c>
      <c r="H23" s="3">
        <v>7</v>
      </c>
      <c r="I23" s="3">
        <v>0.87</v>
      </c>
      <c r="J23" s="3"/>
      <c r="K23" s="3"/>
      <c r="Q23" s="3" t="s">
        <v>12</v>
      </c>
      <c r="R23" s="3">
        <v>5</v>
      </c>
      <c r="S23" s="3">
        <v>6</v>
      </c>
      <c r="T23" s="21" t="str">
        <f t="shared" si="2"/>
        <v>ВВГнг(А)-LS (5х6)</v>
      </c>
      <c r="U23" s="3">
        <v>15.7</v>
      </c>
      <c r="V23" s="3">
        <f t="shared" si="3"/>
        <v>18.84</v>
      </c>
      <c r="W23" s="3" t="str">
        <f t="shared" si="4"/>
        <v>Ø25</v>
      </c>
      <c r="X23" s="3" t="str">
        <f t="shared" si="5"/>
        <v>Ø32</v>
      </c>
    </row>
    <row r="24" spans="2:24" x14ac:dyDescent="0.3">
      <c r="B24" s="3">
        <v>27</v>
      </c>
      <c r="C24" s="3">
        <v>51.82</v>
      </c>
      <c r="D24" s="3">
        <v>362.74</v>
      </c>
      <c r="E24" s="3"/>
      <c r="F24" s="3"/>
      <c r="G24" s="3">
        <v>0.91</v>
      </c>
      <c r="H24" s="3">
        <v>7</v>
      </c>
      <c r="I24" s="3">
        <v>0.87</v>
      </c>
      <c r="J24" s="3"/>
      <c r="K24" s="3"/>
      <c r="Q24" s="3" t="s">
        <v>145</v>
      </c>
      <c r="R24" s="3">
        <v>1</v>
      </c>
      <c r="S24" s="3">
        <v>1.5</v>
      </c>
      <c r="T24" s="21" t="str">
        <f>Q24&amp;" ("&amp;R24&amp;"х"&amp;S24&amp;")"</f>
        <v>ВВГнг(А)-FRLS (1х1,5)</v>
      </c>
      <c r="U24" s="3">
        <v>7.2</v>
      </c>
      <c r="V24" s="3">
        <f t="shared" si="3"/>
        <v>14</v>
      </c>
      <c r="W24" s="3" t="str">
        <f t="shared" si="4"/>
        <v>Ø20</v>
      </c>
      <c r="X24" s="3" t="str">
        <f t="shared" si="5"/>
        <v>Ø20</v>
      </c>
    </row>
    <row r="25" spans="2:24" x14ac:dyDescent="0.3">
      <c r="B25" s="3">
        <v>30</v>
      </c>
      <c r="C25" s="3">
        <v>56.03</v>
      </c>
      <c r="D25" s="3">
        <v>392.21000000000004</v>
      </c>
      <c r="E25" s="3"/>
      <c r="F25" s="3"/>
      <c r="G25" s="3">
        <v>0.91400000000000003</v>
      </c>
      <c r="H25" s="3">
        <v>7</v>
      </c>
      <c r="I25" s="3">
        <v>0.89</v>
      </c>
      <c r="J25" s="3"/>
      <c r="K25" s="3"/>
      <c r="Q25" s="3" t="s">
        <v>145</v>
      </c>
      <c r="R25" s="3">
        <v>2</v>
      </c>
      <c r="S25" s="3">
        <v>1.5</v>
      </c>
      <c r="T25" s="21" t="str">
        <f t="shared" ref="T25:T43" si="8">Q25&amp;" ("&amp;R25&amp;"х"&amp;S25&amp;")"</f>
        <v>ВВГнг(А)-FRLS (2х1,5)</v>
      </c>
      <c r="U25" s="3">
        <v>14.1</v>
      </c>
      <c r="V25" s="3">
        <f t="shared" si="3"/>
        <v>16.919999999999998</v>
      </c>
      <c r="W25" s="3" t="str">
        <f t="shared" si="4"/>
        <v>Ø25</v>
      </c>
      <c r="X25" s="3" t="str">
        <f t="shared" si="5"/>
        <v>Ø25</v>
      </c>
    </row>
    <row r="26" spans="2:24" x14ac:dyDescent="0.3">
      <c r="B26" s="3">
        <v>37</v>
      </c>
      <c r="C26" s="3">
        <v>68.66</v>
      </c>
      <c r="D26" s="3">
        <v>514.94999999999993</v>
      </c>
      <c r="E26" s="3"/>
      <c r="F26" s="3"/>
      <c r="G26" s="3">
        <v>0.92</v>
      </c>
      <c r="H26" s="3">
        <v>7.5</v>
      </c>
      <c r="I26" s="3">
        <v>0.89</v>
      </c>
      <c r="J26" s="3"/>
      <c r="K26" s="3"/>
      <c r="Q26" s="3" t="s">
        <v>145</v>
      </c>
      <c r="R26" s="3">
        <v>3</v>
      </c>
      <c r="S26" s="3">
        <v>1.5</v>
      </c>
      <c r="T26" s="21" t="str">
        <f t="shared" si="8"/>
        <v>ВВГнг(А)-FRLS (3х1,5)</v>
      </c>
      <c r="U26" s="3">
        <v>14.8</v>
      </c>
      <c r="V26" s="3">
        <f t="shared" si="3"/>
        <v>17.760000000000002</v>
      </c>
      <c r="W26" s="3" t="str">
        <f t="shared" si="4"/>
        <v>Ø25</v>
      </c>
      <c r="X26" s="3" t="str">
        <f t="shared" si="5"/>
        <v>Ø25</v>
      </c>
    </row>
    <row r="27" spans="2:24" x14ac:dyDescent="0.3">
      <c r="B27" s="3">
        <v>45</v>
      </c>
      <c r="C27" s="3">
        <v>83.05</v>
      </c>
      <c r="D27" s="3">
        <v>622.86</v>
      </c>
      <c r="E27" s="3"/>
      <c r="F27" s="3"/>
      <c r="G27" s="3">
        <v>0.92500000000000004</v>
      </c>
      <c r="H27" s="3">
        <v>7.5</v>
      </c>
      <c r="I27" s="3">
        <v>0.89</v>
      </c>
      <c r="J27" s="3"/>
      <c r="K27" s="3"/>
      <c r="Q27" s="3" t="s">
        <v>145</v>
      </c>
      <c r="R27" s="3">
        <v>4</v>
      </c>
      <c r="S27" s="3">
        <v>1.5</v>
      </c>
      <c r="T27" s="21" t="str">
        <f t="shared" si="8"/>
        <v>ВВГнг(А)-FRLS (4х1,5)</v>
      </c>
      <c r="U27" s="3">
        <v>15.9</v>
      </c>
      <c r="V27" s="3">
        <f t="shared" si="3"/>
        <v>19.079999999999998</v>
      </c>
      <c r="W27" s="3" t="str">
        <f t="shared" si="4"/>
        <v>Ø32</v>
      </c>
      <c r="X27" s="3" t="str">
        <f t="shared" si="5"/>
        <v>Ø32</v>
      </c>
    </row>
    <row r="28" spans="2:24" x14ac:dyDescent="0.3">
      <c r="B28" s="3">
        <v>55</v>
      </c>
      <c r="C28" s="3">
        <v>100.96</v>
      </c>
      <c r="D28" s="3">
        <v>706.71999999999991</v>
      </c>
      <c r="E28" s="3"/>
      <c r="F28" s="3"/>
      <c r="G28" s="3">
        <v>0.93</v>
      </c>
      <c r="H28" s="3">
        <v>7</v>
      </c>
      <c r="I28" s="3">
        <v>0.89</v>
      </c>
      <c r="J28" s="3"/>
      <c r="K28" s="3"/>
      <c r="Q28" s="3" t="s">
        <v>145</v>
      </c>
      <c r="R28" s="3">
        <v>5</v>
      </c>
      <c r="S28" s="3">
        <v>1.5</v>
      </c>
      <c r="T28" s="21" t="str">
        <f t="shared" si="8"/>
        <v>ВВГнг(А)-FRLS (5х1,5)</v>
      </c>
      <c r="U28" s="3">
        <v>17.2</v>
      </c>
      <c r="V28" s="3">
        <f t="shared" si="3"/>
        <v>20.639999999999997</v>
      </c>
      <c r="W28" s="3" t="str">
        <f t="shared" si="4"/>
        <v>Ø32</v>
      </c>
      <c r="X28" s="3" t="str">
        <f t="shared" si="5"/>
        <v>Ø32</v>
      </c>
    </row>
    <row r="29" spans="2:24" x14ac:dyDescent="0.3">
      <c r="B29" s="3">
        <v>75</v>
      </c>
      <c r="C29" s="3">
        <v>138.35</v>
      </c>
      <c r="D29" s="3">
        <v>1037.6300000000001</v>
      </c>
      <c r="E29" s="3"/>
      <c r="F29" s="3"/>
      <c r="G29" s="3">
        <v>0.93599999999999994</v>
      </c>
      <c r="H29" s="3">
        <v>7.5</v>
      </c>
      <c r="I29" s="3">
        <v>0.88</v>
      </c>
      <c r="J29" s="3"/>
      <c r="K29" s="3"/>
      <c r="Q29" s="3" t="s">
        <v>145</v>
      </c>
      <c r="R29" s="3">
        <v>1</v>
      </c>
      <c r="S29" s="3">
        <v>2.5</v>
      </c>
      <c r="T29" s="21" t="str">
        <f t="shared" si="8"/>
        <v>ВВГнг(А)-FRLS (1х2,5)</v>
      </c>
      <c r="U29" s="3">
        <v>7.6</v>
      </c>
      <c r="V29" s="3">
        <f t="shared" si="3"/>
        <v>14</v>
      </c>
      <c r="W29" s="3" t="str">
        <f t="shared" si="4"/>
        <v>Ø20</v>
      </c>
      <c r="X29" s="3" t="str">
        <f t="shared" si="5"/>
        <v>Ø20</v>
      </c>
    </row>
    <row r="30" spans="2:24" x14ac:dyDescent="0.3">
      <c r="B30" s="3">
        <v>76</v>
      </c>
      <c r="C30" s="3">
        <v>140.19</v>
      </c>
      <c r="D30" s="3">
        <v>1051.43</v>
      </c>
      <c r="E30" s="3"/>
      <c r="F30" s="3"/>
      <c r="G30" s="3">
        <v>0.93599999999999994</v>
      </c>
      <c r="H30" s="3">
        <v>7.5</v>
      </c>
      <c r="I30" s="3">
        <v>0.88</v>
      </c>
      <c r="J30" s="3"/>
      <c r="K30" s="3"/>
      <c r="Q30" s="3" t="s">
        <v>145</v>
      </c>
      <c r="R30" s="3">
        <v>2</v>
      </c>
      <c r="S30" s="3">
        <v>2.5</v>
      </c>
      <c r="T30" s="21" t="str">
        <f t="shared" si="8"/>
        <v>ВВГнг(А)-FRLS (2х2,5)</v>
      </c>
      <c r="U30" s="3">
        <v>14.9</v>
      </c>
      <c r="V30" s="3">
        <f t="shared" si="3"/>
        <v>17.88</v>
      </c>
      <c r="W30" s="3" t="str">
        <f t="shared" si="4"/>
        <v>Ø25</v>
      </c>
      <c r="X30" s="3" t="str">
        <f t="shared" si="5"/>
        <v>Ø25</v>
      </c>
    </row>
    <row r="31" spans="2:24" x14ac:dyDescent="0.3">
      <c r="B31" s="3">
        <v>90</v>
      </c>
      <c r="C31" s="3">
        <v>163.63</v>
      </c>
      <c r="D31" s="3">
        <v>1227.23</v>
      </c>
      <c r="E31" s="3"/>
      <c r="F31" s="3"/>
      <c r="G31" s="3">
        <v>0.93900000000000006</v>
      </c>
      <c r="H31" s="3">
        <v>7.5</v>
      </c>
      <c r="I31" s="3">
        <v>0.89</v>
      </c>
      <c r="J31" s="3"/>
      <c r="K31" s="3"/>
      <c r="Q31" s="3" t="s">
        <v>145</v>
      </c>
      <c r="R31" s="3">
        <v>3</v>
      </c>
      <c r="S31" s="3">
        <v>2.5</v>
      </c>
      <c r="T31" s="21" t="str">
        <f t="shared" si="8"/>
        <v>ВВГнг(А)-FRLS (3х2,5)</v>
      </c>
      <c r="U31" s="3">
        <v>15.6</v>
      </c>
      <c r="V31" s="3">
        <f t="shared" si="3"/>
        <v>18.72</v>
      </c>
      <c r="W31" s="3" t="str">
        <f t="shared" si="4"/>
        <v>Ø25</v>
      </c>
      <c r="X31" s="3" t="str">
        <f t="shared" si="5"/>
        <v>Ø32</v>
      </c>
    </row>
    <row r="32" spans="2:24" x14ac:dyDescent="0.3">
      <c r="B32" s="3">
        <v>110</v>
      </c>
      <c r="C32" s="3">
        <v>198.72</v>
      </c>
      <c r="D32" s="3">
        <v>1291.68</v>
      </c>
      <c r="E32" s="3"/>
      <c r="F32" s="3"/>
      <c r="G32" s="3">
        <v>0.94499999999999995</v>
      </c>
      <c r="H32" s="3">
        <v>6.5</v>
      </c>
      <c r="I32" s="3">
        <v>0.89</v>
      </c>
      <c r="J32" s="3"/>
      <c r="K32" s="3"/>
      <c r="Q32" s="3" t="s">
        <v>145</v>
      </c>
      <c r="R32" s="3">
        <v>4</v>
      </c>
      <c r="S32" s="3">
        <v>2.5</v>
      </c>
      <c r="T32" s="21" t="str">
        <f t="shared" si="8"/>
        <v>ВВГнг(А)-FRLS (4х2,5)</v>
      </c>
      <c r="U32" s="3">
        <v>16.8</v>
      </c>
      <c r="V32" s="3">
        <f t="shared" si="3"/>
        <v>20.16</v>
      </c>
      <c r="W32" s="3" t="str">
        <f t="shared" si="4"/>
        <v>Ø32</v>
      </c>
      <c r="X32" s="3" t="str">
        <f t="shared" si="5"/>
        <v>Ø32</v>
      </c>
    </row>
    <row r="33" spans="2:24" x14ac:dyDescent="0.3">
      <c r="B33" s="3">
        <v>132</v>
      </c>
      <c r="C33" s="3">
        <v>237.71</v>
      </c>
      <c r="D33" s="3">
        <v>1545.12</v>
      </c>
      <c r="E33" s="3"/>
      <c r="F33" s="3"/>
      <c r="G33" s="3">
        <v>0.94799999999999995</v>
      </c>
      <c r="H33" s="3">
        <v>6.5</v>
      </c>
      <c r="I33" s="3">
        <v>0.89</v>
      </c>
      <c r="J33" s="3"/>
      <c r="K33" s="3"/>
      <c r="Q33" s="3" t="s">
        <v>145</v>
      </c>
      <c r="R33" s="3">
        <v>5</v>
      </c>
      <c r="S33" s="3">
        <v>2.5</v>
      </c>
      <c r="T33" s="21" t="str">
        <f t="shared" si="8"/>
        <v>ВВГнг(А)-FRLS (5х2,5)</v>
      </c>
      <c r="U33" s="3">
        <v>18.2</v>
      </c>
      <c r="V33" s="3">
        <f t="shared" si="3"/>
        <v>21.84</v>
      </c>
      <c r="W33" s="3" t="str">
        <f t="shared" si="4"/>
        <v>Ø32</v>
      </c>
      <c r="X33" s="3" t="str">
        <f t="shared" si="5"/>
        <v>Ø32</v>
      </c>
    </row>
    <row r="34" spans="2:24" x14ac:dyDescent="0.3">
      <c r="B34" s="3">
        <v>160</v>
      </c>
      <c r="C34" s="3">
        <v>281.5</v>
      </c>
      <c r="D34" s="3">
        <v>1548.25</v>
      </c>
      <c r="E34" s="3"/>
      <c r="F34" s="3"/>
      <c r="G34" s="3">
        <v>0.94900000000000007</v>
      </c>
      <c r="H34" s="3">
        <v>5.5</v>
      </c>
      <c r="I34" s="3">
        <v>0.91</v>
      </c>
      <c r="J34" s="3"/>
      <c r="K34" s="3"/>
      <c r="Q34" s="3" t="s">
        <v>145</v>
      </c>
      <c r="R34" s="3">
        <v>1</v>
      </c>
      <c r="S34" s="3">
        <v>4</v>
      </c>
      <c r="T34" s="21" t="str">
        <f t="shared" si="8"/>
        <v>ВВГнг(А)-FRLS (1х4)</v>
      </c>
      <c r="U34" s="3">
        <v>8.5</v>
      </c>
      <c r="V34" s="3">
        <f t="shared" si="3"/>
        <v>14</v>
      </c>
      <c r="W34" s="3" t="str">
        <f t="shared" si="4"/>
        <v>Ø20</v>
      </c>
      <c r="X34" s="3" t="str">
        <f t="shared" si="5"/>
        <v>Ø20</v>
      </c>
    </row>
    <row r="35" spans="2:24" x14ac:dyDescent="0.3">
      <c r="B35" s="3">
        <v>200</v>
      </c>
      <c r="C35" s="3">
        <v>348.05</v>
      </c>
      <c r="D35" s="3">
        <v>1914.26</v>
      </c>
      <c r="E35" s="3"/>
      <c r="F35" s="3"/>
      <c r="G35" s="3">
        <v>0.94900000000000007</v>
      </c>
      <c r="H35" s="3">
        <v>5.5</v>
      </c>
      <c r="I35" s="3">
        <v>0.92</v>
      </c>
      <c r="J35" s="3"/>
      <c r="K35" s="3"/>
      <c r="Q35" s="3" t="s">
        <v>145</v>
      </c>
      <c r="R35" s="3">
        <v>2</v>
      </c>
      <c r="S35" s="3">
        <v>4</v>
      </c>
      <c r="T35" s="21" t="str">
        <f t="shared" si="8"/>
        <v>ВВГнг(А)-FRLS (2х4)</v>
      </c>
      <c r="U35" s="3">
        <v>16.600000000000001</v>
      </c>
      <c r="V35" s="3">
        <f t="shared" si="3"/>
        <v>19.920000000000002</v>
      </c>
      <c r="W35" s="3" t="str">
        <f t="shared" si="4"/>
        <v>Ø32</v>
      </c>
      <c r="X35" s="3" t="str">
        <f t="shared" si="5"/>
        <v>Ø32</v>
      </c>
    </row>
    <row r="36" spans="2:24" x14ac:dyDescent="0.3">
      <c r="B36" s="3">
        <v>250</v>
      </c>
      <c r="C36" s="3">
        <v>433.69</v>
      </c>
      <c r="D36" s="3">
        <v>2992.46</v>
      </c>
      <c r="E36" s="3"/>
      <c r="F36" s="3"/>
      <c r="G36" s="3">
        <v>0.95200000000000007</v>
      </c>
      <c r="H36" s="3">
        <v>6.9</v>
      </c>
      <c r="I36" s="3">
        <v>0.92</v>
      </c>
      <c r="J36" s="3"/>
      <c r="K36" s="3"/>
      <c r="Q36" s="3" t="s">
        <v>145</v>
      </c>
      <c r="R36" s="3">
        <v>3</v>
      </c>
      <c r="S36" s="3">
        <v>4</v>
      </c>
      <c r="T36" s="21" t="str">
        <f t="shared" si="8"/>
        <v>ВВГнг(А)-FRLS (3х4)</v>
      </c>
      <c r="U36" s="3">
        <v>17.5</v>
      </c>
      <c r="V36" s="3">
        <f t="shared" si="3"/>
        <v>21</v>
      </c>
      <c r="W36" s="3" t="str">
        <f t="shared" si="4"/>
        <v>Ø32</v>
      </c>
      <c r="X36" s="3" t="str">
        <f t="shared" si="5"/>
        <v>Ø32</v>
      </c>
    </row>
    <row r="37" spans="2:24" x14ac:dyDescent="0.3">
      <c r="B37" s="3">
        <v>315</v>
      </c>
      <c r="C37" s="3">
        <v>546.45000000000005</v>
      </c>
      <c r="D37" s="3">
        <v>3770.51</v>
      </c>
      <c r="E37" s="3"/>
      <c r="F37" s="3"/>
      <c r="G37" s="3">
        <v>0.95200000000000007</v>
      </c>
      <c r="H37" s="3">
        <v>6.9</v>
      </c>
      <c r="I37" s="3">
        <v>0.92</v>
      </c>
      <c r="J37" s="3"/>
      <c r="K37" s="3"/>
      <c r="Q37" s="3" t="s">
        <v>145</v>
      </c>
      <c r="R37" s="3">
        <v>4</v>
      </c>
      <c r="S37" s="3">
        <v>4</v>
      </c>
      <c r="T37" s="21" t="str">
        <f t="shared" si="8"/>
        <v>ВВГнг(А)-FRLS (4х4)</v>
      </c>
      <c r="U37" s="3">
        <v>18.899999999999999</v>
      </c>
      <c r="V37" s="3">
        <f t="shared" si="3"/>
        <v>22.679999999999996</v>
      </c>
      <c r="W37" s="3" t="str">
        <f t="shared" si="4"/>
        <v>Ø32</v>
      </c>
      <c r="X37" s="3" t="str">
        <f t="shared" si="5"/>
        <v>Ø32</v>
      </c>
    </row>
    <row r="38" spans="2:24" x14ac:dyDescent="0.3">
      <c r="Q38" s="3" t="s">
        <v>145</v>
      </c>
      <c r="R38" s="3">
        <v>5</v>
      </c>
      <c r="S38" s="3">
        <v>4</v>
      </c>
      <c r="T38" s="21" t="str">
        <f t="shared" si="8"/>
        <v>ВВГнг(А)-FRLS (5х4)</v>
      </c>
      <c r="U38" s="3">
        <v>20.6</v>
      </c>
      <c r="V38" s="3">
        <f t="shared" si="3"/>
        <v>24.720000000000002</v>
      </c>
      <c r="W38" s="3" t="str">
        <f t="shared" si="4"/>
        <v>Ø32</v>
      </c>
      <c r="X38" s="3" t="str">
        <f t="shared" si="5"/>
        <v>Ø40</v>
      </c>
    </row>
    <row r="39" spans="2:24" x14ac:dyDescent="0.3">
      <c r="Q39" s="3" t="s">
        <v>145</v>
      </c>
      <c r="R39" s="3">
        <v>1</v>
      </c>
      <c r="S39" s="3">
        <v>6</v>
      </c>
      <c r="T39" s="21" t="str">
        <f t="shared" si="8"/>
        <v>ВВГнг(А)-FRLS (1х6)</v>
      </c>
      <c r="U39" s="3">
        <v>9.1999999999999993</v>
      </c>
      <c r="V39" s="3">
        <f t="shared" si="3"/>
        <v>14</v>
      </c>
      <c r="W39" s="3" t="str">
        <f t="shared" si="4"/>
        <v>Ø20</v>
      </c>
      <c r="X39" s="3" t="str">
        <f t="shared" si="5"/>
        <v>Ø20</v>
      </c>
    </row>
    <row r="40" spans="2:24" x14ac:dyDescent="0.3">
      <c r="Q40" s="3" t="s">
        <v>145</v>
      </c>
      <c r="R40" s="3">
        <v>2</v>
      </c>
      <c r="S40" s="3">
        <v>6</v>
      </c>
      <c r="T40" s="21" t="str">
        <f t="shared" si="8"/>
        <v>ВВГнг(А)-FRLS (2х6)</v>
      </c>
      <c r="U40" s="3">
        <v>17.600000000000001</v>
      </c>
      <c r="V40" s="3">
        <f t="shared" si="3"/>
        <v>21.12</v>
      </c>
      <c r="W40" s="3" t="str">
        <f t="shared" si="4"/>
        <v>Ø32</v>
      </c>
      <c r="X40" s="3" t="str">
        <f t="shared" si="5"/>
        <v>Ø32</v>
      </c>
    </row>
    <row r="41" spans="2:24" x14ac:dyDescent="0.3">
      <c r="Q41" s="3" t="s">
        <v>145</v>
      </c>
      <c r="R41" s="3">
        <v>3</v>
      </c>
      <c r="S41" s="3">
        <v>6</v>
      </c>
      <c r="T41" s="21" t="str">
        <f t="shared" si="8"/>
        <v>ВВГнг(А)-FRLS (3х6)</v>
      </c>
      <c r="U41" s="3">
        <v>18.5</v>
      </c>
      <c r="V41" s="3">
        <f t="shared" si="3"/>
        <v>22.2</v>
      </c>
      <c r="W41" s="3" t="str">
        <f t="shared" si="4"/>
        <v>Ø32</v>
      </c>
      <c r="X41" s="3" t="str">
        <f t="shared" si="5"/>
        <v>Ø32</v>
      </c>
    </row>
    <row r="42" spans="2:24" x14ac:dyDescent="0.3">
      <c r="Q42" s="3" t="s">
        <v>145</v>
      </c>
      <c r="R42" s="3">
        <v>4</v>
      </c>
      <c r="S42" s="3">
        <v>6</v>
      </c>
      <c r="T42" s="21" t="str">
        <f t="shared" si="8"/>
        <v>ВВГнг(А)-FRLS (4х6)</v>
      </c>
      <c r="U42" s="3">
        <v>20.100000000000001</v>
      </c>
      <c r="V42" s="3">
        <f t="shared" si="3"/>
        <v>24.12</v>
      </c>
      <c r="W42" s="3" t="str">
        <f t="shared" si="4"/>
        <v>Ø32</v>
      </c>
      <c r="X42" s="3" t="str">
        <f t="shared" si="5"/>
        <v>Ø32</v>
      </c>
    </row>
    <row r="43" spans="2:24" x14ac:dyDescent="0.3">
      <c r="Q43" s="3" t="s">
        <v>145</v>
      </c>
      <c r="R43" s="3">
        <v>5</v>
      </c>
      <c r="S43" s="3">
        <v>6</v>
      </c>
      <c r="T43" s="21" t="str">
        <f t="shared" si="8"/>
        <v>ВВГнг(А)-FRLS (5х6)</v>
      </c>
      <c r="U43" s="3">
        <v>21.9</v>
      </c>
      <c r="V43" s="3">
        <f t="shared" si="3"/>
        <v>26.279999999999998</v>
      </c>
      <c r="W43" s="3" t="str">
        <f t="shared" si="4"/>
        <v>Ø40</v>
      </c>
      <c r="X43" s="3" t="str">
        <f t="shared" si="5"/>
        <v>Ø40</v>
      </c>
    </row>
    <row r="44" spans="2:24" x14ac:dyDescent="0.3">
      <c r="Q44" s="3" t="s">
        <v>141</v>
      </c>
      <c r="R44" s="3">
        <v>1</v>
      </c>
      <c r="S44" s="3">
        <v>1.5</v>
      </c>
      <c r="T44" s="21" t="str">
        <f>Q44&amp;" ("&amp;R44&amp;"х"&amp;S44&amp;")"</f>
        <v>ППГнг(А)-HF (1х1,5)</v>
      </c>
      <c r="U44" s="3">
        <v>5.5</v>
      </c>
      <c r="V44" s="3">
        <f t="shared" si="3"/>
        <v>14</v>
      </c>
      <c r="W44" s="3" t="str">
        <f t="shared" si="4"/>
        <v>Ø20</v>
      </c>
      <c r="X44" s="3" t="str">
        <f t="shared" si="5"/>
        <v>Ø20</v>
      </c>
    </row>
    <row r="45" spans="2:24" x14ac:dyDescent="0.3">
      <c r="Q45" s="3" t="s">
        <v>141</v>
      </c>
      <c r="R45" s="3">
        <v>2</v>
      </c>
      <c r="S45" s="3">
        <v>1.5</v>
      </c>
      <c r="T45" s="21" t="str">
        <f t="shared" ref="T45:T63" si="9">Q45&amp;" ("&amp;R45&amp;"х"&amp;S45&amp;")"</f>
        <v>ППГнг(А)-HF (2х1,5)</v>
      </c>
      <c r="U45" s="3">
        <v>9</v>
      </c>
      <c r="V45" s="3">
        <f t="shared" si="3"/>
        <v>14</v>
      </c>
      <c r="W45" s="3" t="str">
        <f t="shared" si="4"/>
        <v>Ø20</v>
      </c>
      <c r="X45" s="3" t="str">
        <f t="shared" si="5"/>
        <v>Ø20</v>
      </c>
    </row>
    <row r="46" spans="2:24" x14ac:dyDescent="0.3">
      <c r="Q46" s="3" t="s">
        <v>141</v>
      </c>
      <c r="R46" s="3">
        <v>3</v>
      </c>
      <c r="S46" s="3">
        <v>1.5</v>
      </c>
      <c r="T46" s="21" t="str">
        <f t="shared" si="9"/>
        <v>ППГнг(А)-HF (3х1,5)</v>
      </c>
      <c r="U46" s="3">
        <v>9.4</v>
      </c>
      <c r="V46" s="3">
        <f t="shared" si="3"/>
        <v>14</v>
      </c>
      <c r="W46" s="3" t="str">
        <f t="shared" si="4"/>
        <v>Ø20</v>
      </c>
      <c r="X46" s="3" t="str">
        <f t="shared" si="5"/>
        <v>Ø20</v>
      </c>
    </row>
    <row r="47" spans="2:24" x14ac:dyDescent="0.3">
      <c r="Q47" s="3" t="s">
        <v>141</v>
      </c>
      <c r="R47" s="3">
        <v>4</v>
      </c>
      <c r="S47" s="3">
        <v>1.5</v>
      </c>
      <c r="T47" s="21" t="str">
        <f t="shared" si="9"/>
        <v>ППГнг(А)-HF (4х1,5)</v>
      </c>
      <c r="U47" s="3">
        <v>10.1</v>
      </c>
      <c r="V47" s="3">
        <f t="shared" si="3"/>
        <v>14</v>
      </c>
      <c r="W47" s="3" t="str">
        <f t="shared" si="4"/>
        <v>Ø20</v>
      </c>
      <c r="X47" s="3" t="str">
        <f t="shared" si="5"/>
        <v>Ø20</v>
      </c>
    </row>
    <row r="48" spans="2:24" x14ac:dyDescent="0.3">
      <c r="Q48" s="3" t="s">
        <v>141</v>
      </c>
      <c r="R48" s="3">
        <v>5</v>
      </c>
      <c r="S48" s="3">
        <v>1.5</v>
      </c>
      <c r="T48" s="21" t="str">
        <f t="shared" si="9"/>
        <v>ППГнг(А)-HF (5х1,5)</v>
      </c>
      <c r="U48" s="3">
        <v>10.8</v>
      </c>
      <c r="V48" s="3">
        <f t="shared" si="3"/>
        <v>14</v>
      </c>
      <c r="W48" s="3" t="str">
        <f t="shared" si="4"/>
        <v>Ø20</v>
      </c>
      <c r="X48" s="3" t="str">
        <f t="shared" si="5"/>
        <v>Ø20</v>
      </c>
    </row>
    <row r="49" spans="17:24" x14ac:dyDescent="0.3">
      <c r="Q49" s="3" t="s">
        <v>141</v>
      </c>
      <c r="R49" s="3">
        <v>1</v>
      </c>
      <c r="S49" s="3">
        <v>2.5</v>
      </c>
      <c r="T49" s="21" t="str">
        <f t="shared" si="9"/>
        <v>ППГнг(А)-HF (1х2,5)</v>
      </c>
      <c r="U49" s="3">
        <v>5.9</v>
      </c>
      <c r="V49" s="3">
        <f t="shared" si="3"/>
        <v>14</v>
      </c>
      <c r="W49" s="3" t="str">
        <f t="shared" si="4"/>
        <v>Ø20</v>
      </c>
      <c r="X49" s="3" t="str">
        <f t="shared" si="5"/>
        <v>Ø20</v>
      </c>
    </row>
    <row r="50" spans="17:24" x14ac:dyDescent="0.3">
      <c r="Q50" s="3" t="s">
        <v>141</v>
      </c>
      <c r="R50" s="3">
        <v>2</v>
      </c>
      <c r="S50" s="3">
        <v>2.5</v>
      </c>
      <c r="T50" s="21" t="str">
        <f t="shared" si="9"/>
        <v>ППГнг(А)-HF (2х2,5)</v>
      </c>
      <c r="U50" s="3">
        <v>9.6999999999999993</v>
      </c>
      <c r="V50" s="3">
        <f t="shared" si="3"/>
        <v>14</v>
      </c>
      <c r="W50" s="3" t="str">
        <f t="shared" si="4"/>
        <v>Ø20</v>
      </c>
      <c r="X50" s="3" t="str">
        <f t="shared" si="5"/>
        <v>Ø20</v>
      </c>
    </row>
    <row r="51" spans="17:24" x14ac:dyDescent="0.3">
      <c r="Q51" s="3" t="s">
        <v>141</v>
      </c>
      <c r="R51" s="3">
        <v>3</v>
      </c>
      <c r="S51" s="3">
        <v>2.5</v>
      </c>
      <c r="T51" s="21" t="str">
        <f t="shared" si="9"/>
        <v>ППГнг(А)-HF (3х2,5)</v>
      </c>
      <c r="U51" s="3">
        <v>10.199999999999999</v>
      </c>
      <c r="V51" s="3">
        <f t="shared" si="3"/>
        <v>14</v>
      </c>
      <c r="W51" s="3" t="str">
        <f t="shared" si="4"/>
        <v>Ø20</v>
      </c>
      <c r="X51" s="3" t="str">
        <f t="shared" si="5"/>
        <v>Ø20</v>
      </c>
    </row>
    <row r="52" spans="17:24" x14ac:dyDescent="0.3">
      <c r="Q52" s="3" t="s">
        <v>141</v>
      </c>
      <c r="R52" s="3">
        <v>4</v>
      </c>
      <c r="S52" s="3">
        <v>2.5</v>
      </c>
      <c r="T52" s="21" t="str">
        <f t="shared" si="9"/>
        <v>ППГнг(А)-HF (4х2,5)</v>
      </c>
      <c r="U52" s="3">
        <v>11</v>
      </c>
      <c r="V52" s="3">
        <f t="shared" si="3"/>
        <v>14</v>
      </c>
      <c r="W52" s="3" t="str">
        <f t="shared" si="4"/>
        <v>Ø20</v>
      </c>
      <c r="X52" s="3" t="str">
        <f t="shared" si="5"/>
        <v>Ø20</v>
      </c>
    </row>
    <row r="53" spans="17:24" x14ac:dyDescent="0.3">
      <c r="Q53" s="3" t="s">
        <v>141</v>
      </c>
      <c r="R53" s="3">
        <v>5</v>
      </c>
      <c r="S53" s="3">
        <v>2.5</v>
      </c>
      <c r="T53" s="21" t="str">
        <f t="shared" si="9"/>
        <v>ППГнг(А)-HF (5х2,5)</v>
      </c>
      <c r="U53" s="3">
        <v>11.9</v>
      </c>
      <c r="V53" s="3">
        <f t="shared" si="3"/>
        <v>14.28</v>
      </c>
      <c r="W53" s="3" t="str">
        <f t="shared" si="4"/>
        <v>Ø20</v>
      </c>
      <c r="X53" s="3" t="str">
        <f t="shared" si="5"/>
        <v>Ø20</v>
      </c>
    </row>
    <row r="54" spans="17:24" x14ac:dyDescent="0.3">
      <c r="Q54" s="3" t="s">
        <v>141</v>
      </c>
      <c r="R54" s="3">
        <v>1</v>
      </c>
      <c r="S54" s="3">
        <v>4</v>
      </c>
      <c r="T54" s="21" t="str">
        <f t="shared" si="9"/>
        <v>ППГнг(А)-HF (1х4)</v>
      </c>
      <c r="U54" s="3">
        <v>6.5</v>
      </c>
      <c r="V54" s="3">
        <f t="shared" si="3"/>
        <v>14</v>
      </c>
      <c r="W54" s="3" t="str">
        <f t="shared" si="4"/>
        <v>Ø20</v>
      </c>
      <c r="X54" s="3" t="str">
        <f t="shared" si="5"/>
        <v>Ø20</v>
      </c>
    </row>
    <row r="55" spans="17:24" x14ac:dyDescent="0.3">
      <c r="Q55" s="3" t="s">
        <v>141</v>
      </c>
      <c r="R55" s="3">
        <v>2</v>
      </c>
      <c r="S55" s="3">
        <v>4</v>
      </c>
      <c r="T55" s="21" t="str">
        <f t="shared" si="9"/>
        <v>ППГнг(А)-HF (2х4)</v>
      </c>
      <c r="U55" s="3">
        <v>11.1</v>
      </c>
      <c r="V55" s="3">
        <f t="shared" si="3"/>
        <v>14</v>
      </c>
      <c r="W55" s="3" t="str">
        <f t="shared" si="4"/>
        <v>Ø20</v>
      </c>
      <c r="X55" s="3" t="str">
        <f t="shared" si="5"/>
        <v>Ø20</v>
      </c>
    </row>
    <row r="56" spans="17:24" x14ac:dyDescent="0.3">
      <c r="Q56" s="3" t="s">
        <v>141</v>
      </c>
      <c r="R56" s="3">
        <v>3</v>
      </c>
      <c r="S56" s="3">
        <v>4</v>
      </c>
      <c r="T56" s="21" t="str">
        <f t="shared" si="9"/>
        <v>ППГнг(А)-HF (3х4)</v>
      </c>
      <c r="U56" s="3">
        <v>11.6</v>
      </c>
      <c r="V56" s="3">
        <f t="shared" si="3"/>
        <v>14</v>
      </c>
      <c r="W56" s="3" t="str">
        <f t="shared" si="4"/>
        <v>Ø20</v>
      </c>
      <c r="X56" s="3" t="str">
        <f t="shared" si="5"/>
        <v>Ø20</v>
      </c>
    </row>
    <row r="57" spans="17:24" x14ac:dyDescent="0.3">
      <c r="Q57" s="3" t="s">
        <v>141</v>
      </c>
      <c r="R57" s="3">
        <v>4</v>
      </c>
      <c r="S57" s="3">
        <v>4</v>
      </c>
      <c r="T57" s="21" t="str">
        <f t="shared" si="9"/>
        <v>ППГнг(А)-HF (4х4)</v>
      </c>
      <c r="U57" s="3">
        <v>12.6</v>
      </c>
      <c r="V57" s="3">
        <f t="shared" si="3"/>
        <v>15.12</v>
      </c>
      <c r="W57" s="3" t="str">
        <f t="shared" si="4"/>
        <v>Ø25</v>
      </c>
      <c r="X57" s="3" t="str">
        <f t="shared" si="5"/>
        <v>Ø25</v>
      </c>
    </row>
    <row r="58" spans="17:24" x14ac:dyDescent="0.3">
      <c r="Q58" s="3" t="s">
        <v>141</v>
      </c>
      <c r="R58" s="3">
        <v>5</v>
      </c>
      <c r="S58" s="3">
        <v>4</v>
      </c>
      <c r="T58" s="21" t="str">
        <f t="shared" si="9"/>
        <v>ППГнг(А)-HF (5х4)</v>
      </c>
      <c r="U58" s="3">
        <v>13.7</v>
      </c>
      <c r="V58" s="3">
        <f t="shared" si="3"/>
        <v>16.439999999999998</v>
      </c>
      <c r="W58" s="3" t="str">
        <f t="shared" si="4"/>
        <v>Ø25</v>
      </c>
      <c r="X58" s="3" t="str">
        <f t="shared" si="5"/>
        <v>Ø25</v>
      </c>
    </row>
    <row r="59" spans="17:24" x14ac:dyDescent="0.3">
      <c r="Q59" s="3" t="s">
        <v>141</v>
      </c>
      <c r="R59" s="3">
        <v>1</v>
      </c>
      <c r="S59" s="3">
        <v>6</v>
      </c>
      <c r="T59" s="21" t="str">
        <f t="shared" si="9"/>
        <v>ППГнг(А)-HF (1х6)</v>
      </c>
      <c r="U59" s="3">
        <v>7</v>
      </c>
      <c r="V59" s="3">
        <f t="shared" si="3"/>
        <v>14</v>
      </c>
      <c r="W59" s="3" t="str">
        <f t="shared" si="4"/>
        <v>Ø20</v>
      </c>
      <c r="X59" s="3" t="str">
        <f t="shared" si="5"/>
        <v>Ø20</v>
      </c>
    </row>
    <row r="60" spans="17:24" x14ac:dyDescent="0.3">
      <c r="Q60" s="3" t="s">
        <v>141</v>
      </c>
      <c r="R60" s="3">
        <v>2</v>
      </c>
      <c r="S60" s="3">
        <v>6</v>
      </c>
      <c r="T60" s="21" t="str">
        <f t="shared" si="9"/>
        <v>ППГнг(А)-HF (2х6)</v>
      </c>
      <c r="U60" s="3">
        <v>12.1</v>
      </c>
      <c r="V60" s="3">
        <f t="shared" si="3"/>
        <v>14.52</v>
      </c>
      <c r="W60" s="3" t="str">
        <f t="shared" si="4"/>
        <v>Ø20</v>
      </c>
      <c r="X60" s="3" t="str">
        <f t="shared" si="5"/>
        <v>Ø25</v>
      </c>
    </row>
    <row r="61" spans="17:24" x14ac:dyDescent="0.3">
      <c r="Q61" s="3" t="s">
        <v>141</v>
      </c>
      <c r="R61" s="3">
        <v>3</v>
      </c>
      <c r="S61" s="3">
        <v>6</v>
      </c>
      <c r="T61" s="21" t="str">
        <f t="shared" si="9"/>
        <v>ППГнг(А)-HF (3х6)</v>
      </c>
      <c r="U61" s="3">
        <v>12.7</v>
      </c>
      <c r="V61" s="3">
        <f t="shared" si="3"/>
        <v>15.239999999999998</v>
      </c>
      <c r="W61" s="3" t="str">
        <f t="shared" si="4"/>
        <v>Ø25</v>
      </c>
      <c r="X61" s="3" t="str">
        <f t="shared" si="5"/>
        <v>Ø25</v>
      </c>
    </row>
    <row r="62" spans="17:24" x14ac:dyDescent="0.3">
      <c r="Q62" s="3" t="s">
        <v>141</v>
      </c>
      <c r="R62" s="3">
        <v>4</v>
      </c>
      <c r="S62" s="3">
        <v>6</v>
      </c>
      <c r="T62" s="21" t="str">
        <f t="shared" si="9"/>
        <v>ППГнг(А)-HF (4х6)</v>
      </c>
      <c r="U62" s="3">
        <v>13.8</v>
      </c>
      <c r="V62" s="3">
        <f t="shared" si="3"/>
        <v>16.559999999999999</v>
      </c>
      <c r="W62" s="3" t="str">
        <f t="shared" si="4"/>
        <v>Ø25</v>
      </c>
      <c r="X62" s="3" t="str">
        <f t="shared" si="5"/>
        <v>Ø25</v>
      </c>
    </row>
    <row r="63" spans="17:24" x14ac:dyDescent="0.3">
      <c r="Q63" s="3" t="s">
        <v>141</v>
      </c>
      <c r="R63" s="3">
        <v>5</v>
      </c>
      <c r="S63" s="3">
        <v>6</v>
      </c>
      <c r="T63" s="21" t="str">
        <f t="shared" si="9"/>
        <v>ППГнг(А)-HF (5х6)</v>
      </c>
      <c r="U63" s="3">
        <v>15</v>
      </c>
      <c r="V63" s="3">
        <f t="shared" si="3"/>
        <v>18</v>
      </c>
      <c r="W63" s="3" t="str">
        <f t="shared" si="4"/>
        <v>Ø25</v>
      </c>
      <c r="X63" s="3" t="str">
        <f t="shared" si="5"/>
        <v>Ø25</v>
      </c>
    </row>
    <row r="64" spans="17:24" x14ac:dyDescent="0.3">
      <c r="Q64" s="3" t="s">
        <v>139</v>
      </c>
      <c r="R64" s="3">
        <v>1</v>
      </c>
      <c r="S64" s="3">
        <v>1.5</v>
      </c>
      <c r="T64" s="21" t="str">
        <f>Q64&amp;" ("&amp;R64&amp;"х"&amp;S64&amp;")"</f>
        <v>ППГнг(А)-FRHF (1х1,5)</v>
      </c>
      <c r="U64" s="3">
        <v>6.5</v>
      </c>
      <c r="V64" s="3">
        <f t="shared" si="3"/>
        <v>14</v>
      </c>
      <c r="W64" s="3" t="str">
        <f t="shared" si="4"/>
        <v>Ø20</v>
      </c>
      <c r="X64" s="3" t="str">
        <f t="shared" si="5"/>
        <v>Ø20</v>
      </c>
    </row>
    <row r="65" spans="17:24" x14ac:dyDescent="0.3">
      <c r="Q65" s="3" t="s">
        <v>139</v>
      </c>
      <c r="R65" s="3">
        <v>2</v>
      </c>
      <c r="S65" s="3">
        <v>1.5</v>
      </c>
      <c r="T65" s="21" t="str">
        <f t="shared" ref="T65:T91" si="10">Q65&amp;" ("&amp;R65&amp;"х"&amp;S65&amp;")"</f>
        <v>ППГнг(А)-FRHF (2х1,5)</v>
      </c>
      <c r="U65" s="3">
        <v>10.3</v>
      </c>
      <c r="V65" s="3">
        <f t="shared" si="3"/>
        <v>14</v>
      </c>
      <c r="W65" s="3" t="str">
        <f t="shared" si="4"/>
        <v>Ø20</v>
      </c>
      <c r="X65" s="3" t="str">
        <f t="shared" si="5"/>
        <v>Ø20</v>
      </c>
    </row>
    <row r="66" spans="17:24" x14ac:dyDescent="0.3">
      <c r="Q66" s="3" t="s">
        <v>139</v>
      </c>
      <c r="R66" s="3">
        <v>3</v>
      </c>
      <c r="S66" s="3">
        <v>1.5</v>
      </c>
      <c r="T66" s="21" t="str">
        <f t="shared" si="10"/>
        <v>ППГнг(А)-FRHF (3х1,5)</v>
      </c>
      <c r="U66" s="3">
        <v>10.8</v>
      </c>
      <c r="V66" s="3">
        <f t="shared" si="3"/>
        <v>14</v>
      </c>
      <c r="W66" s="3" t="str">
        <f t="shared" si="4"/>
        <v>Ø20</v>
      </c>
      <c r="X66" s="3" t="str">
        <f t="shared" si="5"/>
        <v>Ø20</v>
      </c>
    </row>
    <row r="67" spans="17:24" x14ac:dyDescent="0.3">
      <c r="Q67" s="3" t="s">
        <v>139</v>
      </c>
      <c r="R67" s="3">
        <v>4</v>
      </c>
      <c r="S67" s="3">
        <v>1.5</v>
      </c>
      <c r="T67" s="21" t="str">
        <f t="shared" si="10"/>
        <v>ППГнг(А)-FRHF (4х1,5)</v>
      </c>
      <c r="U67" s="3">
        <v>11.7</v>
      </c>
      <c r="V67" s="3">
        <f t="shared" si="3"/>
        <v>14.04</v>
      </c>
      <c r="W67" s="3" t="str">
        <f t="shared" si="4"/>
        <v>Ø20</v>
      </c>
      <c r="X67" s="3" t="str">
        <f t="shared" si="5"/>
        <v>Ø20</v>
      </c>
    </row>
    <row r="68" spans="17:24" x14ac:dyDescent="0.3">
      <c r="Q68" s="3" t="s">
        <v>139</v>
      </c>
      <c r="R68" s="3">
        <v>5</v>
      </c>
      <c r="S68" s="3">
        <v>1.5</v>
      </c>
      <c r="T68" s="21" t="str">
        <f t="shared" si="10"/>
        <v>ППГнг(А)-FRHF (5х1,5)</v>
      </c>
      <c r="U68" s="3">
        <v>13.1</v>
      </c>
      <c r="V68" s="3">
        <f t="shared" si="3"/>
        <v>15.719999999999999</v>
      </c>
      <c r="W68" s="3" t="str">
        <f t="shared" si="4"/>
        <v>Ø25</v>
      </c>
      <c r="X68" s="3" t="str">
        <f t="shared" si="5"/>
        <v>Ø25</v>
      </c>
    </row>
    <row r="69" spans="17:24" x14ac:dyDescent="0.3">
      <c r="Q69" s="3" t="s">
        <v>139</v>
      </c>
      <c r="R69" s="3">
        <v>1</v>
      </c>
      <c r="S69" s="3">
        <v>2.5</v>
      </c>
      <c r="T69" s="21" t="str">
        <f t="shared" si="10"/>
        <v>ППГнг(А)-FRHF (1х2,5)</v>
      </c>
      <c r="U69" s="3">
        <v>6.9</v>
      </c>
      <c r="V69" s="3">
        <f t="shared" ref="V69:V132" si="11">IF((U69*1.2)&lt;14,14,U69*1.2)</f>
        <v>14</v>
      </c>
      <c r="W69" s="3" t="str">
        <f t="shared" ref="W69:W132" si="12">"Ø"&amp;VLOOKUP(V69,$Z$4:$AA$10,2,TRUE)</f>
        <v>Ø20</v>
      </c>
      <c r="X69" s="3" t="str">
        <f t="shared" ref="X69:X132" si="13">"Ø"&amp;VLOOKUP(V69,$AD$4:$AE$10,2,TRUE)</f>
        <v>Ø20</v>
      </c>
    </row>
    <row r="70" spans="17:24" x14ac:dyDescent="0.3">
      <c r="Q70" s="3" t="s">
        <v>139</v>
      </c>
      <c r="R70" s="3">
        <v>2</v>
      </c>
      <c r="S70" s="3">
        <v>2.5</v>
      </c>
      <c r="T70" s="21" t="str">
        <f t="shared" si="10"/>
        <v>ППГнг(А)-FRHF (2х2,5)</v>
      </c>
      <c r="U70" s="3">
        <v>11.1</v>
      </c>
      <c r="V70" s="3">
        <f t="shared" si="11"/>
        <v>14</v>
      </c>
      <c r="W70" s="3" t="str">
        <f t="shared" si="12"/>
        <v>Ø20</v>
      </c>
      <c r="X70" s="3" t="str">
        <f t="shared" si="13"/>
        <v>Ø20</v>
      </c>
    </row>
    <row r="71" spans="17:24" x14ac:dyDescent="0.3">
      <c r="Q71" s="3" t="s">
        <v>139</v>
      </c>
      <c r="R71" s="3">
        <v>3</v>
      </c>
      <c r="S71" s="3">
        <v>2.5</v>
      </c>
      <c r="T71" s="21" t="str">
        <f t="shared" si="10"/>
        <v>ППГнг(А)-FRHF (3х2,5)</v>
      </c>
      <c r="U71" s="3">
        <v>11.6</v>
      </c>
      <c r="V71" s="3">
        <f t="shared" si="11"/>
        <v>14</v>
      </c>
      <c r="W71" s="3" t="str">
        <f t="shared" si="12"/>
        <v>Ø20</v>
      </c>
      <c r="X71" s="3" t="str">
        <f t="shared" si="13"/>
        <v>Ø20</v>
      </c>
    </row>
    <row r="72" spans="17:24" x14ac:dyDescent="0.3">
      <c r="Q72" s="3" t="s">
        <v>139</v>
      </c>
      <c r="R72" s="3">
        <v>4</v>
      </c>
      <c r="S72" s="3">
        <v>2.5</v>
      </c>
      <c r="T72" s="21" t="str">
        <f t="shared" si="10"/>
        <v>ППГнг(А)-FRHF (4х2,5)</v>
      </c>
      <c r="U72" s="3">
        <v>12.5</v>
      </c>
      <c r="V72" s="3">
        <f t="shared" si="11"/>
        <v>15</v>
      </c>
      <c r="W72" s="3" t="str">
        <f t="shared" si="12"/>
        <v>Ø25</v>
      </c>
      <c r="X72" s="3" t="str">
        <f t="shared" si="13"/>
        <v>Ø25</v>
      </c>
    </row>
    <row r="73" spans="17:24" x14ac:dyDescent="0.3">
      <c r="Q73" s="3" t="s">
        <v>139</v>
      </c>
      <c r="R73" s="3">
        <v>5</v>
      </c>
      <c r="S73" s="3">
        <v>2.5</v>
      </c>
      <c r="T73" s="21" t="str">
        <f t="shared" si="10"/>
        <v>ППГнг(А)-FRHF (5х2,5)</v>
      </c>
      <c r="U73" s="3">
        <v>13.6</v>
      </c>
      <c r="V73" s="3">
        <f t="shared" si="11"/>
        <v>16.32</v>
      </c>
      <c r="W73" s="3" t="str">
        <f t="shared" si="12"/>
        <v>Ø25</v>
      </c>
      <c r="X73" s="3" t="str">
        <f t="shared" si="13"/>
        <v>Ø25</v>
      </c>
    </row>
    <row r="74" spans="17:24" x14ac:dyDescent="0.3">
      <c r="Q74" s="3" t="s">
        <v>139</v>
      </c>
      <c r="R74" s="3">
        <v>1</v>
      </c>
      <c r="S74" s="3">
        <v>4</v>
      </c>
      <c r="T74" s="21" t="str">
        <f t="shared" si="10"/>
        <v>ППГнг(А)-FRHF (1х4)</v>
      </c>
      <c r="U74" s="3">
        <v>7.6</v>
      </c>
      <c r="V74" s="3">
        <f t="shared" si="11"/>
        <v>14</v>
      </c>
      <c r="W74" s="3" t="str">
        <f t="shared" si="12"/>
        <v>Ø20</v>
      </c>
      <c r="X74" s="3" t="str">
        <f t="shared" si="13"/>
        <v>Ø20</v>
      </c>
    </row>
    <row r="75" spans="17:24" x14ac:dyDescent="0.3">
      <c r="Q75" s="3" t="s">
        <v>139</v>
      </c>
      <c r="R75" s="3">
        <v>2</v>
      </c>
      <c r="S75" s="3">
        <v>4</v>
      </c>
      <c r="T75" s="21" t="str">
        <f t="shared" si="10"/>
        <v>ППГнг(А)-FRHF (2х4)</v>
      </c>
      <c r="U75" s="3">
        <v>12.4</v>
      </c>
      <c r="V75" s="3">
        <f t="shared" si="11"/>
        <v>14.879999999999999</v>
      </c>
      <c r="W75" s="3" t="str">
        <f t="shared" si="12"/>
        <v>Ø20</v>
      </c>
      <c r="X75" s="3" t="str">
        <f t="shared" si="13"/>
        <v>Ø25</v>
      </c>
    </row>
    <row r="76" spans="17:24" x14ac:dyDescent="0.3">
      <c r="Q76" s="3" t="s">
        <v>139</v>
      </c>
      <c r="R76" s="3">
        <v>3</v>
      </c>
      <c r="S76" s="3">
        <v>4</v>
      </c>
      <c r="T76" s="21" t="str">
        <f t="shared" si="10"/>
        <v>ППГнг(А)-FRHF (3х4)</v>
      </c>
      <c r="U76" s="3">
        <v>13.1</v>
      </c>
      <c r="V76" s="3">
        <f t="shared" si="11"/>
        <v>15.719999999999999</v>
      </c>
      <c r="W76" s="3" t="str">
        <f t="shared" si="12"/>
        <v>Ø25</v>
      </c>
      <c r="X76" s="3" t="str">
        <f t="shared" si="13"/>
        <v>Ø25</v>
      </c>
    </row>
    <row r="77" spans="17:24" x14ac:dyDescent="0.3">
      <c r="Q77" s="3" t="s">
        <v>139</v>
      </c>
      <c r="R77" s="3">
        <v>4</v>
      </c>
      <c r="S77" s="3">
        <v>4</v>
      </c>
      <c r="T77" s="21" t="str">
        <f t="shared" si="10"/>
        <v>ППГнг(А)-FRHF (4х4)</v>
      </c>
      <c r="U77" s="3">
        <v>14.2</v>
      </c>
      <c r="V77" s="3">
        <f t="shared" si="11"/>
        <v>17.04</v>
      </c>
      <c r="W77" s="3" t="str">
        <f t="shared" si="12"/>
        <v>Ø25</v>
      </c>
      <c r="X77" s="3" t="str">
        <f t="shared" si="13"/>
        <v>Ø25</v>
      </c>
    </row>
    <row r="78" spans="17:24" x14ac:dyDescent="0.3">
      <c r="Q78" s="3" t="s">
        <v>139</v>
      </c>
      <c r="R78" s="3">
        <v>5</v>
      </c>
      <c r="S78" s="3">
        <v>4</v>
      </c>
      <c r="T78" s="21" t="str">
        <f t="shared" si="10"/>
        <v>ППГнг(А)-FRHF (5х4)</v>
      </c>
      <c r="U78" s="3">
        <v>15.4</v>
      </c>
      <c r="V78" s="3">
        <f t="shared" si="11"/>
        <v>18.48</v>
      </c>
      <c r="W78" s="3" t="str">
        <f t="shared" si="12"/>
        <v>Ø25</v>
      </c>
      <c r="X78" s="3" t="str">
        <f t="shared" si="13"/>
        <v>Ø25</v>
      </c>
    </row>
    <row r="79" spans="17:24" x14ac:dyDescent="0.3">
      <c r="Q79" s="3" t="s">
        <v>139</v>
      </c>
      <c r="R79" s="3">
        <v>1</v>
      </c>
      <c r="S79" s="3">
        <v>6</v>
      </c>
      <c r="T79" s="21" t="str">
        <f t="shared" si="10"/>
        <v>ППГнг(А)-FRHF (1х6)</v>
      </c>
      <c r="U79" s="3">
        <v>9</v>
      </c>
      <c r="V79" s="3">
        <f t="shared" si="11"/>
        <v>14</v>
      </c>
      <c r="W79" s="3" t="str">
        <f t="shared" si="12"/>
        <v>Ø20</v>
      </c>
      <c r="X79" s="3" t="str">
        <f t="shared" si="13"/>
        <v>Ø20</v>
      </c>
    </row>
    <row r="80" spans="17:24" x14ac:dyDescent="0.3">
      <c r="Q80" s="3" t="s">
        <v>139</v>
      </c>
      <c r="R80" s="3">
        <v>2</v>
      </c>
      <c r="S80" s="3">
        <v>6</v>
      </c>
      <c r="T80" s="21" t="str">
        <f t="shared" si="10"/>
        <v>ППГнг(А)-FRHF (2х6)</v>
      </c>
      <c r="U80" s="3">
        <v>14</v>
      </c>
      <c r="V80" s="3">
        <f t="shared" si="11"/>
        <v>16.8</v>
      </c>
      <c r="W80" s="3" t="str">
        <f t="shared" si="12"/>
        <v>Ø25</v>
      </c>
      <c r="X80" s="3" t="str">
        <f t="shared" si="13"/>
        <v>Ø25</v>
      </c>
    </row>
    <row r="81" spans="17:24" x14ac:dyDescent="0.3">
      <c r="Q81" s="3" t="s">
        <v>139</v>
      </c>
      <c r="R81" s="3">
        <v>3</v>
      </c>
      <c r="S81" s="3">
        <v>6</v>
      </c>
      <c r="T81" s="21" t="str">
        <f t="shared" si="10"/>
        <v>ППГнг(А)-FRHF (3х6)</v>
      </c>
      <c r="U81" s="3">
        <v>14.8</v>
      </c>
      <c r="V81" s="3">
        <f t="shared" si="11"/>
        <v>17.760000000000002</v>
      </c>
      <c r="W81" s="3" t="str">
        <f t="shared" si="12"/>
        <v>Ø25</v>
      </c>
      <c r="X81" s="3" t="str">
        <f t="shared" si="13"/>
        <v>Ø25</v>
      </c>
    </row>
    <row r="82" spans="17:24" x14ac:dyDescent="0.3">
      <c r="Q82" s="3" t="s">
        <v>139</v>
      </c>
      <c r="R82" s="3">
        <v>4</v>
      </c>
      <c r="S82" s="3">
        <v>6</v>
      </c>
      <c r="T82" s="21" t="str">
        <f t="shared" si="10"/>
        <v>ППГнг(А)-FRHF (4х6)</v>
      </c>
      <c r="U82" s="3">
        <v>16.100000000000001</v>
      </c>
      <c r="V82" s="3">
        <f t="shared" si="11"/>
        <v>19.32</v>
      </c>
      <c r="W82" s="3" t="str">
        <f t="shared" si="12"/>
        <v>Ø32</v>
      </c>
      <c r="X82" s="3" t="str">
        <f t="shared" si="13"/>
        <v>Ø32</v>
      </c>
    </row>
    <row r="83" spans="17:24" x14ac:dyDescent="0.3">
      <c r="Q83" s="3" t="s">
        <v>139</v>
      </c>
      <c r="R83" s="3">
        <v>5</v>
      </c>
      <c r="S83" s="3">
        <v>6</v>
      </c>
      <c r="T83" s="21" t="str">
        <f t="shared" si="10"/>
        <v>ППГнг(А)-FRHF (5х6)</v>
      </c>
      <c r="U83" s="3">
        <v>17.600000000000001</v>
      </c>
      <c r="V83" s="3">
        <f t="shared" si="11"/>
        <v>21.12</v>
      </c>
      <c r="W83" s="3" t="str">
        <f t="shared" si="12"/>
        <v>Ø32</v>
      </c>
      <c r="X83" s="3" t="str">
        <f t="shared" si="13"/>
        <v>Ø32</v>
      </c>
    </row>
    <row r="84" spans="17:24" x14ac:dyDescent="0.3">
      <c r="Q84" s="3" t="s">
        <v>135</v>
      </c>
      <c r="R84" s="3">
        <v>1</v>
      </c>
      <c r="S84" s="3">
        <v>0.75</v>
      </c>
      <c r="T84" s="21" t="str">
        <f t="shared" si="10"/>
        <v>КГВВнг(А)-LS (1х0,75)</v>
      </c>
      <c r="U84" s="3">
        <v>2.2999999999999998</v>
      </c>
      <c r="V84" s="3">
        <f t="shared" si="11"/>
        <v>14</v>
      </c>
      <c r="W84" s="3" t="str">
        <f t="shared" si="12"/>
        <v>Ø20</v>
      </c>
      <c r="X84" s="3" t="str">
        <f t="shared" si="13"/>
        <v>Ø20</v>
      </c>
    </row>
    <row r="85" spans="17:24" x14ac:dyDescent="0.3">
      <c r="Q85" s="25" t="s">
        <v>135</v>
      </c>
      <c r="R85" s="3">
        <v>2</v>
      </c>
      <c r="S85" s="3">
        <v>0.75</v>
      </c>
      <c r="T85" s="21" t="str">
        <f t="shared" si="10"/>
        <v>КГВВнг(А)-LS (2х0,75)</v>
      </c>
      <c r="U85" s="3">
        <v>7</v>
      </c>
      <c r="V85" s="3">
        <f t="shared" si="11"/>
        <v>14</v>
      </c>
      <c r="W85" s="3" t="str">
        <f t="shared" si="12"/>
        <v>Ø20</v>
      </c>
      <c r="X85" s="3" t="str">
        <f t="shared" si="13"/>
        <v>Ø20</v>
      </c>
    </row>
    <row r="86" spans="17:24" x14ac:dyDescent="0.3">
      <c r="Q86" s="25" t="s">
        <v>135</v>
      </c>
      <c r="R86" s="3">
        <v>3</v>
      </c>
      <c r="S86" s="3">
        <v>0.75</v>
      </c>
      <c r="T86" s="21" t="str">
        <f t="shared" si="10"/>
        <v>КГВВнг(А)-LS (3х0,75)</v>
      </c>
      <c r="U86" s="3">
        <v>7.3</v>
      </c>
      <c r="V86" s="3">
        <f t="shared" si="11"/>
        <v>14</v>
      </c>
      <c r="W86" s="3" t="str">
        <f t="shared" si="12"/>
        <v>Ø20</v>
      </c>
      <c r="X86" s="3" t="str">
        <f t="shared" si="13"/>
        <v>Ø20</v>
      </c>
    </row>
    <row r="87" spans="17:24" x14ac:dyDescent="0.3">
      <c r="Q87" s="25" t="s">
        <v>135</v>
      </c>
      <c r="R87" s="3">
        <v>4</v>
      </c>
      <c r="S87" s="3">
        <v>0.75</v>
      </c>
      <c r="T87" s="21" t="str">
        <f t="shared" si="10"/>
        <v>КГВВнг(А)-LS (4х0,75)</v>
      </c>
      <c r="U87" s="3">
        <v>7.9</v>
      </c>
      <c r="V87" s="3">
        <f t="shared" si="11"/>
        <v>14</v>
      </c>
      <c r="W87" s="3" t="str">
        <f t="shared" si="12"/>
        <v>Ø20</v>
      </c>
      <c r="X87" s="3" t="str">
        <f t="shared" si="13"/>
        <v>Ø20</v>
      </c>
    </row>
    <row r="88" spans="17:24" x14ac:dyDescent="0.3">
      <c r="Q88" s="25" t="s">
        <v>135</v>
      </c>
      <c r="R88" s="3">
        <v>5</v>
      </c>
      <c r="S88" s="3">
        <v>0.75</v>
      </c>
      <c r="T88" s="21" t="str">
        <f t="shared" si="10"/>
        <v>КГВВнг(А)-LS (5х0,75)</v>
      </c>
      <c r="U88" s="3">
        <v>9.1999999999999993</v>
      </c>
      <c r="V88" s="3">
        <f t="shared" si="11"/>
        <v>14</v>
      </c>
      <c r="W88" s="3" t="str">
        <f t="shared" si="12"/>
        <v>Ø20</v>
      </c>
      <c r="X88" s="3" t="str">
        <f t="shared" si="13"/>
        <v>Ø20</v>
      </c>
    </row>
    <row r="89" spans="17:24" x14ac:dyDescent="0.3">
      <c r="Q89" s="25" t="s">
        <v>135</v>
      </c>
      <c r="R89" s="3">
        <v>6</v>
      </c>
      <c r="S89" s="3">
        <v>0.75</v>
      </c>
      <c r="T89" s="21" t="str">
        <f t="shared" si="10"/>
        <v>КГВВнг(А)-LS (6х0,75)</v>
      </c>
      <c r="U89" s="3">
        <v>9.6</v>
      </c>
      <c r="V89" s="3">
        <f t="shared" si="11"/>
        <v>14</v>
      </c>
      <c r="W89" s="3" t="str">
        <f t="shared" si="12"/>
        <v>Ø20</v>
      </c>
      <c r="X89" s="3" t="str">
        <f t="shared" si="13"/>
        <v>Ø20</v>
      </c>
    </row>
    <row r="90" spans="17:24" x14ac:dyDescent="0.3">
      <c r="Q90" s="25" t="s">
        <v>135</v>
      </c>
      <c r="R90" s="3">
        <v>7</v>
      </c>
      <c r="S90" s="3">
        <v>0.75</v>
      </c>
      <c r="T90" s="21" t="str">
        <f t="shared" si="10"/>
        <v>КГВВнг(А)-LS (7х0,75)</v>
      </c>
      <c r="U90" s="3">
        <v>9.9</v>
      </c>
      <c r="V90" s="3">
        <f t="shared" si="11"/>
        <v>14</v>
      </c>
      <c r="W90" s="3" t="str">
        <f t="shared" si="12"/>
        <v>Ø20</v>
      </c>
      <c r="X90" s="3" t="str">
        <f t="shared" si="13"/>
        <v>Ø20</v>
      </c>
    </row>
    <row r="91" spans="17:24" x14ac:dyDescent="0.3">
      <c r="Q91" s="25" t="s">
        <v>135</v>
      </c>
      <c r="R91" s="3">
        <v>10</v>
      </c>
      <c r="S91" s="3">
        <v>0.75</v>
      </c>
      <c r="T91" s="21" t="str">
        <f t="shared" si="10"/>
        <v>КГВВнг(А)-LS (10х0,75)</v>
      </c>
      <c r="U91" s="3">
        <v>11.6</v>
      </c>
      <c r="V91" s="3">
        <f t="shared" si="11"/>
        <v>14</v>
      </c>
      <c r="W91" s="3" t="str">
        <f t="shared" si="12"/>
        <v>Ø20</v>
      </c>
      <c r="X91" s="3" t="str">
        <f t="shared" si="13"/>
        <v>Ø20</v>
      </c>
    </row>
    <row r="92" spans="17:24" x14ac:dyDescent="0.3">
      <c r="Q92" s="25" t="s">
        <v>135</v>
      </c>
      <c r="R92" s="3">
        <v>14</v>
      </c>
      <c r="S92" s="3">
        <v>0.75</v>
      </c>
      <c r="T92" s="21" t="str">
        <f t="shared" ref="T92:T96" si="14">Q92&amp;" ("&amp;R92&amp;"х"&amp;S92&amp;")"</f>
        <v>КГВВнг(А)-LS (14х0,75)</v>
      </c>
      <c r="U92" s="3">
        <v>13.1</v>
      </c>
      <c r="V92" s="3">
        <f t="shared" si="11"/>
        <v>15.719999999999999</v>
      </c>
      <c r="W92" s="3" t="str">
        <f t="shared" si="12"/>
        <v>Ø25</v>
      </c>
      <c r="X92" s="3" t="str">
        <f t="shared" si="13"/>
        <v>Ø25</v>
      </c>
    </row>
    <row r="93" spans="17:24" x14ac:dyDescent="0.3">
      <c r="Q93" s="25" t="s">
        <v>135</v>
      </c>
      <c r="R93" s="3">
        <v>19</v>
      </c>
      <c r="S93" s="3">
        <v>0.75</v>
      </c>
      <c r="T93" s="21" t="str">
        <f t="shared" si="14"/>
        <v>КГВВнг(А)-LS (19х0,75)</v>
      </c>
      <c r="U93" s="3">
        <v>14.5</v>
      </c>
      <c r="V93" s="3">
        <f t="shared" si="11"/>
        <v>17.399999999999999</v>
      </c>
      <c r="W93" s="3" t="str">
        <f t="shared" si="12"/>
        <v>Ø25</v>
      </c>
      <c r="X93" s="3" t="str">
        <f t="shared" si="13"/>
        <v>Ø25</v>
      </c>
    </row>
    <row r="94" spans="17:24" x14ac:dyDescent="0.3">
      <c r="Q94" s="25" t="s">
        <v>135</v>
      </c>
      <c r="R94" s="3">
        <v>27</v>
      </c>
      <c r="S94" s="3">
        <v>0.75</v>
      </c>
      <c r="T94" s="21" t="str">
        <f t="shared" si="14"/>
        <v>КГВВнг(А)-LS (27х0,75)</v>
      </c>
      <c r="U94" s="3">
        <v>17.2</v>
      </c>
      <c r="V94" s="3">
        <f t="shared" si="11"/>
        <v>20.639999999999997</v>
      </c>
      <c r="W94" s="3" t="str">
        <f t="shared" si="12"/>
        <v>Ø32</v>
      </c>
      <c r="X94" s="3" t="str">
        <f t="shared" si="13"/>
        <v>Ø32</v>
      </c>
    </row>
    <row r="95" spans="17:24" x14ac:dyDescent="0.3">
      <c r="Q95" s="25" t="s">
        <v>135</v>
      </c>
      <c r="R95" s="3">
        <v>37</v>
      </c>
      <c r="S95" s="3">
        <v>0.75</v>
      </c>
      <c r="T95" s="21" t="str">
        <f t="shared" si="14"/>
        <v>КГВВнг(А)-LS (37х0,75)</v>
      </c>
      <c r="U95" s="3">
        <v>18.5</v>
      </c>
      <c r="V95" s="3">
        <f t="shared" si="11"/>
        <v>22.2</v>
      </c>
      <c r="W95" s="3" t="str">
        <f t="shared" si="12"/>
        <v>Ø32</v>
      </c>
      <c r="X95" s="3" t="str">
        <f t="shared" si="13"/>
        <v>Ø32</v>
      </c>
    </row>
    <row r="96" spans="17:24" x14ac:dyDescent="0.3">
      <c r="Q96" s="25" t="s">
        <v>135</v>
      </c>
      <c r="R96" s="3">
        <v>52</v>
      </c>
      <c r="S96" s="3">
        <v>0.75</v>
      </c>
      <c r="T96" s="21" t="str">
        <f t="shared" si="14"/>
        <v>КГВВнг(А)-LS (52х0,75)</v>
      </c>
      <c r="U96" s="3">
        <v>21.6</v>
      </c>
      <c r="V96" s="3">
        <f t="shared" si="11"/>
        <v>25.92</v>
      </c>
      <c r="W96" s="3" t="str">
        <f t="shared" si="12"/>
        <v>Ø40</v>
      </c>
      <c r="X96" s="3" t="str">
        <f t="shared" si="13"/>
        <v>Ø40</v>
      </c>
    </row>
    <row r="97" spans="17:24" x14ac:dyDescent="0.3">
      <c r="Q97" s="25" t="s">
        <v>135</v>
      </c>
      <c r="R97" s="3">
        <v>1</v>
      </c>
      <c r="S97" s="3">
        <v>1</v>
      </c>
      <c r="T97" s="21" t="str">
        <f t="shared" ref="T97:T101" si="15">Q97&amp;" ("&amp;R97&amp;"х"&amp;S97&amp;")"</f>
        <v>КГВВнг(А)-LS (1х1)</v>
      </c>
      <c r="U97" s="3">
        <v>2.8</v>
      </c>
      <c r="V97" s="3">
        <f t="shared" si="11"/>
        <v>14</v>
      </c>
      <c r="W97" s="3" t="str">
        <f t="shared" si="12"/>
        <v>Ø20</v>
      </c>
      <c r="X97" s="3" t="str">
        <f t="shared" si="13"/>
        <v>Ø20</v>
      </c>
    </row>
    <row r="98" spans="17:24" x14ac:dyDescent="0.3">
      <c r="Q98" s="25" t="s">
        <v>135</v>
      </c>
      <c r="R98" s="3">
        <v>2</v>
      </c>
      <c r="S98" s="3">
        <v>1</v>
      </c>
      <c r="T98" s="21" t="str">
        <f t="shared" si="15"/>
        <v>КГВВнг(А)-LS (2х1)</v>
      </c>
      <c r="U98" s="3">
        <v>7.3</v>
      </c>
      <c r="V98" s="3">
        <f t="shared" si="11"/>
        <v>14</v>
      </c>
      <c r="W98" s="3" t="str">
        <f t="shared" si="12"/>
        <v>Ø20</v>
      </c>
      <c r="X98" s="3" t="str">
        <f t="shared" si="13"/>
        <v>Ø20</v>
      </c>
    </row>
    <row r="99" spans="17:24" x14ac:dyDescent="0.3">
      <c r="Q99" s="25" t="s">
        <v>135</v>
      </c>
      <c r="R99" s="3">
        <v>3</v>
      </c>
      <c r="S99" s="3">
        <v>1</v>
      </c>
      <c r="T99" s="21" t="str">
        <f t="shared" si="15"/>
        <v>КГВВнг(А)-LS (3х1)</v>
      </c>
      <c r="U99" s="3">
        <v>7.7</v>
      </c>
      <c r="V99" s="3">
        <f t="shared" si="11"/>
        <v>14</v>
      </c>
      <c r="W99" s="3" t="str">
        <f t="shared" si="12"/>
        <v>Ø20</v>
      </c>
      <c r="X99" s="3" t="str">
        <f t="shared" si="13"/>
        <v>Ø20</v>
      </c>
    </row>
    <row r="100" spans="17:24" x14ac:dyDescent="0.3">
      <c r="Q100" s="25" t="s">
        <v>135</v>
      </c>
      <c r="R100" s="3">
        <v>4</v>
      </c>
      <c r="S100" s="3">
        <v>1</v>
      </c>
      <c r="T100" s="21" t="str">
        <f t="shared" si="15"/>
        <v>КГВВнг(А)-LS (4х1)</v>
      </c>
      <c r="U100" s="3">
        <v>8.3000000000000007</v>
      </c>
      <c r="V100" s="3">
        <f t="shared" si="11"/>
        <v>14</v>
      </c>
      <c r="W100" s="3" t="str">
        <f t="shared" si="12"/>
        <v>Ø20</v>
      </c>
      <c r="X100" s="3" t="str">
        <f t="shared" si="13"/>
        <v>Ø20</v>
      </c>
    </row>
    <row r="101" spans="17:24" x14ac:dyDescent="0.3">
      <c r="Q101" s="25" t="s">
        <v>135</v>
      </c>
      <c r="R101" s="3">
        <v>5</v>
      </c>
      <c r="S101" s="3">
        <v>1</v>
      </c>
      <c r="T101" s="21" t="str">
        <f t="shared" si="15"/>
        <v>КГВВнг(А)-LS (5х1)</v>
      </c>
      <c r="U101" s="3">
        <v>9.6</v>
      </c>
      <c r="V101" s="3">
        <f t="shared" si="11"/>
        <v>14</v>
      </c>
      <c r="W101" s="3" t="str">
        <f t="shared" si="12"/>
        <v>Ø20</v>
      </c>
      <c r="X101" s="3" t="str">
        <f t="shared" si="13"/>
        <v>Ø20</v>
      </c>
    </row>
    <row r="102" spans="17:24" x14ac:dyDescent="0.3">
      <c r="Q102" s="25" t="s">
        <v>135</v>
      </c>
      <c r="R102" s="3">
        <v>7</v>
      </c>
      <c r="S102" s="3">
        <v>1</v>
      </c>
      <c r="T102" s="21" t="str">
        <f t="shared" ref="T102:T113" si="16">Q102&amp;" ("&amp;R102&amp;"х"&amp;S102&amp;")"</f>
        <v>КГВВнг(А)-LS (7х1)</v>
      </c>
      <c r="U102" s="3">
        <v>10.4</v>
      </c>
      <c r="V102" s="3">
        <f t="shared" si="11"/>
        <v>14</v>
      </c>
      <c r="W102" s="3" t="str">
        <f t="shared" si="12"/>
        <v>Ø20</v>
      </c>
      <c r="X102" s="3" t="str">
        <f t="shared" si="13"/>
        <v>Ø20</v>
      </c>
    </row>
    <row r="103" spans="17:24" x14ac:dyDescent="0.3">
      <c r="Q103" s="25" t="s">
        <v>135</v>
      </c>
      <c r="R103" s="3">
        <v>10</v>
      </c>
      <c r="S103" s="3">
        <v>1</v>
      </c>
      <c r="T103" s="21" t="str">
        <f t="shared" si="16"/>
        <v>КГВВнг(А)-LS (10х1)</v>
      </c>
      <c r="U103" s="3">
        <v>12.8</v>
      </c>
      <c r="V103" s="3">
        <f t="shared" si="11"/>
        <v>15.36</v>
      </c>
      <c r="W103" s="3" t="str">
        <f t="shared" si="12"/>
        <v>Ø25</v>
      </c>
      <c r="X103" s="3" t="str">
        <f t="shared" si="13"/>
        <v>Ø25</v>
      </c>
    </row>
    <row r="104" spans="17:24" x14ac:dyDescent="0.3">
      <c r="Q104" s="25" t="s">
        <v>135</v>
      </c>
      <c r="R104" s="3">
        <v>14</v>
      </c>
      <c r="S104" s="3">
        <v>1</v>
      </c>
      <c r="T104" s="21" t="str">
        <f t="shared" si="16"/>
        <v>КГВВнг(А)-LS (14х1)</v>
      </c>
      <c r="U104" s="3">
        <v>13.9</v>
      </c>
      <c r="V104" s="3">
        <f t="shared" si="11"/>
        <v>16.68</v>
      </c>
      <c r="W104" s="3" t="str">
        <f t="shared" si="12"/>
        <v>Ø25</v>
      </c>
      <c r="X104" s="3" t="str">
        <f t="shared" si="13"/>
        <v>Ø25</v>
      </c>
    </row>
    <row r="105" spans="17:24" x14ac:dyDescent="0.3">
      <c r="Q105" s="25" t="s">
        <v>135</v>
      </c>
      <c r="R105" s="3">
        <v>19</v>
      </c>
      <c r="S105" s="3">
        <v>1</v>
      </c>
      <c r="T105" s="21" t="str">
        <f t="shared" si="16"/>
        <v>КГВВнг(А)-LS (19х1)</v>
      </c>
      <c r="U105" s="3">
        <v>14.6</v>
      </c>
      <c r="V105" s="3">
        <f t="shared" si="11"/>
        <v>17.52</v>
      </c>
      <c r="W105" s="3" t="str">
        <f t="shared" si="12"/>
        <v>Ø25</v>
      </c>
      <c r="X105" s="3" t="str">
        <f t="shared" si="13"/>
        <v>Ø25</v>
      </c>
    </row>
    <row r="106" spans="17:24" x14ac:dyDescent="0.3">
      <c r="Q106" s="25" t="s">
        <v>135</v>
      </c>
      <c r="R106" s="3">
        <v>27</v>
      </c>
      <c r="S106" s="3">
        <v>1</v>
      </c>
      <c r="T106" s="21" t="str">
        <f t="shared" si="16"/>
        <v>КГВВнг(А)-LS (27х1)</v>
      </c>
      <c r="U106" s="3">
        <v>17.3</v>
      </c>
      <c r="V106" s="3">
        <f t="shared" si="11"/>
        <v>20.76</v>
      </c>
      <c r="W106" s="3" t="str">
        <f t="shared" si="12"/>
        <v>Ø32</v>
      </c>
      <c r="X106" s="3" t="str">
        <f t="shared" si="13"/>
        <v>Ø32</v>
      </c>
    </row>
    <row r="107" spans="17:24" x14ac:dyDescent="0.3">
      <c r="Q107" s="25" t="s">
        <v>135</v>
      </c>
      <c r="R107" s="3">
        <v>37</v>
      </c>
      <c r="S107" s="3">
        <v>1</v>
      </c>
      <c r="T107" s="21" t="str">
        <f t="shared" si="16"/>
        <v>КГВВнг(А)-LS (37х1)</v>
      </c>
      <c r="U107" s="3">
        <v>19.600000000000001</v>
      </c>
      <c r="V107" s="3">
        <f t="shared" si="11"/>
        <v>23.52</v>
      </c>
      <c r="W107" s="3" t="str">
        <f t="shared" si="12"/>
        <v>Ø32</v>
      </c>
      <c r="X107" s="3" t="str">
        <f t="shared" si="13"/>
        <v>Ø32</v>
      </c>
    </row>
    <row r="108" spans="17:24" x14ac:dyDescent="0.3">
      <c r="Q108" s="25" t="s">
        <v>135</v>
      </c>
      <c r="R108" s="3">
        <v>52</v>
      </c>
      <c r="S108" s="3">
        <v>1</v>
      </c>
      <c r="T108" s="21" t="str">
        <f t="shared" si="16"/>
        <v>КГВВнг(А)-LS (52х1)</v>
      </c>
      <c r="U108" s="3">
        <v>22.9</v>
      </c>
      <c r="V108" s="3">
        <f t="shared" si="11"/>
        <v>27.479999999999997</v>
      </c>
      <c r="W108" s="3" t="str">
        <f t="shared" si="12"/>
        <v>Ø40</v>
      </c>
      <c r="X108" s="3" t="str">
        <f t="shared" si="13"/>
        <v>Ø40</v>
      </c>
    </row>
    <row r="109" spans="17:24" x14ac:dyDescent="0.3">
      <c r="Q109" s="25" t="s">
        <v>135</v>
      </c>
      <c r="R109" s="3">
        <v>1</v>
      </c>
      <c r="S109" s="3">
        <v>1.5</v>
      </c>
      <c r="T109" s="21" t="str">
        <f t="shared" si="16"/>
        <v>КГВВнг(А)-LS (1х1,5)</v>
      </c>
      <c r="U109" s="3">
        <v>5.6</v>
      </c>
      <c r="V109" s="3">
        <f t="shared" si="11"/>
        <v>14</v>
      </c>
      <c r="W109" s="3" t="str">
        <f t="shared" si="12"/>
        <v>Ø20</v>
      </c>
      <c r="X109" s="3" t="str">
        <f t="shared" si="13"/>
        <v>Ø20</v>
      </c>
    </row>
    <row r="110" spans="17:24" x14ac:dyDescent="0.3">
      <c r="Q110" s="25" t="s">
        <v>135</v>
      </c>
      <c r="R110" s="3">
        <v>2</v>
      </c>
      <c r="S110" s="3">
        <v>1.5</v>
      </c>
      <c r="T110" s="21" t="str">
        <f t="shared" si="16"/>
        <v>КГВВнг(А)-LS (2х1,5)</v>
      </c>
      <c r="U110" s="3">
        <v>8.1999999999999993</v>
      </c>
      <c r="V110" s="3">
        <f t="shared" si="11"/>
        <v>14</v>
      </c>
      <c r="W110" s="3" t="str">
        <f t="shared" si="12"/>
        <v>Ø20</v>
      </c>
      <c r="X110" s="3" t="str">
        <f t="shared" si="13"/>
        <v>Ø20</v>
      </c>
    </row>
    <row r="111" spans="17:24" x14ac:dyDescent="0.3">
      <c r="Q111" s="25" t="s">
        <v>135</v>
      </c>
      <c r="R111" s="3">
        <v>3</v>
      </c>
      <c r="S111" s="3">
        <v>1.5</v>
      </c>
      <c r="T111" s="21" t="str">
        <f t="shared" si="16"/>
        <v>КГВВнг(А)-LS (3х1,5)</v>
      </c>
      <c r="U111" s="3">
        <v>9.3000000000000007</v>
      </c>
      <c r="V111" s="3">
        <f t="shared" si="11"/>
        <v>14</v>
      </c>
      <c r="W111" s="3" t="str">
        <f t="shared" si="12"/>
        <v>Ø20</v>
      </c>
      <c r="X111" s="3" t="str">
        <f t="shared" si="13"/>
        <v>Ø20</v>
      </c>
    </row>
    <row r="112" spans="17:24" x14ac:dyDescent="0.3">
      <c r="Q112" s="25" t="s">
        <v>135</v>
      </c>
      <c r="R112" s="3">
        <v>4</v>
      </c>
      <c r="S112" s="3">
        <v>1.5</v>
      </c>
      <c r="T112" s="21" t="str">
        <f t="shared" si="16"/>
        <v>КГВВнг(А)-LS (4х1,5)</v>
      </c>
      <c r="U112" s="3">
        <v>10</v>
      </c>
      <c r="V112" s="3">
        <f t="shared" si="11"/>
        <v>14</v>
      </c>
      <c r="W112" s="3" t="str">
        <f t="shared" si="12"/>
        <v>Ø20</v>
      </c>
      <c r="X112" s="3" t="str">
        <f t="shared" si="13"/>
        <v>Ø20</v>
      </c>
    </row>
    <row r="113" spans="17:24" x14ac:dyDescent="0.3">
      <c r="Q113" s="25" t="s">
        <v>135</v>
      </c>
      <c r="R113" s="3">
        <v>5</v>
      </c>
      <c r="S113" s="3">
        <v>1.5</v>
      </c>
      <c r="T113" s="21" t="str">
        <f t="shared" si="16"/>
        <v>КГВВнг(А)-LS (5х1,5)</v>
      </c>
      <c r="U113" s="3">
        <v>11.2</v>
      </c>
      <c r="V113" s="3">
        <f t="shared" si="11"/>
        <v>14</v>
      </c>
      <c r="W113" s="3" t="str">
        <f t="shared" si="12"/>
        <v>Ø20</v>
      </c>
      <c r="X113" s="3" t="str">
        <f t="shared" si="13"/>
        <v>Ø20</v>
      </c>
    </row>
    <row r="114" spans="17:24" x14ac:dyDescent="0.3">
      <c r="Q114" s="25" t="s">
        <v>135</v>
      </c>
      <c r="R114" s="3">
        <v>7</v>
      </c>
      <c r="S114" s="3">
        <v>1.5</v>
      </c>
      <c r="T114" s="21" t="str">
        <f t="shared" ref="T114:T158" si="17">Q114&amp;" ("&amp;R114&amp;"х"&amp;S114&amp;")"</f>
        <v>КГВВнг(А)-LS (7х1,5)</v>
      </c>
      <c r="U114" s="3">
        <v>11.8</v>
      </c>
      <c r="V114" s="3">
        <f t="shared" si="11"/>
        <v>14.16</v>
      </c>
      <c r="W114" s="3" t="str">
        <f t="shared" si="12"/>
        <v>Ø20</v>
      </c>
      <c r="X114" s="3" t="str">
        <f t="shared" si="13"/>
        <v>Ø20</v>
      </c>
    </row>
    <row r="115" spans="17:24" x14ac:dyDescent="0.3">
      <c r="Q115" s="25" t="s">
        <v>135</v>
      </c>
      <c r="R115" s="3">
        <v>10</v>
      </c>
      <c r="S115" s="3">
        <v>1.5</v>
      </c>
      <c r="T115" s="21" t="str">
        <f t="shared" si="17"/>
        <v>КГВВнг(А)-LS (10х1,5)</v>
      </c>
      <c r="U115" s="3">
        <v>14.7</v>
      </c>
      <c r="V115" s="3">
        <f t="shared" si="11"/>
        <v>17.639999999999997</v>
      </c>
      <c r="W115" s="3" t="str">
        <f t="shared" si="12"/>
        <v>Ø25</v>
      </c>
      <c r="X115" s="3" t="str">
        <f t="shared" si="13"/>
        <v>Ø25</v>
      </c>
    </row>
    <row r="116" spans="17:24" x14ac:dyDescent="0.3">
      <c r="Q116" s="25" t="s">
        <v>135</v>
      </c>
      <c r="R116" s="3">
        <v>14</v>
      </c>
      <c r="S116" s="3">
        <v>1.5</v>
      </c>
      <c r="T116" s="21" t="str">
        <f t="shared" si="17"/>
        <v>КГВВнг(А)-LS (14х1,5)</v>
      </c>
      <c r="U116" s="3">
        <v>15.9</v>
      </c>
      <c r="V116" s="3">
        <f t="shared" si="11"/>
        <v>19.079999999999998</v>
      </c>
      <c r="W116" s="3" t="str">
        <f t="shared" si="12"/>
        <v>Ø32</v>
      </c>
      <c r="X116" s="3" t="str">
        <f t="shared" si="13"/>
        <v>Ø32</v>
      </c>
    </row>
    <row r="117" spans="17:24" x14ac:dyDescent="0.3">
      <c r="Q117" s="25" t="s">
        <v>135</v>
      </c>
      <c r="R117" s="3">
        <v>19</v>
      </c>
      <c r="S117" s="3">
        <v>1.5</v>
      </c>
      <c r="T117" s="21" t="str">
        <f t="shared" si="17"/>
        <v>КГВВнг(А)-LS (19х1,5)</v>
      </c>
      <c r="U117" s="3">
        <v>17.600000000000001</v>
      </c>
      <c r="V117" s="3">
        <f t="shared" si="11"/>
        <v>21.12</v>
      </c>
      <c r="W117" s="3" t="str">
        <f t="shared" si="12"/>
        <v>Ø32</v>
      </c>
      <c r="X117" s="3" t="str">
        <f t="shared" si="13"/>
        <v>Ø32</v>
      </c>
    </row>
    <row r="118" spans="17:24" x14ac:dyDescent="0.3">
      <c r="Q118" s="25" t="s">
        <v>135</v>
      </c>
      <c r="R118" s="3">
        <v>27</v>
      </c>
      <c r="S118" s="3">
        <v>1.5</v>
      </c>
      <c r="T118" s="21" t="str">
        <f t="shared" si="17"/>
        <v>КГВВнг(А)-LS (27х1,5)</v>
      </c>
      <c r="U118" s="3">
        <v>21.4</v>
      </c>
      <c r="V118" s="3">
        <f t="shared" si="11"/>
        <v>25.679999999999996</v>
      </c>
      <c r="W118" s="3" t="str">
        <f t="shared" si="12"/>
        <v>Ø40</v>
      </c>
      <c r="X118" s="3" t="str">
        <f t="shared" si="13"/>
        <v>Ø40</v>
      </c>
    </row>
    <row r="119" spans="17:24" x14ac:dyDescent="0.3">
      <c r="Q119" s="25" t="s">
        <v>135</v>
      </c>
      <c r="R119" s="3">
        <v>37</v>
      </c>
      <c r="S119" s="3">
        <v>1.5</v>
      </c>
      <c r="T119" s="21" t="str">
        <f t="shared" si="17"/>
        <v>КГВВнг(А)-LS (37х1,5)</v>
      </c>
      <c r="U119" s="3">
        <v>22.3</v>
      </c>
      <c r="V119" s="3">
        <f t="shared" si="11"/>
        <v>26.76</v>
      </c>
      <c r="W119" s="3" t="str">
        <f t="shared" si="12"/>
        <v>Ø40</v>
      </c>
      <c r="X119" s="3" t="str">
        <f t="shared" si="13"/>
        <v>Ø40</v>
      </c>
    </row>
    <row r="120" spans="17:24" x14ac:dyDescent="0.3">
      <c r="Q120" s="25" t="s">
        <v>135</v>
      </c>
      <c r="R120" s="3">
        <v>52</v>
      </c>
      <c r="S120" s="3">
        <v>1.5</v>
      </c>
      <c r="T120" s="21" t="str">
        <f t="shared" si="17"/>
        <v>КГВВнг(А)-LS (52х1,5)</v>
      </c>
      <c r="U120" s="3">
        <v>25.3</v>
      </c>
      <c r="V120" s="3">
        <f t="shared" si="11"/>
        <v>30.36</v>
      </c>
      <c r="W120" s="3" t="str">
        <f t="shared" si="12"/>
        <v>Ø40</v>
      </c>
      <c r="X120" s="3" t="str">
        <f t="shared" si="13"/>
        <v>Ø40</v>
      </c>
    </row>
    <row r="121" spans="17:24" x14ac:dyDescent="0.3">
      <c r="Q121" s="25" t="s">
        <v>135</v>
      </c>
      <c r="R121" s="3">
        <v>1</v>
      </c>
      <c r="S121" s="3">
        <v>2.5</v>
      </c>
      <c r="T121" s="21" t="str">
        <f t="shared" si="17"/>
        <v>КГВВнг(А)-LS (1х2,5)</v>
      </c>
      <c r="U121" s="3">
        <v>6.1</v>
      </c>
      <c r="V121" s="3">
        <f t="shared" si="11"/>
        <v>14</v>
      </c>
      <c r="W121" s="3" t="str">
        <f t="shared" si="12"/>
        <v>Ø20</v>
      </c>
      <c r="X121" s="3" t="str">
        <f t="shared" si="13"/>
        <v>Ø20</v>
      </c>
    </row>
    <row r="122" spans="17:24" x14ac:dyDescent="0.3">
      <c r="Q122" s="25" t="s">
        <v>135</v>
      </c>
      <c r="R122" s="3">
        <v>2</v>
      </c>
      <c r="S122" s="3">
        <v>2.5</v>
      </c>
      <c r="T122" s="21" t="str">
        <f t="shared" si="17"/>
        <v>КГВВнг(А)-LS (2х2,5)</v>
      </c>
      <c r="U122" s="3">
        <v>10.1</v>
      </c>
      <c r="V122" s="3">
        <f t="shared" si="11"/>
        <v>14</v>
      </c>
      <c r="W122" s="3" t="str">
        <f t="shared" si="12"/>
        <v>Ø20</v>
      </c>
      <c r="X122" s="3" t="str">
        <f t="shared" si="13"/>
        <v>Ø20</v>
      </c>
    </row>
    <row r="123" spans="17:24" x14ac:dyDescent="0.3">
      <c r="Q123" s="25" t="s">
        <v>135</v>
      </c>
      <c r="R123" s="3">
        <v>3</v>
      </c>
      <c r="S123" s="3">
        <v>2.5</v>
      </c>
      <c r="T123" s="21" t="str">
        <f t="shared" si="17"/>
        <v>КГВВнг(А)-LS (3х2,5)</v>
      </c>
      <c r="U123" s="3">
        <v>10.6</v>
      </c>
      <c r="V123" s="3">
        <f t="shared" si="11"/>
        <v>14</v>
      </c>
      <c r="W123" s="3" t="str">
        <f t="shared" si="12"/>
        <v>Ø20</v>
      </c>
      <c r="X123" s="3" t="str">
        <f t="shared" si="13"/>
        <v>Ø20</v>
      </c>
    </row>
    <row r="124" spans="17:24" x14ac:dyDescent="0.3">
      <c r="Q124" s="25" t="s">
        <v>135</v>
      </c>
      <c r="R124" s="3">
        <v>4</v>
      </c>
      <c r="S124" s="3">
        <v>2.5</v>
      </c>
      <c r="T124" s="21" t="str">
        <f t="shared" si="17"/>
        <v>КГВВнг(А)-LS (4х2,5)</v>
      </c>
      <c r="U124" s="3">
        <v>11.6</v>
      </c>
      <c r="V124" s="3">
        <f t="shared" si="11"/>
        <v>14</v>
      </c>
      <c r="W124" s="3" t="str">
        <f t="shared" si="12"/>
        <v>Ø20</v>
      </c>
      <c r="X124" s="3" t="str">
        <f t="shared" si="13"/>
        <v>Ø20</v>
      </c>
    </row>
    <row r="125" spans="17:24" x14ac:dyDescent="0.3">
      <c r="Q125" s="25" t="s">
        <v>135</v>
      </c>
      <c r="R125" s="3">
        <v>5</v>
      </c>
      <c r="S125" s="3">
        <v>2.5</v>
      </c>
      <c r="T125" s="21" t="str">
        <f t="shared" si="17"/>
        <v>КГВВнг(А)-LS (5х2,5)</v>
      </c>
      <c r="U125" s="3">
        <v>11</v>
      </c>
      <c r="V125" s="3">
        <f t="shared" si="11"/>
        <v>14</v>
      </c>
      <c r="W125" s="3" t="str">
        <f t="shared" si="12"/>
        <v>Ø20</v>
      </c>
      <c r="X125" s="3" t="str">
        <f t="shared" si="13"/>
        <v>Ø20</v>
      </c>
    </row>
    <row r="126" spans="17:24" x14ac:dyDescent="0.3">
      <c r="Q126" s="25" t="s">
        <v>135</v>
      </c>
      <c r="R126" s="3">
        <v>7</v>
      </c>
      <c r="S126" s="3">
        <v>2.5</v>
      </c>
      <c r="T126" s="21" t="str">
        <f t="shared" si="17"/>
        <v>КГВВнг(А)-LS (7х2,5)</v>
      </c>
      <c r="U126" s="3">
        <v>11.8</v>
      </c>
      <c r="V126" s="3">
        <f t="shared" si="11"/>
        <v>14.16</v>
      </c>
      <c r="W126" s="3" t="str">
        <f t="shared" si="12"/>
        <v>Ø20</v>
      </c>
      <c r="X126" s="3" t="str">
        <f t="shared" si="13"/>
        <v>Ø20</v>
      </c>
    </row>
    <row r="127" spans="17:24" x14ac:dyDescent="0.3">
      <c r="Q127" s="25" t="s">
        <v>135</v>
      </c>
      <c r="R127" s="3">
        <v>10</v>
      </c>
      <c r="S127" s="3">
        <v>2.5</v>
      </c>
      <c r="T127" s="21" t="str">
        <f t="shared" si="17"/>
        <v>КГВВнг(А)-LS (10х2,5)</v>
      </c>
      <c r="U127" s="3">
        <v>14.8</v>
      </c>
      <c r="V127" s="3">
        <f t="shared" si="11"/>
        <v>17.760000000000002</v>
      </c>
      <c r="W127" s="3" t="str">
        <f t="shared" si="12"/>
        <v>Ø25</v>
      </c>
      <c r="X127" s="3" t="str">
        <f t="shared" si="13"/>
        <v>Ø25</v>
      </c>
    </row>
    <row r="128" spans="17:24" x14ac:dyDescent="0.3">
      <c r="Q128" s="25" t="s">
        <v>135</v>
      </c>
      <c r="R128" s="3">
        <v>14</v>
      </c>
      <c r="S128" s="3">
        <v>2.5</v>
      </c>
      <c r="T128" s="21" t="str">
        <f t="shared" si="17"/>
        <v>КГВВнг(А)-LS (14х2,5)</v>
      </c>
      <c r="U128" s="3">
        <v>16</v>
      </c>
      <c r="V128" s="3">
        <f t="shared" si="11"/>
        <v>19.2</v>
      </c>
      <c r="W128" s="3" t="str">
        <f t="shared" si="12"/>
        <v>Ø32</v>
      </c>
      <c r="X128" s="3" t="str">
        <f t="shared" si="13"/>
        <v>Ø32</v>
      </c>
    </row>
    <row r="129" spans="17:24" x14ac:dyDescent="0.3">
      <c r="Q129" s="25" t="s">
        <v>135</v>
      </c>
      <c r="R129" s="3">
        <v>19</v>
      </c>
      <c r="S129" s="3">
        <v>2.5</v>
      </c>
      <c r="T129" s="21" t="str">
        <f t="shared" si="17"/>
        <v>КГВВнг(А)-LS (19х2,5)</v>
      </c>
      <c r="U129" s="3">
        <v>17.7</v>
      </c>
      <c r="V129" s="3">
        <f t="shared" si="11"/>
        <v>21.24</v>
      </c>
      <c r="W129" s="3" t="str">
        <f t="shared" si="12"/>
        <v>Ø32</v>
      </c>
      <c r="X129" s="3" t="str">
        <f t="shared" si="13"/>
        <v>Ø32</v>
      </c>
    </row>
    <row r="130" spans="17:24" x14ac:dyDescent="0.3">
      <c r="Q130" s="25" t="s">
        <v>135</v>
      </c>
      <c r="R130" s="3">
        <v>27</v>
      </c>
      <c r="S130" s="3">
        <v>2.5</v>
      </c>
      <c r="T130" s="21" t="str">
        <f t="shared" si="17"/>
        <v>КГВВнг(А)-LS (27х2,5)</v>
      </c>
      <c r="U130" s="3">
        <v>21.5</v>
      </c>
      <c r="V130" s="3">
        <f t="shared" si="11"/>
        <v>25.8</v>
      </c>
      <c r="W130" s="3" t="str">
        <f t="shared" si="12"/>
        <v>Ø40</v>
      </c>
      <c r="X130" s="3" t="str">
        <f t="shared" si="13"/>
        <v>Ø40</v>
      </c>
    </row>
    <row r="131" spans="17:24" x14ac:dyDescent="0.3">
      <c r="Q131" s="25" t="s">
        <v>135</v>
      </c>
      <c r="R131" s="3">
        <v>37</v>
      </c>
      <c r="S131" s="3">
        <v>2.5</v>
      </c>
      <c r="T131" s="21" t="str">
        <f t="shared" si="17"/>
        <v>КГВВнг(А)-LS (37х2,5)</v>
      </c>
      <c r="U131" s="3">
        <v>24.4</v>
      </c>
      <c r="V131" s="3">
        <f t="shared" si="11"/>
        <v>29.279999999999998</v>
      </c>
      <c r="W131" s="3" t="str">
        <f t="shared" si="12"/>
        <v>Ø40</v>
      </c>
      <c r="X131" s="3" t="str">
        <f t="shared" si="13"/>
        <v>Ø40</v>
      </c>
    </row>
    <row r="132" spans="17:24" x14ac:dyDescent="0.3">
      <c r="Q132" s="25" t="s">
        <v>135</v>
      </c>
      <c r="R132" s="3">
        <v>1</v>
      </c>
      <c r="S132" s="3">
        <v>4</v>
      </c>
      <c r="T132" s="21" t="str">
        <f t="shared" si="17"/>
        <v>КГВВнг(А)-LS (1х4)</v>
      </c>
      <c r="U132" s="3">
        <v>6.8</v>
      </c>
      <c r="V132" s="3">
        <f t="shared" si="11"/>
        <v>14</v>
      </c>
      <c r="W132" s="3" t="str">
        <f t="shared" si="12"/>
        <v>Ø20</v>
      </c>
      <c r="X132" s="3" t="str">
        <f t="shared" si="13"/>
        <v>Ø20</v>
      </c>
    </row>
    <row r="133" spans="17:24" x14ac:dyDescent="0.3">
      <c r="Q133" s="25" t="s">
        <v>135</v>
      </c>
      <c r="R133" s="3">
        <v>2</v>
      </c>
      <c r="S133" s="3">
        <v>4</v>
      </c>
      <c r="T133" s="21" t="str">
        <f t="shared" si="17"/>
        <v>КГВВнг(А)-LS (2х4)</v>
      </c>
      <c r="U133" s="3">
        <v>11.1</v>
      </c>
      <c r="V133" s="3">
        <f t="shared" ref="V133:V158" si="18">IF((U133*1.2)&lt;14,14,U133*1.2)</f>
        <v>14</v>
      </c>
      <c r="W133" s="3" t="str">
        <f t="shared" ref="W133:W196" si="19">"Ø"&amp;VLOOKUP(V133,$Z$4:$AA$10,2,TRUE)</f>
        <v>Ø20</v>
      </c>
      <c r="X133" s="3" t="str">
        <f t="shared" ref="X133:X196" si="20">"Ø"&amp;VLOOKUP(V133,$AD$4:$AE$10,2,TRUE)</f>
        <v>Ø20</v>
      </c>
    </row>
    <row r="134" spans="17:24" x14ac:dyDescent="0.3">
      <c r="Q134" s="25" t="s">
        <v>135</v>
      </c>
      <c r="R134" s="3">
        <v>3</v>
      </c>
      <c r="S134" s="3">
        <v>4</v>
      </c>
      <c r="T134" s="21" t="str">
        <f t="shared" si="17"/>
        <v>КГВВнг(А)-LS (3х4)</v>
      </c>
      <c r="U134" s="3">
        <v>11.8</v>
      </c>
      <c r="V134" s="3">
        <f t="shared" si="18"/>
        <v>14.16</v>
      </c>
      <c r="W134" s="3" t="str">
        <f t="shared" si="19"/>
        <v>Ø20</v>
      </c>
      <c r="X134" s="3" t="str">
        <f t="shared" si="20"/>
        <v>Ø20</v>
      </c>
    </row>
    <row r="135" spans="17:24" x14ac:dyDescent="0.3">
      <c r="Q135" s="25" t="s">
        <v>135</v>
      </c>
      <c r="R135" s="3">
        <v>4</v>
      </c>
      <c r="S135" s="3">
        <v>4</v>
      </c>
      <c r="T135" s="21" t="str">
        <f t="shared" si="17"/>
        <v>КГВВнг(А)-LS (4х4)</v>
      </c>
      <c r="U135" s="3">
        <v>12.8</v>
      </c>
      <c r="V135" s="3">
        <f t="shared" si="18"/>
        <v>15.36</v>
      </c>
      <c r="W135" s="3" t="str">
        <f t="shared" si="19"/>
        <v>Ø25</v>
      </c>
      <c r="X135" s="3" t="str">
        <f t="shared" si="20"/>
        <v>Ø25</v>
      </c>
    </row>
    <row r="136" spans="17:24" x14ac:dyDescent="0.3">
      <c r="Q136" s="25" t="s">
        <v>135</v>
      </c>
      <c r="R136" s="3">
        <v>5</v>
      </c>
      <c r="S136" s="3">
        <v>4</v>
      </c>
      <c r="T136" s="21" t="str">
        <f t="shared" si="17"/>
        <v>КГВВнг(А)-LS (5х4)</v>
      </c>
      <c r="U136" s="3">
        <v>14</v>
      </c>
      <c r="V136" s="3">
        <f t="shared" si="18"/>
        <v>16.8</v>
      </c>
      <c r="W136" s="3" t="str">
        <f t="shared" si="19"/>
        <v>Ø25</v>
      </c>
      <c r="X136" s="3" t="str">
        <f t="shared" si="20"/>
        <v>Ø25</v>
      </c>
    </row>
    <row r="137" spans="17:24" x14ac:dyDescent="0.3">
      <c r="Q137" s="25" t="s">
        <v>135</v>
      </c>
      <c r="R137" s="3">
        <v>7</v>
      </c>
      <c r="S137" s="3">
        <v>4</v>
      </c>
      <c r="T137" s="21" t="str">
        <f t="shared" si="17"/>
        <v>КГВВнг(А)-LS (7х4)</v>
      </c>
      <c r="U137" s="3">
        <v>15.1</v>
      </c>
      <c r="V137" s="3">
        <f t="shared" si="18"/>
        <v>18.119999999999997</v>
      </c>
      <c r="W137" s="3" t="str">
        <f t="shared" si="19"/>
        <v>Ø25</v>
      </c>
      <c r="X137" s="3" t="str">
        <f t="shared" si="20"/>
        <v>Ø25</v>
      </c>
    </row>
    <row r="138" spans="17:24" x14ac:dyDescent="0.3">
      <c r="Q138" s="25" t="s">
        <v>135</v>
      </c>
      <c r="R138" s="3">
        <v>10</v>
      </c>
      <c r="S138" s="3">
        <v>4</v>
      </c>
      <c r="T138" s="21" t="str">
        <f t="shared" si="17"/>
        <v>КГВВнг(А)-LS (10х4)</v>
      </c>
      <c r="U138" s="3">
        <v>17.600000000000001</v>
      </c>
      <c r="V138" s="3">
        <f t="shared" si="18"/>
        <v>21.12</v>
      </c>
      <c r="W138" s="3" t="str">
        <f t="shared" si="19"/>
        <v>Ø32</v>
      </c>
      <c r="X138" s="3" t="str">
        <f t="shared" si="20"/>
        <v>Ø32</v>
      </c>
    </row>
    <row r="139" spans="17:24" x14ac:dyDescent="0.3">
      <c r="Q139" s="25" t="s">
        <v>135</v>
      </c>
      <c r="R139" s="3">
        <v>1</v>
      </c>
      <c r="S139" s="3">
        <v>6</v>
      </c>
      <c r="T139" s="21" t="str">
        <f t="shared" si="17"/>
        <v>КГВВнг(А)-LS (1х6)</v>
      </c>
      <c r="U139" s="3">
        <v>7.3</v>
      </c>
      <c r="V139" s="3">
        <f t="shared" si="18"/>
        <v>14</v>
      </c>
      <c r="W139" s="3" t="str">
        <f t="shared" si="19"/>
        <v>Ø20</v>
      </c>
      <c r="X139" s="3" t="str">
        <f t="shared" si="20"/>
        <v>Ø20</v>
      </c>
    </row>
    <row r="140" spans="17:24" x14ac:dyDescent="0.3">
      <c r="Q140" s="25" t="s">
        <v>135</v>
      </c>
      <c r="R140" s="3">
        <v>2</v>
      </c>
      <c r="S140" s="3">
        <v>6</v>
      </c>
      <c r="T140" s="21" t="str">
        <f t="shared" si="17"/>
        <v>КГВВнг(А)-LS (2х6)</v>
      </c>
      <c r="U140" s="3">
        <v>12.3</v>
      </c>
      <c r="V140" s="3">
        <f t="shared" si="18"/>
        <v>14.76</v>
      </c>
      <c r="W140" s="3" t="str">
        <f t="shared" si="19"/>
        <v>Ø20</v>
      </c>
      <c r="X140" s="3" t="str">
        <f t="shared" si="20"/>
        <v>Ø25</v>
      </c>
    </row>
    <row r="141" spans="17:24" x14ac:dyDescent="0.3">
      <c r="Q141" s="25" t="s">
        <v>135</v>
      </c>
      <c r="R141" s="3">
        <v>3</v>
      </c>
      <c r="S141" s="3">
        <v>6</v>
      </c>
      <c r="T141" s="21" t="str">
        <f t="shared" si="17"/>
        <v>КГВВнг(А)-LS (3х6)</v>
      </c>
      <c r="U141" s="3">
        <v>13</v>
      </c>
      <c r="V141" s="3">
        <f t="shared" si="18"/>
        <v>15.6</v>
      </c>
      <c r="W141" s="3" t="str">
        <f t="shared" si="19"/>
        <v>Ø25</v>
      </c>
      <c r="X141" s="3" t="str">
        <f t="shared" si="20"/>
        <v>Ø25</v>
      </c>
    </row>
    <row r="142" spans="17:24" x14ac:dyDescent="0.3">
      <c r="Q142" s="25" t="s">
        <v>135</v>
      </c>
      <c r="R142" s="3">
        <v>4</v>
      </c>
      <c r="S142" s="3">
        <v>6</v>
      </c>
      <c r="T142" s="21" t="str">
        <f t="shared" si="17"/>
        <v>КГВВнг(А)-LS (4х6)</v>
      </c>
      <c r="U142" s="3">
        <v>14.2</v>
      </c>
      <c r="V142" s="3">
        <f t="shared" si="18"/>
        <v>17.04</v>
      </c>
      <c r="W142" s="3" t="str">
        <f t="shared" si="19"/>
        <v>Ø25</v>
      </c>
      <c r="X142" s="3" t="str">
        <f t="shared" si="20"/>
        <v>Ø25</v>
      </c>
    </row>
    <row r="143" spans="17:24" x14ac:dyDescent="0.3">
      <c r="Q143" s="25" t="s">
        <v>135</v>
      </c>
      <c r="R143" s="3">
        <v>5</v>
      </c>
      <c r="S143" s="3">
        <v>6</v>
      </c>
      <c r="T143" s="21" t="str">
        <f t="shared" si="17"/>
        <v>КГВВнг(А)-LS (5х6)</v>
      </c>
      <c r="U143" s="3">
        <v>15.6</v>
      </c>
      <c r="V143" s="3">
        <f t="shared" si="18"/>
        <v>18.72</v>
      </c>
      <c r="W143" s="3" t="str">
        <f t="shared" si="19"/>
        <v>Ø25</v>
      </c>
      <c r="X143" s="3" t="str">
        <f t="shared" si="20"/>
        <v>Ø32</v>
      </c>
    </row>
    <row r="144" spans="17:24" x14ac:dyDescent="0.3">
      <c r="Q144" s="3" t="s">
        <v>170</v>
      </c>
      <c r="R144" s="3">
        <v>1</v>
      </c>
      <c r="S144" s="3">
        <v>1.5</v>
      </c>
      <c r="T144" s="21" t="str">
        <f t="shared" si="17"/>
        <v>ПуГВ (1х1,5)</v>
      </c>
      <c r="U144" s="3">
        <v>3</v>
      </c>
      <c r="V144" s="3">
        <f t="shared" si="18"/>
        <v>14</v>
      </c>
      <c r="W144" s="3" t="str">
        <f t="shared" si="19"/>
        <v>Ø20</v>
      </c>
      <c r="X144" s="3" t="str">
        <f t="shared" si="20"/>
        <v>Ø20</v>
      </c>
    </row>
    <row r="145" spans="17:24" x14ac:dyDescent="0.3">
      <c r="Q145" s="3" t="s">
        <v>170</v>
      </c>
      <c r="R145" s="3">
        <v>1</v>
      </c>
      <c r="S145" s="3">
        <v>2.5</v>
      </c>
      <c r="T145" s="21" t="str">
        <f t="shared" si="17"/>
        <v>ПуГВ (1х2,5)</v>
      </c>
      <c r="U145" s="3">
        <v>3.6</v>
      </c>
      <c r="V145" s="3">
        <f t="shared" si="18"/>
        <v>14</v>
      </c>
      <c r="W145" s="3" t="str">
        <f t="shared" si="19"/>
        <v>Ø20</v>
      </c>
      <c r="X145" s="3" t="str">
        <f t="shared" si="20"/>
        <v>Ø20</v>
      </c>
    </row>
    <row r="146" spans="17:24" x14ac:dyDescent="0.3">
      <c r="Q146" s="3" t="s">
        <v>170</v>
      </c>
      <c r="R146" s="3">
        <v>1</v>
      </c>
      <c r="S146" s="3">
        <v>4</v>
      </c>
      <c r="T146" s="21" t="str">
        <f t="shared" si="17"/>
        <v>ПуГВ (1х4)</v>
      </c>
      <c r="U146" s="3">
        <v>3.9</v>
      </c>
      <c r="V146" s="3">
        <f t="shared" si="18"/>
        <v>14</v>
      </c>
      <c r="W146" s="3" t="str">
        <f t="shared" si="19"/>
        <v>Ø20</v>
      </c>
      <c r="X146" s="3" t="str">
        <f t="shared" si="20"/>
        <v>Ø20</v>
      </c>
    </row>
    <row r="147" spans="17:24" x14ac:dyDescent="0.3">
      <c r="Q147" s="3" t="s">
        <v>170</v>
      </c>
      <c r="R147" s="3">
        <v>1</v>
      </c>
      <c r="S147" s="3">
        <v>6</v>
      </c>
      <c r="T147" s="21" t="str">
        <f t="shared" si="17"/>
        <v>ПуГВ (1х6)</v>
      </c>
      <c r="U147" s="3">
        <v>4.7</v>
      </c>
      <c r="V147" s="3">
        <f t="shared" si="18"/>
        <v>14</v>
      </c>
      <c r="W147" s="3" t="str">
        <f t="shared" si="19"/>
        <v>Ø20</v>
      </c>
      <c r="X147" s="3" t="str">
        <f t="shared" si="20"/>
        <v>Ø20</v>
      </c>
    </row>
    <row r="148" spans="17:24" x14ac:dyDescent="0.3">
      <c r="Q148" s="3" t="s">
        <v>170</v>
      </c>
      <c r="R148" s="3">
        <v>1</v>
      </c>
      <c r="S148" s="3">
        <v>10</v>
      </c>
      <c r="T148" s="21" t="str">
        <f t="shared" si="17"/>
        <v>ПуГВ (1х10)</v>
      </c>
      <c r="U148" s="3">
        <v>6</v>
      </c>
      <c r="V148" s="3">
        <f t="shared" si="18"/>
        <v>14</v>
      </c>
      <c r="W148" s="3" t="str">
        <f t="shared" si="19"/>
        <v>Ø20</v>
      </c>
      <c r="X148" s="3" t="str">
        <f t="shared" si="20"/>
        <v>Ø20</v>
      </c>
    </row>
    <row r="149" spans="17:24" x14ac:dyDescent="0.3">
      <c r="Q149" s="3" t="s">
        <v>170</v>
      </c>
      <c r="R149" s="3">
        <v>1</v>
      </c>
      <c r="S149" s="3">
        <v>16</v>
      </c>
      <c r="T149" s="21" t="str">
        <f t="shared" si="17"/>
        <v>ПуГВ (1х16)</v>
      </c>
      <c r="U149" s="3">
        <v>7.6</v>
      </c>
      <c r="V149" s="3">
        <f t="shared" si="18"/>
        <v>14</v>
      </c>
      <c r="W149" s="3" t="str">
        <f t="shared" si="19"/>
        <v>Ø20</v>
      </c>
      <c r="X149" s="3" t="str">
        <f t="shared" si="20"/>
        <v>Ø20</v>
      </c>
    </row>
    <row r="150" spans="17:24" x14ac:dyDescent="0.3">
      <c r="Q150" s="3" t="s">
        <v>170</v>
      </c>
      <c r="R150" s="3">
        <v>1</v>
      </c>
      <c r="S150" s="3">
        <v>25</v>
      </c>
      <c r="T150" s="21" t="str">
        <f t="shared" si="17"/>
        <v>ПуГВ (1х25)</v>
      </c>
      <c r="U150" s="3">
        <v>9.6</v>
      </c>
      <c r="V150" s="3">
        <f t="shared" si="18"/>
        <v>14</v>
      </c>
      <c r="W150" s="3" t="str">
        <f t="shared" si="19"/>
        <v>Ø20</v>
      </c>
      <c r="X150" s="3" t="str">
        <f t="shared" si="20"/>
        <v>Ø20</v>
      </c>
    </row>
    <row r="151" spans="17:24" x14ac:dyDescent="0.3">
      <c r="Q151" s="3" t="s">
        <v>170</v>
      </c>
      <c r="R151" s="3">
        <v>1</v>
      </c>
      <c r="S151" s="3">
        <v>35</v>
      </c>
      <c r="T151" s="21" t="str">
        <f t="shared" si="17"/>
        <v>ПуГВ (1х35)</v>
      </c>
      <c r="U151" s="3">
        <v>10.9</v>
      </c>
      <c r="V151" s="3">
        <f t="shared" si="18"/>
        <v>14</v>
      </c>
      <c r="W151" s="3" t="str">
        <f t="shared" si="19"/>
        <v>Ø20</v>
      </c>
      <c r="X151" s="3" t="str">
        <f t="shared" si="20"/>
        <v>Ø20</v>
      </c>
    </row>
    <row r="152" spans="17:24" x14ac:dyDescent="0.3">
      <c r="Q152" s="3" t="s">
        <v>170</v>
      </c>
      <c r="R152" s="3">
        <v>1</v>
      </c>
      <c r="S152" s="3">
        <v>50</v>
      </c>
      <c r="T152" s="21" t="str">
        <f t="shared" si="17"/>
        <v>ПуГВ (1х50)</v>
      </c>
      <c r="U152" s="3">
        <v>12.6</v>
      </c>
      <c r="V152" s="3">
        <f t="shared" si="18"/>
        <v>15.12</v>
      </c>
      <c r="W152" s="3" t="str">
        <f t="shared" si="19"/>
        <v>Ø25</v>
      </c>
      <c r="X152" s="3" t="str">
        <f t="shared" si="20"/>
        <v>Ø25</v>
      </c>
    </row>
    <row r="153" spans="17:24" x14ac:dyDescent="0.3">
      <c r="Q153" s="3" t="s">
        <v>170</v>
      </c>
      <c r="R153" s="3">
        <v>1</v>
      </c>
      <c r="S153" s="3">
        <v>70</v>
      </c>
      <c r="T153" s="21" t="str">
        <f t="shared" si="17"/>
        <v>ПуГВ (1х70)</v>
      </c>
      <c r="U153" s="3">
        <v>14.6</v>
      </c>
      <c r="V153" s="3">
        <f t="shared" si="18"/>
        <v>17.52</v>
      </c>
      <c r="W153" s="3" t="str">
        <f t="shared" si="19"/>
        <v>Ø25</v>
      </c>
      <c r="X153" s="3" t="str">
        <f t="shared" si="20"/>
        <v>Ø25</v>
      </c>
    </row>
    <row r="154" spans="17:24" x14ac:dyDescent="0.3">
      <c r="Q154" s="3" t="s">
        <v>170</v>
      </c>
      <c r="R154" s="3">
        <v>1</v>
      </c>
      <c r="S154" s="3">
        <v>95</v>
      </c>
      <c r="T154" s="21" t="str">
        <f t="shared" si="17"/>
        <v>ПуГВ (1х95)</v>
      </c>
      <c r="U154" s="3">
        <v>17.2</v>
      </c>
      <c r="V154" s="3">
        <f t="shared" si="18"/>
        <v>20.639999999999997</v>
      </c>
      <c r="W154" s="3" t="str">
        <f t="shared" si="19"/>
        <v>Ø32</v>
      </c>
      <c r="X154" s="3" t="str">
        <f t="shared" si="20"/>
        <v>Ø32</v>
      </c>
    </row>
    <row r="155" spans="17:24" x14ac:dyDescent="0.3">
      <c r="Q155" s="3" t="s">
        <v>170</v>
      </c>
      <c r="R155" s="3">
        <v>1</v>
      </c>
      <c r="S155" s="3">
        <v>120</v>
      </c>
      <c r="T155" s="21" t="str">
        <f t="shared" si="17"/>
        <v>ПуГВ (1х120)</v>
      </c>
      <c r="U155" s="3">
        <v>18.8</v>
      </c>
      <c r="V155" s="3">
        <f t="shared" si="18"/>
        <v>22.56</v>
      </c>
      <c r="W155" s="3" t="str">
        <f t="shared" si="19"/>
        <v>Ø32</v>
      </c>
      <c r="X155" s="3" t="str">
        <f t="shared" si="20"/>
        <v>Ø32</v>
      </c>
    </row>
    <row r="156" spans="17:24" x14ac:dyDescent="0.3">
      <c r="Q156" s="3" t="s">
        <v>170</v>
      </c>
      <c r="R156" s="3">
        <v>1</v>
      </c>
      <c r="S156" s="3">
        <v>150</v>
      </c>
      <c r="T156" s="21" t="str">
        <f t="shared" si="17"/>
        <v>ПуГВ (1х150)</v>
      </c>
      <c r="U156" s="3">
        <v>21</v>
      </c>
      <c r="V156" s="3">
        <f t="shared" si="18"/>
        <v>25.2</v>
      </c>
      <c r="W156" s="3" t="str">
        <f t="shared" si="19"/>
        <v>Ø40</v>
      </c>
      <c r="X156" s="3" t="str">
        <f t="shared" si="20"/>
        <v>Ø40</v>
      </c>
    </row>
    <row r="157" spans="17:24" x14ac:dyDescent="0.3">
      <c r="Q157" s="3" t="s">
        <v>170</v>
      </c>
      <c r="R157" s="3">
        <v>1</v>
      </c>
      <c r="S157" s="3">
        <v>185</v>
      </c>
      <c r="T157" s="21" t="str">
        <f t="shared" si="17"/>
        <v>ПуГВ (1х185)</v>
      </c>
      <c r="U157" s="3">
        <v>23.4</v>
      </c>
      <c r="V157" s="3">
        <f t="shared" si="18"/>
        <v>28.08</v>
      </c>
      <c r="W157" s="3" t="str">
        <f t="shared" si="19"/>
        <v>Ø40</v>
      </c>
      <c r="X157" s="3" t="str">
        <f t="shared" si="20"/>
        <v>Ø40</v>
      </c>
    </row>
    <row r="158" spans="17:24" x14ac:dyDescent="0.3">
      <c r="Q158" s="3" t="s">
        <v>170</v>
      </c>
      <c r="R158" s="3">
        <v>1</v>
      </c>
      <c r="S158" s="3">
        <v>240</v>
      </c>
      <c r="T158" s="21" t="str">
        <f t="shared" si="17"/>
        <v>ПуГВ (1х240)</v>
      </c>
      <c r="U158" s="3">
        <v>27.3</v>
      </c>
      <c r="V158" s="3">
        <f t="shared" si="18"/>
        <v>32.76</v>
      </c>
      <c r="W158" s="3" t="str">
        <f t="shared" si="19"/>
        <v>Ø50</v>
      </c>
      <c r="X158" s="3" t="str">
        <f t="shared" si="20"/>
        <v>Ø50</v>
      </c>
    </row>
    <row r="159" spans="17:24" x14ac:dyDescent="0.3">
      <c r="Q159" s="3"/>
      <c r="R159" s="3"/>
      <c r="S159" s="3"/>
      <c r="T159" s="21" t="s">
        <v>222</v>
      </c>
      <c r="U159" s="3">
        <v>4.9000000000000004</v>
      </c>
      <c r="V159" s="3">
        <f t="shared" ref="V159:V196" si="21">U159*1.2</f>
        <v>5.88</v>
      </c>
      <c r="W159" s="3" t="str">
        <f t="shared" si="19"/>
        <v>Ø16</v>
      </c>
      <c r="X159" s="3" t="str">
        <f t="shared" si="20"/>
        <v>Ø16</v>
      </c>
    </row>
    <row r="160" spans="17:24" x14ac:dyDescent="0.3">
      <c r="Q160" s="3"/>
      <c r="R160" s="3"/>
      <c r="S160" s="3"/>
      <c r="T160" s="21" t="s">
        <v>203</v>
      </c>
      <c r="U160" s="3">
        <v>7</v>
      </c>
      <c r="V160" s="3">
        <f t="shared" si="21"/>
        <v>8.4</v>
      </c>
      <c r="W160" s="3" t="str">
        <f t="shared" si="19"/>
        <v>Ø16</v>
      </c>
      <c r="X160" s="3" t="str">
        <f t="shared" si="20"/>
        <v>Ø16</v>
      </c>
    </row>
    <row r="161" spans="17:25" x14ac:dyDescent="0.3">
      <c r="Q161" s="3"/>
      <c r="R161" s="3"/>
      <c r="S161" s="3"/>
      <c r="T161" s="21" t="s">
        <v>193</v>
      </c>
      <c r="U161" s="3"/>
      <c r="V161" s="3">
        <f t="shared" si="21"/>
        <v>0</v>
      </c>
      <c r="W161" s="3" t="str">
        <f t="shared" si="19"/>
        <v>Ø16</v>
      </c>
      <c r="X161" s="3" t="str">
        <f t="shared" si="20"/>
        <v>Ø16</v>
      </c>
    </row>
    <row r="162" spans="17:25" x14ac:dyDescent="0.3">
      <c r="Q162" s="3"/>
      <c r="R162" s="3"/>
      <c r="S162" s="3"/>
      <c r="T162" s="21" t="s">
        <v>194</v>
      </c>
      <c r="U162" s="3"/>
      <c r="V162" s="3">
        <f t="shared" si="21"/>
        <v>0</v>
      </c>
      <c r="W162" s="3" t="str">
        <f t="shared" si="19"/>
        <v>Ø16</v>
      </c>
      <c r="X162" s="3" t="str">
        <f t="shared" si="20"/>
        <v>Ø16</v>
      </c>
    </row>
    <row r="163" spans="17:25" x14ac:dyDescent="0.3">
      <c r="Q163" s="3"/>
      <c r="R163" s="3"/>
      <c r="S163" s="3"/>
      <c r="T163" s="21" t="s">
        <v>205</v>
      </c>
      <c r="U163" s="3"/>
      <c r="V163" s="3">
        <f t="shared" si="21"/>
        <v>0</v>
      </c>
      <c r="W163" s="3" t="str">
        <f t="shared" si="19"/>
        <v>Ø16</v>
      </c>
      <c r="X163" s="3" t="str">
        <f t="shared" si="20"/>
        <v>Ø16</v>
      </c>
    </row>
    <row r="164" spans="17:25" x14ac:dyDescent="0.3">
      <c r="Q164" s="3" t="s">
        <v>189</v>
      </c>
      <c r="R164" s="3"/>
      <c r="S164" s="3"/>
      <c r="T164" s="21"/>
      <c r="U164" s="3"/>
      <c r="V164" s="3">
        <f t="shared" si="21"/>
        <v>0</v>
      </c>
      <c r="W164" s="3" t="str">
        <f t="shared" si="19"/>
        <v>Ø16</v>
      </c>
      <c r="X164" s="3" t="str">
        <f t="shared" si="20"/>
        <v>Ø16</v>
      </c>
    </row>
    <row r="165" spans="17:25" x14ac:dyDescent="0.3">
      <c r="Q165" s="3"/>
      <c r="R165" s="3"/>
      <c r="S165" s="3"/>
      <c r="T165" s="21"/>
      <c r="U165" s="3"/>
      <c r="V165" s="3">
        <f t="shared" si="21"/>
        <v>0</v>
      </c>
      <c r="W165" s="3" t="str">
        <f t="shared" si="19"/>
        <v>Ø16</v>
      </c>
      <c r="X165" s="3" t="str">
        <f t="shared" si="20"/>
        <v>Ø16</v>
      </c>
    </row>
    <row r="166" spans="17:25" x14ac:dyDescent="0.3">
      <c r="Q166" s="3"/>
      <c r="R166" s="3"/>
      <c r="S166" s="3"/>
      <c r="T166" s="21"/>
      <c r="U166" s="3"/>
      <c r="V166" s="3">
        <f t="shared" si="21"/>
        <v>0</v>
      </c>
      <c r="W166" s="3" t="str">
        <f t="shared" si="19"/>
        <v>Ø16</v>
      </c>
      <c r="X166" s="3" t="str">
        <f t="shared" si="20"/>
        <v>Ø16</v>
      </c>
    </row>
    <row r="167" spans="17:25" x14ac:dyDescent="0.3">
      <c r="Q167" s="3" t="s">
        <v>190</v>
      </c>
      <c r="R167" s="3"/>
      <c r="S167" s="3"/>
      <c r="T167" s="21"/>
      <c r="U167" s="3"/>
      <c r="V167" s="3">
        <f t="shared" si="21"/>
        <v>0</v>
      </c>
      <c r="W167" s="3" t="str">
        <f t="shared" si="19"/>
        <v>Ø16</v>
      </c>
      <c r="X167" s="3" t="str">
        <f t="shared" si="20"/>
        <v>Ø16</v>
      </c>
    </row>
    <row r="168" spans="17:25" x14ac:dyDescent="0.3">
      <c r="Q168" s="3" t="s">
        <v>192</v>
      </c>
      <c r="R168" s="3"/>
      <c r="S168" s="3"/>
      <c r="T168" s="21"/>
      <c r="U168" s="3"/>
      <c r="V168" s="3">
        <f t="shared" si="21"/>
        <v>0</v>
      </c>
      <c r="W168" s="3" t="str">
        <f t="shared" si="19"/>
        <v>Ø16</v>
      </c>
      <c r="X168" s="3" t="str">
        <f t="shared" si="20"/>
        <v>Ø16</v>
      </c>
    </row>
    <row r="169" spans="17:25" x14ac:dyDescent="0.3">
      <c r="Q169" s="3" t="s">
        <v>12</v>
      </c>
      <c r="R169" s="3">
        <v>1</v>
      </c>
      <c r="S169" s="3">
        <v>10</v>
      </c>
      <c r="T169" s="21" t="str">
        <f>Q169&amp;" ("&amp;R169&amp;"х"&amp;S169&amp;")"</f>
        <v>ВВГнг(А)-LS (1х10)</v>
      </c>
      <c r="U169" s="3">
        <v>9.1999999999999993</v>
      </c>
      <c r="V169" s="3">
        <f>IF((U169*1.2)&lt;14,14,U169*1.2)</f>
        <v>14</v>
      </c>
      <c r="W169" s="3" t="str">
        <f>"Ø"&amp;VLOOKUP(V169,$Z$4:$AA$10,2,TRUE)</f>
        <v>Ø20</v>
      </c>
      <c r="X169" s="3" t="str">
        <f>"Ø"&amp;VLOOKUP(V169,$AD$4:$AE$10,2,TRUE)</f>
        <v>Ø20</v>
      </c>
      <c r="Y169" s="120" t="s">
        <v>1782</v>
      </c>
    </row>
    <row r="170" spans="17:25" x14ac:dyDescent="0.3">
      <c r="Q170" s="3" t="s">
        <v>12</v>
      </c>
      <c r="R170" s="3">
        <v>1</v>
      </c>
      <c r="S170" s="3">
        <v>16</v>
      </c>
      <c r="T170" s="21" t="str">
        <f>Q170&amp;" ("&amp;R170&amp;"х"&amp;S170&amp;")"</f>
        <v>ВВГнг(А)-LS (1х16)</v>
      </c>
      <c r="U170" s="3">
        <v>10.1</v>
      </c>
      <c r="V170" s="3">
        <f>IF((U170*1.2)&lt;14,14,U170*1.2)</f>
        <v>14</v>
      </c>
      <c r="W170" s="3" t="str">
        <f>"Ø"&amp;VLOOKUP(V170,$Z$4:$AA$10,2,TRUE)</f>
        <v>Ø20</v>
      </c>
      <c r="X170" s="3" t="str">
        <f>"Ø"&amp;VLOOKUP(V170,$AD$4:$AE$10,2,TRUE)</f>
        <v>Ø20</v>
      </c>
    </row>
    <row r="171" spans="17:25" x14ac:dyDescent="0.3">
      <c r="Q171" s="3" t="s">
        <v>12</v>
      </c>
      <c r="R171" s="3">
        <v>1</v>
      </c>
      <c r="S171" s="3">
        <v>25</v>
      </c>
      <c r="T171" s="21" t="str">
        <f>Q171&amp;" ("&amp;R171&amp;"х"&amp;S171&amp;")"</f>
        <v>ВВГнг(А)-LS (1х25)</v>
      </c>
      <c r="U171" s="3">
        <v>11.6</v>
      </c>
      <c r="V171" s="3">
        <f>IF((U171*1.2)&lt;14,14,U171*1.2)</f>
        <v>14</v>
      </c>
      <c r="W171" s="3" t="str">
        <f>"Ø"&amp;VLOOKUP(V171,$Z$4:$AA$10,2,TRUE)</f>
        <v>Ø20</v>
      </c>
      <c r="X171" s="3" t="str">
        <f>"Ø"&amp;VLOOKUP(V171,$AD$4:$AE$10,2,TRUE)</f>
        <v>Ø20</v>
      </c>
    </row>
    <row r="172" spans="17:25" x14ac:dyDescent="0.3">
      <c r="Q172" s="3" t="s">
        <v>12</v>
      </c>
      <c r="R172" s="3">
        <v>1</v>
      </c>
      <c r="S172" s="3">
        <v>35</v>
      </c>
      <c r="T172" s="21" t="str">
        <f>Q172&amp;" ("&amp;R172&amp;"х"&amp;S172&amp;")"</f>
        <v>ВВГнг(А)-LS (1х35)</v>
      </c>
      <c r="U172" s="25">
        <v>12.6</v>
      </c>
      <c r="V172" s="25">
        <f>IF((U172*1.2)&lt;14,14,U172*1.2)</f>
        <v>15.12</v>
      </c>
      <c r="W172" s="25" t="str">
        <f>"Ø"&amp;VLOOKUP(V172,$Z$4:$AA$10,2,TRUE)</f>
        <v>Ø25</v>
      </c>
      <c r="X172" s="25" t="str">
        <f>"Ø"&amp;VLOOKUP(V172,$AD$4:$AE$10,2,TRUE)</f>
        <v>Ø25</v>
      </c>
    </row>
    <row r="173" spans="17:25" x14ac:dyDescent="0.3">
      <c r="Q173" s="3" t="s">
        <v>12</v>
      </c>
      <c r="R173" s="3">
        <v>1</v>
      </c>
      <c r="S173" s="3">
        <v>50</v>
      </c>
      <c r="T173" s="21" t="str">
        <f>Q173&amp;" ("&amp;R173&amp;"х"&amp;S173&amp;")"</f>
        <v>ВВГнг(А)-LS (1х50)</v>
      </c>
      <c r="U173" s="3">
        <v>14.3</v>
      </c>
      <c r="V173" s="3">
        <f>IF((U173*1.2)&lt;14,14,U173*1.2)</f>
        <v>17.16</v>
      </c>
      <c r="W173" s="3" t="str">
        <f>"Ø"&amp;VLOOKUP(V173,$Z$4:$AA$10,2,TRUE)</f>
        <v>Ø25</v>
      </c>
      <c r="X173" s="3" t="str">
        <f>"Ø"&amp;VLOOKUP(V173,$AD$4:$AE$10,2,TRUE)</f>
        <v>Ø25</v>
      </c>
    </row>
    <row r="174" spans="17:25" x14ac:dyDescent="0.3">
      <c r="Q174" s="3" t="s">
        <v>12</v>
      </c>
      <c r="R174" s="3">
        <v>1</v>
      </c>
      <c r="S174" s="3">
        <v>70</v>
      </c>
      <c r="T174" s="21" t="str">
        <f>Q174&amp;" ("&amp;R174&amp;"х"&amp;S174&amp;")"</f>
        <v>ВВГнг(А)-LS (1х70)</v>
      </c>
      <c r="U174" s="3">
        <v>16</v>
      </c>
      <c r="V174" s="3">
        <f>IF((U174*1.2)&lt;14,14,U174*1.2)</f>
        <v>19.2</v>
      </c>
      <c r="W174" s="3" t="str">
        <f>"Ø"&amp;VLOOKUP(V174,$Z$4:$AA$10,2,TRUE)</f>
        <v>Ø32</v>
      </c>
      <c r="X174" s="3" t="str">
        <f>"Ø"&amp;VLOOKUP(V174,$AD$4:$AE$10,2,TRUE)</f>
        <v>Ø32</v>
      </c>
    </row>
    <row r="175" spans="17:25" x14ac:dyDescent="0.3">
      <c r="Q175" s="3" t="s">
        <v>12</v>
      </c>
      <c r="R175" s="3">
        <v>1</v>
      </c>
      <c r="S175" s="3">
        <v>95</v>
      </c>
      <c r="T175" s="21" t="str">
        <f>Q175&amp;" ("&amp;R175&amp;"х"&amp;S175&amp;")"</f>
        <v>ВВГнг(А)-LS (1х95)</v>
      </c>
      <c r="U175" s="3">
        <v>18</v>
      </c>
      <c r="V175" s="3">
        <f>IF((U175*1.2)&lt;14,14,U175*1.2)</f>
        <v>21.599999999999998</v>
      </c>
      <c r="W175" s="3" t="str">
        <f>"Ø"&amp;VLOOKUP(V175,$Z$4:$AA$10,2,TRUE)</f>
        <v>Ø32</v>
      </c>
      <c r="X175" s="3" t="str">
        <f>"Ø"&amp;VLOOKUP(V175,$AD$4:$AE$10,2,TRUE)</f>
        <v>Ø32</v>
      </c>
    </row>
    <row r="176" spans="17:25" x14ac:dyDescent="0.3">
      <c r="Q176" s="3" t="s">
        <v>12</v>
      </c>
      <c r="R176" s="3">
        <v>1</v>
      </c>
      <c r="S176" s="3">
        <v>120</v>
      </c>
      <c r="T176" s="21" t="str">
        <f>Q176&amp;" ("&amp;R176&amp;"х"&amp;S176&amp;")"</f>
        <v>ВВГнг(А)-LS (1х120)</v>
      </c>
      <c r="U176" s="3">
        <v>19.600000000000001</v>
      </c>
      <c r="V176" s="3">
        <f>IF((U176*1.2)&lt;14,14,U176*1.2)</f>
        <v>23.52</v>
      </c>
      <c r="W176" s="3" t="str">
        <f>"Ø"&amp;VLOOKUP(V176,$Z$4:$AA$10,2,TRUE)</f>
        <v>Ø32</v>
      </c>
      <c r="X176" s="3" t="str">
        <f>"Ø"&amp;VLOOKUP(V176,$AD$4:$AE$10,2,TRUE)</f>
        <v>Ø32</v>
      </c>
    </row>
    <row r="177" spans="17:24" x14ac:dyDescent="0.3">
      <c r="Q177" s="3" t="s">
        <v>12</v>
      </c>
      <c r="R177" s="3">
        <v>1</v>
      </c>
      <c r="S177" s="3">
        <v>150</v>
      </c>
      <c r="T177" s="21" t="str">
        <f>Q177&amp;" ("&amp;R177&amp;"х"&amp;S177&amp;")"</f>
        <v>ВВГнг(А)-LS (1х150)</v>
      </c>
      <c r="U177" s="3">
        <v>21.6</v>
      </c>
      <c r="V177" s="3">
        <f>IF((U177*1.2)&lt;14,14,U177*1.2)</f>
        <v>25.92</v>
      </c>
      <c r="W177" s="3" t="str">
        <f>"Ø"&amp;VLOOKUP(V177,$Z$4:$AA$10,2,TRUE)</f>
        <v>Ø40</v>
      </c>
      <c r="X177" s="3" t="str">
        <f>"Ø"&amp;VLOOKUP(V177,$AD$4:$AE$10,2,TRUE)</f>
        <v>Ø40</v>
      </c>
    </row>
    <row r="178" spans="17:24" x14ac:dyDescent="0.3">
      <c r="Q178" s="3" t="s">
        <v>12</v>
      </c>
      <c r="R178" s="3">
        <v>1</v>
      </c>
      <c r="S178" s="3">
        <v>185</v>
      </c>
      <c r="T178" s="21" t="str">
        <f>Q178&amp;" ("&amp;R178&amp;"х"&amp;S178&amp;")"</f>
        <v>ВВГнг(А)-LS (1х185)</v>
      </c>
      <c r="U178" s="3">
        <v>23.8</v>
      </c>
      <c r="V178" s="3">
        <f>IF((U178*1.2)&lt;14,14,U178*1.2)</f>
        <v>28.56</v>
      </c>
      <c r="W178" s="3" t="str">
        <f>"Ø"&amp;VLOOKUP(V178,$Z$4:$AA$10,2,TRUE)</f>
        <v>Ø40</v>
      </c>
      <c r="X178" s="3" t="str">
        <f>"Ø"&amp;VLOOKUP(V178,$AD$4:$AE$10,2,TRUE)</f>
        <v>Ø40</v>
      </c>
    </row>
    <row r="179" spans="17:24" x14ac:dyDescent="0.3">
      <c r="Q179" s="3" t="s">
        <v>12</v>
      </c>
      <c r="R179" s="3">
        <v>1</v>
      </c>
      <c r="S179" s="3">
        <v>240</v>
      </c>
      <c r="T179" s="21" t="str">
        <f>Q179&amp;" ("&amp;R179&amp;"х"&amp;S179&amp;")"</f>
        <v>ВВГнг(А)-LS (1х240)</v>
      </c>
      <c r="U179" s="3">
        <v>26.8</v>
      </c>
      <c r="V179" s="3">
        <f>IF((U179*1.2)&lt;14,14,U179*1.2)</f>
        <v>32.159999999999997</v>
      </c>
      <c r="W179" s="3" t="str">
        <f>"Ø"&amp;VLOOKUP(V179,$Z$4:$AA$10,2,TRUE)</f>
        <v>Ø50</v>
      </c>
      <c r="X179" s="3" t="str">
        <f>"Ø"&amp;VLOOKUP(V179,$AD$4:$AE$10,2,TRUE)</f>
        <v>Ø50</v>
      </c>
    </row>
    <row r="180" spans="17:24" x14ac:dyDescent="0.3">
      <c r="Q180" s="3" t="s">
        <v>12</v>
      </c>
      <c r="R180" s="3">
        <v>2</v>
      </c>
      <c r="S180" s="3">
        <v>10</v>
      </c>
      <c r="T180" s="21" t="str">
        <f>Q180&amp;" ("&amp;R180&amp;"х"&amp;S180&amp;")"</f>
        <v>ВВГнг(А)-LS (2х10)</v>
      </c>
      <c r="U180" s="3">
        <v>14.5</v>
      </c>
      <c r="V180" s="3">
        <f>IF((U180*1.2)&lt;14,14,U180*1.2)</f>
        <v>17.399999999999999</v>
      </c>
      <c r="W180" s="3" t="str">
        <f>"Ø"&amp;VLOOKUP(V180,$Z$4:$AA$10,2,TRUE)</f>
        <v>Ø25</v>
      </c>
      <c r="X180" s="3" t="str">
        <f>"Ø"&amp;VLOOKUP(V180,$AD$4:$AE$10,2,TRUE)</f>
        <v>Ø25</v>
      </c>
    </row>
    <row r="181" spans="17:24" x14ac:dyDescent="0.3">
      <c r="Q181" s="3" t="s">
        <v>12</v>
      </c>
      <c r="R181" s="3">
        <v>2</v>
      </c>
      <c r="S181" s="3">
        <v>16</v>
      </c>
      <c r="T181" s="21" t="str">
        <f>Q181&amp;" ("&amp;R181&amp;"х"&amp;S181&amp;")"</f>
        <v>ВВГнг(А)-LS (2х16)</v>
      </c>
      <c r="U181" s="3">
        <v>16.399999999999999</v>
      </c>
      <c r="V181" s="3">
        <f>IF((U181*1.2)&lt;14,14,U181*1.2)</f>
        <v>19.679999999999996</v>
      </c>
      <c r="W181" s="3" t="str">
        <f>"Ø"&amp;VLOOKUP(V181,$Z$4:$AA$10,2,TRUE)</f>
        <v>Ø32</v>
      </c>
      <c r="X181" s="3" t="str">
        <f>"Ø"&amp;VLOOKUP(V181,$AD$4:$AE$10,2,TRUE)</f>
        <v>Ø32</v>
      </c>
    </row>
    <row r="182" spans="17:24" x14ac:dyDescent="0.3">
      <c r="Q182" s="3" t="s">
        <v>12</v>
      </c>
      <c r="R182" s="3">
        <v>2</v>
      </c>
      <c r="S182" s="3">
        <v>25</v>
      </c>
      <c r="T182" s="21" t="str">
        <f>Q182&amp;" ("&amp;R182&amp;"х"&amp;S182&amp;")"</f>
        <v>ВВГнг(А)-LS (2х25)</v>
      </c>
      <c r="U182" s="3">
        <v>19.7</v>
      </c>
      <c r="V182" s="3">
        <f>IF((U182*1.2)&lt;14,14,U182*1.2)</f>
        <v>23.639999999999997</v>
      </c>
      <c r="W182" s="3" t="str">
        <f>"Ø"&amp;VLOOKUP(V182,$Z$4:$AA$10,2,TRUE)</f>
        <v>Ø32</v>
      </c>
      <c r="X182" s="3" t="str">
        <f>"Ø"&amp;VLOOKUP(V182,$AD$4:$AE$10,2,TRUE)</f>
        <v>Ø32</v>
      </c>
    </row>
    <row r="183" spans="17:24" x14ac:dyDescent="0.3">
      <c r="Q183" s="3" t="s">
        <v>12</v>
      </c>
      <c r="R183" s="3">
        <v>2</v>
      </c>
      <c r="S183" s="3">
        <v>35</v>
      </c>
      <c r="T183" s="21" t="str">
        <f>Q183&amp;" ("&amp;R183&amp;"х"&amp;S183&amp;")"</f>
        <v>ВВГнг(А)-LS (2х35)</v>
      </c>
      <c r="U183" s="3">
        <v>21.7</v>
      </c>
      <c r="V183" s="3">
        <f>IF((U183*1.2)&lt;14,14,U183*1.2)</f>
        <v>26.04</v>
      </c>
      <c r="W183" s="3" t="str">
        <f>"Ø"&amp;VLOOKUP(V183,$Z$4:$AA$10,2,TRUE)</f>
        <v>Ø40</v>
      </c>
      <c r="X183" s="3" t="str">
        <f>"Ø"&amp;VLOOKUP(V183,$AD$4:$AE$10,2,TRUE)</f>
        <v>Ø40</v>
      </c>
    </row>
    <row r="184" spans="17:24" x14ac:dyDescent="0.3">
      <c r="Q184" s="3" t="s">
        <v>12</v>
      </c>
      <c r="R184" s="3">
        <v>2</v>
      </c>
      <c r="S184" s="3">
        <v>50</v>
      </c>
      <c r="T184" s="21" t="str">
        <f>Q184&amp;" ("&amp;R184&amp;"х"&amp;S184&amp;")"</f>
        <v>ВВГнг(А)-LS (2х50)</v>
      </c>
      <c r="U184" s="3">
        <v>25.5</v>
      </c>
      <c r="V184" s="3">
        <f>IF((U184*1.2)&lt;14,14,U184*1.2)</f>
        <v>30.599999999999998</v>
      </c>
      <c r="W184" s="3" t="str">
        <f>"Ø"&amp;VLOOKUP(V184,$Z$4:$AA$10,2,TRUE)</f>
        <v>Ø40</v>
      </c>
      <c r="X184" s="3" t="str">
        <f>"Ø"&amp;VLOOKUP(V184,$AD$4:$AE$10,2,TRUE)</f>
        <v>Ø40</v>
      </c>
    </row>
    <row r="185" spans="17:24" x14ac:dyDescent="0.3">
      <c r="Q185" s="3" t="s">
        <v>12</v>
      </c>
      <c r="R185" s="3">
        <v>3</v>
      </c>
      <c r="S185" s="3">
        <v>10</v>
      </c>
      <c r="T185" s="21" t="str">
        <f>Q185&amp;" ("&amp;R185&amp;"х"&amp;S185&amp;")"</f>
        <v>ВВГнг(А)-LS (3х10)</v>
      </c>
      <c r="U185" s="3">
        <v>15.3</v>
      </c>
      <c r="V185" s="3">
        <f>IF((U185*1.2)&lt;14,14,U185*1.2)</f>
        <v>18.36</v>
      </c>
      <c r="W185" s="3" t="str">
        <f>"Ø"&amp;VLOOKUP(V185,$Z$4:$AA$10,2,TRUE)</f>
        <v>Ø25</v>
      </c>
      <c r="X185" s="3" t="str">
        <f>"Ø"&amp;VLOOKUP(V185,$AD$4:$AE$10,2,TRUE)</f>
        <v>Ø25</v>
      </c>
    </row>
    <row r="186" spans="17:24" x14ac:dyDescent="0.3">
      <c r="Q186" s="3" t="s">
        <v>12</v>
      </c>
      <c r="R186" s="3">
        <v>3</v>
      </c>
      <c r="S186" s="3">
        <v>16</v>
      </c>
      <c r="T186" s="21" t="str">
        <f>Q186&amp;" ("&amp;R186&amp;"х"&amp;S186&amp;")"</f>
        <v>ВВГнг(А)-LS (3х16)</v>
      </c>
      <c r="U186" s="3">
        <v>17.3</v>
      </c>
      <c r="V186" s="3">
        <f>IF((U186*1.2)&lt;14,14,U186*1.2)</f>
        <v>20.76</v>
      </c>
      <c r="W186" s="3" t="str">
        <f>"Ø"&amp;VLOOKUP(V186,$Z$4:$AA$10,2,TRUE)</f>
        <v>Ø32</v>
      </c>
      <c r="X186" s="3" t="str">
        <f>"Ø"&amp;VLOOKUP(V186,$AD$4:$AE$10,2,TRUE)</f>
        <v>Ø32</v>
      </c>
    </row>
    <row r="187" spans="17:24" x14ac:dyDescent="0.3">
      <c r="Q187" s="3" t="s">
        <v>12</v>
      </c>
      <c r="R187" s="3">
        <v>3</v>
      </c>
      <c r="S187" s="3">
        <v>25</v>
      </c>
      <c r="T187" s="21" t="str">
        <f>Q187&amp;" ("&amp;R187&amp;"х"&amp;S187&amp;")"</f>
        <v>ВВГнг(А)-LS (3х25)</v>
      </c>
      <c r="U187" s="3">
        <v>20.9</v>
      </c>
      <c r="V187" s="3">
        <f>IF((U187*1.2)&lt;14,14,U187*1.2)</f>
        <v>25.08</v>
      </c>
      <c r="W187" s="3" t="str">
        <f>"Ø"&amp;VLOOKUP(V187,$Z$4:$AA$10,2,TRUE)</f>
        <v>Ø40</v>
      </c>
      <c r="X187" s="3" t="str">
        <f>"Ø"&amp;VLOOKUP(V187,$AD$4:$AE$10,2,TRUE)</f>
        <v>Ø40</v>
      </c>
    </row>
    <row r="188" spans="17:24" x14ac:dyDescent="0.3">
      <c r="Q188" s="3" t="s">
        <v>12</v>
      </c>
      <c r="R188" s="3">
        <v>3</v>
      </c>
      <c r="S188" s="3">
        <v>35</v>
      </c>
      <c r="T188" s="21" t="str">
        <f>Q188&amp;" ("&amp;R188&amp;"х"&amp;S188&amp;")"</f>
        <v>ВВГнг(А)-LS (3х35)</v>
      </c>
      <c r="U188" s="3">
        <v>23.4</v>
      </c>
      <c r="V188" s="3">
        <f>IF((U188*1.2)&lt;14,14,U188*1.2)</f>
        <v>28.08</v>
      </c>
      <c r="W188" s="3" t="str">
        <f>"Ø"&amp;VLOOKUP(V188,$Z$4:$AA$10,2,TRUE)</f>
        <v>Ø40</v>
      </c>
      <c r="X188" s="3" t="str">
        <f>"Ø"&amp;VLOOKUP(V188,$AD$4:$AE$10,2,TRUE)</f>
        <v>Ø40</v>
      </c>
    </row>
    <row r="189" spans="17:24" x14ac:dyDescent="0.3">
      <c r="Q189" s="3" t="s">
        <v>12</v>
      </c>
      <c r="R189" s="3">
        <v>3</v>
      </c>
      <c r="S189" s="3">
        <v>50</v>
      </c>
      <c r="T189" s="21" t="str">
        <f>Q189&amp;" ("&amp;R189&amp;"х"&amp;S189&amp;")"</f>
        <v>ВВГнг(А)-LS (3х50)</v>
      </c>
      <c r="U189" s="3">
        <v>26.6</v>
      </c>
      <c r="V189" s="3">
        <f>IF((U189*1.2)&lt;14,14,U189*1.2)</f>
        <v>31.92</v>
      </c>
      <c r="W189" s="3" t="str">
        <f>"Ø"&amp;VLOOKUP(V189,$Z$4:$AA$10,2,TRUE)</f>
        <v>Ø50</v>
      </c>
      <c r="X189" s="3" t="str">
        <f>"Ø"&amp;VLOOKUP(V189,$AD$4:$AE$10,2,TRUE)</f>
        <v>Ø50</v>
      </c>
    </row>
    <row r="190" spans="17:24" x14ac:dyDescent="0.3">
      <c r="Q190" s="3" t="s">
        <v>12</v>
      </c>
      <c r="R190" s="3">
        <v>3</v>
      </c>
      <c r="S190" s="3">
        <v>70</v>
      </c>
      <c r="T190" s="21" t="str">
        <f>Q190&amp;" ("&amp;R190&amp;"х"&amp;S190&amp;")"</f>
        <v>ВВГнг(А)-LS (3х70)</v>
      </c>
      <c r="U190" s="3">
        <v>26.7</v>
      </c>
      <c r="V190" s="3">
        <f>IF((U190*1.2)&lt;14,14,U190*1.2)</f>
        <v>32.04</v>
      </c>
      <c r="W190" s="3" t="str">
        <f>"Ø"&amp;VLOOKUP(V190,$Z$4:$AA$10,2,TRUE)</f>
        <v>Ø50</v>
      </c>
      <c r="X190" s="3" t="str">
        <f>"Ø"&amp;VLOOKUP(V190,$AD$4:$AE$10,2,TRUE)</f>
        <v>Ø50</v>
      </c>
    </row>
    <row r="191" spans="17:24" x14ac:dyDescent="0.3">
      <c r="Q191" s="3" t="s">
        <v>12</v>
      </c>
      <c r="R191" s="3">
        <v>3</v>
      </c>
      <c r="S191" s="3">
        <v>95</v>
      </c>
      <c r="T191" s="21" t="str">
        <f>Q191&amp;" ("&amp;R191&amp;"х"&amp;S191&amp;")"</f>
        <v>ВВГнг(А)-LS (3х95)</v>
      </c>
      <c r="U191" s="3">
        <v>30.4</v>
      </c>
      <c r="V191" s="3">
        <f>IF((U191*1.2)&lt;14,14,U191*1.2)</f>
        <v>36.479999999999997</v>
      </c>
      <c r="W191" s="3" t="str">
        <f>"Ø"&amp;VLOOKUP(V191,$Z$4:$AA$10,2,TRUE)</f>
        <v>Ø50</v>
      </c>
      <c r="X191" s="3" t="str">
        <f>"Ø"&amp;VLOOKUP(V191,$AD$4:$AE$10,2,TRUE)</f>
        <v>Ø50</v>
      </c>
    </row>
    <row r="192" spans="17:24" x14ac:dyDescent="0.3">
      <c r="Q192" s="3" t="s">
        <v>12</v>
      </c>
      <c r="R192" s="3">
        <v>3</v>
      </c>
      <c r="S192" s="3">
        <v>120</v>
      </c>
      <c r="T192" s="21" t="str">
        <f>Q192&amp;" ("&amp;R192&amp;"х"&amp;S192&amp;")"</f>
        <v>ВВГнг(А)-LS (3х120)</v>
      </c>
      <c r="U192" s="3">
        <v>33</v>
      </c>
      <c r="V192" s="3">
        <f>IF((U192*1.2)&lt;14,14,U192*1.2)</f>
        <v>39.6</v>
      </c>
      <c r="W192" s="3" t="str">
        <f>"Ø"&amp;VLOOKUP(V192,$Z$4:$AA$10,2,TRUE)</f>
        <v>Ø50</v>
      </c>
      <c r="X192" s="3" t="str">
        <f>"Ø"&amp;VLOOKUP(V192,$AD$4:$AE$10,2,TRUE)</f>
        <v>Øне исп</v>
      </c>
    </row>
    <row r="193" spans="17:24" x14ac:dyDescent="0.3">
      <c r="Q193" s="3" t="s">
        <v>12</v>
      </c>
      <c r="R193" s="3">
        <v>3</v>
      </c>
      <c r="S193" s="3">
        <v>150</v>
      </c>
      <c r="T193" s="21" t="str">
        <f>Q193&amp;" ("&amp;R193&amp;"х"&amp;S193&amp;")"</f>
        <v>ВВГнг(А)-LS (3х150)</v>
      </c>
      <c r="U193" s="3">
        <v>37.200000000000003</v>
      </c>
      <c r="V193" s="3">
        <f>IF((U193*1.2)&lt;14,14,U193*1.2)</f>
        <v>44.64</v>
      </c>
      <c r="W193" s="3" t="str">
        <f>"Ø"&amp;VLOOKUP(V193,$Z$4:$AA$10,2,TRUE)</f>
        <v>Øне исп</v>
      </c>
      <c r="X193" s="3" t="str">
        <f>"Ø"&amp;VLOOKUP(V193,$AD$4:$AE$10,2,TRUE)</f>
        <v>Øне исп</v>
      </c>
    </row>
    <row r="194" spans="17:24" x14ac:dyDescent="0.3">
      <c r="Q194" s="3" t="s">
        <v>12</v>
      </c>
      <c r="R194" s="3">
        <v>3</v>
      </c>
      <c r="S194" s="3">
        <v>185</v>
      </c>
      <c r="T194" s="21" t="str">
        <f>Q194&amp;" ("&amp;R194&amp;"х"&amp;S194&amp;")"</f>
        <v>ВВГнг(А)-LS (3х185)</v>
      </c>
      <c r="U194" s="3">
        <v>40.5</v>
      </c>
      <c r="V194" s="3">
        <f>IF((U194*1.2)&lt;14,14,U194*1.2)</f>
        <v>48.6</v>
      </c>
      <c r="W194" s="3" t="str">
        <f>"Ø"&amp;VLOOKUP(V194,$Z$4:$AA$10,2,TRUE)</f>
        <v>Øне исп</v>
      </c>
      <c r="X194" s="3" t="str">
        <f>"Ø"&amp;VLOOKUP(V194,$AD$4:$AE$10,2,TRUE)</f>
        <v>Øне исп</v>
      </c>
    </row>
    <row r="195" spans="17:24" x14ac:dyDescent="0.3">
      <c r="Q195" s="3" t="s">
        <v>12</v>
      </c>
      <c r="R195" s="3">
        <v>3</v>
      </c>
      <c r="S195" s="3">
        <v>240</v>
      </c>
      <c r="T195" s="21" t="str">
        <f>Q195&amp;" ("&amp;R195&amp;"х"&amp;S195&amp;")"</f>
        <v>ВВГнг(А)-LS (3х240)</v>
      </c>
      <c r="U195" s="3">
        <v>46.3</v>
      </c>
      <c r="V195" s="3">
        <f>IF((U195*1.2)&lt;14,14,U195*1.2)</f>
        <v>55.559999999999995</v>
      </c>
      <c r="W195" s="3" t="str">
        <f>"Ø"&amp;VLOOKUP(V195,$Z$4:$AA$10,2,TRUE)</f>
        <v>Øне исп</v>
      </c>
      <c r="X195" s="3" t="str">
        <f>"Ø"&amp;VLOOKUP(V195,$AD$4:$AE$10,2,TRUE)</f>
        <v>Øне исп</v>
      </c>
    </row>
    <row r="196" spans="17:24" x14ac:dyDescent="0.3">
      <c r="Q196" s="3" t="s">
        <v>12</v>
      </c>
      <c r="R196" s="3">
        <v>4</v>
      </c>
      <c r="S196" s="3">
        <v>10</v>
      </c>
      <c r="T196" s="21" t="str">
        <f>Q196&amp;" ("&amp;R196&amp;"х"&amp;S196&amp;")"</f>
        <v>ВВГнг(А)-LS (4х10)</v>
      </c>
      <c r="U196" s="3">
        <v>16.7</v>
      </c>
      <c r="V196" s="3">
        <f>IF((U196*1.2)&lt;14,14,U196*1.2)</f>
        <v>20.04</v>
      </c>
      <c r="W196" s="3" t="str">
        <f>"Ø"&amp;VLOOKUP(V196,$Z$4:$AA$10,2,TRUE)</f>
        <v>Ø32</v>
      </c>
      <c r="X196" s="3" t="str">
        <f>"Ø"&amp;VLOOKUP(V196,$AD$4:$AE$10,2,TRUE)</f>
        <v>Ø32</v>
      </c>
    </row>
    <row r="197" spans="17:24" x14ac:dyDescent="0.3">
      <c r="Q197" s="3" t="s">
        <v>12</v>
      </c>
      <c r="R197" s="3">
        <v>4</v>
      </c>
      <c r="S197" s="3">
        <v>16</v>
      </c>
      <c r="T197" s="21" t="str">
        <f>Q197&amp;" ("&amp;R197&amp;"х"&amp;S197&amp;")"</f>
        <v>ВВГнг(А)-LS (4х16)</v>
      </c>
      <c r="U197" s="3">
        <v>19.3</v>
      </c>
      <c r="V197" s="3">
        <f>IF((U197*1.2)&lt;14,14,U197*1.2)</f>
        <v>23.16</v>
      </c>
      <c r="W197" s="3" t="str">
        <f>"Ø"&amp;VLOOKUP(V197,$Z$4:$AA$10,2,TRUE)</f>
        <v>Ø32</v>
      </c>
      <c r="X197" s="3" t="str">
        <f>"Ø"&amp;VLOOKUP(V197,$AD$4:$AE$10,2,TRUE)</f>
        <v>Ø32</v>
      </c>
    </row>
    <row r="198" spans="17:24" x14ac:dyDescent="0.3">
      <c r="Q198" s="3" t="s">
        <v>12</v>
      </c>
      <c r="R198" s="3">
        <v>4</v>
      </c>
      <c r="S198" s="3">
        <v>25</v>
      </c>
      <c r="T198" s="21" t="str">
        <f>Q198&amp;" ("&amp;R198&amp;"х"&amp;S198&amp;")"</f>
        <v>ВВГнг(А)-LS (4х25)</v>
      </c>
      <c r="U198" s="3">
        <v>22.9</v>
      </c>
      <c r="V198" s="3">
        <f>IF((U198*1.2)&lt;14,14,U198*1.2)</f>
        <v>27.479999999999997</v>
      </c>
      <c r="W198" s="3" t="str">
        <f>"Ø"&amp;VLOOKUP(V198,$Z$4:$AA$10,2,TRUE)</f>
        <v>Ø40</v>
      </c>
      <c r="X198" s="3" t="str">
        <f>"Ø"&amp;VLOOKUP(V198,$AD$4:$AE$10,2,TRUE)</f>
        <v>Ø40</v>
      </c>
    </row>
    <row r="199" spans="17:24" x14ac:dyDescent="0.3">
      <c r="Q199" s="3" t="s">
        <v>12</v>
      </c>
      <c r="R199" s="3">
        <v>4</v>
      </c>
      <c r="S199" s="3">
        <v>35</v>
      </c>
      <c r="T199" s="21" t="str">
        <f>Q199&amp;" ("&amp;R199&amp;"х"&amp;S199&amp;")"</f>
        <v>ВВГнг(А)-LS (4х35)</v>
      </c>
      <c r="U199" s="3">
        <v>25.7</v>
      </c>
      <c r="V199" s="3">
        <f>IF((U199*1.2)&lt;14,14,U199*1.2)</f>
        <v>30.839999999999996</v>
      </c>
      <c r="W199" s="3" t="str">
        <f>"Ø"&amp;VLOOKUP(V199,$Z$4:$AA$10,2,TRUE)</f>
        <v>Ø40</v>
      </c>
      <c r="X199" s="3" t="str">
        <f>"Ø"&amp;VLOOKUP(V199,$AD$4:$AE$10,2,TRUE)</f>
        <v>Ø50</v>
      </c>
    </row>
    <row r="200" spans="17:24" x14ac:dyDescent="0.3">
      <c r="Q200" s="3" t="s">
        <v>12</v>
      </c>
      <c r="R200" s="3">
        <v>4</v>
      </c>
      <c r="S200" s="3">
        <v>50</v>
      </c>
      <c r="T200" s="21" t="str">
        <f>Q200&amp;" ("&amp;R200&amp;"х"&amp;S200&amp;")"</f>
        <v>ВВГнг(А)-LS (4х50)</v>
      </c>
      <c r="U200" s="3">
        <v>26.1</v>
      </c>
      <c r="V200" s="3">
        <f>IF((U200*1.2)&lt;14,14,U200*1.2)</f>
        <v>31.32</v>
      </c>
      <c r="W200" s="3" t="str">
        <f>"Ø"&amp;VLOOKUP(V200,$Z$4:$AA$10,2,TRUE)</f>
        <v>Ø40</v>
      </c>
      <c r="X200" s="3" t="str">
        <f>"Ø"&amp;VLOOKUP(V200,$AD$4:$AE$10,2,TRUE)</f>
        <v>Ø50</v>
      </c>
    </row>
    <row r="201" spans="17:24" x14ac:dyDescent="0.3">
      <c r="Q201" s="3" t="s">
        <v>12</v>
      </c>
      <c r="R201" s="3">
        <v>4</v>
      </c>
      <c r="S201" s="3">
        <v>70</v>
      </c>
      <c r="T201" s="21" t="str">
        <f>Q201&amp;" ("&amp;R201&amp;"х"&amp;S201&amp;")"</f>
        <v>ВВГнг(А)-LS (4х70)</v>
      </c>
      <c r="U201" s="3">
        <v>29.7</v>
      </c>
      <c r="V201" s="3">
        <f>IF((U201*1.2)&lt;14,14,U201*1.2)</f>
        <v>35.64</v>
      </c>
      <c r="W201" s="3" t="str">
        <f>"Ø"&amp;VLOOKUP(V201,$Z$4:$AA$10,2,TRUE)</f>
        <v>Ø50</v>
      </c>
      <c r="X201" s="3" t="str">
        <f>"Ø"&amp;VLOOKUP(V201,$AD$4:$AE$10,2,TRUE)</f>
        <v>Ø50</v>
      </c>
    </row>
    <row r="202" spans="17:24" x14ac:dyDescent="0.3">
      <c r="Q202" s="3" t="s">
        <v>12</v>
      </c>
      <c r="R202" s="3">
        <v>4</v>
      </c>
      <c r="S202" s="3">
        <v>95</v>
      </c>
      <c r="T202" s="21" t="str">
        <f>Q202&amp;" ("&amp;R202&amp;"х"&amp;S202&amp;")"</f>
        <v>ВВГнг(А)-LS (4х95)</v>
      </c>
      <c r="U202" s="3">
        <v>34.5</v>
      </c>
      <c r="V202" s="3">
        <f>IF((U202*1.2)&lt;14,14,U202*1.2)</f>
        <v>41.4</v>
      </c>
      <c r="W202" s="3" t="str">
        <f>"Ø"&amp;VLOOKUP(V202,$Z$4:$AA$10,2,TRUE)</f>
        <v>Øне исп</v>
      </c>
      <c r="X202" s="3" t="str">
        <f>"Ø"&amp;VLOOKUP(V202,$AD$4:$AE$10,2,TRUE)</f>
        <v>Øне исп</v>
      </c>
    </row>
    <row r="203" spans="17:24" x14ac:dyDescent="0.3">
      <c r="Q203" s="3" t="s">
        <v>12</v>
      </c>
      <c r="R203" s="3">
        <v>4</v>
      </c>
      <c r="S203" s="3">
        <v>120</v>
      </c>
      <c r="T203" s="21" t="str">
        <f>Q203&amp;" ("&amp;R203&amp;"х"&amp;S203&amp;")"</f>
        <v>ВВГнг(А)-LS (4х120)</v>
      </c>
      <c r="U203" s="3">
        <v>37.5</v>
      </c>
      <c r="V203" s="3">
        <f>IF((U203*1.2)&lt;14,14,U203*1.2)</f>
        <v>45</v>
      </c>
      <c r="W203" s="3" t="str">
        <f>"Ø"&amp;VLOOKUP(V203,$Z$4:$AA$10,2,TRUE)</f>
        <v>Øне исп</v>
      </c>
      <c r="X203" s="3" t="str">
        <f>"Ø"&amp;VLOOKUP(V203,$AD$4:$AE$10,2,TRUE)</f>
        <v>Øне исп</v>
      </c>
    </row>
    <row r="204" spans="17:24" x14ac:dyDescent="0.3">
      <c r="Q204" s="3" t="s">
        <v>12</v>
      </c>
      <c r="R204" s="3">
        <v>4</v>
      </c>
      <c r="S204" s="3">
        <v>150</v>
      </c>
      <c r="T204" s="21" t="str">
        <f>Q204&amp;" ("&amp;R204&amp;"х"&amp;S204&amp;")"</f>
        <v>ВВГнг(А)-LS (4х150)</v>
      </c>
      <c r="U204" s="3">
        <v>41.1</v>
      </c>
      <c r="V204" s="3">
        <f>IF((U204*1.2)&lt;14,14,U204*1.2)</f>
        <v>49.32</v>
      </c>
      <c r="W204" s="3" t="str">
        <f>"Ø"&amp;VLOOKUP(V204,$Z$4:$AA$10,2,TRUE)</f>
        <v>Øне исп</v>
      </c>
      <c r="X204" s="3" t="str">
        <f>"Ø"&amp;VLOOKUP(V204,$AD$4:$AE$10,2,TRUE)</f>
        <v>Øне исп</v>
      </c>
    </row>
    <row r="205" spans="17:24" x14ac:dyDescent="0.3">
      <c r="Q205" s="3" t="s">
        <v>12</v>
      </c>
      <c r="R205" s="3">
        <v>4</v>
      </c>
      <c r="S205" s="3">
        <v>185</v>
      </c>
      <c r="T205" s="21" t="str">
        <f>Q205&amp;" ("&amp;R205&amp;"х"&amp;S205&amp;")"</f>
        <v>ВВГнг(А)-LS (4х185)</v>
      </c>
      <c r="U205" s="3">
        <v>44.9</v>
      </c>
      <c r="V205" s="3">
        <f>IF((U205*1.2)&lt;14,14,U205*1.2)</f>
        <v>53.879999999999995</v>
      </c>
      <c r="W205" s="3" t="str">
        <f>"Ø"&amp;VLOOKUP(V205,$Z$4:$AA$10,2,TRUE)</f>
        <v>Øне исп</v>
      </c>
      <c r="X205" s="3" t="str">
        <f>"Ø"&amp;VLOOKUP(V205,$AD$4:$AE$10,2,TRUE)</f>
        <v>Øне исп</v>
      </c>
    </row>
    <row r="206" spans="17:24" x14ac:dyDescent="0.3">
      <c r="Q206" s="3" t="s">
        <v>12</v>
      </c>
      <c r="R206" s="3">
        <v>4</v>
      </c>
      <c r="S206" s="3">
        <v>240</v>
      </c>
      <c r="T206" s="21" t="str">
        <f>Q206&amp;" ("&amp;R206&amp;"х"&amp;S206&amp;")"</f>
        <v>ВВГнг(А)-LS (4х240)</v>
      </c>
      <c r="U206" s="3">
        <v>51.2</v>
      </c>
      <c r="V206" s="3">
        <f>IF((U206*1.2)&lt;14,14,U206*1.2)</f>
        <v>61.44</v>
      </c>
      <c r="W206" s="3" t="str">
        <f>"Ø"&amp;VLOOKUP(V206,$Z$4:$AA$10,2,TRUE)</f>
        <v>Øне исп</v>
      </c>
      <c r="X206" s="3" t="str">
        <f>"Ø"&amp;VLOOKUP(V206,$AD$4:$AE$10,2,TRUE)</f>
        <v>Øне исп</v>
      </c>
    </row>
    <row r="207" spans="17:24" x14ac:dyDescent="0.3">
      <c r="Q207" s="3" t="s">
        <v>12</v>
      </c>
      <c r="R207" s="3">
        <v>5</v>
      </c>
      <c r="S207" s="3">
        <v>10</v>
      </c>
      <c r="T207" s="21" t="str">
        <f>Q207&amp;" ("&amp;R207&amp;"х"&amp;S207&amp;")"</f>
        <v>ВВГнг(А)-LS (5х10)</v>
      </c>
      <c r="U207" s="3">
        <v>18.600000000000001</v>
      </c>
      <c r="V207" s="3">
        <f>IF((U207*1.2)&lt;14,14,U207*1.2)</f>
        <v>22.32</v>
      </c>
      <c r="W207" s="3" t="str">
        <f>"Ø"&amp;VLOOKUP(V207,$Z$4:$AA$10,2,TRUE)</f>
        <v>Ø32</v>
      </c>
      <c r="X207" s="3" t="str">
        <f>"Ø"&amp;VLOOKUP(V207,$AD$4:$AE$10,2,TRUE)</f>
        <v>Ø32</v>
      </c>
    </row>
    <row r="208" spans="17:24" x14ac:dyDescent="0.3">
      <c r="Q208" s="3" t="s">
        <v>12</v>
      </c>
      <c r="R208" s="3">
        <v>5</v>
      </c>
      <c r="S208" s="3">
        <v>16</v>
      </c>
      <c r="T208" s="21" t="str">
        <f>Q208&amp;" ("&amp;R208&amp;"х"&amp;S208&amp;")"</f>
        <v>ВВГнг(А)-LS (5х16)</v>
      </c>
      <c r="U208" s="3">
        <v>21.1</v>
      </c>
      <c r="V208" s="3">
        <f>IF((U208*1.2)&lt;14,14,U208*1.2)</f>
        <v>25.32</v>
      </c>
      <c r="W208" s="3" t="str">
        <f>"Ø"&amp;VLOOKUP(V208,$Z$4:$AA$10,2,TRUE)</f>
        <v>Ø40</v>
      </c>
      <c r="X208" s="3" t="str">
        <f>"Ø"&amp;VLOOKUP(V208,$AD$4:$AE$10,2,TRUE)</f>
        <v>Ø40</v>
      </c>
    </row>
    <row r="209" spans="17:24" x14ac:dyDescent="0.3">
      <c r="Q209" s="3" t="s">
        <v>12</v>
      </c>
      <c r="R209" s="3">
        <v>5</v>
      </c>
      <c r="S209" s="3">
        <v>25</v>
      </c>
      <c r="T209" s="21" t="str">
        <f>Q209&amp;" ("&amp;R209&amp;"х"&amp;S209&amp;")"</f>
        <v>ВВГнг(А)-LS (5х25)</v>
      </c>
      <c r="U209" s="3">
        <v>24.5</v>
      </c>
      <c r="V209" s="3">
        <f>IF((U209*1.2)&lt;14,14,U209*1.2)</f>
        <v>29.4</v>
      </c>
      <c r="W209" s="3" t="str">
        <f>"Ø"&amp;VLOOKUP(V209,$Z$4:$AA$10,2,TRUE)</f>
        <v>Ø40</v>
      </c>
      <c r="X209" s="3" t="str">
        <f>"Ø"&amp;VLOOKUP(V209,$AD$4:$AE$10,2,TRUE)</f>
        <v>Ø40</v>
      </c>
    </row>
    <row r="210" spans="17:24" x14ac:dyDescent="0.3">
      <c r="Q210" s="3" t="s">
        <v>12</v>
      </c>
      <c r="R210" s="3">
        <v>5</v>
      </c>
      <c r="S210" s="3">
        <v>35</v>
      </c>
      <c r="T210" s="21" t="str">
        <f>Q210&amp;" ("&amp;R210&amp;"х"&amp;S210&amp;")"</f>
        <v>ВВГнг(А)-LS (5х35)</v>
      </c>
      <c r="U210" s="3">
        <v>27.2</v>
      </c>
      <c r="V210" s="3">
        <f>IF((U210*1.2)&lt;14,14,U210*1.2)</f>
        <v>32.64</v>
      </c>
      <c r="W210" s="3" t="str">
        <f>"Ø"&amp;VLOOKUP(V210,$Z$4:$AA$10,2,TRUE)</f>
        <v>Ø50</v>
      </c>
      <c r="X210" s="3" t="str">
        <f>"Ø"&amp;VLOOKUP(V210,$AD$4:$AE$10,2,TRUE)</f>
        <v>Ø50</v>
      </c>
    </row>
    <row r="211" spans="17:24" x14ac:dyDescent="0.3">
      <c r="Q211" s="3" t="s">
        <v>12</v>
      </c>
      <c r="R211" s="3">
        <v>5</v>
      </c>
      <c r="S211" s="3">
        <v>50</v>
      </c>
      <c r="T211" s="21" t="str">
        <f>Q211&amp;" ("&amp;R211&amp;"х"&amp;S211&amp;")"</f>
        <v>ВВГнг(А)-LS (5х50)</v>
      </c>
      <c r="U211" s="3">
        <v>32.299999999999997</v>
      </c>
      <c r="V211" s="3">
        <f>IF((U211*1.2)&lt;14,14,U211*1.2)</f>
        <v>38.76</v>
      </c>
      <c r="W211" s="3" t="str">
        <f>"Ø"&amp;VLOOKUP(V211,$Z$4:$AA$10,2,TRUE)</f>
        <v>Ø50</v>
      </c>
      <c r="X211" s="3" t="str">
        <f>"Ø"&amp;VLOOKUP(V211,$AD$4:$AE$10,2,TRUE)</f>
        <v>Ø50</v>
      </c>
    </row>
    <row r="212" spans="17:24" x14ac:dyDescent="0.3">
      <c r="Q212" s="3" t="s">
        <v>12</v>
      </c>
      <c r="R212" s="3">
        <v>5</v>
      </c>
      <c r="S212" s="3">
        <v>70</v>
      </c>
      <c r="T212" s="21" t="str">
        <f>Q212&amp;" ("&amp;R212&amp;"х"&amp;S212&amp;")"</f>
        <v>ВВГнг(А)-LS (5х70)</v>
      </c>
      <c r="U212" s="3">
        <v>36.6</v>
      </c>
      <c r="V212" s="3">
        <f>IF((U212*1.2)&lt;14,14,U212*1.2)</f>
        <v>43.92</v>
      </c>
      <c r="W212" s="3" t="str">
        <f>"Ø"&amp;VLOOKUP(V212,$Z$4:$AA$10,2,TRUE)</f>
        <v>Øне исп</v>
      </c>
      <c r="X212" s="3" t="str">
        <f>"Ø"&amp;VLOOKUP(V212,$AD$4:$AE$10,2,TRUE)</f>
        <v>Øне исп</v>
      </c>
    </row>
    <row r="213" spans="17:24" x14ac:dyDescent="0.3">
      <c r="Q213" s="3" t="s">
        <v>12</v>
      </c>
      <c r="R213" s="3">
        <v>5</v>
      </c>
      <c r="S213" s="3">
        <v>95</v>
      </c>
      <c r="T213" s="21" t="str">
        <f>Q213&amp;" ("&amp;R213&amp;"х"&amp;S213&amp;")"</f>
        <v>ВВГнг(А)-LS (5х95)</v>
      </c>
      <c r="U213" s="3">
        <v>41.9</v>
      </c>
      <c r="V213" s="3">
        <f>IF((U213*1.2)&lt;14,14,U213*1.2)</f>
        <v>50.279999999999994</v>
      </c>
      <c r="W213" s="3" t="str">
        <f>"Ø"&amp;VLOOKUP(V213,$Z$4:$AA$10,2,TRUE)</f>
        <v>Øне исп</v>
      </c>
      <c r="X213" s="3" t="str">
        <f>"Ø"&amp;VLOOKUP(V213,$AD$4:$AE$10,2,TRUE)</f>
        <v>Øне исп</v>
      </c>
    </row>
    <row r="214" spans="17:24" x14ac:dyDescent="0.3">
      <c r="Q214" s="3" t="s">
        <v>12</v>
      </c>
      <c r="R214" s="3">
        <v>5</v>
      </c>
      <c r="S214" s="3">
        <v>120</v>
      </c>
      <c r="T214" s="21" t="str">
        <f>Q214&amp;" ("&amp;R214&amp;"х"&amp;S214&amp;")"</f>
        <v>ВВГнг(А)-LS (5х120)</v>
      </c>
      <c r="U214" s="3">
        <v>46</v>
      </c>
      <c r="V214" s="3">
        <f>IF((U214*1.2)&lt;14,14,U214*1.2)</f>
        <v>55.199999999999996</v>
      </c>
      <c r="W214" s="3" t="str">
        <f>"Ø"&amp;VLOOKUP(V214,$Z$4:$AA$10,2,TRUE)</f>
        <v>Øне исп</v>
      </c>
      <c r="X214" s="3" t="str">
        <f>"Ø"&amp;VLOOKUP(V214,$AD$4:$AE$10,2,TRUE)</f>
        <v>Øне исп</v>
      </c>
    </row>
    <row r="215" spans="17:24" x14ac:dyDescent="0.3">
      <c r="Q215" s="3" t="s">
        <v>12</v>
      </c>
      <c r="R215" s="3">
        <v>5</v>
      </c>
      <c r="S215" s="3">
        <v>150</v>
      </c>
      <c r="T215" s="21" t="str">
        <f>Q215&amp;" ("&amp;R215&amp;"х"&amp;S215&amp;")"</f>
        <v>ВВГнг(А)-LS (5х150)</v>
      </c>
      <c r="U215" s="3">
        <v>51.4</v>
      </c>
      <c r="V215" s="3">
        <f>IF((U215*1.2)&lt;14,14,U215*1.2)</f>
        <v>61.679999999999993</v>
      </c>
      <c r="W215" s="3" t="str">
        <f>"Ø"&amp;VLOOKUP(V215,$Z$4:$AA$10,2,TRUE)</f>
        <v>Øне исп</v>
      </c>
      <c r="X215" s="3" t="str">
        <f>"Ø"&amp;VLOOKUP(V215,$AD$4:$AE$10,2,TRUE)</f>
        <v>Øне исп</v>
      </c>
    </row>
    <row r="216" spans="17:24" x14ac:dyDescent="0.3">
      <c r="Q216" s="3" t="s">
        <v>12</v>
      </c>
      <c r="R216" s="3">
        <v>5</v>
      </c>
      <c r="S216" s="3">
        <v>185</v>
      </c>
      <c r="T216" s="21" t="str">
        <f>Q216&amp;" ("&amp;R216&amp;"х"&amp;S216&amp;")"</f>
        <v>ВВГнг(А)-LS (5х185)</v>
      </c>
      <c r="U216" s="3">
        <v>56.8</v>
      </c>
      <c r="V216" s="3">
        <f>IF((U216*1.2)&lt;14,14,U216*1.2)</f>
        <v>68.16</v>
      </c>
      <c r="W216" s="3" t="str">
        <f>"Ø"&amp;VLOOKUP(V216,$Z$4:$AA$10,2,TRUE)</f>
        <v>Øне исп</v>
      </c>
      <c r="X216" s="3" t="str">
        <f>"Ø"&amp;VLOOKUP(V216,$AD$4:$AE$10,2,TRUE)</f>
        <v>Øне исп</v>
      </c>
    </row>
    <row r="217" spans="17:24" x14ac:dyDescent="0.3">
      <c r="Q217" s="3" t="s">
        <v>145</v>
      </c>
      <c r="R217" s="3">
        <v>1</v>
      </c>
      <c r="S217" s="3">
        <v>10</v>
      </c>
      <c r="T217" s="21" t="str">
        <f>Q217&amp;" ("&amp;R217&amp;"х"&amp;S217&amp;")"</f>
        <v>ВВГнг(А)-FRLS (1х10)</v>
      </c>
      <c r="U217" s="3">
        <v>11.2</v>
      </c>
      <c r="V217" s="3">
        <f>IF((U217*1.2)&lt;14,14,U217*1.2)</f>
        <v>14</v>
      </c>
      <c r="W217" s="3" t="str">
        <f>"Ø"&amp;VLOOKUP(V217,$Z$4:$AA$10,2,TRUE)</f>
        <v>Ø20</v>
      </c>
      <c r="X217" s="3" t="str">
        <f>"Ø"&amp;VLOOKUP(V217,$AD$4:$AE$10,2,TRUE)</f>
        <v>Ø20</v>
      </c>
    </row>
    <row r="218" spans="17:24" x14ac:dyDescent="0.3">
      <c r="Q218" s="3" t="s">
        <v>145</v>
      </c>
      <c r="R218" s="3">
        <v>1</v>
      </c>
      <c r="S218" s="3">
        <v>16</v>
      </c>
      <c r="T218" s="21" t="str">
        <f>Q218&amp;" ("&amp;R218&amp;"х"&amp;S218&amp;")"</f>
        <v>ВВГнг(А)-FRLS (1х16)</v>
      </c>
      <c r="U218" s="3">
        <v>12.1</v>
      </c>
      <c r="V218" s="3">
        <f>IF((U218*1.2)&lt;14,14,U218*1.2)</f>
        <v>14.52</v>
      </c>
      <c r="W218" s="3" t="str">
        <f>"Ø"&amp;VLOOKUP(V218,$Z$4:$AA$10,2,TRUE)</f>
        <v>Ø20</v>
      </c>
      <c r="X218" s="3" t="str">
        <f>"Ø"&amp;VLOOKUP(V218,$AD$4:$AE$10,2,TRUE)</f>
        <v>Ø25</v>
      </c>
    </row>
    <row r="219" spans="17:24" x14ac:dyDescent="0.3">
      <c r="Q219" s="3" t="s">
        <v>145</v>
      </c>
      <c r="R219" s="3">
        <v>1</v>
      </c>
      <c r="S219" s="3">
        <v>25</v>
      </c>
      <c r="T219" s="21" t="str">
        <f>Q219&amp;" ("&amp;R219&amp;"х"&amp;S219&amp;")"</f>
        <v>ВВГнг(А)-FRLS (1х25)</v>
      </c>
      <c r="U219" s="3">
        <v>13.6</v>
      </c>
      <c r="V219" s="3">
        <f>IF((U219*1.2)&lt;14,14,U219*1.2)</f>
        <v>16.32</v>
      </c>
      <c r="W219" s="3" t="str">
        <f>"Ø"&amp;VLOOKUP(V219,$Z$4:$AA$10,2,TRUE)</f>
        <v>Ø25</v>
      </c>
      <c r="X219" s="3" t="str">
        <f>"Ø"&amp;VLOOKUP(V219,$AD$4:$AE$10,2,TRUE)</f>
        <v>Ø25</v>
      </c>
    </row>
    <row r="220" spans="17:24" x14ac:dyDescent="0.3">
      <c r="Q220" s="3" t="s">
        <v>145</v>
      </c>
      <c r="R220" s="3">
        <v>1</v>
      </c>
      <c r="S220" s="3">
        <v>35</v>
      </c>
      <c r="T220" s="21" t="str">
        <f>Q220&amp;" ("&amp;R220&amp;"х"&amp;S220&amp;")"</f>
        <v>ВВГнг(А)-FRLS (1х35)</v>
      </c>
      <c r="U220" s="3">
        <v>14.6</v>
      </c>
      <c r="V220" s="3">
        <f>IF((U220*1.2)&lt;14,14,U220*1.2)</f>
        <v>17.52</v>
      </c>
      <c r="W220" s="3" t="str">
        <f>"Ø"&amp;VLOOKUP(V220,$Z$4:$AA$10,2,TRUE)</f>
        <v>Ø25</v>
      </c>
      <c r="X220" s="3" t="str">
        <f>"Ø"&amp;VLOOKUP(V220,$AD$4:$AE$10,2,TRUE)</f>
        <v>Ø25</v>
      </c>
    </row>
    <row r="221" spans="17:24" x14ac:dyDescent="0.3">
      <c r="Q221" s="3" t="s">
        <v>145</v>
      </c>
      <c r="R221" s="3">
        <v>1</v>
      </c>
      <c r="S221" s="3">
        <v>50</v>
      </c>
      <c r="T221" s="21" t="str">
        <f>Q221&amp;" ("&amp;R221&amp;"х"&amp;S221&amp;")"</f>
        <v>ВВГнг(А)-FRLS (1х50)</v>
      </c>
      <c r="U221" s="3">
        <v>16.3</v>
      </c>
      <c r="V221" s="3">
        <f>IF((U221*1.2)&lt;14,14,U221*1.2)</f>
        <v>19.559999999999999</v>
      </c>
      <c r="W221" s="3" t="str">
        <f>"Ø"&amp;VLOOKUP(V221,$Z$4:$AA$10,2,TRUE)</f>
        <v>Ø32</v>
      </c>
      <c r="X221" s="3" t="str">
        <f>"Ø"&amp;VLOOKUP(V221,$AD$4:$AE$10,2,TRUE)</f>
        <v>Ø32</v>
      </c>
    </row>
    <row r="222" spans="17:24" x14ac:dyDescent="0.3">
      <c r="Q222" s="3" t="s">
        <v>145</v>
      </c>
      <c r="R222" s="3">
        <v>1</v>
      </c>
      <c r="S222" s="3">
        <v>70</v>
      </c>
      <c r="T222" s="21" t="str">
        <f>Q222&amp;" ("&amp;R222&amp;"х"&amp;S222&amp;")"</f>
        <v>ВВГнг(А)-FRLS (1х70)</v>
      </c>
      <c r="U222" s="3">
        <v>18</v>
      </c>
      <c r="V222" s="3">
        <f>IF((U222*1.2)&lt;14,14,U222*1.2)</f>
        <v>21.599999999999998</v>
      </c>
      <c r="W222" s="3" t="str">
        <f>"Ø"&amp;VLOOKUP(V222,$Z$4:$AA$10,2,TRUE)</f>
        <v>Ø32</v>
      </c>
      <c r="X222" s="3" t="str">
        <f>"Ø"&amp;VLOOKUP(V222,$AD$4:$AE$10,2,TRUE)</f>
        <v>Ø32</v>
      </c>
    </row>
    <row r="223" spans="17:24" x14ac:dyDescent="0.3">
      <c r="Q223" s="3" t="s">
        <v>145</v>
      </c>
      <c r="R223" s="3">
        <v>1</v>
      </c>
      <c r="S223" s="3">
        <v>95</v>
      </c>
      <c r="T223" s="21" t="str">
        <f>Q223&amp;" ("&amp;R223&amp;"х"&amp;S223&amp;")"</f>
        <v>ВВГнг(А)-FRLS (1х95)</v>
      </c>
      <c r="U223" s="3">
        <v>20</v>
      </c>
      <c r="V223" s="3">
        <f>IF((U223*1.2)&lt;14,14,U223*1.2)</f>
        <v>24</v>
      </c>
      <c r="W223" s="3" t="str">
        <f>"Ø"&amp;VLOOKUP(V223,$Z$4:$AA$10,2,TRUE)</f>
        <v>Ø32</v>
      </c>
      <c r="X223" s="3" t="str">
        <f>"Ø"&amp;VLOOKUP(V223,$AD$4:$AE$10,2,TRUE)</f>
        <v>Ø32</v>
      </c>
    </row>
    <row r="224" spans="17:24" x14ac:dyDescent="0.3">
      <c r="Q224" s="3" t="s">
        <v>145</v>
      </c>
      <c r="R224" s="3">
        <v>1</v>
      </c>
      <c r="S224" s="3">
        <v>120</v>
      </c>
      <c r="T224" s="21" t="str">
        <f>Q224&amp;" ("&amp;R224&amp;"х"&amp;S224&amp;")"</f>
        <v>ВВГнг(А)-FRLS (1х120)</v>
      </c>
      <c r="U224" s="3">
        <v>21.6</v>
      </c>
      <c r="V224" s="3">
        <f>IF((U224*1.2)&lt;14,14,U224*1.2)</f>
        <v>25.92</v>
      </c>
      <c r="W224" s="3" t="str">
        <f>"Ø"&amp;VLOOKUP(V224,$Z$4:$AA$10,2,TRUE)</f>
        <v>Ø40</v>
      </c>
      <c r="X224" s="3" t="str">
        <f>"Ø"&amp;VLOOKUP(V224,$AD$4:$AE$10,2,TRUE)</f>
        <v>Ø40</v>
      </c>
    </row>
    <row r="225" spans="17:24" x14ac:dyDescent="0.3">
      <c r="Q225" s="3" t="s">
        <v>145</v>
      </c>
      <c r="R225" s="3">
        <v>1</v>
      </c>
      <c r="S225" s="3">
        <v>150</v>
      </c>
      <c r="T225" s="21" t="str">
        <f>Q225&amp;" ("&amp;R225&amp;"х"&amp;S225&amp;")"</f>
        <v>ВВГнг(А)-FRLS (1х150)</v>
      </c>
      <c r="U225" s="3">
        <v>23.6</v>
      </c>
      <c r="V225" s="3">
        <f>IF((U225*1.2)&lt;14,14,U225*1.2)</f>
        <v>28.32</v>
      </c>
      <c r="W225" s="3" t="str">
        <f>"Ø"&amp;VLOOKUP(V225,$Z$4:$AA$10,2,TRUE)</f>
        <v>Ø40</v>
      </c>
      <c r="X225" s="3" t="str">
        <f>"Ø"&amp;VLOOKUP(V225,$AD$4:$AE$10,2,TRUE)</f>
        <v>Ø40</v>
      </c>
    </row>
    <row r="226" spans="17:24" x14ac:dyDescent="0.3">
      <c r="Q226" s="3" t="s">
        <v>145</v>
      </c>
      <c r="R226" s="3">
        <v>1</v>
      </c>
      <c r="S226" s="3">
        <v>185</v>
      </c>
      <c r="T226" s="21" t="str">
        <f>Q226&amp;" ("&amp;R226&amp;"х"&amp;S226&amp;")"</f>
        <v>ВВГнг(А)-FRLS (1х185)</v>
      </c>
      <c r="U226" s="3">
        <v>25.8</v>
      </c>
      <c r="V226" s="3">
        <f>IF((U226*1.2)&lt;14,14,U226*1.2)</f>
        <v>30.96</v>
      </c>
      <c r="W226" s="3" t="str">
        <f>"Ø"&amp;VLOOKUP(V226,$Z$4:$AA$10,2,TRUE)</f>
        <v>Ø40</v>
      </c>
      <c r="X226" s="3" t="str">
        <f>"Ø"&amp;VLOOKUP(V226,$AD$4:$AE$10,2,TRUE)</f>
        <v>Ø50</v>
      </c>
    </row>
    <row r="227" spans="17:24" x14ac:dyDescent="0.3">
      <c r="Q227" s="3" t="s">
        <v>145</v>
      </c>
      <c r="R227" s="3">
        <v>1</v>
      </c>
      <c r="S227" s="3">
        <v>240</v>
      </c>
      <c r="T227" s="21" t="str">
        <f>Q227&amp;" ("&amp;R227&amp;"х"&amp;S227&amp;")"</f>
        <v>ВВГнг(А)-FRLS (1х240)</v>
      </c>
      <c r="U227" s="3">
        <v>28.8</v>
      </c>
      <c r="V227" s="3">
        <f>IF((U227*1.2)&lt;14,14,U227*1.2)</f>
        <v>34.56</v>
      </c>
      <c r="W227" s="3" t="str">
        <f>"Ø"&amp;VLOOKUP(V227,$Z$4:$AA$10,2,TRUE)</f>
        <v>Ø50</v>
      </c>
      <c r="X227" s="3" t="str">
        <f>"Ø"&amp;VLOOKUP(V227,$AD$4:$AE$10,2,TRUE)</f>
        <v>Ø50</v>
      </c>
    </row>
    <row r="228" spans="17:24" x14ac:dyDescent="0.3">
      <c r="Q228" s="3" t="s">
        <v>145</v>
      </c>
      <c r="R228" s="3">
        <v>3</v>
      </c>
      <c r="S228" s="3">
        <v>10</v>
      </c>
      <c r="T228" s="21" t="str">
        <f>Q228&amp;" ("&amp;R228&amp;"х"&amp;S228&amp;")"</f>
        <v>ВВГнг(А)-FRLS (3х10)</v>
      </c>
      <c r="U228" s="3">
        <v>21.3</v>
      </c>
      <c r="V228" s="3">
        <f>IF((U228*1.2)&lt;14,14,U228*1.2)</f>
        <v>25.56</v>
      </c>
      <c r="W228" s="3" t="str">
        <f>"Ø"&amp;VLOOKUP(V228,$Z$4:$AA$10,2,TRUE)</f>
        <v>Ø40</v>
      </c>
      <c r="X228" s="3" t="str">
        <f>"Ø"&amp;VLOOKUP(V228,$AD$4:$AE$10,2,TRUE)</f>
        <v>Ø40</v>
      </c>
    </row>
    <row r="229" spans="17:24" x14ac:dyDescent="0.3">
      <c r="Q229" s="3" t="s">
        <v>145</v>
      </c>
      <c r="R229" s="3">
        <v>3</v>
      </c>
      <c r="S229" s="3">
        <v>16</v>
      </c>
      <c r="T229" s="21" t="str">
        <f>Q229&amp;" ("&amp;R229&amp;"х"&amp;S229&amp;")"</f>
        <v>ВВГнг(А)-FRLS (3х16)</v>
      </c>
      <c r="U229" s="3">
        <v>23.3</v>
      </c>
      <c r="V229" s="3">
        <f>IF((U229*1.2)&lt;14,14,U229*1.2)</f>
        <v>27.96</v>
      </c>
      <c r="W229" s="3" t="str">
        <f>"Ø"&amp;VLOOKUP(V229,$Z$4:$AA$10,2,TRUE)</f>
        <v>Ø40</v>
      </c>
      <c r="X229" s="3" t="str">
        <f>"Ø"&amp;VLOOKUP(V229,$AD$4:$AE$10,2,TRUE)</f>
        <v>Ø40</v>
      </c>
    </row>
    <row r="230" spans="17:24" x14ac:dyDescent="0.3">
      <c r="Q230" s="3" t="s">
        <v>145</v>
      </c>
      <c r="R230" s="3">
        <v>3</v>
      </c>
      <c r="S230" s="3">
        <v>25</v>
      </c>
      <c r="T230" s="21" t="str">
        <f>Q230&amp;" ("&amp;R230&amp;"х"&amp;S230&amp;")"</f>
        <v>ВВГнг(А)-FRLS (3х25)</v>
      </c>
      <c r="U230" s="3">
        <v>26.9</v>
      </c>
      <c r="V230" s="3">
        <f>IF((U230*1.2)&lt;14,14,U230*1.2)</f>
        <v>32.279999999999994</v>
      </c>
      <c r="W230" s="3" t="str">
        <f>"Ø"&amp;VLOOKUP(V230,$Z$4:$AA$10,2,TRUE)</f>
        <v>Ø50</v>
      </c>
      <c r="X230" s="3" t="str">
        <f>"Ø"&amp;VLOOKUP(V230,$AD$4:$AE$10,2,TRUE)</f>
        <v>Ø50</v>
      </c>
    </row>
    <row r="231" spans="17:24" x14ac:dyDescent="0.3">
      <c r="Q231" s="3" t="s">
        <v>145</v>
      </c>
      <c r="R231" s="3">
        <v>3</v>
      </c>
      <c r="S231" s="3">
        <v>35</v>
      </c>
      <c r="T231" s="21" t="str">
        <f>Q231&amp;" ("&amp;R231&amp;"х"&amp;S231&amp;")"</f>
        <v>ВВГнг(А)-FRLS (3х35)</v>
      </c>
      <c r="U231" s="3">
        <v>29.4</v>
      </c>
      <c r="V231" s="3">
        <f>IF((U231*1.2)&lt;14,14,U231*1.2)</f>
        <v>35.279999999999994</v>
      </c>
      <c r="W231" s="3" t="str">
        <f>"Ø"&amp;VLOOKUP(V231,$Z$4:$AA$10,2,TRUE)</f>
        <v>Ø50</v>
      </c>
      <c r="X231" s="3" t="str">
        <f>"Ø"&amp;VLOOKUP(V231,$AD$4:$AE$10,2,TRUE)</f>
        <v>Ø50</v>
      </c>
    </row>
    <row r="232" spans="17:24" x14ac:dyDescent="0.3">
      <c r="Q232" s="3" t="s">
        <v>145</v>
      </c>
      <c r="R232" s="3">
        <v>3</v>
      </c>
      <c r="S232" s="3">
        <v>50</v>
      </c>
      <c r="T232" s="21" t="str">
        <f>Q232&amp;" ("&amp;R232&amp;"х"&amp;S232&amp;")"</f>
        <v>ВВГнг(А)-FRLS (3х50)</v>
      </c>
      <c r="U232" s="3">
        <v>32.6</v>
      </c>
      <c r="V232" s="3">
        <f>IF((U232*1.2)&lt;14,14,U232*1.2)</f>
        <v>39.119999999999997</v>
      </c>
      <c r="W232" s="3" t="str">
        <f>"Ø"&amp;VLOOKUP(V232,$Z$4:$AA$10,2,TRUE)</f>
        <v>Ø50</v>
      </c>
      <c r="X232" s="3" t="str">
        <f>"Ø"&amp;VLOOKUP(V232,$AD$4:$AE$10,2,TRUE)</f>
        <v>Øне исп</v>
      </c>
    </row>
    <row r="233" spans="17:24" x14ac:dyDescent="0.3">
      <c r="Q233" s="3" t="s">
        <v>145</v>
      </c>
      <c r="R233" s="3">
        <v>5</v>
      </c>
      <c r="S233" s="3">
        <v>10</v>
      </c>
      <c r="T233" s="21" t="str">
        <f>Q233&amp;" ("&amp;R233&amp;"х"&amp;S233&amp;")"</f>
        <v>ВВГнг(А)-FRLS (5х10)</v>
      </c>
      <c r="U233" s="3">
        <v>24.6</v>
      </c>
      <c r="V233" s="3">
        <f>IF((U233*1.2)&lt;14,14,U233*1.2)</f>
        <v>29.52</v>
      </c>
      <c r="W233" s="3" t="str">
        <f>"Ø"&amp;VLOOKUP(V233,$Z$4:$AA$10,2,TRUE)</f>
        <v>Ø40</v>
      </c>
      <c r="X233" s="3" t="str">
        <f>"Ø"&amp;VLOOKUP(V233,$AD$4:$AE$10,2,TRUE)</f>
        <v>Ø40</v>
      </c>
    </row>
    <row r="234" spans="17:24" x14ac:dyDescent="0.3">
      <c r="Q234" s="3" t="s">
        <v>145</v>
      </c>
      <c r="R234" s="3">
        <v>5</v>
      </c>
      <c r="S234" s="3">
        <v>16</v>
      </c>
      <c r="T234" s="21" t="str">
        <f>Q234&amp;" ("&amp;R234&amp;"х"&amp;S234&amp;")"</f>
        <v>ВВГнг(А)-FRLS (5х16)</v>
      </c>
      <c r="U234" s="3">
        <v>27.1</v>
      </c>
      <c r="V234" s="3">
        <f>IF((U234*1.2)&lt;14,14,U234*1.2)</f>
        <v>32.520000000000003</v>
      </c>
      <c r="W234" s="3" t="str">
        <f>"Ø"&amp;VLOOKUP(V234,$Z$4:$AA$10,2,TRUE)</f>
        <v>Ø50</v>
      </c>
      <c r="X234" s="3" t="str">
        <f>"Ø"&amp;VLOOKUP(V234,$AD$4:$AE$10,2,TRUE)</f>
        <v>Ø50</v>
      </c>
    </row>
    <row r="235" spans="17:24" x14ac:dyDescent="0.3">
      <c r="Q235" s="3" t="s">
        <v>145</v>
      </c>
      <c r="R235" s="3">
        <v>5</v>
      </c>
      <c r="S235" s="3">
        <v>25</v>
      </c>
      <c r="T235" s="21" t="str">
        <f>Q235&amp;" ("&amp;R235&amp;"х"&amp;S235&amp;")"</f>
        <v>ВВГнг(А)-FRLS (5х25)</v>
      </c>
      <c r="U235" s="3">
        <v>30.5</v>
      </c>
      <c r="V235" s="3">
        <f>IF((U235*1.2)&lt;14,14,U235*1.2)</f>
        <v>36.6</v>
      </c>
      <c r="W235" s="3" t="str">
        <f>"Ø"&amp;VLOOKUP(V235,$Z$4:$AA$10,2,TRUE)</f>
        <v>Ø50</v>
      </c>
      <c r="X235" s="3" t="str">
        <f>"Ø"&amp;VLOOKUP(V235,$AD$4:$AE$10,2,TRUE)</f>
        <v>Ø50</v>
      </c>
    </row>
    <row r="236" spans="17:24" x14ac:dyDescent="0.3">
      <c r="Q236" s="3" t="s">
        <v>145</v>
      </c>
      <c r="R236" s="3">
        <v>5</v>
      </c>
      <c r="S236" s="3">
        <v>35</v>
      </c>
      <c r="T236" s="21" t="str">
        <f>Q236&amp;" ("&amp;R236&amp;"х"&amp;S236&amp;")"</f>
        <v>ВВГнг(А)-FRLS (5х35)</v>
      </c>
      <c r="U236" s="3">
        <v>33.200000000000003</v>
      </c>
      <c r="V236" s="3">
        <f>IF((U236*1.2)&lt;14,14,U236*1.2)</f>
        <v>39.840000000000003</v>
      </c>
      <c r="W236" s="3" t="str">
        <f>"Ø"&amp;VLOOKUP(V236,$Z$4:$AA$10,2,TRUE)</f>
        <v>Ø50</v>
      </c>
      <c r="X236" s="3" t="str">
        <f>"Ø"&amp;VLOOKUP(V236,$AD$4:$AE$10,2,TRUE)</f>
        <v>Øне исп</v>
      </c>
    </row>
    <row r="237" spans="17:24" x14ac:dyDescent="0.3">
      <c r="Q237" s="3" t="s">
        <v>145</v>
      </c>
      <c r="R237" s="3">
        <v>5</v>
      </c>
      <c r="S237" s="3">
        <v>50</v>
      </c>
      <c r="T237" s="21" t="str">
        <f>Q237&amp;" ("&amp;R237&amp;"х"&amp;S237&amp;")"</f>
        <v>ВВГнг(А)-FRLS (5х50)</v>
      </c>
      <c r="U237" s="3">
        <v>38.299999999999997</v>
      </c>
      <c r="V237" s="3">
        <f>IF((U237*1.2)&lt;14,14,U237*1.2)</f>
        <v>45.959999999999994</v>
      </c>
      <c r="W237" s="3" t="str">
        <f>"Ø"&amp;VLOOKUP(V237,$Z$4:$AA$10,2,TRUE)</f>
        <v>Øне исп</v>
      </c>
      <c r="X237" s="3" t="str">
        <f>"Ø"&amp;VLOOKUP(V237,$AD$4:$AE$10,2,TRUE)</f>
        <v>Øне исп</v>
      </c>
    </row>
    <row r="238" spans="17:24" x14ac:dyDescent="0.3">
      <c r="Q238" s="3" t="s">
        <v>145</v>
      </c>
      <c r="R238" s="3">
        <v>5</v>
      </c>
      <c r="S238" s="3">
        <v>70</v>
      </c>
      <c r="T238" s="21" t="str">
        <f>Q238&amp;" ("&amp;R238&amp;"х"&amp;S238&amp;")"</f>
        <v>ВВГнг(А)-FRLS (5х70)</v>
      </c>
      <c r="U238" s="3">
        <v>42.6</v>
      </c>
      <c r="V238" s="3">
        <f>IF((U238*1.2)&lt;14,14,U238*1.2)</f>
        <v>51.12</v>
      </c>
      <c r="W238" s="3" t="str">
        <f>"Ø"&amp;VLOOKUP(V238,$Z$4:$AA$10,2,TRUE)</f>
        <v>Øне исп</v>
      </c>
      <c r="X238" s="3" t="str">
        <f>"Ø"&amp;VLOOKUP(V238,$AD$4:$AE$10,2,TRUE)</f>
        <v>Øне исп</v>
      </c>
    </row>
    <row r="239" spans="17:24" x14ac:dyDescent="0.3">
      <c r="Q239" s="3" t="s">
        <v>145</v>
      </c>
      <c r="R239" s="3">
        <v>5</v>
      </c>
      <c r="S239" s="3">
        <v>95</v>
      </c>
      <c r="T239" s="21" t="str">
        <f>Q239&amp;" ("&amp;R239&amp;"х"&amp;S239&amp;")"</f>
        <v>ВВГнг(А)-FRLS (5х95)</v>
      </c>
      <c r="U239" s="3">
        <v>47.9</v>
      </c>
      <c r="V239" s="3">
        <f>IF((U239*1.2)&lt;14,14,U239*1.2)</f>
        <v>57.48</v>
      </c>
      <c r="W239" s="3" t="str">
        <f>"Ø"&amp;VLOOKUP(V239,$Z$4:$AA$10,2,TRUE)</f>
        <v>Øне исп</v>
      </c>
      <c r="X239" s="3" t="str">
        <f>"Ø"&amp;VLOOKUP(V239,$AD$4:$AE$10,2,TRUE)</f>
        <v>Øне исп</v>
      </c>
    </row>
    <row r="240" spans="17:24" x14ac:dyDescent="0.3">
      <c r="Q240" s="3" t="s">
        <v>145</v>
      </c>
      <c r="R240" s="3">
        <v>5</v>
      </c>
      <c r="S240" s="3">
        <v>120</v>
      </c>
      <c r="T240" s="21" t="str">
        <f>Q240&amp;" ("&amp;R240&amp;"х"&amp;S240&amp;")"</f>
        <v>ВВГнг(А)-FRLS (5х120)</v>
      </c>
      <c r="U240" s="3">
        <v>52</v>
      </c>
      <c r="V240" s="3">
        <f>IF((U240*1.2)&lt;14,14,U240*1.2)</f>
        <v>62.4</v>
      </c>
      <c r="W240" s="3" t="str">
        <f>"Ø"&amp;VLOOKUP(V240,$Z$4:$AA$10,2,TRUE)</f>
        <v>Øне исп</v>
      </c>
      <c r="X240" s="3" t="str">
        <f>"Ø"&amp;VLOOKUP(V240,$AD$4:$AE$10,2,TRUE)</f>
        <v>Øне исп</v>
      </c>
    </row>
    <row r="241" spans="17:24" x14ac:dyDescent="0.3">
      <c r="Q241" s="3" t="s">
        <v>141</v>
      </c>
      <c r="R241" s="3">
        <v>3</v>
      </c>
      <c r="S241" s="3">
        <v>10</v>
      </c>
      <c r="T241" s="21" t="str">
        <f>Q241&amp;" ("&amp;R241&amp;"х"&amp;S241&amp;")"</f>
        <v>ППГнг(А)-HF (3х10)</v>
      </c>
      <c r="U241" s="3">
        <v>15.3</v>
      </c>
      <c r="V241" s="3">
        <f>IF((U241*1.2)&lt;14,14,U241*1.2)</f>
        <v>18.36</v>
      </c>
      <c r="W241" s="3" t="str">
        <f>"Ø"&amp;VLOOKUP(V241,$Z$4:$AA$10,2,TRUE)</f>
        <v>Ø25</v>
      </c>
      <c r="X241" s="3" t="str">
        <f>"Ø"&amp;VLOOKUP(V241,$AD$4:$AE$10,2,TRUE)</f>
        <v>Ø25</v>
      </c>
    </row>
    <row r="242" spans="17:24" x14ac:dyDescent="0.3">
      <c r="Q242" s="3" t="s">
        <v>141</v>
      </c>
      <c r="R242" s="3">
        <v>3</v>
      </c>
      <c r="S242" s="3">
        <v>16</v>
      </c>
      <c r="T242" s="21" t="str">
        <f>Q242&amp;" ("&amp;R242&amp;"х"&amp;S242&amp;")"</f>
        <v>ППГнг(А)-HF (3х16)</v>
      </c>
      <c r="U242" s="3">
        <v>17.3</v>
      </c>
      <c r="V242" s="3">
        <f>IF((U242*1.2)&lt;14,14,U242*1.2)</f>
        <v>20.76</v>
      </c>
      <c r="W242" s="3" t="str">
        <f>"Ø"&amp;VLOOKUP(V242,$Z$4:$AA$10,2,TRUE)</f>
        <v>Ø32</v>
      </c>
      <c r="X242" s="3" t="str">
        <f>"Ø"&amp;VLOOKUP(V242,$AD$4:$AE$10,2,TRUE)</f>
        <v>Ø32</v>
      </c>
    </row>
    <row r="243" spans="17:24" x14ac:dyDescent="0.3">
      <c r="Q243" s="3" t="s">
        <v>141</v>
      </c>
      <c r="R243" s="3">
        <v>5</v>
      </c>
      <c r="S243" s="3">
        <v>10</v>
      </c>
      <c r="T243" s="21" t="str">
        <f>Q243&amp;" ("&amp;R243&amp;"х"&amp;S243&amp;")"</f>
        <v>ППГнг(А)-HF (5х10)</v>
      </c>
      <c r="U243" s="3">
        <v>18.600000000000001</v>
      </c>
      <c r="V243" s="3">
        <f>IF((U243*1.2)&lt;14,14,U243*1.2)</f>
        <v>22.32</v>
      </c>
      <c r="W243" s="3" t="str">
        <f>"Ø"&amp;VLOOKUP(V243,$Z$4:$AA$10,2,TRUE)</f>
        <v>Ø32</v>
      </c>
      <c r="X243" s="3" t="str">
        <f>"Ø"&amp;VLOOKUP(V243,$AD$4:$AE$10,2,TRUE)</f>
        <v>Ø32</v>
      </c>
    </row>
    <row r="244" spans="17:24" x14ac:dyDescent="0.3">
      <c r="Q244" s="3" t="s">
        <v>141</v>
      </c>
      <c r="R244" s="3">
        <v>5</v>
      </c>
      <c r="S244" s="3">
        <v>16</v>
      </c>
      <c r="T244" s="21" t="str">
        <f>Q244&amp;" ("&amp;R244&amp;"х"&amp;S244&amp;")"</f>
        <v>ППГнг(А)-HF (5х16)</v>
      </c>
      <c r="U244" s="3">
        <v>21.1</v>
      </c>
      <c r="V244" s="3">
        <f>IF((U244*1.2)&lt;14,14,U244*1.2)</f>
        <v>25.32</v>
      </c>
      <c r="W244" s="3" t="str">
        <f>"Ø"&amp;VLOOKUP(V244,$Z$4:$AA$10,2,TRUE)</f>
        <v>Ø40</v>
      </c>
      <c r="X244" s="3" t="str">
        <f>"Ø"&amp;VLOOKUP(V244,$AD$4:$AE$10,2,TRUE)</f>
        <v>Ø40</v>
      </c>
    </row>
    <row r="245" spans="17:24" x14ac:dyDescent="0.3">
      <c r="Q245" s="3" t="s">
        <v>141</v>
      </c>
      <c r="R245" s="3">
        <v>5</v>
      </c>
      <c r="S245" s="3">
        <v>25</v>
      </c>
      <c r="T245" s="21" t="str">
        <f>Q245&amp;" ("&amp;R245&amp;"х"&amp;S245&amp;")"</f>
        <v>ППГнг(А)-HF (5х25)</v>
      </c>
      <c r="U245" s="3">
        <v>24.5</v>
      </c>
      <c r="V245" s="3">
        <f>IF((U245*1.2)&lt;14,14,U245*1.2)</f>
        <v>29.4</v>
      </c>
      <c r="W245" s="3" t="str">
        <f>"Ø"&amp;VLOOKUP(V245,$Z$4:$AA$10,2,TRUE)</f>
        <v>Ø40</v>
      </c>
      <c r="X245" s="3" t="str">
        <f>"Ø"&amp;VLOOKUP(V245,$AD$4:$AE$10,2,TRUE)</f>
        <v>Ø40</v>
      </c>
    </row>
    <row r="246" spans="17:24" x14ac:dyDescent="0.3">
      <c r="Q246" s="3" t="s">
        <v>141</v>
      </c>
      <c r="R246" s="3">
        <v>5</v>
      </c>
      <c r="S246" s="3">
        <v>35</v>
      </c>
      <c r="T246" s="21" t="str">
        <f>Q246&amp;" ("&amp;R246&amp;"х"&amp;S246&amp;")"</f>
        <v>ППГнг(А)-HF (5х35)</v>
      </c>
      <c r="U246" s="3">
        <v>27.2</v>
      </c>
      <c r="V246" s="3">
        <f>IF((U246*1.2)&lt;14,14,U246*1.2)</f>
        <v>32.64</v>
      </c>
      <c r="W246" s="3" t="str">
        <f>"Ø"&amp;VLOOKUP(V246,$Z$4:$AA$10,2,TRUE)</f>
        <v>Ø50</v>
      </c>
      <c r="X246" s="3" t="str">
        <f>"Ø"&amp;VLOOKUP(V246,$AD$4:$AE$10,2,TRUE)</f>
        <v>Ø50</v>
      </c>
    </row>
    <row r="247" spans="17:24" x14ac:dyDescent="0.3">
      <c r="Q247" s="3" t="s">
        <v>141</v>
      </c>
      <c r="R247" s="3">
        <v>5</v>
      </c>
      <c r="S247" s="3">
        <v>50</v>
      </c>
      <c r="T247" s="21" t="str">
        <f>Q247&amp;" ("&amp;R247&amp;"х"&amp;S247&amp;")"</f>
        <v>ППГнг(А)-HF (5х50)</v>
      </c>
      <c r="U247" s="3">
        <v>32.299999999999997</v>
      </c>
      <c r="V247" s="3">
        <f>IF((U247*1.2)&lt;14,14,U247*1.2)</f>
        <v>38.76</v>
      </c>
      <c r="W247" s="3" t="str">
        <f>"Ø"&amp;VLOOKUP(V247,$Z$4:$AA$10,2,TRUE)</f>
        <v>Ø50</v>
      </c>
      <c r="X247" s="3" t="str">
        <f>"Ø"&amp;VLOOKUP(V247,$AD$4:$AE$10,2,TRUE)</f>
        <v>Ø50</v>
      </c>
    </row>
    <row r="248" spans="17:24" x14ac:dyDescent="0.3">
      <c r="Q248" s="3" t="s">
        <v>133</v>
      </c>
      <c r="R248" s="3">
        <v>3</v>
      </c>
      <c r="S248" s="3">
        <v>1.5</v>
      </c>
      <c r="T248" s="21" t="str">
        <f>Q248&amp;" ("&amp;R248&amp;"х"&amp;S248&amp;")"</f>
        <v>ВБШвнг(А)-LS (3х1,5)</v>
      </c>
      <c r="U248" s="3">
        <v>13.6</v>
      </c>
      <c r="V248" s="3">
        <f>IF((U248*1.2)&lt;14,14,U248*1.2)</f>
        <v>16.32</v>
      </c>
      <c r="W248" s="3" t="str">
        <f>"Ø"&amp;VLOOKUP(V248,$Z$4:$AA$10,2,TRUE)</f>
        <v>Ø25</v>
      </c>
      <c r="X248" s="3" t="str">
        <f>"Ø"&amp;VLOOKUP(V248,$AD$4:$AE$10,2,TRUE)</f>
        <v>Ø25</v>
      </c>
    </row>
    <row r="249" spans="17:24" x14ac:dyDescent="0.3">
      <c r="Q249" s="3" t="s">
        <v>133</v>
      </c>
      <c r="R249" s="3">
        <v>3</v>
      </c>
      <c r="S249" s="3">
        <v>2.5</v>
      </c>
      <c r="T249" s="21" t="str">
        <f>Q249&amp;" ("&amp;R249&amp;"х"&amp;S249&amp;")"</f>
        <v>ВБШвнг(А)-LS (3х2,5)</v>
      </c>
      <c r="U249" s="3">
        <v>14.6</v>
      </c>
      <c r="V249" s="3">
        <f>IF((U249*1.2)&lt;14,14,U249*1.2)</f>
        <v>17.52</v>
      </c>
      <c r="W249" s="3" t="str">
        <f>"Ø"&amp;VLOOKUP(V249,$Z$4:$AA$10,2,TRUE)</f>
        <v>Ø25</v>
      </c>
      <c r="X249" s="3" t="str">
        <f>"Ø"&amp;VLOOKUP(V249,$AD$4:$AE$10,2,TRUE)</f>
        <v>Ø25</v>
      </c>
    </row>
    <row r="250" spans="17:24" x14ac:dyDescent="0.3">
      <c r="Q250" s="3" t="s">
        <v>133</v>
      </c>
      <c r="R250" s="3">
        <v>3</v>
      </c>
      <c r="S250" s="3">
        <v>4</v>
      </c>
      <c r="T250" s="21" t="str">
        <f>Q250&amp;" ("&amp;R250&amp;"х"&amp;S250&amp;")"</f>
        <v>ВБШвнг(А)-LS (3х4)</v>
      </c>
      <c r="U250" s="3">
        <v>15.8</v>
      </c>
      <c r="V250" s="3">
        <f>IF((U250*1.2)&lt;14,14,U250*1.2)</f>
        <v>18.96</v>
      </c>
      <c r="W250" s="3" t="str">
        <f>"Ø"&amp;VLOOKUP(V250,$Z$4:$AA$10,2,TRUE)</f>
        <v>Ø25</v>
      </c>
      <c r="X250" s="3" t="str">
        <f>"Ø"&amp;VLOOKUP(V250,$AD$4:$AE$10,2,TRUE)</f>
        <v>Ø32</v>
      </c>
    </row>
    <row r="251" spans="17:24" x14ac:dyDescent="0.3">
      <c r="Q251" s="3" t="s">
        <v>133</v>
      </c>
      <c r="R251" s="3">
        <v>3</v>
      </c>
      <c r="S251" s="3">
        <v>6</v>
      </c>
      <c r="T251" s="21" t="str">
        <f>Q251&amp;" ("&amp;R251&amp;"х"&amp;S251&amp;")"</f>
        <v>ВБШвнг(А)-LS (3х6)</v>
      </c>
      <c r="U251" s="3">
        <v>17</v>
      </c>
      <c r="V251" s="3">
        <f>IF((U251*1.2)&lt;14,14,U251*1.2)</f>
        <v>20.399999999999999</v>
      </c>
      <c r="W251" s="3" t="str">
        <f>"Ø"&amp;VLOOKUP(V251,$Z$4:$AA$10,2,TRUE)</f>
        <v>Ø32</v>
      </c>
      <c r="X251" s="3" t="str">
        <f>"Ø"&amp;VLOOKUP(V251,$AD$4:$AE$10,2,TRUE)</f>
        <v>Ø32</v>
      </c>
    </row>
    <row r="252" spans="17:24" x14ac:dyDescent="0.3">
      <c r="Q252" s="3" t="s">
        <v>133</v>
      </c>
      <c r="R252" s="3">
        <v>5</v>
      </c>
      <c r="S252" s="3">
        <v>1.5</v>
      </c>
      <c r="T252" s="21" t="str">
        <f>Q252&amp;" ("&amp;R252&amp;"х"&amp;S252&amp;")"</f>
        <v>ВБШвнг(А)-LS (5х1,5)</v>
      </c>
      <c r="U252" s="3">
        <v>15.2</v>
      </c>
      <c r="V252" s="3">
        <f>IF((U252*1.2)&lt;14,14,U252*1.2)</f>
        <v>18.239999999999998</v>
      </c>
      <c r="W252" s="3" t="str">
        <f>"Ø"&amp;VLOOKUP(V252,$Z$4:$AA$10,2,TRUE)</f>
        <v>Ø25</v>
      </c>
      <c r="X252" s="3" t="str">
        <f>"Ø"&amp;VLOOKUP(V252,$AD$4:$AE$10,2,TRUE)</f>
        <v>Ø25</v>
      </c>
    </row>
    <row r="253" spans="17:24" x14ac:dyDescent="0.3">
      <c r="Q253" s="3" t="s">
        <v>133</v>
      </c>
      <c r="R253" s="3">
        <v>5</v>
      </c>
      <c r="S253" s="3">
        <v>2.5</v>
      </c>
      <c r="T253" s="21" t="str">
        <f>Q253&amp;" ("&amp;R253&amp;"х"&amp;S253&amp;")"</f>
        <v>ВБШвнг(А)-LS (5х2,5)</v>
      </c>
      <c r="U253" s="3">
        <v>16.600000000000001</v>
      </c>
      <c r="V253" s="3">
        <f>IF((U253*1.2)&lt;14,14,U253*1.2)</f>
        <v>19.920000000000002</v>
      </c>
      <c r="W253" s="3" t="str">
        <f>"Ø"&amp;VLOOKUP(V253,$Z$4:$AA$10,2,TRUE)</f>
        <v>Ø32</v>
      </c>
      <c r="X253" s="3" t="str">
        <f>"Ø"&amp;VLOOKUP(V253,$AD$4:$AE$10,2,TRUE)</f>
        <v>Ø32</v>
      </c>
    </row>
    <row r="254" spans="17:24" x14ac:dyDescent="0.3">
      <c r="Q254" s="3" t="s">
        <v>133</v>
      </c>
      <c r="R254" s="3">
        <v>5</v>
      </c>
      <c r="S254" s="3">
        <v>4</v>
      </c>
      <c r="T254" s="21" t="str">
        <f>Q254&amp;" ("&amp;R254&amp;"х"&amp;S254&amp;")"</f>
        <v>ВБШвнг(А)-LS (5х4)</v>
      </c>
      <c r="U254" s="3">
        <v>18.2</v>
      </c>
      <c r="V254" s="3">
        <f>IF((U254*1.2)&lt;14,14,U254*1.2)</f>
        <v>21.84</v>
      </c>
      <c r="W254" s="3" t="str">
        <f>"Ø"&amp;VLOOKUP(V254,$Z$4:$AA$10,2,TRUE)</f>
        <v>Ø32</v>
      </c>
      <c r="X254" s="3" t="str">
        <f>"Ø"&amp;VLOOKUP(V254,$AD$4:$AE$10,2,TRUE)</f>
        <v>Ø32</v>
      </c>
    </row>
    <row r="255" spans="17:24" x14ac:dyDescent="0.3">
      <c r="Q255" s="3" t="s">
        <v>133</v>
      </c>
      <c r="R255" s="3">
        <v>5</v>
      </c>
      <c r="S255" s="3">
        <v>6</v>
      </c>
      <c r="T255" s="21" t="str">
        <f>Q255&amp;" ("&amp;R255&amp;"х"&amp;S255&amp;")"</f>
        <v>ВБШвнг(А)-LS (5х6)</v>
      </c>
      <c r="U255" s="3">
        <v>19.600000000000001</v>
      </c>
      <c r="V255" s="3">
        <f>IF((U255*1.2)&lt;14,14,U255*1.2)</f>
        <v>23.52</v>
      </c>
      <c r="W255" s="3" t="str">
        <f>"Ø"&amp;VLOOKUP(V255,$Z$4:$AA$10,2,TRUE)</f>
        <v>Ø32</v>
      </c>
      <c r="X255" s="3" t="str">
        <f>"Ø"&amp;VLOOKUP(V255,$AD$4:$AE$10,2,TRUE)</f>
        <v>Ø32</v>
      </c>
    </row>
    <row r="256" spans="17:24" x14ac:dyDescent="0.3">
      <c r="Q256" s="3" t="s">
        <v>133</v>
      </c>
      <c r="R256" s="3">
        <v>5</v>
      </c>
      <c r="S256" s="3">
        <v>10</v>
      </c>
      <c r="T256" s="21" t="str">
        <f>Q256&amp;" ("&amp;R256&amp;"х"&amp;S256&amp;")"</f>
        <v>ВБШвнг(А)-LS (5х10)</v>
      </c>
      <c r="U256" s="3">
        <v>22.5</v>
      </c>
      <c r="V256" s="3">
        <f>IF((U256*1.2)&lt;14,14,U256*1.2)</f>
        <v>27</v>
      </c>
      <c r="W256" s="3" t="str">
        <f>"Ø"&amp;VLOOKUP(V256,$Z$4:$AA$10,2,TRUE)</f>
        <v>Ø40</v>
      </c>
      <c r="X256" s="3" t="str">
        <f>"Ø"&amp;VLOOKUP(V256,$AD$4:$AE$10,2,TRUE)</f>
        <v>Ø40</v>
      </c>
    </row>
    <row r="257" spans="17:24" x14ac:dyDescent="0.3">
      <c r="Q257" s="3" t="s">
        <v>133</v>
      </c>
      <c r="R257" s="3">
        <v>5</v>
      </c>
      <c r="S257" s="3">
        <v>16</v>
      </c>
      <c r="T257" s="21" t="str">
        <f>Q257&amp;" ("&amp;R257&amp;"х"&amp;S257&amp;")"</f>
        <v>ВБШвнг(А)-LS (5х16)</v>
      </c>
      <c r="U257" s="3">
        <v>25</v>
      </c>
      <c r="V257" s="3">
        <f>IF((U257*1.2)&lt;14,14,U257*1.2)</f>
        <v>30</v>
      </c>
      <c r="W257" s="3" t="str">
        <f>"Ø"&amp;VLOOKUP(V257,$Z$4:$AA$10,2,TRUE)</f>
        <v>Ø40</v>
      </c>
      <c r="X257" s="3" t="str">
        <f>"Ø"&amp;VLOOKUP(V257,$AD$4:$AE$10,2,TRUE)</f>
        <v>Ø40</v>
      </c>
    </row>
    <row r="258" spans="17:24" x14ac:dyDescent="0.3">
      <c r="Q258" s="3" t="s">
        <v>602</v>
      </c>
      <c r="R258" s="3">
        <v>2</v>
      </c>
      <c r="S258" s="3">
        <v>0.5</v>
      </c>
      <c r="T258" s="21" t="str">
        <f>Q258&amp;" ("&amp;R258&amp;"х"&amp;S258&amp;")"</f>
        <v>МКЭШнг(A)-LS (2х0,5)</v>
      </c>
      <c r="U258" s="3">
        <v>6.4</v>
      </c>
      <c r="V258" s="3">
        <f>IF((U258*1.2)&lt;14,14,U258*1.2)</f>
        <v>14</v>
      </c>
      <c r="W258" s="3" t="str">
        <f>"Ø"&amp;VLOOKUP(V258,$Z$4:$AA$10,2,TRUE)</f>
        <v>Ø20</v>
      </c>
      <c r="X258" s="3" t="str">
        <f>"Ø"&amp;VLOOKUP(V258,$AD$4:$AE$10,2,TRUE)</f>
        <v>Ø20</v>
      </c>
    </row>
    <row r="259" spans="17:24" x14ac:dyDescent="0.3">
      <c r="Q259" s="3" t="s">
        <v>602</v>
      </c>
      <c r="R259" s="3">
        <v>2</v>
      </c>
      <c r="S259" s="3">
        <v>0.75</v>
      </c>
      <c r="T259" s="21" t="str">
        <f>Q259&amp;" ("&amp;R259&amp;"х"&amp;S259&amp;")"</f>
        <v>МКЭШнг(A)-LS (2х0,75)</v>
      </c>
      <c r="U259" s="3">
        <v>6.9</v>
      </c>
      <c r="V259" s="3">
        <f>IF((U259*1.2)&lt;14,14,U259*1.2)</f>
        <v>14</v>
      </c>
      <c r="W259" s="3" t="str">
        <f>"Ø"&amp;VLOOKUP(V259,$Z$4:$AA$10,2,TRUE)</f>
        <v>Ø20</v>
      </c>
      <c r="X259" s="3" t="str">
        <f>"Ø"&amp;VLOOKUP(V259,$AD$4:$AE$10,2,TRUE)</f>
        <v>Ø20</v>
      </c>
    </row>
    <row r="260" spans="17:24" x14ac:dyDescent="0.3">
      <c r="Q260" s="3" t="s">
        <v>602</v>
      </c>
      <c r="R260" s="3">
        <v>2</v>
      </c>
      <c r="S260" s="3">
        <v>1</v>
      </c>
      <c r="T260" s="21" t="str">
        <f>Q260&amp;" ("&amp;R260&amp;"х"&amp;S260&amp;")"</f>
        <v>МКЭШнг(A)-LS (2х1)</v>
      </c>
      <c r="U260" s="3">
        <v>7.3</v>
      </c>
      <c r="V260" s="3">
        <f>IF((U260*1.2)&lt;14,14,U260*1.2)</f>
        <v>14</v>
      </c>
      <c r="W260" s="3" t="str">
        <f>"Ø"&amp;VLOOKUP(V260,$Z$4:$AA$10,2,TRUE)</f>
        <v>Ø20</v>
      </c>
      <c r="X260" s="3" t="str">
        <f>"Ø"&amp;VLOOKUP(V260,$AD$4:$AE$10,2,TRUE)</f>
        <v>Ø20</v>
      </c>
    </row>
    <row r="261" spans="17:24" x14ac:dyDescent="0.3">
      <c r="Q261" s="3" t="s">
        <v>602</v>
      </c>
      <c r="R261" s="3">
        <v>2</v>
      </c>
      <c r="S261" s="3">
        <v>1.5</v>
      </c>
      <c r="T261" s="21" t="str">
        <f>Q261&amp;" ("&amp;R261&amp;"х"&amp;S261&amp;")"</f>
        <v>МКЭШнг(A)-LS (2х1,5)</v>
      </c>
      <c r="U261" s="3">
        <v>8.1999999999999993</v>
      </c>
      <c r="V261" s="3">
        <f>IF((U261*1.2)&lt;14,14,U261*1.2)</f>
        <v>14</v>
      </c>
      <c r="W261" s="3" t="str">
        <f>"Ø"&amp;VLOOKUP(V261,$Z$4:$AA$10,2,TRUE)</f>
        <v>Ø20</v>
      </c>
      <c r="X261" s="3" t="str">
        <f>"Ø"&amp;VLOOKUP(V261,$AD$4:$AE$10,2,TRUE)</f>
        <v>Ø20</v>
      </c>
    </row>
    <row r="262" spans="17:24" x14ac:dyDescent="0.3">
      <c r="Q262" s="3" t="s">
        <v>602</v>
      </c>
      <c r="R262" s="3">
        <v>3</v>
      </c>
      <c r="S262" s="3">
        <v>0.5</v>
      </c>
      <c r="T262" s="21" t="str">
        <f>Q262&amp;" ("&amp;R262&amp;"х"&amp;S262&amp;")"</f>
        <v>МКЭШнг(A)-LS (3х0,5)</v>
      </c>
      <c r="U262" s="3">
        <v>6.8</v>
      </c>
      <c r="V262" s="3">
        <f>IF((U262*1.2)&lt;14,14,U262*1.2)</f>
        <v>14</v>
      </c>
      <c r="W262" s="3" t="str">
        <f>"Ø"&amp;VLOOKUP(V262,$Z$4:$AA$10,2,TRUE)</f>
        <v>Ø20</v>
      </c>
      <c r="X262" s="3" t="str">
        <f>"Ø"&amp;VLOOKUP(V262,$AD$4:$AE$10,2,TRUE)</f>
        <v>Ø20</v>
      </c>
    </row>
    <row r="263" spans="17:24" x14ac:dyDescent="0.3">
      <c r="Q263" s="3" t="s">
        <v>602</v>
      </c>
      <c r="R263" s="3">
        <v>3</v>
      </c>
      <c r="S263" s="3">
        <v>0.75</v>
      </c>
      <c r="T263" s="21" t="str">
        <f>Q263&amp;" ("&amp;R263&amp;"х"&amp;S263&amp;")"</f>
        <v>МКЭШнг(A)-LS (3х0,75)</v>
      </c>
      <c r="U263" s="3">
        <v>7.3</v>
      </c>
      <c r="V263" s="3">
        <f>IF((U263*1.2)&lt;14,14,U263*1.2)</f>
        <v>14</v>
      </c>
      <c r="W263" s="3" t="str">
        <f>"Ø"&amp;VLOOKUP(V263,$Z$4:$AA$10,2,TRUE)</f>
        <v>Ø20</v>
      </c>
      <c r="X263" s="3" t="str">
        <f>"Ø"&amp;VLOOKUP(V263,$AD$4:$AE$10,2,TRUE)</f>
        <v>Ø20</v>
      </c>
    </row>
    <row r="264" spans="17:24" x14ac:dyDescent="0.3">
      <c r="Q264" s="3" t="s">
        <v>602</v>
      </c>
      <c r="R264" s="3">
        <v>3</v>
      </c>
      <c r="S264" s="3">
        <v>1</v>
      </c>
      <c r="T264" s="21" t="str">
        <f>Q264&amp;" ("&amp;R264&amp;"х"&amp;S264&amp;")"</f>
        <v>МКЭШнг(A)-LS (3х1)</v>
      </c>
      <c r="U264" s="3">
        <v>7.7</v>
      </c>
      <c r="V264" s="3">
        <f>IF((U264*1.2)&lt;14,14,U264*1.2)</f>
        <v>14</v>
      </c>
      <c r="W264" s="3" t="str">
        <f>"Ø"&amp;VLOOKUP(V264,$Z$4:$AA$10,2,TRUE)</f>
        <v>Ø20</v>
      </c>
      <c r="X264" s="3" t="str">
        <f>"Ø"&amp;VLOOKUP(V264,$AD$4:$AE$10,2,TRUE)</f>
        <v>Ø20</v>
      </c>
    </row>
    <row r="265" spans="17:24" x14ac:dyDescent="0.3">
      <c r="Q265" s="3" t="s">
        <v>602</v>
      </c>
      <c r="R265" s="3">
        <v>3</v>
      </c>
      <c r="S265" s="3">
        <v>1.5</v>
      </c>
      <c r="T265" s="21" t="str">
        <f>Q265&amp;" ("&amp;R265&amp;"х"&amp;S265&amp;")"</f>
        <v>МКЭШнг(A)-LS (3х1,5)</v>
      </c>
      <c r="U265" s="3">
        <v>8.6999999999999993</v>
      </c>
      <c r="V265" s="3">
        <f>IF((U265*1.2)&lt;14,14,U265*1.2)</f>
        <v>14</v>
      </c>
      <c r="W265" s="3" t="str">
        <f>"Ø"&amp;VLOOKUP(V265,$Z$4:$AA$10,2,TRUE)</f>
        <v>Ø20</v>
      </c>
      <c r="X265" s="3" t="str">
        <f>"Ø"&amp;VLOOKUP(V265,$AD$4:$AE$10,2,TRUE)</f>
        <v>Ø20</v>
      </c>
    </row>
    <row r="266" spans="17:24" x14ac:dyDescent="0.3">
      <c r="Q266" s="3" t="s">
        <v>602</v>
      </c>
      <c r="R266" s="3">
        <v>4</v>
      </c>
      <c r="S266" s="3">
        <v>0.75</v>
      </c>
      <c r="T266" s="21" t="str">
        <f>Q266&amp;" ("&amp;R266&amp;"х"&amp;S266&amp;")"</f>
        <v>МКЭШнг(A)-LS (4х0,75)</v>
      </c>
      <c r="U266" s="3">
        <v>7.9</v>
      </c>
      <c r="V266" s="3">
        <f>IF((U266*1.2)&lt;14,14,U266*1.2)</f>
        <v>14</v>
      </c>
      <c r="W266" s="3" t="str">
        <f>"Ø"&amp;VLOOKUP(V266,$Z$4:$AA$10,2,TRUE)</f>
        <v>Ø20</v>
      </c>
      <c r="X266" s="3" t="str">
        <f>"Ø"&amp;VLOOKUP(V266,$AD$4:$AE$10,2,TRUE)</f>
        <v>Ø20</v>
      </c>
    </row>
    <row r="267" spans="17:24" x14ac:dyDescent="0.3">
      <c r="Q267" s="3" t="s">
        <v>602</v>
      </c>
      <c r="R267" s="3">
        <v>5</v>
      </c>
      <c r="S267" s="3">
        <v>0.75</v>
      </c>
      <c r="T267" s="21" t="str">
        <f>Q267&amp;" ("&amp;R267&amp;"х"&amp;S267&amp;")"</f>
        <v>МКЭШнг(A)-LS (5х0,75)</v>
      </c>
      <c r="U267" s="3">
        <v>8.6</v>
      </c>
      <c r="V267" s="3">
        <f>IF((U267*1.2)&lt;14,14,U267*1.2)</f>
        <v>14</v>
      </c>
      <c r="W267" s="3" t="str">
        <f>"Ø"&amp;VLOOKUP(V267,$Z$4:$AA$10,2,TRUE)</f>
        <v>Ø20</v>
      </c>
      <c r="X267" s="3" t="str">
        <f>"Ø"&amp;VLOOKUP(V267,$AD$4:$AE$10,2,TRUE)</f>
        <v>Ø20</v>
      </c>
    </row>
    <row r="268" spans="17:24" x14ac:dyDescent="0.3">
      <c r="Q268" s="3" t="s">
        <v>596</v>
      </c>
      <c r="R268" s="3"/>
      <c r="S268" s="3"/>
      <c r="T268" s="21" t="s">
        <v>596</v>
      </c>
      <c r="U268" s="3">
        <v>6</v>
      </c>
      <c r="V268" s="3">
        <f>IF((U268*1.2)&lt;14,14,U268*1.2)</f>
        <v>14</v>
      </c>
      <c r="W268" s="3" t="str">
        <f>"Ø"&amp;VLOOKUP(V268,$Z$4:$AA$10,2,TRUE)</f>
        <v>Ø20</v>
      </c>
      <c r="X268" s="3" t="str">
        <f>"Ø"&amp;VLOOKUP(V268,$AD$4:$AE$10,2,TRUE)</f>
        <v>Ø20</v>
      </c>
    </row>
    <row r="269" spans="17:24" x14ac:dyDescent="0.3">
      <c r="Q269" s="3" t="s">
        <v>138</v>
      </c>
      <c r="R269" s="3"/>
      <c r="S269" s="3"/>
      <c r="T269" s="21" t="s">
        <v>138</v>
      </c>
      <c r="U269" s="3">
        <v>21</v>
      </c>
      <c r="V269" s="3">
        <f>IF((U269*1.2)&lt;14,14,U269*1.2)</f>
        <v>25.2</v>
      </c>
      <c r="W269" s="3" t="str">
        <f>"Ø"&amp;VLOOKUP(V269,$Z$4:$AA$10,2,TRUE)</f>
        <v>Ø40</v>
      </c>
      <c r="X269" s="3" t="str">
        <f>"Ø"&amp;VLOOKUP(V269,$AD$4:$AE$10,2,TRUE)</f>
        <v>Ø40</v>
      </c>
    </row>
    <row r="270" spans="17:24" x14ac:dyDescent="0.3">
      <c r="Q270" s="3"/>
      <c r="R270" s="3"/>
      <c r="S270" s="3"/>
      <c r="T270" s="21"/>
      <c r="U270" s="3"/>
      <c r="V270" s="3">
        <f t="shared" ref="V261:V324" si="22">U270*1.2</f>
        <v>0</v>
      </c>
      <c r="W270" s="3" t="str">
        <f t="shared" ref="W261:W324" si="23">"Ø"&amp;VLOOKUP(V270,$Z$4:$AA$10,2,TRUE)</f>
        <v>Ø16</v>
      </c>
      <c r="X270" s="3" t="str">
        <f t="shared" ref="X261:X324" si="24">"Ø"&amp;VLOOKUP(V270,$AD$4:$AE$10,2,TRUE)</f>
        <v>Ø16</v>
      </c>
    </row>
    <row r="271" spans="17:24" x14ac:dyDescent="0.3">
      <c r="Q271" s="3"/>
      <c r="R271" s="3"/>
      <c r="S271" s="3"/>
      <c r="T271" s="21"/>
      <c r="U271" s="3"/>
      <c r="V271" s="3">
        <f t="shared" si="22"/>
        <v>0</v>
      </c>
      <c r="W271" s="3" t="str">
        <f t="shared" si="23"/>
        <v>Ø16</v>
      </c>
      <c r="X271" s="3" t="str">
        <f t="shared" si="24"/>
        <v>Ø16</v>
      </c>
    </row>
    <row r="272" spans="17:24" x14ac:dyDescent="0.3">
      <c r="Q272" s="3"/>
      <c r="R272" s="3"/>
      <c r="S272" s="3"/>
      <c r="T272" s="21"/>
      <c r="U272" s="3"/>
      <c r="V272" s="3">
        <f t="shared" si="22"/>
        <v>0</v>
      </c>
      <c r="W272" s="3" t="str">
        <f t="shared" si="23"/>
        <v>Ø16</v>
      </c>
      <c r="X272" s="3" t="str">
        <f t="shared" si="24"/>
        <v>Ø16</v>
      </c>
    </row>
    <row r="273" spans="17:24" x14ac:dyDescent="0.3">
      <c r="Q273" s="3"/>
      <c r="R273" s="3"/>
      <c r="S273" s="3"/>
      <c r="T273" s="21"/>
      <c r="U273" s="3"/>
      <c r="V273" s="3">
        <f t="shared" si="22"/>
        <v>0</v>
      </c>
      <c r="W273" s="3" t="str">
        <f t="shared" si="23"/>
        <v>Ø16</v>
      </c>
      <c r="X273" s="3" t="str">
        <f t="shared" si="24"/>
        <v>Ø16</v>
      </c>
    </row>
    <row r="274" spans="17:24" x14ac:dyDescent="0.3">
      <c r="Q274" s="3"/>
      <c r="R274" s="3"/>
      <c r="S274" s="3"/>
      <c r="T274" s="21"/>
      <c r="U274" s="3"/>
      <c r="V274" s="3">
        <f t="shared" si="22"/>
        <v>0</v>
      </c>
      <c r="W274" s="3" t="str">
        <f t="shared" si="23"/>
        <v>Ø16</v>
      </c>
      <c r="X274" s="3" t="str">
        <f t="shared" si="24"/>
        <v>Ø16</v>
      </c>
    </row>
    <row r="275" spans="17:24" x14ac:dyDescent="0.3">
      <c r="Q275" s="3"/>
      <c r="R275" s="3"/>
      <c r="S275" s="3"/>
      <c r="T275" s="21"/>
      <c r="U275" s="3"/>
      <c r="V275" s="3">
        <f t="shared" si="22"/>
        <v>0</v>
      </c>
      <c r="W275" s="3" t="str">
        <f t="shared" si="23"/>
        <v>Ø16</v>
      </c>
      <c r="X275" s="3" t="str">
        <f t="shared" si="24"/>
        <v>Ø16</v>
      </c>
    </row>
    <row r="276" spans="17:24" x14ac:dyDescent="0.3">
      <c r="Q276" s="3"/>
      <c r="R276" s="3"/>
      <c r="S276" s="3"/>
      <c r="T276" s="21"/>
      <c r="U276" s="3"/>
      <c r="V276" s="3">
        <f t="shared" si="22"/>
        <v>0</v>
      </c>
      <c r="W276" s="3" t="str">
        <f t="shared" si="23"/>
        <v>Ø16</v>
      </c>
      <c r="X276" s="3" t="str">
        <f t="shared" si="24"/>
        <v>Ø16</v>
      </c>
    </row>
    <row r="277" spans="17:24" x14ac:dyDescent="0.3">
      <c r="Q277" s="3"/>
      <c r="R277" s="3"/>
      <c r="S277" s="3"/>
      <c r="T277" s="21"/>
      <c r="U277" s="3"/>
      <c r="V277" s="3">
        <f t="shared" si="22"/>
        <v>0</v>
      </c>
      <c r="W277" s="3" t="str">
        <f t="shared" si="23"/>
        <v>Ø16</v>
      </c>
      <c r="X277" s="3" t="str">
        <f t="shared" si="24"/>
        <v>Ø16</v>
      </c>
    </row>
    <row r="278" spans="17:24" x14ac:dyDescent="0.3">
      <c r="Q278" s="3"/>
      <c r="R278" s="3"/>
      <c r="S278" s="3"/>
      <c r="T278" s="21"/>
      <c r="U278" s="3"/>
      <c r="V278" s="3">
        <f t="shared" si="22"/>
        <v>0</v>
      </c>
      <c r="W278" s="3" t="str">
        <f t="shared" si="23"/>
        <v>Ø16</v>
      </c>
      <c r="X278" s="3" t="str">
        <f t="shared" si="24"/>
        <v>Ø16</v>
      </c>
    </row>
    <row r="279" spans="17:24" x14ac:dyDescent="0.3">
      <c r="Q279" s="3"/>
      <c r="R279" s="3"/>
      <c r="S279" s="3"/>
      <c r="T279" s="21"/>
      <c r="U279" s="3"/>
      <c r="V279" s="3">
        <f t="shared" si="22"/>
        <v>0</v>
      </c>
      <c r="W279" s="3" t="str">
        <f t="shared" si="23"/>
        <v>Ø16</v>
      </c>
      <c r="X279" s="3" t="str">
        <f t="shared" si="24"/>
        <v>Ø16</v>
      </c>
    </row>
    <row r="280" spans="17:24" x14ac:dyDescent="0.3">
      <c r="Q280" s="3"/>
      <c r="R280" s="3"/>
      <c r="S280" s="3"/>
      <c r="T280" s="21"/>
      <c r="U280" s="3"/>
      <c r="V280" s="3">
        <f t="shared" si="22"/>
        <v>0</v>
      </c>
      <c r="W280" s="3" t="str">
        <f t="shared" si="23"/>
        <v>Ø16</v>
      </c>
      <c r="X280" s="3" t="str">
        <f t="shared" si="24"/>
        <v>Ø16</v>
      </c>
    </row>
    <row r="281" spans="17:24" x14ac:dyDescent="0.3">
      <c r="Q281" s="3"/>
      <c r="R281" s="3"/>
      <c r="S281" s="3"/>
      <c r="T281" s="21"/>
      <c r="U281" s="3"/>
      <c r="V281" s="3">
        <f t="shared" si="22"/>
        <v>0</v>
      </c>
      <c r="W281" s="3" t="str">
        <f t="shared" si="23"/>
        <v>Ø16</v>
      </c>
      <c r="X281" s="3" t="str">
        <f t="shared" si="24"/>
        <v>Ø16</v>
      </c>
    </row>
    <row r="282" spans="17:24" x14ac:dyDescent="0.3">
      <c r="Q282" s="3"/>
      <c r="R282" s="3"/>
      <c r="S282" s="3"/>
      <c r="T282" s="21"/>
      <c r="U282" s="3"/>
      <c r="V282" s="3">
        <f t="shared" si="22"/>
        <v>0</v>
      </c>
      <c r="W282" s="3" t="str">
        <f t="shared" si="23"/>
        <v>Ø16</v>
      </c>
      <c r="X282" s="3" t="str">
        <f t="shared" si="24"/>
        <v>Ø16</v>
      </c>
    </row>
    <row r="283" spans="17:24" x14ac:dyDescent="0.3">
      <c r="Q283" s="3"/>
      <c r="R283" s="3"/>
      <c r="S283" s="3"/>
      <c r="T283" s="21"/>
      <c r="U283" s="3"/>
      <c r="V283" s="3">
        <f t="shared" si="22"/>
        <v>0</v>
      </c>
      <c r="W283" s="3" t="str">
        <f t="shared" si="23"/>
        <v>Ø16</v>
      </c>
      <c r="X283" s="3" t="str">
        <f t="shared" si="24"/>
        <v>Ø16</v>
      </c>
    </row>
    <row r="284" spans="17:24" x14ac:dyDescent="0.3">
      <c r="Q284" s="3"/>
      <c r="R284" s="3"/>
      <c r="S284" s="3"/>
      <c r="T284" s="21"/>
      <c r="U284" s="3"/>
      <c r="V284" s="3">
        <f t="shared" si="22"/>
        <v>0</v>
      </c>
      <c r="W284" s="3" t="str">
        <f t="shared" si="23"/>
        <v>Ø16</v>
      </c>
      <c r="X284" s="3" t="str">
        <f t="shared" si="24"/>
        <v>Ø16</v>
      </c>
    </row>
    <row r="285" spans="17:24" x14ac:dyDescent="0.3">
      <c r="Q285" s="3"/>
      <c r="R285" s="3"/>
      <c r="S285" s="3"/>
      <c r="T285" s="21"/>
      <c r="U285" s="3"/>
      <c r="V285" s="3">
        <f t="shared" si="22"/>
        <v>0</v>
      </c>
      <c r="W285" s="3" t="str">
        <f t="shared" si="23"/>
        <v>Ø16</v>
      </c>
      <c r="X285" s="3" t="str">
        <f t="shared" si="24"/>
        <v>Ø16</v>
      </c>
    </row>
    <row r="286" spans="17:24" x14ac:dyDescent="0.3">
      <c r="Q286" s="3"/>
      <c r="R286" s="3"/>
      <c r="S286" s="3"/>
      <c r="T286" s="21"/>
      <c r="U286" s="3"/>
      <c r="V286" s="3">
        <f t="shared" si="22"/>
        <v>0</v>
      </c>
      <c r="W286" s="3" t="str">
        <f t="shared" si="23"/>
        <v>Ø16</v>
      </c>
      <c r="X286" s="3" t="str">
        <f t="shared" si="24"/>
        <v>Ø16</v>
      </c>
    </row>
    <row r="287" spans="17:24" x14ac:dyDescent="0.3">
      <c r="Q287" s="3"/>
      <c r="R287" s="3"/>
      <c r="S287" s="3"/>
      <c r="T287" s="21"/>
      <c r="U287" s="3"/>
      <c r="V287" s="3">
        <f t="shared" si="22"/>
        <v>0</v>
      </c>
      <c r="W287" s="3" t="str">
        <f t="shared" si="23"/>
        <v>Ø16</v>
      </c>
      <c r="X287" s="3" t="str">
        <f t="shared" si="24"/>
        <v>Ø16</v>
      </c>
    </row>
    <row r="288" spans="17:24" x14ac:dyDescent="0.3">
      <c r="Q288" s="3"/>
      <c r="R288" s="3"/>
      <c r="S288" s="3"/>
      <c r="T288" s="21"/>
      <c r="U288" s="3"/>
      <c r="V288" s="3">
        <f t="shared" si="22"/>
        <v>0</v>
      </c>
      <c r="W288" s="3" t="str">
        <f t="shared" si="23"/>
        <v>Ø16</v>
      </c>
      <c r="X288" s="3" t="str">
        <f t="shared" si="24"/>
        <v>Ø16</v>
      </c>
    </row>
    <row r="289" spans="17:24" x14ac:dyDescent="0.3">
      <c r="Q289" s="3"/>
      <c r="R289" s="3"/>
      <c r="S289" s="3"/>
      <c r="T289" s="21"/>
      <c r="U289" s="3"/>
      <c r="V289" s="3">
        <f t="shared" si="22"/>
        <v>0</v>
      </c>
      <c r="W289" s="3" t="str">
        <f t="shared" si="23"/>
        <v>Ø16</v>
      </c>
      <c r="X289" s="3" t="str">
        <f t="shared" si="24"/>
        <v>Ø16</v>
      </c>
    </row>
    <row r="290" spans="17:24" x14ac:dyDescent="0.3">
      <c r="Q290" s="3"/>
      <c r="R290" s="3"/>
      <c r="S290" s="3"/>
      <c r="T290" s="21"/>
      <c r="U290" s="3"/>
      <c r="V290" s="3">
        <f t="shared" si="22"/>
        <v>0</v>
      </c>
      <c r="W290" s="3" t="str">
        <f t="shared" si="23"/>
        <v>Ø16</v>
      </c>
      <c r="X290" s="3" t="str">
        <f t="shared" si="24"/>
        <v>Ø16</v>
      </c>
    </row>
    <row r="291" spans="17:24" x14ac:dyDescent="0.3">
      <c r="Q291" s="3"/>
      <c r="R291" s="3"/>
      <c r="S291" s="3"/>
      <c r="T291" s="21"/>
      <c r="U291" s="3"/>
      <c r="V291" s="3">
        <f t="shared" si="22"/>
        <v>0</v>
      </c>
      <c r="W291" s="3" t="str">
        <f t="shared" si="23"/>
        <v>Ø16</v>
      </c>
      <c r="X291" s="3" t="str">
        <f t="shared" si="24"/>
        <v>Ø16</v>
      </c>
    </row>
    <row r="292" spans="17:24" x14ac:dyDescent="0.3">
      <c r="Q292" s="3"/>
      <c r="R292" s="3"/>
      <c r="S292" s="3"/>
      <c r="T292" s="21"/>
      <c r="U292" s="3"/>
      <c r="V292" s="3">
        <f t="shared" si="22"/>
        <v>0</v>
      </c>
      <c r="W292" s="3" t="str">
        <f t="shared" si="23"/>
        <v>Ø16</v>
      </c>
      <c r="X292" s="3" t="str">
        <f t="shared" si="24"/>
        <v>Ø16</v>
      </c>
    </row>
    <row r="293" spans="17:24" x14ac:dyDescent="0.3">
      <c r="Q293" s="3"/>
      <c r="R293" s="3"/>
      <c r="S293" s="3"/>
      <c r="T293" s="21"/>
      <c r="U293" s="3"/>
      <c r="V293" s="3">
        <f t="shared" si="22"/>
        <v>0</v>
      </c>
      <c r="W293" s="3" t="str">
        <f t="shared" si="23"/>
        <v>Ø16</v>
      </c>
      <c r="X293" s="3" t="str">
        <f t="shared" si="24"/>
        <v>Ø16</v>
      </c>
    </row>
    <row r="294" spans="17:24" x14ac:dyDescent="0.3">
      <c r="Q294" s="3"/>
      <c r="R294" s="3"/>
      <c r="S294" s="3"/>
      <c r="T294" s="21"/>
      <c r="U294" s="3"/>
      <c r="V294" s="3">
        <f t="shared" si="22"/>
        <v>0</v>
      </c>
      <c r="W294" s="3" t="str">
        <f t="shared" si="23"/>
        <v>Ø16</v>
      </c>
      <c r="X294" s="3" t="str">
        <f t="shared" si="24"/>
        <v>Ø16</v>
      </c>
    </row>
    <row r="295" spans="17:24" x14ac:dyDescent="0.3">
      <c r="Q295" s="3"/>
      <c r="R295" s="3"/>
      <c r="S295" s="3"/>
      <c r="T295" s="21"/>
      <c r="U295" s="3"/>
      <c r="V295" s="3">
        <f t="shared" si="22"/>
        <v>0</v>
      </c>
      <c r="W295" s="3" t="str">
        <f t="shared" si="23"/>
        <v>Ø16</v>
      </c>
      <c r="X295" s="3" t="str">
        <f t="shared" si="24"/>
        <v>Ø16</v>
      </c>
    </row>
    <row r="296" spans="17:24" x14ac:dyDescent="0.3">
      <c r="Q296" s="3"/>
      <c r="R296" s="3"/>
      <c r="S296" s="3"/>
      <c r="T296" s="21"/>
      <c r="U296" s="3"/>
      <c r="V296" s="3">
        <f t="shared" si="22"/>
        <v>0</v>
      </c>
      <c r="W296" s="3" t="str">
        <f t="shared" si="23"/>
        <v>Ø16</v>
      </c>
      <c r="X296" s="3" t="str">
        <f t="shared" si="24"/>
        <v>Ø16</v>
      </c>
    </row>
    <row r="297" spans="17:24" x14ac:dyDescent="0.3">
      <c r="Q297" s="3"/>
      <c r="R297" s="3"/>
      <c r="S297" s="3"/>
      <c r="T297" s="21"/>
      <c r="U297" s="3"/>
      <c r="V297" s="3">
        <f t="shared" si="22"/>
        <v>0</v>
      </c>
      <c r="W297" s="3" t="str">
        <f t="shared" si="23"/>
        <v>Ø16</v>
      </c>
      <c r="X297" s="3" t="str">
        <f t="shared" si="24"/>
        <v>Ø16</v>
      </c>
    </row>
    <row r="298" spans="17:24" x14ac:dyDescent="0.3">
      <c r="Q298" s="3"/>
      <c r="R298" s="3"/>
      <c r="S298" s="3"/>
      <c r="T298" s="21"/>
      <c r="U298" s="3"/>
      <c r="V298" s="3">
        <f t="shared" si="22"/>
        <v>0</v>
      </c>
      <c r="W298" s="3" t="str">
        <f t="shared" si="23"/>
        <v>Ø16</v>
      </c>
      <c r="X298" s="3" t="str">
        <f t="shared" si="24"/>
        <v>Ø16</v>
      </c>
    </row>
    <row r="299" spans="17:24" x14ac:dyDescent="0.3">
      <c r="Q299" s="3"/>
      <c r="R299" s="3"/>
      <c r="S299" s="3"/>
      <c r="T299" s="21"/>
      <c r="U299" s="3"/>
      <c r="V299" s="3">
        <f t="shared" si="22"/>
        <v>0</v>
      </c>
      <c r="W299" s="3" t="str">
        <f t="shared" si="23"/>
        <v>Ø16</v>
      </c>
      <c r="X299" s="3" t="str">
        <f t="shared" si="24"/>
        <v>Ø16</v>
      </c>
    </row>
    <row r="300" spans="17:24" x14ac:dyDescent="0.3">
      <c r="Q300" s="3"/>
      <c r="R300" s="3"/>
      <c r="S300" s="3"/>
      <c r="T300" s="21"/>
      <c r="U300" s="3"/>
      <c r="V300" s="3">
        <f t="shared" si="22"/>
        <v>0</v>
      </c>
      <c r="W300" s="3" t="str">
        <f t="shared" si="23"/>
        <v>Ø16</v>
      </c>
      <c r="X300" s="3" t="str">
        <f t="shared" si="24"/>
        <v>Ø16</v>
      </c>
    </row>
    <row r="301" spans="17:24" x14ac:dyDescent="0.3">
      <c r="Q301" s="3"/>
      <c r="R301" s="3"/>
      <c r="S301" s="3"/>
      <c r="T301" s="21"/>
      <c r="U301" s="3"/>
      <c r="V301" s="3">
        <f t="shared" si="22"/>
        <v>0</v>
      </c>
      <c r="W301" s="3" t="str">
        <f t="shared" si="23"/>
        <v>Ø16</v>
      </c>
      <c r="X301" s="3" t="str">
        <f t="shared" si="24"/>
        <v>Ø16</v>
      </c>
    </row>
    <row r="302" spans="17:24" x14ac:dyDescent="0.3">
      <c r="Q302" s="3"/>
      <c r="R302" s="3"/>
      <c r="S302" s="3"/>
      <c r="T302" s="21"/>
      <c r="U302" s="3"/>
      <c r="V302" s="3">
        <f t="shared" si="22"/>
        <v>0</v>
      </c>
      <c r="W302" s="3" t="str">
        <f t="shared" si="23"/>
        <v>Ø16</v>
      </c>
      <c r="X302" s="3" t="str">
        <f t="shared" si="24"/>
        <v>Ø16</v>
      </c>
    </row>
    <row r="303" spans="17:24" x14ac:dyDescent="0.3">
      <c r="Q303" s="3"/>
      <c r="R303" s="3"/>
      <c r="S303" s="3"/>
      <c r="T303" s="21"/>
      <c r="U303" s="3"/>
      <c r="V303" s="3">
        <f t="shared" si="22"/>
        <v>0</v>
      </c>
      <c r="W303" s="3" t="str">
        <f t="shared" si="23"/>
        <v>Ø16</v>
      </c>
      <c r="X303" s="3" t="str">
        <f t="shared" si="24"/>
        <v>Ø16</v>
      </c>
    </row>
    <row r="304" spans="17:24" x14ac:dyDescent="0.3">
      <c r="Q304" s="3"/>
      <c r="R304" s="3"/>
      <c r="S304" s="3"/>
      <c r="T304" s="21"/>
      <c r="U304" s="3"/>
      <c r="V304" s="3">
        <f t="shared" si="22"/>
        <v>0</v>
      </c>
      <c r="W304" s="3" t="str">
        <f t="shared" si="23"/>
        <v>Ø16</v>
      </c>
      <c r="X304" s="3" t="str">
        <f t="shared" si="24"/>
        <v>Ø16</v>
      </c>
    </row>
    <row r="305" spans="17:24" x14ac:dyDescent="0.3">
      <c r="Q305" s="3"/>
      <c r="R305" s="3"/>
      <c r="S305" s="3"/>
      <c r="T305" s="21"/>
      <c r="U305" s="3"/>
      <c r="V305" s="3">
        <f t="shared" si="22"/>
        <v>0</v>
      </c>
      <c r="W305" s="3" t="str">
        <f t="shared" si="23"/>
        <v>Ø16</v>
      </c>
      <c r="X305" s="3" t="str">
        <f t="shared" si="24"/>
        <v>Ø16</v>
      </c>
    </row>
    <row r="306" spans="17:24" x14ac:dyDescent="0.3">
      <c r="Q306" s="3"/>
      <c r="R306" s="3"/>
      <c r="S306" s="3"/>
      <c r="T306" s="21"/>
      <c r="U306" s="3"/>
      <c r="V306" s="3">
        <f t="shared" si="22"/>
        <v>0</v>
      </c>
      <c r="W306" s="3" t="str">
        <f t="shared" si="23"/>
        <v>Ø16</v>
      </c>
      <c r="X306" s="3" t="str">
        <f t="shared" si="24"/>
        <v>Ø16</v>
      </c>
    </row>
    <row r="307" spans="17:24" x14ac:dyDescent="0.3">
      <c r="Q307" s="3"/>
      <c r="R307" s="3"/>
      <c r="S307" s="3"/>
      <c r="T307" s="21"/>
      <c r="U307" s="3"/>
      <c r="V307" s="3">
        <f t="shared" si="22"/>
        <v>0</v>
      </c>
      <c r="W307" s="3" t="str">
        <f t="shared" si="23"/>
        <v>Ø16</v>
      </c>
      <c r="X307" s="3" t="str">
        <f t="shared" si="24"/>
        <v>Ø16</v>
      </c>
    </row>
    <row r="308" spans="17:24" x14ac:dyDescent="0.3">
      <c r="Q308" s="3"/>
      <c r="R308" s="3"/>
      <c r="S308" s="3"/>
      <c r="T308" s="21"/>
      <c r="U308" s="3"/>
      <c r="V308" s="3">
        <f t="shared" si="22"/>
        <v>0</v>
      </c>
      <c r="W308" s="3" t="str">
        <f t="shared" si="23"/>
        <v>Ø16</v>
      </c>
      <c r="X308" s="3" t="str">
        <f t="shared" si="24"/>
        <v>Ø16</v>
      </c>
    </row>
    <row r="309" spans="17:24" x14ac:dyDescent="0.3">
      <c r="Q309" s="3"/>
      <c r="R309" s="3"/>
      <c r="S309" s="3"/>
      <c r="T309" s="21"/>
      <c r="U309" s="3"/>
      <c r="V309" s="3">
        <f t="shared" si="22"/>
        <v>0</v>
      </c>
      <c r="W309" s="3" t="str">
        <f t="shared" si="23"/>
        <v>Ø16</v>
      </c>
      <c r="X309" s="3" t="str">
        <f t="shared" si="24"/>
        <v>Ø16</v>
      </c>
    </row>
    <row r="310" spans="17:24" x14ac:dyDescent="0.3">
      <c r="Q310" s="3"/>
      <c r="R310" s="3"/>
      <c r="S310" s="3"/>
      <c r="T310" s="21"/>
      <c r="U310" s="3"/>
      <c r="V310" s="3">
        <f t="shared" si="22"/>
        <v>0</v>
      </c>
      <c r="W310" s="3" t="str">
        <f t="shared" si="23"/>
        <v>Ø16</v>
      </c>
      <c r="X310" s="3" t="str">
        <f t="shared" si="24"/>
        <v>Ø16</v>
      </c>
    </row>
    <row r="311" spans="17:24" x14ac:dyDescent="0.3">
      <c r="Q311" s="3"/>
      <c r="R311" s="3"/>
      <c r="S311" s="3"/>
      <c r="T311" s="21"/>
      <c r="U311" s="3"/>
      <c r="V311" s="3">
        <f t="shared" si="22"/>
        <v>0</v>
      </c>
      <c r="W311" s="3" t="str">
        <f t="shared" si="23"/>
        <v>Ø16</v>
      </c>
      <c r="X311" s="3" t="str">
        <f t="shared" si="24"/>
        <v>Ø16</v>
      </c>
    </row>
    <row r="312" spans="17:24" x14ac:dyDescent="0.3">
      <c r="Q312" s="3"/>
      <c r="R312" s="3"/>
      <c r="S312" s="3"/>
      <c r="T312" s="21"/>
      <c r="U312" s="3"/>
      <c r="V312" s="3">
        <f t="shared" si="22"/>
        <v>0</v>
      </c>
      <c r="W312" s="3" t="str">
        <f t="shared" si="23"/>
        <v>Ø16</v>
      </c>
      <c r="X312" s="3" t="str">
        <f t="shared" si="24"/>
        <v>Ø16</v>
      </c>
    </row>
    <row r="313" spans="17:24" x14ac:dyDescent="0.3">
      <c r="Q313" s="3"/>
      <c r="R313" s="3"/>
      <c r="S313" s="3"/>
      <c r="T313" s="21"/>
      <c r="U313" s="3"/>
      <c r="V313" s="3">
        <f t="shared" si="22"/>
        <v>0</v>
      </c>
      <c r="W313" s="3" t="str">
        <f t="shared" si="23"/>
        <v>Ø16</v>
      </c>
      <c r="X313" s="3" t="str">
        <f t="shared" si="24"/>
        <v>Ø16</v>
      </c>
    </row>
    <row r="314" spans="17:24" x14ac:dyDescent="0.3">
      <c r="Q314" s="3"/>
      <c r="R314" s="3"/>
      <c r="S314" s="3"/>
      <c r="T314" s="21"/>
      <c r="U314" s="3"/>
      <c r="V314" s="3">
        <f t="shared" si="22"/>
        <v>0</v>
      </c>
      <c r="W314" s="3" t="str">
        <f t="shared" si="23"/>
        <v>Ø16</v>
      </c>
      <c r="X314" s="3" t="str">
        <f t="shared" si="24"/>
        <v>Ø16</v>
      </c>
    </row>
    <row r="315" spans="17:24" x14ac:dyDescent="0.3">
      <c r="Q315" s="3"/>
      <c r="R315" s="3"/>
      <c r="S315" s="3"/>
      <c r="T315" s="21"/>
      <c r="U315" s="3"/>
      <c r="V315" s="3">
        <f t="shared" si="22"/>
        <v>0</v>
      </c>
      <c r="W315" s="3" t="str">
        <f t="shared" si="23"/>
        <v>Ø16</v>
      </c>
      <c r="X315" s="3" t="str">
        <f t="shared" si="24"/>
        <v>Ø16</v>
      </c>
    </row>
    <row r="316" spans="17:24" x14ac:dyDescent="0.3">
      <c r="Q316" s="3"/>
      <c r="R316" s="3"/>
      <c r="S316" s="3"/>
      <c r="T316" s="21"/>
      <c r="U316" s="3"/>
      <c r="V316" s="3">
        <f t="shared" si="22"/>
        <v>0</v>
      </c>
      <c r="W316" s="3" t="str">
        <f t="shared" si="23"/>
        <v>Ø16</v>
      </c>
      <c r="X316" s="3" t="str">
        <f t="shared" si="24"/>
        <v>Ø16</v>
      </c>
    </row>
    <row r="317" spans="17:24" x14ac:dyDescent="0.3">
      <c r="Q317" s="3"/>
      <c r="R317" s="3"/>
      <c r="S317" s="3"/>
      <c r="T317" s="21"/>
      <c r="U317" s="3"/>
      <c r="V317" s="3">
        <f t="shared" si="22"/>
        <v>0</v>
      </c>
      <c r="W317" s="3" t="str">
        <f t="shared" si="23"/>
        <v>Ø16</v>
      </c>
      <c r="X317" s="3" t="str">
        <f t="shared" si="24"/>
        <v>Ø16</v>
      </c>
    </row>
    <row r="318" spans="17:24" x14ac:dyDescent="0.3">
      <c r="Q318" s="3"/>
      <c r="R318" s="3"/>
      <c r="S318" s="3"/>
      <c r="T318" s="21"/>
      <c r="U318" s="3"/>
      <c r="V318" s="3">
        <f t="shared" si="22"/>
        <v>0</v>
      </c>
      <c r="W318" s="3" t="str">
        <f t="shared" si="23"/>
        <v>Ø16</v>
      </c>
      <c r="X318" s="3" t="str">
        <f t="shared" si="24"/>
        <v>Ø16</v>
      </c>
    </row>
    <row r="319" spans="17:24" x14ac:dyDescent="0.3">
      <c r="Q319" s="3"/>
      <c r="R319" s="3"/>
      <c r="S319" s="3"/>
      <c r="T319" s="21"/>
      <c r="U319" s="3"/>
      <c r="V319" s="3">
        <f t="shared" si="22"/>
        <v>0</v>
      </c>
      <c r="W319" s="3" t="str">
        <f t="shared" si="23"/>
        <v>Ø16</v>
      </c>
      <c r="X319" s="3" t="str">
        <f t="shared" si="24"/>
        <v>Ø16</v>
      </c>
    </row>
    <row r="320" spans="17:24" x14ac:dyDescent="0.3">
      <c r="Q320" s="3"/>
      <c r="R320" s="3"/>
      <c r="S320" s="3"/>
      <c r="T320" s="21"/>
      <c r="U320" s="3"/>
      <c r="V320" s="3">
        <f t="shared" si="22"/>
        <v>0</v>
      </c>
      <c r="W320" s="3" t="str">
        <f t="shared" si="23"/>
        <v>Ø16</v>
      </c>
      <c r="X320" s="3" t="str">
        <f t="shared" si="24"/>
        <v>Ø16</v>
      </c>
    </row>
    <row r="321" spans="17:24" x14ac:dyDescent="0.3">
      <c r="Q321" s="3"/>
      <c r="R321" s="3"/>
      <c r="S321" s="3"/>
      <c r="T321" s="21"/>
      <c r="U321" s="3"/>
      <c r="V321" s="3">
        <f t="shared" si="22"/>
        <v>0</v>
      </c>
      <c r="W321" s="3" t="str">
        <f t="shared" si="23"/>
        <v>Ø16</v>
      </c>
      <c r="X321" s="3" t="str">
        <f t="shared" si="24"/>
        <v>Ø16</v>
      </c>
    </row>
    <row r="322" spans="17:24" x14ac:dyDescent="0.3">
      <c r="Q322" s="3"/>
      <c r="R322" s="3"/>
      <c r="S322" s="3"/>
      <c r="T322" s="21"/>
      <c r="U322" s="3"/>
      <c r="V322" s="3">
        <f t="shared" si="22"/>
        <v>0</v>
      </c>
      <c r="W322" s="3" t="str">
        <f t="shared" si="23"/>
        <v>Ø16</v>
      </c>
      <c r="X322" s="3" t="str">
        <f t="shared" si="24"/>
        <v>Ø16</v>
      </c>
    </row>
    <row r="323" spans="17:24" x14ac:dyDescent="0.3">
      <c r="Q323" s="3"/>
      <c r="R323" s="3"/>
      <c r="S323" s="3"/>
      <c r="T323" s="21"/>
      <c r="U323" s="3"/>
      <c r="V323" s="3">
        <f t="shared" si="22"/>
        <v>0</v>
      </c>
      <c r="W323" s="3" t="str">
        <f t="shared" si="23"/>
        <v>Ø16</v>
      </c>
      <c r="X323" s="3" t="str">
        <f t="shared" si="24"/>
        <v>Ø16</v>
      </c>
    </row>
    <row r="324" spans="17:24" x14ac:dyDescent="0.3">
      <c r="Q324" s="3"/>
      <c r="R324" s="3"/>
      <c r="S324" s="3"/>
      <c r="T324" s="21"/>
      <c r="U324" s="3"/>
      <c r="V324" s="3">
        <f t="shared" si="22"/>
        <v>0</v>
      </c>
      <c r="W324" s="3" t="str">
        <f t="shared" si="23"/>
        <v>Ø16</v>
      </c>
      <c r="X324" s="3" t="str">
        <f t="shared" si="24"/>
        <v>Ø16</v>
      </c>
    </row>
    <row r="325" spans="17:24" x14ac:dyDescent="0.3">
      <c r="Q325" s="3"/>
      <c r="R325" s="3"/>
      <c r="S325" s="3"/>
      <c r="T325" s="21"/>
      <c r="U325" s="3"/>
      <c r="V325" s="3">
        <f t="shared" ref="V325:V388" si="25">U325*1.2</f>
        <v>0</v>
      </c>
      <c r="W325" s="3" t="str">
        <f t="shared" ref="W325:W388" si="26">"Ø"&amp;VLOOKUP(V325,$Z$4:$AA$10,2,TRUE)</f>
        <v>Ø16</v>
      </c>
      <c r="X325" s="3" t="str">
        <f t="shared" ref="X325:X388" si="27">"Ø"&amp;VLOOKUP(V325,$AD$4:$AE$10,2,TRUE)</f>
        <v>Ø16</v>
      </c>
    </row>
    <row r="326" spans="17:24" x14ac:dyDescent="0.3">
      <c r="Q326" s="3"/>
      <c r="R326" s="3"/>
      <c r="S326" s="3"/>
      <c r="T326" s="21"/>
      <c r="U326" s="3"/>
      <c r="V326" s="3">
        <f t="shared" si="25"/>
        <v>0</v>
      </c>
      <c r="W326" s="3" t="str">
        <f t="shared" si="26"/>
        <v>Ø16</v>
      </c>
      <c r="X326" s="3" t="str">
        <f t="shared" si="27"/>
        <v>Ø16</v>
      </c>
    </row>
    <row r="327" spans="17:24" x14ac:dyDescent="0.3">
      <c r="Q327" s="3"/>
      <c r="R327" s="3"/>
      <c r="S327" s="3"/>
      <c r="T327" s="21"/>
      <c r="U327" s="3"/>
      <c r="V327" s="3">
        <f t="shared" si="25"/>
        <v>0</v>
      </c>
      <c r="W327" s="3" t="str">
        <f t="shared" si="26"/>
        <v>Ø16</v>
      </c>
      <c r="X327" s="3" t="str">
        <f t="shared" si="27"/>
        <v>Ø16</v>
      </c>
    </row>
    <row r="328" spans="17:24" x14ac:dyDescent="0.3">
      <c r="Q328" s="3"/>
      <c r="R328" s="3"/>
      <c r="S328" s="3"/>
      <c r="T328" s="21"/>
      <c r="U328" s="3"/>
      <c r="V328" s="3">
        <f t="shared" si="25"/>
        <v>0</v>
      </c>
      <c r="W328" s="3" t="str">
        <f t="shared" si="26"/>
        <v>Ø16</v>
      </c>
      <c r="X328" s="3" t="str">
        <f t="shared" si="27"/>
        <v>Ø16</v>
      </c>
    </row>
    <row r="329" spans="17:24" x14ac:dyDescent="0.3">
      <c r="Q329" s="3"/>
      <c r="R329" s="3"/>
      <c r="S329" s="3"/>
      <c r="T329" s="21"/>
      <c r="U329" s="3"/>
      <c r="V329" s="3">
        <f t="shared" si="25"/>
        <v>0</v>
      </c>
      <c r="W329" s="3" t="str">
        <f t="shared" si="26"/>
        <v>Ø16</v>
      </c>
      <c r="X329" s="3" t="str">
        <f t="shared" si="27"/>
        <v>Ø16</v>
      </c>
    </row>
    <row r="330" spans="17:24" x14ac:dyDescent="0.3">
      <c r="Q330" s="3"/>
      <c r="R330" s="3"/>
      <c r="S330" s="3"/>
      <c r="T330" s="21"/>
      <c r="U330" s="3"/>
      <c r="V330" s="3">
        <f t="shared" si="25"/>
        <v>0</v>
      </c>
      <c r="W330" s="3" t="str">
        <f t="shared" si="26"/>
        <v>Ø16</v>
      </c>
      <c r="X330" s="3" t="str">
        <f t="shared" si="27"/>
        <v>Ø16</v>
      </c>
    </row>
    <row r="331" spans="17:24" x14ac:dyDescent="0.3">
      <c r="Q331" s="3"/>
      <c r="R331" s="3"/>
      <c r="S331" s="3"/>
      <c r="T331" s="21"/>
      <c r="U331" s="3"/>
      <c r="V331" s="3">
        <f t="shared" si="25"/>
        <v>0</v>
      </c>
      <c r="W331" s="3" t="str">
        <f t="shared" si="26"/>
        <v>Ø16</v>
      </c>
      <c r="X331" s="3" t="str">
        <f t="shared" si="27"/>
        <v>Ø16</v>
      </c>
    </row>
    <row r="332" spans="17:24" x14ac:dyDescent="0.3">
      <c r="Q332" s="3"/>
      <c r="R332" s="3"/>
      <c r="S332" s="3"/>
      <c r="T332" s="21"/>
      <c r="U332" s="3"/>
      <c r="V332" s="3">
        <f t="shared" si="25"/>
        <v>0</v>
      </c>
      <c r="W332" s="3" t="str">
        <f t="shared" si="26"/>
        <v>Ø16</v>
      </c>
      <c r="X332" s="3" t="str">
        <f t="shared" si="27"/>
        <v>Ø16</v>
      </c>
    </row>
    <row r="333" spans="17:24" x14ac:dyDescent="0.3">
      <c r="Q333" s="3"/>
      <c r="R333" s="3"/>
      <c r="S333" s="3"/>
      <c r="T333" s="21"/>
      <c r="U333" s="3"/>
      <c r="V333" s="3">
        <f t="shared" si="25"/>
        <v>0</v>
      </c>
      <c r="W333" s="3" t="str">
        <f t="shared" si="26"/>
        <v>Ø16</v>
      </c>
      <c r="X333" s="3" t="str">
        <f t="shared" si="27"/>
        <v>Ø16</v>
      </c>
    </row>
    <row r="334" spans="17:24" x14ac:dyDescent="0.3">
      <c r="Q334" s="3"/>
      <c r="R334" s="3"/>
      <c r="S334" s="3"/>
      <c r="T334" s="21"/>
      <c r="U334" s="3"/>
      <c r="V334" s="3">
        <f t="shared" si="25"/>
        <v>0</v>
      </c>
      <c r="W334" s="3" t="str">
        <f t="shared" si="26"/>
        <v>Ø16</v>
      </c>
      <c r="X334" s="3" t="str">
        <f t="shared" si="27"/>
        <v>Ø16</v>
      </c>
    </row>
    <row r="335" spans="17:24" x14ac:dyDescent="0.3">
      <c r="Q335" s="3"/>
      <c r="R335" s="3"/>
      <c r="S335" s="3"/>
      <c r="T335" s="21"/>
      <c r="U335" s="3"/>
      <c r="V335" s="3">
        <f t="shared" si="25"/>
        <v>0</v>
      </c>
      <c r="W335" s="3" t="str">
        <f t="shared" si="26"/>
        <v>Ø16</v>
      </c>
      <c r="X335" s="3" t="str">
        <f t="shared" si="27"/>
        <v>Ø16</v>
      </c>
    </row>
    <row r="336" spans="17:24" x14ac:dyDescent="0.3">
      <c r="Q336" s="3"/>
      <c r="R336" s="3"/>
      <c r="S336" s="3"/>
      <c r="T336" s="21"/>
      <c r="U336" s="3"/>
      <c r="V336" s="3">
        <f t="shared" si="25"/>
        <v>0</v>
      </c>
      <c r="W336" s="3" t="str">
        <f t="shared" si="26"/>
        <v>Ø16</v>
      </c>
      <c r="X336" s="3" t="str">
        <f t="shared" si="27"/>
        <v>Ø16</v>
      </c>
    </row>
    <row r="337" spans="17:24" x14ac:dyDescent="0.3">
      <c r="Q337" s="3"/>
      <c r="R337" s="3"/>
      <c r="S337" s="3"/>
      <c r="T337" s="21"/>
      <c r="U337" s="3"/>
      <c r="V337" s="3">
        <f t="shared" si="25"/>
        <v>0</v>
      </c>
      <c r="W337" s="3" t="str">
        <f t="shared" si="26"/>
        <v>Ø16</v>
      </c>
      <c r="X337" s="3" t="str">
        <f t="shared" si="27"/>
        <v>Ø16</v>
      </c>
    </row>
    <row r="338" spans="17:24" x14ac:dyDescent="0.3">
      <c r="Q338" s="3"/>
      <c r="R338" s="3"/>
      <c r="S338" s="3"/>
      <c r="T338" s="21"/>
      <c r="U338" s="3"/>
      <c r="V338" s="3">
        <f t="shared" si="25"/>
        <v>0</v>
      </c>
      <c r="W338" s="3" t="str">
        <f t="shared" si="26"/>
        <v>Ø16</v>
      </c>
      <c r="X338" s="3" t="str">
        <f t="shared" si="27"/>
        <v>Ø16</v>
      </c>
    </row>
    <row r="339" spans="17:24" x14ac:dyDescent="0.3">
      <c r="Q339" s="3"/>
      <c r="R339" s="3"/>
      <c r="S339" s="3"/>
      <c r="T339" s="21"/>
      <c r="U339" s="3"/>
      <c r="V339" s="3">
        <f t="shared" si="25"/>
        <v>0</v>
      </c>
      <c r="W339" s="3" t="str">
        <f t="shared" si="26"/>
        <v>Ø16</v>
      </c>
      <c r="X339" s="3" t="str">
        <f t="shared" si="27"/>
        <v>Ø16</v>
      </c>
    </row>
    <row r="340" spans="17:24" x14ac:dyDescent="0.3">
      <c r="Q340" s="3"/>
      <c r="R340" s="3"/>
      <c r="S340" s="3"/>
      <c r="T340" s="21"/>
      <c r="U340" s="3"/>
      <c r="V340" s="3">
        <f t="shared" si="25"/>
        <v>0</v>
      </c>
      <c r="W340" s="3" t="str">
        <f t="shared" si="26"/>
        <v>Ø16</v>
      </c>
      <c r="X340" s="3" t="str">
        <f t="shared" si="27"/>
        <v>Ø16</v>
      </c>
    </row>
    <row r="341" spans="17:24" x14ac:dyDescent="0.3">
      <c r="Q341" s="3"/>
      <c r="R341" s="3"/>
      <c r="S341" s="3"/>
      <c r="T341" s="21"/>
      <c r="U341" s="3"/>
      <c r="V341" s="3">
        <f t="shared" si="25"/>
        <v>0</v>
      </c>
      <c r="W341" s="3" t="str">
        <f t="shared" si="26"/>
        <v>Ø16</v>
      </c>
      <c r="X341" s="3" t="str">
        <f t="shared" si="27"/>
        <v>Ø16</v>
      </c>
    </row>
    <row r="342" spans="17:24" x14ac:dyDescent="0.3">
      <c r="Q342" s="3"/>
      <c r="R342" s="3"/>
      <c r="S342" s="3"/>
      <c r="T342" s="21"/>
      <c r="U342" s="3"/>
      <c r="V342" s="3">
        <f t="shared" si="25"/>
        <v>0</v>
      </c>
      <c r="W342" s="3" t="str">
        <f t="shared" si="26"/>
        <v>Ø16</v>
      </c>
      <c r="X342" s="3" t="str">
        <f t="shared" si="27"/>
        <v>Ø16</v>
      </c>
    </row>
    <row r="343" spans="17:24" x14ac:dyDescent="0.3">
      <c r="Q343" s="3"/>
      <c r="R343" s="3"/>
      <c r="S343" s="3"/>
      <c r="T343" s="21"/>
      <c r="U343" s="3"/>
      <c r="V343" s="3">
        <f t="shared" si="25"/>
        <v>0</v>
      </c>
      <c r="W343" s="3" t="str">
        <f t="shared" si="26"/>
        <v>Ø16</v>
      </c>
      <c r="X343" s="3" t="str">
        <f t="shared" si="27"/>
        <v>Ø16</v>
      </c>
    </row>
    <row r="344" spans="17:24" x14ac:dyDescent="0.3">
      <c r="Q344" s="3"/>
      <c r="R344" s="3"/>
      <c r="S344" s="3"/>
      <c r="T344" s="21"/>
      <c r="U344" s="3"/>
      <c r="V344" s="3">
        <f t="shared" si="25"/>
        <v>0</v>
      </c>
      <c r="W344" s="3" t="str">
        <f t="shared" si="26"/>
        <v>Ø16</v>
      </c>
      <c r="X344" s="3" t="str">
        <f t="shared" si="27"/>
        <v>Ø16</v>
      </c>
    </row>
    <row r="345" spans="17:24" x14ac:dyDescent="0.3">
      <c r="Q345" s="3"/>
      <c r="R345" s="3"/>
      <c r="S345" s="3"/>
      <c r="T345" s="21"/>
      <c r="U345" s="3"/>
      <c r="V345" s="3">
        <f t="shared" si="25"/>
        <v>0</v>
      </c>
      <c r="W345" s="3" t="str">
        <f t="shared" si="26"/>
        <v>Ø16</v>
      </c>
      <c r="X345" s="3" t="str">
        <f t="shared" si="27"/>
        <v>Ø16</v>
      </c>
    </row>
    <row r="346" spans="17:24" x14ac:dyDescent="0.3">
      <c r="Q346" s="3"/>
      <c r="R346" s="3"/>
      <c r="S346" s="3"/>
      <c r="T346" s="21"/>
      <c r="U346" s="3"/>
      <c r="V346" s="3">
        <f t="shared" si="25"/>
        <v>0</v>
      </c>
      <c r="W346" s="3" t="str">
        <f t="shared" si="26"/>
        <v>Ø16</v>
      </c>
      <c r="X346" s="3" t="str">
        <f t="shared" si="27"/>
        <v>Ø16</v>
      </c>
    </row>
    <row r="347" spans="17:24" x14ac:dyDescent="0.3">
      <c r="Q347" s="3"/>
      <c r="R347" s="3"/>
      <c r="S347" s="3"/>
      <c r="T347" s="21"/>
      <c r="U347" s="3"/>
      <c r="V347" s="3">
        <f t="shared" si="25"/>
        <v>0</v>
      </c>
      <c r="W347" s="3" t="str">
        <f t="shared" si="26"/>
        <v>Ø16</v>
      </c>
      <c r="X347" s="3" t="str">
        <f t="shared" si="27"/>
        <v>Ø16</v>
      </c>
    </row>
    <row r="348" spans="17:24" x14ac:dyDescent="0.3">
      <c r="Q348" s="3"/>
      <c r="R348" s="3"/>
      <c r="S348" s="3"/>
      <c r="T348" s="21"/>
      <c r="U348" s="3"/>
      <c r="V348" s="3">
        <f t="shared" si="25"/>
        <v>0</v>
      </c>
      <c r="W348" s="3" t="str">
        <f t="shared" si="26"/>
        <v>Ø16</v>
      </c>
      <c r="X348" s="3" t="str">
        <f t="shared" si="27"/>
        <v>Ø16</v>
      </c>
    </row>
    <row r="349" spans="17:24" x14ac:dyDescent="0.3">
      <c r="Q349" s="3"/>
      <c r="R349" s="3"/>
      <c r="S349" s="3"/>
      <c r="T349" s="21"/>
      <c r="U349" s="3"/>
      <c r="V349" s="3">
        <f t="shared" si="25"/>
        <v>0</v>
      </c>
      <c r="W349" s="3" t="str">
        <f t="shared" si="26"/>
        <v>Ø16</v>
      </c>
      <c r="X349" s="3" t="str">
        <f t="shared" si="27"/>
        <v>Ø16</v>
      </c>
    </row>
    <row r="350" spans="17:24" x14ac:dyDescent="0.3">
      <c r="Q350" s="3"/>
      <c r="R350" s="3"/>
      <c r="S350" s="3"/>
      <c r="T350" s="21"/>
      <c r="U350" s="3"/>
      <c r="V350" s="3">
        <f t="shared" si="25"/>
        <v>0</v>
      </c>
      <c r="W350" s="3" t="str">
        <f t="shared" si="26"/>
        <v>Ø16</v>
      </c>
      <c r="X350" s="3" t="str">
        <f t="shared" si="27"/>
        <v>Ø16</v>
      </c>
    </row>
    <row r="351" spans="17:24" x14ac:dyDescent="0.3">
      <c r="Q351" s="3"/>
      <c r="R351" s="3"/>
      <c r="S351" s="3"/>
      <c r="T351" s="21"/>
      <c r="U351" s="3"/>
      <c r="V351" s="3">
        <f t="shared" si="25"/>
        <v>0</v>
      </c>
      <c r="W351" s="3" t="str">
        <f t="shared" si="26"/>
        <v>Ø16</v>
      </c>
      <c r="X351" s="3" t="str">
        <f t="shared" si="27"/>
        <v>Ø16</v>
      </c>
    </row>
    <row r="352" spans="17:24" x14ac:dyDescent="0.3">
      <c r="Q352" s="3"/>
      <c r="R352" s="3"/>
      <c r="S352" s="3"/>
      <c r="T352" s="21"/>
      <c r="U352" s="3"/>
      <c r="V352" s="3">
        <f t="shared" si="25"/>
        <v>0</v>
      </c>
      <c r="W352" s="3" t="str">
        <f t="shared" si="26"/>
        <v>Ø16</v>
      </c>
      <c r="X352" s="3" t="str">
        <f t="shared" si="27"/>
        <v>Ø16</v>
      </c>
    </row>
    <row r="353" spans="17:24" x14ac:dyDescent="0.3">
      <c r="Q353" s="3"/>
      <c r="R353" s="3"/>
      <c r="S353" s="3"/>
      <c r="T353" s="21"/>
      <c r="U353" s="3"/>
      <c r="V353" s="3">
        <f t="shared" si="25"/>
        <v>0</v>
      </c>
      <c r="W353" s="3" t="str">
        <f t="shared" si="26"/>
        <v>Ø16</v>
      </c>
      <c r="X353" s="3" t="str">
        <f t="shared" si="27"/>
        <v>Ø16</v>
      </c>
    </row>
    <row r="354" spans="17:24" x14ac:dyDescent="0.3">
      <c r="Q354" s="3"/>
      <c r="R354" s="3"/>
      <c r="S354" s="3"/>
      <c r="T354" s="21"/>
      <c r="U354" s="3"/>
      <c r="V354" s="3">
        <f t="shared" si="25"/>
        <v>0</v>
      </c>
      <c r="W354" s="3" t="str">
        <f t="shared" si="26"/>
        <v>Ø16</v>
      </c>
      <c r="X354" s="3" t="str">
        <f t="shared" si="27"/>
        <v>Ø16</v>
      </c>
    </row>
    <row r="355" spans="17:24" x14ac:dyDescent="0.3">
      <c r="Q355" s="3"/>
      <c r="R355" s="3"/>
      <c r="S355" s="3"/>
      <c r="T355" s="21"/>
      <c r="U355" s="3"/>
      <c r="V355" s="3">
        <f t="shared" si="25"/>
        <v>0</v>
      </c>
      <c r="W355" s="3" t="str">
        <f t="shared" si="26"/>
        <v>Ø16</v>
      </c>
      <c r="X355" s="3" t="str">
        <f t="shared" si="27"/>
        <v>Ø16</v>
      </c>
    </row>
    <row r="356" spans="17:24" x14ac:dyDescent="0.3">
      <c r="Q356" s="3"/>
      <c r="R356" s="3"/>
      <c r="S356" s="3"/>
      <c r="T356" s="21"/>
      <c r="U356" s="3"/>
      <c r="V356" s="3">
        <f t="shared" si="25"/>
        <v>0</v>
      </c>
      <c r="W356" s="3" t="str">
        <f t="shared" si="26"/>
        <v>Ø16</v>
      </c>
      <c r="X356" s="3" t="str">
        <f t="shared" si="27"/>
        <v>Ø16</v>
      </c>
    </row>
    <row r="357" spans="17:24" x14ac:dyDescent="0.3">
      <c r="Q357" s="3"/>
      <c r="R357" s="3"/>
      <c r="S357" s="3"/>
      <c r="T357" s="21"/>
      <c r="U357" s="3"/>
      <c r="V357" s="3">
        <f t="shared" si="25"/>
        <v>0</v>
      </c>
      <c r="W357" s="3" t="str">
        <f t="shared" si="26"/>
        <v>Ø16</v>
      </c>
      <c r="X357" s="3" t="str">
        <f t="shared" si="27"/>
        <v>Ø16</v>
      </c>
    </row>
    <row r="358" spans="17:24" x14ac:dyDescent="0.3">
      <c r="Q358" s="3"/>
      <c r="R358" s="3"/>
      <c r="S358" s="3"/>
      <c r="T358" s="21"/>
      <c r="U358" s="3"/>
      <c r="V358" s="3">
        <f t="shared" si="25"/>
        <v>0</v>
      </c>
      <c r="W358" s="3" t="str">
        <f t="shared" si="26"/>
        <v>Ø16</v>
      </c>
      <c r="X358" s="3" t="str">
        <f t="shared" si="27"/>
        <v>Ø16</v>
      </c>
    </row>
    <row r="359" spans="17:24" x14ac:dyDescent="0.3">
      <c r="Q359" s="3"/>
      <c r="R359" s="3"/>
      <c r="S359" s="3"/>
      <c r="T359" s="21"/>
      <c r="U359" s="3"/>
      <c r="V359" s="3">
        <f t="shared" si="25"/>
        <v>0</v>
      </c>
      <c r="W359" s="3" t="str">
        <f t="shared" si="26"/>
        <v>Ø16</v>
      </c>
      <c r="X359" s="3" t="str">
        <f t="shared" si="27"/>
        <v>Ø16</v>
      </c>
    </row>
    <row r="360" spans="17:24" x14ac:dyDescent="0.3">
      <c r="Q360" s="3"/>
      <c r="R360" s="3"/>
      <c r="S360" s="3"/>
      <c r="T360" s="21"/>
      <c r="U360" s="3"/>
      <c r="V360" s="3">
        <f t="shared" si="25"/>
        <v>0</v>
      </c>
      <c r="W360" s="3" t="str">
        <f t="shared" si="26"/>
        <v>Ø16</v>
      </c>
      <c r="X360" s="3" t="str">
        <f t="shared" si="27"/>
        <v>Ø16</v>
      </c>
    </row>
    <row r="361" spans="17:24" x14ac:dyDescent="0.3">
      <c r="Q361" s="3"/>
      <c r="R361" s="3"/>
      <c r="S361" s="3"/>
      <c r="T361" s="21"/>
      <c r="U361" s="3"/>
      <c r="V361" s="3">
        <f t="shared" si="25"/>
        <v>0</v>
      </c>
      <c r="W361" s="3" t="str">
        <f t="shared" si="26"/>
        <v>Ø16</v>
      </c>
      <c r="X361" s="3" t="str">
        <f t="shared" si="27"/>
        <v>Ø16</v>
      </c>
    </row>
    <row r="362" spans="17:24" x14ac:dyDescent="0.3">
      <c r="Q362" s="3"/>
      <c r="R362" s="3"/>
      <c r="S362" s="3"/>
      <c r="T362" s="21"/>
      <c r="U362" s="3"/>
      <c r="V362" s="3">
        <f t="shared" si="25"/>
        <v>0</v>
      </c>
      <c r="W362" s="3" t="str">
        <f t="shared" si="26"/>
        <v>Ø16</v>
      </c>
      <c r="X362" s="3" t="str">
        <f t="shared" si="27"/>
        <v>Ø16</v>
      </c>
    </row>
    <row r="363" spans="17:24" x14ac:dyDescent="0.3">
      <c r="Q363" s="3"/>
      <c r="R363" s="3"/>
      <c r="S363" s="3"/>
      <c r="T363" s="21"/>
      <c r="U363" s="3"/>
      <c r="V363" s="3">
        <f t="shared" si="25"/>
        <v>0</v>
      </c>
      <c r="W363" s="3" t="str">
        <f t="shared" si="26"/>
        <v>Ø16</v>
      </c>
      <c r="X363" s="3" t="str">
        <f t="shared" si="27"/>
        <v>Ø16</v>
      </c>
    </row>
    <row r="364" spans="17:24" x14ac:dyDescent="0.3">
      <c r="Q364" s="3"/>
      <c r="R364" s="3"/>
      <c r="S364" s="3"/>
      <c r="T364" s="21"/>
      <c r="U364" s="3"/>
      <c r="V364" s="3">
        <f t="shared" si="25"/>
        <v>0</v>
      </c>
      <c r="W364" s="3" t="str">
        <f t="shared" si="26"/>
        <v>Ø16</v>
      </c>
      <c r="X364" s="3" t="str">
        <f t="shared" si="27"/>
        <v>Ø16</v>
      </c>
    </row>
    <row r="365" spans="17:24" x14ac:dyDescent="0.3">
      <c r="Q365" s="3"/>
      <c r="R365" s="3"/>
      <c r="S365" s="3"/>
      <c r="T365" s="21"/>
      <c r="U365" s="3"/>
      <c r="V365" s="3">
        <f t="shared" si="25"/>
        <v>0</v>
      </c>
      <c r="W365" s="3" t="str">
        <f t="shared" si="26"/>
        <v>Ø16</v>
      </c>
      <c r="X365" s="3" t="str">
        <f t="shared" si="27"/>
        <v>Ø16</v>
      </c>
    </row>
    <row r="366" spans="17:24" x14ac:dyDescent="0.3">
      <c r="Q366" s="3"/>
      <c r="R366" s="3"/>
      <c r="S366" s="3"/>
      <c r="T366" s="21"/>
      <c r="U366" s="3"/>
      <c r="V366" s="3">
        <f t="shared" si="25"/>
        <v>0</v>
      </c>
      <c r="W366" s="3" t="str">
        <f t="shared" si="26"/>
        <v>Ø16</v>
      </c>
      <c r="X366" s="3" t="str">
        <f t="shared" si="27"/>
        <v>Ø16</v>
      </c>
    </row>
    <row r="367" spans="17:24" x14ac:dyDescent="0.3">
      <c r="Q367" s="3"/>
      <c r="R367" s="3"/>
      <c r="S367" s="3"/>
      <c r="T367" s="21"/>
      <c r="U367" s="3"/>
      <c r="V367" s="3">
        <f t="shared" si="25"/>
        <v>0</v>
      </c>
      <c r="W367" s="3" t="str">
        <f t="shared" si="26"/>
        <v>Ø16</v>
      </c>
      <c r="X367" s="3" t="str">
        <f t="shared" si="27"/>
        <v>Ø16</v>
      </c>
    </row>
    <row r="368" spans="17:24" x14ac:dyDescent="0.3">
      <c r="Q368" s="3"/>
      <c r="R368" s="3"/>
      <c r="S368" s="3"/>
      <c r="T368" s="21"/>
      <c r="U368" s="3"/>
      <c r="V368" s="3">
        <f t="shared" si="25"/>
        <v>0</v>
      </c>
      <c r="W368" s="3" t="str">
        <f t="shared" si="26"/>
        <v>Ø16</v>
      </c>
      <c r="X368" s="3" t="str">
        <f t="shared" si="27"/>
        <v>Ø16</v>
      </c>
    </row>
    <row r="369" spans="17:24" x14ac:dyDescent="0.3">
      <c r="Q369" s="3"/>
      <c r="R369" s="3"/>
      <c r="S369" s="3"/>
      <c r="T369" s="21"/>
      <c r="U369" s="3"/>
      <c r="V369" s="3">
        <f t="shared" si="25"/>
        <v>0</v>
      </c>
      <c r="W369" s="3" t="str">
        <f t="shared" si="26"/>
        <v>Ø16</v>
      </c>
      <c r="X369" s="3" t="str">
        <f t="shared" si="27"/>
        <v>Ø16</v>
      </c>
    </row>
    <row r="370" spans="17:24" x14ac:dyDescent="0.3">
      <c r="Q370" s="3"/>
      <c r="R370" s="3"/>
      <c r="S370" s="3"/>
      <c r="T370" s="21"/>
      <c r="U370" s="3"/>
      <c r="V370" s="3">
        <f t="shared" si="25"/>
        <v>0</v>
      </c>
      <c r="W370" s="3" t="str">
        <f t="shared" si="26"/>
        <v>Ø16</v>
      </c>
      <c r="X370" s="3" t="str">
        <f t="shared" si="27"/>
        <v>Ø16</v>
      </c>
    </row>
    <row r="371" spans="17:24" x14ac:dyDescent="0.3">
      <c r="Q371" s="3"/>
      <c r="R371" s="3"/>
      <c r="S371" s="3"/>
      <c r="T371" s="21"/>
      <c r="U371" s="3"/>
      <c r="V371" s="3">
        <f t="shared" si="25"/>
        <v>0</v>
      </c>
      <c r="W371" s="3" t="str">
        <f t="shared" si="26"/>
        <v>Ø16</v>
      </c>
      <c r="X371" s="3" t="str">
        <f t="shared" si="27"/>
        <v>Ø16</v>
      </c>
    </row>
    <row r="372" spans="17:24" x14ac:dyDescent="0.3">
      <c r="Q372" s="3"/>
      <c r="R372" s="3"/>
      <c r="S372" s="3"/>
      <c r="T372" s="21"/>
      <c r="U372" s="3"/>
      <c r="V372" s="3">
        <f t="shared" si="25"/>
        <v>0</v>
      </c>
      <c r="W372" s="3" t="str">
        <f t="shared" si="26"/>
        <v>Ø16</v>
      </c>
      <c r="X372" s="3" t="str">
        <f t="shared" si="27"/>
        <v>Ø16</v>
      </c>
    </row>
    <row r="373" spans="17:24" x14ac:dyDescent="0.3">
      <c r="Q373" s="3"/>
      <c r="R373" s="3"/>
      <c r="S373" s="3"/>
      <c r="T373" s="21"/>
      <c r="U373" s="3"/>
      <c r="V373" s="3">
        <f t="shared" si="25"/>
        <v>0</v>
      </c>
      <c r="W373" s="3" t="str">
        <f t="shared" si="26"/>
        <v>Ø16</v>
      </c>
      <c r="X373" s="3" t="str">
        <f t="shared" si="27"/>
        <v>Ø16</v>
      </c>
    </row>
    <row r="374" spans="17:24" x14ac:dyDescent="0.3">
      <c r="Q374" s="3"/>
      <c r="R374" s="3"/>
      <c r="S374" s="3"/>
      <c r="T374" s="21"/>
      <c r="U374" s="3"/>
      <c r="V374" s="3">
        <f t="shared" si="25"/>
        <v>0</v>
      </c>
      <c r="W374" s="3" t="str">
        <f t="shared" si="26"/>
        <v>Ø16</v>
      </c>
      <c r="X374" s="3" t="str">
        <f t="shared" si="27"/>
        <v>Ø16</v>
      </c>
    </row>
    <row r="375" spans="17:24" x14ac:dyDescent="0.3">
      <c r="Q375" s="3"/>
      <c r="R375" s="3"/>
      <c r="S375" s="3"/>
      <c r="T375" s="21"/>
      <c r="U375" s="3"/>
      <c r="V375" s="3">
        <f t="shared" si="25"/>
        <v>0</v>
      </c>
      <c r="W375" s="3" t="str">
        <f t="shared" si="26"/>
        <v>Ø16</v>
      </c>
      <c r="X375" s="3" t="str">
        <f t="shared" si="27"/>
        <v>Ø16</v>
      </c>
    </row>
    <row r="376" spans="17:24" x14ac:dyDescent="0.3">
      <c r="Q376" s="3"/>
      <c r="R376" s="3"/>
      <c r="S376" s="3"/>
      <c r="T376" s="21"/>
      <c r="U376" s="3"/>
      <c r="V376" s="3">
        <f t="shared" si="25"/>
        <v>0</v>
      </c>
      <c r="W376" s="3" t="str">
        <f t="shared" si="26"/>
        <v>Ø16</v>
      </c>
      <c r="X376" s="3" t="str">
        <f t="shared" si="27"/>
        <v>Ø16</v>
      </c>
    </row>
    <row r="377" spans="17:24" x14ac:dyDescent="0.3">
      <c r="Q377" s="3"/>
      <c r="R377" s="3"/>
      <c r="S377" s="3"/>
      <c r="T377" s="21"/>
      <c r="U377" s="3"/>
      <c r="V377" s="3">
        <f t="shared" si="25"/>
        <v>0</v>
      </c>
      <c r="W377" s="3" t="str">
        <f t="shared" si="26"/>
        <v>Ø16</v>
      </c>
      <c r="X377" s="3" t="str">
        <f t="shared" si="27"/>
        <v>Ø16</v>
      </c>
    </row>
    <row r="378" spans="17:24" x14ac:dyDescent="0.3">
      <c r="Q378" s="3"/>
      <c r="R378" s="3"/>
      <c r="S378" s="3"/>
      <c r="T378" s="21"/>
      <c r="U378" s="3"/>
      <c r="V378" s="3">
        <f t="shared" si="25"/>
        <v>0</v>
      </c>
      <c r="W378" s="3" t="str">
        <f t="shared" si="26"/>
        <v>Ø16</v>
      </c>
      <c r="X378" s="3" t="str">
        <f t="shared" si="27"/>
        <v>Ø16</v>
      </c>
    </row>
    <row r="379" spans="17:24" x14ac:dyDescent="0.3">
      <c r="Q379" s="3"/>
      <c r="R379" s="3"/>
      <c r="S379" s="3"/>
      <c r="T379" s="21"/>
      <c r="U379" s="3"/>
      <c r="V379" s="3">
        <f t="shared" si="25"/>
        <v>0</v>
      </c>
      <c r="W379" s="3" t="str">
        <f t="shared" si="26"/>
        <v>Ø16</v>
      </c>
      <c r="X379" s="3" t="str">
        <f t="shared" si="27"/>
        <v>Ø16</v>
      </c>
    </row>
    <row r="380" spans="17:24" x14ac:dyDescent="0.3">
      <c r="Q380" s="3"/>
      <c r="R380" s="3"/>
      <c r="S380" s="3"/>
      <c r="T380" s="21"/>
      <c r="U380" s="3"/>
      <c r="V380" s="3">
        <f t="shared" si="25"/>
        <v>0</v>
      </c>
      <c r="W380" s="3" t="str">
        <f t="shared" si="26"/>
        <v>Ø16</v>
      </c>
      <c r="X380" s="3" t="str">
        <f t="shared" si="27"/>
        <v>Ø16</v>
      </c>
    </row>
    <row r="381" spans="17:24" x14ac:dyDescent="0.3">
      <c r="Q381" s="3"/>
      <c r="R381" s="3"/>
      <c r="S381" s="3"/>
      <c r="T381" s="21"/>
      <c r="U381" s="3"/>
      <c r="V381" s="3">
        <f t="shared" si="25"/>
        <v>0</v>
      </c>
      <c r="W381" s="3" t="str">
        <f t="shared" si="26"/>
        <v>Ø16</v>
      </c>
      <c r="X381" s="3" t="str">
        <f t="shared" si="27"/>
        <v>Ø16</v>
      </c>
    </row>
    <row r="382" spans="17:24" x14ac:dyDescent="0.3">
      <c r="Q382" s="3"/>
      <c r="R382" s="3"/>
      <c r="S382" s="3"/>
      <c r="T382" s="21"/>
      <c r="U382" s="3"/>
      <c r="V382" s="3">
        <f t="shared" si="25"/>
        <v>0</v>
      </c>
      <c r="W382" s="3" t="str">
        <f t="shared" si="26"/>
        <v>Ø16</v>
      </c>
      <c r="X382" s="3" t="str">
        <f t="shared" si="27"/>
        <v>Ø16</v>
      </c>
    </row>
    <row r="383" spans="17:24" x14ac:dyDescent="0.3">
      <c r="Q383" s="3"/>
      <c r="R383" s="3"/>
      <c r="S383" s="3"/>
      <c r="T383" s="21"/>
      <c r="U383" s="3"/>
      <c r="V383" s="3">
        <f t="shared" si="25"/>
        <v>0</v>
      </c>
      <c r="W383" s="3" t="str">
        <f t="shared" si="26"/>
        <v>Ø16</v>
      </c>
      <c r="X383" s="3" t="str">
        <f t="shared" si="27"/>
        <v>Ø16</v>
      </c>
    </row>
    <row r="384" spans="17:24" x14ac:dyDescent="0.3">
      <c r="Q384" s="3"/>
      <c r="R384" s="3"/>
      <c r="S384" s="3"/>
      <c r="T384" s="21"/>
      <c r="U384" s="3"/>
      <c r="V384" s="3">
        <f t="shared" si="25"/>
        <v>0</v>
      </c>
      <c r="W384" s="3" t="str">
        <f t="shared" si="26"/>
        <v>Ø16</v>
      </c>
      <c r="X384" s="3" t="str">
        <f t="shared" si="27"/>
        <v>Ø16</v>
      </c>
    </row>
    <row r="385" spans="17:24" x14ac:dyDescent="0.3">
      <c r="Q385" s="3"/>
      <c r="R385" s="3"/>
      <c r="S385" s="3"/>
      <c r="T385" s="21"/>
      <c r="U385" s="3"/>
      <c r="V385" s="3">
        <f t="shared" si="25"/>
        <v>0</v>
      </c>
      <c r="W385" s="3" t="str">
        <f t="shared" si="26"/>
        <v>Ø16</v>
      </c>
      <c r="X385" s="3" t="str">
        <f t="shared" si="27"/>
        <v>Ø16</v>
      </c>
    </row>
    <row r="386" spans="17:24" x14ac:dyDescent="0.3">
      <c r="Q386" s="3"/>
      <c r="R386" s="3"/>
      <c r="S386" s="3"/>
      <c r="T386" s="21"/>
      <c r="U386" s="3"/>
      <c r="V386" s="3">
        <f t="shared" si="25"/>
        <v>0</v>
      </c>
      <c r="W386" s="3" t="str">
        <f t="shared" si="26"/>
        <v>Ø16</v>
      </c>
      <c r="X386" s="3" t="str">
        <f t="shared" si="27"/>
        <v>Ø16</v>
      </c>
    </row>
    <row r="387" spans="17:24" x14ac:dyDescent="0.3">
      <c r="Q387" s="3"/>
      <c r="R387" s="3"/>
      <c r="S387" s="3"/>
      <c r="T387" s="21"/>
      <c r="U387" s="3"/>
      <c r="V387" s="3">
        <f t="shared" si="25"/>
        <v>0</v>
      </c>
      <c r="W387" s="3" t="str">
        <f t="shared" si="26"/>
        <v>Ø16</v>
      </c>
      <c r="X387" s="3" t="str">
        <f t="shared" si="27"/>
        <v>Ø16</v>
      </c>
    </row>
    <row r="388" spans="17:24" x14ac:dyDescent="0.3">
      <c r="Q388" s="3"/>
      <c r="R388" s="3"/>
      <c r="S388" s="3"/>
      <c r="T388" s="21"/>
      <c r="U388" s="3"/>
      <c r="V388" s="3">
        <f t="shared" si="25"/>
        <v>0</v>
      </c>
      <c r="W388" s="3" t="str">
        <f t="shared" si="26"/>
        <v>Ø16</v>
      </c>
      <c r="X388" s="3" t="str">
        <f t="shared" si="27"/>
        <v>Ø16</v>
      </c>
    </row>
    <row r="389" spans="17:24" x14ac:dyDescent="0.3">
      <c r="Q389" s="3"/>
      <c r="R389" s="3"/>
      <c r="S389" s="3"/>
      <c r="T389" s="21"/>
      <c r="U389" s="3"/>
      <c r="V389" s="3">
        <f t="shared" ref="V389:V452" si="28">U389*1.2</f>
        <v>0</v>
      </c>
      <c r="W389" s="3" t="str">
        <f t="shared" ref="W389:W452" si="29">"Ø"&amp;VLOOKUP(V389,$Z$4:$AA$10,2,TRUE)</f>
        <v>Ø16</v>
      </c>
      <c r="X389" s="3" t="str">
        <f t="shared" ref="X389:X452" si="30">"Ø"&amp;VLOOKUP(V389,$AD$4:$AE$10,2,TRUE)</f>
        <v>Ø16</v>
      </c>
    </row>
    <row r="390" spans="17:24" x14ac:dyDescent="0.3">
      <c r="Q390" s="3"/>
      <c r="R390" s="3"/>
      <c r="S390" s="3"/>
      <c r="T390" s="21"/>
      <c r="U390" s="3"/>
      <c r="V390" s="3">
        <f t="shared" si="28"/>
        <v>0</v>
      </c>
      <c r="W390" s="3" t="str">
        <f t="shared" si="29"/>
        <v>Ø16</v>
      </c>
      <c r="X390" s="3" t="str">
        <f t="shared" si="30"/>
        <v>Ø16</v>
      </c>
    </row>
    <row r="391" spans="17:24" x14ac:dyDescent="0.3">
      <c r="Q391" s="3"/>
      <c r="R391" s="3"/>
      <c r="S391" s="3"/>
      <c r="T391" s="21"/>
      <c r="U391" s="3"/>
      <c r="V391" s="3">
        <f t="shared" si="28"/>
        <v>0</v>
      </c>
      <c r="W391" s="3" t="str">
        <f t="shared" si="29"/>
        <v>Ø16</v>
      </c>
      <c r="X391" s="3" t="str">
        <f t="shared" si="30"/>
        <v>Ø16</v>
      </c>
    </row>
    <row r="392" spans="17:24" x14ac:dyDescent="0.3">
      <c r="Q392" s="3"/>
      <c r="R392" s="3"/>
      <c r="S392" s="3"/>
      <c r="T392" s="21"/>
      <c r="U392" s="3"/>
      <c r="V392" s="3">
        <f t="shared" si="28"/>
        <v>0</v>
      </c>
      <c r="W392" s="3" t="str">
        <f t="shared" si="29"/>
        <v>Ø16</v>
      </c>
      <c r="X392" s="3" t="str">
        <f t="shared" si="30"/>
        <v>Ø16</v>
      </c>
    </row>
    <row r="393" spans="17:24" x14ac:dyDescent="0.3">
      <c r="Q393" s="3"/>
      <c r="R393" s="3"/>
      <c r="S393" s="3"/>
      <c r="T393" s="21"/>
      <c r="U393" s="3"/>
      <c r="V393" s="3">
        <f t="shared" si="28"/>
        <v>0</v>
      </c>
      <c r="W393" s="3" t="str">
        <f t="shared" si="29"/>
        <v>Ø16</v>
      </c>
      <c r="X393" s="3" t="str">
        <f t="shared" si="30"/>
        <v>Ø16</v>
      </c>
    </row>
    <row r="394" spans="17:24" x14ac:dyDescent="0.3">
      <c r="Q394" s="3"/>
      <c r="R394" s="3"/>
      <c r="S394" s="3"/>
      <c r="T394" s="21"/>
      <c r="U394" s="3"/>
      <c r="V394" s="3">
        <f t="shared" si="28"/>
        <v>0</v>
      </c>
      <c r="W394" s="3" t="str">
        <f t="shared" si="29"/>
        <v>Ø16</v>
      </c>
      <c r="X394" s="3" t="str">
        <f t="shared" si="30"/>
        <v>Ø16</v>
      </c>
    </row>
    <row r="395" spans="17:24" x14ac:dyDescent="0.3">
      <c r="Q395" s="3"/>
      <c r="R395" s="3"/>
      <c r="S395" s="3"/>
      <c r="T395" s="21"/>
      <c r="U395" s="3"/>
      <c r="V395" s="3">
        <f t="shared" si="28"/>
        <v>0</v>
      </c>
      <c r="W395" s="3" t="str">
        <f t="shared" si="29"/>
        <v>Ø16</v>
      </c>
      <c r="X395" s="3" t="str">
        <f t="shared" si="30"/>
        <v>Ø16</v>
      </c>
    </row>
    <row r="396" spans="17:24" x14ac:dyDescent="0.3">
      <c r="Q396" s="3"/>
      <c r="R396" s="3"/>
      <c r="S396" s="3"/>
      <c r="T396" s="21"/>
      <c r="U396" s="3"/>
      <c r="V396" s="3">
        <f t="shared" si="28"/>
        <v>0</v>
      </c>
      <c r="W396" s="3" t="str">
        <f t="shared" si="29"/>
        <v>Ø16</v>
      </c>
      <c r="X396" s="3" t="str">
        <f t="shared" si="30"/>
        <v>Ø16</v>
      </c>
    </row>
    <row r="397" spans="17:24" x14ac:dyDescent="0.3">
      <c r="Q397" s="3"/>
      <c r="R397" s="3"/>
      <c r="S397" s="3"/>
      <c r="T397" s="21"/>
      <c r="U397" s="3"/>
      <c r="V397" s="3">
        <f t="shared" si="28"/>
        <v>0</v>
      </c>
      <c r="W397" s="3" t="str">
        <f t="shared" si="29"/>
        <v>Ø16</v>
      </c>
      <c r="X397" s="3" t="str">
        <f t="shared" si="30"/>
        <v>Ø16</v>
      </c>
    </row>
    <row r="398" spans="17:24" x14ac:dyDescent="0.3">
      <c r="Q398" s="3"/>
      <c r="R398" s="3"/>
      <c r="S398" s="3"/>
      <c r="T398" s="21"/>
      <c r="U398" s="3"/>
      <c r="V398" s="3">
        <f t="shared" si="28"/>
        <v>0</v>
      </c>
      <c r="W398" s="3" t="str">
        <f t="shared" si="29"/>
        <v>Ø16</v>
      </c>
      <c r="X398" s="3" t="str">
        <f t="shared" si="30"/>
        <v>Ø16</v>
      </c>
    </row>
    <row r="399" spans="17:24" x14ac:dyDescent="0.3">
      <c r="Q399" s="3"/>
      <c r="R399" s="3"/>
      <c r="S399" s="3"/>
      <c r="T399" s="21"/>
      <c r="U399" s="3"/>
      <c r="V399" s="3">
        <f t="shared" si="28"/>
        <v>0</v>
      </c>
      <c r="W399" s="3" t="str">
        <f t="shared" si="29"/>
        <v>Ø16</v>
      </c>
      <c r="X399" s="3" t="str">
        <f t="shared" si="30"/>
        <v>Ø16</v>
      </c>
    </row>
    <row r="400" spans="17:24" x14ac:dyDescent="0.3">
      <c r="Q400" s="3"/>
      <c r="R400" s="3"/>
      <c r="S400" s="3"/>
      <c r="T400" s="21"/>
      <c r="U400" s="3"/>
      <c r="V400" s="3">
        <f t="shared" si="28"/>
        <v>0</v>
      </c>
      <c r="W400" s="3" t="str">
        <f t="shared" si="29"/>
        <v>Ø16</v>
      </c>
      <c r="X400" s="3" t="str">
        <f t="shared" si="30"/>
        <v>Ø16</v>
      </c>
    </row>
    <row r="401" spans="17:24" x14ac:dyDescent="0.3">
      <c r="Q401" s="3"/>
      <c r="R401" s="3"/>
      <c r="S401" s="3"/>
      <c r="T401" s="21"/>
      <c r="U401" s="3"/>
      <c r="V401" s="3">
        <f t="shared" si="28"/>
        <v>0</v>
      </c>
      <c r="W401" s="3" t="str">
        <f t="shared" si="29"/>
        <v>Ø16</v>
      </c>
      <c r="X401" s="3" t="str">
        <f t="shared" si="30"/>
        <v>Ø16</v>
      </c>
    </row>
    <row r="402" spans="17:24" x14ac:dyDescent="0.3">
      <c r="Q402" s="3"/>
      <c r="R402" s="3"/>
      <c r="S402" s="3"/>
      <c r="T402" s="21"/>
      <c r="U402" s="3"/>
      <c r="V402" s="3">
        <f t="shared" si="28"/>
        <v>0</v>
      </c>
      <c r="W402" s="3" t="str">
        <f t="shared" si="29"/>
        <v>Ø16</v>
      </c>
      <c r="X402" s="3" t="str">
        <f t="shared" si="30"/>
        <v>Ø16</v>
      </c>
    </row>
    <row r="403" spans="17:24" x14ac:dyDescent="0.3">
      <c r="Q403" s="3"/>
      <c r="R403" s="3"/>
      <c r="S403" s="3"/>
      <c r="T403" s="21"/>
      <c r="U403" s="3"/>
      <c r="V403" s="3">
        <f t="shared" si="28"/>
        <v>0</v>
      </c>
      <c r="W403" s="3" t="str">
        <f t="shared" si="29"/>
        <v>Ø16</v>
      </c>
      <c r="X403" s="3" t="str">
        <f t="shared" si="30"/>
        <v>Ø16</v>
      </c>
    </row>
    <row r="404" spans="17:24" x14ac:dyDescent="0.3">
      <c r="Q404" s="3"/>
      <c r="R404" s="3"/>
      <c r="S404" s="3"/>
      <c r="T404" s="21"/>
      <c r="U404" s="3"/>
      <c r="V404" s="3">
        <f t="shared" si="28"/>
        <v>0</v>
      </c>
      <c r="W404" s="3" t="str">
        <f t="shared" si="29"/>
        <v>Ø16</v>
      </c>
      <c r="X404" s="3" t="str">
        <f t="shared" si="30"/>
        <v>Ø16</v>
      </c>
    </row>
    <row r="405" spans="17:24" x14ac:dyDescent="0.3">
      <c r="Q405" s="3"/>
      <c r="R405" s="3"/>
      <c r="S405" s="3"/>
      <c r="T405" s="21"/>
      <c r="U405" s="3"/>
      <c r="V405" s="3">
        <f t="shared" si="28"/>
        <v>0</v>
      </c>
      <c r="W405" s="3" t="str">
        <f t="shared" si="29"/>
        <v>Ø16</v>
      </c>
      <c r="X405" s="3" t="str">
        <f t="shared" si="30"/>
        <v>Ø16</v>
      </c>
    </row>
    <row r="406" spans="17:24" x14ac:dyDescent="0.3">
      <c r="Q406" s="3"/>
      <c r="R406" s="3"/>
      <c r="S406" s="3"/>
      <c r="T406" s="21"/>
      <c r="U406" s="3"/>
      <c r="V406" s="3">
        <f t="shared" si="28"/>
        <v>0</v>
      </c>
      <c r="W406" s="3" t="str">
        <f t="shared" si="29"/>
        <v>Ø16</v>
      </c>
      <c r="X406" s="3" t="str">
        <f t="shared" si="30"/>
        <v>Ø16</v>
      </c>
    </row>
    <row r="407" spans="17:24" x14ac:dyDescent="0.3">
      <c r="Q407" s="3"/>
      <c r="R407" s="3"/>
      <c r="S407" s="3"/>
      <c r="T407" s="21"/>
      <c r="U407" s="3"/>
      <c r="V407" s="3">
        <f t="shared" si="28"/>
        <v>0</v>
      </c>
      <c r="W407" s="3" t="str">
        <f t="shared" si="29"/>
        <v>Ø16</v>
      </c>
      <c r="X407" s="3" t="str">
        <f t="shared" si="30"/>
        <v>Ø16</v>
      </c>
    </row>
    <row r="408" spans="17:24" x14ac:dyDescent="0.3">
      <c r="Q408" s="3"/>
      <c r="R408" s="3"/>
      <c r="S408" s="3"/>
      <c r="T408" s="21"/>
      <c r="U408" s="3"/>
      <c r="V408" s="3">
        <f t="shared" si="28"/>
        <v>0</v>
      </c>
      <c r="W408" s="3" t="str">
        <f t="shared" si="29"/>
        <v>Ø16</v>
      </c>
      <c r="X408" s="3" t="str">
        <f t="shared" si="30"/>
        <v>Ø16</v>
      </c>
    </row>
    <row r="409" spans="17:24" x14ac:dyDescent="0.3">
      <c r="Q409" s="3"/>
      <c r="R409" s="3"/>
      <c r="S409" s="3"/>
      <c r="T409" s="21"/>
      <c r="U409" s="3"/>
      <c r="V409" s="3">
        <f t="shared" si="28"/>
        <v>0</v>
      </c>
      <c r="W409" s="3" t="str">
        <f t="shared" si="29"/>
        <v>Ø16</v>
      </c>
      <c r="X409" s="3" t="str">
        <f t="shared" si="30"/>
        <v>Ø16</v>
      </c>
    </row>
    <row r="410" spans="17:24" x14ac:dyDescent="0.3">
      <c r="Q410" s="3"/>
      <c r="R410" s="3"/>
      <c r="S410" s="3"/>
      <c r="T410" s="21"/>
      <c r="U410" s="3"/>
      <c r="V410" s="3">
        <f t="shared" si="28"/>
        <v>0</v>
      </c>
      <c r="W410" s="3" t="str">
        <f t="shared" si="29"/>
        <v>Ø16</v>
      </c>
      <c r="X410" s="3" t="str">
        <f t="shared" si="30"/>
        <v>Ø16</v>
      </c>
    </row>
    <row r="411" spans="17:24" x14ac:dyDescent="0.3">
      <c r="Q411" s="3"/>
      <c r="R411" s="3"/>
      <c r="S411" s="3"/>
      <c r="T411" s="21"/>
      <c r="U411" s="3"/>
      <c r="V411" s="3">
        <f t="shared" si="28"/>
        <v>0</v>
      </c>
      <c r="W411" s="3" t="str">
        <f t="shared" si="29"/>
        <v>Ø16</v>
      </c>
      <c r="X411" s="3" t="str">
        <f t="shared" si="30"/>
        <v>Ø16</v>
      </c>
    </row>
    <row r="412" spans="17:24" x14ac:dyDescent="0.3">
      <c r="Q412" s="3"/>
      <c r="R412" s="3"/>
      <c r="S412" s="3"/>
      <c r="T412" s="21"/>
      <c r="U412" s="3"/>
      <c r="V412" s="3">
        <f t="shared" si="28"/>
        <v>0</v>
      </c>
      <c r="W412" s="3" t="str">
        <f t="shared" si="29"/>
        <v>Ø16</v>
      </c>
      <c r="X412" s="3" t="str">
        <f t="shared" si="30"/>
        <v>Ø16</v>
      </c>
    </row>
    <row r="413" spans="17:24" x14ac:dyDescent="0.3">
      <c r="Q413" s="3"/>
      <c r="R413" s="3"/>
      <c r="S413" s="3"/>
      <c r="T413" s="21"/>
      <c r="U413" s="3"/>
      <c r="V413" s="3">
        <f t="shared" si="28"/>
        <v>0</v>
      </c>
      <c r="W413" s="3" t="str">
        <f t="shared" si="29"/>
        <v>Ø16</v>
      </c>
      <c r="X413" s="3" t="str">
        <f t="shared" si="30"/>
        <v>Ø16</v>
      </c>
    </row>
    <row r="414" spans="17:24" x14ac:dyDescent="0.3">
      <c r="Q414" s="3"/>
      <c r="R414" s="3"/>
      <c r="S414" s="3"/>
      <c r="T414" s="21"/>
      <c r="U414" s="3"/>
      <c r="V414" s="3">
        <f t="shared" si="28"/>
        <v>0</v>
      </c>
      <c r="W414" s="3" t="str">
        <f t="shared" si="29"/>
        <v>Ø16</v>
      </c>
      <c r="X414" s="3" t="str">
        <f t="shared" si="30"/>
        <v>Ø16</v>
      </c>
    </row>
    <row r="415" spans="17:24" x14ac:dyDescent="0.3">
      <c r="Q415" s="3"/>
      <c r="R415" s="3"/>
      <c r="S415" s="3"/>
      <c r="T415" s="21"/>
      <c r="U415" s="3"/>
      <c r="V415" s="3">
        <f t="shared" si="28"/>
        <v>0</v>
      </c>
      <c r="W415" s="3" t="str">
        <f t="shared" si="29"/>
        <v>Ø16</v>
      </c>
      <c r="X415" s="3" t="str">
        <f t="shared" si="30"/>
        <v>Ø16</v>
      </c>
    </row>
    <row r="416" spans="17:24" x14ac:dyDescent="0.3">
      <c r="Q416" s="3"/>
      <c r="R416" s="3"/>
      <c r="S416" s="3"/>
      <c r="T416" s="21"/>
      <c r="U416" s="3"/>
      <c r="V416" s="3">
        <f t="shared" si="28"/>
        <v>0</v>
      </c>
      <c r="W416" s="3" t="str">
        <f t="shared" si="29"/>
        <v>Ø16</v>
      </c>
      <c r="X416" s="3" t="str">
        <f t="shared" si="30"/>
        <v>Ø16</v>
      </c>
    </row>
    <row r="417" spans="17:24" x14ac:dyDescent="0.3">
      <c r="Q417" s="3"/>
      <c r="R417" s="3"/>
      <c r="S417" s="3"/>
      <c r="T417" s="21"/>
      <c r="U417" s="3"/>
      <c r="V417" s="3">
        <f t="shared" si="28"/>
        <v>0</v>
      </c>
      <c r="W417" s="3" t="str">
        <f t="shared" si="29"/>
        <v>Ø16</v>
      </c>
      <c r="X417" s="3" t="str">
        <f t="shared" si="30"/>
        <v>Ø16</v>
      </c>
    </row>
    <row r="418" spans="17:24" x14ac:dyDescent="0.3">
      <c r="Q418" s="3"/>
      <c r="R418" s="3"/>
      <c r="S418" s="3"/>
      <c r="T418" s="21"/>
      <c r="U418" s="3"/>
      <c r="V418" s="3">
        <f t="shared" si="28"/>
        <v>0</v>
      </c>
      <c r="W418" s="3" t="str">
        <f t="shared" si="29"/>
        <v>Ø16</v>
      </c>
      <c r="X418" s="3" t="str">
        <f t="shared" si="30"/>
        <v>Ø16</v>
      </c>
    </row>
    <row r="419" spans="17:24" x14ac:dyDescent="0.3">
      <c r="Q419" s="3"/>
      <c r="R419" s="3"/>
      <c r="S419" s="3"/>
      <c r="T419" s="21"/>
      <c r="U419" s="3"/>
      <c r="V419" s="3">
        <f t="shared" si="28"/>
        <v>0</v>
      </c>
      <c r="W419" s="3" t="str">
        <f t="shared" si="29"/>
        <v>Ø16</v>
      </c>
      <c r="X419" s="3" t="str">
        <f t="shared" si="30"/>
        <v>Ø16</v>
      </c>
    </row>
    <row r="420" spans="17:24" x14ac:dyDescent="0.3">
      <c r="Q420" s="3"/>
      <c r="R420" s="3"/>
      <c r="S420" s="3"/>
      <c r="T420" s="21"/>
      <c r="U420" s="3"/>
      <c r="V420" s="3">
        <f t="shared" si="28"/>
        <v>0</v>
      </c>
      <c r="W420" s="3" t="str">
        <f t="shared" si="29"/>
        <v>Ø16</v>
      </c>
      <c r="X420" s="3" t="str">
        <f t="shared" si="30"/>
        <v>Ø16</v>
      </c>
    </row>
    <row r="421" spans="17:24" x14ac:dyDescent="0.3">
      <c r="Q421" s="3"/>
      <c r="R421" s="3"/>
      <c r="S421" s="3"/>
      <c r="T421" s="21"/>
      <c r="U421" s="3"/>
      <c r="V421" s="3">
        <f t="shared" si="28"/>
        <v>0</v>
      </c>
      <c r="W421" s="3" t="str">
        <f t="shared" si="29"/>
        <v>Ø16</v>
      </c>
      <c r="X421" s="3" t="str">
        <f t="shared" si="30"/>
        <v>Ø16</v>
      </c>
    </row>
    <row r="422" spans="17:24" x14ac:dyDescent="0.3">
      <c r="Q422" s="3"/>
      <c r="R422" s="3"/>
      <c r="S422" s="3"/>
      <c r="T422" s="21"/>
      <c r="U422" s="3"/>
      <c r="V422" s="3">
        <f t="shared" si="28"/>
        <v>0</v>
      </c>
      <c r="W422" s="3" t="str">
        <f t="shared" si="29"/>
        <v>Ø16</v>
      </c>
      <c r="X422" s="3" t="str">
        <f t="shared" si="30"/>
        <v>Ø16</v>
      </c>
    </row>
    <row r="423" spans="17:24" x14ac:dyDescent="0.3">
      <c r="Q423" s="3"/>
      <c r="R423" s="3"/>
      <c r="S423" s="3"/>
      <c r="T423" s="21"/>
      <c r="U423" s="3"/>
      <c r="V423" s="3">
        <f t="shared" si="28"/>
        <v>0</v>
      </c>
      <c r="W423" s="3" t="str">
        <f t="shared" si="29"/>
        <v>Ø16</v>
      </c>
      <c r="X423" s="3" t="str">
        <f t="shared" si="30"/>
        <v>Ø16</v>
      </c>
    </row>
    <row r="424" spans="17:24" x14ac:dyDescent="0.3">
      <c r="Q424" s="3"/>
      <c r="R424" s="3"/>
      <c r="S424" s="3"/>
      <c r="T424" s="21"/>
      <c r="U424" s="3"/>
      <c r="V424" s="3">
        <f t="shared" si="28"/>
        <v>0</v>
      </c>
      <c r="W424" s="3" t="str">
        <f t="shared" si="29"/>
        <v>Ø16</v>
      </c>
      <c r="X424" s="3" t="str">
        <f t="shared" si="30"/>
        <v>Ø16</v>
      </c>
    </row>
    <row r="425" spans="17:24" x14ac:dyDescent="0.3">
      <c r="Q425" s="3"/>
      <c r="R425" s="3"/>
      <c r="S425" s="3"/>
      <c r="T425" s="21"/>
      <c r="U425" s="3"/>
      <c r="V425" s="3">
        <f t="shared" si="28"/>
        <v>0</v>
      </c>
      <c r="W425" s="3" t="str">
        <f t="shared" si="29"/>
        <v>Ø16</v>
      </c>
      <c r="X425" s="3" t="str">
        <f t="shared" si="30"/>
        <v>Ø16</v>
      </c>
    </row>
    <row r="426" spans="17:24" x14ac:dyDescent="0.3">
      <c r="Q426" s="3"/>
      <c r="R426" s="3"/>
      <c r="S426" s="3"/>
      <c r="T426" s="21"/>
      <c r="U426" s="3"/>
      <c r="V426" s="3">
        <f t="shared" si="28"/>
        <v>0</v>
      </c>
      <c r="W426" s="3" t="str">
        <f t="shared" si="29"/>
        <v>Ø16</v>
      </c>
      <c r="X426" s="3" t="str">
        <f t="shared" si="30"/>
        <v>Ø16</v>
      </c>
    </row>
    <row r="427" spans="17:24" x14ac:dyDescent="0.3">
      <c r="Q427" s="3"/>
      <c r="R427" s="3"/>
      <c r="S427" s="3"/>
      <c r="T427" s="21"/>
      <c r="U427" s="3"/>
      <c r="V427" s="3">
        <f t="shared" si="28"/>
        <v>0</v>
      </c>
      <c r="W427" s="3" t="str">
        <f t="shared" si="29"/>
        <v>Ø16</v>
      </c>
      <c r="X427" s="3" t="str">
        <f t="shared" si="30"/>
        <v>Ø16</v>
      </c>
    </row>
    <row r="428" spans="17:24" x14ac:dyDescent="0.3">
      <c r="Q428" s="3"/>
      <c r="R428" s="3"/>
      <c r="S428" s="3"/>
      <c r="T428" s="21"/>
      <c r="U428" s="3"/>
      <c r="V428" s="3">
        <f t="shared" si="28"/>
        <v>0</v>
      </c>
      <c r="W428" s="3" t="str">
        <f t="shared" si="29"/>
        <v>Ø16</v>
      </c>
      <c r="X428" s="3" t="str">
        <f t="shared" si="30"/>
        <v>Ø16</v>
      </c>
    </row>
    <row r="429" spans="17:24" x14ac:dyDescent="0.3">
      <c r="Q429" s="3"/>
      <c r="R429" s="3"/>
      <c r="S429" s="3"/>
      <c r="T429" s="21"/>
      <c r="U429" s="3"/>
      <c r="V429" s="3">
        <f t="shared" si="28"/>
        <v>0</v>
      </c>
      <c r="W429" s="3" t="str">
        <f t="shared" si="29"/>
        <v>Ø16</v>
      </c>
      <c r="X429" s="3" t="str">
        <f t="shared" si="30"/>
        <v>Ø16</v>
      </c>
    </row>
    <row r="430" spans="17:24" x14ac:dyDescent="0.3">
      <c r="Q430" s="3"/>
      <c r="R430" s="3"/>
      <c r="S430" s="3"/>
      <c r="T430" s="21"/>
      <c r="U430" s="3"/>
      <c r="V430" s="3">
        <f t="shared" si="28"/>
        <v>0</v>
      </c>
      <c r="W430" s="3" t="str">
        <f t="shared" si="29"/>
        <v>Ø16</v>
      </c>
      <c r="X430" s="3" t="str">
        <f t="shared" si="30"/>
        <v>Ø16</v>
      </c>
    </row>
    <row r="431" spans="17:24" x14ac:dyDescent="0.3">
      <c r="Q431" s="3"/>
      <c r="R431" s="3"/>
      <c r="S431" s="3"/>
      <c r="T431" s="21"/>
      <c r="U431" s="3"/>
      <c r="V431" s="3">
        <f t="shared" si="28"/>
        <v>0</v>
      </c>
      <c r="W431" s="3" t="str">
        <f t="shared" si="29"/>
        <v>Ø16</v>
      </c>
      <c r="X431" s="3" t="str">
        <f t="shared" si="30"/>
        <v>Ø16</v>
      </c>
    </row>
    <row r="432" spans="17:24" x14ac:dyDescent="0.3">
      <c r="Q432" s="3"/>
      <c r="R432" s="3"/>
      <c r="S432" s="3"/>
      <c r="T432" s="21"/>
      <c r="U432" s="3"/>
      <c r="V432" s="3">
        <f t="shared" si="28"/>
        <v>0</v>
      </c>
      <c r="W432" s="3" t="str">
        <f t="shared" si="29"/>
        <v>Ø16</v>
      </c>
      <c r="X432" s="3" t="str">
        <f t="shared" si="30"/>
        <v>Ø16</v>
      </c>
    </row>
    <row r="433" spans="17:24" x14ac:dyDescent="0.3">
      <c r="Q433" s="3"/>
      <c r="R433" s="3"/>
      <c r="S433" s="3"/>
      <c r="T433" s="21"/>
      <c r="U433" s="3"/>
      <c r="V433" s="3">
        <f t="shared" si="28"/>
        <v>0</v>
      </c>
      <c r="W433" s="3" t="str">
        <f t="shared" si="29"/>
        <v>Ø16</v>
      </c>
      <c r="X433" s="3" t="str">
        <f t="shared" si="30"/>
        <v>Ø16</v>
      </c>
    </row>
    <row r="434" spans="17:24" x14ac:dyDescent="0.3">
      <c r="Q434" s="3"/>
      <c r="R434" s="3"/>
      <c r="S434" s="3"/>
      <c r="T434" s="21"/>
      <c r="U434" s="3"/>
      <c r="V434" s="3">
        <f t="shared" si="28"/>
        <v>0</v>
      </c>
      <c r="W434" s="3" t="str">
        <f t="shared" si="29"/>
        <v>Ø16</v>
      </c>
      <c r="X434" s="3" t="str">
        <f t="shared" si="30"/>
        <v>Ø16</v>
      </c>
    </row>
    <row r="435" spans="17:24" x14ac:dyDescent="0.3">
      <c r="Q435" s="3"/>
      <c r="R435" s="3"/>
      <c r="S435" s="3"/>
      <c r="T435" s="21"/>
      <c r="U435" s="3"/>
      <c r="V435" s="3">
        <f t="shared" si="28"/>
        <v>0</v>
      </c>
      <c r="W435" s="3" t="str">
        <f t="shared" si="29"/>
        <v>Ø16</v>
      </c>
      <c r="X435" s="3" t="str">
        <f t="shared" si="30"/>
        <v>Ø16</v>
      </c>
    </row>
    <row r="436" spans="17:24" x14ac:dyDescent="0.3">
      <c r="Q436" s="3"/>
      <c r="R436" s="3"/>
      <c r="S436" s="3"/>
      <c r="T436" s="21"/>
      <c r="U436" s="3"/>
      <c r="V436" s="3">
        <f t="shared" si="28"/>
        <v>0</v>
      </c>
      <c r="W436" s="3" t="str">
        <f t="shared" si="29"/>
        <v>Ø16</v>
      </c>
      <c r="X436" s="3" t="str">
        <f t="shared" si="30"/>
        <v>Ø16</v>
      </c>
    </row>
    <row r="437" spans="17:24" x14ac:dyDescent="0.3">
      <c r="Q437" s="3"/>
      <c r="R437" s="3"/>
      <c r="S437" s="3"/>
      <c r="T437" s="21"/>
      <c r="U437" s="3"/>
      <c r="V437" s="3">
        <f t="shared" si="28"/>
        <v>0</v>
      </c>
      <c r="W437" s="3" t="str">
        <f t="shared" si="29"/>
        <v>Ø16</v>
      </c>
      <c r="X437" s="3" t="str">
        <f t="shared" si="30"/>
        <v>Ø16</v>
      </c>
    </row>
    <row r="438" spans="17:24" x14ac:dyDescent="0.3">
      <c r="Q438" s="3"/>
      <c r="R438" s="3"/>
      <c r="S438" s="3"/>
      <c r="T438" s="21"/>
      <c r="U438" s="3"/>
      <c r="V438" s="3">
        <f t="shared" si="28"/>
        <v>0</v>
      </c>
      <c r="W438" s="3" t="str">
        <f t="shared" si="29"/>
        <v>Ø16</v>
      </c>
      <c r="X438" s="3" t="str">
        <f t="shared" si="30"/>
        <v>Ø16</v>
      </c>
    </row>
    <row r="439" spans="17:24" x14ac:dyDescent="0.3">
      <c r="Q439" s="3"/>
      <c r="R439" s="3"/>
      <c r="S439" s="3"/>
      <c r="T439" s="21"/>
      <c r="U439" s="3"/>
      <c r="V439" s="3">
        <f t="shared" si="28"/>
        <v>0</v>
      </c>
      <c r="W439" s="3" t="str">
        <f t="shared" si="29"/>
        <v>Ø16</v>
      </c>
      <c r="X439" s="3" t="str">
        <f t="shared" si="30"/>
        <v>Ø16</v>
      </c>
    </row>
    <row r="440" spans="17:24" x14ac:dyDescent="0.3">
      <c r="Q440" s="3"/>
      <c r="R440" s="3"/>
      <c r="S440" s="3"/>
      <c r="T440" s="21"/>
      <c r="U440" s="3"/>
      <c r="V440" s="3">
        <f t="shared" si="28"/>
        <v>0</v>
      </c>
      <c r="W440" s="3" t="str">
        <f t="shared" si="29"/>
        <v>Ø16</v>
      </c>
      <c r="X440" s="3" t="str">
        <f t="shared" si="30"/>
        <v>Ø16</v>
      </c>
    </row>
    <row r="441" spans="17:24" x14ac:dyDescent="0.3">
      <c r="Q441" s="3"/>
      <c r="R441" s="3"/>
      <c r="S441" s="3"/>
      <c r="T441" s="21"/>
      <c r="U441" s="3"/>
      <c r="V441" s="3">
        <f t="shared" si="28"/>
        <v>0</v>
      </c>
      <c r="W441" s="3" t="str">
        <f t="shared" si="29"/>
        <v>Ø16</v>
      </c>
      <c r="X441" s="3" t="str">
        <f t="shared" si="30"/>
        <v>Ø16</v>
      </c>
    </row>
    <row r="442" spans="17:24" x14ac:dyDescent="0.3">
      <c r="Q442" s="3"/>
      <c r="R442" s="3"/>
      <c r="S442" s="3"/>
      <c r="T442" s="21"/>
      <c r="U442" s="3"/>
      <c r="V442" s="3">
        <f t="shared" si="28"/>
        <v>0</v>
      </c>
      <c r="W442" s="3" t="str">
        <f t="shared" si="29"/>
        <v>Ø16</v>
      </c>
      <c r="X442" s="3" t="str">
        <f t="shared" si="30"/>
        <v>Ø16</v>
      </c>
    </row>
    <row r="443" spans="17:24" x14ac:dyDescent="0.3">
      <c r="Q443" s="3"/>
      <c r="R443" s="3"/>
      <c r="S443" s="3"/>
      <c r="T443" s="21"/>
      <c r="U443" s="3"/>
      <c r="V443" s="3">
        <f t="shared" si="28"/>
        <v>0</v>
      </c>
      <c r="W443" s="3" t="str">
        <f t="shared" si="29"/>
        <v>Ø16</v>
      </c>
      <c r="X443" s="3" t="str">
        <f t="shared" si="30"/>
        <v>Ø16</v>
      </c>
    </row>
    <row r="444" spans="17:24" x14ac:dyDescent="0.3">
      <c r="Q444" s="3"/>
      <c r="R444" s="3"/>
      <c r="S444" s="3"/>
      <c r="T444" s="21"/>
      <c r="U444" s="3"/>
      <c r="V444" s="3">
        <f t="shared" si="28"/>
        <v>0</v>
      </c>
      <c r="W444" s="3" t="str">
        <f t="shared" si="29"/>
        <v>Ø16</v>
      </c>
      <c r="X444" s="3" t="str">
        <f t="shared" si="30"/>
        <v>Ø16</v>
      </c>
    </row>
    <row r="445" spans="17:24" x14ac:dyDescent="0.3">
      <c r="Q445" s="3"/>
      <c r="R445" s="3"/>
      <c r="S445" s="3"/>
      <c r="T445" s="21"/>
      <c r="U445" s="3"/>
      <c r="V445" s="3">
        <f t="shared" si="28"/>
        <v>0</v>
      </c>
      <c r="W445" s="3" t="str">
        <f t="shared" si="29"/>
        <v>Ø16</v>
      </c>
      <c r="X445" s="3" t="str">
        <f t="shared" si="30"/>
        <v>Ø16</v>
      </c>
    </row>
    <row r="446" spans="17:24" x14ac:dyDescent="0.3">
      <c r="Q446" s="3"/>
      <c r="R446" s="3"/>
      <c r="S446" s="3"/>
      <c r="T446" s="21"/>
      <c r="U446" s="3"/>
      <c r="V446" s="3">
        <f t="shared" si="28"/>
        <v>0</v>
      </c>
      <c r="W446" s="3" t="str">
        <f t="shared" si="29"/>
        <v>Ø16</v>
      </c>
      <c r="X446" s="3" t="str">
        <f t="shared" si="30"/>
        <v>Ø16</v>
      </c>
    </row>
    <row r="447" spans="17:24" x14ac:dyDescent="0.3">
      <c r="Q447" s="3"/>
      <c r="R447" s="3"/>
      <c r="S447" s="3"/>
      <c r="T447" s="21"/>
      <c r="U447" s="3"/>
      <c r="V447" s="3">
        <f t="shared" si="28"/>
        <v>0</v>
      </c>
      <c r="W447" s="3" t="str">
        <f t="shared" si="29"/>
        <v>Ø16</v>
      </c>
      <c r="X447" s="3" t="str">
        <f t="shared" si="30"/>
        <v>Ø16</v>
      </c>
    </row>
    <row r="448" spans="17:24" x14ac:dyDescent="0.3">
      <c r="Q448" s="3"/>
      <c r="R448" s="3"/>
      <c r="S448" s="3"/>
      <c r="T448" s="21"/>
      <c r="U448" s="3"/>
      <c r="V448" s="3">
        <f t="shared" si="28"/>
        <v>0</v>
      </c>
      <c r="W448" s="3" t="str">
        <f t="shared" si="29"/>
        <v>Ø16</v>
      </c>
      <c r="X448" s="3" t="str">
        <f t="shared" si="30"/>
        <v>Ø16</v>
      </c>
    </row>
    <row r="449" spans="17:24" x14ac:dyDescent="0.3">
      <c r="Q449" s="3"/>
      <c r="R449" s="3"/>
      <c r="S449" s="3"/>
      <c r="T449" s="21"/>
      <c r="U449" s="3"/>
      <c r="V449" s="3">
        <f t="shared" si="28"/>
        <v>0</v>
      </c>
      <c r="W449" s="3" t="str">
        <f t="shared" si="29"/>
        <v>Ø16</v>
      </c>
      <c r="X449" s="3" t="str">
        <f t="shared" si="30"/>
        <v>Ø16</v>
      </c>
    </row>
    <row r="450" spans="17:24" x14ac:dyDescent="0.3">
      <c r="Q450" s="3"/>
      <c r="R450" s="3"/>
      <c r="S450" s="3"/>
      <c r="T450" s="21"/>
      <c r="U450" s="3"/>
      <c r="V450" s="3">
        <f t="shared" si="28"/>
        <v>0</v>
      </c>
      <c r="W450" s="3" t="str">
        <f t="shared" si="29"/>
        <v>Ø16</v>
      </c>
      <c r="X450" s="3" t="str">
        <f t="shared" si="30"/>
        <v>Ø16</v>
      </c>
    </row>
    <row r="451" spans="17:24" x14ac:dyDescent="0.3">
      <c r="Q451" s="3"/>
      <c r="R451" s="3"/>
      <c r="S451" s="3"/>
      <c r="T451" s="21"/>
      <c r="U451" s="3"/>
      <c r="V451" s="3">
        <f t="shared" si="28"/>
        <v>0</v>
      </c>
      <c r="W451" s="3" t="str">
        <f t="shared" si="29"/>
        <v>Ø16</v>
      </c>
      <c r="X451" s="3" t="str">
        <f t="shared" si="30"/>
        <v>Ø16</v>
      </c>
    </row>
    <row r="452" spans="17:24" x14ac:dyDescent="0.3">
      <c r="Q452" s="3"/>
      <c r="R452" s="3"/>
      <c r="S452" s="3"/>
      <c r="T452" s="21"/>
      <c r="U452" s="3"/>
      <c r="V452" s="3">
        <f t="shared" si="28"/>
        <v>0</v>
      </c>
      <c r="W452" s="3" t="str">
        <f t="shared" si="29"/>
        <v>Ø16</v>
      </c>
      <c r="X452" s="3" t="str">
        <f t="shared" si="30"/>
        <v>Ø16</v>
      </c>
    </row>
    <row r="453" spans="17:24" x14ac:dyDescent="0.3">
      <c r="Q453" s="3"/>
      <c r="R453" s="3"/>
      <c r="S453" s="3"/>
      <c r="T453" s="21"/>
      <c r="U453" s="3"/>
      <c r="V453" s="3">
        <f t="shared" ref="V453:V503" si="31">U453*1.2</f>
        <v>0</v>
      </c>
      <c r="W453" s="3" t="str">
        <f t="shared" ref="W453:W503" si="32">"Ø"&amp;VLOOKUP(V453,$Z$4:$AA$10,2,TRUE)</f>
        <v>Ø16</v>
      </c>
      <c r="X453" s="3" t="str">
        <f t="shared" ref="X453:X503" si="33">"Ø"&amp;VLOOKUP(V453,$AD$4:$AE$10,2,TRUE)</f>
        <v>Ø16</v>
      </c>
    </row>
    <row r="454" spans="17:24" x14ac:dyDescent="0.3">
      <c r="Q454" s="3"/>
      <c r="R454" s="3"/>
      <c r="S454" s="3"/>
      <c r="T454" s="21"/>
      <c r="U454" s="3"/>
      <c r="V454" s="3">
        <f t="shared" si="31"/>
        <v>0</v>
      </c>
      <c r="W454" s="3" t="str">
        <f t="shared" si="32"/>
        <v>Ø16</v>
      </c>
      <c r="X454" s="3" t="str">
        <f t="shared" si="33"/>
        <v>Ø16</v>
      </c>
    </row>
    <row r="455" spans="17:24" x14ac:dyDescent="0.3">
      <c r="Q455" s="3"/>
      <c r="R455" s="3"/>
      <c r="S455" s="3"/>
      <c r="T455" s="21"/>
      <c r="U455" s="3"/>
      <c r="V455" s="3">
        <f t="shared" si="31"/>
        <v>0</v>
      </c>
      <c r="W455" s="3" t="str">
        <f t="shared" si="32"/>
        <v>Ø16</v>
      </c>
      <c r="X455" s="3" t="str">
        <f t="shared" si="33"/>
        <v>Ø16</v>
      </c>
    </row>
    <row r="456" spans="17:24" x14ac:dyDescent="0.3">
      <c r="Q456" s="3"/>
      <c r="R456" s="3"/>
      <c r="S456" s="3"/>
      <c r="T456" s="21"/>
      <c r="U456" s="3"/>
      <c r="V456" s="3">
        <f t="shared" si="31"/>
        <v>0</v>
      </c>
      <c r="W456" s="3" t="str">
        <f t="shared" si="32"/>
        <v>Ø16</v>
      </c>
      <c r="X456" s="3" t="str">
        <f t="shared" si="33"/>
        <v>Ø16</v>
      </c>
    </row>
    <row r="457" spans="17:24" x14ac:dyDescent="0.3">
      <c r="Q457" s="3"/>
      <c r="R457" s="3"/>
      <c r="S457" s="3"/>
      <c r="T457" s="21"/>
      <c r="U457" s="3"/>
      <c r="V457" s="3">
        <f t="shared" si="31"/>
        <v>0</v>
      </c>
      <c r="W457" s="3" t="str">
        <f t="shared" si="32"/>
        <v>Ø16</v>
      </c>
      <c r="X457" s="3" t="str">
        <f t="shared" si="33"/>
        <v>Ø16</v>
      </c>
    </row>
    <row r="458" spans="17:24" x14ac:dyDescent="0.3">
      <c r="Q458" s="3"/>
      <c r="R458" s="3"/>
      <c r="S458" s="3"/>
      <c r="T458" s="21"/>
      <c r="U458" s="3"/>
      <c r="V458" s="3">
        <f t="shared" si="31"/>
        <v>0</v>
      </c>
      <c r="W458" s="3" t="str">
        <f t="shared" si="32"/>
        <v>Ø16</v>
      </c>
      <c r="X458" s="3" t="str">
        <f t="shared" si="33"/>
        <v>Ø16</v>
      </c>
    </row>
    <row r="459" spans="17:24" x14ac:dyDescent="0.3">
      <c r="Q459" s="3"/>
      <c r="R459" s="3"/>
      <c r="S459" s="3"/>
      <c r="T459" s="21"/>
      <c r="U459" s="3"/>
      <c r="V459" s="3">
        <f t="shared" si="31"/>
        <v>0</v>
      </c>
      <c r="W459" s="3" t="str">
        <f t="shared" si="32"/>
        <v>Ø16</v>
      </c>
      <c r="X459" s="3" t="str">
        <f t="shared" si="33"/>
        <v>Ø16</v>
      </c>
    </row>
    <row r="460" spans="17:24" x14ac:dyDescent="0.3">
      <c r="Q460" s="3"/>
      <c r="R460" s="3"/>
      <c r="S460" s="3"/>
      <c r="T460" s="21"/>
      <c r="U460" s="3"/>
      <c r="V460" s="3">
        <f t="shared" si="31"/>
        <v>0</v>
      </c>
      <c r="W460" s="3" t="str">
        <f t="shared" si="32"/>
        <v>Ø16</v>
      </c>
      <c r="X460" s="3" t="str">
        <f t="shared" si="33"/>
        <v>Ø16</v>
      </c>
    </row>
    <row r="461" spans="17:24" x14ac:dyDescent="0.3">
      <c r="Q461" s="3"/>
      <c r="R461" s="3"/>
      <c r="S461" s="3"/>
      <c r="T461" s="21"/>
      <c r="U461" s="3"/>
      <c r="V461" s="3">
        <f t="shared" si="31"/>
        <v>0</v>
      </c>
      <c r="W461" s="3" t="str">
        <f t="shared" si="32"/>
        <v>Ø16</v>
      </c>
      <c r="X461" s="3" t="str">
        <f t="shared" si="33"/>
        <v>Ø16</v>
      </c>
    </row>
    <row r="462" spans="17:24" x14ac:dyDescent="0.3">
      <c r="Q462" s="3"/>
      <c r="R462" s="3"/>
      <c r="S462" s="3"/>
      <c r="T462" s="21"/>
      <c r="U462" s="3"/>
      <c r="V462" s="3">
        <f t="shared" si="31"/>
        <v>0</v>
      </c>
      <c r="W462" s="3" t="str">
        <f t="shared" si="32"/>
        <v>Ø16</v>
      </c>
      <c r="X462" s="3" t="str">
        <f t="shared" si="33"/>
        <v>Ø16</v>
      </c>
    </row>
    <row r="463" spans="17:24" x14ac:dyDescent="0.3">
      <c r="Q463" s="3"/>
      <c r="R463" s="3"/>
      <c r="S463" s="3"/>
      <c r="T463" s="21"/>
      <c r="U463" s="3"/>
      <c r="V463" s="3">
        <f t="shared" si="31"/>
        <v>0</v>
      </c>
      <c r="W463" s="3" t="str">
        <f t="shared" si="32"/>
        <v>Ø16</v>
      </c>
      <c r="X463" s="3" t="str">
        <f t="shared" si="33"/>
        <v>Ø16</v>
      </c>
    </row>
    <row r="464" spans="17:24" x14ac:dyDescent="0.3">
      <c r="Q464" s="3"/>
      <c r="R464" s="3"/>
      <c r="S464" s="3"/>
      <c r="T464" s="21"/>
      <c r="U464" s="3"/>
      <c r="V464" s="3">
        <f t="shared" si="31"/>
        <v>0</v>
      </c>
      <c r="W464" s="3" t="str">
        <f t="shared" si="32"/>
        <v>Ø16</v>
      </c>
      <c r="X464" s="3" t="str">
        <f t="shared" si="33"/>
        <v>Ø16</v>
      </c>
    </row>
    <row r="465" spans="17:24" x14ac:dyDescent="0.3">
      <c r="Q465" s="3"/>
      <c r="R465" s="3"/>
      <c r="S465" s="3"/>
      <c r="T465" s="21"/>
      <c r="U465" s="3"/>
      <c r="V465" s="3">
        <f t="shared" si="31"/>
        <v>0</v>
      </c>
      <c r="W465" s="3" t="str">
        <f t="shared" si="32"/>
        <v>Ø16</v>
      </c>
      <c r="X465" s="3" t="str">
        <f t="shared" si="33"/>
        <v>Ø16</v>
      </c>
    </row>
    <row r="466" spans="17:24" x14ac:dyDescent="0.3">
      <c r="Q466" s="3"/>
      <c r="R466" s="3"/>
      <c r="S466" s="3"/>
      <c r="T466" s="21"/>
      <c r="U466" s="3"/>
      <c r="V466" s="3">
        <f t="shared" si="31"/>
        <v>0</v>
      </c>
      <c r="W466" s="3" t="str">
        <f t="shared" si="32"/>
        <v>Ø16</v>
      </c>
      <c r="X466" s="3" t="str">
        <f t="shared" si="33"/>
        <v>Ø16</v>
      </c>
    </row>
    <row r="467" spans="17:24" x14ac:dyDescent="0.3">
      <c r="Q467" s="3"/>
      <c r="R467" s="3"/>
      <c r="S467" s="3"/>
      <c r="T467" s="21"/>
      <c r="U467" s="3"/>
      <c r="V467" s="3">
        <f t="shared" si="31"/>
        <v>0</v>
      </c>
      <c r="W467" s="3" t="str">
        <f t="shared" si="32"/>
        <v>Ø16</v>
      </c>
      <c r="X467" s="3" t="str">
        <f t="shared" si="33"/>
        <v>Ø16</v>
      </c>
    </row>
    <row r="468" spans="17:24" x14ac:dyDescent="0.3">
      <c r="Q468" s="3"/>
      <c r="R468" s="3"/>
      <c r="S468" s="3"/>
      <c r="T468" s="21"/>
      <c r="U468" s="3"/>
      <c r="V468" s="3">
        <f t="shared" si="31"/>
        <v>0</v>
      </c>
      <c r="W468" s="3" t="str">
        <f t="shared" si="32"/>
        <v>Ø16</v>
      </c>
      <c r="X468" s="3" t="str">
        <f t="shared" si="33"/>
        <v>Ø16</v>
      </c>
    </row>
    <row r="469" spans="17:24" x14ac:dyDescent="0.3">
      <c r="Q469" s="3"/>
      <c r="R469" s="3"/>
      <c r="S469" s="3"/>
      <c r="T469" s="21"/>
      <c r="U469" s="3"/>
      <c r="V469" s="3">
        <f t="shared" si="31"/>
        <v>0</v>
      </c>
      <c r="W469" s="3" t="str">
        <f t="shared" si="32"/>
        <v>Ø16</v>
      </c>
      <c r="X469" s="3" t="str">
        <f t="shared" si="33"/>
        <v>Ø16</v>
      </c>
    </row>
    <row r="470" spans="17:24" x14ac:dyDescent="0.3">
      <c r="Q470" s="3"/>
      <c r="R470" s="3"/>
      <c r="S470" s="3"/>
      <c r="T470" s="21"/>
      <c r="U470" s="3"/>
      <c r="V470" s="3">
        <f t="shared" si="31"/>
        <v>0</v>
      </c>
      <c r="W470" s="3" t="str">
        <f t="shared" si="32"/>
        <v>Ø16</v>
      </c>
      <c r="X470" s="3" t="str">
        <f t="shared" si="33"/>
        <v>Ø16</v>
      </c>
    </row>
    <row r="471" spans="17:24" x14ac:dyDescent="0.3">
      <c r="Q471" s="3"/>
      <c r="R471" s="3"/>
      <c r="S471" s="3"/>
      <c r="T471" s="21"/>
      <c r="U471" s="3"/>
      <c r="V471" s="3">
        <f t="shared" si="31"/>
        <v>0</v>
      </c>
      <c r="W471" s="3" t="str">
        <f t="shared" si="32"/>
        <v>Ø16</v>
      </c>
      <c r="X471" s="3" t="str">
        <f t="shared" si="33"/>
        <v>Ø16</v>
      </c>
    </row>
    <row r="472" spans="17:24" x14ac:dyDescent="0.3">
      <c r="Q472" s="3"/>
      <c r="R472" s="3"/>
      <c r="S472" s="3"/>
      <c r="T472" s="21"/>
      <c r="U472" s="3"/>
      <c r="V472" s="3">
        <f t="shared" si="31"/>
        <v>0</v>
      </c>
      <c r="W472" s="3" t="str">
        <f t="shared" si="32"/>
        <v>Ø16</v>
      </c>
      <c r="X472" s="3" t="str">
        <f t="shared" si="33"/>
        <v>Ø16</v>
      </c>
    </row>
    <row r="473" spans="17:24" x14ac:dyDescent="0.3">
      <c r="Q473" s="3"/>
      <c r="R473" s="3"/>
      <c r="S473" s="3"/>
      <c r="T473" s="21"/>
      <c r="U473" s="3"/>
      <c r="V473" s="3">
        <f t="shared" si="31"/>
        <v>0</v>
      </c>
      <c r="W473" s="3" t="str">
        <f t="shared" si="32"/>
        <v>Ø16</v>
      </c>
      <c r="X473" s="3" t="str">
        <f t="shared" si="33"/>
        <v>Ø16</v>
      </c>
    </row>
    <row r="474" spans="17:24" x14ac:dyDescent="0.3">
      <c r="Q474" s="3"/>
      <c r="R474" s="3"/>
      <c r="S474" s="3"/>
      <c r="T474" s="21"/>
      <c r="U474" s="3"/>
      <c r="V474" s="3">
        <f t="shared" si="31"/>
        <v>0</v>
      </c>
      <c r="W474" s="3" t="str">
        <f t="shared" si="32"/>
        <v>Ø16</v>
      </c>
      <c r="X474" s="3" t="str">
        <f t="shared" si="33"/>
        <v>Ø16</v>
      </c>
    </row>
    <row r="475" spans="17:24" x14ac:dyDescent="0.3">
      <c r="Q475" s="3"/>
      <c r="R475" s="3"/>
      <c r="S475" s="3"/>
      <c r="T475" s="21"/>
      <c r="U475" s="3"/>
      <c r="V475" s="3">
        <f t="shared" si="31"/>
        <v>0</v>
      </c>
      <c r="W475" s="3" t="str">
        <f t="shared" si="32"/>
        <v>Ø16</v>
      </c>
      <c r="X475" s="3" t="str">
        <f t="shared" si="33"/>
        <v>Ø16</v>
      </c>
    </row>
    <row r="476" spans="17:24" x14ac:dyDescent="0.3">
      <c r="Q476" s="3"/>
      <c r="R476" s="3"/>
      <c r="S476" s="3"/>
      <c r="T476" s="21"/>
      <c r="U476" s="3"/>
      <c r="V476" s="3">
        <f t="shared" si="31"/>
        <v>0</v>
      </c>
      <c r="W476" s="3" t="str">
        <f t="shared" si="32"/>
        <v>Ø16</v>
      </c>
      <c r="X476" s="3" t="str">
        <f t="shared" si="33"/>
        <v>Ø16</v>
      </c>
    </row>
    <row r="477" spans="17:24" x14ac:dyDescent="0.3">
      <c r="Q477" s="3"/>
      <c r="R477" s="3"/>
      <c r="S477" s="3"/>
      <c r="T477" s="21"/>
      <c r="U477" s="3"/>
      <c r="V477" s="3">
        <f t="shared" si="31"/>
        <v>0</v>
      </c>
      <c r="W477" s="3" t="str">
        <f t="shared" si="32"/>
        <v>Ø16</v>
      </c>
      <c r="X477" s="3" t="str">
        <f t="shared" si="33"/>
        <v>Ø16</v>
      </c>
    </row>
    <row r="478" spans="17:24" x14ac:dyDescent="0.3">
      <c r="Q478" s="3"/>
      <c r="R478" s="3"/>
      <c r="S478" s="3"/>
      <c r="T478" s="21"/>
      <c r="U478" s="3"/>
      <c r="V478" s="3">
        <f t="shared" si="31"/>
        <v>0</v>
      </c>
      <c r="W478" s="3" t="str">
        <f t="shared" si="32"/>
        <v>Ø16</v>
      </c>
      <c r="X478" s="3" t="str">
        <f t="shared" si="33"/>
        <v>Ø16</v>
      </c>
    </row>
    <row r="479" spans="17:24" x14ac:dyDescent="0.3">
      <c r="Q479" s="3"/>
      <c r="R479" s="3"/>
      <c r="S479" s="3"/>
      <c r="T479" s="21"/>
      <c r="U479" s="3"/>
      <c r="V479" s="3">
        <f t="shared" si="31"/>
        <v>0</v>
      </c>
      <c r="W479" s="3" t="str">
        <f t="shared" si="32"/>
        <v>Ø16</v>
      </c>
      <c r="X479" s="3" t="str">
        <f t="shared" si="33"/>
        <v>Ø16</v>
      </c>
    </row>
    <row r="480" spans="17:24" x14ac:dyDescent="0.3">
      <c r="Q480" s="3"/>
      <c r="R480" s="3"/>
      <c r="S480" s="3"/>
      <c r="T480" s="21"/>
      <c r="U480" s="3"/>
      <c r="V480" s="3">
        <f t="shared" si="31"/>
        <v>0</v>
      </c>
      <c r="W480" s="3" t="str">
        <f t="shared" si="32"/>
        <v>Ø16</v>
      </c>
      <c r="X480" s="3" t="str">
        <f t="shared" si="33"/>
        <v>Ø16</v>
      </c>
    </row>
    <row r="481" spans="17:24" x14ac:dyDescent="0.3">
      <c r="Q481" s="3"/>
      <c r="R481" s="3"/>
      <c r="S481" s="3"/>
      <c r="T481" s="21"/>
      <c r="U481" s="3"/>
      <c r="V481" s="3">
        <f t="shared" si="31"/>
        <v>0</v>
      </c>
      <c r="W481" s="3" t="str">
        <f t="shared" si="32"/>
        <v>Ø16</v>
      </c>
      <c r="X481" s="3" t="str">
        <f t="shared" si="33"/>
        <v>Ø16</v>
      </c>
    </row>
    <row r="482" spans="17:24" x14ac:dyDescent="0.3">
      <c r="Q482" s="3"/>
      <c r="R482" s="3"/>
      <c r="S482" s="3"/>
      <c r="T482" s="21"/>
      <c r="U482" s="3"/>
      <c r="V482" s="3">
        <f t="shared" si="31"/>
        <v>0</v>
      </c>
      <c r="W482" s="3" t="str">
        <f t="shared" si="32"/>
        <v>Ø16</v>
      </c>
      <c r="X482" s="3" t="str">
        <f t="shared" si="33"/>
        <v>Ø16</v>
      </c>
    </row>
    <row r="483" spans="17:24" x14ac:dyDescent="0.3">
      <c r="Q483" s="3"/>
      <c r="R483" s="3"/>
      <c r="S483" s="3"/>
      <c r="T483" s="21"/>
      <c r="U483" s="3"/>
      <c r="V483" s="3">
        <f t="shared" si="31"/>
        <v>0</v>
      </c>
      <c r="W483" s="3" t="str">
        <f t="shared" si="32"/>
        <v>Ø16</v>
      </c>
      <c r="X483" s="3" t="str">
        <f t="shared" si="33"/>
        <v>Ø16</v>
      </c>
    </row>
    <row r="484" spans="17:24" x14ac:dyDescent="0.3">
      <c r="Q484" s="3"/>
      <c r="R484" s="3"/>
      <c r="S484" s="3"/>
      <c r="T484" s="21"/>
      <c r="U484" s="3"/>
      <c r="V484" s="3">
        <f t="shared" si="31"/>
        <v>0</v>
      </c>
      <c r="W484" s="3" t="str">
        <f t="shared" si="32"/>
        <v>Ø16</v>
      </c>
      <c r="X484" s="3" t="str">
        <f t="shared" si="33"/>
        <v>Ø16</v>
      </c>
    </row>
    <row r="485" spans="17:24" x14ac:dyDescent="0.3">
      <c r="Q485" s="3"/>
      <c r="R485" s="3"/>
      <c r="S485" s="3"/>
      <c r="T485" s="21"/>
      <c r="U485" s="3"/>
      <c r="V485" s="3">
        <f t="shared" si="31"/>
        <v>0</v>
      </c>
      <c r="W485" s="3" t="str">
        <f t="shared" si="32"/>
        <v>Ø16</v>
      </c>
      <c r="X485" s="3" t="str">
        <f t="shared" si="33"/>
        <v>Ø16</v>
      </c>
    </row>
    <row r="486" spans="17:24" x14ac:dyDescent="0.3">
      <c r="Q486" s="3"/>
      <c r="R486" s="3"/>
      <c r="S486" s="3"/>
      <c r="T486" s="21"/>
      <c r="U486" s="3"/>
      <c r="V486" s="3">
        <f t="shared" si="31"/>
        <v>0</v>
      </c>
      <c r="W486" s="3" t="str">
        <f t="shared" si="32"/>
        <v>Ø16</v>
      </c>
      <c r="X486" s="3" t="str">
        <f t="shared" si="33"/>
        <v>Ø16</v>
      </c>
    </row>
    <row r="487" spans="17:24" x14ac:dyDescent="0.3">
      <c r="Q487" s="3"/>
      <c r="R487" s="3"/>
      <c r="S487" s="3"/>
      <c r="T487" s="21"/>
      <c r="U487" s="3"/>
      <c r="V487" s="3">
        <f t="shared" si="31"/>
        <v>0</v>
      </c>
      <c r="W487" s="3" t="str">
        <f t="shared" si="32"/>
        <v>Ø16</v>
      </c>
      <c r="X487" s="3" t="str">
        <f t="shared" si="33"/>
        <v>Ø16</v>
      </c>
    </row>
    <row r="488" spans="17:24" x14ac:dyDescent="0.3">
      <c r="Q488" s="3"/>
      <c r="R488" s="3"/>
      <c r="S488" s="3"/>
      <c r="T488" s="21"/>
      <c r="U488" s="3"/>
      <c r="V488" s="3">
        <f t="shared" si="31"/>
        <v>0</v>
      </c>
      <c r="W488" s="3" t="str">
        <f t="shared" si="32"/>
        <v>Ø16</v>
      </c>
      <c r="X488" s="3" t="str">
        <f t="shared" si="33"/>
        <v>Ø16</v>
      </c>
    </row>
    <row r="489" spans="17:24" x14ac:dyDescent="0.3">
      <c r="Q489" s="3"/>
      <c r="R489" s="3"/>
      <c r="S489" s="3"/>
      <c r="T489" s="21"/>
      <c r="U489" s="3"/>
      <c r="V489" s="3">
        <f t="shared" si="31"/>
        <v>0</v>
      </c>
      <c r="W489" s="3" t="str">
        <f t="shared" si="32"/>
        <v>Ø16</v>
      </c>
      <c r="X489" s="3" t="str">
        <f t="shared" si="33"/>
        <v>Ø16</v>
      </c>
    </row>
    <row r="490" spans="17:24" x14ac:dyDescent="0.3">
      <c r="Q490" s="3"/>
      <c r="R490" s="3"/>
      <c r="S490" s="3"/>
      <c r="T490" s="21"/>
      <c r="U490" s="3"/>
      <c r="V490" s="3">
        <f t="shared" si="31"/>
        <v>0</v>
      </c>
      <c r="W490" s="3" t="str">
        <f t="shared" si="32"/>
        <v>Ø16</v>
      </c>
      <c r="X490" s="3" t="str">
        <f t="shared" si="33"/>
        <v>Ø16</v>
      </c>
    </row>
    <row r="491" spans="17:24" x14ac:dyDescent="0.3">
      <c r="Q491" s="3"/>
      <c r="R491" s="3"/>
      <c r="S491" s="3"/>
      <c r="T491" s="21"/>
      <c r="U491" s="3"/>
      <c r="V491" s="3">
        <f t="shared" si="31"/>
        <v>0</v>
      </c>
      <c r="W491" s="3" t="str">
        <f t="shared" si="32"/>
        <v>Ø16</v>
      </c>
      <c r="X491" s="3" t="str">
        <f t="shared" si="33"/>
        <v>Ø16</v>
      </c>
    </row>
    <row r="492" spans="17:24" x14ac:dyDescent="0.3">
      <c r="Q492" s="3"/>
      <c r="R492" s="3"/>
      <c r="S492" s="3"/>
      <c r="T492" s="21"/>
      <c r="U492" s="3"/>
      <c r="V492" s="3">
        <f t="shared" si="31"/>
        <v>0</v>
      </c>
      <c r="W492" s="3" t="str">
        <f t="shared" si="32"/>
        <v>Ø16</v>
      </c>
      <c r="X492" s="3" t="str">
        <f t="shared" si="33"/>
        <v>Ø16</v>
      </c>
    </row>
    <row r="493" spans="17:24" x14ac:dyDescent="0.3">
      <c r="Q493" s="3"/>
      <c r="R493" s="3"/>
      <c r="S493" s="3"/>
      <c r="T493" s="21"/>
      <c r="U493" s="3"/>
      <c r="V493" s="3">
        <f t="shared" si="31"/>
        <v>0</v>
      </c>
      <c r="W493" s="3" t="str">
        <f t="shared" si="32"/>
        <v>Ø16</v>
      </c>
      <c r="X493" s="3" t="str">
        <f t="shared" si="33"/>
        <v>Ø16</v>
      </c>
    </row>
    <row r="494" spans="17:24" x14ac:dyDescent="0.3">
      <c r="Q494" s="3"/>
      <c r="R494" s="3"/>
      <c r="S494" s="3"/>
      <c r="T494" s="21"/>
      <c r="U494" s="3"/>
      <c r="V494" s="3">
        <f t="shared" si="31"/>
        <v>0</v>
      </c>
      <c r="W494" s="3" t="str">
        <f t="shared" si="32"/>
        <v>Ø16</v>
      </c>
      <c r="X494" s="3" t="str">
        <f t="shared" si="33"/>
        <v>Ø16</v>
      </c>
    </row>
    <row r="495" spans="17:24" x14ac:dyDescent="0.3">
      <c r="Q495" s="3"/>
      <c r="R495" s="3"/>
      <c r="S495" s="3"/>
      <c r="T495" s="21"/>
      <c r="U495" s="3"/>
      <c r="V495" s="3">
        <f t="shared" si="31"/>
        <v>0</v>
      </c>
      <c r="W495" s="3" t="str">
        <f t="shared" si="32"/>
        <v>Ø16</v>
      </c>
      <c r="X495" s="3" t="str">
        <f t="shared" si="33"/>
        <v>Ø16</v>
      </c>
    </row>
    <row r="496" spans="17:24" x14ac:dyDescent="0.3">
      <c r="Q496" s="3"/>
      <c r="R496" s="3"/>
      <c r="S496" s="3"/>
      <c r="T496" s="21"/>
      <c r="U496" s="3"/>
      <c r="V496" s="3">
        <f t="shared" si="31"/>
        <v>0</v>
      </c>
      <c r="W496" s="3" t="str">
        <f t="shared" si="32"/>
        <v>Ø16</v>
      </c>
      <c r="X496" s="3" t="str">
        <f t="shared" si="33"/>
        <v>Ø16</v>
      </c>
    </row>
    <row r="497" spans="17:24" x14ac:dyDescent="0.3">
      <c r="Q497" s="3"/>
      <c r="R497" s="3"/>
      <c r="S497" s="3"/>
      <c r="T497" s="21"/>
      <c r="U497" s="3"/>
      <c r="V497" s="3">
        <f t="shared" si="31"/>
        <v>0</v>
      </c>
      <c r="W497" s="3" t="str">
        <f t="shared" si="32"/>
        <v>Ø16</v>
      </c>
      <c r="X497" s="3" t="str">
        <f t="shared" si="33"/>
        <v>Ø16</v>
      </c>
    </row>
    <row r="498" spans="17:24" x14ac:dyDescent="0.3">
      <c r="Q498" s="3"/>
      <c r="R498" s="3"/>
      <c r="S498" s="3"/>
      <c r="T498" s="21"/>
      <c r="U498" s="3"/>
      <c r="V498" s="3">
        <f t="shared" si="31"/>
        <v>0</v>
      </c>
      <c r="W498" s="3" t="str">
        <f t="shared" si="32"/>
        <v>Ø16</v>
      </c>
      <c r="X498" s="3" t="str">
        <f t="shared" si="33"/>
        <v>Ø16</v>
      </c>
    </row>
    <row r="499" spans="17:24" x14ac:dyDescent="0.3">
      <c r="Q499" s="3"/>
      <c r="R499" s="3"/>
      <c r="S499" s="3"/>
      <c r="T499" s="21"/>
      <c r="U499" s="3"/>
      <c r="V499" s="3">
        <f t="shared" si="31"/>
        <v>0</v>
      </c>
      <c r="W499" s="3" t="str">
        <f t="shared" si="32"/>
        <v>Ø16</v>
      </c>
      <c r="X499" s="3" t="str">
        <f t="shared" si="33"/>
        <v>Ø16</v>
      </c>
    </row>
    <row r="500" spans="17:24" x14ac:dyDescent="0.3">
      <c r="Q500" s="3"/>
      <c r="R500" s="3"/>
      <c r="S500" s="3"/>
      <c r="T500" s="21"/>
      <c r="U500" s="3"/>
      <c r="V500" s="3">
        <f t="shared" si="31"/>
        <v>0</v>
      </c>
      <c r="W500" s="3" t="str">
        <f t="shared" si="32"/>
        <v>Ø16</v>
      </c>
      <c r="X500" s="3" t="str">
        <f t="shared" si="33"/>
        <v>Ø16</v>
      </c>
    </row>
    <row r="501" spans="17:24" x14ac:dyDescent="0.3">
      <c r="Q501" s="3"/>
      <c r="R501" s="3"/>
      <c r="S501" s="3"/>
      <c r="T501" s="21"/>
      <c r="U501" s="3"/>
      <c r="V501" s="3">
        <f t="shared" si="31"/>
        <v>0</v>
      </c>
      <c r="W501" s="3" t="str">
        <f t="shared" si="32"/>
        <v>Ø16</v>
      </c>
      <c r="X501" s="3" t="str">
        <f t="shared" si="33"/>
        <v>Ø16</v>
      </c>
    </row>
    <row r="502" spans="17:24" x14ac:dyDescent="0.3">
      <c r="Q502" s="3"/>
      <c r="R502" s="3"/>
      <c r="S502" s="3"/>
      <c r="T502" s="21"/>
      <c r="U502" s="3"/>
      <c r="V502" s="3">
        <f t="shared" si="31"/>
        <v>0</v>
      </c>
      <c r="W502" s="3" t="str">
        <f t="shared" si="32"/>
        <v>Ø16</v>
      </c>
      <c r="X502" s="3" t="str">
        <f t="shared" si="33"/>
        <v>Ø16</v>
      </c>
    </row>
    <row r="503" spans="17:24" x14ac:dyDescent="0.3">
      <c r="Q503" s="3"/>
      <c r="R503" s="3"/>
      <c r="S503" s="3"/>
      <c r="T503" s="21"/>
      <c r="U503" s="3"/>
      <c r="V503" s="3">
        <f t="shared" si="31"/>
        <v>0</v>
      </c>
      <c r="W503" s="3" t="str">
        <f t="shared" si="32"/>
        <v>Ø16</v>
      </c>
      <c r="X503" s="3" t="str">
        <f t="shared" si="33"/>
        <v>Ø16</v>
      </c>
    </row>
  </sheetData>
  <sortState xmlns:xlrd2="http://schemas.microsoft.com/office/spreadsheetml/2017/richdata2" ref="B4:K38">
    <sortCondition ref="K38"/>
  </sortState>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394FE-C345-48D3-B557-FCF8003E6BA9}">
  <sheetPr codeName="Лист21"/>
  <dimension ref="A1:P4"/>
  <sheetViews>
    <sheetView workbookViewId="0"/>
  </sheetViews>
  <sheetFormatPr defaultRowHeight="14.4" x14ac:dyDescent="0.3"/>
  <sheetData>
    <row r="1" spans="1:16" x14ac:dyDescent="0.3">
      <c r="A1" t="s">
        <v>1861</v>
      </c>
    </row>
    <row r="2" spans="1:16" x14ac:dyDescent="0.3">
      <c r="A2" t="s">
        <v>1862</v>
      </c>
      <c r="B2" s="140"/>
    </row>
    <row r="4" spans="1:16" x14ac:dyDescent="0.3">
      <c r="N4" t="s">
        <v>4</v>
      </c>
      <c r="O4" t="s">
        <v>655</v>
      </c>
      <c r="P4" t="s">
        <v>1863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164D2-1554-45B5-A24E-02E0101EABCD}">
  <sheetPr codeName="Лист22"/>
  <dimension ref="A1:D260"/>
  <sheetViews>
    <sheetView workbookViewId="0"/>
  </sheetViews>
  <sheetFormatPr defaultRowHeight="14.4" x14ac:dyDescent="0.3"/>
  <sheetData>
    <row r="1" spans="1:4" x14ac:dyDescent="0.3">
      <c r="A1" t="s">
        <v>1876</v>
      </c>
      <c r="B1" t="s">
        <v>1877</v>
      </c>
      <c r="C1" t="s">
        <v>1878</v>
      </c>
      <c r="D1" t="s">
        <v>1879</v>
      </c>
    </row>
    <row r="2" spans="1:4" x14ac:dyDescent="0.3">
      <c r="A2" t="s">
        <v>6</v>
      </c>
      <c r="B2" s="114" t="s">
        <v>1880</v>
      </c>
      <c r="C2" t="s">
        <v>1881</v>
      </c>
      <c r="D2" t="s">
        <v>1135</v>
      </c>
    </row>
    <row r="3" spans="1:4" x14ac:dyDescent="0.3">
      <c r="A3" t="s">
        <v>437</v>
      </c>
      <c r="B3" s="114" t="s">
        <v>1882</v>
      </c>
      <c r="C3" t="s">
        <v>1881</v>
      </c>
      <c r="D3" t="s">
        <v>1143</v>
      </c>
    </row>
    <row r="4" spans="1:4" x14ac:dyDescent="0.3">
      <c r="A4" t="s">
        <v>7</v>
      </c>
      <c r="B4" s="114" t="s">
        <v>1883</v>
      </c>
      <c r="C4" t="s">
        <v>1881</v>
      </c>
      <c r="D4" t="s">
        <v>1188</v>
      </c>
    </row>
    <row r="5" spans="1:4" x14ac:dyDescent="0.3">
      <c r="A5" t="s">
        <v>898</v>
      </c>
      <c r="B5" s="114" t="s">
        <v>1884</v>
      </c>
      <c r="C5" t="s">
        <v>1881</v>
      </c>
      <c r="D5" t="s">
        <v>1182</v>
      </c>
    </row>
    <row r="6" spans="1:4" x14ac:dyDescent="0.3">
      <c r="A6" t="s">
        <v>915</v>
      </c>
      <c r="B6" s="114" t="s">
        <v>1885</v>
      </c>
      <c r="C6" t="s">
        <v>1881</v>
      </c>
      <c r="D6" t="s">
        <v>1178</v>
      </c>
    </row>
    <row r="7" spans="1:4" x14ac:dyDescent="0.3">
      <c r="A7" t="s">
        <v>543</v>
      </c>
      <c r="B7" s="114" t="s">
        <v>1886</v>
      </c>
      <c r="C7" t="s">
        <v>1881</v>
      </c>
      <c r="D7" t="s">
        <v>1212</v>
      </c>
    </row>
    <row r="8" spans="1:4" x14ac:dyDescent="0.3">
      <c r="A8" t="s">
        <v>1114</v>
      </c>
      <c r="B8" s="114" t="s">
        <v>1887</v>
      </c>
      <c r="C8" t="s">
        <v>1881</v>
      </c>
      <c r="D8" t="s">
        <v>1207</v>
      </c>
    </row>
    <row r="9" spans="1:4" x14ac:dyDescent="0.3">
      <c r="A9" t="s">
        <v>439</v>
      </c>
      <c r="B9" s="114" t="s">
        <v>1888</v>
      </c>
      <c r="C9" t="s">
        <v>1881</v>
      </c>
      <c r="D9" t="s">
        <v>1239</v>
      </c>
    </row>
    <row r="10" spans="1:4" x14ac:dyDescent="0.3">
      <c r="A10" t="s">
        <v>435</v>
      </c>
      <c r="B10" s="114" t="s">
        <v>1889</v>
      </c>
      <c r="C10" t="s">
        <v>1881</v>
      </c>
      <c r="D10" t="s">
        <v>1280</v>
      </c>
    </row>
    <row r="11" spans="1:4" x14ac:dyDescent="0.3">
      <c r="A11" t="s">
        <v>1115</v>
      </c>
      <c r="B11" s="114" t="s">
        <v>1890</v>
      </c>
      <c r="C11" t="s">
        <v>1891</v>
      </c>
    </row>
    <row r="12" spans="1:4" x14ac:dyDescent="0.3">
      <c r="A12" t="s">
        <v>805</v>
      </c>
      <c r="B12" s="114" t="s">
        <v>1892</v>
      </c>
      <c r="C12" t="s">
        <v>1891</v>
      </c>
    </row>
    <row r="13" spans="1:4" x14ac:dyDescent="0.3">
      <c r="A13" t="s">
        <v>25</v>
      </c>
      <c r="B13" s="114" t="s">
        <v>1893</v>
      </c>
      <c r="C13" t="s">
        <v>1891</v>
      </c>
    </row>
    <row r="14" spans="1:4" x14ac:dyDescent="0.3">
      <c r="A14" t="s">
        <v>735</v>
      </c>
      <c r="B14" s="114" t="s">
        <v>1894</v>
      </c>
      <c r="C14" t="s">
        <v>1891</v>
      </c>
    </row>
    <row r="15" spans="1:4" x14ac:dyDescent="0.3">
      <c r="A15" t="s">
        <v>9</v>
      </c>
      <c r="B15" s="114" t="s">
        <v>1895</v>
      </c>
      <c r="C15" t="s">
        <v>1891</v>
      </c>
    </row>
    <row r="16" spans="1:4" x14ac:dyDescent="0.3">
      <c r="A16" t="s">
        <v>1116</v>
      </c>
      <c r="B16" s="114" t="s">
        <v>1896</v>
      </c>
      <c r="C16" t="s">
        <v>1891</v>
      </c>
    </row>
    <row r="17" spans="1:4" x14ac:dyDescent="0.3">
      <c r="A17" t="s">
        <v>1117</v>
      </c>
      <c r="B17" s="114" t="s">
        <v>1897</v>
      </c>
      <c r="C17" t="s">
        <v>1891</v>
      </c>
    </row>
    <row r="18" spans="1:4" x14ac:dyDescent="0.3">
      <c r="A18" t="s">
        <v>1118</v>
      </c>
      <c r="B18" s="114" t="s">
        <v>1898</v>
      </c>
      <c r="C18" t="s">
        <v>1891</v>
      </c>
    </row>
    <row r="19" spans="1:4" x14ac:dyDescent="0.3">
      <c r="A19" t="s">
        <v>1119</v>
      </c>
      <c r="B19" s="114" t="s">
        <v>1899</v>
      </c>
      <c r="C19" t="s">
        <v>1891</v>
      </c>
    </row>
    <row r="20" spans="1:4" x14ac:dyDescent="0.3">
      <c r="A20" t="s">
        <v>1120</v>
      </c>
      <c r="B20" s="114" t="s">
        <v>1900</v>
      </c>
      <c r="C20" t="s">
        <v>1891</v>
      </c>
    </row>
    <row r="21" spans="1:4" x14ac:dyDescent="0.3">
      <c r="A21" t="s">
        <v>1122</v>
      </c>
      <c r="B21" s="114" t="s">
        <v>1901</v>
      </c>
      <c r="C21" t="s">
        <v>1902</v>
      </c>
      <c r="D21" t="s">
        <v>1165</v>
      </c>
    </row>
    <row r="22" spans="1:4" x14ac:dyDescent="0.3">
      <c r="A22" t="s">
        <v>2</v>
      </c>
      <c r="B22" s="114" t="s">
        <v>1903</v>
      </c>
      <c r="C22" t="s">
        <v>1902</v>
      </c>
      <c r="D22" t="s">
        <v>1149</v>
      </c>
    </row>
    <row r="23" spans="1:4" x14ac:dyDescent="0.3">
      <c r="A23" t="s">
        <v>186</v>
      </c>
      <c r="B23" s="114" t="s">
        <v>1904</v>
      </c>
      <c r="C23" t="s">
        <v>1902</v>
      </c>
      <c r="D23" t="s">
        <v>1146</v>
      </c>
    </row>
    <row r="24" spans="1:4" x14ac:dyDescent="0.3">
      <c r="A24" t="s">
        <v>535</v>
      </c>
      <c r="B24" s="114" t="s">
        <v>1905</v>
      </c>
      <c r="C24" t="s">
        <v>1902</v>
      </c>
      <c r="D24" t="s">
        <v>1227</v>
      </c>
    </row>
    <row r="25" spans="1:4" x14ac:dyDescent="0.3">
      <c r="A25" t="s">
        <v>432</v>
      </c>
      <c r="B25" s="114" t="s">
        <v>1906</v>
      </c>
      <c r="C25" t="s">
        <v>1902</v>
      </c>
      <c r="D25" t="s">
        <v>1271</v>
      </c>
    </row>
    <row r="26" spans="1:4" x14ac:dyDescent="0.3">
      <c r="A26" t="s">
        <v>516</v>
      </c>
      <c r="B26" s="114" t="s">
        <v>1907</v>
      </c>
      <c r="C26" t="s">
        <v>1902</v>
      </c>
      <c r="D26" t="s">
        <v>1150</v>
      </c>
    </row>
    <row r="27" spans="1:4" x14ac:dyDescent="0.3">
      <c r="A27" t="s">
        <v>14</v>
      </c>
      <c r="B27" s="114" t="s">
        <v>1908</v>
      </c>
      <c r="C27" t="s">
        <v>1902</v>
      </c>
      <c r="D27" t="s">
        <v>1152</v>
      </c>
    </row>
    <row r="28" spans="1:4" x14ac:dyDescent="0.3">
      <c r="A28" t="s">
        <v>1130</v>
      </c>
      <c r="B28" s="114" t="s">
        <v>1909</v>
      </c>
      <c r="C28" t="s">
        <v>1910</v>
      </c>
    </row>
    <row r="29" spans="1:4" x14ac:dyDescent="0.3">
      <c r="A29" t="s">
        <v>906</v>
      </c>
      <c r="B29" s="114" t="s">
        <v>1911</v>
      </c>
      <c r="C29" t="s">
        <v>1910</v>
      </c>
    </row>
    <row r="30" spans="1:4" x14ac:dyDescent="0.3">
      <c r="A30" t="s">
        <v>1132</v>
      </c>
      <c r="B30" s="114" t="s">
        <v>1912</v>
      </c>
      <c r="C30" t="s">
        <v>1910</v>
      </c>
    </row>
    <row r="31" spans="1:4" x14ac:dyDescent="0.3">
      <c r="A31" t="s">
        <v>51</v>
      </c>
      <c r="B31" s="114" t="s">
        <v>1913</v>
      </c>
      <c r="C31" t="s">
        <v>1910</v>
      </c>
    </row>
    <row r="32" spans="1:4" x14ac:dyDescent="0.3">
      <c r="A32" t="s">
        <v>1133</v>
      </c>
      <c r="B32" s="114" t="s">
        <v>1914</v>
      </c>
      <c r="C32" t="s">
        <v>1910</v>
      </c>
    </row>
    <row r="33" spans="1:3" x14ac:dyDescent="0.3">
      <c r="A33" t="s">
        <v>50</v>
      </c>
      <c r="B33" s="114" t="s">
        <v>1913</v>
      </c>
      <c r="C33" t="s">
        <v>1910</v>
      </c>
    </row>
    <row r="34" spans="1:3" x14ac:dyDescent="0.3">
      <c r="A34" t="s">
        <v>1134</v>
      </c>
      <c r="B34" s="114" t="s">
        <v>1915</v>
      </c>
      <c r="C34" t="s">
        <v>1910</v>
      </c>
    </row>
    <row r="35" spans="1:3" x14ac:dyDescent="0.3">
      <c r="A35" t="s">
        <v>1135</v>
      </c>
      <c r="B35" s="114" t="s">
        <v>1916</v>
      </c>
      <c r="C35" t="s">
        <v>1910</v>
      </c>
    </row>
    <row r="36" spans="1:3" x14ac:dyDescent="0.3">
      <c r="A36" t="s">
        <v>1136</v>
      </c>
      <c r="B36" s="114" t="s">
        <v>1917</v>
      </c>
      <c r="C36" t="s">
        <v>1910</v>
      </c>
    </row>
    <row r="37" spans="1:3" x14ac:dyDescent="0.3">
      <c r="A37" t="s">
        <v>1137</v>
      </c>
      <c r="B37" s="114" t="s">
        <v>1918</v>
      </c>
      <c r="C37" t="s">
        <v>1910</v>
      </c>
    </row>
    <row r="38" spans="1:3" x14ac:dyDescent="0.3">
      <c r="A38" t="s">
        <v>1138</v>
      </c>
      <c r="B38" s="114" t="s">
        <v>1919</v>
      </c>
      <c r="C38" t="s">
        <v>1910</v>
      </c>
    </row>
    <row r="39" spans="1:3" x14ac:dyDescent="0.3">
      <c r="A39" t="s">
        <v>1139</v>
      </c>
      <c r="B39" s="114" t="s">
        <v>1920</v>
      </c>
      <c r="C39" t="s">
        <v>1910</v>
      </c>
    </row>
    <row r="40" spans="1:3" x14ac:dyDescent="0.3">
      <c r="A40" t="s">
        <v>1140</v>
      </c>
      <c r="B40" s="114" t="s">
        <v>1921</v>
      </c>
      <c r="C40" t="s">
        <v>1910</v>
      </c>
    </row>
    <row r="41" spans="1:3" x14ac:dyDescent="0.3">
      <c r="A41" t="s">
        <v>1141</v>
      </c>
      <c r="B41" s="114" t="s">
        <v>1922</v>
      </c>
      <c r="C41" t="s">
        <v>1910</v>
      </c>
    </row>
    <row r="42" spans="1:3" x14ac:dyDescent="0.3">
      <c r="A42" t="s">
        <v>1142</v>
      </c>
      <c r="B42" s="114" t="s">
        <v>1923</v>
      </c>
      <c r="C42" t="s">
        <v>1910</v>
      </c>
    </row>
    <row r="43" spans="1:3" x14ac:dyDescent="0.3">
      <c r="A43" t="s">
        <v>1143</v>
      </c>
      <c r="B43" s="114" t="s">
        <v>1924</v>
      </c>
      <c r="C43" t="s">
        <v>1910</v>
      </c>
    </row>
    <row r="44" spans="1:3" x14ac:dyDescent="0.3">
      <c r="A44" t="s">
        <v>1144</v>
      </c>
      <c r="B44" s="114" t="s">
        <v>1925</v>
      </c>
      <c r="C44" t="s">
        <v>1910</v>
      </c>
    </row>
    <row r="45" spans="1:3" x14ac:dyDescent="0.3">
      <c r="A45" t="s">
        <v>1145</v>
      </c>
      <c r="B45" s="114" t="s">
        <v>1926</v>
      </c>
      <c r="C45" t="s">
        <v>1910</v>
      </c>
    </row>
    <row r="46" spans="1:3" x14ac:dyDescent="0.3">
      <c r="A46" t="s">
        <v>1146</v>
      </c>
      <c r="B46" s="114" t="s">
        <v>1927</v>
      </c>
      <c r="C46" t="s">
        <v>1910</v>
      </c>
    </row>
    <row r="47" spans="1:3" x14ac:dyDescent="0.3">
      <c r="A47" t="s">
        <v>1147</v>
      </c>
      <c r="B47" s="114" t="s">
        <v>1928</v>
      </c>
      <c r="C47" t="s">
        <v>1910</v>
      </c>
    </row>
    <row r="48" spans="1:3" x14ac:dyDescent="0.3">
      <c r="A48" t="s">
        <v>1148</v>
      </c>
      <c r="B48" s="114" t="s">
        <v>1929</v>
      </c>
      <c r="C48" t="s">
        <v>1910</v>
      </c>
    </row>
    <row r="49" spans="1:3" x14ac:dyDescent="0.3">
      <c r="A49" t="s">
        <v>1149</v>
      </c>
      <c r="B49" s="114" t="s">
        <v>1930</v>
      </c>
      <c r="C49" t="s">
        <v>1910</v>
      </c>
    </row>
    <row r="50" spans="1:3" x14ac:dyDescent="0.3">
      <c r="A50" t="s">
        <v>910</v>
      </c>
      <c r="B50" s="114" t="s">
        <v>1931</v>
      </c>
      <c r="C50" t="s">
        <v>1910</v>
      </c>
    </row>
    <row r="51" spans="1:3" x14ac:dyDescent="0.3">
      <c r="A51" t="s">
        <v>1150</v>
      </c>
      <c r="B51" s="114" t="s">
        <v>1932</v>
      </c>
      <c r="C51" t="s">
        <v>1910</v>
      </c>
    </row>
    <row r="52" spans="1:3" x14ac:dyDescent="0.3">
      <c r="A52" t="s">
        <v>1151</v>
      </c>
      <c r="B52" s="114" t="s">
        <v>1933</v>
      </c>
      <c r="C52" t="s">
        <v>1910</v>
      </c>
    </row>
    <row r="53" spans="1:3" x14ac:dyDescent="0.3">
      <c r="A53" t="s">
        <v>1152</v>
      </c>
      <c r="B53" s="114" t="s">
        <v>1934</v>
      </c>
      <c r="C53" t="s">
        <v>1910</v>
      </c>
    </row>
    <row r="54" spans="1:3" x14ac:dyDescent="0.3">
      <c r="A54" t="s">
        <v>909</v>
      </c>
      <c r="B54" s="114" t="s">
        <v>1935</v>
      </c>
      <c r="C54" t="s">
        <v>1910</v>
      </c>
    </row>
    <row r="55" spans="1:3" x14ac:dyDescent="0.3">
      <c r="A55" t="s">
        <v>1153</v>
      </c>
      <c r="B55" s="114" t="s">
        <v>1936</v>
      </c>
      <c r="C55" t="s">
        <v>1910</v>
      </c>
    </row>
    <row r="56" spans="1:3" x14ac:dyDescent="0.3">
      <c r="A56" t="s">
        <v>1154</v>
      </c>
      <c r="B56" s="114" t="s">
        <v>1937</v>
      </c>
      <c r="C56" t="s">
        <v>1910</v>
      </c>
    </row>
    <row r="57" spans="1:3" x14ac:dyDescent="0.3">
      <c r="A57" t="s">
        <v>801</v>
      </c>
      <c r="B57" s="114" t="s">
        <v>1938</v>
      </c>
      <c r="C57" t="s">
        <v>1910</v>
      </c>
    </row>
    <row r="58" spans="1:3" x14ac:dyDescent="0.3">
      <c r="A58" t="s">
        <v>1155</v>
      </c>
      <c r="B58" s="114" t="s">
        <v>1939</v>
      </c>
      <c r="C58" t="s">
        <v>1910</v>
      </c>
    </row>
    <row r="59" spans="1:3" x14ac:dyDescent="0.3">
      <c r="A59" t="s">
        <v>1156</v>
      </c>
      <c r="B59" s="114" t="s">
        <v>1940</v>
      </c>
      <c r="C59" t="s">
        <v>1910</v>
      </c>
    </row>
    <row r="60" spans="1:3" x14ac:dyDescent="0.3">
      <c r="A60" t="s">
        <v>1157</v>
      </c>
      <c r="B60" s="114" t="s">
        <v>1941</v>
      </c>
      <c r="C60" t="s">
        <v>1910</v>
      </c>
    </row>
    <row r="61" spans="1:3" x14ac:dyDescent="0.3">
      <c r="A61" t="s">
        <v>1158</v>
      </c>
      <c r="B61" s="114" t="s">
        <v>1942</v>
      </c>
      <c r="C61" t="s">
        <v>1910</v>
      </c>
    </row>
    <row r="62" spans="1:3" x14ac:dyDescent="0.3">
      <c r="A62" t="s">
        <v>1159</v>
      </c>
      <c r="B62" s="114" t="s">
        <v>1943</v>
      </c>
      <c r="C62" t="s">
        <v>1910</v>
      </c>
    </row>
    <row r="63" spans="1:3" x14ac:dyDescent="0.3">
      <c r="A63" t="s">
        <v>1160</v>
      </c>
      <c r="B63" s="114" t="s">
        <v>1944</v>
      </c>
      <c r="C63" t="s">
        <v>1910</v>
      </c>
    </row>
    <row r="64" spans="1:3" x14ac:dyDescent="0.3">
      <c r="A64" t="s">
        <v>1161</v>
      </c>
      <c r="B64" s="114" t="s">
        <v>1945</v>
      </c>
      <c r="C64" t="s">
        <v>1910</v>
      </c>
    </row>
    <row r="65" spans="1:3" x14ac:dyDescent="0.3">
      <c r="A65" t="s">
        <v>1162</v>
      </c>
      <c r="B65" s="114" t="s">
        <v>1946</v>
      </c>
      <c r="C65" t="s">
        <v>1910</v>
      </c>
    </row>
    <row r="66" spans="1:3" x14ac:dyDescent="0.3">
      <c r="A66" t="s">
        <v>1163</v>
      </c>
      <c r="B66" s="114" t="s">
        <v>1947</v>
      </c>
      <c r="C66" t="s">
        <v>1910</v>
      </c>
    </row>
    <row r="67" spans="1:3" x14ac:dyDescent="0.3">
      <c r="A67" t="s">
        <v>1164</v>
      </c>
      <c r="B67" s="114" t="s">
        <v>1948</v>
      </c>
      <c r="C67" t="s">
        <v>1910</v>
      </c>
    </row>
    <row r="68" spans="1:3" x14ac:dyDescent="0.3">
      <c r="A68" t="s">
        <v>1165</v>
      </c>
      <c r="B68" s="114" t="s">
        <v>1949</v>
      </c>
      <c r="C68" t="s">
        <v>1910</v>
      </c>
    </row>
    <row r="69" spans="1:3" x14ac:dyDescent="0.3">
      <c r="A69" t="s">
        <v>1166</v>
      </c>
      <c r="B69" s="114" t="s">
        <v>1950</v>
      </c>
      <c r="C69" t="s">
        <v>1910</v>
      </c>
    </row>
    <row r="70" spans="1:3" x14ac:dyDescent="0.3">
      <c r="A70" t="s">
        <v>1167</v>
      </c>
      <c r="B70" s="114" t="s">
        <v>1951</v>
      </c>
      <c r="C70" t="s">
        <v>1910</v>
      </c>
    </row>
    <row r="71" spans="1:3" x14ac:dyDescent="0.3">
      <c r="A71" t="s">
        <v>1168</v>
      </c>
      <c r="B71" s="114" t="s">
        <v>1952</v>
      </c>
      <c r="C71" t="s">
        <v>1910</v>
      </c>
    </row>
    <row r="72" spans="1:3" x14ac:dyDescent="0.3">
      <c r="A72" t="s">
        <v>1169</v>
      </c>
      <c r="B72" s="114" t="s">
        <v>1953</v>
      </c>
      <c r="C72" t="s">
        <v>1910</v>
      </c>
    </row>
    <row r="73" spans="1:3" x14ac:dyDescent="0.3">
      <c r="A73" t="s">
        <v>1170</v>
      </c>
      <c r="B73" s="114" t="s">
        <v>1954</v>
      </c>
      <c r="C73" t="s">
        <v>1910</v>
      </c>
    </row>
    <row r="74" spans="1:3" x14ac:dyDescent="0.3">
      <c r="A74" t="s">
        <v>1171</v>
      </c>
      <c r="B74" s="114" t="s">
        <v>1955</v>
      </c>
      <c r="C74" t="s">
        <v>1910</v>
      </c>
    </row>
    <row r="75" spans="1:3" x14ac:dyDescent="0.3">
      <c r="A75" t="s">
        <v>1172</v>
      </c>
      <c r="B75" s="114" t="s">
        <v>1956</v>
      </c>
      <c r="C75" t="s">
        <v>1910</v>
      </c>
    </row>
    <row r="76" spans="1:3" x14ac:dyDescent="0.3">
      <c r="A76" t="s">
        <v>1173</v>
      </c>
      <c r="B76" s="114" t="s">
        <v>1957</v>
      </c>
      <c r="C76" t="s">
        <v>1910</v>
      </c>
    </row>
    <row r="77" spans="1:3" x14ac:dyDescent="0.3">
      <c r="A77" t="s">
        <v>1174</v>
      </c>
      <c r="B77" s="114" t="s">
        <v>1958</v>
      </c>
      <c r="C77" t="s">
        <v>1910</v>
      </c>
    </row>
    <row r="78" spans="1:3" x14ac:dyDescent="0.3">
      <c r="A78" t="s">
        <v>1175</v>
      </c>
      <c r="B78" s="114" t="s">
        <v>1959</v>
      </c>
      <c r="C78" t="s">
        <v>1910</v>
      </c>
    </row>
    <row r="79" spans="1:3" x14ac:dyDescent="0.3">
      <c r="A79" t="s">
        <v>1176</v>
      </c>
      <c r="B79" s="114" t="s">
        <v>1960</v>
      </c>
      <c r="C79" t="s">
        <v>1910</v>
      </c>
    </row>
    <row r="80" spans="1:3" x14ac:dyDescent="0.3">
      <c r="A80" t="s">
        <v>1177</v>
      </c>
      <c r="B80" s="114" t="s">
        <v>1961</v>
      </c>
      <c r="C80" t="s">
        <v>1910</v>
      </c>
    </row>
    <row r="81" spans="1:3" x14ac:dyDescent="0.3">
      <c r="A81" t="s">
        <v>1178</v>
      </c>
      <c r="B81" s="114" t="s">
        <v>1962</v>
      </c>
      <c r="C81" t="s">
        <v>1910</v>
      </c>
    </row>
    <row r="82" spans="1:3" x14ac:dyDescent="0.3">
      <c r="A82" t="s">
        <v>1179</v>
      </c>
      <c r="B82" s="114" t="s">
        <v>1963</v>
      </c>
      <c r="C82" t="s">
        <v>1910</v>
      </c>
    </row>
    <row r="83" spans="1:3" x14ac:dyDescent="0.3">
      <c r="A83" t="s">
        <v>1180</v>
      </c>
      <c r="B83" s="114" t="s">
        <v>1964</v>
      </c>
      <c r="C83" t="s">
        <v>1910</v>
      </c>
    </row>
    <row r="84" spans="1:3" x14ac:dyDescent="0.3">
      <c r="A84" t="s">
        <v>429</v>
      </c>
      <c r="B84" s="114" t="s">
        <v>1965</v>
      </c>
      <c r="C84" t="s">
        <v>1910</v>
      </c>
    </row>
    <row r="85" spans="1:3" x14ac:dyDescent="0.3">
      <c r="A85" t="s">
        <v>430</v>
      </c>
      <c r="B85" s="114" t="s">
        <v>1966</v>
      </c>
      <c r="C85" t="s">
        <v>1910</v>
      </c>
    </row>
    <row r="86" spans="1:3" x14ac:dyDescent="0.3">
      <c r="A86" t="s">
        <v>1181</v>
      </c>
      <c r="B86" s="114" t="s">
        <v>1967</v>
      </c>
      <c r="C86" t="s">
        <v>1910</v>
      </c>
    </row>
    <row r="87" spans="1:3" x14ac:dyDescent="0.3">
      <c r="A87" t="s">
        <v>1182</v>
      </c>
      <c r="B87" s="114" t="s">
        <v>1968</v>
      </c>
      <c r="C87" t="s">
        <v>1910</v>
      </c>
    </row>
    <row r="88" spans="1:3" x14ac:dyDescent="0.3">
      <c r="A88" t="s">
        <v>1183</v>
      </c>
      <c r="B88" s="114" t="s">
        <v>1969</v>
      </c>
      <c r="C88" t="s">
        <v>1910</v>
      </c>
    </row>
    <row r="89" spans="1:3" x14ac:dyDescent="0.3">
      <c r="A89" t="s">
        <v>1184</v>
      </c>
      <c r="B89" s="114" t="s">
        <v>1970</v>
      </c>
      <c r="C89" t="s">
        <v>1910</v>
      </c>
    </row>
    <row r="90" spans="1:3" x14ac:dyDescent="0.3">
      <c r="A90" t="s">
        <v>1185</v>
      </c>
      <c r="B90" s="114" t="s">
        <v>1971</v>
      </c>
      <c r="C90" t="s">
        <v>1910</v>
      </c>
    </row>
    <row r="91" spans="1:3" x14ac:dyDescent="0.3">
      <c r="A91" t="s">
        <v>1186</v>
      </c>
      <c r="B91" s="114" t="s">
        <v>1972</v>
      </c>
      <c r="C91" t="s">
        <v>1910</v>
      </c>
    </row>
    <row r="92" spans="1:3" x14ac:dyDescent="0.3">
      <c r="A92" t="s">
        <v>1187</v>
      </c>
      <c r="B92" s="114" t="s">
        <v>1973</v>
      </c>
      <c r="C92" t="s">
        <v>1910</v>
      </c>
    </row>
    <row r="93" spans="1:3" x14ac:dyDescent="0.3">
      <c r="A93" t="s">
        <v>1188</v>
      </c>
      <c r="B93" s="114" t="s">
        <v>1974</v>
      </c>
      <c r="C93" t="s">
        <v>1910</v>
      </c>
    </row>
    <row r="94" spans="1:3" x14ac:dyDescent="0.3">
      <c r="A94" t="s">
        <v>1189</v>
      </c>
      <c r="B94" s="114" t="s">
        <v>1975</v>
      </c>
      <c r="C94" t="s">
        <v>1910</v>
      </c>
    </row>
    <row r="95" spans="1:3" x14ac:dyDescent="0.3">
      <c r="A95" t="s">
        <v>1190</v>
      </c>
      <c r="B95" s="114" t="s">
        <v>1976</v>
      </c>
      <c r="C95" t="s">
        <v>1910</v>
      </c>
    </row>
    <row r="96" spans="1:3" x14ac:dyDescent="0.3">
      <c r="A96" t="s">
        <v>1191</v>
      </c>
      <c r="B96" s="114" t="s">
        <v>1977</v>
      </c>
      <c r="C96" t="s">
        <v>1910</v>
      </c>
    </row>
    <row r="97" spans="1:3" x14ac:dyDescent="0.3">
      <c r="A97" t="s">
        <v>1192</v>
      </c>
      <c r="B97" s="114" t="s">
        <v>1978</v>
      </c>
      <c r="C97" t="s">
        <v>1910</v>
      </c>
    </row>
    <row r="98" spans="1:3" x14ac:dyDescent="0.3">
      <c r="A98" t="s">
        <v>1193</v>
      </c>
      <c r="B98" s="114" t="s">
        <v>1979</v>
      </c>
      <c r="C98" t="s">
        <v>1910</v>
      </c>
    </row>
    <row r="99" spans="1:3" x14ac:dyDescent="0.3">
      <c r="A99" t="s">
        <v>1194</v>
      </c>
      <c r="B99" s="114" t="s">
        <v>1980</v>
      </c>
      <c r="C99" t="s">
        <v>1910</v>
      </c>
    </row>
    <row r="100" spans="1:3" x14ac:dyDescent="0.3">
      <c r="A100" t="s">
        <v>1195</v>
      </c>
      <c r="B100" s="114" t="s">
        <v>1981</v>
      </c>
      <c r="C100" t="s">
        <v>1910</v>
      </c>
    </row>
    <row r="101" spans="1:3" x14ac:dyDescent="0.3">
      <c r="A101" t="s">
        <v>1196</v>
      </c>
      <c r="B101" s="114" t="s">
        <v>1982</v>
      </c>
      <c r="C101" t="s">
        <v>1910</v>
      </c>
    </row>
    <row r="102" spans="1:3" x14ac:dyDescent="0.3">
      <c r="A102" t="s">
        <v>1197</v>
      </c>
      <c r="B102" s="114" t="s">
        <v>1983</v>
      </c>
      <c r="C102" t="s">
        <v>1910</v>
      </c>
    </row>
    <row r="103" spans="1:3" x14ac:dyDescent="0.3">
      <c r="A103" t="s">
        <v>1198</v>
      </c>
      <c r="B103" s="114" t="s">
        <v>1984</v>
      </c>
      <c r="C103" t="s">
        <v>1910</v>
      </c>
    </row>
    <row r="104" spans="1:3" x14ac:dyDescent="0.3">
      <c r="A104" t="s">
        <v>1199</v>
      </c>
      <c r="B104" s="114" t="s">
        <v>1985</v>
      </c>
      <c r="C104" t="s">
        <v>1910</v>
      </c>
    </row>
    <row r="105" spans="1:3" x14ac:dyDescent="0.3">
      <c r="A105" t="s">
        <v>1200</v>
      </c>
      <c r="B105" s="114" t="s">
        <v>1986</v>
      </c>
      <c r="C105" t="s">
        <v>1910</v>
      </c>
    </row>
    <row r="106" spans="1:3" x14ac:dyDescent="0.3">
      <c r="A106" t="s">
        <v>1201</v>
      </c>
      <c r="B106" s="114" t="s">
        <v>1987</v>
      </c>
      <c r="C106" t="s">
        <v>1910</v>
      </c>
    </row>
    <row r="107" spans="1:3" x14ac:dyDescent="0.3">
      <c r="A107" t="s">
        <v>1202</v>
      </c>
      <c r="B107" s="114" t="s">
        <v>1988</v>
      </c>
      <c r="C107" t="s">
        <v>1910</v>
      </c>
    </row>
    <row r="108" spans="1:3" x14ac:dyDescent="0.3">
      <c r="A108" t="s">
        <v>1203</v>
      </c>
      <c r="B108" s="114" t="s">
        <v>1989</v>
      </c>
      <c r="C108" t="s">
        <v>1910</v>
      </c>
    </row>
    <row r="109" spans="1:3" x14ac:dyDescent="0.3">
      <c r="A109" t="s">
        <v>1204</v>
      </c>
      <c r="B109" s="114" t="s">
        <v>1990</v>
      </c>
      <c r="C109" t="s">
        <v>1910</v>
      </c>
    </row>
    <row r="110" spans="1:3" x14ac:dyDescent="0.3">
      <c r="A110" t="s">
        <v>1205</v>
      </c>
      <c r="B110" s="114" t="s">
        <v>1991</v>
      </c>
      <c r="C110" t="s">
        <v>1910</v>
      </c>
    </row>
    <row r="111" spans="1:3" x14ac:dyDescent="0.3">
      <c r="A111" t="s">
        <v>1206</v>
      </c>
      <c r="B111" s="114" t="s">
        <v>1992</v>
      </c>
      <c r="C111" t="s">
        <v>1910</v>
      </c>
    </row>
    <row r="112" spans="1:3" x14ac:dyDescent="0.3">
      <c r="A112" t="s">
        <v>1207</v>
      </c>
      <c r="B112" s="114" t="s">
        <v>1993</v>
      </c>
      <c r="C112" t="s">
        <v>1910</v>
      </c>
    </row>
    <row r="113" spans="1:3" x14ac:dyDescent="0.3">
      <c r="A113" t="s">
        <v>1208</v>
      </c>
      <c r="B113" s="114" t="s">
        <v>1994</v>
      </c>
      <c r="C113" t="s">
        <v>1910</v>
      </c>
    </row>
    <row r="114" spans="1:3" x14ac:dyDescent="0.3">
      <c r="A114" t="s">
        <v>1209</v>
      </c>
      <c r="B114" s="114" t="s">
        <v>1995</v>
      </c>
      <c r="C114" t="s">
        <v>1910</v>
      </c>
    </row>
    <row r="115" spans="1:3" x14ac:dyDescent="0.3">
      <c r="A115" t="s">
        <v>1210</v>
      </c>
      <c r="B115" s="114" t="s">
        <v>1996</v>
      </c>
      <c r="C115" t="s">
        <v>1910</v>
      </c>
    </row>
    <row r="116" spans="1:3" x14ac:dyDescent="0.3">
      <c r="A116" t="s">
        <v>1211</v>
      </c>
      <c r="B116" s="114" t="s">
        <v>1997</v>
      </c>
      <c r="C116" t="s">
        <v>1910</v>
      </c>
    </row>
    <row r="117" spans="1:3" x14ac:dyDescent="0.3">
      <c r="A117" t="s">
        <v>1212</v>
      </c>
      <c r="B117" s="114" t="s">
        <v>1998</v>
      </c>
      <c r="C117" t="s">
        <v>1910</v>
      </c>
    </row>
    <row r="118" spans="1:3" x14ac:dyDescent="0.3">
      <c r="A118" t="s">
        <v>3</v>
      </c>
      <c r="B118" s="114" t="s">
        <v>1999</v>
      </c>
      <c r="C118" t="s">
        <v>1910</v>
      </c>
    </row>
    <row r="119" spans="1:3" x14ac:dyDescent="0.3">
      <c r="A119" t="s">
        <v>1213</v>
      </c>
      <c r="B119" s="114" t="s">
        <v>2000</v>
      </c>
      <c r="C119" t="s">
        <v>1910</v>
      </c>
    </row>
    <row r="120" spans="1:3" x14ac:dyDescent="0.3">
      <c r="A120" t="s">
        <v>1214</v>
      </c>
      <c r="B120" s="114" t="s">
        <v>2001</v>
      </c>
      <c r="C120" t="s">
        <v>1910</v>
      </c>
    </row>
    <row r="121" spans="1:3" x14ac:dyDescent="0.3">
      <c r="A121" t="s">
        <v>1215</v>
      </c>
      <c r="B121" s="114" t="s">
        <v>2002</v>
      </c>
      <c r="C121" t="s">
        <v>1910</v>
      </c>
    </row>
    <row r="122" spans="1:3" x14ac:dyDescent="0.3">
      <c r="A122" t="s">
        <v>1216</v>
      </c>
      <c r="B122" s="114" t="s">
        <v>2003</v>
      </c>
      <c r="C122" t="s">
        <v>1910</v>
      </c>
    </row>
    <row r="123" spans="1:3" x14ac:dyDescent="0.3">
      <c r="A123" t="s">
        <v>1217</v>
      </c>
      <c r="B123" s="114" t="s">
        <v>2004</v>
      </c>
      <c r="C123" t="s">
        <v>1910</v>
      </c>
    </row>
    <row r="124" spans="1:3" x14ac:dyDescent="0.3">
      <c r="A124" t="s">
        <v>1218</v>
      </c>
      <c r="B124" s="114" t="s">
        <v>2005</v>
      </c>
      <c r="C124" t="s">
        <v>1910</v>
      </c>
    </row>
    <row r="125" spans="1:3" x14ac:dyDescent="0.3">
      <c r="A125" t="s">
        <v>1219</v>
      </c>
      <c r="B125" s="114" t="s">
        <v>2006</v>
      </c>
      <c r="C125" t="s">
        <v>1910</v>
      </c>
    </row>
    <row r="126" spans="1:3" x14ac:dyDescent="0.3">
      <c r="A126" t="s">
        <v>1220</v>
      </c>
      <c r="B126" s="114" t="s">
        <v>2007</v>
      </c>
      <c r="C126" t="s">
        <v>1910</v>
      </c>
    </row>
    <row r="127" spans="1:3" x14ac:dyDescent="0.3">
      <c r="A127" t="s">
        <v>1221</v>
      </c>
      <c r="B127" s="114" t="s">
        <v>2008</v>
      </c>
      <c r="C127" t="s">
        <v>1910</v>
      </c>
    </row>
    <row r="128" spans="1:3" x14ac:dyDescent="0.3">
      <c r="A128" t="s">
        <v>1222</v>
      </c>
      <c r="B128" s="114" t="s">
        <v>2009</v>
      </c>
      <c r="C128" t="s">
        <v>1910</v>
      </c>
    </row>
    <row r="129" spans="1:3" x14ac:dyDescent="0.3">
      <c r="A129" t="s">
        <v>1223</v>
      </c>
      <c r="B129" s="114" t="s">
        <v>2010</v>
      </c>
      <c r="C129" t="s">
        <v>1910</v>
      </c>
    </row>
    <row r="130" spans="1:3" x14ac:dyDescent="0.3">
      <c r="A130" t="s">
        <v>1224</v>
      </c>
      <c r="B130" s="114" t="s">
        <v>2011</v>
      </c>
      <c r="C130" t="s">
        <v>1910</v>
      </c>
    </row>
    <row r="131" spans="1:3" x14ac:dyDescent="0.3">
      <c r="A131" t="s">
        <v>1225</v>
      </c>
      <c r="B131" s="114" t="s">
        <v>2012</v>
      </c>
      <c r="C131" t="s">
        <v>1910</v>
      </c>
    </row>
    <row r="132" spans="1:3" x14ac:dyDescent="0.3">
      <c r="A132" t="s">
        <v>1226</v>
      </c>
      <c r="B132" s="114" t="s">
        <v>2013</v>
      </c>
      <c r="C132" t="s">
        <v>1910</v>
      </c>
    </row>
    <row r="133" spans="1:3" x14ac:dyDescent="0.3">
      <c r="A133" t="s">
        <v>738</v>
      </c>
      <c r="B133" s="114" t="s">
        <v>2014</v>
      </c>
      <c r="C133" t="s">
        <v>1910</v>
      </c>
    </row>
    <row r="134" spans="1:3" x14ac:dyDescent="0.3">
      <c r="A134" t="s">
        <v>736</v>
      </c>
      <c r="B134" s="114" t="s">
        <v>2015</v>
      </c>
      <c r="C134" t="s">
        <v>1910</v>
      </c>
    </row>
    <row r="135" spans="1:3" x14ac:dyDescent="0.3">
      <c r="A135" t="s">
        <v>739</v>
      </c>
      <c r="B135" s="114" t="s">
        <v>2016</v>
      </c>
      <c r="C135" t="s">
        <v>1910</v>
      </c>
    </row>
    <row r="136" spans="1:3" x14ac:dyDescent="0.3">
      <c r="A136" t="s">
        <v>1227</v>
      </c>
      <c r="B136" s="114" t="s">
        <v>2017</v>
      </c>
      <c r="C136" t="s">
        <v>1910</v>
      </c>
    </row>
    <row r="137" spans="1:3" x14ac:dyDescent="0.3">
      <c r="A137" t="s">
        <v>734</v>
      </c>
      <c r="B137" s="114" t="s">
        <v>2018</v>
      </c>
      <c r="C137" t="s">
        <v>1910</v>
      </c>
    </row>
    <row r="138" spans="1:3" x14ac:dyDescent="0.3">
      <c r="A138" t="s">
        <v>529</v>
      </c>
      <c r="B138" s="114" t="s">
        <v>2019</v>
      </c>
      <c r="C138" t="s">
        <v>1910</v>
      </c>
    </row>
    <row r="139" spans="1:3" x14ac:dyDescent="0.3">
      <c r="A139" t="s">
        <v>808</v>
      </c>
      <c r="B139" s="114" t="s">
        <v>2020</v>
      </c>
      <c r="C139" t="s">
        <v>1910</v>
      </c>
    </row>
    <row r="140" spans="1:3" x14ac:dyDescent="0.3">
      <c r="A140" t="s">
        <v>1228</v>
      </c>
      <c r="B140" s="114" t="s">
        <v>2021</v>
      </c>
      <c r="C140" t="s">
        <v>1910</v>
      </c>
    </row>
    <row r="141" spans="1:3" x14ac:dyDescent="0.3">
      <c r="A141" t="s">
        <v>1229</v>
      </c>
      <c r="B141" s="114" t="s">
        <v>2022</v>
      </c>
      <c r="C141" t="s">
        <v>1910</v>
      </c>
    </row>
    <row r="142" spans="1:3" x14ac:dyDescent="0.3">
      <c r="A142" t="s">
        <v>1230</v>
      </c>
      <c r="B142" s="114" t="s">
        <v>2023</v>
      </c>
      <c r="C142" t="s">
        <v>1910</v>
      </c>
    </row>
    <row r="143" spans="1:3" x14ac:dyDescent="0.3">
      <c r="A143" t="s">
        <v>1231</v>
      </c>
      <c r="B143" s="114" t="s">
        <v>2024</v>
      </c>
      <c r="C143" t="s">
        <v>1910</v>
      </c>
    </row>
    <row r="144" spans="1:3" x14ac:dyDescent="0.3">
      <c r="A144" t="s">
        <v>1232</v>
      </c>
      <c r="B144" s="114" t="s">
        <v>2025</v>
      </c>
      <c r="C144" t="s">
        <v>1910</v>
      </c>
    </row>
    <row r="145" spans="1:3" x14ac:dyDescent="0.3">
      <c r="A145" t="s">
        <v>1233</v>
      </c>
      <c r="B145" s="114" t="s">
        <v>2026</v>
      </c>
      <c r="C145" t="s">
        <v>1910</v>
      </c>
    </row>
    <row r="146" spans="1:3" x14ac:dyDescent="0.3">
      <c r="A146" t="s">
        <v>1234</v>
      </c>
      <c r="B146" s="114" t="s">
        <v>2027</v>
      </c>
      <c r="C146" t="s">
        <v>1910</v>
      </c>
    </row>
    <row r="147" spans="1:3" x14ac:dyDescent="0.3">
      <c r="A147" t="s">
        <v>1235</v>
      </c>
      <c r="B147" s="114" t="s">
        <v>2028</v>
      </c>
      <c r="C147" t="s">
        <v>1910</v>
      </c>
    </row>
    <row r="148" spans="1:3" x14ac:dyDescent="0.3">
      <c r="A148" t="s">
        <v>1236</v>
      </c>
      <c r="B148" s="114" t="s">
        <v>2029</v>
      </c>
      <c r="C148" t="s">
        <v>1910</v>
      </c>
    </row>
    <row r="149" spans="1:3" x14ac:dyDescent="0.3">
      <c r="A149" t="s">
        <v>1237</v>
      </c>
      <c r="B149" s="114" t="s">
        <v>2030</v>
      </c>
      <c r="C149" t="s">
        <v>1910</v>
      </c>
    </row>
    <row r="150" spans="1:3" x14ac:dyDescent="0.3">
      <c r="A150" t="s">
        <v>1238</v>
      </c>
      <c r="B150" s="114" t="s">
        <v>2031</v>
      </c>
      <c r="C150" t="s">
        <v>1910</v>
      </c>
    </row>
    <row r="151" spans="1:3" x14ac:dyDescent="0.3">
      <c r="A151" t="s">
        <v>1239</v>
      </c>
      <c r="B151" s="114" t="s">
        <v>2032</v>
      </c>
      <c r="C151" t="s">
        <v>1910</v>
      </c>
    </row>
    <row r="152" spans="1:3" x14ac:dyDescent="0.3">
      <c r="A152" t="s">
        <v>1240</v>
      </c>
      <c r="B152" s="114" t="s">
        <v>2033</v>
      </c>
      <c r="C152" t="s">
        <v>1910</v>
      </c>
    </row>
    <row r="153" spans="1:3" x14ac:dyDescent="0.3">
      <c r="A153" t="s">
        <v>1241</v>
      </c>
      <c r="B153" s="114" t="s">
        <v>2034</v>
      </c>
      <c r="C153" t="s">
        <v>1910</v>
      </c>
    </row>
    <row r="154" spans="1:3" x14ac:dyDescent="0.3">
      <c r="A154" t="s">
        <v>1242</v>
      </c>
      <c r="B154" s="114" t="s">
        <v>2035</v>
      </c>
      <c r="C154" t="s">
        <v>1910</v>
      </c>
    </row>
    <row r="155" spans="1:3" x14ac:dyDescent="0.3">
      <c r="A155" t="s">
        <v>1243</v>
      </c>
      <c r="B155" s="114" t="s">
        <v>2036</v>
      </c>
      <c r="C155" t="s">
        <v>1910</v>
      </c>
    </row>
    <row r="156" spans="1:3" x14ac:dyDescent="0.3">
      <c r="A156" t="s">
        <v>1244</v>
      </c>
      <c r="B156" s="114" t="s">
        <v>2037</v>
      </c>
      <c r="C156" t="s">
        <v>1910</v>
      </c>
    </row>
    <row r="157" spans="1:3" x14ac:dyDescent="0.3">
      <c r="A157" t="s">
        <v>837</v>
      </c>
      <c r="B157" s="114" t="s">
        <v>2038</v>
      </c>
      <c r="C157" t="s">
        <v>1910</v>
      </c>
    </row>
    <row r="158" spans="1:3" x14ac:dyDescent="0.3">
      <c r="A158" t="s">
        <v>1245</v>
      </c>
      <c r="B158" s="114" t="s">
        <v>2039</v>
      </c>
      <c r="C158" t="s">
        <v>1910</v>
      </c>
    </row>
    <row r="159" spans="1:3" x14ac:dyDescent="0.3">
      <c r="A159" t="s">
        <v>1246</v>
      </c>
      <c r="B159" s="114" t="s">
        <v>2040</v>
      </c>
      <c r="C159" t="s">
        <v>1910</v>
      </c>
    </row>
    <row r="160" spans="1:3" x14ac:dyDescent="0.3">
      <c r="A160" t="s">
        <v>1247</v>
      </c>
      <c r="B160" s="114" t="s">
        <v>2041</v>
      </c>
      <c r="C160" t="s">
        <v>1910</v>
      </c>
    </row>
    <row r="161" spans="1:3" x14ac:dyDescent="0.3">
      <c r="A161" t="s">
        <v>836</v>
      </c>
      <c r="B161" s="114" t="s">
        <v>2042</v>
      </c>
      <c r="C161" t="s">
        <v>1910</v>
      </c>
    </row>
    <row r="162" spans="1:3" x14ac:dyDescent="0.3">
      <c r="A162" t="s">
        <v>838</v>
      </c>
      <c r="B162" s="114" t="s">
        <v>2043</v>
      </c>
      <c r="C162" t="s">
        <v>1910</v>
      </c>
    </row>
    <row r="163" spans="1:3" x14ac:dyDescent="0.3">
      <c r="A163" t="s">
        <v>1248</v>
      </c>
      <c r="B163" s="114" t="s">
        <v>2044</v>
      </c>
      <c r="C163" t="s">
        <v>1910</v>
      </c>
    </row>
    <row r="164" spans="1:3" x14ac:dyDescent="0.3">
      <c r="A164" t="s">
        <v>1249</v>
      </c>
      <c r="B164" s="114" t="s">
        <v>2045</v>
      </c>
      <c r="C164" t="s">
        <v>1910</v>
      </c>
    </row>
    <row r="165" spans="1:3" x14ac:dyDescent="0.3">
      <c r="A165" t="s">
        <v>1250</v>
      </c>
      <c r="B165" s="114" t="s">
        <v>2046</v>
      </c>
      <c r="C165" t="s">
        <v>1910</v>
      </c>
    </row>
    <row r="166" spans="1:3" x14ac:dyDescent="0.3">
      <c r="A166" t="s">
        <v>1251</v>
      </c>
      <c r="B166" s="114" t="s">
        <v>2047</v>
      </c>
      <c r="C166" t="s">
        <v>1910</v>
      </c>
    </row>
    <row r="167" spans="1:3" x14ac:dyDescent="0.3">
      <c r="A167" t="s">
        <v>1252</v>
      </c>
      <c r="B167" s="114" t="s">
        <v>2048</v>
      </c>
      <c r="C167" t="s">
        <v>1910</v>
      </c>
    </row>
    <row r="168" spans="1:3" x14ac:dyDescent="0.3">
      <c r="A168" t="s">
        <v>1253</v>
      </c>
      <c r="B168" s="114" t="s">
        <v>2049</v>
      </c>
      <c r="C168" t="s">
        <v>1910</v>
      </c>
    </row>
    <row r="169" spans="1:3" x14ac:dyDescent="0.3">
      <c r="A169" t="s">
        <v>1254</v>
      </c>
      <c r="B169" s="114" t="s">
        <v>2050</v>
      </c>
      <c r="C169" t="s">
        <v>1910</v>
      </c>
    </row>
    <row r="170" spans="1:3" x14ac:dyDescent="0.3">
      <c r="A170" t="s">
        <v>1255</v>
      </c>
      <c r="B170" s="114" t="s">
        <v>2051</v>
      </c>
      <c r="C170" t="s">
        <v>1910</v>
      </c>
    </row>
    <row r="171" spans="1:3" x14ac:dyDescent="0.3">
      <c r="A171" t="s">
        <v>1256</v>
      </c>
      <c r="B171" s="114" t="s">
        <v>2052</v>
      </c>
      <c r="C171" t="s">
        <v>1910</v>
      </c>
    </row>
    <row r="172" spans="1:3" x14ac:dyDescent="0.3">
      <c r="A172" t="s">
        <v>1257</v>
      </c>
      <c r="B172" s="114" t="s">
        <v>2053</v>
      </c>
      <c r="C172" t="s">
        <v>1910</v>
      </c>
    </row>
    <row r="173" spans="1:3" x14ac:dyDescent="0.3">
      <c r="A173" t="s">
        <v>1258</v>
      </c>
      <c r="B173" s="114" t="s">
        <v>2054</v>
      </c>
      <c r="C173" t="s">
        <v>1910</v>
      </c>
    </row>
    <row r="174" spans="1:3" x14ac:dyDescent="0.3">
      <c r="A174" t="s">
        <v>1259</v>
      </c>
      <c r="B174" s="114" t="s">
        <v>2055</v>
      </c>
      <c r="C174" t="s">
        <v>1910</v>
      </c>
    </row>
    <row r="175" spans="1:3" x14ac:dyDescent="0.3">
      <c r="A175" t="s">
        <v>1260</v>
      </c>
      <c r="B175" s="114" t="s">
        <v>2056</v>
      </c>
      <c r="C175" t="s">
        <v>1910</v>
      </c>
    </row>
    <row r="176" spans="1:3" x14ac:dyDescent="0.3">
      <c r="A176" t="s">
        <v>1261</v>
      </c>
      <c r="B176" s="114" t="s">
        <v>2057</v>
      </c>
      <c r="C176" t="s">
        <v>1910</v>
      </c>
    </row>
    <row r="177" spans="1:3" x14ac:dyDescent="0.3">
      <c r="A177" t="s">
        <v>1262</v>
      </c>
      <c r="B177" s="114" t="s">
        <v>2058</v>
      </c>
      <c r="C177" t="s">
        <v>1910</v>
      </c>
    </row>
    <row r="178" spans="1:3" x14ac:dyDescent="0.3">
      <c r="A178" t="s">
        <v>1263</v>
      </c>
      <c r="B178" s="114" t="s">
        <v>2059</v>
      </c>
      <c r="C178" t="s">
        <v>1910</v>
      </c>
    </row>
    <row r="179" spans="1:3" x14ac:dyDescent="0.3">
      <c r="A179" t="s">
        <v>1264</v>
      </c>
      <c r="B179" s="114" t="s">
        <v>2060</v>
      </c>
      <c r="C179" t="s">
        <v>1910</v>
      </c>
    </row>
    <row r="180" spans="1:3" x14ac:dyDescent="0.3">
      <c r="A180" t="s">
        <v>1265</v>
      </c>
      <c r="B180" s="114" t="s">
        <v>2061</v>
      </c>
      <c r="C180" t="s">
        <v>1910</v>
      </c>
    </row>
    <row r="181" spans="1:3" x14ac:dyDescent="0.3">
      <c r="A181" t="s">
        <v>1266</v>
      </c>
      <c r="B181" s="114" t="s">
        <v>2062</v>
      </c>
      <c r="C181" t="s">
        <v>1910</v>
      </c>
    </row>
    <row r="182" spans="1:3" x14ac:dyDescent="0.3">
      <c r="A182" t="s">
        <v>1267</v>
      </c>
      <c r="B182" s="114" t="s">
        <v>2063</v>
      </c>
      <c r="C182" t="s">
        <v>1910</v>
      </c>
    </row>
    <row r="183" spans="1:3" x14ac:dyDescent="0.3">
      <c r="A183" t="s">
        <v>1268</v>
      </c>
      <c r="B183" s="114" t="s">
        <v>2064</v>
      </c>
      <c r="C183" t="s">
        <v>1910</v>
      </c>
    </row>
    <row r="184" spans="1:3" x14ac:dyDescent="0.3">
      <c r="A184" t="s">
        <v>1269</v>
      </c>
      <c r="B184" s="114" t="s">
        <v>2065</v>
      </c>
      <c r="C184" t="s">
        <v>1910</v>
      </c>
    </row>
    <row r="185" spans="1:3" x14ac:dyDescent="0.3">
      <c r="A185" t="s">
        <v>1270</v>
      </c>
      <c r="B185" s="114" t="s">
        <v>2066</v>
      </c>
      <c r="C185" t="s">
        <v>1910</v>
      </c>
    </row>
    <row r="186" spans="1:3" x14ac:dyDescent="0.3">
      <c r="A186" t="s">
        <v>1271</v>
      </c>
      <c r="B186" s="114" t="s">
        <v>2067</v>
      </c>
      <c r="C186" t="s">
        <v>1910</v>
      </c>
    </row>
    <row r="187" spans="1:3" x14ac:dyDescent="0.3">
      <c r="A187" t="s">
        <v>1272</v>
      </c>
      <c r="B187" s="114" t="s">
        <v>2068</v>
      </c>
      <c r="C187" t="s">
        <v>1910</v>
      </c>
    </row>
    <row r="188" spans="1:3" x14ac:dyDescent="0.3">
      <c r="A188" t="s">
        <v>1273</v>
      </c>
      <c r="B188" s="114" t="s">
        <v>2069</v>
      </c>
      <c r="C188" t="s">
        <v>1910</v>
      </c>
    </row>
    <row r="189" spans="1:3" x14ac:dyDescent="0.3">
      <c r="A189" t="s">
        <v>1274</v>
      </c>
      <c r="B189" s="114" t="s">
        <v>2070</v>
      </c>
      <c r="C189" t="s">
        <v>1910</v>
      </c>
    </row>
    <row r="190" spans="1:3" x14ac:dyDescent="0.3">
      <c r="A190" t="s">
        <v>1275</v>
      </c>
      <c r="B190" s="114" t="s">
        <v>2071</v>
      </c>
      <c r="C190" t="s">
        <v>1910</v>
      </c>
    </row>
    <row r="191" spans="1:3" x14ac:dyDescent="0.3">
      <c r="A191" t="s">
        <v>1276</v>
      </c>
      <c r="B191" s="114" t="s">
        <v>2072</v>
      </c>
      <c r="C191" t="s">
        <v>1910</v>
      </c>
    </row>
    <row r="192" spans="1:3" x14ac:dyDescent="0.3">
      <c r="A192" t="s">
        <v>1277</v>
      </c>
      <c r="B192" s="114" t="s">
        <v>2073</v>
      </c>
      <c r="C192" t="s">
        <v>1910</v>
      </c>
    </row>
    <row r="193" spans="1:3" x14ac:dyDescent="0.3">
      <c r="A193" t="s">
        <v>1278</v>
      </c>
      <c r="B193" s="114" t="s">
        <v>2074</v>
      </c>
      <c r="C193" t="s">
        <v>1910</v>
      </c>
    </row>
    <row r="194" spans="1:3" x14ac:dyDescent="0.3">
      <c r="A194" t="s">
        <v>1279</v>
      </c>
      <c r="B194" s="114" t="s">
        <v>2075</v>
      </c>
      <c r="C194" t="s">
        <v>1910</v>
      </c>
    </row>
    <row r="195" spans="1:3" x14ac:dyDescent="0.3">
      <c r="A195" t="s">
        <v>1280</v>
      </c>
      <c r="B195" s="114" t="s">
        <v>2076</v>
      </c>
      <c r="C195" t="s">
        <v>1910</v>
      </c>
    </row>
    <row r="196" spans="1:3" x14ac:dyDescent="0.3">
      <c r="A196" t="s">
        <v>1281</v>
      </c>
      <c r="B196" s="114" t="s">
        <v>2077</v>
      </c>
      <c r="C196" t="s">
        <v>1910</v>
      </c>
    </row>
    <row r="197" spans="1:3" x14ac:dyDescent="0.3">
      <c r="A197" t="s">
        <v>427</v>
      </c>
      <c r="B197" s="114" t="s">
        <v>2078</v>
      </c>
      <c r="C197" t="s">
        <v>1910</v>
      </c>
    </row>
    <row r="198" spans="1:3" x14ac:dyDescent="0.3">
      <c r="A198" t="s">
        <v>1282</v>
      </c>
      <c r="B198" s="114" t="s">
        <v>2079</v>
      </c>
      <c r="C198" t="s">
        <v>1910</v>
      </c>
    </row>
    <row r="199" spans="1:3" x14ac:dyDescent="0.3">
      <c r="A199" t="s">
        <v>1283</v>
      </c>
      <c r="B199" s="114" t="s">
        <v>2080</v>
      </c>
      <c r="C199" t="s">
        <v>1910</v>
      </c>
    </row>
    <row r="200" spans="1:3" x14ac:dyDescent="0.3">
      <c r="A200" t="s">
        <v>1284</v>
      </c>
      <c r="B200" s="114" t="s">
        <v>2081</v>
      </c>
      <c r="C200" t="s">
        <v>1910</v>
      </c>
    </row>
    <row r="201" spans="1:3" x14ac:dyDescent="0.3">
      <c r="A201" t="s">
        <v>737</v>
      </c>
      <c r="B201" s="114" t="s">
        <v>2082</v>
      </c>
      <c r="C201" t="s">
        <v>1910</v>
      </c>
    </row>
    <row r="202" spans="1:3" x14ac:dyDescent="0.3">
      <c r="A202" t="s">
        <v>1285</v>
      </c>
      <c r="B202" s="114" t="s">
        <v>2083</v>
      </c>
      <c r="C202" t="s">
        <v>1910</v>
      </c>
    </row>
    <row r="203" spans="1:3" x14ac:dyDescent="0.3">
      <c r="A203" t="s">
        <v>1286</v>
      </c>
      <c r="B203" s="114" t="s">
        <v>2084</v>
      </c>
      <c r="C203" t="s">
        <v>1910</v>
      </c>
    </row>
    <row r="204" spans="1:3" x14ac:dyDescent="0.3">
      <c r="A204" t="s">
        <v>1287</v>
      </c>
      <c r="B204" s="114" t="s">
        <v>2085</v>
      </c>
      <c r="C204" t="s">
        <v>1910</v>
      </c>
    </row>
    <row r="205" spans="1:3" x14ac:dyDescent="0.3">
      <c r="A205" t="s">
        <v>1288</v>
      </c>
      <c r="B205" s="114" t="s">
        <v>2086</v>
      </c>
      <c r="C205" t="s">
        <v>1910</v>
      </c>
    </row>
    <row r="206" spans="1:3" x14ac:dyDescent="0.3">
      <c r="A206" t="s">
        <v>1289</v>
      </c>
      <c r="B206" s="114" t="s">
        <v>2087</v>
      </c>
      <c r="C206" t="s">
        <v>1910</v>
      </c>
    </row>
    <row r="207" spans="1:3" x14ac:dyDescent="0.3">
      <c r="A207" t="s">
        <v>1290</v>
      </c>
      <c r="B207" s="114" t="s">
        <v>2088</v>
      </c>
      <c r="C207" t="s">
        <v>1910</v>
      </c>
    </row>
    <row r="208" spans="1:3" x14ac:dyDescent="0.3">
      <c r="A208" t="s">
        <v>1291</v>
      </c>
      <c r="B208" s="114" t="s">
        <v>2089</v>
      </c>
      <c r="C208" t="s">
        <v>1910</v>
      </c>
    </row>
    <row r="209" spans="1:3" x14ac:dyDescent="0.3">
      <c r="A209" t="s">
        <v>1292</v>
      </c>
      <c r="B209" s="114" t="s">
        <v>2090</v>
      </c>
      <c r="C209" t="s">
        <v>1910</v>
      </c>
    </row>
    <row r="210" spans="1:3" x14ac:dyDescent="0.3">
      <c r="A210" t="s">
        <v>1293</v>
      </c>
      <c r="B210" s="114" t="s">
        <v>2091</v>
      </c>
      <c r="C210" t="s">
        <v>1910</v>
      </c>
    </row>
    <row r="211" spans="1:3" x14ac:dyDescent="0.3">
      <c r="A211" t="s">
        <v>1294</v>
      </c>
      <c r="B211" s="114" t="s">
        <v>2092</v>
      </c>
      <c r="C211" t="s">
        <v>1910</v>
      </c>
    </row>
    <row r="212" spans="1:3" x14ac:dyDescent="0.3">
      <c r="A212" t="s">
        <v>1295</v>
      </c>
      <c r="B212" s="114" t="s">
        <v>2093</v>
      </c>
      <c r="C212" t="s">
        <v>1910</v>
      </c>
    </row>
    <row r="213" spans="1:3" x14ac:dyDescent="0.3">
      <c r="A213" t="s">
        <v>1296</v>
      </c>
      <c r="B213" s="114" t="s">
        <v>2094</v>
      </c>
      <c r="C213" t="s">
        <v>1910</v>
      </c>
    </row>
    <row r="214" spans="1:3" x14ac:dyDescent="0.3">
      <c r="A214" t="s">
        <v>1297</v>
      </c>
      <c r="B214" s="114" t="s">
        <v>2095</v>
      </c>
      <c r="C214" t="s">
        <v>1910</v>
      </c>
    </row>
    <row r="215" spans="1:3" x14ac:dyDescent="0.3">
      <c r="A215" t="s">
        <v>1298</v>
      </c>
      <c r="B215" s="114" t="s">
        <v>2096</v>
      </c>
      <c r="C215" t="s">
        <v>1910</v>
      </c>
    </row>
    <row r="216" spans="1:3" x14ac:dyDescent="0.3">
      <c r="A216" t="s">
        <v>1299</v>
      </c>
      <c r="B216" s="114" t="s">
        <v>2097</v>
      </c>
      <c r="C216" t="s">
        <v>1910</v>
      </c>
    </row>
    <row r="217" spans="1:3" x14ac:dyDescent="0.3">
      <c r="A217" t="s">
        <v>1300</v>
      </c>
      <c r="B217" s="114" t="s">
        <v>2098</v>
      </c>
      <c r="C217" t="s">
        <v>1910</v>
      </c>
    </row>
    <row r="218" spans="1:3" x14ac:dyDescent="0.3">
      <c r="A218" t="s">
        <v>1301</v>
      </c>
      <c r="B218" s="114" t="s">
        <v>2099</v>
      </c>
      <c r="C218" t="s">
        <v>1910</v>
      </c>
    </row>
    <row r="219" spans="1:3" x14ac:dyDescent="0.3">
      <c r="A219" t="s">
        <v>1302</v>
      </c>
      <c r="B219" s="114" t="s">
        <v>2100</v>
      </c>
      <c r="C219" t="s">
        <v>1910</v>
      </c>
    </row>
    <row r="220" spans="1:3" x14ac:dyDescent="0.3">
      <c r="A220" t="s">
        <v>1303</v>
      </c>
      <c r="B220" s="114" t="s">
        <v>2101</v>
      </c>
      <c r="C220" t="s">
        <v>1910</v>
      </c>
    </row>
    <row r="221" spans="1:3" x14ac:dyDescent="0.3">
      <c r="A221" t="s">
        <v>1304</v>
      </c>
      <c r="B221" s="114" t="s">
        <v>2102</v>
      </c>
      <c r="C221" t="s">
        <v>1910</v>
      </c>
    </row>
    <row r="222" spans="1:3" x14ac:dyDescent="0.3">
      <c r="A222" t="s">
        <v>1305</v>
      </c>
      <c r="B222" s="114" t="s">
        <v>2103</v>
      </c>
      <c r="C222" t="s">
        <v>1910</v>
      </c>
    </row>
    <row r="223" spans="1:3" x14ac:dyDescent="0.3">
      <c r="A223" t="s">
        <v>1306</v>
      </c>
      <c r="B223" s="114" t="s">
        <v>2104</v>
      </c>
      <c r="C223" t="s">
        <v>1910</v>
      </c>
    </row>
    <row r="224" spans="1:3" x14ac:dyDescent="0.3">
      <c r="A224" t="s">
        <v>1307</v>
      </c>
      <c r="B224" s="114" t="s">
        <v>2105</v>
      </c>
      <c r="C224" t="s">
        <v>1910</v>
      </c>
    </row>
    <row r="225" spans="1:3" x14ac:dyDescent="0.3">
      <c r="A225" t="s">
        <v>1308</v>
      </c>
      <c r="B225" s="114" t="s">
        <v>2106</v>
      </c>
      <c r="C225" t="s">
        <v>1910</v>
      </c>
    </row>
    <row r="226" spans="1:3" x14ac:dyDescent="0.3">
      <c r="A226" t="s">
        <v>1309</v>
      </c>
      <c r="B226" s="114" t="s">
        <v>2107</v>
      </c>
      <c r="C226" t="s">
        <v>1910</v>
      </c>
    </row>
    <row r="227" spans="1:3" x14ac:dyDescent="0.3">
      <c r="A227" t="s">
        <v>1310</v>
      </c>
      <c r="B227" s="114" t="s">
        <v>2108</v>
      </c>
      <c r="C227" t="s">
        <v>1910</v>
      </c>
    </row>
    <row r="228" spans="1:3" x14ac:dyDescent="0.3">
      <c r="A228" t="s">
        <v>1311</v>
      </c>
      <c r="B228" s="114" t="s">
        <v>2109</v>
      </c>
      <c r="C228" t="s">
        <v>1910</v>
      </c>
    </row>
    <row r="229" spans="1:3" x14ac:dyDescent="0.3">
      <c r="A229" t="s">
        <v>1312</v>
      </c>
      <c r="B229" s="114" t="s">
        <v>2110</v>
      </c>
      <c r="C229" t="s">
        <v>1910</v>
      </c>
    </row>
    <row r="230" spans="1:3" x14ac:dyDescent="0.3">
      <c r="A230" t="s">
        <v>1313</v>
      </c>
      <c r="B230" s="114" t="s">
        <v>2111</v>
      </c>
      <c r="C230" t="s">
        <v>1910</v>
      </c>
    </row>
    <row r="231" spans="1:3" x14ac:dyDescent="0.3">
      <c r="A231" t="s">
        <v>1314</v>
      </c>
      <c r="B231" s="114" t="s">
        <v>2112</v>
      </c>
      <c r="C231" t="s">
        <v>1910</v>
      </c>
    </row>
    <row r="232" spans="1:3" x14ac:dyDescent="0.3">
      <c r="A232" t="s">
        <v>1315</v>
      </c>
      <c r="B232" s="114" t="s">
        <v>2113</v>
      </c>
      <c r="C232" t="s">
        <v>1910</v>
      </c>
    </row>
    <row r="233" spans="1:3" x14ac:dyDescent="0.3">
      <c r="A233" t="s">
        <v>1316</v>
      </c>
      <c r="B233" s="114" t="s">
        <v>2114</v>
      </c>
      <c r="C233" t="s">
        <v>1910</v>
      </c>
    </row>
    <row r="234" spans="1:3" x14ac:dyDescent="0.3">
      <c r="A234" t="s">
        <v>1317</v>
      </c>
      <c r="B234" s="114" t="s">
        <v>2115</v>
      </c>
      <c r="C234" t="s">
        <v>1910</v>
      </c>
    </row>
    <row r="235" spans="1:3" x14ac:dyDescent="0.3">
      <c r="A235" t="s">
        <v>1318</v>
      </c>
      <c r="B235" s="114" t="s">
        <v>2116</v>
      </c>
      <c r="C235" t="s">
        <v>1910</v>
      </c>
    </row>
    <row r="236" spans="1:3" x14ac:dyDescent="0.3">
      <c r="A236" t="s">
        <v>1319</v>
      </c>
      <c r="B236" s="114" t="s">
        <v>2117</v>
      </c>
      <c r="C236" t="s">
        <v>1910</v>
      </c>
    </row>
    <row r="237" spans="1:3" x14ac:dyDescent="0.3">
      <c r="A237" t="s">
        <v>1320</v>
      </c>
      <c r="B237" s="114" t="s">
        <v>2118</v>
      </c>
      <c r="C237" t="s">
        <v>1910</v>
      </c>
    </row>
    <row r="238" spans="1:3" x14ac:dyDescent="0.3">
      <c r="A238" t="s">
        <v>1321</v>
      </c>
      <c r="B238" s="114" t="s">
        <v>2119</v>
      </c>
      <c r="C238" t="s">
        <v>1910</v>
      </c>
    </row>
    <row r="239" spans="1:3" x14ac:dyDescent="0.3">
      <c r="A239" t="s">
        <v>1322</v>
      </c>
      <c r="B239" s="114" t="s">
        <v>2120</v>
      </c>
      <c r="C239" t="s">
        <v>1910</v>
      </c>
    </row>
    <row r="240" spans="1:3" x14ac:dyDescent="0.3">
      <c r="A240" t="s">
        <v>1323</v>
      </c>
      <c r="B240" s="114" t="s">
        <v>2120</v>
      </c>
      <c r="C240" t="s">
        <v>1910</v>
      </c>
    </row>
    <row r="241" spans="1:3" x14ac:dyDescent="0.3">
      <c r="A241" t="s">
        <v>1324</v>
      </c>
      <c r="B241" s="114" t="s">
        <v>2120</v>
      </c>
      <c r="C241" t="s">
        <v>1910</v>
      </c>
    </row>
    <row r="242" spans="1:3" x14ac:dyDescent="0.3">
      <c r="A242" t="s">
        <v>1325</v>
      </c>
      <c r="B242" s="114" t="s">
        <v>2121</v>
      </c>
      <c r="C242" t="s">
        <v>1910</v>
      </c>
    </row>
    <row r="243" spans="1:3" x14ac:dyDescent="0.3">
      <c r="A243" t="s">
        <v>1326</v>
      </c>
      <c r="B243" s="114" t="s">
        <v>2122</v>
      </c>
      <c r="C243" t="s">
        <v>1910</v>
      </c>
    </row>
    <row r="244" spans="1:3" x14ac:dyDescent="0.3">
      <c r="A244" t="s">
        <v>1327</v>
      </c>
      <c r="B244" s="114" t="s">
        <v>2123</v>
      </c>
      <c r="C244" t="s">
        <v>1910</v>
      </c>
    </row>
    <row r="245" spans="1:3" x14ac:dyDescent="0.3">
      <c r="A245" t="s">
        <v>1328</v>
      </c>
      <c r="B245" s="114" t="s">
        <v>2124</v>
      </c>
      <c r="C245" t="s">
        <v>1910</v>
      </c>
    </row>
    <row r="246" spans="1:3" x14ac:dyDescent="0.3">
      <c r="A246" t="s">
        <v>1329</v>
      </c>
      <c r="B246" s="114" t="s">
        <v>2125</v>
      </c>
      <c r="C246" t="s">
        <v>1910</v>
      </c>
    </row>
    <row r="247" spans="1:3" x14ac:dyDescent="0.3">
      <c r="A247" t="s">
        <v>1330</v>
      </c>
      <c r="B247" s="114" t="s">
        <v>2126</v>
      </c>
      <c r="C247" t="s">
        <v>1910</v>
      </c>
    </row>
    <row r="248" spans="1:3" x14ac:dyDescent="0.3">
      <c r="A248" t="s">
        <v>1331</v>
      </c>
      <c r="B248" s="114" t="s">
        <v>2127</v>
      </c>
      <c r="C248" t="s">
        <v>1910</v>
      </c>
    </row>
    <row r="249" spans="1:3" x14ac:dyDescent="0.3">
      <c r="A249" t="s">
        <v>1332</v>
      </c>
      <c r="B249" s="114" t="s">
        <v>2128</v>
      </c>
      <c r="C249" t="s">
        <v>1910</v>
      </c>
    </row>
    <row r="250" spans="1:3" x14ac:dyDescent="0.3">
      <c r="A250" t="s">
        <v>1333</v>
      </c>
      <c r="B250" s="114" t="s">
        <v>2129</v>
      </c>
      <c r="C250" t="s">
        <v>1910</v>
      </c>
    </row>
    <row r="251" spans="1:3" x14ac:dyDescent="0.3">
      <c r="A251" t="s">
        <v>1334</v>
      </c>
      <c r="B251" s="114" t="s">
        <v>2130</v>
      </c>
      <c r="C251" t="s">
        <v>1910</v>
      </c>
    </row>
    <row r="252" spans="1:3" x14ac:dyDescent="0.3">
      <c r="A252" t="s">
        <v>1335</v>
      </c>
      <c r="B252" s="114" t="s">
        <v>2131</v>
      </c>
      <c r="C252" t="s">
        <v>1910</v>
      </c>
    </row>
    <row r="253" spans="1:3" x14ac:dyDescent="0.3">
      <c r="A253" t="s">
        <v>1336</v>
      </c>
      <c r="B253" s="114" t="s">
        <v>2132</v>
      </c>
      <c r="C253" t="s">
        <v>1910</v>
      </c>
    </row>
    <row r="254" spans="1:3" x14ac:dyDescent="0.3">
      <c r="A254" t="s">
        <v>1337</v>
      </c>
      <c r="B254" s="114" t="s">
        <v>2133</v>
      </c>
      <c r="C254" t="s">
        <v>1910</v>
      </c>
    </row>
    <row r="255" spans="1:3" x14ac:dyDescent="0.3">
      <c r="A255" t="s">
        <v>1338</v>
      </c>
      <c r="B255" s="114" t="s">
        <v>2134</v>
      </c>
      <c r="C255" t="s">
        <v>1910</v>
      </c>
    </row>
    <row r="256" spans="1:3" x14ac:dyDescent="0.3">
      <c r="A256" t="s">
        <v>1339</v>
      </c>
      <c r="B256" s="114" t="s">
        <v>2135</v>
      </c>
      <c r="C256" t="s">
        <v>1910</v>
      </c>
    </row>
    <row r="257" spans="1:3" x14ac:dyDescent="0.3">
      <c r="A257" t="s">
        <v>1340</v>
      </c>
      <c r="B257" s="114" t="s">
        <v>2136</v>
      </c>
      <c r="C257" t="s">
        <v>1910</v>
      </c>
    </row>
    <row r="258" spans="1:3" x14ac:dyDescent="0.3">
      <c r="A258" t="s">
        <v>1341</v>
      </c>
      <c r="B258" s="114" t="s">
        <v>2137</v>
      </c>
      <c r="C258" t="s">
        <v>1910</v>
      </c>
    </row>
    <row r="259" spans="1:3" x14ac:dyDescent="0.3">
      <c r="A259" t="s">
        <v>1342</v>
      </c>
      <c r="B259" s="114" t="s">
        <v>2138</v>
      </c>
      <c r="C259" t="s">
        <v>1910</v>
      </c>
    </row>
    <row r="260" spans="1:3" x14ac:dyDescent="0.3">
      <c r="A260" t="s">
        <v>1343</v>
      </c>
      <c r="B260" s="114" t="s">
        <v>2139</v>
      </c>
      <c r="C260" t="s">
        <v>1910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21</vt:i4>
      </vt:variant>
      <vt:variant>
        <vt:lpstr>Именованные диапазоны</vt:lpstr>
      </vt:variant>
      <vt:variant>
        <vt:i4>70</vt:i4>
      </vt:variant>
    </vt:vector>
  </HeadingPairs>
  <TitlesOfParts>
    <vt:vector size="91" baseType="lpstr">
      <vt:lpstr>Гайд</vt:lpstr>
      <vt:lpstr>Проверка</vt:lpstr>
      <vt:lpstr>Объект</vt:lpstr>
      <vt:lpstr>Щиты</vt:lpstr>
      <vt:lpstr>Линии</vt:lpstr>
      <vt:lpstr>Коды</vt:lpstr>
      <vt:lpstr>Щит</vt:lpstr>
      <vt:lpstr>Кабельный_журнал</vt:lpstr>
      <vt:lpstr>Спецификация</vt:lpstr>
      <vt:lpstr>Бирки</vt:lpstr>
      <vt:lpstr>Изменения</vt:lpstr>
      <vt:lpstr>Наклейки</vt:lpstr>
      <vt:lpstr>Каталог</vt:lpstr>
      <vt:lpstr>Методика</vt:lpstr>
      <vt:lpstr>Таблицы_норм</vt:lpstr>
      <vt:lpstr>Режимы</vt:lpstr>
      <vt:lpstr>Расчёт_нагрузок</vt:lpstr>
      <vt:lpstr>Спецификация_авто</vt:lpstr>
      <vt:lpstr>Однолинейка</vt:lpstr>
      <vt:lpstr>Справочная_потребители</vt:lpstr>
      <vt:lpstr>_выдача</vt:lpstr>
      <vt:lpstr>c_min</vt:lpstr>
      <vt:lpstr>dU_LED</vt:lpstr>
      <vt:lpstr>dU_пит</vt:lpstr>
      <vt:lpstr>Iдоп_1ж</vt:lpstr>
      <vt:lpstr>Iдоп_2ж</vt:lpstr>
      <vt:lpstr>Iдоп_3ж</vt:lpstr>
      <vt:lpstr>Iдоп_S</vt:lpstr>
      <vt:lpstr>k_пк</vt:lpstr>
      <vt:lpstr>R_пер</vt:lpstr>
      <vt:lpstr>Uн_лин</vt:lpstr>
      <vt:lpstr>ρкз_Al</vt:lpstr>
      <vt:lpstr>ρкз_Cu</vt:lpstr>
      <vt:lpstr>Автомат_номиналы</vt:lpstr>
      <vt:lpstr>гофра_пвх</vt:lpstr>
      <vt:lpstr>гофра_пнд</vt:lpstr>
      <vt:lpstr>Запас_БП</vt:lpstr>
      <vt:lpstr>Запас_кабеля</vt:lpstr>
      <vt:lpstr>ИБП_cos_вх</vt:lpstr>
      <vt:lpstr>ИБП_cos_вых</vt:lpstr>
      <vt:lpstr>ИБП_k</vt:lpstr>
      <vt:lpstr>ИБП_t</vt:lpstr>
      <vt:lpstr>ИБП_U</vt:lpstr>
      <vt:lpstr>ИБП_загрузка</vt:lpstr>
      <vt:lpstr>ИБП_заряд</vt:lpstr>
      <vt:lpstr>ИБП_КПД</vt:lpstr>
      <vt:lpstr>ИБП_ряд</vt:lpstr>
      <vt:lpstr>Имя_пом</vt:lpstr>
      <vt:lpstr>Имя_режим</vt:lpstr>
      <vt:lpstr>К_прокл</vt:lpstr>
      <vt:lpstr>Кабель_диаметр</vt:lpstr>
      <vt:lpstr>Кабель_номиналы</vt:lpstr>
      <vt:lpstr>Кабель_обозначение</vt:lpstr>
      <vt:lpstr>Кабель_сопротивление</vt:lpstr>
      <vt:lpstr>Категории_ПЗ</vt:lpstr>
      <vt:lpstr>Ко_сил</vt:lpstr>
      <vt:lpstr>Коды_3L</vt:lpstr>
      <vt:lpstr>Коды_апп</vt:lpstr>
      <vt:lpstr>Коды_вид</vt:lpstr>
      <vt:lpstr>Коды_группа</vt:lpstr>
      <vt:lpstr>Коды_имя</vt:lpstr>
      <vt:lpstr>Коды_квт</vt:lpstr>
      <vt:lpstr>Коды_код</vt:lpstr>
      <vt:lpstr>Коды_мА</vt:lpstr>
      <vt:lpstr>Коды_минавт</vt:lpstr>
      <vt:lpstr>Коды_пожарная</vt:lpstr>
      <vt:lpstr>Коды_режим</vt:lpstr>
      <vt:lpstr>Коды_уго</vt:lpstr>
      <vt:lpstr>Коды_упр</vt:lpstr>
      <vt:lpstr>Коды_утечка</vt:lpstr>
      <vt:lpstr>Коды_хар</vt:lpstr>
      <vt:lpstr>Кс_К</vt:lpstr>
      <vt:lpstr>Кс_Р</vt:lpstr>
      <vt:lpstr>Кс75_k</vt:lpstr>
      <vt:lpstr>Кс75_n</vt:lpstr>
      <vt:lpstr>Марка_пож</vt:lpstr>
      <vt:lpstr>Методика</vt:lpstr>
      <vt:lpstr>Мин_автомат_БП</vt:lpstr>
      <vt:lpstr>Модули_спр</vt:lpstr>
      <vt:lpstr>Потребители_обозначение</vt:lpstr>
      <vt:lpstr>Спецификация</vt:lpstr>
      <vt:lpstr>Список_марок</vt:lpstr>
      <vt:lpstr>Список_щитов</vt:lpstr>
      <vt:lpstr>Справочная_двигатели</vt:lpstr>
      <vt:lpstr>Справочная_ЛЭД</vt:lpstr>
      <vt:lpstr>Справочная_ПТО</vt:lpstr>
      <vt:lpstr>Столбцов_на_лист</vt:lpstr>
      <vt:lpstr>УГО_блоки</vt:lpstr>
      <vt:lpstr>Управление_цвета</vt:lpstr>
      <vt:lpstr>Щит_спец</vt:lpstr>
      <vt:lpstr>Этаж_обозначение</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Une-com</dc:creator>
  <cp:lastModifiedBy>marat</cp:lastModifiedBy>
  <dcterms:created xsi:type="dcterms:W3CDTF">2015-06-05T18:19:34Z</dcterms:created>
  <dcterms:modified xsi:type="dcterms:W3CDTF">2026-10-05T04:01:10Z</dcterms:modified>
</cp:coreProperties>
</file>